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7" rupBuild="9303"/>
  <workbookPr/>
  <workbookProtection workbookAlgorithmName="SHA-512" workbookHashValue="KzWAoiY3MtM7Jcx0fvTa6IyJRUnCFIekws5zwK1MuFM07U4/ha1RQ2icmxdthfLYa86jPRmnq0FOLJdMeIe0Tw==" workbookSaltValue="xlmsHST/pIrRGiWC1oQAXQ==" workbookSpinCount="100000" lockStructure="1"/>
  <bookViews>
    <workbookView xWindow="0" yWindow="0" windowWidth="28800" windowHeight="13425" firstSheet="20" activeTab="20"/>
  </bookViews>
  <sheets>
    <sheet name="Balans köpt och såld fjv 190517" sheetId="16" state="hidden" r:id="rId1"/>
    <sheet name="Dublettnamn" sheetId="2" state="hidden" r:id="rId2"/>
    <sheet name="Egen hetvattenprod" sheetId="3" state="hidden" r:id="rId3"/>
    <sheet name="Köpt hetvatten" sheetId="5" state="hidden" r:id="rId4"/>
    <sheet name="Kraftvärmeprod" sheetId="4" state="hidden" r:id="rId5"/>
    <sheet name="Slutlig allokering kvv" sheetId="11" state="hidden" r:id="rId6"/>
    <sheet name="Allokerat till el" sheetId="12" state="hidden" r:id="rId7"/>
    <sheet name="Spillvärme" sheetId="6" state="hidden" r:id="rId8"/>
    <sheet name="Miljö" sheetId="7" state="hidden" r:id="rId9"/>
    <sheet name="Leveranser" sheetId="8" state="hidden" r:id="rId10"/>
    <sheet name="Tillförd energi" sheetId="19" state="hidden" r:id="rId11"/>
    <sheet name="Totalt" sheetId="18" state="hidden" r:id="rId12"/>
    <sheet name="Tillförda bränslen per nät" sheetId="26" state="hidden" r:id="rId13"/>
    <sheet name="Sammanfattning bränslen" sheetId="13" state="hidden" r:id="rId14"/>
    <sheet name="Viktade värden el" sheetId="25" state="hidden" r:id="rId15"/>
    <sheet name="Miljövärden" sheetId="9" state="hidden" r:id="rId16"/>
    <sheet name="Miljövrärden urval för publ" sheetId="14" state="hidden" r:id="rId17"/>
    <sheet name="Miljövärden för publ företag" sheetId="15" state="hidden" r:id="rId18"/>
    <sheet name="Underlagsinformation" sheetId="20" state="hidden" r:id="rId19"/>
    <sheet name="Underlag till diagram" sheetId="22" state="hidden" r:id="rId20"/>
    <sheet name="Redovisning för kunder" sheetId="23" r:id="rId21"/>
    <sheet name="Emissionsfaktorer" sheetId="24" r:id="rId22"/>
  </sheets>
  <externalReferences>
    <externalReference r:id="rId23"/>
  </externalReferences>
  <definedNames>
    <definedName name="_xlnm._FilterDatabase" localSheetId="2" hidden="1">'Egen hetvattenprod'!$A$1:$BK$414</definedName>
    <definedName name="_xlnm._FilterDatabase" localSheetId="4" hidden="1">Kraftvärmeprod!$A$1:$BE$1</definedName>
    <definedName name="_xlnm._FilterDatabase" localSheetId="3" hidden="1">'Köpt hetvatten'!$A$1:$X$414</definedName>
    <definedName name="_xlnm._FilterDatabase" localSheetId="9" hidden="1">Leveranser!$A$1:$Y$1</definedName>
    <definedName name="_xlnm._FilterDatabase" localSheetId="8" hidden="1">Miljö!$A$1:$AC$415</definedName>
    <definedName name="_xlnm._FilterDatabase" localSheetId="15" hidden="1">Miljövärden!$A$2:$H$516</definedName>
    <definedName name="_xlnm._FilterDatabase" localSheetId="5" hidden="1">'Slutlig allokering kvv'!$A$1:$BA$514</definedName>
    <definedName name="_xlnm._FilterDatabase" localSheetId="7" hidden="1">Spillvärme!$A$1:$J$1</definedName>
    <definedName name="_xlnm._FilterDatabase" localSheetId="12" hidden="1">'Tillförda bränslen per nät'!$A$2:$BS$358</definedName>
    <definedName name="_xlnm._FilterDatabase" localSheetId="11" hidden="1">Totalt!$A$1:$CB$407</definedName>
  </definedNames>
  <calcPr calcId="14562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K364" i="12" l="1"/>
  <c r="AE364" i="12"/>
  <c r="AI364" i="12"/>
  <c r="D364" i="12"/>
  <c r="E364" i="12"/>
  <c r="F364" i="12"/>
  <c r="G364" i="12"/>
  <c r="H364" i="12"/>
  <c r="I364" i="12"/>
  <c r="J364" i="12"/>
  <c r="K364" i="12"/>
  <c r="L364" i="12"/>
  <c r="M364" i="12"/>
  <c r="N364" i="12"/>
  <c r="O364" i="12"/>
  <c r="P364" i="12"/>
  <c r="Q364" i="12"/>
  <c r="R364" i="12"/>
  <c r="S364" i="12"/>
  <c r="T364" i="12"/>
  <c r="U364" i="12"/>
  <c r="V364" i="12"/>
  <c r="W364" i="12"/>
  <c r="X364" i="12"/>
  <c r="Y364" i="12"/>
  <c r="Z364" i="12"/>
  <c r="AA364" i="12"/>
  <c r="AB364" i="12"/>
  <c r="AC364" i="12"/>
  <c r="AD364" i="12"/>
  <c r="C364" i="12"/>
  <c r="A360" i="12"/>
  <c r="B360" i="12"/>
  <c r="C360" i="12" s="1"/>
  <c r="AK360" i="12"/>
  <c r="AM360" i="12"/>
  <c r="D360" i="12" l="1"/>
  <c r="L359" i="26"/>
  <c r="M359" i="26"/>
  <c r="N359" i="26"/>
  <c r="O359" i="26"/>
  <c r="AI359" i="26" s="1"/>
  <c r="P359" i="26"/>
  <c r="Q359" i="26"/>
  <c r="R359" i="26"/>
  <c r="S359" i="26"/>
  <c r="T359" i="26"/>
  <c r="U359" i="26"/>
  <c r="V359" i="26"/>
  <c r="W359" i="26"/>
  <c r="X359" i="26"/>
  <c r="Y359" i="26"/>
  <c r="Z359" i="26"/>
  <c r="AA359" i="26"/>
  <c r="AB359" i="26"/>
  <c r="AC359" i="26"/>
  <c r="AD359" i="26"/>
  <c r="AE359" i="26"/>
  <c r="AF359" i="26"/>
  <c r="AG359" i="26"/>
  <c r="AJ359" i="26"/>
  <c r="AM359" i="26"/>
  <c r="AN359" i="26" s="1"/>
  <c r="AP359" i="26"/>
  <c r="AS359" i="26"/>
  <c r="AT359" i="26" s="1"/>
  <c r="AV359" i="26"/>
  <c r="AW359" i="26" s="1"/>
  <c r="AY359" i="26"/>
  <c r="AZ359" i="26" s="1"/>
  <c r="BA359" i="26"/>
  <c r="BB359" i="26"/>
  <c r="BC359" i="26"/>
  <c r="BF359" i="26"/>
  <c r="BG359" i="26" s="1"/>
  <c r="BJ359" i="26"/>
  <c r="BQ359" i="26"/>
  <c r="K359" i="26"/>
  <c r="J359" i="26"/>
  <c r="I359" i="26"/>
  <c r="H359" i="26"/>
  <c r="G359" i="26"/>
  <c r="F359" i="26"/>
  <c r="E359" i="26"/>
  <c r="D359" i="26"/>
  <c r="C359" i="26"/>
  <c r="B359" i="26"/>
  <c r="J362" i="15"/>
  <c r="B362" i="15"/>
  <c r="A359" i="26" s="1"/>
  <c r="F360" i="12" l="1"/>
  <c r="J360" i="12"/>
  <c r="N360" i="12"/>
  <c r="R360" i="12"/>
  <c r="V360" i="12"/>
  <c r="Z360" i="12"/>
  <c r="AD360" i="12"/>
  <c r="G360" i="12"/>
  <c r="K360" i="12"/>
  <c r="O360" i="12"/>
  <c r="S360" i="12"/>
  <c r="W360" i="12"/>
  <c r="AA360" i="12"/>
  <c r="AE360" i="12"/>
  <c r="H360" i="12"/>
  <c r="L360" i="12"/>
  <c r="P360" i="12"/>
  <c r="T360" i="12"/>
  <c r="X360" i="12"/>
  <c r="AB360" i="12"/>
  <c r="I360" i="12"/>
  <c r="M360" i="12"/>
  <c r="Q360" i="12"/>
  <c r="U360" i="12"/>
  <c r="Y360" i="12"/>
  <c r="AC360" i="12"/>
  <c r="BM359" i="26"/>
  <c r="BI359" i="26"/>
  <c r="BD359" i="26"/>
  <c r="AO359" i="26"/>
  <c r="AQ359" i="26" s="1"/>
  <c r="BL359" i="26"/>
  <c r="BH359" i="26"/>
  <c r="BR359" i="26"/>
  <c r="BK359" i="26"/>
  <c r="I414" i="25"/>
  <c r="J414" i="25"/>
  <c r="K414" i="25"/>
  <c r="AI360" i="12" l="1"/>
  <c r="BZ395" i="18"/>
  <c r="C389" i="12"/>
  <c r="C387" i="12"/>
  <c r="C385" i="12"/>
  <c r="C384" i="12"/>
  <c r="C383" i="12"/>
  <c r="C382" i="12"/>
  <c r="C381" i="12"/>
  <c r="C380" i="12"/>
  <c r="C386" i="12" s="1"/>
  <c r="C378" i="12"/>
  <c r="C377" i="12"/>
  <c r="C375" i="12"/>
  <c r="C374" i="12"/>
  <c r="C373" i="12"/>
  <c r="C372" i="12"/>
  <c r="C371" i="12"/>
  <c r="C370" i="12"/>
  <c r="AO360" i="12" l="1"/>
  <c r="AP360" i="12" s="1"/>
  <c r="AR360" i="12"/>
  <c r="AZ419" i="4"/>
  <c r="BA419" i="4"/>
  <c r="BB419" i="4"/>
  <c r="BC419" i="4"/>
  <c r="BD419" i="4"/>
  <c r="AY419" i="4"/>
  <c r="AZ417" i="4"/>
  <c r="BA417" i="4"/>
  <c r="BB417" i="4"/>
  <c r="BC417" i="4"/>
  <c r="BD417" i="4"/>
  <c r="AY417" i="4"/>
  <c r="J422" i="25"/>
  <c r="I422" i="25"/>
  <c r="H422" i="25"/>
  <c r="G422" i="25"/>
  <c r="L418" i="25"/>
  <c r="L417" i="25"/>
  <c r="J418" i="25"/>
  <c r="D28" i="13"/>
  <c r="D27" i="13"/>
  <c r="B27" i="13" s="1"/>
  <c r="D26" i="13"/>
  <c r="D25" i="13"/>
  <c r="D24" i="13"/>
  <c r="B24" i="13" s="1"/>
  <c r="D23" i="13"/>
  <c r="D22" i="13"/>
  <c r="C22" i="13" s="1"/>
  <c r="D21" i="13"/>
  <c r="B21" i="13" s="1"/>
  <c r="D20" i="13"/>
  <c r="C20" i="13" s="1"/>
  <c r="D19" i="13"/>
  <c r="D18" i="13"/>
  <c r="B18" i="13" s="1"/>
  <c r="D17" i="13"/>
  <c r="B2" i="13"/>
  <c r="D16" i="13"/>
  <c r="D15" i="13"/>
  <c r="C15" i="13" s="1"/>
  <c r="D12" i="13"/>
  <c r="B12" i="13" s="1"/>
  <c r="D11" i="13"/>
  <c r="D9" i="13"/>
  <c r="B9" i="13" s="1"/>
  <c r="D8" i="13"/>
  <c r="C8" i="13" s="1"/>
  <c r="D7" i="13"/>
  <c r="B7" i="13" s="1"/>
  <c r="B5" i="13"/>
  <c r="B6" i="13"/>
  <c r="B8" i="13"/>
  <c r="B11" i="13"/>
  <c r="B16" i="13"/>
  <c r="B17" i="13"/>
  <c r="B19" i="13"/>
  <c r="B20" i="13"/>
  <c r="B22" i="13"/>
  <c r="B23" i="13"/>
  <c r="B25" i="13"/>
  <c r="B26" i="13"/>
  <c r="B4" i="13"/>
  <c r="C4" i="13"/>
  <c r="C5" i="13"/>
  <c r="C6" i="13"/>
  <c r="C7" i="13"/>
  <c r="C9" i="13"/>
  <c r="C11" i="13"/>
  <c r="C12" i="13"/>
  <c r="C16" i="13"/>
  <c r="C17" i="13"/>
  <c r="C19" i="13"/>
  <c r="C21" i="13"/>
  <c r="C23" i="13"/>
  <c r="C25" i="13"/>
  <c r="C26" i="13"/>
  <c r="C27" i="13"/>
  <c r="C2" i="13"/>
  <c r="D6" i="13"/>
  <c r="D5" i="13"/>
  <c r="D4" i="13"/>
  <c r="D2" i="13"/>
  <c r="BR4" i="26"/>
  <c r="BR5" i="26"/>
  <c r="BR6" i="26"/>
  <c r="BR7" i="26"/>
  <c r="BR8" i="26"/>
  <c r="BR9" i="26"/>
  <c r="BR10" i="26"/>
  <c r="BR11" i="26"/>
  <c r="BR12" i="26"/>
  <c r="BR13" i="26"/>
  <c r="BR14" i="26"/>
  <c r="BR15" i="26"/>
  <c r="BR16" i="26"/>
  <c r="BR17" i="26"/>
  <c r="BR18" i="26"/>
  <c r="BR19" i="26"/>
  <c r="BR20" i="26"/>
  <c r="BR21" i="26"/>
  <c r="BR22" i="26"/>
  <c r="BR23" i="26"/>
  <c r="BR24" i="26"/>
  <c r="BR25" i="26"/>
  <c r="BR26" i="26"/>
  <c r="BR27" i="26"/>
  <c r="BR28" i="26"/>
  <c r="BR29" i="26"/>
  <c r="BR30" i="26"/>
  <c r="BR31" i="26"/>
  <c r="BR32" i="26"/>
  <c r="BR33" i="26"/>
  <c r="BR34" i="26"/>
  <c r="BR35" i="26"/>
  <c r="BR36" i="26"/>
  <c r="BR37" i="26"/>
  <c r="BR38" i="26"/>
  <c r="BR39" i="26"/>
  <c r="BR40" i="26"/>
  <c r="BR41" i="26"/>
  <c r="BR42" i="26"/>
  <c r="BR43" i="26"/>
  <c r="BR44" i="26"/>
  <c r="BR45" i="26"/>
  <c r="BR46" i="26"/>
  <c r="BR47" i="26"/>
  <c r="BR48" i="26"/>
  <c r="BR49" i="26"/>
  <c r="BR50" i="26"/>
  <c r="BR51" i="26"/>
  <c r="BR52" i="26"/>
  <c r="BR53" i="26"/>
  <c r="BR54" i="26"/>
  <c r="BR55" i="26"/>
  <c r="BR56" i="26"/>
  <c r="BR57" i="26"/>
  <c r="BR58" i="26"/>
  <c r="BR59" i="26"/>
  <c r="BR60" i="26"/>
  <c r="BR61" i="26"/>
  <c r="BR62" i="26"/>
  <c r="BR63" i="26"/>
  <c r="BR64" i="26"/>
  <c r="BR65" i="26"/>
  <c r="BR66" i="26"/>
  <c r="BR67" i="26"/>
  <c r="BR68" i="26"/>
  <c r="BR69" i="26"/>
  <c r="BR70" i="26"/>
  <c r="BR71" i="26"/>
  <c r="BR72" i="26"/>
  <c r="BR73" i="26"/>
  <c r="BR74" i="26"/>
  <c r="BR75" i="26"/>
  <c r="BR76" i="26"/>
  <c r="BR77" i="26"/>
  <c r="BR78" i="26"/>
  <c r="BR79" i="26"/>
  <c r="BR80" i="26"/>
  <c r="BR81" i="26"/>
  <c r="BR82" i="26"/>
  <c r="BR83" i="26"/>
  <c r="BR84" i="26"/>
  <c r="BR85" i="26"/>
  <c r="BR86" i="26"/>
  <c r="BR87" i="26"/>
  <c r="BR88" i="26"/>
  <c r="BR89" i="26"/>
  <c r="BR90" i="26"/>
  <c r="BR91" i="26"/>
  <c r="BR92" i="26"/>
  <c r="BR93" i="26"/>
  <c r="BR94" i="26"/>
  <c r="BR95" i="26"/>
  <c r="BR96" i="26"/>
  <c r="BR97" i="26"/>
  <c r="BR98" i="26"/>
  <c r="BR99" i="26"/>
  <c r="BR100" i="26"/>
  <c r="BR101" i="26"/>
  <c r="BR102" i="26"/>
  <c r="BR103" i="26"/>
  <c r="BR104" i="26"/>
  <c r="BR105" i="26"/>
  <c r="BR106" i="26"/>
  <c r="BR107" i="26"/>
  <c r="BR108" i="26"/>
  <c r="BR109" i="26"/>
  <c r="BR110" i="26"/>
  <c r="BR111" i="26"/>
  <c r="BR112" i="26"/>
  <c r="BR113" i="26"/>
  <c r="BR114" i="26"/>
  <c r="BR115" i="26"/>
  <c r="BR116" i="26"/>
  <c r="BR117" i="26"/>
  <c r="BR118" i="26"/>
  <c r="BR119" i="26"/>
  <c r="BR120" i="26"/>
  <c r="BR121" i="26"/>
  <c r="BR122" i="26"/>
  <c r="BR123" i="26"/>
  <c r="BR124" i="26"/>
  <c r="BR125" i="26"/>
  <c r="BR126" i="26"/>
  <c r="BR127" i="26"/>
  <c r="BR128" i="26"/>
  <c r="BR129" i="26"/>
  <c r="BR130" i="26"/>
  <c r="BR131" i="26"/>
  <c r="BR132" i="26"/>
  <c r="BR133" i="26"/>
  <c r="BR134" i="26"/>
  <c r="BR135" i="26"/>
  <c r="BR136" i="26"/>
  <c r="BR137" i="26"/>
  <c r="BR138" i="26"/>
  <c r="BR139" i="26"/>
  <c r="BR140" i="26"/>
  <c r="BR141" i="26"/>
  <c r="BR142" i="26"/>
  <c r="BR143" i="26"/>
  <c r="BR144" i="26"/>
  <c r="BR145" i="26"/>
  <c r="BR146" i="26"/>
  <c r="BR147" i="26"/>
  <c r="BR148" i="26"/>
  <c r="BR149" i="26"/>
  <c r="BR150" i="26"/>
  <c r="BR151" i="26"/>
  <c r="BR152" i="26"/>
  <c r="BR153" i="26"/>
  <c r="BR154" i="26"/>
  <c r="BR155" i="26"/>
  <c r="BR156" i="26"/>
  <c r="BR157" i="26"/>
  <c r="BR158" i="26"/>
  <c r="BR159" i="26"/>
  <c r="BR160" i="26"/>
  <c r="BR161" i="26"/>
  <c r="BR162" i="26"/>
  <c r="BR163" i="26"/>
  <c r="BR164" i="26"/>
  <c r="BR165" i="26"/>
  <c r="BR166" i="26"/>
  <c r="BR167" i="26"/>
  <c r="BR168" i="26"/>
  <c r="BR169" i="26"/>
  <c r="BR170" i="26"/>
  <c r="BR171" i="26"/>
  <c r="BR172" i="26"/>
  <c r="BR173" i="26"/>
  <c r="BR174" i="26"/>
  <c r="BR175" i="26"/>
  <c r="BR176" i="26"/>
  <c r="BR177" i="26"/>
  <c r="BR178" i="26"/>
  <c r="BR179" i="26"/>
  <c r="BR180" i="26"/>
  <c r="BR181" i="26"/>
  <c r="BR182" i="26"/>
  <c r="BR183" i="26"/>
  <c r="BR184" i="26"/>
  <c r="BR185" i="26"/>
  <c r="BR186" i="26"/>
  <c r="BR187" i="26"/>
  <c r="BR188" i="26"/>
  <c r="BR189" i="26"/>
  <c r="BR190" i="26"/>
  <c r="BR191" i="26"/>
  <c r="BR192" i="26"/>
  <c r="BR193" i="26"/>
  <c r="BR194" i="26"/>
  <c r="BR195" i="26"/>
  <c r="BR196" i="26"/>
  <c r="BR197" i="26"/>
  <c r="BR198" i="26"/>
  <c r="BR199" i="26"/>
  <c r="BR200" i="26"/>
  <c r="BR201" i="26"/>
  <c r="BR202" i="26"/>
  <c r="BR203" i="26"/>
  <c r="BR204" i="26"/>
  <c r="BR205" i="26"/>
  <c r="BR206" i="26"/>
  <c r="BR207" i="26"/>
  <c r="BR208" i="26"/>
  <c r="BR209" i="26"/>
  <c r="BR210" i="26"/>
  <c r="BR211" i="26"/>
  <c r="BR212" i="26"/>
  <c r="BR213" i="26"/>
  <c r="BR214" i="26"/>
  <c r="BR215" i="26"/>
  <c r="BR216" i="26"/>
  <c r="BR217" i="26"/>
  <c r="BR218" i="26"/>
  <c r="BR219" i="26"/>
  <c r="BR220" i="26"/>
  <c r="BR221" i="26"/>
  <c r="BR222" i="26"/>
  <c r="BR223" i="26"/>
  <c r="BR224" i="26"/>
  <c r="BR225" i="26"/>
  <c r="BR226" i="26"/>
  <c r="BR227" i="26"/>
  <c r="BR228" i="26"/>
  <c r="BR229" i="26"/>
  <c r="BR230" i="26"/>
  <c r="BR231" i="26"/>
  <c r="BR232" i="26"/>
  <c r="BR233" i="26"/>
  <c r="BR234" i="26"/>
  <c r="BR235" i="26"/>
  <c r="BR236" i="26"/>
  <c r="BR237" i="26"/>
  <c r="BR238" i="26"/>
  <c r="BR239" i="26"/>
  <c r="BR240" i="26"/>
  <c r="BR241" i="26"/>
  <c r="BR242" i="26"/>
  <c r="BR243" i="26"/>
  <c r="BR244" i="26"/>
  <c r="BR245" i="26"/>
  <c r="BR246" i="26"/>
  <c r="BR247" i="26"/>
  <c r="BR248" i="26"/>
  <c r="BR249" i="26"/>
  <c r="BR250" i="26"/>
  <c r="BR251" i="26"/>
  <c r="BR252" i="26"/>
  <c r="BR253" i="26"/>
  <c r="BR254" i="26"/>
  <c r="BR255" i="26"/>
  <c r="BR256" i="26"/>
  <c r="BR257" i="26"/>
  <c r="BR258" i="26"/>
  <c r="BR259" i="26"/>
  <c r="BR260" i="26"/>
  <c r="BR261" i="26"/>
  <c r="BR262" i="26"/>
  <c r="BR263" i="26"/>
  <c r="BR264" i="26"/>
  <c r="BR265" i="26"/>
  <c r="BR266" i="26"/>
  <c r="BR267" i="26"/>
  <c r="BR268" i="26"/>
  <c r="BR269" i="26"/>
  <c r="BR270" i="26"/>
  <c r="BR271" i="26"/>
  <c r="BR272" i="26"/>
  <c r="BR273" i="26"/>
  <c r="BR274" i="26"/>
  <c r="BR275" i="26"/>
  <c r="BR276" i="26"/>
  <c r="BR277" i="26"/>
  <c r="BR278" i="26"/>
  <c r="BR279" i="26"/>
  <c r="BR280" i="26"/>
  <c r="BR281" i="26"/>
  <c r="BR282" i="26"/>
  <c r="BR283" i="26"/>
  <c r="BR284" i="26"/>
  <c r="BR285" i="26"/>
  <c r="BR286" i="26"/>
  <c r="BR287" i="26"/>
  <c r="BR288" i="26"/>
  <c r="BR289" i="26"/>
  <c r="BR290" i="26"/>
  <c r="BR291" i="26"/>
  <c r="BR292" i="26"/>
  <c r="BR293" i="26"/>
  <c r="BR294" i="26"/>
  <c r="BR295" i="26"/>
  <c r="BR296" i="26"/>
  <c r="BR297" i="26"/>
  <c r="BR298" i="26"/>
  <c r="BR299" i="26"/>
  <c r="BR300" i="26"/>
  <c r="BR301" i="26"/>
  <c r="BR302" i="26"/>
  <c r="BR303" i="26"/>
  <c r="BR304" i="26"/>
  <c r="BR305" i="26"/>
  <c r="BR306" i="26"/>
  <c r="BR307" i="26"/>
  <c r="BR308" i="26"/>
  <c r="BR309" i="26"/>
  <c r="BR310" i="26"/>
  <c r="BR311" i="26"/>
  <c r="BR312" i="26"/>
  <c r="BR313" i="26"/>
  <c r="BR314" i="26"/>
  <c r="BR315" i="26"/>
  <c r="BR316" i="26"/>
  <c r="BR317" i="26"/>
  <c r="BR318" i="26"/>
  <c r="BR319" i="26"/>
  <c r="BR320" i="26"/>
  <c r="BR321" i="26"/>
  <c r="BR322" i="26"/>
  <c r="BR323" i="26"/>
  <c r="BR324" i="26"/>
  <c r="BR325" i="26"/>
  <c r="BR326" i="26"/>
  <c r="BR327" i="26"/>
  <c r="BR328" i="26"/>
  <c r="BR329" i="26"/>
  <c r="BR330" i="26"/>
  <c r="BR331" i="26"/>
  <c r="BR332" i="26"/>
  <c r="BR333" i="26"/>
  <c r="BR334" i="26"/>
  <c r="BR335" i="26"/>
  <c r="BR336" i="26"/>
  <c r="BR337" i="26"/>
  <c r="BR338" i="26"/>
  <c r="BR339" i="26"/>
  <c r="BR340" i="26"/>
  <c r="BR341" i="26"/>
  <c r="BR342" i="26"/>
  <c r="BR343" i="26"/>
  <c r="BR344" i="26"/>
  <c r="BR345" i="26"/>
  <c r="BR346" i="26"/>
  <c r="BR347" i="26"/>
  <c r="BR348" i="26"/>
  <c r="BR349" i="26"/>
  <c r="BR350" i="26"/>
  <c r="BR351" i="26"/>
  <c r="BR352" i="26"/>
  <c r="BR353" i="26"/>
  <c r="BR354" i="26"/>
  <c r="BR355" i="26"/>
  <c r="BR356" i="26"/>
  <c r="BR357" i="26"/>
  <c r="BR358" i="26"/>
  <c r="BR3" i="26"/>
  <c r="BQ4" i="26"/>
  <c r="BQ5" i="26"/>
  <c r="BQ6" i="26"/>
  <c r="BQ7" i="26"/>
  <c r="BQ8" i="26"/>
  <c r="BQ9" i="26"/>
  <c r="BQ10" i="26"/>
  <c r="BQ11" i="26"/>
  <c r="BQ12" i="26"/>
  <c r="BQ13" i="26"/>
  <c r="BQ14" i="26"/>
  <c r="BQ15" i="26"/>
  <c r="BQ16" i="26"/>
  <c r="BQ17" i="26"/>
  <c r="BQ18" i="26"/>
  <c r="BQ19" i="26"/>
  <c r="BQ20" i="26"/>
  <c r="BQ21" i="26"/>
  <c r="BQ22" i="26"/>
  <c r="BQ23" i="26"/>
  <c r="BQ24" i="26"/>
  <c r="BQ25" i="26"/>
  <c r="BQ26" i="26"/>
  <c r="BQ27" i="26"/>
  <c r="BQ28" i="26"/>
  <c r="BQ29" i="26"/>
  <c r="BQ30" i="26"/>
  <c r="BQ31" i="26"/>
  <c r="BQ32" i="26"/>
  <c r="BQ33" i="26"/>
  <c r="BQ34" i="26"/>
  <c r="BQ35" i="26"/>
  <c r="BQ36" i="26"/>
  <c r="BQ37" i="26"/>
  <c r="BQ38" i="26"/>
  <c r="BQ39" i="26"/>
  <c r="BQ40" i="26"/>
  <c r="BQ41" i="26"/>
  <c r="BQ42" i="26"/>
  <c r="BQ43" i="26"/>
  <c r="BQ44" i="26"/>
  <c r="BQ45" i="26"/>
  <c r="BQ46" i="26"/>
  <c r="BQ47" i="26"/>
  <c r="BQ48" i="26"/>
  <c r="BQ49" i="26"/>
  <c r="BQ50" i="26"/>
  <c r="BQ51" i="26"/>
  <c r="BQ52" i="26"/>
  <c r="BQ53" i="26"/>
  <c r="BQ54" i="26"/>
  <c r="BQ55" i="26"/>
  <c r="BQ56" i="26"/>
  <c r="BQ57" i="26"/>
  <c r="BQ58" i="26"/>
  <c r="BQ59" i="26"/>
  <c r="BQ60" i="26"/>
  <c r="BQ61" i="26"/>
  <c r="BQ62" i="26"/>
  <c r="BQ63" i="26"/>
  <c r="BQ64" i="26"/>
  <c r="BQ65" i="26"/>
  <c r="BQ66" i="26"/>
  <c r="BQ67" i="26"/>
  <c r="BQ68" i="26"/>
  <c r="BQ69" i="26"/>
  <c r="BQ70" i="26"/>
  <c r="BQ71" i="26"/>
  <c r="BQ72" i="26"/>
  <c r="BQ73" i="26"/>
  <c r="BQ74" i="26"/>
  <c r="BQ75" i="26"/>
  <c r="BQ76" i="26"/>
  <c r="BQ77" i="26"/>
  <c r="BQ78" i="26"/>
  <c r="BQ79" i="26"/>
  <c r="BQ80" i="26"/>
  <c r="BQ81" i="26"/>
  <c r="BQ82" i="26"/>
  <c r="BQ83" i="26"/>
  <c r="BQ84" i="26"/>
  <c r="BQ85" i="26"/>
  <c r="BQ86" i="26"/>
  <c r="BQ87" i="26"/>
  <c r="BQ88" i="26"/>
  <c r="BQ89" i="26"/>
  <c r="BQ90" i="26"/>
  <c r="BQ91" i="26"/>
  <c r="BQ92" i="26"/>
  <c r="BQ93" i="26"/>
  <c r="BQ94" i="26"/>
  <c r="BQ95" i="26"/>
  <c r="BQ96" i="26"/>
  <c r="BQ97" i="26"/>
  <c r="BQ98" i="26"/>
  <c r="BQ99" i="26"/>
  <c r="BQ100" i="26"/>
  <c r="BQ101" i="26"/>
  <c r="BQ102" i="26"/>
  <c r="BQ103" i="26"/>
  <c r="BQ104" i="26"/>
  <c r="BQ105" i="26"/>
  <c r="BQ106" i="26"/>
  <c r="BQ107" i="26"/>
  <c r="BQ108" i="26"/>
  <c r="BQ109" i="26"/>
  <c r="BQ110" i="26"/>
  <c r="BQ111" i="26"/>
  <c r="BQ112" i="26"/>
  <c r="BQ113" i="26"/>
  <c r="BQ114" i="26"/>
  <c r="BQ115" i="26"/>
  <c r="BQ116" i="26"/>
  <c r="BQ117" i="26"/>
  <c r="BQ118" i="26"/>
  <c r="BQ119" i="26"/>
  <c r="BQ120" i="26"/>
  <c r="BQ121" i="26"/>
  <c r="BQ122" i="26"/>
  <c r="BQ123" i="26"/>
  <c r="BQ124" i="26"/>
  <c r="BQ125" i="26"/>
  <c r="BQ126" i="26"/>
  <c r="BQ127" i="26"/>
  <c r="BQ128" i="26"/>
  <c r="BQ129" i="26"/>
  <c r="BQ130" i="26"/>
  <c r="BQ131" i="26"/>
  <c r="BQ132" i="26"/>
  <c r="BQ133" i="26"/>
  <c r="BQ134" i="26"/>
  <c r="BQ135" i="26"/>
  <c r="BQ136" i="26"/>
  <c r="BQ137" i="26"/>
  <c r="BQ138" i="26"/>
  <c r="BQ139" i="26"/>
  <c r="BQ140" i="26"/>
  <c r="BQ141" i="26"/>
  <c r="BQ142" i="26"/>
  <c r="BQ143" i="26"/>
  <c r="BQ144" i="26"/>
  <c r="BQ145" i="26"/>
  <c r="BQ146" i="26"/>
  <c r="BQ147" i="26"/>
  <c r="BQ148" i="26"/>
  <c r="BQ149" i="26"/>
  <c r="BQ150" i="26"/>
  <c r="BQ151" i="26"/>
  <c r="BQ152" i="26"/>
  <c r="BQ153" i="26"/>
  <c r="BQ154" i="26"/>
  <c r="BQ155" i="26"/>
  <c r="BQ156" i="26"/>
  <c r="BQ157" i="26"/>
  <c r="BQ158" i="26"/>
  <c r="BQ159" i="26"/>
  <c r="BQ160" i="26"/>
  <c r="BQ161" i="26"/>
  <c r="BQ162" i="26"/>
  <c r="BQ163" i="26"/>
  <c r="BQ164" i="26"/>
  <c r="BQ165" i="26"/>
  <c r="BQ166" i="26"/>
  <c r="BQ167" i="26"/>
  <c r="BQ168" i="26"/>
  <c r="BQ169" i="26"/>
  <c r="BQ170" i="26"/>
  <c r="BQ171" i="26"/>
  <c r="BQ172" i="26"/>
  <c r="BQ173" i="26"/>
  <c r="BQ174" i="26"/>
  <c r="BQ175" i="26"/>
  <c r="BQ176" i="26"/>
  <c r="BQ177" i="26"/>
  <c r="BQ178" i="26"/>
  <c r="BQ179" i="26"/>
  <c r="BQ180" i="26"/>
  <c r="BQ181" i="26"/>
  <c r="BQ182" i="26"/>
  <c r="BQ183" i="26"/>
  <c r="BQ184" i="26"/>
  <c r="BQ185" i="26"/>
  <c r="BQ186" i="26"/>
  <c r="BQ187" i="26"/>
  <c r="BQ188" i="26"/>
  <c r="BQ189" i="26"/>
  <c r="BQ190" i="26"/>
  <c r="BQ191" i="26"/>
  <c r="BQ192" i="26"/>
  <c r="BQ193" i="26"/>
  <c r="BQ194" i="26"/>
  <c r="BQ195" i="26"/>
  <c r="BQ196" i="26"/>
  <c r="BQ197" i="26"/>
  <c r="BQ198" i="26"/>
  <c r="BQ199" i="26"/>
  <c r="BQ200" i="26"/>
  <c r="BQ201" i="26"/>
  <c r="BQ202" i="26"/>
  <c r="BQ203" i="26"/>
  <c r="BQ204" i="26"/>
  <c r="BQ205" i="26"/>
  <c r="BQ206" i="26"/>
  <c r="BQ207" i="26"/>
  <c r="BQ208" i="26"/>
  <c r="BQ209" i="26"/>
  <c r="BQ210" i="26"/>
  <c r="BQ211" i="26"/>
  <c r="BQ212" i="26"/>
  <c r="BQ213" i="26"/>
  <c r="BQ214" i="26"/>
  <c r="BQ215" i="26"/>
  <c r="BQ216" i="26"/>
  <c r="BQ217" i="26"/>
  <c r="BQ218" i="26"/>
  <c r="BQ219" i="26"/>
  <c r="BQ220" i="26"/>
  <c r="BQ221" i="26"/>
  <c r="BQ222" i="26"/>
  <c r="BQ223" i="26"/>
  <c r="BQ224" i="26"/>
  <c r="BQ225" i="26"/>
  <c r="BQ226" i="26"/>
  <c r="BQ227" i="26"/>
  <c r="BQ228" i="26"/>
  <c r="BQ229" i="26"/>
  <c r="BQ230" i="26"/>
  <c r="BQ231" i="26"/>
  <c r="BQ232" i="26"/>
  <c r="BQ233" i="26"/>
  <c r="BQ234" i="26"/>
  <c r="BQ235" i="26"/>
  <c r="BQ236" i="26"/>
  <c r="BQ237" i="26"/>
  <c r="BQ238" i="26"/>
  <c r="BQ239" i="26"/>
  <c r="BQ240" i="26"/>
  <c r="BQ241" i="26"/>
  <c r="BQ242" i="26"/>
  <c r="BQ243" i="26"/>
  <c r="BQ244" i="26"/>
  <c r="BQ245" i="26"/>
  <c r="BQ246" i="26"/>
  <c r="BQ247" i="26"/>
  <c r="BQ248" i="26"/>
  <c r="BQ249" i="26"/>
  <c r="BQ250" i="26"/>
  <c r="BQ251" i="26"/>
  <c r="BQ252" i="26"/>
  <c r="BQ253" i="26"/>
  <c r="BQ254" i="26"/>
  <c r="BQ255" i="26"/>
  <c r="BQ256" i="26"/>
  <c r="BQ257" i="26"/>
  <c r="BQ258" i="26"/>
  <c r="BQ259" i="26"/>
  <c r="BQ260" i="26"/>
  <c r="BQ261" i="26"/>
  <c r="BQ262" i="26"/>
  <c r="BQ263" i="26"/>
  <c r="BQ264" i="26"/>
  <c r="BQ265" i="26"/>
  <c r="BQ266" i="26"/>
  <c r="BQ267" i="26"/>
  <c r="BQ268" i="26"/>
  <c r="BQ269" i="26"/>
  <c r="BQ270" i="26"/>
  <c r="BQ271" i="26"/>
  <c r="BQ272" i="26"/>
  <c r="BQ273" i="26"/>
  <c r="BQ274" i="26"/>
  <c r="BQ275" i="26"/>
  <c r="BQ276" i="26"/>
  <c r="BQ277" i="26"/>
  <c r="BQ278" i="26"/>
  <c r="BQ279" i="26"/>
  <c r="BQ280" i="26"/>
  <c r="BQ281" i="26"/>
  <c r="BQ282" i="26"/>
  <c r="BQ283" i="26"/>
  <c r="BQ284" i="26"/>
  <c r="BQ285" i="26"/>
  <c r="BQ286" i="26"/>
  <c r="BQ287" i="26"/>
  <c r="BQ288" i="26"/>
  <c r="BQ289" i="26"/>
  <c r="BQ290" i="26"/>
  <c r="BQ291" i="26"/>
  <c r="BQ292" i="26"/>
  <c r="BQ293" i="26"/>
  <c r="BQ294" i="26"/>
  <c r="BQ295" i="26"/>
  <c r="BQ296" i="26"/>
  <c r="BQ297" i="26"/>
  <c r="BQ298" i="26"/>
  <c r="BQ299" i="26"/>
  <c r="BQ300" i="26"/>
  <c r="BQ301" i="26"/>
  <c r="BQ302" i="26"/>
  <c r="BQ303" i="26"/>
  <c r="BQ304" i="26"/>
  <c r="BQ305" i="26"/>
  <c r="BQ306" i="26"/>
  <c r="BQ307" i="26"/>
  <c r="BQ308" i="26"/>
  <c r="BQ309" i="26"/>
  <c r="BQ310" i="26"/>
  <c r="BQ311" i="26"/>
  <c r="BQ312" i="26"/>
  <c r="BQ313" i="26"/>
  <c r="BQ314" i="26"/>
  <c r="BQ315" i="26"/>
  <c r="BQ316" i="26"/>
  <c r="BQ317" i="26"/>
  <c r="BQ318" i="26"/>
  <c r="BQ319" i="26"/>
  <c r="BQ320" i="26"/>
  <c r="BQ321" i="26"/>
  <c r="BQ322" i="26"/>
  <c r="BQ323" i="26"/>
  <c r="BQ324" i="26"/>
  <c r="BQ325" i="26"/>
  <c r="BQ326" i="26"/>
  <c r="BQ327" i="26"/>
  <c r="BQ328" i="26"/>
  <c r="BQ329" i="26"/>
  <c r="BQ330" i="26"/>
  <c r="BQ331" i="26"/>
  <c r="BQ332" i="26"/>
  <c r="BQ333" i="26"/>
  <c r="BQ334" i="26"/>
  <c r="BQ335" i="26"/>
  <c r="BQ336" i="26"/>
  <c r="BQ337" i="26"/>
  <c r="BQ338" i="26"/>
  <c r="BQ339" i="26"/>
  <c r="BQ340" i="26"/>
  <c r="BQ341" i="26"/>
  <c r="BQ342" i="26"/>
  <c r="BQ343" i="26"/>
  <c r="BQ344" i="26"/>
  <c r="BQ345" i="26"/>
  <c r="BQ346" i="26"/>
  <c r="BQ347" i="26"/>
  <c r="BQ348" i="26"/>
  <c r="BQ349" i="26"/>
  <c r="BQ350" i="26"/>
  <c r="BQ351" i="26"/>
  <c r="BQ352" i="26"/>
  <c r="BQ353" i="26"/>
  <c r="BQ354" i="26"/>
  <c r="BQ355" i="26"/>
  <c r="BQ356" i="26"/>
  <c r="BQ357" i="26"/>
  <c r="BQ358" i="26"/>
  <c r="BQ3" i="26"/>
  <c r="BM4" i="26"/>
  <c r="BM5" i="26"/>
  <c r="BM6" i="26"/>
  <c r="BM7" i="26"/>
  <c r="BM8" i="26"/>
  <c r="BM9" i="26"/>
  <c r="BM10" i="26"/>
  <c r="BM11" i="26"/>
  <c r="BM12" i="26"/>
  <c r="BM13" i="26"/>
  <c r="BM14" i="26"/>
  <c r="BM15" i="26"/>
  <c r="BM16" i="26"/>
  <c r="BM17" i="26"/>
  <c r="BM18" i="26"/>
  <c r="BM19" i="26"/>
  <c r="BM20" i="26"/>
  <c r="BM21" i="26"/>
  <c r="BM22" i="26"/>
  <c r="BM23" i="26"/>
  <c r="BM24" i="26"/>
  <c r="BM25" i="26"/>
  <c r="BM26" i="26"/>
  <c r="BM27" i="26"/>
  <c r="BM28" i="26"/>
  <c r="BM29" i="26"/>
  <c r="BM30" i="26"/>
  <c r="BM31" i="26"/>
  <c r="BM32" i="26"/>
  <c r="BM33" i="26"/>
  <c r="BM34" i="26"/>
  <c r="BM35" i="26"/>
  <c r="BM36" i="26"/>
  <c r="BM37" i="26"/>
  <c r="BM38" i="26"/>
  <c r="BM39" i="26"/>
  <c r="BM40" i="26"/>
  <c r="BM41" i="26"/>
  <c r="BM42" i="26"/>
  <c r="BM43" i="26"/>
  <c r="BM44" i="26"/>
  <c r="BM45" i="26"/>
  <c r="BM46" i="26"/>
  <c r="BM47" i="26"/>
  <c r="BM48" i="26"/>
  <c r="BM49" i="26"/>
  <c r="BM50" i="26"/>
  <c r="BM51" i="26"/>
  <c r="BM52" i="26"/>
  <c r="BM53" i="26"/>
  <c r="BM54" i="26"/>
  <c r="BM55" i="26"/>
  <c r="BM56" i="26"/>
  <c r="BM57" i="26"/>
  <c r="BM58" i="26"/>
  <c r="BM59" i="26"/>
  <c r="BM60" i="26"/>
  <c r="BM61" i="26"/>
  <c r="BM62" i="26"/>
  <c r="BM63" i="26"/>
  <c r="BM64" i="26"/>
  <c r="BM65" i="26"/>
  <c r="BM66" i="26"/>
  <c r="BM67" i="26"/>
  <c r="BM68" i="26"/>
  <c r="BM69" i="26"/>
  <c r="BM70" i="26"/>
  <c r="BM71" i="26"/>
  <c r="BM72" i="26"/>
  <c r="BM73" i="26"/>
  <c r="BM74" i="26"/>
  <c r="BM75" i="26"/>
  <c r="BM76" i="26"/>
  <c r="BM77" i="26"/>
  <c r="BM78" i="26"/>
  <c r="BM79" i="26"/>
  <c r="BM80" i="26"/>
  <c r="BM81" i="26"/>
  <c r="BM82" i="26"/>
  <c r="BM83" i="26"/>
  <c r="BM84" i="26"/>
  <c r="BM85" i="26"/>
  <c r="BM86" i="26"/>
  <c r="BM87" i="26"/>
  <c r="BM88" i="26"/>
  <c r="BM89" i="26"/>
  <c r="BM90" i="26"/>
  <c r="BM91" i="26"/>
  <c r="BM92" i="26"/>
  <c r="BM93" i="26"/>
  <c r="BM94" i="26"/>
  <c r="BM95" i="26"/>
  <c r="BM96" i="26"/>
  <c r="BM97" i="26"/>
  <c r="BM98" i="26"/>
  <c r="BM99" i="26"/>
  <c r="BM100" i="26"/>
  <c r="BM101" i="26"/>
  <c r="BM102" i="26"/>
  <c r="BM103" i="26"/>
  <c r="BM104" i="26"/>
  <c r="BM105" i="26"/>
  <c r="BM106" i="26"/>
  <c r="BM107" i="26"/>
  <c r="BM108" i="26"/>
  <c r="BM109" i="26"/>
  <c r="BM110" i="26"/>
  <c r="BM111" i="26"/>
  <c r="BM112" i="26"/>
  <c r="BM113" i="26"/>
  <c r="BM114" i="26"/>
  <c r="BM115" i="26"/>
  <c r="BM116" i="26"/>
  <c r="BM117" i="26"/>
  <c r="BM118" i="26"/>
  <c r="BM119" i="26"/>
  <c r="BM120" i="26"/>
  <c r="BM121" i="26"/>
  <c r="BM122" i="26"/>
  <c r="BM123" i="26"/>
  <c r="BM124" i="26"/>
  <c r="BM125" i="26"/>
  <c r="BM126" i="26"/>
  <c r="BM127" i="26"/>
  <c r="BM128" i="26"/>
  <c r="BM129" i="26"/>
  <c r="BM130" i="26"/>
  <c r="BM131" i="26"/>
  <c r="BM132" i="26"/>
  <c r="BM133" i="26"/>
  <c r="BM134" i="26"/>
  <c r="BM135" i="26"/>
  <c r="BM136" i="26"/>
  <c r="BM137" i="26"/>
  <c r="BM138" i="26"/>
  <c r="BM139" i="26"/>
  <c r="BM140" i="26"/>
  <c r="BM141" i="26"/>
  <c r="BM142" i="26"/>
  <c r="BM143" i="26"/>
  <c r="BM144" i="26"/>
  <c r="BM145" i="26"/>
  <c r="BM146" i="26"/>
  <c r="BM147" i="26"/>
  <c r="BM148" i="26"/>
  <c r="BM149" i="26"/>
  <c r="BM150" i="26"/>
  <c r="BM151" i="26"/>
  <c r="BM152" i="26"/>
  <c r="BM153" i="26"/>
  <c r="BM154" i="26"/>
  <c r="BM155" i="26"/>
  <c r="BM156" i="26"/>
  <c r="BM157" i="26"/>
  <c r="BM158" i="26"/>
  <c r="BM159" i="26"/>
  <c r="BM160" i="26"/>
  <c r="BM161" i="26"/>
  <c r="BM162" i="26"/>
  <c r="BM163" i="26"/>
  <c r="BM164" i="26"/>
  <c r="BM165" i="26"/>
  <c r="BM166" i="26"/>
  <c r="BM167" i="26"/>
  <c r="BM168" i="26"/>
  <c r="BM169" i="26"/>
  <c r="BM170" i="26"/>
  <c r="BM171" i="26"/>
  <c r="BM172" i="26"/>
  <c r="BM173" i="26"/>
  <c r="BM174" i="26"/>
  <c r="BM175" i="26"/>
  <c r="BM176" i="26"/>
  <c r="BM177" i="26"/>
  <c r="BM178" i="26"/>
  <c r="BM179" i="26"/>
  <c r="BM180" i="26"/>
  <c r="BM181" i="26"/>
  <c r="BM182" i="26"/>
  <c r="BM183" i="26"/>
  <c r="BM184" i="26"/>
  <c r="BM185" i="26"/>
  <c r="BM186" i="26"/>
  <c r="BM187" i="26"/>
  <c r="BM188" i="26"/>
  <c r="BM189" i="26"/>
  <c r="BM190" i="26"/>
  <c r="BM191" i="26"/>
  <c r="BM192" i="26"/>
  <c r="BM193" i="26"/>
  <c r="BM194" i="26"/>
  <c r="BM195" i="26"/>
  <c r="BM196" i="26"/>
  <c r="BM197" i="26"/>
  <c r="BM198" i="26"/>
  <c r="BM199" i="26"/>
  <c r="BM200" i="26"/>
  <c r="BM201" i="26"/>
  <c r="BM202" i="26"/>
  <c r="BM203" i="26"/>
  <c r="BM204" i="26"/>
  <c r="BM205" i="26"/>
  <c r="BM206" i="26"/>
  <c r="BM207" i="26"/>
  <c r="BM208" i="26"/>
  <c r="BM209" i="26"/>
  <c r="BM210" i="26"/>
  <c r="BM211" i="26"/>
  <c r="BM212" i="26"/>
  <c r="BM213" i="26"/>
  <c r="BM214" i="26"/>
  <c r="BM215" i="26"/>
  <c r="BM216" i="26"/>
  <c r="BM217" i="26"/>
  <c r="BM218" i="26"/>
  <c r="BM219" i="26"/>
  <c r="BM220" i="26"/>
  <c r="BM221" i="26"/>
  <c r="BM222" i="26"/>
  <c r="BM223" i="26"/>
  <c r="BM224" i="26"/>
  <c r="BM225" i="26"/>
  <c r="BM226" i="26"/>
  <c r="BM227" i="26"/>
  <c r="BM228" i="26"/>
  <c r="BM229" i="26"/>
  <c r="BM230" i="26"/>
  <c r="BM231" i="26"/>
  <c r="BM232" i="26"/>
  <c r="BM233" i="26"/>
  <c r="BM234" i="26"/>
  <c r="BM235" i="26"/>
  <c r="BM236" i="26"/>
  <c r="BM237" i="26"/>
  <c r="BM238" i="26"/>
  <c r="BM239" i="26"/>
  <c r="BM240" i="26"/>
  <c r="BM241" i="26"/>
  <c r="BM242" i="26"/>
  <c r="BM243" i="26"/>
  <c r="BM244" i="26"/>
  <c r="BM245" i="26"/>
  <c r="BM246" i="26"/>
  <c r="BM247" i="26"/>
  <c r="BM248" i="26"/>
  <c r="BM249" i="26"/>
  <c r="BM250" i="26"/>
  <c r="BM251" i="26"/>
  <c r="BM252" i="26"/>
  <c r="BM253" i="26"/>
  <c r="BM254" i="26"/>
  <c r="BM255" i="26"/>
  <c r="BM256" i="26"/>
  <c r="BM257" i="26"/>
  <c r="BM258" i="26"/>
  <c r="BM259" i="26"/>
  <c r="BM260" i="26"/>
  <c r="BM261" i="26"/>
  <c r="BM262" i="26"/>
  <c r="BM263" i="26"/>
  <c r="BM264" i="26"/>
  <c r="BM265" i="26"/>
  <c r="BM266" i="26"/>
  <c r="BM267" i="26"/>
  <c r="BM268" i="26"/>
  <c r="BM269" i="26"/>
  <c r="BM270" i="26"/>
  <c r="BM271" i="26"/>
  <c r="BM272" i="26"/>
  <c r="BM273" i="26"/>
  <c r="BM274" i="26"/>
  <c r="BM275" i="26"/>
  <c r="BM276" i="26"/>
  <c r="BM277" i="26"/>
  <c r="BM278" i="26"/>
  <c r="BM279" i="26"/>
  <c r="BM280" i="26"/>
  <c r="BM281" i="26"/>
  <c r="BM282" i="26"/>
  <c r="BM283" i="26"/>
  <c r="BM284" i="26"/>
  <c r="BM285" i="26"/>
  <c r="BM286" i="26"/>
  <c r="BM287" i="26"/>
  <c r="BM288" i="26"/>
  <c r="BM289" i="26"/>
  <c r="BM290" i="26"/>
  <c r="BM291" i="26"/>
  <c r="BM292" i="26"/>
  <c r="BM293" i="26"/>
  <c r="BM294" i="26"/>
  <c r="BM295" i="26"/>
  <c r="BM296" i="26"/>
  <c r="BM297" i="26"/>
  <c r="BM298" i="26"/>
  <c r="BM299" i="26"/>
  <c r="BM300" i="26"/>
  <c r="BM301" i="26"/>
  <c r="BM302" i="26"/>
  <c r="BM303" i="26"/>
  <c r="BM304" i="26"/>
  <c r="BM305" i="26"/>
  <c r="BM306" i="26"/>
  <c r="BM307" i="26"/>
  <c r="BM308" i="26"/>
  <c r="BM309" i="26"/>
  <c r="BM310" i="26"/>
  <c r="BM311" i="26"/>
  <c r="BM312" i="26"/>
  <c r="BM313" i="26"/>
  <c r="BM314" i="26"/>
  <c r="BM315" i="26"/>
  <c r="BM316" i="26"/>
  <c r="BM317" i="26"/>
  <c r="BM318" i="26"/>
  <c r="BM319" i="26"/>
  <c r="BM320" i="26"/>
  <c r="BM321" i="26"/>
  <c r="BM322" i="26"/>
  <c r="BM323" i="26"/>
  <c r="BM324" i="26"/>
  <c r="BM325" i="26"/>
  <c r="BM326" i="26"/>
  <c r="BM327" i="26"/>
  <c r="BM328" i="26"/>
  <c r="BM329" i="26"/>
  <c r="BM330" i="26"/>
  <c r="BM331" i="26"/>
  <c r="BM332" i="26"/>
  <c r="BM333" i="26"/>
  <c r="BM334" i="26"/>
  <c r="BM335" i="26"/>
  <c r="BM336" i="26"/>
  <c r="BM337" i="26"/>
  <c r="BM338" i="26"/>
  <c r="BM339" i="26"/>
  <c r="BM340" i="26"/>
  <c r="BM341" i="26"/>
  <c r="BM342" i="26"/>
  <c r="BM343" i="26"/>
  <c r="BM344" i="26"/>
  <c r="BM345" i="26"/>
  <c r="BM346" i="26"/>
  <c r="BM347" i="26"/>
  <c r="BM348" i="26"/>
  <c r="BM349" i="26"/>
  <c r="BM350" i="26"/>
  <c r="BM351" i="26"/>
  <c r="BM352" i="26"/>
  <c r="BM353" i="26"/>
  <c r="BM354" i="26"/>
  <c r="BM355" i="26"/>
  <c r="BM356" i="26"/>
  <c r="BM357" i="26"/>
  <c r="BM358" i="26"/>
  <c r="BM3" i="26"/>
  <c r="BL4" i="26"/>
  <c r="BL5" i="26"/>
  <c r="BL6" i="26"/>
  <c r="BL7" i="26"/>
  <c r="BL8" i="26"/>
  <c r="BL9" i="26"/>
  <c r="BL10" i="26"/>
  <c r="BL11" i="26"/>
  <c r="BL12" i="26"/>
  <c r="BL13" i="26"/>
  <c r="BL14" i="26"/>
  <c r="BL15" i="26"/>
  <c r="BL16" i="26"/>
  <c r="BL17" i="26"/>
  <c r="BL18" i="26"/>
  <c r="BL19" i="26"/>
  <c r="BL20" i="26"/>
  <c r="BL21" i="26"/>
  <c r="BL22" i="26"/>
  <c r="BL23" i="26"/>
  <c r="BL24" i="26"/>
  <c r="BL25" i="26"/>
  <c r="BL26" i="26"/>
  <c r="BL27" i="26"/>
  <c r="BL28" i="26"/>
  <c r="BL29" i="26"/>
  <c r="BL30" i="26"/>
  <c r="BL31" i="26"/>
  <c r="BL32" i="26"/>
  <c r="BL33" i="26"/>
  <c r="BL34" i="26"/>
  <c r="BL35" i="26"/>
  <c r="BL36" i="26"/>
  <c r="BL37" i="26"/>
  <c r="BL38" i="26"/>
  <c r="BL39" i="26"/>
  <c r="BL40" i="26"/>
  <c r="BL41" i="26"/>
  <c r="BL42" i="26"/>
  <c r="BL43" i="26"/>
  <c r="BL44" i="26"/>
  <c r="BL45" i="26"/>
  <c r="BL46" i="26"/>
  <c r="BL47" i="26"/>
  <c r="BL48" i="26"/>
  <c r="BL49" i="26"/>
  <c r="BL50" i="26"/>
  <c r="BL51" i="26"/>
  <c r="BL52" i="26"/>
  <c r="BL53" i="26"/>
  <c r="BL54" i="26"/>
  <c r="BL55" i="26"/>
  <c r="BL56" i="26"/>
  <c r="BL57" i="26"/>
  <c r="BL58" i="26"/>
  <c r="BL59" i="26"/>
  <c r="BL60" i="26"/>
  <c r="BL61" i="26"/>
  <c r="BL62" i="26"/>
  <c r="BL63" i="26"/>
  <c r="BL64" i="26"/>
  <c r="BL65" i="26"/>
  <c r="BL66" i="26"/>
  <c r="BL67" i="26"/>
  <c r="BL68" i="26"/>
  <c r="BL69" i="26"/>
  <c r="BL70" i="26"/>
  <c r="BL71" i="26"/>
  <c r="BL72" i="26"/>
  <c r="BL73" i="26"/>
  <c r="BL74" i="26"/>
  <c r="BL75" i="26"/>
  <c r="BL76" i="26"/>
  <c r="BL77" i="26"/>
  <c r="BL78" i="26"/>
  <c r="BL79" i="26"/>
  <c r="BL80" i="26"/>
  <c r="BL81" i="26"/>
  <c r="BL82" i="26"/>
  <c r="BL83" i="26"/>
  <c r="BL84" i="26"/>
  <c r="BL85" i="26"/>
  <c r="BL86" i="26"/>
  <c r="BL87" i="26"/>
  <c r="BL88" i="26"/>
  <c r="BL89" i="26"/>
  <c r="BL90" i="26"/>
  <c r="BL91" i="26"/>
  <c r="BL92" i="26"/>
  <c r="BL93" i="26"/>
  <c r="BL94" i="26"/>
  <c r="BL95" i="26"/>
  <c r="BL96" i="26"/>
  <c r="BL97" i="26"/>
  <c r="BL98" i="26"/>
  <c r="BL99" i="26"/>
  <c r="BL100" i="26"/>
  <c r="BL101" i="26"/>
  <c r="BL102" i="26"/>
  <c r="BL103" i="26"/>
  <c r="BL104" i="26"/>
  <c r="BL105" i="26"/>
  <c r="BL106" i="26"/>
  <c r="BL107" i="26"/>
  <c r="BL108" i="26"/>
  <c r="BL109" i="26"/>
  <c r="BL110" i="26"/>
  <c r="BL111" i="26"/>
  <c r="BL112" i="26"/>
  <c r="BL113" i="26"/>
  <c r="BL114" i="26"/>
  <c r="BL115" i="26"/>
  <c r="BL116" i="26"/>
  <c r="BL117" i="26"/>
  <c r="BL118" i="26"/>
  <c r="BL119" i="26"/>
  <c r="BL120" i="26"/>
  <c r="BL121" i="26"/>
  <c r="BL122" i="26"/>
  <c r="BL123" i="26"/>
  <c r="BL124" i="26"/>
  <c r="BL125" i="26"/>
  <c r="BL126" i="26"/>
  <c r="BL127" i="26"/>
  <c r="BL128" i="26"/>
  <c r="BL129" i="26"/>
  <c r="BL130" i="26"/>
  <c r="BL131" i="26"/>
  <c r="BL132" i="26"/>
  <c r="BL133" i="26"/>
  <c r="BL134" i="26"/>
  <c r="BL135" i="26"/>
  <c r="BL136" i="26"/>
  <c r="BL137" i="26"/>
  <c r="BL138" i="26"/>
  <c r="BL139" i="26"/>
  <c r="BL140" i="26"/>
  <c r="BL141" i="26"/>
  <c r="BL142" i="26"/>
  <c r="BL143" i="26"/>
  <c r="BL144" i="26"/>
  <c r="BL145" i="26"/>
  <c r="BL146" i="26"/>
  <c r="BL147" i="26"/>
  <c r="BL148" i="26"/>
  <c r="BL149" i="26"/>
  <c r="BL150" i="26"/>
  <c r="BL151" i="26"/>
  <c r="BL152" i="26"/>
  <c r="BL153" i="26"/>
  <c r="BL154" i="26"/>
  <c r="BL155" i="26"/>
  <c r="BL156" i="26"/>
  <c r="BL157" i="26"/>
  <c r="BL158" i="26"/>
  <c r="BL159" i="26"/>
  <c r="BL160" i="26"/>
  <c r="BL161" i="26"/>
  <c r="BL162" i="26"/>
  <c r="BL163" i="26"/>
  <c r="BL164" i="26"/>
  <c r="BL165" i="26"/>
  <c r="BL166" i="26"/>
  <c r="BL167" i="26"/>
  <c r="BL168" i="26"/>
  <c r="BL169" i="26"/>
  <c r="BL170" i="26"/>
  <c r="BL171" i="26"/>
  <c r="BL172" i="26"/>
  <c r="BL173" i="26"/>
  <c r="BL174" i="26"/>
  <c r="BL175" i="26"/>
  <c r="BL176" i="26"/>
  <c r="BL177" i="26"/>
  <c r="BL178" i="26"/>
  <c r="BL179" i="26"/>
  <c r="BL180" i="26"/>
  <c r="BL181" i="26"/>
  <c r="BL182" i="26"/>
  <c r="BL183" i="26"/>
  <c r="BL184" i="26"/>
  <c r="BL185" i="26"/>
  <c r="BL186" i="26"/>
  <c r="BL187" i="26"/>
  <c r="BL188" i="26"/>
  <c r="BL189" i="26"/>
  <c r="BL190" i="26"/>
  <c r="BL191" i="26"/>
  <c r="BL192" i="26"/>
  <c r="BL193" i="26"/>
  <c r="BL194" i="26"/>
  <c r="BL195" i="26"/>
  <c r="BL196" i="26"/>
  <c r="BL197" i="26"/>
  <c r="BL198" i="26"/>
  <c r="BL199" i="26"/>
  <c r="BL200" i="26"/>
  <c r="BL201" i="26"/>
  <c r="BL202" i="26"/>
  <c r="BL203" i="26"/>
  <c r="BL204" i="26"/>
  <c r="BL205" i="26"/>
  <c r="BL206" i="26"/>
  <c r="BL207" i="26"/>
  <c r="BL208" i="26"/>
  <c r="BL209" i="26"/>
  <c r="BL210" i="26"/>
  <c r="BL211" i="26"/>
  <c r="BL212" i="26"/>
  <c r="BL213" i="26"/>
  <c r="BL214" i="26"/>
  <c r="BL215" i="26"/>
  <c r="BL216" i="26"/>
  <c r="BL217" i="26"/>
  <c r="BL218" i="26"/>
  <c r="BL219" i="26"/>
  <c r="BL220" i="26"/>
  <c r="BL221" i="26"/>
  <c r="BL222" i="26"/>
  <c r="BL223" i="26"/>
  <c r="BL224" i="26"/>
  <c r="BL225" i="26"/>
  <c r="BL226" i="26"/>
  <c r="BL227" i="26"/>
  <c r="BL228" i="26"/>
  <c r="BL229" i="26"/>
  <c r="BL230" i="26"/>
  <c r="BL231" i="26"/>
  <c r="BL232" i="26"/>
  <c r="BL233" i="26"/>
  <c r="BL234" i="26"/>
  <c r="BL235" i="26"/>
  <c r="BL236" i="26"/>
  <c r="BL237" i="26"/>
  <c r="BL238" i="26"/>
  <c r="BL239" i="26"/>
  <c r="BL240" i="26"/>
  <c r="BL241" i="26"/>
  <c r="BL242" i="26"/>
  <c r="BL243" i="26"/>
  <c r="BL244" i="26"/>
  <c r="BL245" i="26"/>
  <c r="BL246" i="26"/>
  <c r="BL247" i="26"/>
  <c r="BL248" i="26"/>
  <c r="BL249" i="26"/>
  <c r="BL250" i="26"/>
  <c r="BL251" i="26"/>
  <c r="BL252" i="26"/>
  <c r="BL253" i="26"/>
  <c r="BL254" i="26"/>
  <c r="BL255" i="26"/>
  <c r="BL256" i="26"/>
  <c r="BL257" i="26"/>
  <c r="BL258" i="26"/>
  <c r="BL259" i="26"/>
  <c r="BL260" i="26"/>
  <c r="BL261" i="26"/>
  <c r="BL262" i="26"/>
  <c r="BL263" i="26"/>
  <c r="BL264" i="26"/>
  <c r="BL265" i="26"/>
  <c r="BL266" i="26"/>
  <c r="BL267" i="26"/>
  <c r="BL268" i="26"/>
  <c r="BL269" i="26"/>
  <c r="BL270" i="26"/>
  <c r="BL271" i="26"/>
  <c r="BL272" i="26"/>
  <c r="BL273" i="26"/>
  <c r="BL274" i="26"/>
  <c r="BL275" i="26"/>
  <c r="BL276" i="26"/>
  <c r="BL277" i="26"/>
  <c r="BL278" i="26"/>
  <c r="BL279" i="26"/>
  <c r="BL280" i="26"/>
  <c r="BL281" i="26"/>
  <c r="BL282" i="26"/>
  <c r="BL283" i="26"/>
  <c r="BL284" i="26"/>
  <c r="BL285" i="26"/>
  <c r="BL286" i="26"/>
  <c r="BL287" i="26"/>
  <c r="BL288" i="26"/>
  <c r="BL289" i="26"/>
  <c r="BL290" i="26"/>
  <c r="BL291" i="26"/>
  <c r="BL292" i="26"/>
  <c r="BL293" i="26"/>
  <c r="BL294" i="26"/>
  <c r="BL295" i="26"/>
  <c r="BL296" i="26"/>
  <c r="BL297" i="26"/>
  <c r="BL298" i="26"/>
  <c r="BL299" i="26"/>
  <c r="BL300" i="26"/>
  <c r="BL301" i="26"/>
  <c r="BL302" i="26"/>
  <c r="BL303" i="26"/>
  <c r="BL304" i="26"/>
  <c r="BL305" i="26"/>
  <c r="BL306" i="26"/>
  <c r="BL307" i="26"/>
  <c r="BL308" i="26"/>
  <c r="BL309" i="26"/>
  <c r="BL310" i="26"/>
  <c r="BL311" i="26"/>
  <c r="BL312" i="26"/>
  <c r="BL313" i="26"/>
  <c r="BL314" i="26"/>
  <c r="BL315" i="26"/>
  <c r="BL316" i="26"/>
  <c r="BL317" i="26"/>
  <c r="BL318" i="26"/>
  <c r="BL319" i="26"/>
  <c r="BL320" i="26"/>
  <c r="BL321" i="26"/>
  <c r="BL322" i="26"/>
  <c r="BL323" i="26"/>
  <c r="BL324" i="26"/>
  <c r="BL325" i="26"/>
  <c r="BL326" i="26"/>
  <c r="BL327" i="26"/>
  <c r="BL328" i="26"/>
  <c r="BL329" i="26"/>
  <c r="BL330" i="26"/>
  <c r="BL331" i="26"/>
  <c r="BL332" i="26"/>
  <c r="BL333" i="26"/>
  <c r="BL334" i="26"/>
  <c r="BL335" i="26"/>
  <c r="BL336" i="26"/>
  <c r="BL337" i="26"/>
  <c r="BL338" i="26"/>
  <c r="BL339" i="26"/>
  <c r="BL340" i="26"/>
  <c r="BL341" i="26"/>
  <c r="BL342" i="26"/>
  <c r="BL343" i="26"/>
  <c r="BL344" i="26"/>
  <c r="BL345" i="26"/>
  <c r="BL346" i="26"/>
  <c r="BL347" i="26"/>
  <c r="BL348" i="26"/>
  <c r="BL349" i="26"/>
  <c r="BL350" i="26"/>
  <c r="BL351" i="26"/>
  <c r="BL352" i="26"/>
  <c r="BL353" i="26"/>
  <c r="BL354" i="26"/>
  <c r="BL355" i="26"/>
  <c r="BL356" i="26"/>
  <c r="BL357" i="26"/>
  <c r="BL358" i="26"/>
  <c r="BL3" i="26"/>
  <c r="BK4" i="26"/>
  <c r="BK5" i="26"/>
  <c r="BK6" i="26"/>
  <c r="BK7" i="26"/>
  <c r="BK8" i="26"/>
  <c r="BK9" i="26"/>
  <c r="BK10" i="26"/>
  <c r="BK11" i="26"/>
  <c r="BK12" i="26"/>
  <c r="BK13" i="26"/>
  <c r="BK14" i="26"/>
  <c r="BK15" i="26"/>
  <c r="BK16" i="26"/>
  <c r="BK17" i="26"/>
  <c r="BK18" i="26"/>
  <c r="BK19" i="26"/>
  <c r="BK20" i="26"/>
  <c r="BK21" i="26"/>
  <c r="BK22" i="26"/>
  <c r="BK23" i="26"/>
  <c r="BK24" i="26"/>
  <c r="BK25" i="26"/>
  <c r="BK26" i="26"/>
  <c r="BK27" i="26"/>
  <c r="BK28" i="26"/>
  <c r="BK29" i="26"/>
  <c r="BK30" i="26"/>
  <c r="BK31" i="26"/>
  <c r="BK32" i="26"/>
  <c r="BK33" i="26"/>
  <c r="BK34" i="26"/>
  <c r="BK35" i="26"/>
  <c r="BK36" i="26"/>
  <c r="BK37" i="26"/>
  <c r="BK38" i="26"/>
  <c r="BK39" i="26"/>
  <c r="BK40" i="26"/>
  <c r="BK41" i="26"/>
  <c r="BK42" i="26"/>
  <c r="BK43" i="26"/>
  <c r="BK44" i="26"/>
  <c r="BK45" i="26"/>
  <c r="BK46" i="26"/>
  <c r="BK47" i="26"/>
  <c r="BK48" i="26"/>
  <c r="BK49" i="26"/>
  <c r="BK50" i="26"/>
  <c r="BK51" i="26"/>
  <c r="BK52" i="26"/>
  <c r="BK53" i="26"/>
  <c r="BK54" i="26"/>
  <c r="BK55" i="26"/>
  <c r="BK56" i="26"/>
  <c r="BK57" i="26"/>
  <c r="BK58" i="26"/>
  <c r="BK59" i="26"/>
  <c r="BK60" i="26"/>
  <c r="BK61" i="26"/>
  <c r="BK62" i="26"/>
  <c r="BK63" i="26"/>
  <c r="BK64" i="26"/>
  <c r="BK65" i="26"/>
  <c r="BK66" i="26"/>
  <c r="BK67" i="26"/>
  <c r="BK68" i="26"/>
  <c r="BK69" i="26"/>
  <c r="BK70" i="26"/>
  <c r="BK71" i="26"/>
  <c r="BK72" i="26"/>
  <c r="BK73" i="26"/>
  <c r="BK74" i="26"/>
  <c r="BK75" i="26"/>
  <c r="BK76" i="26"/>
  <c r="BK77" i="26"/>
  <c r="BK78" i="26"/>
  <c r="BK79" i="26"/>
  <c r="BK80" i="26"/>
  <c r="BK81" i="26"/>
  <c r="BK82" i="26"/>
  <c r="BK83" i="26"/>
  <c r="BK84" i="26"/>
  <c r="BK85" i="26"/>
  <c r="BK86" i="26"/>
  <c r="BK87" i="26"/>
  <c r="BK88" i="26"/>
  <c r="BK89" i="26"/>
  <c r="BK90" i="26"/>
  <c r="BK91" i="26"/>
  <c r="BK92" i="26"/>
  <c r="BK93" i="26"/>
  <c r="BK94" i="26"/>
  <c r="BK95" i="26"/>
  <c r="BK96" i="26"/>
  <c r="BK97" i="26"/>
  <c r="BK98" i="26"/>
  <c r="BK99" i="26"/>
  <c r="BK100" i="26"/>
  <c r="BK101" i="26"/>
  <c r="BK102" i="26"/>
  <c r="BK103" i="26"/>
  <c r="BK104" i="26"/>
  <c r="BK105" i="26"/>
  <c r="BK106" i="26"/>
  <c r="BK107" i="26"/>
  <c r="BK108" i="26"/>
  <c r="BK109" i="26"/>
  <c r="BK110" i="26"/>
  <c r="BK111" i="26"/>
  <c r="BK112" i="26"/>
  <c r="BK113" i="26"/>
  <c r="BK114" i="26"/>
  <c r="BK115" i="26"/>
  <c r="BK116" i="26"/>
  <c r="BK117" i="26"/>
  <c r="BK118" i="26"/>
  <c r="BK119" i="26"/>
  <c r="BK120" i="26"/>
  <c r="BK121" i="26"/>
  <c r="BK122" i="26"/>
  <c r="BK123" i="26"/>
  <c r="BK124" i="26"/>
  <c r="BK125" i="26"/>
  <c r="BK126" i="26"/>
  <c r="BK127" i="26"/>
  <c r="BK128" i="26"/>
  <c r="BK129" i="26"/>
  <c r="BK130" i="26"/>
  <c r="BK131" i="26"/>
  <c r="BK132" i="26"/>
  <c r="BK133" i="26"/>
  <c r="BK134" i="26"/>
  <c r="BK135" i="26"/>
  <c r="BK136" i="26"/>
  <c r="BK137" i="26"/>
  <c r="BK138" i="26"/>
  <c r="BK139" i="26"/>
  <c r="BK140" i="26"/>
  <c r="BK141" i="26"/>
  <c r="BK142" i="26"/>
  <c r="BK143" i="26"/>
  <c r="BK144" i="26"/>
  <c r="BK145" i="26"/>
  <c r="BK146" i="26"/>
  <c r="BK147" i="26"/>
  <c r="BK148" i="26"/>
  <c r="BK149" i="26"/>
  <c r="BK150" i="26"/>
  <c r="BK151" i="26"/>
  <c r="BK152" i="26"/>
  <c r="BK153" i="26"/>
  <c r="BK154" i="26"/>
  <c r="BK155" i="26"/>
  <c r="BK156" i="26"/>
  <c r="BK157" i="26"/>
  <c r="BK158" i="26"/>
  <c r="BK159" i="26"/>
  <c r="BK160" i="26"/>
  <c r="BK161" i="26"/>
  <c r="BK162" i="26"/>
  <c r="BK163" i="26"/>
  <c r="BK164" i="26"/>
  <c r="BK165" i="26"/>
  <c r="BK166" i="26"/>
  <c r="BK167" i="26"/>
  <c r="BK168" i="26"/>
  <c r="BK169" i="26"/>
  <c r="BK170" i="26"/>
  <c r="BK171" i="26"/>
  <c r="BK172" i="26"/>
  <c r="BK173" i="26"/>
  <c r="BK174" i="26"/>
  <c r="BK175" i="26"/>
  <c r="BK176" i="26"/>
  <c r="BK177" i="26"/>
  <c r="BK178" i="26"/>
  <c r="BK179" i="26"/>
  <c r="BK180" i="26"/>
  <c r="BK181" i="26"/>
  <c r="BK182" i="26"/>
  <c r="BK183" i="26"/>
  <c r="BK184" i="26"/>
  <c r="BK185" i="26"/>
  <c r="BK186" i="26"/>
  <c r="BK187" i="26"/>
  <c r="BK188" i="26"/>
  <c r="BK189" i="26"/>
  <c r="BK190" i="26"/>
  <c r="BK191" i="26"/>
  <c r="BK192" i="26"/>
  <c r="BK193" i="26"/>
  <c r="BK194" i="26"/>
  <c r="BK195" i="26"/>
  <c r="BK196" i="26"/>
  <c r="BK197" i="26"/>
  <c r="BK198" i="26"/>
  <c r="BK199" i="26"/>
  <c r="BK200" i="26"/>
  <c r="BK201" i="26"/>
  <c r="BK202" i="26"/>
  <c r="BK203" i="26"/>
  <c r="BK204" i="26"/>
  <c r="BK205" i="26"/>
  <c r="BK206" i="26"/>
  <c r="BK207" i="26"/>
  <c r="BK208" i="26"/>
  <c r="BK209" i="26"/>
  <c r="BK210" i="26"/>
  <c r="BK211" i="26"/>
  <c r="BK212" i="26"/>
  <c r="BK213" i="26"/>
  <c r="BK214" i="26"/>
  <c r="BK215" i="26"/>
  <c r="BK216" i="26"/>
  <c r="BK217" i="26"/>
  <c r="BK218" i="26"/>
  <c r="BK219" i="26"/>
  <c r="BK220" i="26"/>
  <c r="BK221" i="26"/>
  <c r="BK222" i="26"/>
  <c r="BK223" i="26"/>
  <c r="BK224" i="26"/>
  <c r="BK225" i="26"/>
  <c r="BK226" i="26"/>
  <c r="BK227" i="26"/>
  <c r="BK228" i="26"/>
  <c r="BK229" i="26"/>
  <c r="BK230" i="26"/>
  <c r="BK231" i="26"/>
  <c r="BK232" i="26"/>
  <c r="BK233" i="26"/>
  <c r="BK234" i="26"/>
  <c r="BK235" i="26"/>
  <c r="BK236" i="26"/>
  <c r="BK237" i="26"/>
  <c r="BK238" i="26"/>
  <c r="BK239" i="26"/>
  <c r="BK240" i="26"/>
  <c r="BK241" i="26"/>
  <c r="BK242" i="26"/>
  <c r="BK243" i="26"/>
  <c r="BK244" i="26"/>
  <c r="BK245" i="26"/>
  <c r="BK246" i="26"/>
  <c r="BK247" i="26"/>
  <c r="BK248" i="26"/>
  <c r="BK249" i="26"/>
  <c r="BK250" i="26"/>
  <c r="BK251" i="26"/>
  <c r="BK252" i="26"/>
  <c r="BK253" i="26"/>
  <c r="BK254" i="26"/>
  <c r="BK255" i="26"/>
  <c r="BK256" i="26"/>
  <c r="BK257" i="26"/>
  <c r="BK258" i="26"/>
  <c r="BK259" i="26"/>
  <c r="BK260" i="26"/>
  <c r="BK261" i="26"/>
  <c r="BK262" i="26"/>
  <c r="BK263" i="26"/>
  <c r="BK264" i="26"/>
  <c r="BK265" i="26"/>
  <c r="BK266" i="26"/>
  <c r="BK267" i="26"/>
  <c r="BK268" i="26"/>
  <c r="BK269" i="26"/>
  <c r="BK270" i="26"/>
  <c r="BK271" i="26"/>
  <c r="BK272" i="26"/>
  <c r="BK273" i="26"/>
  <c r="BK274" i="26"/>
  <c r="BK275" i="26"/>
  <c r="BK276" i="26"/>
  <c r="BK277" i="26"/>
  <c r="BK278" i="26"/>
  <c r="BK279" i="26"/>
  <c r="BK280" i="26"/>
  <c r="BK281" i="26"/>
  <c r="BK282" i="26"/>
  <c r="BK283" i="26"/>
  <c r="BK284" i="26"/>
  <c r="BK285" i="26"/>
  <c r="BK286" i="26"/>
  <c r="BK287" i="26"/>
  <c r="BK288" i="26"/>
  <c r="BK289" i="26"/>
  <c r="BK290" i="26"/>
  <c r="BK291" i="26"/>
  <c r="BK292" i="26"/>
  <c r="BK293" i="26"/>
  <c r="BK294" i="26"/>
  <c r="BK295" i="26"/>
  <c r="BK296" i="26"/>
  <c r="BK297" i="26"/>
  <c r="BK298" i="26"/>
  <c r="BK299" i="26"/>
  <c r="BK300" i="26"/>
  <c r="BK301" i="26"/>
  <c r="BK302" i="26"/>
  <c r="BK303" i="26"/>
  <c r="BK304" i="26"/>
  <c r="BK305" i="26"/>
  <c r="BK306" i="26"/>
  <c r="BK307" i="26"/>
  <c r="BK308" i="26"/>
  <c r="BK309" i="26"/>
  <c r="BK310" i="26"/>
  <c r="BK311" i="26"/>
  <c r="BK312" i="26"/>
  <c r="BK313" i="26"/>
  <c r="BK314" i="26"/>
  <c r="BK315" i="26"/>
  <c r="BK316" i="26"/>
  <c r="BK317" i="26"/>
  <c r="BK318" i="26"/>
  <c r="BK319" i="26"/>
  <c r="BK320" i="26"/>
  <c r="BK321" i="26"/>
  <c r="BK322" i="26"/>
  <c r="BK323" i="26"/>
  <c r="BK324" i="26"/>
  <c r="BK325" i="26"/>
  <c r="BK326" i="26"/>
  <c r="BK327" i="26"/>
  <c r="BK328" i="26"/>
  <c r="BK329" i="26"/>
  <c r="BK330" i="26"/>
  <c r="BK331" i="26"/>
  <c r="BK332" i="26"/>
  <c r="BK333" i="26"/>
  <c r="BK334" i="26"/>
  <c r="BK335" i="26"/>
  <c r="BK336" i="26"/>
  <c r="BK337" i="26"/>
  <c r="BK338" i="26"/>
  <c r="BK339" i="26"/>
  <c r="BK340" i="26"/>
  <c r="BK341" i="26"/>
  <c r="BK342" i="26"/>
  <c r="BK343" i="26"/>
  <c r="BK344" i="26"/>
  <c r="BK345" i="26"/>
  <c r="BK346" i="26"/>
  <c r="BK347" i="26"/>
  <c r="BK348" i="26"/>
  <c r="BK349" i="26"/>
  <c r="BK350" i="26"/>
  <c r="BK351" i="26"/>
  <c r="BK352" i="26"/>
  <c r="BK353" i="26"/>
  <c r="BK354" i="26"/>
  <c r="BK355" i="26"/>
  <c r="BK356" i="26"/>
  <c r="BK357" i="26"/>
  <c r="BK358" i="26"/>
  <c r="BK3" i="26"/>
  <c r="BJ4" i="26"/>
  <c r="BJ5" i="26"/>
  <c r="BJ6" i="26"/>
  <c r="BJ7" i="26"/>
  <c r="BJ8" i="26"/>
  <c r="BJ9" i="26"/>
  <c r="BJ10" i="26"/>
  <c r="BJ11" i="26"/>
  <c r="BJ12" i="26"/>
  <c r="BJ13" i="26"/>
  <c r="BJ14" i="26"/>
  <c r="BJ15" i="26"/>
  <c r="BJ16" i="26"/>
  <c r="BJ17" i="26"/>
  <c r="BJ18" i="26"/>
  <c r="BJ19" i="26"/>
  <c r="BJ20" i="26"/>
  <c r="BJ21" i="26"/>
  <c r="BJ22" i="26"/>
  <c r="BJ23" i="26"/>
  <c r="BJ24" i="26"/>
  <c r="BJ25" i="26"/>
  <c r="BJ26" i="26"/>
  <c r="BJ27" i="26"/>
  <c r="BJ28" i="26"/>
  <c r="BJ29" i="26"/>
  <c r="BJ30" i="26"/>
  <c r="BJ31" i="26"/>
  <c r="BJ32" i="26"/>
  <c r="BJ33" i="26"/>
  <c r="BJ34" i="26"/>
  <c r="BJ35" i="26"/>
  <c r="BJ36" i="26"/>
  <c r="BJ37" i="26"/>
  <c r="BJ38" i="26"/>
  <c r="BJ39" i="26"/>
  <c r="BJ40" i="26"/>
  <c r="BJ41" i="26"/>
  <c r="BJ42" i="26"/>
  <c r="BJ43" i="26"/>
  <c r="BJ44" i="26"/>
  <c r="BJ45" i="26"/>
  <c r="BJ46" i="26"/>
  <c r="BJ47" i="26"/>
  <c r="BJ48" i="26"/>
  <c r="BJ49" i="26"/>
  <c r="BJ50" i="26"/>
  <c r="BJ51" i="26"/>
  <c r="BJ52" i="26"/>
  <c r="BJ53" i="26"/>
  <c r="BJ54" i="26"/>
  <c r="BJ55" i="26"/>
  <c r="BJ56" i="26"/>
  <c r="BJ57" i="26"/>
  <c r="BJ58" i="26"/>
  <c r="BJ59" i="26"/>
  <c r="BJ60" i="26"/>
  <c r="BJ61" i="26"/>
  <c r="BJ62" i="26"/>
  <c r="BJ63" i="26"/>
  <c r="BJ64" i="26"/>
  <c r="BJ65" i="26"/>
  <c r="BJ66" i="26"/>
  <c r="BJ67" i="26"/>
  <c r="BJ68" i="26"/>
  <c r="BJ69" i="26"/>
  <c r="BJ70" i="26"/>
  <c r="BJ71" i="26"/>
  <c r="BJ72" i="26"/>
  <c r="BJ73" i="26"/>
  <c r="BJ74" i="26"/>
  <c r="BJ75" i="26"/>
  <c r="BJ76" i="26"/>
  <c r="BJ77" i="26"/>
  <c r="BJ78" i="26"/>
  <c r="BJ79" i="26"/>
  <c r="BJ80" i="26"/>
  <c r="BJ81" i="26"/>
  <c r="BJ82" i="26"/>
  <c r="BJ83" i="26"/>
  <c r="BJ84" i="26"/>
  <c r="BJ85" i="26"/>
  <c r="BJ86" i="26"/>
  <c r="BJ87" i="26"/>
  <c r="BJ88" i="26"/>
  <c r="BJ89" i="26"/>
  <c r="BJ90" i="26"/>
  <c r="BJ91" i="26"/>
  <c r="BJ92" i="26"/>
  <c r="BJ93" i="26"/>
  <c r="BJ94" i="26"/>
  <c r="BJ95" i="26"/>
  <c r="BJ96" i="26"/>
  <c r="BJ97" i="26"/>
  <c r="BJ98" i="26"/>
  <c r="BJ99" i="26"/>
  <c r="BJ100" i="26"/>
  <c r="BJ101" i="26"/>
  <c r="BJ102" i="26"/>
  <c r="BJ103" i="26"/>
  <c r="BJ104" i="26"/>
  <c r="BJ105" i="26"/>
  <c r="BJ106" i="26"/>
  <c r="BJ107" i="26"/>
  <c r="BJ108" i="26"/>
  <c r="BJ109" i="26"/>
  <c r="BJ110" i="26"/>
  <c r="BJ111" i="26"/>
  <c r="BJ112" i="26"/>
  <c r="BJ113" i="26"/>
  <c r="BJ114" i="26"/>
  <c r="BJ115" i="26"/>
  <c r="BJ116" i="26"/>
  <c r="BJ117" i="26"/>
  <c r="BJ118" i="26"/>
  <c r="BJ119" i="26"/>
  <c r="BJ120" i="26"/>
  <c r="BJ121" i="26"/>
  <c r="BJ122" i="26"/>
  <c r="BJ123" i="26"/>
  <c r="BJ124" i="26"/>
  <c r="BJ125" i="26"/>
  <c r="BJ126" i="26"/>
  <c r="BJ127" i="26"/>
  <c r="BJ128" i="26"/>
  <c r="BJ129" i="26"/>
  <c r="BJ130" i="26"/>
  <c r="BJ131" i="26"/>
  <c r="BJ132" i="26"/>
  <c r="BJ133" i="26"/>
  <c r="BJ134" i="26"/>
  <c r="BJ135" i="26"/>
  <c r="BJ136" i="26"/>
  <c r="BJ137" i="26"/>
  <c r="BJ138" i="26"/>
  <c r="BJ139" i="26"/>
  <c r="BJ140" i="26"/>
  <c r="BJ141" i="26"/>
  <c r="BJ142" i="26"/>
  <c r="BJ143" i="26"/>
  <c r="BJ144" i="26"/>
  <c r="BJ145" i="26"/>
  <c r="BJ146" i="26"/>
  <c r="BJ147" i="26"/>
  <c r="BJ148" i="26"/>
  <c r="BJ149" i="26"/>
  <c r="BJ150" i="26"/>
  <c r="BJ151" i="26"/>
  <c r="BJ152" i="26"/>
  <c r="BJ153" i="26"/>
  <c r="BJ154" i="26"/>
  <c r="BJ155" i="26"/>
  <c r="BJ156" i="26"/>
  <c r="BJ157" i="26"/>
  <c r="BJ158" i="26"/>
  <c r="BJ159" i="26"/>
  <c r="BJ160" i="26"/>
  <c r="BJ161" i="26"/>
  <c r="BJ162" i="26"/>
  <c r="BJ163" i="26"/>
  <c r="BJ164" i="26"/>
  <c r="BJ165" i="26"/>
  <c r="BJ166" i="26"/>
  <c r="BJ167" i="26"/>
  <c r="BJ168" i="26"/>
  <c r="BJ169" i="26"/>
  <c r="BJ170" i="26"/>
  <c r="BJ171" i="26"/>
  <c r="BJ172" i="26"/>
  <c r="BJ173" i="26"/>
  <c r="BJ174" i="26"/>
  <c r="BJ175" i="26"/>
  <c r="BJ176" i="26"/>
  <c r="BJ177" i="26"/>
  <c r="BJ178" i="26"/>
  <c r="BJ179" i="26"/>
  <c r="BJ180" i="26"/>
  <c r="BJ181" i="26"/>
  <c r="BJ182" i="26"/>
  <c r="BJ183" i="26"/>
  <c r="BJ184" i="26"/>
  <c r="BJ185" i="26"/>
  <c r="BJ186" i="26"/>
  <c r="BJ187" i="26"/>
  <c r="BJ188" i="26"/>
  <c r="BJ189" i="26"/>
  <c r="BJ190" i="26"/>
  <c r="BJ191" i="26"/>
  <c r="BJ192" i="26"/>
  <c r="BJ193" i="26"/>
  <c r="BJ194" i="26"/>
  <c r="BJ195" i="26"/>
  <c r="BJ196" i="26"/>
  <c r="BJ197" i="26"/>
  <c r="BJ198" i="26"/>
  <c r="BJ199" i="26"/>
  <c r="BJ200" i="26"/>
  <c r="BJ201" i="26"/>
  <c r="BJ202" i="26"/>
  <c r="BJ203" i="26"/>
  <c r="BJ204" i="26"/>
  <c r="BJ205" i="26"/>
  <c r="BJ206" i="26"/>
  <c r="BJ207" i="26"/>
  <c r="BJ208" i="26"/>
  <c r="BJ209" i="26"/>
  <c r="BJ210" i="26"/>
  <c r="BJ211" i="26"/>
  <c r="BJ212" i="26"/>
  <c r="BJ213" i="26"/>
  <c r="BJ214" i="26"/>
  <c r="BJ215" i="26"/>
  <c r="BJ216" i="26"/>
  <c r="BJ217" i="26"/>
  <c r="BJ218" i="26"/>
  <c r="BJ219" i="26"/>
  <c r="BJ220" i="26"/>
  <c r="BJ221" i="26"/>
  <c r="BJ222" i="26"/>
  <c r="BJ223" i="26"/>
  <c r="BJ224" i="26"/>
  <c r="BJ225" i="26"/>
  <c r="BJ226" i="26"/>
  <c r="BJ227" i="26"/>
  <c r="BJ228" i="26"/>
  <c r="BJ229" i="26"/>
  <c r="BJ230" i="26"/>
  <c r="BJ231" i="26"/>
  <c r="BJ232" i="26"/>
  <c r="BJ233" i="26"/>
  <c r="BJ234" i="26"/>
  <c r="BJ235" i="26"/>
  <c r="BJ236" i="26"/>
  <c r="BJ237" i="26"/>
  <c r="BJ238" i="26"/>
  <c r="BJ239" i="26"/>
  <c r="BJ240" i="26"/>
  <c r="BJ241" i="26"/>
  <c r="BJ242" i="26"/>
  <c r="BJ243" i="26"/>
  <c r="BJ244" i="26"/>
  <c r="BJ245" i="26"/>
  <c r="BJ246" i="26"/>
  <c r="BJ247" i="26"/>
  <c r="BJ248" i="26"/>
  <c r="BJ249" i="26"/>
  <c r="BJ250" i="26"/>
  <c r="BJ251" i="26"/>
  <c r="BJ252" i="26"/>
  <c r="BJ253" i="26"/>
  <c r="BJ254" i="26"/>
  <c r="BJ255" i="26"/>
  <c r="BJ256" i="26"/>
  <c r="BJ257" i="26"/>
  <c r="BJ258" i="26"/>
  <c r="BJ259" i="26"/>
  <c r="BJ260" i="26"/>
  <c r="BJ261" i="26"/>
  <c r="BJ262" i="26"/>
  <c r="BJ263" i="26"/>
  <c r="BJ264" i="26"/>
  <c r="BJ265" i="26"/>
  <c r="BJ266" i="26"/>
  <c r="BJ267" i="26"/>
  <c r="BJ268" i="26"/>
  <c r="BJ269" i="26"/>
  <c r="BJ270" i="26"/>
  <c r="BJ271" i="26"/>
  <c r="BJ272" i="26"/>
  <c r="BJ273" i="26"/>
  <c r="BJ274" i="26"/>
  <c r="BJ275" i="26"/>
  <c r="BJ276" i="26"/>
  <c r="BJ277" i="26"/>
  <c r="BJ278" i="26"/>
  <c r="BJ279" i="26"/>
  <c r="BJ280" i="26"/>
  <c r="BJ281" i="26"/>
  <c r="BJ282" i="26"/>
  <c r="BJ283" i="26"/>
  <c r="BJ284" i="26"/>
  <c r="BJ285" i="26"/>
  <c r="BJ286" i="26"/>
  <c r="BJ287" i="26"/>
  <c r="BJ288" i="26"/>
  <c r="BJ289" i="26"/>
  <c r="BJ290" i="26"/>
  <c r="BJ291" i="26"/>
  <c r="BJ292" i="26"/>
  <c r="BJ293" i="26"/>
  <c r="BJ294" i="26"/>
  <c r="BJ295" i="26"/>
  <c r="BJ296" i="26"/>
  <c r="BJ297" i="26"/>
  <c r="BJ298" i="26"/>
  <c r="BJ299" i="26"/>
  <c r="BJ300" i="26"/>
  <c r="BJ301" i="26"/>
  <c r="BJ302" i="26"/>
  <c r="BJ303" i="26"/>
  <c r="BJ304" i="26"/>
  <c r="BJ305" i="26"/>
  <c r="BJ306" i="26"/>
  <c r="BJ307" i="26"/>
  <c r="BJ308" i="26"/>
  <c r="BJ309" i="26"/>
  <c r="BJ310" i="26"/>
  <c r="BJ311" i="26"/>
  <c r="BJ312" i="26"/>
  <c r="BJ313" i="26"/>
  <c r="BJ314" i="26"/>
  <c r="BJ315" i="26"/>
  <c r="BJ316" i="26"/>
  <c r="BJ317" i="26"/>
  <c r="BJ318" i="26"/>
  <c r="BJ319" i="26"/>
  <c r="BJ320" i="26"/>
  <c r="BJ321" i="26"/>
  <c r="BJ322" i="26"/>
  <c r="BJ323" i="26"/>
  <c r="BJ324" i="26"/>
  <c r="BJ325" i="26"/>
  <c r="BJ326" i="26"/>
  <c r="BJ327" i="26"/>
  <c r="BJ328" i="26"/>
  <c r="BJ329" i="26"/>
  <c r="BJ330" i="26"/>
  <c r="BJ331" i="26"/>
  <c r="BJ332" i="26"/>
  <c r="BJ333" i="26"/>
  <c r="BJ334" i="26"/>
  <c r="BJ335" i="26"/>
  <c r="BJ336" i="26"/>
  <c r="BJ337" i="26"/>
  <c r="BJ338" i="26"/>
  <c r="BJ339" i="26"/>
  <c r="BJ340" i="26"/>
  <c r="BJ341" i="26"/>
  <c r="BJ342" i="26"/>
  <c r="BJ343" i="26"/>
  <c r="BJ344" i="26"/>
  <c r="BJ345" i="26"/>
  <c r="BJ346" i="26"/>
  <c r="BJ347" i="26"/>
  <c r="BJ348" i="26"/>
  <c r="BJ349" i="26"/>
  <c r="BJ350" i="26"/>
  <c r="BJ351" i="26"/>
  <c r="BJ352" i="26"/>
  <c r="BJ353" i="26"/>
  <c r="BJ354" i="26"/>
  <c r="BJ355" i="26"/>
  <c r="BJ356" i="26"/>
  <c r="BJ357" i="26"/>
  <c r="BJ358" i="26"/>
  <c r="BJ3" i="26"/>
  <c r="BI4" i="26"/>
  <c r="BI5" i="26"/>
  <c r="BI6" i="26"/>
  <c r="BI7" i="26"/>
  <c r="BI8" i="26"/>
  <c r="BI9" i="26"/>
  <c r="BI10" i="26"/>
  <c r="BI11" i="26"/>
  <c r="BI12" i="26"/>
  <c r="BI13" i="26"/>
  <c r="BI14" i="26"/>
  <c r="BI15" i="26"/>
  <c r="BI16" i="26"/>
  <c r="BI17" i="26"/>
  <c r="BI18" i="26"/>
  <c r="BI19" i="26"/>
  <c r="BI20" i="26"/>
  <c r="BI21" i="26"/>
  <c r="BI22" i="26"/>
  <c r="BI23" i="26"/>
  <c r="BI24" i="26"/>
  <c r="BI25" i="26"/>
  <c r="BI26" i="26"/>
  <c r="BI27" i="26"/>
  <c r="BI28" i="26"/>
  <c r="BI29" i="26"/>
  <c r="BI30" i="26"/>
  <c r="BI31" i="26"/>
  <c r="BI32" i="26"/>
  <c r="BI33" i="26"/>
  <c r="BI34" i="26"/>
  <c r="BI35" i="26"/>
  <c r="BI36" i="26"/>
  <c r="BI37" i="26"/>
  <c r="BI38" i="26"/>
  <c r="BI39" i="26"/>
  <c r="BI40" i="26"/>
  <c r="BI41" i="26"/>
  <c r="BI42" i="26"/>
  <c r="BI43" i="26"/>
  <c r="BI44" i="26"/>
  <c r="BI45" i="26"/>
  <c r="BI46" i="26"/>
  <c r="BI47" i="26"/>
  <c r="BI48" i="26"/>
  <c r="BI49" i="26"/>
  <c r="BI50" i="26"/>
  <c r="BI51" i="26"/>
  <c r="BI52" i="26"/>
  <c r="BI53" i="26"/>
  <c r="BI54" i="26"/>
  <c r="BI55" i="26"/>
  <c r="BI56" i="26"/>
  <c r="BI57" i="26"/>
  <c r="BI58" i="26"/>
  <c r="BI59" i="26"/>
  <c r="BI60" i="26"/>
  <c r="BI61" i="26"/>
  <c r="BI62" i="26"/>
  <c r="BI63" i="26"/>
  <c r="BI64" i="26"/>
  <c r="BI65" i="26"/>
  <c r="BI66" i="26"/>
  <c r="BI67" i="26"/>
  <c r="BI68" i="26"/>
  <c r="BI69" i="26"/>
  <c r="BI70" i="26"/>
  <c r="BI71" i="26"/>
  <c r="BI72" i="26"/>
  <c r="BI73" i="26"/>
  <c r="BI74" i="26"/>
  <c r="BI75" i="26"/>
  <c r="BI76" i="26"/>
  <c r="BI77" i="26"/>
  <c r="BI78" i="26"/>
  <c r="BI79" i="26"/>
  <c r="BI80" i="26"/>
  <c r="BI81" i="26"/>
  <c r="BI82" i="26"/>
  <c r="BI83" i="26"/>
  <c r="BI84" i="26"/>
  <c r="BI85" i="26"/>
  <c r="BI86" i="26"/>
  <c r="BI87" i="26"/>
  <c r="BI88" i="26"/>
  <c r="BI89" i="26"/>
  <c r="BI90" i="26"/>
  <c r="BI91" i="26"/>
  <c r="BI92" i="26"/>
  <c r="BI93" i="26"/>
  <c r="BI94" i="26"/>
  <c r="BI95" i="26"/>
  <c r="BI96" i="26"/>
  <c r="BI97" i="26"/>
  <c r="BI98" i="26"/>
  <c r="BI99" i="26"/>
  <c r="BI100" i="26"/>
  <c r="BI101" i="26"/>
  <c r="BI102" i="26"/>
  <c r="BI103" i="26"/>
  <c r="BI104" i="26"/>
  <c r="BI105" i="26"/>
  <c r="BI106" i="26"/>
  <c r="BI107" i="26"/>
  <c r="BI108" i="26"/>
  <c r="BI109" i="26"/>
  <c r="BI110" i="26"/>
  <c r="BI111" i="26"/>
  <c r="BI112" i="26"/>
  <c r="BI113" i="26"/>
  <c r="BI114" i="26"/>
  <c r="BI115" i="26"/>
  <c r="BI116" i="26"/>
  <c r="BI117" i="26"/>
  <c r="BI118" i="26"/>
  <c r="BI119" i="26"/>
  <c r="BI120" i="26"/>
  <c r="BI121" i="26"/>
  <c r="BI122" i="26"/>
  <c r="BI123" i="26"/>
  <c r="BI124" i="26"/>
  <c r="BI125" i="26"/>
  <c r="BI126" i="26"/>
  <c r="BI127" i="26"/>
  <c r="BI128" i="26"/>
  <c r="BI129" i="26"/>
  <c r="BI130" i="26"/>
  <c r="BI131" i="26"/>
  <c r="BI132" i="26"/>
  <c r="BI133" i="26"/>
  <c r="BI134" i="26"/>
  <c r="BI135" i="26"/>
  <c r="BI136" i="26"/>
  <c r="BI137" i="26"/>
  <c r="BI138" i="26"/>
  <c r="BI139" i="26"/>
  <c r="BI140" i="26"/>
  <c r="BI141" i="26"/>
  <c r="BI142" i="26"/>
  <c r="BI143" i="26"/>
  <c r="BI144" i="26"/>
  <c r="BI145" i="26"/>
  <c r="BI146" i="26"/>
  <c r="BI147" i="26"/>
  <c r="BI148" i="26"/>
  <c r="BI149" i="26"/>
  <c r="BI150" i="26"/>
  <c r="BI151" i="26"/>
  <c r="BI152" i="26"/>
  <c r="BI153" i="26"/>
  <c r="BI154" i="26"/>
  <c r="BI155" i="26"/>
  <c r="BI156" i="26"/>
  <c r="BI157" i="26"/>
  <c r="BI158" i="26"/>
  <c r="BI159" i="26"/>
  <c r="BI160" i="26"/>
  <c r="BI161" i="26"/>
  <c r="BI162" i="26"/>
  <c r="BI163" i="26"/>
  <c r="BI164" i="26"/>
  <c r="BI165" i="26"/>
  <c r="BI166" i="26"/>
  <c r="BI167" i="26"/>
  <c r="BI168" i="26"/>
  <c r="BI169" i="26"/>
  <c r="BI170" i="26"/>
  <c r="BI171" i="26"/>
  <c r="BI172" i="26"/>
  <c r="BI173" i="26"/>
  <c r="BI174" i="26"/>
  <c r="BI175" i="26"/>
  <c r="BI176" i="26"/>
  <c r="BI177" i="26"/>
  <c r="BI178" i="26"/>
  <c r="BI179" i="26"/>
  <c r="BI180" i="26"/>
  <c r="BI181" i="26"/>
  <c r="BI182" i="26"/>
  <c r="BI183" i="26"/>
  <c r="BI184" i="26"/>
  <c r="BI185" i="26"/>
  <c r="BI186" i="26"/>
  <c r="BI187" i="26"/>
  <c r="BI188" i="26"/>
  <c r="BI189" i="26"/>
  <c r="BI190" i="26"/>
  <c r="BI191" i="26"/>
  <c r="BI192" i="26"/>
  <c r="BI193" i="26"/>
  <c r="BI194" i="26"/>
  <c r="BI195" i="26"/>
  <c r="BI196" i="26"/>
  <c r="BI197" i="26"/>
  <c r="BI198" i="26"/>
  <c r="BI199" i="26"/>
  <c r="BI200" i="26"/>
  <c r="BI201" i="26"/>
  <c r="BI202" i="26"/>
  <c r="BI203" i="26"/>
  <c r="BI204" i="26"/>
  <c r="BI205" i="26"/>
  <c r="BI206" i="26"/>
  <c r="BI207" i="26"/>
  <c r="BI208" i="26"/>
  <c r="BI209" i="26"/>
  <c r="BI210" i="26"/>
  <c r="BI211" i="26"/>
  <c r="BI212" i="26"/>
  <c r="BI213" i="26"/>
  <c r="BI214" i="26"/>
  <c r="BI215" i="26"/>
  <c r="BI216" i="26"/>
  <c r="BI217" i="26"/>
  <c r="BI218" i="26"/>
  <c r="BI219" i="26"/>
  <c r="BI220" i="26"/>
  <c r="BI221" i="26"/>
  <c r="BI222" i="26"/>
  <c r="BI223" i="26"/>
  <c r="BI224" i="26"/>
  <c r="BI225" i="26"/>
  <c r="BI226" i="26"/>
  <c r="BI227" i="26"/>
  <c r="BI228" i="26"/>
  <c r="BI229" i="26"/>
  <c r="BI230" i="26"/>
  <c r="BI231" i="26"/>
  <c r="BI232" i="26"/>
  <c r="BI233" i="26"/>
  <c r="BI234" i="26"/>
  <c r="BI235" i="26"/>
  <c r="BI236" i="26"/>
  <c r="BI237" i="26"/>
  <c r="BI238" i="26"/>
  <c r="BI239" i="26"/>
  <c r="BI240" i="26"/>
  <c r="BI241" i="26"/>
  <c r="BI242" i="26"/>
  <c r="BI243" i="26"/>
  <c r="BI244" i="26"/>
  <c r="BI245" i="26"/>
  <c r="BI246" i="26"/>
  <c r="BI247" i="26"/>
  <c r="BI248" i="26"/>
  <c r="BI249" i="26"/>
  <c r="BI250" i="26"/>
  <c r="BI251" i="26"/>
  <c r="BI252" i="26"/>
  <c r="BI253" i="26"/>
  <c r="BI254" i="26"/>
  <c r="BI255" i="26"/>
  <c r="BI256" i="26"/>
  <c r="BI257" i="26"/>
  <c r="BI258" i="26"/>
  <c r="BI259" i="26"/>
  <c r="BI260" i="26"/>
  <c r="BI261" i="26"/>
  <c r="BI262" i="26"/>
  <c r="BI263" i="26"/>
  <c r="BI264" i="26"/>
  <c r="BI265" i="26"/>
  <c r="BI266" i="26"/>
  <c r="BI267" i="26"/>
  <c r="BI268" i="26"/>
  <c r="BI269" i="26"/>
  <c r="BI270" i="26"/>
  <c r="BI271" i="26"/>
  <c r="BI272" i="26"/>
  <c r="BI273" i="26"/>
  <c r="BI274" i="26"/>
  <c r="BI275" i="26"/>
  <c r="BI276" i="26"/>
  <c r="BI277" i="26"/>
  <c r="BI278" i="26"/>
  <c r="BI279" i="26"/>
  <c r="BI280" i="26"/>
  <c r="BI281" i="26"/>
  <c r="BI282" i="26"/>
  <c r="BI283" i="26"/>
  <c r="BI284" i="26"/>
  <c r="BI285" i="26"/>
  <c r="BI286" i="26"/>
  <c r="BI287" i="26"/>
  <c r="BI288" i="26"/>
  <c r="BI289" i="26"/>
  <c r="BI290" i="26"/>
  <c r="BI291" i="26"/>
  <c r="BI292" i="26"/>
  <c r="BI293" i="26"/>
  <c r="BI294" i="26"/>
  <c r="BI295" i="26"/>
  <c r="BI296" i="26"/>
  <c r="BI297" i="26"/>
  <c r="BI298" i="26"/>
  <c r="BI299" i="26"/>
  <c r="BI300" i="26"/>
  <c r="BI301" i="26"/>
  <c r="BI302" i="26"/>
  <c r="BI303" i="26"/>
  <c r="BI304" i="26"/>
  <c r="BI305" i="26"/>
  <c r="BI306" i="26"/>
  <c r="BI307" i="26"/>
  <c r="BI308" i="26"/>
  <c r="BI309" i="26"/>
  <c r="BI310" i="26"/>
  <c r="BI311" i="26"/>
  <c r="BI312" i="26"/>
  <c r="BI313" i="26"/>
  <c r="BI314" i="26"/>
  <c r="BI315" i="26"/>
  <c r="BI316" i="26"/>
  <c r="BI317" i="26"/>
  <c r="BI318" i="26"/>
  <c r="BI319" i="26"/>
  <c r="BI320" i="26"/>
  <c r="BI321" i="26"/>
  <c r="BI322" i="26"/>
  <c r="BI323" i="26"/>
  <c r="BI324" i="26"/>
  <c r="BI325" i="26"/>
  <c r="BI326" i="26"/>
  <c r="BI327" i="26"/>
  <c r="BI328" i="26"/>
  <c r="BI329" i="26"/>
  <c r="BI330" i="26"/>
  <c r="BI331" i="26"/>
  <c r="BI332" i="26"/>
  <c r="BI333" i="26"/>
  <c r="BI334" i="26"/>
  <c r="BI335" i="26"/>
  <c r="BI336" i="26"/>
  <c r="BI337" i="26"/>
  <c r="BI338" i="26"/>
  <c r="BI339" i="26"/>
  <c r="BI340" i="26"/>
  <c r="BI341" i="26"/>
  <c r="BI342" i="26"/>
  <c r="BI343" i="26"/>
  <c r="BI344" i="26"/>
  <c r="BI345" i="26"/>
  <c r="BI346" i="26"/>
  <c r="BI347" i="26"/>
  <c r="BI348" i="26"/>
  <c r="BI349" i="26"/>
  <c r="BI350" i="26"/>
  <c r="BI351" i="26"/>
  <c r="BI352" i="26"/>
  <c r="BI353" i="26"/>
  <c r="BI354" i="26"/>
  <c r="BI355" i="26"/>
  <c r="BI356" i="26"/>
  <c r="BI357" i="26"/>
  <c r="BI358" i="26"/>
  <c r="BI3" i="26"/>
  <c r="BG59" i="26"/>
  <c r="BH4" i="26"/>
  <c r="BH5" i="26"/>
  <c r="BH6" i="26"/>
  <c r="BH7" i="26"/>
  <c r="BH8" i="26"/>
  <c r="BH9" i="26"/>
  <c r="BH10" i="26"/>
  <c r="BH11" i="26"/>
  <c r="BH12" i="26"/>
  <c r="BH13" i="26"/>
  <c r="BH14" i="26"/>
  <c r="BH15" i="26"/>
  <c r="BH16" i="26"/>
  <c r="BH17" i="26"/>
  <c r="BH18" i="26"/>
  <c r="BH19" i="26"/>
  <c r="BH20" i="26"/>
  <c r="BH21" i="26"/>
  <c r="BH22" i="26"/>
  <c r="BH23" i="26"/>
  <c r="BH24" i="26"/>
  <c r="BH25" i="26"/>
  <c r="BH26" i="26"/>
  <c r="BH27" i="26"/>
  <c r="BH28" i="26"/>
  <c r="BH29" i="26"/>
  <c r="BH30" i="26"/>
  <c r="BH31" i="26"/>
  <c r="BH32" i="26"/>
  <c r="BH33" i="26"/>
  <c r="BH34" i="26"/>
  <c r="BH35" i="26"/>
  <c r="BH36" i="26"/>
  <c r="BH37" i="26"/>
  <c r="BH38" i="26"/>
  <c r="BH39" i="26"/>
  <c r="BH40" i="26"/>
  <c r="BH41" i="26"/>
  <c r="BH42" i="26"/>
  <c r="BH43" i="26"/>
  <c r="BH44" i="26"/>
  <c r="BH45" i="26"/>
  <c r="BH46" i="26"/>
  <c r="BH47" i="26"/>
  <c r="BH48" i="26"/>
  <c r="BH49" i="26"/>
  <c r="BH50" i="26"/>
  <c r="BH51" i="26"/>
  <c r="BH52" i="26"/>
  <c r="BH53" i="26"/>
  <c r="BH54" i="26"/>
  <c r="BH55" i="26"/>
  <c r="BH56" i="26"/>
  <c r="BH57" i="26"/>
  <c r="BH58" i="26"/>
  <c r="BH59" i="26"/>
  <c r="BH60" i="26"/>
  <c r="BH61" i="26"/>
  <c r="BH62" i="26"/>
  <c r="BH63" i="26"/>
  <c r="BH64" i="26"/>
  <c r="BH65" i="26"/>
  <c r="BH66" i="26"/>
  <c r="BH67" i="26"/>
  <c r="BH68" i="26"/>
  <c r="BH69" i="26"/>
  <c r="BH70" i="26"/>
  <c r="BH71" i="26"/>
  <c r="BH72" i="26"/>
  <c r="BH73" i="26"/>
  <c r="BH74" i="26"/>
  <c r="BH75" i="26"/>
  <c r="BH76" i="26"/>
  <c r="BH77" i="26"/>
  <c r="BH78" i="26"/>
  <c r="BH79" i="26"/>
  <c r="BH80" i="26"/>
  <c r="BH81" i="26"/>
  <c r="BH82" i="26"/>
  <c r="BH83" i="26"/>
  <c r="BH84" i="26"/>
  <c r="BH85" i="26"/>
  <c r="BH86" i="26"/>
  <c r="BH87" i="26"/>
  <c r="BH88" i="26"/>
  <c r="BH89" i="26"/>
  <c r="BH90" i="26"/>
  <c r="BH91" i="26"/>
  <c r="BH92" i="26"/>
  <c r="BH93" i="26"/>
  <c r="BH94" i="26"/>
  <c r="BH95" i="26"/>
  <c r="BH96" i="26"/>
  <c r="BH97" i="26"/>
  <c r="BH98" i="26"/>
  <c r="BH99" i="26"/>
  <c r="BH100" i="26"/>
  <c r="BH101" i="26"/>
  <c r="BH102" i="26"/>
  <c r="BH103" i="26"/>
  <c r="BH104" i="26"/>
  <c r="BH105" i="26"/>
  <c r="BH106" i="26"/>
  <c r="BH107" i="26"/>
  <c r="BH108" i="26"/>
  <c r="BH109" i="26"/>
  <c r="BH110" i="26"/>
  <c r="BH111" i="26"/>
  <c r="BH112" i="26"/>
  <c r="BH113" i="26"/>
  <c r="BH114" i="26"/>
  <c r="BH115" i="26"/>
  <c r="BH116" i="26"/>
  <c r="BH117" i="26"/>
  <c r="BH118" i="26"/>
  <c r="BH119" i="26"/>
  <c r="BH120" i="26"/>
  <c r="BH121" i="26"/>
  <c r="BH122" i="26"/>
  <c r="BH123" i="26"/>
  <c r="BH124" i="26"/>
  <c r="BH125" i="26"/>
  <c r="BH126" i="26"/>
  <c r="BH127" i="26"/>
  <c r="BH128" i="26"/>
  <c r="BH129" i="26"/>
  <c r="BH130" i="26"/>
  <c r="BH131" i="26"/>
  <c r="BH132" i="26"/>
  <c r="BH133" i="26"/>
  <c r="BH134" i="26"/>
  <c r="BH135" i="26"/>
  <c r="BH136" i="26"/>
  <c r="BH137" i="26"/>
  <c r="BH138" i="26"/>
  <c r="BH139" i="26"/>
  <c r="BH140" i="26"/>
  <c r="BH141" i="26"/>
  <c r="BH142" i="26"/>
  <c r="BH143" i="26"/>
  <c r="BH144" i="26"/>
  <c r="BH145" i="26"/>
  <c r="BH146" i="26"/>
  <c r="BH147" i="26"/>
  <c r="BH148" i="26"/>
  <c r="BH149" i="26"/>
  <c r="BH150" i="26"/>
  <c r="BH151" i="26"/>
  <c r="BH152" i="26"/>
  <c r="BH153" i="26"/>
  <c r="BH154" i="26"/>
  <c r="BH155" i="26"/>
  <c r="BH156" i="26"/>
  <c r="BH157" i="26"/>
  <c r="BH158" i="26"/>
  <c r="BH159" i="26"/>
  <c r="BH160" i="26"/>
  <c r="BH161" i="26"/>
  <c r="BH162" i="26"/>
  <c r="BH163" i="26"/>
  <c r="BH164" i="26"/>
  <c r="BH165" i="26"/>
  <c r="BH166" i="26"/>
  <c r="BH167" i="26"/>
  <c r="BH168" i="26"/>
  <c r="BH169" i="26"/>
  <c r="BH170" i="26"/>
  <c r="BH171" i="26"/>
  <c r="BH172" i="26"/>
  <c r="BH173" i="26"/>
  <c r="BH174" i="26"/>
  <c r="BH175" i="26"/>
  <c r="BH176" i="26"/>
  <c r="BH177" i="26"/>
  <c r="BH178" i="26"/>
  <c r="BH179" i="26"/>
  <c r="BH180" i="26"/>
  <c r="BH181" i="26"/>
  <c r="BH182" i="26"/>
  <c r="BH183" i="26"/>
  <c r="BH184" i="26"/>
  <c r="BH185" i="26"/>
  <c r="BH186" i="26"/>
  <c r="BH187" i="26"/>
  <c r="BH188" i="26"/>
  <c r="BH189" i="26"/>
  <c r="BH190" i="26"/>
  <c r="BH191" i="26"/>
  <c r="BH192" i="26"/>
  <c r="BH193" i="26"/>
  <c r="BH194" i="26"/>
  <c r="BH195" i="26"/>
  <c r="BH196" i="26"/>
  <c r="BH197" i="26"/>
  <c r="BH198" i="26"/>
  <c r="BH199" i="26"/>
  <c r="BH200" i="26"/>
  <c r="BH201" i="26"/>
  <c r="BH202" i="26"/>
  <c r="BH203" i="26"/>
  <c r="BH204" i="26"/>
  <c r="BH205" i="26"/>
  <c r="BH206" i="26"/>
  <c r="BH207" i="26"/>
  <c r="BH208" i="26"/>
  <c r="BH209" i="26"/>
  <c r="BH210" i="26"/>
  <c r="BH211" i="26"/>
  <c r="BH212" i="26"/>
  <c r="BH213" i="26"/>
  <c r="BH214" i="26"/>
  <c r="BH215" i="26"/>
  <c r="BH216" i="26"/>
  <c r="BH217" i="26"/>
  <c r="BH218" i="26"/>
  <c r="BH219" i="26"/>
  <c r="BH220" i="26"/>
  <c r="BH221" i="26"/>
  <c r="BH222" i="26"/>
  <c r="BH223" i="26"/>
  <c r="BH224" i="26"/>
  <c r="BH225" i="26"/>
  <c r="BH226" i="26"/>
  <c r="BH227" i="26"/>
  <c r="BH228" i="26"/>
  <c r="BH229" i="26"/>
  <c r="BH230" i="26"/>
  <c r="BH231" i="26"/>
  <c r="BH232" i="26"/>
  <c r="BH233" i="26"/>
  <c r="BH234" i="26"/>
  <c r="BH235" i="26"/>
  <c r="BH236" i="26"/>
  <c r="BH237" i="26"/>
  <c r="BH238" i="26"/>
  <c r="BH239" i="26"/>
  <c r="BH240" i="26"/>
  <c r="BH241" i="26"/>
  <c r="BH242" i="26"/>
  <c r="BH243" i="26"/>
  <c r="BH244" i="26"/>
  <c r="BH245" i="26"/>
  <c r="BH246" i="26"/>
  <c r="BH247" i="26"/>
  <c r="BH248" i="26"/>
  <c r="BH249" i="26"/>
  <c r="BH250" i="26"/>
  <c r="BH251" i="26"/>
  <c r="BH252" i="26"/>
  <c r="BH253" i="26"/>
  <c r="BH254" i="26"/>
  <c r="BH255" i="26"/>
  <c r="BH256" i="26"/>
  <c r="BH257" i="26"/>
  <c r="BH258" i="26"/>
  <c r="BH259" i="26"/>
  <c r="BH260" i="26"/>
  <c r="BH261" i="26"/>
  <c r="BH262" i="26"/>
  <c r="BH263" i="26"/>
  <c r="BH264" i="26"/>
  <c r="BH265" i="26"/>
  <c r="BH266" i="26"/>
  <c r="BH267" i="26"/>
  <c r="BH268" i="26"/>
  <c r="BH269" i="26"/>
  <c r="BH270" i="26"/>
  <c r="BH271" i="26"/>
  <c r="BH272" i="26"/>
  <c r="BH273" i="26"/>
  <c r="BH274" i="26"/>
  <c r="BH275" i="26"/>
  <c r="BH276" i="26"/>
  <c r="BH277" i="26"/>
  <c r="BH278" i="26"/>
  <c r="BH279" i="26"/>
  <c r="BH280" i="26"/>
  <c r="BH281" i="26"/>
  <c r="BH282" i="26"/>
  <c r="BH283" i="26"/>
  <c r="BH284" i="26"/>
  <c r="BH285" i="26"/>
  <c r="BH286" i="26"/>
  <c r="BH287" i="26"/>
  <c r="BH288" i="26"/>
  <c r="BH289" i="26"/>
  <c r="BH290" i="26"/>
  <c r="BH291" i="26"/>
  <c r="BH292" i="26"/>
  <c r="BH293" i="26"/>
  <c r="BH294" i="26"/>
  <c r="BH295" i="26"/>
  <c r="BH296" i="26"/>
  <c r="BH297" i="26"/>
  <c r="BH298" i="26"/>
  <c r="BH299" i="26"/>
  <c r="BH300" i="26"/>
  <c r="BH301" i="26"/>
  <c r="BH302" i="26"/>
  <c r="BH303" i="26"/>
  <c r="BH304" i="26"/>
  <c r="BH305" i="26"/>
  <c r="BH306" i="26"/>
  <c r="BH307" i="26"/>
  <c r="BH308" i="26"/>
  <c r="BH309" i="26"/>
  <c r="BH310" i="26"/>
  <c r="BH311" i="26"/>
  <c r="BH312" i="26"/>
  <c r="BH313" i="26"/>
  <c r="BH314" i="26"/>
  <c r="BH315" i="26"/>
  <c r="BH316" i="26"/>
  <c r="BH317" i="26"/>
  <c r="BH318" i="26"/>
  <c r="BH319" i="26"/>
  <c r="BH320" i="26"/>
  <c r="BH321" i="26"/>
  <c r="BH322" i="26"/>
  <c r="BH323" i="26"/>
  <c r="BH324" i="26"/>
  <c r="BH325" i="26"/>
  <c r="BH326" i="26"/>
  <c r="BH327" i="26"/>
  <c r="BH328" i="26"/>
  <c r="BH329" i="26"/>
  <c r="BH330" i="26"/>
  <c r="BH331" i="26"/>
  <c r="BH332" i="26"/>
  <c r="BH333" i="26"/>
  <c r="BH334" i="26"/>
  <c r="BH335" i="26"/>
  <c r="BH336" i="26"/>
  <c r="BH337" i="26"/>
  <c r="BH338" i="26"/>
  <c r="BH339" i="26"/>
  <c r="BH340" i="26"/>
  <c r="BH341" i="26"/>
  <c r="BH342" i="26"/>
  <c r="BH343" i="26"/>
  <c r="BH344" i="26"/>
  <c r="BH345" i="26"/>
  <c r="BH346" i="26"/>
  <c r="BH347" i="26"/>
  <c r="BH348" i="26"/>
  <c r="BH349" i="26"/>
  <c r="BH350" i="26"/>
  <c r="BH351" i="26"/>
  <c r="BH352" i="26"/>
  <c r="BH353" i="26"/>
  <c r="BH354" i="26"/>
  <c r="BH355" i="26"/>
  <c r="BH356" i="26"/>
  <c r="BH357" i="26"/>
  <c r="BH358" i="26"/>
  <c r="BH3" i="26"/>
  <c r="BG4" i="26"/>
  <c r="BG5" i="26"/>
  <c r="BG6" i="26"/>
  <c r="BG7" i="26"/>
  <c r="BG8" i="26"/>
  <c r="BG9" i="26"/>
  <c r="BG10" i="26"/>
  <c r="BG11" i="26"/>
  <c r="BG12" i="26"/>
  <c r="BG13" i="26"/>
  <c r="BG14" i="26"/>
  <c r="BG15" i="26"/>
  <c r="BG16" i="26"/>
  <c r="BG17" i="26"/>
  <c r="BG18" i="26"/>
  <c r="BG19" i="26"/>
  <c r="BG20" i="26"/>
  <c r="BG21" i="26"/>
  <c r="BG22" i="26"/>
  <c r="BG23" i="26"/>
  <c r="BG24" i="26"/>
  <c r="BG25" i="26"/>
  <c r="BG26" i="26"/>
  <c r="BG27" i="26"/>
  <c r="BG28" i="26"/>
  <c r="BG29" i="26"/>
  <c r="BG30" i="26"/>
  <c r="BG31" i="26"/>
  <c r="BG32" i="26"/>
  <c r="BG33" i="26"/>
  <c r="BG34" i="26"/>
  <c r="BG35" i="26"/>
  <c r="BG36" i="26"/>
  <c r="BG37" i="26"/>
  <c r="BG38" i="26"/>
  <c r="BG39" i="26"/>
  <c r="BG40" i="26"/>
  <c r="BG41" i="26"/>
  <c r="BG42" i="26"/>
  <c r="BG43" i="26"/>
  <c r="BG44" i="26"/>
  <c r="BG45" i="26"/>
  <c r="BG46" i="26"/>
  <c r="BG47" i="26"/>
  <c r="BG48" i="26"/>
  <c r="BG49" i="26"/>
  <c r="BG50" i="26"/>
  <c r="BG51" i="26"/>
  <c r="BG52" i="26"/>
  <c r="BG53" i="26"/>
  <c r="BG54" i="26"/>
  <c r="BG55" i="26"/>
  <c r="BG56" i="26"/>
  <c r="BG57" i="26"/>
  <c r="BG58" i="26"/>
  <c r="BG60" i="26"/>
  <c r="BG61" i="26"/>
  <c r="BG62" i="26"/>
  <c r="BG63" i="26"/>
  <c r="BG64" i="26"/>
  <c r="BG65" i="26"/>
  <c r="BG66" i="26"/>
  <c r="BG67" i="26"/>
  <c r="BG68" i="26"/>
  <c r="BG69" i="26"/>
  <c r="BG70" i="26"/>
  <c r="BG71" i="26"/>
  <c r="BG72" i="26"/>
  <c r="BG73" i="26"/>
  <c r="BG74" i="26"/>
  <c r="BG75" i="26"/>
  <c r="BG76" i="26"/>
  <c r="BG77" i="26"/>
  <c r="BG78" i="26"/>
  <c r="BG79" i="26"/>
  <c r="BG80" i="26"/>
  <c r="BG81" i="26"/>
  <c r="BG82" i="26"/>
  <c r="BG83" i="26"/>
  <c r="BG84" i="26"/>
  <c r="BG85" i="26"/>
  <c r="BG86" i="26"/>
  <c r="BG87" i="26"/>
  <c r="BG88" i="26"/>
  <c r="BG89" i="26"/>
  <c r="BG90" i="26"/>
  <c r="BG91" i="26"/>
  <c r="BG92" i="26"/>
  <c r="BG93" i="26"/>
  <c r="BG94" i="26"/>
  <c r="BG95" i="26"/>
  <c r="BG96" i="26"/>
  <c r="BG97" i="26"/>
  <c r="BG98" i="26"/>
  <c r="BG99" i="26"/>
  <c r="BG100" i="26"/>
  <c r="BG101" i="26"/>
  <c r="BG102" i="26"/>
  <c r="BG103" i="26"/>
  <c r="BG104" i="26"/>
  <c r="BG105" i="26"/>
  <c r="BG106" i="26"/>
  <c r="BG107" i="26"/>
  <c r="BG108" i="26"/>
  <c r="BG109" i="26"/>
  <c r="BG110" i="26"/>
  <c r="BG111" i="26"/>
  <c r="BG112" i="26"/>
  <c r="BG113" i="26"/>
  <c r="BG114" i="26"/>
  <c r="BG115" i="26"/>
  <c r="BG116" i="26"/>
  <c r="BG117" i="26"/>
  <c r="BG118" i="26"/>
  <c r="BG119" i="26"/>
  <c r="BG120" i="26"/>
  <c r="BG121" i="26"/>
  <c r="BG122" i="26"/>
  <c r="BG123" i="26"/>
  <c r="BG124" i="26"/>
  <c r="BG125" i="26"/>
  <c r="BG126" i="26"/>
  <c r="BG127" i="26"/>
  <c r="BG128" i="26"/>
  <c r="BG129" i="26"/>
  <c r="BG130" i="26"/>
  <c r="BG131" i="26"/>
  <c r="BG132" i="26"/>
  <c r="BG133" i="26"/>
  <c r="BG134" i="26"/>
  <c r="BG135" i="26"/>
  <c r="BG136" i="26"/>
  <c r="BG137" i="26"/>
  <c r="BG138" i="26"/>
  <c r="BG139" i="26"/>
  <c r="BG140" i="26"/>
  <c r="BG141" i="26"/>
  <c r="BG142" i="26"/>
  <c r="BG143" i="26"/>
  <c r="BG144" i="26"/>
  <c r="BG145" i="26"/>
  <c r="BG146" i="26"/>
  <c r="BG147" i="26"/>
  <c r="BG148" i="26"/>
  <c r="BG149" i="26"/>
  <c r="BG150" i="26"/>
  <c r="BG151" i="26"/>
  <c r="BG152" i="26"/>
  <c r="BG153" i="26"/>
  <c r="BG154" i="26"/>
  <c r="BG155" i="26"/>
  <c r="BG156" i="26"/>
  <c r="BG157" i="26"/>
  <c r="BG158" i="26"/>
  <c r="BG159" i="26"/>
  <c r="BG160" i="26"/>
  <c r="BG161" i="26"/>
  <c r="BG162" i="26"/>
  <c r="BG163" i="26"/>
  <c r="BG164" i="26"/>
  <c r="BG165" i="26"/>
  <c r="BG166" i="26"/>
  <c r="BG167" i="26"/>
  <c r="BG168" i="26"/>
  <c r="BG169" i="26"/>
  <c r="BG170" i="26"/>
  <c r="BG171" i="26"/>
  <c r="BG172" i="26"/>
  <c r="BG173" i="26"/>
  <c r="BG174" i="26"/>
  <c r="BG175" i="26"/>
  <c r="BG176" i="26"/>
  <c r="BG177" i="26"/>
  <c r="BG178" i="26"/>
  <c r="BG179" i="26"/>
  <c r="BG180" i="26"/>
  <c r="BG181" i="26"/>
  <c r="BG182" i="26"/>
  <c r="BG183" i="26"/>
  <c r="BG184" i="26"/>
  <c r="BG185" i="26"/>
  <c r="BG186" i="26"/>
  <c r="BG187" i="26"/>
  <c r="BG188" i="26"/>
  <c r="BG189" i="26"/>
  <c r="BG190" i="26"/>
  <c r="BG191" i="26"/>
  <c r="BG192" i="26"/>
  <c r="BG193" i="26"/>
  <c r="BG194" i="26"/>
  <c r="BG195" i="26"/>
  <c r="BG196" i="26"/>
  <c r="BG197" i="26"/>
  <c r="BG198" i="26"/>
  <c r="BG199" i="26"/>
  <c r="BG200" i="26"/>
  <c r="BG201" i="26"/>
  <c r="BG202" i="26"/>
  <c r="BG203" i="26"/>
  <c r="BG204" i="26"/>
  <c r="BG205" i="26"/>
  <c r="BG206" i="26"/>
  <c r="BG207" i="26"/>
  <c r="BG208" i="26"/>
  <c r="BG209" i="26"/>
  <c r="BG210" i="26"/>
  <c r="BG211" i="26"/>
  <c r="BG212" i="26"/>
  <c r="BG213" i="26"/>
  <c r="BG214" i="26"/>
  <c r="BG215" i="26"/>
  <c r="BG216" i="26"/>
  <c r="BG217" i="26"/>
  <c r="BG218" i="26"/>
  <c r="BG219" i="26"/>
  <c r="BG220" i="26"/>
  <c r="BG221" i="26"/>
  <c r="BG222" i="26"/>
  <c r="BG223" i="26"/>
  <c r="BG224" i="26"/>
  <c r="BG225" i="26"/>
  <c r="BG226" i="26"/>
  <c r="BG227" i="26"/>
  <c r="BG228" i="26"/>
  <c r="BG229" i="26"/>
  <c r="BG230" i="26"/>
  <c r="BG231" i="26"/>
  <c r="BG232" i="26"/>
  <c r="BG233" i="26"/>
  <c r="BG234" i="26"/>
  <c r="BG235" i="26"/>
  <c r="BG236" i="26"/>
  <c r="BG237" i="26"/>
  <c r="BG238" i="26"/>
  <c r="BG239" i="26"/>
  <c r="BG240" i="26"/>
  <c r="BG241" i="26"/>
  <c r="BG242" i="26"/>
  <c r="BG243" i="26"/>
  <c r="BG244" i="26"/>
  <c r="BG245" i="26"/>
  <c r="BG246" i="26"/>
  <c r="BG247" i="26"/>
  <c r="BG248" i="26"/>
  <c r="BG249" i="26"/>
  <c r="BG250" i="26"/>
  <c r="BG251" i="26"/>
  <c r="BG252" i="26"/>
  <c r="BG253" i="26"/>
  <c r="BG254" i="26"/>
  <c r="BG255" i="26"/>
  <c r="BG256" i="26"/>
  <c r="BG257" i="26"/>
  <c r="BG258" i="26"/>
  <c r="BG259" i="26"/>
  <c r="BG260" i="26"/>
  <c r="BG261" i="26"/>
  <c r="BG262" i="26"/>
  <c r="BG263" i="26"/>
  <c r="BG264" i="26"/>
  <c r="BG265" i="26"/>
  <c r="BG266" i="26"/>
  <c r="BG267" i="26"/>
  <c r="BG268" i="26"/>
  <c r="BG269" i="26"/>
  <c r="BG270" i="26"/>
  <c r="BG271" i="26"/>
  <c r="BG272" i="26"/>
  <c r="BG273" i="26"/>
  <c r="BG274" i="26"/>
  <c r="BG275" i="26"/>
  <c r="BG276" i="26"/>
  <c r="BG277" i="26"/>
  <c r="BG278" i="26"/>
  <c r="BG279" i="26"/>
  <c r="BG280" i="26"/>
  <c r="BG281" i="26"/>
  <c r="BG282" i="26"/>
  <c r="BG283" i="26"/>
  <c r="BG284" i="26"/>
  <c r="BG285" i="26"/>
  <c r="BG286" i="26"/>
  <c r="BG287" i="26"/>
  <c r="BG288" i="26"/>
  <c r="BG289" i="26"/>
  <c r="BG290" i="26"/>
  <c r="BG291" i="26"/>
  <c r="BG292" i="26"/>
  <c r="BG293" i="26"/>
  <c r="BG294" i="26"/>
  <c r="BG295" i="26"/>
  <c r="BG296" i="26"/>
  <c r="BG297" i="26"/>
  <c r="BG298" i="26"/>
  <c r="BG299" i="26"/>
  <c r="BG300" i="26"/>
  <c r="BG301" i="26"/>
  <c r="BG302" i="26"/>
  <c r="BG303" i="26"/>
  <c r="BG304" i="26"/>
  <c r="BG305" i="26"/>
  <c r="BG306" i="26"/>
  <c r="BG307" i="26"/>
  <c r="BG308" i="26"/>
  <c r="BG309" i="26"/>
  <c r="BG310" i="26"/>
  <c r="BG311" i="26"/>
  <c r="BG312" i="26"/>
  <c r="BG313" i="26"/>
  <c r="BG314" i="26"/>
  <c r="BG315" i="26"/>
  <c r="BG316" i="26"/>
  <c r="BG317" i="26"/>
  <c r="BG318" i="26"/>
  <c r="BG319" i="26"/>
  <c r="BG320" i="26"/>
  <c r="BG321" i="26"/>
  <c r="BG322" i="26"/>
  <c r="BG323" i="26"/>
  <c r="BG324" i="26"/>
  <c r="BG325" i="26"/>
  <c r="BG326" i="26"/>
  <c r="BG327" i="26"/>
  <c r="BG328" i="26"/>
  <c r="BG329" i="26"/>
  <c r="BG330" i="26"/>
  <c r="BG331" i="26"/>
  <c r="BG332" i="26"/>
  <c r="BG333" i="26"/>
  <c r="BG334" i="26"/>
  <c r="BG335" i="26"/>
  <c r="BG336" i="26"/>
  <c r="BG337" i="26"/>
  <c r="BG338" i="26"/>
  <c r="BG339" i="26"/>
  <c r="BG340" i="26"/>
  <c r="BG341" i="26"/>
  <c r="BG342" i="26"/>
  <c r="BG343" i="26"/>
  <c r="BG344" i="26"/>
  <c r="BG345" i="26"/>
  <c r="BG346" i="26"/>
  <c r="BG347" i="26"/>
  <c r="BG348" i="26"/>
  <c r="BG349" i="26"/>
  <c r="BG350" i="26"/>
  <c r="BG351" i="26"/>
  <c r="BG352" i="26"/>
  <c r="BG353" i="26"/>
  <c r="BG354" i="26"/>
  <c r="BG355" i="26"/>
  <c r="BG356" i="26"/>
  <c r="BG357" i="26"/>
  <c r="BG358" i="26"/>
  <c r="BG3" i="26"/>
  <c r="BF4" i="26"/>
  <c r="BF5" i="26"/>
  <c r="BF6" i="26"/>
  <c r="BF7" i="26"/>
  <c r="BF8" i="26"/>
  <c r="BF9" i="26"/>
  <c r="BF10" i="26"/>
  <c r="BF11" i="26"/>
  <c r="BF12" i="26"/>
  <c r="BF13" i="26"/>
  <c r="BF14" i="26"/>
  <c r="BF15" i="26"/>
  <c r="BF16" i="26"/>
  <c r="BF17" i="26"/>
  <c r="BF18" i="26"/>
  <c r="BF19" i="26"/>
  <c r="BF20" i="26"/>
  <c r="BF21" i="26"/>
  <c r="BF22" i="26"/>
  <c r="BF23" i="26"/>
  <c r="BF24" i="26"/>
  <c r="BF25" i="26"/>
  <c r="BF26" i="26"/>
  <c r="BF27" i="26"/>
  <c r="BF28" i="26"/>
  <c r="BF29" i="26"/>
  <c r="BF30" i="26"/>
  <c r="BF31" i="26"/>
  <c r="BF32" i="26"/>
  <c r="BF33" i="26"/>
  <c r="BF34" i="26"/>
  <c r="BF35" i="26"/>
  <c r="BF36" i="26"/>
  <c r="BF37" i="26"/>
  <c r="BF38" i="26"/>
  <c r="BF39" i="26"/>
  <c r="BF40" i="26"/>
  <c r="BF41" i="26"/>
  <c r="BF42" i="26"/>
  <c r="BF43" i="26"/>
  <c r="BF44" i="26"/>
  <c r="BF45" i="26"/>
  <c r="BF46" i="26"/>
  <c r="BF47" i="26"/>
  <c r="BF48" i="26"/>
  <c r="BF49" i="26"/>
  <c r="BF50" i="26"/>
  <c r="BF51" i="26"/>
  <c r="BF52" i="26"/>
  <c r="BF53" i="26"/>
  <c r="BF54" i="26"/>
  <c r="BF55" i="26"/>
  <c r="BF56" i="26"/>
  <c r="BF57" i="26"/>
  <c r="BF58" i="26"/>
  <c r="BF59" i="26"/>
  <c r="BF60" i="26"/>
  <c r="BF61" i="26"/>
  <c r="BF62" i="26"/>
  <c r="BF63" i="26"/>
  <c r="BF64" i="26"/>
  <c r="BF65" i="26"/>
  <c r="BF66" i="26"/>
  <c r="BF67" i="26"/>
  <c r="BF68" i="26"/>
  <c r="BF69" i="26"/>
  <c r="BF70" i="26"/>
  <c r="BF71" i="26"/>
  <c r="BF72" i="26"/>
  <c r="BF73" i="26"/>
  <c r="BF74" i="26"/>
  <c r="BF75" i="26"/>
  <c r="BF76" i="26"/>
  <c r="BF77" i="26"/>
  <c r="BF78" i="26"/>
  <c r="BF79" i="26"/>
  <c r="BF80" i="26"/>
  <c r="BF81" i="26"/>
  <c r="BF82" i="26"/>
  <c r="BF83" i="26"/>
  <c r="BF84" i="26"/>
  <c r="BF85" i="26"/>
  <c r="BF86" i="26"/>
  <c r="BF87" i="26"/>
  <c r="BF88" i="26"/>
  <c r="BF89" i="26"/>
  <c r="BF90" i="26"/>
  <c r="BF91" i="26"/>
  <c r="BF92" i="26"/>
  <c r="BF93" i="26"/>
  <c r="BF94" i="26"/>
  <c r="BF95" i="26"/>
  <c r="BF96" i="26"/>
  <c r="BF97" i="26"/>
  <c r="BF98" i="26"/>
  <c r="BF99" i="26"/>
  <c r="BF100" i="26"/>
  <c r="BF101" i="26"/>
  <c r="BF102" i="26"/>
  <c r="BF103" i="26"/>
  <c r="BF104" i="26"/>
  <c r="BF105" i="26"/>
  <c r="BF106" i="26"/>
  <c r="BF107" i="26"/>
  <c r="BF108" i="26"/>
  <c r="BF109" i="26"/>
  <c r="BF110" i="26"/>
  <c r="BF111" i="26"/>
  <c r="BF112" i="26"/>
  <c r="BF113" i="26"/>
  <c r="BF114" i="26"/>
  <c r="BF115" i="26"/>
  <c r="BF116" i="26"/>
  <c r="BF117" i="26"/>
  <c r="BF118" i="26"/>
  <c r="BF119" i="26"/>
  <c r="BF120" i="26"/>
  <c r="BF121" i="26"/>
  <c r="BF122" i="26"/>
  <c r="BF123" i="26"/>
  <c r="BF124" i="26"/>
  <c r="BF125" i="26"/>
  <c r="BF126" i="26"/>
  <c r="BF127" i="26"/>
  <c r="BF128" i="26"/>
  <c r="BF129" i="26"/>
  <c r="BF130" i="26"/>
  <c r="BF131" i="26"/>
  <c r="BF132" i="26"/>
  <c r="BF133" i="26"/>
  <c r="BF134" i="26"/>
  <c r="BF135" i="26"/>
  <c r="BF136" i="26"/>
  <c r="BF137" i="26"/>
  <c r="BF138" i="26"/>
  <c r="BF139" i="26"/>
  <c r="BF140" i="26"/>
  <c r="BF141" i="26"/>
  <c r="BF142" i="26"/>
  <c r="BF143" i="26"/>
  <c r="BF144" i="26"/>
  <c r="BF145" i="26"/>
  <c r="BF146" i="26"/>
  <c r="BF147" i="26"/>
  <c r="BF148" i="26"/>
  <c r="BF149" i="26"/>
  <c r="BF150" i="26"/>
  <c r="BF151" i="26"/>
  <c r="BF152" i="26"/>
  <c r="BF153" i="26"/>
  <c r="BF154" i="26"/>
  <c r="BF155" i="26"/>
  <c r="BF156" i="26"/>
  <c r="BF157" i="26"/>
  <c r="BF158" i="26"/>
  <c r="BF159" i="26"/>
  <c r="BF160" i="26"/>
  <c r="BF161" i="26"/>
  <c r="BF162" i="26"/>
  <c r="BF163" i="26"/>
  <c r="BF164" i="26"/>
  <c r="BF165" i="26"/>
  <c r="BF166" i="26"/>
  <c r="BF167" i="26"/>
  <c r="BF168" i="26"/>
  <c r="BF169" i="26"/>
  <c r="BF170" i="26"/>
  <c r="BF171" i="26"/>
  <c r="BF172" i="26"/>
  <c r="BF173" i="26"/>
  <c r="BF174" i="26"/>
  <c r="BF175" i="26"/>
  <c r="BF176" i="26"/>
  <c r="BF177" i="26"/>
  <c r="BF178" i="26"/>
  <c r="BF179" i="26"/>
  <c r="BF180" i="26"/>
  <c r="BF181" i="26"/>
  <c r="BF182" i="26"/>
  <c r="BF183" i="26"/>
  <c r="BF184" i="26"/>
  <c r="BF185" i="26"/>
  <c r="BF186" i="26"/>
  <c r="BF187" i="26"/>
  <c r="BF188" i="26"/>
  <c r="BF189" i="26"/>
  <c r="BF190" i="26"/>
  <c r="BF191" i="26"/>
  <c r="BF192" i="26"/>
  <c r="BF193" i="26"/>
  <c r="BF194" i="26"/>
  <c r="BF195" i="26"/>
  <c r="BF196" i="26"/>
  <c r="BF197" i="26"/>
  <c r="BF198" i="26"/>
  <c r="BF199" i="26"/>
  <c r="BF200" i="26"/>
  <c r="BF201" i="26"/>
  <c r="BF202" i="26"/>
  <c r="BF203" i="26"/>
  <c r="BF204" i="26"/>
  <c r="BF205" i="26"/>
  <c r="BF206" i="26"/>
  <c r="BF207" i="26"/>
  <c r="BF208" i="26"/>
  <c r="BF209" i="26"/>
  <c r="BF210" i="26"/>
  <c r="BF211" i="26"/>
  <c r="BF212" i="26"/>
  <c r="BF213" i="26"/>
  <c r="BF214" i="26"/>
  <c r="BF215" i="26"/>
  <c r="BF216" i="26"/>
  <c r="BF217" i="26"/>
  <c r="BF218" i="26"/>
  <c r="BF219" i="26"/>
  <c r="BF220" i="26"/>
  <c r="BF221" i="26"/>
  <c r="BF222" i="26"/>
  <c r="BF223" i="26"/>
  <c r="BF224" i="26"/>
  <c r="BF225" i="26"/>
  <c r="BF226" i="26"/>
  <c r="BF227" i="26"/>
  <c r="BF228" i="26"/>
  <c r="BF229" i="26"/>
  <c r="BF230" i="26"/>
  <c r="BF231" i="26"/>
  <c r="BF232" i="26"/>
  <c r="BF233" i="26"/>
  <c r="BF234" i="26"/>
  <c r="BF235" i="26"/>
  <c r="BF236" i="26"/>
  <c r="BF237" i="26"/>
  <c r="BF238" i="26"/>
  <c r="BF239" i="26"/>
  <c r="BF240" i="26"/>
  <c r="BF241" i="26"/>
  <c r="BF242" i="26"/>
  <c r="BF243" i="26"/>
  <c r="BF244" i="26"/>
  <c r="BF245" i="26"/>
  <c r="BF246" i="26"/>
  <c r="BF247" i="26"/>
  <c r="BF248" i="26"/>
  <c r="BF249" i="26"/>
  <c r="BF250" i="26"/>
  <c r="BF251" i="26"/>
  <c r="BF252" i="26"/>
  <c r="BF253" i="26"/>
  <c r="BF254" i="26"/>
  <c r="BF255" i="26"/>
  <c r="BF256" i="26"/>
  <c r="BF257" i="26"/>
  <c r="BF258" i="26"/>
  <c r="BF259" i="26"/>
  <c r="BF260" i="26"/>
  <c r="BF261" i="26"/>
  <c r="BF262" i="26"/>
  <c r="BF263" i="26"/>
  <c r="BF264" i="26"/>
  <c r="BF265" i="26"/>
  <c r="BF266" i="26"/>
  <c r="BF267" i="26"/>
  <c r="BF268" i="26"/>
  <c r="BF269" i="26"/>
  <c r="BF270" i="26"/>
  <c r="BF271" i="26"/>
  <c r="BF272" i="26"/>
  <c r="BF273" i="26"/>
  <c r="BF274" i="26"/>
  <c r="BF275" i="26"/>
  <c r="BF276" i="26"/>
  <c r="BF277" i="26"/>
  <c r="BF278" i="26"/>
  <c r="BF279" i="26"/>
  <c r="BF280" i="26"/>
  <c r="BF281" i="26"/>
  <c r="BF282" i="26"/>
  <c r="BF283" i="26"/>
  <c r="BF284" i="26"/>
  <c r="BF285" i="26"/>
  <c r="BF286" i="26"/>
  <c r="BF287" i="26"/>
  <c r="BF288" i="26"/>
  <c r="BF289" i="26"/>
  <c r="BF290" i="26"/>
  <c r="BF291" i="26"/>
  <c r="BF292" i="26"/>
  <c r="BF293" i="26"/>
  <c r="BF294" i="26"/>
  <c r="BF295" i="26"/>
  <c r="BF296" i="26"/>
  <c r="BF297" i="26"/>
  <c r="BF298" i="26"/>
  <c r="BF299" i="26"/>
  <c r="BF300" i="26"/>
  <c r="BF301" i="26"/>
  <c r="BF302" i="26"/>
  <c r="BF303" i="26"/>
  <c r="BF304" i="26"/>
  <c r="BF305" i="26"/>
  <c r="BF306" i="26"/>
  <c r="BF307" i="26"/>
  <c r="BF308" i="26"/>
  <c r="BF309" i="26"/>
  <c r="BF310" i="26"/>
  <c r="BF311" i="26"/>
  <c r="BF312" i="26"/>
  <c r="BF313" i="26"/>
  <c r="BF314" i="26"/>
  <c r="BF315" i="26"/>
  <c r="BF316" i="26"/>
  <c r="BF317" i="26"/>
  <c r="BF318" i="26"/>
  <c r="BF319" i="26"/>
  <c r="BF320" i="26"/>
  <c r="BF321" i="26"/>
  <c r="BF322" i="26"/>
  <c r="BF323" i="26"/>
  <c r="BF324" i="26"/>
  <c r="BF325" i="26"/>
  <c r="BF326" i="26"/>
  <c r="BF327" i="26"/>
  <c r="BF328" i="26"/>
  <c r="BF329" i="26"/>
  <c r="BF330" i="26"/>
  <c r="BF331" i="26"/>
  <c r="BF332" i="26"/>
  <c r="BF333" i="26"/>
  <c r="BF334" i="26"/>
  <c r="BF335" i="26"/>
  <c r="BF336" i="26"/>
  <c r="BF337" i="26"/>
  <c r="BF338" i="26"/>
  <c r="BF339" i="26"/>
  <c r="BF340" i="26"/>
  <c r="BF341" i="26"/>
  <c r="BF342" i="26"/>
  <c r="BF343" i="26"/>
  <c r="BF344" i="26"/>
  <c r="BF345" i="26"/>
  <c r="BF346" i="26"/>
  <c r="BF347" i="26"/>
  <c r="BF348" i="26"/>
  <c r="BF349" i="26"/>
  <c r="BF350" i="26"/>
  <c r="BF351" i="26"/>
  <c r="BF352" i="26"/>
  <c r="BF353" i="26"/>
  <c r="BF354" i="26"/>
  <c r="BF355" i="26"/>
  <c r="BF356" i="26"/>
  <c r="BF357" i="26"/>
  <c r="BF358" i="26"/>
  <c r="BF3" i="26"/>
  <c r="BD4" i="26"/>
  <c r="BD5" i="26"/>
  <c r="BD6" i="26"/>
  <c r="BD7" i="26"/>
  <c r="BD8" i="26"/>
  <c r="BD9" i="26"/>
  <c r="BD10" i="26"/>
  <c r="BD11" i="26"/>
  <c r="BD12" i="26"/>
  <c r="BD13" i="26"/>
  <c r="BD14" i="26"/>
  <c r="BD15" i="26"/>
  <c r="BD16" i="26"/>
  <c r="BD17" i="26"/>
  <c r="BD18" i="26"/>
  <c r="BD19" i="26"/>
  <c r="BD20" i="26"/>
  <c r="BD21" i="26"/>
  <c r="BD22" i="26"/>
  <c r="BD23" i="26"/>
  <c r="BD24" i="26"/>
  <c r="BD25" i="26"/>
  <c r="BD26" i="26"/>
  <c r="BD27" i="26"/>
  <c r="BD28" i="26"/>
  <c r="BD29" i="26"/>
  <c r="BD30" i="26"/>
  <c r="BD31" i="26"/>
  <c r="BD32" i="26"/>
  <c r="BD33" i="26"/>
  <c r="BD34" i="26"/>
  <c r="BD35" i="26"/>
  <c r="BD36" i="26"/>
  <c r="BD37" i="26"/>
  <c r="BD38" i="26"/>
  <c r="BD39" i="26"/>
  <c r="BD40" i="26"/>
  <c r="BD41" i="26"/>
  <c r="BD42" i="26"/>
  <c r="BD43" i="26"/>
  <c r="BD44" i="26"/>
  <c r="BD45" i="26"/>
  <c r="BD46" i="26"/>
  <c r="BD47" i="26"/>
  <c r="BD48" i="26"/>
  <c r="BD49" i="26"/>
  <c r="BD50" i="26"/>
  <c r="BD51" i="26"/>
  <c r="BD52" i="26"/>
  <c r="BD53" i="26"/>
  <c r="BD54" i="26"/>
  <c r="BD55" i="26"/>
  <c r="BD56" i="26"/>
  <c r="BD57" i="26"/>
  <c r="BD58" i="26"/>
  <c r="BD59" i="26"/>
  <c r="BD60" i="26"/>
  <c r="BD61" i="26"/>
  <c r="BD62" i="26"/>
  <c r="BD63" i="26"/>
  <c r="BD64" i="26"/>
  <c r="BD65" i="26"/>
  <c r="BD66" i="26"/>
  <c r="BD67" i="26"/>
  <c r="BD68" i="26"/>
  <c r="BD69" i="26"/>
  <c r="BD70" i="26"/>
  <c r="BD71" i="26"/>
  <c r="BD72" i="26"/>
  <c r="BD73" i="26"/>
  <c r="BD74" i="26"/>
  <c r="BD75" i="26"/>
  <c r="BD76" i="26"/>
  <c r="BD77" i="26"/>
  <c r="BD78" i="26"/>
  <c r="BD79" i="26"/>
  <c r="BD80" i="26"/>
  <c r="BD81" i="26"/>
  <c r="BD82" i="26"/>
  <c r="BD83" i="26"/>
  <c r="BD84" i="26"/>
  <c r="BD85" i="26"/>
  <c r="BD86" i="26"/>
  <c r="BD87" i="26"/>
  <c r="BD88" i="26"/>
  <c r="BD89" i="26"/>
  <c r="BD90" i="26"/>
  <c r="BD91" i="26"/>
  <c r="BD92" i="26"/>
  <c r="BD93" i="26"/>
  <c r="BD94" i="26"/>
  <c r="BD95" i="26"/>
  <c r="BD96" i="26"/>
  <c r="BD97" i="26"/>
  <c r="BD98" i="26"/>
  <c r="BD99" i="26"/>
  <c r="BD100" i="26"/>
  <c r="BD101" i="26"/>
  <c r="BD102" i="26"/>
  <c r="BD103" i="26"/>
  <c r="BD104" i="26"/>
  <c r="BD105" i="26"/>
  <c r="BD106" i="26"/>
  <c r="BD107" i="26"/>
  <c r="BD108" i="26"/>
  <c r="BD109" i="26"/>
  <c r="BD110" i="26"/>
  <c r="BD111" i="26"/>
  <c r="BD112" i="26"/>
  <c r="BD113" i="26"/>
  <c r="BD114" i="26"/>
  <c r="BD115" i="26"/>
  <c r="BD116" i="26"/>
  <c r="BD117" i="26"/>
  <c r="BD118" i="26"/>
  <c r="BD119" i="26"/>
  <c r="BD120" i="26"/>
  <c r="BD121" i="26"/>
  <c r="BD122" i="26"/>
  <c r="BD123" i="26"/>
  <c r="BD124" i="26"/>
  <c r="BD125" i="26"/>
  <c r="BD126" i="26"/>
  <c r="BD127" i="26"/>
  <c r="BD128" i="26"/>
  <c r="BD129" i="26"/>
  <c r="BD130" i="26"/>
  <c r="BD131" i="26"/>
  <c r="BD132" i="26"/>
  <c r="BD133" i="26"/>
  <c r="BD134" i="26"/>
  <c r="BD135" i="26"/>
  <c r="BD136" i="26"/>
  <c r="BD137" i="26"/>
  <c r="BD138" i="26"/>
  <c r="BD139" i="26"/>
  <c r="BD140" i="26"/>
  <c r="BD141" i="26"/>
  <c r="BD142" i="26"/>
  <c r="BD143" i="26"/>
  <c r="BD144" i="26"/>
  <c r="BD145" i="26"/>
  <c r="BD146" i="26"/>
  <c r="BD147" i="26"/>
  <c r="BD148" i="26"/>
  <c r="BD149" i="26"/>
  <c r="BD150" i="26"/>
  <c r="BD151" i="26"/>
  <c r="BD152" i="26"/>
  <c r="BD153" i="26"/>
  <c r="BD154" i="26"/>
  <c r="BD155" i="26"/>
  <c r="BD156" i="26"/>
  <c r="BD157" i="26"/>
  <c r="BD158" i="26"/>
  <c r="BD159" i="26"/>
  <c r="BD160" i="26"/>
  <c r="BD161" i="26"/>
  <c r="BD162" i="26"/>
  <c r="BD163" i="26"/>
  <c r="BD164" i="26"/>
  <c r="BD165" i="26"/>
  <c r="BD166" i="26"/>
  <c r="BD167" i="26"/>
  <c r="BD168" i="26"/>
  <c r="BD169" i="26"/>
  <c r="BD170" i="26"/>
  <c r="BD171" i="26"/>
  <c r="BD172" i="26"/>
  <c r="BD173" i="26"/>
  <c r="BD174" i="26"/>
  <c r="BD175" i="26"/>
  <c r="BD176" i="26"/>
  <c r="BD177" i="26"/>
  <c r="BD178" i="26"/>
  <c r="BD179" i="26"/>
  <c r="BD180" i="26"/>
  <c r="BD181" i="26"/>
  <c r="BD182" i="26"/>
  <c r="BD183" i="26"/>
  <c r="BD184" i="26"/>
  <c r="BD185" i="26"/>
  <c r="BD186" i="26"/>
  <c r="BD187" i="26"/>
  <c r="BD188" i="26"/>
  <c r="BD189" i="26"/>
  <c r="BD190" i="26"/>
  <c r="BD191" i="26"/>
  <c r="BD192" i="26"/>
  <c r="BD193" i="26"/>
  <c r="BD194" i="26"/>
  <c r="BD195" i="26"/>
  <c r="BD196" i="26"/>
  <c r="BD197" i="26"/>
  <c r="BD198" i="26"/>
  <c r="BD199" i="26"/>
  <c r="BD200" i="26"/>
  <c r="BD201" i="26"/>
  <c r="BD202" i="26"/>
  <c r="BD203" i="26"/>
  <c r="BD204" i="26"/>
  <c r="BD205" i="26"/>
  <c r="BD206" i="26"/>
  <c r="BD207" i="26"/>
  <c r="BD208" i="26"/>
  <c r="BD209" i="26"/>
  <c r="BD210" i="26"/>
  <c r="BD211" i="26"/>
  <c r="BD212" i="26"/>
  <c r="BD213" i="26"/>
  <c r="BD214" i="26"/>
  <c r="BD215" i="26"/>
  <c r="BD216" i="26"/>
  <c r="BD217" i="26"/>
  <c r="BD218" i="26"/>
  <c r="BD219" i="26"/>
  <c r="BD220" i="26"/>
  <c r="BD221" i="26"/>
  <c r="BD222" i="26"/>
  <c r="BD223" i="26"/>
  <c r="BD224" i="26"/>
  <c r="BD225" i="26"/>
  <c r="BD226" i="26"/>
  <c r="BD227" i="26"/>
  <c r="BD228" i="26"/>
  <c r="BD229" i="26"/>
  <c r="BD230" i="26"/>
  <c r="BD231" i="26"/>
  <c r="BD232" i="26"/>
  <c r="BD233" i="26"/>
  <c r="BD234" i="26"/>
  <c r="BD235" i="26"/>
  <c r="BD236" i="26"/>
  <c r="BD237" i="26"/>
  <c r="BD238" i="26"/>
  <c r="BD239" i="26"/>
  <c r="BD240" i="26"/>
  <c r="BD241" i="26"/>
  <c r="BD242" i="26"/>
  <c r="BD243" i="26"/>
  <c r="BD244" i="26"/>
  <c r="BD245" i="26"/>
  <c r="BD246" i="26"/>
  <c r="BD247" i="26"/>
  <c r="BD248" i="26"/>
  <c r="BD249" i="26"/>
  <c r="BD250" i="26"/>
  <c r="BD251" i="26"/>
  <c r="BD252" i="26"/>
  <c r="BD253" i="26"/>
  <c r="BD254" i="26"/>
  <c r="BD255" i="26"/>
  <c r="BD256" i="26"/>
  <c r="BD257" i="26"/>
  <c r="BD258" i="26"/>
  <c r="BD259" i="26"/>
  <c r="BD260" i="26"/>
  <c r="BD261" i="26"/>
  <c r="BD262" i="26"/>
  <c r="BD263" i="26"/>
  <c r="BD264" i="26"/>
  <c r="BD265" i="26"/>
  <c r="BD266" i="26"/>
  <c r="BD267" i="26"/>
  <c r="BD268" i="26"/>
  <c r="BD269" i="26"/>
  <c r="BD270" i="26"/>
  <c r="BD271" i="26"/>
  <c r="BD272" i="26"/>
  <c r="BD273" i="26"/>
  <c r="BD274" i="26"/>
  <c r="BD275" i="26"/>
  <c r="BD276" i="26"/>
  <c r="BD277" i="26"/>
  <c r="BD278" i="26"/>
  <c r="BD279" i="26"/>
  <c r="BD280" i="26"/>
  <c r="BD281" i="26"/>
  <c r="BD282" i="26"/>
  <c r="BD283" i="26"/>
  <c r="BD284" i="26"/>
  <c r="BD285" i="26"/>
  <c r="BD286" i="26"/>
  <c r="BD287" i="26"/>
  <c r="BD288" i="26"/>
  <c r="BD289" i="26"/>
  <c r="BD290" i="26"/>
  <c r="BD291" i="26"/>
  <c r="BD292" i="26"/>
  <c r="BD293" i="26"/>
  <c r="BD294" i="26"/>
  <c r="BD295" i="26"/>
  <c r="BD296" i="26"/>
  <c r="BD297" i="26"/>
  <c r="BD298" i="26"/>
  <c r="BD299" i="26"/>
  <c r="BD300" i="26"/>
  <c r="BD301" i="26"/>
  <c r="BD302" i="26"/>
  <c r="BD303" i="26"/>
  <c r="BD304" i="26"/>
  <c r="BD305" i="26"/>
  <c r="BD306" i="26"/>
  <c r="BD307" i="26"/>
  <c r="BD308" i="26"/>
  <c r="BD309" i="26"/>
  <c r="BD310" i="26"/>
  <c r="BD311" i="26"/>
  <c r="BD312" i="26"/>
  <c r="BD313" i="26"/>
  <c r="BD314" i="26"/>
  <c r="BD315" i="26"/>
  <c r="BD316" i="26"/>
  <c r="BD317" i="26"/>
  <c r="BD318" i="26"/>
  <c r="BD319" i="26"/>
  <c r="BD320" i="26"/>
  <c r="BD321" i="26"/>
  <c r="BD322" i="26"/>
  <c r="BD323" i="26"/>
  <c r="BD324" i="26"/>
  <c r="BD325" i="26"/>
  <c r="BD326" i="26"/>
  <c r="BD327" i="26"/>
  <c r="BD328" i="26"/>
  <c r="BD329" i="26"/>
  <c r="BD330" i="26"/>
  <c r="BD331" i="26"/>
  <c r="BD332" i="26"/>
  <c r="BD333" i="26"/>
  <c r="BD334" i="26"/>
  <c r="BD335" i="26"/>
  <c r="BD336" i="26"/>
  <c r="BD337" i="26"/>
  <c r="BD338" i="26"/>
  <c r="BD339" i="26"/>
  <c r="BD340" i="26"/>
  <c r="BD341" i="26"/>
  <c r="BD342" i="26"/>
  <c r="BD343" i="26"/>
  <c r="BD344" i="26"/>
  <c r="BD345" i="26"/>
  <c r="BD346" i="26"/>
  <c r="BD347" i="26"/>
  <c r="BD348" i="26"/>
  <c r="BD349" i="26"/>
  <c r="BD350" i="26"/>
  <c r="BD351" i="26"/>
  <c r="BD352" i="26"/>
  <c r="BD353" i="26"/>
  <c r="BD354" i="26"/>
  <c r="BD355" i="26"/>
  <c r="BD356" i="26"/>
  <c r="BD357" i="26"/>
  <c r="BD358" i="26"/>
  <c r="BD3" i="26"/>
  <c r="BC4" i="26"/>
  <c r="BC5" i="26"/>
  <c r="BC6" i="26"/>
  <c r="BC7" i="26"/>
  <c r="BC8" i="26"/>
  <c r="BC9" i="26"/>
  <c r="BC10" i="26"/>
  <c r="BC11" i="26"/>
  <c r="BC12" i="26"/>
  <c r="BC13" i="26"/>
  <c r="BC14" i="26"/>
  <c r="BC15" i="26"/>
  <c r="BC16" i="26"/>
  <c r="BC17" i="26"/>
  <c r="BC18" i="26"/>
  <c r="BC19" i="26"/>
  <c r="BC20" i="26"/>
  <c r="BC21" i="26"/>
  <c r="BC22" i="26"/>
  <c r="BC23" i="26"/>
  <c r="BC24" i="26"/>
  <c r="BC25" i="26"/>
  <c r="BC26" i="26"/>
  <c r="BC27" i="26"/>
  <c r="BC28" i="26"/>
  <c r="BC29" i="26"/>
  <c r="BC30" i="26"/>
  <c r="BC31" i="26"/>
  <c r="BC32" i="26"/>
  <c r="BC33" i="26"/>
  <c r="BC34" i="26"/>
  <c r="BC35" i="26"/>
  <c r="BC36" i="26"/>
  <c r="BC37" i="26"/>
  <c r="BC38" i="26"/>
  <c r="BC39" i="26"/>
  <c r="BC40" i="26"/>
  <c r="BC41" i="26"/>
  <c r="BC42" i="26"/>
  <c r="BC43" i="26"/>
  <c r="BC44" i="26"/>
  <c r="BC45" i="26"/>
  <c r="BC46" i="26"/>
  <c r="BC47" i="26"/>
  <c r="BC48" i="26"/>
  <c r="BC49" i="26"/>
  <c r="BC50" i="26"/>
  <c r="BC51" i="26"/>
  <c r="BC52" i="26"/>
  <c r="BC53" i="26"/>
  <c r="BC54" i="26"/>
  <c r="BC55" i="26"/>
  <c r="BC56" i="26"/>
  <c r="BC57" i="26"/>
  <c r="BC58" i="26"/>
  <c r="BC59" i="26"/>
  <c r="BC60" i="26"/>
  <c r="BC61" i="26"/>
  <c r="BC62" i="26"/>
  <c r="BC63" i="26"/>
  <c r="BC64" i="26"/>
  <c r="BC65" i="26"/>
  <c r="BC66" i="26"/>
  <c r="BC67" i="26"/>
  <c r="BC68" i="26"/>
  <c r="BC69" i="26"/>
  <c r="BC70" i="26"/>
  <c r="BC71" i="26"/>
  <c r="BC72" i="26"/>
  <c r="BC73" i="26"/>
  <c r="BC74" i="26"/>
  <c r="BC75" i="26"/>
  <c r="BC76" i="26"/>
  <c r="BC77" i="26"/>
  <c r="BC78" i="26"/>
  <c r="BC79" i="26"/>
  <c r="BC80" i="26"/>
  <c r="BC81" i="26"/>
  <c r="BC82" i="26"/>
  <c r="BC83" i="26"/>
  <c r="BC84" i="26"/>
  <c r="BC85" i="26"/>
  <c r="BC86" i="26"/>
  <c r="BC87" i="26"/>
  <c r="BC88" i="26"/>
  <c r="BC89" i="26"/>
  <c r="BC90" i="26"/>
  <c r="BC91" i="26"/>
  <c r="BC92" i="26"/>
  <c r="BC93" i="26"/>
  <c r="BC94" i="26"/>
  <c r="BC95" i="26"/>
  <c r="BC96" i="26"/>
  <c r="BC97" i="26"/>
  <c r="BC98" i="26"/>
  <c r="BC99" i="26"/>
  <c r="BC100" i="26"/>
  <c r="BC101" i="26"/>
  <c r="BC102" i="26"/>
  <c r="BC103" i="26"/>
  <c r="BC104" i="26"/>
  <c r="BC105" i="26"/>
  <c r="BC106" i="26"/>
  <c r="BC107" i="26"/>
  <c r="BC108" i="26"/>
  <c r="BC109" i="26"/>
  <c r="BC110" i="26"/>
  <c r="BC111" i="26"/>
  <c r="BC112" i="26"/>
  <c r="BC113" i="26"/>
  <c r="BC114" i="26"/>
  <c r="BC115" i="26"/>
  <c r="BC116" i="26"/>
  <c r="BC117" i="26"/>
  <c r="BC118" i="26"/>
  <c r="BC119" i="26"/>
  <c r="BC120" i="26"/>
  <c r="BC121" i="26"/>
  <c r="BC122" i="26"/>
  <c r="BC123" i="26"/>
  <c r="BC124" i="26"/>
  <c r="BC125" i="26"/>
  <c r="BC126" i="26"/>
  <c r="BC127" i="26"/>
  <c r="BC128" i="26"/>
  <c r="BC129" i="26"/>
  <c r="BC130" i="26"/>
  <c r="BC131" i="26"/>
  <c r="BC132" i="26"/>
  <c r="BC133" i="26"/>
  <c r="BC134" i="26"/>
  <c r="BC135" i="26"/>
  <c r="BC136" i="26"/>
  <c r="BC137" i="26"/>
  <c r="BC138" i="26"/>
  <c r="BC139" i="26"/>
  <c r="BC140" i="26"/>
  <c r="BC141" i="26"/>
  <c r="BC142" i="26"/>
  <c r="BC143" i="26"/>
  <c r="BC144" i="26"/>
  <c r="BC145" i="26"/>
  <c r="BC146" i="26"/>
  <c r="BC147" i="26"/>
  <c r="BC148" i="26"/>
  <c r="BC149" i="26"/>
  <c r="BC150" i="26"/>
  <c r="BC151" i="26"/>
  <c r="BC152" i="26"/>
  <c r="BC153" i="26"/>
  <c r="BC154" i="26"/>
  <c r="BC155" i="26"/>
  <c r="BC156" i="26"/>
  <c r="BC157" i="26"/>
  <c r="BC158" i="26"/>
  <c r="BC159" i="26"/>
  <c r="BC160" i="26"/>
  <c r="BC161" i="26"/>
  <c r="BC162" i="26"/>
  <c r="BC163" i="26"/>
  <c r="BC164" i="26"/>
  <c r="BC165" i="26"/>
  <c r="BC166" i="26"/>
  <c r="BC167" i="26"/>
  <c r="BC168" i="26"/>
  <c r="BC169" i="26"/>
  <c r="BC170" i="26"/>
  <c r="BC171" i="26"/>
  <c r="BC172" i="26"/>
  <c r="BC173" i="26"/>
  <c r="BC174" i="26"/>
  <c r="BC175" i="26"/>
  <c r="BC176" i="26"/>
  <c r="BC177" i="26"/>
  <c r="BC178" i="26"/>
  <c r="BC179" i="26"/>
  <c r="BC180" i="26"/>
  <c r="BC181" i="26"/>
  <c r="BC182" i="26"/>
  <c r="BC183" i="26"/>
  <c r="BC184" i="26"/>
  <c r="BC185" i="26"/>
  <c r="BC186" i="26"/>
  <c r="BC187" i="26"/>
  <c r="BC188" i="26"/>
  <c r="BC189" i="26"/>
  <c r="BC190" i="26"/>
  <c r="BC191" i="26"/>
  <c r="BC192" i="26"/>
  <c r="BC193" i="26"/>
  <c r="BC194" i="26"/>
  <c r="BC195" i="26"/>
  <c r="BC196" i="26"/>
  <c r="BC197" i="26"/>
  <c r="BC198" i="26"/>
  <c r="BC199" i="26"/>
  <c r="BC200" i="26"/>
  <c r="BC201" i="26"/>
  <c r="BC202" i="26"/>
  <c r="BC203" i="26"/>
  <c r="BC204" i="26"/>
  <c r="BC205" i="26"/>
  <c r="BC206" i="26"/>
  <c r="BC207" i="26"/>
  <c r="BC208" i="26"/>
  <c r="BC209" i="26"/>
  <c r="BC210" i="26"/>
  <c r="BC211" i="26"/>
  <c r="BC212" i="26"/>
  <c r="BC213" i="26"/>
  <c r="BC214" i="26"/>
  <c r="BC215" i="26"/>
  <c r="BC216" i="26"/>
  <c r="BC217" i="26"/>
  <c r="BC218" i="26"/>
  <c r="BC219" i="26"/>
  <c r="BC220" i="26"/>
  <c r="BC221" i="26"/>
  <c r="BC222" i="26"/>
  <c r="BC223" i="26"/>
  <c r="BC224" i="26"/>
  <c r="BC225" i="26"/>
  <c r="BC226" i="26"/>
  <c r="BC227" i="26"/>
  <c r="BC228" i="26"/>
  <c r="BC229" i="26"/>
  <c r="BC230" i="26"/>
  <c r="BC231" i="26"/>
  <c r="BC232" i="26"/>
  <c r="BC233" i="26"/>
  <c r="BC234" i="26"/>
  <c r="BC235" i="26"/>
  <c r="BC236" i="26"/>
  <c r="BC237" i="26"/>
  <c r="BC238" i="26"/>
  <c r="BC239" i="26"/>
  <c r="BC240" i="26"/>
  <c r="BC241" i="26"/>
  <c r="BC242" i="26"/>
  <c r="BC243" i="26"/>
  <c r="BC244" i="26"/>
  <c r="BC245" i="26"/>
  <c r="BC246" i="26"/>
  <c r="BC247" i="26"/>
  <c r="BC248" i="26"/>
  <c r="BC249" i="26"/>
  <c r="BC250" i="26"/>
  <c r="BC251" i="26"/>
  <c r="BC252" i="26"/>
  <c r="BC253" i="26"/>
  <c r="BC254" i="26"/>
  <c r="BC255" i="26"/>
  <c r="BC256" i="26"/>
  <c r="BC257" i="26"/>
  <c r="BC258" i="26"/>
  <c r="BC259" i="26"/>
  <c r="BC260" i="26"/>
  <c r="BC261" i="26"/>
  <c r="BC262" i="26"/>
  <c r="BC263" i="26"/>
  <c r="BC264" i="26"/>
  <c r="BC265" i="26"/>
  <c r="BC266" i="26"/>
  <c r="BC267" i="26"/>
  <c r="BC268" i="26"/>
  <c r="BC269" i="26"/>
  <c r="BC270" i="26"/>
  <c r="BC271" i="26"/>
  <c r="BC272" i="26"/>
  <c r="BC273" i="26"/>
  <c r="BC274" i="26"/>
  <c r="BC275" i="26"/>
  <c r="BC276" i="26"/>
  <c r="BC277" i="26"/>
  <c r="BC278" i="26"/>
  <c r="BC279" i="26"/>
  <c r="BC280" i="26"/>
  <c r="BC281" i="26"/>
  <c r="BC282" i="26"/>
  <c r="BC283" i="26"/>
  <c r="BC284" i="26"/>
  <c r="BC285" i="26"/>
  <c r="BC286" i="26"/>
  <c r="BC287" i="26"/>
  <c r="BC288" i="26"/>
  <c r="BC289" i="26"/>
  <c r="BC290" i="26"/>
  <c r="BC291" i="26"/>
  <c r="BC292" i="26"/>
  <c r="BC293" i="26"/>
  <c r="BC294" i="26"/>
  <c r="BC295" i="26"/>
  <c r="BC296" i="26"/>
  <c r="BC297" i="26"/>
  <c r="BC298" i="26"/>
  <c r="BC299" i="26"/>
  <c r="BC300" i="26"/>
  <c r="BC301" i="26"/>
  <c r="BC302" i="26"/>
  <c r="BC303" i="26"/>
  <c r="BC304" i="26"/>
  <c r="BC305" i="26"/>
  <c r="BC306" i="26"/>
  <c r="BC307" i="26"/>
  <c r="BC308" i="26"/>
  <c r="BC309" i="26"/>
  <c r="BC310" i="26"/>
  <c r="BC311" i="26"/>
  <c r="BC312" i="26"/>
  <c r="BC313" i="26"/>
  <c r="BC314" i="26"/>
  <c r="BC315" i="26"/>
  <c r="BC316" i="26"/>
  <c r="BC317" i="26"/>
  <c r="BC318" i="26"/>
  <c r="BC319" i="26"/>
  <c r="BC320" i="26"/>
  <c r="BC321" i="26"/>
  <c r="BC322" i="26"/>
  <c r="BC323" i="26"/>
  <c r="BC324" i="26"/>
  <c r="BC325" i="26"/>
  <c r="BC326" i="26"/>
  <c r="BC327" i="26"/>
  <c r="BC328" i="26"/>
  <c r="BC329" i="26"/>
  <c r="BC330" i="26"/>
  <c r="BC331" i="26"/>
  <c r="BC332" i="26"/>
  <c r="BC333" i="26"/>
  <c r="BC334" i="26"/>
  <c r="BC335" i="26"/>
  <c r="BC336" i="26"/>
  <c r="BC337" i="26"/>
  <c r="BC338" i="26"/>
  <c r="BC339" i="26"/>
  <c r="BC340" i="26"/>
  <c r="BC341" i="26"/>
  <c r="BC342" i="26"/>
  <c r="BC343" i="26"/>
  <c r="BC344" i="26"/>
  <c r="BC345" i="26"/>
  <c r="BC346" i="26"/>
  <c r="BC347" i="26"/>
  <c r="BC348" i="26"/>
  <c r="BC349" i="26"/>
  <c r="BC350" i="26"/>
  <c r="BC351" i="26"/>
  <c r="BC352" i="26"/>
  <c r="BC353" i="26"/>
  <c r="BC354" i="26"/>
  <c r="BC355" i="26"/>
  <c r="BC356" i="26"/>
  <c r="BC357" i="26"/>
  <c r="BC358" i="26"/>
  <c r="BC3" i="26"/>
  <c r="BB4" i="26"/>
  <c r="BB5" i="26"/>
  <c r="BB6" i="26"/>
  <c r="BB7" i="26"/>
  <c r="BB8" i="26"/>
  <c r="BB9" i="26"/>
  <c r="BB10" i="26"/>
  <c r="BB11" i="26"/>
  <c r="BB12" i="26"/>
  <c r="BB13" i="26"/>
  <c r="BB14" i="26"/>
  <c r="BB15" i="26"/>
  <c r="BB16" i="26"/>
  <c r="BB17" i="26"/>
  <c r="BB18" i="26"/>
  <c r="BB19" i="26"/>
  <c r="BB20" i="26"/>
  <c r="BB21" i="26"/>
  <c r="BB22" i="26"/>
  <c r="BB23" i="26"/>
  <c r="BB24" i="26"/>
  <c r="BB25" i="26"/>
  <c r="BB26" i="26"/>
  <c r="BB27" i="26"/>
  <c r="BB28" i="26"/>
  <c r="BB29" i="26"/>
  <c r="BB30" i="26"/>
  <c r="BB31" i="26"/>
  <c r="BB32" i="26"/>
  <c r="BB33" i="26"/>
  <c r="BB34" i="26"/>
  <c r="BB35" i="26"/>
  <c r="BB36" i="26"/>
  <c r="BB37" i="26"/>
  <c r="BB38" i="26"/>
  <c r="BB39" i="26"/>
  <c r="BB40" i="26"/>
  <c r="BB41" i="26"/>
  <c r="BB42" i="26"/>
  <c r="BB43" i="26"/>
  <c r="BB44" i="26"/>
  <c r="BB45" i="26"/>
  <c r="BB46" i="26"/>
  <c r="BB47" i="26"/>
  <c r="BB48" i="26"/>
  <c r="BB49" i="26"/>
  <c r="BB50" i="26"/>
  <c r="BB51" i="26"/>
  <c r="BB52" i="26"/>
  <c r="BB53" i="26"/>
  <c r="BB54" i="26"/>
  <c r="BB55" i="26"/>
  <c r="BB56" i="26"/>
  <c r="BB57" i="26"/>
  <c r="BB58" i="26"/>
  <c r="BB59" i="26"/>
  <c r="BB60" i="26"/>
  <c r="BB61" i="26"/>
  <c r="BB62" i="26"/>
  <c r="BB63" i="26"/>
  <c r="BB64" i="26"/>
  <c r="BB65" i="26"/>
  <c r="BB66" i="26"/>
  <c r="BB67" i="26"/>
  <c r="BB68" i="26"/>
  <c r="BB69" i="26"/>
  <c r="BB70" i="26"/>
  <c r="BB71" i="26"/>
  <c r="BB72" i="26"/>
  <c r="BB73" i="26"/>
  <c r="BB74" i="26"/>
  <c r="BB75" i="26"/>
  <c r="BB76" i="26"/>
  <c r="BB77" i="26"/>
  <c r="BB78" i="26"/>
  <c r="BB79" i="26"/>
  <c r="BB80" i="26"/>
  <c r="BB81" i="26"/>
  <c r="BB82" i="26"/>
  <c r="BB83" i="26"/>
  <c r="BB84" i="26"/>
  <c r="BB85" i="26"/>
  <c r="BB86" i="26"/>
  <c r="BB87" i="26"/>
  <c r="BB88" i="26"/>
  <c r="BB89" i="26"/>
  <c r="BB90" i="26"/>
  <c r="BB91" i="26"/>
  <c r="BB92" i="26"/>
  <c r="BB93" i="26"/>
  <c r="BB94" i="26"/>
  <c r="BB95" i="26"/>
  <c r="BB96" i="26"/>
  <c r="BB97" i="26"/>
  <c r="BB98" i="26"/>
  <c r="BB99" i="26"/>
  <c r="BB100" i="26"/>
  <c r="BB101" i="26"/>
  <c r="BB102" i="26"/>
  <c r="BB103" i="26"/>
  <c r="BB104" i="26"/>
  <c r="BB105" i="26"/>
  <c r="BB106" i="26"/>
  <c r="BB107" i="26"/>
  <c r="BB108" i="26"/>
  <c r="BB109" i="26"/>
  <c r="BB110" i="26"/>
  <c r="BB111" i="26"/>
  <c r="BB112" i="26"/>
  <c r="BB113" i="26"/>
  <c r="BB114" i="26"/>
  <c r="BB115" i="26"/>
  <c r="BB116" i="26"/>
  <c r="BB117" i="26"/>
  <c r="BB118" i="26"/>
  <c r="BB119" i="26"/>
  <c r="BB120" i="26"/>
  <c r="BB121" i="26"/>
  <c r="BB122" i="26"/>
  <c r="BB123" i="26"/>
  <c r="BB124" i="26"/>
  <c r="BB125" i="26"/>
  <c r="BB126" i="26"/>
  <c r="BB127" i="26"/>
  <c r="BB128" i="26"/>
  <c r="BB129" i="26"/>
  <c r="BB130" i="26"/>
  <c r="BB131" i="26"/>
  <c r="BB132" i="26"/>
  <c r="BB133" i="26"/>
  <c r="BB134" i="26"/>
  <c r="BB135" i="26"/>
  <c r="BB136" i="26"/>
  <c r="BB137" i="26"/>
  <c r="BB138" i="26"/>
  <c r="BB139" i="26"/>
  <c r="BB140" i="26"/>
  <c r="BB141" i="26"/>
  <c r="BB142" i="26"/>
  <c r="BB143" i="26"/>
  <c r="BB144" i="26"/>
  <c r="BB145" i="26"/>
  <c r="BB146" i="26"/>
  <c r="BB147" i="26"/>
  <c r="BB148" i="26"/>
  <c r="BB149" i="26"/>
  <c r="BB150" i="26"/>
  <c r="BB151" i="26"/>
  <c r="BB152" i="26"/>
  <c r="BB153" i="26"/>
  <c r="BB154" i="26"/>
  <c r="BB155" i="26"/>
  <c r="BB156" i="26"/>
  <c r="BB157" i="26"/>
  <c r="BB158" i="26"/>
  <c r="BB159" i="26"/>
  <c r="BB160" i="26"/>
  <c r="BB161" i="26"/>
  <c r="BB162" i="26"/>
  <c r="BB163" i="26"/>
  <c r="BB164" i="26"/>
  <c r="BB165" i="26"/>
  <c r="BB166" i="26"/>
  <c r="BB167" i="26"/>
  <c r="BB168" i="26"/>
  <c r="BB169" i="26"/>
  <c r="BB170" i="26"/>
  <c r="BB171" i="26"/>
  <c r="BB172" i="26"/>
  <c r="BB173" i="26"/>
  <c r="BB174" i="26"/>
  <c r="BB175" i="26"/>
  <c r="BB176" i="26"/>
  <c r="BB177" i="26"/>
  <c r="BB178" i="26"/>
  <c r="BB179" i="26"/>
  <c r="BB180" i="26"/>
  <c r="BB181" i="26"/>
  <c r="BB182" i="26"/>
  <c r="BB183" i="26"/>
  <c r="BB184" i="26"/>
  <c r="BB185" i="26"/>
  <c r="BB186" i="26"/>
  <c r="BB187" i="26"/>
  <c r="BB188" i="26"/>
  <c r="BB189" i="26"/>
  <c r="BB190" i="26"/>
  <c r="BB191" i="26"/>
  <c r="BB192" i="26"/>
  <c r="BB193" i="26"/>
  <c r="BB194" i="26"/>
  <c r="BB195" i="26"/>
  <c r="BB196" i="26"/>
  <c r="BB197" i="26"/>
  <c r="BB198" i="26"/>
  <c r="BB199" i="26"/>
  <c r="BB200" i="26"/>
  <c r="BB201" i="26"/>
  <c r="BB202" i="26"/>
  <c r="BB203" i="26"/>
  <c r="BB204" i="26"/>
  <c r="BB205" i="26"/>
  <c r="BB206" i="26"/>
  <c r="BB207" i="26"/>
  <c r="BB208" i="26"/>
  <c r="BB209" i="26"/>
  <c r="BB210" i="26"/>
  <c r="BB211" i="26"/>
  <c r="BB212" i="26"/>
  <c r="BB213" i="26"/>
  <c r="BB214" i="26"/>
  <c r="BB215" i="26"/>
  <c r="BB216" i="26"/>
  <c r="BB217" i="26"/>
  <c r="BB218" i="26"/>
  <c r="BB219" i="26"/>
  <c r="BB220" i="26"/>
  <c r="BB221" i="26"/>
  <c r="BB222" i="26"/>
  <c r="BB223" i="26"/>
  <c r="BB224" i="26"/>
  <c r="BB225" i="26"/>
  <c r="BB226" i="26"/>
  <c r="BB227" i="26"/>
  <c r="BB228" i="26"/>
  <c r="BB229" i="26"/>
  <c r="BB230" i="26"/>
  <c r="BB231" i="26"/>
  <c r="BB232" i="26"/>
  <c r="BB233" i="26"/>
  <c r="BB234" i="26"/>
  <c r="BB235" i="26"/>
  <c r="BB236" i="26"/>
  <c r="BB237" i="26"/>
  <c r="BB238" i="26"/>
  <c r="BB239" i="26"/>
  <c r="BB240" i="26"/>
  <c r="BB241" i="26"/>
  <c r="BB242" i="26"/>
  <c r="BB243" i="26"/>
  <c r="BB244" i="26"/>
  <c r="BB245" i="26"/>
  <c r="BB246" i="26"/>
  <c r="BB247" i="26"/>
  <c r="BB248" i="26"/>
  <c r="BB249" i="26"/>
  <c r="BB250" i="26"/>
  <c r="BB251" i="26"/>
  <c r="BB252" i="26"/>
  <c r="BB253" i="26"/>
  <c r="BB254" i="26"/>
  <c r="BB255" i="26"/>
  <c r="BB256" i="26"/>
  <c r="BB257" i="26"/>
  <c r="BB258" i="26"/>
  <c r="BB259" i="26"/>
  <c r="BB260" i="26"/>
  <c r="BB261" i="26"/>
  <c r="BB262" i="26"/>
  <c r="BB263" i="26"/>
  <c r="BB264" i="26"/>
  <c r="BB265" i="26"/>
  <c r="BB266" i="26"/>
  <c r="BB267" i="26"/>
  <c r="BB268" i="26"/>
  <c r="BB269" i="26"/>
  <c r="BB270" i="26"/>
  <c r="BB271" i="26"/>
  <c r="BB272" i="26"/>
  <c r="BB273" i="26"/>
  <c r="BB274" i="26"/>
  <c r="BB275" i="26"/>
  <c r="BB276" i="26"/>
  <c r="BB277" i="26"/>
  <c r="BB278" i="26"/>
  <c r="BB279" i="26"/>
  <c r="BB280" i="26"/>
  <c r="BB281" i="26"/>
  <c r="BB282" i="26"/>
  <c r="BB283" i="26"/>
  <c r="BB284" i="26"/>
  <c r="BB285" i="26"/>
  <c r="BB286" i="26"/>
  <c r="BB287" i="26"/>
  <c r="BB288" i="26"/>
  <c r="BB289" i="26"/>
  <c r="BB290" i="26"/>
  <c r="BB291" i="26"/>
  <c r="BB292" i="26"/>
  <c r="BB293" i="26"/>
  <c r="BB294" i="26"/>
  <c r="BB295" i="26"/>
  <c r="BB296" i="26"/>
  <c r="BB297" i="26"/>
  <c r="BB298" i="26"/>
  <c r="BB299" i="26"/>
  <c r="BB300" i="26"/>
  <c r="BB301" i="26"/>
  <c r="BB302" i="26"/>
  <c r="BB303" i="26"/>
  <c r="BB304" i="26"/>
  <c r="BB305" i="26"/>
  <c r="BB306" i="26"/>
  <c r="BB307" i="26"/>
  <c r="BB308" i="26"/>
  <c r="BB309" i="26"/>
  <c r="BB310" i="26"/>
  <c r="BB311" i="26"/>
  <c r="BB312" i="26"/>
  <c r="BB313" i="26"/>
  <c r="BB314" i="26"/>
  <c r="BB315" i="26"/>
  <c r="BB316" i="26"/>
  <c r="BB317" i="26"/>
  <c r="BB318" i="26"/>
  <c r="BB319" i="26"/>
  <c r="BB320" i="26"/>
  <c r="BB321" i="26"/>
  <c r="BB322" i="26"/>
  <c r="BB323" i="26"/>
  <c r="BB324" i="26"/>
  <c r="BB325" i="26"/>
  <c r="BB326" i="26"/>
  <c r="BB327" i="26"/>
  <c r="BB328" i="26"/>
  <c r="BB329" i="26"/>
  <c r="BB330" i="26"/>
  <c r="BB331" i="26"/>
  <c r="BB332" i="26"/>
  <c r="BB333" i="26"/>
  <c r="BB334" i="26"/>
  <c r="BB335" i="26"/>
  <c r="BB336" i="26"/>
  <c r="BB337" i="26"/>
  <c r="BB338" i="26"/>
  <c r="BB339" i="26"/>
  <c r="BB340" i="26"/>
  <c r="BB341" i="26"/>
  <c r="BB342" i="26"/>
  <c r="BB343" i="26"/>
  <c r="BB344" i="26"/>
  <c r="BB345" i="26"/>
  <c r="BB346" i="26"/>
  <c r="BB347" i="26"/>
  <c r="BB348" i="26"/>
  <c r="BB349" i="26"/>
  <c r="BB350" i="26"/>
  <c r="BB351" i="26"/>
  <c r="BB352" i="26"/>
  <c r="BB353" i="26"/>
  <c r="BB354" i="26"/>
  <c r="BB355" i="26"/>
  <c r="BB356" i="26"/>
  <c r="BB357" i="26"/>
  <c r="BB358" i="26"/>
  <c r="BB3" i="26"/>
  <c r="BA4" i="26"/>
  <c r="BA5" i="26"/>
  <c r="BA6" i="26"/>
  <c r="BA7" i="26"/>
  <c r="BA8" i="26"/>
  <c r="BA9" i="26"/>
  <c r="BA10" i="26"/>
  <c r="BA11" i="26"/>
  <c r="BA12" i="26"/>
  <c r="BA13" i="26"/>
  <c r="BA14" i="26"/>
  <c r="BA15" i="26"/>
  <c r="BA16" i="26"/>
  <c r="BA17" i="26"/>
  <c r="BA18" i="26"/>
  <c r="BA19" i="26"/>
  <c r="BA20" i="26"/>
  <c r="BA21" i="26"/>
  <c r="BA22" i="26"/>
  <c r="BA23" i="26"/>
  <c r="BA24" i="26"/>
  <c r="BA25" i="26"/>
  <c r="BA26" i="26"/>
  <c r="BA27" i="26"/>
  <c r="BA28" i="26"/>
  <c r="BA29" i="26"/>
  <c r="BA30" i="26"/>
  <c r="BA31" i="26"/>
  <c r="BA32" i="26"/>
  <c r="BA33" i="26"/>
  <c r="BA34" i="26"/>
  <c r="BA35" i="26"/>
  <c r="BA36" i="26"/>
  <c r="BA37" i="26"/>
  <c r="BA38" i="26"/>
  <c r="BA39" i="26"/>
  <c r="BA40" i="26"/>
  <c r="BA41" i="26"/>
  <c r="BA42" i="26"/>
  <c r="BA43" i="26"/>
  <c r="BA44" i="26"/>
  <c r="BA45" i="26"/>
  <c r="BA46" i="26"/>
  <c r="BA47" i="26"/>
  <c r="BA48" i="26"/>
  <c r="BA49" i="26"/>
  <c r="BA50" i="26"/>
  <c r="BA51" i="26"/>
  <c r="BA52" i="26"/>
  <c r="BA53" i="26"/>
  <c r="BA54" i="26"/>
  <c r="BA55" i="26"/>
  <c r="BA56" i="26"/>
  <c r="BA57" i="26"/>
  <c r="BA58" i="26"/>
  <c r="BA59" i="26"/>
  <c r="BA60" i="26"/>
  <c r="BA61" i="26"/>
  <c r="BA62" i="26"/>
  <c r="BA63" i="26"/>
  <c r="BA64" i="26"/>
  <c r="BA65" i="26"/>
  <c r="BA66" i="26"/>
  <c r="BA67" i="26"/>
  <c r="BA68" i="26"/>
  <c r="BA69" i="26"/>
  <c r="BA70" i="26"/>
  <c r="BA71" i="26"/>
  <c r="BA72" i="26"/>
  <c r="BA73" i="26"/>
  <c r="BA74" i="26"/>
  <c r="BA75" i="26"/>
  <c r="BA76" i="26"/>
  <c r="BA77" i="26"/>
  <c r="BA78" i="26"/>
  <c r="BA79" i="26"/>
  <c r="BA80" i="26"/>
  <c r="BA81" i="26"/>
  <c r="BA82" i="26"/>
  <c r="BA83" i="26"/>
  <c r="BA84" i="26"/>
  <c r="BA85" i="26"/>
  <c r="BA86" i="26"/>
  <c r="BA87" i="26"/>
  <c r="BA88" i="26"/>
  <c r="BA89" i="26"/>
  <c r="BA90" i="26"/>
  <c r="BA91" i="26"/>
  <c r="BA92" i="26"/>
  <c r="BA93" i="26"/>
  <c r="BA94" i="26"/>
  <c r="BA95" i="26"/>
  <c r="BA96" i="26"/>
  <c r="BA97" i="26"/>
  <c r="BA98" i="26"/>
  <c r="BA99" i="26"/>
  <c r="BA100" i="26"/>
  <c r="BA101" i="26"/>
  <c r="BA102" i="26"/>
  <c r="BA103" i="26"/>
  <c r="BA104" i="26"/>
  <c r="BA105" i="26"/>
  <c r="BA106" i="26"/>
  <c r="BA107" i="26"/>
  <c r="BA108" i="26"/>
  <c r="BA109" i="26"/>
  <c r="BA110" i="26"/>
  <c r="BA111" i="26"/>
  <c r="BA112" i="26"/>
  <c r="BA113" i="26"/>
  <c r="BA114" i="26"/>
  <c r="BA115" i="26"/>
  <c r="BA116" i="26"/>
  <c r="BA117" i="26"/>
  <c r="BA118" i="26"/>
  <c r="BA119" i="26"/>
  <c r="BA120" i="26"/>
  <c r="BA121" i="26"/>
  <c r="BA122" i="26"/>
  <c r="BA123" i="26"/>
  <c r="BA124" i="26"/>
  <c r="BA125" i="26"/>
  <c r="BA126" i="26"/>
  <c r="BA127" i="26"/>
  <c r="BA128" i="26"/>
  <c r="BA129" i="26"/>
  <c r="BA130" i="26"/>
  <c r="BA131" i="26"/>
  <c r="BA132" i="26"/>
  <c r="BA133" i="26"/>
  <c r="BA134" i="26"/>
  <c r="BA135" i="26"/>
  <c r="BA136" i="26"/>
  <c r="BA137" i="26"/>
  <c r="BA138" i="26"/>
  <c r="BA139" i="26"/>
  <c r="BA140" i="26"/>
  <c r="BA141" i="26"/>
  <c r="BA142" i="26"/>
  <c r="BA143" i="26"/>
  <c r="BA144" i="26"/>
  <c r="BA145" i="26"/>
  <c r="BA146" i="26"/>
  <c r="BA147" i="26"/>
  <c r="BA148" i="26"/>
  <c r="BA149" i="26"/>
  <c r="BA150" i="26"/>
  <c r="BA151" i="26"/>
  <c r="BA152" i="26"/>
  <c r="BA153" i="26"/>
  <c r="BA154" i="26"/>
  <c r="BA155" i="26"/>
  <c r="BA156" i="26"/>
  <c r="BA157" i="26"/>
  <c r="BA158" i="26"/>
  <c r="BA159" i="26"/>
  <c r="BA160" i="26"/>
  <c r="BA161" i="26"/>
  <c r="BA162" i="26"/>
  <c r="BA163" i="26"/>
  <c r="BA164" i="26"/>
  <c r="BA165" i="26"/>
  <c r="BA166" i="26"/>
  <c r="BA167" i="26"/>
  <c r="BA168" i="26"/>
  <c r="BA169" i="26"/>
  <c r="BA170" i="26"/>
  <c r="BA171" i="26"/>
  <c r="BA172" i="26"/>
  <c r="BA173" i="26"/>
  <c r="BA174" i="26"/>
  <c r="BA175" i="26"/>
  <c r="BA176" i="26"/>
  <c r="BA177" i="26"/>
  <c r="BA178" i="26"/>
  <c r="BA179" i="26"/>
  <c r="BA180" i="26"/>
  <c r="BA181" i="26"/>
  <c r="BA182" i="26"/>
  <c r="BA183" i="26"/>
  <c r="BA184" i="26"/>
  <c r="BA185" i="26"/>
  <c r="BA186" i="26"/>
  <c r="BA187" i="26"/>
  <c r="BA188" i="26"/>
  <c r="BA189" i="26"/>
  <c r="BA190" i="26"/>
  <c r="BA191" i="26"/>
  <c r="BA192" i="26"/>
  <c r="BA193" i="26"/>
  <c r="BA194" i="26"/>
  <c r="BA195" i="26"/>
  <c r="BA196" i="26"/>
  <c r="BA197" i="26"/>
  <c r="BA198" i="26"/>
  <c r="BA199" i="26"/>
  <c r="BA200" i="26"/>
  <c r="BA201" i="26"/>
  <c r="BA202" i="26"/>
  <c r="BA203" i="26"/>
  <c r="BA204" i="26"/>
  <c r="BA205" i="26"/>
  <c r="BA206" i="26"/>
  <c r="BA207" i="26"/>
  <c r="BA208" i="26"/>
  <c r="BA209" i="26"/>
  <c r="BA210" i="26"/>
  <c r="BA211" i="26"/>
  <c r="BA212" i="26"/>
  <c r="BA213" i="26"/>
  <c r="BA214" i="26"/>
  <c r="BA215" i="26"/>
  <c r="BA216" i="26"/>
  <c r="BA217" i="26"/>
  <c r="BA218" i="26"/>
  <c r="BA219" i="26"/>
  <c r="BA220" i="26"/>
  <c r="BA221" i="26"/>
  <c r="BA222" i="26"/>
  <c r="BA223" i="26"/>
  <c r="BA224" i="26"/>
  <c r="BA225" i="26"/>
  <c r="BA226" i="26"/>
  <c r="BA227" i="26"/>
  <c r="BA228" i="26"/>
  <c r="BA229" i="26"/>
  <c r="BA230" i="26"/>
  <c r="BA231" i="26"/>
  <c r="BA232" i="26"/>
  <c r="BA233" i="26"/>
  <c r="BA234" i="26"/>
  <c r="BA235" i="26"/>
  <c r="BA236" i="26"/>
  <c r="BA237" i="26"/>
  <c r="BA238" i="26"/>
  <c r="BA239" i="26"/>
  <c r="BA240" i="26"/>
  <c r="BA241" i="26"/>
  <c r="BA242" i="26"/>
  <c r="BA243" i="26"/>
  <c r="BA244" i="26"/>
  <c r="BA245" i="26"/>
  <c r="BA246" i="26"/>
  <c r="BA247" i="26"/>
  <c r="BA248" i="26"/>
  <c r="BA249" i="26"/>
  <c r="BA250" i="26"/>
  <c r="BA251" i="26"/>
  <c r="BA252" i="26"/>
  <c r="BA253" i="26"/>
  <c r="BA254" i="26"/>
  <c r="BA255" i="26"/>
  <c r="BA256" i="26"/>
  <c r="BA257" i="26"/>
  <c r="BA258" i="26"/>
  <c r="BA259" i="26"/>
  <c r="BA260" i="26"/>
  <c r="BA261" i="26"/>
  <c r="BA262" i="26"/>
  <c r="BA263" i="26"/>
  <c r="BA264" i="26"/>
  <c r="BA265" i="26"/>
  <c r="BA266" i="26"/>
  <c r="BA267" i="26"/>
  <c r="BA268" i="26"/>
  <c r="BA269" i="26"/>
  <c r="BA270" i="26"/>
  <c r="BA271" i="26"/>
  <c r="BA272" i="26"/>
  <c r="BA273" i="26"/>
  <c r="BA274" i="26"/>
  <c r="BA275" i="26"/>
  <c r="BA276" i="26"/>
  <c r="BA277" i="26"/>
  <c r="BA278" i="26"/>
  <c r="BA279" i="26"/>
  <c r="BA280" i="26"/>
  <c r="BA281" i="26"/>
  <c r="BA282" i="26"/>
  <c r="BA283" i="26"/>
  <c r="BA284" i="26"/>
  <c r="BA285" i="26"/>
  <c r="BA286" i="26"/>
  <c r="BA287" i="26"/>
  <c r="BA288" i="26"/>
  <c r="BA289" i="26"/>
  <c r="BA290" i="26"/>
  <c r="BA291" i="26"/>
  <c r="BA292" i="26"/>
  <c r="BA293" i="26"/>
  <c r="BA294" i="26"/>
  <c r="BA295" i="26"/>
  <c r="BA296" i="26"/>
  <c r="BA297" i="26"/>
  <c r="BA298" i="26"/>
  <c r="BA299" i="26"/>
  <c r="BA300" i="26"/>
  <c r="BA301" i="26"/>
  <c r="BA302" i="26"/>
  <c r="BA303" i="26"/>
  <c r="BA304" i="26"/>
  <c r="BA305" i="26"/>
  <c r="BA306" i="26"/>
  <c r="BA307" i="26"/>
  <c r="BA308" i="26"/>
  <c r="BA309" i="26"/>
  <c r="BA310" i="26"/>
  <c r="BA311" i="26"/>
  <c r="BA312" i="26"/>
  <c r="BA313" i="26"/>
  <c r="BA314" i="26"/>
  <c r="BA315" i="26"/>
  <c r="BA316" i="26"/>
  <c r="BA317" i="26"/>
  <c r="BA318" i="26"/>
  <c r="BA319" i="26"/>
  <c r="BA320" i="26"/>
  <c r="BA321" i="26"/>
  <c r="BA322" i="26"/>
  <c r="BA323" i="26"/>
  <c r="BA324" i="26"/>
  <c r="BA325" i="26"/>
  <c r="BA326" i="26"/>
  <c r="BA327" i="26"/>
  <c r="BA328" i="26"/>
  <c r="BA329" i="26"/>
  <c r="BA330" i="26"/>
  <c r="BA331" i="26"/>
  <c r="BA332" i="26"/>
  <c r="BA333" i="26"/>
  <c r="BA334" i="26"/>
  <c r="BA335" i="26"/>
  <c r="BA336" i="26"/>
  <c r="BA337" i="26"/>
  <c r="BA338" i="26"/>
  <c r="BA339" i="26"/>
  <c r="BA340" i="26"/>
  <c r="BA341" i="26"/>
  <c r="BA342" i="26"/>
  <c r="BA343" i="26"/>
  <c r="BA344" i="26"/>
  <c r="BA345" i="26"/>
  <c r="BA346" i="26"/>
  <c r="BA347" i="26"/>
  <c r="BA348" i="26"/>
  <c r="BA349" i="26"/>
  <c r="BA350" i="26"/>
  <c r="BA351" i="26"/>
  <c r="BA352" i="26"/>
  <c r="BA353" i="26"/>
  <c r="BA354" i="26"/>
  <c r="BA355" i="26"/>
  <c r="BA356" i="26"/>
  <c r="BA357" i="26"/>
  <c r="BA358" i="26"/>
  <c r="BA3" i="26"/>
  <c r="AZ4" i="26"/>
  <c r="AZ5" i="26"/>
  <c r="AZ6" i="26"/>
  <c r="AZ7" i="26"/>
  <c r="AZ8" i="26"/>
  <c r="AZ9" i="26"/>
  <c r="AZ10" i="26"/>
  <c r="AZ11" i="26"/>
  <c r="AZ12" i="26"/>
  <c r="AZ13" i="26"/>
  <c r="AZ14" i="26"/>
  <c r="AZ15" i="26"/>
  <c r="AZ16" i="26"/>
  <c r="AZ17" i="26"/>
  <c r="AZ18" i="26"/>
  <c r="AZ19" i="26"/>
  <c r="AZ20" i="26"/>
  <c r="AZ21" i="26"/>
  <c r="AZ22" i="26"/>
  <c r="AZ23" i="26"/>
  <c r="AZ24" i="26"/>
  <c r="AZ25" i="26"/>
  <c r="AZ26" i="26"/>
  <c r="AZ27" i="26"/>
  <c r="AZ28" i="26"/>
  <c r="AZ29" i="26"/>
  <c r="AZ30" i="26"/>
  <c r="AZ31" i="26"/>
  <c r="AZ32" i="26"/>
  <c r="AZ33" i="26"/>
  <c r="AZ34" i="26"/>
  <c r="AZ35" i="26"/>
  <c r="AZ36" i="26"/>
  <c r="AZ37" i="26"/>
  <c r="AZ38" i="26"/>
  <c r="AZ39" i="26"/>
  <c r="AZ40" i="26"/>
  <c r="AZ41" i="26"/>
  <c r="AZ42" i="26"/>
  <c r="AZ43" i="26"/>
  <c r="AZ44" i="26"/>
  <c r="AZ45" i="26"/>
  <c r="AZ46" i="26"/>
  <c r="AZ47" i="26"/>
  <c r="AZ48" i="26"/>
  <c r="AZ49" i="26"/>
  <c r="AZ50" i="26"/>
  <c r="AZ51" i="26"/>
  <c r="AZ52" i="26"/>
  <c r="AZ53" i="26"/>
  <c r="AZ54" i="26"/>
  <c r="AZ55" i="26"/>
  <c r="AZ56" i="26"/>
  <c r="AZ57" i="26"/>
  <c r="AZ58" i="26"/>
  <c r="AZ59" i="26"/>
  <c r="AZ60" i="26"/>
  <c r="AZ61" i="26"/>
  <c r="AZ62" i="26"/>
  <c r="AZ63" i="26"/>
  <c r="AZ64" i="26"/>
  <c r="AZ65" i="26"/>
  <c r="AZ66" i="26"/>
  <c r="AZ67" i="26"/>
  <c r="AZ68" i="26"/>
  <c r="AZ69" i="26"/>
  <c r="AZ70" i="26"/>
  <c r="AZ71" i="26"/>
  <c r="AZ72" i="26"/>
  <c r="AZ73" i="26"/>
  <c r="AZ74" i="26"/>
  <c r="AZ75" i="26"/>
  <c r="AZ76" i="26"/>
  <c r="AZ77" i="26"/>
  <c r="AZ78" i="26"/>
  <c r="AZ79" i="26"/>
  <c r="AZ80" i="26"/>
  <c r="AZ81" i="26"/>
  <c r="AZ82" i="26"/>
  <c r="AZ83" i="26"/>
  <c r="AZ84" i="26"/>
  <c r="AZ85" i="26"/>
  <c r="AZ86" i="26"/>
  <c r="AZ87" i="26"/>
  <c r="AZ88" i="26"/>
  <c r="AZ89" i="26"/>
  <c r="AZ90" i="26"/>
  <c r="AZ91" i="26"/>
  <c r="AZ92" i="26"/>
  <c r="AZ93" i="26"/>
  <c r="AZ94" i="26"/>
  <c r="AZ95" i="26"/>
  <c r="AZ96" i="26"/>
  <c r="AZ97" i="26"/>
  <c r="AZ98" i="26"/>
  <c r="AZ99" i="26"/>
  <c r="AZ100" i="26"/>
  <c r="AZ101" i="26"/>
  <c r="AZ102" i="26"/>
  <c r="AZ103" i="26"/>
  <c r="AZ104" i="26"/>
  <c r="AZ105" i="26"/>
  <c r="AZ106" i="26"/>
  <c r="AZ107" i="26"/>
  <c r="AZ108" i="26"/>
  <c r="AZ109" i="26"/>
  <c r="AZ110" i="26"/>
  <c r="AZ111" i="26"/>
  <c r="AZ112" i="26"/>
  <c r="AZ113" i="26"/>
  <c r="AZ114" i="26"/>
  <c r="AZ115" i="26"/>
  <c r="AZ116" i="26"/>
  <c r="AZ117" i="26"/>
  <c r="AZ118" i="26"/>
  <c r="AZ119" i="26"/>
  <c r="AZ120" i="26"/>
  <c r="AZ121" i="26"/>
  <c r="AZ122" i="26"/>
  <c r="AZ123" i="26"/>
  <c r="AZ124" i="26"/>
  <c r="AZ125" i="26"/>
  <c r="AZ126" i="26"/>
  <c r="AZ127" i="26"/>
  <c r="AZ128" i="26"/>
  <c r="AZ129" i="26"/>
  <c r="AZ130" i="26"/>
  <c r="AZ131" i="26"/>
  <c r="AZ132" i="26"/>
  <c r="AZ133" i="26"/>
  <c r="AZ134" i="26"/>
  <c r="AZ135" i="26"/>
  <c r="AZ136" i="26"/>
  <c r="AZ137" i="26"/>
  <c r="AZ138" i="26"/>
  <c r="AZ139" i="26"/>
  <c r="AZ140" i="26"/>
  <c r="AZ141" i="26"/>
  <c r="AZ142" i="26"/>
  <c r="AZ143" i="26"/>
  <c r="AZ144" i="26"/>
  <c r="AZ145" i="26"/>
  <c r="AZ146" i="26"/>
  <c r="AZ147" i="26"/>
  <c r="AZ148" i="26"/>
  <c r="AZ149" i="26"/>
  <c r="AZ150" i="26"/>
  <c r="AZ151" i="26"/>
  <c r="AZ152" i="26"/>
  <c r="AZ153" i="26"/>
  <c r="AZ154" i="26"/>
  <c r="AZ155" i="26"/>
  <c r="AZ156" i="26"/>
  <c r="AZ157" i="26"/>
  <c r="AZ158" i="26"/>
  <c r="AZ159" i="26"/>
  <c r="AZ160" i="26"/>
  <c r="AZ161" i="26"/>
  <c r="AZ162" i="26"/>
  <c r="AZ163" i="26"/>
  <c r="AZ164" i="26"/>
  <c r="AZ165" i="26"/>
  <c r="AZ166" i="26"/>
  <c r="AZ167" i="26"/>
  <c r="AZ168" i="26"/>
  <c r="AZ169" i="26"/>
  <c r="AZ170" i="26"/>
  <c r="AZ171" i="26"/>
  <c r="AZ172" i="26"/>
  <c r="AZ173" i="26"/>
  <c r="AZ174" i="26"/>
  <c r="AZ175" i="26"/>
  <c r="AZ176" i="26"/>
  <c r="AZ177" i="26"/>
  <c r="AZ178" i="26"/>
  <c r="AZ179" i="26"/>
  <c r="AZ180" i="26"/>
  <c r="AZ181" i="26"/>
  <c r="AZ182" i="26"/>
  <c r="AZ183" i="26"/>
  <c r="AZ184" i="26"/>
  <c r="AZ185" i="26"/>
  <c r="AZ186" i="26"/>
  <c r="AZ187" i="26"/>
  <c r="AZ188" i="26"/>
  <c r="AZ189" i="26"/>
  <c r="AZ190" i="26"/>
  <c r="AZ191" i="26"/>
  <c r="AZ192" i="26"/>
  <c r="AZ193" i="26"/>
  <c r="AZ194" i="26"/>
  <c r="AZ195" i="26"/>
  <c r="AZ196" i="26"/>
  <c r="AZ197" i="26"/>
  <c r="AZ198" i="26"/>
  <c r="AZ199" i="26"/>
  <c r="AZ200" i="26"/>
  <c r="AZ201" i="26"/>
  <c r="AZ202" i="26"/>
  <c r="AZ203" i="26"/>
  <c r="AZ204" i="26"/>
  <c r="AZ205" i="26"/>
  <c r="AZ206" i="26"/>
  <c r="AZ207" i="26"/>
  <c r="AZ208" i="26"/>
  <c r="AZ209" i="26"/>
  <c r="AZ210" i="26"/>
  <c r="AZ211" i="26"/>
  <c r="AZ212" i="26"/>
  <c r="AZ213" i="26"/>
  <c r="AZ214" i="26"/>
  <c r="AZ215" i="26"/>
  <c r="AZ216" i="26"/>
  <c r="AZ217" i="26"/>
  <c r="AZ218" i="26"/>
  <c r="AZ219" i="26"/>
  <c r="AZ220" i="26"/>
  <c r="AZ221" i="26"/>
  <c r="AZ222" i="26"/>
  <c r="AZ223" i="26"/>
  <c r="AZ224" i="26"/>
  <c r="AZ225" i="26"/>
  <c r="AZ226" i="26"/>
  <c r="AZ227" i="26"/>
  <c r="AZ228" i="26"/>
  <c r="AZ229" i="26"/>
  <c r="AZ230" i="26"/>
  <c r="AZ231" i="26"/>
  <c r="AZ232" i="26"/>
  <c r="AZ233" i="26"/>
  <c r="AZ234" i="26"/>
  <c r="AZ235" i="26"/>
  <c r="AZ236" i="26"/>
  <c r="AZ237" i="26"/>
  <c r="AZ238" i="26"/>
  <c r="AZ239" i="26"/>
  <c r="AZ240" i="26"/>
  <c r="AZ241" i="26"/>
  <c r="AZ242" i="26"/>
  <c r="AZ243" i="26"/>
  <c r="AZ244" i="26"/>
  <c r="AZ245" i="26"/>
  <c r="AZ246" i="26"/>
  <c r="AZ247" i="26"/>
  <c r="AZ248" i="26"/>
  <c r="AZ249" i="26"/>
  <c r="AZ250" i="26"/>
  <c r="AZ251" i="26"/>
  <c r="AZ252" i="26"/>
  <c r="AZ253" i="26"/>
  <c r="AZ254" i="26"/>
  <c r="AZ255" i="26"/>
  <c r="AZ256" i="26"/>
  <c r="AZ257" i="26"/>
  <c r="AZ258" i="26"/>
  <c r="AZ259" i="26"/>
  <c r="AZ260" i="26"/>
  <c r="AZ261" i="26"/>
  <c r="AZ262" i="26"/>
  <c r="AZ263" i="26"/>
  <c r="AZ264" i="26"/>
  <c r="AZ265" i="26"/>
  <c r="AZ266" i="26"/>
  <c r="AZ267" i="26"/>
  <c r="AZ268" i="26"/>
  <c r="AZ269" i="26"/>
  <c r="AZ270" i="26"/>
  <c r="AZ271" i="26"/>
  <c r="AZ272" i="26"/>
  <c r="AZ273" i="26"/>
  <c r="AZ274" i="26"/>
  <c r="AZ275" i="26"/>
  <c r="AZ276" i="26"/>
  <c r="AZ277" i="26"/>
  <c r="AZ278" i="26"/>
  <c r="AZ279" i="26"/>
  <c r="AZ280" i="26"/>
  <c r="AZ281" i="26"/>
  <c r="AZ282" i="26"/>
  <c r="AZ283" i="26"/>
  <c r="AZ284" i="26"/>
  <c r="AZ285" i="26"/>
  <c r="AZ286" i="26"/>
  <c r="AZ287" i="26"/>
  <c r="AZ288" i="26"/>
  <c r="AZ289" i="26"/>
  <c r="AZ290" i="26"/>
  <c r="AZ291" i="26"/>
  <c r="AZ292" i="26"/>
  <c r="AZ293" i="26"/>
  <c r="AZ294" i="26"/>
  <c r="AZ295" i="26"/>
  <c r="AZ296" i="26"/>
  <c r="AZ297" i="26"/>
  <c r="AZ298" i="26"/>
  <c r="AZ299" i="26"/>
  <c r="AZ300" i="26"/>
  <c r="AZ301" i="26"/>
  <c r="AZ302" i="26"/>
  <c r="AZ303" i="26"/>
  <c r="AZ304" i="26"/>
  <c r="AZ305" i="26"/>
  <c r="AZ306" i="26"/>
  <c r="AZ307" i="26"/>
  <c r="AZ308" i="26"/>
  <c r="AZ309" i="26"/>
  <c r="AZ310" i="26"/>
  <c r="AZ311" i="26"/>
  <c r="AZ312" i="26"/>
  <c r="AZ313" i="26"/>
  <c r="AZ314" i="26"/>
  <c r="AZ315" i="26"/>
  <c r="AZ316" i="26"/>
  <c r="AZ317" i="26"/>
  <c r="AZ318" i="26"/>
  <c r="AZ319" i="26"/>
  <c r="AZ320" i="26"/>
  <c r="AZ321" i="26"/>
  <c r="AZ322" i="26"/>
  <c r="AZ323" i="26"/>
  <c r="AZ324" i="26"/>
  <c r="AZ325" i="26"/>
  <c r="AZ326" i="26"/>
  <c r="AZ327" i="26"/>
  <c r="AZ328" i="26"/>
  <c r="AZ329" i="26"/>
  <c r="AZ330" i="26"/>
  <c r="AZ331" i="26"/>
  <c r="AZ332" i="26"/>
  <c r="AZ333" i="26"/>
  <c r="AZ334" i="26"/>
  <c r="AZ335" i="26"/>
  <c r="AZ336" i="26"/>
  <c r="AZ337" i="26"/>
  <c r="AZ338" i="26"/>
  <c r="AZ339" i="26"/>
  <c r="AZ340" i="26"/>
  <c r="AZ341" i="26"/>
  <c r="AZ342" i="26"/>
  <c r="AZ343" i="26"/>
  <c r="AZ344" i="26"/>
  <c r="AZ345" i="26"/>
  <c r="AZ346" i="26"/>
  <c r="AZ347" i="26"/>
  <c r="AZ348" i="26"/>
  <c r="AZ349" i="26"/>
  <c r="AZ350" i="26"/>
  <c r="AZ351" i="26"/>
  <c r="AZ352" i="26"/>
  <c r="AZ353" i="26"/>
  <c r="AZ354" i="26"/>
  <c r="AZ355" i="26"/>
  <c r="AZ356" i="26"/>
  <c r="AZ357" i="26"/>
  <c r="AZ358" i="26"/>
  <c r="AZ3" i="26"/>
  <c r="AY4" i="26"/>
  <c r="AY5" i="26"/>
  <c r="AY6" i="26"/>
  <c r="AY7" i="26"/>
  <c r="AY8" i="26"/>
  <c r="AY9" i="26"/>
  <c r="AY10" i="26"/>
  <c r="AY11" i="26"/>
  <c r="AY12" i="26"/>
  <c r="AY13" i="26"/>
  <c r="AY14" i="26"/>
  <c r="AY15" i="26"/>
  <c r="AY16" i="26"/>
  <c r="AY17" i="26"/>
  <c r="AY18" i="26"/>
  <c r="AY19" i="26"/>
  <c r="AY20" i="26"/>
  <c r="AY21" i="26"/>
  <c r="AY22" i="26"/>
  <c r="AY23" i="26"/>
  <c r="AY24" i="26"/>
  <c r="AY25" i="26"/>
  <c r="AY26" i="26"/>
  <c r="AY27" i="26"/>
  <c r="AY28" i="26"/>
  <c r="AY29" i="26"/>
  <c r="AY30" i="26"/>
  <c r="AY31" i="26"/>
  <c r="AY32" i="26"/>
  <c r="AY33" i="26"/>
  <c r="AY34" i="26"/>
  <c r="AY35" i="26"/>
  <c r="AY36" i="26"/>
  <c r="AY37" i="26"/>
  <c r="AY38" i="26"/>
  <c r="AY39" i="26"/>
  <c r="AY40" i="26"/>
  <c r="AY41" i="26"/>
  <c r="AY42" i="26"/>
  <c r="AY43" i="26"/>
  <c r="AY44" i="26"/>
  <c r="AY45" i="26"/>
  <c r="AY46" i="26"/>
  <c r="AY47" i="26"/>
  <c r="AY48" i="26"/>
  <c r="AY49" i="26"/>
  <c r="AY50" i="26"/>
  <c r="AY51" i="26"/>
  <c r="AY52" i="26"/>
  <c r="AY53" i="26"/>
  <c r="AY54" i="26"/>
  <c r="AY55" i="26"/>
  <c r="AY56" i="26"/>
  <c r="AY57" i="26"/>
  <c r="AY58" i="26"/>
  <c r="AY59" i="26"/>
  <c r="AY60" i="26"/>
  <c r="AY61" i="26"/>
  <c r="AY62" i="26"/>
  <c r="AY63" i="26"/>
  <c r="AY64" i="26"/>
  <c r="AY65" i="26"/>
  <c r="AY66" i="26"/>
  <c r="AY67" i="26"/>
  <c r="AY68" i="26"/>
  <c r="AY69" i="26"/>
  <c r="AY70" i="26"/>
  <c r="AY71" i="26"/>
  <c r="AY72" i="26"/>
  <c r="AY73" i="26"/>
  <c r="AY74" i="26"/>
  <c r="AY75" i="26"/>
  <c r="AY76" i="26"/>
  <c r="AY77" i="26"/>
  <c r="AY78" i="26"/>
  <c r="AY79" i="26"/>
  <c r="AY80" i="26"/>
  <c r="AY81" i="26"/>
  <c r="AY82" i="26"/>
  <c r="AY83" i="26"/>
  <c r="AY84" i="26"/>
  <c r="AY85" i="26"/>
  <c r="AY86" i="26"/>
  <c r="AY87" i="26"/>
  <c r="AY88" i="26"/>
  <c r="AY89" i="26"/>
  <c r="AY90" i="26"/>
  <c r="AY91" i="26"/>
  <c r="AY92" i="26"/>
  <c r="AY93" i="26"/>
  <c r="AY94" i="26"/>
  <c r="AY95" i="26"/>
  <c r="AY96" i="26"/>
  <c r="AY97" i="26"/>
  <c r="AY98" i="26"/>
  <c r="AY99" i="26"/>
  <c r="AY100" i="26"/>
  <c r="AY101" i="26"/>
  <c r="AY102" i="26"/>
  <c r="AY103" i="26"/>
  <c r="AY104" i="26"/>
  <c r="AY105" i="26"/>
  <c r="AY106" i="26"/>
  <c r="AY107" i="26"/>
  <c r="AY108" i="26"/>
  <c r="AY109" i="26"/>
  <c r="AY110" i="26"/>
  <c r="AY111" i="26"/>
  <c r="AY112" i="26"/>
  <c r="AY113" i="26"/>
  <c r="AY114" i="26"/>
  <c r="AY115" i="26"/>
  <c r="AY116" i="26"/>
  <c r="AY117" i="26"/>
  <c r="AY118" i="26"/>
  <c r="AY119" i="26"/>
  <c r="AY120" i="26"/>
  <c r="AY121" i="26"/>
  <c r="AY122" i="26"/>
  <c r="AY123" i="26"/>
  <c r="AY124" i="26"/>
  <c r="AY125" i="26"/>
  <c r="AY126" i="26"/>
  <c r="AY127" i="26"/>
  <c r="AY128" i="26"/>
  <c r="AY129" i="26"/>
  <c r="AY130" i="26"/>
  <c r="AY131" i="26"/>
  <c r="AY132" i="26"/>
  <c r="AY133" i="26"/>
  <c r="AY134" i="26"/>
  <c r="AY135" i="26"/>
  <c r="AY136" i="26"/>
  <c r="AY137" i="26"/>
  <c r="AY138" i="26"/>
  <c r="AY139" i="26"/>
  <c r="AY140" i="26"/>
  <c r="AY141" i="26"/>
  <c r="AY142" i="26"/>
  <c r="AY143" i="26"/>
  <c r="AY144" i="26"/>
  <c r="AY145" i="26"/>
  <c r="AY146" i="26"/>
  <c r="AY147" i="26"/>
  <c r="AY148" i="26"/>
  <c r="AY149" i="26"/>
  <c r="AY150" i="26"/>
  <c r="AY151" i="26"/>
  <c r="AY152" i="26"/>
  <c r="AY153" i="26"/>
  <c r="AY154" i="26"/>
  <c r="AY155" i="26"/>
  <c r="AY156" i="26"/>
  <c r="AY157" i="26"/>
  <c r="AY158" i="26"/>
  <c r="AY159" i="26"/>
  <c r="AY160" i="26"/>
  <c r="AY161" i="26"/>
  <c r="AY162" i="26"/>
  <c r="AY163" i="26"/>
  <c r="AY164" i="26"/>
  <c r="AY165" i="26"/>
  <c r="AY166" i="26"/>
  <c r="AY167" i="26"/>
  <c r="AY168" i="26"/>
  <c r="AY169" i="26"/>
  <c r="AY170" i="26"/>
  <c r="AY171" i="26"/>
  <c r="AY172" i="26"/>
  <c r="AY173" i="26"/>
  <c r="AY174" i="26"/>
  <c r="AY175" i="26"/>
  <c r="AY176" i="26"/>
  <c r="AY177" i="26"/>
  <c r="AY178" i="26"/>
  <c r="AY179" i="26"/>
  <c r="AY180" i="26"/>
  <c r="AY181" i="26"/>
  <c r="AY182" i="26"/>
  <c r="AY183" i="26"/>
  <c r="AY184" i="26"/>
  <c r="AY185" i="26"/>
  <c r="AY186" i="26"/>
  <c r="AY187" i="26"/>
  <c r="AY188" i="26"/>
  <c r="AY189" i="26"/>
  <c r="AY190" i="26"/>
  <c r="AY191" i="26"/>
  <c r="AY192" i="26"/>
  <c r="AY193" i="26"/>
  <c r="AY194" i="26"/>
  <c r="AY195" i="26"/>
  <c r="AY196" i="26"/>
  <c r="AY197" i="26"/>
  <c r="AY198" i="26"/>
  <c r="AY199" i="26"/>
  <c r="AY200" i="26"/>
  <c r="AY201" i="26"/>
  <c r="AY202" i="26"/>
  <c r="AY203" i="26"/>
  <c r="AY204" i="26"/>
  <c r="AY205" i="26"/>
  <c r="AY206" i="26"/>
  <c r="AY207" i="26"/>
  <c r="AY208" i="26"/>
  <c r="AY209" i="26"/>
  <c r="AY210" i="26"/>
  <c r="AY211" i="26"/>
  <c r="AY212" i="26"/>
  <c r="AY213" i="26"/>
  <c r="AY214" i="26"/>
  <c r="AY215" i="26"/>
  <c r="AY216" i="26"/>
  <c r="AY217" i="26"/>
  <c r="AY218" i="26"/>
  <c r="AY219" i="26"/>
  <c r="AY220" i="26"/>
  <c r="AY221" i="26"/>
  <c r="AY222" i="26"/>
  <c r="AY223" i="26"/>
  <c r="AY224" i="26"/>
  <c r="AY225" i="26"/>
  <c r="AY226" i="26"/>
  <c r="AY227" i="26"/>
  <c r="AY228" i="26"/>
  <c r="AY229" i="26"/>
  <c r="AY230" i="26"/>
  <c r="AY231" i="26"/>
  <c r="AY232" i="26"/>
  <c r="AY233" i="26"/>
  <c r="AY234" i="26"/>
  <c r="AY235" i="26"/>
  <c r="AY236" i="26"/>
  <c r="AY237" i="26"/>
  <c r="AY238" i="26"/>
  <c r="AY239" i="26"/>
  <c r="AY240" i="26"/>
  <c r="AY241" i="26"/>
  <c r="AY242" i="26"/>
  <c r="AY243" i="26"/>
  <c r="AY244" i="26"/>
  <c r="AY245" i="26"/>
  <c r="AY246" i="26"/>
  <c r="AY247" i="26"/>
  <c r="AY248" i="26"/>
  <c r="AY249" i="26"/>
  <c r="AY250" i="26"/>
  <c r="AY251" i="26"/>
  <c r="AY252" i="26"/>
  <c r="AY253" i="26"/>
  <c r="AY254" i="26"/>
  <c r="AY255" i="26"/>
  <c r="AY256" i="26"/>
  <c r="AY257" i="26"/>
  <c r="AY258" i="26"/>
  <c r="AY259" i="26"/>
  <c r="AY260" i="26"/>
  <c r="AY261" i="26"/>
  <c r="AY262" i="26"/>
  <c r="AY263" i="26"/>
  <c r="AY264" i="26"/>
  <c r="AY265" i="26"/>
  <c r="AY266" i="26"/>
  <c r="AY267" i="26"/>
  <c r="AY268" i="26"/>
  <c r="AY269" i="26"/>
  <c r="AY270" i="26"/>
  <c r="AY271" i="26"/>
  <c r="AY272" i="26"/>
  <c r="AY273" i="26"/>
  <c r="AY274" i="26"/>
  <c r="AY275" i="26"/>
  <c r="AY276" i="26"/>
  <c r="AY277" i="26"/>
  <c r="AY278" i="26"/>
  <c r="AY279" i="26"/>
  <c r="AY280" i="26"/>
  <c r="AY281" i="26"/>
  <c r="AY282" i="26"/>
  <c r="AY283" i="26"/>
  <c r="AY284" i="26"/>
  <c r="AY285" i="26"/>
  <c r="AY286" i="26"/>
  <c r="AY287" i="26"/>
  <c r="AY288" i="26"/>
  <c r="AY289" i="26"/>
  <c r="AY290" i="26"/>
  <c r="AY291" i="26"/>
  <c r="AY292" i="26"/>
  <c r="AY293" i="26"/>
  <c r="AY294" i="26"/>
  <c r="AY295" i="26"/>
  <c r="AY296" i="26"/>
  <c r="AY297" i="26"/>
  <c r="AY298" i="26"/>
  <c r="AY299" i="26"/>
  <c r="AY300" i="26"/>
  <c r="AY301" i="26"/>
  <c r="AY302" i="26"/>
  <c r="AY303" i="26"/>
  <c r="AY304" i="26"/>
  <c r="AY305" i="26"/>
  <c r="AY306" i="26"/>
  <c r="AY307" i="26"/>
  <c r="AY308" i="26"/>
  <c r="AY309" i="26"/>
  <c r="AY310" i="26"/>
  <c r="AY311" i="26"/>
  <c r="AY312" i="26"/>
  <c r="AY313" i="26"/>
  <c r="AY314" i="26"/>
  <c r="AY315" i="26"/>
  <c r="AY316" i="26"/>
  <c r="AY317" i="26"/>
  <c r="AY318" i="26"/>
  <c r="AY319" i="26"/>
  <c r="AY320" i="26"/>
  <c r="AY321" i="26"/>
  <c r="AY322" i="26"/>
  <c r="AY323" i="26"/>
  <c r="AY324" i="26"/>
  <c r="AY325" i="26"/>
  <c r="AY326" i="26"/>
  <c r="AY327" i="26"/>
  <c r="AY328" i="26"/>
  <c r="AY329" i="26"/>
  <c r="AY330" i="26"/>
  <c r="AY331" i="26"/>
  <c r="AY332" i="26"/>
  <c r="AY333" i="26"/>
  <c r="AY334" i="26"/>
  <c r="AY335" i="26"/>
  <c r="AY336" i="26"/>
  <c r="AY337" i="26"/>
  <c r="AY338" i="26"/>
  <c r="AY339" i="26"/>
  <c r="AY340" i="26"/>
  <c r="AY341" i="26"/>
  <c r="AY342" i="26"/>
  <c r="AY343" i="26"/>
  <c r="AY344" i="26"/>
  <c r="AY345" i="26"/>
  <c r="AY346" i="26"/>
  <c r="AY347" i="26"/>
  <c r="AY348" i="26"/>
  <c r="AY349" i="26"/>
  <c r="AY350" i="26"/>
  <c r="AY351" i="26"/>
  <c r="AY352" i="26"/>
  <c r="AY353" i="26"/>
  <c r="AY354" i="26"/>
  <c r="AY355" i="26"/>
  <c r="AY356" i="26"/>
  <c r="AY357" i="26"/>
  <c r="AY358" i="26"/>
  <c r="AY3" i="26"/>
  <c r="G262" i="26"/>
  <c r="K280" i="26"/>
  <c r="AE290" i="26"/>
  <c r="AF296" i="26"/>
  <c r="AF299" i="26"/>
  <c r="F310" i="26"/>
  <c r="N314" i="26"/>
  <c r="V318" i="26"/>
  <c r="AD322" i="26"/>
  <c r="H327" i="26"/>
  <c r="P331" i="26"/>
  <c r="F334" i="26"/>
  <c r="X335" i="26"/>
  <c r="N338" i="26"/>
  <c r="AF339" i="26"/>
  <c r="V342" i="26"/>
  <c r="J344" i="26"/>
  <c r="AD346" i="26"/>
  <c r="R348" i="26"/>
  <c r="H351" i="26"/>
  <c r="Z352" i="26"/>
  <c r="P355" i="26"/>
  <c r="X30" i="26"/>
  <c r="L32" i="26"/>
  <c r="AF34" i="26"/>
  <c r="T36" i="26"/>
  <c r="J39" i="26"/>
  <c r="AB40" i="26"/>
  <c r="AV40" i="26" s="1"/>
  <c r="AW40" i="26" s="1"/>
  <c r="R43" i="26"/>
  <c r="S47" i="26"/>
  <c r="C48" i="26"/>
  <c r="G50" i="26"/>
  <c r="AA50" i="26"/>
  <c r="I51" i="26"/>
  <c r="AC51" i="26"/>
  <c r="K52" i="26"/>
  <c r="C54" i="26"/>
  <c r="O54" i="26"/>
  <c r="E55" i="26"/>
  <c r="Q55" i="26"/>
  <c r="S56" i="26"/>
  <c r="K58" i="26"/>
  <c r="W58" i="26"/>
  <c r="M59" i="26"/>
  <c r="Y59" i="26"/>
  <c r="AA60" i="26"/>
  <c r="S62" i="26"/>
  <c r="AE62" i="26"/>
  <c r="U63" i="26"/>
  <c r="C64" i="26"/>
  <c r="G66" i="26"/>
  <c r="AA66" i="26"/>
  <c r="I67" i="26"/>
  <c r="AC67" i="26"/>
  <c r="K68" i="26"/>
  <c r="C70" i="26"/>
  <c r="O70" i="26"/>
  <c r="E71" i="26"/>
  <c r="Q71" i="26"/>
  <c r="S72" i="26"/>
  <c r="K74" i="26"/>
  <c r="W74" i="26"/>
  <c r="M75" i="26"/>
  <c r="Y75" i="26"/>
  <c r="AA76" i="26"/>
  <c r="S78" i="26"/>
  <c r="AE78" i="26"/>
  <c r="U79" i="26"/>
  <c r="C80" i="26"/>
  <c r="G82" i="26"/>
  <c r="AA82" i="26"/>
  <c r="I83" i="26"/>
  <c r="AC83" i="26"/>
  <c r="K84" i="26"/>
  <c r="C86" i="26"/>
  <c r="O86" i="26"/>
  <c r="E87" i="26"/>
  <c r="Q87" i="26"/>
  <c r="S88" i="26"/>
  <c r="K90" i="26"/>
  <c r="W90" i="26"/>
  <c r="M91" i="26"/>
  <c r="Y91" i="26"/>
  <c r="AA92" i="26"/>
  <c r="I94" i="26"/>
  <c r="O94" i="26"/>
  <c r="Y94" i="26"/>
  <c r="AE94" i="26"/>
  <c r="K95" i="26"/>
  <c r="Q95" i="26"/>
  <c r="AA95" i="26"/>
  <c r="C96" i="26"/>
  <c r="S96" i="26"/>
  <c r="G98" i="26"/>
  <c r="Q98" i="26"/>
  <c r="W98" i="26"/>
  <c r="C99" i="26"/>
  <c r="I99" i="26"/>
  <c r="S99" i="26"/>
  <c r="Y99" i="26"/>
  <c r="K100" i="26"/>
  <c r="AA100" i="26"/>
  <c r="I102" i="26"/>
  <c r="O102" i="26"/>
  <c r="Y102" i="26"/>
  <c r="AE102" i="26"/>
  <c r="K103" i="26"/>
  <c r="Q103" i="26"/>
  <c r="AA103" i="26"/>
  <c r="C104" i="26"/>
  <c r="S104" i="26"/>
  <c r="G106" i="26"/>
  <c r="Q106" i="26"/>
  <c r="W106" i="26"/>
  <c r="C107" i="26"/>
  <c r="I107" i="26"/>
  <c r="S107" i="26"/>
  <c r="Y107" i="26"/>
  <c r="K108" i="26"/>
  <c r="AA108" i="26"/>
  <c r="I110" i="26"/>
  <c r="O110" i="26"/>
  <c r="Y110" i="26"/>
  <c r="AE110" i="26"/>
  <c r="K111" i="26"/>
  <c r="Q111" i="26"/>
  <c r="AA111" i="26"/>
  <c r="C112" i="26"/>
  <c r="S112" i="26"/>
  <c r="G114" i="26"/>
  <c r="Q114" i="26"/>
  <c r="W114" i="26"/>
  <c r="C115" i="26"/>
  <c r="I115" i="26"/>
  <c r="S115" i="26"/>
  <c r="Y115" i="26"/>
  <c r="AD115" i="26"/>
  <c r="C116" i="26"/>
  <c r="K116" i="26"/>
  <c r="S116" i="26"/>
  <c r="AA116" i="26"/>
  <c r="D118" i="26"/>
  <c r="G118" i="26"/>
  <c r="L118" i="26"/>
  <c r="O118" i="26"/>
  <c r="T118" i="26"/>
  <c r="W118" i="26"/>
  <c r="AB118" i="26"/>
  <c r="AV118" i="26" s="1"/>
  <c r="AW118" i="26" s="1"/>
  <c r="AE118" i="26"/>
  <c r="F119" i="26"/>
  <c r="I119" i="26"/>
  <c r="N119" i="26"/>
  <c r="Q119" i="26"/>
  <c r="V119" i="26"/>
  <c r="Y119" i="26"/>
  <c r="AD119" i="26"/>
  <c r="C120" i="26"/>
  <c r="K120" i="26"/>
  <c r="S120" i="26"/>
  <c r="AA120" i="26"/>
  <c r="D122" i="26"/>
  <c r="G122" i="26"/>
  <c r="L122" i="26"/>
  <c r="O122" i="26"/>
  <c r="T122" i="26"/>
  <c r="W122" i="26"/>
  <c r="AB122" i="26"/>
  <c r="AV122" i="26" s="1"/>
  <c r="AW122" i="26" s="1"/>
  <c r="AE122" i="26"/>
  <c r="F123" i="26"/>
  <c r="I123" i="26"/>
  <c r="N123" i="26"/>
  <c r="Q123" i="26"/>
  <c r="V123" i="26"/>
  <c r="Y123" i="26"/>
  <c r="AD123" i="26"/>
  <c r="C124" i="26"/>
  <c r="K124" i="26"/>
  <c r="S124" i="26"/>
  <c r="AA124" i="26"/>
  <c r="D126" i="26"/>
  <c r="G126" i="26"/>
  <c r="L126" i="26"/>
  <c r="O126" i="26"/>
  <c r="T126" i="26"/>
  <c r="W126" i="26"/>
  <c r="AB126" i="26"/>
  <c r="AV126" i="26" s="1"/>
  <c r="AW126" i="26" s="1"/>
  <c r="AE126" i="26"/>
  <c r="F127" i="26"/>
  <c r="I127" i="26"/>
  <c r="N127" i="26"/>
  <c r="Q127" i="26"/>
  <c r="V127" i="26"/>
  <c r="Y127" i="26"/>
  <c r="AD127" i="26"/>
  <c r="C128" i="26"/>
  <c r="K128" i="26"/>
  <c r="S128" i="26"/>
  <c r="AA128" i="26"/>
  <c r="D130" i="26"/>
  <c r="G130" i="26"/>
  <c r="L130" i="26"/>
  <c r="O130" i="26"/>
  <c r="T130" i="26"/>
  <c r="W130" i="26"/>
  <c r="AB130" i="26"/>
  <c r="AV130" i="26" s="1"/>
  <c r="AW130" i="26" s="1"/>
  <c r="AE130" i="26"/>
  <c r="F131" i="26"/>
  <c r="I131" i="26"/>
  <c r="N131" i="26"/>
  <c r="Q131" i="26"/>
  <c r="V131" i="26"/>
  <c r="Y131" i="26"/>
  <c r="AD131" i="26"/>
  <c r="C132" i="26"/>
  <c r="K132" i="26"/>
  <c r="S132" i="26"/>
  <c r="AA132" i="26"/>
  <c r="D134" i="26"/>
  <c r="G134" i="26"/>
  <c r="L134" i="26"/>
  <c r="O134" i="26"/>
  <c r="T134" i="26"/>
  <c r="W134" i="26"/>
  <c r="AB134" i="26"/>
  <c r="AV134" i="26" s="1"/>
  <c r="AW134" i="26" s="1"/>
  <c r="AE134" i="26"/>
  <c r="F135" i="26"/>
  <c r="I135" i="26"/>
  <c r="N135" i="26"/>
  <c r="Q135" i="26"/>
  <c r="V135" i="26"/>
  <c r="Y135" i="26"/>
  <c r="AD135" i="26"/>
  <c r="C136" i="26"/>
  <c r="K136" i="26"/>
  <c r="S136" i="26"/>
  <c r="AA136" i="26"/>
  <c r="D138" i="26"/>
  <c r="G138" i="26"/>
  <c r="L138" i="26"/>
  <c r="O138" i="26"/>
  <c r="T138" i="26"/>
  <c r="W138" i="26"/>
  <c r="AB138" i="26"/>
  <c r="AV138" i="26" s="1"/>
  <c r="AW138" i="26" s="1"/>
  <c r="AE138" i="26"/>
  <c r="F139" i="26"/>
  <c r="I139" i="26"/>
  <c r="N139" i="26"/>
  <c r="Q139" i="26"/>
  <c r="V139" i="26"/>
  <c r="Y139" i="26"/>
  <c r="AD139" i="26"/>
  <c r="C140" i="26"/>
  <c r="K140" i="26"/>
  <c r="S140" i="26"/>
  <c r="AA140" i="26"/>
  <c r="D142" i="26"/>
  <c r="G142" i="26"/>
  <c r="L142" i="26"/>
  <c r="O142" i="26"/>
  <c r="T142" i="26"/>
  <c r="W142" i="26"/>
  <c r="AB142" i="26"/>
  <c r="AV142" i="26" s="1"/>
  <c r="AW142" i="26" s="1"/>
  <c r="AE142" i="26"/>
  <c r="F143" i="26"/>
  <c r="I143" i="26"/>
  <c r="N143" i="26"/>
  <c r="Q143" i="26"/>
  <c r="V143" i="26"/>
  <c r="Y143" i="26"/>
  <c r="AD143" i="26"/>
  <c r="C144" i="26"/>
  <c r="K144" i="26"/>
  <c r="S144" i="26"/>
  <c r="AA144" i="26"/>
  <c r="D146" i="26"/>
  <c r="G146" i="26"/>
  <c r="L146" i="26"/>
  <c r="O146" i="26"/>
  <c r="T146" i="26"/>
  <c r="W146" i="26"/>
  <c r="AB146" i="26"/>
  <c r="AV146" i="26" s="1"/>
  <c r="AW146" i="26" s="1"/>
  <c r="AE146" i="26"/>
  <c r="F147" i="26"/>
  <c r="I147" i="26"/>
  <c r="N147" i="26"/>
  <c r="Q147" i="26"/>
  <c r="V147" i="26"/>
  <c r="Y147" i="26"/>
  <c r="AD147" i="26"/>
  <c r="C148" i="26"/>
  <c r="K148" i="26"/>
  <c r="S148" i="26"/>
  <c r="AA148" i="26"/>
  <c r="D150" i="26"/>
  <c r="G150" i="26"/>
  <c r="L150" i="26"/>
  <c r="O150" i="26"/>
  <c r="T150" i="26"/>
  <c r="W150" i="26"/>
  <c r="AB150" i="26"/>
  <c r="AV150" i="26" s="1"/>
  <c r="AW150" i="26" s="1"/>
  <c r="AE150" i="26"/>
  <c r="F151" i="26"/>
  <c r="I151" i="26"/>
  <c r="N151" i="26"/>
  <c r="Q151" i="26"/>
  <c r="V151" i="26"/>
  <c r="Y151" i="26"/>
  <c r="AD151" i="26"/>
  <c r="C152" i="26"/>
  <c r="K152" i="26"/>
  <c r="S152" i="26"/>
  <c r="AA152" i="26"/>
  <c r="D154" i="26"/>
  <c r="G154" i="26"/>
  <c r="L154" i="26"/>
  <c r="O154" i="26"/>
  <c r="T154" i="26"/>
  <c r="W154" i="26"/>
  <c r="AB154" i="26"/>
  <c r="AV154" i="26" s="1"/>
  <c r="AW154" i="26" s="1"/>
  <c r="AE154" i="26"/>
  <c r="F155" i="26"/>
  <c r="I155" i="26"/>
  <c r="N155" i="26"/>
  <c r="Q155" i="26"/>
  <c r="V155" i="26"/>
  <c r="Y155" i="26"/>
  <c r="AD155" i="26"/>
  <c r="C156" i="26"/>
  <c r="K156" i="26"/>
  <c r="S156" i="26"/>
  <c r="AA156" i="26"/>
  <c r="D158" i="26"/>
  <c r="G158" i="26"/>
  <c r="L158" i="26"/>
  <c r="O158" i="26"/>
  <c r="T158" i="26"/>
  <c r="W158" i="26"/>
  <c r="AB158" i="26"/>
  <c r="AV158" i="26" s="1"/>
  <c r="AW158" i="26" s="1"/>
  <c r="AE158" i="26"/>
  <c r="I4" i="26"/>
  <c r="Q4" i="26"/>
  <c r="Y4" i="26"/>
  <c r="E6" i="26"/>
  <c r="J6" i="26"/>
  <c r="M6" i="26"/>
  <c r="R6" i="26"/>
  <c r="U6" i="26"/>
  <c r="Z6" i="26"/>
  <c r="AC6" i="26"/>
  <c r="D7" i="26"/>
  <c r="G7" i="26"/>
  <c r="L7" i="26"/>
  <c r="O7" i="26"/>
  <c r="T7" i="26"/>
  <c r="W7" i="26"/>
  <c r="AB7" i="26"/>
  <c r="AV7" i="26" s="1"/>
  <c r="AW7" i="26" s="1"/>
  <c r="AE7" i="26"/>
  <c r="I8" i="26"/>
  <c r="Q8" i="26"/>
  <c r="Y8" i="26"/>
  <c r="E10" i="26"/>
  <c r="J10" i="26"/>
  <c r="M10" i="26"/>
  <c r="R10" i="26"/>
  <c r="U10" i="26"/>
  <c r="Z10" i="26"/>
  <c r="AC10" i="26"/>
  <c r="D11" i="26"/>
  <c r="G11" i="26"/>
  <c r="L11" i="26"/>
  <c r="O11" i="26"/>
  <c r="T11" i="26"/>
  <c r="W11" i="26"/>
  <c r="AB11" i="26"/>
  <c r="AV11" i="26" s="1"/>
  <c r="AW11" i="26" s="1"/>
  <c r="AE11" i="26"/>
  <c r="I12" i="26"/>
  <c r="Q12" i="26"/>
  <c r="Y12" i="26"/>
  <c r="E14" i="26"/>
  <c r="J14" i="26"/>
  <c r="M14" i="26"/>
  <c r="R14" i="26"/>
  <c r="U14" i="26"/>
  <c r="Z14" i="26"/>
  <c r="AC14" i="26"/>
  <c r="D15" i="26"/>
  <c r="G15" i="26"/>
  <c r="L15" i="26"/>
  <c r="O15" i="26"/>
  <c r="T15" i="26"/>
  <c r="W15" i="26"/>
  <c r="AB15" i="26"/>
  <c r="AV15" i="26" s="1"/>
  <c r="AW15" i="26" s="1"/>
  <c r="AE15" i="26"/>
  <c r="I16" i="26"/>
  <c r="Q16" i="26"/>
  <c r="Y16" i="26"/>
  <c r="E18" i="26"/>
  <c r="J18" i="26"/>
  <c r="M18" i="26"/>
  <c r="R18" i="26"/>
  <c r="U18" i="26"/>
  <c r="Z18" i="26"/>
  <c r="AC18" i="26"/>
  <c r="D19" i="26"/>
  <c r="G19" i="26"/>
  <c r="L19" i="26"/>
  <c r="O19" i="26"/>
  <c r="T19" i="26"/>
  <c r="W19" i="26"/>
  <c r="AB19" i="26"/>
  <c r="AV19" i="26" s="1"/>
  <c r="AW19" i="26" s="1"/>
  <c r="AE19" i="26"/>
  <c r="I20" i="26"/>
  <c r="Q20" i="26"/>
  <c r="Y20" i="26"/>
  <c r="E22" i="26"/>
  <c r="J22" i="26"/>
  <c r="M22" i="26"/>
  <c r="R22" i="26"/>
  <c r="U22" i="26"/>
  <c r="Z22" i="26"/>
  <c r="AC22" i="26"/>
  <c r="D23" i="26"/>
  <c r="G23" i="26"/>
  <c r="L23" i="26"/>
  <c r="M23" i="26"/>
  <c r="P23" i="26"/>
  <c r="Q23" i="26"/>
  <c r="T23" i="26"/>
  <c r="U23" i="26"/>
  <c r="X23" i="26"/>
  <c r="Y23" i="26"/>
  <c r="AB23" i="26"/>
  <c r="AV23" i="26" s="1"/>
  <c r="AW23" i="26" s="1"/>
  <c r="AC23" i="26"/>
  <c r="AF23" i="26"/>
  <c r="C24" i="26"/>
  <c r="G24" i="26"/>
  <c r="K24" i="26"/>
  <c r="O24" i="26"/>
  <c r="S24" i="26"/>
  <c r="W24" i="26"/>
  <c r="AA24" i="26"/>
  <c r="AE24" i="26"/>
  <c r="C26" i="26"/>
  <c r="F26" i="26"/>
  <c r="G26" i="26"/>
  <c r="J26" i="26"/>
  <c r="K26" i="26"/>
  <c r="N26" i="26"/>
  <c r="O26" i="26"/>
  <c r="R26" i="26"/>
  <c r="S26" i="26"/>
  <c r="V26" i="26"/>
  <c r="W26" i="26"/>
  <c r="Z26" i="26"/>
  <c r="AA26" i="26"/>
  <c r="AD26" i="26"/>
  <c r="AE26" i="26"/>
  <c r="D27" i="26"/>
  <c r="E27" i="26"/>
  <c r="H27" i="26"/>
  <c r="I27" i="26"/>
  <c r="L27" i="26"/>
  <c r="M27" i="26"/>
  <c r="P27" i="26"/>
  <c r="Q27" i="26"/>
  <c r="T27" i="26"/>
  <c r="U27" i="26"/>
  <c r="X27" i="26"/>
  <c r="Y27" i="26"/>
  <c r="AB27" i="26"/>
  <c r="AV27" i="26" s="1"/>
  <c r="AW27" i="26" s="1"/>
  <c r="AC27" i="26"/>
  <c r="AF27" i="26"/>
  <c r="C28" i="26"/>
  <c r="G28" i="26"/>
  <c r="K28" i="26"/>
  <c r="O28" i="26"/>
  <c r="S28" i="26"/>
  <c r="W28" i="26"/>
  <c r="AA28" i="26"/>
  <c r="AE28" i="26"/>
  <c r="D3" i="26"/>
  <c r="G3" i="26"/>
  <c r="H3" i="26"/>
  <c r="K3" i="26"/>
  <c r="L3" i="26"/>
  <c r="O3" i="26"/>
  <c r="P3" i="26"/>
  <c r="S3" i="26"/>
  <c r="T3" i="26"/>
  <c r="W3" i="26"/>
  <c r="X3" i="26"/>
  <c r="AA3" i="26"/>
  <c r="AB3" i="26"/>
  <c r="AV3" i="26" s="1"/>
  <c r="AW3" i="26" s="1"/>
  <c r="AE3" i="26"/>
  <c r="AF3" i="26"/>
  <c r="B4" i="26"/>
  <c r="E4" i="26" s="1"/>
  <c r="B5" i="26"/>
  <c r="H5" i="26" s="1"/>
  <c r="B6" i="26"/>
  <c r="I6" i="26" s="1"/>
  <c r="B7" i="26"/>
  <c r="B8" i="26"/>
  <c r="B9" i="26"/>
  <c r="B10" i="26"/>
  <c r="I10" i="26" s="1"/>
  <c r="B11" i="26"/>
  <c r="B12" i="26"/>
  <c r="E12" i="26" s="1"/>
  <c r="B13" i="26"/>
  <c r="G13" i="26" s="1"/>
  <c r="B14" i="26"/>
  <c r="I14" i="26" s="1"/>
  <c r="B15" i="26"/>
  <c r="B16" i="26"/>
  <c r="B17" i="26"/>
  <c r="H17" i="26" s="1"/>
  <c r="B18" i="26"/>
  <c r="I18" i="26" s="1"/>
  <c r="B19" i="26"/>
  <c r="B20" i="26"/>
  <c r="B21" i="26"/>
  <c r="G21" i="26" s="1"/>
  <c r="B22" i="26"/>
  <c r="I22" i="26" s="1"/>
  <c r="B23" i="26"/>
  <c r="B24" i="26"/>
  <c r="E24" i="26" s="1"/>
  <c r="B25" i="26"/>
  <c r="D25" i="26" s="1"/>
  <c r="B26" i="26"/>
  <c r="E26" i="26" s="1"/>
  <c r="B27" i="26"/>
  <c r="B28" i="26"/>
  <c r="B29" i="26"/>
  <c r="B30" i="26"/>
  <c r="H30" i="26" s="1"/>
  <c r="B31" i="26"/>
  <c r="B32" i="26"/>
  <c r="B33" i="26"/>
  <c r="B34" i="26"/>
  <c r="P34" i="26" s="1"/>
  <c r="B35" i="26"/>
  <c r="B36" i="26"/>
  <c r="B37" i="26"/>
  <c r="B38" i="26"/>
  <c r="X38" i="26" s="1"/>
  <c r="B39" i="26"/>
  <c r="B40" i="26"/>
  <c r="B41" i="26"/>
  <c r="B42" i="26"/>
  <c r="AF42" i="26" s="1"/>
  <c r="B43" i="26"/>
  <c r="B44" i="26"/>
  <c r="B45" i="26"/>
  <c r="B46" i="26"/>
  <c r="B47" i="26"/>
  <c r="B48" i="26"/>
  <c r="B49" i="26"/>
  <c r="U49" i="26" s="1"/>
  <c r="B50" i="26"/>
  <c r="W50" i="26" s="1"/>
  <c r="B51" i="26"/>
  <c r="B52" i="26"/>
  <c r="AA52" i="26" s="1"/>
  <c r="B53" i="26"/>
  <c r="AC53" i="26" s="1"/>
  <c r="B54" i="26"/>
  <c r="AE54" i="26" s="1"/>
  <c r="B55" i="26"/>
  <c r="B56" i="26"/>
  <c r="B57" i="26"/>
  <c r="B58" i="26"/>
  <c r="G58" i="26" s="1"/>
  <c r="B59" i="26"/>
  <c r="B60" i="26"/>
  <c r="B61" i="26"/>
  <c r="B62" i="26"/>
  <c r="O62" i="26" s="1"/>
  <c r="B63" i="26"/>
  <c r="B64" i="26"/>
  <c r="S64" i="26" s="1"/>
  <c r="B65" i="26"/>
  <c r="B66" i="26"/>
  <c r="W66" i="26" s="1"/>
  <c r="B67" i="26"/>
  <c r="B68" i="26"/>
  <c r="B69" i="26"/>
  <c r="AC69" i="26" s="1"/>
  <c r="B70" i="26"/>
  <c r="AE70" i="26" s="1"/>
  <c r="B71" i="26"/>
  <c r="B72" i="26"/>
  <c r="C72" i="26" s="1"/>
  <c r="B73" i="26"/>
  <c r="B74" i="26"/>
  <c r="G74" i="26" s="1"/>
  <c r="B75" i="26"/>
  <c r="B76" i="26"/>
  <c r="B77" i="26"/>
  <c r="B78" i="26"/>
  <c r="O78" i="26" s="1"/>
  <c r="B79" i="26"/>
  <c r="B80" i="26"/>
  <c r="S80" i="26" s="1"/>
  <c r="B81" i="26"/>
  <c r="U81" i="26" s="1"/>
  <c r="B82" i="26"/>
  <c r="W82" i="26" s="1"/>
  <c r="B83" i="26"/>
  <c r="B84" i="26"/>
  <c r="B85" i="26"/>
  <c r="B86" i="26"/>
  <c r="AE86" i="26" s="1"/>
  <c r="B87" i="26"/>
  <c r="B88" i="26"/>
  <c r="C88" i="26" s="1"/>
  <c r="B89" i="26"/>
  <c r="B90" i="26"/>
  <c r="G90" i="26" s="1"/>
  <c r="B91" i="26"/>
  <c r="B92" i="26"/>
  <c r="B93" i="26"/>
  <c r="E93" i="26" s="1"/>
  <c r="B94" i="26"/>
  <c r="G94" i="26" s="1"/>
  <c r="B95" i="26"/>
  <c r="B96" i="26"/>
  <c r="B97" i="26"/>
  <c r="B98" i="26"/>
  <c r="O98" i="26" s="1"/>
  <c r="B99" i="26"/>
  <c r="B100" i="26"/>
  <c r="C100" i="26" s="1"/>
  <c r="B101" i="26"/>
  <c r="E101" i="26" s="1"/>
  <c r="B102" i="26"/>
  <c r="G102" i="26" s="1"/>
  <c r="B103" i="26"/>
  <c r="B104" i="26"/>
  <c r="K104" i="26" s="1"/>
  <c r="B105" i="26"/>
  <c r="B106" i="26"/>
  <c r="O106" i="26" s="1"/>
  <c r="B107" i="26"/>
  <c r="B108" i="26"/>
  <c r="B109" i="26"/>
  <c r="B110" i="26"/>
  <c r="G110" i="26" s="1"/>
  <c r="B111" i="26"/>
  <c r="B112" i="26"/>
  <c r="B113" i="26"/>
  <c r="M113" i="26" s="1"/>
  <c r="B114" i="26"/>
  <c r="O114" i="26" s="1"/>
  <c r="B115" i="26"/>
  <c r="B116" i="26"/>
  <c r="G116" i="26" s="1"/>
  <c r="B117" i="26"/>
  <c r="B118" i="26"/>
  <c r="C118" i="26" s="1"/>
  <c r="B119" i="26"/>
  <c r="B120" i="26"/>
  <c r="B121" i="26"/>
  <c r="B122" i="26"/>
  <c r="C122" i="26" s="1"/>
  <c r="B123" i="26"/>
  <c r="B124" i="26"/>
  <c r="B125" i="26"/>
  <c r="I125" i="26" s="1"/>
  <c r="B126" i="26"/>
  <c r="C126" i="26" s="1"/>
  <c r="B127" i="26"/>
  <c r="B128" i="26"/>
  <c r="G128" i="26" s="1"/>
  <c r="B129" i="26"/>
  <c r="I129" i="26" s="1"/>
  <c r="B130" i="26"/>
  <c r="C130" i="26" s="1"/>
  <c r="B131" i="26"/>
  <c r="B132" i="26"/>
  <c r="H132" i="26" s="1"/>
  <c r="B133" i="26"/>
  <c r="B134" i="26"/>
  <c r="C134" i="26" s="1"/>
  <c r="B135" i="26"/>
  <c r="B136" i="26"/>
  <c r="B137" i="26"/>
  <c r="E137" i="26" s="1"/>
  <c r="B138" i="26"/>
  <c r="C138" i="26" s="1"/>
  <c r="B139" i="26"/>
  <c r="B140" i="26"/>
  <c r="G140" i="26" s="1"/>
  <c r="B141" i="26"/>
  <c r="I141" i="26" s="1"/>
  <c r="B142" i="26"/>
  <c r="C142" i="26" s="1"/>
  <c r="B143" i="26"/>
  <c r="B144" i="26"/>
  <c r="B145" i="26"/>
  <c r="B146" i="26"/>
  <c r="C146" i="26" s="1"/>
  <c r="B147" i="26"/>
  <c r="B148" i="26"/>
  <c r="B149" i="26"/>
  <c r="J149" i="26" s="1"/>
  <c r="B150" i="26"/>
  <c r="C150" i="26" s="1"/>
  <c r="B151" i="26"/>
  <c r="B152" i="26"/>
  <c r="G152" i="26" s="1"/>
  <c r="B153" i="26"/>
  <c r="B154" i="26"/>
  <c r="C154" i="26" s="1"/>
  <c r="B155" i="26"/>
  <c r="B156" i="26"/>
  <c r="B157" i="26"/>
  <c r="I157" i="26" s="1"/>
  <c r="B158" i="26"/>
  <c r="C158" i="26" s="1"/>
  <c r="B159" i="26"/>
  <c r="B160" i="26"/>
  <c r="B161" i="26"/>
  <c r="B162" i="26"/>
  <c r="B163" i="26"/>
  <c r="B164" i="26"/>
  <c r="B165" i="26"/>
  <c r="B166" i="26"/>
  <c r="B167" i="26"/>
  <c r="B168" i="26"/>
  <c r="B169" i="26"/>
  <c r="B170" i="26"/>
  <c r="B171" i="26"/>
  <c r="B172" i="26"/>
  <c r="B173" i="26"/>
  <c r="B174" i="26"/>
  <c r="B175" i="26"/>
  <c r="B176" i="26"/>
  <c r="B177" i="26"/>
  <c r="B178" i="26"/>
  <c r="B179" i="26"/>
  <c r="B180" i="26"/>
  <c r="B181" i="26"/>
  <c r="B182" i="26"/>
  <c r="B183" i="26"/>
  <c r="B184" i="26"/>
  <c r="B185" i="26"/>
  <c r="B186" i="26"/>
  <c r="B187" i="26"/>
  <c r="B188" i="26"/>
  <c r="B189" i="26"/>
  <c r="B190" i="26"/>
  <c r="B191" i="26"/>
  <c r="B192" i="26"/>
  <c r="B193" i="26"/>
  <c r="B194" i="26"/>
  <c r="B195" i="26"/>
  <c r="B196" i="26"/>
  <c r="B197" i="26"/>
  <c r="B198" i="26"/>
  <c r="B199" i="26"/>
  <c r="B200" i="26"/>
  <c r="B201" i="26"/>
  <c r="B202" i="26"/>
  <c r="B203" i="26"/>
  <c r="B204" i="26"/>
  <c r="B205" i="26"/>
  <c r="B206" i="26"/>
  <c r="B207" i="26"/>
  <c r="B208" i="26"/>
  <c r="B209" i="26"/>
  <c r="B210" i="26"/>
  <c r="B211" i="26"/>
  <c r="B212" i="26"/>
  <c r="B213" i="26"/>
  <c r="B214" i="26"/>
  <c r="B215" i="26"/>
  <c r="B216" i="26"/>
  <c r="B217" i="26"/>
  <c r="B218" i="26"/>
  <c r="B219" i="26"/>
  <c r="B220" i="26"/>
  <c r="B221" i="26"/>
  <c r="B222" i="26"/>
  <c r="B223" i="26"/>
  <c r="B224" i="26"/>
  <c r="B225" i="26"/>
  <c r="B226" i="26"/>
  <c r="B227" i="26"/>
  <c r="B228" i="26"/>
  <c r="B229" i="26"/>
  <c r="B230" i="26"/>
  <c r="B231" i="26"/>
  <c r="B232" i="26"/>
  <c r="B233" i="26"/>
  <c r="B234" i="26"/>
  <c r="B235" i="26"/>
  <c r="B236" i="26"/>
  <c r="B237" i="26"/>
  <c r="B238" i="26"/>
  <c r="B239" i="26"/>
  <c r="B240" i="26"/>
  <c r="B241" i="26"/>
  <c r="T241" i="26" s="1"/>
  <c r="B242" i="26"/>
  <c r="B243" i="26"/>
  <c r="B244" i="26"/>
  <c r="B245" i="26"/>
  <c r="B246" i="26"/>
  <c r="B247" i="26"/>
  <c r="B248" i="26"/>
  <c r="B249" i="26"/>
  <c r="B250" i="26"/>
  <c r="B251" i="26"/>
  <c r="B252" i="26"/>
  <c r="B253" i="26"/>
  <c r="B254" i="26"/>
  <c r="B255" i="26"/>
  <c r="B256" i="26"/>
  <c r="B257" i="26"/>
  <c r="B258" i="26"/>
  <c r="B259" i="26"/>
  <c r="B260" i="26"/>
  <c r="B261" i="26"/>
  <c r="B262" i="26"/>
  <c r="B263" i="26"/>
  <c r="B264" i="26"/>
  <c r="B265" i="26"/>
  <c r="B266" i="26"/>
  <c r="B267" i="26"/>
  <c r="B268" i="26"/>
  <c r="B269" i="26"/>
  <c r="B270" i="26"/>
  <c r="B271" i="26"/>
  <c r="B272" i="26"/>
  <c r="B273" i="26"/>
  <c r="B274" i="26"/>
  <c r="B275" i="26"/>
  <c r="B276" i="26"/>
  <c r="B277" i="26"/>
  <c r="B278" i="26"/>
  <c r="B279" i="26"/>
  <c r="B280" i="26"/>
  <c r="B281" i="26"/>
  <c r="B282" i="26"/>
  <c r="B283" i="26"/>
  <c r="B284" i="26"/>
  <c r="B285" i="26"/>
  <c r="B286" i="26"/>
  <c r="B287" i="26"/>
  <c r="B288" i="26"/>
  <c r="B289" i="26"/>
  <c r="B290" i="26"/>
  <c r="B291" i="26"/>
  <c r="B292" i="26"/>
  <c r="B293" i="26"/>
  <c r="B294" i="26"/>
  <c r="B295" i="26"/>
  <c r="B296" i="26"/>
  <c r="B297" i="26"/>
  <c r="B298" i="26"/>
  <c r="B299" i="26"/>
  <c r="B300" i="26"/>
  <c r="B301" i="26"/>
  <c r="B302" i="26"/>
  <c r="B303" i="26"/>
  <c r="B304" i="26"/>
  <c r="J304" i="26" s="1"/>
  <c r="B305" i="26"/>
  <c r="B306" i="26"/>
  <c r="B307" i="26"/>
  <c r="B308" i="26"/>
  <c r="B309" i="26"/>
  <c r="B310" i="26"/>
  <c r="B311" i="26"/>
  <c r="B312" i="26"/>
  <c r="B313" i="26"/>
  <c r="B314" i="26"/>
  <c r="B315" i="26"/>
  <c r="B316" i="26"/>
  <c r="R316" i="26" s="1"/>
  <c r="B317" i="26"/>
  <c r="B318" i="26"/>
  <c r="B319" i="26"/>
  <c r="B320" i="26"/>
  <c r="B321" i="26"/>
  <c r="L321" i="26" s="1"/>
  <c r="B322" i="26"/>
  <c r="B323" i="26"/>
  <c r="B324" i="26"/>
  <c r="B325" i="26"/>
  <c r="B326" i="26"/>
  <c r="B327" i="26"/>
  <c r="B328" i="26"/>
  <c r="B329" i="26"/>
  <c r="B330" i="26"/>
  <c r="B331" i="26"/>
  <c r="B332" i="26"/>
  <c r="B333" i="26"/>
  <c r="B334" i="26"/>
  <c r="B335" i="26"/>
  <c r="B336" i="26"/>
  <c r="B337" i="26"/>
  <c r="B338" i="26"/>
  <c r="B339" i="26"/>
  <c r="B340" i="26"/>
  <c r="B341" i="26"/>
  <c r="B342" i="26"/>
  <c r="F342" i="26" s="1"/>
  <c r="B343" i="26"/>
  <c r="B344" i="26"/>
  <c r="B345" i="26"/>
  <c r="B346" i="26"/>
  <c r="N346" i="26" s="1"/>
  <c r="B347" i="26"/>
  <c r="B348" i="26"/>
  <c r="B349" i="26"/>
  <c r="B350" i="26"/>
  <c r="V350" i="26" s="1"/>
  <c r="B351" i="26"/>
  <c r="B352" i="26"/>
  <c r="B353" i="26"/>
  <c r="B354" i="26"/>
  <c r="AD354" i="26" s="1"/>
  <c r="B355" i="26"/>
  <c r="B356" i="26"/>
  <c r="B357" i="26"/>
  <c r="B358" i="26"/>
  <c r="B3" i="26"/>
  <c r="A310" i="26"/>
  <c r="A311" i="26"/>
  <c r="A312" i="26"/>
  <c r="A313" i="26"/>
  <c r="A314" i="26"/>
  <c r="A315" i="26"/>
  <c r="A316" i="26"/>
  <c r="A317" i="26"/>
  <c r="A318" i="26"/>
  <c r="A319" i="26"/>
  <c r="A320" i="26"/>
  <c r="A321" i="26"/>
  <c r="A322" i="26"/>
  <c r="A323" i="26"/>
  <c r="A324" i="26"/>
  <c r="A325" i="26"/>
  <c r="A326" i="26"/>
  <c r="A327" i="26"/>
  <c r="A328" i="26"/>
  <c r="A329" i="26"/>
  <c r="A330" i="26"/>
  <c r="A331" i="26"/>
  <c r="A332" i="26"/>
  <c r="A333" i="26"/>
  <c r="A334" i="26"/>
  <c r="A335" i="26"/>
  <c r="A336" i="26"/>
  <c r="A337" i="26"/>
  <c r="A338" i="26"/>
  <c r="A339" i="26"/>
  <c r="A340" i="26"/>
  <c r="A341" i="26"/>
  <c r="A342" i="26"/>
  <c r="A343" i="26"/>
  <c r="A344" i="26"/>
  <c r="A345" i="26"/>
  <c r="A346" i="26"/>
  <c r="A347" i="26"/>
  <c r="A348" i="26"/>
  <c r="A349" i="26"/>
  <c r="A350" i="26"/>
  <c r="A351" i="26"/>
  <c r="A352" i="26"/>
  <c r="A353" i="26"/>
  <c r="A354" i="26"/>
  <c r="A355" i="26"/>
  <c r="A356" i="26"/>
  <c r="A357" i="26"/>
  <c r="A358" i="26"/>
  <c r="A262" i="26"/>
  <c r="A263" i="26"/>
  <c r="A264" i="26"/>
  <c r="A265" i="26"/>
  <c r="A266" i="26"/>
  <c r="A267" i="26"/>
  <c r="A268" i="26"/>
  <c r="A269" i="26"/>
  <c r="A270" i="26"/>
  <c r="A271" i="26"/>
  <c r="A272" i="26"/>
  <c r="A273" i="26"/>
  <c r="A274" i="26"/>
  <c r="A275" i="26"/>
  <c r="A276" i="26"/>
  <c r="A277" i="26"/>
  <c r="A278" i="26"/>
  <c r="A279" i="26"/>
  <c r="A280" i="26"/>
  <c r="A281" i="26"/>
  <c r="A282" i="26"/>
  <c r="A283" i="26"/>
  <c r="A284" i="26"/>
  <c r="A285" i="26"/>
  <c r="A286" i="26"/>
  <c r="A287" i="26"/>
  <c r="A288" i="26"/>
  <c r="A289" i="26"/>
  <c r="A290" i="26"/>
  <c r="A291" i="26"/>
  <c r="A292" i="26"/>
  <c r="A293" i="26"/>
  <c r="A294" i="26"/>
  <c r="A295" i="26"/>
  <c r="A296" i="26"/>
  <c r="A297" i="26"/>
  <c r="A298" i="26"/>
  <c r="A299" i="26"/>
  <c r="A300" i="26"/>
  <c r="A301" i="26"/>
  <c r="A302" i="26"/>
  <c r="A303" i="26"/>
  <c r="A304" i="26"/>
  <c r="A305" i="26"/>
  <c r="A306" i="26"/>
  <c r="A307" i="26"/>
  <c r="A308" i="26"/>
  <c r="A309" i="26"/>
  <c r="A44" i="26"/>
  <c r="A45" i="26"/>
  <c r="A46" i="26"/>
  <c r="A47" i="26"/>
  <c r="A48" i="26"/>
  <c r="A49" i="26"/>
  <c r="A50" i="26"/>
  <c r="A51" i="26"/>
  <c r="A52" i="26"/>
  <c r="A53" i="26"/>
  <c r="A54" i="26"/>
  <c r="A55" i="26"/>
  <c r="A56" i="26"/>
  <c r="A57" i="26"/>
  <c r="A58" i="26"/>
  <c r="A59" i="26"/>
  <c r="A60" i="26"/>
  <c r="A61" i="26"/>
  <c r="A62" i="26"/>
  <c r="A63" i="26"/>
  <c r="A64" i="26"/>
  <c r="A65" i="26"/>
  <c r="A66" i="26"/>
  <c r="A67" i="26"/>
  <c r="A68" i="26"/>
  <c r="A69" i="26"/>
  <c r="A70" i="26"/>
  <c r="A71" i="26"/>
  <c r="A72" i="26"/>
  <c r="A73" i="26"/>
  <c r="A74" i="26"/>
  <c r="A75" i="26"/>
  <c r="A76" i="26"/>
  <c r="A77" i="26"/>
  <c r="A78" i="26"/>
  <c r="A79" i="26"/>
  <c r="A80" i="26"/>
  <c r="A81" i="26"/>
  <c r="A82" i="26"/>
  <c r="A83" i="26"/>
  <c r="A84" i="26"/>
  <c r="A85" i="26"/>
  <c r="A86" i="26"/>
  <c r="A87" i="26"/>
  <c r="A88" i="26"/>
  <c r="A89" i="26"/>
  <c r="A90" i="26"/>
  <c r="A91" i="26"/>
  <c r="A92" i="26"/>
  <c r="A93" i="26"/>
  <c r="A94" i="26"/>
  <c r="A95" i="26"/>
  <c r="A96" i="26"/>
  <c r="A97" i="26"/>
  <c r="A98" i="26"/>
  <c r="A99" i="26"/>
  <c r="A100" i="26"/>
  <c r="A101" i="26"/>
  <c r="A102" i="26"/>
  <c r="A103" i="26"/>
  <c r="A104" i="26"/>
  <c r="A105" i="26"/>
  <c r="A106" i="26"/>
  <c r="A107" i="26"/>
  <c r="A108" i="26"/>
  <c r="A109" i="26"/>
  <c r="A110" i="26"/>
  <c r="A111" i="26"/>
  <c r="A112" i="26"/>
  <c r="A113" i="26"/>
  <c r="A114" i="26"/>
  <c r="A115" i="26"/>
  <c r="A116" i="26"/>
  <c r="A117" i="26"/>
  <c r="A118" i="26"/>
  <c r="A119" i="26"/>
  <c r="A120" i="26"/>
  <c r="A121" i="26"/>
  <c r="A122" i="26"/>
  <c r="A123" i="26"/>
  <c r="A124" i="26"/>
  <c r="A125" i="26"/>
  <c r="A126" i="26"/>
  <c r="A127" i="26"/>
  <c r="A128" i="26"/>
  <c r="A129" i="26"/>
  <c r="A130" i="26"/>
  <c r="A131" i="26"/>
  <c r="A132" i="26"/>
  <c r="A133" i="26"/>
  <c r="A134" i="26"/>
  <c r="A135" i="26"/>
  <c r="A136" i="26"/>
  <c r="A137" i="26"/>
  <c r="A138" i="26"/>
  <c r="A139" i="26"/>
  <c r="A140" i="26"/>
  <c r="A141" i="26"/>
  <c r="A142" i="26"/>
  <c r="A143" i="26"/>
  <c r="A144" i="26"/>
  <c r="A145" i="26"/>
  <c r="A146" i="26"/>
  <c r="A147" i="26"/>
  <c r="A148" i="26"/>
  <c r="A149" i="26"/>
  <c r="A150" i="26"/>
  <c r="A151" i="26"/>
  <c r="A152" i="26"/>
  <c r="A153" i="26"/>
  <c r="A154" i="26"/>
  <c r="A155" i="26"/>
  <c r="A156" i="26"/>
  <c r="A157" i="26"/>
  <c r="A158" i="26"/>
  <c r="A159" i="26"/>
  <c r="A160" i="26"/>
  <c r="A161" i="26"/>
  <c r="A162" i="26"/>
  <c r="A163" i="26"/>
  <c r="A164" i="26"/>
  <c r="A165" i="26"/>
  <c r="A166" i="26"/>
  <c r="A167" i="26"/>
  <c r="A168" i="26"/>
  <c r="A169" i="26"/>
  <c r="A170" i="26"/>
  <c r="A171" i="26"/>
  <c r="A172" i="26"/>
  <c r="A173" i="26"/>
  <c r="A174" i="26"/>
  <c r="A175" i="26"/>
  <c r="A176" i="26"/>
  <c r="A177" i="26"/>
  <c r="A178" i="26"/>
  <c r="A179" i="26"/>
  <c r="A180" i="26"/>
  <c r="A181" i="26"/>
  <c r="A182" i="26"/>
  <c r="A183" i="26"/>
  <c r="A184" i="26"/>
  <c r="A185" i="26"/>
  <c r="A186" i="26"/>
  <c r="A187" i="26"/>
  <c r="A188" i="26"/>
  <c r="A189" i="26"/>
  <c r="A190" i="26"/>
  <c r="A191" i="26"/>
  <c r="A192" i="26"/>
  <c r="A193" i="26"/>
  <c r="A194" i="26"/>
  <c r="A195" i="26"/>
  <c r="A196" i="26"/>
  <c r="A197" i="26"/>
  <c r="A198" i="26"/>
  <c r="A199" i="26"/>
  <c r="A200" i="26"/>
  <c r="A201" i="26"/>
  <c r="A202" i="26"/>
  <c r="A203" i="26"/>
  <c r="A204" i="26"/>
  <c r="A205" i="26"/>
  <c r="A206" i="26"/>
  <c r="A207" i="26"/>
  <c r="A208" i="26"/>
  <c r="A209" i="26"/>
  <c r="A210" i="26"/>
  <c r="A211" i="26"/>
  <c r="A212" i="26"/>
  <c r="A213" i="26"/>
  <c r="A214" i="26"/>
  <c r="A215" i="26"/>
  <c r="A216" i="26"/>
  <c r="A217" i="26"/>
  <c r="A218" i="26"/>
  <c r="A219" i="26"/>
  <c r="A220" i="26"/>
  <c r="A221" i="26"/>
  <c r="A222" i="26"/>
  <c r="A223" i="26"/>
  <c r="A224" i="26"/>
  <c r="A225" i="26"/>
  <c r="A226" i="26"/>
  <c r="A227" i="26"/>
  <c r="A228" i="26"/>
  <c r="A229" i="26"/>
  <c r="A230" i="26"/>
  <c r="A231" i="26"/>
  <c r="A232" i="26"/>
  <c r="A233" i="26"/>
  <c r="A234" i="26"/>
  <c r="A235" i="26"/>
  <c r="A236" i="26"/>
  <c r="A237" i="26"/>
  <c r="A238" i="26"/>
  <c r="A239" i="26"/>
  <c r="A240" i="26"/>
  <c r="A241" i="26"/>
  <c r="A242" i="26"/>
  <c r="A243" i="26"/>
  <c r="A244" i="26"/>
  <c r="A245" i="26"/>
  <c r="A246" i="26"/>
  <c r="A247" i="26"/>
  <c r="A248" i="26"/>
  <c r="A249" i="26"/>
  <c r="A250" i="26"/>
  <c r="A251" i="26"/>
  <c r="A252" i="26"/>
  <c r="A253" i="26"/>
  <c r="A254" i="26"/>
  <c r="A255" i="26"/>
  <c r="A256" i="26"/>
  <c r="A257" i="26"/>
  <c r="A258" i="26"/>
  <c r="A259" i="26"/>
  <c r="A260" i="26"/>
  <c r="A261" i="26"/>
  <c r="A10" i="26"/>
  <c r="A11" i="26"/>
  <c r="A12" i="26"/>
  <c r="A13" i="26"/>
  <c r="A14" i="26"/>
  <c r="A15" i="26"/>
  <c r="A16" i="26"/>
  <c r="A17" i="26"/>
  <c r="A18" i="26"/>
  <c r="A19" i="26"/>
  <c r="A20" i="26"/>
  <c r="A21" i="26"/>
  <c r="A22" i="26"/>
  <c r="A23" i="26"/>
  <c r="A24" i="26"/>
  <c r="A25" i="26"/>
  <c r="A26" i="26"/>
  <c r="A27" i="26"/>
  <c r="A28" i="26"/>
  <c r="A29" i="26"/>
  <c r="A30" i="26"/>
  <c r="A31" i="26"/>
  <c r="A32" i="26"/>
  <c r="A33" i="26"/>
  <c r="A34" i="26"/>
  <c r="A35" i="26"/>
  <c r="A36" i="26"/>
  <c r="A37" i="26"/>
  <c r="A38" i="26"/>
  <c r="A39" i="26"/>
  <c r="A40" i="26"/>
  <c r="A41" i="26"/>
  <c r="A42" i="26"/>
  <c r="A43" i="26"/>
  <c r="A4" i="26"/>
  <c r="A5" i="26"/>
  <c r="A6" i="26"/>
  <c r="A7" i="26"/>
  <c r="A8" i="26"/>
  <c r="A9" i="26"/>
  <c r="A3" i="26"/>
  <c r="C24" i="13" l="1"/>
  <c r="C18" i="13"/>
  <c r="B15" i="13"/>
  <c r="AM357" i="26"/>
  <c r="AJ357" i="26"/>
  <c r="AG357" i="26"/>
  <c r="AS357" i="26" s="1"/>
  <c r="AT357" i="26" s="1"/>
  <c r="E357" i="26"/>
  <c r="I357" i="26"/>
  <c r="M357" i="26"/>
  <c r="Q357" i="26"/>
  <c r="U357" i="26"/>
  <c r="Y357" i="26"/>
  <c r="AC357" i="26"/>
  <c r="F357" i="26"/>
  <c r="J357" i="26"/>
  <c r="N357" i="26"/>
  <c r="R357" i="26"/>
  <c r="V357" i="26"/>
  <c r="Z357" i="26"/>
  <c r="AD357" i="26"/>
  <c r="C357" i="26"/>
  <c r="G357" i="26"/>
  <c r="K357" i="26"/>
  <c r="O357" i="26"/>
  <c r="S357" i="26"/>
  <c r="W357" i="26"/>
  <c r="AA357" i="26"/>
  <c r="AE357" i="26"/>
  <c r="H357" i="26"/>
  <c r="X357" i="26"/>
  <c r="L357" i="26"/>
  <c r="AB357" i="26"/>
  <c r="AV357" i="26" s="1"/>
  <c r="AW357" i="26" s="1"/>
  <c r="P357" i="26"/>
  <c r="AF357" i="26"/>
  <c r="AM345" i="26"/>
  <c r="AJ345" i="26"/>
  <c r="AG345" i="26"/>
  <c r="AS345" i="26" s="1"/>
  <c r="AT345" i="26" s="1"/>
  <c r="E345" i="26"/>
  <c r="I345" i="26"/>
  <c r="M345" i="26"/>
  <c r="Q345" i="26"/>
  <c r="U345" i="26"/>
  <c r="Y345" i="26"/>
  <c r="AC345" i="26"/>
  <c r="F345" i="26"/>
  <c r="J345" i="26"/>
  <c r="N345" i="26"/>
  <c r="R345" i="26"/>
  <c r="V345" i="26"/>
  <c r="Z345" i="26"/>
  <c r="AD345" i="26"/>
  <c r="C345" i="26"/>
  <c r="G345" i="26"/>
  <c r="K345" i="26"/>
  <c r="O345" i="26"/>
  <c r="S345" i="26"/>
  <c r="W345" i="26"/>
  <c r="AA345" i="26"/>
  <c r="AE345" i="26"/>
  <c r="P345" i="26"/>
  <c r="AF345" i="26"/>
  <c r="D345" i="26"/>
  <c r="T345" i="26"/>
  <c r="H345" i="26"/>
  <c r="X345" i="26"/>
  <c r="L345" i="26"/>
  <c r="AB345" i="26"/>
  <c r="AV345" i="26" s="1"/>
  <c r="AW345" i="26" s="1"/>
  <c r="AM333" i="26"/>
  <c r="AJ333" i="26"/>
  <c r="AG333" i="26"/>
  <c r="AS333" i="26" s="1"/>
  <c r="AT333" i="26" s="1"/>
  <c r="E333" i="26"/>
  <c r="I333" i="26"/>
  <c r="M333" i="26"/>
  <c r="Q333" i="26"/>
  <c r="U333" i="26"/>
  <c r="Y333" i="26"/>
  <c r="AC333" i="26"/>
  <c r="F333" i="26"/>
  <c r="J333" i="26"/>
  <c r="N333" i="26"/>
  <c r="R333" i="26"/>
  <c r="V333" i="26"/>
  <c r="Z333" i="26"/>
  <c r="AD333" i="26"/>
  <c r="C333" i="26"/>
  <c r="G333" i="26"/>
  <c r="K333" i="26"/>
  <c r="O333" i="26"/>
  <c r="S333" i="26"/>
  <c r="W333" i="26"/>
  <c r="AA333" i="26"/>
  <c r="AE333" i="26"/>
  <c r="H333" i="26"/>
  <c r="X333" i="26"/>
  <c r="L333" i="26"/>
  <c r="AB333" i="26"/>
  <c r="AV333" i="26" s="1"/>
  <c r="AW333" i="26" s="1"/>
  <c r="P333" i="26"/>
  <c r="AF333" i="26"/>
  <c r="D333" i="26"/>
  <c r="AM329" i="26"/>
  <c r="AJ329" i="26"/>
  <c r="AG329" i="26"/>
  <c r="AS329" i="26" s="1"/>
  <c r="AT329" i="26" s="1"/>
  <c r="E329" i="26"/>
  <c r="I329" i="26"/>
  <c r="M329" i="26"/>
  <c r="Q329" i="26"/>
  <c r="U329" i="26"/>
  <c r="Y329" i="26"/>
  <c r="AC329" i="26"/>
  <c r="F329" i="26"/>
  <c r="J329" i="26"/>
  <c r="N329" i="26"/>
  <c r="R329" i="26"/>
  <c r="V329" i="26"/>
  <c r="Z329" i="26"/>
  <c r="AD329" i="26"/>
  <c r="C329" i="26"/>
  <c r="G329" i="26"/>
  <c r="K329" i="26"/>
  <c r="O329" i="26"/>
  <c r="S329" i="26"/>
  <c r="W329" i="26"/>
  <c r="AA329" i="26"/>
  <c r="AE329" i="26"/>
  <c r="P329" i="26"/>
  <c r="AF329" i="26"/>
  <c r="D329" i="26"/>
  <c r="T329" i="26"/>
  <c r="H329" i="26"/>
  <c r="X329" i="26"/>
  <c r="AM317" i="26"/>
  <c r="AJ317" i="26"/>
  <c r="AG317" i="26"/>
  <c r="AS317" i="26" s="1"/>
  <c r="AT317" i="26" s="1"/>
  <c r="E317" i="26"/>
  <c r="I317" i="26"/>
  <c r="M317" i="26"/>
  <c r="Q317" i="26"/>
  <c r="U317" i="26"/>
  <c r="Y317" i="26"/>
  <c r="AC317" i="26"/>
  <c r="F317" i="26"/>
  <c r="J317" i="26"/>
  <c r="N317" i="26"/>
  <c r="R317" i="26"/>
  <c r="V317" i="26"/>
  <c r="Z317" i="26"/>
  <c r="AD317" i="26"/>
  <c r="C317" i="26"/>
  <c r="G317" i="26"/>
  <c r="K317" i="26"/>
  <c r="O317" i="26"/>
  <c r="S317" i="26"/>
  <c r="W317" i="26"/>
  <c r="AA317" i="26"/>
  <c r="AE317" i="26"/>
  <c r="H317" i="26"/>
  <c r="X317" i="26"/>
  <c r="L317" i="26"/>
  <c r="AB317" i="26"/>
  <c r="AV317" i="26" s="1"/>
  <c r="AW317" i="26" s="1"/>
  <c r="P317" i="26"/>
  <c r="AF317" i="26"/>
  <c r="T317" i="26"/>
  <c r="AM305" i="26"/>
  <c r="AJ305" i="26"/>
  <c r="AG305" i="26"/>
  <c r="AS305" i="26" s="1"/>
  <c r="AT305" i="26" s="1"/>
  <c r="E305" i="26"/>
  <c r="I305" i="26"/>
  <c r="M305" i="26"/>
  <c r="Q305" i="26"/>
  <c r="U305" i="26"/>
  <c r="Y305" i="26"/>
  <c r="AC305" i="26"/>
  <c r="F305" i="26"/>
  <c r="J305" i="26"/>
  <c r="N305" i="26"/>
  <c r="R305" i="26"/>
  <c r="V305" i="26"/>
  <c r="Z305" i="26"/>
  <c r="AD305" i="26"/>
  <c r="C305" i="26"/>
  <c r="G305" i="26"/>
  <c r="K305" i="26"/>
  <c r="O305" i="26"/>
  <c r="S305" i="26"/>
  <c r="W305" i="26"/>
  <c r="AA305" i="26"/>
  <c r="AE305" i="26"/>
  <c r="P305" i="26"/>
  <c r="AF305" i="26"/>
  <c r="D305" i="26"/>
  <c r="T305" i="26"/>
  <c r="H305" i="26"/>
  <c r="X305" i="26"/>
  <c r="L305" i="26"/>
  <c r="AJ293" i="26"/>
  <c r="AM293" i="26"/>
  <c r="AG293" i="26"/>
  <c r="AS293" i="26" s="1"/>
  <c r="AT293" i="26" s="1"/>
  <c r="F293" i="26"/>
  <c r="J293" i="26"/>
  <c r="N293" i="26"/>
  <c r="R293" i="26"/>
  <c r="V293" i="26"/>
  <c r="Z293" i="26"/>
  <c r="AD293" i="26"/>
  <c r="C293" i="26"/>
  <c r="G293" i="26"/>
  <c r="K293" i="26"/>
  <c r="O293" i="26"/>
  <c r="S293" i="26"/>
  <c r="W293" i="26"/>
  <c r="AA293" i="26"/>
  <c r="AE293" i="26"/>
  <c r="D293" i="26"/>
  <c r="H293" i="26"/>
  <c r="L293" i="26"/>
  <c r="P293" i="26"/>
  <c r="T293" i="26"/>
  <c r="X293" i="26"/>
  <c r="AB293" i="26"/>
  <c r="AV293" i="26" s="1"/>
  <c r="AW293" i="26" s="1"/>
  <c r="AF293" i="26"/>
  <c r="I293" i="26"/>
  <c r="Y293" i="26"/>
  <c r="M293" i="26"/>
  <c r="AC293" i="26"/>
  <c r="Q293" i="26"/>
  <c r="U293" i="26"/>
  <c r="E293" i="26"/>
  <c r="AM281" i="26"/>
  <c r="AJ281" i="26"/>
  <c r="AG281" i="26"/>
  <c r="AS281" i="26" s="1"/>
  <c r="AT281" i="26" s="1"/>
  <c r="F281" i="26"/>
  <c r="J281" i="26"/>
  <c r="N281" i="26"/>
  <c r="R281" i="26"/>
  <c r="V281" i="26"/>
  <c r="Z281" i="26"/>
  <c r="AD281" i="26"/>
  <c r="C281" i="26"/>
  <c r="G281" i="26"/>
  <c r="K281" i="26"/>
  <c r="O281" i="26"/>
  <c r="S281" i="26"/>
  <c r="W281" i="26"/>
  <c r="AA281" i="26"/>
  <c r="AE281" i="26"/>
  <c r="D281" i="26"/>
  <c r="H281" i="26"/>
  <c r="L281" i="26"/>
  <c r="P281" i="26"/>
  <c r="T281" i="26"/>
  <c r="X281" i="26"/>
  <c r="AB281" i="26"/>
  <c r="AV281" i="26" s="1"/>
  <c r="AW281" i="26" s="1"/>
  <c r="AF281" i="26"/>
  <c r="Q281" i="26"/>
  <c r="E281" i="26"/>
  <c r="U281" i="26"/>
  <c r="I281" i="26"/>
  <c r="Y281" i="26"/>
  <c r="M281" i="26"/>
  <c r="AC281" i="26"/>
  <c r="AM269" i="26"/>
  <c r="AJ269" i="26"/>
  <c r="AG269" i="26"/>
  <c r="AS269" i="26" s="1"/>
  <c r="AT269" i="26" s="1"/>
  <c r="F269" i="26"/>
  <c r="J269" i="26"/>
  <c r="N269" i="26"/>
  <c r="R269" i="26"/>
  <c r="V269" i="26"/>
  <c r="Z269" i="26"/>
  <c r="AD269" i="26"/>
  <c r="C269" i="26"/>
  <c r="G269" i="26"/>
  <c r="K269" i="26"/>
  <c r="O269" i="26"/>
  <c r="S269" i="26"/>
  <c r="W269" i="26"/>
  <c r="AA269" i="26"/>
  <c r="AE269" i="26"/>
  <c r="D269" i="26"/>
  <c r="H269" i="26"/>
  <c r="L269" i="26"/>
  <c r="P269" i="26"/>
  <c r="T269" i="26"/>
  <c r="X269" i="26"/>
  <c r="AB269" i="26"/>
  <c r="AV269" i="26" s="1"/>
  <c r="AW269" i="26" s="1"/>
  <c r="AF269" i="26"/>
  <c r="I269" i="26"/>
  <c r="Y269" i="26"/>
  <c r="M269" i="26"/>
  <c r="AC269" i="26"/>
  <c r="Q269" i="26"/>
  <c r="E269" i="26"/>
  <c r="U269" i="26"/>
  <c r="AM257" i="26"/>
  <c r="AJ257" i="26"/>
  <c r="AG257" i="26"/>
  <c r="AS257" i="26" s="1"/>
  <c r="AT257" i="26" s="1"/>
  <c r="E257" i="26"/>
  <c r="F257" i="26"/>
  <c r="J257" i="26"/>
  <c r="N257" i="26"/>
  <c r="R257" i="26"/>
  <c r="V257" i="26"/>
  <c r="Z257" i="26"/>
  <c r="AD257" i="26"/>
  <c r="C257" i="26"/>
  <c r="G257" i="26"/>
  <c r="K257" i="26"/>
  <c r="O257" i="26"/>
  <c r="S257" i="26"/>
  <c r="W257" i="26"/>
  <c r="AA257" i="26"/>
  <c r="AE257" i="26"/>
  <c r="H257" i="26"/>
  <c r="P257" i="26"/>
  <c r="X257" i="26"/>
  <c r="AF257" i="26"/>
  <c r="I257" i="26"/>
  <c r="Q257" i="26"/>
  <c r="Y257" i="26"/>
  <c r="L257" i="26"/>
  <c r="T257" i="26"/>
  <c r="AB257" i="26"/>
  <c r="AV257" i="26" s="1"/>
  <c r="AW257" i="26" s="1"/>
  <c r="D257" i="26"/>
  <c r="M257" i="26"/>
  <c r="U257" i="26"/>
  <c r="AC257" i="26"/>
  <c r="AM245" i="26"/>
  <c r="AJ245" i="26"/>
  <c r="AG245" i="26"/>
  <c r="AS245" i="26" s="1"/>
  <c r="AT245" i="26" s="1"/>
  <c r="E245" i="26"/>
  <c r="I245" i="26"/>
  <c r="M245" i="26"/>
  <c r="Q245" i="26"/>
  <c r="U245" i="26"/>
  <c r="Y245" i="26"/>
  <c r="AC245" i="26"/>
  <c r="F245" i="26"/>
  <c r="J245" i="26"/>
  <c r="N245" i="26"/>
  <c r="R245" i="26"/>
  <c r="V245" i="26"/>
  <c r="Z245" i="26"/>
  <c r="AD245" i="26"/>
  <c r="C245" i="26"/>
  <c r="G245" i="26"/>
  <c r="K245" i="26"/>
  <c r="O245" i="26"/>
  <c r="S245" i="26"/>
  <c r="W245" i="26"/>
  <c r="AA245" i="26"/>
  <c r="AE245" i="26"/>
  <c r="P245" i="26"/>
  <c r="AF245" i="26"/>
  <c r="D245" i="26"/>
  <c r="T245" i="26"/>
  <c r="H245" i="26"/>
  <c r="X245" i="26"/>
  <c r="L245" i="26"/>
  <c r="AB245" i="26"/>
  <c r="AV245" i="26" s="1"/>
  <c r="AW245" i="26" s="1"/>
  <c r="AM233" i="26"/>
  <c r="AJ233" i="26"/>
  <c r="AG233" i="26"/>
  <c r="AS233" i="26" s="1"/>
  <c r="AT233" i="26" s="1"/>
  <c r="E233" i="26"/>
  <c r="I233" i="26"/>
  <c r="M233" i="26"/>
  <c r="Q233" i="26"/>
  <c r="U233" i="26"/>
  <c r="Y233" i="26"/>
  <c r="AC233" i="26"/>
  <c r="F233" i="26"/>
  <c r="J233" i="26"/>
  <c r="N233" i="26"/>
  <c r="R233" i="26"/>
  <c r="V233" i="26"/>
  <c r="Z233" i="26"/>
  <c r="AD233" i="26"/>
  <c r="C233" i="26"/>
  <c r="G233" i="26"/>
  <c r="K233" i="26"/>
  <c r="O233" i="26"/>
  <c r="S233" i="26"/>
  <c r="W233" i="26"/>
  <c r="AA233" i="26"/>
  <c r="AE233" i="26"/>
  <c r="H233" i="26"/>
  <c r="X233" i="26"/>
  <c r="L233" i="26"/>
  <c r="AB233" i="26"/>
  <c r="AV233" i="26" s="1"/>
  <c r="AW233" i="26" s="1"/>
  <c r="P233" i="26"/>
  <c r="AF233" i="26"/>
  <c r="T233" i="26"/>
  <c r="AM225" i="26"/>
  <c r="AJ225" i="26"/>
  <c r="AG225" i="26"/>
  <c r="AS225" i="26" s="1"/>
  <c r="AT225" i="26" s="1"/>
  <c r="F225" i="26"/>
  <c r="J225" i="26"/>
  <c r="N225" i="26"/>
  <c r="R225" i="26"/>
  <c r="V225" i="26"/>
  <c r="Z225" i="26"/>
  <c r="AD225" i="26"/>
  <c r="C225" i="26"/>
  <c r="G225" i="26"/>
  <c r="K225" i="26"/>
  <c r="O225" i="26"/>
  <c r="S225" i="26"/>
  <c r="W225" i="26"/>
  <c r="AA225" i="26"/>
  <c r="AE225" i="26"/>
  <c r="D225" i="26"/>
  <c r="H225" i="26"/>
  <c r="L225" i="26"/>
  <c r="P225" i="26"/>
  <c r="T225" i="26"/>
  <c r="X225" i="26"/>
  <c r="AB225" i="26"/>
  <c r="AV225" i="26" s="1"/>
  <c r="AW225" i="26" s="1"/>
  <c r="AF225" i="26"/>
  <c r="M225" i="26"/>
  <c r="AC225" i="26"/>
  <c r="Q225" i="26"/>
  <c r="E225" i="26"/>
  <c r="U225" i="26"/>
  <c r="I225" i="26"/>
  <c r="Y225" i="26"/>
  <c r="AM217" i="26"/>
  <c r="AJ217" i="26"/>
  <c r="AG217" i="26"/>
  <c r="AS217" i="26" s="1"/>
  <c r="AT217" i="26" s="1"/>
  <c r="F217" i="26"/>
  <c r="J217" i="26"/>
  <c r="N217" i="26"/>
  <c r="R217" i="26"/>
  <c r="V217" i="26"/>
  <c r="Z217" i="26"/>
  <c r="AD217" i="26"/>
  <c r="C217" i="26"/>
  <c r="G217" i="26"/>
  <c r="K217" i="26"/>
  <c r="O217" i="26"/>
  <c r="S217" i="26"/>
  <c r="W217" i="26"/>
  <c r="AA217" i="26"/>
  <c r="AE217" i="26"/>
  <c r="D217" i="26"/>
  <c r="H217" i="26"/>
  <c r="L217" i="26"/>
  <c r="P217" i="26"/>
  <c r="T217" i="26"/>
  <c r="X217" i="26"/>
  <c r="AB217" i="26"/>
  <c r="AV217" i="26" s="1"/>
  <c r="AW217" i="26" s="1"/>
  <c r="AF217" i="26"/>
  <c r="M217" i="26"/>
  <c r="AC217" i="26"/>
  <c r="Q217" i="26"/>
  <c r="E217" i="26"/>
  <c r="U217" i="26"/>
  <c r="I217" i="26"/>
  <c r="Y217" i="26"/>
  <c r="AM205" i="26"/>
  <c r="AJ205" i="26"/>
  <c r="AG205" i="26"/>
  <c r="AS205" i="26" s="1"/>
  <c r="AT205" i="26" s="1"/>
  <c r="F205" i="26"/>
  <c r="J205" i="26"/>
  <c r="N205" i="26"/>
  <c r="R205" i="26"/>
  <c r="V205" i="26"/>
  <c r="Z205" i="26"/>
  <c r="AD205" i="26"/>
  <c r="C205" i="26"/>
  <c r="G205" i="26"/>
  <c r="K205" i="26"/>
  <c r="O205" i="26"/>
  <c r="S205" i="26"/>
  <c r="W205" i="26"/>
  <c r="AA205" i="26"/>
  <c r="AE205" i="26"/>
  <c r="D205" i="26"/>
  <c r="H205" i="26"/>
  <c r="L205" i="26"/>
  <c r="P205" i="26"/>
  <c r="T205" i="26"/>
  <c r="X205" i="26"/>
  <c r="AB205" i="26"/>
  <c r="AV205" i="26" s="1"/>
  <c r="AW205" i="26" s="1"/>
  <c r="AF205" i="26"/>
  <c r="E205" i="26"/>
  <c r="U205" i="26"/>
  <c r="I205" i="26"/>
  <c r="Y205" i="26"/>
  <c r="M205" i="26"/>
  <c r="AC205" i="26"/>
  <c r="Q205" i="26"/>
  <c r="AM193" i="26"/>
  <c r="AJ193" i="26"/>
  <c r="AG193" i="26"/>
  <c r="AS193" i="26" s="1"/>
  <c r="AT193" i="26" s="1"/>
  <c r="F193" i="26"/>
  <c r="J193" i="26"/>
  <c r="N193" i="26"/>
  <c r="R193" i="26"/>
  <c r="V193" i="26"/>
  <c r="Z193" i="26"/>
  <c r="AD193" i="26"/>
  <c r="C193" i="26"/>
  <c r="G193" i="26"/>
  <c r="K193" i="26"/>
  <c r="O193" i="26"/>
  <c r="S193" i="26"/>
  <c r="W193" i="26"/>
  <c r="AA193" i="26"/>
  <c r="AE193" i="26"/>
  <c r="D193" i="26"/>
  <c r="H193" i="26"/>
  <c r="L193" i="26"/>
  <c r="P193" i="26"/>
  <c r="T193" i="26"/>
  <c r="X193" i="26"/>
  <c r="AB193" i="26"/>
  <c r="AV193" i="26" s="1"/>
  <c r="AW193" i="26" s="1"/>
  <c r="AF193" i="26"/>
  <c r="M193" i="26"/>
  <c r="AC193" i="26"/>
  <c r="Q193" i="26"/>
  <c r="E193" i="26"/>
  <c r="U193" i="26"/>
  <c r="I193" i="26"/>
  <c r="Y193" i="26"/>
  <c r="AM181" i="26"/>
  <c r="AJ181" i="26"/>
  <c r="AG181" i="26"/>
  <c r="AS181" i="26" s="1"/>
  <c r="AT181" i="26" s="1"/>
  <c r="E181" i="26"/>
  <c r="I181" i="26"/>
  <c r="M181" i="26"/>
  <c r="Q181" i="26"/>
  <c r="U181" i="26"/>
  <c r="Y181" i="26"/>
  <c r="AC181" i="26"/>
  <c r="F181" i="26"/>
  <c r="J181" i="26"/>
  <c r="N181" i="26"/>
  <c r="R181" i="26"/>
  <c r="V181" i="26"/>
  <c r="Z181" i="26"/>
  <c r="AD181" i="26"/>
  <c r="C181" i="26"/>
  <c r="G181" i="26"/>
  <c r="K181" i="26"/>
  <c r="O181" i="26"/>
  <c r="S181" i="26"/>
  <c r="W181" i="26"/>
  <c r="AA181" i="26"/>
  <c r="AE181" i="26"/>
  <c r="D181" i="26"/>
  <c r="T181" i="26"/>
  <c r="H181" i="26"/>
  <c r="X181" i="26"/>
  <c r="L181" i="26"/>
  <c r="AB181" i="26"/>
  <c r="AV181" i="26" s="1"/>
  <c r="AW181" i="26" s="1"/>
  <c r="P181" i="26"/>
  <c r="AF181" i="26"/>
  <c r="AM169" i="26"/>
  <c r="AJ169" i="26"/>
  <c r="AG169" i="26"/>
  <c r="AS169" i="26" s="1"/>
  <c r="AT169" i="26" s="1"/>
  <c r="D169" i="26"/>
  <c r="H169" i="26"/>
  <c r="L169" i="26"/>
  <c r="P169" i="26"/>
  <c r="T169" i="26"/>
  <c r="X169" i="26"/>
  <c r="AB169" i="26"/>
  <c r="AV169" i="26" s="1"/>
  <c r="AW169" i="26" s="1"/>
  <c r="AF169" i="26"/>
  <c r="E169" i="26"/>
  <c r="I169" i="26"/>
  <c r="M169" i="26"/>
  <c r="Q169" i="26"/>
  <c r="U169" i="26"/>
  <c r="Y169" i="26"/>
  <c r="AC169" i="26"/>
  <c r="F169" i="26"/>
  <c r="J169" i="26"/>
  <c r="N169" i="26"/>
  <c r="R169" i="26"/>
  <c r="V169" i="26"/>
  <c r="Z169" i="26"/>
  <c r="AD169" i="26"/>
  <c r="K169" i="26"/>
  <c r="AA169" i="26"/>
  <c r="O169" i="26"/>
  <c r="AE169" i="26"/>
  <c r="C169" i="26"/>
  <c r="S169" i="26"/>
  <c r="W169" i="26"/>
  <c r="G169" i="26"/>
  <c r="AM153" i="26"/>
  <c r="AJ153" i="26"/>
  <c r="AG153" i="26"/>
  <c r="AS153" i="26" s="1"/>
  <c r="AT153" i="26" s="1"/>
  <c r="C153" i="26"/>
  <c r="G153" i="26"/>
  <c r="K153" i="26"/>
  <c r="O153" i="26"/>
  <c r="S153" i="26"/>
  <c r="W153" i="26"/>
  <c r="AA153" i="26"/>
  <c r="AE153" i="26"/>
  <c r="D153" i="26"/>
  <c r="H153" i="26"/>
  <c r="L153" i="26"/>
  <c r="P153" i="26"/>
  <c r="T153" i="26"/>
  <c r="X153" i="26"/>
  <c r="AB153" i="26"/>
  <c r="AV153" i="26" s="1"/>
  <c r="AW153" i="26" s="1"/>
  <c r="AF153" i="26"/>
  <c r="AM145" i="26"/>
  <c r="AJ145" i="26"/>
  <c r="AG145" i="26"/>
  <c r="AS145" i="26" s="1"/>
  <c r="AT145" i="26" s="1"/>
  <c r="C145" i="26"/>
  <c r="G145" i="26"/>
  <c r="K145" i="26"/>
  <c r="O145" i="26"/>
  <c r="S145" i="26"/>
  <c r="W145" i="26"/>
  <c r="AA145" i="26"/>
  <c r="AE145" i="26"/>
  <c r="D145" i="26"/>
  <c r="H145" i="26"/>
  <c r="L145" i="26"/>
  <c r="P145" i="26"/>
  <c r="T145" i="26"/>
  <c r="X145" i="26"/>
  <c r="AB145" i="26"/>
  <c r="AV145" i="26" s="1"/>
  <c r="AW145" i="26" s="1"/>
  <c r="AF145" i="26"/>
  <c r="AJ133" i="26"/>
  <c r="AG133" i="26"/>
  <c r="AS133" i="26" s="1"/>
  <c r="AT133" i="26" s="1"/>
  <c r="AM133" i="26"/>
  <c r="C133" i="26"/>
  <c r="G133" i="26"/>
  <c r="K133" i="26"/>
  <c r="O133" i="26"/>
  <c r="S133" i="26"/>
  <c r="W133" i="26"/>
  <c r="AA133" i="26"/>
  <c r="AE133" i="26"/>
  <c r="D133" i="26"/>
  <c r="H133" i="26"/>
  <c r="L133" i="26"/>
  <c r="P133" i="26"/>
  <c r="T133" i="26"/>
  <c r="X133" i="26"/>
  <c r="AB133" i="26"/>
  <c r="AV133" i="26" s="1"/>
  <c r="AW133" i="26" s="1"/>
  <c r="AF133" i="26"/>
  <c r="AM121" i="26"/>
  <c r="AJ121" i="26"/>
  <c r="AG121" i="26"/>
  <c r="AS121" i="26" s="1"/>
  <c r="AT121" i="26" s="1"/>
  <c r="C121" i="26"/>
  <c r="G121" i="26"/>
  <c r="K121" i="26"/>
  <c r="O121" i="26"/>
  <c r="S121" i="26"/>
  <c r="W121" i="26"/>
  <c r="AA121" i="26"/>
  <c r="AE121" i="26"/>
  <c r="D121" i="26"/>
  <c r="H121" i="26"/>
  <c r="L121" i="26"/>
  <c r="P121" i="26"/>
  <c r="T121" i="26"/>
  <c r="X121" i="26"/>
  <c r="AB121" i="26"/>
  <c r="AV121" i="26" s="1"/>
  <c r="AW121" i="26" s="1"/>
  <c r="AF121" i="26"/>
  <c r="AM109" i="26"/>
  <c r="AJ109" i="26"/>
  <c r="AG109" i="26"/>
  <c r="AS109" i="26" s="1"/>
  <c r="AT109" i="26" s="1"/>
  <c r="F109" i="26"/>
  <c r="J109" i="26"/>
  <c r="N109" i="26"/>
  <c r="R109" i="26"/>
  <c r="V109" i="26"/>
  <c r="Z109" i="26"/>
  <c r="AD109" i="26"/>
  <c r="D109" i="26"/>
  <c r="H109" i="26"/>
  <c r="L109" i="26"/>
  <c r="P109" i="26"/>
  <c r="T109" i="26"/>
  <c r="X109" i="26"/>
  <c r="AB109" i="26"/>
  <c r="AV109" i="26" s="1"/>
  <c r="AW109" i="26" s="1"/>
  <c r="AF109" i="26"/>
  <c r="I109" i="26"/>
  <c r="Q109" i="26"/>
  <c r="Y109" i="26"/>
  <c r="C109" i="26"/>
  <c r="K109" i="26"/>
  <c r="S109" i="26"/>
  <c r="AA109" i="26"/>
  <c r="AM97" i="26"/>
  <c r="AJ97" i="26"/>
  <c r="AG97" i="26"/>
  <c r="AS97" i="26" s="1"/>
  <c r="AT97" i="26" s="1"/>
  <c r="F97" i="26"/>
  <c r="J97" i="26"/>
  <c r="N97" i="26"/>
  <c r="R97" i="26"/>
  <c r="V97" i="26"/>
  <c r="Z97" i="26"/>
  <c r="AD97" i="26"/>
  <c r="D97" i="26"/>
  <c r="H97" i="26"/>
  <c r="L97" i="26"/>
  <c r="P97" i="26"/>
  <c r="T97" i="26"/>
  <c r="X97" i="26"/>
  <c r="AB97" i="26"/>
  <c r="AV97" i="26" s="1"/>
  <c r="AW97" i="26" s="1"/>
  <c r="AF97" i="26"/>
  <c r="I97" i="26"/>
  <c r="Q97" i="26"/>
  <c r="Y97" i="26"/>
  <c r="C97" i="26"/>
  <c r="K97" i="26"/>
  <c r="S97" i="26"/>
  <c r="AA97" i="26"/>
  <c r="AM85" i="26"/>
  <c r="AJ85" i="26"/>
  <c r="AG85" i="26"/>
  <c r="AS85" i="26" s="1"/>
  <c r="AT85" i="26" s="1"/>
  <c r="F85" i="26"/>
  <c r="J85" i="26"/>
  <c r="N85" i="26"/>
  <c r="R85" i="26"/>
  <c r="V85" i="26"/>
  <c r="Z85" i="26"/>
  <c r="AD85" i="26"/>
  <c r="C85" i="26"/>
  <c r="G85" i="26"/>
  <c r="K85" i="26"/>
  <c r="O85" i="26"/>
  <c r="S85" i="26"/>
  <c r="W85" i="26"/>
  <c r="AA85" i="26"/>
  <c r="AE85" i="26"/>
  <c r="D85" i="26"/>
  <c r="H85" i="26"/>
  <c r="L85" i="26"/>
  <c r="P85" i="26"/>
  <c r="T85" i="26"/>
  <c r="X85" i="26"/>
  <c r="AB85" i="26"/>
  <c r="AV85" i="26" s="1"/>
  <c r="AW85" i="26" s="1"/>
  <c r="AF85" i="26"/>
  <c r="E85" i="26"/>
  <c r="U85" i="26"/>
  <c r="I85" i="26"/>
  <c r="Y85" i="26"/>
  <c r="AM73" i="26"/>
  <c r="AJ73" i="26"/>
  <c r="AG73" i="26"/>
  <c r="AS73" i="26" s="1"/>
  <c r="AT73" i="26" s="1"/>
  <c r="F73" i="26"/>
  <c r="J73" i="26"/>
  <c r="N73" i="26"/>
  <c r="R73" i="26"/>
  <c r="V73" i="26"/>
  <c r="Z73" i="26"/>
  <c r="AD73" i="26"/>
  <c r="C73" i="26"/>
  <c r="G73" i="26"/>
  <c r="K73" i="26"/>
  <c r="O73" i="26"/>
  <c r="S73" i="26"/>
  <c r="W73" i="26"/>
  <c r="AA73" i="26"/>
  <c r="AE73" i="26"/>
  <c r="D73" i="26"/>
  <c r="H73" i="26"/>
  <c r="L73" i="26"/>
  <c r="P73" i="26"/>
  <c r="T73" i="26"/>
  <c r="X73" i="26"/>
  <c r="AB73" i="26"/>
  <c r="AV73" i="26" s="1"/>
  <c r="AW73" i="26" s="1"/>
  <c r="AF73" i="26"/>
  <c r="M73" i="26"/>
  <c r="AC73" i="26"/>
  <c r="Q73" i="26"/>
  <c r="AJ61" i="26"/>
  <c r="AM61" i="26"/>
  <c r="AG61" i="26"/>
  <c r="AS61" i="26" s="1"/>
  <c r="AT61" i="26" s="1"/>
  <c r="F61" i="26"/>
  <c r="J61" i="26"/>
  <c r="N61" i="26"/>
  <c r="R61" i="26"/>
  <c r="V61" i="26"/>
  <c r="Z61" i="26"/>
  <c r="AD61" i="26"/>
  <c r="C61" i="26"/>
  <c r="G61" i="26"/>
  <c r="K61" i="26"/>
  <c r="O61" i="26"/>
  <c r="S61" i="26"/>
  <c r="W61" i="26"/>
  <c r="AA61" i="26"/>
  <c r="AE61" i="26"/>
  <c r="D61" i="26"/>
  <c r="H61" i="26"/>
  <c r="L61" i="26"/>
  <c r="P61" i="26"/>
  <c r="T61" i="26"/>
  <c r="X61" i="26"/>
  <c r="AB61" i="26"/>
  <c r="AV61" i="26" s="1"/>
  <c r="AW61" i="26" s="1"/>
  <c r="AF61" i="26"/>
  <c r="E61" i="26"/>
  <c r="U61" i="26"/>
  <c r="I61" i="26"/>
  <c r="Y61" i="26"/>
  <c r="Y25" i="26"/>
  <c r="Q25" i="26"/>
  <c r="AA21" i="26"/>
  <c r="S21" i="26"/>
  <c r="K21" i="26"/>
  <c r="C21" i="26"/>
  <c r="AA17" i="26"/>
  <c r="S17" i="26"/>
  <c r="K17" i="26"/>
  <c r="C17" i="26"/>
  <c r="AA5" i="26"/>
  <c r="S5" i="26"/>
  <c r="K5" i="26"/>
  <c r="C5" i="26"/>
  <c r="AC153" i="26"/>
  <c r="U153" i="26"/>
  <c r="M153" i="26"/>
  <c r="E153" i="26"/>
  <c r="AC145" i="26"/>
  <c r="U145" i="26"/>
  <c r="M145" i="26"/>
  <c r="E145" i="26"/>
  <c r="AC141" i="26"/>
  <c r="M141" i="26"/>
  <c r="AC137" i="26"/>
  <c r="U137" i="26"/>
  <c r="M137" i="26"/>
  <c r="AC133" i="26"/>
  <c r="U133" i="26"/>
  <c r="M133" i="26"/>
  <c r="E133" i="26"/>
  <c r="U113" i="26"/>
  <c r="E81" i="26"/>
  <c r="E49" i="26"/>
  <c r="AM352" i="26"/>
  <c r="AJ352" i="26"/>
  <c r="AG352" i="26"/>
  <c r="AS352" i="26" s="1"/>
  <c r="AT352" i="26" s="1"/>
  <c r="C352" i="26"/>
  <c r="G352" i="26"/>
  <c r="K352" i="26"/>
  <c r="O352" i="26"/>
  <c r="S352" i="26"/>
  <c r="W352" i="26"/>
  <c r="AA352" i="26"/>
  <c r="AE352" i="26"/>
  <c r="D352" i="26"/>
  <c r="H352" i="26"/>
  <c r="L352" i="26"/>
  <c r="P352" i="26"/>
  <c r="T352" i="26"/>
  <c r="X352" i="26"/>
  <c r="AB352" i="26"/>
  <c r="AV352" i="26" s="1"/>
  <c r="AW352" i="26" s="1"/>
  <c r="AF352" i="26"/>
  <c r="E352" i="26"/>
  <c r="I352" i="26"/>
  <c r="M352" i="26"/>
  <c r="Q352" i="26"/>
  <c r="U352" i="26"/>
  <c r="Y352" i="26"/>
  <c r="AC352" i="26"/>
  <c r="N352" i="26"/>
  <c r="AD352" i="26"/>
  <c r="R352" i="26"/>
  <c r="F352" i="26"/>
  <c r="V352" i="26"/>
  <c r="J352" i="26"/>
  <c r="AM340" i="26"/>
  <c r="AJ340" i="26"/>
  <c r="AG340" i="26"/>
  <c r="AS340" i="26" s="1"/>
  <c r="AT340" i="26" s="1"/>
  <c r="C340" i="26"/>
  <c r="G340" i="26"/>
  <c r="K340" i="26"/>
  <c r="O340" i="26"/>
  <c r="S340" i="26"/>
  <c r="W340" i="26"/>
  <c r="AA340" i="26"/>
  <c r="AE340" i="26"/>
  <c r="D340" i="26"/>
  <c r="H340" i="26"/>
  <c r="L340" i="26"/>
  <c r="P340" i="26"/>
  <c r="T340" i="26"/>
  <c r="X340" i="26"/>
  <c r="AB340" i="26"/>
  <c r="AV340" i="26" s="1"/>
  <c r="AW340" i="26" s="1"/>
  <c r="AF340" i="26"/>
  <c r="E340" i="26"/>
  <c r="I340" i="26"/>
  <c r="M340" i="26"/>
  <c r="Q340" i="26"/>
  <c r="U340" i="26"/>
  <c r="Y340" i="26"/>
  <c r="AC340" i="26"/>
  <c r="F340" i="26"/>
  <c r="V340" i="26"/>
  <c r="J340" i="26"/>
  <c r="Z340" i="26"/>
  <c r="N340" i="26"/>
  <c r="AD340" i="26"/>
  <c r="AM328" i="26"/>
  <c r="AJ328" i="26"/>
  <c r="AG328" i="26"/>
  <c r="AS328" i="26" s="1"/>
  <c r="AT328" i="26" s="1"/>
  <c r="C328" i="26"/>
  <c r="G328" i="26"/>
  <c r="K328" i="26"/>
  <c r="O328" i="26"/>
  <c r="S328" i="26"/>
  <c r="W328" i="26"/>
  <c r="AA328" i="26"/>
  <c r="AE328" i="26"/>
  <c r="D328" i="26"/>
  <c r="H328" i="26"/>
  <c r="L328" i="26"/>
  <c r="P328" i="26"/>
  <c r="T328" i="26"/>
  <c r="X328" i="26"/>
  <c r="AB328" i="26"/>
  <c r="AV328" i="26" s="1"/>
  <c r="AW328" i="26" s="1"/>
  <c r="AF328" i="26"/>
  <c r="E328" i="26"/>
  <c r="I328" i="26"/>
  <c r="M328" i="26"/>
  <c r="Q328" i="26"/>
  <c r="U328" i="26"/>
  <c r="Y328" i="26"/>
  <c r="AC328" i="26"/>
  <c r="N328" i="26"/>
  <c r="AD328" i="26"/>
  <c r="R328" i="26"/>
  <c r="F328" i="26"/>
  <c r="V328" i="26"/>
  <c r="J328" i="26"/>
  <c r="Z328" i="26"/>
  <c r="AM320" i="26"/>
  <c r="AJ320" i="26"/>
  <c r="AG320" i="26"/>
  <c r="AS320" i="26" s="1"/>
  <c r="AT320" i="26" s="1"/>
  <c r="C320" i="26"/>
  <c r="G320" i="26"/>
  <c r="K320" i="26"/>
  <c r="O320" i="26"/>
  <c r="S320" i="26"/>
  <c r="W320" i="26"/>
  <c r="AA320" i="26"/>
  <c r="AE320" i="26"/>
  <c r="D320" i="26"/>
  <c r="H320" i="26"/>
  <c r="L320" i="26"/>
  <c r="P320" i="26"/>
  <c r="T320" i="26"/>
  <c r="X320" i="26"/>
  <c r="AB320" i="26"/>
  <c r="AV320" i="26" s="1"/>
  <c r="AW320" i="26" s="1"/>
  <c r="AF320" i="26"/>
  <c r="E320" i="26"/>
  <c r="I320" i="26"/>
  <c r="M320" i="26"/>
  <c r="Q320" i="26"/>
  <c r="U320" i="26"/>
  <c r="Y320" i="26"/>
  <c r="AC320" i="26"/>
  <c r="N320" i="26"/>
  <c r="AD320" i="26"/>
  <c r="R320" i="26"/>
  <c r="F320" i="26"/>
  <c r="V320" i="26"/>
  <c r="J320" i="26"/>
  <c r="AM308" i="26"/>
  <c r="AJ308" i="26"/>
  <c r="AG308" i="26"/>
  <c r="AS308" i="26" s="1"/>
  <c r="AT308" i="26" s="1"/>
  <c r="C308" i="26"/>
  <c r="G308" i="26"/>
  <c r="K308" i="26"/>
  <c r="O308" i="26"/>
  <c r="S308" i="26"/>
  <c r="W308" i="26"/>
  <c r="AA308" i="26"/>
  <c r="AE308" i="26"/>
  <c r="D308" i="26"/>
  <c r="H308" i="26"/>
  <c r="L308" i="26"/>
  <c r="P308" i="26"/>
  <c r="T308" i="26"/>
  <c r="X308" i="26"/>
  <c r="AB308" i="26"/>
  <c r="AV308" i="26" s="1"/>
  <c r="AW308" i="26" s="1"/>
  <c r="AF308" i="26"/>
  <c r="E308" i="26"/>
  <c r="I308" i="26"/>
  <c r="M308" i="26"/>
  <c r="Q308" i="26"/>
  <c r="U308" i="26"/>
  <c r="Y308" i="26"/>
  <c r="AC308" i="26"/>
  <c r="F308" i="26"/>
  <c r="V308" i="26"/>
  <c r="J308" i="26"/>
  <c r="Z308" i="26"/>
  <c r="N308" i="26"/>
  <c r="AD308" i="26"/>
  <c r="AM296" i="26"/>
  <c r="AJ296" i="26"/>
  <c r="AG296" i="26"/>
  <c r="AS296" i="26" s="1"/>
  <c r="AT296" i="26" s="1"/>
  <c r="D296" i="26"/>
  <c r="H296" i="26"/>
  <c r="L296" i="26"/>
  <c r="P296" i="26"/>
  <c r="T296" i="26"/>
  <c r="E296" i="26"/>
  <c r="I296" i="26"/>
  <c r="M296" i="26"/>
  <c r="Q296" i="26"/>
  <c r="U296" i="26"/>
  <c r="Y296" i="26"/>
  <c r="AC296" i="26"/>
  <c r="F296" i="26"/>
  <c r="J296" i="26"/>
  <c r="N296" i="26"/>
  <c r="R296" i="26"/>
  <c r="V296" i="26"/>
  <c r="Z296" i="26"/>
  <c r="AD296" i="26"/>
  <c r="O296" i="26"/>
  <c r="AA296" i="26"/>
  <c r="C296" i="26"/>
  <c r="S296" i="26"/>
  <c r="AB296" i="26"/>
  <c r="AV296" i="26" s="1"/>
  <c r="AW296" i="26" s="1"/>
  <c r="G296" i="26"/>
  <c r="W296" i="26"/>
  <c r="AE296" i="26"/>
  <c r="K296" i="26"/>
  <c r="X296" i="26"/>
  <c r="AM280" i="26"/>
  <c r="AJ280" i="26"/>
  <c r="AG280" i="26"/>
  <c r="AS280" i="26" s="1"/>
  <c r="AT280" i="26" s="1"/>
  <c r="D280" i="26"/>
  <c r="H280" i="26"/>
  <c r="L280" i="26"/>
  <c r="P280" i="26"/>
  <c r="T280" i="26"/>
  <c r="X280" i="26"/>
  <c r="AB280" i="26"/>
  <c r="AV280" i="26" s="1"/>
  <c r="AW280" i="26" s="1"/>
  <c r="AF280" i="26"/>
  <c r="E280" i="26"/>
  <c r="I280" i="26"/>
  <c r="M280" i="26"/>
  <c r="Q280" i="26"/>
  <c r="U280" i="26"/>
  <c r="Y280" i="26"/>
  <c r="AC280" i="26"/>
  <c r="F280" i="26"/>
  <c r="J280" i="26"/>
  <c r="N280" i="26"/>
  <c r="R280" i="26"/>
  <c r="V280" i="26"/>
  <c r="Z280" i="26"/>
  <c r="AD280" i="26"/>
  <c r="O280" i="26"/>
  <c r="AE280" i="26"/>
  <c r="C280" i="26"/>
  <c r="S280" i="26"/>
  <c r="G280" i="26"/>
  <c r="W280" i="26"/>
  <c r="AA280" i="26"/>
  <c r="AM268" i="26"/>
  <c r="AJ268" i="26"/>
  <c r="AG268" i="26"/>
  <c r="AS268" i="26" s="1"/>
  <c r="AT268" i="26" s="1"/>
  <c r="D268" i="26"/>
  <c r="H268" i="26"/>
  <c r="L268" i="26"/>
  <c r="P268" i="26"/>
  <c r="T268" i="26"/>
  <c r="X268" i="26"/>
  <c r="AB268" i="26"/>
  <c r="AV268" i="26" s="1"/>
  <c r="AW268" i="26" s="1"/>
  <c r="AF268" i="26"/>
  <c r="E268" i="26"/>
  <c r="I268" i="26"/>
  <c r="M268" i="26"/>
  <c r="Q268" i="26"/>
  <c r="U268" i="26"/>
  <c r="Y268" i="26"/>
  <c r="AC268" i="26"/>
  <c r="F268" i="26"/>
  <c r="J268" i="26"/>
  <c r="N268" i="26"/>
  <c r="R268" i="26"/>
  <c r="V268" i="26"/>
  <c r="Z268" i="26"/>
  <c r="AD268" i="26"/>
  <c r="G268" i="26"/>
  <c r="W268" i="26"/>
  <c r="K268" i="26"/>
  <c r="AA268" i="26"/>
  <c r="O268" i="26"/>
  <c r="AE268" i="26"/>
  <c r="C268" i="26"/>
  <c r="S268" i="26"/>
  <c r="AM260" i="26"/>
  <c r="AJ260" i="26"/>
  <c r="AG260" i="26"/>
  <c r="AS260" i="26" s="1"/>
  <c r="AT260" i="26" s="1"/>
  <c r="D260" i="26"/>
  <c r="H260" i="26"/>
  <c r="L260" i="26"/>
  <c r="P260" i="26"/>
  <c r="T260" i="26"/>
  <c r="X260" i="26"/>
  <c r="AB260" i="26"/>
  <c r="AV260" i="26" s="1"/>
  <c r="AW260" i="26" s="1"/>
  <c r="AF260" i="26"/>
  <c r="E260" i="26"/>
  <c r="I260" i="26"/>
  <c r="M260" i="26"/>
  <c r="Q260" i="26"/>
  <c r="U260" i="26"/>
  <c r="Y260" i="26"/>
  <c r="AC260" i="26"/>
  <c r="F260" i="26"/>
  <c r="N260" i="26"/>
  <c r="V260" i="26"/>
  <c r="AD260" i="26"/>
  <c r="G260" i="26"/>
  <c r="O260" i="26"/>
  <c r="W260" i="26"/>
  <c r="AE260" i="26"/>
  <c r="J260" i="26"/>
  <c r="R260" i="26"/>
  <c r="Z260" i="26"/>
  <c r="K260" i="26"/>
  <c r="S260" i="26"/>
  <c r="AA260" i="26"/>
  <c r="C260" i="26"/>
  <c r="AM248" i="26"/>
  <c r="AJ248" i="26"/>
  <c r="AG248" i="26"/>
  <c r="AS248" i="26" s="1"/>
  <c r="AT248" i="26" s="1"/>
  <c r="C248" i="26"/>
  <c r="G248" i="26"/>
  <c r="K248" i="26"/>
  <c r="O248" i="26"/>
  <c r="S248" i="26"/>
  <c r="W248" i="26"/>
  <c r="AA248" i="26"/>
  <c r="AE248" i="26"/>
  <c r="D248" i="26"/>
  <c r="H248" i="26"/>
  <c r="L248" i="26"/>
  <c r="P248" i="26"/>
  <c r="T248" i="26"/>
  <c r="X248" i="26"/>
  <c r="AB248" i="26"/>
  <c r="AV248" i="26" s="1"/>
  <c r="AW248" i="26" s="1"/>
  <c r="AF248" i="26"/>
  <c r="E248" i="26"/>
  <c r="I248" i="26"/>
  <c r="M248" i="26"/>
  <c r="Q248" i="26"/>
  <c r="U248" i="26"/>
  <c r="Y248" i="26"/>
  <c r="AC248" i="26"/>
  <c r="F248" i="26"/>
  <c r="V248" i="26"/>
  <c r="J248" i="26"/>
  <c r="Z248" i="26"/>
  <c r="N248" i="26"/>
  <c r="AD248" i="26"/>
  <c r="R248" i="26"/>
  <c r="AM236" i="26"/>
  <c r="AJ236" i="26"/>
  <c r="AG236" i="26"/>
  <c r="AS236" i="26" s="1"/>
  <c r="AT236" i="26" s="1"/>
  <c r="C236" i="26"/>
  <c r="G236" i="26"/>
  <c r="K236" i="26"/>
  <c r="O236" i="26"/>
  <c r="S236" i="26"/>
  <c r="W236" i="26"/>
  <c r="AA236" i="26"/>
  <c r="AE236" i="26"/>
  <c r="D236" i="26"/>
  <c r="H236" i="26"/>
  <c r="L236" i="26"/>
  <c r="P236" i="26"/>
  <c r="T236" i="26"/>
  <c r="X236" i="26"/>
  <c r="AB236" i="26"/>
  <c r="AV236" i="26" s="1"/>
  <c r="AW236" i="26" s="1"/>
  <c r="AF236" i="26"/>
  <c r="E236" i="26"/>
  <c r="I236" i="26"/>
  <c r="M236" i="26"/>
  <c r="Q236" i="26"/>
  <c r="U236" i="26"/>
  <c r="Y236" i="26"/>
  <c r="AC236" i="26"/>
  <c r="N236" i="26"/>
  <c r="AD236" i="26"/>
  <c r="R236" i="26"/>
  <c r="F236" i="26"/>
  <c r="V236" i="26"/>
  <c r="J236" i="26"/>
  <c r="Z236" i="26"/>
  <c r="AM224" i="26"/>
  <c r="AJ224" i="26"/>
  <c r="AG224" i="26"/>
  <c r="AS224" i="26" s="1"/>
  <c r="AT224" i="26" s="1"/>
  <c r="D224" i="26"/>
  <c r="H224" i="26"/>
  <c r="L224" i="26"/>
  <c r="P224" i="26"/>
  <c r="T224" i="26"/>
  <c r="X224" i="26"/>
  <c r="AB224" i="26"/>
  <c r="AV224" i="26" s="1"/>
  <c r="AW224" i="26" s="1"/>
  <c r="AF224" i="26"/>
  <c r="E224" i="26"/>
  <c r="I224" i="26"/>
  <c r="M224" i="26"/>
  <c r="Q224" i="26"/>
  <c r="U224" i="26"/>
  <c r="Y224" i="26"/>
  <c r="AC224" i="26"/>
  <c r="F224" i="26"/>
  <c r="J224" i="26"/>
  <c r="N224" i="26"/>
  <c r="R224" i="26"/>
  <c r="V224" i="26"/>
  <c r="Z224" i="26"/>
  <c r="AD224" i="26"/>
  <c r="K224" i="26"/>
  <c r="AA224" i="26"/>
  <c r="O224" i="26"/>
  <c r="AE224" i="26"/>
  <c r="C224" i="26"/>
  <c r="S224" i="26"/>
  <c r="G224" i="26"/>
  <c r="W224" i="26"/>
  <c r="AM212" i="26"/>
  <c r="AJ212" i="26"/>
  <c r="AG212" i="26"/>
  <c r="AS212" i="26" s="1"/>
  <c r="AT212" i="26" s="1"/>
  <c r="D212" i="26"/>
  <c r="H212" i="26"/>
  <c r="L212" i="26"/>
  <c r="P212" i="26"/>
  <c r="T212" i="26"/>
  <c r="X212" i="26"/>
  <c r="AB212" i="26"/>
  <c r="AV212" i="26" s="1"/>
  <c r="AW212" i="26" s="1"/>
  <c r="AF212" i="26"/>
  <c r="E212" i="26"/>
  <c r="I212" i="26"/>
  <c r="M212" i="26"/>
  <c r="Q212" i="26"/>
  <c r="U212" i="26"/>
  <c r="Y212" i="26"/>
  <c r="AC212" i="26"/>
  <c r="F212" i="26"/>
  <c r="J212" i="26"/>
  <c r="N212" i="26"/>
  <c r="R212" i="26"/>
  <c r="V212" i="26"/>
  <c r="Z212" i="26"/>
  <c r="AD212" i="26"/>
  <c r="C212" i="26"/>
  <c r="S212" i="26"/>
  <c r="G212" i="26"/>
  <c r="W212" i="26"/>
  <c r="K212" i="26"/>
  <c r="AA212" i="26"/>
  <c r="O212" i="26"/>
  <c r="AE212" i="26"/>
  <c r="AM200" i="26"/>
  <c r="AJ200" i="26"/>
  <c r="AG200" i="26"/>
  <c r="AS200" i="26" s="1"/>
  <c r="AT200" i="26" s="1"/>
  <c r="D200" i="26"/>
  <c r="H200" i="26"/>
  <c r="L200" i="26"/>
  <c r="P200" i="26"/>
  <c r="T200" i="26"/>
  <c r="X200" i="26"/>
  <c r="AB200" i="26"/>
  <c r="AV200" i="26" s="1"/>
  <c r="AW200" i="26" s="1"/>
  <c r="AF200" i="26"/>
  <c r="E200" i="26"/>
  <c r="I200" i="26"/>
  <c r="M200" i="26"/>
  <c r="Q200" i="26"/>
  <c r="U200" i="26"/>
  <c r="Y200" i="26"/>
  <c r="AC200" i="26"/>
  <c r="F200" i="26"/>
  <c r="J200" i="26"/>
  <c r="N200" i="26"/>
  <c r="R200" i="26"/>
  <c r="V200" i="26"/>
  <c r="Z200" i="26"/>
  <c r="AD200" i="26"/>
  <c r="K200" i="26"/>
  <c r="AA200" i="26"/>
  <c r="O200" i="26"/>
  <c r="AE200" i="26"/>
  <c r="C200" i="26"/>
  <c r="S200" i="26"/>
  <c r="G200" i="26"/>
  <c r="W200" i="26"/>
  <c r="AM184" i="26"/>
  <c r="AJ184" i="26"/>
  <c r="AG184" i="26"/>
  <c r="AS184" i="26" s="1"/>
  <c r="AT184" i="26" s="1"/>
  <c r="C184" i="26"/>
  <c r="G184" i="26"/>
  <c r="K184" i="26"/>
  <c r="O184" i="26"/>
  <c r="S184" i="26"/>
  <c r="W184" i="26"/>
  <c r="AA184" i="26"/>
  <c r="AE184" i="26"/>
  <c r="D184" i="26"/>
  <c r="H184" i="26"/>
  <c r="L184" i="26"/>
  <c r="P184" i="26"/>
  <c r="T184" i="26"/>
  <c r="X184" i="26"/>
  <c r="AB184" i="26"/>
  <c r="AV184" i="26" s="1"/>
  <c r="AW184" i="26" s="1"/>
  <c r="AF184" i="26"/>
  <c r="E184" i="26"/>
  <c r="I184" i="26"/>
  <c r="M184" i="26"/>
  <c r="Q184" i="26"/>
  <c r="U184" i="26"/>
  <c r="Y184" i="26"/>
  <c r="AC184" i="26"/>
  <c r="J184" i="26"/>
  <c r="Z184" i="26"/>
  <c r="N184" i="26"/>
  <c r="AD184" i="26"/>
  <c r="R184" i="26"/>
  <c r="V184" i="26"/>
  <c r="F184" i="26"/>
  <c r="AM172" i="26"/>
  <c r="AJ172" i="26"/>
  <c r="AG172" i="26"/>
  <c r="AS172" i="26" s="1"/>
  <c r="AT172" i="26" s="1"/>
  <c r="F172" i="26"/>
  <c r="J172" i="26"/>
  <c r="N172" i="26"/>
  <c r="R172" i="26"/>
  <c r="V172" i="26"/>
  <c r="Z172" i="26"/>
  <c r="AD172" i="26"/>
  <c r="C172" i="26"/>
  <c r="G172" i="26"/>
  <c r="K172" i="26"/>
  <c r="O172" i="26"/>
  <c r="S172" i="26"/>
  <c r="W172" i="26"/>
  <c r="AA172" i="26"/>
  <c r="AE172" i="26"/>
  <c r="D172" i="26"/>
  <c r="H172" i="26"/>
  <c r="L172" i="26"/>
  <c r="P172" i="26"/>
  <c r="T172" i="26"/>
  <c r="X172" i="26"/>
  <c r="AB172" i="26"/>
  <c r="AV172" i="26" s="1"/>
  <c r="AW172" i="26" s="1"/>
  <c r="AF172" i="26"/>
  <c r="Q172" i="26"/>
  <c r="E172" i="26"/>
  <c r="U172" i="26"/>
  <c r="I172" i="26"/>
  <c r="Y172" i="26"/>
  <c r="M172" i="26"/>
  <c r="AC172" i="26"/>
  <c r="AM164" i="26"/>
  <c r="AJ164" i="26"/>
  <c r="AG164" i="26"/>
  <c r="AS164" i="26" s="1"/>
  <c r="AT164" i="26" s="1"/>
  <c r="F164" i="26"/>
  <c r="J164" i="26"/>
  <c r="N164" i="26"/>
  <c r="R164" i="26"/>
  <c r="V164" i="26"/>
  <c r="Z164" i="26"/>
  <c r="AD164" i="26"/>
  <c r="C164" i="26"/>
  <c r="G164" i="26"/>
  <c r="K164" i="26"/>
  <c r="O164" i="26"/>
  <c r="S164" i="26"/>
  <c r="W164" i="26"/>
  <c r="AA164" i="26"/>
  <c r="AE164" i="26"/>
  <c r="D164" i="26"/>
  <c r="H164" i="26"/>
  <c r="L164" i="26"/>
  <c r="P164" i="26"/>
  <c r="T164" i="26"/>
  <c r="X164" i="26"/>
  <c r="AB164" i="26"/>
  <c r="AV164" i="26" s="1"/>
  <c r="AW164" i="26" s="1"/>
  <c r="AF164" i="26"/>
  <c r="Q164" i="26"/>
  <c r="E164" i="26"/>
  <c r="U164" i="26"/>
  <c r="I164" i="26"/>
  <c r="Y164" i="26"/>
  <c r="M164" i="26"/>
  <c r="AC164" i="26"/>
  <c r="AM148" i="26"/>
  <c r="AJ148" i="26"/>
  <c r="AG148" i="26"/>
  <c r="AS148" i="26" s="1"/>
  <c r="AT148" i="26" s="1"/>
  <c r="E148" i="26"/>
  <c r="I148" i="26"/>
  <c r="M148" i="26"/>
  <c r="Q148" i="26"/>
  <c r="U148" i="26"/>
  <c r="Y148" i="26"/>
  <c r="AC148" i="26"/>
  <c r="F148" i="26"/>
  <c r="J148" i="26"/>
  <c r="N148" i="26"/>
  <c r="R148" i="26"/>
  <c r="V148" i="26"/>
  <c r="Z148" i="26"/>
  <c r="AD148" i="26"/>
  <c r="AM136" i="26"/>
  <c r="AJ136" i="26"/>
  <c r="AG136" i="26"/>
  <c r="AS136" i="26" s="1"/>
  <c r="AT136" i="26" s="1"/>
  <c r="E136" i="26"/>
  <c r="I136" i="26"/>
  <c r="M136" i="26"/>
  <c r="Q136" i="26"/>
  <c r="U136" i="26"/>
  <c r="Y136" i="26"/>
  <c r="AC136" i="26"/>
  <c r="F136" i="26"/>
  <c r="J136" i="26"/>
  <c r="N136" i="26"/>
  <c r="R136" i="26"/>
  <c r="V136" i="26"/>
  <c r="Z136" i="26"/>
  <c r="AD136" i="26"/>
  <c r="AM124" i="26"/>
  <c r="AJ124" i="26"/>
  <c r="AG124" i="26"/>
  <c r="AS124" i="26" s="1"/>
  <c r="AT124" i="26" s="1"/>
  <c r="E124" i="26"/>
  <c r="I124" i="26"/>
  <c r="M124" i="26"/>
  <c r="Q124" i="26"/>
  <c r="U124" i="26"/>
  <c r="Y124" i="26"/>
  <c r="AC124" i="26"/>
  <c r="F124" i="26"/>
  <c r="J124" i="26"/>
  <c r="N124" i="26"/>
  <c r="R124" i="26"/>
  <c r="V124" i="26"/>
  <c r="Z124" i="26"/>
  <c r="AD124" i="26"/>
  <c r="AM112" i="26"/>
  <c r="AJ112" i="26"/>
  <c r="AG112" i="26"/>
  <c r="AS112" i="26" s="1"/>
  <c r="AT112" i="26" s="1"/>
  <c r="D112" i="26"/>
  <c r="H112" i="26"/>
  <c r="L112" i="26"/>
  <c r="P112" i="26"/>
  <c r="T112" i="26"/>
  <c r="X112" i="26"/>
  <c r="AB112" i="26"/>
  <c r="AV112" i="26" s="1"/>
  <c r="AW112" i="26" s="1"/>
  <c r="AF112" i="26"/>
  <c r="F112" i="26"/>
  <c r="J112" i="26"/>
  <c r="N112" i="26"/>
  <c r="R112" i="26"/>
  <c r="V112" i="26"/>
  <c r="Z112" i="26"/>
  <c r="AD112" i="26"/>
  <c r="G112" i="26"/>
  <c r="O112" i="26"/>
  <c r="W112" i="26"/>
  <c r="AE112" i="26"/>
  <c r="I112" i="26"/>
  <c r="Q112" i="26"/>
  <c r="Y112" i="26"/>
  <c r="AM92" i="26"/>
  <c r="AJ92" i="26"/>
  <c r="AG92" i="26"/>
  <c r="AS92" i="26" s="1"/>
  <c r="AT92" i="26" s="1"/>
  <c r="D92" i="26"/>
  <c r="H92" i="26"/>
  <c r="L92" i="26"/>
  <c r="P92" i="26"/>
  <c r="T92" i="26"/>
  <c r="X92" i="26"/>
  <c r="AB92" i="26"/>
  <c r="AV92" i="26" s="1"/>
  <c r="AW92" i="26" s="1"/>
  <c r="AF92" i="26"/>
  <c r="E92" i="26"/>
  <c r="I92" i="26"/>
  <c r="M92" i="26"/>
  <c r="Q92" i="26"/>
  <c r="U92" i="26"/>
  <c r="Y92" i="26"/>
  <c r="F92" i="26"/>
  <c r="J92" i="26"/>
  <c r="N92" i="26"/>
  <c r="R92" i="26"/>
  <c r="V92" i="26"/>
  <c r="Z92" i="26"/>
  <c r="AD92" i="26"/>
  <c r="C92" i="26"/>
  <c r="S92" i="26"/>
  <c r="AE92" i="26"/>
  <c r="G92" i="26"/>
  <c r="W92" i="26"/>
  <c r="AM76" i="26"/>
  <c r="AJ76" i="26"/>
  <c r="AG76" i="26"/>
  <c r="AS76" i="26" s="1"/>
  <c r="AT76" i="26" s="1"/>
  <c r="D76" i="26"/>
  <c r="H76" i="26"/>
  <c r="L76" i="26"/>
  <c r="P76" i="26"/>
  <c r="T76" i="26"/>
  <c r="X76" i="26"/>
  <c r="AB76" i="26"/>
  <c r="AV76" i="26" s="1"/>
  <c r="AW76" i="26" s="1"/>
  <c r="AF76" i="26"/>
  <c r="E76" i="26"/>
  <c r="I76" i="26"/>
  <c r="M76" i="26"/>
  <c r="Q76" i="26"/>
  <c r="U76" i="26"/>
  <c r="Y76" i="26"/>
  <c r="AC76" i="26"/>
  <c r="F76" i="26"/>
  <c r="J76" i="26"/>
  <c r="N76" i="26"/>
  <c r="R76" i="26"/>
  <c r="V76" i="26"/>
  <c r="Z76" i="26"/>
  <c r="AD76" i="26"/>
  <c r="C76" i="26"/>
  <c r="S76" i="26"/>
  <c r="G76" i="26"/>
  <c r="W76" i="26"/>
  <c r="AM60" i="26"/>
  <c r="AJ60" i="26"/>
  <c r="AG60" i="26"/>
  <c r="AS60" i="26" s="1"/>
  <c r="AT60" i="26" s="1"/>
  <c r="D60" i="26"/>
  <c r="H60" i="26"/>
  <c r="L60" i="26"/>
  <c r="P60" i="26"/>
  <c r="T60" i="26"/>
  <c r="X60" i="26"/>
  <c r="AB60" i="26"/>
  <c r="AV60" i="26" s="1"/>
  <c r="AW60" i="26" s="1"/>
  <c r="AF60" i="26"/>
  <c r="E60" i="26"/>
  <c r="I60" i="26"/>
  <c r="M60" i="26"/>
  <c r="Q60" i="26"/>
  <c r="U60" i="26"/>
  <c r="Y60" i="26"/>
  <c r="AC60" i="26"/>
  <c r="F60" i="26"/>
  <c r="J60" i="26"/>
  <c r="N60" i="26"/>
  <c r="R60" i="26"/>
  <c r="V60" i="26"/>
  <c r="Z60" i="26"/>
  <c r="AD60" i="26"/>
  <c r="C60" i="26"/>
  <c r="S60" i="26"/>
  <c r="G60" i="26"/>
  <c r="W60" i="26"/>
  <c r="AM48" i="26"/>
  <c r="AJ48" i="26"/>
  <c r="AG48" i="26"/>
  <c r="AS48" i="26" s="1"/>
  <c r="AT48" i="26" s="1"/>
  <c r="D48" i="26"/>
  <c r="H48" i="26"/>
  <c r="L48" i="26"/>
  <c r="P48" i="26"/>
  <c r="T48" i="26"/>
  <c r="X48" i="26"/>
  <c r="AB48" i="26"/>
  <c r="AV48" i="26" s="1"/>
  <c r="AW48" i="26" s="1"/>
  <c r="AF48" i="26"/>
  <c r="E48" i="26"/>
  <c r="I48" i="26"/>
  <c r="M48" i="26"/>
  <c r="Q48" i="26"/>
  <c r="U48" i="26"/>
  <c r="Y48" i="26"/>
  <c r="AC48" i="26"/>
  <c r="F48" i="26"/>
  <c r="J48" i="26"/>
  <c r="N48" i="26"/>
  <c r="R48" i="26"/>
  <c r="V48" i="26"/>
  <c r="Z48" i="26"/>
  <c r="AD48" i="26"/>
  <c r="K48" i="26"/>
  <c r="AA48" i="26"/>
  <c r="O48" i="26"/>
  <c r="AE48" i="26"/>
  <c r="AM40" i="26"/>
  <c r="AJ40" i="26"/>
  <c r="AG40" i="26"/>
  <c r="AS40" i="26" s="1"/>
  <c r="AT40" i="26" s="1"/>
  <c r="E40" i="26"/>
  <c r="I40" i="26"/>
  <c r="M40" i="26"/>
  <c r="Q40" i="26"/>
  <c r="U40" i="26"/>
  <c r="Y40" i="26"/>
  <c r="AC40" i="26"/>
  <c r="F40" i="26"/>
  <c r="J40" i="26"/>
  <c r="N40" i="26"/>
  <c r="R40" i="26"/>
  <c r="V40" i="26"/>
  <c r="Z40" i="26"/>
  <c r="AD40" i="26"/>
  <c r="C40" i="26"/>
  <c r="G40" i="26"/>
  <c r="K40" i="26"/>
  <c r="O40" i="26"/>
  <c r="S40" i="26"/>
  <c r="W40" i="26"/>
  <c r="AA40" i="26"/>
  <c r="AE40" i="26"/>
  <c r="P40" i="26"/>
  <c r="AF40" i="26"/>
  <c r="D40" i="26"/>
  <c r="T40" i="26"/>
  <c r="H40" i="26"/>
  <c r="X40" i="26"/>
  <c r="L40" i="26"/>
  <c r="AM28" i="26"/>
  <c r="AJ28" i="26"/>
  <c r="AG28" i="26"/>
  <c r="AS28" i="26" s="1"/>
  <c r="AT28" i="26" s="1"/>
  <c r="AM16" i="26"/>
  <c r="AJ16" i="26"/>
  <c r="AG16" i="26"/>
  <c r="AS16" i="26" s="1"/>
  <c r="AT16" i="26" s="1"/>
  <c r="C16" i="26"/>
  <c r="G16" i="26"/>
  <c r="K16" i="26"/>
  <c r="O16" i="26"/>
  <c r="S16" i="26"/>
  <c r="W16" i="26"/>
  <c r="AA16" i="26"/>
  <c r="AE16" i="26"/>
  <c r="D16" i="26"/>
  <c r="H16" i="26"/>
  <c r="L16" i="26"/>
  <c r="P16" i="26"/>
  <c r="T16" i="26"/>
  <c r="X16" i="26"/>
  <c r="AB16" i="26"/>
  <c r="AV16" i="26" s="1"/>
  <c r="AW16" i="26" s="1"/>
  <c r="AF16" i="26"/>
  <c r="AB25" i="26"/>
  <c r="AV25" i="26" s="1"/>
  <c r="AW25" i="26" s="1"/>
  <c r="T25" i="26"/>
  <c r="L25" i="26"/>
  <c r="Z24" i="26"/>
  <c r="R24" i="26"/>
  <c r="J24" i="26"/>
  <c r="X17" i="26"/>
  <c r="AD16" i="26"/>
  <c r="V16" i="26"/>
  <c r="N16" i="26"/>
  <c r="F16" i="26"/>
  <c r="AF5" i="26"/>
  <c r="X5" i="26"/>
  <c r="P5" i="26"/>
  <c r="AD4" i="26"/>
  <c r="V4" i="26"/>
  <c r="N4" i="26"/>
  <c r="F4" i="26"/>
  <c r="Z149" i="26"/>
  <c r="R149" i="26"/>
  <c r="AF148" i="26"/>
  <c r="X148" i="26"/>
  <c r="P148" i="26"/>
  <c r="H148" i="26"/>
  <c r="Z133" i="26"/>
  <c r="J133" i="26"/>
  <c r="AF132" i="26"/>
  <c r="X132" i="26"/>
  <c r="P132" i="26"/>
  <c r="AM349" i="26"/>
  <c r="AJ349" i="26"/>
  <c r="AG349" i="26"/>
  <c r="AS349" i="26" s="1"/>
  <c r="AT349" i="26" s="1"/>
  <c r="E349" i="26"/>
  <c r="I349" i="26"/>
  <c r="M349" i="26"/>
  <c r="Q349" i="26"/>
  <c r="U349" i="26"/>
  <c r="Y349" i="26"/>
  <c r="AC349" i="26"/>
  <c r="F349" i="26"/>
  <c r="J349" i="26"/>
  <c r="N349" i="26"/>
  <c r="R349" i="26"/>
  <c r="V349" i="26"/>
  <c r="Z349" i="26"/>
  <c r="AD349" i="26"/>
  <c r="C349" i="26"/>
  <c r="G349" i="26"/>
  <c r="K349" i="26"/>
  <c r="O349" i="26"/>
  <c r="S349" i="26"/>
  <c r="W349" i="26"/>
  <c r="AA349" i="26"/>
  <c r="AE349" i="26"/>
  <c r="H349" i="26"/>
  <c r="X349" i="26"/>
  <c r="L349" i="26"/>
  <c r="AB349" i="26"/>
  <c r="AV349" i="26" s="1"/>
  <c r="AW349" i="26" s="1"/>
  <c r="P349" i="26"/>
  <c r="AF349" i="26"/>
  <c r="T349" i="26"/>
  <c r="AM337" i="26"/>
  <c r="AJ337" i="26"/>
  <c r="AG337" i="26"/>
  <c r="AS337" i="26" s="1"/>
  <c r="AT337" i="26" s="1"/>
  <c r="E337" i="26"/>
  <c r="I337" i="26"/>
  <c r="M337" i="26"/>
  <c r="Q337" i="26"/>
  <c r="U337" i="26"/>
  <c r="Y337" i="26"/>
  <c r="AC337" i="26"/>
  <c r="F337" i="26"/>
  <c r="J337" i="26"/>
  <c r="N337" i="26"/>
  <c r="R337" i="26"/>
  <c r="V337" i="26"/>
  <c r="Z337" i="26"/>
  <c r="AD337" i="26"/>
  <c r="C337" i="26"/>
  <c r="G337" i="26"/>
  <c r="K337" i="26"/>
  <c r="O337" i="26"/>
  <c r="S337" i="26"/>
  <c r="W337" i="26"/>
  <c r="AA337" i="26"/>
  <c r="AE337" i="26"/>
  <c r="P337" i="26"/>
  <c r="AF337" i="26"/>
  <c r="D337" i="26"/>
  <c r="T337" i="26"/>
  <c r="H337" i="26"/>
  <c r="X337" i="26"/>
  <c r="L337" i="26"/>
  <c r="AJ325" i="26"/>
  <c r="AM325" i="26"/>
  <c r="AG325" i="26"/>
  <c r="AS325" i="26" s="1"/>
  <c r="AT325" i="26" s="1"/>
  <c r="E325" i="26"/>
  <c r="I325" i="26"/>
  <c r="M325" i="26"/>
  <c r="Q325" i="26"/>
  <c r="U325" i="26"/>
  <c r="Y325" i="26"/>
  <c r="AC325" i="26"/>
  <c r="F325" i="26"/>
  <c r="J325" i="26"/>
  <c r="N325" i="26"/>
  <c r="R325" i="26"/>
  <c r="V325" i="26"/>
  <c r="Z325" i="26"/>
  <c r="AD325" i="26"/>
  <c r="C325" i="26"/>
  <c r="G325" i="26"/>
  <c r="K325" i="26"/>
  <c r="O325" i="26"/>
  <c r="S325" i="26"/>
  <c r="W325" i="26"/>
  <c r="AA325" i="26"/>
  <c r="AE325" i="26"/>
  <c r="H325" i="26"/>
  <c r="X325" i="26"/>
  <c r="L325" i="26"/>
  <c r="AB325" i="26"/>
  <c r="AV325" i="26" s="1"/>
  <c r="AW325" i="26" s="1"/>
  <c r="P325" i="26"/>
  <c r="AF325" i="26"/>
  <c r="AM313" i="26"/>
  <c r="AJ313" i="26"/>
  <c r="AG313" i="26"/>
  <c r="AS313" i="26" s="1"/>
  <c r="AT313" i="26" s="1"/>
  <c r="E313" i="26"/>
  <c r="I313" i="26"/>
  <c r="M313" i="26"/>
  <c r="Q313" i="26"/>
  <c r="U313" i="26"/>
  <c r="Y313" i="26"/>
  <c r="AC313" i="26"/>
  <c r="F313" i="26"/>
  <c r="J313" i="26"/>
  <c r="N313" i="26"/>
  <c r="R313" i="26"/>
  <c r="V313" i="26"/>
  <c r="Z313" i="26"/>
  <c r="AD313" i="26"/>
  <c r="C313" i="26"/>
  <c r="G313" i="26"/>
  <c r="K313" i="26"/>
  <c r="O313" i="26"/>
  <c r="S313" i="26"/>
  <c r="W313" i="26"/>
  <c r="AA313" i="26"/>
  <c r="AE313" i="26"/>
  <c r="P313" i="26"/>
  <c r="AF313" i="26"/>
  <c r="D313" i="26"/>
  <c r="T313" i="26"/>
  <c r="H313" i="26"/>
  <c r="X313" i="26"/>
  <c r="L313" i="26"/>
  <c r="AB313" i="26"/>
  <c r="AV313" i="26" s="1"/>
  <c r="AW313" i="26" s="1"/>
  <c r="AM301" i="26"/>
  <c r="AJ301" i="26"/>
  <c r="AG301" i="26"/>
  <c r="AS301" i="26" s="1"/>
  <c r="AT301" i="26" s="1"/>
  <c r="E301" i="26"/>
  <c r="I301" i="26"/>
  <c r="M301" i="26"/>
  <c r="Q301" i="26"/>
  <c r="U301" i="26"/>
  <c r="Y301" i="26"/>
  <c r="AC301" i="26"/>
  <c r="F301" i="26"/>
  <c r="J301" i="26"/>
  <c r="N301" i="26"/>
  <c r="R301" i="26"/>
  <c r="V301" i="26"/>
  <c r="Z301" i="26"/>
  <c r="AD301" i="26"/>
  <c r="C301" i="26"/>
  <c r="G301" i="26"/>
  <c r="K301" i="26"/>
  <c r="O301" i="26"/>
  <c r="S301" i="26"/>
  <c r="W301" i="26"/>
  <c r="AA301" i="26"/>
  <c r="AE301" i="26"/>
  <c r="H301" i="26"/>
  <c r="X301" i="26"/>
  <c r="L301" i="26"/>
  <c r="AB301" i="26"/>
  <c r="AV301" i="26" s="1"/>
  <c r="AW301" i="26" s="1"/>
  <c r="P301" i="26"/>
  <c r="AF301" i="26"/>
  <c r="D301" i="26"/>
  <c r="AM289" i="26"/>
  <c r="AJ289" i="26"/>
  <c r="AG289" i="26"/>
  <c r="AS289" i="26" s="1"/>
  <c r="AT289" i="26" s="1"/>
  <c r="F289" i="26"/>
  <c r="J289" i="26"/>
  <c r="N289" i="26"/>
  <c r="R289" i="26"/>
  <c r="V289" i="26"/>
  <c r="Z289" i="26"/>
  <c r="AD289" i="26"/>
  <c r="C289" i="26"/>
  <c r="G289" i="26"/>
  <c r="K289" i="26"/>
  <c r="O289" i="26"/>
  <c r="S289" i="26"/>
  <c r="W289" i="26"/>
  <c r="AA289" i="26"/>
  <c r="AE289" i="26"/>
  <c r="D289" i="26"/>
  <c r="H289" i="26"/>
  <c r="L289" i="26"/>
  <c r="P289" i="26"/>
  <c r="T289" i="26"/>
  <c r="X289" i="26"/>
  <c r="AB289" i="26"/>
  <c r="AV289" i="26" s="1"/>
  <c r="AW289" i="26" s="1"/>
  <c r="AF289" i="26"/>
  <c r="Q289" i="26"/>
  <c r="E289" i="26"/>
  <c r="U289" i="26"/>
  <c r="I289" i="26"/>
  <c r="Y289" i="26"/>
  <c r="M289" i="26"/>
  <c r="AC289" i="26"/>
  <c r="AM277" i="26"/>
  <c r="AJ277" i="26"/>
  <c r="AG277" i="26"/>
  <c r="AS277" i="26" s="1"/>
  <c r="AT277" i="26" s="1"/>
  <c r="F277" i="26"/>
  <c r="J277" i="26"/>
  <c r="N277" i="26"/>
  <c r="R277" i="26"/>
  <c r="V277" i="26"/>
  <c r="Z277" i="26"/>
  <c r="AD277" i="26"/>
  <c r="C277" i="26"/>
  <c r="G277" i="26"/>
  <c r="K277" i="26"/>
  <c r="O277" i="26"/>
  <c r="S277" i="26"/>
  <c r="W277" i="26"/>
  <c r="AA277" i="26"/>
  <c r="AE277" i="26"/>
  <c r="D277" i="26"/>
  <c r="H277" i="26"/>
  <c r="L277" i="26"/>
  <c r="P277" i="26"/>
  <c r="T277" i="26"/>
  <c r="X277" i="26"/>
  <c r="AB277" i="26"/>
  <c r="AV277" i="26" s="1"/>
  <c r="AW277" i="26" s="1"/>
  <c r="AF277" i="26"/>
  <c r="I277" i="26"/>
  <c r="Y277" i="26"/>
  <c r="M277" i="26"/>
  <c r="AC277" i="26"/>
  <c r="Q277" i="26"/>
  <c r="E277" i="26"/>
  <c r="U277" i="26"/>
  <c r="AM265" i="26"/>
  <c r="AJ265" i="26"/>
  <c r="AG265" i="26"/>
  <c r="AS265" i="26" s="1"/>
  <c r="AT265" i="26" s="1"/>
  <c r="F265" i="26"/>
  <c r="J265" i="26"/>
  <c r="N265" i="26"/>
  <c r="R265" i="26"/>
  <c r="V265" i="26"/>
  <c r="Z265" i="26"/>
  <c r="AD265" i="26"/>
  <c r="C265" i="26"/>
  <c r="G265" i="26"/>
  <c r="K265" i="26"/>
  <c r="O265" i="26"/>
  <c r="S265" i="26"/>
  <c r="W265" i="26"/>
  <c r="AA265" i="26"/>
  <c r="AE265" i="26"/>
  <c r="D265" i="26"/>
  <c r="H265" i="26"/>
  <c r="L265" i="26"/>
  <c r="P265" i="26"/>
  <c r="T265" i="26"/>
  <c r="X265" i="26"/>
  <c r="AB265" i="26"/>
  <c r="AV265" i="26" s="1"/>
  <c r="AW265" i="26" s="1"/>
  <c r="AF265" i="26"/>
  <c r="Q265" i="26"/>
  <c r="E265" i="26"/>
  <c r="U265" i="26"/>
  <c r="I265" i="26"/>
  <c r="Y265" i="26"/>
  <c r="AC265" i="26"/>
  <c r="AM253" i="26"/>
  <c r="AJ253" i="26"/>
  <c r="AG253" i="26"/>
  <c r="AS253" i="26" s="1"/>
  <c r="AT253" i="26" s="1"/>
  <c r="E253" i="26"/>
  <c r="I253" i="26"/>
  <c r="M253" i="26"/>
  <c r="Q253" i="26"/>
  <c r="U253" i="26"/>
  <c r="Y253" i="26"/>
  <c r="AC253" i="26"/>
  <c r="F253" i="26"/>
  <c r="J253" i="26"/>
  <c r="N253" i="26"/>
  <c r="R253" i="26"/>
  <c r="V253" i="26"/>
  <c r="Z253" i="26"/>
  <c r="AD253" i="26"/>
  <c r="C253" i="26"/>
  <c r="G253" i="26"/>
  <c r="K253" i="26"/>
  <c r="O253" i="26"/>
  <c r="S253" i="26"/>
  <c r="W253" i="26"/>
  <c r="AA253" i="26"/>
  <c r="AE253" i="26"/>
  <c r="P253" i="26"/>
  <c r="AF253" i="26"/>
  <c r="D253" i="26"/>
  <c r="T253" i="26"/>
  <c r="H253" i="26"/>
  <c r="X253" i="26"/>
  <c r="L253" i="26"/>
  <c r="AB253" i="26"/>
  <c r="AV253" i="26" s="1"/>
  <c r="AW253" i="26" s="1"/>
  <c r="AM237" i="26"/>
  <c r="AJ237" i="26"/>
  <c r="AG237" i="26"/>
  <c r="AS237" i="26" s="1"/>
  <c r="AT237" i="26" s="1"/>
  <c r="E237" i="26"/>
  <c r="I237" i="26"/>
  <c r="M237" i="26"/>
  <c r="Q237" i="26"/>
  <c r="U237" i="26"/>
  <c r="Y237" i="26"/>
  <c r="AC237" i="26"/>
  <c r="F237" i="26"/>
  <c r="J237" i="26"/>
  <c r="N237" i="26"/>
  <c r="R237" i="26"/>
  <c r="V237" i="26"/>
  <c r="Z237" i="26"/>
  <c r="AD237" i="26"/>
  <c r="C237" i="26"/>
  <c r="G237" i="26"/>
  <c r="K237" i="26"/>
  <c r="O237" i="26"/>
  <c r="S237" i="26"/>
  <c r="W237" i="26"/>
  <c r="AA237" i="26"/>
  <c r="AE237" i="26"/>
  <c r="P237" i="26"/>
  <c r="AF237" i="26"/>
  <c r="D237" i="26"/>
  <c r="T237" i="26"/>
  <c r="H237" i="26"/>
  <c r="X237" i="26"/>
  <c r="AB237" i="26"/>
  <c r="AV237" i="26" s="1"/>
  <c r="AW237" i="26" s="1"/>
  <c r="L237" i="26"/>
  <c r="AM221" i="26"/>
  <c r="AJ221" i="26"/>
  <c r="AG221" i="26"/>
  <c r="AS221" i="26" s="1"/>
  <c r="AT221" i="26" s="1"/>
  <c r="F221" i="26"/>
  <c r="J221" i="26"/>
  <c r="N221" i="26"/>
  <c r="R221" i="26"/>
  <c r="V221" i="26"/>
  <c r="Z221" i="26"/>
  <c r="AD221" i="26"/>
  <c r="C221" i="26"/>
  <c r="G221" i="26"/>
  <c r="K221" i="26"/>
  <c r="O221" i="26"/>
  <c r="S221" i="26"/>
  <c r="W221" i="26"/>
  <c r="AA221" i="26"/>
  <c r="AE221" i="26"/>
  <c r="D221" i="26"/>
  <c r="H221" i="26"/>
  <c r="L221" i="26"/>
  <c r="P221" i="26"/>
  <c r="T221" i="26"/>
  <c r="X221" i="26"/>
  <c r="AB221" i="26"/>
  <c r="AV221" i="26" s="1"/>
  <c r="AW221" i="26" s="1"/>
  <c r="AF221" i="26"/>
  <c r="E221" i="26"/>
  <c r="U221" i="26"/>
  <c r="I221" i="26"/>
  <c r="Y221" i="26"/>
  <c r="M221" i="26"/>
  <c r="AC221" i="26"/>
  <c r="Q221" i="26"/>
  <c r="AM209" i="26"/>
  <c r="AJ209" i="26"/>
  <c r="AG209" i="26"/>
  <c r="AS209" i="26" s="1"/>
  <c r="AT209" i="26" s="1"/>
  <c r="F209" i="26"/>
  <c r="J209" i="26"/>
  <c r="N209" i="26"/>
  <c r="R209" i="26"/>
  <c r="V209" i="26"/>
  <c r="Z209" i="26"/>
  <c r="AD209" i="26"/>
  <c r="C209" i="26"/>
  <c r="G209" i="26"/>
  <c r="K209" i="26"/>
  <c r="O209" i="26"/>
  <c r="S209" i="26"/>
  <c r="W209" i="26"/>
  <c r="AA209" i="26"/>
  <c r="AE209" i="26"/>
  <c r="D209" i="26"/>
  <c r="H209" i="26"/>
  <c r="L209" i="26"/>
  <c r="P209" i="26"/>
  <c r="T209" i="26"/>
  <c r="X209" i="26"/>
  <c r="AB209" i="26"/>
  <c r="AV209" i="26" s="1"/>
  <c r="AW209" i="26" s="1"/>
  <c r="AF209" i="26"/>
  <c r="M209" i="26"/>
  <c r="AC209" i="26"/>
  <c r="Q209" i="26"/>
  <c r="E209" i="26"/>
  <c r="U209" i="26"/>
  <c r="I209" i="26"/>
  <c r="Y209" i="26"/>
  <c r="AJ197" i="26"/>
  <c r="AM197" i="26"/>
  <c r="AG197" i="26"/>
  <c r="AS197" i="26" s="1"/>
  <c r="AT197" i="26" s="1"/>
  <c r="F197" i="26"/>
  <c r="J197" i="26"/>
  <c r="N197" i="26"/>
  <c r="R197" i="26"/>
  <c r="V197" i="26"/>
  <c r="Z197" i="26"/>
  <c r="AD197" i="26"/>
  <c r="C197" i="26"/>
  <c r="G197" i="26"/>
  <c r="K197" i="26"/>
  <c r="O197" i="26"/>
  <c r="S197" i="26"/>
  <c r="W197" i="26"/>
  <c r="AA197" i="26"/>
  <c r="AE197" i="26"/>
  <c r="D197" i="26"/>
  <c r="H197" i="26"/>
  <c r="L197" i="26"/>
  <c r="P197" i="26"/>
  <c r="T197" i="26"/>
  <c r="X197" i="26"/>
  <c r="AB197" i="26"/>
  <c r="AV197" i="26" s="1"/>
  <c r="AW197" i="26" s="1"/>
  <c r="AF197" i="26"/>
  <c r="E197" i="26"/>
  <c r="U197" i="26"/>
  <c r="I197" i="26"/>
  <c r="Y197" i="26"/>
  <c r="M197" i="26"/>
  <c r="AC197" i="26"/>
  <c r="Q197" i="26"/>
  <c r="AM185" i="26"/>
  <c r="AJ185" i="26"/>
  <c r="AG185" i="26"/>
  <c r="AS185" i="26" s="1"/>
  <c r="AT185" i="26" s="1"/>
  <c r="E185" i="26"/>
  <c r="I185" i="26"/>
  <c r="M185" i="26"/>
  <c r="Q185" i="26"/>
  <c r="U185" i="26"/>
  <c r="Y185" i="26"/>
  <c r="AC185" i="26"/>
  <c r="F185" i="26"/>
  <c r="J185" i="26"/>
  <c r="N185" i="26"/>
  <c r="R185" i="26"/>
  <c r="V185" i="26"/>
  <c r="Z185" i="26"/>
  <c r="AD185" i="26"/>
  <c r="C185" i="26"/>
  <c r="G185" i="26"/>
  <c r="K185" i="26"/>
  <c r="O185" i="26"/>
  <c r="S185" i="26"/>
  <c r="W185" i="26"/>
  <c r="AA185" i="26"/>
  <c r="AE185" i="26"/>
  <c r="L185" i="26"/>
  <c r="AB185" i="26"/>
  <c r="AV185" i="26" s="1"/>
  <c r="AW185" i="26" s="1"/>
  <c r="P185" i="26"/>
  <c r="AF185" i="26"/>
  <c r="D185" i="26"/>
  <c r="T185" i="26"/>
  <c r="H185" i="26"/>
  <c r="X185" i="26"/>
  <c r="AM173" i="26"/>
  <c r="AJ173" i="26"/>
  <c r="AG173" i="26"/>
  <c r="AS173" i="26" s="1"/>
  <c r="AT173" i="26" s="1"/>
  <c r="D173" i="26"/>
  <c r="H173" i="26"/>
  <c r="L173" i="26"/>
  <c r="E173" i="26"/>
  <c r="I173" i="26"/>
  <c r="M173" i="26"/>
  <c r="F173" i="26"/>
  <c r="J173" i="26"/>
  <c r="N173" i="26"/>
  <c r="R173" i="26"/>
  <c r="C173" i="26"/>
  <c r="P173" i="26"/>
  <c r="U173" i="26"/>
  <c r="Y173" i="26"/>
  <c r="AC173" i="26"/>
  <c r="G173" i="26"/>
  <c r="Q173" i="26"/>
  <c r="V173" i="26"/>
  <c r="Z173" i="26"/>
  <c r="AD173" i="26"/>
  <c r="K173" i="26"/>
  <c r="S173" i="26"/>
  <c r="W173" i="26"/>
  <c r="AA173" i="26"/>
  <c r="AE173" i="26"/>
  <c r="T173" i="26"/>
  <c r="X173" i="26"/>
  <c r="AB173" i="26"/>
  <c r="AV173" i="26" s="1"/>
  <c r="AW173" i="26" s="1"/>
  <c r="AF173" i="26"/>
  <c r="O173" i="26"/>
  <c r="AM161" i="26"/>
  <c r="AJ161" i="26"/>
  <c r="AG161" i="26"/>
  <c r="AS161" i="26" s="1"/>
  <c r="AT161" i="26" s="1"/>
  <c r="D161" i="26"/>
  <c r="H161" i="26"/>
  <c r="L161" i="26"/>
  <c r="P161" i="26"/>
  <c r="T161" i="26"/>
  <c r="X161" i="26"/>
  <c r="AB161" i="26"/>
  <c r="AV161" i="26" s="1"/>
  <c r="AW161" i="26" s="1"/>
  <c r="AF161" i="26"/>
  <c r="E161" i="26"/>
  <c r="I161" i="26"/>
  <c r="M161" i="26"/>
  <c r="Q161" i="26"/>
  <c r="U161" i="26"/>
  <c r="Y161" i="26"/>
  <c r="AC161" i="26"/>
  <c r="F161" i="26"/>
  <c r="J161" i="26"/>
  <c r="N161" i="26"/>
  <c r="R161" i="26"/>
  <c r="V161" i="26"/>
  <c r="Z161" i="26"/>
  <c r="AD161" i="26"/>
  <c r="K161" i="26"/>
  <c r="AA161" i="26"/>
  <c r="O161" i="26"/>
  <c r="AE161" i="26"/>
  <c r="C161" i="26"/>
  <c r="S161" i="26"/>
  <c r="G161" i="26"/>
  <c r="W161" i="26"/>
  <c r="AM149" i="26"/>
  <c r="AJ149" i="26"/>
  <c r="AG149" i="26"/>
  <c r="AS149" i="26" s="1"/>
  <c r="AT149" i="26" s="1"/>
  <c r="C149" i="26"/>
  <c r="G149" i="26"/>
  <c r="K149" i="26"/>
  <c r="O149" i="26"/>
  <c r="S149" i="26"/>
  <c r="W149" i="26"/>
  <c r="AA149" i="26"/>
  <c r="AE149" i="26"/>
  <c r="D149" i="26"/>
  <c r="H149" i="26"/>
  <c r="L149" i="26"/>
  <c r="P149" i="26"/>
  <c r="T149" i="26"/>
  <c r="X149" i="26"/>
  <c r="AB149" i="26"/>
  <c r="AV149" i="26" s="1"/>
  <c r="AW149" i="26" s="1"/>
  <c r="AF149" i="26"/>
  <c r="AM137" i="26"/>
  <c r="AJ137" i="26"/>
  <c r="AG137" i="26"/>
  <c r="AS137" i="26" s="1"/>
  <c r="AT137" i="26" s="1"/>
  <c r="C137" i="26"/>
  <c r="G137" i="26"/>
  <c r="K137" i="26"/>
  <c r="O137" i="26"/>
  <c r="S137" i="26"/>
  <c r="W137" i="26"/>
  <c r="AA137" i="26"/>
  <c r="AE137" i="26"/>
  <c r="D137" i="26"/>
  <c r="H137" i="26"/>
  <c r="L137" i="26"/>
  <c r="P137" i="26"/>
  <c r="T137" i="26"/>
  <c r="X137" i="26"/>
  <c r="AB137" i="26"/>
  <c r="AV137" i="26" s="1"/>
  <c r="AW137" i="26" s="1"/>
  <c r="AF137" i="26"/>
  <c r="AM117" i="26"/>
  <c r="AG117" i="26"/>
  <c r="AS117" i="26" s="1"/>
  <c r="AT117" i="26" s="1"/>
  <c r="AJ117" i="26"/>
  <c r="C117" i="26"/>
  <c r="G117" i="26"/>
  <c r="K117" i="26"/>
  <c r="O117" i="26"/>
  <c r="S117" i="26"/>
  <c r="W117" i="26"/>
  <c r="AA117" i="26"/>
  <c r="AE117" i="26"/>
  <c r="D117" i="26"/>
  <c r="H117" i="26"/>
  <c r="L117" i="26"/>
  <c r="P117" i="26"/>
  <c r="T117" i="26"/>
  <c r="X117" i="26"/>
  <c r="AB117" i="26"/>
  <c r="AV117" i="26" s="1"/>
  <c r="AW117" i="26" s="1"/>
  <c r="AF117" i="26"/>
  <c r="AM105" i="26"/>
  <c r="AJ105" i="26"/>
  <c r="AG105" i="26"/>
  <c r="AS105" i="26" s="1"/>
  <c r="AT105" i="26" s="1"/>
  <c r="F105" i="26"/>
  <c r="J105" i="26"/>
  <c r="N105" i="26"/>
  <c r="R105" i="26"/>
  <c r="V105" i="26"/>
  <c r="Z105" i="26"/>
  <c r="AD105" i="26"/>
  <c r="D105" i="26"/>
  <c r="H105" i="26"/>
  <c r="L105" i="26"/>
  <c r="P105" i="26"/>
  <c r="T105" i="26"/>
  <c r="X105" i="26"/>
  <c r="AB105" i="26"/>
  <c r="AV105" i="26" s="1"/>
  <c r="AW105" i="26" s="1"/>
  <c r="AF105" i="26"/>
  <c r="I105" i="26"/>
  <c r="Q105" i="26"/>
  <c r="Y105" i="26"/>
  <c r="C105" i="26"/>
  <c r="K105" i="26"/>
  <c r="S105" i="26"/>
  <c r="AA105" i="26"/>
  <c r="AM89" i="26"/>
  <c r="AJ89" i="26"/>
  <c r="AG89" i="26"/>
  <c r="AS89" i="26" s="1"/>
  <c r="AT89" i="26" s="1"/>
  <c r="F89" i="26"/>
  <c r="J89" i="26"/>
  <c r="N89" i="26"/>
  <c r="R89" i="26"/>
  <c r="V89" i="26"/>
  <c r="Z89" i="26"/>
  <c r="AD89" i="26"/>
  <c r="C89" i="26"/>
  <c r="G89" i="26"/>
  <c r="K89" i="26"/>
  <c r="O89" i="26"/>
  <c r="S89" i="26"/>
  <c r="W89" i="26"/>
  <c r="AA89" i="26"/>
  <c r="AE89" i="26"/>
  <c r="D89" i="26"/>
  <c r="H89" i="26"/>
  <c r="L89" i="26"/>
  <c r="P89" i="26"/>
  <c r="T89" i="26"/>
  <c r="X89" i="26"/>
  <c r="AB89" i="26"/>
  <c r="AV89" i="26" s="1"/>
  <c r="AW89" i="26" s="1"/>
  <c r="AF89" i="26"/>
  <c r="M89" i="26"/>
  <c r="AC89" i="26"/>
  <c r="Q89" i="26"/>
  <c r="AM77" i="26"/>
  <c r="AJ77" i="26"/>
  <c r="AG77" i="26"/>
  <c r="AS77" i="26" s="1"/>
  <c r="AT77" i="26" s="1"/>
  <c r="F77" i="26"/>
  <c r="J77" i="26"/>
  <c r="N77" i="26"/>
  <c r="R77" i="26"/>
  <c r="V77" i="26"/>
  <c r="Z77" i="26"/>
  <c r="AD77" i="26"/>
  <c r="C77" i="26"/>
  <c r="G77" i="26"/>
  <c r="K77" i="26"/>
  <c r="O77" i="26"/>
  <c r="S77" i="26"/>
  <c r="W77" i="26"/>
  <c r="AA77" i="26"/>
  <c r="AE77" i="26"/>
  <c r="D77" i="26"/>
  <c r="H77" i="26"/>
  <c r="L77" i="26"/>
  <c r="P77" i="26"/>
  <c r="T77" i="26"/>
  <c r="X77" i="26"/>
  <c r="AB77" i="26"/>
  <c r="AV77" i="26" s="1"/>
  <c r="AW77" i="26" s="1"/>
  <c r="AF77" i="26"/>
  <c r="E77" i="26"/>
  <c r="U77" i="26"/>
  <c r="I77" i="26"/>
  <c r="Y77" i="26"/>
  <c r="AM65" i="26"/>
  <c r="AJ65" i="26"/>
  <c r="AG65" i="26"/>
  <c r="AS65" i="26" s="1"/>
  <c r="AT65" i="26" s="1"/>
  <c r="F65" i="26"/>
  <c r="J65" i="26"/>
  <c r="N65" i="26"/>
  <c r="R65" i="26"/>
  <c r="V65" i="26"/>
  <c r="Z65" i="26"/>
  <c r="AD65" i="26"/>
  <c r="C65" i="26"/>
  <c r="G65" i="26"/>
  <c r="K65" i="26"/>
  <c r="O65" i="26"/>
  <c r="S65" i="26"/>
  <c r="W65" i="26"/>
  <c r="AA65" i="26"/>
  <c r="AE65" i="26"/>
  <c r="D65" i="26"/>
  <c r="H65" i="26"/>
  <c r="L65" i="26"/>
  <c r="P65" i="26"/>
  <c r="T65" i="26"/>
  <c r="X65" i="26"/>
  <c r="AB65" i="26"/>
  <c r="AV65" i="26" s="1"/>
  <c r="AW65" i="26" s="1"/>
  <c r="AF65" i="26"/>
  <c r="M65" i="26"/>
  <c r="AC65" i="26"/>
  <c r="Q65" i="26"/>
  <c r="AM57" i="26"/>
  <c r="AJ57" i="26"/>
  <c r="AG57" i="26"/>
  <c r="AS57" i="26" s="1"/>
  <c r="AT57" i="26" s="1"/>
  <c r="F57" i="26"/>
  <c r="J57" i="26"/>
  <c r="N57" i="26"/>
  <c r="R57" i="26"/>
  <c r="V57" i="26"/>
  <c r="Z57" i="26"/>
  <c r="AD57" i="26"/>
  <c r="C57" i="26"/>
  <c r="G57" i="26"/>
  <c r="K57" i="26"/>
  <c r="O57" i="26"/>
  <c r="S57" i="26"/>
  <c r="W57" i="26"/>
  <c r="AA57" i="26"/>
  <c r="AE57" i="26"/>
  <c r="D57" i="26"/>
  <c r="H57" i="26"/>
  <c r="L57" i="26"/>
  <c r="P57" i="26"/>
  <c r="T57" i="26"/>
  <c r="X57" i="26"/>
  <c r="AB57" i="26"/>
  <c r="AV57" i="26" s="1"/>
  <c r="AW57" i="26" s="1"/>
  <c r="AF57" i="26"/>
  <c r="M57" i="26"/>
  <c r="AC57" i="26"/>
  <c r="Q57" i="26"/>
  <c r="AM45" i="26"/>
  <c r="AJ45" i="26"/>
  <c r="AG45" i="26"/>
  <c r="AS45" i="26" s="1"/>
  <c r="AT45" i="26" s="1"/>
  <c r="C45" i="26"/>
  <c r="G45" i="26"/>
  <c r="K45" i="26"/>
  <c r="O45" i="26"/>
  <c r="S45" i="26"/>
  <c r="W45" i="26"/>
  <c r="AA45" i="26"/>
  <c r="AE45" i="26"/>
  <c r="D45" i="26"/>
  <c r="H45" i="26"/>
  <c r="L45" i="26"/>
  <c r="P45" i="26"/>
  <c r="T45" i="26"/>
  <c r="X45" i="26"/>
  <c r="AB45" i="26"/>
  <c r="AV45" i="26" s="1"/>
  <c r="AW45" i="26" s="1"/>
  <c r="AF45" i="26"/>
  <c r="E45" i="26"/>
  <c r="I45" i="26"/>
  <c r="M45" i="26"/>
  <c r="Q45" i="26"/>
  <c r="U45" i="26"/>
  <c r="Y45" i="26"/>
  <c r="AC45" i="26"/>
  <c r="J45" i="26"/>
  <c r="Z45" i="26"/>
  <c r="N45" i="26"/>
  <c r="AD45" i="26"/>
  <c r="R45" i="26"/>
  <c r="AM37" i="26"/>
  <c r="AJ37" i="26"/>
  <c r="AG37" i="26"/>
  <c r="AS37" i="26" s="1"/>
  <c r="AT37" i="26" s="1"/>
  <c r="C37" i="26"/>
  <c r="G37" i="26"/>
  <c r="K37" i="26"/>
  <c r="O37" i="26"/>
  <c r="S37" i="26"/>
  <c r="W37" i="26"/>
  <c r="AA37" i="26"/>
  <c r="AE37" i="26"/>
  <c r="D37" i="26"/>
  <c r="H37" i="26"/>
  <c r="L37" i="26"/>
  <c r="P37" i="26"/>
  <c r="T37" i="26"/>
  <c r="X37" i="26"/>
  <c r="AB37" i="26"/>
  <c r="AV37" i="26" s="1"/>
  <c r="AW37" i="26" s="1"/>
  <c r="AF37" i="26"/>
  <c r="E37" i="26"/>
  <c r="I37" i="26"/>
  <c r="M37" i="26"/>
  <c r="Q37" i="26"/>
  <c r="U37" i="26"/>
  <c r="Y37" i="26"/>
  <c r="AC37" i="26"/>
  <c r="J37" i="26"/>
  <c r="Z37" i="26"/>
  <c r="N37" i="26"/>
  <c r="AD37" i="26"/>
  <c r="R37" i="26"/>
  <c r="V37" i="26"/>
  <c r="AJ29" i="26"/>
  <c r="AM29" i="26"/>
  <c r="AG29" i="26"/>
  <c r="AS29" i="26" s="1"/>
  <c r="AT29" i="26" s="1"/>
  <c r="AM25" i="26"/>
  <c r="AJ25" i="26"/>
  <c r="AG25" i="26"/>
  <c r="AS25" i="26" s="1"/>
  <c r="AT25" i="26" s="1"/>
  <c r="AM17" i="26"/>
  <c r="AJ17" i="26"/>
  <c r="AG17" i="26"/>
  <c r="AS17" i="26" s="1"/>
  <c r="AT17" i="26" s="1"/>
  <c r="E17" i="26"/>
  <c r="I17" i="26"/>
  <c r="M17" i="26"/>
  <c r="Q17" i="26"/>
  <c r="U17" i="26"/>
  <c r="Y17" i="26"/>
  <c r="AC17" i="26"/>
  <c r="F17" i="26"/>
  <c r="J17" i="26"/>
  <c r="N17" i="26"/>
  <c r="R17" i="26"/>
  <c r="V17" i="26"/>
  <c r="Z17" i="26"/>
  <c r="AD17" i="26"/>
  <c r="AM9" i="26"/>
  <c r="AJ9" i="26"/>
  <c r="AG9" i="26"/>
  <c r="AS9" i="26" s="1"/>
  <c r="AT9" i="26" s="1"/>
  <c r="E9" i="26"/>
  <c r="I9" i="26"/>
  <c r="M9" i="26"/>
  <c r="Q9" i="26"/>
  <c r="U9" i="26"/>
  <c r="Y9" i="26"/>
  <c r="AC9" i="26"/>
  <c r="F9" i="26"/>
  <c r="J9" i="26"/>
  <c r="N9" i="26"/>
  <c r="R9" i="26"/>
  <c r="V9" i="26"/>
  <c r="Z9" i="26"/>
  <c r="AD9" i="26"/>
  <c r="AM5" i="26"/>
  <c r="AJ5" i="26"/>
  <c r="AG5" i="26"/>
  <c r="AS5" i="26" s="1"/>
  <c r="AT5" i="26" s="1"/>
  <c r="E5" i="26"/>
  <c r="I5" i="26"/>
  <c r="M5" i="26"/>
  <c r="Q5" i="26"/>
  <c r="U5" i="26"/>
  <c r="Y5" i="26"/>
  <c r="AC5" i="26"/>
  <c r="F5" i="26"/>
  <c r="J5" i="26"/>
  <c r="N5" i="26"/>
  <c r="R5" i="26"/>
  <c r="V5" i="26"/>
  <c r="Z5" i="26"/>
  <c r="AD5" i="26"/>
  <c r="AC29" i="26"/>
  <c r="Y29" i="26"/>
  <c r="U29" i="26"/>
  <c r="Q29" i="26"/>
  <c r="M29" i="26"/>
  <c r="I29" i="26"/>
  <c r="E29" i="26"/>
  <c r="AA9" i="26"/>
  <c r="S9" i="26"/>
  <c r="K9" i="26"/>
  <c r="C9" i="26"/>
  <c r="AC149" i="26"/>
  <c r="U149" i="26"/>
  <c r="M149" i="26"/>
  <c r="E149" i="26"/>
  <c r="AC109" i="26"/>
  <c r="M109" i="26"/>
  <c r="AC93" i="26"/>
  <c r="M93" i="26"/>
  <c r="U89" i="26"/>
  <c r="M85" i="26"/>
  <c r="AC77" i="26"/>
  <c r="U73" i="26"/>
  <c r="AC61" i="26"/>
  <c r="F45" i="26"/>
  <c r="D357" i="26"/>
  <c r="AM348" i="26"/>
  <c r="AJ348" i="26"/>
  <c r="AG348" i="26"/>
  <c r="AS348" i="26" s="1"/>
  <c r="AT348" i="26" s="1"/>
  <c r="C348" i="26"/>
  <c r="G348" i="26"/>
  <c r="K348" i="26"/>
  <c r="O348" i="26"/>
  <c r="S348" i="26"/>
  <c r="W348" i="26"/>
  <c r="AA348" i="26"/>
  <c r="AE348" i="26"/>
  <c r="D348" i="26"/>
  <c r="H348" i="26"/>
  <c r="L348" i="26"/>
  <c r="P348" i="26"/>
  <c r="T348" i="26"/>
  <c r="X348" i="26"/>
  <c r="AB348" i="26"/>
  <c r="AV348" i="26" s="1"/>
  <c r="AW348" i="26" s="1"/>
  <c r="AF348" i="26"/>
  <c r="E348" i="26"/>
  <c r="I348" i="26"/>
  <c r="M348" i="26"/>
  <c r="Q348" i="26"/>
  <c r="U348" i="26"/>
  <c r="Y348" i="26"/>
  <c r="AC348" i="26"/>
  <c r="F348" i="26"/>
  <c r="V348" i="26"/>
  <c r="J348" i="26"/>
  <c r="Z348" i="26"/>
  <c r="N348" i="26"/>
  <c r="AD348" i="26"/>
  <c r="AM336" i="26"/>
  <c r="AJ336" i="26"/>
  <c r="AG336" i="26"/>
  <c r="AS336" i="26" s="1"/>
  <c r="AT336" i="26" s="1"/>
  <c r="C336" i="26"/>
  <c r="G336" i="26"/>
  <c r="K336" i="26"/>
  <c r="O336" i="26"/>
  <c r="S336" i="26"/>
  <c r="W336" i="26"/>
  <c r="AA336" i="26"/>
  <c r="AE336" i="26"/>
  <c r="D336" i="26"/>
  <c r="H336" i="26"/>
  <c r="L336" i="26"/>
  <c r="P336" i="26"/>
  <c r="T336" i="26"/>
  <c r="X336" i="26"/>
  <c r="AB336" i="26"/>
  <c r="AV336" i="26" s="1"/>
  <c r="AW336" i="26" s="1"/>
  <c r="AF336" i="26"/>
  <c r="E336" i="26"/>
  <c r="I336" i="26"/>
  <c r="M336" i="26"/>
  <c r="Q336" i="26"/>
  <c r="U336" i="26"/>
  <c r="Y336" i="26"/>
  <c r="AC336" i="26"/>
  <c r="N336" i="26"/>
  <c r="AD336" i="26"/>
  <c r="R336" i="26"/>
  <c r="F336" i="26"/>
  <c r="V336" i="26"/>
  <c r="Z336" i="26"/>
  <c r="AM324" i="26"/>
  <c r="AJ324" i="26"/>
  <c r="AG324" i="26"/>
  <c r="AS324" i="26" s="1"/>
  <c r="AT324" i="26" s="1"/>
  <c r="C324" i="26"/>
  <c r="G324" i="26"/>
  <c r="K324" i="26"/>
  <c r="O324" i="26"/>
  <c r="S324" i="26"/>
  <c r="W324" i="26"/>
  <c r="AA324" i="26"/>
  <c r="AE324" i="26"/>
  <c r="D324" i="26"/>
  <c r="H324" i="26"/>
  <c r="L324" i="26"/>
  <c r="P324" i="26"/>
  <c r="T324" i="26"/>
  <c r="X324" i="26"/>
  <c r="AB324" i="26"/>
  <c r="AV324" i="26" s="1"/>
  <c r="AW324" i="26" s="1"/>
  <c r="AF324" i="26"/>
  <c r="E324" i="26"/>
  <c r="I324" i="26"/>
  <c r="M324" i="26"/>
  <c r="Q324" i="26"/>
  <c r="U324" i="26"/>
  <c r="Y324" i="26"/>
  <c r="AC324" i="26"/>
  <c r="F324" i="26"/>
  <c r="V324" i="26"/>
  <c r="J324" i="26"/>
  <c r="Z324" i="26"/>
  <c r="N324" i="26"/>
  <c r="AD324" i="26"/>
  <c r="R324" i="26"/>
  <c r="AM312" i="26"/>
  <c r="AJ312" i="26"/>
  <c r="AG312" i="26"/>
  <c r="AS312" i="26" s="1"/>
  <c r="AT312" i="26" s="1"/>
  <c r="C312" i="26"/>
  <c r="G312" i="26"/>
  <c r="K312" i="26"/>
  <c r="O312" i="26"/>
  <c r="S312" i="26"/>
  <c r="W312" i="26"/>
  <c r="AA312" i="26"/>
  <c r="AE312" i="26"/>
  <c r="D312" i="26"/>
  <c r="H312" i="26"/>
  <c r="L312" i="26"/>
  <c r="P312" i="26"/>
  <c r="T312" i="26"/>
  <c r="X312" i="26"/>
  <c r="AB312" i="26"/>
  <c r="AV312" i="26" s="1"/>
  <c r="AW312" i="26" s="1"/>
  <c r="AF312" i="26"/>
  <c r="E312" i="26"/>
  <c r="I312" i="26"/>
  <c r="M312" i="26"/>
  <c r="Q312" i="26"/>
  <c r="U312" i="26"/>
  <c r="Y312" i="26"/>
  <c r="AC312" i="26"/>
  <c r="N312" i="26"/>
  <c r="AD312" i="26"/>
  <c r="R312" i="26"/>
  <c r="F312" i="26"/>
  <c r="V312" i="26"/>
  <c r="AM300" i="26"/>
  <c r="AJ300" i="26"/>
  <c r="AG300" i="26"/>
  <c r="AS300" i="26" s="1"/>
  <c r="AT300" i="26" s="1"/>
  <c r="C300" i="26"/>
  <c r="G300" i="26"/>
  <c r="K300" i="26"/>
  <c r="O300" i="26"/>
  <c r="S300" i="26"/>
  <c r="W300" i="26"/>
  <c r="AA300" i="26"/>
  <c r="AE300" i="26"/>
  <c r="D300" i="26"/>
  <c r="H300" i="26"/>
  <c r="L300" i="26"/>
  <c r="P300" i="26"/>
  <c r="T300" i="26"/>
  <c r="X300" i="26"/>
  <c r="AB300" i="26"/>
  <c r="AV300" i="26" s="1"/>
  <c r="AW300" i="26" s="1"/>
  <c r="AF300" i="26"/>
  <c r="E300" i="26"/>
  <c r="I300" i="26"/>
  <c r="M300" i="26"/>
  <c r="Q300" i="26"/>
  <c r="U300" i="26"/>
  <c r="Y300" i="26"/>
  <c r="AC300" i="26"/>
  <c r="F300" i="26"/>
  <c r="V300" i="26"/>
  <c r="J300" i="26"/>
  <c r="Z300" i="26"/>
  <c r="N300" i="26"/>
  <c r="AD300" i="26"/>
  <c r="R300" i="26"/>
  <c r="AM288" i="26"/>
  <c r="AJ288" i="26"/>
  <c r="AG288" i="26"/>
  <c r="AS288" i="26" s="1"/>
  <c r="AT288" i="26" s="1"/>
  <c r="D288" i="26"/>
  <c r="H288" i="26"/>
  <c r="L288" i="26"/>
  <c r="P288" i="26"/>
  <c r="T288" i="26"/>
  <c r="X288" i="26"/>
  <c r="AB288" i="26"/>
  <c r="AV288" i="26" s="1"/>
  <c r="AW288" i="26" s="1"/>
  <c r="AF288" i="26"/>
  <c r="E288" i="26"/>
  <c r="I288" i="26"/>
  <c r="M288" i="26"/>
  <c r="Q288" i="26"/>
  <c r="U288" i="26"/>
  <c r="Y288" i="26"/>
  <c r="AC288" i="26"/>
  <c r="F288" i="26"/>
  <c r="J288" i="26"/>
  <c r="N288" i="26"/>
  <c r="R288" i="26"/>
  <c r="V288" i="26"/>
  <c r="Z288" i="26"/>
  <c r="AD288" i="26"/>
  <c r="O288" i="26"/>
  <c r="AE288" i="26"/>
  <c r="C288" i="26"/>
  <c r="S288" i="26"/>
  <c r="G288" i="26"/>
  <c r="W288" i="26"/>
  <c r="K288" i="26"/>
  <c r="AM276" i="26"/>
  <c r="AJ276" i="26"/>
  <c r="AG276" i="26"/>
  <c r="AS276" i="26" s="1"/>
  <c r="AT276" i="26" s="1"/>
  <c r="D276" i="26"/>
  <c r="H276" i="26"/>
  <c r="L276" i="26"/>
  <c r="P276" i="26"/>
  <c r="T276" i="26"/>
  <c r="X276" i="26"/>
  <c r="AB276" i="26"/>
  <c r="AV276" i="26" s="1"/>
  <c r="AW276" i="26" s="1"/>
  <c r="AF276" i="26"/>
  <c r="E276" i="26"/>
  <c r="I276" i="26"/>
  <c r="M276" i="26"/>
  <c r="Q276" i="26"/>
  <c r="U276" i="26"/>
  <c r="Y276" i="26"/>
  <c r="AC276" i="26"/>
  <c r="F276" i="26"/>
  <c r="J276" i="26"/>
  <c r="N276" i="26"/>
  <c r="R276" i="26"/>
  <c r="V276" i="26"/>
  <c r="Z276" i="26"/>
  <c r="AD276" i="26"/>
  <c r="G276" i="26"/>
  <c r="W276" i="26"/>
  <c r="K276" i="26"/>
  <c r="AA276" i="26"/>
  <c r="O276" i="26"/>
  <c r="AE276" i="26"/>
  <c r="S276" i="26"/>
  <c r="C276" i="26"/>
  <c r="AM256" i="26"/>
  <c r="AJ256" i="26"/>
  <c r="AG256" i="26"/>
  <c r="AS256" i="26" s="1"/>
  <c r="AT256" i="26" s="1"/>
  <c r="C256" i="26"/>
  <c r="G256" i="26"/>
  <c r="K256" i="26"/>
  <c r="O256" i="26"/>
  <c r="S256" i="26"/>
  <c r="W256" i="26"/>
  <c r="AA256" i="26"/>
  <c r="AE256" i="26"/>
  <c r="D256" i="26"/>
  <c r="H256" i="26"/>
  <c r="L256" i="26"/>
  <c r="P256" i="26"/>
  <c r="T256" i="26"/>
  <c r="X256" i="26"/>
  <c r="AB256" i="26"/>
  <c r="AV256" i="26" s="1"/>
  <c r="AW256" i="26" s="1"/>
  <c r="AF256" i="26"/>
  <c r="E256" i="26"/>
  <c r="I256" i="26"/>
  <c r="M256" i="26"/>
  <c r="Q256" i="26"/>
  <c r="U256" i="26"/>
  <c r="Y256" i="26"/>
  <c r="AC256" i="26"/>
  <c r="F256" i="26"/>
  <c r="V256" i="26"/>
  <c r="J256" i="26"/>
  <c r="Z256" i="26"/>
  <c r="N256" i="26"/>
  <c r="AD256" i="26"/>
  <c r="R256" i="26"/>
  <c r="AM244" i="26"/>
  <c r="AJ244" i="26"/>
  <c r="AG244" i="26"/>
  <c r="AS244" i="26" s="1"/>
  <c r="AT244" i="26" s="1"/>
  <c r="C244" i="26"/>
  <c r="G244" i="26"/>
  <c r="K244" i="26"/>
  <c r="O244" i="26"/>
  <c r="S244" i="26"/>
  <c r="W244" i="26"/>
  <c r="AA244" i="26"/>
  <c r="AE244" i="26"/>
  <c r="D244" i="26"/>
  <c r="H244" i="26"/>
  <c r="L244" i="26"/>
  <c r="P244" i="26"/>
  <c r="T244" i="26"/>
  <c r="X244" i="26"/>
  <c r="AB244" i="26"/>
  <c r="AV244" i="26" s="1"/>
  <c r="AW244" i="26" s="1"/>
  <c r="AF244" i="26"/>
  <c r="E244" i="26"/>
  <c r="I244" i="26"/>
  <c r="M244" i="26"/>
  <c r="Q244" i="26"/>
  <c r="U244" i="26"/>
  <c r="Y244" i="26"/>
  <c r="AC244" i="26"/>
  <c r="N244" i="26"/>
  <c r="AD244" i="26"/>
  <c r="R244" i="26"/>
  <c r="F244" i="26"/>
  <c r="V244" i="26"/>
  <c r="J244" i="26"/>
  <c r="Z244" i="26"/>
  <c r="AM232" i="26"/>
  <c r="AJ232" i="26"/>
  <c r="AG232" i="26"/>
  <c r="AS232" i="26" s="1"/>
  <c r="AT232" i="26" s="1"/>
  <c r="C232" i="26"/>
  <c r="G232" i="26"/>
  <c r="K232" i="26"/>
  <c r="O232" i="26"/>
  <c r="S232" i="26"/>
  <c r="W232" i="26"/>
  <c r="AA232" i="26"/>
  <c r="AE232" i="26"/>
  <c r="D232" i="26"/>
  <c r="H232" i="26"/>
  <c r="L232" i="26"/>
  <c r="P232" i="26"/>
  <c r="T232" i="26"/>
  <c r="X232" i="26"/>
  <c r="AB232" i="26"/>
  <c r="AV232" i="26" s="1"/>
  <c r="AW232" i="26" s="1"/>
  <c r="AF232" i="26"/>
  <c r="E232" i="26"/>
  <c r="I232" i="26"/>
  <c r="M232" i="26"/>
  <c r="Q232" i="26"/>
  <c r="U232" i="26"/>
  <c r="Y232" i="26"/>
  <c r="AC232" i="26"/>
  <c r="F232" i="26"/>
  <c r="V232" i="26"/>
  <c r="J232" i="26"/>
  <c r="Z232" i="26"/>
  <c r="N232" i="26"/>
  <c r="AD232" i="26"/>
  <c r="R232" i="26"/>
  <c r="AM220" i="26"/>
  <c r="AJ220" i="26"/>
  <c r="AG220" i="26"/>
  <c r="AS220" i="26" s="1"/>
  <c r="AT220" i="26" s="1"/>
  <c r="D220" i="26"/>
  <c r="H220" i="26"/>
  <c r="L220" i="26"/>
  <c r="P220" i="26"/>
  <c r="T220" i="26"/>
  <c r="X220" i="26"/>
  <c r="AB220" i="26"/>
  <c r="AV220" i="26" s="1"/>
  <c r="AW220" i="26" s="1"/>
  <c r="AF220" i="26"/>
  <c r="E220" i="26"/>
  <c r="I220" i="26"/>
  <c r="M220" i="26"/>
  <c r="Q220" i="26"/>
  <c r="U220" i="26"/>
  <c r="Y220" i="26"/>
  <c r="AC220" i="26"/>
  <c r="F220" i="26"/>
  <c r="J220" i="26"/>
  <c r="N220" i="26"/>
  <c r="R220" i="26"/>
  <c r="V220" i="26"/>
  <c r="Z220" i="26"/>
  <c r="AD220" i="26"/>
  <c r="C220" i="26"/>
  <c r="S220" i="26"/>
  <c r="G220" i="26"/>
  <c r="W220" i="26"/>
  <c r="K220" i="26"/>
  <c r="AA220" i="26"/>
  <c r="AE220" i="26"/>
  <c r="O220" i="26"/>
  <c r="AM208" i="26"/>
  <c r="AJ208" i="26"/>
  <c r="AG208" i="26"/>
  <c r="AS208" i="26" s="1"/>
  <c r="AT208" i="26" s="1"/>
  <c r="D208" i="26"/>
  <c r="H208" i="26"/>
  <c r="L208" i="26"/>
  <c r="P208" i="26"/>
  <c r="T208" i="26"/>
  <c r="X208" i="26"/>
  <c r="AB208" i="26"/>
  <c r="AV208" i="26" s="1"/>
  <c r="AW208" i="26" s="1"/>
  <c r="AF208" i="26"/>
  <c r="E208" i="26"/>
  <c r="I208" i="26"/>
  <c r="M208" i="26"/>
  <c r="Q208" i="26"/>
  <c r="U208" i="26"/>
  <c r="Y208" i="26"/>
  <c r="AC208" i="26"/>
  <c r="F208" i="26"/>
  <c r="J208" i="26"/>
  <c r="N208" i="26"/>
  <c r="R208" i="26"/>
  <c r="V208" i="26"/>
  <c r="Z208" i="26"/>
  <c r="AD208" i="26"/>
  <c r="K208" i="26"/>
  <c r="AA208" i="26"/>
  <c r="O208" i="26"/>
  <c r="AE208" i="26"/>
  <c r="C208" i="26"/>
  <c r="S208" i="26"/>
  <c r="G208" i="26"/>
  <c r="W208" i="26"/>
  <c r="AM192" i="26"/>
  <c r="AJ192" i="26"/>
  <c r="AG192" i="26"/>
  <c r="AS192" i="26" s="1"/>
  <c r="AT192" i="26" s="1"/>
  <c r="D192" i="26"/>
  <c r="H192" i="26"/>
  <c r="L192" i="26"/>
  <c r="P192" i="26"/>
  <c r="T192" i="26"/>
  <c r="X192" i="26"/>
  <c r="AB192" i="26"/>
  <c r="AV192" i="26" s="1"/>
  <c r="AW192" i="26" s="1"/>
  <c r="AF192" i="26"/>
  <c r="E192" i="26"/>
  <c r="I192" i="26"/>
  <c r="M192" i="26"/>
  <c r="Q192" i="26"/>
  <c r="U192" i="26"/>
  <c r="Y192" i="26"/>
  <c r="AC192" i="26"/>
  <c r="F192" i="26"/>
  <c r="J192" i="26"/>
  <c r="N192" i="26"/>
  <c r="R192" i="26"/>
  <c r="V192" i="26"/>
  <c r="Z192" i="26"/>
  <c r="AD192" i="26"/>
  <c r="K192" i="26"/>
  <c r="AA192" i="26"/>
  <c r="O192" i="26"/>
  <c r="AE192" i="26"/>
  <c r="C192" i="26"/>
  <c r="S192" i="26"/>
  <c r="G192" i="26"/>
  <c r="W192" i="26"/>
  <c r="AM180" i="26"/>
  <c r="AJ180" i="26"/>
  <c r="AG180" i="26"/>
  <c r="AS180" i="26" s="1"/>
  <c r="AT180" i="26" s="1"/>
  <c r="C180" i="26"/>
  <c r="G180" i="26"/>
  <c r="K180" i="26"/>
  <c r="O180" i="26"/>
  <c r="S180" i="26"/>
  <c r="W180" i="26"/>
  <c r="AA180" i="26"/>
  <c r="AE180" i="26"/>
  <c r="D180" i="26"/>
  <c r="H180" i="26"/>
  <c r="L180" i="26"/>
  <c r="P180" i="26"/>
  <c r="T180" i="26"/>
  <c r="X180" i="26"/>
  <c r="AB180" i="26"/>
  <c r="AV180" i="26" s="1"/>
  <c r="AW180" i="26" s="1"/>
  <c r="AF180" i="26"/>
  <c r="E180" i="26"/>
  <c r="I180" i="26"/>
  <c r="M180" i="26"/>
  <c r="Q180" i="26"/>
  <c r="U180" i="26"/>
  <c r="Y180" i="26"/>
  <c r="AC180" i="26"/>
  <c r="R180" i="26"/>
  <c r="F180" i="26"/>
  <c r="V180" i="26"/>
  <c r="J180" i="26"/>
  <c r="Z180" i="26"/>
  <c r="N180" i="26"/>
  <c r="AD180" i="26"/>
  <c r="AM168" i="26"/>
  <c r="AJ168" i="26"/>
  <c r="AG168" i="26"/>
  <c r="AS168" i="26" s="1"/>
  <c r="AT168" i="26" s="1"/>
  <c r="F168" i="26"/>
  <c r="J168" i="26"/>
  <c r="N168" i="26"/>
  <c r="R168" i="26"/>
  <c r="V168" i="26"/>
  <c r="Z168" i="26"/>
  <c r="AD168" i="26"/>
  <c r="C168" i="26"/>
  <c r="G168" i="26"/>
  <c r="K168" i="26"/>
  <c r="O168" i="26"/>
  <c r="S168" i="26"/>
  <c r="W168" i="26"/>
  <c r="AA168" i="26"/>
  <c r="AE168" i="26"/>
  <c r="D168" i="26"/>
  <c r="H168" i="26"/>
  <c r="L168" i="26"/>
  <c r="P168" i="26"/>
  <c r="T168" i="26"/>
  <c r="X168" i="26"/>
  <c r="AB168" i="26"/>
  <c r="AV168" i="26" s="1"/>
  <c r="AW168" i="26" s="1"/>
  <c r="AF168" i="26"/>
  <c r="I168" i="26"/>
  <c r="Y168" i="26"/>
  <c r="M168" i="26"/>
  <c r="AC168" i="26"/>
  <c r="Q168" i="26"/>
  <c r="E168" i="26"/>
  <c r="U168" i="26"/>
  <c r="AM156" i="26"/>
  <c r="AJ156" i="26"/>
  <c r="AG156" i="26"/>
  <c r="AS156" i="26" s="1"/>
  <c r="AT156" i="26" s="1"/>
  <c r="E156" i="26"/>
  <c r="I156" i="26"/>
  <c r="M156" i="26"/>
  <c r="Q156" i="26"/>
  <c r="U156" i="26"/>
  <c r="Y156" i="26"/>
  <c r="AC156" i="26"/>
  <c r="F156" i="26"/>
  <c r="J156" i="26"/>
  <c r="N156" i="26"/>
  <c r="R156" i="26"/>
  <c r="V156" i="26"/>
  <c r="Z156" i="26"/>
  <c r="AD156" i="26"/>
  <c r="AM144" i="26"/>
  <c r="AJ144" i="26"/>
  <c r="AG144" i="26"/>
  <c r="AS144" i="26" s="1"/>
  <c r="AT144" i="26" s="1"/>
  <c r="E144" i="26"/>
  <c r="I144" i="26"/>
  <c r="M144" i="26"/>
  <c r="Q144" i="26"/>
  <c r="U144" i="26"/>
  <c r="Y144" i="26"/>
  <c r="AC144" i="26"/>
  <c r="F144" i="26"/>
  <c r="J144" i="26"/>
  <c r="N144" i="26"/>
  <c r="R144" i="26"/>
  <c r="V144" i="26"/>
  <c r="Z144" i="26"/>
  <c r="AD144" i="26"/>
  <c r="AM132" i="26"/>
  <c r="AJ132" i="26"/>
  <c r="AG132" i="26"/>
  <c r="AS132" i="26" s="1"/>
  <c r="AT132" i="26" s="1"/>
  <c r="E132" i="26"/>
  <c r="I132" i="26"/>
  <c r="M132" i="26"/>
  <c r="Q132" i="26"/>
  <c r="U132" i="26"/>
  <c r="Y132" i="26"/>
  <c r="AC132" i="26"/>
  <c r="F132" i="26"/>
  <c r="J132" i="26"/>
  <c r="N132" i="26"/>
  <c r="R132" i="26"/>
  <c r="V132" i="26"/>
  <c r="Z132" i="26"/>
  <c r="AD132" i="26"/>
  <c r="AM120" i="26"/>
  <c r="AJ120" i="26"/>
  <c r="AG120" i="26"/>
  <c r="AS120" i="26" s="1"/>
  <c r="AT120" i="26" s="1"/>
  <c r="E120" i="26"/>
  <c r="I120" i="26"/>
  <c r="M120" i="26"/>
  <c r="Q120" i="26"/>
  <c r="U120" i="26"/>
  <c r="Y120" i="26"/>
  <c r="AC120" i="26"/>
  <c r="F120" i="26"/>
  <c r="J120" i="26"/>
  <c r="N120" i="26"/>
  <c r="R120" i="26"/>
  <c r="V120" i="26"/>
  <c r="Z120" i="26"/>
  <c r="AD120" i="26"/>
  <c r="AM108" i="26"/>
  <c r="AJ108" i="26"/>
  <c r="AG108" i="26"/>
  <c r="AS108" i="26" s="1"/>
  <c r="AT108" i="26" s="1"/>
  <c r="D108" i="26"/>
  <c r="H108" i="26"/>
  <c r="L108" i="26"/>
  <c r="P108" i="26"/>
  <c r="T108" i="26"/>
  <c r="X108" i="26"/>
  <c r="AB108" i="26"/>
  <c r="AV108" i="26" s="1"/>
  <c r="AW108" i="26" s="1"/>
  <c r="AF108" i="26"/>
  <c r="F108" i="26"/>
  <c r="J108" i="26"/>
  <c r="N108" i="26"/>
  <c r="R108" i="26"/>
  <c r="V108" i="26"/>
  <c r="Z108" i="26"/>
  <c r="AD108" i="26"/>
  <c r="G108" i="26"/>
  <c r="O108" i="26"/>
  <c r="W108" i="26"/>
  <c r="AE108" i="26"/>
  <c r="I108" i="26"/>
  <c r="Q108" i="26"/>
  <c r="Y108" i="26"/>
  <c r="AM96" i="26"/>
  <c r="AJ96" i="26"/>
  <c r="AG96" i="26"/>
  <c r="AS96" i="26" s="1"/>
  <c r="AT96" i="26" s="1"/>
  <c r="D96" i="26"/>
  <c r="H96" i="26"/>
  <c r="L96" i="26"/>
  <c r="P96" i="26"/>
  <c r="T96" i="26"/>
  <c r="X96" i="26"/>
  <c r="AB96" i="26"/>
  <c r="AV96" i="26" s="1"/>
  <c r="AW96" i="26" s="1"/>
  <c r="AF96" i="26"/>
  <c r="F96" i="26"/>
  <c r="J96" i="26"/>
  <c r="N96" i="26"/>
  <c r="R96" i="26"/>
  <c r="V96" i="26"/>
  <c r="Z96" i="26"/>
  <c r="AD96" i="26"/>
  <c r="G96" i="26"/>
  <c r="O96" i="26"/>
  <c r="W96" i="26"/>
  <c r="AE96" i="26"/>
  <c r="I96" i="26"/>
  <c r="Q96" i="26"/>
  <c r="Y96" i="26"/>
  <c r="AM84" i="26"/>
  <c r="AJ84" i="26"/>
  <c r="AG84" i="26"/>
  <c r="AS84" i="26" s="1"/>
  <c r="AT84" i="26" s="1"/>
  <c r="D84" i="26"/>
  <c r="H84" i="26"/>
  <c r="L84" i="26"/>
  <c r="P84" i="26"/>
  <c r="T84" i="26"/>
  <c r="X84" i="26"/>
  <c r="AB84" i="26"/>
  <c r="AV84" i="26" s="1"/>
  <c r="AW84" i="26" s="1"/>
  <c r="AF84" i="26"/>
  <c r="E84" i="26"/>
  <c r="I84" i="26"/>
  <c r="M84" i="26"/>
  <c r="Q84" i="26"/>
  <c r="U84" i="26"/>
  <c r="Y84" i="26"/>
  <c r="AC84" i="26"/>
  <c r="F84" i="26"/>
  <c r="J84" i="26"/>
  <c r="N84" i="26"/>
  <c r="R84" i="26"/>
  <c r="V84" i="26"/>
  <c r="Z84" i="26"/>
  <c r="AD84" i="26"/>
  <c r="C84" i="26"/>
  <c r="S84" i="26"/>
  <c r="G84" i="26"/>
  <c r="W84" i="26"/>
  <c r="AM68" i="26"/>
  <c r="AJ68" i="26"/>
  <c r="AG68" i="26"/>
  <c r="AS68" i="26" s="1"/>
  <c r="AT68" i="26" s="1"/>
  <c r="D68" i="26"/>
  <c r="H68" i="26"/>
  <c r="L68" i="26"/>
  <c r="P68" i="26"/>
  <c r="T68" i="26"/>
  <c r="X68" i="26"/>
  <c r="AB68" i="26"/>
  <c r="AV68" i="26" s="1"/>
  <c r="AW68" i="26" s="1"/>
  <c r="AF68" i="26"/>
  <c r="E68" i="26"/>
  <c r="I68" i="26"/>
  <c r="M68" i="26"/>
  <c r="Q68" i="26"/>
  <c r="U68" i="26"/>
  <c r="Y68" i="26"/>
  <c r="AC68" i="26"/>
  <c r="F68" i="26"/>
  <c r="J68" i="26"/>
  <c r="N68" i="26"/>
  <c r="R68" i="26"/>
  <c r="V68" i="26"/>
  <c r="Z68" i="26"/>
  <c r="AD68" i="26"/>
  <c r="C68" i="26"/>
  <c r="S68" i="26"/>
  <c r="G68" i="26"/>
  <c r="W68" i="26"/>
  <c r="AM56" i="26"/>
  <c r="AJ56" i="26"/>
  <c r="AG56" i="26"/>
  <c r="AS56" i="26" s="1"/>
  <c r="AT56" i="26" s="1"/>
  <c r="D56" i="26"/>
  <c r="H56" i="26"/>
  <c r="L56" i="26"/>
  <c r="P56" i="26"/>
  <c r="T56" i="26"/>
  <c r="X56" i="26"/>
  <c r="AB56" i="26"/>
  <c r="AV56" i="26" s="1"/>
  <c r="AW56" i="26" s="1"/>
  <c r="AF56" i="26"/>
  <c r="E56" i="26"/>
  <c r="I56" i="26"/>
  <c r="M56" i="26"/>
  <c r="Q56" i="26"/>
  <c r="U56" i="26"/>
  <c r="Y56" i="26"/>
  <c r="AC56" i="26"/>
  <c r="F56" i="26"/>
  <c r="J56" i="26"/>
  <c r="N56" i="26"/>
  <c r="R56" i="26"/>
  <c r="V56" i="26"/>
  <c r="Z56" i="26"/>
  <c r="AD56" i="26"/>
  <c r="K56" i="26"/>
  <c r="AA56" i="26"/>
  <c r="O56" i="26"/>
  <c r="AE56" i="26"/>
  <c r="AM44" i="26"/>
  <c r="AJ44" i="26"/>
  <c r="AG44" i="26"/>
  <c r="AS44" i="26" s="1"/>
  <c r="AT44" i="26" s="1"/>
  <c r="E44" i="26"/>
  <c r="I44" i="26"/>
  <c r="M44" i="26"/>
  <c r="Q44" i="26"/>
  <c r="U44" i="26"/>
  <c r="Y44" i="26"/>
  <c r="AC44" i="26"/>
  <c r="F44" i="26"/>
  <c r="J44" i="26"/>
  <c r="N44" i="26"/>
  <c r="R44" i="26"/>
  <c r="V44" i="26"/>
  <c r="Z44" i="26"/>
  <c r="AD44" i="26"/>
  <c r="C44" i="26"/>
  <c r="G44" i="26"/>
  <c r="K44" i="26"/>
  <c r="O44" i="26"/>
  <c r="S44" i="26"/>
  <c r="W44" i="26"/>
  <c r="AA44" i="26"/>
  <c r="AE44" i="26"/>
  <c r="H44" i="26"/>
  <c r="X44" i="26"/>
  <c r="L44" i="26"/>
  <c r="AB44" i="26"/>
  <c r="AV44" i="26" s="1"/>
  <c r="AW44" i="26" s="1"/>
  <c r="P44" i="26"/>
  <c r="AF44" i="26"/>
  <c r="D44" i="26"/>
  <c r="T44" i="26"/>
  <c r="AM32" i="26"/>
  <c r="AJ32" i="26"/>
  <c r="AG32" i="26"/>
  <c r="AS32" i="26" s="1"/>
  <c r="AT32" i="26" s="1"/>
  <c r="E32" i="26"/>
  <c r="I32" i="26"/>
  <c r="M32" i="26"/>
  <c r="Q32" i="26"/>
  <c r="U32" i="26"/>
  <c r="Y32" i="26"/>
  <c r="AC32" i="26"/>
  <c r="F32" i="26"/>
  <c r="J32" i="26"/>
  <c r="N32" i="26"/>
  <c r="R32" i="26"/>
  <c r="V32" i="26"/>
  <c r="Z32" i="26"/>
  <c r="AD32" i="26"/>
  <c r="C32" i="26"/>
  <c r="G32" i="26"/>
  <c r="K32" i="26"/>
  <c r="O32" i="26"/>
  <c r="S32" i="26"/>
  <c r="W32" i="26"/>
  <c r="AA32" i="26"/>
  <c r="AE32" i="26"/>
  <c r="P32" i="26"/>
  <c r="AF32" i="26"/>
  <c r="D32" i="26"/>
  <c r="T32" i="26"/>
  <c r="H32" i="26"/>
  <c r="X32" i="26"/>
  <c r="AM20" i="26"/>
  <c r="AJ20" i="26"/>
  <c r="AG20" i="26"/>
  <c r="AS20" i="26" s="1"/>
  <c r="AT20" i="26" s="1"/>
  <c r="C20" i="26"/>
  <c r="G20" i="26"/>
  <c r="K20" i="26"/>
  <c r="O20" i="26"/>
  <c r="S20" i="26"/>
  <c r="W20" i="26"/>
  <c r="AA20" i="26"/>
  <c r="AE20" i="26"/>
  <c r="D20" i="26"/>
  <c r="H20" i="26"/>
  <c r="L20" i="26"/>
  <c r="P20" i="26"/>
  <c r="T20" i="26"/>
  <c r="X20" i="26"/>
  <c r="AB20" i="26"/>
  <c r="AV20" i="26" s="1"/>
  <c r="AW20" i="26" s="1"/>
  <c r="AF20" i="26"/>
  <c r="AM8" i="26"/>
  <c r="AJ8" i="26"/>
  <c r="AG8" i="26"/>
  <c r="AS8" i="26" s="1"/>
  <c r="AT8" i="26" s="1"/>
  <c r="C8" i="26"/>
  <c r="G8" i="26"/>
  <c r="K8" i="26"/>
  <c r="O8" i="26"/>
  <c r="S8" i="26"/>
  <c r="W8" i="26"/>
  <c r="AA8" i="26"/>
  <c r="AE8" i="26"/>
  <c r="D8" i="26"/>
  <c r="H8" i="26"/>
  <c r="L8" i="26"/>
  <c r="P8" i="26"/>
  <c r="T8" i="26"/>
  <c r="X8" i="26"/>
  <c r="AB8" i="26"/>
  <c r="AV8" i="26" s="1"/>
  <c r="AW8" i="26" s="1"/>
  <c r="AF8" i="26"/>
  <c r="AB29" i="26"/>
  <c r="AV29" i="26" s="1"/>
  <c r="AW29" i="26" s="1"/>
  <c r="X29" i="26"/>
  <c r="P29" i="26"/>
  <c r="L29" i="26"/>
  <c r="H29" i="26"/>
  <c r="D29" i="26"/>
  <c r="AD28" i="26"/>
  <c r="Z28" i="26"/>
  <c r="V28" i="26"/>
  <c r="R28" i="26"/>
  <c r="N28" i="26"/>
  <c r="J28" i="26"/>
  <c r="F28" i="26"/>
  <c r="AF25" i="26"/>
  <c r="X25" i="26"/>
  <c r="P25" i="26"/>
  <c r="H25" i="26"/>
  <c r="AD24" i="26"/>
  <c r="V24" i="26"/>
  <c r="N24" i="26"/>
  <c r="F24" i="26"/>
  <c r="AF13" i="26"/>
  <c r="X13" i="26"/>
  <c r="P13" i="26"/>
  <c r="H13" i="26"/>
  <c r="AD12" i="26"/>
  <c r="V12" i="26"/>
  <c r="N12" i="26"/>
  <c r="F12" i="26"/>
  <c r="AF9" i="26"/>
  <c r="X9" i="26"/>
  <c r="P9" i="26"/>
  <c r="H9" i="26"/>
  <c r="AD8" i="26"/>
  <c r="V8" i="26"/>
  <c r="N8" i="26"/>
  <c r="F8" i="26"/>
  <c r="Z153" i="26"/>
  <c r="R153" i="26"/>
  <c r="J153" i="26"/>
  <c r="AF152" i="26"/>
  <c r="X152" i="26"/>
  <c r="P152" i="26"/>
  <c r="H152" i="26"/>
  <c r="Z145" i="26"/>
  <c r="R145" i="26"/>
  <c r="J145" i="26"/>
  <c r="AF144" i="26"/>
  <c r="X144" i="26"/>
  <c r="P144" i="26"/>
  <c r="H144" i="26"/>
  <c r="Z141" i="26"/>
  <c r="R141" i="26"/>
  <c r="J141" i="26"/>
  <c r="AF140" i="26"/>
  <c r="X140" i="26"/>
  <c r="P140" i="26"/>
  <c r="H140" i="26"/>
  <c r="Z125" i="26"/>
  <c r="J125" i="26"/>
  <c r="AF124" i="26"/>
  <c r="X124" i="26"/>
  <c r="P124" i="26"/>
  <c r="H124" i="26"/>
  <c r="Z121" i="26"/>
  <c r="Z117" i="26"/>
  <c r="R117" i="26"/>
  <c r="J117" i="26"/>
  <c r="AF116" i="26"/>
  <c r="X116" i="26"/>
  <c r="P116" i="26"/>
  <c r="H116" i="26"/>
  <c r="AE113" i="26"/>
  <c r="O113" i="26"/>
  <c r="AC112" i="26"/>
  <c r="M112" i="26"/>
  <c r="W109" i="26"/>
  <c r="G109" i="26"/>
  <c r="U108" i="26"/>
  <c r="E108" i="26"/>
  <c r="AE105" i="26"/>
  <c r="O105" i="26"/>
  <c r="AC104" i="26"/>
  <c r="M104" i="26"/>
  <c r="W101" i="26"/>
  <c r="G101" i="26"/>
  <c r="U100" i="26"/>
  <c r="E100" i="26"/>
  <c r="AE97" i="26"/>
  <c r="O97" i="26"/>
  <c r="AC96" i="26"/>
  <c r="M96" i="26"/>
  <c r="W93" i="26"/>
  <c r="G93" i="26"/>
  <c r="O92" i="26"/>
  <c r="I89" i="26"/>
  <c r="G88" i="26"/>
  <c r="AE84" i="26"/>
  <c r="Y81" i="26"/>
  <c r="W80" i="26"/>
  <c r="Q77" i="26"/>
  <c r="O76" i="26"/>
  <c r="I73" i="26"/>
  <c r="G72" i="26"/>
  <c r="AE68" i="26"/>
  <c r="Y65" i="26"/>
  <c r="W64" i="26"/>
  <c r="Q61" i="26"/>
  <c r="O60" i="26"/>
  <c r="I57" i="26"/>
  <c r="G56" i="26"/>
  <c r="AE52" i="26"/>
  <c r="Y49" i="26"/>
  <c r="W48" i="26"/>
  <c r="AB329" i="26"/>
  <c r="AV329" i="26" s="1"/>
  <c r="AW329" i="26" s="1"/>
  <c r="T325" i="26"/>
  <c r="D317" i="26"/>
  <c r="Z312" i="26"/>
  <c r="R308" i="26"/>
  <c r="AM3" i="26"/>
  <c r="AJ3" i="26"/>
  <c r="AG3" i="26"/>
  <c r="AS3" i="26" s="1"/>
  <c r="AT3" i="26" s="1"/>
  <c r="AM355" i="26"/>
  <c r="AJ355" i="26"/>
  <c r="AG355" i="26"/>
  <c r="AS355" i="26" s="1"/>
  <c r="AT355" i="26" s="1"/>
  <c r="E355" i="26"/>
  <c r="I355" i="26"/>
  <c r="M355" i="26"/>
  <c r="Q355" i="26"/>
  <c r="U355" i="26"/>
  <c r="Y355" i="26"/>
  <c r="AC355" i="26"/>
  <c r="F355" i="26"/>
  <c r="J355" i="26"/>
  <c r="N355" i="26"/>
  <c r="R355" i="26"/>
  <c r="V355" i="26"/>
  <c r="Z355" i="26"/>
  <c r="AD355" i="26"/>
  <c r="C355" i="26"/>
  <c r="G355" i="26"/>
  <c r="K355" i="26"/>
  <c r="O355" i="26"/>
  <c r="S355" i="26"/>
  <c r="W355" i="26"/>
  <c r="AA355" i="26"/>
  <c r="AE355" i="26"/>
  <c r="D355" i="26"/>
  <c r="T355" i="26"/>
  <c r="H355" i="26"/>
  <c r="X355" i="26"/>
  <c r="L355" i="26"/>
  <c r="AB355" i="26"/>
  <c r="AV355" i="26" s="1"/>
  <c r="AW355" i="26" s="1"/>
  <c r="AF355" i="26"/>
  <c r="AM351" i="26"/>
  <c r="AJ351" i="26"/>
  <c r="AG351" i="26"/>
  <c r="AS351" i="26" s="1"/>
  <c r="AT351" i="26" s="1"/>
  <c r="E351" i="26"/>
  <c r="I351" i="26"/>
  <c r="M351" i="26"/>
  <c r="Q351" i="26"/>
  <c r="U351" i="26"/>
  <c r="Y351" i="26"/>
  <c r="AC351" i="26"/>
  <c r="F351" i="26"/>
  <c r="J351" i="26"/>
  <c r="N351" i="26"/>
  <c r="R351" i="26"/>
  <c r="V351" i="26"/>
  <c r="Z351" i="26"/>
  <c r="AD351" i="26"/>
  <c r="C351" i="26"/>
  <c r="G351" i="26"/>
  <c r="K351" i="26"/>
  <c r="O351" i="26"/>
  <c r="S351" i="26"/>
  <c r="W351" i="26"/>
  <c r="AA351" i="26"/>
  <c r="AE351" i="26"/>
  <c r="L351" i="26"/>
  <c r="AB351" i="26"/>
  <c r="AV351" i="26" s="1"/>
  <c r="AW351" i="26" s="1"/>
  <c r="P351" i="26"/>
  <c r="AF351" i="26"/>
  <c r="D351" i="26"/>
  <c r="T351" i="26"/>
  <c r="X351" i="26"/>
  <c r="AM347" i="26"/>
  <c r="AJ347" i="26"/>
  <c r="AG347" i="26"/>
  <c r="AS347" i="26" s="1"/>
  <c r="AT347" i="26" s="1"/>
  <c r="E347" i="26"/>
  <c r="I347" i="26"/>
  <c r="M347" i="26"/>
  <c r="Q347" i="26"/>
  <c r="U347" i="26"/>
  <c r="Y347" i="26"/>
  <c r="AC347" i="26"/>
  <c r="F347" i="26"/>
  <c r="J347" i="26"/>
  <c r="N347" i="26"/>
  <c r="R347" i="26"/>
  <c r="V347" i="26"/>
  <c r="Z347" i="26"/>
  <c r="AD347" i="26"/>
  <c r="C347" i="26"/>
  <c r="G347" i="26"/>
  <c r="K347" i="26"/>
  <c r="O347" i="26"/>
  <c r="S347" i="26"/>
  <c r="W347" i="26"/>
  <c r="AA347" i="26"/>
  <c r="AE347" i="26"/>
  <c r="D347" i="26"/>
  <c r="T347" i="26"/>
  <c r="H347" i="26"/>
  <c r="X347" i="26"/>
  <c r="L347" i="26"/>
  <c r="AB347" i="26"/>
  <c r="AV347" i="26" s="1"/>
  <c r="AW347" i="26" s="1"/>
  <c r="P347" i="26"/>
  <c r="AF347" i="26"/>
  <c r="AM343" i="26"/>
  <c r="AJ343" i="26"/>
  <c r="AG343" i="26"/>
  <c r="AS343" i="26" s="1"/>
  <c r="AT343" i="26" s="1"/>
  <c r="E343" i="26"/>
  <c r="I343" i="26"/>
  <c r="M343" i="26"/>
  <c r="Q343" i="26"/>
  <c r="U343" i="26"/>
  <c r="Y343" i="26"/>
  <c r="AC343" i="26"/>
  <c r="F343" i="26"/>
  <c r="J343" i="26"/>
  <c r="N343" i="26"/>
  <c r="R343" i="26"/>
  <c r="V343" i="26"/>
  <c r="Z343" i="26"/>
  <c r="AD343" i="26"/>
  <c r="C343" i="26"/>
  <c r="G343" i="26"/>
  <c r="K343" i="26"/>
  <c r="O343" i="26"/>
  <c r="S343" i="26"/>
  <c r="W343" i="26"/>
  <c r="AA343" i="26"/>
  <c r="AE343" i="26"/>
  <c r="L343" i="26"/>
  <c r="AB343" i="26"/>
  <c r="AV343" i="26" s="1"/>
  <c r="AW343" i="26" s="1"/>
  <c r="P343" i="26"/>
  <c r="AF343" i="26"/>
  <c r="D343" i="26"/>
  <c r="T343" i="26"/>
  <c r="H343" i="26"/>
  <c r="X343" i="26"/>
  <c r="AM339" i="26"/>
  <c r="AJ339" i="26"/>
  <c r="AG339" i="26"/>
  <c r="AS339" i="26" s="1"/>
  <c r="AT339" i="26" s="1"/>
  <c r="E339" i="26"/>
  <c r="I339" i="26"/>
  <c r="M339" i="26"/>
  <c r="Q339" i="26"/>
  <c r="U339" i="26"/>
  <c r="Y339" i="26"/>
  <c r="AC339" i="26"/>
  <c r="F339" i="26"/>
  <c r="J339" i="26"/>
  <c r="N339" i="26"/>
  <c r="R339" i="26"/>
  <c r="V339" i="26"/>
  <c r="Z339" i="26"/>
  <c r="AD339" i="26"/>
  <c r="C339" i="26"/>
  <c r="G339" i="26"/>
  <c r="K339" i="26"/>
  <c r="O339" i="26"/>
  <c r="S339" i="26"/>
  <c r="W339" i="26"/>
  <c r="AA339" i="26"/>
  <c r="AE339" i="26"/>
  <c r="D339" i="26"/>
  <c r="T339" i="26"/>
  <c r="H339" i="26"/>
  <c r="X339" i="26"/>
  <c r="L339" i="26"/>
  <c r="AB339" i="26"/>
  <c r="AV339" i="26" s="1"/>
  <c r="AW339" i="26" s="1"/>
  <c r="P339" i="26"/>
  <c r="AM335" i="26"/>
  <c r="AJ335" i="26"/>
  <c r="AG335" i="26"/>
  <c r="AS335" i="26" s="1"/>
  <c r="AT335" i="26" s="1"/>
  <c r="E335" i="26"/>
  <c r="I335" i="26"/>
  <c r="M335" i="26"/>
  <c r="Q335" i="26"/>
  <c r="U335" i="26"/>
  <c r="Y335" i="26"/>
  <c r="AC335" i="26"/>
  <c r="F335" i="26"/>
  <c r="J335" i="26"/>
  <c r="N335" i="26"/>
  <c r="R335" i="26"/>
  <c r="V335" i="26"/>
  <c r="Z335" i="26"/>
  <c r="AD335" i="26"/>
  <c r="C335" i="26"/>
  <c r="G335" i="26"/>
  <c r="K335" i="26"/>
  <c r="O335" i="26"/>
  <c r="S335" i="26"/>
  <c r="W335" i="26"/>
  <c r="AA335" i="26"/>
  <c r="AE335" i="26"/>
  <c r="L335" i="26"/>
  <c r="AB335" i="26"/>
  <c r="AV335" i="26" s="1"/>
  <c r="AW335" i="26" s="1"/>
  <c r="P335" i="26"/>
  <c r="AF335" i="26"/>
  <c r="D335" i="26"/>
  <c r="T335" i="26"/>
  <c r="H335" i="26"/>
  <c r="AM331" i="26"/>
  <c r="AJ331" i="26"/>
  <c r="AG331" i="26"/>
  <c r="AS331" i="26" s="1"/>
  <c r="AT331" i="26" s="1"/>
  <c r="E331" i="26"/>
  <c r="I331" i="26"/>
  <c r="M331" i="26"/>
  <c r="Q331" i="26"/>
  <c r="U331" i="26"/>
  <c r="Y331" i="26"/>
  <c r="AC331" i="26"/>
  <c r="F331" i="26"/>
  <c r="J331" i="26"/>
  <c r="N331" i="26"/>
  <c r="R331" i="26"/>
  <c r="V331" i="26"/>
  <c r="Z331" i="26"/>
  <c r="AD331" i="26"/>
  <c r="C331" i="26"/>
  <c r="G331" i="26"/>
  <c r="K331" i="26"/>
  <c r="O331" i="26"/>
  <c r="S331" i="26"/>
  <c r="W331" i="26"/>
  <c r="AA331" i="26"/>
  <c r="AE331" i="26"/>
  <c r="D331" i="26"/>
  <c r="T331" i="26"/>
  <c r="H331" i="26"/>
  <c r="X331" i="26"/>
  <c r="L331" i="26"/>
  <c r="AB331" i="26"/>
  <c r="AV331" i="26" s="1"/>
  <c r="AW331" i="26" s="1"/>
  <c r="AM327" i="26"/>
  <c r="AJ327" i="26"/>
  <c r="AG327" i="26"/>
  <c r="AS327" i="26" s="1"/>
  <c r="AT327" i="26" s="1"/>
  <c r="E327" i="26"/>
  <c r="I327" i="26"/>
  <c r="M327" i="26"/>
  <c r="Q327" i="26"/>
  <c r="U327" i="26"/>
  <c r="Y327" i="26"/>
  <c r="AC327" i="26"/>
  <c r="F327" i="26"/>
  <c r="J327" i="26"/>
  <c r="N327" i="26"/>
  <c r="R327" i="26"/>
  <c r="V327" i="26"/>
  <c r="Z327" i="26"/>
  <c r="AD327" i="26"/>
  <c r="C327" i="26"/>
  <c r="G327" i="26"/>
  <c r="K327" i="26"/>
  <c r="O327" i="26"/>
  <c r="S327" i="26"/>
  <c r="W327" i="26"/>
  <c r="AA327" i="26"/>
  <c r="AE327" i="26"/>
  <c r="L327" i="26"/>
  <c r="AB327" i="26"/>
  <c r="AV327" i="26" s="1"/>
  <c r="AW327" i="26" s="1"/>
  <c r="P327" i="26"/>
  <c r="AF327" i="26"/>
  <c r="D327" i="26"/>
  <c r="T327" i="26"/>
  <c r="AM323" i="26"/>
  <c r="AJ323" i="26"/>
  <c r="AG323" i="26"/>
  <c r="AS323" i="26" s="1"/>
  <c r="AT323" i="26" s="1"/>
  <c r="E323" i="26"/>
  <c r="I323" i="26"/>
  <c r="M323" i="26"/>
  <c r="Q323" i="26"/>
  <c r="U323" i="26"/>
  <c r="Y323" i="26"/>
  <c r="AC323" i="26"/>
  <c r="F323" i="26"/>
  <c r="J323" i="26"/>
  <c r="N323" i="26"/>
  <c r="R323" i="26"/>
  <c r="V323" i="26"/>
  <c r="Z323" i="26"/>
  <c r="AD323" i="26"/>
  <c r="C323" i="26"/>
  <c r="G323" i="26"/>
  <c r="K323" i="26"/>
  <c r="O323" i="26"/>
  <c r="S323" i="26"/>
  <c r="W323" i="26"/>
  <c r="AA323" i="26"/>
  <c r="AE323" i="26"/>
  <c r="D323" i="26"/>
  <c r="T323" i="26"/>
  <c r="H323" i="26"/>
  <c r="X323" i="26"/>
  <c r="L323" i="26"/>
  <c r="AB323" i="26"/>
  <c r="AV323" i="26" s="1"/>
  <c r="AW323" i="26" s="1"/>
  <c r="AF323" i="26"/>
  <c r="AM319" i="26"/>
  <c r="AJ319" i="26"/>
  <c r="AG319" i="26"/>
  <c r="AS319" i="26" s="1"/>
  <c r="AT319" i="26" s="1"/>
  <c r="E319" i="26"/>
  <c r="I319" i="26"/>
  <c r="M319" i="26"/>
  <c r="Q319" i="26"/>
  <c r="U319" i="26"/>
  <c r="Y319" i="26"/>
  <c r="AC319" i="26"/>
  <c r="F319" i="26"/>
  <c r="J319" i="26"/>
  <c r="N319" i="26"/>
  <c r="R319" i="26"/>
  <c r="V319" i="26"/>
  <c r="Z319" i="26"/>
  <c r="AD319" i="26"/>
  <c r="C319" i="26"/>
  <c r="G319" i="26"/>
  <c r="K319" i="26"/>
  <c r="O319" i="26"/>
  <c r="S319" i="26"/>
  <c r="W319" i="26"/>
  <c r="AA319" i="26"/>
  <c r="AE319" i="26"/>
  <c r="L319" i="26"/>
  <c r="AB319" i="26"/>
  <c r="AV319" i="26" s="1"/>
  <c r="AW319" i="26" s="1"/>
  <c r="P319" i="26"/>
  <c r="AF319" i="26"/>
  <c r="D319" i="26"/>
  <c r="T319" i="26"/>
  <c r="X319" i="26"/>
  <c r="AM315" i="26"/>
  <c r="AJ315" i="26"/>
  <c r="AG315" i="26"/>
  <c r="AS315" i="26" s="1"/>
  <c r="AT315" i="26" s="1"/>
  <c r="E315" i="26"/>
  <c r="I315" i="26"/>
  <c r="M315" i="26"/>
  <c r="Q315" i="26"/>
  <c r="U315" i="26"/>
  <c r="Y315" i="26"/>
  <c r="AC315" i="26"/>
  <c r="F315" i="26"/>
  <c r="J315" i="26"/>
  <c r="N315" i="26"/>
  <c r="R315" i="26"/>
  <c r="V315" i="26"/>
  <c r="Z315" i="26"/>
  <c r="AD315" i="26"/>
  <c r="C315" i="26"/>
  <c r="G315" i="26"/>
  <c r="K315" i="26"/>
  <c r="O315" i="26"/>
  <c r="S315" i="26"/>
  <c r="W315" i="26"/>
  <c r="AA315" i="26"/>
  <c r="AE315" i="26"/>
  <c r="D315" i="26"/>
  <c r="T315" i="26"/>
  <c r="H315" i="26"/>
  <c r="X315" i="26"/>
  <c r="L315" i="26"/>
  <c r="AB315" i="26"/>
  <c r="AV315" i="26" s="1"/>
  <c r="AW315" i="26" s="1"/>
  <c r="P315" i="26"/>
  <c r="AF315" i="26"/>
  <c r="AM311" i="26"/>
  <c r="AJ311" i="26"/>
  <c r="AG311" i="26"/>
  <c r="AS311" i="26" s="1"/>
  <c r="AT311" i="26" s="1"/>
  <c r="E311" i="26"/>
  <c r="I311" i="26"/>
  <c r="M311" i="26"/>
  <c r="Q311" i="26"/>
  <c r="U311" i="26"/>
  <c r="Y311" i="26"/>
  <c r="AC311" i="26"/>
  <c r="F311" i="26"/>
  <c r="J311" i="26"/>
  <c r="N311" i="26"/>
  <c r="R311" i="26"/>
  <c r="V311" i="26"/>
  <c r="Z311" i="26"/>
  <c r="AD311" i="26"/>
  <c r="C311" i="26"/>
  <c r="G311" i="26"/>
  <c r="K311" i="26"/>
  <c r="O311" i="26"/>
  <c r="S311" i="26"/>
  <c r="W311" i="26"/>
  <c r="AA311" i="26"/>
  <c r="AE311" i="26"/>
  <c r="L311" i="26"/>
  <c r="AB311" i="26"/>
  <c r="AV311" i="26" s="1"/>
  <c r="AW311" i="26" s="1"/>
  <c r="P311" i="26"/>
  <c r="AF311" i="26"/>
  <c r="D311" i="26"/>
  <c r="T311" i="26"/>
  <c r="H311" i="26"/>
  <c r="X311" i="26"/>
  <c r="AM307" i="26"/>
  <c r="AJ307" i="26"/>
  <c r="AG307" i="26"/>
  <c r="AS307" i="26" s="1"/>
  <c r="AT307" i="26" s="1"/>
  <c r="E307" i="26"/>
  <c r="I307" i="26"/>
  <c r="M307" i="26"/>
  <c r="Q307" i="26"/>
  <c r="U307" i="26"/>
  <c r="Y307" i="26"/>
  <c r="AC307" i="26"/>
  <c r="F307" i="26"/>
  <c r="J307" i="26"/>
  <c r="N307" i="26"/>
  <c r="R307" i="26"/>
  <c r="V307" i="26"/>
  <c r="Z307" i="26"/>
  <c r="AD307" i="26"/>
  <c r="C307" i="26"/>
  <c r="G307" i="26"/>
  <c r="K307" i="26"/>
  <c r="O307" i="26"/>
  <c r="S307" i="26"/>
  <c r="W307" i="26"/>
  <c r="AA307" i="26"/>
  <c r="AE307" i="26"/>
  <c r="D307" i="26"/>
  <c r="T307" i="26"/>
  <c r="H307" i="26"/>
  <c r="X307" i="26"/>
  <c r="L307" i="26"/>
  <c r="AB307" i="26"/>
  <c r="AV307" i="26" s="1"/>
  <c r="AW307" i="26" s="1"/>
  <c r="P307" i="26"/>
  <c r="AM303" i="26"/>
  <c r="AJ303" i="26"/>
  <c r="AG303" i="26"/>
  <c r="AS303" i="26" s="1"/>
  <c r="AT303" i="26" s="1"/>
  <c r="E303" i="26"/>
  <c r="I303" i="26"/>
  <c r="M303" i="26"/>
  <c r="Q303" i="26"/>
  <c r="U303" i="26"/>
  <c r="Y303" i="26"/>
  <c r="AC303" i="26"/>
  <c r="F303" i="26"/>
  <c r="J303" i="26"/>
  <c r="N303" i="26"/>
  <c r="R303" i="26"/>
  <c r="V303" i="26"/>
  <c r="Z303" i="26"/>
  <c r="AD303" i="26"/>
  <c r="C303" i="26"/>
  <c r="G303" i="26"/>
  <c r="K303" i="26"/>
  <c r="O303" i="26"/>
  <c r="S303" i="26"/>
  <c r="W303" i="26"/>
  <c r="AA303" i="26"/>
  <c r="AE303" i="26"/>
  <c r="L303" i="26"/>
  <c r="AB303" i="26"/>
  <c r="AV303" i="26" s="1"/>
  <c r="AW303" i="26" s="1"/>
  <c r="P303" i="26"/>
  <c r="AF303" i="26"/>
  <c r="D303" i="26"/>
  <c r="T303" i="26"/>
  <c r="H303" i="26"/>
  <c r="AM299" i="26"/>
  <c r="AJ299" i="26"/>
  <c r="AG299" i="26"/>
  <c r="AS299" i="26" s="1"/>
  <c r="AT299" i="26" s="1"/>
  <c r="E299" i="26"/>
  <c r="I299" i="26"/>
  <c r="M299" i="26"/>
  <c r="Q299" i="26"/>
  <c r="U299" i="26"/>
  <c r="Y299" i="26"/>
  <c r="AC299" i="26"/>
  <c r="F299" i="26"/>
  <c r="J299" i="26"/>
  <c r="N299" i="26"/>
  <c r="R299" i="26"/>
  <c r="V299" i="26"/>
  <c r="Z299" i="26"/>
  <c r="AD299" i="26"/>
  <c r="C299" i="26"/>
  <c r="G299" i="26"/>
  <c r="K299" i="26"/>
  <c r="O299" i="26"/>
  <c r="S299" i="26"/>
  <c r="W299" i="26"/>
  <c r="AA299" i="26"/>
  <c r="AE299" i="26"/>
  <c r="D299" i="26"/>
  <c r="T299" i="26"/>
  <c r="H299" i="26"/>
  <c r="X299" i="26"/>
  <c r="L299" i="26"/>
  <c r="AB299" i="26"/>
  <c r="AV299" i="26" s="1"/>
  <c r="AW299" i="26" s="1"/>
  <c r="AM295" i="26"/>
  <c r="AJ295" i="26"/>
  <c r="AG295" i="26"/>
  <c r="AS295" i="26" s="1"/>
  <c r="AT295" i="26" s="1"/>
  <c r="F295" i="26"/>
  <c r="J295" i="26"/>
  <c r="N295" i="26"/>
  <c r="R295" i="26"/>
  <c r="V295" i="26"/>
  <c r="Z295" i="26"/>
  <c r="AD295" i="26"/>
  <c r="C295" i="26"/>
  <c r="G295" i="26"/>
  <c r="K295" i="26"/>
  <c r="O295" i="26"/>
  <c r="S295" i="26"/>
  <c r="W295" i="26"/>
  <c r="AA295" i="26"/>
  <c r="AE295" i="26"/>
  <c r="D295" i="26"/>
  <c r="H295" i="26"/>
  <c r="L295" i="26"/>
  <c r="P295" i="26"/>
  <c r="T295" i="26"/>
  <c r="X295" i="26"/>
  <c r="AB295" i="26"/>
  <c r="AV295" i="26" s="1"/>
  <c r="AW295" i="26" s="1"/>
  <c r="AF295" i="26"/>
  <c r="M295" i="26"/>
  <c r="AC295" i="26"/>
  <c r="Q295" i="26"/>
  <c r="E295" i="26"/>
  <c r="U295" i="26"/>
  <c r="Y295" i="26"/>
  <c r="I295" i="26"/>
  <c r="AM291" i="26"/>
  <c r="AJ291" i="26"/>
  <c r="AG291" i="26"/>
  <c r="AS291" i="26" s="1"/>
  <c r="AT291" i="26" s="1"/>
  <c r="F291" i="26"/>
  <c r="J291" i="26"/>
  <c r="N291" i="26"/>
  <c r="R291" i="26"/>
  <c r="V291" i="26"/>
  <c r="Z291" i="26"/>
  <c r="AD291" i="26"/>
  <c r="C291" i="26"/>
  <c r="G291" i="26"/>
  <c r="K291" i="26"/>
  <c r="O291" i="26"/>
  <c r="S291" i="26"/>
  <c r="W291" i="26"/>
  <c r="AA291" i="26"/>
  <c r="AE291" i="26"/>
  <c r="D291" i="26"/>
  <c r="H291" i="26"/>
  <c r="L291" i="26"/>
  <c r="P291" i="26"/>
  <c r="T291" i="26"/>
  <c r="X291" i="26"/>
  <c r="AB291" i="26"/>
  <c r="AV291" i="26" s="1"/>
  <c r="AW291" i="26" s="1"/>
  <c r="AF291" i="26"/>
  <c r="E291" i="26"/>
  <c r="U291" i="26"/>
  <c r="I291" i="26"/>
  <c r="Y291" i="26"/>
  <c r="M291" i="26"/>
  <c r="AC291" i="26"/>
  <c r="Q291" i="26"/>
  <c r="AM287" i="26"/>
  <c r="AJ287" i="26"/>
  <c r="AG287" i="26"/>
  <c r="AS287" i="26" s="1"/>
  <c r="AT287" i="26" s="1"/>
  <c r="F287" i="26"/>
  <c r="J287" i="26"/>
  <c r="N287" i="26"/>
  <c r="R287" i="26"/>
  <c r="V287" i="26"/>
  <c r="Z287" i="26"/>
  <c r="AD287" i="26"/>
  <c r="C287" i="26"/>
  <c r="G287" i="26"/>
  <c r="K287" i="26"/>
  <c r="O287" i="26"/>
  <c r="S287" i="26"/>
  <c r="W287" i="26"/>
  <c r="AA287" i="26"/>
  <c r="AE287" i="26"/>
  <c r="D287" i="26"/>
  <c r="H287" i="26"/>
  <c r="L287" i="26"/>
  <c r="P287" i="26"/>
  <c r="T287" i="26"/>
  <c r="X287" i="26"/>
  <c r="AB287" i="26"/>
  <c r="AV287" i="26" s="1"/>
  <c r="AW287" i="26" s="1"/>
  <c r="AF287" i="26"/>
  <c r="M287" i="26"/>
  <c r="AC287" i="26"/>
  <c r="Q287" i="26"/>
  <c r="E287" i="26"/>
  <c r="U287" i="26"/>
  <c r="I287" i="26"/>
  <c r="Y287" i="26"/>
  <c r="AM283" i="26"/>
  <c r="AJ283" i="26"/>
  <c r="AG283" i="26"/>
  <c r="AS283" i="26" s="1"/>
  <c r="AT283" i="26" s="1"/>
  <c r="F283" i="26"/>
  <c r="J283" i="26"/>
  <c r="N283" i="26"/>
  <c r="R283" i="26"/>
  <c r="V283" i="26"/>
  <c r="Z283" i="26"/>
  <c r="AD283" i="26"/>
  <c r="C283" i="26"/>
  <c r="G283" i="26"/>
  <c r="K283" i="26"/>
  <c r="O283" i="26"/>
  <c r="S283" i="26"/>
  <c r="W283" i="26"/>
  <c r="AA283" i="26"/>
  <c r="AE283" i="26"/>
  <c r="D283" i="26"/>
  <c r="H283" i="26"/>
  <c r="L283" i="26"/>
  <c r="P283" i="26"/>
  <c r="T283" i="26"/>
  <c r="X283" i="26"/>
  <c r="AB283" i="26"/>
  <c r="AV283" i="26" s="1"/>
  <c r="AW283" i="26" s="1"/>
  <c r="AF283" i="26"/>
  <c r="E283" i="26"/>
  <c r="U283" i="26"/>
  <c r="I283" i="26"/>
  <c r="Y283" i="26"/>
  <c r="M283" i="26"/>
  <c r="AC283" i="26"/>
  <c r="Q283" i="26"/>
  <c r="AM279" i="26"/>
  <c r="AJ279" i="26"/>
  <c r="AG279" i="26"/>
  <c r="AS279" i="26" s="1"/>
  <c r="AT279" i="26" s="1"/>
  <c r="F279" i="26"/>
  <c r="J279" i="26"/>
  <c r="N279" i="26"/>
  <c r="R279" i="26"/>
  <c r="V279" i="26"/>
  <c r="Z279" i="26"/>
  <c r="AD279" i="26"/>
  <c r="C279" i="26"/>
  <c r="G279" i="26"/>
  <c r="K279" i="26"/>
  <c r="O279" i="26"/>
  <c r="S279" i="26"/>
  <c r="W279" i="26"/>
  <c r="AA279" i="26"/>
  <c r="AE279" i="26"/>
  <c r="D279" i="26"/>
  <c r="H279" i="26"/>
  <c r="L279" i="26"/>
  <c r="P279" i="26"/>
  <c r="T279" i="26"/>
  <c r="X279" i="26"/>
  <c r="AB279" i="26"/>
  <c r="AV279" i="26" s="1"/>
  <c r="AW279" i="26" s="1"/>
  <c r="AF279" i="26"/>
  <c r="M279" i="26"/>
  <c r="AC279" i="26"/>
  <c r="Q279" i="26"/>
  <c r="E279" i="26"/>
  <c r="U279" i="26"/>
  <c r="I279" i="26"/>
  <c r="Y279" i="26"/>
  <c r="AM275" i="26"/>
  <c r="AJ275" i="26"/>
  <c r="AG275" i="26"/>
  <c r="AS275" i="26" s="1"/>
  <c r="AT275" i="26" s="1"/>
  <c r="F275" i="26"/>
  <c r="J275" i="26"/>
  <c r="N275" i="26"/>
  <c r="R275" i="26"/>
  <c r="V275" i="26"/>
  <c r="Z275" i="26"/>
  <c r="AD275" i="26"/>
  <c r="C275" i="26"/>
  <c r="G275" i="26"/>
  <c r="K275" i="26"/>
  <c r="O275" i="26"/>
  <c r="S275" i="26"/>
  <c r="W275" i="26"/>
  <c r="AA275" i="26"/>
  <c r="AE275" i="26"/>
  <c r="D275" i="26"/>
  <c r="H275" i="26"/>
  <c r="L275" i="26"/>
  <c r="P275" i="26"/>
  <c r="T275" i="26"/>
  <c r="X275" i="26"/>
  <c r="AB275" i="26"/>
  <c r="AV275" i="26" s="1"/>
  <c r="AW275" i="26" s="1"/>
  <c r="AF275" i="26"/>
  <c r="E275" i="26"/>
  <c r="U275" i="26"/>
  <c r="I275" i="26"/>
  <c r="Y275" i="26"/>
  <c r="M275" i="26"/>
  <c r="AC275" i="26"/>
  <c r="Q275" i="26"/>
  <c r="AM271" i="26"/>
  <c r="AJ271" i="26"/>
  <c r="AG271" i="26"/>
  <c r="AS271" i="26" s="1"/>
  <c r="AT271" i="26" s="1"/>
  <c r="F271" i="26"/>
  <c r="J271" i="26"/>
  <c r="N271" i="26"/>
  <c r="R271" i="26"/>
  <c r="V271" i="26"/>
  <c r="Z271" i="26"/>
  <c r="AD271" i="26"/>
  <c r="C271" i="26"/>
  <c r="G271" i="26"/>
  <c r="K271" i="26"/>
  <c r="O271" i="26"/>
  <c r="S271" i="26"/>
  <c r="W271" i="26"/>
  <c r="AA271" i="26"/>
  <c r="AE271" i="26"/>
  <c r="D271" i="26"/>
  <c r="H271" i="26"/>
  <c r="L271" i="26"/>
  <c r="P271" i="26"/>
  <c r="T271" i="26"/>
  <c r="X271" i="26"/>
  <c r="AB271" i="26"/>
  <c r="AV271" i="26" s="1"/>
  <c r="AW271" i="26" s="1"/>
  <c r="AF271" i="26"/>
  <c r="M271" i="26"/>
  <c r="AC271" i="26"/>
  <c r="Q271" i="26"/>
  <c r="E271" i="26"/>
  <c r="U271" i="26"/>
  <c r="I271" i="26"/>
  <c r="AM267" i="26"/>
  <c r="AJ267" i="26"/>
  <c r="AG267" i="26"/>
  <c r="AS267" i="26" s="1"/>
  <c r="AT267" i="26" s="1"/>
  <c r="F267" i="26"/>
  <c r="J267" i="26"/>
  <c r="N267" i="26"/>
  <c r="R267" i="26"/>
  <c r="V267" i="26"/>
  <c r="Z267" i="26"/>
  <c r="AD267" i="26"/>
  <c r="C267" i="26"/>
  <c r="G267" i="26"/>
  <c r="K267" i="26"/>
  <c r="O267" i="26"/>
  <c r="S267" i="26"/>
  <c r="W267" i="26"/>
  <c r="AA267" i="26"/>
  <c r="AE267" i="26"/>
  <c r="D267" i="26"/>
  <c r="H267" i="26"/>
  <c r="L267" i="26"/>
  <c r="P267" i="26"/>
  <c r="T267" i="26"/>
  <c r="X267" i="26"/>
  <c r="AB267" i="26"/>
  <c r="AV267" i="26" s="1"/>
  <c r="AW267" i="26" s="1"/>
  <c r="AF267" i="26"/>
  <c r="E267" i="26"/>
  <c r="U267" i="26"/>
  <c r="I267" i="26"/>
  <c r="Y267" i="26"/>
  <c r="M267" i="26"/>
  <c r="AC267" i="26"/>
  <c r="Q267" i="26"/>
  <c r="AM263" i="26"/>
  <c r="AJ263" i="26"/>
  <c r="AG263" i="26"/>
  <c r="AS263" i="26" s="1"/>
  <c r="AT263" i="26" s="1"/>
  <c r="F263" i="26"/>
  <c r="J263" i="26"/>
  <c r="N263" i="26"/>
  <c r="R263" i="26"/>
  <c r="V263" i="26"/>
  <c r="Z263" i="26"/>
  <c r="AD263" i="26"/>
  <c r="C263" i="26"/>
  <c r="G263" i="26"/>
  <c r="K263" i="26"/>
  <c r="O263" i="26"/>
  <c r="S263" i="26"/>
  <c r="W263" i="26"/>
  <c r="AA263" i="26"/>
  <c r="AE263" i="26"/>
  <c r="D263" i="26"/>
  <c r="L263" i="26"/>
  <c r="T263" i="26"/>
  <c r="AB263" i="26"/>
  <c r="AV263" i="26" s="1"/>
  <c r="AW263" i="26" s="1"/>
  <c r="E263" i="26"/>
  <c r="M263" i="26"/>
  <c r="U263" i="26"/>
  <c r="AC263" i="26"/>
  <c r="H263" i="26"/>
  <c r="P263" i="26"/>
  <c r="X263" i="26"/>
  <c r="AF263" i="26"/>
  <c r="Q263" i="26"/>
  <c r="Y263" i="26"/>
  <c r="I263" i="26"/>
  <c r="AM259" i="26"/>
  <c r="AJ259" i="26"/>
  <c r="AG259" i="26"/>
  <c r="AS259" i="26" s="1"/>
  <c r="AT259" i="26" s="1"/>
  <c r="F259" i="26"/>
  <c r="J259" i="26"/>
  <c r="N259" i="26"/>
  <c r="R259" i="26"/>
  <c r="V259" i="26"/>
  <c r="Z259" i="26"/>
  <c r="AD259" i="26"/>
  <c r="C259" i="26"/>
  <c r="G259" i="26"/>
  <c r="K259" i="26"/>
  <c r="O259" i="26"/>
  <c r="S259" i="26"/>
  <c r="W259" i="26"/>
  <c r="AA259" i="26"/>
  <c r="AE259" i="26"/>
  <c r="D259" i="26"/>
  <c r="L259" i="26"/>
  <c r="T259" i="26"/>
  <c r="AB259" i="26"/>
  <c r="AV259" i="26" s="1"/>
  <c r="AW259" i="26" s="1"/>
  <c r="E259" i="26"/>
  <c r="M259" i="26"/>
  <c r="U259" i="26"/>
  <c r="AC259" i="26"/>
  <c r="H259" i="26"/>
  <c r="P259" i="26"/>
  <c r="X259" i="26"/>
  <c r="AF259" i="26"/>
  <c r="I259" i="26"/>
  <c r="Q259" i="26"/>
  <c r="Y259" i="26"/>
  <c r="AM255" i="26"/>
  <c r="AJ255" i="26"/>
  <c r="AG255" i="26"/>
  <c r="AS255" i="26" s="1"/>
  <c r="AT255" i="26" s="1"/>
  <c r="E255" i="26"/>
  <c r="I255" i="26"/>
  <c r="M255" i="26"/>
  <c r="Q255" i="26"/>
  <c r="U255" i="26"/>
  <c r="Y255" i="26"/>
  <c r="AC255" i="26"/>
  <c r="F255" i="26"/>
  <c r="J255" i="26"/>
  <c r="N255" i="26"/>
  <c r="R255" i="26"/>
  <c r="V255" i="26"/>
  <c r="Z255" i="26"/>
  <c r="AD255" i="26"/>
  <c r="C255" i="26"/>
  <c r="G255" i="26"/>
  <c r="K255" i="26"/>
  <c r="O255" i="26"/>
  <c r="S255" i="26"/>
  <c r="W255" i="26"/>
  <c r="AA255" i="26"/>
  <c r="AE255" i="26"/>
  <c r="D255" i="26"/>
  <c r="T255" i="26"/>
  <c r="H255" i="26"/>
  <c r="X255" i="26"/>
  <c r="L255" i="26"/>
  <c r="AB255" i="26"/>
  <c r="AV255" i="26" s="1"/>
  <c r="AW255" i="26" s="1"/>
  <c r="P255" i="26"/>
  <c r="AF255" i="26"/>
  <c r="AM251" i="26"/>
  <c r="AJ251" i="26"/>
  <c r="AG251" i="26"/>
  <c r="AS251" i="26" s="1"/>
  <c r="AT251" i="26" s="1"/>
  <c r="E251" i="26"/>
  <c r="I251" i="26"/>
  <c r="M251" i="26"/>
  <c r="Q251" i="26"/>
  <c r="U251" i="26"/>
  <c r="Y251" i="26"/>
  <c r="AC251" i="26"/>
  <c r="F251" i="26"/>
  <c r="J251" i="26"/>
  <c r="N251" i="26"/>
  <c r="R251" i="26"/>
  <c r="V251" i="26"/>
  <c r="Z251" i="26"/>
  <c r="AD251" i="26"/>
  <c r="C251" i="26"/>
  <c r="G251" i="26"/>
  <c r="K251" i="26"/>
  <c r="O251" i="26"/>
  <c r="S251" i="26"/>
  <c r="W251" i="26"/>
  <c r="AA251" i="26"/>
  <c r="AE251" i="26"/>
  <c r="L251" i="26"/>
  <c r="AB251" i="26"/>
  <c r="AV251" i="26" s="1"/>
  <c r="AW251" i="26" s="1"/>
  <c r="P251" i="26"/>
  <c r="AF251" i="26"/>
  <c r="D251" i="26"/>
  <c r="T251" i="26"/>
  <c r="H251" i="26"/>
  <c r="X251" i="26"/>
  <c r="AM247" i="26"/>
  <c r="AJ247" i="26"/>
  <c r="AG247" i="26"/>
  <c r="AS247" i="26" s="1"/>
  <c r="AT247" i="26" s="1"/>
  <c r="E247" i="26"/>
  <c r="I247" i="26"/>
  <c r="M247" i="26"/>
  <c r="Q247" i="26"/>
  <c r="U247" i="26"/>
  <c r="Y247" i="26"/>
  <c r="AC247" i="26"/>
  <c r="F247" i="26"/>
  <c r="J247" i="26"/>
  <c r="N247" i="26"/>
  <c r="R247" i="26"/>
  <c r="V247" i="26"/>
  <c r="Z247" i="26"/>
  <c r="AD247" i="26"/>
  <c r="C247" i="26"/>
  <c r="G247" i="26"/>
  <c r="K247" i="26"/>
  <c r="O247" i="26"/>
  <c r="S247" i="26"/>
  <c r="W247" i="26"/>
  <c r="AA247" i="26"/>
  <c r="AE247" i="26"/>
  <c r="D247" i="26"/>
  <c r="T247" i="26"/>
  <c r="H247" i="26"/>
  <c r="X247" i="26"/>
  <c r="L247" i="26"/>
  <c r="AB247" i="26"/>
  <c r="AV247" i="26" s="1"/>
  <c r="AW247" i="26" s="1"/>
  <c r="P247" i="26"/>
  <c r="AF247" i="26"/>
  <c r="AM243" i="26"/>
  <c r="AJ243" i="26"/>
  <c r="AG243" i="26"/>
  <c r="AS243" i="26" s="1"/>
  <c r="AT243" i="26" s="1"/>
  <c r="E243" i="26"/>
  <c r="I243" i="26"/>
  <c r="M243" i="26"/>
  <c r="Q243" i="26"/>
  <c r="U243" i="26"/>
  <c r="Y243" i="26"/>
  <c r="AC243" i="26"/>
  <c r="F243" i="26"/>
  <c r="J243" i="26"/>
  <c r="N243" i="26"/>
  <c r="R243" i="26"/>
  <c r="V243" i="26"/>
  <c r="Z243" i="26"/>
  <c r="AD243" i="26"/>
  <c r="C243" i="26"/>
  <c r="G243" i="26"/>
  <c r="K243" i="26"/>
  <c r="O243" i="26"/>
  <c r="S243" i="26"/>
  <c r="W243" i="26"/>
  <c r="AA243" i="26"/>
  <c r="AE243" i="26"/>
  <c r="L243" i="26"/>
  <c r="AB243" i="26"/>
  <c r="AV243" i="26" s="1"/>
  <c r="AW243" i="26" s="1"/>
  <c r="P243" i="26"/>
  <c r="AF243" i="26"/>
  <c r="D243" i="26"/>
  <c r="T243" i="26"/>
  <c r="H243" i="26"/>
  <c r="X243" i="26"/>
  <c r="AM239" i="26"/>
  <c r="AJ239" i="26"/>
  <c r="AG239" i="26"/>
  <c r="AS239" i="26" s="1"/>
  <c r="AT239" i="26" s="1"/>
  <c r="E239" i="26"/>
  <c r="I239" i="26"/>
  <c r="M239" i="26"/>
  <c r="Q239" i="26"/>
  <c r="U239" i="26"/>
  <c r="Y239" i="26"/>
  <c r="AC239" i="26"/>
  <c r="F239" i="26"/>
  <c r="J239" i="26"/>
  <c r="N239" i="26"/>
  <c r="R239" i="26"/>
  <c r="V239" i="26"/>
  <c r="Z239" i="26"/>
  <c r="AD239" i="26"/>
  <c r="C239" i="26"/>
  <c r="G239" i="26"/>
  <c r="K239" i="26"/>
  <c r="O239" i="26"/>
  <c r="S239" i="26"/>
  <c r="W239" i="26"/>
  <c r="AA239" i="26"/>
  <c r="AE239" i="26"/>
  <c r="D239" i="26"/>
  <c r="T239" i="26"/>
  <c r="H239" i="26"/>
  <c r="X239" i="26"/>
  <c r="L239" i="26"/>
  <c r="AB239" i="26"/>
  <c r="AV239" i="26" s="1"/>
  <c r="AW239" i="26" s="1"/>
  <c r="AF239" i="26"/>
  <c r="P239" i="26"/>
  <c r="AM235" i="26"/>
  <c r="AJ235" i="26"/>
  <c r="AG235" i="26"/>
  <c r="AS235" i="26" s="1"/>
  <c r="AT235" i="26" s="1"/>
  <c r="E235" i="26"/>
  <c r="I235" i="26"/>
  <c r="M235" i="26"/>
  <c r="Q235" i="26"/>
  <c r="U235" i="26"/>
  <c r="Y235" i="26"/>
  <c r="AC235" i="26"/>
  <c r="F235" i="26"/>
  <c r="J235" i="26"/>
  <c r="N235" i="26"/>
  <c r="R235" i="26"/>
  <c r="V235" i="26"/>
  <c r="Z235" i="26"/>
  <c r="AD235" i="26"/>
  <c r="C235" i="26"/>
  <c r="G235" i="26"/>
  <c r="K235" i="26"/>
  <c r="O235" i="26"/>
  <c r="S235" i="26"/>
  <c r="W235" i="26"/>
  <c r="AA235" i="26"/>
  <c r="AE235" i="26"/>
  <c r="L235" i="26"/>
  <c r="AB235" i="26"/>
  <c r="AV235" i="26" s="1"/>
  <c r="AW235" i="26" s="1"/>
  <c r="P235" i="26"/>
  <c r="AF235" i="26"/>
  <c r="D235" i="26"/>
  <c r="T235" i="26"/>
  <c r="X235" i="26"/>
  <c r="H235" i="26"/>
  <c r="AM231" i="26"/>
  <c r="AJ231" i="26"/>
  <c r="AG231" i="26"/>
  <c r="AS231" i="26" s="1"/>
  <c r="AT231" i="26" s="1"/>
  <c r="E231" i="26"/>
  <c r="I231" i="26"/>
  <c r="M231" i="26"/>
  <c r="Q231" i="26"/>
  <c r="U231" i="26"/>
  <c r="Y231" i="26"/>
  <c r="AC231" i="26"/>
  <c r="F231" i="26"/>
  <c r="J231" i="26"/>
  <c r="N231" i="26"/>
  <c r="R231" i="26"/>
  <c r="V231" i="26"/>
  <c r="Z231" i="26"/>
  <c r="AD231" i="26"/>
  <c r="C231" i="26"/>
  <c r="G231" i="26"/>
  <c r="K231" i="26"/>
  <c r="O231" i="26"/>
  <c r="S231" i="26"/>
  <c r="W231" i="26"/>
  <c r="AA231" i="26"/>
  <c r="AE231" i="26"/>
  <c r="D231" i="26"/>
  <c r="T231" i="26"/>
  <c r="H231" i="26"/>
  <c r="X231" i="26"/>
  <c r="L231" i="26"/>
  <c r="AB231" i="26"/>
  <c r="AV231" i="26" s="1"/>
  <c r="AW231" i="26" s="1"/>
  <c r="P231" i="26"/>
  <c r="AF231" i="26"/>
  <c r="AM227" i="26"/>
  <c r="AJ227" i="26"/>
  <c r="AG227" i="26"/>
  <c r="AS227" i="26" s="1"/>
  <c r="AT227" i="26" s="1"/>
  <c r="F227" i="26"/>
  <c r="J227" i="26"/>
  <c r="N227" i="26"/>
  <c r="R227" i="26"/>
  <c r="V227" i="26"/>
  <c r="Z227" i="26"/>
  <c r="AD227" i="26"/>
  <c r="C227" i="26"/>
  <c r="G227" i="26"/>
  <c r="K227" i="26"/>
  <c r="O227" i="26"/>
  <c r="S227" i="26"/>
  <c r="W227" i="26"/>
  <c r="AA227" i="26"/>
  <c r="AE227" i="26"/>
  <c r="D227" i="26"/>
  <c r="H227" i="26"/>
  <c r="L227" i="26"/>
  <c r="P227" i="26"/>
  <c r="T227" i="26"/>
  <c r="X227" i="26"/>
  <c r="AB227" i="26"/>
  <c r="AV227" i="26" s="1"/>
  <c r="AW227" i="26" s="1"/>
  <c r="AF227" i="26"/>
  <c r="Q227" i="26"/>
  <c r="E227" i="26"/>
  <c r="U227" i="26"/>
  <c r="I227" i="26"/>
  <c r="Y227" i="26"/>
  <c r="M227" i="26"/>
  <c r="AC227" i="26"/>
  <c r="AM223" i="26"/>
  <c r="AJ223" i="26"/>
  <c r="AG223" i="26"/>
  <c r="AS223" i="26" s="1"/>
  <c r="AT223" i="26" s="1"/>
  <c r="F223" i="26"/>
  <c r="J223" i="26"/>
  <c r="N223" i="26"/>
  <c r="R223" i="26"/>
  <c r="V223" i="26"/>
  <c r="Z223" i="26"/>
  <c r="AD223" i="26"/>
  <c r="C223" i="26"/>
  <c r="G223" i="26"/>
  <c r="K223" i="26"/>
  <c r="O223" i="26"/>
  <c r="S223" i="26"/>
  <c r="W223" i="26"/>
  <c r="AA223" i="26"/>
  <c r="AE223" i="26"/>
  <c r="D223" i="26"/>
  <c r="H223" i="26"/>
  <c r="L223" i="26"/>
  <c r="P223" i="26"/>
  <c r="T223" i="26"/>
  <c r="X223" i="26"/>
  <c r="AB223" i="26"/>
  <c r="AV223" i="26" s="1"/>
  <c r="AW223" i="26" s="1"/>
  <c r="AF223" i="26"/>
  <c r="I223" i="26"/>
  <c r="Y223" i="26"/>
  <c r="M223" i="26"/>
  <c r="AC223" i="26"/>
  <c r="Q223" i="26"/>
  <c r="E223" i="26"/>
  <c r="U223" i="26"/>
  <c r="AM219" i="26"/>
  <c r="AJ219" i="26"/>
  <c r="AG219" i="26"/>
  <c r="AS219" i="26" s="1"/>
  <c r="AT219" i="26" s="1"/>
  <c r="F219" i="26"/>
  <c r="J219" i="26"/>
  <c r="N219" i="26"/>
  <c r="R219" i="26"/>
  <c r="V219" i="26"/>
  <c r="Z219" i="26"/>
  <c r="AD219" i="26"/>
  <c r="C219" i="26"/>
  <c r="G219" i="26"/>
  <c r="K219" i="26"/>
  <c r="O219" i="26"/>
  <c r="S219" i="26"/>
  <c r="W219" i="26"/>
  <c r="AA219" i="26"/>
  <c r="AE219" i="26"/>
  <c r="D219" i="26"/>
  <c r="H219" i="26"/>
  <c r="L219" i="26"/>
  <c r="P219" i="26"/>
  <c r="T219" i="26"/>
  <c r="X219" i="26"/>
  <c r="AB219" i="26"/>
  <c r="AV219" i="26" s="1"/>
  <c r="AW219" i="26" s="1"/>
  <c r="AF219" i="26"/>
  <c r="Q219" i="26"/>
  <c r="E219" i="26"/>
  <c r="U219" i="26"/>
  <c r="I219" i="26"/>
  <c r="Y219" i="26"/>
  <c r="M219" i="26"/>
  <c r="AC219" i="26"/>
  <c r="AM215" i="26"/>
  <c r="AJ215" i="26"/>
  <c r="AG215" i="26"/>
  <c r="AS215" i="26" s="1"/>
  <c r="AT215" i="26" s="1"/>
  <c r="F215" i="26"/>
  <c r="J215" i="26"/>
  <c r="N215" i="26"/>
  <c r="R215" i="26"/>
  <c r="V215" i="26"/>
  <c r="Z215" i="26"/>
  <c r="AD215" i="26"/>
  <c r="C215" i="26"/>
  <c r="G215" i="26"/>
  <c r="K215" i="26"/>
  <c r="O215" i="26"/>
  <c r="S215" i="26"/>
  <c r="W215" i="26"/>
  <c r="AA215" i="26"/>
  <c r="AE215" i="26"/>
  <c r="D215" i="26"/>
  <c r="H215" i="26"/>
  <c r="L215" i="26"/>
  <c r="P215" i="26"/>
  <c r="T215" i="26"/>
  <c r="X215" i="26"/>
  <c r="AB215" i="26"/>
  <c r="AV215" i="26" s="1"/>
  <c r="AW215" i="26" s="1"/>
  <c r="AF215" i="26"/>
  <c r="I215" i="26"/>
  <c r="Y215" i="26"/>
  <c r="M215" i="26"/>
  <c r="AC215" i="26"/>
  <c r="Q215" i="26"/>
  <c r="E215" i="26"/>
  <c r="U215" i="26"/>
  <c r="AM211" i="26"/>
  <c r="AJ211" i="26"/>
  <c r="AG211" i="26"/>
  <c r="AS211" i="26" s="1"/>
  <c r="AT211" i="26" s="1"/>
  <c r="F211" i="26"/>
  <c r="J211" i="26"/>
  <c r="N211" i="26"/>
  <c r="R211" i="26"/>
  <c r="V211" i="26"/>
  <c r="Z211" i="26"/>
  <c r="AD211" i="26"/>
  <c r="C211" i="26"/>
  <c r="G211" i="26"/>
  <c r="K211" i="26"/>
  <c r="O211" i="26"/>
  <c r="S211" i="26"/>
  <c r="W211" i="26"/>
  <c r="AA211" i="26"/>
  <c r="AE211" i="26"/>
  <c r="D211" i="26"/>
  <c r="H211" i="26"/>
  <c r="L211" i="26"/>
  <c r="P211" i="26"/>
  <c r="T211" i="26"/>
  <c r="X211" i="26"/>
  <c r="AB211" i="26"/>
  <c r="AV211" i="26" s="1"/>
  <c r="AW211" i="26" s="1"/>
  <c r="AF211" i="26"/>
  <c r="Q211" i="26"/>
  <c r="E211" i="26"/>
  <c r="U211" i="26"/>
  <c r="I211" i="26"/>
  <c r="Y211" i="26"/>
  <c r="M211" i="26"/>
  <c r="AC211" i="26"/>
  <c r="AM207" i="26"/>
  <c r="AJ207" i="26"/>
  <c r="AG207" i="26"/>
  <c r="AS207" i="26" s="1"/>
  <c r="AT207" i="26" s="1"/>
  <c r="F207" i="26"/>
  <c r="J207" i="26"/>
  <c r="N207" i="26"/>
  <c r="R207" i="26"/>
  <c r="V207" i="26"/>
  <c r="Z207" i="26"/>
  <c r="AD207" i="26"/>
  <c r="C207" i="26"/>
  <c r="G207" i="26"/>
  <c r="K207" i="26"/>
  <c r="O207" i="26"/>
  <c r="S207" i="26"/>
  <c r="W207" i="26"/>
  <c r="AA207" i="26"/>
  <c r="AE207" i="26"/>
  <c r="D207" i="26"/>
  <c r="H207" i="26"/>
  <c r="L207" i="26"/>
  <c r="P207" i="26"/>
  <c r="T207" i="26"/>
  <c r="X207" i="26"/>
  <c r="AB207" i="26"/>
  <c r="AV207" i="26" s="1"/>
  <c r="AW207" i="26" s="1"/>
  <c r="AF207" i="26"/>
  <c r="I207" i="26"/>
  <c r="Y207" i="26"/>
  <c r="M207" i="26"/>
  <c r="AC207" i="26"/>
  <c r="Q207" i="26"/>
  <c r="E207" i="26"/>
  <c r="U207" i="26"/>
  <c r="AM203" i="26"/>
  <c r="AJ203" i="26"/>
  <c r="AG203" i="26"/>
  <c r="AS203" i="26" s="1"/>
  <c r="AT203" i="26" s="1"/>
  <c r="F203" i="26"/>
  <c r="J203" i="26"/>
  <c r="N203" i="26"/>
  <c r="R203" i="26"/>
  <c r="V203" i="26"/>
  <c r="Z203" i="26"/>
  <c r="AD203" i="26"/>
  <c r="C203" i="26"/>
  <c r="G203" i="26"/>
  <c r="K203" i="26"/>
  <c r="O203" i="26"/>
  <c r="S203" i="26"/>
  <c r="W203" i="26"/>
  <c r="AA203" i="26"/>
  <c r="AE203" i="26"/>
  <c r="D203" i="26"/>
  <c r="H203" i="26"/>
  <c r="L203" i="26"/>
  <c r="P203" i="26"/>
  <c r="T203" i="26"/>
  <c r="X203" i="26"/>
  <c r="AB203" i="26"/>
  <c r="AV203" i="26" s="1"/>
  <c r="AW203" i="26" s="1"/>
  <c r="AF203" i="26"/>
  <c r="Q203" i="26"/>
  <c r="E203" i="26"/>
  <c r="U203" i="26"/>
  <c r="I203" i="26"/>
  <c r="Y203" i="26"/>
  <c r="AC203" i="26"/>
  <c r="M203" i="26"/>
  <c r="AM199" i="26"/>
  <c r="AJ199" i="26"/>
  <c r="AG199" i="26"/>
  <c r="AS199" i="26" s="1"/>
  <c r="AT199" i="26" s="1"/>
  <c r="F199" i="26"/>
  <c r="J199" i="26"/>
  <c r="N199" i="26"/>
  <c r="R199" i="26"/>
  <c r="V199" i="26"/>
  <c r="Z199" i="26"/>
  <c r="AD199" i="26"/>
  <c r="C199" i="26"/>
  <c r="G199" i="26"/>
  <c r="K199" i="26"/>
  <c r="O199" i="26"/>
  <c r="S199" i="26"/>
  <c r="W199" i="26"/>
  <c r="AA199" i="26"/>
  <c r="AE199" i="26"/>
  <c r="D199" i="26"/>
  <c r="H199" i="26"/>
  <c r="L199" i="26"/>
  <c r="P199" i="26"/>
  <c r="T199" i="26"/>
  <c r="X199" i="26"/>
  <c r="AB199" i="26"/>
  <c r="AV199" i="26" s="1"/>
  <c r="AW199" i="26" s="1"/>
  <c r="AF199" i="26"/>
  <c r="I199" i="26"/>
  <c r="Y199" i="26"/>
  <c r="M199" i="26"/>
  <c r="AC199" i="26"/>
  <c r="Q199" i="26"/>
  <c r="U199" i="26"/>
  <c r="E199" i="26"/>
  <c r="AM195" i="26"/>
  <c r="AJ195" i="26"/>
  <c r="AG195" i="26"/>
  <c r="AS195" i="26" s="1"/>
  <c r="AT195" i="26" s="1"/>
  <c r="F195" i="26"/>
  <c r="J195" i="26"/>
  <c r="N195" i="26"/>
  <c r="R195" i="26"/>
  <c r="V195" i="26"/>
  <c r="Z195" i="26"/>
  <c r="AD195" i="26"/>
  <c r="C195" i="26"/>
  <c r="G195" i="26"/>
  <c r="K195" i="26"/>
  <c r="O195" i="26"/>
  <c r="S195" i="26"/>
  <c r="W195" i="26"/>
  <c r="AA195" i="26"/>
  <c r="AE195" i="26"/>
  <c r="D195" i="26"/>
  <c r="H195" i="26"/>
  <c r="L195" i="26"/>
  <c r="P195" i="26"/>
  <c r="T195" i="26"/>
  <c r="X195" i="26"/>
  <c r="AB195" i="26"/>
  <c r="AV195" i="26" s="1"/>
  <c r="AW195" i="26" s="1"/>
  <c r="AF195" i="26"/>
  <c r="Q195" i="26"/>
  <c r="E195" i="26"/>
  <c r="U195" i="26"/>
  <c r="I195" i="26"/>
  <c r="Y195" i="26"/>
  <c r="M195" i="26"/>
  <c r="AC195" i="26"/>
  <c r="AM191" i="26"/>
  <c r="AJ191" i="26"/>
  <c r="AG191" i="26"/>
  <c r="AS191" i="26" s="1"/>
  <c r="AT191" i="26" s="1"/>
  <c r="F191" i="26"/>
  <c r="J191" i="26"/>
  <c r="N191" i="26"/>
  <c r="R191" i="26"/>
  <c r="V191" i="26"/>
  <c r="Z191" i="26"/>
  <c r="AD191" i="26"/>
  <c r="C191" i="26"/>
  <c r="G191" i="26"/>
  <c r="K191" i="26"/>
  <c r="O191" i="26"/>
  <c r="S191" i="26"/>
  <c r="W191" i="26"/>
  <c r="AA191" i="26"/>
  <c r="AE191" i="26"/>
  <c r="D191" i="26"/>
  <c r="H191" i="26"/>
  <c r="L191" i="26"/>
  <c r="P191" i="26"/>
  <c r="T191" i="26"/>
  <c r="X191" i="26"/>
  <c r="AB191" i="26"/>
  <c r="AV191" i="26" s="1"/>
  <c r="AW191" i="26" s="1"/>
  <c r="AF191" i="26"/>
  <c r="I191" i="26"/>
  <c r="Y191" i="26"/>
  <c r="M191" i="26"/>
  <c r="AC191" i="26"/>
  <c r="Q191" i="26"/>
  <c r="E191" i="26"/>
  <c r="U191" i="26"/>
  <c r="AM187" i="26"/>
  <c r="AJ187" i="26"/>
  <c r="AG187" i="26"/>
  <c r="AS187" i="26" s="1"/>
  <c r="AT187" i="26" s="1"/>
  <c r="E187" i="26"/>
  <c r="I187" i="26"/>
  <c r="M187" i="26"/>
  <c r="Q187" i="26"/>
  <c r="U187" i="26"/>
  <c r="Y187" i="26"/>
  <c r="AC187" i="26"/>
  <c r="F187" i="26"/>
  <c r="J187" i="26"/>
  <c r="N187" i="26"/>
  <c r="R187" i="26"/>
  <c r="V187" i="26"/>
  <c r="Z187" i="26"/>
  <c r="AD187" i="26"/>
  <c r="C187" i="26"/>
  <c r="G187" i="26"/>
  <c r="K187" i="26"/>
  <c r="O187" i="26"/>
  <c r="S187" i="26"/>
  <c r="W187" i="26"/>
  <c r="AA187" i="26"/>
  <c r="AE187" i="26"/>
  <c r="P187" i="26"/>
  <c r="AF187" i="26"/>
  <c r="D187" i="26"/>
  <c r="T187" i="26"/>
  <c r="H187" i="26"/>
  <c r="X187" i="26"/>
  <c r="L187" i="26"/>
  <c r="AB187" i="26"/>
  <c r="AV187" i="26" s="1"/>
  <c r="AW187" i="26" s="1"/>
  <c r="AM183" i="26"/>
  <c r="AJ183" i="26"/>
  <c r="AG183" i="26"/>
  <c r="AS183" i="26" s="1"/>
  <c r="AT183" i="26" s="1"/>
  <c r="E183" i="26"/>
  <c r="I183" i="26"/>
  <c r="M183" i="26"/>
  <c r="Q183" i="26"/>
  <c r="U183" i="26"/>
  <c r="Y183" i="26"/>
  <c r="AC183" i="26"/>
  <c r="F183" i="26"/>
  <c r="J183" i="26"/>
  <c r="N183" i="26"/>
  <c r="R183" i="26"/>
  <c r="V183" i="26"/>
  <c r="Z183" i="26"/>
  <c r="AD183" i="26"/>
  <c r="C183" i="26"/>
  <c r="G183" i="26"/>
  <c r="K183" i="26"/>
  <c r="O183" i="26"/>
  <c r="S183" i="26"/>
  <c r="W183" i="26"/>
  <c r="AA183" i="26"/>
  <c r="AE183" i="26"/>
  <c r="H183" i="26"/>
  <c r="X183" i="26"/>
  <c r="L183" i="26"/>
  <c r="AB183" i="26"/>
  <c r="AV183" i="26" s="1"/>
  <c r="AW183" i="26" s="1"/>
  <c r="P183" i="26"/>
  <c r="AF183" i="26"/>
  <c r="D183" i="26"/>
  <c r="T183" i="26"/>
  <c r="AM179" i="26"/>
  <c r="AJ179" i="26"/>
  <c r="AG179" i="26"/>
  <c r="AS179" i="26" s="1"/>
  <c r="AT179" i="26" s="1"/>
  <c r="E179" i="26"/>
  <c r="I179" i="26"/>
  <c r="M179" i="26"/>
  <c r="Q179" i="26"/>
  <c r="U179" i="26"/>
  <c r="Y179" i="26"/>
  <c r="AC179" i="26"/>
  <c r="F179" i="26"/>
  <c r="J179" i="26"/>
  <c r="N179" i="26"/>
  <c r="R179" i="26"/>
  <c r="V179" i="26"/>
  <c r="Z179" i="26"/>
  <c r="AD179" i="26"/>
  <c r="C179" i="26"/>
  <c r="G179" i="26"/>
  <c r="K179" i="26"/>
  <c r="O179" i="26"/>
  <c r="S179" i="26"/>
  <c r="W179" i="26"/>
  <c r="AA179" i="26"/>
  <c r="AE179" i="26"/>
  <c r="P179" i="26"/>
  <c r="AF179" i="26"/>
  <c r="D179" i="26"/>
  <c r="T179" i="26"/>
  <c r="H179" i="26"/>
  <c r="X179" i="26"/>
  <c r="L179" i="26"/>
  <c r="AB179" i="26"/>
  <c r="AV179" i="26" s="1"/>
  <c r="AW179" i="26" s="1"/>
  <c r="AM175" i="26"/>
  <c r="AJ175" i="26"/>
  <c r="AG175" i="26"/>
  <c r="AS175" i="26" s="1"/>
  <c r="AT175" i="26" s="1"/>
  <c r="E175" i="26"/>
  <c r="I175" i="26"/>
  <c r="M175" i="26"/>
  <c r="Q175" i="26"/>
  <c r="U175" i="26"/>
  <c r="Y175" i="26"/>
  <c r="AC175" i="26"/>
  <c r="F175" i="26"/>
  <c r="J175" i="26"/>
  <c r="N175" i="26"/>
  <c r="R175" i="26"/>
  <c r="V175" i="26"/>
  <c r="Z175" i="26"/>
  <c r="AD175" i="26"/>
  <c r="C175" i="26"/>
  <c r="G175" i="26"/>
  <c r="K175" i="26"/>
  <c r="O175" i="26"/>
  <c r="S175" i="26"/>
  <c r="W175" i="26"/>
  <c r="AA175" i="26"/>
  <c r="AE175" i="26"/>
  <c r="H175" i="26"/>
  <c r="X175" i="26"/>
  <c r="L175" i="26"/>
  <c r="AB175" i="26"/>
  <c r="AV175" i="26" s="1"/>
  <c r="AW175" i="26" s="1"/>
  <c r="P175" i="26"/>
  <c r="AF175" i="26"/>
  <c r="D175" i="26"/>
  <c r="T175" i="26"/>
  <c r="AM171" i="26"/>
  <c r="AJ171" i="26"/>
  <c r="AG171" i="26"/>
  <c r="AS171" i="26" s="1"/>
  <c r="AT171" i="26" s="1"/>
  <c r="D171" i="26"/>
  <c r="H171" i="26"/>
  <c r="L171" i="26"/>
  <c r="P171" i="26"/>
  <c r="T171" i="26"/>
  <c r="X171" i="26"/>
  <c r="AB171" i="26"/>
  <c r="AV171" i="26" s="1"/>
  <c r="AW171" i="26" s="1"/>
  <c r="AF171" i="26"/>
  <c r="E171" i="26"/>
  <c r="I171" i="26"/>
  <c r="M171" i="26"/>
  <c r="Q171" i="26"/>
  <c r="U171" i="26"/>
  <c r="Y171" i="26"/>
  <c r="AC171" i="26"/>
  <c r="F171" i="26"/>
  <c r="J171" i="26"/>
  <c r="N171" i="26"/>
  <c r="R171" i="26"/>
  <c r="V171" i="26"/>
  <c r="Z171" i="26"/>
  <c r="AD171" i="26"/>
  <c r="O171" i="26"/>
  <c r="AE171" i="26"/>
  <c r="C171" i="26"/>
  <c r="S171" i="26"/>
  <c r="G171" i="26"/>
  <c r="W171" i="26"/>
  <c r="AA171" i="26"/>
  <c r="K171" i="26"/>
  <c r="AM167" i="26"/>
  <c r="AJ167" i="26"/>
  <c r="AG167" i="26"/>
  <c r="AS167" i="26" s="1"/>
  <c r="AT167" i="26" s="1"/>
  <c r="D167" i="26"/>
  <c r="H167" i="26"/>
  <c r="L167" i="26"/>
  <c r="P167" i="26"/>
  <c r="T167" i="26"/>
  <c r="X167" i="26"/>
  <c r="AB167" i="26"/>
  <c r="AV167" i="26" s="1"/>
  <c r="AW167" i="26" s="1"/>
  <c r="AF167" i="26"/>
  <c r="E167" i="26"/>
  <c r="I167" i="26"/>
  <c r="M167" i="26"/>
  <c r="Q167" i="26"/>
  <c r="U167" i="26"/>
  <c r="Y167" i="26"/>
  <c r="AC167" i="26"/>
  <c r="F167" i="26"/>
  <c r="J167" i="26"/>
  <c r="N167" i="26"/>
  <c r="R167" i="26"/>
  <c r="V167" i="26"/>
  <c r="Z167" i="26"/>
  <c r="AD167" i="26"/>
  <c r="G167" i="26"/>
  <c r="W167" i="26"/>
  <c r="K167" i="26"/>
  <c r="AA167" i="26"/>
  <c r="O167" i="26"/>
  <c r="AE167" i="26"/>
  <c r="S167" i="26"/>
  <c r="C167" i="26"/>
  <c r="AM163" i="26"/>
  <c r="AJ163" i="26"/>
  <c r="AG163" i="26"/>
  <c r="AS163" i="26" s="1"/>
  <c r="AT163" i="26" s="1"/>
  <c r="D163" i="26"/>
  <c r="H163" i="26"/>
  <c r="L163" i="26"/>
  <c r="P163" i="26"/>
  <c r="T163" i="26"/>
  <c r="X163" i="26"/>
  <c r="AB163" i="26"/>
  <c r="AV163" i="26" s="1"/>
  <c r="AW163" i="26" s="1"/>
  <c r="AF163" i="26"/>
  <c r="E163" i="26"/>
  <c r="I163" i="26"/>
  <c r="M163" i="26"/>
  <c r="Q163" i="26"/>
  <c r="U163" i="26"/>
  <c r="Y163" i="26"/>
  <c r="AC163" i="26"/>
  <c r="F163" i="26"/>
  <c r="J163" i="26"/>
  <c r="N163" i="26"/>
  <c r="R163" i="26"/>
  <c r="V163" i="26"/>
  <c r="Z163" i="26"/>
  <c r="AD163" i="26"/>
  <c r="O163" i="26"/>
  <c r="AE163" i="26"/>
  <c r="C163" i="26"/>
  <c r="S163" i="26"/>
  <c r="G163" i="26"/>
  <c r="W163" i="26"/>
  <c r="K163" i="26"/>
  <c r="AA163" i="26"/>
  <c r="AM159" i="26"/>
  <c r="AJ159" i="26"/>
  <c r="AG159" i="26"/>
  <c r="AS159" i="26" s="1"/>
  <c r="AT159" i="26" s="1"/>
  <c r="D159" i="26"/>
  <c r="H159" i="26"/>
  <c r="L159" i="26"/>
  <c r="P159" i="26"/>
  <c r="T159" i="26"/>
  <c r="X159" i="26"/>
  <c r="AB159" i="26"/>
  <c r="AV159" i="26" s="1"/>
  <c r="AW159" i="26" s="1"/>
  <c r="AF159" i="26"/>
  <c r="E159" i="26"/>
  <c r="I159" i="26"/>
  <c r="M159" i="26"/>
  <c r="Q159" i="26"/>
  <c r="U159" i="26"/>
  <c r="Y159" i="26"/>
  <c r="AC159" i="26"/>
  <c r="F159" i="26"/>
  <c r="J159" i="26"/>
  <c r="N159" i="26"/>
  <c r="R159" i="26"/>
  <c r="V159" i="26"/>
  <c r="Z159" i="26"/>
  <c r="AD159" i="26"/>
  <c r="G159" i="26"/>
  <c r="W159" i="26"/>
  <c r="K159" i="26"/>
  <c r="AA159" i="26"/>
  <c r="O159" i="26"/>
  <c r="AE159" i="26"/>
  <c r="C159" i="26"/>
  <c r="S159" i="26"/>
  <c r="AJ155" i="26"/>
  <c r="AM155" i="26"/>
  <c r="AG155" i="26"/>
  <c r="AS155" i="26" s="1"/>
  <c r="AT155" i="26" s="1"/>
  <c r="C155" i="26"/>
  <c r="G155" i="26"/>
  <c r="K155" i="26"/>
  <c r="O155" i="26"/>
  <c r="S155" i="26"/>
  <c r="W155" i="26"/>
  <c r="AA155" i="26"/>
  <c r="AE155" i="26"/>
  <c r="D155" i="26"/>
  <c r="H155" i="26"/>
  <c r="L155" i="26"/>
  <c r="P155" i="26"/>
  <c r="T155" i="26"/>
  <c r="X155" i="26"/>
  <c r="AB155" i="26"/>
  <c r="AV155" i="26" s="1"/>
  <c r="AW155" i="26" s="1"/>
  <c r="AF155" i="26"/>
  <c r="AM151" i="26"/>
  <c r="AJ151" i="26"/>
  <c r="AG151" i="26"/>
  <c r="AS151" i="26" s="1"/>
  <c r="AT151" i="26" s="1"/>
  <c r="C151" i="26"/>
  <c r="G151" i="26"/>
  <c r="K151" i="26"/>
  <c r="O151" i="26"/>
  <c r="S151" i="26"/>
  <c r="W151" i="26"/>
  <c r="AA151" i="26"/>
  <c r="AE151" i="26"/>
  <c r="D151" i="26"/>
  <c r="H151" i="26"/>
  <c r="L151" i="26"/>
  <c r="P151" i="26"/>
  <c r="T151" i="26"/>
  <c r="X151" i="26"/>
  <c r="AB151" i="26"/>
  <c r="AV151" i="26" s="1"/>
  <c r="AW151" i="26" s="1"/>
  <c r="AF151" i="26"/>
  <c r="AJ147" i="26"/>
  <c r="AM147" i="26"/>
  <c r="AG147" i="26"/>
  <c r="AS147" i="26" s="1"/>
  <c r="AT147" i="26" s="1"/>
  <c r="C147" i="26"/>
  <c r="G147" i="26"/>
  <c r="K147" i="26"/>
  <c r="O147" i="26"/>
  <c r="S147" i="26"/>
  <c r="W147" i="26"/>
  <c r="AA147" i="26"/>
  <c r="AE147" i="26"/>
  <c r="D147" i="26"/>
  <c r="H147" i="26"/>
  <c r="L147" i="26"/>
  <c r="P147" i="26"/>
  <c r="T147" i="26"/>
  <c r="X147" i="26"/>
  <c r="AB147" i="26"/>
  <c r="AV147" i="26" s="1"/>
  <c r="AW147" i="26" s="1"/>
  <c r="AF147" i="26"/>
  <c r="AM143" i="26"/>
  <c r="AJ143" i="26"/>
  <c r="AG143" i="26"/>
  <c r="AS143" i="26" s="1"/>
  <c r="AT143" i="26" s="1"/>
  <c r="C143" i="26"/>
  <c r="G143" i="26"/>
  <c r="K143" i="26"/>
  <c r="O143" i="26"/>
  <c r="S143" i="26"/>
  <c r="W143" i="26"/>
  <c r="AA143" i="26"/>
  <c r="AE143" i="26"/>
  <c r="D143" i="26"/>
  <c r="H143" i="26"/>
  <c r="L143" i="26"/>
  <c r="P143" i="26"/>
  <c r="T143" i="26"/>
  <c r="X143" i="26"/>
  <c r="AB143" i="26"/>
  <c r="AV143" i="26" s="1"/>
  <c r="AW143" i="26" s="1"/>
  <c r="AF143" i="26"/>
  <c r="AJ139" i="26"/>
  <c r="AM139" i="26"/>
  <c r="AG139" i="26"/>
  <c r="AS139" i="26" s="1"/>
  <c r="AT139" i="26" s="1"/>
  <c r="C139" i="26"/>
  <c r="G139" i="26"/>
  <c r="K139" i="26"/>
  <c r="O139" i="26"/>
  <c r="S139" i="26"/>
  <c r="W139" i="26"/>
  <c r="AA139" i="26"/>
  <c r="AE139" i="26"/>
  <c r="D139" i="26"/>
  <c r="H139" i="26"/>
  <c r="L139" i="26"/>
  <c r="P139" i="26"/>
  <c r="T139" i="26"/>
  <c r="X139" i="26"/>
  <c r="AB139" i="26"/>
  <c r="AV139" i="26" s="1"/>
  <c r="AW139" i="26" s="1"/>
  <c r="AF139" i="26"/>
  <c r="AM135" i="26"/>
  <c r="AJ135" i="26"/>
  <c r="AG135" i="26"/>
  <c r="AS135" i="26" s="1"/>
  <c r="AT135" i="26" s="1"/>
  <c r="C135" i="26"/>
  <c r="G135" i="26"/>
  <c r="K135" i="26"/>
  <c r="O135" i="26"/>
  <c r="S135" i="26"/>
  <c r="W135" i="26"/>
  <c r="AA135" i="26"/>
  <c r="AE135" i="26"/>
  <c r="D135" i="26"/>
  <c r="H135" i="26"/>
  <c r="L135" i="26"/>
  <c r="P135" i="26"/>
  <c r="T135" i="26"/>
  <c r="X135" i="26"/>
  <c r="AB135" i="26"/>
  <c r="AV135" i="26" s="1"/>
  <c r="AW135" i="26" s="1"/>
  <c r="AF135" i="26"/>
  <c r="AJ131" i="26"/>
  <c r="AM131" i="26"/>
  <c r="AG131" i="26"/>
  <c r="AS131" i="26" s="1"/>
  <c r="AT131" i="26" s="1"/>
  <c r="C131" i="26"/>
  <c r="G131" i="26"/>
  <c r="K131" i="26"/>
  <c r="O131" i="26"/>
  <c r="S131" i="26"/>
  <c r="W131" i="26"/>
  <c r="AA131" i="26"/>
  <c r="AE131" i="26"/>
  <c r="D131" i="26"/>
  <c r="H131" i="26"/>
  <c r="L131" i="26"/>
  <c r="P131" i="26"/>
  <c r="T131" i="26"/>
  <c r="X131" i="26"/>
  <c r="AB131" i="26"/>
  <c r="AV131" i="26" s="1"/>
  <c r="AW131" i="26" s="1"/>
  <c r="AF131" i="26"/>
  <c r="AM127" i="26"/>
  <c r="AJ127" i="26"/>
  <c r="AG127" i="26"/>
  <c r="AS127" i="26" s="1"/>
  <c r="AT127" i="26" s="1"/>
  <c r="C127" i="26"/>
  <c r="G127" i="26"/>
  <c r="K127" i="26"/>
  <c r="O127" i="26"/>
  <c r="S127" i="26"/>
  <c r="W127" i="26"/>
  <c r="AA127" i="26"/>
  <c r="AE127" i="26"/>
  <c r="D127" i="26"/>
  <c r="H127" i="26"/>
  <c r="L127" i="26"/>
  <c r="P127" i="26"/>
  <c r="T127" i="26"/>
  <c r="X127" i="26"/>
  <c r="AB127" i="26"/>
  <c r="AV127" i="26" s="1"/>
  <c r="AW127" i="26" s="1"/>
  <c r="AF127" i="26"/>
  <c r="AJ123" i="26"/>
  <c r="AM123" i="26"/>
  <c r="AG123" i="26"/>
  <c r="AS123" i="26" s="1"/>
  <c r="AT123" i="26" s="1"/>
  <c r="C123" i="26"/>
  <c r="G123" i="26"/>
  <c r="K123" i="26"/>
  <c r="O123" i="26"/>
  <c r="S123" i="26"/>
  <c r="W123" i="26"/>
  <c r="AA123" i="26"/>
  <c r="AE123" i="26"/>
  <c r="D123" i="26"/>
  <c r="H123" i="26"/>
  <c r="L123" i="26"/>
  <c r="P123" i="26"/>
  <c r="T123" i="26"/>
  <c r="X123" i="26"/>
  <c r="AB123" i="26"/>
  <c r="AV123" i="26" s="1"/>
  <c r="AW123" i="26" s="1"/>
  <c r="AF123" i="26"/>
  <c r="AM119" i="26"/>
  <c r="AJ119" i="26"/>
  <c r="AG119" i="26"/>
  <c r="AS119" i="26" s="1"/>
  <c r="AT119" i="26" s="1"/>
  <c r="C119" i="26"/>
  <c r="G119" i="26"/>
  <c r="K119" i="26"/>
  <c r="O119" i="26"/>
  <c r="S119" i="26"/>
  <c r="W119" i="26"/>
  <c r="AA119" i="26"/>
  <c r="AE119" i="26"/>
  <c r="D119" i="26"/>
  <c r="H119" i="26"/>
  <c r="L119" i="26"/>
  <c r="P119" i="26"/>
  <c r="T119" i="26"/>
  <c r="X119" i="26"/>
  <c r="AB119" i="26"/>
  <c r="AV119" i="26" s="1"/>
  <c r="AW119" i="26" s="1"/>
  <c r="AF119" i="26"/>
  <c r="AJ115" i="26"/>
  <c r="AM115" i="26"/>
  <c r="AG115" i="26"/>
  <c r="AS115" i="26" s="1"/>
  <c r="AT115" i="26" s="1"/>
  <c r="F115" i="26"/>
  <c r="J115" i="26"/>
  <c r="N115" i="26"/>
  <c r="R115" i="26"/>
  <c r="V115" i="26"/>
  <c r="D115" i="26"/>
  <c r="H115" i="26"/>
  <c r="L115" i="26"/>
  <c r="P115" i="26"/>
  <c r="T115" i="26"/>
  <c r="X115" i="26"/>
  <c r="E115" i="26"/>
  <c r="M115" i="26"/>
  <c r="U115" i="26"/>
  <c r="AA115" i="26"/>
  <c r="AE115" i="26"/>
  <c r="G115" i="26"/>
  <c r="O115" i="26"/>
  <c r="W115" i="26"/>
  <c r="AB115" i="26"/>
  <c r="AV115" i="26" s="1"/>
  <c r="AW115" i="26" s="1"/>
  <c r="AF115" i="26"/>
  <c r="AM111" i="26"/>
  <c r="AJ111" i="26"/>
  <c r="AG111" i="26"/>
  <c r="AS111" i="26" s="1"/>
  <c r="AT111" i="26" s="1"/>
  <c r="F111" i="26"/>
  <c r="J111" i="26"/>
  <c r="N111" i="26"/>
  <c r="R111" i="26"/>
  <c r="V111" i="26"/>
  <c r="Z111" i="26"/>
  <c r="AD111" i="26"/>
  <c r="D111" i="26"/>
  <c r="H111" i="26"/>
  <c r="L111" i="26"/>
  <c r="P111" i="26"/>
  <c r="T111" i="26"/>
  <c r="X111" i="26"/>
  <c r="AB111" i="26"/>
  <c r="AV111" i="26" s="1"/>
  <c r="AW111" i="26" s="1"/>
  <c r="AF111" i="26"/>
  <c r="E111" i="26"/>
  <c r="M111" i="26"/>
  <c r="U111" i="26"/>
  <c r="AC111" i="26"/>
  <c r="G111" i="26"/>
  <c r="O111" i="26"/>
  <c r="W111" i="26"/>
  <c r="AE111" i="26"/>
  <c r="AJ107" i="26"/>
  <c r="AM107" i="26"/>
  <c r="AG107" i="26"/>
  <c r="AS107" i="26" s="1"/>
  <c r="AT107" i="26" s="1"/>
  <c r="F107" i="26"/>
  <c r="J107" i="26"/>
  <c r="N107" i="26"/>
  <c r="R107" i="26"/>
  <c r="V107" i="26"/>
  <c r="Z107" i="26"/>
  <c r="AD107" i="26"/>
  <c r="D107" i="26"/>
  <c r="H107" i="26"/>
  <c r="L107" i="26"/>
  <c r="P107" i="26"/>
  <c r="T107" i="26"/>
  <c r="X107" i="26"/>
  <c r="AB107" i="26"/>
  <c r="AV107" i="26" s="1"/>
  <c r="AW107" i="26" s="1"/>
  <c r="AF107" i="26"/>
  <c r="E107" i="26"/>
  <c r="M107" i="26"/>
  <c r="U107" i="26"/>
  <c r="AC107" i="26"/>
  <c r="G107" i="26"/>
  <c r="O107" i="26"/>
  <c r="W107" i="26"/>
  <c r="AE107" i="26"/>
  <c r="AM103" i="26"/>
  <c r="AJ103" i="26"/>
  <c r="AG103" i="26"/>
  <c r="AS103" i="26" s="1"/>
  <c r="AT103" i="26" s="1"/>
  <c r="F103" i="26"/>
  <c r="J103" i="26"/>
  <c r="N103" i="26"/>
  <c r="R103" i="26"/>
  <c r="V103" i="26"/>
  <c r="Z103" i="26"/>
  <c r="AD103" i="26"/>
  <c r="D103" i="26"/>
  <c r="H103" i="26"/>
  <c r="L103" i="26"/>
  <c r="P103" i="26"/>
  <c r="T103" i="26"/>
  <c r="X103" i="26"/>
  <c r="AB103" i="26"/>
  <c r="AV103" i="26" s="1"/>
  <c r="AW103" i="26" s="1"/>
  <c r="AF103" i="26"/>
  <c r="E103" i="26"/>
  <c r="M103" i="26"/>
  <c r="U103" i="26"/>
  <c r="AC103" i="26"/>
  <c r="G103" i="26"/>
  <c r="O103" i="26"/>
  <c r="W103" i="26"/>
  <c r="AE103" i="26"/>
  <c r="AJ99" i="26"/>
  <c r="AM99" i="26"/>
  <c r="AG99" i="26"/>
  <c r="AS99" i="26" s="1"/>
  <c r="AT99" i="26" s="1"/>
  <c r="F99" i="26"/>
  <c r="J99" i="26"/>
  <c r="N99" i="26"/>
  <c r="R99" i="26"/>
  <c r="V99" i="26"/>
  <c r="Z99" i="26"/>
  <c r="AD99" i="26"/>
  <c r="D99" i="26"/>
  <c r="H99" i="26"/>
  <c r="L99" i="26"/>
  <c r="P99" i="26"/>
  <c r="T99" i="26"/>
  <c r="X99" i="26"/>
  <c r="AB99" i="26"/>
  <c r="AV99" i="26" s="1"/>
  <c r="AW99" i="26" s="1"/>
  <c r="AF99" i="26"/>
  <c r="E99" i="26"/>
  <c r="M99" i="26"/>
  <c r="U99" i="26"/>
  <c r="AC99" i="26"/>
  <c r="G99" i="26"/>
  <c r="O99" i="26"/>
  <c r="W99" i="26"/>
  <c r="AE99" i="26"/>
  <c r="AM95" i="26"/>
  <c r="AJ95" i="26"/>
  <c r="AG95" i="26"/>
  <c r="AS95" i="26" s="1"/>
  <c r="AT95" i="26" s="1"/>
  <c r="F95" i="26"/>
  <c r="J95" i="26"/>
  <c r="N95" i="26"/>
  <c r="R95" i="26"/>
  <c r="V95" i="26"/>
  <c r="Z95" i="26"/>
  <c r="AD95" i="26"/>
  <c r="D95" i="26"/>
  <c r="H95" i="26"/>
  <c r="L95" i="26"/>
  <c r="P95" i="26"/>
  <c r="T95" i="26"/>
  <c r="X95" i="26"/>
  <c r="AB95" i="26"/>
  <c r="AV95" i="26" s="1"/>
  <c r="AW95" i="26" s="1"/>
  <c r="AF95" i="26"/>
  <c r="E95" i="26"/>
  <c r="M95" i="26"/>
  <c r="U95" i="26"/>
  <c r="AC95" i="26"/>
  <c r="G95" i="26"/>
  <c r="O95" i="26"/>
  <c r="W95" i="26"/>
  <c r="AE95" i="26"/>
  <c r="AJ91" i="26"/>
  <c r="AM91" i="26"/>
  <c r="AG91" i="26"/>
  <c r="AS91" i="26" s="1"/>
  <c r="AT91" i="26" s="1"/>
  <c r="F91" i="26"/>
  <c r="J91" i="26"/>
  <c r="N91" i="26"/>
  <c r="R91" i="26"/>
  <c r="V91" i="26"/>
  <c r="Z91" i="26"/>
  <c r="AD91" i="26"/>
  <c r="C91" i="26"/>
  <c r="G91" i="26"/>
  <c r="K91" i="26"/>
  <c r="O91" i="26"/>
  <c r="S91" i="26"/>
  <c r="W91" i="26"/>
  <c r="AA91" i="26"/>
  <c r="AE91" i="26"/>
  <c r="D91" i="26"/>
  <c r="H91" i="26"/>
  <c r="L91" i="26"/>
  <c r="P91" i="26"/>
  <c r="T91" i="26"/>
  <c r="X91" i="26"/>
  <c r="AB91" i="26"/>
  <c r="AV91" i="26" s="1"/>
  <c r="AW91" i="26" s="1"/>
  <c r="AF91" i="26"/>
  <c r="Q91" i="26"/>
  <c r="E91" i="26"/>
  <c r="U91" i="26"/>
  <c r="AM87" i="26"/>
  <c r="AJ87" i="26"/>
  <c r="AG87" i="26"/>
  <c r="AS87" i="26" s="1"/>
  <c r="AT87" i="26" s="1"/>
  <c r="F87" i="26"/>
  <c r="J87" i="26"/>
  <c r="N87" i="26"/>
  <c r="R87" i="26"/>
  <c r="V87" i="26"/>
  <c r="Z87" i="26"/>
  <c r="AD87" i="26"/>
  <c r="C87" i="26"/>
  <c r="G87" i="26"/>
  <c r="K87" i="26"/>
  <c r="O87" i="26"/>
  <c r="S87" i="26"/>
  <c r="W87" i="26"/>
  <c r="AA87" i="26"/>
  <c r="AE87" i="26"/>
  <c r="D87" i="26"/>
  <c r="H87" i="26"/>
  <c r="L87" i="26"/>
  <c r="P87" i="26"/>
  <c r="T87" i="26"/>
  <c r="X87" i="26"/>
  <c r="AB87" i="26"/>
  <c r="AV87" i="26" s="1"/>
  <c r="AW87" i="26" s="1"/>
  <c r="AF87" i="26"/>
  <c r="I87" i="26"/>
  <c r="Y87" i="26"/>
  <c r="M87" i="26"/>
  <c r="AC87" i="26"/>
  <c r="AJ83" i="26"/>
  <c r="AM83" i="26"/>
  <c r="AG83" i="26"/>
  <c r="AS83" i="26" s="1"/>
  <c r="AT83" i="26" s="1"/>
  <c r="F83" i="26"/>
  <c r="J83" i="26"/>
  <c r="N83" i="26"/>
  <c r="R83" i="26"/>
  <c r="V83" i="26"/>
  <c r="Z83" i="26"/>
  <c r="AD83" i="26"/>
  <c r="C83" i="26"/>
  <c r="G83" i="26"/>
  <c r="K83" i="26"/>
  <c r="O83" i="26"/>
  <c r="S83" i="26"/>
  <c r="W83" i="26"/>
  <c r="AA83" i="26"/>
  <c r="AE83" i="26"/>
  <c r="D83" i="26"/>
  <c r="H83" i="26"/>
  <c r="L83" i="26"/>
  <c r="P83" i="26"/>
  <c r="T83" i="26"/>
  <c r="X83" i="26"/>
  <c r="AB83" i="26"/>
  <c r="AV83" i="26" s="1"/>
  <c r="AW83" i="26" s="1"/>
  <c r="AF83" i="26"/>
  <c r="Q83" i="26"/>
  <c r="E83" i="26"/>
  <c r="U83" i="26"/>
  <c r="AM79" i="26"/>
  <c r="AJ79" i="26"/>
  <c r="AG79" i="26"/>
  <c r="AS79" i="26" s="1"/>
  <c r="AT79" i="26" s="1"/>
  <c r="F79" i="26"/>
  <c r="J79" i="26"/>
  <c r="N79" i="26"/>
  <c r="R79" i="26"/>
  <c r="V79" i="26"/>
  <c r="Z79" i="26"/>
  <c r="AD79" i="26"/>
  <c r="C79" i="26"/>
  <c r="G79" i="26"/>
  <c r="K79" i="26"/>
  <c r="O79" i="26"/>
  <c r="S79" i="26"/>
  <c r="W79" i="26"/>
  <c r="AA79" i="26"/>
  <c r="AE79" i="26"/>
  <c r="D79" i="26"/>
  <c r="H79" i="26"/>
  <c r="L79" i="26"/>
  <c r="P79" i="26"/>
  <c r="T79" i="26"/>
  <c r="X79" i="26"/>
  <c r="AB79" i="26"/>
  <c r="AV79" i="26" s="1"/>
  <c r="AW79" i="26" s="1"/>
  <c r="AF79" i="26"/>
  <c r="I79" i="26"/>
  <c r="Y79" i="26"/>
  <c r="M79" i="26"/>
  <c r="AC79" i="26"/>
  <c r="AJ75" i="26"/>
  <c r="AM75" i="26"/>
  <c r="AG75" i="26"/>
  <c r="AS75" i="26" s="1"/>
  <c r="AT75" i="26" s="1"/>
  <c r="F75" i="26"/>
  <c r="J75" i="26"/>
  <c r="N75" i="26"/>
  <c r="R75" i="26"/>
  <c r="V75" i="26"/>
  <c r="Z75" i="26"/>
  <c r="AD75" i="26"/>
  <c r="C75" i="26"/>
  <c r="G75" i="26"/>
  <c r="K75" i="26"/>
  <c r="O75" i="26"/>
  <c r="S75" i="26"/>
  <c r="W75" i="26"/>
  <c r="AA75" i="26"/>
  <c r="AE75" i="26"/>
  <c r="D75" i="26"/>
  <c r="H75" i="26"/>
  <c r="L75" i="26"/>
  <c r="P75" i="26"/>
  <c r="T75" i="26"/>
  <c r="X75" i="26"/>
  <c r="AB75" i="26"/>
  <c r="AV75" i="26" s="1"/>
  <c r="AW75" i="26" s="1"/>
  <c r="AF75" i="26"/>
  <c r="Q75" i="26"/>
  <c r="E75" i="26"/>
  <c r="U75" i="26"/>
  <c r="AM71" i="26"/>
  <c r="AJ71" i="26"/>
  <c r="AG71" i="26"/>
  <c r="AS71" i="26" s="1"/>
  <c r="AT71" i="26" s="1"/>
  <c r="F71" i="26"/>
  <c r="J71" i="26"/>
  <c r="N71" i="26"/>
  <c r="R71" i="26"/>
  <c r="V71" i="26"/>
  <c r="Z71" i="26"/>
  <c r="AD71" i="26"/>
  <c r="C71" i="26"/>
  <c r="G71" i="26"/>
  <c r="K71" i="26"/>
  <c r="O71" i="26"/>
  <c r="S71" i="26"/>
  <c r="W71" i="26"/>
  <c r="AA71" i="26"/>
  <c r="AE71" i="26"/>
  <c r="D71" i="26"/>
  <c r="H71" i="26"/>
  <c r="L71" i="26"/>
  <c r="P71" i="26"/>
  <c r="T71" i="26"/>
  <c r="X71" i="26"/>
  <c r="AB71" i="26"/>
  <c r="AV71" i="26" s="1"/>
  <c r="AW71" i="26" s="1"/>
  <c r="AF71" i="26"/>
  <c r="I71" i="26"/>
  <c r="Y71" i="26"/>
  <c r="M71" i="26"/>
  <c r="AC71" i="26"/>
  <c r="AJ67" i="26"/>
  <c r="AM67" i="26"/>
  <c r="AG67" i="26"/>
  <c r="AS67" i="26" s="1"/>
  <c r="AT67" i="26" s="1"/>
  <c r="F67" i="26"/>
  <c r="J67" i="26"/>
  <c r="N67" i="26"/>
  <c r="R67" i="26"/>
  <c r="V67" i="26"/>
  <c r="Z67" i="26"/>
  <c r="AD67" i="26"/>
  <c r="C67" i="26"/>
  <c r="G67" i="26"/>
  <c r="K67" i="26"/>
  <c r="O67" i="26"/>
  <c r="S67" i="26"/>
  <c r="W67" i="26"/>
  <c r="AA67" i="26"/>
  <c r="AE67" i="26"/>
  <c r="D67" i="26"/>
  <c r="H67" i="26"/>
  <c r="L67" i="26"/>
  <c r="P67" i="26"/>
  <c r="T67" i="26"/>
  <c r="X67" i="26"/>
  <c r="AB67" i="26"/>
  <c r="AV67" i="26" s="1"/>
  <c r="AW67" i="26" s="1"/>
  <c r="AF67" i="26"/>
  <c r="Q67" i="26"/>
  <c r="E67" i="26"/>
  <c r="U67" i="26"/>
  <c r="AM63" i="26"/>
  <c r="AJ63" i="26"/>
  <c r="AG63" i="26"/>
  <c r="AS63" i="26" s="1"/>
  <c r="AT63" i="26" s="1"/>
  <c r="F63" i="26"/>
  <c r="J63" i="26"/>
  <c r="N63" i="26"/>
  <c r="R63" i="26"/>
  <c r="V63" i="26"/>
  <c r="Z63" i="26"/>
  <c r="AD63" i="26"/>
  <c r="C63" i="26"/>
  <c r="G63" i="26"/>
  <c r="K63" i="26"/>
  <c r="O63" i="26"/>
  <c r="S63" i="26"/>
  <c r="W63" i="26"/>
  <c r="AA63" i="26"/>
  <c r="AE63" i="26"/>
  <c r="D63" i="26"/>
  <c r="H63" i="26"/>
  <c r="L63" i="26"/>
  <c r="P63" i="26"/>
  <c r="T63" i="26"/>
  <c r="X63" i="26"/>
  <c r="AB63" i="26"/>
  <c r="AV63" i="26" s="1"/>
  <c r="AW63" i="26" s="1"/>
  <c r="AF63" i="26"/>
  <c r="I63" i="26"/>
  <c r="Y63" i="26"/>
  <c r="M63" i="26"/>
  <c r="AC63" i="26"/>
  <c r="AJ59" i="26"/>
  <c r="AM59" i="26"/>
  <c r="AG59" i="26"/>
  <c r="AS59" i="26" s="1"/>
  <c r="AT59" i="26" s="1"/>
  <c r="F59" i="26"/>
  <c r="J59" i="26"/>
  <c r="N59" i="26"/>
  <c r="R59" i="26"/>
  <c r="V59" i="26"/>
  <c r="Z59" i="26"/>
  <c r="AD59" i="26"/>
  <c r="C59" i="26"/>
  <c r="G59" i="26"/>
  <c r="K59" i="26"/>
  <c r="O59" i="26"/>
  <c r="S59" i="26"/>
  <c r="W59" i="26"/>
  <c r="AA59" i="26"/>
  <c r="AE59" i="26"/>
  <c r="D59" i="26"/>
  <c r="H59" i="26"/>
  <c r="L59" i="26"/>
  <c r="P59" i="26"/>
  <c r="T59" i="26"/>
  <c r="X59" i="26"/>
  <c r="AB59" i="26"/>
  <c r="AV59" i="26" s="1"/>
  <c r="AW59" i="26" s="1"/>
  <c r="AF59" i="26"/>
  <c r="Q59" i="26"/>
  <c r="E59" i="26"/>
  <c r="U59" i="26"/>
  <c r="AM55" i="26"/>
  <c r="AJ55" i="26"/>
  <c r="AG55" i="26"/>
  <c r="AS55" i="26" s="1"/>
  <c r="AT55" i="26" s="1"/>
  <c r="F55" i="26"/>
  <c r="J55" i="26"/>
  <c r="N55" i="26"/>
  <c r="R55" i="26"/>
  <c r="V55" i="26"/>
  <c r="Z55" i="26"/>
  <c r="AD55" i="26"/>
  <c r="C55" i="26"/>
  <c r="G55" i="26"/>
  <c r="K55" i="26"/>
  <c r="O55" i="26"/>
  <c r="S55" i="26"/>
  <c r="W55" i="26"/>
  <c r="AA55" i="26"/>
  <c r="AE55" i="26"/>
  <c r="D55" i="26"/>
  <c r="H55" i="26"/>
  <c r="L55" i="26"/>
  <c r="P55" i="26"/>
  <c r="T55" i="26"/>
  <c r="X55" i="26"/>
  <c r="AB55" i="26"/>
  <c r="AV55" i="26" s="1"/>
  <c r="AW55" i="26" s="1"/>
  <c r="AF55" i="26"/>
  <c r="I55" i="26"/>
  <c r="Y55" i="26"/>
  <c r="M55" i="26"/>
  <c r="AC55" i="26"/>
  <c r="AJ51" i="26"/>
  <c r="AM51" i="26"/>
  <c r="AG51" i="26"/>
  <c r="AS51" i="26" s="1"/>
  <c r="AT51" i="26" s="1"/>
  <c r="F51" i="26"/>
  <c r="J51" i="26"/>
  <c r="N51" i="26"/>
  <c r="R51" i="26"/>
  <c r="V51" i="26"/>
  <c r="Z51" i="26"/>
  <c r="AD51" i="26"/>
  <c r="C51" i="26"/>
  <c r="G51" i="26"/>
  <c r="K51" i="26"/>
  <c r="O51" i="26"/>
  <c r="S51" i="26"/>
  <c r="W51" i="26"/>
  <c r="AA51" i="26"/>
  <c r="AE51" i="26"/>
  <c r="D51" i="26"/>
  <c r="H51" i="26"/>
  <c r="L51" i="26"/>
  <c r="P51" i="26"/>
  <c r="T51" i="26"/>
  <c r="X51" i="26"/>
  <c r="AB51" i="26"/>
  <c r="AV51" i="26" s="1"/>
  <c r="AW51" i="26" s="1"/>
  <c r="AF51" i="26"/>
  <c r="Q51" i="26"/>
  <c r="E51" i="26"/>
  <c r="U51" i="26"/>
  <c r="AM47" i="26"/>
  <c r="AJ47" i="26"/>
  <c r="AG47" i="26"/>
  <c r="AS47" i="26" s="1"/>
  <c r="AT47" i="26" s="1"/>
  <c r="C47" i="26"/>
  <c r="G47" i="26"/>
  <c r="K47" i="26"/>
  <c r="D47" i="26"/>
  <c r="H47" i="26"/>
  <c r="L47" i="26"/>
  <c r="P47" i="26"/>
  <c r="T47" i="26"/>
  <c r="E47" i="26"/>
  <c r="I47" i="26"/>
  <c r="M47" i="26"/>
  <c r="Q47" i="26"/>
  <c r="U47" i="26"/>
  <c r="N47" i="26"/>
  <c r="V47" i="26"/>
  <c r="Z47" i="26"/>
  <c r="AD47" i="26"/>
  <c r="O47" i="26"/>
  <c r="W47" i="26"/>
  <c r="AA47" i="26"/>
  <c r="AE47" i="26"/>
  <c r="F47" i="26"/>
  <c r="R47" i="26"/>
  <c r="X47" i="26"/>
  <c r="AB47" i="26"/>
  <c r="AV47" i="26" s="1"/>
  <c r="AW47" i="26" s="1"/>
  <c r="AF47" i="26"/>
  <c r="Y47" i="26"/>
  <c r="AC47" i="26"/>
  <c r="AJ43" i="26"/>
  <c r="AM43" i="26"/>
  <c r="AG43" i="26"/>
  <c r="AS43" i="26" s="1"/>
  <c r="AT43" i="26" s="1"/>
  <c r="C43" i="26"/>
  <c r="G43" i="26"/>
  <c r="K43" i="26"/>
  <c r="O43" i="26"/>
  <c r="S43" i="26"/>
  <c r="W43" i="26"/>
  <c r="AA43" i="26"/>
  <c r="AE43" i="26"/>
  <c r="D43" i="26"/>
  <c r="H43" i="26"/>
  <c r="L43" i="26"/>
  <c r="P43" i="26"/>
  <c r="T43" i="26"/>
  <c r="X43" i="26"/>
  <c r="AB43" i="26"/>
  <c r="AV43" i="26" s="1"/>
  <c r="AW43" i="26" s="1"/>
  <c r="AF43" i="26"/>
  <c r="E43" i="26"/>
  <c r="I43" i="26"/>
  <c r="M43" i="26"/>
  <c r="Q43" i="26"/>
  <c r="U43" i="26"/>
  <c r="Y43" i="26"/>
  <c r="AC43" i="26"/>
  <c r="F43" i="26"/>
  <c r="V43" i="26"/>
  <c r="J43" i="26"/>
  <c r="Z43" i="26"/>
  <c r="N43" i="26"/>
  <c r="AD43" i="26"/>
  <c r="AM39" i="26"/>
  <c r="AJ39" i="26"/>
  <c r="AG39" i="26"/>
  <c r="AS39" i="26" s="1"/>
  <c r="AT39" i="26" s="1"/>
  <c r="C39" i="26"/>
  <c r="G39" i="26"/>
  <c r="K39" i="26"/>
  <c r="O39" i="26"/>
  <c r="S39" i="26"/>
  <c r="W39" i="26"/>
  <c r="AA39" i="26"/>
  <c r="AE39" i="26"/>
  <c r="D39" i="26"/>
  <c r="H39" i="26"/>
  <c r="L39" i="26"/>
  <c r="P39" i="26"/>
  <c r="T39" i="26"/>
  <c r="X39" i="26"/>
  <c r="AB39" i="26"/>
  <c r="AV39" i="26" s="1"/>
  <c r="AW39" i="26" s="1"/>
  <c r="AF39" i="26"/>
  <c r="E39" i="26"/>
  <c r="I39" i="26"/>
  <c r="M39" i="26"/>
  <c r="Q39" i="26"/>
  <c r="U39" i="26"/>
  <c r="Y39" i="26"/>
  <c r="AC39" i="26"/>
  <c r="N39" i="26"/>
  <c r="AD39" i="26"/>
  <c r="R39" i="26"/>
  <c r="F39" i="26"/>
  <c r="V39" i="26"/>
  <c r="Z39" i="26"/>
  <c r="AJ35" i="26"/>
  <c r="AM35" i="26"/>
  <c r="AG35" i="26"/>
  <c r="AS35" i="26" s="1"/>
  <c r="AT35" i="26" s="1"/>
  <c r="C35" i="26"/>
  <c r="G35" i="26"/>
  <c r="K35" i="26"/>
  <c r="O35" i="26"/>
  <c r="S35" i="26"/>
  <c r="W35" i="26"/>
  <c r="AA35" i="26"/>
  <c r="AE35" i="26"/>
  <c r="D35" i="26"/>
  <c r="H35" i="26"/>
  <c r="L35" i="26"/>
  <c r="P35" i="26"/>
  <c r="T35" i="26"/>
  <c r="X35" i="26"/>
  <c r="AB35" i="26"/>
  <c r="AV35" i="26" s="1"/>
  <c r="AW35" i="26" s="1"/>
  <c r="AF35" i="26"/>
  <c r="E35" i="26"/>
  <c r="I35" i="26"/>
  <c r="M35" i="26"/>
  <c r="Q35" i="26"/>
  <c r="U35" i="26"/>
  <c r="Y35" i="26"/>
  <c r="AC35" i="26"/>
  <c r="F35" i="26"/>
  <c r="V35" i="26"/>
  <c r="J35" i="26"/>
  <c r="Z35" i="26"/>
  <c r="N35" i="26"/>
  <c r="AD35" i="26"/>
  <c r="R35" i="26"/>
  <c r="AM31" i="26"/>
  <c r="AJ31" i="26"/>
  <c r="AG31" i="26"/>
  <c r="AS31" i="26" s="1"/>
  <c r="AT31" i="26" s="1"/>
  <c r="C31" i="26"/>
  <c r="G31" i="26"/>
  <c r="K31" i="26"/>
  <c r="O31" i="26"/>
  <c r="S31" i="26"/>
  <c r="W31" i="26"/>
  <c r="AA31" i="26"/>
  <c r="AE31" i="26"/>
  <c r="D31" i="26"/>
  <c r="H31" i="26"/>
  <c r="L31" i="26"/>
  <c r="P31" i="26"/>
  <c r="T31" i="26"/>
  <c r="X31" i="26"/>
  <c r="AB31" i="26"/>
  <c r="AV31" i="26" s="1"/>
  <c r="AW31" i="26" s="1"/>
  <c r="AF31" i="26"/>
  <c r="E31" i="26"/>
  <c r="I31" i="26"/>
  <c r="M31" i="26"/>
  <c r="Q31" i="26"/>
  <c r="U31" i="26"/>
  <c r="Y31" i="26"/>
  <c r="AC31" i="26"/>
  <c r="N31" i="26"/>
  <c r="AD31" i="26"/>
  <c r="R31" i="26"/>
  <c r="F31" i="26"/>
  <c r="V31" i="26"/>
  <c r="J31" i="26"/>
  <c r="Z31" i="26"/>
  <c r="AJ27" i="26"/>
  <c r="AM27" i="26"/>
  <c r="AG27" i="26"/>
  <c r="AS27" i="26" s="1"/>
  <c r="AT27" i="26" s="1"/>
  <c r="AM23" i="26"/>
  <c r="AJ23" i="26"/>
  <c r="AG23" i="26"/>
  <c r="AS23" i="26" s="1"/>
  <c r="AT23" i="26" s="1"/>
  <c r="E23" i="26"/>
  <c r="I23" i="26"/>
  <c r="F23" i="26"/>
  <c r="J23" i="26"/>
  <c r="AJ19" i="26"/>
  <c r="AM19" i="26"/>
  <c r="AG19" i="26"/>
  <c r="AS19" i="26" s="1"/>
  <c r="AT19" i="26" s="1"/>
  <c r="E19" i="26"/>
  <c r="I19" i="26"/>
  <c r="M19" i="26"/>
  <c r="Q19" i="26"/>
  <c r="U19" i="26"/>
  <c r="Y19" i="26"/>
  <c r="AC19" i="26"/>
  <c r="F19" i="26"/>
  <c r="J19" i="26"/>
  <c r="N19" i="26"/>
  <c r="R19" i="26"/>
  <c r="V19" i="26"/>
  <c r="Z19" i="26"/>
  <c r="AD19" i="26"/>
  <c r="AM15" i="26"/>
  <c r="AJ15" i="26"/>
  <c r="AG15" i="26"/>
  <c r="AS15" i="26" s="1"/>
  <c r="AT15" i="26" s="1"/>
  <c r="E15" i="26"/>
  <c r="I15" i="26"/>
  <c r="M15" i="26"/>
  <c r="Q15" i="26"/>
  <c r="U15" i="26"/>
  <c r="Y15" i="26"/>
  <c r="AC15" i="26"/>
  <c r="F15" i="26"/>
  <c r="J15" i="26"/>
  <c r="N15" i="26"/>
  <c r="R15" i="26"/>
  <c r="V15" i="26"/>
  <c r="Z15" i="26"/>
  <c r="AD15" i="26"/>
  <c r="AJ11" i="26"/>
  <c r="AM11" i="26"/>
  <c r="AG11" i="26"/>
  <c r="AS11" i="26" s="1"/>
  <c r="AT11" i="26" s="1"/>
  <c r="E11" i="26"/>
  <c r="I11" i="26"/>
  <c r="M11" i="26"/>
  <c r="Q11" i="26"/>
  <c r="U11" i="26"/>
  <c r="Y11" i="26"/>
  <c r="AC11" i="26"/>
  <c r="F11" i="26"/>
  <c r="J11" i="26"/>
  <c r="N11" i="26"/>
  <c r="R11" i="26"/>
  <c r="V11" i="26"/>
  <c r="Z11" i="26"/>
  <c r="AD11" i="26"/>
  <c r="AM7" i="26"/>
  <c r="AJ7" i="26"/>
  <c r="AG7" i="26"/>
  <c r="AS7" i="26" s="1"/>
  <c r="AT7" i="26" s="1"/>
  <c r="E7" i="26"/>
  <c r="I7" i="26"/>
  <c r="M7" i="26"/>
  <c r="Q7" i="26"/>
  <c r="U7" i="26"/>
  <c r="Y7" i="26"/>
  <c r="AC7" i="26"/>
  <c r="F7" i="26"/>
  <c r="J7" i="26"/>
  <c r="N7" i="26"/>
  <c r="R7" i="26"/>
  <c r="V7" i="26"/>
  <c r="Z7" i="26"/>
  <c r="AD7" i="26"/>
  <c r="AD3" i="26"/>
  <c r="Z3" i="26"/>
  <c r="V3" i="26"/>
  <c r="R3" i="26"/>
  <c r="N3" i="26"/>
  <c r="J3" i="26"/>
  <c r="F3" i="26"/>
  <c r="AE29" i="26"/>
  <c r="AA29" i="26"/>
  <c r="W29" i="26"/>
  <c r="S29" i="26"/>
  <c r="O29" i="26"/>
  <c r="K29" i="26"/>
  <c r="G29" i="26"/>
  <c r="C29" i="26"/>
  <c r="AC28" i="26"/>
  <c r="Y28" i="26"/>
  <c r="U28" i="26"/>
  <c r="Q28" i="26"/>
  <c r="M28" i="26"/>
  <c r="I28" i="26"/>
  <c r="E28" i="26"/>
  <c r="AE27" i="26"/>
  <c r="AA27" i="26"/>
  <c r="W27" i="26"/>
  <c r="S27" i="26"/>
  <c r="O27" i="26"/>
  <c r="K27" i="26"/>
  <c r="G27" i="26"/>
  <c r="C27" i="26"/>
  <c r="AC26" i="26"/>
  <c r="Y26" i="26"/>
  <c r="U26" i="26"/>
  <c r="Q26" i="26"/>
  <c r="M26" i="26"/>
  <c r="I26" i="26"/>
  <c r="AE25" i="26"/>
  <c r="AA25" i="26"/>
  <c r="W25" i="26"/>
  <c r="S25" i="26"/>
  <c r="O25" i="26"/>
  <c r="K25" i="26"/>
  <c r="G25" i="26"/>
  <c r="C25" i="26"/>
  <c r="AC24" i="26"/>
  <c r="Y24" i="26"/>
  <c r="U24" i="26"/>
  <c r="Q24" i="26"/>
  <c r="M24" i="26"/>
  <c r="I24" i="26"/>
  <c r="AE23" i="26"/>
  <c r="AA23" i="26"/>
  <c r="W23" i="26"/>
  <c r="S23" i="26"/>
  <c r="O23" i="26"/>
  <c r="K23" i="26"/>
  <c r="C23" i="26"/>
  <c r="Y22" i="26"/>
  <c r="Q22" i="26"/>
  <c r="AE21" i="26"/>
  <c r="W21" i="26"/>
  <c r="O21" i="26"/>
  <c r="AC20" i="26"/>
  <c r="U20" i="26"/>
  <c r="M20" i="26"/>
  <c r="E20" i="26"/>
  <c r="AA19" i="26"/>
  <c r="S19" i="26"/>
  <c r="K19" i="26"/>
  <c r="C19" i="26"/>
  <c r="Y18" i="26"/>
  <c r="Q18" i="26"/>
  <c r="AE17" i="26"/>
  <c r="W17" i="26"/>
  <c r="O17" i="26"/>
  <c r="G17" i="26"/>
  <c r="AC16" i="26"/>
  <c r="U16" i="26"/>
  <c r="M16" i="26"/>
  <c r="E16" i="26"/>
  <c r="AA15" i="26"/>
  <c r="S15" i="26"/>
  <c r="K15" i="26"/>
  <c r="C15" i="26"/>
  <c r="Y14" i="26"/>
  <c r="Q14" i="26"/>
  <c r="AE13" i="26"/>
  <c r="W13" i="26"/>
  <c r="O13" i="26"/>
  <c r="AC12" i="26"/>
  <c r="U12" i="26"/>
  <c r="M12" i="26"/>
  <c r="AA11" i="26"/>
  <c r="S11" i="26"/>
  <c r="K11" i="26"/>
  <c r="C11" i="26"/>
  <c r="Y10" i="26"/>
  <c r="Q10" i="26"/>
  <c r="AE9" i="26"/>
  <c r="W9" i="26"/>
  <c r="O9" i="26"/>
  <c r="G9" i="26"/>
  <c r="AC8" i="26"/>
  <c r="U8" i="26"/>
  <c r="M8" i="26"/>
  <c r="E8" i="26"/>
  <c r="AA7" i="26"/>
  <c r="S7" i="26"/>
  <c r="K7" i="26"/>
  <c r="C7" i="26"/>
  <c r="Y6" i="26"/>
  <c r="Q6" i="26"/>
  <c r="AE5" i="26"/>
  <c r="W5" i="26"/>
  <c r="O5" i="26"/>
  <c r="G5" i="26"/>
  <c r="AC4" i="26"/>
  <c r="U4" i="26"/>
  <c r="M4" i="26"/>
  <c r="AA158" i="26"/>
  <c r="S158" i="26"/>
  <c r="K158" i="26"/>
  <c r="Y157" i="26"/>
  <c r="Q157" i="26"/>
  <c r="AE156" i="26"/>
  <c r="W156" i="26"/>
  <c r="O156" i="26"/>
  <c r="G156" i="26"/>
  <c r="AC155" i="26"/>
  <c r="U155" i="26"/>
  <c r="M155" i="26"/>
  <c r="E155" i="26"/>
  <c r="AA154" i="26"/>
  <c r="S154" i="26"/>
  <c r="K154" i="26"/>
  <c r="Y153" i="26"/>
  <c r="Q153" i="26"/>
  <c r="I153" i="26"/>
  <c r="AE152" i="26"/>
  <c r="W152" i="26"/>
  <c r="O152" i="26"/>
  <c r="AC151" i="26"/>
  <c r="U151" i="26"/>
  <c r="M151" i="26"/>
  <c r="E151" i="26"/>
  <c r="AA150" i="26"/>
  <c r="S150" i="26"/>
  <c r="K150" i="26"/>
  <c r="Y149" i="26"/>
  <c r="Q149" i="26"/>
  <c r="I149" i="26"/>
  <c r="AE148" i="26"/>
  <c r="W148" i="26"/>
  <c r="O148" i="26"/>
  <c r="G148" i="26"/>
  <c r="AC147" i="26"/>
  <c r="U147" i="26"/>
  <c r="M147" i="26"/>
  <c r="E147" i="26"/>
  <c r="AA146" i="26"/>
  <c r="S146" i="26"/>
  <c r="K146" i="26"/>
  <c r="Y145" i="26"/>
  <c r="Q145" i="26"/>
  <c r="I145" i="26"/>
  <c r="AE144" i="26"/>
  <c r="W144" i="26"/>
  <c r="O144" i="26"/>
  <c r="G144" i="26"/>
  <c r="AC143" i="26"/>
  <c r="U143" i="26"/>
  <c r="M143" i="26"/>
  <c r="E143" i="26"/>
  <c r="AA142" i="26"/>
  <c r="S142" i="26"/>
  <c r="K142" i="26"/>
  <c r="Y141" i="26"/>
  <c r="Q141" i="26"/>
  <c r="AE140" i="26"/>
  <c r="W140" i="26"/>
  <c r="O140" i="26"/>
  <c r="AC139" i="26"/>
  <c r="U139" i="26"/>
  <c r="M139" i="26"/>
  <c r="E139" i="26"/>
  <c r="AA138" i="26"/>
  <c r="S138" i="26"/>
  <c r="K138" i="26"/>
  <c r="Y137" i="26"/>
  <c r="Q137" i="26"/>
  <c r="I137" i="26"/>
  <c r="AE136" i="26"/>
  <c r="W136" i="26"/>
  <c r="O136" i="26"/>
  <c r="G136" i="26"/>
  <c r="AC135" i="26"/>
  <c r="U135" i="26"/>
  <c r="M135" i="26"/>
  <c r="E135" i="26"/>
  <c r="AA134" i="26"/>
  <c r="S134" i="26"/>
  <c r="K134" i="26"/>
  <c r="Y133" i="26"/>
  <c r="Q133" i="26"/>
  <c r="I133" i="26"/>
  <c r="AE132" i="26"/>
  <c r="W132" i="26"/>
  <c r="O132" i="26"/>
  <c r="G132" i="26"/>
  <c r="AC131" i="26"/>
  <c r="U131" i="26"/>
  <c r="M131" i="26"/>
  <c r="E131" i="26"/>
  <c r="AA130" i="26"/>
  <c r="S130" i="26"/>
  <c r="K130" i="26"/>
  <c r="Y129" i="26"/>
  <c r="Q129" i="26"/>
  <c r="AE128" i="26"/>
  <c r="W128" i="26"/>
  <c r="O128" i="26"/>
  <c r="AC127" i="26"/>
  <c r="U127" i="26"/>
  <c r="M127" i="26"/>
  <c r="E127" i="26"/>
  <c r="AA126" i="26"/>
  <c r="S126" i="26"/>
  <c r="K126" i="26"/>
  <c r="Y125" i="26"/>
  <c r="Q125" i="26"/>
  <c r="AE124" i="26"/>
  <c r="W124" i="26"/>
  <c r="O124" i="26"/>
  <c r="G124" i="26"/>
  <c r="AC123" i="26"/>
  <c r="U123" i="26"/>
  <c r="M123" i="26"/>
  <c r="E123" i="26"/>
  <c r="AA122" i="26"/>
  <c r="S122" i="26"/>
  <c r="K122" i="26"/>
  <c r="Y121" i="26"/>
  <c r="Q121" i="26"/>
  <c r="I121" i="26"/>
  <c r="AE120" i="26"/>
  <c r="W120" i="26"/>
  <c r="O120" i="26"/>
  <c r="G120" i="26"/>
  <c r="AC119" i="26"/>
  <c r="U119" i="26"/>
  <c r="M119" i="26"/>
  <c r="E119" i="26"/>
  <c r="AA118" i="26"/>
  <c r="S118" i="26"/>
  <c r="K118" i="26"/>
  <c r="Y117" i="26"/>
  <c r="Q117" i="26"/>
  <c r="I117" i="26"/>
  <c r="AE116" i="26"/>
  <c r="W116" i="26"/>
  <c r="O116" i="26"/>
  <c r="AC115" i="26"/>
  <c r="Q115" i="26"/>
  <c r="AE114" i="26"/>
  <c r="AC113" i="26"/>
  <c r="AA112" i="26"/>
  <c r="K112" i="26"/>
  <c r="Y111" i="26"/>
  <c r="I111" i="26"/>
  <c r="W110" i="26"/>
  <c r="U109" i="26"/>
  <c r="E109" i="26"/>
  <c r="S108" i="26"/>
  <c r="C108" i="26"/>
  <c r="Q107" i="26"/>
  <c r="AE106" i="26"/>
  <c r="AC105" i="26"/>
  <c r="M105" i="26"/>
  <c r="AA104" i="26"/>
  <c r="Y103" i="26"/>
  <c r="I103" i="26"/>
  <c r="W102" i="26"/>
  <c r="U101" i="26"/>
  <c r="S100" i="26"/>
  <c r="Q99" i="26"/>
  <c r="AE98" i="26"/>
  <c r="AC97" i="26"/>
  <c r="M97" i="26"/>
  <c r="AA96" i="26"/>
  <c r="K96" i="26"/>
  <c r="Y95" i="26"/>
  <c r="I95" i="26"/>
  <c r="W94" i="26"/>
  <c r="U93" i="26"/>
  <c r="K92" i="26"/>
  <c r="I91" i="26"/>
  <c r="E89" i="26"/>
  <c r="AC85" i="26"/>
  <c r="AA84" i="26"/>
  <c r="Y83" i="26"/>
  <c r="Q79" i="26"/>
  <c r="M77" i="26"/>
  <c r="K76" i="26"/>
  <c r="I75" i="26"/>
  <c r="E73" i="26"/>
  <c r="AA68" i="26"/>
  <c r="Y67" i="26"/>
  <c r="U65" i="26"/>
  <c r="Q63" i="26"/>
  <c r="M61" i="26"/>
  <c r="AI61" i="26" s="1"/>
  <c r="K60" i="26"/>
  <c r="I59" i="26"/>
  <c r="E57" i="26"/>
  <c r="C56" i="26"/>
  <c r="Y51" i="26"/>
  <c r="S48" i="26"/>
  <c r="J47" i="26"/>
  <c r="AB337" i="26"/>
  <c r="AV337" i="26" s="1"/>
  <c r="AW337" i="26" s="1"/>
  <c r="T333" i="26"/>
  <c r="L329" i="26"/>
  <c r="D325" i="26"/>
  <c r="Z320" i="26"/>
  <c r="J312" i="26"/>
  <c r="AF307" i="26"/>
  <c r="X303" i="26"/>
  <c r="P299" i="26"/>
  <c r="AA288" i="26"/>
  <c r="Y271" i="26"/>
  <c r="D233" i="26"/>
  <c r="AM353" i="26"/>
  <c r="AJ353" i="26"/>
  <c r="AG353" i="26"/>
  <c r="AS353" i="26" s="1"/>
  <c r="AT353" i="26" s="1"/>
  <c r="E353" i="26"/>
  <c r="I353" i="26"/>
  <c r="M353" i="26"/>
  <c r="Q353" i="26"/>
  <c r="U353" i="26"/>
  <c r="Y353" i="26"/>
  <c r="AC353" i="26"/>
  <c r="F353" i="26"/>
  <c r="J353" i="26"/>
  <c r="N353" i="26"/>
  <c r="R353" i="26"/>
  <c r="V353" i="26"/>
  <c r="Z353" i="26"/>
  <c r="AD353" i="26"/>
  <c r="C353" i="26"/>
  <c r="G353" i="26"/>
  <c r="K353" i="26"/>
  <c r="O353" i="26"/>
  <c r="S353" i="26"/>
  <c r="W353" i="26"/>
  <c r="AA353" i="26"/>
  <c r="AE353" i="26"/>
  <c r="P353" i="26"/>
  <c r="AF353" i="26"/>
  <c r="D353" i="26"/>
  <c r="T353" i="26"/>
  <c r="H353" i="26"/>
  <c r="X353" i="26"/>
  <c r="AB353" i="26"/>
  <c r="AV353" i="26" s="1"/>
  <c r="AW353" i="26" s="1"/>
  <c r="AM341" i="26"/>
  <c r="AJ341" i="26"/>
  <c r="AG341" i="26"/>
  <c r="AS341" i="26" s="1"/>
  <c r="AT341" i="26" s="1"/>
  <c r="E341" i="26"/>
  <c r="I341" i="26"/>
  <c r="M341" i="26"/>
  <c r="Q341" i="26"/>
  <c r="U341" i="26"/>
  <c r="Y341" i="26"/>
  <c r="AC341" i="26"/>
  <c r="F341" i="26"/>
  <c r="J341" i="26"/>
  <c r="N341" i="26"/>
  <c r="R341" i="26"/>
  <c r="V341" i="26"/>
  <c r="Z341" i="26"/>
  <c r="AD341" i="26"/>
  <c r="C341" i="26"/>
  <c r="G341" i="26"/>
  <c r="K341" i="26"/>
  <c r="O341" i="26"/>
  <c r="S341" i="26"/>
  <c r="W341" i="26"/>
  <c r="AA341" i="26"/>
  <c r="AE341" i="26"/>
  <c r="H341" i="26"/>
  <c r="X341" i="26"/>
  <c r="L341" i="26"/>
  <c r="AB341" i="26"/>
  <c r="AV341" i="26" s="1"/>
  <c r="AW341" i="26" s="1"/>
  <c r="P341" i="26"/>
  <c r="AF341" i="26"/>
  <c r="D341" i="26"/>
  <c r="T341" i="26"/>
  <c r="AM321" i="26"/>
  <c r="AJ321" i="26"/>
  <c r="AG321" i="26"/>
  <c r="AS321" i="26" s="1"/>
  <c r="AT321" i="26" s="1"/>
  <c r="E321" i="26"/>
  <c r="I321" i="26"/>
  <c r="M321" i="26"/>
  <c r="Q321" i="26"/>
  <c r="U321" i="26"/>
  <c r="Y321" i="26"/>
  <c r="AC321" i="26"/>
  <c r="F321" i="26"/>
  <c r="J321" i="26"/>
  <c r="N321" i="26"/>
  <c r="R321" i="26"/>
  <c r="V321" i="26"/>
  <c r="Z321" i="26"/>
  <c r="AD321" i="26"/>
  <c r="C321" i="26"/>
  <c r="G321" i="26"/>
  <c r="K321" i="26"/>
  <c r="O321" i="26"/>
  <c r="S321" i="26"/>
  <c r="W321" i="26"/>
  <c r="AA321" i="26"/>
  <c r="AE321" i="26"/>
  <c r="P321" i="26"/>
  <c r="AF321" i="26"/>
  <c r="D321" i="26"/>
  <c r="T321" i="26"/>
  <c r="H321" i="26"/>
  <c r="X321" i="26"/>
  <c r="AB321" i="26"/>
  <c r="AV321" i="26" s="1"/>
  <c r="AW321" i="26" s="1"/>
  <c r="AM309" i="26"/>
  <c r="AJ309" i="26"/>
  <c r="AG309" i="26"/>
  <c r="AS309" i="26" s="1"/>
  <c r="AT309" i="26" s="1"/>
  <c r="E309" i="26"/>
  <c r="I309" i="26"/>
  <c r="M309" i="26"/>
  <c r="Q309" i="26"/>
  <c r="U309" i="26"/>
  <c r="Y309" i="26"/>
  <c r="AC309" i="26"/>
  <c r="F309" i="26"/>
  <c r="J309" i="26"/>
  <c r="N309" i="26"/>
  <c r="R309" i="26"/>
  <c r="V309" i="26"/>
  <c r="Z309" i="26"/>
  <c r="AD309" i="26"/>
  <c r="C309" i="26"/>
  <c r="G309" i="26"/>
  <c r="K309" i="26"/>
  <c r="O309" i="26"/>
  <c r="S309" i="26"/>
  <c r="W309" i="26"/>
  <c r="AA309" i="26"/>
  <c r="AE309" i="26"/>
  <c r="H309" i="26"/>
  <c r="X309" i="26"/>
  <c r="L309" i="26"/>
  <c r="AB309" i="26"/>
  <c r="AV309" i="26" s="1"/>
  <c r="AW309" i="26" s="1"/>
  <c r="P309" i="26"/>
  <c r="AF309" i="26"/>
  <c r="D309" i="26"/>
  <c r="T309" i="26"/>
  <c r="AM297" i="26"/>
  <c r="AJ297" i="26"/>
  <c r="AG297" i="26"/>
  <c r="AS297" i="26" s="1"/>
  <c r="AT297" i="26" s="1"/>
  <c r="C297" i="26"/>
  <c r="G297" i="26"/>
  <c r="K297" i="26"/>
  <c r="O297" i="26"/>
  <c r="S297" i="26"/>
  <c r="D297" i="26"/>
  <c r="H297" i="26"/>
  <c r="L297" i="26"/>
  <c r="P297" i="26"/>
  <c r="T297" i="26"/>
  <c r="E297" i="26"/>
  <c r="M297" i="26"/>
  <c r="U297" i="26"/>
  <c r="Y297" i="26"/>
  <c r="AC297" i="26"/>
  <c r="F297" i="26"/>
  <c r="N297" i="26"/>
  <c r="V297" i="26"/>
  <c r="Z297" i="26"/>
  <c r="AD297" i="26"/>
  <c r="I297" i="26"/>
  <c r="Q297" i="26"/>
  <c r="W297" i="26"/>
  <c r="AA297" i="26"/>
  <c r="AE297" i="26"/>
  <c r="J297" i="26"/>
  <c r="AF297" i="26"/>
  <c r="R297" i="26"/>
  <c r="X297" i="26"/>
  <c r="AM285" i="26"/>
  <c r="AJ285" i="26"/>
  <c r="AG285" i="26"/>
  <c r="AS285" i="26" s="1"/>
  <c r="AT285" i="26" s="1"/>
  <c r="F285" i="26"/>
  <c r="J285" i="26"/>
  <c r="N285" i="26"/>
  <c r="R285" i="26"/>
  <c r="V285" i="26"/>
  <c r="Z285" i="26"/>
  <c r="AD285" i="26"/>
  <c r="C285" i="26"/>
  <c r="G285" i="26"/>
  <c r="K285" i="26"/>
  <c r="O285" i="26"/>
  <c r="S285" i="26"/>
  <c r="W285" i="26"/>
  <c r="AA285" i="26"/>
  <c r="AE285" i="26"/>
  <c r="D285" i="26"/>
  <c r="H285" i="26"/>
  <c r="L285" i="26"/>
  <c r="P285" i="26"/>
  <c r="T285" i="26"/>
  <c r="X285" i="26"/>
  <c r="AB285" i="26"/>
  <c r="AV285" i="26" s="1"/>
  <c r="AW285" i="26" s="1"/>
  <c r="AF285" i="26"/>
  <c r="I285" i="26"/>
  <c r="Y285" i="26"/>
  <c r="M285" i="26"/>
  <c r="AC285" i="26"/>
  <c r="Q285" i="26"/>
  <c r="E285" i="26"/>
  <c r="U285" i="26"/>
  <c r="AM273" i="26"/>
  <c r="AJ273" i="26"/>
  <c r="AG273" i="26"/>
  <c r="AS273" i="26" s="1"/>
  <c r="AT273" i="26" s="1"/>
  <c r="F273" i="26"/>
  <c r="J273" i="26"/>
  <c r="N273" i="26"/>
  <c r="R273" i="26"/>
  <c r="V273" i="26"/>
  <c r="Z273" i="26"/>
  <c r="AD273" i="26"/>
  <c r="C273" i="26"/>
  <c r="G273" i="26"/>
  <c r="K273" i="26"/>
  <c r="O273" i="26"/>
  <c r="S273" i="26"/>
  <c r="W273" i="26"/>
  <c r="AA273" i="26"/>
  <c r="AE273" i="26"/>
  <c r="D273" i="26"/>
  <c r="H273" i="26"/>
  <c r="L273" i="26"/>
  <c r="P273" i="26"/>
  <c r="T273" i="26"/>
  <c r="X273" i="26"/>
  <c r="AB273" i="26"/>
  <c r="AV273" i="26" s="1"/>
  <c r="AW273" i="26" s="1"/>
  <c r="AF273" i="26"/>
  <c r="Q273" i="26"/>
  <c r="E273" i="26"/>
  <c r="U273" i="26"/>
  <c r="I273" i="26"/>
  <c r="Y273" i="26"/>
  <c r="M273" i="26"/>
  <c r="AJ261" i="26"/>
  <c r="AG261" i="26"/>
  <c r="AS261" i="26" s="1"/>
  <c r="AT261" i="26" s="1"/>
  <c r="AM261" i="26"/>
  <c r="F261" i="26"/>
  <c r="J261" i="26"/>
  <c r="N261" i="26"/>
  <c r="R261" i="26"/>
  <c r="V261" i="26"/>
  <c r="Z261" i="26"/>
  <c r="AD261" i="26"/>
  <c r="C261" i="26"/>
  <c r="G261" i="26"/>
  <c r="K261" i="26"/>
  <c r="O261" i="26"/>
  <c r="S261" i="26"/>
  <c r="W261" i="26"/>
  <c r="AA261" i="26"/>
  <c r="AE261" i="26"/>
  <c r="H261" i="26"/>
  <c r="P261" i="26"/>
  <c r="X261" i="26"/>
  <c r="AF261" i="26"/>
  <c r="I261" i="26"/>
  <c r="Q261" i="26"/>
  <c r="Y261" i="26"/>
  <c r="D261" i="26"/>
  <c r="L261" i="26"/>
  <c r="T261" i="26"/>
  <c r="AB261" i="26"/>
  <c r="AV261" i="26" s="1"/>
  <c r="AW261" i="26" s="1"/>
  <c r="M261" i="26"/>
  <c r="U261" i="26"/>
  <c r="AC261" i="26"/>
  <c r="E261" i="26"/>
  <c r="AM249" i="26"/>
  <c r="AJ249" i="26"/>
  <c r="AG249" i="26"/>
  <c r="AS249" i="26" s="1"/>
  <c r="AT249" i="26" s="1"/>
  <c r="E249" i="26"/>
  <c r="I249" i="26"/>
  <c r="M249" i="26"/>
  <c r="Q249" i="26"/>
  <c r="U249" i="26"/>
  <c r="Y249" i="26"/>
  <c r="AC249" i="26"/>
  <c r="F249" i="26"/>
  <c r="J249" i="26"/>
  <c r="N249" i="26"/>
  <c r="R249" i="26"/>
  <c r="V249" i="26"/>
  <c r="Z249" i="26"/>
  <c r="AD249" i="26"/>
  <c r="C249" i="26"/>
  <c r="G249" i="26"/>
  <c r="K249" i="26"/>
  <c r="O249" i="26"/>
  <c r="S249" i="26"/>
  <c r="W249" i="26"/>
  <c r="AA249" i="26"/>
  <c r="AE249" i="26"/>
  <c r="H249" i="26"/>
  <c r="X249" i="26"/>
  <c r="L249" i="26"/>
  <c r="AB249" i="26"/>
  <c r="AV249" i="26" s="1"/>
  <c r="AW249" i="26" s="1"/>
  <c r="P249" i="26"/>
  <c r="AF249" i="26"/>
  <c r="D249" i="26"/>
  <c r="T249" i="26"/>
  <c r="AM241" i="26"/>
  <c r="AJ241" i="26"/>
  <c r="AG241" i="26"/>
  <c r="AS241" i="26" s="1"/>
  <c r="AT241" i="26" s="1"/>
  <c r="E241" i="26"/>
  <c r="I241" i="26"/>
  <c r="M241" i="26"/>
  <c r="Q241" i="26"/>
  <c r="U241" i="26"/>
  <c r="Y241" i="26"/>
  <c r="AC241" i="26"/>
  <c r="F241" i="26"/>
  <c r="J241" i="26"/>
  <c r="N241" i="26"/>
  <c r="R241" i="26"/>
  <c r="V241" i="26"/>
  <c r="Z241" i="26"/>
  <c r="AD241" i="26"/>
  <c r="C241" i="26"/>
  <c r="G241" i="26"/>
  <c r="K241" i="26"/>
  <c r="O241" i="26"/>
  <c r="S241" i="26"/>
  <c r="W241" i="26"/>
  <c r="AA241" i="26"/>
  <c r="AE241" i="26"/>
  <c r="H241" i="26"/>
  <c r="X241" i="26"/>
  <c r="L241" i="26"/>
  <c r="AB241" i="26"/>
  <c r="AV241" i="26" s="1"/>
  <c r="AW241" i="26" s="1"/>
  <c r="P241" i="26"/>
  <c r="AF241" i="26"/>
  <c r="D241" i="26"/>
  <c r="AJ229" i="26"/>
  <c r="AM229" i="26"/>
  <c r="AG229" i="26"/>
  <c r="AS229" i="26" s="1"/>
  <c r="AT229" i="26" s="1"/>
  <c r="F229" i="26"/>
  <c r="J229" i="26"/>
  <c r="N229" i="26"/>
  <c r="R229" i="26"/>
  <c r="V229" i="26"/>
  <c r="Z229" i="26"/>
  <c r="C229" i="26"/>
  <c r="G229" i="26"/>
  <c r="K229" i="26"/>
  <c r="O229" i="26"/>
  <c r="S229" i="26"/>
  <c r="W229" i="26"/>
  <c r="AA229" i="26"/>
  <c r="AE229" i="26"/>
  <c r="D229" i="26"/>
  <c r="H229" i="26"/>
  <c r="L229" i="26"/>
  <c r="P229" i="26"/>
  <c r="T229" i="26"/>
  <c r="X229" i="26"/>
  <c r="AB229" i="26"/>
  <c r="AV229" i="26" s="1"/>
  <c r="AW229" i="26" s="1"/>
  <c r="AF229" i="26"/>
  <c r="E229" i="26"/>
  <c r="U229" i="26"/>
  <c r="I229" i="26"/>
  <c r="Y229" i="26"/>
  <c r="M229" i="26"/>
  <c r="AC229" i="26"/>
  <c r="Q229" i="26"/>
  <c r="AD229" i="26"/>
  <c r="AM213" i="26"/>
  <c r="AJ213" i="26"/>
  <c r="AG213" i="26"/>
  <c r="AS213" i="26" s="1"/>
  <c r="AT213" i="26" s="1"/>
  <c r="F213" i="26"/>
  <c r="J213" i="26"/>
  <c r="N213" i="26"/>
  <c r="R213" i="26"/>
  <c r="V213" i="26"/>
  <c r="Z213" i="26"/>
  <c r="AD213" i="26"/>
  <c r="C213" i="26"/>
  <c r="G213" i="26"/>
  <c r="K213" i="26"/>
  <c r="O213" i="26"/>
  <c r="S213" i="26"/>
  <c r="W213" i="26"/>
  <c r="AA213" i="26"/>
  <c r="AE213" i="26"/>
  <c r="D213" i="26"/>
  <c r="H213" i="26"/>
  <c r="L213" i="26"/>
  <c r="P213" i="26"/>
  <c r="T213" i="26"/>
  <c r="X213" i="26"/>
  <c r="AB213" i="26"/>
  <c r="AV213" i="26" s="1"/>
  <c r="AW213" i="26" s="1"/>
  <c r="AF213" i="26"/>
  <c r="E213" i="26"/>
  <c r="U213" i="26"/>
  <c r="I213" i="26"/>
  <c r="Y213" i="26"/>
  <c r="M213" i="26"/>
  <c r="AC213" i="26"/>
  <c r="Q213" i="26"/>
  <c r="AM201" i="26"/>
  <c r="AJ201" i="26"/>
  <c r="AG201" i="26"/>
  <c r="AS201" i="26" s="1"/>
  <c r="AT201" i="26" s="1"/>
  <c r="F201" i="26"/>
  <c r="J201" i="26"/>
  <c r="N201" i="26"/>
  <c r="R201" i="26"/>
  <c r="V201" i="26"/>
  <c r="Z201" i="26"/>
  <c r="AD201" i="26"/>
  <c r="C201" i="26"/>
  <c r="G201" i="26"/>
  <c r="K201" i="26"/>
  <c r="O201" i="26"/>
  <c r="S201" i="26"/>
  <c r="W201" i="26"/>
  <c r="AA201" i="26"/>
  <c r="AE201" i="26"/>
  <c r="D201" i="26"/>
  <c r="H201" i="26"/>
  <c r="L201" i="26"/>
  <c r="P201" i="26"/>
  <c r="T201" i="26"/>
  <c r="X201" i="26"/>
  <c r="AB201" i="26"/>
  <c r="AV201" i="26" s="1"/>
  <c r="AW201" i="26" s="1"/>
  <c r="AF201" i="26"/>
  <c r="M201" i="26"/>
  <c r="AC201" i="26"/>
  <c r="Q201" i="26"/>
  <c r="E201" i="26"/>
  <c r="U201" i="26"/>
  <c r="Y201" i="26"/>
  <c r="I201" i="26"/>
  <c r="AM189" i="26"/>
  <c r="AJ189" i="26"/>
  <c r="AG189" i="26"/>
  <c r="AS189" i="26" s="1"/>
  <c r="AT189" i="26" s="1"/>
  <c r="E189" i="26"/>
  <c r="I189" i="26"/>
  <c r="M189" i="26"/>
  <c r="Q189" i="26"/>
  <c r="U189" i="26"/>
  <c r="Y189" i="26"/>
  <c r="AC189" i="26"/>
  <c r="F189" i="26"/>
  <c r="J189" i="26"/>
  <c r="N189" i="26"/>
  <c r="R189" i="26"/>
  <c r="V189" i="26"/>
  <c r="Z189" i="26"/>
  <c r="AD189" i="26"/>
  <c r="C189" i="26"/>
  <c r="G189" i="26"/>
  <c r="K189" i="26"/>
  <c r="O189" i="26"/>
  <c r="S189" i="26"/>
  <c r="W189" i="26"/>
  <c r="AA189" i="26"/>
  <c r="AE189" i="26"/>
  <c r="D189" i="26"/>
  <c r="T189" i="26"/>
  <c r="H189" i="26"/>
  <c r="X189" i="26"/>
  <c r="L189" i="26"/>
  <c r="AB189" i="26"/>
  <c r="AV189" i="26" s="1"/>
  <c r="AW189" i="26" s="1"/>
  <c r="P189" i="26"/>
  <c r="AF189" i="26"/>
  <c r="AM177" i="26"/>
  <c r="AJ177" i="26"/>
  <c r="AG177" i="26"/>
  <c r="AS177" i="26" s="1"/>
  <c r="AT177" i="26" s="1"/>
  <c r="E177" i="26"/>
  <c r="I177" i="26"/>
  <c r="M177" i="26"/>
  <c r="Q177" i="26"/>
  <c r="U177" i="26"/>
  <c r="Y177" i="26"/>
  <c r="AC177" i="26"/>
  <c r="F177" i="26"/>
  <c r="J177" i="26"/>
  <c r="N177" i="26"/>
  <c r="R177" i="26"/>
  <c r="V177" i="26"/>
  <c r="Z177" i="26"/>
  <c r="AD177" i="26"/>
  <c r="C177" i="26"/>
  <c r="G177" i="26"/>
  <c r="K177" i="26"/>
  <c r="O177" i="26"/>
  <c r="S177" i="26"/>
  <c r="W177" i="26"/>
  <c r="AA177" i="26"/>
  <c r="AE177" i="26"/>
  <c r="L177" i="26"/>
  <c r="AB177" i="26"/>
  <c r="AV177" i="26" s="1"/>
  <c r="AW177" i="26" s="1"/>
  <c r="P177" i="26"/>
  <c r="AF177" i="26"/>
  <c r="D177" i="26"/>
  <c r="T177" i="26"/>
  <c r="H177" i="26"/>
  <c r="X177" i="26"/>
  <c r="AJ165" i="26"/>
  <c r="AM165" i="26"/>
  <c r="AG165" i="26"/>
  <c r="AS165" i="26" s="1"/>
  <c r="AT165" i="26" s="1"/>
  <c r="D165" i="26"/>
  <c r="H165" i="26"/>
  <c r="L165" i="26"/>
  <c r="P165" i="26"/>
  <c r="T165" i="26"/>
  <c r="X165" i="26"/>
  <c r="AB165" i="26"/>
  <c r="AV165" i="26" s="1"/>
  <c r="AW165" i="26" s="1"/>
  <c r="AF165" i="26"/>
  <c r="E165" i="26"/>
  <c r="I165" i="26"/>
  <c r="M165" i="26"/>
  <c r="Q165" i="26"/>
  <c r="U165" i="26"/>
  <c r="Y165" i="26"/>
  <c r="AC165" i="26"/>
  <c r="F165" i="26"/>
  <c r="J165" i="26"/>
  <c r="N165" i="26"/>
  <c r="R165" i="26"/>
  <c r="V165" i="26"/>
  <c r="Z165" i="26"/>
  <c r="AD165" i="26"/>
  <c r="C165" i="26"/>
  <c r="S165" i="26"/>
  <c r="G165" i="26"/>
  <c r="W165" i="26"/>
  <c r="K165" i="26"/>
  <c r="AA165" i="26"/>
  <c r="O165" i="26"/>
  <c r="AE165" i="26"/>
  <c r="AM157" i="26"/>
  <c r="AJ157" i="26"/>
  <c r="AG157" i="26"/>
  <c r="AS157" i="26" s="1"/>
  <c r="AT157" i="26" s="1"/>
  <c r="C157" i="26"/>
  <c r="G157" i="26"/>
  <c r="K157" i="26"/>
  <c r="O157" i="26"/>
  <c r="S157" i="26"/>
  <c r="W157" i="26"/>
  <c r="AA157" i="26"/>
  <c r="AE157" i="26"/>
  <c r="D157" i="26"/>
  <c r="H157" i="26"/>
  <c r="L157" i="26"/>
  <c r="P157" i="26"/>
  <c r="T157" i="26"/>
  <c r="X157" i="26"/>
  <c r="AB157" i="26"/>
  <c r="AV157" i="26" s="1"/>
  <c r="AW157" i="26" s="1"/>
  <c r="AF157" i="26"/>
  <c r="AM141" i="26"/>
  <c r="AJ141" i="26"/>
  <c r="AG141" i="26"/>
  <c r="AS141" i="26" s="1"/>
  <c r="AT141" i="26" s="1"/>
  <c r="C141" i="26"/>
  <c r="G141" i="26"/>
  <c r="K141" i="26"/>
  <c r="O141" i="26"/>
  <c r="S141" i="26"/>
  <c r="W141" i="26"/>
  <c r="AA141" i="26"/>
  <c r="AE141" i="26"/>
  <c r="D141" i="26"/>
  <c r="H141" i="26"/>
  <c r="L141" i="26"/>
  <c r="P141" i="26"/>
  <c r="T141" i="26"/>
  <c r="X141" i="26"/>
  <c r="AB141" i="26"/>
  <c r="AV141" i="26" s="1"/>
  <c r="AW141" i="26" s="1"/>
  <c r="AF141" i="26"/>
  <c r="AM129" i="26"/>
  <c r="AJ129" i="26"/>
  <c r="AG129" i="26"/>
  <c r="AS129" i="26" s="1"/>
  <c r="AT129" i="26" s="1"/>
  <c r="C129" i="26"/>
  <c r="G129" i="26"/>
  <c r="K129" i="26"/>
  <c r="O129" i="26"/>
  <c r="S129" i="26"/>
  <c r="W129" i="26"/>
  <c r="AA129" i="26"/>
  <c r="AE129" i="26"/>
  <c r="D129" i="26"/>
  <c r="H129" i="26"/>
  <c r="L129" i="26"/>
  <c r="P129" i="26"/>
  <c r="T129" i="26"/>
  <c r="X129" i="26"/>
  <c r="AB129" i="26"/>
  <c r="AV129" i="26" s="1"/>
  <c r="AW129" i="26" s="1"/>
  <c r="AF129" i="26"/>
  <c r="AJ125" i="26"/>
  <c r="AM125" i="26"/>
  <c r="AG125" i="26"/>
  <c r="AS125" i="26" s="1"/>
  <c r="AT125" i="26" s="1"/>
  <c r="C125" i="26"/>
  <c r="G125" i="26"/>
  <c r="K125" i="26"/>
  <c r="O125" i="26"/>
  <c r="S125" i="26"/>
  <c r="W125" i="26"/>
  <c r="AA125" i="26"/>
  <c r="AE125" i="26"/>
  <c r="D125" i="26"/>
  <c r="H125" i="26"/>
  <c r="L125" i="26"/>
  <c r="P125" i="26"/>
  <c r="T125" i="26"/>
  <c r="X125" i="26"/>
  <c r="AB125" i="26"/>
  <c r="AV125" i="26" s="1"/>
  <c r="AW125" i="26" s="1"/>
  <c r="AF125" i="26"/>
  <c r="AM113" i="26"/>
  <c r="AJ113" i="26"/>
  <c r="AG113" i="26"/>
  <c r="AS113" i="26" s="1"/>
  <c r="AT113" i="26" s="1"/>
  <c r="F113" i="26"/>
  <c r="J113" i="26"/>
  <c r="N113" i="26"/>
  <c r="R113" i="26"/>
  <c r="V113" i="26"/>
  <c r="Z113" i="26"/>
  <c r="AD113" i="26"/>
  <c r="D113" i="26"/>
  <c r="H113" i="26"/>
  <c r="L113" i="26"/>
  <c r="P113" i="26"/>
  <c r="T113" i="26"/>
  <c r="X113" i="26"/>
  <c r="AB113" i="26"/>
  <c r="AV113" i="26" s="1"/>
  <c r="AW113" i="26" s="1"/>
  <c r="AF113" i="26"/>
  <c r="I113" i="26"/>
  <c r="Q113" i="26"/>
  <c r="Y113" i="26"/>
  <c r="C113" i="26"/>
  <c r="K113" i="26"/>
  <c r="S113" i="26"/>
  <c r="AA113" i="26"/>
  <c r="AM101" i="26"/>
  <c r="AJ101" i="26"/>
  <c r="AG101" i="26"/>
  <c r="AS101" i="26" s="1"/>
  <c r="AT101" i="26" s="1"/>
  <c r="F101" i="26"/>
  <c r="J101" i="26"/>
  <c r="N101" i="26"/>
  <c r="R101" i="26"/>
  <c r="V101" i="26"/>
  <c r="Z101" i="26"/>
  <c r="AD101" i="26"/>
  <c r="D101" i="26"/>
  <c r="H101" i="26"/>
  <c r="L101" i="26"/>
  <c r="P101" i="26"/>
  <c r="T101" i="26"/>
  <c r="X101" i="26"/>
  <c r="AB101" i="26"/>
  <c r="AV101" i="26" s="1"/>
  <c r="AW101" i="26" s="1"/>
  <c r="AF101" i="26"/>
  <c r="I101" i="26"/>
  <c r="Q101" i="26"/>
  <c r="Y101" i="26"/>
  <c r="C101" i="26"/>
  <c r="K101" i="26"/>
  <c r="S101" i="26"/>
  <c r="AA101" i="26"/>
  <c r="AJ93" i="26"/>
  <c r="AM93" i="26"/>
  <c r="AG93" i="26"/>
  <c r="AS93" i="26" s="1"/>
  <c r="AT93" i="26" s="1"/>
  <c r="F93" i="26"/>
  <c r="J93" i="26"/>
  <c r="N93" i="26"/>
  <c r="R93" i="26"/>
  <c r="V93" i="26"/>
  <c r="Z93" i="26"/>
  <c r="AD93" i="26"/>
  <c r="D93" i="26"/>
  <c r="H93" i="26"/>
  <c r="L93" i="26"/>
  <c r="P93" i="26"/>
  <c r="T93" i="26"/>
  <c r="X93" i="26"/>
  <c r="AB93" i="26"/>
  <c r="AV93" i="26" s="1"/>
  <c r="AW93" i="26" s="1"/>
  <c r="AF93" i="26"/>
  <c r="I93" i="26"/>
  <c r="Q93" i="26"/>
  <c r="Y93" i="26"/>
  <c r="C93" i="26"/>
  <c r="K93" i="26"/>
  <c r="S93" i="26"/>
  <c r="AA93" i="26"/>
  <c r="AM81" i="26"/>
  <c r="AJ81" i="26"/>
  <c r="AG81" i="26"/>
  <c r="AS81" i="26" s="1"/>
  <c r="AT81" i="26" s="1"/>
  <c r="F81" i="26"/>
  <c r="J81" i="26"/>
  <c r="N81" i="26"/>
  <c r="R81" i="26"/>
  <c r="V81" i="26"/>
  <c r="Z81" i="26"/>
  <c r="AD81" i="26"/>
  <c r="C81" i="26"/>
  <c r="G81" i="26"/>
  <c r="K81" i="26"/>
  <c r="O81" i="26"/>
  <c r="S81" i="26"/>
  <c r="W81" i="26"/>
  <c r="AA81" i="26"/>
  <c r="AE81" i="26"/>
  <c r="D81" i="26"/>
  <c r="H81" i="26"/>
  <c r="L81" i="26"/>
  <c r="P81" i="26"/>
  <c r="T81" i="26"/>
  <c r="X81" i="26"/>
  <c r="AB81" i="26"/>
  <c r="AV81" i="26" s="1"/>
  <c r="AW81" i="26" s="1"/>
  <c r="AF81" i="26"/>
  <c r="M81" i="26"/>
  <c r="AC81" i="26"/>
  <c r="Q81" i="26"/>
  <c r="AJ69" i="26"/>
  <c r="AM69" i="26"/>
  <c r="AG69" i="26"/>
  <c r="AS69" i="26" s="1"/>
  <c r="AT69" i="26" s="1"/>
  <c r="F69" i="26"/>
  <c r="J69" i="26"/>
  <c r="N69" i="26"/>
  <c r="R69" i="26"/>
  <c r="V69" i="26"/>
  <c r="Z69" i="26"/>
  <c r="AD69" i="26"/>
  <c r="C69" i="26"/>
  <c r="G69" i="26"/>
  <c r="K69" i="26"/>
  <c r="O69" i="26"/>
  <c r="S69" i="26"/>
  <c r="W69" i="26"/>
  <c r="AA69" i="26"/>
  <c r="AE69" i="26"/>
  <c r="D69" i="26"/>
  <c r="H69" i="26"/>
  <c r="L69" i="26"/>
  <c r="P69" i="26"/>
  <c r="T69" i="26"/>
  <c r="X69" i="26"/>
  <c r="AB69" i="26"/>
  <c r="AV69" i="26" s="1"/>
  <c r="AW69" i="26" s="1"/>
  <c r="AF69" i="26"/>
  <c r="E69" i="26"/>
  <c r="U69" i="26"/>
  <c r="I69" i="26"/>
  <c r="Y69" i="26"/>
  <c r="AM53" i="26"/>
  <c r="AG53" i="26"/>
  <c r="AS53" i="26" s="1"/>
  <c r="AT53" i="26" s="1"/>
  <c r="AJ53" i="26"/>
  <c r="F53" i="26"/>
  <c r="J53" i="26"/>
  <c r="N53" i="26"/>
  <c r="R53" i="26"/>
  <c r="V53" i="26"/>
  <c r="Z53" i="26"/>
  <c r="AD53" i="26"/>
  <c r="C53" i="26"/>
  <c r="G53" i="26"/>
  <c r="K53" i="26"/>
  <c r="O53" i="26"/>
  <c r="S53" i="26"/>
  <c r="W53" i="26"/>
  <c r="AA53" i="26"/>
  <c r="AE53" i="26"/>
  <c r="D53" i="26"/>
  <c r="H53" i="26"/>
  <c r="L53" i="26"/>
  <c r="P53" i="26"/>
  <c r="T53" i="26"/>
  <c r="X53" i="26"/>
  <c r="AB53" i="26"/>
  <c r="AV53" i="26" s="1"/>
  <c r="AW53" i="26" s="1"/>
  <c r="AF53" i="26"/>
  <c r="E53" i="26"/>
  <c r="U53" i="26"/>
  <c r="I53" i="26"/>
  <c r="Y53" i="26"/>
  <c r="AM49" i="26"/>
  <c r="AJ49" i="26"/>
  <c r="AG49" i="26"/>
  <c r="AS49" i="26" s="1"/>
  <c r="AT49" i="26" s="1"/>
  <c r="F49" i="26"/>
  <c r="J49" i="26"/>
  <c r="N49" i="26"/>
  <c r="R49" i="26"/>
  <c r="V49" i="26"/>
  <c r="Z49" i="26"/>
  <c r="AD49" i="26"/>
  <c r="C49" i="26"/>
  <c r="G49" i="26"/>
  <c r="K49" i="26"/>
  <c r="O49" i="26"/>
  <c r="S49" i="26"/>
  <c r="W49" i="26"/>
  <c r="AA49" i="26"/>
  <c r="AE49" i="26"/>
  <c r="D49" i="26"/>
  <c r="H49" i="26"/>
  <c r="L49" i="26"/>
  <c r="P49" i="26"/>
  <c r="T49" i="26"/>
  <c r="X49" i="26"/>
  <c r="AB49" i="26"/>
  <c r="AV49" i="26" s="1"/>
  <c r="AW49" i="26" s="1"/>
  <c r="AF49" i="26"/>
  <c r="M49" i="26"/>
  <c r="AC49" i="26"/>
  <c r="Q49" i="26"/>
  <c r="AM41" i="26"/>
  <c r="AJ41" i="26"/>
  <c r="AG41" i="26"/>
  <c r="AS41" i="26" s="1"/>
  <c r="AT41" i="26" s="1"/>
  <c r="C41" i="26"/>
  <c r="G41" i="26"/>
  <c r="K41" i="26"/>
  <c r="O41" i="26"/>
  <c r="S41" i="26"/>
  <c r="W41" i="26"/>
  <c r="AA41" i="26"/>
  <c r="AE41" i="26"/>
  <c r="D41" i="26"/>
  <c r="H41" i="26"/>
  <c r="L41" i="26"/>
  <c r="P41" i="26"/>
  <c r="T41" i="26"/>
  <c r="X41" i="26"/>
  <c r="AB41" i="26"/>
  <c r="AV41" i="26" s="1"/>
  <c r="AW41" i="26" s="1"/>
  <c r="AF41" i="26"/>
  <c r="E41" i="26"/>
  <c r="I41" i="26"/>
  <c r="M41" i="26"/>
  <c r="Q41" i="26"/>
  <c r="U41" i="26"/>
  <c r="Y41" i="26"/>
  <c r="AC41" i="26"/>
  <c r="R41" i="26"/>
  <c r="F41" i="26"/>
  <c r="V41" i="26"/>
  <c r="J41" i="26"/>
  <c r="Z41" i="26"/>
  <c r="AD41" i="26"/>
  <c r="AM33" i="26"/>
  <c r="AJ33" i="26"/>
  <c r="AG33" i="26"/>
  <c r="AS33" i="26" s="1"/>
  <c r="AT33" i="26" s="1"/>
  <c r="C33" i="26"/>
  <c r="G33" i="26"/>
  <c r="K33" i="26"/>
  <c r="O33" i="26"/>
  <c r="S33" i="26"/>
  <c r="W33" i="26"/>
  <c r="AA33" i="26"/>
  <c r="AE33" i="26"/>
  <c r="D33" i="26"/>
  <c r="H33" i="26"/>
  <c r="L33" i="26"/>
  <c r="P33" i="26"/>
  <c r="T33" i="26"/>
  <c r="X33" i="26"/>
  <c r="AB33" i="26"/>
  <c r="AV33" i="26" s="1"/>
  <c r="AW33" i="26" s="1"/>
  <c r="AF33" i="26"/>
  <c r="E33" i="26"/>
  <c r="I33" i="26"/>
  <c r="M33" i="26"/>
  <c r="Q33" i="26"/>
  <c r="U33" i="26"/>
  <c r="Y33" i="26"/>
  <c r="AC33" i="26"/>
  <c r="R33" i="26"/>
  <c r="F33" i="26"/>
  <c r="V33" i="26"/>
  <c r="J33" i="26"/>
  <c r="Z33" i="26"/>
  <c r="N33" i="26"/>
  <c r="AD33" i="26"/>
  <c r="AM21" i="26"/>
  <c r="AJ21" i="26"/>
  <c r="AG21" i="26"/>
  <c r="AS21" i="26" s="1"/>
  <c r="AT21" i="26" s="1"/>
  <c r="E21" i="26"/>
  <c r="I21" i="26"/>
  <c r="M21" i="26"/>
  <c r="Q21" i="26"/>
  <c r="U21" i="26"/>
  <c r="Y21" i="26"/>
  <c r="AC21" i="26"/>
  <c r="F21" i="26"/>
  <c r="J21" i="26"/>
  <c r="N21" i="26"/>
  <c r="R21" i="26"/>
  <c r="V21" i="26"/>
  <c r="Z21" i="26"/>
  <c r="AD21" i="26"/>
  <c r="AM13" i="26"/>
  <c r="AJ13" i="26"/>
  <c r="AG13" i="26"/>
  <c r="AS13" i="26" s="1"/>
  <c r="AT13" i="26" s="1"/>
  <c r="E13" i="26"/>
  <c r="I13" i="26"/>
  <c r="M13" i="26"/>
  <c r="Q13" i="26"/>
  <c r="U13" i="26"/>
  <c r="Y13" i="26"/>
  <c r="AC13" i="26"/>
  <c r="F13" i="26"/>
  <c r="J13" i="26"/>
  <c r="N13" i="26"/>
  <c r="R13" i="26"/>
  <c r="V13" i="26"/>
  <c r="Z13" i="26"/>
  <c r="AD13" i="26"/>
  <c r="AC25" i="26"/>
  <c r="U25" i="26"/>
  <c r="M25" i="26"/>
  <c r="I25" i="26"/>
  <c r="E25" i="26"/>
  <c r="AA13" i="26"/>
  <c r="S13" i="26"/>
  <c r="K13" i="26"/>
  <c r="C13" i="26"/>
  <c r="AC157" i="26"/>
  <c r="U157" i="26"/>
  <c r="M157" i="26"/>
  <c r="E157" i="26"/>
  <c r="U141" i="26"/>
  <c r="E141" i="26"/>
  <c r="AC129" i="26"/>
  <c r="U129" i="26"/>
  <c r="M129" i="26"/>
  <c r="E129" i="26"/>
  <c r="AC125" i="26"/>
  <c r="U125" i="26"/>
  <c r="M125" i="26"/>
  <c r="E125" i="26"/>
  <c r="AC121" i="26"/>
  <c r="U121" i="26"/>
  <c r="M121" i="26"/>
  <c r="E121" i="26"/>
  <c r="AC117" i="26"/>
  <c r="U117" i="26"/>
  <c r="M117" i="26"/>
  <c r="E117" i="26"/>
  <c r="E113" i="26"/>
  <c r="U105" i="26"/>
  <c r="E105" i="26"/>
  <c r="AC101" i="26"/>
  <c r="M101" i="26"/>
  <c r="U97" i="26"/>
  <c r="E97" i="26"/>
  <c r="M69" i="26"/>
  <c r="E65" i="26"/>
  <c r="U57" i="26"/>
  <c r="M53" i="26"/>
  <c r="AB305" i="26"/>
  <c r="AV305" i="26" s="1"/>
  <c r="AW305" i="26" s="1"/>
  <c r="T301" i="26"/>
  <c r="AM356" i="26"/>
  <c r="AJ356" i="26"/>
  <c r="AG356" i="26"/>
  <c r="AS356" i="26" s="1"/>
  <c r="AT356" i="26" s="1"/>
  <c r="C356" i="26"/>
  <c r="G356" i="26"/>
  <c r="K356" i="26"/>
  <c r="O356" i="26"/>
  <c r="S356" i="26"/>
  <c r="W356" i="26"/>
  <c r="AA356" i="26"/>
  <c r="AE356" i="26"/>
  <c r="D356" i="26"/>
  <c r="H356" i="26"/>
  <c r="L356" i="26"/>
  <c r="P356" i="26"/>
  <c r="T356" i="26"/>
  <c r="X356" i="26"/>
  <c r="AB356" i="26"/>
  <c r="AV356" i="26" s="1"/>
  <c r="AW356" i="26" s="1"/>
  <c r="AF356" i="26"/>
  <c r="E356" i="26"/>
  <c r="I356" i="26"/>
  <c r="M356" i="26"/>
  <c r="Q356" i="26"/>
  <c r="U356" i="26"/>
  <c r="Y356" i="26"/>
  <c r="AC356" i="26"/>
  <c r="F356" i="26"/>
  <c r="V356" i="26"/>
  <c r="J356" i="26"/>
  <c r="Z356" i="26"/>
  <c r="N356" i="26"/>
  <c r="AD356" i="26"/>
  <c r="R356" i="26"/>
  <c r="AM344" i="26"/>
  <c r="AJ344" i="26"/>
  <c r="AG344" i="26"/>
  <c r="AS344" i="26" s="1"/>
  <c r="AT344" i="26" s="1"/>
  <c r="C344" i="26"/>
  <c r="G344" i="26"/>
  <c r="K344" i="26"/>
  <c r="O344" i="26"/>
  <c r="S344" i="26"/>
  <c r="W344" i="26"/>
  <c r="AA344" i="26"/>
  <c r="AE344" i="26"/>
  <c r="D344" i="26"/>
  <c r="H344" i="26"/>
  <c r="L344" i="26"/>
  <c r="P344" i="26"/>
  <c r="T344" i="26"/>
  <c r="X344" i="26"/>
  <c r="AB344" i="26"/>
  <c r="AV344" i="26" s="1"/>
  <c r="AW344" i="26" s="1"/>
  <c r="AF344" i="26"/>
  <c r="E344" i="26"/>
  <c r="I344" i="26"/>
  <c r="M344" i="26"/>
  <c r="Q344" i="26"/>
  <c r="U344" i="26"/>
  <c r="Y344" i="26"/>
  <c r="AC344" i="26"/>
  <c r="N344" i="26"/>
  <c r="AD344" i="26"/>
  <c r="R344" i="26"/>
  <c r="F344" i="26"/>
  <c r="V344" i="26"/>
  <c r="AM332" i="26"/>
  <c r="AJ332" i="26"/>
  <c r="AG332" i="26"/>
  <c r="AS332" i="26" s="1"/>
  <c r="AT332" i="26" s="1"/>
  <c r="C332" i="26"/>
  <c r="G332" i="26"/>
  <c r="K332" i="26"/>
  <c r="O332" i="26"/>
  <c r="S332" i="26"/>
  <c r="W332" i="26"/>
  <c r="AA332" i="26"/>
  <c r="AE332" i="26"/>
  <c r="D332" i="26"/>
  <c r="H332" i="26"/>
  <c r="L332" i="26"/>
  <c r="P332" i="26"/>
  <c r="T332" i="26"/>
  <c r="X332" i="26"/>
  <c r="AB332" i="26"/>
  <c r="AV332" i="26" s="1"/>
  <c r="AW332" i="26" s="1"/>
  <c r="AF332" i="26"/>
  <c r="E332" i="26"/>
  <c r="I332" i="26"/>
  <c r="M332" i="26"/>
  <c r="Q332" i="26"/>
  <c r="U332" i="26"/>
  <c r="Y332" i="26"/>
  <c r="AC332" i="26"/>
  <c r="F332" i="26"/>
  <c r="V332" i="26"/>
  <c r="J332" i="26"/>
  <c r="Z332" i="26"/>
  <c r="N332" i="26"/>
  <c r="AD332" i="26"/>
  <c r="R332" i="26"/>
  <c r="AM316" i="26"/>
  <c r="AJ316" i="26"/>
  <c r="AG316" i="26"/>
  <c r="AS316" i="26" s="1"/>
  <c r="AT316" i="26" s="1"/>
  <c r="C316" i="26"/>
  <c r="G316" i="26"/>
  <c r="K316" i="26"/>
  <c r="O316" i="26"/>
  <c r="S316" i="26"/>
  <c r="W316" i="26"/>
  <c r="AA316" i="26"/>
  <c r="AE316" i="26"/>
  <c r="D316" i="26"/>
  <c r="H316" i="26"/>
  <c r="L316" i="26"/>
  <c r="P316" i="26"/>
  <c r="T316" i="26"/>
  <c r="X316" i="26"/>
  <c r="AB316" i="26"/>
  <c r="AV316" i="26" s="1"/>
  <c r="AW316" i="26" s="1"/>
  <c r="AF316" i="26"/>
  <c r="E316" i="26"/>
  <c r="I316" i="26"/>
  <c r="M316" i="26"/>
  <c r="Q316" i="26"/>
  <c r="U316" i="26"/>
  <c r="Y316" i="26"/>
  <c r="AC316" i="26"/>
  <c r="F316" i="26"/>
  <c r="V316" i="26"/>
  <c r="J316" i="26"/>
  <c r="Z316" i="26"/>
  <c r="N316" i="26"/>
  <c r="AD316" i="26"/>
  <c r="AM304" i="26"/>
  <c r="AJ304" i="26"/>
  <c r="AG304" i="26"/>
  <c r="AS304" i="26" s="1"/>
  <c r="AT304" i="26" s="1"/>
  <c r="C304" i="26"/>
  <c r="G304" i="26"/>
  <c r="K304" i="26"/>
  <c r="O304" i="26"/>
  <c r="S304" i="26"/>
  <c r="W304" i="26"/>
  <c r="AA304" i="26"/>
  <c r="AE304" i="26"/>
  <c r="D304" i="26"/>
  <c r="H304" i="26"/>
  <c r="L304" i="26"/>
  <c r="P304" i="26"/>
  <c r="T304" i="26"/>
  <c r="X304" i="26"/>
  <c r="AB304" i="26"/>
  <c r="AV304" i="26" s="1"/>
  <c r="AW304" i="26" s="1"/>
  <c r="AF304" i="26"/>
  <c r="E304" i="26"/>
  <c r="I304" i="26"/>
  <c r="M304" i="26"/>
  <c r="Q304" i="26"/>
  <c r="U304" i="26"/>
  <c r="Y304" i="26"/>
  <c r="AC304" i="26"/>
  <c r="N304" i="26"/>
  <c r="AD304" i="26"/>
  <c r="R304" i="26"/>
  <c r="F304" i="26"/>
  <c r="V304" i="26"/>
  <c r="Z304" i="26"/>
  <c r="AM292" i="26"/>
  <c r="AJ292" i="26"/>
  <c r="AG292" i="26"/>
  <c r="AS292" i="26" s="1"/>
  <c r="AT292" i="26" s="1"/>
  <c r="D292" i="26"/>
  <c r="H292" i="26"/>
  <c r="L292" i="26"/>
  <c r="P292" i="26"/>
  <c r="T292" i="26"/>
  <c r="X292" i="26"/>
  <c r="AB292" i="26"/>
  <c r="AV292" i="26" s="1"/>
  <c r="AW292" i="26" s="1"/>
  <c r="AF292" i="26"/>
  <c r="E292" i="26"/>
  <c r="I292" i="26"/>
  <c r="M292" i="26"/>
  <c r="Q292" i="26"/>
  <c r="U292" i="26"/>
  <c r="Y292" i="26"/>
  <c r="AC292" i="26"/>
  <c r="F292" i="26"/>
  <c r="J292" i="26"/>
  <c r="N292" i="26"/>
  <c r="R292" i="26"/>
  <c r="V292" i="26"/>
  <c r="Z292" i="26"/>
  <c r="AD292" i="26"/>
  <c r="G292" i="26"/>
  <c r="W292" i="26"/>
  <c r="K292" i="26"/>
  <c r="AA292" i="26"/>
  <c r="O292" i="26"/>
  <c r="AE292" i="26"/>
  <c r="C292" i="26"/>
  <c r="S292" i="26"/>
  <c r="AM284" i="26"/>
  <c r="AJ284" i="26"/>
  <c r="AG284" i="26"/>
  <c r="AS284" i="26" s="1"/>
  <c r="AT284" i="26" s="1"/>
  <c r="D284" i="26"/>
  <c r="H284" i="26"/>
  <c r="L284" i="26"/>
  <c r="P284" i="26"/>
  <c r="T284" i="26"/>
  <c r="X284" i="26"/>
  <c r="AB284" i="26"/>
  <c r="AV284" i="26" s="1"/>
  <c r="AW284" i="26" s="1"/>
  <c r="AF284" i="26"/>
  <c r="E284" i="26"/>
  <c r="I284" i="26"/>
  <c r="M284" i="26"/>
  <c r="Q284" i="26"/>
  <c r="U284" i="26"/>
  <c r="Y284" i="26"/>
  <c r="AC284" i="26"/>
  <c r="F284" i="26"/>
  <c r="J284" i="26"/>
  <c r="N284" i="26"/>
  <c r="R284" i="26"/>
  <c r="V284" i="26"/>
  <c r="Z284" i="26"/>
  <c r="AD284" i="26"/>
  <c r="G284" i="26"/>
  <c r="W284" i="26"/>
  <c r="K284" i="26"/>
  <c r="AA284" i="26"/>
  <c r="O284" i="26"/>
  <c r="AE284" i="26"/>
  <c r="C284" i="26"/>
  <c r="S284" i="26"/>
  <c r="AM272" i="26"/>
  <c r="AJ272" i="26"/>
  <c r="AG272" i="26"/>
  <c r="AS272" i="26" s="1"/>
  <c r="AT272" i="26" s="1"/>
  <c r="D272" i="26"/>
  <c r="H272" i="26"/>
  <c r="L272" i="26"/>
  <c r="P272" i="26"/>
  <c r="T272" i="26"/>
  <c r="X272" i="26"/>
  <c r="AB272" i="26"/>
  <c r="AV272" i="26" s="1"/>
  <c r="AW272" i="26" s="1"/>
  <c r="AF272" i="26"/>
  <c r="E272" i="26"/>
  <c r="I272" i="26"/>
  <c r="M272" i="26"/>
  <c r="Q272" i="26"/>
  <c r="U272" i="26"/>
  <c r="Y272" i="26"/>
  <c r="AC272" i="26"/>
  <c r="F272" i="26"/>
  <c r="J272" i="26"/>
  <c r="N272" i="26"/>
  <c r="R272" i="26"/>
  <c r="V272" i="26"/>
  <c r="Z272" i="26"/>
  <c r="AD272" i="26"/>
  <c r="O272" i="26"/>
  <c r="AE272" i="26"/>
  <c r="C272" i="26"/>
  <c r="S272" i="26"/>
  <c r="G272" i="26"/>
  <c r="W272" i="26"/>
  <c r="K272" i="26"/>
  <c r="AA272" i="26"/>
  <c r="AM264" i="26"/>
  <c r="AJ264" i="26"/>
  <c r="AG264" i="26"/>
  <c r="AS264" i="26" s="1"/>
  <c r="AT264" i="26" s="1"/>
  <c r="D264" i="26"/>
  <c r="H264" i="26"/>
  <c r="E264" i="26"/>
  <c r="I264" i="26"/>
  <c r="F264" i="26"/>
  <c r="L264" i="26"/>
  <c r="P264" i="26"/>
  <c r="T264" i="26"/>
  <c r="X264" i="26"/>
  <c r="AB264" i="26"/>
  <c r="AV264" i="26" s="1"/>
  <c r="AW264" i="26" s="1"/>
  <c r="AF264" i="26"/>
  <c r="G264" i="26"/>
  <c r="M264" i="26"/>
  <c r="Q264" i="26"/>
  <c r="U264" i="26"/>
  <c r="Y264" i="26"/>
  <c r="AC264" i="26"/>
  <c r="J264" i="26"/>
  <c r="N264" i="26"/>
  <c r="R264" i="26"/>
  <c r="V264" i="26"/>
  <c r="Z264" i="26"/>
  <c r="AD264" i="26"/>
  <c r="O264" i="26"/>
  <c r="AE264" i="26"/>
  <c r="S264" i="26"/>
  <c r="C264" i="26"/>
  <c r="W264" i="26"/>
  <c r="K264" i="26"/>
  <c r="AA264" i="26"/>
  <c r="AM252" i="26"/>
  <c r="AJ252" i="26"/>
  <c r="AG252" i="26"/>
  <c r="AS252" i="26" s="1"/>
  <c r="AT252" i="26" s="1"/>
  <c r="C252" i="26"/>
  <c r="G252" i="26"/>
  <c r="K252" i="26"/>
  <c r="O252" i="26"/>
  <c r="S252" i="26"/>
  <c r="W252" i="26"/>
  <c r="AA252" i="26"/>
  <c r="AE252" i="26"/>
  <c r="D252" i="26"/>
  <c r="H252" i="26"/>
  <c r="L252" i="26"/>
  <c r="P252" i="26"/>
  <c r="T252" i="26"/>
  <c r="X252" i="26"/>
  <c r="AB252" i="26"/>
  <c r="AV252" i="26" s="1"/>
  <c r="AW252" i="26" s="1"/>
  <c r="AF252" i="26"/>
  <c r="E252" i="26"/>
  <c r="I252" i="26"/>
  <c r="M252" i="26"/>
  <c r="Q252" i="26"/>
  <c r="U252" i="26"/>
  <c r="Y252" i="26"/>
  <c r="AC252" i="26"/>
  <c r="N252" i="26"/>
  <c r="AD252" i="26"/>
  <c r="R252" i="26"/>
  <c r="F252" i="26"/>
  <c r="V252" i="26"/>
  <c r="Z252" i="26"/>
  <c r="J252" i="26"/>
  <c r="AM240" i="26"/>
  <c r="AJ240" i="26"/>
  <c r="AG240" i="26"/>
  <c r="AS240" i="26" s="1"/>
  <c r="AT240" i="26" s="1"/>
  <c r="C240" i="26"/>
  <c r="G240" i="26"/>
  <c r="K240" i="26"/>
  <c r="O240" i="26"/>
  <c r="S240" i="26"/>
  <c r="W240" i="26"/>
  <c r="AA240" i="26"/>
  <c r="AE240" i="26"/>
  <c r="D240" i="26"/>
  <c r="H240" i="26"/>
  <c r="L240" i="26"/>
  <c r="P240" i="26"/>
  <c r="T240" i="26"/>
  <c r="X240" i="26"/>
  <c r="AB240" i="26"/>
  <c r="AV240" i="26" s="1"/>
  <c r="AW240" i="26" s="1"/>
  <c r="AF240" i="26"/>
  <c r="E240" i="26"/>
  <c r="I240" i="26"/>
  <c r="M240" i="26"/>
  <c r="Q240" i="26"/>
  <c r="U240" i="26"/>
  <c r="Y240" i="26"/>
  <c r="AC240" i="26"/>
  <c r="F240" i="26"/>
  <c r="V240" i="26"/>
  <c r="J240" i="26"/>
  <c r="Z240" i="26"/>
  <c r="N240" i="26"/>
  <c r="AD240" i="26"/>
  <c r="R240" i="26"/>
  <c r="AM228" i="26"/>
  <c r="AJ228" i="26"/>
  <c r="AG228" i="26"/>
  <c r="AS228" i="26" s="1"/>
  <c r="AT228" i="26" s="1"/>
  <c r="D228" i="26"/>
  <c r="H228" i="26"/>
  <c r="L228" i="26"/>
  <c r="P228" i="26"/>
  <c r="T228" i="26"/>
  <c r="X228" i="26"/>
  <c r="AB228" i="26"/>
  <c r="AV228" i="26" s="1"/>
  <c r="AW228" i="26" s="1"/>
  <c r="AF228" i="26"/>
  <c r="E228" i="26"/>
  <c r="I228" i="26"/>
  <c r="M228" i="26"/>
  <c r="Q228" i="26"/>
  <c r="U228" i="26"/>
  <c r="Y228" i="26"/>
  <c r="AC228" i="26"/>
  <c r="F228" i="26"/>
  <c r="J228" i="26"/>
  <c r="N228" i="26"/>
  <c r="R228" i="26"/>
  <c r="V228" i="26"/>
  <c r="Z228" i="26"/>
  <c r="AD228" i="26"/>
  <c r="C228" i="26"/>
  <c r="S228" i="26"/>
  <c r="G228" i="26"/>
  <c r="W228" i="26"/>
  <c r="K228" i="26"/>
  <c r="AA228" i="26"/>
  <c r="O228" i="26"/>
  <c r="AE228" i="26"/>
  <c r="AM216" i="26"/>
  <c r="AJ216" i="26"/>
  <c r="AG216" i="26"/>
  <c r="AS216" i="26" s="1"/>
  <c r="AT216" i="26" s="1"/>
  <c r="D216" i="26"/>
  <c r="H216" i="26"/>
  <c r="L216" i="26"/>
  <c r="P216" i="26"/>
  <c r="T216" i="26"/>
  <c r="X216" i="26"/>
  <c r="AB216" i="26"/>
  <c r="AV216" i="26" s="1"/>
  <c r="AW216" i="26" s="1"/>
  <c r="AF216" i="26"/>
  <c r="E216" i="26"/>
  <c r="I216" i="26"/>
  <c r="M216" i="26"/>
  <c r="Q216" i="26"/>
  <c r="U216" i="26"/>
  <c r="Y216" i="26"/>
  <c r="AC216" i="26"/>
  <c r="F216" i="26"/>
  <c r="J216" i="26"/>
  <c r="N216" i="26"/>
  <c r="R216" i="26"/>
  <c r="V216" i="26"/>
  <c r="Z216" i="26"/>
  <c r="AD216" i="26"/>
  <c r="K216" i="26"/>
  <c r="AA216" i="26"/>
  <c r="O216" i="26"/>
  <c r="AE216" i="26"/>
  <c r="C216" i="26"/>
  <c r="S216" i="26"/>
  <c r="W216" i="26"/>
  <c r="G216" i="26"/>
  <c r="AM204" i="26"/>
  <c r="AJ204" i="26"/>
  <c r="AG204" i="26"/>
  <c r="AS204" i="26" s="1"/>
  <c r="AT204" i="26" s="1"/>
  <c r="D204" i="26"/>
  <c r="H204" i="26"/>
  <c r="L204" i="26"/>
  <c r="P204" i="26"/>
  <c r="T204" i="26"/>
  <c r="X204" i="26"/>
  <c r="AB204" i="26"/>
  <c r="AV204" i="26" s="1"/>
  <c r="AW204" i="26" s="1"/>
  <c r="AF204" i="26"/>
  <c r="E204" i="26"/>
  <c r="I204" i="26"/>
  <c r="M204" i="26"/>
  <c r="Q204" i="26"/>
  <c r="U204" i="26"/>
  <c r="Y204" i="26"/>
  <c r="AC204" i="26"/>
  <c r="F204" i="26"/>
  <c r="J204" i="26"/>
  <c r="N204" i="26"/>
  <c r="R204" i="26"/>
  <c r="V204" i="26"/>
  <c r="Z204" i="26"/>
  <c r="AD204" i="26"/>
  <c r="C204" i="26"/>
  <c r="S204" i="26"/>
  <c r="G204" i="26"/>
  <c r="W204" i="26"/>
  <c r="K204" i="26"/>
  <c r="AA204" i="26"/>
  <c r="O204" i="26"/>
  <c r="AE204" i="26"/>
  <c r="AM196" i="26"/>
  <c r="AJ196" i="26"/>
  <c r="AG196" i="26"/>
  <c r="AS196" i="26" s="1"/>
  <c r="AT196" i="26" s="1"/>
  <c r="D196" i="26"/>
  <c r="H196" i="26"/>
  <c r="L196" i="26"/>
  <c r="P196" i="26"/>
  <c r="T196" i="26"/>
  <c r="X196" i="26"/>
  <c r="AB196" i="26"/>
  <c r="AV196" i="26" s="1"/>
  <c r="AW196" i="26" s="1"/>
  <c r="AF196" i="26"/>
  <c r="E196" i="26"/>
  <c r="I196" i="26"/>
  <c r="M196" i="26"/>
  <c r="Q196" i="26"/>
  <c r="U196" i="26"/>
  <c r="Y196" i="26"/>
  <c r="AC196" i="26"/>
  <c r="F196" i="26"/>
  <c r="J196" i="26"/>
  <c r="N196" i="26"/>
  <c r="R196" i="26"/>
  <c r="V196" i="26"/>
  <c r="Z196" i="26"/>
  <c r="AD196" i="26"/>
  <c r="C196" i="26"/>
  <c r="S196" i="26"/>
  <c r="G196" i="26"/>
  <c r="W196" i="26"/>
  <c r="K196" i="26"/>
  <c r="AA196" i="26"/>
  <c r="O196" i="26"/>
  <c r="AE196" i="26"/>
  <c r="AM188" i="26"/>
  <c r="AJ188" i="26"/>
  <c r="AG188" i="26"/>
  <c r="AS188" i="26" s="1"/>
  <c r="AT188" i="26" s="1"/>
  <c r="C188" i="26"/>
  <c r="G188" i="26"/>
  <c r="K188" i="26"/>
  <c r="O188" i="26"/>
  <c r="S188" i="26"/>
  <c r="W188" i="26"/>
  <c r="AA188" i="26"/>
  <c r="AE188" i="26"/>
  <c r="D188" i="26"/>
  <c r="H188" i="26"/>
  <c r="L188" i="26"/>
  <c r="P188" i="26"/>
  <c r="T188" i="26"/>
  <c r="X188" i="26"/>
  <c r="AB188" i="26"/>
  <c r="AV188" i="26" s="1"/>
  <c r="AW188" i="26" s="1"/>
  <c r="AF188" i="26"/>
  <c r="E188" i="26"/>
  <c r="I188" i="26"/>
  <c r="M188" i="26"/>
  <c r="Q188" i="26"/>
  <c r="U188" i="26"/>
  <c r="Y188" i="26"/>
  <c r="AC188" i="26"/>
  <c r="R188" i="26"/>
  <c r="F188" i="26"/>
  <c r="V188" i="26"/>
  <c r="J188" i="26"/>
  <c r="Z188" i="26"/>
  <c r="AD188" i="26"/>
  <c r="N188" i="26"/>
  <c r="AM176" i="26"/>
  <c r="AJ176" i="26"/>
  <c r="AG176" i="26"/>
  <c r="AS176" i="26" s="1"/>
  <c r="AT176" i="26" s="1"/>
  <c r="C176" i="26"/>
  <c r="G176" i="26"/>
  <c r="K176" i="26"/>
  <c r="O176" i="26"/>
  <c r="S176" i="26"/>
  <c r="W176" i="26"/>
  <c r="AA176" i="26"/>
  <c r="AE176" i="26"/>
  <c r="D176" i="26"/>
  <c r="H176" i="26"/>
  <c r="L176" i="26"/>
  <c r="P176" i="26"/>
  <c r="T176" i="26"/>
  <c r="X176" i="26"/>
  <c r="AB176" i="26"/>
  <c r="AV176" i="26" s="1"/>
  <c r="AW176" i="26" s="1"/>
  <c r="AF176" i="26"/>
  <c r="E176" i="26"/>
  <c r="I176" i="26"/>
  <c r="M176" i="26"/>
  <c r="Q176" i="26"/>
  <c r="U176" i="26"/>
  <c r="Y176" i="26"/>
  <c r="AC176" i="26"/>
  <c r="J176" i="26"/>
  <c r="Z176" i="26"/>
  <c r="N176" i="26"/>
  <c r="AD176" i="26"/>
  <c r="R176" i="26"/>
  <c r="F176" i="26"/>
  <c r="V176" i="26"/>
  <c r="AM160" i="26"/>
  <c r="AJ160" i="26"/>
  <c r="AG160" i="26"/>
  <c r="AS160" i="26" s="1"/>
  <c r="AT160" i="26" s="1"/>
  <c r="F160" i="26"/>
  <c r="J160" i="26"/>
  <c r="N160" i="26"/>
  <c r="R160" i="26"/>
  <c r="V160" i="26"/>
  <c r="Z160" i="26"/>
  <c r="AD160" i="26"/>
  <c r="C160" i="26"/>
  <c r="G160" i="26"/>
  <c r="K160" i="26"/>
  <c r="O160" i="26"/>
  <c r="S160" i="26"/>
  <c r="W160" i="26"/>
  <c r="AA160" i="26"/>
  <c r="AE160" i="26"/>
  <c r="D160" i="26"/>
  <c r="H160" i="26"/>
  <c r="L160" i="26"/>
  <c r="P160" i="26"/>
  <c r="T160" i="26"/>
  <c r="X160" i="26"/>
  <c r="AB160" i="26"/>
  <c r="AV160" i="26" s="1"/>
  <c r="AW160" i="26" s="1"/>
  <c r="AF160" i="26"/>
  <c r="I160" i="26"/>
  <c r="Y160" i="26"/>
  <c r="M160" i="26"/>
  <c r="AC160" i="26"/>
  <c r="Q160" i="26"/>
  <c r="E160" i="26"/>
  <c r="U160" i="26"/>
  <c r="AM152" i="26"/>
  <c r="AG152" i="26"/>
  <c r="AS152" i="26" s="1"/>
  <c r="AT152" i="26" s="1"/>
  <c r="AJ152" i="26"/>
  <c r="E152" i="26"/>
  <c r="I152" i="26"/>
  <c r="M152" i="26"/>
  <c r="Q152" i="26"/>
  <c r="U152" i="26"/>
  <c r="Y152" i="26"/>
  <c r="AC152" i="26"/>
  <c r="F152" i="26"/>
  <c r="J152" i="26"/>
  <c r="N152" i="26"/>
  <c r="R152" i="26"/>
  <c r="V152" i="26"/>
  <c r="Z152" i="26"/>
  <c r="AD152" i="26"/>
  <c r="AM140" i="26"/>
  <c r="AJ140" i="26"/>
  <c r="AG140" i="26"/>
  <c r="AS140" i="26" s="1"/>
  <c r="AT140" i="26" s="1"/>
  <c r="E140" i="26"/>
  <c r="I140" i="26"/>
  <c r="M140" i="26"/>
  <c r="Q140" i="26"/>
  <c r="U140" i="26"/>
  <c r="Y140" i="26"/>
  <c r="AC140" i="26"/>
  <c r="F140" i="26"/>
  <c r="J140" i="26"/>
  <c r="N140" i="26"/>
  <c r="R140" i="26"/>
  <c r="V140" i="26"/>
  <c r="Z140" i="26"/>
  <c r="AD140" i="26"/>
  <c r="AM128" i="26"/>
  <c r="AJ128" i="26"/>
  <c r="AG128" i="26"/>
  <c r="AS128" i="26" s="1"/>
  <c r="AT128" i="26" s="1"/>
  <c r="E128" i="26"/>
  <c r="I128" i="26"/>
  <c r="M128" i="26"/>
  <c r="Q128" i="26"/>
  <c r="U128" i="26"/>
  <c r="Y128" i="26"/>
  <c r="AC128" i="26"/>
  <c r="F128" i="26"/>
  <c r="J128" i="26"/>
  <c r="N128" i="26"/>
  <c r="R128" i="26"/>
  <c r="V128" i="26"/>
  <c r="Z128" i="26"/>
  <c r="AD128" i="26"/>
  <c r="AM116" i="26"/>
  <c r="AJ116" i="26"/>
  <c r="AG116" i="26"/>
  <c r="AS116" i="26" s="1"/>
  <c r="AT116" i="26" s="1"/>
  <c r="E116" i="26"/>
  <c r="I116" i="26"/>
  <c r="M116" i="26"/>
  <c r="Q116" i="26"/>
  <c r="U116" i="26"/>
  <c r="Y116" i="26"/>
  <c r="AC116" i="26"/>
  <c r="F116" i="26"/>
  <c r="J116" i="26"/>
  <c r="N116" i="26"/>
  <c r="R116" i="26"/>
  <c r="V116" i="26"/>
  <c r="Z116" i="26"/>
  <c r="AD116" i="26"/>
  <c r="AM104" i="26"/>
  <c r="AJ104" i="26"/>
  <c r="AG104" i="26"/>
  <c r="AS104" i="26" s="1"/>
  <c r="AT104" i="26" s="1"/>
  <c r="D104" i="26"/>
  <c r="H104" i="26"/>
  <c r="L104" i="26"/>
  <c r="P104" i="26"/>
  <c r="T104" i="26"/>
  <c r="X104" i="26"/>
  <c r="AB104" i="26"/>
  <c r="AV104" i="26" s="1"/>
  <c r="AW104" i="26" s="1"/>
  <c r="AF104" i="26"/>
  <c r="F104" i="26"/>
  <c r="J104" i="26"/>
  <c r="N104" i="26"/>
  <c r="R104" i="26"/>
  <c r="V104" i="26"/>
  <c r="Z104" i="26"/>
  <c r="AD104" i="26"/>
  <c r="G104" i="26"/>
  <c r="O104" i="26"/>
  <c r="W104" i="26"/>
  <c r="AE104" i="26"/>
  <c r="I104" i="26"/>
  <c r="Q104" i="26"/>
  <c r="Y104" i="26"/>
  <c r="AM100" i="26"/>
  <c r="AJ100" i="26"/>
  <c r="AG100" i="26"/>
  <c r="AS100" i="26" s="1"/>
  <c r="AT100" i="26" s="1"/>
  <c r="D100" i="26"/>
  <c r="H100" i="26"/>
  <c r="L100" i="26"/>
  <c r="P100" i="26"/>
  <c r="T100" i="26"/>
  <c r="X100" i="26"/>
  <c r="AB100" i="26"/>
  <c r="AV100" i="26" s="1"/>
  <c r="AW100" i="26" s="1"/>
  <c r="AF100" i="26"/>
  <c r="F100" i="26"/>
  <c r="J100" i="26"/>
  <c r="N100" i="26"/>
  <c r="R100" i="26"/>
  <c r="V100" i="26"/>
  <c r="Z100" i="26"/>
  <c r="AD100" i="26"/>
  <c r="G100" i="26"/>
  <c r="O100" i="26"/>
  <c r="W100" i="26"/>
  <c r="AE100" i="26"/>
  <c r="I100" i="26"/>
  <c r="Q100" i="26"/>
  <c r="Y100" i="26"/>
  <c r="AM88" i="26"/>
  <c r="AJ88" i="26"/>
  <c r="AG88" i="26"/>
  <c r="AS88" i="26" s="1"/>
  <c r="AT88" i="26" s="1"/>
  <c r="D88" i="26"/>
  <c r="H88" i="26"/>
  <c r="L88" i="26"/>
  <c r="P88" i="26"/>
  <c r="T88" i="26"/>
  <c r="X88" i="26"/>
  <c r="AB88" i="26"/>
  <c r="AV88" i="26" s="1"/>
  <c r="AW88" i="26" s="1"/>
  <c r="AF88" i="26"/>
  <c r="E88" i="26"/>
  <c r="I88" i="26"/>
  <c r="M88" i="26"/>
  <c r="Q88" i="26"/>
  <c r="U88" i="26"/>
  <c r="Y88" i="26"/>
  <c r="AC88" i="26"/>
  <c r="F88" i="26"/>
  <c r="J88" i="26"/>
  <c r="N88" i="26"/>
  <c r="R88" i="26"/>
  <c r="V88" i="26"/>
  <c r="Z88" i="26"/>
  <c r="AD88" i="26"/>
  <c r="K88" i="26"/>
  <c r="AA88" i="26"/>
  <c r="O88" i="26"/>
  <c r="AE88" i="26"/>
  <c r="AM80" i="26"/>
  <c r="AJ80" i="26"/>
  <c r="AG80" i="26"/>
  <c r="AS80" i="26" s="1"/>
  <c r="AT80" i="26" s="1"/>
  <c r="D80" i="26"/>
  <c r="H80" i="26"/>
  <c r="L80" i="26"/>
  <c r="P80" i="26"/>
  <c r="T80" i="26"/>
  <c r="X80" i="26"/>
  <c r="AB80" i="26"/>
  <c r="AV80" i="26" s="1"/>
  <c r="AW80" i="26" s="1"/>
  <c r="AF80" i="26"/>
  <c r="E80" i="26"/>
  <c r="I80" i="26"/>
  <c r="M80" i="26"/>
  <c r="Q80" i="26"/>
  <c r="U80" i="26"/>
  <c r="Y80" i="26"/>
  <c r="AC80" i="26"/>
  <c r="F80" i="26"/>
  <c r="J80" i="26"/>
  <c r="N80" i="26"/>
  <c r="R80" i="26"/>
  <c r="V80" i="26"/>
  <c r="Z80" i="26"/>
  <c r="AD80" i="26"/>
  <c r="K80" i="26"/>
  <c r="AA80" i="26"/>
  <c r="O80" i="26"/>
  <c r="AE80" i="26"/>
  <c r="AM72" i="26"/>
  <c r="AJ72" i="26"/>
  <c r="AG72" i="26"/>
  <c r="AS72" i="26" s="1"/>
  <c r="AT72" i="26" s="1"/>
  <c r="D72" i="26"/>
  <c r="H72" i="26"/>
  <c r="L72" i="26"/>
  <c r="P72" i="26"/>
  <c r="T72" i="26"/>
  <c r="X72" i="26"/>
  <c r="AB72" i="26"/>
  <c r="AV72" i="26" s="1"/>
  <c r="AW72" i="26" s="1"/>
  <c r="AF72" i="26"/>
  <c r="E72" i="26"/>
  <c r="I72" i="26"/>
  <c r="M72" i="26"/>
  <c r="Q72" i="26"/>
  <c r="U72" i="26"/>
  <c r="Y72" i="26"/>
  <c r="AC72" i="26"/>
  <c r="F72" i="26"/>
  <c r="J72" i="26"/>
  <c r="N72" i="26"/>
  <c r="R72" i="26"/>
  <c r="V72" i="26"/>
  <c r="Z72" i="26"/>
  <c r="AD72" i="26"/>
  <c r="K72" i="26"/>
  <c r="AA72" i="26"/>
  <c r="O72" i="26"/>
  <c r="AE72" i="26"/>
  <c r="AM64" i="26"/>
  <c r="AJ64" i="26"/>
  <c r="AG64" i="26"/>
  <c r="AS64" i="26" s="1"/>
  <c r="AT64" i="26" s="1"/>
  <c r="D64" i="26"/>
  <c r="H64" i="26"/>
  <c r="L64" i="26"/>
  <c r="P64" i="26"/>
  <c r="T64" i="26"/>
  <c r="X64" i="26"/>
  <c r="AB64" i="26"/>
  <c r="AV64" i="26" s="1"/>
  <c r="AW64" i="26" s="1"/>
  <c r="AF64" i="26"/>
  <c r="E64" i="26"/>
  <c r="I64" i="26"/>
  <c r="M64" i="26"/>
  <c r="Q64" i="26"/>
  <c r="U64" i="26"/>
  <c r="Y64" i="26"/>
  <c r="AC64" i="26"/>
  <c r="F64" i="26"/>
  <c r="J64" i="26"/>
  <c r="N64" i="26"/>
  <c r="R64" i="26"/>
  <c r="V64" i="26"/>
  <c r="Z64" i="26"/>
  <c r="AD64" i="26"/>
  <c r="K64" i="26"/>
  <c r="AA64" i="26"/>
  <c r="O64" i="26"/>
  <c r="AE64" i="26"/>
  <c r="AM52" i="26"/>
  <c r="AJ52" i="26"/>
  <c r="AG52" i="26"/>
  <c r="AS52" i="26" s="1"/>
  <c r="AT52" i="26" s="1"/>
  <c r="D52" i="26"/>
  <c r="H52" i="26"/>
  <c r="L52" i="26"/>
  <c r="P52" i="26"/>
  <c r="T52" i="26"/>
  <c r="X52" i="26"/>
  <c r="AB52" i="26"/>
  <c r="AV52" i="26" s="1"/>
  <c r="AW52" i="26" s="1"/>
  <c r="AF52" i="26"/>
  <c r="E52" i="26"/>
  <c r="I52" i="26"/>
  <c r="M52" i="26"/>
  <c r="Q52" i="26"/>
  <c r="U52" i="26"/>
  <c r="Y52" i="26"/>
  <c r="AC52" i="26"/>
  <c r="F52" i="26"/>
  <c r="J52" i="26"/>
  <c r="N52" i="26"/>
  <c r="R52" i="26"/>
  <c r="V52" i="26"/>
  <c r="Z52" i="26"/>
  <c r="AD52" i="26"/>
  <c r="C52" i="26"/>
  <c r="S52" i="26"/>
  <c r="G52" i="26"/>
  <c r="W52" i="26"/>
  <c r="AM36" i="26"/>
  <c r="AJ36" i="26"/>
  <c r="AG36" i="26"/>
  <c r="AS36" i="26" s="1"/>
  <c r="AT36" i="26" s="1"/>
  <c r="E36" i="26"/>
  <c r="I36" i="26"/>
  <c r="M36" i="26"/>
  <c r="Q36" i="26"/>
  <c r="U36" i="26"/>
  <c r="Y36" i="26"/>
  <c r="AC36" i="26"/>
  <c r="F36" i="26"/>
  <c r="J36" i="26"/>
  <c r="N36" i="26"/>
  <c r="R36" i="26"/>
  <c r="V36" i="26"/>
  <c r="Z36" i="26"/>
  <c r="AD36" i="26"/>
  <c r="C36" i="26"/>
  <c r="G36" i="26"/>
  <c r="K36" i="26"/>
  <c r="O36" i="26"/>
  <c r="S36" i="26"/>
  <c r="W36" i="26"/>
  <c r="AA36" i="26"/>
  <c r="AE36" i="26"/>
  <c r="H36" i="26"/>
  <c r="X36" i="26"/>
  <c r="L36" i="26"/>
  <c r="AB36" i="26"/>
  <c r="AV36" i="26" s="1"/>
  <c r="AW36" i="26" s="1"/>
  <c r="P36" i="26"/>
  <c r="AF36" i="26"/>
  <c r="D36" i="26"/>
  <c r="AM24" i="26"/>
  <c r="AJ24" i="26"/>
  <c r="AG24" i="26"/>
  <c r="AS24" i="26" s="1"/>
  <c r="AT24" i="26" s="1"/>
  <c r="AM12" i="26"/>
  <c r="AJ12" i="26"/>
  <c r="AG12" i="26"/>
  <c r="AS12" i="26" s="1"/>
  <c r="AT12" i="26" s="1"/>
  <c r="C12" i="26"/>
  <c r="G12" i="26"/>
  <c r="K12" i="26"/>
  <c r="O12" i="26"/>
  <c r="S12" i="26"/>
  <c r="W12" i="26"/>
  <c r="AA12" i="26"/>
  <c r="AE12" i="26"/>
  <c r="D12" i="26"/>
  <c r="H12" i="26"/>
  <c r="L12" i="26"/>
  <c r="P12" i="26"/>
  <c r="T12" i="26"/>
  <c r="X12" i="26"/>
  <c r="AB12" i="26"/>
  <c r="AV12" i="26" s="1"/>
  <c r="AW12" i="26" s="1"/>
  <c r="AF12" i="26"/>
  <c r="AM4" i="26"/>
  <c r="AJ4" i="26"/>
  <c r="AG4" i="26"/>
  <c r="AS4" i="26" s="1"/>
  <c r="AT4" i="26" s="1"/>
  <c r="C4" i="26"/>
  <c r="G4" i="26"/>
  <c r="K4" i="26"/>
  <c r="O4" i="26"/>
  <c r="S4" i="26"/>
  <c r="W4" i="26"/>
  <c r="AA4" i="26"/>
  <c r="AE4" i="26"/>
  <c r="D4" i="26"/>
  <c r="H4" i="26"/>
  <c r="L4" i="26"/>
  <c r="P4" i="26"/>
  <c r="T4" i="26"/>
  <c r="X4" i="26"/>
  <c r="AB4" i="26"/>
  <c r="AV4" i="26" s="1"/>
  <c r="AW4" i="26" s="1"/>
  <c r="AF4" i="26"/>
  <c r="AF29" i="26"/>
  <c r="T29" i="26"/>
  <c r="AF21" i="26"/>
  <c r="X21" i="26"/>
  <c r="P21" i="26"/>
  <c r="H21" i="26"/>
  <c r="AD20" i="26"/>
  <c r="V20" i="26"/>
  <c r="N20" i="26"/>
  <c r="F20" i="26"/>
  <c r="AF17" i="26"/>
  <c r="P17" i="26"/>
  <c r="Z157" i="26"/>
  <c r="R157" i="26"/>
  <c r="J157" i="26"/>
  <c r="AF156" i="26"/>
  <c r="X156" i="26"/>
  <c r="P156" i="26"/>
  <c r="H156" i="26"/>
  <c r="Z137" i="26"/>
  <c r="R137" i="26"/>
  <c r="J137" i="26"/>
  <c r="AF136" i="26"/>
  <c r="X136" i="26"/>
  <c r="P136" i="26"/>
  <c r="H136" i="26"/>
  <c r="R133" i="26"/>
  <c r="Z129" i="26"/>
  <c r="R129" i="26"/>
  <c r="J129" i="26"/>
  <c r="AF128" i="26"/>
  <c r="X128" i="26"/>
  <c r="P128" i="26"/>
  <c r="H128" i="26"/>
  <c r="R125" i="26"/>
  <c r="R121" i="26"/>
  <c r="J121" i="26"/>
  <c r="AF120" i="26"/>
  <c r="X120" i="26"/>
  <c r="P120" i="26"/>
  <c r="H120" i="26"/>
  <c r="AC273" i="26"/>
  <c r="AM358" i="26"/>
  <c r="AJ358" i="26"/>
  <c r="AG358" i="26"/>
  <c r="AS358" i="26" s="1"/>
  <c r="AT358" i="26" s="1"/>
  <c r="C358" i="26"/>
  <c r="G358" i="26"/>
  <c r="K358" i="26"/>
  <c r="O358" i="26"/>
  <c r="S358" i="26"/>
  <c r="W358" i="26"/>
  <c r="AA358" i="26"/>
  <c r="AE358" i="26"/>
  <c r="D358" i="26"/>
  <c r="H358" i="26"/>
  <c r="L358" i="26"/>
  <c r="P358" i="26"/>
  <c r="T358" i="26"/>
  <c r="X358" i="26"/>
  <c r="AB358" i="26"/>
  <c r="AV358" i="26" s="1"/>
  <c r="AW358" i="26" s="1"/>
  <c r="AF358" i="26"/>
  <c r="E358" i="26"/>
  <c r="I358" i="26"/>
  <c r="M358" i="26"/>
  <c r="Q358" i="26"/>
  <c r="U358" i="26"/>
  <c r="Y358" i="26"/>
  <c r="AC358" i="26"/>
  <c r="J358" i="26"/>
  <c r="Z358" i="26"/>
  <c r="N358" i="26"/>
  <c r="AD358" i="26"/>
  <c r="R358" i="26"/>
  <c r="F358" i="26"/>
  <c r="V358" i="26"/>
  <c r="AM354" i="26"/>
  <c r="AJ354" i="26"/>
  <c r="AG354" i="26"/>
  <c r="AS354" i="26" s="1"/>
  <c r="AT354" i="26" s="1"/>
  <c r="C354" i="26"/>
  <c r="G354" i="26"/>
  <c r="K354" i="26"/>
  <c r="O354" i="26"/>
  <c r="S354" i="26"/>
  <c r="W354" i="26"/>
  <c r="AA354" i="26"/>
  <c r="AE354" i="26"/>
  <c r="D354" i="26"/>
  <c r="H354" i="26"/>
  <c r="L354" i="26"/>
  <c r="P354" i="26"/>
  <c r="T354" i="26"/>
  <c r="X354" i="26"/>
  <c r="AB354" i="26"/>
  <c r="AV354" i="26" s="1"/>
  <c r="AW354" i="26" s="1"/>
  <c r="AF354" i="26"/>
  <c r="E354" i="26"/>
  <c r="I354" i="26"/>
  <c r="M354" i="26"/>
  <c r="Q354" i="26"/>
  <c r="U354" i="26"/>
  <c r="Y354" i="26"/>
  <c r="AC354" i="26"/>
  <c r="R354" i="26"/>
  <c r="F354" i="26"/>
  <c r="V354" i="26"/>
  <c r="J354" i="26"/>
  <c r="Z354" i="26"/>
  <c r="N354" i="26"/>
  <c r="AJ350" i="26"/>
  <c r="AM350" i="26"/>
  <c r="AG350" i="26"/>
  <c r="AS350" i="26" s="1"/>
  <c r="AT350" i="26" s="1"/>
  <c r="C350" i="26"/>
  <c r="G350" i="26"/>
  <c r="K350" i="26"/>
  <c r="O350" i="26"/>
  <c r="S350" i="26"/>
  <c r="W350" i="26"/>
  <c r="AA350" i="26"/>
  <c r="AE350" i="26"/>
  <c r="D350" i="26"/>
  <c r="H350" i="26"/>
  <c r="L350" i="26"/>
  <c r="P350" i="26"/>
  <c r="T350" i="26"/>
  <c r="X350" i="26"/>
  <c r="AB350" i="26"/>
  <c r="AV350" i="26" s="1"/>
  <c r="AW350" i="26" s="1"/>
  <c r="AF350" i="26"/>
  <c r="E350" i="26"/>
  <c r="I350" i="26"/>
  <c r="M350" i="26"/>
  <c r="Q350" i="26"/>
  <c r="U350" i="26"/>
  <c r="Y350" i="26"/>
  <c r="AC350" i="26"/>
  <c r="J350" i="26"/>
  <c r="Z350" i="26"/>
  <c r="N350" i="26"/>
  <c r="AD350" i="26"/>
  <c r="R350" i="26"/>
  <c r="F350" i="26"/>
  <c r="AM346" i="26"/>
  <c r="AJ346" i="26"/>
  <c r="AG346" i="26"/>
  <c r="AS346" i="26" s="1"/>
  <c r="AT346" i="26" s="1"/>
  <c r="C346" i="26"/>
  <c r="G346" i="26"/>
  <c r="K346" i="26"/>
  <c r="O346" i="26"/>
  <c r="S346" i="26"/>
  <c r="W346" i="26"/>
  <c r="AA346" i="26"/>
  <c r="AE346" i="26"/>
  <c r="D346" i="26"/>
  <c r="H346" i="26"/>
  <c r="L346" i="26"/>
  <c r="P346" i="26"/>
  <c r="T346" i="26"/>
  <c r="X346" i="26"/>
  <c r="AB346" i="26"/>
  <c r="AV346" i="26" s="1"/>
  <c r="AW346" i="26" s="1"/>
  <c r="AF346" i="26"/>
  <c r="E346" i="26"/>
  <c r="I346" i="26"/>
  <c r="M346" i="26"/>
  <c r="Q346" i="26"/>
  <c r="U346" i="26"/>
  <c r="Y346" i="26"/>
  <c r="AC346" i="26"/>
  <c r="R346" i="26"/>
  <c r="F346" i="26"/>
  <c r="V346" i="26"/>
  <c r="J346" i="26"/>
  <c r="Z346" i="26"/>
  <c r="AM342" i="26"/>
  <c r="AJ342" i="26"/>
  <c r="AG342" i="26"/>
  <c r="AS342" i="26" s="1"/>
  <c r="AT342" i="26" s="1"/>
  <c r="C342" i="26"/>
  <c r="G342" i="26"/>
  <c r="K342" i="26"/>
  <c r="O342" i="26"/>
  <c r="S342" i="26"/>
  <c r="W342" i="26"/>
  <c r="AA342" i="26"/>
  <c r="AE342" i="26"/>
  <c r="D342" i="26"/>
  <c r="H342" i="26"/>
  <c r="L342" i="26"/>
  <c r="P342" i="26"/>
  <c r="T342" i="26"/>
  <c r="X342" i="26"/>
  <c r="AB342" i="26"/>
  <c r="AV342" i="26" s="1"/>
  <c r="AW342" i="26" s="1"/>
  <c r="AF342" i="26"/>
  <c r="E342" i="26"/>
  <c r="I342" i="26"/>
  <c r="M342" i="26"/>
  <c r="Q342" i="26"/>
  <c r="U342" i="26"/>
  <c r="Y342" i="26"/>
  <c r="AC342" i="26"/>
  <c r="J342" i="26"/>
  <c r="Z342" i="26"/>
  <c r="N342" i="26"/>
  <c r="AD342" i="26"/>
  <c r="R342" i="26"/>
  <c r="AM338" i="26"/>
  <c r="AJ338" i="26"/>
  <c r="AG338" i="26"/>
  <c r="AS338" i="26" s="1"/>
  <c r="AT338" i="26" s="1"/>
  <c r="C338" i="26"/>
  <c r="G338" i="26"/>
  <c r="K338" i="26"/>
  <c r="O338" i="26"/>
  <c r="S338" i="26"/>
  <c r="W338" i="26"/>
  <c r="AA338" i="26"/>
  <c r="AE338" i="26"/>
  <c r="D338" i="26"/>
  <c r="H338" i="26"/>
  <c r="L338" i="26"/>
  <c r="P338" i="26"/>
  <c r="T338" i="26"/>
  <c r="X338" i="26"/>
  <c r="AB338" i="26"/>
  <c r="AV338" i="26" s="1"/>
  <c r="AW338" i="26" s="1"/>
  <c r="AF338" i="26"/>
  <c r="E338" i="26"/>
  <c r="I338" i="26"/>
  <c r="M338" i="26"/>
  <c r="Q338" i="26"/>
  <c r="U338" i="26"/>
  <c r="Y338" i="26"/>
  <c r="AC338" i="26"/>
  <c r="R338" i="26"/>
  <c r="F338" i="26"/>
  <c r="V338" i="26"/>
  <c r="J338" i="26"/>
  <c r="Z338" i="26"/>
  <c r="AD338" i="26"/>
  <c r="AM334" i="26"/>
  <c r="AJ334" i="26"/>
  <c r="AG334" i="26"/>
  <c r="AS334" i="26" s="1"/>
  <c r="AT334" i="26" s="1"/>
  <c r="C334" i="26"/>
  <c r="G334" i="26"/>
  <c r="K334" i="26"/>
  <c r="O334" i="26"/>
  <c r="S334" i="26"/>
  <c r="W334" i="26"/>
  <c r="AA334" i="26"/>
  <c r="AE334" i="26"/>
  <c r="D334" i="26"/>
  <c r="H334" i="26"/>
  <c r="L334" i="26"/>
  <c r="P334" i="26"/>
  <c r="T334" i="26"/>
  <c r="X334" i="26"/>
  <c r="AB334" i="26"/>
  <c r="AV334" i="26" s="1"/>
  <c r="AW334" i="26" s="1"/>
  <c r="AF334" i="26"/>
  <c r="E334" i="26"/>
  <c r="I334" i="26"/>
  <c r="M334" i="26"/>
  <c r="Q334" i="26"/>
  <c r="U334" i="26"/>
  <c r="Y334" i="26"/>
  <c r="AC334" i="26"/>
  <c r="J334" i="26"/>
  <c r="Z334" i="26"/>
  <c r="N334" i="26"/>
  <c r="AD334" i="26"/>
  <c r="R334" i="26"/>
  <c r="V334" i="26"/>
  <c r="AM330" i="26"/>
  <c r="AJ330" i="26"/>
  <c r="AG330" i="26"/>
  <c r="AS330" i="26" s="1"/>
  <c r="AT330" i="26" s="1"/>
  <c r="C330" i="26"/>
  <c r="G330" i="26"/>
  <c r="K330" i="26"/>
  <c r="O330" i="26"/>
  <c r="S330" i="26"/>
  <c r="W330" i="26"/>
  <c r="AA330" i="26"/>
  <c r="AE330" i="26"/>
  <c r="D330" i="26"/>
  <c r="H330" i="26"/>
  <c r="L330" i="26"/>
  <c r="P330" i="26"/>
  <c r="T330" i="26"/>
  <c r="X330" i="26"/>
  <c r="AB330" i="26"/>
  <c r="AV330" i="26" s="1"/>
  <c r="AW330" i="26" s="1"/>
  <c r="AF330" i="26"/>
  <c r="E330" i="26"/>
  <c r="I330" i="26"/>
  <c r="M330" i="26"/>
  <c r="Q330" i="26"/>
  <c r="U330" i="26"/>
  <c r="Y330" i="26"/>
  <c r="AC330" i="26"/>
  <c r="R330" i="26"/>
  <c r="F330" i="26"/>
  <c r="V330" i="26"/>
  <c r="J330" i="26"/>
  <c r="Z330" i="26"/>
  <c r="N330" i="26"/>
  <c r="AD330" i="26"/>
  <c r="AM326" i="26"/>
  <c r="AJ326" i="26"/>
  <c r="AG326" i="26"/>
  <c r="AS326" i="26" s="1"/>
  <c r="AT326" i="26" s="1"/>
  <c r="C326" i="26"/>
  <c r="G326" i="26"/>
  <c r="K326" i="26"/>
  <c r="O326" i="26"/>
  <c r="S326" i="26"/>
  <c r="W326" i="26"/>
  <c r="AA326" i="26"/>
  <c r="AE326" i="26"/>
  <c r="D326" i="26"/>
  <c r="H326" i="26"/>
  <c r="L326" i="26"/>
  <c r="P326" i="26"/>
  <c r="T326" i="26"/>
  <c r="X326" i="26"/>
  <c r="AB326" i="26"/>
  <c r="AV326" i="26" s="1"/>
  <c r="AW326" i="26" s="1"/>
  <c r="AF326" i="26"/>
  <c r="E326" i="26"/>
  <c r="I326" i="26"/>
  <c r="M326" i="26"/>
  <c r="Q326" i="26"/>
  <c r="U326" i="26"/>
  <c r="Y326" i="26"/>
  <c r="AC326" i="26"/>
  <c r="J326" i="26"/>
  <c r="Z326" i="26"/>
  <c r="N326" i="26"/>
  <c r="AD326" i="26"/>
  <c r="R326" i="26"/>
  <c r="F326" i="26"/>
  <c r="V326" i="26"/>
  <c r="AM322" i="26"/>
  <c r="AJ322" i="26"/>
  <c r="AG322" i="26"/>
  <c r="AS322" i="26" s="1"/>
  <c r="AT322" i="26" s="1"/>
  <c r="C322" i="26"/>
  <c r="G322" i="26"/>
  <c r="K322" i="26"/>
  <c r="O322" i="26"/>
  <c r="S322" i="26"/>
  <c r="W322" i="26"/>
  <c r="AA322" i="26"/>
  <c r="AE322" i="26"/>
  <c r="D322" i="26"/>
  <c r="H322" i="26"/>
  <c r="L322" i="26"/>
  <c r="P322" i="26"/>
  <c r="T322" i="26"/>
  <c r="X322" i="26"/>
  <c r="AB322" i="26"/>
  <c r="AV322" i="26" s="1"/>
  <c r="AW322" i="26" s="1"/>
  <c r="AF322" i="26"/>
  <c r="E322" i="26"/>
  <c r="I322" i="26"/>
  <c r="M322" i="26"/>
  <c r="Q322" i="26"/>
  <c r="U322" i="26"/>
  <c r="Y322" i="26"/>
  <c r="AC322" i="26"/>
  <c r="R322" i="26"/>
  <c r="F322" i="26"/>
  <c r="V322" i="26"/>
  <c r="J322" i="26"/>
  <c r="Z322" i="26"/>
  <c r="N322" i="26"/>
  <c r="AM318" i="26"/>
  <c r="AJ318" i="26"/>
  <c r="AG318" i="26"/>
  <c r="AS318" i="26" s="1"/>
  <c r="AT318" i="26" s="1"/>
  <c r="C318" i="26"/>
  <c r="G318" i="26"/>
  <c r="K318" i="26"/>
  <c r="O318" i="26"/>
  <c r="S318" i="26"/>
  <c r="W318" i="26"/>
  <c r="AA318" i="26"/>
  <c r="AE318" i="26"/>
  <c r="D318" i="26"/>
  <c r="H318" i="26"/>
  <c r="L318" i="26"/>
  <c r="P318" i="26"/>
  <c r="T318" i="26"/>
  <c r="X318" i="26"/>
  <c r="AB318" i="26"/>
  <c r="AV318" i="26" s="1"/>
  <c r="AW318" i="26" s="1"/>
  <c r="AF318" i="26"/>
  <c r="E318" i="26"/>
  <c r="I318" i="26"/>
  <c r="M318" i="26"/>
  <c r="Q318" i="26"/>
  <c r="U318" i="26"/>
  <c r="Y318" i="26"/>
  <c r="AC318" i="26"/>
  <c r="J318" i="26"/>
  <c r="Z318" i="26"/>
  <c r="N318" i="26"/>
  <c r="AD318" i="26"/>
  <c r="R318" i="26"/>
  <c r="F318" i="26"/>
  <c r="AM314" i="26"/>
  <c r="AJ314" i="26"/>
  <c r="AG314" i="26"/>
  <c r="AS314" i="26" s="1"/>
  <c r="AT314" i="26" s="1"/>
  <c r="C314" i="26"/>
  <c r="G314" i="26"/>
  <c r="K314" i="26"/>
  <c r="O314" i="26"/>
  <c r="S314" i="26"/>
  <c r="W314" i="26"/>
  <c r="AA314" i="26"/>
  <c r="AE314" i="26"/>
  <c r="D314" i="26"/>
  <c r="H314" i="26"/>
  <c r="L314" i="26"/>
  <c r="P314" i="26"/>
  <c r="T314" i="26"/>
  <c r="X314" i="26"/>
  <c r="AB314" i="26"/>
  <c r="AV314" i="26" s="1"/>
  <c r="AW314" i="26" s="1"/>
  <c r="AF314" i="26"/>
  <c r="E314" i="26"/>
  <c r="I314" i="26"/>
  <c r="M314" i="26"/>
  <c r="Q314" i="26"/>
  <c r="U314" i="26"/>
  <c r="Y314" i="26"/>
  <c r="AC314" i="26"/>
  <c r="R314" i="26"/>
  <c r="F314" i="26"/>
  <c r="V314" i="26"/>
  <c r="J314" i="26"/>
  <c r="Z314" i="26"/>
  <c r="AM310" i="26"/>
  <c r="AJ310" i="26"/>
  <c r="AG310" i="26"/>
  <c r="AS310" i="26" s="1"/>
  <c r="AT310" i="26" s="1"/>
  <c r="C310" i="26"/>
  <c r="G310" i="26"/>
  <c r="K310" i="26"/>
  <c r="O310" i="26"/>
  <c r="S310" i="26"/>
  <c r="W310" i="26"/>
  <c r="AA310" i="26"/>
  <c r="AE310" i="26"/>
  <c r="D310" i="26"/>
  <c r="H310" i="26"/>
  <c r="L310" i="26"/>
  <c r="P310" i="26"/>
  <c r="T310" i="26"/>
  <c r="X310" i="26"/>
  <c r="AB310" i="26"/>
  <c r="AV310" i="26" s="1"/>
  <c r="AW310" i="26" s="1"/>
  <c r="AF310" i="26"/>
  <c r="E310" i="26"/>
  <c r="I310" i="26"/>
  <c r="M310" i="26"/>
  <c r="Q310" i="26"/>
  <c r="U310" i="26"/>
  <c r="Y310" i="26"/>
  <c r="AC310" i="26"/>
  <c r="J310" i="26"/>
  <c r="Z310" i="26"/>
  <c r="N310" i="26"/>
  <c r="AD310" i="26"/>
  <c r="R310" i="26"/>
  <c r="AM306" i="26"/>
  <c r="AJ306" i="26"/>
  <c r="AG306" i="26"/>
  <c r="AS306" i="26" s="1"/>
  <c r="AT306" i="26" s="1"/>
  <c r="C306" i="26"/>
  <c r="G306" i="26"/>
  <c r="K306" i="26"/>
  <c r="O306" i="26"/>
  <c r="S306" i="26"/>
  <c r="W306" i="26"/>
  <c r="AA306" i="26"/>
  <c r="AE306" i="26"/>
  <c r="D306" i="26"/>
  <c r="H306" i="26"/>
  <c r="L306" i="26"/>
  <c r="P306" i="26"/>
  <c r="T306" i="26"/>
  <c r="X306" i="26"/>
  <c r="AB306" i="26"/>
  <c r="AV306" i="26" s="1"/>
  <c r="AW306" i="26" s="1"/>
  <c r="AF306" i="26"/>
  <c r="E306" i="26"/>
  <c r="I306" i="26"/>
  <c r="M306" i="26"/>
  <c r="Q306" i="26"/>
  <c r="U306" i="26"/>
  <c r="Y306" i="26"/>
  <c r="AC306" i="26"/>
  <c r="R306" i="26"/>
  <c r="F306" i="26"/>
  <c r="V306" i="26"/>
  <c r="J306" i="26"/>
  <c r="Z306" i="26"/>
  <c r="AD306" i="26"/>
  <c r="AM302" i="26"/>
  <c r="AJ302" i="26"/>
  <c r="AG302" i="26"/>
  <c r="AS302" i="26" s="1"/>
  <c r="AT302" i="26" s="1"/>
  <c r="C302" i="26"/>
  <c r="G302" i="26"/>
  <c r="K302" i="26"/>
  <c r="O302" i="26"/>
  <c r="S302" i="26"/>
  <c r="W302" i="26"/>
  <c r="AA302" i="26"/>
  <c r="AE302" i="26"/>
  <c r="D302" i="26"/>
  <c r="H302" i="26"/>
  <c r="L302" i="26"/>
  <c r="P302" i="26"/>
  <c r="T302" i="26"/>
  <c r="X302" i="26"/>
  <c r="AB302" i="26"/>
  <c r="AV302" i="26" s="1"/>
  <c r="AW302" i="26" s="1"/>
  <c r="AF302" i="26"/>
  <c r="E302" i="26"/>
  <c r="I302" i="26"/>
  <c r="M302" i="26"/>
  <c r="Q302" i="26"/>
  <c r="U302" i="26"/>
  <c r="Y302" i="26"/>
  <c r="AC302" i="26"/>
  <c r="J302" i="26"/>
  <c r="Z302" i="26"/>
  <c r="N302" i="26"/>
  <c r="AD302" i="26"/>
  <c r="R302" i="26"/>
  <c r="V302" i="26"/>
  <c r="AM298" i="26"/>
  <c r="AJ298" i="26"/>
  <c r="AG298" i="26"/>
  <c r="AS298" i="26" s="1"/>
  <c r="AT298" i="26" s="1"/>
  <c r="C298" i="26"/>
  <c r="G298" i="26"/>
  <c r="K298" i="26"/>
  <c r="O298" i="26"/>
  <c r="S298" i="26"/>
  <c r="W298" i="26"/>
  <c r="AA298" i="26"/>
  <c r="AE298" i="26"/>
  <c r="D298" i="26"/>
  <c r="H298" i="26"/>
  <c r="L298" i="26"/>
  <c r="P298" i="26"/>
  <c r="T298" i="26"/>
  <c r="X298" i="26"/>
  <c r="AB298" i="26"/>
  <c r="AV298" i="26" s="1"/>
  <c r="AW298" i="26" s="1"/>
  <c r="AF298" i="26"/>
  <c r="E298" i="26"/>
  <c r="I298" i="26"/>
  <c r="M298" i="26"/>
  <c r="Q298" i="26"/>
  <c r="U298" i="26"/>
  <c r="Y298" i="26"/>
  <c r="AC298" i="26"/>
  <c r="R298" i="26"/>
  <c r="F298" i="26"/>
  <c r="V298" i="26"/>
  <c r="J298" i="26"/>
  <c r="Z298" i="26"/>
  <c r="N298" i="26"/>
  <c r="AD298" i="26"/>
  <c r="AM294" i="26"/>
  <c r="AJ294" i="26"/>
  <c r="AG294" i="26"/>
  <c r="AS294" i="26" s="1"/>
  <c r="AT294" i="26" s="1"/>
  <c r="D294" i="26"/>
  <c r="H294" i="26"/>
  <c r="L294" i="26"/>
  <c r="P294" i="26"/>
  <c r="T294" i="26"/>
  <c r="X294" i="26"/>
  <c r="AB294" i="26"/>
  <c r="AV294" i="26" s="1"/>
  <c r="AW294" i="26" s="1"/>
  <c r="AF294" i="26"/>
  <c r="E294" i="26"/>
  <c r="I294" i="26"/>
  <c r="M294" i="26"/>
  <c r="Q294" i="26"/>
  <c r="U294" i="26"/>
  <c r="Y294" i="26"/>
  <c r="AC294" i="26"/>
  <c r="F294" i="26"/>
  <c r="J294" i="26"/>
  <c r="N294" i="26"/>
  <c r="R294" i="26"/>
  <c r="V294" i="26"/>
  <c r="Z294" i="26"/>
  <c r="AD294" i="26"/>
  <c r="K294" i="26"/>
  <c r="AA294" i="26"/>
  <c r="O294" i="26"/>
  <c r="AE294" i="26"/>
  <c r="C294" i="26"/>
  <c r="S294" i="26"/>
  <c r="G294" i="26"/>
  <c r="W294" i="26"/>
  <c r="AM290" i="26"/>
  <c r="AJ290" i="26"/>
  <c r="AG290" i="26"/>
  <c r="AS290" i="26" s="1"/>
  <c r="AT290" i="26" s="1"/>
  <c r="D290" i="26"/>
  <c r="H290" i="26"/>
  <c r="L290" i="26"/>
  <c r="P290" i="26"/>
  <c r="T290" i="26"/>
  <c r="X290" i="26"/>
  <c r="AB290" i="26"/>
  <c r="AV290" i="26" s="1"/>
  <c r="AW290" i="26" s="1"/>
  <c r="AF290" i="26"/>
  <c r="E290" i="26"/>
  <c r="I290" i="26"/>
  <c r="M290" i="26"/>
  <c r="Q290" i="26"/>
  <c r="U290" i="26"/>
  <c r="Y290" i="26"/>
  <c r="AC290" i="26"/>
  <c r="F290" i="26"/>
  <c r="J290" i="26"/>
  <c r="N290" i="26"/>
  <c r="R290" i="26"/>
  <c r="V290" i="26"/>
  <c r="Z290" i="26"/>
  <c r="AD290" i="26"/>
  <c r="C290" i="26"/>
  <c r="S290" i="26"/>
  <c r="G290" i="26"/>
  <c r="W290" i="26"/>
  <c r="K290" i="26"/>
  <c r="AA290" i="26"/>
  <c r="O290" i="26"/>
  <c r="AM286" i="26"/>
  <c r="AJ286" i="26"/>
  <c r="AG286" i="26"/>
  <c r="AS286" i="26" s="1"/>
  <c r="AT286" i="26" s="1"/>
  <c r="D286" i="26"/>
  <c r="H286" i="26"/>
  <c r="L286" i="26"/>
  <c r="P286" i="26"/>
  <c r="T286" i="26"/>
  <c r="X286" i="26"/>
  <c r="AB286" i="26"/>
  <c r="AV286" i="26" s="1"/>
  <c r="AW286" i="26" s="1"/>
  <c r="AF286" i="26"/>
  <c r="E286" i="26"/>
  <c r="I286" i="26"/>
  <c r="M286" i="26"/>
  <c r="Q286" i="26"/>
  <c r="U286" i="26"/>
  <c r="Y286" i="26"/>
  <c r="AC286" i="26"/>
  <c r="F286" i="26"/>
  <c r="J286" i="26"/>
  <c r="N286" i="26"/>
  <c r="R286" i="26"/>
  <c r="V286" i="26"/>
  <c r="Z286" i="26"/>
  <c r="AD286" i="26"/>
  <c r="K286" i="26"/>
  <c r="AA286" i="26"/>
  <c r="O286" i="26"/>
  <c r="AE286" i="26"/>
  <c r="C286" i="26"/>
  <c r="S286" i="26"/>
  <c r="G286" i="26"/>
  <c r="W286" i="26"/>
  <c r="AM282" i="26"/>
  <c r="AJ282" i="26"/>
  <c r="AG282" i="26"/>
  <c r="AS282" i="26" s="1"/>
  <c r="AT282" i="26" s="1"/>
  <c r="D282" i="26"/>
  <c r="H282" i="26"/>
  <c r="L282" i="26"/>
  <c r="P282" i="26"/>
  <c r="T282" i="26"/>
  <c r="X282" i="26"/>
  <c r="AB282" i="26"/>
  <c r="AV282" i="26" s="1"/>
  <c r="AW282" i="26" s="1"/>
  <c r="AF282" i="26"/>
  <c r="E282" i="26"/>
  <c r="I282" i="26"/>
  <c r="M282" i="26"/>
  <c r="Q282" i="26"/>
  <c r="U282" i="26"/>
  <c r="Y282" i="26"/>
  <c r="AC282" i="26"/>
  <c r="F282" i="26"/>
  <c r="J282" i="26"/>
  <c r="N282" i="26"/>
  <c r="R282" i="26"/>
  <c r="V282" i="26"/>
  <c r="Z282" i="26"/>
  <c r="AD282" i="26"/>
  <c r="C282" i="26"/>
  <c r="S282" i="26"/>
  <c r="G282" i="26"/>
  <c r="W282" i="26"/>
  <c r="K282" i="26"/>
  <c r="AA282" i="26"/>
  <c r="AE282" i="26"/>
  <c r="AM278" i="26"/>
  <c r="AJ278" i="26"/>
  <c r="AG278" i="26"/>
  <c r="AS278" i="26" s="1"/>
  <c r="AT278" i="26" s="1"/>
  <c r="D278" i="26"/>
  <c r="H278" i="26"/>
  <c r="L278" i="26"/>
  <c r="P278" i="26"/>
  <c r="T278" i="26"/>
  <c r="X278" i="26"/>
  <c r="AB278" i="26"/>
  <c r="AV278" i="26" s="1"/>
  <c r="AW278" i="26" s="1"/>
  <c r="AF278" i="26"/>
  <c r="E278" i="26"/>
  <c r="I278" i="26"/>
  <c r="M278" i="26"/>
  <c r="Q278" i="26"/>
  <c r="U278" i="26"/>
  <c r="Y278" i="26"/>
  <c r="AC278" i="26"/>
  <c r="F278" i="26"/>
  <c r="J278" i="26"/>
  <c r="N278" i="26"/>
  <c r="R278" i="26"/>
  <c r="V278" i="26"/>
  <c r="Z278" i="26"/>
  <c r="AD278" i="26"/>
  <c r="K278" i="26"/>
  <c r="AA278" i="26"/>
  <c r="O278" i="26"/>
  <c r="AE278" i="26"/>
  <c r="C278" i="26"/>
  <c r="S278" i="26"/>
  <c r="W278" i="26"/>
  <c r="G278" i="26"/>
  <c r="AM274" i="26"/>
  <c r="AJ274" i="26"/>
  <c r="AG274" i="26"/>
  <c r="AS274" i="26" s="1"/>
  <c r="AT274" i="26" s="1"/>
  <c r="D274" i="26"/>
  <c r="H274" i="26"/>
  <c r="L274" i="26"/>
  <c r="P274" i="26"/>
  <c r="T274" i="26"/>
  <c r="X274" i="26"/>
  <c r="AB274" i="26"/>
  <c r="AV274" i="26" s="1"/>
  <c r="AW274" i="26" s="1"/>
  <c r="AF274" i="26"/>
  <c r="E274" i="26"/>
  <c r="I274" i="26"/>
  <c r="M274" i="26"/>
  <c r="Q274" i="26"/>
  <c r="U274" i="26"/>
  <c r="Y274" i="26"/>
  <c r="AC274" i="26"/>
  <c r="F274" i="26"/>
  <c r="J274" i="26"/>
  <c r="N274" i="26"/>
  <c r="R274" i="26"/>
  <c r="V274" i="26"/>
  <c r="Z274" i="26"/>
  <c r="AD274" i="26"/>
  <c r="C274" i="26"/>
  <c r="S274" i="26"/>
  <c r="G274" i="26"/>
  <c r="W274" i="26"/>
  <c r="K274" i="26"/>
  <c r="AA274" i="26"/>
  <c r="O274" i="26"/>
  <c r="AE274" i="26"/>
  <c r="AM270" i="26"/>
  <c r="AJ270" i="26"/>
  <c r="AG270" i="26"/>
  <c r="AS270" i="26" s="1"/>
  <c r="AT270" i="26" s="1"/>
  <c r="D270" i="26"/>
  <c r="H270" i="26"/>
  <c r="L270" i="26"/>
  <c r="P270" i="26"/>
  <c r="T270" i="26"/>
  <c r="X270" i="26"/>
  <c r="AB270" i="26"/>
  <c r="AV270" i="26" s="1"/>
  <c r="AW270" i="26" s="1"/>
  <c r="AF270" i="26"/>
  <c r="E270" i="26"/>
  <c r="I270" i="26"/>
  <c r="M270" i="26"/>
  <c r="Q270" i="26"/>
  <c r="U270" i="26"/>
  <c r="Y270" i="26"/>
  <c r="AC270" i="26"/>
  <c r="F270" i="26"/>
  <c r="J270" i="26"/>
  <c r="N270" i="26"/>
  <c r="R270" i="26"/>
  <c r="V270" i="26"/>
  <c r="Z270" i="26"/>
  <c r="AD270" i="26"/>
  <c r="K270" i="26"/>
  <c r="AA270" i="26"/>
  <c r="O270" i="26"/>
  <c r="AE270" i="26"/>
  <c r="C270" i="26"/>
  <c r="S270" i="26"/>
  <c r="G270" i="26"/>
  <c r="W270" i="26"/>
  <c r="AM266" i="26"/>
  <c r="AJ266" i="26"/>
  <c r="AG266" i="26"/>
  <c r="AS266" i="26" s="1"/>
  <c r="AT266" i="26" s="1"/>
  <c r="D266" i="26"/>
  <c r="H266" i="26"/>
  <c r="L266" i="26"/>
  <c r="P266" i="26"/>
  <c r="T266" i="26"/>
  <c r="X266" i="26"/>
  <c r="AB266" i="26"/>
  <c r="AV266" i="26" s="1"/>
  <c r="AW266" i="26" s="1"/>
  <c r="AF266" i="26"/>
  <c r="E266" i="26"/>
  <c r="I266" i="26"/>
  <c r="M266" i="26"/>
  <c r="Q266" i="26"/>
  <c r="U266" i="26"/>
  <c r="Y266" i="26"/>
  <c r="AC266" i="26"/>
  <c r="F266" i="26"/>
  <c r="J266" i="26"/>
  <c r="N266" i="26"/>
  <c r="R266" i="26"/>
  <c r="V266" i="26"/>
  <c r="Z266" i="26"/>
  <c r="AD266" i="26"/>
  <c r="C266" i="26"/>
  <c r="S266" i="26"/>
  <c r="G266" i="26"/>
  <c r="W266" i="26"/>
  <c r="K266" i="26"/>
  <c r="AA266" i="26"/>
  <c r="O266" i="26"/>
  <c r="AE266" i="26"/>
  <c r="AM262" i="26"/>
  <c r="AJ262" i="26"/>
  <c r="AG262" i="26"/>
  <c r="AS262" i="26" s="1"/>
  <c r="AT262" i="26" s="1"/>
  <c r="D262" i="26"/>
  <c r="H262" i="26"/>
  <c r="L262" i="26"/>
  <c r="P262" i="26"/>
  <c r="T262" i="26"/>
  <c r="X262" i="26"/>
  <c r="AB262" i="26"/>
  <c r="AV262" i="26" s="1"/>
  <c r="AW262" i="26" s="1"/>
  <c r="AF262" i="26"/>
  <c r="E262" i="26"/>
  <c r="I262" i="26"/>
  <c r="M262" i="26"/>
  <c r="Q262" i="26"/>
  <c r="U262" i="26"/>
  <c r="Y262" i="26"/>
  <c r="AC262" i="26"/>
  <c r="J262" i="26"/>
  <c r="R262" i="26"/>
  <c r="Z262" i="26"/>
  <c r="C262" i="26"/>
  <c r="K262" i="26"/>
  <c r="S262" i="26"/>
  <c r="AA262" i="26"/>
  <c r="F262" i="26"/>
  <c r="N262" i="26"/>
  <c r="V262" i="26"/>
  <c r="AD262" i="26"/>
  <c r="O262" i="26"/>
  <c r="W262" i="26"/>
  <c r="AE262" i="26"/>
  <c r="AM258" i="26"/>
  <c r="AJ258" i="26"/>
  <c r="AG258" i="26"/>
  <c r="AS258" i="26" s="1"/>
  <c r="AT258" i="26" s="1"/>
  <c r="D258" i="26"/>
  <c r="H258" i="26"/>
  <c r="L258" i="26"/>
  <c r="P258" i="26"/>
  <c r="T258" i="26"/>
  <c r="X258" i="26"/>
  <c r="AB258" i="26"/>
  <c r="AV258" i="26" s="1"/>
  <c r="AW258" i="26" s="1"/>
  <c r="AF258" i="26"/>
  <c r="E258" i="26"/>
  <c r="I258" i="26"/>
  <c r="M258" i="26"/>
  <c r="Q258" i="26"/>
  <c r="U258" i="26"/>
  <c r="Y258" i="26"/>
  <c r="AC258" i="26"/>
  <c r="J258" i="26"/>
  <c r="R258" i="26"/>
  <c r="Z258" i="26"/>
  <c r="C258" i="26"/>
  <c r="K258" i="26"/>
  <c r="S258" i="26"/>
  <c r="AA258" i="26"/>
  <c r="F258" i="26"/>
  <c r="N258" i="26"/>
  <c r="V258" i="26"/>
  <c r="AD258" i="26"/>
  <c r="G258" i="26"/>
  <c r="O258" i="26"/>
  <c r="W258" i="26"/>
  <c r="AE258" i="26"/>
  <c r="AM254" i="26"/>
  <c r="AJ254" i="26"/>
  <c r="AG254" i="26"/>
  <c r="AS254" i="26" s="1"/>
  <c r="AT254" i="26" s="1"/>
  <c r="C254" i="26"/>
  <c r="G254" i="26"/>
  <c r="K254" i="26"/>
  <c r="O254" i="26"/>
  <c r="S254" i="26"/>
  <c r="W254" i="26"/>
  <c r="AA254" i="26"/>
  <c r="AE254" i="26"/>
  <c r="D254" i="26"/>
  <c r="H254" i="26"/>
  <c r="L254" i="26"/>
  <c r="P254" i="26"/>
  <c r="T254" i="26"/>
  <c r="X254" i="26"/>
  <c r="AB254" i="26"/>
  <c r="AV254" i="26" s="1"/>
  <c r="AW254" i="26" s="1"/>
  <c r="AF254" i="26"/>
  <c r="E254" i="26"/>
  <c r="I254" i="26"/>
  <c r="M254" i="26"/>
  <c r="Q254" i="26"/>
  <c r="U254" i="26"/>
  <c r="Y254" i="26"/>
  <c r="AC254" i="26"/>
  <c r="R254" i="26"/>
  <c r="F254" i="26"/>
  <c r="V254" i="26"/>
  <c r="J254" i="26"/>
  <c r="Z254" i="26"/>
  <c r="AD254" i="26"/>
  <c r="N254" i="26"/>
  <c r="AM250" i="26"/>
  <c r="AG250" i="26"/>
  <c r="AS250" i="26" s="1"/>
  <c r="AT250" i="26" s="1"/>
  <c r="AJ250" i="26"/>
  <c r="C250" i="26"/>
  <c r="G250" i="26"/>
  <c r="K250" i="26"/>
  <c r="O250" i="26"/>
  <c r="S250" i="26"/>
  <c r="W250" i="26"/>
  <c r="AA250" i="26"/>
  <c r="AE250" i="26"/>
  <c r="D250" i="26"/>
  <c r="H250" i="26"/>
  <c r="L250" i="26"/>
  <c r="P250" i="26"/>
  <c r="T250" i="26"/>
  <c r="X250" i="26"/>
  <c r="AB250" i="26"/>
  <c r="AV250" i="26" s="1"/>
  <c r="AW250" i="26" s="1"/>
  <c r="AF250" i="26"/>
  <c r="E250" i="26"/>
  <c r="I250" i="26"/>
  <c r="M250" i="26"/>
  <c r="Q250" i="26"/>
  <c r="U250" i="26"/>
  <c r="Y250" i="26"/>
  <c r="AC250" i="26"/>
  <c r="J250" i="26"/>
  <c r="Z250" i="26"/>
  <c r="N250" i="26"/>
  <c r="AD250" i="26"/>
  <c r="R250" i="26"/>
  <c r="V250" i="26"/>
  <c r="F250" i="26"/>
  <c r="AM246" i="26"/>
  <c r="AJ246" i="26"/>
  <c r="AG246" i="26"/>
  <c r="AS246" i="26" s="1"/>
  <c r="AT246" i="26" s="1"/>
  <c r="C246" i="26"/>
  <c r="G246" i="26"/>
  <c r="K246" i="26"/>
  <c r="O246" i="26"/>
  <c r="S246" i="26"/>
  <c r="W246" i="26"/>
  <c r="AA246" i="26"/>
  <c r="AE246" i="26"/>
  <c r="D246" i="26"/>
  <c r="H246" i="26"/>
  <c r="L246" i="26"/>
  <c r="P246" i="26"/>
  <c r="T246" i="26"/>
  <c r="X246" i="26"/>
  <c r="AB246" i="26"/>
  <c r="AV246" i="26" s="1"/>
  <c r="AW246" i="26" s="1"/>
  <c r="AF246" i="26"/>
  <c r="E246" i="26"/>
  <c r="I246" i="26"/>
  <c r="M246" i="26"/>
  <c r="Q246" i="26"/>
  <c r="U246" i="26"/>
  <c r="Y246" i="26"/>
  <c r="AC246" i="26"/>
  <c r="R246" i="26"/>
  <c r="F246" i="26"/>
  <c r="V246" i="26"/>
  <c r="J246" i="26"/>
  <c r="Z246" i="26"/>
  <c r="N246" i="26"/>
  <c r="AD246" i="26"/>
  <c r="AM242" i="26"/>
  <c r="AJ242" i="26"/>
  <c r="AG242" i="26"/>
  <c r="AS242" i="26" s="1"/>
  <c r="AT242" i="26" s="1"/>
  <c r="C242" i="26"/>
  <c r="G242" i="26"/>
  <c r="K242" i="26"/>
  <c r="O242" i="26"/>
  <c r="S242" i="26"/>
  <c r="W242" i="26"/>
  <c r="AA242" i="26"/>
  <c r="AE242" i="26"/>
  <c r="D242" i="26"/>
  <c r="H242" i="26"/>
  <c r="L242" i="26"/>
  <c r="P242" i="26"/>
  <c r="T242" i="26"/>
  <c r="X242" i="26"/>
  <c r="AB242" i="26"/>
  <c r="AV242" i="26" s="1"/>
  <c r="AW242" i="26" s="1"/>
  <c r="AF242" i="26"/>
  <c r="E242" i="26"/>
  <c r="I242" i="26"/>
  <c r="M242" i="26"/>
  <c r="Q242" i="26"/>
  <c r="U242" i="26"/>
  <c r="Y242" i="26"/>
  <c r="AC242" i="26"/>
  <c r="J242" i="26"/>
  <c r="Z242" i="26"/>
  <c r="N242" i="26"/>
  <c r="AD242" i="26"/>
  <c r="R242" i="26"/>
  <c r="F242" i="26"/>
  <c r="V242" i="26"/>
  <c r="AM238" i="26"/>
  <c r="AJ238" i="26"/>
  <c r="AG238" i="26"/>
  <c r="AS238" i="26" s="1"/>
  <c r="AT238" i="26" s="1"/>
  <c r="C238" i="26"/>
  <c r="G238" i="26"/>
  <c r="K238" i="26"/>
  <c r="O238" i="26"/>
  <c r="S238" i="26"/>
  <c r="W238" i="26"/>
  <c r="AA238" i="26"/>
  <c r="AE238" i="26"/>
  <c r="D238" i="26"/>
  <c r="H238" i="26"/>
  <c r="L238" i="26"/>
  <c r="P238" i="26"/>
  <c r="T238" i="26"/>
  <c r="X238" i="26"/>
  <c r="AB238" i="26"/>
  <c r="AV238" i="26" s="1"/>
  <c r="AW238" i="26" s="1"/>
  <c r="AF238" i="26"/>
  <c r="E238" i="26"/>
  <c r="I238" i="26"/>
  <c r="M238" i="26"/>
  <c r="Q238" i="26"/>
  <c r="U238" i="26"/>
  <c r="Y238" i="26"/>
  <c r="AC238" i="26"/>
  <c r="R238" i="26"/>
  <c r="F238" i="26"/>
  <c r="V238" i="26"/>
  <c r="J238" i="26"/>
  <c r="Z238" i="26"/>
  <c r="N238" i="26"/>
  <c r="AD238" i="26"/>
  <c r="AM234" i="26"/>
  <c r="AJ234" i="26"/>
  <c r="AG234" i="26"/>
  <c r="AS234" i="26" s="1"/>
  <c r="AT234" i="26" s="1"/>
  <c r="C234" i="26"/>
  <c r="G234" i="26"/>
  <c r="K234" i="26"/>
  <c r="O234" i="26"/>
  <c r="S234" i="26"/>
  <c r="W234" i="26"/>
  <c r="AA234" i="26"/>
  <c r="AE234" i="26"/>
  <c r="D234" i="26"/>
  <c r="H234" i="26"/>
  <c r="L234" i="26"/>
  <c r="P234" i="26"/>
  <c r="T234" i="26"/>
  <c r="X234" i="26"/>
  <c r="AB234" i="26"/>
  <c r="AV234" i="26" s="1"/>
  <c r="AW234" i="26" s="1"/>
  <c r="AF234" i="26"/>
  <c r="E234" i="26"/>
  <c r="I234" i="26"/>
  <c r="M234" i="26"/>
  <c r="Q234" i="26"/>
  <c r="U234" i="26"/>
  <c r="Y234" i="26"/>
  <c r="AC234" i="26"/>
  <c r="J234" i="26"/>
  <c r="Z234" i="26"/>
  <c r="N234" i="26"/>
  <c r="AD234" i="26"/>
  <c r="R234" i="26"/>
  <c r="F234" i="26"/>
  <c r="V234" i="26"/>
  <c r="AM230" i="26"/>
  <c r="AJ230" i="26"/>
  <c r="AG230" i="26"/>
  <c r="AS230" i="26" s="1"/>
  <c r="AT230" i="26" s="1"/>
  <c r="E230" i="26"/>
  <c r="F230" i="26"/>
  <c r="J230" i="26"/>
  <c r="N230" i="26"/>
  <c r="C230" i="26"/>
  <c r="I230" i="26"/>
  <c r="O230" i="26"/>
  <c r="S230" i="26"/>
  <c r="W230" i="26"/>
  <c r="AA230" i="26"/>
  <c r="AE230" i="26"/>
  <c r="D230" i="26"/>
  <c r="K230" i="26"/>
  <c r="P230" i="26"/>
  <c r="T230" i="26"/>
  <c r="X230" i="26"/>
  <c r="AB230" i="26"/>
  <c r="AV230" i="26" s="1"/>
  <c r="AW230" i="26" s="1"/>
  <c r="AF230" i="26"/>
  <c r="G230" i="26"/>
  <c r="L230" i="26"/>
  <c r="Q230" i="26"/>
  <c r="U230" i="26"/>
  <c r="Y230" i="26"/>
  <c r="AC230" i="26"/>
  <c r="R230" i="26"/>
  <c r="V230" i="26"/>
  <c r="H230" i="26"/>
  <c r="Z230" i="26"/>
  <c r="M230" i="26"/>
  <c r="AD230" i="26"/>
  <c r="AM226" i="26"/>
  <c r="AJ226" i="26"/>
  <c r="AG226" i="26"/>
  <c r="AS226" i="26" s="1"/>
  <c r="AT226" i="26" s="1"/>
  <c r="D226" i="26"/>
  <c r="H226" i="26"/>
  <c r="L226" i="26"/>
  <c r="P226" i="26"/>
  <c r="T226" i="26"/>
  <c r="X226" i="26"/>
  <c r="AB226" i="26"/>
  <c r="AV226" i="26" s="1"/>
  <c r="AW226" i="26" s="1"/>
  <c r="AF226" i="26"/>
  <c r="E226" i="26"/>
  <c r="I226" i="26"/>
  <c r="M226" i="26"/>
  <c r="Q226" i="26"/>
  <c r="U226" i="26"/>
  <c r="Y226" i="26"/>
  <c r="AC226" i="26"/>
  <c r="F226" i="26"/>
  <c r="J226" i="26"/>
  <c r="N226" i="26"/>
  <c r="R226" i="26"/>
  <c r="V226" i="26"/>
  <c r="Z226" i="26"/>
  <c r="AD226" i="26"/>
  <c r="O226" i="26"/>
  <c r="AE226" i="26"/>
  <c r="C226" i="26"/>
  <c r="S226" i="26"/>
  <c r="G226" i="26"/>
  <c r="W226" i="26"/>
  <c r="K226" i="26"/>
  <c r="AA226" i="26"/>
  <c r="AM222" i="26"/>
  <c r="AJ222" i="26"/>
  <c r="AG222" i="26"/>
  <c r="AS222" i="26" s="1"/>
  <c r="AT222" i="26" s="1"/>
  <c r="D222" i="26"/>
  <c r="H222" i="26"/>
  <c r="L222" i="26"/>
  <c r="P222" i="26"/>
  <c r="T222" i="26"/>
  <c r="X222" i="26"/>
  <c r="AB222" i="26"/>
  <c r="AV222" i="26" s="1"/>
  <c r="AW222" i="26" s="1"/>
  <c r="AF222" i="26"/>
  <c r="E222" i="26"/>
  <c r="I222" i="26"/>
  <c r="M222" i="26"/>
  <c r="Q222" i="26"/>
  <c r="U222" i="26"/>
  <c r="Y222" i="26"/>
  <c r="AC222" i="26"/>
  <c r="F222" i="26"/>
  <c r="J222" i="26"/>
  <c r="N222" i="26"/>
  <c r="R222" i="26"/>
  <c r="V222" i="26"/>
  <c r="Z222" i="26"/>
  <c r="AD222" i="26"/>
  <c r="G222" i="26"/>
  <c r="W222" i="26"/>
  <c r="K222" i="26"/>
  <c r="AA222" i="26"/>
  <c r="O222" i="26"/>
  <c r="AE222" i="26"/>
  <c r="C222" i="26"/>
  <c r="S222" i="26"/>
  <c r="AM218" i="26"/>
  <c r="AJ218" i="26"/>
  <c r="AG218" i="26"/>
  <c r="AS218" i="26" s="1"/>
  <c r="AT218" i="26" s="1"/>
  <c r="D218" i="26"/>
  <c r="H218" i="26"/>
  <c r="L218" i="26"/>
  <c r="P218" i="26"/>
  <c r="T218" i="26"/>
  <c r="X218" i="26"/>
  <c r="AB218" i="26"/>
  <c r="AV218" i="26" s="1"/>
  <c r="AW218" i="26" s="1"/>
  <c r="AF218" i="26"/>
  <c r="E218" i="26"/>
  <c r="I218" i="26"/>
  <c r="M218" i="26"/>
  <c r="Q218" i="26"/>
  <c r="U218" i="26"/>
  <c r="Y218" i="26"/>
  <c r="AC218" i="26"/>
  <c r="F218" i="26"/>
  <c r="J218" i="26"/>
  <c r="N218" i="26"/>
  <c r="R218" i="26"/>
  <c r="V218" i="26"/>
  <c r="Z218" i="26"/>
  <c r="AD218" i="26"/>
  <c r="O218" i="26"/>
  <c r="AE218" i="26"/>
  <c r="C218" i="26"/>
  <c r="S218" i="26"/>
  <c r="G218" i="26"/>
  <c r="W218" i="26"/>
  <c r="AA218" i="26"/>
  <c r="K218" i="26"/>
  <c r="AM214" i="26"/>
  <c r="AJ214" i="26"/>
  <c r="AG214" i="26"/>
  <c r="AS214" i="26" s="1"/>
  <c r="AT214" i="26" s="1"/>
  <c r="D214" i="26"/>
  <c r="H214" i="26"/>
  <c r="L214" i="26"/>
  <c r="P214" i="26"/>
  <c r="T214" i="26"/>
  <c r="X214" i="26"/>
  <c r="AB214" i="26"/>
  <c r="AV214" i="26" s="1"/>
  <c r="AW214" i="26" s="1"/>
  <c r="AF214" i="26"/>
  <c r="E214" i="26"/>
  <c r="I214" i="26"/>
  <c r="M214" i="26"/>
  <c r="Q214" i="26"/>
  <c r="U214" i="26"/>
  <c r="Y214" i="26"/>
  <c r="AC214" i="26"/>
  <c r="F214" i="26"/>
  <c r="J214" i="26"/>
  <c r="N214" i="26"/>
  <c r="R214" i="26"/>
  <c r="V214" i="26"/>
  <c r="Z214" i="26"/>
  <c r="AD214" i="26"/>
  <c r="G214" i="26"/>
  <c r="W214" i="26"/>
  <c r="K214" i="26"/>
  <c r="AA214" i="26"/>
  <c r="O214" i="26"/>
  <c r="AE214" i="26"/>
  <c r="S214" i="26"/>
  <c r="C214" i="26"/>
  <c r="AM210" i="26"/>
  <c r="AJ210" i="26"/>
  <c r="AG210" i="26"/>
  <c r="AS210" i="26" s="1"/>
  <c r="AT210" i="26" s="1"/>
  <c r="D210" i="26"/>
  <c r="H210" i="26"/>
  <c r="L210" i="26"/>
  <c r="P210" i="26"/>
  <c r="T210" i="26"/>
  <c r="X210" i="26"/>
  <c r="AB210" i="26"/>
  <c r="AV210" i="26" s="1"/>
  <c r="AW210" i="26" s="1"/>
  <c r="AF210" i="26"/>
  <c r="E210" i="26"/>
  <c r="I210" i="26"/>
  <c r="M210" i="26"/>
  <c r="Q210" i="26"/>
  <c r="U210" i="26"/>
  <c r="Y210" i="26"/>
  <c r="AC210" i="26"/>
  <c r="F210" i="26"/>
  <c r="J210" i="26"/>
  <c r="N210" i="26"/>
  <c r="R210" i="26"/>
  <c r="V210" i="26"/>
  <c r="Z210" i="26"/>
  <c r="AD210" i="26"/>
  <c r="O210" i="26"/>
  <c r="AE210" i="26"/>
  <c r="C210" i="26"/>
  <c r="S210" i="26"/>
  <c r="G210" i="26"/>
  <c r="W210" i="26"/>
  <c r="K210" i="26"/>
  <c r="AA210" i="26"/>
  <c r="AM206" i="26"/>
  <c r="AJ206" i="26"/>
  <c r="AG206" i="26"/>
  <c r="AS206" i="26" s="1"/>
  <c r="AT206" i="26" s="1"/>
  <c r="D206" i="26"/>
  <c r="H206" i="26"/>
  <c r="L206" i="26"/>
  <c r="P206" i="26"/>
  <c r="T206" i="26"/>
  <c r="X206" i="26"/>
  <c r="AB206" i="26"/>
  <c r="AV206" i="26" s="1"/>
  <c r="AW206" i="26" s="1"/>
  <c r="AF206" i="26"/>
  <c r="E206" i="26"/>
  <c r="I206" i="26"/>
  <c r="M206" i="26"/>
  <c r="Q206" i="26"/>
  <c r="U206" i="26"/>
  <c r="Y206" i="26"/>
  <c r="AC206" i="26"/>
  <c r="F206" i="26"/>
  <c r="J206" i="26"/>
  <c r="N206" i="26"/>
  <c r="R206" i="26"/>
  <c r="V206" i="26"/>
  <c r="Z206" i="26"/>
  <c r="AD206" i="26"/>
  <c r="G206" i="26"/>
  <c r="W206" i="26"/>
  <c r="K206" i="26"/>
  <c r="AA206" i="26"/>
  <c r="O206" i="26"/>
  <c r="AE206" i="26"/>
  <c r="C206" i="26"/>
  <c r="S206" i="26"/>
  <c r="AM202" i="26"/>
  <c r="AJ202" i="26"/>
  <c r="AG202" i="26"/>
  <c r="AS202" i="26" s="1"/>
  <c r="AT202" i="26" s="1"/>
  <c r="D202" i="26"/>
  <c r="H202" i="26"/>
  <c r="L202" i="26"/>
  <c r="P202" i="26"/>
  <c r="T202" i="26"/>
  <c r="X202" i="26"/>
  <c r="AB202" i="26"/>
  <c r="AV202" i="26" s="1"/>
  <c r="AW202" i="26" s="1"/>
  <c r="AF202" i="26"/>
  <c r="E202" i="26"/>
  <c r="I202" i="26"/>
  <c r="M202" i="26"/>
  <c r="Q202" i="26"/>
  <c r="U202" i="26"/>
  <c r="Y202" i="26"/>
  <c r="AC202" i="26"/>
  <c r="F202" i="26"/>
  <c r="J202" i="26"/>
  <c r="N202" i="26"/>
  <c r="R202" i="26"/>
  <c r="V202" i="26"/>
  <c r="Z202" i="26"/>
  <c r="AD202" i="26"/>
  <c r="O202" i="26"/>
  <c r="AE202" i="26"/>
  <c r="C202" i="26"/>
  <c r="S202" i="26"/>
  <c r="G202" i="26"/>
  <c r="W202" i="26"/>
  <c r="K202" i="26"/>
  <c r="AA202" i="26"/>
  <c r="AM198" i="26"/>
  <c r="AJ198" i="26"/>
  <c r="AG198" i="26"/>
  <c r="AS198" i="26" s="1"/>
  <c r="AT198" i="26" s="1"/>
  <c r="D198" i="26"/>
  <c r="H198" i="26"/>
  <c r="L198" i="26"/>
  <c r="P198" i="26"/>
  <c r="T198" i="26"/>
  <c r="X198" i="26"/>
  <c r="AB198" i="26"/>
  <c r="AV198" i="26" s="1"/>
  <c r="AW198" i="26" s="1"/>
  <c r="AF198" i="26"/>
  <c r="E198" i="26"/>
  <c r="I198" i="26"/>
  <c r="M198" i="26"/>
  <c r="Q198" i="26"/>
  <c r="U198" i="26"/>
  <c r="Y198" i="26"/>
  <c r="AC198" i="26"/>
  <c r="F198" i="26"/>
  <c r="J198" i="26"/>
  <c r="N198" i="26"/>
  <c r="R198" i="26"/>
  <c r="V198" i="26"/>
  <c r="Z198" i="26"/>
  <c r="AD198" i="26"/>
  <c r="G198" i="26"/>
  <c r="W198" i="26"/>
  <c r="K198" i="26"/>
  <c r="AA198" i="26"/>
  <c r="O198" i="26"/>
  <c r="AE198" i="26"/>
  <c r="C198" i="26"/>
  <c r="S198" i="26"/>
  <c r="AM194" i="26"/>
  <c r="AJ194" i="26"/>
  <c r="AG194" i="26"/>
  <c r="AS194" i="26" s="1"/>
  <c r="AT194" i="26" s="1"/>
  <c r="D194" i="26"/>
  <c r="H194" i="26"/>
  <c r="L194" i="26"/>
  <c r="P194" i="26"/>
  <c r="T194" i="26"/>
  <c r="X194" i="26"/>
  <c r="AB194" i="26"/>
  <c r="AV194" i="26" s="1"/>
  <c r="AW194" i="26" s="1"/>
  <c r="AF194" i="26"/>
  <c r="E194" i="26"/>
  <c r="I194" i="26"/>
  <c r="M194" i="26"/>
  <c r="Q194" i="26"/>
  <c r="U194" i="26"/>
  <c r="Y194" i="26"/>
  <c r="AC194" i="26"/>
  <c r="F194" i="26"/>
  <c r="J194" i="26"/>
  <c r="N194" i="26"/>
  <c r="R194" i="26"/>
  <c r="V194" i="26"/>
  <c r="Z194" i="26"/>
  <c r="AD194" i="26"/>
  <c r="O194" i="26"/>
  <c r="AE194" i="26"/>
  <c r="C194" i="26"/>
  <c r="S194" i="26"/>
  <c r="G194" i="26"/>
  <c r="W194" i="26"/>
  <c r="K194" i="26"/>
  <c r="AA194" i="26"/>
  <c r="AM190" i="26"/>
  <c r="AJ190" i="26"/>
  <c r="C190" i="26"/>
  <c r="G190" i="26"/>
  <c r="K190" i="26"/>
  <c r="D190" i="26"/>
  <c r="H190" i="26"/>
  <c r="L190" i="26"/>
  <c r="P190" i="26"/>
  <c r="T190" i="26"/>
  <c r="E190" i="26"/>
  <c r="I190" i="26"/>
  <c r="M190" i="26"/>
  <c r="Q190" i="26"/>
  <c r="U190" i="26"/>
  <c r="F190" i="26"/>
  <c r="R190" i="26"/>
  <c r="X190" i="26"/>
  <c r="AB190" i="26"/>
  <c r="AV190" i="26" s="1"/>
  <c r="AW190" i="26" s="1"/>
  <c r="AF190" i="26"/>
  <c r="J190" i="26"/>
  <c r="S190" i="26"/>
  <c r="Y190" i="26"/>
  <c r="AC190" i="26"/>
  <c r="N190" i="26"/>
  <c r="V190" i="26"/>
  <c r="Z190" i="26"/>
  <c r="AD190" i="26"/>
  <c r="W190" i="26"/>
  <c r="AG190" i="26"/>
  <c r="AS190" i="26" s="1"/>
  <c r="AT190" i="26" s="1"/>
  <c r="AA190" i="26"/>
  <c r="AE190" i="26"/>
  <c r="O190" i="26"/>
  <c r="AM186" i="26"/>
  <c r="AG186" i="26"/>
  <c r="AS186" i="26" s="1"/>
  <c r="AT186" i="26" s="1"/>
  <c r="C186" i="26"/>
  <c r="G186" i="26"/>
  <c r="K186" i="26"/>
  <c r="O186" i="26"/>
  <c r="S186" i="26"/>
  <c r="W186" i="26"/>
  <c r="AA186" i="26"/>
  <c r="AE186" i="26"/>
  <c r="D186" i="26"/>
  <c r="H186" i="26"/>
  <c r="L186" i="26"/>
  <c r="P186" i="26"/>
  <c r="T186" i="26"/>
  <c r="X186" i="26"/>
  <c r="AB186" i="26"/>
  <c r="AV186" i="26" s="1"/>
  <c r="AW186" i="26" s="1"/>
  <c r="AF186" i="26"/>
  <c r="AJ186" i="26"/>
  <c r="E186" i="26"/>
  <c r="I186" i="26"/>
  <c r="M186" i="26"/>
  <c r="Q186" i="26"/>
  <c r="U186" i="26"/>
  <c r="Y186" i="26"/>
  <c r="AC186" i="26"/>
  <c r="N186" i="26"/>
  <c r="AD186" i="26"/>
  <c r="R186" i="26"/>
  <c r="F186" i="26"/>
  <c r="V186" i="26"/>
  <c r="Z186" i="26"/>
  <c r="J186" i="26"/>
  <c r="AM182" i="26"/>
  <c r="AJ182" i="26"/>
  <c r="AG182" i="26"/>
  <c r="AS182" i="26" s="1"/>
  <c r="AT182" i="26" s="1"/>
  <c r="C182" i="26"/>
  <c r="G182" i="26"/>
  <c r="K182" i="26"/>
  <c r="O182" i="26"/>
  <c r="S182" i="26"/>
  <c r="W182" i="26"/>
  <c r="AA182" i="26"/>
  <c r="AE182" i="26"/>
  <c r="D182" i="26"/>
  <c r="H182" i="26"/>
  <c r="L182" i="26"/>
  <c r="P182" i="26"/>
  <c r="T182" i="26"/>
  <c r="X182" i="26"/>
  <c r="AB182" i="26"/>
  <c r="AV182" i="26" s="1"/>
  <c r="AW182" i="26" s="1"/>
  <c r="AF182" i="26"/>
  <c r="E182" i="26"/>
  <c r="I182" i="26"/>
  <c r="M182" i="26"/>
  <c r="Q182" i="26"/>
  <c r="U182" i="26"/>
  <c r="Y182" i="26"/>
  <c r="AC182" i="26"/>
  <c r="F182" i="26"/>
  <c r="V182" i="26"/>
  <c r="J182" i="26"/>
  <c r="Z182" i="26"/>
  <c r="N182" i="26"/>
  <c r="AD182" i="26"/>
  <c r="R182" i="26"/>
  <c r="AM178" i="26"/>
  <c r="AJ178" i="26"/>
  <c r="AG178" i="26"/>
  <c r="AS178" i="26" s="1"/>
  <c r="AT178" i="26" s="1"/>
  <c r="C178" i="26"/>
  <c r="G178" i="26"/>
  <c r="K178" i="26"/>
  <c r="O178" i="26"/>
  <c r="S178" i="26"/>
  <c r="W178" i="26"/>
  <c r="AA178" i="26"/>
  <c r="AE178" i="26"/>
  <c r="D178" i="26"/>
  <c r="H178" i="26"/>
  <c r="L178" i="26"/>
  <c r="P178" i="26"/>
  <c r="T178" i="26"/>
  <c r="X178" i="26"/>
  <c r="AB178" i="26"/>
  <c r="AV178" i="26" s="1"/>
  <c r="AW178" i="26" s="1"/>
  <c r="AF178" i="26"/>
  <c r="E178" i="26"/>
  <c r="I178" i="26"/>
  <c r="M178" i="26"/>
  <c r="Q178" i="26"/>
  <c r="U178" i="26"/>
  <c r="Y178" i="26"/>
  <c r="AC178" i="26"/>
  <c r="N178" i="26"/>
  <c r="AD178" i="26"/>
  <c r="R178" i="26"/>
  <c r="F178" i="26"/>
  <c r="V178" i="26"/>
  <c r="J178" i="26"/>
  <c r="Z178" i="26"/>
  <c r="AM174" i="26"/>
  <c r="AJ174" i="26"/>
  <c r="C174" i="26"/>
  <c r="G174" i="26"/>
  <c r="K174" i="26"/>
  <c r="O174" i="26"/>
  <c r="S174" i="26"/>
  <c r="W174" i="26"/>
  <c r="AA174" i="26"/>
  <c r="AE174" i="26"/>
  <c r="D174" i="26"/>
  <c r="H174" i="26"/>
  <c r="L174" i="26"/>
  <c r="P174" i="26"/>
  <c r="T174" i="26"/>
  <c r="X174" i="26"/>
  <c r="AB174" i="26"/>
  <c r="AV174" i="26" s="1"/>
  <c r="AW174" i="26" s="1"/>
  <c r="AF174" i="26"/>
  <c r="AG174" i="26"/>
  <c r="AS174" i="26" s="1"/>
  <c r="AT174" i="26" s="1"/>
  <c r="E174" i="26"/>
  <c r="I174" i="26"/>
  <c r="M174" i="26"/>
  <c r="Q174" i="26"/>
  <c r="U174" i="26"/>
  <c r="Y174" i="26"/>
  <c r="AC174" i="26"/>
  <c r="F174" i="26"/>
  <c r="V174" i="26"/>
  <c r="J174" i="26"/>
  <c r="Z174" i="26"/>
  <c r="N174" i="26"/>
  <c r="AD174" i="26"/>
  <c r="R174" i="26"/>
  <c r="AM170" i="26"/>
  <c r="F170" i="26"/>
  <c r="J170" i="26"/>
  <c r="N170" i="26"/>
  <c r="R170" i="26"/>
  <c r="V170" i="26"/>
  <c r="Z170" i="26"/>
  <c r="AD170" i="26"/>
  <c r="C170" i="26"/>
  <c r="G170" i="26"/>
  <c r="K170" i="26"/>
  <c r="O170" i="26"/>
  <c r="S170" i="26"/>
  <c r="W170" i="26"/>
  <c r="AA170" i="26"/>
  <c r="AE170" i="26"/>
  <c r="AJ170" i="26"/>
  <c r="AG170" i="26"/>
  <c r="AS170" i="26" s="1"/>
  <c r="AT170" i="26" s="1"/>
  <c r="D170" i="26"/>
  <c r="H170" i="26"/>
  <c r="L170" i="26"/>
  <c r="P170" i="26"/>
  <c r="T170" i="26"/>
  <c r="X170" i="26"/>
  <c r="AB170" i="26"/>
  <c r="AV170" i="26" s="1"/>
  <c r="AW170" i="26" s="1"/>
  <c r="AF170" i="26"/>
  <c r="M170" i="26"/>
  <c r="AC170" i="26"/>
  <c r="Q170" i="26"/>
  <c r="E170" i="26"/>
  <c r="U170" i="26"/>
  <c r="I170" i="26"/>
  <c r="Y170" i="26"/>
  <c r="AM166" i="26"/>
  <c r="AJ166" i="26"/>
  <c r="F166" i="26"/>
  <c r="J166" i="26"/>
  <c r="N166" i="26"/>
  <c r="R166" i="26"/>
  <c r="V166" i="26"/>
  <c r="Z166" i="26"/>
  <c r="AD166" i="26"/>
  <c r="AG166" i="26"/>
  <c r="AS166" i="26" s="1"/>
  <c r="AT166" i="26" s="1"/>
  <c r="C166" i="26"/>
  <c r="G166" i="26"/>
  <c r="K166" i="26"/>
  <c r="O166" i="26"/>
  <c r="S166" i="26"/>
  <c r="W166" i="26"/>
  <c r="AA166" i="26"/>
  <c r="AE166" i="26"/>
  <c r="D166" i="26"/>
  <c r="H166" i="26"/>
  <c r="L166" i="26"/>
  <c r="P166" i="26"/>
  <c r="T166" i="26"/>
  <c r="X166" i="26"/>
  <c r="AB166" i="26"/>
  <c r="AV166" i="26" s="1"/>
  <c r="AW166" i="26" s="1"/>
  <c r="AF166" i="26"/>
  <c r="E166" i="26"/>
  <c r="U166" i="26"/>
  <c r="I166" i="26"/>
  <c r="Y166" i="26"/>
  <c r="M166" i="26"/>
  <c r="AC166" i="26"/>
  <c r="Q166" i="26"/>
  <c r="AM162" i="26"/>
  <c r="AJ162" i="26"/>
  <c r="AG162" i="26"/>
  <c r="AS162" i="26" s="1"/>
  <c r="AT162" i="26" s="1"/>
  <c r="F162" i="26"/>
  <c r="J162" i="26"/>
  <c r="N162" i="26"/>
  <c r="R162" i="26"/>
  <c r="V162" i="26"/>
  <c r="Z162" i="26"/>
  <c r="AD162" i="26"/>
  <c r="C162" i="26"/>
  <c r="G162" i="26"/>
  <c r="K162" i="26"/>
  <c r="O162" i="26"/>
  <c r="S162" i="26"/>
  <c r="W162" i="26"/>
  <c r="AA162" i="26"/>
  <c r="AE162" i="26"/>
  <c r="D162" i="26"/>
  <c r="H162" i="26"/>
  <c r="L162" i="26"/>
  <c r="P162" i="26"/>
  <c r="T162" i="26"/>
  <c r="X162" i="26"/>
  <c r="AB162" i="26"/>
  <c r="AV162" i="26" s="1"/>
  <c r="AW162" i="26" s="1"/>
  <c r="AF162" i="26"/>
  <c r="M162" i="26"/>
  <c r="AC162" i="26"/>
  <c r="Q162" i="26"/>
  <c r="E162" i="26"/>
  <c r="U162" i="26"/>
  <c r="I162" i="26"/>
  <c r="Y162" i="26"/>
  <c r="AM158" i="26"/>
  <c r="AJ158" i="26"/>
  <c r="AG158" i="26"/>
  <c r="AS158" i="26" s="1"/>
  <c r="AT158" i="26" s="1"/>
  <c r="E158" i="26"/>
  <c r="I158" i="26"/>
  <c r="M158" i="26"/>
  <c r="Q158" i="26"/>
  <c r="U158" i="26"/>
  <c r="Y158" i="26"/>
  <c r="AC158" i="26"/>
  <c r="F158" i="26"/>
  <c r="J158" i="26"/>
  <c r="N158" i="26"/>
  <c r="R158" i="26"/>
  <c r="V158" i="26"/>
  <c r="Z158" i="26"/>
  <c r="AD158" i="26"/>
  <c r="AM154" i="26"/>
  <c r="AJ154" i="26"/>
  <c r="AG154" i="26"/>
  <c r="AS154" i="26" s="1"/>
  <c r="AT154" i="26" s="1"/>
  <c r="E154" i="26"/>
  <c r="I154" i="26"/>
  <c r="M154" i="26"/>
  <c r="Q154" i="26"/>
  <c r="U154" i="26"/>
  <c r="Y154" i="26"/>
  <c r="AC154" i="26"/>
  <c r="F154" i="26"/>
  <c r="J154" i="26"/>
  <c r="N154" i="26"/>
  <c r="R154" i="26"/>
  <c r="V154" i="26"/>
  <c r="Z154" i="26"/>
  <c r="AD154" i="26"/>
  <c r="AM150" i="26"/>
  <c r="AJ150" i="26"/>
  <c r="AG150" i="26"/>
  <c r="AS150" i="26" s="1"/>
  <c r="AT150" i="26" s="1"/>
  <c r="E150" i="26"/>
  <c r="I150" i="26"/>
  <c r="M150" i="26"/>
  <c r="Q150" i="26"/>
  <c r="U150" i="26"/>
  <c r="Y150" i="26"/>
  <c r="AC150" i="26"/>
  <c r="F150" i="26"/>
  <c r="J150" i="26"/>
  <c r="N150" i="26"/>
  <c r="R150" i="26"/>
  <c r="V150" i="26"/>
  <c r="Z150" i="26"/>
  <c r="AD150" i="26"/>
  <c r="AM146" i="26"/>
  <c r="AJ146" i="26"/>
  <c r="AG146" i="26"/>
  <c r="AS146" i="26" s="1"/>
  <c r="AT146" i="26" s="1"/>
  <c r="E146" i="26"/>
  <c r="I146" i="26"/>
  <c r="M146" i="26"/>
  <c r="Q146" i="26"/>
  <c r="U146" i="26"/>
  <c r="Y146" i="26"/>
  <c r="AC146" i="26"/>
  <c r="F146" i="26"/>
  <c r="J146" i="26"/>
  <c r="N146" i="26"/>
  <c r="R146" i="26"/>
  <c r="V146" i="26"/>
  <c r="Z146" i="26"/>
  <c r="AD146" i="26"/>
  <c r="AM142" i="26"/>
  <c r="AJ142" i="26"/>
  <c r="AG142" i="26"/>
  <c r="AS142" i="26" s="1"/>
  <c r="AT142" i="26" s="1"/>
  <c r="E142" i="26"/>
  <c r="I142" i="26"/>
  <c r="M142" i="26"/>
  <c r="Q142" i="26"/>
  <c r="U142" i="26"/>
  <c r="Y142" i="26"/>
  <c r="AC142" i="26"/>
  <c r="F142" i="26"/>
  <c r="J142" i="26"/>
  <c r="N142" i="26"/>
  <c r="R142" i="26"/>
  <c r="V142" i="26"/>
  <c r="Z142" i="26"/>
  <c r="AD142" i="26"/>
  <c r="AM138" i="26"/>
  <c r="AJ138" i="26"/>
  <c r="AG138" i="26"/>
  <c r="AS138" i="26" s="1"/>
  <c r="AT138" i="26" s="1"/>
  <c r="E138" i="26"/>
  <c r="I138" i="26"/>
  <c r="M138" i="26"/>
  <c r="Q138" i="26"/>
  <c r="U138" i="26"/>
  <c r="Y138" i="26"/>
  <c r="AC138" i="26"/>
  <c r="F138" i="26"/>
  <c r="J138" i="26"/>
  <c r="N138" i="26"/>
  <c r="R138" i="26"/>
  <c r="V138" i="26"/>
  <c r="Z138" i="26"/>
  <c r="AD138" i="26"/>
  <c r="AM134" i="26"/>
  <c r="AJ134" i="26"/>
  <c r="AG134" i="26"/>
  <c r="AS134" i="26" s="1"/>
  <c r="AT134" i="26" s="1"/>
  <c r="E134" i="26"/>
  <c r="I134" i="26"/>
  <c r="M134" i="26"/>
  <c r="Q134" i="26"/>
  <c r="U134" i="26"/>
  <c r="Y134" i="26"/>
  <c r="AC134" i="26"/>
  <c r="F134" i="26"/>
  <c r="J134" i="26"/>
  <c r="N134" i="26"/>
  <c r="R134" i="26"/>
  <c r="V134" i="26"/>
  <c r="Z134" i="26"/>
  <c r="AD134" i="26"/>
  <c r="AM130" i="26"/>
  <c r="AJ130" i="26"/>
  <c r="AG130" i="26"/>
  <c r="AS130" i="26" s="1"/>
  <c r="AT130" i="26" s="1"/>
  <c r="E130" i="26"/>
  <c r="I130" i="26"/>
  <c r="M130" i="26"/>
  <c r="Q130" i="26"/>
  <c r="U130" i="26"/>
  <c r="Y130" i="26"/>
  <c r="AC130" i="26"/>
  <c r="F130" i="26"/>
  <c r="J130" i="26"/>
  <c r="N130" i="26"/>
  <c r="R130" i="26"/>
  <c r="V130" i="26"/>
  <c r="Z130" i="26"/>
  <c r="AD130" i="26"/>
  <c r="AM126" i="26"/>
  <c r="AJ126" i="26"/>
  <c r="AG126" i="26"/>
  <c r="AS126" i="26" s="1"/>
  <c r="AT126" i="26" s="1"/>
  <c r="E126" i="26"/>
  <c r="I126" i="26"/>
  <c r="M126" i="26"/>
  <c r="Q126" i="26"/>
  <c r="U126" i="26"/>
  <c r="Y126" i="26"/>
  <c r="AC126" i="26"/>
  <c r="F126" i="26"/>
  <c r="J126" i="26"/>
  <c r="N126" i="26"/>
  <c r="R126" i="26"/>
  <c r="V126" i="26"/>
  <c r="Z126" i="26"/>
  <c r="AD126" i="26"/>
  <c r="AM122" i="26"/>
  <c r="AJ122" i="26"/>
  <c r="AG122" i="26"/>
  <c r="AS122" i="26" s="1"/>
  <c r="AT122" i="26" s="1"/>
  <c r="E122" i="26"/>
  <c r="I122" i="26"/>
  <c r="M122" i="26"/>
  <c r="Q122" i="26"/>
  <c r="U122" i="26"/>
  <c r="Y122" i="26"/>
  <c r="AC122" i="26"/>
  <c r="F122" i="26"/>
  <c r="J122" i="26"/>
  <c r="N122" i="26"/>
  <c r="R122" i="26"/>
  <c r="V122" i="26"/>
  <c r="Z122" i="26"/>
  <c r="AD122" i="26"/>
  <c r="AM118" i="26"/>
  <c r="AJ118" i="26"/>
  <c r="AG118" i="26"/>
  <c r="AS118" i="26" s="1"/>
  <c r="AT118" i="26" s="1"/>
  <c r="E118" i="26"/>
  <c r="I118" i="26"/>
  <c r="M118" i="26"/>
  <c r="Q118" i="26"/>
  <c r="U118" i="26"/>
  <c r="Y118" i="26"/>
  <c r="AC118" i="26"/>
  <c r="F118" i="26"/>
  <c r="J118" i="26"/>
  <c r="N118" i="26"/>
  <c r="R118" i="26"/>
  <c r="V118" i="26"/>
  <c r="Z118" i="26"/>
  <c r="AD118" i="26"/>
  <c r="AM114" i="26"/>
  <c r="AJ114" i="26"/>
  <c r="AG114" i="26"/>
  <c r="AS114" i="26" s="1"/>
  <c r="AT114" i="26" s="1"/>
  <c r="D114" i="26"/>
  <c r="H114" i="26"/>
  <c r="L114" i="26"/>
  <c r="P114" i="26"/>
  <c r="T114" i="26"/>
  <c r="X114" i="26"/>
  <c r="AB114" i="26"/>
  <c r="AV114" i="26" s="1"/>
  <c r="AW114" i="26" s="1"/>
  <c r="AF114" i="26"/>
  <c r="F114" i="26"/>
  <c r="J114" i="26"/>
  <c r="N114" i="26"/>
  <c r="R114" i="26"/>
  <c r="V114" i="26"/>
  <c r="Z114" i="26"/>
  <c r="AD114" i="26"/>
  <c r="C114" i="26"/>
  <c r="K114" i="26"/>
  <c r="S114" i="26"/>
  <c r="AA114" i="26"/>
  <c r="E114" i="26"/>
  <c r="M114" i="26"/>
  <c r="U114" i="26"/>
  <c r="AC114" i="26"/>
  <c r="AM110" i="26"/>
  <c r="AJ110" i="26"/>
  <c r="AG110" i="26"/>
  <c r="AS110" i="26" s="1"/>
  <c r="AT110" i="26" s="1"/>
  <c r="D110" i="26"/>
  <c r="H110" i="26"/>
  <c r="L110" i="26"/>
  <c r="P110" i="26"/>
  <c r="T110" i="26"/>
  <c r="X110" i="26"/>
  <c r="AB110" i="26"/>
  <c r="AV110" i="26" s="1"/>
  <c r="AW110" i="26" s="1"/>
  <c r="AF110" i="26"/>
  <c r="F110" i="26"/>
  <c r="J110" i="26"/>
  <c r="N110" i="26"/>
  <c r="R110" i="26"/>
  <c r="V110" i="26"/>
  <c r="Z110" i="26"/>
  <c r="AD110" i="26"/>
  <c r="C110" i="26"/>
  <c r="K110" i="26"/>
  <c r="S110" i="26"/>
  <c r="AA110" i="26"/>
  <c r="E110" i="26"/>
  <c r="M110" i="26"/>
  <c r="U110" i="26"/>
  <c r="AC110" i="26"/>
  <c r="AM106" i="26"/>
  <c r="AJ106" i="26"/>
  <c r="AG106" i="26"/>
  <c r="AS106" i="26" s="1"/>
  <c r="AT106" i="26" s="1"/>
  <c r="D106" i="26"/>
  <c r="H106" i="26"/>
  <c r="L106" i="26"/>
  <c r="P106" i="26"/>
  <c r="T106" i="26"/>
  <c r="X106" i="26"/>
  <c r="AB106" i="26"/>
  <c r="AV106" i="26" s="1"/>
  <c r="AW106" i="26" s="1"/>
  <c r="AF106" i="26"/>
  <c r="F106" i="26"/>
  <c r="J106" i="26"/>
  <c r="N106" i="26"/>
  <c r="R106" i="26"/>
  <c r="V106" i="26"/>
  <c r="Z106" i="26"/>
  <c r="AD106" i="26"/>
  <c r="C106" i="26"/>
  <c r="K106" i="26"/>
  <c r="S106" i="26"/>
  <c r="AA106" i="26"/>
  <c r="E106" i="26"/>
  <c r="M106" i="26"/>
  <c r="U106" i="26"/>
  <c r="AC106" i="26"/>
  <c r="AM102" i="26"/>
  <c r="AJ102" i="26"/>
  <c r="AG102" i="26"/>
  <c r="AS102" i="26" s="1"/>
  <c r="AT102" i="26" s="1"/>
  <c r="D102" i="26"/>
  <c r="H102" i="26"/>
  <c r="L102" i="26"/>
  <c r="P102" i="26"/>
  <c r="T102" i="26"/>
  <c r="X102" i="26"/>
  <c r="AB102" i="26"/>
  <c r="AV102" i="26" s="1"/>
  <c r="AW102" i="26" s="1"/>
  <c r="AF102" i="26"/>
  <c r="F102" i="26"/>
  <c r="J102" i="26"/>
  <c r="N102" i="26"/>
  <c r="R102" i="26"/>
  <c r="V102" i="26"/>
  <c r="Z102" i="26"/>
  <c r="AD102" i="26"/>
  <c r="C102" i="26"/>
  <c r="K102" i="26"/>
  <c r="S102" i="26"/>
  <c r="AA102" i="26"/>
  <c r="E102" i="26"/>
  <c r="M102" i="26"/>
  <c r="U102" i="26"/>
  <c r="AC102" i="26"/>
  <c r="AM98" i="26"/>
  <c r="AJ98" i="26"/>
  <c r="AG98" i="26"/>
  <c r="AS98" i="26" s="1"/>
  <c r="AT98" i="26" s="1"/>
  <c r="D98" i="26"/>
  <c r="H98" i="26"/>
  <c r="L98" i="26"/>
  <c r="P98" i="26"/>
  <c r="T98" i="26"/>
  <c r="X98" i="26"/>
  <c r="AB98" i="26"/>
  <c r="AV98" i="26" s="1"/>
  <c r="AW98" i="26" s="1"/>
  <c r="AF98" i="26"/>
  <c r="F98" i="26"/>
  <c r="J98" i="26"/>
  <c r="N98" i="26"/>
  <c r="R98" i="26"/>
  <c r="V98" i="26"/>
  <c r="Z98" i="26"/>
  <c r="AD98" i="26"/>
  <c r="C98" i="26"/>
  <c r="K98" i="26"/>
  <c r="S98" i="26"/>
  <c r="AA98" i="26"/>
  <c r="E98" i="26"/>
  <c r="M98" i="26"/>
  <c r="U98" i="26"/>
  <c r="AC98" i="26"/>
  <c r="AM94" i="26"/>
  <c r="AJ94" i="26"/>
  <c r="AG94" i="26"/>
  <c r="AS94" i="26" s="1"/>
  <c r="AT94" i="26" s="1"/>
  <c r="D94" i="26"/>
  <c r="H94" i="26"/>
  <c r="L94" i="26"/>
  <c r="P94" i="26"/>
  <c r="T94" i="26"/>
  <c r="X94" i="26"/>
  <c r="AB94" i="26"/>
  <c r="AV94" i="26" s="1"/>
  <c r="AW94" i="26" s="1"/>
  <c r="AF94" i="26"/>
  <c r="F94" i="26"/>
  <c r="J94" i="26"/>
  <c r="N94" i="26"/>
  <c r="R94" i="26"/>
  <c r="V94" i="26"/>
  <c r="Z94" i="26"/>
  <c r="AD94" i="26"/>
  <c r="C94" i="26"/>
  <c r="K94" i="26"/>
  <c r="S94" i="26"/>
  <c r="AA94" i="26"/>
  <c r="E94" i="26"/>
  <c r="M94" i="26"/>
  <c r="U94" i="26"/>
  <c r="AC94" i="26"/>
  <c r="AM90" i="26"/>
  <c r="AJ90" i="26"/>
  <c r="AG90" i="26"/>
  <c r="AS90" i="26" s="1"/>
  <c r="AT90" i="26" s="1"/>
  <c r="D90" i="26"/>
  <c r="H90" i="26"/>
  <c r="L90" i="26"/>
  <c r="P90" i="26"/>
  <c r="T90" i="26"/>
  <c r="X90" i="26"/>
  <c r="AB90" i="26"/>
  <c r="AV90" i="26" s="1"/>
  <c r="AW90" i="26" s="1"/>
  <c r="AF90" i="26"/>
  <c r="E90" i="26"/>
  <c r="I90" i="26"/>
  <c r="M90" i="26"/>
  <c r="Q90" i="26"/>
  <c r="U90" i="26"/>
  <c r="Y90" i="26"/>
  <c r="AC90" i="26"/>
  <c r="F90" i="26"/>
  <c r="J90" i="26"/>
  <c r="N90" i="26"/>
  <c r="R90" i="26"/>
  <c r="V90" i="26"/>
  <c r="Z90" i="26"/>
  <c r="AD90" i="26"/>
  <c r="O90" i="26"/>
  <c r="AE90" i="26"/>
  <c r="C90" i="26"/>
  <c r="S90" i="26"/>
  <c r="AM86" i="26"/>
  <c r="AJ86" i="26"/>
  <c r="AG86" i="26"/>
  <c r="AS86" i="26" s="1"/>
  <c r="AT86" i="26" s="1"/>
  <c r="D86" i="26"/>
  <c r="H86" i="26"/>
  <c r="L86" i="26"/>
  <c r="P86" i="26"/>
  <c r="T86" i="26"/>
  <c r="X86" i="26"/>
  <c r="AB86" i="26"/>
  <c r="AV86" i="26" s="1"/>
  <c r="AW86" i="26" s="1"/>
  <c r="AF86" i="26"/>
  <c r="E86" i="26"/>
  <c r="I86" i="26"/>
  <c r="M86" i="26"/>
  <c r="Q86" i="26"/>
  <c r="U86" i="26"/>
  <c r="Y86" i="26"/>
  <c r="AC86" i="26"/>
  <c r="F86" i="26"/>
  <c r="J86" i="26"/>
  <c r="N86" i="26"/>
  <c r="R86" i="26"/>
  <c r="V86" i="26"/>
  <c r="Z86" i="26"/>
  <c r="AD86" i="26"/>
  <c r="G86" i="26"/>
  <c r="W86" i="26"/>
  <c r="K86" i="26"/>
  <c r="AA86" i="26"/>
  <c r="AM82" i="26"/>
  <c r="AJ82" i="26"/>
  <c r="AG82" i="26"/>
  <c r="AS82" i="26" s="1"/>
  <c r="AT82" i="26" s="1"/>
  <c r="D82" i="26"/>
  <c r="H82" i="26"/>
  <c r="L82" i="26"/>
  <c r="P82" i="26"/>
  <c r="T82" i="26"/>
  <c r="X82" i="26"/>
  <c r="AB82" i="26"/>
  <c r="AV82" i="26" s="1"/>
  <c r="AW82" i="26" s="1"/>
  <c r="AF82" i="26"/>
  <c r="E82" i="26"/>
  <c r="I82" i="26"/>
  <c r="M82" i="26"/>
  <c r="Q82" i="26"/>
  <c r="U82" i="26"/>
  <c r="Y82" i="26"/>
  <c r="AC82" i="26"/>
  <c r="F82" i="26"/>
  <c r="J82" i="26"/>
  <c r="N82" i="26"/>
  <c r="R82" i="26"/>
  <c r="V82" i="26"/>
  <c r="Z82" i="26"/>
  <c r="AD82" i="26"/>
  <c r="O82" i="26"/>
  <c r="AE82" i="26"/>
  <c r="C82" i="26"/>
  <c r="S82" i="26"/>
  <c r="AM78" i="26"/>
  <c r="AJ78" i="26"/>
  <c r="AG78" i="26"/>
  <c r="AS78" i="26" s="1"/>
  <c r="AT78" i="26" s="1"/>
  <c r="D78" i="26"/>
  <c r="H78" i="26"/>
  <c r="L78" i="26"/>
  <c r="P78" i="26"/>
  <c r="T78" i="26"/>
  <c r="X78" i="26"/>
  <c r="AB78" i="26"/>
  <c r="AV78" i="26" s="1"/>
  <c r="AW78" i="26" s="1"/>
  <c r="AF78" i="26"/>
  <c r="E78" i="26"/>
  <c r="I78" i="26"/>
  <c r="M78" i="26"/>
  <c r="Q78" i="26"/>
  <c r="U78" i="26"/>
  <c r="Y78" i="26"/>
  <c r="AC78" i="26"/>
  <c r="F78" i="26"/>
  <c r="J78" i="26"/>
  <c r="N78" i="26"/>
  <c r="R78" i="26"/>
  <c r="V78" i="26"/>
  <c r="Z78" i="26"/>
  <c r="AD78" i="26"/>
  <c r="G78" i="26"/>
  <c r="W78" i="26"/>
  <c r="K78" i="26"/>
  <c r="AA78" i="26"/>
  <c r="AM74" i="26"/>
  <c r="AJ74" i="26"/>
  <c r="AG74" i="26"/>
  <c r="AS74" i="26" s="1"/>
  <c r="AT74" i="26" s="1"/>
  <c r="D74" i="26"/>
  <c r="H74" i="26"/>
  <c r="L74" i="26"/>
  <c r="P74" i="26"/>
  <c r="T74" i="26"/>
  <c r="X74" i="26"/>
  <c r="AB74" i="26"/>
  <c r="AV74" i="26" s="1"/>
  <c r="AW74" i="26" s="1"/>
  <c r="AF74" i="26"/>
  <c r="E74" i="26"/>
  <c r="I74" i="26"/>
  <c r="M74" i="26"/>
  <c r="Q74" i="26"/>
  <c r="U74" i="26"/>
  <c r="Y74" i="26"/>
  <c r="AC74" i="26"/>
  <c r="F74" i="26"/>
  <c r="J74" i="26"/>
  <c r="N74" i="26"/>
  <c r="R74" i="26"/>
  <c r="V74" i="26"/>
  <c r="Z74" i="26"/>
  <c r="AD74" i="26"/>
  <c r="O74" i="26"/>
  <c r="AE74" i="26"/>
  <c r="C74" i="26"/>
  <c r="S74" i="26"/>
  <c r="AM70" i="26"/>
  <c r="AJ70" i="26"/>
  <c r="AG70" i="26"/>
  <c r="AS70" i="26" s="1"/>
  <c r="AT70" i="26" s="1"/>
  <c r="D70" i="26"/>
  <c r="H70" i="26"/>
  <c r="L70" i="26"/>
  <c r="P70" i="26"/>
  <c r="T70" i="26"/>
  <c r="X70" i="26"/>
  <c r="AB70" i="26"/>
  <c r="AV70" i="26" s="1"/>
  <c r="AW70" i="26" s="1"/>
  <c r="AF70" i="26"/>
  <c r="E70" i="26"/>
  <c r="I70" i="26"/>
  <c r="M70" i="26"/>
  <c r="Q70" i="26"/>
  <c r="U70" i="26"/>
  <c r="Y70" i="26"/>
  <c r="AC70" i="26"/>
  <c r="F70" i="26"/>
  <c r="J70" i="26"/>
  <c r="N70" i="26"/>
  <c r="R70" i="26"/>
  <c r="V70" i="26"/>
  <c r="Z70" i="26"/>
  <c r="AD70" i="26"/>
  <c r="G70" i="26"/>
  <c r="W70" i="26"/>
  <c r="K70" i="26"/>
  <c r="AA70" i="26"/>
  <c r="AM66" i="26"/>
  <c r="AJ66" i="26"/>
  <c r="AG66" i="26"/>
  <c r="AS66" i="26" s="1"/>
  <c r="AT66" i="26" s="1"/>
  <c r="D66" i="26"/>
  <c r="H66" i="26"/>
  <c r="L66" i="26"/>
  <c r="P66" i="26"/>
  <c r="T66" i="26"/>
  <c r="X66" i="26"/>
  <c r="AB66" i="26"/>
  <c r="AV66" i="26" s="1"/>
  <c r="AW66" i="26" s="1"/>
  <c r="AF66" i="26"/>
  <c r="E66" i="26"/>
  <c r="I66" i="26"/>
  <c r="M66" i="26"/>
  <c r="Q66" i="26"/>
  <c r="U66" i="26"/>
  <c r="Y66" i="26"/>
  <c r="AC66" i="26"/>
  <c r="F66" i="26"/>
  <c r="J66" i="26"/>
  <c r="N66" i="26"/>
  <c r="R66" i="26"/>
  <c r="V66" i="26"/>
  <c r="Z66" i="26"/>
  <c r="AD66" i="26"/>
  <c r="O66" i="26"/>
  <c r="AE66" i="26"/>
  <c r="C66" i="26"/>
  <c r="S66" i="26"/>
  <c r="AM62" i="26"/>
  <c r="AJ62" i="26"/>
  <c r="AG62" i="26"/>
  <c r="AS62" i="26" s="1"/>
  <c r="AT62" i="26" s="1"/>
  <c r="D62" i="26"/>
  <c r="H62" i="26"/>
  <c r="L62" i="26"/>
  <c r="P62" i="26"/>
  <c r="T62" i="26"/>
  <c r="X62" i="26"/>
  <c r="AB62" i="26"/>
  <c r="AV62" i="26" s="1"/>
  <c r="AW62" i="26" s="1"/>
  <c r="AF62" i="26"/>
  <c r="E62" i="26"/>
  <c r="I62" i="26"/>
  <c r="M62" i="26"/>
  <c r="Q62" i="26"/>
  <c r="U62" i="26"/>
  <c r="Y62" i="26"/>
  <c r="AC62" i="26"/>
  <c r="F62" i="26"/>
  <c r="J62" i="26"/>
  <c r="N62" i="26"/>
  <c r="R62" i="26"/>
  <c r="V62" i="26"/>
  <c r="Z62" i="26"/>
  <c r="AD62" i="26"/>
  <c r="G62" i="26"/>
  <c r="W62" i="26"/>
  <c r="K62" i="26"/>
  <c r="AA62" i="26"/>
  <c r="AM58" i="26"/>
  <c r="AJ58" i="26"/>
  <c r="AG58" i="26"/>
  <c r="AS58" i="26" s="1"/>
  <c r="AT58" i="26" s="1"/>
  <c r="D58" i="26"/>
  <c r="H58" i="26"/>
  <c r="L58" i="26"/>
  <c r="P58" i="26"/>
  <c r="T58" i="26"/>
  <c r="X58" i="26"/>
  <c r="AB58" i="26"/>
  <c r="AV58" i="26" s="1"/>
  <c r="AW58" i="26" s="1"/>
  <c r="AF58" i="26"/>
  <c r="E58" i="26"/>
  <c r="I58" i="26"/>
  <c r="M58" i="26"/>
  <c r="Q58" i="26"/>
  <c r="U58" i="26"/>
  <c r="Y58" i="26"/>
  <c r="AC58" i="26"/>
  <c r="F58" i="26"/>
  <c r="J58" i="26"/>
  <c r="N58" i="26"/>
  <c r="R58" i="26"/>
  <c r="V58" i="26"/>
  <c r="Z58" i="26"/>
  <c r="AD58" i="26"/>
  <c r="O58" i="26"/>
  <c r="AE58" i="26"/>
  <c r="C58" i="26"/>
  <c r="S58" i="26"/>
  <c r="AM54" i="26"/>
  <c r="AJ54" i="26"/>
  <c r="AG54" i="26"/>
  <c r="AS54" i="26" s="1"/>
  <c r="AT54" i="26" s="1"/>
  <c r="D54" i="26"/>
  <c r="H54" i="26"/>
  <c r="L54" i="26"/>
  <c r="P54" i="26"/>
  <c r="T54" i="26"/>
  <c r="X54" i="26"/>
  <c r="AB54" i="26"/>
  <c r="AV54" i="26" s="1"/>
  <c r="AW54" i="26" s="1"/>
  <c r="AF54" i="26"/>
  <c r="E54" i="26"/>
  <c r="I54" i="26"/>
  <c r="M54" i="26"/>
  <c r="Q54" i="26"/>
  <c r="U54" i="26"/>
  <c r="Y54" i="26"/>
  <c r="AC54" i="26"/>
  <c r="F54" i="26"/>
  <c r="J54" i="26"/>
  <c r="N54" i="26"/>
  <c r="R54" i="26"/>
  <c r="V54" i="26"/>
  <c r="Z54" i="26"/>
  <c r="AD54" i="26"/>
  <c r="G54" i="26"/>
  <c r="W54" i="26"/>
  <c r="K54" i="26"/>
  <c r="AA54" i="26"/>
  <c r="AM50" i="26"/>
  <c r="AJ50" i="26"/>
  <c r="AG50" i="26"/>
  <c r="AS50" i="26" s="1"/>
  <c r="AT50" i="26" s="1"/>
  <c r="D50" i="26"/>
  <c r="H50" i="26"/>
  <c r="L50" i="26"/>
  <c r="P50" i="26"/>
  <c r="T50" i="26"/>
  <c r="X50" i="26"/>
  <c r="AB50" i="26"/>
  <c r="AV50" i="26" s="1"/>
  <c r="AW50" i="26" s="1"/>
  <c r="AF50" i="26"/>
  <c r="E50" i="26"/>
  <c r="I50" i="26"/>
  <c r="M50" i="26"/>
  <c r="Q50" i="26"/>
  <c r="U50" i="26"/>
  <c r="Y50" i="26"/>
  <c r="AC50" i="26"/>
  <c r="F50" i="26"/>
  <c r="J50" i="26"/>
  <c r="N50" i="26"/>
  <c r="R50" i="26"/>
  <c r="V50" i="26"/>
  <c r="Z50" i="26"/>
  <c r="AD50" i="26"/>
  <c r="O50" i="26"/>
  <c r="AE50" i="26"/>
  <c r="C50" i="26"/>
  <c r="S50" i="26"/>
  <c r="AM46" i="26"/>
  <c r="AJ46" i="26"/>
  <c r="AG46" i="26"/>
  <c r="AS46" i="26" s="1"/>
  <c r="AT46" i="26" s="1"/>
  <c r="E46" i="26"/>
  <c r="I46" i="26"/>
  <c r="M46" i="26"/>
  <c r="Q46" i="26"/>
  <c r="U46" i="26"/>
  <c r="Y46" i="26"/>
  <c r="AC46" i="26"/>
  <c r="F46" i="26"/>
  <c r="J46" i="26"/>
  <c r="N46" i="26"/>
  <c r="R46" i="26"/>
  <c r="V46" i="26"/>
  <c r="Z46" i="26"/>
  <c r="AD46" i="26"/>
  <c r="C46" i="26"/>
  <c r="G46" i="26"/>
  <c r="K46" i="26"/>
  <c r="O46" i="26"/>
  <c r="S46" i="26"/>
  <c r="W46" i="26"/>
  <c r="AA46" i="26"/>
  <c r="AE46" i="26"/>
  <c r="L46" i="26"/>
  <c r="AB46" i="26"/>
  <c r="AV46" i="26" s="1"/>
  <c r="AW46" i="26" s="1"/>
  <c r="P46" i="26"/>
  <c r="AF46" i="26"/>
  <c r="D46" i="26"/>
  <c r="T46" i="26"/>
  <c r="H46" i="26"/>
  <c r="X46" i="26"/>
  <c r="AM42" i="26"/>
  <c r="AJ42" i="26"/>
  <c r="AG42" i="26"/>
  <c r="AS42" i="26" s="1"/>
  <c r="AT42" i="26" s="1"/>
  <c r="E42" i="26"/>
  <c r="I42" i="26"/>
  <c r="M42" i="26"/>
  <c r="Q42" i="26"/>
  <c r="U42" i="26"/>
  <c r="Y42" i="26"/>
  <c r="AC42" i="26"/>
  <c r="F42" i="26"/>
  <c r="J42" i="26"/>
  <c r="N42" i="26"/>
  <c r="R42" i="26"/>
  <c r="V42" i="26"/>
  <c r="Z42" i="26"/>
  <c r="AD42" i="26"/>
  <c r="C42" i="26"/>
  <c r="G42" i="26"/>
  <c r="K42" i="26"/>
  <c r="O42" i="26"/>
  <c r="S42" i="26"/>
  <c r="W42" i="26"/>
  <c r="AA42" i="26"/>
  <c r="AE42" i="26"/>
  <c r="D42" i="26"/>
  <c r="T42" i="26"/>
  <c r="H42" i="26"/>
  <c r="X42" i="26"/>
  <c r="L42" i="26"/>
  <c r="AB42" i="26"/>
  <c r="AV42" i="26" s="1"/>
  <c r="AW42" i="26" s="1"/>
  <c r="P42" i="26"/>
  <c r="AM38" i="26"/>
  <c r="AJ38" i="26"/>
  <c r="AG38" i="26"/>
  <c r="AS38" i="26" s="1"/>
  <c r="AT38" i="26" s="1"/>
  <c r="E38" i="26"/>
  <c r="I38" i="26"/>
  <c r="M38" i="26"/>
  <c r="Q38" i="26"/>
  <c r="U38" i="26"/>
  <c r="Y38" i="26"/>
  <c r="AC38" i="26"/>
  <c r="F38" i="26"/>
  <c r="J38" i="26"/>
  <c r="N38" i="26"/>
  <c r="R38" i="26"/>
  <c r="V38" i="26"/>
  <c r="Z38" i="26"/>
  <c r="AD38" i="26"/>
  <c r="C38" i="26"/>
  <c r="G38" i="26"/>
  <c r="K38" i="26"/>
  <c r="O38" i="26"/>
  <c r="S38" i="26"/>
  <c r="W38" i="26"/>
  <c r="AA38" i="26"/>
  <c r="AE38" i="26"/>
  <c r="L38" i="26"/>
  <c r="AB38" i="26"/>
  <c r="AV38" i="26" s="1"/>
  <c r="AW38" i="26" s="1"/>
  <c r="P38" i="26"/>
  <c r="AF38" i="26"/>
  <c r="D38" i="26"/>
  <c r="T38" i="26"/>
  <c r="H38" i="26"/>
  <c r="AM34" i="26"/>
  <c r="AJ34" i="26"/>
  <c r="AG34" i="26"/>
  <c r="AS34" i="26" s="1"/>
  <c r="AT34" i="26" s="1"/>
  <c r="E34" i="26"/>
  <c r="I34" i="26"/>
  <c r="M34" i="26"/>
  <c r="Q34" i="26"/>
  <c r="U34" i="26"/>
  <c r="Y34" i="26"/>
  <c r="AC34" i="26"/>
  <c r="F34" i="26"/>
  <c r="J34" i="26"/>
  <c r="N34" i="26"/>
  <c r="R34" i="26"/>
  <c r="V34" i="26"/>
  <c r="Z34" i="26"/>
  <c r="AD34" i="26"/>
  <c r="C34" i="26"/>
  <c r="G34" i="26"/>
  <c r="K34" i="26"/>
  <c r="O34" i="26"/>
  <c r="S34" i="26"/>
  <c r="W34" i="26"/>
  <c r="AA34" i="26"/>
  <c r="AE34" i="26"/>
  <c r="D34" i="26"/>
  <c r="T34" i="26"/>
  <c r="H34" i="26"/>
  <c r="X34" i="26"/>
  <c r="L34" i="26"/>
  <c r="AB34" i="26"/>
  <c r="AV34" i="26" s="1"/>
  <c r="AW34" i="26" s="1"/>
  <c r="AM30" i="26"/>
  <c r="AJ30" i="26"/>
  <c r="AG30" i="26"/>
  <c r="AS30" i="26" s="1"/>
  <c r="AT30" i="26" s="1"/>
  <c r="E30" i="26"/>
  <c r="I30" i="26"/>
  <c r="M30" i="26"/>
  <c r="Q30" i="26"/>
  <c r="U30" i="26"/>
  <c r="Y30" i="26"/>
  <c r="AC30" i="26"/>
  <c r="F30" i="26"/>
  <c r="J30" i="26"/>
  <c r="N30" i="26"/>
  <c r="R30" i="26"/>
  <c r="V30" i="26"/>
  <c r="Z30" i="26"/>
  <c r="AD30" i="26"/>
  <c r="C30" i="26"/>
  <c r="G30" i="26"/>
  <c r="K30" i="26"/>
  <c r="O30" i="26"/>
  <c r="S30" i="26"/>
  <c r="W30" i="26"/>
  <c r="AA30" i="26"/>
  <c r="AE30" i="26"/>
  <c r="L30" i="26"/>
  <c r="AB30" i="26"/>
  <c r="AV30" i="26" s="1"/>
  <c r="AW30" i="26" s="1"/>
  <c r="P30" i="26"/>
  <c r="AF30" i="26"/>
  <c r="D30" i="26"/>
  <c r="T30" i="26"/>
  <c r="AM26" i="26"/>
  <c r="AJ26" i="26"/>
  <c r="AG26" i="26"/>
  <c r="AS26" i="26" s="1"/>
  <c r="AT26" i="26" s="1"/>
  <c r="AM22" i="26"/>
  <c r="AJ22" i="26"/>
  <c r="AG22" i="26"/>
  <c r="AS22" i="26" s="1"/>
  <c r="AT22" i="26" s="1"/>
  <c r="C22" i="26"/>
  <c r="G22" i="26"/>
  <c r="K22" i="26"/>
  <c r="O22" i="26"/>
  <c r="S22" i="26"/>
  <c r="W22" i="26"/>
  <c r="AA22" i="26"/>
  <c r="AE22" i="26"/>
  <c r="D22" i="26"/>
  <c r="H22" i="26"/>
  <c r="L22" i="26"/>
  <c r="P22" i="26"/>
  <c r="T22" i="26"/>
  <c r="X22" i="26"/>
  <c r="AB22" i="26"/>
  <c r="AV22" i="26" s="1"/>
  <c r="AW22" i="26" s="1"/>
  <c r="AF22" i="26"/>
  <c r="AM18" i="26"/>
  <c r="AJ18" i="26"/>
  <c r="AG18" i="26"/>
  <c r="AS18" i="26" s="1"/>
  <c r="AT18" i="26" s="1"/>
  <c r="C18" i="26"/>
  <c r="G18" i="26"/>
  <c r="K18" i="26"/>
  <c r="O18" i="26"/>
  <c r="S18" i="26"/>
  <c r="W18" i="26"/>
  <c r="AA18" i="26"/>
  <c r="AE18" i="26"/>
  <c r="D18" i="26"/>
  <c r="H18" i="26"/>
  <c r="L18" i="26"/>
  <c r="P18" i="26"/>
  <c r="T18" i="26"/>
  <c r="X18" i="26"/>
  <c r="AB18" i="26"/>
  <c r="AV18" i="26" s="1"/>
  <c r="AW18" i="26" s="1"/>
  <c r="AF18" i="26"/>
  <c r="AM14" i="26"/>
  <c r="AJ14" i="26"/>
  <c r="AG14" i="26"/>
  <c r="AS14" i="26" s="1"/>
  <c r="AT14" i="26" s="1"/>
  <c r="C14" i="26"/>
  <c r="G14" i="26"/>
  <c r="K14" i="26"/>
  <c r="O14" i="26"/>
  <c r="S14" i="26"/>
  <c r="W14" i="26"/>
  <c r="AA14" i="26"/>
  <c r="AE14" i="26"/>
  <c r="D14" i="26"/>
  <c r="H14" i="26"/>
  <c r="L14" i="26"/>
  <c r="P14" i="26"/>
  <c r="T14" i="26"/>
  <c r="X14" i="26"/>
  <c r="AB14" i="26"/>
  <c r="AV14" i="26" s="1"/>
  <c r="AW14" i="26" s="1"/>
  <c r="AF14" i="26"/>
  <c r="AM10" i="26"/>
  <c r="AJ10" i="26"/>
  <c r="AG10" i="26"/>
  <c r="AS10" i="26" s="1"/>
  <c r="AT10" i="26" s="1"/>
  <c r="C10" i="26"/>
  <c r="G10" i="26"/>
  <c r="K10" i="26"/>
  <c r="O10" i="26"/>
  <c r="S10" i="26"/>
  <c r="W10" i="26"/>
  <c r="AA10" i="26"/>
  <c r="AE10" i="26"/>
  <c r="D10" i="26"/>
  <c r="H10" i="26"/>
  <c r="L10" i="26"/>
  <c r="P10" i="26"/>
  <c r="T10" i="26"/>
  <c r="X10" i="26"/>
  <c r="AB10" i="26"/>
  <c r="AV10" i="26" s="1"/>
  <c r="AW10" i="26" s="1"/>
  <c r="AF10" i="26"/>
  <c r="AM6" i="26"/>
  <c r="AJ6" i="26"/>
  <c r="AG6" i="26"/>
  <c r="AS6" i="26" s="1"/>
  <c r="AT6" i="26" s="1"/>
  <c r="C6" i="26"/>
  <c r="G6" i="26"/>
  <c r="K6" i="26"/>
  <c r="O6" i="26"/>
  <c r="S6" i="26"/>
  <c r="W6" i="26"/>
  <c r="AA6" i="26"/>
  <c r="AE6" i="26"/>
  <c r="D6" i="26"/>
  <c r="H6" i="26"/>
  <c r="L6" i="26"/>
  <c r="P6" i="26"/>
  <c r="T6" i="26"/>
  <c r="X6" i="26"/>
  <c r="AB6" i="26"/>
  <c r="AV6" i="26" s="1"/>
  <c r="AW6" i="26" s="1"/>
  <c r="AF6" i="26"/>
  <c r="C3" i="26"/>
  <c r="AC3" i="26"/>
  <c r="Y3" i="26"/>
  <c r="U3" i="26"/>
  <c r="Q3" i="26"/>
  <c r="M3" i="26"/>
  <c r="I3" i="26"/>
  <c r="E3" i="26"/>
  <c r="AD29" i="26"/>
  <c r="Z29" i="26"/>
  <c r="V29" i="26"/>
  <c r="R29" i="26"/>
  <c r="N29" i="26"/>
  <c r="J29" i="26"/>
  <c r="F29" i="26"/>
  <c r="AF28" i="26"/>
  <c r="AB28" i="26"/>
  <c r="AV28" i="26" s="1"/>
  <c r="AW28" i="26" s="1"/>
  <c r="X28" i="26"/>
  <c r="T28" i="26"/>
  <c r="P28" i="26"/>
  <c r="L28" i="26"/>
  <c r="H28" i="26"/>
  <c r="D28" i="26"/>
  <c r="AD27" i="26"/>
  <c r="Z27" i="26"/>
  <c r="V27" i="26"/>
  <c r="R27" i="26"/>
  <c r="N27" i="26"/>
  <c r="J27" i="26"/>
  <c r="F27" i="26"/>
  <c r="AF26" i="26"/>
  <c r="AB26" i="26"/>
  <c r="AV26" i="26" s="1"/>
  <c r="AW26" i="26" s="1"/>
  <c r="X26" i="26"/>
  <c r="T26" i="26"/>
  <c r="P26" i="26"/>
  <c r="L26" i="26"/>
  <c r="H26" i="26"/>
  <c r="D26" i="26"/>
  <c r="AD25" i="26"/>
  <c r="Z25" i="26"/>
  <c r="V25" i="26"/>
  <c r="R25" i="26"/>
  <c r="N25" i="26"/>
  <c r="J25" i="26"/>
  <c r="F25" i="26"/>
  <c r="AF24" i="26"/>
  <c r="AB24" i="26"/>
  <c r="AV24" i="26" s="1"/>
  <c r="AW24" i="26" s="1"/>
  <c r="X24" i="26"/>
  <c r="T24" i="26"/>
  <c r="P24" i="26"/>
  <c r="L24" i="26"/>
  <c r="H24" i="26"/>
  <c r="D24" i="26"/>
  <c r="AD23" i="26"/>
  <c r="Z23" i="26"/>
  <c r="V23" i="26"/>
  <c r="R23" i="26"/>
  <c r="N23" i="26"/>
  <c r="H23" i="26"/>
  <c r="AD22" i="26"/>
  <c r="V22" i="26"/>
  <c r="N22" i="26"/>
  <c r="F22" i="26"/>
  <c r="AB21" i="26"/>
  <c r="AV21" i="26" s="1"/>
  <c r="AW21" i="26" s="1"/>
  <c r="T21" i="26"/>
  <c r="L21" i="26"/>
  <c r="D21" i="26"/>
  <c r="Z20" i="26"/>
  <c r="R20" i="26"/>
  <c r="J20" i="26"/>
  <c r="AF19" i="26"/>
  <c r="X19" i="26"/>
  <c r="P19" i="26"/>
  <c r="H19" i="26"/>
  <c r="AD18" i="26"/>
  <c r="V18" i="26"/>
  <c r="N18" i="26"/>
  <c r="F18" i="26"/>
  <c r="AB17" i="26"/>
  <c r="AV17" i="26" s="1"/>
  <c r="AW17" i="26" s="1"/>
  <c r="T17" i="26"/>
  <c r="L17" i="26"/>
  <c r="D17" i="26"/>
  <c r="Z16" i="26"/>
  <c r="R16" i="26"/>
  <c r="J16" i="26"/>
  <c r="AF15" i="26"/>
  <c r="X15" i="26"/>
  <c r="P15" i="26"/>
  <c r="H15" i="26"/>
  <c r="AD14" i="26"/>
  <c r="V14" i="26"/>
  <c r="N14" i="26"/>
  <c r="F14" i="26"/>
  <c r="AB13" i="26"/>
  <c r="AV13" i="26" s="1"/>
  <c r="AW13" i="26" s="1"/>
  <c r="T13" i="26"/>
  <c r="L13" i="26"/>
  <c r="D13" i="26"/>
  <c r="Z12" i="26"/>
  <c r="R12" i="26"/>
  <c r="J12" i="26"/>
  <c r="AF11" i="26"/>
  <c r="X11" i="26"/>
  <c r="P11" i="26"/>
  <c r="H11" i="26"/>
  <c r="AD10" i="26"/>
  <c r="V10" i="26"/>
  <c r="N10" i="26"/>
  <c r="F10" i="26"/>
  <c r="AB9" i="26"/>
  <c r="AV9" i="26" s="1"/>
  <c r="AW9" i="26" s="1"/>
  <c r="T9" i="26"/>
  <c r="L9" i="26"/>
  <c r="D9" i="26"/>
  <c r="Z8" i="26"/>
  <c r="R8" i="26"/>
  <c r="J8" i="26"/>
  <c r="AF7" i="26"/>
  <c r="X7" i="26"/>
  <c r="P7" i="26"/>
  <c r="H7" i="26"/>
  <c r="AD6" i="26"/>
  <c r="V6" i="26"/>
  <c r="N6" i="26"/>
  <c r="F6" i="26"/>
  <c r="AB5" i="26"/>
  <c r="AV5" i="26" s="1"/>
  <c r="AW5" i="26" s="1"/>
  <c r="T5" i="26"/>
  <c r="L5" i="26"/>
  <c r="D5" i="26"/>
  <c r="Z4" i="26"/>
  <c r="R4" i="26"/>
  <c r="J4" i="26"/>
  <c r="AF158" i="26"/>
  <c r="X158" i="26"/>
  <c r="P158" i="26"/>
  <c r="H158" i="26"/>
  <c r="AD157" i="26"/>
  <c r="V157" i="26"/>
  <c r="N157" i="26"/>
  <c r="F157" i="26"/>
  <c r="AB156" i="26"/>
  <c r="AV156" i="26" s="1"/>
  <c r="AW156" i="26" s="1"/>
  <c r="T156" i="26"/>
  <c r="L156" i="26"/>
  <c r="D156" i="26"/>
  <c r="Z155" i="26"/>
  <c r="R155" i="26"/>
  <c r="J155" i="26"/>
  <c r="AF154" i="26"/>
  <c r="X154" i="26"/>
  <c r="P154" i="26"/>
  <c r="H154" i="26"/>
  <c r="AD153" i="26"/>
  <c r="V153" i="26"/>
  <c r="N153" i="26"/>
  <c r="F153" i="26"/>
  <c r="AB152" i="26"/>
  <c r="AV152" i="26" s="1"/>
  <c r="AW152" i="26" s="1"/>
  <c r="T152" i="26"/>
  <c r="L152" i="26"/>
  <c r="D152" i="26"/>
  <c r="Z151" i="26"/>
  <c r="R151" i="26"/>
  <c r="J151" i="26"/>
  <c r="AF150" i="26"/>
  <c r="X150" i="26"/>
  <c r="P150" i="26"/>
  <c r="H150" i="26"/>
  <c r="AD149" i="26"/>
  <c r="V149" i="26"/>
  <c r="N149" i="26"/>
  <c r="F149" i="26"/>
  <c r="AB148" i="26"/>
  <c r="AV148" i="26" s="1"/>
  <c r="AW148" i="26" s="1"/>
  <c r="T148" i="26"/>
  <c r="L148" i="26"/>
  <c r="D148" i="26"/>
  <c r="Z147" i="26"/>
  <c r="R147" i="26"/>
  <c r="J147" i="26"/>
  <c r="AF146" i="26"/>
  <c r="X146" i="26"/>
  <c r="P146" i="26"/>
  <c r="H146" i="26"/>
  <c r="AD145" i="26"/>
  <c r="V145" i="26"/>
  <c r="N145" i="26"/>
  <c r="F145" i="26"/>
  <c r="AB144" i="26"/>
  <c r="AV144" i="26" s="1"/>
  <c r="AW144" i="26" s="1"/>
  <c r="T144" i="26"/>
  <c r="L144" i="26"/>
  <c r="D144" i="26"/>
  <c r="Z143" i="26"/>
  <c r="R143" i="26"/>
  <c r="J143" i="26"/>
  <c r="AF142" i="26"/>
  <c r="X142" i="26"/>
  <c r="P142" i="26"/>
  <c r="H142" i="26"/>
  <c r="AD141" i="26"/>
  <c r="V141" i="26"/>
  <c r="N141" i="26"/>
  <c r="F141" i="26"/>
  <c r="AB140" i="26"/>
  <c r="AV140" i="26" s="1"/>
  <c r="AW140" i="26" s="1"/>
  <c r="T140" i="26"/>
  <c r="L140" i="26"/>
  <c r="D140" i="26"/>
  <c r="Z139" i="26"/>
  <c r="R139" i="26"/>
  <c r="J139" i="26"/>
  <c r="AF138" i="26"/>
  <c r="X138" i="26"/>
  <c r="P138" i="26"/>
  <c r="H138" i="26"/>
  <c r="AD137" i="26"/>
  <c r="V137" i="26"/>
  <c r="N137" i="26"/>
  <c r="F137" i="26"/>
  <c r="AB136" i="26"/>
  <c r="AV136" i="26" s="1"/>
  <c r="AW136" i="26" s="1"/>
  <c r="T136" i="26"/>
  <c r="L136" i="26"/>
  <c r="D136" i="26"/>
  <c r="Z135" i="26"/>
  <c r="R135" i="26"/>
  <c r="J135" i="26"/>
  <c r="AF134" i="26"/>
  <c r="X134" i="26"/>
  <c r="P134" i="26"/>
  <c r="H134" i="26"/>
  <c r="AD133" i="26"/>
  <c r="V133" i="26"/>
  <c r="N133" i="26"/>
  <c r="F133" i="26"/>
  <c r="AB132" i="26"/>
  <c r="AV132" i="26" s="1"/>
  <c r="AW132" i="26" s="1"/>
  <c r="T132" i="26"/>
  <c r="L132" i="26"/>
  <c r="D132" i="26"/>
  <c r="Z131" i="26"/>
  <c r="R131" i="26"/>
  <c r="J131" i="26"/>
  <c r="AF130" i="26"/>
  <c r="X130" i="26"/>
  <c r="P130" i="26"/>
  <c r="H130" i="26"/>
  <c r="AD129" i="26"/>
  <c r="V129" i="26"/>
  <c r="N129" i="26"/>
  <c r="F129" i="26"/>
  <c r="AB128" i="26"/>
  <c r="AV128" i="26" s="1"/>
  <c r="AW128" i="26" s="1"/>
  <c r="T128" i="26"/>
  <c r="L128" i="26"/>
  <c r="D128" i="26"/>
  <c r="Z127" i="26"/>
  <c r="R127" i="26"/>
  <c r="J127" i="26"/>
  <c r="AF126" i="26"/>
  <c r="X126" i="26"/>
  <c r="P126" i="26"/>
  <c r="H126" i="26"/>
  <c r="AD125" i="26"/>
  <c r="V125" i="26"/>
  <c r="N125" i="26"/>
  <c r="F125" i="26"/>
  <c r="AB124" i="26"/>
  <c r="AV124" i="26" s="1"/>
  <c r="AW124" i="26" s="1"/>
  <c r="T124" i="26"/>
  <c r="L124" i="26"/>
  <c r="D124" i="26"/>
  <c r="Z123" i="26"/>
  <c r="R123" i="26"/>
  <c r="J123" i="26"/>
  <c r="AF122" i="26"/>
  <c r="X122" i="26"/>
  <c r="P122" i="26"/>
  <c r="H122" i="26"/>
  <c r="AD121" i="26"/>
  <c r="V121" i="26"/>
  <c r="N121" i="26"/>
  <c r="F121" i="26"/>
  <c r="AB120" i="26"/>
  <c r="AV120" i="26" s="1"/>
  <c r="AW120" i="26" s="1"/>
  <c r="T120" i="26"/>
  <c r="L120" i="26"/>
  <c r="D120" i="26"/>
  <c r="Z119" i="26"/>
  <c r="R119" i="26"/>
  <c r="J119" i="26"/>
  <c r="AF118" i="26"/>
  <c r="X118" i="26"/>
  <c r="P118" i="26"/>
  <c r="H118" i="26"/>
  <c r="AD117" i="26"/>
  <c r="V117" i="26"/>
  <c r="N117" i="26"/>
  <c r="F117" i="26"/>
  <c r="AB116" i="26"/>
  <c r="AV116" i="26" s="1"/>
  <c r="AW116" i="26" s="1"/>
  <c r="T116" i="26"/>
  <c r="L116" i="26"/>
  <c r="D116" i="26"/>
  <c r="Z115" i="26"/>
  <c r="K115" i="26"/>
  <c r="Y114" i="26"/>
  <c r="I114" i="26"/>
  <c r="W113" i="26"/>
  <c r="G113" i="26"/>
  <c r="U112" i="26"/>
  <c r="E112" i="26"/>
  <c r="S111" i="26"/>
  <c r="C111" i="26"/>
  <c r="Q110" i="26"/>
  <c r="AE109" i="26"/>
  <c r="O109" i="26"/>
  <c r="AC108" i="26"/>
  <c r="M108" i="26"/>
  <c r="AA107" i="26"/>
  <c r="K107" i="26"/>
  <c r="Y106" i="26"/>
  <c r="I106" i="26"/>
  <c r="W105" i="26"/>
  <c r="G105" i="26"/>
  <c r="U104" i="26"/>
  <c r="E104" i="26"/>
  <c r="S103" i="26"/>
  <c r="C103" i="26"/>
  <c r="Q102" i="26"/>
  <c r="AE101" i="26"/>
  <c r="O101" i="26"/>
  <c r="AC100" i="26"/>
  <c r="M100" i="26"/>
  <c r="AA99" i="26"/>
  <c r="K99" i="26"/>
  <c r="Y98" i="26"/>
  <c r="I98" i="26"/>
  <c r="W97" i="26"/>
  <c r="G97" i="26"/>
  <c r="U96" i="26"/>
  <c r="E96" i="26"/>
  <c r="S95" i="26"/>
  <c r="C95" i="26"/>
  <c r="Q94" i="26"/>
  <c r="AE93" i="26"/>
  <c r="O93" i="26"/>
  <c r="AC92" i="26"/>
  <c r="AC91" i="26"/>
  <c r="AA90" i="26"/>
  <c r="Y89" i="26"/>
  <c r="W88" i="26"/>
  <c r="U87" i="26"/>
  <c r="S86" i="26"/>
  <c r="Q85" i="26"/>
  <c r="O84" i="26"/>
  <c r="M83" i="26"/>
  <c r="K82" i="26"/>
  <c r="I81" i="26"/>
  <c r="AI81" i="26" s="1"/>
  <c r="G80" i="26"/>
  <c r="E79" i="26"/>
  <c r="C78" i="26"/>
  <c r="AE76" i="26"/>
  <c r="AC75" i="26"/>
  <c r="AA74" i="26"/>
  <c r="Y73" i="26"/>
  <c r="W72" i="26"/>
  <c r="U71" i="26"/>
  <c r="S70" i="26"/>
  <c r="Q69" i="26"/>
  <c r="O68" i="26"/>
  <c r="M67" i="26"/>
  <c r="K66" i="26"/>
  <c r="I65" i="26"/>
  <c r="G64" i="26"/>
  <c r="AI64" i="26" s="1"/>
  <c r="E63" i="26"/>
  <c r="C62" i="26"/>
  <c r="AE60" i="26"/>
  <c r="AC59" i="26"/>
  <c r="AA58" i="26"/>
  <c r="Y57" i="26"/>
  <c r="W56" i="26"/>
  <c r="U55" i="26"/>
  <c r="S54" i="26"/>
  <c r="Q53" i="26"/>
  <c r="O52" i="26"/>
  <c r="M51" i="26"/>
  <c r="K50" i="26"/>
  <c r="I49" i="26"/>
  <c r="AI49" i="26" s="1"/>
  <c r="G48" i="26"/>
  <c r="V45" i="26"/>
  <c r="N41" i="26"/>
  <c r="F37" i="26"/>
  <c r="AI37" i="26" s="1"/>
  <c r="AB32" i="26"/>
  <c r="AV32" i="26" s="1"/>
  <c r="AW32" i="26" s="1"/>
  <c r="T357" i="26"/>
  <c r="L353" i="26"/>
  <c r="D349" i="26"/>
  <c r="Z344" i="26"/>
  <c r="R340" i="26"/>
  <c r="J336" i="26"/>
  <c r="AF331" i="26"/>
  <c r="X327" i="26"/>
  <c r="P323" i="26"/>
  <c r="H319" i="26"/>
  <c r="AD314" i="26"/>
  <c r="V310" i="26"/>
  <c r="N306" i="26"/>
  <c r="F302" i="26"/>
  <c r="AB297" i="26"/>
  <c r="AV297" i="26" s="1"/>
  <c r="AW297" i="26" s="1"/>
  <c r="O282" i="26"/>
  <c r="M265" i="26"/>
  <c r="AI96" i="26" l="1"/>
  <c r="AI111" i="26"/>
  <c r="AI103" i="26"/>
  <c r="AI302" i="26"/>
  <c r="AI80" i="26"/>
  <c r="AI128" i="26"/>
  <c r="AI144" i="26"/>
  <c r="AI5" i="26"/>
  <c r="AI7" i="26"/>
  <c r="AI21" i="26"/>
  <c r="AI28" i="26"/>
  <c r="AI238" i="26"/>
  <c r="AI254" i="26"/>
  <c r="AI188" i="26"/>
  <c r="AI272" i="26"/>
  <c r="AI261" i="26"/>
  <c r="AI183" i="26"/>
  <c r="AI172" i="26"/>
  <c r="AI224" i="26"/>
  <c r="AI280" i="26"/>
  <c r="AP50" i="26"/>
  <c r="AN50" i="26"/>
  <c r="AO50" i="26"/>
  <c r="AQ50" i="26" s="1"/>
  <c r="AP66" i="26"/>
  <c r="AO66" i="26"/>
  <c r="AN66" i="26"/>
  <c r="AI74" i="26"/>
  <c r="AP82" i="26"/>
  <c r="AN82" i="26"/>
  <c r="AO82" i="26"/>
  <c r="AP110" i="26"/>
  <c r="AO110" i="26"/>
  <c r="AQ110" i="26" s="1"/>
  <c r="AN110" i="26"/>
  <c r="AI156" i="26"/>
  <c r="AI27" i="26"/>
  <c r="AP22" i="26"/>
  <c r="AO22" i="26"/>
  <c r="AN22" i="26"/>
  <c r="AI34" i="26"/>
  <c r="AI38" i="26"/>
  <c r="AI120" i="26"/>
  <c r="AI136" i="26"/>
  <c r="AI152" i="26"/>
  <c r="AI153" i="26"/>
  <c r="AI6" i="26"/>
  <c r="AI22" i="26"/>
  <c r="AP34" i="26"/>
  <c r="AO34" i="26"/>
  <c r="AN34" i="26"/>
  <c r="AP38" i="26"/>
  <c r="AO38" i="26"/>
  <c r="AN38" i="26"/>
  <c r="AP42" i="26"/>
  <c r="AO42" i="26"/>
  <c r="AN42" i="26"/>
  <c r="AI46" i="26"/>
  <c r="AI54" i="26"/>
  <c r="AI66" i="26"/>
  <c r="AP74" i="26"/>
  <c r="AO74" i="26"/>
  <c r="AQ74" i="26" s="1"/>
  <c r="AN74" i="26"/>
  <c r="AP106" i="26"/>
  <c r="AO106" i="26"/>
  <c r="AN106" i="26"/>
  <c r="AP114" i="26"/>
  <c r="AN114" i="26"/>
  <c r="AO114" i="26"/>
  <c r="AQ114" i="26" s="1"/>
  <c r="AP130" i="26"/>
  <c r="AO130" i="26"/>
  <c r="AQ130" i="26" s="1"/>
  <c r="AN130" i="26"/>
  <c r="AP146" i="26"/>
  <c r="AN146" i="26"/>
  <c r="AO146" i="26"/>
  <c r="AP162" i="26"/>
  <c r="AO162" i="26"/>
  <c r="AQ162" i="26" s="1"/>
  <c r="AN162" i="26"/>
  <c r="AP10" i="26"/>
  <c r="AO10" i="26"/>
  <c r="AQ10" i="26" s="1"/>
  <c r="AN10" i="26"/>
  <c r="AI14" i="26"/>
  <c r="AP26" i="26"/>
  <c r="AO26" i="26"/>
  <c r="AQ26" i="26" s="1"/>
  <c r="AN26" i="26"/>
  <c r="AI98" i="26"/>
  <c r="AP102" i="26"/>
  <c r="AO102" i="26"/>
  <c r="AQ102" i="26" s="1"/>
  <c r="AN102" i="26"/>
  <c r="AI124" i="26"/>
  <c r="AI26" i="26"/>
  <c r="AI10" i="26"/>
  <c r="AI62" i="26"/>
  <c r="AI137" i="26"/>
  <c r="AI24" i="26"/>
  <c r="AI3" i="26"/>
  <c r="AP18" i="26"/>
  <c r="AN18" i="26"/>
  <c r="AO18" i="26"/>
  <c r="AI30" i="26"/>
  <c r="AI50" i="26"/>
  <c r="AP58" i="26"/>
  <c r="AO58" i="26"/>
  <c r="AN58" i="26"/>
  <c r="AI70" i="26"/>
  <c r="AI82" i="26"/>
  <c r="AI86" i="26"/>
  <c r="AP90" i="26"/>
  <c r="AO90" i="26"/>
  <c r="AN90" i="26"/>
  <c r="AP98" i="26"/>
  <c r="AO98" i="26"/>
  <c r="AQ98" i="26" s="1"/>
  <c r="AN98" i="26"/>
  <c r="AI102" i="26"/>
  <c r="AI95" i="26"/>
  <c r="AI116" i="26"/>
  <c r="AI132" i="26"/>
  <c r="AI148" i="26"/>
  <c r="AI149" i="26"/>
  <c r="AP14" i="26"/>
  <c r="AO14" i="26"/>
  <c r="AN14" i="26"/>
  <c r="AI18" i="26"/>
  <c r="AP30" i="26"/>
  <c r="AO30" i="26"/>
  <c r="AN30" i="26"/>
  <c r="AP46" i="26"/>
  <c r="AO46" i="26"/>
  <c r="AQ46" i="26" s="1"/>
  <c r="AN46" i="26"/>
  <c r="AP62" i="26"/>
  <c r="AO62" i="26"/>
  <c r="AN62" i="26"/>
  <c r="AP94" i="26"/>
  <c r="AO94" i="26"/>
  <c r="AN94" i="26"/>
  <c r="AI114" i="26"/>
  <c r="AP122" i="26"/>
  <c r="AO122" i="26"/>
  <c r="AN122" i="26"/>
  <c r="AP138" i="26"/>
  <c r="AO138" i="26"/>
  <c r="AN138" i="26"/>
  <c r="AP154" i="26"/>
  <c r="AO154" i="26"/>
  <c r="AQ154" i="26" s="1"/>
  <c r="AN154" i="26"/>
  <c r="AI162" i="26"/>
  <c r="AI170" i="26"/>
  <c r="AP170" i="26"/>
  <c r="AO170" i="26"/>
  <c r="AN170" i="26"/>
  <c r="AI186" i="26"/>
  <c r="AP186" i="26"/>
  <c r="AO186" i="26"/>
  <c r="AQ186" i="26" s="1"/>
  <c r="AN186" i="26"/>
  <c r="AI202" i="26"/>
  <c r="AP202" i="26"/>
  <c r="AO202" i="26"/>
  <c r="AQ202" i="26" s="1"/>
  <c r="AN202" i="26"/>
  <c r="AI218" i="26"/>
  <c r="AI58" i="26"/>
  <c r="AI90" i="26"/>
  <c r="AI106" i="26"/>
  <c r="AI78" i="26"/>
  <c r="AI140" i="26"/>
  <c r="AI17" i="26"/>
  <c r="AP6" i="26"/>
  <c r="AO6" i="26"/>
  <c r="AN6" i="26"/>
  <c r="AI42" i="26"/>
  <c r="AP54" i="26"/>
  <c r="AO54" i="26"/>
  <c r="AN54" i="26"/>
  <c r="AP70" i="26"/>
  <c r="AO70" i="26"/>
  <c r="AN70" i="26"/>
  <c r="AP86" i="26"/>
  <c r="AO86" i="26"/>
  <c r="AN86" i="26"/>
  <c r="AI118" i="26"/>
  <c r="AI122" i="26"/>
  <c r="AP126" i="26"/>
  <c r="AO126" i="26"/>
  <c r="AN126" i="26"/>
  <c r="AI134" i="26"/>
  <c r="AI138" i="26"/>
  <c r="AP142" i="26"/>
  <c r="AO142" i="26"/>
  <c r="AN142" i="26"/>
  <c r="AI150" i="26"/>
  <c r="AI154" i="26"/>
  <c r="AP158" i="26"/>
  <c r="AO158" i="26"/>
  <c r="AQ158" i="26" s="1"/>
  <c r="AN158" i="26"/>
  <c r="AI166" i="26"/>
  <c r="AP174" i="26"/>
  <c r="AO174" i="26"/>
  <c r="AQ174" i="26" s="1"/>
  <c r="AN174" i="26"/>
  <c r="AI182" i="26"/>
  <c r="AP190" i="26"/>
  <c r="AO190" i="26"/>
  <c r="AN190" i="26"/>
  <c r="AI198" i="26"/>
  <c r="AP178" i="26"/>
  <c r="AN178" i="26"/>
  <c r="AO178" i="26"/>
  <c r="AP194" i="26"/>
  <c r="AO194" i="26"/>
  <c r="AQ194" i="26" s="1"/>
  <c r="AN194" i="26"/>
  <c r="AP210" i="26"/>
  <c r="AN210" i="26"/>
  <c r="AO210" i="26"/>
  <c r="AQ210" i="26" s="1"/>
  <c r="AP226" i="26"/>
  <c r="AO226" i="26"/>
  <c r="AN226" i="26"/>
  <c r="AP242" i="26"/>
  <c r="AN242" i="26"/>
  <c r="AO242" i="26"/>
  <c r="AI246" i="26"/>
  <c r="AP258" i="26"/>
  <c r="AO258" i="26"/>
  <c r="AN258" i="26"/>
  <c r="AP262" i="26"/>
  <c r="AO262" i="26"/>
  <c r="AN262" i="26"/>
  <c r="AI266" i="26"/>
  <c r="AP278" i="26"/>
  <c r="AO278" i="26"/>
  <c r="AN278" i="26"/>
  <c r="AP282" i="26"/>
  <c r="AO282" i="26"/>
  <c r="AN282" i="26"/>
  <c r="AI286" i="26"/>
  <c r="AI290" i="26"/>
  <c r="AI306" i="26"/>
  <c r="AI338" i="26"/>
  <c r="AO350" i="26"/>
  <c r="AP350" i="26"/>
  <c r="AN350" i="26"/>
  <c r="AI36" i="26"/>
  <c r="AN72" i="26"/>
  <c r="AP72" i="26"/>
  <c r="AO72" i="26"/>
  <c r="AP104" i="26"/>
  <c r="AN104" i="26"/>
  <c r="AO104" i="26"/>
  <c r="AN152" i="26"/>
  <c r="AP152" i="26"/>
  <c r="AO152" i="26"/>
  <c r="AI160" i="26"/>
  <c r="AP196" i="26"/>
  <c r="AO196" i="26"/>
  <c r="AN196" i="26"/>
  <c r="AI204" i="26"/>
  <c r="AP240" i="26"/>
  <c r="AN240" i="26"/>
  <c r="AO240" i="26"/>
  <c r="AI252" i="26"/>
  <c r="AP284" i="26"/>
  <c r="AN284" i="26"/>
  <c r="AO284" i="26"/>
  <c r="AI292" i="26"/>
  <c r="AI344" i="26"/>
  <c r="AI117" i="26"/>
  <c r="AP21" i="26"/>
  <c r="AO21" i="26"/>
  <c r="AN21" i="26"/>
  <c r="AI33" i="26"/>
  <c r="AO53" i="26"/>
  <c r="AN53" i="26"/>
  <c r="AP53" i="26"/>
  <c r="AI69" i="26"/>
  <c r="AI101" i="26"/>
  <c r="AP125" i="26"/>
  <c r="AN125" i="26"/>
  <c r="AO125" i="26"/>
  <c r="AN129" i="26"/>
  <c r="AP129" i="26"/>
  <c r="AO129" i="26"/>
  <c r="AI141" i="26"/>
  <c r="AP177" i="26"/>
  <c r="AN177" i="26"/>
  <c r="AO177" i="26"/>
  <c r="AI189" i="26"/>
  <c r="AI201" i="26"/>
  <c r="AP241" i="26"/>
  <c r="AN241" i="26"/>
  <c r="AO241" i="26"/>
  <c r="AI249" i="26"/>
  <c r="AP261" i="26"/>
  <c r="AO261" i="26"/>
  <c r="AN261" i="26"/>
  <c r="AI297" i="26"/>
  <c r="AP309" i="26"/>
  <c r="AO309" i="26"/>
  <c r="AQ309" i="26" s="1"/>
  <c r="AN309" i="26"/>
  <c r="AP321" i="26"/>
  <c r="AN321" i="26"/>
  <c r="AO321" i="26"/>
  <c r="AQ321" i="26" s="1"/>
  <c r="AI341" i="26"/>
  <c r="AI353" i="26"/>
  <c r="AI135" i="26"/>
  <c r="AI29" i="26"/>
  <c r="AI31" i="26"/>
  <c r="AI51" i="26"/>
  <c r="AO55" i="26"/>
  <c r="AQ55" i="26" s="1"/>
  <c r="AP55" i="26"/>
  <c r="AN55" i="26"/>
  <c r="AO59" i="26"/>
  <c r="AQ59" i="26" s="1"/>
  <c r="AP59" i="26"/>
  <c r="AN59" i="26"/>
  <c r="AI71" i="26"/>
  <c r="AI83" i="26"/>
  <c r="AO87" i="26"/>
  <c r="AQ87" i="26" s="1"/>
  <c r="AN87" i="26"/>
  <c r="AP87" i="26"/>
  <c r="AO91" i="26"/>
  <c r="AP91" i="26"/>
  <c r="AN91" i="26"/>
  <c r="AO99" i="26"/>
  <c r="AP99" i="26"/>
  <c r="AN99" i="26"/>
  <c r="AO107" i="26"/>
  <c r="AP107" i="26"/>
  <c r="AN107" i="26"/>
  <c r="AO123" i="26"/>
  <c r="AN123" i="26"/>
  <c r="AP123" i="26"/>
  <c r="AP127" i="26"/>
  <c r="AO127" i="26"/>
  <c r="AQ127" i="26" s="1"/>
  <c r="AN127" i="26"/>
  <c r="AI131" i="26"/>
  <c r="AO139" i="26"/>
  <c r="AP139" i="26"/>
  <c r="AN139" i="26"/>
  <c r="AP143" i="26"/>
  <c r="AO143" i="26"/>
  <c r="AN143" i="26"/>
  <c r="AI147" i="26"/>
  <c r="AO155" i="26"/>
  <c r="AP155" i="26"/>
  <c r="AN155" i="26"/>
  <c r="AI159" i="26"/>
  <c r="AI163" i="26"/>
  <c r="AI167" i="26"/>
  <c r="AO167" i="26"/>
  <c r="AP167" i="26"/>
  <c r="AN167" i="26"/>
  <c r="AI175" i="26"/>
  <c r="AO183" i="26"/>
  <c r="AP183" i="26"/>
  <c r="AN183" i="26"/>
  <c r="AI191" i="26"/>
  <c r="AO199" i="26"/>
  <c r="AP199" i="26"/>
  <c r="AN199" i="26"/>
  <c r="AI207" i="26"/>
  <c r="AO215" i="26"/>
  <c r="AN215" i="26"/>
  <c r="AP215" i="26"/>
  <c r="AI223" i="26"/>
  <c r="AO231" i="26"/>
  <c r="AN231" i="26"/>
  <c r="AP231" i="26"/>
  <c r="AI243" i="26"/>
  <c r="AO247" i="26"/>
  <c r="AQ247" i="26" s="1"/>
  <c r="AP247" i="26"/>
  <c r="AN247" i="26"/>
  <c r="AO263" i="26"/>
  <c r="AN263" i="26"/>
  <c r="AP263" i="26"/>
  <c r="AI275" i="26"/>
  <c r="AO283" i="26"/>
  <c r="AP283" i="26"/>
  <c r="AN283" i="26"/>
  <c r="AI291" i="26"/>
  <c r="AI307" i="26"/>
  <c r="AO315" i="26"/>
  <c r="AP315" i="26"/>
  <c r="AN315" i="26"/>
  <c r="AO319" i="26"/>
  <c r="AP319" i="26"/>
  <c r="AN319" i="26"/>
  <c r="AO323" i="26"/>
  <c r="AP323" i="26"/>
  <c r="AN323" i="26"/>
  <c r="AI339" i="26"/>
  <c r="AP347" i="26"/>
  <c r="AN347" i="26"/>
  <c r="AO347" i="26"/>
  <c r="AP351" i="26"/>
  <c r="AN351" i="26"/>
  <c r="AO351" i="26"/>
  <c r="AQ351" i="26" s="1"/>
  <c r="AP355" i="26"/>
  <c r="AN355" i="26"/>
  <c r="AO355" i="26"/>
  <c r="AP20" i="26"/>
  <c r="AO20" i="26"/>
  <c r="AQ20" i="26" s="1"/>
  <c r="AN20" i="26"/>
  <c r="AN44" i="26"/>
  <c r="AP44" i="26"/>
  <c r="AO44" i="26"/>
  <c r="AN96" i="26"/>
  <c r="AO96" i="26"/>
  <c r="AP96" i="26"/>
  <c r="AN144" i="26"/>
  <c r="AO144" i="26"/>
  <c r="AP144" i="26"/>
  <c r="AI180" i="26"/>
  <c r="AN192" i="26"/>
  <c r="AP192" i="26"/>
  <c r="AO192" i="26"/>
  <c r="AI208" i="26"/>
  <c r="AI232" i="26"/>
  <c r="AP244" i="26"/>
  <c r="AO244" i="26"/>
  <c r="AN244" i="26"/>
  <c r="AI324" i="26"/>
  <c r="AI336" i="26"/>
  <c r="AN17" i="26"/>
  <c r="AO17" i="26"/>
  <c r="AP17" i="26"/>
  <c r="AI45" i="26"/>
  <c r="AI57" i="26"/>
  <c r="AI89" i="26"/>
  <c r="AP149" i="26"/>
  <c r="AO149" i="26"/>
  <c r="AN149" i="26"/>
  <c r="AI161" i="26"/>
  <c r="AI197" i="26"/>
  <c r="AP253" i="26"/>
  <c r="AN253" i="26"/>
  <c r="AO253" i="26"/>
  <c r="AO265" i="26"/>
  <c r="AN265" i="26"/>
  <c r="AP265" i="26"/>
  <c r="AI40" i="26"/>
  <c r="AP76" i="26"/>
  <c r="AN76" i="26"/>
  <c r="AO76" i="26"/>
  <c r="AN136" i="26"/>
  <c r="AO136" i="26"/>
  <c r="AP136" i="26"/>
  <c r="AI164" i="26"/>
  <c r="AN184" i="26"/>
  <c r="AP184" i="26"/>
  <c r="AQ184" i="26" s="1"/>
  <c r="AO184" i="26"/>
  <c r="AI200" i="26"/>
  <c r="AN236" i="26"/>
  <c r="AP236" i="26"/>
  <c r="AO236" i="26"/>
  <c r="AI296" i="26"/>
  <c r="AI308" i="26"/>
  <c r="AP328" i="26"/>
  <c r="AN328" i="26"/>
  <c r="AO328" i="26"/>
  <c r="AP340" i="26"/>
  <c r="AN340" i="26"/>
  <c r="AO340" i="26"/>
  <c r="AP352" i="26"/>
  <c r="AN352" i="26"/>
  <c r="AO352" i="26"/>
  <c r="AP97" i="26"/>
  <c r="AN97" i="26"/>
  <c r="AO97" i="26"/>
  <c r="AI109" i="26"/>
  <c r="AP121" i="26"/>
  <c r="AO121" i="26"/>
  <c r="AN121" i="26"/>
  <c r="AI133" i="26"/>
  <c r="AN193" i="26"/>
  <c r="AP193" i="26"/>
  <c r="AO193" i="26"/>
  <c r="AO245" i="26"/>
  <c r="AN245" i="26"/>
  <c r="AP245" i="26"/>
  <c r="AP305" i="26"/>
  <c r="AN305" i="26"/>
  <c r="AO305" i="26"/>
  <c r="AQ305" i="26" s="1"/>
  <c r="AN317" i="26"/>
  <c r="AO317" i="26"/>
  <c r="AP317" i="26"/>
  <c r="AQ317" i="26" s="1"/>
  <c r="AO345" i="26"/>
  <c r="AN345" i="26"/>
  <c r="AP345" i="26"/>
  <c r="AP78" i="26"/>
  <c r="AO78" i="26"/>
  <c r="AN78" i="26"/>
  <c r="AI94" i="26"/>
  <c r="AI110" i="26"/>
  <c r="AP118" i="26"/>
  <c r="AN118" i="26"/>
  <c r="AO118" i="26"/>
  <c r="AI126" i="26"/>
  <c r="AI130" i="26"/>
  <c r="AP134" i="26"/>
  <c r="AO134" i="26"/>
  <c r="AN134" i="26"/>
  <c r="AI142" i="26"/>
  <c r="AI146" i="26"/>
  <c r="AP150" i="26"/>
  <c r="AO150" i="26"/>
  <c r="AN150" i="26"/>
  <c r="AI158" i="26"/>
  <c r="AP166" i="26"/>
  <c r="AO166" i="26"/>
  <c r="AN166" i="26"/>
  <c r="AI174" i="26"/>
  <c r="AI178" i="26"/>
  <c r="AP182" i="26"/>
  <c r="AO182" i="26"/>
  <c r="AN182" i="26"/>
  <c r="AI190" i="26"/>
  <c r="AI194" i="26"/>
  <c r="AP198" i="26"/>
  <c r="AO198" i="26"/>
  <c r="AN198" i="26"/>
  <c r="AI206" i="26"/>
  <c r="AI210" i="26"/>
  <c r="AP214" i="26"/>
  <c r="AO214" i="26"/>
  <c r="AN214" i="26"/>
  <c r="AI222" i="26"/>
  <c r="AI226" i="26"/>
  <c r="AP230" i="26"/>
  <c r="AO230" i="26"/>
  <c r="AN230" i="26"/>
  <c r="AI242" i="26"/>
  <c r="AP246" i="26"/>
  <c r="AN246" i="26"/>
  <c r="AO246" i="26"/>
  <c r="AP266" i="26"/>
  <c r="AO266" i="26"/>
  <c r="AN266" i="26"/>
  <c r="AI270" i="26"/>
  <c r="AO286" i="26"/>
  <c r="AP286" i="26"/>
  <c r="AN286" i="26"/>
  <c r="AO290" i="26"/>
  <c r="AP290" i="26"/>
  <c r="AQ290" i="26" s="1"/>
  <c r="AN290" i="26"/>
  <c r="AI294" i="26"/>
  <c r="AP314" i="26"/>
  <c r="AQ314" i="26"/>
  <c r="AO314" i="26"/>
  <c r="AN314" i="26"/>
  <c r="AO318" i="26"/>
  <c r="AP318" i="26"/>
  <c r="AN318" i="26"/>
  <c r="AI322" i="26"/>
  <c r="AO322" i="26"/>
  <c r="AP322" i="26"/>
  <c r="AN322" i="26"/>
  <c r="AP346" i="26"/>
  <c r="AO346" i="26"/>
  <c r="AN346" i="26"/>
  <c r="AI354" i="26"/>
  <c r="AO354" i="26"/>
  <c r="AP354" i="26"/>
  <c r="AN354" i="26"/>
  <c r="AN24" i="26"/>
  <c r="AP24" i="26"/>
  <c r="AO24" i="26"/>
  <c r="AQ24" i="26" s="1"/>
  <c r="AP36" i="26"/>
  <c r="AO36" i="26"/>
  <c r="AN36" i="26"/>
  <c r="AI52" i="26"/>
  <c r="AI72" i="26"/>
  <c r="AN80" i="26"/>
  <c r="AO80" i="26"/>
  <c r="AP80" i="26"/>
  <c r="AQ80" i="26" s="1"/>
  <c r="AI104" i="26"/>
  <c r="AP116" i="26"/>
  <c r="AO116" i="26"/>
  <c r="AN116" i="26"/>
  <c r="AN160" i="26"/>
  <c r="AO160" i="26"/>
  <c r="AP160" i="26"/>
  <c r="AP204" i="26"/>
  <c r="AQ204" i="26" s="1"/>
  <c r="AN204" i="26"/>
  <c r="AO204" i="26"/>
  <c r="AI216" i="26"/>
  <c r="AI240" i="26"/>
  <c r="AN252" i="26"/>
  <c r="AP252" i="26"/>
  <c r="AO252" i="26"/>
  <c r="AI264" i="26"/>
  <c r="AI284" i="26"/>
  <c r="AP292" i="26"/>
  <c r="AO292" i="26"/>
  <c r="AQ292" i="26" s="1"/>
  <c r="AN292" i="26"/>
  <c r="AP304" i="26"/>
  <c r="AN304" i="26"/>
  <c r="AO304" i="26"/>
  <c r="AP316" i="26"/>
  <c r="AN316" i="26"/>
  <c r="AO316" i="26"/>
  <c r="AI332" i="26"/>
  <c r="AP344" i="26"/>
  <c r="AN344" i="26"/>
  <c r="AO344" i="26"/>
  <c r="AP33" i="26"/>
  <c r="AN33" i="26"/>
  <c r="AO33" i="26"/>
  <c r="AP41" i="26"/>
  <c r="AO41" i="26"/>
  <c r="AN41" i="26"/>
  <c r="AI53" i="26"/>
  <c r="AP69" i="26"/>
  <c r="AO69" i="26"/>
  <c r="AQ69" i="26" s="1"/>
  <c r="AN69" i="26"/>
  <c r="AO101" i="26"/>
  <c r="AQ101" i="26" s="1"/>
  <c r="AN101" i="26"/>
  <c r="AP101" i="26"/>
  <c r="AI113" i="26"/>
  <c r="AI129" i="26"/>
  <c r="AP189" i="26"/>
  <c r="AN189" i="26"/>
  <c r="AO189" i="26"/>
  <c r="AQ189" i="26" s="1"/>
  <c r="AP249" i="26"/>
  <c r="AO249" i="26"/>
  <c r="AN249" i="26"/>
  <c r="AI273" i="26"/>
  <c r="AI285" i="26"/>
  <c r="AP341" i="26"/>
  <c r="AO341" i="26"/>
  <c r="AN341" i="26"/>
  <c r="AO353" i="26"/>
  <c r="AP353" i="26"/>
  <c r="AN353" i="26"/>
  <c r="AI56" i="26"/>
  <c r="AI108" i="26"/>
  <c r="AP15" i="26"/>
  <c r="AO15" i="26"/>
  <c r="AN15" i="26"/>
  <c r="AO19" i="26"/>
  <c r="AP19" i="26"/>
  <c r="AN19" i="26"/>
  <c r="AO23" i="26"/>
  <c r="AQ23" i="26" s="1"/>
  <c r="AN23" i="26"/>
  <c r="AP23" i="26"/>
  <c r="AP31" i="26"/>
  <c r="AO31" i="26"/>
  <c r="AN31" i="26"/>
  <c r="AO35" i="26"/>
  <c r="AP35" i="26"/>
  <c r="AQ35" i="26" s="1"/>
  <c r="AN35" i="26"/>
  <c r="AO43" i="26"/>
  <c r="AP43" i="26"/>
  <c r="AN43" i="26"/>
  <c r="AI47" i="26"/>
  <c r="AP47" i="26"/>
  <c r="AO47" i="26"/>
  <c r="AN47" i="26"/>
  <c r="AO51" i="26"/>
  <c r="AQ51" i="26" s="1"/>
  <c r="AN51" i="26"/>
  <c r="AP51" i="26"/>
  <c r="AI63" i="26"/>
  <c r="AI75" i="26"/>
  <c r="AP79" i="26"/>
  <c r="AQ79" i="26" s="1"/>
  <c r="AO79" i="26"/>
  <c r="AN79" i="26"/>
  <c r="AO83" i="26"/>
  <c r="AP83" i="26"/>
  <c r="AN83" i="26"/>
  <c r="AI127" i="26"/>
  <c r="AI143" i="26"/>
  <c r="AO171" i="26"/>
  <c r="AQ171" i="26" s="1"/>
  <c r="AP171" i="26"/>
  <c r="AN171" i="26"/>
  <c r="AO187" i="26"/>
  <c r="AP187" i="26"/>
  <c r="AN187" i="26"/>
  <c r="AI195" i="26"/>
  <c r="AO203" i="26"/>
  <c r="AP203" i="26"/>
  <c r="AN203" i="26"/>
  <c r="AI211" i="26"/>
  <c r="AO219" i="26"/>
  <c r="AP219" i="26"/>
  <c r="AN219" i="26"/>
  <c r="AI227" i="26"/>
  <c r="AO235" i="26"/>
  <c r="AP235" i="26"/>
  <c r="AN235" i="26"/>
  <c r="AI239" i="26"/>
  <c r="AO251" i="26"/>
  <c r="AQ251" i="26" s="1"/>
  <c r="AN251" i="26"/>
  <c r="AP251" i="26"/>
  <c r="AI255" i="26"/>
  <c r="AI259" i="26"/>
  <c r="AO267" i="26"/>
  <c r="AP267" i="26"/>
  <c r="AN267" i="26"/>
  <c r="AO271" i="26"/>
  <c r="AP271" i="26"/>
  <c r="AN271" i="26"/>
  <c r="AI279" i="26"/>
  <c r="AO287" i="26"/>
  <c r="AP287" i="26"/>
  <c r="AN287" i="26"/>
  <c r="AI295" i="26"/>
  <c r="AI299" i="26"/>
  <c r="AI303" i="26"/>
  <c r="AI319" i="26"/>
  <c r="AI331" i="26"/>
  <c r="AI335" i="26"/>
  <c r="AI351" i="26"/>
  <c r="AN8" i="26"/>
  <c r="AO8" i="26"/>
  <c r="AP8" i="26"/>
  <c r="AQ8" i="26" s="1"/>
  <c r="AI20" i="26"/>
  <c r="AN56" i="26"/>
  <c r="AP56" i="26"/>
  <c r="AO56" i="26"/>
  <c r="AQ56" i="26" s="1"/>
  <c r="AI68" i="26"/>
  <c r="AN108" i="26"/>
  <c r="AP108" i="26"/>
  <c r="AO108" i="26"/>
  <c r="AQ108" i="26" s="1"/>
  <c r="AN156" i="26"/>
  <c r="AP156" i="26"/>
  <c r="AO156" i="26"/>
  <c r="AI168" i="26"/>
  <c r="AN208" i="26"/>
  <c r="AO208" i="26"/>
  <c r="AP208" i="26"/>
  <c r="AI220" i="26"/>
  <c r="AN256" i="26"/>
  <c r="AP256" i="26"/>
  <c r="AO256" i="26"/>
  <c r="AI276" i="26"/>
  <c r="AI312" i="26"/>
  <c r="AN29" i="26"/>
  <c r="AP29" i="26"/>
  <c r="AO29" i="26"/>
  <c r="AN45" i="26"/>
  <c r="AO45" i="26"/>
  <c r="AP45" i="26"/>
  <c r="AI77" i="26"/>
  <c r="AP77" i="26"/>
  <c r="AN77" i="26"/>
  <c r="AO77" i="26"/>
  <c r="AP137" i="26"/>
  <c r="AO137" i="26"/>
  <c r="AN137" i="26"/>
  <c r="AP161" i="26"/>
  <c r="AN161" i="26"/>
  <c r="AO161" i="26"/>
  <c r="AQ161" i="26" s="1"/>
  <c r="AI173" i="26"/>
  <c r="AN209" i="26"/>
  <c r="AP209" i="26"/>
  <c r="AO209" i="26"/>
  <c r="AP277" i="26"/>
  <c r="AO277" i="26"/>
  <c r="AN277" i="26"/>
  <c r="AI289" i="26"/>
  <c r="AI301" i="26"/>
  <c r="AI325" i="26"/>
  <c r="AP325" i="26"/>
  <c r="AO325" i="26"/>
  <c r="AN325" i="26"/>
  <c r="AI337" i="26"/>
  <c r="AI349" i="26"/>
  <c r="AN28" i="26"/>
  <c r="AP28" i="26"/>
  <c r="AO28" i="26"/>
  <c r="AP40" i="26"/>
  <c r="AN40" i="26"/>
  <c r="AO40" i="26"/>
  <c r="AI92" i="26"/>
  <c r="AN92" i="26"/>
  <c r="AP92" i="26"/>
  <c r="AO92" i="26"/>
  <c r="AP148" i="26"/>
  <c r="AO148" i="26"/>
  <c r="AN148" i="26"/>
  <c r="AI184" i="26"/>
  <c r="AN200" i="26"/>
  <c r="AP200" i="26"/>
  <c r="AO200" i="26"/>
  <c r="AI212" i="26"/>
  <c r="AI236" i="26"/>
  <c r="AI248" i="26"/>
  <c r="AN248" i="26"/>
  <c r="AP248" i="26"/>
  <c r="AO248" i="26"/>
  <c r="AQ248" i="26" s="1"/>
  <c r="AI328" i="26"/>
  <c r="AI340" i="26"/>
  <c r="AP73" i="26"/>
  <c r="AO73" i="26"/>
  <c r="AN73" i="26"/>
  <c r="AI85" i="26"/>
  <c r="AN109" i="26"/>
  <c r="AP109" i="26"/>
  <c r="AO109" i="26"/>
  <c r="AI121" i="26"/>
  <c r="AP133" i="26"/>
  <c r="AO133" i="26"/>
  <c r="AN133" i="26"/>
  <c r="AP153" i="26"/>
  <c r="AO153" i="26"/>
  <c r="AN153" i="26"/>
  <c r="AI169" i="26"/>
  <c r="AP205" i="26"/>
  <c r="AN205" i="26"/>
  <c r="AO205" i="26"/>
  <c r="AQ205" i="26" s="1"/>
  <c r="AI217" i="26"/>
  <c r="AI225" i="26"/>
  <c r="AN257" i="26"/>
  <c r="AP257" i="26"/>
  <c r="AO257" i="26"/>
  <c r="AI269" i="26"/>
  <c r="AI281" i="26"/>
  <c r="AP218" i="26"/>
  <c r="AO218" i="26"/>
  <c r="AN218" i="26"/>
  <c r="AP234" i="26"/>
  <c r="AO234" i="26"/>
  <c r="AN234" i="26"/>
  <c r="AP250" i="26"/>
  <c r="AO250" i="26"/>
  <c r="AN250" i="26"/>
  <c r="AO270" i="26"/>
  <c r="AQ270" i="26" s="1"/>
  <c r="AP270" i="26"/>
  <c r="AN270" i="26"/>
  <c r="AI274" i="26"/>
  <c r="AP294" i="26"/>
  <c r="AO294" i="26"/>
  <c r="AQ294" i="26" s="1"/>
  <c r="AN294" i="26"/>
  <c r="AP310" i="26"/>
  <c r="AO310" i="26"/>
  <c r="AQ310" i="26" s="1"/>
  <c r="AN310" i="26"/>
  <c r="AI314" i="26"/>
  <c r="AI318" i="26"/>
  <c r="AP326" i="26"/>
  <c r="AO326" i="26"/>
  <c r="AQ326" i="26" s="1"/>
  <c r="AN326" i="26"/>
  <c r="AI334" i="26"/>
  <c r="AP342" i="26"/>
  <c r="AO342" i="26"/>
  <c r="AQ342" i="26" s="1"/>
  <c r="AN342" i="26"/>
  <c r="AI346" i="26"/>
  <c r="AI350" i="26"/>
  <c r="AP358" i="26"/>
  <c r="AO358" i="26"/>
  <c r="AN358" i="26"/>
  <c r="AI12" i="26"/>
  <c r="AP12" i="26"/>
  <c r="AN12" i="26"/>
  <c r="AO12" i="26"/>
  <c r="AP52" i="26"/>
  <c r="AO52" i="26"/>
  <c r="AQ52" i="26" s="1"/>
  <c r="AN52" i="26"/>
  <c r="AN88" i="26"/>
  <c r="AO88" i="26"/>
  <c r="AP88" i="26"/>
  <c r="AI100" i="26"/>
  <c r="AN128" i="26"/>
  <c r="AP128" i="26"/>
  <c r="AO128" i="26"/>
  <c r="AQ128" i="26" s="1"/>
  <c r="AP176" i="26"/>
  <c r="AN176" i="26"/>
  <c r="AO176" i="26"/>
  <c r="AN216" i="26"/>
  <c r="AO216" i="26"/>
  <c r="AQ216" i="26" s="1"/>
  <c r="AP216" i="26"/>
  <c r="AI228" i="26"/>
  <c r="AP264" i="26"/>
  <c r="AN264" i="26"/>
  <c r="AO264" i="26"/>
  <c r="AI304" i="26"/>
  <c r="AI316" i="26"/>
  <c r="AP332" i="26"/>
  <c r="AN332" i="26"/>
  <c r="AO332" i="26"/>
  <c r="AP356" i="26"/>
  <c r="AN356" i="26"/>
  <c r="AO356" i="26"/>
  <c r="AI13" i="26"/>
  <c r="AI41" i="26"/>
  <c r="AP49" i="26"/>
  <c r="AN49" i="26"/>
  <c r="AO49" i="26"/>
  <c r="AP113" i="26"/>
  <c r="AN113" i="26"/>
  <c r="AO113" i="26"/>
  <c r="AI125" i="26"/>
  <c r="AN157" i="26"/>
  <c r="AP157" i="26"/>
  <c r="AO157" i="26"/>
  <c r="AI165" i="26"/>
  <c r="AO165" i="26"/>
  <c r="AN165" i="26"/>
  <c r="AP165" i="26"/>
  <c r="AP201" i="26"/>
  <c r="AO201" i="26"/>
  <c r="AQ201" i="26" s="1"/>
  <c r="AN201" i="26"/>
  <c r="AP273" i="26"/>
  <c r="AN273" i="26"/>
  <c r="AO273" i="26"/>
  <c r="AI139" i="26"/>
  <c r="AI23" i="26"/>
  <c r="AO39" i="26"/>
  <c r="AP39" i="26"/>
  <c r="AN39" i="26"/>
  <c r="AI43" i="26"/>
  <c r="AI55" i="26"/>
  <c r="AI67" i="26"/>
  <c r="AO71" i="26"/>
  <c r="AQ71" i="26" s="1"/>
  <c r="AP71" i="26"/>
  <c r="AN71" i="26"/>
  <c r="AO75" i="26"/>
  <c r="AQ75" i="26" s="1"/>
  <c r="AP75" i="26"/>
  <c r="AN75" i="26"/>
  <c r="AI87" i="26"/>
  <c r="AO115" i="26"/>
  <c r="AQ115" i="26" s="1"/>
  <c r="AP115" i="26"/>
  <c r="AN115" i="26"/>
  <c r="AO119" i="26"/>
  <c r="AP119" i="26"/>
  <c r="AN119" i="26"/>
  <c r="AI123" i="26"/>
  <c r="AO131" i="26"/>
  <c r="AP131" i="26"/>
  <c r="AQ131" i="26" s="1"/>
  <c r="AN131" i="26"/>
  <c r="AO135" i="26"/>
  <c r="AP135" i="26"/>
  <c r="AN135" i="26"/>
  <c r="AO147" i="26"/>
  <c r="AP147" i="26"/>
  <c r="AN147" i="26"/>
  <c r="AQ151" i="26"/>
  <c r="AO151" i="26"/>
  <c r="AN151" i="26"/>
  <c r="AP151" i="26"/>
  <c r="AI155" i="26"/>
  <c r="AP159" i="26"/>
  <c r="AO159" i="26"/>
  <c r="AN159" i="26"/>
  <c r="AI171" i="26"/>
  <c r="AP175" i="26"/>
  <c r="AO175" i="26"/>
  <c r="AN175" i="26"/>
  <c r="AI179" i="26"/>
  <c r="AI187" i="26"/>
  <c r="AP191" i="26"/>
  <c r="AO191" i="26"/>
  <c r="AQ191" i="26" s="1"/>
  <c r="AN191" i="26"/>
  <c r="AI199" i="26"/>
  <c r="AP207" i="26"/>
  <c r="AO207" i="26"/>
  <c r="AQ207" i="26" s="1"/>
  <c r="AN207" i="26"/>
  <c r="AI215" i="26"/>
  <c r="AP223" i="26"/>
  <c r="AO223" i="26"/>
  <c r="AN223" i="26"/>
  <c r="AI235" i="26"/>
  <c r="AP239" i="26"/>
  <c r="AO239" i="26"/>
  <c r="AN239" i="26"/>
  <c r="AI251" i="26"/>
  <c r="AP255" i="26"/>
  <c r="AO255" i="26"/>
  <c r="AN255" i="26"/>
  <c r="AI263" i="26"/>
  <c r="AO275" i="26"/>
  <c r="AP275" i="26"/>
  <c r="AN275" i="26"/>
  <c r="AI283" i="26"/>
  <c r="AO291" i="26"/>
  <c r="AP291" i="26"/>
  <c r="AN291" i="26"/>
  <c r="AO299" i="26"/>
  <c r="AP299" i="26"/>
  <c r="AN299" i="26"/>
  <c r="AO303" i="26"/>
  <c r="AQ303" i="26" s="1"/>
  <c r="AP303" i="26"/>
  <c r="AN303" i="26"/>
  <c r="AO307" i="26"/>
  <c r="AP307" i="26"/>
  <c r="AN307" i="26"/>
  <c r="AI311" i="26"/>
  <c r="AI327" i="26"/>
  <c r="AQ331" i="26"/>
  <c r="AP331" i="26"/>
  <c r="AN331" i="26"/>
  <c r="AO331" i="26"/>
  <c r="AQ335" i="26"/>
  <c r="AP335" i="26"/>
  <c r="AN335" i="26"/>
  <c r="AO335" i="26"/>
  <c r="AQ339" i="26"/>
  <c r="AP339" i="26"/>
  <c r="AN339" i="26"/>
  <c r="AO339" i="26"/>
  <c r="AI343" i="26"/>
  <c r="AI8" i="26"/>
  <c r="AI32" i="26"/>
  <c r="AP68" i="26"/>
  <c r="AO68" i="26"/>
  <c r="AN68" i="26"/>
  <c r="AI84" i="26"/>
  <c r="AN120" i="26"/>
  <c r="AP120" i="26"/>
  <c r="AO120" i="26"/>
  <c r="AP168" i="26"/>
  <c r="AN168" i="26"/>
  <c r="AO168" i="26"/>
  <c r="AN220" i="26"/>
  <c r="AP220" i="26"/>
  <c r="AO220" i="26"/>
  <c r="AQ220" i="26" s="1"/>
  <c r="AI256" i="26"/>
  <c r="AP276" i="26"/>
  <c r="AO276" i="26"/>
  <c r="AN276" i="26"/>
  <c r="AP288" i="26"/>
  <c r="AN288" i="26"/>
  <c r="AO288" i="26"/>
  <c r="AP312" i="26"/>
  <c r="AQ312" i="26" s="1"/>
  <c r="AN312" i="26"/>
  <c r="AO312" i="26"/>
  <c r="AP5" i="26"/>
  <c r="AO5" i="26"/>
  <c r="AN5" i="26"/>
  <c r="AO37" i="26"/>
  <c r="AN37" i="26"/>
  <c r="AP37" i="26"/>
  <c r="AP57" i="26"/>
  <c r="AO57" i="26"/>
  <c r="AN57" i="26"/>
  <c r="AP89" i="26"/>
  <c r="AO89" i="26"/>
  <c r="AN89" i="26"/>
  <c r="AI105" i="26"/>
  <c r="AO117" i="26"/>
  <c r="AN117" i="26"/>
  <c r="AP117" i="26"/>
  <c r="AN173" i="26"/>
  <c r="AO173" i="26"/>
  <c r="AP173" i="26"/>
  <c r="AI185" i="26"/>
  <c r="AI221" i="26"/>
  <c r="AN221" i="26"/>
  <c r="AO221" i="26"/>
  <c r="AQ221" i="26" s="1"/>
  <c r="AP221" i="26"/>
  <c r="AI237" i="26"/>
  <c r="AP289" i="26"/>
  <c r="AN289" i="26"/>
  <c r="AO289" i="26"/>
  <c r="AN301" i="26"/>
  <c r="AO301" i="26"/>
  <c r="AP301" i="26"/>
  <c r="AI313" i="26"/>
  <c r="AO337" i="26"/>
  <c r="AP337" i="26"/>
  <c r="AN337" i="26"/>
  <c r="AO349" i="26"/>
  <c r="AN349" i="26"/>
  <c r="AP349" i="26"/>
  <c r="AN16" i="26"/>
  <c r="AO16" i="26"/>
  <c r="AQ16" i="26" s="1"/>
  <c r="AP16" i="26"/>
  <c r="AP48" i="26"/>
  <c r="AN48" i="26"/>
  <c r="AO48" i="26"/>
  <c r="AI60" i="26"/>
  <c r="AP112" i="26"/>
  <c r="AN112" i="26"/>
  <c r="AO112" i="26"/>
  <c r="AP164" i="26"/>
  <c r="AO164" i="26"/>
  <c r="AN164" i="26"/>
  <c r="AP212" i="26"/>
  <c r="AO212" i="26"/>
  <c r="AN212" i="26"/>
  <c r="AP260" i="26"/>
  <c r="AO260" i="26"/>
  <c r="AN260" i="26"/>
  <c r="AI268" i="26"/>
  <c r="AI320" i="26"/>
  <c r="AN145" i="26"/>
  <c r="AO145" i="26"/>
  <c r="AP145" i="26"/>
  <c r="AP169" i="26"/>
  <c r="AO169" i="26"/>
  <c r="AN169" i="26"/>
  <c r="AI181" i="26"/>
  <c r="AP217" i="26"/>
  <c r="AO217" i="26"/>
  <c r="AN217" i="26"/>
  <c r="AI233" i="26"/>
  <c r="AI257" i="26"/>
  <c r="AN269" i="26"/>
  <c r="AO269" i="26"/>
  <c r="AP269" i="26"/>
  <c r="AI329" i="26"/>
  <c r="AI333" i="26"/>
  <c r="AI357" i="26"/>
  <c r="AP206" i="26"/>
  <c r="AQ206" i="26"/>
  <c r="AO206" i="26"/>
  <c r="AN206" i="26"/>
  <c r="AI214" i="26"/>
  <c r="AP222" i="26"/>
  <c r="AO222" i="26"/>
  <c r="AN222" i="26"/>
  <c r="AI230" i="26"/>
  <c r="AI234" i="26"/>
  <c r="AP238" i="26"/>
  <c r="AO238" i="26"/>
  <c r="AN238" i="26"/>
  <c r="AI250" i="26"/>
  <c r="AP254" i="26"/>
  <c r="AO254" i="26"/>
  <c r="AN254" i="26"/>
  <c r="AI258" i="26"/>
  <c r="AI262" i="26"/>
  <c r="AN274" i="26"/>
  <c r="AO274" i="26"/>
  <c r="AQ274" i="26" s="1"/>
  <c r="AP274" i="26"/>
  <c r="AI278" i="26"/>
  <c r="AI282" i="26"/>
  <c r="AI298" i="26"/>
  <c r="AP298" i="26"/>
  <c r="AO298" i="26"/>
  <c r="AN298" i="26"/>
  <c r="AO302" i="26"/>
  <c r="AP302" i="26"/>
  <c r="AN302" i="26"/>
  <c r="AN306" i="26"/>
  <c r="AO306" i="26"/>
  <c r="AP306" i="26"/>
  <c r="AI310" i="26"/>
  <c r="AI326" i="26"/>
  <c r="AI330" i="26"/>
  <c r="AP330" i="26"/>
  <c r="AO330" i="26"/>
  <c r="AN330" i="26"/>
  <c r="AO334" i="26"/>
  <c r="AP334" i="26"/>
  <c r="AN334" i="26"/>
  <c r="AO338" i="26"/>
  <c r="AN338" i="26"/>
  <c r="AP338" i="26"/>
  <c r="AI342" i="26"/>
  <c r="AI358" i="26"/>
  <c r="AI4" i="26"/>
  <c r="AP4" i="26"/>
  <c r="AO4" i="26"/>
  <c r="AN4" i="26"/>
  <c r="AN64" i="26"/>
  <c r="AP64" i="26"/>
  <c r="AO64" i="26"/>
  <c r="AI88" i="26"/>
  <c r="AP100" i="26"/>
  <c r="AO100" i="26"/>
  <c r="AN100" i="26"/>
  <c r="AP140" i="26"/>
  <c r="AN140" i="26"/>
  <c r="AO140" i="26"/>
  <c r="AI176" i="26"/>
  <c r="AN188" i="26"/>
  <c r="AO188" i="26"/>
  <c r="AP188" i="26"/>
  <c r="AI196" i="26"/>
  <c r="AP228" i="26"/>
  <c r="AO228" i="26"/>
  <c r="AN228" i="26"/>
  <c r="AP272" i="26"/>
  <c r="AN272" i="26"/>
  <c r="AO272" i="26"/>
  <c r="AI356" i="26"/>
  <c r="AI65" i="26"/>
  <c r="AP13" i="26"/>
  <c r="AN13" i="26"/>
  <c r="AO13" i="26"/>
  <c r="AN81" i="26"/>
  <c r="AP81" i="26"/>
  <c r="AO81" i="26"/>
  <c r="AI93" i="26"/>
  <c r="AN93" i="26"/>
  <c r="AO93" i="26"/>
  <c r="AP93" i="26"/>
  <c r="AP141" i="26"/>
  <c r="AN141" i="26"/>
  <c r="AO141" i="26"/>
  <c r="AQ141" i="26" s="1"/>
  <c r="AI157" i="26"/>
  <c r="AI177" i="26"/>
  <c r="AI213" i="26"/>
  <c r="AP213" i="26"/>
  <c r="AO213" i="26"/>
  <c r="AN213" i="26"/>
  <c r="AI229" i="26"/>
  <c r="AO229" i="26"/>
  <c r="AQ229" i="26" s="1"/>
  <c r="AN229" i="26"/>
  <c r="AP229" i="26"/>
  <c r="AI241" i="26"/>
  <c r="AN285" i="26"/>
  <c r="AO285" i="26"/>
  <c r="AP285" i="26"/>
  <c r="AO297" i="26"/>
  <c r="AN297" i="26"/>
  <c r="AP297" i="26"/>
  <c r="AI309" i="26"/>
  <c r="AI321" i="26"/>
  <c r="AI11" i="26"/>
  <c r="AI15" i="26"/>
  <c r="AI25" i="26"/>
  <c r="AO7" i="26"/>
  <c r="AQ7" i="26" s="1"/>
  <c r="AP7" i="26"/>
  <c r="AN7" i="26"/>
  <c r="AO11" i="26"/>
  <c r="AQ11" i="26" s="1"/>
  <c r="AP11" i="26"/>
  <c r="AN11" i="26"/>
  <c r="AI19" i="26"/>
  <c r="AO27" i="26"/>
  <c r="AP27" i="26"/>
  <c r="AN27" i="26"/>
  <c r="AI35" i="26"/>
  <c r="AI39" i="26"/>
  <c r="AI59" i="26"/>
  <c r="AP63" i="26"/>
  <c r="AO63" i="26"/>
  <c r="AQ63" i="26" s="1"/>
  <c r="AN63" i="26"/>
  <c r="AO67" i="26"/>
  <c r="AP67" i="26"/>
  <c r="AN67" i="26"/>
  <c r="AI79" i="26"/>
  <c r="AI91" i="26"/>
  <c r="AP95" i="26"/>
  <c r="AO95" i="26"/>
  <c r="AQ95" i="26" s="1"/>
  <c r="AN95" i="26"/>
  <c r="AI99" i="26"/>
  <c r="AO103" i="26"/>
  <c r="AN103" i="26"/>
  <c r="AP103" i="26"/>
  <c r="AI107" i="26"/>
  <c r="AP111" i="26"/>
  <c r="AO111" i="26"/>
  <c r="AQ111" i="26" s="1"/>
  <c r="AN111" i="26"/>
  <c r="AI115" i="26"/>
  <c r="AI119" i="26"/>
  <c r="AI151" i="26"/>
  <c r="AO163" i="26"/>
  <c r="AP163" i="26"/>
  <c r="AN163" i="26"/>
  <c r="AO179" i="26"/>
  <c r="AN179" i="26"/>
  <c r="AP179" i="26"/>
  <c r="AO195" i="26"/>
  <c r="AP195" i="26"/>
  <c r="AN195" i="26"/>
  <c r="AI203" i="26"/>
  <c r="AO211" i="26"/>
  <c r="AP211" i="26"/>
  <c r="AQ211" i="26" s="1"/>
  <c r="AN211" i="26"/>
  <c r="AI219" i="26"/>
  <c r="AO227" i="26"/>
  <c r="AP227" i="26"/>
  <c r="AN227" i="26"/>
  <c r="AI231" i="26"/>
  <c r="AO243" i="26"/>
  <c r="AP243" i="26"/>
  <c r="AQ243" i="26" s="1"/>
  <c r="AN243" i="26"/>
  <c r="AI247" i="26"/>
  <c r="AO259" i="26"/>
  <c r="AP259" i="26"/>
  <c r="AN259" i="26"/>
  <c r="AI267" i="26"/>
  <c r="AI271" i="26"/>
  <c r="AO279" i="26"/>
  <c r="AQ279" i="26" s="1"/>
  <c r="AN279" i="26"/>
  <c r="AP279" i="26"/>
  <c r="AI287" i="26"/>
  <c r="AQ295" i="26"/>
  <c r="AO295" i="26"/>
  <c r="AN295" i="26"/>
  <c r="AP295" i="26"/>
  <c r="AQ311" i="26"/>
  <c r="AO311" i="26"/>
  <c r="AN311" i="26"/>
  <c r="AP311" i="26"/>
  <c r="AI315" i="26"/>
  <c r="AI323" i="26"/>
  <c r="AO327" i="26"/>
  <c r="AN327" i="26"/>
  <c r="AP327" i="26"/>
  <c r="AN343" i="26"/>
  <c r="AP343" i="26"/>
  <c r="AO343" i="26"/>
  <c r="AI347" i="26"/>
  <c r="AI355" i="26"/>
  <c r="AN3" i="26"/>
  <c r="AO3" i="26"/>
  <c r="AP3" i="26"/>
  <c r="AN32" i="26"/>
  <c r="AO32" i="26"/>
  <c r="AQ32" i="26" s="1"/>
  <c r="AP32" i="26"/>
  <c r="AI44" i="26"/>
  <c r="AP84" i="26"/>
  <c r="AO84" i="26"/>
  <c r="AN84" i="26"/>
  <c r="AP132" i="26"/>
  <c r="AO132" i="26"/>
  <c r="AN132" i="26"/>
  <c r="AP180" i="26"/>
  <c r="AO180" i="26"/>
  <c r="AN180" i="26"/>
  <c r="AI192" i="26"/>
  <c r="AP232" i="26"/>
  <c r="AN232" i="26"/>
  <c r="AO232" i="26"/>
  <c r="AI244" i="26"/>
  <c r="AI288" i="26"/>
  <c r="AI300" i="26"/>
  <c r="AP300" i="26"/>
  <c r="AN300" i="26"/>
  <c r="AO300" i="26"/>
  <c r="AP324" i="26"/>
  <c r="AO324" i="26"/>
  <c r="AN324" i="26"/>
  <c r="AP336" i="26"/>
  <c r="AN336" i="26"/>
  <c r="AO336" i="26"/>
  <c r="AQ336" i="26" s="1"/>
  <c r="AI348" i="26"/>
  <c r="AP348" i="26"/>
  <c r="AN348" i="26"/>
  <c r="AO348" i="26"/>
  <c r="AI9" i="26"/>
  <c r="AP9" i="26"/>
  <c r="AO9" i="26"/>
  <c r="AN9" i="26"/>
  <c r="AP25" i="26"/>
  <c r="AQ25" i="26" s="1"/>
  <c r="AO25" i="26"/>
  <c r="AN25" i="26"/>
  <c r="AN65" i="26"/>
  <c r="AP65" i="26"/>
  <c r="AO65" i="26"/>
  <c r="AP105" i="26"/>
  <c r="AO105" i="26"/>
  <c r="AN105" i="26"/>
  <c r="AP185" i="26"/>
  <c r="AO185" i="26"/>
  <c r="AN185" i="26"/>
  <c r="AP197" i="26"/>
  <c r="AQ197" i="26" s="1"/>
  <c r="AO197" i="26"/>
  <c r="AN197" i="26"/>
  <c r="AI209" i="26"/>
  <c r="AN237" i="26"/>
  <c r="AP237" i="26"/>
  <c r="AO237" i="26"/>
  <c r="AI253" i="26"/>
  <c r="AI265" i="26"/>
  <c r="AI277" i="26"/>
  <c r="AO313" i="26"/>
  <c r="AN313" i="26"/>
  <c r="AP313" i="26"/>
  <c r="AI16" i="26"/>
  <c r="AI48" i="26"/>
  <c r="AN60" i="26"/>
  <c r="AO60" i="26"/>
  <c r="AP60" i="26"/>
  <c r="AI76" i="26"/>
  <c r="AI112" i="26"/>
  <c r="AN124" i="26"/>
  <c r="AP124" i="26"/>
  <c r="AO124" i="26"/>
  <c r="AN172" i="26"/>
  <c r="AP172" i="26"/>
  <c r="AO172" i="26"/>
  <c r="AN224" i="26"/>
  <c r="AO224" i="26"/>
  <c r="AP224" i="26"/>
  <c r="AI260" i="26"/>
  <c r="AP268" i="26"/>
  <c r="AN268" i="26"/>
  <c r="AO268" i="26"/>
  <c r="AP280" i="26"/>
  <c r="AN280" i="26"/>
  <c r="AO280" i="26"/>
  <c r="AP296" i="26"/>
  <c r="AN296" i="26"/>
  <c r="AO296" i="26"/>
  <c r="AP308" i="26"/>
  <c r="AO308" i="26"/>
  <c r="AN308" i="26"/>
  <c r="AP320" i="26"/>
  <c r="AN320" i="26"/>
  <c r="AO320" i="26"/>
  <c r="AI352" i="26"/>
  <c r="AP61" i="26"/>
  <c r="AN61" i="26"/>
  <c r="AO61" i="26"/>
  <c r="AI73" i="26"/>
  <c r="AP85" i="26"/>
  <c r="AO85" i="26"/>
  <c r="AQ85" i="26" s="1"/>
  <c r="AN85" i="26"/>
  <c r="AI97" i="26"/>
  <c r="AI145" i="26"/>
  <c r="AO181" i="26"/>
  <c r="AQ181" i="26" s="1"/>
  <c r="AN181" i="26"/>
  <c r="AP181" i="26"/>
  <c r="AI193" i="26"/>
  <c r="AI205" i="26"/>
  <c r="AP225" i="26"/>
  <c r="AN225" i="26"/>
  <c r="AO225" i="26"/>
  <c r="AP233" i="26"/>
  <c r="AO233" i="26"/>
  <c r="AN233" i="26"/>
  <c r="AI245" i="26"/>
  <c r="AO281" i="26"/>
  <c r="AQ281" i="26" s="1"/>
  <c r="AN281" i="26"/>
  <c r="AP281" i="26"/>
  <c r="AI293" i="26"/>
  <c r="AP293" i="26"/>
  <c r="AO293" i="26"/>
  <c r="AN293" i="26"/>
  <c r="AI305" i="26"/>
  <c r="AI317" i="26"/>
  <c r="AO329" i="26"/>
  <c r="AN329" i="26"/>
  <c r="AP329" i="26"/>
  <c r="AO333" i="26"/>
  <c r="AN333" i="26"/>
  <c r="AP333" i="26"/>
  <c r="AI345" i="26"/>
  <c r="AP357" i="26"/>
  <c r="AO357" i="26"/>
  <c r="AN357" i="26"/>
  <c r="AQ297" i="26" l="1"/>
  <c r="AQ213" i="26"/>
  <c r="AQ307" i="26"/>
  <c r="AQ332" i="26"/>
  <c r="AQ176" i="26"/>
  <c r="AQ271" i="26"/>
  <c r="AQ219" i="26"/>
  <c r="AQ203" i="26"/>
  <c r="AQ182" i="26"/>
  <c r="AQ350" i="26"/>
  <c r="AQ106" i="26"/>
  <c r="AQ22" i="26"/>
  <c r="AQ343" i="26"/>
  <c r="AQ103" i="26"/>
  <c r="AQ4" i="26"/>
  <c r="AQ254" i="26"/>
  <c r="AQ238" i="26"/>
  <c r="AQ145" i="26"/>
  <c r="AQ276" i="26"/>
  <c r="AQ291" i="26"/>
  <c r="AQ218" i="26"/>
  <c r="AQ92" i="26"/>
  <c r="AQ40" i="26"/>
  <c r="AQ277" i="26"/>
  <c r="AQ77" i="26"/>
  <c r="AQ256" i="26"/>
  <c r="AQ208" i="26"/>
  <c r="AQ304" i="26"/>
  <c r="AQ347" i="26"/>
  <c r="AQ231" i="26"/>
  <c r="AQ215" i="26"/>
  <c r="AQ123" i="26"/>
  <c r="AQ329" i="26"/>
  <c r="AQ61" i="26"/>
  <c r="AQ320" i="26"/>
  <c r="AQ296" i="26"/>
  <c r="AQ268" i="26"/>
  <c r="AQ84" i="26"/>
  <c r="AQ327" i="26"/>
  <c r="AQ302" i="26"/>
  <c r="AQ112" i="26"/>
  <c r="AQ48" i="26"/>
  <c r="AQ299" i="26"/>
  <c r="AQ341" i="26"/>
  <c r="AQ160" i="26"/>
  <c r="AQ150" i="26"/>
  <c r="AQ134" i="26"/>
  <c r="AQ118" i="26"/>
  <c r="AQ193" i="26"/>
  <c r="AQ263" i="26"/>
  <c r="AQ177" i="26"/>
  <c r="AQ240" i="26"/>
  <c r="AQ72" i="26"/>
  <c r="AQ282" i="26"/>
  <c r="AQ6" i="26"/>
  <c r="AQ21" i="26"/>
  <c r="AQ333" i="26"/>
  <c r="AQ195" i="26"/>
  <c r="AQ260" i="26"/>
  <c r="AQ337" i="26"/>
  <c r="AQ88" i="26"/>
  <c r="AQ29" i="26"/>
  <c r="AQ246" i="26"/>
  <c r="AQ17" i="26"/>
  <c r="AQ319" i="26"/>
  <c r="AQ283" i="26"/>
  <c r="AQ199" i="26"/>
  <c r="AQ183" i="26"/>
  <c r="AQ196" i="26"/>
  <c r="AQ30" i="26"/>
  <c r="AQ225" i="26"/>
  <c r="AQ313" i="26"/>
  <c r="AQ105" i="26"/>
  <c r="AQ180" i="26"/>
  <c r="AQ67" i="26"/>
  <c r="AQ285" i="26"/>
  <c r="AQ140" i="26"/>
  <c r="AQ64" i="26"/>
  <c r="AQ269" i="26"/>
  <c r="AQ289" i="26"/>
  <c r="AQ168" i="26"/>
  <c r="AQ275" i="26"/>
  <c r="AQ239" i="26"/>
  <c r="AQ223" i="26"/>
  <c r="AQ175" i="26"/>
  <c r="AQ159" i="26"/>
  <c r="AQ147" i="26"/>
  <c r="AQ157" i="26"/>
  <c r="AQ113" i="26"/>
  <c r="AQ356" i="26"/>
  <c r="AQ264" i="26"/>
  <c r="AQ12" i="26"/>
  <c r="AQ250" i="26"/>
  <c r="AQ133" i="26"/>
  <c r="AQ109" i="26"/>
  <c r="AQ148" i="26"/>
  <c r="AQ137" i="26"/>
  <c r="AQ344" i="26"/>
  <c r="AQ316" i="26"/>
  <c r="AQ354" i="26"/>
  <c r="AQ346" i="26"/>
  <c r="AQ328" i="26"/>
  <c r="AQ76" i="26"/>
  <c r="AQ244" i="26"/>
  <c r="AQ192" i="26"/>
  <c r="AQ96" i="26"/>
  <c r="AQ355" i="26"/>
  <c r="AQ155" i="26"/>
  <c r="AQ99" i="26"/>
  <c r="AQ53" i="26"/>
  <c r="AQ284" i="26"/>
  <c r="AQ242" i="26"/>
  <c r="AQ226" i="26"/>
  <c r="AQ178" i="26"/>
  <c r="AQ126" i="26"/>
  <c r="AQ70" i="26"/>
  <c r="AQ62" i="26"/>
  <c r="AQ58" i="26"/>
  <c r="AQ280" i="26"/>
  <c r="AQ172" i="26"/>
  <c r="AQ60" i="26"/>
  <c r="AQ300" i="26"/>
  <c r="AQ232" i="26"/>
  <c r="AQ163" i="26"/>
  <c r="AQ81" i="26"/>
  <c r="AQ272" i="26"/>
  <c r="AQ169" i="26"/>
  <c r="AQ164" i="26"/>
  <c r="AQ173" i="26"/>
  <c r="AQ89" i="26"/>
  <c r="AQ288" i="26"/>
  <c r="AQ358" i="26"/>
  <c r="AQ28" i="26"/>
  <c r="AQ19" i="26"/>
  <c r="AQ33" i="26"/>
  <c r="AQ36" i="26"/>
  <c r="AQ286" i="26"/>
  <c r="AQ214" i="26"/>
  <c r="AQ78" i="26"/>
  <c r="AQ345" i="26"/>
  <c r="AQ149" i="26"/>
  <c r="AQ125" i="26"/>
  <c r="AQ258" i="26"/>
  <c r="AQ122" i="26"/>
  <c r="AQ94" i="26"/>
  <c r="AQ357" i="26"/>
  <c r="AQ217" i="26"/>
  <c r="AQ352" i="26"/>
  <c r="AQ265" i="26"/>
  <c r="AQ117" i="26"/>
  <c r="AQ293" i="26"/>
  <c r="AQ233" i="26"/>
  <c r="AQ338" i="26"/>
  <c r="AQ273" i="26"/>
  <c r="AQ165" i="26"/>
  <c r="AQ97" i="26"/>
  <c r="AQ253" i="26"/>
  <c r="AQ18" i="26"/>
  <c r="AQ146" i="26"/>
  <c r="AQ42" i="26"/>
  <c r="AQ82" i="26"/>
  <c r="AQ224" i="26"/>
  <c r="AQ237" i="26"/>
  <c r="AQ185" i="26"/>
  <c r="AQ65" i="26"/>
  <c r="AQ9" i="26"/>
  <c r="AQ348" i="26"/>
  <c r="AQ3" i="26"/>
  <c r="AQ27" i="26"/>
  <c r="AQ13" i="26"/>
  <c r="AQ334" i="26"/>
  <c r="AQ306" i="26"/>
  <c r="AQ222" i="26"/>
  <c r="AQ349" i="26"/>
  <c r="AQ5" i="26"/>
  <c r="AQ68" i="26"/>
  <c r="AQ255" i="26"/>
  <c r="AQ39" i="26"/>
  <c r="AQ49" i="26"/>
  <c r="AQ153" i="26"/>
  <c r="AQ73" i="26"/>
  <c r="AQ325" i="26"/>
  <c r="AQ209" i="26"/>
  <c r="AQ287" i="26"/>
  <c r="AQ267" i="26"/>
  <c r="AQ235" i="26"/>
  <c r="AQ47" i="26"/>
  <c r="AQ43" i="26"/>
  <c r="AQ15" i="26"/>
  <c r="AQ41" i="26"/>
  <c r="AQ198" i="26"/>
  <c r="AQ121" i="26"/>
  <c r="AQ144" i="26"/>
  <c r="AQ315" i="26"/>
  <c r="AQ167" i="26"/>
  <c r="AQ107" i="26"/>
  <c r="AQ142" i="26"/>
  <c r="AQ54" i="26"/>
  <c r="AQ170" i="26"/>
  <c r="AQ138" i="26"/>
  <c r="AQ14" i="26"/>
  <c r="AQ90" i="26"/>
  <c r="AQ66" i="26"/>
  <c r="AQ308" i="26"/>
  <c r="AQ124" i="26"/>
  <c r="AQ324" i="26"/>
  <c r="AQ132" i="26"/>
  <c r="AQ259" i="26"/>
  <c r="AQ227" i="26"/>
  <c r="AQ179" i="26"/>
  <c r="AQ93" i="26"/>
  <c r="AQ228" i="26"/>
  <c r="AQ188" i="26"/>
  <c r="AQ100" i="26"/>
  <c r="AQ330" i="26"/>
  <c r="AQ298" i="26"/>
  <c r="AQ212" i="26"/>
  <c r="AQ301" i="26"/>
  <c r="AQ57" i="26"/>
  <c r="AQ37" i="26"/>
  <c r="AQ120" i="26"/>
  <c r="AQ135" i="26"/>
  <c r="AQ119" i="26"/>
  <c r="AQ234" i="26"/>
  <c r="AQ257" i="26"/>
  <c r="AQ200" i="26"/>
  <c r="AQ45" i="26"/>
  <c r="AQ156" i="26"/>
  <c r="AQ187" i="26"/>
  <c r="AQ83" i="26"/>
  <c r="AQ31" i="26"/>
  <c r="AQ353" i="26"/>
  <c r="AQ249" i="26"/>
  <c r="AQ252" i="26"/>
  <c r="AQ116" i="26"/>
  <c r="AQ322" i="26"/>
  <c r="AQ318" i="26"/>
  <c r="AQ266" i="26"/>
  <c r="AQ230" i="26"/>
  <c r="AQ166" i="26"/>
  <c r="AQ245" i="26"/>
  <c r="AQ340" i="26"/>
  <c r="AQ236" i="26"/>
  <c r="AQ136" i="26"/>
  <c r="AQ44" i="26"/>
  <c r="AQ323" i="26"/>
  <c r="AQ143" i="26"/>
  <c r="AQ139" i="26"/>
  <c r="AQ91" i="26"/>
  <c r="AQ261" i="26"/>
  <c r="AQ241" i="26"/>
  <c r="AQ129" i="26"/>
  <c r="AQ152" i="26"/>
  <c r="AQ104" i="26"/>
  <c r="AQ278" i="26"/>
  <c r="AQ262" i="26"/>
  <c r="AQ190" i="26"/>
  <c r="AQ86" i="26"/>
  <c r="AQ38" i="26"/>
  <c r="AQ34" i="26"/>
  <c r="AZ419" i="18" l="1"/>
  <c r="AV419" i="18"/>
  <c r="AW419" i="18"/>
  <c r="AX419" i="18"/>
  <c r="AU419" i="18"/>
  <c r="AK419" i="18"/>
  <c r="AL419" i="18"/>
  <c r="AM419" i="18"/>
  <c r="AJ419" i="18"/>
  <c r="AI419" i="18"/>
  <c r="AZ417" i="18"/>
  <c r="AV417" i="18"/>
  <c r="AW417" i="18"/>
  <c r="AX417" i="18"/>
  <c r="AU417" i="18"/>
  <c r="AZ416" i="18"/>
  <c r="AV416" i="18"/>
  <c r="AW416" i="18"/>
  <c r="AX416" i="18"/>
  <c r="AU416" i="18"/>
  <c r="AZ415" i="18"/>
  <c r="AV415" i="18"/>
  <c r="AW415" i="18"/>
  <c r="AX415" i="18"/>
  <c r="AU415" i="18"/>
  <c r="AZ414" i="18"/>
  <c r="AX414" i="18"/>
  <c r="AW414" i="18"/>
  <c r="AV414" i="18"/>
  <c r="AU414" i="18"/>
  <c r="AK417" i="18"/>
  <c r="AL417" i="18"/>
  <c r="AM417" i="18"/>
  <c r="AJ417" i="18"/>
  <c r="AI417" i="18"/>
  <c r="AM416" i="18"/>
  <c r="AL416" i="18"/>
  <c r="AK416" i="18"/>
  <c r="AJ416" i="18"/>
  <c r="AI416" i="18"/>
  <c r="AL415" i="18"/>
  <c r="AM415" i="18"/>
  <c r="AJ415" i="18"/>
  <c r="AK415" i="18"/>
  <c r="AI415" i="18"/>
  <c r="AM414" i="18"/>
  <c r="AL414" i="18"/>
  <c r="AK414" i="18"/>
  <c r="AJ414" i="18"/>
  <c r="AI414" i="18"/>
  <c r="AQ2" i="18"/>
  <c r="C282" i="18"/>
  <c r="D282" i="18"/>
  <c r="E282" i="18"/>
  <c r="F282" i="18"/>
  <c r="G282" i="18"/>
  <c r="H282" i="18"/>
  <c r="I282" i="18"/>
  <c r="J282" i="18"/>
  <c r="K282" i="18"/>
  <c r="L282" i="18"/>
  <c r="M282" i="18"/>
  <c r="N282" i="18"/>
  <c r="O282" i="18"/>
  <c r="P282" i="18"/>
  <c r="Q282" i="18"/>
  <c r="R282" i="18"/>
  <c r="S282" i="18"/>
  <c r="T282" i="18"/>
  <c r="U282" i="18"/>
  <c r="V282" i="18"/>
  <c r="W282" i="18"/>
  <c r="X282" i="18"/>
  <c r="AV282" i="18" s="1"/>
  <c r="Y282" i="18"/>
  <c r="BD282" i="18" s="1"/>
  <c r="Z282" i="18"/>
  <c r="AA282" i="18"/>
  <c r="AB282" i="18"/>
  <c r="AC282" i="18"/>
  <c r="AD282" i="18"/>
  <c r="AE282" i="18"/>
  <c r="AF282" i="18"/>
  <c r="AG282" i="18"/>
  <c r="BJ282" i="18" s="1"/>
  <c r="AK282" i="18"/>
  <c r="AL282" i="18"/>
  <c r="AM282" i="18"/>
  <c r="AP282" i="18"/>
  <c r="BW282" i="18" s="1"/>
  <c r="AQ282" i="18"/>
  <c r="BH282" i="18"/>
  <c r="BI282" i="18"/>
  <c r="BK282" i="18"/>
  <c r="C384" i="18"/>
  <c r="D384" i="18"/>
  <c r="E384" i="18"/>
  <c r="F384" i="18"/>
  <c r="G384" i="18"/>
  <c r="H384" i="18"/>
  <c r="I384" i="18"/>
  <c r="J384" i="18"/>
  <c r="K384" i="18"/>
  <c r="L384" i="18"/>
  <c r="M384" i="18"/>
  <c r="N384" i="18"/>
  <c r="O384" i="18"/>
  <c r="P384" i="18"/>
  <c r="Q384" i="18"/>
  <c r="R384" i="18"/>
  <c r="S384" i="18"/>
  <c r="T384" i="18"/>
  <c r="U384" i="18"/>
  <c r="V384" i="18"/>
  <c r="W384" i="18"/>
  <c r="X384" i="18"/>
  <c r="AV384" i="18" s="1"/>
  <c r="Y384" i="18"/>
  <c r="BD384" i="18" s="1"/>
  <c r="Z384" i="18"/>
  <c r="AA384" i="18"/>
  <c r="AB384" i="18"/>
  <c r="AC384" i="18"/>
  <c r="AD384" i="18"/>
  <c r="AE384" i="18"/>
  <c r="AF384" i="18"/>
  <c r="AG384" i="18"/>
  <c r="BJ384" i="18" s="1"/>
  <c r="AK384" i="18"/>
  <c r="AL384" i="18"/>
  <c r="AM384" i="18"/>
  <c r="AP384" i="18"/>
  <c r="BQ384" i="18" s="1"/>
  <c r="AQ384" i="18"/>
  <c r="BH384" i="18"/>
  <c r="BI384" i="18"/>
  <c r="BK384" i="18"/>
  <c r="Z4" i="7"/>
  <c r="W8" i="7"/>
  <c r="Y8" i="7"/>
  <c r="Z8" i="7"/>
  <c r="AA8" i="7"/>
  <c r="AI282" i="18" l="1"/>
  <c r="BG282" i="18"/>
  <c r="AX282" i="18"/>
  <c r="BF282" i="18"/>
  <c r="AU384" i="18"/>
  <c r="AZ384" i="18"/>
  <c r="BE282" i="18"/>
  <c r="AI384" i="18"/>
  <c r="AW282" i="18"/>
  <c r="BC282" i="18"/>
  <c r="AU282" i="18"/>
  <c r="AJ384" i="18"/>
  <c r="AN384" i="18" s="1"/>
  <c r="BW384" i="18"/>
  <c r="AZ282" i="18"/>
  <c r="AJ282" i="18"/>
  <c r="AN282" i="18" s="1"/>
  <c r="BP384" i="18"/>
  <c r="BF384" i="18"/>
  <c r="BG384" i="18"/>
  <c r="AX384" i="18"/>
  <c r="AW384" i="18"/>
  <c r="BC384" i="18"/>
  <c r="BR384" i="18"/>
  <c r="BO384" i="18"/>
  <c r="BE384" i="18"/>
  <c r="BZ384" i="18" l="1"/>
  <c r="CA384" i="18"/>
  <c r="BL282" i="18"/>
  <c r="BO282" i="18" s="1"/>
  <c r="BL384" i="18"/>
  <c r="BT384" i="18"/>
  <c r="K2" i="22"/>
  <c r="AD173" i="18"/>
  <c r="AD174" i="18"/>
  <c r="K174" i="18"/>
  <c r="J3" i="25"/>
  <c r="J4" i="25"/>
  <c r="J5" i="25"/>
  <c r="J6" i="25"/>
  <c r="J7" i="25"/>
  <c r="J8" i="25"/>
  <c r="J9" i="25"/>
  <c r="J10" i="25"/>
  <c r="J11" i="25"/>
  <c r="J12" i="25"/>
  <c r="J13" i="25"/>
  <c r="J14" i="25"/>
  <c r="J15" i="25"/>
  <c r="J16" i="25"/>
  <c r="J17" i="25"/>
  <c r="J18" i="25"/>
  <c r="J19" i="25"/>
  <c r="J20" i="25"/>
  <c r="J21" i="25"/>
  <c r="J22" i="25"/>
  <c r="J23" i="25"/>
  <c r="J24" i="25"/>
  <c r="J25" i="25"/>
  <c r="J26" i="25"/>
  <c r="J27" i="25"/>
  <c r="J28" i="25"/>
  <c r="J29" i="25"/>
  <c r="J30" i="25"/>
  <c r="J31" i="25"/>
  <c r="J32" i="25"/>
  <c r="J33" i="25"/>
  <c r="J34" i="25"/>
  <c r="J35" i="25"/>
  <c r="J36" i="25"/>
  <c r="J37" i="25"/>
  <c r="J38" i="25"/>
  <c r="J39" i="25"/>
  <c r="J40" i="25"/>
  <c r="J41" i="25"/>
  <c r="J42" i="25"/>
  <c r="J43" i="25"/>
  <c r="J44" i="25"/>
  <c r="J45" i="25"/>
  <c r="J46" i="25"/>
  <c r="J47" i="25"/>
  <c r="J48" i="25"/>
  <c r="J49" i="25"/>
  <c r="J50" i="25"/>
  <c r="J51" i="25"/>
  <c r="J52" i="25"/>
  <c r="J53" i="25"/>
  <c r="J54" i="25"/>
  <c r="J55" i="25"/>
  <c r="J56" i="25"/>
  <c r="J57" i="25"/>
  <c r="J58" i="25"/>
  <c r="J59" i="25"/>
  <c r="J60" i="25"/>
  <c r="J61" i="25"/>
  <c r="J62" i="25"/>
  <c r="J63" i="25"/>
  <c r="J64" i="25"/>
  <c r="J65" i="25"/>
  <c r="J66" i="25"/>
  <c r="J67" i="25"/>
  <c r="J68" i="25"/>
  <c r="J69" i="25"/>
  <c r="J70" i="25"/>
  <c r="J71" i="25"/>
  <c r="J72" i="25"/>
  <c r="J73" i="25"/>
  <c r="J74" i="25"/>
  <c r="J75" i="25"/>
  <c r="J76" i="25"/>
  <c r="J77" i="25"/>
  <c r="J78" i="25"/>
  <c r="J79" i="25"/>
  <c r="J80" i="25"/>
  <c r="J81" i="25"/>
  <c r="J82" i="25"/>
  <c r="J83" i="25"/>
  <c r="J84" i="25"/>
  <c r="J85" i="25"/>
  <c r="J86" i="25"/>
  <c r="J87" i="25"/>
  <c r="J88" i="25"/>
  <c r="J89" i="25"/>
  <c r="J90" i="25"/>
  <c r="J91" i="25"/>
  <c r="J92" i="25"/>
  <c r="J93" i="25"/>
  <c r="J94" i="25"/>
  <c r="J95" i="25"/>
  <c r="J96" i="25"/>
  <c r="J97" i="25"/>
  <c r="J98" i="25"/>
  <c r="J99" i="25"/>
  <c r="J100" i="25"/>
  <c r="J101" i="25"/>
  <c r="J102" i="25"/>
  <c r="J103" i="25"/>
  <c r="J104" i="25"/>
  <c r="J105" i="25"/>
  <c r="J106" i="25"/>
  <c r="J107" i="25"/>
  <c r="J108" i="25"/>
  <c r="J109" i="25"/>
  <c r="J110" i="25"/>
  <c r="J111" i="25"/>
  <c r="J112" i="25"/>
  <c r="J113" i="25"/>
  <c r="J114" i="25"/>
  <c r="J115" i="25"/>
  <c r="J116" i="25"/>
  <c r="J117" i="25"/>
  <c r="J118" i="25"/>
  <c r="J119" i="25"/>
  <c r="J120" i="25"/>
  <c r="J121" i="25"/>
  <c r="J122" i="25"/>
  <c r="J123" i="25"/>
  <c r="J124" i="25"/>
  <c r="J125" i="25"/>
  <c r="J126" i="25"/>
  <c r="J127" i="25"/>
  <c r="J128" i="25"/>
  <c r="J129" i="25"/>
  <c r="J130" i="25"/>
  <c r="J131" i="25"/>
  <c r="J132" i="25"/>
  <c r="J133" i="25"/>
  <c r="J134" i="25"/>
  <c r="J135" i="25"/>
  <c r="J136" i="25"/>
  <c r="J137" i="25"/>
  <c r="J138" i="25"/>
  <c r="J139" i="25"/>
  <c r="J140" i="25"/>
  <c r="J141" i="25"/>
  <c r="J142" i="25"/>
  <c r="J143" i="25"/>
  <c r="J144" i="25"/>
  <c r="J145" i="25"/>
  <c r="J146" i="25"/>
  <c r="J147" i="25"/>
  <c r="J148" i="25"/>
  <c r="J149" i="25"/>
  <c r="J150" i="25"/>
  <c r="J151" i="25"/>
  <c r="J152" i="25"/>
  <c r="J153" i="25"/>
  <c r="J154" i="25"/>
  <c r="J155" i="25"/>
  <c r="J156" i="25"/>
  <c r="J157" i="25"/>
  <c r="J158" i="25"/>
  <c r="J159" i="25"/>
  <c r="J160" i="25"/>
  <c r="J161" i="25"/>
  <c r="J162" i="25"/>
  <c r="J163" i="25"/>
  <c r="J164" i="25"/>
  <c r="J165" i="25"/>
  <c r="J166" i="25"/>
  <c r="J167" i="25"/>
  <c r="J168" i="25"/>
  <c r="J169" i="25"/>
  <c r="J170" i="25"/>
  <c r="J171" i="25"/>
  <c r="J172" i="25"/>
  <c r="J173" i="25"/>
  <c r="J174" i="25"/>
  <c r="J175" i="25"/>
  <c r="J176" i="25"/>
  <c r="J177" i="25"/>
  <c r="J178" i="25"/>
  <c r="J179" i="25"/>
  <c r="J180" i="25"/>
  <c r="J181" i="25"/>
  <c r="J182" i="25"/>
  <c r="J183" i="25"/>
  <c r="J184" i="25"/>
  <c r="J185" i="25"/>
  <c r="J186" i="25"/>
  <c r="J187" i="25"/>
  <c r="J188" i="25"/>
  <c r="J189" i="25"/>
  <c r="J190" i="25"/>
  <c r="J191" i="25"/>
  <c r="J192" i="25"/>
  <c r="J193" i="25"/>
  <c r="J194" i="25"/>
  <c r="J195" i="25"/>
  <c r="J196" i="25"/>
  <c r="J197" i="25"/>
  <c r="J198" i="25"/>
  <c r="J199" i="25"/>
  <c r="J200" i="25"/>
  <c r="J201" i="25"/>
  <c r="J202" i="25"/>
  <c r="J203" i="25"/>
  <c r="J204" i="25"/>
  <c r="J205" i="25"/>
  <c r="J206" i="25"/>
  <c r="J207" i="25"/>
  <c r="J208" i="25"/>
  <c r="J209" i="25"/>
  <c r="J210" i="25"/>
  <c r="J211" i="25"/>
  <c r="J212" i="25"/>
  <c r="J213" i="25"/>
  <c r="J214" i="25"/>
  <c r="J215" i="25"/>
  <c r="J216" i="25"/>
  <c r="J217" i="25"/>
  <c r="J218" i="25"/>
  <c r="J219" i="25"/>
  <c r="J220" i="25"/>
  <c r="J221" i="25"/>
  <c r="J222" i="25"/>
  <c r="J223" i="25"/>
  <c r="J224" i="25"/>
  <c r="J225" i="25"/>
  <c r="J226" i="25"/>
  <c r="J227" i="25"/>
  <c r="J228" i="25"/>
  <c r="J229" i="25"/>
  <c r="J230" i="25"/>
  <c r="J231" i="25"/>
  <c r="J232" i="25"/>
  <c r="J233" i="25"/>
  <c r="J234" i="25"/>
  <c r="J235" i="25"/>
  <c r="J236" i="25"/>
  <c r="J237" i="25"/>
  <c r="J238" i="25"/>
  <c r="J239" i="25"/>
  <c r="J240" i="25"/>
  <c r="J241" i="25"/>
  <c r="J242" i="25"/>
  <c r="J243" i="25"/>
  <c r="J244" i="25"/>
  <c r="J245" i="25"/>
  <c r="J246" i="25"/>
  <c r="J247" i="25"/>
  <c r="J248" i="25"/>
  <c r="J249" i="25"/>
  <c r="J250" i="25"/>
  <c r="J251" i="25"/>
  <c r="J252" i="25"/>
  <c r="J253" i="25"/>
  <c r="J254" i="25"/>
  <c r="J255" i="25"/>
  <c r="J256" i="25"/>
  <c r="J257" i="25"/>
  <c r="J258" i="25"/>
  <c r="J259" i="25"/>
  <c r="J260" i="25"/>
  <c r="J261" i="25"/>
  <c r="J262" i="25"/>
  <c r="J263" i="25"/>
  <c r="J264" i="25"/>
  <c r="J265" i="25"/>
  <c r="J266" i="25"/>
  <c r="J267" i="25"/>
  <c r="J268" i="25"/>
  <c r="J269" i="25"/>
  <c r="J270" i="25"/>
  <c r="J271" i="25"/>
  <c r="J272" i="25"/>
  <c r="J273" i="25"/>
  <c r="J274" i="25"/>
  <c r="J275" i="25"/>
  <c r="J276" i="25"/>
  <c r="J277" i="25"/>
  <c r="J278" i="25"/>
  <c r="J279" i="25"/>
  <c r="J280" i="25"/>
  <c r="J281" i="25"/>
  <c r="J282" i="25"/>
  <c r="J283" i="25"/>
  <c r="J284" i="25"/>
  <c r="J285" i="25"/>
  <c r="J286" i="25"/>
  <c r="J287" i="25"/>
  <c r="J288" i="25"/>
  <c r="J289" i="25"/>
  <c r="J290" i="25"/>
  <c r="J291" i="25"/>
  <c r="J292" i="25"/>
  <c r="J293" i="25"/>
  <c r="J294" i="25"/>
  <c r="J295" i="25"/>
  <c r="J296" i="25"/>
  <c r="J297" i="25"/>
  <c r="J298" i="25"/>
  <c r="J299" i="25"/>
  <c r="J300" i="25"/>
  <c r="J301" i="25"/>
  <c r="J302" i="25"/>
  <c r="J303" i="25"/>
  <c r="J304" i="25"/>
  <c r="J305" i="25"/>
  <c r="J306" i="25"/>
  <c r="J307" i="25"/>
  <c r="J308" i="25"/>
  <c r="J309" i="25"/>
  <c r="J310" i="25"/>
  <c r="J311" i="25"/>
  <c r="J312" i="25"/>
  <c r="J313" i="25"/>
  <c r="J314" i="25"/>
  <c r="J315" i="25"/>
  <c r="J316" i="25"/>
  <c r="J317" i="25"/>
  <c r="J318" i="25"/>
  <c r="J319" i="25"/>
  <c r="J320" i="25"/>
  <c r="J321" i="25"/>
  <c r="J322" i="25"/>
  <c r="J323" i="25"/>
  <c r="J324" i="25"/>
  <c r="J325" i="25"/>
  <c r="J326" i="25"/>
  <c r="J327" i="25"/>
  <c r="J328" i="25"/>
  <c r="J329" i="25"/>
  <c r="J330" i="25"/>
  <c r="J331" i="25"/>
  <c r="J332" i="25"/>
  <c r="J333" i="25"/>
  <c r="J334" i="25"/>
  <c r="J335" i="25"/>
  <c r="J336" i="25"/>
  <c r="J337" i="25"/>
  <c r="J338" i="25"/>
  <c r="J339" i="25"/>
  <c r="J340" i="25"/>
  <c r="J341" i="25"/>
  <c r="J342" i="25"/>
  <c r="J343" i="25"/>
  <c r="J344" i="25"/>
  <c r="J345" i="25"/>
  <c r="J346" i="25"/>
  <c r="J347" i="25"/>
  <c r="J348" i="25"/>
  <c r="J349" i="25"/>
  <c r="J350" i="25"/>
  <c r="J351" i="25"/>
  <c r="J352" i="25"/>
  <c r="J353" i="25"/>
  <c r="J354" i="25"/>
  <c r="J355" i="25"/>
  <c r="J356" i="25"/>
  <c r="J357" i="25"/>
  <c r="J358" i="25"/>
  <c r="J359" i="25"/>
  <c r="J360" i="25"/>
  <c r="J361" i="25"/>
  <c r="J362" i="25"/>
  <c r="J363" i="25"/>
  <c r="J364" i="25"/>
  <c r="J365" i="25"/>
  <c r="J366" i="25"/>
  <c r="J367" i="25"/>
  <c r="J368" i="25"/>
  <c r="J369" i="25"/>
  <c r="J370" i="25"/>
  <c r="J371" i="25"/>
  <c r="J372" i="25"/>
  <c r="J373" i="25"/>
  <c r="J374" i="25"/>
  <c r="J375" i="25"/>
  <c r="J376" i="25"/>
  <c r="J377" i="25"/>
  <c r="J378" i="25"/>
  <c r="J379" i="25"/>
  <c r="J380" i="25"/>
  <c r="J381" i="25"/>
  <c r="J382" i="25"/>
  <c r="J383" i="25"/>
  <c r="J384" i="25"/>
  <c r="J385" i="25"/>
  <c r="J386" i="25"/>
  <c r="J387" i="25"/>
  <c r="J388" i="25"/>
  <c r="J389" i="25"/>
  <c r="J390" i="25"/>
  <c r="J391" i="25"/>
  <c r="J392" i="25"/>
  <c r="J393" i="25"/>
  <c r="J394" i="25"/>
  <c r="J395" i="25"/>
  <c r="J396" i="25"/>
  <c r="J397" i="25"/>
  <c r="J398" i="25"/>
  <c r="J399" i="25"/>
  <c r="J400" i="25"/>
  <c r="J401" i="25"/>
  <c r="J402" i="25"/>
  <c r="J403" i="25"/>
  <c r="J404" i="25"/>
  <c r="J405" i="25"/>
  <c r="J406" i="25"/>
  <c r="J2" i="25"/>
  <c r="I3" i="25"/>
  <c r="I4" i="25"/>
  <c r="I5" i="25"/>
  <c r="I6" i="25"/>
  <c r="I7" i="25"/>
  <c r="I8" i="25"/>
  <c r="I9" i="25"/>
  <c r="I10" i="25"/>
  <c r="I11" i="25"/>
  <c r="I12" i="25"/>
  <c r="I13" i="25"/>
  <c r="I14" i="25"/>
  <c r="I15" i="25"/>
  <c r="I16" i="25"/>
  <c r="I17" i="25"/>
  <c r="I18" i="25"/>
  <c r="I19" i="25"/>
  <c r="I20" i="25"/>
  <c r="I21" i="25"/>
  <c r="I22" i="25"/>
  <c r="I23" i="25"/>
  <c r="I24" i="25"/>
  <c r="I25" i="25"/>
  <c r="I26" i="25"/>
  <c r="I27" i="25"/>
  <c r="I28" i="25"/>
  <c r="I29" i="25"/>
  <c r="I30" i="25"/>
  <c r="I31" i="25"/>
  <c r="I32" i="25"/>
  <c r="I33" i="25"/>
  <c r="I34" i="25"/>
  <c r="I35" i="25"/>
  <c r="I36" i="25"/>
  <c r="I37" i="25"/>
  <c r="I38" i="25"/>
  <c r="I39" i="25"/>
  <c r="I40" i="25"/>
  <c r="I41" i="25"/>
  <c r="I42" i="25"/>
  <c r="I43" i="25"/>
  <c r="I44" i="25"/>
  <c r="I45" i="25"/>
  <c r="I46" i="25"/>
  <c r="I47" i="25"/>
  <c r="I48" i="25"/>
  <c r="I49" i="25"/>
  <c r="I50" i="25"/>
  <c r="I51" i="25"/>
  <c r="I52" i="25"/>
  <c r="I53" i="25"/>
  <c r="I54" i="25"/>
  <c r="I55" i="25"/>
  <c r="I56" i="25"/>
  <c r="I57" i="25"/>
  <c r="I58" i="25"/>
  <c r="I59" i="25"/>
  <c r="I60" i="25"/>
  <c r="I61" i="25"/>
  <c r="I62" i="25"/>
  <c r="I63" i="25"/>
  <c r="I64" i="25"/>
  <c r="I65" i="25"/>
  <c r="I66" i="25"/>
  <c r="I67" i="25"/>
  <c r="I68" i="25"/>
  <c r="I69" i="25"/>
  <c r="I70" i="25"/>
  <c r="I71" i="25"/>
  <c r="I72" i="25"/>
  <c r="I73" i="25"/>
  <c r="I74" i="25"/>
  <c r="I75" i="25"/>
  <c r="I76" i="25"/>
  <c r="I77" i="25"/>
  <c r="I78" i="25"/>
  <c r="I79" i="25"/>
  <c r="I80" i="25"/>
  <c r="I81" i="25"/>
  <c r="I82" i="25"/>
  <c r="I83" i="25"/>
  <c r="I84" i="25"/>
  <c r="I85" i="25"/>
  <c r="I86" i="25"/>
  <c r="I87" i="25"/>
  <c r="I88" i="25"/>
  <c r="I89" i="25"/>
  <c r="I90" i="25"/>
  <c r="I91" i="25"/>
  <c r="I92" i="25"/>
  <c r="I93" i="25"/>
  <c r="I94" i="25"/>
  <c r="I95" i="25"/>
  <c r="I96" i="25"/>
  <c r="I97" i="25"/>
  <c r="I98" i="25"/>
  <c r="I99" i="25"/>
  <c r="I100" i="25"/>
  <c r="I101" i="25"/>
  <c r="I102" i="25"/>
  <c r="I103" i="25"/>
  <c r="I104" i="25"/>
  <c r="I105" i="25"/>
  <c r="I106" i="25"/>
  <c r="I107" i="25"/>
  <c r="I108" i="25"/>
  <c r="I109" i="25"/>
  <c r="I110" i="25"/>
  <c r="I111" i="25"/>
  <c r="I112" i="25"/>
  <c r="I113" i="25"/>
  <c r="I114" i="25"/>
  <c r="I115" i="25"/>
  <c r="I116" i="25"/>
  <c r="I117" i="25"/>
  <c r="I118" i="25"/>
  <c r="I119" i="25"/>
  <c r="I120" i="25"/>
  <c r="I121" i="25"/>
  <c r="I122" i="25"/>
  <c r="I123" i="25"/>
  <c r="I124" i="25"/>
  <c r="I125" i="25"/>
  <c r="I126" i="25"/>
  <c r="I127" i="25"/>
  <c r="I128" i="25"/>
  <c r="I129" i="25"/>
  <c r="I130" i="25"/>
  <c r="I131" i="25"/>
  <c r="I132" i="25"/>
  <c r="I133" i="25"/>
  <c r="I134" i="25"/>
  <c r="I135" i="25"/>
  <c r="I136" i="25"/>
  <c r="I137" i="25"/>
  <c r="I138" i="25"/>
  <c r="I139" i="25"/>
  <c r="I140" i="25"/>
  <c r="I141" i="25"/>
  <c r="I142" i="25"/>
  <c r="I143" i="25"/>
  <c r="I144" i="25"/>
  <c r="I145" i="25"/>
  <c r="I146" i="25"/>
  <c r="I147" i="25"/>
  <c r="I148" i="25"/>
  <c r="I149" i="25"/>
  <c r="I150" i="25"/>
  <c r="I151" i="25"/>
  <c r="I152" i="25"/>
  <c r="I153" i="25"/>
  <c r="I154" i="25"/>
  <c r="I155" i="25"/>
  <c r="I156" i="25"/>
  <c r="I157" i="25"/>
  <c r="I158" i="25"/>
  <c r="I159" i="25"/>
  <c r="I160" i="25"/>
  <c r="I161" i="25"/>
  <c r="I162" i="25"/>
  <c r="I163" i="25"/>
  <c r="I164" i="25"/>
  <c r="I165" i="25"/>
  <c r="I166" i="25"/>
  <c r="I167" i="25"/>
  <c r="I168" i="25"/>
  <c r="I169" i="25"/>
  <c r="I170" i="25"/>
  <c r="I171" i="25"/>
  <c r="I172" i="25"/>
  <c r="I173" i="25"/>
  <c r="I174" i="25"/>
  <c r="I175" i="25"/>
  <c r="I176" i="25"/>
  <c r="I177" i="25"/>
  <c r="I178" i="25"/>
  <c r="I179" i="25"/>
  <c r="I180" i="25"/>
  <c r="I181" i="25"/>
  <c r="I182" i="25"/>
  <c r="I183" i="25"/>
  <c r="I184" i="25"/>
  <c r="I185" i="25"/>
  <c r="I186" i="25"/>
  <c r="I187" i="25"/>
  <c r="I188" i="25"/>
  <c r="I189" i="25"/>
  <c r="I190" i="25"/>
  <c r="I191" i="25"/>
  <c r="I192" i="25"/>
  <c r="I193" i="25"/>
  <c r="I194" i="25"/>
  <c r="I195" i="25"/>
  <c r="I196" i="25"/>
  <c r="I197" i="25"/>
  <c r="I198" i="25"/>
  <c r="I199" i="25"/>
  <c r="I200" i="25"/>
  <c r="I201" i="25"/>
  <c r="I202" i="25"/>
  <c r="I203" i="25"/>
  <c r="I204" i="25"/>
  <c r="I205" i="25"/>
  <c r="I206" i="25"/>
  <c r="I207" i="25"/>
  <c r="I208" i="25"/>
  <c r="I209" i="25"/>
  <c r="I210" i="25"/>
  <c r="I211" i="25"/>
  <c r="I212" i="25"/>
  <c r="I213" i="25"/>
  <c r="I214" i="25"/>
  <c r="I215" i="25"/>
  <c r="I216" i="25"/>
  <c r="I217" i="25"/>
  <c r="I218" i="25"/>
  <c r="I219" i="25"/>
  <c r="I220" i="25"/>
  <c r="I221" i="25"/>
  <c r="I222" i="25"/>
  <c r="I223" i="25"/>
  <c r="I224" i="25"/>
  <c r="I225" i="25"/>
  <c r="I226" i="25"/>
  <c r="I227" i="25"/>
  <c r="I228" i="25"/>
  <c r="I229" i="25"/>
  <c r="I230" i="25"/>
  <c r="I231" i="25"/>
  <c r="I232" i="25"/>
  <c r="I233" i="25"/>
  <c r="I234" i="25"/>
  <c r="I235" i="25"/>
  <c r="I236" i="25"/>
  <c r="I237" i="25"/>
  <c r="I238" i="25"/>
  <c r="I239" i="25"/>
  <c r="I240" i="25"/>
  <c r="I241" i="25"/>
  <c r="I242" i="25"/>
  <c r="I243" i="25"/>
  <c r="I244" i="25"/>
  <c r="I245" i="25"/>
  <c r="I246" i="25"/>
  <c r="I247" i="25"/>
  <c r="I248" i="25"/>
  <c r="I249" i="25"/>
  <c r="I250" i="25"/>
  <c r="I251" i="25"/>
  <c r="I252" i="25"/>
  <c r="I253" i="25"/>
  <c r="I254" i="25"/>
  <c r="I255" i="25"/>
  <c r="I256" i="25"/>
  <c r="I257" i="25"/>
  <c r="I258" i="25"/>
  <c r="I259" i="25"/>
  <c r="I260" i="25"/>
  <c r="I261" i="25"/>
  <c r="I262" i="25"/>
  <c r="I263" i="25"/>
  <c r="I264" i="25"/>
  <c r="I265" i="25"/>
  <c r="I266" i="25"/>
  <c r="I267" i="25"/>
  <c r="I268" i="25"/>
  <c r="I269" i="25"/>
  <c r="I270" i="25"/>
  <c r="I271" i="25"/>
  <c r="I272" i="25"/>
  <c r="I273" i="25"/>
  <c r="I274" i="25"/>
  <c r="I275" i="25"/>
  <c r="I276" i="25"/>
  <c r="I277" i="25"/>
  <c r="I278" i="25"/>
  <c r="I279" i="25"/>
  <c r="I280" i="25"/>
  <c r="I281" i="25"/>
  <c r="I282" i="25"/>
  <c r="I283" i="25"/>
  <c r="I284" i="25"/>
  <c r="I285" i="25"/>
  <c r="I286" i="25"/>
  <c r="I287" i="25"/>
  <c r="I288" i="25"/>
  <c r="I289" i="25"/>
  <c r="I290" i="25"/>
  <c r="I291" i="25"/>
  <c r="I292" i="25"/>
  <c r="I293" i="25"/>
  <c r="I294" i="25"/>
  <c r="I295" i="25"/>
  <c r="I296" i="25"/>
  <c r="I297" i="25"/>
  <c r="I298" i="25"/>
  <c r="I299" i="25"/>
  <c r="I300" i="25"/>
  <c r="I301" i="25"/>
  <c r="I302" i="25"/>
  <c r="I303" i="25"/>
  <c r="I304" i="25"/>
  <c r="I305" i="25"/>
  <c r="I306" i="25"/>
  <c r="I307" i="25"/>
  <c r="I308" i="25"/>
  <c r="I309" i="25"/>
  <c r="I310" i="25"/>
  <c r="I311" i="25"/>
  <c r="I312" i="25"/>
  <c r="I313" i="25"/>
  <c r="I314" i="25"/>
  <c r="I315" i="25"/>
  <c r="I316" i="25"/>
  <c r="I317" i="25"/>
  <c r="I318" i="25"/>
  <c r="I319" i="25"/>
  <c r="I320" i="25"/>
  <c r="I321" i="25"/>
  <c r="I322" i="25"/>
  <c r="I323" i="25"/>
  <c r="I324" i="25"/>
  <c r="I325" i="25"/>
  <c r="I326" i="25"/>
  <c r="I327" i="25"/>
  <c r="I328" i="25"/>
  <c r="I329" i="25"/>
  <c r="I330" i="25"/>
  <c r="I331" i="25"/>
  <c r="I332" i="25"/>
  <c r="I333" i="25"/>
  <c r="I334" i="25"/>
  <c r="I335" i="25"/>
  <c r="I336" i="25"/>
  <c r="I337" i="25"/>
  <c r="I338" i="25"/>
  <c r="I339" i="25"/>
  <c r="I340" i="25"/>
  <c r="I341" i="25"/>
  <c r="I342" i="25"/>
  <c r="I343" i="25"/>
  <c r="I344" i="25"/>
  <c r="I345" i="25"/>
  <c r="I346" i="25"/>
  <c r="I347" i="25"/>
  <c r="I348" i="25"/>
  <c r="I349" i="25"/>
  <c r="I350" i="25"/>
  <c r="I351" i="25"/>
  <c r="I352" i="25"/>
  <c r="I353" i="25"/>
  <c r="I354" i="25"/>
  <c r="I355" i="25"/>
  <c r="I356" i="25"/>
  <c r="I357" i="25"/>
  <c r="I358" i="25"/>
  <c r="I359" i="25"/>
  <c r="I360" i="25"/>
  <c r="I361" i="25"/>
  <c r="I362" i="25"/>
  <c r="I363" i="25"/>
  <c r="I364" i="25"/>
  <c r="I365" i="25"/>
  <c r="I366" i="25"/>
  <c r="I367" i="25"/>
  <c r="I368" i="25"/>
  <c r="I369" i="25"/>
  <c r="I370" i="25"/>
  <c r="I371" i="25"/>
  <c r="I372" i="25"/>
  <c r="I373" i="25"/>
  <c r="I374" i="25"/>
  <c r="I375" i="25"/>
  <c r="I376" i="25"/>
  <c r="I377" i="25"/>
  <c r="I378" i="25"/>
  <c r="I379" i="25"/>
  <c r="I380" i="25"/>
  <c r="I381" i="25"/>
  <c r="I382" i="25"/>
  <c r="I383" i="25"/>
  <c r="I384" i="25"/>
  <c r="I385" i="25"/>
  <c r="I386" i="25"/>
  <c r="I387" i="25"/>
  <c r="I388" i="25"/>
  <c r="I389" i="25"/>
  <c r="I390" i="25"/>
  <c r="I391" i="25"/>
  <c r="I392" i="25"/>
  <c r="I393" i="25"/>
  <c r="I394" i="25"/>
  <c r="I395" i="25"/>
  <c r="I396" i="25"/>
  <c r="I397" i="25"/>
  <c r="I398" i="25"/>
  <c r="I399" i="25"/>
  <c r="I400" i="25"/>
  <c r="I401" i="25"/>
  <c r="I402" i="25"/>
  <c r="I403" i="25"/>
  <c r="I404" i="25"/>
  <c r="I405" i="25"/>
  <c r="I406" i="25"/>
  <c r="I2" i="25"/>
  <c r="H3" i="25"/>
  <c r="H4" i="25"/>
  <c r="H5" i="25"/>
  <c r="H6" i="25"/>
  <c r="H7" i="25"/>
  <c r="H8" i="25"/>
  <c r="H9" i="25"/>
  <c r="H10" i="25"/>
  <c r="H11" i="25"/>
  <c r="H12" i="25"/>
  <c r="H13" i="25"/>
  <c r="H14" i="25"/>
  <c r="H15" i="25"/>
  <c r="H16" i="25"/>
  <c r="H17" i="25"/>
  <c r="H18" i="25"/>
  <c r="H19" i="25"/>
  <c r="H20" i="25"/>
  <c r="H21" i="25"/>
  <c r="H22" i="25"/>
  <c r="H23" i="25"/>
  <c r="H24" i="25"/>
  <c r="H25" i="25"/>
  <c r="H26" i="25"/>
  <c r="H27" i="25"/>
  <c r="H28" i="25"/>
  <c r="H29" i="25"/>
  <c r="H30" i="25"/>
  <c r="H31" i="25"/>
  <c r="H32" i="25"/>
  <c r="H33" i="25"/>
  <c r="H34" i="25"/>
  <c r="H35" i="25"/>
  <c r="H36" i="25"/>
  <c r="H37" i="25"/>
  <c r="H38" i="25"/>
  <c r="H39" i="25"/>
  <c r="H40" i="25"/>
  <c r="H41" i="25"/>
  <c r="H42" i="25"/>
  <c r="H43" i="25"/>
  <c r="H44" i="25"/>
  <c r="H45" i="25"/>
  <c r="H46" i="25"/>
  <c r="H47" i="25"/>
  <c r="H48" i="25"/>
  <c r="H49" i="25"/>
  <c r="H50" i="25"/>
  <c r="H51" i="25"/>
  <c r="H52" i="25"/>
  <c r="H53" i="25"/>
  <c r="H54" i="25"/>
  <c r="H55" i="25"/>
  <c r="H56" i="25"/>
  <c r="H57" i="25"/>
  <c r="H58" i="25"/>
  <c r="H59" i="25"/>
  <c r="H60" i="25"/>
  <c r="H61" i="25"/>
  <c r="H62" i="25"/>
  <c r="H63" i="25"/>
  <c r="H64" i="25"/>
  <c r="H65" i="25"/>
  <c r="H66" i="25"/>
  <c r="H67" i="25"/>
  <c r="H68" i="25"/>
  <c r="H69" i="25"/>
  <c r="H70" i="25"/>
  <c r="H71" i="25"/>
  <c r="H72" i="25"/>
  <c r="H73" i="25"/>
  <c r="H74" i="25"/>
  <c r="H75" i="25"/>
  <c r="H76" i="25"/>
  <c r="H77" i="25"/>
  <c r="H78" i="25"/>
  <c r="H79" i="25"/>
  <c r="H80" i="25"/>
  <c r="H81" i="25"/>
  <c r="H82" i="25"/>
  <c r="H83" i="25"/>
  <c r="H84" i="25"/>
  <c r="H85" i="25"/>
  <c r="H86" i="25"/>
  <c r="H87" i="25"/>
  <c r="H88" i="25"/>
  <c r="H89" i="25"/>
  <c r="H90" i="25"/>
  <c r="H91" i="25"/>
  <c r="H92" i="25"/>
  <c r="H93" i="25"/>
  <c r="H94" i="25"/>
  <c r="H95" i="25"/>
  <c r="H96" i="25"/>
  <c r="H97" i="25"/>
  <c r="H98" i="25"/>
  <c r="H99" i="25"/>
  <c r="H100" i="25"/>
  <c r="H101" i="25"/>
  <c r="H102" i="25"/>
  <c r="H103" i="25"/>
  <c r="H104" i="25"/>
  <c r="H105" i="25"/>
  <c r="H106" i="25"/>
  <c r="H107" i="25"/>
  <c r="H108" i="25"/>
  <c r="H109" i="25"/>
  <c r="H110" i="25"/>
  <c r="H111" i="25"/>
  <c r="H112" i="25"/>
  <c r="H113" i="25"/>
  <c r="H114" i="25"/>
  <c r="H115" i="25"/>
  <c r="H116" i="25"/>
  <c r="H117" i="25"/>
  <c r="H118" i="25"/>
  <c r="H119" i="25"/>
  <c r="H120" i="25"/>
  <c r="H121" i="25"/>
  <c r="H122" i="25"/>
  <c r="H123" i="25"/>
  <c r="H124" i="25"/>
  <c r="H125" i="25"/>
  <c r="H126" i="25"/>
  <c r="H127" i="25"/>
  <c r="H128" i="25"/>
  <c r="H129" i="25"/>
  <c r="H130" i="25"/>
  <c r="H131" i="25"/>
  <c r="H132" i="25"/>
  <c r="H133" i="25"/>
  <c r="H134" i="25"/>
  <c r="H135" i="25"/>
  <c r="H136" i="25"/>
  <c r="H137" i="25"/>
  <c r="H138" i="25"/>
  <c r="H139" i="25"/>
  <c r="H140" i="25"/>
  <c r="H141" i="25"/>
  <c r="H142" i="25"/>
  <c r="H143" i="25"/>
  <c r="H144" i="25"/>
  <c r="H145" i="25"/>
  <c r="H146" i="25"/>
  <c r="H147" i="25"/>
  <c r="H148" i="25"/>
  <c r="H149" i="25"/>
  <c r="H150" i="25"/>
  <c r="H151" i="25"/>
  <c r="H152" i="25"/>
  <c r="H153" i="25"/>
  <c r="H154" i="25"/>
  <c r="H155" i="25"/>
  <c r="H156" i="25"/>
  <c r="H157" i="25"/>
  <c r="H158" i="25"/>
  <c r="H159" i="25"/>
  <c r="H160" i="25"/>
  <c r="H161" i="25"/>
  <c r="H162" i="25"/>
  <c r="H163" i="25"/>
  <c r="H164" i="25"/>
  <c r="H165" i="25"/>
  <c r="H166" i="25"/>
  <c r="H167" i="25"/>
  <c r="H168" i="25"/>
  <c r="H169" i="25"/>
  <c r="H170" i="25"/>
  <c r="H171" i="25"/>
  <c r="H172" i="25"/>
  <c r="H173" i="25"/>
  <c r="H174" i="25"/>
  <c r="H175" i="25"/>
  <c r="H176" i="25"/>
  <c r="H177" i="25"/>
  <c r="H178" i="25"/>
  <c r="H179" i="25"/>
  <c r="H180" i="25"/>
  <c r="H181" i="25"/>
  <c r="H182" i="25"/>
  <c r="H183" i="25"/>
  <c r="H184" i="25"/>
  <c r="H185" i="25"/>
  <c r="H186" i="25"/>
  <c r="H187" i="25"/>
  <c r="H188" i="25"/>
  <c r="H189" i="25"/>
  <c r="H190" i="25"/>
  <c r="H191" i="25"/>
  <c r="H192" i="25"/>
  <c r="H193" i="25"/>
  <c r="H194" i="25"/>
  <c r="H195" i="25"/>
  <c r="H196" i="25"/>
  <c r="H197" i="25"/>
  <c r="H198" i="25"/>
  <c r="H199" i="25"/>
  <c r="H200" i="25"/>
  <c r="H201" i="25"/>
  <c r="H202" i="25"/>
  <c r="H203" i="25"/>
  <c r="H204" i="25"/>
  <c r="H205" i="25"/>
  <c r="H206" i="25"/>
  <c r="H207" i="25"/>
  <c r="H208" i="25"/>
  <c r="H209" i="25"/>
  <c r="H210" i="25"/>
  <c r="H211" i="25"/>
  <c r="H212" i="25"/>
  <c r="H213" i="25"/>
  <c r="H214" i="25"/>
  <c r="H215" i="25"/>
  <c r="H216" i="25"/>
  <c r="H217" i="25"/>
  <c r="H218" i="25"/>
  <c r="H219" i="25"/>
  <c r="H220" i="25"/>
  <c r="H221" i="25"/>
  <c r="H222" i="25"/>
  <c r="H223" i="25"/>
  <c r="H224" i="25"/>
  <c r="H225" i="25"/>
  <c r="H226" i="25"/>
  <c r="H227" i="25"/>
  <c r="H228" i="25"/>
  <c r="H229" i="25"/>
  <c r="H230" i="25"/>
  <c r="H231" i="25"/>
  <c r="H232" i="25"/>
  <c r="H233" i="25"/>
  <c r="H234" i="25"/>
  <c r="H235" i="25"/>
  <c r="H236" i="25"/>
  <c r="H237" i="25"/>
  <c r="H238" i="25"/>
  <c r="H239" i="25"/>
  <c r="H240" i="25"/>
  <c r="H241" i="25"/>
  <c r="H242" i="25"/>
  <c r="H243" i="25"/>
  <c r="H244" i="25"/>
  <c r="H245" i="25"/>
  <c r="H246" i="25"/>
  <c r="H247" i="25"/>
  <c r="H248" i="25"/>
  <c r="H249" i="25"/>
  <c r="H250" i="25"/>
  <c r="H251" i="25"/>
  <c r="H252" i="25"/>
  <c r="H253" i="25"/>
  <c r="H254" i="25"/>
  <c r="H255" i="25"/>
  <c r="H256" i="25"/>
  <c r="H257" i="25"/>
  <c r="H258" i="25"/>
  <c r="H259" i="25"/>
  <c r="H260" i="25"/>
  <c r="H261" i="25"/>
  <c r="H262" i="25"/>
  <c r="H263" i="25"/>
  <c r="H264" i="25"/>
  <c r="H265" i="25"/>
  <c r="H266" i="25"/>
  <c r="H267" i="25"/>
  <c r="H268" i="25"/>
  <c r="H269" i="25"/>
  <c r="H270" i="25"/>
  <c r="H271" i="25"/>
  <c r="H272" i="25"/>
  <c r="H273" i="25"/>
  <c r="H274" i="25"/>
  <c r="H275" i="25"/>
  <c r="H276" i="25"/>
  <c r="H277" i="25"/>
  <c r="H278" i="25"/>
  <c r="H279" i="25"/>
  <c r="H280" i="25"/>
  <c r="H281" i="25"/>
  <c r="H282" i="25"/>
  <c r="H283" i="25"/>
  <c r="H284" i="25"/>
  <c r="H285" i="25"/>
  <c r="H286" i="25"/>
  <c r="H287" i="25"/>
  <c r="H288" i="25"/>
  <c r="H289" i="25"/>
  <c r="H290" i="25"/>
  <c r="H291" i="25"/>
  <c r="H292" i="25"/>
  <c r="H293" i="25"/>
  <c r="H294" i="25"/>
  <c r="H295" i="25"/>
  <c r="H296" i="25"/>
  <c r="H297" i="25"/>
  <c r="H298" i="25"/>
  <c r="H299" i="25"/>
  <c r="H300" i="25"/>
  <c r="H301" i="25"/>
  <c r="H302" i="25"/>
  <c r="H303" i="25"/>
  <c r="H304" i="25"/>
  <c r="H305" i="25"/>
  <c r="H306" i="25"/>
  <c r="H307" i="25"/>
  <c r="H308" i="25"/>
  <c r="H309" i="25"/>
  <c r="H310" i="25"/>
  <c r="H311" i="25"/>
  <c r="H312" i="25"/>
  <c r="H313" i="25"/>
  <c r="H314" i="25"/>
  <c r="H315" i="25"/>
  <c r="H316" i="25"/>
  <c r="H317" i="25"/>
  <c r="H318" i="25"/>
  <c r="H319" i="25"/>
  <c r="H320" i="25"/>
  <c r="H321" i="25"/>
  <c r="H322" i="25"/>
  <c r="H323" i="25"/>
  <c r="H324" i="25"/>
  <c r="H325" i="25"/>
  <c r="H326" i="25"/>
  <c r="H327" i="25"/>
  <c r="H328" i="25"/>
  <c r="H329" i="25"/>
  <c r="H330" i="25"/>
  <c r="H331" i="25"/>
  <c r="H332" i="25"/>
  <c r="H333" i="25"/>
  <c r="H334" i="25"/>
  <c r="H335" i="25"/>
  <c r="H336" i="25"/>
  <c r="H337" i="25"/>
  <c r="H338" i="25"/>
  <c r="H339" i="25"/>
  <c r="H340" i="25"/>
  <c r="H341" i="25"/>
  <c r="H342" i="25"/>
  <c r="H343" i="25"/>
  <c r="H344" i="25"/>
  <c r="H345" i="25"/>
  <c r="H346" i="25"/>
  <c r="H347" i="25"/>
  <c r="H348" i="25"/>
  <c r="H349" i="25"/>
  <c r="H350" i="25"/>
  <c r="H351" i="25"/>
  <c r="H352" i="25"/>
  <c r="H353" i="25"/>
  <c r="H354" i="25"/>
  <c r="H355" i="25"/>
  <c r="H356" i="25"/>
  <c r="H357" i="25"/>
  <c r="H358" i="25"/>
  <c r="H359" i="25"/>
  <c r="H360" i="25"/>
  <c r="H361" i="25"/>
  <c r="H362" i="25"/>
  <c r="H363" i="25"/>
  <c r="H364" i="25"/>
  <c r="H365" i="25"/>
  <c r="H366" i="25"/>
  <c r="H367" i="25"/>
  <c r="H368" i="25"/>
  <c r="H369" i="25"/>
  <c r="H370" i="25"/>
  <c r="H371" i="25"/>
  <c r="H372" i="25"/>
  <c r="H373" i="25"/>
  <c r="H374" i="25"/>
  <c r="H375" i="25"/>
  <c r="H376" i="25"/>
  <c r="H377" i="25"/>
  <c r="H378" i="25"/>
  <c r="H379" i="25"/>
  <c r="H380" i="25"/>
  <c r="H381" i="25"/>
  <c r="H382" i="25"/>
  <c r="H383" i="25"/>
  <c r="H384" i="25"/>
  <c r="H385" i="25"/>
  <c r="H386" i="25"/>
  <c r="H387" i="25"/>
  <c r="H388" i="25"/>
  <c r="H389" i="25"/>
  <c r="H390" i="25"/>
  <c r="H391" i="25"/>
  <c r="H392" i="25"/>
  <c r="H393" i="25"/>
  <c r="H394" i="25"/>
  <c r="H395" i="25"/>
  <c r="H396" i="25"/>
  <c r="H397" i="25"/>
  <c r="H398" i="25"/>
  <c r="H399" i="25"/>
  <c r="H400" i="25"/>
  <c r="H401" i="25"/>
  <c r="H402" i="25"/>
  <c r="H403" i="25"/>
  <c r="H404" i="25"/>
  <c r="H405" i="25"/>
  <c r="H406" i="25"/>
  <c r="H2" i="25"/>
  <c r="G3" i="25"/>
  <c r="G4" i="25"/>
  <c r="G5" i="25"/>
  <c r="G6" i="25"/>
  <c r="G7" i="25"/>
  <c r="G8" i="25"/>
  <c r="G9" i="25"/>
  <c r="G10" i="25"/>
  <c r="G11" i="25"/>
  <c r="G12" i="25"/>
  <c r="G13" i="25"/>
  <c r="G14" i="25"/>
  <c r="G15" i="25"/>
  <c r="G16" i="25"/>
  <c r="G17" i="25"/>
  <c r="G18" i="25"/>
  <c r="G19" i="25"/>
  <c r="G20" i="25"/>
  <c r="G21" i="25"/>
  <c r="G22" i="25"/>
  <c r="G23" i="25"/>
  <c r="G24" i="25"/>
  <c r="G25" i="25"/>
  <c r="G26" i="25"/>
  <c r="G27" i="25"/>
  <c r="G28" i="25"/>
  <c r="G29" i="25"/>
  <c r="G30" i="25"/>
  <c r="G31" i="25"/>
  <c r="G32" i="25"/>
  <c r="G33" i="25"/>
  <c r="G34" i="25"/>
  <c r="G35" i="25"/>
  <c r="G36" i="25"/>
  <c r="G37" i="25"/>
  <c r="G38" i="25"/>
  <c r="G39" i="25"/>
  <c r="G40" i="25"/>
  <c r="G41" i="25"/>
  <c r="G42" i="25"/>
  <c r="G43" i="25"/>
  <c r="G44" i="25"/>
  <c r="G45" i="25"/>
  <c r="G46" i="25"/>
  <c r="G47" i="25"/>
  <c r="G48" i="25"/>
  <c r="G49" i="25"/>
  <c r="G50" i="25"/>
  <c r="G51" i="25"/>
  <c r="G52" i="25"/>
  <c r="G53" i="25"/>
  <c r="G54" i="25"/>
  <c r="G55" i="25"/>
  <c r="G56" i="25"/>
  <c r="G57" i="25"/>
  <c r="G58" i="25"/>
  <c r="G59" i="25"/>
  <c r="G60" i="25"/>
  <c r="G61" i="25"/>
  <c r="G62" i="25"/>
  <c r="G63" i="25"/>
  <c r="G64" i="25"/>
  <c r="G65" i="25"/>
  <c r="G66" i="25"/>
  <c r="G67" i="25"/>
  <c r="G68" i="25"/>
  <c r="G69" i="25"/>
  <c r="G70" i="25"/>
  <c r="G71" i="25"/>
  <c r="G72" i="25"/>
  <c r="G73" i="25"/>
  <c r="G74" i="25"/>
  <c r="G75" i="25"/>
  <c r="G76" i="25"/>
  <c r="G77" i="25"/>
  <c r="G78" i="25"/>
  <c r="G79" i="25"/>
  <c r="G80" i="25"/>
  <c r="G81" i="25"/>
  <c r="G82" i="25"/>
  <c r="G83" i="25"/>
  <c r="G84" i="25"/>
  <c r="G85" i="25"/>
  <c r="G86" i="25"/>
  <c r="G87" i="25"/>
  <c r="G88" i="25"/>
  <c r="G89" i="25"/>
  <c r="G90" i="25"/>
  <c r="G91" i="25"/>
  <c r="G92" i="25"/>
  <c r="G93" i="25"/>
  <c r="G94" i="25"/>
  <c r="G95" i="25"/>
  <c r="G96" i="25"/>
  <c r="G97" i="25"/>
  <c r="G98" i="25"/>
  <c r="G99" i="25"/>
  <c r="G100" i="25"/>
  <c r="G101" i="25"/>
  <c r="G102" i="25"/>
  <c r="G103" i="25"/>
  <c r="G104" i="25"/>
  <c r="G105" i="25"/>
  <c r="G106" i="25"/>
  <c r="G107" i="25"/>
  <c r="G108" i="25"/>
  <c r="G109" i="25"/>
  <c r="G110" i="25"/>
  <c r="G111" i="25"/>
  <c r="G112" i="25"/>
  <c r="G113" i="25"/>
  <c r="G114" i="25"/>
  <c r="G115" i="25"/>
  <c r="G116" i="25"/>
  <c r="G117" i="25"/>
  <c r="G118" i="25"/>
  <c r="G119" i="25"/>
  <c r="G120" i="25"/>
  <c r="G121" i="25"/>
  <c r="G122" i="25"/>
  <c r="G123" i="25"/>
  <c r="G124" i="25"/>
  <c r="G125" i="25"/>
  <c r="G126" i="25"/>
  <c r="G127" i="25"/>
  <c r="G128" i="25"/>
  <c r="G129" i="25"/>
  <c r="G130" i="25"/>
  <c r="G131" i="25"/>
  <c r="G132" i="25"/>
  <c r="G133" i="25"/>
  <c r="G134" i="25"/>
  <c r="G135" i="25"/>
  <c r="G136" i="25"/>
  <c r="G137" i="25"/>
  <c r="G138" i="25"/>
  <c r="G139" i="25"/>
  <c r="G140" i="25"/>
  <c r="G141" i="25"/>
  <c r="G142" i="25"/>
  <c r="G143" i="25"/>
  <c r="G144" i="25"/>
  <c r="G145" i="25"/>
  <c r="G146" i="25"/>
  <c r="G147" i="25"/>
  <c r="G148" i="25"/>
  <c r="G149" i="25"/>
  <c r="G150" i="25"/>
  <c r="G151" i="25"/>
  <c r="G152" i="25"/>
  <c r="G153" i="25"/>
  <c r="G154" i="25"/>
  <c r="G155" i="25"/>
  <c r="G156" i="25"/>
  <c r="G157" i="25"/>
  <c r="G158" i="25"/>
  <c r="G159" i="25"/>
  <c r="G160" i="25"/>
  <c r="G161" i="25"/>
  <c r="G162" i="25"/>
  <c r="G163" i="25"/>
  <c r="G164" i="25"/>
  <c r="G165" i="25"/>
  <c r="G166" i="25"/>
  <c r="G167" i="25"/>
  <c r="G168" i="25"/>
  <c r="G169" i="25"/>
  <c r="G170" i="25"/>
  <c r="G171" i="25"/>
  <c r="G172" i="25"/>
  <c r="G173" i="25"/>
  <c r="G174" i="25"/>
  <c r="G175" i="25"/>
  <c r="G176" i="25"/>
  <c r="G177" i="25"/>
  <c r="G178" i="25"/>
  <c r="G179" i="25"/>
  <c r="G180" i="25"/>
  <c r="G181" i="25"/>
  <c r="G182" i="25"/>
  <c r="G183" i="25"/>
  <c r="G184" i="25"/>
  <c r="G185" i="25"/>
  <c r="G186" i="25"/>
  <c r="G187" i="25"/>
  <c r="G188" i="25"/>
  <c r="G189" i="25"/>
  <c r="G190" i="25"/>
  <c r="G191" i="25"/>
  <c r="G192" i="25"/>
  <c r="G193" i="25"/>
  <c r="G194" i="25"/>
  <c r="G195" i="25"/>
  <c r="G196" i="25"/>
  <c r="G197" i="25"/>
  <c r="G198" i="25"/>
  <c r="G199" i="25"/>
  <c r="G200" i="25"/>
  <c r="G201" i="25"/>
  <c r="G202" i="25"/>
  <c r="G203" i="25"/>
  <c r="G204" i="25"/>
  <c r="G205" i="25"/>
  <c r="G206" i="25"/>
  <c r="G207" i="25"/>
  <c r="G208" i="25"/>
  <c r="G209" i="25"/>
  <c r="G210" i="25"/>
  <c r="G211" i="25"/>
  <c r="G212" i="25"/>
  <c r="G213" i="25"/>
  <c r="G214" i="25"/>
  <c r="G215" i="25"/>
  <c r="G216" i="25"/>
  <c r="G217" i="25"/>
  <c r="G218" i="25"/>
  <c r="G219" i="25"/>
  <c r="G220" i="25"/>
  <c r="G221" i="25"/>
  <c r="G222" i="25"/>
  <c r="G223" i="25"/>
  <c r="G224" i="25"/>
  <c r="G225" i="25"/>
  <c r="G226" i="25"/>
  <c r="G227" i="25"/>
  <c r="G228" i="25"/>
  <c r="G229" i="25"/>
  <c r="G230" i="25"/>
  <c r="G231" i="25"/>
  <c r="G232" i="25"/>
  <c r="G233" i="25"/>
  <c r="G234" i="25"/>
  <c r="G235" i="25"/>
  <c r="G236" i="25"/>
  <c r="G237" i="25"/>
  <c r="G238" i="25"/>
  <c r="G239" i="25"/>
  <c r="G240" i="25"/>
  <c r="G241" i="25"/>
  <c r="G242" i="25"/>
  <c r="G243" i="25"/>
  <c r="G244" i="25"/>
  <c r="G245" i="25"/>
  <c r="G246" i="25"/>
  <c r="G247" i="25"/>
  <c r="G248" i="25"/>
  <c r="G249" i="25"/>
  <c r="G250" i="25"/>
  <c r="G251" i="25"/>
  <c r="G252" i="25"/>
  <c r="G253" i="25"/>
  <c r="G254" i="25"/>
  <c r="G255" i="25"/>
  <c r="G256" i="25"/>
  <c r="G257" i="25"/>
  <c r="G258" i="25"/>
  <c r="G259" i="25"/>
  <c r="G260" i="25"/>
  <c r="G261" i="25"/>
  <c r="G262" i="25"/>
  <c r="G263" i="25"/>
  <c r="G264" i="25"/>
  <c r="G265" i="25"/>
  <c r="G266" i="25"/>
  <c r="G267" i="25"/>
  <c r="G268" i="25"/>
  <c r="G269" i="25"/>
  <c r="G270" i="25"/>
  <c r="G271" i="25"/>
  <c r="G272" i="25"/>
  <c r="G273" i="25"/>
  <c r="G274" i="25"/>
  <c r="G275" i="25"/>
  <c r="G276" i="25"/>
  <c r="G277" i="25"/>
  <c r="G278" i="25"/>
  <c r="G279" i="25"/>
  <c r="G280" i="25"/>
  <c r="G281" i="25"/>
  <c r="G282" i="25"/>
  <c r="G283" i="25"/>
  <c r="G284" i="25"/>
  <c r="G285" i="25"/>
  <c r="G286" i="25"/>
  <c r="G287" i="25"/>
  <c r="G288" i="25"/>
  <c r="G289" i="25"/>
  <c r="G290" i="25"/>
  <c r="G291" i="25"/>
  <c r="G292" i="25"/>
  <c r="G293" i="25"/>
  <c r="G294" i="25"/>
  <c r="G295" i="25"/>
  <c r="G296" i="25"/>
  <c r="G297" i="25"/>
  <c r="G298" i="25"/>
  <c r="G299" i="25"/>
  <c r="G300" i="25"/>
  <c r="G301" i="25"/>
  <c r="G302" i="25"/>
  <c r="G303" i="25"/>
  <c r="G304" i="25"/>
  <c r="G305" i="25"/>
  <c r="G306" i="25"/>
  <c r="G307" i="25"/>
  <c r="G308" i="25"/>
  <c r="G309" i="25"/>
  <c r="G310" i="25"/>
  <c r="G311" i="25"/>
  <c r="G312" i="25"/>
  <c r="G313" i="25"/>
  <c r="G314" i="25"/>
  <c r="G315" i="25"/>
  <c r="G316" i="25"/>
  <c r="G317" i="25"/>
  <c r="G318" i="25"/>
  <c r="G319" i="25"/>
  <c r="G320" i="25"/>
  <c r="G321" i="25"/>
  <c r="G322" i="25"/>
  <c r="G323" i="25"/>
  <c r="G324" i="25"/>
  <c r="G325" i="25"/>
  <c r="G326" i="25"/>
  <c r="G327" i="25"/>
  <c r="G328" i="25"/>
  <c r="G329" i="25"/>
  <c r="G330" i="25"/>
  <c r="G331" i="25"/>
  <c r="G332" i="25"/>
  <c r="G333" i="25"/>
  <c r="G334" i="25"/>
  <c r="G335" i="25"/>
  <c r="G336" i="25"/>
  <c r="G337" i="25"/>
  <c r="G338" i="25"/>
  <c r="G339" i="25"/>
  <c r="G340" i="25"/>
  <c r="G341" i="25"/>
  <c r="G342" i="25"/>
  <c r="G343" i="25"/>
  <c r="G344" i="25"/>
  <c r="G345" i="25"/>
  <c r="G346" i="25"/>
  <c r="G347" i="25"/>
  <c r="G348" i="25"/>
  <c r="G349" i="25"/>
  <c r="G350" i="25"/>
  <c r="G351" i="25"/>
  <c r="G352" i="25"/>
  <c r="G353" i="25"/>
  <c r="G354" i="25"/>
  <c r="G355" i="25"/>
  <c r="G356" i="25"/>
  <c r="G357" i="25"/>
  <c r="G358" i="25"/>
  <c r="G359" i="25"/>
  <c r="G360" i="25"/>
  <c r="G361" i="25"/>
  <c r="G362" i="25"/>
  <c r="G363" i="25"/>
  <c r="G364" i="25"/>
  <c r="G365" i="25"/>
  <c r="G366" i="25"/>
  <c r="G367" i="25"/>
  <c r="G368" i="25"/>
  <c r="G369" i="25"/>
  <c r="G370" i="25"/>
  <c r="G371" i="25"/>
  <c r="G372" i="25"/>
  <c r="G373" i="25"/>
  <c r="G374" i="25"/>
  <c r="G375" i="25"/>
  <c r="G376" i="25"/>
  <c r="G377" i="25"/>
  <c r="G378" i="25"/>
  <c r="G379" i="25"/>
  <c r="G380" i="25"/>
  <c r="G381" i="25"/>
  <c r="G382" i="25"/>
  <c r="G383" i="25"/>
  <c r="G384" i="25"/>
  <c r="G385" i="25"/>
  <c r="G386" i="25"/>
  <c r="G387" i="25"/>
  <c r="G388" i="25"/>
  <c r="G389" i="25"/>
  <c r="G390" i="25"/>
  <c r="G391" i="25"/>
  <c r="G392" i="25"/>
  <c r="G393" i="25"/>
  <c r="G394" i="25"/>
  <c r="G395" i="25"/>
  <c r="G396" i="25"/>
  <c r="G397" i="25"/>
  <c r="G398" i="25"/>
  <c r="G399" i="25"/>
  <c r="G400" i="25"/>
  <c r="G401" i="25"/>
  <c r="G402" i="25"/>
  <c r="G403" i="25"/>
  <c r="G404" i="25"/>
  <c r="G405" i="25"/>
  <c r="G406" i="25"/>
  <c r="G2" i="25"/>
  <c r="F3" i="25"/>
  <c r="F4" i="25"/>
  <c r="F5" i="25"/>
  <c r="F6" i="25"/>
  <c r="F7" i="25"/>
  <c r="F8" i="25"/>
  <c r="F9" i="25"/>
  <c r="F10" i="25"/>
  <c r="F11" i="25"/>
  <c r="F12" i="25"/>
  <c r="F13" i="25"/>
  <c r="F14" i="25"/>
  <c r="F15" i="25"/>
  <c r="F16" i="25"/>
  <c r="F17" i="25"/>
  <c r="F18" i="25"/>
  <c r="F19" i="25"/>
  <c r="F20" i="25"/>
  <c r="F21" i="25"/>
  <c r="F22" i="25"/>
  <c r="F23" i="25"/>
  <c r="F24" i="25"/>
  <c r="F25" i="25"/>
  <c r="F26" i="25"/>
  <c r="F27" i="25"/>
  <c r="F28" i="25"/>
  <c r="F29" i="25"/>
  <c r="F30" i="25"/>
  <c r="F31" i="25"/>
  <c r="F32" i="25"/>
  <c r="F33" i="25"/>
  <c r="F34" i="25"/>
  <c r="F35" i="25"/>
  <c r="F36" i="25"/>
  <c r="F37" i="25"/>
  <c r="F38" i="25"/>
  <c r="F39" i="25"/>
  <c r="F40" i="25"/>
  <c r="F41" i="25"/>
  <c r="F42" i="25"/>
  <c r="F43" i="25"/>
  <c r="F44" i="25"/>
  <c r="F45" i="25"/>
  <c r="F46" i="25"/>
  <c r="F47" i="25"/>
  <c r="F48" i="25"/>
  <c r="F49" i="25"/>
  <c r="F50" i="25"/>
  <c r="F51" i="25"/>
  <c r="F52" i="25"/>
  <c r="F53" i="25"/>
  <c r="F54" i="25"/>
  <c r="F55" i="25"/>
  <c r="F56" i="25"/>
  <c r="F57" i="25"/>
  <c r="F58" i="25"/>
  <c r="F59" i="25"/>
  <c r="F60" i="25"/>
  <c r="F61" i="25"/>
  <c r="F62" i="25"/>
  <c r="F63" i="25"/>
  <c r="F64" i="25"/>
  <c r="F65" i="25"/>
  <c r="F66" i="25"/>
  <c r="F67" i="25"/>
  <c r="F68" i="25"/>
  <c r="F69" i="25"/>
  <c r="F70" i="25"/>
  <c r="F71" i="25"/>
  <c r="F72" i="25"/>
  <c r="F73" i="25"/>
  <c r="F74" i="25"/>
  <c r="F75" i="25"/>
  <c r="F76" i="25"/>
  <c r="F77" i="25"/>
  <c r="F78" i="25"/>
  <c r="F79" i="25"/>
  <c r="F80" i="25"/>
  <c r="F81" i="25"/>
  <c r="F82" i="25"/>
  <c r="F83" i="25"/>
  <c r="F84" i="25"/>
  <c r="F85" i="25"/>
  <c r="F86" i="25"/>
  <c r="F87" i="25"/>
  <c r="F88" i="25"/>
  <c r="F89" i="25"/>
  <c r="F90" i="25"/>
  <c r="F91" i="25"/>
  <c r="F92" i="25"/>
  <c r="F93" i="25"/>
  <c r="F94" i="25"/>
  <c r="F95" i="25"/>
  <c r="F96" i="25"/>
  <c r="F97" i="25"/>
  <c r="F98" i="25"/>
  <c r="F99" i="25"/>
  <c r="F100" i="25"/>
  <c r="F101" i="25"/>
  <c r="F102" i="25"/>
  <c r="F103" i="25"/>
  <c r="F104" i="25"/>
  <c r="F105" i="25"/>
  <c r="F106" i="25"/>
  <c r="F107" i="25"/>
  <c r="F108" i="25"/>
  <c r="F109" i="25"/>
  <c r="F110" i="25"/>
  <c r="F111" i="25"/>
  <c r="F112" i="25"/>
  <c r="F113" i="25"/>
  <c r="F114" i="25"/>
  <c r="F115" i="25"/>
  <c r="F116" i="25"/>
  <c r="F117" i="25"/>
  <c r="F118" i="25"/>
  <c r="F119" i="25"/>
  <c r="F120" i="25"/>
  <c r="F121" i="25"/>
  <c r="F122" i="25"/>
  <c r="F123" i="25"/>
  <c r="F124" i="25"/>
  <c r="F125" i="25"/>
  <c r="F126" i="25"/>
  <c r="F127" i="25"/>
  <c r="F128" i="25"/>
  <c r="F129" i="25"/>
  <c r="F130" i="25"/>
  <c r="F131" i="25"/>
  <c r="F132" i="25"/>
  <c r="F133" i="25"/>
  <c r="F134" i="25"/>
  <c r="F135" i="25"/>
  <c r="F136" i="25"/>
  <c r="F137" i="25"/>
  <c r="F138" i="25"/>
  <c r="F139" i="25"/>
  <c r="F140" i="25"/>
  <c r="F141" i="25"/>
  <c r="F142" i="25"/>
  <c r="F143" i="25"/>
  <c r="F144" i="25"/>
  <c r="F145" i="25"/>
  <c r="F146" i="25"/>
  <c r="F147" i="25"/>
  <c r="F148" i="25"/>
  <c r="F149" i="25"/>
  <c r="F150" i="25"/>
  <c r="F151" i="25"/>
  <c r="F152" i="25"/>
  <c r="F153" i="25"/>
  <c r="F154" i="25"/>
  <c r="F155" i="25"/>
  <c r="F156" i="25"/>
  <c r="F157" i="25"/>
  <c r="F158" i="25"/>
  <c r="F159" i="25"/>
  <c r="F160" i="25"/>
  <c r="F161" i="25"/>
  <c r="F162" i="25"/>
  <c r="F163" i="25"/>
  <c r="F164" i="25"/>
  <c r="F165" i="25"/>
  <c r="F166" i="25"/>
  <c r="F167" i="25"/>
  <c r="F168" i="25"/>
  <c r="F169" i="25"/>
  <c r="F170" i="25"/>
  <c r="F171" i="25"/>
  <c r="F172" i="25"/>
  <c r="F173" i="25"/>
  <c r="F174" i="25"/>
  <c r="F175" i="25"/>
  <c r="F176" i="25"/>
  <c r="F177" i="25"/>
  <c r="F178" i="25"/>
  <c r="F179" i="25"/>
  <c r="F180" i="25"/>
  <c r="F181" i="25"/>
  <c r="F182" i="25"/>
  <c r="F183" i="25"/>
  <c r="F184" i="25"/>
  <c r="F185" i="25"/>
  <c r="F186" i="25"/>
  <c r="F187" i="25"/>
  <c r="F188" i="25"/>
  <c r="F189" i="25"/>
  <c r="F190" i="25"/>
  <c r="F191" i="25"/>
  <c r="F192" i="25"/>
  <c r="F193" i="25"/>
  <c r="F194" i="25"/>
  <c r="F195" i="25"/>
  <c r="F196" i="25"/>
  <c r="F197" i="25"/>
  <c r="F198" i="25"/>
  <c r="F199" i="25"/>
  <c r="F200" i="25"/>
  <c r="F201" i="25"/>
  <c r="F202" i="25"/>
  <c r="F203" i="25"/>
  <c r="F204" i="25"/>
  <c r="F205" i="25"/>
  <c r="F206" i="25"/>
  <c r="F207" i="25"/>
  <c r="F208" i="25"/>
  <c r="F209" i="25"/>
  <c r="F210" i="25"/>
  <c r="F211" i="25"/>
  <c r="F212" i="25"/>
  <c r="F213" i="25"/>
  <c r="F214" i="25"/>
  <c r="F215" i="25"/>
  <c r="F216" i="25"/>
  <c r="F217" i="25"/>
  <c r="F218" i="25"/>
  <c r="F219" i="25"/>
  <c r="F220" i="25"/>
  <c r="F221" i="25"/>
  <c r="F222" i="25"/>
  <c r="F223" i="25"/>
  <c r="F224" i="25"/>
  <c r="F225" i="25"/>
  <c r="F226" i="25"/>
  <c r="F227" i="25"/>
  <c r="F228" i="25"/>
  <c r="F229" i="25"/>
  <c r="F230" i="25"/>
  <c r="F231" i="25"/>
  <c r="F232" i="25"/>
  <c r="F233" i="25"/>
  <c r="F234" i="25"/>
  <c r="F235" i="25"/>
  <c r="F236" i="25"/>
  <c r="F237" i="25"/>
  <c r="F238" i="25"/>
  <c r="F239" i="25"/>
  <c r="F240" i="25"/>
  <c r="F241" i="25"/>
  <c r="F242" i="25"/>
  <c r="F243" i="25"/>
  <c r="F244" i="25"/>
  <c r="F245" i="25"/>
  <c r="F246" i="25"/>
  <c r="F247" i="25"/>
  <c r="F248" i="25"/>
  <c r="F249" i="25"/>
  <c r="F250" i="25"/>
  <c r="F251" i="25"/>
  <c r="F252" i="25"/>
  <c r="F253" i="25"/>
  <c r="F254" i="25"/>
  <c r="F255" i="25"/>
  <c r="F256" i="25"/>
  <c r="F257" i="25"/>
  <c r="F258" i="25"/>
  <c r="F259" i="25"/>
  <c r="F260" i="25"/>
  <c r="F261" i="25"/>
  <c r="F262" i="25"/>
  <c r="F263" i="25"/>
  <c r="F264" i="25"/>
  <c r="F265" i="25"/>
  <c r="F266" i="25"/>
  <c r="F267" i="25"/>
  <c r="F268" i="25"/>
  <c r="F269" i="25"/>
  <c r="F270" i="25"/>
  <c r="F271" i="25"/>
  <c r="F272" i="25"/>
  <c r="F273" i="25"/>
  <c r="F274" i="25"/>
  <c r="F275" i="25"/>
  <c r="F276" i="25"/>
  <c r="F277" i="25"/>
  <c r="F278" i="25"/>
  <c r="F279" i="25"/>
  <c r="F280" i="25"/>
  <c r="F281" i="25"/>
  <c r="F282" i="25"/>
  <c r="F283" i="25"/>
  <c r="F284" i="25"/>
  <c r="F285" i="25"/>
  <c r="F286" i="25"/>
  <c r="F287" i="25"/>
  <c r="F288" i="25"/>
  <c r="F289" i="25"/>
  <c r="F290" i="25"/>
  <c r="F291" i="25"/>
  <c r="F292" i="25"/>
  <c r="F293" i="25"/>
  <c r="F294" i="25"/>
  <c r="F295" i="25"/>
  <c r="F296" i="25"/>
  <c r="F297" i="25"/>
  <c r="F298" i="25"/>
  <c r="F299" i="25"/>
  <c r="F300" i="25"/>
  <c r="F301" i="25"/>
  <c r="F302" i="25"/>
  <c r="F303" i="25"/>
  <c r="F304" i="25"/>
  <c r="F305" i="25"/>
  <c r="F306" i="25"/>
  <c r="F307" i="25"/>
  <c r="F308" i="25"/>
  <c r="F309" i="25"/>
  <c r="F310" i="25"/>
  <c r="F311" i="25"/>
  <c r="F312" i="25"/>
  <c r="F313" i="25"/>
  <c r="F314" i="25"/>
  <c r="F315" i="25"/>
  <c r="F316" i="25"/>
  <c r="F317" i="25"/>
  <c r="F318" i="25"/>
  <c r="F319" i="25"/>
  <c r="F320" i="25"/>
  <c r="F321" i="25"/>
  <c r="F322" i="25"/>
  <c r="F323" i="25"/>
  <c r="F324" i="25"/>
  <c r="F325" i="25"/>
  <c r="F326" i="25"/>
  <c r="F327" i="25"/>
  <c r="F328" i="25"/>
  <c r="F329" i="25"/>
  <c r="F330" i="25"/>
  <c r="F331" i="25"/>
  <c r="F332" i="25"/>
  <c r="F333" i="25"/>
  <c r="F334" i="25"/>
  <c r="F335" i="25"/>
  <c r="F336" i="25"/>
  <c r="F337" i="25"/>
  <c r="F338" i="25"/>
  <c r="F339" i="25"/>
  <c r="F340" i="25"/>
  <c r="F341" i="25"/>
  <c r="F342" i="25"/>
  <c r="F343" i="25"/>
  <c r="F344" i="25"/>
  <c r="F345" i="25"/>
  <c r="F346" i="25"/>
  <c r="F347" i="25"/>
  <c r="F348" i="25"/>
  <c r="F349" i="25"/>
  <c r="F350" i="25"/>
  <c r="F351" i="25"/>
  <c r="F352" i="25"/>
  <c r="F353" i="25"/>
  <c r="F354" i="25"/>
  <c r="F355" i="25"/>
  <c r="F356" i="25"/>
  <c r="F357" i="25"/>
  <c r="F358" i="25"/>
  <c r="F359" i="25"/>
  <c r="F360" i="25"/>
  <c r="F361" i="25"/>
  <c r="F362" i="25"/>
  <c r="F363" i="25"/>
  <c r="F364" i="25"/>
  <c r="F365" i="25"/>
  <c r="F366" i="25"/>
  <c r="F367" i="25"/>
  <c r="F368" i="25"/>
  <c r="F369" i="25"/>
  <c r="F370" i="25"/>
  <c r="F371" i="25"/>
  <c r="F372" i="25"/>
  <c r="F373" i="25"/>
  <c r="F374" i="25"/>
  <c r="F375" i="25"/>
  <c r="F376" i="25"/>
  <c r="F377" i="25"/>
  <c r="F378" i="25"/>
  <c r="F379" i="25"/>
  <c r="F380" i="25"/>
  <c r="F381" i="25"/>
  <c r="F382" i="25"/>
  <c r="F383" i="25"/>
  <c r="F384" i="25"/>
  <c r="F385" i="25"/>
  <c r="F386" i="25"/>
  <c r="F387" i="25"/>
  <c r="F388" i="25"/>
  <c r="F389" i="25"/>
  <c r="F390" i="25"/>
  <c r="F391" i="25"/>
  <c r="F392" i="25"/>
  <c r="F393" i="25"/>
  <c r="F394" i="25"/>
  <c r="F395" i="25"/>
  <c r="F396" i="25"/>
  <c r="F397" i="25"/>
  <c r="F398" i="25"/>
  <c r="F399" i="25"/>
  <c r="F400" i="25"/>
  <c r="F401" i="25"/>
  <c r="F402" i="25"/>
  <c r="F403" i="25"/>
  <c r="F404" i="25"/>
  <c r="F405" i="25"/>
  <c r="F406" i="25"/>
  <c r="F2" i="25"/>
  <c r="C384" i="25"/>
  <c r="AK335" i="18"/>
  <c r="BQ282" i="18" l="1"/>
  <c r="BZ282" i="18"/>
  <c r="CA282" i="18"/>
  <c r="BR282" i="18"/>
  <c r="BP282" i="18"/>
  <c r="A2" i="22"/>
  <c r="R2" i="15"/>
  <c r="B89" i="22" l="1"/>
  <c r="K3" i="22"/>
  <c r="Q4" i="15"/>
  <c r="Q362" i="15"/>
  <c r="BT282" i="18"/>
  <c r="D2" i="22"/>
  <c r="C78" i="23" s="1"/>
  <c r="C18" i="23" l="1"/>
  <c r="F67" i="22"/>
  <c r="F62" i="22"/>
  <c r="F55" i="22"/>
  <c r="F46" i="22"/>
  <c r="I46" i="22" s="1"/>
  <c r="J16" i="20"/>
  <c r="J17" i="20"/>
  <c r="J18" i="20"/>
  <c r="J19" i="20"/>
  <c r="J20" i="20"/>
  <c r="J21" i="20"/>
  <c r="J22" i="20"/>
  <c r="J23" i="20"/>
  <c r="J24" i="20"/>
  <c r="J25" i="20"/>
  <c r="J26" i="20"/>
  <c r="J27" i="20"/>
  <c r="J28" i="20"/>
  <c r="J29" i="20"/>
  <c r="J30" i="20"/>
  <c r="J31" i="20"/>
  <c r="J32" i="20"/>
  <c r="J33" i="20"/>
  <c r="J34" i="20"/>
  <c r="J35" i="20"/>
  <c r="J36" i="20"/>
  <c r="J37" i="20"/>
  <c r="J38" i="20"/>
  <c r="J39" i="20"/>
  <c r="J40" i="20"/>
  <c r="J41" i="20"/>
  <c r="J42" i="20"/>
  <c r="J43" i="20"/>
  <c r="J44" i="20"/>
  <c r="J45" i="20"/>
  <c r="J46" i="20"/>
  <c r="J47" i="20"/>
  <c r="J48" i="20"/>
  <c r="J49" i="20"/>
  <c r="J50" i="20"/>
  <c r="J51" i="20"/>
  <c r="J52" i="20"/>
  <c r="J53" i="20"/>
  <c r="J54" i="20"/>
  <c r="J55" i="20"/>
  <c r="J56" i="20"/>
  <c r="J57" i="20"/>
  <c r="J58" i="20"/>
  <c r="J59" i="20"/>
  <c r="J60" i="20"/>
  <c r="J61" i="20"/>
  <c r="J62" i="20"/>
  <c r="J63" i="20"/>
  <c r="J64" i="20"/>
  <c r="J65" i="20"/>
  <c r="J66" i="20"/>
  <c r="J67" i="20"/>
  <c r="J68" i="20"/>
  <c r="J69" i="20"/>
  <c r="J70" i="20"/>
  <c r="J71" i="20"/>
  <c r="J72" i="20"/>
  <c r="J73" i="20"/>
  <c r="J74" i="20"/>
  <c r="J75" i="20"/>
  <c r="J76" i="20"/>
  <c r="J77" i="20"/>
  <c r="J78" i="20"/>
  <c r="J79" i="20"/>
  <c r="J80" i="20"/>
  <c r="J81" i="20"/>
  <c r="J82" i="20"/>
  <c r="J83" i="20"/>
  <c r="J84" i="20"/>
  <c r="J85" i="20"/>
  <c r="J86" i="20"/>
  <c r="J87" i="20"/>
  <c r="J88" i="20"/>
  <c r="J89" i="20"/>
  <c r="J90" i="20"/>
  <c r="J91" i="20"/>
  <c r="J92" i="20"/>
  <c r="J93" i="20"/>
  <c r="J94" i="20"/>
  <c r="J95" i="20"/>
  <c r="J96" i="20"/>
  <c r="J97" i="20"/>
  <c r="J98" i="20"/>
  <c r="J99" i="20"/>
  <c r="J100" i="20"/>
  <c r="J101" i="20"/>
  <c r="J102" i="20"/>
  <c r="J103" i="20"/>
  <c r="J104" i="20"/>
  <c r="J105" i="20"/>
  <c r="J106" i="20"/>
  <c r="J107" i="20"/>
  <c r="J108" i="20"/>
  <c r="J109" i="20"/>
  <c r="J110" i="20"/>
  <c r="J111" i="20"/>
  <c r="J112" i="20"/>
  <c r="J113" i="20"/>
  <c r="J114" i="20"/>
  <c r="J115" i="20"/>
  <c r="J116" i="20"/>
  <c r="J117" i="20"/>
  <c r="J118" i="20"/>
  <c r="J119" i="20"/>
  <c r="J120" i="20"/>
  <c r="J121" i="20"/>
  <c r="J122" i="20"/>
  <c r="J123" i="20"/>
  <c r="J124" i="20"/>
  <c r="J125" i="20"/>
  <c r="J126" i="20"/>
  <c r="J127" i="20"/>
  <c r="J128" i="20"/>
  <c r="J129" i="20"/>
  <c r="J130" i="20"/>
  <c r="J131" i="20"/>
  <c r="J132" i="20"/>
  <c r="J133" i="20"/>
  <c r="J134" i="20"/>
  <c r="J135" i="20"/>
  <c r="J136" i="20"/>
  <c r="J137" i="20"/>
  <c r="J138" i="20"/>
  <c r="J139" i="20"/>
  <c r="J140" i="20"/>
  <c r="J141" i="20"/>
  <c r="J142" i="20"/>
  <c r="J143" i="20"/>
  <c r="J144" i="20"/>
  <c r="J145" i="20"/>
  <c r="J146" i="20"/>
  <c r="J147" i="20"/>
  <c r="J148" i="20"/>
  <c r="J149" i="20"/>
  <c r="J150" i="20"/>
  <c r="J151" i="20"/>
  <c r="J152" i="20"/>
  <c r="J153" i="20"/>
  <c r="J154" i="20"/>
  <c r="J155" i="20"/>
  <c r="J156" i="20"/>
  <c r="J157" i="20"/>
  <c r="J158" i="20"/>
  <c r="J159" i="20"/>
  <c r="J160" i="20"/>
  <c r="J161" i="20"/>
  <c r="J162" i="20"/>
  <c r="J163" i="20"/>
  <c r="J164" i="20"/>
  <c r="J165" i="20"/>
  <c r="J166" i="20"/>
  <c r="J167" i="20"/>
  <c r="J168" i="20"/>
  <c r="J169" i="20"/>
  <c r="J170" i="20"/>
  <c r="J171" i="20"/>
  <c r="J172" i="20"/>
  <c r="J173" i="20"/>
  <c r="J174" i="20"/>
  <c r="J175" i="20"/>
  <c r="J176" i="20"/>
  <c r="J177" i="20"/>
  <c r="J178" i="20"/>
  <c r="J179" i="20"/>
  <c r="J180" i="20"/>
  <c r="J181" i="20"/>
  <c r="J182" i="20"/>
  <c r="J183" i="20"/>
  <c r="J184" i="20"/>
  <c r="J185" i="20"/>
  <c r="J186" i="20"/>
  <c r="J187" i="20"/>
  <c r="J188" i="20"/>
  <c r="J189" i="20"/>
  <c r="J190" i="20"/>
  <c r="J191" i="20"/>
  <c r="J192" i="20"/>
  <c r="J193" i="20"/>
  <c r="J194" i="20"/>
  <c r="J195" i="20"/>
  <c r="J196" i="20"/>
  <c r="J197" i="20"/>
  <c r="J198" i="20"/>
  <c r="J199" i="20"/>
  <c r="J200" i="20"/>
  <c r="J201" i="20"/>
  <c r="J202" i="20"/>
  <c r="J203" i="20"/>
  <c r="J204" i="20"/>
  <c r="J205" i="20"/>
  <c r="J206" i="20"/>
  <c r="J207" i="20"/>
  <c r="J208" i="20"/>
  <c r="J209" i="20"/>
  <c r="J210" i="20"/>
  <c r="J211" i="20"/>
  <c r="J212" i="20"/>
  <c r="J213" i="20"/>
  <c r="J214" i="20"/>
  <c r="J215" i="20"/>
  <c r="J216" i="20"/>
  <c r="J217" i="20"/>
  <c r="J218" i="20"/>
  <c r="J219" i="20"/>
  <c r="J220" i="20"/>
  <c r="J221" i="20"/>
  <c r="J222" i="20"/>
  <c r="J223" i="20"/>
  <c r="J224" i="20"/>
  <c r="J225" i="20"/>
  <c r="J226" i="20"/>
  <c r="J227" i="20"/>
  <c r="J228" i="20"/>
  <c r="J229" i="20"/>
  <c r="J230" i="20"/>
  <c r="J231" i="20"/>
  <c r="J232" i="20"/>
  <c r="J233" i="20"/>
  <c r="J234" i="20"/>
  <c r="J235" i="20"/>
  <c r="J236" i="20"/>
  <c r="J237" i="20"/>
  <c r="J238" i="20"/>
  <c r="J239" i="20"/>
  <c r="J240" i="20"/>
  <c r="J241" i="20"/>
  <c r="J242" i="20"/>
  <c r="J243" i="20"/>
  <c r="J244" i="20"/>
  <c r="J245" i="20"/>
  <c r="J246" i="20"/>
  <c r="J247" i="20"/>
  <c r="J248" i="20"/>
  <c r="J249" i="20"/>
  <c r="J250" i="20"/>
  <c r="J251" i="20"/>
  <c r="J252" i="20"/>
  <c r="J253" i="20"/>
  <c r="J254" i="20"/>
  <c r="J255" i="20"/>
  <c r="J256" i="20"/>
  <c r="J257" i="20"/>
  <c r="J258" i="20"/>
  <c r="J259" i="20"/>
  <c r="J260" i="20"/>
  <c r="J261" i="20"/>
  <c r="J262" i="20"/>
  <c r="J263" i="20"/>
  <c r="J264" i="20"/>
  <c r="J265" i="20"/>
  <c r="J266" i="20"/>
  <c r="J267" i="20"/>
  <c r="J268" i="20"/>
  <c r="J269" i="20"/>
  <c r="J270" i="20"/>
  <c r="J271" i="20"/>
  <c r="J272" i="20"/>
  <c r="J273" i="20"/>
  <c r="J274" i="20"/>
  <c r="J275" i="20"/>
  <c r="J276" i="20"/>
  <c r="J277" i="20"/>
  <c r="J278" i="20"/>
  <c r="J279" i="20"/>
  <c r="J280" i="20"/>
  <c r="J281" i="20"/>
  <c r="J282" i="20"/>
  <c r="J283" i="20"/>
  <c r="J284" i="20"/>
  <c r="J285" i="20"/>
  <c r="J286" i="20"/>
  <c r="J287" i="20"/>
  <c r="J288" i="20"/>
  <c r="J289" i="20"/>
  <c r="J290" i="20"/>
  <c r="J291" i="20"/>
  <c r="J292" i="20"/>
  <c r="J293" i="20"/>
  <c r="J294" i="20"/>
  <c r="J295" i="20"/>
  <c r="J296" i="20"/>
  <c r="J297" i="20"/>
  <c r="J298" i="20"/>
  <c r="J299" i="20"/>
  <c r="J300" i="20"/>
  <c r="J301" i="20"/>
  <c r="J302" i="20"/>
  <c r="J303" i="20"/>
  <c r="J304" i="20"/>
  <c r="J305" i="20"/>
  <c r="J306" i="20"/>
  <c r="J307" i="20"/>
  <c r="J308" i="20"/>
  <c r="J309" i="20"/>
  <c r="J310" i="20"/>
  <c r="J311" i="20"/>
  <c r="J312" i="20"/>
  <c r="J313" i="20"/>
  <c r="J314" i="20"/>
  <c r="J315" i="20"/>
  <c r="J316" i="20"/>
  <c r="J317" i="20"/>
  <c r="J318" i="20"/>
  <c r="J319" i="20"/>
  <c r="J320" i="20"/>
  <c r="J321" i="20"/>
  <c r="J322" i="20"/>
  <c r="J323" i="20"/>
  <c r="J324" i="20"/>
  <c r="J325" i="20"/>
  <c r="J326" i="20"/>
  <c r="J327" i="20"/>
  <c r="J328" i="20"/>
  <c r="J329" i="20"/>
  <c r="J330" i="20"/>
  <c r="J331" i="20"/>
  <c r="J332" i="20"/>
  <c r="J333" i="20"/>
  <c r="J334" i="20"/>
  <c r="J335" i="20"/>
  <c r="J336" i="20"/>
  <c r="J337" i="20"/>
  <c r="J338" i="20"/>
  <c r="J339" i="20"/>
  <c r="J340" i="20"/>
  <c r="J341" i="20"/>
  <c r="J342" i="20"/>
  <c r="J343" i="20"/>
  <c r="J344" i="20"/>
  <c r="J345" i="20"/>
  <c r="J346" i="20"/>
  <c r="J347" i="20"/>
  <c r="J348" i="20"/>
  <c r="J349" i="20"/>
  <c r="J350" i="20"/>
  <c r="J351" i="20"/>
  <c r="J352" i="20"/>
  <c r="J353" i="20"/>
  <c r="J354" i="20"/>
  <c r="J355" i="20"/>
  <c r="J356" i="20"/>
  <c r="J357" i="20"/>
  <c r="J358" i="20"/>
  <c r="J359" i="20"/>
  <c r="J360" i="20"/>
  <c r="J361" i="20"/>
  <c r="J362" i="20"/>
  <c r="J363" i="20"/>
  <c r="J364" i="20"/>
  <c r="J365" i="20"/>
  <c r="J366" i="20"/>
  <c r="J367" i="20"/>
  <c r="J368" i="20"/>
  <c r="J369" i="20"/>
  <c r="J370" i="20"/>
  <c r="J371" i="20"/>
  <c r="J372" i="20"/>
  <c r="J373" i="20"/>
  <c r="J374" i="20"/>
  <c r="J375" i="20"/>
  <c r="J376" i="20"/>
  <c r="J377" i="20"/>
  <c r="J378" i="20"/>
  <c r="J379" i="20"/>
  <c r="J380" i="20"/>
  <c r="J381" i="20"/>
  <c r="J382" i="20"/>
  <c r="J383" i="20"/>
  <c r="J384" i="20"/>
  <c r="J385" i="20"/>
  <c r="J386" i="20"/>
  <c r="J387" i="20"/>
  <c r="J388" i="20"/>
  <c r="J389" i="20"/>
  <c r="J390" i="20"/>
  <c r="J391" i="20"/>
  <c r="J392" i="20"/>
  <c r="J393" i="20"/>
  <c r="J394" i="20"/>
  <c r="J395" i="20"/>
  <c r="J396" i="20"/>
  <c r="J397" i="20"/>
  <c r="J398" i="20"/>
  <c r="J399" i="20"/>
  <c r="J400" i="20"/>
  <c r="J401" i="20"/>
  <c r="J402" i="20"/>
  <c r="J403" i="20"/>
  <c r="J404" i="20"/>
  <c r="J405" i="20"/>
  <c r="J406" i="20"/>
  <c r="J407" i="20"/>
  <c r="J408" i="20"/>
  <c r="J409" i="20"/>
  <c r="J410" i="20"/>
  <c r="J411" i="20"/>
  <c r="J412" i="20"/>
  <c r="J413" i="20"/>
  <c r="J414" i="20"/>
  <c r="J415" i="20"/>
  <c r="J3" i="20"/>
  <c r="J4" i="20"/>
  <c r="J5" i="20"/>
  <c r="J6" i="20"/>
  <c r="J7" i="20"/>
  <c r="J8" i="20"/>
  <c r="J9" i="20"/>
  <c r="J10" i="20"/>
  <c r="J11" i="20"/>
  <c r="J12" i="20"/>
  <c r="J13" i="20"/>
  <c r="J14" i="20"/>
  <c r="J15" i="20"/>
  <c r="J2" i="20"/>
  <c r="G3" i="20"/>
  <c r="G4" i="20"/>
  <c r="G5" i="20"/>
  <c r="G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2" i="20"/>
  <c r="F3" i="20"/>
  <c r="F4" i="20"/>
  <c r="F5" i="20"/>
  <c r="F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2" i="20"/>
  <c r="E3" i="20"/>
  <c r="E4" i="20"/>
  <c r="E5" i="20"/>
  <c r="E6" i="20"/>
  <c r="E7" i="20"/>
  <c r="E8" i="20"/>
  <c r="E9" i="20"/>
  <c r="E10" i="20"/>
  <c r="E11" i="20"/>
  <c r="E12" i="20"/>
  <c r="E13" i="20"/>
  <c r="E14" i="20"/>
  <c r="E15" i="20"/>
  <c r="E16" i="20"/>
  <c r="E17" i="20"/>
  <c r="E18" i="20"/>
  <c r="E19" i="20"/>
  <c r="E20" i="20"/>
  <c r="E21" i="20"/>
  <c r="E22" i="20"/>
  <c r="E23" i="20"/>
  <c r="E25" i="20"/>
  <c r="E26" i="20"/>
  <c r="E27" i="20"/>
  <c r="E28" i="20"/>
  <c r="E29" i="20"/>
  <c r="E30" i="20"/>
  <c r="E31" i="20"/>
  <c r="E32" i="20"/>
  <c r="E33" i="20"/>
  <c r="E34" i="20"/>
  <c r="E36" i="20"/>
  <c r="E38" i="20"/>
  <c r="E39" i="20"/>
  <c r="E40" i="20"/>
  <c r="E42" i="20"/>
  <c r="E43" i="20"/>
  <c r="E45" i="20"/>
  <c r="E46" i="20"/>
  <c r="E47" i="20"/>
  <c r="E48" i="20"/>
  <c r="E50" i="20"/>
  <c r="E51" i="20"/>
  <c r="E52" i="20"/>
  <c r="E53" i="20"/>
  <c r="E54" i="20"/>
  <c r="E55" i="20"/>
  <c r="E56" i="20"/>
  <c r="E57" i="20"/>
  <c r="E58" i="20"/>
  <c r="E60" i="20"/>
  <c r="E61" i="20"/>
  <c r="E64" i="20"/>
  <c r="E65" i="20"/>
  <c r="E66" i="20"/>
  <c r="E67" i="20"/>
  <c r="E68" i="20"/>
  <c r="E70" i="20"/>
  <c r="E71" i="20"/>
  <c r="E72" i="20"/>
  <c r="E73" i="20"/>
  <c r="E76" i="20"/>
  <c r="E77" i="20"/>
  <c r="E79" i="20"/>
  <c r="E80" i="20"/>
  <c r="E81" i="20"/>
  <c r="E82" i="20"/>
  <c r="E83" i="20"/>
  <c r="E84" i="20"/>
  <c r="E86" i="20"/>
  <c r="E87" i="20"/>
  <c r="E88" i="20"/>
  <c r="E89" i="20"/>
  <c r="E90" i="20"/>
  <c r="E91" i="20"/>
  <c r="E92" i="20"/>
  <c r="E93" i="20"/>
  <c r="E94" i="20"/>
  <c r="E95" i="20"/>
  <c r="E98" i="20"/>
  <c r="E101" i="20"/>
  <c r="E102" i="20"/>
  <c r="E103" i="20"/>
  <c r="E104" i="20"/>
  <c r="E105" i="20"/>
  <c r="E106" i="20"/>
  <c r="E107" i="20"/>
  <c r="E108" i="20"/>
  <c r="E109" i="20"/>
  <c r="E110" i="20"/>
  <c r="E112" i="20"/>
  <c r="E113" i="20"/>
  <c r="E114" i="20"/>
  <c r="E116" i="20"/>
  <c r="E117" i="20"/>
  <c r="E119" i="20"/>
  <c r="E120" i="20"/>
  <c r="E123" i="20"/>
  <c r="E124" i="20"/>
  <c r="E125" i="20"/>
  <c r="E126" i="20"/>
  <c r="E127" i="20"/>
  <c r="E128" i="20"/>
  <c r="E130" i="20"/>
  <c r="E131" i="20"/>
  <c r="E133" i="20"/>
  <c r="E135" i="20"/>
  <c r="E136" i="20"/>
  <c r="E139" i="20"/>
  <c r="E141" i="20"/>
  <c r="E143" i="20"/>
  <c r="E144" i="20"/>
  <c r="E145" i="20"/>
  <c r="E146" i="20"/>
  <c r="E148" i="20"/>
  <c r="E150" i="20"/>
  <c r="E151" i="20"/>
  <c r="E152" i="20"/>
  <c r="E153" i="20"/>
  <c r="E154" i="20"/>
  <c r="E155" i="20"/>
  <c r="E156" i="20"/>
  <c r="E157" i="20"/>
  <c r="E158" i="20"/>
  <c r="E159" i="20"/>
  <c r="E160" i="20"/>
  <c r="E161" i="20"/>
  <c r="E162" i="20"/>
  <c r="E163" i="20"/>
  <c r="E164" i="20"/>
  <c r="E165" i="20"/>
  <c r="E168" i="20"/>
  <c r="E169" i="20"/>
  <c r="E170" i="20"/>
  <c r="E171" i="20"/>
  <c r="E172" i="20"/>
  <c r="E173" i="20"/>
  <c r="E175" i="20"/>
  <c r="E176" i="20"/>
  <c r="E177" i="20"/>
  <c r="E178" i="20"/>
  <c r="E179" i="20"/>
  <c r="E180" i="20"/>
  <c r="E181" i="20"/>
  <c r="E183" i="20"/>
  <c r="E185" i="20"/>
  <c r="E186" i="20"/>
  <c r="E187" i="20"/>
  <c r="E188" i="20"/>
  <c r="E194" i="20"/>
  <c r="E195" i="20"/>
  <c r="E196" i="20"/>
  <c r="E197" i="20"/>
  <c r="E198" i="20"/>
  <c r="E199" i="20"/>
  <c r="E200" i="20"/>
  <c r="E201" i="20"/>
  <c r="E202" i="20"/>
  <c r="E203" i="20"/>
  <c r="E204" i="20"/>
  <c r="E205" i="20"/>
  <c r="E206" i="20"/>
  <c r="E207" i="20"/>
  <c r="E208" i="20"/>
  <c r="E209" i="20"/>
  <c r="E211" i="20"/>
  <c r="E212" i="20"/>
  <c r="E213" i="20"/>
  <c r="E215" i="20"/>
  <c r="E216" i="20"/>
  <c r="E218" i="20"/>
  <c r="E219" i="20"/>
  <c r="E221" i="20"/>
  <c r="E222" i="20"/>
  <c r="E223" i="20"/>
  <c r="E225" i="20"/>
  <c r="E226" i="20"/>
  <c r="E227" i="20"/>
  <c r="E228" i="20"/>
  <c r="E229" i="20"/>
  <c r="E230" i="20"/>
  <c r="E231" i="20"/>
  <c r="E232" i="20"/>
  <c r="E233" i="20"/>
  <c r="E234" i="20"/>
  <c r="E235" i="20"/>
  <c r="E236" i="20"/>
  <c r="E237" i="20"/>
  <c r="E241" i="20"/>
  <c r="E243" i="20"/>
  <c r="E244" i="20"/>
  <c r="E245" i="20"/>
  <c r="E246" i="20"/>
  <c r="E247" i="20"/>
  <c r="E248" i="20"/>
  <c r="E249" i="20"/>
  <c r="E250" i="20"/>
  <c r="E251" i="20"/>
  <c r="E253" i="20"/>
  <c r="E255" i="20"/>
  <c r="E256" i="20"/>
  <c r="E258" i="20"/>
  <c r="E259" i="20"/>
  <c r="E260" i="20"/>
  <c r="E261" i="20"/>
  <c r="E262" i="20"/>
  <c r="E264" i="20"/>
  <c r="E265" i="20"/>
  <c r="E266" i="20"/>
  <c r="E267" i="20"/>
  <c r="E268" i="20"/>
  <c r="E269" i="20"/>
  <c r="E270" i="20"/>
  <c r="E271" i="20"/>
  <c r="E272" i="20"/>
  <c r="E273" i="20"/>
  <c r="E274" i="20"/>
  <c r="E275" i="20"/>
  <c r="E276" i="20"/>
  <c r="E277" i="20"/>
  <c r="E278" i="20"/>
  <c r="E279" i="20"/>
  <c r="E281" i="20"/>
  <c r="E282" i="20"/>
  <c r="E283" i="20"/>
  <c r="E284" i="20"/>
  <c r="E285" i="20"/>
  <c r="E286" i="20"/>
  <c r="E287" i="20"/>
  <c r="E288" i="20"/>
  <c r="E289" i="20"/>
  <c r="E290" i="20"/>
  <c r="E293" i="20"/>
  <c r="E294" i="20"/>
  <c r="E295" i="20"/>
  <c r="E296" i="20"/>
  <c r="E297" i="20"/>
  <c r="E300" i="20"/>
  <c r="E301" i="20"/>
  <c r="E303" i="20"/>
  <c r="E305" i="20"/>
  <c r="E306" i="20"/>
  <c r="E307" i="20"/>
  <c r="E310" i="20"/>
  <c r="E311" i="20"/>
  <c r="E312" i="20"/>
  <c r="E313" i="20"/>
  <c r="E315" i="20"/>
  <c r="E317" i="20"/>
  <c r="E318" i="20"/>
  <c r="E319" i="20"/>
  <c r="E321" i="20"/>
  <c r="E322" i="20"/>
  <c r="E323" i="20"/>
  <c r="E324" i="20"/>
  <c r="E325" i="20"/>
  <c r="E326" i="20"/>
  <c r="E328" i="20"/>
  <c r="E329" i="20"/>
  <c r="E330" i="20"/>
  <c r="E331" i="20"/>
  <c r="E332" i="20"/>
  <c r="E333" i="20"/>
  <c r="E334" i="20"/>
  <c r="E335" i="20"/>
  <c r="E336" i="20"/>
  <c r="E337" i="20"/>
  <c r="E338" i="20"/>
  <c r="E339" i="20"/>
  <c r="E341" i="20"/>
  <c r="E342" i="20"/>
  <c r="E345" i="20"/>
  <c r="E346" i="20"/>
  <c r="E348" i="20"/>
  <c r="E349" i="20"/>
  <c r="E350" i="20"/>
  <c r="E351" i="20"/>
  <c r="E352" i="20"/>
  <c r="E353" i="20"/>
  <c r="E354" i="20"/>
  <c r="E356" i="20"/>
  <c r="E358" i="20"/>
  <c r="E359" i="20"/>
  <c r="E360" i="20"/>
  <c r="E361" i="20"/>
  <c r="E362" i="20"/>
  <c r="E365" i="20"/>
  <c r="E366" i="20"/>
  <c r="E367" i="20"/>
  <c r="E368" i="20"/>
  <c r="E370" i="20"/>
  <c r="E371" i="20"/>
  <c r="E372" i="20"/>
  <c r="E373" i="20"/>
  <c r="E374" i="20"/>
  <c r="E375" i="20"/>
  <c r="E376" i="20"/>
  <c r="E377" i="20"/>
  <c r="E378" i="20"/>
  <c r="E379" i="20"/>
  <c r="E381" i="20"/>
  <c r="E382" i="20"/>
  <c r="E383" i="20"/>
  <c r="E384" i="20"/>
  <c r="E385" i="20"/>
  <c r="E386" i="20"/>
  <c r="E388" i="20"/>
  <c r="E389" i="20"/>
  <c r="E390" i="20"/>
  <c r="E391" i="20"/>
  <c r="E392" i="20"/>
  <c r="E393" i="20"/>
  <c r="E394" i="20"/>
  <c r="E395" i="20"/>
  <c r="E397" i="20"/>
  <c r="E398" i="20"/>
  <c r="E399" i="20"/>
  <c r="E400" i="20"/>
  <c r="E401" i="20"/>
  <c r="E403" i="20"/>
  <c r="E404" i="20"/>
  <c r="E405" i="20"/>
  <c r="E406" i="20"/>
  <c r="E407" i="20"/>
  <c r="E408" i="20"/>
  <c r="E409" i="20"/>
  <c r="E410" i="20"/>
  <c r="E411" i="20"/>
  <c r="E412" i="20"/>
  <c r="E413" i="20"/>
  <c r="E2" i="20"/>
  <c r="D3" i="20"/>
  <c r="D4" i="20"/>
  <c r="D5" i="20"/>
  <c r="D6" i="20"/>
  <c r="D7" i="20"/>
  <c r="D8" i="20"/>
  <c r="D9" i="20"/>
  <c r="D10" i="20"/>
  <c r="D11" i="20"/>
  <c r="D12" i="20"/>
  <c r="D13" i="20"/>
  <c r="D14" i="20"/>
  <c r="D15"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2" i="20"/>
  <c r="C335" i="18"/>
  <c r="D335" i="18"/>
  <c r="E335" i="18"/>
  <c r="F335" i="18"/>
  <c r="G335" i="18"/>
  <c r="H335" i="18"/>
  <c r="I335" i="18"/>
  <c r="J335" i="18"/>
  <c r="K335" i="18"/>
  <c r="L335" i="18"/>
  <c r="M335" i="18"/>
  <c r="N335" i="18"/>
  <c r="O335" i="18"/>
  <c r="P335" i="18"/>
  <c r="Q335" i="18"/>
  <c r="R335" i="18"/>
  <c r="S335" i="18"/>
  <c r="T335" i="18"/>
  <c r="U335" i="18"/>
  <c r="V335" i="18"/>
  <c r="W335" i="18"/>
  <c r="X335" i="18"/>
  <c r="AV335" i="18" s="1"/>
  <c r="Y335" i="18"/>
  <c r="BD335" i="18" s="1"/>
  <c r="Z335" i="18"/>
  <c r="AA335" i="18"/>
  <c r="AB335" i="18"/>
  <c r="AC335" i="18"/>
  <c r="AD335" i="18"/>
  <c r="AE335" i="18"/>
  <c r="AF335" i="18"/>
  <c r="AM335" i="18"/>
  <c r="AP335" i="18"/>
  <c r="AQ335" i="18"/>
  <c r="BH335" i="18"/>
  <c r="BI335" i="18"/>
  <c r="BK335" i="18"/>
  <c r="BK3" i="18"/>
  <c r="BK4" i="18"/>
  <c r="BK5" i="18"/>
  <c r="BK6" i="18"/>
  <c r="BK7" i="18"/>
  <c r="BK8" i="18"/>
  <c r="BK9" i="18"/>
  <c r="BK10" i="18"/>
  <c r="BK11" i="18"/>
  <c r="BK12" i="18"/>
  <c r="BK13" i="18"/>
  <c r="BK14" i="18"/>
  <c r="BK15" i="18"/>
  <c r="BK16" i="18"/>
  <c r="BK17" i="18"/>
  <c r="BK18" i="18"/>
  <c r="BK19" i="18"/>
  <c r="BK20" i="18"/>
  <c r="BK21" i="18"/>
  <c r="BK22" i="18"/>
  <c r="BK23" i="18"/>
  <c r="BK24" i="18"/>
  <c r="BK25" i="18"/>
  <c r="BK26" i="18"/>
  <c r="BK27" i="18"/>
  <c r="BK28" i="18"/>
  <c r="BK29" i="18"/>
  <c r="BK30" i="18"/>
  <c r="BK31" i="18"/>
  <c r="BK32" i="18"/>
  <c r="BK33" i="18"/>
  <c r="BK34" i="18"/>
  <c r="BK35" i="18"/>
  <c r="BK36" i="18"/>
  <c r="BK37" i="18"/>
  <c r="BK38" i="18"/>
  <c r="BK39" i="18"/>
  <c r="BK40" i="18"/>
  <c r="BK41" i="18"/>
  <c r="BK42" i="18"/>
  <c r="BK43" i="18"/>
  <c r="BK44" i="18"/>
  <c r="BK45" i="18"/>
  <c r="BK46" i="18"/>
  <c r="BK47" i="18"/>
  <c r="BK48" i="18"/>
  <c r="BK49" i="18"/>
  <c r="BK50" i="18"/>
  <c r="BK51" i="18"/>
  <c r="BK52" i="18"/>
  <c r="BK53" i="18"/>
  <c r="BK54" i="18"/>
  <c r="BK55" i="18"/>
  <c r="BK56" i="18"/>
  <c r="BK57" i="18"/>
  <c r="BK58" i="18"/>
  <c r="BK59" i="18"/>
  <c r="BK60" i="18"/>
  <c r="BK61" i="18"/>
  <c r="BK62" i="18"/>
  <c r="BK63" i="18"/>
  <c r="BK64" i="18"/>
  <c r="BK65" i="18"/>
  <c r="BK66" i="18"/>
  <c r="BK67" i="18"/>
  <c r="BK68" i="18"/>
  <c r="BK69" i="18"/>
  <c r="BK70" i="18"/>
  <c r="BK71" i="18"/>
  <c r="BK72" i="18"/>
  <c r="BK73" i="18"/>
  <c r="BK74" i="18"/>
  <c r="BK75" i="18"/>
  <c r="BK76" i="18"/>
  <c r="BK77" i="18"/>
  <c r="BK78" i="18"/>
  <c r="BK79" i="18"/>
  <c r="BK80" i="18"/>
  <c r="BK81" i="18"/>
  <c r="BK82" i="18"/>
  <c r="BK83" i="18"/>
  <c r="BK84" i="18"/>
  <c r="BK85" i="18"/>
  <c r="BK86" i="18"/>
  <c r="BK87" i="18"/>
  <c r="BK88" i="18"/>
  <c r="BK89" i="18"/>
  <c r="BK90" i="18"/>
  <c r="BK91" i="18"/>
  <c r="BK92" i="18"/>
  <c r="BK93" i="18"/>
  <c r="BK94" i="18"/>
  <c r="BK95" i="18"/>
  <c r="BK96" i="18"/>
  <c r="BK97" i="18"/>
  <c r="BK98" i="18"/>
  <c r="BK99" i="18"/>
  <c r="BK100" i="18"/>
  <c r="BK101" i="18"/>
  <c r="BK102" i="18"/>
  <c r="BK103" i="18"/>
  <c r="BK104" i="18"/>
  <c r="BK105" i="18"/>
  <c r="BK106" i="18"/>
  <c r="BK107" i="18"/>
  <c r="BK108" i="18"/>
  <c r="BK109" i="18"/>
  <c r="BK110" i="18"/>
  <c r="BK111" i="18"/>
  <c r="BK112" i="18"/>
  <c r="BK113" i="18"/>
  <c r="BK114" i="18"/>
  <c r="BK115" i="18"/>
  <c r="BK116" i="18"/>
  <c r="BK117" i="18"/>
  <c r="BK118" i="18"/>
  <c r="BK119" i="18"/>
  <c r="BK120" i="18"/>
  <c r="BK121" i="18"/>
  <c r="BK122" i="18"/>
  <c r="BK123" i="18"/>
  <c r="BK124" i="18"/>
  <c r="BK125" i="18"/>
  <c r="BK126" i="18"/>
  <c r="BK127" i="18"/>
  <c r="BK128" i="18"/>
  <c r="BK129" i="18"/>
  <c r="BK130" i="18"/>
  <c r="BK131" i="18"/>
  <c r="BK132" i="18"/>
  <c r="BK133" i="18"/>
  <c r="BK134" i="18"/>
  <c r="BK135" i="18"/>
  <c r="BK136" i="18"/>
  <c r="BK137" i="18"/>
  <c r="BK138" i="18"/>
  <c r="BK139" i="18"/>
  <c r="BK140" i="18"/>
  <c r="BK141" i="18"/>
  <c r="BK142" i="18"/>
  <c r="BK143" i="18"/>
  <c r="BK144" i="18"/>
  <c r="BK145" i="18"/>
  <c r="BK146" i="18"/>
  <c r="BK147" i="18"/>
  <c r="BK148" i="18"/>
  <c r="BK149" i="18"/>
  <c r="BK150" i="18"/>
  <c r="BK151" i="18"/>
  <c r="BK152" i="18"/>
  <c r="BK153" i="18"/>
  <c r="BK154" i="18"/>
  <c r="BK155" i="18"/>
  <c r="BK156" i="18"/>
  <c r="BK157" i="18"/>
  <c r="BK158" i="18"/>
  <c r="BK159" i="18"/>
  <c r="BK160" i="18"/>
  <c r="BK161" i="18"/>
  <c r="BK162" i="18"/>
  <c r="BK163" i="18"/>
  <c r="BK164" i="18"/>
  <c r="BK165" i="18"/>
  <c r="BK166" i="18"/>
  <c r="BK167" i="18"/>
  <c r="BK168" i="18"/>
  <c r="BK169" i="18"/>
  <c r="BK170" i="18"/>
  <c r="BK171" i="18"/>
  <c r="BK172" i="18"/>
  <c r="BK173" i="18"/>
  <c r="BK174" i="18"/>
  <c r="BK175" i="18"/>
  <c r="BK176" i="18"/>
  <c r="BK177" i="18"/>
  <c r="BK178" i="18"/>
  <c r="BK179" i="18"/>
  <c r="BK180" i="18"/>
  <c r="BK181" i="18"/>
  <c r="BK182" i="18"/>
  <c r="BK183" i="18"/>
  <c r="BK184" i="18"/>
  <c r="BK185" i="18"/>
  <c r="BK186" i="18"/>
  <c r="BK187" i="18"/>
  <c r="BK188" i="18"/>
  <c r="BK189" i="18"/>
  <c r="BK190" i="18"/>
  <c r="BK191" i="18"/>
  <c r="BK192" i="18"/>
  <c r="BK193" i="18"/>
  <c r="BK194" i="18"/>
  <c r="BK195" i="18"/>
  <c r="BK196" i="18"/>
  <c r="BK197" i="18"/>
  <c r="BK198" i="18"/>
  <c r="BK199" i="18"/>
  <c r="BK200" i="18"/>
  <c r="BK201" i="18"/>
  <c r="BK202" i="18"/>
  <c r="BK203" i="18"/>
  <c r="BK204" i="18"/>
  <c r="BK205" i="18"/>
  <c r="BK206" i="18"/>
  <c r="BK207" i="18"/>
  <c r="BK208" i="18"/>
  <c r="BK209" i="18"/>
  <c r="BK210" i="18"/>
  <c r="BK211" i="18"/>
  <c r="BK212" i="18"/>
  <c r="BK213" i="18"/>
  <c r="BK214" i="18"/>
  <c r="BK215" i="18"/>
  <c r="BK216" i="18"/>
  <c r="BK217" i="18"/>
  <c r="BK218" i="18"/>
  <c r="BK219" i="18"/>
  <c r="BK220" i="18"/>
  <c r="BK221" i="18"/>
  <c r="BK222" i="18"/>
  <c r="BK223" i="18"/>
  <c r="BK224" i="18"/>
  <c r="BK225" i="18"/>
  <c r="BK226" i="18"/>
  <c r="BK227" i="18"/>
  <c r="BK228" i="18"/>
  <c r="BK229" i="18"/>
  <c r="BK230" i="18"/>
  <c r="BK231" i="18"/>
  <c r="BK232" i="18"/>
  <c r="BK233" i="18"/>
  <c r="BK234" i="18"/>
  <c r="BK235" i="18"/>
  <c r="BK236" i="18"/>
  <c r="BK237" i="18"/>
  <c r="BK238" i="18"/>
  <c r="BK239" i="18"/>
  <c r="BK240" i="18"/>
  <c r="BK241" i="18"/>
  <c r="BK242" i="18"/>
  <c r="BK243" i="18"/>
  <c r="BK244" i="18"/>
  <c r="BK245" i="18"/>
  <c r="BK246" i="18"/>
  <c r="BK247" i="18"/>
  <c r="BK248" i="18"/>
  <c r="BK249" i="18"/>
  <c r="BK250" i="18"/>
  <c r="BK251" i="18"/>
  <c r="BK252" i="18"/>
  <c r="BK253" i="18"/>
  <c r="BK254" i="18"/>
  <c r="BK255" i="18"/>
  <c r="BK256" i="18"/>
  <c r="BK257" i="18"/>
  <c r="BK258" i="18"/>
  <c r="BK259" i="18"/>
  <c r="BK260" i="18"/>
  <c r="BK261" i="18"/>
  <c r="BK262" i="18"/>
  <c r="BK263" i="18"/>
  <c r="BK264" i="18"/>
  <c r="BK265" i="18"/>
  <c r="BK266" i="18"/>
  <c r="BK267" i="18"/>
  <c r="BK268" i="18"/>
  <c r="BK269" i="18"/>
  <c r="BK270" i="18"/>
  <c r="BK271" i="18"/>
  <c r="BK272" i="18"/>
  <c r="BK273" i="18"/>
  <c r="BK274" i="18"/>
  <c r="BK275" i="18"/>
  <c r="BK276" i="18"/>
  <c r="BK277" i="18"/>
  <c r="BK278" i="18"/>
  <c r="BK279" i="18"/>
  <c r="BK280" i="18"/>
  <c r="BK281" i="18"/>
  <c r="BK283" i="18"/>
  <c r="BK284" i="18"/>
  <c r="BK285" i="18"/>
  <c r="BK286" i="18"/>
  <c r="BK287" i="18"/>
  <c r="BK288" i="18"/>
  <c r="BK289" i="18"/>
  <c r="BK290" i="18"/>
  <c r="BK291" i="18"/>
  <c r="BK292" i="18"/>
  <c r="BK293" i="18"/>
  <c r="BK294" i="18"/>
  <c r="BK295" i="18"/>
  <c r="BK296" i="18"/>
  <c r="BK297" i="18"/>
  <c r="BK298" i="18"/>
  <c r="BK299" i="18"/>
  <c r="BK300" i="18"/>
  <c r="BK301" i="18"/>
  <c r="BK302" i="18"/>
  <c r="BK303" i="18"/>
  <c r="BK304" i="18"/>
  <c r="BK305" i="18"/>
  <c r="BK306" i="18"/>
  <c r="BK307" i="18"/>
  <c r="BK308" i="18"/>
  <c r="BK309" i="18"/>
  <c r="BK310" i="18"/>
  <c r="BK311" i="18"/>
  <c r="BK312" i="18"/>
  <c r="BK313" i="18"/>
  <c r="BK314" i="18"/>
  <c r="BK315" i="18"/>
  <c r="BK316" i="18"/>
  <c r="BK317" i="18"/>
  <c r="BK318" i="18"/>
  <c r="BK319" i="18"/>
  <c r="BK320" i="18"/>
  <c r="BK321" i="18"/>
  <c r="BK322" i="18"/>
  <c r="BK323" i="18"/>
  <c r="BK324" i="18"/>
  <c r="BK325" i="18"/>
  <c r="BK326" i="18"/>
  <c r="BK327" i="18"/>
  <c r="BK328" i="18"/>
  <c r="BK329" i="18"/>
  <c r="BK330" i="18"/>
  <c r="BK331" i="18"/>
  <c r="BK332" i="18"/>
  <c r="BK333" i="18"/>
  <c r="BK334" i="18"/>
  <c r="BK336" i="18"/>
  <c r="BK337" i="18"/>
  <c r="BK338" i="18"/>
  <c r="BK339" i="18"/>
  <c r="BK340" i="18"/>
  <c r="BK341" i="18"/>
  <c r="BK342" i="18"/>
  <c r="BK343" i="18"/>
  <c r="BK344" i="18"/>
  <c r="BK345" i="18"/>
  <c r="BK346" i="18"/>
  <c r="BK347" i="18"/>
  <c r="BK348" i="18"/>
  <c r="BK349" i="18"/>
  <c r="BK350" i="18"/>
  <c r="BK351" i="18"/>
  <c r="BK352" i="18"/>
  <c r="BK353" i="18"/>
  <c r="BK354" i="18"/>
  <c r="BK355" i="18"/>
  <c r="BK356" i="18"/>
  <c r="BK357" i="18"/>
  <c r="BK358" i="18"/>
  <c r="BK359" i="18"/>
  <c r="BK360" i="18"/>
  <c r="BK361" i="18"/>
  <c r="BK362" i="18"/>
  <c r="BK363" i="18"/>
  <c r="BK364" i="18"/>
  <c r="BK365" i="18"/>
  <c r="BK366" i="18"/>
  <c r="BK367" i="18"/>
  <c r="BK368" i="18"/>
  <c r="BK369" i="18"/>
  <c r="BK370" i="18"/>
  <c r="BK371" i="18"/>
  <c r="BK372" i="18"/>
  <c r="BK373" i="18"/>
  <c r="BK374" i="18"/>
  <c r="BK375" i="18"/>
  <c r="BK376" i="18"/>
  <c r="BK377" i="18"/>
  <c r="BK378" i="18"/>
  <c r="BK379" i="18"/>
  <c r="BK380" i="18"/>
  <c r="BK381" i="18"/>
  <c r="BK382" i="18"/>
  <c r="BK383" i="18"/>
  <c r="BK385" i="18"/>
  <c r="BK386" i="18"/>
  <c r="BK387" i="18"/>
  <c r="BK388" i="18"/>
  <c r="BK389" i="18"/>
  <c r="BK390" i="18"/>
  <c r="BK391" i="18"/>
  <c r="BK392" i="18"/>
  <c r="BK393" i="18"/>
  <c r="BK394" i="18"/>
  <c r="BK395" i="18"/>
  <c r="BK396" i="18"/>
  <c r="BK397" i="18"/>
  <c r="BK398" i="18"/>
  <c r="BK399" i="18"/>
  <c r="BK400" i="18"/>
  <c r="BK401" i="18"/>
  <c r="BK402" i="18"/>
  <c r="BK403" i="18"/>
  <c r="BK404" i="18"/>
  <c r="BK405" i="18"/>
  <c r="BK406" i="18"/>
  <c r="BK407" i="18"/>
  <c r="BK2" i="18"/>
  <c r="BI3" i="18"/>
  <c r="BI4" i="18"/>
  <c r="BI5" i="18"/>
  <c r="BI6" i="18"/>
  <c r="BI7" i="18"/>
  <c r="BI8" i="18"/>
  <c r="BI9" i="18"/>
  <c r="BI10" i="18"/>
  <c r="BI11" i="18"/>
  <c r="BI12" i="18"/>
  <c r="BI13" i="18"/>
  <c r="BI14" i="18"/>
  <c r="BI15" i="18"/>
  <c r="BI16" i="18"/>
  <c r="BI17" i="18"/>
  <c r="BI18" i="18"/>
  <c r="BI19" i="18"/>
  <c r="BI20" i="18"/>
  <c r="BI21" i="18"/>
  <c r="BI22" i="18"/>
  <c r="BI23" i="18"/>
  <c r="BI24" i="18"/>
  <c r="BI25" i="18"/>
  <c r="BI26" i="18"/>
  <c r="BI27" i="18"/>
  <c r="BI28" i="18"/>
  <c r="BI29" i="18"/>
  <c r="BI30" i="18"/>
  <c r="BI31" i="18"/>
  <c r="BI32" i="18"/>
  <c r="BI33" i="18"/>
  <c r="BI34" i="18"/>
  <c r="BI35" i="18"/>
  <c r="BI36" i="18"/>
  <c r="BI37" i="18"/>
  <c r="BI38" i="18"/>
  <c r="BI39" i="18"/>
  <c r="BI40" i="18"/>
  <c r="BI41" i="18"/>
  <c r="BI42" i="18"/>
  <c r="BI43" i="18"/>
  <c r="BI44" i="18"/>
  <c r="BI45" i="18"/>
  <c r="BI46" i="18"/>
  <c r="BI47" i="18"/>
  <c r="BI48" i="18"/>
  <c r="BI49" i="18"/>
  <c r="BI50" i="18"/>
  <c r="BI51" i="18"/>
  <c r="BI52" i="18"/>
  <c r="BI53" i="18"/>
  <c r="BI54" i="18"/>
  <c r="BI55" i="18"/>
  <c r="BI56" i="18"/>
  <c r="BI57" i="18"/>
  <c r="BI58" i="18"/>
  <c r="BI59" i="18"/>
  <c r="BI60" i="18"/>
  <c r="BI61" i="18"/>
  <c r="BI62" i="18"/>
  <c r="BI63" i="18"/>
  <c r="BI64" i="18"/>
  <c r="BI65" i="18"/>
  <c r="BI66" i="18"/>
  <c r="BI67" i="18"/>
  <c r="BI68" i="18"/>
  <c r="BI69" i="18"/>
  <c r="BI70" i="18"/>
  <c r="BI71" i="18"/>
  <c r="BI72" i="18"/>
  <c r="BI73" i="18"/>
  <c r="BI74" i="18"/>
  <c r="BI75" i="18"/>
  <c r="BI76" i="18"/>
  <c r="BI77" i="18"/>
  <c r="BI78" i="18"/>
  <c r="BI79" i="18"/>
  <c r="BI80" i="18"/>
  <c r="BI81" i="18"/>
  <c r="BI82" i="18"/>
  <c r="BI83" i="18"/>
  <c r="BI84" i="18"/>
  <c r="BI85" i="18"/>
  <c r="BI86" i="18"/>
  <c r="BI87" i="18"/>
  <c r="BI88" i="18"/>
  <c r="BI89" i="18"/>
  <c r="BI90" i="18"/>
  <c r="BI91" i="18"/>
  <c r="BI92" i="18"/>
  <c r="BI93" i="18"/>
  <c r="BI94" i="18"/>
  <c r="BI95" i="18"/>
  <c r="BI96" i="18"/>
  <c r="BI97" i="18"/>
  <c r="BI98" i="18"/>
  <c r="BI99" i="18"/>
  <c r="BI100" i="18"/>
  <c r="BI101" i="18"/>
  <c r="BI102" i="18"/>
  <c r="BI103" i="18"/>
  <c r="BI104" i="18"/>
  <c r="BI105" i="18"/>
  <c r="BI106" i="18"/>
  <c r="BI107" i="18"/>
  <c r="BI108" i="18"/>
  <c r="BI109" i="18"/>
  <c r="BI110" i="18"/>
  <c r="BI111" i="18"/>
  <c r="BI112" i="18"/>
  <c r="BI113" i="18"/>
  <c r="BI114" i="18"/>
  <c r="BI115" i="18"/>
  <c r="BI116" i="18"/>
  <c r="BI117" i="18"/>
  <c r="BI118" i="18"/>
  <c r="BI119" i="18"/>
  <c r="BI120" i="18"/>
  <c r="BI121" i="18"/>
  <c r="BI122" i="18"/>
  <c r="BI123" i="18"/>
  <c r="BI124" i="18"/>
  <c r="BI125" i="18"/>
  <c r="BI126" i="18"/>
  <c r="BI127" i="18"/>
  <c r="BI128" i="18"/>
  <c r="BI129" i="18"/>
  <c r="BI130" i="18"/>
  <c r="BI131" i="18"/>
  <c r="BI132" i="18"/>
  <c r="BI133" i="18"/>
  <c r="BI134" i="18"/>
  <c r="BI135" i="18"/>
  <c r="BI136" i="18"/>
  <c r="BI137" i="18"/>
  <c r="BI138" i="18"/>
  <c r="BI139" i="18"/>
  <c r="BI140" i="18"/>
  <c r="BI141" i="18"/>
  <c r="BI142" i="18"/>
  <c r="BI143" i="18"/>
  <c r="BI144" i="18"/>
  <c r="BI145" i="18"/>
  <c r="BI146" i="18"/>
  <c r="BI147" i="18"/>
  <c r="BI148" i="18"/>
  <c r="BI149" i="18"/>
  <c r="BI150" i="18"/>
  <c r="BI151" i="18"/>
  <c r="BI152" i="18"/>
  <c r="BI153" i="18"/>
  <c r="BI154" i="18"/>
  <c r="BI155" i="18"/>
  <c r="BI156" i="18"/>
  <c r="BI157" i="18"/>
  <c r="BI158" i="18"/>
  <c r="BI159" i="18"/>
  <c r="BI160" i="18"/>
  <c r="BI161" i="18"/>
  <c r="BI162" i="18"/>
  <c r="BI163" i="18"/>
  <c r="BI164" i="18"/>
  <c r="BI165" i="18"/>
  <c r="BI166" i="18"/>
  <c r="BI167" i="18"/>
  <c r="BI168" i="18"/>
  <c r="BI169" i="18"/>
  <c r="BI170" i="18"/>
  <c r="BI171" i="18"/>
  <c r="BI172" i="18"/>
  <c r="BI173" i="18"/>
  <c r="BI174" i="18"/>
  <c r="BI175" i="18"/>
  <c r="BI176" i="18"/>
  <c r="BI177" i="18"/>
  <c r="BI178" i="18"/>
  <c r="BI179" i="18"/>
  <c r="BI180" i="18"/>
  <c r="BI181" i="18"/>
  <c r="BI182" i="18"/>
  <c r="BI183" i="18"/>
  <c r="BI184" i="18"/>
  <c r="BI185" i="18"/>
  <c r="BI186" i="18"/>
  <c r="BI187" i="18"/>
  <c r="BI188" i="18"/>
  <c r="BI189" i="18"/>
  <c r="BI190" i="18"/>
  <c r="BI191" i="18"/>
  <c r="BI192" i="18"/>
  <c r="BI193" i="18"/>
  <c r="BI194" i="18"/>
  <c r="BI195" i="18"/>
  <c r="BI196" i="18"/>
  <c r="BI197" i="18"/>
  <c r="BI198" i="18"/>
  <c r="BI199" i="18"/>
  <c r="BI200" i="18"/>
  <c r="BI201" i="18"/>
  <c r="BI202" i="18"/>
  <c r="BI203" i="18"/>
  <c r="BI204" i="18"/>
  <c r="BI205" i="18"/>
  <c r="BI206" i="18"/>
  <c r="BI207" i="18"/>
  <c r="BI208" i="18"/>
  <c r="BI209" i="18"/>
  <c r="BI210" i="18"/>
  <c r="BI211" i="18"/>
  <c r="BI212" i="18"/>
  <c r="BI213" i="18"/>
  <c r="BI214" i="18"/>
  <c r="BI215" i="18"/>
  <c r="BI216" i="18"/>
  <c r="BI217" i="18"/>
  <c r="BI218" i="18"/>
  <c r="BI219" i="18"/>
  <c r="BI220" i="18"/>
  <c r="BI221" i="18"/>
  <c r="BI222" i="18"/>
  <c r="BI223" i="18"/>
  <c r="BI224" i="18"/>
  <c r="BI225" i="18"/>
  <c r="BI226" i="18"/>
  <c r="BI227" i="18"/>
  <c r="BI228" i="18"/>
  <c r="BI229" i="18"/>
  <c r="BI230" i="18"/>
  <c r="BI231" i="18"/>
  <c r="BI232" i="18"/>
  <c r="BI233" i="18"/>
  <c r="BI234" i="18"/>
  <c r="BI235" i="18"/>
  <c r="BI236" i="18"/>
  <c r="BI237" i="18"/>
  <c r="BI238" i="18"/>
  <c r="BI239" i="18"/>
  <c r="BI240" i="18"/>
  <c r="BI241" i="18"/>
  <c r="BI242" i="18"/>
  <c r="BI243" i="18"/>
  <c r="BI244" i="18"/>
  <c r="BI245" i="18"/>
  <c r="BI246" i="18"/>
  <c r="BI247" i="18"/>
  <c r="BI248" i="18"/>
  <c r="BI249" i="18"/>
  <c r="BI250" i="18"/>
  <c r="BI251" i="18"/>
  <c r="BI252" i="18"/>
  <c r="BI253" i="18"/>
  <c r="BI254" i="18"/>
  <c r="BI255" i="18"/>
  <c r="BI256" i="18"/>
  <c r="BI257" i="18"/>
  <c r="BI258" i="18"/>
  <c r="BI259" i="18"/>
  <c r="BI260" i="18"/>
  <c r="BI261" i="18"/>
  <c r="BI262" i="18"/>
  <c r="BI263" i="18"/>
  <c r="BI264" i="18"/>
  <c r="BI265" i="18"/>
  <c r="BI266" i="18"/>
  <c r="BI267" i="18"/>
  <c r="BI268" i="18"/>
  <c r="BI269" i="18"/>
  <c r="BI270" i="18"/>
  <c r="BI271" i="18"/>
  <c r="BI272" i="18"/>
  <c r="BI273" i="18"/>
  <c r="BI274" i="18"/>
  <c r="BI275" i="18"/>
  <c r="BI276" i="18"/>
  <c r="BI277" i="18"/>
  <c r="BI278" i="18"/>
  <c r="BI279" i="18"/>
  <c r="BI280" i="18"/>
  <c r="BI281" i="18"/>
  <c r="BI283" i="18"/>
  <c r="BI284" i="18"/>
  <c r="BI285" i="18"/>
  <c r="BI286" i="18"/>
  <c r="BI287" i="18"/>
  <c r="BI288" i="18"/>
  <c r="BI289" i="18"/>
  <c r="BI290" i="18"/>
  <c r="BI291" i="18"/>
  <c r="BI292" i="18"/>
  <c r="BI293" i="18"/>
  <c r="BI294" i="18"/>
  <c r="BI295" i="18"/>
  <c r="BI296" i="18"/>
  <c r="BI297" i="18"/>
  <c r="BI298" i="18"/>
  <c r="BI299" i="18"/>
  <c r="BI300" i="18"/>
  <c r="BI301" i="18"/>
  <c r="BI302" i="18"/>
  <c r="BI303" i="18"/>
  <c r="BI304" i="18"/>
  <c r="BI305" i="18"/>
  <c r="BI306" i="18"/>
  <c r="BI307" i="18"/>
  <c r="BI308" i="18"/>
  <c r="BI309" i="18"/>
  <c r="BI310" i="18"/>
  <c r="BI311" i="18"/>
  <c r="BI312" i="18"/>
  <c r="BI313" i="18"/>
  <c r="BI314" i="18"/>
  <c r="BI315" i="18"/>
  <c r="BI316" i="18"/>
  <c r="BI317" i="18"/>
  <c r="BI318" i="18"/>
  <c r="BI319" i="18"/>
  <c r="BI320" i="18"/>
  <c r="BI321" i="18"/>
  <c r="BI322" i="18"/>
  <c r="BI323" i="18"/>
  <c r="BI324" i="18"/>
  <c r="BI325" i="18"/>
  <c r="BI326" i="18"/>
  <c r="BI327" i="18"/>
  <c r="BI328" i="18"/>
  <c r="BI329" i="18"/>
  <c r="BI330" i="18"/>
  <c r="BI331" i="18"/>
  <c r="BI332" i="18"/>
  <c r="BI333" i="18"/>
  <c r="BI334" i="18"/>
  <c r="BI336" i="18"/>
  <c r="BI337" i="18"/>
  <c r="BI338" i="18"/>
  <c r="BI339" i="18"/>
  <c r="BI340" i="18"/>
  <c r="BI341" i="18"/>
  <c r="BI342" i="18"/>
  <c r="BI343" i="18"/>
  <c r="BI344" i="18"/>
  <c r="BI345" i="18"/>
  <c r="BI346" i="18"/>
  <c r="BI347" i="18"/>
  <c r="BI348" i="18"/>
  <c r="BI349" i="18"/>
  <c r="BI350" i="18"/>
  <c r="BI351" i="18"/>
  <c r="BI352" i="18"/>
  <c r="BI353" i="18"/>
  <c r="BI354" i="18"/>
  <c r="BI355" i="18"/>
  <c r="BI356" i="18"/>
  <c r="BI357" i="18"/>
  <c r="BI358" i="18"/>
  <c r="BI359" i="18"/>
  <c r="BI360" i="18"/>
  <c r="BI361" i="18"/>
  <c r="BI362" i="18"/>
  <c r="BI363" i="18"/>
  <c r="BI364" i="18"/>
  <c r="BI365" i="18"/>
  <c r="BI366" i="18"/>
  <c r="BI367" i="18"/>
  <c r="BI368" i="18"/>
  <c r="BI369" i="18"/>
  <c r="BI370" i="18"/>
  <c r="BI371" i="18"/>
  <c r="BI372" i="18"/>
  <c r="BI373" i="18"/>
  <c r="BI374" i="18"/>
  <c r="BI375" i="18"/>
  <c r="BI376" i="18"/>
  <c r="BI377" i="18"/>
  <c r="BI378" i="18"/>
  <c r="BI379" i="18"/>
  <c r="BI380" i="18"/>
  <c r="BI381" i="18"/>
  <c r="BI382" i="18"/>
  <c r="BI383" i="18"/>
  <c r="BI385" i="18"/>
  <c r="BI386" i="18"/>
  <c r="BI387" i="18"/>
  <c r="BI388" i="18"/>
  <c r="BI389" i="18"/>
  <c r="BI390" i="18"/>
  <c r="BI391" i="18"/>
  <c r="BI392" i="18"/>
  <c r="BI393" i="18"/>
  <c r="BI394" i="18"/>
  <c r="BI395" i="18"/>
  <c r="BI396" i="18"/>
  <c r="BI397" i="18"/>
  <c r="BI398" i="18"/>
  <c r="BI399" i="18"/>
  <c r="BI400" i="18"/>
  <c r="BI401" i="18"/>
  <c r="BI402" i="18"/>
  <c r="BI403" i="18"/>
  <c r="BI404" i="18"/>
  <c r="BI405" i="18"/>
  <c r="BI406" i="18"/>
  <c r="BI407" i="18"/>
  <c r="BI2" i="18"/>
  <c r="BH3" i="18"/>
  <c r="BH4" i="18"/>
  <c r="BH5" i="18"/>
  <c r="BH6" i="18"/>
  <c r="BH7" i="18"/>
  <c r="BH8" i="18"/>
  <c r="BH9" i="18"/>
  <c r="BH10" i="18"/>
  <c r="BH11" i="18"/>
  <c r="BH12" i="18"/>
  <c r="BH13" i="18"/>
  <c r="BH14" i="18"/>
  <c r="BH15" i="18"/>
  <c r="BH16" i="18"/>
  <c r="BH17" i="18"/>
  <c r="BH18" i="18"/>
  <c r="BH19" i="18"/>
  <c r="BH20" i="18"/>
  <c r="BH21" i="18"/>
  <c r="BH22" i="18"/>
  <c r="BH23" i="18"/>
  <c r="BH24" i="18"/>
  <c r="BH25" i="18"/>
  <c r="BH26" i="18"/>
  <c r="BH27" i="18"/>
  <c r="BH28" i="18"/>
  <c r="BH29" i="18"/>
  <c r="BH30" i="18"/>
  <c r="BH31" i="18"/>
  <c r="BH32" i="18"/>
  <c r="BH33" i="18"/>
  <c r="BH34" i="18"/>
  <c r="BH35" i="18"/>
  <c r="BH36" i="18"/>
  <c r="BH37" i="18"/>
  <c r="BH38" i="18"/>
  <c r="BH39" i="18"/>
  <c r="BH40" i="18"/>
  <c r="BH41" i="18"/>
  <c r="BH42" i="18"/>
  <c r="BH43" i="18"/>
  <c r="BH44" i="18"/>
  <c r="BH45" i="18"/>
  <c r="BH46" i="18"/>
  <c r="BH47" i="18"/>
  <c r="BH48" i="18"/>
  <c r="BH49" i="18"/>
  <c r="BH50" i="18"/>
  <c r="BH51" i="18"/>
  <c r="BH52" i="18"/>
  <c r="BH53" i="18"/>
  <c r="BH54" i="18"/>
  <c r="BH55" i="18"/>
  <c r="BH56" i="18"/>
  <c r="BH57" i="18"/>
  <c r="BH58" i="18"/>
  <c r="BH59" i="18"/>
  <c r="BH60" i="18"/>
  <c r="BH61" i="18"/>
  <c r="BH62" i="18"/>
  <c r="BH63" i="18"/>
  <c r="BH64" i="18"/>
  <c r="BH65" i="18"/>
  <c r="BH66" i="18"/>
  <c r="BH67" i="18"/>
  <c r="BH68" i="18"/>
  <c r="BH69" i="18"/>
  <c r="BH70" i="18"/>
  <c r="BH71" i="18"/>
  <c r="BH72" i="18"/>
  <c r="BH73" i="18"/>
  <c r="BH74" i="18"/>
  <c r="BH75" i="18"/>
  <c r="BH76" i="18"/>
  <c r="BH77" i="18"/>
  <c r="BH78" i="18"/>
  <c r="BH79" i="18"/>
  <c r="BH80" i="18"/>
  <c r="BH81" i="18"/>
  <c r="BH82" i="18"/>
  <c r="BH83" i="18"/>
  <c r="BH84" i="18"/>
  <c r="BH85" i="18"/>
  <c r="BH86" i="18"/>
  <c r="BH87" i="18"/>
  <c r="BH88" i="18"/>
  <c r="BH89" i="18"/>
  <c r="BH90" i="18"/>
  <c r="BH91" i="18"/>
  <c r="BH92" i="18"/>
  <c r="BH93" i="18"/>
  <c r="BH94" i="18"/>
  <c r="BH95" i="18"/>
  <c r="BH96" i="18"/>
  <c r="BH97" i="18"/>
  <c r="BH98" i="18"/>
  <c r="BH99" i="18"/>
  <c r="BH100" i="18"/>
  <c r="BH101" i="18"/>
  <c r="BH102" i="18"/>
  <c r="BH103" i="18"/>
  <c r="BH104" i="18"/>
  <c r="BH105" i="18"/>
  <c r="BH106" i="18"/>
  <c r="BH107" i="18"/>
  <c r="BH108" i="18"/>
  <c r="BH109" i="18"/>
  <c r="BH110" i="18"/>
  <c r="BH111" i="18"/>
  <c r="BH112" i="18"/>
  <c r="BH113" i="18"/>
  <c r="BH114" i="18"/>
  <c r="BH115" i="18"/>
  <c r="BH116" i="18"/>
  <c r="BH117" i="18"/>
  <c r="BH118" i="18"/>
  <c r="BH119" i="18"/>
  <c r="BH120" i="18"/>
  <c r="BH121" i="18"/>
  <c r="BH122" i="18"/>
  <c r="BH123" i="18"/>
  <c r="BH124" i="18"/>
  <c r="BH125" i="18"/>
  <c r="BH126" i="18"/>
  <c r="BH127" i="18"/>
  <c r="BH128" i="18"/>
  <c r="BH129" i="18"/>
  <c r="BH130" i="18"/>
  <c r="BH131" i="18"/>
  <c r="BH132" i="18"/>
  <c r="BH133" i="18"/>
  <c r="BH134" i="18"/>
  <c r="BH135" i="18"/>
  <c r="BH136" i="18"/>
  <c r="BH137" i="18"/>
  <c r="BH138" i="18"/>
  <c r="BH139" i="18"/>
  <c r="BH140" i="18"/>
  <c r="BH141" i="18"/>
  <c r="BH142" i="18"/>
  <c r="BH143" i="18"/>
  <c r="BH144" i="18"/>
  <c r="BH145" i="18"/>
  <c r="BH146" i="18"/>
  <c r="BH147" i="18"/>
  <c r="BH148" i="18"/>
  <c r="BH149" i="18"/>
  <c r="BH150" i="18"/>
  <c r="BH151" i="18"/>
  <c r="BH152" i="18"/>
  <c r="BH153" i="18"/>
  <c r="BH154" i="18"/>
  <c r="BH155" i="18"/>
  <c r="BH156" i="18"/>
  <c r="BH157" i="18"/>
  <c r="BH158" i="18"/>
  <c r="BH159" i="18"/>
  <c r="BH160" i="18"/>
  <c r="BH161" i="18"/>
  <c r="BH162" i="18"/>
  <c r="BH163" i="18"/>
  <c r="BH164" i="18"/>
  <c r="BH165" i="18"/>
  <c r="BH166" i="18"/>
  <c r="BH167" i="18"/>
  <c r="BH168" i="18"/>
  <c r="BH169" i="18"/>
  <c r="BH170" i="18"/>
  <c r="BH171" i="18"/>
  <c r="BH172" i="18"/>
  <c r="BH173" i="18"/>
  <c r="BH174" i="18"/>
  <c r="BH175" i="18"/>
  <c r="BH176" i="18"/>
  <c r="BH177" i="18"/>
  <c r="BH178" i="18"/>
  <c r="BH179" i="18"/>
  <c r="BH180" i="18"/>
  <c r="BH181" i="18"/>
  <c r="BH182" i="18"/>
  <c r="BH183" i="18"/>
  <c r="BH184" i="18"/>
  <c r="BH185" i="18"/>
  <c r="BH186" i="18"/>
  <c r="BH187" i="18"/>
  <c r="BH188" i="18"/>
  <c r="BH189" i="18"/>
  <c r="BH190" i="18"/>
  <c r="BH191" i="18"/>
  <c r="BH192" i="18"/>
  <c r="BH193" i="18"/>
  <c r="BH194" i="18"/>
  <c r="BH195" i="18"/>
  <c r="BH196" i="18"/>
  <c r="BH197" i="18"/>
  <c r="BH198" i="18"/>
  <c r="BH199" i="18"/>
  <c r="BH200" i="18"/>
  <c r="BH201" i="18"/>
  <c r="BH202" i="18"/>
  <c r="BH203" i="18"/>
  <c r="BH204" i="18"/>
  <c r="BH205" i="18"/>
  <c r="BH206" i="18"/>
  <c r="BH207" i="18"/>
  <c r="BH208" i="18"/>
  <c r="BH209" i="18"/>
  <c r="BH210" i="18"/>
  <c r="BH211" i="18"/>
  <c r="BH212" i="18"/>
  <c r="BH213" i="18"/>
  <c r="BH214" i="18"/>
  <c r="BH215" i="18"/>
  <c r="BH216" i="18"/>
  <c r="BH217" i="18"/>
  <c r="BH218" i="18"/>
  <c r="BH219" i="18"/>
  <c r="BH220" i="18"/>
  <c r="BH221" i="18"/>
  <c r="BH222" i="18"/>
  <c r="BH223" i="18"/>
  <c r="BH224" i="18"/>
  <c r="BH225" i="18"/>
  <c r="BH226" i="18"/>
  <c r="BH227" i="18"/>
  <c r="BH228" i="18"/>
  <c r="BH229" i="18"/>
  <c r="BH230" i="18"/>
  <c r="BH231" i="18"/>
  <c r="BH232" i="18"/>
  <c r="BH233" i="18"/>
  <c r="BH234" i="18"/>
  <c r="BH235" i="18"/>
  <c r="BH236" i="18"/>
  <c r="BH237" i="18"/>
  <c r="BH238" i="18"/>
  <c r="BH239" i="18"/>
  <c r="BH240" i="18"/>
  <c r="BH241" i="18"/>
  <c r="BH242" i="18"/>
  <c r="BH243" i="18"/>
  <c r="BH244" i="18"/>
  <c r="BH245" i="18"/>
  <c r="BH246" i="18"/>
  <c r="BH247" i="18"/>
  <c r="BH248" i="18"/>
  <c r="BH249" i="18"/>
  <c r="BH250" i="18"/>
  <c r="BH251" i="18"/>
  <c r="BH252" i="18"/>
  <c r="BH253" i="18"/>
  <c r="BH254" i="18"/>
  <c r="BH255" i="18"/>
  <c r="BH256" i="18"/>
  <c r="BH257" i="18"/>
  <c r="BH258" i="18"/>
  <c r="BH259" i="18"/>
  <c r="BH260" i="18"/>
  <c r="BH261" i="18"/>
  <c r="BH262" i="18"/>
  <c r="BH263" i="18"/>
  <c r="BH264" i="18"/>
  <c r="BH265" i="18"/>
  <c r="BH266" i="18"/>
  <c r="BH267" i="18"/>
  <c r="BH268" i="18"/>
  <c r="BH269" i="18"/>
  <c r="BH270" i="18"/>
  <c r="BH271" i="18"/>
  <c r="BH272" i="18"/>
  <c r="BH273" i="18"/>
  <c r="BH274" i="18"/>
  <c r="BH275" i="18"/>
  <c r="BH276" i="18"/>
  <c r="BH277" i="18"/>
  <c r="BH278" i="18"/>
  <c r="BH279" i="18"/>
  <c r="BH280" i="18"/>
  <c r="BH281" i="18"/>
  <c r="BH283" i="18"/>
  <c r="BH284" i="18"/>
  <c r="BH285" i="18"/>
  <c r="BH286" i="18"/>
  <c r="BH287" i="18"/>
  <c r="BH288" i="18"/>
  <c r="BH289" i="18"/>
  <c r="BH290" i="18"/>
  <c r="BH291" i="18"/>
  <c r="BH292" i="18"/>
  <c r="BH293" i="18"/>
  <c r="BH294" i="18"/>
  <c r="BH295" i="18"/>
  <c r="BH296" i="18"/>
  <c r="BH297" i="18"/>
  <c r="BH298" i="18"/>
  <c r="BH299" i="18"/>
  <c r="BH300" i="18"/>
  <c r="BH301" i="18"/>
  <c r="BH302" i="18"/>
  <c r="BH303" i="18"/>
  <c r="BH304" i="18"/>
  <c r="BH305" i="18"/>
  <c r="BH306" i="18"/>
  <c r="BH307" i="18"/>
  <c r="BH308" i="18"/>
  <c r="BH309" i="18"/>
  <c r="BH310" i="18"/>
  <c r="BH311" i="18"/>
  <c r="BH312" i="18"/>
  <c r="BH313" i="18"/>
  <c r="BH314" i="18"/>
  <c r="BH315" i="18"/>
  <c r="BH316" i="18"/>
  <c r="BH317" i="18"/>
  <c r="BH318" i="18"/>
  <c r="BH319" i="18"/>
  <c r="BH320" i="18"/>
  <c r="BH321" i="18"/>
  <c r="BH322" i="18"/>
  <c r="BH323" i="18"/>
  <c r="BH324" i="18"/>
  <c r="BH325" i="18"/>
  <c r="BH326" i="18"/>
  <c r="BH327" i="18"/>
  <c r="BH328" i="18"/>
  <c r="BH329" i="18"/>
  <c r="BH330" i="18"/>
  <c r="BH331" i="18"/>
  <c r="BH332" i="18"/>
  <c r="BH333" i="18"/>
  <c r="BH334" i="18"/>
  <c r="BH336" i="18"/>
  <c r="BH337" i="18"/>
  <c r="BH338" i="18"/>
  <c r="BH339" i="18"/>
  <c r="BH340" i="18"/>
  <c r="BH341" i="18"/>
  <c r="BH342" i="18"/>
  <c r="BH343" i="18"/>
  <c r="BH344" i="18"/>
  <c r="BH345" i="18"/>
  <c r="BH346" i="18"/>
  <c r="BH347" i="18"/>
  <c r="BH348" i="18"/>
  <c r="BH349" i="18"/>
  <c r="BH350" i="18"/>
  <c r="BH351" i="18"/>
  <c r="BH352" i="18"/>
  <c r="BH353" i="18"/>
  <c r="BH354" i="18"/>
  <c r="BH355" i="18"/>
  <c r="BH356" i="18"/>
  <c r="BH357" i="18"/>
  <c r="BH358" i="18"/>
  <c r="BH359" i="18"/>
  <c r="BH360" i="18"/>
  <c r="BH361" i="18"/>
  <c r="BH362" i="18"/>
  <c r="BH363" i="18"/>
  <c r="BH364" i="18"/>
  <c r="BH365" i="18"/>
  <c r="BH366" i="18"/>
  <c r="BH367" i="18"/>
  <c r="BH368" i="18"/>
  <c r="BH369" i="18"/>
  <c r="BH370" i="18"/>
  <c r="BH371" i="18"/>
  <c r="BH372" i="18"/>
  <c r="BH373" i="18"/>
  <c r="BH374" i="18"/>
  <c r="BH375" i="18"/>
  <c r="BH376" i="18"/>
  <c r="BH377" i="18"/>
  <c r="BH378" i="18"/>
  <c r="BH379" i="18"/>
  <c r="BH380" i="18"/>
  <c r="BH381" i="18"/>
  <c r="BH382" i="18"/>
  <c r="BH383" i="18"/>
  <c r="BH385" i="18"/>
  <c r="BH386" i="18"/>
  <c r="BH387" i="18"/>
  <c r="BH388" i="18"/>
  <c r="BH389" i="18"/>
  <c r="BH390" i="18"/>
  <c r="BH391" i="18"/>
  <c r="BH392" i="18"/>
  <c r="BH393" i="18"/>
  <c r="BH394" i="18"/>
  <c r="BH395" i="18"/>
  <c r="BH396" i="18"/>
  <c r="BH397" i="18"/>
  <c r="BH398" i="18"/>
  <c r="BH399" i="18"/>
  <c r="BH400" i="18"/>
  <c r="BH401" i="18"/>
  <c r="BH402" i="18"/>
  <c r="BH403" i="18"/>
  <c r="BH404" i="18"/>
  <c r="BH405" i="18"/>
  <c r="BH406" i="18"/>
  <c r="BH407" i="18"/>
  <c r="BH2" i="18"/>
  <c r="AQ4" i="18"/>
  <c r="AQ3" i="18"/>
  <c r="AQ5" i="18"/>
  <c r="AQ6" i="18"/>
  <c r="AQ7" i="18"/>
  <c r="AQ8" i="18"/>
  <c r="AQ9" i="18"/>
  <c r="AQ10" i="18"/>
  <c r="AQ11" i="18"/>
  <c r="AQ12" i="18"/>
  <c r="AQ13" i="18"/>
  <c r="AQ14" i="18"/>
  <c r="AQ15" i="18"/>
  <c r="AQ16" i="18"/>
  <c r="AQ17" i="18"/>
  <c r="AQ18" i="18"/>
  <c r="AQ19" i="18"/>
  <c r="AQ20" i="18"/>
  <c r="AQ21" i="18"/>
  <c r="AQ22" i="18"/>
  <c r="AQ23" i="18"/>
  <c r="AQ24" i="18"/>
  <c r="AQ25" i="18"/>
  <c r="AQ26" i="18"/>
  <c r="AQ27" i="18"/>
  <c r="AQ28" i="18"/>
  <c r="AQ29" i="18"/>
  <c r="AQ30" i="18"/>
  <c r="AQ31" i="18"/>
  <c r="AQ32" i="18"/>
  <c r="AQ33" i="18"/>
  <c r="AQ34" i="18"/>
  <c r="AQ35" i="18"/>
  <c r="AQ36" i="18"/>
  <c r="AQ37" i="18"/>
  <c r="AQ38" i="18"/>
  <c r="AQ39" i="18"/>
  <c r="AQ40" i="18"/>
  <c r="AQ41" i="18"/>
  <c r="AQ42" i="18"/>
  <c r="AQ43" i="18"/>
  <c r="AQ44" i="18"/>
  <c r="AQ45" i="18"/>
  <c r="AQ46" i="18"/>
  <c r="AQ47" i="18"/>
  <c r="AQ48" i="18"/>
  <c r="AQ49" i="18"/>
  <c r="AQ50" i="18"/>
  <c r="AQ51" i="18"/>
  <c r="AQ52" i="18"/>
  <c r="AQ53" i="18"/>
  <c r="AQ54" i="18"/>
  <c r="AQ55" i="18"/>
  <c r="AQ56" i="18"/>
  <c r="AQ57" i="18"/>
  <c r="AQ58" i="18"/>
  <c r="AQ59" i="18"/>
  <c r="AQ60" i="18"/>
  <c r="AQ61" i="18"/>
  <c r="AQ62" i="18"/>
  <c r="AQ63" i="18"/>
  <c r="AQ64" i="18"/>
  <c r="AQ65" i="18"/>
  <c r="AQ66" i="18"/>
  <c r="AQ67" i="18"/>
  <c r="AQ68" i="18"/>
  <c r="AQ69" i="18"/>
  <c r="AQ70" i="18"/>
  <c r="AQ71" i="18"/>
  <c r="AQ72" i="18"/>
  <c r="AQ73" i="18"/>
  <c r="AQ74" i="18"/>
  <c r="AQ75" i="18"/>
  <c r="AQ76" i="18"/>
  <c r="AQ77" i="18"/>
  <c r="AQ78" i="18"/>
  <c r="AQ79" i="18"/>
  <c r="AQ80" i="18"/>
  <c r="AQ81" i="18"/>
  <c r="AQ82" i="18"/>
  <c r="AQ83" i="18"/>
  <c r="AQ84" i="18"/>
  <c r="AQ85" i="18"/>
  <c r="AQ86" i="18"/>
  <c r="AQ87" i="18"/>
  <c r="AQ88" i="18"/>
  <c r="AQ89" i="18"/>
  <c r="AQ90" i="18"/>
  <c r="AQ91" i="18"/>
  <c r="AQ92" i="18"/>
  <c r="AQ93" i="18"/>
  <c r="AQ94" i="18"/>
  <c r="AQ95" i="18"/>
  <c r="AQ96" i="18"/>
  <c r="AQ97" i="18"/>
  <c r="AQ98" i="18"/>
  <c r="AQ99" i="18"/>
  <c r="AQ100" i="18"/>
  <c r="AQ101" i="18"/>
  <c r="AQ102" i="18"/>
  <c r="AQ103" i="18"/>
  <c r="AQ104" i="18"/>
  <c r="AQ105" i="18"/>
  <c r="AQ106" i="18"/>
  <c r="AQ107" i="18"/>
  <c r="AQ108" i="18"/>
  <c r="AQ109" i="18"/>
  <c r="AQ110" i="18"/>
  <c r="AQ111" i="18"/>
  <c r="AQ112" i="18"/>
  <c r="AQ113" i="18"/>
  <c r="AQ114" i="18"/>
  <c r="AQ115" i="18"/>
  <c r="AQ116" i="18"/>
  <c r="AQ117" i="18"/>
  <c r="AQ118" i="18"/>
  <c r="AQ119" i="18"/>
  <c r="AQ120" i="18"/>
  <c r="AQ121" i="18"/>
  <c r="AQ122" i="18"/>
  <c r="AQ123" i="18"/>
  <c r="AQ124" i="18"/>
  <c r="AQ125" i="18"/>
  <c r="AQ126" i="18"/>
  <c r="AQ127" i="18"/>
  <c r="AQ128" i="18"/>
  <c r="AQ129" i="18"/>
  <c r="AQ130" i="18"/>
  <c r="AQ131" i="18"/>
  <c r="AQ132" i="18"/>
  <c r="AQ133" i="18"/>
  <c r="AQ134" i="18"/>
  <c r="AQ135" i="18"/>
  <c r="AQ136" i="18"/>
  <c r="AQ137" i="18"/>
  <c r="AQ138" i="18"/>
  <c r="AQ139" i="18"/>
  <c r="AQ140" i="18"/>
  <c r="AQ141" i="18"/>
  <c r="AQ142" i="18"/>
  <c r="AQ143" i="18"/>
  <c r="AQ144" i="18"/>
  <c r="AQ145" i="18"/>
  <c r="AQ146" i="18"/>
  <c r="AQ147" i="18"/>
  <c r="AQ148" i="18"/>
  <c r="AQ149" i="18"/>
  <c r="AQ150" i="18"/>
  <c r="AQ151" i="18"/>
  <c r="AQ152" i="18"/>
  <c r="AQ153" i="18"/>
  <c r="AQ154" i="18"/>
  <c r="AQ155" i="18"/>
  <c r="AQ156" i="18"/>
  <c r="AQ157" i="18"/>
  <c r="AQ158" i="18"/>
  <c r="AQ159" i="18"/>
  <c r="AQ160" i="18"/>
  <c r="AQ161" i="18"/>
  <c r="AQ162" i="18"/>
  <c r="AQ163" i="18"/>
  <c r="AQ164" i="18"/>
  <c r="AQ165" i="18"/>
  <c r="AQ166" i="18"/>
  <c r="AQ167" i="18"/>
  <c r="AQ168" i="18"/>
  <c r="AQ169" i="18"/>
  <c r="AQ170" i="18"/>
  <c r="AQ171" i="18"/>
  <c r="AQ172" i="18"/>
  <c r="AQ173" i="18"/>
  <c r="AQ174" i="18"/>
  <c r="AQ175" i="18"/>
  <c r="AQ176" i="18"/>
  <c r="AQ177" i="18"/>
  <c r="AQ178" i="18"/>
  <c r="AQ179" i="18"/>
  <c r="AQ180" i="18"/>
  <c r="AQ181" i="18"/>
  <c r="AQ182" i="18"/>
  <c r="AQ183" i="18"/>
  <c r="AQ184" i="18"/>
  <c r="AQ185" i="18"/>
  <c r="AQ186" i="18"/>
  <c r="AQ187" i="18"/>
  <c r="AQ188" i="18"/>
  <c r="AQ189" i="18"/>
  <c r="AQ190" i="18"/>
  <c r="AQ191" i="18"/>
  <c r="AQ192" i="18"/>
  <c r="AQ193" i="18"/>
  <c r="AQ194" i="18"/>
  <c r="AQ195" i="18"/>
  <c r="AQ196" i="18"/>
  <c r="AQ197" i="18"/>
  <c r="AQ198" i="18"/>
  <c r="AQ199" i="18"/>
  <c r="AQ200" i="18"/>
  <c r="AQ201" i="18"/>
  <c r="AQ202" i="18"/>
  <c r="AQ203" i="18"/>
  <c r="AQ204" i="18"/>
  <c r="AQ205" i="18"/>
  <c r="AQ206" i="18"/>
  <c r="AQ207" i="18"/>
  <c r="AQ208" i="18"/>
  <c r="AQ209" i="18"/>
  <c r="AQ210" i="18"/>
  <c r="AQ211" i="18"/>
  <c r="AQ212" i="18"/>
  <c r="AQ213" i="18"/>
  <c r="AQ214" i="18"/>
  <c r="AQ215" i="18"/>
  <c r="AQ216" i="18"/>
  <c r="AQ217" i="18"/>
  <c r="AQ218" i="18"/>
  <c r="AQ219" i="18"/>
  <c r="AQ220" i="18"/>
  <c r="AQ221" i="18"/>
  <c r="AQ222" i="18"/>
  <c r="AQ223" i="18"/>
  <c r="AQ224" i="18"/>
  <c r="AQ225" i="18"/>
  <c r="AQ226" i="18"/>
  <c r="AQ227" i="18"/>
  <c r="AQ228" i="18"/>
  <c r="AQ229" i="18"/>
  <c r="AQ230" i="18"/>
  <c r="AQ231" i="18"/>
  <c r="AQ232" i="18"/>
  <c r="AQ233" i="18"/>
  <c r="AQ234" i="18"/>
  <c r="AQ235" i="18"/>
  <c r="AQ236" i="18"/>
  <c r="AQ237" i="18"/>
  <c r="AQ238" i="18"/>
  <c r="AQ239" i="18"/>
  <c r="AQ240" i="18"/>
  <c r="AQ241" i="18"/>
  <c r="AQ242" i="18"/>
  <c r="AQ243" i="18"/>
  <c r="AQ244" i="18"/>
  <c r="AQ245" i="18"/>
  <c r="AQ246" i="18"/>
  <c r="AQ247" i="18"/>
  <c r="AQ248" i="18"/>
  <c r="AQ249" i="18"/>
  <c r="AQ250" i="18"/>
  <c r="AQ251" i="18"/>
  <c r="AQ252" i="18"/>
  <c r="AQ253" i="18"/>
  <c r="AQ254" i="18"/>
  <c r="AQ255" i="18"/>
  <c r="AQ256" i="18"/>
  <c r="AQ257" i="18"/>
  <c r="AQ258" i="18"/>
  <c r="AQ259" i="18"/>
  <c r="AQ260" i="18"/>
  <c r="AQ261" i="18"/>
  <c r="AQ262" i="18"/>
  <c r="AQ263" i="18"/>
  <c r="AQ264" i="18"/>
  <c r="AQ265" i="18"/>
  <c r="AQ266" i="18"/>
  <c r="AQ267" i="18"/>
  <c r="AQ268" i="18"/>
  <c r="AQ269" i="18"/>
  <c r="AQ270" i="18"/>
  <c r="AQ271" i="18"/>
  <c r="AQ272" i="18"/>
  <c r="AQ273" i="18"/>
  <c r="AQ274" i="18"/>
  <c r="AQ275" i="18"/>
  <c r="AQ276" i="18"/>
  <c r="AQ277" i="18"/>
  <c r="AQ278" i="18"/>
  <c r="AQ279" i="18"/>
  <c r="AQ280" i="18"/>
  <c r="AQ281" i="18"/>
  <c r="AQ283" i="18"/>
  <c r="AQ284" i="18"/>
  <c r="AQ285" i="18"/>
  <c r="AQ286" i="18"/>
  <c r="AQ287" i="18"/>
  <c r="AQ288" i="18"/>
  <c r="AQ289" i="18"/>
  <c r="AQ290" i="18"/>
  <c r="AQ291" i="18"/>
  <c r="AQ292" i="18"/>
  <c r="AQ293" i="18"/>
  <c r="AQ294" i="18"/>
  <c r="AQ295" i="18"/>
  <c r="AQ296" i="18"/>
  <c r="AQ297" i="18"/>
  <c r="AQ298" i="18"/>
  <c r="AQ299" i="18"/>
  <c r="AQ300" i="18"/>
  <c r="AQ301" i="18"/>
  <c r="AQ302" i="18"/>
  <c r="AQ303" i="18"/>
  <c r="AQ304" i="18"/>
  <c r="AQ305" i="18"/>
  <c r="AQ306" i="18"/>
  <c r="AQ307" i="18"/>
  <c r="AQ308" i="18"/>
  <c r="AQ309" i="18"/>
  <c r="AQ310" i="18"/>
  <c r="AQ311" i="18"/>
  <c r="AQ312" i="18"/>
  <c r="AQ313" i="18"/>
  <c r="AQ314" i="18"/>
  <c r="AQ315" i="18"/>
  <c r="AQ316" i="18"/>
  <c r="AQ317" i="18"/>
  <c r="AQ318" i="18"/>
  <c r="AQ319" i="18"/>
  <c r="AQ320" i="18"/>
  <c r="AQ321" i="18"/>
  <c r="AQ322" i="18"/>
  <c r="AQ323" i="18"/>
  <c r="AQ324" i="18"/>
  <c r="AQ325" i="18"/>
  <c r="AQ326" i="18"/>
  <c r="AQ327" i="18"/>
  <c r="AQ328" i="18"/>
  <c r="AQ329" i="18"/>
  <c r="AQ330" i="18"/>
  <c r="AQ331" i="18"/>
  <c r="AQ332" i="18"/>
  <c r="AQ333" i="18"/>
  <c r="AQ334" i="18"/>
  <c r="AQ336" i="18"/>
  <c r="AQ337" i="18"/>
  <c r="AQ338" i="18"/>
  <c r="AQ339" i="18"/>
  <c r="AQ340" i="18"/>
  <c r="AQ341" i="18"/>
  <c r="AQ342" i="18"/>
  <c r="AQ343" i="18"/>
  <c r="AQ344" i="18"/>
  <c r="AQ345" i="18"/>
  <c r="AQ346" i="18"/>
  <c r="AQ347" i="18"/>
  <c r="AQ348" i="18"/>
  <c r="AQ349" i="18"/>
  <c r="AQ350" i="18"/>
  <c r="AQ351" i="18"/>
  <c r="AQ352" i="18"/>
  <c r="AQ353" i="18"/>
  <c r="AQ354" i="18"/>
  <c r="AQ355" i="18"/>
  <c r="AQ356" i="18"/>
  <c r="AQ357" i="18"/>
  <c r="AQ358" i="18"/>
  <c r="AQ359" i="18"/>
  <c r="AQ360" i="18"/>
  <c r="AQ361" i="18"/>
  <c r="AQ362" i="18"/>
  <c r="AQ363" i="18"/>
  <c r="AQ364" i="18"/>
  <c r="AQ365" i="18"/>
  <c r="AQ366" i="18"/>
  <c r="AQ367" i="18"/>
  <c r="AQ368" i="18"/>
  <c r="AQ369" i="18"/>
  <c r="AQ370" i="18"/>
  <c r="AQ371" i="18"/>
  <c r="AQ372" i="18"/>
  <c r="AQ373" i="18"/>
  <c r="AQ374" i="18"/>
  <c r="AQ375" i="18"/>
  <c r="AQ376" i="18"/>
  <c r="AQ377" i="18"/>
  <c r="AQ378" i="18"/>
  <c r="AQ379" i="18"/>
  <c r="AQ380" i="18"/>
  <c r="AQ381" i="18"/>
  <c r="AQ382" i="18"/>
  <c r="AQ383" i="18"/>
  <c r="AQ385" i="18"/>
  <c r="AQ386" i="18"/>
  <c r="AQ387" i="18"/>
  <c r="AQ388" i="18"/>
  <c r="AQ389" i="18"/>
  <c r="AQ390" i="18"/>
  <c r="AQ391" i="18"/>
  <c r="AQ392" i="18"/>
  <c r="AQ393" i="18"/>
  <c r="AQ394" i="18"/>
  <c r="AQ395" i="18"/>
  <c r="AQ396" i="18"/>
  <c r="AQ397" i="18"/>
  <c r="AQ398" i="18"/>
  <c r="AQ399" i="18"/>
  <c r="AQ400" i="18"/>
  <c r="AQ401" i="18"/>
  <c r="AQ402" i="18"/>
  <c r="AQ403" i="18"/>
  <c r="AQ404" i="18"/>
  <c r="AQ405" i="18"/>
  <c r="AQ406" i="18"/>
  <c r="AQ407" i="18"/>
  <c r="AP3" i="18"/>
  <c r="C3" i="25" s="1"/>
  <c r="AP4" i="18"/>
  <c r="C4" i="25" s="1"/>
  <c r="AP5" i="18"/>
  <c r="C5" i="25" s="1"/>
  <c r="AP6" i="18"/>
  <c r="C6" i="25" s="1"/>
  <c r="AP7" i="18"/>
  <c r="C7" i="25" s="1"/>
  <c r="AP8" i="18"/>
  <c r="C8" i="25" s="1"/>
  <c r="AP9" i="18"/>
  <c r="C9" i="25" s="1"/>
  <c r="AP10" i="18"/>
  <c r="C10" i="25" s="1"/>
  <c r="AP11" i="18"/>
  <c r="C11" i="25" s="1"/>
  <c r="AP12" i="18"/>
  <c r="C12" i="25" s="1"/>
  <c r="AP13" i="18"/>
  <c r="C13" i="25" s="1"/>
  <c r="AP14" i="18"/>
  <c r="C14" i="25" s="1"/>
  <c r="AP15" i="18"/>
  <c r="C15" i="25" s="1"/>
  <c r="AP16" i="18"/>
  <c r="C16" i="25" s="1"/>
  <c r="AP17" i="18"/>
  <c r="C17" i="25" s="1"/>
  <c r="AP18" i="18"/>
  <c r="C18" i="25" s="1"/>
  <c r="AP19" i="18"/>
  <c r="C19" i="25" s="1"/>
  <c r="AP20" i="18"/>
  <c r="C20" i="25" s="1"/>
  <c r="AP21" i="18"/>
  <c r="C21" i="25" s="1"/>
  <c r="AP22" i="18"/>
  <c r="C22" i="25" s="1"/>
  <c r="AP23" i="18"/>
  <c r="C23" i="25" s="1"/>
  <c r="AP24" i="18"/>
  <c r="C24" i="25" s="1"/>
  <c r="AP25" i="18"/>
  <c r="C25" i="25" s="1"/>
  <c r="AP26" i="18"/>
  <c r="C26" i="25" s="1"/>
  <c r="AP27" i="18"/>
  <c r="C27" i="25" s="1"/>
  <c r="AP28" i="18"/>
  <c r="C28" i="25" s="1"/>
  <c r="AP29" i="18"/>
  <c r="C29" i="25" s="1"/>
  <c r="AP30" i="18"/>
  <c r="C30" i="25" s="1"/>
  <c r="AP31" i="18"/>
  <c r="AP32" i="18"/>
  <c r="AP33" i="18"/>
  <c r="AP34" i="18"/>
  <c r="AP35" i="18"/>
  <c r="C31" i="25" s="1"/>
  <c r="AP36" i="18"/>
  <c r="C32" i="25" s="1"/>
  <c r="AP37" i="18"/>
  <c r="AP38" i="18"/>
  <c r="AP39" i="18"/>
  <c r="AP40" i="18"/>
  <c r="AP41" i="18"/>
  <c r="AP42" i="18"/>
  <c r="AP43" i="18"/>
  <c r="AP44" i="18"/>
  <c r="BO44" i="18" s="1"/>
  <c r="AP45" i="18"/>
  <c r="AP46" i="18"/>
  <c r="AP47" i="18"/>
  <c r="AP48" i="18"/>
  <c r="AP49" i="18"/>
  <c r="AP50" i="18"/>
  <c r="AP51" i="18"/>
  <c r="AP52" i="18"/>
  <c r="AP53" i="18"/>
  <c r="AP54" i="18"/>
  <c r="AP55" i="18"/>
  <c r="AP56" i="18"/>
  <c r="AP57" i="18"/>
  <c r="AP58" i="18"/>
  <c r="AP59" i="18"/>
  <c r="AP60" i="18"/>
  <c r="C44" i="25" s="1"/>
  <c r="AP61" i="18"/>
  <c r="AP62" i="18"/>
  <c r="AP63" i="18"/>
  <c r="AP64" i="18"/>
  <c r="AP65" i="18"/>
  <c r="AP66" i="18"/>
  <c r="C46" i="25" s="1"/>
  <c r="AP67" i="18"/>
  <c r="C47" i="25" s="1"/>
  <c r="AP68" i="18"/>
  <c r="C48" i="25" s="1"/>
  <c r="AP69" i="18"/>
  <c r="C49" i="25" s="1"/>
  <c r="AP70" i="18"/>
  <c r="C50" i="25" s="1"/>
  <c r="AP71" i="18"/>
  <c r="C51" i="25" s="1"/>
  <c r="AP72" i="18"/>
  <c r="C52" i="25" s="1"/>
  <c r="AP73" i="18"/>
  <c r="C53" i="25" s="1"/>
  <c r="AP74" i="18"/>
  <c r="C54" i="25" s="1"/>
  <c r="AP75" i="18"/>
  <c r="C55" i="25" s="1"/>
  <c r="AP76" i="18"/>
  <c r="C56" i="25" s="1"/>
  <c r="AP77" i="18"/>
  <c r="C57" i="25" s="1"/>
  <c r="AP78" i="18"/>
  <c r="C58" i="25" s="1"/>
  <c r="AP79" i="18"/>
  <c r="C59" i="25" s="1"/>
  <c r="AP80" i="18"/>
  <c r="C60" i="25" s="1"/>
  <c r="AP81" i="18"/>
  <c r="C61" i="25" s="1"/>
  <c r="AP82" i="18"/>
  <c r="C62" i="25" s="1"/>
  <c r="AP83" i="18"/>
  <c r="C63" i="25" s="1"/>
  <c r="AP84" i="18"/>
  <c r="C64" i="25" s="1"/>
  <c r="AP85" i="18"/>
  <c r="C65" i="25" s="1"/>
  <c r="AP86" i="18"/>
  <c r="C66" i="25" s="1"/>
  <c r="AP87" i="18"/>
  <c r="C67" i="25" s="1"/>
  <c r="AP88" i="18"/>
  <c r="C68" i="25" s="1"/>
  <c r="AP89" i="18"/>
  <c r="C69" i="25" s="1"/>
  <c r="AP90" i="18"/>
  <c r="AP91" i="18"/>
  <c r="AP92" i="18"/>
  <c r="AP93" i="18"/>
  <c r="AP94" i="18"/>
  <c r="AP95" i="18"/>
  <c r="AP96" i="18"/>
  <c r="AP97" i="18"/>
  <c r="AP98" i="18"/>
  <c r="AP99" i="18"/>
  <c r="AP100" i="18"/>
  <c r="AP101" i="18"/>
  <c r="AP102" i="18"/>
  <c r="AP103" i="18"/>
  <c r="AP104" i="18"/>
  <c r="AP105" i="18"/>
  <c r="AP106" i="18"/>
  <c r="AP107" i="18"/>
  <c r="AP108" i="18"/>
  <c r="AP109" i="18"/>
  <c r="AP110" i="18"/>
  <c r="AP111" i="18"/>
  <c r="AP112" i="18"/>
  <c r="AP113" i="18"/>
  <c r="AP114" i="18"/>
  <c r="AP115" i="18"/>
  <c r="AP116" i="18"/>
  <c r="AP117" i="18"/>
  <c r="AP118" i="18"/>
  <c r="AP119" i="18"/>
  <c r="AP120" i="18"/>
  <c r="AP121" i="18"/>
  <c r="AP122" i="18"/>
  <c r="AP123" i="18"/>
  <c r="AP124" i="18"/>
  <c r="AP125" i="18"/>
  <c r="AP126" i="18"/>
  <c r="AP127" i="18"/>
  <c r="AP128" i="18"/>
  <c r="AP129" i="18"/>
  <c r="AP130" i="18"/>
  <c r="AP131" i="18"/>
  <c r="AP132" i="18"/>
  <c r="AP133" i="18"/>
  <c r="AP134" i="18"/>
  <c r="AP135" i="18"/>
  <c r="AP136" i="18"/>
  <c r="AP137" i="18"/>
  <c r="AP138" i="18"/>
  <c r="AP139" i="18"/>
  <c r="AP140" i="18"/>
  <c r="AP141" i="18"/>
  <c r="AP142" i="18"/>
  <c r="AP143" i="18"/>
  <c r="AP144" i="18"/>
  <c r="AP145" i="18"/>
  <c r="AP146" i="18"/>
  <c r="AP147" i="18"/>
  <c r="AP148" i="18"/>
  <c r="AP149" i="18"/>
  <c r="AP150" i="18"/>
  <c r="AP151" i="18"/>
  <c r="AP152" i="18"/>
  <c r="AP153" i="18"/>
  <c r="AP154" i="18"/>
  <c r="C118" i="25" s="1"/>
  <c r="AP155" i="18"/>
  <c r="C119" i="25" s="1"/>
  <c r="AP156" i="18"/>
  <c r="C120" i="25" s="1"/>
  <c r="AP157" i="18"/>
  <c r="C121" i="25" s="1"/>
  <c r="AP158" i="18"/>
  <c r="C122" i="25" s="1"/>
  <c r="AP159" i="18"/>
  <c r="C123" i="25" s="1"/>
  <c r="AP160" i="18"/>
  <c r="C124" i="25" s="1"/>
  <c r="AP161" i="18"/>
  <c r="C125" i="25" s="1"/>
  <c r="AP162" i="18"/>
  <c r="C126" i="25" s="1"/>
  <c r="AP163" i="18"/>
  <c r="C127" i="25" s="1"/>
  <c r="AP164" i="18"/>
  <c r="AP165" i="18"/>
  <c r="AP166" i="18"/>
  <c r="AP167" i="18"/>
  <c r="AP168" i="18"/>
  <c r="AP169" i="18"/>
  <c r="AP170" i="18"/>
  <c r="AP171" i="18"/>
  <c r="AP172" i="18"/>
  <c r="AP173" i="18"/>
  <c r="AP174" i="18"/>
  <c r="AP175" i="18"/>
  <c r="C135" i="25" s="1"/>
  <c r="AP176" i="18"/>
  <c r="AP177" i="18"/>
  <c r="C137" i="25" s="1"/>
  <c r="AP178" i="18"/>
  <c r="AP179" i="18"/>
  <c r="AP180" i="18"/>
  <c r="AP181" i="18"/>
  <c r="AP182" i="18"/>
  <c r="AP183" i="18"/>
  <c r="AP184" i="18"/>
  <c r="AP185" i="18"/>
  <c r="AP186" i="18"/>
  <c r="AP187" i="18"/>
  <c r="AP188" i="18"/>
  <c r="AP189" i="18"/>
  <c r="AP190" i="18"/>
  <c r="AP191" i="18"/>
  <c r="AP192" i="18"/>
  <c r="AP193" i="18"/>
  <c r="AP194" i="18"/>
  <c r="AP195" i="18"/>
  <c r="AP196" i="18"/>
  <c r="AP197" i="18"/>
  <c r="AP198" i="18"/>
  <c r="AP199" i="18"/>
  <c r="AP200" i="18"/>
  <c r="AP201" i="18"/>
  <c r="AP202" i="18"/>
  <c r="AP203" i="18"/>
  <c r="AP204" i="18"/>
  <c r="AP205" i="18"/>
  <c r="AP206" i="18"/>
  <c r="AP207" i="18"/>
  <c r="AP208" i="18"/>
  <c r="AP209" i="18"/>
  <c r="AP210" i="18"/>
  <c r="AP211" i="18"/>
  <c r="AP212" i="18"/>
  <c r="AP213" i="18"/>
  <c r="AP214" i="18"/>
  <c r="AP215" i="18"/>
  <c r="AP216" i="18"/>
  <c r="AP217" i="18"/>
  <c r="AP218" i="18"/>
  <c r="AP219" i="18"/>
  <c r="AP220" i="18"/>
  <c r="AP221" i="18"/>
  <c r="AP222" i="18"/>
  <c r="AP223" i="18"/>
  <c r="AP224" i="18"/>
  <c r="AP225" i="18"/>
  <c r="AP226" i="18"/>
  <c r="AP227" i="18"/>
  <c r="AP228" i="18"/>
  <c r="AP229" i="18"/>
  <c r="AP230" i="18"/>
  <c r="AP231" i="18"/>
  <c r="AP232" i="18"/>
  <c r="AP233" i="18"/>
  <c r="AP234" i="18"/>
  <c r="AP235" i="18"/>
  <c r="AP236" i="18"/>
  <c r="AP237" i="18"/>
  <c r="AP238" i="18"/>
  <c r="AP239" i="18"/>
  <c r="AP240" i="18"/>
  <c r="AP241" i="18"/>
  <c r="AP242" i="18"/>
  <c r="AP243" i="18"/>
  <c r="AP244" i="18"/>
  <c r="AP245" i="18"/>
  <c r="AP246" i="18"/>
  <c r="AP247" i="18"/>
  <c r="AP248" i="18"/>
  <c r="C193" i="25" s="1"/>
  <c r="AP249" i="18"/>
  <c r="AP250" i="18"/>
  <c r="AP251" i="18"/>
  <c r="AP252" i="18"/>
  <c r="C197" i="25" s="1"/>
  <c r="AP253" i="18"/>
  <c r="AP254" i="18"/>
  <c r="AP255" i="18"/>
  <c r="AP256" i="18"/>
  <c r="C201" i="25" s="1"/>
  <c r="AP257" i="18"/>
  <c r="AP258" i="18"/>
  <c r="AP259" i="18"/>
  <c r="AP260" i="18"/>
  <c r="C205" i="25" s="1"/>
  <c r="AP261" i="18"/>
  <c r="AP262" i="18"/>
  <c r="AP263" i="18"/>
  <c r="AP264" i="18"/>
  <c r="C209" i="25" s="1"/>
  <c r="AP265" i="18"/>
  <c r="AP266" i="18"/>
  <c r="AP267" i="18"/>
  <c r="AP268" i="18"/>
  <c r="C213" i="25" s="1"/>
  <c r="AP269" i="18"/>
  <c r="AP270" i="18"/>
  <c r="AP271" i="18"/>
  <c r="AP272" i="18"/>
  <c r="C217" i="25" s="1"/>
  <c r="AP273" i="18"/>
  <c r="AP274" i="18"/>
  <c r="AP275" i="18"/>
  <c r="AP276" i="18"/>
  <c r="C221" i="25" s="1"/>
  <c r="AP277" i="18"/>
  <c r="AP278" i="18"/>
  <c r="AP279" i="18"/>
  <c r="C223" i="25" s="1"/>
  <c r="AP280" i="18"/>
  <c r="C224" i="25" s="1"/>
  <c r="AP281" i="18"/>
  <c r="AP283" i="18"/>
  <c r="AP284" i="18"/>
  <c r="C228" i="25" s="1"/>
  <c r="AP285" i="18"/>
  <c r="C229" i="25" s="1"/>
  <c r="AP286" i="18"/>
  <c r="AP287" i="18"/>
  <c r="AP288" i="18"/>
  <c r="AP289" i="18"/>
  <c r="AP290" i="18"/>
  <c r="AP291" i="18"/>
  <c r="AP292" i="18"/>
  <c r="AP293" i="18"/>
  <c r="AP294" i="18"/>
  <c r="AP295" i="18"/>
  <c r="AP296" i="18"/>
  <c r="AP297" i="18"/>
  <c r="AP298" i="18"/>
  <c r="AP299" i="18"/>
  <c r="AP300" i="18"/>
  <c r="AP301" i="18"/>
  <c r="AP302" i="18"/>
  <c r="AP303" i="18"/>
  <c r="AP304" i="18"/>
  <c r="AP305" i="18"/>
  <c r="AP306" i="18"/>
  <c r="AP307" i="18"/>
  <c r="AP308" i="18"/>
  <c r="AP309" i="18"/>
  <c r="AP310" i="18"/>
  <c r="AP311" i="18"/>
  <c r="AP312" i="18"/>
  <c r="AP313" i="18"/>
  <c r="AP314" i="18"/>
  <c r="AP315" i="18"/>
  <c r="AP316" i="18"/>
  <c r="AP317" i="18"/>
  <c r="AP318" i="18"/>
  <c r="AP319" i="18"/>
  <c r="AP320" i="18"/>
  <c r="AP321" i="18"/>
  <c r="AP322" i="18"/>
  <c r="AP323" i="18"/>
  <c r="AP324" i="18"/>
  <c r="AP325" i="18"/>
  <c r="AP326" i="18"/>
  <c r="AP327" i="18"/>
  <c r="AP328" i="18"/>
  <c r="AP329" i="18"/>
  <c r="AP330" i="18"/>
  <c r="AP331" i="18"/>
  <c r="AP332" i="18"/>
  <c r="AP333" i="18"/>
  <c r="AP334" i="18"/>
  <c r="AP336" i="18"/>
  <c r="C336" i="25" s="1"/>
  <c r="AP337" i="18"/>
  <c r="C337" i="25" s="1"/>
  <c r="AP338" i="18"/>
  <c r="C338" i="25" s="1"/>
  <c r="AP339" i="18"/>
  <c r="C339" i="25" s="1"/>
  <c r="AP340" i="18"/>
  <c r="C340" i="25" s="1"/>
  <c r="AP341" i="18"/>
  <c r="C341" i="25" s="1"/>
  <c r="AP342" i="18"/>
  <c r="C342" i="25" s="1"/>
  <c r="AP343" i="18"/>
  <c r="C343" i="25" s="1"/>
  <c r="AP344" i="18"/>
  <c r="C344" i="25" s="1"/>
  <c r="AP345" i="18"/>
  <c r="C345" i="25" s="1"/>
  <c r="AP346" i="18"/>
  <c r="C346" i="25" s="1"/>
  <c r="AP347" i="18"/>
  <c r="AP348" i="18"/>
  <c r="C348" i="25" s="1"/>
  <c r="AP349" i="18"/>
  <c r="AP350" i="18"/>
  <c r="AP351" i="18"/>
  <c r="AP352" i="18"/>
  <c r="AP353" i="18"/>
  <c r="AP354" i="18"/>
  <c r="AP355" i="18"/>
  <c r="AP356" i="18"/>
  <c r="AP357" i="18"/>
  <c r="AP358" i="18"/>
  <c r="AP359" i="18"/>
  <c r="AP360" i="18"/>
  <c r="AP361" i="18"/>
  <c r="AP362" i="18"/>
  <c r="AP363" i="18"/>
  <c r="AP364" i="18"/>
  <c r="AP365" i="18"/>
  <c r="AP366" i="18"/>
  <c r="AP367" i="18"/>
  <c r="C367" i="25" s="1"/>
  <c r="AP368" i="18"/>
  <c r="AP369" i="18"/>
  <c r="AP370" i="18"/>
  <c r="AP371" i="18"/>
  <c r="AP372" i="18"/>
  <c r="AP373" i="18"/>
  <c r="C373" i="25" s="1"/>
  <c r="AP374" i="18"/>
  <c r="C374" i="25" s="1"/>
  <c r="AP375" i="18"/>
  <c r="C375" i="25" s="1"/>
  <c r="AP376" i="18"/>
  <c r="C376" i="25" s="1"/>
  <c r="AP377" i="18"/>
  <c r="C377" i="25" s="1"/>
  <c r="AP378" i="18"/>
  <c r="AP379" i="18"/>
  <c r="AP380" i="18"/>
  <c r="AP381" i="18"/>
  <c r="AP382" i="18"/>
  <c r="AP383" i="18"/>
  <c r="AP385" i="18"/>
  <c r="AP386" i="18"/>
  <c r="AP387" i="18"/>
  <c r="AP388" i="18"/>
  <c r="AP389" i="18"/>
  <c r="AP390" i="18"/>
  <c r="AP391" i="18"/>
  <c r="AP392" i="18"/>
  <c r="AP393" i="18"/>
  <c r="AP394" i="18"/>
  <c r="AP395" i="18"/>
  <c r="AP396" i="18"/>
  <c r="C396" i="25" s="1"/>
  <c r="AP397" i="18"/>
  <c r="AP398" i="18"/>
  <c r="C398" i="25" s="1"/>
  <c r="AP399" i="18"/>
  <c r="AP400" i="18"/>
  <c r="C400" i="25" s="1"/>
  <c r="AP401" i="18"/>
  <c r="AP402" i="18"/>
  <c r="AP403" i="18"/>
  <c r="AP404" i="18"/>
  <c r="AP405" i="18"/>
  <c r="AP406" i="18"/>
  <c r="AP407" i="18"/>
  <c r="AP2" i="18"/>
  <c r="C233" i="25" l="1"/>
  <c r="C82" i="25"/>
  <c r="C78" i="25"/>
  <c r="C74" i="25"/>
  <c r="C70" i="25"/>
  <c r="C220" i="25"/>
  <c r="C204" i="25"/>
  <c r="C192" i="25"/>
  <c r="C212" i="25"/>
  <c r="C208" i="25"/>
  <c r="C196" i="25"/>
  <c r="C216" i="25"/>
  <c r="C200" i="25"/>
  <c r="C176" i="25"/>
  <c r="C172" i="25"/>
  <c r="C168" i="25"/>
  <c r="C164" i="25"/>
  <c r="C156" i="25"/>
  <c r="C152" i="25"/>
  <c r="C148" i="25"/>
  <c r="C144" i="25"/>
  <c r="C2" i="25"/>
  <c r="C219" i="25"/>
  <c r="C203" i="25"/>
  <c r="C191" i="25"/>
  <c r="C215" i="25"/>
  <c r="C207" i="25"/>
  <c r="C199" i="25"/>
  <c r="C218" i="25"/>
  <c r="C214" i="25"/>
  <c r="C210" i="25"/>
  <c r="C206" i="25"/>
  <c r="C202" i="25"/>
  <c r="C198" i="25"/>
  <c r="C194" i="25"/>
  <c r="C190" i="25"/>
  <c r="C179" i="25"/>
  <c r="C158" i="25"/>
  <c r="C211" i="25"/>
  <c r="C195" i="25"/>
  <c r="C234" i="25"/>
  <c r="C232" i="25"/>
  <c r="C114" i="25"/>
  <c r="C184" i="25"/>
  <c r="C160" i="25"/>
  <c r="C40" i="25"/>
  <c r="C36" i="25"/>
  <c r="C188" i="25"/>
  <c r="C180" i="25"/>
  <c r="C242" i="25"/>
  <c r="C238" i="25"/>
  <c r="C230" i="25"/>
  <c r="C225" i="25"/>
  <c r="C187" i="25"/>
  <c r="C183" i="25"/>
  <c r="C159" i="25"/>
  <c r="C132" i="25"/>
  <c r="C129" i="25"/>
  <c r="C116" i="25"/>
  <c r="C112" i="25"/>
  <c r="C108" i="25"/>
  <c r="C104" i="25"/>
  <c r="C100" i="25"/>
  <c r="C96" i="25"/>
  <c r="C92" i="25"/>
  <c r="C88" i="25"/>
  <c r="C157" i="25"/>
  <c r="C241" i="25"/>
  <c r="C237" i="25"/>
  <c r="C186" i="25"/>
  <c r="C182" i="25"/>
  <c r="C178" i="25"/>
  <c r="C175" i="25"/>
  <c r="C171" i="25"/>
  <c r="C167" i="25"/>
  <c r="C163" i="25"/>
  <c r="C155" i="25"/>
  <c r="C151" i="25"/>
  <c r="C147" i="25"/>
  <c r="C143" i="25"/>
  <c r="C140" i="25"/>
  <c r="C128" i="25"/>
  <c r="C115" i="25"/>
  <c r="C111" i="25"/>
  <c r="C107" i="25"/>
  <c r="C103" i="25"/>
  <c r="C99" i="25"/>
  <c r="C95" i="25"/>
  <c r="C91" i="25"/>
  <c r="C87" i="25"/>
  <c r="C84" i="25"/>
  <c r="C80" i="25"/>
  <c r="C76" i="25"/>
  <c r="C72" i="25"/>
  <c r="C42" i="25"/>
  <c r="C38" i="25"/>
  <c r="C34" i="25"/>
  <c r="C309" i="25"/>
  <c r="C243" i="25"/>
  <c r="C239" i="25"/>
  <c r="C235" i="25"/>
  <c r="C231" i="25"/>
  <c r="C227" i="25"/>
  <c r="C222" i="25"/>
  <c r="C139" i="25"/>
  <c r="C131" i="25"/>
  <c r="C110" i="25"/>
  <c r="C106" i="25"/>
  <c r="C102" i="25"/>
  <c r="C98" i="25"/>
  <c r="C94" i="25"/>
  <c r="C90" i="25"/>
  <c r="C86" i="25"/>
  <c r="C310" i="25"/>
  <c r="C401" i="25"/>
  <c r="C283" i="25"/>
  <c r="C366" i="25"/>
  <c r="C279" i="25"/>
  <c r="C362" i="25"/>
  <c r="C275" i="25"/>
  <c r="C358" i="25"/>
  <c r="C271" i="25"/>
  <c r="C354" i="25"/>
  <c r="C267" i="25"/>
  <c r="C350" i="25"/>
  <c r="C262" i="25"/>
  <c r="C333" i="25"/>
  <c r="C258" i="25"/>
  <c r="C329" i="25"/>
  <c r="C254" i="25"/>
  <c r="C325" i="25"/>
  <c r="C250" i="25"/>
  <c r="C321" i="25"/>
  <c r="C246" i="25"/>
  <c r="C317" i="25"/>
  <c r="C173" i="25"/>
  <c r="C169" i="25"/>
  <c r="C165" i="25"/>
  <c r="C161" i="25"/>
  <c r="C153" i="25"/>
  <c r="C149" i="25"/>
  <c r="C145" i="25"/>
  <c r="C141" i="25"/>
  <c r="C138" i="25"/>
  <c r="C133" i="25"/>
  <c r="C130" i="25"/>
  <c r="C113" i="25"/>
  <c r="C109" i="25"/>
  <c r="C105" i="25"/>
  <c r="C101" i="25"/>
  <c r="C97" i="25"/>
  <c r="C93" i="25"/>
  <c r="C89" i="25"/>
  <c r="C33" i="25"/>
  <c r="C264" i="25"/>
  <c r="C335" i="25"/>
  <c r="C314" i="25"/>
  <c r="C405" i="25"/>
  <c r="C307" i="25"/>
  <c r="C399" i="25"/>
  <c r="C305" i="25"/>
  <c r="C395" i="25"/>
  <c r="C293" i="25"/>
  <c r="C382" i="25"/>
  <c r="C286" i="25"/>
  <c r="C370" i="25"/>
  <c r="C300" i="25"/>
  <c r="C390" i="25"/>
  <c r="C296" i="25"/>
  <c r="C386" i="25"/>
  <c r="C292" i="25"/>
  <c r="C381" i="25"/>
  <c r="C282" i="25"/>
  <c r="C365" i="25"/>
  <c r="C274" i="25"/>
  <c r="C357" i="25"/>
  <c r="C261" i="25"/>
  <c r="C332" i="25"/>
  <c r="C253" i="25"/>
  <c r="C324" i="25"/>
  <c r="C85" i="25"/>
  <c r="C81" i="25"/>
  <c r="C77" i="25"/>
  <c r="C73" i="25"/>
  <c r="C43" i="25"/>
  <c r="C39" i="25"/>
  <c r="C35" i="25"/>
  <c r="C301" i="25"/>
  <c r="C391" i="25"/>
  <c r="C289" i="25"/>
  <c r="C378" i="25"/>
  <c r="C285" i="25"/>
  <c r="C369" i="25"/>
  <c r="C278" i="25"/>
  <c r="C361" i="25"/>
  <c r="C266" i="25"/>
  <c r="C349" i="25"/>
  <c r="C249" i="25"/>
  <c r="C320" i="25"/>
  <c r="C245" i="25"/>
  <c r="C316" i="25"/>
  <c r="C303" i="25"/>
  <c r="C393" i="25"/>
  <c r="C299" i="25"/>
  <c r="C389" i="25"/>
  <c r="C284" i="25"/>
  <c r="C368" i="25"/>
  <c r="C277" i="25"/>
  <c r="C360" i="25"/>
  <c r="C273" i="25"/>
  <c r="C356" i="25"/>
  <c r="C260" i="25"/>
  <c r="C256" i="25"/>
  <c r="C327" i="25"/>
  <c r="C252" i="25"/>
  <c r="C323" i="25"/>
  <c r="C248" i="25"/>
  <c r="C319" i="25"/>
  <c r="C244" i="25"/>
  <c r="C240" i="25"/>
  <c r="C236" i="25"/>
  <c r="C189" i="25"/>
  <c r="C185" i="25"/>
  <c r="C181" i="25"/>
  <c r="C136" i="25"/>
  <c r="C331" i="25"/>
  <c r="C134" i="25"/>
  <c r="C297" i="25"/>
  <c r="C387" i="25"/>
  <c r="C313" i="25"/>
  <c r="C404" i="25"/>
  <c r="C304" i="25"/>
  <c r="C394" i="25"/>
  <c r="C270" i="25"/>
  <c r="C353" i="25"/>
  <c r="C257" i="25"/>
  <c r="C328" i="25"/>
  <c r="C312" i="25"/>
  <c r="C403" i="25"/>
  <c r="C308" i="25"/>
  <c r="C306" i="25"/>
  <c r="C397" i="25"/>
  <c r="C295" i="25"/>
  <c r="C385" i="25"/>
  <c r="C291" i="25"/>
  <c r="C380" i="25"/>
  <c r="C288" i="25"/>
  <c r="C372" i="25"/>
  <c r="C281" i="25"/>
  <c r="C364" i="25"/>
  <c r="C269" i="25"/>
  <c r="C352" i="25"/>
  <c r="C315" i="25"/>
  <c r="C406" i="25"/>
  <c r="C311" i="25"/>
  <c r="C402" i="25"/>
  <c r="C302" i="25"/>
  <c r="C392" i="25"/>
  <c r="C298" i="25"/>
  <c r="C388" i="25"/>
  <c r="C294" i="25"/>
  <c r="C383" i="25"/>
  <c r="C290" i="25"/>
  <c r="C379" i="25"/>
  <c r="C287" i="25"/>
  <c r="C371" i="25"/>
  <c r="C280" i="25"/>
  <c r="C363" i="25"/>
  <c r="C276" i="25"/>
  <c r="C359" i="25"/>
  <c r="C272" i="25"/>
  <c r="C355" i="25"/>
  <c r="C268" i="25"/>
  <c r="C351" i="25"/>
  <c r="C265" i="25"/>
  <c r="C347" i="25"/>
  <c r="C263" i="25"/>
  <c r="C334" i="25"/>
  <c r="C259" i="25"/>
  <c r="C330" i="25"/>
  <c r="C255" i="25"/>
  <c r="C326" i="25"/>
  <c r="C251" i="25"/>
  <c r="C322" i="25"/>
  <c r="C247" i="25"/>
  <c r="C318" i="25"/>
  <c r="C226" i="25"/>
  <c r="C177" i="25"/>
  <c r="C174" i="25"/>
  <c r="C170" i="25"/>
  <c r="C166" i="25"/>
  <c r="C162" i="25"/>
  <c r="C154" i="25"/>
  <c r="C150" i="25"/>
  <c r="C146" i="25"/>
  <c r="C142" i="25"/>
  <c r="C117" i="25"/>
  <c r="C83" i="25"/>
  <c r="C79" i="25"/>
  <c r="C75" i="25"/>
  <c r="C71" i="25"/>
  <c r="C45" i="25"/>
  <c r="C41" i="25"/>
  <c r="C37" i="25"/>
  <c r="M46" i="22"/>
  <c r="S46" i="22" s="1"/>
  <c r="AI335" i="18"/>
  <c r="BG335" i="18"/>
  <c r="AX335" i="18"/>
  <c r="AW335" i="18"/>
  <c r="BF335" i="18"/>
  <c r="AZ335" i="18"/>
  <c r="BW335" i="18"/>
  <c r="AU335" i="18"/>
  <c r="L335" i="25" s="1"/>
  <c r="BE335" i="18"/>
  <c r="BC335" i="18"/>
  <c r="BW403" i="18"/>
  <c r="BW387" i="18"/>
  <c r="BW323" i="18"/>
  <c r="BW290" i="18"/>
  <c r="BR290" i="18"/>
  <c r="BP290" i="18"/>
  <c r="BQ290" i="18"/>
  <c r="BO290" i="18"/>
  <c r="BW268" i="18"/>
  <c r="BW240" i="18"/>
  <c r="BW212" i="18"/>
  <c r="BW200" i="18"/>
  <c r="BW185" i="18"/>
  <c r="BW178" i="18"/>
  <c r="BW175" i="18"/>
  <c r="BW163" i="18"/>
  <c r="BW153" i="18"/>
  <c r="BW149" i="18"/>
  <c r="BW145" i="18"/>
  <c r="BW141" i="18"/>
  <c r="BW138" i="18"/>
  <c r="BW135" i="18"/>
  <c r="BW131" i="18"/>
  <c r="BW127" i="18"/>
  <c r="BW123" i="18"/>
  <c r="BW119" i="18"/>
  <c r="BW116" i="18"/>
  <c r="BW112" i="18"/>
  <c r="BW108" i="18"/>
  <c r="BW104" i="18"/>
  <c r="BW100" i="18"/>
  <c r="BW96" i="18"/>
  <c r="BW92" i="18"/>
  <c r="BW88" i="18"/>
  <c r="BW83" i="18"/>
  <c r="BW79" i="18"/>
  <c r="BW75" i="18"/>
  <c r="BW71" i="18"/>
  <c r="BW68" i="18"/>
  <c r="BW64" i="18"/>
  <c r="BW60" i="18"/>
  <c r="BW56" i="18"/>
  <c r="BW52" i="18"/>
  <c r="BW48" i="18"/>
  <c r="BW45" i="18"/>
  <c r="BW40" i="18"/>
  <c r="BW36" i="18"/>
  <c r="BW28" i="18"/>
  <c r="BW24" i="18"/>
  <c r="BW20" i="18"/>
  <c r="BW16" i="18"/>
  <c r="BW12" i="18"/>
  <c r="BW8" i="18"/>
  <c r="BW4" i="18"/>
  <c r="BW397" i="18"/>
  <c r="BW383" i="18"/>
  <c r="BW375" i="18"/>
  <c r="BW359" i="18"/>
  <c r="BW347" i="18"/>
  <c r="BW327" i="18"/>
  <c r="BW311" i="18"/>
  <c r="BW305" i="18"/>
  <c r="BR305" i="18"/>
  <c r="BP305" i="18"/>
  <c r="BQ305" i="18"/>
  <c r="BO305" i="18"/>
  <c r="BW256" i="18"/>
  <c r="BW236" i="18"/>
  <c r="BW233" i="18"/>
  <c r="BW224" i="18"/>
  <c r="BW208" i="18"/>
  <c r="BW192" i="18"/>
  <c r="BW402" i="18"/>
  <c r="BW400" i="18"/>
  <c r="BW386" i="18"/>
  <c r="BW366" i="18"/>
  <c r="BW358" i="18"/>
  <c r="BW350" i="18"/>
  <c r="BW346" i="18"/>
  <c r="BW330" i="18"/>
  <c r="BW322" i="18"/>
  <c r="BW314" i="18"/>
  <c r="BW307" i="18"/>
  <c r="BW300" i="18"/>
  <c r="BW296" i="18"/>
  <c r="BW293" i="18"/>
  <c r="BW286" i="18"/>
  <c r="BW283" i="18"/>
  <c r="BW279" i="18"/>
  <c r="BW271" i="18"/>
  <c r="BW267" i="18"/>
  <c r="BW263" i="18"/>
  <c r="BW259" i="18"/>
  <c r="BW255" i="18"/>
  <c r="BW251" i="18"/>
  <c r="BW247" i="18"/>
  <c r="BW243" i="18"/>
  <c r="BW239" i="18"/>
  <c r="BW235" i="18"/>
  <c r="BW232" i="18"/>
  <c r="BW230" i="18"/>
  <c r="BW226" i="18"/>
  <c r="BW223" i="18"/>
  <c r="BW219" i="18"/>
  <c r="BR219" i="18"/>
  <c r="BP219" i="18"/>
  <c r="BQ219" i="18"/>
  <c r="BO219" i="18"/>
  <c r="BW215" i="18"/>
  <c r="BW211" i="18"/>
  <c r="BW207" i="18"/>
  <c r="BW203" i="18"/>
  <c r="BW199" i="18"/>
  <c r="BW195" i="18"/>
  <c r="BW191" i="18"/>
  <c r="BW188" i="18"/>
  <c r="BW184" i="18"/>
  <c r="BW180" i="18"/>
  <c r="BW177" i="18"/>
  <c r="BW174" i="18"/>
  <c r="BW170" i="18"/>
  <c r="BW166" i="18"/>
  <c r="BW162" i="18"/>
  <c r="BW159" i="18"/>
  <c r="BW156" i="18"/>
  <c r="BW152" i="18"/>
  <c r="BW148" i="18"/>
  <c r="BW144" i="18"/>
  <c r="BW137" i="18"/>
  <c r="BW134" i="18"/>
  <c r="BW130" i="18"/>
  <c r="BW126" i="18"/>
  <c r="BW122" i="18"/>
  <c r="BW118" i="18"/>
  <c r="BW115" i="18"/>
  <c r="BW111" i="18"/>
  <c r="BW107" i="18"/>
  <c r="BW103" i="18"/>
  <c r="BW99" i="18"/>
  <c r="BW95" i="18"/>
  <c r="BW91" i="18"/>
  <c r="BW87" i="18"/>
  <c r="BW82" i="18"/>
  <c r="BW78" i="18"/>
  <c r="BW74" i="18"/>
  <c r="BW70" i="18"/>
  <c r="BW67" i="18"/>
  <c r="BW63" i="18"/>
  <c r="BW59" i="18"/>
  <c r="BW55" i="18"/>
  <c r="BW51" i="18"/>
  <c r="BW47" i="18"/>
  <c r="BW43" i="18"/>
  <c r="BW39" i="18"/>
  <c r="BW35" i="18"/>
  <c r="BW27" i="18"/>
  <c r="BW23" i="18"/>
  <c r="BW19" i="18"/>
  <c r="BW15" i="18"/>
  <c r="BW11" i="18"/>
  <c r="BW7" i="18"/>
  <c r="BW3" i="18"/>
  <c r="BW394" i="18"/>
  <c r="BW379" i="18"/>
  <c r="BW363" i="18"/>
  <c r="BW355" i="18"/>
  <c r="BW339" i="18"/>
  <c r="BW319" i="18"/>
  <c r="BW297" i="18"/>
  <c r="BW287" i="18"/>
  <c r="BW280" i="18"/>
  <c r="BR280" i="18"/>
  <c r="BP280" i="18"/>
  <c r="BQ280" i="18"/>
  <c r="BO280" i="18"/>
  <c r="BW272" i="18"/>
  <c r="BW260" i="18"/>
  <c r="BW252" i="18"/>
  <c r="BW244" i="18"/>
  <c r="BR244" i="18"/>
  <c r="BO244" i="18"/>
  <c r="BP244" i="18"/>
  <c r="BQ244" i="18"/>
  <c r="BW216" i="18"/>
  <c r="BW196" i="18"/>
  <c r="BW189" i="18"/>
  <c r="BW171" i="18"/>
  <c r="BW406" i="18"/>
  <c r="BW396" i="18"/>
  <c r="BW378" i="18"/>
  <c r="BW370" i="18"/>
  <c r="BW354" i="18"/>
  <c r="BW342" i="18"/>
  <c r="BW338" i="18"/>
  <c r="BW334" i="18"/>
  <c r="BW326" i="18"/>
  <c r="BW318" i="18"/>
  <c r="BW310" i="18"/>
  <c r="BW304" i="18"/>
  <c r="BW289" i="18"/>
  <c r="BW275" i="18"/>
  <c r="BW405" i="18"/>
  <c r="BW401" i="18"/>
  <c r="BR401" i="18"/>
  <c r="BP401" i="18"/>
  <c r="BQ401" i="18"/>
  <c r="BO401" i="18"/>
  <c r="BW399" i="18"/>
  <c r="BW395" i="18"/>
  <c r="BW392" i="18"/>
  <c r="BW389" i="18"/>
  <c r="BW385" i="18"/>
  <c r="BW381" i="18"/>
  <c r="BW377" i="18"/>
  <c r="BW373" i="18"/>
  <c r="BW369" i="18"/>
  <c r="BW365" i="18"/>
  <c r="BW361" i="18"/>
  <c r="BW357" i="18"/>
  <c r="BW353" i="18"/>
  <c r="BW349" i="18"/>
  <c r="BW345" i="18"/>
  <c r="BW341" i="18"/>
  <c r="BW337" i="18"/>
  <c r="BW333" i="18"/>
  <c r="BW329" i="18"/>
  <c r="BW325" i="18"/>
  <c r="BW321" i="18"/>
  <c r="BW317" i="18"/>
  <c r="BW313" i="18"/>
  <c r="BW309" i="18"/>
  <c r="BW306" i="18"/>
  <c r="BW303" i="18"/>
  <c r="BW299" i="18"/>
  <c r="BW295" i="18"/>
  <c r="BW292" i="18"/>
  <c r="BW285" i="18"/>
  <c r="BW278" i="18"/>
  <c r="BR278" i="18"/>
  <c r="BP278" i="18"/>
  <c r="BQ278" i="18"/>
  <c r="BO278" i="18"/>
  <c r="BW274" i="18"/>
  <c r="BR274" i="18"/>
  <c r="BP274" i="18"/>
  <c r="BQ274" i="18"/>
  <c r="BO274" i="18"/>
  <c r="BW270" i="18"/>
  <c r="BW266" i="18"/>
  <c r="BW262" i="18"/>
  <c r="BW258" i="18"/>
  <c r="BW254" i="18"/>
  <c r="BW250" i="18"/>
  <c r="BW246" i="18"/>
  <c r="BW242" i="18"/>
  <c r="BW238" i="18"/>
  <c r="BW229" i="18"/>
  <c r="BW222" i="18"/>
  <c r="BW218" i="18"/>
  <c r="BW214" i="18"/>
  <c r="BW210" i="18"/>
  <c r="BW206" i="18"/>
  <c r="BW202" i="18"/>
  <c r="BW198" i="18"/>
  <c r="BW194" i="18"/>
  <c r="BW190" i="18"/>
  <c r="BW187" i="18"/>
  <c r="BW183" i="18"/>
  <c r="BW173" i="18"/>
  <c r="BW169" i="18"/>
  <c r="BW165" i="18"/>
  <c r="BW161" i="18"/>
  <c r="BW158" i="18"/>
  <c r="BW155" i="18"/>
  <c r="BW151" i="18"/>
  <c r="BW147" i="18"/>
  <c r="BW143" i="18"/>
  <c r="BW140" i="18"/>
  <c r="BW136" i="18"/>
  <c r="BW133" i="18"/>
  <c r="BW129" i="18"/>
  <c r="BW125" i="18"/>
  <c r="BW121" i="18"/>
  <c r="BW114" i="18"/>
  <c r="BW110" i="18"/>
  <c r="BW106" i="18"/>
  <c r="BW102" i="18"/>
  <c r="BW98" i="18"/>
  <c r="BW94" i="18"/>
  <c r="BW90" i="18"/>
  <c r="BW86" i="18"/>
  <c r="BW85" i="18"/>
  <c r="BW81" i="18"/>
  <c r="BW77" i="18"/>
  <c r="BW73" i="18"/>
  <c r="BW66" i="18"/>
  <c r="BW62" i="18"/>
  <c r="BW58" i="18"/>
  <c r="BW54" i="18"/>
  <c r="BW50" i="18"/>
  <c r="BW46" i="18"/>
  <c r="BW42" i="18"/>
  <c r="BW38" i="18"/>
  <c r="BW34" i="18"/>
  <c r="BW32" i="18"/>
  <c r="BW30" i="18"/>
  <c r="BW26" i="18"/>
  <c r="BW22" i="18"/>
  <c r="BW18" i="18"/>
  <c r="BW14" i="18"/>
  <c r="BW10" i="18"/>
  <c r="BW6" i="18"/>
  <c r="BW407" i="18"/>
  <c r="BW371" i="18"/>
  <c r="BW367" i="18"/>
  <c r="BR367" i="18"/>
  <c r="BP367" i="18"/>
  <c r="BQ367" i="18"/>
  <c r="BO367" i="18"/>
  <c r="BW351" i="18"/>
  <c r="BW343" i="18"/>
  <c r="BP343" i="18"/>
  <c r="BO343" i="18"/>
  <c r="BR343" i="18"/>
  <c r="BQ343" i="18"/>
  <c r="BW331" i="18"/>
  <c r="BW315" i="18"/>
  <c r="BW301" i="18"/>
  <c r="BW294" i="18"/>
  <c r="BR294" i="18"/>
  <c r="BP294" i="18"/>
  <c r="BQ294" i="18"/>
  <c r="BO294" i="18"/>
  <c r="BW276" i="18"/>
  <c r="BW265" i="18"/>
  <c r="BW264" i="18"/>
  <c r="BW248" i="18"/>
  <c r="BW227" i="18"/>
  <c r="BW220" i="18"/>
  <c r="BW204" i="18"/>
  <c r="BW181" i="18"/>
  <c r="BW167" i="18"/>
  <c r="BW160" i="18"/>
  <c r="BW393" i="18"/>
  <c r="BW390" i="18"/>
  <c r="BW382" i="18"/>
  <c r="BW374" i="18"/>
  <c r="BW362" i="18"/>
  <c r="BW2" i="18"/>
  <c r="BW404" i="18"/>
  <c r="BW398" i="18"/>
  <c r="BW391" i="18"/>
  <c r="BW388" i="18"/>
  <c r="BW380" i="18"/>
  <c r="BW376" i="18"/>
  <c r="BW372" i="18"/>
  <c r="BW368" i="18"/>
  <c r="BW364" i="18"/>
  <c r="BW360" i="18"/>
  <c r="BW356" i="18"/>
  <c r="BW352" i="18"/>
  <c r="BW348" i="18"/>
  <c r="BW344" i="18"/>
  <c r="BW340" i="18"/>
  <c r="BW336" i="18"/>
  <c r="BW332" i="18"/>
  <c r="BW328" i="18"/>
  <c r="BW324" i="18"/>
  <c r="BW320" i="18"/>
  <c r="BW316" i="18"/>
  <c r="BW312" i="18"/>
  <c r="BW308" i="18"/>
  <c r="BW302" i="18"/>
  <c r="BW298" i="18"/>
  <c r="BW291" i="18"/>
  <c r="BW288" i="18"/>
  <c r="BW284" i="18"/>
  <c r="BW281" i="18"/>
  <c r="BR281" i="18"/>
  <c r="BQ281" i="18"/>
  <c r="BP281" i="18"/>
  <c r="BO281" i="18"/>
  <c r="BW277" i="18"/>
  <c r="BR277" i="18"/>
  <c r="BQ277" i="18"/>
  <c r="BP277" i="18"/>
  <c r="BO277" i="18"/>
  <c r="BW273" i="18"/>
  <c r="BR273" i="18"/>
  <c r="BQ273" i="18"/>
  <c r="BO273" i="18"/>
  <c r="BP273" i="18"/>
  <c r="BW269" i="18"/>
  <c r="BW261" i="18"/>
  <c r="BW257" i="18"/>
  <c r="BW253" i="18"/>
  <c r="BW249" i="18"/>
  <c r="BW245" i="18"/>
  <c r="BW241" i="18"/>
  <c r="BW237" i="18"/>
  <c r="BW234" i="18"/>
  <c r="BW231" i="18"/>
  <c r="BW228" i="18"/>
  <c r="BW225" i="18"/>
  <c r="BW221" i="18"/>
  <c r="BW217" i="18"/>
  <c r="BW213" i="18"/>
  <c r="BW209" i="18"/>
  <c r="BW205" i="18"/>
  <c r="BW201" i="18"/>
  <c r="BW197" i="18"/>
  <c r="BW193" i="18"/>
  <c r="BW186" i="18"/>
  <c r="BW182" i="18"/>
  <c r="BW179" i="18"/>
  <c r="BW176" i="18"/>
  <c r="BW172" i="18"/>
  <c r="BW168" i="18"/>
  <c r="BW164" i="18"/>
  <c r="BW157" i="18"/>
  <c r="BW154" i="18"/>
  <c r="BW150" i="18"/>
  <c r="BW146" i="18"/>
  <c r="BW142" i="18"/>
  <c r="BW139" i="18"/>
  <c r="BW132" i="18"/>
  <c r="BW128" i="18"/>
  <c r="BW124" i="18"/>
  <c r="BW120" i="18"/>
  <c r="BW117" i="18"/>
  <c r="BW113" i="18"/>
  <c r="BW109" i="18"/>
  <c r="BW105" i="18"/>
  <c r="BW101" i="18"/>
  <c r="BW97" i="18"/>
  <c r="BW93" i="18"/>
  <c r="BW89" i="18"/>
  <c r="BW84" i="18"/>
  <c r="BW80" i="18"/>
  <c r="BW76" i="18"/>
  <c r="BW72" i="18"/>
  <c r="BW69" i="18"/>
  <c r="BW65" i="18"/>
  <c r="BR65" i="18"/>
  <c r="BO65" i="18"/>
  <c r="BQ65" i="18"/>
  <c r="BP65" i="18"/>
  <c r="BW61" i="18"/>
  <c r="BW57" i="18"/>
  <c r="BW53" i="18"/>
  <c r="BW49" i="18"/>
  <c r="BW44" i="18"/>
  <c r="BR44" i="18"/>
  <c r="BQ44" i="18"/>
  <c r="BP44" i="18"/>
  <c r="BW41" i="18"/>
  <c r="BW37" i="18"/>
  <c r="BW33" i="18"/>
  <c r="BW31" i="18"/>
  <c r="BW29" i="18"/>
  <c r="BW25" i="18"/>
  <c r="BW21" i="18"/>
  <c r="BW17" i="18"/>
  <c r="BW13" i="18"/>
  <c r="BW9" i="18"/>
  <c r="BW5" i="18"/>
  <c r="AM3" i="18"/>
  <c r="AM4" i="18"/>
  <c r="AM5" i="18"/>
  <c r="AM6" i="18"/>
  <c r="AM7" i="18"/>
  <c r="AM8" i="18"/>
  <c r="AM9" i="18"/>
  <c r="AM10" i="18"/>
  <c r="AM11" i="18"/>
  <c r="AM12" i="18"/>
  <c r="AM13" i="18"/>
  <c r="AM14" i="18"/>
  <c r="AM15" i="18"/>
  <c r="AM16" i="18"/>
  <c r="AM17" i="18"/>
  <c r="AM18" i="18"/>
  <c r="AM19" i="18"/>
  <c r="AM20" i="18"/>
  <c r="AM21" i="18"/>
  <c r="AM22" i="18"/>
  <c r="AM23" i="18"/>
  <c r="AM24" i="18"/>
  <c r="AM25" i="18"/>
  <c r="AM26" i="18"/>
  <c r="AM27" i="18"/>
  <c r="AM28" i="18"/>
  <c r="AM29" i="18"/>
  <c r="AM30" i="18"/>
  <c r="AM31" i="18"/>
  <c r="AM32" i="18"/>
  <c r="AM33" i="18"/>
  <c r="AM34" i="18"/>
  <c r="AM35" i="18"/>
  <c r="AM36" i="18"/>
  <c r="AM37" i="18"/>
  <c r="AM38" i="18"/>
  <c r="AM39" i="18"/>
  <c r="AM40" i="18"/>
  <c r="AM41" i="18"/>
  <c r="AM42" i="18"/>
  <c r="AM43" i="18"/>
  <c r="AM44" i="18"/>
  <c r="AM45" i="18"/>
  <c r="AM46" i="18"/>
  <c r="AM47" i="18"/>
  <c r="AM48" i="18"/>
  <c r="AM49" i="18"/>
  <c r="AM50" i="18"/>
  <c r="AM51" i="18"/>
  <c r="AM52" i="18"/>
  <c r="AM53" i="18"/>
  <c r="AM54" i="18"/>
  <c r="AM55" i="18"/>
  <c r="AM56" i="18"/>
  <c r="AM57" i="18"/>
  <c r="AM58" i="18"/>
  <c r="AM59" i="18"/>
  <c r="AM60" i="18"/>
  <c r="AM61" i="18"/>
  <c r="AM62" i="18"/>
  <c r="AM63" i="18"/>
  <c r="AM64" i="18"/>
  <c r="AM65" i="18"/>
  <c r="AM66" i="18"/>
  <c r="AM67" i="18"/>
  <c r="AM68" i="18"/>
  <c r="AM69" i="18"/>
  <c r="AM70" i="18"/>
  <c r="AM71" i="18"/>
  <c r="AM72" i="18"/>
  <c r="AM73" i="18"/>
  <c r="AM74" i="18"/>
  <c r="AM75" i="18"/>
  <c r="AM76" i="18"/>
  <c r="AM77" i="18"/>
  <c r="AM78" i="18"/>
  <c r="AM79" i="18"/>
  <c r="AM80" i="18"/>
  <c r="AM81" i="18"/>
  <c r="AM82" i="18"/>
  <c r="AM83" i="18"/>
  <c r="AM84" i="18"/>
  <c r="AM85" i="18"/>
  <c r="AM86" i="18"/>
  <c r="AM87" i="18"/>
  <c r="AM88" i="18"/>
  <c r="AM89" i="18"/>
  <c r="AM90" i="18"/>
  <c r="AM91" i="18"/>
  <c r="AM92" i="18"/>
  <c r="AM93" i="18"/>
  <c r="AM94" i="18"/>
  <c r="AM95" i="18"/>
  <c r="AM96" i="18"/>
  <c r="AM97" i="18"/>
  <c r="AM98" i="18"/>
  <c r="AM99" i="18"/>
  <c r="AM100" i="18"/>
  <c r="AM101" i="18"/>
  <c r="AM102" i="18"/>
  <c r="AM103" i="18"/>
  <c r="AM104" i="18"/>
  <c r="AM105" i="18"/>
  <c r="AM106" i="18"/>
  <c r="AM107" i="18"/>
  <c r="AM108" i="18"/>
  <c r="AM109" i="18"/>
  <c r="AM110" i="18"/>
  <c r="AM111" i="18"/>
  <c r="AM112" i="18"/>
  <c r="AM113" i="18"/>
  <c r="AM114" i="18"/>
  <c r="AM115" i="18"/>
  <c r="AM116" i="18"/>
  <c r="AM117" i="18"/>
  <c r="AM118" i="18"/>
  <c r="AM119" i="18"/>
  <c r="AM120" i="18"/>
  <c r="AM121" i="18"/>
  <c r="AM122" i="18"/>
  <c r="AM123" i="18"/>
  <c r="AM124" i="18"/>
  <c r="AM125" i="18"/>
  <c r="AM126" i="18"/>
  <c r="AM127" i="18"/>
  <c r="AM128" i="18"/>
  <c r="AM129" i="18"/>
  <c r="AM130" i="18"/>
  <c r="AM131" i="18"/>
  <c r="AM132" i="18"/>
  <c r="AM133" i="18"/>
  <c r="AM134" i="18"/>
  <c r="AM135" i="18"/>
  <c r="AM136" i="18"/>
  <c r="AM137" i="18"/>
  <c r="AM138" i="18"/>
  <c r="AM139" i="18"/>
  <c r="AM140" i="18"/>
  <c r="AM141" i="18"/>
  <c r="AM142" i="18"/>
  <c r="AM143" i="18"/>
  <c r="AM144" i="18"/>
  <c r="AM145" i="18"/>
  <c r="AM146" i="18"/>
  <c r="AM147" i="18"/>
  <c r="AM148" i="18"/>
  <c r="AM149" i="18"/>
  <c r="AM150" i="18"/>
  <c r="AM151" i="18"/>
  <c r="AM152" i="18"/>
  <c r="AM153" i="18"/>
  <c r="AM154" i="18"/>
  <c r="AM155" i="18"/>
  <c r="AM156" i="18"/>
  <c r="AM157" i="18"/>
  <c r="AM158" i="18"/>
  <c r="AM159" i="18"/>
  <c r="AM160" i="18"/>
  <c r="AM161" i="18"/>
  <c r="AM162" i="18"/>
  <c r="AM163" i="18"/>
  <c r="AM164" i="18"/>
  <c r="AM165" i="18"/>
  <c r="AM166" i="18"/>
  <c r="AM167" i="18"/>
  <c r="AM168" i="18"/>
  <c r="AM169" i="18"/>
  <c r="AM170" i="18"/>
  <c r="AM171" i="18"/>
  <c r="AM172" i="18"/>
  <c r="AM173" i="18"/>
  <c r="AM174" i="18"/>
  <c r="AM175" i="18"/>
  <c r="AM176" i="18"/>
  <c r="AM177" i="18"/>
  <c r="AM178" i="18"/>
  <c r="AM179" i="18"/>
  <c r="AM180" i="18"/>
  <c r="AM181" i="18"/>
  <c r="AM182" i="18"/>
  <c r="AM183" i="18"/>
  <c r="AM184" i="18"/>
  <c r="AM185" i="18"/>
  <c r="AM186" i="18"/>
  <c r="AM187" i="18"/>
  <c r="AM188" i="18"/>
  <c r="AM189" i="18"/>
  <c r="AM190" i="18"/>
  <c r="AM191" i="18"/>
  <c r="AM192" i="18"/>
  <c r="AM193" i="18"/>
  <c r="AM194" i="18"/>
  <c r="AM195" i="18"/>
  <c r="AM196" i="18"/>
  <c r="AM197" i="18"/>
  <c r="AM198" i="18"/>
  <c r="AM199" i="18"/>
  <c r="AM200" i="18"/>
  <c r="AM201" i="18"/>
  <c r="AM202" i="18"/>
  <c r="AM203" i="18"/>
  <c r="AM204" i="18"/>
  <c r="AM205" i="18"/>
  <c r="AM206" i="18"/>
  <c r="AM207" i="18"/>
  <c r="AM208" i="18"/>
  <c r="AM209" i="18"/>
  <c r="AM210" i="18"/>
  <c r="AM211" i="18"/>
  <c r="AM212" i="18"/>
  <c r="AM213" i="18"/>
  <c r="AM214" i="18"/>
  <c r="AM215" i="18"/>
  <c r="AM216" i="18"/>
  <c r="AM217" i="18"/>
  <c r="AM218" i="18"/>
  <c r="AM219" i="18"/>
  <c r="AM220" i="18"/>
  <c r="AM221" i="18"/>
  <c r="AM222" i="18"/>
  <c r="AM223" i="18"/>
  <c r="AM224" i="18"/>
  <c r="AM225" i="18"/>
  <c r="AM226" i="18"/>
  <c r="AM227" i="18"/>
  <c r="AM228" i="18"/>
  <c r="AM229" i="18"/>
  <c r="AM230" i="18"/>
  <c r="AM231" i="18"/>
  <c r="AM232" i="18"/>
  <c r="AM233" i="18"/>
  <c r="AM234" i="18"/>
  <c r="AM235" i="18"/>
  <c r="AM236" i="18"/>
  <c r="AM237" i="18"/>
  <c r="AM238" i="18"/>
  <c r="AM239" i="18"/>
  <c r="AM240" i="18"/>
  <c r="AM241" i="18"/>
  <c r="AM242" i="18"/>
  <c r="AM243" i="18"/>
  <c r="AM244" i="18"/>
  <c r="AM245" i="18"/>
  <c r="AM246" i="18"/>
  <c r="AM247" i="18"/>
  <c r="AM248" i="18"/>
  <c r="AM249" i="18"/>
  <c r="AM250" i="18"/>
  <c r="AM251" i="18"/>
  <c r="AM252" i="18"/>
  <c r="AM253" i="18"/>
  <c r="AM254" i="18"/>
  <c r="AM255" i="18"/>
  <c r="AM256" i="18"/>
  <c r="AM257" i="18"/>
  <c r="AM258" i="18"/>
  <c r="AM259" i="18"/>
  <c r="AM260" i="18"/>
  <c r="AM261" i="18"/>
  <c r="AM262" i="18"/>
  <c r="AM263" i="18"/>
  <c r="AM264" i="18"/>
  <c r="AM265" i="18"/>
  <c r="AM266" i="18"/>
  <c r="AM267" i="18"/>
  <c r="AM268" i="18"/>
  <c r="AM269" i="18"/>
  <c r="AM270" i="18"/>
  <c r="AM271" i="18"/>
  <c r="AM272" i="18"/>
  <c r="AM273" i="18"/>
  <c r="AM274" i="18"/>
  <c r="AM275" i="18"/>
  <c r="AM276" i="18"/>
  <c r="AM277" i="18"/>
  <c r="AM278" i="18"/>
  <c r="AM279" i="18"/>
  <c r="AM280" i="18"/>
  <c r="AM281" i="18"/>
  <c r="AM283" i="18"/>
  <c r="AM284" i="18"/>
  <c r="AM285" i="18"/>
  <c r="AM286" i="18"/>
  <c r="AM287" i="18"/>
  <c r="AM288" i="18"/>
  <c r="AM289" i="18"/>
  <c r="AM290" i="18"/>
  <c r="AM291" i="18"/>
  <c r="AM292" i="18"/>
  <c r="AM293" i="18"/>
  <c r="AM294" i="18"/>
  <c r="AM295" i="18"/>
  <c r="AM296" i="18"/>
  <c r="AM297" i="18"/>
  <c r="AM298" i="18"/>
  <c r="AM299" i="18"/>
  <c r="AM300" i="18"/>
  <c r="AM301" i="18"/>
  <c r="AM302" i="18"/>
  <c r="AM303" i="18"/>
  <c r="AM304" i="18"/>
  <c r="AM305" i="18"/>
  <c r="AM306" i="18"/>
  <c r="AM307" i="18"/>
  <c r="AM308" i="18"/>
  <c r="AM309" i="18"/>
  <c r="AM310" i="18"/>
  <c r="AM311" i="18"/>
  <c r="AM312" i="18"/>
  <c r="AM313" i="18"/>
  <c r="AM314" i="18"/>
  <c r="AM315" i="18"/>
  <c r="AM316" i="18"/>
  <c r="AM317" i="18"/>
  <c r="AM318" i="18"/>
  <c r="AM319" i="18"/>
  <c r="AM320" i="18"/>
  <c r="AM321" i="18"/>
  <c r="AM322" i="18"/>
  <c r="AM323" i="18"/>
  <c r="AM324" i="18"/>
  <c r="AM325" i="18"/>
  <c r="AM326" i="18"/>
  <c r="AM327" i="18"/>
  <c r="AM328" i="18"/>
  <c r="AM329" i="18"/>
  <c r="AM330" i="18"/>
  <c r="AM331" i="18"/>
  <c r="AM332" i="18"/>
  <c r="AM333" i="18"/>
  <c r="AM334" i="18"/>
  <c r="AM336" i="18"/>
  <c r="AM337" i="18"/>
  <c r="AM338" i="18"/>
  <c r="AM339" i="18"/>
  <c r="AM340" i="18"/>
  <c r="AM341" i="18"/>
  <c r="AM342" i="18"/>
  <c r="AM343" i="18"/>
  <c r="AM344" i="18"/>
  <c r="AM345" i="18"/>
  <c r="AM346" i="18"/>
  <c r="AM347" i="18"/>
  <c r="AM348" i="18"/>
  <c r="AM349" i="18"/>
  <c r="AM350" i="18"/>
  <c r="AM351" i="18"/>
  <c r="AM352" i="18"/>
  <c r="AM353" i="18"/>
  <c r="AM354" i="18"/>
  <c r="AM355" i="18"/>
  <c r="AM356" i="18"/>
  <c r="AM357" i="18"/>
  <c r="AM358" i="18"/>
  <c r="AM359" i="18"/>
  <c r="AM360" i="18"/>
  <c r="AM361" i="18"/>
  <c r="AM362" i="18"/>
  <c r="AM363" i="18"/>
  <c r="AM364" i="18"/>
  <c r="AM365" i="18"/>
  <c r="AM366" i="18"/>
  <c r="AM367" i="18"/>
  <c r="AM368" i="18"/>
  <c r="AM369" i="18"/>
  <c r="AM370" i="18"/>
  <c r="AM371" i="18"/>
  <c r="AM372" i="18"/>
  <c r="AM373" i="18"/>
  <c r="AM374" i="18"/>
  <c r="AM375" i="18"/>
  <c r="AM376" i="18"/>
  <c r="AM377" i="18"/>
  <c r="AM378" i="18"/>
  <c r="AM379" i="18"/>
  <c r="AM380" i="18"/>
  <c r="AM381" i="18"/>
  <c r="AM382" i="18"/>
  <c r="AM383" i="18"/>
  <c r="AM385" i="18"/>
  <c r="AM386" i="18"/>
  <c r="AM387" i="18"/>
  <c r="AM388" i="18"/>
  <c r="AM389" i="18"/>
  <c r="AM390" i="18"/>
  <c r="AM391" i="18"/>
  <c r="AM392" i="18"/>
  <c r="AM393" i="18"/>
  <c r="AM394" i="18"/>
  <c r="AM395" i="18"/>
  <c r="AM396" i="18"/>
  <c r="AM397" i="18"/>
  <c r="AM398" i="18"/>
  <c r="AM399" i="18"/>
  <c r="AM400" i="18"/>
  <c r="AM401" i="18"/>
  <c r="AM402" i="18"/>
  <c r="AM403" i="18"/>
  <c r="AM404" i="18"/>
  <c r="AM405" i="18"/>
  <c r="AM406" i="18"/>
  <c r="AM407" i="18"/>
  <c r="AM2" i="18"/>
  <c r="AK3" i="18"/>
  <c r="AK4" i="18"/>
  <c r="AK5" i="18"/>
  <c r="AK6" i="18"/>
  <c r="AK7" i="18"/>
  <c r="AK8" i="18"/>
  <c r="AK9" i="18"/>
  <c r="AK10" i="18"/>
  <c r="AK11" i="18"/>
  <c r="AK12" i="18"/>
  <c r="AK13" i="18"/>
  <c r="AK14" i="18"/>
  <c r="AK15" i="18"/>
  <c r="AK16" i="18"/>
  <c r="AK17" i="18"/>
  <c r="AK18" i="18"/>
  <c r="AK19" i="18"/>
  <c r="AK20" i="18"/>
  <c r="AK21" i="18"/>
  <c r="AK22" i="18"/>
  <c r="AK23" i="18"/>
  <c r="AK24" i="18"/>
  <c r="AK25" i="18"/>
  <c r="AK26" i="18"/>
  <c r="AK27" i="18"/>
  <c r="AK28" i="18"/>
  <c r="AK29" i="18"/>
  <c r="AK30" i="18"/>
  <c r="AK31" i="18"/>
  <c r="AK32" i="18"/>
  <c r="AK33" i="18"/>
  <c r="AK34" i="18"/>
  <c r="AK35" i="18"/>
  <c r="AK36" i="18"/>
  <c r="AK37" i="18"/>
  <c r="AK38" i="18"/>
  <c r="AK39" i="18"/>
  <c r="AK40" i="18"/>
  <c r="AK41" i="18"/>
  <c r="AK42" i="18"/>
  <c r="AK43" i="18"/>
  <c r="AK44" i="18"/>
  <c r="AK45" i="18"/>
  <c r="AK46" i="18"/>
  <c r="AK47" i="18"/>
  <c r="AK48" i="18"/>
  <c r="AK49" i="18"/>
  <c r="AK50" i="18"/>
  <c r="AK51" i="18"/>
  <c r="AK52" i="18"/>
  <c r="AK53" i="18"/>
  <c r="AK54" i="18"/>
  <c r="AK55" i="18"/>
  <c r="AK56" i="18"/>
  <c r="AK57" i="18"/>
  <c r="AK58" i="18"/>
  <c r="AK59" i="18"/>
  <c r="AK60" i="18"/>
  <c r="AK61" i="18"/>
  <c r="AK62" i="18"/>
  <c r="AK63" i="18"/>
  <c r="AK64" i="18"/>
  <c r="AK65" i="18"/>
  <c r="AK66" i="18"/>
  <c r="AK67" i="18"/>
  <c r="AK68" i="18"/>
  <c r="AK69" i="18"/>
  <c r="AK70" i="18"/>
  <c r="AK71" i="18"/>
  <c r="AK72" i="18"/>
  <c r="AK73" i="18"/>
  <c r="AK74" i="18"/>
  <c r="AK75" i="18"/>
  <c r="AK76" i="18"/>
  <c r="AK77" i="18"/>
  <c r="AK78" i="18"/>
  <c r="AK79" i="18"/>
  <c r="AK80" i="18"/>
  <c r="AK81" i="18"/>
  <c r="AK82" i="18"/>
  <c r="AK83" i="18"/>
  <c r="AK84" i="18"/>
  <c r="AK85" i="18"/>
  <c r="AK86" i="18"/>
  <c r="AK87" i="18"/>
  <c r="AK88" i="18"/>
  <c r="AK89" i="18"/>
  <c r="AK90" i="18"/>
  <c r="AK91" i="18"/>
  <c r="AK92" i="18"/>
  <c r="AK93" i="18"/>
  <c r="AK94" i="18"/>
  <c r="AK95" i="18"/>
  <c r="AK96" i="18"/>
  <c r="AK97" i="18"/>
  <c r="AK98" i="18"/>
  <c r="AK99" i="18"/>
  <c r="AK100" i="18"/>
  <c r="AK101" i="18"/>
  <c r="AK102" i="18"/>
  <c r="AK103" i="18"/>
  <c r="AK104" i="18"/>
  <c r="AK105" i="18"/>
  <c r="AK106" i="18"/>
  <c r="AK107" i="18"/>
  <c r="AK108" i="18"/>
  <c r="AK109" i="18"/>
  <c r="AK110" i="18"/>
  <c r="AK111" i="18"/>
  <c r="AK112" i="18"/>
  <c r="AK113" i="18"/>
  <c r="AK114" i="18"/>
  <c r="AK115" i="18"/>
  <c r="AK116" i="18"/>
  <c r="AK117" i="18"/>
  <c r="AK118" i="18"/>
  <c r="AK119" i="18"/>
  <c r="AK120" i="18"/>
  <c r="AK121" i="18"/>
  <c r="AK122" i="18"/>
  <c r="AK123" i="18"/>
  <c r="AK124" i="18"/>
  <c r="AK125" i="18"/>
  <c r="AK126" i="18"/>
  <c r="AK127" i="18"/>
  <c r="AK128" i="18"/>
  <c r="AK129" i="18"/>
  <c r="AK130" i="18"/>
  <c r="AK131" i="18"/>
  <c r="AK132" i="18"/>
  <c r="AK133" i="18"/>
  <c r="AK134" i="18"/>
  <c r="AK135" i="18"/>
  <c r="AK136" i="18"/>
  <c r="AK137" i="18"/>
  <c r="AK138" i="18"/>
  <c r="AK139" i="18"/>
  <c r="AK140" i="18"/>
  <c r="AK141" i="18"/>
  <c r="AK142" i="18"/>
  <c r="AK143" i="18"/>
  <c r="AK144" i="18"/>
  <c r="AK145" i="18"/>
  <c r="AK146" i="18"/>
  <c r="AK147" i="18"/>
  <c r="AK148" i="18"/>
  <c r="AK149" i="18"/>
  <c r="AK150" i="18"/>
  <c r="AK151" i="18"/>
  <c r="AK152" i="18"/>
  <c r="AK153" i="18"/>
  <c r="AK154" i="18"/>
  <c r="AK155" i="18"/>
  <c r="AK156" i="18"/>
  <c r="AK157" i="18"/>
  <c r="AK158" i="18"/>
  <c r="AK159" i="18"/>
  <c r="AK160" i="18"/>
  <c r="AK161" i="18"/>
  <c r="AK162" i="18"/>
  <c r="AK163" i="18"/>
  <c r="AK164" i="18"/>
  <c r="AK165" i="18"/>
  <c r="AK166" i="18"/>
  <c r="AK167" i="18"/>
  <c r="AK168" i="18"/>
  <c r="AK169" i="18"/>
  <c r="AK170" i="18"/>
  <c r="AK171" i="18"/>
  <c r="AK172" i="18"/>
  <c r="AK173" i="18"/>
  <c r="AK174" i="18"/>
  <c r="AK175" i="18"/>
  <c r="AK176" i="18"/>
  <c r="AK177" i="18"/>
  <c r="AK178" i="18"/>
  <c r="AK179" i="18"/>
  <c r="AK180" i="18"/>
  <c r="AK181" i="18"/>
  <c r="AK182" i="18"/>
  <c r="AK183" i="18"/>
  <c r="AK184" i="18"/>
  <c r="AK185" i="18"/>
  <c r="AK186" i="18"/>
  <c r="AK187" i="18"/>
  <c r="AK188" i="18"/>
  <c r="AK189" i="18"/>
  <c r="AK190" i="18"/>
  <c r="AK191" i="18"/>
  <c r="AK192" i="18"/>
  <c r="AK193" i="18"/>
  <c r="AK194" i="18"/>
  <c r="AK195" i="18"/>
  <c r="AK196" i="18"/>
  <c r="AK197" i="18"/>
  <c r="AK198" i="18"/>
  <c r="AK199" i="18"/>
  <c r="AK200" i="18"/>
  <c r="AK201" i="18"/>
  <c r="AK202" i="18"/>
  <c r="AK203" i="18"/>
  <c r="AK204" i="18"/>
  <c r="AK205" i="18"/>
  <c r="AK206" i="18"/>
  <c r="AK207" i="18"/>
  <c r="AK208" i="18"/>
  <c r="AK209" i="18"/>
  <c r="AK210" i="18"/>
  <c r="AK211" i="18"/>
  <c r="AK212" i="18"/>
  <c r="AK213" i="18"/>
  <c r="AK214" i="18"/>
  <c r="AK215" i="18"/>
  <c r="AK216" i="18"/>
  <c r="AK217" i="18"/>
  <c r="AK218" i="18"/>
  <c r="AK219" i="18"/>
  <c r="AK220" i="18"/>
  <c r="AK221" i="18"/>
  <c r="AK222" i="18"/>
  <c r="AK223" i="18"/>
  <c r="AK224" i="18"/>
  <c r="AK225" i="18"/>
  <c r="AK226" i="18"/>
  <c r="AK227" i="18"/>
  <c r="AK228" i="18"/>
  <c r="AK229" i="18"/>
  <c r="AK230" i="18"/>
  <c r="AK231" i="18"/>
  <c r="AK232" i="18"/>
  <c r="AK233" i="18"/>
  <c r="AK234" i="18"/>
  <c r="AK235" i="18"/>
  <c r="AK236" i="18"/>
  <c r="AK237" i="18"/>
  <c r="AK238" i="18"/>
  <c r="AK239" i="18"/>
  <c r="AK240" i="18"/>
  <c r="AK241" i="18"/>
  <c r="AK242" i="18"/>
  <c r="AK243" i="18"/>
  <c r="AK244" i="18"/>
  <c r="AK245" i="18"/>
  <c r="AK246" i="18"/>
  <c r="AK247" i="18"/>
  <c r="AK248" i="18"/>
  <c r="AK249" i="18"/>
  <c r="AK250" i="18"/>
  <c r="AK251" i="18"/>
  <c r="AK252" i="18"/>
  <c r="AK253" i="18"/>
  <c r="AK254" i="18"/>
  <c r="AK255" i="18"/>
  <c r="AK256" i="18"/>
  <c r="AK257" i="18"/>
  <c r="AK258" i="18"/>
  <c r="AK259" i="18"/>
  <c r="AK260" i="18"/>
  <c r="AK261" i="18"/>
  <c r="AK262" i="18"/>
  <c r="AK263" i="18"/>
  <c r="AK264" i="18"/>
  <c r="AK265" i="18"/>
  <c r="AK266" i="18"/>
  <c r="AK267" i="18"/>
  <c r="AK268" i="18"/>
  <c r="AK269" i="18"/>
  <c r="AK270" i="18"/>
  <c r="AK271" i="18"/>
  <c r="AK272" i="18"/>
  <c r="AK273" i="18"/>
  <c r="AK274" i="18"/>
  <c r="AK275" i="18"/>
  <c r="AK276" i="18"/>
  <c r="AK277" i="18"/>
  <c r="AK278" i="18"/>
  <c r="AK279" i="18"/>
  <c r="AK280" i="18"/>
  <c r="AK281" i="18"/>
  <c r="AK283" i="18"/>
  <c r="AK284" i="18"/>
  <c r="AK285" i="18"/>
  <c r="AK286" i="18"/>
  <c r="AK287" i="18"/>
  <c r="AK288" i="18"/>
  <c r="AK289" i="18"/>
  <c r="AK290" i="18"/>
  <c r="AK291" i="18"/>
  <c r="AK292" i="18"/>
  <c r="AK293" i="18"/>
  <c r="AK294" i="18"/>
  <c r="AK295" i="18"/>
  <c r="AK296" i="18"/>
  <c r="AK297" i="18"/>
  <c r="AK298" i="18"/>
  <c r="AK299" i="18"/>
  <c r="AK300" i="18"/>
  <c r="AK301" i="18"/>
  <c r="AK302" i="18"/>
  <c r="AK303" i="18"/>
  <c r="AK304" i="18"/>
  <c r="AK305" i="18"/>
  <c r="AK306" i="18"/>
  <c r="AK307" i="18"/>
  <c r="AK308" i="18"/>
  <c r="AK309" i="18"/>
  <c r="AK310" i="18"/>
  <c r="AK311" i="18"/>
  <c r="AK312" i="18"/>
  <c r="AK313" i="18"/>
  <c r="AK314" i="18"/>
  <c r="AK315" i="18"/>
  <c r="AK316" i="18"/>
  <c r="AK317" i="18"/>
  <c r="AK318" i="18"/>
  <c r="AK319" i="18"/>
  <c r="AK320" i="18"/>
  <c r="AK321" i="18"/>
  <c r="AK322" i="18"/>
  <c r="AK323" i="18"/>
  <c r="AK324" i="18"/>
  <c r="AK325" i="18"/>
  <c r="AK326" i="18"/>
  <c r="AK327" i="18"/>
  <c r="AK328" i="18"/>
  <c r="AK329" i="18"/>
  <c r="AK330" i="18"/>
  <c r="AK331" i="18"/>
  <c r="AK332" i="18"/>
  <c r="AK333" i="18"/>
  <c r="AK334" i="18"/>
  <c r="AK336" i="18"/>
  <c r="AK337" i="18"/>
  <c r="AK338" i="18"/>
  <c r="AK339" i="18"/>
  <c r="AK340" i="18"/>
  <c r="AK341" i="18"/>
  <c r="AK342" i="18"/>
  <c r="AK343" i="18"/>
  <c r="AK344" i="18"/>
  <c r="AK345" i="18"/>
  <c r="AK346" i="18"/>
  <c r="AK347" i="18"/>
  <c r="AK348" i="18"/>
  <c r="AK349" i="18"/>
  <c r="AK350" i="18"/>
  <c r="AK351" i="18"/>
  <c r="AK352" i="18"/>
  <c r="AK353" i="18"/>
  <c r="AK354" i="18"/>
  <c r="AK355" i="18"/>
  <c r="AK356" i="18"/>
  <c r="AK357" i="18"/>
  <c r="AK358" i="18"/>
  <c r="AK359" i="18"/>
  <c r="AK360" i="18"/>
  <c r="AK361" i="18"/>
  <c r="AK362" i="18"/>
  <c r="AK363" i="18"/>
  <c r="AK364" i="18"/>
  <c r="AK365" i="18"/>
  <c r="AK366" i="18"/>
  <c r="AK367" i="18"/>
  <c r="AK368" i="18"/>
  <c r="AK369" i="18"/>
  <c r="AK370" i="18"/>
  <c r="AK371" i="18"/>
  <c r="AK372" i="18"/>
  <c r="AK373" i="18"/>
  <c r="AK374" i="18"/>
  <c r="AK375" i="18"/>
  <c r="AK376" i="18"/>
  <c r="AK377" i="18"/>
  <c r="AK378" i="18"/>
  <c r="AK379" i="18"/>
  <c r="AK380" i="18"/>
  <c r="AK381" i="18"/>
  <c r="AK382" i="18"/>
  <c r="AK383" i="18"/>
  <c r="AK385" i="18"/>
  <c r="AK386" i="18"/>
  <c r="AK387" i="18"/>
  <c r="AK388" i="18"/>
  <c r="AK389" i="18"/>
  <c r="AK390" i="18"/>
  <c r="AK391" i="18"/>
  <c r="AK392" i="18"/>
  <c r="AK393" i="18"/>
  <c r="AK394" i="18"/>
  <c r="AK395" i="18"/>
  <c r="AK396" i="18"/>
  <c r="AK397" i="18"/>
  <c r="AK398" i="18"/>
  <c r="AK399" i="18"/>
  <c r="AK400" i="18"/>
  <c r="AK401" i="18"/>
  <c r="AK402" i="18"/>
  <c r="AK403" i="18"/>
  <c r="AK404" i="18"/>
  <c r="AK405" i="18"/>
  <c r="AK406" i="18"/>
  <c r="AK407" i="18"/>
  <c r="AK2" i="18"/>
  <c r="F416" i="25" l="1"/>
  <c r="O335" i="25"/>
  <c r="N335" i="25"/>
  <c r="P335" i="25"/>
  <c r="Q335" i="25"/>
  <c r="E89" i="22"/>
  <c r="E91" i="22" s="1"/>
  <c r="X46" i="22"/>
  <c r="BT401" i="18"/>
  <c r="BT273" i="18"/>
  <c r="BT277" i="18"/>
  <c r="CA277" i="18"/>
  <c r="BZ277" i="18"/>
  <c r="CA44" i="18"/>
  <c r="BZ44" i="18"/>
  <c r="BT65" i="18"/>
  <c r="BT281" i="18"/>
  <c r="CA281" i="18"/>
  <c r="BZ281" i="18"/>
  <c r="BT44" i="18"/>
  <c r="CA65" i="18"/>
  <c r="BZ65" i="18"/>
  <c r="CA273" i="18"/>
  <c r="BZ273" i="18"/>
  <c r="CA343" i="18"/>
  <c r="BZ343" i="18"/>
  <c r="CA401" i="18"/>
  <c r="BZ401" i="18"/>
  <c r="BT244" i="18"/>
  <c r="BT305" i="18"/>
  <c r="CA305" i="18"/>
  <c r="BZ305" i="18"/>
  <c r="BT274" i="18"/>
  <c r="CA274" i="18"/>
  <c r="BZ274" i="18"/>
  <c r="BT343" i="18"/>
  <c r="BT367" i="18"/>
  <c r="CA367" i="18"/>
  <c r="BZ367" i="18"/>
  <c r="BT278" i="18"/>
  <c r="CA278" i="18"/>
  <c r="BZ278" i="18"/>
  <c r="CA244" i="18"/>
  <c r="BZ244" i="18"/>
  <c r="BT280" i="18"/>
  <c r="CA280" i="18"/>
  <c r="BZ280" i="18"/>
  <c r="BT219" i="18"/>
  <c r="CA219" i="18"/>
  <c r="BZ219" i="18"/>
  <c r="BT294" i="18"/>
  <c r="CA294" i="18"/>
  <c r="BZ294" i="18"/>
  <c r="BT290" i="18"/>
  <c r="CA290" i="18"/>
  <c r="BZ290" i="18"/>
  <c r="K175" i="18"/>
  <c r="X177" i="5"/>
  <c r="D390" i="18"/>
  <c r="E390" i="18"/>
  <c r="F390" i="18"/>
  <c r="G390" i="18"/>
  <c r="H390" i="18"/>
  <c r="I390" i="18"/>
  <c r="J390" i="18"/>
  <c r="K390" i="18"/>
  <c r="L390" i="18"/>
  <c r="M390" i="18"/>
  <c r="N390" i="18"/>
  <c r="O390" i="18"/>
  <c r="P390" i="18"/>
  <c r="Q390" i="18"/>
  <c r="R390" i="18"/>
  <c r="S390" i="18"/>
  <c r="T390" i="18"/>
  <c r="U390" i="18"/>
  <c r="V390" i="18"/>
  <c r="W390" i="18"/>
  <c r="X390" i="18"/>
  <c r="AV390" i="18" s="1"/>
  <c r="Y390" i="18"/>
  <c r="BD390" i="18" s="1"/>
  <c r="Z390" i="18"/>
  <c r="AA390" i="18"/>
  <c r="AB390" i="18"/>
  <c r="AC390" i="18"/>
  <c r="AD390" i="18"/>
  <c r="AE390" i="18"/>
  <c r="AF390" i="18"/>
  <c r="D391" i="18"/>
  <c r="E391" i="18"/>
  <c r="F391" i="18"/>
  <c r="G391" i="18"/>
  <c r="H391" i="18"/>
  <c r="I391" i="18"/>
  <c r="J391" i="18"/>
  <c r="K391" i="18"/>
  <c r="L391" i="18"/>
  <c r="M391" i="18"/>
  <c r="N391" i="18"/>
  <c r="O391" i="18"/>
  <c r="P391" i="18"/>
  <c r="Q391" i="18"/>
  <c r="R391" i="18"/>
  <c r="S391" i="18"/>
  <c r="T391" i="18"/>
  <c r="U391" i="18"/>
  <c r="V391" i="18"/>
  <c r="W391" i="18"/>
  <c r="X391" i="18"/>
  <c r="AV391" i="18" s="1"/>
  <c r="Y391" i="18"/>
  <c r="BD391" i="18" s="1"/>
  <c r="Z391" i="18"/>
  <c r="AA391" i="18"/>
  <c r="AB391" i="18"/>
  <c r="AC391" i="18"/>
  <c r="AD391" i="18"/>
  <c r="AE391" i="18"/>
  <c r="AF391" i="18"/>
  <c r="D392" i="18"/>
  <c r="E392" i="18"/>
  <c r="F392" i="18"/>
  <c r="G392" i="18"/>
  <c r="H392" i="18"/>
  <c r="I392" i="18"/>
  <c r="J392" i="18"/>
  <c r="K392" i="18"/>
  <c r="L392" i="18"/>
  <c r="M392" i="18"/>
  <c r="N392" i="18"/>
  <c r="O392" i="18"/>
  <c r="P392" i="18"/>
  <c r="Q392" i="18"/>
  <c r="R392" i="18"/>
  <c r="S392" i="18"/>
  <c r="T392" i="18"/>
  <c r="U392" i="18"/>
  <c r="V392" i="18"/>
  <c r="W392" i="18"/>
  <c r="X392" i="18"/>
  <c r="AV392" i="18" s="1"/>
  <c r="Y392" i="18"/>
  <c r="BD392" i="18" s="1"/>
  <c r="Z392" i="18"/>
  <c r="AA392" i="18"/>
  <c r="AB392" i="18"/>
  <c r="AC392" i="18"/>
  <c r="AD392" i="18"/>
  <c r="AE392" i="18"/>
  <c r="AF392" i="18"/>
  <c r="D393" i="18"/>
  <c r="E393" i="18"/>
  <c r="F393" i="18"/>
  <c r="G393" i="18"/>
  <c r="H393" i="18"/>
  <c r="I393" i="18"/>
  <c r="J393" i="18"/>
  <c r="K393" i="18"/>
  <c r="L393" i="18"/>
  <c r="M393" i="18"/>
  <c r="N393" i="18"/>
  <c r="O393" i="18"/>
  <c r="P393" i="18"/>
  <c r="Q393" i="18"/>
  <c r="R393" i="18"/>
  <c r="S393" i="18"/>
  <c r="T393" i="18"/>
  <c r="U393" i="18"/>
  <c r="V393" i="18"/>
  <c r="W393" i="18"/>
  <c r="X393" i="18"/>
  <c r="AV393" i="18" s="1"/>
  <c r="Y393" i="18"/>
  <c r="BD393" i="18" s="1"/>
  <c r="Z393" i="18"/>
  <c r="AA393" i="18"/>
  <c r="AB393" i="18"/>
  <c r="AC393" i="18"/>
  <c r="AD393" i="18"/>
  <c r="AE393" i="18"/>
  <c r="AF393" i="18"/>
  <c r="D394" i="18"/>
  <c r="E394" i="18"/>
  <c r="F394" i="18"/>
  <c r="G394" i="18"/>
  <c r="H394" i="18"/>
  <c r="I394" i="18"/>
  <c r="J394" i="18"/>
  <c r="K394" i="18"/>
  <c r="L394" i="18"/>
  <c r="M394" i="18"/>
  <c r="N394" i="18"/>
  <c r="O394" i="18"/>
  <c r="P394" i="18"/>
  <c r="Q394" i="18"/>
  <c r="R394" i="18"/>
  <c r="S394" i="18"/>
  <c r="T394" i="18"/>
  <c r="U394" i="18"/>
  <c r="V394" i="18"/>
  <c r="W394" i="18"/>
  <c r="X394" i="18"/>
  <c r="AV394" i="18" s="1"/>
  <c r="Y394" i="18"/>
  <c r="BD394" i="18" s="1"/>
  <c r="Z394" i="18"/>
  <c r="AA394" i="18"/>
  <c r="AB394" i="18"/>
  <c r="AC394" i="18"/>
  <c r="AD394" i="18"/>
  <c r="AE394" i="18"/>
  <c r="AF394" i="18"/>
  <c r="D395" i="18"/>
  <c r="E395" i="18"/>
  <c r="F395" i="18"/>
  <c r="G395" i="18"/>
  <c r="H395" i="18"/>
  <c r="I395" i="18"/>
  <c r="J395" i="18"/>
  <c r="K395" i="18"/>
  <c r="L395" i="18"/>
  <c r="M395" i="18"/>
  <c r="N395" i="18"/>
  <c r="O395" i="18"/>
  <c r="P395" i="18"/>
  <c r="Q395" i="18"/>
  <c r="R395" i="18"/>
  <c r="S395" i="18"/>
  <c r="T395" i="18"/>
  <c r="U395" i="18"/>
  <c r="V395" i="18"/>
  <c r="W395" i="18"/>
  <c r="X395" i="18"/>
  <c r="AV395" i="18" s="1"/>
  <c r="Y395" i="18"/>
  <c r="BD395" i="18" s="1"/>
  <c r="Z395" i="18"/>
  <c r="AA395" i="18"/>
  <c r="AB395" i="18"/>
  <c r="AC395" i="18"/>
  <c r="AD395" i="18"/>
  <c r="AE395" i="18"/>
  <c r="AF395" i="18"/>
  <c r="D396" i="18"/>
  <c r="E396" i="18"/>
  <c r="F396" i="18"/>
  <c r="G396" i="18"/>
  <c r="H396" i="18"/>
  <c r="I396" i="18"/>
  <c r="J396" i="18"/>
  <c r="K396" i="18"/>
  <c r="L396" i="18"/>
  <c r="M396" i="18"/>
  <c r="N396" i="18"/>
  <c r="O396" i="18"/>
  <c r="P396" i="18"/>
  <c r="Q396" i="18"/>
  <c r="R396" i="18"/>
  <c r="S396" i="18"/>
  <c r="T396" i="18"/>
  <c r="U396" i="18"/>
  <c r="V396" i="18"/>
  <c r="W396" i="18"/>
  <c r="X396" i="18"/>
  <c r="AV396" i="18" s="1"/>
  <c r="Y396" i="18"/>
  <c r="BD396" i="18" s="1"/>
  <c r="Z396" i="18"/>
  <c r="AA396" i="18"/>
  <c r="AB396" i="18"/>
  <c r="AC396" i="18"/>
  <c r="AD396" i="18"/>
  <c r="AE396" i="18"/>
  <c r="AF396" i="18"/>
  <c r="D397" i="18"/>
  <c r="E397" i="18"/>
  <c r="F397" i="18"/>
  <c r="G397" i="18"/>
  <c r="H397" i="18"/>
  <c r="I397" i="18"/>
  <c r="J397" i="18"/>
  <c r="K397" i="18"/>
  <c r="L397" i="18"/>
  <c r="M397" i="18"/>
  <c r="N397" i="18"/>
  <c r="O397" i="18"/>
  <c r="P397" i="18"/>
  <c r="Q397" i="18"/>
  <c r="R397" i="18"/>
  <c r="S397" i="18"/>
  <c r="T397" i="18"/>
  <c r="U397" i="18"/>
  <c r="V397" i="18"/>
  <c r="W397" i="18"/>
  <c r="X397" i="18"/>
  <c r="AV397" i="18" s="1"/>
  <c r="Y397" i="18"/>
  <c r="BD397" i="18" s="1"/>
  <c r="Z397" i="18"/>
  <c r="AA397" i="18"/>
  <c r="AB397" i="18"/>
  <c r="AC397" i="18"/>
  <c r="AD397" i="18"/>
  <c r="AE397" i="18"/>
  <c r="AF397" i="18"/>
  <c r="D398" i="18"/>
  <c r="E398" i="18"/>
  <c r="F398" i="18"/>
  <c r="G398" i="18"/>
  <c r="H398" i="18"/>
  <c r="I398" i="18"/>
  <c r="J398" i="18"/>
  <c r="K398" i="18"/>
  <c r="L398" i="18"/>
  <c r="M398" i="18"/>
  <c r="N398" i="18"/>
  <c r="O398" i="18"/>
  <c r="P398" i="18"/>
  <c r="Q398" i="18"/>
  <c r="R398" i="18"/>
  <c r="S398" i="18"/>
  <c r="T398" i="18"/>
  <c r="U398" i="18"/>
  <c r="V398" i="18"/>
  <c r="W398" i="18"/>
  <c r="X398" i="18"/>
  <c r="AV398" i="18" s="1"/>
  <c r="Y398" i="18"/>
  <c r="BD398" i="18" s="1"/>
  <c r="Z398" i="18"/>
  <c r="AA398" i="18"/>
  <c r="AB398" i="18"/>
  <c r="AC398" i="18"/>
  <c r="AD398" i="18"/>
  <c r="AE398" i="18"/>
  <c r="AF398" i="18"/>
  <c r="D399" i="18"/>
  <c r="E399" i="18"/>
  <c r="F399" i="18"/>
  <c r="G399" i="18"/>
  <c r="H399" i="18"/>
  <c r="I399" i="18"/>
  <c r="J399" i="18"/>
  <c r="K399" i="18"/>
  <c r="L399" i="18"/>
  <c r="M399" i="18"/>
  <c r="N399" i="18"/>
  <c r="O399" i="18"/>
  <c r="P399" i="18"/>
  <c r="Q399" i="18"/>
  <c r="R399" i="18"/>
  <c r="S399" i="18"/>
  <c r="T399" i="18"/>
  <c r="U399" i="18"/>
  <c r="V399" i="18"/>
  <c r="W399" i="18"/>
  <c r="X399" i="18"/>
  <c r="AV399" i="18" s="1"/>
  <c r="Y399" i="18"/>
  <c r="BD399" i="18" s="1"/>
  <c r="Z399" i="18"/>
  <c r="AA399" i="18"/>
  <c r="AB399" i="18"/>
  <c r="AC399" i="18"/>
  <c r="AD399" i="18"/>
  <c r="AE399" i="18"/>
  <c r="AF399" i="18"/>
  <c r="D400" i="18"/>
  <c r="E400" i="18"/>
  <c r="F400" i="18"/>
  <c r="G400" i="18"/>
  <c r="H400" i="18"/>
  <c r="I400" i="18"/>
  <c r="J400" i="18"/>
  <c r="K400" i="18"/>
  <c r="L400" i="18"/>
  <c r="M400" i="18"/>
  <c r="N400" i="18"/>
  <c r="O400" i="18"/>
  <c r="P400" i="18"/>
  <c r="Q400" i="18"/>
  <c r="R400" i="18"/>
  <c r="S400" i="18"/>
  <c r="T400" i="18"/>
  <c r="U400" i="18"/>
  <c r="V400" i="18"/>
  <c r="W400" i="18"/>
  <c r="X400" i="18"/>
  <c r="AV400" i="18" s="1"/>
  <c r="Y400" i="18"/>
  <c r="BD400" i="18" s="1"/>
  <c r="Z400" i="18"/>
  <c r="AA400" i="18"/>
  <c r="AB400" i="18"/>
  <c r="AC400" i="18"/>
  <c r="AD400" i="18"/>
  <c r="AE400" i="18"/>
  <c r="AF400" i="18"/>
  <c r="D401" i="18"/>
  <c r="E401" i="18"/>
  <c r="F401" i="18"/>
  <c r="G401" i="18"/>
  <c r="H401" i="18"/>
  <c r="I401" i="18"/>
  <c r="J401" i="18"/>
  <c r="K401" i="18"/>
  <c r="L401" i="18"/>
  <c r="M401" i="18"/>
  <c r="N401" i="18"/>
  <c r="O401" i="18"/>
  <c r="P401" i="18"/>
  <c r="Q401" i="18"/>
  <c r="R401" i="18"/>
  <c r="S401" i="18"/>
  <c r="T401" i="18"/>
  <c r="U401" i="18"/>
  <c r="V401" i="18"/>
  <c r="W401" i="18"/>
  <c r="X401" i="18"/>
  <c r="AV401" i="18" s="1"/>
  <c r="Y401" i="18"/>
  <c r="BD401" i="18" s="1"/>
  <c r="Z401" i="18"/>
  <c r="AA401" i="18"/>
  <c r="AB401" i="18"/>
  <c r="AC401" i="18"/>
  <c r="AD401" i="18"/>
  <c r="AE401" i="18"/>
  <c r="AF401" i="18"/>
  <c r="D402" i="18"/>
  <c r="E402" i="18"/>
  <c r="F402" i="18"/>
  <c r="G402" i="18"/>
  <c r="H402" i="18"/>
  <c r="I402" i="18"/>
  <c r="J402" i="18"/>
  <c r="K402" i="18"/>
  <c r="L402" i="18"/>
  <c r="M402" i="18"/>
  <c r="N402" i="18"/>
  <c r="O402" i="18"/>
  <c r="P402" i="18"/>
  <c r="Q402" i="18"/>
  <c r="R402" i="18"/>
  <c r="S402" i="18"/>
  <c r="T402" i="18"/>
  <c r="U402" i="18"/>
  <c r="V402" i="18"/>
  <c r="W402" i="18"/>
  <c r="X402" i="18"/>
  <c r="AV402" i="18" s="1"/>
  <c r="Y402" i="18"/>
  <c r="BD402" i="18" s="1"/>
  <c r="Z402" i="18"/>
  <c r="AA402" i="18"/>
  <c r="AB402" i="18"/>
  <c r="AC402" i="18"/>
  <c r="AD402" i="18"/>
  <c r="AE402" i="18"/>
  <c r="AF402" i="18"/>
  <c r="D403" i="18"/>
  <c r="E403" i="18"/>
  <c r="F403" i="18"/>
  <c r="G403" i="18"/>
  <c r="H403" i="18"/>
  <c r="I403" i="18"/>
  <c r="J403" i="18"/>
  <c r="K403" i="18"/>
  <c r="L403" i="18"/>
  <c r="M403" i="18"/>
  <c r="N403" i="18"/>
  <c r="O403" i="18"/>
  <c r="P403" i="18"/>
  <c r="Q403" i="18"/>
  <c r="R403" i="18"/>
  <c r="S403" i="18"/>
  <c r="T403" i="18"/>
  <c r="U403" i="18"/>
  <c r="V403" i="18"/>
  <c r="W403" i="18"/>
  <c r="X403" i="18"/>
  <c r="AV403" i="18" s="1"/>
  <c r="Y403" i="18"/>
  <c r="BD403" i="18" s="1"/>
  <c r="Z403" i="18"/>
  <c r="AA403" i="18"/>
  <c r="AB403" i="18"/>
  <c r="AC403" i="18"/>
  <c r="AD403" i="18"/>
  <c r="AE403" i="18"/>
  <c r="AF403" i="18"/>
  <c r="D404" i="18"/>
  <c r="E404" i="18"/>
  <c r="F404" i="18"/>
  <c r="G404" i="18"/>
  <c r="H404" i="18"/>
  <c r="I404" i="18"/>
  <c r="J404" i="18"/>
  <c r="K404" i="18"/>
  <c r="L404" i="18"/>
  <c r="M404" i="18"/>
  <c r="N404" i="18"/>
  <c r="O404" i="18"/>
  <c r="P404" i="18"/>
  <c r="Q404" i="18"/>
  <c r="R404" i="18"/>
  <c r="S404" i="18"/>
  <c r="T404" i="18"/>
  <c r="U404" i="18"/>
  <c r="V404" i="18"/>
  <c r="W404" i="18"/>
  <c r="X404" i="18"/>
  <c r="AV404" i="18" s="1"/>
  <c r="Y404" i="18"/>
  <c r="BD404" i="18" s="1"/>
  <c r="Z404" i="18"/>
  <c r="AA404" i="18"/>
  <c r="AB404" i="18"/>
  <c r="AC404" i="18"/>
  <c r="AD404" i="18"/>
  <c r="AE404" i="18"/>
  <c r="AF404" i="18"/>
  <c r="D405" i="18"/>
  <c r="E405" i="18"/>
  <c r="F405" i="18"/>
  <c r="G405" i="18"/>
  <c r="H405" i="18"/>
  <c r="I405" i="18"/>
  <c r="J405" i="18"/>
  <c r="K405" i="18"/>
  <c r="L405" i="18"/>
  <c r="M405" i="18"/>
  <c r="N405" i="18"/>
  <c r="O405" i="18"/>
  <c r="P405" i="18"/>
  <c r="Q405" i="18"/>
  <c r="R405" i="18"/>
  <c r="S405" i="18"/>
  <c r="T405" i="18"/>
  <c r="U405" i="18"/>
  <c r="V405" i="18"/>
  <c r="W405" i="18"/>
  <c r="X405" i="18"/>
  <c r="AV405" i="18" s="1"/>
  <c r="Y405" i="18"/>
  <c r="BD405" i="18" s="1"/>
  <c r="Z405" i="18"/>
  <c r="AA405" i="18"/>
  <c r="AB405" i="18"/>
  <c r="AC405" i="18"/>
  <c r="AD405" i="18"/>
  <c r="AE405" i="18"/>
  <c r="AF405" i="18"/>
  <c r="D406" i="18"/>
  <c r="E406" i="18"/>
  <c r="F406" i="18"/>
  <c r="G406" i="18"/>
  <c r="H406" i="18"/>
  <c r="I406" i="18"/>
  <c r="J406" i="18"/>
  <c r="K406" i="18"/>
  <c r="L406" i="18"/>
  <c r="M406" i="18"/>
  <c r="N406" i="18"/>
  <c r="O406" i="18"/>
  <c r="P406" i="18"/>
  <c r="Q406" i="18"/>
  <c r="R406" i="18"/>
  <c r="S406" i="18"/>
  <c r="T406" i="18"/>
  <c r="U406" i="18"/>
  <c r="V406" i="18"/>
  <c r="W406" i="18"/>
  <c r="X406" i="18"/>
  <c r="AV406" i="18" s="1"/>
  <c r="Y406" i="18"/>
  <c r="BD406" i="18" s="1"/>
  <c r="Z406" i="18"/>
  <c r="AA406" i="18"/>
  <c r="AB406" i="18"/>
  <c r="AC406" i="18"/>
  <c r="AD406" i="18"/>
  <c r="AE406" i="18"/>
  <c r="AF406" i="18"/>
  <c r="D407" i="18"/>
  <c r="E407" i="18"/>
  <c r="F407" i="18"/>
  <c r="G407" i="18"/>
  <c r="H407" i="18"/>
  <c r="I407" i="18"/>
  <c r="J407" i="18"/>
  <c r="K407" i="18"/>
  <c r="L407" i="18"/>
  <c r="M407" i="18"/>
  <c r="N407" i="18"/>
  <c r="O407" i="18"/>
  <c r="P407" i="18"/>
  <c r="Q407" i="18"/>
  <c r="R407" i="18"/>
  <c r="S407" i="18"/>
  <c r="T407" i="18"/>
  <c r="U407" i="18"/>
  <c r="V407" i="18"/>
  <c r="W407" i="18"/>
  <c r="X407" i="18"/>
  <c r="AV407" i="18" s="1"/>
  <c r="Y407" i="18"/>
  <c r="BD407" i="18" s="1"/>
  <c r="Z407" i="18"/>
  <c r="AA407" i="18"/>
  <c r="AB407" i="18"/>
  <c r="AC407" i="18"/>
  <c r="AD407" i="18"/>
  <c r="AE407" i="18"/>
  <c r="AF407" i="18"/>
  <c r="D363" i="18"/>
  <c r="E363" i="18"/>
  <c r="F363" i="18"/>
  <c r="G363" i="18"/>
  <c r="H363" i="18"/>
  <c r="I363" i="18"/>
  <c r="J363" i="18"/>
  <c r="K363" i="18"/>
  <c r="L363" i="18"/>
  <c r="M363" i="18"/>
  <c r="N363" i="18"/>
  <c r="O363" i="18"/>
  <c r="P363" i="18"/>
  <c r="Q363" i="18"/>
  <c r="R363" i="18"/>
  <c r="S363" i="18"/>
  <c r="T363" i="18"/>
  <c r="U363" i="18"/>
  <c r="V363" i="18"/>
  <c r="W363" i="18"/>
  <c r="X363" i="18"/>
  <c r="AV363" i="18" s="1"/>
  <c r="Y363" i="18"/>
  <c r="BD363" i="18" s="1"/>
  <c r="Z363" i="18"/>
  <c r="AA363" i="18"/>
  <c r="AB363" i="18"/>
  <c r="AC363" i="18"/>
  <c r="AD363" i="18"/>
  <c r="AE363" i="18"/>
  <c r="AF363" i="18"/>
  <c r="D364" i="18"/>
  <c r="E364" i="18"/>
  <c r="F364" i="18"/>
  <c r="G364" i="18"/>
  <c r="H364" i="18"/>
  <c r="I364" i="18"/>
  <c r="J364" i="18"/>
  <c r="K364" i="18"/>
  <c r="L364" i="18"/>
  <c r="M364" i="18"/>
  <c r="N364" i="18"/>
  <c r="O364" i="18"/>
  <c r="P364" i="18"/>
  <c r="Q364" i="18"/>
  <c r="R364" i="18"/>
  <c r="S364" i="18"/>
  <c r="T364" i="18"/>
  <c r="U364" i="18"/>
  <c r="V364" i="18"/>
  <c r="W364" i="18"/>
  <c r="X364" i="18"/>
  <c r="AV364" i="18" s="1"/>
  <c r="Y364" i="18"/>
  <c r="BD364" i="18" s="1"/>
  <c r="Z364" i="18"/>
  <c r="AA364" i="18"/>
  <c r="AB364" i="18"/>
  <c r="AC364" i="18"/>
  <c r="AD364" i="18"/>
  <c r="AE364" i="18"/>
  <c r="AF364" i="18"/>
  <c r="D365" i="18"/>
  <c r="E365" i="18"/>
  <c r="F365" i="18"/>
  <c r="G365" i="18"/>
  <c r="H365" i="18"/>
  <c r="I365" i="18"/>
  <c r="J365" i="18"/>
  <c r="K365" i="18"/>
  <c r="L365" i="18"/>
  <c r="M365" i="18"/>
  <c r="N365" i="18"/>
  <c r="O365" i="18"/>
  <c r="P365" i="18"/>
  <c r="Q365" i="18"/>
  <c r="R365" i="18"/>
  <c r="S365" i="18"/>
  <c r="T365" i="18"/>
  <c r="U365" i="18"/>
  <c r="V365" i="18"/>
  <c r="W365" i="18"/>
  <c r="X365" i="18"/>
  <c r="AV365" i="18" s="1"/>
  <c r="Y365" i="18"/>
  <c r="BD365" i="18" s="1"/>
  <c r="Z365" i="18"/>
  <c r="AA365" i="18"/>
  <c r="AB365" i="18"/>
  <c r="AC365" i="18"/>
  <c r="AD365" i="18"/>
  <c r="AE365" i="18"/>
  <c r="AF365" i="18"/>
  <c r="D366" i="18"/>
  <c r="E366" i="18"/>
  <c r="F366" i="18"/>
  <c r="G366" i="18"/>
  <c r="H366" i="18"/>
  <c r="I366" i="18"/>
  <c r="J366" i="18"/>
  <c r="K366" i="18"/>
  <c r="L366" i="18"/>
  <c r="M366" i="18"/>
  <c r="N366" i="18"/>
  <c r="O366" i="18"/>
  <c r="P366" i="18"/>
  <c r="Q366" i="18"/>
  <c r="R366" i="18"/>
  <c r="S366" i="18"/>
  <c r="T366" i="18"/>
  <c r="U366" i="18"/>
  <c r="V366" i="18"/>
  <c r="W366" i="18"/>
  <c r="X366" i="18"/>
  <c r="AV366" i="18" s="1"/>
  <c r="Y366" i="18"/>
  <c r="BD366" i="18" s="1"/>
  <c r="Z366" i="18"/>
  <c r="AA366" i="18"/>
  <c r="AB366" i="18"/>
  <c r="AC366" i="18"/>
  <c r="AD366" i="18"/>
  <c r="AE366" i="18"/>
  <c r="AF366" i="18"/>
  <c r="D367" i="18"/>
  <c r="E367" i="18"/>
  <c r="F367" i="18"/>
  <c r="G367" i="18"/>
  <c r="H367" i="18"/>
  <c r="I367" i="18"/>
  <c r="J367" i="18"/>
  <c r="K367" i="18"/>
  <c r="L367" i="18"/>
  <c r="M367" i="18"/>
  <c r="N367" i="18"/>
  <c r="O367" i="18"/>
  <c r="P367" i="18"/>
  <c r="Q367" i="18"/>
  <c r="R367" i="18"/>
  <c r="S367" i="18"/>
  <c r="T367" i="18"/>
  <c r="U367" i="18"/>
  <c r="V367" i="18"/>
  <c r="W367" i="18"/>
  <c r="X367" i="18"/>
  <c r="AV367" i="18" s="1"/>
  <c r="Y367" i="18"/>
  <c r="BD367" i="18" s="1"/>
  <c r="Z367" i="18"/>
  <c r="AA367" i="18"/>
  <c r="AB367" i="18"/>
  <c r="AC367" i="18"/>
  <c r="AD367" i="18"/>
  <c r="AE367" i="18"/>
  <c r="AF367" i="18"/>
  <c r="D368" i="18"/>
  <c r="E368" i="18"/>
  <c r="F368" i="18"/>
  <c r="G368" i="18"/>
  <c r="H368" i="18"/>
  <c r="I368" i="18"/>
  <c r="J368" i="18"/>
  <c r="K368" i="18"/>
  <c r="L368" i="18"/>
  <c r="M368" i="18"/>
  <c r="N368" i="18"/>
  <c r="O368" i="18"/>
  <c r="P368" i="18"/>
  <c r="Q368" i="18"/>
  <c r="R368" i="18"/>
  <c r="S368" i="18"/>
  <c r="T368" i="18"/>
  <c r="U368" i="18"/>
  <c r="V368" i="18"/>
  <c r="W368" i="18"/>
  <c r="X368" i="18"/>
  <c r="AV368" i="18" s="1"/>
  <c r="Y368" i="18"/>
  <c r="BD368" i="18" s="1"/>
  <c r="Z368" i="18"/>
  <c r="AA368" i="18"/>
  <c r="AB368" i="18"/>
  <c r="AC368" i="18"/>
  <c r="AD368" i="18"/>
  <c r="AE368" i="18"/>
  <c r="AF368" i="18"/>
  <c r="D369" i="18"/>
  <c r="E369" i="18"/>
  <c r="F369" i="18"/>
  <c r="G369" i="18"/>
  <c r="H369" i="18"/>
  <c r="I369" i="18"/>
  <c r="J369" i="18"/>
  <c r="K369" i="18"/>
  <c r="L369" i="18"/>
  <c r="M369" i="18"/>
  <c r="N369" i="18"/>
  <c r="O369" i="18"/>
  <c r="P369" i="18"/>
  <c r="Q369" i="18"/>
  <c r="R369" i="18"/>
  <c r="S369" i="18"/>
  <c r="T369" i="18"/>
  <c r="U369" i="18"/>
  <c r="V369" i="18"/>
  <c r="W369" i="18"/>
  <c r="X369" i="18"/>
  <c r="AV369" i="18" s="1"/>
  <c r="Y369" i="18"/>
  <c r="BD369" i="18" s="1"/>
  <c r="Z369" i="18"/>
  <c r="AA369" i="18"/>
  <c r="AB369" i="18"/>
  <c r="AC369" i="18"/>
  <c r="AD369" i="18"/>
  <c r="AE369" i="18"/>
  <c r="AF369" i="18"/>
  <c r="D370" i="18"/>
  <c r="E370" i="18"/>
  <c r="F370" i="18"/>
  <c r="G370" i="18"/>
  <c r="H370" i="18"/>
  <c r="I370" i="18"/>
  <c r="J370" i="18"/>
  <c r="K370" i="18"/>
  <c r="L370" i="18"/>
  <c r="M370" i="18"/>
  <c r="N370" i="18"/>
  <c r="O370" i="18"/>
  <c r="P370" i="18"/>
  <c r="Q370" i="18"/>
  <c r="R370" i="18"/>
  <c r="S370" i="18"/>
  <c r="T370" i="18"/>
  <c r="U370" i="18"/>
  <c r="V370" i="18"/>
  <c r="W370" i="18"/>
  <c r="X370" i="18"/>
  <c r="AV370" i="18" s="1"/>
  <c r="Y370" i="18"/>
  <c r="BD370" i="18" s="1"/>
  <c r="Z370" i="18"/>
  <c r="AA370" i="18"/>
  <c r="AB370" i="18"/>
  <c r="AC370" i="18"/>
  <c r="AD370" i="18"/>
  <c r="AE370" i="18"/>
  <c r="AF370" i="18"/>
  <c r="D371" i="18"/>
  <c r="E371" i="18"/>
  <c r="F371" i="18"/>
  <c r="G371" i="18"/>
  <c r="H371" i="18"/>
  <c r="I371" i="18"/>
  <c r="J371" i="18"/>
  <c r="K371" i="18"/>
  <c r="L371" i="18"/>
  <c r="M371" i="18"/>
  <c r="N371" i="18"/>
  <c r="O371" i="18"/>
  <c r="P371" i="18"/>
  <c r="Q371" i="18"/>
  <c r="R371" i="18"/>
  <c r="S371" i="18"/>
  <c r="T371" i="18"/>
  <c r="U371" i="18"/>
  <c r="V371" i="18"/>
  <c r="W371" i="18"/>
  <c r="X371" i="18"/>
  <c r="AV371" i="18" s="1"/>
  <c r="Y371" i="18"/>
  <c r="BD371" i="18" s="1"/>
  <c r="Z371" i="18"/>
  <c r="AA371" i="18"/>
  <c r="AB371" i="18"/>
  <c r="AC371" i="18"/>
  <c r="AD371" i="18"/>
  <c r="AE371" i="18"/>
  <c r="AF371" i="18"/>
  <c r="D372" i="18"/>
  <c r="E372" i="18"/>
  <c r="F372" i="18"/>
  <c r="G372" i="18"/>
  <c r="H372" i="18"/>
  <c r="I372" i="18"/>
  <c r="J372" i="18"/>
  <c r="K372" i="18"/>
  <c r="L372" i="18"/>
  <c r="M372" i="18"/>
  <c r="N372" i="18"/>
  <c r="O372" i="18"/>
  <c r="P372" i="18"/>
  <c r="Q372" i="18"/>
  <c r="R372" i="18"/>
  <c r="S372" i="18"/>
  <c r="T372" i="18"/>
  <c r="U372" i="18"/>
  <c r="V372" i="18"/>
  <c r="W372" i="18"/>
  <c r="X372" i="18"/>
  <c r="AV372" i="18" s="1"/>
  <c r="Y372" i="18"/>
  <c r="BD372" i="18" s="1"/>
  <c r="Z372" i="18"/>
  <c r="AA372" i="18"/>
  <c r="AB372" i="18"/>
  <c r="AC372" i="18"/>
  <c r="AD372" i="18"/>
  <c r="AE372" i="18"/>
  <c r="AF372" i="18"/>
  <c r="D373" i="18"/>
  <c r="E373" i="18"/>
  <c r="F373" i="18"/>
  <c r="G373" i="18"/>
  <c r="H373" i="18"/>
  <c r="I373" i="18"/>
  <c r="J373" i="18"/>
  <c r="K373" i="18"/>
  <c r="L373" i="18"/>
  <c r="M373" i="18"/>
  <c r="N373" i="18"/>
  <c r="O373" i="18"/>
  <c r="P373" i="18"/>
  <c r="Q373" i="18"/>
  <c r="R373" i="18"/>
  <c r="S373" i="18"/>
  <c r="T373" i="18"/>
  <c r="U373" i="18"/>
  <c r="V373" i="18"/>
  <c r="W373" i="18"/>
  <c r="X373" i="18"/>
  <c r="AV373" i="18" s="1"/>
  <c r="Y373" i="18"/>
  <c r="BD373" i="18" s="1"/>
  <c r="Z373" i="18"/>
  <c r="AA373" i="18"/>
  <c r="AB373" i="18"/>
  <c r="AC373" i="18"/>
  <c r="AD373" i="18"/>
  <c r="AE373" i="18"/>
  <c r="AF373" i="18"/>
  <c r="D374" i="18"/>
  <c r="E374" i="18"/>
  <c r="F374" i="18"/>
  <c r="G374" i="18"/>
  <c r="H374" i="18"/>
  <c r="I374" i="18"/>
  <c r="J374" i="18"/>
  <c r="K374" i="18"/>
  <c r="L374" i="18"/>
  <c r="M374" i="18"/>
  <c r="N374" i="18"/>
  <c r="O374" i="18"/>
  <c r="P374" i="18"/>
  <c r="Q374" i="18"/>
  <c r="R374" i="18"/>
  <c r="S374" i="18"/>
  <c r="T374" i="18"/>
  <c r="U374" i="18"/>
  <c r="V374" i="18"/>
  <c r="W374" i="18"/>
  <c r="X374" i="18"/>
  <c r="AV374" i="18" s="1"/>
  <c r="Y374" i="18"/>
  <c r="BD374" i="18" s="1"/>
  <c r="Z374" i="18"/>
  <c r="AA374" i="18"/>
  <c r="AB374" i="18"/>
  <c r="AC374" i="18"/>
  <c r="AD374" i="18"/>
  <c r="AE374" i="18"/>
  <c r="AF374" i="18"/>
  <c r="D375" i="18"/>
  <c r="E375" i="18"/>
  <c r="F375" i="18"/>
  <c r="G375" i="18"/>
  <c r="H375" i="18"/>
  <c r="I375" i="18"/>
  <c r="J375" i="18"/>
  <c r="K375" i="18"/>
  <c r="L375" i="18"/>
  <c r="M375" i="18"/>
  <c r="N375" i="18"/>
  <c r="O375" i="18"/>
  <c r="P375" i="18"/>
  <c r="Q375" i="18"/>
  <c r="R375" i="18"/>
  <c r="S375" i="18"/>
  <c r="T375" i="18"/>
  <c r="U375" i="18"/>
  <c r="V375" i="18"/>
  <c r="W375" i="18"/>
  <c r="X375" i="18"/>
  <c r="AV375" i="18" s="1"/>
  <c r="Y375" i="18"/>
  <c r="BD375" i="18" s="1"/>
  <c r="Z375" i="18"/>
  <c r="AA375" i="18"/>
  <c r="AB375" i="18"/>
  <c r="AC375" i="18"/>
  <c r="AD375" i="18"/>
  <c r="AE375" i="18"/>
  <c r="AF375" i="18"/>
  <c r="D376" i="18"/>
  <c r="E376" i="18"/>
  <c r="F376" i="18"/>
  <c r="G376" i="18"/>
  <c r="H376" i="18"/>
  <c r="I376" i="18"/>
  <c r="J376" i="18"/>
  <c r="K376" i="18"/>
  <c r="L376" i="18"/>
  <c r="M376" i="18"/>
  <c r="N376" i="18"/>
  <c r="O376" i="18"/>
  <c r="P376" i="18"/>
  <c r="Q376" i="18"/>
  <c r="R376" i="18"/>
  <c r="S376" i="18"/>
  <c r="T376" i="18"/>
  <c r="U376" i="18"/>
  <c r="V376" i="18"/>
  <c r="W376" i="18"/>
  <c r="X376" i="18"/>
  <c r="AV376" i="18" s="1"/>
  <c r="Y376" i="18"/>
  <c r="BD376" i="18" s="1"/>
  <c r="Z376" i="18"/>
  <c r="AA376" i="18"/>
  <c r="AB376" i="18"/>
  <c r="AC376" i="18"/>
  <c r="AD376" i="18"/>
  <c r="AE376" i="18"/>
  <c r="AF376" i="18"/>
  <c r="D377" i="18"/>
  <c r="E377" i="18"/>
  <c r="F377" i="18"/>
  <c r="G377" i="18"/>
  <c r="H377" i="18"/>
  <c r="I377" i="18"/>
  <c r="J377" i="18"/>
  <c r="K377" i="18"/>
  <c r="L377" i="18"/>
  <c r="M377" i="18"/>
  <c r="N377" i="18"/>
  <c r="O377" i="18"/>
  <c r="P377" i="18"/>
  <c r="Q377" i="18"/>
  <c r="R377" i="18"/>
  <c r="S377" i="18"/>
  <c r="T377" i="18"/>
  <c r="U377" i="18"/>
  <c r="V377" i="18"/>
  <c r="W377" i="18"/>
  <c r="X377" i="18"/>
  <c r="AV377" i="18" s="1"/>
  <c r="Y377" i="18"/>
  <c r="BD377" i="18" s="1"/>
  <c r="Z377" i="18"/>
  <c r="AA377" i="18"/>
  <c r="AB377" i="18"/>
  <c r="AC377" i="18"/>
  <c r="AD377" i="18"/>
  <c r="AE377" i="18"/>
  <c r="AF377" i="18"/>
  <c r="D378" i="18"/>
  <c r="E378" i="18"/>
  <c r="F378" i="18"/>
  <c r="G378" i="18"/>
  <c r="H378" i="18"/>
  <c r="I378" i="18"/>
  <c r="J378" i="18"/>
  <c r="K378" i="18"/>
  <c r="L378" i="18"/>
  <c r="M378" i="18"/>
  <c r="N378" i="18"/>
  <c r="O378" i="18"/>
  <c r="P378" i="18"/>
  <c r="Q378" i="18"/>
  <c r="R378" i="18"/>
  <c r="S378" i="18"/>
  <c r="T378" i="18"/>
  <c r="U378" i="18"/>
  <c r="V378" i="18"/>
  <c r="W378" i="18"/>
  <c r="X378" i="18"/>
  <c r="AV378" i="18" s="1"/>
  <c r="Y378" i="18"/>
  <c r="BD378" i="18" s="1"/>
  <c r="Z378" i="18"/>
  <c r="AA378" i="18"/>
  <c r="AB378" i="18"/>
  <c r="AC378" i="18"/>
  <c r="AD378" i="18"/>
  <c r="AE378" i="18"/>
  <c r="AF378" i="18"/>
  <c r="D379" i="18"/>
  <c r="E379" i="18"/>
  <c r="F379" i="18"/>
  <c r="G379" i="18"/>
  <c r="H379" i="18"/>
  <c r="I379" i="18"/>
  <c r="J379" i="18"/>
  <c r="K379" i="18"/>
  <c r="L379" i="18"/>
  <c r="M379" i="18"/>
  <c r="N379" i="18"/>
  <c r="O379" i="18"/>
  <c r="P379" i="18"/>
  <c r="Q379" i="18"/>
  <c r="R379" i="18"/>
  <c r="S379" i="18"/>
  <c r="T379" i="18"/>
  <c r="U379" i="18"/>
  <c r="V379" i="18"/>
  <c r="W379" i="18"/>
  <c r="X379" i="18"/>
  <c r="AV379" i="18" s="1"/>
  <c r="Y379" i="18"/>
  <c r="BD379" i="18" s="1"/>
  <c r="Z379" i="18"/>
  <c r="AA379" i="18"/>
  <c r="AB379" i="18"/>
  <c r="AC379" i="18"/>
  <c r="AD379" i="18"/>
  <c r="AE379" i="18"/>
  <c r="AF379" i="18"/>
  <c r="D380" i="18"/>
  <c r="E380" i="18"/>
  <c r="F380" i="18"/>
  <c r="G380" i="18"/>
  <c r="H380" i="18"/>
  <c r="I380" i="18"/>
  <c r="J380" i="18"/>
  <c r="K380" i="18"/>
  <c r="L380" i="18"/>
  <c r="M380" i="18"/>
  <c r="N380" i="18"/>
  <c r="O380" i="18"/>
  <c r="P380" i="18"/>
  <c r="Q380" i="18"/>
  <c r="R380" i="18"/>
  <c r="S380" i="18"/>
  <c r="T380" i="18"/>
  <c r="U380" i="18"/>
  <c r="V380" i="18"/>
  <c r="W380" i="18"/>
  <c r="X380" i="18"/>
  <c r="AV380" i="18" s="1"/>
  <c r="Y380" i="18"/>
  <c r="BD380" i="18" s="1"/>
  <c r="Z380" i="18"/>
  <c r="AA380" i="18"/>
  <c r="AB380" i="18"/>
  <c r="AC380" i="18"/>
  <c r="AD380" i="18"/>
  <c r="AE380" i="18"/>
  <c r="AF380" i="18"/>
  <c r="D381" i="18"/>
  <c r="E381" i="18"/>
  <c r="F381" i="18"/>
  <c r="G381" i="18"/>
  <c r="H381" i="18"/>
  <c r="I381" i="18"/>
  <c r="J381" i="18"/>
  <c r="K381" i="18"/>
  <c r="L381" i="18"/>
  <c r="M381" i="18"/>
  <c r="N381" i="18"/>
  <c r="O381" i="18"/>
  <c r="P381" i="18"/>
  <c r="Q381" i="18"/>
  <c r="R381" i="18"/>
  <c r="S381" i="18"/>
  <c r="T381" i="18"/>
  <c r="U381" i="18"/>
  <c r="V381" i="18"/>
  <c r="W381" i="18"/>
  <c r="X381" i="18"/>
  <c r="AV381" i="18" s="1"/>
  <c r="Y381" i="18"/>
  <c r="BD381" i="18" s="1"/>
  <c r="Z381" i="18"/>
  <c r="AA381" i="18"/>
  <c r="AB381" i="18"/>
  <c r="AC381" i="18"/>
  <c r="AD381" i="18"/>
  <c r="AE381" i="18"/>
  <c r="AF381" i="18"/>
  <c r="D382" i="18"/>
  <c r="E382" i="18"/>
  <c r="F382" i="18"/>
  <c r="G382" i="18"/>
  <c r="H382" i="18"/>
  <c r="I382" i="18"/>
  <c r="J382" i="18"/>
  <c r="K382" i="18"/>
  <c r="L382" i="18"/>
  <c r="M382" i="18"/>
  <c r="N382" i="18"/>
  <c r="O382" i="18"/>
  <c r="P382" i="18"/>
  <c r="Q382" i="18"/>
  <c r="R382" i="18"/>
  <c r="S382" i="18"/>
  <c r="T382" i="18"/>
  <c r="U382" i="18"/>
  <c r="V382" i="18"/>
  <c r="W382" i="18"/>
  <c r="X382" i="18"/>
  <c r="AV382" i="18" s="1"/>
  <c r="Y382" i="18"/>
  <c r="BD382" i="18" s="1"/>
  <c r="Z382" i="18"/>
  <c r="AA382" i="18"/>
  <c r="AB382" i="18"/>
  <c r="AC382" i="18"/>
  <c r="AD382" i="18"/>
  <c r="AE382" i="18"/>
  <c r="AF382" i="18"/>
  <c r="D383" i="18"/>
  <c r="E383" i="18"/>
  <c r="F383" i="18"/>
  <c r="G383" i="18"/>
  <c r="H383" i="18"/>
  <c r="I383" i="18"/>
  <c r="J383" i="18"/>
  <c r="K383" i="18"/>
  <c r="L383" i="18"/>
  <c r="M383" i="18"/>
  <c r="N383" i="18"/>
  <c r="O383" i="18"/>
  <c r="P383" i="18"/>
  <c r="Q383" i="18"/>
  <c r="R383" i="18"/>
  <c r="S383" i="18"/>
  <c r="T383" i="18"/>
  <c r="U383" i="18"/>
  <c r="V383" i="18"/>
  <c r="W383" i="18"/>
  <c r="X383" i="18"/>
  <c r="AV383" i="18" s="1"/>
  <c r="Y383" i="18"/>
  <c r="BD383" i="18" s="1"/>
  <c r="Z383" i="18"/>
  <c r="AA383" i="18"/>
  <c r="AB383" i="18"/>
  <c r="AC383" i="18"/>
  <c r="AD383" i="18"/>
  <c r="AE383" i="18"/>
  <c r="AF383" i="18"/>
  <c r="D385" i="18"/>
  <c r="E385" i="18"/>
  <c r="F385" i="18"/>
  <c r="G385" i="18"/>
  <c r="H385" i="18"/>
  <c r="I385" i="18"/>
  <c r="J385" i="18"/>
  <c r="K385" i="18"/>
  <c r="L385" i="18"/>
  <c r="M385" i="18"/>
  <c r="N385" i="18"/>
  <c r="O385" i="18"/>
  <c r="P385" i="18"/>
  <c r="Q385" i="18"/>
  <c r="R385" i="18"/>
  <c r="S385" i="18"/>
  <c r="T385" i="18"/>
  <c r="U385" i="18"/>
  <c r="V385" i="18"/>
  <c r="W385" i="18"/>
  <c r="X385" i="18"/>
  <c r="AV385" i="18" s="1"/>
  <c r="Y385" i="18"/>
  <c r="BD385" i="18" s="1"/>
  <c r="Z385" i="18"/>
  <c r="AA385" i="18"/>
  <c r="AB385" i="18"/>
  <c r="AC385" i="18"/>
  <c r="AD385" i="18"/>
  <c r="AE385" i="18"/>
  <c r="AF385" i="18"/>
  <c r="D386" i="18"/>
  <c r="E386" i="18"/>
  <c r="F386" i="18"/>
  <c r="G386" i="18"/>
  <c r="H386" i="18"/>
  <c r="I386" i="18"/>
  <c r="J386" i="18"/>
  <c r="K386" i="18"/>
  <c r="L386" i="18"/>
  <c r="M386" i="18"/>
  <c r="N386" i="18"/>
  <c r="O386" i="18"/>
  <c r="P386" i="18"/>
  <c r="Q386" i="18"/>
  <c r="R386" i="18"/>
  <c r="S386" i="18"/>
  <c r="T386" i="18"/>
  <c r="U386" i="18"/>
  <c r="V386" i="18"/>
  <c r="W386" i="18"/>
  <c r="X386" i="18"/>
  <c r="AV386" i="18" s="1"/>
  <c r="Y386" i="18"/>
  <c r="BD386" i="18" s="1"/>
  <c r="Z386" i="18"/>
  <c r="AA386" i="18"/>
  <c r="AB386" i="18"/>
  <c r="AC386" i="18"/>
  <c r="AD386" i="18"/>
  <c r="AE386" i="18"/>
  <c r="AF386" i="18"/>
  <c r="D387" i="18"/>
  <c r="E387" i="18"/>
  <c r="F387" i="18"/>
  <c r="G387" i="18"/>
  <c r="H387" i="18"/>
  <c r="I387" i="18"/>
  <c r="J387" i="18"/>
  <c r="K387" i="18"/>
  <c r="L387" i="18"/>
  <c r="M387" i="18"/>
  <c r="N387" i="18"/>
  <c r="O387" i="18"/>
  <c r="P387" i="18"/>
  <c r="Q387" i="18"/>
  <c r="R387" i="18"/>
  <c r="S387" i="18"/>
  <c r="T387" i="18"/>
  <c r="U387" i="18"/>
  <c r="V387" i="18"/>
  <c r="W387" i="18"/>
  <c r="X387" i="18"/>
  <c r="AV387" i="18" s="1"/>
  <c r="Y387" i="18"/>
  <c r="BD387" i="18" s="1"/>
  <c r="Z387" i="18"/>
  <c r="AA387" i="18"/>
  <c r="AB387" i="18"/>
  <c r="AC387" i="18"/>
  <c r="AD387" i="18"/>
  <c r="AE387" i="18"/>
  <c r="AF387" i="18"/>
  <c r="D388" i="18"/>
  <c r="E388" i="18"/>
  <c r="F388" i="18"/>
  <c r="G388" i="18"/>
  <c r="H388" i="18"/>
  <c r="I388" i="18"/>
  <c r="J388" i="18"/>
  <c r="K388" i="18"/>
  <c r="L388" i="18"/>
  <c r="M388" i="18"/>
  <c r="N388" i="18"/>
  <c r="O388" i="18"/>
  <c r="P388" i="18"/>
  <c r="Q388" i="18"/>
  <c r="R388" i="18"/>
  <c r="S388" i="18"/>
  <c r="T388" i="18"/>
  <c r="U388" i="18"/>
  <c r="V388" i="18"/>
  <c r="W388" i="18"/>
  <c r="X388" i="18"/>
  <c r="AV388" i="18" s="1"/>
  <c r="Y388" i="18"/>
  <c r="BD388" i="18" s="1"/>
  <c r="Z388" i="18"/>
  <c r="AA388" i="18"/>
  <c r="AB388" i="18"/>
  <c r="AC388" i="18"/>
  <c r="AD388" i="18"/>
  <c r="AE388" i="18"/>
  <c r="AF388" i="18"/>
  <c r="D389" i="18"/>
  <c r="E389" i="18"/>
  <c r="F389" i="18"/>
  <c r="G389" i="18"/>
  <c r="H389" i="18"/>
  <c r="I389" i="18"/>
  <c r="J389" i="18"/>
  <c r="K389" i="18"/>
  <c r="L389" i="18"/>
  <c r="M389" i="18"/>
  <c r="N389" i="18"/>
  <c r="O389" i="18"/>
  <c r="P389" i="18"/>
  <c r="Q389" i="18"/>
  <c r="R389" i="18"/>
  <c r="S389" i="18"/>
  <c r="T389" i="18"/>
  <c r="U389" i="18"/>
  <c r="V389" i="18"/>
  <c r="W389" i="18"/>
  <c r="X389" i="18"/>
  <c r="AV389" i="18" s="1"/>
  <c r="Y389" i="18"/>
  <c r="BD389" i="18" s="1"/>
  <c r="Z389" i="18"/>
  <c r="AA389" i="18"/>
  <c r="AB389" i="18"/>
  <c r="AC389" i="18"/>
  <c r="AD389" i="18"/>
  <c r="AE389" i="18"/>
  <c r="AF389" i="18"/>
  <c r="D31" i="18"/>
  <c r="E31" i="18"/>
  <c r="F31" i="18"/>
  <c r="G31" i="18"/>
  <c r="H31" i="18"/>
  <c r="I31" i="18"/>
  <c r="J31" i="18"/>
  <c r="K31" i="18"/>
  <c r="L31" i="18"/>
  <c r="M31" i="18"/>
  <c r="N31" i="18"/>
  <c r="O31" i="18"/>
  <c r="P31" i="18"/>
  <c r="Q31" i="18"/>
  <c r="R31" i="18"/>
  <c r="S31" i="18"/>
  <c r="T31" i="18"/>
  <c r="U31" i="18"/>
  <c r="V31" i="18"/>
  <c r="W31" i="18"/>
  <c r="X31" i="18"/>
  <c r="AV31" i="18" s="1"/>
  <c r="Y31" i="18"/>
  <c r="BD31" i="18" s="1"/>
  <c r="Z31" i="18"/>
  <c r="AA31" i="18"/>
  <c r="AB31" i="18"/>
  <c r="AC31" i="18"/>
  <c r="AD31" i="18"/>
  <c r="AE31" i="18"/>
  <c r="AF31" i="18"/>
  <c r="D32" i="18"/>
  <c r="E32" i="18"/>
  <c r="F32" i="18"/>
  <c r="G32" i="18"/>
  <c r="H32" i="18"/>
  <c r="I32" i="18"/>
  <c r="J32" i="18"/>
  <c r="K32" i="18"/>
  <c r="L32" i="18"/>
  <c r="M32" i="18"/>
  <c r="N32" i="18"/>
  <c r="O32" i="18"/>
  <c r="P32" i="18"/>
  <c r="Q32" i="18"/>
  <c r="R32" i="18"/>
  <c r="S32" i="18"/>
  <c r="T32" i="18"/>
  <c r="U32" i="18"/>
  <c r="V32" i="18"/>
  <c r="W32" i="18"/>
  <c r="X32" i="18"/>
  <c r="AV32" i="18" s="1"/>
  <c r="Y32" i="18"/>
  <c r="BD32" i="18" s="1"/>
  <c r="Z32" i="18"/>
  <c r="AA32" i="18"/>
  <c r="AB32" i="18"/>
  <c r="AC32" i="18"/>
  <c r="AD32" i="18"/>
  <c r="AE32" i="18"/>
  <c r="AF32" i="18"/>
  <c r="D33" i="18"/>
  <c r="E33" i="18"/>
  <c r="F33" i="18"/>
  <c r="G33" i="18"/>
  <c r="H33" i="18"/>
  <c r="I33" i="18"/>
  <c r="J33" i="18"/>
  <c r="K33" i="18"/>
  <c r="L33" i="18"/>
  <c r="M33" i="18"/>
  <c r="N33" i="18"/>
  <c r="O33" i="18"/>
  <c r="P33" i="18"/>
  <c r="Q33" i="18"/>
  <c r="R33" i="18"/>
  <c r="S33" i="18"/>
  <c r="T33" i="18"/>
  <c r="U33" i="18"/>
  <c r="V33" i="18"/>
  <c r="W33" i="18"/>
  <c r="X33" i="18"/>
  <c r="AV33" i="18" s="1"/>
  <c r="Y33" i="18"/>
  <c r="BD33" i="18" s="1"/>
  <c r="Z33" i="18"/>
  <c r="AA33" i="18"/>
  <c r="AB33" i="18"/>
  <c r="AC33" i="18"/>
  <c r="AD33" i="18"/>
  <c r="AE33" i="18"/>
  <c r="AF33" i="18"/>
  <c r="D34" i="18"/>
  <c r="E34" i="18"/>
  <c r="F34" i="18"/>
  <c r="G34" i="18"/>
  <c r="H34" i="18"/>
  <c r="I34" i="18"/>
  <c r="J34" i="18"/>
  <c r="K34" i="18"/>
  <c r="L34" i="18"/>
  <c r="M34" i="18"/>
  <c r="N34" i="18"/>
  <c r="O34" i="18"/>
  <c r="P34" i="18"/>
  <c r="Q34" i="18"/>
  <c r="R34" i="18"/>
  <c r="S34" i="18"/>
  <c r="T34" i="18"/>
  <c r="U34" i="18"/>
  <c r="V34" i="18"/>
  <c r="W34" i="18"/>
  <c r="X34" i="18"/>
  <c r="AV34" i="18" s="1"/>
  <c r="Y34" i="18"/>
  <c r="BD34" i="18" s="1"/>
  <c r="Z34" i="18"/>
  <c r="AA34" i="18"/>
  <c r="AB34" i="18"/>
  <c r="AC34" i="18"/>
  <c r="AD34" i="18"/>
  <c r="AE34" i="18"/>
  <c r="AF34" i="18"/>
  <c r="D35" i="18"/>
  <c r="E35" i="18"/>
  <c r="F35" i="18"/>
  <c r="G35" i="18"/>
  <c r="H35" i="18"/>
  <c r="I35" i="18"/>
  <c r="J35" i="18"/>
  <c r="K35" i="18"/>
  <c r="L35" i="18"/>
  <c r="M35" i="18"/>
  <c r="N35" i="18"/>
  <c r="O35" i="18"/>
  <c r="P35" i="18"/>
  <c r="Q35" i="18"/>
  <c r="R35" i="18"/>
  <c r="S35" i="18"/>
  <c r="T35" i="18"/>
  <c r="U35" i="18"/>
  <c r="V35" i="18"/>
  <c r="W35" i="18"/>
  <c r="X35" i="18"/>
  <c r="AV35" i="18" s="1"/>
  <c r="Y35" i="18"/>
  <c r="BD35" i="18" s="1"/>
  <c r="Z35" i="18"/>
  <c r="AA35" i="18"/>
  <c r="AB35" i="18"/>
  <c r="AC35" i="18"/>
  <c r="AD35" i="18"/>
  <c r="AE35" i="18"/>
  <c r="AF35" i="18"/>
  <c r="D36" i="18"/>
  <c r="E36" i="18"/>
  <c r="F36" i="18"/>
  <c r="G36" i="18"/>
  <c r="H36" i="18"/>
  <c r="I36" i="18"/>
  <c r="J36" i="18"/>
  <c r="K36" i="18"/>
  <c r="L36" i="18"/>
  <c r="M36" i="18"/>
  <c r="N36" i="18"/>
  <c r="O36" i="18"/>
  <c r="P36" i="18"/>
  <c r="Q36" i="18"/>
  <c r="R36" i="18"/>
  <c r="S36" i="18"/>
  <c r="T36" i="18"/>
  <c r="U36" i="18"/>
  <c r="V36" i="18"/>
  <c r="W36" i="18"/>
  <c r="X36" i="18"/>
  <c r="AV36" i="18" s="1"/>
  <c r="Y36" i="18"/>
  <c r="BD36" i="18" s="1"/>
  <c r="Z36" i="18"/>
  <c r="AA36" i="18"/>
  <c r="AB36" i="18"/>
  <c r="AC36" i="18"/>
  <c r="AD36" i="18"/>
  <c r="AE36" i="18"/>
  <c r="AF36" i="18"/>
  <c r="D37" i="18"/>
  <c r="E37" i="18"/>
  <c r="F37" i="18"/>
  <c r="G37" i="18"/>
  <c r="H37" i="18"/>
  <c r="I37" i="18"/>
  <c r="J37" i="18"/>
  <c r="K37" i="18"/>
  <c r="L37" i="18"/>
  <c r="M37" i="18"/>
  <c r="N37" i="18"/>
  <c r="O37" i="18"/>
  <c r="P37" i="18"/>
  <c r="Q37" i="18"/>
  <c r="R37" i="18"/>
  <c r="S37" i="18"/>
  <c r="T37" i="18"/>
  <c r="U37" i="18"/>
  <c r="V37" i="18"/>
  <c r="W37" i="18"/>
  <c r="X37" i="18"/>
  <c r="AV37" i="18" s="1"/>
  <c r="Y37" i="18"/>
  <c r="BD37" i="18" s="1"/>
  <c r="Z37" i="18"/>
  <c r="AA37" i="18"/>
  <c r="AB37" i="18"/>
  <c r="AC37" i="18"/>
  <c r="AD37" i="18"/>
  <c r="AE37" i="18"/>
  <c r="AF37" i="18"/>
  <c r="D38" i="18"/>
  <c r="E38" i="18"/>
  <c r="F38" i="18"/>
  <c r="G38" i="18"/>
  <c r="H38" i="18"/>
  <c r="I38" i="18"/>
  <c r="J38" i="18"/>
  <c r="K38" i="18"/>
  <c r="L38" i="18"/>
  <c r="M38" i="18"/>
  <c r="N38" i="18"/>
  <c r="O38" i="18"/>
  <c r="P38" i="18"/>
  <c r="Q38" i="18"/>
  <c r="R38" i="18"/>
  <c r="S38" i="18"/>
  <c r="T38" i="18"/>
  <c r="U38" i="18"/>
  <c r="V38" i="18"/>
  <c r="W38" i="18"/>
  <c r="X38" i="18"/>
  <c r="AV38" i="18" s="1"/>
  <c r="Y38" i="18"/>
  <c r="BD38" i="18" s="1"/>
  <c r="Z38" i="18"/>
  <c r="AA38" i="18"/>
  <c r="AB38" i="18"/>
  <c r="AC38" i="18"/>
  <c r="AD38" i="18"/>
  <c r="AE38" i="18"/>
  <c r="AF38" i="18"/>
  <c r="D39" i="18"/>
  <c r="E39" i="18"/>
  <c r="F39" i="18"/>
  <c r="G39" i="18"/>
  <c r="H39" i="18"/>
  <c r="I39" i="18"/>
  <c r="J39" i="18"/>
  <c r="K39" i="18"/>
  <c r="L39" i="18"/>
  <c r="M39" i="18"/>
  <c r="N39" i="18"/>
  <c r="O39" i="18"/>
  <c r="P39" i="18"/>
  <c r="Q39" i="18"/>
  <c r="R39" i="18"/>
  <c r="S39" i="18"/>
  <c r="T39" i="18"/>
  <c r="U39" i="18"/>
  <c r="V39" i="18"/>
  <c r="W39" i="18"/>
  <c r="X39" i="18"/>
  <c r="AV39" i="18" s="1"/>
  <c r="Y39" i="18"/>
  <c r="BD39" i="18" s="1"/>
  <c r="Z39" i="18"/>
  <c r="AA39" i="18"/>
  <c r="AB39" i="18"/>
  <c r="AC39" i="18"/>
  <c r="AD39" i="18"/>
  <c r="AE39" i="18"/>
  <c r="AF39" i="18"/>
  <c r="D40" i="18"/>
  <c r="E40" i="18"/>
  <c r="F40" i="18"/>
  <c r="G40" i="18"/>
  <c r="H40" i="18"/>
  <c r="I40" i="18"/>
  <c r="J40" i="18"/>
  <c r="K40" i="18"/>
  <c r="L40" i="18"/>
  <c r="M40" i="18"/>
  <c r="N40" i="18"/>
  <c r="O40" i="18"/>
  <c r="P40" i="18"/>
  <c r="Q40" i="18"/>
  <c r="R40" i="18"/>
  <c r="S40" i="18"/>
  <c r="T40" i="18"/>
  <c r="U40" i="18"/>
  <c r="V40" i="18"/>
  <c r="W40" i="18"/>
  <c r="X40" i="18"/>
  <c r="AV40" i="18" s="1"/>
  <c r="Y40" i="18"/>
  <c r="BD40" i="18" s="1"/>
  <c r="Z40" i="18"/>
  <c r="AA40" i="18"/>
  <c r="AB40" i="18"/>
  <c r="AC40" i="18"/>
  <c r="AD40" i="18"/>
  <c r="AE40" i="18"/>
  <c r="AF40" i="18"/>
  <c r="D41" i="18"/>
  <c r="E41" i="18"/>
  <c r="F41" i="18"/>
  <c r="G41" i="18"/>
  <c r="H41" i="18"/>
  <c r="I41" i="18"/>
  <c r="J41" i="18"/>
  <c r="K41" i="18"/>
  <c r="L41" i="18"/>
  <c r="M41" i="18"/>
  <c r="N41" i="18"/>
  <c r="O41" i="18"/>
  <c r="P41" i="18"/>
  <c r="Q41" i="18"/>
  <c r="R41" i="18"/>
  <c r="S41" i="18"/>
  <c r="T41" i="18"/>
  <c r="U41" i="18"/>
  <c r="V41" i="18"/>
  <c r="W41" i="18"/>
  <c r="X41" i="18"/>
  <c r="AV41" i="18" s="1"/>
  <c r="Y41" i="18"/>
  <c r="BD41" i="18" s="1"/>
  <c r="Z41" i="18"/>
  <c r="AA41" i="18"/>
  <c r="AB41" i="18"/>
  <c r="AC41" i="18"/>
  <c r="AD41" i="18"/>
  <c r="AE41" i="18"/>
  <c r="AF41" i="18"/>
  <c r="D42" i="18"/>
  <c r="E42" i="18"/>
  <c r="F42" i="18"/>
  <c r="G42" i="18"/>
  <c r="H42" i="18"/>
  <c r="I42" i="18"/>
  <c r="J42" i="18"/>
  <c r="K42" i="18"/>
  <c r="L42" i="18"/>
  <c r="M42" i="18"/>
  <c r="N42" i="18"/>
  <c r="O42" i="18"/>
  <c r="P42" i="18"/>
  <c r="Q42" i="18"/>
  <c r="R42" i="18"/>
  <c r="S42" i="18"/>
  <c r="T42" i="18"/>
  <c r="U42" i="18"/>
  <c r="V42" i="18"/>
  <c r="W42" i="18"/>
  <c r="X42" i="18"/>
  <c r="AV42" i="18" s="1"/>
  <c r="Y42" i="18"/>
  <c r="BD42" i="18" s="1"/>
  <c r="Z42" i="18"/>
  <c r="AA42" i="18"/>
  <c r="AB42" i="18"/>
  <c r="AC42" i="18"/>
  <c r="AD42" i="18"/>
  <c r="AE42" i="18"/>
  <c r="AF42" i="18"/>
  <c r="D43" i="18"/>
  <c r="E43" i="18"/>
  <c r="F43" i="18"/>
  <c r="G43" i="18"/>
  <c r="H43" i="18"/>
  <c r="I43" i="18"/>
  <c r="J43" i="18"/>
  <c r="K43" i="18"/>
  <c r="L43" i="18"/>
  <c r="M43" i="18"/>
  <c r="N43" i="18"/>
  <c r="O43" i="18"/>
  <c r="P43" i="18"/>
  <c r="Q43" i="18"/>
  <c r="R43" i="18"/>
  <c r="S43" i="18"/>
  <c r="T43" i="18"/>
  <c r="U43" i="18"/>
  <c r="V43" i="18"/>
  <c r="W43" i="18"/>
  <c r="X43" i="18"/>
  <c r="AV43" i="18" s="1"/>
  <c r="Y43" i="18"/>
  <c r="BD43" i="18" s="1"/>
  <c r="Z43" i="18"/>
  <c r="AA43" i="18"/>
  <c r="AB43" i="18"/>
  <c r="AC43" i="18"/>
  <c r="AD43" i="18"/>
  <c r="AE43" i="18"/>
  <c r="AF43" i="18"/>
  <c r="D44" i="18"/>
  <c r="E44" i="18"/>
  <c r="F44" i="18"/>
  <c r="G44" i="18"/>
  <c r="H44" i="18"/>
  <c r="I44" i="18"/>
  <c r="J44" i="18"/>
  <c r="K44" i="18"/>
  <c r="L44" i="18"/>
  <c r="M44" i="18"/>
  <c r="N44" i="18"/>
  <c r="O44" i="18"/>
  <c r="P44" i="18"/>
  <c r="Q44" i="18"/>
  <c r="R44" i="18"/>
  <c r="S44" i="18"/>
  <c r="T44" i="18"/>
  <c r="U44" i="18"/>
  <c r="V44" i="18"/>
  <c r="W44" i="18"/>
  <c r="X44" i="18"/>
  <c r="AV44" i="18" s="1"/>
  <c r="Y44" i="18"/>
  <c r="BD44" i="18" s="1"/>
  <c r="Z44" i="18"/>
  <c r="AA44" i="18"/>
  <c r="AB44" i="18"/>
  <c r="AC44" i="18"/>
  <c r="AD44" i="18"/>
  <c r="AE44" i="18"/>
  <c r="AF44" i="18"/>
  <c r="D45" i="18"/>
  <c r="E45" i="18"/>
  <c r="F45" i="18"/>
  <c r="G45" i="18"/>
  <c r="H45" i="18"/>
  <c r="I45" i="18"/>
  <c r="J45" i="18"/>
  <c r="K45" i="18"/>
  <c r="L45" i="18"/>
  <c r="M45" i="18"/>
  <c r="N45" i="18"/>
  <c r="O45" i="18"/>
  <c r="P45" i="18"/>
  <c r="Q45" i="18"/>
  <c r="R45" i="18"/>
  <c r="S45" i="18"/>
  <c r="T45" i="18"/>
  <c r="U45" i="18"/>
  <c r="V45" i="18"/>
  <c r="W45" i="18"/>
  <c r="X45" i="18"/>
  <c r="AV45" i="18" s="1"/>
  <c r="Y45" i="18"/>
  <c r="BD45" i="18" s="1"/>
  <c r="Z45" i="18"/>
  <c r="AA45" i="18"/>
  <c r="AB45" i="18"/>
  <c r="AC45" i="18"/>
  <c r="AD45" i="18"/>
  <c r="AE45" i="18"/>
  <c r="AF45" i="18"/>
  <c r="D46" i="18"/>
  <c r="E46" i="18"/>
  <c r="F46" i="18"/>
  <c r="G46" i="18"/>
  <c r="H46" i="18"/>
  <c r="I46" i="18"/>
  <c r="J46" i="18"/>
  <c r="K46" i="18"/>
  <c r="L46" i="18"/>
  <c r="M46" i="18"/>
  <c r="N46" i="18"/>
  <c r="O46" i="18"/>
  <c r="P46" i="18"/>
  <c r="Q46" i="18"/>
  <c r="R46" i="18"/>
  <c r="S46" i="18"/>
  <c r="T46" i="18"/>
  <c r="U46" i="18"/>
  <c r="V46" i="18"/>
  <c r="W46" i="18"/>
  <c r="X46" i="18"/>
  <c r="AV46" i="18" s="1"/>
  <c r="Y46" i="18"/>
  <c r="BD46" i="18" s="1"/>
  <c r="Z46" i="18"/>
  <c r="AA46" i="18"/>
  <c r="AB46" i="18"/>
  <c r="AC46" i="18"/>
  <c r="AD46" i="18"/>
  <c r="AE46" i="18"/>
  <c r="AF46" i="18"/>
  <c r="D47" i="18"/>
  <c r="E47" i="18"/>
  <c r="F47" i="18"/>
  <c r="G47" i="18"/>
  <c r="H47" i="18"/>
  <c r="I47" i="18"/>
  <c r="J47" i="18"/>
  <c r="K47" i="18"/>
  <c r="L47" i="18"/>
  <c r="M47" i="18"/>
  <c r="N47" i="18"/>
  <c r="O47" i="18"/>
  <c r="P47" i="18"/>
  <c r="Q47" i="18"/>
  <c r="R47" i="18"/>
  <c r="S47" i="18"/>
  <c r="T47" i="18"/>
  <c r="U47" i="18"/>
  <c r="V47" i="18"/>
  <c r="W47" i="18"/>
  <c r="X47" i="18"/>
  <c r="AV47" i="18" s="1"/>
  <c r="Y47" i="18"/>
  <c r="BD47" i="18" s="1"/>
  <c r="Z47" i="18"/>
  <c r="AA47" i="18"/>
  <c r="AB47" i="18"/>
  <c r="AC47" i="18"/>
  <c r="AD47" i="18"/>
  <c r="AE47" i="18"/>
  <c r="AF47" i="18"/>
  <c r="D48" i="18"/>
  <c r="E48" i="18"/>
  <c r="F48" i="18"/>
  <c r="G48" i="18"/>
  <c r="H48" i="18"/>
  <c r="I48" i="18"/>
  <c r="J48" i="18"/>
  <c r="K48" i="18"/>
  <c r="L48" i="18"/>
  <c r="M48" i="18"/>
  <c r="N48" i="18"/>
  <c r="O48" i="18"/>
  <c r="P48" i="18"/>
  <c r="Q48" i="18"/>
  <c r="R48" i="18"/>
  <c r="S48" i="18"/>
  <c r="T48" i="18"/>
  <c r="U48" i="18"/>
  <c r="V48" i="18"/>
  <c r="W48" i="18"/>
  <c r="X48" i="18"/>
  <c r="AV48" i="18" s="1"/>
  <c r="Y48" i="18"/>
  <c r="BD48" i="18" s="1"/>
  <c r="Z48" i="18"/>
  <c r="AA48" i="18"/>
  <c r="AB48" i="18"/>
  <c r="AC48" i="18"/>
  <c r="AD48" i="18"/>
  <c r="AE48" i="18"/>
  <c r="AF48" i="18"/>
  <c r="D49" i="18"/>
  <c r="E49" i="18"/>
  <c r="F49" i="18"/>
  <c r="G49" i="18"/>
  <c r="H49" i="18"/>
  <c r="I49" i="18"/>
  <c r="J49" i="18"/>
  <c r="K49" i="18"/>
  <c r="L49" i="18"/>
  <c r="M49" i="18"/>
  <c r="N49" i="18"/>
  <c r="O49" i="18"/>
  <c r="P49" i="18"/>
  <c r="Q49" i="18"/>
  <c r="R49" i="18"/>
  <c r="S49" i="18"/>
  <c r="T49" i="18"/>
  <c r="U49" i="18"/>
  <c r="V49" i="18"/>
  <c r="W49" i="18"/>
  <c r="X49" i="18"/>
  <c r="AV49" i="18" s="1"/>
  <c r="Y49" i="18"/>
  <c r="BD49" i="18" s="1"/>
  <c r="Z49" i="18"/>
  <c r="AA49" i="18"/>
  <c r="AB49" i="18"/>
  <c r="AC49" i="18"/>
  <c r="AD49" i="18"/>
  <c r="AE49" i="18"/>
  <c r="AF49" i="18"/>
  <c r="D50" i="18"/>
  <c r="E50" i="18"/>
  <c r="F50" i="18"/>
  <c r="G50" i="18"/>
  <c r="H50" i="18"/>
  <c r="I50" i="18"/>
  <c r="J50" i="18"/>
  <c r="K50" i="18"/>
  <c r="L50" i="18"/>
  <c r="M50" i="18"/>
  <c r="N50" i="18"/>
  <c r="O50" i="18"/>
  <c r="P50" i="18"/>
  <c r="Q50" i="18"/>
  <c r="R50" i="18"/>
  <c r="S50" i="18"/>
  <c r="T50" i="18"/>
  <c r="U50" i="18"/>
  <c r="V50" i="18"/>
  <c r="W50" i="18"/>
  <c r="X50" i="18"/>
  <c r="AV50" i="18" s="1"/>
  <c r="Y50" i="18"/>
  <c r="BD50" i="18" s="1"/>
  <c r="Z50" i="18"/>
  <c r="AA50" i="18"/>
  <c r="AB50" i="18"/>
  <c r="AC50" i="18"/>
  <c r="AD50" i="18"/>
  <c r="AE50" i="18"/>
  <c r="AF50" i="18"/>
  <c r="D51" i="18"/>
  <c r="E51" i="18"/>
  <c r="F51" i="18"/>
  <c r="G51" i="18"/>
  <c r="H51" i="18"/>
  <c r="I51" i="18"/>
  <c r="J51" i="18"/>
  <c r="K51" i="18"/>
  <c r="L51" i="18"/>
  <c r="M51" i="18"/>
  <c r="N51" i="18"/>
  <c r="O51" i="18"/>
  <c r="P51" i="18"/>
  <c r="Q51" i="18"/>
  <c r="R51" i="18"/>
  <c r="S51" i="18"/>
  <c r="T51" i="18"/>
  <c r="U51" i="18"/>
  <c r="V51" i="18"/>
  <c r="W51" i="18"/>
  <c r="X51" i="18"/>
  <c r="AV51" i="18" s="1"/>
  <c r="Y51" i="18"/>
  <c r="BD51" i="18" s="1"/>
  <c r="Z51" i="18"/>
  <c r="AA51" i="18"/>
  <c r="AB51" i="18"/>
  <c r="AC51" i="18"/>
  <c r="AD51" i="18"/>
  <c r="AE51" i="18"/>
  <c r="AF51" i="18"/>
  <c r="D52" i="18"/>
  <c r="E52" i="18"/>
  <c r="F52" i="18"/>
  <c r="G52" i="18"/>
  <c r="H52" i="18"/>
  <c r="I52" i="18"/>
  <c r="J52" i="18"/>
  <c r="K52" i="18"/>
  <c r="L52" i="18"/>
  <c r="M52" i="18"/>
  <c r="N52" i="18"/>
  <c r="O52" i="18"/>
  <c r="P52" i="18"/>
  <c r="Q52" i="18"/>
  <c r="R52" i="18"/>
  <c r="S52" i="18"/>
  <c r="T52" i="18"/>
  <c r="U52" i="18"/>
  <c r="V52" i="18"/>
  <c r="W52" i="18"/>
  <c r="X52" i="18"/>
  <c r="AV52" i="18" s="1"/>
  <c r="Y52" i="18"/>
  <c r="BD52" i="18" s="1"/>
  <c r="Z52" i="18"/>
  <c r="AA52" i="18"/>
  <c r="AB52" i="18"/>
  <c r="AC52" i="18"/>
  <c r="AD52" i="18"/>
  <c r="AE52" i="18"/>
  <c r="AF52" i="18"/>
  <c r="D53" i="18"/>
  <c r="E53" i="18"/>
  <c r="F53" i="18"/>
  <c r="G53" i="18"/>
  <c r="H53" i="18"/>
  <c r="I53" i="18"/>
  <c r="J53" i="18"/>
  <c r="K53" i="18"/>
  <c r="L53" i="18"/>
  <c r="M53" i="18"/>
  <c r="N53" i="18"/>
  <c r="O53" i="18"/>
  <c r="P53" i="18"/>
  <c r="Q53" i="18"/>
  <c r="R53" i="18"/>
  <c r="S53" i="18"/>
  <c r="T53" i="18"/>
  <c r="U53" i="18"/>
  <c r="V53" i="18"/>
  <c r="W53" i="18"/>
  <c r="X53" i="18"/>
  <c r="AV53" i="18" s="1"/>
  <c r="Y53" i="18"/>
  <c r="BD53" i="18" s="1"/>
  <c r="Z53" i="18"/>
  <c r="AA53" i="18"/>
  <c r="AB53" i="18"/>
  <c r="AC53" i="18"/>
  <c r="AD53" i="18"/>
  <c r="AE53" i="18"/>
  <c r="AF53" i="18"/>
  <c r="D54" i="18"/>
  <c r="E54" i="18"/>
  <c r="F54" i="18"/>
  <c r="G54" i="18"/>
  <c r="H54" i="18"/>
  <c r="I54" i="18"/>
  <c r="J54" i="18"/>
  <c r="K54" i="18"/>
  <c r="L54" i="18"/>
  <c r="M54" i="18"/>
  <c r="N54" i="18"/>
  <c r="O54" i="18"/>
  <c r="P54" i="18"/>
  <c r="Q54" i="18"/>
  <c r="R54" i="18"/>
  <c r="S54" i="18"/>
  <c r="T54" i="18"/>
  <c r="U54" i="18"/>
  <c r="V54" i="18"/>
  <c r="W54" i="18"/>
  <c r="X54" i="18"/>
  <c r="AV54" i="18" s="1"/>
  <c r="Y54" i="18"/>
  <c r="BD54" i="18" s="1"/>
  <c r="Z54" i="18"/>
  <c r="AA54" i="18"/>
  <c r="AB54" i="18"/>
  <c r="AC54" i="18"/>
  <c r="AD54" i="18"/>
  <c r="AE54" i="18"/>
  <c r="AF54" i="18"/>
  <c r="D55" i="18"/>
  <c r="E55" i="18"/>
  <c r="F55" i="18"/>
  <c r="G55" i="18"/>
  <c r="H55" i="18"/>
  <c r="I55" i="18"/>
  <c r="J55" i="18"/>
  <c r="K55" i="18"/>
  <c r="L55" i="18"/>
  <c r="M55" i="18"/>
  <c r="N55" i="18"/>
  <c r="O55" i="18"/>
  <c r="P55" i="18"/>
  <c r="Q55" i="18"/>
  <c r="R55" i="18"/>
  <c r="S55" i="18"/>
  <c r="T55" i="18"/>
  <c r="U55" i="18"/>
  <c r="V55" i="18"/>
  <c r="W55" i="18"/>
  <c r="X55" i="18"/>
  <c r="AV55" i="18" s="1"/>
  <c r="Y55" i="18"/>
  <c r="BD55" i="18" s="1"/>
  <c r="Z55" i="18"/>
  <c r="AA55" i="18"/>
  <c r="AB55" i="18"/>
  <c r="AC55" i="18"/>
  <c r="AD55" i="18"/>
  <c r="AE55" i="18"/>
  <c r="AF55" i="18"/>
  <c r="D56" i="18"/>
  <c r="E56" i="18"/>
  <c r="F56" i="18"/>
  <c r="G56" i="18"/>
  <c r="H56" i="18"/>
  <c r="I56" i="18"/>
  <c r="J56" i="18"/>
  <c r="K56" i="18"/>
  <c r="L56" i="18"/>
  <c r="M56" i="18"/>
  <c r="N56" i="18"/>
  <c r="O56" i="18"/>
  <c r="P56" i="18"/>
  <c r="Q56" i="18"/>
  <c r="R56" i="18"/>
  <c r="S56" i="18"/>
  <c r="T56" i="18"/>
  <c r="U56" i="18"/>
  <c r="V56" i="18"/>
  <c r="W56" i="18"/>
  <c r="X56" i="18"/>
  <c r="AV56" i="18" s="1"/>
  <c r="Y56" i="18"/>
  <c r="BD56" i="18" s="1"/>
  <c r="Z56" i="18"/>
  <c r="AA56" i="18"/>
  <c r="AB56" i="18"/>
  <c r="AC56" i="18"/>
  <c r="AD56" i="18"/>
  <c r="AE56" i="18"/>
  <c r="AF56" i="18"/>
  <c r="D57" i="18"/>
  <c r="E57" i="18"/>
  <c r="F57" i="18"/>
  <c r="G57" i="18"/>
  <c r="H57" i="18"/>
  <c r="I57" i="18"/>
  <c r="J57" i="18"/>
  <c r="K57" i="18"/>
  <c r="L57" i="18"/>
  <c r="M57" i="18"/>
  <c r="N57" i="18"/>
  <c r="O57" i="18"/>
  <c r="P57" i="18"/>
  <c r="Q57" i="18"/>
  <c r="R57" i="18"/>
  <c r="S57" i="18"/>
  <c r="T57" i="18"/>
  <c r="U57" i="18"/>
  <c r="V57" i="18"/>
  <c r="W57" i="18"/>
  <c r="X57" i="18"/>
  <c r="AV57" i="18" s="1"/>
  <c r="Y57" i="18"/>
  <c r="BD57" i="18" s="1"/>
  <c r="Z57" i="18"/>
  <c r="AA57" i="18"/>
  <c r="AB57" i="18"/>
  <c r="AC57" i="18"/>
  <c r="AD57" i="18"/>
  <c r="AE57" i="18"/>
  <c r="AF57" i="18"/>
  <c r="D58" i="18"/>
  <c r="E58" i="18"/>
  <c r="F58" i="18"/>
  <c r="G58" i="18"/>
  <c r="H58" i="18"/>
  <c r="I58" i="18"/>
  <c r="J58" i="18"/>
  <c r="K58" i="18"/>
  <c r="L58" i="18"/>
  <c r="M58" i="18"/>
  <c r="N58" i="18"/>
  <c r="O58" i="18"/>
  <c r="P58" i="18"/>
  <c r="Q58" i="18"/>
  <c r="R58" i="18"/>
  <c r="S58" i="18"/>
  <c r="T58" i="18"/>
  <c r="U58" i="18"/>
  <c r="V58" i="18"/>
  <c r="W58" i="18"/>
  <c r="X58" i="18"/>
  <c r="AV58" i="18" s="1"/>
  <c r="Y58" i="18"/>
  <c r="BD58" i="18" s="1"/>
  <c r="Z58" i="18"/>
  <c r="AA58" i="18"/>
  <c r="AB58" i="18"/>
  <c r="AC58" i="18"/>
  <c r="AD58" i="18"/>
  <c r="AE58" i="18"/>
  <c r="AF58" i="18"/>
  <c r="D59" i="18"/>
  <c r="E59" i="18"/>
  <c r="F59" i="18"/>
  <c r="G59" i="18"/>
  <c r="H59" i="18"/>
  <c r="I59" i="18"/>
  <c r="J59" i="18"/>
  <c r="K59" i="18"/>
  <c r="L59" i="18"/>
  <c r="M59" i="18"/>
  <c r="N59" i="18"/>
  <c r="O59" i="18"/>
  <c r="P59" i="18"/>
  <c r="Q59" i="18"/>
  <c r="R59" i="18"/>
  <c r="S59" i="18"/>
  <c r="T59" i="18"/>
  <c r="U59" i="18"/>
  <c r="V59" i="18"/>
  <c r="W59" i="18"/>
  <c r="X59" i="18"/>
  <c r="AV59" i="18" s="1"/>
  <c r="Y59" i="18"/>
  <c r="BD59" i="18" s="1"/>
  <c r="Z59" i="18"/>
  <c r="AA59" i="18"/>
  <c r="AB59" i="18"/>
  <c r="AC59" i="18"/>
  <c r="AD59" i="18"/>
  <c r="AE59" i="18"/>
  <c r="AF59" i="18"/>
  <c r="D60" i="18"/>
  <c r="E60" i="18"/>
  <c r="F60" i="18"/>
  <c r="G60" i="18"/>
  <c r="H60" i="18"/>
  <c r="I60" i="18"/>
  <c r="J60" i="18"/>
  <c r="K60" i="18"/>
  <c r="L60" i="18"/>
  <c r="M60" i="18"/>
  <c r="N60" i="18"/>
  <c r="O60" i="18"/>
  <c r="P60" i="18"/>
  <c r="Q60" i="18"/>
  <c r="R60" i="18"/>
  <c r="S60" i="18"/>
  <c r="T60" i="18"/>
  <c r="U60" i="18"/>
  <c r="V60" i="18"/>
  <c r="W60" i="18"/>
  <c r="X60" i="18"/>
  <c r="AV60" i="18" s="1"/>
  <c r="Y60" i="18"/>
  <c r="BD60" i="18" s="1"/>
  <c r="Z60" i="18"/>
  <c r="AA60" i="18"/>
  <c r="AB60" i="18"/>
  <c r="AC60" i="18"/>
  <c r="AD60" i="18"/>
  <c r="AE60" i="18"/>
  <c r="AF60" i="18"/>
  <c r="D61" i="18"/>
  <c r="E61" i="18"/>
  <c r="F61" i="18"/>
  <c r="G61" i="18"/>
  <c r="H61" i="18"/>
  <c r="I61" i="18"/>
  <c r="J61" i="18"/>
  <c r="K61" i="18"/>
  <c r="L61" i="18"/>
  <c r="M61" i="18"/>
  <c r="N61" i="18"/>
  <c r="O61" i="18"/>
  <c r="P61" i="18"/>
  <c r="Q61" i="18"/>
  <c r="R61" i="18"/>
  <c r="S61" i="18"/>
  <c r="T61" i="18"/>
  <c r="U61" i="18"/>
  <c r="V61" i="18"/>
  <c r="W61" i="18"/>
  <c r="X61" i="18"/>
  <c r="AV61" i="18" s="1"/>
  <c r="Y61" i="18"/>
  <c r="BD61" i="18" s="1"/>
  <c r="Z61" i="18"/>
  <c r="AA61" i="18"/>
  <c r="AB61" i="18"/>
  <c r="AC61" i="18"/>
  <c r="AD61" i="18"/>
  <c r="AE61" i="18"/>
  <c r="AF61" i="18"/>
  <c r="D62" i="18"/>
  <c r="E62" i="18"/>
  <c r="F62" i="18"/>
  <c r="G62" i="18"/>
  <c r="H62" i="18"/>
  <c r="I62" i="18"/>
  <c r="J62" i="18"/>
  <c r="K62" i="18"/>
  <c r="L62" i="18"/>
  <c r="M62" i="18"/>
  <c r="N62" i="18"/>
  <c r="O62" i="18"/>
  <c r="P62" i="18"/>
  <c r="Q62" i="18"/>
  <c r="R62" i="18"/>
  <c r="S62" i="18"/>
  <c r="T62" i="18"/>
  <c r="U62" i="18"/>
  <c r="V62" i="18"/>
  <c r="W62" i="18"/>
  <c r="X62" i="18"/>
  <c r="AV62" i="18" s="1"/>
  <c r="Y62" i="18"/>
  <c r="BD62" i="18" s="1"/>
  <c r="Z62" i="18"/>
  <c r="AA62" i="18"/>
  <c r="AB62" i="18"/>
  <c r="AC62" i="18"/>
  <c r="AD62" i="18"/>
  <c r="AE62" i="18"/>
  <c r="AF62" i="18"/>
  <c r="D63" i="18"/>
  <c r="E63" i="18"/>
  <c r="F63" i="18"/>
  <c r="G63" i="18"/>
  <c r="H63" i="18"/>
  <c r="I63" i="18"/>
  <c r="J63" i="18"/>
  <c r="K63" i="18"/>
  <c r="L63" i="18"/>
  <c r="M63" i="18"/>
  <c r="N63" i="18"/>
  <c r="O63" i="18"/>
  <c r="P63" i="18"/>
  <c r="Q63" i="18"/>
  <c r="R63" i="18"/>
  <c r="S63" i="18"/>
  <c r="T63" i="18"/>
  <c r="U63" i="18"/>
  <c r="V63" i="18"/>
  <c r="W63" i="18"/>
  <c r="X63" i="18"/>
  <c r="AV63" i="18" s="1"/>
  <c r="Y63" i="18"/>
  <c r="BD63" i="18" s="1"/>
  <c r="Z63" i="18"/>
  <c r="AA63" i="18"/>
  <c r="AB63" i="18"/>
  <c r="AC63" i="18"/>
  <c r="AD63" i="18"/>
  <c r="AE63" i="18"/>
  <c r="AF63" i="18"/>
  <c r="D64" i="18"/>
  <c r="E64" i="18"/>
  <c r="F64" i="18"/>
  <c r="G64" i="18"/>
  <c r="H64" i="18"/>
  <c r="I64" i="18"/>
  <c r="J64" i="18"/>
  <c r="K64" i="18"/>
  <c r="L64" i="18"/>
  <c r="M64" i="18"/>
  <c r="N64" i="18"/>
  <c r="O64" i="18"/>
  <c r="P64" i="18"/>
  <c r="Q64" i="18"/>
  <c r="R64" i="18"/>
  <c r="S64" i="18"/>
  <c r="T64" i="18"/>
  <c r="U64" i="18"/>
  <c r="V64" i="18"/>
  <c r="W64" i="18"/>
  <c r="X64" i="18"/>
  <c r="AV64" i="18" s="1"/>
  <c r="Y64" i="18"/>
  <c r="BD64" i="18" s="1"/>
  <c r="Z64" i="18"/>
  <c r="AA64" i="18"/>
  <c r="AB64" i="18"/>
  <c r="AC64" i="18"/>
  <c r="AD64" i="18"/>
  <c r="AE64" i="18"/>
  <c r="AF64" i="18"/>
  <c r="D65" i="18"/>
  <c r="E65" i="18"/>
  <c r="F65" i="18"/>
  <c r="G65" i="18"/>
  <c r="H65" i="18"/>
  <c r="I65" i="18"/>
  <c r="J65" i="18"/>
  <c r="K65" i="18"/>
  <c r="L65" i="18"/>
  <c r="M65" i="18"/>
  <c r="N65" i="18"/>
  <c r="O65" i="18"/>
  <c r="P65" i="18"/>
  <c r="Q65" i="18"/>
  <c r="R65" i="18"/>
  <c r="S65" i="18"/>
  <c r="T65" i="18"/>
  <c r="U65" i="18"/>
  <c r="V65" i="18"/>
  <c r="W65" i="18"/>
  <c r="X65" i="18"/>
  <c r="AV65" i="18" s="1"/>
  <c r="Y65" i="18"/>
  <c r="BD65" i="18" s="1"/>
  <c r="Z65" i="18"/>
  <c r="AA65" i="18"/>
  <c r="AB65" i="18"/>
  <c r="AC65" i="18"/>
  <c r="AD65" i="18"/>
  <c r="AE65" i="18"/>
  <c r="AF65" i="18"/>
  <c r="D66" i="18"/>
  <c r="E66" i="18"/>
  <c r="F66" i="18"/>
  <c r="G66" i="18"/>
  <c r="H66" i="18"/>
  <c r="I66" i="18"/>
  <c r="J66" i="18"/>
  <c r="K66" i="18"/>
  <c r="L66" i="18"/>
  <c r="M66" i="18"/>
  <c r="N66" i="18"/>
  <c r="O66" i="18"/>
  <c r="P66" i="18"/>
  <c r="Q66" i="18"/>
  <c r="R66" i="18"/>
  <c r="S66" i="18"/>
  <c r="T66" i="18"/>
  <c r="U66" i="18"/>
  <c r="V66" i="18"/>
  <c r="W66" i="18"/>
  <c r="X66" i="18"/>
  <c r="AV66" i="18" s="1"/>
  <c r="Y66" i="18"/>
  <c r="BD66" i="18" s="1"/>
  <c r="Z66" i="18"/>
  <c r="AA66" i="18"/>
  <c r="AB66" i="18"/>
  <c r="AC66" i="18"/>
  <c r="AD66" i="18"/>
  <c r="AE66" i="18"/>
  <c r="AF66" i="18"/>
  <c r="D67" i="18"/>
  <c r="E67" i="18"/>
  <c r="F67" i="18"/>
  <c r="G67" i="18"/>
  <c r="H67" i="18"/>
  <c r="I67" i="18"/>
  <c r="J67" i="18"/>
  <c r="K67" i="18"/>
  <c r="L67" i="18"/>
  <c r="M67" i="18"/>
  <c r="N67" i="18"/>
  <c r="O67" i="18"/>
  <c r="P67" i="18"/>
  <c r="Q67" i="18"/>
  <c r="R67" i="18"/>
  <c r="S67" i="18"/>
  <c r="T67" i="18"/>
  <c r="U67" i="18"/>
  <c r="V67" i="18"/>
  <c r="W67" i="18"/>
  <c r="X67" i="18"/>
  <c r="AV67" i="18" s="1"/>
  <c r="Y67" i="18"/>
  <c r="BD67" i="18" s="1"/>
  <c r="Z67" i="18"/>
  <c r="AA67" i="18"/>
  <c r="AB67" i="18"/>
  <c r="AC67" i="18"/>
  <c r="AD67" i="18"/>
  <c r="AE67" i="18"/>
  <c r="AF67" i="18"/>
  <c r="D68" i="18"/>
  <c r="E68" i="18"/>
  <c r="F68" i="18"/>
  <c r="G68" i="18"/>
  <c r="H68" i="18"/>
  <c r="I68" i="18"/>
  <c r="J68" i="18"/>
  <c r="K68" i="18"/>
  <c r="L68" i="18"/>
  <c r="M68" i="18"/>
  <c r="N68" i="18"/>
  <c r="O68" i="18"/>
  <c r="P68" i="18"/>
  <c r="Q68" i="18"/>
  <c r="R68" i="18"/>
  <c r="S68" i="18"/>
  <c r="T68" i="18"/>
  <c r="U68" i="18"/>
  <c r="V68" i="18"/>
  <c r="W68" i="18"/>
  <c r="X68" i="18"/>
  <c r="AV68" i="18" s="1"/>
  <c r="Y68" i="18"/>
  <c r="BD68" i="18" s="1"/>
  <c r="Z68" i="18"/>
  <c r="AA68" i="18"/>
  <c r="AB68" i="18"/>
  <c r="AC68" i="18"/>
  <c r="AD68" i="18"/>
  <c r="AE68" i="18"/>
  <c r="AF68" i="18"/>
  <c r="D69" i="18"/>
  <c r="E69" i="18"/>
  <c r="F69" i="18"/>
  <c r="G69" i="18"/>
  <c r="H69" i="18"/>
  <c r="I69" i="18"/>
  <c r="J69" i="18"/>
  <c r="K69" i="18"/>
  <c r="L69" i="18"/>
  <c r="M69" i="18"/>
  <c r="N69" i="18"/>
  <c r="O69" i="18"/>
  <c r="P69" i="18"/>
  <c r="Q69" i="18"/>
  <c r="R69" i="18"/>
  <c r="S69" i="18"/>
  <c r="T69" i="18"/>
  <c r="U69" i="18"/>
  <c r="V69" i="18"/>
  <c r="W69" i="18"/>
  <c r="X69" i="18"/>
  <c r="AV69" i="18" s="1"/>
  <c r="Y69" i="18"/>
  <c r="BD69" i="18" s="1"/>
  <c r="Z69" i="18"/>
  <c r="AA69" i="18"/>
  <c r="AB69" i="18"/>
  <c r="AC69" i="18"/>
  <c r="AD69" i="18"/>
  <c r="AE69" i="18"/>
  <c r="AF69" i="18"/>
  <c r="D70" i="18"/>
  <c r="E70" i="18"/>
  <c r="F70" i="18"/>
  <c r="G70" i="18"/>
  <c r="H70" i="18"/>
  <c r="I70" i="18"/>
  <c r="J70" i="18"/>
  <c r="K70" i="18"/>
  <c r="L70" i="18"/>
  <c r="M70" i="18"/>
  <c r="N70" i="18"/>
  <c r="O70" i="18"/>
  <c r="P70" i="18"/>
  <c r="Q70" i="18"/>
  <c r="R70" i="18"/>
  <c r="S70" i="18"/>
  <c r="T70" i="18"/>
  <c r="U70" i="18"/>
  <c r="V70" i="18"/>
  <c r="W70" i="18"/>
  <c r="X70" i="18"/>
  <c r="AV70" i="18" s="1"/>
  <c r="Y70" i="18"/>
  <c r="BD70" i="18" s="1"/>
  <c r="Z70" i="18"/>
  <c r="AA70" i="18"/>
  <c r="AB70" i="18"/>
  <c r="AC70" i="18"/>
  <c r="AD70" i="18"/>
  <c r="AE70" i="18"/>
  <c r="AF70" i="18"/>
  <c r="D71" i="18"/>
  <c r="E71" i="18"/>
  <c r="F71" i="18"/>
  <c r="G71" i="18"/>
  <c r="H71" i="18"/>
  <c r="I71" i="18"/>
  <c r="J71" i="18"/>
  <c r="K71" i="18"/>
  <c r="L71" i="18"/>
  <c r="M71" i="18"/>
  <c r="N71" i="18"/>
  <c r="O71" i="18"/>
  <c r="P71" i="18"/>
  <c r="Q71" i="18"/>
  <c r="R71" i="18"/>
  <c r="S71" i="18"/>
  <c r="T71" i="18"/>
  <c r="U71" i="18"/>
  <c r="V71" i="18"/>
  <c r="W71" i="18"/>
  <c r="X71" i="18"/>
  <c r="AV71" i="18" s="1"/>
  <c r="Y71" i="18"/>
  <c r="BD71" i="18" s="1"/>
  <c r="Z71" i="18"/>
  <c r="AA71" i="18"/>
  <c r="AB71" i="18"/>
  <c r="AC71" i="18"/>
  <c r="AD71" i="18"/>
  <c r="AE71" i="18"/>
  <c r="AF71" i="18"/>
  <c r="D72" i="18"/>
  <c r="E72" i="18"/>
  <c r="F72" i="18"/>
  <c r="G72" i="18"/>
  <c r="H72" i="18"/>
  <c r="I72" i="18"/>
  <c r="J72" i="18"/>
  <c r="K72" i="18"/>
  <c r="L72" i="18"/>
  <c r="M72" i="18"/>
  <c r="N72" i="18"/>
  <c r="O72" i="18"/>
  <c r="P72" i="18"/>
  <c r="Q72" i="18"/>
  <c r="R72" i="18"/>
  <c r="S72" i="18"/>
  <c r="T72" i="18"/>
  <c r="U72" i="18"/>
  <c r="V72" i="18"/>
  <c r="W72" i="18"/>
  <c r="X72" i="18"/>
  <c r="AV72" i="18" s="1"/>
  <c r="Y72" i="18"/>
  <c r="BD72" i="18" s="1"/>
  <c r="Z72" i="18"/>
  <c r="AA72" i="18"/>
  <c r="AB72" i="18"/>
  <c r="AC72" i="18"/>
  <c r="AD72" i="18"/>
  <c r="AE72" i="18"/>
  <c r="AF72" i="18"/>
  <c r="D73" i="18"/>
  <c r="E73" i="18"/>
  <c r="F73" i="18"/>
  <c r="G73" i="18"/>
  <c r="H73" i="18"/>
  <c r="I73" i="18"/>
  <c r="J73" i="18"/>
  <c r="K73" i="18"/>
  <c r="L73" i="18"/>
  <c r="M73" i="18"/>
  <c r="N73" i="18"/>
  <c r="O73" i="18"/>
  <c r="P73" i="18"/>
  <c r="Q73" i="18"/>
  <c r="R73" i="18"/>
  <c r="S73" i="18"/>
  <c r="T73" i="18"/>
  <c r="U73" i="18"/>
  <c r="V73" i="18"/>
  <c r="W73" i="18"/>
  <c r="X73" i="18"/>
  <c r="AV73" i="18" s="1"/>
  <c r="Y73" i="18"/>
  <c r="BD73" i="18" s="1"/>
  <c r="Z73" i="18"/>
  <c r="AA73" i="18"/>
  <c r="AB73" i="18"/>
  <c r="AC73" i="18"/>
  <c r="AD73" i="18"/>
  <c r="AE73" i="18"/>
  <c r="AF73" i="18"/>
  <c r="D74" i="18"/>
  <c r="E74" i="18"/>
  <c r="F74" i="18"/>
  <c r="G74" i="18"/>
  <c r="H74" i="18"/>
  <c r="I74" i="18"/>
  <c r="J74" i="18"/>
  <c r="K74" i="18"/>
  <c r="L74" i="18"/>
  <c r="M74" i="18"/>
  <c r="N74" i="18"/>
  <c r="O74" i="18"/>
  <c r="P74" i="18"/>
  <c r="Q74" i="18"/>
  <c r="R74" i="18"/>
  <c r="S74" i="18"/>
  <c r="T74" i="18"/>
  <c r="U74" i="18"/>
  <c r="V74" i="18"/>
  <c r="W74" i="18"/>
  <c r="X74" i="18"/>
  <c r="AV74" i="18" s="1"/>
  <c r="Y74" i="18"/>
  <c r="BD74" i="18" s="1"/>
  <c r="Z74" i="18"/>
  <c r="AA74" i="18"/>
  <c r="AB74" i="18"/>
  <c r="AC74" i="18"/>
  <c r="AD74" i="18"/>
  <c r="AE74" i="18"/>
  <c r="AF74" i="18"/>
  <c r="D75" i="18"/>
  <c r="E75" i="18"/>
  <c r="F75" i="18"/>
  <c r="G75" i="18"/>
  <c r="H75" i="18"/>
  <c r="I75" i="18"/>
  <c r="J75" i="18"/>
  <c r="K75" i="18"/>
  <c r="L75" i="18"/>
  <c r="M75" i="18"/>
  <c r="N75" i="18"/>
  <c r="O75" i="18"/>
  <c r="P75" i="18"/>
  <c r="Q75" i="18"/>
  <c r="R75" i="18"/>
  <c r="S75" i="18"/>
  <c r="T75" i="18"/>
  <c r="U75" i="18"/>
  <c r="V75" i="18"/>
  <c r="W75" i="18"/>
  <c r="X75" i="18"/>
  <c r="AV75" i="18" s="1"/>
  <c r="Y75" i="18"/>
  <c r="BD75" i="18" s="1"/>
  <c r="Z75" i="18"/>
  <c r="AA75" i="18"/>
  <c r="AB75" i="18"/>
  <c r="AC75" i="18"/>
  <c r="AD75" i="18"/>
  <c r="AE75" i="18"/>
  <c r="AF75" i="18"/>
  <c r="D76" i="18"/>
  <c r="E76" i="18"/>
  <c r="F76" i="18"/>
  <c r="G76" i="18"/>
  <c r="H76" i="18"/>
  <c r="I76" i="18"/>
  <c r="J76" i="18"/>
  <c r="K76" i="18"/>
  <c r="L76" i="18"/>
  <c r="M76" i="18"/>
  <c r="N76" i="18"/>
  <c r="O76" i="18"/>
  <c r="P76" i="18"/>
  <c r="Q76" i="18"/>
  <c r="R76" i="18"/>
  <c r="S76" i="18"/>
  <c r="T76" i="18"/>
  <c r="U76" i="18"/>
  <c r="V76" i="18"/>
  <c r="W76" i="18"/>
  <c r="X76" i="18"/>
  <c r="AV76" i="18" s="1"/>
  <c r="Y76" i="18"/>
  <c r="BD76" i="18" s="1"/>
  <c r="Z76" i="18"/>
  <c r="AA76" i="18"/>
  <c r="AB76" i="18"/>
  <c r="AC76" i="18"/>
  <c r="AD76" i="18"/>
  <c r="AE76" i="18"/>
  <c r="AF76" i="18"/>
  <c r="D77" i="18"/>
  <c r="E77" i="18"/>
  <c r="F77" i="18"/>
  <c r="G77" i="18"/>
  <c r="H77" i="18"/>
  <c r="I77" i="18"/>
  <c r="J77" i="18"/>
  <c r="K77" i="18"/>
  <c r="L77" i="18"/>
  <c r="M77" i="18"/>
  <c r="N77" i="18"/>
  <c r="O77" i="18"/>
  <c r="P77" i="18"/>
  <c r="Q77" i="18"/>
  <c r="R77" i="18"/>
  <c r="S77" i="18"/>
  <c r="T77" i="18"/>
  <c r="U77" i="18"/>
  <c r="V77" i="18"/>
  <c r="W77" i="18"/>
  <c r="X77" i="18"/>
  <c r="AV77" i="18" s="1"/>
  <c r="Y77" i="18"/>
  <c r="BD77" i="18" s="1"/>
  <c r="Z77" i="18"/>
  <c r="AA77" i="18"/>
  <c r="AB77" i="18"/>
  <c r="AC77" i="18"/>
  <c r="AD77" i="18"/>
  <c r="AE77" i="18"/>
  <c r="AF77" i="18"/>
  <c r="D78" i="18"/>
  <c r="E78" i="18"/>
  <c r="F78" i="18"/>
  <c r="G78" i="18"/>
  <c r="H78" i="18"/>
  <c r="I78" i="18"/>
  <c r="J78" i="18"/>
  <c r="K78" i="18"/>
  <c r="L78" i="18"/>
  <c r="M78" i="18"/>
  <c r="N78" i="18"/>
  <c r="O78" i="18"/>
  <c r="P78" i="18"/>
  <c r="Q78" i="18"/>
  <c r="R78" i="18"/>
  <c r="S78" i="18"/>
  <c r="T78" i="18"/>
  <c r="U78" i="18"/>
  <c r="V78" i="18"/>
  <c r="W78" i="18"/>
  <c r="X78" i="18"/>
  <c r="AV78" i="18" s="1"/>
  <c r="Y78" i="18"/>
  <c r="BD78" i="18" s="1"/>
  <c r="Z78" i="18"/>
  <c r="AA78" i="18"/>
  <c r="AB78" i="18"/>
  <c r="AC78" i="18"/>
  <c r="AD78" i="18"/>
  <c r="AE78" i="18"/>
  <c r="AF78" i="18"/>
  <c r="D79" i="18"/>
  <c r="E79" i="18"/>
  <c r="F79" i="18"/>
  <c r="G79" i="18"/>
  <c r="H79" i="18"/>
  <c r="I79" i="18"/>
  <c r="J79" i="18"/>
  <c r="K79" i="18"/>
  <c r="L79" i="18"/>
  <c r="M79" i="18"/>
  <c r="N79" i="18"/>
  <c r="O79" i="18"/>
  <c r="P79" i="18"/>
  <c r="Q79" i="18"/>
  <c r="R79" i="18"/>
  <c r="S79" i="18"/>
  <c r="T79" i="18"/>
  <c r="U79" i="18"/>
  <c r="V79" i="18"/>
  <c r="W79" i="18"/>
  <c r="X79" i="18"/>
  <c r="AV79" i="18" s="1"/>
  <c r="Y79" i="18"/>
  <c r="BD79" i="18" s="1"/>
  <c r="Z79" i="18"/>
  <c r="AA79" i="18"/>
  <c r="AB79" i="18"/>
  <c r="AC79" i="18"/>
  <c r="AD79" i="18"/>
  <c r="AE79" i="18"/>
  <c r="AF79" i="18"/>
  <c r="D80" i="18"/>
  <c r="E80" i="18"/>
  <c r="F80" i="18"/>
  <c r="G80" i="18"/>
  <c r="H80" i="18"/>
  <c r="I80" i="18"/>
  <c r="J80" i="18"/>
  <c r="K80" i="18"/>
  <c r="L80" i="18"/>
  <c r="M80" i="18"/>
  <c r="N80" i="18"/>
  <c r="O80" i="18"/>
  <c r="P80" i="18"/>
  <c r="Q80" i="18"/>
  <c r="R80" i="18"/>
  <c r="S80" i="18"/>
  <c r="T80" i="18"/>
  <c r="U80" i="18"/>
  <c r="V80" i="18"/>
  <c r="W80" i="18"/>
  <c r="X80" i="18"/>
  <c r="AV80" i="18" s="1"/>
  <c r="Y80" i="18"/>
  <c r="BD80" i="18" s="1"/>
  <c r="Z80" i="18"/>
  <c r="AA80" i="18"/>
  <c r="AB80" i="18"/>
  <c r="AC80" i="18"/>
  <c r="AD80" i="18"/>
  <c r="AE80" i="18"/>
  <c r="AF80" i="18"/>
  <c r="D81" i="18"/>
  <c r="E81" i="18"/>
  <c r="F81" i="18"/>
  <c r="G81" i="18"/>
  <c r="H81" i="18"/>
  <c r="I81" i="18"/>
  <c r="J81" i="18"/>
  <c r="K81" i="18"/>
  <c r="L81" i="18"/>
  <c r="M81" i="18"/>
  <c r="N81" i="18"/>
  <c r="O81" i="18"/>
  <c r="P81" i="18"/>
  <c r="Q81" i="18"/>
  <c r="R81" i="18"/>
  <c r="S81" i="18"/>
  <c r="T81" i="18"/>
  <c r="U81" i="18"/>
  <c r="V81" i="18"/>
  <c r="W81" i="18"/>
  <c r="X81" i="18"/>
  <c r="AV81" i="18" s="1"/>
  <c r="Y81" i="18"/>
  <c r="BD81" i="18" s="1"/>
  <c r="Z81" i="18"/>
  <c r="AA81" i="18"/>
  <c r="AB81" i="18"/>
  <c r="AC81" i="18"/>
  <c r="AD81" i="18"/>
  <c r="AE81" i="18"/>
  <c r="AF81" i="18"/>
  <c r="D82" i="18"/>
  <c r="E82" i="18"/>
  <c r="F82" i="18"/>
  <c r="G82" i="18"/>
  <c r="H82" i="18"/>
  <c r="I82" i="18"/>
  <c r="J82" i="18"/>
  <c r="K82" i="18"/>
  <c r="L82" i="18"/>
  <c r="M82" i="18"/>
  <c r="N82" i="18"/>
  <c r="O82" i="18"/>
  <c r="P82" i="18"/>
  <c r="Q82" i="18"/>
  <c r="R82" i="18"/>
  <c r="S82" i="18"/>
  <c r="T82" i="18"/>
  <c r="U82" i="18"/>
  <c r="V82" i="18"/>
  <c r="W82" i="18"/>
  <c r="X82" i="18"/>
  <c r="AV82" i="18" s="1"/>
  <c r="Y82" i="18"/>
  <c r="BD82" i="18" s="1"/>
  <c r="Z82" i="18"/>
  <c r="AA82" i="18"/>
  <c r="AB82" i="18"/>
  <c r="AC82" i="18"/>
  <c r="AD82" i="18"/>
  <c r="AE82" i="18"/>
  <c r="AF82" i="18"/>
  <c r="D83" i="18"/>
  <c r="E83" i="18"/>
  <c r="F83" i="18"/>
  <c r="G83" i="18"/>
  <c r="H83" i="18"/>
  <c r="I83" i="18"/>
  <c r="J83" i="18"/>
  <c r="K83" i="18"/>
  <c r="L83" i="18"/>
  <c r="M83" i="18"/>
  <c r="N83" i="18"/>
  <c r="O83" i="18"/>
  <c r="P83" i="18"/>
  <c r="Q83" i="18"/>
  <c r="R83" i="18"/>
  <c r="S83" i="18"/>
  <c r="T83" i="18"/>
  <c r="U83" i="18"/>
  <c r="V83" i="18"/>
  <c r="W83" i="18"/>
  <c r="X83" i="18"/>
  <c r="AV83" i="18" s="1"/>
  <c r="Y83" i="18"/>
  <c r="BD83" i="18" s="1"/>
  <c r="Z83" i="18"/>
  <c r="AA83" i="18"/>
  <c r="AB83" i="18"/>
  <c r="AC83" i="18"/>
  <c r="AD83" i="18"/>
  <c r="AE83" i="18"/>
  <c r="AF83" i="18"/>
  <c r="D84" i="18"/>
  <c r="E84" i="18"/>
  <c r="F84" i="18"/>
  <c r="G84" i="18"/>
  <c r="H84" i="18"/>
  <c r="I84" i="18"/>
  <c r="J84" i="18"/>
  <c r="K84" i="18"/>
  <c r="L84" i="18"/>
  <c r="M84" i="18"/>
  <c r="N84" i="18"/>
  <c r="O84" i="18"/>
  <c r="P84" i="18"/>
  <c r="Q84" i="18"/>
  <c r="R84" i="18"/>
  <c r="S84" i="18"/>
  <c r="T84" i="18"/>
  <c r="U84" i="18"/>
  <c r="V84" i="18"/>
  <c r="W84" i="18"/>
  <c r="X84" i="18"/>
  <c r="AV84" i="18" s="1"/>
  <c r="Y84" i="18"/>
  <c r="BD84" i="18" s="1"/>
  <c r="Z84" i="18"/>
  <c r="AA84" i="18"/>
  <c r="AB84" i="18"/>
  <c r="AC84" i="18"/>
  <c r="AD84" i="18"/>
  <c r="AE84" i="18"/>
  <c r="AF84" i="18"/>
  <c r="D85" i="18"/>
  <c r="E85" i="18"/>
  <c r="F85" i="18"/>
  <c r="G85" i="18"/>
  <c r="H85" i="18"/>
  <c r="I85" i="18"/>
  <c r="J85" i="18"/>
  <c r="K85" i="18"/>
  <c r="L85" i="18"/>
  <c r="M85" i="18"/>
  <c r="N85" i="18"/>
  <c r="O85" i="18"/>
  <c r="P85" i="18"/>
  <c r="Q85" i="18"/>
  <c r="R85" i="18"/>
  <c r="S85" i="18"/>
  <c r="T85" i="18"/>
  <c r="U85" i="18"/>
  <c r="V85" i="18"/>
  <c r="W85" i="18"/>
  <c r="X85" i="18"/>
  <c r="AV85" i="18" s="1"/>
  <c r="Y85" i="18"/>
  <c r="BD85" i="18" s="1"/>
  <c r="Z85" i="18"/>
  <c r="AA85" i="18"/>
  <c r="AB85" i="18"/>
  <c r="AC85" i="18"/>
  <c r="AD85" i="18"/>
  <c r="AE85" i="18"/>
  <c r="AF85" i="18"/>
  <c r="D86" i="18"/>
  <c r="E86" i="18"/>
  <c r="F86" i="18"/>
  <c r="G86" i="18"/>
  <c r="H86" i="18"/>
  <c r="I86" i="18"/>
  <c r="J86" i="18"/>
  <c r="K86" i="18"/>
  <c r="L86" i="18"/>
  <c r="M86" i="18"/>
  <c r="N86" i="18"/>
  <c r="O86" i="18"/>
  <c r="P86" i="18"/>
  <c r="Q86" i="18"/>
  <c r="R86" i="18"/>
  <c r="S86" i="18"/>
  <c r="T86" i="18"/>
  <c r="U86" i="18"/>
  <c r="V86" i="18"/>
  <c r="W86" i="18"/>
  <c r="X86" i="18"/>
  <c r="AV86" i="18" s="1"/>
  <c r="Y86" i="18"/>
  <c r="BD86" i="18" s="1"/>
  <c r="Z86" i="18"/>
  <c r="AA86" i="18"/>
  <c r="AB86" i="18"/>
  <c r="AC86" i="18"/>
  <c r="AD86" i="18"/>
  <c r="AE86" i="18"/>
  <c r="AF86" i="18"/>
  <c r="D87" i="18"/>
  <c r="E87" i="18"/>
  <c r="F87" i="18"/>
  <c r="G87" i="18"/>
  <c r="H87" i="18"/>
  <c r="I87" i="18"/>
  <c r="J87" i="18"/>
  <c r="K87" i="18"/>
  <c r="L87" i="18"/>
  <c r="M87" i="18"/>
  <c r="N87" i="18"/>
  <c r="O87" i="18"/>
  <c r="P87" i="18"/>
  <c r="Q87" i="18"/>
  <c r="R87" i="18"/>
  <c r="S87" i="18"/>
  <c r="T87" i="18"/>
  <c r="U87" i="18"/>
  <c r="V87" i="18"/>
  <c r="W87" i="18"/>
  <c r="X87" i="18"/>
  <c r="AV87" i="18" s="1"/>
  <c r="Y87" i="18"/>
  <c r="BD87" i="18" s="1"/>
  <c r="Z87" i="18"/>
  <c r="AA87" i="18"/>
  <c r="AB87" i="18"/>
  <c r="AC87" i="18"/>
  <c r="AD87" i="18"/>
  <c r="AE87" i="18"/>
  <c r="AF87" i="18"/>
  <c r="D88" i="18"/>
  <c r="E88" i="18"/>
  <c r="F88" i="18"/>
  <c r="G88" i="18"/>
  <c r="H88" i="18"/>
  <c r="I88" i="18"/>
  <c r="J88" i="18"/>
  <c r="K88" i="18"/>
  <c r="L88" i="18"/>
  <c r="M88" i="18"/>
  <c r="N88" i="18"/>
  <c r="O88" i="18"/>
  <c r="P88" i="18"/>
  <c r="Q88" i="18"/>
  <c r="R88" i="18"/>
  <c r="S88" i="18"/>
  <c r="T88" i="18"/>
  <c r="U88" i="18"/>
  <c r="V88" i="18"/>
  <c r="W88" i="18"/>
  <c r="X88" i="18"/>
  <c r="AV88" i="18" s="1"/>
  <c r="Y88" i="18"/>
  <c r="BD88" i="18" s="1"/>
  <c r="Z88" i="18"/>
  <c r="AA88" i="18"/>
  <c r="AB88" i="18"/>
  <c r="AC88" i="18"/>
  <c r="AD88" i="18"/>
  <c r="AE88" i="18"/>
  <c r="AF88" i="18"/>
  <c r="D89" i="18"/>
  <c r="E89" i="18"/>
  <c r="F89" i="18"/>
  <c r="G89" i="18"/>
  <c r="H89" i="18"/>
  <c r="I89" i="18"/>
  <c r="J89" i="18"/>
  <c r="K89" i="18"/>
  <c r="L89" i="18"/>
  <c r="M89" i="18"/>
  <c r="N89" i="18"/>
  <c r="O89" i="18"/>
  <c r="P89" i="18"/>
  <c r="Q89" i="18"/>
  <c r="R89" i="18"/>
  <c r="S89" i="18"/>
  <c r="T89" i="18"/>
  <c r="U89" i="18"/>
  <c r="V89" i="18"/>
  <c r="W89" i="18"/>
  <c r="X89" i="18"/>
  <c r="AV89" i="18" s="1"/>
  <c r="Y89" i="18"/>
  <c r="BD89" i="18" s="1"/>
  <c r="Z89" i="18"/>
  <c r="AA89" i="18"/>
  <c r="AB89" i="18"/>
  <c r="AC89" i="18"/>
  <c r="AD89" i="18"/>
  <c r="AE89" i="18"/>
  <c r="AF89" i="18"/>
  <c r="D90" i="18"/>
  <c r="E90" i="18"/>
  <c r="F90" i="18"/>
  <c r="G90" i="18"/>
  <c r="H90" i="18"/>
  <c r="I90" i="18"/>
  <c r="J90" i="18"/>
  <c r="K90" i="18"/>
  <c r="L90" i="18"/>
  <c r="M90" i="18"/>
  <c r="N90" i="18"/>
  <c r="O90" i="18"/>
  <c r="P90" i="18"/>
  <c r="Q90" i="18"/>
  <c r="R90" i="18"/>
  <c r="S90" i="18"/>
  <c r="T90" i="18"/>
  <c r="U90" i="18"/>
  <c r="V90" i="18"/>
  <c r="W90" i="18"/>
  <c r="X90" i="18"/>
  <c r="AV90" i="18" s="1"/>
  <c r="Y90" i="18"/>
  <c r="BD90" i="18" s="1"/>
  <c r="Z90" i="18"/>
  <c r="AA90" i="18"/>
  <c r="AB90" i="18"/>
  <c r="AC90" i="18"/>
  <c r="AD90" i="18"/>
  <c r="AE90" i="18"/>
  <c r="AF90" i="18"/>
  <c r="D91" i="18"/>
  <c r="E91" i="18"/>
  <c r="F91" i="18"/>
  <c r="G91" i="18"/>
  <c r="H91" i="18"/>
  <c r="I91" i="18"/>
  <c r="J91" i="18"/>
  <c r="K91" i="18"/>
  <c r="L91" i="18"/>
  <c r="M91" i="18"/>
  <c r="N91" i="18"/>
  <c r="O91" i="18"/>
  <c r="P91" i="18"/>
  <c r="Q91" i="18"/>
  <c r="R91" i="18"/>
  <c r="S91" i="18"/>
  <c r="T91" i="18"/>
  <c r="U91" i="18"/>
  <c r="V91" i="18"/>
  <c r="W91" i="18"/>
  <c r="X91" i="18"/>
  <c r="AV91" i="18" s="1"/>
  <c r="Y91" i="18"/>
  <c r="BD91" i="18" s="1"/>
  <c r="Z91" i="18"/>
  <c r="AA91" i="18"/>
  <c r="AB91" i="18"/>
  <c r="AC91" i="18"/>
  <c r="AD91" i="18"/>
  <c r="AE91" i="18"/>
  <c r="AF91" i="18"/>
  <c r="D92" i="18"/>
  <c r="E92" i="18"/>
  <c r="F92" i="18"/>
  <c r="G92" i="18"/>
  <c r="H92" i="18"/>
  <c r="I92" i="18"/>
  <c r="J92" i="18"/>
  <c r="K92" i="18"/>
  <c r="L92" i="18"/>
  <c r="M92" i="18"/>
  <c r="N92" i="18"/>
  <c r="O92" i="18"/>
  <c r="P92" i="18"/>
  <c r="Q92" i="18"/>
  <c r="R92" i="18"/>
  <c r="S92" i="18"/>
  <c r="T92" i="18"/>
  <c r="U92" i="18"/>
  <c r="V92" i="18"/>
  <c r="W92" i="18"/>
  <c r="X92" i="18"/>
  <c r="AV92" i="18" s="1"/>
  <c r="Y92" i="18"/>
  <c r="BD92" i="18" s="1"/>
  <c r="Z92" i="18"/>
  <c r="AA92" i="18"/>
  <c r="AB92" i="18"/>
  <c r="AC92" i="18"/>
  <c r="AD92" i="18"/>
  <c r="AE92" i="18"/>
  <c r="AF92" i="18"/>
  <c r="D93" i="18"/>
  <c r="E93" i="18"/>
  <c r="F93" i="18"/>
  <c r="G93" i="18"/>
  <c r="H93" i="18"/>
  <c r="I93" i="18"/>
  <c r="J93" i="18"/>
  <c r="K93" i="18"/>
  <c r="L93" i="18"/>
  <c r="M93" i="18"/>
  <c r="N93" i="18"/>
  <c r="O93" i="18"/>
  <c r="P93" i="18"/>
  <c r="Q93" i="18"/>
  <c r="R93" i="18"/>
  <c r="S93" i="18"/>
  <c r="T93" i="18"/>
  <c r="U93" i="18"/>
  <c r="V93" i="18"/>
  <c r="W93" i="18"/>
  <c r="X93" i="18"/>
  <c r="AV93" i="18" s="1"/>
  <c r="Y93" i="18"/>
  <c r="BD93" i="18" s="1"/>
  <c r="Z93" i="18"/>
  <c r="AA93" i="18"/>
  <c r="AB93" i="18"/>
  <c r="AC93" i="18"/>
  <c r="AD93" i="18"/>
  <c r="AE93" i="18"/>
  <c r="AF93" i="18"/>
  <c r="D94" i="18"/>
  <c r="E94" i="18"/>
  <c r="F94" i="18"/>
  <c r="G94" i="18"/>
  <c r="H94" i="18"/>
  <c r="I94" i="18"/>
  <c r="J94" i="18"/>
  <c r="K94" i="18"/>
  <c r="L94" i="18"/>
  <c r="M94" i="18"/>
  <c r="N94" i="18"/>
  <c r="O94" i="18"/>
  <c r="P94" i="18"/>
  <c r="Q94" i="18"/>
  <c r="R94" i="18"/>
  <c r="S94" i="18"/>
  <c r="T94" i="18"/>
  <c r="U94" i="18"/>
  <c r="V94" i="18"/>
  <c r="W94" i="18"/>
  <c r="X94" i="18"/>
  <c r="AV94" i="18" s="1"/>
  <c r="Y94" i="18"/>
  <c r="BD94" i="18" s="1"/>
  <c r="Z94" i="18"/>
  <c r="AA94" i="18"/>
  <c r="AB94" i="18"/>
  <c r="AC94" i="18"/>
  <c r="AD94" i="18"/>
  <c r="AE94" i="18"/>
  <c r="AF94" i="18"/>
  <c r="D95" i="18"/>
  <c r="E95" i="18"/>
  <c r="F95" i="18"/>
  <c r="G95" i="18"/>
  <c r="H95" i="18"/>
  <c r="I95" i="18"/>
  <c r="J95" i="18"/>
  <c r="K95" i="18"/>
  <c r="L95" i="18"/>
  <c r="M95" i="18"/>
  <c r="N95" i="18"/>
  <c r="O95" i="18"/>
  <c r="P95" i="18"/>
  <c r="Q95" i="18"/>
  <c r="R95" i="18"/>
  <c r="S95" i="18"/>
  <c r="T95" i="18"/>
  <c r="U95" i="18"/>
  <c r="V95" i="18"/>
  <c r="W95" i="18"/>
  <c r="X95" i="18"/>
  <c r="AV95" i="18" s="1"/>
  <c r="Y95" i="18"/>
  <c r="BD95" i="18" s="1"/>
  <c r="Z95" i="18"/>
  <c r="AA95" i="18"/>
  <c r="AB95" i="18"/>
  <c r="AC95" i="18"/>
  <c r="AD95" i="18"/>
  <c r="AE95" i="18"/>
  <c r="AF95" i="18"/>
  <c r="D96" i="18"/>
  <c r="E96" i="18"/>
  <c r="F96" i="18"/>
  <c r="G96" i="18"/>
  <c r="H96" i="18"/>
  <c r="I96" i="18"/>
  <c r="J96" i="18"/>
  <c r="K96" i="18"/>
  <c r="L96" i="18"/>
  <c r="M96" i="18"/>
  <c r="N96" i="18"/>
  <c r="O96" i="18"/>
  <c r="P96" i="18"/>
  <c r="Q96" i="18"/>
  <c r="R96" i="18"/>
  <c r="S96" i="18"/>
  <c r="T96" i="18"/>
  <c r="U96" i="18"/>
  <c r="V96" i="18"/>
  <c r="W96" i="18"/>
  <c r="X96" i="18"/>
  <c r="AV96" i="18" s="1"/>
  <c r="Y96" i="18"/>
  <c r="BD96" i="18" s="1"/>
  <c r="Z96" i="18"/>
  <c r="AA96" i="18"/>
  <c r="AB96" i="18"/>
  <c r="AC96" i="18"/>
  <c r="AD96" i="18"/>
  <c r="AE96" i="18"/>
  <c r="AF96" i="18"/>
  <c r="D97" i="18"/>
  <c r="E97" i="18"/>
  <c r="F97" i="18"/>
  <c r="G97" i="18"/>
  <c r="H97" i="18"/>
  <c r="I97" i="18"/>
  <c r="J97" i="18"/>
  <c r="K97" i="18"/>
  <c r="L97" i="18"/>
  <c r="M97" i="18"/>
  <c r="N97" i="18"/>
  <c r="O97" i="18"/>
  <c r="P97" i="18"/>
  <c r="Q97" i="18"/>
  <c r="R97" i="18"/>
  <c r="S97" i="18"/>
  <c r="T97" i="18"/>
  <c r="U97" i="18"/>
  <c r="V97" i="18"/>
  <c r="W97" i="18"/>
  <c r="X97" i="18"/>
  <c r="AV97" i="18" s="1"/>
  <c r="Y97" i="18"/>
  <c r="BD97" i="18" s="1"/>
  <c r="Z97" i="18"/>
  <c r="AA97" i="18"/>
  <c r="AB97" i="18"/>
  <c r="AC97" i="18"/>
  <c r="AD97" i="18"/>
  <c r="AE97" i="18"/>
  <c r="AF97" i="18"/>
  <c r="D98" i="18"/>
  <c r="E98" i="18"/>
  <c r="F98" i="18"/>
  <c r="G98" i="18"/>
  <c r="H98" i="18"/>
  <c r="I98" i="18"/>
  <c r="J98" i="18"/>
  <c r="K98" i="18"/>
  <c r="L98" i="18"/>
  <c r="M98" i="18"/>
  <c r="N98" i="18"/>
  <c r="O98" i="18"/>
  <c r="P98" i="18"/>
  <c r="Q98" i="18"/>
  <c r="R98" i="18"/>
  <c r="S98" i="18"/>
  <c r="T98" i="18"/>
  <c r="U98" i="18"/>
  <c r="V98" i="18"/>
  <c r="W98" i="18"/>
  <c r="X98" i="18"/>
  <c r="AV98" i="18" s="1"/>
  <c r="Y98" i="18"/>
  <c r="BD98" i="18" s="1"/>
  <c r="Z98" i="18"/>
  <c r="AA98" i="18"/>
  <c r="AB98" i="18"/>
  <c r="AC98" i="18"/>
  <c r="AD98" i="18"/>
  <c r="AE98" i="18"/>
  <c r="AF98" i="18"/>
  <c r="D99" i="18"/>
  <c r="E99" i="18"/>
  <c r="F99" i="18"/>
  <c r="G99" i="18"/>
  <c r="H99" i="18"/>
  <c r="I99" i="18"/>
  <c r="J99" i="18"/>
  <c r="K99" i="18"/>
  <c r="L99" i="18"/>
  <c r="M99" i="18"/>
  <c r="N99" i="18"/>
  <c r="O99" i="18"/>
  <c r="P99" i="18"/>
  <c r="Q99" i="18"/>
  <c r="R99" i="18"/>
  <c r="S99" i="18"/>
  <c r="T99" i="18"/>
  <c r="U99" i="18"/>
  <c r="V99" i="18"/>
  <c r="W99" i="18"/>
  <c r="X99" i="18"/>
  <c r="AV99" i="18" s="1"/>
  <c r="Y99" i="18"/>
  <c r="BD99" i="18" s="1"/>
  <c r="Z99" i="18"/>
  <c r="AA99" i="18"/>
  <c r="AB99" i="18"/>
  <c r="AC99" i="18"/>
  <c r="AD99" i="18"/>
  <c r="AE99" i="18"/>
  <c r="AF99" i="18"/>
  <c r="D100" i="18"/>
  <c r="E100" i="18"/>
  <c r="F100" i="18"/>
  <c r="G100" i="18"/>
  <c r="H100" i="18"/>
  <c r="I100" i="18"/>
  <c r="J100" i="18"/>
  <c r="K100" i="18"/>
  <c r="L100" i="18"/>
  <c r="M100" i="18"/>
  <c r="N100" i="18"/>
  <c r="O100" i="18"/>
  <c r="P100" i="18"/>
  <c r="Q100" i="18"/>
  <c r="R100" i="18"/>
  <c r="S100" i="18"/>
  <c r="T100" i="18"/>
  <c r="U100" i="18"/>
  <c r="V100" i="18"/>
  <c r="W100" i="18"/>
  <c r="X100" i="18"/>
  <c r="AV100" i="18" s="1"/>
  <c r="Y100" i="18"/>
  <c r="BD100" i="18" s="1"/>
  <c r="Z100" i="18"/>
  <c r="AA100" i="18"/>
  <c r="AB100" i="18"/>
  <c r="AC100" i="18"/>
  <c r="AD100" i="18"/>
  <c r="AE100" i="18"/>
  <c r="AF100" i="18"/>
  <c r="D101" i="18"/>
  <c r="E101" i="18"/>
  <c r="F101" i="18"/>
  <c r="G101" i="18"/>
  <c r="H101" i="18"/>
  <c r="I101" i="18"/>
  <c r="J101" i="18"/>
  <c r="K101" i="18"/>
  <c r="L101" i="18"/>
  <c r="M101" i="18"/>
  <c r="N101" i="18"/>
  <c r="O101" i="18"/>
  <c r="P101" i="18"/>
  <c r="Q101" i="18"/>
  <c r="R101" i="18"/>
  <c r="S101" i="18"/>
  <c r="T101" i="18"/>
  <c r="U101" i="18"/>
  <c r="V101" i="18"/>
  <c r="W101" i="18"/>
  <c r="X101" i="18"/>
  <c r="AV101" i="18" s="1"/>
  <c r="Y101" i="18"/>
  <c r="BD101" i="18" s="1"/>
  <c r="Z101" i="18"/>
  <c r="AA101" i="18"/>
  <c r="AB101" i="18"/>
  <c r="AC101" i="18"/>
  <c r="AD101" i="18"/>
  <c r="AE101" i="18"/>
  <c r="AF101" i="18"/>
  <c r="D102" i="18"/>
  <c r="E102" i="18"/>
  <c r="F102" i="18"/>
  <c r="G102" i="18"/>
  <c r="H102" i="18"/>
  <c r="I102" i="18"/>
  <c r="J102" i="18"/>
  <c r="K102" i="18"/>
  <c r="L102" i="18"/>
  <c r="M102" i="18"/>
  <c r="N102" i="18"/>
  <c r="O102" i="18"/>
  <c r="P102" i="18"/>
  <c r="Q102" i="18"/>
  <c r="R102" i="18"/>
  <c r="S102" i="18"/>
  <c r="T102" i="18"/>
  <c r="U102" i="18"/>
  <c r="V102" i="18"/>
  <c r="W102" i="18"/>
  <c r="X102" i="18"/>
  <c r="AV102" i="18" s="1"/>
  <c r="Y102" i="18"/>
  <c r="BD102" i="18" s="1"/>
  <c r="Z102" i="18"/>
  <c r="AA102" i="18"/>
  <c r="AB102" i="18"/>
  <c r="AC102" i="18"/>
  <c r="AD102" i="18"/>
  <c r="AE102" i="18"/>
  <c r="AF102" i="18"/>
  <c r="D103" i="18"/>
  <c r="E103" i="18"/>
  <c r="F103" i="18"/>
  <c r="G103" i="18"/>
  <c r="H103" i="18"/>
  <c r="I103" i="18"/>
  <c r="J103" i="18"/>
  <c r="K103" i="18"/>
  <c r="L103" i="18"/>
  <c r="M103" i="18"/>
  <c r="N103" i="18"/>
  <c r="O103" i="18"/>
  <c r="P103" i="18"/>
  <c r="Q103" i="18"/>
  <c r="R103" i="18"/>
  <c r="S103" i="18"/>
  <c r="T103" i="18"/>
  <c r="U103" i="18"/>
  <c r="V103" i="18"/>
  <c r="W103" i="18"/>
  <c r="X103" i="18"/>
  <c r="AV103" i="18" s="1"/>
  <c r="Y103" i="18"/>
  <c r="BD103" i="18" s="1"/>
  <c r="Z103" i="18"/>
  <c r="AA103" i="18"/>
  <c r="AB103" i="18"/>
  <c r="AC103" i="18"/>
  <c r="AD103" i="18"/>
  <c r="AE103" i="18"/>
  <c r="AF103" i="18"/>
  <c r="D104" i="18"/>
  <c r="E104" i="18"/>
  <c r="F104" i="18"/>
  <c r="G104" i="18"/>
  <c r="H104" i="18"/>
  <c r="I104" i="18"/>
  <c r="J104" i="18"/>
  <c r="K104" i="18"/>
  <c r="L104" i="18"/>
  <c r="M104" i="18"/>
  <c r="N104" i="18"/>
  <c r="O104" i="18"/>
  <c r="P104" i="18"/>
  <c r="Q104" i="18"/>
  <c r="R104" i="18"/>
  <c r="S104" i="18"/>
  <c r="T104" i="18"/>
  <c r="U104" i="18"/>
  <c r="V104" i="18"/>
  <c r="W104" i="18"/>
  <c r="X104" i="18"/>
  <c r="AV104" i="18" s="1"/>
  <c r="Y104" i="18"/>
  <c r="BD104" i="18" s="1"/>
  <c r="Z104" i="18"/>
  <c r="AA104" i="18"/>
  <c r="AB104" i="18"/>
  <c r="AC104" i="18"/>
  <c r="AD104" i="18"/>
  <c r="AE104" i="18"/>
  <c r="AF104" i="18"/>
  <c r="D105" i="18"/>
  <c r="E105" i="18"/>
  <c r="F105" i="18"/>
  <c r="G105" i="18"/>
  <c r="H105" i="18"/>
  <c r="I105" i="18"/>
  <c r="J105" i="18"/>
  <c r="K105" i="18"/>
  <c r="L105" i="18"/>
  <c r="M105" i="18"/>
  <c r="N105" i="18"/>
  <c r="O105" i="18"/>
  <c r="P105" i="18"/>
  <c r="Q105" i="18"/>
  <c r="R105" i="18"/>
  <c r="S105" i="18"/>
  <c r="T105" i="18"/>
  <c r="U105" i="18"/>
  <c r="V105" i="18"/>
  <c r="W105" i="18"/>
  <c r="X105" i="18"/>
  <c r="AV105" i="18" s="1"/>
  <c r="Y105" i="18"/>
  <c r="BD105" i="18" s="1"/>
  <c r="Z105" i="18"/>
  <c r="AA105" i="18"/>
  <c r="AB105" i="18"/>
  <c r="AC105" i="18"/>
  <c r="AD105" i="18"/>
  <c r="AE105" i="18"/>
  <c r="AF105" i="18"/>
  <c r="D106" i="18"/>
  <c r="E106" i="18"/>
  <c r="F106" i="18"/>
  <c r="G106" i="18"/>
  <c r="H106" i="18"/>
  <c r="I106" i="18"/>
  <c r="J106" i="18"/>
  <c r="K106" i="18"/>
  <c r="L106" i="18"/>
  <c r="M106" i="18"/>
  <c r="N106" i="18"/>
  <c r="O106" i="18"/>
  <c r="P106" i="18"/>
  <c r="Q106" i="18"/>
  <c r="R106" i="18"/>
  <c r="S106" i="18"/>
  <c r="T106" i="18"/>
  <c r="U106" i="18"/>
  <c r="V106" i="18"/>
  <c r="W106" i="18"/>
  <c r="X106" i="18"/>
  <c r="AV106" i="18" s="1"/>
  <c r="Y106" i="18"/>
  <c r="BD106" i="18" s="1"/>
  <c r="Z106" i="18"/>
  <c r="AA106" i="18"/>
  <c r="AB106" i="18"/>
  <c r="AC106" i="18"/>
  <c r="AD106" i="18"/>
  <c r="AE106" i="18"/>
  <c r="AF106" i="18"/>
  <c r="D107" i="18"/>
  <c r="E107" i="18"/>
  <c r="F107" i="18"/>
  <c r="G107" i="18"/>
  <c r="H107" i="18"/>
  <c r="I107" i="18"/>
  <c r="J107" i="18"/>
  <c r="K107" i="18"/>
  <c r="L107" i="18"/>
  <c r="M107" i="18"/>
  <c r="N107" i="18"/>
  <c r="O107" i="18"/>
  <c r="P107" i="18"/>
  <c r="Q107" i="18"/>
  <c r="R107" i="18"/>
  <c r="S107" i="18"/>
  <c r="T107" i="18"/>
  <c r="U107" i="18"/>
  <c r="V107" i="18"/>
  <c r="W107" i="18"/>
  <c r="X107" i="18"/>
  <c r="AV107" i="18" s="1"/>
  <c r="Y107" i="18"/>
  <c r="BD107" i="18" s="1"/>
  <c r="Z107" i="18"/>
  <c r="AA107" i="18"/>
  <c r="AB107" i="18"/>
  <c r="AC107" i="18"/>
  <c r="AD107" i="18"/>
  <c r="AE107" i="18"/>
  <c r="AF107" i="18"/>
  <c r="D108" i="18"/>
  <c r="E108" i="18"/>
  <c r="F108" i="18"/>
  <c r="G108" i="18"/>
  <c r="H108" i="18"/>
  <c r="I108" i="18"/>
  <c r="J108" i="18"/>
  <c r="K108" i="18"/>
  <c r="L108" i="18"/>
  <c r="M108" i="18"/>
  <c r="N108" i="18"/>
  <c r="O108" i="18"/>
  <c r="P108" i="18"/>
  <c r="Q108" i="18"/>
  <c r="R108" i="18"/>
  <c r="S108" i="18"/>
  <c r="T108" i="18"/>
  <c r="U108" i="18"/>
  <c r="V108" i="18"/>
  <c r="W108" i="18"/>
  <c r="X108" i="18"/>
  <c r="AV108" i="18" s="1"/>
  <c r="Y108" i="18"/>
  <c r="BD108" i="18" s="1"/>
  <c r="Z108" i="18"/>
  <c r="AA108" i="18"/>
  <c r="AB108" i="18"/>
  <c r="AC108" i="18"/>
  <c r="AD108" i="18"/>
  <c r="AE108" i="18"/>
  <c r="AF108" i="18"/>
  <c r="D109" i="18"/>
  <c r="E109" i="18"/>
  <c r="F109" i="18"/>
  <c r="G109" i="18"/>
  <c r="H109" i="18"/>
  <c r="I109" i="18"/>
  <c r="J109" i="18"/>
  <c r="K109" i="18"/>
  <c r="L109" i="18"/>
  <c r="M109" i="18"/>
  <c r="N109" i="18"/>
  <c r="O109" i="18"/>
  <c r="P109" i="18"/>
  <c r="Q109" i="18"/>
  <c r="R109" i="18"/>
  <c r="S109" i="18"/>
  <c r="T109" i="18"/>
  <c r="U109" i="18"/>
  <c r="V109" i="18"/>
  <c r="W109" i="18"/>
  <c r="X109" i="18"/>
  <c r="AV109" i="18" s="1"/>
  <c r="Y109" i="18"/>
  <c r="BD109" i="18" s="1"/>
  <c r="Z109" i="18"/>
  <c r="AA109" i="18"/>
  <c r="AB109" i="18"/>
  <c r="AC109" i="18"/>
  <c r="AD109" i="18"/>
  <c r="AE109" i="18"/>
  <c r="AF109" i="18"/>
  <c r="D110" i="18"/>
  <c r="E110" i="18"/>
  <c r="F110" i="18"/>
  <c r="G110" i="18"/>
  <c r="H110" i="18"/>
  <c r="I110" i="18"/>
  <c r="J110" i="18"/>
  <c r="K110" i="18"/>
  <c r="L110" i="18"/>
  <c r="M110" i="18"/>
  <c r="N110" i="18"/>
  <c r="O110" i="18"/>
  <c r="P110" i="18"/>
  <c r="Q110" i="18"/>
  <c r="R110" i="18"/>
  <c r="S110" i="18"/>
  <c r="T110" i="18"/>
  <c r="U110" i="18"/>
  <c r="V110" i="18"/>
  <c r="W110" i="18"/>
  <c r="X110" i="18"/>
  <c r="AV110" i="18" s="1"/>
  <c r="Y110" i="18"/>
  <c r="BD110" i="18" s="1"/>
  <c r="Z110" i="18"/>
  <c r="AA110" i="18"/>
  <c r="AB110" i="18"/>
  <c r="AC110" i="18"/>
  <c r="AD110" i="18"/>
  <c r="AE110" i="18"/>
  <c r="AF110" i="18"/>
  <c r="D111" i="18"/>
  <c r="E111" i="18"/>
  <c r="F111" i="18"/>
  <c r="G111" i="18"/>
  <c r="H111" i="18"/>
  <c r="I111" i="18"/>
  <c r="J111" i="18"/>
  <c r="K111" i="18"/>
  <c r="L111" i="18"/>
  <c r="M111" i="18"/>
  <c r="N111" i="18"/>
  <c r="O111" i="18"/>
  <c r="P111" i="18"/>
  <c r="Q111" i="18"/>
  <c r="R111" i="18"/>
  <c r="S111" i="18"/>
  <c r="T111" i="18"/>
  <c r="U111" i="18"/>
  <c r="V111" i="18"/>
  <c r="W111" i="18"/>
  <c r="X111" i="18"/>
  <c r="AV111" i="18" s="1"/>
  <c r="Y111" i="18"/>
  <c r="BD111" i="18" s="1"/>
  <c r="Z111" i="18"/>
  <c r="AA111" i="18"/>
  <c r="AB111" i="18"/>
  <c r="AC111" i="18"/>
  <c r="AD111" i="18"/>
  <c r="AE111" i="18"/>
  <c r="AF111" i="18"/>
  <c r="D112" i="18"/>
  <c r="E112" i="18"/>
  <c r="F112" i="18"/>
  <c r="G112" i="18"/>
  <c r="H112" i="18"/>
  <c r="I112" i="18"/>
  <c r="J112" i="18"/>
  <c r="K112" i="18"/>
  <c r="L112" i="18"/>
  <c r="M112" i="18"/>
  <c r="N112" i="18"/>
  <c r="O112" i="18"/>
  <c r="P112" i="18"/>
  <c r="Q112" i="18"/>
  <c r="R112" i="18"/>
  <c r="S112" i="18"/>
  <c r="T112" i="18"/>
  <c r="U112" i="18"/>
  <c r="V112" i="18"/>
  <c r="W112" i="18"/>
  <c r="X112" i="18"/>
  <c r="AV112" i="18" s="1"/>
  <c r="Y112" i="18"/>
  <c r="BD112" i="18" s="1"/>
  <c r="Z112" i="18"/>
  <c r="AA112" i="18"/>
  <c r="AB112" i="18"/>
  <c r="AC112" i="18"/>
  <c r="AD112" i="18"/>
  <c r="AE112" i="18"/>
  <c r="AF112" i="18"/>
  <c r="D113" i="18"/>
  <c r="E113" i="18"/>
  <c r="F113" i="18"/>
  <c r="G113" i="18"/>
  <c r="H113" i="18"/>
  <c r="I113" i="18"/>
  <c r="J113" i="18"/>
  <c r="K113" i="18"/>
  <c r="L113" i="18"/>
  <c r="M113" i="18"/>
  <c r="N113" i="18"/>
  <c r="O113" i="18"/>
  <c r="P113" i="18"/>
  <c r="Q113" i="18"/>
  <c r="R113" i="18"/>
  <c r="S113" i="18"/>
  <c r="T113" i="18"/>
  <c r="U113" i="18"/>
  <c r="V113" i="18"/>
  <c r="W113" i="18"/>
  <c r="X113" i="18"/>
  <c r="AV113" i="18" s="1"/>
  <c r="Y113" i="18"/>
  <c r="BD113" i="18" s="1"/>
  <c r="Z113" i="18"/>
  <c r="AA113" i="18"/>
  <c r="AB113" i="18"/>
  <c r="AC113" i="18"/>
  <c r="AD113" i="18"/>
  <c r="AE113" i="18"/>
  <c r="AF113" i="18"/>
  <c r="D114" i="18"/>
  <c r="E114" i="18"/>
  <c r="F114" i="18"/>
  <c r="G114" i="18"/>
  <c r="H114" i="18"/>
  <c r="I114" i="18"/>
  <c r="J114" i="18"/>
  <c r="K114" i="18"/>
  <c r="L114" i="18"/>
  <c r="M114" i="18"/>
  <c r="N114" i="18"/>
  <c r="O114" i="18"/>
  <c r="P114" i="18"/>
  <c r="Q114" i="18"/>
  <c r="R114" i="18"/>
  <c r="S114" i="18"/>
  <c r="T114" i="18"/>
  <c r="U114" i="18"/>
  <c r="V114" i="18"/>
  <c r="W114" i="18"/>
  <c r="X114" i="18"/>
  <c r="AV114" i="18" s="1"/>
  <c r="Y114" i="18"/>
  <c r="BD114" i="18" s="1"/>
  <c r="Z114" i="18"/>
  <c r="AA114" i="18"/>
  <c r="AB114" i="18"/>
  <c r="AC114" i="18"/>
  <c r="AD114" i="18"/>
  <c r="AE114" i="18"/>
  <c r="AF114" i="18"/>
  <c r="D115" i="18"/>
  <c r="E115" i="18"/>
  <c r="F115" i="18"/>
  <c r="G115" i="18"/>
  <c r="H115" i="18"/>
  <c r="I115" i="18"/>
  <c r="J115" i="18"/>
  <c r="K115" i="18"/>
  <c r="L115" i="18"/>
  <c r="M115" i="18"/>
  <c r="N115" i="18"/>
  <c r="O115" i="18"/>
  <c r="P115" i="18"/>
  <c r="Q115" i="18"/>
  <c r="R115" i="18"/>
  <c r="S115" i="18"/>
  <c r="T115" i="18"/>
  <c r="U115" i="18"/>
  <c r="V115" i="18"/>
  <c r="W115" i="18"/>
  <c r="X115" i="18"/>
  <c r="AV115" i="18" s="1"/>
  <c r="Y115" i="18"/>
  <c r="BD115" i="18" s="1"/>
  <c r="Z115" i="18"/>
  <c r="AA115" i="18"/>
  <c r="AB115" i="18"/>
  <c r="AC115" i="18"/>
  <c r="AD115" i="18"/>
  <c r="AE115" i="18"/>
  <c r="AF115" i="18"/>
  <c r="D116" i="18"/>
  <c r="E116" i="18"/>
  <c r="F116" i="18"/>
  <c r="G116" i="18"/>
  <c r="H116" i="18"/>
  <c r="I116" i="18"/>
  <c r="J116" i="18"/>
  <c r="K116" i="18"/>
  <c r="L116" i="18"/>
  <c r="M116" i="18"/>
  <c r="N116" i="18"/>
  <c r="O116" i="18"/>
  <c r="P116" i="18"/>
  <c r="Q116" i="18"/>
  <c r="R116" i="18"/>
  <c r="S116" i="18"/>
  <c r="T116" i="18"/>
  <c r="U116" i="18"/>
  <c r="V116" i="18"/>
  <c r="W116" i="18"/>
  <c r="X116" i="18"/>
  <c r="AV116" i="18" s="1"/>
  <c r="Y116" i="18"/>
  <c r="BD116" i="18" s="1"/>
  <c r="Z116" i="18"/>
  <c r="AA116" i="18"/>
  <c r="AB116" i="18"/>
  <c r="AC116" i="18"/>
  <c r="AD116" i="18"/>
  <c r="AE116" i="18"/>
  <c r="AF116" i="18"/>
  <c r="D117" i="18"/>
  <c r="E117" i="18"/>
  <c r="F117" i="18"/>
  <c r="G117" i="18"/>
  <c r="H117" i="18"/>
  <c r="I117" i="18"/>
  <c r="J117" i="18"/>
  <c r="K117" i="18"/>
  <c r="L117" i="18"/>
  <c r="M117" i="18"/>
  <c r="N117" i="18"/>
  <c r="O117" i="18"/>
  <c r="P117" i="18"/>
  <c r="Q117" i="18"/>
  <c r="R117" i="18"/>
  <c r="S117" i="18"/>
  <c r="T117" i="18"/>
  <c r="U117" i="18"/>
  <c r="V117" i="18"/>
  <c r="W117" i="18"/>
  <c r="X117" i="18"/>
  <c r="AV117" i="18" s="1"/>
  <c r="Y117" i="18"/>
  <c r="BD117" i="18" s="1"/>
  <c r="Z117" i="18"/>
  <c r="AA117" i="18"/>
  <c r="AB117" i="18"/>
  <c r="AC117" i="18"/>
  <c r="AD117" i="18"/>
  <c r="AE117" i="18"/>
  <c r="AF117" i="18"/>
  <c r="D118" i="18"/>
  <c r="E118" i="18"/>
  <c r="F118" i="18"/>
  <c r="G118" i="18"/>
  <c r="H118" i="18"/>
  <c r="I118" i="18"/>
  <c r="J118" i="18"/>
  <c r="K118" i="18"/>
  <c r="L118" i="18"/>
  <c r="M118" i="18"/>
  <c r="N118" i="18"/>
  <c r="O118" i="18"/>
  <c r="P118" i="18"/>
  <c r="Q118" i="18"/>
  <c r="R118" i="18"/>
  <c r="S118" i="18"/>
  <c r="T118" i="18"/>
  <c r="U118" i="18"/>
  <c r="V118" i="18"/>
  <c r="W118" i="18"/>
  <c r="X118" i="18"/>
  <c r="AV118" i="18" s="1"/>
  <c r="Y118" i="18"/>
  <c r="BD118" i="18" s="1"/>
  <c r="Z118" i="18"/>
  <c r="AA118" i="18"/>
  <c r="AB118" i="18"/>
  <c r="AC118" i="18"/>
  <c r="AD118" i="18"/>
  <c r="AE118" i="18"/>
  <c r="AF118" i="18"/>
  <c r="D119" i="18"/>
  <c r="E119" i="18"/>
  <c r="F119" i="18"/>
  <c r="G119" i="18"/>
  <c r="H119" i="18"/>
  <c r="I119" i="18"/>
  <c r="J119" i="18"/>
  <c r="K119" i="18"/>
  <c r="L119" i="18"/>
  <c r="M119" i="18"/>
  <c r="N119" i="18"/>
  <c r="O119" i="18"/>
  <c r="P119" i="18"/>
  <c r="Q119" i="18"/>
  <c r="R119" i="18"/>
  <c r="S119" i="18"/>
  <c r="T119" i="18"/>
  <c r="U119" i="18"/>
  <c r="V119" i="18"/>
  <c r="W119" i="18"/>
  <c r="X119" i="18"/>
  <c r="AV119" i="18" s="1"/>
  <c r="Y119" i="18"/>
  <c r="BD119" i="18" s="1"/>
  <c r="Z119" i="18"/>
  <c r="AA119" i="18"/>
  <c r="AB119" i="18"/>
  <c r="AC119" i="18"/>
  <c r="AD119" i="18"/>
  <c r="AE119" i="18"/>
  <c r="AF119" i="18"/>
  <c r="D120" i="18"/>
  <c r="E120" i="18"/>
  <c r="F120" i="18"/>
  <c r="G120" i="18"/>
  <c r="H120" i="18"/>
  <c r="I120" i="18"/>
  <c r="J120" i="18"/>
  <c r="K120" i="18"/>
  <c r="L120" i="18"/>
  <c r="M120" i="18"/>
  <c r="N120" i="18"/>
  <c r="O120" i="18"/>
  <c r="P120" i="18"/>
  <c r="Q120" i="18"/>
  <c r="R120" i="18"/>
  <c r="S120" i="18"/>
  <c r="T120" i="18"/>
  <c r="U120" i="18"/>
  <c r="V120" i="18"/>
  <c r="W120" i="18"/>
  <c r="X120" i="18"/>
  <c r="AV120" i="18" s="1"/>
  <c r="Y120" i="18"/>
  <c r="BD120" i="18" s="1"/>
  <c r="Z120" i="18"/>
  <c r="AA120" i="18"/>
  <c r="AB120" i="18"/>
  <c r="AC120" i="18"/>
  <c r="AD120" i="18"/>
  <c r="AE120" i="18"/>
  <c r="AF120" i="18"/>
  <c r="D121" i="18"/>
  <c r="E121" i="18"/>
  <c r="F121" i="18"/>
  <c r="G121" i="18"/>
  <c r="H121" i="18"/>
  <c r="I121" i="18"/>
  <c r="J121" i="18"/>
  <c r="K121" i="18"/>
  <c r="L121" i="18"/>
  <c r="M121" i="18"/>
  <c r="N121" i="18"/>
  <c r="O121" i="18"/>
  <c r="P121" i="18"/>
  <c r="Q121" i="18"/>
  <c r="R121" i="18"/>
  <c r="S121" i="18"/>
  <c r="T121" i="18"/>
  <c r="U121" i="18"/>
  <c r="V121" i="18"/>
  <c r="W121" i="18"/>
  <c r="X121" i="18"/>
  <c r="AV121" i="18" s="1"/>
  <c r="Y121" i="18"/>
  <c r="BD121" i="18" s="1"/>
  <c r="Z121" i="18"/>
  <c r="AA121" i="18"/>
  <c r="AB121" i="18"/>
  <c r="AC121" i="18"/>
  <c r="AD121" i="18"/>
  <c r="AE121" i="18"/>
  <c r="AF121" i="18"/>
  <c r="D122" i="18"/>
  <c r="E122" i="18"/>
  <c r="F122" i="18"/>
  <c r="G122" i="18"/>
  <c r="H122" i="18"/>
  <c r="I122" i="18"/>
  <c r="J122" i="18"/>
  <c r="K122" i="18"/>
  <c r="L122" i="18"/>
  <c r="M122" i="18"/>
  <c r="N122" i="18"/>
  <c r="O122" i="18"/>
  <c r="P122" i="18"/>
  <c r="Q122" i="18"/>
  <c r="R122" i="18"/>
  <c r="S122" i="18"/>
  <c r="T122" i="18"/>
  <c r="U122" i="18"/>
  <c r="V122" i="18"/>
  <c r="W122" i="18"/>
  <c r="X122" i="18"/>
  <c r="AV122" i="18" s="1"/>
  <c r="Y122" i="18"/>
  <c r="BD122" i="18" s="1"/>
  <c r="Z122" i="18"/>
  <c r="AA122" i="18"/>
  <c r="AB122" i="18"/>
  <c r="AC122" i="18"/>
  <c r="AD122" i="18"/>
  <c r="AE122" i="18"/>
  <c r="AF122" i="18"/>
  <c r="D123" i="18"/>
  <c r="E123" i="18"/>
  <c r="F123" i="18"/>
  <c r="G123" i="18"/>
  <c r="H123" i="18"/>
  <c r="I123" i="18"/>
  <c r="J123" i="18"/>
  <c r="K123" i="18"/>
  <c r="L123" i="18"/>
  <c r="M123" i="18"/>
  <c r="N123" i="18"/>
  <c r="O123" i="18"/>
  <c r="P123" i="18"/>
  <c r="Q123" i="18"/>
  <c r="R123" i="18"/>
  <c r="S123" i="18"/>
  <c r="T123" i="18"/>
  <c r="U123" i="18"/>
  <c r="V123" i="18"/>
  <c r="W123" i="18"/>
  <c r="X123" i="18"/>
  <c r="AV123" i="18" s="1"/>
  <c r="Y123" i="18"/>
  <c r="BD123" i="18" s="1"/>
  <c r="Z123" i="18"/>
  <c r="AA123" i="18"/>
  <c r="AB123" i="18"/>
  <c r="AC123" i="18"/>
  <c r="AD123" i="18"/>
  <c r="AE123" i="18"/>
  <c r="AF123" i="18"/>
  <c r="D124" i="18"/>
  <c r="E124" i="18"/>
  <c r="F124" i="18"/>
  <c r="G124" i="18"/>
  <c r="H124" i="18"/>
  <c r="I124" i="18"/>
  <c r="J124" i="18"/>
  <c r="K124" i="18"/>
  <c r="L124" i="18"/>
  <c r="M124" i="18"/>
  <c r="N124" i="18"/>
  <c r="O124" i="18"/>
  <c r="P124" i="18"/>
  <c r="Q124" i="18"/>
  <c r="R124" i="18"/>
  <c r="S124" i="18"/>
  <c r="T124" i="18"/>
  <c r="U124" i="18"/>
  <c r="V124" i="18"/>
  <c r="W124" i="18"/>
  <c r="X124" i="18"/>
  <c r="AV124" i="18" s="1"/>
  <c r="Y124" i="18"/>
  <c r="BD124" i="18" s="1"/>
  <c r="Z124" i="18"/>
  <c r="AA124" i="18"/>
  <c r="AB124" i="18"/>
  <c r="AC124" i="18"/>
  <c r="AD124" i="18"/>
  <c r="AE124" i="18"/>
  <c r="AF124" i="18"/>
  <c r="D125" i="18"/>
  <c r="E125" i="18"/>
  <c r="F125" i="18"/>
  <c r="G125" i="18"/>
  <c r="H125" i="18"/>
  <c r="I125" i="18"/>
  <c r="J125" i="18"/>
  <c r="K125" i="18"/>
  <c r="L125" i="18"/>
  <c r="M125" i="18"/>
  <c r="N125" i="18"/>
  <c r="O125" i="18"/>
  <c r="P125" i="18"/>
  <c r="Q125" i="18"/>
  <c r="R125" i="18"/>
  <c r="S125" i="18"/>
  <c r="T125" i="18"/>
  <c r="U125" i="18"/>
  <c r="V125" i="18"/>
  <c r="W125" i="18"/>
  <c r="X125" i="18"/>
  <c r="AV125" i="18" s="1"/>
  <c r="Y125" i="18"/>
  <c r="BD125" i="18" s="1"/>
  <c r="Z125" i="18"/>
  <c r="AA125" i="18"/>
  <c r="AB125" i="18"/>
  <c r="AC125" i="18"/>
  <c r="AD125" i="18"/>
  <c r="AE125" i="18"/>
  <c r="AF125" i="18"/>
  <c r="D126" i="18"/>
  <c r="E126" i="18"/>
  <c r="F126" i="18"/>
  <c r="G126" i="18"/>
  <c r="H126" i="18"/>
  <c r="I126" i="18"/>
  <c r="J126" i="18"/>
  <c r="K126" i="18"/>
  <c r="L126" i="18"/>
  <c r="M126" i="18"/>
  <c r="N126" i="18"/>
  <c r="O126" i="18"/>
  <c r="P126" i="18"/>
  <c r="Q126" i="18"/>
  <c r="R126" i="18"/>
  <c r="S126" i="18"/>
  <c r="T126" i="18"/>
  <c r="U126" i="18"/>
  <c r="V126" i="18"/>
  <c r="W126" i="18"/>
  <c r="X126" i="18"/>
  <c r="AV126" i="18" s="1"/>
  <c r="Y126" i="18"/>
  <c r="BD126" i="18" s="1"/>
  <c r="Z126" i="18"/>
  <c r="AA126" i="18"/>
  <c r="AB126" i="18"/>
  <c r="AC126" i="18"/>
  <c r="AD126" i="18"/>
  <c r="AE126" i="18"/>
  <c r="AF126" i="18"/>
  <c r="D127" i="18"/>
  <c r="E127" i="18"/>
  <c r="F127" i="18"/>
  <c r="G127" i="18"/>
  <c r="H127" i="18"/>
  <c r="I127" i="18"/>
  <c r="J127" i="18"/>
  <c r="K127" i="18"/>
  <c r="L127" i="18"/>
  <c r="M127" i="18"/>
  <c r="N127" i="18"/>
  <c r="O127" i="18"/>
  <c r="P127" i="18"/>
  <c r="Q127" i="18"/>
  <c r="R127" i="18"/>
  <c r="S127" i="18"/>
  <c r="T127" i="18"/>
  <c r="U127" i="18"/>
  <c r="V127" i="18"/>
  <c r="W127" i="18"/>
  <c r="X127" i="18"/>
  <c r="AV127" i="18" s="1"/>
  <c r="Y127" i="18"/>
  <c r="BD127" i="18" s="1"/>
  <c r="Z127" i="18"/>
  <c r="AA127" i="18"/>
  <c r="AB127" i="18"/>
  <c r="AC127" i="18"/>
  <c r="AD127" i="18"/>
  <c r="AE127" i="18"/>
  <c r="AF127" i="18"/>
  <c r="D128" i="18"/>
  <c r="E128" i="18"/>
  <c r="F128" i="18"/>
  <c r="G128" i="18"/>
  <c r="H128" i="18"/>
  <c r="I128" i="18"/>
  <c r="J128" i="18"/>
  <c r="K128" i="18"/>
  <c r="L128" i="18"/>
  <c r="M128" i="18"/>
  <c r="N128" i="18"/>
  <c r="O128" i="18"/>
  <c r="P128" i="18"/>
  <c r="Q128" i="18"/>
  <c r="R128" i="18"/>
  <c r="S128" i="18"/>
  <c r="T128" i="18"/>
  <c r="U128" i="18"/>
  <c r="V128" i="18"/>
  <c r="W128" i="18"/>
  <c r="X128" i="18"/>
  <c r="AV128" i="18" s="1"/>
  <c r="Y128" i="18"/>
  <c r="BD128" i="18" s="1"/>
  <c r="Z128" i="18"/>
  <c r="AA128" i="18"/>
  <c r="AB128" i="18"/>
  <c r="AC128" i="18"/>
  <c r="AD128" i="18"/>
  <c r="AE128" i="18"/>
  <c r="AF128" i="18"/>
  <c r="D129" i="18"/>
  <c r="E129" i="18"/>
  <c r="F129" i="18"/>
  <c r="G129" i="18"/>
  <c r="H129" i="18"/>
  <c r="I129" i="18"/>
  <c r="J129" i="18"/>
  <c r="K129" i="18"/>
  <c r="L129" i="18"/>
  <c r="M129" i="18"/>
  <c r="N129" i="18"/>
  <c r="O129" i="18"/>
  <c r="P129" i="18"/>
  <c r="Q129" i="18"/>
  <c r="R129" i="18"/>
  <c r="S129" i="18"/>
  <c r="T129" i="18"/>
  <c r="U129" i="18"/>
  <c r="V129" i="18"/>
  <c r="W129" i="18"/>
  <c r="X129" i="18"/>
  <c r="AV129" i="18" s="1"/>
  <c r="Y129" i="18"/>
  <c r="BD129" i="18" s="1"/>
  <c r="Z129" i="18"/>
  <c r="AA129" i="18"/>
  <c r="AB129" i="18"/>
  <c r="AC129" i="18"/>
  <c r="AD129" i="18"/>
  <c r="AE129" i="18"/>
  <c r="AF129" i="18"/>
  <c r="D130" i="18"/>
  <c r="E130" i="18"/>
  <c r="F130" i="18"/>
  <c r="G130" i="18"/>
  <c r="H130" i="18"/>
  <c r="I130" i="18"/>
  <c r="J130" i="18"/>
  <c r="K130" i="18"/>
  <c r="L130" i="18"/>
  <c r="M130" i="18"/>
  <c r="N130" i="18"/>
  <c r="O130" i="18"/>
  <c r="P130" i="18"/>
  <c r="Q130" i="18"/>
  <c r="R130" i="18"/>
  <c r="S130" i="18"/>
  <c r="T130" i="18"/>
  <c r="U130" i="18"/>
  <c r="V130" i="18"/>
  <c r="W130" i="18"/>
  <c r="X130" i="18"/>
  <c r="AV130" i="18" s="1"/>
  <c r="Y130" i="18"/>
  <c r="BD130" i="18" s="1"/>
  <c r="Z130" i="18"/>
  <c r="AA130" i="18"/>
  <c r="AB130" i="18"/>
  <c r="AC130" i="18"/>
  <c r="AD130" i="18"/>
  <c r="AE130" i="18"/>
  <c r="AF130" i="18"/>
  <c r="D131" i="18"/>
  <c r="E131" i="18"/>
  <c r="F131" i="18"/>
  <c r="G131" i="18"/>
  <c r="H131" i="18"/>
  <c r="I131" i="18"/>
  <c r="J131" i="18"/>
  <c r="K131" i="18"/>
  <c r="L131" i="18"/>
  <c r="M131" i="18"/>
  <c r="N131" i="18"/>
  <c r="O131" i="18"/>
  <c r="P131" i="18"/>
  <c r="Q131" i="18"/>
  <c r="R131" i="18"/>
  <c r="S131" i="18"/>
  <c r="T131" i="18"/>
  <c r="U131" i="18"/>
  <c r="V131" i="18"/>
  <c r="W131" i="18"/>
  <c r="X131" i="18"/>
  <c r="AV131" i="18" s="1"/>
  <c r="Y131" i="18"/>
  <c r="BD131" i="18" s="1"/>
  <c r="Z131" i="18"/>
  <c r="AA131" i="18"/>
  <c r="AB131" i="18"/>
  <c r="AC131" i="18"/>
  <c r="AD131" i="18"/>
  <c r="AE131" i="18"/>
  <c r="AF131" i="18"/>
  <c r="D132" i="18"/>
  <c r="E132" i="18"/>
  <c r="F132" i="18"/>
  <c r="G132" i="18"/>
  <c r="H132" i="18"/>
  <c r="I132" i="18"/>
  <c r="J132" i="18"/>
  <c r="K132" i="18"/>
  <c r="L132" i="18"/>
  <c r="M132" i="18"/>
  <c r="N132" i="18"/>
  <c r="O132" i="18"/>
  <c r="P132" i="18"/>
  <c r="Q132" i="18"/>
  <c r="R132" i="18"/>
  <c r="S132" i="18"/>
  <c r="T132" i="18"/>
  <c r="U132" i="18"/>
  <c r="V132" i="18"/>
  <c r="W132" i="18"/>
  <c r="X132" i="18"/>
  <c r="AV132" i="18" s="1"/>
  <c r="Y132" i="18"/>
  <c r="BD132" i="18" s="1"/>
  <c r="Z132" i="18"/>
  <c r="AA132" i="18"/>
  <c r="AB132" i="18"/>
  <c r="AC132" i="18"/>
  <c r="AD132" i="18"/>
  <c r="AE132" i="18"/>
  <c r="AF132" i="18"/>
  <c r="D133" i="18"/>
  <c r="E133" i="18"/>
  <c r="F133" i="18"/>
  <c r="G133" i="18"/>
  <c r="H133" i="18"/>
  <c r="I133" i="18"/>
  <c r="J133" i="18"/>
  <c r="K133" i="18"/>
  <c r="L133" i="18"/>
  <c r="M133" i="18"/>
  <c r="N133" i="18"/>
  <c r="O133" i="18"/>
  <c r="P133" i="18"/>
  <c r="Q133" i="18"/>
  <c r="R133" i="18"/>
  <c r="S133" i="18"/>
  <c r="T133" i="18"/>
  <c r="U133" i="18"/>
  <c r="V133" i="18"/>
  <c r="W133" i="18"/>
  <c r="X133" i="18"/>
  <c r="AV133" i="18" s="1"/>
  <c r="Y133" i="18"/>
  <c r="BD133" i="18" s="1"/>
  <c r="Z133" i="18"/>
  <c r="AA133" i="18"/>
  <c r="AB133" i="18"/>
  <c r="AC133" i="18"/>
  <c r="AD133" i="18"/>
  <c r="AE133" i="18"/>
  <c r="AF133" i="18"/>
  <c r="D134" i="18"/>
  <c r="E134" i="18"/>
  <c r="F134" i="18"/>
  <c r="G134" i="18"/>
  <c r="H134" i="18"/>
  <c r="I134" i="18"/>
  <c r="J134" i="18"/>
  <c r="K134" i="18"/>
  <c r="L134" i="18"/>
  <c r="M134" i="18"/>
  <c r="N134" i="18"/>
  <c r="O134" i="18"/>
  <c r="P134" i="18"/>
  <c r="Q134" i="18"/>
  <c r="R134" i="18"/>
  <c r="S134" i="18"/>
  <c r="T134" i="18"/>
  <c r="U134" i="18"/>
  <c r="V134" i="18"/>
  <c r="W134" i="18"/>
  <c r="X134" i="18"/>
  <c r="AV134" i="18" s="1"/>
  <c r="Y134" i="18"/>
  <c r="BD134" i="18" s="1"/>
  <c r="Z134" i="18"/>
  <c r="AA134" i="18"/>
  <c r="AB134" i="18"/>
  <c r="AC134" i="18"/>
  <c r="AD134" i="18"/>
  <c r="AE134" i="18"/>
  <c r="AF134" i="18"/>
  <c r="D135" i="18"/>
  <c r="E135" i="18"/>
  <c r="F135" i="18"/>
  <c r="G135" i="18"/>
  <c r="H135" i="18"/>
  <c r="I135" i="18"/>
  <c r="J135" i="18"/>
  <c r="K135" i="18"/>
  <c r="L135" i="18"/>
  <c r="M135" i="18"/>
  <c r="N135" i="18"/>
  <c r="O135" i="18"/>
  <c r="P135" i="18"/>
  <c r="Q135" i="18"/>
  <c r="R135" i="18"/>
  <c r="S135" i="18"/>
  <c r="T135" i="18"/>
  <c r="U135" i="18"/>
  <c r="V135" i="18"/>
  <c r="W135" i="18"/>
  <c r="X135" i="18"/>
  <c r="AV135" i="18" s="1"/>
  <c r="Y135" i="18"/>
  <c r="BD135" i="18" s="1"/>
  <c r="Z135" i="18"/>
  <c r="AA135" i="18"/>
  <c r="AB135" i="18"/>
  <c r="AC135" i="18"/>
  <c r="AD135" i="18"/>
  <c r="AE135" i="18"/>
  <c r="AF135" i="18"/>
  <c r="D136" i="18"/>
  <c r="E136" i="18"/>
  <c r="F136" i="18"/>
  <c r="G136" i="18"/>
  <c r="H136" i="18"/>
  <c r="I136" i="18"/>
  <c r="J136" i="18"/>
  <c r="K136" i="18"/>
  <c r="L136" i="18"/>
  <c r="M136" i="18"/>
  <c r="N136" i="18"/>
  <c r="O136" i="18"/>
  <c r="P136" i="18"/>
  <c r="Q136" i="18"/>
  <c r="R136" i="18"/>
  <c r="S136" i="18"/>
  <c r="T136" i="18"/>
  <c r="U136" i="18"/>
  <c r="V136" i="18"/>
  <c r="W136" i="18"/>
  <c r="X136" i="18"/>
  <c r="AV136" i="18" s="1"/>
  <c r="Y136" i="18"/>
  <c r="BD136" i="18" s="1"/>
  <c r="Z136" i="18"/>
  <c r="AA136" i="18"/>
  <c r="AB136" i="18"/>
  <c r="AC136" i="18"/>
  <c r="AD136" i="18"/>
  <c r="AE136" i="18"/>
  <c r="AF136" i="18"/>
  <c r="D137" i="18"/>
  <c r="E137" i="18"/>
  <c r="F137" i="18"/>
  <c r="G137" i="18"/>
  <c r="H137" i="18"/>
  <c r="I137" i="18"/>
  <c r="J137" i="18"/>
  <c r="K137" i="18"/>
  <c r="L137" i="18"/>
  <c r="M137" i="18"/>
  <c r="N137" i="18"/>
  <c r="O137" i="18"/>
  <c r="P137" i="18"/>
  <c r="Q137" i="18"/>
  <c r="R137" i="18"/>
  <c r="S137" i="18"/>
  <c r="T137" i="18"/>
  <c r="U137" i="18"/>
  <c r="V137" i="18"/>
  <c r="W137" i="18"/>
  <c r="X137" i="18"/>
  <c r="AV137" i="18" s="1"/>
  <c r="Y137" i="18"/>
  <c r="BD137" i="18" s="1"/>
  <c r="Z137" i="18"/>
  <c r="AA137" i="18"/>
  <c r="AB137" i="18"/>
  <c r="AC137" i="18"/>
  <c r="AD137" i="18"/>
  <c r="AE137" i="18"/>
  <c r="AF137" i="18"/>
  <c r="D138" i="18"/>
  <c r="E138" i="18"/>
  <c r="F138" i="18"/>
  <c r="G138" i="18"/>
  <c r="H138" i="18"/>
  <c r="I138" i="18"/>
  <c r="J138" i="18"/>
  <c r="K138" i="18"/>
  <c r="L138" i="18"/>
  <c r="M138" i="18"/>
  <c r="N138" i="18"/>
  <c r="O138" i="18"/>
  <c r="P138" i="18"/>
  <c r="Q138" i="18"/>
  <c r="R138" i="18"/>
  <c r="S138" i="18"/>
  <c r="T138" i="18"/>
  <c r="U138" i="18"/>
  <c r="V138" i="18"/>
  <c r="W138" i="18"/>
  <c r="X138" i="18"/>
  <c r="AV138" i="18" s="1"/>
  <c r="Y138" i="18"/>
  <c r="BD138" i="18" s="1"/>
  <c r="Z138" i="18"/>
  <c r="AA138" i="18"/>
  <c r="AB138" i="18"/>
  <c r="AC138" i="18"/>
  <c r="AD138" i="18"/>
  <c r="AE138" i="18"/>
  <c r="AF138" i="18"/>
  <c r="D139" i="18"/>
  <c r="E139" i="18"/>
  <c r="F139" i="18"/>
  <c r="G139" i="18"/>
  <c r="H139" i="18"/>
  <c r="I139" i="18"/>
  <c r="J139" i="18"/>
  <c r="K139" i="18"/>
  <c r="L139" i="18"/>
  <c r="M139" i="18"/>
  <c r="N139" i="18"/>
  <c r="O139" i="18"/>
  <c r="P139" i="18"/>
  <c r="Q139" i="18"/>
  <c r="R139" i="18"/>
  <c r="S139" i="18"/>
  <c r="T139" i="18"/>
  <c r="U139" i="18"/>
  <c r="V139" i="18"/>
  <c r="W139" i="18"/>
  <c r="X139" i="18"/>
  <c r="AV139" i="18" s="1"/>
  <c r="Y139" i="18"/>
  <c r="BD139" i="18" s="1"/>
  <c r="Z139" i="18"/>
  <c r="AA139" i="18"/>
  <c r="AB139" i="18"/>
  <c r="AC139" i="18"/>
  <c r="AD139" i="18"/>
  <c r="AE139" i="18"/>
  <c r="AF139" i="18"/>
  <c r="D140" i="18"/>
  <c r="E140" i="18"/>
  <c r="F140" i="18"/>
  <c r="G140" i="18"/>
  <c r="H140" i="18"/>
  <c r="I140" i="18"/>
  <c r="J140" i="18"/>
  <c r="K140" i="18"/>
  <c r="L140" i="18"/>
  <c r="M140" i="18"/>
  <c r="N140" i="18"/>
  <c r="O140" i="18"/>
  <c r="P140" i="18"/>
  <c r="Q140" i="18"/>
  <c r="R140" i="18"/>
  <c r="S140" i="18"/>
  <c r="T140" i="18"/>
  <c r="U140" i="18"/>
  <c r="V140" i="18"/>
  <c r="W140" i="18"/>
  <c r="X140" i="18"/>
  <c r="AV140" i="18" s="1"/>
  <c r="Y140" i="18"/>
  <c r="BD140" i="18" s="1"/>
  <c r="Z140" i="18"/>
  <c r="AA140" i="18"/>
  <c r="AB140" i="18"/>
  <c r="AC140" i="18"/>
  <c r="AD140" i="18"/>
  <c r="AE140" i="18"/>
  <c r="AF140" i="18"/>
  <c r="D141" i="18"/>
  <c r="E141" i="18"/>
  <c r="F141" i="18"/>
  <c r="G141" i="18"/>
  <c r="H141" i="18"/>
  <c r="I141" i="18"/>
  <c r="J141" i="18"/>
  <c r="K141" i="18"/>
  <c r="L141" i="18"/>
  <c r="M141" i="18"/>
  <c r="N141" i="18"/>
  <c r="O141" i="18"/>
  <c r="P141" i="18"/>
  <c r="Q141" i="18"/>
  <c r="R141" i="18"/>
  <c r="S141" i="18"/>
  <c r="T141" i="18"/>
  <c r="U141" i="18"/>
  <c r="V141" i="18"/>
  <c r="W141" i="18"/>
  <c r="X141" i="18"/>
  <c r="AV141" i="18" s="1"/>
  <c r="Y141" i="18"/>
  <c r="BD141" i="18" s="1"/>
  <c r="Z141" i="18"/>
  <c r="AA141" i="18"/>
  <c r="AB141" i="18"/>
  <c r="AC141" i="18"/>
  <c r="AD141" i="18"/>
  <c r="AE141" i="18"/>
  <c r="AF141" i="18"/>
  <c r="D142" i="18"/>
  <c r="E142" i="18"/>
  <c r="F142" i="18"/>
  <c r="G142" i="18"/>
  <c r="H142" i="18"/>
  <c r="I142" i="18"/>
  <c r="J142" i="18"/>
  <c r="K142" i="18"/>
  <c r="L142" i="18"/>
  <c r="M142" i="18"/>
  <c r="N142" i="18"/>
  <c r="O142" i="18"/>
  <c r="P142" i="18"/>
  <c r="Q142" i="18"/>
  <c r="R142" i="18"/>
  <c r="S142" i="18"/>
  <c r="T142" i="18"/>
  <c r="U142" i="18"/>
  <c r="V142" i="18"/>
  <c r="W142" i="18"/>
  <c r="X142" i="18"/>
  <c r="AV142" i="18" s="1"/>
  <c r="Y142" i="18"/>
  <c r="BD142" i="18" s="1"/>
  <c r="Z142" i="18"/>
  <c r="AA142" i="18"/>
  <c r="AB142" i="18"/>
  <c r="AC142" i="18"/>
  <c r="AD142" i="18"/>
  <c r="AE142" i="18"/>
  <c r="AF142" i="18"/>
  <c r="D143" i="18"/>
  <c r="E143" i="18"/>
  <c r="F143" i="18"/>
  <c r="G143" i="18"/>
  <c r="H143" i="18"/>
  <c r="I143" i="18"/>
  <c r="J143" i="18"/>
  <c r="K143" i="18"/>
  <c r="L143" i="18"/>
  <c r="M143" i="18"/>
  <c r="N143" i="18"/>
  <c r="O143" i="18"/>
  <c r="P143" i="18"/>
  <c r="Q143" i="18"/>
  <c r="R143" i="18"/>
  <c r="S143" i="18"/>
  <c r="T143" i="18"/>
  <c r="U143" i="18"/>
  <c r="V143" i="18"/>
  <c r="W143" i="18"/>
  <c r="X143" i="18"/>
  <c r="AV143" i="18" s="1"/>
  <c r="Y143" i="18"/>
  <c r="BD143" i="18" s="1"/>
  <c r="Z143" i="18"/>
  <c r="AA143" i="18"/>
  <c r="AB143" i="18"/>
  <c r="AC143" i="18"/>
  <c r="AD143" i="18"/>
  <c r="AE143" i="18"/>
  <c r="AF143" i="18"/>
  <c r="D144" i="18"/>
  <c r="E144" i="18"/>
  <c r="F144" i="18"/>
  <c r="G144" i="18"/>
  <c r="H144" i="18"/>
  <c r="I144" i="18"/>
  <c r="J144" i="18"/>
  <c r="K144" i="18"/>
  <c r="L144" i="18"/>
  <c r="M144" i="18"/>
  <c r="N144" i="18"/>
  <c r="O144" i="18"/>
  <c r="P144" i="18"/>
  <c r="Q144" i="18"/>
  <c r="R144" i="18"/>
  <c r="S144" i="18"/>
  <c r="T144" i="18"/>
  <c r="U144" i="18"/>
  <c r="V144" i="18"/>
  <c r="W144" i="18"/>
  <c r="X144" i="18"/>
  <c r="AV144" i="18" s="1"/>
  <c r="Y144" i="18"/>
  <c r="BD144" i="18" s="1"/>
  <c r="Z144" i="18"/>
  <c r="AA144" i="18"/>
  <c r="AB144" i="18"/>
  <c r="AC144" i="18"/>
  <c r="AD144" i="18"/>
  <c r="AE144" i="18"/>
  <c r="AF144" i="18"/>
  <c r="D145" i="18"/>
  <c r="E145" i="18"/>
  <c r="F145" i="18"/>
  <c r="G145" i="18"/>
  <c r="H145" i="18"/>
  <c r="I145" i="18"/>
  <c r="J145" i="18"/>
  <c r="K145" i="18"/>
  <c r="L145" i="18"/>
  <c r="M145" i="18"/>
  <c r="N145" i="18"/>
  <c r="O145" i="18"/>
  <c r="P145" i="18"/>
  <c r="Q145" i="18"/>
  <c r="R145" i="18"/>
  <c r="S145" i="18"/>
  <c r="T145" i="18"/>
  <c r="U145" i="18"/>
  <c r="V145" i="18"/>
  <c r="W145" i="18"/>
  <c r="X145" i="18"/>
  <c r="AV145" i="18" s="1"/>
  <c r="Y145" i="18"/>
  <c r="BD145" i="18" s="1"/>
  <c r="Z145" i="18"/>
  <c r="AA145" i="18"/>
  <c r="AB145" i="18"/>
  <c r="AC145" i="18"/>
  <c r="AD145" i="18"/>
  <c r="AE145" i="18"/>
  <c r="AF145" i="18"/>
  <c r="D146" i="18"/>
  <c r="E146" i="18"/>
  <c r="F146" i="18"/>
  <c r="G146" i="18"/>
  <c r="H146" i="18"/>
  <c r="I146" i="18"/>
  <c r="J146" i="18"/>
  <c r="K146" i="18"/>
  <c r="L146" i="18"/>
  <c r="M146" i="18"/>
  <c r="N146" i="18"/>
  <c r="O146" i="18"/>
  <c r="P146" i="18"/>
  <c r="Q146" i="18"/>
  <c r="R146" i="18"/>
  <c r="S146" i="18"/>
  <c r="T146" i="18"/>
  <c r="U146" i="18"/>
  <c r="V146" i="18"/>
  <c r="W146" i="18"/>
  <c r="X146" i="18"/>
  <c r="AV146" i="18" s="1"/>
  <c r="Y146" i="18"/>
  <c r="BD146" i="18" s="1"/>
  <c r="Z146" i="18"/>
  <c r="AA146" i="18"/>
  <c r="AB146" i="18"/>
  <c r="AC146" i="18"/>
  <c r="AD146" i="18"/>
  <c r="AE146" i="18"/>
  <c r="AF146" i="18"/>
  <c r="D147" i="18"/>
  <c r="E147" i="18"/>
  <c r="F147" i="18"/>
  <c r="G147" i="18"/>
  <c r="H147" i="18"/>
  <c r="I147" i="18"/>
  <c r="J147" i="18"/>
  <c r="K147" i="18"/>
  <c r="L147" i="18"/>
  <c r="M147" i="18"/>
  <c r="N147" i="18"/>
  <c r="O147" i="18"/>
  <c r="P147" i="18"/>
  <c r="Q147" i="18"/>
  <c r="R147" i="18"/>
  <c r="S147" i="18"/>
  <c r="T147" i="18"/>
  <c r="U147" i="18"/>
  <c r="V147" i="18"/>
  <c r="W147" i="18"/>
  <c r="X147" i="18"/>
  <c r="AV147" i="18" s="1"/>
  <c r="Y147" i="18"/>
  <c r="BD147" i="18" s="1"/>
  <c r="Z147" i="18"/>
  <c r="AA147" i="18"/>
  <c r="AB147" i="18"/>
  <c r="AC147" i="18"/>
  <c r="AD147" i="18"/>
  <c r="AE147" i="18"/>
  <c r="AF147" i="18"/>
  <c r="D148" i="18"/>
  <c r="E148" i="18"/>
  <c r="F148" i="18"/>
  <c r="G148" i="18"/>
  <c r="H148" i="18"/>
  <c r="I148" i="18"/>
  <c r="J148" i="18"/>
  <c r="K148" i="18"/>
  <c r="L148" i="18"/>
  <c r="M148" i="18"/>
  <c r="N148" i="18"/>
  <c r="O148" i="18"/>
  <c r="P148" i="18"/>
  <c r="Q148" i="18"/>
  <c r="R148" i="18"/>
  <c r="S148" i="18"/>
  <c r="T148" i="18"/>
  <c r="U148" i="18"/>
  <c r="V148" i="18"/>
  <c r="W148" i="18"/>
  <c r="X148" i="18"/>
  <c r="AV148" i="18" s="1"/>
  <c r="Y148" i="18"/>
  <c r="BD148" i="18" s="1"/>
  <c r="Z148" i="18"/>
  <c r="AA148" i="18"/>
  <c r="AB148" i="18"/>
  <c r="AC148" i="18"/>
  <c r="AD148" i="18"/>
  <c r="AE148" i="18"/>
  <c r="AF148" i="18"/>
  <c r="D149" i="18"/>
  <c r="E149" i="18"/>
  <c r="F149" i="18"/>
  <c r="G149" i="18"/>
  <c r="H149" i="18"/>
  <c r="I149" i="18"/>
  <c r="J149" i="18"/>
  <c r="K149" i="18"/>
  <c r="L149" i="18"/>
  <c r="M149" i="18"/>
  <c r="N149" i="18"/>
  <c r="O149" i="18"/>
  <c r="P149" i="18"/>
  <c r="Q149" i="18"/>
  <c r="R149" i="18"/>
  <c r="S149" i="18"/>
  <c r="T149" i="18"/>
  <c r="U149" i="18"/>
  <c r="V149" i="18"/>
  <c r="W149" i="18"/>
  <c r="X149" i="18"/>
  <c r="AV149" i="18" s="1"/>
  <c r="Y149" i="18"/>
  <c r="BD149" i="18" s="1"/>
  <c r="Z149" i="18"/>
  <c r="AA149" i="18"/>
  <c r="AB149" i="18"/>
  <c r="AC149" i="18"/>
  <c r="AD149" i="18"/>
  <c r="AE149" i="18"/>
  <c r="AF149" i="18"/>
  <c r="D150" i="18"/>
  <c r="E150" i="18"/>
  <c r="F150" i="18"/>
  <c r="G150" i="18"/>
  <c r="H150" i="18"/>
  <c r="I150" i="18"/>
  <c r="J150" i="18"/>
  <c r="K150" i="18"/>
  <c r="L150" i="18"/>
  <c r="M150" i="18"/>
  <c r="N150" i="18"/>
  <c r="O150" i="18"/>
  <c r="P150" i="18"/>
  <c r="Q150" i="18"/>
  <c r="R150" i="18"/>
  <c r="S150" i="18"/>
  <c r="T150" i="18"/>
  <c r="U150" i="18"/>
  <c r="V150" i="18"/>
  <c r="W150" i="18"/>
  <c r="X150" i="18"/>
  <c r="AV150" i="18" s="1"/>
  <c r="Y150" i="18"/>
  <c r="BD150" i="18" s="1"/>
  <c r="Z150" i="18"/>
  <c r="AA150" i="18"/>
  <c r="AB150" i="18"/>
  <c r="AC150" i="18"/>
  <c r="AD150" i="18"/>
  <c r="AE150" i="18"/>
  <c r="AF150" i="18"/>
  <c r="D151" i="18"/>
  <c r="E151" i="18"/>
  <c r="F151" i="18"/>
  <c r="G151" i="18"/>
  <c r="H151" i="18"/>
  <c r="I151" i="18"/>
  <c r="J151" i="18"/>
  <c r="K151" i="18"/>
  <c r="L151" i="18"/>
  <c r="M151" i="18"/>
  <c r="N151" i="18"/>
  <c r="O151" i="18"/>
  <c r="P151" i="18"/>
  <c r="Q151" i="18"/>
  <c r="R151" i="18"/>
  <c r="S151" i="18"/>
  <c r="T151" i="18"/>
  <c r="U151" i="18"/>
  <c r="V151" i="18"/>
  <c r="W151" i="18"/>
  <c r="X151" i="18"/>
  <c r="AV151" i="18" s="1"/>
  <c r="Y151" i="18"/>
  <c r="BD151" i="18" s="1"/>
  <c r="Z151" i="18"/>
  <c r="AA151" i="18"/>
  <c r="AB151" i="18"/>
  <c r="AC151" i="18"/>
  <c r="AD151" i="18"/>
  <c r="AE151" i="18"/>
  <c r="AF151" i="18"/>
  <c r="D152" i="18"/>
  <c r="E152" i="18"/>
  <c r="F152" i="18"/>
  <c r="G152" i="18"/>
  <c r="H152" i="18"/>
  <c r="I152" i="18"/>
  <c r="J152" i="18"/>
  <c r="K152" i="18"/>
  <c r="L152" i="18"/>
  <c r="M152" i="18"/>
  <c r="N152" i="18"/>
  <c r="O152" i="18"/>
  <c r="P152" i="18"/>
  <c r="Q152" i="18"/>
  <c r="R152" i="18"/>
  <c r="S152" i="18"/>
  <c r="T152" i="18"/>
  <c r="U152" i="18"/>
  <c r="V152" i="18"/>
  <c r="W152" i="18"/>
  <c r="X152" i="18"/>
  <c r="AV152" i="18" s="1"/>
  <c r="Y152" i="18"/>
  <c r="BD152" i="18" s="1"/>
  <c r="Z152" i="18"/>
  <c r="AA152" i="18"/>
  <c r="AB152" i="18"/>
  <c r="AC152" i="18"/>
  <c r="AD152" i="18"/>
  <c r="AE152" i="18"/>
  <c r="AF152" i="18"/>
  <c r="D153" i="18"/>
  <c r="E153" i="18"/>
  <c r="F153" i="18"/>
  <c r="G153" i="18"/>
  <c r="H153" i="18"/>
  <c r="I153" i="18"/>
  <c r="J153" i="18"/>
  <c r="K153" i="18"/>
  <c r="L153" i="18"/>
  <c r="M153" i="18"/>
  <c r="N153" i="18"/>
  <c r="O153" i="18"/>
  <c r="P153" i="18"/>
  <c r="Q153" i="18"/>
  <c r="R153" i="18"/>
  <c r="S153" i="18"/>
  <c r="T153" i="18"/>
  <c r="U153" i="18"/>
  <c r="V153" i="18"/>
  <c r="W153" i="18"/>
  <c r="X153" i="18"/>
  <c r="AV153" i="18" s="1"/>
  <c r="Y153" i="18"/>
  <c r="BD153" i="18" s="1"/>
  <c r="Z153" i="18"/>
  <c r="AA153" i="18"/>
  <c r="AB153" i="18"/>
  <c r="AC153" i="18"/>
  <c r="AD153" i="18"/>
  <c r="AE153" i="18"/>
  <c r="AF153" i="18"/>
  <c r="D154" i="18"/>
  <c r="E154" i="18"/>
  <c r="F154" i="18"/>
  <c r="G154" i="18"/>
  <c r="H154" i="18"/>
  <c r="I154" i="18"/>
  <c r="J154" i="18"/>
  <c r="K154" i="18"/>
  <c r="L154" i="18"/>
  <c r="M154" i="18"/>
  <c r="N154" i="18"/>
  <c r="O154" i="18"/>
  <c r="P154" i="18"/>
  <c r="Q154" i="18"/>
  <c r="R154" i="18"/>
  <c r="S154" i="18"/>
  <c r="T154" i="18"/>
  <c r="U154" i="18"/>
  <c r="V154" i="18"/>
  <c r="W154" i="18"/>
  <c r="X154" i="18"/>
  <c r="AV154" i="18" s="1"/>
  <c r="Y154" i="18"/>
  <c r="BD154" i="18" s="1"/>
  <c r="Z154" i="18"/>
  <c r="AA154" i="18"/>
  <c r="AB154" i="18"/>
  <c r="AC154" i="18"/>
  <c r="AD154" i="18"/>
  <c r="AE154" i="18"/>
  <c r="AF154" i="18"/>
  <c r="D155" i="18"/>
  <c r="E155" i="18"/>
  <c r="F155" i="18"/>
  <c r="G155" i="18"/>
  <c r="H155" i="18"/>
  <c r="I155" i="18"/>
  <c r="J155" i="18"/>
  <c r="K155" i="18"/>
  <c r="L155" i="18"/>
  <c r="M155" i="18"/>
  <c r="N155" i="18"/>
  <c r="O155" i="18"/>
  <c r="P155" i="18"/>
  <c r="Q155" i="18"/>
  <c r="R155" i="18"/>
  <c r="S155" i="18"/>
  <c r="T155" i="18"/>
  <c r="U155" i="18"/>
  <c r="V155" i="18"/>
  <c r="W155" i="18"/>
  <c r="X155" i="18"/>
  <c r="AV155" i="18" s="1"/>
  <c r="Y155" i="18"/>
  <c r="BD155" i="18" s="1"/>
  <c r="Z155" i="18"/>
  <c r="AA155" i="18"/>
  <c r="AB155" i="18"/>
  <c r="AC155" i="18"/>
  <c r="AD155" i="18"/>
  <c r="AE155" i="18"/>
  <c r="AF155" i="18"/>
  <c r="D156" i="18"/>
  <c r="E156" i="18"/>
  <c r="F156" i="18"/>
  <c r="G156" i="18"/>
  <c r="H156" i="18"/>
  <c r="I156" i="18"/>
  <c r="J156" i="18"/>
  <c r="K156" i="18"/>
  <c r="L156" i="18"/>
  <c r="M156" i="18"/>
  <c r="N156" i="18"/>
  <c r="O156" i="18"/>
  <c r="P156" i="18"/>
  <c r="Q156" i="18"/>
  <c r="R156" i="18"/>
  <c r="S156" i="18"/>
  <c r="T156" i="18"/>
  <c r="U156" i="18"/>
  <c r="V156" i="18"/>
  <c r="W156" i="18"/>
  <c r="X156" i="18"/>
  <c r="AV156" i="18" s="1"/>
  <c r="Y156" i="18"/>
  <c r="BD156" i="18" s="1"/>
  <c r="Z156" i="18"/>
  <c r="AA156" i="18"/>
  <c r="AB156" i="18"/>
  <c r="AC156" i="18"/>
  <c r="AD156" i="18"/>
  <c r="AE156" i="18"/>
  <c r="AF156" i="18"/>
  <c r="D157" i="18"/>
  <c r="E157" i="18"/>
  <c r="F157" i="18"/>
  <c r="G157" i="18"/>
  <c r="H157" i="18"/>
  <c r="I157" i="18"/>
  <c r="J157" i="18"/>
  <c r="K157" i="18"/>
  <c r="L157" i="18"/>
  <c r="M157" i="18"/>
  <c r="N157" i="18"/>
  <c r="O157" i="18"/>
  <c r="P157" i="18"/>
  <c r="Q157" i="18"/>
  <c r="R157" i="18"/>
  <c r="S157" i="18"/>
  <c r="T157" i="18"/>
  <c r="U157" i="18"/>
  <c r="V157" i="18"/>
  <c r="W157" i="18"/>
  <c r="X157" i="18"/>
  <c r="AV157" i="18" s="1"/>
  <c r="Y157" i="18"/>
  <c r="BD157" i="18" s="1"/>
  <c r="Z157" i="18"/>
  <c r="AA157" i="18"/>
  <c r="AB157" i="18"/>
  <c r="AC157" i="18"/>
  <c r="AD157" i="18"/>
  <c r="AE157" i="18"/>
  <c r="AF157" i="18"/>
  <c r="D158" i="18"/>
  <c r="E158" i="18"/>
  <c r="F158" i="18"/>
  <c r="G158" i="18"/>
  <c r="H158" i="18"/>
  <c r="I158" i="18"/>
  <c r="J158" i="18"/>
  <c r="K158" i="18"/>
  <c r="L158" i="18"/>
  <c r="M158" i="18"/>
  <c r="N158" i="18"/>
  <c r="O158" i="18"/>
  <c r="P158" i="18"/>
  <c r="Q158" i="18"/>
  <c r="R158" i="18"/>
  <c r="S158" i="18"/>
  <c r="T158" i="18"/>
  <c r="U158" i="18"/>
  <c r="V158" i="18"/>
  <c r="W158" i="18"/>
  <c r="X158" i="18"/>
  <c r="AV158" i="18" s="1"/>
  <c r="Y158" i="18"/>
  <c r="BD158" i="18" s="1"/>
  <c r="Z158" i="18"/>
  <c r="AA158" i="18"/>
  <c r="AB158" i="18"/>
  <c r="AC158" i="18"/>
  <c r="AD158" i="18"/>
  <c r="AE158" i="18"/>
  <c r="AF158" i="18"/>
  <c r="D159" i="18"/>
  <c r="E159" i="18"/>
  <c r="F159" i="18"/>
  <c r="G159" i="18"/>
  <c r="H159" i="18"/>
  <c r="I159" i="18"/>
  <c r="J159" i="18"/>
  <c r="K159" i="18"/>
  <c r="L159" i="18"/>
  <c r="M159" i="18"/>
  <c r="N159" i="18"/>
  <c r="O159" i="18"/>
  <c r="P159" i="18"/>
  <c r="Q159" i="18"/>
  <c r="R159" i="18"/>
  <c r="S159" i="18"/>
  <c r="T159" i="18"/>
  <c r="U159" i="18"/>
  <c r="V159" i="18"/>
  <c r="W159" i="18"/>
  <c r="X159" i="18"/>
  <c r="AV159" i="18" s="1"/>
  <c r="Y159" i="18"/>
  <c r="BD159" i="18" s="1"/>
  <c r="Z159" i="18"/>
  <c r="AA159" i="18"/>
  <c r="AB159" i="18"/>
  <c r="AC159" i="18"/>
  <c r="AD159" i="18"/>
  <c r="AE159" i="18"/>
  <c r="AF159" i="18"/>
  <c r="D160" i="18"/>
  <c r="E160" i="18"/>
  <c r="F160" i="18"/>
  <c r="G160" i="18"/>
  <c r="H160" i="18"/>
  <c r="I160" i="18"/>
  <c r="J160" i="18"/>
  <c r="K160" i="18"/>
  <c r="L160" i="18"/>
  <c r="M160" i="18"/>
  <c r="N160" i="18"/>
  <c r="O160" i="18"/>
  <c r="P160" i="18"/>
  <c r="Q160" i="18"/>
  <c r="R160" i="18"/>
  <c r="S160" i="18"/>
  <c r="T160" i="18"/>
  <c r="U160" i="18"/>
  <c r="V160" i="18"/>
  <c r="W160" i="18"/>
  <c r="X160" i="18"/>
  <c r="AV160" i="18" s="1"/>
  <c r="Y160" i="18"/>
  <c r="BD160" i="18" s="1"/>
  <c r="Z160" i="18"/>
  <c r="AA160" i="18"/>
  <c r="AB160" i="18"/>
  <c r="AC160" i="18"/>
  <c r="AD160" i="18"/>
  <c r="AE160" i="18"/>
  <c r="AF160" i="18"/>
  <c r="D161" i="18"/>
  <c r="E161" i="18"/>
  <c r="F161" i="18"/>
  <c r="G161" i="18"/>
  <c r="H161" i="18"/>
  <c r="I161" i="18"/>
  <c r="J161" i="18"/>
  <c r="K161" i="18"/>
  <c r="L161" i="18"/>
  <c r="M161" i="18"/>
  <c r="N161" i="18"/>
  <c r="O161" i="18"/>
  <c r="P161" i="18"/>
  <c r="Q161" i="18"/>
  <c r="R161" i="18"/>
  <c r="S161" i="18"/>
  <c r="T161" i="18"/>
  <c r="U161" i="18"/>
  <c r="V161" i="18"/>
  <c r="W161" i="18"/>
  <c r="X161" i="18"/>
  <c r="AV161" i="18" s="1"/>
  <c r="Y161" i="18"/>
  <c r="BD161" i="18" s="1"/>
  <c r="Z161" i="18"/>
  <c r="AA161" i="18"/>
  <c r="AB161" i="18"/>
  <c r="AC161" i="18"/>
  <c r="AD161" i="18"/>
  <c r="AE161" i="18"/>
  <c r="AF161" i="18"/>
  <c r="D162" i="18"/>
  <c r="E162" i="18"/>
  <c r="F162" i="18"/>
  <c r="G162" i="18"/>
  <c r="H162" i="18"/>
  <c r="I162" i="18"/>
  <c r="J162" i="18"/>
  <c r="K162" i="18"/>
  <c r="L162" i="18"/>
  <c r="M162" i="18"/>
  <c r="N162" i="18"/>
  <c r="O162" i="18"/>
  <c r="P162" i="18"/>
  <c r="Q162" i="18"/>
  <c r="R162" i="18"/>
  <c r="S162" i="18"/>
  <c r="T162" i="18"/>
  <c r="U162" i="18"/>
  <c r="V162" i="18"/>
  <c r="W162" i="18"/>
  <c r="X162" i="18"/>
  <c r="AV162" i="18" s="1"/>
  <c r="Y162" i="18"/>
  <c r="BD162" i="18" s="1"/>
  <c r="Z162" i="18"/>
  <c r="AA162" i="18"/>
  <c r="AB162" i="18"/>
  <c r="AC162" i="18"/>
  <c r="AD162" i="18"/>
  <c r="AE162" i="18"/>
  <c r="AF162" i="18"/>
  <c r="D163" i="18"/>
  <c r="E163" i="18"/>
  <c r="F163" i="18"/>
  <c r="G163" i="18"/>
  <c r="H163" i="18"/>
  <c r="I163" i="18"/>
  <c r="J163" i="18"/>
  <c r="K163" i="18"/>
  <c r="L163" i="18"/>
  <c r="M163" i="18"/>
  <c r="N163" i="18"/>
  <c r="O163" i="18"/>
  <c r="P163" i="18"/>
  <c r="Q163" i="18"/>
  <c r="R163" i="18"/>
  <c r="S163" i="18"/>
  <c r="T163" i="18"/>
  <c r="U163" i="18"/>
  <c r="V163" i="18"/>
  <c r="W163" i="18"/>
  <c r="X163" i="18"/>
  <c r="AV163" i="18" s="1"/>
  <c r="Y163" i="18"/>
  <c r="BD163" i="18" s="1"/>
  <c r="Z163" i="18"/>
  <c r="AA163" i="18"/>
  <c r="AB163" i="18"/>
  <c r="AC163" i="18"/>
  <c r="AD163" i="18"/>
  <c r="AE163" i="18"/>
  <c r="AF163" i="18"/>
  <c r="D164" i="18"/>
  <c r="E164" i="18"/>
  <c r="F164" i="18"/>
  <c r="G164" i="18"/>
  <c r="H164" i="18"/>
  <c r="I164" i="18"/>
  <c r="J164" i="18"/>
  <c r="K164" i="18"/>
  <c r="L164" i="18"/>
  <c r="M164" i="18"/>
  <c r="N164" i="18"/>
  <c r="O164" i="18"/>
  <c r="P164" i="18"/>
  <c r="Q164" i="18"/>
  <c r="R164" i="18"/>
  <c r="S164" i="18"/>
  <c r="T164" i="18"/>
  <c r="U164" i="18"/>
  <c r="V164" i="18"/>
  <c r="W164" i="18"/>
  <c r="X164" i="18"/>
  <c r="AV164" i="18" s="1"/>
  <c r="Y164" i="18"/>
  <c r="BD164" i="18" s="1"/>
  <c r="Z164" i="18"/>
  <c r="AA164" i="18"/>
  <c r="AB164" i="18"/>
  <c r="AC164" i="18"/>
  <c r="AD164" i="18"/>
  <c r="AE164" i="18"/>
  <c r="AF164" i="18"/>
  <c r="D165" i="18"/>
  <c r="E165" i="18"/>
  <c r="F165" i="18"/>
  <c r="G165" i="18"/>
  <c r="H165" i="18"/>
  <c r="I165" i="18"/>
  <c r="J165" i="18"/>
  <c r="K165" i="18"/>
  <c r="L165" i="18"/>
  <c r="M165" i="18"/>
  <c r="N165" i="18"/>
  <c r="O165" i="18"/>
  <c r="P165" i="18"/>
  <c r="Q165" i="18"/>
  <c r="R165" i="18"/>
  <c r="S165" i="18"/>
  <c r="T165" i="18"/>
  <c r="U165" i="18"/>
  <c r="V165" i="18"/>
  <c r="W165" i="18"/>
  <c r="X165" i="18"/>
  <c r="AV165" i="18" s="1"/>
  <c r="Y165" i="18"/>
  <c r="BD165" i="18" s="1"/>
  <c r="Z165" i="18"/>
  <c r="AA165" i="18"/>
  <c r="AB165" i="18"/>
  <c r="AC165" i="18"/>
  <c r="AD165" i="18"/>
  <c r="AE165" i="18"/>
  <c r="AF165" i="18"/>
  <c r="D166" i="18"/>
  <c r="E166" i="18"/>
  <c r="F166" i="18"/>
  <c r="G166" i="18"/>
  <c r="H166" i="18"/>
  <c r="I166" i="18"/>
  <c r="J166" i="18"/>
  <c r="K166" i="18"/>
  <c r="L166" i="18"/>
  <c r="M166" i="18"/>
  <c r="N166" i="18"/>
  <c r="O166" i="18"/>
  <c r="P166" i="18"/>
  <c r="Q166" i="18"/>
  <c r="R166" i="18"/>
  <c r="S166" i="18"/>
  <c r="T166" i="18"/>
  <c r="U166" i="18"/>
  <c r="V166" i="18"/>
  <c r="W166" i="18"/>
  <c r="X166" i="18"/>
  <c r="AV166" i="18" s="1"/>
  <c r="Y166" i="18"/>
  <c r="BD166" i="18" s="1"/>
  <c r="Z166" i="18"/>
  <c r="AA166" i="18"/>
  <c r="AB166" i="18"/>
  <c r="AC166" i="18"/>
  <c r="AD166" i="18"/>
  <c r="AE166" i="18"/>
  <c r="AF166" i="18"/>
  <c r="D167" i="18"/>
  <c r="E167" i="18"/>
  <c r="F167" i="18"/>
  <c r="G167" i="18"/>
  <c r="H167" i="18"/>
  <c r="I167" i="18"/>
  <c r="J167" i="18"/>
  <c r="K167" i="18"/>
  <c r="L167" i="18"/>
  <c r="M167" i="18"/>
  <c r="N167" i="18"/>
  <c r="O167" i="18"/>
  <c r="P167" i="18"/>
  <c r="Q167" i="18"/>
  <c r="R167" i="18"/>
  <c r="S167" i="18"/>
  <c r="T167" i="18"/>
  <c r="U167" i="18"/>
  <c r="V167" i="18"/>
  <c r="W167" i="18"/>
  <c r="X167" i="18"/>
  <c r="AV167" i="18" s="1"/>
  <c r="Y167" i="18"/>
  <c r="BD167" i="18" s="1"/>
  <c r="Z167" i="18"/>
  <c r="AA167" i="18"/>
  <c r="AB167" i="18"/>
  <c r="AC167" i="18"/>
  <c r="AD167" i="18"/>
  <c r="AE167" i="18"/>
  <c r="AF167" i="18"/>
  <c r="D168" i="18"/>
  <c r="E168" i="18"/>
  <c r="F168" i="18"/>
  <c r="G168" i="18"/>
  <c r="H168" i="18"/>
  <c r="I168" i="18"/>
  <c r="J168" i="18"/>
  <c r="K168" i="18"/>
  <c r="L168" i="18"/>
  <c r="M168" i="18"/>
  <c r="N168" i="18"/>
  <c r="O168" i="18"/>
  <c r="P168" i="18"/>
  <c r="Q168" i="18"/>
  <c r="R168" i="18"/>
  <c r="S168" i="18"/>
  <c r="T168" i="18"/>
  <c r="U168" i="18"/>
  <c r="V168" i="18"/>
  <c r="W168" i="18"/>
  <c r="X168" i="18"/>
  <c r="AV168" i="18" s="1"/>
  <c r="Y168" i="18"/>
  <c r="BD168" i="18" s="1"/>
  <c r="Z168" i="18"/>
  <c r="AA168" i="18"/>
  <c r="AB168" i="18"/>
  <c r="AC168" i="18"/>
  <c r="AD168" i="18"/>
  <c r="AE168" i="18"/>
  <c r="AF168" i="18"/>
  <c r="D169" i="18"/>
  <c r="E169" i="18"/>
  <c r="F169" i="18"/>
  <c r="G169" i="18"/>
  <c r="H169" i="18"/>
  <c r="I169" i="18"/>
  <c r="J169" i="18"/>
  <c r="K169" i="18"/>
  <c r="L169" i="18"/>
  <c r="M169" i="18"/>
  <c r="N169" i="18"/>
  <c r="O169" i="18"/>
  <c r="P169" i="18"/>
  <c r="Q169" i="18"/>
  <c r="R169" i="18"/>
  <c r="S169" i="18"/>
  <c r="T169" i="18"/>
  <c r="U169" i="18"/>
  <c r="V169" i="18"/>
  <c r="W169" i="18"/>
  <c r="X169" i="18"/>
  <c r="AV169" i="18" s="1"/>
  <c r="Y169" i="18"/>
  <c r="BD169" i="18" s="1"/>
  <c r="Z169" i="18"/>
  <c r="AA169" i="18"/>
  <c r="AB169" i="18"/>
  <c r="AC169" i="18"/>
  <c r="AD169" i="18"/>
  <c r="AE169" i="18"/>
  <c r="AF169" i="18"/>
  <c r="D170" i="18"/>
  <c r="E170" i="18"/>
  <c r="F170" i="18"/>
  <c r="G170" i="18"/>
  <c r="H170" i="18"/>
  <c r="I170" i="18"/>
  <c r="J170" i="18"/>
  <c r="K170" i="18"/>
  <c r="L170" i="18"/>
  <c r="M170" i="18"/>
  <c r="N170" i="18"/>
  <c r="O170" i="18"/>
  <c r="P170" i="18"/>
  <c r="Q170" i="18"/>
  <c r="R170" i="18"/>
  <c r="S170" i="18"/>
  <c r="T170" i="18"/>
  <c r="U170" i="18"/>
  <c r="V170" i="18"/>
  <c r="W170" i="18"/>
  <c r="X170" i="18"/>
  <c r="AV170" i="18" s="1"/>
  <c r="Y170" i="18"/>
  <c r="BD170" i="18" s="1"/>
  <c r="Z170" i="18"/>
  <c r="AA170" i="18"/>
  <c r="AB170" i="18"/>
  <c r="AC170" i="18"/>
  <c r="AD170" i="18"/>
  <c r="AE170" i="18"/>
  <c r="AF170" i="18"/>
  <c r="D171" i="18"/>
  <c r="E171" i="18"/>
  <c r="F171" i="18"/>
  <c r="G171" i="18"/>
  <c r="H171" i="18"/>
  <c r="I171" i="18"/>
  <c r="J171" i="18"/>
  <c r="K171" i="18"/>
  <c r="L171" i="18"/>
  <c r="M171" i="18"/>
  <c r="N171" i="18"/>
  <c r="O171" i="18"/>
  <c r="P171" i="18"/>
  <c r="Q171" i="18"/>
  <c r="R171" i="18"/>
  <c r="S171" i="18"/>
  <c r="T171" i="18"/>
  <c r="U171" i="18"/>
  <c r="V171" i="18"/>
  <c r="W171" i="18"/>
  <c r="X171" i="18"/>
  <c r="AV171" i="18" s="1"/>
  <c r="Y171" i="18"/>
  <c r="BD171" i="18" s="1"/>
  <c r="Z171" i="18"/>
  <c r="AA171" i="18"/>
  <c r="AB171" i="18"/>
  <c r="AC171" i="18"/>
  <c r="AD171" i="18"/>
  <c r="AE171" i="18"/>
  <c r="AF171" i="18"/>
  <c r="D172" i="18"/>
  <c r="E172" i="18"/>
  <c r="F172" i="18"/>
  <c r="G172" i="18"/>
  <c r="H172" i="18"/>
  <c r="I172" i="18"/>
  <c r="J172" i="18"/>
  <c r="K172" i="18"/>
  <c r="L172" i="18"/>
  <c r="M172" i="18"/>
  <c r="N172" i="18"/>
  <c r="O172" i="18"/>
  <c r="P172" i="18"/>
  <c r="Q172" i="18"/>
  <c r="R172" i="18"/>
  <c r="S172" i="18"/>
  <c r="T172" i="18"/>
  <c r="U172" i="18"/>
  <c r="V172" i="18"/>
  <c r="W172" i="18"/>
  <c r="X172" i="18"/>
  <c r="AV172" i="18" s="1"/>
  <c r="Y172" i="18"/>
  <c r="BD172" i="18" s="1"/>
  <c r="Z172" i="18"/>
  <c r="AA172" i="18"/>
  <c r="AB172" i="18"/>
  <c r="AC172" i="18"/>
  <c r="AD172" i="18"/>
  <c r="AE172" i="18"/>
  <c r="AF172" i="18"/>
  <c r="D173" i="18"/>
  <c r="E173" i="18"/>
  <c r="F173" i="18"/>
  <c r="G173" i="18"/>
  <c r="H173" i="18"/>
  <c r="I173" i="18"/>
  <c r="J173" i="18"/>
  <c r="K173" i="18"/>
  <c r="L173" i="18"/>
  <c r="M173" i="18"/>
  <c r="N173" i="18"/>
  <c r="O173" i="18"/>
  <c r="P173" i="18"/>
  <c r="Q173" i="18"/>
  <c r="R173" i="18"/>
  <c r="S173" i="18"/>
  <c r="T173" i="18"/>
  <c r="U173" i="18"/>
  <c r="V173" i="18"/>
  <c r="W173" i="18"/>
  <c r="X173" i="18"/>
  <c r="AV173" i="18" s="1"/>
  <c r="Y173" i="18"/>
  <c r="BD173" i="18" s="1"/>
  <c r="Z173" i="18"/>
  <c r="AA173" i="18"/>
  <c r="AB173" i="18"/>
  <c r="AC173" i="18"/>
  <c r="AE173" i="18"/>
  <c r="AF173" i="18"/>
  <c r="D174" i="18"/>
  <c r="E174" i="18"/>
  <c r="F174" i="18"/>
  <c r="G174" i="18"/>
  <c r="H174" i="18"/>
  <c r="I174" i="18"/>
  <c r="J174" i="18"/>
  <c r="L174" i="18"/>
  <c r="M174" i="18"/>
  <c r="N174" i="18"/>
  <c r="O174" i="18"/>
  <c r="P174" i="18"/>
  <c r="Q174" i="18"/>
  <c r="R174" i="18"/>
  <c r="S174" i="18"/>
  <c r="T174" i="18"/>
  <c r="U174" i="18"/>
  <c r="V174" i="18"/>
  <c r="W174" i="18"/>
  <c r="X174" i="18"/>
  <c r="AV174" i="18" s="1"/>
  <c r="Y174" i="18"/>
  <c r="BD174" i="18" s="1"/>
  <c r="Z174" i="18"/>
  <c r="AA174" i="18"/>
  <c r="AB174" i="18"/>
  <c r="AC174" i="18"/>
  <c r="AE174" i="18"/>
  <c r="AF174" i="18"/>
  <c r="D175" i="18"/>
  <c r="E175" i="18"/>
  <c r="F175" i="18"/>
  <c r="G175" i="18"/>
  <c r="H175" i="18"/>
  <c r="I175" i="18"/>
  <c r="J175" i="18"/>
  <c r="L175" i="18"/>
  <c r="M175" i="18"/>
  <c r="N175" i="18"/>
  <c r="O175" i="18"/>
  <c r="P175" i="18"/>
  <c r="Q175" i="18"/>
  <c r="R175" i="18"/>
  <c r="S175" i="18"/>
  <c r="T175" i="18"/>
  <c r="U175" i="18"/>
  <c r="V175" i="18"/>
  <c r="W175" i="18"/>
  <c r="X175" i="18"/>
  <c r="AV175" i="18" s="1"/>
  <c r="Y175" i="18"/>
  <c r="BD175" i="18" s="1"/>
  <c r="Z175" i="18"/>
  <c r="AA175" i="18"/>
  <c r="AB175" i="18"/>
  <c r="AC175" i="18"/>
  <c r="AD175" i="18"/>
  <c r="AE175" i="18"/>
  <c r="AF175" i="18"/>
  <c r="D176" i="18"/>
  <c r="E176" i="18"/>
  <c r="F176" i="18"/>
  <c r="G176" i="18"/>
  <c r="H176" i="18"/>
  <c r="I176" i="18"/>
  <c r="J176" i="18"/>
  <c r="K176" i="18"/>
  <c r="L176" i="18"/>
  <c r="M176" i="18"/>
  <c r="N176" i="18"/>
  <c r="O176" i="18"/>
  <c r="P176" i="18"/>
  <c r="Q176" i="18"/>
  <c r="R176" i="18"/>
  <c r="S176" i="18"/>
  <c r="T176" i="18"/>
  <c r="U176" i="18"/>
  <c r="V176" i="18"/>
  <c r="W176" i="18"/>
  <c r="X176" i="18"/>
  <c r="AV176" i="18" s="1"/>
  <c r="Y176" i="18"/>
  <c r="BD176" i="18" s="1"/>
  <c r="Z176" i="18"/>
  <c r="AA176" i="18"/>
  <c r="AB176" i="18"/>
  <c r="AC176" i="18"/>
  <c r="AD176" i="18"/>
  <c r="AE176" i="18"/>
  <c r="AF176" i="18"/>
  <c r="D177" i="18"/>
  <c r="E177" i="18"/>
  <c r="F177" i="18"/>
  <c r="G177" i="18"/>
  <c r="H177" i="18"/>
  <c r="I177" i="18"/>
  <c r="J177" i="18"/>
  <c r="K177" i="18"/>
  <c r="L177" i="18"/>
  <c r="M177" i="18"/>
  <c r="N177" i="18"/>
  <c r="O177" i="18"/>
  <c r="P177" i="18"/>
  <c r="Q177" i="18"/>
  <c r="R177" i="18"/>
  <c r="S177" i="18"/>
  <c r="T177" i="18"/>
  <c r="U177" i="18"/>
  <c r="V177" i="18"/>
  <c r="W177" i="18"/>
  <c r="X177" i="18"/>
  <c r="AV177" i="18" s="1"/>
  <c r="Y177" i="18"/>
  <c r="BD177" i="18" s="1"/>
  <c r="Z177" i="18"/>
  <c r="AA177" i="18"/>
  <c r="AB177" i="18"/>
  <c r="AC177" i="18"/>
  <c r="AD177" i="18"/>
  <c r="AE177" i="18"/>
  <c r="AF177" i="18"/>
  <c r="D178" i="18"/>
  <c r="E178" i="18"/>
  <c r="F178" i="18"/>
  <c r="G178" i="18"/>
  <c r="H178" i="18"/>
  <c r="I178" i="18"/>
  <c r="J178" i="18"/>
  <c r="K178" i="18"/>
  <c r="L178" i="18"/>
  <c r="M178" i="18"/>
  <c r="N178" i="18"/>
  <c r="O178" i="18"/>
  <c r="P178" i="18"/>
  <c r="Q178" i="18"/>
  <c r="R178" i="18"/>
  <c r="S178" i="18"/>
  <c r="T178" i="18"/>
  <c r="U178" i="18"/>
  <c r="V178" i="18"/>
  <c r="W178" i="18"/>
  <c r="X178" i="18"/>
  <c r="AV178" i="18" s="1"/>
  <c r="Y178" i="18"/>
  <c r="BD178" i="18" s="1"/>
  <c r="Z178" i="18"/>
  <c r="AA178" i="18"/>
  <c r="AB178" i="18"/>
  <c r="AC178" i="18"/>
  <c r="AD178" i="18"/>
  <c r="AE178" i="18"/>
  <c r="AF178" i="18"/>
  <c r="D179" i="18"/>
  <c r="E179" i="18"/>
  <c r="F179" i="18"/>
  <c r="G179" i="18"/>
  <c r="H179" i="18"/>
  <c r="I179" i="18"/>
  <c r="J179" i="18"/>
  <c r="K179" i="18"/>
  <c r="L179" i="18"/>
  <c r="M179" i="18"/>
  <c r="N179" i="18"/>
  <c r="O179" i="18"/>
  <c r="P179" i="18"/>
  <c r="Q179" i="18"/>
  <c r="R179" i="18"/>
  <c r="S179" i="18"/>
  <c r="T179" i="18"/>
  <c r="U179" i="18"/>
  <c r="V179" i="18"/>
  <c r="W179" i="18"/>
  <c r="X179" i="18"/>
  <c r="AV179" i="18" s="1"/>
  <c r="Y179" i="18"/>
  <c r="BD179" i="18" s="1"/>
  <c r="Z179" i="18"/>
  <c r="AA179" i="18"/>
  <c r="AB179" i="18"/>
  <c r="AC179" i="18"/>
  <c r="AD179" i="18"/>
  <c r="AE179" i="18"/>
  <c r="AF179" i="18"/>
  <c r="D180" i="18"/>
  <c r="E180" i="18"/>
  <c r="F180" i="18"/>
  <c r="G180" i="18"/>
  <c r="H180" i="18"/>
  <c r="I180" i="18"/>
  <c r="J180" i="18"/>
  <c r="K180" i="18"/>
  <c r="L180" i="18"/>
  <c r="M180" i="18"/>
  <c r="N180" i="18"/>
  <c r="O180" i="18"/>
  <c r="P180" i="18"/>
  <c r="Q180" i="18"/>
  <c r="R180" i="18"/>
  <c r="S180" i="18"/>
  <c r="T180" i="18"/>
  <c r="U180" i="18"/>
  <c r="V180" i="18"/>
  <c r="W180" i="18"/>
  <c r="X180" i="18"/>
  <c r="AV180" i="18" s="1"/>
  <c r="Y180" i="18"/>
  <c r="BD180" i="18" s="1"/>
  <c r="Z180" i="18"/>
  <c r="AA180" i="18"/>
  <c r="AB180" i="18"/>
  <c r="AC180" i="18"/>
  <c r="AD180" i="18"/>
  <c r="AE180" i="18"/>
  <c r="AF180" i="18"/>
  <c r="D181" i="18"/>
  <c r="E181" i="18"/>
  <c r="F181" i="18"/>
  <c r="G181" i="18"/>
  <c r="H181" i="18"/>
  <c r="I181" i="18"/>
  <c r="J181" i="18"/>
  <c r="K181" i="18"/>
  <c r="L181" i="18"/>
  <c r="M181" i="18"/>
  <c r="N181" i="18"/>
  <c r="O181" i="18"/>
  <c r="P181" i="18"/>
  <c r="Q181" i="18"/>
  <c r="R181" i="18"/>
  <c r="S181" i="18"/>
  <c r="T181" i="18"/>
  <c r="U181" i="18"/>
  <c r="V181" i="18"/>
  <c r="W181" i="18"/>
  <c r="X181" i="18"/>
  <c r="AV181" i="18" s="1"/>
  <c r="Y181" i="18"/>
  <c r="BD181" i="18" s="1"/>
  <c r="Z181" i="18"/>
  <c r="AA181" i="18"/>
  <c r="AB181" i="18"/>
  <c r="AC181" i="18"/>
  <c r="AD181" i="18"/>
  <c r="AE181" i="18"/>
  <c r="AF181" i="18"/>
  <c r="D182" i="18"/>
  <c r="E182" i="18"/>
  <c r="F182" i="18"/>
  <c r="G182" i="18"/>
  <c r="H182" i="18"/>
  <c r="I182" i="18"/>
  <c r="J182" i="18"/>
  <c r="K182" i="18"/>
  <c r="L182" i="18"/>
  <c r="M182" i="18"/>
  <c r="N182" i="18"/>
  <c r="O182" i="18"/>
  <c r="P182" i="18"/>
  <c r="Q182" i="18"/>
  <c r="R182" i="18"/>
  <c r="S182" i="18"/>
  <c r="T182" i="18"/>
  <c r="U182" i="18"/>
  <c r="V182" i="18"/>
  <c r="W182" i="18"/>
  <c r="X182" i="18"/>
  <c r="AV182" i="18" s="1"/>
  <c r="Y182" i="18"/>
  <c r="BD182" i="18" s="1"/>
  <c r="Z182" i="18"/>
  <c r="AA182" i="18"/>
  <c r="AB182" i="18"/>
  <c r="AC182" i="18"/>
  <c r="AD182" i="18"/>
  <c r="AE182" i="18"/>
  <c r="AF182" i="18"/>
  <c r="D183" i="18"/>
  <c r="E183" i="18"/>
  <c r="F183" i="18"/>
  <c r="G183" i="18"/>
  <c r="H183" i="18"/>
  <c r="I183" i="18"/>
  <c r="J183" i="18"/>
  <c r="K183" i="18"/>
  <c r="L183" i="18"/>
  <c r="M183" i="18"/>
  <c r="N183" i="18"/>
  <c r="O183" i="18"/>
  <c r="P183" i="18"/>
  <c r="Q183" i="18"/>
  <c r="R183" i="18"/>
  <c r="S183" i="18"/>
  <c r="T183" i="18"/>
  <c r="U183" i="18"/>
  <c r="V183" i="18"/>
  <c r="W183" i="18"/>
  <c r="X183" i="18"/>
  <c r="AV183" i="18" s="1"/>
  <c r="Y183" i="18"/>
  <c r="BD183" i="18" s="1"/>
  <c r="Z183" i="18"/>
  <c r="AA183" i="18"/>
  <c r="AB183" i="18"/>
  <c r="AC183" i="18"/>
  <c r="AD183" i="18"/>
  <c r="AE183" i="18"/>
  <c r="AF183" i="18"/>
  <c r="D184" i="18"/>
  <c r="E184" i="18"/>
  <c r="F184" i="18"/>
  <c r="G184" i="18"/>
  <c r="H184" i="18"/>
  <c r="I184" i="18"/>
  <c r="J184" i="18"/>
  <c r="K184" i="18"/>
  <c r="L184" i="18"/>
  <c r="M184" i="18"/>
  <c r="N184" i="18"/>
  <c r="O184" i="18"/>
  <c r="P184" i="18"/>
  <c r="Q184" i="18"/>
  <c r="R184" i="18"/>
  <c r="S184" i="18"/>
  <c r="T184" i="18"/>
  <c r="U184" i="18"/>
  <c r="V184" i="18"/>
  <c r="W184" i="18"/>
  <c r="X184" i="18"/>
  <c r="AV184" i="18" s="1"/>
  <c r="Y184" i="18"/>
  <c r="BD184" i="18" s="1"/>
  <c r="Z184" i="18"/>
  <c r="AA184" i="18"/>
  <c r="AB184" i="18"/>
  <c r="AC184" i="18"/>
  <c r="AD184" i="18"/>
  <c r="AE184" i="18"/>
  <c r="AF184" i="18"/>
  <c r="D185" i="18"/>
  <c r="E185" i="18"/>
  <c r="F185" i="18"/>
  <c r="G185" i="18"/>
  <c r="H185" i="18"/>
  <c r="I185" i="18"/>
  <c r="J185" i="18"/>
  <c r="K185" i="18"/>
  <c r="L185" i="18"/>
  <c r="M185" i="18"/>
  <c r="N185" i="18"/>
  <c r="O185" i="18"/>
  <c r="P185" i="18"/>
  <c r="Q185" i="18"/>
  <c r="R185" i="18"/>
  <c r="S185" i="18"/>
  <c r="T185" i="18"/>
  <c r="U185" i="18"/>
  <c r="V185" i="18"/>
  <c r="W185" i="18"/>
  <c r="X185" i="18"/>
  <c r="AV185" i="18" s="1"/>
  <c r="Y185" i="18"/>
  <c r="BD185" i="18" s="1"/>
  <c r="Z185" i="18"/>
  <c r="AA185" i="18"/>
  <c r="AB185" i="18"/>
  <c r="AC185" i="18"/>
  <c r="AD185" i="18"/>
  <c r="AE185" i="18"/>
  <c r="AF185" i="18"/>
  <c r="D186" i="18"/>
  <c r="E186" i="18"/>
  <c r="F186" i="18"/>
  <c r="G186" i="18"/>
  <c r="H186" i="18"/>
  <c r="I186" i="18"/>
  <c r="J186" i="18"/>
  <c r="K186" i="18"/>
  <c r="L186" i="18"/>
  <c r="M186" i="18"/>
  <c r="N186" i="18"/>
  <c r="O186" i="18"/>
  <c r="P186" i="18"/>
  <c r="Q186" i="18"/>
  <c r="R186" i="18"/>
  <c r="S186" i="18"/>
  <c r="T186" i="18"/>
  <c r="U186" i="18"/>
  <c r="V186" i="18"/>
  <c r="W186" i="18"/>
  <c r="X186" i="18"/>
  <c r="AV186" i="18" s="1"/>
  <c r="Y186" i="18"/>
  <c r="BD186" i="18" s="1"/>
  <c r="Z186" i="18"/>
  <c r="AA186" i="18"/>
  <c r="AB186" i="18"/>
  <c r="AC186" i="18"/>
  <c r="AD186" i="18"/>
  <c r="AE186" i="18"/>
  <c r="AF186" i="18"/>
  <c r="D187" i="18"/>
  <c r="E187" i="18"/>
  <c r="F187" i="18"/>
  <c r="G187" i="18"/>
  <c r="H187" i="18"/>
  <c r="I187" i="18"/>
  <c r="J187" i="18"/>
  <c r="K187" i="18"/>
  <c r="L187" i="18"/>
  <c r="M187" i="18"/>
  <c r="N187" i="18"/>
  <c r="O187" i="18"/>
  <c r="P187" i="18"/>
  <c r="Q187" i="18"/>
  <c r="R187" i="18"/>
  <c r="S187" i="18"/>
  <c r="T187" i="18"/>
  <c r="U187" i="18"/>
  <c r="V187" i="18"/>
  <c r="W187" i="18"/>
  <c r="X187" i="18"/>
  <c r="AV187" i="18" s="1"/>
  <c r="Y187" i="18"/>
  <c r="BD187" i="18" s="1"/>
  <c r="Z187" i="18"/>
  <c r="AA187" i="18"/>
  <c r="AB187" i="18"/>
  <c r="AC187" i="18"/>
  <c r="AD187" i="18"/>
  <c r="AE187" i="18"/>
  <c r="AF187" i="18"/>
  <c r="D188" i="18"/>
  <c r="E188" i="18"/>
  <c r="F188" i="18"/>
  <c r="G188" i="18"/>
  <c r="H188" i="18"/>
  <c r="I188" i="18"/>
  <c r="J188" i="18"/>
  <c r="K188" i="18"/>
  <c r="L188" i="18"/>
  <c r="M188" i="18"/>
  <c r="N188" i="18"/>
  <c r="O188" i="18"/>
  <c r="P188" i="18"/>
  <c r="Q188" i="18"/>
  <c r="R188" i="18"/>
  <c r="S188" i="18"/>
  <c r="T188" i="18"/>
  <c r="U188" i="18"/>
  <c r="V188" i="18"/>
  <c r="W188" i="18"/>
  <c r="X188" i="18"/>
  <c r="AV188" i="18" s="1"/>
  <c r="Y188" i="18"/>
  <c r="BD188" i="18" s="1"/>
  <c r="Z188" i="18"/>
  <c r="AA188" i="18"/>
  <c r="AB188" i="18"/>
  <c r="AC188" i="18"/>
  <c r="AD188" i="18"/>
  <c r="AE188" i="18"/>
  <c r="AF188" i="18"/>
  <c r="D189" i="18"/>
  <c r="E189" i="18"/>
  <c r="F189" i="18"/>
  <c r="G189" i="18"/>
  <c r="H189" i="18"/>
  <c r="I189" i="18"/>
  <c r="J189" i="18"/>
  <c r="K189" i="18"/>
  <c r="L189" i="18"/>
  <c r="M189" i="18"/>
  <c r="N189" i="18"/>
  <c r="O189" i="18"/>
  <c r="P189" i="18"/>
  <c r="Q189" i="18"/>
  <c r="R189" i="18"/>
  <c r="S189" i="18"/>
  <c r="T189" i="18"/>
  <c r="U189" i="18"/>
  <c r="V189" i="18"/>
  <c r="W189" i="18"/>
  <c r="X189" i="18"/>
  <c r="AV189" i="18" s="1"/>
  <c r="Y189" i="18"/>
  <c r="BD189" i="18" s="1"/>
  <c r="Z189" i="18"/>
  <c r="AA189" i="18"/>
  <c r="AB189" i="18"/>
  <c r="AC189" i="18"/>
  <c r="AD189" i="18"/>
  <c r="AE189" i="18"/>
  <c r="AF189" i="18"/>
  <c r="D190" i="18"/>
  <c r="E190" i="18"/>
  <c r="F190" i="18"/>
  <c r="G190" i="18"/>
  <c r="H190" i="18"/>
  <c r="I190" i="18"/>
  <c r="J190" i="18"/>
  <c r="K190" i="18"/>
  <c r="L190" i="18"/>
  <c r="M190" i="18"/>
  <c r="N190" i="18"/>
  <c r="O190" i="18"/>
  <c r="P190" i="18"/>
  <c r="Q190" i="18"/>
  <c r="R190" i="18"/>
  <c r="S190" i="18"/>
  <c r="T190" i="18"/>
  <c r="U190" i="18"/>
  <c r="V190" i="18"/>
  <c r="W190" i="18"/>
  <c r="X190" i="18"/>
  <c r="AV190" i="18" s="1"/>
  <c r="Y190" i="18"/>
  <c r="BD190" i="18" s="1"/>
  <c r="Z190" i="18"/>
  <c r="AA190" i="18"/>
  <c r="AB190" i="18"/>
  <c r="AC190" i="18"/>
  <c r="AD190" i="18"/>
  <c r="AE190" i="18"/>
  <c r="AF190" i="18"/>
  <c r="D191" i="18"/>
  <c r="E191" i="18"/>
  <c r="F191" i="18"/>
  <c r="G191" i="18"/>
  <c r="H191" i="18"/>
  <c r="I191" i="18"/>
  <c r="J191" i="18"/>
  <c r="K191" i="18"/>
  <c r="L191" i="18"/>
  <c r="M191" i="18"/>
  <c r="N191" i="18"/>
  <c r="O191" i="18"/>
  <c r="P191" i="18"/>
  <c r="Q191" i="18"/>
  <c r="R191" i="18"/>
  <c r="S191" i="18"/>
  <c r="T191" i="18"/>
  <c r="U191" i="18"/>
  <c r="V191" i="18"/>
  <c r="W191" i="18"/>
  <c r="X191" i="18"/>
  <c r="AV191" i="18" s="1"/>
  <c r="Y191" i="18"/>
  <c r="BD191" i="18" s="1"/>
  <c r="Z191" i="18"/>
  <c r="AA191" i="18"/>
  <c r="AB191" i="18"/>
  <c r="AC191" i="18"/>
  <c r="AD191" i="18"/>
  <c r="AE191" i="18"/>
  <c r="AF191" i="18"/>
  <c r="D192" i="18"/>
  <c r="E192" i="18"/>
  <c r="F192" i="18"/>
  <c r="G192" i="18"/>
  <c r="H192" i="18"/>
  <c r="I192" i="18"/>
  <c r="J192" i="18"/>
  <c r="K192" i="18"/>
  <c r="L192" i="18"/>
  <c r="M192" i="18"/>
  <c r="N192" i="18"/>
  <c r="O192" i="18"/>
  <c r="P192" i="18"/>
  <c r="Q192" i="18"/>
  <c r="R192" i="18"/>
  <c r="S192" i="18"/>
  <c r="T192" i="18"/>
  <c r="U192" i="18"/>
  <c r="V192" i="18"/>
  <c r="W192" i="18"/>
  <c r="X192" i="18"/>
  <c r="AV192" i="18" s="1"/>
  <c r="Y192" i="18"/>
  <c r="BD192" i="18" s="1"/>
  <c r="Z192" i="18"/>
  <c r="AA192" i="18"/>
  <c r="AB192" i="18"/>
  <c r="AC192" i="18"/>
  <c r="AD192" i="18"/>
  <c r="AE192" i="18"/>
  <c r="AF192" i="18"/>
  <c r="D193" i="18"/>
  <c r="E193" i="18"/>
  <c r="F193" i="18"/>
  <c r="G193" i="18"/>
  <c r="H193" i="18"/>
  <c r="I193" i="18"/>
  <c r="J193" i="18"/>
  <c r="K193" i="18"/>
  <c r="L193" i="18"/>
  <c r="M193" i="18"/>
  <c r="N193" i="18"/>
  <c r="O193" i="18"/>
  <c r="P193" i="18"/>
  <c r="Q193" i="18"/>
  <c r="R193" i="18"/>
  <c r="S193" i="18"/>
  <c r="T193" i="18"/>
  <c r="U193" i="18"/>
  <c r="V193" i="18"/>
  <c r="W193" i="18"/>
  <c r="X193" i="18"/>
  <c r="AV193" i="18" s="1"/>
  <c r="Y193" i="18"/>
  <c r="BD193" i="18" s="1"/>
  <c r="Z193" i="18"/>
  <c r="AA193" i="18"/>
  <c r="AB193" i="18"/>
  <c r="AC193" i="18"/>
  <c r="AD193" i="18"/>
  <c r="AE193" i="18"/>
  <c r="AF193" i="18"/>
  <c r="D194" i="18"/>
  <c r="E194" i="18"/>
  <c r="F194" i="18"/>
  <c r="G194" i="18"/>
  <c r="H194" i="18"/>
  <c r="I194" i="18"/>
  <c r="J194" i="18"/>
  <c r="K194" i="18"/>
  <c r="L194" i="18"/>
  <c r="M194" i="18"/>
  <c r="N194" i="18"/>
  <c r="O194" i="18"/>
  <c r="P194" i="18"/>
  <c r="Q194" i="18"/>
  <c r="R194" i="18"/>
  <c r="S194" i="18"/>
  <c r="T194" i="18"/>
  <c r="U194" i="18"/>
  <c r="V194" i="18"/>
  <c r="W194" i="18"/>
  <c r="X194" i="18"/>
  <c r="AV194" i="18" s="1"/>
  <c r="Y194" i="18"/>
  <c r="BD194" i="18" s="1"/>
  <c r="Z194" i="18"/>
  <c r="AA194" i="18"/>
  <c r="AB194" i="18"/>
  <c r="AC194" i="18"/>
  <c r="AD194" i="18"/>
  <c r="AE194" i="18"/>
  <c r="AF194" i="18"/>
  <c r="D195" i="18"/>
  <c r="E195" i="18"/>
  <c r="F195" i="18"/>
  <c r="G195" i="18"/>
  <c r="H195" i="18"/>
  <c r="I195" i="18"/>
  <c r="J195" i="18"/>
  <c r="K195" i="18"/>
  <c r="L195" i="18"/>
  <c r="M195" i="18"/>
  <c r="N195" i="18"/>
  <c r="O195" i="18"/>
  <c r="P195" i="18"/>
  <c r="Q195" i="18"/>
  <c r="R195" i="18"/>
  <c r="S195" i="18"/>
  <c r="T195" i="18"/>
  <c r="U195" i="18"/>
  <c r="V195" i="18"/>
  <c r="W195" i="18"/>
  <c r="X195" i="18"/>
  <c r="AV195" i="18" s="1"/>
  <c r="Y195" i="18"/>
  <c r="BD195" i="18" s="1"/>
  <c r="Z195" i="18"/>
  <c r="AA195" i="18"/>
  <c r="AB195" i="18"/>
  <c r="AC195" i="18"/>
  <c r="AD195" i="18"/>
  <c r="AE195" i="18"/>
  <c r="AF195" i="18"/>
  <c r="D196" i="18"/>
  <c r="E196" i="18"/>
  <c r="F196" i="18"/>
  <c r="G196" i="18"/>
  <c r="H196" i="18"/>
  <c r="I196" i="18"/>
  <c r="J196" i="18"/>
  <c r="K196" i="18"/>
  <c r="L196" i="18"/>
  <c r="M196" i="18"/>
  <c r="N196" i="18"/>
  <c r="O196" i="18"/>
  <c r="P196" i="18"/>
  <c r="Q196" i="18"/>
  <c r="R196" i="18"/>
  <c r="S196" i="18"/>
  <c r="T196" i="18"/>
  <c r="U196" i="18"/>
  <c r="V196" i="18"/>
  <c r="W196" i="18"/>
  <c r="X196" i="18"/>
  <c r="AV196" i="18" s="1"/>
  <c r="Y196" i="18"/>
  <c r="BD196" i="18" s="1"/>
  <c r="Z196" i="18"/>
  <c r="AA196" i="18"/>
  <c r="AB196" i="18"/>
  <c r="AC196" i="18"/>
  <c r="AD196" i="18"/>
  <c r="AE196" i="18"/>
  <c r="AF196" i="18"/>
  <c r="D197" i="18"/>
  <c r="E197" i="18"/>
  <c r="F197" i="18"/>
  <c r="G197" i="18"/>
  <c r="H197" i="18"/>
  <c r="I197" i="18"/>
  <c r="J197" i="18"/>
  <c r="K197" i="18"/>
  <c r="L197" i="18"/>
  <c r="M197" i="18"/>
  <c r="N197" i="18"/>
  <c r="O197" i="18"/>
  <c r="P197" i="18"/>
  <c r="Q197" i="18"/>
  <c r="R197" i="18"/>
  <c r="S197" i="18"/>
  <c r="T197" i="18"/>
  <c r="U197" i="18"/>
  <c r="V197" i="18"/>
  <c r="W197" i="18"/>
  <c r="X197" i="18"/>
  <c r="AV197" i="18" s="1"/>
  <c r="Y197" i="18"/>
  <c r="BD197" i="18" s="1"/>
  <c r="Z197" i="18"/>
  <c r="AA197" i="18"/>
  <c r="AB197" i="18"/>
  <c r="AC197" i="18"/>
  <c r="AD197" i="18"/>
  <c r="AE197" i="18"/>
  <c r="AF197" i="18"/>
  <c r="D198" i="18"/>
  <c r="E198" i="18"/>
  <c r="F198" i="18"/>
  <c r="G198" i="18"/>
  <c r="H198" i="18"/>
  <c r="I198" i="18"/>
  <c r="J198" i="18"/>
  <c r="K198" i="18"/>
  <c r="L198" i="18"/>
  <c r="M198" i="18"/>
  <c r="N198" i="18"/>
  <c r="O198" i="18"/>
  <c r="P198" i="18"/>
  <c r="Q198" i="18"/>
  <c r="R198" i="18"/>
  <c r="S198" i="18"/>
  <c r="T198" i="18"/>
  <c r="U198" i="18"/>
  <c r="V198" i="18"/>
  <c r="W198" i="18"/>
  <c r="X198" i="18"/>
  <c r="AV198" i="18" s="1"/>
  <c r="Y198" i="18"/>
  <c r="BD198" i="18" s="1"/>
  <c r="Z198" i="18"/>
  <c r="AA198" i="18"/>
  <c r="AB198" i="18"/>
  <c r="AC198" i="18"/>
  <c r="AD198" i="18"/>
  <c r="AE198" i="18"/>
  <c r="AF198" i="18"/>
  <c r="D199" i="18"/>
  <c r="E199" i="18"/>
  <c r="F199" i="18"/>
  <c r="G199" i="18"/>
  <c r="H199" i="18"/>
  <c r="I199" i="18"/>
  <c r="J199" i="18"/>
  <c r="K199" i="18"/>
  <c r="L199" i="18"/>
  <c r="M199" i="18"/>
  <c r="N199" i="18"/>
  <c r="O199" i="18"/>
  <c r="P199" i="18"/>
  <c r="Q199" i="18"/>
  <c r="R199" i="18"/>
  <c r="S199" i="18"/>
  <c r="T199" i="18"/>
  <c r="U199" i="18"/>
  <c r="V199" i="18"/>
  <c r="W199" i="18"/>
  <c r="X199" i="18"/>
  <c r="AV199" i="18" s="1"/>
  <c r="Y199" i="18"/>
  <c r="BD199" i="18" s="1"/>
  <c r="Z199" i="18"/>
  <c r="AA199" i="18"/>
  <c r="AB199" i="18"/>
  <c r="AC199" i="18"/>
  <c r="AD199" i="18"/>
  <c r="AE199" i="18"/>
  <c r="AF199" i="18"/>
  <c r="D200" i="18"/>
  <c r="E200" i="18"/>
  <c r="F200" i="18"/>
  <c r="G200" i="18"/>
  <c r="H200" i="18"/>
  <c r="I200" i="18"/>
  <c r="J200" i="18"/>
  <c r="K200" i="18"/>
  <c r="L200" i="18"/>
  <c r="M200" i="18"/>
  <c r="N200" i="18"/>
  <c r="O200" i="18"/>
  <c r="P200" i="18"/>
  <c r="Q200" i="18"/>
  <c r="R200" i="18"/>
  <c r="S200" i="18"/>
  <c r="T200" i="18"/>
  <c r="U200" i="18"/>
  <c r="V200" i="18"/>
  <c r="W200" i="18"/>
  <c r="X200" i="18"/>
  <c r="AV200" i="18" s="1"/>
  <c r="Y200" i="18"/>
  <c r="BD200" i="18" s="1"/>
  <c r="Z200" i="18"/>
  <c r="AA200" i="18"/>
  <c r="AB200" i="18"/>
  <c r="AC200" i="18"/>
  <c r="AD200" i="18"/>
  <c r="AE200" i="18"/>
  <c r="AF200" i="18"/>
  <c r="D201" i="18"/>
  <c r="E201" i="18"/>
  <c r="F201" i="18"/>
  <c r="G201" i="18"/>
  <c r="H201" i="18"/>
  <c r="I201" i="18"/>
  <c r="J201" i="18"/>
  <c r="K201" i="18"/>
  <c r="L201" i="18"/>
  <c r="M201" i="18"/>
  <c r="N201" i="18"/>
  <c r="O201" i="18"/>
  <c r="P201" i="18"/>
  <c r="Q201" i="18"/>
  <c r="R201" i="18"/>
  <c r="S201" i="18"/>
  <c r="T201" i="18"/>
  <c r="U201" i="18"/>
  <c r="V201" i="18"/>
  <c r="W201" i="18"/>
  <c r="X201" i="18"/>
  <c r="AV201" i="18" s="1"/>
  <c r="Y201" i="18"/>
  <c r="BD201" i="18" s="1"/>
  <c r="Z201" i="18"/>
  <c r="AA201" i="18"/>
  <c r="AB201" i="18"/>
  <c r="AC201" i="18"/>
  <c r="AD201" i="18"/>
  <c r="AE201" i="18"/>
  <c r="AF201" i="18"/>
  <c r="D202" i="18"/>
  <c r="E202" i="18"/>
  <c r="F202" i="18"/>
  <c r="G202" i="18"/>
  <c r="H202" i="18"/>
  <c r="I202" i="18"/>
  <c r="J202" i="18"/>
  <c r="K202" i="18"/>
  <c r="L202" i="18"/>
  <c r="M202" i="18"/>
  <c r="N202" i="18"/>
  <c r="O202" i="18"/>
  <c r="P202" i="18"/>
  <c r="Q202" i="18"/>
  <c r="R202" i="18"/>
  <c r="S202" i="18"/>
  <c r="T202" i="18"/>
  <c r="U202" i="18"/>
  <c r="V202" i="18"/>
  <c r="W202" i="18"/>
  <c r="X202" i="18"/>
  <c r="AV202" i="18" s="1"/>
  <c r="Y202" i="18"/>
  <c r="BD202" i="18" s="1"/>
  <c r="Z202" i="18"/>
  <c r="AA202" i="18"/>
  <c r="AB202" i="18"/>
  <c r="AC202" i="18"/>
  <c r="AD202" i="18"/>
  <c r="AE202" i="18"/>
  <c r="AF202" i="18"/>
  <c r="D203" i="18"/>
  <c r="E203" i="18"/>
  <c r="F203" i="18"/>
  <c r="G203" i="18"/>
  <c r="H203" i="18"/>
  <c r="I203" i="18"/>
  <c r="J203" i="18"/>
  <c r="K203" i="18"/>
  <c r="L203" i="18"/>
  <c r="M203" i="18"/>
  <c r="N203" i="18"/>
  <c r="O203" i="18"/>
  <c r="P203" i="18"/>
  <c r="Q203" i="18"/>
  <c r="R203" i="18"/>
  <c r="S203" i="18"/>
  <c r="T203" i="18"/>
  <c r="U203" i="18"/>
  <c r="V203" i="18"/>
  <c r="W203" i="18"/>
  <c r="X203" i="18"/>
  <c r="AV203" i="18" s="1"/>
  <c r="Y203" i="18"/>
  <c r="BD203" i="18" s="1"/>
  <c r="Z203" i="18"/>
  <c r="AA203" i="18"/>
  <c r="AB203" i="18"/>
  <c r="AC203" i="18"/>
  <c r="AD203" i="18"/>
  <c r="AE203" i="18"/>
  <c r="AF203" i="18"/>
  <c r="D204" i="18"/>
  <c r="E204" i="18"/>
  <c r="F204" i="18"/>
  <c r="G204" i="18"/>
  <c r="H204" i="18"/>
  <c r="I204" i="18"/>
  <c r="J204" i="18"/>
  <c r="K204" i="18"/>
  <c r="L204" i="18"/>
  <c r="M204" i="18"/>
  <c r="N204" i="18"/>
  <c r="O204" i="18"/>
  <c r="P204" i="18"/>
  <c r="Q204" i="18"/>
  <c r="R204" i="18"/>
  <c r="S204" i="18"/>
  <c r="T204" i="18"/>
  <c r="U204" i="18"/>
  <c r="V204" i="18"/>
  <c r="W204" i="18"/>
  <c r="X204" i="18"/>
  <c r="AV204" i="18" s="1"/>
  <c r="Y204" i="18"/>
  <c r="BD204" i="18" s="1"/>
  <c r="Z204" i="18"/>
  <c r="AA204" i="18"/>
  <c r="AB204" i="18"/>
  <c r="AC204" i="18"/>
  <c r="AD204" i="18"/>
  <c r="AE204" i="18"/>
  <c r="AF204" i="18"/>
  <c r="D205" i="18"/>
  <c r="E205" i="18"/>
  <c r="F205" i="18"/>
  <c r="G205" i="18"/>
  <c r="H205" i="18"/>
  <c r="I205" i="18"/>
  <c r="J205" i="18"/>
  <c r="K205" i="18"/>
  <c r="L205" i="18"/>
  <c r="M205" i="18"/>
  <c r="N205" i="18"/>
  <c r="O205" i="18"/>
  <c r="P205" i="18"/>
  <c r="Q205" i="18"/>
  <c r="R205" i="18"/>
  <c r="S205" i="18"/>
  <c r="T205" i="18"/>
  <c r="U205" i="18"/>
  <c r="V205" i="18"/>
  <c r="W205" i="18"/>
  <c r="X205" i="18"/>
  <c r="AV205" i="18" s="1"/>
  <c r="Y205" i="18"/>
  <c r="BD205" i="18" s="1"/>
  <c r="Z205" i="18"/>
  <c r="AA205" i="18"/>
  <c r="AB205" i="18"/>
  <c r="AC205" i="18"/>
  <c r="AD205" i="18"/>
  <c r="AE205" i="18"/>
  <c r="AF205" i="18"/>
  <c r="D206" i="18"/>
  <c r="E206" i="18"/>
  <c r="F206" i="18"/>
  <c r="G206" i="18"/>
  <c r="H206" i="18"/>
  <c r="I206" i="18"/>
  <c r="J206" i="18"/>
  <c r="K206" i="18"/>
  <c r="L206" i="18"/>
  <c r="M206" i="18"/>
  <c r="N206" i="18"/>
  <c r="O206" i="18"/>
  <c r="P206" i="18"/>
  <c r="Q206" i="18"/>
  <c r="R206" i="18"/>
  <c r="S206" i="18"/>
  <c r="T206" i="18"/>
  <c r="U206" i="18"/>
  <c r="V206" i="18"/>
  <c r="W206" i="18"/>
  <c r="X206" i="18"/>
  <c r="AV206" i="18" s="1"/>
  <c r="Y206" i="18"/>
  <c r="BD206" i="18" s="1"/>
  <c r="Z206" i="18"/>
  <c r="AA206" i="18"/>
  <c r="AB206" i="18"/>
  <c r="AC206" i="18"/>
  <c r="AD206" i="18"/>
  <c r="AE206" i="18"/>
  <c r="AF206" i="18"/>
  <c r="D207" i="18"/>
  <c r="E207" i="18"/>
  <c r="F207" i="18"/>
  <c r="G207" i="18"/>
  <c r="H207" i="18"/>
  <c r="I207" i="18"/>
  <c r="J207" i="18"/>
  <c r="K207" i="18"/>
  <c r="L207" i="18"/>
  <c r="M207" i="18"/>
  <c r="N207" i="18"/>
  <c r="O207" i="18"/>
  <c r="P207" i="18"/>
  <c r="Q207" i="18"/>
  <c r="R207" i="18"/>
  <c r="S207" i="18"/>
  <c r="T207" i="18"/>
  <c r="U207" i="18"/>
  <c r="V207" i="18"/>
  <c r="W207" i="18"/>
  <c r="X207" i="18"/>
  <c r="AV207" i="18" s="1"/>
  <c r="Y207" i="18"/>
  <c r="BD207" i="18" s="1"/>
  <c r="Z207" i="18"/>
  <c r="AA207" i="18"/>
  <c r="AB207" i="18"/>
  <c r="AC207" i="18"/>
  <c r="AD207" i="18"/>
  <c r="AE207" i="18"/>
  <c r="AF207" i="18"/>
  <c r="D208" i="18"/>
  <c r="E208" i="18"/>
  <c r="F208" i="18"/>
  <c r="G208" i="18"/>
  <c r="H208" i="18"/>
  <c r="I208" i="18"/>
  <c r="J208" i="18"/>
  <c r="K208" i="18"/>
  <c r="L208" i="18"/>
  <c r="M208" i="18"/>
  <c r="N208" i="18"/>
  <c r="O208" i="18"/>
  <c r="P208" i="18"/>
  <c r="Q208" i="18"/>
  <c r="R208" i="18"/>
  <c r="S208" i="18"/>
  <c r="T208" i="18"/>
  <c r="U208" i="18"/>
  <c r="V208" i="18"/>
  <c r="W208" i="18"/>
  <c r="X208" i="18"/>
  <c r="AV208" i="18" s="1"/>
  <c r="Y208" i="18"/>
  <c r="BD208" i="18" s="1"/>
  <c r="Z208" i="18"/>
  <c r="AA208" i="18"/>
  <c r="AB208" i="18"/>
  <c r="AC208" i="18"/>
  <c r="AD208" i="18"/>
  <c r="AE208" i="18"/>
  <c r="AF208" i="18"/>
  <c r="D209" i="18"/>
  <c r="E209" i="18"/>
  <c r="F209" i="18"/>
  <c r="G209" i="18"/>
  <c r="H209" i="18"/>
  <c r="I209" i="18"/>
  <c r="J209" i="18"/>
  <c r="K209" i="18"/>
  <c r="L209" i="18"/>
  <c r="M209" i="18"/>
  <c r="N209" i="18"/>
  <c r="O209" i="18"/>
  <c r="P209" i="18"/>
  <c r="Q209" i="18"/>
  <c r="R209" i="18"/>
  <c r="S209" i="18"/>
  <c r="T209" i="18"/>
  <c r="U209" i="18"/>
  <c r="V209" i="18"/>
  <c r="W209" i="18"/>
  <c r="X209" i="18"/>
  <c r="AV209" i="18" s="1"/>
  <c r="Y209" i="18"/>
  <c r="BD209" i="18" s="1"/>
  <c r="Z209" i="18"/>
  <c r="AA209" i="18"/>
  <c r="AB209" i="18"/>
  <c r="AC209" i="18"/>
  <c r="AD209" i="18"/>
  <c r="AE209" i="18"/>
  <c r="AF209" i="18"/>
  <c r="D210" i="18"/>
  <c r="E210" i="18"/>
  <c r="F210" i="18"/>
  <c r="G210" i="18"/>
  <c r="H210" i="18"/>
  <c r="I210" i="18"/>
  <c r="J210" i="18"/>
  <c r="K210" i="18"/>
  <c r="L210" i="18"/>
  <c r="M210" i="18"/>
  <c r="N210" i="18"/>
  <c r="O210" i="18"/>
  <c r="P210" i="18"/>
  <c r="Q210" i="18"/>
  <c r="R210" i="18"/>
  <c r="S210" i="18"/>
  <c r="T210" i="18"/>
  <c r="U210" i="18"/>
  <c r="V210" i="18"/>
  <c r="W210" i="18"/>
  <c r="X210" i="18"/>
  <c r="AV210" i="18" s="1"/>
  <c r="Y210" i="18"/>
  <c r="BD210" i="18" s="1"/>
  <c r="Z210" i="18"/>
  <c r="AA210" i="18"/>
  <c r="AB210" i="18"/>
  <c r="AC210" i="18"/>
  <c r="AD210" i="18"/>
  <c r="AE210" i="18"/>
  <c r="AF210" i="18"/>
  <c r="D211" i="18"/>
  <c r="E211" i="18"/>
  <c r="F211" i="18"/>
  <c r="G211" i="18"/>
  <c r="H211" i="18"/>
  <c r="I211" i="18"/>
  <c r="J211" i="18"/>
  <c r="K211" i="18"/>
  <c r="L211" i="18"/>
  <c r="M211" i="18"/>
  <c r="N211" i="18"/>
  <c r="O211" i="18"/>
  <c r="P211" i="18"/>
  <c r="Q211" i="18"/>
  <c r="R211" i="18"/>
  <c r="S211" i="18"/>
  <c r="T211" i="18"/>
  <c r="U211" i="18"/>
  <c r="V211" i="18"/>
  <c r="W211" i="18"/>
  <c r="X211" i="18"/>
  <c r="AV211" i="18" s="1"/>
  <c r="Y211" i="18"/>
  <c r="BD211" i="18" s="1"/>
  <c r="Z211" i="18"/>
  <c r="AA211" i="18"/>
  <c r="AB211" i="18"/>
  <c r="AC211" i="18"/>
  <c r="AD211" i="18"/>
  <c r="AE211" i="18"/>
  <c r="AF211" i="18"/>
  <c r="D212" i="18"/>
  <c r="E212" i="18"/>
  <c r="F212" i="18"/>
  <c r="G212" i="18"/>
  <c r="H212" i="18"/>
  <c r="I212" i="18"/>
  <c r="J212" i="18"/>
  <c r="K212" i="18"/>
  <c r="L212" i="18"/>
  <c r="M212" i="18"/>
  <c r="N212" i="18"/>
  <c r="O212" i="18"/>
  <c r="P212" i="18"/>
  <c r="Q212" i="18"/>
  <c r="R212" i="18"/>
  <c r="S212" i="18"/>
  <c r="T212" i="18"/>
  <c r="U212" i="18"/>
  <c r="V212" i="18"/>
  <c r="W212" i="18"/>
  <c r="X212" i="18"/>
  <c r="AV212" i="18" s="1"/>
  <c r="Y212" i="18"/>
  <c r="BD212" i="18" s="1"/>
  <c r="Z212" i="18"/>
  <c r="AA212" i="18"/>
  <c r="AB212" i="18"/>
  <c r="AC212" i="18"/>
  <c r="AD212" i="18"/>
  <c r="AE212" i="18"/>
  <c r="AF212" i="18"/>
  <c r="D213" i="18"/>
  <c r="E213" i="18"/>
  <c r="F213" i="18"/>
  <c r="G213" i="18"/>
  <c r="H213" i="18"/>
  <c r="I213" i="18"/>
  <c r="J213" i="18"/>
  <c r="K213" i="18"/>
  <c r="L213" i="18"/>
  <c r="M213" i="18"/>
  <c r="N213" i="18"/>
  <c r="O213" i="18"/>
  <c r="P213" i="18"/>
  <c r="Q213" i="18"/>
  <c r="R213" i="18"/>
  <c r="S213" i="18"/>
  <c r="T213" i="18"/>
  <c r="U213" i="18"/>
  <c r="V213" i="18"/>
  <c r="W213" i="18"/>
  <c r="X213" i="18"/>
  <c r="AV213" i="18" s="1"/>
  <c r="Y213" i="18"/>
  <c r="BD213" i="18" s="1"/>
  <c r="Z213" i="18"/>
  <c r="AA213" i="18"/>
  <c r="AB213" i="18"/>
  <c r="AC213" i="18"/>
  <c r="AD213" i="18"/>
  <c r="AE213" i="18"/>
  <c r="AF213" i="18"/>
  <c r="D214" i="18"/>
  <c r="E214" i="18"/>
  <c r="F214" i="18"/>
  <c r="G214" i="18"/>
  <c r="H214" i="18"/>
  <c r="I214" i="18"/>
  <c r="J214" i="18"/>
  <c r="K214" i="18"/>
  <c r="L214" i="18"/>
  <c r="M214" i="18"/>
  <c r="N214" i="18"/>
  <c r="O214" i="18"/>
  <c r="P214" i="18"/>
  <c r="Q214" i="18"/>
  <c r="R214" i="18"/>
  <c r="S214" i="18"/>
  <c r="T214" i="18"/>
  <c r="U214" i="18"/>
  <c r="V214" i="18"/>
  <c r="W214" i="18"/>
  <c r="X214" i="18"/>
  <c r="AV214" i="18" s="1"/>
  <c r="Y214" i="18"/>
  <c r="BD214" i="18" s="1"/>
  <c r="Z214" i="18"/>
  <c r="AA214" i="18"/>
  <c r="AB214" i="18"/>
  <c r="AC214" i="18"/>
  <c r="AD214" i="18"/>
  <c r="AE214" i="18"/>
  <c r="AF214" i="18"/>
  <c r="D215" i="18"/>
  <c r="E215" i="18"/>
  <c r="F215" i="18"/>
  <c r="G215" i="18"/>
  <c r="H215" i="18"/>
  <c r="I215" i="18"/>
  <c r="J215" i="18"/>
  <c r="K215" i="18"/>
  <c r="L215" i="18"/>
  <c r="M215" i="18"/>
  <c r="N215" i="18"/>
  <c r="O215" i="18"/>
  <c r="P215" i="18"/>
  <c r="Q215" i="18"/>
  <c r="R215" i="18"/>
  <c r="S215" i="18"/>
  <c r="T215" i="18"/>
  <c r="U215" i="18"/>
  <c r="V215" i="18"/>
  <c r="W215" i="18"/>
  <c r="X215" i="18"/>
  <c r="AV215" i="18" s="1"/>
  <c r="Y215" i="18"/>
  <c r="BD215" i="18" s="1"/>
  <c r="Z215" i="18"/>
  <c r="AA215" i="18"/>
  <c r="AB215" i="18"/>
  <c r="AC215" i="18"/>
  <c r="AD215" i="18"/>
  <c r="AE215" i="18"/>
  <c r="AF215" i="18"/>
  <c r="D216" i="18"/>
  <c r="E216" i="18"/>
  <c r="F216" i="18"/>
  <c r="G216" i="18"/>
  <c r="H216" i="18"/>
  <c r="I216" i="18"/>
  <c r="J216" i="18"/>
  <c r="K216" i="18"/>
  <c r="L216" i="18"/>
  <c r="M216" i="18"/>
  <c r="N216" i="18"/>
  <c r="O216" i="18"/>
  <c r="P216" i="18"/>
  <c r="Q216" i="18"/>
  <c r="R216" i="18"/>
  <c r="S216" i="18"/>
  <c r="T216" i="18"/>
  <c r="U216" i="18"/>
  <c r="V216" i="18"/>
  <c r="W216" i="18"/>
  <c r="X216" i="18"/>
  <c r="AV216" i="18" s="1"/>
  <c r="Y216" i="18"/>
  <c r="BD216" i="18" s="1"/>
  <c r="Z216" i="18"/>
  <c r="AA216" i="18"/>
  <c r="AB216" i="18"/>
  <c r="AC216" i="18"/>
  <c r="AD216" i="18"/>
  <c r="AE216" i="18"/>
  <c r="AF216" i="18"/>
  <c r="D217" i="18"/>
  <c r="E217" i="18"/>
  <c r="F217" i="18"/>
  <c r="G217" i="18"/>
  <c r="H217" i="18"/>
  <c r="I217" i="18"/>
  <c r="J217" i="18"/>
  <c r="K217" i="18"/>
  <c r="L217" i="18"/>
  <c r="M217" i="18"/>
  <c r="N217" i="18"/>
  <c r="O217" i="18"/>
  <c r="P217" i="18"/>
  <c r="Q217" i="18"/>
  <c r="R217" i="18"/>
  <c r="S217" i="18"/>
  <c r="T217" i="18"/>
  <c r="U217" i="18"/>
  <c r="V217" i="18"/>
  <c r="W217" i="18"/>
  <c r="X217" i="18"/>
  <c r="AV217" i="18" s="1"/>
  <c r="Y217" i="18"/>
  <c r="BD217" i="18" s="1"/>
  <c r="Z217" i="18"/>
  <c r="AA217" i="18"/>
  <c r="AB217" i="18"/>
  <c r="AC217" i="18"/>
  <c r="AD217" i="18"/>
  <c r="AE217" i="18"/>
  <c r="AF217" i="18"/>
  <c r="D218" i="18"/>
  <c r="E218" i="18"/>
  <c r="F218" i="18"/>
  <c r="G218" i="18"/>
  <c r="H218" i="18"/>
  <c r="I218" i="18"/>
  <c r="J218" i="18"/>
  <c r="K218" i="18"/>
  <c r="L218" i="18"/>
  <c r="M218" i="18"/>
  <c r="N218" i="18"/>
  <c r="O218" i="18"/>
  <c r="P218" i="18"/>
  <c r="Q218" i="18"/>
  <c r="R218" i="18"/>
  <c r="S218" i="18"/>
  <c r="T218" i="18"/>
  <c r="U218" i="18"/>
  <c r="V218" i="18"/>
  <c r="W218" i="18"/>
  <c r="X218" i="18"/>
  <c r="AV218" i="18" s="1"/>
  <c r="Y218" i="18"/>
  <c r="BD218" i="18" s="1"/>
  <c r="Z218" i="18"/>
  <c r="AA218" i="18"/>
  <c r="AB218" i="18"/>
  <c r="AC218" i="18"/>
  <c r="AD218" i="18"/>
  <c r="AE218" i="18"/>
  <c r="AF218" i="18"/>
  <c r="D219" i="18"/>
  <c r="E219" i="18"/>
  <c r="F219" i="18"/>
  <c r="G219" i="18"/>
  <c r="H219" i="18"/>
  <c r="I219" i="18"/>
  <c r="J219" i="18"/>
  <c r="K219" i="18"/>
  <c r="L219" i="18"/>
  <c r="M219" i="18"/>
  <c r="N219" i="18"/>
  <c r="O219" i="18"/>
  <c r="P219" i="18"/>
  <c r="Q219" i="18"/>
  <c r="R219" i="18"/>
  <c r="S219" i="18"/>
  <c r="T219" i="18"/>
  <c r="U219" i="18"/>
  <c r="V219" i="18"/>
  <c r="W219" i="18"/>
  <c r="X219" i="18"/>
  <c r="AV219" i="18" s="1"/>
  <c r="Y219" i="18"/>
  <c r="BD219" i="18" s="1"/>
  <c r="Z219" i="18"/>
  <c r="AA219" i="18"/>
  <c r="AB219" i="18"/>
  <c r="AC219" i="18"/>
  <c r="AD219" i="18"/>
  <c r="AE219" i="18"/>
  <c r="AF219" i="18"/>
  <c r="D220" i="18"/>
  <c r="E220" i="18"/>
  <c r="F220" i="18"/>
  <c r="G220" i="18"/>
  <c r="H220" i="18"/>
  <c r="I220" i="18"/>
  <c r="J220" i="18"/>
  <c r="K220" i="18"/>
  <c r="L220" i="18"/>
  <c r="M220" i="18"/>
  <c r="N220" i="18"/>
  <c r="O220" i="18"/>
  <c r="P220" i="18"/>
  <c r="Q220" i="18"/>
  <c r="R220" i="18"/>
  <c r="S220" i="18"/>
  <c r="T220" i="18"/>
  <c r="U220" i="18"/>
  <c r="V220" i="18"/>
  <c r="W220" i="18"/>
  <c r="X220" i="18"/>
  <c r="AV220" i="18" s="1"/>
  <c r="Y220" i="18"/>
  <c r="BD220" i="18" s="1"/>
  <c r="Z220" i="18"/>
  <c r="AA220" i="18"/>
  <c r="AB220" i="18"/>
  <c r="AC220" i="18"/>
  <c r="AD220" i="18"/>
  <c r="AE220" i="18"/>
  <c r="AF220" i="18"/>
  <c r="D221" i="18"/>
  <c r="E221" i="18"/>
  <c r="F221" i="18"/>
  <c r="G221" i="18"/>
  <c r="H221" i="18"/>
  <c r="I221" i="18"/>
  <c r="J221" i="18"/>
  <c r="K221" i="18"/>
  <c r="L221" i="18"/>
  <c r="M221" i="18"/>
  <c r="N221" i="18"/>
  <c r="O221" i="18"/>
  <c r="P221" i="18"/>
  <c r="Q221" i="18"/>
  <c r="R221" i="18"/>
  <c r="S221" i="18"/>
  <c r="T221" i="18"/>
  <c r="U221" i="18"/>
  <c r="V221" i="18"/>
  <c r="W221" i="18"/>
  <c r="X221" i="18"/>
  <c r="AV221" i="18" s="1"/>
  <c r="Y221" i="18"/>
  <c r="BD221" i="18" s="1"/>
  <c r="Z221" i="18"/>
  <c r="AA221" i="18"/>
  <c r="AB221" i="18"/>
  <c r="AC221" i="18"/>
  <c r="AD221" i="18"/>
  <c r="AE221" i="18"/>
  <c r="AF221" i="18"/>
  <c r="D222" i="18"/>
  <c r="E222" i="18"/>
  <c r="F222" i="18"/>
  <c r="G222" i="18"/>
  <c r="H222" i="18"/>
  <c r="I222" i="18"/>
  <c r="J222" i="18"/>
  <c r="K222" i="18"/>
  <c r="L222" i="18"/>
  <c r="M222" i="18"/>
  <c r="N222" i="18"/>
  <c r="O222" i="18"/>
  <c r="P222" i="18"/>
  <c r="Q222" i="18"/>
  <c r="R222" i="18"/>
  <c r="S222" i="18"/>
  <c r="T222" i="18"/>
  <c r="U222" i="18"/>
  <c r="V222" i="18"/>
  <c r="W222" i="18"/>
  <c r="X222" i="18"/>
  <c r="AV222" i="18" s="1"/>
  <c r="Y222" i="18"/>
  <c r="BD222" i="18" s="1"/>
  <c r="Z222" i="18"/>
  <c r="AA222" i="18"/>
  <c r="AB222" i="18"/>
  <c r="AC222" i="18"/>
  <c r="AD222" i="18"/>
  <c r="AE222" i="18"/>
  <c r="AF222" i="18"/>
  <c r="D223" i="18"/>
  <c r="E223" i="18"/>
  <c r="F223" i="18"/>
  <c r="G223" i="18"/>
  <c r="H223" i="18"/>
  <c r="I223" i="18"/>
  <c r="J223" i="18"/>
  <c r="K223" i="18"/>
  <c r="L223" i="18"/>
  <c r="M223" i="18"/>
  <c r="N223" i="18"/>
  <c r="O223" i="18"/>
  <c r="P223" i="18"/>
  <c r="Q223" i="18"/>
  <c r="R223" i="18"/>
  <c r="S223" i="18"/>
  <c r="T223" i="18"/>
  <c r="U223" i="18"/>
  <c r="V223" i="18"/>
  <c r="W223" i="18"/>
  <c r="X223" i="18"/>
  <c r="AV223" i="18" s="1"/>
  <c r="Y223" i="18"/>
  <c r="BD223" i="18" s="1"/>
  <c r="Z223" i="18"/>
  <c r="AA223" i="18"/>
  <c r="AB223" i="18"/>
  <c r="AC223" i="18"/>
  <c r="AD223" i="18"/>
  <c r="AE223" i="18"/>
  <c r="AF223" i="18"/>
  <c r="D224" i="18"/>
  <c r="E224" i="18"/>
  <c r="F224" i="18"/>
  <c r="G224" i="18"/>
  <c r="H224" i="18"/>
  <c r="I224" i="18"/>
  <c r="J224" i="18"/>
  <c r="K224" i="18"/>
  <c r="L224" i="18"/>
  <c r="M224" i="18"/>
  <c r="N224" i="18"/>
  <c r="O224" i="18"/>
  <c r="P224" i="18"/>
  <c r="Q224" i="18"/>
  <c r="R224" i="18"/>
  <c r="S224" i="18"/>
  <c r="T224" i="18"/>
  <c r="U224" i="18"/>
  <c r="V224" i="18"/>
  <c r="W224" i="18"/>
  <c r="X224" i="18"/>
  <c r="AV224" i="18" s="1"/>
  <c r="Y224" i="18"/>
  <c r="BD224" i="18" s="1"/>
  <c r="Z224" i="18"/>
  <c r="AA224" i="18"/>
  <c r="AB224" i="18"/>
  <c r="AC224" i="18"/>
  <c r="AD224" i="18"/>
  <c r="AE224" i="18"/>
  <c r="AF224" i="18"/>
  <c r="D225" i="18"/>
  <c r="E225" i="18"/>
  <c r="F225" i="18"/>
  <c r="G225" i="18"/>
  <c r="H225" i="18"/>
  <c r="I225" i="18"/>
  <c r="J225" i="18"/>
  <c r="K225" i="18"/>
  <c r="L225" i="18"/>
  <c r="M225" i="18"/>
  <c r="N225" i="18"/>
  <c r="O225" i="18"/>
  <c r="P225" i="18"/>
  <c r="Q225" i="18"/>
  <c r="R225" i="18"/>
  <c r="S225" i="18"/>
  <c r="T225" i="18"/>
  <c r="U225" i="18"/>
  <c r="V225" i="18"/>
  <c r="W225" i="18"/>
  <c r="X225" i="18"/>
  <c r="AV225" i="18" s="1"/>
  <c r="Y225" i="18"/>
  <c r="BD225" i="18" s="1"/>
  <c r="Z225" i="18"/>
  <c r="AA225" i="18"/>
  <c r="AB225" i="18"/>
  <c r="AC225" i="18"/>
  <c r="AD225" i="18"/>
  <c r="AE225" i="18"/>
  <c r="AF225" i="18"/>
  <c r="D226" i="18"/>
  <c r="E226" i="18"/>
  <c r="F226" i="18"/>
  <c r="G226" i="18"/>
  <c r="H226" i="18"/>
  <c r="I226" i="18"/>
  <c r="J226" i="18"/>
  <c r="K226" i="18"/>
  <c r="L226" i="18"/>
  <c r="M226" i="18"/>
  <c r="N226" i="18"/>
  <c r="O226" i="18"/>
  <c r="P226" i="18"/>
  <c r="Q226" i="18"/>
  <c r="R226" i="18"/>
  <c r="S226" i="18"/>
  <c r="T226" i="18"/>
  <c r="U226" i="18"/>
  <c r="V226" i="18"/>
  <c r="W226" i="18"/>
  <c r="X226" i="18"/>
  <c r="AV226" i="18" s="1"/>
  <c r="Y226" i="18"/>
  <c r="BD226" i="18" s="1"/>
  <c r="Z226" i="18"/>
  <c r="AA226" i="18"/>
  <c r="AB226" i="18"/>
  <c r="AC226" i="18"/>
  <c r="AD226" i="18"/>
  <c r="AE226" i="18"/>
  <c r="AF226" i="18"/>
  <c r="D227" i="18"/>
  <c r="E227" i="18"/>
  <c r="F227" i="18"/>
  <c r="G227" i="18"/>
  <c r="H227" i="18"/>
  <c r="I227" i="18"/>
  <c r="J227" i="18"/>
  <c r="K227" i="18"/>
  <c r="L227" i="18"/>
  <c r="M227" i="18"/>
  <c r="N227" i="18"/>
  <c r="O227" i="18"/>
  <c r="P227" i="18"/>
  <c r="Q227" i="18"/>
  <c r="R227" i="18"/>
  <c r="S227" i="18"/>
  <c r="T227" i="18"/>
  <c r="U227" i="18"/>
  <c r="V227" i="18"/>
  <c r="W227" i="18"/>
  <c r="X227" i="18"/>
  <c r="AV227" i="18" s="1"/>
  <c r="Y227" i="18"/>
  <c r="BD227" i="18" s="1"/>
  <c r="Z227" i="18"/>
  <c r="AA227" i="18"/>
  <c r="AB227" i="18"/>
  <c r="AC227" i="18"/>
  <c r="AD227" i="18"/>
  <c r="AE227" i="18"/>
  <c r="AF227" i="18"/>
  <c r="D228" i="18"/>
  <c r="E228" i="18"/>
  <c r="F228" i="18"/>
  <c r="G228" i="18"/>
  <c r="H228" i="18"/>
  <c r="I228" i="18"/>
  <c r="J228" i="18"/>
  <c r="K228" i="18"/>
  <c r="L228" i="18"/>
  <c r="M228" i="18"/>
  <c r="N228" i="18"/>
  <c r="O228" i="18"/>
  <c r="P228" i="18"/>
  <c r="Q228" i="18"/>
  <c r="R228" i="18"/>
  <c r="S228" i="18"/>
  <c r="T228" i="18"/>
  <c r="U228" i="18"/>
  <c r="V228" i="18"/>
  <c r="W228" i="18"/>
  <c r="X228" i="18"/>
  <c r="AV228" i="18" s="1"/>
  <c r="Y228" i="18"/>
  <c r="BD228" i="18" s="1"/>
  <c r="Z228" i="18"/>
  <c r="AA228" i="18"/>
  <c r="AB228" i="18"/>
  <c r="AC228" i="18"/>
  <c r="AD228" i="18"/>
  <c r="AE228" i="18"/>
  <c r="AF228" i="18"/>
  <c r="D229" i="18"/>
  <c r="E229" i="18"/>
  <c r="F229" i="18"/>
  <c r="G229" i="18"/>
  <c r="H229" i="18"/>
  <c r="I229" i="18"/>
  <c r="J229" i="18"/>
  <c r="K229" i="18"/>
  <c r="L229" i="18"/>
  <c r="M229" i="18"/>
  <c r="N229" i="18"/>
  <c r="O229" i="18"/>
  <c r="P229" i="18"/>
  <c r="Q229" i="18"/>
  <c r="R229" i="18"/>
  <c r="S229" i="18"/>
  <c r="T229" i="18"/>
  <c r="U229" i="18"/>
  <c r="V229" i="18"/>
  <c r="W229" i="18"/>
  <c r="X229" i="18"/>
  <c r="AV229" i="18" s="1"/>
  <c r="Y229" i="18"/>
  <c r="BD229" i="18" s="1"/>
  <c r="Z229" i="18"/>
  <c r="AA229" i="18"/>
  <c r="AB229" i="18"/>
  <c r="AC229" i="18"/>
  <c r="AD229" i="18"/>
  <c r="AE229" i="18"/>
  <c r="AF229" i="18"/>
  <c r="D230" i="18"/>
  <c r="E230" i="18"/>
  <c r="F230" i="18"/>
  <c r="G230" i="18"/>
  <c r="H230" i="18"/>
  <c r="I230" i="18"/>
  <c r="J230" i="18"/>
  <c r="K230" i="18"/>
  <c r="L230" i="18"/>
  <c r="M230" i="18"/>
  <c r="N230" i="18"/>
  <c r="O230" i="18"/>
  <c r="P230" i="18"/>
  <c r="Q230" i="18"/>
  <c r="R230" i="18"/>
  <c r="S230" i="18"/>
  <c r="T230" i="18"/>
  <c r="U230" i="18"/>
  <c r="V230" i="18"/>
  <c r="W230" i="18"/>
  <c r="X230" i="18"/>
  <c r="AV230" i="18" s="1"/>
  <c r="Y230" i="18"/>
  <c r="BD230" i="18" s="1"/>
  <c r="Z230" i="18"/>
  <c r="AA230" i="18"/>
  <c r="AB230" i="18"/>
  <c r="AC230" i="18"/>
  <c r="AD230" i="18"/>
  <c r="AE230" i="18"/>
  <c r="AF230" i="18"/>
  <c r="D231" i="18"/>
  <c r="E231" i="18"/>
  <c r="F231" i="18"/>
  <c r="G231" i="18"/>
  <c r="H231" i="18"/>
  <c r="I231" i="18"/>
  <c r="J231" i="18"/>
  <c r="K231" i="18"/>
  <c r="L231" i="18"/>
  <c r="M231" i="18"/>
  <c r="N231" i="18"/>
  <c r="O231" i="18"/>
  <c r="P231" i="18"/>
  <c r="Q231" i="18"/>
  <c r="R231" i="18"/>
  <c r="S231" i="18"/>
  <c r="T231" i="18"/>
  <c r="U231" i="18"/>
  <c r="V231" i="18"/>
  <c r="W231" i="18"/>
  <c r="X231" i="18"/>
  <c r="AV231" i="18" s="1"/>
  <c r="Y231" i="18"/>
  <c r="BD231" i="18" s="1"/>
  <c r="Z231" i="18"/>
  <c r="AA231" i="18"/>
  <c r="AB231" i="18"/>
  <c r="AC231" i="18"/>
  <c r="AD231" i="18"/>
  <c r="AE231" i="18"/>
  <c r="AF231" i="18"/>
  <c r="D232" i="18"/>
  <c r="E232" i="18"/>
  <c r="F232" i="18"/>
  <c r="G232" i="18"/>
  <c r="H232" i="18"/>
  <c r="I232" i="18"/>
  <c r="J232" i="18"/>
  <c r="K232" i="18"/>
  <c r="L232" i="18"/>
  <c r="M232" i="18"/>
  <c r="N232" i="18"/>
  <c r="O232" i="18"/>
  <c r="P232" i="18"/>
  <c r="Q232" i="18"/>
  <c r="R232" i="18"/>
  <c r="S232" i="18"/>
  <c r="T232" i="18"/>
  <c r="U232" i="18"/>
  <c r="V232" i="18"/>
  <c r="W232" i="18"/>
  <c r="X232" i="18"/>
  <c r="AV232" i="18" s="1"/>
  <c r="Y232" i="18"/>
  <c r="BD232" i="18" s="1"/>
  <c r="Z232" i="18"/>
  <c r="AA232" i="18"/>
  <c r="AB232" i="18"/>
  <c r="AC232" i="18"/>
  <c r="AD232" i="18"/>
  <c r="AE232" i="18"/>
  <c r="AF232" i="18"/>
  <c r="D233" i="18"/>
  <c r="E233" i="18"/>
  <c r="F233" i="18"/>
  <c r="G233" i="18"/>
  <c r="H233" i="18"/>
  <c r="I233" i="18"/>
  <c r="J233" i="18"/>
  <c r="K233" i="18"/>
  <c r="L233" i="18"/>
  <c r="M233" i="18"/>
  <c r="N233" i="18"/>
  <c r="O233" i="18"/>
  <c r="P233" i="18"/>
  <c r="Q233" i="18"/>
  <c r="R233" i="18"/>
  <c r="S233" i="18"/>
  <c r="T233" i="18"/>
  <c r="U233" i="18"/>
  <c r="V233" i="18"/>
  <c r="W233" i="18"/>
  <c r="X233" i="18"/>
  <c r="AV233" i="18" s="1"/>
  <c r="Y233" i="18"/>
  <c r="BD233" i="18" s="1"/>
  <c r="Z233" i="18"/>
  <c r="AA233" i="18"/>
  <c r="AB233" i="18"/>
  <c r="AC233" i="18"/>
  <c r="AD233" i="18"/>
  <c r="AE233" i="18"/>
  <c r="AF233" i="18"/>
  <c r="D234" i="18"/>
  <c r="E234" i="18"/>
  <c r="F234" i="18"/>
  <c r="G234" i="18"/>
  <c r="H234" i="18"/>
  <c r="I234" i="18"/>
  <c r="J234" i="18"/>
  <c r="K234" i="18"/>
  <c r="L234" i="18"/>
  <c r="M234" i="18"/>
  <c r="N234" i="18"/>
  <c r="O234" i="18"/>
  <c r="P234" i="18"/>
  <c r="Q234" i="18"/>
  <c r="R234" i="18"/>
  <c r="S234" i="18"/>
  <c r="T234" i="18"/>
  <c r="U234" i="18"/>
  <c r="V234" i="18"/>
  <c r="W234" i="18"/>
  <c r="X234" i="18"/>
  <c r="AV234" i="18" s="1"/>
  <c r="Y234" i="18"/>
  <c r="BD234" i="18" s="1"/>
  <c r="Z234" i="18"/>
  <c r="AA234" i="18"/>
  <c r="AB234" i="18"/>
  <c r="AC234" i="18"/>
  <c r="AD234" i="18"/>
  <c r="AE234" i="18"/>
  <c r="AF234" i="18"/>
  <c r="D235" i="18"/>
  <c r="E235" i="18"/>
  <c r="F235" i="18"/>
  <c r="G235" i="18"/>
  <c r="H235" i="18"/>
  <c r="I235" i="18"/>
  <c r="J235" i="18"/>
  <c r="K235" i="18"/>
  <c r="L235" i="18"/>
  <c r="M235" i="18"/>
  <c r="N235" i="18"/>
  <c r="O235" i="18"/>
  <c r="P235" i="18"/>
  <c r="Q235" i="18"/>
  <c r="R235" i="18"/>
  <c r="S235" i="18"/>
  <c r="T235" i="18"/>
  <c r="U235" i="18"/>
  <c r="V235" i="18"/>
  <c r="W235" i="18"/>
  <c r="X235" i="18"/>
  <c r="AV235" i="18" s="1"/>
  <c r="Y235" i="18"/>
  <c r="BD235" i="18" s="1"/>
  <c r="Z235" i="18"/>
  <c r="AA235" i="18"/>
  <c r="AB235" i="18"/>
  <c r="AC235" i="18"/>
  <c r="AD235" i="18"/>
  <c r="AE235" i="18"/>
  <c r="AF235" i="18"/>
  <c r="D236" i="18"/>
  <c r="E236" i="18"/>
  <c r="F236" i="18"/>
  <c r="G236" i="18"/>
  <c r="H236" i="18"/>
  <c r="I236" i="18"/>
  <c r="J236" i="18"/>
  <c r="K236" i="18"/>
  <c r="L236" i="18"/>
  <c r="M236" i="18"/>
  <c r="N236" i="18"/>
  <c r="O236" i="18"/>
  <c r="P236" i="18"/>
  <c r="Q236" i="18"/>
  <c r="R236" i="18"/>
  <c r="S236" i="18"/>
  <c r="T236" i="18"/>
  <c r="U236" i="18"/>
  <c r="V236" i="18"/>
  <c r="W236" i="18"/>
  <c r="X236" i="18"/>
  <c r="AV236" i="18" s="1"/>
  <c r="Y236" i="18"/>
  <c r="BD236" i="18" s="1"/>
  <c r="Z236" i="18"/>
  <c r="AA236" i="18"/>
  <c r="AB236" i="18"/>
  <c r="AC236" i="18"/>
  <c r="AD236" i="18"/>
  <c r="AE236" i="18"/>
  <c r="AF236" i="18"/>
  <c r="D237" i="18"/>
  <c r="E237" i="18"/>
  <c r="F237" i="18"/>
  <c r="G237" i="18"/>
  <c r="H237" i="18"/>
  <c r="I237" i="18"/>
  <c r="J237" i="18"/>
  <c r="K237" i="18"/>
  <c r="L237" i="18"/>
  <c r="M237" i="18"/>
  <c r="N237" i="18"/>
  <c r="O237" i="18"/>
  <c r="P237" i="18"/>
  <c r="Q237" i="18"/>
  <c r="R237" i="18"/>
  <c r="S237" i="18"/>
  <c r="T237" i="18"/>
  <c r="U237" i="18"/>
  <c r="V237" i="18"/>
  <c r="W237" i="18"/>
  <c r="X237" i="18"/>
  <c r="AV237" i="18" s="1"/>
  <c r="Y237" i="18"/>
  <c r="BD237" i="18" s="1"/>
  <c r="Z237" i="18"/>
  <c r="AA237" i="18"/>
  <c r="AB237" i="18"/>
  <c r="AC237" i="18"/>
  <c r="AD237" i="18"/>
  <c r="AE237" i="18"/>
  <c r="AF237" i="18"/>
  <c r="D238" i="18"/>
  <c r="E238" i="18"/>
  <c r="F238" i="18"/>
  <c r="G238" i="18"/>
  <c r="H238" i="18"/>
  <c r="I238" i="18"/>
  <c r="J238" i="18"/>
  <c r="K238" i="18"/>
  <c r="L238" i="18"/>
  <c r="M238" i="18"/>
  <c r="N238" i="18"/>
  <c r="O238" i="18"/>
  <c r="P238" i="18"/>
  <c r="Q238" i="18"/>
  <c r="R238" i="18"/>
  <c r="S238" i="18"/>
  <c r="T238" i="18"/>
  <c r="U238" i="18"/>
  <c r="V238" i="18"/>
  <c r="W238" i="18"/>
  <c r="X238" i="18"/>
  <c r="AV238" i="18" s="1"/>
  <c r="Y238" i="18"/>
  <c r="BD238" i="18" s="1"/>
  <c r="Z238" i="18"/>
  <c r="AA238" i="18"/>
  <c r="AB238" i="18"/>
  <c r="AC238" i="18"/>
  <c r="AD238" i="18"/>
  <c r="AE238" i="18"/>
  <c r="AF238" i="18"/>
  <c r="D239" i="18"/>
  <c r="E239" i="18"/>
  <c r="F239" i="18"/>
  <c r="G239" i="18"/>
  <c r="H239" i="18"/>
  <c r="I239" i="18"/>
  <c r="J239" i="18"/>
  <c r="K239" i="18"/>
  <c r="L239" i="18"/>
  <c r="M239" i="18"/>
  <c r="N239" i="18"/>
  <c r="O239" i="18"/>
  <c r="P239" i="18"/>
  <c r="Q239" i="18"/>
  <c r="R239" i="18"/>
  <c r="S239" i="18"/>
  <c r="T239" i="18"/>
  <c r="U239" i="18"/>
  <c r="V239" i="18"/>
  <c r="W239" i="18"/>
  <c r="X239" i="18"/>
  <c r="AV239" i="18" s="1"/>
  <c r="Y239" i="18"/>
  <c r="BD239" i="18" s="1"/>
  <c r="Z239" i="18"/>
  <c r="AA239" i="18"/>
  <c r="AB239" i="18"/>
  <c r="AC239" i="18"/>
  <c r="AD239" i="18"/>
  <c r="AE239" i="18"/>
  <c r="AF239" i="18"/>
  <c r="D240" i="18"/>
  <c r="E240" i="18"/>
  <c r="F240" i="18"/>
  <c r="G240" i="18"/>
  <c r="H240" i="18"/>
  <c r="I240" i="18"/>
  <c r="J240" i="18"/>
  <c r="K240" i="18"/>
  <c r="L240" i="18"/>
  <c r="M240" i="18"/>
  <c r="N240" i="18"/>
  <c r="O240" i="18"/>
  <c r="P240" i="18"/>
  <c r="Q240" i="18"/>
  <c r="R240" i="18"/>
  <c r="S240" i="18"/>
  <c r="T240" i="18"/>
  <c r="U240" i="18"/>
  <c r="V240" i="18"/>
  <c r="W240" i="18"/>
  <c r="X240" i="18"/>
  <c r="AV240" i="18" s="1"/>
  <c r="Y240" i="18"/>
  <c r="BD240" i="18" s="1"/>
  <c r="Z240" i="18"/>
  <c r="AA240" i="18"/>
  <c r="AB240" i="18"/>
  <c r="AC240" i="18"/>
  <c r="AD240" i="18"/>
  <c r="AE240" i="18"/>
  <c r="AF240" i="18"/>
  <c r="D241" i="18"/>
  <c r="E241" i="18"/>
  <c r="F241" i="18"/>
  <c r="G241" i="18"/>
  <c r="H241" i="18"/>
  <c r="I241" i="18"/>
  <c r="J241" i="18"/>
  <c r="K241" i="18"/>
  <c r="L241" i="18"/>
  <c r="M241" i="18"/>
  <c r="N241" i="18"/>
  <c r="O241" i="18"/>
  <c r="P241" i="18"/>
  <c r="Q241" i="18"/>
  <c r="R241" i="18"/>
  <c r="S241" i="18"/>
  <c r="T241" i="18"/>
  <c r="U241" i="18"/>
  <c r="V241" i="18"/>
  <c r="W241" i="18"/>
  <c r="X241" i="18"/>
  <c r="AV241" i="18" s="1"/>
  <c r="Y241" i="18"/>
  <c r="BD241" i="18" s="1"/>
  <c r="Z241" i="18"/>
  <c r="AA241" i="18"/>
  <c r="AB241" i="18"/>
  <c r="AC241" i="18"/>
  <c r="AD241" i="18"/>
  <c r="AE241" i="18"/>
  <c r="AF241" i="18"/>
  <c r="D242" i="18"/>
  <c r="E242" i="18"/>
  <c r="F242" i="18"/>
  <c r="G242" i="18"/>
  <c r="H242" i="18"/>
  <c r="I242" i="18"/>
  <c r="J242" i="18"/>
  <c r="K242" i="18"/>
  <c r="L242" i="18"/>
  <c r="M242" i="18"/>
  <c r="N242" i="18"/>
  <c r="O242" i="18"/>
  <c r="P242" i="18"/>
  <c r="Q242" i="18"/>
  <c r="R242" i="18"/>
  <c r="S242" i="18"/>
  <c r="T242" i="18"/>
  <c r="U242" i="18"/>
  <c r="V242" i="18"/>
  <c r="W242" i="18"/>
  <c r="X242" i="18"/>
  <c r="AV242" i="18" s="1"/>
  <c r="Y242" i="18"/>
  <c r="BD242" i="18" s="1"/>
  <c r="Z242" i="18"/>
  <c r="AA242" i="18"/>
  <c r="AB242" i="18"/>
  <c r="AC242" i="18"/>
  <c r="AD242" i="18"/>
  <c r="AE242" i="18"/>
  <c r="AF242" i="18"/>
  <c r="D243" i="18"/>
  <c r="E243" i="18"/>
  <c r="F243" i="18"/>
  <c r="G243" i="18"/>
  <c r="H243" i="18"/>
  <c r="I243" i="18"/>
  <c r="J243" i="18"/>
  <c r="K243" i="18"/>
  <c r="L243" i="18"/>
  <c r="M243" i="18"/>
  <c r="N243" i="18"/>
  <c r="O243" i="18"/>
  <c r="P243" i="18"/>
  <c r="Q243" i="18"/>
  <c r="R243" i="18"/>
  <c r="S243" i="18"/>
  <c r="T243" i="18"/>
  <c r="U243" i="18"/>
  <c r="V243" i="18"/>
  <c r="W243" i="18"/>
  <c r="X243" i="18"/>
  <c r="AV243" i="18" s="1"/>
  <c r="Y243" i="18"/>
  <c r="BD243" i="18" s="1"/>
  <c r="Z243" i="18"/>
  <c r="AA243" i="18"/>
  <c r="AB243" i="18"/>
  <c r="AC243" i="18"/>
  <c r="AD243" i="18"/>
  <c r="AE243" i="18"/>
  <c r="AF243" i="18"/>
  <c r="D244" i="18"/>
  <c r="E244" i="18"/>
  <c r="F244" i="18"/>
  <c r="G244" i="18"/>
  <c r="H244" i="18"/>
  <c r="I244" i="18"/>
  <c r="J244" i="18"/>
  <c r="K244" i="18"/>
  <c r="L244" i="18"/>
  <c r="M244" i="18"/>
  <c r="N244" i="18"/>
  <c r="O244" i="18"/>
  <c r="P244" i="18"/>
  <c r="Q244" i="18"/>
  <c r="R244" i="18"/>
  <c r="S244" i="18"/>
  <c r="T244" i="18"/>
  <c r="U244" i="18"/>
  <c r="V244" i="18"/>
  <c r="W244" i="18"/>
  <c r="X244" i="18"/>
  <c r="AV244" i="18" s="1"/>
  <c r="Y244" i="18"/>
  <c r="BD244" i="18" s="1"/>
  <c r="Z244" i="18"/>
  <c r="AA244" i="18"/>
  <c r="AB244" i="18"/>
  <c r="AC244" i="18"/>
  <c r="AD244" i="18"/>
  <c r="AE244" i="18"/>
  <c r="AF244" i="18"/>
  <c r="D245" i="18"/>
  <c r="E245" i="18"/>
  <c r="F245" i="18"/>
  <c r="G245" i="18"/>
  <c r="H245" i="18"/>
  <c r="I245" i="18"/>
  <c r="J245" i="18"/>
  <c r="K245" i="18"/>
  <c r="L245" i="18"/>
  <c r="M245" i="18"/>
  <c r="N245" i="18"/>
  <c r="O245" i="18"/>
  <c r="P245" i="18"/>
  <c r="Q245" i="18"/>
  <c r="R245" i="18"/>
  <c r="S245" i="18"/>
  <c r="T245" i="18"/>
  <c r="U245" i="18"/>
  <c r="V245" i="18"/>
  <c r="W245" i="18"/>
  <c r="X245" i="18"/>
  <c r="AV245" i="18" s="1"/>
  <c r="Y245" i="18"/>
  <c r="BD245" i="18" s="1"/>
  <c r="Z245" i="18"/>
  <c r="AA245" i="18"/>
  <c r="AB245" i="18"/>
  <c r="AC245" i="18"/>
  <c r="AD245" i="18"/>
  <c r="AE245" i="18"/>
  <c r="AF245" i="18"/>
  <c r="D246" i="18"/>
  <c r="E246" i="18"/>
  <c r="F246" i="18"/>
  <c r="G246" i="18"/>
  <c r="H246" i="18"/>
  <c r="I246" i="18"/>
  <c r="J246" i="18"/>
  <c r="K246" i="18"/>
  <c r="L246" i="18"/>
  <c r="M246" i="18"/>
  <c r="N246" i="18"/>
  <c r="O246" i="18"/>
  <c r="P246" i="18"/>
  <c r="Q246" i="18"/>
  <c r="R246" i="18"/>
  <c r="S246" i="18"/>
  <c r="T246" i="18"/>
  <c r="U246" i="18"/>
  <c r="V246" i="18"/>
  <c r="W246" i="18"/>
  <c r="X246" i="18"/>
  <c r="AV246" i="18" s="1"/>
  <c r="Y246" i="18"/>
  <c r="BD246" i="18" s="1"/>
  <c r="Z246" i="18"/>
  <c r="AA246" i="18"/>
  <c r="AB246" i="18"/>
  <c r="AC246" i="18"/>
  <c r="AD246" i="18"/>
  <c r="AE246" i="18"/>
  <c r="AF246" i="18"/>
  <c r="D247" i="18"/>
  <c r="E247" i="18"/>
  <c r="F247" i="18"/>
  <c r="G247" i="18"/>
  <c r="H247" i="18"/>
  <c r="I247" i="18"/>
  <c r="J247" i="18"/>
  <c r="K247" i="18"/>
  <c r="L247" i="18"/>
  <c r="M247" i="18"/>
  <c r="N247" i="18"/>
  <c r="O247" i="18"/>
  <c r="P247" i="18"/>
  <c r="Q247" i="18"/>
  <c r="R247" i="18"/>
  <c r="S247" i="18"/>
  <c r="T247" i="18"/>
  <c r="U247" i="18"/>
  <c r="V247" i="18"/>
  <c r="W247" i="18"/>
  <c r="X247" i="18"/>
  <c r="AV247" i="18" s="1"/>
  <c r="Y247" i="18"/>
  <c r="BD247" i="18" s="1"/>
  <c r="Z247" i="18"/>
  <c r="AA247" i="18"/>
  <c r="AB247" i="18"/>
  <c r="AC247" i="18"/>
  <c r="AD247" i="18"/>
  <c r="AE247" i="18"/>
  <c r="AF247" i="18"/>
  <c r="D248" i="18"/>
  <c r="E248" i="18"/>
  <c r="F248" i="18"/>
  <c r="G248" i="18"/>
  <c r="H248" i="18"/>
  <c r="I248" i="18"/>
  <c r="J248" i="18"/>
  <c r="K248" i="18"/>
  <c r="L248" i="18"/>
  <c r="M248" i="18"/>
  <c r="N248" i="18"/>
  <c r="O248" i="18"/>
  <c r="P248" i="18"/>
  <c r="Q248" i="18"/>
  <c r="R248" i="18"/>
  <c r="S248" i="18"/>
  <c r="T248" i="18"/>
  <c r="U248" i="18"/>
  <c r="V248" i="18"/>
  <c r="W248" i="18"/>
  <c r="X248" i="18"/>
  <c r="AV248" i="18" s="1"/>
  <c r="Y248" i="18"/>
  <c r="BD248" i="18" s="1"/>
  <c r="Z248" i="18"/>
  <c r="AA248" i="18"/>
  <c r="AB248" i="18"/>
  <c r="AC248" i="18"/>
  <c r="AD248" i="18"/>
  <c r="AE248" i="18"/>
  <c r="AF248" i="18"/>
  <c r="D249" i="18"/>
  <c r="E249" i="18"/>
  <c r="F249" i="18"/>
  <c r="G249" i="18"/>
  <c r="H249" i="18"/>
  <c r="I249" i="18"/>
  <c r="J249" i="18"/>
  <c r="K249" i="18"/>
  <c r="L249" i="18"/>
  <c r="M249" i="18"/>
  <c r="N249" i="18"/>
  <c r="O249" i="18"/>
  <c r="P249" i="18"/>
  <c r="Q249" i="18"/>
  <c r="R249" i="18"/>
  <c r="S249" i="18"/>
  <c r="T249" i="18"/>
  <c r="U249" i="18"/>
  <c r="V249" i="18"/>
  <c r="W249" i="18"/>
  <c r="X249" i="18"/>
  <c r="AV249" i="18" s="1"/>
  <c r="Y249" i="18"/>
  <c r="BD249" i="18" s="1"/>
  <c r="Z249" i="18"/>
  <c r="AA249" i="18"/>
  <c r="AB249" i="18"/>
  <c r="AC249" i="18"/>
  <c r="AD249" i="18"/>
  <c r="AE249" i="18"/>
  <c r="AF249" i="18"/>
  <c r="D250" i="18"/>
  <c r="E250" i="18"/>
  <c r="F250" i="18"/>
  <c r="G250" i="18"/>
  <c r="H250" i="18"/>
  <c r="I250" i="18"/>
  <c r="J250" i="18"/>
  <c r="K250" i="18"/>
  <c r="L250" i="18"/>
  <c r="M250" i="18"/>
  <c r="N250" i="18"/>
  <c r="O250" i="18"/>
  <c r="P250" i="18"/>
  <c r="Q250" i="18"/>
  <c r="R250" i="18"/>
  <c r="S250" i="18"/>
  <c r="T250" i="18"/>
  <c r="U250" i="18"/>
  <c r="V250" i="18"/>
  <c r="W250" i="18"/>
  <c r="X250" i="18"/>
  <c r="AV250" i="18" s="1"/>
  <c r="Y250" i="18"/>
  <c r="BD250" i="18" s="1"/>
  <c r="Z250" i="18"/>
  <c r="AA250" i="18"/>
  <c r="AB250" i="18"/>
  <c r="AC250" i="18"/>
  <c r="AD250" i="18"/>
  <c r="AE250" i="18"/>
  <c r="AF250" i="18"/>
  <c r="D251" i="18"/>
  <c r="E251" i="18"/>
  <c r="F251" i="18"/>
  <c r="G251" i="18"/>
  <c r="H251" i="18"/>
  <c r="I251" i="18"/>
  <c r="J251" i="18"/>
  <c r="K251" i="18"/>
  <c r="L251" i="18"/>
  <c r="M251" i="18"/>
  <c r="N251" i="18"/>
  <c r="O251" i="18"/>
  <c r="P251" i="18"/>
  <c r="Q251" i="18"/>
  <c r="R251" i="18"/>
  <c r="S251" i="18"/>
  <c r="T251" i="18"/>
  <c r="U251" i="18"/>
  <c r="V251" i="18"/>
  <c r="W251" i="18"/>
  <c r="X251" i="18"/>
  <c r="AV251" i="18" s="1"/>
  <c r="Y251" i="18"/>
  <c r="BD251" i="18" s="1"/>
  <c r="Z251" i="18"/>
  <c r="AA251" i="18"/>
  <c r="AB251" i="18"/>
  <c r="AC251" i="18"/>
  <c r="AD251" i="18"/>
  <c r="AE251" i="18"/>
  <c r="AF251" i="18"/>
  <c r="D252" i="18"/>
  <c r="E252" i="18"/>
  <c r="F252" i="18"/>
  <c r="G252" i="18"/>
  <c r="H252" i="18"/>
  <c r="I252" i="18"/>
  <c r="J252" i="18"/>
  <c r="K252" i="18"/>
  <c r="L252" i="18"/>
  <c r="M252" i="18"/>
  <c r="N252" i="18"/>
  <c r="O252" i="18"/>
  <c r="P252" i="18"/>
  <c r="Q252" i="18"/>
  <c r="R252" i="18"/>
  <c r="S252" i="18"/>
  <c r="T252" i="18"/>
  <c r="U252" i="18"/>
  <c r="V252" i="18"/>
  <c r="W252" i="18"/>
  <c r="X252" i="18"/>
  <c r="AV252" i="18" s="1"/>
  <c r="Y252" i="18"/>
  <c r="BD252" i="18" s="1"/>
  <c r="Z252" i="18"/>
  <c r="AA252" i="18"/>
  <c r="AB252" i="18"/>
  <c r="AC252" i="18"/>
  <c r="AD252" i="18"/>
  <c r="AE252" i="18"/>
  <c r="AF252" i="18"/>
  <c r="D253" i="18"/>
  <c r="E253" i="18"/>
  <c r="F253" i="18"/>
  <c r="G253" i="18"/>
  <c r="H253" i="18"/>
  <c r="I253" i="18"/>
  <c r="J253" i="18"/>
  <c r="K253" i="18"/>
  <c r="L253" i="18"/>
  <c r="M253" i="18"/>
  <c r="N253" i="18"/>
  <c r="O253" i="18"/>
  <c r="P253" i="18"/>
  <c r="Q253" i="18"/>
  <c r="R253" i="18"/>
  <c r="S253" i="18"/>
  <c r="T253" i="18"/>
  <c r="U253" i="18"/>
  <c r="V253" i="18"/>
  <c r="W253" i="18"/>
  <c r="X253" i="18"/>
  <c r="AV253" i="18" s="1"/>
  <c r="Y253" i="18"/>
  <c r="BD253" i="18" s="1"/>
  <c r="Z253" i="18"/>
  <c r="AA253" i="18"/>
  <c r="AB253" i="18"/>
  <c r="AC253" i="18"/>
  <c r="AD253" i="18"/>
  <c r="AE253" i="18"/>
  <c r="AF253" i="18"/>
  <c r="D254" i="18"/>
  <c r="E254" i="18"/>
  <c r="F254" i="18"/>
  <c r="G254" i="18"/>
  <c r="H254" i="18"/>
  <c r="I254" i="18"/>
  <c r="J254" i="18"/>
  <c r="K254" i="18"/>
  <c r="L254" i="18"/>
  <c r="M254" i="18"/>
  <c r="N254" i="18"/>
  <c r="O254" i="18"/>
  <c r="P254" i="18"/>
  <c r="Q254" i="18"/>
  <c r="R254" i="18"/>
  <c r="S254" i="18"/>
  <c r="T254" i="18"/>
  <c r="U254" i="18"/>
  <c r="V254" i="18"/>
  <c r="W254" i="18"/>
  <c r="X254" i="18"/>
  <c r="AV254" i="18" s="1"/>
  <c r="Y254" i="18"/>
  <c r="BD254" i="18" s="1"/>
  <c r="Z254" i="18"/>
  <c r="AA254" i="18"/>
  <c r="AB254" i="18"/>
  <c r="AC254" i="18"/>
  <c r="AD254" i="18"/>
  <c r="AE254" i="18"/>
  <c r="AF254" i="18"/>
  <c r="D255" i="18"/>
  <c r="E255" i="18"/>
  <c r="F255" i="18"/>
  <c r="G255" i="18"/>
  <c r="H255" i="18"/>
  <c r="I255" i="18"/>
  <c r="J255" i="18"/>
  <c r="K255" i="18"/>
  <c r="L255" i="18"/>
  <c r="M255" i="18"/>
  <c r="N255" i="18"/>
  <c r="O255" i="18"/>
  <c r="P255" i="18"/>
  <c r="Q255" i="18"/>
  <c r="R255" i="18"/>
  <c r="S255" i="18"/>
  <c r="T255" i="18"/>
  <c r="U255" i="18"/>
  <c r="V255" i="18"/>
  <c r="W255" i="18"/>
  <c r="X255" i="18"/>
  <c r="AV255" i="18" s="1"/>
  <c r="Y255" i="18"/>
  <c r="BD255" i="18" s="1"/>
  <c r="Z255" i="18"/>
  <c r="AA255" i="18"/>
  <c r="AB255" i="18"/>
  <c r="AC255" i="18"/>
  <c r="AD255" i="18"/>
  <c r="AE255" i="18"/>
  <c r="AF255" i="18"/>
  <c r="D256" i="18"/>
  <c r="E256" i="18"/>
  <c r="F256" i="18"/>
  <c r="G256" i="18"/>
  <c r="H256" i="18"/>
  <c r="I256" i="18"/>
  <c r="J256" i="18"/>
  <c r="K256" i="18"/>
  <c r="L256" i="18"/>
  <c r="M256" i="18"/>
  <c r="N256" i="18"/>
  <c r="O256" i="18"/>
  <c r="P256" i="18"/>
  <c r="Q256" i="18"/>
  <c r="R256" i="18"/>
  <c r="S256" i="18"/>
  <c r="T256" i="18"/>
  <c r="U256" i="18"/>
  <c r="V256" i="18"/>
  <c r="W256" i="18"/>
  <c r="X256" i="18"/>
  <c r="AV256" i="18" s="1"/>
  <c r="Y256" i="18"/>
  <c r="BD256" i="18" s="1"/>
  <c r="Z256" i="18"/>
  <c r="AA256" i="18"/>
  <c r="AB256" i="18"/>
  <c r="AC256" i="18"/>
  <c r="AD256" i="18"/>
  <c r="AE256" i="18"/>
  <c r="AF256" i="18"/>
  <c r="D257" i="18"/>
  <c r="E257" i="18"/>
  <c r="F257" i="18"/>
  <c r="G257" i="18"/>
  <c r="H257" i="18"/>
  <c r="I257" i="18"/>
  <c r="J257" i="18"/>
  <c r="K257" i="18"/>
  <c r="L257" i="18"/>
  <c r="M257" i="18"/>
  <c r="N257" i="18"/>
  <c r="O257" i="18"/>
  <c r="P257" i="18"/>
  <c r="Q257" i="18"/>
  <c r="R257" i="18"/>
  <c r="S257" i="18"/>
  <c r="T257" i="18"/>
  <c r="U257" i="18"/>
  <c r="V257" i="18"/>
  <c r="W257" i="18"/>
  <c r="X257" i="18"/>
  <c r="AV257" i="18" s="1"/>
  <c r="Y257" i="18"/>
  <c r="BD257" i="18" s="1"/>
  <c r="Z257" i="18"/>
  <c r="AA257" i="18"/>
  <c r="AB257" i="18"/>
  <c r="AC257" i="18"/>
  <c r="AD257" i="18"/>
  <c r="AE257" i="18"/>
  <c r="AF257" i="18"/>
  <c r="D258" i="18"/>
  <c r="E258" i="18"/>
  <c r="F258" i="18"/>
  <c r="G258" i="18"/>
  <c r="H258" i="18"/>
  <c r="I258" i="18"/>
  <c r="J258" i="18"/>
  <c r="K258" i="18"/>
  <c r="L258" i="18"/>
  <c r="M258" i="18"/>
  <c r="N258" i="18"/>
  <c r="O258" i="18"/>
  <c r="P258" i="18"/>
  <c r="Q258" i="18"/>
  <c r="R258" i="18"/>
  <c r="S258" i="18"/>
  <c r="T258" i="18"/>
  <c r="U258" i="18"/>
  <c r="V258" i="18"/>
  <c r="W258" i="18"/>
  <c r="X258" i="18"/>
  <c r="AV258" i="18" s="1"/>
  <c r="Y258" i="18"/>
  <c r="BD258" i="18" s="1"/>
  <c r="Z258" i="18"/>
  <c r="AA258" i="18"/>
  <c r="AB258" i="18"/>
  <c r="AC258" i="18"/>
  <c r="AD258" i="18"/>
  <c r="AE258" i="18"/>
  <c r="AF258" i="18"/>
  <c r="D259" i="18"/>
  <c r="E259" i="18"/>
  <c r="F259" i="18"/>
  <c r="G259" i="18"/>
  <c r="H259" i="18"/>
  <c r="I259" i="18"/>
  <c r="J259" i="18"/>
  <c r="K259" i="18"/>
  <c r="L259" i="18"/>
  <c r="M259" i="18"/>
  <c r="N259" i="18"/>
  <c r="O259" i="18"/>
  <c r="P259" i="18"/>
  <c r="Q259" i="18"/>
  <c r="R259" i="18"/>
  <c r="S259" i="18"/>
  <c r="T259" i="18"/>
  <c r="U259" i="18"/>
  <c r="V259" i="18"/>
  <c r="W259" i="18"/>
  <c r="X259" i="18"/>
  <c r="AV259" i="18" s="1"/>
  <c r="Y259" i="18"/>
  <c r="BD259" i="18" s="1"/>
  <c r="Z259" i="18"/>
  <c r="AA259" i="18"/>
  <c r="AB259" i="18"/>
  <c r="AC259" i="18"/>
  <c r="AD259" i="18"/>
  <c r="AE259" i="18"/>
  <c r="AF259" i="18"/>
  <c r="D260" i="18"/>
  <c r="E260" i="18"/>
  <c r="F260" i="18"/>
  <c r="G260" i="18"/>
  <c r="H260" i="18"/>
  <c r="I260" i="18"/>
  <c r="J260" i="18"/>
  <c r="K260" i="18"/>
  <c r="L260" i="18"/>
  <c r="M260" i="18"/>
  <c r="N260" i="18"/>
  <c r="O260" i="18"/>
  <c r="P260" i="18"/>
  <c r="Q260" i="18"/>
  <c r="R260" i="18"/>
  <c r="S260" i="18"/>
  <c r="T260" i="18"/>
  <c r="U260" i="18"/>
  <c r="V260" i="18"/>
  <c r="W260" i="18"/>
  <c r="X260" i="18"/>
  <c r="AV260" i="18" s="1"/>
  <c r="Y260" i="18"/>
  <c r="BD260" i="18" s="1"/>
  <c r="Z260" i="18"/>
  <c r="AA260" i="18"/>
  <c r="AB260" i="18"/>
  <c r="AC260" i="18"/>
  <c r="AD260" i="18"/>
  <c r="AE260" i="18"/>
  <c r="AF260" i="18"/>
  <c r="D261" i="18"/>
  <c r="E261" i="18"/>
  <c r="F261" i="18"/>
  <c r="G261" i="18"/>
  <c r="H261" i="18"/>
  <c r="I261" i="18"/>
  <c r="J261" i="18"/>
  <c r="K261" i="18"/>
  <c r="L261" i="18"/>
  <c r="M261" i="18"/>
  <c r="N261" i="18"/>
  <c r="O261" i="18"/>
  <c r="P261" i="18"/>
  <c r="Q261" i="18"/>
  <c r="R261" i="18"/>
  <c r="S261" i="18"/>
  <c r="T261" i="18"/>
  <c r="U261" i="18"/>
  <c r="V261" i="18"/>
  <c r="W261" i="18"/>
  <c r="X261" i="18"/>
  <c r="AV261" i="18" s="1"/>
  <c r="Y261" i="18"/>
  <c r="BD261" i="18" s="1"/>
  <c r="Z261" i="18"/>
  <c r="AA261" i="18"/>
  <c r="AB261" i="18"/>
  <c r="AC261" i="18"/>
  <c r="AD261" i="18"/>
  <c r="AE261" i="18"/>
  <c r="AF261" i="18"/>
  <c r="D262" i="18"/>
  <c r="E262" i="18"/>
  <c r="F262" i="18"/>
  <c r="G262" i="18"/>
  <c r="H262" i="18"/>
  <c r="I262" i="18"/>
  <c r="J262" i="18"/>
  <c r="K262" i="18"/>
  <c r="L262" i="18"/>
  <c r="M262" i="18"/>
  <c r="N262" i="18"/>
  <c r="O262" i="18"/>
  <c r="P262" i="18"/>
  <c r="Q262" i="18"/>
  <c r="R262" i="18"/>
  <c r="S262" i="18"/>
  <c r="T262" i="18"/>
  <c r="U262" i="18"/>
  <c r="V262" i="18"/>
  <c r="W262" i="18"/>
  <c r="X262" i="18"/>
  <c r="AV262" i="18" s="1"/>
  <c r="Y262" i="18"/>
  <c r="BD262" i="18" s="1"/>
  <c r="Z262" i="18"/>
  <c r="AA262" i="18"/>
  <c r="AB262" i="18"/>
  <c r="AC262" i="18"/>
  <c r="AD262" i="18"/>
  <c r="AE262" i="18"/>
  <c r="AF262" i="18"/>
  <c r="D263" i="18"/>
  <c r="E263" i="18"/>
  <c r="F263" i="18"/>
  <c r="G263" i="18"/>
  <c r="H263" i="18"/>
  <c r="I263" i="18"/>
  <c r="J263" i="18"/>
  <c r="K263" i="18"/>
  <c r="L263" i="18"/>
  <c r="M263" i="18"/>
  <c r="N263" i="18"/>
  <c r="O263" i="18"/>
  <c r="P263" i="18"/>
  <c r="Q263" i="18"/>
  <c r="R263" i="18"/>
  <c r="S263" i="18"/>
  <c r="T263" i="18"/>
  <c r="U263" i="18"/>
  <c r="V263" i="18"/>
  <c r="W263" i="18"/>
  <c r="X263" i="18"/>
  <c r="AV263" i="18" s="1"/>
  <c r="Y263" i="18"/>
  <c r="BD263" i="18" s="1"/>
  <c r="Z263" i="18"/>
  <c r="AA263" i="18"/>
  <c r="AB263" i="18"/>
  <c r="AC263" i="18"/>
  <c r="AD263" i="18"/>
  <c r="AE263" i="18"/>
  <c r="AF263" i="18"/>
  <c r="D264" i="18"/>
  <c r="E264" i="18"/>
  <c r="F264" i="18"/>
  <c r="G264" i="18"/>
  <c r="H264" i="18"/>
  <c r="I264" i="18"/>
  <c r="J264" i="18"/>
  <c r="K264" i="18"/>
  <c r="L264" i="18"/>
  <c r="M264" i="18"/>
  <c r="N264" i="18"/>
  <c r="O264" i="18"/>
  <c r="P264" i="18"/>
  <c r="Q264" i="18"/>
  <c r="R264" i="18"/>
  <c r="S264" i="18"/>
  <c r="T264" i="18"/>
  <c r="U264" i="18"/>
  <c r="V264" i="18"/>
  <c r="W264" i="18"/>
  <c r="X264" i="18"/>
  <c r="AV264" i="18" s="1"/>
  <c r="Y264" i="18"/>
  <c r="BD264" i="18" s="1"/>
  <c r="Z264" i="18"/>
  <c r="AA264" i="18"/>
  <c r="AB264" i="18"/>
  <c r="AC264" i="18"/>
  <c r="AD264" i="18"/>
  <c r="AE264" i="18"/>
  <c r="AF264" i="18"/>
  <c r="D265" i="18"/>
  <c r="E265" i="18"/>
  <c r="F265" i="18"/>
  <c r="G265" i="18"/>
  <c r="H265" i="18"/>
  <c r="I265" i="18"/>
  <c r="J265" i="18"/>
  <c r="K265" i="18"/>
  <c r="L265" i="18"/>
  <c r="M265" i="18"/>
  <c r="N265" i="18"/>
  <c r="O265" i="18"/>
  <c r="P265" i="18"/>
  <c r="Q265" i="18"/>
  <c r="R265" i="18"/>
  <c r="S265" i="18"/>
  <c r="T265" i="18"/>
  <c r="U265" i="18"/>
  <c r="V265" i="18"/>
  <c r="W265" i="18"/>
  <c r="X265" i="18"/>
  <c r="AV265" i="18" s="1"/>
  <c r="Y265" i="18"/>
  <c r="BD265" i="18" s="1"/>
  <c r="Z265" i="18"/>
  <c r="AA265" i="18"/>
  <c r="AB265" i="18"/>
  <c r="AC265" i="18"/>
  <c r="AD265" i="18"/>
  <c r="AE265" i="18"/>
  <c r="AF265" i="18"/>
  <c r="D266" i="18"/>
  <c r="E266" i="18"/>
  <c r="F266" i="18"/>
  <c r="G266" i="18"/>
  <c r="H266" i="18"/>
  <c r="I266" i="18"/>
  <c r="J266" i="18"/>
  <c r="K266" i="18"/>
  <c r="L266" i="18"/>
  <c r="M266" i="18"/>
  <c r="N266" i="18"/>
  <c r="O266" i="18"/>
  <c r="P266" i="18"/>
  <c r="Q266" i="18"/>
  <c r="R266" i="18"/>
  <c r="S266" i="18"/>
  <c r="T266" i="18"/>
  <c r="U266" i="18"/>
  <c r="V266" i="18"/>
  <c r="W266" i="18"/>
  <c r="X266" i="18"/>
  <c r="AV266" i="18" s="1"/>
  <c r="Y266" i="18"/>
  <c r="BD266" i="18" s="1"/>
  <c r="Z266" i="18"/>
  <c r="AA266" i="18"/>
  <c r="AB266" i="18"/>
  <c r="AC266" i="18"/>
  <c r="AD266" i="18"/>
  <c r="AE266" i="18"/>
  <c r="AF266" i="18"/>
  <c r="D267" i="18"/>
  <c r="E267" i="18"/>
  <c r="F267" i="18"/>
  <c r="G267" i="18"/>
  <c r="H267" i="18"/>
  <c r="I267" i="18"/>
  <c r="J267" i="18"/>
  <c r="K267" i="18"/>
  <c r="L267" i="18"/>
  <c r="M267" i="18"/>
  <c r="N267" i="18"/>
  <c r="O267" i="18"/>
  <c r="P267" i="18"/>
  <c r="Q267" i="18"/>
  <c r="R267" i="18"/>
  <c r="S267" i="18"/>
  <c r="T267" i="18"/>
  <c r="U267" i="18"/>
  <c r="V267" i="18"/>
  <c r="W267" i="18"/>
  <c r="X267" i="18"/>
  <c r="AV267" i="18" s="1"/>
  <c r="Y267" i="18"/>
  <c r="BD267" i="18" s="1"/>
  <c r="Z267" i="18"/>
  <c r="AA267" i="18"/>
  <c r="AB267" i="18"/>
  <c r="AC267" i="18"/>
  <c r="AD267" i="18"/>
  <c r="AE267" i="18"/>
  <c r="AF267" i="18"/>
  <c r="D268" i="18"/>
  <c r="E268" i="18"/>
  <c r="F268" i="18"/>
  <c r="G268" i="18"/>
  <c r="H268" i="18"/>
  <c r="I268" i="18"/>
  <c r="J268" i="18"/>
  <c r="K268" i="18"/>
  <c r="L268" i="18"/>
  <c r="M268" i="18"/>
  <c r="N268" i="18"/>
  <c r="O268" i="18"/>
  <c r="P268" i="18"/>
  <c r="Q268" i="18"/>
  <c r="R268" i="18"/>
  <c r="S268" i="18"/>
  <c r="T268" i="18"/>
  <c r="U268" i="18"/>
  <c r="V268" i="18"/>
  <c r="W268" i="18"/>
  <c r="X268" i="18"/>
  <c r="AV268" i="18" s="1"/>
  <c r="Y268" i="18"/>
  <c r="BD268" i="18" s="1"/>
  <c r="Z268" i="18"/>
  <c r="AA268" i="18"/>
  <c r="AB268" i="18"/>
  <c r="AC268" i="18"/>
  <c r="AD268" i="18"/>
  <c r="AE268" i="18"/>
  <c r="AF268" i="18"/>
  <c r="D269" i="18"/>
  <c r="E269" i="18"/>
  <c r="F269" i="18"/>
  <c r="G269" i="18"/>
  <c r="H269" i="18"/>
  <c r="I269" i="18"/>
  <c r="J269" i="18"/>
  <c r="K269" i="18"/>
  <c r="L269" i="18"/>
  <c r="M269" i="18"/>
  <c r="N269" i="18"/>
  <c r="O269" i="18"/>
  <c r="P269" i="18"/>
  <c r="Q269" i="18"/>
  <c r="R269" i="18"/>
  <c r="S269" i="18"/>
  <c r="T269" i="18"/>
  <c r="U269" i="18"/>
  <c r="V269" i="18"/>
  <c r="W269" i="18"/>
  <c r="X269" i="18"/>
  <c r="AV269" i="18" s="1"/>
  <c r="Y269" i="18"/>
  <c r="BD269" i="18" s="1"/>
  <c r="Z269" i="18"/>
  <c r="AA269" i="18"/>
  <c r="AB269" i="18"/>
  <c r="AC269" i="18"/>
  <c r="AD269" i="18"/>
  <c r="AE269" i="18"/>
  <c r="AF269" i="18"/>
  <c r="D270" i="18"/>
  <c r="E270" i="18"/>
  <c r="F270" i="18"/>
  <c r="G270" i="18"/>
  <c r="H270" i="18"/>
  <c r="I270" i="18"/>
  <c r="J270" i="18"/>
  <c r="K270" i="18"/>
  <c r="L270" i="18"/>
  <c r="M270" i="18"/>
  <c r="N270" i="18"/>
  <c r="O270" i="18"/>
  <c r="P270" i="18"/>
  <c r="Q270" i="18"/>
  <c r="R270" i="18"/>
  <c r="S270" i="18"/>
  <c r="T270" i="18"/>
  <c r="U270" i="18"/>
  <c r="V270" i="18"/>
  <c r="W270" i="18"/>
  <c r="X270" i="18"/>
  <c r="AV270" i="18" s="1"/>
  <c r="Y270" i="18"/>
  <c r="BD270" i="18" s="1"/>
  <c r="Z270" i="18"/>
  <c r="AA270" i="18"/>
  <c r="AB270" i="18"/>
  <c r="AC270" i="18"/>
  <c r="AD270" i="18"/>
  <c r="AE270" i="18"/>
  <c r="AF270" i="18"/>
  <c r="D271" i="18"/>
  <c r="E271" i="18"/>
  <c r="F271" i="18"/>
  <c r="G271" i="18"/>
  <c r="H271" i="18"/>
  <c r="I271" i="18"/>
  <c r="J271" i="18"/>
  <c r="K271" i="18"/>
  <c r="L271" i="18"/>
  <c r="M271" i="18"/>
  <c r="N271" i="18"/>
  <c r="O271" i="18"/>
  <c r="P271" i="18"/>
  <c r="Q271" i="18"/>
  <c r="R271" i="18"/>
  <c r="S271" i="18"/>
  <c r="T271" i="18"/>
  <c r="U271" i="18"/>
  <c r="V271" i="18"/>
  <c r="W271" i="18"/>
  <c r="X271" i="18"/>
  <c r="AV271" i="18" s="1"/>
  <c r="Y271" i="18"/>
  <c r="BD271" i="18" s="1"/>
  <c r="Z271" i="18"/>
  <c r="AA271" i="18"/>
  <c r="AB271" i="18"/>
  <c r="AC271" i="18"/>
  <c r="AD271" i="18"/>
  <c r="AE271" i="18"/>
  <c r="AF271" i="18"/>
  <c r="D272" i="18"/>
  <c r="E272" i="18"/>
  <c r="F272" i="18"/>
  <c r="G272" i="18"/>
  <c r="H272" i="18"/>
  <c r="I272" i="18"/>
  <c r="J272" i="18"/>
  <c r="K272" i="18"/>
  <c r="L272" i="18"/>
  <c r="M272" i="18"/>
  <c r="N272" i="18"/>
  <c r="O272" i="18"/>
  <c r="P272" i="18"/>
  <c r="Q272" i="18"/>
  <c r="R272" i="18"/>
  <c r="S272" i="18"/>
  <c r="T272" i="18"/>
  <c r="U272" i="18"/>
  <c r="V272" i="18"/>
  <c r="W272" i="18"/>
  <c r="X272" i="18"/>
  <c r="AV272" i="18" s="1"/>
  <c r="Y272" i="18"/>
  <c r="BD272" i="18" s="1"/>
  <c r="Z272" i="18"/>
  <c r="AA272" i="18"/>
  <c r="AB272" i="18"/>
  <c r="AC272" i="18"/>
  <c r="AD272" i="18"/>
  <c r="AE272" i="18"/>
  <c r="AF272" i="18"/>
  <c r="D273" i="18"/>
  <c r="E273" i="18"/>
  <c r="F273" i="18"/>
  <c r="G273" i="18"/>
  <c r="H273" i="18"/>
  <c r="I273" i="18"/>
  <c r="J273" i="18"/>
  <c r="K273" i="18"/>
  <c r="L273" i="18"/>
  <c r="M273" i="18"/>
  <c r="N273" i="18"/>
  <c r="O273" i="18"/>
  <c r="P273" i="18"/>
  <c r="Q273" i="18"/>
  <c r="R273" i="18"/>
  <c r="S273" i="18"/>
  <c r="T273" i="18"/>
  <c r="U273" i="18"/>
  <c r="V273" i="18"/>
  <c r="W273" i="18"/>
  <c r="X273" i="18"/>
  <c r="AV273" i="18" s="1"/>
  <c r="Y273" i="18"/>
  <c r="BD273" i="18" s="1"/>
  <c r="Z273" i="18"/>
  <c r="AA273" i="18"/>
  <c r="AB273" i="18"/>
  <c r="AC273" i="18"/>
  <c r="AD273" i="18"/>
  <c r="AE273" i="18"/>
  <c r="AF273" i="18"/>
  <c r="D274" i="18"/>
  <c r="E274" i="18"/>
  <c r="F274" i="18"/>
  <c r="G274" i="18"/>
  <c r="H274" i="18"/>
  <c r="I274" i="18"/>
  <c r="J274" i="18"/>
  <c r="K274" i="18"/>
  <c r="L274" i="18"/>
  <c r="M274" i="18"/>
  <c r="N274" i="18"/>
  <c r="O274" i="18"/>
  <c r="P274" i="18"/>
  <c r="Q274" i="18"/>
  <c r="R274" i="18"/>
  <c r="S274" i="18"/>
  <c r="T274" i="18"/>
  <c r="U274" i="18"/>
  <c r="V274" i="18"/>
  <c r="W274" i="18"/>
  <c r="X274" i="18"/>
  <c r="AV274" i="18" s="1"/>
  <c r="Y274" i="18"/>
  <c r="BD274" i="18" s="1"/>
  <c r="Z274" i="18"/>
  <c r="AA274" i="18"/>
  <c r="AB274" i="18"/>
  <c r="AC274" i="18"/>
  <c r="AD274" i="18"/>
  <c r="AE274" i="18"/>
  <c r="AF274" i="18"/>
  <c r="D275" i="18"/>
  <c r="E275" i="18"/>
  <c r="F275" i="18"/>
  <c r="G275" i="18"/>
  <c r="H275" i="18"/>
  <c r="I275" i="18"/>
  <c r="J275" i="18"/>
  <c r="K275" i="18"/>
  <c r="L275" i="18"/>
  <c r="M275" i="18"/>
  <c r="N275" i="18"/>
  <c r="O275" i="18"/>
  <c r="P275" i="18"/>
  <c r="Q275" i="18"/>
  <c r="R275" i="18"/>
  <c r="S275" i="18"/>
  <c r="T275" i="18"/>
  <c r="U275" i="18"/>
  <c r="V275" i="18"/>
  <c r="W275" i="18"/>
  <c r="X275" i="18"/>
  <c r="AV275" i="18" s="1"/>
  <c r="Y275" i="18"/>
  <c r="BD275" i="18" s="1"/>
  <c r="Z275" i="18"/>
  <c r="AA275" i="18"/>
  <c r="AB275" i="18"/>
  <c r="AC275" i="18"/>
  <c r="AD275" i="18"/>
  <c r="AE275" i="18"/>
  <c r="AF275" i="18"/>
  <c r="D276" i="18"/>
  <c r="E276" i="18"/>
  <c r="F276" i="18"/>
  <c r="G276" i="18"/>
  <c r="H276" i="18"/>
  <c r="I276" i="18"/>
  <c r="J276" i="18"/>
  <c r="K276" i="18"/>
  <c r="L276" i="18"/>
  <c r="M276" i="18"/>
  <c r="N276" i="18"/>
  <c r="O276" i="18"/>
  <c r="P276" i="18"/>
  <c r="Q276" i="18"/>
  <c r="R276" i="18"/>
  <c r="S276" i="18"/>
  <c r="T276" i="18"/>
  <c r="U276" i="18"/>
  <c r="V276" i="18"/>
  <c r="W276" i="18"/>
  <c r="X276" i="18"/>
  <c r="AV276" i="18" s="1"/>
  <c r="Y276" i="18"/>
  <c r="BD276" i="18" s="1"/>
  <c r="Z276" i="18"/>
  <c r="AA276" i="18"/>
  <c r="AB276" i="18"/>
  <c r="AC276" i="18"/>
  <c r="AD276" i="18"/>
  <c r="AE276" i="18"/>
  <c r="AF276" i="18"/>
  <c r="D277" i="18"/>
  <c r="E277" i="18"/>
  <c r="F277" i="18"/>
  <c r="G277" i="18"/>
  <c r="H277" i="18"/>
  <c r="I277" i="18"/>
  <c r="J277" i="18"/>
  <c r="K277" i="18"/>
  <c r="L277" i="18"/>
  <c r="M277" i="18"/>
  <c r="N277" i="18"/>
  <c r="O277" i="18"/>
  <c r="P277" i="18"/>
  <c r="Q277" i="18"/>
  <c r="R277" i="18"/>
  <c r="S277" i="18"/>
  <c r="T277" i="18"/>
  <c r="U277" i="18"/>
  <c r="V277" i="18"/>
  <c r="W277" i="18"/>
  <c r="X277" i="18"/>
  <c r="AV277" i="18" s="1"/>
  <c r="Y277" i="18"/>
  <c r="BD277" i="18" s="1"/>
  <c r="Z277" i="18"/>
  <c r="AA277" i="18"/>
  <c r="AB277" i="18"/>
  <c r="AC277" i="18"/>
  <c r="AD277" i="18"/>
  <c r="AE277" i="18"/>
  <c r="AF277" i="18"/>
  <c r="D278" i="18"/>
  <c r="E278" i="18"/>
  <c r="F278" i="18"/>
  <c r="G278" i="18"/>
  <c r="H278" i="18"/>
  <c r="I278" i="18"/>
  <c r="J278" i="18"/>
  <c r="K278" i="18"/>
  <c r="L278" i="18"/>
  <c r="M278" i="18"/>
  <c r="N278" i="18"/>
  <c r="O278" i="18"/>
  <c r="P278" i="18"/>
  <c r="Q278" i="18"/>
  <c r="R278" i="18"/>
  <c r="S278" i="18"/>
  <c r="T278" i="18"/>
  <c r="U278" i="18"/>
  <c r="V278" i="18"/>
  <c r="W278" i="18"/>
  <c r="X278" i="18"/>
  <c r="AV278" i="18" s="1"/>
  <c r="Y278" i="18"/>
  <c r="BD278" i="18" s="1"/>
  <c r="Z278" i="18"/>
  <c r="AA278" i="18"/>
  <c r="AB278" i="18"/>
  <c r="AC278" i="18"/>
  <c r="AD278" i="18"/>
  <c r="AE278" i="18"/>
  <c r="AF278" i="18"/>
  <c r="D279" i="18"/>
  <c r="E279" i="18"/>
  <c r="F279" i="18"/>
  <c r="G279" i="18"/>
  <c r="H279" i="18"/>
  <c r="I279" i="18"/>
  <c r="J279" i="18"/>
  <c r="K279" i="18"/>
  <c r="L279" i="18"/>
  <c r="M279" i="18"/>
  <c r="N279" i="18"/>
  <c r="O279" i="18"/>
  <c r="P279" i="18"/>
  <c r="Q279" i="18"/>
  <c r="R279" i="18"/>
  <c r="S279" i="18"/>
  <c r="T279" i="18"/>
  <c r="U279" i="18"/>
  <c r="V279" i="18"/>
  <c r="W279" i="18"/>
  <c r="X279" i="18"/>
  <c r="AV279" i="18" s="1"/>
  <c r="Y279" i="18"/>
  <c r="BD279" i="18" s="1"/>
  <c r="Z279" i="18"/>
  <c r="AA279" i="18"/>
  <c r="AB279" i="18"/>
  <c r="AC279" i="18"/>
  <c r="AD279" i="18"/>
  <c r="AE279" i="18"/>
  <c r="AF279" i="18"/>
  <c r="D280" i="18"/>
  <c r="E280" i="18"/>
  <c r="F280" i="18"/>
  <c r="G280" i="18"/>
  <c r="H280" i="18"/>
  <c r="I280" i="18"/>
  <c r="J280" i="18"/>
  <c r="K280" i="18"/>
  <c r="L280" i="18"/>
  <c r="M280" i="18"/>
  <c r="N280" i="18"/>
  <c r="O280" i="18"/>
  <c r="P280" i="18"/>
  <c r="Q280" i="18"/>
  <c r="R280" i="18"/>
  <c r="S280" i="18"/>
  <c r="T280" i="18"/>
  <c r="U280" i="18"/>
  <c r="V280" i="18"/>
  <c r="W280" i="18"/>
  <c r="X280" i="18"/>
  <c r="AV280" i="18" s="1"/>
  <c r="Y280" i="18"/>
  <c r="BD280" i="18" s="1"/>
  <c r="Z280" i="18"/>
  <c r="AA280" i="18"/>
  <c r="AB280" i="18"/>
  <c r="AC280" i="18"/>
  <c r="AD280" i="18"/>
  <c r="AE280" i="18"/>
  <c r="AF280" i="18"/>
  <c r="D281" i="18"/>
  <c r="E281" i="18"/>
  <c r="F281" i="18"/>
  <c r="G281" i="18"/>
  <c r="H281" i="18"/>
  <c r="I281" i="18"/>
  <c r="J281" i="18"/>
  <c r="K281" i="18"/>
  <c r="L281" i="18"/>
  <c r="M281" i="18"/>
  <c r="N281" i="18"/>
  <c r="O281" i="18"/>
  <c r="P281" i="18"/>
  <c r="Q281" i="18"/>
  <c r="R281" i="18"/>
  <c r="S281" i="18"/>
  <c r="T281" i="18"/>
  <c r="U281" i="18"/>
  <c r="V281" i="18"/>
  <c r="W281" i="18"/>
  <c r="X281" i="18"/>
  <c r="AV281" i="18" s="1"/>
  <c r="Y281" i="18"/>
  <c r="BD281" i="18" s="1"/>
  <c r="Z281" i="18"/>
  <c r="AA281" i="18"/>
  <c r="AB281" i="18"/>
  <c r="AC281" i="18"/>
  <c r="AD281" i="18"/>
  <c r="AE281" i="18"/>
  <c r="AF281" i="18"/>
  <c r="D283" i="18"/>
  <c r="E283" i="18"/>
  <c r="F283" i="18"/>
  <c r="G283" i="18"/>
  <c r="H283" i="18"/>
  <c r="I283" i="18"/>
  <c r="J283" i="18"/>
  <c r="K283" i="18"/>
  <c r="L283" i="18"/>
  <c r="M283" i="18"/>
  <c r="N283" i="18"/>
  <c r="O283" i="18"/>
  <c r="P283" i="18"/>
  <c r="Q283" i="18"/>
  <c r="R283" i="18"/>
  <c r="S283" i="18"/>
  <c r="T283" i="18"/>
  <c r="U283" i="18"/>
  <c r="V283" i="18"/>
  <c r="W283" i="18"/>
  <c r="X283" i="18"/>
  <c r="AV283" i="18" s="1"/>
  <c r="Y283" i="18"/>
  <c r="BD283" i="18" s="1"/>
  <c r="Z283" i="18"/>
  <c r="AA283" i="18"/>
  <c r="AB283" i="18"/>
  <c r="AC283" i="18"/>
  <c r="AD283" i="18"/>
  <c r="AE283" i="18"/>
  <c r="AF283" i="18"/>
  <c r="D284" i="18"/>
  <c r="E284" i="18"/>
  <c r="F284" i="18"/>
  <c r="G284" i="18"/>
  <c r="H284" i="18"/>
  <c r="I284" i="18"/>
  <c r="J284" i="18"/>
  <c r="K284" i="18"/>
  <c r="L284" i="18"/>
  <c r="M284" i="18"/>
  <c r="N284" i="18"/>
  <c r="O284" i="18"/>
  <c r="P284" i="18"/>
  <c r="Q284" i="18"/>
  <c r="R284" i="18"/>
  <c r="S284" i="18"/>
  <c r="T284" i="18"/>
  <c r="U284" i="18"/>
  <c r="V284" i="18"/>
  <c r="W284" i="18"/>
  <c r="X284" i="18"/>
  <c r="AV284" i="18" s="1"/>
  <c r="Y284" i="18"/>
  <c r="BD284" i="18" s="1"/>
  <c r="Z284" i="18"/>
  <c r="AA284" i="18"/>
  <c r="AB284" i="18"/>
  <c r="AC284" i="18"/>
  <c r="AD284" i="18"/>
  <c r="AE284" i="18"/>
  <c r="AF284" i="18"/>
  <c r="D285" i="18"/>
  <c r="E285" i="18"/>
  <c r="F285" i="18"/>
  <c r="G285" i="18"/>
  <c r="H285" i="18"/>
  <c r="I285" i="18"/>
  <c r="J285" i="18"/>
  <c r="K285" i="18"/>
  <c r="L285" i="18"/>
  <c r="M285" i="18"/>
  <c r="N285" i="18"/>
  <c r="O285" i="18"/>
  <c r="P285" i="18"/>
  <c r="Q285" i="18"/>
  <c r="R285" i="18"/>
  <c r="S285" i="18"/>
  <c r="T285" i="18"/>
  <c r="U285" i="18"/>
  <c r="V285" i="18"/>
  <c r="W285" i="18"/>
  <c r="X285" i="18"/>
  <c r="AV285" i="18" s="1"/>
  <c r="Y285" i="18"/>
  <c r="BD285" i="18" s="1"/>
  <c r="Z285" i="18"/>
  <c r="AA285" i="18"/>
  <c r="AB285" i="18"/>
  <c r="AC285" i="18"/>
  <c r="AD285" i="18"/>
  <c r="AE285" i="18"/>
  <c r="AF285" i="18"/>
  <c r="D286" i="18"/>
  <c r="E286" i="18"/>
  <c r="F286" i="18"/>
  <c r="G286" i="18"/>
  <c r="H286" i="18"/>
  <c r="I286" i="18"/>
  <c r="J286" i="18"/>
  <c r="K286" i="18"/>
  <c r="L286" i="18"/>
  <c r="M286" i="18"/>
  <c r="N286" i="18"/>
  <c r="O286" i="18"/>
  <c r="P286" i="18"/>
  <c r="Q286" i="18"/>
  <c r="R286" i="18"/>
  <c r="S286" i="18"/>
  <c r="T286" i="18"/>
  <c r="U286" i="18"/>
  <c r="V286" i="18"/>
  <c r="W286" i="18"/>
  <c r="X286" i="18"/>
  <c r="AV286" i="18" s="1"/>
  <c r="Y286" i="18"/>
  <c r="BD286" i="18" s="1"/>
  <c r="Z286" i="18"/>
  <c r="AA286" i="18"/>
  <c r="AB286" i="18"/>
  <c r="AC286" i="18"/>
  <c r="AD286" i="18"/>
  <c r="AE286" i="18"/>
  <c r="AF286" i="18"/>
  <c r="D287" i="18"/>
  <c r="E287" i="18"/>
  <c r="F287" i="18"/>
  <c r="G287" i="18"/>
  <c r="H287" i="18"/>
  <c r="I287" i="18"/>
  <c r="J287" i="18"/>
  <c r="K287" i="18"/>
  <c r="L287" i="18"/>
  <c r="M287" i="18"/>
  <c r="N287" i="18"/>
  <c r="O287" i="18"/>
  <c r="P287" i="18"/>
  <c r="Q287" i="18"/>
  <c r="R287" i="18"/>
  <c r="S287" i="18"/>
  <c r="T287" i="18"/>
  <c r="U287" i="18"/>
  <c r="V287" i="18"/>
  <c r="W287" i="18"/>
  <c r="X287" i="18"/>
  <c r="AV287" i="18" s="1"/>
  <c r="Y287" i="18"/>
  <c r="BD287" i="18" s="1"/>
  <c r="Z287" i="18"/>
  <c r="AA287" i="18"/>
  <c r="AB287" i="18"/>
  <c r="AC287" i="18"/>
  <c r="AD287" i="18"/>
  <c r="AE287" i="18"/>
  <c r="AF287" i="18"/>
  <c r="D288" i="18"/>
  <c r="E288" i="18"/>
  <c r="F288" i="18"/>
  <c r="G288" i="18"/>
  <c r="H288" i="18"/>
  <c r="I288" i="18"/>
  <c r="J288" i="18"/>
  <c r="K288" i="18"/>
  <c r="L288" i="18"/>
  <c r="M288" i="18"/>
  <c r="N288" i="18"/>
  <c r="O288" i="18"/>
  <c r="P288" i="18"/>
  <c r="Q288" i="18"/>
  <c r="R288" i="18"/>
  <c r="S288" i="18"/>
  <c r="T288" i="18"/>
  <c r="U288" i="18"/>
  <c r="V288" i="18"/>
  <c r="W288" i="18"/>
  <c r="X288" i="18"/>
  <c r="AV288" i="18" s="1"/>
  <c r="Y288" i="18"/>
  <c r="BD288" i="18" s="1"/>
  <c r="Z288" i="18"/>
  <c r="AA288" i="18"/>
  <c r="AB288" i="18"/>
  <c r="AC288" i="18"/>
  <c r="AD288" i="18"/>
  <c r="AE288" i="18"/>
  <c r="AF288" i="18"/>
  <c r="D289" i="18"/>
  <c r="E289" i="18"/>
  <c r="F289" i="18"/>
  <c r="G289" i="18"/>
  <c r="H289" i="18"/>
  <c r="I289" i="18"/>
  <c r="J289" i="18"/>
  <c r="K289" i="18"/>
  <c r="L289" i="18"/>
  <c r="M289" i="18"/>
  <c r="N289" i="18"/>
  <c r="O289" i="18"/>
  <c r="P289" i="18"/>
  <c r="Q289" i="18"/>
  <c r="R289" i="18"/>
  <c r="S289" i="18"/>
  <c r="T289" i="18"/>
  <c r="U289" i="18"/>
  <c r="V289" i="18"/>
  <c r="W289" i="18"/>
  <c r="X289" i="18"/>
  <c r="AV289" i="18" s="1"/>
  <c r="Y289" i="18"/>
  <c r="BD289" i="18" s="1"/>
  <c r="Z289" i="18"/>
  <c r="AA289" i="18"/>
  <c r="AB289" i="18"/>
  <c r="AC289" i="18"/>
  <c r="AD289" i="18"/>
  <c r="AE289" i="18"/>
  <c r="AF289" i="18"/>
  <c r="D290" i="18"/>
  <c r="E290" i="18"/>
  <c r="F290" i="18"/>
  <c r="G290" i="18"/>
  <c r="H290" i="18"/>
  <c r="I290" i="18"/>
  <c r="J290" i="18"/>
  <c r="K290" i="18"/>
  <c r="L290" i="18"/>
  <c r="M290" i="18"/>
  <c r="N290" i="18"/>
  <c r="O290" i="18"/>
  <c r="P290" i="18"/>
  <c r="Q290" i="18"/>
  <c r="R290" i="18"/>
  <c r="S290" i="18"/>
  <c r="T290" i="18"/>
  <c r="U290" i="18"/>
  <c r="V290" i="18"/>
  <c r="W290" i="18"/>
  <c r="X290" i="18"/>
  <c r="AV290" i="18" s="1"/>
  <c r="Y290" i="18"/>
  <c r="BD290" i="18" s="1"/>
  <c r="Z290" i="18"/>
  <c r="AA290" i="18"/>
  <c r="AB290" i="18"/>
  <c r="AC290" i="18"/>
  <c r="AD290" i="18"/>
  <c r="AE290" i="18"/>
  <c r="AF290" i="18"/>
  <c r="D291" i="18"/>
  <c r="E291" i="18"/>
  <c r="F291" i="18"/>
  <c r="G291" i="18"/>
  <c r="H291" i="18"/>
  <c r="I291" i="18"/>
  <c r="J291" i="18"/>
  <c r="K291" i="18"/>
  <c r="L291" i="18"/>
  <c r="M291" i="18"/>
  <c r="N291" i="18"/>
  <c r="O291" i="18"/>
  <c r="P291" i="18"/>
  <c r="Q291" i="18"/>
  <c r="R291" i="18"/>
  <c r="S291" i="18"/>
  <c r="T291" i="18"/>
  <c r="U291" i="18"/>
  <c r="V291" i="18"/>
  <c r="W291" i="18"/>
  <c r="X291" i="18"/>
  <c r="AV291" i="18" s="1"/>
  <c r="Y291" i="18"/>
  <c r="BD291" i="18" s="1"/>
  <c r="Z291" i="18"/>
  <c r="AA291" i="18"/>
  <c r="AB291" i="18"/>
  <c r="AC291" i="18"/>
  <c r="AD291" i="18"/>
  <c r="AE291" i="18"/>
  <c r="AF291" i="18"/>
  <c r="D292" i="18"/>
  <c r="E292" i="18"/>
  <c r="F292" i="18"/>
  <c r="G292" i="18"/>
  <c r="H292" i="18"/>
  <c r="I292" i="18"/>
  <c r="J292" i="18"/>
  <c r="K292" i="18"/>
  <c r="L292" i="18"/>
  <c r="M292" i="18"/>
  <c r="N292" i="18"/>
  <c r="O292" i="18"/>
  <c r="P292" i="18"/>
  <c r="Q292" i="18"/>
  <c r="R292" i="18"/>
  <c r="S292" i="18"/>
  <c r="T292" i="18"/>
  <c r="U292" i="18"/>
  <c r="V292" i="18"/>
  <c r="W292" i="18"/>
  <c r="X292" i="18"/>
  <c r="AV292" i="18" s="1"/>
  <c r="Y292" i="18"/>
  <c r="BD292" i="18" s="1"/>
  <c r="Z292" i="18"/>
  <c r="AA292" i="18"/>
  <c r="AB292" i="18"/>
  <c r="AC292" i="18"/>
  <c r="AD292" i="18"/>
  <c r="AE292" i="18"/>
  <c r="AF292" i="18"/>
  <c r="D293" i="18"/>
  <c r="E293" i="18"/>
  <c r="F293" i="18"/>
  <c r="G293" i="18"/>
  <c r="H293" i="18"/>
  <c r="I293" i="18"/>
  <c r="J293" i="18"/>
  <c r="K293" i="18"/>
  <c r="L293" i="18"/>
  <c r="M293" i="18"/>
  <c r="N293" i="18"/>
  <c r="O293" i="18"/>
  <c r="P293" i="18"/>
  <c r="Q293" i="18"/>
  <c r="R293" i="18"/>
  <c r="S293" i="18"/>
  <c r="T293" i="18"/>
  <c r="U293" i="18"/>
  <c r="V293" i="18"/>
  <c r="W293" i="18"/>
  <c r="X293" i="18"/>
  <c r="AV293" i="18" s="1"/>
  <c r="Y293" i="18"/>
  <c r="BD293" i="18" s="1"/>
  <c r="Z293" i="18"/>
  <c r="AA293" i="18"/>
  <c r="AB293" i="18"/>
  <c r="AC293" i="18"/>
  <c r="AD293" i="18"/>
  <c r="AE293" i="18"/>
  <c r="AF293" i="18"/>
  <c r="D294" i="18"/>
  <c r="E294" i="18"/>
  <c r="F294" i="18"/>
  <c r="G294" i="18"/>
  <c r="H294" i="18"/>
  <c r="I294" i="18"/>
  <c r="J294" i="18"/>
  <c r="K294" i="18"/>
  <c r="L294" i="18"/>
  <c r="M294" i="18"/>
  <c r="N294" i="18"/>
  <c r="O294" i="18"/>
  <c r="P294" i="18"/>
  <c r="Q294" i="18"/>
  <c r="R294" i="18"/>
  <c r="S294" i="18"/>
  <c r="T294" i="18"/>
  <c r="U294" i="18"/>
  <c r="V294" i="18"/>
  <c r="W294" i="18"/>
  <c r="X294" i="18"/>
  <c r="AV294" i="18" s="1"/>
  <c r="Y294" i="18"/>
  <c r="BD294" i="18" s="1"/>
  <c r="Z294" i="18"/>
  <c r="AA294" i="18"/>
  <c r="AB294" i="18"/>
  <c r="AC294" i="18"/>
  <c r="AD294" i="18"/>
  <c r="AE294" i="18"/>
  <c r="AF294" i="18"/>
  <c r="D295" i="18"/>
  <c r="E295" i="18"/>
  <c r="F295" i="18"/>
  <c r="G295" i="18"/>
  <c r="H295" i="18"/>
  <c r="I295" i="18"/>
  <c r="J295" i="18"/>
  <c r="K295" i="18"/>
  <c r="L295" i="18"/>
  <c r="M295" i="18"/>
  <c r="N295" i="18"/>
  <c r="O295" i="18"/>
  <c r="P295" i="18"/>
  <c r="Q295" i="18"/>
  <c r="R295" i="18"/>
  <c r="S295" i="18"/>
  <c r="T295" i="18"/>
  <c r="U295" i="18"/>
  <c r="V295" i="18"/>
  <c r="W295" i="18"/>
  <c r="X295" i="18"/>
  <c r="AV295" i="18" s="1"/>
  <c r="Y295" i="18"/>
  <c r="BD295" i="18" s="1"/>
  <c r="Z295" i="18"/>
  <c r="AA295" i="18"/>
  <c r="AB295" i="18"/>
  <c r="AC295" i="18"/>
  <c r="AD295" i="18"/>
  <c r="AE295" i="18"/>
  <c r="AF295" i="18"/>
  <c r="D296" i="18"/>
  <c r="E296" i="18"/>
  <c r="F296" i="18"/>
  <c r="G296" i="18"/>
  <c r="H296" i="18"/>
  <c r="I296" i="18"/>
  <c r="J296" i="18"/>
  <c r="K296" i="18"/>
  <c r="L296" i="18"/>
  <c r="M296" i="18"/>
  <c r="N296" i="18"/>
  <c r="O296" i="18"/>
  <c r="P296" i="18"/>
  <c r="Q296" i="18"/>
  <c r="R296" i="18"/>
  <c r="S296" i="18"/>
  <c r="T296" i="18"/>
  <c r="U296" i="18"/>
  <c r="V296" i="18"/>
  <c r="W296" i="18"/>
  <c r="X296" i="18"/>
  <c r="AV296" i="18" s="1"/>
  <c r="Y296" i="18"/>
  <c r="BD296" i="18" s="1"/>
  <c r="Z296" i="18"/>
  <c r="AA296" i="18"/>
  <c r="AB296" i="18"/>
  <c r="AC296" i="18"/>
  <c r="AD296" i="18"/>
  <c r="AE296" i="18"/>
  <c r="AF296" i="18"/>
  <c r="D297" i="18"/>
  <c r="E297" i="18"/>
  <c r="F297" i="18"/>
  <c r="G297" i="18"/>
  <c r="H297" i="18"/>
  <c r="I297" i="18"/>
  <c r="J297" i="18"/>
  <c r="K297" i="18"/>
  <c r="L297" i="18"/>
  <c r="M297" i="18"/>
  <c r="N297" i="18"/>
  <c r="O297" i="18"/>
  <c r="P297" i="18"/>
  <c r="Q297" i="18"/>
  <c r="R297" i="18"/>
  <c r="S297" i="18"/>
  <c r="T297" i="18"/>
  <c r="U297" i="18"/>
  <c r="V297" i="18"/>
  <c r="W297" i="18"/>
  <c r="X297" i="18"/>
  <c r="AV297" i="18" s="1"/>
  <c r="Y297" i="18"/>
  <c r="BD297" i="18" s="1"/>
  <c r="Z297" i="18"/>
  <c r="AA297" i="18"/>
  <c r="AB297" i="18"/>
  <c r="AC297" i="18"/>
  <c r="AD297" i="18"/>
  <c r="AE297" i="18"/>
  <c r="AF297" i="18"/>
  <c r="D298" i="18"/>
  <c r="E298" i="18"/>
  <c r="F298" i="18"/>
  <c r="G298" i="18"/>
  <c r="H298" i="18"/>
  <c r="I298" i="18"/>
  <c r="J298" i="18"/>
  <c r="K298" i="18"/>
  <c r="L298" i="18"/>
  <c r="M298" i="18"/>
  <c r="N298" i="18"/>
  <c r="O298" i="18"/>
  <c r="P298" i="18"/>
  <c r="Q298" i="18"/>
  <c r="R298" i="18"/>
  <c r="S298" i="18"/>
  <c r="T298" i="18"/>
  <c r="U298" i="18"/>
  <c r="V298" i="18"/>
  <c r="W298" i="18"/>
  <c r="X298" i="18"/>
  <c r="AV298" i="18" s="1"/>
  <c r="Y298" i="18"/>
  <c r="BD298" i="18" s="1"/>
  <c r="Z298" i="18"/>
  <c r="AA298" i="18"/>
  <c r="AB298" i="18"/>
  <c r="AC298" i="18"/>
  <c r="AD298" i="18"/>
  <c r="AE298" i="18"/>
  <c r="AF298" i="18"/>
  <c r="D299" i="18"/>
  <c r="E299" i="18"/>
  <c r="F299" i="18"/>
  <c r="G299" i="18"/>
  <c r="H299" i="18"/>
  <c r="I299" i="18"/>
  <c r="J299" i="18"/>
  <c r="K299" i="18"/>
  <c r="L299" i="18"/>
  <c r="M299" i="18"/>
  <c r="N299" i="18"/>
  <c r="O299" i="18"/>
  <c r="P299" i="18"/>
  <c r="Q299" i="18"/>
  <c r="R299" i="18"/>
  <c r="S299" i="18"/>
  <c r="T299" i="18"/>
  <c r="U299" i="18"/>
  <c r="V299" i="18"/>
  <c r="W299" i="18"/>
  <c r="X299" i="18"/>
  <c r="AV299" i="18" s="1"/>
  <c r="Y299" i="18"/>
  <c r="BD299" i="18" s="1"/>
  <c r="Z299" i="18"/>
  <c r="AA299" i="18"/>
  <c r="AB299" i="18"/>
  <c r="AC299" i="18"/>
  <c r="AD299" i="18"/>
  <c r="AE299" i="18"/>
  <c r="AF299" i="18"/>
  <c r="D300" i="18"/>
  <c r="E300" i="18"/>
  <c r="F300" i="18"/>
  <c r="G300" i="18"/>
  <c r="H300" i="18"/>
  <c r="I300" i="18"/>
  <c r="J300" i="18"/>
  <c r="K300" i="18"/>
  <c r="L300" i="18"/>
  <c r="M300" i="18"/>
  <c r="N300" i="18"/>
  <c r="O300" i="18"/>
  <c r="P300" i="18"/>
  <c r="Q300" i="18"/>
  <c r="R300" i="18"/>
  <c r="S300" i="18"/>
  <c r="T300" i="18"/>
  <c r="U300" i="18"/>
  <c r="V300" i="18"/>
  <c r="W300" i="18"/>
  <c r="X300" i="18"/>
  <c r="AV300" i="18" s="1"/>
  <c r="Y300" i="18"/>
  <c r="BD300" i="18" s="1"/>
  <c r="Z300" i="18"/>
  <c r="AA300" i="18"/>
  <c r="AB300" i="18"/>
  <c r="AC300" i="18"/>
  <c r="AD300" i="18"/>
  <c r="AE300" i="18"/>
  <c r="AF300" i="18"/>
  <c r="D301" i="18"/>
  <c r="E301" i="18"/>
  <c r="F301" i="18"/>
  <c r="G301" i="18"/>
  <c r="H301" i="18"/>
  <c r="I301" i="18"/>
  <c r="J301" i="18"/>
  <c r="K301" i="18"/>
  <c r="L301" i="18"/>
  <c r="M301" i="18"/>
  <c r="N301" i="18"/>
  <c r="O301" i="18"/>
  <c r="P301" i="18"/>
  <c r="Q301" i="18"/>
  <c r="R301" i="18"/>
  <c r="S301" i="18"/>
  <c r="T301" i="18"/>
  <c r="U301" i="18"/>
  <c r="V301" i="18"/>
  <c r="W301" i="18"/>
  <c r="X301" i="18"/>
  <c r="AV301" i="18" s="1"/>
  <c r="Y301" i="18"/>
  <c r="BD301" i="18" s="1"/>
  <c r="Z301" i="18"/>
  <c r="AA301" i="18"/>
  <c r="AB301" i="18"/>
  <c r="AC301" i="18"/>
  <c r="AD301" i="18"/>
  <c r="AE301" i="18"/>
  <c r="AF301" i="18"/>
  <c r="D302" i="18"/>
  <c r="E302" i="18"/>
  <c r="F302" i="18"/>
  <c r="G302" i="18"/>
  <c r="H302" i="18"/>
  <c r="I302" i="18"/>
  <c r="J302" i="18"/>
  <c r="K302" i="18"/>
  <c r="L302" i="18"/>
  <c r="M302" i="18"/>
  <c r="N302" i="18"/>
  <c r="O302" i="18"/>
  <c r="P302" i="18"/>
  <c r="Q302" i="18"/>
  <c r="R302" i="18"/>
  <c r="S302" i="18"/>
  <c r="T302" i="18"/>
  <c r="U302" i="18"/>
  <c r="V302" i="18"/>
  <c r="W302" i="18"/>
  <c r="X302" i="18"/>
  <c r="AV302" i="18" s="1"/>
  <c r="Y302" i="18"/>
  <c r="BD302" i="18" s="1"/>
  <c r="Z302" i="18"/>
  <c r="AA302" i="18"/>
  <c r="AB302" i="18"/>
  <c r="AC302" i="18"/>
  <c r="AD302" i="18"/>
  <c r="AE302" i="18"/>
  <c r="AF302" i="18"/>
  <c r="D303" i="18"/>
  <c r="E303" i="18"/>
  <c r="F303" i="18"/>
  <c r="G303" i="18"/>
  <c r="H303" i="18"/>
  <c r="I303" i="18"/>
  <c r="J303" i="18"/>
  <c r="K303" i="18"/>
  <c r="L303" i="18"/>
  <c r="M303" i="18"/>
  <c r="N303" i="18"/>
  <c r="O303" i="18"/>
  <c r="P303" i="18"/>
  <c r="Q303" i="18"/>
  <c r="R303" i="18"/>
  <c r="S303" i="18"/>
  <c r="T303" i="18"/>
  <c r="U303" i="18"/>
  <c r="V303" i="18"/>
  <c r="W303" i="18"/>
  <c r="X303" i="18"/>
  <c r="AV303" i="18" s="1"/>
  <c r="Y303" i="18"/>
  <c r="BD303" i="18" s="1"/>
  <c r="Z303" i="18"/>
  <c r="AA303" i="18"/>
  <c r="AB303" i="18"/>
  <c r="AC303" i="18"/>
  <c r="AD303" i="18"/>
  <c r="AE303" i="18"/>
  <c r="AF303" i="18"/>
  <c r="D304" i="18"/>
  <c r="E304" i="18"/>
  <c r="F304" i="18"/>
  <c r="G304" i="18"/>
  <c r="H304" i="18"/>
  <c r="I304" i="18"/>
  <c r="J304" i="18"/>
  <c r="K304" i="18"/>
  <c r="L304" i="18"/>
  <c r="M304" i="18"/>
  <c r="N304" i="18"/>
  <c r="O304" i="18"/>
  <c r="P304" i="18"/>
  <c r="Q304" i="18"/>
  <c r="R304" i="18"/>
  <c r="S304" i="18"/>
  <c r="T304" i="18"/>
  <c r="U304" i="18"/>
  <c r="V304" i="18"/>
  <c r="W304" i="18"/>
  <c r="X304" i="18"/>
  <c r="AV304" i="18" s="1"/>
  <c r="Y304" i="18"/>
  <c r="BD304" i="18" s="1"/>
  <c r="Z304" i="18"/>
  <c r="AA304" i="18"/>
  <c r="AB304" i="18"/>
  <c r="AC304" i="18"/>
  <c r="AD304" i="18"/>
  <c r="AE304" i="18"/>
  <c r="AF304" i="18"/>
  <c r="D305" i="18"/>
  <c r="E305" i="18"/>
  <c r="F305" i="18"/>
  <c r="G305" i="18"/>
  <c r="H305" i="18"/>
  <c r="I305" i="18"/>
  <c r="J305" i="18"/>
  <c r="K305" i="18"/>
  <c r="L305" i="18"/>
  <c r="M305" i="18"/>
  <c r="N305" i="18"/>
  <c r="O305" i="18"/>
  <c r="P305" i="18"/>
  <c r="Q305" i="18"/>
  <c r="R305" i="18"/>
  <c r="S305" i="18"/>
  <c r="T305" i="18"/>
  <c r="U305" i="18"/>
  <c r="V305" i="18"/>
  <c r="W305" i="18"/>
  <c r="X305" i="18"/>
  <c r="AV305" i="18" s="1"/>
  <c r="Y305" i="18"/>
  <c r="BD305" i="18" s="1"/>
  <c r="Z305" i="18"/>
  <c r="AA305" i="18"/>
  <c r="AB305" i="18"/>
  <c r="AC305" i="18"/>
  <c r="AD305" i="18"/>
  <c r="AE305" i="18"/>
  <c r="AF305" i="18"/>
  <c r="D306" i="18"/>
  <c r="E306" i="18"/>
  <c r="F306" i="18"/>
  <c r="G306" i="18"/>
  <c r="H306" i="18"/>
  <c r="I306" i="18"/>
  <c r="J306" i="18"/>
  <c r="K306" i="18"/>
  <c r="L306" i="18"/>
  <c r="M306" i="18"/>
  <c r="N306" i="18"/>
  <c r="O306" i="18"/>
  <c r="P306" i="18"/>
  <c r="Q306" i="18"/>
  <c r="R306" i="18"/>
  <c r="S306" i="18"/>
  <c r="T306" i="18"/>
  <c r="U306" i="18"/>
  <c r="V306" i="18"/>
  <c r="W306" i="18"/>
  <c r="X306" i="18"/>
  <c r="AV306" i="18" s="1"/>
  <c r="Y306" i="18"/>
  <c r="BD306" i="18" s="1"/>
  <c r="Z306" i="18"/>
  <c r="AA306" i="18"/>
  <c r="AB306" i="18"/>
  <c r="AC306" i="18"/>
  <c r="AD306" i="18"/>
  <c r="AE306" i="18"/>
  <c r="AF306" i="18"/>
  <c r="D307" i="18"/>
  <c r="E307" i="18"/>
  <c r="F307" i="18"/>
  <c r="G307" i="18"/>
  <c r="H307" i="18"/>
  <c r="I307" i="18"/>
  <c r="J307" i="18"/>
  <c r="K307" i="18"/>
  <c r="L307" i="18"/>
  <c r="M307" i="18"/>
  <c r="N307" i="18"/>
  <c r="O307" i="18"/>
  <c r="P307" i="18"/>
  <c r="Q307" i="18"/>
  <c r="R307" i="18"/>
  <c r="S307" i="18"/>
  <c r="T307" i="18"/>
  <c r="U307" i="18"/>
  <c r="V307" i="18"/>
  <c r="W307" i="18"/>
  <c r="X307" i="18"/>
  <c r="AV307" i="18" s="1"/>
  <c r="Y307" i="18"/>
  <c r="BD307" i="18" s="1"/>
  <c r="Z307" i="18"/>
  <c r="AA307" i="18"/>
  <c r="AB307" i="18"/>
  <c r="AC307" i="18"/>
  <c r="AD307" i="18"/>
  <c r="AE307" i="18"/>
  <c r="AF307" i="18"/>
  <c r="D308" i="18"/>
  <c r="E308" i="18"/>
  <c r="F308" i="18"/>
  <c r="G308" i="18"/>
  <c r="H308" i="18"/>
  <c r="I308" i="18"/>
  <c r="J308" i="18"/>
  <c r="K308" i="18"/>
  <c r="L308" i="18"/>
  <c r="M308" i="18"/>
  <c r="N308" i="18"/>
  <c r="O308" i="18"/>
  <c r="P308" i="18"/>
  <c r="Q308" i="18"/>
  <c r="R308" i="18"/>
  <c r="S308" i="18"/>
  <c r="T308" i="18"/>
  <c r="U308" i="18"/>
  <c r="V308" i="18"/>
  <c r="W308" i="18"/>
  <c r="X308" i="18"/>
  <c r="AV308" i="18" s="1"/>
  <c r="Y308" i="18"/>
  <c r="BD308" i="18" s="1"/>
  <c r="Z308" i="18"/>
  <c r="AA308" i="18"/>
  <c r="AB308" i="18"/>
  <c r="AC308" i="18"/>
  <c r="AD308" i="18"/>
  <c r="AE308" i="18"/>
  <c r="AF308" i="18"/>
  <c r="D309" i="18"/>
  <c r="E309" i="18"/>
  <c r="F309" i="18"/>
  <c r="G309" i="18"/>
  <c r="H309" i="18"/>
  <c r="I309" i="18"/>
  <c r="J309" i="18"/>
  <c r="K309" i="18"/>
  <c r="L309" i="18"/>
  <c r="M309" i="18"/>
  <c r="N309" i="18"/>
  <c r="O309" i="18"/>
  <c r="P309" i="18"/>
  <c r="Q309" i="18"/>
  <c r="R309" i="18"/>
  <c r="S309" i="18"/>
  <c r="T309" i="18"/>
  <c r="U309" i="18"/>
  <c r="V309" i="18"/>
  <c r="W309" i="18"/>
  <c r="X309" i="18"/>
  <c r="AV309" i="18" s="1"/>
  <c r="Y309" i="18"/>
  <c r="BD309" i="18" s="1"/>
  <c r="Z309" i="18"/>
  <c r="AA309" i="18"/>
  <c r="AB309" i="18"/>
  <c r="AC309" i="18"/>
  <c r="AD309" i="18"/>
  <c r="AE309" i="18"/>
  <c r="AF309" i="18"/>
  <c r="D310" i="18"/>
  <c r="E310" i="18"/>
  <c r="F310" i="18"/>
  <c r="G310" i="18"/>
  <c r="H310" i="18"/>
  <c r="I310" i="18"/>
  <c r="J310" i="18"/>
  <c r="K310" i="18"/>
  <c r="L310" i="18"/>
  <c r="M310" i="18"/>
  <c r="N310" i="18"/>
  <c r="O310" i="18"/>
  <c r="P310" i="18"/>
  <c r="Q310" i="18"/>
  <c r="R310" i="18"/>
  <c r="S310" i="18"/>
  <c r="T310" i="18"/>
  <c r="U310" i="18"/>
  <c r="V310" i="18"/>
  <c r="W310" i="18"/>
  <c r="X310" i="18"/>
  <c r="AV310" i="18" s="1"/>
  <c r="Y310" i="18"/>
  <c r="BD310" i="18" s="1"/>
  <c r="Z310" i="18"/>
  <c r="AA310" i="18"/>
  <c r="AB310" i="18"/>
  <c r="AC310" i="18"/>
  <c r="AD310" i="18"/>
  <c r="AE310" i="18"/>
  <c r="AF310" i="18"/>
  <c r="D311" i="18"/>
  <c r="E311" i="18"/>
  <c r="F311" i="18"/>
  <c r="G311" i="18"/>
  <c r="H311" i="18"/>
  <c r="I311" i="18"/>
  <c r="J311" i="18"/>
  <c r="K311" i="18"/>
  <c r="L311" i="18"/>
  <c r="M311" i="18"/>
  <c r="N311" i="18"/>
  <c r="O311" i="18"/>
  <c r="P311" i="18"/>
  <c r="Q311" i="18"/>
  <c r="R311" i="18"/>
  <c r="S311" i="18"/>
  <c r="T311" i="18"/>
  <c r="U311" i="18"/>
  <c r="V311" i="18"/>
  <c r="W311" i="18"/>
  <c r="X311" i="18"/>
  <c r="AV311" i="18" s="1"/>
  <c r="Y311" i="18"/>
  <c r="BD311" i="18" s="1"/>
  <c r="Z311" i="18"/>
  <c r="AA311" i="18"/>
  <c r="AB311" i="18"/>
  <c r="AC311" i="18"/>
  <c r="AD311" i="18"/>
  <c r="AE311" i="18"/>
  <c r="AF311" i="18"/>
  <c r="D312" i="18"/>
  <c r="E312" i="18"/>
  <c r="F312" i="18"/>
  <c r="G312" i="18"/>
  <c r="H312" i="18"/>
  <c r="I312" i="18"/>
  <c r="J312" i="18"/>
  <c r="K312" i="18"/>
  <c r="L312" i="18"/>
  <c r="M312" i="18"/>
  <c r="N312" i="18"/>
  <c r="O312" i="18"/>
  <c r="P312" i="18"/>
  <c r="Q312" i="18"/>
  <c r="R312" i="18"/>
  <c r="S312" i="18"/>
  <c r="T312" i="18"/>
  <c r="U312" i="18"/>
  <c r="V312" i="18"/>
  <c r="W312" i="18"/>
  <c r="X312" i="18"/>
  <c r="AV312" i="18" s="1"/>
  <c r="Y312" i="18"/>
  <c r="BD312" i="18" s="1"/>
  <c r="Z312" i="18"/>
  <c r="AA312" i="18"/>
  <c r="AB312" i="18"/>
  <c r="AC312" i="18"/>
  <c r="AD312" i="18"/>
  <c r="AE312" i="18"/>
  <c r="AF312" i="18"/>
  <c r="D313" i="18"/>
  <c r="E313" i="18"/>
  <c r="F313" i="18"/>
  <c r="G313" i="18"/>
  <c r="H313" i="18"/>
  <c r="I313" i="18"/>
  <c r="J313" i="18"/>
  <c r="K313" i="18"/>
  <c r="L313" i="18"/>
  <c r="M313" i="18"/>
  <c r="N313" i="18"/>
  <c r="O313" i="18"/>
  <c r="P313" i="18"/>
  <c r="Q313" i="18"/>
  <c r="R313" i="18"/>
  <c r="S313" i="18"/>
  <c r="T313" i="18"/>
  <c r="U313" i="18"/>
  <c r="V313" i="18"/>
  <c r="W313" i="18"/>
  <c r="X313" i="18"/>
  <c r="AV313" i="18" s="1"/>
  <c r="Y313" i="18"/>
  <c r="BD313" i="18" s="1"/>
  <c r="Z313" i="18"/>
  <c r="AA313" i="18"/>
  <c r="AB313" i="18"/>
  <c r="AC313" i="18"/>
  <c r="AD313" i="18"/>
  <c r="AE313" i="18"/>
  <c r="AF313" i="18"/>
  <c r="D314" i="18"/>
  <c r="E314" i="18"/>
  <c r="F314" i="18"/>
  <c r="G314" i="18"/>
  <c r="H314" i="18"/>
  <c r="I314" i="18"/>
  <c r="J314" i="18"/>
  <c r="K314" i="18"/>
  <c r="L314" i="18"/>
  <c r="M314" i="18"/>
  <c r="N314" i="18"/>
  <c r="O314" i="18"/>
  <c r="P314" i="18"/>
  <c r="Q314" i="18"/>
  <c r="R314" i="18"/>
  <c r="S314" i="18"/>
  <c r="T314" i="18"/>
  <c r="U314" i="18"/>
  <c r="V314" i="18"/>
  <c r="W314" i="18"/>
  <c r="X314" i="18"/>
  <c r="AV314" i="18" s="1"/>
  <c r="Y314" i="18"/>
  <c r="BD314" i="18" s="1"/>
  <c r="Z314" i="18"/>
  <c r="AA314" i="18"/>
  <c r="AB314" i="18"/>
  <c r="AC314" i="18"/>
  <c r="AD314" i="18"/>
  <c r="AE314" i="18"/>
  <c r="AF314" i="18"/>
  <c r="D315" i="18"/>
  <c r="E315" i="18"/>
  <c r="F315" i="18"/>
  <c r="G315" i="18"/>
  <c r="H315" i="18"/>
  <c r="I315" i="18"/>
  <c r="J315" i="18"/>
  <c r="K315" i="18"/>
  <c r="L315" i="18"/>
  <c r="M315" i="18"/>
  <c r="N315" i="18"/>
  <c r="O315" i="18"/>
  <c r="P315" i="18"/>
  <c r="Q315" i="18"/>
  <c r="R315" i="18"/>
  <c r="S315" i="18"/>
  <c r="T315" i="18"/>
  <c r="U315" i="18"/>
  <c r="V315" i="18"/>
  <c r="W315" i="18"/>
  <c r="X315" i="18"/>
  <c r="AV315" i="18" s="1"/>
  <c r="Y315" i="18"/>
  <c r="BD315" i="18" s="1"/>
  <c r="Z315" i="18"/>
  <c r="AA315" i="18"/>
  <c r="AB315" i="18"/>
  <c r="AC315" i="18"/>
  <c r="AD315" i="18"/>
  <c r="AE315" i="18"/>
  <c r="AF315" i="18"/>
  <c r="D316" i="18"/>
  <c r="E316" i="18"/>
  <c r="F316" i="18"/>
  <c r="G316" i="18"/>
  <c r="H316" i="18"/>
  <c r="I316" i="18"/>
  <c r="J316" i="18"/>
  <c r="K316" i="18"/>
  <c r="L316" i="18"/>
  <c r="M316" i="18"/>
  <c r="N316" i="18"/>
  <c r="O316" i="18"/>
  <c r="P316" i="18"/>
  <c r="Q316" i="18"/>
  <c r="R316" i="18"/>
  <c r="S316" i="18"/>
  <c r="T316" i="18"/>
  <c r="U316" i="18"/>
  <c r="V316" i="18"/>
  <c r="W316" i="18"/>
  <c r="X316" i="18"/>
  <c r="AV316" i="18" s="1"/>
  <c r="Y316" i="18"/>
  <c r="BD316" i="18" s="1"/>
  <c r="Z316" i="18"/>
  <c r="AA316" i="18"/>
  <c r="AB316" i="18"/>
  <c r="AC316" i="18"/>
  <c r="AD316" i="18"/>
  <c r="AE316" i="18"/>
  <c r="AF316" i="18"/>
  <c r="D317" i="18"/>
  <c r="E317" i="18"/>
  <c r="F317" i="18"/>
  <c r="G317" i="18"/>
  <c r="H317" i="18"/>
  <c r="I317" i="18"/>
  <c r="J317" i="18"/>
  <c r="K317" i="18"/>
  <c r="L317" i="18"/>
  <c r="M317" i="18"/>
  <c r="N317" i="18"/>
  <c r="O317" i="18"/>
  <c r="P317" i="18"/>
  <c r="Q317" i="18"/>
  <c r="R317" i="18"/>
  <c r="S317" i="18"/>
  <c r="T317" i="18"/>
  <c r="U317" i="18"/>
  <c r="V317" i="18"/>
  <c r="W317" i="18"/>
  <c r="X317" i="18"/>
  <c r="AV317" i="18" s="1"/>
  <c r="Y317" i="18"/>
  <c r="BD317" i="18" s="1"/>
  <c r="Z317" i="18"/>
  <c r="AA317" i="18"/>
  <c r="AB317" i="18"/>
  <c r="AC317" i="18"/>
  <c r="AD317" i="18"/>
  <c r="AE317" i="18"/>
  <c r="AF317" i="18"/>
  <c r="D318" i="18"/>
  <c r="E318" i="18"/>
  <c r="F318" i="18"/>
  <c r="G318" i="18"/>
  <c r="H318" i="18"/>
  <c r="I318" i="18"/>
  <c r="J318" i="18"/>
  <c r="K318" i="18"/>
  <c r="L318" i="18"/>
  <c r="M318" i="18"/>
  <c r="N318" i="18"/>
  <c r="O318" i="18"/>
  <c r="P318" i="18"/>
  <c r="Q318" i="18"/>
  <c r="R318" i="18"/>
  <c r="S318" i="18"/>
  <c r="T318" i="18"/>
  <c r="U318" i="18"/>
  <c r="V318" i="18"/>
  <c r="W318" i="18"/>
  <c r="X318" i="18"/>
  <c r="AV318" i="18" s="1"/>
  <c r="Y318" i="18"/>
  <c r="BD318" i="18" s="1"/>
  <c r="Z318" i="18"/>
  <c r="AA318" i="18"/>
  <c r="AB318" i="18"/>
  <c r="AC318" i="18"/>
  <c r="AD318" i="18"/>
  <c r="AE318" i="18"/>
  <c r="AF318" i="18"/>
  <c r="D319" i="18"/>
  <c r="E319" i="18"/>
  <c r="F319" i="18"/>
  <c r="G319" i="18"/>
  <c r="H319" i="18"/>
  <c r="I319" i="18"/>
  <c r="J319" i="18"/>
  <c r="K319" i="18"/>
  <c r="L319" i="18"/>
  <c r="M319" i="18"/>
  <c r="N319" i="18"/>
  <c r="O319" i="18"/>
  <c r="P319" i="18"/>
  <c r="Q319" i="18"/>
  <c r="R319" i="18"/>
  <c r="S319" i="18"/>
  <c r="T319" i="18"/>
  <c r="U319" i="18"/>
  <c r="V319" i="18"/>
  <c r="W319" i="18"/>
  <c r="X319" i="18"/>
  <c r="AV319" i="18" s="1"/>
  <c r="Y319" i="18"/>
  <c r="BD319" i="18" s="1"/>
  <c r="Z319" i="18"/>
  <c r="AA319" i="18"/>
  <c r="AB319" i="18"/>
  <c r="AC319" i="18"/>
  <c r="AD319" i="18"/>
  <c r="AE319" i="18"/>
  <c r="AF319" i="18"/>
  <c r="D320" i="18"/>
  <c r="E320" i="18"/>
  <c r="F320" i="18"/>
  <c r="G320" i="18"/>
  <c r="H320" i="18"/>
  <c r="I320" i="18"/>
  <c r="J320" i="18"/>
  <c r="K320" i="18"/>
  <c r="L320" i="18"/>
  <c r="M320" i="18"/>
  <c r="N320" i="18"/>
  <c r="O320" i="18"/>
  <c r="P320" i="18"/>
  <c r="Q320" i="18"/>
  <c r="R320" i="18"/>
  <c r="S320" i="18"/>
  <c r="T320" i="18"/>
  <c r="U320" i="18"/>
  <c r="V320" i="18"/>
  <c r="W320" i="18"/>
  <c r="X320" i="18"/>
  <c r="AV320" i="18" s="1"/>
  <c r="Y320" i="18"/>
  <c r="BD320" i="18" s="1"/>
  <c r="Z320" i="18"/>
  <c r="AA320" i="18"/>
  <c r="AB320" i="18"/>
  <c r="AC320" i="18"/>
  <c r="AD320" i="18"/>
  <c r="AE320" i="18"/>
  <c r="AF320" i="18"/>
  <c r="D321" i="18"/>
  <c r="E321" i="18"/>
  <c r="F321" i="18"/>
  <c r="G321" i="18"/>
  <c r="H321" i="18"/>
  <c r="I321" i="18"/>
  <c r="J321" i="18"/>
  <c r="K321" i="18"/>
  <c r="L321" i="18"/>
  <c r="M321" i="18"/>
  <c r="N321" i="18"/>
  <c r="O321" i="18"/>
  <c r="P321" i="18"/>
  <c r="Q321" i="18"/>
  <c r="R321" i="18"/>
  <c r="S321" i="18"/>
  <c r="T321" i="18"/>
  <c r="U321" i="18"/>
  <c r="V321" i="18"/>
  <c r="W321" i="18"/>
  <c r="X321" i="18"/>
  <c r="AV321" i="18" s="1"/>
  <c r="Y321" i="18"/>
  <c r="BD321" i="18" s="1"/>
  <c r="Z321" i="18"/>
  <c r="AA321" i="18"/>
  <c r="AB321" i="18"/>
  <c r="AC321" i="18"/>
  <c r="AD321" i="18"/>
  <c r="AE321" i="18"/>
  <c r="AF321" i="18"/>
  <c r="D322" i="18"/>
  <c r="E322" i="18"/>
  <c r="F322" i="18"/>
  <c r="G322" i="18"/>
  <c r="H322" i="18"/>
  <c r="I322" i="18"/>
  <c r="J322" i="18"/>
  <c r="K322" i="18"/>
  <c r="L322" i="18"/>
  <c r="M322" i="18"/>
  <c r="N322" i="18"/>
  <c r="O322" i="18"/>
  <c r="P322" i="18"/>
  <c r="Q322" i="18"/>
  <c r="R322" i="18"/>
  <c r="S322" i="18"/>
  <c r="T322" i="18"/>
  <c r="U322" i="18"/>
  <c r="V322" i="18"/>
  <c r="W322" i="18"/>
  <c r="X322" i="18"/>
  <c r="AV322" i="18" s="1"/>
  <c r="Y322" i="18"/>
  <c r="BD322" i="18" s="1"/>
  <c r="Z322" i="18"/>
  <c r="AA322" i="18"/>
  <c r="AB322" i="18"/>
  <c r="AC322" i="18"/>
  <c r="AD322" i="18"/>
  <c r="AE322" i="18"/>
  <c r="AF322" i="18"/>
  <c r="D323" i="18"/>
  <c r="E323" i="18"/>
  <c r="F323" i="18"/>
  <c r="G323" i="18"/>
  <c r="H323" i="18"/>
  <c r="I323" i="18"/>
  <c r="J323" i="18"/>
  <c r="K323" i="18"/>
  <c r="L323" i="18"/>
  <c r="M323" i="18"/>
  <c r="N323" i="18"/>
  <c r="O323" i="18"/>
  <c r="P323" i="18"/>
  <c r="Q323" i="18"/>
  <c r="R323" i="18"/>
  <c r="S323" i="18"/>
  <c r="T323" i="18"/>
  <c r="U323" i="18"/>
  <c r="V323" i="18"/>
  <c r="W323" i="18"/>
  <c r="X323" i="18"/>
  <c r="AV323" i="18" s="1"/>
  <c r="Y323" i="18"/>
  <c r="BD323" i="18" s="1"/>
  <c r="Z323" i="18"/>
  <c r="AA323" i="18"/>
  <c r="AB323" i="18"/>
  <c r="AC323" i="18"/>
  <c r="AD323" i="18"/>
  <c r="AE323" i="18"/>
  <c r="AF323" i="18"/>
  <c r="D324" i="18"/>
  <c r="E324" i="18"/>
  <c r="F324" i="18"/>
  <c r="G324" i="18"/>
  <c r="H324" i="18"/>
  <c r="I324" i="18"/>
  <c r="J324" i="18"/>
  <c r="K324" i="18"/>
  <c r="L324" i="18"/>
  <c r="M324" i="18"/>
  <c r="N324" i="18"/>
  <c r="O324" i="18"/>
  <c r="P324" i="18"/>
  <c r="Q324" i="18"/>
  <c r="R324" i="18"/>
  <c r="S324" i="18"/>
  <c r="T324" i="18"/>
  <c r="U324" i="18"/>
  <c r="V324" i="18"/>
  <c r="W324" i="18"/>
  <c r="X324" i="18"/>
  <c r="AV324" i="18" s="1"/>
  <c r="Y324" i="18"/>
  <c r="BD324" i="18" s="1"/>
  <c r="Z324" i="18"/>
  <c r="AA324" i="18"/>
  <c r="AB324" i="18"/>
  <c r="AC324" i="18"/>
  <c r="AD324" i="18"/>
  <c r="AE324" i="18"/>
  <c r="AF324" i="18"/>
  <c r="D325" i="18"/>
  <c r="E325" i="18"/>
  <c r="F325" i="18"/>
  <c r="G325" i="18"/>
  <c r="H325" i="18"/>
  <c r="I325" i="18"/>
  <c r="J325" i="18"/>
  <c r="K325" i="18"/>
  <c r="L325" i="18"/>
  <c r="M325" i="18"/>
  <c r="N325" i="18"/>
  <c r="O325" i="18"/>
  <c r="P325" i="18"/>
  <c r="Q325" i="18"/>
  <c r="R325" i="18"/>
  <c r="S325" i="18"/>
  <c r="T325" i="18"/>
  <c r="U325" i="18"/>
  <c r="V325" i="18"/>
  <c r="W325" i="18"/>
  <c r="X325" i="18"/>
  <c r="AV325" i="18" s="1"/>
  <c r="Y325" i="18"/>
  <c r="BD325" i="18" s="1"/>
  <c r="Z325" i="18"/>
  <c r="AA325" i="18"/>
  <c r="AB325" i="18"/>
  <c r="AC325" i="18"/>
  <c r="AD325" i="18"/>
  <c r="AE325" i="18"/>
  <c r="AF325" i="18"/>
  <c r="D326" i="18"/>
  <c r="E326" i="18"/>
  <c r="F326" i="18"/>
  <c r="G326" i="18"/>
  <c r="H326" i="18"/>
  <c r="I326" i="18"/>
  <c r="J326" i="18"/>
  <c r="K326" i="18"/>
  <c r="L326" i="18"/>
  <c r="M326" i="18"/>
  <c r="N326" i="18"/>
  <c r="O326" i="18"/>
  <c r="P326" i="18"/>
  <c r="Q326" i="18"/>
  <c r="R326" i="18"/>
  <c r="S326" i="18"/>
  <c r="T326" i="18"/>
  <c r="U326" i="18"/>
  <c r="V326" i="18"/>
  <c r="W326" i="18"/>
  <c r="X326" i="18"/>
  <c r="AV326" i="18" s="1"/>
  <c r="Y326" i="18"/>
  <c r="BD326" i="18" s="1"/>
  <c r="Z326" i="18"/>
  <c r="AA326" i="18"/>
  <c r="AB326" i="18"/>
  <c r="AC326" i="18"/>
  <c r="AD326" i="18"/>
  <c r="AE326" i="18"/>
  <c r="AF326" i="18"/>
  <c r="D327" i="18"/>
  <c r="E327" i="18"/>
  <c r="F327" i="18"/>
  <c r="G327" i="18"/>
  <c r="H327" i="18"/>
  <c r="I327" i="18"/>
  <c r="J327" i="18"/>
  <c r="K327" i="18"/>
  <c r="L327" i="18"/>
  <c r="M327" i="18"/>
  <c r="N327" i="18"/>
  <c r="O327" i="18"/>
  <c r="P327" i="18"/>
  <c r="Q327" i="18"/>
  <c r="R327" i="18"/>
  <c r="S327" i="18"/>
  <c r="T327" i="18"/>
  <c r="U327" i="18"/>
  <c r="V327" i="18"/>
  <c r="W327" i="18"/>
  <c r="X327" i="18"/>
  <c r="AV327" i="18" s="1"/>
  <c r="Y327" i="18"/>
  <c r="BD327" i="18" s="1"/>
  <c r="Z327" i="18"/>
  <c r="AA327" i="18"/>
  <c r="AB327" i="18"/>
  <c r="AC327" i="18"/>
  <c r="AD327" i="18"/>
  <c r="AE327" i="18"/>
  <c r="AF327" i="18"/>
  <c r="D328" i="18"/>
  <c r="E328" i="18"/>
  <c r="F328" i="18"/>
  <c r="G328" i="18"/>
  <c r="H328" i="18"/>
  <c r="I328" i="18"/>
  <c r="J328" i="18"/>
  <c r="K328" i="18"/>
  <c r="L328" i="18"/>
  <c r="M328" i="18"/>
  <c r="N328" i="18"/>
  <c r="O328" i="18"/>
  <c r="P328" i="18"/>
  <c r="Q328" i="18"/>
  <c r="R328" i="18"/>
  <c r="S328" i="18"/>
  <c r="T328" i="18"/>
  <c r="U328" i="18"/>
  <c r="V328" i="18"/>
  <c r="W328" i="18"/>
  <c r="X328" i="18"/>
  <c r="AV328" i="18" s="1"/>
  <c r="Y328" i="18"/>
  <c r="BD328" i="18" s="1"/>
  <c r="Z328" i="18"/>
  <c r="AA328" i="18"/>
  <c r="AB328" i="18"/>
  <c r="AC328" i="18"/>
  <c r="AD328" i="18"/>
  <c r="AE328" i="18"/>
  <c r="AF328" i="18"/>
  <c r="D329" i="18"/>
  <c r="E329" i="18"/>
  <c r="F329" i="18"/>
  <c r="G329" i="18"/>
  <c r="H329" i="18"/>
  <c r="I329" i="18"/>
  <c r="J329" i="18"/>
  <c r="K329" i="18"/>
  <c r="L329" i="18"/>
  <c r="M329" i="18"/>
  <c r="N329" i="18"/>
  <c r="O329" i="18"/>
  <c r="P329" i="18"/>
  <c r="Q329" i="18"/>
  <c r="R329" i="18"/>
  <c r="S329" i="18"/>
  <c r="T329" i="18"/>
  <c r="U329" i="18"/>
  <c r="V329" i="18"/>
  <c r="W329" i="18"/>
  <c r="X329" i="18"/>
  <c r="AV329" i="18" s="1"/>
  <c r="Y329" i="18"/>
  <c r="BD329" i="18" s="1"/>
  <c r="Z329" i="18"/>
  <c r="AA329" i="18"/>
  <c r="AB329" i="18"/>
  <c r="AC329" i="18"/>
  <c r="AD329" i="18"/>
  <c r="AE329" i="18"/>
  <c r="AF329" i="18"/>
  <c r="D330" i="18"/>
  <c r="E330" i="18"/>
  <c r="F330" i="18"/>
  <c r="G330" i="18"/>
  <c r="H330" i="18"/>
  <c r="I330" i="18"/>
  <c r="J330" i="18"/>
  <c r="K330" i="18"/>
  <c r="L330" i="18"/>
  <c r="M330" i="18"/>
  <c r="N330" i="18"/>
  <c r="O330" i="18"/>
  <c r="P330" i="18"/>
  <c r="Q330" i="18"/>
  <c r="R330" i="18"/>
  <c r="S330" i="18"/>
  <c r="T330" i="18"/>
  <c r="U330" i="18"/>
  <c r="V330" i="18"/>
  <c r="W330" i="18"/>
  <c r="X330" i="18"/>
  <c r="AV330" i="18" s="1"/>
  <c r="Y330" i="18"/>
  <c r="BD330" i="18" s="1"/>
  <c r="Z330" i="18"/>
  <c r="AA330" i="18"/>
  <c r="AB330" i="18"/>
  <c r="AC330" i="18"/>
  <c r="AD330" i="18"/>
  <c r="AE330" i="18"/>
  <c r="AF330" i="18"/>
  <c r="D331" i="18"/>
  <c r="E331" i="18"/>
  <c r="F331" i="18"/>
  <c r="G331" i="18"/>
  <c r="H331" i="18"/>
  <c r="I331" i="18"/>
  <c r="J331" i="18"/>
  <c r="K331" i="18"/>
  <c r="L331" i="18"/>
  <c r="M331" i="18"/>
  <c r="N331" i="18"/>
  <c r="O331" i="18"/>
  <c r="P331" i="18"/>
  <c r="Q331" i="18"/>
  <c r="R331" i="18"/>
  <c r="S331" i="18"/>
  <c r="T331" i="18"/>
  <c r="U331" i="18"/>
  <c r="V331" i="18"/>
  <c r="W331" i="18"/>
  <c r="X331" i="18"/>
  <c r="AV331" i="18" s="1"/>
  <c r="Y331" i="18"/>
  <c r="BD331" i="18" s="1"/>
  <c r="Z331" i="18"/>
  <c r="AA331" i="18"/>
  <c r="AB331" i="18"/>
  <c r="AC331" i="18"/>
  <c r="AD331" i="18"/>
  <c r="AE331" i="18"/>
  <c r="AF331" i="18"/>
  <c r="D332" i="18"/>
  <c r="E332" i="18"/>
  <c r="F332" i="18"/>
  <c r="G332" i="18"/>
  <c r="H332" i="18"/>
  <c r="I332" i="18"/>
  <c r="J332" i="18"/>
  <c r="K332" i="18"/>
  <c r="L332" i="18"/>
  <c r="M332" i="18"/>
  <c r="N332" i="18"/>
  <c r="O332" i="18"/>
  <c r="P332" i="18"/>
  <c r="Q332" i="18"/>
  <c r="R332" i="18"/>
  <c r="S332" i="18"/>
  <c r="T332" i="18"/>
  <c r="U332" i="18"/>
  <c r="V332" i="18"/>
  <c r="W332" i="18"/>
  <c r="X332" i="18"/>
  <c r="AV332" i="18" s="1"/>
  <c r="Y332" i="18"/>
  <c r="BD332" i="18" s="1"/>
  <c r="Z332" i="18"/>
  <c r="AA332" i="18"/>
  <c r="AB332" i="18"/>
  <c r="AC332" i="18"/>
  <c r="AD332" i="18"/>
  <c r="AE332" i="18"/>
  <c r="AF332" i="18"/>
  <c r="D333" i="18"/>
  <c r="E333" i="18"/>
  <c r="F333" i="18"/>
  <c r="G333" i="18"/>
  <c r="H333" i="18"/>
  <c r="I333" i="18"/>
  <c r="J333" i="18"/>
  <c r="K333" i="18"/>
  <c r="L333" i="18"/>
  <c r="M333" i="18"/>
  <c r="N333" i="18"/>
  <c r="O333" i="18"/>
  <c r="P333" i="18"/>
  <c r="Q333" i="18"/>
  <c r="R333" i="18"/>
  <c r="S333" i="18"/>
  <c r="T333" i="18"/>
  <c r="U333" i="18"/>
  <c r="V333" i="18"/>
  <c r="W333" i="18"/>
  <c r="X333" i="18"/>
  <c r="AV333" i="18" s="1"/>
  <c r="Y333" i="18"/>
  <c r="BD333" i="18" s="1"/>
  <c r="Z333" i="18"/>
  <c r="AA333" i="18"/>
  <c r="AB333" i="18"/>
  <c r="AC333" i="18"/>
  <c r="AD333" i="18"/>
  <c r="AE333" i="18"/>
  <c r="AF333" i="18"/>
  <c r="D334" i="18"/>
  <c r="E334" i="18"/>
  <c r="F334" i="18"/>
  <c r="G334" i="18"/>
  <c r="H334" i="18"/>
  <c r="I334" i="18"/>
  <c r="J334" i="18"/>
  <c r="K334" i="18"/>
  <c r="L334" i="18"/>
  <c r="M334" i="18"/>
  <c r="N334" i="18"/>
  <c r="O334" i="18"/>
  <c r="P334" i="18"/>
  <c r="Q334" i="18"/>
  <c r="R334" i="18"/>
  <c r="S334" i="18"/>
  <c r="T334" i="18"/>
  <c r="U334" i="18"/>
  <c r="V334" i="18"/>
  <c r="W334" i="18"/>
  <c r="X334" i="18"/>
  <c r="AV334" i="18" s="1"/>
  <c r="Y334" i="18"/>
  <c r="BD334" i="18" s="1"/>
  <c r="Z334" i="18"/>
  <c r="AA334" i="18"/>
  <c r="AB334" i="18"/>
  <c r="AC334" i="18"/>
  <c r="AD334" i="18"/>
  <c r="AE334" i="18"/>
  <c r="AF334" i="18"/>
  <c r="D336" i="18"/>
  <c r="E336" i="18"/>
  <c r="F336" i="18"/>
  <c r="G336" i="18"/>
  <c r="H336" i="18"/>
  <c r="I336" i="18"/>
  <c r="J336" i="18"/>
  <c r="K336" i="18"/>
  <c r="L336" i="18"/>
  <c r="M336" i="18"/>
  <c r="N336" i="18"/>
  <c r="O336" i="18"/>
  <c r="P336" i="18"/>
  <c r="Q336" i="18"/>
  <c r="R336" i="18"/>
  <c r="S336" i="18"/>
  <c r="T336" i="18"/>
  <c r="U336" i="18"/>
  <c r="V336" i="18"/>
  <c r="W336" i="18"/>
  <c r="X336" i="18"/>
  <c r="AV336" i="18" s="1"/>
  <c r="Y336" i="18"/>
  <c r="BD336" i="18" s="1"/>
  <c r="Z336" i="18"/>
  <c r="AA336" i="18"/>
  <c r="AB336" i="18"/>
  <c r="AC336" i="18"/>
  <c r="AD336" i="18"/>
  <c r="AE336" i="18"/>
  <c r="AF336" i="18"/>
  <c r="D337" i="18"/>
  <c r="E337" i="18"/>
  <c r="F337" i="18"/>
  <c r="G337" i="18"/>
  <c r="H337" i="18"/>
  <c r="I337" i="18"/>
  <c r="J337" i="18"/>
  <c r="K337" i="18"/>
  <c r="L337" i="18"/>
  <c r="M337" i="18"/>
  <c r="N337" i="18"/>
  <c r="O337" i="18"/>
  <c r="P337" i="18"/>
  <c r="Q337" i="18"/>
  <c r="R337" i="18"/>
  <c r="S337" i="18"/>
  <c r="T337" i="18"/>
  <c r="U337" i="18"/>
  <c r="V337" i="18"/>
  <c r="W337" i="18"/>
  <c r="X337" i="18"/>
  <c r="AV337" i="18" s="1"/>
  <c r="Y337" i="18"/>
  <c r="BD337" i="18" s="1"/>
  <c r="Z337" i="18"/>
  <c r="AA337" i="18"/>
  <c r="AB337" i="18"/>
  <c r="AC337" i="18"/>
  <c r="AD337" i="18"/>
  <c r="AE337" i="18"/>
  <c r="AF337" i="18"/>
  <c r="D338" i="18"/>
  <c r="E338" i="18"/>
  <c r="F338" i="18"/>
  <c r="G338" i="18"/>
  <c r="H338" i="18"/>
  <c r="I338" i="18"/>
  <c r="J338" i="18"/>
  <c r="K338" i="18"/>
  <c r="L338" i="18"/>
  <c r="M338" i="18"/>
  <c r="N338" i="18"/>
  <c r="O338" i="18"/>
  <c r="P338" i="18"/>
  <c r="Q338" i="18"/>
  <c r="R338" i="18"/>
  <c r="S338" i="18"/>
  <c r="T338" i="18"/>
  <c r="U338" i="18"/>
  <c r="V338" i="18"/>
  <c r="W338" i="18"/>
  <c r="X338" i="18"/>
  <c r="AV338" i="18" s="1"/>
  <c r="Y338" i="18"/>
  <c r="BD338" i="18" s="1"/>
  <c r="Z338" i="18"/>
  <c r="AA338" i="18"/>
  <c r="AB338" i="18"/>
  <c r="AC338" i="18"/>
  <c r="AD338" i="18"/>
  <c r="AE338" i="18"/>
  <c r="AF338" i="18"/>
  <c r="D339" i="18"/>
  <c r="E339" i="18"/>
  <c r="F339" i="18"/>
  <c r="G339" i="18"/>
  <c r="H339" i="18"/>
  <c r="I339" i="18"/>
  <c r="J339" i="18"/>
  <c r="K339" i="18"/>
  <c r="L339" i="18"/>
  <c r="M339" i="18"/>
  <c r="N339" i="18"/>
  <c r="O339" i="18"/>
  <c r="P339" i="18"/>
  <c r="Q339" i="18"/>
  <c r="R339" i="18"/>
  <c r="S339" i="18"/>
  <c r="T339" i="18"/>
  <c r="U339" i="18"/>
  <c r="V339" i="18"/>
  <c r="W339" i="18"/>
  <c r="X339" i="18"/>
  <c r="AV339" i="18" s="1"/>
  <c r="Y339" i="18"/>
  <c r="BD339" i="18" s="1"/>
  <c r="Z339" i="18"/>
  <c r="AA339" i="18"/>
  <c r="AB339" i="18"/>
  <c r="AC339" i="18"/>
  <c r="AD339" i="18"/>
  <c r="AE339" i="18"/>
  <c r="AF339" i="18"/>
  <c r="D340" i="18"/>
  <c r="E340" i="18"/>
  <c r="F340" i="18"/>
  <c r="G340" i="18"/>
  <c r="H340" i="18"/>
  <c r="I340" i="18"/>
  <c r="J340" i="18"/>
  <c r="K340" i="18"/>
  <c r="L340" i="18"/>
  <c r="M340" i="18"/>
  <c r="N340" i="18"/>
  <c r="O340" i="18"/>
  <c r="P340" i="18"/>
  <c r="Q340" i="18"/>
  <c r="R340" i="18"/>
  <c r="S340" i="18"/>
  <c r="T340" i="18"/>
  <c r="U340" i="18"/>
  <c r="V340" i="18"/>
  <c r="W340" i="18"/>
  <c r="X340" i="18"/>
  <c r="AV340" i="18" s="1"/>
  <c r="Y340" i="18"/>
  <c r="BD340" i="18" s="1"/>
  <c r="Z340" i="18"/>
  <c r="AA340" i="18"/>
  <c r="AB340" i="18"/>
  <c r="AC340" i="18"/>
  <c r="AD340" i="18"/>
  <c r="AE340" i="18"/>
  <c r="AF340" i="18"/>
  <c r="D341" i="18"/>
  <c r="E341" i="18"/>
  <c r="F341" i="18"/>
  <c r="G341" i="18"/>
  <c r="H341" i="18"/>
  <c r="I341" i="18"/>
  <c r="J341" i="18"/>
  <c r="K341" i="18"/>
  <c r="L341" i="18"/>
  <c r="M341" i="18"/>
  <c r="N341" i="18"/>
  <c r="O341" i="18"/>
  <c r="P341" i="18"/>
  <c r="Q341" i="18"/>
  <c r="R341" i="18"/>
  <c r="S341" i="18"/>
  <c r="T341" i="18"/>
  <c r="U341" i="18"/>
  <c r="V341" i="18"/>
  <c r="W341" i="18"/>
  <c r="X341" i="18"/>
  <c r="AV341" i="18" s="1"/>
  <c r="Y341" i="18"/>
  <c r="BD341" i="18" s="1"/>
  <c r="Z341" i="18"/>
  <c r="AA341" i="18"/>
  <c r="AB341" i="18"/>
  <c r="AC341" i="18"/>
  <c r="AD341" i="18"/>
  <c r="AE341" i="18"/>
  <c r="AF341" i="18"/>
  <c r="D342" i="18"/>
  <c r="E342" i="18"/>
  <c r="F342" i="18"/>
  <c r="G342" i="18"/>
  <c r="H342" i="18"/>
  <c r="I342" i="18"/>
  <c r="J342" i="18"/>
  <c r="K342" i="18"/>
  <c r="L342" i="18"/>
  <c r="M342" i="18"/>
  <c r="N342" i="18"/>
  <c r="O342" i="18"/>
  <c r="P342" i="18"/>
  <c r="Q342" i="18"/>
  <c r="R342" i="18"/>
  <c r="S342" i="18"/>
  <c r="T342" i="18"/>
  <c r="U342" i="18"/>
  <c r="V342" i="18"/>
  <c r="W342" i="18"/>
  <c r="X342" i="18"/>
  <c r="AV342" i="18" s="1"/>
  <c r="Y342" i="18"/>
  <c r="BD342" i="18" s="1"/>
  <c r="Z342" i="18"/>
  <c r="AA342" i="18"/>
  <c r="AB342" i="18"/>
  <c r="AC342" i="18"/>
  <c r="AD342" i="18"/>
  <c r="AE342" i="18"/>
  <c r="AF342" i="18"/>
  <c r="D343" i="18"/>
  <c r="E343" i="18"/>
  <c r="F343" i="18"/>
  <c r="G343" i="18"/>
  <c r="H343" i="18"/>
  <c r="I343" i="18"/>
  <c r="J343" i="18"/>
  <c r="K343" i="18"/>
  <c r="L343" i="18"/>
  <c r="M343" i="18"/>
  <c r="N343" i="18"/>
  <c r="O343" i="18"/>
  <c r="P343" i="18"/>
  <c r="Q343" i="18"/>
  <c r="R343" i="18"/>
  <c r="S343" i="18"/>
  <c r="T343" i="18"/>
  <c r="U343" i="18"/>
  <c r="V343" i="18"/>
  <c r="W343" i="18"/>
  <c r="X343" i="18"/>
  <c r="AV343" i="18" s="1"/>
  <c r="Y343" i="18"/>
  <c r="BD343" i="18" s="1"/>
  <c r="Z343" i="18"/>
  <c r="AA343" i="18"/>
  <c r="AB343" i="18"/>
  <c r="AC343" i="18"/>
  <c r="AD343" i="18"/>
  <c r="AE343" i="18"/>
  <c r="AF343" i="18"/>
  <c r="D344" i="18"/>
  <c r="E344" i="18"/>
  <c r="F344" i="18"/>
  <c r="G344" i="18"/>
  <c r="H344" i="18"/>
  <c r="I344" i="18"/>
  <c r="J344" i="18"/>
  <c r="K344" i="18"/>
  <c r="L344" i="18"/>
  <c r="M344" i="18"/>
  <c r="N344" i="18"/>
  <c r="O344" i="18"/>
  <c r="P344" i="18"/>
  <c r="Q344" i="18"/>
  <c r="R344" i="18"/>
  <c r="S344" i="18"/>
  <c r="T344" i="18"/>
  <c r="U344" i="18"/>
  <c r="V344" i="18"/>
  <c r="W344" i="18"/>
  <c r="X344" i="18"/>
  <c r="AV344" i="18" s="1"/>
  <c r="Y344" i="18"/>
  <c r="BD344" i="18" s="1"/>
  <c r="Z344" i="18"/>
  <c r="AA344" i="18"/>
  <c r="AB344" i="18"/>
  <c r="AC344" i="18"/>
  <c r="AD344" i="18"/>
  <c r="AE344" i="18"/>
  <c r="AF344" i="18"/>
  <c r="D345" i="18"/>
  <c r="E345" i="18"/>
  <c r="F345" i="18"/>
  <c r="G345" i="18"/>
  <c r="H345" i="18"/>
  <c r="I345" i="18"/>
  <c r="J345" i="18"/>
  <c r="K345" i="18"/>
  <c r="L345" i="18"/>
  <c r="M345" i="18"/>
  <c r="N345" i="18"/>
  <c r="O345" i="18"/>
  <c r="P345" i="18"/>
  <c r="Q345" i="18"/>
  <c r="R345" i="18"/>
  <c r="S345" i="18"/>
  <c r="T345" i="18"/>
  <c r="U345" i="18"/>
  <c r="V345" i="18"/>
  <c r="W345" i="18"/>
  <c r="X345" i="18"/>
  <c r="AV345" i="18" s="1"/>
  <c r="Y345" i="18"/>
  <c r="BD345" i="18" s="1"/>
  <c r="Z345" i="18"/>
  <c r="AA345" i="18"/>
  <c r="AB345" i="18"/>
  <c r="AC345" i="18"/>
  <c r="AD345" i="18"/>
  <c r="AE345" i="18"/>
  <c r="AF345" i="18"/>
  <c r="D346" i="18"/>
  <c r="E346" i="18"/>
  <c r="F346" i="18"/>
  <c r="G346" i="18"/>
  <c r="H346" i="18"/>
  <c r="I346" i="18"/>
  <c r="J346" i="18"/>
  <c r="K346" i="18"/>
  <c r="L346" i="18"/>
  <c r="M346" i="18"/>
  <c r="N346" i="18"/>
  <c r="O346" i="18"/>
  <c r="P346" i="18"/>
  <c r="Q346" i="18"/>
  <c r="R346" i="18"/>
  <c r="S346" i="18"/>
  <c r="T346" i="18"/>
  <c r="U346" i="18"/>
  <c r="V346" i="18"/>
  <c r="W346" i="18"/>
  <c r="X346" i="18"/>
  <c r="AV346" i="18" s="1"/>
  <c r="Y346" i="18"/>
  <c r="BD346" i="18" s="1"/>
  <c r="Z346" i="18"/>
  <c r="AA346" i="18"/>
  <c r="AB346" i="18"/>
  <c r="AC346" i="18"/>
  <c r="AD346" i="18"/>
  <c r="AE346" i="18"/>
  <c r="AF346" i="18"/>
  <c r="D347" i="18"/>
  <c r="E347" i="18"/>
  <c r="F347" i="18"/>
  <c r="G347" i="18"/>
  <c r="H347" i="18"/>
  <c r="I347" i="18"/>
  <c r="J347" i="18"/>
  <c r="K347" i="18"/>
  <c r="L347" i="18"/>
  <c r="M347" i="18"/>
  <c r="N347" i="18"/>
  <c r="O347" i="18"/>
  <c r="P347" i="18"/>
  <c r="Q347" i="18"/>
  <c r="R347" i="18"/>
  <c r="S347" i="18"/>
  <c r="T347" i="18"/>
  <c r="U347" i="18"/>
  <c r="V347" i="18"/>
  <c r="W347" i="18"/>
  <c r="X347" i="18"/>
  <c r="AV347" i="18" s="1"/>
  <c r="Y347" i="18"/>
  <c r="BD347" i="18" s="1"/>
  <c r="Z347" i="18"/>
  <c r="AA347" i="18"/>
  <c r="AB347" i="18"/>
  <c r="AC347" i="18"/>
  <c r="AD347" i="18"/>
  <c r="AE347" i="18"/>
  <c r="AF347" i="18"/>
  <c r="D348" i="18"/>
  <c r="E348" i="18"/>
  <c r="F348" i="18"/>
  <c r="G348" i="18"/>
  <c r="H348" i="18"/>
  <c r="I348" i="18"/>
  <c r="J348" i="18"/>
  <c r="K348" i="18"/>
  <c r="L348" i="18"/>
  <c r="M348" i="18"/>
  <c r="N348" i="18"/>
  <c r="O348" i="18"/>
  <c r="P348" i="18"/>
  <c r="Q348" i="18"/>
  <c r="R348" i="18"/>
  <c r="S348" i="18"/>
  <c r="T348" i="18"/>
  <c r="U348" i="18"/>
  <c r="V348" i="18"/>
  <c r="W348" i="18"/>
  <c r="X348" i="18"/>
  <c r="AV348" i="18" s="1"/>
  <c r="Y348" i="18"/>
  <c r="BD348" i="18" s="1"/>
  <c r="Z348" i="18"/>
  <c r="AA348" i="18"/>
  <c r="AB348" i="18"/>
  <c r="AC348" i="18"/>
  <c r="AD348" i="18"/>
  <c r="AE348" i="18"/>
  <c r="AF348" i="18"/>
  <c r="D349" i="18"/>
  <c r="E349" i="18"/>
  <c r="F349" i="18"/>
  <c r="G349" i="18"/>
  <c r="H349" i="18"/>
  <c r="I349" i="18"/>
  <c r="J349" i="18"/>
  <c r="K349" i="18"/>
  <c r="L349" i="18"/>
  <c r="M349" i="18"/>
  <c r="N349" i="18"/>
  <c r="O349" i="18"/>
  <c r="P349" i="18"/>
  <c r="Q349" i="18"/>
  <c r="R349" i="18"/>
  <c r="S349" i="18"/>
  <c r="T349" i="18"/>
  <c r="U349" i="18"/>
  <c r="V349" i="18"/>
  <c r="W349" i="18"/>
  <c r="X349" i="18"/>
  <c r="AV349" i="18" s="1"/>
  <c r="Y349" i="18"/>
  <c r="BD349" i="18" s="1"/>
  <c r="Z349" i="18"/>
  <c r="AA349" i="18"/>
  <c r="AB349" i="18"/>
  <c r="AC349" i="18"/>
  <c r="AD349" i="18"/>
  <c r="AE349" i="18"/>
  <c r="AF349" i="18"/>
  <c r="D350" i="18"/>
  <c r="E350" i="18"/>
  <c r="F350" i="18"/>
  <c r="G350" i="18"/>
  <c r="H350" i="18"/>
  <c r="I350" i="18"/>
  <c r="J350" i="18"/>
  <c r="K350" i="18"/>
  <c r="L350" i="18"/>
  <c r="M350" i="18"/>
  <c r="N350" i="18"/>
  <c r="O350" i="18"/>
  <c r="P350" i="18"/>
  <c r="Q350" i="18"/>
  <c r="R350" i="18"/>
  <c r="S350" i="18"/>
  <c r="T350" i="18"/>
  <c r="U350" i="18"/>
  <c r="V350" i="18"/>
  <c r="W350" i="18"/>
  <c r="X350" i="18"/>
  <c r="AV350" i="18" s="1"/>
  <c r="Y350" i="18"/>
  <c r="BD350" i="18" s="1"/>
  <c r="Z350" i="18"/>
  <c r="AA350" i="18"/>
  <c r="AB350" i="18"/>
  <c r="AC350" i="18"/>
  <c r="AD350" i="18"/>
  <c r="AE350" i="18"/>
  <c r="AF350" i="18"/>
  <c r="D351" i="18"/>
  <c r="E351" i="18"/>
  <c r="F351" i="18"/>
  <c r="G351" i="18"/>
  <c r="H351" i="18"/>
  <c r="I351" i="18"/>
  <c r="J351" i="18"/>
  <c r="K351" i="18"/>
  <c r="L351" i="18"/>
  <c r="M351" i="18"/>
  <c r="N351" i="18"/>
  <c r="O351" i="18"/>
  <c r="P351" i="18"/>
  <c r="Q351" i="18"/>
  <c r="R351" i="18"/>
  <c r="S351" i="18"/>
  <c r="T351" i="18"/>
  <c r="U351" i="18"/>
  <c r="V351" i="18"/>
  <c r="W351" i="18"/>
  <c r="X351" i="18"/>
  <c r="AV351" i="18" s="1"/>
  <c r="Y351" i="18"/>
  <c r="BD351" i="18" s="1"/>
  <c r="Z351" i="18"/>
  <c r="AA351" i="18"/>
  <c r="AB351" i="18"/>
  <c r="AC351" i="18"/>
  <c r="AD351" i="18"/>
  <c r="AE351" i="18"/>
  <c r="AF351" i="18"/>
  <c r="D352" i="18"/>
  <c r="E352" i="18"/>
  <c r="F352" i="18"/>
  <c r="G352" i="18"/>
  <c r="H352" i="18"/>
  <c r="I352" i="18"/>
  <c r="J352" i="18"/>
  <c r="K352" i="18"/>
  <c r="L352" i="18"/>
  <c r="M352" i="18"/>
  <c r="N352" i="18"/>
  <c r="O352" i="18"/>
  <c r="P352" i="18"/>
  <c r="Q352" i="18"/>
  <c r="R352" i="18"/>
  <c r="S352" i="18"/>
  <c r="T352" i="18"/>
  <c r="U352" i="18"/>
  <c r="V352" i="18"/>
  <c r="W352" i="18"/>
  <c r="X352" i="18"/>
  <c r="AV352" i="18" s="1"/>
  <c r="Y352" i="18"/>
  <c r="BD352" i="18" s="1"/>
  <c r="Z352" i="18"/>
  <c r="AA352" i="18"/>
  <c r="AB352" i="18"/>
  <c r="AC352" i="18"/>
  <c r="AD352" i="18"/>
  <c r="AE352" i="18"/>
  <c r="AF352" i="18"/>
  <c r="D353" i="18"/>
  <c r="E353" i="18"/>
  <c r="F353" i="18"/>
  <c r="G353" i="18"/>
  <c r="H353" i="18"/>
  <c r="I353" i="18"/>
  <c r="J353" i="18"/>
  <c r="K353" i="18"/>
  <c r="L353" i="18"/>
  <c r="M353" i="18"/>
  <c r="N353" i="18"/>
  <c r="O353" i="18"/>
  <c r="P353" i="18"/>
  <c r="Q353" i="18"/>
  <c r="R353" i="18"/>
  <c r="S353" i="18"/>
  <c r="T353" i="18"/>
  <c r="U353" i="18"/>
  <c r="V353" i="18"/>
  <c r="W353" i="18"/>
  <c r="X353" i="18"/>
  <c r="AV353" i="18" s="1"/>
  <c r="Y353" i="18"/>
  <c r="BD353" i="18" s="1"/>
  <c r="Z353" i="18"/>
  <c r="AA353" i="18"/>
  <c r="AB353" i="18"/>
  <c r="AC353" i="18"/>
  <c r="AD353" i="18"/>
  <c r="AE353" i="18"/>
  <c r="AF353" i="18"/>
  <c r="D354" i="18"/>
  <c r="E354" i="18"/>
  <c r="F354" i="18"/>
  <c r="G354" i="18"/>
  <c r="H354" i="18"/>
  <c r="I354" i="18"/>
  <c r="J354" i="18"/>
  <c r="K354" i="18"/>
  <c r="L354" i="18"/>
  <c r="M354" i="18"/>
  <c r="N354" i="18"/>
  <c r="O354" i="18"/>
  <c r="P354" i="18"/>
  <c r="Q354" i="18"/>
  <c r="R354" i="18"/>
  <c r="S354" i="18"/>
  <c r="T354" i="18"/>
  <c r="U354" i="18"/>
  <c r="V354" i="18"/>
  <c r="W354" i="18"/>
  <c r="X354" i="18"/>
  <c r="AV354" i="18" s="1"/>
  <c r="Y354" i="18"/>
  <c r="BD354" i="18" s="1"/>
  <c r="Z354" i="18"/>
  <c r="AA354" i="18"/>
  <c r="AB354" i="18"/>
  <c r="AC354" i="18"/>
  <c r="AD354" i="18"/>
  <c r="AE354" i="18"/>
  <c r="AF354" i="18"/>
  <c r="D355" i="18"/>
  <c r="E355" i="18"/>
  <c r="F355" i="18"/>
  <c r="G355" i="18"/>
  <c r="H355" i="18"/>
  <c r="I355" i="18"/>
  <c r="J355" i="18"/>
  <c r="K355" i="18"/>
  <c r="L355" i="18"/>
  <c r="M355" i="18"/>
  <c r="N355" i="18"/>
  <c r="O355" i="18"/>
  <c r="P355" i="18"/>
  <c r="Q355" i="18"/>
  <c r="R355" i="18"/>
  <c r="S355" i="18"/>
  <c r="T355" i="18"/>
  <c r="U355" i="18"/>
  <c r="V355" i="18"/>
  <c r="W355" i="18"/>
  <c r="X355" i="18"/>
  <c r="AV355" i="18" s="1"/>
  <c r="Y355" i="18"/>
  <c r="BD355" i="18" s="1"/>
  <c r="Z355" i="18"/>
  <c r="AA355" i="18"/>
  <c r="AB355" i="18"/>
  <c r="AC355" i="18"/>
  <c r="AD355" i="18"/>
  <c r="AE355" i="18"/>
  <c r="AF355" i="18"/>
  <c r="D356" i="18"/>
  <c r="E356" i="18"/>
  <c r="F356" i="18"/>
  <c r="G356" i="18"/>
  <c r="H356" i="18"/>
  <c r="I356" i="18"/>
  <c r="J356" i="18"/>
  <c r="K356" i="18"/>
  <c r="L356" i="18"/>
  <c r="M356" i="18"/>
  <c r="N356" i="18"/>
  <c r="O356" i="18"/>
  <c r="P356" i="18"/>
  <c r="Q356" i="18"/>
  <c r="R356" i="18"/>
  <c r="S356" i="18"/>
  <c r="T356" i="18"/>
  <c r="U356" i="18"/>
  <c r="V356" i="18"/>
  <c r="W356" i="18"/>
  <c r="X356" i="18"/>
  <c r="AV356" i="18" s="1"/>
  <c r="Y356" i="18"/>
  <c r="BD356" i="18" s="1"/>
  <c r="Z356" i="18"/>
  <c r="AA356" i="18"/>
  <c r="AB356" i="18"/>
  <c r="AC356" i="18"/>
  <c r="AD356" i="18"/>
  <c r="AE356" i="18"/>
  <c r="AF356" i="18"/>
  <c r="D357" i="18"/>
  <c r="E357" i="18"/>
  <c r="F357" i="18"/>
  <c r="G357" i="18"/>
  <c r="H357" i="18"/>
  <c r="I357" i="18"/>
  <c r="J357" i="18"/>
  <c r="K357" i="18"/>
  <c r="L357" i="18"/>
  <c r="M357" i="18"/>
  <c r="N357" i="18"/>
  <c r="O357" i="18"/>
  <c r="P357" i="18"/>
  <c r="Q357" i="18"/>
  <c r="R357" i="18"/>
  <c r="S357" i="18"/>
  <c r="T357" i="18"/>
  <c r="U357" i="18"/>
  <c r="V357" i="18"/>
  <c r="W357" i="18"/>
  <c r="X357" i="18"/>
  <c r="AV357" i="18" s="1"/>
  <c r="Y357" i="18"/>
  <c r="BD357" i="18" s="1"/>
  <c r="Z357" i="18"/>
  <c r="AA357" i="18"/>
  <c r="AB357" i="18"/>
  <c r="AC357" i="18"/>
  <c r="AD357" i="18"/>
  <c r="AE357" i="18"/>
  <c r="AF357" i="18"/>
  <c r="D358" i="18"/>
  <c r="E358" i="18"/>
  <c r="F358" i="18"/>
  <c r="G358" i="18"/>
  <c r="H358" i="18"/>
  <c r="I358" i="18"/>
  <c r="J358" i="18"/>
  <c r="K358" i="18"/>
  <c r="L358" i="18"/>
  <c r="M358" i="18"/>
  <c r="N358" i="18"/>
  <c r="O358" i="18"/>
  <c r="P358" i="18"/>
  <c r="Q358" i="18"/>
  <c r="R358" i="18"/>
  <c r="S358" i="18"/>
  <c r="T358" i="18"/>
  <c r="U358" i="18"/>
  <c r="V358" i="18"/>
  <c r="W358" i="18"/>
  <c r="X358" i="18"/>
  <c r="AV358" i="18" s="1"/>
  <c r="Y358" i="18"/>
  <c r="BD358" i="18" s="1"/>
  <c r="Z358" i="18"/>
  <c r="AA358" i="18"/>
  <c r="AB358" i="18"/>
  <c r="AC358" i="18"/>
  <c r="AD358" i="18"/>
  <c r="AE358" i="18"/>
  <c r="AF358" i="18"/>
  <c r="D359" i="18"/>
  <c r="E359" i="18"/>
  <c r="F359" i="18"/>
  <c r="G359" i="18"/>
  <c r="H359" i="18"/>
  <c r="I359" i="18"/>
  <c r="J359" i="18"/>
  <c r="K359" i="18"/>
  <c r="L359" i="18"/>
  <c r="M359" i="18"/>
  <c r="N359" i="18"/>
  <c r="O359" i="18"/>
  <c r="P359" i="18"/>
  <c r="Q359" i="18"/>
  <c r="R359" i="18"/>
  <c r="S359" i="18"/>
  <c r="T359" i="18"/>
  <c r="U359" i="18"/>
  <c r="V359" i="18"/>
  <c r="W359" i="18"/>
  <c r="X359" i="18"/>
  <c r="AV359" i="18" s="1"/>
  <c r="Y359" i="18"/>
  <c r="BD359" i="18" s="1"/>
  <c r="Z359" i="18"/>
  <c r="AA359" i="18"/>
  <c r="AB359" i="18"/>
  <c r="AC359" i="18"/>
  <c r="AD359" i="18"/>
  <c r="AE359" i="18"/>
  <c r="AF359" i="18"/>
  <c r="D360" i="18"/>
  <c r="E360" i="18"/>
  <c r="F360" i="18"/>
  <c r="G360" i="18"/>
  <c r="H360" i="18"/>
  <c r="I360" i="18"/>
  <c r="J360" i="18"/>
  <c r="K360" i="18"/>
  <c r="L360" i="18"/>
  <c r="M360" i="18"/>
  <c r="N360" i="18"/>
  <c r="O360" i="18"/>
  <c r="P360" i="18"/>
  <c r="Q360" i="18"/>
  <c r="R360" i="18"/>
  <c r="S360" i="18"/>
  <c r="T360" i="18"/>
  <c r="U360" i="18"/>
  <c r="V360" i="18"/>
  <c r="W360" i="18"/>
  <c r="X360" i="18"/>
  <c r="AV360" i="18" s="1"/>
  <c r="Y360" i="18"/>
  <c r="BD360" i="18" s="1"/>
  <c r="Z360" i="18"/>
  <c r="AA360" i="18"/>
  <c r="AB360" i="18"/>
  <c r="AC360" i="18"/>
  <c r="AD360" i="18"/>
  <c r="AE360" i="18"/>
  <c r="AF360" i="18"/>
  <c r="D361" i="18"/>
  <c r="E361" i="18"/>
  <c r="F361" i="18"/>
  <c r="G361" i="18"/>
  <c r="H361" i="18"/>
  <c r="I361" i="18"/>
  <c r="J361" i="18"/>
  <c r="K361" i="18"/>
  <c r="L361" i="18"/>
  <c r="M361" i="18"/>
  <c r="N361" i="18"/>
  <c r="O361" i="18"/>
  <c r="P361" i="18"/>
  <c r="Q361" i="18"/>
  <c r="R361" i="18"/>
  <c r="S361" i="18"/>
  <c r="T361" i="18"/>
  <c r="U361" i="18"/>
  <c r="V361" i="18"/>
  <c r="W361" i="18"/>
  <c r="X361" i="18"/>
  <c r="AV361" i="18" s="1"/>
  <c r="Y361" i="18"/>
  <c r="BD361" i="18" s="1"/>
  <c r="Z361" i="18"/>
  <c r="AA361" i="18"/>
  <c r="AB361" i="18"/>
  <c r="AC361" i="18"/>
  <c r="AD361" i="18"/>
  <c r="AE361" i="18"/>
  <c r="AF361" i="18"/>
  <c r="D362" i="18"/>
  <c r="E362" i="18"/>
  <c r="F362" i="18"/>
  <c r="G362" i="18"/>
  <c r="H362" i="18"/>
  <c r="I362" i="18"/>
  <c r="J362" i="18"/>
  <c r="K362" i="18"/>
  <c r="L362" i="18"/>
  <c r="M362" i="18"/>
  <c r="N362" i="18"/>
  <c r="O362" i="18"/>
  <c r="P362" i="18"/>
  <c r="Q362" i="18"/>
  <c r="R362" i="18"/>
  <c r="S362" i="18"/>
  <c r="T362" i="18"/>
  <c r="U362" i="18"/>
  <c r="V362" i="18"/>
  <c r="W362" i="18"/>
  <c r="X362" i="18"/>
  <c r="AV362" i="18" s="1"/>
  <c r="Y362" i="18"/>
  <c r="BD362" i="18" s="1"/>
  <c r="Z362" i="18"/>
  <c r="AA362" i="18"/>
  <c r="AB362" i="18"/>
  <c r="AC362" i="18"/>
  <c r="AD362" i="18"/>
  <c r="AE362" i="18"/>
  <c r="AF362" i="18"/>
  <c r="D3" i="18"/>
  <c r="E3" i="18"/>
  <c r="F3" i="18"/>
  <c r="G3" i="18"/>
  <c r="H3" i="18"/>
  <c r="I3" i="18"/>
  <c r="J3" i="18"/>
  <c r="K3" i="18"/>
  <c r="L3" i="18"/>
  <c r="M3" i="18"/>
  <c r="N3" i="18"/>
  <c r="O3" i="18"/>
  <c r="P3" i="18"/>
  <c r="Q3" i="18"/>
  <c r="R3" i="18"/>
  <c r="S3" i="18"/>
  <c r="T3" i="18"/>
  <c r="U3" i="18"/>
  <c r="V3" i="18"/>
  <c r="W3" i="18"/>
  <c r="X3" i="18"/>
  <c r="AV3" i="18" s="1"/>
  <c r="Y3" i="18"/>
  <c r="BD3" i="18" s="1"/>
  <c r="Z3" i="18"/>
  <c r="AA3" i="18"/>
  <c r="AB3" i="18"/>
  <c r="AC3" i="18"/>
  <c r="AD3" i="18"/>
  <c r="AE3" i="18"/>
  <c r="AF3" i="18"/>
  <c r="D4" i="18"/>
  <c r="E4" i="18"/>
  <c r="F4" i="18"/>
  <c r="G4" i="18"/>
  <c r="H4" i="18"/>
  <c r="I4" i="18"/>
  <c r="J4" i="18"/>
  <c r="K4" i="18"/>
  <c r="L4" i="18"/>
  <c r="M4" i="18"/>
  <c r="N4" i="18"/>
  <c r="O4" i="18"/>
  <c r="P4" i="18"/>
  <c r="Q4" i="18"/>
  <c r="R4" i="18"/>
  <c r="S4" i="18"/>
  <c r="T4" i="18"/>
  <c r="U4" i="18"/>
  <c r="V4" i="18"/>
  <c r="W4" i="18"/>
  <c r="X4" i="18"/>
  <c r="AV4" i="18" s="1"/>
  <c r="Y4" i="18"/>
  <c r="BD4" i="18" s="1"/>
  <c r="Z4" i="18"/>
  <c r="AA4" i="18"/>
  <c r="AB4" i="18"/>
  <c r="AC4" i="18"/>
  <c r="AD4" i="18"/>
  <c r="AE4" i="18"/>
  <c r="AF4" i="18"/>
  <c r="D5" i="18"/>
  <c r="E5" i="18"/>
  <c r="F5" i="18"/>
  <c r="G5" i="18"/>
  <c r="H5" i="18"/>
  <c r="I5" i="18"/>
  <c r="J5" i="18"/>
  <c r="K5" i="18"/>
  <c r="L5" i="18"/>
  <c r="M5" i="18"/>
  <c r="N5" i="18"/>
  <c r="O5" i="18"/>
  <c r="P5" i="18"/>
  <c r="Q5" i="18"/>
  <c r="R5" i="18"/>
  <c r="S5" i="18"/>
  <c r="T5" i="18"/>
  <c r="U5" i="18"/>
  <c r="V5" i="18"/>
  <c r="W5" i="18"/>
  <c r="X5" i="18"/>
  <c r="AV5" i="18" s="1"/>
  <c r="Y5" i="18"/>
  <c r="BD5" i="18" s="1"/>
  <c r="Z5" i="18"/>
  <c r="AA5" i="18"/>
  <c r="AB5" i="18"/>
  <c r="AC5" i="18"/>
  <c r="AD5" i="18"/>
  <c r="AE5" i="18"/>
  <c r="AF5" i="18"/>
  <c r="D6" i="18"/>
  <c r="E6" i="18"/>
  <c r="F6" i="18"/>
  <c r="G6" i="18"/>
  <c r="H6" i="18"/>
  <c r="I6" i="18"/>
  <c r="J6" i="18"/>
  <c r="K6" i="18"/>
  <c r="L6" i="18"/>
  <c r="M6" i="18"/>
  <c r="N6" i="18"/>
  <c r="O6" i="18"/>
  <c r="P6" i="18"/>
  <c r="Q6" i="18"/>
  <c r="R6" i="18"/>
  <c r="S6" i="18"/>
  <c r="T6" i="18"/>
  <c r="U6" i="18"/>
  <c r="V6" i="18"/>
  <c r="W6" i="18"/>
  <c r="X6" i="18"/>
  <c r="AV6" i="18" s="1"/>
  <c r="Y6" i="18"/>
  <c r="BD6" i="18" s="1"/>
  <c r="Z6" i="18"/>
  <c r="AA6" i="18"/>
  <c r="AB6" i="18"/>
  <c r="AC6" i="18"/>
  <c r="AD6" i="18"/>
  <c r="AE6" i="18"/>
  <c r="AF6" i="18"/>
  <c r="D7" i="18"/>
  <c r="E7" i="18"/>
  <c r="F7" i="18"/>
  <c r="G7" i="18"/>
  <c r="H7" i="18"/>
  <c r="I7" i="18"/>
  <c r="J7" i="18"/>
  <c r="K7" i="18"/>
  <c r="L7" i="18"/>
  <c r="M7" i="18"/>
  <c r="N7" i="18"/>
  <c r="O7" i="18"/>
  <c r="P7" i="18"/>
  <c r="Q7" i="18"/>
  <c r="R7" i="18"/>
  <c r="S7" i="18"/>
  <c r="T7" i="18"/>
  <c r="U7" i="18"/>
  <c r="V7" i="18"/>
  <c r="W7" i="18"/>
  <c r="X7" i="18"/>
  <c r="AV7" i="18" s="1"/>
  <c r="Y7" i="18"/>
  <c r="BD7" i="18" s="1"/>
  <c r="Z7" i="18"/>
  <c r="AA7" i="18"/>
  <c r="AB7" i="18"/>
  <c r="AC7" i="18"/>
  <c r="AD7" i="18"/>
  <c r="AE7" i="18"/>
  <c r="AF7" i="18"/>
  <c r="D8" i="18"/>
  <c r="E8" i="18"/>
  <c r="F8" i="18"/>
  <c r="G8" i="18"/>
  <c r="H8" i="18"/>
  <c r="I8" i="18"/>
  <c r="J8" i="18"/>
  <c r="K8" i="18"/>
  <c r="L8" i="18"/>
  <c r="M8" i="18"/>
  <c r="N8" i="18"/>
  <c r="O8" i="18"/>
  <c r="P8" i="18"/>
  <c r="Q8" i="18"/>
  <c r="R8" i="18"/>
  <c r="S8" i="18"/>
  <c r="T8" i="18"/>
  <c r="U8" i="18"/>
  <c r="V8" i="18"/>
  <c r="W8" i="18"/>
  <c r="X8" i="18"/>
  <c r="AV8" i="18" s="1"/>
  <c r="Y8" i="18"/>
  <c r="BD8" i="18" s="1"/>
  <c r="Z8" i="18"/>
  <c r="AA8" i="18"/>
  <c r="AB8" i="18"/>
  <c r="AC8" i="18"/>
  <c r="AD8" i="18"/>
  <c r="AE8" i="18"/>
  <c r="AF8" i="18"/>
  <c r="D9" i="18"/>
  <c r="E9" i="18"/>
  <c r="F9" i="18"/>
  <c r="G9" i="18"/>
  <c r="H9" i="18"/>
  <c r="I9" i="18"/>
  <c r="J9" i="18"/>
  <c r="K9" i="18"/>
  <c r="L9" i="18"/>
  <c r="M9" i="18"/>
  <c r="N9" i="18"/>
  <c r="O9" i="18"/>
  <c r="P9" i="18"/>
  <c r="Q9" i="18"/>
  <c r="R9" i="18"/>
  <c r="S9" i="18"/>
  <c r="T9" i="18"/>
  <c r="U9" i="18"/>
  <c r="V9" i="18"/>
  <c r="W9" i="18"/>
  <c r="X9" i="18"/>
  <c r="AV9" i="18" s="1"/>
  <c r="Y9" i="18"/>
  <c r="BD9" i="18" s="1"/>
  <c r="Z9" i="18"/>
  <c r="AA9" i="18"/>
  <c r="AB9" i="18"/>
  <c r="AC9" i="18"/>
  <c r="AD9" i="18"/>
  <c r="AE9" i="18"/>
  <c r="AF9" i="18"/>
  <c r="D10" i="18"/>
  <c r="E10" i="18"/>
  <c r="F10" i="18"/>
  <c r="G10" i="18"/>
  <c r="H10" i="18"/>
  <c r="I10" i="18"/>
  <c r="J10" i="18"/>
  <c r="K10" i="18"/>
  <c r="L10" i="18"/>
  <c r="M10" i="18"/>
  <c r="N10" i="18"/>
  <c r="O10" i="18"/>
  <c r="P10" i="18"/>
  <c r="Q10" i="18"/>
  <c r="R10" i="18"/>
  <c r="S10" i="18"/>
  <c r="T10" i="18"/>
  <c r="U10" i="18"/>
  <c r="V10" i="18"/>
  <c r="W10" i="18"/>
  <c r="X10" i="18"/>
  <c r="AV10" i="18" s="1"/>
  <c r="Y10" i="18"/>
  <c r="BD10" i="18" s="1"/>
  <c r="Z10" i="18"/>
  <c r="AA10" i="18"/>
  <c r="AB10" i="18"/>
  <c r="AC10" i="18"/>
  <c r="AD10" i="18"/>
  <c r="AE10" i="18"/>
  <c r="AF10" i="18"/>
  <c r="D11" i="18"/>
  <c r="E11" i="18"/>
  <c r="F11" i="18"/>
  <c r="G11" i="18"/>
  <c r="H11" i="18"/>
  <c r="I11" i="18"/>
  <c r="J11" i="18"/>
  <c r="K11" i="18"/>
  <c r="L11" i="18"/>
  <c r="M11" i="18"/>
  <c r="N11" i="18"/>
  <c r="O11" i="18"/>
  <c r="P11" i="18"/>
  <c r="Q11" i="18"/>
  <c r="R11" i="18"/>
  <c r="S11" i="18"/>
  <c r="T11" i="18"/>
  <c r="U11" i="18"/>
  <c r="V11" i="18"/>
  <c r="W11" i="18"/>
  <c r="X11" i="18"/>
  <c r="AV11" i="18" s="1"/>
  <c r="Y11" i="18"/>
  <c r="BD11" i="18" s="1"/>
  <c r="Z11" i="18"/>
  <c r="AA11" i="18"/>
  <c r="AB11" i="18"/>
  <c r="AC11" i="18"/>
  <c r="AD11" i="18"/>
  <c r="AE11" i="18"/>
  <c r="AF11" i="18"/>
  <c r="D12" i="18"/>
  <c r="E12" i="18"/>
  <c r="F12" i="18"/>
  <c r="G12" i="18"/>
  <c r="H12" i="18"/>
  <c r="I12" i="18"/>
  <c r="J12" i="18"/>
  <c r="K12" i="18"/>
  <c r="L12" i="18"/>
  <c r="M12" i="18"/>
  <c r="N12" i="18"/>
  <c r="O12" i="18"/>
  <c r="P12" i="18"/>
  <c r="Q12" i="18"/>
  <c r="R12" i="18"/>
  <c r="S12" i="18"/>
  <c r="T12" i="18"/>
  <c r="U12" i="18"/>
  <c r="V12" i="18"/>
  <c r="W12" i="18"/>
  <c r="X12" i="18"/>
  <c r="AV12" i="18" s="1"/>
  <c r="Y12" i="18"/>
  <c r="BD12" i="18" s="1"/>
  <c r="Z12" i="18"/>
  <c r="AA12" i="18"/>
  <c r="AB12" i="18"/>
  <c r="AC12" i="18"/>
  <c r="AD12" i="18"/>
  <c r="AE12" i="18"/>
  <c r="AF12" i="18"/>
  <c r="D13" i="18"/>
  <c r="E13" i="18"/>
  <c r="F13" i="18"/>
  <c r="G13" i="18"/>
  <c r="H13" i="18"/>
  <c r="I13" i="18"/>
  <c r="J13" i="18"/>
  <c r="K13" i="18"/>
  <c r="L13" i="18"/>
  <c r="M13" i="18"/>
  <c r="N13" i="18"/>
  <c r="O13" i="18"/>
  <c r="P13" i="18"/>
  <c r="Q13" i="18"/>
  <c r="R13" i="18"/>
  <c r="S13" i="18"/>
  <c r="T13" i="18"/>
  <c r="U13" i="18"/>
  <c r="V13" i="18"/>
  <c r="W13" i="18"/>
  <c r="X13" i="18"/>
  <c r="AV13" i="18" s="1"/>
  <c r="Y13" i="18"/>
  <c r="BD13" i="18" s="1"/>
  <c r="Z13" i="18"/>
  <c r="AA13" i="18"/>
  <c r="AB13" i="18"/>
  <c r="AC13" i="18"/>
  <c r="AD13" i="18"/>
  <c r="AE13" i="18"/>
  <c r="AF13" i="18"/>
  <c r="D14" i="18"/>
  <c r="E14" i="18"/>
  <c r="F14" i="18"/>
  <c r="G14" i="18"/>
  <c r="H14" i="18"/>
  <c r="I14" i="18"/>
  <c r="J14" i="18"/>
  <c r="K14" i="18"/>
  <c r="L14" i="18"/>
  <c r="M14" i="18"/>
  <c r="N14" i="18"/>
  <c r="O14" i="18"/>
  <c r="P14" i="18"/>
  <c r="Q14" i="18"/>
  <c r="R14" i="18"/>
  <c r="S14" i="18"/>
  <c r="T14" i="18"/>
  <c r="U14" i="18"/>
  <c r="V14" i="18"/>
  <c r="W14" i="18"/>
  <c r="X14" i="18"/>
  <c r="AV14" i="18" s="1"/>
  <c r="Y14" i="18"/>
  <c r="BD14" i="18" s="1"/>
  <c r="Z14" i="18"/>
  <c r="AA14" i="18"/>
  <c r="AB14" i="18"/>
  <c r="AC14" i="18"/>
  <c r="AD14" i="18"/>
  <c r="AE14" i="18"/>
  <c r="AF14" i="18"/>
  <c r="D15" i="18"/>
  <c r="E15" i="18"/>
  <c r="F15" i="18"/>
  <c r="G15" i="18"/>
  <c r="H15" i="18"/>
  <c r="I15" i="18"/>
  <c r="J15" i="18"/>
  <c r="K15" i="18"/>
  <c r="L15" i="18"/>
  <c r="M15" i="18"/>
  <c r="N15" i="18"/>
  <c r="O15" i="18"/>
  <c r="P15" i="18"/>
  <c r="Q15" i="18"/>
  <c r="R15" i="18"/>
  <c r="S15" i="18"/>
  <c r="T15" i="18"/>
  <c r="U15" i="18"/>
  <c r="V15" i="18"/>
  <c r="W15" i="18"/>
  <c r="X15" i="18"/>
  <c r="AV15" i="18" s="1"/>
  <c r="Y15" i="18"/>
  <c r="BD15" i="18" s="1"/>
  <c r="Z15" i="18"/>
  <c r="AA15" i="18"/>
  <c r="AB15" i="18"/>
  <c r="AC15" i="18"/>
  <c r="AD15" i="18"/>
  <c r="AE15" i="18"/>
  <c r="AF15" i="18"/>
  <c r="D16" i="18"/>
  <c r="E16" i="18"/>
  <c r="F16" i="18"/>
  <c r="G16" i="18"/>
  <c r="H16" i="18"/>
  <c r="I16" i="18"/>
  <c r="J16" i="18"/>
  <c r="K16" i="18"/>
  <c r="L16" i="18"/>
  <c r="M16" i="18"/>
  <c r="N16" i="18"/>
  <c r="O16" i="18"/>
  <c r="P16" i="18"/>
  <c r="Q16" i="18"/>
  <c r="R16" i="18"/>
  <c r="S16" i="18"/>
  <c r="T16" i="18"/>
  <c r="U16" i="18"/>
  <c r="V16" i="18"/>
  <c r="W16" i="18"/>
  <c r="X16" i="18"/>
  <c r="AV16" i="18" s="1"/>
  <c r="Y16" i="18"/>
  <c r="BD16" i="18" s="1"/>
  <c r="Z16" i="18"/>
  <c r="AA16" i="18"/>
  <c r="AB16" i="18"/>
  <c r="AC16" i="18"/>
  <c r="AD16" i="18"/>
  <c r="AE16" i="18"/>
  <c r="AF16" i="18"/>
  <c r="D17" i="18"/>
  <c r="E17" i="18"/>
  <c r="F17" i="18"/>
  <c r="G17" i="18"/>
  <c r="H17" i="18"/>
  <c r="I17" i="18"/>
  <c r="J17" i="18"/>
  <c r="K17" i="18"/>
  <c r="L17" i="18"/>
  <c r="M17" i="18"/>
  <c r="N17" i="18"/>
  <c r="O17" i="18"/>
  <c r="P17" i="18"/>
  <c r="Q17" i="18"/>
  <c r="R17" i="18"/>
  <c r="S17" i="18"/>
  <c r="T17" i="18"/>
  <c r="U17" i="18"/>
  <c r="V17" i="18"/>
  <c r="W17" i="18"/>
  <c r="X17" i="18"/>
  <c r="AV17" i="18" s="1"/>
  <c r="Y17" i="18"/>
  <c r="BD17" i="18" s="1"/>
  <c r="Z17" i="18"/>
  <c r="AA17" i="18"/>
  <c r="AB17" i="18"/>
  <c r="AC17" i="18"/>
  <c r="AD17" i="18"/>
  <c r="AE17" i="18"/>
  <c r="AF17" i="18"/>
  <c r="D18" i="18"/>
  <c r="E18" i="18"/>
  <c r="F18" i="18"/>
  <c r="G18" i="18"/>
  <c r="H18" i="18"/>
  <c r="I18" i="18"/>
  <c r="J18" i="18"/>
  <c r="K18" i="18"/>
  <c r="L18" i="18"/>
  <c r="M18" i="18"/>
  <c r="N18" i="18"/>
  <c r="O18" i="18"/>
  <c r="P18" i="18"/>
  <c r="Q18" i="18"/>
  <c r="R18" i="18"/>
  <c r="S18" i="18"/>
  <c r="T18" i="18"/>
  <c r="U18" i="18"/>
  <c r="V18" i="18"/>
  <c r="W18" i="18"/>
  <c r="X18" i="18"/>
  <c r="AV18" i="18" s="1"/>
  <c r="Y18" i="18"/>
  <c r="BD18" i="18" s="1"/>
  <c r="Z18" i="18"/>
  <c r="AA18" i="18"/>
  <c r="AB18" i="18"/>
  <c r="AC18" i="18"/>
  <c r="AD18" i="18"/>
  <c r="AE18" i="18"/>
  <c r="AF18" i="18"/>
  <c r="D19" i="18"/>
  <c r="E19" i="18"/>
  <c r="F19" i="18"/>
  <c r="G19" i="18"/>
  <c r="H19" i="18"/>
  <c r="I19" i="18"/>
  <c r="J19" i="18"/>
  <c r="K19" i="18"/>
  <c r="L19" i="18"/>
  <c r="M19" i="18"/>
  <c r="N19" i="18"/>
  <c r="O19" i="18"/>
  <c r="P19" i="18"/>
  <c r="Q19" i="18"/>
  <c r="R19" i="18"/>
  <c r="S19" i="18"/>
  <c r="T19" i="18"/>
  <c r="U19" i="18"/>
  <c r="V19" i="18"/>
  <c r="W19" i="18"/>
  <c r="X19" i="18"/>
  <c r="AV19" i="18" s="1"/>
  <c r="Y19" i="18"/>
  <c r="BD19" i="18" s="1"/>
  <c r="Z19" i="18"/>
  <c r="AA19" i="18"/>
  <c r="AB19" i="18"/>
  <c r="AC19" i="18"/>
  <c r="AD19" i="18"/>
  <c r="AE19" i="18"/>
  <c r="AF19" i="18"/>
  <c r="D20" i="18"/>
  <c r="E20" i="18"/>
  <c r="F20" i="18"/>
  <c r="G20" i="18"/>
  <c r="H20" i="18"/>
  <c r="I20" i="18"/>
  <c r="J20" i="18"/>
  <c r="K20" i="18"/>
  <c r="L20" i="18"/>
  <c r="M20" i="18"/>
  <c r="N20" i="18"/>
  <c r="O20" i="18"/>
  <c r="P20" i="18"/>
  <c r="Q20" i="18"/>
  <c r="R20" i="18"/>
  <c r="S20" i="18"/>
  <c r="T20" i="18"/>
  <c r="U20" i="18"/>
  <c r="V20" i="18"/>
  <c r="W20" i="18"/>
  <c r="X20" i="18"/>
  <c r="AV20" i="18" s="1"/>
  <c r="Y20" i="18"/>
  <c r="BD20" i="18" s="1"/>
  <c r="Z20" i="18"/>
  <c r="AA20" i="18"/>
  <c r="AB20" i="18"/>
  <c r="AC20" i="18"/>
  <c r="AD20" i="18"/>
  <c r="AE20" i="18"/>
  <c r="AF20" i="18"/>
  <c r="D21" i="18"/>
  <c r="E21" i="18"/>
  <c r="F21" i="18"/>
  <c r="G21" i="18"/>
  <c r="H21" i="18"/>
  <c r="I21" i="18"/>
  <c r="J21" i="18"/>
  <c r="K21" i="18"/>
  <c r="L21" i="18"/>
  <c r="M21" i="18"/>
  <c r="N21" i="18"/>
  <c r="O21" i="18"/>
  <c r="P21" i="18"/>
  <c r="Q21" i="18"/>
  <c r="R21" i="18"/>
  <c r="S21" i="18"/>
  <c r="T21" i="18"/>
  <c r="U21" i="18"/>
  <c r="V21" i="18"/>
  <c r="W21" i="18"/>
  <c r="X21" i="18"/>
  <c r="AV21" i="18" s="1"/>
  <c r="Y21" i="18"/>
  <c r="BD21" i="18" s="1"/>
  <c r="Z21" i="18"/>
  <c r="AA21" i="18"/>
  <c r="AB21" i="18"/>
  <c r="AC21" i="18"/>
  <c r="AD21" i="18"/>
  <c r="AE21" i="18"/>
  <c r="AF21" i="18"/>
  <c r="D22" i="18"/>
  <c r="E22" i="18"/>
  <c r="F22" i="18"/>
  <c r="G22" i="18"/>
  <c r="H22" i="18"/>
  <c r="I22" i="18"/>
  <c r="J22" i="18"/>
  <c r="K22" i="18"/>
  <c r="L22" i="18"/>
  <c r="M22" i="18"/>
  <c r="N22" i="18"/>
  <c r="O22" i="18"/>
  <c r="P22" i="18"/>
  <c r="Q22" i="18"/>
  <c r="R22" i="18"/>
  <c r="S22" i="18"/>
  <c r="T22" i="18"/>
  <c r="U22" i="18"/>
  <c r="V22" i="18"/>
  <c r="W22" i="18"/>
  <c r="X22" i="18"/>
  <c r="AV22" i="18" s="1"/>
  <c r="Y22" i="18"/>
  <c r="BD22" i="18" s="1"/>
  <c r="Z22" i="18"/>
  <c r="AA22" i="18"/>
  <c r="AB22" i="18"/>
  <c r="AC22" i="18"/>
  <c r="AD22" i="18"/>
  <c r="AE22" i="18"/>
  <c r="AF22" i="18"/>
  <c r="D23" i="18"/>
  <c r="E23" i="18"/>
  <c r="E416" i="18" s="1"/>
  <c r="F23" i="18"/>
  <c r="G23" i="18"/>
  <c r="H23" i="18"/>
  <c r="I23" i="18"/>
  <c r="I416" i="18" s="1"/>
  <c r="J23" i="18"/>
  <c r="K23" i="18"/>
  <c r="L23" i="18"/>
  <c r="M23" i="18"/>
  <c r="M416" i="18" s="1"/>
  <c r="N23" i="18"/>
  <c r="O23" i="18"/>
  <c r="P23" i="18"/>
  <c r="Q23" i="18"/>
  <c r="Q416" i="18" s="1"/>
  <c r="R23" i="18"/>
  <c r="S23" i="18"/>
  <c r="T23" i="18"/>
  <c r="U23" i="18"/>
  <c r="U416" i="18" s="1"/>
  <c r="V23" i="18"/>
  <c r="W23" i="18"/>
  <c r="X23" i="18"/>
  <c r="AV23" i="18" s="1"/>
  <c r="Y23" i="18"/>
  <c r="BD23" i="18" s="1"/>
  <c r="Z23" i="18"/>
  <c r="AA23" i="18"/>
  <c r="AB23" i="18"/>
  <c r="AC23" i="18"/>
  <c r="AC416" i="18" s="1"/>
  <c r="AD23" i="18"/>
  <c r="AE23" i="18"/>
  <c r="AF23" i="18"/>
  <c r="D24" i="18"/>
  <c r="E24" i="18"/>
  <c r="F24" i="18"/>
  <c r="G24" i="18"/>
  <c r="H24" i="18"/>
  <c r="I24" i="18"/>
  <c r="J24" i="18"/>
  <c r="K24" i="18"/>
  <c r="L24" i="18"/>
  <c r="M24" i="18"/>
  <c r="N24" i="18"/>
  <c r="O24" i="18"/>
  <c r="P24" i="18"/>
  <c r="Q24" i="18"/>
  <c r="R24" i="18"/>
  <c r="S24" i="18"/>
  <c r="T24" i="18"/>
  <c r="U24" i="18"/>
  <c r="V24" i="18"/>
  <c r="W24" i="18"/>
  <c r="X24" i="18"/>
  <c r="AV24" i="18" s="1"/>
  <c r="Y24" i="18"/>
  <c r="BD24" i="18" s="1"/>
  <c r="Z24" i="18"/>
  <c r="AA24" i="18"/>
  <c r="AB24" i="18"/>
  <c r="AC24" i="18"/>
  <c r="AD24" i="18"/>
  <c r="AE24" i="18"/>
  <c r="AF24" i="18"/>
  <c r="D25" i="18"/>
  <c r="E25" i="18"/>
  <c r="F25" i="18"/>
  <c r="G25" i="18"/>
  <c r="H25" i="18"/>
  <c r="I25" i="18"/>
  <c r="J25" i="18"/>
  <c r="K25" i="18"/>
  <c r="L25" i="18"/>
  <c r="M25" i="18"/>
  <c r="N25" i="18"/>
  <c r="O25" i="18"/>
  <c r="P25" i="18"/>
  <c r="Q25" i="18"/>
  <c r="R25" i="18"/>
  <c r="S25" i="18"/>
  <c r="T25" i="18"/>
  <c r="U25" i="18"/>
  <c r="V25" i="18"/>
  <c r="W25" i="18"/>
  <c r="X25" i="18"/>
  <c r="AV25" i="18" s="1"/>
  <c r="Y25" i="18"/>
  <c r="BD25" i="18" s="1"/>
  <c r="Z25" i="18"/>
  <c r="AA25" i="18"/>
  <c r="AB25" i="18"/>
  <c r="AC25" i="18"/>
  <c r="AD25" i="18"/>
  <c r="AE25" i="18"/>
  <c r="AF25" i="18"/>
  <c r="D26" i="18"/>
  <c r="E26" i="18"/>
  <c r="F26" i="18"/>
  <c r="G26" i="18"/>
  <c r="H26" i="18"/>
  <c r="I26" i="18"/>
  <c r="J26" i="18"/>
  <c r="K26" i="18"/>
  <c r="L26" i="18"/>
  <c r="M26" i="18"/>
  <c r="N26" i="18"/>
  <c r="O26" i="18"/>
  <c r="P26" i="18"/>
  <c r="Q26" i="18"/>
  <c r="R26" i="18"/>
  <c r="S26" i="18"/>
  <c r="T26" i="18"/>
  <c r="U26" i="18"/>
  <c r="V26" i="18"/>
  <c r="W26" i="18"/>
  <c r="X26" i="18"/>
  <c r="AV26" i="18" s="1"/>
  <c r="Y26" i="18"/>
  <c r="BD26" i="18" s="1"/>
  <c r="Z26" i="18"/>
  <c r="AA26" i="18"/>
  <c r="AB26" i="18"/>
  <c r="AC26" i="18"/>
  <c r="AD26" i="18"/>
  <c r="AE26" i="18"/>
  <c r="AF26" i="18"/>
  <c r="D27" i="18"/>
  <c r="E27" i="18"/>
  <c r="F27" i="18"/>
  <c r="G27" i="18"/>
  <c r="H27" i="18"/>
  <c r="I27" i="18"/>
  <c r="J27" i="18"/>
  <c r="K27" i="18"/>
  <c r="L27" i="18"/>
  <c r="M27" i="18"/>
  <c r="N27" i="18"/>
  <c r="O27" i="18"/>
  <c r="P27" i="18"/>
  <c r="Q27" i="18"/>
  <c r="R27" i="18"/>
  <c r="S27" i="18"/>
  <c r="T27" i="18"/>
  <c r="U27" i="18"/>
  <c r="V27" i="18"/>
  <c r="W27" i="18"/>
  <c r="X27" i="18"/>
  <c r="AV27" i="18" s="1"/>
  <c r="Y27" i="18"/>
  <c r="BD27" i="18" s="1"/>
  <c r="Z27" i="18"/>
  <c r="AA27" i="18"/>
  <c r="AB27" i="18"/>
  <c r="AC27" i="18"/>
  <c r="AD27" i="18"/>
  <c r="AE27" i="18"/>
  <c r="AF27" i="18"/>
  <c r="D28" i="18"/>
  <c r="E28" i="18"/>
  <c r="F28" i="18"/>
  <c r="G28" i="18"/>
  <c r="H28" i="18"/>
  <c r="I28" i="18"/>
  <c r="J28" i="18"/>
  <c r="K28" i="18"/>
  <c r="L28" i="18"/>
  <c r="M28" i="18"/>
  <c r="N28" i="18"/>
  <c r="O28" i="18"/>
  <c r="P28" i="18"/>
  <c r="Q28" i="18"/>
  <c r="R28" i="18"/>
  <c r="S28" i="18"/>
  <c r="T28" i="18"/>
  <c r="U28" i="18"/>
  <c r="V28" i="18"/>
  <c r="W28" i="18"/>
  <c r="X28" i="18"/>
  <c r="AV28" i="18" s="1"/>
  <c r="Y28" i="18"/>
  <c r="BD28" i="18" s="1"/>
  <c r="Z28" i="18"/>
  <c r="AA28" i="18"/>
  <c r="AB28" i="18"/>
  <c r="AC28" i="18"/>
  <c r="AD28" i="18"/>
  <c r="AE28" i="18"/>
  <c r="AF28" i="18"/>
  <c r="D29" i="18"/>
  <c r="E29" i="18"/>
  <c r="F29" i="18"/>
  <c r="G29" i="18"/>
  <c r="H29" i="18"/>
  <c r="I29" i="18"/>
  <c r="J29" i="18"/>
  <c r="K29" i="18"/>
  <c r="L29" i="18"/>
  <c r="M29" i="18"/>
  <c r="N29" i="18"/>
  <c r="O29" i="18"/>
  <c r="P29" i="18"/>
  <c r="Q29" i="18"/>
  <c r="R29" i="18"/>
  <c r="S29" i="18"/>
  <c r="T29" i="18"/>
  <c r="U29" i="18"/>
  <c r="V29" i="18"/>
  <c r="W29" i="18"/>
  <c r="X29" i="18"/>
  <c r="AV29" i="18" s="1"/>
  <c r="Y29" i="18"/>
  <c r="BD29" i="18" s="1"/>
  <c r="Z29" i="18"/>
  <c r="AA29" i="18"/>
  <c r="AB29" i="18"/>
  <c r="AC29" i="18"/>
  <c r="AD29" i="18"/>
  <c r="AE29" i="18"/>
  <c r="AF29" i="18"/>
  <c r="D30" i="18"/>
  <c r="E30" i="18"/>
  <c r="F30" i="18"/>
  <c r="G30" i="18"/>
  <c r="H30" i="18"/>
  <c r="I30" i="18"/>
  <c r="J30" i="18"/>
  <c r="K30" i="18"/>
  <c r="L30" i="18"/>
  <c r="M30" i="18"/>
  <c r="N30" i="18"/>
  <c r="O30" i="18"/>
  <c r="P30" i="18"/>
  <c r="Q30" i="18"/>
  <c r="R30" i="18"/>
  <c r="S30" i="18"/>
  <c r="T30" i="18"/>
  <c r="U30" i="18"/>
  <c r="V30" i="18"/>
  <c r="W30" i="18"/>
  <c r="X30" i="18"/>
  <c r="AV30" i="18" s="1"/>
  <c r="Y30" i="18"/>
  <c r="BD30" i="18" s="1"/>
  <c r="Z30" i="18"/>
  <c r="AA30" i="18"/>
  <c r="AB30" i="18"/>
  <c r="AC30" i="18"/>
  <c r="AD30" i="18"/>
  <c r="AE30" i="18"/>
  <c r="AF30" i="18"/>
  <c r="E2" i="18"/>
  <c r="F2" i="18"/>
  <c r="G2" i="18"/>
  <c r="H2" i="18"/>
  <c r="I2" i="18"/>
  <c r="J2" i="18"/>
  <c r="K2" i="18"/>
  <c r="L2" i="18"/>
  <c r="M2" i="18"/>
  <c r="N2" i="18"/>
  <c r="O2" i="18"/>
  <c r="P2" i="18"/>
  <c r="Q2" i="18"/>
  <c r="R2" i="18"/>
  <c r="S2" i="18"/>
  <c r="T2" i="18"/>
  <c r="U2" i="18"/>
  <c r="V2" i="18"/>
  <c r="W2" i="18"/>
  <c r="X2" i="18"/>
  <c r="Y2" i="18"/>
  <c r="Z2" i="18"/>
  <c r="AA2" i="18"/>
  <c r="AB2" i="18"/>
  <c r="AC2" i="18"/>
  <c r="AD2" i="18"/>
  <c r="AE2" i="18"/>
  <c r="AF2" i="18"/>
  <c r="D2" i="18"/>
  <c r="C3" i="18"/>
  <c r="C4" i="18"/>
  <c r="C5" i="18"/>
  <c r="C6" i="18"/>
  <c r="C7" i="18"/>
  <c r="C8" i="18"/>
  <c r="C9" i="18"/>
  <c r="C10" i="18"/>
  <c r="C11" i="18"/>
  <c r="C12" i="18"/>
  <c r="C13" i="18"/>
  <c r="C14" i="18"/>
  <c r="C15" i="18"/>
  <c r="C16" i="18"/>
  <c r="C17" i="18"/>
  <c r="C18" i="18"/>
  <c r="C19" i="18"/>
  <c r="C20" i="18"/>
  <c r="C21" i="18"/>
  <c r="C22" i="18"/>
  <c r="C23" i="18"/>
  <c r="C24" i="18"/>
  <c r="C25" i="18"/>
  <c r="C26" i="18"/>
  <c r="C27" i="18"/>
  <c r="C28" i="18"/>
  <c r="C29" i="18"/>
  <c r="C30" i="18"/>
  <c r="C31" i="18"/>
  <c r="BC31" i="18" s="1"/>
  <c r="C32" i="18"/>
  <c r="BC32" i="18" s="1"/>
  <c r="C33" i="18"/>
  <c r="BC33" i="18" s="1"/>
  <c r="C34" i="18"/>
  <c r="BC34" i="18" s="1"/>
  <c r="C35" i="18"/>
  <c r="BC35" i="18" s="1"/>
  <c r="C36" i="18"/>
  <c r="BC36" i="18" s="1"/>
  <c r="C37" i="18"/>
  <c r="BC37" i="18" s="1"/>
  <c r="C38" i="18"/>
  <c r="BC38" i="18" s="1"/>
  <c r="C39" i="18"/>
  <c r="BC39" i="18" s="1"/>
  <c r="C40" i="18"/>
  <c r="BC40" i="18" s="1"/>
  <c r="C41" i="18"/>
  <c r="BC41" i="18" s="1"/>
  <c r="C42" i="18"/>
  <c r="BC42" i="18" s="1"/>
  <c r="C43" i="18"/>
  <c r="BC43" i="18" s="1"/>
  <c r="C44" i="18"/>
  <c r="BC44" i="18" s="1"/>
  <c r="C45" i="18"/>
  <c r="BC45" i="18" s="1"/>
  <c r="C46" i="18"/>
  <c r="BC46" i="18" s="1"/>
  <c r="C47" i="18"/>
  <c r="BC47" i="18" s="1"/>
  <c r="C48" i="18"/>
  <c r="BC48" i="18" s="1"/>
  <c r="C49" i="18"/>
  <c r="BC49" i="18" s="1"/>
  <c r="C50" i="18"/>
  <c r="BC50" i="18" s="1"/>
  <c r="C51" i="18"/>
  <c r="BC51" i="18" s="1"/>
  <c r="C52" i="18"/>
  <c r="BC52" i="18" s="1"/>
  <c r="C53" i="18"/>
  <c r="BC53" i="18" s="1"/>
  <c r="C54" i="18"/>
  <c r="BC54" i="18" s="1"/>
  <c r="C55" i="18"/>
  <c r="BC55" i="18" s="1"/>
  <c r="C56" i="18"/>
  <c r="BC56" i="18" s="1"/>
  <c r="C57" i="18"/>
  <c r="BC57" i="18" s="1"/>
  <c r="C58" i="18"/>
  <c r="BC58" i="18" s="1"/>
  <c r="C59" i="18"/>
  <c r="BC59" i="18" s="1"/>
  <c r="C60" i="18"/>
  <c r="BC60" i="18" s="1"/>
  <c r="C61" i="18"/>
  <c r="BC61" i="18" s="1"/>
  <c r="C62" i="18"/>
  <c r="BC62" i="18" s="1"/>
  <c r="C63" i="18"/>
  <c r="BC63" i="18" s="1"/>
  <c r="C64" i="18"/>
  <c r="BC64" i="18" s="1"/>
  <c r="C65" i="18"/>
  <c r="BC65" i="18" s="1"/>
  <c r="C66" i="18"/>
  <c r="BC66" i="18" s="1"/>
  <c r="C67" i="18"/>
  <c r="BC67" i="18" s="1"/>
  <c r="C68" i="18"/>
  <c r="BC68" i="18" s="1"/>
  <c r="C69" i="18"/>
  <c r="BC69" i="18" s="1"/>
  <c r="C70" i="18"/>
  <c r="BC70" i="18" s="1"/>
  <c r="C71" i="18"/>
  <c r="BC71" i="18" s="1"/>
  <c r="C72" i="18"/>
  <c r="BC72" i="18" s="1"/>
  <c r="C73" i="18"/>
  <c r="BC73" i="18" s="1"/>
  <c r="C74" i="18"/>
  <c r="BC74" i="18" s="1"/>
  <c r="C75" i="18"/>
  <c r="BC75" i="18" s="1"/>
  <c r="C76" i="18"/>
  <c r="BC76" i="18" s="1"/>
  <c r="C77" i="18"/>
  <c r="BC77" i="18" s="1"/>
  <c r="C78" i="18"/>
  <c r="BC78" i="18" s="1"/>
  <c r="C79" i="18"/>
  <c r="BC79" i="18" s="1"/>
  <c r="C80" i="18"/>
  <c r="BC80" i="18" s="1"/>
  <c r="C81" i="18"/>
  <c r="BC81" i="18" s="1"/>
  <c r="C82" i="18"/>
  <c r="BC82" i="18" s="1"/>
  <c r="C83" i="18"/>
  <c r="BC83" i="18" s="1"/>
  <c r="C84" i="18"/>
  <c r="BC84" i="18" s="1"/>
  <c r="C85" i="18"/>
  <c r="BC85" i="18" s="1"/>
  <c r="C86" i="18"/>
  <c r="BC86" i="18" s="1"/>
  <c r="C87" i="18"/>
  <c r="BC87" i="18" s="1"/>
  <c r="C88" i="18"/>
  <c r="BC88" i="18" s="1"/>
  <c r="C89" i="18"/>
  <c r="BC89" i="18" s="1"/>
  <c r="C90" i="18"/>
  <c r="BC90" i="18" s="1"/>
  <c r="C91" i="18"/>
  <c r="BC91" i="18" s="1"/>
  <c r="C92" i="18"/>
  <c r="BC92" i="18" s="1"/>
  <c r="C93" i="18"/>
  <c r="BC93" i="18" s="1"/>
  <c r="C94" i="18"/>
  <c r="BC94" i="18" s="1"/>
  <c r="C95" i="18"/>
  <c r="BC95" i="18" s="1"/>
  <c r="C96" i="18"/>
  <c r="BC96" i="18" s="1"/>
  <c r="C97" i="18"/>
  <c r="BC97" i="18" s="1"/>
  <c r="C98" i="18"/>
  <c r="BC98" i="18" s="1"/>
  <c r="C99" i="18"/>
  <c r="BC99" i="18" s="1"/>
  <c r="C100" i="18"/>
  <c r="BC100" i="18" s="1"/>
  <c r="C101" i="18"/>
  <c r="BC101" i="18" s="1"/>
  <c r="C102" i="18"/>
  <c r="BC102" i="18" s="1"/>
  <c r="C103" i="18"/>
  <c r="BC103" i="18" s="1"/>
  <c r="C104" i="18"/>
  <c r="BC104" i="18" s="1"/>
  <c r="C105" i="18"/>
  <c r="BC105" i="18" s="1"/>
  <c r="C106" i="18"/>
  <c r="BC106" i="18" s="1"/>
  <c r="C107" i="18"/>
  <c r="BC107" i="18" s="1"/>
  <c r="C108" i="18"/>
  <c r="BC108" i="18" s="1"/>
  <c r="C109" i="18"/>
  <c r="BC109" i="18" s="1"/>
  <c r="C110" i="18"/>
  <c r="BC110" i="18" s="1"/>
  <c r="C111" i="18"/>
  <c r="BC111" i="18" s="1"/>
  <c r="C112" i="18"/>
  <c r="BC112" i="18" s="1"/>
  <c r="C113" i="18"/>
  <c r="BC113" i="18" s="1"/>
  <c r="C114" i="18"/>
  <c r="BC114" i="18" s="1"/>
  <c r="C115" i="18"/>
  <c r="BC115" i="18" s="1"/>
  <c r="C116" i="18"/>
  <c r="BC116" i="18" s="1"/>
  <c r="C117" i="18"/>
  <c r="BC117" i="18" s="1"/>
  <c r="C118" i="18"/>
  <c r="BC118" i="18" s="1"/>
  <c r="C119" i="18"/>
  <c r="BC119" i="18" s="1"/>
  <c r="C120" i="18"/>
  <c r="BC120" i="18" s="1"/>
  <c r="C121" i="18"/>
  <c r="BC121" i="18" s="1"/>
  <c r="C122" i="18"/>
  <c r="BC122" i="18" s="1"/>
  <c r="C123" i="18"/>
  <c r="BC123" i="18" s="1"/>
  <c r="C124" i="18"/>
  <c r="BC124" i="18" s="1"/>
  <c r="C125" i="18"/>
  <c r="BC125" i="18" s="1"/>
  <c r="C126" i="18"/>
  <c r="BC126" i="18" s="1"/>
  <c r="C127" i="18"/>
  <c r="BC127" i="18" s="1"/>
  <c r="C128" i="18"/>
  <c r="BC128" i="18" s="1"/>
  <c r="C129" i="18"/>
  <c r="BC129" i="18" s="1"/>
  <c r="C130" i="18"/>
  <c r="BC130" i="18" s="1"/>
  <c r="C131" i="18"/>
  <c r="BC131" i="18" s="1"/>
  <c r="C132" i="18"/>
  <c r="BC132" i="18" s="1"/>
  <c r="C133" i="18"/>
  <c r="BC133" i="18" s="1"/>
  <c r="C134" i="18"/>
  <c r="BC134" i="18" s="1"/>
  <c r="C135" i="18"/>
  <c r="BC135" i="18" s="1"/>
  <c r="C136" i="18"/>
  <c r="BC136" i="18" s="1"/>
  <c r="C137" i="18"/>
  <c r="BC137" i="18" s="1"/>
  <c r="C138" i="18"/>
  <c r="BC138" i="18" s="1"/>
  <c r="C139" i="18"/>
  <c r="BC139" i="18" s="1"/>
  <c r="C140" i="18"/>
  <c r="BC140" i="18" s="1"/>
  <c r="C141" i="18"/>
  <c r="BC141" i="18" s="1"/>
  <c r="C142" i="18"/>
  <c r="BC142" i="18" s="1"/>
  <c r="C143" i="18"/>
  <c r="BC143" i="18" s="1"/>
  <c r="C144" i="18"/>
  <c r="BC144" i="18" s="1"/>
  <c r="C145" i="18"/>
  <c r="BC145" i="18" s="1"/>
  <c r="C146" i="18"/>
  <c r="BC146" i="18" s="1"/>
  <c r="C147" i="18"/>
  <c r="BC147" i="18" s="1"/>
  <c r="C148" i="18"/>
  <c r="BC148" i="18" s="1"/>
  <c r="C149" i="18"/>
  <c r="BC149" i="18" s="1"/>
  <c r="C150" i="18"/>
  <c r="BC150" i="18" s="1"/>
  <c r="C151" i="18"/>
  <c r="BC151" i="18" s="1"/>
  <c r="C152" i="18"/>
  <c r="BC152" i="18" s="1"/>
  <c r="C153" i="18"/>
  <c r="BC153" i="18" s="1"/>
  <c r="C154" i="18"/>
  <c r="BC154" i="18" s="1"/>
  <c r="C155" i="18"/>
  <c r="BC155" i="18" s="1"/>
  <c r="C156" i="18"/>
  <c r="BC156" i="18" s="1"/>
  <c r="C157" i="18"/>
  <c r="BC157" i="18" s="1"/>
  <c r="C158" i="18"/>
  <c r="BC158" i="18" s="1"/>
  <c r="C159" i="18"/>
  <c r="BC159" i="18" s="1"/>
  <c r="C160" i="18"/>
  <c r="BC160" i="18" s="1"/>
  <c r="C161" i="18"/>
  <c r="BC161" i="18" s="1"/>
  <c r="C162" i="18"/>
  <c r="BC162" i="18" s="1"/>
  <c r="C163" i="18"/>
  <c r="BC163" i="18" s="1"/>
  <c r="C164" i="18"/>
  <c r="BC164" i="18" s="1"/>
  <c r="C165" i="18"/>
  <c r="BC165" i="18" s="1"/>
  <c r="C166" i="18"/>
  <c r="BC166" i="18" s="1"/>
  <c r="C167" i="18"/>
  <c r="BC167" i="18" s="1"/>
  <c r="C168" i="18"/>
  <c r="BC168" i="18" s="1"/>
  <c r="C169" i="18"/>
  <c r="BC169" i="18" s="1"/>
  <c r="C170" i="18"/>
  <c r="BC170" i="18" s="1"/>
  <c r="C171" i="18"/>
  <c r="BC171" i="18" s="1"/>
  <c r="C172" i="18"/>
  <c r="BC172" i="18" s="1"/>
  <c r="C173" i="18"/>
  <c r="BC173" i="18" s="1"/>
  <c r="C174" i="18"/>
  <c r="BC174" i="18" s="1"/>
  <c r="C175" i="18"/>
  <c r="BC175" i="18" s="1"/>
  <c r="C176" i="18"/>
  <c r="BC176" i="18" s="1"/>
  <c r="C177" i="18"/>
  <c r="BC177" i="18" s="1"/>
  <c r="C178" i="18"/>
  <c r="BC178" i="18" s="1"/>
  <c r="C179" i="18"/>
  <c r="BC179" i="18" s="1"/>
  <c r="C180" i="18"/>
  <c r="BC180" i="18" s="1"/>
  <c r="C181" i="18"/>
  <c r="BC181" i="18" s="1"/>
  <c r="C182" i="18"/>
  <c r="BC182" i="18" s="1"/>
  <c r="C183" i="18"/>
  <c r="BC183" i="18" s="1"/>
  <c r="C184" i="18"/>
  <c r="BC184" i="18" s="1"/>
  <c r="C185" i="18"/>
  <c r="BC185" i="18" s="1"/>
  <c r="C186" i="18"/>
  <c r="BC186" i="18" s="1"/>
  <c r="C187" i="18"/>
  <c r="BC187" i="18" s="1"/>
  <c r="C188" i="18"/>
  <c r="BC188" i="18" s="1"/>
  <c r="C189" i="18"/>
  <c r="BC189" i="18" s="1"/>
  <c r="C190" i="18"/>
  <c r="BC190" i="18" s="1"/>
  <c r="C191" i="18"/>
  <c r="BC191" i="18" s="1"/>
  <c r="C192" i="18"/>
  <c r="BC192" i="18" s="1"/>
  <c r="C193" i="18"/>
  <c r="BC193" i="18" s="1"/>
  <c r="C194" i="18"/>
  <c r="BC194" i="18" s="1"/>
  <c r="C195" i="18"/>
  <c r="BC195" i="18" s="1"/>
  <c r="C196" i="18"/>
  <c r="BC196" i="18" s="1"/>
  <c r="C197" i="18"/>
  <c r="BC197" i="18" s="1"/>
  <c r="C198" i="18"/>
  <c r="BC198" i="18" s="1"/>
  <c r="C199" i="18"/>
  <c r="BC199" i="18" s="1"/>
  <c r="C200" i="18"/>
  <c r="BC200" i="18" s="1"/>
  <c r="C201" i="18"/>
  <c r="BC201" i="18" s="1"/>
  <c r="C202" i="18"/>
  <c r="BC202" i="18" s="1"/>
  <c r="C203" i="18"/>
  <c r="BC203" i="18" s="1"/>
  <c r="C204" i="18"/>
  <c r="BC204" i="18" s="1"/>
  <c r="C205" i="18"/>
  <c r="BC205" i="18" s="1"/>
  <c r="C206" i="18"/>
  <c r="BC206" i="18" s="1"/>
  <c r="C207" i="18"/>
  <c r="BC207" i="18" s="1"/>
  <c r="C208" i="18"/>
  <c r="BC208" i="18" s="1"/>
  <c r="C209" i="18"/>
  <c r="BC209" i="18" s="1"/>
  <c r="C210" i="18"/>
  <c r="BC210" i="18" s="1"/>
  <c r="C211" i="18"/>
  <c r="BC211" i="18" s="1"/>
  <c r="C212" i="18"/>
  <c r="BC212" i="18" s="1"/>
  <c r="C213" i="18"/>
  <c r="BC213" i="18" s="1"/>
  <c r="C214" i="18"/>
  <c r="BC214" i="18" s="1"/>
  <c r="C215" i="18"/>
  <c r="BC215" i="18" s="1"/>
  <c r="C216" i="18"/>
  <c r="BC216" i="18" s="1"/>
  <c r="C217" i="18"/>
  <c r="BC217" i="18" s="1"/>
  <c r="C218" i="18"/>
  <c r="BC218" i="18" s="1"/>
  <c r="C219" i="18"/>
  <c r="BC219" i="18" s="1"/>
  <c r="C220" i="18"/>
  <c r="BC220" i="18" s="1"/>
  <c r="C221" i="18"/>
  <c r="BC221" i="18" s="1"/>
  <c r="C222" i="18"/>
  <c r="BC222" i="18" s="1"/>
  <c r="C223" i="18"/>
  <c r="BC223" i="18" s="1"/>
  <c r="C224" i="18"/>
  <c r="BC224" i="18" s="1"/>
  <c r="C225" i="18"/>
  <c r="BC225" i="18" s="1"/>
  <c r="C226" i="18"/>
  <c r="BC226" i="18" s="1"/>
  <c r="C227" i="18"/>
  <c r="BC227" i="18" s="1"/>
  <c r="C228" i="18"/>
  <c r="BC228" i="18" s="1"/>
  <c r="C229" i="18"/>
  <c r="BC229" i="18" s="1"/>
  <c r="C230" i="18"/>
  <c r="BC230" i="18" s="1"/>
  <c r="C231" i="18"/>
  <c r="BC231" i="18" s="1"/>
  <c r="C232" i="18"/>
  <c r="BC232" i="18" s="1"/>
  <c r="C233" i="18"/>
  <c r="BC233" i="18" s="1"/>
  <c r="C234" i="18"/>
  <c r="BC234" i="18" s="1"/>
  <c r="C235" i="18"/>
  <c r="BC235" i="18" s="1"/>
  <c r="C236" i="18"/>
  <c r="BC236" i="18" s="1"/>
  <c r="C237" i="18"/>
  <c r="BC237" i="18" s="1"/>
  <c r="C238" i="18"/>
  <c r="BC238" i="18" s="1"/>
  <c r="C239" i="18"/>
  <c r="BC239" i="18" s="1"/>
  <c r="C240" i="18"/>
  <c r="BC240" i="18" s="1"/>
  <c r="C241" i="18"/>
  <c r="BC241" i="18" s="1"/>
  <c r="C242" i="18"/>
  <c r="BC242" i="18" s="1"/>
  <c r="C243" i="18"/>
  <c r="BC243" i="18" s="1"/>
  <c r="C244" i="18"/>
  <c r="BC244" i="18" s="1"/>
  <c r="C245" i="18"/>
  <c r="BC245" i="18" s="1"/>
  <c r="C246" i="18"/>
  <c r="BC246" i="18" s="1"/>
  <c r="C247" i="18"/>
  <c r="BC247" i="18" s="1"/>
  <c r="C248" i="18"/>
  <c r="BC248" i="18" s="1"/>
  <c r="C249" i="18"/>
  <c r="BC249" i="18" s="1"/>
  <c r="C250" i="18"/>
  <c r="BC250" i="18" s="1"/>
  <c r="C251" i="18"/>
  <c r="BC251" i="18" s="1"/>
  <c r="C252" i="18"/>
  <c r="BC252" i="18" s="1"/>
  <c r="C253" i="18"/>
  <c r="C254" i="18"/>
  <c r="C255" i="18"/>
  <c r="BC255" i="18" s="1"/>
  <c r="C256" i="18"/>
  <c r="BC256" i="18" s="1"/>
  <c r="C257" i="18"/>
  <c r="C258" i="18"/>
  <c r="C259" i="18"/>
  <c r="BC259" i="18" s="1"/>
  <c r="C260" i="18"/>
  <c r="BC260" i="18" s="1"/>
  <c r="C261" i="18"/>
  <c r="C262" i="18"/>
  <c r="C263" i="18"/>
  <c r="C264" i="18"/>
  <c r="BC264" i="18" s="1"/>
  <c r="C265" i="18"/>
  <c r="C266" i="18"/>
  <c r="C267" i="18"/>
  <c r="C268" i="18"/>
  <c r="BC268" i="18" s="1"/>
  <c r="C269" i="18"/>
  <c r="C270" i="18"/>
  <c r="C271" i="18"/>
  <c r="C272" i="18"/>
  <c r="BC272" i="18" s="1"/>
  <c r="C273" i="18"/>
  <c r="C274" i="18"/>
  <c r="C275" i="18"/>
  <c r="C276" i="18"/>
  <c r="BC276" i="18" s="1"/>
  <c r="C277" i="18"/>
  <c r="C278" i="18"/>
  <c r="C279" i="18"/>
  <c r="C280" i="18"/>
  <c r="BC280" i="18" s="1"/>
  <c r="C281" i="18"/>
  <c r="C283" i="18"/>
  <c r="C284" i="18"/>
  <c r="BC284" i="18" s="1"/>
  <c r="C285" i="18"/>
  <c r="C286" i="18"/>
  <c r="C287" i="18"/>
  <c r="C288" i="18"/>
  <c r="BC288" i="18" s="1"/>
  <c r="C289" i="18"/>
  <c r="C290" i="18"/>
  <c r="C291" i="18"/>
  <c r="C292" i="18"/>
  <c r="C293" i="18"/>
  <c r="C294" i="18"/>
  <c r="C295" i="18"/>
  <c r="BC295" i="18" s="1"/>
  <c r="C296" i="18"/>
  <c r="C297" i="18"/>
  <c r="C298" i="18"/>
  <c r="C299" i="18"/>
  <c r="C300" i="18"/>
  <c r="C301" i="18"/>
  <c r="C302" i="18"/>
  <c r="C303" i="18"/>
  <c r="C304" i="18"/>
  <c r="C305" i="18"/>
  <c r="C306" i="18"/>
  <c r="C307" i="18"/>
  <c r="C308" i="18"/>
  <c r="C309" i="18"/>
  <c r="C310" i="18"/>
  <c r="C311" i="18"/>
  <c r="C312" i="18"/>
  <c r="C313" i="18"/>
  <c r="C314" i="18"/>
  <c r="C315" i="18"/>
  <c r="C316" i="18"/>
  <c r="C317" i="18"/>
  <c r="C318" i="18"/>
  <c r="C319" i="18"/>
  <c r="C320" i="18"/>
  <c r="C321" i="18"/>
  <c r="C322" i="18"/>
  <c r="C323" i="18"/>
  <c r="C324" i="18"/>
  <c r="C325" i="18"/>
  <c r="C326" i="18"/>
  <c r="C327" i="18"/>
  <c r="C328" i="18"/>
  <c r="C329" i="18"/>
  <c r="C330" i="18"/>
  <c r="C331" i="18"/>
  <c r="C332" i="18"/>
  <c r="C333" i="18"/>
  <c r="C334" i="18"/>
  <c r="C336" i="18"/>
  <c r="C337" i="18"/>
  <c r="C338" i="18"/>
  <c r="C339" i="18"/>
  <c r="C340" i="18"/>
  <c r="C341" i="18"/>
  <c r="C342" i="18"/>
  <c r="C343" i="18"/>
  <c r="C344" i="18"/>
  <c r="C345" i="18"/>
  <c r="C346" i="18"/>
  <c r="C347" i="18"/>
  <c r="C348" i="18"/>
  <c r="C349" i="18"/>
  <c r="C350" i="18"/>
  <c r="C351" i="18"/>
  <c r="C352" i="18"/>
  <c r="C353" i="18"/>
  <c r="C354" i="18"/>
  <c r="C355" i="18"/>
  <c r="C356" i="18"/>
  <c r="C357" i="18"/>
  <c r="C358" i="18"/>
  <c r="C359" i="18"/>
  <c r="C360" i="18"/>
  <c r="C361" i="18"/>
  <c r="C362" i="18"/>
  <c r="C363" i="18"/>
  <c r="BC363" i="18" s="1"/>
  <c r="C364" i="18"/>
  <c r="BC364" i="18" s="1"/>
  <c r="C365" i="18"/>
  <c r="BC365" i="18" s="1"/>
  <c r="C366" i="18"/>
  <c r="BC366" i="18" s="1"/>
  <c r="C367" i="18"/>
  <c r="BC367" i="18" s="1"/>
  <c r="C368" i="18"/>
  <c r="BC368" i="18" s="1"/>
  <c r="C369" i="18"/>
  <c r="BC369" i="18" s="1"/>
  <c r="C370" i="18"/>
  <c r="BC370" i="18" s="1"/>
  <c r="C371" i="18"/>
  <c r="BC371" i="18" s="1"/>
  <c r="C372" i="18"/>
  <c r="BC372" i="18" s="1"/>
  <c r="C373" i="18"/>
  <c r="BC373" i="18" s="1"/>
  <c r="C374" i="18"/>
  <c r="BC374" i="18" s="1"/>
  <c r="C375" i="18"/>
  <c r="BC375" i="18" s="1"/>
  <c r="C376" i="18"/>
  <c r="BC376" i="18" s="1"/>
  <c r="C377" i="18"/>
  <c r="BC377" i="18" s="1"/>
  <c r="C378" i="18"/>
  <c r="BC378" i="18" s="1"/>
  <c r="C379" i="18"/>
  <c r="BC379" i="18" s="1"/>
  <c r="C380" i="18"/>
  <c r="BC380" i="18" s="1"/>
  <c r="C381" i="18"/>
  <c r="BC381" i="18" s="1"/>
  <c r="C382" i="18"/>
  <c r="BC382" i="18" s="1"/>
  <c r="C383" i="18"/>
  <c r="BC383" i="18" s="1"/>
  <c r="C385" i="18"/>
  <c r="BC385" i="18" s="1"/>
  <c r="C386" i="18"/>
  <c r="BC386" i="18" s="1"/>
  <c r="C387" i="18"/>
  <c r="BC387" i="18" s="1"/>
  <c r="C388" i="18"/>
  <c r="BC388" i="18" s="1"/>
  <c r="C389" i="18"/>
  <c r="BC389" i="18" s="1"/>
  <c r="C390" i="18"/>
  <c r="BC390" i="18" s="1"/>
  <c r="C391" i="18"/>
  <c r="BC391" i="18" s="1"/>
  <c r="C392" i="18"/>
  <c r="BC392" i="18" s="1"/>
  <c r="C393" i="18"/>
  <c r="BC393" i="18" s="1"/>
  <c r="C394" i="18"/>
  <c r="BC394" i="18" s="1"/>
  <c r="C395" i="18"/>
  <c r="BC395" i="18" s="1"/>
  <c r="C396" i="18"/>
  <c r="BC396" i="18" s="1"/>
  <c r="C397" i="18"/>
  <c r="BC397" i="18" s="1"/>
  <c r="C398" i="18"/>
  <c r="BC398" i="18" s="1"/>
  <c r="C399" i="18"/>
  <c r="BC399" i="18" s="1"/>
  <c r="C400" i="18"/>
  <c r="BC400" i="18" s="1"/>
  <c r="C401" i="18"/>
  <c r="C402" i="18"/>
  <c r="BC402" i="18" s="1"/>
  <c r="C403" i="18"/>
  <c r="BC403" i="18" s="1"/>
  <c r="C404" i="18"/>
  <c r="BC404" i="18" s="1"/>
  <c r="C405" i="18"/>
  <c r="BC405" i="18" s="1"/>
  <c r="C406" i="18"/>
  <c r="BC406" i="18" s="1"/>
  <c r="C407" i="18"/>
  <c r="BC407" i="18" s="1"/>
  <c r="C2" i="18"/>
  <c r="AC417" i="18" l="1"/>
  <c r="U417" i="18"/>
  <c r="Q417" i="18"/>
  <c r="M417" i="18"/>
  <c r="I417" i="18"/>
  <c r="E417" i="18"/>
  <c r="D415" i="18"/>
  <c r="Y415" i="18"/>
  <c r="U415" i="18"/>
  <c r="Q415" i="18"/>
  <c r="AF416" i="18"/>
  <c r="AB416" i="18"/>
  <c r="T416" i="18"/>
  <c r="P416" i="18"/>
  <c r="L416" i="18"/>
  <c r="H416" i="18"/>
  <c r="D416" i="18"/>
  <c r="AF417" i="18"/>
  <c r="AB417" i="18"/>
  <c r="T417" i="18"/>
  <c r="P417" i="18"/>
  <c r="L417" i="18"/>
  <c r="H417" i="18"/>
  <c r="D417" i="18"/>
  <c r="C416" i="18"/>
  <c r="AF415" i="18"/>
  <c r="AB415" i="18"/>
  <c r="X415" i="18"/>
  <c r="T415" i="18"/>
  <c r="P415" i="18"/>
  <c r="L415" i="18"/>
  <c r="AE416" i="18"/>
  <c r="AA416" i="18"/>
  <c r="W416" i="18"/>
  <c r="S416" i="18"/>
  <c r="O416" i="18"/>
  <c r="K416" i="18"/>
  <c r="G416" i="18"/>
  <c r="AE417" i="18"/>
  <c r="AA417" i="18"/>
  <c r="W417" i="18"/>
  <c r="S417" i="18"/>
  <c r="O417" i="18"/>
  <c r="K417" i="18"/>
  <c r="G417" i="18"/>
  <c r="C415" i="18"/>
  <c r="AA415" i="18"/>
  <c r="AD416" i="18"/>
  <c r="Z416" i="18"/>
  <c r="V416" i="18"/>
  <c r="R416" i="18"/>
  <c r="N416" i="18"/>
  <c r="J416" i="18"/>
  <c r="F416" i="18"/>
  <c r="AD417" i="18"/>
  <c r="Z417" i="18"/>
  <c r="V417" i="18"/>
  <c r="R417" i="18"/>
  <c r="N417" i="18"/>
  <c r="J417" i="18"/>
  <c r="F417" i="18"/>
  <c r="AE419" i="18"/>
  <c r="AE414" i="18"/>
  <c r="W419" i="18"/>
  <c r="W414" i="18"/>
  <c r="O419" i="18"/>
  <c r="O414" i="18"/>
  <c r="G419" i="18"/>
  <c r="G414" i="18"/>
  <c r="G415" i="18"/>
  <c r="Y417" i="18"/>
  <c r="AA419" i="18"/>
  <c r="AA414" i="18"/>
  <c r="S419" i="18"/>
  <c r="S414" i="18"/>
  <c r="K419" i="18"/>
  <c r="K414" i="18"/>
  <c r="AD419" i="18"/>
  <c r="AD414" i="18"/>
  <c r="Z419" i="18"/>
  <c r="Z414" i="18"/>
  <c r="V419" i="18"/>
  <c r="V414" i="18"/>
  <c r="R419" i="18"/>
  <c r="R414" i="18"/>
  <c r="N419" i="18"/>
  <c r="N414" i="18"/>
  <c r="J419" i="18"/>
  <c r="J414" i="18"/>
  <c r="F419" i="18"/>
  <c r="F414" i="18"/>
  <c r="S415" i="18"/>
  <c r="W415" i="18"/>
  <c r="Y416" i="18"/>
  <c r="N415" i="18"/>
  <c r="O415" i="18"/>
  <c r="C419" i="18"/>
  <c r="C414" i="18"/>
  <c r="D419" i="18"/>
  <c r="D414" i="18"/>
  <c r="AC419" i="18"/>
  <c r="AC414" i="18"/>
  <c r="BD2" i="18"/>
  <c r="Y419" i="18"/>
  <c r="Y414" i="18"/>
  <c r="U419" i="18"/>
  <c r="U414" i="18"/>
  <c r="Q419" i="18"/>
  <c r="Q414" i="18"/>
  <c r="M419" i="18"/>
  <c r="M414" i="18"/>
  <c r="I419" i="18"/>
  <c r="I414" i="18"/>
  <c r="E419" i="18"/>
  <c r="E414" i="18"/>
  <c r="X416" i="18"/>
  <c r="F415" i="18"/>
  <c r="M415" i="18"/>
  <c r="J415" i="18"/>
  <c r="AD415" i="18"/>
  <c r="AE415" i="18"/>
  <c r="AF419" i="18"/>
  <c r="AF414" i="18"/>
  <c r="AB419" i="18"/>
  <c r="AB414" i="18"/>
  <c r="AV2" i="18"/>
  <c r="X419" i="18"/>
  <c r="X414" i="18"/>
  <c r="T419" i="18"/>
  <c r="T414" i="18"/>
  <c r="P419" i="18"/>
  <c r="P414" i="18"/>
  <c r="L419" i="18"/>
  <c r="L414" i="18"/>
  <c r="H419" i="18"/>
  <c r="H414" i="18"/>
  <c r="R415" i="18"/>
  <c r="I415" i="18"/>
  <c r="H415" i="18"/>
  <c r="V415" i="18"/>
  <c r="AC415" i="18"/>
  <c r="X417" i="18"/>
  <c r="Z415" i="18"/>
  <c r="K415" i="18"/>
  <c r="E415" i="18"/>
  <c r="C417" i="18"/>
  <c r="BC401" i="18"/>
  <c r="Y46" i="22"/>
  <c r="M47" i="23" s="1"/>
  <c r="J47" i="23"/>
  <c r="H89" i="22"/>
  <c r="BC287" i="18"/>
  <c r="BC275" i="18"/>
  <c r="BC271" i="18"/>
  <c r="BC263" i="18"/>
  <c r="BC286" i="18"/>
  <c r="BC278" i="18"/>
  <c r="BC274" i="18"/>
  <c r="BC270" i="18"/>
  <c r="BC266" i="18"/>
  <c r="BC262" i="18"/>
  <c r="BC258" i="18"/>
  <c r="BC254" i="18"/>
  <c r="BC290" i="18"/>
  <c r="BC283" i="18"/>
  <c r="BC279" i="18"/>
  <c r="BC267" i="18"/>
  <c r="BC292" i="18"/>
  <c r="BC285" i="18"/>
  <c r="BC281" i="18"/>
  <c r="BC277" i="18"/>
  <c r="BC273" i="18"/>
  <c r="BC269" i="18"/>
  <c r="BC265" i="18"/>
  <c r="BC261" i="18"/>
  <c r="BC257" i="18"/>
  <c r="BC253" i="18"/>
  <c r="BC299" i="18"/>
  <c r="BC303" i="18"/>
  <c r="BC308" i="18"/>
  <c r="BC302" i="18"/>
  <c r="BC298" i="18"/>
  <c r="BC291" i="18"/>
  <c r="BC306" i="18"/>
  <c r="BC305" i="18"/>
  <c r="BC301" i="18"/>
  <c r="BC297" i="18"/>
  <c r="BC294" i="18"/>
  <c r="BC320" i="18"/>
  <c r="BC316" i="18"/>
  <c r="BC312" i="18"/>
  <c r="BC311" i="18"/>
  <c r="BC342" i="18"/>
  <c r="BC338" i="18"/>
  <c r="BC334" i="18"/>
  <c r="BC330" i="18"/>
  <c r="BC326" i="18"/>
  <c r="BC322" i="18"/>
  <c r="BC318" i="18"/>
  <c r="BC314" i="18"/>
  <c r="BC310" i="18"/>
  <c r="BC307" i="18"/>
  <c r="BC304" i="18"/>
  <c r="BC300" i="18"/>
  <c r="BC296" i="18"/>
  <c r="BC293" i="18"/>
  <c r="BC289" i="18"/>
  <c r="BC345" i="18"/>
  <c r="BC341" i="18"/>
  <c r="BC337" i="18"/>
  <c r="BC333" i="18"/>
  <c r="BC329" i="18"/>
  <c r="BC325" i="18"/>
  <c r="BC321" i="18"/>
  <c r="BC317" i="18"/>
  <c r="BC313" i="18"/>
  <c r="BC309" i="18"/>
  <c r="BC328" i="18"/>
  <c r="BC324" i="18"/>
  <c r="BC339" i="18"/>
  <c r="BC331" i="18"/>
  <c r="BC327" i="18"/>
  <c r="BC323" i="18"/>
  <c r="BC319" i="18"/>
  <c r="BC315" i="18"/>
  <c r="BC349" i="18"/>
  <c r="BC353" i="18"/>
  <c r="BC2" i="18"/>
  <c r="BC360" i="18"/>
  <c r="BC356" i="18"/>
  <c r="BC352" i="18"/>
  <c r="BC348" i="18"/>
  <c r="BC344" i="18"/>
  <c r="BC340" i="18"/>
  <c r="BC336" i="18"/>
  <c r="BC332" i="18"/>
  <c r="BG104" i="18"/>
  <c r="BC350" i="18"/>
  <c r="BC346" i="18"/>
  <c r="BG386" i="18"/>
  <c r="AX386" i="18"/>
  <c r="BG382" i="18"/>
  <c r="AX382" i="18"/>
  <c r="BG378" i="18"/>
  <c r="AX378" i="18"/>
  <c r="BG374" i="18"/>
  <c r="AX374" i="18"/>
  <c r="BG370" i="18"/>
  <c r="AX370" i="18"/>
  <c r="BG366" i="18"/>
  <c r="AX366" i="18"/>
  <c r="BG407" i="18"/>
  <c r="AX407" i="18"/>
  <c r="BG403" i="18"/>
  <c r="AX403" i="18"/>
  <c r="BC359" i="18"/>
  <c r="BC355" i="18"/>
  <c r="BC351" i="18"/>
  <c r="BC347" i="18"/>
  <c r="BC343" i="18"/>
  <c r="BC29" i="18"/>
  <c r="BC25" i="18"/>
  <c r="BC21" i="18"/>
  <c r="BC17" i="18"/>
  <c r="BC13" i="18"/>
  <c r="BC9" i="18"/>
  <c r="BC5" i="18"/>
  <c r="BG28" i="18"/>
  <c r="AX28" i="18"/>
  <c r="BG24" i="18"/>
  <c r="AX24" i="18"/>
  <c r="BG20" i="18"/>
  <c r="AX20" i="18"/>
  <c r="BG16" i="18"/>
  <c r="AX16" i="18"/>
  <c r="BG12" i="18"/>
  <c r="AX12" i="18"/>
  <c r="BG8" i="18"/>
  <c r="AX8" i="18"/>
  <c r="BG4" i="18"/>
  <c r="AX4" i="18"/>
  <c r="BG360" i="18"/>
  <c r="AX360" i="18"/>
  <c r="BG356" i="18"/>
  <c r="AX356" i="18"/>
  <c r="BG352" i="18"/>
  <c r="AX352" i="18"/>
  <c r="BG348" i="18"/>
  <c r="AX348" i="18"/>
  <c r="BG344" i="18"/>
  <c r="AX344" i="18"/>
  <c r="BG340" i="18"/>
  <c r="AX340" i="18"/>
  <c r="BG336" i="18"/>
  <c r="AX336" i="18"/>
  <c r="BG332" i="18"/>
  <c r="AX332" i="18"/>
  <c r="BG328" i="18"/>
  <c r="AX328" i="18"/>
  <c r="BG324" i="18"/>
  <c r="AX324" i="18"/>
  <c r="BG320" i="18"/>
  <c r="AX320" i="18"/>
  <c r="BG316" i="18"/>
  <c r="AX316" i="18"/>
  <c r="BG312" i="18"/>
  <c r="AX312" i="18"/>
  <c r="BG308" i="18"/>
  <c r="BG302" i="18"/>
  <c r="AX302" i="18"/>
  <c r="BG298" i="18"/>
  <c r="AX298" i="18"/>
  <c r="BG291" i="18"/>
  <c r="AX291" i="18"/>
  <c r="BG288" i="18"/>
  <c r="AX288" i="18"/>
  <c r="BG284" i="18"/>
  <c r="AX284" i="18"/>
  <c r="BG281" i="18"/>
  <c r="AX281" i="18"/>
  <c r="BG277" i="18"/>
  <c r="AX277" i="18"/>
  <c r="BG273" i="18"/>
  <c r="AX273" i="18"/>
  <c r="BG269" i="18"/>
  <c r="AX269" i="18"/>
  <c r="BG261" i="18"/>
  <c r="AX261" i="18"/>
  <c r="BG257" i="18"/>
  <c r="AX257" i="18"/>
  <c r="BG253" i="18"/>
  <c r="AX253" i="18"/>
  <c r="BG249" i="18"/>
  <c r="AX249" i="18"/>
  <c r="BG245" i="18"/>
  <c r="AX245" i="18"/>
  <c r="BG241" i="18"/>
  <c r="AX241" i="18"/>
  <c r="BG237" i="18"/>
  <c r="AX237" i="18"/>
  <c r="BG234" i="18"/>
  <c r="AX234" i="18"/>
  <c r="BG231" i="18"/>
  <c r="AX231" i="18"/>
  <c r="BG228" i="18"/>
  <c r="AX228" i="18"/>
  <c r="BG225" i="18"/>
  <c r="AX225" i="18"/>
  <c r="BG221" i="18"/>
  <c r="AX221" i="18"/>
  <c r="BG217" i="18"/>
  <c r="AX217" i="18"/>
  <c r="BG213" i="18"/>
  <c r="AX213" i="18"/>
  <c r="BG209" i="18"/>
  <c r="AX209" i="18"/>
  <c r="BG205" i="18"/>
  <c r="AX205" i="18"/>
  <c r="BG201" i="18"/>
  <c r="AX201" i="18"/>
  <c r="BG197" i="18"/>
  <c r="AX197" i="18"/>
  <c r="BG193" i="18"/>
  <c r="AX193" i="18"/>
  <c r="BG186" i="18"/>
  <c r="AX186" i="18"/>
  <c r="BG182" i="18"/>
  <c r="AX182" i="18"/>
  <c r="BG179" i="18"/>
  <c r="AX179" i="18"/>
  <c r="BG176" i="18"/>
  <c r="AX176" i="18"/>
  <c r="BG170" i="18"/>
  <c r="AX170" i="18"/>
  <c r="BG166" i="18"/>
  <c r="AX166" i="18"/>
  <c r="BG162" i="18"/>
  <c r="AX162" i="18"/>
  <c r="BG159" i="18"/>
  <c r="AX159" i="18"/>
  <c r="BG156" i="18"/>
  <c r="AX156" i="18"/>
  <c r="BG152" i="18"/>
  <c r="AX152" i="18"/>
  <c r="BG148" i="18"/>
  <c r="AX148" i="18"/>
  <c r="BG144" i="18"/>
  <c r="AX144" i="18"/>
  <c r="BG137" i="18"/>
  <c r="AX137" i="18"/>
  <c r="BG134" i="18"/>
  <c r="AX134" i="18"/>
  <c r="BG130" i="18"/>
  <c r="AX130" i="18"/>
  <c r="BG126" i="18"/>
  <c r="AX126" i="18"/>
  <c r="BG122" i="18"/>
  <c r="AX122" i="18"/>
  <c r="BG118" i="18"/>
  <c r="AX118" i="18"/>
  <c r="BG115" i="18"/>
  <c r="AX115" i="18"/>
  <c r="BG111" i="18"/>
  <c r="AX111" i="18"/>
  <c r="BG107" i="18"/>
  <c r="AX107" i="18"/>
  <c r="BG103" i="18"/>
  <c r="AX103" i="18"/>
  <c r="BG99" i="18"/>
  <c r="AX99" i="18"/>
  <c r="BG95" i="18"/>
  <c r="AX95" i="18"/>
  <c r="BG91" i="18"/>
  <c r="AX91" i="18"/>
  <c r="BG87" i="18"/>
  <c r="AX87" i="18"/>
  <c r="BG82" i="18"/>
  <c r="AX82" i="18"/>
  <c r="BG78" i="18"/>
  <c r="AX78" i="18"/>
  <c r="BG74" i="18"/>
  <c r="AX74" i="18"/>
  <c r="BG70" i="18"/>
  <c r="AX70" i="18"/>
  <c r="BG67" i="18"/>
  <c r="AX67" i="18"/>
  <c r="BG63" i="18"/>
  <c r="AX63" i="18"/>
  <c r="BG59" i="18"/>
  <c r="AX59" i="18"/>
  <c r="BG55" i="18"/>
  <c r="AX55" i="18"/>
  <c r="BG51" i="18"/>
  <c r="AX51" i="18"/>
  <c r="BG47" i="18"/>
  <c r="AX47" i="18"/>
  <c r="BG43" i="18"/>
  <c r="AX43" i="18"/>
  <c r="BG39" i="18"/>
  <c r="AX39" i="18"/>
  <c r="BG35" i="18"/>
  <c r="AX35" i="18"/>
  <c r="AX399" i="18"/>
  <c r="AX395" i="18"/>
  <c r="BG392" i="18"/>
  <c r="AX392" i="18"/>
  <c r="AX311" i="18"/>
  <c r="BC361" i="18"/>
  <c r="BC357" i="18"/>
  <c r="BC26" i="18"/>
  <c r="BC22" i="18"/>
  <c r="BC18" i="18"/>
  <c r="BC14" i="18"/>
  <c r="BC10" i="18"/>
  <c r="BC6" i="18"/>
  <c r="BG29" i="18"/>
  <c r="BG25" i="18"/>
  <c r="BG21" i="18"/>
  <c r="BG17" i="18"/>
  <c r="BG13" i="18"/>
  <c r="BG9" i="18"/>
  <c r="BG5" i="18"/>
  <c r="BG361" i="18"/>
  <c r="BG357" i="18"/>
  <c r="BG353" i="18"/>
  <c r="BG349" i="18"/>
  <c r="BG214" i="18"/>
  <c r="BG210" i="18"/>
  <c r="BG363" i="18"/>
  <c r="BG404" i="18"/>
  <c r="BC24" i="18"/>
  <c r="BC16" i="18"/>
  <c r="BC8" i="18"/>
  <c r="AZ29" i="18"/>
  <c r="BF28" i="18"/>
  <c r="BE20" i="18"/>
  <c r="AW20" i="18"/>
  <c r="BG19" i="18"/>
  <c r="AX19" i="18"/>
  <c r="AZ17" i="18"/>
  <c r="BE16" i="18"/>
  <c r="AW16" i="18"/>
  <c r="BE12" i="18"/>
  <c r="AW12" i="18"/>
  <c r="BG11" i="18"/>
  <c r="AX11" i="18"/>
  <c r="AZ9" i="18"/>
  <c r="BF8" i="18"/>
  <c r="AZ361" i="18"/>
  <c r="BF360" i="18"/>
  <c r="BE356" i="18"/>
  <c r="AW356" i="18"/>
  <c r="BG355" i="18"/>
  <c r="AX355" i="18"/>
  <c r="AZ353" i="18"/>
  <c r="BE352" i="18"/>
  <c r="AW352" i="18"/>
  <c r="BF352" i="18"/>
  <c r="BG351" i="18"/>
  <c r="AX351" i="18"/>
  <c r="AZ349" i="18"/>
  <c r="BE348" i="18"/>
  <c r="AW348" i="18"/>
  <c r="BF348" i="18"/>
  <c r="BG347" i="18"/>
  <c r="AX347" i="18"/>
  <c r="AZ345" i="18"/>
  <c r="BE344" i="18"/>
  <c r="AW344" i="18"/>
  <c r="BF344" i="18"/>
  <c r="BG343" i="18"/>
  <c r="AX343" i="18"/>
  <c r="AZ341" i="18"/>
  <c r="BE340" i="18"/>
  <c r="AW340" i="18"/>
  <c r="BF340" i="18"/>
  <c r="BG339" i="18"/>
  <c r="AX339" i="18"/>
  <c r="AZ337" i="18"/>
  <c r="BE336" i="18"/>
  <c r="AW336" i="18"/>
  <c r="BF336" i="18"/>
  <c r="AZ333" i="18"/>
  <c r="AW332" i="18"/>
  <c r="BE332" i="18"/>
  <c r="BF332" i="18"/>
  <c r="BG331" i="18"/>
  <c r="AX331" i="18"/>
  <c r="AZ329" i="18"/>
  <c r="BE328" i="18"/>
  <c r="AW328" i="18"/>
  <c r="BF328" i="18"/>
  <c r="BG327" i="18"/>
  <c r="AX327" i="18"/>
  <c r="AZ325" i="18"/>
  <c r="AW324" i="18"/>
  <c r="BE324" i="18"/>
  <c r="BF324" i="18"/>
  <c r="BG323" i="18"/>
  <c r="AX323" i="18"/>
  <c r="AZ321" i="18"/>
  <c r="BE320" i="18"/>
  <c r="AW320" i="18"/>
  <c r="BF320" i="18"/>
  <c r="BG319" i="18"/>
  <c r="AX319" i="18"/>
  <c r="AZ317" i="18"/>
  <c r="AW316" i="18"/>
  <c r="BE316" i="18"/>
  <c r="BF316" i="18"/>
  <c r="BG315" i="18"/>
  <c r="AX315" i="18"/>
  <c r="AZ313" i="18"/>
  <c r="AW312" i="18"/>
  <c r="BE312" i="18"/>
  <c r="BF312" i="18"/>
  <c r="BG311" i="18"/>
  <c r="AZ309" i="18"/>
  <c r="AW308" i="18"/>
  <c r="BE308" i="18"/>
  <c r="BF308" i="18"/>
  <c r="BC28" i="18"/>
  <c r="BC20" i="18"/>
  <c r="BC12" i="18"/>
  <c r="BC4" i="18"/>
  <c r="BE28" i="18"/>
  <c r="AW28" i="18"/>
  <c r="BG27" i="18"/>
  <c r="AX27" i="18"/>
  <c r="AZ25" i="18"/>
  <c r="BE24" i="18"/>
  <c r="AW24" i="18"/>
  <c r="BF24" i="18"/>
  <c r="BG23" i="18"/>
  <c r="AX23" i="18"/>
  <c r="AZ21" i="18"/>
  <c r="BF20" i="18"/>
  <c r="BF16" i="18"/>
  <c r="BG15" i="18"/>
  <c r="AX15" i="18"/>
  <c r="AZ13" i="18"/>
  <c r="BF12" i="18"/>
  <c r="BE8" i="18"/>
  <c r="AW8" i="18"/>
  <c r="BG7" i="18"/>
  <c r="AX7" i="18"/>
  <c r="AZ5" i="18"/>
  <c r="BE4" i="18"/>
  <c r="AW4" i="18"/>
  <c r="BF4" i="18"/>
  <c r="BG3" i="18"/>
  <c r="AX3" i="18"/>
  <c r="BE360" i="18"/>
  <c r="AW360" i="18"/>
  <c r="BG359" i="18"/>
  <c r="AX359" i="18"/>
  <c r="AZ357" i="18"/>
  <c r="BF356" i="18"/>
  <c r="BC362" i="18"/>
  <c r="BC358" i="18"/>
  <c r="BC354" i="18"/>
  <c r="BC27" i="18"/>
  <c r="BC23" i="18"/>
  <c r="BC19" i="18"/>
  <c r="BC15" i="18"/>
  <c r="BC11" i="18"/>
  <c r="BC7" i="18"/>
  <c r="BC3" i="18"/>
  <c r="AU2" i="18"/>
  <c r="BG2" i="18"/>
  <c r="AX2" i="18"/>
  <c r="AU30" i="18"/>
  <c r="L30" i="25" s="1"/>
  <c r="BG30" i="18"/>
  <c r="AX30" i="18"/>
  <c r="AZ28" i="18"/>
  <c r="BE27" i="18"/>
  <c r="AW27" i="18"/>
  <c r="BF27" i="18"/>
  <c r="AU26" i="18"/>
  <c r="L26" i="25" s="1"/>
  <c r="BG26" i="18"/>
  <c r="AX26" i="18"/>
  <c r="AZ24" i="18"/>
  <c r="BE23" i="18"/>
  <c r="AW23" i="18"/>
  <c r="BF23" i="18"/>
  <c r="AU22" i="18"/>
  <c r="L22" i="25" s="1"/>
  <c r="BG22" i="18"/>
  <c r="AX22" i="18"/>
  <c r="AZ20" i="18"/>
  <c r="BE19" i="18"/>
  <c r="AW19" i="18"/>
  <c r="BF19" i="18"/>
  <c r="AU18" i="18"/>
  <c r="L18" i="25" s="1"/>
  <c r="BG18" i="18"/>
  <c r="AX18" i="18"/>
  <c r="AZ16" i="18"/>
  <c r="AW15" i="18"/>
  <c r="BE15" i="18"/>
  <c r="BF15" i="18"/>
  <c r="AU14" i="18"/>
  <c r="L14" i="25" s="1"/>
  <c r="BG14" i="18"/>
  <c r="AX14" i="18"/>
  <c r="AZ12" i="18"/>
  <c r="BE11" i="18"/>
  <c r="AW11" i="18"/>
  <c r="BF11" i="18"/>
  <c r="AU10" i="18"/>
  <c r="L10" i="25" s="1"/>
  <c r="BG10" i="18"/>
  <c r="AX10" i="18"/>
  <c r="AZ8" i="18"/>
  <c r="BE7" i="18"/>
  <c r="AW7" i="18"/>
  <c r="BF7" i="18"/>
  <c r="AU6" i="18"/>
  <c r="L6" i="25" s="1"/>
  <c r="BG6" i="18"/>
  <c r="AX6" i="18"/>
  <c r="AZ4" i="18"/>
  <c r="BE3" i="18"/>
  <c r="AW3" i="18"/>
  <c r="BF3" i="18"/>
  <c r="AU362" i="18"/>
  <c r="L362" i="25" s="1"/>
  <c r="BG362" i="18"/>
  <c r="AX362" i="18"/>
  <c r="AZ360" i="18"/>
  <c r="BE359" i="18"/>
  <c r="AW359" i="18"/>
  <c r="BF359" i="18"/>
  <c r="AU358" i="18"/>
  <c r="L358" i="25" s="1"/>
  <c r="BG358" i="18"/>
  <c r="AX358" i="18"/>
  <c r="AZ356" i="18"/>
  <c r="BE355" i="18"/>
  <c r="AW355" i="18"/>
  <c r="BF355" i="18"/>
  <c r="AU354" i="18"/>
  <c r="L354" i="25" s="1"/>
  <c r="BG354" i="18"/>
  <c r="AX354" i="18"/>
  <c r="AZ352" i="18"/>
  <c r="BE351" i="18"/>
  <c r="AW351" i="18"/>
  <c r="BF351" i="18"/>
  <c r="AU350" i="18"/>
  <c r="L350" i="25" s="1"/>
  <c r="BG350" i="18"/>
  <c r="AX350" i="18"/>
  <c r="AZ348" i="18"/>
  <c r="BE347" i="18"/>
  <c r="AW347" i="18"/>
  <c r="BF347" i="18"/>
  <c r="AU346" i="18"/>
  <c r="L346" i="25" s="1"/>
  <c r="BG346" i="18"/>
  <c r="AX346" i="18"/>
  <c r="AZ344" i="18"/>
  <c r="BE343" i="18"/>
  <c r="AW343" i="18"/>
  <c r="BF343" i="18"/>
  <c r="AU342" i="18"/>
  <c r="L342" i="25" s="1"/>
  <c r="BG342" i="18"/>
  <c r="AX342" i="18"/>
  <c r="AZ340" i="18"/>
  <c r="AW339" i="18"/>
  <c r="BE339" i="18"/>
  <c r="BF339" i="18"/>
  <c r="AU338" i="18"/>
  <c r="L338" i="25" s="1"/>
  <c r="BG338" i="18"/>
  <c r="AX338" i="18"/>
  <c r="AZ336" i="18"/>
  <c r="AU334" i="18"/>
  <c r="L334" i="25" s="1"/>
  <c r="BG334" i="18"/>
  <c r="AX334" i="18"/>
  <c r="AZ332" i="18"/>
  <c r="BE331" i="18"/>
  <c r="AW331" i="18"/>
  <c r="BF331" i="18"/>
  <c r="AU330" i="18"/>
  <c r="L330" i="25" s="1"/>
  <c r="BG330" i="18"/>
  <c r="AX330" i="18"/>
  <c r="AZ328" i="18"/>
  <c r="BE327" i="18"/>
  <c r="AW327" i="18"/>
  <c r="BF327" i="18"/>
  <c r="AU326" i="18"/>
  <c r="L326" i="25" s="1"/>
  <c r="BG326" i="18"/>
  <c r="AX326" i="18"/>
  <c r="AZ324" i="18"/>
  <c r="BE323" i="18"/>
  <c r="AW323" i="18"/>
  <c r="BF323" i="18"/>
  <c r="AU322" i="18"/>
  <c r="L322" i="25" s="1"/>
  <c r="BG322" i="18"/>
  <c r="AX322" i="18"/>
  <c r="BC30" i="18"/>
  <c r="BE2" i="18"/>
  <c r="AW2" i="18"/>
  <c r="BF2" i="18"/>
  <c r="BE30" i="18"/>
  <c r="AW30" i="18"/>
  <c r="BF30" i="18"/>
  <c r="AX29" i="18"/>
  <c r="AZ27" i="18"/>
  <c r="BE26" i="18"/>
  <c r="AW26" i="18"/>
  <c r="BF26" i="18"/>
  <c r="AX25" i="18"/>
  <c r="AZ23" i="18"/>
  <c r="AW22" i="18"/>
  <c r="BE22" i="18"/>
  <c r="BF22" i="18"/>
  <c r="AX21" i="18"/>
  <c r="AZ19" i="18"/>
  <c r="BE18" i="18"/>
  <c r="AW18" i="18"/>
  <c r="BF18" i="18"/>
  <c r="AX17" i="18"/>
  <c r="AZ15" i="18"/>
  <c r="BE14" i="18"/>
  <c r="AW14" i="18"/>
  <c r="BF14" i="18"/>
  <c r="AX13" i="18"/>
  <c r="AZ11" i="18"/>
  <c r="BE10" i="18"/>
  <c r="AW10" i="18"/>
  <c r="BF10" i="18"/>
  <c r="AX9" i="18"/>
  <c r="AZ7" i="18"/>
  <c r="AW6" i="18"/>
  <c r="BE6" i="18"/>
  <c r="BF6" i="18"/>
  <c r="AX5" i="18"/>
  <c r="AZ3" i="18"/>
  <c r="BE362" i="18"/>
  <c r="AW362" i="18"/>
  <c r="BF362" i="18"/>
  <c r="AX361" i="18"/>
  <c r="AZ359" i="18"/>
  <c r="BE358" i="18"/>
  <c r="AW358" i="18"/>
  <c r="BF358" i="18"/>
  <c r="AX357" i="18"/>
  <c r="AZ355" i="18"/>
  <c r="BE354" i="18"/>
  <c r="AW354" i="18"/>
  <c r="BF354" i="18"/>
  <c r="AX353" i="18"/>
  <c r="AZ351" i="18"/>
  <c r="AW350" i="18"/>
  <c r="BE350" i="18"/>
  <c r="BF350" i="18"/>
  <c r="AX349" i="18"/>
  <c r="AZ347" i="18"/>
  <c r="BE346" i="18"/>
  <c r="AW346" i="18"/>
  <c r="BF346" i="18"/>
  <c r="BG345" i="18"/>
  <c r="AX345" i="18"/>
  <c r="AZ343" i="18"/>
  <c r="BE342" i="18"/>
  <c r="AW342" i="18"/>
  <c r="BF342" i="18"/>
  <c r="BG341" i="18"/>
  <c r="AX341" i="18"/>
  <c r="AZ339" i="18"/>
  <c r="BE338" i="18"/>
  <c r="AW338" i="18"/>
  <c r="BF338" i="18"/>
  <c r="BG337" i="18"/>
  <c r="AX337" i="18"/>
  <c r="BE334" i="18"/>
  <c r="AW334" i="18"/>
  <c r="BF334" i="18"/>
  <c r="BG333" i="18"/>
  <c r="AX333" i="18"/>
  <c r="AZ331" i="18"/>
  <c r="BE330" i="18"/>
  <c r="AW330" i="18"/>
  <c r="BF330" i="18"/>
  <c r="BG329" i="18"/>
  <c r="AX329" i="18"/>
  <c r="AZ327" i="18"/>
  <c r="BE326" i="18"/>
  <c r="AW326" i="18"/>
  <c r="BF326" i="18"/>
  <c r="BG325" i="18"/>
  <c r="AX325" i="18"/>
  <c r="AZ323" i="18"/>
  <c r="BE322" i="18"/>
  <c r="AW322" i="18"/>
  <c r="BF322" i="18"/>
  <c r="BG321" i="18"/>
  <c r="AX321" i="18"/>
  <c r="AZ319" i="18"/>
  <c r="BE318" i="18"/>
  <c r="AW318" i="18"/>
  <c r="BF318" i="18"/>
  <c r="BG317" i="18"/>
  <c r="AX317" i="18"/>
  <c r="AZ315" i="18"/>
  <c r="BE314" i="18"/>
  <c r="AW314" i="18"/>
  <c r="BF314" i="18"/>
  <c r="BG313" i="18"/>
  <c r="AX313" i="18"/>
  <c r="AZ311" i="18"/>
  <c r="BE310" i="18"/>
  <c r="AW310" i="18"/>
  <c r="BF310" i="18"/>
  <c r="BG309" i="18"/>
  <c r="AZ2" i="18"/>
  <c r="AZ30" i="18"/>
  <c r="AW29" i="18"/>
  <c r="BE29" i="18"/>
  <c r="BF29" i="18"/>
  <c r="AZ26" i="18"/>
  <c r="BE25" i="18"/>
  <c r="AW25" i="18"/>
  <c r="BF25" i="18"/>
  <c r="AZ22" i="18"/>
  <c r="AW21" i="18"/>
  <c r="BE21" i="18"/>
  <c r="BF21" i="18"/>
  <c r="AZ18" i="18"/>
  <c r="BE17" i="18"/>
  <c r="AW17" i="18"/>
  <c r="BF17" i="18"/>
  <c r="AZ14" i="18"/>
  <c r="AW13" i="18"/>
  <c r="BE13" i="18"/>
  <c r="BF13" i="18"/>
  <c r="AZ10" i="18"/>
  <c r="BE9" i="18"/>
  <c r="AW9" i="18"/>
  <c r="BF9" i="18"/>
  <c r="AZ6" i="18"/>
  <c r="AW5" i="18"/>
  <c r="BE5" i="18"/>
  <c r="BF5" i="18"/>
  <c r="AZ362" i="18"/>
  <c r="AW361" i="18"/>
  <c r="BE361" i="18"/>
  <c r="BF361" i="18"/>
  <c r="AZ358" i="18"/>
  <c r="BE357" i="18"/>
  <c r="AW357" i="18"/>
  <c r="BF357" i="18"/>
  <c r="AZ354" i="18"/>
  <c r="BE353" i="18"/>
  <c r="AW353" i="18"/>
  <c r="BF353" i="18"/>
  <c r="AZ350" i="18"/>
  <c r="BE349" i="18"/>
  <c r="AW349" i="18"/>
  <c r="BF349" i="18"/>
  <c r="AZ346" i="18"/>
  <c r="BE345" i="18"/>
  <c r="AW345" i="18"/>
  <c r="BF345" i="18"/>
  <c r="AZ342" i="18"/>
  <c r="BE341" i="18"/>
  <c r="AW341" i="18"/>
  <c r="BF341" i="18"/>
  <c r="AZ338" i="18"/>
  <c r="BE337" i="18"/>
  <c r="AW337" i="18"/>
  <c r="BF337" i="18"/>
  <c r="AZ334" i="18"/>
  <c r="BE333" i="18"/>
  <c r="AW333" i="18"/>
  <c r="BF333" i="18"/>
  <c r="AZ330" i="18"/>
  <c r="BE329" i="18"/>
  <c r="AW329" i="18"/>
  <c r="BF329" i="18"/>
  <c r="AZ326" i="18"/>
  <c r="BE325" i="18"/>
  <c r="AW325" i="18"/>
  <c r="BF325" i="18"/>
  <c r="AZ322" i="18"/>
  <c r="BE321" i="18"/>
  <c r="AW321" i="18"/>
  <c r="BF321" i="18"/>
  <c r="AZ318" i="18"/>
  <c r="AW317" i="18"/>
  <c r="BE317" i="18"/>
  <c r="BF317" i="18"/>
  <c r="AZ314" i="18"/>
  <c r="BE313" i="18"/>
  <c r="AW313" i="18"/>
  <c r="BF313" i="18"/>
  <c r="AZ310" i="18"/>
  <c r="BE309" i="18"/>
  <c r="AW309" i="18"/>
  <c r="BF309" i="18"/>
  <c r="AX308" i="18"/>
  <c r="AZ306" i="18"/>
  <c r="BG305" i="18"/>
  <c r="AX305" i="18"/>
  <c r="AZ303" i="18"/>
  <c r="BE302" i="18"/>
  <c r="AW302" i="18"/>
  <c r="BF302" i="18"/>
  <c r="BG301" i="18"/>
  <c r="AX301" i="18"/>
  <c r="AZ299" i="18"/>
  <c r="AW298" i="18"/>
  <c r="BE298" i="18"/>
  <c r="BF298" i="18"/>
  <c r="BG297" i="18"/>
  <c r="AX297" i="18"/>
  <c r="AZ295" i="18"/>
  <c r="BG294" i="18"/>
  <c r="AX294" i="18"/>
  <c r="AZ292" i="18"/>
  <c r="BE291" i="18"/>
  <c r="AW291" i="18"/>
  <c r="BF291" i="18"/>
  <c r="BG290" i="18"/>
  <c r="AX290" i="18"/>
  <c r="AW288" i="18"/>
  <c r="BE288" i="18"/>
  <c r="BF288" i="18"/>
  <c r="BG287" i="18"/>
  <c r="AX287" i="18"/>
  <c r="AZ285" i="18"/>
  <c r="AW284" i="18"/>
  <c r="BE284" i="18"/>
  <c r="BF284" i="18"/>
  <c r="BE281" i="18"/>
  <c r="AW281" i="18"/>
  <c r="BF281" i="18"/>
  <c r="BG280" i="18"/>
  <c r="AX280" i="18"/>
  <c r="AZ278" i="18"/>
  <c r="AW277" i="18"/>
  <c r="BE277" i="18"/>
  <c r="BF277" i="18"/>
  <c r="BG276" i="18"/>
  <c r="AX276" i="18"/>
  <c r="AZ274" i="18"/>
  <c r="BE273" i="18"/>
  <c r="AW273" i="18"/>
  <c r="BF273" i="18"/>
  <c r="BG272" i="18"/>
  <c r="AX272" i="18"/>
  <c r="AZ270" i="18"/>
  <c r="AW269" i="18"/>
  <c r="BE269" i="18"/>
  <c r="BF269" i="18"/>
  <c r="BG268" i="18"/>
  <c r="AX268" i="18"/>
  <c r="AZ266" i="18"/>
  <c r="BG265" i="18"/>
  <c r="AX265" i="18"/>
  <c r="BG264" i="18"/>
  <c r="AX264" i="18"/>
  <c r="AZ262" i="18"/>
  <c r="BE261" i="18"/>
  <c r="AW261" i="18"/>
  <c r="BF261" i="18"/>
  <c r="BG260" i="18"/>
  <c r="AX260" i="18"/>
  <c r="AZ258" i="18"/>
  <c r="BE257" i="18"/>
  <c r="AW257" i="18"/>
  <c r="BF257" i="18"/>
  <c r="BG256" i="18"/>
  <c r="AX256" i="18"/>
  <c r="AZ254" i="18"/>
  <c r="AW253" i="18"/>
  <c r="BE253" i="18"/>
  <c r="BF253" i="18"/>
  <c r="BG252" i="18"/>
  <c r="AX252" i="18"/>
  <c r="AZ250" i="18"/>
  <c r="BE249" i="18"/>
  <c r="AW249" i="18"/>
  <c r="BF249" i="18"/>
  <c r="BG248" i="18"/>
  <c r="AX248" i="18"/>
  <c r="AZ246" i="18"/>
  <c r="BE245" i="18"/>
  <c r="AW245" i="18"/>
  <c r="BF245" i="18"/>
  <c r="BG244" i="18"/>
  <c r="AX244" i="18"/>
  <c r="AZ242" i="18"/>
  <c r="AW241" i="18"/>
  <c r="BE241" i="18"/>
  <c r="BF241" i="18"/>
  <c r="BG240" i="18"/>
  <c r="AX240" i="18"/>
  <c r="AZ238" i="18"/>
  <c r="AW237" i="18"/>
  <c r="BE237" i="18"/>
  <c r="BF237" i="18"/>
  <c r="BG236" i="18"/>
  <c r="AX236" i="18"/>
  <c r="AW234" i="18"/>
  <c r="BE234" i="18"/>
  <c r="BF234" i="18"/>
  <c r="BG233" i="18"/>
  <c r="AX233" i="18"/>
  <c r="AW231" i="18"/>
  <c r="BE231" i="18"/>
  <c r="BF231" i="18"/>
  <c r="AZ229" i="18"/>
  <c r="BE228" i="18"/>
  <c r="AW228" i="18"/>
  <c r="BF228" i="18"/>
  <c r="BG227" i="18"/>
  <c r="AX227" i="18"/>
  <c r="AW225" i="18"/>
  <c r="BE225" i="18"/>
  <c r="BF225" i="18"/>
  <c r="BG224" i="18"/>
  <c r="AX224" i="18"/>
  <c r="AZ222" i="18"/>
  <c r="AW221" i="18"/>
  <c r="BE221" i="18"/>
  <c r="BF221" i="18"/>
  <c r="BG220" i="18"/>
  <c r="AX220" i="18"/>
  <c r="AZ218" i="18"/>
  <c r="AW217" i="18"/>
  <c r="BE217" i="18"/>
  <c r="BF217" i="18"/>
  <c r="BG216" i="18"/>
  <c r="AX216" i="18"/>
  <c r="AZ214" i="18"/>
  <c r="BE213" i="18"/>
  <c r="AW213" i="18"/>
  <c r="BF213" i="18"/>
  <c r="BG212" i="18"/>
  <c r="AX212" i="18"/>
  <c r="AZ210" i="18"/>
  <c r="BE209" i="18"/>
  <c r="AW209" i="18"/>
  <c r="BF209" i="18"/>
  <c r="BG208" i="18"/>
  <c r="AX208" i="18"/>
  <c r="AZ206" i="18"/>
  <c r="AW205" i="18"/>
  <c r="BE205" i="18"/>
  <c r="BF205" i="18"/>
  <c r="BG204" i="18"/>
  <c r="AX204" i="18"/>
  <c r="AZ202" i="18"/>
  <c r="BE201" i="18"/>
  <c r="AW201" i="18"/>
  <c r="BF201" i="18"/>
  <c r="BG200" i="18"/>
  <c r="AX200" i="18"/>
  <c r="AZ198" i="18"/>
  <c r="BE197" i="18"/>
  <c r="AW197" i="18"/>
  <c r="BF197" i="18"/>
  <c r="BG196" i="18"/>
  <c r="AX196" i="18"/>
  <c r="AZ194" i="18"/>
  <c r="AW193" i="18"/>
  <c r="BE193" i="18"/>
  <c r="BF193" i="18"/>
  <c r="BG192" i="18"/>
  <c r="AX192" i="18"/>
  <c r="AZ190" i="18"/>
  <c r="BG189" i="18"/>
  <c r="AX189" i="18"/>
  <c r="AZ187" i="18"/>
  <c r="AW186" i="18"/>
  <c r="BE186" i="18"/>
  <c r="BF186" i="18"/>
  <c r="BG185" i="18"/>
  <c r="AX185" i="18"/>
  <c r="AZ183" i="18"/>
  <c r="BE182" i="18"/>
  <c r="AW182" i="18"/>
  <c r="BF182" i="18"/>
  <c r="BG181" i="18"/>
  <c r="AX181" i="18"/>
  <c r="AW179" i="18"/>
  <c r="BE179" i="18"/>
  <c r="BF179" i="18"/>
  <c r="BG178" i="18"/>
  <c r="AX178" i="18"/>
  <c r="BE176" i="18"/>
  <c r="AW176" i="18"/>
  <c r="BF176" i="18"/>
  <c r="BG175" i="18"/>
  <c r="AX175" i="18"/>
  <c r="BF175" i="18"/>
  <c r="BG174" i="18"/>
  <c r="AX174" i="18"/>
  <c r="BF174" i="18"/>
  <c r="BG173" i="18"/>
  <c r="AX173" i="18"/>
  <c r="AZ171" i="18"/>
  <c r="BE170" i="18"/>
  <c r="AW170" i="18"/>
  <c r="BF170" i="18"/>
  <c r="BG169" i="18"/>
  <c r="AX169" i="18"/>
  <c r="AZ167" i="18"/>
  <c r="AW166" i="18"/>
  <c r="BE166" i="18"/>
  <c r="BF166" i="18"/>
  <c r="BG165" i="18"/>
  <c r="AX165" i="18"/>
  <c r="AZ163" i="18"/>
  <c r="BE162" i="18"/>
  <c r="AW162" i="18"/>
  <c r="BF162" i="18"/>
  <c r="BG161" i="18"/>
  <c r="AX161" i="18"/>
  <c r="AZ160" i="18"/>
  <c r="AW159" i="18"/>
  <c r="BE159" i="18"/>
  <c r="BF159" i="18"/>
  <c r="BG158" i="18"/>
  <c r="AX158" i="18"/>
  <c r="BE156" i="18"/>
  <c r="AW156" i="18"/>
  <c r="BF156" i="18"/>
  <c r="BG155" i="18"/>
  <c r="AX155" i="18"/>
  <c r="AZ153" i="18"/>
  <c r="BE152" i="18"/>
  <c r="AW152" i="18"/>
  <c r="BF152" i="18"/>
  <c r="BG151" i="18"/>
  <c r="AX151" i="18"/>
  <c r="AZ149" i="18"/>
  <c r="BE148" i="18"/>
  <c r="AW148" i="18"/>
  <c r="BF148" i="18"/>
  <c r="BG147" i="18"/>
  <c r="AX147" i="18"/>
  <c r="AZ145" i="18"/>
  <c r="BE144" i="18"/>
  <c r="AW144" i="18"/>
  <c r="BF144" i="18"/>
  <c r="BG143" i="18"/>
  <c r="AX143" i="18"/>
  <c r="AZ141" i="18"/>
  <c r="BG140" i="18"/>
  <c r="AX140" i="18"/>
  <c r="AZ138" i="18"/>
  <c r="BE137" i="18"/>
  <c r="AW137" i="18"/>
  <c r="BF137" i="18"/>
  <c r="BG136" i="18"/>
  <c r="AX136" i="18"/>
  <c r="AZ135" i="18"/>
  <c r="BE134" i="18"/>
  <c r="AW134" i="18"/>
  <c r="BF134" i="18"/>
  <c r="BG133" i="18"/>
  <c r="AX133" i="18"/>
  <c r="AZ131" i="18"/>
  <c r="BE130" i="18"/>
  <c r="AW130" i="18"/>
  <c r="BF130" i="18"/>
  <c r="BG129" i="18"/>
  <c r="AX129" i="18"/>
  <c r="AZ127" i="18"/>
  <c r="BE126" i="18"/>
  <c r="AW126" i="18"/>
  <c r="BF126" i="18"/>
  <c r="BG125" i="18"/>
  <c r="AX125" i="18"/>
  <c r="AZ123" i="18"/>
  <c r="BE122" i="18"/>
  <c r="AW122" i="18"/>
  <c r="BF122" i="18"/>
  <c r="BG121" i="18"/>
  <c r="AX121" i="18"/>
  <c r="AZ119" i="18"/>
  <c r="BE118" i="18"/>
  <c r="AW118" i="18"/>
  <c r="BF118" i="18"/>
  <c r="AZ116" i="18"/>
  <c r="AW115" i="18"/>
  <c r="BE115" i="18"/>
  <c r="BF115" i="18"/>
  <c r="BG114" i="18"/>
  <c r="AX114" i="18"/>
  <c r="AZ112" i="18"/>
  <c r="BE111" i="18"/>
  <c r="AW111" i="18"/>
  <c r="BF111" i="18"/>
  <c r="BG110" i="18"/>
  <c r="AX110" i="18"/>
  <c r="AZ108" i="18"/>
  <c r="BE107" i="18"/>
  <c r="AW107" i="18"/>
  <c r="BF107" i="18"/>
  <c r="BG106" i="18"/>
  <c r="AX106" i="18"/>
  <c r="AZ104" i="18"/>
  <c r="BE103" i="18"/>
  <c r="AW103" i="18"/>
  <c r="BF103" i="18"/>
  <c r="BG102" i="18"/>
  <c r="AX102" i="18"/>
  <c r="AZ100" i="18"/>
  <c r="BE99" i="18"/>
  <c r="AW99" i="18"/>
  <c r="BF99" i="18"/>
  <c r="BG98" i="18"/>
  <c r="AX98" i="18"/>
  <c r="AZ96" i="18"/>
  <c r="BE95" i="18"/>
  <c r="AW95" i="18"/>
  <c r="BF95" i="18"/>
  <c r="BG94" i="18"/>
  <c r="AX94" i="18"/>
  <c r="AZ92" i="18"/>
  <c r="AW91" i="18"/>
  <c r="BE91" i="18"/>
  <c r="BF91" i="18"/>
  <c r="BG90" i="18"/>
  <c r="AX90" i="18"/>
  <c r="AZ88" i="18"/>
  <c r="BE87" i="18"/>
  <c r="AW87" i="18"/>
  <c r="BF87" i="18"/>
  <c r="BG86" i="18"/>
  <c r="AX86" i="18"/>
  <c r="BG85" i="18"/>
  <c r="AX85" i="18"/>
  <c r="AZ83" i="18"/>
  <c r="BE82" i="18"/>
  <c r="AW82" i="18"/>
  <c r="BF82" i="18"/>
  <c r="BG81" i="18"/>
  <c r="AX81" i="18"/>
  <c r="AZ79" i="18"/>
  <c r="BE78" i="18"/>
  <c r="AW78" i="18"/>
  <c r="BF78" i="18"/>
  <c r="BG77" i="18"/>
  <c r="AX77" i="18"/>
  <c r="AZ75" i="18"/>
  <c r="AW74" i="18"/>
  <c r="BE74" i="18"/>
  <c r="BF74" i="18"/>
  <c r="BG73" i="18"/>
  <c r="AX73" i="18"/>
  <c r="AZ71" i="18"/>
  <c r="BE70" i="18"/>
  <c r="AW70" i="18"/>
  <c r="BF70" i="18"/>
  <c r="AZ68" i="18"/>
  <c r="BE67" i="18"/>
  <c r="AW67" i="18"/>
  <c r="BF67" i="18"/>
  <c r="BG66" i="18"/>
  <c r="AX66" i="18"/>
  <c r="AZ64" i="18"/>
  <c r="BE63" i="18"/>
  <c r="AW63" i="18"/>
  <c r="BF63" i="18"/>
  <c r="BG62" i="18"/>
  <c r="AX62" i="18"/>
  <c r="AZ60" i="18"/>
  <c r="BE59" i="18"/>
  <c r="AW59" i="18"/>
  <c r="BF59" i="18"/>
  <c r="BG58" i="18"/>
  <c r="AX58" i="18"/>
  <c r="AZ56" i="18"/>
  <c r="AW55" i="18"/>
  <c r="BE55" i="18"/>
  <c r="BF55" i="18"/>
  <c r="BG54" i="18"/>
  <c r="AX54" i="18"/>
  <c r="AZ52" i="18"/>
  <c r="BE51" i="18"/>
  <c r="AW51" i="18"/>
  <c r="BF51" i="18"/>
  <c r="BG50" i="18"/>
  <c r="AX50" i="18"/>
  <c r="AZ48" i="18"/>
  <c r="AW47" i="18"/>
  <c r="BE47" i="18"/>
  <c r="BF47" i="18"/>
  <c r="BG46" i="18"/>
  <c r="AX46" i="18"/>
  <c r="AZ45" i="18"/>
  <c r="BE43" i="18"/>
  <c r="AW43" i="18"/>
  <c r="BF43" i="18"/>
  <c r="BG42" i="18"/>
  <c r="AX42" i="18"/>
  <c r="AZ40" i="18"/>
  <c r="BE39" i="18"/>
  <c r="AW39" i="18"/>
  <c r="BF39" i="18"/>
  <c r="BG38" i="18"/>
  <c r="AX38" i="18"/>
  <c r="AZ36" i="18"/>
  <c r="BE35" i="18"/>
  <c r="AW35" i="18"/>
  <c r="BF35" i="18"/>
  <c r="BG34" i="18"/>
  <c r="AX34" i="18"/>
  <c r="BG32" i="18"/>
  <c r="AX32" i="18"/>
  <c r="BG389" i="18"/>
  <c r="AX389" i="18"/>
  <c r="AZ387" i="18"/>
  <c r="BE386" i="18"/>
  <c r="AW386" i="18"/>
  <c r="BF386" i="18"/>
  <c r="BG385" i="18"/>
  <c r="AX385" i="18"/>
  <c r="AZ383" i="18"/>
  <c r="AW382" i="18"/>
  <c r="BE382" i="18"/>
  <c r="BF382" i="18"/>
  <c r="BG381" i="18"/>
  <c r="AX381" i="18"/>
  <c r="AZ379" i="18"/>
  <c r="BE378" i="18"/>
  <c r="AW378" i="18"/>
  <c r="BF378" i="18"/>
  <c r="BG377" i="18"/>
  <c r="AX377" i="18"/>
  <c r="AZ375" i="18"/>
  <c r="BE374" i="18"/>
  <c r="AW374" i="18"/>
  <c r="BF374" i="18"/>
  <c r="BG373" i="18"/>
  <c r="AX373" i="18"/>
  <c r="AZ371" i="18"/>
  <c r="BE370" i="18"/>
  <c r="AW370" i="18"/>
  <c r="BF370" i="18"/>
  <c r="BG369" i="18"/>
  <c r="AX369" i="18"/>
  <c r="AZ367" i="18"/>
  <c r="BE366" i="18"/>
  <c r="AW366" i="18"/>
  <c r="BF366" i="18"/>
  <c r="BG365" i="18"/>
  <c r="AX365" i="18"/>
  <c r="AZ363" i="18"/>
  <c r="BE407" i="18"/>
  <c r="AW407" i="18"/>
  <c r="BF407" i="18"/>
  <c r="BG406" i="18"/>
  <c r="AX406" i="18"/>
  <c r="AZ404" i="18"/>
  <c r="BE403" i="18"/>
  <c r="AW403" i="18"/>
  <c r="BF403" i="18"/>
  <c r="BG402" i="18"/>
  <c r="AX402" i="18"/>
  <c r="BG400" i="18"/>
  <c r="AX400" i="18"/>
  <c r="AZ398" i="18"/>
  <c r="BE397" i="18"/>
  <c r="AW397" i="18"/>
  <c r="BF397" i="18"/>
  <c r="BG396" i="18"/>
  <c r="AX396" i="18"/>
  <c r="BE394" i="18"/>
  <c r="AW394" i="18"/>
  <c r="BF394" i="18"/>
  <c r="BG393" i="18"/>
  <c r="AX393" i="18"/>
  <c r="AZ391" i="18"/>
  <c r="BG390" i="18"/>
  <c r="AX390" i="18"/>
  <c r="AZ320" i="18"/>
  <c r="BE319" i="18"/>
  <c r="AW319" i="18"/>
  <c r="BF319" i="18"/>
  <c r="AU318" i="18"/>
  <c r="L318" i="25" s="1"/>
  <c r="BG318" i="18"/>
  <c r="AX318" i="18"/>
  <c r="AZ316" i="18"/>
  <c r="BE315" i="18"/>
  <c r="AW315" i="18"/>
  <c r="BF315" i="18"/>
  <c r="AU314" i="18"/>
  <c r="BG314" i="18"/>
  <c r="AX314" i="18"/>
  <c r="AZ312" i="18"/>
  <c r="BE311" i="18"/>
  <c r="AW311" i="18"/>
  <c r="BF311" i="18"/>
  <c r="AU310" i="18"/>
  <c r="BG310" i="18"/>
  <c r="AX310" i="18"/>
  <c r="AZ308" i="18"/>
  <c r="AU307" i="18"/>
  <c r="BG307" i="18"/>
  <c r="AX307" i="18"/>
  <c r="BE305" i="18"/>
  <c r="AW305" i="18"/>
  <c r="BF305" i="18"/>
  <c r="AU304" i="18"/>
  <c r="BG304" i="18"/>
  <c r="AX304" i="18"/>
  <c r="AZ302" i="18"/>
  <c r="BE301" i="18"/>
  <c r="AW301" i="18"/>
  <c r="BF301" i="18"/>
  <c r="AU300" i="18"/>
  <c r="BG300" i="18"/>
  <c r="AX300" i="18"/>
  <c r="AZ298" i="18"/>
  <c r="BE297" i="18"/>
  <c r="AW297" i="18"/>
  <c r="BF297" i="18"/>
  <c r="AU296" i="18"/>
  <c r="BG296" i="18"/>
  <c r="AX296" i="18"/>
  <c r="BE294" i="18"/>
  <c r="AW294" i="18"/>
  <c r="BF294" i="18"/>
  <c r="AU293" i="18"/>
  <c r="BG293" i="18"/>
  <c r="AX293" i="18"/>
  <c r="AZ291" i="18"/>
  <c r="BE290" i="18"/>
  <c r="AW290" i="18"/>
  <c r="BF290" i="18"/>
  <c r="AU289" i="18"/>
  <c r="BG289" i="18"/>
  <c r="AX289" i="18"/>
  <c r="AZ288" i="18"/>
  <c r="BE287" i="18"/>
  <c r="AW287" i="18"/>
  <c r="BF287" i="18"/>
  <c r="AU286" i="18"/>
  <c r="BG286" i="18"/>
  <c r="AX286" i="18"/>
  <c r="AZ284" i="18"/>
  <c r="AU283" i="18"/>
  <c r="BG283" i="18"/>
  <c r="AX283" i="18"/>
  <c r="AZ281" i="18"/>
  <c r="BE280" i="18"/>
  <c r="AW280" i="18"/>
  <c r="BF280" i="18"/>
  <c r="AU279" i="18"/>
  <c r="L279" i="25" s="1"/>
  <c r="BG279" i="18"/>
  <c r="AX279" i="18"/>
  <c r="AZ277" i="18"/>
  <c r="BE276" i="18"/>
  <c r="AW276" i="18"/>
  <c r="BF276" i="18"/>
  <c r="AU275" i="18"/>
  <c r="L275" i="25" s="1"/>
  <c r="BG275" i="18"/>
  <c r="AX275" i="18"/>
  <c r="AZ273" i="18"/>
  <c r="BE272" i="18"/>
  <c r="AW272" i="18"/>
  <c r="BF272" i="18"/>
  <c r="AU271" i="18"/>
  <c r="L271" i="25" s="1"/>
  <c r="BG271" i="18"/>
  <c r="AX271" i="18"/>
  <c r="AZ269" i="18"/>
  <c r="BE268" i="18"/>
  <c r="AW268" i="18"/>
  <c r="BF268" i="18"/>
  <c r="AU267" i="18"/>
  <c r="L267" i="25" s="1"/>
  <c r="BG267" i="18"/>
  <c r="AX267" i="18"/>
  <c r="BE265" i="18"/>
  <c r="AW265" i="18"/>
  <c r="BF265" i="18"/>
  <c r="BE264" i="18"/>
  <c r="AW264" i="18"/>
  <c r="BF264" i="18"/>
  <c r="AU263" i="18"/>
  <c r="L263" i="25" s="1"/>
  <c r="BG263" i="18"/>
  <c r="AX263" i="18"/>
  <c r="AZ261" i="18"/>
  <c r="BE260" i="18"/>
  <c r="AW260" i="18"/>
  <c r="BF260" i="18"/>
  <c r="AU259" i="18"/>
  <c r="L259" i="25" s="1"/>
  <c r="BG259" i="18"/>
  <c r="AX259" i="18"/>
  <c r="AZ257" i="18"/>
  <c r="BE256" i="18"/>
  <c r="AW256" i="18"/>
  <c r="BF256" i="18"/>
  <c r="AU255" i="18"/>
  <c r="L255" i="25" s="1"/>
  <c r="BG255" i="18"/>
  <c r="AX255" i="18"/>
  <c r="AZ253" i="18"/>
  <c r="BE252" i="18"/>
  <c r="AW252" i="18"/>
  <c r="BF252" i="18"/>
  <c r="AU251" i="18"/>
  <c r="BG251" i="18"/>
  <c r="AX251" i="18"/>
  <c r="AZ249" i="18"/>
  <c r="BE248" i="18"/>
  <c r="AW248" i="18"/>
  <c r="BF248" i="18"/>
  <c r="AU247" i="18"/>
  <c r="BG247" i="18"/>
  <c r="AX247" i="18"/>
  <c r="AZ245" i="18"/>
  <c r="BE244" i="18"/>
  <c r="AW244" i="18"/>
  <c r="BF244" i="18"/>
  <c r="AU243" i="18"/>
  <c r="L243" i="25" s="1"/>
  <c r="BG243" i="18"/>
  <c r="AX243" i="18"/>
  <c r="AZ241" i="18"/>
  <c r="BE240" i="18"/>
  <c r="AW240" i="18"/>
  <c r="BF240" i="18"/>
  <c r="AU239" i="18"/>
  <c r="L239" i="25" s="1"/>
  <c r="BG239" i="18"/>
  <c r="AX239" i="18"/>
  <c r="AZ237" i="18"/>
  <c r="BE236" i="18"/>
  <c r="AW236" i="18"/>
  <c r="BF236" i="18"/>
  <c r="AU235" i="18"/>
  <c r="BG235" i="18"/>
  <c r="AX235" i="18"/>
  <c r="AZ234" i="18"/>
  <c r="BE233" i="18"/>
  <c r="AW233" i="18"/>
  <c r="BF233" i="18"/>
  <c r="AU232" i="18"/>
  <c r="BG232" i="18"/>
  <c r="AX232" i="18"/>
  <c r="AZ231" i="18"/>
  <c r="AU230" i="18"/>
  <c r="BG230" i="18"/>
  <c r="AX230" i="18"/>
  <c r="AZ228" i="18"/>
  <c r="BE227" i="18"/>
  <c r="AW227" i="18"/>
  <c r="BF227" i="18"/>
  <c r="AU226" i="18"/>
  <c r="L227" i="25" s="1"/>
  <c r="BG226" i="18"/>
  <c r="AX226" i="18"/>
  <c r="AZ225" i="18"/>
  <c r="BE224" i="18"/>
  <c r="AW224" i="18"/>
  <c r="BF224" i="18"/>
  <c r="AU223" i="18"/>
  <c r="BG223" i="18"/>
  <c r="AX223" i="18"/>
  <c r="AZ221" i="18"/>
  <c r="BE220" i="18"/>
  <c r="AW220" i="18"/>
  <c r="BF220" i="18"/>
  <c r="AU219" i="18"/>
  <c r="BG219" i="18"/>
  <c r="AX219" i="18"/>
  <c r="AZ217" i="18"/>
  <c r="BE216" i="18"/>
  <c r="AW216" i="18"/>
  <c r="BF216" i="18"/>
  <c r="AU215" i="18"/>
  <c r="BG215" i="18"/>
  <c r="AX215" i="18"/>
  <c r="AZ213" i="18"/>
  <c r="BE212" i="18"/>
  <c r="AW212" i="18"/>
  <c r="BF212" i="18"/>
  <c r="AU211" i="18"/>
  <c r="BG211" i="18"/>
  <c r="AX211" i="18"/>
  <c r="AZ209" i="18"/>
  <c r="BE208" i="18"/>
  <c r="AW208" i="18"/>
  <c r="BF208" i="18"/>
  <c r="AU207" i="18"/>
  <c r="BG207" i="18"/>
  <c r="AX207" i="18"/>
  <c r="AZ205" i="18"/>
  <c r="BE204" i="18"/>
  <c r="AW204" i="18"/>
  <c r="BF204" i="18"/>
  <c r="AU203" i="18"/>
  <c r="BG203" i="18"/>
  <c r="AX203" i="18"/>
  <c r="AZ201" i="18"/>
  <c r="BE200" i="18"/>
  <c r="AW200" i="18"/>
  <c r="BF200" i="18"/>
  <c r="AU199" i="18"/>
  <c r="BG199" i="18"/>
  <c r="AX199" i="18"/>
  <c r="AZ197" i="18"/>
  <c r="BE196" i="18"/>
  <c r="AW196" i="18"/>
  <c r="BF196" i="18"/>
  <c r="AU195" i="18"/>
  <c r="BG195" i="18"/>
  <c r="AX195" i="18"/>
  <c r="AZ193" i="18"/>
  <c r="BE192" i="18"/>
  <c r="AW192" i="18"/>
  <c r="BF192" i="18"/>
  <c r="AU191" i="18"/>
  <c r="BG191" i="18"/>
  <c r="AX191" i="18"/>
  <c r="BE189" i="18"/>
  <c r="AW189" i="18"/>
  <c r="BF189" i="18"/>
  <c r="AU188" i="18"/>
  <c r="BG188" i="18"/>
  <c r="AX188" i="18"/>
  <c r="AZ186" i="18"/>
  <c r="BE185" i="18"/>
  <c r="AW185" i="18"/>
  <c r="BF185" i="18"/>
  <c r="AU184" i="18"/>
  <c r="BG184" i="18"/>
  <c r="AX184" i="18"/>
  <c r="AZ182" i="18"/>
  <c r="BE181" i="18"/>
  <c r="AW181" i="18"/>
  <c r="BF181" i="18"/>
  <c r="AU180" i="18"/>
  <c r="BG180" i="18"/>
  <c r="AX180" i="18"/>
  <c r="AZ179" i="18"/>
  <c r="BE178" i="18"/>
  <c r="AW178" i="18"/>
  <c r="BF178" i="18"/>
  <c r="AU177" i="18"/>
  <c r="BG177" i="18"/>
  <c r="AX177" i="18"/>
  <c r="AZ176" i="18"/>
  <c r="BE175" i="18"/>
  <c r="AW175" i="18"/>
  <c r="BE174" i="18"/>
  <c r="AW174" i="18"/>
  <c r="BE173" i="18"/>
  <c r="AW173" i="18"/>
  <c r="BF173" i="18"/>
  <c r="AU172" i="18"/>
  <c r="BG172" i="18"/>
  <c r="AX172" i="18"/>
  <c r="AZ170" i="18"/>
  <c r="BE169" i="18"/>
  <c r="AW169" i="18"/>
  <c r="BF169" i="18"/>
  <c r="AU168" i="18"/>
  <c r="BG168" i="18"/>
  <c r="AX168" i="18"/>
  <c r="AZ166" i="18"/>
  <c r="AW165" i="18"/>
  <c r="BE165" i="18"/>
  <c r="BF165" i="18"/>
  <c r="AU164" i="18"/>
  <c r="BG164" i="18"/>
  <c r="AX164" i="18"/>
  <c r="AZ162" i="18"/>
  <c r="BE161" i="18"/>
  <c r="AW161" i="18"/>
  <c r="BF161" i="18"/>
  <c r="AZ159" i="18"/>
  <c r="BE158" i="18"/>
  <c r="AW158" i="18"/>
  <c r="BF158" i="18"/>
  <c r="AU157" i="18"/>
  <c r="BG157" i="18"/>
  <c r="AX157" i="18"/>
  <c r="AZ156" i="18"/>
  <c r="AW155" i="18"/>
  <c r="BE155" i="18"/>
  <c r="BF155" i="18"/>
  <c r="AU154" i="18"/>
  <c r="BG154" i="18"/>
  <c r="AX154" i="18"/>
  <c r="AZ152" i="18"/>
  <c r="BE151" i="18"/>
  <c r="AW151" i="18"/>
  <c r="BF151" i="18"/>
  <c r="AU150" i="18"/>
  <c r="L150" i="25" s="1"/>
  <c r="BG150" i="18"/>
  <c r="AX150" i="18"/>
  <c r="AZ148" i="18"/>
  <c r="AW147" i="18"/>
  <c r="BE147" i="18"/>
  <c r="BF147" i="18"/>
  <c r="AU146" i="18"/>
  <c r="BG146" i="18"/>
  <c r="AX146" i="18"/>
  <c r="AZ144" i="18"/>
  <c r="BE143" i="18"/>
  <c r="AW143" i="18"/>
  <c r="BF143" i="18"/>
  <c r="AU142" i="18"/>
  <c r="BG142" i="18"/>
  <c r="AX142" i="18"/>
  <c r="AW140" i="18"/>
  <c r="BE140" i="18"/>
  <c r="BF140" i="18"/>
  <c r="AU139" i="18"/>
  <c r="BG139" i="18"/>
  <c r="AX139" i="18"/>
  <c r="AZ137" i="18"/>
  <c r="BE136" i="18"/>
  <c r="AW136" i="18"/>
  <c r="BF136" i="18"/>
  <c r="AZ134" i="18"/>
  <c r="AW133" i="18"/>
  <c r="BE133" i="18"/>
  <c r="BF133" i="18"/>
  <c r="AU132" i="18"/>
  <c r="BG132" i="18"/>
  <c r="AX132" i="18"/>
  <c r="AZ130" i="18"/>
  <c r="BE129" i="18"/>
  <c r="AW129" i="18"/>
  <c r="BF129" i="18"/>
  <c r="AU128" i="18"/>
  <c r="BG128" i="18"/>
  <c r="AX128" i="18"/>
  <c r="AZ126" i="18"/>
  <c r="BE125" i="18"/>
  <c r="AW125" i="18"/>
  <c r="BF125" i="18"/>
  <c r="AU124" i="18"/>
  <c r="BG124" i="18"/>
  <c r="AX124" i="18"/>
  <c r="AZ122" i="18"/>
  <c r="AW121" i="18"/>
  <c r="BE121" i="18"/>
  <c r="BF121" i="18"/>
  <c r="AU120" i="18"/>
  <c r="BG120" i="18"/>
  <c r="AX120" i="18"/>
  <c r="AZ118" i="18"/>
  <c r="AU117" i="18"/>
  <c r="BG117" i="18"/>
  <c r="AX117" i="18"/>
  <c r="AZ115" i="18"/>
  <c r="BE114" i="18"/>
  <c r="AW114" i="18"/>
  <c r="BF114" i="18"/>
  <c r="AU113" i="18"/>
  <c r="BG113" i="18"/>
  <c r="AX113" i="18"/>
  <c r="AZ111" i="18"/>
  <c r="BE110" i="18"/>
  <c r="AW110" i="18"/>
  <c r="BF110" i="18"/>
  <c r="AU109" i="18"/>
  <c r="BG109" i="18"/>
  <c r="AX109" i="18"/>
  <c r="AZ107" i="18"/>
  <c r="AW106" i="18"/>
  <c r="BE106" i="18"/>
  <c r="BF106" i="18"/>
  <c r="AU105" i="18"/>
  <c r="BG105" i="18"/>
  <c r="AX105" i="18"/>
  <c r="AZ103" i="18"/>
  <c r="BE102" i="18"/>
  <c r="AW102" i="18"/>
  <c r="BF102" i="18"/>
  <c r="AU101" i="18"/>
  <c r="BG101" i="18"/>
  <c r="AX101" i="18"/>
  <c r="AZ99" i="18"/>
  <c r="BE98" i="18"/>
  <c r="AW98" i="18"/>
  <c r="BF98" i="18"/>
  <c r="AU97" i="18"/>
  <c r="BG97" i="18"/>
  <c r="AX97" i="18"/>
  <c r="AZ95" i="18"/>
  <c r="AW94" i="18"/>
  <c r="BE94" i="18"/>
  <c r="BF94" i="18"/>
  <c r="AU93" i="18"/>
  <c r="BG93" i="18"/>
  <c r="AX93" i="18"/>
  <c r="AZ91" i="18"/>
  <c r="BE90" i="18"/>
  <c r="AW90" i="18"/>
  <c r="BF90" i="18"/>
  <c r="AU89" i="18"/>
  <c r="BG89" i="18"/>
  <c r="AX89" i="18"/>
  <c r="AZ87" i="18"/>
  <c r="AW86" i="18"/>
  <c r="BE86" i="18"/>
  <c r="BF86" i="18"/>
  <c r="BE85" i="18"/>
  <c r="AW85" i="18"/>
  <c r="BF85" i="18"/>
  <c r="AU84" i="18"/>
  <c r="BG84" i="18"/>
  <c r="AX84" i="18"/>
  <c r="AZ82" i="18"/>
  <c r="AW81" i="18"/>
  <c r="BE81" i="18"/>
  <c r="BF81" i="18"/>
  <c r="AU80" i="18"/>
  <c r="BG80" i="18"/>
  <c r="AX80" i="18"/>
  <c r="AZ78" i="18"/>
  <c r="BE77" i="18"/>
  <c r="AW77" i="18"/>
  <c r="BF77" i="18"/>
  <c r="AU76" i="18"/>
  <c r="BG76" i="18"/>
  <c r="AX76" i="18"/>
  <c r="AZ74" i="18"/>
  <c r="BE73" i="18"/>
  <c r="AW73" i="18"/>
  <c r="BF73" i="18"/>
  <c r="AU72" i="18"/>
  <c r="L72" i="25" s="1"/>
  <c r="BG72" i="18"/>
  <c r="AX72" i="18"/>
  <c r="AZ70" i="18"/>
  <c r="AU69" i="18"/>
  <c r="BG69" i="18"/>
  <c r="AX69" i="18"/>
  <c r="AZ67" i="18"/>
  <c r="BE66" i="18"/>
  <c r="AW66" i="18"/>
  <c r="BF66" i="18"/>
  <c r="AU65" i="18"/>
  <c r="BG65" i="18"/>
  <c r="AX65" i="18"/>
  <c r="AZ63" i="18"/>
  <c r="BE62" i="18"/>
  <c r="AW62" i="18"/>
  <c r="BF62" i="18"/>
  <c r="AU61" i="18"/>
  <c r="BG61" i="18"/>
  <c r="AX61" i="18"/>
  <c r="AZ59" i="18"/>
  <c r="BE58" i="18"/>
  <c r="AW58" i="18"/>
  <c r="BF58" i="18"/>
  <c r="AU57" i="18"/>
  <c r="BG57" i="18"/>
  <c r="AX57" i="18"/>
  <c r="AZ55" i="18"/>
  <c r="AW54" i="18"/>
  <c r="BE54" i="18"/>
  <c r="BF54" i="18"/>
  <c r="AU53" i="18"/>
  <c r="BG53" i="18"/>
  <c r="AX53" i="18"/>
  <c r="AZ51" i="18"/>
  <c r="BE50" i="18"/>
  <c r="AW50" i="18"/>
  <c r="BF50" i="18"/>
  <c r="AU49" i="18"/>
  <c r="BG49" i="18"/>
  <c r="AX49" i="18"/>
  <c r="AZ47" i="18"/>
  <c r="BE46" i="18"/>
  <c r="AW46" i="18"/>
  <c r="BF46" i="18"/>
  <c r="AU44" i="18"/>
  <c r="BG44" i="18"/>
  <c r="AX44" i="18"/>
  <c r="AZ43" i="18"/>
  <c r="BE42" i="18"/>
  <c r="AW42" i="18"/>
  <c r="BF42" i="18"/>
  <c r="AU41" i="18"/>
  <c r="BG41" i="18"/>
  <c r="AX41" i="18"/>
  <c r="AZ39" i="18"/>
  <c r="AW38" i="18"/>
  <c r="BE38" i="18"/>
  <c r="BF38" i="18"/>
  <c r="AU37" i="18"/>
  <c r="BG37" i="18"/>
  <c r="AX37" i="18"/>
  <c r="AZ35" i="18"/>
  <c r="BE34" i="18"/>
  <c r="AW34" i="18"/>
  <c r="BF34" i="18"/>
  <c r="AU33" i="18"/>
  <c r="BG33" i="18"/>
  <c r="AX33" i="18"/>
  <c r="AW32" i="18"/>
  <c r="BE32" i="18"/>
  <c r="BF32" i="18"/>
  <c r="AU31" i="18"/>
  <c r="BG31" i="18"/>
  <c r="AX31" i="18"/>
  <c r="BE389" i="18"/>
  <c r="AW389" i="18"/>
  <c r="BF389" i="18"/>
  <c r="AU388" i="18"/>
  <c r="L388" i="25" s="1"/>
  <c r="BG388" i="18"/>
  <c r="AX388" i="18"/>
  <c r="AZ386" i="18"/>
  <c r="BE385" i="18"/>
  <c r="AW385" i="18"/>
  <c r="BF385" i="18"/>
  <c r="L384" i="25"/>
  <c r="AZ382" i="18"/>
  <c r="BE381" i="18"/>
  <c r="AW381" i="18"/>
  <c r="BF381" i="18"/>
  <c r="AU380" i="18"/>
  <c r="L380" i="25" s="1"/>
  <c r="BG380" i="18"/>
  <c r="AX380" i="18"/>
  <c r="AZ378" i="18"/>
  <c r="BE377" i="18"/>
  <c r="AW377" i="18"/>
  <c r="BF377" i="18"/>
  <c r="AU376" i="18"/>
  <c r="L376" i="25" s="1"/>
  <c r="BG376" i="18"/>
  <c r="AX376" i="18"/>
  <c r="AZ374" i="18"/>
  <c r="BE373" i="18"/>
  <c r="AW373" i="18"/>
  <c r="BF373" i="18"/>
  <c r="AU372" i="18"/>
  <c r="L372" i="25" s="1"/>
  <c r="BG372" i="18"/>
  <c r="AX372" i="18"/>
  <c r="AZ370" i="18"/>
  <c r="BE369" i="18"/>
  <c r="AW369" i="18"/>
  <c r="BF369" i="18"/>
  <c r="AU368" i="18"/>
  <c r="L368" i="25" s="1"/>
  <c r="BG368" i="18"/>
  <c r="AX368" i="18"/>
  <c r="AZ366" i="18"/>
  <c r="BE365" i="18"/>
  <c r="AW365" i="18"/>
  <c r="BF365" i="18"/>
  <c r="AU364" i="18"/>
  <c r="L364" i="25" s="1"/>
  <c r="BG364" i="18"/>
  <c r="AX364" i="18"/>
  <c r="AZ407" i="18"/>
  <c r="BE406" i="18"/>
  <c r="AW406" i="18"/>
  <c r="BF406" i="18"/>
  <c r="AU405" i="18"/>
  <c r="L404" i="25" s="1"/>
  <c r="BG405" i="18"/>
  <c r="AX405" i="18"/>
  <c r="AZ403" i="18"/>
  <c r="BE402" i="18"/>
  <c r="AW402" i="18"/>
  <c r="BF402" i="18"/>
  <c r="AU401" i="18"/>
  <c r="BG401" i="18"/>
  <c r="AX401" i="18"/>
  <c r="BE400" i="18"/>
  <c r="AW400" i="18"/>
  <c r="BF400" i="18"/>
  <c r="AU399" i="18"/>
  <c r="L399" i="25" s="1"/>
  <c r="BG399" i="18"/>
  <c r="AZ397" i="18"/>
  <c r="BE396" i="18"/>
  <c r="AW396" i="18"/>
  <c r="BF396" i="18"/>
  <c r="AU395" i="18"/>
  <c r="L395" i="25" s="1"/>
  <c r="BG395" i="18"/>
  <c r="AZ394" i="18"/>
  <c r="BE393" i="18"/>
  <c r="AW393" i="18"/>
  <c r="BF393" i="18"/>
  <c r="BE390" i="18"/>
  <c r="AW390" i="18"/>
  <c r="BF390" i="18"/>
  <c r="AX309" i="18"/>
  <c r="BE307" i="18"/>
  <c r="AW307" i="18"/>
  <c r="BF307" i="18"/>
  <c r="BG306" i="18"/>
  <c r="AX306" i="18"/>
  <c r="AZ305" i="18"/>
  <c r="AW304" i="18"/>
  <c r="BE304" i="18"/>
  <c r="BF304" i="18"/>
  <c r="BG303" i="18"/>
  <c r="AX303" i="18"/>
  <c r="AZ301" i="18"/>
  <c r="BE300" i="18"/>
  <c r="AW300" i="18"/>
  <c r="BF300" i="18"/>
  <c r="BG299" i="18"/>
  <c r="AX299" i="18"/>
  <c r="AZ297" i="18"/>
  <c r="BE296" i="18"/>
  <c r="AW296" i="18"/>
  <c r="BF296" i="18"/>
  <c r="BG295" i="18"/>
  <c r="AX295" i="18"/>
  <c r="AZ294" i="18"/>
  <c r="BE293" i="18"/>
  <c r="AW293" i="18"/>
  <c r="BF293" i="18"/>
  <c r="BG292" i="18"/>
  <c r="AX292" i="18"/>
  <c r="AZ290" i="18"/>
  <c r="BE289" i="18"/>
  <c r="AW289" i="18"/>
  <c r="BF289" i="18"/>
  <c r="AZ287" i="18"/>
  <c r="BE286" i="18"/>
  <c r="AW286" i="18"/>
  <c r="BF286" i="18"/>
  <c r="BG285" i="18"/>
  <c r="AX285" i="18"/>
  <c r="BE283" i="18"/>
  <c r="AW283" i="18"/>
  <c r="BF283" i="18"/>
  <c r="AZ280" i="18"/>
  <c r="BE279" i="18"/>
  <c r="AW279" i="18"/>
  <c r="BF279" i="18"/>
  <c r="BG278" i="18"/>
  <c r="AX278" i="18"/>
  <c r="AZ276" i="18"/>
  <c r="BE275" i="18"/>
  <c r="AW275" i="18"/>
  <c r="BF275" i="18"/>
  <c r="BG274" i="18"/>
  <c r="AX274" i="18"/>
  <c r="AZ272" i="18"/>
  <c r="BE271" i="18"/>
  <c r="AW271" i="18"/>
  <c r="BF271" i="18"/>
  <c r="BG270" i="18"/>
  <c r="AX270" i="18"/>
  <c r="AZ268" i="18"/>
  <c r="BE267" i="18"/>
  <c r="AW267" i="18"/>
  <c r="BF267" i="18"/>
  <c r="BG266" i="18"/>
  <c r="AX266" i="18"/>
  <c r="AZ265" i="18"/>
  <c r="AZ264" i="18"/>
  <c r="BE263" i="18"/>
  <c r="AW263" i="18"/>
  <c r="BF263" i="18"/>
  <c r="BG262" i="18"/>
  <c r="AX262" i="18"/>
  <c r="AZ260" i="18"/>
  <c r="BE259" i="18"/>
  <c r="AW259" i="18"/>
  <c r="BF259" i="18"/>
  <c r="BG258" i="18"/>
  <c r="AX258" i="18"/>
  <c r="AZ256" i="18"/>
  <c r="BE255" i="18"/>
  <c r="AW255" i="18"/>
  <c r="BF255" i="18"/>
  <c r="BG254" i="18"/>
  <c r="AX254" i="18"/>
  <c r="AZ252" i="18"/>
  <c r="BE251" i="18"/>
  <c r="AW251" i="18"/>
  <c r="BF251" i="18"/>
  <c r="BG250" i="18"/>
  <c r="AX250" i="18"/>
  <c r="AZ248" i="18"/>
  <c r="BE247" i="18"/>
  <c r="AW247" i="18"/>
  <c r="BF247" i="18"/>
  <c r="BG246" i="18"/>
  <c r="AX246" i="18"/>
  <c r="AZ244" i="18"/>
  <c r="BE243" i="18"/>
  <c r="AW243" i="18"/>
  <c r="BF243" i="18"/>
  <c r="BG242" i="18"/>
  <c r="AX242" i="18"/>
  <c r="AZ240" i="18"/>
  <c r="BE239" i="18"/>
  <c r="AW239" i="18"/>
  <c r="BF239" i="18"/>
  <c r="BG238" i="18"/>
  <c r="AX238" i="18"/>
  <c r="AZ236" i="18"/>
  <c r="BE235" i="18"/>
  <c r="AW235" i="18"/>
  <c r="BF235" i="18"/>
  <c r="AZ233" i="18"/>
  <c r="BE232" i="18"/>
  <c r="AW232" i="18"/>
  <c r="BF232" i="18"/>
  <c r="BE230" i="18"/>
  <c r="AW230" i="18"/>
  <c r="BF230" i="18"/>
  <c r="BG229" i="18"/>
  <c r="AX229" i="18"/>
  <c r="AZ227" i="18"/>
  <c r="BE226" i="18"/>
  <c r="AW226" i="18"/>
  <c r="BF226" i="18"/>
  <c r="AZ224" i="18"/>
  <c r="BE223" i="18"/>
  <c r="AW223" i="18"/>
  <c r="BF223" i="18"/>
  <c r="BG222" i="18"/>
  <c r="AX222" i="18"/>
  <c r="AZ220" i="18"/>
  <c r="BE219" i="18"/>
  <c r="AW219" i="18"/>
  <c r="BF219" i="18"/>
  <c r="BG218" i="18"/>
  <c r="AX218" i="18"/>
  <c r="AZ216" i="18"/>
  <c r="BE215" i="18"/>
  <c r="AW215" i="18"/>
  <c r="BF215" i="18"/>
  <c r="AX214" i="18"/>
  <c r="AZ212" i="18"/>
  <c r="AW211" i="18"/>
  <c r="BE211" i="18"/>
  <c r="BF211" i="18"/>
  <c r="AX210" i="18"/>
  <c r="AZ208" i="18"/>
  <c r="BE207" i="18"/>
  <c r="AW207" i="18"/>
  <c r="BF207" i="18"/>
  <c r="BG206" i="18"/>
  <c r="AX206" i="18"/>
  <c r="AZ204" i="18"/>
  <c r="BE203" i="18"/>
  <c r="AW203" i="18"/>
  <c r="BF203" i="18"/>
  <c r="BG202" i="18"/>
  <c r="AX202" i="18"/>
  <c r="AZ200" i="18"/>
  <c r="BE199" i="18"/>
  <c r="AW199" i="18"/>
  <c r="BF199" i="18"/>
  <c r="BG198" i="18"/>
  <c r="AX198" i="18"/>
  <c r="AZ196" i="18"/>
  <c r="BE195" i="18"/>
  <c r="AW195" i="18"/>
  <c r="BF195" i="18"/>
  <c r="BG194" i="18"/>
  <c r="AX194" i="18"/>
  <c r="AZ192" i="18"/>
  <c r="BE191" i="18"/>
  <c r="AW191" i="18"/>
  <c r="BF191" i="18"/>
  <c r="BG190" i="18"/>
  <c r="AX190" i="18"/>
  <c r="AZ189" i="18"/>
  <c r="BE188" i="18"/>
  <c r="AW188" i="18"/>
  <c r="BF188" i="18"/>
  <c r="BG187" i="18"/>
  <c r="AX187" i="18"/>
  <c r="AZ185" i="18"/>
  <c r="AW184" i="18"/>
  <c r="BE184" i="18"/>
  <c r="BF184" i="18"/>
  <c r="BG183" i="18"/>
  <c r="AX183" i="18"/>
  <c r="AZ181" i="18"/>
  <c r="BE180" i="18"/>
  <c r="AW180" i="18"/>
  <c r="BF180" i="18"/>
  <c r="AZ178" i="18"/>
  <c r="BE177" i="18"/>
  <c r="AW177" i="18"/>
  <c r="BF177" i="18"/>
  <c r="AZ175" i="18"/>
  <c r="AZ174" i="18"/>
  <c r="AZ173" i="18"/>
  <c r="AW172" i="18"/>
  <c r="BE172" i="18"/>
  <c r="BF172" i="18"/>
  <c r="AU171" i="18"/>
  <c r="BG171" i="18"/>
  <c r="AX171" i="18"/>
  <c r="AZ169" i="18"/>
  <c r="BE168" i="18"/>
  <c r="AW168" i="18"/>
  <c r="BF168" i="18"/>
  <c r="AU167" i="18"/>
  <c r="BG167" i="18"/>
  <c r="AX167" i="18"/>
  <c r="AZ165" i="18"/>
  <c r="AW164" i="18"/>
  <c r="BE164" i="18"/>
  <c r="BF164" i="18"/>
  <c r="AU163" i="18"/>
  <c r="BG163" i="18"/>
  <c r="AX163" i="18"/>
  <c r="AZ161" i="18"/>
  <c r="AU160" i="18"/>
  <c r="L160" i="25" s="1"/>
  <c r="BG160" i="18"/>
  <c r="AX160" i="18"/>
  <c r="AZ158" i="18"/>
  <c r="AW157" i="18"/>
  <c r="BE157" i="18"/>
  <c r="BF157" i="18"/>
  <c r="AZ155" i="18"/>
  <c r="BE154" i="18"/>
  <c r="AW154" i="18"/>
  <c r="BF154" i="18"/>
  <c r="AU153" i="18"/>
  <c r="BG153" i="18"/>
  <c r="AX153" i="18"/>
  <c r="AZ151" i="18"/>
  <c r="BE150" i="18"/>
  <c r="AW150" i="18"/>
  <c r="BF150" i="18"/>
  <c r="AU149" i="18"/>
  <c r="BG149" i="18"/>
  <c r="AX149" i="18"/>
  <c r="AZ147" i="18"/>
  <c r="AW146" i="18"/>
  <c r="BE146" i="18"/>
  <c r="BF146" i="18"/>
  <c r="BG145" i="18"/>
  <c r="AX145" i="18"/>
  <c r="AZ143" i="18"/>
  <c r="BE142" i="18"/>
  <c r="AW142" i="18"/>
  <c r="BF142" i="18"/>
  <c r="AU141" i="18"/>
  <c r="BG141" i="18"/>
  <c r="AX141" i="18"/>
  <c r="AZ140" i="18"/>
  <c r="BE139" i="18"/>
  <c r="AW139" i="18"/>
  <c r="BF139" i="18"/>
  <c r="AU138" i="18"/>
  <c r="BG138" i="18"/>
  <c r="AX138" i="18"/>
  <c r="AZ136" i="18"/>
  <c r="AU135" i="18"/>
  <c r="BG135" i="18"/>
  <c r="AX135" i="18"/>
  <c r="AZ133" i="18"/>
  <c r="AW132" i="18"/>
  <c r="BE132" i="18"/>
  <c r="BF132" i="18"/>
  <c r="AU131" i="18"/>
  <c r="BG131" i="18"/>
  <c r="AX131" i="18"/>
  <c r="AZ129" i="18"/>
  <c r="AW128" i="18"/>
  <c r="BE128" i="18"/>
  <c r="BF128" i="18"/>
  <c r="AU127" i="18"/>
  <c r="L127" i="25" s="1"/>
  <c r="BG127" i="18"/>
  <c r="AX127" i="18"/>
  <c r="AZ125" i="18"/>
  <c r="BE124" i="18"/>
  <c r="AW124" i="18"/>
  <c r="BF124" i="18"/>
  <c r="AU123" i="18"/>
  <c r="BG123" i="18"/>
  <c r="AX123" i="18"/>
  <c r="AZ121" i="18"/>
  <c r="AW120" i="18"/>
  <c r="BE120" i="18"/>
  <c r="BF120" i="18"/>
  <c r="AU119" i="18"/>
  <c r="BG119" i="18"/>
  <c r="AX119" i="18"/>
  <c r="BE117" i="18"/>
  <c r="AW117" i="18"/>
  <c r="BF117" i="18"/>
  <c r="AU116" i="18"/>
  <c r="L116" i="25" s="1"/>
  <c r="BG116" i="18"/>
  <c r="AX116" i="18"/>
  <c r="AZ114" i="18"/>
  <c r="AW113" i="18"/>
  <c r="BE113" i="18"/>
  <c r="BF113" i="18"/>
  <c r="AU112" i="18"/>
  <c r="L112" i="25" s="1"/>
  <c r="BG112" i="18"/>
  <c r="AX112" i="18"/>
  <c r="AZ110" i="18"/>
  <c r="BE109" i="18"/>
  <c r="AW109" i="18"/>
  <c r="BF109" i="18"/>
  <c r="AU108" i="18"/>
  <c r="L108" i="25" s="1"/>
  <c r="BG108" i="18"/>
  <c r="AX108" i="18"/>
  <c r="AZ106" i="18"/>
  <c r="AW105" i="18"/>
  <c r="BE105" i="18"/>
  <c r="BF105" i="18"/>
  <c r="AX104" i="18"/>
  <c r="AZ102" i="18"/>
  <c r="AW101" i="18"/>
  <c r="BE101" i="18"/>
  <c r="BF101" i="18"/>
  <c r="BG100" i="18"/>
  <c r="AX100" i="18"/>
  <c r="AZ98" i="18"/>
  <c r="AW97" i="18"/>
  <c r="BE97" i="18"/>
  <c r="BF97" i="18"/>
  <c r="AU96" i="18"/>
  <c r="BG96" i="18"/>
  <c r="AX96" i="18"/>
  <c r="AZ94" i="18"/>
  <c r="BE93" i="18"/>
  <c r="AW93" i="18"/>
  <c r="BF93" i="18"/>
  <c r="BG92" i="18"/>
  <c r="AX92" i="18"/>
  <c r="AZ90" i="18"/>
  <c r="BE89" i="18"/>
  <c r="AW89" i="18"/>
  <c r="BF89" i="18"/>
  <c r="BG88" i="18"/>
  <c r="AX88" i="18"/>
  <c r="AZ86" i="18"/>
  <c r="AZ85" i="18"/>
  <c r="AW84" i="18"/>
  <c r="BE84" i="18"/>
  <c r="BF84" i="18"/>
  <c r="BG83" i="18"/>
  <c r="AX83" i="18"/>
  <c r="AZ81" i="18"/>
  <c r="AW80" i="18"/>
  <c r="BE80" i="18"/>
  <c r="BF80" i="18"/>
  <c r="BG79" i="18"/>
  <c r="AX79" i="18"/>
  <c r="AZ77" i="18"/>
  <c r="AW76" i="18"/>
  <c r="BE76" i="18"/>
  <c r="BF76" i="18"/>
  <c r="BG75" i="18"/>
  <c r="AX75" i="18"/>
  <c r="AZ73" i="18"/>
  <c r="BE72" i="18"/>
  <c r="AW72" i="18"/>
  <c r="BF72" i="18"/>
  <c r="BG71" i="18"/>
  <c r="AX71" i="18"/>
  <c r="AW69" i="18"/>
  <c r="BE69" i="18"/>
  <c r="BF69" i="18"/>
  <c r="BG68" i="18"/>
  <c r="AX68" i="18"/>
  <c r="AZ66" i="18"/>
  <c r="BE65" i="18"/>
  <c r="AW65" i="18"/>
  <c r="BF65" i="18"/>
  <c r="BG64" i="18"/>
  <c r="AX64" i="18"/>
  <c r="AZ62" i="18"/>
  <c r="AW61" i="18"/>
  <c r="BE61" i="18"/>
  <c r="BF61" i="18"/>
  <c r="BG60" i="18"/>
  <c r="AX60" i="18"/>
  <c r="AZ58" i="18"/>
  <c r="BE57" i="18"/>
  <c r="AW57" i="18"/>
  <c r="BF57" i="18"/>
  <c r="BG56" i="18"/>
  <c r="AX56" i="18"/>
  <c r="AZ54" i="18"/>
  <c r="AW53" i="18"/>
  <c r="BE53" i="18"/>
  <c r="BF53" i="18"/>
  <c r="BG52" i="18"/>
  <c r="AX52" i="18"/>
  <c r="AZ50" i="18"/>
  <c r="AW49" i="18"/>
  <c r="BE49" i="18"/>
  <c r="BF49" i="18"/>
  <c r="BG48" i="18"/>
  <c r="AX48" i="18"/>
  <c r="AZ46" i="18"/>
  <c r="BG45" i="18"/>
  <c r="AX45" i="18"/>
  <c r="BE44" i="18"/>
  <c r="AW44" i="18"/>
  <c r="BF44" i="18"/>
  <c r="AZ42" i="18"/>
  <c r="BE41" i="18"/>
  <c r="AW41" i="18"/>
  <c r="BF41" i="18"/>
  <c r="BG40" i="18"/>
  <c r="AX40" i="18"/>
  <c r="AZ38" i="18"/>
  <c r="AW37" i="18"/>
  <c r="BE37" i="18"/>
  <c r="BF37" i="18"/>
  <c r="BG36" i="18"/>
  <c r="AX36" i="18"/>
  <c r="AZ34" i="18"/>
  <c r="BE33" i="18"/>
  <c r="AW33" i="18"/>
  <c r="BF33" i="18"/>
  <c r="AZ32" i="18"/>
  <c r="AW31" i="18"/>
  <c r="BE31" i="18"/>
  <c r="BF31" i="18"/>
  <c r="AZ389" i="18"/>
  <c r="BE388" i="18"/>
  <c r="AW388" i="18"/>
  <c r="BF388" i="18"/>
  <c r="BG387" i="18"/>
  <c r="AX387" i="18"/>
  <c r="AZ385" i="18"/>
  <c r="BG383" i="18"/>
  <c r="AX383" i="18"/>
  <c r="AZ381" i="18"/>
  <c r="BE380" i="18"/>
  <c r="AW380" i="18"/>
  <c r="BF380" i="18"/>
  <c r="BG379" i="18"/>
  <c r="AX379" i="18"/>
  <c r="AZ377" i="18"/>
  <c r="BE376" i="18"/>
  <c r="AW376" i="18"/>
  <c r="BF376" i="18"/>
  <c r="BG375" i="18"/>
  <c r="AX375" i="18"/>
  <c r="AZ373" i="18"/>
  <c r="BE372" i="18"/>
  <c r="AW372" i="18"/>
  <c r="BF372" i="18"/>
  <c r="BG371" i="18"/>
  <c r="AX371" i="18"/>
  <c r="AZ369" i="18"/>
  <c r="BE368" i="18"/>
  <c r="AW368" i="18"/>
  <c r="BF368" i="18"/>
  <c r="BG367" i="18"/>
  <c r="AX367" i="18"/>
  <c r="AZ365" i="18"/>
  <c r="BE364" i="18"/>
  <c r="AW364" i="18"/>
  <c r="BF364" i="18"/>
  <c r="AX363" i="18"/>
  <c r="AZ406" i="18"/>
  <c r="BE405" i="18"/>
  <c r="AW405" i="18"/>
  <c r="BF405" i="18"/>
  <c r="AX404" i="18"/>
  <c r="AZ402" i="18"/>
  <c r="BE401" i="18"/>
  <c r="AW401" i="18"/>
  <c r="BF401" i="18"/>
  <c r="AZ400" i="18"/>
  <c r="BE399" i="18"/>
  <c r="AW399" i="18"/>
  <c r="BF399" i="18"/>
  <c r="BG398" i="18"/>
  <c r="AX398" i="18"/>
  <c r="AZ396" i="18"/>
  <c r="BE395" i="18"/>
  <c r="AW395" i="18"/>
  <c r="BF395" i="18"/>
  <c r="AZ393" i="18"/>
  <c r="AW392" i="18"/>
  <c r="BE392" i="18"/>
  <c r="BF392" i="18"/>
  <c r="BG391" i="18"/>
  <c r="AX391" i="18"/>
  <c r="AZ390" i="18"/>
  <c r="AZ307" i="18"/>
  <c r="AW306" i="18"/>
  <c r="BE306" i="18"/>
  <c r="BF306" i="18"/>
  <c r="AZ304" i="18"/>
  <c r="BE303" i="18"/>
  <c r="AW303" i="18"/>
  <c r="BF303" i="18"/>
  <c r="AZ300" i="18"/>
  <c r="AW299" i="18"/>
  <c r="BE299" i="18"/>
  <c r="BF299" i="18"/>
  <c r="AZ296" i="18"/>
  <c r="BE295" i="18"/>
  <c r="AW295" i="18"/>
  <c r="BF295" i="18"/>
  <c r="AZ293" i="18"/>
  <c r="AW292" i="18"/>
  <c r="BE292" i="18"/>
  <c r="BF292" i="18"/>
  <c r="AZ289" i="18"/>
  <c r="AZ286" i="18"/>
  <c r="BE285" i="18"/>
  <c r="AW285" i="18"/>
  <c r="BF285" i="18"/>
  <c r="AZ283" i="18"/>
  <c r="AZ279" i="18"/>
  <c r="AW278" i="18"/>
  <c r="BE278" i="18"/>
  <c r="BF278" i="18"/>
  <c r="AZ275" i="18"/>
  <c r="BE274" i="18"/>
  <c r="AW274" i="18"/>
  <c r="BF274" i="18"/>
  <c r="AZ271" i="18"/>
  <c r="BE270" i="18"/>
  <c r="AW270" i="18"/>
  <c r="BF270" i="18"/>
  <c r="AZ267" i="18"/>
  <c r="BE266" i="18"/>
  <c r="AW266" i="18"/>
  <c r="BF266" i="18"/>
  <c r="AZ263" i="18"/>
  <c r="AW262" i="18"/>
  <c r="BE262" i="18"/>
  <c r="BF262" i="18"/>
  <c r="AZ259" i="18"/>
  <c r="BE258" i="18"/>
  <c r="AW258" i="18"/>
  <c r="BF258" i="18"/>
  <c r="AZ255" i="18"/>
  <c r="AW254" i="18"/>
  <c r="BE254" i="18"/>
  <c r="BF254" i="18"/>
  <c r="AZ251" i="18"/>
  <c r="BE250" i="18"/>
  <c r="AW250" i="18"/>
  <c r="BF250" i="18"/>
  <c r="AZ247" i="18"/>
  <c r="AW246" i="18"/>
  <c r="BE246" i="18"/>
  <c r="BF246" i="18"/>
  <c r="AZ243" i="18"/>
  <c r="BE242" i="18"/>
  <c r="AW242" i="18"/>
  <c r="BF242" i="18"/>
  <c r="AZ239" i="18"/>
  <c r="AW238" i="18"/>
  <c r="BE238" i="18"/>
  <c r="BF238" i="18"/>
  <c r="AZ235" i="18"/>
  <c r="AZ232" i="18"/>
  <c r="AZ230" i="18"/>
  <c r="BE229" i="18"/>
  <c r="AW229" i="18"/>
  <c r="BF229" i="18"/>
  <c r="AZ226" i="18"/>
  <c r="AZ223" i="18"/>
  <c r="BE222" i="18"/>
  <c r="AW222" i="18"/>
  <c r="BF222" i="18"/>
  <c r="AZ219" i="18"/>
  <c r="BE218" i="18"/>
  <c r="AW218" i="18"/>
  <c r="BF218" i="18"/>
  <c r="AZ215" i="18"/>
  <c r="AW214" i="18"/>
  <c r="BE214" i="18"/>
  <c r="BF214" i="18"/>
  <c r="AZ211" i="18"/>
  <c r="BE210" i="18"/>
  <c r="AW210" i="18"/>
  <c r="BF210" i="18"/>
  <c r="AZ207" i="18"/>
  <c r="AW206" i="18"/>
  <c r="BE206" i="18"/>
  <c r="BF206" i="18"/>
  <c r="AZ203" i="18"/>
  <c r="BE202" i="18"/>
  <c r="AW202" i="18"/>
  <c r="BF202" i="18"/>
  <c r="AZ199" i="18"/>
  <c r="AW198" i="18"/>
  <c r="BE198" i="18"/>
  <c r="BF198" i="18"/>
  <c r="AZ195" i="18"/>
  <c r="BE194" i="18"/>
  <c r="AW194" i="18"/>
  <c r="BF194" i="18"/>
  <c r="AZ191" i="18"/>
  <c r="AW190" i="18"/>
  <c r="BE190" i="18"/>
  <c r="BF190" i="18"/>
  <c r="AZ188" i="18"/>
  <c r="BE187" i="18"/>
  <c r="AW187" i="18"/>
  <c r="BF187" i="18"/>
  <c r="AZ184" i="18"/>
  <c r="BE183" i="18"/>
  <c r="AW183" i="18"/>
  <c r="BF183" i="18"/>
  <c r="AZ180" i="18"/>
  <c r="AZ177" i="18"/>
  <c r="AZ172" i="18"/>
  <c r="BE171" i="18"/>
  <c r="AW171" i="18"/>
  <c r="BF171" i="18"/>
  <c r="AZ168" i="18"/>
  <c r="BE167" i="18"/>
  <c r="AW167" i="18"/>
  <c r="BF167" i="18"/>
  <c r="AZ164" i="18"/>
  <c r="BE163" i="18"/>
  <c r="AW163" i="18"/>
  <c r="BF163" i="18"/>
  <c r="BE160" i="18"/>
  <c r="AW160" i="18"/>
  <c r="BF160" i="18"/>
  <c r="AZ157" i="18"/>
  <c r="AZ154" i="18"/>
  <c r="BE153" i="18"/>
  <c r="AW153" i="18"/>
  <c r="BF153" i="18"/>
  <c r="AZ150" i="18"/>
  <c r="BE149" i="18"/>
  <c r="AW149" i="18"/>
  <c r="BF149" i="18"/>
  <c r="AZ146" i="18"/>
  <c r="BE145" i="18"/>
  <c r="AW145" i="18"/>
  <c r="BF145" i="18"/>
  <c r="AZ142" i="18"/>
  <c r="BE141" i="18"/>
  <c r="AW141" i="18"/>
  <c r="BF141" i="18"/>
  <c r="AZ139" i="18"/>
  <c r="BE138" i="18"/>
  <c r="AW138" i="18"/>
  <c r="BF138" i="18"/>
  <c r="BE135" i="18"/>
  <c r="AW135" i="18"/>
  <c r="BF135" i="18"/>
  <c r="AZ132" i="18"/>
  <c r="BE131" i="18"/>
  <c r="AW131" i="18"/>
  <c r="BF131" i="18"/>
  <c r="AZ128" i="18"/>
  <c r="BE127" i="18"/>
  <c r="AW127" i="18"/>
  <c r="BF127" i="18"/>
  <c r="AZ124" i="18"/>
  <c r="BE123" i="18"/>
  <c r="AW123" i="18"/>
  <c r="BF123" i="18"/>
  <c r="AZ120" i="18"/>
  <c r="BE119" i="18"/>
  <c r="AW119" i="18"/>
  <c r="BF119" i="18"/>
  <c r="AZ117" i="18"/>
  <c r="BE116" i="18"/>
  <c r="AW116" i="18"/>
  <c r="BF116" i="18"/>
  <c r="AZ113" i="18"/>
  <c r="BE112" i="18"/>
  <c r="AW112" i="18"/>
  <c r="BF112" i="18"/>
  <c r="AZ109" i="18"/>
  <c r="BE108" i="18"/>
  <c r="AW108" i="18"/>
  <c r="BF108" i="18"/>
  <c r="AZ105" i="18"/>
  <c r="BE104" i="18"/>
  <c r="AW104" i="18"/>
  <c r="BF104" i="18"/>
  <c r="AZ101" i="18"/>
  <c r="BE100" i="18"/>
  <c r="AW100" i="18"/>
  <c r="BF100" i="18"/>
  <c r="AZ97" i="18"/>
  <c r="BE96" i="18"/>
  <c r="AW96" i="18"/>
  <c r="BF96" i="18"/>
  <c r="AZ93" i="18"/>
  <c r="BE92" i="18"/>
  <c r="AW92" i="18"/>
  <c r="BF92" i="18"/>
  <c r="AZ89" i="18"/>
  <c r="BE88" i="18"/>
  <c r="AW88" i="18"/>
  <c r="BF88" i="18"/>
  <c r="AZ84" i="18"/>
  <c r="BE83" i="18"/>
  <c r="AW83" i="18"/>
  <c r="BF83" i="18"/>
  <c r="AZ80" i="18"/>
  <c r="BE79" i="18"/>
  <c r="AW79" i="18"/>
  <c r="BF79" i="18"/>
  <c r="AZ76" i="18"/>
  <c r="BE75" i="18"/>
  <c r="AW75" i="18"/>
  <c r="BF75" i="18"/>
  <c r="AZ72" i="18"/>
  <c r="BE71" i="18"/>
  <c r="AW71" i="18"/>
  <c r="BF71" i="18"/>
  <c r="AZ69" i="18"/>
  <c r="BE68" i="18"/>
  <c r="AW68" i="18"/>
  <c r="BF68" i="18"/>
  <c r="AZ65" i="18"/>
  <c r="BE64" i="18"/>
  <c r="AW64" i="18"/>
  <c r="BF64" i="18"/>
  <c r="AZ61" i="18"/>
  <c r="BE60" i="18"/>
  <c r="AW60" i="18"/>
  <c r="BF60" i="18"/>
  <c r="AZ57" i="18"/>
  <c r="BE56" i="18"/>
  <c r="AW56" i="18"/>
  <c r="BF56" i="18"/>
  <c r="AZ53" i="18"/>
  <c r="BE52" i="18"/>
  <c r="AW52" i="18"/>
  <c r="BF52" i="18"/>
  <c r="AZ49" i="18"/>
  <c r="BE48" i="18"/>
  <c r="AW48" i="18"/>
  <c r="BF48" i="18"/>
  <c r="BE45" i="18"/>
  <c r="AW45" i="18"/>
  <c r="BF45" i="18"/>
  <c r="AZ44" i="18"/>
  <c r="AZ41" i="18"/>
  <c r="BE40" i="18"/>
  <c r="AW40" i="18"/>
  <c r="BF40" i="18"/>
  <c r="AZ37" i="18"/>
  <c r="BE36" i="18"/>
  <c r="AW36" i="18"/>
  <c r="BF36" i="18"/>
  <c r="AZ33" i="18"/>
  <c r="AZ31" i="18"/>
  <c r="AZ388" i="18"/>
  <c r="BE387" i="18"/>
  <c r="AW387" i="18"/>
  <c r="BF387" i="18"/>
  <c r="BE383" i="18"/>
  <c r="AW383" i="18"/>
  <c r="BF383" i="18"/>
  <c r="AZ380" i="18"/>
  <c r="BE379" i="18"/>
  <c r="AW379" i="18"/>
  <c r="BF379" i="18"/>
  <c r="AZ376" i="18"/>
  <c r="BE375" i="18"/>
  <c r="AW375" i="18"/>
  <c r="BF375" i="18"/>
  <c r="AZ372" i="18"/>
  <c r="AW371" i="18"/>
  <c r="BE371" i="18"/>
  <c r="BF371" i="18"/>
  <c r="AZ368" i="18"/>
  <c r="BE367" i="18"/>
  <c r="AW367" i="18"/>
  <c r="BF367" i="18"/>
  <c r="AZ364" i="18"/>
  <c r="BE363" i="18"/>
  <c r="AW363" i="18"/>
  <c r="BF363" i="18"/>
  <c r="AZ405" i="18"/>
  <c r="BE404" i="18"/>
  <c r="AW404" i="18"/>
  <c r="BF404" i="18"/>
  <c r="AZ401" i="18"/>
  <c r="AZ399" i="18"/>
  <c r="BE398" i="18"/>
  <c r="AW398" i="18"/>
  <c r="BF398" i="18"/>
  <c r="BG397" i="18"/>
  <c r="AX397" i="18"/>
  <c r="AZ395" i="18"/>
  <c r="AU394" i="18"/>
  <c r="L394" i="25" s="1"/>
  <c r="BG394" i="18"/>
  <c r="AX394" i="18"/>
  <c r="AZ392" i="18"/>
  <c r="BE391" i="18"/>
  <c r="AW391" i="18"/>
  <c r="BF391" i="18"/>
  <c r="AU29" i="18"/>
  <c r="L29" i="25" s="1"/>
  <c r="AU13" i="18"/>
  <c r="L13" i="25" s="1"/>
  <c r="AU353" i="18"/>
  <c r="L353" i="25" s="1"/>
  <c r="AU349" i="18"/>
  <c r="L349" i="25" s="1"/>
  <c r="AU345" i="18"/>
  <c r="L345" i="25" s="1"/>
  <c r="AU341" i="18"/>
  <c r="L341" i="25" s="1"/>
  <c r="AU337" i="18"/>
  <c r="L337" i="25" s="1"/>
  <c r="AU333" i="18"/>
  <c r="L333" i="25" s="1"/>
  <c r="AU329" i="18"/>
  <c r="L329" i="25" s="1"/>
  <c r="AU325" i="18"/>
  <c r="L325" i="25" s="1"/>
  <c r="AU321" i="18"/>
  <c r="L321" i="25" s="1"/>
  <c r="AU317" i="18"/>
  <c r="L317" i="25" s="1"/>
  <c r="AU313" i="18"/>
  <c r="L313" i="25" s="1"/>
  <c r="AU309" i="18"/>
  <c r="L309" i="25" s="1"/>
  <c r="AU306" i="18"/>
  <c r="AU303" i="18"/>
  <c r="AU299" i="18"/>
  <c r="AU295" i="18"/>
  <c r="AU292" i="18"/>
  <c r="AU285" i="18"/>
  <c r="AU278" i="18"/>
  <c r="AU274" i="18"/>
  <c r="AU270" i="18"/>
  <c r="L270" i="25" s="1"/>
  <c r="AU266" i="18"/>
  <c r="L266" i="25" s="1"/>
  <c r="AU262" i="18"/>
  <c r="AU258" i="18"/>
  <c r="AU254" i="18"/>
  <c r="AU250" i="18"/>
  <c r="L250" i="25" s="1"/>
  <c r="AU246" i="18"/>
  <c r="AU242" i="18"/>
  <c r="AU238" i="18"/>
  <c r="L238" i="25" s="1"/>
  <c r="AU25" i="18"/>
  <c r="L25" i="25" s="1"/>
  <c r="AU21" i="18"/>
  <c r="L21" i="25" s="1"/>
  <c r="AU9" i="18"/>
  <c r="L9" i="25" s="1"/>
  <c r="AU312" i="18"/>
  <c r="AU308" i="18"/>
  <c r="AU302" i="18"/>
  <c r="AU298" i="18"/>
  <c r="L298" i="25" s="1"/>
  <c r="AU291" i="18"/>
  <c r="L291" i="25" s="1"/>
  <c r="AU288" i="18"/>
  <c r="L288" i="25" s="1"/>
  <c r="AU284" i="18"/>
  <c r="L284" i="25" s="1"/>
  <c r="AU281" i="18"/>
  <c r="L281" i="25" s="1"/>
  <c r="AU277" i="18"/>
  <c r="AU273" i="18"/>
  <c r="AU269" i="18"/>
  <c r="AU261" i="18"/>
  <c r="AU257" i="18"/>
  <c r="AU253" i="18"/>
  <c r="AU249" i="18"/>
  <c r="AU245" i="18"/>
  <c r="AU17" i="18"/>
  <c r="L17" i="25" s="1"/>
  <c r="AU5" i="18"/>
  <c r="L5" i="25" s="1"/>
  <c r="AU361" i="18"/>
  <c r="L361" i="25" s="1"/>
  <c r="AU357" i="18"/>
  <c r="L357" i="25" s="1"/>
  <c r="AU311" i="18"/>
  <c r="AU305" i="18"/>
  <c r="L305" i="25" s="1"/>
  <c r="AU301" i="18"/>
  <c r="AU297" i="18"/>
  <c r="AU294" i="18"/>
  <c r="AU290" i="18"/>
  <c r="AU287" i="18"/>
  <c r="AU280" i="18"/>
  <c r="AU276" i="18"/>
  <c r="AU272" i="18"/>
  <c r="AU268" i="18"/>
  <c r="AU265" i="18"/>
  <c r="AU264" i="18"/>
  <c r="L264" i="25" s="1"/>
  <c r="AU229" i="18"/>
  <c r="L230" i="25" s="1"/>
  <c r="AU222" i="18"/>
  <c r="L222" i="25" s="1"/>
  <c r="AU218" i="18"/>
  <c r="AU214" i="18"/>
  <c r="AU210" i="18"/>
  <c r="AU206" i="18"/>
  <c r="AU202" i="18"/>
  <c r="AU198" i="18"/>
  <c r="AU194" i="18"/>
  <c r="AU190" i="18"/>
  <c r="AU187" i="18"/>
  <c r="AU183" i="18"/>
  <c r="L183" i="25" s="1"/>
  <c r="AU145" i="18"/>
  <c r="AU104" i="18"/>
  <c r="L104" i="25" s="1"/>
  <c r="AU100" i="18"/>
  <c r="AU92" i="18"/>
  <c r="AU88" i="18"/>
  <c r="AU83" i="18"/>
  <c r="L83" i="25" s="1"/>
  <c r="AU79" i="18"/>
  <c r="L79" i="25" s="1"/>
  <c r="AU75" i="18"/>
  <c r="L75" i="25" s="1"/>
  <c r="AU71" i="18"/>
  <c r="AU68" i="18"/>
  <c r="AU64" i="18"/>
  <c r="L64" i="25" s="1"/>
  <c r="AU60" i="18"/>
  <c r="L60" i="25" s="1"/>
  <c r="AU56" i="18"/>
  <c r="L56" i="25" s="1"/>
  <c r="AU52" i="18"/>
  <c r="L52" i="25" s="1"/>
  <c r="AU48" i="18"/>
  <c r="AU45" i="18"/>
  <c r="AU40" i="18"/>
  <c r="AU36" i="18"/>
  <c r="AU387" i="18"/>
  <c r="L387" i="25" s="1"/>
  <c r="AU383" i="18"/>
  <c r="L383" i="25" s="1"/>
  <c r="AU379" i="18"/>
  <c r="L379" i="25" s="1"/>
  <c r="AU375" i="18"/>
  <c r="L375" i="25" s="1"/>
  <c r="AU371" i="18"/>
  <c r="L371" i="25" s="1"/>
  <c r="AU367" i="18"/>
  <c r="L367" i="25" s="1"/>
  <c r="AU363" i="18"/>
  <c r="L363" i="25" s="1"/>
  <c r="AU404" i="18"/>
  <c r="L403" i="25" s="1"/>
  <c r="AU398" i="18"/>
  <c r="L398" i="25" s="1"/>
  <c r="AU391" i="18"/>
  <c r="L391" i="25" s="1"/>
  <c r="AU241" i="18"/>
  <c r="L241" i="25" s="1"/>
  <c r="AU237" i="18"/>
  <c r="L237" i="25" s="1"/>
  <c r="AU234" i="18"/>
  <c r="L234" i="25" s="1"/>
  <c r="AU231" i="18"/>
  <c r="L232" i="25" s="1"/>
  <c r="AU228" i="18"/>
  <c r="L229" i="25" s="1"/>
  <c r="AU225" i="18"/>
  <c r="L225" i="25" s="1"/>
  <c r="AU221" i="18"/>
  <c r="L221" i="25" s="1"/>
  <c r="AU217" i="18"/>
  <c r="L217" i="25" s="1"/>
  <c r="AU213" i="18"/>
  <c r="L213" i="25" s="1"/>
  <c r="AU209" i="18"/>
  <c r="L209" i="25" s="1"/>
  <c r="AU205" i="18"/>
  <c r="AU201" i="18"/>
  <c r="AU197" i="18"/>
  <c r="AU193" i="18"/>
  <c r="AU186" i="18"/>
  <c r="L186" i="25" s="1"/>
  <c r="AU182" i="18"/>
  <c r="L182" i="25" s="1"/>
  <c r="AU179" i="18"/>
  <c r="AU176" i="18"/>
  <c r="AU170" i="18"/>
  <c r="L170" i="25" s="1"/>
  <c r="AU166" i="18"/>
  <c r="L166" i="25" s="1"/>
  <c r="AU162" i="18"/>
  <c r="L162" i="25" s="1"/>
  <c r="AU159" i="18"/>
  <c r="L159" i="25" s="1"/>
  <c r="AU156" i="18"/>
  <c r="AU152" i="18"/>
  <c r="AU148" i="18"/>
  <c r="AU144" i="18"/>
  <c r="AU137" i="18"/>
  <c r="L137" i="25" s="1"/>
  <c r="AU134" i="18"/>
  <c r="AU130" i="18"/>
  <c r="L130" i="25" s="1"/>
  <c r="AU126" i="18"/>
  <c r="AU122" i="18"/>
  <c r="AU118" i="18"/>
  <c r="L118" i="25" s="1"/>
  <c r="AU115" i="18"/>
  <c r="L115" i="25" s="1"/>
  <c r="AU111" i="18"/>
  <c r="AU107" i="18"/>
  <c r="L107" i="25" s="1"/>
  <c r="AU103" i="18"/>
  <c r="AU99" i="18"/>
  <c r="AU95" i="18"/>
  <c r="AU91" i="18"/>
  <c r="AU87" i="18"/>
  <c r="AU82" i="18"/>
  <c r="AU78" i="18"/>
  <c r="AU74" i="18"/>
  <c r="AU70" i="18"/>
  <c r="AU67" i="18"/>
  <c r="AU63" i="18"/>
  <c r="L63" i="25" s="1"/>
  <c r="AU59" i="18"/>
  <c r="L59" i="25" s="1"/>
  <c r="AU55" i="18"/>
  <c r="L55" i="25" s="1"/>
  <c r="AU51" i="18"/>
  <c r="L51" i="25" s="1"/>
  <c r="AU47" i="18"/>
  <c r="AU43" i="18"/>
  <c r="AU39" i="18"/>
  <c r="AU35" i="18"/>
  <c r="AU386" i="18"/>
  <c r="L386" i="25" s="1"/>
  <c r="AU382" i="18"/>
  <c r="L382" i="25" s="1"/>
  <c r="AU378" i="18"/>
  <c r="L378" i="25" s="1"/>
  <c r="AU374" i="18"/>
  <c r="L374" i="25" s="1"/>
  <c r="AU370" i="18"/>
  <c r="L370" i="25" s="1"/>
  <c r="AU366" i="18"/>
  <c r="L366" i="25" s="1"/>
  <c r="AU407" i="18"/>
  <c r="L406" i="25" s="1"/>
  <c r="AU403" i="18"/>
  <c r="L402" i="25" s="1"/>
  <c r="AU397" i="18"/>
  <c r="L397" i="25" s="1"/>
  <c r="AU260" i="18"/>
  <c r="AU256" i="18"/>
  <c r="AU252" i="18"/>
  <c r="AU248" i="18"/>
  <c r="AU244" i="18"/>
  <c r="AU240" i="18"/>
  <c r="L240" i="25" s="1"/>
  <c r="AU236" i="18"/>
  <c r="L236" i="25" s="1"/>
  <c r="AU233" i="18"/>
  <c r="L233" i="25" s="1"/>
  <c r="AU227" i="18"/>
  <c r="L228" i="25" s="1"/>
  <c r="AU224" i="18"/>
  <c r="L224" i="25" s="1"/>
  <c r="AU220" i="18"/>
  <c r="L220" i="25" s="1"/>
  <c r="AU216" i="18"/>
  <c r="L216" i="25" s="1"/>
  <c r="AU212" i="18"/>
  <c r="L212" i="25" s="1"/>
  <c r="AU208" i="18"/>
  <c r="L208" i="25" s="1"/>
  <c r="AU204" i="18"/>
  <c r="L204" i="25" s="1"/>
  <c r="AU200" i="18"/>
  <c r="L200" i="25" s="1"/>
  <c r="AU196" i="18"/>
  <c r="L196" i="25" s="1"/>
  <c r="AU192" i="18"/>
  <c r="L192" i="25" s="1"/>
  <c r="AU189" i="18"/>
  <c r="L189" i="25" s="1"/>
  <c r="AU185" i="18"/>
  <c r="L185" i="25" s="1"/>
  <c r="AU181" i="18"/>
  <c r="L181" i="25" s="1"/>
  <c r="AU178" i="18"/>
  <c r="L178" i="25" s="1"/>
  <c r="AU175" i="18"/>
  <c r="L175" i="25" s="1"/>
  <c r="AU174" i="18"/>
  <c r="L174" i="25" s="1"/>
  <c r="AU173" i="18"/>
  <c r="L173" i="25" s="1"/>
  <c r="AU169" i="18"/>
  <c r="L169" i="25" s="1"/>
  <c r="AU165" i="18"/>
  <c r="L165" i="25" s="1"/>
  <c r="AU161" i="18"/>
  <c r="L161" i="25" s="1"/>
  <c r="AU158" i="18"/>
  <c r="L158" i="25" s="1"/>
  <c r="AU155" i="18"/>
  <c r="AU151" i="18"/>
  <c r="AU147" i="18"/>
  <c r="L147" i="25" s="1"/>
  <c r="AU143" i="18"/>
  <c r="L143" i="25" s="1"/>
  <c r="AU140" i="18"/>
  <c r="L140" i="25" s="1"/>
  <c r="AU136" i="18"/>
  <c r="L136" i="25" s="1"/>
  <c r="AU133" i="18"/>
  <c r="L133" i="25" s="1"/>
  <c r="AU129" i="18"/>
  <c r="L129" i="25" s="1"/>
  <c r="AU125" i="18"/>
  <c r="AU121" i="18"/>
  <c r="L121" i="25" s="1"/>
  <c r="AU114" i="18"/>
  <c r="L114" i="25" s="1"/>
  <c r="AU110" i="18"/>
  <c r="L110" i="25" s="1"/>
  <c r="AU106" i="18"/>
  <c r="L106" i="25" s="1"/>
  <c r="AU102" i="18"/>
  <c r="L102" i="25" s="1"/>
  <c r="AU98" i="18"/>
  <c r="L98" i="25" s="1"/>
  <c r="AU94" i="18"/>
  <c r="L94" i="25" s="1"/>
  <c r="AU90" i="18"/>
  <c r="L90" i="25" s="1"/>
  <c r="AU86" i="18"/>
  <c r="L86" i="25" s="1"/>
  <c r="AU85" i="18"/>
  <c r="AU81" i="18"/>
  <c r="L81" i="25" s="1"/>
  <c r="AU77" i="18"/>
  <c r="AU73" i="18"/>
  <c r="AU66" i="18"/>
  <c r="AU62" i="18"/>
  <c r="L62" i="25" s="1"/>
  <c r="AU58" i="18"/>
  <c r="L58" i="25" s="1"/>
  <c r="AU54" i="18"/>
  <c r="L54" i="25" s="1"/>
  <c r="AU50" i="18"/>
  <c r="L50" i="25" s="1"/>
  <c r="AU46" i="18"/>
  <c r="AU42" i="18"/>
  <c r="L42" i="25" s="1"/>
  <c r="AU38" i="18"/>
  <c r="L38" i="25" s="1"/>
  <c r="AU34" i="18"/>
  <c r="L34" i="25" s="1"/>
  <c r="AU32" i="18"/>
  <c r="L32" i="25" s="1"/>
  <c r="AU389" i="18"/>
  <c r="L389" i="25" s="1"/>
  <c r="AU385" i="18"/>
  <c r="L385" i="25" s="1"/>
  <c r="AU381" i="18"/>
  <c r="L381" i="25" s="1"/>
  <c r="AU377" i="18"/>
  <c r="L377" i="25" s="1"/>
  <c r="AU373" i="18"/>
  <c r="L373" i="25" s="1"/>
  <c r="AU369" i="18"/>
  <c r="L369" i="25" s="1"/>
  <c r="AU365" i="18"/>
  <c r="L365" i="25" s="1"/>
  <c r="AU406" i="18"/>
  <c r="L405" i="25" s="1"/>
  <c r="AU402" i="18"/>
  <c r="L401" i="25" s="1"/>
  <c r="AU400" i="18"/>
  <c r="L400" i="25" s="1"/>
  <c r="AU396" i="18"/>
  <c r="L396" i="25" s="1"/>
  <c r="AU393" i="18"/>
  <c r="L393" i="25" s="1"/>
  <c r="AU390" i="18"/>
  <c r="L390" i="25" s="1"/>
  <c r="AU392" i="18"/>
  <c r="L392" i="25" s="1"/>
  <c r="AU28" i="18"/>
  <c r="L28" i="25" s="1"/>
  <c r="AU24" i="18"/>
  <c r="L24" i="25" s="1"/>
  <c r="AU20" i="18"/>
  <c r="L20" i="25" s="1"/>
  <c r="AU16" i="18"/>
  <c r="L16" i="25" s="1"/>
  <c r="AU12" i="18"/>
  <c r="L12" i="25" s="1"/>
  <c r="AU8" i="18"/>
  <c r="L8" i="25" s="1"/>
  <c r="AU4" i="18"/>
  <c r="L4" i="25" s="1"/>
  <c r="AU360" i="18"/>
  <c r="L360" i="25" s="1"/>
  <c r="AU356" i="18"/>
  <c r="L356" i="25" s="1"/>
  <c r="AU352" i="18"/>
  <c r="L352" i="25" s="1"/>
  <c r="AU348" i="18"/>
  <c r="L348" i="25" s="1"/>
  <c r="AU344" i="18"/>
  <c r="L344" i="25" s="1"/>
  <c r="AU340" i="18"/>
  <c r="L340" i="25" s="1"/>
  <c r="AU336" i="18"/>
  <c r="L336" i="25" s="1"/>
  <c r="AU332" i="18"/>
  <c r="L332" i="25" s="1"/>
  <c r="AU328" i="18"/>
  <c r="L328" i="25" s="1"/>
  <c r="AU324" i="18"/>
  <c r="L324" i="25" s="1"/>
  <c r="AU320" i="18"/>
  <c r="L320" i="25" s="1"/>
  <c r="AU316" i="18"/>
  <c r="L316" i="25" s="1"/>
  <c r="AU27" i="18"/>
  <c r="L27" i="25" s="1"/>
  <c r="AU23" i="18"/>
  <c r="AU19" i="18"/>
  <c r="L19" i="25" s="1"/>
  <c r="AU15" i="18"/>
  <c r="L15" i="25" s="1"/>
  <c r="AU11" i="18"/>
  <c r="L11" i="25" s="1"/>
  <c r="AU7" i="18"/>
  <c r="L7" i="25" s="1"/>
  <c r="AU3" i="18"/>
  <c r="L3" i="25" s="1"/>
  <c r="AU359" i="18"/>
  <c r="L359" i="25" s="1"/>
  <c r="AU355" i="18"/>
  <c r="L355" i="25" s="1"/>
  <c r="AU351" i="18"/>
  <c r="L351" i="25" s="1"/>
  <c r="AU347" i="18"/>
  <c r="L347" i="25" s="1"/>
  <c r="AU343" i="18"/>
  <c r="L343" i="25" s="1"/>
  <c r="AU339" i="18"/>
  <c r="L339" i="25" s="1"/>
  <c r="AU331" i="18"/>
  <c r="L331" i="25" s="1"/>
  <c r="AU327" i="18"/>
  <c r="L327" i="25" s="1"/>
  <c r="AU323" i="18"/>
  <c r="L323" i="25" s="1"/>
  <c r="AU319" i="18"/>
  <c r="L319" i="25" s="1"/>
  <c r="AU315" i="18"/>
  <c r="L315" i="25" s="1"/>
  <c r="AI403" i="18"/>
  <c r="AI397" i="18"/>
  <c r="AI383" i="18"/>
  <c r="AI375" i="18"/>
  <c r="AI367" i="18"/>
  <c r="AI355" i="18"/>
  <c r="AI327" i="18"/>
  <c r="AI311" i="18"/>
  <c r="AI305" i="18"/>
  <c r="AI280" i="18"/>
  <c r="AI272" i="18"/>
  <c r="AI260" i="18"/>
  <c r="AI252" i="18"/>
  <c r="AI244" i="18"/>
  <c r="AI227" i="18"/>
  <c r="AI212" i="18"/>
  <c r="AI192" i="18"/>
  <c r="AI189" i="18"/>
  <c r="AI178" i="18"/>
  <c r="AI167" i="18"/>
  <c r="AI149" i="18"/>
  <c r="AI135" i="18"/>
  <c r="AI119" i="18"/>
  <c r="AI108" i="18"/>
  <c r="AI88" i="18"/>
  <c r="AI83" i="18"/>
  <c r="AI68" i="18"/>
  <c r="AI52" i="18"/>
  <c r="AI16" i="18"/>
  <c r="AI371" i="18"/>
  <c r="AI351" i="18"/>
  <c r="AI343" i="18"/>
  <c r="AI323" i="18"/>
  <c r="AI290" i="18"/>
  <c r="AI256" i="18"/>
  <c r="AI220" i="18"/>
  <c r="AI204" i="18"/>
  <c r="AI181" i="18"/>
  <c r="AI175" i="18"/>
  <c r="AI145" i="18"/>
  <c r="AI131" i="18"/>
  <c r="AI112" i="18"/>
  <c r="AI92" i="18"/>
  <c r="AI79" i="18"/>
  <c r="AI60" i="18"/>
  <c r="AI48" i="18"/>
  <c r="AI36" i="18"/>
  <c r="AI28" i="18"/>
  <c r="AI12" i="18"/>
  <c r="AI406" i="18"/>
  <c r="AI400" i="18"/>
  <c r="AI393" i="18"/>
  <c r="AI390" i="18"/>
  <c r="AI382" i="18"/>
  <c r="AI374" i="18"/>
  <c r="AI366" i="18"/>
  <c r="AI358" i="18"/>
  <c r="AI350" i="18"/>
  <c r="AI346" i="18"/>
  <c r="AI338" i="18"/>
  <c r="AI334" i="18"/>
  <c r="AI330" i="18"/>
  <c r="AI322" i="18"/>
  <c r="AI314" i="18"/>
  <c r="AI307" i="18"/>
  <c r="AI300" i="18"/>
  <c r="AI296" i="18"/>
  <c r="AI293" i="18"/>
  <c r="AI286" i="18"/>
  <c r="AI275" i="18"/>
  <c r="AI267" i="18"/>
  <c r="AI259" i="18"/>
  <c r="AI247" i="18"/>
  <c r="AI239" i="18"/>
  <c r="AI232" i="18"/>
  <c r="AI230" i="18"/>
  <c r="AI223" i="18"/>
  <c r="AI215" i="18"/>
  <c r="AI207" i="18"/>
  <c r="AI199" i="18"/>
  <c r="AI195" i="18"/>
  <c r="AI191" i="18"/>
  <c r="AI188" i="18"/>
  <c r="AI184" i="18"/>
  <c r="AI180" i="18"/>
  <c r="AI177" i="18"/>
  <c r="AI174" i="18"/>
  <c r="AI170" i="18"/>
  <c r="AI166" i="18"/>
  <c r="AI162" i="18"/>
  <c r="AI159" i="18"/>
  <c r="AI156" i="18"/>
  <c r="AI152" i="18"/>
  <c r="AI148" i="18"/>
  <c r="AI144" i="18"/>
  <c r="AI137" i="18"/>
  <c r="AI134" i="18"/>
  <c r="AI130" i="18"/>
  <c r="AI126" i="18"/>
  <c r="AI122" i="18"/>
  <c r="AI118" i="18"/>
  <c r="AI115" i="18"/>
  <c r="AI111" i="18"/>
  <c r="AI107" i="18"/>
  <c r="AI103" i="18"/>
  <c r="AI99" i="18"/>
  <c r="AI95" i="18"/>
  <c r="AI91" i="18"/>
  <c r="AI87" i="18"/>
  <c r="AI82" i="18"/>
  <c r="AI78" i="18"/>
  <c r="AI74" i="18"/>
  <c r="AI70" i="18"/>
  <c r="AI67" i="18"/>
  <c r="AI63" i="18"/>
  <c r="AI59" i="18"/>
  <c r="AI55" i="18"/>
  <c r="AI51" i="18"/>
  <c r="AI47" i="18"/>
  <c r="AI43" i="18"/>
  <c r="AI39" i="18"/>
  <c r="AI35" i="18"/>
  <c r="AI27" i="18"/>
  <c r="AI23" i="18"/>
  <c r="AI19" i="18"/>
  <c r="AI15" i="18"/>
  <c r="AI11" i="18"/>
  <c r="AI7" i="18"/>
  <c r="AI3" i="18"/>
  <c r="AI407" i="18"/>
  <c r="AI394" i="18"/>
  <c r="AI379" i="18"/>
  <c r="AI359" i="18"/>
  <c r="AI339" i="18"/>
  <c r="AI331" i="18"/>
  <c r="AI315" i="18"/>
  <c r="AI297" i="18"/>
  <c r="AI287" i="18"/>
  <c r="AI268" i="18"/>
  <c r="AI248" i="18"/>
  <c r="AI236" i="18"/>
  <c r="AI224" i="18"/>
  <c r="AI208" i="18"/>
  <c r="AI196" i="18"/>
  <c r="AI171" i="18"/>
  <c r="AI153" i="18"/>
  <c r="AI138" i="18"/>
  <c r="AI127" i="18"/>
  <c r="AI104" i="18"/>
  <c r="AI96" i="18"/>
  <c r="AI75" i="18"/>
  <c r="AI56" i="18"/>
  <c r="AI40" i="18"/>
  <c r="AI20" i="18"/>
  <c r="AI4" i="18"/>
  <c r="AI402" i="18"/>
  <c r="AI396" i="18"/>
  <c r="AI386" i="18"/>
  <c r="AI378" i="18"/>
  <c r="AI370" i="18"/>
  <c r="AI362" i="18"/>
  <c r="AI354" i="18"/>
  <c r="AI342" i="18"/>
  <c r="AI326" i="18"/>
  <c r="AI318" i="18"/>
  <c r="AI310" i="18"/>
  <c r="AI304" i="18"/>
  <c r="AI289" i="18"/>
  <c r="AI283" i="18"/>
  <c r="AI279" i="18"/>
  <c r="AI271" i="18"/>
  <c r="AI263" i="18"/>
  <c r="AI255" i="18"/>
  <c r="AI251" i="18"/>
  <c r="AI243" i="18"/>
  <c r="AI235" i="18"/>
  <c r="AI226" i="18"/>
  <c r="AI219" i="18"/>
  <c r="AI211" i="18"/>
  <c r="AI203" i="18"/>
  <c r="AI405" i="18"/>
  <c r="AI401" i="18"/>
  <c r="AI399" i="18"/>
  <c r="AI395" i="18"/>
  <c r="AI392" i="18"/>
  <c r="AI389" i="18"/>
  <c r="AI385" i="18"/>
  <c r="AI381" i="18"/>
  <c r="AI377" i="18"/>
  <c r="AI373" i="18"/>
  <c r="AI369" i="18"/>
  <c r="AI365" i="18"/>
  <c r="AI361" i="18"/>
  <c r="AI357" i="18"/>
  <c r="AI353" i="18"/>
  <c r="AI349" i="18"/>
  <c r="AI345" i="18"/>
  <c r="AI341" i="18"/>
  <c r="AI337" i="18"/>
  <c r="AI333" i="18"/>
  <c r="AI329" i="18"/>
  <c r="AI325" i="18"/>
  <c r="AI321" i="18"/>
  <c r="AI317" i="18"/>
  <c r="AI313" i="18"/>
  <c r="AI309" i="18"/>
  <c r="AI306" i="18"/>
  <c r="AI303" i="18"/>
  <c r="AI299" i="18"/>
  <c r="AI295" i="18"/>
  <c r="AI292" i="18"/>
  <c r="AI285" i="18"/>
  <c r="AI278" i="18"/>
  <c r="AI274" i="18"/>
  <c r="AI270" i="18"/>
  <c r="AI266" i="18"/>
  <c r="AI262" i="18"/>
  <c r="AI258" i="18"/>
  <c r="AI254" i="18"/>
  <c r="AI250" i="18"/>
  <c r="AI246" i="18"/>
  <c r="AI242" i="18"/>
  <c r="AI238" i="18"/>
  <c r="AI229" i="18"/>
  <c r="AI222" i="18"/>
  <c r="AI218" i="18"/>
  <c r="AI214" i="18"/>
  <c r="AI210" i="18"/>
  <c r="AI206" i="18"/>
  <c r="AI202" i="18"/>
  <c r="AI198" i="18"/>
  <c r="AI194" i="18"/>
  <c r="AI190" i="18"/>
  <c r="AI187" i="18"/>
  <c r="AI183" i="18"/>
  <c r="AI173" i="18"/>
  <c r="AI169" i="18"/>
  <c r="AI165" i="18"/>
  <c r="AI161" i="18"/>
  <c r="AI158" i="18"/>
  <c r="AI155" i="18"/>
  <c r="AI151" i="18"/>
  <c r="AI147" i="18"/>
  <c r="AI143" i="18"/>
  <c r="AI140" i="18"/>
  <c r="AI136" i="18"/>
  <c r="AI133" i="18"/>
  <c r="AI129" i="18"/>
  <c r="AI125" i="18"/>
  <c r="AI121" i="18"/>
  <c r="AI114" i="18"/>
  <c r="AI110" i="18"/>
  <c r="AI106" i="18"/>
  <c r="AI102" i="18"/>
  <c r="AI98" i="18"/>
  <c r="AI94" i="18"/>
  <c r="AI90" i="18"/>
  <c r="AI86" i="18"/>
  <c r="AI85" i="18"/>
  <c r="AI81" i="18"/>
  <c r="AI77" i="18"/>
  <c r="AI73" i="18"/>
  <c r="AI66" i="18"/>
  <c r="AI62" i="18"/>
  <c r="AI58" i="18"/>
  <c r="AI54" i="18"/>
  <c r="AI50" i="18"/>
  <c r="AI46" i="18"/>
  <c r="AI42" i="18"/>
  <c r="AI38" i="18"/>
  <c r="AI34" i="18"/>
  <c r="AI32" i="18"/>
  <c r="AI30" i="18"/>
  <c r="AI26" i="18"/>
  <c r="AI22" i="18"/>
  <c r="AI18" i="18"/>
  <c r="AI14" i="18"/>
  <c r="AI10" i="18"/>
  <c r="AI6" i="18"/>
  <c r="AI387" i="18"/>
  <c r="AI363" i="18"/>
  <c r="AI347" i="18"/>
  <c r="AI319" i="18"/>
  <c r="AI301" i="18"/>
  <c r="AI294" i="18"/>
  <c r="AI276" i="18"/>
  <c r="AI265" i="18"/>
  <c r="AI264" i="18"/>
  <c r="AI240" i="18"/>
  <c r="AI233" i="18"/>
  <c r="AI216" i="18"/>
  <c r="AI200" i="18"/>
  <c r="AI185" i="18"/>
  <c r="AI163" i="18"/>
  <c r="AI160" i="18"/>
  <c r="AI141" i="18"/>
  <c r="AI123" i="18"/>
  <c r="AI116" i="18"/>
  <c r="AI100" i="18"/>
  <c r="AI71" i="18"/>
  <c r="AI64" i="18"/>
  <c r="AI45" i="18"/>
  <c r="AI24" i="18"/>
  <c r="AI8" i="18"/>
  <c r="AI2" i="18"/>
  <c r="AI404" i="18"/>
  <c r="AI398" i="18"/>
  <c r="AI391" i="18"/>
  <c r="AI388" i="18"/>
  <c r="AI380" i="18"/>
  <c r="AI376" i="18"/>
  <c r="AI372" i="18"/>
  <c r="AI368" i="18"/>
  <c r="AI364" i="18"/>
  <c r="AI360" i="18"/>
  <c r="AI356" i="18"/>
  <c r="AI352" i="18"/>
  <c r="AI348" i="18"/>
  <c r="AI344" i="18"/>
  <c r="AI340" i="18"/>
  <c r="AI336" i="18"/>
  <c r="AI332" i="18"/>
  <c r="AI328" i="18"/>
  <c r="AI324" i="18"/>
  <c r="AI320" i="18"/>
  <c r="AI316" i="18"/>
  <c r="AI312" i="18"/>
  <c r="AI308" i="18"/>
  <c r="AI302" i="18"/>
  <c r="AI298" i="18"/>
  <c r="AI291" i="18"/>
  <c r="AI288" i="18"/>
  <c r="AI284" i="18"/>
  <c r="AI281" i="18"/>
  <c r="AI277" i="18"/>
  <c r="AI273" i="18"/>
  <c r="AI269" i="18"/>
  <c r="AI261" i="18"/>
  <c r="AI257" i="18"/>
  <c r="AI253" i="18"/>
  <c r="AI249" i="18"/>
  <c r="AI245" i="18"/>
  <c r="AI241" i="18"/>
  <c r="AI237" i="18"/>
  <c r="AI234" i="18"/>
  <c r="AI231" i="18"/>
  <c r="AI228" i="18"/>
  <c r="AI225" i="18"/>
  <c r="AI221" i="18"/>
  <c r="AI217" i="18"/>
  <c r="AI213" i="18"/>
  <c r="AI209" i="18"/>
  <c r="AI205" i="18"/>
  <c r="AI201" i="18"/>
  <c r="AI197" i="18"/>
  <c r="AI193" i="18"/>
  <c r="AI186" i="18"/>
  <c r="AI182" i="18"/>
  <c r="AI179" i="18"/>
  <c r="AI176" i="18"/>
  <c r="AI172" i="18"/>
  <c r="AI168" i="18"/>
  <c r="AI164" i="18"/>
  <c r="AI157" i="18"/>
  <c r="AI154" i="18"/>
  <c r="AI150" i="18"/>
  <c r="AI146" i="18"/>
  <c r="AI142" i="18"/>
  <c r="AI139" i="18"/>
  <c r="AI132" i="18"/>
  <c r="AI128" i="18"/>
  <c r="AI124" i="18"/>
  <c r="AI120" i="18"/>
  <c r="AI117" i="18"/>
  <c r="AI113" i="18"/>
  <c r="AI109" i="18"/>
  <c r="AI105" i="18"/>
  <c r="AI101" i="18"/>
  <c r="AI97" i="18"/>
  <c r="AI93" i="18"/>
  <c r="AI89" i="18"/>
  <c r="AI84" i="18"/>
  <c r="AI80" i="18"/>
  <c r="AI76" i="18"/>
  <c r="AI72" i="18"/>
  <c r="AI69" i="18"/>
  <c r="AI65" i="18"/>
  <c r="AI61" i="18"/>
  <c r="AI57" i="18"/>
  <c r="AI53" i="18"/>
  <c r="AI49" i="18"/>
  <c r="AI44" i="18"/>
  <c r="AI41" i="18"/>
  <c r="AI37" i="18"/>
  <c r="AI33" i="18"/>
  <c r="AI31" i="18"/>
  <c r="AI29" i="18"/>
  <c r="AI25" i="18"/>
  <c r="AI21" i="18"/>
  <c r="AI17" i="18"/>
  <c r="AI13" i="18"/>
  <c r="AI9" i="18"/>
  <c r="AI5" i="18"/>
  <c r="L23" i="25" l="1"/>
  <c r="N23" i="25" s="1"/>
  <c r="L2" i="25"/>
  <c r="L194" i="25"/>
  <c r="N194" i="25" s="1"/>
  <c r="L223" i="25"/>
  <c r="O223" i="25" s="1"/>
  <c r="L251" i="25"/>
  <c r="P251" i="25" s="1"/>
  <c r="L247" i="25"/>
  <c r="Q247" i="25" s="1"/>
  <c r="L242" i="25"/>
  <c r="P242" i="25" s="1"/>
  <c r="L258" i="25"/>
  <c r="N258" i="25" s="1"/>
  <c r="L131" i="25"/>
  <c r="N131" i="25" s="1"/>
  <c r="L85" i="25"/>
  <c r="O85" i="25" s="1"/>
  <c r="L156" i="25"/>
  <c r="O156" i="25" s="1"/>
  <c r="L198" i="25"/>
  <c r="N198" i="25" s="1"/>
  <c r="L214" i="25"/>
  <c r="N214" i="25" s="1"/>
  <c r="L111" i="25"/>
  <c r="N111" i="25" s="1"/>
  <c r="L218" i="25"/>
  <c r="P218" i="25" s="1"/>
  <c r="L155" i="25"/>
  <c r="O155" i="25" s="1"/>
  <c r="L152" i="25"/>
  <c r="Q152" i="25" s="1"/>
  <c r="L210" i="25"/>
  <c r="Q210" i="25" s="1"/>
  <c r="L66" i="25"/>
  <c r="Q66" i="25" s="1"/>
  <c r="L74" i="25"/>
  <c r="Q74" i="25" s="1"/>
  <c r="L45" i="25"/>
  <c r="P45" i="25" s="1"/>
  <c r="L254" i="25"/>
  <c r="O254" i="25" s="1"/>
  <c r="L105" i="25"/>
  <c r="O105" i="25" s="1"/>
  <c r="L154" i="25"/>
  <c r="Q154" i="25" s="1"/>
  <c r="L49" i="25"/>
  <c r="Q49" i="25" s="1"/>
  <c r="L84" i="25"/>
  <c r="Q84" i="25" s="1"/>
  <c r="L67" i="25"/>
  <c r="O67" i="25" s="1"/>
  <c r="L82" i="25"/>
  <c r="O82" i="25" s="1"/>
  <c r="L179" i="25"/>
  <c r="N179" i="25" s="1"/>
  <c r="L68" i="25"/>
  <c r="N68" i="25" s="1"/>
  <c r="L190" i="25"/>
  <c r="N190" i="25" s="1"/>
  <c r="L206" i="25"/>
  <c r="N206" i="25" s="1"/>
  <c r="L246" i="25"/>
  <c r="N246" i="25" s="1"/>
  <c r="L262" i="25"/>
  <c r="P262" i="25" s="1"/>
  <c r="L177" i="25"/>
  <c r="N177" i="25" s="1"/>
  <c r="L69" i="25"/>
  <c r="P69" i="25" s="1"/>
  <c r="L244" i="25"/>
  <c r="Q244" i="25" s="1"/>
  <c r="L260" i="25"/>
  <c r="Q260" i="25" s="1"/>
  <c r="L43" i="25"/>
  <c r="Q43" i="25" s="1"/>
  <c r="L91" i="25"/>
  <c r="P91" i="25" s="1"/>
  <c r="L122" i="25"/>
  <c r="P122" i="25" s="1"/>
  <c r="L205" i="25"/>
  <c r="P205" i="25" s="1"/>
  <c r="L92" i="25"/>
  <c r="P92" i="25" s="1"/>
  <c r="L276" i="25"/>
  <c r="O276" i="25" s="1"/>
  <c r="L294" i="25"/>
  <c r="O294" i="25" s="1"/>
  <c r="L311" i="25"/>
  <c r="Q311" i="25" s="1"/>
  <c r="L257" i="25"/>
  <c r="P257" i="25" s="1"/>
  <c r="L277" i="25"/>
  <c r="P277" i="25" s="1"/>
  <c r="L312" i="25"/>
  <c r="N312" i="25" s="1"/>
  <c r="L285" i="25"/>
  <c r="P285" i="25" s="1"/>
  <c r="L303" i="25"/>
  <c r="Q303" i="25" s="1"/>
  <c r="L119" i="25"/>
  <c r="Q119" i="25" s="1"/>
  <c r="L135" i="25"/>
  <c r="N135" i="25" s="1"/>
  <c r="L138" i="25"/>
  <c r="O138" i="25" s="1"/>
  <c r="L149" i="25"/>
  <c r="O149" i="25" s="1"/>
  <c r="L171" i="25"/>
  <c r="N171" i="25" s="1"/>
  <c r="L44" i="25"/>
  <c r="N44" i="25" s="1"/>
  <c r="L61" i="25"/>
  <c r="N61" i="25" s="1"/>
  <c r="L80" i="25"/>
  <c r="N80" i="25" s="1"/>
  <c r="L93" i="25"/>
  <c r="P93" i="25" s="1"/>
  <c r="L109" i="25"/>
  <c r="O109" i="25" s="1"/>
  <c r="L128" i="25"/>
  <c r="Q128" i="25" s="1"/>
  <c r="L142" i="25"/>
  <c r="N142" i="25" s="1"/>
  <c r="L157" i="25"/>
  <c r="P157" i="25" s="1"/>
  <c r="L203" i="25"/>
  <c r="P203" i="25" s="1"/>
  <c r="L219" i="25"/>
  <c r="Q219" i="25" s="1"/>
  <c r="L226" i="25"/>
  <c r="O226" i="25" s="1"/>
  <c r="L296" i="25"/>
  <c r="N296" i="25" s="1"/>
  <c r="L307" i="25"/>
  <c r="O307" i="25" s="1"/>
  <c r="L310" i="25"/>
  <c r="Q310" i="25" s="1"/>
  <c r="L73" i="25"/>
  <c r="N73" i="25" s="1"/>
  <c r="L151" i="25"/>
  <c r="O151" i="25" s="1"/>
  <c r="L248" i="25"/>
  <c r="P248" i="25" s="1"/>
  <c r="L47" i="25"/>
  <c r="O47" i="25" s="1"/>
  <c r="L78" i="25"/>
  <c r="P78" i="25" s="1"/>
  <c r="L95" i="25"/>
  <c r="N95" i="25" s="1"/>
  <c r="L126" i="25"/>
  <c r="N126" i="25" s="1"/>
  <c r="L144" i="25"/>
  <c r="O144" i="25" s="1"/>
  <c r="L176" i="25"/>
  <c r="Q176" i="25" s="1"/>
  <c r="L193" i="25"/>
  <c r="Q193" i="25" s="1"/>
  <c r="L48" i="25"/>
  <c r="N48" i="25" s="1"/>
  <c r="L100" i="25"/>
  <c r="O100" i="25" s="1"/>
  <c r="L187" i="25"/>
  <c r="N187" i="25" s="1"/>
  <c r="L202" i="25"/>
  <c r="O202" i="25" s="1"/>
  <c r="L265" i="25"/>
  <c r="N265" i="25" s="1"/>
  <c r="L280" i="25"/>
  <c r="P280" i="25" s="1"/>
  <c r="L297" i="25"/>
  <c r="Q297" i="25" s="1"/>
  <c r="L245" i="25"/>
  <c r="O245" i="25" s="1"/>
  <c r="L261" i="25"/>
  <c r="Q261" i="25" s="1"/>
  <c r="L274" i="25"/>
  <c r="P274" i="25" s="1"/>
  <c r="L292" i="25"/>
  <c r="O292" i="25" s="1"/>
  <c r="L306" i="25"/>
  <c r="Q306" i="25" s="1"/>
  <c r="L167" i="25"/>
  <c r="P167" i="25" s="1"/>
  <c r="L31" i="25"/>
  <c r="Q31" i="25" s="1"/>
  <c r="L41" i="25"/>
  <c r="N41" i="25" s="1"/>
  <c r="L57" i="25"/>
  <c r="N57" i="25" s="1"/>
  <c r="L76" i="25"/>
  <c r="O76" i="25" s="1"/>
  <c r="L89" i="25"/>
  <c r="P89" i="25" s="1"/>
  <c r="L124" i="25"/>
  <c r="Q124" i="25" s="1"/>
  <c r="L172" i="25"/>
  <c r="N172" i="25" s="1"/>
  <c r="L188" i="25"/>
  <c r="P188" i="25" s="1"/>
  <c r="L199" i="25"/>
  <c r="O199" i="25" s="1"/>
  <c r="L215" i="25"/>
  <c r="P215" i="25" s="1"/>
  <c r="L231" i="25"/>
  <c r="O231" i="25" s="1"/>
  <c r="L283" i="25"/>
  <c r="P283" i="25" s="1"/>
  <c r="L286" i="25"/>
  <c r="P286" i="25" s="1"/>
  <c r="L77" i="25"/>
  <c r="O77" i="25" s="1"/>
  <c r="L125" i="25"/>
  <c r="O125" i="25" s="1"/>
  <c r="L252" i="25"/>
  <c r="P252" i="25" s="1"/>
  <c r="L35" i="25"/>
  <c r="N35" i="25" s="1"/>
  <c r="L99" i="25"/>
  <c r="N99" i="25" s="1"/>
  <c r="L148" i="25"/>
  <c r="P148" i="25" s="1"/>
  <c r="L197" i="25"/>
  <c r="Q197" i="25" s="1"/>
  <c r="L36" i="25"/>
  <c r="O36" i="25" s="1"/>
  <c r="L268" i="25"/>
  <c r="Q268" i="25" s="1"/>
  <c r="L287" i="25"/>
  <c r="N287" i="25" s="1"/>
  <c r="L301" i="25"/>
  <c r="Q301" i="25" s="1"/>
  <c r="L249" i="25"/>
  <c r="P249" i="25" s="1"/>
  <c r="L269" i="25"/>
  <c r="P269" i="25" s="1"/>
  <c r="L302" i="25"/>
  <c r="Q302" i="25" s="1"/>
  <c r="L278" i="25"/>
  <c r="Q278" i="25" s="1"/>
  <c r="L295" i="25"/>
  <c r="Q295" i="25" s="1"/>
  <c r="L96" i="25"/>
  <c r="Q96" i="25" s="1"/>
  <c r="L163" i="25"/>
  <c r="O163" i="25" s="1"/>
  <c r="L37" i="25"/>
  <c r="N37" i="25" s="1"/>
  <c r="L53" i="25"/>
  <c r="Q53" i="25" s="1"/>
  <c r="L101" i="25"/>
  <c r="N101" i="25" s="1"/>
  <c r="L117" i="25"/>
  <c r="P117" i="25" s="1"/>
  <c r="L120" i="25"/>
  <c r="N120" i="25" s="1"/>
  <c r="L139" i="25"/>
  <c r="O139" i="25" s="1"/>
  <c r="L168" i="25"/>
  <c r="Q168" i="25" s="1"/>
  <c r="L184" i="25"/>
  <c r="N184" i="25" s="1"/>
  <c r="L195" i="25"/>
  <c r="O195" i="25" s="1"/>
  <c r="L211" i="25"/>
  <c r="O211" i="25" s="1"/>
  <c r="L293" i="25"/>
  <c r="Q293" i="25" s="1"/>
  <c r="L304" i="25"/>
  <c r="L46" i="25"/>
  <c r="P46" i="25" s="1"/>
  <c r="L256" i="25"/>
  <c r="N256" i="25" s="1"/>
  <c r="L39" i="25"/>
  <c r="P39" i="25" s="1"/>
  <c r="L70" i="25"/>
  <c r="Q70" i="25" s="1"/>
  <c r="L87" i="25"/>
  <c r="Q87" i="25" s="1"/>
  <c r="L103" i="25"/>
  <c r="P103" i="25" s="1"/>
  <c r="L134" i="25"/>
  <c r="Q134" i="25" s="1"/>
  <c r="L201" i="25"/>
  <c r="Q201" i="25" s="1"/>
  <c r="L40" i="25"/>
  <c r="O40" i="25" s="1"/>
  <c r="L71" i="25"/>
  <c r="P71" i="25" s="1"/>
  <c r="L88" i="25"/>
  <c r="O88" i="25" s="1"/>
  <c r="L145" i="25"/>
  <c r="Q145" i="25" s="1"/>
  <c r="L272" i="25"/>
  <c r="P272" i="25" s="1"/>
  <c r="L290" i="25"/>
  <c r="O290" i="25" s="1"/>
  <c r="L253" i="25"/>
  <c r="P253" i="25" s="1"/>
  <c r="L273" i="25"/>
  <c r="N273" i="25" s="1"/>
  <c r="L308" i="25"/>
  <c r="N308" i="25" s="1"/>
  <c r="L282" i="25"/>
  <c r="P282" i="25" s="1"/>
  <c r="L299" i="25"/>
  <c r="N299" i="25" s="1"/>
  <c r="L123" i="25"/>
  <c r="P123" i="25" s="1"/>
  <c r="L141" i="25"/>
  <c r="N141" i="25" s="1"/>
  <c r="L153" i="25"/>
  <c r="O153" i="25" s="1"/>
  <c r="L33" i="25"/>
  <c r="N33" i="25" s="1"/>
  <c r="L65" i="25"/>
  <c r="N65" i="25" s="1"/>
  <c r="L97" i="25"/>
  <c r="N97" i="25" s="1"/>
  <c r="L113" i="25"/>
  <c r="P113" i="25" s="1"/>
  <c r="L132" i="25"/>
  <c r="P132" i="25" s="1"/>
  <c r="L146" i="25"/>
  <c r="N146" i="25" s="1"/>
  <c r="L164" i="25"/>
  <c r="P164" i="25" s="1"/>
  <c r="L180" i="25"/>
  <c r="Q180" i="25" s="1"/>
  <c r="L191" i="25"/>
  <c r="N191" i="25" s="1"/>
  <c r="L207" i="25"/>
  <c r="Q207" i="25" s="1"/>
  <c r="L235" i="25"/>
  <c r="Q235" i="25" s="1"/>
  <c r="L289" i="25"/>
  <c r="N289" i="25" s="1"/>
  <c r="L300" i="25"/>
  <c r="P300" i="25" s="1"/>
  <c r="L314" i="25"/>
  <c r="P314" i="25" s="1"/>
  <c r="O343" i="25"/>
  <c r="P343" i="25"/>
  <c r="N343" i="25"/>
  <c r="Q343" i="25"/>
  <c r="O359" i="25"/>
  <c r="N359" i="25"/>
  <c r="P359" i="25"/>
  <c r="Q359" i="25"/>
  <c r="O15" i="25"/>
  <c r="Q15" i="25"/>
  <c r="P15" i="25"/>
  <c r="N15" i="25"/>
  <c r="P316" i="25"/>
  <c r="O316" i="25"/>
  <c r="N316" i="25"/>
  <c r="Q316" i="25"/>
  <c r="P332" i="25"/>
  <c r="O332" i="25"/>
  <c r="N332" i="25"/>
  <c r="Q332" i="25"/>
  <c r="P348" i="25"/>
  <c r="O348" i="25"/>
  <c r="N348" i="25"/>
  <c r="Q348" i="25"/>
  <c r="O4" i="25"/>
  <c r="N4" i="25"/>
  <c r="Q4" i="25"/>
  <c r="P4" i="25"/>
  <c r="O20" i="25"/>
  <c r="N20" i="25"/>
  <c r="Q20" i="25"/>
  <c r="P20" i="25"/>
  <c r="Q390" i="25"/>
  <c r="P390" i="25"/>
  <c r="O390" i="25"/>
  <c r="N390" i="25"/>
  <c r="Q401" i="25"/>
  <c r="O401" i="25"/>
  <c r="P401" i="25"/>
  <c r="N401" i="25"/>
  <c r="P373" i="25"/>
  <c r="O373" i="25"/>
  <c r="Q373" i="25"/>
  <c r="N373" i="25"/>
  <c r="P389" i="25"/>
  <c r="O389" i="25"/>
  <c r="Q389" i="25"/>
  <c r="N389" i="25"/>
  <c r="N42" i="25"/>
  <c r="P42" i="25"/>
  <c r="Q42" i="25"/>
  <c r="O42" i="25"/>
  <c r="N58" i="25"/>
  <c r="P58" i="25"/>
  <c r="Q58" i="25"/>
  <c r="O58" i="25"/>
  <c r="N90" i="25"/>
  <c r="P90" i="25"/>
  <c r="Q90" i="25"/>
  <c r="O90" i="25"/>
  <c r="N106" i="25"/>
  <c r="P106" i="25"/>
  <c r="Q106" i="25"/>
  <c r="O106" i="25"/>
  <c r="N140" i="25"/>
  <c r="P140" i="25"/>
  <c r="O140" i="25"/>
  <c r="Q140" i="25"/>
  <c r="Q169" i="25"/>
  <c r="P169" i="25"/>
  <c r="O169" i="25"/>
  <c r="N169" i="25"/>
  <c r="N178" i="25"/>
  <c r="P178" i="25"/>
  <c r="Q178" i="25"/>
  <c r="O178" i="25"/>
  <c r="P192" i="25"/>
  <c r="O192" i="25"/>
  <c r="N192" i="25"/>
  <c r="Q192" i="25"/>
  <c r="P208" i="25"/>
  <c r="O208" i="25"/>
  <c r="N208" i="25"/>
  <c r="Q208" i="25"/>
  <c r="P224" i="25"/>
  <c r="O224" i="25"/>
  <c r="N224" i="25"/>
  <c r="Q224" i="25"/>
  <c r="P236" i="25"/>
  <c r="O236" i="25"/>
  <c r="N236" i="25"/>
  <c r="Q236" i="25"/>
  <c r="P402" i="25"/>
  <c r="O402" i="25"/>
  <c r="N402" i="25"/>
  <c r="Q402" i="25"/>
  <c r="Q374" i="25"/>
  <c r="O374" i="25"/>
  <c r="P374" i="25"/>
  <c r="N374" i="25"/>
  <c r="O51" i="25"/>
  <c r="Q51" i="25"/>
  <c r="P51" i="25"/>
  <c r="N51" i="25"/>
  <c r="P115" i="25"/>
  <c r="O115" i="25"/>
  <c r="N115" i="25"/>
  <c r="Q115" i="25"/>
  <c r="N130" i="25"/>
  <c r="O130" i="25"/>
  <c r="Q130" i="25"/>
  <c r="P130" i="25"/>
  <c r="N162" i="25"/>
  <c r="P162" i="25"/>
  <c r="Q162" i="25"/>
  <c r="O162" i="25"/>
  <c r="P179" i="25"/>
  <c r="Q213" i="25"/>
  <c r="O213" i="25"/>
  <c r="N213" i="25"/>
  <c r="P213" i="25"/>
  <c r="Q229" i="25"/>
  <c r="O229" i="25"/>
  <c r="N229" i="25"/>
  <c r="P229" i="25"/>
  <c r="P241" i="25"/>
  <c r="O241" i="25"/>
  <c r="Q241" i="25"/>
  <c r="N241" i="25"/>
  <c r="P403" i="25"/>
  <c r="N403" i="25"/>
  <c r="O403" i="25"/>
  <c r="Q403" i="25"/>
  <c r="O375" i="25"/>
  <c r="P375" i="25"/>
  <c r="N375" i="25"/>
  <c r="Q375" i="25"/>
  <c r="O52" i="25"/>
  <c r="N52" i="25"/>
  <c r="Q52" i="25"/>
  <c r="P52" i="25"/>
  <c r="P83" i="25"/>
  <c r="O83" i="25"/>
  <c r="N83" i="25"/>
  <c r="Q83" i="25"/>
  <c r="P104" i="25"/>
  <c r="N104" i="25"/>
  <c r="O104" i="25"/>
  <c r="Q104" i="25"/>
  <c r="N222" i="25"/>
  <c r="P222" i="25"/>
  <c r="Q222" i="25"/>
  <c r="O222" i="25"/>
  <c r="N361" i="25"/>
  <c r="Q361" i="25"/>
  <c r="P361" i="25"/>
  <c r="O361" i="25"/>
  <c r="P284" i="25"/>
  <c r="O284" i="25"/>
  <c r="N284" i="25"/>
  <c r="Q284" i="25"/>
  <c r="O21" i="25"/>
  <c r="P21" i="25"/>
  <c r="Q21" i="25"/>
  <c r="N21" i="25"/>
  <c r="P309" i="25"/>
  <c r="O309" i="25"/>
  <c r="Q309" i="25"/>
  <c r="N309" i="25"/>
  <c r="P325" i="25"/>
  <c r="O325" i="25"/>
  <c r="Q325" i="25"/>
  <c r="N325" i="25"/>
  <c r="P341" i="25"/>
  <c r="O341" i="25"/>
  <c r="Q341" i="25"/>
  <c r="N341" i="25"/>
  <c r="P13" i="25"/>
  <c r="O13" i="25"/>
  <c r="Q13" i="25"/>
  <c r="N13" i="25"/>
  <c r="Q394" i="25"/>
  <c r="P394" i="25"/>
  <c r="O394" i="25"/>
  <c r="N394" i="25"/>
  <c r="O116" i="25"/>
  <c r="N116" i="25"/>
  <c r="P116" i="25"/>
  <c r="Q116" i="25"/>
  <c r="P127" i="25"/>
  <c r="O127" i="25"/>
  <c r="Q127" i="25"/>
  <c r="N127" i="25"/>
  <c r="P160" i="25"/>
  <c r="O160" i="25"/>
  <c r="N160" i="25"/>
  <c r="Q160" i="25"/>
  <c r="P404" i="25"/>
  <c r="O404" i="25"/>
  <c r="Q404" i="25"/>
  <c r="N404" i="25"/>
  <c r="P376" i="25"/>
  <c r="O376" i="25"/>
  <c r="N376" i="25"/>
  <c r="Q376" i="25"/>
  <c r="N72" i="25"/>
  <c r="Q72" i="25"/>
  <c r="O72" i="25"/>
  <c r="P72" i="25"/>
  <c r="N150" i="25"/>
  <c r="P150" i="25"/>
  <c r="Q150" i="25"/>
  <c r="O150" i="25"/>
  <c r="P227" i="25"/>
  <c r="O227" i="25"/>
  <c r="N227" i="25"/>
  <c r="Q227" i="25"/>
  <c r="O239" i="25"/>
  <c r="N239" i="25"/>
  <c r="P239" i="25"/>
  <c r="Q239" i="25"/>
  <c r="O255" i="25"/>
  <c r="P255" i="25"/>
  <c r="N255" i="25"/>
  <c r="Q255" i="25"/>
  <c r="O279" i="25"/>
  <c r="P279" i="25"/>
  <c r="N279" i="25"/>
  <c r="Q279" i="25"/>
  <c r="O318" i="25"/>
  <c r="N318" i="25"/>
  <c r="Q318" i="25"/>
  <c r="P318" i="25"/>
  <c r="O326" i="25"/>
  <c r="N326" i="25"/>
  <c r="Q326" i="25"/>
  <c r="P326" i="25"/>
  <c r="O346" i="25"/>
  <c r="N346" i="25"/>
  <c r="Q346" i="25"/>
  <c r="P346" i="25"/>
  <c r="O362" i="25"/>
  <c r="N362" i="25"/>
  <c r="Q362" i="25"/>
  <c r="P362" i="25"/>
  <c r="P18" i="25"/>
  <c r="N18" i="25"/>
  <c r="O18" i="25"/>
  <c r="Q18" i="25"/>
  <c r="O2" i="25"/>
  <c r="P323" i="25"/>
  <c r="O323" i="25"/>
  <c r="N323" i="25"/>
  <c r="Q323" i="25"/>
  <c r="P347" i="25"/>
  <c r="O347" i="25"/>
  <c r="N347" i="25"/>
  <c r="Q347" i="25"/>
  <c r="O3" i="25"/>
  <c r="Q3" i="25"/>
  <c r="N3" i="25"/>
  <c r="P3" i="25"/>
  <c r="O19" i="25"/>
  <c r="P19" i="25"/>
  <c r="N19" i="25"/>
  <c r="Q19" i="25"/>
  <c r="P320" i="25"/>
  <c r="O320" i="25"/>
  <c r="N320" i="25"/>
  <c r="Q320" i="25"/>
  <c r="P336" i="25"/>
  <c r="O336" i="25"/>
  <c r="N336" i="25"/>
  <c r="Q336" i="25"/>
  <c r="P352" i="25"/>
  <c r="O352" i="25"/>
  <c r="N352" i="25"/>
  <c r="Q352" i="25"/>
  <c r="P8" i="25"/>
  <c r="N8" i="25"/>
  <c r="Q8" i="25"/>
  <c r="O8" i="25"/>
  <c r="P24" i="25"/>
  <c r="Q24" i="25"/>
  <c r="N24" i="25"/>
  <c r="O24" i="25"/>
  <c r="N393" i="25"/>
  <c r="Q393" i="25"/>
  <c r="P393" i="25"/>
  <c r="O393" i="25"/>
  <c r="Q405" i="25"/>
  <c r="O405" i="25"/>
  <c r="P405" i="25"/>
  <c r="N405" i="25"/>
  <c r="N377" i="25"/>
  <c r="Q377" i="25"/>
  <c r="P377" i="25"/>
  <c r="O377" i="25"/>
  <c r="N32" i="25"/>
  <c r="O32" i="25"/>
  <c r="Q32" i="25"/>
  <c r="P32" i="25"/>
  <c r="N62" i="25"/>
  <c r="P62" i="25"/>
  <c r="Q62" i="25"/>
  <c r="O62" i="25"/>
  <c r="O81" i="25"/>
  <c r="Q81" i="25"/>
  <c r="P81" i="25"/>
  <c r="N81" i="25"/>
  <c r="N94" i="25"/>
  <c r="P94" i="25"/>
  <c r="Q94" i="25"/>
  <c r="O94" i="25"/>
  <c r="N110" i="25"/>
  <c r="P110" i="25"/>
  <c r="Q110" i="25"/>
  <c r="O110" i="25"/>
  <c r="O129" i="25"/>
  <c r="Q129" i="25"/>
  <c r="P129" i="25"/>
  <c r="N129" i="25"/>
  <c r="N143" i="25"/>
  <c r="O143" i="25"/>
  <c r="Q143" i="25"/>
  <c r="P143" i="25"/>
  <c r="N158" i="25"/>
  <c r="P158" i="25"/>
  <c r="Q158" i="25"/>
  <c r="O158" i="25"/>
  <c r="P173" i="25"/>
  <c r="O173" i="25"/>
  <c r="Q173" i="25"/>
  <c r="N173" i="25"/>
  <c r="Q181" i="25"/>
  <c r="P181" i="25"/>
  <c r="O181" i="25"/>
  <c r="N181" i="25"/>
  <c r="P196" i="25"/>
  <c r="N196" i="25"/>
  <c r="O196" i="25"/>
  <c r="Q196" i="25"/>
  <c r="P212" i="25"/>
  <c r="N212" i="25"/>
  <c r="O212" i="25"/>
  <c r="Q212" i="25"/>
  <c r="P228" i="25"/>
  <c r="N228" i="25"/>
  <c r="O228" i="25"/>
  <c r="Q228" i="25"/>
  <c r="P240" i="25"/>
  <c r="O240" i="25"/>
  <c r="N240" i="25"/>
  <c r="Q240" i="25"/>
  <c r="O406" i="25"/>
  <c r="P406" i="25"/>
  <c r="N406" i="25"/>
  <c r="Q406" i="25"/>
  <c r="Q378" i="25"/>
  <c r="O378" i="25"/>
  <c r="P378" i="25"/>
  <c r="N378" i="25"/>
  <c r="O55" i="25"/>
  <c r="Q55" i="25"/>
  <c r="P55" i="25"/>
  <c r="N55" i="25"/>
  <c r="N118" i="25"/>
  <c r="P118" i="25"/>
  <c r="Q118" i="25"/>
  <c r="O118" i="25"/>
  <c r="N166" i="25"/>
  <c r="P166" i="25"/>
  <c r="Q166" i="25"/>
  <c r="O166" i="25"/>
  <c r="N182" i="25"/>
  <c r="P182" i="25"/>
  <c r="Q182" i="25"/>
  <c r="O182" i="25"/>
  <c r="P217" i="25"/>
  <c r="O217" i="25"/>
  <c r="Q217" i="25"/>
  <c r="N217" i="25"/>
  <c r="P232" i="25"/>
  <c r="O232" i="25"/>
  <c r="N232" i="25"/>
  <c r="Q232" i="25"/>
  <c r="N391" i="25"/>
  <c r="P391" i="25"/>
  <c r="Q391" i="25"/>
  <c r="O391" i="25"/>
  <c r="P363" i="25"/>
  <c r="O363" i="25"/>
  <c r="N363" i="25"/>
  <c r="Q363" i="25"/>
  <c r="P379" i="25"/>
  <c r="O379" i="25"/>
  <c r="N379" i="25"/>
  <c r="Q379" i="25"/>
  <c r="N56" i="25"/>
  <c r="Q56" i="25"/>
  <c r="P56" i="25"/>
  <c r="O56" i="25"/>
  <c r="N230" i="25"/>
  <c r="P230" i="25"/>
  <c r="Q230" i="25"/>
  <c r="O230" i="25"/>
  <c r="O305" i="25"/>
  <c r="P305" i="25"/>
  <c r="Q305" i="25"/>
  <c r="N305" i="25"/>
  <c r="O5" i="25"/>
  <c r="N5" i="25"/>
  <c r="P5" i="25"/>
  <c r="Q5" i="25"/>
  <c r="P288" i="25"/>
  <c r="O288" i="25"/>
  <c r="N288" i="25"/>
  <c r="Q288" i="25"/>
  <c r="N25" i="25"/>
  <c r="Q25" i="25"/>
  <c r="O25" i="25"/>
  <c r="P25" i="25"/>
  <c r="N250" i="25"/>
  <c r="P250" i="25"/>
  <c r="Q250" i="25"/>
  <c r="O250" i="25"/>
  <c r="N266" i="25"/>
  <c r="P266" i="25"/>
  <c r="Q266" i="25"/>
  <c r="O266" i="25"/>
  <c r="N313" i="25"/>
  <c r="P313" i="25"/>
  <c r="O313" i="25"/>
  <c r="Q313" i="25"/>
  <c r="N329" i="25"/>
  <c r="P329" i="25"/>
  <c r="Q329" i="25"/>
  <c r="O329" i="25"/>
  <c r="N345" i="25"/>
  <c r="Q345" i="25"/>
  <c r="P345" i="25"/>
  <c r="O345" i="25"/>
  <c r="P29" i="25"/>
  <c r="O29" i="25"/>
  <c r="N29" i="25"/>
  <c r="Q29" i="25"/>
  <c r="O112" i="25"/>
  <c r="P112" i="25"/>
  <c r="N112" i="25"/>
  <c r="Q112" i="25"/>
  <c r="P395" i="25"/>
  <c r="O395" i="25"/>
  <c r="N395" i="25"/>
  <c r="Q395" i="25"/>
  <c r="P372" i="25"/>
  <c r="N372" i="25"/>
  <c r="O372" i="25"/>
  <c r="Q372" i="25"/>
  <c r="P388" i="25"/>
  <c r="N388" i="25"/>
  <c r="O388" i="25"/>
  <c r="Q388" i="25"/>
  <c r="P275" i="25"/>
  <c r="O275" i="25"/>
  <c r="N275" i="25"/>
  <c r="Q275" i="25"/>
  <c r="O322" i="25"/>
  <c r="N322" i="25"/>
  <c r="Q322" i="25"/>
  <c r="P322" i="25"/>
  <c r="O342" i="25"/>
  <c r="N342" i="25"/>
  <c r="Q342" i="25"/>
  <c r="P342" i="25"/>
  <c r="O358" i="25"/>
  <c r="N358" i="25"/>
  <c r="Q358" i="25"/>
  <c r="P358" i="25"/>
  <c r="P14" i="25"/>
  <c r="N14" i="25"/>
  <c r="O14" i="25"/>
  <c r="Q14" i="25"/>
  <c r="P30" i="25"/>
  <c r="N30" i="25"/>
  <c r="O30" i="25"/>
  <c r="Q30" i="25"/>
  <c r="O327" i="25"/>
  <c r="N327" i="25"/>
  <c r="P327" i="25"/>
  <c r="Q327" i="25"/>
  <c r="P315" i="25"/>
  <c r="O315" i="25"/>
  <c r="N315" i="25"/>
  <c r="Q315" i="25"/>
  <c r="O351" i="25"/>
  <c r="P351" i="25"/>
  <c r="N351" i="25"/>
  <c r="Q351" i="25"/>
  <c r="O7" i="25"/>
  <c r="Q7" i="25"/>
  <c r="P7" i="25"/>
  <c r="N7" i="25"/>
  <c r="P324" i="25"/>
  <c r="N324" i="25"/>
  <c r="O324" i="25"/>
  <c r="Q324" i="25"/>
  <c r="P340" i="25"/>
  <c r="N340" i="25"/>
  <c r="O340" i="25"/>
  <c r="Q340" i="25"/>
  <c r="P356" i="25"/>
  <c r="N356" i="25"/>
  <c r="O356" i="25"/>
  <c r="Q356" i="25"/>
  <c r="Q12" i="25"/>
  <c r="N12" i="25"/>
  <c r="O12" i="25"/>
  <c r="P12" i="25"/>
  <c r="P28" i="25"/>
  <c r="N28" i="25"/>
  <c r="O28" i="25"/>
  <c r="Q28" i="25"/>
  <c r="O396" i="25"/>
  <c r="N396" i="25"/>
  <c r="P396" i="25"/>
  <c r="Q396" i="25"/>
  <c r="N365" i="25"/>
  <c r="Q365" i="25"/>
  <c r="P365" i="25"/>
  <c r="O365" i="25"/>
  <c r="N381" i="25"/>
  <c r="Q381" i="25"/>
  <c r="P381" i="25"/>
  <c r="O381" i="25"/>
  <c r="P34" i="25"/>
  <c r="O34" i="25"/>
  <c r="N34" i="25"/>
  <c r="Q34" i="25"/>
  <c r="N50" i="25"/>
  <c r="P50" i="25"/>
  <c r="Q50" i="25"/>
  <c r="O50" i="25"/>
  <c r="N98" i="25"/>
  <c r="P98" i="25"/>
  <c r="Q98" i="25"/>
  <c r="O98" i="25"/>
  <c r="N114" i="25"/>
  <c r="P114" i="25"/>
  <c r="Q114" i="25"/>
  <c r="O114" i="25"/>
  <c r="Q133" i="25"/>
  <c r="O133" i="25"/>
  <c r="P133" i="25"/>
  <c r="N133" i="25"/>
  <c r="N147" i="25"/>
  <c r="P147" i="25"/>
  <c r="Q147" i="25"/>
  <c r="O147" i="25"/>
  <c r="Q161" i="25"/>
  <c r="P161" i="25"/>
  <c r="O161" i="25"/>
  <c r="N161" i="25"/>
  <c r="N174" i="25"/>
  <c r="P174" i="25"/>
  <c r="Q174" i="25"/>
  <c r="O174" i="25"/>
  <c r="Q185" i="25"/>
  <c r="P185" i="25"/>
  <c r="O185" i="25"/>
  <c r="N185" i="25"/>
  <c r="P200" i="25"/>
  <c r="O200" i="25"/>
  <c r="N200" i="25"/>
  <c r="Q200" i="25"/>
  <c r="P216" i="25"/>
  <c r="O216" i="25"/>
  <c r="N216" i="25"/>
  <c r="Q216" i="25"/>
  <c r="O366" i="25"/>
  <c r="N366" i="25"/>
  <c r="Q366" i="25"/>
  <c r="P366" i="25"/>
  <c r="Q382" i="25"/>
  <c r="O382" i="25"/>
  <c r="P382" i="25"/>
  <c r="N382" i="25"/>
  <c r="O59" i="25"/>
  <c r="Q59" i="25"/>
  <c r="P59" i="25"/>
  <c r="N59" i="25"/>
  <c r="P107" i="25"/>
  <c r="O107" i="25"/>
  <c r="N107" i="25"/>
  <c r="Q107" i="25"/>
  <c r="N137" i="25"/>
  <c r="P137" i="25"/>
  <c r="Q137" i="25"/>
  <c r="O137" i="25"/>
  <c r="N170" i="25"/>
  <c r="P170" i="25"/>
  <c r="Q170" i="25"/>
  <c r="O170" i="25"/>
  <c r="N186" i="25"/>
  <c r="P186" i="25"/>
  <c r="Q186" i="25"/>
  <c r="O186" i="25"/>
  <c r="Q221" i="25"/>
  <c r="O221" i="25"/>
  <c r="N221" i="25"/>
  <c r="P221" i="25"/>
  <c r="N234" i="25"/>
  <c r="P234" i="25"/>
  <c r="Q234" i="25"/>
  <c r="O234" i="25"/>
  <c r="Q398" i="25"/>
  <c r="P398" i="25"/>
  <c r="O398" i="25"/>
  <c r="N398" i="25"/>
  <c r="O367" i="25"/>
  <c r="N367" i="25"/>
  <c r="P367" i="25"/>
  <c r="Q367" i="25"/>
  <c r="O383" i="25"/>
  <c r="P383" i="25"/>
  <c r="N383" i="25"/>
  <c r="Q383" i="25"/>
  <c r="Q60" i="25"/>
  <c r="O60" i="25"/>
  <c r="N60" i="25"/>
  <c r="P60" i="25"/>
  <c r="P75" i="25"/>
  <c r="O75" i="25"/>
  <c r="N75" i="25"/>
  <c r="Q75" i="25"/>
  <c r="P183" i="25"/>
  <c r="O183" i="25"/>
  <c r="N183" i="25"/>
  <c r="Q183" i="25"/>
  <c r="P264" i="25"/>
  <c r="O264" i="25"/>
  <c r="N264" i="25"/>
  <c r="Q264" i="25"/>
  <c r="P17" i="25"/>
  <c r="N17" i="25"/>
  <c r="Q17" i="25"/>
  <c r="O17" i="25"/>
  <c r="P291" i="25"/>
  <c r="O291" i="25"/>
  <c r="N291" i="25"/>
  <c r="Q291" i="25"/>
  <c r="N238" i="25"/>
  <c r="P238" i="25"/>
  <c r="Q238" i="25"/>
  <c r="O238" i="25"/>
  <c r="N270" i="25"/>
  <c r="P270" i="25"/>
  <c r="Q270" i="25"/>
  <c r="O270" i="25"/>
  <c r="N317" i="25"/>
  <c r="Q317" i="25"/>
  <c r="P317" i="25"/>
  <c r="O317" i="25"/>
  <c r="N333" i="25"/>
  <c r="Q333" i="25"/>
  <c r="P333" i="25"/>
  <c r="O333" i="25"/>
  <c r="N349" i="25"/>
  <c r="Q349" i="25"/>
  <c r="P349" i="25"/>
  <c r="O349" i="25"/>
  <c r="N108" i="25"/>
  <c r="P108" i="25"/>
  <c r="Q108" i="25"/>
  <c r="O108" i="25"/>
  <c r="P368" i="25"/>
  <c r="O368" i="25"/>
  <c r="N368" i="25"/>
  <c r="Q368" i="25"/>
  <c r="P384" i="25"/>
  <c r="O384" i="25"/>
  <c r="N384" i="25"/>
  <c r="Q384" i="25"/>
  <c r="O263" i="25"/>
  <c r="N263" i="25"/>
  <c r="P263" i="25"/>
  <c r="Q263" i="25"/>
  <c r="O271" i="25"/>
  <c r="N271" i="25"/>
  <c r="P271" i="25"/>
  <c r="Q271" i="25"/>
  <c r="O334" i="25"/>
  <c r="N334" i="25"/>
  <c r="Q334" i="25"/>
  <c r="P334" i="25"/>
  <c r="O338" i="25"/>
  <c r="N338" i="25"/>
  <c r="Q338" i="25"/>
  <c r="P338" i="25"/>
  <c r="O354" i="25"/>
  <c r="N354" i="25"/>
  <c r="Q354" i="25"/>
  <c r="P354" i="25"/>
  <c r="P10" i="25"/>
  <c r="N10" i="25"/>
  <c r="O10" i="25"/>
  <c r="Q10" i="25"/>
  <c r="P26" i="25"/>
  <c r="N26" i="25"/>
  <c r="O26" i="25"/>
  <c r="Q26" i="25"/>
  <c r="O319" i="25"/>
  <c r="P319" i="25"/>
  <c r="N319" i="25"/>
  <c r="Q319" i="25"/>
  <c r="P339" i="25"/>
  <c r="O339" i="25"/>
  <c r="N339" i="25"/>
  <c r="Q339" i="25"/>
  <c r="P355" i="25"/>
  <c r="O355" i="25"/>
  <c r="N355" i="25"/>
  <c r="Q355" i="25"/>
  <c r="O11" i="25"/>
  <c r="P11" i="25"/>
  <c r="N11" i="25"/>
  <c r="Q11" i="25"/>
  <c r="O27" i="25"/>
  <c r="P27" i="25"/>
  <c r="N27" i="25"/>
  <c r="Q27" i="25"/>
  <c r="P328" i="25"/>
  <c r="O328" i="25"/>
  <c r="N328" i="25"/>
  <c r="Q328" i="25"/>
  <c r="P344" i="25"/>
  <c r="O344" i="25"/>
  <c r="N344" i="25"/>
  <c r="Q344" i="25"/>
  <c r="P360" i="25"/>
  <c r="O360" i="25"/>
  <c r="N360" i="25"/>
  <c r="Q360" i="25"/>
  <c r="O16" i="25"/>
  <c r="P16" i="25"/>
  <c r="Q16" i="25"/>
  <c r="N16" i="25"/>
  <c r="P392" i="25"/>
  <c r="O392" i="25"/>
  <c r="N392" i="25"/>
  <c r="Q392" i="25"/>
  <c r="P400" i="25"/>
  <c r="O400" i="25"/>
  <c r="N400" i="25"/>
  <c r="Q400" i="25"/>
  <c r="O369" i="25"/>
  <c r="Q369" i="25"/>
  <c r="P369" i="25"/>
  <c r="N369" i="25"/>
  <c r="O385" i="25"/>
  <c r="Q385" i="25"/>
  <c r="P385" i="25"/>
  <c r="N385" i="25"/>
  <c r="P38" i="25"/>
  <c r="Q38" i="25"/>
  <c r="O38" i="25"/>
  <c r="N38" i="25"/>
  <c r="N54" i="25"/>
  <c r="P54" i="25"/>
  <c r="Q54" i="25"/>
  <c r="O54" i="25"/>
  <c r="N86" i="25"/>
  <c r="P86" i="25"/>
  <c r="Q86" i="25"/>
  <c r="O86" i="25"/>
  <c r="N102" i="25"/>
  <c r="P102" i="25"/>
  <c r="Q102" i="25"/>
  <c r="O102" i="25"/>
  <c r="N121" i="25"/>
  <c r="P121" i="25"/>
  <c r="Q121" i="25"/>
  <c r="O121" i="25"/>
  <c r="P136" i="25"/>
  <c r="N136" i="25"/>
  <c r="O136" i="25"/>
  <c r="Q136" i="25"/>
  <c r="Q165" i="25"/>
  <c r="P165" i="25"/>
  <c r="O165" i="25"/>
  <c r="N165" i="25"/>
  <c r="P175" i="25"/>
  <c r="O175" i="25"/>
  <c r="N175" i="25"/>
  <c r="Q175" i="25"/>
  <c r="Q189" i="25"/>
  <c r="P189" i="25"/>
  <c r="O189" i="25"/>
  <c r="N189" i="25"/>
  <c r="O204" i="25"/>
  <c r="N204" i="25"/>
  <c r="P204" i="25"/>
  <c r="Q204" i="25"/>
  <c r="P220" i="25"/>
  <c r="O220" i="25"/>
  <c r="N220" i="25"/>
  <c r="Q220" i="25"/>
  <c r="P233" i="25"/>
  <c r="O233" i="25"/>
  <c r="Q233" i="25"/>
  <c r="N233" i="25"/>
  <c r="N397" i="25"/>
  <c r="Q397" i="25"/>
  <c r="P397" i="25"/>
  <c r="O397" i="25"/>
  <c r="O370" i="25"/>
  <c r="N370" i="25"/>
  <c r="Q370" i="25"/>
  <c r="P370" i="25"/>
  <c r="Q386" i="25"/>
  <c r="P386" i="25"/>
  <c r="O386" i="25"/>
  <c r="N386" i="25"/>
  <c r="O63" i="25"/>
  <c r="Q63" i="25"/>
  <c r="P63" i="25"/>
  <c r="N63" i="25"/>
  <c r="P159" i="25"/>
  <c r="O159" i="25"/>
  <c r="N159" i="25"/>
  <c r="Q159" i="25"/>
  <c r="P209" i="25"/>
  <c r="O209" i="25"/>
  <c r="Q209" i="25"/>
  <c r="N209" i="25"/>
  <c r="Q225" i="25"/>
  <c r="O225" i="25"/>
  <c r="P225" i="25"/>
  <c r="N225" i="25"/>
  <c r="Q237" i="25"/>
  <c r="O237" i="25"/>
  <c r="N237" i="25"/>
  <c r="P237" i="25"/>
  <c r="P371" i="25"/>
  <c r="O371" i="25"/>
  <c r="N371" i="25"/>
  <c r="Q371" i="25"/>
  <c r="P387" i="25"/>
  <c r="O387" i="25"/>
  <c r="N387" i="25"/>
  <c r="Q387" i="25"/>
  <c r="O64" i="25"/>
  <c r="Q64" i="25"/>
  <c r="P64" i="25"/>
  <c r="N64" i="25"/>
  <c r="P79" i="25"/>
  <c r="O79" i="25"/>
  <c r="Q79" i="25"/>
  <c r="N79" i="25"/>
  <c r="P357" i="25"/>
  <c r="O357" i="25"/>
  <c r="Q357" i="25"/>
  <c r="N357" i="25"/>
  <c r="N281" i="25"/>
  <c r="P281" i="25"/>
  <c r="O281" i="25"/>
  <c r="Q281" i="25"/>
  <c r="N298" i="25"/>
  <c r="P298" i="25"/>
  <c r="Q298" i="25"/>
  <c r="O298" i="25"/>
  <c r="N9" i="25"/>
  <c r="Q9" i="25"/>
  <c r="P9" i="25"/>
  <c r="O9" i="25"/>
  <c r="O321" i="25"/>
  <c r="Q321" i="25"/>
  <c r="P321" i="25"/>
  <c r="N321" i="25"/>
  <c r="O337" i="25"/>
  <c r="P337" i="25"/>
  <c r="Q337" i="25"/>
  <c r="N337" i="25"/>
  <c r="O353" i="25"/>
  <c r="Q353" i="25"/>
  <c r="P353" i="25"/>
  <c r="N353" i="25"/>
  <c r="P331" i="25"/>
  <c r="O331" i="25"/>
  <c r="N331" i="25"/>
  <c r="Q331" i="25"/>
  <c r="P399" i="25"/>
  <c r="O399" i="25"/>
  <c r="N399" i="25"/>
  <c r="Q399" i="25"/>
  <c r="P364" i="25"/>
  <c r="O364" i="25"/>
  <c r="N364" i="25"/>
  <c r="Q364" i="25"/>
  <c r="P380" i="25"/>
  <c r="O380" i="25"/>
  <c r="N380" i="25"/>
  <c r="Q380" i="25"/>
  <c r="P243" i="25"/>
  <c r="O243" i="25"/>
  <c r="N243" i="25"/>
  <c r="Q243" i="25"/>
  <c r="P259" i="25"/>
  <c r="O259" i="25"/>
  <c r="N259" i="25"/>
  <c r="Q259" i="25"/>
  <c r="P267" i="25"/>
  <c r="O267" i="25"/>
  <c r="N267" i="25"/>
  <c r="Q267" i="25"/>
  <c r="O330" i="25"/>
  <c r="N330" i="25"/>
  <c r="Q330" i="25"/>
  <c r="P330" i="25"/>
  <c r="O350" i="25"/>
  <c r="N350" i="25"/>
  <c r="Q350" i="25"/>
  <c r="P350" i="25"/>
  <c r="P6" i="25"/>
  <c r="N6" i="25"/>
  <c r="O6" i="25"/>
  <c r="Q6" i="25"/>
  <c r="P22" i="25"/>
  <c r="N22" i="25"/>
  <c r="O22" i="25"/>
  <c r="Q22" i="25"/>
  <c r="Q2" i="25" l="1"/>
  <c r="L411" i="25"/>
  <c r="O23" i="25"/>
  <c r="O246" i="25"/>
  <c r="P156" i="25"/>
  <c r="N306" i="25"/>
  <c r="N277" i="25"/>
  <c r="P23" i="25"/>
  <c r="P258" i="25"/>
  <c r="O198" i="25"/>
  <c r="Q23" i="25"/>
  <c r="N69" i="25"/>
  <c r="Q95" i="25"/>
  <c r="P154" i="25"/>
  <c r="N157" i="25"/>
  <c r="Q223" i="25"/>
  <c r="O167" i="25"/>
  <c r="N248" i="25"/>
  <c r="O214" i="25"/>
  <c r="Q105" i="25"/>
  <c r="N218" i="25"/>
  <c r="P67" i="25"/>
  <c r="N2" i="25"/>
  <c r="P2" i="25"/>
  <c r="Q276" i="25"/>
  <c r="Q91" i="25"/>
  <c r="Q171" i="25"/>
  <c r="O93" i="25"/>
  <c r="N82" i="25"/>
  <c r="O41" i="25"/>
  <c r="Q151" i="25"/>
  <c r="O74" i="25"/>
  <c r="N202" i="25"/>
  <c r="O296" i="25"/>
  <c r="N119" i="25"/>
  <c r="P206" i="25"/>
  <c r="N155" i="25"/>
  <c r="N76" i="25"/>
  <c r="P294" i="25"/>
  <c r="O283" i="25"/>
  <c r="Q248" i="25"/>
  <c r="Q44" i="25"/>
  <c r="O312" i="25"/>
  <c r="O45" i="25"/>
  <c r="N251" i="25"/>
  <c r="Q37" i="25"/>
  <c r="O179" i="25"/>
  <c r="Q252" i="25"/>
  <c r="O131" i="25"/>
  <c r="O126" i="25"/>
  <c r="Q214" i="25"/>
  <c r="O122" i="25"/>
  <c r="O244" i="25"/>
  <c r="N261" i="25"/>
  <c r="N109" i="25"/>
  <c r="Q294" i="25"/>
  <c r="P49" i="25"/>
  <c r="P131" i="25"/>
  <c r="O261" i="25"/>
  <c r="P307" i="25"/>
  <c r="Q312" i="25"/>
  <c r="Q122" i="25"/>
  <c r="Q251" i="25"/>
  <c r="N167" i="25"/>
  <c r="Q265" i="25"/>
  <c r="N307" i="25"/>
  <c r="Q120" i="25"/>
  <c r="P278" i="25"/>
  <c r="P245" i="25"/>
  <c r="N193" i="25"/>
  <c r="O194" i="25"/>
  <c r="O172" i="25"/>
  <c r="P57" i="25"/>
  <c r="N242" i="25"/>
  <c r="P226" i="25"/>
  <c r="N231" i="25"/>
  <c r="N163" i="25"/>
  <c r="O142" i="25"/>
  <c r="Q215" i="25"/>
  <c r="P87" i="25"/>
  <c r="P105" i="25"/>
  <c r="O242" i="25"/>
  <c r="O177" i="25"/>
  <c r="Q142" i="25"/>
  <c r="Q194" i="25"/>
  <c r="O293" i="25"/>
  <c r="P303" i="25"/>
  <c r="Q156" i="25"/>
  <c r="N43" i="25"/>
  <c r="O187" i="25"/>
  <c r="O73" i="25"/>
  <c r="P177" i="25"/>
  <c r="Q149" i="25"/>
  <c r="Q257" i="25"/>
  <c r="Q92" i="25"/>
  <c r="O190" i="25"/>
  <c r="O218" i="25"/>
  <c r="N176" i="25"/>
  <c r="O78" i="25"/>
  <c r="N292" i="25"/>
  <c r="Q242" i="25"/>
  <c r="Q218" i="25"/>
  <c r="O176" i="25"/>
  <c r="N78" i="25"/>
  <c r="N303" i="25"/>
  <c r="N156" i="25"/>
  <c r="O43" i="25"/>
  <c r="P194" i="25"/>
  <c r="N124" i="25"/>
  <c r="P292" i="25"/>
  <c r="P187" i="25"/>
  <c r="Q73" i="25"/>
  <c r="Q226" i="25"/>
  <c r="N149" i="25"/>
  <c r="O257" i="25"/>
  <c r="O92" i="25"/>
  <c r="Q190" i="25"/>
  <c r="Q67" i="25"/>
  <c r="N66" i="25"/>
  <c r="P124" i="25"/>
  <c r="Q41" i="25"/>
  <c r="P297" i="25"/>
  <c r="Q187" i="25"/>
  <c r="Q78" i="25"/>
  <c r="P73" i="25"/>
  <c r="N257" i="25"/>
  <c r="P43" i="25"/>
  <c r="P190" i="25"/>
  <c r="Q99" i="25"/>
  <c r="N67" i="25"/>
  <c r="P66" i="25"/>
  <c r="O215" i="25"/>
  <c r="N105" i="25"/>
  <c r="P176" i="25"/>
  <c r="N226" i="25"/>
  <c r="Q177" i="25"/>
  <c r="P142" i="25"/>
  <c r="P80" i="25"/>
  <c r="P149" i="25"/>
  <c r="O303" i="25"/>
  <c r="N92" i="25"/>
  <c r="O66" i="25"/>
  <c r="P101" i="25"/>
  <c r="N96" i="25"/>
  <c r="N268" i="25"/>
  <c r="N297" i="25"/>
  <c r="N77" i="25"/>
  <c r="N201" i="25"/>
  <c r="N40" i="25"/>
  <c r="P293" i="25"/>
  <c r="O269" i="25"/>
  <c r="N215" i="25"/>
  <c r="O124" i="25"/>
  <c r="P41" i="25"/>
  <c r="Q292" i="25"/>
  <c r="O297" i="25"/>
  <c r="N168" i="25"/>
  <c r="N293" i="25"/>
  <c r="P120" i="25"/>
  <c r="O87" i="25"/>
  <c r="P146" i="25"/>
  <c r="Q76" i="25"/>
  <c r="P48" i="25"/>
  <c r="O135" i="25"/>
  <c r="P312" i="25"/>
  <c r="N122" i="25"/>
  <c r="N244" i="25"/>
  <c r="O251" i="25"/>
  <c r="N49" i="25"/>
  <c r="N46" i="25"/>
  <c r="P195" i="25"/>
  <c r="Q246" i="25"/>
  <c r="N197" i="25"/>
  <c r="N252" i="25"/>
  <c r="O188" i="25"/>
  <c r="Q131" i="25"/>
  <c r="Q126" i="25"/>
  <c r="Q109" i="25"/>
  <c r="N294" i="25"/>
  <c r="P214" i="25"/>
  <c r="Q45" i="25"/>
  <c r="O265" i="25"/>
  <c r="Q48" i="25"/>
  <c r="Q307" i="25"/>
  <c r="Q203" i="25"/>
  <c r="P109" i="25"/>
  <c r="N45" i="25"/>
  <c r="P244" i="25"/>
  <c r="O49" i="25"/>
  <c r="P145" i="25"/>
  <c r="P246" i="25"/>
  <c r="Q179" i="25"/>
  <c r="N152" i="25"/>
  <c r="Q283" i="25"/>
  <c r="Q188" i="25"/>
  <c r="P261" i="25"/>
  <c r="P265" i="25"/>
  <c r="O48" i="25"/>
  <c r="P126" i="25"/>
  <c r="O248" i="25"/>
  <c r="N203" i="25"/>
  <c r="P152" i="25"/>
  <c r="N278" i="25"/>
  <c r="O301" i="25"/>
  <c r="O252" i="25"/>
  <c r="O152" i="25"/>
  <c r="N283" i="25"/>
  <c r="N188" i="25"/>
  <c r="P76" i="25"/>
  <c r="Q167" i="25"/>
  <c r="Q46" i="25"/>
  <c r="N301" i="25"/>
  <c r="P197" i="25"/>
  <c r="Q195" i="25"/>
  <c r="P37" i="25"/>
  <c r="P301" i="25"/>
  <c r="O197" i="25"/>
  <c r="N87" i="25"/>
  <c r="O46" i="25"/>
  <c r="N195" i="25"/>
  <c r="O120" i="25"/>
  <c r="O37" i="25"/>
  <c r="O278" i="25"/>
  <c r="O97" i="25"/>
  <c r="O306" i="25"/>
  <c r="N151" i="25"/>
  <c r="P296" i="25"/>
  <c r="O157" i="25"/>
  <c r="Q93" i="25"/>
  <c r="N91" i="25"/>
  <c r="Q231" i="25"/>
  <c r="Q172" i="25"/>
  <c r="O154" i="25"/>
  <c r="N245" i="25"/>
  <c r="Q202" i="25"/>
  <c r="P193" i="25"/>
  <c r="Q157" i="25"/>
  <c r="N93" i="25"/>
  <c r="O119" i="25"/>
  <c r="O277" i="25"/>
  <c r="N276" i="25"/>
  <c r="P198" i="25"/>
  <c r="O91" i="25"/>
  <c r="P74" i="25"/>
  <c r="P223" i="25"/>
  <c r="Q273" i="25"/>
  <c r="O70" i="25"/>
  <c r="O69" i="25"/>
  <c r="P163" i="25"/>
  <c r="O206" i="25"/>
  <c r="Q82" i="25"/>
  <c r="Q155" i="25"/>
  <c r="P172" i="25"/>
  <c r="N154" i="25"/>
  <c r="Q245" i="25"/>
  <c r="O193" i="25"/>
  <c r="O95" i="25"/>
  <c r="Q277" i="25"/>
  <c r="Q198" i="25"/>
  <c r="N223" i="25"/>
  <c r="O57" i="25"/>
  <c r="P306" i="25"/>
  <c r="O258" i="25"/>
  <c r="P95" i="25"/>
  <c r="P151" i="25"/>
  <c r="Q296" i="25"/>
  <c r="P231" i="25"/>
  <c r="Q57" i="25"/>
  <c r="Q258" i="25"/>
  <c r="P202" i="25"/>
  <c r="P119" i="25"/>
  <c r="P276" i="25"/>
  <c r="N74" i="25"/>
  <c r="Q69" i="25"/>
  <c r="Q163" i="25"/>
  <c r="Q206" i="25"/>
  <c r="P82" i="25"/>
  <c r="P155" i="25"/>
  <c r="N123" i="25"/>
  <c r="P207" i="25"/>
  <c r="Q65" i="25"/>
  <c r="Q85" i="25"/>
  <c r="Q300" i="25"/>
  <c r="N300" i="25"/>
  <c r="O300" i="25"/>
  <c r="N89" i="25"/>
  <c r="N113" i="25"/>
  <c r="Q139" i="25"/>
  <c r="P295" i="25"/>
  <c r="N262" i="25"/>
  <c r="N249" i="25"/>
  <c r="P68" i="25"/>
  <c r="O31" i="25"/>
  <c r="Q111" i="25"/>
  <c r="O61" i="25"/>
  <c r="Q254" i="25"/>
  <c r="N286" i="25"/>
  <c r="N274" i="25"/>
  <c r="N47" i="25"/>
  <c r="N128" i="25"/>
  <c r="Q138" i="25"/>
  <c r="N311" i="25"/>
  <c r="N84" i="25"/>
  <c r="P210" i="25"/>
  <c r="N36" i="25"/>
  <c r="P35" i="25"/>
  <c r="P100" i="25"/>
  <c r="N247" i="25"/>
  <c r="P199" i="25"/>
  <c r="N219" i="25"/>
  <c r="O260" i="25"/>
  <c r="O286" i="25"/>
  <c r="Q199" i="25"/>
  <c r="Q280" i="25"/>
  <c r="O111" i="25"/>
  <c r="P47" i="25"/>
  <c r="O256" i="25"/>
  <c r="P211" i="25"/>
  <c r="O295" i="25"/>
  <c r="O262" i="25"/>
  <c r="Q68" i="25"/>
  <c r="Q36" i="25"/>
  <c r="Q35" i="25"/>
  <c r="N31" i="25"/>
  <c r="O274" i="25"/>
  <c r="N100" i="25"/>
  <c r="P310" i="25"/>
  <c r="Q61" i="25"/>
  <c r="O285" i="25"/>
  <c r="N85" i="25"/>
  <c r="N71" i="25"/>
  <c r="Q286" i="25"/>
  <c r="N199" i="25"/>
  <c r="P31" i="25"/>
  <c r="O247" i="25"/>
  <c r="P61" i="25"/>
  <c r="N254" i="25"/>
  <c r="N205" i="25"/>
  <c r="P85" i="25"/>
  <c r="P84" i="25"/>
  <c r="O210" i="25"/>
  <c r="N103" i="25"/>
  <c r="Q262" i="25"/>
  <c r="O68" i="25"/>
  <c r="P36" i="25"/>
  <c r="O35" i="25"/>
  <c r="O89" i="25"/>
  <c r="Q144" i="25"/>
  <c r="P247" i="25"/>
  <c r="P138" i="25"/>
  <c r="P254" i="25"/>
  <c r="O84" i="25"/>
  <c r="N290" i="25"/>
  <c r="N210" i="25"/>
  <c r="Q89" i="25"/>
  <c r="Q274" i="25"/>
  <c r="N280" i="25"/>
  <c r="N144" i="25"/>
  <c r="P111" i="25"/>
  <c r="N138" i="25"/>
  <c r="O280" i="25"/>
  <c r="Q100" i="25"/>
  <c r="P144" i="25"/>
  <c r="Q47" i="25"/>
  <c r="Q71" i="25"/>
  <c r="Q103" i="25"/>
  <c r="P256" i="25"/>
  <c r="Q211" i="25"/>
  <c r="P139" i="25"/>
  <c r="N295" i="25"/>
  <c r="Q249" i="25"/>
  <c r="Q282" i="25"/>
  <c r="Q290" i="25"/>
  <c r="O71" i="25"/>
  <c r="O103" i="25"/>
  <c r="Q256" i="25"/>
  <c r="N211" i="25"/>
  <c r="N139" i="25"/>
  <c r="O249" i="25"/>
  <c r="N207" i="25"/>
  <c r="P290" i="25"/>
  <c r="Q314" i="25"/>
  <c r="O146" i="25"/>
  <c r="N282" i="25"/>
  <c r="O282" i="25"/>
  <c r="O207" i="25"/>
  <c r="Q146" i="25"/>
  <c r="O65" i="25"/>
  <c r="O123" i="25"/>
  <c r="O314" i="25"/>
  <c r="P65" i="25"/>
  <c r="Q123" i="25"/>
  <c r="N235" i="25"/>
  <c r="O141" i="25"/>
  <c r="O308" i="25"/>
  <c r="O235" i="25"/>
  <c r="P308" i="25"/>
  <c r="Q272" i="25"/>
  <c r="Q40" i="25"/>
  <c r="N314" i="25"/>
  <c r="Q164" i="25"/>
  <c r="P97" i="25"/>
  <c r="Q141" i="25"/>
  <c r="N272" i="25"/>
  <c r="O164" i="25"/>
  <c r="Q97" i="25"/>
  <c r="P141" i="25"/>
  <c r="Q308" i="25"/>
  <c r="O272" i="25"/>
  <c r="P40" i="25"/>
  <c r="P235" i="25"/>
  <c r="N164" i="25"/>
  <c r="P299" i="25"/>
  <c r="O299" i="25"/>
  <c r="P304" i="25"/>
  <c r="O304" i="25"/>
  <c r="N302" i="25"/>
  <c r="P302" i="25"/>
  <c r="O287" i="25"/>
  <c r="P287" i="25"/>
  <c r="N148" i="25"/>
  <c r="O148" i="25"/>
  <c r="P125" i="25"/>
  <c r="Q125" i="25"/>
  <c r="O80" i="25"/>
  <c r="Q80" i="25"/>
  <c r="N88" i="25"/>
  <c r="Q88" i="25"/>
  <c r="O39" i="25"/>
  <c r="Q39" i="25"/>
  <c r="P191" i="25"/>
  <c r="O191" i="25"/>
  <c r="N132" i="25"/>
  <c r="O132" i="25"/>
  <c r="P33" i="25"/>
  <c r="Q33" i="25"/>
  <c r="O53" i="25"/>
  <c r="P53" i="25"/>
  <c r="N269" i="25"/>
  <c r="Q269" i="25"/>
  <c r="P268" i="25"/>
  <c r="O268" i="25"/>
  <c r="P99" i="25"/>
  <c r="O99" i="25"/>
  <c r="P77" i="25"/>
  <c r="Q77" i="25"/>
  <c r="P219" i="25"/>
  <c r="O219" i="25"/>
  <c r="P128" i="25"/>
  <c r="O128" i="25"/>
  <c r="Q304" i="25"/>
  <c r="P180" i="25"/>
  <c r="N180" i="25"/>
  <c r="O113" i="25"/>
  <c r="Q113" i="25"/>
  <c r="P184" i="25"/>
  <c r="O184" i="25"/>
  <c r="Q117" i="25"/>
  <c r="O117" i="25"/>
  <c r="P96" i="25"/>
  <c r="O96" i="25"/>
  <c r="P44" i="25"/>
  <c r="O44" i="25"/>
  <c r="P135" i="25"/>
  <c r="Q135" i="25"/>
  <c r="N285" i="25"/>
  <c r="Q285" i="25"/>
  <c r="O311" i="25"/>
  <c r="P311" i="25"/>
  <c r="Q205" i="25"/>
  <c r="O205" i="25"/>
  <c r="P260" i="25"/>
  <c r="N260" i="25"/>
  <c r="N153" i="25"/>
  <c r="P153" i="25"/>
  <c r="N253" i="25"/>
  <c r="Q253" i="25"/>
  <c r="N134" i="25"/>
  <c r="P134" i="25"/>
  <c r="O289" i="25"/>
  <c r="Q289" i="25"/>
  <c r="P289" i="25"/>
  <c r="O180" i="25"/>
  <c r="Q153" i="25"/>
  <c r="N304" i="25"/>
  <c r="Q191" i="25"/>
  <c r="Q132" i="25"/>
  <c r="O33" i="25"/>
  <c r="Q299" i="25"/>
  <c r="O253" i="25"/>
  <c r="P88" i="25"/>
  <c r="O134" i="25"/>
  <c r="N39" i="25"/>
  <c r="Q184" i="25"/>
  <c r="N117" i="25"/>
  <c r="N53" i="25"/>
  <c r="O302" i="25"/>
  <c r="Q287" i="25"/>
  <c r="Q148" i="25"/>
  <c r="N125" i="25"/>
  <c r="O273" i="25"/>
  <c r="P273" i="25"/>
  <c r="N145" i="25"/>
  <c r="O145" i="25"/>
  <c r="P201" i="25"/>
  <c r="O201" i="25"/>
  <c r="N70" i="25"/>
  <c r="P70" i="25"/>
  <c r="P168" i="25"/>
  <c r="O168" i="25"/>
  <c r="Q101" i="25"/>
  <c r="O101" i="25"/>
  <c r="O310" i="25"/>
  <c r="N310" i="25"/>
  <c r="P171" i="25"/>
  <c r="O171" i="25"/>
  <c r="O203" i="25"/>
  <c r="L43" i="16"/>
  <c r="L42" i="16"/>
  <c r="L40" i="16"/>
  <c r="L39" i="16"/>
  <c r="L38" i="16"/>
  <c r="L36" i="16"/>
  <c r="L33" i="16"/>
  <c r="L32" i="16"/>
  <c r="L31" i="16"/>
  <c r="K31" i="16"/>
  <c r="L30" i="16"/>
  <c r="L29" i="16"/>
  <c r="L28" i="16"/>
  <c r="L45" i="16" s="1"/>
  <c r="D22" i="16"/>
  <c r="O411" i="25" l="1"/>
  <c r="N411" i="25"/>
  <c r="Q411" i="25"/>
  <c r="P411" i="25"/>
  <c r="C41" i="23"/>
  <c r="H414" i="25" l="1"/>
  <c r="H4" i="14"/>
  <c r="P4" i="14" s="1"/>
  <c r="H5" i="14"/>
  <c r="P5" i="14" s="1"/>
  <c r="H6" i="14"/>
  <c r="P6" i="14" s="1"/>
  <c r="H7" i="14"/>
  <c r="P7" i="14" s="1"/>
  <c r="H8" i="14"/>
  <c r="P8" i="14" s="1"/>
  <c r="H9" i="14"/>
  <c r="P9" i="14" s="1"/>
  <c r="H10" i="14"/>
  <c r="P10" i="14" s="1"/>
  <c r="H11" i="14"/>
  <c r="P11" i="14" s="1"/>
  <c r="H12" i="14"/>
  <c r="P12" i="14" s="1"/>
  <c r="H13" i="14"/>
  <c r="P13" i="14" s="1"/>
  <c r="H14" i="14"/>
  <c r="P14" i="14" s="1"/>
  <c r="H15" i="14"/>
  <c r="P15" i="14" s="1"/>
  <c r="H16" i="14"/>
  <c r="P16" i="14" s="1"/>
  <c r="H17" i="14"/>
  <c r="P17" i="14" s="1"/>
  <c r="H18" i="14"/>
  <c r="P18" i="14" s="1"/>
  <c r="H19" i="14"/>
  <c r="P19" i="14" s="1"/>
  <c r="H20" i="14"/>
  <c r="P20" i="14" s="1"/>
  <c r="H21" i="14"/>
  <c r="P21" i="14" s="1"/>
  <c r="H22" i="14"/>
  <c r="P22" i="14" s="1"/>
  <c r="H23" i="14"/>
  <c r="P23" i="14" s="1"/>
  <c r="H24" i="14"/>
  <c r="P24" i="14" s="1"/>
  <c r="H25" i="14"/>
  <c r="P25" i="14" s="1"/>
  <c r="H26" i="14"/>
  <c r="P26" i="14" s="1"/>
  <c r="H27" i="14"/>
  <c r="P27" i="14" s="1"/>
  <c r="H28" i="14"/>
  <c r="P28" i="14" s="1"/>
  <c r="H29" i="14"/>
  <c r="P29" i="14" s="1"/>
  <c r="H30" i="14"/>
  <c r="P30" i="14" s="1"/>
  <c r="H31" i="14"/>
  <c r="P31" i="14" s="1"/>
  <c r="H32" i="14"/>
  <c r="P32" i="14" s="1"/>
  <c r="H33" i="14"/>
  <c r="P33" i="14" s="1"/>
  <c r="H34" i="14"/>
  <c r="P34" i="14" s="1"/>
  <c r="H35" i="14"/>
  <c r="P35" i="14" s="1"/>
  <c r="H36" i="14"/>
  <c r="P36" i="14" s="1"/>
  <c r="H37" i="14"/>
  <c r="P37" i="14" s="1"/>
  <c r="H38" i="14"/>
  <c r="P38" i="14" s="1"/>
  <c r="H39" i="14"/>
  <c r="P39" i="14" s="1"/>
  <c r="H40" i="14"/>
  <c r="P40" i="14" s="1"/>
  <c r="H41" i="14"/>
  <c r="P41" i="14" s="1"/>
  <c r="H42" i="14"/>
  <c r="P42" i="14" s="1"/>
  <c r="H43" i="14"/>
  <c r="P43" i="14" s="1"/>
  <c r="H44" i="14"/>
  <c r="P44" i="14" s="1"/>
  <c r="H45" i="14"/>
  <c r="P45" i="14" s="1"/>
  <c r="H46" i="14"/>
  <c r="P46" i="14" s="1"/>
  <c r="H47" i="14"/>
  <c r="P47" i="14" s="1"/>
  <c r="H48" i="14"/>
  <c r="P48" i="14" s="1"/>
  <c r="H49" i="14"/>
  <c r="P49" i="14" s="1"/>
  <c r="H50" i="14"/>
  <c r="P50" i="14" s="1"/>
  <c r="H51" i="14"/>
  <c r="P51" i="14" s="1"/>
  <c r="H52" i="14"/>
  <c r="P52" i="14" s="1"/>
  <c r="H53" i="14"/>
  <c r="P53" i="14" s="1"/>
  <c r="H54" i="14"/>
  <c r="P54" i="14" s="1"/>
  <c r="H55" i="14"/>
  <c r="P55" i="14" s="1"/>
  <c r="H56" i="14"/>
  <c r="P56" i="14" s="1"/>
  <c r="H57" i="14"/>
  <c r="P57" i="14" s="1"/>
  <c r="H58" i="14"/>
  <c r="P58" i="14" s="1"/>
  <c r="H59" i="14"/>
  <c r="P59" i="14" s="1"/>
  <c r="H60" i="14"/>
  <c r="P60" i="14" s="1"/>
  <c r="H61" i="14"/>
  <c r="P61" i="14" s="1"/>
  <c r="H62" i="14"/>
  <c r="P62" i="14" s="1"/>
  <c r="H63" i="14"/>
  <c r="P63" i="14" s="1"/>
  <c r="H64" i="14"/>
  <c r="P64" i="14" s="1"/>
  <c r="H65" i="14"/>
  <c r="P65" i="14" s="1"/>
  <c r="H66" i="14"/>
  <c r="P66" i="14" s="1"/>
  <c r="H67" i="14"/>
  <c r="P67" i="14" s="1"/>
  <c r="H68" i="14"/>
  <c r="P68" i="14" s="1"/>
  <c r="H69" i="14"/>
  <c r="P69" i="14" s="1"/>
  <c r="H70" i="14"/>
  <c r="P70" i="14" s="1"/>
  <c r="H71" i="14"/>
  <c r="P71" i="14" s="1"/>
  <c r="H72" i="14"/>
  <c r="P72" i="14" s="1"/>
  <c r="H73" i="14"/>
  <c r="P73" i="14" s="1"/>
  <c r="H74" i="14"/>
  <c r="P74" i="14" s="1"/>
  <c r="H75" i="14"/>
  <c r="P75" i="14" s="1"/>
  <c r="H76" i="14"/>
  <c r="P76" i="14" s="1"/>
  <c r="H77" i="14"/>
  <c r="P77" i="14" s="1"/>
  <c r="H78" i="14"/>
  <c r="P78" i="14" s="1"/>
  <c r="H79" i="14"/>
  <c r="P79" i="14" s="1"/>
  <c r="H80" i="14"/>
  <c r="P80" i="14" s="1"/>
  <c r="H81" i="14"/>
  <c r="P81" i="14" s="1"/>
  <c r="H82" i="14"/>
  <c r="P82" i="14" s="1"/>
  <c r="H83" i="14"/>
  <c r="P83" i="14" s="1"/>
  <c r="H84" i="14"/>
  <c r="P84" i="14" s="1"/>
  <c r="H85" i="14"/>
  <c r="P85" i="14" s="1"/>
  <c r="H86" i="14"/>
  <c r="P86" i="14" s="1"/>
  <c r="H87" i="14"/>
  <c r="P87" i="14" s="1"/>
  <c r="H88" i="14"/>
  <c r="P88" i="14" s="1"/>
  <c r="H89" i="14"/>
  <c r="P89" i="14" s="1"/>
  <c r="H90" i="14"/>
  <c r="P90" i="14" s="1"/>
  <c r="H91" i="14"/>
  <c r="P91" i="14" s="1"/>
  <c r="H92" i="14"/>
  <c r="P92" i="14" s="1"/>
  <c r="H93" i="14"/>
  <c r="P93" i="14" s="1"/>
  <c r="H94" i="14"/>
  <c r="P94" i="14" s="1"/>
  <c r="H95" i="14"/>
  <c r="P95" i="14" s="1"/>
  <c r="H96" i="14"/>
  <c r="P96" i="14" s="1"/>
  <c r="H97" i="14"/>
  <c r="P97" i="14" s="1"/>
  <c r="H98" i="14"/>
  <c r="P98" i="14" s="1"/>
  <c r="H99" i="14"/>
  <c r="P99" i="14" s="1"/>
  <c r="H100" i="14"/>
  <c r="P100" i="14" s="1"/>
  <c r="H101" i="14"/>
  <c r="P101" i="14" s="1"/>
  <c r="H102" i="14"/>
  <c r="P102" i="14" s="1"/>
  <c r="H103" i="14"/>
  <c r="P103" i="14" s="1"/>
  <c r="H104" i="14"/>
  <c r="P104" i="14" s="1"/>
  <c r="H105" i="14"/>
  <c r="P105" i="14" s="1"/>
  <c r="H106" i="14"/>
  <c r="P106" i="14" s="1"/>
  <c r="H107" i="14"/>
  <c r="P107" i="14" s="1"/>
  <c r="H108" i="14"/>
  <c r="P108" i="14" s="1"/>
  <c r="H109" i="14"/>
  <c r="P109" i="14" s="1"/>
  <c r="H110" i="14"/>
  <c r="P110" i="14" s="1"/>
  <c r="H111" i="14"/>
  <c r="P111" i="14" s="1"/>
  <c r="H112" i="14"/>
  <c r="P112" i="14" s="1"/>
  <c r="H113" i="14"/>
  <c r="P113" i="14" s="1"/>
  <c r="H114" i="14"/>
  <c r="P114" i="14" s="1"/>
  <c r="H115" i="14"/>
  <c r="P115" i="14" s="1"/>
  <c r="H116" i="14"/>
  <c r="P116" i="14" s="1"/>
  <c r="H117" i="14"/>
  <c r="P117" i="14" s="1"/>
  <c r="H118" i="14"/>
  <c r="P118" i="14" s="1"/>
  <c r="H119" i="14"/>
  <c r="P119" i="14" s="1"/>
  <c r="H120" i="14"/>
  <c r="P120" i="14" s="1"/>
  <c r="H121" i="14"/>
  <c r="P121" i="14" s="1"/>
  <c r="H122" i="14"/>
  <c r="P122" i="14" s="1"/>
  <c r="H123" i="14"/>
  <c r="P123" i="14" s="1"/>
  <c r="H124" i="14"/>
  <c r="P124" i="14" s="1"/>
  <c r="H125" i="14"/>
  <c r="P125" i="14" s="1"/>
  <c r="H126" i="14"/>
  <c r="P126" i="14" s="1"/>
  <c r="H127" i="14"/>
  <c r="P127" i="14" s="1"/>
  <c r="H128" i="14"/>
  <c r="P128" i="14" s="1"/>
  <c r="H129" i="14"/>
  <c r="P129" i="14" s="1"/>
  <c r="H130" i="14"/>
  <c r="P130" i="14" s="1"/>
  <c r="H131" i="14"/>
  <c r="P131" i="14" s="1"/>
  <c r="H132" i="14"/>
  <c r="P132" i="14" s="1"/>
  <c r="H133" i="14"/>
  <c r="P133" i="14" s="1"/>
  <c r="H134" i="14"/>
  <c r="P134" i="14" s="1"/>
  <c r="H135" i="14"/>
  <c r="P135" i="14" s="1"/>
  <c r="H136" i="14"/>
  <c r="P136" i="14" s="1"/>
  <c r="H137" i="14"/>
  <c r="P137" i="14" s="1"/>
  <c r="H138" i="14"/>
  <c r="P138" i="14" s="1"/>
  <c r="H139" i="14"/>
  <c r="P139" i="14" s="1"/>
  <c r="H140" i="14"/>
  <c r="P140" i="14" s="1"/>
  <c r="H141" i="14"/>
  <c r="P141" i="14" s="1"/>
  <c r="H142" i="14"/>
  <c r="P142" i="14" s="1"/>
  <c r="H143" i="14"/>
  <c r="P143" i="14" s="1"/>
  <c r="H144" i="14"/>
  <c r="P144" i="14" s="1"/>
  <c r="H145" i="14"/>
  <c r="P145" i="14" s="1"/>
  <c r="H146" i="14"/>
  <c r="P146" i="14" s="1"/>
  <c r="H147" i="14"/>
  <c r="P147" i="14" s="1"/>
  <c r="H148" i="14"/>
  <c r="P148" i="14" s="1"/>
  <c r="H149" i="14"/>
  <c r="P149" i="14" s="1"/>
  <c r="H150" i="14"/>
  <c r="P150" i="14" s="1"/>
  <c r="H151" i="14"/>
  <c r="P151" i="14" s="1"/>
  <c r="H152" i="14"/>
  <c r="P152" i="14" s="1"/>
  <c r="H153" i="14"/>
  <c r="P153" i="14" s="1"/>
  <c r="H154" i="14"/>
  <c r="P154" i="14" s="1"/>
  <c r="H155" i="14"/>
  <c r="P155" i="14" s="1"/>
  <c r="H156" i="14"/>
  <c r="P156" i="14" s="1"/>
  <c r="H157" i="14"/>
  <c r="P157" i="14" s="1"/>
  <c r="H158" i="14"/>
  <c r="P158" i="14" s="1"/>
  <c r="H159" i="14"/>
  <c r="P159" i="14" s="1"/>
  <c r="H160" i="14"/>
  <c r="P160" i="14" s="1"/>
  <c r="H161" i="14"/>
  <c r="P161" i="14" s="1"/>
  <c r="H162" i="14"/>
  <c r="P162" i="14" s="1"/>
  <c r="H163" i="14"/>
  <c r="P163" i="14" s="1"/>
  <c r="H164" i="14"/>
  <c r="P164" i="14" s="1"/>
  <c r="H165" i="14"/>
  <c r="P165" i="14" s="1"/>
  <c r="H166" i="14"/>
  <c r="P166" i="14" s="1"/>
  <c r="H167" i="14"/>
  <c r="P167" i="14" s="1"/>
  <c r="H168" i="14"/>
  <c r="P168" i="14" s="1"/>
  <c r="H169" i="14"/>
  <c r="P169" i="14" s="1"/>
  <c r="H170" i="14"/>
  <c r="P170" i="14" s="1"/>
  <c r="H171" i="14"/>
  <c r="P171" i="14" s="1"/>
  <c r="H172" i="14"/>
  <c r="P172" i="14" s="1"/>
  <c r="H173" i="14"/>
  <c r="P173" i="14" s="1"/>
  <c r="H174" i="14"/>
  <c r="P174" i="14" s="1"/>
  <c r="H175" i="14"/>
  <c r="P175" i="14" s="1"/>
  <c r="H176" i="14"/>
  <c r="P176" i="14" s="1"/>
  <c r="H177" i="14"/>
  <c r="P177" i="14" s="1"/>
  <c r="H178" i="14"/>
  <c r="P178" i="14" s="1"/>
  <c r="H179" i="14"/>
  <c r="P179" i="14" s="1"/>
  <c r="H180" i="14"/>
  <c r="P180" i="14" s="1"/>
  <c r="H181" i="14"/>
  <c r="P181" i="14" s="1"/>
  <c r="H182" i="14"/>
  <c r="P182" i="14" s="1"/>
  <c r="H183" i="14"/>
  <c r="P183" i="14" s="1"/>
  <c r="H184" i="14"/>
  <c r="P184" i="14" s="1"/>
  <c r="H185" i="14"/>
  <c r="P185" i="14" s="1"/>
  <c r="H186" i="14"/>
  <c r="P186" i="14" s="1"/>
  <c r="H187" i="14"/>
  <c r="P187" i="14" s="1"/>
  <c r="H188" i="14"/>
  <c r="P188" i="14" s="1"/>
  <c r="H189" i="14"/>
  <c r="P189" i="14" s="1"/>
  <c r="H190" i="14"/>
  <c r="P190" i="14" s="1"/>
  <c r="H191" i="14"/>
  <c r="P191" i="14" s="1"/>
  <c r="H192" i="14"/>
  <c r="P192" i="14" s="1"/>
  <c r="H193" i="14"/>
  <c r="P193" i="14" s="1"/>
  <c r="H194" i="14"/>
  <c r="P194" i="14" s="1"/>
  <c r="H195" i="14"/>
  <c r="P195" i="14" s="1"/>
  <c r="H196" i="14"/>
  <c r="P196" i="14" s="1"/>
  <c r="H197" i="14"/>
  <c r="P197" i="14" s="1"/>
  <c r="H198" i="14"/>
  <c r="P198" i="14" s="1"/>
  <c r="H199" i="14"/>
  <c r="P199" i="14" s="1"/>
  <c r="H200" i="14"/>
  <c r="P200" i="14" s="1"/>
  <c r="H201" i="14"/>
  <c r="P201" i="14" s="1"/>
  <c r="H202" i="14"/>
  <c r="P202" i="14" s="1"/>
  <c r="H203" i="14"/>
  <c r="P203" i="14" s="1"/>
  <c r="H204" i="14"/>
  <c r="P204" i="14" s="1"/>
  <c r="H205" i="14"/>
  <c r="P205" i="14" s="1"/>
  <c r="H206" i="14"/>
  <c r="P206" i="14" s="1"/>
  <c r="H207" i="14"/>
  <c r="P207" i="14" s="1"/>
  <c r="H208" i="14"/>
  <c r="P208" i="14" s="1"/>
  <c r="H209" i="14"/>
  <c r="P209" i="14" s="1"/>
  <c r="H210" i="14"/>
  <c r="P210" i="14" s="1"/>
  <c r="H211" i="14"/>
  <c r="P211" i="14" s="1"/>
  <c r="H212" i="14"/>
  <c r="P212" i="14" s="1"/>
  <c r="H213" i="14"/>
  <c r="P213" i="14" s="1"/>
  <c r="H214" i="14"/>
  <c r="P214" i="14" s="1"/>
  <c r="H215" i="14"/>
  <c r="P215" i="14" s="1"/>
  <c r="H216" i="14"/>
  <c r="P216" i="14" s="1"/>
  <c r="H217" i="14"/>
  <c r="P217" i="14" s="1"/>
  <c r="H218" i="14"/>
  <c r="P218" i="14" s="1"/>
  <c r="H219" i="14"/>
  <c r="P219" i="14" s="1"/>
  <c r="H220" i="14"/>
  <c r="P220" i="14" s="1"/>
  <c r="H221" i="14"/>
  <c r="P221" i="14" s="1"/>
  <c r="H222" i="14"/>
  <c r="P222" i="14" s="1"/>
  <c r="H223" i="14"/>
  <c r="P223" i="14" s="1"/>
  <c r="H224" i="14"/>
  <c r="P224" i="14" s="1"/>
  <c r="H225" i="14"/>
  <c r="P225" i="14" s="1"/>
  <c r="H226" i="14"/>
  <c r="P226" i="14" s="1"/>
  <c r="H227" i="14"/>
  <c r="P227" i="14" s="1"/>
  <c r="H228" i="14"/>
  <c r="P228" i="14" s="1"/>
  <c r="H229" i="14"/>
  <c r="P229" i="14" s="1"/>
  <c r="H230" i="14"/>
  <c r="P230" i="14" s="1"/>
  <c r="H231" i="14"/>
  <c r="P231" i="14" s="1"/>
  <c r="H232" i="14"/>
  <c r="P232" i="14" s="1"/>
  <c r="H233" i="14"/>
  <c r="P233" i="14" s="1"/>
  <c r="H234" i="14"/>
  <c r="P234" i="14" s="1"/>
  <c r="H235" i="14"/>
  <c r="P235" i="14" s="1"/>
  <c r="H236" i="14"/>
  <c r="P236" i="14" s="1"/>
  <c r="H237" i="14"/>
  <c r="P237" i="14" s="1"/>
  <c r="H238" i="14"/>
  <c r="P238" i="14" s="1"/>
  <c r="H239" i="14"/>
  <c r="P239" i="14" s="1"/>
  <c r="H240" i="14"/>
  <c r="P240" i="14" s="1"/>
  <c r="H241" i="14"/>
  <c r="P241" i="14" s="1"/>
  <c r="H242" i="14"/>
  <c r="P242" i="14" s="1"/>
  <c r="H243" i="14"/>
  <c r="P243" i="14" s="1"/>
  <c r="H244" i="14"/>
  <c r="P244" i="14" s="1"/>
  <c r="H245" i="14"/>
  <c r="P245" i="14" s="1"/>
  <c r="H246" i="14"/>
  <c r="P246" i="14" s="1"/>
  <c r="H247" i="14"/>
  <c r="P247" i="14" s="1"/>
  <c r="H248" i="14"/>
  <c r="P248" i="14" s="1"/>
  <c r="H249" i="14"/>
  <c r="P249" i="14" s="1"/>
  <c r="H250" i="14"/>
  <c r="P250" i="14" s="1"/>
  <c r="H251" i="14"/>
  <c r="P251" i="14" s="1"/>
  <c r="H252" i="14"/>
  <c r="P252" i="14" s="1"/>
  <c r="H253" i="14"/>
  <c r="P253" i="14" s="1"/>
  <c r="H254" i="14"/>
  <c r="P254" i="14" s="1"/>
  <c r="H255" i="14"/>
  <c r="P255" i="14" s="1"/>
  <c r="H256" i="14"/>
  <c r="P256" i="14" s="1"/>
  <c r="H257" i="14"/>
  <c r="P257" i="14" s="1"/>
  <c r="H258" i="14"/>
  <c r="P258" i="14" s="1"/>
  <c r="H259" i="14"/>
  <c r="P259" i="14" s="1"/>
  <c r="H260" i="14"/>
  <c r="P260" i="14" s="1"/>
  <c r="H261" i="14"/>
  <c r="P261" i="14" s="1"/>
  <c r="H262" i="14"/>
  <c r="P262" i="14" s="1"/>
  <c r="H263" i="14"/>
  <c r="P263" i="14" s="1"/>
  <c r="H264" i="14"/>
  <c r="P264" i="14" s="1"/>
  <c r="H265" i="14"/>
  <c r="P265" i="14" s="1"/>
  <c r="H266" i="14"/>
  <c r="P266" i="14" s="1"/>
  <c r="H267" i="14"/>
  <c r="P267" i="14" s="1"/>
  <c r="H268" i="14"/>
  <c r="P268" i="14" s="1"/>
  <c r="H269" i="14"/>
  <c r="P269" i="14" s="1"/>
  <c r="H270" i="14"/>
  <c r="P270" i="14" s="1"/>
  <c r="H271" i="14"/>
  <c r="P271" i="14" s="1"/>
  <c r="H272" i="14"/>
  <c r="P272" i="14" s="1"/>
  <c r="H273" i="14"/>
  <c r="P273" i="14" s="1"/>
  <c r="H274" i="14"/>
  <c r="P274" i="14" s="1"/>
  <c r="H275" i="14"/>
  <c r="P275" i="14" s="1"/>
  <c r="H276" i="14"/>
  <c r="P276" i="14" s="1"/>
  <c r="H277" i="14"/>
  <c r="P277" i="14" s="1"/>
  <c r="H278" i="14"/>
  <c r="P278" i="14" s="1"/>
  <c r="H279" i="14"/>
  <c r="P279" i="14" s="1"/>
  <c r="H280" i="14"/>
  <c r="P280" i="14" s="1"/>
  <c r="H281" i="14"/>
  <c r="P281" i="14" s="1"/>
  <c r="H282" i="14"/>
  <c r="P282" i="14" s="1"/>
  <c r="H283" i="14"/>
  <c r="P283" i="14" s="1"/>
  <c r="H284" i="14"/>
  <c r="P284" i="14" s="1"/>
  <c r="H285" i="14"/>
  <c r="P285" i="14" s="1"/>
  <c r="H286" i="14"/>
  <c r="P286" i="14" s="1"/>
  <c r="H287" i="14"/>
  <c r="P287" i="14" s="1"/>
  <c r="H288" i="14"/>
  <c r="P288" i="14" s="1"/>
  <c r="H289" i="14"/>
  <c r="P289" i="14" s="1"/>
  <c r="H290" i="14"/>
  <c r="P290" i="14" s="1"/>
  <c r="H291" i="14"/>
  <c r="P291" i="14" s="1"/>
  <c r="H292" i="14"/>
  <c r="P292" i="14" s="1"/>
  <c r="H293" i="14"/>
  <c r="P293" i="14" s="1"/>
  <c r="H294" i="14"/>
  <c r="P294" i="14" s="1"/>
  <c r="H295" i="14"/>
  <c r="P295" i="14" s="1"/>
  <c r="H296" i="14"/>
  <c r="P296" i="14" s="1"/>
  <c r="H297" i="14"/>
  <c r="P297" i="14" s="1"/>
  <c r="H298" i="14"/>
  <c r="P298" i="14" s="1"/>
  <c r="H299" i="14"/>
  <c r="P299" i="14" s="1"/>
  <c r="H300" i="14"/>
  <c r="P300" i="14" s="1"/>
  <c r="H301" i="14"/>
  <c r="P301" i="14" s="1"/>
  <c r="H302" i="14"/>
  <c r="P302" i="14" s="1"/>
  <c r="H303" i="14"/>
  <c r="P303" i="14" s="1"/>
  <c r="H304" i="14"/>
  <c r="P304" i="14" s="1"/>
  <c r="H305" i="14"/>
  <c r="P305" i="14" s="1"/>
  <c r="H306" i="14"/>
  <c r="P306" i="14" s="1"/>
  <c r="H307" i="14"/>
  <c r="P307" i="14" s="1"/>
  <c r="H308" i="14"/>
  <c r="P308" i="14" s="1"/>
  <c r="H309" i="14"/>
  <c r="P309" i="14" s="1"/>
  <c r="H310" i="14"/>
  <c r="P310" i="14" s="1"/>
  <c r="H311" i="14"/>
  <c r="P311" i="14" s="1"/>
  <c r="H312" i="14"/>
  <c r="P312" i="14" s="1"/>
  <c r="H313" i="14"/>
  <c r="P313" i="14" s="1"/>
  <c r="H314" i="14"/>
  <c r="P314" i="14" s="1"/>
  <c r="H315" i="14"/>
  <c r="P315" i="14" s="1"/>
  <c r="H316" i="14"/>
  <c r="P316" i="14" s="1"/>
  <c r="H317" i="14"/>
  <c r="P317" i="14" s="1"/>
  <c r="H318" i="14"/>
  <c r="P318" i="14" s="1"/>
  <c r="H319" i="14"/>
  <c r="P319" i="14" s="1"/>
  <c r="H320" i="14"/>
  <c r="P320" i="14" s="1"/>
  <c r="H321" i="14"/>
  <c r="P321" i="14" s="1"/>
  <c r="H322" i="14"/>
  <c r="P322" i="14" s="1"/>
  <c r="H323" i="14"/>
  <c r="P323" i="14" s="1"/>
  <c r="H324" i="14"/>
  <c r="P324" i="14" s="1"/>
  <c r="H325" i="14"/>
  <c r="P325" i="14" s="1"/>
  <c r="H326" i="14"/>
  <c r="P326" i="14" s="1"/>
  <c r="H327" i="14"/>
  <c r="P327" i="14" s="1"/>
  <c r="H328" i="14"/>
  <c r="P328" i="14" s="1"/>
  <c r="H329" i="14"/>
  <c r="P329" i="14" s="1"/>
  <c r="H330" i="14"/>
  <c r="P330" i="14" s="1"/>
  <c r="H331" i="14"/>
  <c r="P331" i="14" s="1"/>
  <c r="H332" i="14"/>
  <c r="P332" i="14" s="1"/>
  <c r="H333" i="14"/>
  <c r="P333" i="14" s="1"/>
  <c r="H334" i="14"/>
  <c r="P334" i="14" s="1"/>
  <c r="H335" i="14"/>
  <c r="P335" i="14" s="1"/>
  <c r="H336" i="14"/>
  <c r="P336" i="14" s="1"/>
  <c r="H337" i="14"/>
  <c r="P337" i="14" s="1"/>
  <c r="H338" i="14"/>
  <c r="P338" i="14" s="1"/>
  <c r="H339" i="14"/>
  <c r="P339" i="14" s="1"/>
  <c r="H340" i="14"/>
  <c r="P340" i="14" s="1"/>
  <c r="H341" i="14"/>
  <c r="P341" i="14" s="1"/>
  <c r="H342" i="14"/>
  <c r="P342" i="14" s="1"/>
  <c r="H343" i="14"/>
  <c r="P343" i="14" s="1"/>
  <c r="H344" i="14"/>
  <c r="P344" i="14" s="1"/>
  <c r="H345" i="14"/>
  <c r="P345" i="14" s="1"/>
  <c r="H346" i="14"/>
  <c r="P346" i="14" s="1"/>
  <c r="H347" i="14"/>
  <c r="P347" i="14" s="1"/>
  <c r="H348" i="14"/>
  <c r="P348" i="14" s="1"/>
  <c r="H349" i="14"/>
  <c r="P349" i="14" s="1"/>
  <c r="H350" i="14"/>
  <c r="P350" i="14" s="1"/>
  <c r="H351" i="14"/>
  <c r="P351" i="14" s="1"/>
  <c r="H352" i="14"/>
  <c r="P352" i="14" s="1"/>
  <c r="H353" i="14"/>
  <c r="P353" i="14" s="1"/>
  <c r="H354" i="14"/>
  <c r="P354" i="14" s="1"/>
  <c r="H355" i="14"/>
  <c r="P355" i="14" s="1"/>
  <c r="H356" i="14"/>
  <c r="P356" i="14" s="1"/>
  <c r="H357" i="14"/>
  <c r="P357" i="14" s="1"/>
  <c r="H358" i="14"/>
  <c r="P358" i="14" s="1"/>
  <c r="H359" i="14"/>
  <c r="P359" i="14" s="1"/>
  <c r="H360" i="14"/>
  <c r="P360" i="14" s="1"/>
  <c r="H361" i="14"/>
  <c r="P361" i="14" s="1"/>
  <c r="H362" i="14"/>
  <c r="P362" i="14" s="1"/>
  <c r="H363" i="14"/>
  <c r="P363" i="14" s="1"/>
  <c r="H364" i="14"/>
  <c r="P364" i="14" s="1"/>
  <c r="H365" i="14"/>
  <c r="P365" i="14" s="1"/>
  <c r="H366" i="14"/>
  <c r="P366" i="14" s="1"/>
  <c r="H367" i="14"/>
  <c r="P367" i="14" s="1"/>
  <c r="H368" i="14"/>
  <c r="P368" i="14" s="1"/>
  <c r="H369" i="14"/>
  <c r="P369" i="14" s="1"/>
  <c r="H370" i="14"/>
  <c r="P370" i="14" s="1"/>
  <c r="H371" i="14"/>
  <c r="P371" i="14" s="1"/>
  <c r="H372" i="14"/>
  <c r="P372" i="14" s="1"/>
  <c r="H373" i="14"/>
  <c r="P373" i="14" s="1"/>
  <c r="H374" i="14"/>
  <c r="P374" i="14" s="1"/>
  <c r="H375" i="14"/>
  <c r="P375" i="14" s="1"/>
  <c r="H376" i="14"/>
  <c r="P376" i="14" s="1"/>
  <c r="H377" i="14"/>
  <c r="P377" i="14" s="1"/>
  <c r="H378" i="14"/>
  <c r="P378" i="14" s="1"/>
  <c r="H379" i="14"/>
  <c r="P379" i="14" s="1"/>
  <c r="H380" i="14"/>
  <c r="P380" i="14" s="1"/>
  <c r="H381" i="14"/>
  <c r="P381" i="14" s="1"/>
  <c r="H382" i="14"/>
  <c r="P382" i="14" s="1"/>
  <c r="H383" i="14"/>
  <c r="P383" i="14" s="1"/>
  <c r="H384" i="14"/>
  <c r="P384" i="14" s="1"/>
  <c r="H385" i="14"/>
  <c r="P385" i="14" s="1"/>
  <c r="H386" i="14"/>
  <c r="P386" i="14" s="1"/>
  <c r="H387" i="14"/>
  <c r="P387" i="14" s="1"/>
  <c r="H388" i="14"/>
  <c r="P388" i="14" s="1"/>
  <c r="H389" i="14"/>
  <c r="P389" i="14" s="1"/>
  <c r="H390" i="14"/>
  <c r="P390" i="14" s="1"/>
  <c r="H391" i="14"/>
  <c r="P391" i="14" s="1"/>
  <c r="H392" i="14"/>
  <c r="P392" i="14" s="1"/>
  <c r="H393" i="14"/>
  <c r="P393" i="14" s="1"/>
  <c r="H394" i="14"/>
  <c r="P394" i="14" s="1"/>
  <c r="H395" i="14"/>
  <c r="P395" i="14" s="1"/>
  <c r="H396" i="14"/>
  <c r="P396" i="14" s="1"/>
  <c r="H397" i="14"/>
  <c r="P397" i="14" s="1"/>
  <c r="H398" i="14"/>
  <c r="P398" i="14" s="1"/>
  <c r="H399" i="14"/>
  <c r="P399" i="14" s="1"/>
  <c r="H400" i="14"/>
  <c r="P400" i="14" s="1"/>
  <c r="H401" i="14"/>
  <c r="P401" i="14" s="1"/>
  <c r="H402" i="14"/>
  <c r="P402" i="14" s="1"/>
  <c r="H403" i="14"/>
  <c r="P403" i="14" s="1"/>
  <c r="H404" i="14"/>
  <c r="P404" i="14" s="1"/>
  <c r="H405" i="14"/>
  <c r="P405" i="14" s="1"/>
  <c r="H406" i="14"/>
  <c r="P406" i="14" s="1"/>
  <c r="H407" i="14"/>
  <c r="P407" i="14" s="1"/>
  <c r="H408" i="14"/>
  <c r="P408" i="14" s="1"/>
  <c r="H409" i="14"/>
  <c r="P409" i="14" s="1"/>
  <c r="H410" i="14"/>
  <c r="P410" i="14" s="1"/>
  <c r="H411" i="14"/>
  <c r="P411" i="14" s="1"/>
  <c r="H412" i="14"/>
  <c r="P412" i="14" s="1"/>
  <c r="H413" i="14"/>
  <c r="P413" i="14" s="1"/>
  <c r="H414" i="14"/>
  <c r="P414" i="14" s="1"/>
  <c r="H415" i="14"/>
  <c r="P415" i="14" s="1"/>
  <c r="H416" i="14"/>
  <c r="P416" i="14" s="1"/>
  <c r="H3" i="14"/>
  <c r="P3" i="14" s="1"/>
  <c r="R3" i="14" s="1"/>
  <c r="G4" i="14"/>
  <c r="G5" i="14"/>
  <c r="G6" i="14"/>
  <c r="G7" i="14"/>
  <c r="G8" i="14"/>
  <c r="G9" i="14"/>
  <c r="G10" i="14"/>
  <c r="G11" i="14"/>
  <c r="G12" i="14"/>
  <c r="G13" i="14"/>
  <c r="G14" i="14"/>
  <c r="G15" i="14"/>
  <c r="G16" i="14"/>
  <c r="G17" i="14"/>
  <c r="G18" i="14"/>
  <c r="G19" i="14"/>
  <c r="G20" i="14"/>
  <c r="G21" i="14"/>
  <c r="G22" i="14"/>
  <c r="G23" i="14"/>
  <c r="G24" i="14"/>
  <c r="G25" i="14"/>
  <c r="G26" i="14"/>
  <c r="G27" i="14"/>
  <c r="G28" i="14"/>
  <c r="G29" i="14"/>
  <c r="G30" i="14"/>
  <c r="G31" i="14"/>
  <c r="G32" i="14"/>
  <c r="G33" i="14"/>
  <c r="G34" i="14"/>
  <c r="G35" i="14"/>
  <c r="G36" i="14"/>
  <c r="G37" i="14"/>
  <c r="G38" i="14"/>
  <c r="G39" i="14"/>
  <c r="G40" i="14"/>
  <c r="G41" i="14"/>
  <c r="G42" i="14"/>
  <c r="G43" i="14"/>
  <c r="G44" i="14"/>
  <c r="G45" i="14"/>
  <c r="G46" i="14"/>
  <c r="G47" i="14"/>
  <c r="G48" i="14"/>
  <c r="G49" i="14"/>
  <c r="G50" i="14"/>
  <c r="G51" i="14"/>
  <c r="G52" i="14"/>
  <c r="G53" i="14"/>
  <c r="G54" i="14"/>
  <c r="G55" i="14"/>
  <c r="G56" i="14"/>
  <c r="G57" i="14"/>
  <c r="G58" i="14"/>
  <c r="G59" i="14"/>
  <c r="G60" i="14"/>
  <c r="G61" i="14"/>
  <c r="G62" i="14"/>
  <c r="G63" i="14"/>
  <c r="G64" i="14"/>
  <c r="G65" i="14"/>
  <c r="G66" i="14"/>
  <c r="G67" i="14"/>
  <c r="G68" i="14"/>
  <c r="G69" i="14"/>
  <c r="G70" i="14"/>
  <c r="G71" i="14"/>
  <c r="G72" i="14"/>
  <c r="G73" i="14"/>
  <c r="G74" i="14"/>
  <c r="G75" i="14"/>
  <c r="G76" i="14"/>
  <c r="G77" i="14"/>
  <c r="G78" i="14"/>
  <c r="G79" i="14"/>
  <c r="G80" i="14"/>
  <c r="G81" i="14"/>
  <c r="G82" i="14"/>
  <c r="G83" i="14"/>
  <c r="G84" i="14"/>
  <c r="G85" i="14"/>
  <c r="G86" i="14"/>
  <c r="G87" i="14"/>
  <c r="G88" i="14"/>
  <c r="G89" i="14"/>
  <c r="G90" i="14"/>
  <c r="G91" i="14"/>
  <c r="G92" i="14"/>
  <c r="G93" i="14"/>
  <c r="G94" i="14"/>
  <c r="G95" i="14"/>
  <c r="G96" i="14"/>
  <c r="G97" i="14"/>
  <c r="G98" i="14"/>
  <c r="G99" i="14"/>
  <c r="G100" i="14"/>
  <c r="G101" i="14"/>
  <c r="G102" i="14"/>
  <c r="G103" i="14"/>
  <c r="G104" i="14"/>
  <c r="G105" i="14"/>
  <c r="G106" i="14"/>
  <c r="G107" i="14"/>
  <c r="G108" i="14"/>
  <c r="G109" i="14"/>
  <c r="G110" i="14"/>
  <c r="G111" i="14"/>
  <c r="G112" i="14"/>
  <c r="G113" i="14"/>
  <c r="G114" i="14"/>
  <c r="G115" i="14"/>
  <c r="G116" i="14"/>
  <c r="G117" i="14"/>
  <c r="G118" i="14"/>
  <c r="G119" i="14"/>
  <c r="G120" i="14"/>
  <c r="G121" i="14"/>
  <c r="G122" i="14"/>
  <c r="G123" i="14"/>
  <c r="G124" i="14"/>
  <c r="G125" i="14"/>
  <c r="G126" i="14"/>
  <c r="G127" i="14"/>
  <c r="G128" i="14"/>
  <c r="G129" i="14"/>
  <c r="G130" i="14"/>
  <c r="G131" i="14"/>
  <c r="G132" i="14"/>
  <c r="G133" i="14"/>
  <c r="G134" i="14"/>
  <c r="G135" i="14"/>
  <c r="G136" i="14"/>
  <c r="G137" i="14"/>
  <c r="G138" i="14"/>
  <c r="G139" i="14"/>
  <c r="G140" i="14"/>
  <c r="G141" i="14"/>
  <c r="G142" i="14"/>
  <c r="G143" i="14"/>
  <c r="G144" i="14"/>
  <c r="G145" i="14"/>
  <c r="G146" i="14"/>
  <c r="G147" i="14"/>
  <c r="G148" i="14"/>
  <c r="G149" i="14"/>
  <c r="G150" i="14"/>
  <c r="G151" i="14"/>
  <c r="G152" i="14"/>
  <c r="G153" i="14"/>
  <c r="G154" i="14"/>
  <c r="G155" i="14"/>
  <c r="G156" i="14"/>
  <c r="G157" i="14"/>
  <c r="G158" i="14"/>
  <c r="G159" i="14"/>
  <c r="G160" i="14"/>
  <c r="G161" i="14"/>
  <c r="G162" i="14"/>
  <c r="G163" i="14"/>
  <c r="G164" i="14"/>
  <c r="G165" i="14"/>
  <c r="G166" i="14"/>
  <c r="G167" i="14"/>
  <c r="G168" i="14"/>
  <c r="G169" i="14"/>
  <c r="G170" i="14"/>
  <c r="G171" i="14"/>
  <c r="G172" i="14"/>
  <c r="G173" i="14"/>
  <c r="G174" i="14"/>
  <c r="G175" i="14"/>
  <c r="G176" i="14"/>
  <c r="G177" i="14"/>
  <c r="G178" i="14"/>
  <c r="G179" i="14"/>
  <c r="G180" i="14"/>
  <c r="G181" i="14"/>
  <c r="G182" i="14"/>
  <c r="G183" i="14"/>
  <c r="G184" i="14"/>
  <c r="G185" i="14"/>
  <c r="G186" i="14"/>
  <c r="G187" i="14"/>
  <c r="G188" i="14"/>
  <c r="G189" i="14"/>
  <c r="G190" i="14"/>
  <c r="G191" i="14"/>
  <c r="G192" i="14"/>
  <c r="G193" i="14"/>
  <c r="G194" i="14"/>
  <c r="G195" i="14"/>
  <c r="G196" i="14"/>
  <c r="G197" i="14"/>
  <c r="G198" i="14"/>
  <c r="G199" i="14"/>
  <c r="G200" i="14"/>
  <c r="G201" i="14"/>
  <c r="G202" i="14"/>
  <c r="G203" i="14"/>
  <c r="G204" i="14"/>
  <c r="G205" i="14"/>
  <c r="G206" i="14"/>
  <c r="G207" i="14"/>
  <c r="G208" i="14"/>
  <c r="G209" i="14"/>
  <c r="G210" i="14"/>
  <c r="G211" i="14"/>
  <c r="G212" i="14"/>
  <c r="G213" i="14"/>
  <c r="G214" i="14"/>
  <c r="G215" i="14"/>
  <c r="G216" i="14"/>
  <c r="G217" i="14"/>
  <c r="G218" i="14"/>
  <c r="G219" i="14"/>
  <c r="G220" i="14"/>
  <c r="G221" i="14"/>
  <c r="G222" i="14"/>
  <c r="G223" i="14"/>
  <c r="G224" i="14"/>
  <c r="G225" i="14"/>
  <c r="G226" i="14"/>
  <c r="G227" i="14"/>
  <c r="G228" i="14"/>
  <c r="G229" i="14"/>
  <c r="G230" i="14"/>
  <c r="G231" i="14"/>
  <c r="G232" i="14"/>
  <c r="G233" i="14"/>
  <c r="G234" i="14"/>
  <c r="G235" i="14"/>
  <c r="G236" i="14"/>
  <c r="G237" i="14"/>
  <c r="G238" i="14"/>
  <c r="G239" i="14"/>
  <c r="G240" i="14"/>
  <c r="G241" i="14"/>
  <c r="G242" i="14"/>
  <c r="G243" i="14"/>
  <c r="G244" i="14"/>
  <c r="G245" i="14"/>
  <c r="G246" i="14"/>
  <c r="G247" i="14"/>
  <c r="G248" i="14"/>
  <c r="G249" i="14"/>
  <c r="G250" i="14"/>
  <c r="G251" i="14"/>
  <c r="G252" i="14"/>
  <c r="G253" i="14"/>
  <c r="G254" i="14"/>
  <c r="G255" i="14"/>
  <c r="G256" i="14"/>
  <c r="G257" i="14"/>
  <c r="G258" i="14"/>
  <c r="G259" i="14"/>
  <c r="G260" i="14"/>
  <c r="G261" i="14"/>
  <c r="G262" i="14"/>
  <c r="G263" i="14"/>
  <c r="G264" i="14"/>
  <c r="G265" i="14"/>
  <c r="G266" i="14"/>
  <c r="G267" i="14"/>
  <c r="G268" i="14"/>
  <c r="G269" i="14"/>
  <c r="G270" i="14"/>
  <c r="G271" i="14"/>
  <c r="G272" i="14"/>
  <c r="G273" i="14"/>
  <c r="G274" i="14"/>
  <c r="G275" i="14"/>
  <c r="G276" i="14"/>
  <c r="G277" i="14"/>
  <c r="G278" i="14"/>
  <c r="G279" i="14"/>
  <c r="G280" i="14"/>
  <c r="G281" i="14"/>
  <c r="G282" i="14"/>
  <c r="G283" i="14"/>
  <c r="G284" i="14"/>
  <c r="G285" i="14"/>
  <c r="G286" i="14"/>
  <c r="G287" i="14"/>
  <c r="G288" i="14"/>
  <c r="G289" i="14"/>
  <c r="G290" i="14"/>
  <c r="G291" i="14"/>
  <c r="G292" i="14"/>
  <c r="G293" i="14"/>
  <c r="G294" i="14"/>
  <c r="G295" i="14"/>
  <c r="G296" i="14"/>
  <c r="G297" i="14"/>
  <c r="G298" i="14"/>
  <c r="G299" i="14"/>
  <c r="G300" i="14"/>
  <c r="G301" i="14"/>
  <c r="G302" i="14"/>
  <c r="G303" i="14"/>
  <c r="G304" i="14"/>
  <c r="G305" i="14"/>
  <c r="G306" i="14"/>
  <c r="G307" i="14"/>
  <c r="G308" i="14"/>
  <c r="G309" i="14"/>
  <c r="G310" i="14"/>
  <c r="G311" i="14"/>
  <c r="G312" i="14"/>
  <c r="G313" i="14"/>
  <c r="G314" i="14"/>
  <c r="G315" i="14"/>
  <c r="G316" i="14"/>
  <c r="G317" i="14"/>
  <c r="G318" i="14"/>
  <c r="G319" i="14"/>
  <c r="G320" i="14"/>
  <c r="G321" i="14"/>
  <c r="G322" i="14"/>
  <c r="G323" i="14"/>
  <c r="G324" i="14"/>
  <c r="G325" i="14"/>
  <c r="G326" i="14"/>
  <c r="G327" i="14"/>
  <c r="G328" i="14"/>
  <c r="G329" i="14"/>
  <c r="G330" i="14"/>
  <c r="G331" i="14"/>
  <c r="G332" i="14"/>
  <c r="G333" i="14"/>
  <c r="G334" i="14"/>
  <c r="G335" i="14"/>
  <c r="G336" i="14"/>
  <c r="G337" i="14"/>
  <c r="G338" i="14"/>
  <c r="G339" i="14"/>
  <c r="G340" i="14"/>
  <c r="G341" i="14"/>
  <c r="G342" i="14"/>
  <c r="G343" i="14"/>
  <c r="G344" i="14"/>
  <c r="G345" i="14"/>
  <c r="G346" i="14"/>
  <c r="G347" i="14"/>
  <c r="G348" i="14"/>
  <c r="G349" i="14"/>
  <c r="G350" i="14"/>
  <c r="G351" i="14"/>
  <c r="G352" i="14"/>
  <c r="G353" i="14"/>
  <c r="G354" i="14"/>
  <c r="G355" i="14"/>
  <c r="G356" i="14"/>
  <c r="G357" i="14"/>
  <c r="G358" i="14"/>
  <c r="G359" i="14"/>
  <c r="G360" i="14"/>
  <c r="G361" i="14"/>
  <c r="G362" i="14"/>
  <c r="G363" i="14"/>
  <c r="G364" i="14"/>
  <c r="G365" i="14"/>
  <c r="G366" i="14"/>
  <c r="G367" i="14"/>
  <c r="G368" i="14"/>
  <c r="G369" i="14"/>
  <c r="G370" i="14"/>
  <c r="G371" i="14"/>
  <c r="G372" i="14"/>
  <c r="G373" i="14"/>
  <c r="G374" i="14"/>
  <c r="G375" i="14"/>
  <c r="G376" i="14"/>
  <c r="G377" i="14"/>
  <c r="G378" i="14"/>
  <c r="G379" i="14"/>
  <c r="G380" i="14"/>
  <c r="G381" i="14"/>
  <c r="G382" i="14"/>
  <c r="G383" i="14"/>
  <c r="G384" i="14"/>
  <c r="G385" i="14"/>
  <c r="G386" i="14"/>
  <c r="G387" i="14"/>
  <c r="G388" i="14"/>
  <c r="G389" i="14"/>
  <c r="G390" i="14"/>
  <c r="G391" i="14"/>
  <c r="G392" i="14"/>
  <c r="G393" i="14"/>
  <c r="G394" i="14"/>
  <c r="G395" i="14"/>
  <c r="G396" i="14"/>
  <c r="G397" i="14"/>
  <c r="G398" i="14"/>
  <c r="G399" i="14"/>
  <c r="G400" i="14"/>
  <c r="G401" i="14"/>
  <c r="G402" i="14"/>
  <c r="G403" i="14"/>
  <c r="G404" i="14"/>
  <c r="G405" i="14"/>
  <c r="G406" i="14"/>
  <c r="G407" i="14"/>
  <c r="G408" i="14"/>
  <c r="G409" i="14"/>
  <c r="G410" i="14"/>
  <c r="G411" i="14"/>
  <c r="G412" i="14"/>
  <c r="G413" i="14"/>
  <c r="G414" i="14"/>
  <c r="G415" i="14"/>
  <c r="G416" i="14"/>
  <c r="G3" i="14"/>
  <c r="F4" i="14"/>
  <c r="F5" i="14"/>
  <c r="F6" i="14"/>
  <c r="F7" i="14"/>
  <c r="F8" i="14"/>
  <c r="F9" i="14"/>
  <c r="F10" i="14"/>
  <c r="F11" i="14"/>
  <c r="F12" i="14"/>
  <c r="F13" i="14"/>
  <c r="F14" i="14"/>
  <c r="F15" i="14"/>
  <c r="F16" i="14"/>
  <c r="F17" i="14"/>
  <c r="F18" i="14"/>
  <c r="F19" i="14"/>
  <c r="F20" i="14"/>
  <c r="F21" i="14"/>
  <c r="F22" i="14"/>
  <c r="F23" i="14"/>
  <c r="F24" i="14"/>
  <c r="F25" i="14"/>
  <c r="F26" i="14"/>
  <c r="F27" i="14"/>
  <c r="F28" i="14"/>
  <c r="F29" i="14"/>
  <c r="F30" i="14"/>
  <c r="F31" i="14"/>
  <c r="F32" i="14"/>
  <c r="F33" i="14"/>
  <c r="F34" i="14"/>
  <c r="F35" i="14"/>
  <c r="F36" i="14"/>
  <c r="F37" i="14"/>
  <c r="F38" i="14"/>
  <c r="F39" i="14"/>
  <c r="F40" i="14"/>
  <c r="F41" i="14"/>
  <c r="F42" i="14"/>
  <c r="F43" i="14"/>
  <c r="F44" i="14"/>
  <c r="F45" i="14"/>
  <c r="F46" i="14"/>
  <c r="F47" i="14"/>
  <c r="F48" i="14"/>
  <c r="F49" i="14"/>
  <c r="F50" i="14"/>
  <c r="F51" i="14"/>
  <c r="F52" i="14"/>
  <c r="F53" i="14"/>
  <c r="F54" i="14"/>
  <c r="F55" i="14"/>
  <c r="F56" i="14"/>
  <c r="F57" i="14"/>
  <c r="F58" i="14"/>
  <c r="F59" i="14"/>
  <c r="F60" i="14"/>
  <c r="F61" i="14"/>
  <c r="F62" i="14"/>
  <c r="F63" i="14"/>
  <c r="F64" i="14"/>
  <c r="F65" i="14"/>
  <c r="F66" i="14"/>
  <c r="F67" i="14"/>
  <c r="F68" i="14"/>
  <c r="F69" i="14"/>
  <c r="F70" i="14"/>
  <c r="F71" i="14"/>
  <c r="F72" i="14"/>
  <c r="F73" i="14"/>
  <c r="F74" i="14"/>
  <c r="F75" i="14"/>
  <c r="F76" i="14"/>
  <c r="F77" i="14"/>
  <c r="F78" i="14"/>
  <c r="F79" i="14"/>
  <c r="F80" i="14"/>
  <c r="F81" i="14"/>
  <c r="F82" i="14"/>
  <c r="F83" i="14"/>
  <c r="F84" i="14"/>
  <c r="F85" i="14"/>
  <c r="F86" i="14"/>
  <c r="F87" i="14"/>
  <c r="F88" i="14"/>
  <c r="F89" i="14"/>
  <c r="F90" i="14"/>
  <c r="F91" i="14"/>
  <c r="F92" i="14"/>
  <c r="F93" i="14"/>
  <c r="F94" i="14"/>
  <c r="F95" i="14"/>
  <c r="F96" i="14"/>
  <c r="F97" i="14"/>
  <c r="F98" i="14"/>
  <c r="F99" i="14"/>
  <c r="F100" i="14"/>
  <c r="F101" i="14"/>
  <c r="F102" i="14"/>
  <c r="F103" i="14"/>
  <c r="F104" i="14"/>
  <c r="F105" i="14"/>
  <c r="F106" i="14"/>
  <c r="F107" i="14"/>
  <c r="F108" i="14"/>
  <c r="F109" i="14"/>
  <c r="F110" i="14"/>
  <c r="F111" i="14"/>
  <c r="F112" i="14"/>
  <c r="F113" i="14"/>
  <c r="F114" i="14"/>
  <c r="F115" i="14"/>
  <c r="F116" i="14"/>
  <c r="F117" i="14"/>
  <c r="F118" i="14"/>
  <c r="F119" i="14"/>
  <c r="F120" i="14"/>
  <c r="F121" i="14"/>
  <c r="F122" i="14"/>
  <c r="F123" i="14"/>
  <c r="F124" i="14"/>
  <c r="F125" i="14"/>
  <c r="F126" i="14"/>
  <c r="F127" i="14"/>
  <c r="F128" i="14"/>
  <c r="F129" i="14"/>
  <c r="F130" i="14"/>
  <c r="F131" i="14"/>
  <c r="F132" i="14"/>
  <c r="F133" i="14"/>
  <c r="F134" i="14"/>
  <c r="F135" i="14"/>
  <c r="F136" i="14"/>
  <c r="F137" i="14"/>
  <c r="F138" i="14"/>
  <c r="F139" i="14"/>
  <c r="F140" i="14"/>
  <c r="F141" i="14"/>
  <c r="F142" i="14"/>
  <c r="F143" i="14"/>
  <c r="F144" i="14"/>
  <c r="F145" i="14"/>
  <c r="F146" i="14"/>
  <c r="F147" i="14"/>
  <c r="F148" i="14"/>
  <c r="F149" i="14"/>
  <c r="F150" i="14"/>
  <c r="F151" i="14"/>
  <c r="F152" i="14"/>
  <c r="F153" i="14"/>
  <c r="F154" i="14"/>
  <c r="F155" i="14"/>
  <c r="F156" i="14"/>
  <c r="F157" i="14"/>
  <c r="F158" i="14"/>
  <c r="F159" i="14"/>
  <c r="F160" i="14"/>
  <c r="F161" i="14"/>
  <c r="F162" i="14"/>
  <c r="F163" i="14"/>
  <c r="F164" i="14"/>
  <c r="F165" i="14"/>
  <c r="F166" i="14"/>
  <c r="F167" i="14"/>
  <c r="F168" i="14"/>
  <c r="F169" i="14"/>
  <c r="F170" i="14"/>
  <c r="F171" i="14"/>
  <c r="F172" i="14"/>
  <c r="F173" i="14"/>
  <c r="F174" i="14"/>
  <c r="F175" i="14"/>
  <c r="F176" i="14"/>
  <c r="F177" i="14"/>
  <c r="F178" i="14"/>
  <c r="F179" i="14"/>
  <c r="F180" i="14"/>
  <c r="F181" i="14"/>
  <c r="F182" i="14"/>
  <c r="F183" i="14"/>
  <c r="F184" i="14"/>
  <c r="F185" i="14"/>
  <c r="F186" i="14"/>
  <c r="F187" i="14"/>
  <c r="F188" i="14"/>
  <c r="F189" i="14"/>
  <c r="F190" i="14"/>
  <c r="F191" i="14"/>
  <c r="F192" i="14"/>
  <c r="F193" i="14"/>
  <c r="F194" i="14"/>
  <c r="F195" i="14"/>
  <c r="F196" i="14"/>
  <c r="F197" i="14"/>
  <c r="F198" i="14"/>
  <c r="F199" i="14"/>
  <c r="F200" i="14"/>
  <c r="F201" i="14"/>
  <c r="F202" i="14"/>
  <c r="F203" i="14"/>
  <c r="F204" i="14"/>
  <c r="F205" i="14"/>
  <c r="F206" i="14"/>
  <c r="F207" i="14"/>
  <c r="F208" i="14"/>
  <c r="F209" i="14"/>
  <c r="F210" i="14"/>
  <c r="F211" i="14"/>
  <c r="F212" i="14"/>
  <c r="F213" i="14"/>
  <c r="F214" i="14"/>
  <c r="F215" i="14"/>
  <c r="F216" i="14"/>
  <c r="F217" i="14"/>
  <c r="F218" i="14"/>
  <c r="F219" i="14"/>
  <c r="F220" i="14"/>
  <c r="F221" i="14"/>
  <c r="F222" i="14"/>
  <c r="F223" i="14"/>
  <c r="F224" i="14"/>
  <c r="F225" i="14"/>
  <c r="F226" i="14"/>
  <c r="F227" i="14"/>
  <c r="F228" i="14"/>
  <c r="F229" i="14"/>
  <c r="F230" i="14"/>
  <c r="F231" i="14"/>
  <c r="F232" i="14"/>
  <c r="F233" i="14"/>
  <c r="F234" i="14"/>
  <c r="F235" i="14"/>
  <c r="F236" i="14"/>
  <c r="F237" i="14"/>
  <c r="F238" i="14"/>
  <c r="F239" i="14"/>
  <c r="F240" i="14"/>
  <c r="F241" i="14"/>
  <c r="F242" i="14"/>
  <c r="F243" i="14"/>
  <c r="F244" i="14"/>
  <c r="F245" i="14"/>
  <c r="F246" i="14"/>
  <c r="F247" i="14"/>
  <c r="F248" i="14"/>
  <c r="F249" i="14"/>
  <c r="F250" i="14"/>
  <c r="F251" i="14"/>
  <c r="F252" i="14"/>
  <c r="F253" i="14"/>
  <c r="F254" i="14"/>
  <c r="F255" i="14"/>
  <c r="F256" i="14"/>
  <c r="F257" i="14"/>
  <c r="F258" i="14"/>
  <c r="F259" i="14"/>
  <c r="F260" i="14"/>
  <c r="F261" i="14"/>
  <c r="F262" i="14"/>
  <c r="F263" i="14"/>
  <c r="F264" i="14"/>
  <c r="F265" i="14"/>
  <c r="F266" i="14"/>
  <c r="F267" i="14"/>
  <c r="F268" i="14"/>
  <c r="F269" i="14"/>
  <c r="F270" i="14"/>
  <c r="F271" i="14"/>
  <c r="F272" i="14"/>
  <c r="F273" i="14"/>
  <c r="F274" i="14"/>
  <c r="F275" i="14"/>
  <c r="F276" i="14"/>
  <c r="F277" i="14"/>
  <c r="F278" i="14"/>
  <c r="F279" i="14"/>
  <c r="F280" i="14"/>
  <c r="F281" i="14"/>
  <c r="F282" i="14"/>
  <c r="F283" i="14"/>
  <c r="F284" i="14"/>
  <c r="F285" i="14"/>
  <c r="F286" i="14"/>
  <c r="F287" i="14"/>
  <c r="F288" i="14"/>
  <c r="F289" i="14"/>
  <c r="F290" i="14"/>
  <c r="F291" i="14"/>
  <c r="F292" i="14"/>
  <c r="F293" i="14"/>
  <c r="F294" i="14"/>
  <c r="F295" i="14"/>
  <c r="F296" i="14"/>
  <c r="F297" i="14"/>
  <c r="F298" i="14"/>
  <c r="F299" i="14"/>
  <c r="F300" i="14"/>
  <c r="F301" i="14"/>
  <c r="F302" i="14"/>
  <c r="F303" i="14"/>
  <c r="F304" i="14"/>
  <c r="F305" i="14"/>
  <c r="F306" i="14"/>
  <c r="F307" i="14"/>
  <c r="F308" i="14"/>
  <c r="F309" i="14"/>
  <c r="F310" i="14"/>
  <c r="F311" i="14"/>
  <c r="F312" i="14"/>
  <c r="F313" i="14"/>
  <c r="F314" i="14"/>
  <c r="F315" i="14"/>
  <c r="F316" i="14"/>
  <c r="F317" i="14"/>
  <c r="F318" i="14"/>
  <c r="F319" i="14"/>
  <c r="F320" i="14"/>
  <c r="F321" i="14"/>
  <c r="F322" i="14"/>
  <c r="F323" i="14"/>
  <c r="F324" i="14"/>
  <c r="F325" i="14"/>
  <c r="F326" i="14"/>
  <c r="F327" i="14"/>
  <c r="F328" i="14"/>
  <c r="F329" i="14"/>
  <c r="F330" i="14"/>
  <c r="F331" i="14"/>
  <c r="F332" i="14"/>
  <c r="F333" i="14"/>
  <c r="F334" i="14"/>
  <c r="F335" i="14"/>
  <c r="F336" i="14"/>
  <c r="F337" i="14"/>
  <c r="F338" i="14"/>
  <c r="F339" i="14"/>
  <c r="F340" i="14"/>
  <c r="F341" i="14"/>
  <c r="F342" i="14"/>
  <c r="F343" i="14"/>
  <c r="F344" i="14"/>
  <c r="F345" i="14"/>
  <c r="F346" i="14"/>
  <c r="F347" i="14"/>
  <c r="F348" i="14"/>
  <c r="F349" i="14"/>
  <c r="F350" i="14"/>
  <c r="F351" i="14"/>
  <c r="F352" i="14"/>
  <c r="F353" i="14"/>
  <c r="F354" i="14"/>
  <c r="F355" i="14"/>
  <c r="F356" i="14"/>
  <c r="F357" i="14"/>
  <c r="F358" i="14"/>
  <c r="F359" i="14"/>
  <c r="F360" i="14"/>
  <c r="F361" i="14"/>
  <c r="F362" i="14"/>
  <c r="F363" i="14"/>
  <c r="F364" i="14"/>
  <c r="F365" i="14"/>
  <c r="F366" i="14"/>
  <c r="F367" i="14"/>
  <c r="F368" i="14"/>
  <c r="F369" i="14"/>
  <c r="F370" i="14"/>
  <c r="F371" i="14"/>
  <c r="F372" i="14"/>
  <c r="F373" i="14"/>
  <c r="F374" i="14"/>
  <c r="F375" i="14"/>
  <c r="F376" i="14"/>
  <c r="F377" i="14"/>
  <c r="F378" i="14"/>
  <c r="F379" i="14"/>
  <c r="F380" i="14"/>
  <c r="F381" i="14"/>
  <c r="F382" i="14"/>
  <c r="F383" i="14"/>
  <c r="F384" i="14"/>
  <c r="F385" i="14"/>
  <c r="F386" i="14"/>
  <c r="F387" i="14"/>
  <c r="F388" i="14"/>
  <c r="F389" i="14"/>
  <c r="F390" i="14"/>
  <c r="F391" i="14"/>
  <c r="F392" i="14"/>
  <c r="F393" i="14"/>
  <c r="F394" i="14"/>
  <c r="F395" i="14"/>
  <c r="F396" i="14"/>
  <c r="F397" i="14"/>
  <c r="F398" i="14"/>
  <c r="F399" i="14"/>
  <c r="F400" i="14"/>
  <c r="F401" i="14"/>
  <c r="F402" i="14"/>
  <c r="F403" i="14"/>
  <c r="F404" i="14"/>
  <c r="F405" i="14"/>
  <c r="F406" i="14"/>
  <c r="F407" i="14"/>
  <c r="F408" i="14"/>
  <c r="F409" i="14"/>
  <c r="F410" i="14"/>
  <c r="F411" i="14"/>
  <c r="F412" i="14"/>
  <c r="F413" i="14"/>
  <c r="F414" i="14"/>
  <c r="F415" i="14"/>
  <c r="F416" i="14"/>
  <c r="F3" i="14"/>
  <c r="E4" i="14"/>
  <c r="E5" i="14"/>
  <c r="E6" i="14"/>
  <c r="E7" i="14"/>
  <c r="E8" i="14"/>
  <c r="E9" i="14"/>
  <c r="E10" i="14"/>
  <c r="E11" i="14"/>
  <c r="E12" i="14"/>
  <c r="E13" i="14"/>
  <c r="E14" i="14"/>
  <c r="E15" i="14"/>
  <c r="E16" i="14"/>
  <c r="E17" i="14"/>
  <c r="E18" i="14"/>
  <c r="E19" i="14"/>
  <c r="E20" i="14"/>
  <c r="E21" i="14"/>
  <c r="E22" i="14"/>
  <c r="E23" i="14"/>
  <c r="E24" i="14"/>
  <c r="E25" i="14"/>
  <c r="E26" i="14"/>
  <c r="E27" i="14"/>
  <c r="E28" i="14"/>
  <c r="E29" i="14"/>
  <c r="E30" i="14"/>
  <c r="E31" i="14"/>
  <c r="E32" i="14"/>
  <c r="E33" i="14"/>
  <c r="E34" i="14"/>
  <c r="E35" i="14"/>
  <c r="E36" i="14"/>
  <c r="E37" i="14"/>
  <c r="E38" i="14"/>
  <c r="E39" i="14"/>
  <c r="E40" i="14"/>
  <c r="E41" i="14"/>
  <c r="E42" i="14"/>
  <c r="E43" i="14"/>
  <c r="E44" i="14"/>
  <c r="E45" i="14"/>
  <c r="E46" i="14"/>
  <c r="E47" i="14"/>
  <c r="E48" i="14"/>
  <c r="E49" i="14"/>
  <c r="E50" i="14"/>
  <c r="E51" i="14"/>
  <c r="E52" i="14"/>
  <c r="E53" i="14"/>
  <c r="E54" i="14"/>
  <c r="E55" i="14"/>
  <c r="E56" i="14"/>
  <c r="E57" i="14"/>
  <c r="E58" i="14"/>
  <c r="E59" i="14"/>
  <c r="E60" i="14"/>
  <c r="E61" i="14"/>
  <c r="E62" i="14"/>
  <c r="E63" i="14"/>
  <c r="E64" i="14"/>
  <c r="E65" i="14"/>
  <c r="E66" i="14"/>
  <c r="E67" i="14"/>
  <c r="E68" i="14"/>
  <c r="E69" i="14"/>
  <c r="E70" i="14"/>
  <c r="E71" i="14"/>
  <c r="E72" i="14"/>
  <c r="E73" i="14"/>
  <c r="E74" i="14"/>
  <c r="E75" i="14"/>
  <c r="E76" i="14"/>
  <c r="E77" i="14"/>
  <c r="E78" i="14"/>
  <c r="E79" i="14"/>
  <c r="E80" i="14"/>
  <c r="E81" i="14"/>
  <c r="E82" i="14"/>
  <c r="E83" i="14"/>
  <c r="E84" i="14"/>
  <c r="E85" i="14"/>
  <c r="E86" i="14"/>
  <c r="E87" i="14"/>
  <c r="E88" i="14"/>
  <c r="E89" i="14"/>
  <c r="E90" i="14"/>
  <c r="E91" i="14"/>
  <c r="E92" i="14"/>
  <c r="E93" i="14"/>
  <c r="E94" i="14"/>
  <c r="E95" i="14"/>
  <c r="E96" i="14"/>
  <c r="E97" i="14"/>
  <c r="E98" i="14"/>
  <c r="E99" i="14"/>
  <c r="E100" i="14"/>
  <c r="E101" i="14"/>
  <c r="E102" i="14"/>
  <c r="E103" i="14"/>
  <c r="E104" i="14"/>
  <c r="E105" i="14"/>
  <c r="E106" i="14"/>
  <c r="E107" i="14"/>
  <c r="E108" i="14"/>
  <c r="E109" i="14"/>
  <c r="E110" i="14"/>
  <c r="E111" i="14"/>
  <c r="E112" i="14"/>
  <c r="E113" i="14"/>
  <c r="E114" i="14"/>
  <c r="E115" i="14"/>
  <c r="E116" i="14"/>
  <c r="E117" i="14"/>
  <c r="E118" i="14"/>
  <c r="E119" i="14"/>
  <c r="E120" i="14"/>
  <c r="E121" i="14"/>
  <c r="E122" i="14"/>
  <c r="E123" i="14"/>
  <c r="E124" i="14"/>
  <c r="E125" i="14"/>
  <c r="E126" i="14"/>
  <c r="E127" i="14"/>
  <c r="E128" i="14"/>
  <c r="E129" i="14"/>
  <c r="E130" i="14"/>
  <c r="E131" i="14"/>
  <c r="E132" i="14"/>
  <c r="E133" i="14"/>
  <c r="E134" i="14"/>
  <c r="E135" i="14"/>
  <c r="E136" i="14"/>
  <c r="E137" i="14"/>
  <c r="E138" i="14"/>
  <c r="E139" i="14"/>
  <c r="E140" i="14"/>
  <c r="E141" i="14"/>
  <c r="E142" i="14"/>
  <c r="E143" i="14"/>
  <c r="E144" i="14"/>
  <c r="E145" i="14"/>
  <c r="E146" i="14"/>
  <c r="E147" i="14"/>
  <c r="E148" i="14"/>
  <c r="E149" i="14"/>
  <c r="E150" i="14"/>
  <c r="E151" i="14"/>
  <c r="E152" i="14"/>
  <c r="E153" i="14"/>
  <c r="E154" i="14"/>
  <c r="E155" i="14"/>
  <c r="E156" i="14"/>
  <c r="E157" i="14"/>
  <c r="E158" i="14"/>
  <c r="E159" i="14"/>
  <c r="E160" i="14"/>
  <c r="E161" i="14"/>
  <c r="E162" i="14"/>
  <c r="E163" i="14"/>
  <c r="E164" i="14"/>
  <c r="E165" i="14"/>
  <c r="E166" i="14"/>
  <c r="E167" i="14"/>
  <c r="E168" i="14"/>
  <c r="E169" i="14"/>
  <c r="E170" i="14"/>
  <c r="E171" i="14"/>
  <c r="E172" i="14"/>
  <c r="E173" i="14"/>
  <c r="E174" i="14"/>
  <c r="E175" i="14"/>
  <c r="E176" i="14"/>
  <c r="E177" i="14"/>
  <c r="E178" i="14"/>
  <c r="E179" i="14"/>
  <c r="E180" i="14"/>
  <c r="E181" i="14"/>
  <c r="E182" i="14"/>
  <c r="E183" i="14"/>
  <c r="E184" i="14"/>
  <c r="E185" i="14"/>
  <c r="E186" i="14"/>
  <c r="E187" i="14"/>
  <c r="E188" i="14"/>
  <c r="E189" i="14"/>
  <c r="E190" i="14"/>
  <c r="E191" i="14"/>
  <c r="E192" i="14"/>
  <c r="E193" i="14"/>
  <c r="E194" i="14"/>
  <c r="E195" i="14"/>
  <c r="E196" i="14"/>
  <c r="E197" i="14"/>
  <c r="E198" i="14"/>
  <c r="E199" i="14"/>
  <c r="E200" i="14"/>
  <c r="E201" i="14"/>
  <c r="E202" i="14"/>
  <c r="E203" i="14"/>
  <c r="E204" i="14"/>
  <c r="E205" i="14"/>
  <c r="E206" i="14"/>
  <c r="E207" i="14"/>
  <c r="E208" i="14"/>
  <c r="E209" i="14"/>
  <c r="E210" i="14"/>
  <c r="E211" i="14"/>
  <c r="E212" i="14"/>
  <c r="E213" i="14"/>
  <c r="E214" i="14"/>
  <c r="E215" i="14"/>
  <c r="E216" i="14"/>
  <c r="E217" i="14"/>
  <c r="E218" i="14"/>
  <c r="E219" i="14"/>
  <c r="E220" i="14"/>
  <c r="E221" i="14"/>
  <c r="E222" i="14"/>
  <c r="E223" i="14"/>
  <c r="E224" i="14"/>
  <c r="E225" i="14"/>
  <c r="E226" i="14"/>
  <c r="E227" i="14"/>
  <c r="E228" i="14"/>
  <c r="E229" i="14"/>
  <c r="E230" i="14"/>
  <c r="E231" i="14"/>
  <c r="E232" i="14"/>
  <c r="E233" i="14"/>
  <c r="E234" i="14"/>
  <c r="E235" i="14"/>
  <c r="E236" i="14"/>
  <c r="E237" i="14"/>
  <c r="E238" i="14"/>
  <c r="E239" i="14"/>
  <c r="E240" i="14"/>
  <c r="E241" i="14"/>
  <c r="E242" i="14"/>
  <c r="E243" i="14"/>
  <c r="E244" i="14"/>
  <c r="E245" i="14"/>
  <c r="E246" i="14"/>
  <c r="E247" i="14"/>
  <c r="E248" i="14"/>
  <c r="E249" i="14"/>
  <c r="E250" i="14"/>
  <c r="E251" i="14"/>
  <c r="E252" i="14"/>
  <c r="E253" i="14"/>
  <c r="E254" i="14"/>
  <c r="E255" i="14"/>
  <c r="E256" i="14"/>
  <c r="E257" i="14"/>
  <c r="E258" i="14"/>
  <c r="E259" i="14"/>
  <c r="E260" i="14"/>
  <c r="E261" i="14"/>
  <c r="E262" i="14"/>
  <c r="E263" i="14"/>
  <c r="E264" i="14"/>
  <c r="E265" i="14"/>
  <c r="E266" i="14"/>
  <c r="E267" i="14"/>
  <c r="E268" i="14"/>
  <c r="E269" i="14"/>
  <c r="E270" i="14"/>
  <c r="E271" i="14"/>
  <c r="E272" i="14"/>
  <c r="E273" i="14"/>
  <c r="E274" i="14"/>
  <c r="E275" i="14"/>
  <c r="E276" i="14"/>
  <c r="E277" i="14"/>
  <c r="E278" i="14"/>
  <c r="E279" i="14"/>
  <c r="E280" i="14"/>
  <c r="E281" i="14"/>
  <c r="E282" i="14"/>
  <c r="E283" i="14"/>
  <c r="E284" i="14"/>
  <c r="E285" i="14"/>
  <c r="E286" i="14"/>
  <c r="E287" i="14"/>
  <c r="E288" i="14"/>
  <c r="E289" i="14"/>
  <c r="E290" i="14"/>
  <c r="E291" i="14"/>
  <c r="E292" i="14"/>
  <c r="E293" i="14"/>
  <c r="E294" i="14"/>
  <c r="E295" i="14"/>
  <c r="E296" i="14"/>
  <c r="E297" i="14"/>
  <c r="E298" i="14"/>
  <c r="E299" i="14"/>
  <c r="E300" i="14"/>
  <c r="E301" i="14"/>
  <c r="E302" i="14"/>
  <c r="E303" i="14"/>
  <c r="E304" i="14"/>
  <c r="E305" i="14"/>
  <c r="E306" i="14"/>
  <c r="E307" i="14"/>
  <c r="E308" i="14"/>
  <c r="E309" i="14"/>
  <c r="E310" i="14"/>
  <c r="E311" i="14"/>
  <c r="E312" i="14"/>
  <c r="E313" i="14"/>
  <c r="E314" i="14"/>
  <c r="E315" i="14"/>
  <c r="E316" i="14"/>
  <c r="E317" i="14"/>
  <c r="E318" i="14"/>
  <c r="E319" i="14"/>
  <c r="E320" i="14"/>
  <c r="E321" i="14"/>
  <c r="E322" i="14"/>
  <c r="E323" i="14"/>
  <c r="E324" i="14"/>
  <c r="E325" i="14"/>
  <c r="E326" i="14"/>
  <c r="E327" i="14"/>
  <c r="E328" i="14"/>
  <c r="E329" i="14"/>
  <c r="E330" i="14"/>
  <c r="E331" i="14"/>
  <c r="E332" i="14"/>
  <c r="E333" i="14"/>
  <c r="E334" i="14"/>
  <c r="E335" i="14"/>
  <c r="E336" i="14"/>
  <c r="E337" i="14"/>
  <c r="E338" i="14"/>
  <c r="E339" i="14"/>
  <c r="E340" i="14"/>
  <c r="E341" i="14"/>
  <c r="E342" i="14"/>
  <c r="E343" i="14"/>
  <c r="E344" i="14"/>
  <c r="E345" i="14"/>
  <c r="E346" i="14"/>
  <c r="E347" i="14"/>
  <c r="E348" i="14"/>
  <c r="E349" i="14"/>
  <c r="E350" i="14"/>
  <c r="E351" i="14"/>
  <c r="E352" i="14"/>
  <c r="E353" i="14"/>
  <c r="E354" i="14"/>
  <c r="E355" i="14"/>
  <c r="E356" i="14"/>
  <c r="E357" i="14"/>
  <c r="E358" i="14"/>
  <c r="E359" i="14"/>
  <c r="E360" i="14"/>
  <c r="E361" i="14"/>
  <c r="E362" i="14"/>
  <c r="E363" i="14"/>
  <c r="E364" i="14"/>
  <c r="E365" i="14"/>
  <c r="E366" i="14"/>
  <c r="E367" i="14"/>
  <c r="E368" i="14"/>
  <c r="E369" i="14"/>
  <c r="E370" i="14"/>
  <c r="E371" i="14"/>
  <c r="E372" i="14"/>
  <c r="E373" i="14"/>
  <c r="E374" i="14"/>
  <c r="E375" i="14"/>
  <c r="E376" i="14"/>
  <c r="E377" i="14"/>
  <c r="E378" i="14"/>
  <c r="E379" i="14"/>
  <c r="E380" i="14"/>
  <c r="E381" i="14"/>
  <c r="E382" i="14"/>
  <c r="E383" i="14"/>
  <c r="E384" i="14"/>
  <c r="E385" i="14"/>
  <c r="E386" i="14"/>
  <c r="E387" i="14"/>
  <c r="E388" i="14"/>
  <c r="E389" i="14"/>
  <c r="E390" i="14"/>
  <c r="E391" i="14"/>
  <c r="E392" i="14"/>
  <c r="E393" i="14"/>
  <c r="E394" i="14"/>
  <c r="E395" i="14"/>
  <c r="E396" i="14"/>
  <c r="E397" i="14"/>
  <c r="E398" i="14"/>
  <c r="E399" i="14"/>
  <c r="E400" i="14"/>
  <c r="E401" i="14"/>
  <c r="E402" i="14"/>
  <c r="E403" i="14"/>
  <c r="E404" i="14"/>
  <c r="E405" i="14"/>
  <c r="E406" i="14"/>
  <c r="E407" i="14"/>
  <c r="E408" i="14"/>
  <c r="E409" i="14"/>
  <c r="E410" i="14"/>
  <c r="E411" i="14"/>
  <c r="E412" i="14"/>
  <c r="E413" i="14"/>
  <c r="E414" i="14"/>
  <c r="E415" i="14"/>
  <c r="E416" i="14"/>
  <c r="E3" i="14"/>
  <c r="D4" i="14"/>
  <c r="D5" i="14"/>
  <c r="D6" i="14"/>
  <c r="D7" i="14"/>
  <c r="D8" i="14"/>
  <c r="D9" i="14"/>
  <c r="D10" i="14"/>
  <c r="D11" i="14"/>
  <c r="D12" i="14"/>
  <c r="D13" i="14"/>
  <c r="D14" i="14"/>
  <c r="D15" i="14"/>
  <c r="D16" i="14"/>
  <c r="D17" i="14"/>
  <c r="D18" i="14"/>
  <c r="D19" i="14"/>
  <c r="D20" i="14"/>
  <c r="D21" i="14"/>
  <c r="D22" i="14"/>
  <c r="D23" i="14"/>
  <c r="D24" i="14"/>
  <c r="D25" i="14"/>
  <c r="D26" i="14"/>
  <c r="D27" i="14"/>
  <c r="D28" i="14"/>
  <c r="D29" i="14"/>
  <c r="D30" i="14"/>
  <c r="D31" i="14"/>
  <c r="D32" i="14"/>
  <c r="D33" i="14"/>
  <c r="D34" i="14"/>
  <c r="D35" i="14"/>
  <c r="D36" i="14"/>
  <c r="D37" i="14"/>
  <c r="D38" i="14"/>
  <c r="D39" i="14"/>
  <c r="D40" i="14"/>
  <c r="D41" i="14"/>
  <c r="D42" i="14"/>
  <c r="D43" i="14"/>
  <c r="D44" i="14"/>
  <c r="D45" i="14"/>
  <c r="D46" i="14"/>
  <c r="D47" i="14"/>
  <c r="D48" i="14"/>
  <c r="D49" i="14"/>
  <c r="D50" i="14"/>
  <c r="D51" i="14"/>
  <c r="D52" i="14"/>
  <c r="D53" i="14"/>
  <c r="D54" i="14"/>
  <c r="D55" i="14"/>
  <c r="D56" i="14"/>
  <c r="D57" i="14"/>
  <c r="D58" i="14"/>
  <c r="D59" i="14"/>
  <c r="D60" i="14"/>
  <c r="D61" i="14"/>
  <c r="D62" i="14"/>
  <c r="D63" i="14"/>
  <c r="D64" i="14"/>
  <c r="D65" i="14"/>
  <c r="D66" i="14"/>
  <c r="D67" i="14"/>
  <c r="D68" i="14"/>
  <c r="D69" i="14"/>
  <c r="D70" i="14"/>
  <c r="D71" i="14"/>
  <c r="D72" i="14"/>
  <c r="D73" i="14"/>
  <c r="D74" i="14"/>
  <c r="D75" i="14"/>
  <c r="D76" i="14"/>
  <c r="D77" i="14"/>
  <c r="D78" i="14"/>
  <c r="D79" i="14"/>
  <c r="D80" i="14"/>
  <c r="D81" i="14"/>
  <c r="D82" i="14"/>
  <c r="D83" i="14"/>
  <c r="D84" i="14"/>
  <c r="D85" i="14"/>
  <c r="D86" i="14"/>
  <c r="D87" i="14"/>
  <c r="D88" i="14"/>
  <c r="D89" i="14"/>
  <c r="D90" i="14"/>
  <c r="D91" i="14"/>
  <c r="D92" i="14"/>
  <c r="D93" i="14"/>
  <c r="D94" i="14"/>
  <c r="D95" i="14"/>
  <c r="D96" i="14"/>
  <c r="D97" i="14"/>
  <c r="D98" i="14"/>
  <c r="D99" i="14"/>
  <c r="D100" i="14"/>
  <c r="D101" i="14"/>
  <c r="D102" i="14"/>
  <c r="D103" i="14"/>
  <c r="D104" i="14"/>
  <c r="D105" i="14"/>
  <c r="D106" i="14"/>
  <c r="D107" i="14"/>
  <c r="D108" i="14"/>
  <c r="D109" i="14"/>
  <c r="D110" i="14"/>
  <c r="D111" i="14"/>
  <c r="D112" i="14"/>
  <c r="D113" i="14"/>
  <c r="D114" i="14"/>
  <c r="D115" i="14"/>
  <c r="D116" i="14"/>
  <c r="D117" i="14"/>
  <c r="D118" i="14"/>
  <c r="D119" i="14"/>
  <c r="D120" i="14"/>
  <c r="D121" i="14"/>
  <c r="D122" i="14"/>
  <c r="D123" i="14"/>
  <c r="D124" i="14"/>
  <c r="D125" i="14"/>
  <c r="D126" i="14"/>
  <c r="D127" i="14"/>
  <c r="D128" i="14"/>
  <c r="D129" i="14"/>
  <c r="D130" i="14"/>
  <c r="D131" i="14"/>
  <c r="D132" i="14"/>
  <c r="D133" i="14"/>
  <c r="D134" i="14"/>
  <c r="D135" i="14"/>
  <c r="D136" i="14"/>
  <c r="D137" i="14"/>
  <c r="D138" i="14"/>
  <c r="D139" i="14"/>
  <c r="D140" i="14"/>
  <c r="D141" i="14"/>
  <c r="D142" i="14"/>
  <c r="D143" i="14"/>
  <c r="D144" i="14"/>
  <c r="D145" i="14"/>
  <c r="D146" i="14"/>
  <c r="D147" i="14"/>
  <c r="D148" i="14"/>
  <c r="D149" i="14"/>
  <c r="D150" i="14"/>
  <c r="D151" i="14"/>
  <c r="D152" i="14"/>
  <c r="D153" i="14"/>
  <c r="D154" i="14"/>
  <c r="D155" i="14"/>
  <c r="D156" i="14"/>
  <c r="D157" i="14"/>
  <c r="D158" i="14"/>
  <c r="D159" i="14"/>
  <c r="D160" i="14"/>
  <c r="D161" i="14"/>
  <c r="D162" i="14"/>
  <c r="D163" i="14"/>
  <c r="D164" i="14"/>
  <c r="D165" i="14"/>
  <c r="D166" i="14"/>
  <c r="D167" i="14"/>
  <c r="D168" i="14"/>
  <c r="D169" i="14"/>
  <c r="D170" i="14"/>
  <c r="D171" i="14"/>
  <c r="D172" i="14"/>
  <c r="D173" i="14"/>
  <c r="D174" i="14"/>
  <c r="D175" i="14"/>
  <c r="D176" i="14"/>
  <c r="D177" i="14"/>
  <c r="D178" i="14"/>
  <c r="D179" i="14"/>
  <c r="D180" i="14"/>
  <c r="D181" i="14"/>
  <c r="D182" i="14"/>
  <c r="D183" i="14"/>
  <c r="D184" i="14"/>
  <c r="D185" i="14"/>
  <c r="D186" i="14"/>
  <c r="D187" i="14"/>
  <c r="D188" i="14"/>
  <c r="D189" i="14"/>
  <c r="D190" i="14"/>
  <c r="D191" i="14"/>
  <c r="D192" i="14"/>
  <c r="D193" i="14"/>
  <c r="D194" i="14"/>
  <c r="D195" i="14"/>
  <c r="D196" i="14"/>
  <c r="D197" i="14"/>
  <c r="D198" i="14"/>
  <c r="D199" i="14"/>
  <c r="D200" i="14"/>
  <c r="D201" i="14"/>
  <c r="D202" i="14"/>
  <c r="D203" i="14"/>
  <c r="D204" i="14"/>
  <c r="D205" i="14"/>
  <c r="D206" i="14"/>
  <c r="D207" i="14"/>
  <c r="D208" i="14"/>
  <c r="D209" i="14"/>
  <c r="D210" i="14"/>
  <c r="D211" i="14"/>
  <c r="D212" i="14"/>
  <c r="D213" i="14"/>
  <c r="D214" i="14"/>
  <c r="D215" i="14"/>
  <c r="D216" i="14"/>
  <c r="D217" i="14"/>
  <c r="D218" i="14"/>
  <c r="D219" i="14"/>
  <c r="D220" i="14"/>
  <c r="D221" i="14"/>
  <c r="D222" i="14"/>
  <c r="D223" i="14"/>
  <c r="D224" i="14"/>
  <c r="D225" i="14"/>
  <c r="D226" i="14"/>
  <c r="D227" i="14"/>
  <c r="D228" i="14"/>
  <c r="D229" i="14"/>
  <c r="D230" i="14"/>
  <c r="D231" i="14"/>
  <c r="D232" i="14"/>
  <c r="D233" i="14"/>
  <c r="D234" i="14"/>
  <c r="D235" i="14"/>
  <c r="D236" i="14"/>
  <c r="D237" i="14"/>
  <c r="D238" i="14"/>
  <c r="D239" i="14"/>
  <c r="D240" i="14"/>
  <c r="D241" i="14"/>
  <c r="D242" i="14"/>
  <c r="D243" i="14"/>
  <c r="D244" i="14"/>
  <c r="D245" i="14"/>
  <c r="D246" i="14"/>
  <c r="D247" i="14"/>
  <c r="D248" i="14"/>
  <c r="D249" i="14"/>
  <c r="D250" i="14"/>
  <c r="D251" i="14"/>
  <c r="D252" i="14"/>
  <c r="D253" i="14"/>
  <c r="D254" i="14"/>
  <c r="D255" i="14"/>
  <c r="D256" i="14"/>
  <c r="D257" i="14"/>
  <c r="D258" i="14"/>
  <c r="D259" i="14"/>
  <c r="D260" i="14"/>
  <c r="D261" i="14"/>
  <c r="D262" i="14"/>
  <c r="D263" i="14"/>
  <c r="D264" i="14"/>
  <c r="D265" i="14"/>
  <c r="D266" i="14"/>
  <c r="D267" i="14"/>
  <c r="D268" i="14"/>
  <c r="D269" i="14"/>
  <c r="D270" i="14"/>
  <c r="D271" i="14"/>
  <c r="D272" i="14"/>
  <c r="D273" i="14"/>
  <c r="D274" i="14"/>
  <c r="D275" i="14"/>
  <c r="D276" i="14"/>
  <c r="D277" i="14"/>
  <c r="D278" i="14"/>
  <c r="D279" i="14"/>
  <c r="D280" i="14"/>
  <c r="D281" i="14"/>
  <c r="D282" i="14"/>
  <c r="D283" i="14"/>
  <c r="D284" i="14"/>
  <c r="D285" i="14"/>
  <c r="D286" i="14"/>
  <c r="D287" i="14"/>
  <c r="D288" i="14"/>
  <c r="D289" i="14"/>
  <c r="D290" i="14"/>
  <c r="D291" i="14"/>
  <c r="D292" i="14"/>
  <c r="D293" i="14"/>
  <c r="D294" i="14"/>
  <c r="D295" i="14"/>
  <c r="D296" i="14"/>
  <c r="D297" i="14"/>
  <c r="D298" i="14"/>
  <c r="D299" i="14"/>
  <c r="D300" i="14"/>
  <c r="D301" i="14"/>
  <c r="D302" i="14"/>
  <c r="D303" i="14"/>
  <c r="D304" i="14"/>
  <c r="D305" i="14"/>
  <c r="D306" i="14"/>
  <c r="D307" i="14"/>
  <c r="D308" i="14"/>
  <c r="D309" i="14"/>
  <c r="D310" i="14"/>
  <c r="D311" i="14"/>
  <c r="D312" i="14"/>
  <c r="D313" i="14"/>
  <c r="D314" i="14"/>
  <c r="D315" i="14"/>
  <c r="D316" i="14"/>
  <c r="D317" i="14"/>
  <c r="D318" i="14"/>
  <c r="D319" i="14"/>
  <c r="D320" i="14"/>
  <c r="D321" i="14"/>
  <c r="D322" i="14"/>
  <c r="D323" i="14"/>
  <c r="D324" i="14"/>
  <c r="D325" i="14"/>
  <c r="D326" i="14"/>
  <c r="D327" i="14"/>
  <c r="D328" i="14"/>
  <c r="D329" i="14"/>
  <c r="D330" i="14"/>
  <c r="D331" i="14"/>
  <c r="D332" i="14"/>
  <c r="D333" i="14"/>
  <c r="D334" i="14"/>
  <c r="D335" i="14"/>
  <c r="D336" i="14"/>
  <c r="D337" i="14"/>
  <c r="D338" i="14"/>
  <c r="D339" i="14"/>
  <c r="D340" i="14"/>
  <c r="D341" i="14"/>
  <c r="D342" i="14"/>
  <c r="D343" i="14"/>
  <c r="D344" i="14"/>
  <c r="D345" i="14"/>
  <c r="D346" i="14"/>
  <c r="D347" i="14"/>
  <c r="D348" i="14"/>
  <c r="D349" i="14"/>
  <c r="D350" i="14"/>
  <c r="D351" i="14"/>
  <c r="D352" i="14"/>
  <c r="D353" i="14"/>
  <c r="D354" i="14"/>
  <c r="D355" i="14"/>
  <c r="D356" i="14"/>
  <c r="D357" i="14"/>
  <c r="D358" i="14"/>
  <c r="D359" i="14"/>
  <c r="D360" i="14"/>
  <c r="D361" i="14"/>
  <c r="D362" i="14"/>
  <c r="D363" i="14"/>
  <c r="D364" i="14"/>
  <c r="D365" i="14"/>
  <c r="D366" i="14"/>
  <c r="D367" i="14"/>
  <c r="D368" i="14"/>
  <c r="D369" i="14"/>
  <c r="D370" i="14"/>
  <c r="D371" i="14"/>
  <c r="D372" i="14"/>
  <c r="D373" i="14"/>
  <c r="D374" i="14"/>
  <c r="D375" i="14"/>
  <c r="D376" i="14"/>
  <c r="D377" i="14"/>
  <c r="D378" i="14"/>
  <c r="D379" i="14"/>
  <c r="D380" i="14"/>
  <c r="D381" i="14"/>
  <c r="D382" i="14"/>
  <c r="D383" i="14"/>
  <c r="D384" i="14"/>
  <c r="D385" i="14"/>
  <c r="D386" i="14"/>
  <c r="D387" i="14"/>
  <c r="D388" i="14"/>
  <c r="D389" i="14"/>
  <c r="D390" i="14"/>
  <c r="D391" i="14"/>
  <c r="D392" i="14"/>
  <c r="D393" i="14"/>
  <c r="D394" i="14"/>
  <c r="D395" i="14"/>
  <c r="D396" i="14"/>
  <c r="D397" i="14"/>
  <c r="D398" i="14"/>
  <c r="D399" i="14"/>
  <c r="D400" i="14"/>
  <c r="D401" i="14"/>
  <c r="D402" i="14"/>
  <c r="D403" i="14"/>
  <c r="D404" i="14"/>
  <c r="D405" i="14"/>
  <c r="D406" i="14"/>
  <c r="D407" i="14"/>
  <c r="D408" i="14"/>
  <c r="D409" i="14"/>
  <c r="D410" i="14"/>
  <c r="D411" i="14"/>
  <c r="D412" i="14"/>
  <c r="D413" i="14"/>
  <c r="D414" i="14"/>
  <c r="D415" i="14"/>
  <c r="D416" i="14"/>
  <c r="D3" i="14"/>
  <c r="C4" i="14"/>
  <c r="C5" i="14"/>
  <c r="C6" i="14"/>
  <c r="C7" i="14"/>
  <c r="C8" i="14"/>
  <c r="C9" i="14"/>
  <c r="C10" i="14"/>
  <c r="C11" i="14"/>
  <c r="C12" i="14"/>
  <c r="C13" i="14"/>
  <c r="C14" i="14"/>
  <c r="C15" i="14"/>
  <c r="C16" i="14"/>
  <c r="C17" i="14"/>
  <c r="C18" i="14"/>
  <c r="C19" i="14"/>
  <c r="C20" i="14"/>
  <c r="C21" i="14"/>
  <c r="C22" i="14"/>
  <c r="C23" i="14"/>
  <c r="C24" i="14"/>
  <c r="C25" i="14"/>
  <c r="C26" i="14"/>
  <c r="C27" i="14"/>
  <c r="C28" i="14"/>
  <c r="C29" i="14"/>
  <c r="C30" i="14"/>
  <c r="C31" i="14"/>
  <c r="C32" i="14"/>
  <c r="C33" i="14"/>
  <c r="C34" i="14"/>
  <c r="C35" i="14"/>
  <c r="C36" i="14"/>
  <c r="C37" i="14"/>
  <c r="C38" i="14"/>
  <c r="C39" i="14"/>
  <c r="C40" i="14"/>
  <c r="C41" i="14"/>
  <c r="C42" i="14"/>
  <c r="C43" i="14"/>
  <c r="C44" i="14"/>
  <c r="C45" i="14"/>
  <c r="C46" i="14"/>
  <c r="C47" i="14"/>
  <c r="C48" i="14"/>
  <c r="C49" i="14"/>
  <c r="C50" i="14"/>
  <c r="C51" i="14"/>
  <c r="C52" i="14"/>
  <c r="C53" i="14"/>
  <c r="C54" i="14"/>
  <c r="C55" i="14"/>
  <c r="C56" i="14"/>
  <c r="C57" i="14"/>
  <c r="C58" i="14"/>
  <c r="C59" i="14"/>
  <c r="C60" i="14"/>
  <c r="C61" i="14"/>
  <c r="C62" i="14"/>
  <c r="C63" i="14"/>
  <c r="C64" i="14"/>
  <c r="C65" i="14"/>
  <c r="C66" i="14"/>
  <c r="C67" i="14"/>
  <c r="C68" i="14"/>
  <c r="C69" i="14"/>
  <c r="C70" i="14"/>
  <c r="C71" i="14"/>
  <c r="C72" i="14"/>
  <c r="C73" i="14"/>
  <c r="C74" i="14"/>
  <c r="C75" i="14"/>
  <c r="C76" i="14"/>
  <c r="C77" i="14"/>
  <c r="C78" i="14"/>
  <c r="C79" i="14"/>
  <c r="C80" i="14"/>
  <c r="C81" i="14"/>
  <c r="C82" i="14"/>
  <c r="C83" i="14"/>
  <c r="C84" i="14"/>
  <c r="C85" i="14"/>
  <c r="C86" i="14"/>
  <c r="C87" i="14"/>
  <c r="C88" i="14"/>
  <c r="C89" i="14"/>
  <c r="C90" i="14"/>
  <c r="C91" i="14"/>
  <c r="C92" i="14"/>
  <c r="C93" i="14"/>
  <c r="C94" i="14"/>
  <c r="C95" i="14"/>
  <c r="C96" i="14"/>
  <c r="C97" i="14"/>
  <c r="C98" i="14"/>
  <c r="C99" i="14"/>
  <c r="C100" i="14"/>
  <c r="C101" i="14"/>
  <c r="C102" i="14"/>
  <c r="C103" i="14"/>
  <c r="C104" i="14"/>
  <c r="C105" i="14"/>
  <c r="C106" i="14"/>
  <c r="C107" i="14"/>
  <c r="C108" i="14"/>
  <c r="C109" i="14"/>
  <c r="C110" i="14"/>
  <c r="C111" i="14"/>
  <c r="C112" i="14"/>
  <c r="C113" i="14"/>
  <c r="C114" i="14"/>
  <c r="C115" i="14"/>
  <c r="C116" i="14"/>
  <c r="C117" i="14"/>
  <c r="C118" i="14"/>
  <c r="C119" i="14"/>
  <c r="C120" i="14"/>
  <c r="C121" i="14"/>
  <c r="C122" i="14"/>
  <c r="C123" i="14"/>
  <c r="C124" i="14"/>
  <c r="C125" i="14"/>
  <c r="C126" i="14"/>
  <c r="C127" i="14"/>
  <c r="C128" i="14"/>
  <c r="C129" i="14"/>
  <c r="C130" i="14"/>
  <c r="C131" i="14"/>
  <c r="C132" i="14"/>
  <c r="C133" i="14"/>
  <c r="C134" i="14"/>
  <c r="C135" i="14"/>
  <c r="C136" i="14"/>
  <c r="C137" i="14"/>
  <c r="C138" i="14"/>
  <c r="C139" i="14"/>
  <c r="C140" i="14"/>
  <c r="C141" i="14"/>
  <c r="C142" i="14"/>
  <c r="C143" i="14"/>
  <c r="C144" i="14"/>
  <c r="C145" i="14"/>
  <c r="C146" i="14"/>
  <c r="C147" i="14"/>
  <c r="C148" i="14"/>
  <c r="C149" i="14"/>
  <c r="C150" i="14"/>
  <c r="C151" i="14"/>
  <c r="C152" i="14"/>
  <c r="C153" i="14"/>
  <c r="C154" i="14"/>
  <c r="C155" i="14"/>
  <c r="C156" i="14"/>
  <c r="C157" i="14"/>
  <c r="C158" i="14"/>
  <c r="C159" i="14"/>
  <c r="C160" i="14"/>
  <c r="C161" i="14"/>
  <c r="C162" i="14"/>
  <c r="C163" i="14"/>
  <c r="C164" i="14"/>
  <c r="C165" i="14"/>
  <c r="C166" i="14"/>
  <c r="C167" i="14"/>
  <c r="C168" i="14"/>
  <c r="C169" i="14"/>
  <c r="C170" i="14"/>
  <c r="C171" i="14"/>
  <c r="C172" i="14"/>
  <c r="C173" i="14"/>
  <c r="C174" i="14"/>
  <c r="C175" i="14"/>
  <c r="C176" i="14"/>
  <c r="C177" i="14"/>
  <c r="C178" i="14"/>
  <c r="C179" i="14"/>
  <c r="C180" i="14"/>
  <c r="C181" i="14"/>
  <c r="C182" i="14"/>
  <c r="C183" i="14"/>
  <c r="C184" i="14"/>
  <c r="C185" i="14"/>
  <c r="C186" i="14"/>
  <c r="C187" i="14"/>
  <c r="C188" i="14"/>
  <c r="C189" i="14"/>
  <c r="C190" i="14"/>
  <c r="C191" i="14"/>
  <c r="C192" i="14"/>
  <c r="C193" i="14"/>
  <c r="C194" i="14"/>
  <c r="C195" i="14"/>
  <c r="C196" i="14"/>
  <c r="C197" i="14"/>
  <c r="C198" i="14"/>
  <c r="C199" i="14"/>
  <c r="C200" i="14"/>
  <c r="C201" i="14"/>
  <c r="C202" i="14"/>
  <c r="C203" i="14"/>
  <c r="C204" i="14"/>
  <c r="C205" i="14"/>
  <c r="C206" i="14"/>
  <c r="C207" i="14"/>
  <c r="C208" i="14"/>
  <c r="C209" i="14"/>
  <c r="C210" i="14"/>
  <c r="C211" i="14"/>
  <c r="C212" i="14"/>
  <c r="C213" i="14"/>
  <c r="C214" i="14"/>
  <c r="C215" i="14"/>
  <c r="C216" i="14"/>
  <c r="C217" i="14"/>
  <c r="C218" i="14"/>
  <c r="C219" i="14"/>
  <c r="C220" i="14"/>
  <c r="C221" i="14"/>
  <c r="C222" i="14"/>
  <c r="C223" i="14"/>
  <c r="C224" i="14"/>
  <c r="C225" i="14"/>
  <c r="C226" i="14"/>
  <c r="C227" i="14"/>
  <c r="C228" i="14"/>
  <c r="C229" i="14"/>
  <c r="C230" i="14"/>
  <c r="C231" i="14"/>
  <c r="C232" i="14"/>
  <c r="C233" i="14"/>
  <c r="C234" i="14"/>
  <c r="C235" i="14"/>
  <c r="C236" i="14"/>
  <c r="C237" i="14"/>
  <c r="C238" i="14"/>
  <c r="C239" i="14"/>
  <c r="C240" i="14"/>
  <c r="C241" i="14"/>
  <c r="C242" i="14"/>
  <c r="C243" i="14"/>
  <c r="C244" i="14"/>
  <c r="C245" i="14"/>
  <c r="C246" i="14"/>
  <c r="C247" i="14"/>
  <c r="C248" i="14"/>
  <c r="C249" i="14"/>
  <c r="C250" i="14"/>
  <c r="C251" i="14"/>
  <c r="C252" i="14"/>
  <c r="C253" i="14"/>
  <c r="C254" i="14"/>
  <c r="C255" i="14"/>
  <c r="C256" i="14"/>
  <c r="C257" i="14"/>
  <c r="C258" i="14"/>
  <c r="C259" i="14"/>
  <c r="C260" i="14"/>
  <c r="C261" i="14"/>
  <c r="C262" i="14"/>
  <c r="C263" i="14"/>
  <c r="C264" i="14"/>
  <c r="C265" i="14"/>
  <c r="C266" i="14"/>
  <c r="C267" i="14"/>
  <c r="C268" i="14"/>
  <c r="C269" i="14"/>
  <c r="C270" i="14"/>
  <c r="C271" i="14"/>
  <c r="C272" i="14"/>
  <c r="C273" i="14"/>
  <c r="C274" i="14"/>
  <c r="C275" i="14"/>
  <c r="C276" i="14"/>
  <c r="C277" i="14"/>
  <c r="C278" i="14"/>
  <c r="C279" i="14"/>
  <c r="C280" i="14"/>
  <c r="C281" i="14"/>
  <c r="C282" i="14"/>
  <c r="C283" i="14"/>
  <c r="C284" i="14"/>
  <c r="C285" i="14"/>
  <c r="C286" i="14"/>
  <c r="C287" i="14"/>
  <c r="C288" i="14"/>
  <c r="C289" i="14"/>
  <c r="C290" i="14"/>
  <c r="C291" i="14"/>
  <c r="C292" i="14"/>
  <c r="C293" i="14"/>
  <c r="C294" i="14"/>
  <c r="C295" i="14"/>
  <c r="C296" i="14"/>
  <c r="C297" i="14"/>
  <c r="C298" i="14"/>
  <c r="C299" i="14"/>
  <c r="C300" i="14"/>
  <c r="C301" i="14"/>
  <c r="C302" i="14"/>
  <c r="C303" i="14"/>
  <c r="C304" i="14"/>
  <c r="C305" i="14"/>
  <c r="C306" i="14"/>
  <c r="C307" i="14"/>
  <c r="C308" i="14"/>
  <c r="C309" i="14"/>
  <c r="C310" i="14"/>
  <c r="C311" i="14"/>
  <c r="C312" i="14"/>
  <c r="C313" i="14"/>
  <c r="C314" i="14"/>
  <c r="C315" i="14"/>
  <c r="C316" i="14"/>
  <c r="C317" i="14"/>
  <c r="C318" i="14"/>
  <c r="C319" i="14"/>
  <c r="C320" i="14"/>
  <c r="C321" i="14"/>
  <c r="C322" i="14"/>
  <c r="C323" i="14"/>
  <c r="C324" i="14"/>
  <c r="C325" i="14"/>
  <c r="C326" i="14"/>
  <c r="C327" i="14"/>
  <c r="C328" i="14"/>
  <c r="C329" i="14"/>
  <c r="C330" i="14"/>
  <c r="C331" i="14"/>
  <c r="C332" i="14"/>
  <c r="C333" i="14"/>
  <c r="C334" i="14"/>
  <c r="C335" i="14"/>
  <c r="C336" i="14"/>
  <c r="C337" i="14"/>
  <c r="C338" i="14"/>
  <c r="C339" i="14"/>
  <c r="C340" i="14"/>
  <c r="C341" i="14"/>
  <c r="C342" i="14"/>
  <c r="C343" i="14"/>
  <c r="C344" i="14"/>
  <c r="C345" i="14"/>
  <c r="C346" i="14"/>
  <c r="C347" i="14"/>
  <c r="C348" i="14"/>
  <c r="C349" i="14"/>
  <c r="C350" i="14"/>
  <c r="C351" i="14"/>
  <c r="C352" i="14"/>
  <c r="C353" i="14"/>
  <c r="C354" i="14"/>
  <c r="C355" i="14"/>
  <c r="C356" i="14"/>
  <c r="C357" i="14"/>
  <c r="C358" i="14"/>
  <c r="C359" i="14"/>
  <c r="C360" i="14"/>
  <c r="C361" i="14"/>
  <c r="C362" i="14"/>
  <c r="C363" i="14"/>
  <c r="C364" i="14"/>
  <c r="C365" i="14"/>
  <c r="C366" i="14"/>
  <c r="C367" i="14"/>
  <c r="C368" i="14"/>
  <c r="C369" i="14"/>
  <c r="C370" i="14"/>
  <c r="C371" i="14"/>
  <c r="C372" i="14"/>
  <c r="C373" i="14"/>
  <c r="C374" i="14"/>
  <c r="C375" i="14"/>
  <c r="C376" i="14"/>
  <c r="C377" i="14"/>
  <c r="C378" i="14"/>
  <c r="C379" i="14"/>
  <c r="C380" i="14"/>
  <c r="C381" i="14"/>
  <c r="C382" i="14"/>
  <c r="C383" i="14"/>
  <c r="C384" i="14"/>
  <c r="C385" i="14"/>
  <c r="C386" i="14"/>
  <c r="C387" i="14"/>
  <c r="C388" i="14"/>
  <c r="C389" i="14"/>
  <c r="C390" i="14"/>
  <c r="C391" i="14"/>
  <c r="C392" i="14"/>
  <c r="C393" i="14"/>
  <c r="C394" i="14"/>
  <c r="C395" i="14"/>
  <c r="C396" i="14"/>
  <c r="C397" i="14"/>
  <c r="C398" i="14"/>
  <c r="C399" i="14"/>
  <c r="C400" i="14"/>
  <c r="C401" i="14"/>
  <c r="C402" i="14"/>
  <c r="C403" i="14"/>
  <c r="C404" i="14"/>
  <c r="C405" i="14"/>
  <c r="C406" i="14"/>
  <c r="C407" i="14"/>
  <c r="C408" i="14"/>
  <c r="C409" i="14"/>
  <c r="C410" i="14"/>
  <c r="C411" i="14"/>
  <c r="C412" i="14"/>
  <c r="C413" i="14"/>
  <c r="C414" i="14"/>
  <c r="C415" i="14"/>
  <c r="C416" i="14"/>
  <c r="C3" i="14"/>
  <c r="B5" i="15" l="1"/>
  <c r="Q5" i="15" s="1"/>
  <c r="C5" i="15"/>
  <c r="R4" i="14"/>
  <c r="X2" i="5"/>
  <c r="BJ3" i="3"/>
  <c r="BJ4" i="3"/>
  <c r="BJ5" i="3"/>
  <c r="BJ6" i="3"/>
  <c r="BJ7" i="3"/>
  <c r="BJ8" i="3"/>
  <c r="BJ9" i="3"/>
  <c r="BJ10" i="3"/>
  <c r="BJ11" i="3"/>
  <c r="BJ12"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R5" i="14" l="1"/>
  <c r="B7" i="15" s="1"/>
  <c r="Q7" i="15" s="1"/>
  <c r="B6" i="15"/>
  <c r="A3" i="12"/>
  <c r="J5" i="15"/>
  <c r="P5" i="15"/>
  <c r="A4" i="12"/>
  <c r="B3" i="12"/>
  <c r="G5" i="15"/>
  <c r="F5" i="15"/>
  <c r="E5" i="15"/>
  <c r="D5" i="15"/>
  <c r="C6" i="15"/>
  <c r="C7" i="15" l="1"/>
  <c r="J6" i="15"/>
  <c r="Q6" i="15"/>
  <c r="P6" i="15" s="1"/>
  <c r="R6" i="14"/>
  <c r="D3" i="12"/>
  <c r="C3" i="12"/>
  <c r="B4" i="12"/>
  <c r="E6" i="15"/>
  <c r="F6" i="15"/>
  <c r="G6" i="15"/>
  <c r="D6" i="15"/>
  <c r="N5" i="15"/>
  <c r="A5" i="12"/>
  <c r="J7" i="15"/>
  <c r="B5" i="12"/>
  <c r="E7" i="15"/>
  <c r="F7" i="15"/>
  <c r="G7" i="15"/>
  <c r="D7" i="15"/>
  <c r="P7" i="15" l="1"/>
  <c r="R7" i="14"/>
  <c r="C9" i="15" s="1"/>
  <c r="C8" i="15"/>
  <c r="B8" i="15"/>
  <c r="Q8" i="15" s="1"/>
  <c r="AE3" i="12"/>
  <c r="H3" i="12"/>
  <c r="L3" i="12"/>
  <c r="P3" i="12"/>
  <c r="T3" i="12"/>
  <c r="X3" i="12"/>
  <c r="AB3" i="12"/>
  <c r="I3" i="12"/>
  <c r="M3" i="12"/>
  <c r="Q3" i="12"/>
  <c r="U3" i="12"/>
  <c r="Y3" i="12"/>
  <c r="AC3" i="12"/>
  <c r="J3" i="12"/>
  <c r="N3" i="12"/>
  <c r="R3" i="12"/>
  <c r="V3" i="12"/>
  <c r="Z3" i="12"/>
  <c r="AD3" i="12"/>
  <c r="G3" i="12"/>
  <c r="K3" i="12"/>
  <c r="O3" i="12"/>
  <c r="S3" i="12"/>
  <c r="W3" i="12"/>
  <c r="AA3" i="12"/>
  <c r="F3" i="12"/>
  <c r="D5" i="12"/>
  <c r="C5" i="12"/>
  <c r="D4" i="12"/>
  <c r="C4" i="12"/>
  <c r="AV3" i="11"/>
  <c r="AV4" i="11"/>
  <c r="AV5" i="11"/>
  <c r="AV6" i="11"/>
  <c r="AV7" i="11"/>
  <c r="AV8" i="11"/>
  <c r="AV9" i="11"/>
  <c r="AV10" i="11"/>
  <c r="AV11" i="11"/>
  <c r="AV12" i="11"/>
  <c r="AV13" i="11"/>
  <c r="AV14" i="11"/>
  <c r="AV15" i="11"/>
  <c r="AV16" i="11"/>
  <c r="AV17" i="11"/>
  <c r="AV18" i="11"/>
  <c r="AV19" i="11"/>
  <c r="AV20" i="11"/>
  <c r="AV21" i="11"/>
  <c r="AV22" i="11"/>
  <c r="AV23" i="11"/>
  <c r="AV24" i="11"/>
  <c r="AV25" i="11"/>
  <c r="AV26" i="11"/>
  <c r="AV27" i="11"/>
  <c r="AV28" i="11"/>
  <c r="AV29" i="11"/>
  <c r="AV30" i="11"/>
  <c r="AV31" i="11"/>
  <c r="AV32" i="11"/>
  <c r="AV33" i="11"/>
  <c r="AV34" i="11"/>
  <c r="AV35" i="11"/>
  <c r="AV36" i="11"/>
  <c r="AV37" i="11"/>
  <c r="AV38" i="11"/>
  <c r="AV39" i="11"/>
  <c r="AV40" i="11"/>
  <c r="AV41" i="11"/>
  <c r="AV42" i="11"/>
  <c r="AV43" i="11"/>
  <c r="AV44" i="11"/>
  <c r="AV45" i="11"/>
  <c r="AV46" i="11"/>
  <c r="AV47" i="11"/>
  <c r="AV48" i="11"/>
  <c r="AV49" i="11"/>
  <c r="AV50" i="11"/>
  <c r="AV51" i="11"/>
  <c r="AV52" i="11"/>
  <c r="AV53" i="11"/>
  <c r="AV54" i="11"/>
  <c r="AV55" i="11"/>
  <c r="AV56" i="11"/>
  <c r="AV57" i="11"/>
  <c r="AV58" i="11"/>
  <c r="AV59" i="11"/>
  <c r="AV60" i="11"/>
  <c r="AV61" i="11"/>
  <c r="AV62" i="11"/>
  <c r="AV63" i="11"/>
  <c r="AV64" i="11"/>
  <c r="AV65" i="11"/>
  <c r="AV66" i="11"/>
  <c r="AV67" i="11"/>
  <c r="AV68" i="11"/>
  <c r="AV69" i="11"/>
  <c r="AV70" i="11"/>
  <c r="AV71" i="11"/>
  <c r="AV72" i="11"/>
  <c r="AV73" i="11"/>
  <c r="AV74" i="11"/>
  <c r="AV75" i="11"/>
  <c r="AV76" i="11"/>
  <c r="AV77" i="11"/>
  <c r="AV78" i="11"/>
  <c r="AV79" i="11"/>
  <c r="AV80" i="11"/>
  <c r="AV81" i="11"/>
  <c r="AV82" i="11"/>
  <c r="AV83" i="11"/>
  <c r="AV84" i="11"/>
  <c r="AV85" i="11"/>
  <c r="AV86" i="11"/>
  <c r="AV87" i="11"/>
  <c r="AV88" i="11"/>
  <c r="AV89" i="11"/>
  <c r="AV90" i="11"/>
  <c r="AV91" i="11"/>
  <c r="AV92" i="11"/>
  <c r="AV93" i="11"/>
  <c r="AV94" i="11"/>
  <c r="AV95" i="11"/>
  <c r="AV96" i="11"/>
  <c r="AV97" i="11"/>
  <c r="AV98" i="11"/>
  <c r="AV99" i="11"/>
  <c r="AV100" i="11"/>
  <c r="AV101" i="11"/>
  <c r="AV102" i="11"/>
  <c r="AV103" i="11"/>
  <c r="AV104" i="11"/>
  <c r="AV105" i="11"/>
  <c r="AV106" i="11"/>
  <c r="AV107" i="11"/>
  <c r="AV108" i="11"/>
  <c r="AV109" i="11"/>
  <c r="AV110" i="11"/>
  <c r="AV111" i="11"/>
  <c r="AV112" i="11"/>
  <c r="AV113" i="11"/>
  <c r="AV114" i="11"/>
  <c r="AV115" i="11"/>
  <c r="AV116" i="11"/>
  <c r="AV117" i="11"/>
  <c r="AV118" i="11"/>
  <c r="AV119" i="11"/>
  <c r="AV120" i="11"/>
  <c r="AV121" i="11"/>
  <c r="AV122" i="11"/>
  <c r="AV123" i="11"/>
  <c r="AV124" i="11"/>
  <c r="AV125" i="11"/>
  <c r="AV126" i="11"/>
  <c r="AV127" i="11"/>
  <c r="AV128" i="11"/>
  <c r="AV129" i="11"/>
  <c r="AV130" i="11"/>
  <c r="AV131" i="11"/>
  <c r="AV132" i="11"/>
  <c r="AV133" i="11"/>
  <c r="AV134" i="11"/>
  <c r="AV135" i="11"/>
  <c r="AV136" i="11"/>
  <c r="AV137" i="11"/>
  <c r="AV138" i="11"/>
  <c r="AV139" i="11"/>
  <c r="AV140" i="11"/>
  <c r="AV141" i="11"/>
  <c r="AV142" i="11"/>
  <c r="AV143" i="11"/>
  <c r="AV144" i="11"/>
  <c r="AV145" i="11"/>
  <c r="AV146" i="11"/>
  <c r="AV147" i="11"/>
  <c r="AV148" i="11"/>
  <c r="AV149" i="11"/>
  <c r="AV150" i="11"/>
  <c r="AV151" i="11"/>
  <c r="AV152" i="11"/>
  <c r="AV153" i="11"/>
  <c r="AV154" i="11"/>
  <c r="AV155" i="11"/>
  <c r="AV156" i="11"/>
  <c r="AV157" i="11"/>
  <c r="AV158" i="11"/>
  <c r="AV159" i="11"/>
  <c r="AV160" i="11"/>
  <c r="AV161" i="11"/>
  <c r="AV162" i="11"/>
  <c r="AV163" i="11"/>
  <c r="AV164" i="11"/>
  <c r="AV165" i="11"/>
  <c r="AV166" i="11"/>
  <c r="AV167" i="11"/>
  <c r="AV168" i="11"/>
  <c r="AV169" i="11"/>
  <c r="AV170" i="11"/>
  <c r="AV171" i="11"/>
  <c r="AV172" i="11"/>
  <c r="AV173" i="11"/>
  <c r="AV174" i="11"/>
  <c r="AV175" i="11"/>
  <c r="AV176" i="11"/>
  <c r="AV177" i="11"/>
  <c r="AV178" i="11"/>
  <c r="AV179" i="11"/>
  <c r="AV180" i="11"/>
  <c r="AV181" i="11"/>
  <c r="AV182" i="11"/>
  <c r="AV183" i="11"/>
  <c r="AV184" i="11"/>
  <c r="AV185" i="11"/>
  <c r="AV186" i="11"/>
  <c r="AV187" i="11"/>
  <c r="AV188" i="11"/>
  <c r="AV189" i="11"/>
  <c r="AV190" i="11"/>
  <c r="AV191" i="11"/>
  <c r="AV192" i="11"/>
  <c r="AV193" i="11"/>
  <c r="AV194" i="11"/>
  <c r="AV195" i="11"/>
  <c r="AV196" i="11"/>
  <c r="AV197" i="11"/>
  <c r="AV198" i="11"/>
  <c r="AV199" i="11"/>
  <c r="AV200" i="11"/>
  <c r="AV201" i="11"/>
  <c r="AV202" i="11"/>
  <c r="AV203" i="11"/>
  <c r="AV204" i="11"/>
  <c r="AV205" i="11"/>
  <c r="AV206" i="11"/>
  <c r="AV207" i="11"/>
  <c r="AV208" i="11"/>
  <c r="AV209" i="11"/>
  <c r="AV210" i="11"/>
  <c r="AV211" i="11"/>
  <c r="AV212" i="11"/>
  <c r="AV213" i="11"/>
  <c r="AV214" i="11"/>
  <c r="AV215" i="11"/>
  <c r="AV216" i="11"/>
  <c r="AV217" i="11"/>
  <c r="AV218" i="11"/>
  <c r="AV219" i="11"/>
  <c r="AV220" i="11"/>
  <c r="AV221" i="11"/>
  <c r="AV222" i="11"/>
  <c r="AV223" i="11"/>
  <c r="AV224" i="11"/>
  <c r="AV225" i="11"/>
  <c r="AV226" i="11"/>
  <c r="AV227" i="11"/>
  <c r="AV228" i="11"/>
  <c r="AV229" i="11"/>
  <c r="AV230" i="11"/>
  <c r="AV231" i="11"/>
  <c r="AV232" i="11"/>
  <c r="AV233" i="11"/>
  <c r="AV234" i="11"/>
  <c r="AV235" i="11"/>
  <c r="AV236" i="11"/>
  <c r="AV237" i="11"/>
  <c r="AV238" i="11"/>
  <c r="AV239" i="11"/>
  <c r="AV240" i="11"/>
  <c r="AV241" i="11"/>
  <c r="AV242" i="11"/>
  <c r="AV243" i="11"/>
  <c r="AV244" i="11"/>
  <c r="AV245" i="11"/>
  <c r="AV246" i="11"/>
  <c r="AV247" i="11"/>
  <c r="AV248" i="11"/>
  <c r="AV249" i="11"/>
  <c r="AV250" i="11"/>
  <c r="AV251" i="11"/>
  <c r="AV252" i="11"/>
  <c r="AV253" i="11"/>
  <c r="AV254" i="11"/>
  <c r="AV255" i="11"/>
  <c r="AV256" i="11"/>
  <c r="AV257" i="11"/>
  <c r="AV258" i="11"/>
  <c r="AV259" i="11"/>
  <c r="AV260" i="11"/>
  <c r="AV261" i="11"/>
  <c r="AV262" i="11"/>
  <c r="AV263" i="11"/>
  <c r="AV264" i="11"/>
  <c r="AV265" i="11"/>
  <c r="AV266" i="11"/>
  <c r="AV267" i="11"/>
  <c r="AV268" i="11"/>
  <c r="AV269" i="11"/>
  <c r="AV270" i="11"/>
  <c r="AV271" i="11"/>
  <c r="AV272" i="11"/>
  <c r="AV273" i="11"/>
  <c r="AV274" i="11"/>
  <c r="AV275" i="11"/>
  <c r="AV276" i="11"/>
  <c r="AV277" i="11"/>
  <c r="AV278" i="11"/>
  <c r="AV279" i="11"/>
  <c r="AV280" i="11"/>
  <c r="AV281" i="11"/>
  <c r="AV282" i="11"/>
  <c r="AV283" i="11"/>
  <c r="AV284" i="11"/>
  <c r="AV285" i="11"/>
  <c r="AV286" i="11"/>
  <c r="AV287" i="11"/>
  <c r="AV288" i="11"/>
  <c r="AV289" i="11"/>
  <c r="AV290" i="11"/>
  <c r="AV291" i="11"/>
  <c r="AV292" i="11"/>
  <c r="AV293" i="11"/>
  <c r="AV294" i="11"/>
  <c r="AV295" i="11"/>
  <c r="AV296" i="11"/>
  <c r="AV297" i="11"/>
  <c r="AV298" i="11"/>
  <c r="AV299" i="11"/>
  <c r="AV300" i="11"/>
  <c r="AV301" i="11"/>
  <c r="AV302" i="11"/>
  <c r="AV303" i="11"/>
  <c r="AV304" i="11"/>
  <c r="AV305" i="11"/>
  <c r="AV306" i="11"/>
  <c r="AV307" i="11"/>
  <c r="AV308" i="11"/>
  <c r="AV309" i="11"/>
  <c r="AV310" i="11"/>
  <c r="AV311" i="11"/>
  <c r="AV312" i="11"/>
  <c r="AV313" i="11"/>
  <c r="AV314" i="11"/>
  <c r="AV315" i="11"/>
  <c r="AV316" i="11"/>
  <c r="AV317" i="11"/>
  <c r="AV318" i="11"/>
  <c r="AV319" i="11"/>
  <c r="AV320" i="11"/>
  <c r="AV321" i="11"/>
  <c r="AV322" i="11"/>
  <c r="AV323" i="11"/>
  <c r="AV324" i="11"/>
  <c r="AV325" i="11"/>
  <c r="AV326" i="11"/>
  <c r="AV327" i="11"/>
  <c r="AV328" i="11"/>
  <c r="AV329" i="11"/>
  <c r="AV330" i="11"/>
  <c r="AV331" i="11"/>
  <c r="AV332" i="11"/>
  <c r="AV333" i="11"/>
  <c r="AV334" i="11"/>
  <c r="AV335" i="11"/>
  <c r="AV336" i="11"/>
  <c r="AV337" i="11"/>
  <c r="AV338" i="11"/>
  <c r="AV339" i="11"/>
  <c r="AV340" i="11"/>
  <c r="AV341" i="11"/>
  <c r="AV342" i="11"/>
  <c r="AV343" i="11"/>
  <c r="AV344" i="11"/>
  <c r="AV345" i="11"/>
  <c r="AV346" i="11"/>
  <c r="AV347" i="11"/>
  <c r="AV348" i="11"/>
  <c r="AV349" i="11"/>
  <c r="AV350" i="11"/>
  <c r="AV351" i="11"/>
  <c r="AV352" i="11"/>
  <c r="AV353" i="11"/>
  <c r="AV354" i="11"/>
  <c r="AV355" i="11"/>
  <c r="AV356" i="11"/>
  <c r="AV357" i="11"/>
  <c r="AV358" i="11"/>
  <c r="AV359" i="11"/>
  <c r="AV360" i="11"/>
  <c r="AV361" i="11"/>
  <c r="AV362" i="11"/>
  <c r="AV363" i="11"/>
  <c r="AV364" i="11"/>
  <c r="AV365" i="11"/>
  <c r="AV366" i="11"/>
  <c r="AV367" i="11"/>
  <c r="AV368" i="11"/>
  <c r="AV369" i="11"/>
  <c r="AV370" i="11"/>
  <c r="AV371" i="11"/>
  <c r="AV372" i="11"/>
  <c r="AV373" i="11"/>
  <c r="AV374" i="11"/>
  <c r="AV375" i="11"/>
  <c r="AV376" i="11"/>
  <c r="AV377" i="11"/>
  <c r="AV378" i="11"/>
  <c r="AV379" i="11"/>
  <c r="AV380" i="11"/>
  <c r="AV381" i="11"/>
  <c r="AV382" i="11"/>
  <c r="AV383" i="11"/>
  <c r="AV384" i="11"/>
  <c r="AV385" i="11"/>
  <c r="AV386" i="11"/>
  <c r="AV387" i="11"/>
  <c r="AV388" i="11"/>
  <c r="AV389" i="11"/>
  <c r="AV390" i="11"/>
  <c r="AV391" i="11"/>
  <c r="AV392" i="11"/>
  <c r="AV393" i="11"/>
  <c r="AV394" i="11"/>
  <c r="AV395" i="11"/>
  <c r="AV396" i="11"/>
  <c r="AV397" i="11"/>
  <c r="AV398" i="11"/>
  <c r="AV399" i="11"/>
  <c r="AV400" i="11"/>
  <c r="AV401" i="11"/>
  <c r="AV402" i="11"/>
  <c r="AV403" i="11"/>
  <c r="AV404" i="11"/>
  <c r="AV405" i="11"/>
  <c r="AV406" i="11"/>
  <c r="AV407" i="11"/>
  <c r="AV408" i="11"/>
  <c r="AV409" i="11"/>
  <c r="AV410" i="11"/>
  <c r="AV411" i="11"/>
  <c r="AV412" i="11"/>
  <c r="AV413" i="11"/>
  <c r="AV414" i="11"/>
  <c r="AL3" i="11"/>
  <c r="AM3" i="11" s="1"/>
  <c r="AN3" i="11" s="1"/>
  <c r="AT3" i="11" s="1"/>
  <c r="AM4" i="12" s="1"/>
  <c r="AL4" i="11"/>
  <c r="AM4" i="11" s="1"/>
  <c r="AN4" i="11" s="1"/>
  <c r="AT4" i="11" s="1"/>
  <c r="AM5" i="12" s="1"/>
  <c r="AL5" i="11"/>
  <c r="AM5" i="11" s="1"/>
  <c r="AN5" i="11" s="1"/>
  <c r="AT5" i="11" s="1"/>
  <c r="AL6" i="11"/>
  <c r="AM6" i="11" s="1"/>
  <c r="AN6" i="11" s="1"/>
  <c r="AT6" i="11" s="1"/>
  <c r="AL7" i="11"/>
  <c r="AM7" i="11" s="1"/>
  <c r="AN7" i="11" s="1"/>
  <c r="AT7" i="11" s="1"/>
  <c r="AL8" i="11"/>
  <c r="AM8" i="11" s="1"/>
  <c r="AN8" i="11" s="1"/>
  <c r="AT8" i="11" s="1"/>
  <c r="AL9" i="11"/>
  <c r="AM9" i="11" s="1"/>
  <c r="AN9" i="11" s="1"/>
  <c r="AT9" i="11" s="1"/>
  <c r="AL10" i="11"/>
  <c r="AM10" i="11" s="1"/>
  <c r="AN10" i="11" s="1"/>
  <c r="AT10" i="11" s="1"/>
  <c r="AL11" i="11"/>
  <c r="AM11" i="11" s="1"/>
  <c r="AN11" i="11" s="1"/>
  <c r="AT11" i="11" s="1"/>
  <c r="AL12" i="11"/>
  <c r="AM12" i="11" s="1"/>
  <c r="AN12" i="11" s="1"/>
  <c r="AT12" i="11" s="1"/>
  <c r="AL13" i="11"/>
  <c r="AM13" i="11" s="1"/>
  <c r="AN13" i="11" s="1"/>
  <c r="AT13" i="11" s="1"/>
  <c r="AL14" i="11"/>
  <c r="AM14" i="11" s="1"/>
  <c r="AN14" i="11" s="1"/>
  <c r="AT14" i="11" s="1"/>
  <c r="AL15" i="11"/>
  <c r="AM15" i="11" s="1"/>
  <c r="AN15" i="11" s="1"/>
  <c r="AT15" i="11" s="1"/>
  <c r="AL16" i="11"/>
  <c r="AM16" i="11" s="1"/>
  <c r="AN16" i="11" s="1"/>
  <c r="AT16" i="11" s="1"/>
  <c r="AL17" i="11"/>
  <c r="AM17" i="11" s="1"/>
  <c r="AN17" i="11" s="1"/>
  <c r="AT17" i="11" s="1"/>
  <c r="AL18" i="11"/>
  <c r="AM18" i="11" s="1"/>
  <c r="AN18" i="11" s="1"/>
  <c r="AT18" i="11" s="1"/>
  <c r="AL19" i="11"/>
  <c r="AM19" i="11" s="1"/>
  <c r="AN19" i="11" s="1"/>
  <c r="AT19" i="11" s="1"/>
  <c r="AL20" i="11"/>
  <c r="AM20" i="11" s="1"/>
  <c r="AN20" i="11" s="1"/>
  <c r="AT20" i="11" s="1"/>
  <c r="AL21" i="11"/>
  <c r="AM21" i="11" s="1"/>
  <c r="AN21" i="11" s="1"/>
  <c r="AT21" i="11" s="1"/>
  <c r="AL22" i="11"/>
  <c r="AM22" i="11" s="1"/>
  <c r="AN22" i="11" s="1"/>
  <c r="AT22" i="11" s="1"/>
  <c r="AL23" i="11"/>
  <c r="AM23" i="11" s="1"/>
  <c r="AN23" i="11" s="1"/>
  <c r="AL24" i="11"/>
  <c r="AM24" i="11" s="1"/>
  <c r="AN24" i="11" s="1"/>
  <c r="AT24" i="11" s="1"/>
  <c r="AL25" i="11"/>
  <c r="AM25" i="11" s="1"/>
  <c r="AN25" i="11" s="1"/>
  <c r="AT25" i="11" s="1"/>
  <c r="AL26" i="11"/>
  <c r="AM26" i="11" s="1"/>
  <c r="AN26" i="11" s="1"/>
  <c r="AT26" i="11" s="1"/>
  <c r="AL27" i="11"/>
  <c r="AM27" i="11" s="1"/>
  <c r="AN27" i="11" s="1"/>
  <c r="AT27" i="11" s="1"/>
  <c r="AL28" i="11"/>
  <c r="AM28" i="11" s="1"/>
  <c r="AN28" i="11" s="1"/>
  <c r="AT28" i="11" s="1"/>
  <c r="AL29" i="11"/>
  <c r="AM29" i="11" s="1"/>
  <c r="AN29" i="11" s="1"/>
  <c r="AT29" i="11" s="1"/>
  <c r="AL30" i="11"/>
  <c r="AM30" i="11" s="1"/>
  <c r="AN30" i="11" s="1"/>
  <c r="AT30" i="11" s="1"/>
  <c r="AL31" i="11"/>
  <c r="AM31" i="11" s="1"/>
  <c r="AN31" i="11" s="1"/>
  <c r="AT31" i="11" s="1"/>
  <c r="AL32" i="11"/>
  <c r="AM32" i="11" s="1"/>
  <c r="AN32" i="11" s="1"/>
  <c r="AT32" i="11" s="1"/>
  <c r="AL33" i="11"/>
  <c r="AM33" i="11" s="1"/>
  <c r="AN33" i="11" s="1"/>
  <c r="AT33" i="11" s="1"/>
  <c r="AL34" i="11"/>
  <c r="AM34" i="11" s="1"/>
  <c r="AN34" i="11" s="1"/>
  <c r="AL35" i="11"/>
  <c r="AM35" i="11" s="1"/>
  <c r="AN35" i="11" s="1"/>
  <c r="AT35" i="11" s="1"/>
  <c r="AL36" i="11"/>
  <c r="AM36" i="11" s="1"/>
  <c r="AN36" i="11" s="1"/>
  <c r="AL37" i="11"/>
  <c r="AM37" i="11" s="1"/>
  <c r="AN37" i="11" s="1"/>
  <c r="AT37" i="11" s="1"/>
  <c r="AL38" i="11"/>
  <c r="AM38" i="11" s="1"/>
  <c r="AN38" i="11" s="1"/>
  <c r="AT38" i="11" s="1"/>
  <c r="AL39" i="11"/>
  <c r="AM39" i="11" s="1"/>
  <c r="AN39" i="11" s="1"/>
  <c r="AT39" i="11" s="1"/>
  <c r="AL40" i="11"/>
  <c r="AM40" i="11" s="1"/>
  <c r="AN40" i="11" s="1"/>
  <c r="AL41" i="11"/>
  <c r="AM41" i="11" s="1"/>
  <c r="AN41" i="11" s="1"/>
  <c r="AT41" i="11" s="1"/>
  <c r="AL42" i="11"/>
  <c r="AM42" i="11" s="1"/>
  <c r="AN42" i="11" s="1"/>
  <c r="AT42" i="11" s="1"/>
  <c r="AL43" i="11"/>
  <c r="AM43" i="11" s="1"/>
  <c r="AN43" i="11" s="1"/>
  <c r="AL44" i="11"/>
  <c r="AM44" i="11" s="1"/>
  <c r="AN44" i="11" s="1"/>
  <c r="AT44" i="11" s="1"/>
  <c r="AL45" i="11"/>
  <c r="AM45" i="11" s="1"/>
  <c r="AN45" i="11" s="1"/>
  <c r="AT45" i="11" s="1"/>
  <c r="AL46" i="11"/>
  <c r="AM46" i="11" s="1"/>
  <c r="AN46" i="11" s="1"/>
  <c r="AT46" i="11" s="1"/>
  <c r="AL47" i="11"/>
  <c r="AM47" i="11" s="1"/>
  <c r="AN47" i="11" s="1"/>
  <c r="AT47" i="11" s="1"/>
  <c r="AL48" i="11"/>
  <c r="AM48" i="11" s="1"/>
  <c r="AN48" i="11" s="1"/>
  <c r="AL49" i="11"/>
  <c r="AM49" i="11" s="1"/>
  <c r="AN49" i="11" s="1"/>
  <c r="AT49" i="11" s="1"/>
  <c r="AL50" i="11"/>
  <c r="AM50" i="11" s="1"/>
  <c r="AN50" i="11" s="1"/>
  <c r="AT50" i="11" s="1"/>
  <c r="AL51" i="11"/>
  <c r="AM51" i="11" s="1"/>
  <c r="AN51" i="11" s="1"/>
  <c r="AT51" i="11" s="1"/>
  <c r="AL52" i="11"/>
  <c r="AM52" i="11" s="1"/>
  <c r="AN52" i="11" s="1"/>
  <c r="AT52" i="11" s="1"/>
  <c r="AL53" i="11"/>
  <c r="AM53" i="11" s="1"/>
  <c r="AN53" i="11" s="1"/>
  <c r="AT53" i="11" s="1"/>
  <c r="AL54" i="11"/>
  <c r="AM54" i="11" s="1"/>
  <c r="AN54" i="11" s="1"/>
  <c r="AT54" i="11" s="1"/>
  <c r="AL55" i="11"/>
  <c r="AM55" i="11" s="1"/>
  <c r="AN55" i="11" s="1"/>
  <c r="AT55" i="11" s="1"/>
  <c r="AL56" i="11"/>
  <c r="AM56" i="11" s="1"/>
  <c r="AN56" i="11" s="1"/>
  <c r="AT56" i="11" s="1"/>
  <c r="AL57" i="11"/>
  <c r="AM57" i="11" s="1"/>
  <c r="AN57" i="11" s="1"/>
  <c r="AT57" i="11" s="1"/>
  <c r="AL58" i="11"/>
  <c r="AM58" i="11" s="1"/>
  <c r="AN58" i="11" s="1"/>
  <c r="AL59" i="11"/>
  <c r="AM59" i="11" s="1"/>
  <c r="AN59" i="11" s="1"/>
  <c r="AT59" i="11" s="1"/>
  <c r="AL60" i="11"/>
  <c r="AM60" i="11" s="1"/>
  <c r="AN60" i="11" s="1"/>
  <c r="AT60" i="11" s="1"/>
  <c r="AL61" i="11"/>
  <c r="AM61" i="11" s="1"/>
  <c r="AN61" i="11" s="1"/>
  <c r="AL62" i="11"/>
  <c r="AM62" i="11" s="1"/>
  <c r="AN62" i="11" s="1"/>
  <c r="AL63" i="11"/>
  <c r="AM63" i="11" s="1"/>
  <c r="AN63" i="11" s="1"/>
  <c r="AT63" i="11" s="1"/>
  <c r="AL64" i="11"/>
  <c r="AM64" i="11" s="1"/>
  <c r="AN64" i="11" s="1"/>
  <c r="AT64" i="11" s="1"/>
  <c r="AL65" i="11"/>
  <c r="AM65" i="11" s="1"/>
  <c r="AN65" i="11" s="1"/>
  <c r="AT65" i="11" s="1"/>
  <c r="AL66" i="11"/>
  <c r="AM66" i="11" s="1"/>
  <c r="AN66" i="11" s="1"/>
  <c r="AT66" i="11" s="1"/>
  <c r="AL67" i="11"/>
  <c r="AM67" i="11" s="1"/>
  <c r="AN67" i="11" s="1"/>
  <c r="AT67" i="11" s="1"/>
  <c r="AL68" i="11"/>
  <c r="AM68" i="11" s="1"/>
  <c r="AN68" i="11" s="1"/>
  <c r="AL69" i="11"/>
  <c r="AM69" i="11" s="1"/>
  <c r="AN69" i="11" s="1"/>
  <c r="AT69" i="11" s="1"/>
  <c r="AL70" i="11"/>
  <c r="AM70" i="11" s="1"/>
  <c r="AN70" i="11" s="1"/>
  <c r="AT70" i="11" s="1"/>
  <c r="AL71" i="11"/>
  <c r="AM71" i="11" s="1"/>
  <c r="AN71" i="11" s="1"/>
  <c r="AT71" i="11" s="1"/>
  <c r="AL72" i="11"/>
  <c r="AM72" i="11" s="1"/>
  <c r="AN72" i="11" s="1"/>
  <c r="AT72" i="11" s="1"/>
  <c r="AL73" i="11"/>
  <c r="AM73" i="11" s="1"/>
  <c r="AN73" i="11" s="1"/>
  <c r="AL74" i="11"/>
  <c r="AM74" i="11" s="1"/>
  <c r="AN74" i="11" s="1"/>
  <c r="AL75" i="11"/>
  <c r="AM75" i="11" s="1"/>
  <c r="AN75" i="11" s="1"/>
  <c r="AT75" i="11" s="1"/>
  <c r="AL76" i="11"/>
  <c r="AM76" i="11" s="1"/>
  <c r="AN76" i="11" s="1"/>
  <c r="AT76" i="11" s="1"/>
  <c r="AL77" i="11"/>
  <c r="AM77" i="11" s="1"/>
  <c r="AN77" i="11" s="1"/>
  <c r="AL78" i="11"/>
  <c r="AM78" i="11" s="1"/>
  <c r="AN78" i="11" s="1"/>
  <c r="AT78" i="11" s="1"/>
  <c r="AL79" i="11"/>
  <c r="AM79" i="11" s="1"/>
  <c r="AN79" i="11" s="1"/>
  <c r="AT79" i="11" s="1"/>
  <c r="AL80" i="11"/>
  <c r="AM80" i="11" s="1"/>
  <c r="AN80" i="11" s="1"/>
  <c r="AT80" i="11" s="1"/>
  <c r="AL81" i="11"/>
  <c r="AM81" i="11" s="1"/>
  <c r="AN81" i="11" s="1"/>
  <c r="AT81" i="11" s="1"/>
  <c r="AL82" i="11"/>
  <c r="AM82" i="11" s="1"/>
  <c r="AN82" i="11" s="1"/>
  <c r="AT82" i="11" s="1"/>
  <c r="AL83" i="11"/>
  <c r="AM83" i="11" s="1"/>
  <c r="AN83" i="11" s="1"/>
  <c r="AT83" i="11" s="1"/>
  <c r="AL84" i="11"/>
  <c r="AM84" i="11" s="1"/>
  <c r="AN84" i="11" s="1"/>
  <c r="AL85" i="11"/>
  <c r="AM85" i="11" s="1"/>
  <c r="AN85" i="11" s="1"/>
  <c r="AT85" i="11" s="1"/>
  <c r="AL86" i="11"/>
  <c r="AM86" i="11" s="1"/>
  <c r="AN86" i="11" s="1"/>
  <c r="AT86" i="11" s="1"/>
  <c r="AL87" i="11"/>
  <c r="AM87" i="11" s="1"/>
  <c r="AN87" i="11" s="1"/>
  <c r="AT87" i="11" s="1"/>
  <c r="AL88" i="11"/>
  <c r="AM88" i="11" s="1"/>
  <c r="AN88" i="11" s="1"/>
  <c r="AT88" i="11" s="1"/>
  <c r="AL89" i="11"/>
  <c r="AM89" i="11" s="1"/>
  <c r="AN89" i="11" s="1"/>
  <c r="AT89" i="11" s="1"/>
  <c r="AL90" i="11"/>
  <c r="AM90" i="11" s="1"/>
  <c r="AN90" i="11" s="1"/>
  <c r="AT90" i="11" s="1"/>
  <c r="AL91" i="11"/>
  <c r="AM91" i="11" s="1"/>
  <c r="AN91" i="11" s="1"/>
  <c r="AT91" i="11" s="1"/>
  <c r="AL92" i="11"/>
  <c r="AM92" i="11" s="1"/>
  <c r="AN92" i="11" s="1"/>
  <c r="AT92" i="11" s="1"/>
  <c r="AL93" i="11"/>
  <c r="AM93" i="11" s="1"/>
  <c r="AN93" i="11" s="1"/>
  <c r="AT93" i="11" s="1"/>
  <c r="AL94" i="11"/>
  <c r="AM94" i="11" s="1"/>
  <c r="AN94" i="11" s="1"/>
  <c r="AT94" i="11" s="1"/>
  <c r="AL95" i="11"/>
  <c r="AM95" i="11" s="1"/>
  <c r="AN95" i="11" s="1"/>
  <c r="AL96" i="11"/>
  <c r="AM96" i="11" s="1"/>
  <c r="AN96" i="11" s="1"/>
  <c r="AL97" i="11"/>
  <c r="AM97" i="11" s="1"/>
  <c r="AN97" i="11" s="1"/>
  <c r="AT97" i="11" s="1"/>
  <c r="AL98" i="11"/>
  <c r="AM98" i="11" s="1"/>
  <c r="AN98" i="11" s="1"/>
  <c r="AL99" i="11"/>
  <c r="AM99" i="11" s="1"/>
  <c r="AN99" i="11" s="1"/>
  <c r="AL100" i="11"/>
  <c r="AM100" i="11" s="1"/>
  <c r="AN100" i="11" s="1"/>
  <c r="AT100" i="11" s="1"/>
  <c r="AL101" i="11"/>
  <c r="AM101" i="11" s="1"/>
  <c r="AN101" i="11" s="1"/>
  <c r="AT101" i="11" s="1"/>
  <c r="AL102" i="11"/>
  <c r="AM102" i="11" s="1"/>
  <c r="AN102" i="11" s="1"/>
  <c r="AT102" i="11" s="1"/>
  <c r="AL103" i="11"/>
  <c r="AM103" i="11" s="1"/>
  <c r="AN103" i="11" s="1"/>
  <c r="AT103" i="11" s="1"/>
  <c r="AL104" i="11"/>
  <c r="AM104" i="11" s="1"/>
  <c r="AN104" i="11" s="1"/>
  <c r="AT104" i="11" s="1"/>
  <c r="AL105" i="11"/>
  <c r="AM105" i="11" s="1"/>
  <c r="AN105" i="11" s="1"/>
  <c r="AT105" i="11" s="1"/>
  <c r="AL106" i="11"/>
  <c r="AM106" i="11" s="1"/>
  <c r="AN106" i="11" s="1"/>
  <c r="AT106" i="11" s="1"/>
  <c r="AL107" i="11"/>
  <c r="AM107" i="11" s="1"/>
  <c r="AN107" i="11" s="1"/>
  <c r="AT107" i="11" s="1"/>
  <c r="AL108" i="11"/>
  <c r="AM108" i="11" s="1"/>
  <c r="AN108" i="11" s="1"/>
  <c r="AT108" i="11" s="1"/>
  <c r="AL109" i="11"/>
  <c r="AM109" i="11" s="1"/>
  <c r="AN109" i="11" s="1"/>
  <c r="AT109" i="11" s="1"/>
  <c r="AL110" i="11"/>
  <c r="AM110" i="11" s="1"/>
  <c r="AN110" i="11" s="1"/>
  <c r="AL111" i="11"/>
  <c r="AM111" i="11" s="1"/>
  <c r="AN111" i="11" s="1"/>
  <c r="AT111" i="11" s="1"/>
  <c r="AL112" i="11"/>
  <c r="AM112" i="11" s="1"/>
  <c r="AN112" i="11" s="1"/>
  <c r="AT112" i="11" s="1"/>
  <c r="AL113" i="11"/>
  <c r="AM113" i="11" s="1"/>
  <c r="AN113" i="11" s="1"/>
  <c r="AT113" i="11" s="1"/>
  <c r="AL114" i="11"/>
  <c r="AM114" i="11" s="1"/>
  <c r="AN114" i="11" s="1"/>
  <c r="AL115" i="11"/>
  <c r="AM115" i="11" s="1"/>
  <c r="AN115" i="11" s="1"/>
  <c r="AT115" i="11" s="1"/>
  <c r="AL116" i="11"/>
  <c r="AM116" i="11" s="1"/>
  <c r="AN116" i="11" s="1"/>
  <c r="AT116" i="11" s="1"/>
  <c r="AL117" i="11"/>
  <c r="AM117" i="11" s="1"/>
  <c r="AN117" i="11" s="1"/>
  <c r="AL118" i="11"/>
  <c r="AM118" i="11" s="1"/>
  <c r="AN118" i="11" s="1"/>
  <c r="AT118" i="11" s="1"/>
  <c r="AL119" i="11"/>
  <c r="AM119" i="11" s="1"/>
  <c r="AN119" i="11" s="1"/>
  <c r="AT119" i="11" s="1"/>
  <c r="AL120" i="11"/>
  <c r="AM120" i="11" s="1"/>
  <c r="AN120" i="11" s="1"/>
  <c r="AL121" i="11"/>
  <c r="AM121" i="11" s="1"/>
  <c r="AN121" i="11" s="1"/>
  <c r="AL122" i="11"/>
  <c r="AM122" i="11" s="1"/>
  <c r="AN122" i="11" s="1"/>
  <c r="AT122" i="11" s="1"/>
  <c r="AL123" i="11"/>
  <c r="AM123" i="11" s="1"/>
  <c r="AN123" i="11" s="1"/>
  <c r="AT123" i="11" s="1"/>
  <c r="AL124" i="11"/>
  <c r="AM124" i="11" s="1"/>
  <c r="AN124" i="11" s="1"/>
  <c r="AT124" i="11" s="1"/>
  <c r="AL125" i="11"/>
  <c r="AM125" i="11" s="1"/>
  <c r="AN125" i="11" s="1"/>
  <c r="AT125" i="11" s="1"/>
  <c r="AL126" i="11"/>
  <c r="AM126" i="11" s="1"/>
  <c r="AN126" i="11" s="1"/>
  <c r="AT126" i="11" s="1"/>
  <c r="AL127" i="11"/>
  <c r="AM127" i="11" s="1"/>
  <c r="AN127" i="11" s="1"/>
  <c r="AT127" i="11" s="1"/>
  <c r="AL128" i="11"/>
  <c r="AM128" i="11" s="1"/>
  <c r="AN128" i="11" s="1"/>
  <c r="AL129" i="11"/>
  <c r="AM129" i="11" s="1"/>
  <c r="AN129" i="11" s="1"/>
  <c r="AT129" i="11" s="1"/>
  <c r="AL130" i="11"/>
  <c r="AM130" i="11" s="1"/>
  <c r="AN130" i="11" s="1"/>
  <c r="AT130" i="11" s="1"/>
  <c r="AL131" i="11"/>
  <c r="AM131" i="11" s="1"/>
  <c r="AN131" i="11" s="1"/>
  <c r="AL132" i="11"/>
  <c r="AM132" i="11" s="1"/>
  <c r="AN132" i="11" s="1"/>
  <c r="AT132" i="11" s="1"/>
  <c r="AL133" i="11"/>
  <c r="AM133" i="11" s="1"/>
  <c r="AN133" i="11" s="1"/>
  <c r="AL134" i="11"/>
  <c r="AM134" i="11" s="1"/>
  <c r="AN134" i="11" s="1"/>
  <c r="AT134" i="11" s="1"/>
  <c r="AL135" i="11"/>
  <c r="AM135" i="11" s="1"/>
  <c r="AN135" i="11" s="1"/>
  <c r="AT135" i="11" s="1"/>
  <c r="AL136" i="11"/>
  <c r="AM136" i="11" s="1"/>
  <c r="AN136" i="11" s="1"/>
  <c r="AT136" i="11" s="1"/>
  <c r="E137" i="20" s="1"/>
  <c r="AL137" i="11"/>
  <c r="AM137" i="11" s="1"/>
  <c r="AN137" i="11" s="1"/>
  <c r="AL138" i="11"/>
  <c r="AM138" i="11" s="1"/>
  <c r="AN138" i="11" s="1"/>
  <c r="AT138" i="11" s="1"/>
  <c r="AL139" i="11"/>
  <c r="AM139" i="11" s="1"/>
  <c r="AN139" i="11" s="1"/>
  <c r="AL140" i="11"/>
  <c r="AM140" i="11" s="1"/>
  <c r="AN140" i="11" s="1"/>
  <c r="AT140" i="11" s="1"/>
  <c r="AL141" i="11"/>
  <c r="AM141" i="11" s="1"/>
  <c r="AN141" i="11" s="1"/>
  <c r="AL142" i="11"/>
  <c r="AM142" i="11" s="1"/>
  <c r="AN142" i="11" s="1"/>
  <c r="AT142" i="11" s="1"/>
  <c r="AL143" i="11"/>
  <c r="AM143" i="11" s="1"/>
  <c r="AN143" i="11" s="1"/>
  <c r="AT143" i="11" s="1"/>
  <c r="AL144" i="11"/>
  <c r="AM144" i="11" s="1"/>
  <c r="AN144" i="11" s="1"/>
  <c r="AT144" i="11" s="1"/>
  <c r="AL145" i="11"/>
  <c r="AM145" i="11" s="1"/>
  <c r="AN145" i="11" s="1"/>
  <c r="AT145" i="11" s="1"/>
  <c r="AL146" i="11"/>
  <c r="AM146" i="11" s="1"/>
  <c r="AN146" i="11" s="1"/>
  <c r="AL147" i="11"/>
  <c r="AM147" i="11" s="1"/>
  <c r="AN147" i="11" s="1"/>
  <c r="AT147" i="11" s="1"/>
  <c r="AL148" i="11"/>
  <c r="AM148" i="11" s="1"/>
  <c r="AN148" i="11" s="1"/>
  <c r="AL149" i="11"/>
  <c r="AM149" i="11" s="1"/>
  <c r="AN149" i="11" s="1"/>
  <c r="AT149" i="11" s="1"/>
  <c r="AL150" i="11"/>
  <c r="AM150" i="11" s="1"/>
  <c r="AN150" i="11" s="1"/>
  <c r="AT150" i="11" s="1"/>
  <c r="AL151" i="11"/>
  <c r="AM151" i="11" s="1"/>
  <c r="AN151" i="11" s="1"/>
  <c r="AT151" i="11" s="1"/>
  <c r="AL152" i="11"/>
  <c r="AM152" i="11" s="1"/>
  <c r="AN152" i="11" s="1"/>
  <c r="AT152" i="11" s="1"/>
  <c r="AL153" i="11"/>
  <c r="AM153" i="11" s="1"/>
  <c r="AN153" i="11" s="1"/>
  <c r="AT153" i="11" s="1"/>
  <c r="AL154" i="11"/>
  <c r="AM154" i="11" s="1"/>
  <c r="AN154" i="11" s="1"/>
  <c r="AT154" i="11" s="1"/>
  <c r="AL155" i="11"/>
  <c r="AM155" i="11" s="1"/>
  <c r="AN155" i="11" s="1"/>
  <c r="AT155" i="11" s="1"/>
  <c r="AL156" i="11"/>
  <c r="AM156" i="11" s="1"/>
  <c r="AN156" i="11" s="1"/>
  <c r="AT156" i="11" s="1"/>
  <c r="AL157" i="11"/>
  <c r="AM157" i="11" s="1"/>
  <c r="AN157" i="11" s="1"/>
  <c r="AT157" i="11" s="1"/>
  <c r="AL158" i="11"/>
  <c r="AM158" i="11" s="1"/>
  <c r="AN158" i="11" s="1"/>
  <c r="AT158" i="11" s="1"/>
  <c r="AL159" i="11"/>
  <c r="AM159" i="11" s="1"/>
  <c r="AN159" i="11" s="1"/>
  <c r="AT159" i="11" s="1"/>
  <c r="AL160" i="11"/>
  <c r="AM160" i="11" s="1"/>
  <c r="AN160" i="11" s="1"/>
  <c r="AT160" i="11" s="1"/>
  <c r="AL161" i="11"/>
  <c r="AM161" i="11" s="1"/>
  <c r="AN161" i="11" s="1"/>
  <c r="AT161" i="11" s="1"/>
  <c r="AL162" i="11"/>
  <c r="AM162" i="11" s="1"/>
  <c r="AN162" i="11" s="1"/>
  <c r="AT162" i="11" s="1"/>
  <c r="AL163" i="11"/>
  <c r="AM163" i="11" s="1"/>
  <c r="AN163" i="11" s="1"/>
  <c r="AT163" i="11" s="1"/>
  <c r="AL164" i="11"/>
  <c r="AM164" i="11" s="1"/>
  <c r="AN164" i="11" s="1"/>
  <c r="AT164" i="11" s="1"/>
  <c r="AL165" i="11"/>
  <c r="AM165" i="11" s="1"/>
  <c r="AN165" i="11" s="1"/>
  <c r="AL166" i="11"/>
  <c r="AM166" i="11" s="1"/>
  <c r="AN166" i="11" s="1"/>
  <c r="AL167" i="11"/>
  <c r="AM167" i="11" s="1"/>
  <c r="AN167" i="11" s="1"/>
  <c r="AT167" i="11" s="1"/>
  <c r="AL168" i="11"/>
  <c r="AM168" i="11" s="1"/>
  <c r="AN168" i="11" s="1"/>
  <c r="AT168" i="11" s="1"/>
  <c r="AL169" i="11"/>
  <c r="AM169" i="11" s="1"/>
  <c r="AN169" i="11" s="1"/>
  <c r="AT169" i="11" s="1"/>
  <c r="AL170" i="11"/>
  <c r="AM170" i="11" s="1"/>
  <c r="AN170" i="11" s="1"/>
  <c r="AT170" i="11" s="1"/>
  <c r="AL171" i="11"/>
  <c r="AM171" i="11" s="1"/>
  <c r="AN171" i="11" s="1"/>
  <c r="AT171" i="11" s="1"/>
  <c r="AL172" i="11"/>
  <c r="AM172" i="11" s="1"/>
  <c r="AN172" i="11" s="1"/>
  <c r="AT172" i="11" s="1"/>
  <c r="AL173" i="11"/>
  <c r="AM173" i="11" s="1"/>
  <c r="AN173" i="11" s="1"/>
  <c r="AL174" i="11"/>
  <c r="AM174" i="11" s="1"/>
  <c r="AN174" i="11" s="1"/>
  <c r="AT174" i="11" s="1"/>
  <c r="AL175" i="11"/>
  <c r="AM175" i="11" s="1"/>
  <c r="AN175" i="11" s="1"/>
  <c r="AT175" i="11" s="1"/>
  <c r="AL176" i="11"/>
  <c r="AM176" i="11" s="1"/>
  <c r="AN176" i="11" s="1"/>
  <c r="AT176" i="11" s="1"/>
  <c r="AL177" i="11"/>
  <c r="AM177" i="11" s="1"/>
  <c r="AN177" i="11" s="1"/>
  <c r="AT177" i="11" s="1"/>
  <c r="AL178" i="11"/>
  <c r="AM178" i="11" s="1"/>
  <c r="AN178" i="11" s="1"/>
  <c r="AT178" i="11" s="1"/>
  <c r="AL179" i="11"/>
  <c r="AM179" i="11" s="1"/>
  <c r="AN179" i="11" s="1"/>
  <c r="AT179" i="11" s="1"/>
  <c r="AL180" i="11"/>
  <c r="AM180" i="11" s="1"/>
  <c r="AN180" i="11" s="1"/>
  <c r="AT180" i="11" s="1"/>
  <c r="AL181" i="11"/>
  <c r="AM181" i="11" s="1"/>
  <c r="AN181" i="11" s="1"/>
  <c r="AL182" i="11"/>
  <c r="AM182" i="11" s="1"/>
  <c r="AN182" i="11" s="1"/>
  <c r="AT182" i="11" s="1"/>
  <c r="AL183" i="11"/>
  <c r="AM183" i="11" s="1"/>
  <c r="AN183" i="11" s="1"/>
  <c r="AL184" i="11"/>
  <c r="AM184" i="11" s="1"/>
  <c r="AN184" i="11" s="1"/>
  <c r="AT184" i="11" s="1"/>
  <c r="AL185" i="11"/>
  <c r="AM185" i="11" s="1"/>
  <c r="AN185" i="11" s="1"/>
  <c r="AT185" i="11" s="1"/>
  <c r="AL186" i="11"/>
  <c r="AM186" i="11" s="1"/>
  <c r="AN186" i="11" s="1"/>
  <c r="AT186" i="11" s="1"/>
  <c r="AL187" i="11"/>
  <c r="AM187" i="11" s="1"/>
  <c r="AN187" i="11" s="1"/>
  <c r="AT187" i="11" s="1"/>
  <c r="AL188" i="11"/>
  <c r="AM188" i="11" s="1"/>
  <c r="AN188" i="11" s="1"/>
  <c r="AL189" i="11"/>
  <c r="AM189" i="11" s="1"/>
  <c r="AN189" i="11" s="1"/>
  <c r="AL190" i="11"/>
  <c r="AM190" i="11" s="1"/>
  <c r="AN190" i="11" s="1"/>
  <c r="AL191" i="11"/>
  <c r="AM191" i="11" s="1"/>
  <c r="AN191" i="11" s="1"/>
  <c r="AL192" i="11"/>
  <c r="AM192" i="11" s="1"/>
  <c r="AN192" i="11" s="1"/>
  <c r="AL193" i="11"/>
  <c r="AM193" i="11" s="1"/>
  <c r="AN193" i="11" s="1"/>
  <c r="AT193" i="11" s="1"/>
  <c r="AL194" i="11"/>
  <c r="AM194" i="11" s="1"/>
  <c r="AN194" i="11" s="1"/>
  <c r="AT194" i="11" s="1"/>
  <c r="AL195" i="11"/>
  <c r="AM195" i="11" s="1"/>
  <c r="AN195" i="11" s="1"/>
  <c r="AT195" i="11" s="1"/>
  <c r="AL196" i="11"/>
  <c r="AM196" i="11" s="1"/>
  <c r="AN196" i="11" s="1"/>
  <c r="AT196" i="11" s="1"/>
  <c r="AL197" i="11"/>
  <c r="AM197" i="11" s="1"/>
  <c r="AN197" i="11" s="1"/>
  <c r="AT197" i="11" s="1"/>
  <c r="AL198" i="11"/>
  <c r="AM198" i="11" s="1"/>
  <c r="AN198" i="11" s="1"/>
  <c r="AT198" i="11" s="1"/>
  <c r="AL199" i="11"/>
  <c r="AM199" i="11" s="1"/>
  <c r="AN199" i="11" s="1"/>
  <c r="AT199" i="11" s="1"/>
  <c r="AL200" i="11"/>
  <c r="AM200" i="11" s="1"/>
  <c r="AN200" i="11" s="1"/>
  <c r="AT200" i="11" s="1"/>
  <c r="AL201" i="11"/>
  <c r="AM201" i="11" s="1"/>
  <c r="AN201" i="11" s="1"/>
  <c r="AT201" i="11" s="1"/>
  <c r="AL202" i="11"/>
  <c r="AM202" i="11" s="1"/>
  <c r="AN202" i="11" s="1"/>
  <c r="AT202" i="11" s="1"/>
  <c r="AL203" i="11"/>
  <c r="AM203" i="11" s="1"/>
  <c r="AN203" i="11" s="1"/>
  <c r="AT203" i="11" s="1"/>
  <c r="AL204" i="11"/>
  <c r="AM204" i="11" s="1"/>
  <c r="AN204" i="11" s="1"/>
  <c r="AT204" i="11" s="1"/>
  <c r="AL205" i="11"/>
  <c r="AM205" i="11" s="1"/>
  <c r="AN205" i="11" s="1"/>
  <c r="AT205" i="11" s="1"/>
  <c r="AL206" i="11"/>
  <c r="AM206" i="11" s="1"/>
  <c r="AN206" i="11" s="1"/>
  <c r="AT206" i="11" s="1"/>
  <c r="AL207" i="11"/>
  <c r="AM207" i="11" s="1"/>
  <c r="AN207" i="11" s="1"/>
  <c r="AT207" i="11" s="1"/>
  <c r="AL208" i="11"/>
  <c r="AM208" i="11" s="1"/>
  <c r="AN208" i="11" s="1"/>
  <c r="AT208" i="11" s="1"/>
  <c r="AL209" i="11"/>
  <c r="AM209" i="11" s="1"/>
  <c r="AN209" i="11" s="1"/>
  <c r="AL210" i="11"/>
  <c r="AM210" i="11" s="1"/>
  <c r="AN210" i="11" s="1"/>
  <c r="AT210" i="11" s="1"/>
  <c r="AL211" i="11"/>
  <c r="AM211" i="11" s="1"/>
  <c r="AN211" i="11" s="1"/>
  <c r="AT211" i="11" s="1"/>
  <c r="AL212" i="11"/>
  <c r="AM212" i="11" s="1"/>
  <c r="AN212" i="11" s="1"/>
  <c r="AT212" i="11" s="1"/>
  <c r="AL213" i="11"/>
  <c r="AM213" i="11" s="1"/>
  <c r="AN213" i="11" s="1"/>
  <c r="AL214" i="11"/>
  <c r="AM214" i="11" s="1"/>
  <c r="AN214" i="11" s="1"/>
  <c r="AT214" i="11" s="1"/>
  <c r="AL215" i="11"/>
  <c r="AM215" i="11" s="1"/>
  <c r="AN215" i="11" s="1"/>
  <c r="AT215" i="11" s="1"/>
  <c r="AL216" i="11"/>
  <c r="AM216" i="11" s="1"/>
  <c r="AN216" i="11" s="1"/>
  <c r="AL217" i="11"/>
  <c r="AM217" i="11" s="1"/>
  <c r="AN217" i="11" s="1"/>
  <c r="AT217" i="11" s="1"/>
  <c r="AL218" i="11"/>
  <c r="AM218" i="11" s="1"/>
  <c r="AN218" i="11" s="1"/>
  <c r="AT218" i="11" s="1"/>
  <c r="AL219" i="11"/>
  <c r="AM219" i="11" s="1"/>
  <c r="AN219" i="11" s="1"/>
  <c r="AL220" i="11"/>
  <c r="AM220" i="11" s="1"/>
  <c r="AN220" i="11" s="1"/>
  <c r="AT220" i="11" s="1"/>
  <c r="AL221" i="11"/>
  <c r="AM221" i="11" s="1"/>
  <c r="AN221" i="11" s="1"/>
  <c r="AT221" i="11" s="1"/>
  <c r="AL222" i="11"/>
  <c r="AM222" i="11" s="1"/>
  <c r="AN222" i="11" s="1"/>
  <c r="AT222" i="11" s="1"/>
  <c r="AL223" i="11"/>
  <c r="AM223" i="11" s="1"/>
  <c r="AN223" i="11" s="1"/>
  <c r="AL224" i="11"/>
  <c r="AM224" i="11" s="1"/>
  <c r="AN224" i="11" s="1"/>
  <c r="AT224" i="11" s="1"/>
  <c r="AL225" i="11"/>
  <c r="AM225" i="11" s="1"/>
  <c r="AN225" i="11" s="1"/>
  <c r="AT225" i="11" s="1"/>
  <c r="AL226" i="11"/>
  <c r="AM226" i="11" s="1"/>
  <c r="AN226" i="11" s="1"/>
  <c r="AT226" i="11" s="1"/>
  <c r="AL227" i="11"/>
  <c r="AM227" i="11" s="1"/>
  <c r="AN227" i="11" s="1"/>
  <c r="AT227" i="11" s="1"/>
  <c r="AL228" i="11"/>
  <c r="AM228" i="11" s="1"/>
  <c r="AN228" i="11" s="1"/>
  <c r="AT228" i="11" s="1"/>
  <c r="AL229" i="11"/>
  <c r="AM229" i="11" s="1"/>
  <c r="AN229" i="11" s="1"/>
  <c r="AT229" i="11" s="1"/>
  <c r="AL230" i="11"/>
  <c r="AM230" i="11" s="1"/>
  <c r="AN230" i="11" s="1"/>
  <c r="AT230" i="11" s="1"/>
  <c r="AL231" i="11"/>
  <c r="AM231" i="11" s="1"/>
  <c r="AN231" i="11" s="1"/>
  <c r="AT231" i="11" s="1"/>
  <c r="AL232" i="11"/>
  <c r="AM232" i="11" s="1"/>
  <c r="AN232" i="11" s="1"/>
  <c r="AT232" i="11" s="1"/>
  <c r="AL233" i="11"/>
  <c r="AM233" i="11" s="1"/>
  <c r="AN233" i="11" s="1"/>
  <c r="AT233" i="11" s="1"/>
  <c r="AL234" i="11"/>
  <c r="AM234" i="11" s="1"/>
  <c r="AN234" i="11" s="1"/>
  <c r="AT234" i="11" s="1"/>
  <c r="AL235" i="11"/>
  <c r="AM235" i="11" s="1"/>
  <c r="AN235" i="11" s="1"/>
  <c r="AT235" i="11" s="1"/>
  <c r="AL236" i="11"/>
  <c r="AM236" i="11" s="1"/>
  <c r="AN236" i="11" s="1"/>
  <c r="AT236" i="11" s="1"/>
  <c r="AL237" i="11"/>
  <c r="AM237" i="11" s="1"/>
  <c r="AN237" i="11" s="1"/>
  <c r="AL238" i="11"/>
  <c r="AM238" i="11" s="1"/>
  <c r="AN238" i="11" s="1"/>
  <c r="AL239" i="11"/>
  <c r="AM239" i="11" s="1"/>
  <c r="AN239" i="11" s="1"/>
  <c r="AL240" i="11"/>
  <c r="AM240" i="11" s="1"/>
  <c r="AN240" i="11" s="1"/>
  <c r="AT240" i="11" s="1"/>
  <c r="AL241" i="11"/>
  <c r="AM241" i="11" s="1"/>
  <c r="AN241" i="11" s="1"/>
  <c r="AL242" i="11"/>
  <c r="AM242" i="11" s="1"/>
  <c r="AN242" i="11" s="1"/>
  <c r="AT242" i="11" s="1"/>
  <c r="AL243" i="11"/>
  <c r="AM243" i="11" s="1"/>
  <c r="AN243" i="11" s="1"/>
  <c r="AT243" i="11" s="1"/>
  <c r="AL244" i="11"/>
  <c r="AM244" i="11" s="1"/>
  <c r="AN244" i="11" s="1"/>
  <c r="AT244" i="11" s="1"/>
  <c r="AL245" i="11"/>
  <c r="AM245" i="11" s="1"/>
  <c r="AN245" i="11" s="1"/>
  <c r="AT245" i="11" s="1"/>
  <c r="AL246" i="11"/>
  <c r="AM246" i="11" s="1"/>
  <c r="AN246" i="11" s="1"/>
  <c r="AT246" i="11" s="1"/>
  <c r="AL247" i="11"/>
  <c r="AM247" i="11" s="1"/>
  <c r="AN247" i="11" s="1"/>
  <c r="AT247" i="11" s="1"/>
  <c r="AL248" i="11"/>
  <c r="AM248" i="11" s="1"/>
  <c r="AN248" i="11" s="1"/>
  <c r="AT248" i="11" s="1"/>
  <c r="AL249" i="11"/>
  <c r="AM249" i="11" s="1"/>
  <c r="AN249" i="11" s="1"/>
  <c r="AT249" i="11" s="1"/>
  <c r="AL250" i="11"/>
  <c r="AM250" i="11" s="1"/>
  <c r="AN250" i="11" s="1"/>
  <c r="AT250" i="11" s="1"/>
  <c r="AL251" i="11"/>
  <c r="AM251" i="11" s="1"/>
  <c r="AN251" i="11" s="1"/>
  <c r="AL252" i="11"/>
  <c r="AM252" i="11" s="1"/>
  <c r="AN252" i="11" s="1"/>
  <c r="AT252" i="11" s="1"/>
  <c r="AL253" i="11"/>
  <c r="AM253" i="11" s="1"/>
  <c r="AN253" i="11" s="1"/>
  <c r="AL254" i="11"/>
  <c r="AM254" i="11" s="1"/>
  <c r="AN254" i="11" s="1"/>
  <c r="AT254" i="11" s="1"/>
  <c r="AL255" i="11"/>
  <c r="AM255" i="11" s="1"/>
  <c r="AN255" i="11" s="1"/>
  <c r="AT255" i="11" s="1"/>
  <c r="AL256" i="11"/>
  <c r="AM256" i="11" s="1"/>
  <c r="AN256" i="11" s="1"/>
  <c r="AL257" i="11"/>
  <c r="AM257" i="11" s="1"/>
  <c r="AN257" i="11" s="1"/>
  <c r="AT257" i="11" s="1"/>
  <c r="AL258" i="11"/>
  <c r="AM258" i="11" s="1"/>
  <c r="AN258" i="11" s="1"/>
  <c r="AT258" i="11" s="1"/>
  <c r="AL259" i="11"/>
  <c r="AM259" i="11" s="1"/>
  <c r="AN259" i="11" s="1"/>
  <c r="AT259" i="11" s="1"/>
  <c r="AL260" i="11"/>
  <c r="AM260" i="11" s="1"/>
  <c r="AN260" i="11" s="1"/>
  <c r="AT260" i="11" s="1"/>
  <c r="AL261" i="11"/>
  <c r="AM261" i="11" s="1"/>
  <c r="AN261" i="11" s="1"/>
  <c r="AT261" i="11" s="1"/>
  <c r="AL262" i="11"/>
  <c r="AM262" i="11" s="1"/>
  <c r="AN262" i="11" s="1"/>
  <c r="AL263" i="11"/>
  <c r="AM263" i="11" s="1"/>
  <c r="AN263" i="11" s="1"/>
  <c r="AT263" i="11" s="1"/>
  <c r="AL264" i="11"/>
  <c r="AM264" i="11" s="1"/>
  <c r="AN264" i="11" s="1"/>
  <c r="AT264" i="11" s="1"/>
  <c r="AL265" i="11"/>
  <c r="AM265" i="11" s="1"/>
  <c r="AN265" i="11" s="1"/>
  <c r="AT265" i="11" s="1"/>
  <c r="AL266" i="11"/>
  <c r="AM266" i="11" s="1"/>
  <c r="AN266" i="11" s="1"/>
  <c r="AT266" i="11" s="1"/>
  <c r="AL267" i="11"/>
  <c r="AM267" i="11" s="1"/>
  <c r="AN267" i="11" s="1"/>
  <c r="AT267" i="11" s="1"/>
  <c r="AL268" i="11"/>
  <c r="AM268" i="11" s="1"/>
  <c r="AN268" i="11" s="1"/>
  <c r="AT268" i="11" s="1"/>
  <c r="AL269" i="11"/>
  <c r="AM269" i="11" s="1"/>
  <c r="AN269" i="11" s="1"/>
  <c r="AT269" i="11" s="1"/>
  <c r="AL270" i="11"/>
  <c r="AM270" i="11" s="1"/>
  <c r="AN270" i="11" s="1"/>
  <c r="AT270" i="11" s="1"/>
  <c r="AL271" i="11"/>
  <c r="AM271" i="11" s="1"/>
  <c r="AN271" i="11" s="1"/>
  <c r="AT271" i="11" s="1"/>
  <c r="AL272" i="11"/>
  <c r="AM272" i="11" s="1"/>
  <c r="AN272" i="11" s="1"/>
  <c r="AT272" i="11" s="1"/>
  <c r="AL273" i="11"/>
  <c r="AM273" i="11" s="1"/>
  <c r="AN273" i="11" s="1"/>
  <c r="AT273" i="11" s="1"/>
  <c r="AL274" i="11"/>
  <c r="AM274" i="11" s="1"/>
  <c r="AN274" i="11" s="1"/>
  <c r="AT274" i="11" s="1"/>
  <c r="AL275" i="11"/>
  <c r="AM275" i="11" s="1"/>
  <c r="AN275" i="11" s="1"/>
  <c r="AT275" i="11" s="1"/>
  <c r="AL276" i="11"/>
  <c r="AM276" i="11" s="1"/>
  <c r="AN276" i="11" s="1"/>
  <c r="AT276" i="11" s="1"/>
  <c r="AL277" i="11"/>
  <c r="AM277" i="11" s="1"/>
  <c r="AN277" i="11" s="1"/>
  <c r="AT277" i="11" s="1"/>
  <c r="AL278" i="11"/>
  <c r="AM278" i="11" s="1"/>
  <c r="AN278" i="11" s="1"/>
  <c r="AT278" i="11" s="1"/>
  <c r="AL279" i="11"/>
  <c r="AM279" i="11" s="1"/>
  <c r="AN279" i="11" s="1"/>
  <c r="AL280" i="11"/>
  <c r="AM280" i="11" s="1"/>
  <c r="AN280" i="11" s="1"/>
  <c r="AT280" i="11" s="1"/>
  <c r="AL281" i="11"/>
  <c r="AM281" i="11" s="1"/>
  <c r="AN281" i="11" s="1"/>
  <c r="AT281" i="11" s="1"/>
  <c r="AL282" i="11"/>
  <c r="AM282" i="11" s="1"/>
  <c r="AN282" i="11" s="1"/>
  <c r="AT282" i="11" s="1"/>
  <c r="AL283" i="11"/>
  <c r="AM283" i="11" s="1"/>
  <c r="AN283" i="11" s="1"/>
  <c r="AT283" i="11" s="1"/>
  <c r="AL284" i="11"/>
  <c r="AM284" i="11" s="1"/>
  <c r="AN284" i="11" s="1"/>
  <c r="AT284" i="11" s="1"/>
  <c r="AL285" i="11"/>
  <c r="AM285" i="11" s="1"/>
  <c r="AN285" i="11" s="1"/>
  <c r="AT285" i="11" s="1"/>
  <c r="AL286" i="11"/>
  <c r="AM286" i="11" s="1"/>
  <c r="AN286" i="11" s="1"/>
  <c r="AT286" i="11" s="1"/>
  <c r="AL287" i="11"/>
  <c r="AM287" i="11" s="1"/>
  <c r="AN287" i="11" s="1"/>
  <c r="AT287" i="11" s="1"/>
  <c r="AL288" i="11"/>
  <c r="AM288" i="11" s="1"/>
  <c r="AN288" i="11" s="1"/>
  <c r="AT288" i="11" s="1"/>
  <c r="AL289" i="11"/>
  <c r="AM289" i="11" s="1"/>
  <c r="AN289" i="11" s="1"/>
  <c r="AT289" i="11" s="1"/>
  <c r="AL290" i="11"/>
  <c r="AM290" i="11" s="1"/>
  <c r="AN290" i="11" s="1"/>
  <c r="AL291" i="11"/>
  <c r="AM291" i="11" s="1"/>
  <c r="AN291" i="11" s="1"/>
  <c r="AL292" i="11"/>
  <c r="AM292" i="11" s="1"/>
  <c r="AN292" i="11" s="1"/>
  <c r="AT292" i="11" s="1"/>
  <c r="AL293" i="11"/>
  <c r="AM293" i="11" s="1"/>
  <c r="AN293" i="11" s="1"/>
  <c r="AT293" i="11" s="1"/>
  <c r="AL294" i="11"/>
  <c r="AM294" i="11" s="1"/>
  <c r="AN294" i="11" s="1"/>
  <c r="AT294" i="11" s="1"/>
  <c r="AL295" i="11"/>
  <c r="AM295" i="11" s="1"/>
  <c r="AN295" i="11" s="1"/>
  <c r="AT295" i="11" s="1"/>
  <c r="AL296" i="11"/>
  <c r="AM296" i="11" s="1"/>
  <c r="AN296" i="11" s="1"/>
  <c r="AT296" i="11" s="1"/>
  <c r="AL297" i="11"/>
  <c r="AM297" i="11" s="1"/>
  <c r="AN297" i="11" s="1"/>
  <c r="AL298" i="11"/>
  <c r="AM298" i="11" s="1"/>
  <c r="AN298" i="11" s="1"/>
  <c r="AL299" i="11"/>
  <c r="AM299" i="11" s="1"/>
  <c r="AN299" i="11" s="1"/>
  <c r="AT299" i="11" s="1"/>
  <c r="AL300" i="11"/>
  <c r="AM300" i="11" s="1"/>
  <c r="AN300" i="11" s="1"/>
  <c r="AT300" i="11" s="1"/>
  <c r="AL301" i="11"/>
  <c r="AM301" i="11" s="1"/>
  <c r="AN301" i="11" s="1"/>
  <c r="AL302" i="11"/>
  <c r="AM302" i="11" s="1"/>
  <c r="AN302" i="11" s="1"/>
  <c r="AT302" i="11" s="1"/>
  <c r="AL303" i="11"/>
  <c r="AM303" i="11" s="1"/>
  <c r="AN303" i="11" s="1"/>
  <c r="AL304" i="11"/>
  <c r="AM304" i="11" s="1"/>
  <c r="AN304" i="11" s="1"/>
  <c r="AT304" i="11" s="1"/>
  <c r="AL305" i="11"/>
  <c r="AM305" i="11" s="1"/>
  <c r="AN305" i="11" s="1"/>
  <c r="AT305" i="11" s="1"/>
  <c r="AL306" i="11"/>
  <c r="AM306" i="11" s="1"/>
  <c r="AN306" i="11" s="1"/>
  <c r="AT306" i="11" s="1"/>
  <c r="AL307" i="11"/>
  <c r="AM307" i="11" s="1"/>
  <c r="AN307" i="11" s="1"/>
  <c r="AL308" i="11"/>
  <c r="AM308" i="11" s="1"/>
  <c r="AN308" i="11" s="1"/>
  <c r="AL309" i="11"/>
  <c r="AM309" i="11" s="1"/>
  <c r="AN309" i="11" s="1"/>
  <c r="AT309" i="11" s="1"/>
  <c r="AL310" i="11"/>
  <c r="AM310" i="11" s="1"/>
  <c r="AN310" i="11" s="1"/>
  <c r="AT310" i="11" s="1"/>
  <c r="AL311" i="11"/>
  <c r="AM311" i="11" s="1"/>
  <c r="AN311" i="11" s="1"/>
  <c r="AT311" i="11" s="1"/>
  <c r="AL312" i="11"/>
  <c r="AM312" i="11" s="1"/>
  <c r="AN312" i="11" s="1"/>
  <c r="AT312" i="11" s="1"/>
  <c r="AL313" i="11"/>
  <c r="AM313" i="11" s="1"/>
  <c r="AN313" i="11" s="1"/>
  <c r="AL314" i="11"/>
  <c r="AM314" i="11" s="1"/>
  <c r="AN314" i="11" s="1"/>
  <c r="AT314" i="11" s="1"/>
  <c r="AL315" i="11"/>
  <c r="AM315" i="11" s="1"/>
  <c r="AN315" i="11" s="1"/>
  <c r="AL316" i="11"/>
  <c r="AM316" i="11" s="1"/>
  <c r="AN316" i="11" s="1"/>
  <c r="AT316" i="11" s="1"/>
  <c r="AL317" i="11"/>
  <c r="AM317" i="11" s="1"/>
  <c r="AN317" i="11" s="1"/>
  <c r="AT317" i="11" s="1"/>
  <c r="AL318" i="11"/>
  <c r="AM318" i="11" s="1"/>
  <c r="AN318" i="11" s="1"/>
  <c r="AT318" i="11" s="1"/>
  <c r="AL319" i="11"/>
  <c r="AM319" i="11" s="1"/>
  <c r="AN319" i="11" s="1"/>
  <c r="AL320" i="11"/>
  <c r="AM320" i="11" s="1"/>
  <c r="AN320" i="11" s="1"/>
  <c r="AT320" i="11" s="1"/>
  <c r="AL321" i="11"/>
  <c r="AM321" i="11" s="1"/>
  <c r="AN321" i="11" s="1"/>
  <c r="AT321" i="11" s="1"/>
  <c r="AL322" i="11"/>
  <c r="AM322" i="11" s="1"/>
  <c r="AN322" i="11" s="1"/>
  <c r="AT322" i="11" s="1"/>
  <c r="AL323" i="11"/>
  <c r="AM323" i="11" s="1"/>
  <c r="AN323" i="11" s="1"/>
  <c r="AT323" i="11" s="1"/>
  <c r="AL324" i="11"/>
  <c r="AM324" i="11" s="1"/>
  <c r="AN324" i="11" s="1"/>
  <c r="AT324" i="11" s="1"/>
  <c r="AL325" i="11"/>
  <c r="AM325" i="11" s="1"/>
  <c r="AN325" i="11" s="1"/>
  <c r="AT325" i="11" s="1"/>
  <c r="AL326" i="11"/>
  <c r="AM326" i="11" s="1"/>
  <c r="AN326" i="11" s="1"/>
  <c r="AL327" i="11"/>
  <c r="AM327" i="11" s="1"/>
  <c r="AN327" i="11" s="1"/>
  <c r="AT327" i="11" s="1"/>
  <c r="AL328" i="11"/>
  <c r="AM328" i="11" s="1"/>
  <c r="AN328" i="11" s="1"/>
  <c r="AT328" i="11" s="1"/>
  <c r="AL329" i="11"/>
  <c r="AM329" i="11" s="1"/>
  <c r="AN329" i="11" s="1"/>
  <c r="AT329" i="11" s="1"/>
  <c r="AL330" i="11"/>
  <c r="AM330" i="11" s="1"/>
  <c r="AN330" i="11" s="1"/>
  <c r="AT330" i="11" s="1"/>
  <c r="AL331" i="11"/>
  <c r="AM331" i="11" s="1"/>
  <c r="AN331" i="11" s="1"/>
  <c r="AT331" i="11" s="1"/>
  <c r="AL332" i="11"/>
  <c r="AM332" i="11" s="1"/>
  <c r="AN332" i="11" s="1"/>
  <c r="AT332" i="11" s="1"/>
  <c r="AL333" i="11"/>
  <c r="AM333" i="11" s="1"/>
  <c r="AN333" i="11" s="1"/>
  <c r="AT333" i="11" s="1"/>
  <c r="AL334" i="11"/>
  <c r="AM334" i="11" s="1"/>
  <c r="AN334" i="11" s="1"/>
  <c r="AT334" i="11" s="1"/>
  <c r="AL335" i="11"/>
  <c r="AM335" i="11" s="1"/>
  <c r="AN335" i="11" s="1"/>
  <c r="AT335" i="11" s="1"/>
  <c r="AL336" i="11"/>
  <c r="AM336" i="11" s="1"/>
  <c r="AN336" i="11" s="1"/>
  <c r="AT336" i="11" s="1"/>
  <c r="AL337" i="11"/>
  <c r="AM337" i="11" s="1"/>
  <c r="AN337" i="11" s="1"/>
  <c r="AT337" i="11" s="1"/>
  <c r="AL338" i="11"/>
  <c r="AM338" i="11" s="1"/>
  <c r="AN338" i="11" s="1"/>
  <c r="AT338" i="11" s="1"/>
  <c r="AL339" i="11"/>
  <c r="AM339" i="11" s="1"/>
  <c r="AN339" i="11" s="1"/>
  <c r="AL340" i="11"/>
  <c r="AM340" i="11" s="1"/>
  <c r="AN340" i="11" s="1"/>
  <c r="AT340" i="11" s="1"/>
  <c r="AL341" i="11"/>
  <c r="AM341" i="11" s="1"/>
  <c r="AN341" i="11" s="1"/>
  <c r="AT341" i="11" s="1"/>
  <c r="AL342" i="11"/>
  <c r="AM342" i="11" s="1"/>
  <c r="AN342" i="11" s="1"/>
  <c r="AL343" i="11"/>
  <c r="AM343" i="11" s="1"/>
  <c r="AN343" i="11" s="1"/>
  <c r="AL344" i="11"/>
  <c r="AM344" i="11" s="1"/>
  <c r="AN344" i="11" s="1"/>
  <c r="AT344" i="11" s="1"/>
  <c r="AL345" i="11"/>
  <c r="AM345" i="11" s="1"/>
  <c r="AN345" i="11" s="1"/>
  <c r="AT345" i="11" s="1"/>
  <c r="AL346" i="11"/>
  <c r="AM346" i="11" s="1"/>
  <c r="AN346" i="11" s="1"/>
  <c r="AL347" i="11"/>
  <c r="AM347" i="11" s="1"/>
  <c r="AN347" i="11" s="1"/>
  <c r="AT347" i="11" s="1"/>
  <c r="AL348" i="11"/>
  <c r="AM348" i="11" s="1"/>
  <c r="AN348" i="11" s="1"/>
  <c r="AT348" i="11" s="1"/>
  <c r="AL349" i="11"/>
  <c r="AM349" i="11" s="1"/>
  <c r="AN349" i="11" s="1"/>
  <c r="AT349" i="11" s="1"/>
  <c r="AL350" i="11"/>
  <c r="AM350" i="11" s="1"/>
  <c r="AN350" i="11" s="1"/>
  <c r="AT350" i="11" s="1"/>
  <c r="AL351" i="11"/>
  <c r="AM351" i="11" s="1"/>
  <c r="AN351" i="11" s="1"/>
  <c r="AT351" i="11" s="1"/>
  <c r="AL352" i="11"/>
  <c r="AM352" i="11" s="1"/>
  <c r="AN352" i="11" s="1"/>
  <c r="AT352" i="11" s="1"/>
  <c r="AL353" i="11"/>
  <c r="AM353" i="11" s="1"/>
  <c r="AN353" i="11" s="1"/>
  <c r="AT353" i="11" s="1"/>
  <c r="AL354" i="11"/>
  <c r="AM354" i="11" s="1"/>
  <c r="AN354" i="11" s="1"/>
  <c r="AL355" i="11"/>
  <c r="AM355" i="11" s="1"/>
  <c r="AN355" i="11" s="1"/>
  <c r="AT355" i="11" s="1"/>
  <c r="AL356" i="11"/>
  <c r="AM356" i="11" s="1"/>
  <c r="AN356" i="11" s="1"/>
  <c r="AL357" i="11"/>
  <c r="AM357" i="11" s="1"/>
  <c r="AN357" i="11" s="1"/>
  <c r="AT357" i="11" s="1"/>
  <c r="AL358" i="11"/>
  <c r="AM358" i="11" s="1"/>
  <c r="AN358" i="11" s="1"/>
  <c r="AT358" i="11" s="1"/>
  <c r="AL359" i="11"/>
  <c r="AM359" i="11" s="1"/>
  <c r="AN359" i="11" s="1"/>
  <c r="AT359" i="11" s="1"/>
  <c r="AL360" i="11"/>
  <c r="AM360" i="11" s="1"/>
  <c r="AN360" i="11" s="1"/>
  <c r="AT360" i="11" s="1"/>
  <c r="AL361" i="11"/>
  <c r="AM361" i="11" s="1"/>
  <c r="AN361" i="11" s="1"/>
  <c r="AT361" i="11" s="1"/>
  <c r="AL362" i="11"/>
  <c r="AM362" i="11" s="1"/>
  <c r="AN362" i="11" s="1"/>
  <c r="AL363" i="11"/>
  <c r="AM363" i="11" s="1"/>
  <c r="AN363" i="11" s="1"/>
  <c r="AL364" i="11"/>
  <c r="AM364" i="11" s="1"/>
  <c r="AN364" i="11" s="1"/>
  <c r="AT364" i="11" s="1"/>
  <c r="AL365" i="11"/>
  <c r="AM365" i="11" s="1"/>
  <c r="AN365" i="11" s="1"/>
  <c r="AT365" i="11" s="1"/>
  <c r="AL366" i="11"/>
  <c r="AM366" i="11" s="1"/>
  <c r="AN366" i="11" s="1"/>
  <c r="AT366" i="11" s="1"/>
  <c r="AL367" i="11"/>
  <c r="AM367" i="11" s="1"/>
  <c r="AN367" i="11" s="1"/>
  <c r="AT367" i="11" s="1"/>
  <c r="AL368" i="11"/>
  <c r="AM368" i="11" s="1"/>
  <c r="AN368" i="11" s="1"/>
  <c r="AL369" i="11"/>
  <c r="AM369" i="11" s="1"/>
  <c r="AN369" i="11" s="1"/>
  <c r="AT369" i="11" s="1"/>
  <c r="AL370" i="11"/>
  <c r="AM370" i="11" s="1"/>
  <c r="AN370" i="11" s="1"/>
  <c r="AT370" i="11" s="1"/>
  <c r="AL371" i="11"/>
  <c r="AM371" i="11" s="1"/>
  <c r="AN371" i="11" s="1"/>
  <c r="AT371" i="11" s="1"/>
  <c r="AL372" i="11"/>
  <c r="AM372" i="11" s="1"/>
  <c r="AN372" i="11" s="1"/>
  <c r="AT372" i="11" s="1"/>
  <c r="AL373" i="11"/>
  <c r="AM373" i="11" s="1"/>
  <c r="AN373" i="11" s="1"/>
  <c r="AT373" i="11" s="1"/>
  <c r="AL374" i="11"/>
  <c r="AM374" i="11" s="1"/>
  <c r="AN374" i="11" s="1"/>
  <c r="AT374" i="11" s="1"/>
  <c r="AL375" i="11"/>
  <c r="AM375" i="11" s="1"/>
  <c r="AN375" i="11" s="1"/>
  <c r="AT375" i="11" s="1"/>
  <c r="AL376" i="11"/>
  <c r="AM376" i="11" s="1"/>
  <c r="AN376" i="11" s="1"/>
  <c r="AT376" i="11" s="1"/>
  <c r="AL377" i="11"/>
  <c r="AM377" i="11" s="1"/>
  <c r="AN377" i="11" s="1"/>
  <c r="AT377" i="11" s="1"/>
  <c r="AL378" i="11"/>
  <c r="AM378" i="11" s="1"/>
  <c r="AN378" i="11" s="1"/>
  <c r="AT378" i="11" s="1"/>
  <c r="AL379" i="11"/>
  <c r="AM379" i="11" s="1"/>
  <c r="AN379" i="11" s="1"/>
  <c r="AL380" i="11"/>
  <c r="AM380" i="11" s="1"/>
  <c r="AN380" i="11" s="1"/>
  <c r="AT380" i="11" s="1"/>
  <c r="AL381" i="11"/>
  <c r="AM381" i="11" s="1"/>
  <c r="AN381" i="11" s="1"/>
  <c r="AT381" i="11" s="1"/>
  <c r="AL382" i="11"/>
  <c r="AM382" i="11" s="1"/>
  <c r="AN382" i="11" s="1"/>
  <c r="AT382" i="11" s="1"/>
  <c r="AL383" i="11"/>
  <c r="AM383" i="11" s="1"/>
  <c r="AN383" i="11" s="1"/>
  <c r="AT383" i="11" s="1"/>
  <c r="AL384" i="11"/>
  <c r="AM384" i="11" s="1"/>
  <c r="AN384" i="11" s="1"/>
  <c r="AT384" i="11" s="1"/>
  <c r="AL385" i="11"/>
  <c r="AM385" i="11" s="1"/>
  <c r="AN385" i="11" s="1"/>
  <c r="AT385" i="11" s="1"/>
  <c r="AL386" i="11"/>
  <c r="AM386" i="11" s="1"/>
  <c r="AN386" i="11" s="1"/>
  <c r="AL387" i="11"/>
  <c r="AM387" i="11" s="1"/>
  <c r="AN387" i="11" s="1"/>
  <c r="AT387" i="11" s="1"/>
  <c r="AL388" i="11"/>
  <c r="AM388" i="11" s="1"/>
  <c r="AN388" i="11" s="1"/>
  <c r="AT388" i="11" s="1"/>
  <c r="AL389" i="11"/>
  <c r="AM389" i="11" s="1"/>
  <c r="AN389" i="11" s="1"/>
  <c r="AT389" i="11" s="1"/>
  <c r="AL390" i="11"/>
  <c r="AM390" i="11" s="1"/>
  <c r="AN390" i="11" s="1"/>
  <c r="AT390" i="11" s="1"/>
  <c r="AL391" i="11"/>
  <c r="AM391" i="11" s="1"/>
  <c r="AN391" i="11" s="1"/>
  <c r="AT391" i="11" s="1"/>
  <c r="AL392" i="11"/>
  <c r="AM392" i="11" s="1"/>
  <c r="AN392" i="11" s="1"/>
  <c r="AT392" i="11" s="1"/>
  <c r="AL393" i="11"/>
  <c r="AM393" i="11" s="1"/>
  <c r="AN393" i="11" s="1"/>
  <c r="AT393" i="11" s="1"/>
  <c r="AL394" i="11"/>
  <c r="AM394" i="11" s="1"/>
  <c r="AN394" i="11" s="1"/>
  <c r="AT394" i="11" s="1"/>
  <c r="AL395" i="11"/>
  <c r="AM395" i="11" s="1"/>
  <c r="AN395" i="11" s="1"/>
  <c r="AL396" i="11"/>
  <c r="AM396" i="11" s="1"/>
  <c r="AN396" i="11" s="1"/>
  <c r="AT396" i="11" s="1"/>
  <c r="AL397" i="11"/>
  <c r="AM397" i="11" s="1"/>
  <c r="AN397" i="11" s="1"/>
  <c r="AT397" i="11" s="1"/>
  <c r="AL398" i="11"/>
  <c r="AM398" i="11" s="1"/>
  <c r="AN398" i="11" s="1"/>
  <c r="AT398" i="11" s="1"/>
  <c r="AL399" i="11"/>
  <c r="AM399" i="11" s="1"/>
  <c r="AN399" i="11" s="1"/>
  <c r="AT399" i="11" s="1"/>
  <c r="AL400" i="11"/>
  <c r="AM400" i="11" s="1"/>
  <c r="AN400" i="11" s="1"/>
  <c r="AT400" i="11" s="1"/>
  <c r="AL401" i="11"/>
  <c r="AM401" i="11" s="1"/>
  <c r="AN401" i="11" s="1"/>
  <c r="AL402" i="11"/>
  <c r="AM402" i="11" s="1"/>
  <c r="AN402" i="11" s="1"/>
  <c r="AT402" i="11" s="1"/>
  <c r="AL403" i="11"/>
  <c r="AM403" i="11" s="1"/>
  <c r="AN403" i="11" s="1"/>
  <c r="AT403" i="11" s="1"/>
  <c r="AL404" i="11"/>
  <c r="AM404" i="11" s="1"/>
  <c r="AN404" i="11" s="1"/>
  <c r="AT404" i="11" s="1"/>
  <c r="AL405" i="11"/>
  <c r="AM405" i="11" s="1"/>
  <c r="AN405" i="11" s="1"/>
  <c r="AT405" i="11" s="1"/>
  <c r="AL406" i="11"/>
  <c r="AM406" i="11" s="1"/>
  <c r="AN406" i="11" s="1"/>
  <c r="AT406" i="11" s="1"/>
  <c r="AL407" i="11"/>
  <c r="AM407" i="11" s="1"/>
  <c r="AN407" i="11" s="1"/>
  <c r="AT407" i="11" s="1"/>
  <c r="AL408" i="11"/>
  <c r="AM408" i="11" s="1"/>
  <c r="AN408" i="11" s="1"/>
  <c r="AT408" i="11" s="1"/>
  <c r="AL409" i="11"/>
  <c r="AM409" i="11" s="1"/>
  <c r="AN409" i="11" s="1"/>
  <c r="AT409" i="11" s="1"/>
  <c r="AL410" i="11"/>
  <c r="AM410" i="11" s="1"/>
  <c r="AN410" i="11" s="1"/>
  <c r="AT410" i="11" s="1"/>
  <c r="AL411" i="11"/>
  <c r="AM411" i="11" s="1"/>
  <c r="AN411" i="11" s="1"/>
  <c r="AT411" i="11" s="1"/>
  <c r="AL412" i="11"/>
  <c r="AM412" i="11" s="1"/>
  <c r="AN412" i="11" s="1"/>
  <c r="AT412" i="11" s="1"/>
  <c r="AL413" i="11"/>
  <c r="AM413" i="11" s="1"/>
  <c r="AN413" i="11" s="1"/>
  <c r="AL414" i="11"/>
  <c r="AM414" i="11" s="1"/>
  <c r="AN414" i="11" s="1"/>
  <c r="AK4" i="12" l="1"/>
  <c r="AK5" i="12"/>
  <c r="A6" i="12"/>
  <c r="P8" i="15"/>
  <c r="B6" i="12"/>
  <c r="D8" i="15"/>
  <c r="E8" i="15"/>
  <c r="F8" i="15"/>
  <c r="G8" i="15"/>
  <c r="G9" i="15"/>
  <c r="F9" i="15"/>
  <c r="D9" i="15"/>
  <c r="E9" i="15"/>
  <c r="B7" i="12"/>
  <c r="R8" i="14"/>
  <c r="B9" i="15"/>
  <c r="Q9" i="15" s="1"/>
  <c r="J8" i="15"/>
  <c r="AI3" i="12"/>
  <c r="AE4" i="12"/>
  <c r="G4" i="12"/>
  <c r="K4" i="12"/>
  <c r="O4" i="12"/>
  <c r="S4" i="12"/>
  <c r="W4" i="12"/>
  <c r="AA4" i="12"/>
  <c r="H4" i="12"/>
  <c r="L4" i="12"/>
  <c r="P4" i="12"/>
  <c r="T4" i="12"/>
  <c r="X4" i="12"/>
  <c r="AB4" i="12"/>
  <c r="I4" i="12"/>
  <c r="M4" i="12"/>
  <c r="Q4" i="12"/>
  <c r="U4" i="12"/>
  <c r="Y4" i="12"/>
  <c r="AC4" i="12"/>
  <c r="J4" i="12"/>
  <c r="N4" i="12"/>
  <c r="R4" i="12"/>
  <c r="V4" i="12"/>
  <c r="Z4" i="12"/>
  <c r="AD4" i="12"/>
  <c r="F4" i="12"/>
  <c r="AE5" i="12"/>
  <c r="G5" i="12"/>
  <c r="K5" i="12"/>
  <c r="O5" i="12"/>
  <c r="S5" i="12"/>
  <c r="W5" i="12"/>
  <c r="AA5" i="12"/>
  <c r="H5" i="12"/>
  <c r="L5" i="12"/>
  <c r="P5" i="12"/>
  <c r="T5" i="12"/>
  <c r="X5" i="12"/>
  <c r="AB5" i="12"/>
  <c r="I5" i="12"/>
  <c r="M5" i="12"/>
  <c r="Q5" i="12"/>
  <c r="U5" i="12"/>
  <c r="Y5" i="12"/>
  <c r="AC5" i="12"/>
  <c r="J5" i="12"/>
  <c r="N5" i="12"/>
  <c r="R5" i="12"/>
  <c r="V5" i="12"/>
  <c r="Z5" i="12"/>
  <c r="AD5" i="12"/>
  <c r="F5" i="12"/>
  <c r="R9" i="14" l="1"/>
  <c r="C11" i="15" s="1"/>
  <c r="C10" i="15"/>
  <c r="B10" i="15"/>
  <c r="Q10" i="15" s="1"/>
  <c r="C7" i="12"/>
  <c r="D7" i="12"/>
  <c r="AK7" i="12"/>
  <c r="AM7" i="12"/>
  <c r="J9" i="15"/>
  <c r="D6" i="12"/>
  <c r="C6" i="12"/>
  <c r="AM6" i="12"/>
  <c r="AK6" i="12"/>
  <c r="P9" i="15"/>
  <c r="A7" i="12"/>
  <c r="AR3" i="12"/>
  <c r="AI5" i="12"/>
  <c r="AI4" i="12"/>
  <c r="AV2" i="11"/>
  <c r="B11" i="15" l="1"/>
  <c r="Q11" i="15" s="1"/>
  <c r="P10" i="15"/>
  <c r="A8" i="12"/>
  <c r="B9" i="12"/>
  <c r="D11" i="15"/>
  <c r="E11" i="15"/>
  <c r="F11" i="15"/>
  <c r="G11" i="15"/>
  <c r="B8" i="12"/>
  <c r="D10" i="15"/>
  <c r="G10" i="15"/>
  <c r="E10" i="15"/>
  <c r="F10" i="15"/>
  <c r="R10" i="14"/>
  <c r="O6" i="12"/>
  <c r="H6" i="12"/>
  <c r="X6" i="12"/>
  <c r="Q6" i="12"/>
  <c r="J6" i="12"/>
  <c r="Z6" i="12"/>
  <c r="AE6" i="12"/>
  <c r="S6" i="12"/>
  <c r="L6" i="12"/>
  <c r="AB6" i="12"/>
  <c r="U6" i="12"/>
  <c r="N6" i="12"/>
  <c r="AD6" i="12"/>
  <c r="G6" i="12"/>
  <c r="W6" i="12"/>
  <c r="P6" i="12"/>
  <c r="I6" i="12"/>
  <c r="Y6" i="12"/>
  <c r="R6" i="12"/>
  <c r="F6" i="12"/>
  <c r="K6" i="12"/>
  <c r="AC6" i="12"/>
  <c r="T6" i="12"/>
  <c r="AA6" i="12"/>
  <c r="V6" i="12"/>
  <c r="M6" i="12"/>
  <c r="O7" i="12"/>
  <c r="H7" i="12"/>
  <c r="X7" i="12"/>
  <c r="Q7" i="12"/>
  <c r="J7" i="12"/>
  <c r="Z7" i="12"/>
  <c r="AE7" i="12"/>
  <c r="S7" i="12"/>
  <c r="G7" i="12"/>
  <c r="W7" i="12"/>
  <c r="P7" i="12"/>
  <c r="I7" i="12"/>
  <c r="Y7" i="12"/>
  <c r="R7" i="12"/>
  <c r="F7" i="12"/>
  <c r="L7" i="12"/>
  <c r="U7" i="12"/>
  <c r="AD7" i="12"/>
  <c r="T7" i="12"/>
  <c r="AC7" i="12"/>
  <c r="K7" i="12"/>
  <c r="AB7" i="12"/>
  <c r="N7" i="12"/>
  <c r="AA7" i="12"/>
  <c r="M7" i="12"/>
  <c r="V7" i="12"/>
  <c r="J10" i="15"/>
  <c r="AO5" i="12"/>
  <c r="AP5" i="12" s="1"/>
  <c r="AR5" i="12"/>
  <c r="AO4" i="12"/>
  <c r="AP4" i="12" s="1"/>
  <c r="AR4" i="12"/>
  <c r="AL2" i="11"/>
  <c r="AM2" i="11" s="1"/>
  <c r="AN2" i="11" s="1"/>
  <c r="A9" i="12" l="1"/>
  <c r="AK3" i="12"/>
  <c r="AO3" i="12" s="1"/>
  <c r="P11" i="15"/>
  <c r="AI7" i="12"/>
  <c r="D9" i="12"/>
  <c r="AM9" i="12"/>
  <c r="AK9" i="12"/>
  <c r="C9" i="12"/>
  <c r="D8" i="12"/>
  <c r="C8" i="12"/>
  <c r="AM8" i="12"/>
  <c r="AK8" i="12"/>
  <c r="J11" i="15"/>
  <c r="AI6" i="12"/>
  <c r="R11" i="14"/>
  <c r="B13" i="15" s="1"/>
  <c r="Q13" i="15" s="1"/>
  <c r="C12" i="15"/>
  <c r="B12" i="15"/>
  <c r="Q12" i="15" s="1"/>
  <c r="AT2" i="11"/>
  <c r="AM3" i="12" s="1"/>
  <c r="G26" i="13"/>
  <c r="G28" i="13" s="1"/>
  <c r="I26" i="13"/>
  <c r="J26" i="13"/>
  <c r="J28" i="13" s="1"/>
  <c r="I28" i="13"/>
  <c r="AP3" i="12" l="1"/>
  <c r="G8" i="12"/>
  <c r="W8" i="12"/>
  <c r="P8" i="12"/>
  <c r="I8" i="12"/>
  <c r="Y8" i="12"/>
  <c r="R8" i="12"/>
  <c r="F8" i="12"/>
  <c r="K8" i="12"/>
  <c r="AA8" i="12"/>
  <c r="T8" i="12"/>
  <c r="M8" i="12"/>
  <c r="AC8" i="12"/>
  <c r="V8" i="12"/>
  <c r="O8" i="12"/>
  <c r="H8" i="12"/>
  <c r="X8" i="12"/>
  <c r="Q8" i="12"/>
  <c r="J8" i="12"/>
  <c r="Z8" i="12"/>
  <c r="S8" i="12"/>
  <c r="N8" i="12"/>
  <c r="AB8" i="12"/>
  <c r="U8" i="12"/>
  <c r="L8" i="12"/>
  <c r="AD8" i="12"/>
  <c r="AE8" i="12"/>
  <c r="G12" i="15"/>
  <c r="F12" i="15"/>
  <c r="D12" i="15"/>
  <c r="E12" i="15"/>
  <c r="B10" i="12"/>
  <c r="A10" i="12"/>
  <c r="P12" i="15"/>
  <c r="J12" i="15"/>
  <c r="A11" i="12"/>
  <c r="AR7" i="12"/>
  <c r="AO7" i="12"/>
  <c r="AP7" i="12" s="1"/>
  <c r="AR6" i="12"/>
  <c r="AO6" i="12"/>
  <c r="AP6" i="12" s="1"/>
  <c r="AE9" i="12"/>
  <c r="S9" i="12"/>
  <c r="L9" i="12"/>
  <c r="AB9" i="12"/>
  <c r="U9" i="12"/>
  <c r="N9" i="12"/>
  <c r="AD9" i="12"/>
  <c r="G9" i="12"/>
  <c r="W9" i="12"/>
  <c r="P9" i="12"/>
  <c r="I9" i="12"/>
  <c r="Y9" i="12"/>
  <c r="R9" i="12"/>
  <c r="F9" i="12"/>
  <c r="K9" i="12"/>
  <c r="AA9" i="12"/>
  <c r="T9" i="12"/>
  <c r="M9" i="12"/>
  <c r="AC9" i="12"/>
  <c r="V9" i="12"/>
  <c r="O9" i="12"/>
  <c r="J9" i="12"/>
  <c r="Q9" i="12"/>
  <c r="H9" i="12"/>
  <c r="Z9" i="12"/>
  <c r="X9" i="12"/>
  <c r="R12" i="14"/>
  <c r="C13" i="15"/>
  <c r="V2" i="8"/>
  <c r="AL2" i="18" s="1"/>
  <c r="V3" i="8"/>
  <c r="AL3" i="18" s="1"/>
  <c r="V4" i="8"/>
  <c r="AL4" i="18" s="1"/>
  <c r="V5" i="8"/>
  <c r="AL5" i="18" s="1"/>
  <c r="V6" i="8"/>
  <c r="AL6" i="18" s="1"/>
  <c r="V7" i="8"/>
  <c r="AL7" i="18" s="1"/>
  <c r="V8" i="8"/>
  <c r="AL8" i="18" s="1"/>
  <c r="V9" i="8"/>
  <c r="AL9" i="18" s="1"/>
  <c r="V10" i="8"/>
  <c r="AL10" i="18" s="1"/>
  <c r="V11" i="8"/>
  <c r="AL11" i="18" s="1"/>
  <c r="V12" i="8"/>
  <c r="AL12" i="18" s="1"/>
  <c r="V13" i="8"/>
  <c r="AL13" i="18" s="1"/>
  <c r="V14" i="8"/>
  <c r="AL14" i="18" s="1"/>
  <c r="V15" i="8"/>
  <c r="AL15" i="18" s="1"/>
  <c r="V16" i="8"/>
  <c r="AL16" i="18" s="1"/>
  <c r="V17" i="8"/>
  <c r="AL17" i="18" s="1"/>
  <c r="V18" i="8"/>
  <c r="AL18" i="18" s="1"/>
  <c r="V19" i="8"/>
  <c r="AL19" i="18" s="1"/>
  <c r="V20" i="8"/>
  <c r="AL20" i="18" s="1"/>
  <c r="V21" i="8"/>
  <c r="AL21" i="18" s="1"/>
  <c r="V22" i="8"/>
  <c r="AL22" i="18" s="1"/>
  <c r="V23" i="8"/>
  <c r="AL23" i="18" s="1"/>
  <c r="V24" i="8"/>
  <c r="AL24" i="18" s="1"/>
  <c r="V25" i="8"/>
  <c r="AL25" i="18" s="1"/>
  <c r="V26" i="8"/>
  <c r="AL26" i="18" s="1"/>
  <c r="V27" i="8"/>
  <c r="AL27" i="18" s="1"/>
  <c r="V28" i="8"/>
  <c r="AL28" i="18" s="1"/>
  <c r="V29" i="8"/>
  <c r="AL29" i="18" s="1"/>
  <c r="V30" i="8"/>
  <c r="V31" i="8"/>
  <c r="V32" i="8"/>
  <c r="AL31" i="18" s="1"/>
  <c r="V33" i="8"/>
  <c r="AL32" i="18" s="1"/>
  <c r="V34" i="8"/>
  <c r="AL33" i="18" s="1"/>
  <c r="V35" i="8"/>
  <c r="AL34" i="18" s="1"/>
  <c r="V36" i="8"/>
  <c r="AL35" i="18" s="1"/>
  <c r="V37" i="8"/>
  <c r="AL36" i="18" s="1"/>
  <c r="V38" i="8"/>
  <c r="AL37" i="18" s="1"/>
  <c r="V39" i="8"/>
  <c r="AL38" i="18" s="1"/>
  <c r="V40" i="8"/>
  <c r="AL39" i="18" s="1"/>
  <c r="V41" i="8"/>
  <c r="AL40" i="18" s="1"/>
  <c r="V42" i="8"/>
  <c r="AL41" i="18" s="1"/>
  <c r="V43" i="8"/>
  <c r="AL42" i="18" s="1"/>
  <c r="V44" i="8"/>
  <c r="AL43" i="18" s="1"/>
  <c r="V45" i="8"/>
  <c r="AL44" i="18" s="1"/>
  <c r="V46" i="8"/>
  <c r="AL45" i="18" s="1"/>
  <c r="V47" i="8"/>
  <c r="AL46" i="18" s="1"/>
  <c r="V48" i="8"/>
  <c r="AL47" i="18" s="1"/>
  <c r="V49" i="8"/>
  <c r="AL48" i="18" s="1"/>
  <c r="V50" i="8"/>
  <c r="AL49" i="18" s="1"/>
  <c r="V51" i="8"/>
  <c r="AL50" i="18" s="1"/>
  <c r="V52" i="8"/>
  <c r="AL51" i="18" s="1"/>
  <c r="V53" i="8"/>
  <c r="AL52" i="18" s="1"/>
  <c r="V54" i="8"/>
  <c r="AL53" i="18" s="1"/>
  <c r="V55" i="8"/>
  <c r="AL54" i="18" s="1"/>
  <c r="V56" i="8"/>
  <c r="AL55" i="18" s="1"/>
  <c r="V57" i="8"/>
  <c r="AL56" i="18" s="1"/>
  <c r="V58" i="8"/>
  <c r="AL57" i="18" s="1"/>
  <c r="V59" i="8"/>
  <c r="AL58" i="18" s="1"/>
  <c r="V60" i="8"/>
  <c r="AL59" i="18" s="1"/>
  <c r="V61" i="8"/>
  <c r="AL60" i="18" s="1"/>
  <c r="V62" i="8"/>
  <c r="AL61" i="18" s="1"/>
  <c r="V63" i="8"/>
  <c r="AL62" i="18" s="1"/>
  <c r="V64" i="8"/>
  <c r="AL63" i="18" s="1"/>
  <c r="V65" i="8"/>
  <c r="AL64" i="18" s="1"/>
  <c r="V66" i="8"/>
  <c r="AL65" i="18" s="1"/>
  <c r="V67" i="8"/>
  <c r="AL66" i="18" s="1"/>
  <c r="V68" i="8"/>
  <c r="AL67" i="18" s="1"/>
  <c r="V69" i="8"/>
  <c r="AL68" i="18" s="1"/>
  <c r="V70" i="8"/>
  <c r="AL69" i="18" s="1"/>
  <c r="V71" i="8"/>
  <c r="V72" i="8"/>
  <c r="AL70" i="18" s="1"/>
  <c r="V73" i="8"/>
  <c r="AL71" i="18" s="1"/>
  <c r="V74" i="8"/>
  <c r="AL72" i="18" s="1"/>
  <c r="V75" i="8"/>
  <c r="AL73" i="18" s="1"/>
  <c r="V76" i="8"/>
  <c r="AL74" i="18" s="1"/>
  <c r="V77" i="8"/>
  <c r="AL75" i="18" s="1"/>
  <c r="V78" i="8"/>
  <c r="AL76" i="18" s="1"/>
  <c r="V79" i="8"/>
  <c r="AL77" i="18" s="1"/>
  <c r="V80" i="8"/>
  <c r="AL78" i="18" s="1"/>
  <c r="V81" i="8"/>
  <c r="AL79" i="18" s="1"/>
  <c r="V82" i="8"/>
  <c r="AL80" i="18" s="1"/>
  <c r="V83" i="8"/>
  <c r="AL81" i="18" s="1"/>
  <c r="V84" i="8"/>
  <c r="AL82" i="18" s="1"/>
  <c r="V85" i="8"/>
  <c r="AL83" i="18" s="1"/>
  <c r="V86" i="8"/>
  <c r="AL84" i="18" s="1"/>
  <c r="V87" i="8"/>
  <c r="AL85" i="18" s="1"/>
  <c r="V88" i="8"/>
  <c r="AL86" i="18" s="1"/>
  <c r="V89" i="8"/>
  <c r="AL87" i="18" s="1"/>
  <c r="V90" i="8"/>
  <c r="AL88" i="18" s="1"/>
  <c r="V91" i="8"/>
  <c r="AL89" i="18" s="1"/>
  <c r="V92" i="8"/>
  <c r="AL90" i="18" s="1"/>
  <c r="V93" i="8"/>
  <c r="AL91" i="18" s="1"/>
  <c r="V94" i="8"/>
  <c r="AL92" i="18" s="1"/>
  <c r="V95" i="8"/>
  <c r="AL93" i="18" s="1"/>
  <c r="V96" i="8"/>
  <c r="AL94" i="18" s="1"/>
  <c r="V97" i="8"/>
  <c r="AL95" i="18" s="1"/>
  <c r="V98" i="8"/>
  <c r="AL96" i="18" s="1"/>
  <c r="V99" i="8"/>
  <c r="AL97" i="18" s="1"/>
  <c r="V100" i="8"/>
  <c r="AL98" i="18" s="1"/>
  <c r="V101" i="8"/>
  <c r="AL99" i="18" s="1"/>
  <c r="V102" i="8"/>
  <c r="AL100" i="18" s="1"/>
  <c r="V103" i="8"/>
  <c r="AL101" i="18" s="1"/>
  <c r="V104" i="8"/>
  <c r="AL102" i="18" s="1"/>
  <c r="V105" i="8"/>
  <c r="AL103" i="18" s="1"/>
  <c r="V106" i="8"/>
  <c r="AL104" i="18" s="1"/>
  <c r="V107" i="8"/>
  <c r="AL105" i="18" s="1"/>
  <c r="V108" i="8"/>
  <c r="AL106" i="18" s="1"/>
  <c r="V109" i="8"/>
  <c r="AL107" i="18" s="1"/>
  <c r="V110" i="8"/>
  <c r="AL108" i="18" s="1"/>
  <c r="V111" i="8"/>
  <c r="AL109" i="18" s="1"/>
  <c r="V112" i="8"/>
  <c r="AL110" i="18" s="1"/>
  <c r="V113" i="8"/>
  <c r="AL111" i="18" s="1"/>
  <c r="V114" i="8"/>
  <c r="AL112" i="18" s="1"/>
  <c r="V115" i="8"/>
  <c r="AL113" i="18" s="1"/>
  <c r="V116" i="8"/>
  <c r="AL114" i="18" s="1"/>
  <c r="V117" i="8"/>
  <c r="AL115" i="18" s="1"/>
  <c r="V118" i="8"/>
  <c r="AL116" i="18" s="1"/>
  <c r="V119" i="8"/>
  <c r="AL117" i="18" s="1"/>
  <c r="V120" i="8"/>
  <c r="AL118" i="18" s="1"/>
  <c r="V121" i="8"/>
  <c r="AL119" i="18" s="1"/>
  <c r="V122" i="8"/>
  <c r="AL120" i="18" s="1"/>
  <c r="V123" i="8"/>
  <c r="AL121" i="18" s="1"/>
  <c r="V124" i="8"/>
  <c r="AL122" i="18" s="1"/>
  <c r="V125" i="8"/>
  <c r="AL123" i="18" s="1"/>
  <c r="V126" i="8"/>
  <c r="AL124" i="18" s="1"/>
  <c r="V127" i="8"/>
  <c r="AL125" i="18" s="1"/>
  <c r="V128" i="8"/>
  <c r="AL126" i="18" s="1"/>
  <c r="V129" i="8"/>
  <c r="AL127" i="18" s="1"/>
  <c r="V130" i="8"/>
  <c r="AL128" i="18" s="1"/>
  <c r="V131" i="8"/>
  <c r="AL129" i="18" s="1"/>
  <c r="V132" i="8"/>
  <c r="AL130" i="18" s="1"/>
  <c r="V133" i="8"/>
  <c r="AL131" i="18" s="1"/>
  <c r="V134" i="8"/>
  <c r="AL132" i="18" s="1"/>
  <c r="V135" i="8"/>
  <c r="AL133" i="18" s="1"/>
  <c r="V136" i="8"/>
  <c r="AL134" i="18" s="1"/>
  <c r="V137" i="8"/>
  <c r="AL135" i="18" s="1"/>
  <c r="V138" i="8"/>
  <c r="AL136" i="18" s="1"/>
  <c r="V139" i="8"/>
  <c r="AL137" i="18" s="1"/>
  <c r="V140" i="8"/>
  <c r="AL138" i="18" s="1"/>
  <c r="V141" i="8"/>
  <c r="AL139" i="18" s="1"/>
  <c r="V142" i="8"/>
  <c r="AL140" i="18" s="1"/>
  <c r="V143" i="8"/>
  <c r="AL141" i="18" s="1"/>
  <c r="V144" i="8"/>
  <c r="AL142" i="18" s="1"/>
  <c r="V145" i="8"/>
  <c r="AL143" i="18" s="1"/>
  <c r="V146" i="8"/>
  <c r="AL144" i="18" s="1"/>
  <c r="V147" i="8"/>
  <c r="V148" i="8"/>
  <c r="AL145" i="18" s="1"/>
  <c r="V149" i="8"/>
  <c r="AL146" i="18" s="1"/>
  <c r="V150" i="8"/>
  <c r="AL147" i="18" s="1"/>
  <c r="V151" i="8"/>
  <c r="AL148" i="18" s="1"/>
  <c r="V152" i="8"/>
  <c r="AL149" i="18" s="1"/>
  <c r="V153" i="8"/>
  <c r="AL150" i="18" s="1"/>
  <c r="V154" i="8"/>
  <c r="AL151" i="18" s="1"/>
  <c r="V155" i="8"/>
  <c r="AL152" i="18" s="1"/>
  <c r="V156" i="8"/>
  <c r="AL153" i="18" s="1"/>
  <c r="V157" i="8"/>
  <c r="AL154" i="18" s="1"/>
  <c r="V158" i="8"/>
  <c r="AL155" i="18" s="1"/>
  <c r="V159" i="8"/>
  <c r="AL156" i="18" s="1"/>
  <c r="V160" i="8"/>
  <c r="AL157" i="18" s="1"/>
  <c r="V161" i="8"/>
  <c r="AL158" i="18" s="1"/>
  <c r="V162" i="8"/>
  <c r="AL159" i="18" s="1"/>
  <c r="V163" i="8"/>
  <c r="AL160" i="18" s="1"/>
  <c r="V164" i="8"/>
  <c r="AL161" i="18" s="1"/>
  <c r="V165" i="8"/>
  <c r="AL162" i="18" s="1"/>
  <c r="V166" i="8"/>
  <c r="AL163" i="18" s="1"/>
  <c r="V167" i="8"/>
  <c r="AL164" i="18" s="1"/>
  <c r="V168" i="8"/>
  <c r="AL165" i="18" s="1"/>
  <c r="V169" i="8"/>
  <c r="AL166" i="18" s="1"/>
  <c r="V170" i="8"/>
  <c r="AL167" i="18" s="1"/>
  <c r="V171" i="8"/>
  <c r="AL168" i="18" s="1"/>
  <c r="V172" i="8"/>
  <c r="AL169" i="18" s="1"/>
  <c r="V173" i="8"/>
  <c r="AL170" i="18" s="1"/>
  <c r="V174" i="8"/>
  <c r="AL171" i="18" s="1"/>
  <c r="V175" i="8"/>
  <c r="AL172" i="18" s="1"/>
  <c r="V176" i="8"/>
  <c r="AL173" i="18" s="1"/>
  <c r="V177" i="8"/>
  <c r="AL174" i="18" s="1"/>
  <c r="V178" i="8"/>
  <c r="AL175" i="18" s="1"/>
  <c r="V179" i="8"/>
  <c r="AL176" i="18" s="1"/>
  <c r="V180" i="8"/>
  <c r="AL177" i="18" s="1"/>
  <c r="V181" i="8"/>
  <c r="AL178" i="18" s="1"/>
  <c r="V182" i="8"/>
  <c r="AL179" i="18" s="1"/>
  <c r="V183" i="8"/>
  <c r="AL180" i="18" s="1"/>
  <c r="V184" i="8"/>
  <c r="AL181" i="18" s="1"/>
  <c r="V185" i="8"/>
  <c r="AL182" i="18" s="1"/>
  <c r="V186" i="8"/>
  <c r="AL183" i="18" s="1"/>
  <c r="V187" i="8"/>
  <c r="V188" i="8"/>
  <c r="AL185" i="18" s="1"/>
  <c r="V189" i="8"/>
  <c r="AL186" i="18" s="1"/>
  <c r="V190" i="8"/>
  <c r="AL187" i="18" s="1"/>
  <c r="V191" i="8"/>
  <c r="AL188" i="18" s="1"/>
  <c r="V192" i="8"/>
  <c r="AL189" i="18" s="1"/>
  <c r="V193" i="8"/>
  <c r="AL190" i="18" s="1"/>
  <c r="V194" i="8"/>
  <c r="AL191" i="18" s="1"/>
  <c r="V195" i="8"/>
  <c r="AL192" i="18" s="1"/>
  <c r="V196" i="8"/>
  <c r="AL193" i="18" s="1"/>
  <c r="V197" i="8"/>
  <c r="AL194" i="18" s="1"/>
  <c r="V198" i="8"/>
  <c r="AL195" i="18" s="1"/>
  <c r="V199" i="8"/>
  <c r="AL196" i="18" s="1"/>
  <c r="V200" i="8"/>
  <c r="AL197" i="18" s="1"/>
  <c r="V201" i="8"/>
  <c r="AL198" i="18" s="1"/>
  <c r="V202" i="8"/>
  <c r="AL199" i="18" s="1"/>
  <c r="V203" i="8"/>
  <c r="AL200" i="18" s="1"/>
  <c r="V204" i="8"/>
  <c r="AL201" i="18" s="1"/>
  <c r="V205" i="8"/>
  <c r="AL202" i="18" s="1"/>
  <c r="V206" i="8"/>
  <c r="AL203" i="18" s="1"/>
  <c r="V207" i="8"/>
  <c r="AL204" i="18" s="1"/>
  <c r="V208" i="8"/>
  <c r="AL205" i="18" s="1"/>
  <c r="V209" i="8"/>
  <c r="AL206" i="18" s="1"/>
  <c r="V210" i="8"/>
  <c r="AL207" i="18" s="1"/>
  <c r="V211" i="8"/>
  <c r="AL208" i="18" s="1"/>
  <c r="V212" i="8"/>
  <c r="AL209" i="18" s="1"/>
  <c r="V213" i="8"/>
  <c r="AL210" i="18" s="1"/>
  <c r="V214" i="8"/>
  <c r="AL211" i="18" s="1"/>
  <c r="V215" i="8"/>
  <c r="AL212" i="18" s="1"/>
  <c r="V216" i="8"/>
  <c r="AL213" i="18" s="1"/>
  <c r="V217" i="8"/>
  <c r="AL214" i="18" s="1"/>
  <c r="V218" i="8"/>
  <c r="AL215" i="18" s="1"/>
  <c r="V219" i="8"/>
  <c r="AL216" i="18" s="1"/>
  <c r="V220" i="8"/>
  <c r="AL217" i="18" s="1"/>
  <c r="V221" i="8"/>
  <c r="AL218" i="18" s="1"/>
  <c r="V222" i="8"/>
  <c r="AL219" i="18" s="1"/>
  <c r="V223" i="8"/>
  <c r="AL220" i="18" s="1"/>
  <c r="V224" i="8"/>
  <c r="AL221" i="18" s="1"/>
  <c r="V225" i="8"/>
  <c r="AL222" i="18" s="1"/>
  <c r="V226" i="8"/>
  <c r="AL223" i="18" s="1"/>
  <c r="V227" i="8"/>
  <c r="V228" i="8"/>
  <c r="AL224" i="18" s="1"/>
  <c r="V229" i="8"/>
  <c r="AL225" i="18" s="1"/>
  <c r="V230" i="8"/>
  <c r="AL232" i="18" s="1"/>
  <c r="V231" i="8"/>
  <c r="AL226" i="18" s="1"/>
  <c r="V232" i="8"/>
  <c r="AL227" i="18" s="1"/>
  <c r="V233" i="8"/>
  <c r="AL228" i="18" s="1"/>
  <c r="V234" i="8"/>
  <c r="AL229" i="18" s="1"/>
  <c r="V235" i="8"/>
  <c r="AL230" i="18" s="1"/>
  <c r="V236" i="8"/>
  <c r="AL231" i="18" s="1"/>
  <c r="V237" i="8"/>
  <c r="AL233" i="18" s="1"/>
  <c r="V238" i="8"/>
  <c r="AL234" i="18" s="1"/>
  <c r="V239" i="8"/>
  <c r="AL235" i="18" s="1"/>
  <c r="V240" i="8"/>
  <c r="AL236" i="18" s="1"/>
  <c r="V241" i="8"/>
  <c r="AL237" i="18" s="1"/>
  <c r="V242" i="8"/>
  <c r="AL238" i="18" s="1"/>
  <c r="V243" i="8"/>
  <c r="AL239" i="18" s="1"/>
  <c r="V244" i="8"/>
  <c r="AL240" i="18" s="1"/>
  <c r="V245" i="8"/>
  <c r="AL241" i="18" s="1"/>
  <c r="V246" i="8"/>
  <c r="AL242" i="18" s="1"/>
  <c r="V247" i="8"/>
  <c r="AL243" i="18" s="1"/>
  <c r="V248" i="8"/>
  <c r="AL244" i="18" s="1"/>
  <c r="V249" i="8"/>
  <c r="AL245" i="18" s="1"/>
  <c r="V250" i="8"/>
  <c r="AL246" i="18" s="1"/>
  <c r="V251" i="8"/>
  <c r="AL247" i="18" s="1"/>
  <c r="V252" i="8"/>
  <c r="AL248" i="18" s="1"/>
  <c r="V253" i="8"/>
  <c r="AL249" i="18" s="1"/>
  <c r="V254" i="8"/>
  <c r="AL250" i="18" s="1"/>
  <c r="V255" i="8"/>
  <c r="AL251" i="18" s="1"/>
  <c r="V256" i="8"/>
  <c r="AL252" i="18" s="1"/>
  <c r="V257" i="8"/>
  <c r="AL253" i="18" s="1"/>
  <c r="V258" i="8"/>
  <c r="AL254" i="18" s="1"/>
  <c r="V259" i="8"/>
  <c r="AL255" i="18" s="1"/>
  <c r="V260" i="8"/>
  <c r="AL256" i="18" s="1"/>
  <c r="V261" i="8"/>
  <c r="AL257" i="18" s="1"/>
  <c r="V262" i="8"/>
  <c r="AL258" i="18" s="1"/>
  <c r="V263" i="8"/>
  <c r="AL259" i="18" s="1"/>
  <c r="V264" i="8"/>
  <c r="AL260" i="18" s="1"/>
  <c r="V265" i="8"/>
  <c r="AL261" i="18" s="1"/>
  <c r="V266" i="8"/>
  <c r="AL262" i="18" s="1"/>
  <c r="V267" i="8"/>
  <c r="AL263" i="18" s="1"/>
  <c r="V268" i="8"/>
  <c r="AL264" i="18" s="1"/>
  <c r="V269" i="8"/>
  <c r="AL265" i="18" s="1"/>
  <c r="V270" i="8"/>
  <c r="AL266" i="18" s="1"/>
  <c r="V271" i="8"/>
  <c r="AL267" i="18" s="1"/>
  <c r="V272" i="8"/>
  <c r="AL268" i="18" s="1"/>
  <c r="V273" i="8"/>
  <c r="AL269" i="18" s="1"/>
  <c r="V274" i="8"/>
  <c r="AL270" i="18" s="1"/>
  <c r="V275" i="8"/>
  <c r="AL271" i="18" s="1"/>
  <c r="V276" i="8"/>
  <c r="AL272" i="18" s="1"/>
  <c r="V277" i="8"/>
  <c r="AL273" i="18" s="1"/>
  <c r="V278" i="8"/>
  <c r="AL274" i="18" s="1"/>
  <c r="V279" i="8"/>
  <c r="AL275" i="18" s="1"/>
  <c r="V280" i="8"/>
  <c r="AL276" i="18" s="1"/>
  <c r="V281" i="8"/>
  <c r="AL277" i="18" s="1"/>
  <c r="V282" i="8"/>
  <c r="AL278" i="18" s="1"/>
  <c r="V283" i="8"/>
  <c r="AL279" i="18" s="1"/>
  <c r="V284" i="8"/>
  <c r="AL280" i="18" s="1"/>
  <c r="V285" i="8"/>
  <c r="AL281" i="18" s="1"/>
  <c r="V286" i="8"/>
  <c r="V287" i="8"/>
  <c r="AL283" i="18" s="1"/>
  <c r="V288" i="8"/>
  <c r="AL284" i="18" s="1"/>
  <c r="V289" i="8"/>
  <c r="AL285" i="18" s="1"/>
  <c r="V290" i="8"/>
  <c r="AL286" i="18" s="1"/>
  <c r="V291" i="8"/>
  <c r="AL287" i="18" s="1"/>
  <c r="V292" i="8"/>
  <c r="AL288" i="18" s="1"/>
  <c r="V293" i="8"/>
  <c r="V294" i="8"/>
  <c r="AL289" i="18" s="1"/>
  <c r="V295" i="8"/>
  <c r="AL290" i="18" s="1"/>
  <c r="V296" i="8"/>
  <c r="AL291" i="18" s="1"/>
  <c r="V297" i="8"/>
  <c r="AL292" i="18" s="1"/>
  <c r="V298" i="8"/>
  <c r="AL293" i="18" s="1"/>
  <c r="V299" i="8"/>
  <c r="AL294" i="18" s="1"/>
  <c r="V300" i="8"/>
  <c r="AL295" i="18" s="1"/>
  <c r="V301" i="8"/>
  <c r="AL296" i="18" s="1"/>
  <c r="V302" i="8"/>
  <c r="AL297" i="18" s="1"/>
  <c r="V303" i="8"/>
  <c r="AL298" i="18" s="1"/>
  <c r="V304" i="8"/>
  <c r="AL299" i="18" s="1"/>
  <c r="V305" i="8"/>
  <c r="AL300" i="18" s="1"/>
  <c r="V306" i="8"/>
  <c r="AL301" i="18" s="1"/>
  <c r="V307" i="8"/>
  <c r="AL302" i="18" s="1"/>
  <c r="V308" i="8"/>
  <c r="AL303" i="18" s="1"/>
  <c r="V309" i="8"/>
  <c r="AL304" i="18" s="1"/>
  <c r="V310" i="8"/>
  <c r="AL305" i="18" s="1"/>
  <c r="V311" i="8"/>
  <c r="AL306" i="18" s="1"/>
  <c r="V312" i="8"/>
  <c r="AL307" i="18" s="1"/>
  <c r="V313" i="8"/>
  <c r="AL308" i="18" s="1"/>
  <c r="V314" i="8"/>
  <c r="AL309" i="18" s="1"/>
  <c r="V315" i="8"/>
  <c r="AL310" i="18" s="1"/>
  <c r="V316" i="8"/>
  <c r="V317" i="8"/>
  <c r="AL311" i="18" s="1"/>
  <c r="V318" i="8"/>
  <c r="AL312" i="18" s="1"/>
  <c r="V319" i="8"/>
  <c r="AL313" i="18" s="1"/>
  <c r="V320" i="8"/>
  <c r="AL314" i="18" s="1"/>
  <c r="V321" i="8"/>
  <c r="AL315" i="18" s="1"/>
  <c r="V322" i="8"/>
  <c r="AL316" i="18" s="1"/>
  <c r="V323" i="8"/>
  <c r="AL317" i="18" s="1"/>
  <c r="V324" i="8"/>
  <c r="AL318" i="18" s="1"/>
  <c r="V325" i="8"/>
  <c r="AL319" i="18" s="1"/>
  <c r="V326" i="8"/>
  <c r="AL320" i="18" s="1"/>
  <c r="V327" i="8"/>
  <c r="AL321" i="18" s="1"/>
  <c r="V328" i="8"/>
  <c r="AL322" i="18" s="1"/>
  <c r="V329" i="8"/>
  <c r="AL323" i="18" s="1"/>
  <c r="V330" i="8"/>
  <c r="AL324" i="18" s="1"/>
  <c r="V331" i="8"/>
  <c r="AL325" i="18" s="1"/>
  <c r="V332" i="8"/>
  <c r="AL326" i="18" s="1"/>
  <c r="V333" i="8"/>
  <c r="AL327" i="18" s="1"/>
  <c r="V334" i="8"/>
  <c r="AL328" i="18" s="1"/>
  <c r="V335" i="8"/>
  <c r="AL329" i="18" s="1"/>
  <c r="V336" i="8"/>
  <c r="AL330" i="18" s="1"/>
  <c r="V337" i="8"/>
  <c r="V338" i="8"/>
  <c r="AL332" i="18" s="1"/>
  <c r="V339" i="8"/>
  <c r="AL333" i="18" s="1"/>
  <c r="V340" i="8"/>
  <c r="AL334" i="18" s="1"/>
  <c r="V341" i="8"/>
  <c r="AL335" i="18" s="1"/>
  <c r="V342" i="8"/>
  <c r="AL336" i="18" s="1"/>
  <c r="V343" i="8"/>
  <c r="AL337" i="18" s="1"/>
  <c r="V344" i="8"/>
  <c r="AL338" i="18" s="1"/>
  <c r="V345" i="8"/>
  <c r="AL339" i="18" s="1"/>
  <c r="V346" i="8"/>
  <c r="AL340" i="18" s="1"/>
  <c r="V347" i="8"/>
  <c r="AL341" i="18" s="1"/>
  <c r="V348" i="8"/>
  <c r="AL342" i="18" s="1"/>
  <c r="V349" i="8"/>
  <c r="AL343" i="18" s="1"/>
  <c r="V350" i="8"/>
  <c r="AL344" i="18" s="1"/>
  <c r="V351" i="8"/>
  <c r="AL345" i="18" s="1"/>
  <c r="V352" i="8"/>
  <c r="AL346" i="18" s="1"/>
  <c r="V353" i="8"/>
  <c r="AL347" i="18" s="1"/>
  <c r="V354" i="8"/>
  <c r="AL348" i="18" s="1"/>
  <c r="V355" i="8"/>
  <c r="AL349" i="18" s="1"/>
  <c r="V356" i="8"/>
  <c r="AL350" i="18" s="1"/>
  <c r="V357" i="8"/>
  <c r="AL351" i="18" s="1"/>
  <c r="V358" i="8"/>
  <c r="AL352" i="18" s="1"/>
  <c r="V359" i="8"/>
  <c r="AL353" i="18" s="1"/>
  <c r="V360" i="8"/>
  <c r="AL354" i="18" s="1"/>
  <c r="V361" i="8"/>
  <c r="AL355" i="18" s="1"/>
  <c r="V362" i="8"/>
  <c r="AL356" i="18" s="1"/>
  <c r="V363" i="8"/>
  <c r="AL357" i="18" s="1"/>
  <c r="V364" i="8"/>
  <c r="AL358" i="18" s="1"/>
  <c r="V365" i="8"/>
  <c r="AL359" i="18" s="1"/>
  <c r="V366" i="8"/>
  <c r="AL360" i="18" s="1"/>
  <c r="V367" i="8"/>
  <c r="AL361" i="18" s="1"/>
  <c r="V368" i="8"/>
  <c r="AL362" i="18" s="1"/>
  <c r="V369" i="8"/>
  <c r="AL363" i="18" s="1"/>
  <c r="V370" i="8"/>
  <c r="AL364" i="18" s="1"/>
  <c r="V371" i="8"/>
  <c r="AL365" i="18" s="1"/>
  <c r="V372" i="8"/>
  <c r="AL366" i="18" s="1"/>
  <c r="V373" i="8"/>
  <c r="AL367" i="18" s="1"/>
  <c r="V374" i="8"/>
  <c r="AL368" i="18" s="1"/>
  <c r="V375" i="8"/>
  <c r="AL369" i="18" s="1"/>
  <c r="V376" i="8"/>
  <c r="AL370" i="18" s="1"/>
  <c r="V377" i="8"/>
  <c r="AL371" i="18" s="1"/>
  <c r="V378" i="8"/>
  <c r="AL372" i="18" s="1"/>
  <c r="V379" i="8"/>
  <c r="AL373" i="18" s="1"/>
  <c r="V380" i="8"/>
  <c r="AL374" i="18" s="1"/>
  <c r="V381" i="8"/>
  <c r="AL375" i="18" s="1"/>
  <c r="V382" i="8"/>
  <c r="AL376" i="18" s="1"/>
  <c r="V383" i="8"/>
  <c r="AL377" i="18" s="1"/>
  <c r="V384" i="8"/>
  <c r="AL378" i="18" s="1"/>
  <c r="V385" i="8"/>
  <c r="AL379" i="18" s="1"/>
  <c r="V386" i="8"/>
  <c r="AL380" i="18" s="1"/>
  <c r="V387" i="8"/>
  <c r="AL381" i="18" s="1"/>
  <c r="V388" i="8"/>
  <c r="AL382" i="18" s="1"/>
  <c r="V389" i="8"/>
  <c r="AL383" i="18" s="1"/>
  <c r="V390" i="8"/>
  <c r="V391" i="8"/>
  <c r="AL385" i="18" s="1"/>
  <c r="V392" i="8"/>
  <c r="AL386" i="18" s="1"/>
  <c r="V393" i="8"/>
  <c r="AL387" i="18" s="1"/>
  <c r="V394" i="8"/>
  <c r="AL388" i="18" s="1"/>
  <c r="V395" i="8"/>
  <c r="AL389" i="18" s="1"/>
  <c r="V396" i="8"/>
  <c r="AL390" i="18" s="1"/>
  <c r="V397" i="8"/>
  <c r="AL391" i="18" s="1"/>
  <c r="V398" i="8"/>
  <c r="AL392" i="18" s="1"/>
  <c r="V399" i="8"/>
  <c r="AL393" i="18" s="1"/>
  <c r="V400" i="8"/>
  <c r="AL394" i="18" s="1"/>
  <c r="V401" i="8"/>
  <c r="AL395" i="18" s="1"/>
  <c r="V402" i="8"/>
  <c r="AL396" i="18" s="1"/>
  <c r="V403" i="8"/>
  <c r="AL397" i="18" s="1"/>
  <c r="V404" i="8"/>
  <c r="AL398" i="18" s="1"/>
  <c r="V405" i="8"/>
  <c r="AL399" i="18" s="1"/>
  <c r="V406" i="8"/>
  <c r="AL400" i="18" s="1"/>
  <c r="V407" i="8"/>
  <c r="V408" i="8"/>
  <c r="V409" i="8"/>
  <c r="AL402" i="18" s="1"/>
  <c r="V410" i="8"/>
  <c r="AL403" i="18" s="1"/>
  <c r="V411" i="8"/>
  <c r="AL404" i="18" s="1"/>
  <c r="V412" i="8"/>
  <c r="AL405" i="18" s="1"/>
  <c r="V413" i="8"/>
  <c r="AL406" i="18" s="1"/>
  <c r="V414" i="8"/>
  <c r="AL407" i="18" s="1"/>
  <c r="U3" i="8"/>
  <c r="U4" i="8"/>
  <c r="U5" i="8"/>
  <c r="U6" i="8"/>
  <c r="U7" i="8"/>
  <c r="U8" i="8"/>
  <c r="U9" i="8"/>
  <c r="U10" i="8"/>
  <c r="U11" i="8"/>
  <c r="U12" i="8"/>
  <c r="U13" i="8"/>
  <c r="U14" i="8"/>
  <c r="U15" i="8"/>
  <c r="U16" i="8"/>
  <c r="U17" i="8"/>
  <c r="U18" i="8"/>
  <c r="U19" i="8"/>
  <c r="U20" i="8"/>
  <c r="U21" i="8"/>
  <c r="U22" i="8"/>
  <c r="U23" i="8"/>
  <c r="U24" i="8"/>
  <c r="U25" i="8"/>
  <c r="U26" i="8"/>
  <c r="U27" i="8"/>
  <c r="U28" i="8"/>
  <c r="U29" i="8"/>
  <c r="U30" i="8"/>
  <c r="U31" i="8"/>
  <c r="U32" i="8"/>
  <c r="U33" i="8"/>
  <c r="U34" i="8"/>
  <c r="U35" i="8"/>
  <c r="U36" i="8"/>
  <c r="U37" i="8"/>
  <c r="U38" i="8"/>
  <c r="U39" i="8"/>
  <c r="U40" i="8"/>
  <c r="U41" i="8"/>
  <c r="U42" i="8"/>
  <c r="U43" i="8"/>
  <c r="U44" i="8"/>
  <c r="U45" i="8"/>
  <c r="U46" i="8"/>
  <c r="U47" i="8"/>
  <c r="U48" i="8"/>
  <c r="U49" i="8"/>
  <c r="U50" i="8"/>
  <c r="U51" i="8"/>
  <c r="U52" i="8"/>
  <c r="U53" i="8"/>
  <c r="U54" i="8"/>
  <c r="U55" i="8"/>
  <c r="U56" i="8"/>
  <c r="U57" i="8"/>
  <c r="U58" i="8"/>
  <c r="U59" i="8"/>
  <c r="U60" i="8"/>
  <c r="U61" i="8"/>
  <c r="U62" i="8"/>
  <c r="U63" i="8"/>
  <c r="U64" i="8"/>
  <c r="U65" i="8"/>
  <c r="U66" i="8"/>
  <c r="U67" i="8"/>
  <c r="U68" i="8"/>
  <c r="U69" i="8"/>
  <c r="U70" i="8"/>
  <c r="U71" i="8"/>
  <c r="U72" i="8"/>
  <c r="U73" i="8"/>
  <c r="U74" i="8"/>
  <c r="U75" i="8"/>
  <c r="U76" i="8"/>
  <c r="U77" i="8"/>
  <c r="U78" i="8"/>
  <c r="U79" i="8"/>
  <c r="U80" i="8"/>
  <c r="U81" i="8"/>
  <c r="U82" i="8"/>
  <c r="U83" i="8"/>
  <c r="U84" i="8"/>
  <c r="U85" i="8"/>
  <c r="U86" i="8"/>
  <c r="U87" i="8"/>
  <c r="U88" i="8"/>
  <c r="U89" i="8"/>
  <c r="U90" i="8"/>
  <c r="U91" i="8"/>
  <c r="U92" i="8"/>
  <c r="U93" i="8"/>
  <c r="U94" i="8"/>
  <c r="U95" i="8"/>
  <c r="U96" i="8"/>
  <c r="U97" i="8"/>
  <c r="U98" i="8"/>
  <c r="U99" i="8"/>
  <c r="U100" i="8"/>
  <c r="U101" i="8"/>
  <c r="U102" i="8"/>
  <c r="U103" i="8"/>
  <c r="U104" i="8"/>
  <c r="U105" i="8"/>
  <c r="U106" i="8"/>
  <c r="U107" i="8"/>
  <c r="U108" i="8"/>
  <c r="U109" i="8"/>
  <c r="U110" i="8"/>
  <c r="U111" i="8"/>
  <c r="U112" i="8"/>
  <c r="U113" i="8"/>
  <c r="U114" i="8"/>
  <c r="U115" i="8"/>
  <c r="U116" i="8"/>
  <c r="U117" i="8"/>
  <c r="U118" i="8"/>
  <c r="U119" i="8"/>
  <c r="U120" i="8"/>
  <c r="U121" i="8"/>
  <c r="U122" i="8"/>
  <c r="U123" i="8"/>
  <c r="U124" i="8"/>
  <c r="U125" i="8"/>
  <c r="U126" i="8"/>
  <c r="U127" i="8"/>
  <c r="U128" i="8"/>
  <c r="U129" i="8"/>
  <c r="U130" i="8"/>
  <c r="U131" i="8"/>
  <c r="U132" i="8"/>
  <c r="U133" i="8"/>
  <c r="U134" i="8"/>
  <c r="U135" i="8"/>
  <c r="U136" i="8"/>
  <c r="U137" i="8"/>
  <c r="U138" i="8"/>
  <c r="U139" i="8"/>
  <c r="U140" i="8"/>
  <c r="U141" i="8"/>
  <c r="U142" i="8"/>
  <c r="U143" i="8"/>
  <c r="U144" i="8"/>
  <c r="U145" i="8"/>
  <c r="U146" i="8"/>
  <c r="U147" i="8"/>
  <c r="U148" i="8"/>
  <c r="U149" i="8"/>
  <c r="U150" i="8"/>
  <c r="U151" i="8"/>
  <c r="U152" i="8"/>
  <c r="U153" i="8"/>
  <c r="U154" i="8"/>
  <c r="U155" i="8"/>
  <c r="U156" i="8"/>
  <c r="U157" i="8"/>
  <c r="U158" i="8"/>
  <c r="U159" i="8"/>
  <c r="U160" i="8"/>
  <c r="U161" i="8"/>
  <c r="U162" i="8"/>
  <c r="U163" i="8"/>
  <c r="U164" i="8"/>
  <c r="U165" i="8"/>
  <c r="U166" i="8"/>
  <c r="U167" i="8"/>
  <c r="U168" i="8"/>
  <c r="U169" i="8"/>
  <c r="U170" i="8"/>
  <c r="U171" i="8"/>
  <c r="U172" i="8"/>
  <c r="U173" i="8"/>
  <c r="U174" i="8"/>
  <c r="U175" i="8"/>
  <c r="U176" i="8"/>
  <c r="U177" i="8"/>
  <c r="U178" i="8"/>
  <c r="U179" i="8"/>
  <c r="U180" i="8"/>
  <c r="U181" i="8"/>
  <c r="U182" i="8"/>
  <c r="U183" i="8"/>
  <c r="U184" i="8"/>
  <c r="U185" i="8"/>
  <c r="U186" i="8"/>
  <c r="U187" i="8"/>
  <c r="U188" i="8"/>
  <c r="U189" i="8"/>
  <c r="U190" i="8"/>
  <c r="U191" i="8"/>
  <c r="U192" i="8"/>
  <c r="U193" i="8"/>
  <c r="U194" i="8"/>
  <c r="U195" i="8"/>
  <c r="U196" i="8"/>
  <c r="U197" i="8"/>
  <c r="U198" i="8"/>
  <c r="U199" i="8"/>
  <c r="U200" i="8"/>
  <c r="U201" i="8"/>
  <c r="U202" i="8"/>
  <c r="U203" i="8"/>
  <c r="U204" i="8"/>
  <c r="U205" i="8"/>
  <c r="U206" i="8"/>
  <c r="U207" i="8"/>
  <c r="U208" i="8"/>
  <c r="U209" i="8"/>
  <c r="U210" i="8"/>
  <c r="U211" i="8"/>
  <c r="U212" i="8"/>
  <c r="U213" i="8"/>
  <c r="U214" i="8"/>
  <c r="U215" i="8"/>
  <c r="U216" i="8"/>
  <c r="U217" i="8"/>
  <c r="U218" i="8"/>
  <c r="U219" i="8"/>
  <c r="U220" i="8"/>
  <c r="U221" i="8"/>
  <c r="U222" i="8"/>
  <c r="U223" i="8"/>
  <c r="U224" i="8"/>
  <c r="U225" i="8"/>
  <c r="U226" i="8"/>
  <c r="U227" i="8"/>
  <c r="U228" i="8"/>
  <c r="U229" i="8"/>
  <c r="U230" i="8"/>
  <c r="U231" i="8"/>
  <c r="U232" i="8"/>
  <c r="U233" i="8"/>
  <c r="U234" i="8"/>
  <c r="U235" i="8"/>
  <c r="U236" i="8"/>
  <c r="U237" i="8"/>
  <c r="U238" i="8"/>
  <c r="U239" i="8"/>
  <c r="U240" i="8"/>
  <c r="U241" i="8"/>
  <c r="U242" i="8"/>
  <c r="U243" i="8"/>
  <c r="U244" i="8"/>
  <c r="U245" i="8"/>
  <c r="U246" i="8"/>
  <c r="U247" i="8"/>
  <c r="U248" i="8"/>
  <c r="U249" i="8"/>
  <c r="U250" i="8"/>
  <c r="U251" i="8"/>
  <c r="U252" i="8"/>
  <c r="U253" i="8"/>
  <c r="U254" i="8"/>
  <c r="U255" i="8"/>
  <c r="U256" i="8"/>
  <c r="U257" i="8"/>
  <c r="U258" i="8"/>
  <c r="U259" i="8"/>
  <c r="U260" i="8"/>
  <c r="U261" i="8"/>
  <c r="U262" i="8"/>
  <c r="U263" i="8"/>
  <c r="U264" i="8"/>
  <c r="U265" i="8"/>
  <c r="U266" i="8"/>
  <c r="U267" i="8"/>
  <c r="U268" i="8"/>
  <c r="U269" i="8"/>
  <c r="U270" i="8"/>
  <c r="U271" i="8"/>
  <c r="U272" i="8"/>
  <c r="U273" i="8"/>
  <c r="U274" i="8"/>
  <c r="U275" i="8"/>
  <c r="U276" i="8"/>
  <c r="U277" i="8"/>
  <c r="U278" i="8"/>
  <c r="U279" i="8"/>
  <c r="U280" i="8"/>
  <c r="U281" i="8"/>
  <c r="U282" i="8"/>
  <c r="U283" i="8"/>
  <c r="U284" i="8"/>
  <c r="U285" i="8"/>
  <c r="U286" i="8"/>
  <c r="U287" i="8"/>
  <c r="U288" i="8"/>
  <c r="U289" i="8"/>
  <c r="U290" i="8"/>
  <c r="U291" i="8"/>
  <c r="U292" i="8"/>
  <c r="U293" i="8"/>
  <c r="U294" i="8"/>
  <c r="U295" i="8"/>
  <c r="U296" i="8"/>
  <c r="U297" i="8"/>
  <c r="U298" i="8"/>
  <c r="U299" i="8"/>
  <c r="U300" i="8"/>
  <c r="U301" i="8"/>
  <c r="U302" i="8"/>
  <c r="U303" i="8"/>
  <c r="U304" i="8"/>
  <c r="U305" i="8"/>
  <c r="U306" i="8"/>
  <c r="U307" i="8"/>
  <c r="U308" i="8"/>
  <c r="U309" i="8"/>
  <c r="U310" i="8"/>
  <c r="U311" i="8"/>
  <c r="U312" i="8"/>
  <c r="U313" i="8"/>
  <c r="U314" i="8"/>
  <c r="U315" i="8"/>
  <c r="U316" i="8"/>
  <c r="U317" i="8"/>
  <c r="U318" i="8"/>
  <c r="U319" i="8"/>
  <c r="U320" i="8"/>
  <c r="U321" i="8"/>
  <c r="U322" i="8"/>
  <c r="U323" i="8"/>
  <c r="U324" i="8"/>
  <c r="U325" i="8"/>
  <c r="U326" i="8"/>
  <c r="U327" i="8"/>
  <c r="U328" i="8"/>
  <c r="U329" i="8"/>
  <c r="U330" i="8"/>
  <c r="U331" i="8"/>
  <c r="U332" i="8"/>
  <c r="U333" i="8"/>
  <c r="U334" i="8"/>
  <c r="U335" i="8"/>
  <c r="U336" i="8"/>
  <c r="U337" i="8"/>
  <c r="U338" i="8"/>
  <c r="U339" i="8"/>
  <c r="U340" i="8"/>
  <c r="U341" i="8"/>
  <c r="U342" i="8"/>
  <c r="U343" i="8"/>
  <c r="U344" i="8"/>
  <c r="U345" i="8"/>
  <c r="U346" i="8"/>
  <c r="U347" i="8"/>
  <c r="U348" i="8"/>
  <c r="U349" i="8"/>
  <c r="U350" i="8"/>
  <c r="U351" i="8"/>
  <c r="U352" i="8"/>
  <c r="U353" i="8"/>
  <c r="U354" i="8"/>
  <c r="U355" i="8"/>
  <c r="U356" i="8"/>
  <c r="U357" i="8"/>
  <c r="U358" i="8"/>
  <c r="U359" i="8"/>
  <c r="U360" i="8"/>
  <c r="U361" i="8"/>
  <c r="U362" i="8"/>
  <c r="U363" i="8"/>
  <c r="U364" i="8"/>
  <c r="U365" i="8"/>
  <c r="U366" i="8"/>
  <c r="U367" i="8"/>
  <c r="U368" i="8"/>
  <c r="U369" i="8"/>
  <c r="U370" i="8"/>
  <c r="U371" i="8"/>
  <c r="U372" i="8"/>
  <c r="U373" i="8"/>
  <c r="U374" i="8"/>
  <c r="U375" i="8"/>
  <c r="U376" i="8"/>
  <c r="U377" i="8"/>
  <c r="U378" i="8"/>
  <c r="U379" i="8"/>
  <c r="U380" i="8"/>
  <c r="U381" i="8"/>
  <c r="U382" i="8"/>
  <c r="U383" i="8"/>
  <c r="U384" i="8"/>
  <c r="U385" i="8"/>
  <c r="U386" i="8"/>
  <c r="U387" i="8"/>
  <c r="U388" i="8"/>
  <c r="U389" i="8"/>
  <c r="U390" i="8"/>
  <c r="U391" i="8"/>
  <c r="U392" i="8"/>
  <c r="U393" i="8"/>
  <c r="U394" i="8"/>
  <c r="U395" i="8"/>
  <c r="U396" i="8"/>
  <c r="U397" i="8"/>
  <c r="U398" i="8"/>
  <c r="U399" i="8"/>
  <c r="U400" i="8"/>
  <c r="U401" i="8"/>
  <c r="U402" i="8"/>
  <c r="U403" i="8"/>
  <c r="U404" i="8"/>
  <c r="U405" i="8"/>
  <c r="U406" i="8"/>
  <c r="U407" i="8"/>
  <c r="U408" i="8"/>
  <c r="U409" i="8"/>
  <c r="U410" i="8"/>
  <c r="U411" i="8"/>
  <c r="U412" i="8"/>
  <c r="U413" i="8"/>
  <c r="U414" i="8"/>
  <c r="U2" i="8"/>
  <c r="Y60" i="7"/>
  <c r="AA60" i="7" s="1"/>
  <c r="Y3" i="7"/>
  <c r="AA3" i="7" s="1"/>
  <c r="Y4" i="7"/>
  <c r="AA4" i="7" s="1"/>
  <c r="Y5" i="7"/>
  <c r="AA5" i="7" s="1"/>
  <c r="Y6" i="7"/>
  <c r="Z6" i="7" s="1"/>
  <c r="AG6" i="18" s="1"/>
  <c r="Y7" i="7"/>
  <c r="AA7" i="7" s="1"/>
  <c r="Y9" i="7"/>
  <c r="AA9" i="7" s="1"/>
  <c r="Y10" i="7"/>
  <c r="Z10" i="7" s="1"/>
  <c r="AG9" i="18" s="1"/>
  <c r="Y11" i="7"/>
  <c r="AA11" i="7" s="1"/>
  <c r="Y12" i="7"/>
  <c r="AA12" i="7" s="1"/>
  <c r="Y13" i="7"/>
  <c r="AA13" i="7" s="1"/>
  <c r="Y14" i="7"/>
  <c r="Z14" i="7" s="1"/>
  <c r="AG13" i="18" s="1"/>
  <c r="Y15" i="7"/>
  <c r="AA15" i="7" s="1"/>
  <c r="Y16" i="7"/>
  <c r="AA16" i="7" s="1"/>
  <c r="Y17" i="7"/>
  <c r="AA17" i="7" s="1"/>
  <c r="Y18" i="7"/>
  <c r="Z18" i="7" s="1"/>
  <c r="AG17" i="18" s="1"/>
  <c r="Y19" i="7"/>
  <c r="AA19" i="7" s="1"/>
  <c r="Y20" i="7"/>
  <c r="AA20" i="7" s="1"/>
  <c r="Y21" i="7"/>
  <c r="AA21" i="7" s="1"/>
  <c r="Y22" i="7"/>
  <c r="Z22" i="7" s="1"/>
  <c r="AG21" i="18" s="1"/>
  <c r="Y23" i="7"/>
  <c r="AA23" i="7" s="1"/>
  <c r="Y24" i="7"/>
  <c r="AA24" i="7" s="1"/>
  <c r="Y25" i="7"/>
  <c r="AA25" i="7" s="1"/>
  <c r="Y26" i="7"/>
  <c r="Z26" i="7" s="1"/>
  <c r="AG25" i="18" s="1"/>
  <c r="Y27" i="7"/>
  <c r="AA27" i="7" s="1"/>
  <c r="Y28" i="7"/>
  <c r="AA28" i="7" s="1"/>
  <c r="Y29" i="7"/>
  <c r="AA29" i="7" s="1"/>
  <c r="Y30" i="7"/>
  <c r="Z30" i="7" s="1"/>
  <c r="AG29" i="18" s="1"/>
  <c r="Y31" i="7"/>
  <c r="AA31" i="7" s="1"/>
  <c r="Y32" i="7"/>
  <c r="AA32" i="7" s="1"/>
  <c r="Y33" i="7"/>
  <c r="AA33" i="7" s="1"/>
  <c r="Y34" i="7"/>
  <c r="Z34" i="7" s="1"/>
  <c r="AG32" i="18" s="1"/>
  <c r="Y35" i="7"/>
  <c r="AA35" i="7" s="1"/>
  <c r="Y36" i="7"/>
  <c r="AA36" i="7" s="1"/>
  <c r="Y37" i="7"/>
  <c r="AA37" i="7" s="1"/>
  <c r="Y38" i="7"/>
  <c r="Z38" i="7" s="1"/>
  <c r="AG36" i="18" s="1"/>
  <c r="Y39" i="7"/>
  <c r="AA39" i="7" s="1"/>
  <c r="Y40" i="7"/>
  <c r="AA40" i="7" s="1"/>
  <c r="Y41" i="7"/>
  <c r="AA41" i="7" s="1"/>
  <c r="Y42" i="7"/>
  <c r="Z42" i="7" s="1"/>
  <c r="AG40" i="18" s="1"/>
  <c r="Y43" i="7"/>
  <c r="AA43" i="7" s="1"/>
  <c r="Y44" i="7"/>
  <c r="AA44" i="7" s="1"/>
  <c r="Y45" i="7"/>
  <c r="AA45" i="7" s="1"/>
  <c r="Y46" i="7"/>
  <c r="Z46" i="7" s="1"/>
  <c r="AG44" i="18" s="1"/>
  <c r="Y47" i="7"/>
  <c r="AA47" i="7" s="1"/>
  <c r="Y48" i="7"/>
  <c r="AA48" i="7" s="1"/>
  <c r="Y49" i="7"/>
  <c r="AA49" i="7" s="1"/>
  <c r="Y50" i="7"/>
  <c r="Z50" i="7" s="1"/>
  <c r="AG48" i="18" s="1"/>
  <c r="Y51" i="7"/>
  <c r="AA51" i="7" s="1"/>
  <c r="Y52" i="7"/>
  <c r="AA52" i="7" s="1"/>
  <c r="Y53" i="7"/>
  <c r="AA53" i="7" s="1"/>
  <c r="Y54" i="7"/>
  <c r="Z54" i="7" s="1"/>
  <c r="AG52" i="18" s="1"/>
  <c r="Y55" i="7"/>
  <c r="AA55" i="7" s="1"/>
  <c r="Y56" i="7"/>
  <c r="AA56" i="7" s="1"/>
  <c r="Y57" i="7"/>
  <c r="AA57" i="7" s="1"/>
  <c r="Y58" i="7"/>
  <c r="Z58" i="7" s="1"/>
  <c r="AG56" i="18" s="1"/>
  <c r="Y59" i="7"/>
  <c r="Z59" i="7" s="1"/>
  <c r="AG57" i="18" s="1"/>
  <c r="Y61" i="7"/>
  <c r="AA61" i="7" s="1"/>
  <c r="Y62" i="7"/>
  <c r="AA62" i="7" s="1"/>
  <c r="Y63" i="7"/>
  <c r="AA63" i="7" s="1"/>
  <c r="Y64" i="7"/>
  <c r="AA64" i="7" s="1"/>
  <c r="Y65" i="7"/>
  <c r="AA65" i="7" s="1"/>
  <c r="Y66" i="7"/>
  <c r="AA66" i="7" s="1"/>
  <c r="Y67" i="7"/>
  <c r="AA67" i="7" s="1"/>
  <c r="Y68" i="7"/>
  <c r="AA68" i="7" s="1"/>
  <c r="Y69" i="7"/>
  <c r="AA69" i="7" s="1"/>
  <c r="Y70" i="7"/>
  <c r="AA70" i="7" s="1"/>
  <c r="Y71" i="7"/>
  <c r="AA71" i="7" s="1"/>
  <c r="Y72" i="7"/>
  <c r="AA72" i="7" s="1"/>
  <c r="Y73" i="7"/>
  <c r="AA73" i="7" s="1"/>
  <c r="Y74" i="7"/>
  <c r="AA74" i="7" s="1"/>
  <c r="Y75" i="7"/>
  <c r="AA75" i="7" s="1"/>
  <c r="Y76" i="7"/>
  <c r="AA76" i="7" s="1"/>
  <c r="Y77" i="7"/>
  <c r="AA77" i="7" s="1"/>
  <c r="Y78" i="7"/>
  <c r="AA78" i="7" s="1"/>
  <c r="Y79" i="7"/>
  <c r="AA79" i="7" s="1"/>
  <c r="Y80" i="7"/>
  <c r="AA80" i="7" s="1"/>
  <c r="Y81" i="7"/>
  <c r="AA81" i="7" s="1"/>
  <c r="Y82" i="7"/>
  <c r="AA82" i="7" s="1"/>
  <c r="Y83" i="7"/>
  <c r="AA83" i="7" s="1"/>
  <c r="Y84" i="7"/>
  <c r="AA84" i="7" s="1"/>
  <c r="Y85" i="7"/>
  <c r="AA85" i="7" s="1"/>
  <c r="Y86" i="7"/>
  <c r="AA86" i="7" s="1"/>
  <c r="Y87" i="7"/>
  <c r="AA87" i="7" s="1"/>
  <c r="Y88" i="7"/>
  <c r="AA88" i="7" s="1"/>
  <c r="Y89" i="7"/>
  <c r="AA89" i="7" s="1"/>
  <c r="Y90" i="7"/>
  <c r="AA90" i="7" s="1"/>
  <c r="Y91" i="7"/>
  <c r="AA91" i="7" s="1"/>
  <c r="Y92" i="7"/>
  <c r="AA92" i="7" s="1"/>
  <c r="Y93" i="7"/>
  <c r="AA93" i="7" s="1"/>
  <c r="Y94" i="7"/>
  <c r="AA94" i="7" s="1"/>
  <c r="Y95" i="7"/>
  <c r="AA95" i="7" s="1"/>
  <c r="Y96" i="7"/>
  <c r="AA96" i="7" s="1"/>
  <c r="Y97" i="7"/>
  <c r="AA97" i="7" s="1"/>
  <c r="Y98" i="7"/>
  <c r="AA98" i="7" s="1"/>
  <c r="Y99" i="7"/>
  <c r="AA99" i="7" s="1"/>
  <c r="Y100" i="7"/>
  <c r="AA100" i="7" s="1"/>
  <c r="Y101" i="7"/>
  <c r="AA101" i="7" s="1"/>
  <c r="Y102" i="7"/>
  <c r="AA102" i="7" s="1"/>
  <c r="Y103" i="7"/>
  <c r="AA103" i="7" s="1"/>
  <c r="Y104" i="7"/>
  <c r="AA104" i="7" s="1"/>
  <c r="Y105" i="7"/>
  <c r="AA105" i="7" s="1"/>
  <c r="Y106" i="7"/>
  <c r="AA106" i="7" s="1"/>
  <c r="Y107" i="7"/>
  <c r="AA107" i="7" s="1"/>
  <c r="Y108" i="7"/>
  <c r="AA108" i="7" s="1"/>
  <c r="Y109" i="7"/>
  <c r="AA109" i="7" s="1"/>
  <c r="Y110" i="7"/>
  <c r="AA110" i="7" s="1"/>
  <c r="Y111" i="7"/>
  <c r="AA111" i="7" s="1"/>
  <c r="Y112" i="7"/>
  <c r="AA112" i="7" s="1"/>
  <c r="Y113" i="7"/>
  <c r="AA113" i="7" s="1"/>
  <c r="Y114" i="7"/>
  <c r="AA114" i="7" s="1"/>
  <c r="Y115" i="7"/>
  <c r="AA115" i="7" s="1"/>
  <c r="Y116" i="7"/>
  <c r="AA116" i="7" s="1"/>
  <c r="Y117" i="7"/>
  <c r="AA117" i="7" s="1"/>
  <c r="Y118" i="7"/>
  <c r="AA118" i="7" s="1"/>
  <c r="Y119" i="7"/>
  <c r="AA119" i="7" s="1"/>
  <c r="Y120" i="7"/>
  <c r="AA120" i="7" s="1"/>
  <c r="Y121" i="7"/>
  <c r="AA121" i="7" s="1"/>
  <c r="Y122" i="7"/>
  <c r="AA122" i="7" s="1"/>
  <c r="Y123" i="7"/>
  <c r="AA123" i="7" s="1"/>
  <c r="Y124" i="7"/>
  <c r="AA124" i="7" s="1"/>
  <c r="Y125" i="7"/>
  <c r="AA125" i="7" s="1"/>
  <c r="Y126" i="7"/>
  <c r="AA126" i="7" s="1"/>
  <c r="Y127" i="7"/>
  <c r="AA127" i="7" s="1"/>
  <c r="Y128" i="7"/>
  <c r="AA128" i="7" s="1"/>
  <c r="Y129" i="7"/>
  <c r="AA129" i="7" s="1"/>
  <c r="Y130" i="7"/>
  <c r="AA130" i="7" s="1"/>
  <c r="Y131" i="7"/>
  <c r="AA131" i="7" s="1"/>
  <c r="Y132" i="7"/>
  <c r="AA132" i="7" s="1"/>
  <c r="Y133" i="7"/>
  <c r="AA133" i="7" s="1"/>
  <c r="Y134" i="7"/>
  <c r="AA134" i="7" s="1"/>
  <c r="Y135" i="7"/>
  <c r="AA135" i="7" s="1"/>
  <c r="Y136" i="7"/>
  <c r="AA136" i="7" s="1"/>
  <c r="Y137" i="7"/>
  <c r="AA137" i="7" s="1"/>
  <c r="Y138" i="7"/>
  <c r="AA138" i="7" s="1"/>
  <c r="Y139" i="7"/>
  <c r="AA139" i="7" s="1"/>
  <c r="Y140" i="7"/>
  <c r="AA140" i="7" s="1"/>
  <c r="Y141" i="7"/>
  <c r="AA141" i="7" s="1"/>
  <c r="Y142" i="7"/>
  <c r="AA142" i="7" s="1"/>
  <c r="Y143" i="7"/>
  <c r="AA143" i="7" s="1"/>
  <c r="Y144" i="7"/>
  <c r="AA144" i="7" s="1"/>
  <c r="Y145" i="7"/>
  <c r="AA145" i="7" s="1"/>
  <c r="Y146" i="7"/>
  <c r="AA146" i="7" s="1"/>
  <c r="Y147" i="7"/>
  <c r="AA147" i="7" s="1"/>
  <c r="Y148" i="7"/>
  <c r="AA148" i="7" s="1"/>
  <c r="Y149" i="7"/>
  <c r="AA149" i="7" s="1"/>
  <c r="Y150" i="7"/>
  <c r="AA150" i="7" s="1"/>
  <c r="Y151" i="7"/>
  <c r="AA151" i="7" s="1"/>
  <c r="Y152" i="7"/>
  <c r="AA152" i="7" s="1"/>
  <c r="Y153" i="7"/>
  <c r="AA153" i="7" s="1"/>
  <c r="Y154" i="7"/>
  <c r="AA154" i="7" s="1"/>
  <c r="Y155" i="7"/>
  <c r="AA155" i="7" s="1"/>
  <c r="Y156" i="7"/>
  <c r="AA156" i="7" s="1"/>
  <c r="Y157" i="7"/>
  <c r="AA157" i="7" s="1"/>
  <c r="Y158" i="7"/>
  <c r="AA158" i="7" s="1"/>
  <c r="Y159" i="7"/>
  <c r="AA159" i="7" s="1"/>
  <c r="Y160" i="7"/>
  <c r="AA160" i="7" s="1"/>
  <c r="Y161" i="7"/>
  <c r="AA161" i="7" s="1"/>
  <c r="Y162" i="7"/>
  <c r="AA162" i="7" s="1"/>
  <c r="Y163" i="7"/>
  <c r="AA163" i="7" s="1"/>
  <c r="Y164" i="7"/>
  <c r="AA164" i="7" s="1"/>
  <c r="Y165" i="7"/>
  <c r="AA165" i="7" s="1"/>
  <c r="Y166" i="7"/>
  <c r="AA166" i="7" s="1"/>
  <c r="Y167" i="7"/>
  <c r="AA167" i="7" s="1"/>
  <c r="Y168" i="7"/>
  <c r="AA168" i="7" s="1"/>
  <c r="Y169" i="7"/>
  <c r="AA169" i="7" s="1"/>
  <c r="Y170" i="7"/>
  <c r="AA170" i="7" s="1"/>
  <c r="Y171" i="7"/>
  <c r="AA171" i="7" s="1"/>
  <c r="Y172" i="7"/>
  <c r="AA172" i="7" s="1"/>
  <c r="Y173" i="7"/>
  <c r="AA173" i="7" s="1"/>
  <c r="Y174" i="7"/>
  <c r="AA174" i="7" s="1"/>
  <c r="Y175" i="7"/>
  <c r="AA175" i="7" s="1"/>
  <c r="Y176" i="7"/>
  <c r="AA176" i="7" s="1"/>
  <c r="Y177" i="7"/>
  <c r="AA177" i="7" s="1"/>
  <c r="Y178" i="7"/>
  <c r="AA178" i="7" s="1"/>
  <c r="Y179" i="7"/>
  <c r="AA179" i="7" s="1"/>
  <c r="Y180" i="7"/>
  <c r="AA180" i="7" s="1"/>
  <c r="Y181" i="7"/>
  <c r="AA181" i="7" s="1"/>
  <c r="Y182" i="7"/>
  <c r="AA182" i="7" s="1"/>
  <c r="Y183" i="7"/>
  <c r="AA183" i="7" s="1"/>
  <c r="Y184" i="7"/>
  <c r="AA184" i="7" s="1"/>
  <c r="Y185" i="7"/>
  <c r="AA185" i="7" s="1"/>
  <c r="Y186" i="7"/>
  <c r="AA186" i="7" s="1"/>
  <c r="Y187" i="7"/>
  <c r="AA187" i="7" s="1"/>
  <c r="Y188" i="7"/>
  <c r="AA188" i="7" s="1"/>
  <c r="Y189" i="7"/>
  <c r="AA189" i="7" s="1"/>
  <c r="Y190" i="7"/>
  <c r="AA190" i="7" s="1"/>
  <c r="Y191" i="7"/>
  <c r="AA191" i="7" s="1"/>
  <c r="Y192" i="7"/>
  <c r="AA192" i="7" s="1"/>
  <c r="Y193" i="7"/>
  <c r="AA193" i="7" s="1"/>
  <c r="Y194" i="7"/>
  <c r="AA194" i="7" s="1"/>
  <c r="Y195" i="7"/>
  <c r="AA195" i="7" s="1"/>
  <c r="Y196" i="7"/>
  <c r="AA196" i="7" s="1"/>
  <c r="Y197" i="7"/>
  <c r="AA197" i="7" s="1"/>
  <c r="Y198" i="7"/>
  <c r="AA198" i="7" s="1"/>
  <c r="Y199" i="7"/>
  <c r="AA199" i="7" s="1"/>
  <c r="Y200" i="7"/>
  <c r="AA200" i="7" s="1"/>
  <c r="Y201" i="7"/>
  <c r="AA201" i="7" s="1"/>
  <c r="Y202" i="7"/>
  <c r="AA202" i="7" s="1"/>
  <c r="Y203" i="7"/>
  <c r="AA203" i="7" s="1"/>
  <c r="Y204" i="7"/>
  <c r="AA204" i="7" s="1"/>
  <c r="Y205" i="7"/>
  <c r="AA205" i="7" s="1"/>
  <c r="Y206" i="7"/>
  <c r="AA206" i="7" s="1"/>
  <c r="Y207" i="7"/>
  <c r="AA207" i="7" s="1"/>
  <c r="Y208" i="7"/>
  <c r="AA208" i="7" s="1"/>
  <c r="Y209" i="7"/>
  <c r="AA209" i="7" s="1"/>
  <c r="Y210" i="7"/>
  <c r="AA210" i="7" s="1"/>
  <c r="Y211" i="7"/>
  <c r="AA211" i="7" s="1"/>
  <c r="Y212" i="7"/>
  <c r="AA212" i="7" s="1"/>
  <c r="Y213" i="7"/>
  <c r="AA213" i="7" s="1"/>
  <c r="Y214" i="7"/>
  <c r="AA214" i="7" s="1"/>
  <c r="Y215" i="7"/>
  <c r="AA215" i="7" s="1"/>
  <c r="Y216" i="7"/>
  <c r="AA216" i="7" s="1"/>
  <c r="Y217" i="7"/>
  <c r="AA217" i="7" s="1"/>
  <c r="Y218" i="7"/>
  <c r="AA218" i="7" s="1"/>
  <c r="Y219" i="7"/>
  <c r="AA219" i="7" s="1"/>
  <c r="Y220" i="7"/>
  <c r="AA220" i="7" s="1"/>
  <c r="Y221" i="7"/>
  <c r="AA221" i="7" s="1"/>
  <c r="Y222" i="7"/>
  <c r="Z222" i="7" s="1"/>
  <c r="AG218" i="18" s="1"/>
  <c r="Y223" i="7"/>
  <c r="AA223" i="7" s="1"/>
  <c r="Y224" i="7"/>
  <c r="AA224" i="7" s="1"/>
  <c r="Y225" i="7"/>
  <c r="AA225" i="7" s="1"/>
  <c r="Y226" i="7"/>
  <c r="Z226" i="7" s="1"/>
  <c r="AG222" i="18" s="1"/>
  <c r="Y227" i="7"/>
  <c r="AA227" i="7" s="1"/>
  <c r="Y228" i="7"/>
  <c r="AA228" i="7" s="1"/>
  <c r="Y229" i="7"/>
  <c r="AA229" i="7" s="1"/>
  <c r="Y230" i="7"/>
  <c r="Z230" i="7" s="1"/>
  <c r="AG225" i="18" s="1"/>
  <c r="Y231" i="7"/>
  <c r="AA231" i="7" s="1"/>
  <c r="Y232" i="7"/>
  <c r="AA232" i="7" s="1"/>
  <c r="Y233" i="7"/>
  <c r="AA233" i="7" s="1"/>
  <c r="Y234" i="7"/>
  <c r="Z234" i="7" s="1"/>
  <c r="AG228" i="18" s="1"/>
  <c r="Y235" i="7"/>
  <c r="AA235" i="7" s="1"/>
  <c r="Y236" i="7"/>
  <c r="AA236" i="7" s="1"/>
  <c r="Y237" i="7"/>
  <c r="AA237" i="7" s="1"/>
  <c r="Y238" i="7"/>
  <c r="Z238" i="7" s="1"/>
  <c r="AG233" i="18" s="1"/>
  <c r="Y239" i="7"/>
  <c r="AA239" i="7" s="1"/>
  <c r="Y240" i="7"/>
  <c r="AA240" i="7" s="1"/>
  <c r="Y241" i="7"/>
  <c r="AA241" i="7" s="1"/>
  <c r="Y242" i="7"/>
  <c r="Z242" i="7" s="1"/>
  <c r="AG237" i="18" s="1"/>
  <c r="Y243" i="7"/>
  <c r="AA243" i="7" s="1"/>
  <c r="Y244" i="7"/>
  <c r="AA244" i="7" s="1"/>
  <c r="Y245" i="7"/>
  <c r="AA245" i="7" s="1"/>
  <c r="Y246" i="7"/>
  <c r="Z246" i="7" s="1"/>
  <c r="AG241" i="18" s="1"/>
  <c r="Y247" i="7"/>
  <c r="AA247" i="7" s="1"/>
  <c r="Y248" i="7"/>
  <c r="AA248" i="7" s="1"/>
  <c r="Y249" i="7"/>
  <c r="AA249" i="7" s="1"/>
  <c r="Y250" i="7"/>
  <c r="Z250" i="7" s="1"/>
  <c r="AG245" i="18" s="1"/>
  <c r="Y251" i="7"/>
  <c r="AA251" i="7" s="1"/>
  <c r="Y252" i="7"/>
  <c r="AA252" i="7" s="1"/>
  <c r="Y253" i="7"/>
  <c r="AA253" i="7" s="1"/>
  <c r="Y254" i="7"/>
  <c r="Z254" i="7" s="1"/>
  <c r="AG249" i="18" s="1"/>
  <c r="Y255" i="7"/>
  <c r="AA255" i="7" s="1"/>
  <c r="Y256" i="7"/>
  <c r="AA256" i="7" s="1"/>
  <c r="Y257" i="7"/>
  <c r="AA257" i="7" s="1"/>
  <c r="Y258" i="7"/>
  <c r="Z258" i="7" s="1"/>
  <c r="AG253" i="18" s="1"/>
  <c r="Y259" i="7"/>
  <c r="AA259" i="7" s="1"/>
  <c r="Y260" i="7"/>
  <c r="AA260" i="7" s="1"/>
  <c r="Y261" i="7"/>
  <c r="AA261" i="7" s="1"/>
  <c r="Y262" i="7"/>
  <c r="Z262" i="7" s="1"/>
  <c r="AG257" i="18" s="1"/>
  <c r="Y263" i="7"/>
  <c r="AA263" i="7" s="1"/>
  <c r="Y264" i="7"/>
  <c r="AA264" i="7" s="1"/>
  <c r="Y265" i="7"/>
  <c r="AA265" i="7" s="1"/>
  <c r="Y266" i="7"/>
  <c r="Z266" i="7" s="1"/>
  <c r="AG261" i="18" s="1"/>
  <c r="Y267" i="7"/>
  <c r="AA267" i="7" s="1"/>
  <c r="Y268" i="7"/>
  <c r="AA268" i="7" s="1"/>
  <c r="Y269" i="7"/>
  <c r="AA269" i="7" s="1"/>
  <c r="Y270" i="7"/>
  <c r="Z270" i="7" s="1"/>
  <c r="AG265" i="18" s="1"/>
  <c r="Y271" i="7"/>
  <c r="AA271" i="7" s="1"/>
  <c r="Y272" i="7"/>
  <c r="AA272" i="7" s="1"/>
  <c r="Y273" i="7"/>
  <c r="AA273" i="7" s="1"/>
  <c r="Y274" i="7"/>
  <c r="Z274" i="7" s="1"/>
  <c r="AG269" i="18" s="1"/>
  <c r="Y275" i="7"/>
  <c r="AA275" i="7" s="1"/>
  <c r="Y276" i="7"/>
  <c r="AA276" i="7" s="1"/>
  <c r="Y277" i="7"/>
  <c r="AA277" i="7" s="1"/>
  <c r="Y278" i="7"/>
  <c r="Z278" i="7" s="1"/>
  <c r="AG273" i="18" s="1"/>
  <c r="Y279" i="7"/>
  <c r="AA279" i="7" s="1"/>
  <c r="Y280" i="7"/>
  <c r="AA280" i="7" s="1"/>
  <c r="Y281" i="7"/>
  <c r="AA281" i="7" s="1"/>
  <c r="Y282" i="7"/>
  <c r="Z282" i="7" s="1"/>
  <c r="AG277" i="18" s="1"/>
  <c r="Y283" i="7"/>
  <c r="AA283" i="7" s="1"/>
  <c r="Y284" i="7"/>
  <c r="AA284" i="7" s="1"/>
  <c r="Y285" i="7"/>
  <c r="AA285" i="7" s="1"/>
  <c r="Y286" i="7"/>
  <c r="Z286" i="7" s="1"/>
  <c r="AG281" i="18" s="1"/>
  <c r="Y287" i="7"/>
  <c r="AA287" i="7" s="1"/>
  <c r="Y288" i="7"/>
  <c r="AA288" i="7" s="1"/>
  <c r="Y289" i="7"/>
  <c r="AA289" i="7" s="1"/>
  <c r="Y290" i="7"/>
  <c r="Z290" i="7" s="1"/>
  <c r="AG285" i="18" s="1"/>
  <c r="Y291" i="7"/>
  <c r="AA291" i="7" s="1"/>
  <c r="Y292" i="7"/>
  <c r="AA292" i="7" s="1"/>
  <c r="Y293" i="7"/>
  <c r="AA293" i="7" s="1"/>
  <c r="Y294" i="7"/>
  <c r="Z294" i="7" s="1"/>
  <c r="Y295" i="7"/>
  <c r="AA295" i="7" s="1"/>
  <c r="Y296" i="7"/>
  <c r="AA296" i="7" s="1"/>
  <c r="Y297" i="7"/>
  <c r="AA297" i="7" s="1"/>
  <c r="Y298" i="7"/>
  <c r="Z298" i="7" s="1"/>
  <c r="AG292" i="18" s="1"/>
  <c r="Y299" i="7"/>
  <c r="AA299" i="7" s="1"/>
  <c r="Y300" i="7"/>
  <c r="AA300" i="7" s="1"/>
  <c r="Y301" i="7"/>
  <c r="AA301" i="7" s="1"/>
  <c r="Y302" i="7"/>
  <c r="Z302" i="7" s="1"/>
  <c r="AG296" i="18" s="1"/>
  <c r="Y303" i="7"/>
  <c r="AA303" i="7" s="1"/>
  <c r="Y304" i="7"/>
  <c r="AA304" i="7" s="1"/>
  <c r="Y305" i="7"/>
  <c r="AA305" i="7" s="1"/>
  <c r="Y306" i="7"/>
  <c r="Z306" i="7" s="1"/>
  <c r="AG300" i="18" s="1"/>
  <c r="Y307" i="7"/>
  <c r="AA307" i="7" s="1"/>
  <c r="Y308" i="7"/>
  <c r="AA308" i="7" s="1"/>
  <c r="Y309" i="7"/>
  <c r="AA309" i="7" s="1"/>
  <c r="Y310" i="7"/>
  <c r="Z310" i="7" s="1"/>
  <c r="AG304" i="18" s="1"/>
  <c r="Y311" i="7"/>
  <c r="AA311" i="7" s="1"/>
  <c r="Y312" i="7"/>
  <c r="AA312" i="7" s="1"/>
  <c r="Y313" i="7"/>
  <c r="AA313" i="7" s="1"/>
  <c r="Y314" i="7"/>
  <c r="Z314" i="7" s="1"/>
  <c r="AG308" i="18" s="1"/>
  <c r="Y315" i="7"/>
  <c r="AA315" i="7" s="1"/>
  <c r="Y316" i="7"/>
  <c r="AA316" i="7" s="1"/>
  <c r="Y317" i="7"/>
  <c r="AA317" i="7" s="1"/>
  <c r="Y318" i="7"/>
  <c r="Z318" i="7" s="1"/>
  <c r="AG311" i="18" s="1"/>
  <c r="Y319" i="7"/>
  <c r="AA319" i="7" s="1"/>
  <c r="Y320" i="7"/>
  <c r="AA320" i="7" s="1"/>
  <c r="Y321" i="7"/>
  <c r="AA321" i="7" s="1"/>
  <c r="Y322" i="7"/>
  <c r="Z322" i="7" s="1"/>
  <c r="AG315" i="18" s="1"/>
  <c r="Y323" i="7"/>
  <c r="AA323" i="7" s="1"/>
  <c r="Y324" i="7"/>
  <c r="AA324" i="7" s="1"/>
  <c r="Y325" i="7"/>
  <c r="AA325" i="7" s="1"/>
  <c r="Y326" i="7"/>
  <c r="Z326" i="7" s="1"/>
  <c r="AG319" i="18" s="1"/>
  <c r="Y327" i="7"/>
  <c r="AA327" i="7" s="1"/>
  <c r="Y328" i="7"/>
  <c r="AA328" i="7" s="1"/>
  <c r="Y329" i="7"/>
  <c r="AA329" i="7" s="1"/>
  <c r="Y330" i="7"/>
  <c r="Z330" i="7" s="1"/>
  <c r="AG323" i="18" s="1"/>
  <c r="Y331" i="7"/>
  <c r="AA331" i="7" s="1"/>
  <c r="Y332" i="7"/>
  <c r="AA332" i="7" s="1"/>
  <c r="Y333" i="7"/>
  <c r="AA333" i="7" s="1"/>
  <c r="Y334" i="7"/>
  <c r="Z334" i="7" s="1"/>
  <c r="AG327" i="18" s="1"/>
  <c r="Y335" i="7"/>
  <c r="AA335" i="7" s="1"/>
  <c r="Y336" i="7"/>
  <c r="AA336" i="7" s="1"/>
  <c r="Y337" i="7"/>
  <c r="AA337" i="7" s="1"/>
  <c r="Y338" i="7"/>
  <c r="Z338" i="7" s="1"/>
  <c r="Y339" i="7"/>
  <c r="AA339" i="7" s="1"/>
  <c r="Y340" i="7"/>
  <c r="AA340" i="7" s="1"/>
  <c r="Y341" i="7"/>
  <c r="AA341" i="7" s="1"/>
  <c r="Y342" i="7"/>
  <c r="Z342" i="7" s="1"/>
  <c r="AG335" i="18" s="1"/>
  <c r="Y343" i="7"/>
  <c r="AA343" i="7" s="1"/>
  <c r="Y344" i="7"/>
  <c r="AA344" i="7" s="1"/>
  <c r="Y345" i="7"/>
  <c r="AA345" i="7" s="1"/>
  <c r="Y346" i="7"/>
  <c r="Z346" i="7" s="1"/>
  <c r="AG339" i="18" s="1"/>
  <c r="Y347" i="7"/>
  <c r="AA347" i="7" s="1"/>
  <c r="Y348" i="7"/>
  <c r="AA348" i="7" s="1"/>
  <c r="Y349" i="7"/>
  <c r="AA349" i="7" s="1"/>
  <c r="Y350" i="7"/>
  <c r="Y351" i="7"/>
  <c r="AA351" i="7" s="1"/>
  <c r="Y352" i="7"/>
  <c r="AA352" i="7" s="1"/>
  <c r="Y353" i="7"/>
  <c r="AA353" i="7" s="1"/>
  <c r="Y354" i="7"/>
  <c r="Z354" i="7" s="1"/>
  <c r="AG347" i="18" s="1"/>
  <c r="Y355" i="7"/>
  <c r="AA355" i="7" s="1"/>
  <c r="Y356" i="7"/>
  <c r="AA356" i="7" s="1"/>
  <c r="Y357" i="7"/>
  <c r="AA357" i="7" s="1"/>
  <c r="Y358" i="7"/>
  <c r="Z358" i="7" s="1"/>
  <c r="AG351" i="18" s="1"/>
  <c r="Y359" i="7"/>
  <c r="AA359" i="7" s="1"/>
  <c r="Y360" i="7"/>
  <c r="AA360" i="7" s="1"/>
  <c r="Y361" i="7"/>
  <c r="AA361" i="7" s="1"/>
  <c r="Y362" i="7"/>
  <c r="Z362" i="7" s="1"/>
  <c r="AG355" i="18" s="1"/>
  <c r="Y363" i="7"/>
  <c r="AA363" i="7" s="1"/>
  <c r="Y364" i="7"/>
  <c r="AA364" i="7" s="1"/>
  <c r="Y365" i="7"/>
  <c r="AA365" i="7" s="1"/>
  <c r="Y366" i="7"/>
  <c r="Z366" i="7" s="1"/>
  <c r="AG359" i="18" s="1"/>
  <c r="Y367" i="7"/>
  <c r="AA367" i="7" s="1"/>
  <c r="Y368" i="7"/>
  <c r="AA368" i="7" s="1"/>
  <c r="Y369" i="7"/>
  <c r="AA369" i="7" s="1"/>
  <c r="Y370" i="7"/>
  <c r="Z370" i="7" s="1"/>
  <c r="AG363" i="18" s="1"/>
  <c r="Y371" i="7"/>
  <c r="AA371" i="7" s="1"/>
  <c r="Y372" i="7"/>
  <c r="AA372" i="7" s="1"/>
  <c r="Y373" i="7"/>
  <c r="AA373" i="7" s="1"/>
  <c r="Y374" i="7"/>
  <c r="Z374" i="7" s="1"/>
  <c r="AG367" i="18" s="1"/>
  <c r="Y375" i="7"/>
  <c r="AA375" i="7" s="1"/>
  <c r="Y376" i="7"/>
  <c r="AA376" i="7" s="1"/>
  <c r="Y377" i="7"/>
  <c r="AA377" i="7" s="1"/>
  <c r="Y378" i="7"/>
  <c r="Z378" i="7" s="1"/>
  <c r="AG371" i="18" s="1"/>
  <c r="Y379" i="7"/>
  <c r="AA379" i="7" s="1"/>
  <c r="Y380" i="7"/>
  <c r="AA380" i="7" s="1"/>
  <c r="Y381" i="7"/>
  <c r="AA381" i="7" s="1"/>
  <c r="Y382" i="7"/>
  <c r="Z382" i="7" s="1"/>
  <c r="AG375" i="18" s="1"/>
  <c r="Y383" i="7"/>
  <c r="AA383" i="7" s="1"/>
  <c r="Y384" i="7"/>
  <c r="AA384" i="7" s="1"/>
  <c r="Y385" i="7"/>
  <c r="AA385" i="7" s="1"/>
  <c r="Y386" i="7"/>
  <c r="Z386" i="7" s="1"/>
  <c r="AG379" i="18" s="1"/>
  <c r="Y387" i="7"/>
  <c r="AA387" i="7" s="1"/>
  <c r="Y388" i="7"/>
  <c r="AA388" i="7" s="1"/>
  <c r="Y389" i="7"/>
  <c r="AA389" i="7" s="1"/>
  <c r="Y390" i="7"/>
  <c r="Z390" i="7" s="1"/>
  <c r="AG383" i="18" s="1"/>
  <c r="Y391" i="7"/>
  <c r="AA391" i="7" s="1"/>
  <c r="Y392" i="7"/>
  <c r="AA392" i="7" s="1"/>
  <c r="Y393" i="7"/>
  <c r="AA393" i="7" s="1"/>
  <c r="Y394" i="7"/>
  <c r="Z394" i="7" s="1"/>
  <c r="AG387" i="18" s="1"/>
  <c r="Y395" i="7"/>
  <c r="AA395" i="7" s="1"/>
  <c r="Y396" i="7"/>
  <c r="AA396" i="7" s="1"/>
  <c r="Y397" i="7"/>
  <c r="AA397" i="7" s="1"/>
  <c r="Y398" i="7"/>
  <c r="Z398" i="7" s="1"/>
  <c r="AG391" i="18" s="1"/>
  <c r="Y399" i="7"/>
  <c r="AA399" i="7" s="1"/>
  <c r="Y400" i="7"/>
  <c r="AA400" i="7" s="1"/>
  <c r="Y401" i="7"/>
  <c r="AA401" i="7" s="1"/>
  <c r="Y402" i="7"/>
  <c r="Z402" i="7" s="1"/>
  <c r="AG395" i="18" s="1"/>
  <c r="Y403" i="7"/>
  <c r="AA403" i="7" s="1"/>
  <c r="Y404" i="7"/>
  <c r="AA404" i="7" s="1"/>
  <c r="Y405" i="7"/>
  <c r="AA405" i="7" s="1"/>
  <c r="Y406" i="7"/>
  <c r="Z406" i="7" s="1"/>
  <c r="AG399" i="18" s="1"/>
  <c r="Y407" i="7"/>
  <c r="AA407" i="7" s="1"/>
  <c r="Y408" i="7"/>
  <c r="AA408" i="7" s="1"/>
  <c r="Y409" i="7"/>
  <c r="AA409" i="7" s="1"/>
  <c r="Y410" i="7"/>
  <c r="Z410" i="7" s="1"/>
  <c r="AG402" i="18" s="1"/>
  <c r="Y411" i="7"/>
  <c r="AA411" i="7" s="1"/>
  <c r="Y412" i="7"/>
  <c r="AA412" i="7" s="1"/>
  <c r="Y413" i="7"/>
  <c r="AA413" i="7" s="1"/>
  <c r="Y414" i="7"/>
  <c r="Z414" i="7" s="1"/>
  <c r="AG406" i="18" s="1"/>
  <c r="Y415" i="7"/>
  <c r="AA415" i="7" s="1"/>
  <c r="W3" i="7"/>
  <c r="E3" i="25" s="1"/>
  <c r="W4" i="7"/>
  <c r="E4" i="25" s="1"/>
  <c r="W5" i="7"/>
  <c r="E5" i="25" s="1"/>
  <c r="W6" i="7"/>
  <c r="E6" i="25" s="1"/>
  <c r="W7" i="7"/>
  <c r="E7" i="25" s="1"/>
  <c r="W9" i="7"/>
  <c r="E8" i="25" s="1"/>
  <c r="W10" i="7"/>
  <c r="E9" i="25" s="1"/>
  <c r="W11" i="7"/>
  <c r="E10" i="25" s="1"/>
  <c r="W12" i="7"/>
  <c r="E11" i="25" s="1"/>
  <c r="W13" i="7"/>
  <c r="E12" i="25" s="1"/>
  <c r="W14" i="7"/>
  <c r="E13" i="25" s="1"/>
  <c r="W15" i="7"/>
  <c r="E14" i="25" s="1"/>
  <c r="W16" i="7"/>
  <c r="E15" i="25" s="1"/>
  <c r="W17" i="7"/>
  <c r="E16" i="25" s="1"/>
  <c r="W18" i="7"/>
  <c r="E17" i="25" s="1"/>
  <c r="W19" i="7"/>
  <c r="E18" i="25" s="1"/>
  <c r="W20" i="7"/>
  <c r="E19" i="25" s="1"/>
  <c r="W21" i="7"/>
  <c r="E20" i="25" s="1"/>
  <c r="W22" i="7"/>
  <c r="E21" i="25" s="1"/>
  <c r="W23" i="7"/>
  <c r="E22" i="25" s="1"/>
  <c r="W24" i="7"/>
  <c r="E23" i="25" s="1"/>
  <c r="W25" i="7"/>
  <c r="E24" i="25" s="1"/>
  <c r="W26" i="7"/>
  <c r="E25" i="25" s="1"/>
  <c r="W27" i="7"/>
  <c r="E26" i="25" s="1"/>
  <c r="W28" i="7"/>
  <c r="E27" i="25" s="1"/>
  <c r="W29" i="7"/>
  <c r="E28" i="25" s="1"/>
  <c r="W30" i="7"/>
  <c r="E29" i="25" s="1"/>
  <c r="W31" i="7"/>
  <c r="E30" i="25" s="1"/>
  <c r="W32" i="7"/>
  <c r="W33" i="7"/>
  <c r="E31" i="25" s="1"/>
  <c r="W34" i="7"/>
  <c r="E32" i="25" s="1"/>
  <c r="W35" i="7"/>
  <c r="E33" i="25" s="1"/>
  <c r="W36" i="7"/>
  <c r="E34" i="25" s="1"/>
  <c r="W37" i="7"/>
  <c r="E35" i="25" s="1"/>
  <c r="W38" i="7"/>
  <c r="E36" i="25" s="1"/>
  <c r="W39" i="7"/>
  <c r="E37" i="25" s="1"/>
  <c r="W40" i="7"/>
  <c r="E38" i="25" s="1"/>
  <c r="W41" i="7"/>
  <c r="E39" i="25" s="1"/>
  <c r="W42" i="7"/>
  <c r="E40" i="25" s="1"/>
  <c r="W43" i="7"/>
  <c r="E41" i="25" s="1"/>
  <c r="W44" i="7"/>
  <c r="E42" i="25" s="1"/>
  <c r="W45" i="7"/>
  <c r="E43" i="25" s="1"/>
  <c r="W46" i="7"/>
  <c r="E44" i="25" s="1"/>
  <c r="W47" i="7"/>
  <c r="E45" i="25" s="1"/>
  <c r="W48" i="7"/>
  <c r="E46" i="25" s="1"/>
  <c r="W49" i="7"/>
  <c r="E47" i="25" s="1"/>
  <c r="W50" i="7"/>
  <c r="E48" i="25" s="1"/>
  <c r="W51" i="7"/>
  <c r="E49" i="25" s="1"/>
  <c r="W52" i="7"/>
  <c r="E50" i="25" s="1"/>
  <c r="W53" i="7"/>
  <c r="E51" i="25" s="1"/>
  <c r="W54" i="7"/>
  <c r="E52" i="25" s="1"/>
  <c r="W55" i="7"/>
  <c r="E53" i="25" s="1"/>
  <c r="W56" i="7"/>
  <c r="E54" i="25" s="1"/>
  <c r="W57" i="7"/>
  <c r="E55" i="25" s="1"/>
  <c r="W58" i="7"/>
  <c r="E56" i="25" s="1"/>
  <c r="W59" i="7"/>
  <c r="E57" i="25" s="1"/>
  <c r="W60" i="7"/>
  <c r="E58" i="25" s="1"/>
  <c r="W61" i="7"/>
  <c r="E59" i="25" s="1"/>
  <c r="W62" i="7"/>
  <c r="E60" i="25" s="1"/>
  <c r="W63" i="7"/>
  <c r="E61" i="25" s="1"/>
  <c r="W64" i="7"/>
  <c r="E62" i="25" s="1"/>
  <c r="W65" i="7"/>
  <c r="E63" i="25" s="1"/>
  <c r="W66" i="7"/>
  <c r="E64" i="25" s="1"/>
  <c r="W67" i="7"/>
  <c r="E65" i="25" s="1"/>
  <c r="W68" i="7"/>
  <c r="E66" i="25" s="1"/>
  <c r="W69" i="7"/>
  <c r="E67" i="25" s="1"/>
  <c r="W70" i="7"/>
  <c r="E68" i="25" s="1"/>
  <c r="W71" i="7"/>
  <c r="E69" i="25" s="1"/>
  <c r="W72" i="7"/>
  <c r="W73" i="7"/>
  <c r="E70" i="25" s="1"/>
  <c r="W74" i="7"/>
  <c r="E71" i="25" s="1"/>
  <c r="W75" i="7"/>
  <c r="E72" i="25" s="1"/>
  <c r="W76" i="7"/>
  <c r="E73" i="25" s="1"/>
  <c r="W77" i="7"/>
  <c r="E74" i="25" s="1"/>
  <c r="W78" i="7"/>
  <c r="E75" i="25" s="1"/>
  <c r="W79" i="7"/>
  <c r="E76" i="25" s="1"/>
  <c r="W80" i="7"/>
  <c r="E77" i="25" s="1"/>
  <c r="W81" i="7"/>
  <c r="E78" i="25" s="1"/>
  <c r="W82" i="7"/>
  <c r="E79" i="25" s="1"/>
  <c r="W83" i="7"/>
  <c r="E80" i="25" s="1"/>
  <c r="W84" i="7"/>
  <c r="E81" i="25" s="1"/>
  <c r="W85" i="7"/>
  <c r="E82" i="25" s="1"/>
  <c r="W86" i="7"/>
  <c r="E83" i="25" s="1"/>
  <c r="W87" i="7"/>
  <c r="E84" i="25" s="1"/>
  <c r="W88" i="7"/>
  <c r="E85" i="25" s="1"/>
  <c r="W89" i="7"/>
  <c r="E86" i="25" s="1"/>
  <c r="W90" i="7"/>
  <c r="E87" i="25" s="1"/>
  <c r="W91" i="7"/>
  <c r="E88" i="25" s="1"/>
  <c r="W92" i="7"/>
  <c r="E89" i="25" s="1"/>
  <c r="W93" i="7"/>
  <c r="E90" i="25" s="1"/>
  <c r="W94" i="7"/>
  <c r="E91" i="25" s="1"/>
  <c r="W95" i="7"/>
  <c r="E92" i="25" s="1"/>
  <c r="W96" i="7"/>
  <c r="E93" i="25" s="1"/>
  <c r="W97" i="7"/>
  <c r="E94" i="25" s="1"/>
  <c r="W98" i="7"/>
  <c r="E95" i="25" s="1"/>
  <c r="W99" i="7"/>
  <c r="E96" i="25" s="1"/>
  <c r="W100" i="7"/>
  <c r="E97" i="25" s="1"/>
  <c r="W101" i="7"/>
  <c r="E98" i="25" s="1"/>
  <c r="W102" i="7"/>
  <c r="E99" i="25" s="1"/>
  <c r="W103" i="7"/>
  <c r="E100" i="25" s="1"/>
  <c r="W104" i="7"/>
  <c r="E101" i="25" s="1"/>
  <c r="W105" i="7"/>
  <c r="E102" i="25" s="1"/>
  <c r="W106" i="7"/>
  <c r="E103" i="25" s="1"/>
  <c r="W107" i="7"/>
  <c r="E104" i="25" s="1"/>
  <c r="W108" i="7"/>
  <c r="E105" i="25" s="1"/>
  <c r="W109" i="7"/>
  <c r="E106" i="25" s="1"/>
  <c r="W110" i="7"/>
  <c r="E107" i="25" s="1"/>
  <c r="W111" i="7"/>
  <c r="E108" i="25" s="1"/>
  <c r="W112" i="7"/>
  <c r="E109" i="25" s="1"/>
  <c r="W113" i="7"/>
  <c r="E110" i="25" s="1"/>
  <c r="W114" i="7"/>
  <c r="E111" i="25" s="1"/>
  <c r="W115" i="7"/>
  <c r="E112" i="25" s="1"/>
  <c r="W116" i="7"/>
  <c r="E113" i="25" s="1"/>
  <c r="W117" i="7"/>
  <c r="E114" i="25" s="1"/>
  <c r="W118" i="7"/>
  <c r="E115" i="25" s="1"/>
  <c r="W119" i="7"/>
  <c r="E116" i="25" s="1"/>
  <c r="W120" i="7"/>
  <c r="E117" i="25" s="1"/>
  <c r="W121" i="7"/>
  <c r="E118" i="25" s="1"/>
  <c r="W122" i="7"/>
  <c r="E119" i="25" s="1"/>
  <c r="W123" i="7"/>
  <c r="E120" i="25" s="1"/>
  <c r="W124" i="7"/>
  <c r="E121" i="25" s="1"/>
  <c r="W125" i="7"/>
  <c r="E122" i="25" s="1"/>
  <c r="W126" i="7"/>
  <c r="E123" i="25" s="1"/>
  <c r="W127" i="7"/>
  <c r="E124" i="25" s="1"/>
  <c r="W128" i="7"/>
  <c r="E125" i="25" s="1"/>
  <c r="W129" i="7"/>
  <c r="E126" i="25" s="1"/>
  <c r="W130" i="7"/>
  <c r="E127" i="25" s="1"/>
  <c r="W131" i="7"/>
  <c r="E128" i="25" s="1"/>
  <c r="W132" i="7"/>
  <c r="E129" i="25" s="1"/>
  <c r="W133" i="7"/>
  <c r="E130" i="25" s="1"/>
  <c r="W134" i="7"/>
  <c r="E131" i="25" s="1"/>
  <c r="W135" i="7"/>
  <c r="E132" i="25" s="1"/>
  <c r="W136" i="7"/>
  <c r="E133" i="25" s="1"/>
  <c r="W137" i="7"/>
  <c r="E134" i="25" s="1"/>
  <c r="W138" i="7"/>
  <c r="E135" i="25" s="1"/>
  <c r="W139" i="7"/>
  <c r="E136" i="25" s="1"/>
  <c r="W140" i="7"/>
  <c r="E137" i="25" s="1"/>
  <c r="W141" i="7"/>
  <c r="E138" i="25" s="1"/>
  <c r="W142" i="7"/>
  <c r="E139" i="25" s="1"/>
  <c r="W143" i="7"/>
  <c r="E140" i="25" s="1"/>
  <c r="W144" i="7"/>
  <c r="E141" i="25" s="1"/>
  <c r="W145" i="7"/>
  <c r="E142" i="25" s="1"/>
  <c r="W146" i="7"/>
  <c r="E143" i="25" s="1"/>
  <c r="W147" i="7"/>
  <c r="E144" i="25" s="1"/>
  <c r="W148" i="7"/>
  <c r="W149" i="7"/>
  <c r="E145" i="25" s="1"/>
  <c r="W150" i="7"/>
  <c r="E146" i="25" s="1"/>
  <c r="W151" i="7"/>
  <c r="E147" i="25" s="1"/>
  <c r="W152" i="7"/>
  <c r="E148" i="25" s="1"/>
  <c r="W153" i="7"/>
  <c r="E149" i="25" s="1"/>
  <c r="W154" i="7"/>
  <c r="E150" i="25" s="1"/>
  <c r="W155" i="7"/>
  <c r="E151" i="25" s="1"/>
  <c r="W156" i="7"/>
  <c r="E152" i="25" s="1"/>
  <c r="W157" i="7"/>
  <c r="E153" i="25" s="1"/>
  <c r="W158" i="7"/>
  <c r="E154" i="25" s="1"/>
  <c r="W159" i="7"/>
  <c r="E155" i="25" s="1"/>
  <c r="W160" i="7"/>
  <c r="E156" i="25" s="1"/>
  <c r="W161" i="7"/>
  <c r="E157" i="25" s="1"/>
  <c r="W162" i="7"/>
  <c r="E158" i="25" s="1"/>
  <c r="W163" i="7"/>
  <c r="E159" i="25" s="1"/>
  <c r="W164" i="7"/>
  <c r="E160" i="25" s="1"/>
  <c r="W165" i="7"/>
  <c r="E161" i="25" s="1"/>
  <c r="W166" i="7"/>
  <c r="E162" i="25" s="1"/>
  <c r="W167" i="7"/>
  <c r="E163" i="25" s="1"/>
  <c r="W168" i="7"/>
  <c r="E164" i="25" s="1"/>
  <c r="W169" i="7"/>
  <c r="E165" i="25" s="1"/>
  <c r="W170" i="7"/>
  <c r="E166" i="25" s="1"/>
  <c r="W171" i="7"/>
  <c r="E167" i="25" s="1"/>
  <c r="W172" i="7"/>
  <c r="E168" i="25" s="1"/>
  <c r="W173" i="7"/>
  <c r="E169" i="25" s="1"/>
  <c r="W174" i="7"/>
  <c r="E170" i="25" s="1"/>
  <c r="W175" i="7"/>
  <c r="E171" i="25" s="1"/>
  <c r="W176" i="7"/>
  <c r="E172" i="25" s="1"/>
  <c r="W177" i="7"/>
  <c r="E173" i="25" s="1"/>
  <c r="W178" i="7"/>
  <c r="E174" i="25" s="1"/>
  <c r="W179" i="7"/>
  <c r="E175" i="25" s="1"/>
  <c r="W180" i="7"/>
  <c r="E176" i="25" s="1"/>
  <c r="W181" i="7"/>
  <c r="E177" i="25" s="1"/>
  <c r="W182" i="7"/>
  <c r="E178" i="25" s="1"/>
  <c r="W183" i="7"/>
  <c r="E179" i="25" s="1"/>
  <c r="W184" i="7"/>
  <c r="E180" i="25" s="1"/>
  <c r="W185" i="7"/>
  <c r="E181" i="25" s="1"/>
  <c r="W186" i="7"/>
  <c r="E182" i="25" s="1"/>
  <c r="W187" i="7"/>
  <c r="E183" i="25" s="1"/>
  <c r="W188" i="7"/>
  <c r="E184" i="25" s="1"/>
  <c r="W189" i="7"/>
  <c r="E185" i="25" s="1"/>
  <c r="W190" i="7"/>
  <c r="E186" i="25" s="1"/>
  <c r="W191" i="7"/>
  <c r="E187" i="25" s="1"/>
  <c r="W192" i="7"/>
  <c r="E188" i="25" s="1"/>
  <c r="W193" i="7"/>
  <c r="E189" i="25" s="1"/>
  <c r="W194" i="7"/>
  <c r="E190" i="25" s="1"/>
  <c r="W195" i="7"/>
  <c r="E191" i="25" s="1"/>
  <c r="W196" i="7"/>
  <c r="E192" i="25" s="1"/>
  <c r="W197" i="7"/>
  <c r="E193" i="25" s="1"/>
  <c r="W198" i="7"/>
  <c r="E194" i="25" s="1"/>
  <c r="W199" i="7"/>
  <c r="E195" i="25" s="1"/>
  <c r="W200" i="7"/>
  <c r="E196" i="25" s="1"/>
  <c r="W201" i="7"/>
  <c r="E197" i="25" s="1"/>
  <c r="W202" i="7"/>
  <c r="E198" i="25" s="1"/>
  <c r="W203" i="7"/>
  <c r="E199" i="25" s="1"/>
  <c r="W204" i="7"/>
  <c r="E200" i="25" s="1"/>
  <c r="W205" i="7"/>
  <c r="E201" i="25" s="1"/>
  <c r="W206" i="7"/>
  <c r="E202" i="25" s="1"/>
  <c r="W207" i="7"/>
  <c r="E203" i="25" s="1"/>
  <c r="W208" i="7"/>
  <c r="E204" i="25" s="1"/>
  <c r="W209" i="7"/>
  <c r="E205" i="25" s="1"/>
  <c r="W210" i="7"/>
  <c r="E206" i="25" s="1"/>
  <c r="W211" i="7"/>
  <c r="E207" i="25" s="1"/>
  <c r="W212" i="7"/>
  <c r="E208" i="25" s="1"/>
  <c r="W213" i="7"/>
  <c r="E209" i="25" s="1"/>
  <c r="W214" i="7"/>
  <c r="E210" i="25" s="1"/>
  <c r="W215" i="7"/>
  <c r="E211" i="25" s="1"/>
  <c r="W216" i="7"/>
  <c r="E212" i="25" s="1"/>
  <c r="W217" i="7"/>
  <c r="E213" i="25" s="1"/>
  <c r="W218" i="7"/>
  <c r="E214" i="25" s="1"/>
  <c r="W219" i="7"/>
  <c r="E215" i="25" s="1"/>
  <c r="W220" i="7"/>
  <c r="E216" i="25" s="1"/>
  <c r="W221" i="7"/>
  <c r="E217" i="25" s="1"/>
  <c r="W222" i="7"/>
  <c r="E218" i="25" s="1"/>
  <c r="W223" i="7"/>
  <c r="E219" i="25" s="1"/>
  <c r="W224" i="7"/>
  <c r="E220" i="25" s="1"/>
  <c r="W225" i="7"/>
  <c r="E221" i="25" s="1"/>
  <c r="W226" i="7"/>
  <c r="E222" i="25" s="1"/>
  <c r="W227" i="7"/>
  <c r="E223" i="25" s="1"/>
  <c r="W228" i="7"/>
  <c r="W229" i="7"/>
  <c r="E224" i="25" s="1"/>
  <c r="W230" i="7"/>
  <c r="E225" i="25" s="1"/>
  <c r="W231" i="7"/>
  <c r="E226" i="25" s="1"/>
  <c r="W232" i="7"/>
  <c r="E227" i="25" s="1"/>
  <c r="W233" i="7"/>
  <c r="E228" i="25" s="1"/>
  <c r="W234" i="7"/>
  <c r="E229" i="25" s="1"/>
  <c r="W235" i="7"/>
  <c r="E230" i="25" s="1"/>
  <c r="W236" i="7"/>
  <c r="E231" i="25" s="1"/>
  <c r="W237" i="7"/>
  <c r="E232" i="25" s="1"/>
  <c r="W238" i="7"/>
  <c r="E233" i="25" s="1"/>
  <c r="W239" i="7"/>
  <c r="E234" i="25" s="1"/>
  <c r="W240" i="7"/>
  <c r="E235" i="25" s="1"/>
  <c r="W241" i="7"/>
  <c r="E236" i="25" s="1"/>
  <c r="W242" i="7"/>
  <c r="E237" i="25" s="1"/>
  <c r="W243" i="7"/>
  <c r="E238" i="25" s="1"/>
  <c r="W244" i="7"/>
  <c r="E239" i="25" s="1"/>
  <c r="W245" i="7"/>
  <c r="E240" i="25" s="1"/>
  <c r="W246" i="7"/>
  <c r="E241" i="25" s="1"/>
  <c r="W247" i="7"/>
  <c r="E242" i="25" s="1"/>
  <c r="W248" i="7"/>
  <c r="E243" i="25" s="1"/>
  <c r="W249" i="7"/>
  <c r="E244" i="25" s="1"/>
  <c r="W250" i="7"/>
  <c r="E245" i="25" s="1"/>
  <c r="W251" i="7"/>
  <c r="E246" i="25" s="1"/>
  <c r="W252" i="7"/>
  <c r="E247" i="25" s="1"/>
  <c r="W253" i="7"/>
  <c r="E248" i="25" s="1"/>
  <c r="W254" i="7"/>
  <c r="E249" i="25" s="1"/>
  <c r="W255" i="7"/>
  <c r="E250" i="25" s="1"/>
  <c r="W256" i="7"/>
  <c r="E251" i="25" s="1"/>
  <c r="W257" i="7"/>
  <c r="E252" i="25" s="1"/>
  <c r="W258" i="7"/>
  <c r="E253" i="25" s="1"/>
  <c r="W259" i="7"/>
  <c r="E254" i="25" s="1"/>
  <c r="W260" i="7"/>
  <c r="E255" i="25" s="1"/>
  <c r="W261" i="7"/>
  <c r="E256" i="25" s="1"/>
  <c r="W262" i="7"/>
  <c r="E257" i="25" s="1"/>
  <c r="W263" i="7"/>
  <c r="E258" i="25" s="1"/>
  <c r="W264" i="7"/>
  <c r="E259" i="25" s="1"/>
  <c r="W265" i="7"/>
  <c r="E260" i="25" s="1"/>
  <c r="W266" i="7"/>
  <c r="E261" i="25" s="1"/>
  <c r="W267" i="7"/>
  <c r="E262" i="25" s="1"/>
  <c r="W268" i="7"/>
  <c r="E263" i="25" s="1"/>
  <c r="W269" i="7"/>
  <c r="E264" i="25" s="1"/>
  <c r="W270" i="7"/>
  <c r="E265" i="25" s="1"/>
  <c r="W271" i="7"/>
  <c r="E266" i="25" s="1"/>
  <c r="W272" i="7"/>
  <c r="E267" i="25" s="1"/>
  <c r="W273" i="7"/>
  <c r="E268" i="25" s="1"/>
  <c r="W274" i="7"/>
  <c r="E269" i="25" s="1"/>
  <c r="W275" i="7"/>
  <c r="E270" i="25" s="1"/>
  <c r="W276" i="7"/>
  <c r="E271" i="25" s="1"/>
  <c r="W277" i="7"/>
  <c r="E272" i="25" s="1"/>
  <c r="W278" i="7"/>
  <c r="E273" i="25" s="1"/>
  <c r="W279" i="7"/>
  <c r="E274" i="25" s="1"/>
  <c r="W280" i="7"/>
  <c r="E275" i="25" s="1"/>
  <c r="W281" i="7"/>
  <c r="E276" i="25" s="1"/>
  <c r="W282" i="7"/>
  <c r="E277" i="25" s="1"/>
  <c r="W283" i="7"/>
  <c r="E278" i="25" s="1"/>
  <c r="W284" i="7"/>
  <c r="E279" i="25" s="1"/>
  <c r="W285" i="7"/>
  <c r="E280" i="25" s="1"/>
  <c r="W286" i="7"/>
  <c r="E281" i="25" s="1"/>
  <c r="W287" i="7"/>
  <c r="E282" i="25" s="1"/>
  <c r="W288" i="7"/>
  <c r="E283" i="25" s="1"/>
  <c r="W289" i="7"/>
  <c r="E284" i="25" s="1"/>
  <c r="W290" i="7"/>
  <c r="E285" i="25" s="1"/>
  <c r="W291" i="7"/>
  <c r="E286" i="25" s="1"/>
  <c r="W292" i="7"/>
  <c r="E287" i="25" s="1"/>
  <c r="W293" i="7"/>
  <c r="E288" i="25" s="1"/>
  <c r="W294" i="7"/>
  <c r="W295" i="7"/>
  <c r="E289" i="25" s="1"/>
  <c r="W296" i="7"/>
  <c r="E290" i="25" s="1"/>
  <c r="W297" i="7"/>
  <c r="E291" i="25" s="1"/>
  <c r="W298" i="7"/>
  <c r="E292" i="25" s="1"/>
  <c r="W299" i="7"/>
  <c r="E293" i="25" s="1"/>
  <c r="W300" i="7"/>
  <c r="E294" i="25" s="1"/>
  <c r="W301" i="7"/>
  <c r="E295" i="25" s="1"/>
  <c r="W302" i="7"/>
  <c r="E296" i="25" s="1"/>
  <c r="W303" i="7"/>
  <c r="E297" i="25" s="1"/>
  <c r="W304" i="7"/>
  <c r="E298" i="25" s="1"/>
  <c r="W305" i="7"/>
  <c r="E299" i="25" s="1"/>
  <c r="W306" i="7"/>
  <c r="E300" i="25" s="1"/>
  <c r="W307" i="7"/>
  <c r="E301" i="25" s="1"/>
  <c r="W308" i="7"/>
  <c r="E302" i="25" s="1"/>
  <c r="W309" i="7"/>
  <c r="E303" i="25" s="1"/>
  <c r="W310" i="7"/>
  <c r="E304" i="25" s="1"/>
  <c r="W311" i="7"/>
  <c r="E305" i="25" s="1"/>
  <c r="W312" i="7"/>
  <c r="E306" i="25" s="1"/>
  <c r="W313" i="7"/>
  <c r="E307" i="25" s="1"/>
  <c r="W314" i="7"/>
  <c r="E308" i="25" s="1"/>
  <c r="W315" i="7"/>
  <c r="E309" i="25" s="1"/>
  <c r="W316" i="7"/>
  <c r="E310" i="25" s="1"/>
  <c r="W317" i="7"/>
  <c r="W318" i="7"/>
  <c r="E311" i="25" s="1"/>
  <c r="W319" i="7"/>
  <c r="E312" i="25" s="1"/>
  <c r="W320" i="7"/>
  <c r="E313" i="25" s="1"/>
  <c r="W321" i="7"/>
  <c r="E314" i="25" s="1"/>
  <c r="W322" i="7"/>
  <c r="E315" i="25" s="1"/>
  <c r="W323" i="7"/>
  <c r="E316" i="25" s="1"/>
  <c r="W324" i="7"/>
  <c r="E317" i="25" s="1"/>
  <c r="W325" i="7"/>
  <c r="E318" i="25" s="1"/>
  <c r="W326" i="7"/>
  <c r="E319" i="25" s="1"/>
  <c r="W327" i="7"/>
  <c r="E320" i="25" s="1"/>
  <c r="W328" i="7"/>
  <c r="E321" i="25" s="1"/>
  <c r="W329" i="7"/>
  <c r="E322" i="25" s="1"/>
  <c r="W330" i="7"/>
  <c r="E323" i="25" s="1"/>
  <c r="W331" i="7"/>
  <c r="E324" i="25" s="1"/>
  <c r="W332" i="7"/>
  <c r="E325" i="25" s="1"/>
  <c r="W333" i="7"/>
  <c r="E326" i="25" s="1"/>
  <c r="W334" i="7"/>
  <c r="E327" i="25" s="1"/>
  <c r="W335" i="7"/>
  <c r="E328" i="25" s="1"/>
  <c r="W336" i="7"/>
  <c r="E329" i="25" s="1"/>
  <c r="W337" i="7"/>
  <c r="E330" i="25" s="1"/>
  <c r="W338" i="7"/>
  <c r="E331" i="25" s="1"/>
  <c r="W339" i="7"/>
  <c r="E332" i="25" s="1"/>
  <c r="W340" i="7"/>
  <c r="E333" i="25" s="1"/>
  <c r="W341" i="7"/>
  <c r="E334" i="25" s="1"/>
  <c r="W342" i="7"/>
  <c r="E335" i="25" s="1"/>
  <c r="W343" i="7"/>
  <c r="E336" i="25" s="1"/>
  <c r="W344" i="7"/>
  <c r="E337" i="25" s="1"/>
  <c r="W345" i="7"/>
  <c r="E338" i="25" s="1"/>
  <c r="W346" i="7"/>
  <c r="E339" i="25" s="1"/>
  <c r="W347" i="7"/>
  <c r="E340" i="25" s="1"/>
  <c r="W348" i="7"/>
  <c r="E341" i="25" s="1"/>
  <c r="W349" i="7"/>
  <c r="E342" i="25" s="1"/>
  <c r="W350" i="7"/>
  <c r="E343" i="25" s="1"/>
  <c r="W351" i="7"/>
  <c r="E344" i="25" s="1"/>
  <c r="W352" i="7"/>
  <c r="E345" i="25" s="1"/>
  <c r="W353" i="7"/>
  <c r="E346" i="25" s="1"/>
  <c r="W354" i="7"/>
  <c r="E347" i="25" s="1"/>
  <c r="W355" i="7"/>
  <c r="E348" i="25" s="1"/>
  <c r="W356" i="7"/>
  <c r="E349" i="25" s="1"/>
  <c r="W357" i="7"/>
  <c r="E350" i="25" s="1"/>
  <c r="W358" i="7"/>
  <c r="E351" i="25" s="1"/>
  <c r="W359" i="7"/>
  <c r="E352" i="25" s="1"/>
  <c r="W360" i="7"/>
  <c r="E353" i="25" s="1"/>
  <c r="W361" i="7"/>
  <c r="E354" i="25" s="1"/>
  <c r="W362" i="7"/>
  <c r="E355" i="25" s="1"/>
  <c r="W363" i="7"/>
  <c r="E356" i="25" s="1"/>
  <c r="W364" i="7"/>
  <c r="E357" i="25" s="1"/>
  <c r="W365" i="7"/>
  <c r="E358" i="25" s="1"/>
  <c r="W366" i="7"/>
  <c r="E359" i="25" s="1"/>
  <c r="W367" i="7"/>
  <c r="E360" i="25" s="1"/>
  <c r="W368" i="7"/>
  <c r="E361" i="25" s="1"/>
  <c r="W369" i="7"/>
  <c r="E362" i="25" s="1"/>
  <c r="W370" i="7"/>
  <c r="E363" i="25" s="1"/>
  <c r="W371" i="7"/>
  <c r="E364" i="25" s="1"/>
  <c r="W372" i="7"/>
  <c r="E365" i="25" s="1"/>
  <c r="W373" i="7"/>
  <c r="E366" i="25" s="1"/>
  <c r="W374" i="7"/>
  <c r="E367" i="25" s="1"/>
  <c r="W375" i="7"/>
  <c r="E368" i="25" s="1"/>
  <c r="W376" i="7"/>
  <c r="E369" i="25" s="1"/>
  <c r="W377" i="7"/>
  <c r="E370" i="25" s="1"/>
  <c r="W378" i="7"/>
  <c r="E371" i="25" s="1"/>
  <c r="W379" i="7"/>
  <c r="E372" i="25" s="1"/>
  <c r="W380" i="7"/>
  <c r="E373" i="25" s="1"/>
  <c r="W381" i="7"/>
  <c r="E374" i="25" s="1"/>
  <c r="W382" i="7"/>
  <c r="E375" i="25" s="1"/>
  <c r="W383" i="7"/>
  <c r="E376" i="25" s="1"/>
  <c r="W384" i="7"/>
  <c r="E377" i="25" s="1"/>
  <c r="W385" i="7"/>
  <c r="E378" i="25" s="1"/>
  <c r="W386" i="7"/>
  <c r="E379" i="25" s="1"/>
  <c r="W387" i="7"/>
  <c r="E380" i="25" s="1"/>
  <c r="W388" i="7"/>
  <c r="E381" i="25" s="1"/>
  <c r="W389" i="7"/>
  <c r="E382" i="25" s="1"/>
  <c r="W390" i="7"/>
  <c r="E383" i="25" s="1"/>
  <c r="W391" i="7"/>
  <c r="E384" i="25" s="1"/>
  <c r="W392" i="7"/>
  <c r="E385" i="25" s="1"/>
  <c r="W393" i="7"/>
  <c r="E386" i="25" s="1"/>
  <c r="W394" i="7"/>
  <c r="E387" i="25" s="1"/>
  <c r="W395" i="7"/>
  <c r="E388" i="25" s="1"/>
  <c r="W396" i="7"/>
  <c r="E389" i="25" s="1"/>
  <c r="W397" i="7"/>
  <c r="E390" i="25" s="1"/>
  <c r="W398" i="7"/>
  <c r="E391" i="25" s="1"/>
  <c r="W399" i="7"/>
  <c r="E392" i="25" s="1"/>
  <c r="W400" i="7"/>
  <c r="E393" i="25" s="1"/>
  <c r="W401" i="7"/>
  <c r="E394" i="25" s="1"/>
  <c r="W402" i="7"/>
  <c r="E395" i="25" s="1"/>
  <c r="W403" i="7"/>
  <c r="E396" i="25" s="1"/>
  <c r="W404" i="7"/>
  <c r="E397" i="25" s="1"/>
  <c r="W405" i="7"/>
  <c r="E398" i="25" s="1"/>
  <c r="W406" i="7"/>
  <c r="E399" i="25" s="1"/>
  <c r="W407" i="7"/>
  <c r="E400" i="25" s="1"/>
  <c r="W408" i="7"/>
  <c r="W409" i="7"/>
  <c r="W410" i="7"/>
  <c r="E401" i="25" s="1"/>
  <c r="W411" i="7"/>
  <c r="E402" i="25" s="1"/>
  <c r="W412" i="7"/>
  <c r="E403" i="25" s="1"/>
  <c r="W413" i="7"/>
  <c r="E404" i="25" s="1"/>
  <c r="W414" i="7"/>
  <c r="E405" i="25" s="1"/>
  <c r="W415" i="7"/>
  <c r="E406" i="25" s="1"/>
  <c r="Y2" i="7"/>
  <c r="AA2" i="7" s="1"/>
  <c r="W2" i="7"/>
  <c r="E2" i="25" s="1"/>
  <c r="J417" i="25" s="1"/>
  <c r="AY2" i="4"/>
  <c r="BC60" i="4"/>
  <c r="BC188" i="4"/>
  <c r="BC258" i="4"/>
  <c r="BC277" i="4"/>
  <c r="BC341" i="4"/>
  <c r="BC405" i="4"/>
  <c r="BB27" i="4"/>
  <c r="BB31" i="4"/>
  <c r="BB43" i="4"/>
  <c r="BB47" i="4"/>
  <c r="BB57" i="4"/>
  <c r="BB59" i="4"/>
  <c r="BB63" i="4"/>
  <c r="BB68" i="4"/>
  <c r="BB75" i="4"/>
  <c r="BB79" i="4"/>
  <c r="BB91" i="4"/>
  <c r="BB95" i="4"/>
  <c r="BB107" i="4"/>
  <c r="BB111" i="4"/>
  <c r="BB121" i="4"/>
  <c r="BB123" i="4"/>
  <c r="BB127" i="4"/>
  <c r="BB139" i="4"/>
  <c r="BB143" i="4"/>
  <c r="BB155" i="4"/>
  <c r="BB159" i="4"/>
  <c r="BB171" i="4"/>
  <c r="BB175" i="4"/>
  <c r="BB185" i="4"/>
  <c r="BB187" i="4"/>
  <c r="BB191" i="4"/>
  <c r="BB203" i="4"/>
  <c r="BB207" i="4"/>
  <c r="BB219" i="4"/>
  <c r="BB223" i="4"/>
  <c r="BB235" i="4"/>
  <c r="BB239" i="4"/>
  <c r="BB249" i="4"/>
  <c r="BB251" i="4"/>
  <c r="BB255" i="4"/>
  <c r="BB267" i="4"/>
  <c r="BB271" i="4"/>
  <c r="BB283" i="4"/>
  <c r="BB287" i="4"/>
  <c r="BB299" i="4"/>
  <c r="BB303" i="4"/>
  <c r="BB313" i="4"/>
  <c r="BB315" i="4"/>
  <c r="BB331" i="4"/>
  <c r="BB335" i="4"/>
  <c r="BB347" i="4"/>
  <c r="BB363" i="4"/>
  <c r="BB367" i="4"/>
  <c r="BB379" i="4"/>
  <c r="BB388" i="4"/>
  <c r="BB395" i="4"/>
  <c r="BB399" i="4"/>
  <c r="BB411" i="4"/>
  <c r="BA3" i="4"/>
  <c r="BA15" i="4"/>
  <c r="BA19" i="4"/>
  <c r="BA31" i="4"/>
  <c r="BA35" i="4"/>
  <c r="BA40" i="4"/>
  <c r="BA47" i="4"/>
  <c r="BA51" i="4"/>
  <c r="BA63" i="4"/>
  <c r="BA67" i="4"/>
  <c r="BA79" i="4"/>
  <c r="BA83" i="4"/>
  <c r="BA95" i="4"/>
  <c r="BA99" i="4"/>
  <c r="BA104" i="4"/>
  <c r="BA111" i="4"/>
  <c r="BA115" i="4"/>
  <c r="BA127" i="4"/>
  <c r="BA131" i="4"/>
  <c r="BA143" i="4"/>
  <c r="BA147" i="4"/>
  <c r="BA159" i="4"/>
  <c r="BA163" i="4"/>
  <c r="BA168" i="4"/>
  <c r="BA175" i="4"/>
  <c r="BA179" i="4"/>
  <c r="BA191" i="4"/>
  <c r="BA195" i="4"/>
  <c r="BA207" i="4"/>
  <c r="BA211" i="4"/>
  <c r="BA223" i="4"/>
  <c r="BA227" i="4"/>
  <c r="BA232" i="4"/>
  <c r="BA239" i="4"/>
  <c r="BA243" i="4"/>
  <c r="BA255" i="4"/>
  <c r="BA259" i="4"/>
  <c r="BA271" i="4"/>
  <c r="BA275" i="4"/>
  <c r="BA287" i="4"/>
  <c r="BA291" i="4"/>
  <c r="BA296" i="4"/>
  <c r="BA303" i="4"/>
  <c r="BA307" i="4"/>
  <c r="BA319" i="4"/>
  <c r="BA335" i="4"/>
  <c r="BA339" i="4"/>
  <c r="BA349" i="4"/>
  <c r="BA351" i="4"/>
  <c r="BA367" i="4"/>
  <c r="BA371" i="4"/>
  <c r="BA383" i="4"/>
  <c r="BA399" i="4"/>
  <c r="BA403" i="4"/>
  <c r="AZ3" i="4"/>
  <c r="AZ7" i="4"/>
  <c r="AZ19" i="4"/>
  <c r="AZ23" i="4"/>
  <c r="AZ33" i="4"/>
  <c r="AZ35" i="4"/>
  <c r="AZ39" i="4"/>
  <c r="AZ40" i="4"/>
  <c r="AZ44" i="4"/>
  <c r="AZ60" i="4"/>
  <c r="AZ76" i="4"/>
  <c r="AZ92" i="4"/>
  <c r="AZ108" i="4"/>
  <c r="AZ124" i="4"/>
  <c r="AZ140" i="4"/>
  <c r="AZ156" i="4"/>
  <c r="AZ172" i="4"/>
  <c r="AZ188" i="4"/>
  <c r="AZ204" i="4"/>
  <c r="AZ220" i="4"/>
  <c r="AZ236" i="4"/>
  <c r="AZ252" i="4"/>
  <c r="AZ268" i="4"/>
  <c r="AZ284" i="4"/>
  <c r="AZ300" i="4"/>
  <c r="AZ316" i="4"/>
  <c r="AZ332" i="4"/>
  <c r="AZ348" i="4"/>
  <c r="AZ364" i="4"/>
  <c r="AZ380" i="4"/>
  <c r="AZ396" i="4"/>
  <c r="AZ412" i="4"/>
  <c r="AY3" i="4"/>
  <c r="AY4" i="4"/>
  <c r="AY5" i="4"/>
  <c r="AY6" i="4"/>
  <c r="AY7" i="4"/>
  <c r="AY8" i="4"/>
  <c r="AY9" i="4"/>
  <c r="AY10" i="4"/>
  <c r="AY11" i="4"/>
  <c r="AY12" i="4"/>
  <c r="AY13" i="4"/>
  <c r="AY14" i="4"/>
  <c r="AY15" i="4"/>
  <c r="AY16" i="4"/>
  <c r="AY17" i="4"/>
  <c r="AY18" i="4"/>
  <c r="AY19" i="4"/>
  <c r="AY20" i="4"/>
  <c r="AY21" i="4"/>
  <c r="AY22" i="4"/>
  <c r="AY23" i="4"/>
  <c r="AY24" i="4"/>
  <c r="AY25" i="4"/>
  <c r="AY26" i="4"/>
  <c r="AY27" i="4"/>
  <c r="AY28" i="4"/>
  <c r="BC28" i="4" s="1"/>
  <c r="AY29" i="4"/>
  <c r="AY30" i="4"/>
  <c r="AY31" i="4"/>
  <c r="AY32" i="4"/>
  <c r="AY33" i="4"/>
  <c r="AY34" i="4"/>
  <c r="AY35" i="4"/>
  <c r="AY36" i="4"/>
  <c r="AY37" i="4"/>
  <c r="AY38" i="4"/>
  <c r="AY39" i="4"/>
  <c r="AY40" i="4"/>
  <c r="AY41" i="4"/>
  <c r="AY42" i="4"/>
  <c r="AY43" i="4"/>
  <c r="AY44" i="4"/>
  <c r="AY45" i="4"/>
  <c r="AY46" i="4"/>
  <c r="AY47" i="4"/>
  <c r="AY48" i="4"/>
  <c r="AY49" i="4"/>
  <c r="AY50" i="4"/>
  <c r="AY51" i="4"/>
  <c r="AY52" i="4"/>
  <c r="AY53" i="4"/>
  <c r="AY54" i="4"/>
  <c r="AY55" i="4"/>
  <c r="AY56" i="4"/>
  <c r="AY57" i="4"/>
  <c r="AY58" i="4"/>
  <c r="AY59" i="4"/>
  <c r="AY60" i="4"/>
  <c r="AY61" i="4"/>
  <c r="AY62" i="4"/>
  <c r="AY63" i="4"/>
  <c r="AY64" i="4"/>
  <c r="AY65" i="4"/>
  <c r="AY66" i="4"/>
  <c r="AY67" i="4"/>
  <c r="AY68" i="4"/>
  <c r="AY69" i="4"/>
  <c r="AY70" i="4"/>
  <c r="AY71" i="4"/>
  <c r="AY72" i="4"/>
  <c r="AY73" i="4"/>
  <c r="AY74" i="4"/>
  <c r="AY75" i="4"/>
  <c r="AY76" i="4"/>
  <c r="AY77" i="4"/>
  <c r="AY78" i="4"/>
  <c r="AY79" i="4"/>
  <c r="AY80" i="4"/>
  <c r="AY81" i="4"/>
  <c r="AY82" i="4"/>
  <c r="AY83" i="4"/>
  <c r="AY84" i="4"/>
  <c r="AY85" i="4"/>
  <c r="AY86" i="4"/>
  <c r="AY87" i="4"/>
  <c r="AY88" i="4"/>
  <c r="AY89" i="4"/>
  <c r="AY90" i="4"/>
  <c r="AY91" i="4"/>
  <c r="AY92" i="4"/>
  <c r="AY93" i="4"/>
  <c r="AY94" i="4"/>
  <c r="AY95" i="4"/>
  <c r="AY96" i="4"/>
  <c r="AY97" i="4"/>
  <c r="AY98" i="4"/>
  <c r="AY99" i="4"/>
  <c r="AY100" i="4"/>
  <c r="AY101" i="4"/>
  <c r="AY102" i="4"/>
  <c r="AY103" i="4"/>
  <c r="AY104" i="4"/>
  <c r="AY105" i="4"/>
  <c r="AY106" i="4"/>
  <c r="AY107" i="4"/>
  <c r="AY108" i="4"/>
  <c r="AY109" i="4"/>
  <c r="AY110" i="4"/>
  <c r="AY111" i="4"/>
  <c r="AY112" i="4"/>
  <c r="AY113" i="4"/>
  <c r="AY114" i="4"/>
  <c r="AY115" i="4"/>
  <c r="AY116" i="4"/>
  <c r="AY117" i="4"/>
  <c r="AY118" i="4"/>
  <c r="AY119" i="4"/>
  <c r="AY120" i="4"/>
  <c r="AY121" i="4"/>
  <c r="AY122" i="4"/>
  <c r="AY123" i="4"/>
  <c r="AY124" i="4"/>
  <c r="AY125" i="4"/>
  <c r="AY126" i="4"/>
  <c r="AY127" i="4"/>
  <c r="AY128" i="4"/>
  <c r="AY129" i="4"/>
  <c r="AY130" i="4"/>
  <c r="AY131" i="4"/>
  <c r="AY132" i="4"/>
  <c r="BB132" i="4" s="1"/>
  <c r="AY133" i="4"/>
  <c r="AY134" i="4"/>
  <c r="AY135" i="4"/>
  <c r="AY136" i="4"/>
  <c r="AY137" i="4"/>
  <c r="AY138" i="4"/>
  <c r="AY139" i="4"/>
  <c r="AY140" i="4"/>
  <c r="AY141" i="4"/>
  <c r="AY142" i="4"/>
  <c r="AY143" i="4"/>
  <c r="AY144" i="4"/>
  <c r="AY145" i="4"/>
  <c r="AY146" i="4"/>
  <c r="AY147" i="4"/>
  <c r="AY148" i="4"/>
  <c r="AY149" i="4"/>
  <c r="AY150" i="4"/>
  <c r="AY151" i="4"/>
  <c r="AY152" i="4"/>
  <c r="AY153" i="4"/>
  <c r="AY154" i="4"/>
  <c r="AY155" i="4"/>
  <c r="AY156" i="4"/>
  <c r="BC156" i="4" s="1"/>
  <c r="AY157" i="4"/>
  <c r="AY158" i="4"/>
  <c r="AY159" i="4"/>
  <c r="AY160" i="4"/>
  <c r="AY161" i="4"/>
  <c r="AY162" i="4"/>
  <c r="AY163" i="4"/>
  <c r="AY164" i="4"/>
  <c r="AY165" i="4"/>
  <c r="AY166" i="4"/>
  <c r="AY167" i="4"/>
  <c r="AY168" i="4"/>
  <c r="AY169" i="4"/>
  <c r="AY170" i="4"/>
  <c r="AY171" i="4"/>
  <c r="AY172" i="4"/>
  <c r="AY173" i="4"/>
  <c r="AY174" i="4"/>
  <c r="AY175" i="4"/>
  <c r="AY176" i="4"/>
  <c r="AY177" i="4"/>
  <c r="AY178" i="4"/>
  <c r="AY179" i="4"/>
  <c r="AY180" i="4"/>
  <c r="AY181" i="4"/>
  <c r="AY182" i="4"/>
  <c r="AY183" i="4"/>
  <c r="AY184" i="4"/>
  <c r="AY185" i="4"/>
  <c r="AY186" i="4"/>
  <c r="AY187" i="4"/>
  <c r="AY188" i="4"/>
  <c r="AY189" i="4"/>
  <c r="AY190" i="4"/>
  <c r="AY191" i="4"/>
  <c r="AY192" i="4"/>
  <c r="AY193" i="4"/>
  <c r="AY194" i="4"/>
  <c r="AY195" i="4"/>
  <c r="AY196" i="4"/>
  <c r="BB196" i="4" s="1"/>
  <c r="AY197" i="4"/>
  <c r="AY198" i="4"/>
  <c r="AY199" i="4"/>
  <c r="AY200" i="4"/>
  <c r="AY201" i="4"/>
  <c r="AY202" i="4"/>
  <c r="AY203" i="4"/>
  <c r="AY204" i="4"/>
  <c r="AY205" i="4"/>
  <c r="AY206" i="4"/>
  <c r="AY207" i="4"/>
  <c r="AY208" i="4"/>
  <c r="AY209" i="4"/>
  <c r="AY210" i="4"/>
  <c r="AY211" i="4"/>
  <c r="AY212" i="4"/>
  <c r="AY213" i="4"/>
  <c r="AY214" i="4"/>
  <c r="AY215" i="4"/>
  <c r="AY216" i="4"/>
  <c r="AY217" i="4"/>
  <c r="AY218" i="4"/>
  <c r="AY219" i="4"/>
  <c r="AY220" i="4"/>
  <c r="AY221" i="4"/>
  <c r="AY222" i="4"/>
  <c r="AY223" i="4"/>
  <c r="AY224" i="4"/>
  <c r="AY225" i="4"/>
  <c r="AY226" i="4"/>
  <c r="BC226" i="4" s="1"/>
  <c r="AY227" i="4"/>
  <c r="AY228" i="4"/>
  <c r="AY229" i="4"/>
  <c r="AY230" i="4"/>
  <c r="BC230" i="4" s="1"/>
  <c r="AY231" i="4"/>
  <c r="AY232" i="4"/>
  <c r="AY233" i="4"/>
  <c r="AY234" i="4"/>
  <c r="AY235" i="4"/>
  <c r="AY236" i="4"/>
  <c r="AY237" i="4"/>
  <c r="AY238" i="4"/>
  <c r="AY239" i="4"/>
  <c r="AY240" i="4"/>
  <c r="AY241" i="4"/>
  <c r="AY242" i="4"/>
  <c r="AY243" i="4"/>
  <c r="AY244" i="4"/>
  <c r="AY245" i="4"/>
  <c r="AY246" i="4"/>
  <c r="AY247" i="4"/>
  <c r="AY248" i="4"/>
  <c r="AY249" i="4"/>
  <c r="AY250" i="4"/>
  <c r="AY251" i="4"/>
  <c r="AY252" i="4"/>
  <c r="AY253" i="4"/>
  <c r="AY254" i="4"/>
  <c r="AY255" i="4"/>
  <c r="AY256" i="4"/>
  <c r="AY257" i="4"/>
  <c r="AY258" i="4"/>
  <c r="AY259" i="4"/>
  <c r="AY260" i="4"/>
  <c r="BB260" i="4" s="1"/>
  <c r="AY261" i="4"/>
  <c r="AY262" i="4"/>
  <c r="AY263" i="4"/>
  <c r="AY264" i="4"/>
  <c r="AY265" i="4"/>
  <c r="AY266" i="4"/>
  <c r="AY267" i="4"/>
  <c r="AY268" i="4"/>
  <c r="AY269" i="4"/>
  <c r="AY270" i="4"/>
  <c r="AY271" i="4"/>
  <c r="AY272" i="4"/>
  <c r="AY273" i="4"/>
  <c r="AY274" i="4"/>
  <c r="AY275" i="4"/>
  <c r="AY276" i="4"/>
  <c r="AY277" i="4"/>
  <c r="AY278" i="4"/>
  <c r="AY279" i="4"/>
  <c r="AY280" i="4"/>
  <c r="AY281" i="4"/>
  <c r="AY282" i="4"/>
  <c r="AY283" i="4"/>
  <c r="AY284" i="4"/>
  <c r="AY285" i="4"/>
  <c r="AY286" i="4"/>
  <c r="AY287" i="4"/>
  <c r="AY288" i="4"/>
  <c r="AY289" i="4"/>
  <c r="AY290" i="4"/>
  <c r="AY291" i="4"/>
  <c r="AY292" i="4"/>
  <c r="AY293" i="4"/>
  <c r="AY294" i="4"/>
  <c r="AY295" i="4"/>
  <c r="AY296" i="4"/>
  <c r="AY297" i="4"/>
  <c r="AY298" i="4"/>
  <c r="AY299" i="4"/>
  <c r="AY300" i="4"/>
  <c r="AY301" i="4"/>
  <c r="AY302" i="4"/>
  <c r="AY303" i="4"/>
  <c r="AY304" i="4"/>
  <c r="AY305" i="4"/>
  <c r="AY306" i="4"/>
  <c r="AY307" i="4"/>
  <c r="AY308" i="4"/>
  <c r="AY309" i="4"/>
  <c r="AY310" i="4"/>
  <c r="AY311" i="4"/>
  <c r="AY312" i="4"/>
  <c r="AY313" i="4"/>
  <c r="AY314" i="4"/>
  <c r="AY315" i="4"/>
  <c r="AY316" i="4"/>
  <c r="AY317" i="4"/>
  <c r="AY318" i="4"/>
  <c r="AY319" i="4"/>
  <c r="AY320" i="4"/>
  <c r="AY321" i="4"/>
  <c r="AY322" i="4"/>
  <c r="AY323" i="4"/>
  <c r="AY324" i="4"/>
  <c r="AY325" i="4"/>
  <c r="AY326" i="4"/>
  <c r="AY327" i="4"/>
  <c r="AY328" i="4"/>
  <c r="AY329" i="4"/>
  <c r="AY330" i="4"/>
  <c r="AY331" i="4"/>
  <c r="AY332" i="4"/>
  <c r="AY333" i="4"/>
  <c r="AY334" i="4"/>
  <c r="AY335" i="4"/>
  <c r="AY336" i="4"/>
  <c r="AY337" i="4"/>
  <c r="AY338" i="4"/>
  <c r="AY339" i="4"/>
  <c r="AY340" i="4"/>
  <c r="AY341" i="4"/>
  <c r="AY342" i="4"/>
  <c r="AY343" i="4"/>
  <c r="AY344" i="4"/>
  <c r="AY345" i="4"/>
  <c r="AY346" i="4"/>
  <c r="AY347" i="4"/>
  <c r="AY348" i="4"/>
  <c r="AY349" i="4"/>
  <c r="AY350" i="4"/>
  <c r="AY351" i="4"/>
  <c r="AY352" i="4"/>
  <c r="AY353" i="4"/>
  <c r="AY354" i="4"/>
  <c r="AY355" i="4"/>
  <c r="AY356" i="4"/>
  <c r="BB356" i="4" s="1"/>
  <c r="AY357" i="4"/>
  <c r="AY358" i="4"/>
  <c r="AY359" i="4"/>
  <c r="AY360" i="4"/>
  <c r="AY361" i="4"/>
  <c r="AY362" i="4"/>
  <c r="AY363" i="4"/>
  <c r="AY364" i="4"/>
  <c r="AY365" i="4"/>
  <c r="AY366" i="4"/>
  <c r="AY367" i="4"/>
  <c r="AY368" i="4"/>
  <c r="AY369" i="4"/>
  <c r="AY370" i="4"/>
  <c r="AY371" i="4"/>
  <c r="AY372" i="4"/>
  <c r="AY373" i="4"/>
  <c r="AY374" i="4"/>
  <c r="AY375" i="4"/>
  <c r="AY376" i="4"/>
  <c r="AY377" i="4"/>
  <c r="AY378" i="4"/>
  <c r="AY379" i="4"/>
  <c r="AY380" i="4"/>
  <c r="AY381" i="4"/>
  <c r="AY382" i="4"/>
  <c r="AY383" i="4"/>
  <c r="AY384" i="4"/>
  <c r="AY385" i="4"/>
  <c r="AY386" i="4"/>
  <c r="AY387" i="4"/>
  <c r="AY388" i="4"/>
  <c r="AY389" i="4"/>
  <c r="AY390" i="4"/>
  <c r="AY391" i="4"/>
  <c r="AY392" i="4"/>
  <c r="BA392" i="4" s="1"/>
  <c r="AY393" i="4"/>
  <c r="AY394" i="4"/>
  <c r="AY395" i="4"/>
  <c r="AY396" i="4"/>
  <c r="AY397" i="4"/>
  <c r="AY398" i="4"/>
  <c r="AY399" i="4"/>
  <c r="AY400" i="4"/>
  <c r="AY401" i="4"/>
  <c r="AY402" i="4"/>
  <c r="AY403" i="4"/>
  <c r="AY404" i="4"/>
  <c r="AY405" i="4"/>
  <c r="AY406" i="4"/>
  <c r="AY407" i="4"/>
  <c r="AY408" i="4"/>
  <c r="AY409" i="4"/>
  <c r="AY410" i="4"/>
  <c r="AY411" i="4"/>
  <c r="AY412" i="4"/>
  <c r="AY413" i="4"/>
  <c r="AY414" i="4"/>
  <c r="AU3" i="4"/>
  <c r="AQ3" i="11" s="1"/>
  <c r="AU4" i="4"/>
  <c r="AQ4" i="11" s="1"/>
  <c r="AU5" i="4"/>
  <c r="AQ5" i="11" s="1"/>
  <c r="AU6" i="4"/>
  <c r="AQ6" i="11" s="1"/>
  <c r="AU7" i="4"/>
  <c r="AQ7" i="11" s="1"/>
  <c r="AU8" i="4"/>
  <c r="AQ8" i="11" s="1"/>
  <c r="AU9" i="4"/>
  <c r="AQ9" i="11" s="1"/>
  <c r="AU10" i="4"/>
  <c r="AQ10" i="11" s="1"/>
  <c r="AU11" i="4"/>
  <c r="AQ11" i="11" s="1"/>
  <c r="AU12" i="4"/>
  <c r="AQ12" i="11" s="1"/>
  <c r="AU13" i="4"/>
  <c r="AQ13" i="11" s="1"/>
  <c r="AU14" i="4"/>
  <c r="AQ14" i="11" s="1"/>
  <c r="AU15" i="4"/>
  <c r="AQ15" i="11" s="1"/>
  <c r="AU16" i="4"/>
  <c r="AQ16" i="11" s="1"/>
  <c r="AU17" i="4"/>
  <c r="AQ17" i="11" s="1"/>
  <c r="AU18" i="4"/>
  <c r="AQ18" i="11" s="1"/>
  <c r="AU19" i="4"/>
  <c r="AQ19" i="11" s="1"/>
  <c r="AU20" i="4"/>
  <c r="AQ20" i="11" s="1"/>
  <c r="AU21" i="4"/>
  <c r="AQ21" i="11" s="1"/>
  <c r="AU22" i="4"/>
  <c r="AQ22" i="11" s="1"/>
  <c r="AU23" i="4"/>
  <c r="AQ23" i="11" s="1"/>
  <c r="AU24" i="4"/>
  <c r="AQ24" i="11" s="1"/>
  <c r="AU25" i="4"/>
  <c r="AQ25" i="11" s="1"/>
  <c r="AU26" i="4"/>
  <c r="AQ26" i="11" s="1"/>
  <c r="AU27" i="4"/>
  <c r="AQ27" i="11" s="1"/>
  <c r="AU28" i="4"/>
  <c r="AQ28" i="11" s="1"/>
  <c r="AU29" i="4"/>
  <c r="AQ29" i="11" s="1"/>
  <c r="AU30" i="4"/>
  <c r="AQ30" i="11" s="1"/>
  <c r="AU31" i="4"/>
  <c r="AQ31" i="11" s="1"/>
  <c r="AU32" i="4"/>
  <c r="AQ32" i="11" s="1"/>
  <c r="AU33" i="4"/>
  <c r="AQ33" i="11" s="1"/>
  <c r="AU34" i="4"/>
  <c r="AQ34" i="11" s="1"/>
  <c r="AU35" i="4"/>
  <c r="AQ35" i="11" s="1"/>
  <c r="AU36" i="4"/>
  <c r="AQ36" i="11" s="1"/>
  <c r="AU37" i="4"/>
  <c r="AQ37" i="11" s="1"/>
  <c r="AU38" i="4"/>
  <c r="AQ38" i="11" s="1"/>
  <c r="AU39" i="4"/>
  <c r="AQ39" i="11" s="1"/>
  <c r="AU40" i="4"/>
  <c r="AQ40" i="11" s="1"/>
  <c r="AU41" i="4"/>
  <c r="AQ41" i="11" s="1"/>
  <c r="AU42" i="4"/>
  <c r="AQ42" i="11" s="1"/>
  <c r="AU43" i="4"/>
  <c r="AQ43" i="11" s="1"/>
  <c r="AU44" i="4"/>
  <c r="AQ44" i="11" s="1"/>
  <c r="AU45" i="4"/>
  <c r="AQ45" i="11" s="1"/>
  <c r="AU46" i="4"/>
  <c r="AQ46" i="11" s="1"/>
  <c r="AU47" i="4"/>
  <c r="AQ47" i="11" s="1"/>
  <c r="AU48" i="4"/>
  <c r="AQ48" i="11" s="1"/>
  <c r="AU49" i="4"/>
  <c r="AQ49" i="11" s="1"/>
  <c r="AU50" i="4"/>
  <c r="AQ50" i="11" s="1"/>
  <c r="AU51" i="4"/>
  <c r="AQ51" i="11" s="1"/>
  <c r="AU52" i="4"/>
  <c r="AQ52" i="11" s="1"/>
  <c r="AU53" i="4"/>
  <c r="AQ53" i="11" s="1"/>
  <c r="AU54" i="4"/>
  <c r="AQ54" i="11" s="1"/>
  <c r="AU55" i="4"/>
  <c r="AQ55" i="11" s="1"/>
  <c r="AU56" i="4"/>
  <c r="AQ56" i="11" s="1"/>
  <c r="AU57" i="4"/>
  <c r="AQ57" i="11" s="1"/>
  <c r="AU58" i="4"/>
  <c r="AQ58" i="11" s="1"/>
  <c r="AU59" i="4"/>
  <c r="AQ59" i="11" s="1"/>
  <c r="AU60" i="4"/>
  <c r="AQ60" i="11" s="1"/>
  <c r="AU61" i="4"/>
  <c r="AQ61" i="11" s="1"/>
  <c r="AU62" i="4"/>
  <c r="AQ62" i="11" s="1"/>
  <c r="AU63" i="4"/>
  <c r="AQ63" i="11" s="1"/>
  <c r="AU64" i="4"/>
  <c r="AQ64" i="11" s="1"/>
  <c r="AU65" i="4"/>
  <c r="AQ65" i="11" s="1"/>
  <c r="AU66" i="4"/>
  <c r="AQ66" i="11" s="1"/>
  <c r="AU67" i="4"/>
  <c r="AQ67" i="11" s="1"/>
  <c r="AU68" i="4"/>
  <c r="AQ68" i="11" s="1"/>
  <c r="AU69" i="4"/>
  <c r="AQ69" i="11" s="1"/>
  <c r="AU70" i="4"/>
  <c r="AQ70" i="11" s="1"/>
  <c r="AU71" i="4"/>
  <c r="AQ71" i="11" s="1"/>
  <c r="AU72" i="4"/>
  <c r="AQ72" i="11" s="1"/>
  <c r="AU73" i="4"/>
  <c r="AQ73" i="11" s="1"/>
  <c r="AU74" i="4"/>
  <c r="AQ74" i="11" s="1"/>
  <c r="AU75" i="4"/>
  <c r="AQ75" i="11" s="1"/>
  <c r="AU76" i="4"/>
  <c r="AQ76" i="11" s="1"/>
  <c r="AU77" i="4"/>
  <c r="AQ77" i="11" s="1"/>
  <c r="AU78" i="4"/>
  <c r="AQ78" i="11" s="1"/>
  <c r="AU79" i="4"/>
  <c r="AQ79" i="11" s="1"/>
  <c r="AU80" i="4"/>
  <c r="AQ80" i="11" s="1"/>
  <c r="AU81" i="4"/>
  <c r="AQ81" i="11" s="1"/>
  <c r="AU82" i="4"/>
  <c r="AQ82" i="11" s="1"/>
  <c r="AU83" i="4"/>
  <c r="AQ83" i="11" s="1"/>
  <c r="AU84" i="4"/>
  <c r="AQ84" i="11" s="1"/>
  <c r="AU85" i="4"/>
  <c r="AQ85" i="11" s="1"/>
  <c r="AU86" i="4"/>
  <c r="AQ86" i="11" s="1"/>
  <c r="AU87" i="4"/>
  <c r="AQ87" i="11" s="1"/>
  <c r="AU88" i="4"/>
  <c r="AQ88" i="11" s="1"/>
  <c r="AU89" i="4"/>
  <c r="AQ89" i="11" s="1"/>
  <c r="AU90" i="4"/>
  <c r="AQ90" i="11" s="1"/>
  <c r="AU91" i="4"/>
  <c r="AQ91" i="11" s="1"/>
  <c r="AU92" i="4"/>
  <c r="AQ92" i="11" s="1"/>
  <c r="AU93" i="4"/>
  <c r="AQ93" i="11" s="1"/>
  <c r="AU94" i="4"/>
  <c r="AQ94" i="11" s="1"/>
  <c r="AU95" i="4"/>
  <c r="AQ95" i="11" s="1"/>
  <c r="AU96" i="4"/>
  <c r="AQ96" i="11" s="1"/>
  <c r="AU97" i="4"/>
  <c r="AQ97" i="11" s="1"/>
  <c r="AU98" i="4"/>
  <c r="AQ98" i="11" s="1"/>
  <c r="AU99" i="4"/>
  <c r="AQ99" i="11" s="1"/>
  <c r="AU100" i="4"/>
  <c r="AQ100" i="11" s="1"/>
  <c r="AU101" i="4"/>
  <c r="AQ101" i="11" s="1"/>
  <c r="AU102" i="4"/>
  <c r="AQ102" i="11" s="1"/>
  <c r="AU103" i="4"/>
  <c r="AQ103" i="11" s="1"/>
  <c r="AU104" i="4"/>
  <c r="AQ104" i="11" s="1"/>
  <c r="AU105" i="4"/>
  <c r="AQ105" i="11" s="1"/>
  <c r="AU106" i="4"/>
  <c r="AQ106" i="11" s="1"/>
  <c r="AU107" i="4"/>
  <c r="AQ107" i="11" s="1"/>
  <c r="AU108" i="4"/>
  <c r="AQ108" i="11" s="1"/>
  <c r="AU109" i="4"/>
  <c r="AQ109" i="11" s="1"/>
  <c r="AU110" i="4"/>
  <c r="AQ110" i="11" s="1"/>
  <c r="AU111" i="4"/>
  <c r="AQ111" i="11" s="1"/>
  <c r="AU112" i="4"/>
  <c r="AQ112" i="11" s="1"/>
  <c r="AU113" i="4"/>
  <c r="AQ113" i="11" s="1"/>
  <c r="AU114" i="4"/>
  <c r="AQ114" i="11" s="1"/>
  <c r="AU115" i="4"/>
  <c r="AQ115" i="11" s="1"/>
  <c r="AU116" i="4"/>
  <c r="AQ116" i="11" s="1"/>
  <c r="AU117" i="4"/>
  <c r="AQ117" i="11" s="1"/>
  <c r="AU118" i="4"/>
  <c r="AQ118" i="11" s="1"/>
  <c r="AU119" i="4"/>
  <c r="AQ119" i="11" s="1"/>
  <c r="AU120" i="4"/>
  <c r="AQ120" i="11" s="1"/>
  <c r="AU121" i="4"/>
  <c r="AQ121" i="11" s="1"/>
  <c r="AU122" i="4"/>
  <c r="AQ122" i="11" s="1"/>
  <c r="AU123" i="4"/>
  <c r="AQ123" i="11" s="1"/>
  <c r="AU124" i="4"/>
  <c r="AQ124" i="11" s="1"/>
  <c r="AU125" i="4"/>
  <c r="AQ125" i="11" s="1"/>
  <c r="AU126" i="4"/>
  <c r="AQ126" i="11" s="1"/>
  <c r="AU127" i="4"/>
  <c r="AQ127" i="11" s="1"/>
  <c r="AU128" i="4"/>
  <c r="AQ128" i="11" s="1"/>
  <c r="AU129" i="4"/>
  <c r="AQ129" i="11" s="1"/>
  <c r="AU130" i="4"/>
  <c r="AQ130" i="11" s="1"/>
  <c r="AU131" i="4"/>
  <c r="AQ131" i="11" s="1"/>
  <c r="AU132" i="4"/>
  <c r="AQ132" i="11" s="1"/>
  <c r="AU133" i="4"/>
  <c r="AQ133" i="11" s="1"/>
  <c r="AU134" i="4"/>
  <c r="AQ134" i="11" s="1"/>
  <c r="AU135" i="4"/>
  <c r="AQ135" i="11" s="1"/>
  <c r="AU136" i="4"/>
  <c r="AQ136" i="11" s="1"/>
  <c r="AU137" i="4"/>
  <c r="AQ137" i="11" s="1"/>
  <c r="AU138" i="4"/>
  <c r="AQ138" i="11" s="1"/>
  <c r="AU139" i="4"/>
  <c r="AQ139" i="11" s="1"/>
  <c r="AU140" i="4"/>
  <c r="AQ140" i="11" s="1"/>
  <c r="AU141" i="4"/>
  <c r="AQ141" i="11" s="1"/>
  <c r="AU142" i="4"/>
  <c r="AQ142" i="11" s="1"/>
  <c r="AU143" i="4"/>
  <c r="AQ143" i="11" s="1"/>
  <c r="AU144" i="4"/>
  <c r="AQ144" i="11" s="1"/>
  <c r="AU145" i="4"/>
  <c r="AQ145" i="11" s="1"/>
  <c r="AU146" i="4"/>
  <c r="AQ146" i="11" s="1"/>
  <c r="AU147" i="4"/>
  <c r="AQ147" i="11" s="1"/>
  <c r="AU148" i="4"/>
  <c r="AQ148" i="11" s="1"/>
  <c r="AU149" i="4"/>
  <c r="AQ149" i="11" s="1"/>
  <c r="AU150" i="4"/>
  <c r="AQ150" i="11" s="1"/>
  <c r="AU151" i="4"/>
  <c r="AQ151" i="11" s="1"/>
  <c r="AU152" i="4"/>
  <c r="AQ152" i="11" s="1"/>
  <c r="AU153" i="4"/>
  <c r="AQ153" i="11" s="1"/>
  <c r="AU154" i="4"/>
  <c r="AQ154" i="11" s="1"/>
  <c r="AU155" i="4"/>
  <c r="AQ155" i="11" s="1"/>
  <c r="AU156" i="4"/>
  <c r="AQ156" i="11" s="1"/>
  <c r="AU157" i="4"/>
  <c r="AQ157" i="11" s="1"/>
  <c r="AU158" i="4"/>
  <c r="AQ158" i="11" s="1"/>
  <c r="AU159" i="4"/>
  <c r="AQ159" i="11" s="1"/>
  <c r="AU160" i="4"/>
  <c r="AQ160" i="11" s="1"/>
  <c r="AU161" i="4"/>
  <c r="AQ161" i="11" s="1"/>
  <c r="AU162" i="4"/>
  <c r="AQ162" i="11" s="1"/>
  <c r="AU163" i="4"/>
  <c r="AQ163" i="11" s="1"/>
  <c r="AU164" i="4"/>
  <c r="AQ164" i="11" s="1"/>
  <c r="AU165" i="4"/>
  <c r="AQ165" i="11" s="1"/>
  <c r="AU166" i="4"/>
  <c r="AQ166" i="11" s="1"/>
  <c r="AU167" i="4"/>
  <c r="AQ167" i="11" s="1"/>
  <c r="AU168" i="4"/>
  <c r="AQ168" i="11" s="1"/>
  <c r="AU169" i="4"/>
  <c r="AQ169" i="11" s="1"/>
  <c r="AU170" i="4"/>
  <c r="AQ170" i="11" s="1"/>
  <c r="AU171" i="4"/>
  <c r="AQ171" i="11" s="1"/>
  <c r="AU172" i="4"/>
  <c r="AQ172" i="11" s="1"/>
  <c r="AU173" i="4"/>
  <c r="AQ173" i="11" s="1"/>
  <c r="AU174" i="4"/>
  <c r="AQ174" i="11" s="1"/>
  <c r="AU175" i="4"/>
  <c r="AQ175" i="11" s="1"/>
  <c r="AU176" i="4"/>
  <c r="AQ176" i="11" s="1"/>
  <c r="AU177" i="4"/>
  <c r="AQ177" i="11" s="1"/>
  <c r="AU178" i="4"/>
  <c r="AQ178" i="11" s="1"/>
  <c r="AU179" i="4"/>
  <c r="AQ179" i="11" s="1"/>
  <c r="AU180" i="4"/>
  <c r="AQ180" i="11" s="1"/>
  <c r="AU181" i="4"/>
  <c r="AQ181" i="11" s="1"/>
  <c r="AU182" i="4"/>
  <c r="AQ182" i="11" s="1"/>
  <c r="AU183" i="4"/>
  <c r="AQ183" i="11" s="1"/>
  <c r="AU184" i="4"/>
  <c r="AQ184" i="11" s="1"/>
  <c r="AU185" i="4"/>
  <c r="AQ185" i="11" s="1"/>
  <c r="AU186" i="4"/>
  <c r="AQ186" i="11" s="1"/>
  <c r="AU187" i="4"/>
  <c r="AQ187" i="11" s="1"/>
  <c r="AU188" i="4"/>
  <c r="AQ188" i="11" s="1"/>
  <c r="AU189" i="4"/>
  <c r="AQ189" i="11" s="1"/>
  <c r="AU190" i="4"/>
  <c r="AQ190" i="11" s="1"/>
  <c r="AU191" i="4"/>
  <c r="AQ191" i="11" s="1"/>
  <c r="AU192" i="4"/>
  <c r="AQ192" i="11" s="1"/>
  <c r="AU193" i="4"/>
  <c r="AQ193" i="11" s="1"/>
  <c r="AU194" i="4"/>
  <c r="AQ194" i="11" s="1"/>
  <c r="AU195" i="4"/>
  <c r="AQ195" i="11" s="1"/>
  <c r="AU196" i="4"/>
  <c r="AQ196" i="11" s="1"/>
  <c r="AU197" i="4"/>
  <c r="AQ197" i="11" s="1"/>
  <c r="AU198" i="4"/>
  <c r="AQ198" i="11" s="1"/>
  <c r="AU199" i="4"/>
  <c r="AQ199" i="11" s="1"/>
  <c r="AU200" i="4"/>
  <c r="AQ200" i="11" s="1"/>
  <c r="AU201" i="4"/>
  <c r="AQ201" i="11" s="1"/>
  <c r="AU202" i="4"/>
  <c r="AQ202" i="11" s="1"/>
  <c r="AU203" i="4"/>
  <c r="AQ203" i="11" s="1"/>
  <c r="AU204" i="4"/>
  <c r="AQ204" i="11" s="1"/>
  <c r="AU205" i="4"/>
  <c r="AQ205" i="11" s="1"/>
  <c r="AU206" i="4"/>
  <c r="AQ206" i="11" s="1"/>
  <c r="AU207" i="4"/>
  <c r="AQ207" i="11" s="1"/>
  <c r="AU208" i="4"/>
  <c r="AQ208" i="11" s="1"/>
  <c r="AU209" i="4"/>
  <c r="AQ209" i="11" s="1"/>
  <c r="AU210" i="4"/>
  <c r="AQ210" i="11" s="1"/>
  <c r="AU211" i="4"/>
  <c r="AQ211" i="11" s="1"/>
  <c r="AU212" i="4"/>
  <c r="AQ212" i="11" s="1"/>
  <c r="AU213" i="4"/>
  <c r="AQ213" i="11" s="1"/>
  <c r="AU214" i="4"/>
  <c r="AQ214" i="11" s="1"/>
  <c r="AU215" i="4"/>
  <c r="AQ215" i="11" s="1"/>
  <c r="AU216" i="4"/>
  <c r="AQ216" i="11" s="1"/>
  <c r="AU217" i="4"/>
  <c r="AQ217" i="11" s="1"/>
  <c r="AU218" i="4"/>
  <c r="AQ218" i="11" s="1"/>
  <c r="AU219" i="4"/>
  <c r="AQ219" i="11" s="1"/>
  <c r="AU220" i="4"/>
  <c r="AQ220" i="11" s="1"/>
  <c r="AU221" i="4"/>
  <c r="AQ221" i="11" s="1"/>
  <c r="AU222" i="4"/>
  <c r="AQ222" i="11" s="1"/>
  <c r="AU223" i="4"/>
  <c r="AQ223" i="11" s="1"/>
  <c r="AU224" i="4"/>
  <c r="AQ224" i="11" s="1"/>
  <c r="AU225" i="4"/>
  <c r="AQ225" i="11" s="1"/>
  <c r="AU226" i="4"/>
  <c r="AQ226" i="11" s="1"/>
  <c r="AU227" i="4"/>
  <c r="AQ227" i="11" s="1"/>
  <c r="AU228" i="4"/>
  <c r="AQ228" i="11" s="1"/>
  <c r="AU229" i="4"/>
  <c r="AQ229" i="11" s="1"/>
  <c r="AU230" i="4"/>
  <c r="AQ230" i="11" s="1"/>
  <c r="AU231" i="4"/>
  <c r="AQ231" i="11" s="1"/>
  <c r="AU232" i="4"/>
  <c r="AQ232" i="11" s="1"/>
  <c r="AU233" i="4"/>
  <c r="AQ233" i="11" s="1"/>
  <c r="AU234" i="4"/>
  <c r="AQ234" i="11" s="1"/>
  <c r="AU235" i="4"/>
  <c r="AQ235" i="11" s="1"/>
  <c r="AU236" i="4"/>
  <c r="AQ236" i="11" s="1"/>
  <c r="AU237" i="4"/>
  <c r="AQ237" i="11" s="1"/>
  <c r="AU238" i="4"/>
  <c r="AQ238" i="11" s="1"/>
  <c r="AU239" i="4"/>
  <c r="AQ239" i="11" s="1"/>
  <c r="AU240" i="4"/>
  <c r="AQ240" i="11" s="1"/>
  <c r="AU241" i="4"/>
  <c r="AQ241" i="11" s="1"/>
  <c r="AU242" i="4"/>
  <c r="AQ242" i="11" s="1"/>
  <c r="AU243" i="4"/>
  <c r="AQ243" i="11" s="1"/>
  <c r="AU244" i="4"/>
  <c r="AQ244" i="11" s="1"/>
  <c r="AU245" i="4"/>
  <c r="AQ245" i="11" s="1"/>
  <c r="AU246" i="4"/>
  <c r="AQ246" i="11" s="1"/>
  <c r="AU247" i="4"/>
  <c r="AQ247" i="11" s="1"/>
  <c r="AU248" i="4"/>
  <c r="AQ248" i="11" s="1"/>
  <c r="AU249" i="4"/>
  <c r="AQ249" i="11" s="1"/>
  <c r="AU250" i="4"/>
  <c r="AQ250" i="11" s="1"/>
  <c r="AU251" i="4"/>
  <c r="AQ251" i="11" s="1"/>
  <c r="AU252" i="4"/>
  <c r="AQ252" i="11" s="1"/>
  <c r="AU253" i="4"/>
  <c r="AQ253" i="11" s="1"/>
  <c r="AU254" i="4"/>
  <c r="AQ254" i="11" s="1"/>
  <c r="AU255" i="4"/>
  <c r="AQ255" i="11" s="1"/>
  <c r="AU256" i="4"/>
  <c r="AQ256" i="11" s="1"/>
  <c r="AU257" i="4"/>
  <c r="AQ257" i="11" s="1"/>
  <c r="AU258" i="4"/>
  <c r="AQ258" i="11" s="1"/>
  <c r="AU259" i="4"/>
  <c r="AQ259" i="11" s="1"/>
  <c r="AU260" i="4"/>
  <c r="AQ260" i="11" s="1"/>
  <c r="AU261" i="4"/>
  <c r="AQ261" i="11" s="1"/>
  <c r="AU262" i="4"/>
  <c r="AQ262" i="11" s="1"/>
  <c r="AU263" i="4"/>
  <c r="AQ263" i="11" s="1"/>
  <c r="AU264" i="4"/>
  <c r="AQ264" i="11" s="1"/>
  <c r="AU265" i="4"/>
  <c r="AQ265" i="11" s="1"/>
  <c r="AU266" i="4"/>
  <c r="AQ266" i="11" s="1"/>
  <c r="AU267" i="4"/>
  <c r="AQ267" i="11" s="1"/>
  <c r="AU268" i="4"/>
  <c r="AQ268" i="11" s="1"/>
  <c r="AU269" i="4"/>
  <c r="AQ269" i="11" s="1"/>
  <c r="AU270" i="4"/>
  <c r="AQ270" i="11" s="1"/>
  <c r="AU271" i="4"/>
  <c r="AQ271" i="11" s="1"/>
  <c r="AU272" i="4"/>
  <c r="AQ272" i="11" s="1"/>
  <c r="AU273" i="4"/>
  <c r="AQ273" i="11" s="1"/>
  <c r="AU274" i="4"/>
  <c r="AQ274" i="11" s="1"/>
  <c r="AU275" i="4"/>
  <c r="AQ275" i="11" s="1"/>
  <c r="AU276" i="4"/>
  <c r="AQ276" i="11" s="1"/>
  <c r="AU277" i="4"/>
  <c r="AQ277" i="11" s="1"/>
  <c r="AU278" i="4"/>
  <c r="AQ278" i="11" s="1"/>
  <c r="AU279" i="4"/>
  <c r="AQ279" i="11" s="1"/>
  <c r="AU280" i="4"/>
  <c r="AQ280" i="11" s="1"/>
  <c r="AU281" i="4"/>
  <c r="AQ281" i="11" s="1"/>
  <c r="AU282" i="4"/>
  <c r="AQ282" i="11" s="1"/>
  <c r="AU283" i="4"/>
  <c r="AQ283" i="11" s="1"/>
  <c r="AU284" i="4"/>
  <c r="AQ284" i="11" s="1"/>
  <c r="AU285" i="4"/>
  <c r="AQ285" i="11" s="1"/>
  <c r="AU286" i="4"/>
  <c r="AQ286" i="11" s="1"/>
  <c r="AU287" i="4"/>
  <c r="AQ287" i="11" s="1"/>
  <c r="AU288" i="4"/>
  <c r="AQ288" i="11" s="1"/>
  <c r="AU289" i="4"/>
  <c r="AQ289" i="11" s="1"/>
  <c r="AU290" i="4"/>
  <c r="AQ290" i="11" s="1"/>
  <c r="AU291" i="4"/>
  <c r="AQ291" i="11" s="1"/>
  <c r="AU292" i="4"/>
  <c r="AQ292" i="11" s="1"/>
  <c r="AU293" i="4"/>
  <c r="AQ293" i="11" s="1"/>
  <c r="AU294" i="4"/>
  <c r="AQ294" i="11" s="1"/>
  <c r="AU295" i="4"/>
  <c r="AQ295" i="11" s="1"/>
  <c r="AU296" i="4"/>
  <c r="AQ296" i="11" s="1"/>
  <c r="AU297" i="4"/>
  <c r="AQ297" i="11" s="1"/>
  <c r="AU298" i="4"/>
  <c r="AQ298" i="11" s="1"/>
  <c r="AU299" i="4"/>
  <c r="AQ299" i="11" s="1"/>
  <c r="AU300" i="4"/>
  <c r="AQ300" i="11" s="1"/>
  <c r="AU301" i="4"/>
  <c r="AQ301" i="11" s="1"/>
  <c r="AU302" i="4"/>
  <c r="AQ302" i="11" s="1"/>
  <c r="AU303" i="4"/>
  <c r="AQ303" i="11" s="1"/>
  <c r="AU304" i="4"/>
  <c r="AQ304" i="11" s="1"/>
  <c r="AU305" i="4"/>
  <c r="AQ305" i="11" s="1"/>
  <c r="AU306" i="4"/>
  <c r="AQ306" i="11" s="1"/>
  <c r="AU307" i="4"/>
  <c r="AQ307" i="11" s="1"/>
  <c r="AU308" i="4"/>
  <c r="AQ308" i="11" s="1"/>
  <c r="AU309" i="4"/>
  <c r="AQ309" i="11" s="1"/>
  <c r="AU310" i="4"/>
  <c r="AQ310" i="11" s="1"/>
  <c r="AU311" i="4"/>
  <c r="AQ311" i="11" s="1"/>
  <c r="AU312" i="4"/>
  <c r="AQ312" i="11" s="1"/>
  <c r="AU313" i="4"/>
  <c r="AQ313" i="11" s="1"/>
  <c r="AU314" i="4"/>
  <c r="AQ314" i="11" s="1"/>
  <c r="AU315" i="4"/>
  <c r="AQ315" i="11" s="1"/>
  <c r="AU316" i="4"/>
  <c r="AQ316" i="11" s="1"/>
  <c r="AU317" i="4"/>
  <c r="AQ317" i="11" s="1"/>
  <c r="AU318" i="4"/>
  <c r="AQ318" i="11" s="1"/>
  <c r="AU319" i="4"/>
  <c r="AQ319" i="11" s="1"/>
  <c r="AU320" i="4"/>
  <c r="AQ320" i="11" s="1"/>
  <c r="AU321" i="4"/>
  <c r="AQ321" i="11" s="1"/>
  <c r="AU322" i="4"/>
  <c r="AQ322" i="11" s="1"/>
  <c r="AU323" i="4"/>
  <c r="AQ323" i="11" s="1"/>
  <c r="AU324" i="4"/>
  <c r="AQ324" i="11" s="1"/>
  <c r="AU325" i="4"/>
  <c r="AQ325" i="11" s="1"/>
  <c r="AU326" i="4"/>
  <c r="AQ326" i="11" s="1"/>
  <c r="AU327" i="4"/>
  <c r="AQ327" i="11" s="1"/>
  <c r="AU328" i="4"/>
  <c r="AQ328" i="11" s="1"/>
  <c r="AU329" i="4"/>
  <c r="AQ329" i="11" s="1"/>
  <c r="AU330" i="4"/>
  <c r="AQ330" i="11" s="1"/>
  <c r="AU331" i="4"/>
  <c r="AQ331" i="11" s="1"/>
  <c r="AU332" i="4"/>
  <c r="AQ332" i="11" s="1"/>
  <c r="AU333" i="4"/>
  <c r="AQ333" i="11" s="1"/>
  <c r="AU334" i="4"/>
  <c r="AQ334" i="11" s="1"/>
  <c r="AU335" i="4"/>
  <c r="AQ335" i="11" s="1"/>
  <c r="AU336" i="4"/>
  <c r="AQ336" i="11" s="1"/>
  <c r="AU337" i="4"/>
  <c r="AQ337" i="11" s="1"/>
  <c r="AU338" i="4"/>
  <c r="AQ338" i="11" s="1"/>
  <c r="AU339" i="4"/>
  <c r="AQ339" i="11" s="1"/>
  <c r="AU340" i="4"/>
  <c r="AQ340" i="11" s="1"/>
  <c r="AU341" i="4"/>
  <c r="AQ341" i="11" s="1"/>
  <c r="AU342" i="4"/>
  <c r="AQ342" i="11" s="1"/>
  <c r="AU343" i="4"/>
  <c r="AQ343" i="11" s="1"/>
  <c r="AU344" i="4"/>
  <c r="AQ344" i="11" s="1"/>
  <c r="AU345" i="4"/>
  <c r="AQ345" i="11" s="1"/>
  <c r="AU346" i="4"/>
  <c r="AQ346" i="11" s="1"/>
  <c r="AU347" i="4"/>
  <c r="AQ347" i="11" s="1"/>
  <c r="AU348" i="4"/>
  <c r="AQ348" i="11" s="1"/>
  <c r="AU349" i="4"/>
  <c r="AQ349" i="11" s="1"/>
  <c r="AU350" i="4"/>
  <c r="AQ350" i="11" s="1"/>
  <c r="AU351" i="4"/>
  <c r="AQ351" i="11" s="1"/>
  <c r="AU352" i="4"/>
  <c r="AQ352" i="11" s="1"/>
  <c r="AU353" i="4"/>
  <c r="AQ353" i="11" s="1"/>
  <c r="AU354" i="4"/>
  <c r="AQ354" i="11" s="1"/>
  <c r="AU355" i="4"/>
  <c r="AQ355" i="11" s="1"/>
  <c r="AU356" i="4"/>
  <c r="AQ356" i="11" s="1"/>
  <c r="AU357" i="4"/>
  <c r="AQ357" i="11" s="1"/>
  <c r="AU358" i="4"/>
  <c r="AQ358" i="11" s="1"/>
  <c r="AU359" i="4"/>
  <c r="AQ359" i="11" s="1"/>
  <c r="AU360" i="4"/>
  <c r="AQ360" i="11" s="1"/>
  <c r="AU361" i="4"/>
  <c r="AQ361" i="11" s="1"/>
  <c r="AU362" i="4"/>
  <c r="AQ362" i="11" s="1"/>
  <c r="AU363" i="4"/>
  <c r="AQ363" i="11" s="1"/>
  <c r="AU364" i="4"/>
  <c r="AQ364" i="11" s="1"/>
  <c r="AU365" i="4"/>
  <c r="AQ365" i="11" s="1"/>
  <c r="AU366" i="4"/>
  <c r="AQ366" i="11" s="1"/>
  <c r="AU367" i="4"/>
  <c r="AQ367" i="11" s="1"/>
  <c r="AU368" i="4"/>
  <c r="AQ368" i="11" s="1"/>
  <c r="AU369" i="4"/>
  <c r="AQ369" i="11" s="1"/>
  <c r="AU370" i="4"/>
  <c r="AQ370" i="11" s="1"/>
  <c r="AU371" i="4"/>
  <c r="AQ371" i="11" s="1"/>
  <c r="AU372" i="4"/>
  <c r="AQ372" i="11" s="1"/>
  <c r="AU373" i="4"/>
  <c r="AQ373" i="11" s="1"/>
  <c r="AU374" i="4"/>
  <c r="AQ374" i="11" s="1"/>
  <c r="AU375" i="4"/>
  <c r="AQ375" i="11" s="1"/>
  <c r="AU376" i="4"/>
  <c r="AQ376" i="11" s="1"/>
  <c r="AU377" i="4"/>
  <c r="AQ377" i="11" s="1"/>
  <c r="AU378" i="4"/>
  <c r="AQ378" i="11" s="1"/>
  <c r="AU379" i="4"/>
  <c r="AQ379" i="11" s="1"/>
  <c r="AU380" i="4"/>
  <c r="AQ380" i="11" s="1"/>
  <c r="AU381" i="4"/>
  <c r="AQ381" i="11" s="1"/>
  <c r="AU382" i="4"/>
  <c r="AQ382" i="11" s="1"/>
  <c r="AU383" i="4"/>
  <c r="AQ383" i="11" s="1"/>
  <c r="AU384" i="4"/>
  <c r="AQ384" i="11" s="1"/>
  <c r="AU385" i="4"/>
  <c r="AQ385" i="11" s="1"/>
  <c r="AU386" i="4"/>
  <c r="AQ386" i="11" s="1"/>
  <c r="AU387" i="4"/>
  <c r="AQ387" i="11" s="1"/>
  <c r="AU388" i="4"/>
  <c r="AQ388" i="11" s="1"/>
  <c r="AU389" i="4"/>
  <c r="AQ389" i="11" s="1"/>
  <c r="AU390" i="4"/>
  <c r="AQ390" i="11" s="1"/>
  <c r="AU391" i="4"/>
  <c r="AQ391" i="11" s="1"/>
  <c r="AU392" i="4"/>
  <c r="AQ392" i="11" s="1"/>
  <c r="AU393" i="4"/>
  <c r="AQ393" i="11" s="1"/>
  <c r="AU394" i="4"/>
  <c r="AQ394" i="11" s="1"/>
  <c r="AU395" i="4"/>
  <c r="AQ395" i="11" s="1"/>
  <c r="AU396" i="4"/>
  <c r="AQ396" i="11" s="1"/>
  <c r="AU397" i="4"/>
  <c r="AQ397" i="11" s="1"/>
  <c r="AU398" i="4"/>
  <c r="AQ398" i="11" s="1"/>
  <c r="AU399" i="4"/>
  <c r="AQ399" i="11" s="1"/>
  <c r="AU400" i="4"/>
  <c r="AQ400" i="11" s="1"/>
  <c r="AU401" i="4"/>
  <c r="AQ401" i="11" s="1"/>
  <c r="AU402" i="4"/>
  <c r="AQ402" i="11" s="1"/>
  <c r="AU403" i="4"/>
  <c r="AQ403" i="11" s="1"/>
  <c r="AU404" i="4"/>
  <c r="AQ404" i="11" s="1"/>
  <c r="AU405" i="4"/>
  <c r="AQ405" i="11" s="1"/>
  <c r="AU406" i="4"/>
  <c r="AQ406" i="11" s="1"/>
  <c r="AU407" i="4"/>
  <c r="AQ407" i="11" s="1"/>
  <c r="AU408" i="4"/>
  <c r="AQ408" i="11" s="1"/>
  <c r="AU409" i="4"/>
  <c r="AQ409" i="11" s="1"/>
  <c r="AU410" i="4"/>
  <c r="AQ410" i="11" s="1"/>
  <c r="AU411" i="4"/>
  <c r="AQ411" i="11" s="1"/>
  <c r="AU412" i="4"/>
  <c r="AQ412" i="11" s="1"/>
  <c r="AU413" i="4"/>
  <c r="AQ413" i="11" s="1"/>
  <c r="AU414" i="4"/>
  <c r="AQ414" i="11" s="1"/>
  <c r="AT3" i="4"/>
  <c r="AT4" i="4"/>
  <c r="AP4" i="11" s="1"/>
  <c r="BA4" i="11" s="1"/>
  <c r="AT5" i="4"/>
  <c r="AP5" i="11" s="1"/>
  <c r="BA5" i="11" s="1"/>
  <c r="AT6" i="4"/>
  <c r="AT7" i="4"/>
  <c r="AT8" i="4"/>
  <c r="AP8" i="11" s="1"/>
  <c r="BA8" i="11" s="1"/>
  <c r="AT9" i="4"/>
  <c r="AP9" i="11" s="1"/>
  <c r="BA9" i="11" s="1"/>
  <c r="AT10" i="4"/>
  <c r="AT11" i="4"/>
  <c r="AT12" i="4"/>
  <c r="AP12" i="11" s="1"/>
  <c r="BA12" i="11" s="1"/>
  <c r="AT13" i="4"/>
  <c r="AP13" i="11" s="1"/>
  <c r="BA13" i="11" s="1"/>
  <c r="AT14" i="4"/>
  <c r="AT15" i="4"/>
  <c r="AT16" i="4"/>
  <c r="AP16" i="11" s="1"/>
  <c r="BA16" i="11" s="1"/>
  <c r="AT17" i="4"/>
  <c r="AP17" i="11" s="1"/>
  <c r="BA17" i="11" s="1"/>
  <c r="AT18" i="4"/>
  <c r="AT19" i="4"/>
  <c r="AT20" i="4"/>
  <c r="AP20" i="11" s="1"/>
  <c r="BA20" i="11" s="1"/>
  <c r="AT21" i="4"/>
  <c r="AP21" i="11" s="1"/>
  <c r="BA21" i="11" s="1"/>
  <c r="AT22" i="4"/>
  <c r="AT23" i="4"/>
  <c r="AT24" i="4"/>
  <c r="AP24" i="11" s="1"/>
  <c r="BA24" i="11" s="1"/>
  <c r="AT25" i="4"/>
  <c r="AP25" i="11" s="1"/>
  <c r="BA25" i="11" s="1"/>
  <c r="AT26" i="4"/>
  <c r="AT27" i="4"/>
  <c r="AT28" i="4"/>
  <c r="AP28" i="11" s="1"/>
  <c r="BA28" i="11" s="1"/>
  <c r="AT29" i="4"/>
  <c r="AP29" i="11" s="1"/>
  <c r="BA29" i="11" s="1"/>
  <c r="AT30" i="4"/>
  <c r="AT31" i="4"/>
  <c r="AT32" i="4"/>
  <c r="AP32" i="11" s="1"/>
  <c r="BA32" i="11" s="1"/>
  <c r="AT33" i="4"/>
  <c r="AP33" i="11" s="1"/>
  <c r="BA33" i="11" s="1"/>
  <c r="AT34" i="4"/>
  <c r="AT35" i="4"/>
  <c r="AT36" i="4"/>
  <c r="AP36" i="11" s="1"/>
  <c r="BA36" i="11" s="1"/>
  <c r="AT37" i="4"/>
  <c r="AP37" i="11" s="1"/>
  <c r="BA37" i="11" s="1"/>
  <c r="AT38" i="4"/>
  <c r="AT39" i="4"/>
  <c r="AT40" i="4"/>
  <c r="AP40" i="11" s="1"/>
  <c r="BA40" i="11" s="1"/>
  <c r="AT41" i="4"/>
  <c r="AP41" i="11" s="1"/>
  <c r="BA41" i="11" s="1"/>
  <c r="AT42" i="4"/>
  <c r="AT43" i="4"/>
  <c r="AT44" i="4"/>
  <c r="AP44" i="11" s="1"/>
  <c r="BA44" i="11" s="1"/>
  <c r="AT45" i="4"/>
  <c r="AP45" i="11" s="1"/>
  <c r="BA45" i="11" s="1"/>
  <c r="AT46" i="4"/>
  <c r="AT47" i="4"/>
  <c r="AT48" i="4"/>
  <c r="AP48" i="11" s="1"/>
  <c r="BA48" i="11" s="1"/>
  <c r="AT49" i="4"/>
  <c r="AP49" i="11" s="1"/>
  <c r="BA49" i="11" s="1"/>
  <c r="AT50" i="4"/>
  <c r="AT51" i="4"/>
  <c r="AT52" i="4"/>
  <c r="AP52" i="11" s="1"/>
  <c r="BA52" i="11" s="1"/>
  <c r="AT53" i="4"/>
  <c r="AP53" i="11" s="1"/>
  <c r="BA53" i="11" s="1"/>
  <c r="AT54" i="4"/>
  <c r="AT55" i="4"/>
  <c r="AT56" i="4"/>
  <c r="AP56" i="11" s="1"/>
  <c r="BA56" i="11" s="1"/>
  <c r="AT57" i="4"/>
  <c r="AP57" i="11" s="1"/>
  <c r="BA57" i="11" s="1"/>
  <c r="AT58" i="4"/>
  <c r="AT59" i="4"/>
  <c r="AT60" i="4"/>
  <c r="AP60" i="11" s="1"/>
  <c r="BA60" i="11" s="1"/>
  <c r="AT61" i="4"/>
  <c r="AP61" i="11" s="1"/>
  <c r="BA61" i="11" s="1"/>
  <c r="AT62" i="4"/>
  <c r="AT63" i="4"/>
  <c r="AT64" i="4"/>
  <c r="AP64" i="11" s="1"/>
  <c r="BA64" i="11" s="1"/>
  <c r="AT65" i="4"/>
  <c r="AP65" i="11" s="1"/>
  <c r="BA65" i="11" s="1"/>
  <c r="AT66" i="4"/>
  <c r="AT67" i="4"/>
  <c r="AT68" i="4"/>
  <c r="AP68" i="11" s="1"/>
  <c r="BA68" i="11" s="1"/>
  <c r="AT69" i="4"/>
  <c r="AP69" i="11" s="1"/>
  <c r="BA69" i="11" s="1"/>
  <c r="AT70" i="4"/>
  <c r="AT71" i="4"/>
  <c r="AT72" i="4"/>
  <c r="AP72" i="11" s="1"/>
  <c r="BA72" i="11" s="1"/>
  <c r="AT73" i="4"/>
  <c r="AP73" i="11" s="1"/>
  <c r="BA73" i="11" s="1"/>
  <c r="AT74" i="4"/>
  <c r="AT75" i="4"/>
  <c r="AT76" i="4"/>
  <c r="AP76" i="11" s="1"/>
  <c r="BA76" i="11" s="1"/>
  <c r="AT77" i="4"/>
  <c r="AP77" i="11" s="1"/>
  <c r="BA77" i="11" s="1"/>
  <c r="AT78" i="4"/>
  <c r="AT79" i="4"/>
  <c r="AT80" i="4"/>
  <c r="AP80" i="11" s="1"/>
  <c r="BA80" i="11" s="1"/>
  <c r="AT81" i="4"/>
  <c r="AP81" i="11" s="1"/>
  <c r="BA81" i="11" s="1"/>
  <c r="AT82" i="4"/>
  <c r="AT83" i="4"/>
  <c r="AT84" i="4"/>
  <c r="AP84" i="11" s="1"/>
  <c r="BA84" i="11" s="1"/>
  <c r="AT85" i="4"/>
  <c r="AP85" i="11" s="1"/>
  <c r="BA85" i="11" s="1"/>
  <c r="AT86" i="4"/>
  <c r="AT87" i="4"/>
  <c r="AT88" i="4"/>
  <c r="AP88" i="11" s="1"/>
  <c r="BA88" i="11" s="1"/>
  <c r="AT89" i="4"/>
  <c r="AP89" i="11" s="1"/>
  <c r="BA89" i="11" s="1"/>
  <c r="AT90" i="4"/>
  <c r="AT91" i="4"/>
  <c r="AT92" i="4"/>
  <c r="AP92" i="11" s="1"/>
  <c r="BA92" i="11" s="1"/>
  <c r="AT93" i="4"/>
  <c r="AP93" i="11" s="1"/>
  <c r="BA93" i="11" s="1"/>
  <c r="AT94" i="4"/>
  <c r="AP94" i="11" s="1"/>
  <c r="BA94" i="11" s="1"/>
  <c r="AT95" i="4"/>
  <c r="AT96" i="4"/>
  <c r="AP96" i="11" s="1"/>
  <c r="BA96" i="11" s="1"/>
  <c r="AT97" i="4"/>
  <c r="AP97" i="11" s="1"/>
  <c r="BA97" i="11" s="1"/>
  <c r="AT98" i="4"/>
  <c r="AP98" i="11" s="1"/>
  <c r="BA98" i="11" s="1"/>
  <c r="AT99" i="4"/>
  <c r="AT100" i="4"/>
  <c r="AP100" i="11" s="1"/>
  <c r="BA100" i="11" s="1"/>
  <c r="AT101" i="4"/>
  <c r="AP101" i="11" s="1"/>
  <c r="BA101" i="11" s="1"/>
  <c r="AT102" i="4"/>
  <c r="AP102" i="11" s="1"/>
  <c r="BA102" i="11" s="1"/>
  <c r="AT103" i="4"/>
  <c r="AT104" i="4"/>
  <c r="AP104" i="11" s="1"/>
  <c r="BA104" i="11" s="1"/>
  <c r="AT105" i="4"/>
  <c r="AP105" i="11" s="1"/>
  <c r="BA105" i="11" s="1"/>
  <c r="AT106" i="4"/>
  <c r="AP106" i="11" s="1"/>
  <c r="BA106" i="11" s="1"/>
  <c r="AT107" i="4"/>
  <c r="AT108" i="4"/>
  <c r="AP108" i="11" s="1"/>
  <c r="BA108" i="11" s="1"/>
  <c r="AT109" i="4"/>
  <c r="AP109" i="11" s="1"/>
  <c r="BA109" i="11" s="1"/>
  <c r="AT110" i="4"/>
  <c r="AP110" i="11" s="1"/>
  <c r="BA110" i="11" s="1"/>
  <c r="AT111" i="4"/>
  <c r="AT112" i="4"/>
  <c r="AP112" i="11" s="1"/>
  <c r="BA112" i="11" s="1"/>
  <c r="AT113" i="4"/>
  <c r="AP113" i="11" s="1"/>
  <c r="BA113" i="11" s="1"/>
  <c r="AT114" i="4"/>
  <c r="AP114" i="11" s="1"/>
  <c r="BA114" i="11" s="1"/>
  <c r="AT115" i="4"/>
  <c r="AT116" i="4"/>
  <c r="AP116" i="11" s="1"/>
  <c r="BA116" i="11" s="1"/>
  <c r="AT117" i="4"/>
  <c r="AP117" i="11" s="1"/>
  <c r="BA117" i="11" s="1"/>
  <c r="AT118" i="4"/>
  <c r="AP118" i="11" s="1"/>
  <c r="BA118" i="11" s="1"/>
  <c r="AT119" i="4"/>
  <c r="AT120" i="4"/>
  <c r="AP120" i="11" s="1"/>
  <c r="BA120" i="11" s="1"/>
  <c r="AT121" i="4"/>
  <c r="AP121" i="11" s="1"/>
  <c r="BA121" i="11" s="1"/>
  <c r="AT122" i="4"/>
  <c r="AP122" i="11" s="1"/>
  <c r="BA122" i="11" s="1"/>
  <c r="AT123" i="4"/>
  <c r="AT124" i="4"/>
  <c r="AP124" i="11" s="1"/>
  <c r="BA124" i="11" s="1"/>
  <c r="AT125" i="4"/>
  <c r="AP125" i="11" s="1"/>
  <c r="BA125" i="11" s="1"/>
  <c r="AT126" i="4"/>
  <c r="AP126" i="11" s="1"/>
  <c r="BA126" i="11" s="1"/>
  <c r="AT127" i="4"/>
  <c r="AT128" i="4"/>
  <c r="AP128" i="11" s="1"/>
  <c r="BA128" i="11" s="1"/>
  <c r="AT129" i="4"/>
  <c r="AP129" i="11" s="1"/>
  <c r="BA129" i="11" s="1"/>
  <c r="AT130" i="4"/>
  <c r="AP130" i="11" s="1"/>
  <c r="BA130" i="11" s="1"/>
  <c r="AT131" i="4"/>
  <c r="AT132" i="4"/>
  <c r="AP132" i="11" s="1"/>
  <c r="BA132" i="11" s="1"/>
  <c r="AT133" i="4"/>
  <c r="AP133" i="11" s="1"/>
  <c r="BA133" i="11" s="1"/>
  <c r="AT134" i="4"/>
  <c r="AP134" i="11" s="1"/>
  <c r="BA134" i="11" s="1"/>
  <c r="AT135" i="4"/>
  <c r="AT136" i="4"/>
  <c r="AP136" i="11" s="1"/>
  <c r="BA136" i="11" s="1"/>
  <c r="AT137" i="4"/>
  <c r="AP137" i="11" s="1"/>
  <c r="BA137" i="11" s="1"/>
  <c r="AT138" i="4"/>
  <c r="AP138" i="11" s="1"/>
  <c r="BA138" i="11" s="1"/>
  <c r="AT139" i="4"/>
  <c r="AT140" i="4"/>
  <c r="AP140" i="11" s="1"/>
  <c r="BA140" i="11" s="1"/>
  <c r="AT141" i="4"/>
  <c r="AP141" i="11" s="1"/>
  <c r="BA141" i="11" s="1"/>
  <c r="AT142" i="4"/>
  <c r="AP142" i="11" s="1"/>
  <c r="BA142" i="11" s="1"/>
  <c r="AT143" i="4"/>
  <c r="AT144" i="4"/>
  <c r="AP144" i="11" s="1"/>
  <c r="BA144" i="11" s="1"/>
  <c r="AT145" i="4"/>
  <c r="AP145" i="11" s="1"/>
  <c r="BA145" i="11" s="1"/>
  <c r="AT146" i="4"/>
  <c r="AP146" i="11" s="1"/>
  <c r="BA146" i="11" s="1"/>
  <c r="AT147" i="4"/>
  <c r="AT148" i="4"/>
  <c r="AP148" i="11" s="1"/>
  <c r="BA148" i="11" s="1"/>
  <c r="AT149" i="4"/>
  <c r="AP149" i="11" s="1"/>
  <c r="BA149" i="11" s="1"/>
  <c r="AT150" i="4"/>
  <c r="AP150" i="11" s="1"/>
  <c r="BA150" i="11" s="1"/>
  <c r="AT151" i="4"/>
  <c r="AT152" i="4"/>
  <c r="AP152" i="11" s="1"/>
  <c r="BA152" i="11" s="1"/>
  <c r="AT153" i="4"/>
  <c r="AP153" i="11" s="1"/>
  <c r="BA153" i="11" s="1"/>
  <c r="AT154" i="4"/>
  <c r="AP154" i="11" s="1"/>
  <c r="BA154" i="11" s="1"/>
  <c r="AT155" i="4"/>
  <c r="AT156" i="4"/>
  <c r="AP156" i="11" s="1"/>
  <c r="BA156" i="11" s="1"/>
  <c r="AT157" i="4"/>
  <c r="AP157" i="11" s="1"/>
  <c r="BA157" i="11" s="1"/>
  <c r="AT158" i="4"/>
  <c r="AP158" i="11" s="1"/>
  <c r="BA158" i="11" s="1"/>
  <c r="AT159" i="4"/>
  <c r="AT160" i="4"/>
  <c r="AP160" i="11" s="1"/>
  <c r="BA160" i="11" s="1"/>
  <c r="AT161" i="4"/>
  <c r="AP161" i="11" s="1"/>
  <c r="BA161" i="11" s="1"/>
  <c r="AT162" i="4"/>
  <c r="AP162" i="11" s="1"/>
  <c r="BA162" i="11" s="1"/>
  <c r="AT163" i="4"/>
  <c r="AT164" i="4"/>
  <c r="AP164" i="11" s="1"/>
  <c r="BA164" i="11" s="1"/>
  <c r="AT165" i="4"/>
  <c r="AP165" i="11" s="1"/>
  <c r="BA165" i="11" s="1"/>
  <c r="AT166" i="4"/>
  <c r="AP166" i="11" s="1"/>
  <c r="BA166" i="11" s="1"/>
  <c r="AT167" i="4"/>
  <c r="AT168" i="4"/>
  <c r="AP168" i="11" s="1"/>
  <c r="BA168" i="11" s="1"/>
  <c r="AT169" i="4"/>
  <c r="AP169" i="11" s="1"/>
  <c r="BA169" i="11" s="1"/>
  <c r="AT170" i="4"/>
  <c r="AP170" i="11" s="1"/>
  <c r="BA170" i="11" s="1"/>
  <c r="AT171" i="4"/>
  <c r="AT172" i="4"/>
  <c r="AP172" i="11" s="1"/>
  <c r="BA172" i="11" s="1"/>
  <c r="AT173" i="4"/>
  <c r="AP173" i="11" s="1"/>
  <c r="BA173" i="11" s="1"/>
  <c r="AT174" i="4"/>
  <c r="AP174" i="11" s="1"/>
  <c r="BA174" i="11" s="1"/>
  <c r="AT175" i="4"/>
  <c r="AT176" i="4"/>
  <c r="AP176" i="11" s="1"/>
  <c r="BA176" i="11" s="1"/>
  <c r="AT177" i="4"/>
  <c r="AP177" i="11" s="1"/>
  <c r="BA177" i="11" s="1"/>
  <c r="AT178" i="4"/>
  <c r="AP178" i="11" s="1"/>
  <c r="BA178" i="11" s="1"/>
  <c r="AT179" i="4"/>
  <c r="AT180" i="4"/>
  <c r="AP180" i="11" s="1"/>
  <c r="BA180" i="11" s="1"/>
  <c r="AT181" i="4"/>
  <c r="AP181" i="11" s="1"/>
  <c r="BA181" i="11" s="1"/>
  <c r="AT182" i="4"/>
  <c r="AP182" i="11" s="1"/>
  <c r="BA182" i="11" s="1"/>
  <c r="AT183" i="4"/>
  <c r="AT184" i="4"/>
  <c r="AP184" i="11" s="1"/>
  <c r="BA184" i="11" s="1"/>
  <c r="AT185" i="4"/>
  <c r="AP185" i="11" s="1"/>
  <c r="BA185" i="11" s="1"/>
  <c r="AT186" i="4"/>
  <c r="AP186" i="11" s="1"/>
  <c r="BA186" i="11" s="1"/>
  <c r="AT187" i="4"/>
  <c r="AT188" i="4"/>
  <c r="AP188" i="11" s="1"/>
  <c r="BA188" i="11" s="1"/>
  <c r="AT189" i="4"/>
  <c r="AP189" i="11" s="1"/>
  <c r="BA189" i="11" s="1"/>
  <c r="AT190" i="4"/>
  <c r="AP190" i="11" s="1"/>
  <c r="BA190" i="11" s="1"/>
  <c r="AT191" i="4"/>
  <c r="AT192" i="4"/>
  <c r="AP192" i="11" s="1"/>
  <c r="BA192" i="11" s="1"/>
  <c r="AT193" i="4"/>
  <c r="AP193" i="11" s="1"/>
  <c r="BA193" i="11" s="1"/>
  <c r="AT194" i="4"/>
  <c r="AP194" i="11" s="1"/>
  <c r="BA194" i="11" s="1"/>
  <c r="AT195" i="4"/>
  <c r="AT196" i="4"/>
  <c r="AP196" i="11" s="1"/>
  <c r="BA196" i="11" s="1"/>
  <c r="AT197" i="4"/>
  <c r="AP197" i="11" s="1"/>
  <c r="BA197" i="11" s="1"/>
  <c r="AT198" i="4"/>
  <c r="AP198" i="11" s="1"/>
  <c r="BA198" i="11" s="1"/>
  <c r="AT199" i="4"/>
  <c r="AT200" i="4"/>
  <c r="AP200" i="11" s="1"/>
  <c r="BA200" i="11" s="1"/>
  <c r="AT201" i="4"/>
  <c r="AP201" i="11" s="1"/>
  <c r="BA201" i="11" s="1"/>
  <c r="AT202" i="4"/>
  <c r="AP202" i="11" s="1"/>
  <c r="BA202" i="11" s="1"/>
  <c r="AT203" i="4"/>
  <c r="AT204" i="4"/>
  <c r="AP204" i="11" s="1"/>
  <c r="BA204" i="11" s="1"/>
  <c r="AT205" i="4"/>
  <c r="AP205" i="11" s="1"/>
  <c r="BA205" i="11" s="1"/>
  <c r="AT206" i="4"/>
  <c r="AP206" i="11" s="1"/>
  <c r="BA206" i="11" s="1"/>
  <c r="AT207" i="4"/>
  <c r="AT208" i="4"/>
  <c r="AP208" i="11" s="1"/>
  <c r="BA208" i="11" s="1"/>
  <c r="AT209" i="4"/>
  <c r="AP209" i="11" s="1"/>
  <c r="BA209" i="11" s="1"/>
  <c r="AT210" i="4"/>
  <c r="AP210" i="11" s="1"/>
  <c r="BA210" i="11" s="1"/>
  <c r="AT211" i="4"/>
  <c r="AT212" i="4"/>
  <c r="AP212" i="11" s="1"/>
  <c r="BA212" i="11" s="1"/>
  <c r="AT213" i="4"/>
  <c r="AP213" i="11" s="1"/>
  <c r="BA213" i="11" s="1"/>
  <c r="AT214" i="4"/>
  <c r="AP214" i="11" s="1"/>
  <c r="BA214" i="11" s="1"/>
  <c r="AT215" i="4"/>
  <c r="AT216" i="4"/>
  <c r="AP216" i="11" s="1"/>
  <c r="BA216" i="11" s="1"/>
  <c r="AT217" i="4"/>
  <c r="AP217" i="11" s="1"/>
  <c r="BA217" i="11" s="1"/>
  <c r="AT218" i="4"/>
  <c r="AP218" i="11" s="1"/>
  <c r="BA218" i="11" s="1"/>
  <c r="AT219" i="4"/>
  <c r="AT220" i="4"/>
  <c r="AP220" i="11" s="1"/>
  <c r="BA220" i="11" s="1"/>
  <c r="AT221" i="4"/>
  <c r="AP221" i="11" s="1"/>
  <c r="BA221" i="11" s="1"/>
  <c r="AT222" i="4"/>
  <c r="AP222" i="11" s="1"/>
  <c r="BA222" i="11" s="1"/>
  <c r="AT223" i="4"/>
  <c r="AT224" i="4"/>
  <c r="AP224" i="11" s="1"/>
  <c r="BA224" i="11" s="1"/>
  <c r="AT225" i="4"/>
  <c r="AP225" i="11" s="1"/>
  <c r="BA225" i="11" s="1"/>
  <c r="AT226" i="4"/>
  <c r="AP226" i="11" s="1"/>
  <c r="BA226" i="11" s="1"/>
  <c r="AT227" i="4"/>
  <c r="AT228" i="4"/>
  <c r="AP228" i="11" s="1"/>
  <c r="BA228" i="11" s="1"/>
  <c r="AT229" i="4"/>
  <c r="AP229" i="11" s="1"/>
  <c r="BA229" i="11" s="1"/>
  <c r="AT230" i="4"/>
  <c r="AP230" i="11" s="1"/>
  <c r="BA230" i="11" s="1"/>
  <c r="AT231" i="4"/>
  <c r="AT232" i="4"/>
  <c r="AP232" i="11" s="1"/>
  <c r="BA232" i="11" s="1"/>
  <c r="AT233" i="4"/>
  <c r="AP233" i="11" s="1"/>
  <c r="BA233" i="11" s="1"/>
  <c r="AT234" i="4"/>
  <c r="AP234" i="11" s="1"/>
  <c r="BA234" i="11" s="1"/>
  <c r="AT235" i="4"/>
  <c r="AT236" i="4"/>
  <c r="AP236" i="11" s="1"/>
  <c r="BA236" i="11" s="1"/>
  <c r="AT237" i="4"/>
  <c r="AP237" i="11" s="1"/>
  <c r="BA237" i="11" s="1"/>
  <c r="AT238" i="4"/>
  <c r="AP238" i="11" s="1"/>
  <c r="BA238" i="11" s="1"/>
  <c r="AT239" i="4"/>
  <c r="AT240" i="4"/>
  <c r="AP240" i="11" s="1"/>
  <c r="BA240" i="11" s="1"/>
  <c r="AT241" i="4"/>
  <c r="AP241" i="11" s="1"/>
  <c r="BA241" i="11" s="1"/>
  <c r="AT242" i="4"/>
  <c r="AP242" i="11" s="1"/>
  <c r="BA242" i="11" s="1"/>
  <c r="AT243" i="4"/>
  <c r="AT244" i="4"/>
  <c r="AP244" i="11" s="1"/>
  <c r="BA244" i="11" s="1"/>
  <c r="AT245" i="4"/>
  <c r="AP245" i="11" s="1"/>
  <c r="BA245" i="11" s="1"/>
  <c r="AT246" i="4"/>
  <c r="AP246" i="11" s="1"/>
  <c r="BA246" i="11" s="1"/>
  <c r="AT247" i="4"/>
  <c r="AT248" i="4"/>
  <c r="AP248" i="11" s="1"/>
  <c r="BA248" i="11" s="1"/>
  <c r="AT249" i="4"/>
  <c r="AP249" i="11" s="1"/>
  <c r="BA249" i="11" s="1"/>
  <c r="AT250" i="4"/>
  <c r="AP250" i="11" s="1"/>
  <c r="BA250" i="11" s="1"/>
  <c r="AT251" i="4"/>
  <c r="AT252" i="4"/>
  <c r="AP252" i="11" s="1"/>
  <c r="BA252" i="11" s="1"/>
  <c r="AT253" i="4"/>
  <c r="AP253" i="11" s="1"/>
  <c r="BA253" i="11" s="1"/>
  <c r="AT254" i="4"/>
  <c r="AP254" i="11" s="1"/>
  <c r="BA254" i="11" s="1"/>
  <c r="AT255" i="4"/>
  <c r="AT256" i="4"/>
  <c r="AP256" i="11" s="1"/>
  <c r="BA256" i="11" s="1"/>
  <c r="AT257" i="4"/>
  <c r="AP257" i="11" s="1"/>
  <c r="BA257" i="11" s="1"/>
  <c r="AT258" i="4"/>
  <c r="AP258" i="11" s="1"/>
  <c r="BA258" i="11" s="1"/>
  <c r="AT259" i="4"/>
  <c r="AT260" i="4"/>
  <c r="AP260" i="11" s="1"/>
  <c r="BA260" i="11" s="1"/>
  <c r="AT261" i="4"/>
  <c r="AP261" i="11" s="1"/>
  <c r="BA261" i="11" s="1"/>
  <c r="AT262" i="4"/>
  <c r="AP262" i="11" s="1"/>
  <c r="BA262" i="11" s="1"/>
  <c r="AT263" i="4"/>
  <c r="AT264" i="4"/>
  <c r="AP264" i="11" s="1"/>
  <c r="BA264" i="11" s="1"/>
  <c r="AT265" i="4"/>
  <c r="AP265" i="11" s="1"/>
  <c r="BA265" i="11" s="1"/>
  <c r="AT266" i="4"/>
  <c r="AP266" i="11" s="1"/>
  <c r="BA266" i="11" s="1"/>
  <c r="AT267" i="4"/>
  <c r="AT268" i="4"/>
  <c r="AP268" i="11" s="1"/>
  <c r="BA268" i="11" s="1"/>
  <c r="AT269" i="4"/>
  <c r="AP269" i="11" s="1"/>
  <c r="BA269" i="11" s="1"/>
  <c r="AT270" i="4"/>
  <c r="AP270" i="11" s="1"/>
  <c r="BA270" i="11" s="1"/>
  <c r="AT271" i="4"/>
  <c r="AT272" i="4"/>
  <c r="AP272" i="11" s="1"/>
  <c r="BA272" i="11" s="1"/>
  <c r="AT273" i="4"/>
  <c r="AP273" i="11" s="1"/>
  <c r="BA273" i="11" s="1"/>
  <c r="AT274" i="4"/>
  <c r="AP274" i="11" s="1"/>
  <c r="BA274" i="11" s="1"/>
  <c r="AT275" i="4"/>
  <c r="AT276" i="4"/>
  <c r="AP276" i="11" s="1"/>
  <c r="BA276" i="11" s="1"/>
  <c r="AT277" i="4"/>
  <c r="AP277" i="11" s="1"/>
  <c r="BA277" i="11" s="1"/>
  <c r="AT278" i="4"/>
  <c r="AP278" i="11" s="1"/>
  <c r="BA278" i="11" s="1"/>
  <c r="AT279" i="4"/>
  <c r="AT280" i="4"/>
  <c r="AP280" i="11" s="1"/>
  <c r="BA280" i="11" s="1"/>
  <c r="AT281" i="4"/>
  <c r="AP281" i="11" s="1"/>
  <c r="BA281" i="11" s="1"/>
  <c r="AT282" i="4"/>
  <c r="AP282" i="11" s="1"/>
  <c r="BA282" i="11" s="1"/>
  <c r="AT283" i="4"/>
  <c r="AT284" i="4"/>
  <c r="AP284" i="11" s="1"/>
  <c r="BA284" i="11" s="1"/>
  <c r="AT285" i="4"/>
  <c r="AP285" i="11" s="1"/>
  <c r="BA285" i="11" s="1"/>
  <c r="AT286" i="4"/>
  <c r="AP286" i="11" s="1"/>
  <c r="BA286" i="11" s="1"/>
  <c r="AT287" i="4"/>
  <c r="AT288" i="4"/>
  <c r="AP288" i="11" s="1"/>
  <c r="BA288" i="11" s="1"/>
  <c r="AT289" i="4"/>
  <c r="AP289" i="11" s="1"/>
  <c r="BA289" i="11" s="1"/>
  <c r="AT290" i="4"/>
  <c r="AP290" i="11" s="1"/>
  <c r="BA290" i="11" s="1"/>
  <c r="AT291" i="4"/>
  <c r="AT292" i="4"/>
  <c r="AP292" i="11" s="1"/>
  <c r="BA292" i="11" s="1"/>
  <c r="AT293" i="4"/>
  <c r="AP293" i="11" s="1"/>
  <c r="BA293" i="11" s="1"/>
  <c r="AT294" i="4"/>
  <c r="AP294" i="11" s="1"/>
  <c r="BA294" i="11" s="1"/>
  <c r="AT295" i="4"/>
  <c r="AT296" i="4"/>
  <c r="AP296" i="11" s="1"/>
  <c r="BA296" i="11" s="1"/>
  <c r="AT297" i="4"/>
  <c r="AP297" i="11" s="1"/>
  <c r="BA297" i="11" s="1"/>
  <c r="AT298" i="4"/>
  <c r="AP298" i="11" s="1"/>
  <c r="BA298" i="11" s="1"/>
  <c r="AT299" i="4"/>
  <c r="AT300" i="4"/>
  <c r="AP300" i="11" s="1"/>
  <c r="BA300" i="11" s="1"/>
  <c r="AT301" i="4"/>
  <c r="AP301" i="11" s="1"/>
  <c r="BA301" i="11" s="1"/>
  <c r="AT302" i="4"/>
  <c r="AP302" i="11" s="1"/>
  <c r="BA302" i="11" s="1"/>
  <c r="AT303" i="4"/>
  <c r="AT304" i="4"/>
  <c r="AP304" i="11" s="1"/>
  <c r="BA304" i="11" s="1"/>
  <c r="AT305" i="4"/>
  <c r="AP305" i="11" s="1"/>
  <c r="BA305" i="11" s="1"/>
  <c r="AT306" i="4"/>
  <c r="AP306" i="11" s="1"/>
  <c r="BA306" i="11" s="1"/>
  <c r="AT307" i="4"/>
  <c r="AT308" i="4"/>
  <c r="AP308" i="11" s="1"/>
  <c r="BA308" i="11" s="1"/>
  <c r="AT309" i="4"/>
  <c r="AP309" i="11" s="1"/>
  <c r="BA309" i="11" s="1"/>
  <c r="AT310" i="4"/>
  <c r="AP310" i="11" s="1"/>
  <c r="BA310" i="11" s="1"/>
  <c r="AT311" i="4"/>
  <c r="AT312" i="4"/>
  <c r="AP312" i="11" s="1"/>
  <c r="BA312" i="11" s="1"/>
  <c r="AT313" i="4"/>
  <c r="AP313" i="11" s="1"/>
  <c r="BA313" i="11" s="1"/>
  <c r="AT314" i="4"/>
  <c r="AP314" i="11" s="1"/>
  <c r="BA314" i="11" s="1"/>
  <c r="AT315" i="4"/>
  <c r="AT316" i="4"/>
  <c r="AP316" i="11" s="1"/>
  <c r="BA316" i="11" s="1"/>
  <c r="AT317" i="4"/>
  <c r="AP317" i="11" s="1"/>
  <c r="BA317" i="11" s="1"/>
  <c r="AT318" i="4"/>
  <c r="AP318" i="11" s="1"/>
  <c r="BA318" i="11" s="1"/>
  <c r="AT319" i="4"/>
  <c r="AT320" i="4"/>
  <c r="AP320" i="11" s="1"/>
  <c r="BA320" i="11" s="1"/>
  <c r="AT321" i="4"/>
  <c r="AP321" i="11" s="1"/>
  <c r="BA321" i="11" s="1"/>
  <c r="AT322" i="4"/>
  <c r="AP322" i="11" s="1"/>
  <c r="BA322" i="11" s="1"/>
  <c r="AT323" i="4"/>
  <c r="AT324" i="4"/>
  <c r="AP324" i="11" s="1"/>
  <c r="BA324" i="11" s="1"/>
  <c r="AT325" i="4"/>
  <c r="AP325" i="11" s="1"/>
  <c r="BA325" i="11" s="1"/>
  <c r="AT326" i="4"/>
  <c r="AP326" i="11" s="1"/>
  <c r="BA326" i="11" s="1"/>
  <c r="AT327" i="4"/>
  <c r="AT328" i="4"/>
  <c r="AP328" i="11" s="1"/>
  <c r="BA328" i="11" s="1"/>
  <c r="AT329" i="4"/>
  <c r="AP329" i="11" s="1"/>
  <c r="BA329" i="11" s="1"/>
  <c r="AT330" i="4"/>
  <c r="AP330" i="11" s="1"/>
  <c r="BA330" i="11" s="1"/>
  <c r="AT331" i="4"/>
  <c r="AT332" i="4"/>
  <c r="AP332" i="11" s="1"/>
  <c r="BA332" i="11" s="1"/>
  <c r="AT333" i="4"/>
  <c r="AP333" i="11" s="1"/>
  <c r="BA333" i="11" s="1"/>
  <c r="AT334" i="4"/>
  <c r="AP334" i="11" s="1"/>
  <c r="BA334" i="11" s="1"/>
  <c r="AT335" i="4"/>
  <c r="AT336" i="4"/>
  <c r="AP336" i="11" s="1"/>
  <c r="BA336" i="11" s="1"/>
  <c r="AT337" i="4"/>
  <c r="AP337" i="11" s="1"/>
  <c r="BA337" i="11" s="1"/>
  <c r="AT338" i="4"/>
  <c r="AP338" i="11" s="1"/>
  <c r="BA338" i="11" s="1"/>
  <c r="AT339" i="4"/>
  <c r="AT340" i="4"/>
  <c r="AP340" i="11" s="1"/>
  <c r="BA340" i="11" s="1"/>
  <c r="AT341" i="4"/>
  <c r="AP341" i="11" s="1"/>
  <c r="BA341" i="11" s="1"/>
  <c r="AT342" i="4"/>
  <c r="AP342" i="11" s="1"/>
  <c r="BA342" i="11" s="1"/>
  <c r="AT343" i="4"/>
  <c r="AT344" i="4"/>
  <c r="AP344" i="11" s="1"/>
  <c r="BA344" i="11" s="1"/>
  <c r="AT345" i="4"/>
  <c r="AP345" i="11" s="1"/>
  <c r="BA345" i="11" s="1"/>
  <c r="AT346" i="4"/>
  <c r="AP346" i="11" s="1"/>
  <c r="BA346" i="11" s="1"/>
  <c r="AT347" i="4"/>
  <c r="AT348" i="4"/>
  <c r="AP348" i="11" s="1"/>
  <c r="BA348" i="11" s="1"/>
  <c r="AT349" i="4"/>
  <c r="AP349" i="11" s="1"/>
  <c r="BA349" i="11" s="1"/>
  <c r="AT350" i="4"/>
  <c r="AP350" i="11" s="1"/>
  <c r="BA350" i="11" s="1"/>
  <c r="AT351" i="4"/>
  <c r="AT352" i="4"/>
  <c r="AP352" i="11" s="1"/>
  <c r="BA352" i="11" s="1"/>
  <c r="AT353" i="4"/>
  <c r="AP353" i="11" s="1"/>
  <c r="BA353" i="11" s="1"/>
  <c r="AT354" i="4"/>
  <c r="AP354" i="11" s="1"/>
  <c r="BA354" i="11" s="1"/>
  <c r="AT355" i="4"/>
  <c r="AT356" i="4"/>
  <c r="AP356" i="11" s="1"/>
  <c r="BA356" i="11" s="1"/>
  <c r="AT357" i="4"/>
  <c r="AP357" i="11" s="1"/>
  <c r="BA357" i="11" s="1"/>
  <c r="AT358" i="4"/>
  <c r="AP358" i="11" s="1"/>
  <c r="BA358" i="11" s="1"/>
  <c r="AT359" i="4"/>
  <c r="AT360" i="4"/>
  <c r="AP360" i="11" s="1"/>
  <c r="BA360" i="11" s="1"/>
  <c r="AT361" i="4"/>
  <c r="AP361" i="11" s="1"/>
  <c r="BA361" i="11" s="1"/>
  <c r="AT362" i="4"/>
  <c r="AP362" i="11" s="1"/>
  <c r="BA362" i="11" s="1"/>
  <c r="AT363" i="4"/>
  <c r="AT364" i="4"/>
  <c r="AP364" i="11" s="1"/>
  <c r="BA364" i="11" s="1"/>
  <c r="AT365" i="4"/>
  <c r="AP365" i="11" s="1"/>
  <c r="BA365" i="11" s="1"/>
  <c r="AT366" i="4"/>
  <c r="AP366" i="11" s="1"/>
  <c r="BA366" i="11" s="1"/>
  <c r="AT367" i="4"/>
  <c r="AT368" i="4"/>
  <c r="AP368" i="11" s="1"/>
  <c r="BA368" i="11" s="1"/>
  <c r="AT369" i="4"/>
  <c r="AP369" i="11" s="1"/>
  <c r="BA369" i="11" s="1"/>
  <c r="AT370" i="4"/>
  <c r="AP370" i="11" s="1"/>
  <c r="BA370" i="11" s="1"/>
  <c r="AT371" i="4"/>
  <c r="AT372" i="4"/>
  <c r="AP372" i="11" s="1"/>
  <c r="BA372" i="11" s="1"/>
  <c r="AT373" i="4"/>
  <c r="AP373" i="11" s="1"/>
  <c r="BA373" i="11" s="1"/>
  <c r="AT374" i="4"/>
  <c r="AP374" i="11" s="1"/>
  <c r="BA374" i="11" s="1"/>
  <c r="AT375" i="4"/>
  <c r="AT376" i="4"/>
  <c r="AP376" i="11" s="1"/>
  <c r="BA376" i="11" s="1"/>
  <c r="AT377" i="4"/>
  <c r="AP377" i="11" s="1"/>
  <c r="BA377" i="11" s="1"/>
  <c r="AT378" i="4"/>
  <c r="AP378" i="11" s="1"/>
  <c r="BA378" i="11" s="1"/>
  <c r="AT379" i="4"/>
  <c r="AT380" i="4"/>
  <c r="AP380" i="11" s="1"/>
  <c r="BA380" i="11" s="1"/>
  <c r="AT381" i="4"/>
  <c r="AP381" i="11" s="1"/>
  <c r="BA381" i="11" s="1"/>
  <c r="AT382" i="4"/>
  <c r="AP382" i="11" s="1"/>
  <c r="BA382" i="11" s="1"/>
  <c r="AT383" i="4"/>
  <c r="AT384" i="4"/>
  <c r="AP384" i="11" s="1"/>
  <c r="BA384" i="11" s="1"/>
  <c r="AT385" i="4"/>
  <c r="AP385" i="11" s="1"/>
  <c r="BA385" i="11" s="1"/>
  <c r="AT386" i="4"/>
  <c r="AP386" i="11" s="1"/>
  <c r="BA386" i="11" s="1"/>
  <c r="AT387" i="4"/>
  <c r="AT388" i="4"/>
  <c r="AP388" i="11" s="1"/>
  <c r="BA388" i="11" s="1"/>
  <c r="AT389" i="4"/>
  <c r="AP389" i="11" s="1"/>
  <c r="BA389" i="11" s="1"/>
  <c r="AT390" i="4"/>
  <c r="AP390" i="11" s="1"/>
  <c r="BA390" i="11" s="1"/>
  <c r="AT391" i="4"/>
  <c r="AT392" i="4"/>
  <c r="AP392" i="11" s="1"/>
  <c r="BA392" i="11" s="1"/>
  <c r="AT393" i="4"/>
  <c r="AP393" i="11" s="1"/>
  <c r="BA393" i="11" s="1"/>
  <c r="AT394" i="4"/>
  <c r="AP394" i="11" s="1"/>
  <c r="BA394" i="11" s="1"/>
  <c r="AT395" i="4"/>
  <c r="AT396" i="4"/>
  <c r="AP396" i="11" s="1"/>
  <c r="BA396" i="11" s="1"/>
  <c r="AT397" i="4"/>
  <c r="AP397" i="11" s="1"/>
  <c r="BA397" i="11" s="1"/>
  <c r="AT398" i="4"/>
  <c r="AP398" i="11" s="1"/>
  <c r="BA398" i="11" s="1"/>
  <c r="AT399" i="4"/>
  <c r="AT400" i="4"/>
  <c r="AP400" i="11" s="1"/>
  <c r="BA400" i="11" s="1"/>
  <c r="AT401" i="4"/>
  <c r="AP401" i="11" s="1"/>
  <c r="BA401" i="11" s="1"/>
  <c r="AT402" i="4"/>
  <c r="AP402" i="11" s="1"/>
  <c r="BA402" i="11" s="1"/>
  <c r="AT403" i="4"/>
  <c r="AT404" i="4"/>
  <c r="AP404" i="11" s="1"/>
  <c r="BA404" i="11" s="1"/>
  <c r="AT405" i="4"/>
  <c r="AP405" i="11" s="1"/>
  <c r="BA405" i="11" s="1"/>
  <c r="AT406" i="4"/>
  <c r="AP406" i="11" s="1"/>
  <c r="BA406" i="11" s="1"/>
  <c r="AT407" i="4"/>
  <c r="AT408" i="4"/>
  <c r="AP408" i="11" s="1"/>
  <c r="BA408" i="11" s="1"/>
  <c r="AT409" i="4"/>
  <c r="AP409" i="11" s="1"/>
  <c r="BA409" i="11" s="1"/>
  <c r="AT410" i="4"/>
  <c r="AP410" i="11" s="1"/>
  <c r="BA410" i="11" s="1"/>
  <c r="AT411" i="4"/>
  <c r="AT412" i="4"/>
  <c r="AP412" i="11" s="1"/>
  <c r="BA412" i="11" s="1"/>
  <c r="AT413" i="4"/>
  <c r="AP413" i="11" s="1"/>
  <c r="BA413" i="11" s="1"/>
  <c r="AT414" i="4"/>
  <c r="AP414" i="11" s="1"/>
  <c r="BA414" i="11" s="1"/>
  <c r="AR3" i="4"/>
  <c r="AR4" i="4"/>
  <c r="AR5" i="4"/>
  <c r="AR6" i="4"/>
  <c r="AR7" i="4"/>
  <c r="AR8" i="4"/>
  <c r="AR9" i="4"/>
  <c r="AR10" i="4"/>
  <c r="AR11" i="4"/>
  <c r="AR12" i="4"/>
  <c r="AR13" i="4"/>
  <c r="AR14" i="4"/>
  <c r="AR15" i="4"/>
  <c r="AR16" i="4"/>
  <c r="AR17" i="4"/>
  <c r="AR18" i="4"/>
  <c r="AR19" i="4"/>
  <c r="AR20" i="4"/>
  <c r="AR21" i="4"/>
  <c r="AR22" i="4"/>
  <c r="AR23" i="4"/>
  <c r="AR24" i="4"/>
  <c r="AR25" i="4"/>
  <c r="AR26" i="4"/>
  <c r="AR27" i="4"/>
  <c r="AR28" i="4"/>
  <c r="AR29" i="4"/>
  <c r="AR30" i="4"/>
  <c r="AR31" i="4"/>
  <c r="AR32" i="4"/>
  <c r="AR33" i="4"/>
  <c r="AR34" i="4"/>
  <c r="AR35" i="4"/>
  <c r="AR36" i="4"/>
  <c r="AR37" i="4"/>
  <c r="AR38" i="4"/>
  <c r="AR39" i="4"/>
  <c r="AR40" i="4"/>
  <c r="AR41" i="4"/>
  <c r="AR42" i="4"/>
  <c r="AR43" i="4"/>
  <c r="AR44" i="4"/>
  <c r="AR45" i="4"/>
  <c r="AR46" i="4"/>
  <c r="AR47" i="4"/>
  <c r="AR48" i="4"/>
  <c r="AR49" i="4"/>
  <c r="AR50" i="4"/>
  <c r="AR51" i="4"/>
  <c r="AR52" i="4"/>
  <c r="AR53" i="4"/>
  <c r="AR54" i="4"/>
  <c r="AR55" i="4"/>
  <c r="AR56" i="4"/>
  <c r="AR57" i="4"/>
  <c r="AR58" i="4"/>
  <c r="AR59" i="4"/>
  <c r="AR60" i="4"/>
  <c r="AR61" i="4"/>
  <c r="AR62" i="4"/>
  <c r="AR63" i="4"/>
  <c r="AR64" i="4"/>
  <c r="AR65" i="4"/>
  <c r="AR66" i="4"/>
  <c r="AR67" i="4"/>
  <c r="AR68" i="4"/>
  <c r="AR69" i="4"/>
  <c r="AR70" i="4"/>
  <c r="AR71" i="4"/>
  <c r="AR72" i="4"/>
  <c r="AR73" i="4"/>
  <c r="AR74" i="4"/>
  <c r="AR75" i="4"/>
  <c r="AR76" i="4"/>
  <c r="AR77" i="4"/>
  <c r="AR78" i="4"/>
  <c r="AR79" i="4"/>
  <c r="AR80" i="4"/>
  <c r="AR81" i="4"/>
  <c r="AR82" i="4"/>
  <c r="AR83" i="4"/>
  <c r="AR84" i="4"/>
  <c r="AR85" i="4"/>
  <c r="AR86" i="4"/>
  <c r="AR87" i="4"/>
  <c r="AR88" i="4"/>
  <c r="AR89" i="4"/>
  <c r="AR90" i="4"/>
  <c r="AR91" i="4"/>
  <c r="AR92" i="4"/>
  <c r="AR93" i="4"/>
  <c r="AR94" i="4"/>
  <c r="AR95" i="4"/>
  <c r="AR96" i="4"/>
  <c r="AR97" i="4"/>
  <c r="AR98" i="4"/>
  <c r="AR99" i="4"/>
  <c r="AR100" i="4"/>
  <c r="AR101" i="4"/>
  <c r="AR102" i="4"/>
  <c r="AR103" i="4"/>
  <c r="AR104" i="4"/>
  <c r="AR105" i="4"/>
  <c r="AR106" i="4"/>
  <c r="AR107" i="4"/>
  <c r="AR108" i="4"/>
  <c r="AR109" i="4"/>
  <c r="AR110" i="4"/>
  <c r="AR111" i="4"/>
  <c r="AR112" i="4"/>
  <c r="AR113" i="4"/>
  <c r="AR114" i="4"/>
  <c r="AR115" i="4"/>
  <c r="AR116" i="4"/>
  <c r="AR117" i="4"/>
  <c r="AR118" i="4"/>
  <c r="AR119" i="4"/>
  <c r="AR120" i="4"/>
  <c r="AR121" i="4"/>
  <c r="AR122" i="4"/>
  <c r="AR123" i="4"/>
  <c r="AR124" i="4"/>
  <c r="AR125" i="4"/>
  <c r="AR126" i="4"/>
  <c r="AR127" i="4"/>
  <c r="AR128" i="4"/>
  <c r="AR129" i="4"/>
  <c r="AR130" i="4"/>
  <c r="AR131" i="4"/>
  <c r="AR132" i="4"/>
  <c r="AR133" i="4"/>
  <c r="AR134" i="4"/>
  <c r="AR135" i="4"/>
  <c r="AR136" i="4"/>
  <c r="AR137" i="4"/>
  <c r="AR138" i="4"/>
  <c r="AR139" i="4"/>
  <c r="AR140" i="4"/>
  <c r="AR141" i="4"/>
  <c r="AR142" i="4"/>
  <c r="AR143" i="4"/>
  <c r="AR144" i="4"/>
  <c r="AR145" i="4"/>
  <c r="AR146" i="4"/>
  <c r="AR147" i="4"/>
  <c r="AR148" i="4"/>
  <c r="AR149" i="4"/>
  <c r="AR150" i="4"/>
  <c r="AR151" i="4"/>
  <c r="AR152" i="4"/>
  <c r="AR153" i="4"/>
  <c r="AR154" i="4"/>
  <c r="AR155" i="4"/>
  <c r="AR156" i="4"/>
  <c r="AR157" i="4"/>
  <c r="AR158" i="4"/>
  <c r="AR159" i="4"/>
  <c r="AR160" i="4"/>
  <c r="AR161" i="4"/>
  <c r="AR162" i="4"/>
  <c r="AR163" i="4"/>
  <c r="AR164" i="4"/>
  <c r="AR165" i="4"/>
  <c r="AR166" i="4"/>
  <c r="AR167" i="4"/>
  <c r="AR168" i="4"/>
  <c r="AR169" i="4"/>
  <c r="AR170" i="4"/>
  <c r="AR171" i="4"/>
  <c r="AR172" i="4"/>
  <c r="AR173" i="4"/>
  <c r="AR174" i="4"/>
  <c r="AR175" i="4"/>
  <c r="AR176" i="4"/>
  <c r="AR177" i="4"/>
  <c r="AR178" i="4"/>
  <c r="AR179" i="4"/>
  <c r="AR180" i="4"/>
  <c r="AR181" i="4"/>
  <c r="AR182" i="4"/>
  <c r="AR183" i="4"/>
  <c r="AR184" i="4"/>
  <c r="AR185" i="4"/>
  <c r="AR186" i="4"/>
  <c r="AR187" i="4"/>
  <c r="AR188" i="4"/>
  <c r="AR189" i="4"/>
  <c r="AR190" i="4"/>
  <c r="AR191" i="4"/>
  <c r="AR192" i="4"/>
  <c r="AR193" i="4"/>
  <c r="AR194" i="4"/>
  <c r="AR195" i="4"/>
  <c r="AR196" i="4"/>
  <c r="AR197" i="4"/>
  <c r="AR198" i="4"/>
  <c r="AR199" i="4"/>
  <c r="AR200" i="4"/>
  <c r="AR201" i="4"/>
  <c r="AR202" i="4"/>
  <c r="AR203" i="4"/>
  <c r="AR204" i="4"/>
  <c r="AR205" i="4"/>
  <c r="AR206" i="4"/>
  <c r="AR207" i="4"/>
  <c r="AR208" i="4"/>
  <c r="AR209" i="4"/>
  <c r="AR210" i="4"/>
  <c r="AR211" i="4"/>
  <c r="AR212" i="4"/>
  <c r="AR213" i="4"/>
  <c r="AR214" i="4"/>
  <c r="AR215" i="4"/>
  <c r="AR216" i="4"/>
  <c r="AR217" i="4"/>
  <c r="AR218" i="4"/>
  <c r="AR219" i="4"/>
  <c r="AR220" i="4"/>
  <c r="AR221" i="4"/>
  <c r="AR222" i="4"/>
  <c r="AR223" i="4"/>
  <c r="AR224" i="4"/>
  <c r="AR225" i="4"/>
  <c r="AR226" i="4"/>
  <c r="AR227" i="4"/>
  <c r="AR228" i="4"/>
  <c r="AR229" i="4"/>
  <c r="AR230" i="4"/>
  <c r="AR231" i="4"/>
  <c r="AR232" i="4"/>
  <c r="AR233" i="4"/>
  <c r="AR234" i="4"/>
  <c r="AR235" i="4"/>
  <c r="AR236" i="4"/>
  <c r="AR237" i="4"/>
  <c r="AR238" i="4"/>
  <c r="AR239" i="4"/>
  <c r="AR240" i="4"/>
  <c r="AR241" i="4"/>
  <c r="AR242" i="4"/>
  <c r="AR243" i="4"/>
  <c r="AR244" i="4"/>
  <c r="AR245" i="4"/>
  <c r="AR246" i="4"/>
  <c r="AR247" i="4"/>
  <c r="AR248" i="4"/>
  <c r="AR249" i="4"/>
  <c r="AR250" i="4"/>
  <c r="AR251" i="4"/>
  <c r="AR252" i="4"/>
  <c r="AR253" i="4"/>
  <c r="AR254" i="4"/>
  <c r="AR255" i="4"/>
  <c r="AR256" i="4"/>
  <c r="AR257" i="4"/>
  <c r="AR258" i="4"/>
  <c r="AR259" i="4"/>
  <c r="AR260" i="4"/>
  <c r="AR261" i="4"/>
  <c r="AR262" i="4"/>
  <c r="AR263" i="4"/>
  <c r="AR264" i="4"/>
  <c r="AR265" i="4"/>
  <c r="AR266" i="4"/>
  <c r="AR267" i="4"/>
  <c r="AR268" i="4"/>
  <c r="AR269" i="4"/>
  <c r="AR270" i="4"/>
  <c r="AR271" i="4"/>
  <c r="AR272" i="4"/>
  <c r="AR273" i="4"/>
  <c r="AR274" i="4"/>
  <c r="AR275" i="4"/>
  <c r="AR276" i="4"/>
  <c r="AR277" i="4"/>
  <c r="AR278" i="4"/>
  <c r="AR279" i="4"/>
  <c r="AR280" i="4"/>
  <c r="AR281" i="4"/>
  <c r="AR282" i="4"/>
  <c r="AR283" i="4"/>
  <c r="AR284" i="4"/>
  <c r="AR285" i="4"/>
  <c r="AR286" i="4"/>
  <c r="AR287" i="4"/>
  <c r="AR288" i="4"/>
  <c r="AR289" i="4"/>
  <c r="AR290" i="4"/>
  <c r="AR291" i="4"/>
  <c r="AR292" i="4"/>
  <c r="AR293" i="4"/>
  <c r="AR294" i="4"/>
  <c r="AR295" i="4"/>
  <c r="AR296" i="4"/>
  <c r="AR297" i="4"/>
  <c r="AR298" i="4"/>
  <c r="AR299" i="4"/>
  <c r="AR300" i="4"/>
  <c r="AR301" i="4"/>
  <c r="AR302" i="4"/>
  <c r="AR303" i="4"/>
  <c r="AR304" i="4"/>
  <c r="AR305" i="4"/>
  <c r="AR306" i="4"/>
  <c r="AR307" i="4"/>
  <c r="AR308" i="4"/>
  <c r="AR309" i="4"/>
  <c r="AR310" i="4"/>
  <c r="AR311" i="4"/>
  <c r="AR312" i="4"/>
  <c r="AR313" i="4"/>
  <c r="AR314" i="4"/>
  <c r="AR315" i="4"/>
  <c r="AR316" i="4"/>
  <c r="AR317" i="4"/>
  <c r="AR318" i="4"/>
  <c r="AR319" i="4"/>
  <c r="AR320" i="4"/>
  <c r="AR321" i="4"/>
  <c r="AR322" i="4"/>
  <c r="AR323" i="4"/>
  <c r="AR324" i="4"/>
  <c r="AR325" i="4"/>
  <c r="AR326" i="4"/>
  <c r="AR327" i="4"/>
  <c r="AR328" i="4"/>
  <c r="AR329" i="4"/>
  <c r="AR330" i="4"/>
  <c r="AR331" i="4"/>
  <c r="AR332" i="4"/>
  <c r="AR333" i="4"/>
  <c r="AR334" i="4"/>
  <c r="AR335" i="4"/>
  <c r="AR336" i="4"/>
  <c r="AR337" i="4"/>
  <c r="AR338" i="4"/>
  <c r="AR339" i="4"/>
  <c r="AR340" i="4"/>
  <c r="AR341" i="4"/>
  <c r="AR342" i="4"/>
  <c r="AR343" i="4"/>
  <c r="AR344" i="4"/>
  <c r="AR345" i="4"/>
  <c r="AR346" i="4"/>
  <c r="AR347" i="4"/>
  <c r="AR348" i="4"/>
  <c r="AR349" i="4"/>
  <c r="AR350" i="4"/>
  <c r="AR351" i="4"/>
  <c r="AR352" i="4"/>
  <c r="AR353" i="4"/>
  <c r="AR354" i="4"/>
  <c r="AR355" i="4"/>
  <c r="AR356" i="4"/>
  <c r="AR357" i="4"/>
  <c r="AR358" i="4"/>
  <c r="AR359" i="4"/>
  <c r="AR360" i="4"/>
  <c r="AR361" i="4"/>
  <c r="AR362" i="4"/>
  <c r="AR363" i="4"/>
  <c r="AR364" i="4"/>
  <c r="AR365" i="4"/>
  <c r="AR366" i="4"/>
  <c r="AR367" i="4"/>
  <c r="AR368" i="4"/>
  <c r="AR369" i="4"/>
  <c r="AR370" i="4"/>
  <c r="AR371" i="4"/>
  <c r="AR372" i="4"/>
  <c r="AR373" i="4"/>
  <c r="AR374" i="4"/>
  <c r="AR375" i="4"/>
  <c r="AR376" i="4"/>
  <c r="AR377" i="4"/>
  <c r="AR378" i="4"/>
  <c r="AR379" i="4"/>
  <c r="AR380" i="4"/>
  <c r="AR381" i="4"/>
  <c r="AR382" i="4"/>
  <c r="AR383" i="4"/>
  <c r="AR384" i="4"/>
  <c r="AR385" i="4"/>
  <c r="AR386" i="4"/>
  <c r="AR387" i="4"/>
  <c r="AR388" i="4"/>
  <c r="AR389" i="4"/>
  <c r="AR390" i="4"/>
  <c r="AR391" i="4"/>
  <c r="AR392" i="4"/>
  <c r="AR393" i="4"/>
  <c r="AR394" i="4"/>
  <c r="AR395" i="4"/>
  <c r="AR396" i="4"/>
  <c r="AR397" i="4"/>
  <c r="AR398" i="4"/>
  <c r="AR399" i="4"/>
  <c r="AR400" i="4"/>
  <c r="AR401" i="4"/>
  <c r="AR402" i="4"/>
  <c r="AR403" i="4"/>
  <c r="AR404" i="4"/>
  <c r="AR405" i="4"/>
  <c r="AR406" i="4"/>
  <c r="AR407" i="4"/>
  <c r="AR408" i="4"/>
  <c r="AR409" i="4"/>
  <c r="AR410" i="4"/>
  <c r="AR411" i="4"/>
  <c r="AR412" i="4"/>
  <c r="AR413" i="4"/>
  <c r="AR414" i="4"/>
  <c r="AQ414" i="4"/>
  <c r="AR414" i="11" s="1"/>
  <c r="AT414" i="11" s="1"/>
  <c r="E415" i="20" s="1"/>
  <c r="AQ3" i="4"/>
  <c r="AR3" i="11" s="1"/>
  <c r="AQ4" i="4"/>
  <c r="AR4" i="11" s="1"/>
  <c r="AQ5" i="4"/>
  <c r="AR5" i="11" s="1"/>
  <c r="AQ6" i="4"/>
  <c r="AR6" i="11" s="1"/>
  <c r="AQ7" i="4"/>
  <c r="AR7" i="11" s="1"/>
  <c r="AQ8" i="4"/>
  <c r="AR8" i="11" s="1"/>
  <c r="AQ9" i="4"/>
  <c r="AR9" i="11" s="1"/>
  <c r="AQ10" i="4"/>
  <c r="AR10" i="11" s="1"/>
  <c r="AQ11" i="4"/>
  <c r="AR11" i="11" s="1"/>
  <c r="AQ12" i="4"/>
  <c r="AR12" i="11" s="1"/>
  <c r="AQ13" i="4"/>
  <c r="AR13" i="11" s="1"/>
  <c r="AQ14" i="4"/>
  <c r="AR14" i="11" s="1"/>
  <c r="AQ15" i="4"/>
  <c r="AR15" i="11" s="1"/>
  <c r="AQ16" i="4"/>
  <c r="AR16" i="11" s="1"/>
  <c r="AQ17" i="4"/>
  <c r="AR17" i="11" s="1"/>
  <c r="AQ18" i="4"/>
  <c r="AR18" i="11" s="1"/>
  <c r="AQ19" i="4"/>
  <c r="AR19" i="11" s="1"/>
  <c r="AQ20" i="4"/>
  <c r="AR20" i="11" s="1"/>
  <c r="AQ21" i="4"/>
  <c r="AR21" i="11" s="1"/>
  <c r="AQ22" i="4"/>
  <c r="AR22" i="11" s="1"/>
  <c r="AQ23" i="4"/>
  <c r="AR23" i="11" s="1"/>
  <c r="AT23" i="11" s="1"/>
  <c r="E24" i="20" s="1"/>
  <c r="AQ24" i="4"/>
  <c r="AR24" i="11" s="1"/>
  <c r="AQ25" i="4"/>
  <c r="AR25" i="11" s="1"/>
  <c r="AQ26" i="4"/>
  <c r="AR26" i="11" s="1"/>
  <c r="AQ27" i="4"/>
  <c r="AR27" i="11" s="1"/>
  <c r="AQ28" i="4"/>
  <c r="AR28" i="11" s="1"/>
  <c r="AQ29" i="4"/>
  <c r="AR29" i="11" s="1"/>
  <c r="AQ30" i="4"/>
  <c r="AR30" i="11" s="1"/>
  <c r="AQ31" i="4"/>
  <c r="AR31" i="11" s="1"/>
  <c r="AQ32" i="4"/>
  <c r="AR32" i="11" s="1"/>
  <c r="AQ33" i="4"/>
  <c r="AR33" i="11" s="1"/>
  <c r="AQ34" i="4"/>
  <c r="AR34" i="11" s="1"/>
  <c r="AT34" i="11" s="1"/>
  <c r="E35" i="20" s="1"/>
  <c r="AQ35" i="4"/>
  <c r="AR35" i="11" s="1"/>
  <c r="AQ36" i="4"/>
  <c r="AR36" i="11" s="1"/>
  <c r="AT36" i="11" s="1"/>
  <c r="E37" i="20" s="1"/>
  <c r="AQ37" i="4"/>
  <c r="AR37" i="11" s="1"/>
  <c r="AQ38" i="4"/>
  <c r="AR38" i="11" s="1"/>
  <c r="AQ39" i="4"/>
  <c r="AR39" i="11" s="1"/>
  <c r="AQ40" i="4"/>
  <c r="AR40" i="11" s="1"/>
  <c r="AT40" i="11" s="1"/>
  <c r="E41" i="20" s="1"/>
  <c r="AQ41" i="4"/>
  <c r="AR41" i="11" s="1"/>
  <c r="AQ42" i="4"/>
  <c r="AR42" i="11" s="1"/>
  <c r="AQ43" i="4"/>
  <c r="AR43" i="11" s="1"/>
  <c r="AT43" i="11" s="1"/>
  <c r="E44" i="20" s="1"/>
  <c r="AQ44" i="4"/>
  <c r="AR44" i="11" s="1"/>
  <c r="AQ45" i="4"/>
  <c r="AR45" i="11" s="1"/>
  <c r="AQ46" i="4"/>
  <c r="AR46" i="11" s="1"/>
  <c r="AQ47" i="4"/>
  <c r="AR47" i="11" s="1"/>
  <c r="AQ48" i="4"/>
  <c r="AR48" i="11" s="1"/>
  <c r="AT48" i="11" s="1"/>
  <c r="E49" i="20" s="1"/>
  <c r="AQ49" i="4"/>
  <c r="AR49" i="11" s="1"/>
  <c r="AQ50" i="4"/>
  <c r="AR50" i="11" s="1"/>
  <c r="AQ51" i="4"/>
  <c r="AR51" i="11" s="1"/>
  <c r="AQ52" i="4"/>
  <c r="AR52" i="11" s="1"/>
  <c r="AQ53" i="4"/>
  <c r="AR53" i="11" s="1"/>
  <c r="AQ54" i="4"/>
  <c r="AR54" i="11" s="1"/>
  <c r="AQ55" i="4"/>
  <c r="AR55" i="11" s="1"/>
  <c r="AQ56" i="4"/>
  <c r="AR56" i="11" s="1"/>
  <c r="AQ57" i="4"/>
  <c r="AR57" i="11" s="1"/>
  <c r="AQ58" i="4"/>
  <c r="AR58" i="11" s="1"/>
  <c r="AT58" i="11" s="1"/>
  <c r="E59" i="20" s="1"/>
  <c r="AQ59" i="4"/>
  <c r="AR59" i="11" s="1"/>
  <c r="AQ60" i="4"/>
  <c r="AR60" i="11" s="1"/>
  <c r="AQ61" i="4"/>
  <c r="AR61" i="11" s="1"/>
  <c r="AT61" i="11" s="1"/>
  <c r="E62" i="20" s="1"/>
  <c r="AQ62" i="4"/>
  <c r="AR62" i="11" s="1"/>
  <c r="AT62" i="11" s="1"/>
  <c r="E63" i="20" s="1"/>
  <c r="AQ63" i="4"/>
  <c r="AR63" i="11" s="1"/>
  <c r="AQ64" i="4"/>
  <c r="AR64" i="11" s="1"/>
  <c r="AQ65" i="4"/>
  <c r="AR65" i="11" s="1"/>
  <c r="AQ66" i="4"/>
  <c r="AR66" i="11" s="1"/>
  <c r="AQ67" i="4"/>
  <c r="AR67" i="11" s="1"/>
  <c r="AQ68" i="4"/>
  <c r="AR68" i="11" s="1"/>
  <c r="AT68" i="11" s="1"/>
  <c r="E69" i="20" s="1"/>
  <c r="AQ69" i="4"/>
  <c r="AR69" i="11" s="1"/>
  <c r="AQ70" i="4"/>
  <c r="AR70" i="11" s="1"/>
  <c r="AQ71" i="4"/>
  <c r="AR71" i="11" s="1"/>
  <c r="AQ72" i="4"/>
  <c r="AR72" i="11" s="1"/>
  <c r="AQ73" i="4"/>
  <c r="AR73" i="11" s="1"/>
  <c r="AT73" i="11" s="1"/>
  <c r="E74" i="20" s="1"/>
  <c r="AQ74" i="4"/>
  <c r="AR74" i="11" s="1"/>
  <c r="AT74" i="11" s="1"/>
  <c r="E75" i="20" s="1"/>
  <c r="AQ75" i="4"/>
  <c r="AR75" i="11" s="1"/>
  <c r="AQ76" i="4"/>
  <c r="AR76" i="11" s="1"/>
  <c r="AQ77" i="4"/>
  <c r="AR77" i="11" s="1"/>
  <c r="AT77" i="11" s="1"/>
  <c r="E78" i="20" s="1"/>
  <c r="AQ78" i="4"/>
  <c r="AR78" i="11" s="1"/>
  <c r="AQ79" i="4"/>
  <c r="AR79" i="11" s="1"/>
  <c r="AQ80" i="4"/>
  <c r="AR80" i="11" s="1"/>
  <c r="AQ81" i="4"/>
  <c r="AR81" i="11" s="1"/>
  <c r="AQ82" i="4"/>
  <c r="AR82" i="11" s="1"/>
  <c r="AQ83" i="4"/>
  <c r="AR83" i="11" s="1"/>
  <c r="AQ84" i="4"/>
  <c r="AR84" i="11" s="1"/>
  <c r="AT84" i="11" s="1"/>
  <c r="E85" i="20" s="1"/>
  <c r="AQ85" i="4"/>
  <c r="AR85" i="11" s="1"/>
  <c r="AQ86" i="4"/>
  <c r="AR86" i="11" s="1"/>
  <c r="AQ87" i="4"/>
  <c r="AR87" i="11" s="1"/>
  <c r="AQ88" i="4"/>
  <c r="AR88" i="11" s="1"/>
  <c r="AQ89" i="4"/>
  <c r="AR89" i="11" s="1"/>
  <c r="AQ90" i="4"/>
  <c r="AR90" i="11" s="1"/>
  <c r="AQ91" i="4"/>
  <c r="AR91" i="11" s="1"/>
  <c r="AQ92" i="4"/>
  <c r="AR92" i="11" s="1"/>
  <c r="AQ93" i="4"/>
  <c r="AR93" i="11" s="1"/>
  <c r="AQ94" i="4"/>
  <c r="AR94" i="11" s="1"/>
  <c r="AQ95" i="4"/>
  <c r="AR95" i="11" s="1"/>
  <c r="AT95" i="11" s="1"/>
  <c r="E96" i="20" s="1"/>
  <c r="AQ96" i="4"/>
  <c r="AR96" i="11" s="1"/>
  <c r="AT96" i="11" s="1"/>
  <c r="E97" i="20" s="1"/>
  <c r="AQ97" i="4"/>
  <c r="AR97" i="11" s="1"/>
  <c r="AQ98" i="4"/>
  <c r="AR98" i="11" s="1"/>
  <c r="AT98" i="11" s="1"/>
  <c r="E99" i="20" s="1"/>
  <c r="AQ99" i="4"/>
  <c r="AR99" i="11" s="1"/>
  <c r="AT99" i="11" s="1"/>
  <c r="E100" i="20" s="1"/>
  <c r="AQ100" i="4"/>
  <c r="AR100" i="11" s="1"/>
  <c r="AQ101" i="4"/>
  <c r="AR101" i="11" s="1"/>
  <c r="AQ102" i="4"/>
  <c r="AR102" i="11" s="1"/>
  <c r="AQ103" i="4"/>
  <c r="AR103" i="11" s="1"/>
  <c r="AQ104" i="4"/>
  <c r="AR104" i="11" s="1"/>
  <c r="AQ105" i="4"/>
  <c r="AR105" i="11" s="1"/>
  <c r="AQ106" i="4"/>
  <c r="AR106" i="11" s="1"/>
  <c r="AQ107" i="4"/>
  <c r="AR107" i="11" s="1"/>
  <c r="AQ108" i="4"/>
  <c r="AR108" i="11" s="1"/>
  <c r="AQ109" i="4"/>
  <c r="AR109" i="11" s="1"/>
  <c r="AQ110" i="4"/>
  <c r="AR110" i="11" s="1"/>
  <c r="AT110" i="11" s="1"/>
  <c r="E111" i="20" s="1"/>
  <c r="AQ111" i="4"/>
  <c r="AR111" i="11" s="1"/>
  <c r="AQ112" i="4"/>
  <c r="AR112" i="11" s="1"/>
  <c r="AQ113" i="4"/>
  <c r="AR113" i="11" s="1"/>
  <c r="AQ114" i="4"/>
  <c r="AR114" i="11" s="1"/>
  <c r="AT114" i="11" s="1"/>
  <c r="E115" i="20" s="1"/>
  <c r="AQ115" i="4"/>
  <c r="AR115" i="11" s="1"/>
  <c r="AQ116" i="4"/>
  <c r="AR116" i="11" s="1"/>
  <c r="AQ117" i="4"/>
  <c r="AR117" i="11" s="1"/>
  <c r="AT117" i="11" s="1"/>
  <c r="E118" i="20" s="1"/>
  <c r="AQ118" i="4"/>
  <c r="AR118" i="11" s="1"/>
  <c r="AQ119" i="4"/>
  <c r="AR119" i="11" s="1"/>
  <c r="AQ120" i="4"/>
  <c r="AR120" i="11" s="1"/>
  <c r="AT120" i="11" s="1"/>
  <c r="E121" i="20" s="1"/>
  <c r="AQ121" i="4"/>
  <c r="AR121" i="11" s="1"/>
  <c r="AT121" i="11" s="1"/>
  <c r="E122" i="20" s="1"/>
  <c r="AQ122" i="4"/>
  <c r="AR122" i="11" s="1"/>
  <c r="AQ123" i="4"/>
  <c r="AR123" i="11" s="1"/>
  <c r="AQ124" i="4"/>
  <c r="AR124" i="11" s="1"/>
  <c r="AQ125" i="4"/>
  <c r="AR125" i="11" s="1"/>
  <c r="AQ126" i="4"/>
  <c r="AR126" i="11" s="1"/>
  <c r="AQ127" i="4"/>
  <c r="AR127" i="11" s="1"/>
  <c r="AQ128" i="4"/>
  <c r="AR128" i="11" s="1"/>
  <c r="AT128" i="11" s="1"/>
  <c r="E129" i="20" s="1"/>
  <c r="AQ129" i="4"/>
  <c r="AR129" i="11" s="1"/>
  <c r="AQ130" i="4"/>
  <c r="AR130" i="11" s="1"/>
  <c r="AQ131" i="4"/>
  <c r="AR131" i="11" s="1"/>
  <c r="AT131" i="11" s="1"/>
  <c r="E132" i="20" s="1"/>
  <c r="AQ132" i="4"/>
  <c r="AR132" i="11" s="1"/>
  <c r="AQ133" i="4"/>
  <c r="AR133" i="11" s="1"/>
  <c r="AT133" i="11" s="1"/>
  <c r="E134" i="20" s="1"/>
  <c r="AQ134" i="4"/>
  <c r="AR134" i="11" s="1"/>
  <c r="AQ135" i="4"/>
  <c r="AR135" i="11" s="1"/>
  <c r="AQ136" i="4"/>
  <c r="AR136" i="11" s="1"/>
  <c r="AQ137" i="4"/>
  <c r="AR137" i="11" s="1"/>
  <c r="AT137" i="11" s="1"/>
  <c r="E138" i="20" s="1"/>
  <c r="AQ138" i="4"/>
  <c r="AR138" i="11" s="1"/>
  <c r="AQ139" i="4"/>
  <c r="AR139" i="11" s="1"/>
  <c r="AT139" i="11" s="1"/>
  <c r="E140" i="20" s="1"/>
  <c r="AQ140" i="4"/>
  <c r="AR140" i="11" s="1"/>
  <c r="AQ141" i="4"/>
  <c r="AR141" i="11" s="1"/>
  <c r="AT141" i="11" s="1"/>
  <c r="E142" i="20" s="1"/>
  <c r="AQ142" i="4"/>
  <c r="AR142" i="11" s="1"/>
  <c r="AQ143" i="4"/>
  <c r="AR143" i="11" s="1"/>
  <c r="AQ144" i="4"/>
  <c r="AR144" i="11" s="1"/>
  <c r="AQ145" i="4"/>
  <c r="AR145" i="11" s="1"/>
  <c r="AQ146" i="4"/>
  <c r="AR146" i="11" s="1"/>
  <c r="AT146" i="11" s="1"/>
  <c r="E147" i="20" s="1"/>
  <c r="AQ147" i="4"/>
  <c r="AR147" i="11" s="1"/>
  <c r="AQ148" i="4"/>
  <c r="AR148" i="11" s="1"/>
  <c r="AT148" i="11" s="1"/>
  <c r="E149" i="20" s="1"/>
  <c r="AQ149" i="4"/>
  <c r="AR149" i="11" s="1"/>
  <c r="AQ150" i="4"/>
  <c r="AR150" i="11" s="1"/>
  <c r="AQ151" i="4"/>
  <c r="AR151" i="11" s="1"/>
  <c r="AQ152" i="4"/>
  <c r="AR152" i="11" s="1"/>
  <c r="AQ153" i="4"/>
  <c r="AR153" i="11" s="1"/>
  <c r="AQ154" i="4"/>
  <c r="AR154" i="11" s="1"/>
  <c r="AQ155" i="4"/>
  <c r="AR155" i="11" s="1"/>
  <c r="AQ156" i="4"/>
  <c r="AR156" i="11" s="1"/>
  <c r="AQ157" i="4"/>
  <c r="AR157" i="11" s="1"/>
  <c r="AQ158" i="4"/>
  <c r="AR158" i="11" s="1"/>
  <c r="AQ159" i="4"/>
  <c r="AR159" i="11" s="1"/>
  <c r="AQ160" i="4"/>
  <c r="AR160" i="11" s="1"/>
  <c r="AQ161" i="4"/>
  <c r="AR161" i="11" s="1"/>
  <c r="AQ162" i="4"/>
  <c r="AR162" i="11" s="1"/>
  <c r="AQ163" i="4"/>
  <c r="AR163" i="11" s="1"/>
  <c r="AQ164" i="4"/>
  <c r="AR164" i="11" s="1"/>
  <c r="AQ165" i="4"/>
  <c r="AR165" i="11" s="1"/>
  <c r="AT165" i="11" s="1"/>
  <c r="E166" i="20" s="1"/>
  <c r="AQ166" i="4"/>
  <c r="AR166" i="11" s="1"/>
  <c r="AT166" i="11" s="1"/>
  <c r="E167" i="20" s="1"/>
  <c r="AQ167" i="4"/>
  <c r="AR167" i="11" s="1"/>
  <c r="AQ168" i="4"/>
  <c r="AR168" i="11" s="1"/>
  <c r="AQ169" i="4"/>
  <c r="AR169" i="11" s="1"/>
  <c r="AQ170" i="4"/>
  <c r="AR170" i="11" s="1"/>
  <c r="AQ171" i="4"/>
  <c r="AR171" i="11" s="1"/>
  <c r="AQ172" i="4"/>
  <c r="AR172" i="11" s="1"/>
  <c r="AQ173" i="4"/>
  <c r="AR173" i="11" s="1"/>
  <c r="AT173" i="11" s="1"/>
  <c r="E174" i="20" s="1"/>
  <c r="AQ174" i="4"/>
  <c r="AR174" i="11" s="1"/>
  <c r="AQ175" i="4"/>
  <c r="AR175" i="11" s="1"/>
  <c r="AQ176" i="4"/>
  <c r="AR176" i="11" s="1"/>
  <c r="AQ177" i="4"/>
  <c r="AR177" i="11" s="1"/>
  <c r="AQ178" i="4"/>
  <c r="AR178" i="11" s="1"/>
  <c r="AQ179" i="4"/>
  <c r="AR179" i="11" s="1"/>
  <c r="AQ180" i="4"/>
  <c r="AR180" i="11" s="1"/>
  <c r="AQ181" i="4"/>
  <c r="AR181" i="11" s="1"/>
  <c r="AT181" i="11" s="1"/>
  <c r="E182" i="20" s="1"/>
  <c r="AQ182" i="4"/>
  <c r="AR182" i="11" s="1"/>
  <c r="AQ183" i="4"/>
  <c r="AR183" i="11" s="1"/>
  <c r="AT183" i="11" s="1"/>
  <c r="E184" i="20" s="1"/>
  <c r="AQ184" i="4"/>
  <c r="AR184" i="11" s="1"/>
  <c r="AQ185" i="4"/>
  <c r="AR185" i="11" s="1"/>
  <c r="AQ186" i="4"/>
  <c r="AR186" i="11" s="1"/>
  <c r="AQ187" i="4"/>
  <c r="AR187" i="11" s="1"/>
  <c r="AQ188" i="4"/>
  <c r="AR188" i="11" s="1"/>
  <c r="AT188" i="11" s="1"/>
  <c r="E189" i="20" s="1"/>
  <c r="AQ189" i="4"/>
  <c r="AR189" i="11" s="1"/>
  <c r="AT189" i="11" s="1"/>
  <c r="E190" i="20" s="1"/>
  <c r="AQ190" i="4"/>
  <c r="AR190" i="11" s="1"/>
  <c r="AT190" i="11" s="1"/>
  <c r="E191" i="20" s="1"/>
  <c r="AQ191" i="4"/>
  <c r="AR191" i="11" s="1"/>
  <c r="AT191" i="11" s="1"/>
  <c r="E192" i="20" s="1"/>
  <c r="AQ192" i="4"/>
  <c r="AR192" i="11" s="1"/>
  <c r="AT192" i="11" s="1"/>
  <c r="E193" i="20" s="1"/>
  <c r="AQ193" i="4"/>
  <c r="AR193" i="11" s="1"/>
  <c r="AQ194" i="4"/>
  <c r="AR194" i="11" s="1"/>
  <c r="AQ195" i="4"/>
  <c r="AR195" i="11" s="1"/>
  <c r="AQ196" i="4"/>
  <c r="AR196" i="11" s="1"/>
  <c r="AQ197" i="4"/>
  <c r="AR197" i="11" s="1"/>
  <c r="AQ198" i="4"/>
  <c r="AR198" i="11" s="1"/>
  <c r="AQ199" i="4"/>
  <c r="AR199" i="11" s="1"/>
  <c r="AQ200" i="4"/>
  <c r="AR200" i="11" s="1"/>
  <c r="AQ201" i="4"/>
  <c r="AR201" i="11" s="1"/>
  <c r="AQ202" i="4"/>
  <c r="AR202" i="11" s="1"/>
  <c r="AQ203" i="4"/>
  <c r="AR203" i="11" s="1"/>
  <c r="AQ204" i="4"/>
  <c r="AR204" i="11" s="1"/>
  <c r="AQ205" i="4"/>
  <c r="AR205" i="11" s="1"/>
  <c r="AQ206" i="4"/>
  <c r="AR206" i="11" s="1"/>
  <c r="AQ207" i="4"/>
  <c r="AR207" i="11" s="1"/>
  <c r="AQ208" i="4"/>
  <c r="AR208" i="11" s="1"/>
  <c r="AQ209" i="4"/>
  <c r="AR209" i="11" s="1"/>
  <c r="AT209" i="11" s="1"/>
  <c r="E210" i="20" s="1"/>
  <c r="AQ210" i="4"/>
  <c r="AR210" i="11" s="1"/>
  <c r="AQ211" i="4"/>
  <c r="AR211" i="11" s="1"/>
  <c r="AQ212" i="4"/>
  <c r="AR212" i="11" s="1"/>
  <c r="AQ213" i="4"/>
  <c r="AR213" i="11" s="1"/>
  <c r="AT213" i="11" s="1"/>
  <c r="E214" i="20" s="1"/>
  <c r="AQ214" i="4"/>
  <c r="AR214" i="11" s="1"/>
  <c r="AQ215" i="4"/>
  <c r="AR215" i="11" s="1"/>
  <c r="AQ216" i="4"/>
  <c r="AR216" i="11" s="1"/>
  <c r="AT216" i="11" s="1"/>
  <c r="E217" i="20" s="1"/>
  <c r="AQ217" i="4"/>
  <c r="AR217" i="11" s="1"/>
  <c r="AQ218" i="4"/>
  <c r="AR218" i="11" s="1"/>
  <c r="AQ219" i="4"/>
  <c r="AR219" i="11" s="1"/>
  <c r="AT219" i="11" s="1"/>
  <c r="E220" i="20" s="1"/>
  <c r="AQ220" i="4"/>
  <c r="AR220" i="11" s="1"/>
  <c r="AQ221" i="4"/>
  <c r="AR221" i="11" s="1"/>
  <c r="AQ222" i="4"/>
  <c r="AR222" i="11" s="1"/>
  <c r="AQ223" i="4"/>
  <c r="AR223" i="11" s="1"/>
  <c r="AT223" i="11" s="1"/>
  <c r="E224" i="20" s="1"/>
  <c r="AQ224" i="4"/>
  <c r="AR224" i="11" s="1"/>
  <c r="AQ225" i="4"/>
  <c r="AR225" i="11" s="1"/>
  <c r="AQ226" i="4"/>
  <c r="AR226" i="11" s="1"/>
  <c r="AQ227" i="4"/>
  <c r="AR227" i="11" s="1"/>
  <c r="AQ228" i="4"/>
  <c r="AR228" i="11" s="1"/>
  <c r="AQ229" i="4"/>
  <c r="AR229" i="11" s="1"/>
  <c r="AQ230" i="4"/>
  <c r="AR230" i="11" s="1"/>
  <c r="AQ231" i="4"/>
  <c r="AR231" i="11" s="1"/>
  <c r="AQ232" i="4"/>
  <c r="AR232" i="11" s="1"/>
  <c r="AQ233" i="4"/>
  <c r="AR233" i="11" s="1"/>
  <c r="AQ234" i="4"/>
  <c r="AR234" i="11" s="1"/>
  <c r="AQ235" i="4"/>
  <c r="AR235" i="11" s="1"/>
  <c r="AQ236" i="4"/>
  <c r="AR236" i="11" s="1"/>
  <c r="AQ237" i="4"/>
  <c r="AR237" i="11" s="1"/>
  <c r="AT237" i="11" s="1"/>
  <c r="E238" i="20" s="1"/>
  <c r="AQ238" i="4"/>
  <c r="AR238" i="11" s="1"/>
  <c r="AT238" i="11" s="1"/>
  <c r="E239" i="20" s="1"/>
  <c r="AQ239" i="4"/>
  <c r="AR239" i="11" s="1"/>
  <c r="AT239" i="11" s="1"/>
  <c r="E240" i="20" s="1"/>
  <c r="AQ240" i="4"/>
  <c r="AR240" i="11" s="1"/>
  <c r="AQ241" i="4"/>
  <c r="AR241" i="11" s="1"/>
  <c r="AT241" i="11" s="1"/>
  <c r="E242" i="20" s="1"/>
  <c r="AQ242" i="4"/>
  <c r="AR242" i="11" s="1"/>
  <c r="AQ243" i="4"/>
  <c r="AR243" i="11" s="1"/>
  <c r="AQ244" i="4"/>
  <c r="AR244" i="11" s="1"/>
  <c r="AQ245" i="4"/>
  <c r="AR245" i="11" s="1"/>
  <c r="AQ246" i="4"/>
  <c r="AR246" i="11" s="1"/>
  <c r="AQ247" i="4"/>
  <c r="AR247" i="11" s="1"/>
  <c r="AQ248" i="4"/>
  <c r="AR248" i="11" s="1"/>
  <c r="AQ249" i="4"/>
  <c r="AR249" i="11" s="1"/>
  <c r="AQ250" i="4"/>
  <c r="AR250" i="11" s="1"/>
  <c r="AQ251" i="4"/>
  <c r="AR251" i="11" s="1"/>
  <c r="AT251" i="11" s="1"/>
  <c r="E252" i="20" s="1"/>
  <c r="AQ252" i="4"/>
  <c r="AR252" i="11" s="1"/>
  <c r="AQ253" i="4"/>
  <c r="AR253" i="11" s="1"/>
  <c r="AT253" i="11" s="1"/>
  <c r="E254" i="20" s="1"/>
  <c r="AQ254" i="4"/>
  <c r="AR254" i="11" s="1"/>
  <c r="AQ255" i="4"/>
  <c r="AR255" i="11" s="1"/>
  <c r="AQ256" i="4"/>
  <c r="AR256" i="11" s="1"/>
  <c r="AT256" i="11" s="1"/>
  <c r="E257" i="20" s="1"/>
  <c r="AQ257" i="4"/>
  <c r="AR257" i="11" s="1"/>
  <c r="AQ258" i="4"/>
  <c r="AR258" i="11" s="1"/>
  <c r="AQ259" i="4"/>
  <c r="AR259" i="11" s="1"/>
  <c r="AQ260" i="4"/>
  <c r="AR260" i="11" s="1"/>
  <c r="AQ261" i="4"/>
  <c r="AR261" i="11" s="1"/>
  <c r="AQ262" i="4"/>
  <c r="AR262" i="11" s="1"/>
  <c r="AT262" i="11" s="1"/>
  <c r="E263" i="20" s="1"/>
  <c r="AQ263" i="4"/>
  <c r="AR263" i="11" s="1"/>
  <c r="AQ264" i="4"/>
  <c r="AR264" i="11" s="1"/>
  <c r="AQ265" i="4"/>
  <c r="AR265" i="11" s="1"/>
  <c r="AQ266" i="4"/>
  <c r="AR266" i="11" s="1"/>
  <c r="AQ267" i="4"/>
  <c r="AR267" i="11" s="1"/>
  <c r="AQ268" i="4"/>
  <c r="AR268" i="11" s="1"/>
  <c r="AQ269" i="4"/>
  <c r="AR269" i="11" s="1"/>
  <c r="AQ270" i="4"/>
  <c r="AR270" i="11" s="1"/>
  <c r="AQ271" i="4"/>
  <c r="AR271" i="11" s="1"/>
  <c r="AQ272" i="4"/>
  <c r="AR272" i="11" s="1"/>
  <c r="AQ273" i="4"/>
  <c r="AR273" i="11" s="1"/>
  <c r="AQ274" i="4"/>
  <c r="AR274" i="11" s="1"/>
  <c r="AQ275" i="4"/>
  <c r="AR275" i="11" s="1"/>
  <c r="AQ276" i="4"/>
  <c r="AR276" i="11" s="1"/>
  <c r="AQ277" i="4"/>
  <c r="AR277" i="11" s="1"/>
  <c r="AQ278" i="4"/>
  <c r="AR278" i="11" s="1"/>
  <c r="AQ279" i="4"/>
  <c r="AR279" i="11" s="1"/>
  <c r="AT279" i="11" s="1"/>
  <c r="E280" i="20" s="1"/>
  <c r="AQ280" i="4"/>
  <c r="AR280" i="11" s="1"/>
  <c r="AQ281" i="4"/>
  <c r="AR281" i="11" s="1"/>
  <c r="AQ282" i="4"/>
  <c r="AR282" i="11" s="1"/>
  <c r="AQ283" i="4"/>
  <c r="AR283" i="11" s="1"/>
  <c r="AQ284" i="4"/>
  <c r="AR284" i="11" s="1"/>
  <c r="AQ285" i="4"/>
  <c r="AR285" i="11" s="1"/>
  <c r="AQ286" i="4"/>
  <c r="AR286" i="11" s="1"/>
  <c r="AQ287" i="4"/>
  <c r="AR287" i="11" s="1"/>
  <c r="AQ288" i="4"/>
  <c r="AR288" i="11" s="1"/>
  <c r="AQ289" i="4"/>
  <c r="AR289" i="11" s="1"/>
  <c r="AQ290" i="4"/>
  <c r="AR290" i="11" s="1"/>
  <c r="AT290" i="11" s="1"/>
  <c r="E291" i="20" s="1"/>
  <c r="AQ291" i="4"/>
  <c r="AR291" i="11" s="1"/>
  <c r="AT291" i="11" s="1"/>
  <c r="E292" i="20" s="1"/>
  <c r="AQ292" i="4"/>
  <c r="AR292" i="11" s="1"/>
  <c r="AQ293" i="4"/>
  <c r="AR293" i="11" s="1"/>
  <c r="AQ294" i="4"/>
  <c r="AR294" i="11" s="1"/>
  <c r="AQ295" i="4"/>
  <c r="AR295" i="11" s="1"/>
  <c r="AQ296" i="4"/>
  <c r="AR296" i="11" s="1"/>
  <c r="AQ297" i="4"/>
  <c r="AR297" i="11" s="1"/>
  <c r="AT297" i="11" s="1"/>
  <c r="E298" i="20" s="1"/>
  <c r="AQ298" i="4"/>
  <c r="AR298" i="11" s="1"/>
  <c r="AT298" i="11" s="1"/>
  <c r="E299" i="20" s="1"/>
  <c r="AQ299" i="4"/>
  <c r="AR299" i="11" s="1"/>
  <c r="AQ300" i="4"/>
  <c r="AR300" i="11" s="1"/>
  <c r="AQ301" i="4"/>
  <c r="AR301" i="11" s="1"/>
  <c r="AT301" i="11" s="1"/>
  <c r="E302" i="20" s="1"/>
  <c r="AQ302" i="4"/>
  <c r="AR302" i="11" s="1"/>
  <c r="AQ303" i="4"/>
  <c r="AR303" i="11" s="1"/>
  <c r="AT303" i="11" s="1"/>
  <c r="E304" i="20" s="1"/>
  <c r="AQ304" i="4"/>
  <c r="AR304" i="11" s="1"/>
  <c r="AQ305" i="4"/>
  <c r="AR305" i="11" s="1"/>
  <c r="AQ306" i="4"/>
  <c r="AR306" i="11" s="1"/>
  <c r="AQ307" i="4"/>
  <c r="AR307" i="11" s="1"/>
  <c r="AT307" i="11" s="1"/>
  <c r="E308" i="20" s="1"/>
  <c r="AQ308" i="4"/>
  <c r="AR308" i="11" s="1"/>
  <c r="AT308" i="11" s="1"/>
  <c r="E309" i="20" s="1"/>
  <c r="AQ309" i="4"/>
  <c r="AR309" i="11" s="1"/>
  <c r="AQ310" i="4"/>
  <c r="AR310" i="11" s="1"/>
  <c r="AQ311" i="4"/>
  <c r="AR311" i="11" s="1"/>
  <c r="AQ312" i="4"/>
  <c r="AR312" i="11" s="1"/>
  <c r="AQ313" i="4"/>
  <c r="AR313" i="11" s="1"/>
  <c r="AT313" i="11" s="1"/>
  <c r="E314" i="20" s="1"/>
  <c r="AQ314" i="4"/>
  <c r="AR314" i="11" s="1"/>
  <c r="AQ315" i="4"/>
  <c r="AR315" i="11" s="1"/>
  <c r="AT315" i="11" s="1"/>
  <c r="E316" i="20" s="1"/>
  <c r="AQ316" i="4"/>
  <c r="AR316" i="11" s="1"/>
  <c r="AQ317" i="4"/>
  <c r="AR317" i="11" s="1"/>
  <c r="AQ318" i="4"/>
  <c r="AR318" i="11" s="1"/>
  <c r="AQ319" i="4"/>
  <c r="AR319" i="11" s="1"/>
  <c r="AT319" i="11" s="1"/>
  <c r="E320" i="20" s="1"/>
  <c r="AQ320" i="4"/>
  <c r="AR320" i="11" s="1"/>
  <c r="AQ321" i="4"/>
  <c r="AR321" i="11" s="1"/>
  <c r="AQ322" i="4"/>
  <c r="AR322" i="11" s="1"/>
  <c r="AQ323" i="4"/>
  <c r="AR323" i="11" s="1"/>
  <c r="AQ324" i="4"/>
  <c r="AR324" i="11" s="1"/>
  <c r="AQ325" i="4"/>
  <c r="AR325" i="11" s="1"/>
  <c r="AQ326" i="4"/>
  <c r="AR326" i="11" s="1"/>
  <c r="AT326" i="11" s="1"/>
  <c r="E327" i="20" s="1"/>
  <c r="AQ327" i="4"/>
  <c r="AR327" i="11" s="1"/>
  <c r="AQ328" i="4"/>
  <c r="AR328" i="11" s="1"/>
  <c r="AQ329" i="4"/>
  <c r="AR329" i="11" s="1"/>
  <c r="AQ330" i="4"/>
  <c r="AR330" i="11" s="1"/>
  <c r="AQ331" i="4"/>
  <c r="AR331" i="11" s="1"/>
  <c r="AQ332" i="4"/>
  <c r="AR332" i="11" s="1"/>
  <c r="AQ333" i="4"/>
  <c r="AR333" i="11" s="1"/>
  <c r="AQ334" i="4"/>
  <c r="AR334" i="11" s="1"/>
  <c r="AQ335" i="4"/>
  <c r="AR335" i="11" s="1"/>
  <c r="AQ336" i="4"/>
  <c r="AR336" i="11" s="1"/>
  <c r="AQ337" i="4"/>
  <c r="AR337" i="11" s="1"/>
  <c r="AQ338" i="4"/>
  <c r="AR338" i="11" s="1"/>
  <c r="AQ339" i="4"/>
  <c r="AR339" i="11" s="1"/>
  <c r="AT339" i="11" s="1"/>
  <c r="E340" i="20" s="1"/>
  <c r="AQ340" i="4"/>
  <c r="AR340" i="11" s="1"/>
  <c r="AQ341" i="4"/>
  <c r="AR341" i="11" s="1"/>
  <c r="AQ342" i="4"/>
  <c r="AR342" i="11" s="1"/>
  <c r="AT342" i="11" s="1"/>
  <c r="E343" i="20" s="1"/>
  <c r="AQ343" i="4"/>
  <c r="AR343" i="11" s="1"/>
  <c r="AT343" i="11" s="1"/>
  <c r="E344" i="20" s="1"/>
  <c r="AQ344" i="4"/>
  <c r="AR344" i="11" s="1"/>
  <c r="AQ345" i="4"/>
  <c r="AR345" i="11" s="1"/>
  <c r="AQ346" i="4"/>
  <c r="AR346" i="11" s="1"/>
  <c r="AT346" i="11" s="1"/>
  <c r="E347" i="20" s="1"/>
  <c r="AQ347" i="4"/>
  <c r="AR347" i="11" s="1"/>
  <c r="AQ348" i="4"/>
  <c r="AR348" i="11" s="1"/>
  <c r="AQ349" i="4"/>
  <c r="AR349" i="11" s="1"/>
  <c r="AQ350" i="4"/>
  <c r="AR350" i="11" s="1"/>
  <c r="AQ351" i="4"/>
  <c r="AR351" i="11" s="1"/>
  <c r="AQ352" i="4"/>
  <c r="AR352" i="11" s="1"/>
  <c r="AQ353" i="4"/>
  <c r="AR353" i="11" s="1"/>
  <c r="AQ354" i="4"/>
  <c r="AR354" i="11" s="1"/>
  <c r="AT354" i="11" s="1"/>
  <c r="E355" i="20" s="1"/>
  <c r="AQ355" i="4"/>
  <c r="AR355" i="11" s="1"/>
  <c r="AQ356" i="4"/>
  <c r="AR356" i="11" s="1"/>
  <c r="AT356" i="11" s="1"/>
  <c r="E357" i="20" s="1"/>
  <c r="AQ357" i="4"/>
  <c r="AR357" i="11" s="1"/>
  <c r="AQ358" i="4"/>
  <c r="AR358" i="11" s="1"/>
  <c r="AQ359" i="4"/>
  <c r="AR359" i="11" s="1"/>
  <c r="AQ360" i="4"/>
  <c r="AR360" i="11" s="1"/>
  <c r="AQ361" i="4"/>
  <c r="AR361" i="11" s="1"/>
  <c r="AQ362" i="4"/>
  <c r="AR362" i="11" s="1"/>
  <c r="AT362" i="11" s="1"/>
  <c r="E363" i="20" s="1"/>
  <c r="AQ363" i="4"/>
  <c r="AR363" i="11" s="1"/>
  <c r="AT363" i="11" s="1"/>
  <c r="E364" i="20" s="1"/>
  <c r="AQ364" i="4"/>
  <c r="AR364" i="11" s="1"/>
  <c r="AQ365" i="4"/>
  <c r="AR365" i="11" s="1"/>
  <c r="AQ366" i="4"/>
  <c r="AR366" i="11" s="1"/>
  <c r="AQ367" i="4"/>
  <c r="AR367" i="11" s="1"/>
  <c r="AQ368" i="4"/>
  <c r="AR368" i="11" s="1"/>
  <c r="AT368" i="11" s="1"/>
  <c r="E369" i="20" s="1"/>
  <c r="AQ369" i="4"/>
  <c r="AR369" i="11" s="1"/>
  <c r="AQ370" i="4"/>
  <c r="AR370" i="11" s="1"/>
  <c r="AQ371" i="4"/>
  <c r="AR371" i="11" s="1"/>
  <c r="AQ372" i="4"/>
  <c r="AR372" i="11" s="1"/>
  <c r="AQ373" i="4"/>
  <c r="AR373" i="11" s="1"/>
  <c r="AQ374" i="4"/>
  <c r="AR374" i="11" s="1"/>
  <c r="AQ375" i="4"/>
  <c r="AR375" i="11" s="1"/>
  <c r="AQ376" i="4"/>
  <c r="AR376" i="11" s="1"/>
  <c r="AQ377" i="4"/>
  <c r="AR377" i="11" s="1"/>
  <c r="AQ378" i="4"/>
  <c r="AR378" i="11" s="1"/>
  <c r="AQ379" i="4"/>
  <c r="AR379" i="11" s="1"/>
  <c r="AT379" i="11" s="1"/>
  <c r="E380" i="20" s="1"/>
  <c r="AQ380" i="4"/>
  <c r="AR380" i="11" s="1"/>
  <c r="AQ381" i="4"/>
  <c r="AR381" i="11" s="1"/>
  <c r="AQ382" i="4"/>
  <c r="AR382" i="11" s="1"/>
  <c r="AQ383" i="4"/>
  <c r="AR383" i="11" s="1"/>
  <c r="AQ384" i="4"/>
  <c r="AR384" i="11" s="1"/>
  <c r="AQ385" i="4"/>
  <c r="AR385" i="11" s="1"/>
  <c r="AQ386" i="4"/>
  <c r="AR386" i="11" s="1"/>
  <c r="AT386" i="11" s="1"/>
  <c r="E387" i="20" s="1"/>
  <c r="AQ387" i="4"/>
  <c r="AR387" i="11" s="1"/>
  <c r="AQ388" i="4"/>
  <c r="AR388" i="11" s="1"/>
  <c r="AQ389" i="4"/>
  <c r="AR389" i="11" s="1"/>
  <c r="AQ390" i="4"/>
  <c r="AR390" i="11" s="1"/>
  <c r="AQ391" i="4"/>
  <c r="AR391" i="11" s="1"/>
  <c r="AQ392" i="4"/>
  <c r="AR392" i="11" s="1"/>
  <c r="AQ393" i="4"/>
  <c r="AR393" i="11" s="1"/>
  <c r="AQ394" i="4"/>
  <c r="AR394" i="11" s="1"/>
  <c r="AQ395" i="4"/>
  <c r="AR395" i="11" s="1"/>
  <c r="AT395" i="11" s="1"/>
  <c r="E396" i="20" s="1"/>
  <c r="AQ396" i="4"/>
  <c r="AR396" i="11" s="1"/>
  <c r="AQ397" i="4"/>
  <c r="AR397" i="11" s="1"/>
  <c r="AQ398" i="4"/>
  <c r="AR398" i="11" s="1"/>
  <c r="AQ399" i="4"/>
  <c r="AR399" i="11" s="1"/>
  <c r="AQ400" i="4"/>
  <c r="AR400" i="11" s="1"/>
  <c r="AQ401" i="4"/>
  <c r="AR401" i="11" s="1"/>
  <c r="AT401" i="11" s="1"/>
  <c r="E402" i="20" s="1"/>
  <c r="AQ402" i="4"/>
  <c r="AR402" i="11" s="1"/>
  <c r="AQ403" i="4"/>
  <c r="AR403" i="11" s="1"/>
  <c r="AQ404" i="4"/>
  <c r="AR404" i="11" s="1"/>
  <c r="AQ405" i="4"/>
  <c r="AR405" i="11" s="1"/>
  <c r="AQ406" i="4"/>
  <c r="AR406" i="11" s="1"/>
  <c r="AQ407" i="4"/>
  <c r="AR407" i="11" s="1"/>
  <c r="AQ408" i="4"/>
  <c r="AR408" i="11" s="1"/>
  <c r="AQ409" i="4"/>
  <c r="AR409" i="11" s="1"/>
  <c r="AQ410" i="4"/>
  <c r="AR410" i="11" s="1"/>
  <c r="AQ411" i="4"/>
  <c r="AR411" i="11" s="1"/>
  <c r="AQ412" i="4"/>
  <c r="AR412" i="11" s="1"/>
  <c r="AQ413" i="4"/>
  <c r="AR413" i="11" s="1"/>
  <c r="AT413" i="11" s="1"/>
  <c r="E414" i="20" s="1"/>
  <c r="BA2" i="4"/>
  <c r="AU2" i="4"/>
  <c r="AQ2" i="11" s="1"/>
  <c r="AT2" i="4"/>
  <c r="AR2" i="4"/>
  <c r="AQ2" i="4"/>
  <c r="AR2" i="11" s="1"/>
  <c r="X3" i="5"/>
  <c r="X4" i="5"/>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BK2" i="3"/>
  <c r="BK4" i="3"/>
  <c r="BK5" i="3"/>
  <c r="BK7" i="3"/>
  <c r="BK8" i="3"/>
  <c r="BK10" i="3"/>
  <c r="BK11" i="3"/>
  <c r="BK12" i="3"/>
  <c r="BK14" i="3"/>
  <c r="BK15" i="3"/>
  <c r="BK16" i="3"/>
  <c r="BK18" i="3"/>
  <c r="BK19" i="3"/>
  <c r="BK20" i="3"/>
  <c r="BK22" i="3"/>
  <c r="BK23" i="3"/>
  <c r="BK24" i="3"/>
  <c r="BK26" i="3"/>
  <c r="BK27" i="3"/>
  <c r="BK28" i="3"/>
  <c r="BK30" i="3"/>
  <c r="BK31" i="3"/>
  <c r="BK32" i="3"/>
  <c r="BK34" i="3"/>
  <c r="BK35" i="3"/>
  <c r="BK36" i="3"/>
  <c r="BK38" i="3"/>
  <c r="BK39" i="3"/>
  <c r="BK40" i="3"/>
  <c r="BK42" i="3"/>
  <c r="BK43" i="3"/>
  <c r="BK44" i="3"/>
  <c r="BK46" i="3"/>
  <c r="BK47" i="3"/>
  <c r="BK48" i="3"/>
  <c r="BK50" i="3"/>
  <c r="BK51" i="3"/>
  <c r="BK52" i="3"/>
  <c r="F418" i="25" l="1"/>
  <c r="F417" i="25"/>
  <c r="AL30" i="18"/>
  <c r="Y2" i="8"/>
  <c r="AL331" i="18"/>
  <c r="AL401" i="18"/>
  <c r="AL184" i="18"/>
  <c r="Z60" i="7"/>
  <c r="AG58" i="18" s="1"/>
  <c r="AP411" i="11"/>
  <c r="BA411" i="11" s="1"/>
  <c r="AV411" i="4"/>
  <c r="AP407" i="11"/>
  <c r="BA407" i="11" s="1"/>
  <c r="AV407" i="4"/>
  <c r="AP403" i="11"/>
  <c r="BA403" i="11" s="1"/>
  <c r="AV403" i="4"/>
  <c r="AP399" i="11"/>
  <c r="BA399" i="11" s="1"/>
  <c r="AV399" i="4"/>
  <c r="AP395" i="11"/>
  <c r="BA395" i="11" s="1"/>
  <c r="AV395" i="4"/>
  <c r="AP391" i="11"/>
  <c r="BA391" i="11" s="1"/>
  <c r="AV391" i="4"/>
  <c r="AP387" i="11"/>
  <c r="BA387" i="11" s="1"/>
  <c r="AV387" i="4"/>
  <c r="AP383" i="11"/>
  <c r="BA383" i="11" s="1"/>
  <c r="AV383" i="4"/>
  <c r="AP379" i="11"/>
  <c r="BA379" i="11" s="1"/>
  <c r="AV379" i="4"/>
  <c r="AP375" i="11"/>
  <c r="BA375" i="11" s="1"/>
  <c r="AV375" i="4"/>
  <c r="AP371" i="11"/>
  <c r="BA371" i="11" s="1"/>
  <c r="AV371" i="4"/>
  <c r="AP367" i="11"/>
  <c r="BA367" i="11" s="1"/>
  <c r="AV367" i="4"/>
  <c r="AP363" i="11"/>
  <c r="BA363" i="11" s="1"/>
  <c r="AV363" i="4"/>
  <c r="AP359" i="11"/>
  <c r="BA359" i="11" s="1"/>
  <c r="AV359" i="4"/>
  <c r="AP355" i="11"/>
  <c r="BA355" i="11" s="1"/>
  <c r="AV355" i="4"/>
  <c r="AP351" i="11"/>
  <c r="BA351" i="11" s="1"/>
  <c r="AV351" i="4"/>
  <c r="AP347" i="11"/>
  <c r="BA347" i="11" s="1"/>
  <c r="AV347" i="4"/>
  <c r="AP343" i="11"/>
  <c r="BA343" i="11" s="1"/>
  <c r="AV343" i="4"/>
  <c r="AP339" i="11"/>
  <c r="BA339" i="11" s="1"/>
  <c r="AV339" i="4"/>
  <c r="AP335" i="11"/>
  <c r="BA335" i="11" s="1"/>
  <c r="AV335" i="4"/>
  <c r="AP331" i="11"/>
  <c r="BA331" i="11" s="1"/>
  <c r="AV331" i="4"/>
  <c r="AP327" i="11"/>
  <c r="BA327" i="11" s="1"/>
  <c r="AV327" i="4"/>
  <c r="AP323" i="11"/>
  <c r="BA323" i="11" s="1"/>
  <c r="AV323" i="4"/>
  <c r="AP319" i="11"/>
  <c r="BA319" i="11" s="1"/>
  <c r="AV319" i="4"/>
  <c r="AP315" i="11"/>
  <c r="BA315" i="11" s="1"/>
  <c r="AV315" i="4"/>
  <c r="AP311" i="11"/>
  <c r="BA311" i="11" s="1"/>
  <c r="AV311" i="4"/>
  <c r="AP307" i="11"/>
  <c r="BA307" i="11" s="1"/>
  <c r="AV307" i="4"/>
  <c r="AP303" i="11"/>
  <c r="BA303" i="11" s="1"/>
  <c r="AV303" i="4"/>
  <c r="AP299" i="11"/>
  <c r="BA299" i="11" s="1"/>
  <c r="AV299" i="4"/>
  <c r="AP295" i="11"/>
  <c r="BA295" i="11" s="1"/>
  <c r="AV295" i="4"/>
  <c r="AP291" i="11"/>
  <c r="BA291" i="11" s="1"/>
  <c r="AV291" i="4"/>
  <c r="AP287" i="11"/>
  <c r="BA287" i="11" s="1"/>
  <c r="AV287" i="4"/>
  <c r="AP283" i="11"/>
  <c r="BA283" i="11" s="1"/>
  <c r="AV283" i="4"/>
  <c r="AP279" i="11"/>
  <c r="BA279" i="11" s="1"/>
  <c r="AV279" i="4"/>
  <c r="AP275" i="11"/>
  <c r="BA275" i="11" s="1"/>
  <c r="AV275" i="4"/>
  <c r="AP271" i="11"/>
  <c r="BA271" i="11" s="1"/>
  <c r="AV271" i="4"/>
  <c r="AP267" i="11"/>
  <c r="BA267" i="11" s="1"/>
  <c r="AV267" i="4"/>
  <c r="AP263" i="11"/>
  <c r="BA263" i="11" s="1"/>
  <c r="AV263" i="4"/>
  <c r="AP259" i="11"/>
  <c r="BA259" i="11" s="1"/>
  <c r="AV259" i="4"/>
  <c r="AP255" i="11"/>
  <c r="BA255" i="11" s="1"/>
  <c r="AV255" i="4"/>
  <c r="AP251" i="11"/>
  <c r="BA251" i="11" s="1"/>
  <c r="AV251" i="4"/>
  <c r="AP247" i="11"/>
  <c r="BA247" i="11" s="1"/>
  <c r="AV247" i="4"/>
  <c r="AP243" i="11"/>
  <c r="BA243" i="11" s="1"/>
  <c r="AV243" i="4"/>
  <c r="AP239" i="11"/>
  <c r="BA239" i="11" s="1"/>
  <c r="AV239" i="4"/>
  <c r="AP235" i="11"/>
  <c r="BA235" i="11" s="1"/>
  <c r="AV235" i="4"/>
  <c r="AP231" i="11"/>
  <c r="BA231" i="11" s="1"/>
  <c r="AV231" i="4"/>
  <c r="AP227" i="11"/>
  <c r="BA227" i="11" s="1"/>
  <c r="AV227" i="4"/>
  <c r="AP223" i="11"/>
  <c r="BA223" i="11" s="1"/>
  <c r="AV223" i="4"/>
  <c r="AP219" i="11"/>
  <c r="BA219" i="11" s="1"/>
  <c r="AV219" i="4"/>
  <c r="AP215" i="11"/>
  <c r="BA215" i="11" s="1"/>
  <c r="AV215" i="4"/>
  <c r="AP211" i="11"/>
  <c r="BA211" i="11" s="1"/>
  <c r="AV211" i="4"/>
  <c r="AP207" i="11"/>
  <c r="BA207" i="11" s="1"/>
  <c r="AV207" i="4"/>
  <c r="AP203" i="11"/>
  <c r="BA203" i="11" s="1"/>
  <c r="AV203" i="4"/>
  <c r="AP199" i="11"/>
  <c r="BA199" i="11" s="1"/>
  <c r="AV199" i="4"/>
  <c r="AP195" i="11"/>
  <c r="BA195" i="11" s="1"/>
  <c r="AV195" i="4"/>
  <c r="AP191" i="11"/>
  <c r="BA191" i="11" s="1"/>
  <c r="AV191" i="4"/>
  <c r="AP187" i="11"/>
  <c r="BA187" i="11" s="1"/>
  <c r="AV187" i="4"/>
  <c r="AP183" i="11"/>
  <c r="BA183" i="11" s="1"/>
  <c r="AV183" i="4"/>
  <c r="AP179" i="11"/>
  <c r="BA179" i="11" s="1"/>
  <c r="AV179" i="4"/>
  <c r="AP175" i="11"/>
  <c r="BA175" i="11" s="1"/>
  <c r="AV175" i="4"/>
  <c r="AP171" i="11"/>
  <c r="BA171" i="11" s="1"/>
  <c r="AV171" i="4"/>
  <c r="AP167" i="11"/>
  <c r="BA167" i="11" s="1"/>
  <c r="AV167" i="4"/>
  <c r="AP163" i="11"/>
  <c r="BA163" i="11" s="1"/>
  <c r="AV163" i="4"/>
  <c r="AP159" i="11"/>
  <c r="BA159" i="11" s="1"/>
  <c r="AV159" i="4"/>
  <c r="AP155" i="11"/>
  <c r="BA155" i="11" s="1"/>
  <c r="AV155" i="4"/>
  <c r="AP151" i="11"/>
  <c r="BA151" i="11" s="1"/>
  <c r="AV151" i="4"/>
  <c r="AP147" i="11"/>
  <c r="BA147" i="11" s="1"/>
  <c r="AV147" i="4"/>
  <c r="AP143" i="11"/>
  <c r="BA143" i="11" s="1"/>
  <c r="AV143" i="4"/>
  <c r="AP139" i="11"/>
  <c r="BA139" i="11" s="1"/>
  <c r="AV139" i="4"/>
  <c r="AP135" i="11"/>
  <c r="BA135" i="11" s="1"/>
  <c r="AV135" i="4"/>
  <c r="AP131" i="11"/>
  <c r="BA131" i="11" s="1"/>
  <c r="AV131" i="4"/>
  <c r="AP127" i="11"/>
  <c r="BA127" i="11" s="1"/>
  <c r="AV127" i="4"/>
  <c r="AP123" i="11"/>
  <c r="BA123" i="11" s="1"/>
  <c r="AV123" i="4"/>
  <c r="AP119" i="11"/>
  <c r="BA119" i="11" s="1"/>
  <c r="AV119" i="4"/>
  <c r="AP115" i="11"/>
  <c r="BA115" i="11" s="1"/>
  <c r="AV115" i="4"/>
  <c r="AP111" i="11"/>
  <c r="BA111" i="11" s="1"/>
  <c r="AV111" i="4"/>
  <c r="AP107" i="11"/>
  <c r="BA107" i="11" s="1"/>
  <c r="AV107" i="4"/>
  <c r="AP103" i="11"/>
  <c r="BA103" i="11" s="1"/>
  <c r="AV103" i="4"/>
  <c r="AP99" i="11"/>
  <c r="BA99" i="11" s="1"/>
  <c r="AV99" i="4"/>
  <c r="AP95" i="11"/>
  <c r="BA95" i="11" s="1"/>
  <c r="AV95" i="4"/>
  <c r="AP91" i="11"/>
  <c r="BA91" i="11" s="1"/>
  <c r="AV91" i="4"/>
  <c r="AP87" i="11"/>
  <c r="BA87" i="11" s="1"/>
  <c r="AV87" i="4"/>
  <c r="AP83" i="11"/>
  <c r="BA83" i="11" s="1"/>
  <c r="AV83" i="4"/>
  <c r="AP79" i="11"/>
  <c r="BA79" i="11" s="1"/>
  <c r="AV79" i="4"/>
  <c r="AP75" i="11"/>
  <c r="BA75" i="11" s="1"/>
  <c r="AV75" i="4"/>
  <c r="AP71" i="11"/>
  <c r="BA71" i="11" s="1"/>
  <c r="AV71" i="4"/>
  <c r="AP67" i="11"/>
  <c r="BA67" i="11" s="1"/>
  <c r="AV67" i="4"/>
  <c r="AP63" i="11"/>
  <c r="BA63" i="11" s="1"/>
  <c r="AV63" i="4"/>
  <c r="AP59" i="11"/>
  <c r="BA59" i="11" s="1"/>
  <c r="AV59" i="4"/>
  <c r="AP55" i="11"/>
  <c r="BA55" i="11" s="1"/>
  <c r="AV55" i="4"/>
  <c r="AP51" i="11"/>
  <c r="BA51" i="11" s="1"/>
  <c r="AV51" i="4"/>
  <c r="AP47" i="11"/>
  <c r="BA47" i="11" s="1"/>
  <c r="AV47" i="4"/>
  <c r="AP43" i="11"/>
  <c r="BA43" i="11" s="1"/>
  <c r="AV43" i="4"/>
  <c r="AP39" i="11"/>
  <c r="BA39" i="11" s="1"/>
  <c r="AV39" i="4"/>
  <c r="AP35" i="11"/>
  <c r="BA35" i="11" s="1"/>
  <c r="AV35" i="4"/>
  <c r="AP31" i="11"/>
  <c r="BA31" i="11" s="1"/>
  <c r="AV31" i="4"/>
  <c r="AP27" i="11"/>
  <c r="BA27" i="11" s="1"/>
  <c r="AV27" i="4"/>
  <c r="AP23" i="11"/>
  <c r="BA23" i="11" s="1"/>
  <c r="AV23" i="4"/>
  <c r="AP19" i="11"/>
  <c r="BA19" i="11" s="1"/>
  <c r="AV19" i="4"/>
  <c r="AP15" i="11"/>
  <c r="BA15" i="11" s="1"/>
  <c r="AV15" i="4"/>
  <c r="AP11" i="11"/>
  <c r="BA11" i="11" s="1"/>
  <c r="AV11" i="4"/>
  <c r="AP7" i="11"/>
  <c r="BA7" i="11" s="1"/>
  <c r="AV7" i="4"/>
  <c r="AP3" i="11"/>
  <c r="BA3" i="11" s="1"/>
  <c r="AV3" i="4"/>
  <c r="AV410" i="4"/>
  <c r="AV405" i="4"/>
  <c r="AV400" i="4"/>
  <c r="AV394" i="4"/>
  <c r="AV389" i="4"/>
  <c r="AV384" i="4"/>
  <c r="AV378" i="4"/>
  <c r="AV373" i="4"/>
  <c r="AV368" i="4"/>
  <c r="AV362" i="4"/>
  <c r="AV357" i="4"/>
  <c r="AV352" i="4"/>
  <c r="AV346" i="4"/>
  <c r="AV341" i="4"/>
  <c r="AV336" i="4"/>
  <c r="AV330" i="4"/>
  <c r="AV325" i="4"/>
  <c r="AV320" i="4"/>
  <c r="AV314" i="4"/>
  <c r="AV309" i="4"/>
  <c r="AV304" i="4"/>
  <c r="AV298" i="4"/>
  <c r="AV293" i="4"/>
  <c r="AV288" i="4"/>
  <c r="AV282" i="4"/>
  <c r="AV277" i="4"/>
  <c r="AV272" i="4"/>
  <c r="AV266" i="4"/>
  <c r="AV261" i="4"/>
  <c r="AV256" i="4"/>
  <c r="AV250" i="4"/>
  <c r="AV245" i="4"/>
  <c r="AV240" i="4"/>
  <c r="AV234" i="4"/>
  <c r="AV229" i="4"/>
  <c r="AV224" i="4"/>
  <c r="AV218" i="4"/>
  <c r="AV213" i="4"/>
  <c r="AV208" i="4"/>
  <c r="AV202" i="4"/>
  <c r="AV197" i="4"/>
  <c r="AV192" i="4"/>
  <c r="AV186" i="4"/>
  <c r="AV181" i="4"/>
  <c r="AV176" i="4"/>
  <c r="AV170" i="4"/>
  <c r="AV165" i="4"/>
  <c r="AV160" i="4"/>
  <c r="AV154" i="4"/>
  <c r="AV149" i="4"/>
  <c r="AV144" i="4"/>
  <c r="AV138" i="4"/>
  <c r="AV133" i="4"/>
  <c r="AV128" i="4"/>
  <c r="AV122" i="4"/>
  <c r="AV117" i="4"/>
  <c r="AV112" i="4"/>
  <c r="AV106" i="4"/>
  <c r="AV101" i="4"/>
  <c r="AV96" i="4"/>
  <c r="AV89" i="4"/>
  <c r="AV81" i="4"/>
  <c r="AV73" i="4"/>
  <c r="AV65" i="4"/>
  <c r="AV57" i="4"/>
  <c r="AV49" i="4"/>
  <c r="AV41" i="4"/>
  <c r="AV33" i="4"/>
  <c r="AV25" i="4"/>
  <c r="AV17" i="4"/>
  <c r="AV9" i="4"/>
  <c r="AV2" i="4"/>
  <c r="AP2" i="11"/>
  <c r="BA2" i="11" s="1"/>
  <c r="AP90" i="11"/>
  <c r="BA90" i="11" s="1"/>
  <c r="AV90" i="4"/>
  <c r="AP86" i="11"/>
  <c r="BA86" i="11" s="1"/>
  <c r="AV86" i="4"/>
  <c r="AP82" i="11"/>
  <c r="BA82" i="11" s="1"/>
  <c r="AV82" i="4"/>
  <c r="AP78" i="11"/>
  <c r="BA78" i="11" s="1"/>
  <c r="AV78" i="4"/>
  <c r="AP74" i="11"/>
  <c r="BA74" i="11" s="1"/>
  <c r="AV74" i="4"/>
  <c r="AP70" i="11"/>
  <c r="BA70" i="11" s="1"/>
  <c r="AV70" i="4"/>
  <c r="AP66" i="11"/>
  <c r="BA66" i="11" s="1"/>
  <c r="AV66" i="4"/>
  <c r="AP62" i="11"/>
  <c r="BA62" i="11" s="1"/>
  <c r="AV62" i="4"/>
  <c r="AP58" i="11"/>
  <c r="BA58" i="11" s="1"/>
  <c r="AV58" i="4"/>
  <c r="AP54" i="11"/>
  <c r="BA54" i="11" s="1"/>
  <c r="AV54" i="4"/>
  <c r="AP50" i="11"/>
  <c r="BA50" i="11" s="1"/>
  <c r="AV50" i="4"/>
  <c r="AP46" i="11"/>
  <c r="BA46" i="11" s="1"/>
  <c r="AV46" i="4"/>
  <c r="AP42" i="11"/>
  <c r="BA42" i="11" s="1"/>
  <c r="AV42" i="4"/>
  <c r="AP38" i="11"/>
  <c r="BA38" i="11" s="1"/>
  <c r="AV38" i="4"/>
  <c r="AP34" i="11"/>
  <c r="BA34" i="11" s="1"/>
  <c r="AV34" i="4"/>
  <c r="AP30" i="11"/>
  <c r="BA30" i="11" s="1"/>
  <c r="AV30" i="4"/>
  <c r="AP26" i="11"/>
  <c r="BA26" i="11" s="1"/>
  <c r="AV26" i="4"/>
  <c r="AP22" i="11"/>
  <c r="BA22" i="11" s="1"/>
  <c r="AV22" i="4"/>
  <c r="AP18" i="11"/>
  <c r="BA18" i="11" s="1"/>
  <c r="AV18" i="4"/>
  <c r="AP14" i="11"/>
  <c r="BA14" i="11" s="1"/>
  <c r="AV14" i="4"/>
  <c r="AP10" i="11"/>
  <c r="BA10" i="11" s="1"/>
  <c r="AV10" i="4"/>
  <c r="AP6" i="11"/>
  <c r="BA6" i="11" s="1"/>
  <c r="AV6" i="4"/>
  <c r="AV414" i="4"/>
  <c r="AV409" i="4"/>
  <c r="AV404" i="4"/>
  <c r="AV398" i="4"/>
  <c r="AV393" i="4"/>
  <c r="AV388" i="4"/>
  <c r="AV382" i="4"/>
  <c r="AV377" i="4"/>
  <c r="AV372" i="4"/>
  <c r="AV366" i="4"/>
  <c r="AV361" i="4"/>
  <c r="AV356" i="4"/>
  <c r="AV350" i="4"/>
  <c r="AV345" i="4"/>
  <c r="AV340" i="4"/>
  <c r="AV334" i="4"/>
  <c r="AV329" i="4"/>
  <c r="AV324" i="4"/>
  <c r="AV318" i="4"/>
  <c r="AV313" i="4"/>
  <c r="AV308" i="4"/>
  <c r="AV302" i="4"/>
  <c r="AV297" i="4"/>
  <c r="AV292" i="4"/>
  <c r="AV286" i="4"/>
  <c r="AV281" i="4"/>
  <c r="AV276" i="4"/>
  <c r="AV270" i="4"/>
  <c r="AV265" i="4"/>
  <c r="AV260" i="4"/>
  <c r="AV254" i="4"/>
  <c r="AV249" i="4"/>
  <c r="AV244" i="4"/>
  <c r="AV238" i="4"/>
  <c r="AV233" i="4"/>
  <c r="AV228" i="4"/>
  <c r="AV222" i="4"/>
  <c r="AV217" i="4"/>
  <c r="AV212" i="4"/>
  <c r="AV206" i="4"/>
  <c r="AV201" i="4"/>
  <c r="AV196" i="4"/>
  <c r="AV190" i="4"/>
  <c r="AV185" i="4"/>
  <c r="AV180" i="4"/>
  <c r="AV174" i="4"/>
  <c r="AV169" i="4"/>
  <c r="AV164" i="4"/>
  <c r="AV158" i="4"/>
  <c r="AV153" i="4"/>
  <c r="AV148" i="4"/>
  <c r="AV142" i="4"/>
  <c r="AV137" i="4"/>
  <c r="AV132" i="4"/>
  <c r="AV126" i="4"/>
  <c r="AV121" i="4"/>
  <c r="AV116" i="4"/>
  <c r="AV110" i="4"/>
  <c r="AV105" i="4"/>
  <c r="AV100" i="4"/>
  <c r="AV94" i="4"/>
  <c r="AV88" i="4"/>
  <c r="AV80" i="4"/>
  <c r="AV72" i="4"/>
  <c r="AV64" i="4"/>
  <c r="AV56" i="4"/>
  <c r="AV48" i="4"/>
  <c r="AV40" i="4"/>
  <c r="AV32" i="4"/>
  <c r="AV24" i="4"/>
  <c r="AV16" i="4"/>
  <c r="AV8" i="4"/>
  <c r="BB413" i="4"/>
  <c r="BD413" i="4"/>
  <c r="AZ413" i="4"/>
  <c r="BC413" i="4"/>
  <c r="BC409" i="4"/>
  <c r="BA409" i="4"/>
  <c r="BA405" i="4"/>
  <c r="AZ405" i="4"/>
  <c r="BD405" i="4" s="1"/>
  <c r="BB405" i="4"/>
  <c r="BC401" i="4"/>
  <c r="BB401" i="4"/>
  <c r="BD401" i="4" s="1"/>
  <c r="BA401" i="4"/>
  <c r="BB397" i="4"/>
  <c r="AZ397" i="4"/>
  <c r="BC397" i="4"/>
  <c r="BD397" i="4" s="1"/>
  <c r="BA397" i="4"/>
  <c r="BC393" i="4"/>
  <c r="BA393" i="4"/>
  <c r="BB393" i="4"/>
  <c r="BA389" i="4"/>
  <c r="BD389" i="4"/>
  <c r="BB389" i="4"/>
  <c r="AZ389" i="4"/>
  <c r="BC385" i="4"/>
  <c r="BB385" i="4"/>
  <c r="BA385" i="4"/>
  <c r="BB381" i="4"/>
  <c r="BD381" i="4"/>
  <c r="AZ381" i="4"/>
  <c r="BC381" i="4"/>
  <c r="BC377" i="4"/>
  <c r="BA377" i="4"/>
  <c r="BA373" i="4"/>
  <c r="AZ373" i="4"/>
  <c r="BD373" i="4" s="1"/>
  <c r="BB373" i="4"/>
  <c r="BC369" i="4"/>
  <c r="BB369" i="4"/>
  <c r="BD369" i="4" s="1"/>
  <c r="BA369" i="4"/>
  <c r="BB365" i="4"/>
  <c r="AZ365" i="4"/>
  <c r="BC365" i="4"/>
  <c r="BD365" i="4" s="1"/>
  <c r="BA365" i="4"/>
  <c r="BC361" i="4"/>
  <c r="BA361" i="4"/>
  <c r="BB361" i="4"/>
  <c r="BD361" i="4" s="1"/>
  <c r="BA357" i="4"/>
  <c r="BD357" i="4"/>
  <c r="BB357" i="4"/>
  <c r="AZ357" i="4"/>
  <c r="BC353" i="4"/>
  <c r="BB353" i="4"/>
  <c r="BA353" i="4"/>
  <c r="BB349" i="4"/>
  <c r="BD349" i="4"/>
  <c r="AZ349" i="4"/>
  <c r="BC349" i="4"/>
  <c r="BC345" i="4"/>
  <c r="BA345" i="4"/>
  <c r="BA341" i="4"/>
  <c r="AZ341" i="4"/>
  <c r="BD341" i="4" s="1"/>
  <c r="BB341" i="4"/>
  <c r="BC337" i="4"/>
  <c r="BB337" i="4"/>
  <c r="BD337" i="4" s="1"/>
  <c r="BA337" i="4"/>
  <c r="BB333" i="4"/>
  <c r="AZ333" i="4"/>
  <c r="BC333" i="4"/>
  <c r="BD333" i="4" s="1"/>
  <c r="BA333" i="4"/>
  <c r="BC329" i="4"/>
  <c r="BA329" i="4"/>
  <c r="BB329" i="4"/>
  <c r="BA325" i="4"/>
  <c r="BB325" i="4"/>
  <c r="AZ325" i="4"/>
  <c r="BC321" i="4"/>
  <c r="BB321" i="4"/>
  <c r="BA321" i="4"/>
  <c r="BB317" i="4"/>
  <c r="BD317" i="4"/>
  <c r="AZ317" i="4"/>
  <c r="BC317" i="4"/>
  <c r="BC313" i="4"/>
  <c r="BA313" i="4"/>
  <c r="BA309" i="4"/>
  <c r="AZ309" i="4"/>
  <c r="BD309" i="4" s="1"/>
  <c r="BB309" i="4"/>
  <c r="BC305" i="4"/>
  <c r="BB305" i="4"/>
  <c r="BD305" i="4" s="1"/>
  <c r="BA305" i="4"/>
  <c r="BB301" i="4"/>
  <c r="AZ301" i="4"/>
  <c r="BC301" i="4"/>
  <c r="BD301" i="4" s="1"/>
  <c r="BA301" i="4"/>
  <c r="BC297" i="4"/>
  <c r="BA297" i="4"/>
  <c r="BB297" i="4"/>
  <c r="BD297" i="4" s="1"/>
  <c r="BA293" i="4"/>
  <c r="BB293" i="4"/>
  <c r="AZ293" i="4"/>
  <c r="BC289" i="4"/>
  <c r="BB289" i="4"/>
  <c r="BA289" i="4"/>
  <c r="BB285" i="4"/>
  <c r="BD285" i="4"/>
  <c r="AZ285" i="4"/>
  <c r="BC285" i="4"/>
  <c r="BC281" i="4"/>
  <c r="BA281" i="4"/>
  <c r="BA277" i="4"/>
  <c r="AZ277" i="4"/>
  <c r="BD277" i="4" s="1"/>
  <c r="BB277" i="4"/>
  <c r="BC273" i="4"/>
  <c r="BB273" i="4"/>
  <c r="BD273" i="4" s="1"/>
  <c r="BA273" i="4"/>
  <c r="BB269" i="4"/>
  <c r="AZ269" i="4"/>
  <c r="BC269" i="4"/>
  <c r="BD269" i="4" s="1"/>
  <c r="BA269" i="4"/>
  <c r="BC265" i="4"/>
  <c r="BA265" i="4"/>
  <c r="BB265" i="4"/>
  <c r="BC261" i="4"/>
  <c r="BA261" i="4"/>
  <c r="BB261" i="4"/>
  <c r="AZ261" i="4"/>
  <c r="BD261" i="4" s="1"/>
  <c r="BB257" i="4"/>
  <c r="BC257" i="4"/>
  <c r="BA257" i="4"/>
  <c r="BC253" i="4"/>
  <c r="BB253" i="4"/>
  <c r="AZ253" i="4"/>
  <c r="BC249" i="4"/>
  <c r="BA249" i="4"/>
  <c r="BC245" i="4"/>
  <c r="BA245" i="4"/>
  <c r="AZ245" i="4"/>
  <c r="BD245" i="4" s="1"/>
  <c r="BB245" i="4"/>
  <c r="BD241" i="4"/>
  <c r="BB241" i="4"/>
  <c r="BA241" i="4"/>
  <c r="BC241" i="4"/>
  <c r="BB237" i="4"/>
  <c r="AZ237" i="4"/>
  <c r="BA237" i="4"/>
  <c r="BD237" i="4" s="1"/>
  <c r="BD233" i="4"/>
  <c r="BC233" i="4"/>
  <c r="BA233" i="4"/>
  <c r="BB233" i="4"/>
  <c r="BC229" i="4"/>
  <c r="BA229" i="4"/>
  <c r="BB229" i="4"/>
  <c r="AZ229" i="4"/>
  <c r="BD229" i="4" s="1"/>
  <c r="BB225" i="4"/>
  <c r="BC225" i="4"/>
  <c r="BA225" i="4"/>
  <c r="BC221" i="4"/>
  <c r="BB221" i="4"/>
  <c r="AZ221" i="4"/>
  <c r="BD221" i="4" s="1"/>
  <c r="BC217" i="4"/>
  <c r="BA217" i="4"/>
  <c r="BC213" i="4"/>
  <c r="BA213" i="4"/>
  <c r="AZ213" i="4"/>
  <c r="BB213" i="4"/>
  <c r="BD213" i="4" s="1"/>
  <c r="BB209" i="4"/>
  <c r="BA209" i="4"/>
  <c r="BC209" i="4"/>
  <c r="BC205" i="4"/>
  <c r="BB205" i="4"/>
  <c r="AZ205" i="4"/>
  <c r="BD205" i="4" s="1"/>
  <c r="BA205" i="4"/>
  <c r="BC201" i="4"/>
  <c r="BA201" i="4"/>
  <c r="BD201" i="4" s="1"/>
  <c r="BB201" i="4"/>
  <c r="BC197" i="4"/>
  <c r="BA197" i="4"/>
  <c r="BD197" i="4"/>
  <c r="BB197" i="4"/>
  <c r="AZ197" i="4"/>
  <c r="BB193" i="4"/>
  <c r="BA193" i="4"/>
  <c r="BC193" i="4"/>
  <c r="BC189" i="4"/>
  <c r="BB189" i="4"/>
  <c r="AZ189" i="4"/>
  <c r="BD189" i="4" s="1"/>
  <c r="BC185" i="4"/>
  <c r="BA185" i="4"/>
  <c r="BC181" i="4"/>
  <c r="BA181" i="4"/>
  <c r="BD181" i="4"/>
  <c r="AZ181" i="4"/>
  <c r="BB181" i="4"/>
  <c r="BB177" i="4"/>
  <c r="BD177" i="4" s="1"/>
  <c r="BA177" i="4"/>
  <c r="BC177" i="4"/>
  <c r="BC173" i="4"/>
  <c r="BB173" i="4"/>
  <c r="AZ173" i="4"/>
  <c r="BA173" i="4"/>
  <c r="BD173" i="4" s="1"/>
  <c r="BD169" i="4"/>
  <c r="BC169" i="4"/>
  <c r="BA169" i="4"/>
  <c r="BB169" i="4"/>
  <c r="BC165" i="4"/>
  <c r="BA165" i="4"/>
  <c r="BB165" i="4"/>
  <c r="AZ165" i="4"/>
  <c r="BD165" i="4" s="1"/>
  <c r="BB161" i="4"/>
  <c r="BA161" i="4"/>
  <c r="BC161" i="4"/>
  <c r="BC157" i="4"/>
  <c r="BB157" i="4"/>
  <c r="AZ157" i="4"/>
  <c r="BD157" i="4" s="1"/>
  <c r="BC153" i="4"/>
  <c r="BA153" i="4"/>
  <c r="BC149" i="4"/>
  <c r="BA149" i="4"/>
  <c r="AZ149" i="4"/>
  <c r="BB149" i="4"/>
  <c r="BD149" i="4" s="1"/>
  <c r="BB145" i="4"/>
  <c r="BA145" i="4"/>
  <c r="BC145" i="4"/>
  <c r="BC141" i="4"/>
  <c r="BB141" i="4"/>
  <c r="AZ141" i="4"/>
  <c r="BD141" i="4" s="1"/>
  <c r="BA141" i="4"/>
  <c r="BC137" i="4"/>
  <c r="BA137" i="4"/>
  <c r="BD137" i="4" s="1"/>
  <c r="BB137" i="4"/>
  <c r="BC133" i="4"/>
  <c r="BA133" i="4"/>
  <c r="BD133" i="4"/>
  <c r="BB133" i="4"/>
  <c r="AZ133" i="4"/>
  <c r="BB129" i="4"/>
  <c r="BA129" i="4"/>
  <c r="BC129" i="4"/>
  <c r="BC125" i="4"/>
  <c r="BB125" i="4"/>
  <c r="AZ125" i="4"/>
  <c r="BD125" i="4" s="1"/>
  <c r="BC121" i="4"/>
  <c r="BA121" i="4"/>
  <c r="BC117" i="4"/>
  <c r="BA117" i="4"/>
  <c r="BD117" i="4"/>
  <c r="AZ117" i="4"/>
  <c r="BB117" i="4"/>
  <c r="BB113" i="4"/>
  <c r="BD113" i="4" s="1"/>
  <c r="BA113" i="4"/>
  <c r="BC113" i="4"/>
  <c r="BC109" i="4"/>
  <c r="BB109" i="4"/>
  <c r="AZ109" i="4"/>
  <c r="BA109" i="4"/>
  <c r="BD109" i="4" s="1"/>
  <c r="BD105" i="4"/>
  <c r="BC105" i="4"/>
  <c r="BA105" i="4"/>
  <c r="BB105" i="4"/>
  <c r="BC101" i="4"/>
  <c r="BA101" i="4"/>
  <c r="BB101" i="4"/>
  <c r="AZ101" i="4"/>
  <c r="BD101" i="4" s="1"/>
  <c r="BB97" i="4"/>
  <c r="BA97" i="4"/>
  <c r="BC97" i="4"/>
  <c r="BC93" i="4"/>
  <c r="BB93" i="4"/>
  <c r="AZ93" i="4"/>
  <c r="BD93" i="4" s="1"/>
  <c r="BC89" i="4"/>
  <c r="BA89" i="4"/>
  <c r="BC85" i="4"/>
  <c r="BA85" i="4"/>
  <c r="AZ85" i="4"/>
  <c r="BB85" i="4"/>
  <c r="BD85" i="4" s="1"/>
  <c r="BB81" i="4"/>
  <c r="BA81" i="4"/>
  <c r="BC81" i="4"/>
  <c r="BC77" i="4"/>
  <c r="BB77" i="4"/>
  <c r="AZ77" i="4"/>
  <c r="BD77" i="4" s="1"/>
  <c r="BA77" i="4"/>
  <c r="BC73" i="4"/>
  <c r="BA73" i="4"/>
  <c r="BD73" i="4" s="1"/>
  <c r="BB73" i="4"/>
  <c r="BC69" i="4"/>
  <c r="BA69" i="4"/>
  <c r="BD69" i="4"/>
  <c r="BB69" i="4"/>
  <c r="AZ69" i="4"/>
  <c r="BB65" i="4"/>
  <c r="BA65" i="4"/>
  <c r="BC65" i="4"/>
  <c r="BC61" i="4"/>
  <c r="BB61" i="4"/>
  <c r="AZ61" i="4"/>
  <c r="BD61" i="4" s="1"/>
  <c r="BC57" i="4"/>
  <c r="BA57" i="4"/>
  <c r="BK53" i="3"/>
  <c r="BC53" i="4"/>
  <c r="BA53" i="4"/>
  <c r="AZ53" i="4"/>
  <c r="BD53" i="4" s="1"/>
  <c r="BB53" i="4"/>
  <c r="BK49" i="3"/>
  <c r="BB49" i="4"/>
  <c r="BA49" i="4"/>
  <c r="BC49" i="4"/>
  <c r="BK45" i="3"/>
  <c r="BC45" i="4"/>
  <c r="BB45" i="4"/>
  <c r="AZ45" i="4"/>
  <c r="BD45" i="4" s="1"/>
  <c r="BA45" i="4"/>
  <c r="BK41" i="3"/>
  <c r="AZ41" i="4"/>
  <c r="BC41" i="4"/>
  <c r="BA41" i="4"/>
  <c r="BB41" i="4"/>
  <c r="BD41" i="4" s="1"/>
  <c r="BK37" i="3"/>
  <c r="BC37" i="4"/>
  <c r="BA37" i="4"/>
  <c r="BD37" i="4"/>
  <c r="AZ37" i="4"/>
  <c r="BB37" i="4"/>
  <c r="BK33" i="3"/>
  <c r="BD33" i="4"/>
  <c r="BB33" i="4"/>
  <c r="BA33" i="4"/>
  <c r="BC33" i="4"/>
  <c r="BK29" i="3"/>
  <c r="BC29" i="4"/>
  <c r="BB29" i="4"/>
  <c r="AZ29" i="4"/>
  <c r="BD29" i="4" s="1"/>
  <c r="BK25" i="3"/>
  <c r="AZ25" i="4"/>
  <c r="BC25" i="4"/>
  <c r="BA25" i="4"/>
  <c r="BK21" i="3"/>
  <c r="BC21" i="4"/>
  <c r="BB21" i="4"/>
  <c r="BD21" i="4" s="1"/>
  <c r="BA21" i="4"/>
  <c r="AZ21" i="4"/>
  <c r="BK17" i="3"/>
  <c r="BA17" i="4"/>
  <c r="BB17" i="4"/>
  <c r="AZ17" i="4"/>
  <c r="BD17" i="4" s="1"/>
  <c r="BC17" i="4"/>
  <c r="BK13" i="3"/>
  <c r="BC13" i="4"/>
  <c r="BB13" i="4"/>
  <c r="AZ13" i="4"/>
  <c r="BA13" i="4"/>
  <c r="BD13" i="4" s="1"/>
  <c r="BK9" i="3"/>
  <c r="AZ9" i="4"/>
  <c r="BD9" i="4" s="1"/>
  <c r="BC9" i="4"/>
  <c r="BA9" i="4"/>
  <c r="BC5" i="4"/>
  <c r="BB5" i="4"/>
  <c r="BA5" i="4"/>
  <c r="BD5" i="4"/>
  <c r="AZ5" i="4"/>
  <c r="AZ409" i="4"/>
  <c r="BD409" i="4" s="1"/>
  <c r="AZ393" i="4"/>
  <c r="BD393" i="4" s="1"/>
  <c r="AZ377" i="4"/>
  <c r="BD377" i="4" s="1"/>
  <c r="AZ361" i="4"/>
  <c r="AZ345" i="4"/>
  <c r="BD345" i="4" s="1"/>
  <c r="AZ329" i="4"/>
  <c r="BD329" i="4" s="1"/>
  <c r="AZ313" i="4"/>
  <c r="BD313" i="4" s="1"/>
  <c r="AZ297" i="4"/>
  <c r="AZ281" i="4"/>
  <c r="BD281" i="4" s="1"/>
  <c r="AZ265" i="4"/>
  <c r="BD265" i="4" s="1"/>
  <c r="AZ249" i="4"/>
  <c r="BD249" i="4" s="1"/>
  <c r="AZ233" i="4"/>
  <c r="AZ217" i="4"/>
  <c r="BD217" i="4" s="1"/>
  <c r="AZ201" i="4"/>
  <c r="AZ185" i="4"/>
  <c r="BD185" i="4" s="1"/>
  <c r="AZ169" i="4"/>
  <c r="AZ153" i="4"/>
  <c r="BD153" i="4" s="1"/>
  <c r="AZ137" i="4"/>
  <c r="AZ121" i="4"/>
  <c r="BD121" i="4" s="1"/>
  <c r="AZ105" i="4"/>
  <c r="AZ89" i="4"/>
  <c r="BD89" i="4" s="1"/>
  <c r="AZ73" i="4"/>
  <c r="AZ57" i="4"/>
  <c r="BD57" i="4" s="1"/>
  <c r="BA317" i="4"/>
  <c r="BA253" i="4"/>
  <c r="BD253" i="4" s="1"/>
  <c r="BA189" i="4"/>
  <c r="BA125" i="4"/>
  <c r="BA61" i="4"/>
  <c r="BB409" i="4"/>
  <c r="BC389" i="4"/>
  <c r="BC325" i="4"/>
  <c r="BD325" i="4" s="1"/>
  <c r="AV413" i="4"/>
  <c r="AV408" i="4"/>
  <c r="AV402" i="4"/>
  <c r="AV397" i="4"/>
  <c r="AV392" i="4"/>
  <c r="AV386" i="4"/>
  <c r="AV381" i="4"/>
  <c r="AV376" i="4"/>
  <c r="AV370" i="4"/>
  <c r="AV365" i="4"/>
  <c r="AV360" i="4"/>
  <c r="AV354" i="4"/>
  <c r="AV349" i="4"/>
  <c r="AV344" i="4"/>
  <c r="AV338" i="4"/>
  <c r="AV333" i="4"/>
  <c r="AV328" i="4"/>
  <c r="AV322" i="4"/>
  <c r="AV317" i="4"/>
  <c r="AV312" i="4"/>
  <c r="AV306" i="4"/>
  <c r="AV301" i="4"/>
  <c r="AV296" i="4"/>
  <c r="AV290" i="4"/>
  <c r="AV285" i="4"/>
  <c r="AV280" i="4"/>
  <c r="AV274" i="4"/>
  <c r="AV269" i="4"/>
  <c r="AV264" i="4"/>
  <c r="AV258" i="4"/>
  <c r="AV253" i="4"/>
  <c r="AV248" i="4"/>
  <c r="AV242" i="4"/>
  <c r="AV237" i="4"/>
  <c r="AV232" i="4"/>
  <c r="AV226" i="4"/>
  <c r="AV221" i="4"/>
  <c r="AV216" i="4"/>
  <c r="AV210" i="4"/>
  <c r="AV205" i="4"/>
  <c r="AV200" i="4"/>
  <c r="AV194" i="4"/>
  <c r="AV189" i="4"/>
  <c r="AV184" i="4"/>
  <c r="AV178" i="4"/>
  <c r="AV173" i="4"/>
  <c r="AV168" i="4"/>
  <c r="AV162" i="4"/>
  <c r="AV157" i="4"/>
  <c r="AV152" i="4"/>
  <c r="AV146" i="4"/>
  <c r="AV141" i="4"/>
  <c r="AV136" i="4"/>
  <c r="AV130" i="4"/>
  <c r="AV125" i="4"/>
  <c r="AV120" i="4"/>
  <c r="AV114" i="4"/>
  <c r="AV109" i="4"/>
  <c r="AV104" i="4"/>
  <c r="AV98" i="4"/>
  <c r="AV93" i="4"/>
  <c r="AV85" i="4"/>
  <c r="AV77" i="4"/>
  <c r="AV69" i="4"/>
  <c r="AV61" i="4"/>
  <c r="AV53" i="4"/>
  <c r="AV45" i="4"/>
  <c r="AV37" i="4"/>
  <c r="AV29" i="4"/>
  <c r="AV21" i="4"/>
  <c r="AV13" i="4"/>
  <c r="AV5" i="4"/>
  <c r="BB412" i="4"/>
  <c r="BC412" i="4"/>
  <c r="BA412" i="4"/>
  <c r="BD412" i="4" s="1"/>
  <c r="BB408" i="4"/>
  <c r="BC408" i="4"/>
  <c r="BA408" i="4"/>
  <c r="AZ408" i="4"/>
  <c r="BD408" i="4" s="1"/>
  <c r="BC404" i="4"/>
  <c r="BA404" i="4"/>
  <c r="BB404" i="4"/>
  <c r="BA400" i="4"/>
  <c r="BB400" i="4"/>
  <c r="AZ400" i="4"/>
  <c r="BD400" i="4" s="1"/>
  <c r="BC400" i="4"/>
  <c r="BB396" i="4"/>
  <c r="BC396" i="4"/>
  <c r="BD396" i="4" s="1"/>
  <c r="BA396" i="4"/>
  <c r="BB392" i="4"/>
  <c r="BC392" i="4"/>
  <c r="BD392" i="4"/>
  <c r="AZ392" i="4"/>
  <c r="BC388" i="4"/>
  <c r="BA388" i="4"/>
  <c r="BD388" i="4" s="1"/>
  <c r="BA384" i="4"/>
  <c r="AZ384" i="4"/>
  <c r="BD384" i="4" s="1"/>
  <c r="BC384" i="4"/>
  <c r="BB384" i="4"/>
  <c r="BB380" i="4"/>
  <c r="BC380" i="4"/>
  <c r="BD380" i="4" s="1"/>
  <c r="BA380" i="4"/>
  <c r="BB376" i="4"/>
  <c r="BC376" i="4"/>
  <c r="BA376" i="4"/>
  <c r="BD376" i="4" s="1"/>
  <c r="AZ376" i="4"/>
  <c r="BC372" i="4"/>
  <c r="BA372" i="4"/>
  <c r="BB372" i="4"/>
  <c r="BA368" i="4"/>
  <c r="BB368" i="4"/>
  <c r="BD368" i="4" s="1"/>
  <c r="AZ368" i="4"/>
  <c r="BC368" i="4"/>
  <c r="BB364" i="4"/>
  <c r="BC364" i="4"/>
  <c r="BA364" i="4"/>
  <c r="BD364" i="4" s="1"/>
  <c r="BB360" i="4"/>
  <c r="BC360" i="4"/>
  <c r="AZ360" i="4"/>
  <c r="BD360" i="4" s="1"/>
  <c r="BC356" i="4"/>
  <c r="BD356" i="4" s="1"/>
  <c r="BA356" i="4"/>
  <c r="BA352" i="4"/>
  <c r="AZ352" i="4"/>
  <c r="BD352" i="4" s="1"/>
  <c r="BC352" i="4"/>
  <c r="BB352" i="4"/>
  <c r="BB348" i="4"/>
  <c r="BC348" i="4"/>
  <c r="BA348" i="4"/>
  <c r="BD348" i="4" s="1"/>
  <c r="BB344" i="4"/>
  <c r="BC344" i="4"/>
  <c r="BA344" i="4"/>
  <c r="AZ344" i="4"/>
  <c r="BC340" i="4"/>
  <c r="BA340" i="4"/>
  <c r="BB340" i="4"/>
  <c r="BA336" i="4"/>
  <c r="BB336" i="4"/>
  <c r="AZ336" i="4"/>
  <c r="BD336" i="4" s="1"/>
  <c r="BC336" i="4"/>
  <c r="BD332" i="4"/>
  <c r="BB332" i="4"/>
  <c r="BC332" i="4"/>
  <c r="BA332" i="4"/>
  <c r="BB328" i="4"/>
  <c r="BC328" i="4"/>
  <c r="AZ328" i="4"/>
  <c r="BD324" i="4"/>
  <c r="BC324" i="4"/>
  <c r="BA324" i="4"/>
  <c r="BA320" i="4"/>
  <c r="BD320" i="4" s="1"/>
  <c r="AZ320" i="4"/>
  <c r="BC320" i="4"/>
  <c r="BB320" i="4"/>
  <c r="BD316" i="4"/>
  <c r="BB316" i="4"/>
  <c r="BC316" i="4"/>
  <c r="BA316" i="4"/>
  <c r="BB312" i="4"/>
  <c r="BC312" i="4"/>
  <c r="BA312" i="4"/>
  <c r="AZ312" i="4"/>
  <c r="BD312" i="4" s="1"/>
  <c r="BC308" i="4"/>
  <c r="BA308" i="4"/>
  <c r="BB308" i="4"/>
  <c r="BA304" i="4"/>
  <c r="BB304" i="4"/>
  <c r="AZ304" i="4"/>
  <c r="BC304" i="4"/>
  <c r="BD304" i="4" s="1"/>
  <c r="BB300" i="4"/>
  <c r="BC300" i="4"/>
  <c r="BA300" i="4"/>
  <c r="BD300" i="4" s="1"/>
  <c r="BB296" i="4"/>
  <c r="BC296" i="4"/>
  <c r="AZ296" i="4"/>
  <c r="BD296" i="4" s="1"/>
  <c r="BC292" i="4"/>
  <c r="BA292" i="4"/>
  <c r="BA288" i="4"/>
  <c r="AZ288" i="4"/>
  <c r="BC288" i="4"/>
  <c r="BB288" i="4"/>
  <c r="BD288" i="4" s="1"/>
  <c r="BB284" i="4"/>
  <c r="BC284" i="4"/>
  <c r="BA284" i="4"/>
  <c r="BD284" i="4" s="1"/>
  <c r="BB280" i="4"/>
  <c r="BC280" i="4"/>
  <c r="BA280" i="4"/>
  <c r="AZ280" i="4"/>
  <c r="BC276" i="4"/>
  <c r="BA276" i="4"/>
  <c r="BB276" i="4"/>
  <c r="BA272" i="4"/>
  <c r="BB272" i="4"/>
  <c r="AZ272" i="4"/>
  <c r="BD272" i="4" s="1"/>
  <c r="BC272" i="4"/>
  <c r="BB268" i="4"/>
  <c r="BC268" i="4"/>
  <c r="BD268" i="4" s="1"/>
  <c r="BA268" i="4"/>
  <c r="BC264" i="4"/>
  <c r="BB264" i="4"/>
  <c r="BD264" i="4"/>
  <c r="AZ264" i="4"/>
  <c r="BC260" i="4"/>
  <c r="BA260" i="4"/>
  <c r="BC256" i="4"/>
  <c r="BA256" i="4"/>
  <c r="AZ256" i="4"/>
  <c r="BD256" i="4" s="1"/>
  <c r="BB256" i="4"/>
  <c r="BB252" i="4"/>
  <c r="BA252" i="4"/>
  <c r="BD252" i="4" s="1"/>
  <c r="BC252" i="4"/>
  <c r="BB248" i="4"/>
  <c r="BC248" i="4"/>
  <c r="BA248" i="4"/>
  <c r="BD248" i="4" s="1"/>
  <c r="AZ248" i="4"/>
  <c r="BC244" i="4"/>
  <c r="BA244" i="4"/>
  <c r="BB244" i="4"/>
  <c r="BC240" i="4"/>
  <c r="BA240" i="4"/>
  <c r="BB240" i="4"/>
  <c r="AZ240" i="4"/>
  <c r="BD240" i="4" s="1"/>
  <c r="BB236" i="4"/>
  <c r="BC236" i="4"/>
  <c r="BA236" i="4"/>
  <c r="BD236" i="4" s="1"/>
  <c r="BC232" i="4"/>
  <c r="BB232" i="4"/>
  <c r="AZ232" i="4"/>
  <c r="BD232" i="4" s="1"/>
  <c r="BC228" i="4"/>
  <c r="BA228" i="4"/>
  <c r="BC224" i="4"/>
  <c r="BA224" i="4"/>
  <c r="BD224" i="4" s="1"/>
  <c r="AZ224" i="4"/>
  <c r="BB224" i="4"/>
  <c r="BB220" i="4"/>
  <c r="BD220" i="4" s="1"/>
  <c r="BA220" i="4"/>
  <c r="BC220" i="4"/>
  <c r="BB216" i="4"/>
  <c r="BA216" i="4"/>
  <c r="AZ216" i="4"/>
  <c r="BC212" i="4"/>
  <c r="BA212" i="4"/>
  <c r="BB212" i="4"/>
  <c r="BC208" i="4"/>
  <c r="BA208" i="4"/>
  <c r="BB208" i="4"/>
  <c r="AZ208" i="4"/>
  <c r="BD208" i="4" s="1"/>
  <c r="BB204" i="4"/>
  <c r="BD204" i="4" s="1"/>
  <c r="BA204" i="4"/>
  <c r="BC204" i="4"/>
  <c r="BC200" i="4"/>
  <c r="BB200" i="4"/>
  <c r="AZ200" i="4"/>
  <c r="BD200" i="4" s="1"/>
  <c r="BC196" i="4"/>
  <c r="BA196" i="4"/>
  <c r="BC192" i="4"/>
  <c r="BA192" i="4"/>
  <c r="BD192" i="4" s="1"/>
  <c r="AZ192" i="4"/>
  <c r="BB192" i="4"/>
  <c r="BB188" i="4"/>
  <c r="BD188" i="4" s="1"/>
  <c r="BA188" i="4"/>
  <c r="BC184" i="4"/>
  <c r="BB184" i="4"/>
  <c r="BA184" i="4"/>
  <c r="AZ184" i="4"/>
  <c r="BD184" i="4" s="1"/>
  <c r="BC180" i="4"/>
  <c r="BA180" i="4"/>
  <c r="BB180" i="4"/>
  <c r="BC176" i="4"/>
  <c r="BA176" i="4"/>
  <c r="BB176" i="4"/>
  <c r="AZ176" i="4"/>
  <c r="BD176" i="4" s="1"/>
  <c r="BB172" i="4"/>
  <c r="BD172" i="4" s="1"/>
  <c r="BA172" i="4"/>
  <c r="BC172" i="4"/>
  <c r="BC168" i="4"/>
  <c r="BB168" i="4"/>
  <c r="AZ168" i="4"/>
  <c r="BD168" i="4" s="1"/>
  <c r="BC164" i="4"/>
  <c r="BD164" i="4" s="1"/>
  <c r="BA164" i="4"/>
  <c r="BC160" i="4"/>
  <c r="BA160" i="4"/>
  <c r="BD160" i="4" s="1"/>
  <c r="AZ160" i="4"/>
  <c r="BB160" i="4"/>
  <c r="BB156" i="4"/>
  <c r="BD156" i="4" s="1"/>
  <c r="BA156" i="4"/>
  <c r="BC152" i="4"/>
  <c r="BB152" i="4"/>
  <c r="BA152" i="4"/>
  <c r="BD152" i="4" s="1"/>
  <c r="AZ152" i="4"/>
  <c r="BC148" i="4"/>
  <c r="BA148" i="4"/>
  <c r="BB148" i="4"/>
  <c r="BC144" i="4"/>
  <c r="BA144" i="4"/>
  <c r="BB144" i="4"/>
  <c r="AZ144" i="4"/>
  <c r="BD144" i="4" s="1"/>
  <c r="BB140" i="4"/>
  <c r="BD140" i="4" s="1"/>
  <c r="BA140" i="4"/>
  <c r="BC140" i="4"/>
  <c r="BC136" i="4"/>
  <c r="BB136" i="4"/>
  <c r="AZ136" i="4"/>
  <c r="BD136" i="4" s="1"/>
  <c r="BC132" i="4"/>
  <c r="BA132" i="4"/>
  <c r="BC128" i="4"/>
  <c r="BA128" i="4"/>
  <c r="BD128" i="4" s="1"/>
  <c r="AZ128" i="4"/>
  <c r="BB128" i="4"/>
  <c r="BB124" i="4"/>
  <c r="BD124" i="4" s="1"/>
  <c r="BA124" i="4"/>
  <c r="BC120" i="4"/>
  <c r="BB120" i="4"/>
  <c r="BA120" i="4"/>
  <c r="BD120" i="4" s="1"/>
  <c r="AZ120" i="4"/>
  <c r="BC116" i="4"/>
  <c r="BA116" i="4"/>
  <c r="BB116" i="4"/>
  <c r="BC112" i="4"/>
  <c r="BA112" i="4"/>
  <c r="BB112" i="4"/>
  <c r="AZ112" i="4"/>
  <c r="BD112" i="4" s="1"/>
  <c r="BB108" i="4"/>
  <c r="BD108" i="4" s="1"/>
  <c r="BA108" i="4"/>
  <c r="BC108" i="4"/>
  <c r="BC104" i="4"/>
  <c r="BB104" i="4"/>
  <c r="AZ104" i="4"/>
  <c r="BD104" i="4" s="1"/>
  <c r="BC100" i="4"/>
  <c r="BA100" i="4"/>
  <c r="BC96" i="4"/>
  <c r="BA96" i="4"/>
  <c r="BD96" i="4" s="1"/>
  <c r="AZ96" i="4"/>
  <c r="BB96" i="4"/>
  <c r="BB92" i="4"/>
  <c r="BD92" i="4" s="1"/>
  <c r="BA92" i="4"/>
  <c r="BC88" i="4"/>
  <c r="BB88" i="4"/>
  <c r="BA88" i="4"/>
  <c r="AZ88" i="4"/>
  <c r="BC84" i="4"/>
  <c r="BA84" i="4"/>
  <c r="BB84" i="4"/>
  <c r="BC80" i="4"/>
  <c r="BA80" i="4"/>
  <c r="BB80" i="4"/>
  <c r="AZ80" i="4"/>
  <c r="BD80" i="4" s="1"/>
  <c r="BB76" i="4"/>
  <c r="BD76" i="4" s="1"/>
  <c r="BA76" i="4"/>
  <c r="BC76" i="4"/>
  <c r="BC72" i="4"/>
  <c r="BB72" i="4"/>
  <c r="AZ72" i="4"/>
  <c r="BD72" i="4" s="1"/>
  <c r="BC68" i="4"/>
  <c r="BA68" i="4"/>
  <c r="BC64" i="4"/>
  <c r="BA64" i="4"/>
  <c r="BD64" i="4" s="1"/>
  <c r="AZ64" i="4"/>
  <c r="BB64" i="4"/>
  <c r="BB60" i="4"/>
  <c r="BD60" i="4" s="1"/>
  <c r="BA60" i="4"/>
  <c r="BC56" i="4"/>
  <c r="BB56" i="4"/>
  <c r="BA56" i="4"/>
  <c r="AZ56" i="4"/>
  <c r="BD56" i="4" s="1"/>
  <c r="BC52" i="4"/>
  <c r="BA52" i="4"/>
  <c r="BB52" i="4"/>
  <c r="BC48" i="4"/>
  <c r="BA48" i="4"/>
  <c r="BB48" i="4"/>
  <c r="AZ48" i="4"/>
  <c r="BD48" i="4" s="1"/>
  <c r="BB44" i="4"/>
  <c r="BD44" i="4" s="1"/>
  <c r="BA44" i="4"/>
  <c r="BC44" i="4"/>
  <c r="BC40" i="4"/>
  <c r="BB40" i="4"/>
  <c r="BD40" i="4" s="1"/>
  <c r="BC36" i="4"/>
  <c r="AZ36" i="4"/>
  <c r="BD36" i="4" s="1"/>
  <c r="BA36" i="4"/>
  <c r="BC32" i="4"/>
  <c r="BA32" i="4"/>
  <c r="BD32" i="4" s="1"/>
  <c r="AZ32" i="4"/>
  <c r="BB32" i="4"/>
  <c r="BB28" i="4"/>
  <c r="BA28" i="4"/>
  <c r="AZ28" i="4"/>
  <c r="BD28" i="4" s="1"/>
  <c r="BC24" i="4"/>
  <c r="BB24" i="4"/>
  <c r="BD24" i="4" s="1"/>
  <c r="AZ24" i="4"/>
  <c r="BA24" i="4"/>
  <c r="BC20" i="4"/>
  <c r="AZ20" i="4"/>
  <c r="BA20" i="4"/>
  <c r="BD20" i="4" s="1"/>
  <c r="BB20" i="4"/>
  <c r="BC16" i="4"/>
  <c r="BA16" i="4"/>
  <c r="BB16" i="4"/>
  <c r="AZ16" i="4"/>
  <c r="BD16" i="4" s="1"/>
  <c r="BA12" i="4"/>
  <c r="BB12" i="4"/>
  <c r="BC12" i="4"/>
  <c r="BC8" i="4"/>
  <c r="BB8" i="4"/>
  <c r="AZ8" i="4"/>
  <c r="BD8" i="4" s="1"/>
  <c r="BC4" i="4"/>
  <c r="AZ4" i="4"/>
  <c r="BD4" i="4" s="1"/>
  <c r="BB4" i="4"/>
  <c r="BA4" i="4"/>
  <c r="AZ404" i="4"/>
  <c r="BD404" i="4" s="1"/>
  <c r="AZ388" i="4"/>
  <c r="AZ372" i="4"/>
  <c r="BD372" i="4" s="1"/>
  <c r="AZ356" i="4"/>
  <c r="AZ340" i="4"/>
  <c r="BD340" i="4" s="1"/>
  <c r="AZ324" i="4"/>
  <c r="AZ308" i="4"/>
  <c r="BD308" i="4" s="1"/>
  <c r="AZ292" i="4"/>
  <c r="BD292" i="4" s="1"/>
  <c r="AZ276" i="4"/>
  <c r="BD276" i="4" s="1"/>
  <c r="AZ260" i="4"/>
  <c r="BD260" i="4" s="1"/>
  <c r="AZ244" i="4"/>
  <c r="BD244" i="4" s="1"/>
  <c r="AZ228" i="4"/>
  <c r="AZ212" i="4"/>
  <c r="BD212" i="4" s="1"/>
  <c r="AZ196" i="4"/>
  <c r="BD196" i="4" s="1"/>
  <c r="AZ180" i="4"/>
  <c r="BD180" i="4" s="1"/>
  <c r="AZ164" i="4"/>
  <c r="AZ148" i="4"/>
  <c r="BD148" i="4" s="1"/>
  <c r="AZ132" i="4"/>
  <c r="BD132" i="4" s="1"/>
  <c r="AZ116" i="4"/>
  <c r="BD116" i="4" s="1"/>
  <c r="AZ100" i="4"/>
  <c r="AZ84" i="4"/>
  <c r="BD84" i="4" s="1"/>
  <c r="AZ68" i="4"/>
  <c r="BD68" i="4" s="1"/>
  <c r="AZ52" i="4"/>
  <c r="BD52" i="4" s="1"/>
  <c r="BA413" i="4"/>
  <c r="BA360" i="4"/>
  <c r="BA264" i="4"/>
  <c r="BA200" i="4"/>
  <c r="BA136" i="4"/>
  <c r="BA72" i="4"/>
  <c r="BA8" i="4"/>
  <c r="BB377" i="4"/>
  <c r="BB324" i="4"/>
  <c r="BB281" i="4"/>
  <c r="BB217" i="4"/>
  <c r="BB153" i="4"/>
  <c r="BB89" i="4"/>
  <c r="BB25" i="4"/>
  <c r="BD25" i="4" s="1"/>
  <c r="BC373" i="4"/>
  <c r="BC309" i="4"/>
  <c r="BC237" i="4"/>
  <c r="BC124" i="4"/>
  <c r="BD280" i="4"/>
  <c r="AV412" i="4"/>
  <c r="AV406" i="4"/>
  <c r="AV401" i="4"/>
  <c r="AV396" i="4"/>
  <c r="AV390" i="4"/>
  <c r="AV385" i="4"/>
  <c r="AV380" i="4"/>
  <c r="AV374" i="4"/>
  <c r="AV369" i="4"/>
  <c r="AV364" i="4"/>
  <c r="AV358" i="4"/>
  <c r="AV353" i="4"/>
  <c r="AV348" i="4"/>
  <c r="AV342" i="4"/>
  <c r="AV337" i="4"/>
  <c r="AV332" i="4"/>
  <c r="AV326" i="4"/>
  <c r="AV321" i="4"/>
  <c r="AV316" i="4"/>
  <c r="AV310" i="4"/>
  <c r="AV305" i="4"/>
  <c r="AV300" i="4"/>
  <c r="AV294" i="4"/>
  <c r="AV289" i="4"/>
  <c r="AV284" i="4"/>
  <c r="AV278" i="4"/>
  <c r="AV273" i="4"/>
  <c r="AV268" i="4"/>
  <c r="AV262" i="4"/>
  <c r="AV257" i="4"/>
  <c r="AV252" i="4"/>
  <c r="AV246" i="4"/>
  <c r="AV241" i="4"/>
  <c r="AV236" i="4"/>
  <c r="AV230" i="4"/>
  <c r="AV225" i="4"/>
  <c r="AV220" i="4"/>
  <c r="AV214" i="4"/>
  <c r="AV209" i="4"/>
  <c r="AV204" i="4"/>
  <c r="AV198" i="4"/>
  <c r="AV193" i="4"/>
  <c r="AV188" i="4"/>
  <c r="AV182" i="4"/>
  <c r="AV177" i="4"/>
  <c r="AV172" i="4"/>
  <c r="AV166" i="4"/>
  <c r="AV161" i="4"/>
  <c r="AV156" i="4"/>
  <c r="AV150" i="4"/>
  <c r="AV145" i="4"/>
  <c r="AV140" i="4"/>
  <c r="AV134" i="4"/>
  <c r="AV129" i="4"/>
  <c r="AV124" i="4"/>
  <c r="AV118" i="4"/>
  <c r="AV113" i="4"/>
  <c r="AV108" i="4"/>
  <c r="AV102" i="4"/>
  <c r="AV97" i="4"/>
  <c r="AV92" i="4"/>
  <c r="AV84" i="4"/>
  <c r="AV76" i="4"/>
  <c r="AV68" i="4"/>
  <c r="AV60" i="4"/>
  <c r="AV52" i="4"/>
  <c r="AV44" i="4"/>
  <c r="AV36" i="4"/>
  <c r="AV28" i="4"/>
  <c r="AV20" i="4"/>
  <c r="AV12" i="4"/>
  <c r="AV4" i="4"/>
  <c r="AZ401" i="4"/>
  <c r="AZ385" i="4"/>
  <c r="BD385" i="4" s="1"/>
  <c r="AZ369" i="4"/>
  <c r="AZ353" i="4"/>
  <c r="BD353" i="4" s="1"/>
  <c r="AZ337" i="4"/>
  <c r="AZ321" i="4"/>
  <c r="BD321" i="4" s="1"/>
  <c r="AZ305" i="4"/>
  <c r="AZ289" i="4"/>
  <c r="BD289" i="4" s="1"/>
  <c r="AZ273" i="4"/>
  <c r="AZ257" i="4"/>
  <c r="BD257" i="4" s="1"/>
  <c r="AZ241" i="4"/>
  <c r="AZ225" i="4"/>
  <c r="BD225" i="4" s="1"/>
  <c r="AZ209" i="4"/>
  <c r="BD209" i="4" s="1"/>
  <c r="AZ193" i="4"/>
  <c r="BD193" i="4" s="1"/>
  <c r="AZ177" i="4"/>
  <c r="AZ161" i="4"/>
  <c r="BD161" i="4" s="1"/>
  <c r="AZ145" i="4"/>
  <c r="BD145" i="4" s="1"/>
  <c r="AZ129" i="4"/>
  <c r="BD129" i="4" s="1"/>
  <c r="AZ113" i="4"/>
  <c r="AZ97" i="4"/>
  <c r="BD97" i="4" s="1"/>
  <c r="AZ81" i="4"/>
  <c r="BD81" i="4" s="1"/>
  <c r="AZ65" i="4"/>
  <c r="BD65" i="4" s="1"/>
  <c r="AZ49" i="4"/>
  <c r="BD49" i="4" s="1"/>
  <c r="AZ12" i="4"/>
  <c r="BD12" i="4" s="1"/>
  <c r="BA381" i="4"/>
  <c r="BA328" i="4"/>
  <c r="BD328" i="4" s="1"/>
  <c r="BA285" i="4"/>
  <c r="BA221" i="4"/>
  <c r="BA157" i="4"/>
  <c r="BA93" i="4"/>
  <c r="BA29" i="4"/>
  <c r="BB345" i="4"/>
  <c r="BB292" i="4"/>
  <c r="BB228" i="4"/>
  <c r="BD228" i="4" s="1"/>
  <c r="BB164" i="4"/>
  <c r="BB100" i="4"/>
  <c r="BD100" i="4" s="1"/>
  <c r="BB36" i="4"/>
  <c r="BB9" i="4"/>
  <c r="BC357" i="4"/>
  <c r="BC293" i="4"/>
  <c r="BD293" i="4" s="1"/>
  <c r="BC216" i="4"/>
  <c r="BC92" i="4"/>
  <c r="BD411" i="4"/>
  <c r="BC411" i="4"/>
  <c r="BA411" i="4"/>
  <c r="AZ411" i="4"/>
  <c r="BC407" i="4"/>
  <c r="BB407" i="4"/>
  <c r="BA407" i="4"/>
  <c r="AZ407" i="4"/>
  <c r="BD407" i="4" s="1"/>
  <c r="BC403" i="4"/>
  <c r="BB403" i="4"/>
  <c r="AZ403" i="4"/>
  <c r="BD403" i="4" s="1"/>
  <c r="BC399" i="4"/>
  <c r="AZ399" i="4"/>
  <c r="BD399" i="4" s="1"/>
  <c r="BD395" i="4"/>
  <c r="BC395" i="4"/>
  <c r="BA395" i="4"/>
  <c r="AZ395" i="4"/>
  <c r="BC391" i="4"/>
  <c r="BB391" i="4"/>
  <c r="BA391" i="4"/>
  <c r="AZ391" i="4"/>
  <c r="BD391" i="4" s="1"/>
  <c r="BC387" i="4"/>
  <c r="BB387" i="4"/>
  <c r="AZ387" i="4"/>
  <c r="BD387" i="4" s="1"/>
  <c r="BC383" i="4"/>
  <c r="AZ383" i="4"/>
  <c r="BD383" i="4" s="1"/>
  <c r="BD379" i="4"/>
  <c r="BC379" i="4"/>
  <c r="BA379" i="4"/>
  <c r="AZ379" i="4"/>
  <c r="BC375" i="4"/>
  <c r="BB375" i="4"/>
  <c r="BA375" i="4"/>
  <c r="AZ375" i="4"/>
  <c r="BD375" i="4" s="1"/>
  <c r="BC371" i="4"/>
  <c r="BB371" i="4"/>
  <c r="AZ371" i="4"/>
  <c r="BD371" i="4" s="1"/>
  <c r="BC367" i="4"/>
  <c r="AZ367" i="4"/>
  <c r="BD367" i="4" s="1"/>
  <c r="BD363" i="4"/>
  <c r="BC363" i="4"/>
  <c r="BA363" i="4"/>
  <c r="AZ363" i="4"/>
  <c r="BC359" i="4"/>
  <c r="BB359" i="4"/>
  <c r="BA359" i="4"/>
  <c r="AZ359" i="4"/>
  <c r="BD359" i="4" s="1"/>
  <c r="BC355" i="4"/>
  <c r="BB355" i="4"/>
  <c r="AZ355" i="4"/>
  <c r="BD355" i="4" s="1"/>
  <c r="BC351" i="4"/>
  <c r="AZ351" i="4"/>
  <c r="BD351" i="4" s="1"/>
  <c r="BD347" i="4"/>
  <c r="BC347" i="4"/>
  <c r="BA347" i="4"/>
  <c r="AZ347" i="4"/>
  <c r="BC343" i="4"/>
  <c r="BB343" i="4"/>
  <c r="BA343" i="4"/>
  <c r="AZ343" i="4"/>
  <c r="BD343" i="4" s="1"/>
  <c r="BC339" i="4"/>
  <c r="BB339" i="4"/>
  <c r="AZ339" i="4"/>
  <c r="BD339" i="4" s="1"/>
  <c r="BC335" i="4"/>
  <c r="AZ335" i="4"/>
  <c r="BD335" i="4" s="1"/>
  <c r="BD331" i="4"/>
  <c r="BC331" i="4"/>
  <c r="BA331" i="4"/>
  <c r="AZ331" i="4"/>
  <c r="BC327" i="4"/>
  <c r="BB327" i="4"/>
  <c r="BA327" i="4"/>
  <c r="AZ327" i="4"/>
  <c r="BD327" i="4" s="1"/>
  <c r="BC323" i="4"/>
  <c r="BB323" i="4"/>
  <c r="AZ323" i="4"/>
  <c r="BD323" i="4" s="1"/>
  <c r="BC319" i="4"/>
  <c r="AZ319" i="4"/>
  <c r="BD319" i="4" s="1"/>
  <c r="BD315" i="4"/>
  <c r="BC315" i="4"/>
  <c r="BA315" i="4"/>
  <c r="AZ315" i="4"/>
  <c r="BC311" i="4"/>
  <c r="BB311" i="4"/>
  <c r="BA311" i="4"/>
  <c r="AZ311" i="4"/>
  <c r="BD311" i="4" s="1"/>
  <c r="BC307" i="4"/>
  <c r="BB307" i="4"/>
  <c r="AZ307" i="4"/>
  <c r="BD307" i="4" s="1"/>
  <c r="BC303" i="4"/>
  <c r="AZ303" i="4"/>
  <c r="BD303" i="4" s="1"/>
  <c r="BD299" i="4"/>
  <c r="BC299" i="4"/>
  <c r="BA299" i="4"/>
  <c r="AZ299" i="4"/>
  <c r="BA387" i="4"/>
  <c r="BA355" i="4"/>
  <c r="BA323" i="4"/>
  <c r="BB383" i="4"/>
  <c r="BB351" i="4"/>
  <c r="BB319" i="4"/>
  <c r="BC414" i="4"/>
  <c r="BB414" i="4"/>
  <c r="BA414" i="4"/>
  <c r="AZ414" i="4"/>
  <c r="BD414" i="4" s="1"/>
  <c r="BC410" i="4"/>
  <c r="BB410" i="4"/>
  <c r="BA410" i="4"/>
  <c r="AZ410" i="4"/>
  <c r="BD410" i="4" s="1"/>
  <c r="BC406" i="4"/>
  <c r="BB406" i="4"/>
  <c r="BA406" i="4"/>
  <c r="AZ406" i="4"/>
  <c r="BD406" i="4" s="1"/>
  <c r="BC402" i="4"/>
  <c r="BB402" i="4"/>
  <c r="BA402" i="4"/>
  <c r="AZ402" i="4"/>
  <c r="BD402" i="4" s="1"/>
  <c r="BC398" i="4"/>
  <c r="BB398" i="4"/>
  <c r="BA398" i="4"/>
  <c r="AZ398" i="4"/>
  <c r="BD398" i="4" s="1"/>
  <c r="BC394" i="4"/>
  <c r="BB394" i="4"/>
  <c r="BA394" i="4"/>
  <c r="AZ394" i="4"/>
  <c r="BD394" i="4" s="1"/>
  <c r="BC390" i="4"/>
  <c r="BB390" i="4"/>
  <c r="BA390" i="4"/>
  <c r="AZ390" i="4"/>
  <c r="BD390" i="4" s="1"/>
  <c r="BC386" i="4"/>
  <c r="BB386" i="4"/>
  <c r="BA386" i="4"/>
  <c r="AZ386" i="4"/>
  <c r="BD386" i="4" s="1"/>
  <c r="BC382" i="4"/>
  <c r="BB382" i="4"/>
  <c r="BA382" i="4"/>
  <c r="AZ382" i="4"/>
  <c r="BD382" i="4" s="1"/>
  <c r="BC378" i="4"/>
  <c r="BB378" i="4"/>
  <c r="BA378" i="4"/>
  <c r="AZ378" i="4"/>
  <c r="BD378" i="4" s="1"/>
  <c r="BC374" i="4"/>
  <c r="BB374" i="4"/>
  <c r="BA374" i="4"/>
  <c r="AZ374" i="4"/>
  <c r="BD374" i="4" s="1"/>
  <c r="BC370" i="4"/>
  <c r="BB370" i="4"/>
  <c r="BA370" i="4"/>
  <c r="AZ370" i="4"/>
  <c r="BD370" i="4" s="1"/>
  <c r="BC366" i="4"/>
  <c r="BB366" i="4"/>
  <c r="BA366" i="4"/>
  <c r="AZ366" i="4"/>
  <c r="BD366" i="4" s="1"/>
  <c r="BC362" i="4"/>
  <c r="BB362" i="4"/>
  <c r="BA362" i="4"/>
  <c r="AZ362" i="4"/>
  <c r="BD362" i="4" s="1"/>
  <c r="BC358" i="4"/>
  <c r="BB358" i="4"/>
  <c r="BA358" i="4"/>
  <c r="AZ358" i="4"/>
  <c r="BD358" i="4" s="1"/>
  <c r="BC354" i="4"/>
  <c r="BB354" i="4"/>
  <c r="BA354" i="4"/>
  <c r="AZ354" i="4"/>
  <c r="BD354" i="4" s="1"/>
  <c r="BC350" i="4"/>
  <c r="BB350" i="4"/>
  <c r="BA350" i="4"/>
  <c r="AZ350" i="4"/>
  <c r="BD350" i="4" s="1"/>
  <c r="BC346" i="4"/>
  <c r="BB346" i="4"/>
  <c r="BA346" i="4"/>
  <c r="AZ346" i="4"/>
  <c r="BD346" i="4" s="1"/>
  <c r="BC342" i="4"/>
  <c r="BB342" i="4"/>
  <c r="BA342" i="4"/>
  <c r="AZ342" i="4"/>
  <c r="BD342" i="4" s="1"/>
  <c r="BC338" i="4"/>
  <c r="BB338" i="4"/>
  <c r="BA338" i="4"/>
  <c r="AZ338" i="4"/>
  <c r="BD338" i="4" s="1"/>
  <c r="BC334" i="4"/>
  <c r="BB334" i="4"/>
  <c r="BA334" i="4"/>
  <c r="AZ334" i="4"/>
  <c r="BD334" i="4" s="1"/>
  <c r="BC330" i="4"/>
  <c r="BB330" i="4"/>
  <c r="BA330" i="4"/>
  <c r="AZ330" i="4"/>
  <c r="BD330" i="4" s="1"/>
  <c r="BC326" i="4"/>
  <c r="BB326" i="4"/>
  <c r="BA326" i="4"/>
  <c r="AZ326" i="4"/>
  <c r="BD326" i="4" s="1"/>
  <c r="BC322" i="4"/>
  <c r="BB322" i="4"/>
  <c r="BA322" i="4"/>
  <c r="AZ322" i="4"/>
  <c r="BD322" i="4" s="1"/>
  <c r="BC318" i="4"/>
  <c r="BB318" i="4"/>
  <c r="BA318" i="4"/>
  <c r="AZ318" i="4"/>
  <c r="BD318" i="4" s="1"/>
  <c r="BC314" i="4"/>
  <c r="BB314" i="4"/>
  <c r="BA314" i="4"/>
  <c r="AZ314" i="4"/>
  <c r="BD314" i="4" s="1"/>
  <c r="BC310" i="4"/>
  <c r="BB310" i="4"/>
  <c r="BA310" i="4"/>
  <c r="AZ310" i="4"/>
  <c r="BD310" i="4" s="1"/>
  <c r="BC306" i="4"/>
  <c r="BB306" i="4"/>
  <c r="BA306" i="4"/>
  <c r="AZ306" i="4"/>
  <c r="BD306" i="4" s="1"/>
  <c r="BC302" i="4"/>
  <c r="BB302" i="4"/>
  <c r="BA302" i="4"/>
  <c r="AZ302" i="4"/>
  <c r="BD302" i="4" s="1"/>
  <c r="BC298" i="4"/>
  <c r="BB298" i="4"/>
  <c r="BA298" i="4"/>
  <c r="AZ298" i="4"/>
  <c r="BD298" i="4" s="1"/>
  <c r="BC294" i="4"/>
  <c r="BB294" i="4"/>
  <c r="BA294" i="4"/>
  <c r="AZ294" i="4"/>
  <c r="BD294" i="4" s="1"/>
  <c r="BC290" i="4"/>
  <c r="BB290" i="4"/>
  <c r="BA290" i="4"/>
  <c r="AZ290" i="4"/>
  <c r="BD290" i="4" s="1"/>
  <c r="BC286" i="4"/>
  <c r="BB286" i="4"/>
  <c r="BA286" i="4"/>
  <c r="AZ286" i="4"/>
  <c r="BD286" i="4" s="1"/>
  <c r="BC282" i="4"/>
  <c r="BB282" i="4"/>
  <c r="BA282" i="4"/>
  <c r="AZ282" i="4"/>
  <c r="BD282" i="4" s="1"/>
  <c r="BC278" i="4"/>
  <c r="BB278" i="4"/>
  <c r="BA278" i="4"/>
  <c r="AZ278" i="4"/>
  <c r="BD278" i="4" s="1"/>
  <c r="BC274" i="4"/>
  <c r="BB274" i="4"/>
  <c r="BA274" i="4"/>
  <c r="AZ274" i="4"/>
  <c r="BD274" i="4" s="1"/>
  <c r="BC270" i="4"/>
  <c r="BB270" i="4"/>
  <c r="BA270" i="4"/>
  <c r="AZ270" i="4"/>
  <c r="BD270" i="4" s="1"/>
  <c r="BB266" i="4"/>
  <c r="BA266" i="4"/>
  <c r="BC266" i="4"/>
  <c r="AZ266" i="4"/>
  <c r="BD266" i="4" s="1"/>
  <c r="BB262" i="4"/>
  <c r="BA262" i="4"/>
  <c r="AZ262" i="4"/>
  <c r="BD258" i="4"/>
  <c r="BB258" i="4"/>
  <c r="BA258" i="4"/>
  <c r="AZ258" i="4"/>
  <c r="BC254" i="4"/>
  <c r="BB254" i="4"/>
  <c r="BA254" i="4"/>
  <c r="AZ254" i="4"/>
  <c r="BD254" i="4" s="1"/>
  <c r="BB250" i="4"/>
  <c r="BA250" i="4"/>
  <c r="BC250" i="4"/>
  <c r="AZ250" i="4"/>
  <c r="BD250" i="4" s="1"/>
  <c r="BB246" i="4"/>
  <c r="BA246" i="4"/>
  <c r="BD246" i="4" s="1"/>
  <c r="AZ246" i="4"/>
  <c r="BC246" i="4"/>
  <c r="BB242" i="4"/>
  <c r="BA242" i="4"/>
  <c r="BC242" i="4"/>
  <c r="AZ242" i="4"/>
  <c r="BD242" i="4" s="1"/>
  <c r="BC238" i="4"/>
  <c r="BB238" i="4"/>
  <c r="BA238" i="4"/>
  <c r="AZ238" i="4"/>
  <c r="BD238" i="4" s="1"/>
  <c r="BB234" i="4"/>
  <c r="BA234" i="4"/>
  <c r="BC234" i="4"/>
  <c r="AZ234" i="4"/>
  <c r="BD234" i="4" s="1"/>
  <c r="BB230" i="4"/>
  <c r="BA230" i="4"/>
  <c r="BD230" i="4" s="1"/>
  <c r="AZ230" i="4"/>
  <c r="BB226" i="4"/>
  <c r="BA226" i="4"/>
  <c r="BD226" i="4" s="1"/>
  <c r="AZ226" i="4"/>
  <c r="BC222" i="4"/>
  <c r="BB222" i="4"/>
  <c r="BA222" i="4"/>
  <c r="AZ222" i="4"/>
  <c r="BD222" i="4" s="1"/>
  <c r="BB218" i="4"/>
  <c r="BA218" i="4"/>
  <c r="BC218" i="4"/>
  <c r="AZ218" i="4"/>
  <c r="BD218" i="4" s="1"/>
  <c r="BB214" i="4"/>
  <c r="BA214" i="4"/>
  <c r="AZ214" i="4"/>
  <c r="BC214" i="4"/>
  <c r="BD214" i="4" s="1"/>
  <c r="BB210" i="4"/>
  <c r="BA210" i="4"/>
  <c r="BC210" i="4"/>
  <c r="AZ210" i="4"/>
  <c r="BD210" i="4" s="1"/>
  <c r="BC206" i="4"/>
  <c r="BB206" i="4"/>
  <c r="BA206" i="4"/>
  <c r="AZ206" i="4"/>
  <c r="BD206" i="4" s="1"/>
  <c r="BC202" i="4"/>
  <c r="BB202" i="4"/>
  <c r="BA202" i="4"/>
  <c r="AZ202" i="4"/>
  <c r="BD202" i="4" s="1"/>
  <c r="BC198" i="4"/>
  <c r="BB198" i="4"/>
  <c r="BA198" i="4"/>
  <c r="AZ198" i="4"/>
  <c r="BD198" i="4" s="1"/>
  <c r="BC194" i="4"/>
  <c r="BB194" i="4"/>
  <c r="BA194" i="4"/>
  <c r="AZ194" i="4"/>
  <c r="BD194" i="4" s="1"/>
  <c r="BC190" i="4"/>
  <c r="BB190" i="4"/>
  <c r="BA190" i="4"/>
  <c r="AZ190" i="4"/>
  <c r="BD190" i="4" s="1"/>
  <c r="BC186" i="4"/>
  <c r="BB186" i="4"/>
  <c r="BA186" i="4"/>
  <c r="AZ186" i="4"/>
  <c r="BD186" i="4" s="1"/>
  <c r="BC182" i="4"/>
  <c r="BB182" i="4"/>
  <c r="BA182" i="4"/>
  <c r="AZ182" i="4"/>
  <c r="BD182" i="4" s="1"/>
  <c r="BC178" i="4"/>
  <c r="BB178" i="4"/>
  <c r="BA178" i="4"/>
  <c r="AZ178" i="4"/>
  <c r="BD178" i="4" s="1"/>
  <c r="BC174" i="4"/>
  <c r="BB174" i="4"/>
  <c r="BA174" i="4"/>
  <c r="AZ174" i="4"/>
  <c r="BD174" i="4" s="1"/>
  <c r="BC170" i="4"/>
  <c r="BB170" i="4"/>
  <c r="BA170" i="4"/>
  <c r="AZ170" i="4"/>
  <c r="BD170" i="4" s="1"/>
  <c r="BC166" i="4"/>
  <c r="BB166" i="4"/>
  <c r="BA166" i="4"/>
  <c r="AZ166" i="4"/>
  <c r="BD166" i="4" s="1"/>
  <c r="BC162" i="4"/>
  <c r="BB162" i="4"/>
  <c r="BA162" i="4"/>
  <c r="AZ162" i="4"/>
  <c r="BD162" i="4" s="1"/>
  <c r="BC158" i="4"/>
  <c r="BB158" i="4"/>
  <c r="BA158" i="4"/>
  <c r="AZ158" i="4"/>
  <c r="BD158" i="4" s="1"/>
  <c r="BC154" i="4"/>
  <c r="BB154" i="4"/>
  <c r="BA154" i="4"/>
  <c r="AZ154" i="4"/>
  <c r="BD154" i="4" s="1"/>
  <c r="BC150" i="4"/>
  <c r="BB150" i="4"/>
  <c r="BA150" i="4"/>
  <c r="AZ150" i="4"/>
  <c r="BD150" i="4" s="1"/>
  <c r="BC146" i="4"/>
  <c r="BB146" i="4"/>
  <c r="BA146" i="4"/>
  <c r="AZ146" i="4"/>
  <c r="BD146" i="4" s="1"/>
  <c r="BC142" i="4"/>
  <c r="BB142" i="4"/>
  <c r="BA142" i="4"/>
  <c r="AZ142" i="4"/>
  <c r="BD142" i="4" s="1"/>
  <c r="BC138" i="4"/>
  <c r="BB138" i="4"/>
  <c r="BA138" i="4"/>
  <c r="AZ138" i="4"/>
  <c r="BD138" i="4" s="1"/>
  <c r="BC134" i="4"/>
  <c r="BB134" i="4"/>
  <c r="BA134" i="4"/>
  <c r="AZ134" i="4"/>
  <c r="BD134" i="4" s="1"/>
  <c r="BC130" i="4"/>
  <c r="BB130" i="4"/>
  <c r="BA130" i="4"/>
  <c r="AZ130" i="4"/>
  <c r="BD130" i="4" s="1"/>
  <c r="BC126" i="4"/>
  <c r="BB126" i="4"/>
  <c r="BA126" i="4"/>
  <c r="AZ126" i="4"/>
  <c r="BD126" i="4" s="1"/>
  <c r="BC122" i="4"/>
  <c r="BB122" i="4"/>
  <c r="BA122" i="4"/>
  <c r="AZ122" i="4"/>
  <c r="BD122" i="4" s="1"/>
  <c r="BC118" i="4"/>
  <c r="BB118" i="4"/>
  <c r="BA118" i="4"/>
  <c r="AZ118" i="4"/>
  <c r="BD118" i="4" s="1"/>
  <c r="BC114" i="4"/>
  <c r="BB114" i="4"/>
  <c r="BA114" i="4"/>
  <c r="AZ114" i="4"/>
  <c r="BD114" i="4" s="1"/>
  <c r="BC110" i="4"/>
  <c r="BB110" i="4"/>
  <c r="BA110" i="4"/>
  <c r="AZ110" i="4"/>
  <c r="BD110" i="4" s="1"/>
  <c r="BC106" i="4"/>
  <c r="BB106" i="4"/>
  <c r="BA106" i="4"/>
  <c r="AZ106" i="4"/>
  <c r="BD106" i="4" s="1"/>
  <c r="BC102" i="4"/>
  <c r="BB102" i="4"/>
  <c r="BA102" i="4"/>
  <c r="AZ102" i="4"/>
  <c r="BD102" i="4" s="1"/>
  <c r="BC98" i="4"/>
  <c r="BB98" i="4"/>
  <c r="BA98" i="4"/>
  <c r="AZ98" i="4"/>
  <c r="BD98" i="4" s="1"/>
  <c r="BC94" i="4"/>
  <c r="BB94" i="4"/>
  <c r="BA94" i="4"/>
  <c r="AZ94" i="4"/>
  <c r="BD94" i="4" s="1"/>
  <c r="BC90" i="4"/>
  <c r="BB90" i="4"/>
  <c r="BA90" i="4"/>
  <c r="AZ90" i="4"/>
  <c r="BD90" i="4" s="1"/>
  <c r="BC86" i="4"/>
  <c r="BB86" i="4"/>
  <c r="BA86" i="4"/>
  <c r="AZ86" i="4"/>
  <c r="BD86" i="4" s="1"/>
  <c r="BC82" i="4"/>
  <c r="BB82" i="4"/>
  <c r="BA82" i="4"/>
  <c r="AZ82" i="4"/>
  <c r="BD82" i="4" s="1"/>
  <c r="BC78" i="4"/>
  <c r="BB78" i="4"/>
  <c r="BA78" i="4"/>
  <c r="AZ78" i="4"/>
  <c r="BD78" i="4" s="1"/>
  <c r="BC74" i="4"/>
  <c r="BB74" i="4"/>
  <c r="BA74" i="4"/>
  <c r="AZ74" i="4"/>
  <c r="BD74" i="4" s="1"/>
  <c r="BC70" i="4"/>
  <c r="BB70" i="4"/>
  <c r="BA70" i="4"/>
  <c r="AZ70" i="4"/>
  <c r="BD70" i="4" s="1"/>
  <c r="BC66" i="4"/>
  <c r="BB66" i="4"/>
  <c r="BA66" i="4"/>
  <c r="AZ66" i="4"/>
  <c r="BD66" i="4" s="1"/>
  <c r="BC62" i="4"/>
  <c r="BB62" i="4"/>
  <c r="BA62" i="4"/>
  <c r="AZ62" i="4"/>
  <c r="BD62" i="4" s="1"/>
  <c r="BC58" i="4"/>
  <c r="BB58" i="4"/>
  <c r="BA58" i="4"/>
  <c r="AZ58" i="4"/>
  <c r="BD58" i="4" s="1"/>
  <c r="BC54" i="4"/>
  <c r="BB54" i="4"/>
  <c r="BA54" i="4"/>
  <c r="AZ54" i="4"/>
  <c r="BD54" i="4" s="1"/>
  <c r="BC50" i="4"/>
  <c r="BB50" i="4"/>
  <c r="BA50" i="4"/>
  <c r="AZ50" i="4"/>
  <c r="BD50" i="4" s="1"/>
  <c r="BC46" i="4"/>
  <c r="BB46" i="4"/>
  <c r="BA46" i="4"/>
  <c r="AZ46" i="4"/>
  <c r="BD46" i="4" s="1"/>
  <c r="BC42" i="4"/>
  <c r="BB42" i="4"/>
  <c r="BA42" i="4"/>
  <c r="AZ42" i="4"/>
  <c r="BD42" i="4" s="1"/>
  <c r="BC38" i="4"/>
  <c r="BB38" i="4"/>
  <c r="BA38" i="4"/>
  <c r="AZ38" i="4"/>
  <c r="BD38" i="4" s="1"/>
  <c r="BC34" i="4"/>
  <c r="BB34" i="4"/>
  <c r="BA34" i="4"/>
  <c r="AZ34" i="4"/>
  <c r="BD34" i="4" s="1"/>
  <c r="BC30" i="4"/>
  <c r="BB30" i="4"/>
  <c r="BA30" i="4"/>
  <c r="AZ30" i="4"/>
  <c r="BD30" i="4" s="1"/>
  <c r="BC26" i="4"/>
  <c r="BB26" i="4"/>
  <c r="BA26" i="4"/>
  <c r="AZ26" i="4"/>
  <c r="BD26" i="4" s="1"/>
  <c r="BC22" i="4"/>
  <c r="BB22" i="4"/>
  <c r="BA22" i="4"/>
  <c r="AZ22" i="4"/>
  <c r="BD22" i="4" s="1"/>
  <c r="BC18" i="4"/>
  <c r="BB18" i="4"/>
  <c r="BA18" i="4"/>
  <c r="AZ18" i="4"/>
  <c r="BD18" i="4" s="1"/>
  <c r="BC14" i="4"/>
  <c r="BB14" i="4"/>
  <c r="BA14" i="4"/>
  <c r="AZ14" i="4"/>
  <c r="BD14" i="4" s="1"/>
  <c r="BC10" i="4"/>
  <c r="BB10" i="4"/>
  <c r="BA10" i="4"/>
  <c r="AZ10" i="4"/>
  <c r="BD10" i="4" s="1"/>
  <c r="BC262" i="4"/>
  <c r="BD262" i="4" s="1"/>
  <c r="BC295" i="4"/>
  <c r="BC291" i="4"/>
  <c r="BD291" i="4" s="1"/>
  <c r="BC287" i="4"/>
  <c r="BC283" i="4"/>
  <c r="BC279" i="4"/>
  <c r="BC275" i="4"/>
  <c r="BC271" i="4"/>
  <c r="BC267" i="4"/>
  <c r="BC263" i="4"/>
  <c r="BC259" i="4"/>
  <c r="BC255" i="4"/>
  <c r="BC251" i="4"/>
  <c r="BC247" i="4"/>
  <c r="BC243" i="4"/>
  <c r="BC239" i="4"/>
  <c r="BC235" i="4"/>
  <c r="BC231" i="4"/>
  <c r="BC227" i="4"/>
  <c r="BD227" i="4" s="1"/>
  <c r="BC223" i="4"/>
  <c r="BC219" i="4"/>
  <c r="BC215" i="4"/>
  <c r="BC211" i="4"/>
  <c r="BC207" i="4"/>
  <c r="BC203" i="4"/>
  <c r="BC199" i="4"/>
  <c r="BC195" i="4"/>
  <c r="BC191" i="4"/>
  <c r="BC187" i="4"/>
  <c r="BC183" i="4"/>
  <c r="BC179" i="4"/>
  <c r="BC175" i="4"/>
  <c r="BC171" i="4"/>
  <c r="BC167" i="4"/>
  <c r="BC163" i="4"/>
  <c r="BD163" i="4" s="1"/>
  <c r="BC159" i="4"/>
  <c r="BC155" i="4"/>
  <c r="BC151" i="4"/>
  <c r="BC147" i="4"/>
  <c r="BC143" i="4"/>
  <c r="BC139" i="4"/>
  <c r="BC135" i="4"/>
  <c r="BC131" i="4"/>
  <c r="BC127" i="4"/>
  <c r="BC123" i="4"/>
  <c r="BC119" i="4"/>
  <c r="BC115" i="4"/>
  <c r="BC111" i="4"/>
  <c r="BC107" i="4"/>
  <c r="BC103" i="4"/>
  <c r="BC99" i="4"/>
  <c r="BD99" i="4" s="1"/>
  <c r="BC95" i="4"/>
  <c r="BC91" i="4"/>
  <c r="BC87" i="4"/>
  <c r="BC83" i="4"/>
  <c r="BC79" i="4"/>
  <c r="BC75" i="4"/>
  <c r="BC71" i="4"/>
  <c r="BC67" i="4"/>
  <c r="BC63" i="4"/>
  <c r="BC59" i="4"/>
  <c r="BC55" i="4"/>
  <c r="BC51" i="4"/>
  <c r="BC47" i="4"/>
  <c r="BC43" i="4"/>
  <c r="BC39" i="4"/>
  <c r="BC35" i="4"/>
  <c r="BD35" i="4" s="1"/>
  <c r="BC31" i="4"/>
  <c r="BC27" i="4"/>
  <c r="BC23" i="4"/>
  <c r="BB23" i="4"/>
  <c r="BD19" i="4"/>
  <c r="BC19" i="4"/>
  <c r="BB19" i="4"/>
  <c r="BC15" i="4"/>
  <c r="BD15" i="4" s="1"/>
  <c r="BB15" i="4"/>
  <c r="BC11" i="4"/>
  <c r="BB11" i="4"/>
  <c r="BD11" i="4" s="1"/>
  <c r="BC7" i="4"/>
  <c r="BB7" i="4"/>
  <c r="BK3" i="3"/>
  <c r="BC3" i="4"/>
  <c r="BB3" i="4"/>
  <c r="BD3" i="4" s="1"/>
  <c r="AZ295" i="4"/>
  <c r="BD295" i="4" s="1"/>
  <c r="AZ291" i="4"/>
  <c r="AZ287" i="4"/>
  <c r="BD287" i="4" s="1"/>
  <c r="AZ283" i="4"/>
  <c r="BD283" i="4" s="1"/>
  <c r="AZ279" i="4"/>
  <c r="BD279" i="4" s="1"/>
  <c r="AZ275" i="4"/>
  <c r="AZ271" i="4"/>
  <c r="BD271" i="4" s="1"/>
  <c r="AZ267" i="4"/>
  <c r="BD267" i="4" s="1"/>
  <c r="AZ263" i="4"/>
  <c r="BD263" i="4" s="1"/>
  <c r="AZ259" i="4"/>
  <c r="AZ255" i="4"/>
  <c r="BD255" i="4" s="1"/>
  <c r="AZ251" i="4"/>
  <c r="BD251" i="4" s="1"/>
  <c r="AZ247" i="4"/>
  <c r="BD247" i="4" s="1"/>
  <c r="AZ243" i="4"/>
  <c r="AZ239" i="4"/>
  <c r="BD239" i="4" s="1"/>
  <c r="AZ235" i="4"/>
  <c r="BD235" i="4" s="1"/>
  <c r="AZ231" i="4"/>
  <c r="BD231" i="4" s="1"/>
  <c r="AZ227" i="4"/>
  <c r="AZ223" i="4"/>
  <c r="BD223" i="4" s="1"/>
  <c r="AZ219" i="4"/>
  <c r="BD219" i="4" s="1"/>
  <c r="AZ215" i="4"/>
  <c r="BD215" i="4" s="1"/>
  <c r="AZ211" i="4"/>
  <c r="AZ207" i="4"/>
  <c r="BD207" i="4" s="1"/>
  <c r="AZ203" i="4"/>
  <c r="BD203" i="4" s="1"/>
  <c r="AZ199" i="4"/>
  <c r="BD199" i="4" s="1"/>
  <c r="AZ195" i="4"/>
  <c r="AZ191" i="4"/>
  <c r="BD191" i="4" s="1"/>
  <c r="AZ187" i="4"/>
  <c r="BD187" i="4" s="1"/>
  <c r="AZ183" i="4"/>
  <c r="BD183" i="4" s="1"/>
  <c r="AZ179" i="4"/>
  <c r="AZ175" i="4"/>
  <c r="BD175" i="4" s="1"/>
  <c r="AZ171" i="4"/>
  <c r="BD171" i="4" s="1"/>
  <c r="AZ167" i="4"/>
  <c r="BD167" i="4" s="1"/>
  <c r="AZ163" i="4"/>
  <c r="AZ159" i="4"/>
  <c r="BD159" i="4" s="1"/>
  <c r="AZ155" i="4"/>
  <c r="BD155" i="4" s="1"/>
  <c r="AZ151" i="4"/>
  <c r="BD151" i="4" s="1"/>
  <c r="AZ147" i="4"/>
  <c r="AZ143" i="4"/>
  <c r="BD143" i="4" s="1"/>
  <c r="AZ139" i="4"/>
  <c r="BD139" i="4" s="1"/>
  <c r="AZ135" i="4"/>
  <c r="BD135" i="4" s="1"/>
  <c r="AZ131" i="4"/>
  <c r="AZ127" i="4"/>
  <c r="BD127" i="4" s="1"/>
  <c r="AZ123" i="4"/>
  <c r="BD123" i="4" s="1"/>
  <c r="AZ119" i="4"/>
  <c r="BD119" i="4" s="1"/>
  <c r="AZ115" i="4"/>
  <c r="AZ111" i="4"/>
  <c r="BD111" i="4" s="1"/>
  <c r="AZ107" i="4"/>
  <c r="BD107" i="4" s="1"/>
  <c r="AZ103" i="4"/>
  <c r="BD103" i="4" s="1"/>
  <c r="AZ99" i="4"/>
  <c r="AZ95" i="4"/>
  <c r="BD95" i="4" s="1"/>
  <c r="AZ91" i="4"/>
  <c r="BD91" i="4" s="1"/>
  <c r="AZ87" i="4"/>
  <c r="BD87" i="4" s="1"/>
  <c r="AZ83" i="4"/>
  <c r="AZ79" i="4"/>
  <c r="BD79" i="4" s="1"/>
  <c r="AZ75" i="4"/>
  <c r="BD75" i="4" s="1"/>
  <c r="AZ71" i="4"/>
  <c r="BD71" i="4" s="1"/>
  <c r="AZ67" i="4"/>
  <c r="AZ63" i="4"/>
  <c r="BD63" i="4" s="1"/>
  <c r="AZ59" i="4"/>
  <c r="BD59" i="4" s="1"/>
  <c r="AZ55" i="4"/>
  <c r="BD55" i="4" s="1"/>
  <c r="AZ51" i="4"/>
  <c r="AZ47" i="4"/>
  <c r="BD47" i="4" s="1"/>
  <c r="AZ43" i="4"/>
  <c r="BD43" i="4" s="1"/>
  <c r="AZ27" i="4"/>
  <c r="BD27" i="4" s="1"/>
  <c r="AZ11" i="4"/>
  <c r="BA295" i="4"/>
  <c r="BA279" i="4"/>
  <c r="BA263" i="4"/>
  <c r="BA247" i="4"/>
  <c r="BA231" i="4"/>
  <c r="BA215" i="4"/>
  <c r="BA199" i="4"/>
  <c r="BA183" i="4"/>
  <c r="BA167" i="4"/>
  <c r="BA151" i="4"/>
  <c r="BA135" i="4"/>
  <c r="BA119" i="4"/>
  <c r="BA103" i="4"/>
  <c r="BA87" i="4"/>
  <c r="BA71" i="4"/>
  <c r="BA55" i="4"/>
  <c r="BA39" i="4"/>
  <c r="BD39" i="4" s="1"/>
  <c r="BA23" i="4"/>
  <c r="BD23" i="4" s="1"/>
  <c r="BA7" i="4"/>
  <c r="BD7" i="4" s="1"/>
  <c r="BB291" i="4"/>
  <c r="BB275" i="4"/>
  <c r="BD275" i="4" s="1"/>
  <c r="BB259" i="4"/>
  <c r="BD259" i="4" s="1"/>
  <c r="BB243" i="4"/>
  <c r="BD243" i="4" s="1"/>
  <c r="BB227" i="4"/>
  <c r="BB211" i="4"/>
  <c r="BD211" i="4" s="1"/>
  <c r="BB195" i="4"/>
  <c r="BD195" i="4" s="1"/>
  <c r="BB179" i="4"/>
  <c r="BD179" i="4" s="1"/>
  <c r="BB163" i="4"/>
  <c r="BB147" i="4"/>
  <c r="BD147" i="4" s="1"/>
  <c r="BB131" i="4"/>
  <c r="BD131" i="4" s="1"/>
  <c r="BB115" i="4"/>
  <c r="BD115" i="4" s="1"/>
  <c r="BB99" i="4"/>
  <c r="BB83" i="4"/>
  <c r="BD83" i="4" s="1"/>
  <c r="BB67" i="4"/>
  <c r="BD67" i="4" s="1"/>
  <c r="BB51" i="4"/>
  <c r="BD51" i="4" s="1"/>
  <c r="BB35" i="4"/>
  <c r="BK6" i="3"/>
  <c r="BC6" i="4"/>
  <c r="BB6" i="4"/>
  <c r="BA6" i="4"/>
  <c r="AZ6" i="4"/>
  <c r="BD6" i="4" s="1"/>
  <c r="AZ31" i="4"/>
  <c r="BD31" i="4" s="1"/>
  <c r="AZ15" i="4"/>
  <c r="BA283" i="4"/>
  <c r="BA267" i="4"/>
  <c r="BA251" i="4"/>
  <c r="BA235" i="4"/>
  <c r="BA219" i="4"/>
  <c r="BA203" i="4"/>
  <c r="BA187" i="4"/>
  <c r="BA171" i="4"/>
  <c r="BA155" i="4"/>
  <c r="BA139" i="4"/>
  <c r="BA123" i="4"/>
  <c r="BA107" i="4"/>
  <c r="BA91" i="4"/>
  <c r="BA75" i="4"/>
  <c r="BA59" i="4"/>
  <c r="BA43" i="4"/>
  <c r="BA27" i="4"/>
  <c r="BA11" i="4"/>
  <c r="BB295" i="4"/>
  <c r="BB279" i="4"/>
  <c r="BB263" i="4"/>
  <c r="BB247" i="4"/>
  <c r="BB231" i="4"/>
  <c r="BB215" i="4"/>
  <c r="BB199" i="4"/>
  <c r="BB183" i="4"/>
  <c r="BB167" i="4"/>
  <c r="BB151" i="4"/>
  <c r="BB135" i="4"/>
  <c r="BB119" i="4"/>
  <c r="BB103" i="4"/>
  <c r="BB87" i="4"/>
  <c r="BB71" i="4"/>
  <c r="BB55" i="4"/>
  <c r="BB39" i="4"/>
  <c r="Z350" i="7"/>
  <c r="AG343" i="18" s="1"/>
  <c r="AJ343" i="18" s="1"/>
  <c r="AN343" i="18" s="1"/>
  <c r="AA350" i="7"/>
  <c r="Z57" i="7"/>
  <c r="AG55" i="18" s="1"/>
  <c r="BJ55" i="18" s="1"/>
  <c r="Z41" i="7"/>
  <c r="AG39" i="18" s="1"/>
  <c r="AJ39" i="18" s="1"/>
  <c r="AN39" i="18" s="1"/>
  <c r="Z25" i="7"/>
  <c r="AG24" i="18" s="1"/>
  <c r="BJ24" i="18" s="1"/>
  <c r="Z9" i="7"/>
  <c r="AG8" i="18" s="1"/>
  <c r="AA406" i="7"/>
  <c r="AA390" i="7"/>
  <c r="AA374" i="7"/>
  <c r="AA358" i="7"/>
  <c r="AA338" i="7"/>
  <c r="AA322" i="7"/>
  <c r="AA306" i="7"/>
  <c r="AA290" i="7"/>
  <c r="AA274" i="7"/>
  <c r="AA258" i="7"/>
  <c r="AA242" i="7"/>
  <c r="AA226" i="7"/>
  <c r="AA50" i="7"/>
  <c r="AA34" i="7"/>
  <c r="AA18" i="7"/>
  <c r="Z53" i="7"/>
  <c r="AG51" i="18" s="1"/>
  <c r="Z37" i="7"/>
  <c r="AG35" i="18" s="1"/>
  <c r="AJ35" i="18" s="1"/>
  <c r="AN35" i="18" s="1"/>
  <c r="Z21" i="7"/>
  <c r="AG20" i="18" s="1"/>
  <c r="AJ20" i="18" s="1"/>
  <c r="AN20" i="18" s="1"/>
  <c r="Z5" i="7"/>
  <c r="AG5" i="18" s="1"/>
  <c r="BJ5" i="18" s="1"/>
  <c r="AA402" i="7"/>
  <c r="AA386" i="7"/>
  <c r="AA370" i="7"/>
  <c r="AA354" i="7"/>
  <c r="AA334" i="7"/>
  <c r="AA318" i="7"/>
  <c r="AA302" i="7"/>
  <c r="AA286" i="7"/>
  <c r="AA270" i="7"/>
  <c r="AA254" i="7"/>
  <c r="AA238" i="7"/>
  <c r="AA222" i="7"/>
  <c r="AA46" i="7"/>
  <c r="AA30" i="7"/>
  <c r="AA14" i="7"/>
  <c r="Z49" i="7"/>
  <c r="AG47" i="18" s="1"/>
  <c r="BJ47" i="18" s="1"/>
  <c r="Z33" i="7"/>
  <c r="AG31" i="18" s="1"/>
  <c r="Z17" i="7"/>
  <c r="AG16" i="18" s="1"/>
  <c r="BJ16" i="18" s="1"/>
  <c r="AA414" i="7"/>
  <c r="AA398" i="7"/>
  <c r="AA382" i="7"/>
  <c r="AA366" i="7"/>
  <c r="AA346" i="7"/>
  <c r="AA330" i="7"/>
  <c r="AA314" i="7"/>
  <c r="AA298" i="7"/>
  <c r="AA282" i="7"/>
  <c r="AA266" i="7"/>
  <c r="AA250" i="7"/>
  <c r="AA234" i="7"/>
  <c r="AA58" i="7"/>
  <c r="AA42" i="7"/>
  <c r="AA26" i="7"/>
  <c r="AA10" i="7"/>
  <c r="Z45" i="7"/>
  <c r="AG43" i="18" s="1"/>
  <c r="BJ43" i="18" s="1"/>
  <c r="Z29" i="7"/>
  <c r="AG28" i="18" s="1"/>
  <c r="BJ28" i="18" s="1"/>
  <c r="Z13" i="7"/>
  <c r="AG12" i="18" s="1"/>
  <c r="AA410" i="7"/>
  <c r="AA394" i="7"/>
  <c r="AA378" i="7"/>
  <c r="AA362" i="7"/>
  <c r="AA342" i="7"/>
  <c r="AA326" i="7"/>
  <c r="AA310" i="7"/>
  <c r="AA294" i="7"/>
  <c r="AA278" i="7"/>
  <c r="AA262" i="7"/>
  <c r="AA246" i="7"/>
  <c r="AA230" i="7"/>
  <c r="AA54" i="7"/>
  <c r="AA38" i="7"/>
  <c r="AA22" i="7"/>
  <c r="AA6" i="7"/>
  <c r="BJ406" i="18"/>
  <c r="AJ406" i="18"/>
  <c r="AN406" i="18" s="1"/>
  <c r="BJ395" i="18"/>
  <c r="AJ395" i="18"/>
  <c r="AN395" i="18" s="1"/>
  <c r="BJ387" i="18"/>
  <c r="AJ387" i="18"/>
  <c r="AN387" i="18" s="1"/>
  <c r="BJ379" i="18"/>
  <c r="AJ379" i="18"/>
  <c r="AN379" i="18" s="1"/>
  <c r="BJ375" i="18"/>
  <c r="AJ375" i="18"/>
  <c r="AN375" i="18" s="1"/>
  <c r="BJ367" i="18"/>
  <c r="BL367" i="18" s="1"/>
  <c r="AJ367" i="18"/>
  <c r="AN367" i="18" s="1"/>
  <c r="BJ359" i="18"/>
  <c r="AJ359" i="18"/>
  <c r="AN359" i="18" s="1"/>
  <c r="BJ327" i="18"/>
  <c r="AJ327" i="18"/>
  <c r="AN327" i="18" s="1"/>
  <c r="BJ319" i="18"/>
  <c r="AJ319" i="18"/>
  <c r="AN319" i="18" s="1"/>
  <c r="BJ308" i="18"/>
  <c r="AJ308" i="18"/>
  <c r="AN308" i="18" s="1"/>
  <c r="BJ296" i="18"/>
  <c r="AJ296" i="18"/>
  <c r="AN296" i="18" s="1"/>
  <c r="BJ57" i="18"/>
  <c r="AJ57" i="18"/>
  <c r="BJ56" i="18"/>
  <c r="AJ56" i="18"/>
  <c r="AN56" i="18" s="1"/>
  <c r="BJ52" i="18"/>
  <c r="AJ52" i="18"/>
  <c r="AN52" i="18" s="1"/>
  <c r="BJ48" i="18"/>
  <c r="AJ48" i="18"/>
  <c r="AN48" i="18" s="1"/>
  <c r="BJ44" i="18"/>
  <c r="BL44" i="18" s="1"/>
  <c r="AJ44" i="18"/>
  <c r="AN44" i="18" s="1"/>
  <c r="BJ40" i="18"/>
  <c r="AJ40" i="18"/>
  <c r="AN40" i="18" s="1"/>
  <c r="BJ36" i="18"/>
  <c r="AJ36" i="18"/>
  <c r="AN36" i="18" s="1"/>
  <c r="BJ32" i="18"/>
  <c r="AJ32" i="18"/>
  <c r="AN32" i="18" s="1"/>
  <c r="BJ29" i="18"/>
  <c r="AJ29" i="18"/>
  <c r="AN29" i="18" s="1"/>
  <c r="BJ25" i="18"/>
  <c r="AJ25" i="18"/>
  <c r="AN25" i="18" s="1"/>
  <c r="BJ21" i="18"/>
  <c r="AJ21" i="18"/>
  <c r="AN21" i="18" s="1"/>
  <c r="BJ17" i="18"/>
  <c r="AJ17" i="18"/>
  <c r="AN17" i="18" s="1"/>
  <c r="BJ13" i="18"/>
  <c r="AJ13" i="18"/>
  <c r="AN13" i="18" s="1"/>
  <c r="BJ9" i="18"/>
  <c r="AJ9" i="18"/>
  <c r="AN9" i="18" s="1"/>
  <c r="BJ6" i="18"/>
  <c r="AJ6" i="18"/>
  <c r="AN6" i="18" s="1"/>
  <c r="BJ402" i="18"/>
  <c r="AJ402" i="18"/>
  <c r="AN402" i="18" s="1"/>
  <c r="BJ399" i="18"/>
  <c r="AJ399" i="18"/>
  <c r="AN399" i="18" s="1"/>
  <c r="BJ391" i="18"/>
  <c r="AJ391" i="18"/>
  <c r="AN391" i="18" s="1"/>
  <c r="BJ383" i="18"/>
  <c r="AJ383" i="18"/>
  <c r="AN383" i="18" s="1"/>
  <c r="BJ371" i="18"/>
  <c r="AJ371" i="18"/>
  <c r="AN371" i="18" s="1"/>
  <c r="BJ363" i="18"/>
  <c r="AJ363" i="18"/>
  <c r="AN363" i="18" s="1"/>
  <c r="BJ355" i="18"/>
  <c r="AJ355" i="18"/>
  <c r="AN355" i="18" s="1"/>
  <c r="BJ351" i="18"/>
  <c r="AJ351" i="18"/>
  <c r="AN351" i="18" s="1"/>
  <c r="BJ347" i="18"/>
  <c r="AJ347" i="18"/>
  <c r="AN347" i="18" s="1"/>
  <c r="BJ339" i="18"/>
  <c r="AJ339" i="18"/>
  <c r="AN339" i="18" s="1"/>
  <c r="BJ335" i="18"/>
  <c r="AJ335" i="18"/>
  <c r="AN335" i="18" s="1"/>
  <c r="AG331" i="18"/>
  <c r="BJ323" i="18"/>
  <c r="AJ323" i="18"/>
  <c r="AN323" i="18" s="1"/>
  <c r="BJ315" i="18"/>
  <c r="AJ315" i="18"/>
  <c r="AN315" i="18" s="1"/>
  <c r="BJ311" i="18"/>
  <c r="AJ311" i="18"/>
  <c r="AN311" i="18" s="1"/>
  <c r="BJ304" i="18"/>
  <c r="AJ304" i="18"/>
  <c r="AN304" i="18" s="1"/>
  <c r="BJ300" i="18"/>
  <c r="AJ300" i="18"/>
  <c r="AN300" i="18" s="1"/>
  <c r="BJ292" i="18"/>
  <c r="AJ292" i="18"/>
  <c r="AN292" i="18" s="1"/>
  <c r="BJ285" i="18"/>
  <c r="AJ285" i="18"/>
  <c r="AN285" i="18" s="1"/>
  <c r="BJ281" i="18"/>
  <c r="BL281" i="18" s="1"/>
  <c r="AJ281" i="18"/>
  <c r="AN281" i="18" s="1"/>
  <c r="BJ277" i="18"/>
  <c r="BL277" i="18" s="1"/>
  <c r="AJ277" i="18"/>
  <c r="AN277" i="18" s="1"/>
  <c r="BJ273" i="18"/>
  <c r="BL273" i="18" s="1"/>
  <c r="AJ273" i="18"/>
  <c r="AN273" i="18" s="1"/>
  <c r="BJ269" i="18"/>
  <c r="AJ269" i="18"/>
  <c r="AN269" i="18" s="1"/>
  <c r="BJ265" i="18"/>
  <c r="AJ265" i="18"/>
  <c r="AN265" i="18" s="1"/>
  <c r="BJ261" i="18"/>
  <c r="AJ261" i="18"/>
  <c r="AN261" i="18" s="1"/>
  <c r="BJ257" i="18"/>
  <c r="AJ257" i="18"/>
  <c r="AN257" i="18" s="1"/>
  <c r="BJ253" i="18"/>
  <c r="AJ253" i="18"/>
  <c r="AN253" i="18" s="1"/>
  <c r="BJ249" i="18"/>
  <c r="AJ249" i="18"/>
  <c r="AN249" i="18" s="1"/>
  <c r="BJ245" i="18"/>
  <c r="AJ245" i="18"/>
  <c r="AN245" i="18" s="1"/>
  <c r="BJ241" i="18"/>
  <c r="AJ241" i="18"/>
  <c r="AN241" i="18" s="1"/>
  <c r="BJ237" i="18"/>
  <c r="AJ237" i="18"/>
  <c r="AN237" i="18" s="1"/>
  <c r="BJ233" i="18"/>
  <c r="AJ233" i="18"/>
  <c r="AN233" i="18" s="1"/>
  <c r="BJ228" i="18"/>
  <c r="AJ228" i="18"/>
  <c r="AN228" i="18" s="1"/>
  <c r="BJ225" i="18"/>
  <c r="AJ225" i="18"/>
  <c r="AN225" i="18" s="1"/>
  <c r="BJ222" i="18"/>
  <c r="AJ222" i="18"/>
  <c r="AN222" i="18" s="1"/>
  <c r="BJ218" i="18"/>
  <c r="AJ218" i="18"/>
  <c r="AN218" i="18" s="1"/>
  <c r="Z413" i="7"/>
  <c r="AG405" i="18" s="1"/>
  <c r="Z409" i="7"/>
  <c r="Z405" i="7"/>
  <c r="AG398" i="18" s="1"/>
  <c r="Z401" i="7"/>
  <c r="AG394" i="18" s="1"/>
  <c r="Z397" i="7"/>
  <c r="AG390" i="18" s="1"/>
  <c r="Z393" i="7"/>
  <c r="AG386" i="18" s="1"/>
  <c r="Z389" i="7"/>
  <c r="AG382" i="18" s="1"/>
  <c r="Z385" i="7"/>
  <c r="AG378" i="18" s="1"/>
  <c r="Z381" i="7"/>
  <c r="AG374" i="18" s="1"/>
  <c r="Z377" i="7"/>
  <c r="AG370" i="18" s="1"/>
  <c r="Z373" i="7"/>
  <c r="AG366" i="18" s="1"/>
  <c r="Z369" i="7"/>
  <c r="AG362" i="18" s="1"/>
  <c r="Z365" i="7"/>
  <c r="AG358" i="18" s="1"/>
  <c r="Z361" i="7"/>
  <c r="AG354" i="18" s="1"/>
  <c r="Z357" i="7"/>
  <c r="AG350" i="18" s="1"/>
  <c r="Z353" i="7"/>
  <c r="AG346" i="18" s="1"/>
  <c r="Z349" i="7"/>
  <c r="AG342" i="18" s="1"/>
  <c r="Z345" i="7"/>
  <c r="AG338" i="18" s="1"/>
  <c r="Z341" i="7"/>
  <c r="AG334" i="18" s="1"/>
  <c r="Z337" i="7"/>
  <c r="AG330" i="18" s="1"/>
  <c r="Z333" i="7"/>
  <c r="AG326" i="18" s="1"/>
  <c r="Z329" i="7"/>
  <c r="AG322" i="18" s="1"/>
  <c r="Z325" i="7"/>
  <c r="AG318" i="18" s="1"/>
  <c r="Z321" i="7"/>
  <c r="AG314" i="18" s="1"/>
  <c r="Z317" i="7"/>
  <c r="Z313" i="7"/>
  <c r="AG307" i="18" s="1"/>
  <c r="Z309" i="7"/>
  <c r="AG303" i="18" s="1"/>
  <c r="Z305" i="7"/>
  <c r="AG299" i="18" s="1"/>
  <c r="Z301" i="7"/>
  <c r="AG295" i="18" s="1"/>
  <c r="Z297" i="7"/>
  <c r="AG291" i="18" s="1"/>
  <c r="Z293" i="7"/>
  <c r="AG288" i="18" s="1"/>
  <c r="Z289" i="7"/>
  <c r="AG284" i="18" s="1"/>
  <c r="Z285" i="7"/>
  <c r="AG280" i="18" s="1"/>
  <c r="Z281" i="7"/>
  <c r="AG276" i="18" s="1"/>
  <c r="Z277" i="7"/>
  <c r="AG272" i="18" s="1"/>
  <c r="Z273" i="7"/>
  <c r="AG268" i="18" s="1"/>
  <c r="Z269" i="7"/>
  <c r="AG264" i="18" s="1"/>
  <c r="Z265" i="7"/>
  <c r="AG260" i="18" s="1"/>
  <c r="Z261" i="7"/>
  <c r="AG256" i="18" s="1"/>
  <c r="Z257" i="7"/>
  <c r="AG252" i="18" s="1"/>
  <c r="Z253" i="7"/>
  <c r="AG248" i="18" s="1"/>
  <c r="Z249" i="7"/>
  <c r="AG244" i="18" s="1"/>
  <c r="Z245" i="7"/>
  <c r="AG240" i="18" s="1"/>
  <c r="Z241" i="7"/>
  <c r="AG236" i="18" s="1"/>
  <c r="Z237" i="7"/>
  <c r="AG231" i="18" s="1"/>
  <c r="Z233" i="7"/>
  <c r="AG227" i="18" s="1"/>
  <c r="Z229" i="7"/>
  <c r="AG224" i="18" s="1"/>
  <c r="Z225" i="7"/>
  <c r="AG221" i="18" s="1"/>
  <c r="Z221" i="7"/>
  <c r="AG217" i="18" s="1"/>
  <c r="Z217" i="7"/>
  <c r="AG213" i="18" s="1"/>
  <c r="Z213" i="7"/>
  <c r="AG209" i="18" s="1"/>
  <c r="Z209" i="7"/>
  <c r="AG205" i="18" s="1"/>
  <c r="Z205" i="7"/>
  <c r="AG201" i="18" s="1"/>
  <c r="Z201" i="7"/>
  <c r="AG197" i="18" s="1"/>
  <c r="Z197" i="7"/>
  <c r="AG193" i="18" s="1"/>
  <c r="Z193" i="7"/>
  <c r="AG189" i="18" s="1"/>
  <c r="Z189" i="7"/>
  <c r="AG185" i="18" s="1"/>
  <c r="Z185" i="7"/>
  <c r="AG181" i="18" s="1"/>
  <c r="Z181" i="7"/>
  <c r="AG177" i="18" s="1"/>
  <c r="Z177" i="7"/>
  <c r="AG173" i="18" s="1"/>
  <c r="Z173" i="7"/>
  <c r="AG169" i="18" s="1"/>
  <c r="Z169" i="7"/>
  <c r="AG165" i="18" s="1"/>
  <c r="Z165" i="7"/>
  <c r="AG161" i="18" s="1"/>
  <c r="Z161" i="7"/>
  <c r="AG157" i="18" s="1"/>
  <c r="Z157" i="7"/>
  <c r="AG153" i="18" s="1"/>
  <c r="Z153" i="7"/>
  <c r="AG149" i="18" s="1"/>
  <c r="Z149" i="7"/>
  <c r="AG145" i="18" s="1"/>
  <c r="Z145" i="7"/>
  <c r="AG142" i="18" s="1"/>
  <c r="Z141" i="7"/>
  <c r="AG138" i="18" s="1"/>
  <c r="Z137" i="7"/>
  <c r="AG134" i="18" s="1"/>
  <c r="Z133" i="7"/>
  <c r="AG130" i="18" s="1"/>
  <c r="Z129" i="7"/>
  <c r="AG126" i="18" s="1"/>
  <c r="Z125" i="7"/>
  <c r="AG122" i="18" s="1"/>
  <c r="Z121" i="7"/>
  <c r="AG118" i="18" s="1"/>
  <c r="Z117" i="7"/>
  <c r="AG114" i="18" s="1"/>
  <c r="Z113" i="7"/>
  <c r="AG110" i="18" s="1"/>
  <c r="Z109" i="7"/>
  <c r="AG106" i="18" s="1"/>
  <c r="Z105" i="7"/>
  <c r="AG102" i="18" s="1"/>
  <c r="Z101" i="7"/>
  <c r="AG98" i="18" s="1"/>
  <c r="Z97" i="7"/>
  <c r="AG94" i="18" s="1"/>
  <c r="Z93" i="7"/>
  <c r="AG90" i="18" s="1"/>
  <c r="Z89" i="7"/>
  <c r="AG86" i="18" s="1"/>
  <c r="Z85" i="7"/>
  <c r="AG82" i="18" s="1"/>
  <c r="Z81" i="7"/>
  <c r="AG78" i="18" s="1"/>
  <c r="Z77" i="7"/>
  <c r="AG74" i="18" s="1"/>
  <c r="Z73" i="7"/>
  <c r="AG70" i="18" s="1"/>
  <c r="Z69" i="7"/>
  <c r="AG67" i="18" s="1"/>
  <c r="Z65" i="7"/>
  <c r="AG63" i="18" s="1"/>
  <c r="Z61" i="7"/>
  <c r="AG59" i="18" s="1"/>
  <c r="BJ51" i="18"/>
  <c r="AJ51" i="18"/>
  <c r="AN51" i="18" s="1"/>
  <c r="BJ35" i="18"/>
  <c r="BJ31" i="18"/>
  <c r="AJ31" i="18"/>
  <c r="AN31" i="18" s="1"/>
  <c r="AJ28" i="18"/>
  <c r="AN28" i="18" s="1"/>
  <c r="BJ20" i="18"/>
  <c r="BJ12" i="18"/>
  <c r="AJ12" i="18"/>
  <c r="AN12" i="18" s="1"/>
  <c r="BJ8" i="18"/>
  <c r="AJ8" i="18"/>
  <c r="AN8" i="18" s="1"/>
  <c r="Z412" i="7"/>
  <c r="AG404" i="18" s="1"/>
  <c r="Z408" i="7"/>
  <c r="Z404" i="7"/>
  <c r="AG397" i="18" s="1"/>
  <c r="Z400" i="7"/>
  <c r="AG393" i="18" s="1"/>
  <c r="Z396" i="7"/>
  <c r="AG389" i="18" s="1"/>
  <c r="Z392" i="7"/>
  <c r="AG385" i="18" s="1"/>
  <c r="Z388" i="7"/>
  <c r="AG381" i="18" s="1"/>
  <c r="Z384" i="7"/>
  <c r="AG377" i="18" s="1"/>
  <c r="Z380" i="7"/>
  <c r="AG373" i="18" s="1"/>
  <c r="Z376" i="7"/>
  <c r="AG369" i="18" s="1"/>
  <c r="Z372" i="7"/>
  <c r="AG365" i="18" s="1"/>
  <c r="Z368" i="7"/>
  <c r="AG361" i="18" s="1"/>
  <c r="Z364" i="7"/>
  <c r="AG357" i="18" s="1"/>
  <c r="Z360" i="7"/>
  <c r="AG353" i="18" s="1"/>
  <c r="Z356" i="7"/>
  <c r="AG349" i="18" s="1"/>
  <c r="Z352" i="7"/>
  <c r="AG345" i="18" s="1"/>
  <c r="Z348" i="7"/>
  <c r="AG341" i="18" s="1"/>
  <c r="Z344" i="7"/>
  <c r="AG337" i="18" s="1"/>
  <c r="Z340" i="7"/>
  <c r="AG333" i="18" s="1"/>
  <c r="Z336" i="7"/>
  <c r="AG329" i="18" s="1"/>
  <c r="Z332" i="7"/>
  <c r="AG325" i="18" s="1"/>
  <c r="Z328" i="7"/>
  <c r="AG321" i="18" s="1"/>
  <c r="Z324" i="7"/>
  <c r="AG317" i="18" s="1"/>
  <c r="Z320" i="7"/>
  <c r="AG313" i="18" s="1"/>
  <c r="Z316" i="7"/>
  <c r="AG310" i="18" s="1"/>
  <c r="Z312" i="7"/>
  <c r="AG306" i="18" s="1"/>
  <c r="Z308" i="7"/>
  <c r="AG302" i="18" s="1"/>
  <c r="Z304" i="7"/>
  <c r="AG298" i="18" s="1"/>
  <c r="Z300" i="7"/>
  <c r="AG294" i="18" s="1"/>
  <c r="Z296" i="7"/>
  <c r="AG290" i="18" s="1"/>
  <c r="Z292" i="7"/>
  <c r="AG287" i="18" s="1"/>
  <c r="Z288" i="7"/>
  <c r="AG283" i="18" s="1"/>
  <c r="Z284" i="7"/>
  <c r="AG279" i="18" s="1"/>
  <c r="Z280" i="7"/>
  <c r="AG275" i="18" s="1"/>
  <c r="Z276" i="7"/>
  <c r="AG271" i="18" s="1"/>
  <c r="Z272" i="7"/>
  <c r="AG267" i="18" s="1"/>
  <c r="Z268" i="7"/>
  <c r="AG263" i="18" s="1"/>
  <c r="Z264" i="7"/>
  <c r="AG259" i="18" s="1"/>
  <c r="Z260" i="7"/>
  <c r="AG255" i="18" s="1"/>
  <c r="Z256" i="7"/>
  <c r="AG251" i="18" s="1"/>
  <c r="Z252" i="7"/>
  <c r="AG247" i="18" s="1"/>
  <c r="Z248" i="7"/>
  <c r="AG243" i="18" s="1"/>
  <c r="Z244" i="7"/>
  <c r="AG239" i="18" s="1"/>
  <c r="Z240" i="7"/>
  <c r="AG235" i="18" s="1"/>
  <c r="Z236" i="7"/>
  <c r="AG230" i="18" s="1"/>
  <c r="Z232" i="7"/>
  <c r="AG226" i="18" s="1"/>
  <c r="Z228" i="7"/>
  <c r="Z224" i="7"/>
  <c r="AG220" i="18" s="1"/>
  <c r="Z220" i="7"/>
  <c r="AG216" i="18" s="1"/>
  <c r="Z216" i="7"/>
  <c r="AG212" i="18" s="1"/>
  <c r="Z212" i="7"/>
  <c r="AG208" i="18" s="1"/>
  <c r="Z208" i="7"/>
  <c r="AG204" i="18" s="1"/>
  <c r="Z204" i="7"/>
  <c r="AG200" i="18" s="1"/>
  <c r="Z200" i="7"/>
  <c r="AG196" i="18" s="1"/>
  <c r="Z196" i="7"/>
  <c r="AG192" i="18" s="1"/>
  <c r="Z192" i="7"/>
  <c r="AG188" i="18" s="1"/>
  <c r="Z188" i="7"/>
  <c r="Z184" i="7"/>
  <c r="AG180" i="18" s="1"/>
  <c r="Z180" i="7"/>
  <c r="AG176" i="18" s="1"/>
  <c r="Z176" i="7"/>
  <c r="AG172" i="18" s="1"/>
  <c r="Z172" i="7"/>
  <c r="AG168" i="18" s="1"/>
  <c r="Z168" i="7"/>
  <c r="AG164" i="18" s="1"/>
  <c r="Z164" i="7"/>
  <c r="AG160" i="18" s="1"/>
  <c r="Z160" i="7"/>
  <c r="AG156" i="18" s="1"/>
  <c r="Z156" i="7"/>
  <c r="AG152" i="18" s="1"/>
  <c r="Z152" i="7"/>
  <c r="AG148" i="18" s="1"/>
  <c r="Z148" i="7"/>
  <c r="Z144" i="7"/>
  <c r="AG141" i="18" s="1"/>
  <c r="Z140" i="7"/>
  <c r="AG137" i="18" s="1"/>
  <c r="Z136" i="7"/>
  <c r="AG133" i="18" s="1"/>
  <c r="Z132" i="7"/>
  <c r="AG129" i="18" s="1"/>
  <c r="Z128" i="7"/>
  <c r="AG125" i="18" s="1"/>
  <c r="Z124" i="7"/>
  <c r="AG121" i="18" s="1"/>
  <c r="Z120" i="7"/>
  <c r="AG117" i="18" s="1"/>
  <c r="Z116" i="7"/>
  <c r="AG113" i="18" s="1"/>
  <c r="Z112" i="7"/>
  <c r="AG109" i="18" s="1"/>
  <c r="Z108" i="7"/>
  <c r="AG105" i="18" s="1"/>
  <c r="Z104" i="7"/>
  <c r="AG101" i="18" s="1"/>
  <c r="Z100" i="7"/>
  <c r="AG97" i="18" s="1"/>
  <c r="Z96" i="7"/>
  <c r="AG93" i="18" s="1"/>
  <c r="Z92" i="7"/>
  <c r="AG89" i="18" s="1"/>
  <c r="Z88" i="7"/>
  <c r="AG85" i="18" s="1"/>
  <c r="Z84" i="7"/>
  <c r="AG81" i="18" s="1"/>
  <c r="Z80" i="7"/>
  <c r="AG77" i="18" s="1"/>
  <c r="Z76" i="7"/>
  <c r="AG73" i="18" s="1"/>
  <c r="Z72" i="7"/>
  <c r="Z68" i="7"/>
  <c r="AG66" i="18" s="1"/>
  <c r="Z64" i="7"/>
  <c r="AG62" i="18" s="1"/>
  <c r="BJ58" i="18"/>
  <c r="AJ58" i="18"/>
  <c r="AN58" i="18" s="1"/>
  <c r="Z56" i="7"/>
  <c r="AG54" i="18" s="1"/>
  <c r="Z52" i="7"/>
  <c r="AG50" i="18" s="1"/>
  <c r="Z48" i="7"/>
  <c r="AG46" i="18" s="1"/>
  <c r="Z44" i="7"/>
  <c r="AG42" i="18" s="1"/>
  <c r="Z40" i="7"/>
  <c r="AG38" i="18" s="1"/>
  <c r="Z36" i="7"/>
  <c r="AG34" i="18" s="1"/>
  <c r="Z32" i="7"/>
  <c r="Z28" i="7"/>
  <c r="AG27" i="18" s="1"/>
  <c r="Z24" i="7"/>
  <c r="AG23" i="18" s="1"/>
  <c r="Z20" i="7"/>
  <c r="AG19" i="18" s="1"/>
  <c r="Z16" i="7"/>
  <c r="AG15" i="18" s="1"/>
  <c r="Z12" i="7"/>
  <c r="AG11" i="18" s="1"/>
  <c r="AG4" i="18"/>
  <c r="AA59" i="7"/>
  <c r="Z415" i="7"/>
  <c r="AG407" i="18" s="1"/>
  <c r="Z411" i="7"/>
  <c r="AG403" i="18" s="1"/>
  <c r="Z407" i="7"/>
  <c r="AG400" i="18" s="1"/>
  <c r="Z403" i="7"/>
  <c r="AG396" i="18" s="1"/>
  <c r="Z399" i="7"/>
  <c r="AG392" i="18" s="1"/>
  <c r="Z395" i="7"/>
  <c r="AG388" i="18" s="1"/>
  <c r="Z391" i="7"/>
  <c r="Z387" i="7"/>
  <c r="AG380" i="18" s="1"/>
  <c r="Z383" i="7"/>
  <c r="AG376" i="18" s="1"/>
  <c r="Z379" i="7"/>
  <c r="AG372" i="18" s="1"/>
  <c r="Z375" i="7"/>
  <c r="AG368" i="18" s="1"/>
  <c r="Z371" i="7"/>
  <c r="AG364" i="18" s="1"/>
  <c r="Z367" i="7"/>
  <c r="AG360" i="18" s="1"/>
  <c r="Z363" i="7"/>
  <c r="AG356" i="18" s="1"/>
  <c r="Z359" i="7"/>
  <c r="AG352" i="18" s="1"/>
  <c r="Z355" i="7"/>
  <c r="AG348" i="18" s="1"/>
  <c r="Z351" i="7"/>
  <c r="AG344" i="18" s="1"/>
  <c r="Z347" i="7"/>
  <c r="AG340" i="18" s="1"/>
  <c r="Z343" i="7"/>
  <c r="AG336" i="18" s="1"/>
  <c r="Z339" i="7"/>
  <c r="AG332" i="18" s="1"/>
  <c r="Z335" i="7"/>
  <c r="AG328" i="18" s="1"/>
  <c r="Z331" i="7"/>
  <c r="AG324" i="18" s="1"/>
  <c r="Z327" i="7"/>
  <c r="AG320" i="18" s="1"/>
  <c r="Z323" i="7"/>
  <c r="AG316" i="18" s="1"/>
  <c r="Z319" i="7"/>
  <c r="AG312" i="18" s="1"/>
  <c r="Z315" i="7"/>
  <c r="AG309" i="18" s="1"/>
  <c r="Z311" i="7"/>
  <c r="AG305" i="18" s="1"/>
  <c r="Z307" i="7"/>
  <c r="AG301" i="18" s="1"/>
  <c r="Z303" i="7"/>
  <c r="AG297" i="18" s="1"/>
  <c r="Z299" i="7"/>
  <c r="AG293" i="18" s="1"/>
  <c r="Z295" i="7"/>
  <c r="AG289" i="18" s="1"/>
  <c r="Z291" i="7"/>
  <c r="AG286" i="18" s="1"/>
  <c r="Z287" i="7"/>
  <c r="Z283" i="7"/>
  <c r="AG278" i="18" s="1"/>
  <c r="Z279" i="7"/>
  <c r="AG274" i="18" s="1"/>
  <c r="Z275" i="7"/>
  <c r="AG270" i="18" s="1"/>
  <c r="Z271" i="7"/>
  <c r="AG266" i="18" s="1"/>
  <c r="Z267" i="7"/>
  <c r="AG262" i="18" s="1"/>
  <c r="Z263" i="7"/>
  <c r="AG258" i="18" s="1"/>
  <c r="Z259" i="7"/>
  <c r="AG254" i="18" s="1"/>
  <c r="Z255" i="7"/>
  <c r="AG250" i="18" s="1"/>
  <c r="Z251" i="7"/>
  <c r="AG246" i="18" s="1"/>
  <c r="Z247" i="7"/>
  <c r="AG242" i="18" s="1"/>
  <c r="Z243" i="7"/>
  <c r="AG238" i="18" s="1"/>
  <c r="Z239" i="7"/>
  <c r="AG234" i="18" s="1"/>
  <c r="Z235" i="7"/>
  <c r="AG229" i="18" s="1"/>
  <c r="Z231" i="7"/>
  <c r="AG232" i="18" s="1"/>
  <c r="Z227" i="7"/>
  <c r="AG223" i="18" s="1"/>
  <c r="Z223" i="7"/>
  <c r="AG219" i="18" s="1"/>
  <c r="Z219" i="7"/>
  <c r="AG215" i="18" s="1"/>
  <c r="Z215" i="7"/>
  <c r="AG211" i="18" s="1"/>
  <c r="Z211" i="7"/>
  <c r="AG207" i="18" s="1"/>
  <c r="Z207" i="7"/>
  <c r="AG203" i="18" s="1"/>
  <c r="Z203" i="7"/>
  <c r="AG199" i="18" s="1"/>
  <c r="Z199" i="7"/>
  <c r="AG195" i="18" s="1"/>
  <c r="Z195" i="7"/>
  <c r="AG191" i="18" s="1"/>
  <c r="Z191" i="7"/>
  <c r="AG187" i="18" s="1"/>
  <c r="Z187" i="7"/>
  <c r="AG183" i="18" s="1"/>
  <c r="Z183" i="7"/>
  <c r="AG179" i="18" s="1"/>
  <c r="Z179" i="7"/>
  <c r="AG175" i="18" s="1"/>
  <c r="Z175" i="7"/>
  <c r="AG171" i="18" s="1"/>
  <c r="Z171" i="7"/>
  <c r="AG167" i="18" s="1"/>
  <c r="Z167" i="7"/>
  <c r="AG163" i="18" s="1"/>
  <c r="Z163" i="7"/>
  <c r="AG159" i="18" s="1"/>
  <c r="Z159" i="7"/>
  <c r="AG155" i="18" s="1"/>
  <c r="Z155" i="7"/>
  <c r="AG151" i="18" s="1"/>
  <c r="Z151" i="7"/>
  <c r="AG147" i="18" s="1"/>
  <c r="Z147" i="7"/>
  <c r="AG144" i="18" s="1"/>
  <c r="Z143" i="7"/>
  <c r="AG140" i="18" s="1"/>
  <c r="Z139" i="7"/>
  <c r="AG136" i="18" s="1"/>
  <c r="Z135" i="7"/>
  <c r="AG132" i="18" s="1"/>
  <c r="Z131" i="7"/>
  <c r="AG128" i="18" s="1"/>
  <c r="Z127" i="7"/>
  <c r="AG124" i="18" s="1"/>
  <c r="Z123" i="7"/>
  <c r="AG120" i="18" s="1"/>
  <c r="Z119" i="7"/>
  <c r="AG116" i="18" s="1"/>
  <c r="Z115" i="7"/>
  <c r="AG112" i="18" s="1"/>
  <c r="Z111" i="7"/>
  <c r="AG108" i="18" s="1"/>
  <c r="Z107" i="7"/>
  <c r="AG104" i="18" s="1"/>
  <c r="Z103" i="7"/>
  <c r="AG100" i="18" s="1"/>
  <c r="Z99" i="7"/>
  <c r="AG96" i="18" s="1"/>
  <c r="Z95" i="7"/>
  <c r="AG92" i="18" s="1"/>
  <c r="Z91" i="7"/>
  <c r="AG88" i="18" s="1"/>
  <c r="Z87" i="7"/>
  <c r="AG84" i="18" s="1"/>
  <c r="Z83" i="7"/>
  <c r="AG80" i="18" s="1"/>
  <c r="Z79" i="7"/>
  <c r="AG76" i="18" s="1"/>
  <c r="Z75" i="7"/>
  <c r="AG72" i="18" s="1"/>
  <c r="Z71" i="7"/>
  <c r="AG69" i="18" s="1"/>
  <c r="Z67" i="7"/>
  <c r="AG65" i="18" s="1"/>
  <c r="Z63" i="7"/>
  <c r="AG61" i="18" s="1"/>
  <c r="Z55" i="7"/>
  <c r="AG53" i="18" s="1"/>
  <c r="Z51" i="7"/>
  <c r="AG49" i="18" s="1"/>
  <c r="Z47" i="7"/>
  <c r="AG45" i="18" s="1"/>
  <c r="Z43" i="7"/>
  <c r="AG41" i="18" s="1"/>
  <c r="Z39" i="7"/>
  <c r="AG37" i="18" s="1"/>
  <c r="Z35" i="7"/>
  <c r="AG33" i="18" s="1"/>
  <c r="Z31" i="7"/>
  <c r="Z27" i="7"/>
  <c r="AG26" i="18" s="1"/>
  <c r="Z23" i="7"/>
  <c r="AG22" i="18" s="1"/>
  <c r="Z19" i="7"/>
  <c r="AG18" i="18" s="1"/>
  <c r="Z15" i="7"/>
  <c r="AG14" i="18" s="1"/>
  <c r="Z11" i="7"/>
  <c r="AG10" i="18" s="1"/>
  <c r="Z7" i="7"/>
  <c r="AG7" i="18" s="1"/>
  <c r="Z3" i="7"/>
  <c r="AG3" i="18" s="1"/>
  <c r="Z218" i="7"/>
  <c r="AG214" i="18" s="1"/>
  <c r="Z214" i="7"/>
  <c r="AG210" i="18" s="1"/>
  <c r="Z210" i="7"/>
  <c r="AG206" i="18" s="1"/>
  <c r="Z206" i="7"/>
  <c r="AG202" i="18" s="1"/>
  <c r="Z202" i="7"/>
  <c r="AG198" i="18" s="1"/>
  <c r="Z198" i="7"/>
  <c r="AG194" i="18" s="1"/>
  <c r="Z194" i="7"/>
  <c r="AG190" i="18" s="1"/>
  <c r="Z190" i="7"/>
  <c r="AG186" i="18" s="1"/>
  <c r="Z186" i="7"/>
  <c r="AG182" i="18" s="1"/>
  <c r="Z182" i="7"/>
  <c r="AG178" i="18" s="1"/>
  <c r="Z178" i="7"/>
  <c r="AG174" i="18" s="1"/>
  <c r="Z174" i="7"/>
  <c r="AG170" i="18" s="1"/>
  <c r="Z170" i="7"/>
  <c r="AG166" i="18" s="1"/>
  <c r="Z166" i="7"/>
  <c r="AG162" i="18" s="1"/>
  <c r="Z162" i="7"/>
  <c r="AG158" i="18" s="1"/>
  <c r="Z158" i="7"/>
  <c r="AG154" i="18" s="1"/>
  <c r="Z154" i="7"/>
  <c r="AG150" i="18" s="1"/>
  <c r="Z150" i="7"/>
  <c r="AG146" i="18" s="1"/>
  <c r="Z146" i="7"/>
  <c r="AG143" i="18" s="1"/>
  <c r="Z142" i="7"/>
  <c r="AG139" i="18" s="1"/>
  <c r="Z138" i="7"/>
  <c r="AG135" i="18" s="1"/>
  <c r="Z134" i="7"/>
  <c r="AG131" i="18" s="1"/>
  <c r="Z130" i="7"/>
  <c r="AG127" i="18" s="1"/>
  <c r="Z126" i="7"/>
  <c r="AG123" i="18" s="1"/>
  <c r="Z122" i="7"/>
  <c r="AG119" i="18" s="1"/>
  <c r="Z118" i="7"/>
  <c r="AG115" i="18" s="1"/>
  <c r="Z114" i="7"/>
  <c r="AG111" i="18" s="1"/>
  <c r="Z110" i="7"/>
  <c r="AG107" i="18" s="1"/>
  <c r="Z106" i="7"/>
  <c r="AG103" i="18" s="1"/>
  <c r="Z102" i="7"/>
  <c r="AG99" i="18" s="1"/>
  <c r="Z98" i="7"/>
  <c r="AG95" i="18" s="1"/>
  <c r="Z94" i="7"/>
  <c r="AG91" i="18" s="1"/>
  <c r="Z90" i="7"/>
  <c r="AG87" i="18" s="1"/>
  <c r="Z86" i="7"/>
  <c r="AG83" i="18" s="1"/>
  <c r="Z82" i="7"/>
  <c r="AG79" i="18" s="1"/>
  <c r="Z78" i="7"/>
  <c r="AG75" i="18" s="1"/>
  <c r="Z74" i="7"/>
  <c r="AG71" i="18" s="1"/>
  <c r="Z70" i="7"/>
  <c r="AG68" i="18" s="1"/>
  <c r="Z66" i="7"/>
  <c r="AG64" i="18" s="1"/>
  <c r="Z62" i="7"/>
  <c r="AG60" i="18" s="1"/>
  <c r="P13" i="15"/>
  <c r="AI9" i="12"/>
  <c r="D10" i="12"/>
  <c r="C10" i="12"/>
  <c r="AK10" i="12"/>
  <c r="AM10" i="12"/>
  <c r="R13" i="14"/>
  <c r="C15" i="15" s="1"/>
  <c r="C14" i="15"/>
  <c r="B14" i="15"/>
  <c r="Q14" i="15" s="1"/>
  <c r="E13" i="15"/>
  <c r="F13" i="15"/>
  <c r="G13" i="15"/>
  <c r="B11" i="12"/>
  <c r="D13" i="15"/>
  <c r="J13" i="15"/>
  <c r="AI8" i="12"/>
  <c r="Z2" i="7"/>
  <c r="BB2" i="4"/>
  <c r="BC2" i="4"/>
  <c r="AZ2" i="4"/>
  <c r="BD2" i="4" s="1"/>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A414" i="3"/>
  <c r="BA3" i="3"/>
  <c r="BA4" i="3"/>
  <c r="BA5" i="3"/>
  <c r="BA6" i="3"/>
  <c r="BC6" i="3" s="1"/>
  <c r="BA7" i="3"/>
  <c r="BC7" i="3" s="1"/>
  <c r="BA8" i="3"/>
  <c r="BA9" i="3"/>
  <c r="BA10" i="3"/>
  <c r="BA11" i="3"/>
  <c r="BA12" i="3"/>
  <c r="BA13" i="3"/>
  <c r="BB13" i="3" s="1"/>
  <c r="BA14" i="3"/>
  <c r="BE14" i="3" s="1"/>
  <c r="BA15" i="3"/>
  <c r="BA16" i="3"/>
  <c r="BA17" i="3"/>
  <c r="BD17" i="3" s="1"/>
  <c r="BA18" i="3"/>
  <c r="BA19" i="3"/>
  <c r="BA20" i="3"/>
  <c r="BA21" i="3"/>
  <c r="BC21" i="3" s="1"/>
  <c r="BA22" i="3"/>
  <c r="BA23" i="3"/>
  <c r="BB23" i="3" s="1"/>
  <c r="BA24" i="3"/>
  <c r="BA25" i="3"/>
  <c r="BB25" i="3" s="1"/>
  <c r="BA26" i="3"/>
  <c r="BA27" i="3"/>
  <c r="BA28" i="3"/>
  <c r="BD28" i="3" s="1"/>
  <c r="BA29" i="3"/>
  <c r="BB29" i="3" s="1"/>
  <c r="BA30" i="3"/>
  <c r="BA31" i="3"/>
  <c r="BA32" i="3"/>
  <c r="BA33" i="3"/>
  <c r="BA34" i="3"/>
  <c r="BA35" i="3"/>
  <c r="BA36" i="3"/>
  <c r="BA37" i="3"/>
  <c r="BB37" i="3" s="1"/>
  <c r="BA38" i="3"/>
  <c r="BA39" i="3"/>
  <c r="BB39" i="3" s="1"/>
  <c r="BA40" i="3"/>
  <c r="BA41" i="3"/>
  <c r="BA42" i="3"/>
  <c r="BA43" i="3"/>
  <c r="BD43" i="3" s="1"/>
  <c r="BA44" i="3"/>
  <c r="BA45" i="3"/>
  <c r="BB45" i="3" s="1"/>
  <c r="BA46" i="3"/>
  <c r="BB46" i="3" s="1"/>
  <c r="BA47" i="3"/>
  <c r="BA48" i="3"/>
  <c r="BA49" i="3"/>
  <c r="BB49" i="3" s="1"/>
  <c r="BA50" i="3"/>
  <c r="BD50" i="3" s="1"/>
  <c r="BA51" i="3"/>
  <c r="BC51" i="3" s="1"/>
  <c r="BA52" i="3"/>
  <c r="BA53" i="3"/>
  <c r="BC53" i="3" s="1"/>
  <c r="BA54" i="3"/>
  <c r="BA55" i="3"/>
  <c r="BB55" i="3" s="1"/>
  <c r="BA56" i="3"/>
  <c r="BD56" i="3" s="1"/>
  <c r="BA57" i="3"/>
  <c r="BA58" i="3"/>
  <c r="BC58" i="3" s="1"/>
  <c r="BA59" i="3"/>
  <c r="BA60" i="3"/>
  <c r="BA61" i="3"/>
  <c r="BB61" i="3" s="1"/>
  <c r="BA62" i="3"/>
  <c r="BB62" i="3" s="1"/>
  <c r="BA63" i="3"/>
  <c r="BC63" i="3" s="1"/>
  <c r="BA64" i="3"/>
  <c r="BA65" i="3"/>
  <c r="BA66" i="3"/>
  <c r="BD66" i="3" s="1"/>
  <c r="BA67" i="3"/>
  <c r="BA68" i="3"/>
  <c r="BA69" i="3"/>
  <c r="BC69" i="3" s="1"/>
  <c r="BA70" i="3"/>
  <c r="BC70" i="3" s="1"/>
  <c r="BA71" i="3"/>
  <c r="BD71" i="3" s="1"/>
  <c r="BA72" i="3"/>
  <c r="BA73" i="3"/>
  <c r="BA74" i="3"/>
  <c r="BA75" i="3"/>
  <c r="BA76" i="3"/>
  <c r="BA77" i="3"/>
  <c r="BB77" i="3" s="1"/>
  <c r="BA78" i="3"/>
  <c r="BC78" i="3" s="1"/>
  <c r="BA79" i="3"/>
  <c r="BA80" i="3"/>
  <c r="BA81" i="3"/>
  <c r="BB81" i="3" s="1"/>
  <c r="BA82" i="3"/>
  <c r="BA83" i="3"/>
  <c r="BA84" i="3"/>
  <c r="BA85" i="3"/>
  <c r="BC85" i="3" s="1"/>
  <c r="BA86" i="3"/>
  <c r="BE86" i="3" s="1"/>
  <c r="BA87" i="3"/>
  <c r="BA88" i="3"/>
  <c r="BA89" i="3"/>
  <c r="BC89" i="3" s="1"/>
  <c r="BA90" i="3"/>
  <c r="BA91" i="3"/>
  <c r="BA92" i="3"/>
  <c r="BA93" i="3"/>
  <c r="BB93" i="3" s="1"/>
  <c r="BA94" i="3"/>
  <c r="BC94" i="3" s="1"/>
  <c r="BA95" i="3"/>
  <c r="BA96" i="3"/>
  <c r="BA97" i="3"/>
  <c r="BA98" i="3"/>
  <c r="BA99" i="3"/>
  <c r="BA100" i="3"/>
  <c r="BA101" i="3"/>
  <c r="BB101" i="3" s="1"/>
  <c r="BA102" i="3"/>
  <c r="BA103" i="3"/>
  <c r="BB103" i="3" s="1"/>
  <c r="BA104" i="3"/>
  <c r="BA105" i="3"/>
  <c r="BB105" i="3" s="1"/>
  <c r="BA106" i="3"/>
  <c r="BA107" i="3"/>
  <c r="BA108" i="3"/>
  <c r="BA109" i="3"/>
  <c r="BB109" i="3" s="1"/>
  <c r="BA110" i="3"/>
  <c r="BB110" i="3" s="1"/>
  <c r="BA111" i="3"/>
  <c r="BA112" i="3"/>
  <c r="BA113" i="3"/>
  <c r="BE113" i="3" s="1"/>
  <c r="BA114" i="3"/>
  <c r="BD114" i="3" s="1"/>
  <c r="BA115" i="3"/>
  <c r="BA116" i="3"/>
  <c r="BA117" i="3"/>
  <c r="BB117" i="3" s="1"/>
  <c r="BA118" i="3"/>
  <c r="BA119" i="3"/>
  <c r="BA120" i="3"/>
  <c r="BA121" i="3"/>
  <c r="BB121" i="3" s="1"/>
  <c r="BA122" i="3"/>
  <c r="BC122" i="3" s="1"/>
  <c r="BA123" i="3"/>
  <c r="BA124" i="3"/>
  <c r="BA125" i="3"/>
  <c r="BB125" i="3" s="1"/>
  <c r="BA126" i="3"/>
  <c r="BB126" i="3" s="1"/>
  <c r="BA127" i="3"/>
  <c r="BC127" i="3" s="1"/>
  <c r="BA128" i="3"/>
  <c r="BD128" i="3" s="1"/>
  <c r="BA129" i="3"/>
  <c r="BD129" i="3" s="1"/>
  <c r="BA130" i="3"/>
  <c r="BA131" i="3"/>
  <c r="BA132" i="3"/>
  <c r="BA133" i="3"/>
  <c r="BC133" i="3" s="1"/>
  <c r="BA134" i="3"/>
  <c r="BE134" i="3" s="1"/>
  <c r="BA135" i="3"/>
  <c r="BB135" i="3" s="1"/>
  <c r="BA136" i="3"/>
  <c r="BA137" i="3"/>
  <c r="BA138" i="3"/>
  <c r="BA139" i="3"/>
  <c r="BA140" i="3"/>
  <c r="BA141" i="3"/>
  <c r="BB141" i="3" s="1"/>
  <c r="BA142" i="3"/>
  <c r="BD142" i="3" s="1"/>
  <c r="BA143" i="3"/>
  <c r="BA144" i="3"/>
  <c r="BA145" i="3"/>
  <c r="BB145" i="3" s="1"/>
  <c r="BA146" i="3"/>
  <c r="BA147" i="3"/>
  <c r="BA148" i="3"/>
  <c r="BA149" i="3"/>
  <c r="BB149" i="3" s="1"/>
  <c r="BA150" i="3"/>
  <c r="BD150" i="3" s="1"/>
  <c r="BA151" i="3"/>
  <c r="BA152" i="3"/>
  <c r="BA153" i="3"/>
  <c r="BE153" i="3" s="1"/>
  <c r="BA154" i="3"/>
  <c r="BA155" i="3"/>
  <c r="BA156" i="3"/>
  <c r="BA157" i="3"/>
  <c r="BB157" i="3" s="1"/>
  <c r="BA158" i="3"/>
  <c r="BA159" i="3"/>
  <c r="BA160" i="3"/>
  <c r="BA161" i="3"/>
  <c r="BC161" i="3" s="1"/>
  <c r="BA162" i="3"/>
  <c r="BA163" i="3"/>
  <c r="BA164" i="3"/>
  <c r="BA165" i="3"/>
  <c r="BC165" i="3" s="1"/>
  <c r="BA166" i="3"/>
  <c r="BD166" i="3" s="1"/>
  <c r="BA167" i="3"/>
  <c r="BA168" i="3"/>
  <c r="BA169" i="3"/>
  <c r="BC169" i="3" s="1"/>
  <c r="BA170" i="3"/>
  <c r="BE170" i="3" s="1"/>
  <c r="BA171" i="3"/>
  <c r="BA172" i="3"/>
  <c r="BA173" i="3"/>
  <c r="BB173" i="3" s="1"/>
  <c r="BA174" i="3"/>
  <c r="BB174" i="3" s="1"/>
  <c r="BA175" i="3"/>
  <c r="BA176" i="3"/>
  <c r="BA177" i="3"/>
  <c r="BE177" i="3" s="1"/>
  <c r="BA178" i="3"/>
  <c r="BD178" i="3" s="1"/>
  <c r="BA179" i="3"/>
  <c r="BC179" i="3" s="1"/>
  <c r="BA180" i="3"/>
  <c r="BA181" i="3"/>
  <c r="BC181" i="3" s="1"/>
  <c r="BA182" i="3"/>
  <c r="BA183" i="3"/>
  <c r="BA184" i="3"/>
  <c r="BD184" i="3" s="1"/>
  <c r="BA185" i="3"/>
  <c r="BC185" i="3" s="1"/>
  <c r="BA186" i="3"/>
  <c r="BC186" i="3" s="1"/>
  <c r="BA187" i="3"/>
  <c r="BA188" i="3"/>
  <c r="BA189" i="3"/>
  <c r="BB189" i="3" s="1"/>
  <c r="BA190" i="3"/>
  <c r="BB190" i="3" s="1"/>
  <c r="BA191" i="3"/>
  <c r="BA192" i="3"/>
  <c r="BA193" i="3"/>
  <c r="BB193" i="3" s="1"/>
  <c r="BA194" i="3"/>
  <c r="BD194" i="3" s="1"/>
  <c r="BA195" i="3"/>
  <c r="BA196" i="3"/>
  <c r="BA197" i="3"/>
  <c r="BC197" i="3" s="1"/>
  <c r="BA198" i="3"/>
  <c r="BC198" i="3" s="1"/>
  <c r="BA199" i="3"/>
  <c r="BB199" i="3" s="1"/>
  <c r="BA200" i="3"/>
  <c r="BA201" i="3"/>
  <c r="BE201" i="3" s="1"/>
  <c r="BA202" i="3"/>
  <c r="BA203" i="3"/>
  <c r="BA204" i="3"/>
  <c r="BA205" i="3"/>
  <c r="BB205" i="3" s="1"/>
  <c r="BA206" i="3"/>
  <c r="BD206" i="3" s="1"/>
  <c r="BA207" i="3"/>
  <c r="BA208" i="3"/>
  <c r="BA209" i="3"/>
  <c r="BB209" i="3" s="1"/>
  <c r="BA210" i="3"/>
  <c r="BA211" i="3"/>
  <c r="BA212" i="3"/>
  <c r="BA213" i="3"/>
  <c r="BA214" i="3"/>
  <c r="BD214" i="3" s="1"/>
  <c r="BA215" i="3"/>
  <c r="BA216" i="3"/>
  <c r="BA217" i="3"/>
  <c r="BE217" i="3" s="1"/>
  <c r="BA218" i="3"/>
  <c r="BA219" i="3"/>
  <c r="BA220" i="3"/>
  <c r="BA221" i="3"/>
  <c r="BB221" i="3" s="1"/>
  <c r="BA222" i="3"/>
  <c r="BD222" i="3" s="1"/>
  <c r="BA223" i="3"/>
  <c r="BA224" i="3"/>
  <c r="BA225" i="3"/>
  <c r="BC225" i="3" s="1"/>
  <c r="BA226" i="3"/>
  <c r="BA227" i="3"/>
  <c r="BA228" i="3"/>
  <c r="BA229" i="3"/>
  <c r="BE229" i="3" s="1"/>
  <c r="BA230" i="3"/>
  <c r="BA231" i="3"/>
  <c r="BA232" i="3"/>
  <c r="BA233" i="3"/>
  <c r="BC233" i="3" s="1"/>
  <c r="BA234" i="3"/>
  <c r="BE234" i="3" s="1"/>
  <c r="BA235" i="3"/>
  <c r="BA236" i="3"/>
  <c r="BA237" i="3"/>
  <c r="BB237" i="3" s="1"/>
  <c r="BA238" i="3"/>
  <c r="BA239" i="3"/>
  <c r="BA240" i="3"/>
  <c r="BA241" i="3"/>
  <c r="BC241" i="3" s="1"/>
  <c r="BA242" i="3"/>
  <c r="BD242" i="3" s="1"/>
  <c r="BA243" i="3"/>
  <c r="BA244" i="3"/>
  <c r="BA245" i="3"/>
  <c r="BE245" i="3" s="1"/>
  <c r="BA246" i="3"/>
  <c r="BA247" i="3"/>
  <c r="BA248" i="3"/>
  <c r="BA249" i="3"/>
  <c r="BE249" i="3" s="1"/>
  <c r="BA250" i="3"/>
  <c r="BC250" i="3" s="1"/>
  <c r="BA251" i="3"/>
  <c r="BA252" i="3"/>
  <c r="BA253" i="3"/>
  <c r="BB253" i="3" s="1"/>
  <c r="BA254" i="3"/>
  <c r="BB254" i="3" s="1"/>
  <c r="BA255" i="3"/>
  <c r="BC255" i="3" s="1"/>
  <c r="BA256" i="3"/>
  <c r="BD256" i="3" s="1"/>
  <c r="BA257" i="3"/>
  <c r="BB257" i="3" s="1"/>
  <c r="BA258" i="3"/>
  <c r="BA259" i="3"/>
  <c r="BA260" i="3"/>
  <c r="BA261" i="3"/>
  <c r="BB261" i="3" s="1"/>
  <c r="BA262" i="3"/>
  <c r="BC262" i="3" s="1"/>
  <c r="BA263" i="3"/>
  <c r="BA264" i="3"/>
  <c r="BA265" i="3"/>
  <c r="BC265" i="3" s="1"/>
  <c r="BA266" i="3"/>
  <c r="BB266" i="3" s="1"/>
  <c r="BA267" i="3"/>
  <c r="BA268" i="3"/>
  <c r="BA269" i="3"/>
  <c r="BB269" i="3" s="1"/>
  <c r="BA270" i="3"/>
  <c r="BD270" i="3" s="1"/>
  <c r="BA271" i="3"/>
  <c r="BA272" i="3"/>
  <c r="BA273" i="3"/>
  <c r="BE273" i="3" s="1"/>
  <c r="BA274" i="3"/>
  <c r="BB274" i="3" s="1"/>
  <c r="BA275" i="3"/>
  <c r="BA276" i="3"/>
  <c r="BA277" i="3"/>
  <c r="BA278" i="3"/>
  <c r="BA279" i="3"/>
  <c r="BA280" i="3"/>
  <c r="BA281" i="3"/>
  <c r="BD281" i="3" s="1"/>
  <c r="BA282" i="3"/>
  <c r="BA283" i="3"/>
  <c r="BA284" i="3"/>
  <c r="BD284" i="3" s="1"/>
  <c r="BA285" i="3"/>
  <c r="BB285" i="3" s="1"/>
  <c r="BA286" i="3"/>
  <c r="BC286" i="3" s="1"/>
  <c r="BA287" i="3"/>
  <c r="BA288" i="3"/>
  <c r="BA289" i="3"/>
  <c r="BB289" i="3" s="1"/>
  <c r="BA290" i="3"/>
  <c r="BA291" i="3"/>
  <c r="BA292" i="3"/>
  <c r="BA293" i="3"/>
  <c r="BC293" i="3" s="1"/>
  <c r="BA294" i="3"/>
  <c r="BD294" i="3" s="1"/>
  <c r="BA295" i="3"/>
  <c r="BA296" i="3"/>
  <c r="BA297" i="3"/>
  <c r="BB297" i="3" s="1"/>
  <c r="BA298" i="3"/>
  <c r="BB298" i="3" s="1"/>
  <c r="BA299" i="3"/>
  <c r="BD299" i="3" s="1"/>
  <c r="BA300" i="3"/>
  <c r="BA301" i="3"/>
  <c r="BB301" i="3" s="1"/>
  <c r="BA302" i="3"/>
  <c r="BA303" i="3"/>
  <c r="BA304" i="3"/>
  <c r="BA305" i="3"/>
  <c r="BE305" i="3" s="1"/>
  <c r="BA306" i="3"/>
  <c r="BB306" i="3" s="1"/>
  <c r="BA307" i="3"/>
  <c r="BA308" i="3"/>
  <c r="BA309" i="3"/>
  <c r="BA310" i="3"/>
  <c r="BA311" i="3"/>
  <c r="BA312" i="3"/>
  <c r="BD312" i="3" s="1"/>
  <c r="BA313" i="3"/>
  <c r="BB313" i="3" s="1"/>
  <c r="BA314" i="3"/>
  <c r="BC314" i="3" s="1"/>
  <c r="BA315" i="3"/>
  <c r="BA316" i="3"/>
  <c r="BA317" i="3"/>
  <c r="BB317" i="3" s="1"/>
  <c r="BA318" i="3"/>
  <c r="BB318" i="3" s="1"/>
  <c r="BA319" i="3"/>
  <c r="BC319" i="3" s="1"/>
  <c r="BA320" i="3"/>
  <c r="BA321" i="3"/>
  <c r="BC321" i="3" s="1"/>
  <c r="BA322" i="3"/>
  <c r="BD322" i="3" s="1"/>
  <c r="BA323" i="3"/>
  <c r="BA324" i="3"/>
  <c r="BA325" i="3"/>
  <c r="BB325" i="3" s="1"/>
  <c r="BA326" i="3"/>
  <c r="BC326" i="3" s="1"/>
  <c r="BA327" i="3"/>
  <c r="BA328" i="3"/>
  <c r="BA329" i="3"/>
  <c r="BB329" i="3" s="1"/>
  <c r="BA330" i="3"/>
  <c r="BB330" i="3" s="1"/>
  <c r="BA331" i="3"/>
  <c r="BA332" i="3"/>
  <c r="BA333" i="3"/>
  <c r="BB333" i="3" s="1"/>
  <c r="BA334" i="3"/>
  <c r="BE334" i="3" s="1"/>
  <c r="BA335" i="3"/>
  <c r="BA336" i="3"/>
  <c r="BA337" i="3"/>
  <c r="BE337" i="3" s="1"/>
  <c r="BA338" i="3"/>
  <c r="BB338" i="3" s="1"/>
  <c r="BA339" i="3"/>
  <c r="BA340" i="3"/>
  <c r="BA341" i="3"/>
  <c r="BA342" i="3"/>
  <c r="BB342" i="3" s="1"/>
  <c r="BA343" i="3"/>
  <c r="BA344" i="3"/>
  <c r="BA345" i="3"/>
  <c r="BC345" i="3" s="1"/>
  <c r="BA346" i="3"/>
  <c r="BA347" i="3"/>
  <c r="BA348" i="3"/>
  <c r="BA349" i="3"/>
  <c r="BB349" i="3" s="1"/>
  <c r="BA350" i="3"/>
  <c r="BA351" i="3"/>
  <c r="BA352" i="3"/>
  <c r="BA353" i="3"/>
  <c r="BA354" i="3"/>
  <c r="BA355" i="3"/>
  <c r="BD355" i="3" s="1"/>
  <c r="BA356" i="3"/>
  <c r="BA357" i="3"/>
  <c r="BB357" i="3" s="1"/>
  <c r="BA358" i="3"/>
  <c r="BA359" i="3"/>
  <c r="BA360" i="3"/>
  <c r="BE360" i="3" s="1"/>
  <c r="BA361" i="3"/>
  <c r="BE361" i="3" s="1"/>
  <c r="BA362" i="3"/>
  <c r="BB362" i="3" s="1"/>
  <c r="BA363" i="3"/>
  <c r="BA364" i="3"/>
  <c r="BA365" i="3"/>
  <c r="BA366" i="3"/>
  <c r="BA367" i="3"/>
  <c r="BA368" i="3"/>
  <c r="BA369" i="3"/>
  <c r="BA370" i="3"/>
  <c r="BD370" i="3" s="1"/>
  <c r="BA371" i="3"/>
  <c r="BA372" i="3"/>
  <c r="BE372" i="3" s="1"/>
  <c r="BA373" i="3"/>
  <c r="BC373" i="3" s="1"/>
  <c r="BA374" i="3"/>
  <c r="BA375" i="3"/>
  <c r="BA376" i="3"/>
  <c r="BA377" i="3"/>
  <c r="BB377" i="3" s="1"/>
  <c r="BA378" i="3"/>
  <c r="BC378" i="3" s="1"/>
  <c r="BA379" i="3"/>
  <c r="BA380" i="3"/>
  <c r="BA381" i="3"/>
  <c r="BA382" i="3"/>
  <c r="BB382" i="3" s="1"/>
  <c r="BA383" i="3"/>
  <c r="BA384" i="3"/>
  <c r="BA385" i="3"/>
  <c r="BB385" i="3" s="1"/>
  <c r="BA386" i="3"/>
  <c r="BA387" i="3"/>
  <c r="BA388" i="3"/>
  <c r="BE388" i="3" s="1"/>
  <c r="BA389" i="3"/>
  <c r="BA390" i="3"/>
  <c r="BC390" i="3" s="1"/>
  <c r="BA391" i="3"/>
  <c r="BA392" i="3"/>
  <c r="BA393" i="3"/>
  <c r="BB393" i="3" s="1"/>
  <c r="BA394" i="3"/>
  <c r="BB394" i="3" s="1"/>
  <c r="BA395" i="3"/>
  <c r="BA396" i="3"/>
  <c r="BA397" i="3"/>
  <c r="BB397" i="3" s="1"/>
  <c r="BA398" i="3"/>
  <c r="BD398" i="3" s="1"/>
  <c r="BA399" i="3"/>
  <c r="BE399" i="3" s="1"/>
  <c r="BA400" i="3"/>
  <c r="BA401" i="3"/>
  <c r="BB401" i="3" s="1"/>
  <c r="BA402" i="3"/>
  <c r="BB402" i="3" s="1"/>
  <c r="BA403" i="3"/>
  <c r="BA404" i="3"/>
  <c r="BC404" i="3" s="1"/>
  <c r="BA405" i="3"/>
  <c r="BE405" i="3" s="1"/>
  <c r="BA406" i="3"/>
  <c r="BA407" i="3"/>
  <c r="BA408" i="3"/>
  <c r="BA409" i="3"/>
  <c r="BE409" i="3" s="1"/>
  <c r="BA410" i="3"/>
  <c r="BA411" i="3"/>
  <c r="BA412" i="3"/>
  <c r="BD412" i="3" s="1"/>
  <c r="BA413" i="3"/>
  <c r="BB413" i="3" s="1"/>
  <c r="AW3" i="3"/>
  <c r="AW4" i="3"/>
  <c r="AW5" i="3"/>
  <c r="AW6" i="3"/>
  <c r="AW7" i="3"/>
  <c r="AW8" i="3"/>
  <c r="AW9" i="3"/>
  <c r="AW10" i="3"/>
  <c r="AW11" i="3"/>
  <c r="AW12" i="3"/>
  <c r="AW13" i="3"/>
  <c r="AW14" i="3"/>
  <c r="AW15" i="3"/>
  <c r="AW16" i="3"/>
  <c r="AW17" i="3"/>
  <c r="AW18" i="3"/>
  <c r="AW19" i="3"/>
  <c r="AW20" i="3"/>
  <c r="AW21" i="3"/>
  <c r="AW22" i="3"/>
  <c r="AW23" i="3"/>
  <c r="AW24" i="3"/>
  <c r="AW25" i="3"/>
  <c r="AW26" i="3"/>
  <c r="AW27" i="3"/>
  <c r="AW28" i="3"/>
  <c r="AW29" i="3"/>
  <c r="AW30" i="3"/>
  <c r="AW31" i="3"/>
  <c r="AW32" i="3"/>
  <c r="AW33" i="3"/>
  <c r="AW34" i="3"/>
  <c r="AW35" i="3"/>
  <c r="AW36" i="3"/>
  <c r="AW37" i="3"/>
  <c r="AW38" i="3"/>
  <c r="AW39" i="3"/>
  <c r="AW40" i="3"/>
  <c r="AW41" i="3"/>
  <c r="AW42" i="3"/>
  <c r="AW43" i="3"/>
  <c r="AW44" i="3"/>
  <c r="AW45" i="3"/>
  <c r="AW46" i="3"/>
  <c r="AW47" i="3"/>
  <c r="AW48" i="3"/>
  <c r="AW49" i="3"/>
  <c r="AW50" i="3"/>
  <c r="AW51" i="3"/>
  <c r="AW52" i="3"/>
  <c r="AW53" i="3"/>
  <c r="AW54" i="3"/>
  <c r="AW55" i="3"/>
  <c r="AW56" i="3"/>
  <c r="AW57" i="3"/>
  <c r="AW58" i="3"/>
  <c r="AW59" i="3"/>
  <c r="AW60" i="3"/>
  <c r="AW61" i="3"/>
  <c r="AW62" i="3"/>
  <c r="AW63" i="3"/>
  <c r="AW64" i="3"/>
  <c r="AW65" i="3"/>
  <c r="AW66" i="3"/>
  <c r="AW67" i="3"/>
  <c r="AW68" i="3"/>
  <c r="AW69" i="3"/>
  <c r="AW70" i="3"/>
  <c r="AW71" i="3"/>
  <c r="AW72" i="3"/>
  <c r="AW73" i="3"/>
  <c r="AW74" i="3"/>
  <c r="AW75" i="3"/>
  <c r="AW76" i="3"/>
  <c r="AW77" i="3"/>
  <c r="AW78" i="3"/>
  <c r="AW79" i="3"/>
  <c r="AW80" i="3"/>
  <c r="AW81" i="3"/>
  <c r="AW82" i="3"/>
  <c r="AW83" i="3"/>
  <c r="AW84" i="3"/>
  <c r="AW85" i="3"/>
  <c r="AW86" i="3"/>
  <c r="AW87" i="3"/>
  <c r="AW88" i="3"/>
  <c r="AW89" i="3"/>
  <c r="AW90" i="3"/>
  <c r="AW91" i="3"/>
  <c r="AW92" i="3"/>
  <c r="AW93" i="3"/>
  <c r="AW94" i="3"/>
  <c r="AW95" i="3"/>
  <c r="AW96" i="3"/>
  <c r="AW97" i="3"/>
  <c r="AW98" i="3"/>
  <c r="AW99" i="3"/>
  <c r="AW100" i="3"/>
  <c r="AW101" i="3"/>
  <c r="AW102" i="3"/>
  <c r="AW103" i="3"/>
  <c r="AW104" i="3"/>
  <c r="AW105" i="3"/>
  <c r="AW106" i="3"/>
  <c r="AW107" i="3"/>
  <c r="AW108" i="3"/>
  <c r="AW109" i="3"/>
  <c r="AW110" i="3"/>
  <c r="AW111" i="3"/>
  <c r="AW112" i="3"/>
  <c r="AW113" i="3"/>
  <c r="AW114" i="3"/>
  <c r="AW115" i="3"/>
  <c r="AW116" i="3"/>
  <c r="AW117" i="3"/>
  <c r="AW118" i="3"/>
  <c r="AW119" i="3"/>
  <c r="AW120" i="3"/>
  <c r="AW121" i="3"/>
  <c r="AW122" i="3"/>
  <c r="AW123" i="3"/>
  <c r="AW124" i="3"/>
  <c r="AW125" i="3"/>
  <c r="AW126" i="3"/>
  <c r="AW127" i="3"/>
  <c r="AW128" i="3"/>
  <c r="AW129" i="3"/>
  <c r="AW130" i="3"/>
  <c r="AW131" i="3"/>
  <c r="AW132" i="3"/>
  <c r="AW133" i="3"/>
  <c r="AW134" i="3"/>
  <c r="AW135" i="3"/>
  <c r="AW136" i="3"/>
  <c r="AW137" i="3"/>
  <c r="AW138" i="3"/>
  <c r="AW139" i="3"/>
  <c r="AW140" i="3"/>
  <c r="AW141" i="3"/>
  <c r="AW142" i="3"/>
  <c r="AW143" i="3"/>
  <c r="AW144" i="3"/>
  <c r="AW145" i="3"/>
  <c r="AW146" i="3"/>
  <c r="AW147" i="3"/>
  <c r="AW148" i="3"/>
  <c r="AW149" i="3"/>
  <c r="AW150" i="3"/>
  <c r="AW151" i="3"/>
  <c r="AW152" i="3"/>
  <c r="AW153" i="3"/>
  <c r="AW154" i="3"/>
  <c r="AW155" i="3"/>
  <c r="AW156" i="3"/>
  <c r="AW157" i="3"/>
  <c r="AW158" i="3"/>
  <c r="AW159" i="3"/>
  <c r="AW160" i="3"/>
  <c r="AW161" i="3"/>
  <c r="AW162" i="3"/>
  <c r="AW163" i="3"/>
  <c r="AW164" i="3"/>
  <c r="AW165" i="3"/>
  <c r="AW166" i="3"/>
  <c r="AW167" i="3"/>
  <c r="AW168" i="3"/>
  <c r="AW169" i="3"/>
  <c r="AW170" i="3"/>
  <c r="AW171" i="3"/>
  <c r="AW172" i="3"/>
  <c r="AW173" i="3"/>
  <c r="AW174" i="3"/>
  <c r="AW175" i="3"/>
  <c r="AW176" i="3"/>
  <c r="AW177" i="3"/>
  <c r="AW178" i="3"/>
  <c r="AW179" i="3"/>
  <c r="AW180" i="3"/>
  <c r="AW181" i="3"/>
  <c r="AW182" i="3"/>
  <c r="AW183" i="3"/>
  <c r="AW184" i="3"/>
  <c r="AW185" i="3"/>
  <c r="AW186" i="3"/>
  <c r="AW187" i="3"/>
  <c r="AW188" i="3"/>
  <c r="AW189" i="3"/>
  <c r="AW190" i="3"/>
  <c r="AW191" i="3"/>
  <c r="AW192" i="3"/>
  <c r="AW193" i="3"/>
  <c r="AW194" i="3"/>
  <c r="AW195" i="3"/>
  <c r="AW196" i="3"/>
  <c r="AW197" i="3"/>
  <c r="AW198" i="3"/>
  <c r="AW199" i="3"/>
  <c r="AW200" i="3"/>
  <c r="AW201" i="3"/>
  <c r="AW202" i="3"/>
  <c r="AW203" i="3"/>
  <c r="AW204" i="3"/>
  <c r="AW205" i="3"/>
  <c r="AW206" i="3"/>
  <c r="AW207" i="3"/>
  <c r="AW208" i="3"/>
  <c r="AW209" i="3"/>
  <c r="AW210" i="3"/>
  <c r="AW211" i="3"/>
  <c r="AW212" i="3"/>
  <c r="AW213" i="3"/>
  <c r="AW214" i="3"/>
  <c r="AW215" i="3"/>
  <c r="AW216" i="3"/>
  <c r="AW217" i="3"/>
  <c r="AW218" i="3"/>
  <c r="AW219" i="3"/>
  <c r="AW220" i="3"/>
  <c r="AW221" i="3"/>
  <c r="AW222" i="3"/>
  <c r="AW223" i="3"/>
  <c r="AW224" i="3"/>
  <c r="AW225" i="3"/>
  <c r="AW226" i="3"/>
  <c r="AW227" i="3"/>
  <c r="AW228" i="3"/>
  <c r="AW229" i="3"/>
  <c r="AW230" i="3"/>
  <c r="AW231" i="3"/>
  <c r="AW232" i="3"/>
  <c r="AW233" i="3"/>
  <c r="AW234" i="3"/>
  <c r="AW235" i="3"/>
  <c r="AW236" i="3"/>
  <c r="AW237" i="3"/>
  <c r="AW238" i="3"/>
  <c r="AW239" i="3"/>
  <c r="AW240" i="3"/>
  <c r="AW241" i="3"/>
  <c r="AW242" i="3"/>
  <c r="AW243" i="3"/>
  <c r="AW244" i="3"/>
  <c r="AW245" i="3"/>
  <c r="AW246" i="3"/>
  <c r="AW247" i="3"/>
  <c r="AW248" i="3"/>
  <c r="AW249" i="3"/>
  <c r="AW250" i="3"/>
  <c r="AW251" i="3"/>
  <c r="AW252" i="3"/>
  <c r="AW253" i="3"/>
  <c r="AW254" i="3"/>
  <c r="AW255" i="3"/>
  <c r="AW256" i="3"/>
  <c r="AW257" i="3"/>
  <c r="AW258" i="3"/>
  <c r="AW259" i="3"/>
  <c r="AW260" i="3"/>
  <c r="AW261" i="3"/>
  <c r="AW262" i="3"/>
  <c r="AW263" i="3"/>
  <c r="AW264" i="3"/>
  <c r="AW265" i="3"/>
  <c r="AW266" i="3"/>
  <c r="AW267" i="3"/>
  <c r="AW268" i="3"/>
  <c r="AW269" i="3"/>
  <c r="AW270" i="3"/>
  <c r="AW271" i="3"/>
  <c r="AW272" i="3"/>
  <c r="AW273" i="3"/>
  <c r="AW274" i="3"/>
  <c r="AW275" i="3"/>
  <c r="AW276" i="3"/>
  <c r="AW277" i="3"/>
  <c r="AW278" i="3"/>
  <c r="AW279" i="3"/>
  <c r="AW280" i="3"/>
  <c r="AW281" i="3"/>
  <c r="AW282" i="3"/>
  <c r="AW283" i="3"/>
  <c r="AW284" i="3"/>
  <c r="AW285" i="3"/>
  <c r="AW286" i="3"/>
  <c r="AW287" i="3"/>
  <c r="AW288" i="3"/>
  <c r="AW289" i="3"/>
  <c r="AW290" i="3"/>
  <c r="AW291" i="3"/>
  <c r="AW292" i="3"/>
  <c r="AW293" i="3"/>
  <c r="AW294" i="3"/>
  <c r="AW295" i="3"/>
  <c r="AW296" i="3"/>
  <c r="AW297" i="3"/>
  <c r="AW298" i="3"/>
  <c r="AW299" i="3"/>
  <c r="AW300" i="3"/>
  <c r="AW301" i="3"/>
  <c r="AW302" i="3"/>
  <c r="AW303" i="3"/>
  <c r="AW304" i="3"/>
  <c r="AW305" i="3"/>
  <c r="AW306" i="3"/>
  <c r="AW307" i="3"/>
  <c r="AW308" i="3"/>
  <c r="AW309" i="3"/>
  <c r="AW310" i="3"/>
  <c r="AW311" i="3"/>
  <c r="AW312" i="3"/>
  <c r="AW313" i="3"/>
  <c r="AW314" i="3"/>
  <c r="AW315" i="3"/>
  <c r="AW316" i="3"/>
  <c r="AW317" i="3"/>
  <c r="AW318" i="3"/>
  <c r="AW319" i="3"/>
  <c r="AW320" i="3"/>
  <c r="AW321" i="3"/>
  <c r="AW322" i="3"/>
  <c r="AW323" i="3"/>
  <c r="AW324" i="3"/>
  <c r="AW325" i="3"/>
  <c r="AW326" i="3"/>
  <c r="AW327" i="3"/>
  <c r="AW328" i="3"/>
  <c r="AW329" i="3"/>
  <c r="AW330" i="3"/>
  <c r="AW331" i="3"/>
  <c r="AW332" i="3"/>
  <c r="AW333" i="3"/>
  <c r="AW334" i="3"/>
  <c r="AW335" i="3"/>
  <c r="AW336" i="3"/>
  <c r="AW337" i="3"/>
  <c r="AW338" i="3"/>
  <c r="AW339" i="3"/>
  <c r="AW340" i="3"/>
  <c r="AW341" i="3"/>
  <c r="AW342" i="3"/>
  <c r="AW343" i="3"/>
  <c r="AW344" i="3"/>
  <c r="AW345" i="3"/>
  <c r="AW346" i="3"/>
  <c r="AW347" i="3"/>
  <c r="AW348" i="3"/>
  <c r="AW349" i="3"/>
  <c r="AW350" i="3"/>
  <c r="AW351" i="3"/>
  <c r="AW352" i="3"/>
  <c r="AW353" i="3"/>
  <c r="AW354" i="3"/>
  <c r="AW355" i="3"/>
  <c r="AW356" i="3"/>
  <c r="AW357" i="3"/>
  <c r="AW358" i="3"/>
  <c r="AW359" i="3"/>
  <c r="AW360" i="3"/>
  <c r="AW361" i="3"/>
  <c r="AW362" i="3"/>
  <c r="AW363" i="3"/>
  <c r="AW364" i="3"/>
  <c r="AW365" i="3"/>
  <c r="AW366" i="3"/>
  <c r="AW367" i="3"/>
  <c r="AW368" i="3"/>
  <c r="AW369" i="3"/>
  <c r="AW370" i="3"/>
  <c r="AW371" i="3"/>
  <c r="AW372" i="3"/>
  <c r="AW373" i="3"/>
  <c r="AW374" i="3"/>
  <c r="AW375" i="3"/>
  <c r="AW376" i="3"/>
  <c r="AW377" i="3"/>
  <c r="AW378" i="3"/>
  <c r="AW379" i="3"/>
  <c r="AW380" i="3"/>
  <c r="AW381" i="3"/>
  <c r="AW382" i="3"/>
  <c r="AW383" i="3"/>
  <c r="AW384" i="3"/>
  <c r="AW385" i="3"/>
  <c r="AW386" i="3"/>
  <c r="AW387" i="3"/>
  <c r="AW388" i="3"/>
  <c r="AW389" i="3"/>
  <c r="AW390" i="3"/>
  <c r="AW391" i="3"/>
  <c r="AW392" i="3"/>
  <c r="AW393" i="3"/>
  <c r="AW394" i="3"/>
  <c r="AW395" i="3"/>
  <c r="AW396" i="3"/>
  <c r="AW397" i="3"/>
  <c r="AW398" i="3"/>
  <c r="AW399" i="3"/>
  <c r="AW400" i="3"/>
  <c r="AW401" i="3"/>
  <c r="AW402" i="3"/>
  <c r="AW403" i="3"/>
  <c r="AW404" i="3"/>
  <c r="AW405" i="3"/>
  <c r="AW406" i="3"/>
  <c r="AW407" i="3"/>
  <c r="AW408" i="3"/>
  <c r="AW409" i="3"/>
  <c r="AW410" i="3"/>
  <c r="AW411" i="3"/>
  <c r="AW412" i="3"/>
  <c r="AW413" i="3"/>
  <c r="AW41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3" i="3"/>
  <c r="AV4" i="3"/>
  <c r="AV5" i="3"/>
  <c r="AV6" i="3"/>
  <c r="AV7" i="3"/>
  <c r="AV8" i="3"/>
  <c r="AV9" i="3"/>
  <c r="AV10" i="3"/>
  <c r="AV11" i="3"/>
  <c r="AV12" i="3"/>
  <c r="AV13"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2" i="3"/>
  <c r="BJ2" i="3"/>
  <c r="BA2" i="3"/>
  <c r="AW2" i="3"/>
  <c r="AG417" i="18" l="1"/>
  <c r="AN57" i="18"/>
  <c r="AG416" i="18"/>
  <c r="B15" i="15"/>
  <c r="Q15" i="15" s="1"/>
  <c r="BJ39" i="18"/>
  <c r="BL39" i="18" s="1"/>
  <c r="BO39" i="18" s="1"/>
  <c r="AJ43" i="18"/>
  <c r="AN43" i="18" s="1"/>
  <c r="BL58" i="18"/>
  <c r="BO58" i="18" s="1"/>
  <c r="AJ47" i="18"/>
  <c r="AN47" i="18" s="1"/>
  <c r="BL222" i="18"/>
  <c r="BP222" i="18"/>
  <c r="BO222" i="18"/>
  <c r="BL51" i="18"/>
  <c r="AJ5" i="18"/>
  <c r="AN5" i="18" s="1"/>
  <c r="AJ24" i="18"/>
  <c r="AN24" i="18" s="1"/>
  <c r="BJ343" i="18"/>
  <c r="BL343" i="18" s="1"/>
  <c r="BL218" i="18"/>
  <c r="BO218" i="18" s="1"/>
  <c r="BL225" i="18"/>
  <c r="BO225" i="18"/>
  <c r="BP225" i="18"/>
  <c r="BL265" i="18"/>
  <c r="AJ16" i="18"/>
  <c r="AN16" i="18" s="1"/>
  <c r="AJ55" i="18"/>
  <c r="AN55" i="18" s="1"/>
  <c r="BD344" i="4"/>
  <c r="BD88" i="4"/>
  <c r="BD216" i="4"/>
  <c r="BJ103" i="18"/>
  <c r="AJ103" i="18"/>
  <c r="AN103" i="18" s="1"/>
  <c r="BJ214" i="18"/>
  <c r="AJ214" i="18"/>
  <c r="AN214" i="18" s="1"/>
  <c r="AG30" i="18"/>
  <c r="BJ80" i="18"/>
  <c r="AJ80" i="18"/>
  <c r="AN80" i="18" s="1"/>
  <c r="BJ159" i="18"/>
  <c r="AJ159" i="18"/>
  <c r="AN159" i="18" s="1"/>
  <c r="BJ223" i="18"/>
  <c r="AJ223" i="18"/>
  <c r="AN223" i="18" s="1"/>
  <c r="BJ254" i="18"/>
  <c r="AJ254" i="18"/>
  <c r="AN254" i="18" s="1"/>
  <c r="BJ316" i="18"/>
  <c r="AJ316" i="18"/>
  <c r="AN316" i="18" s="1"/>
  <c r="BJ396" i="18"/>
  <c r="AJ396" i="18"/>
  <c r="AN396" i="18" s="1"/>
  <c r="BJ46" i="18"/>
  <c r="AJ46" i="18"/>
  <c r="AN46" i="18" s="1"/>
  <c r="BJ121" i="18"/>
  <c r="AJ121" i="18"/>
  <c r="AN121" i="18" s="1"/>
  <c r="BJ216" i="18"/>
  <c r="AJ216" i="18"/>
  <c r="AN216" i="18" s="1"/>
  <c r="BJ294" i="18"/>
  <c r="BL294" i="18" s="1"/>
  <c r="AJ294" i="18"/>
  <c r="AN294" i="18" s="1"/>
  <c r="BJ325" i="18"/>
  <c r="AJ325" i="18"/>
  <c r="AN325" i="18" s="1"/>
  <c r="BJ404" i="18"/>
  <c r="AJ404" i="18"/>
  <c r="AN404" i="18" s="1"/>
  <c r="BL8" i="18"/>
  <c r="BO8" i="18" s="1"/>
  <c r="BL16" i="18"/>
  <c r="BO16" i="18" s="1"/>
  <c r="BL24" i="18"/>
  <c r="BO24" i="18" s="1"/>
  <c r="BL31" i="18"/>
  <c r="BO31" i="18" s="1"/>
  <c r="BL47" i="18"/>
  <c r="BO47" i="18" s="1"/>
  <c r="BL55" i="18"/>
  <c r="BO55" i="18" s="1"/>
  <c r="BJ70" i="18"/>
  <c r="AJ70" i="18"/>
  <c r="AN70" i="18" s="1"/>
  <c r="BJ86" i="18"/>
  <c r="AJ86" i="18"/>
  <c r="AN86" i="18" s="1"/>
  <c r="BJ102" i="18"/>
  <c r="AJ102" i="18"/>
  <c r="AN102" i="18" s="1"/>
  <c r="BJ118" i="18"/>
  <c r="AJ118" i="18"/>
  <c r="AN118" i="18" s="1"/>
  <c r="BJ134" i="18"/>
  <c r="AJ134" i="18"/>
  <c r="AN134" i="18" s="1"/>
  <c r="BJ149" i="18"/>
  <c r="AJ149" i="18"/>
  <c r="AN149" i="18" s="1"/>
  <c r="BJ165" i="18"/>
  <c r="AJ165" i="18"/>
  <c r="AN165" i="18" s="1"/>
  <c r="BJ181" i="18"/>
  <c r="AJ181" i="18"/>
  <c r="AN181" i="18" s="1"/>
  <c r="BJ197" i="18"/>
  <c r="AJ197" i="18"/>
  <c r="AN197" i="18" s="1"/>
  <c r="BJ213" i="18"/>
  <c r="AJ213" i="18"/>
  <c r="AN213" i="18" s="1"/>
  <c r="BJ227" i="18"/>
  <c r="AJ227" i="18"/>
  <c r="AN227" i="18" s="1"/>
  <c r="BJ244" i="18"/>
  <c r="BL244" i="18" s="1"/>
  <c r="AJ244" i="18"/>
  <c r="AN244" i="18" s="1"/>
  <c r="BJ260" i="18"/>
  <c r="AJ260" i="18"/>
  <c r="AN260" i="18" s="1"/>
  <c r="BJ276" i="18"/>
  <c r="AJ276" i="18"/>
  <c r="AN276" i="18" s="1"/>
  <c r="BJ291" i="18"/>
  <c r="AJ291" i="18"/>
  <c r="AN291" i="18" s="1"/>
  <c r="BJ307" i="18"/>
  <c r="AJ307" i="18"/>
  <c r="AN307" i="18" s="1"/>
  <c r="BJ322" i="18"/>
  <c r="AJ322" i="18"/>
  <c r="AN322" i="18" s="1"/>
  <c r="BJ338" i="18"/>
  <c r="AJ338" i="18"/>
  <c r="AN338" i="18" s="1"/>
  <c r="BJ354" i="18"/>
  <c r="AJ354" i="18"/>
  <c r="AN354" i="18" s="1"/>
  <c r="BJ370" i="18"/>
  <c r="AJ370" i="18"/>
  <c r="AN370" i="18" s="1"/>
  <c r="BJ386" i="18"/>
  <c r="AJ386" i="18"/>
  <c r="AN386" i="18" s="1"/>
  <c r="AG2" i="18"/>
  <c r="Y3" i="8"/>
  <c r="Y5" i="8" s="1"/>
  <c r="BJ150" i="18"/>
  <c r="AJ150" i="18"/>
  <c r="AN150" i="18" s="1"/>
  <c r="BJ198" i="18"/>
  <c r="AJ198" i="18"/>
  <c r="AN198" i="18" s="1"/>
  <c r="BJ65" i="18"/>
  <c r="BL65" i="18" s="1"/>
  <c r="AJ65" i="18"/>
  <c r="AN65" i="18" s="1"/>
  <c r="BJ112" i="18"/>
  <c r="AJ112" i="18"/>
  <c r="AN112" i="18" s="1"/>
  <c r="BJ191" i="18"/>
  <c r="AJ191" i="18"/>
  <c r="AN191" i="18" s="1"/>
  <c r="BJ301" i="18"/>
  <c r="AJ301" i="18"/>
  <c r="AN301" i="18" s="1"/>
  <c r="BJ348" i="18"/>
  <c r="AJ348" i="18"/>
  <c r="AN348" i="18" s="1"/>
  <c r="BJ89" i="18"/>
  <c r="AJ89" i="18"/>
  <c r="AN89" i="18" s="1"/>
  <c r="BJ152" i="18"/>
  <c r="AJ152" i="18"/>
  <c r="AN152" i="18" s="1"/>
  <c r="BJ230" i="18"/>
  <c r="AJ230" i="18"/>
  <c r="AN230" i="18" s="1"/>
  <c r="BJ279" i="18"/>
  <c r="AJ279" i="18"/>
  <c r="AN279" i="18" s="1"/>
  <c r="BJ341" i="18"/>
  <c r="AJ341" i="18"/>
  <c r="AN341" i="18" s="1"/>
  <c r="BJ389" i="18"/>
  <c r="AJ389" i="18"/>
  <c r="AN389" i="18" s="1"/>
  <c r="BJ91" i="18"/>
  <c r="AJ91" i="18"/>
  <c r="AN91" i="18" s="1"/>
  <c r="BJ170" i="18"/>
  <c r="AJ170" i="18"/>
  <c r="AN170" i="18" s="1"/>
  <c r="BJ3" i="18"/>
  <c r="AJ3" i="18"/>
  <c r="AN3" i="18" s="1"/>
  <c r="BJ49" i="18"/>
  <c r="AJ49" i="18"/>
  <c r="AN49" i="18" s="1"/>
  <c r="BJ84" i="18"/>
  <c r="AJ84" i="18"/>
  <c r="AN84" i="18" s="1"/>
  <c r="BJ116" i="18"/>
  <c r="AJ116" i="18"/>
  <c r="AN116" i="18" s="1"/>
  <c r="BJ211" i="18"/>
  <c r="AJ211" i="18"/>
  <c r="AN211" i="18" s="1"/>
  <c r="BJ232" i="18"/>
  <c r="AJ232" i="18"/>
  <c r="AN232" i="18" s="1"/>
  <c r="BJ289" i="18"/>
  <c r="AJ289" i="18"/>
  <c r="AN289" i="18" s="1"/>
  <c r="BJ336" i="18"/>
  <c r="AJ336" i="18"/>
  <c r="AN336" i="18" s="1"/>
  <c r="BJ400" i="18"/>
  <c r="AJ400" i="18"/>
  <c r="AN400" i="18" s="1"/>
  <c r="BJ4" i="18"/>
  <c r="AJ4" i="18"/>
  <c r="AN4" i="18" s="1"/>
  <c r="BJ62" i="18"/>
  <c r="AJ62" i="18"/>
  <c r="AN62" i="18" s="1"/>
  <c r="BJ93" i="18"/>
  <c r="AJ93" i="18"/>
  <c r="AN93" i="18" s="1"/>
  <c r="BJ109" i="18"/>
  <c r="AJ109" i="18"/>
  <c r="AN109" i="18" s="1"/>
  <c r="BJ156" i="18"/>
  <c r="AJ156" i="18"/>
  <c r="AN156" i="18" s="1"/>
  <c r="BJ172" i="18"/>
  <c r="AJ172" i="18"/>
  <c r="AN172" i="18" s="1"/>
  <c r="BJ188" i="18"/>
  <c r="AJ188" i="18"/>
  <c r="AN188" i="18" s="1"/>
  <c r="BJ204" i="18"/>
  <c r="AJ204" i="18"/>
  <c r="AN204" i="18" s="1"/>
  <c r="BJ220" i="18"/>
  <c r="AJ220" i="18"/>
  <c r="AN220" i="18" s="1"/>
  <c r="BJ235" i="18"/>
  <c r="AJ235" i="18"/>
  <c r="AN235" i="18" s="1"/>
  <c r="BJ251" i="18"/>
  <c r="AJ251" i="18"/>
  <c r="AN251" i="18" s="1"/>
  <c r="BJ267" i="18"/>
  <c r="AJ267" i="18"/>
  <c r="AN267" i="18" s="1"/>
  <c r="BJ283" i="18"/>
  <c r="AJ283" i="18"/>
  <c r="AN283" i="18" s="1"/>
  <c r="BJ298" i="18"/>
  <c r="AJ298" i="18"/>
  <c r="AN298" i="18" s="1"/>
  <c r="BJ313" i="18"/>
  <c r="AJ313" i="18"/>
  <c r="AN313" i="18" s="1"/>
  <c r="BJ329" i="18"/>
  <c r="AJ329" i="18"/>
  <c r="AN329" i="18" s="1"/>
  <c r="BJ345" i="18"/>
  <c r="AJ345" i="18"/>
  <c r="AN345" i="18" s="1"/>
  <c r="BJ361" i="18"/>
  <c r="AJ361" i="18"/>
  <c r="AN361" i="18" s="1"/>
  <c r="BJ377" i="18"/>
  <c r="AJ377" i="18"/>
  <c r="AN377" i="18" s="1"/>
  <c r="BJ393" i="18"/>
  <c r="AJ393" i="18"/>
  <c r="AN393" i="18" s="1"/>
  <c r="BJ59" i="18"/>
  <c r="AJ59" i="18"/>
  <c r="AN59" i="18" s="1"/>
  <c r="BJ74" i="18"/>
  <c r="AJ74" i="18"/>
  <c r="AN74" i="18" s="1"/>
  <c r="BJ90" i="18"/>
  <c r="AJ90" i="18"/>
  <c r="AN90" i="18" s="1"/>
  <c r="BJ106" i="18"/>
  <c r="AJ106" i="18"/>
  <c r="AN106" i="18" s="1"/>
  <c r="BJ122" i="18"/>
  <c r="AJ122" i="18"/>
  <c r="AN122" i="18" s="1"/>
  <c r="BJ138" i="18"/>
  <c r="AJ138" i="18"/>
  <c r="AN138" i="18" s="1"/>
  <c r="BJ153" i="18"/>
  <c r="AJ153" i="18"/>
  <c r="AN153" i="18" s="1"/>
  <c r="BJ169" i="18"/>
  <c r="AJ169" i="18"/>
  <c r="AN169" i="18" s="1"/>
  <c r="BJ185" i="18"/>
  <c r="AJ185" i="18"/>
  <c r="AN185" i="18" s="1"/>
  <c r="BJ201" i="18"/>
  <c r="AJ201" i="18"/>
  <c r="AN201" i="18" s="1"/>
  <c r="BJ217" i="18"/>
  <c r="AJ217" i="18"/>
  <c r="AN217" i="18" s="1"/>
  <c r="BJ231" i="18"/>
  <c r="AJ231" i="18"/>
  <c r="AN231" i="18" s="1"/>
  <c r="BJ248" i="18"/>
  <c r="AJ248" i="18"/>
  <c r="AN248" i="18" s="1"/>
  <c r="BJ264" i="18"/>
  <c r="AJ264" i="18"/>
  <c r="AN264" i="18" s="1"/>
  <c r="BJ280" i="18"/>
  <c r="BL280" i="18" s="1"/>
  <c r="AJ280" i="18"/>
  <c r="AN280" i="18" s="1"/>
  <c r="BJ295" i="18"/>
  <c r="AJ295" i="18"/>
  <c r="AN295" i="18" s="1"/>
  <c r="BJ326" i="18"/>
  <c r="AJ326" i="18"/>
  <c r="AN326" i="18" s="1"/>
  <c r="BJ342" i="18"/>
  <c r="AJ342" i="18"/>
  <c r="AN342" i="18" s="1"/>
  <c r="BJ358" i="18"/>
  <c r="AJ358" i="18"/>
  <c r="AN358" i="18" s="1"/>
  <c r="BJ374" i="18"/>
  <c r="AJ374" i="18"/>
  <c r="AN374" i="18" s="1"/>
  <c r="BJ390" i="18"/>
  <c r="AJ390" i="18"/>
  <c r="AN390" i="18" s="1"/>
  <c r="BJ405" i="18"/>
  <c r="AJ405" i="18"/>
  <c r="AN405" i="18" s="1"/>
  <c r="BL228" i="18"/>
  <c r="BL237" i="18"/>
  <c r="BP237" i="18" s="1"/>
  <c r="BL245" i="18"/>
  <c r="BO245" i="18" s="1"/>
  <c r="BL253" i="18"/>
  <c r="BL261" i="18"/>
  <c r="BP261" i="18" s="1"/>
  <c r="BL269" i="18"/>
  <c r="BO269" i="18" s="1"/>
  <c r="BL285" i="18"/>
  <c r="BO285" i="18" s="1"/>
  <c r="BL300" i="18"/>
  <c r="BO300" i="18" s="1"/>
  <c r="BL311" i="18"/>
  <c r="BO311" i="18" s="1"/>
  <c r="BL323" i="18"/>
  <c r="BO323" i="18" s="1"/>
  <c r="BL335" i="18"/>
  <c r="BP335" i="18" s="1"/>
  <c r="BL347" i="18"/>
  <c r="BL355" i="18"/>
  <c r="BO355" i="18" s="1"/>
  <c r="BL371" i="18"/>
  <c r="BO371" i="18" s="1"/>
  <c r="BL391" i="18"/>
  <c r="BO391" i="18" s="1"/>
  <c r="BL402" i="18"/>
  <c r="BO402" i="18" s="1"/>
  <c r="BL9" i="18"/>
  <c r="BO9" i="18" s="1"/>
  <c r="BL17" i="18"/>
  <c r="BP17" i="18" s="1"/>
  <c r="BL25" i="18"/>
  <c r="BL32" i="18"/>
  <c r="BO32" i="18" s="1"/>
  <c r="BL40" i="18"/>
  <c r="BO40" i="18" s="1"/>
  <c r="BL48" i="18"/>
  <c r="BO48" i="18" s="1"/>
  <c r="BL56" i="18"/>
  <c r="BO56" i="18" s="1"/>
  <c r="BL296" i="18"/>
  <c r="BO296" i="18" s="1"/>
  <c r="BL319" i="18"/>
  <c r="BO319" i="18" s="1"/>
  <c r="BL379" i="18"/>
  <c r="BO379" i="18" s="1"/>
  <c r="BL395" i="18"/>
  <c r="BO395" i="18" s="1"/>
  <c r="BJ87" i="18"/>
  <c r="AJ87" i="18"/>
  <c r="AN87" i="18" s="1"/>
  <c r="BJ135" i="18"/>
  <c r="AJ135" i="18"/>
  <c r="AN135" i="18" s="1"/>
  <c r="BJ166" i="18"/>
  <c r="AJ166" i="18"/>
  <c r="AN166" i="18" s="1"/>
  <c r="BJ45" i="18"/>
  <c r="AJ45" i="18"/>
  <c r="AN45" i="18" s="1"/>
  <c r="BJ128" i="18"/>
  <c r="AJ128" i="18"/>
  <c r="AN128" i="18" s="1"/>
  <c r="BJ238" i="18"/>
  <c r="AJ238" i="18"/>
  <c r="AN238" i="18" s="1"/>
  <c r="BJ286" i="18"/>
  <c r="AJ286" i="18"/>
  <c r="AN286" i="18" s="1"/>
  <c r="BJ364" i="18"/>
  <c r="AJ364" i="18"/>
  <c r="AN364" i="18" s="1"/>
  <c r="BJ15" i="18"/>
  <c r="AJ15" i="18"/>
  <c r="AN15" i="18" s="1"/>
  <c r="BJ105" i="18"/>
  <c r="AJ105" i="18"/>
  <c r="AN105" i="18" s="1"/>
  <c r="BJ200" i="18"/>
  <c r="AJ200" i="18"/>
  <c r="AN200" i="18" s="1"/>
  <c r="BJ263" i="18"/>
  <c r="AJ263" i="18"/>
  <c r="AN263" i="18" s="1"/>
  <c r="BJ310" i="18"/>
  <c r="AJ310" i="18"/>
  <c r="AN310" i="18" s="1"/>
  <c r="BJ357" i="18"/>
  <c r="AJ357" i="18"/>
  <c r="AN357" i="18" s="1"/>
  <c r="BJ60" i="18"/>
  <c r="AJ60" i="18"/>
  <c r="AN60" i="18" s="1"/>
  <c r="BJ107" i="18"/>
  <c r="AJ107" i="18"/>
  <c r="AN107" i="18" s="1"/>
  <c r="BJ139" i="18"/>
  <c r="AJ139" i="18"/>
  <c r="AN139" i="18" s="1"/>
  <c r="BJ202" i="18"/>
  <c r="AJ202" i="18"/>
  <c r="AN202" i="18" s="1"/>
  <c r="BJ18" i="18"/>
  <c r="AJ18" i="18"/>
  <c r="AN18" i="18" s="1"/>
  <c r="BJ69" i="18"/>
  <c r="AJ69" i="18"/>
  <c r="AN69" i="18" s="1"/>
  <c r="BJ147" i="18"/>
  <c r="AJ147" i="18"/>
  <c r="AN147" i="18" s="1"/>
  <c r="BJ163" i="18"/>
  <c r="AJ163" i="18"/>
  <c r="AN163" i="18" s="1"/>
  <c r="BJ195" i="18"/>
  <c r="AJ195" i="18"/>
  <c r="AN195" i="18" s="1"/>
  <c r="BJ258" i="18"/>
  <c r="AJ258" i="18"/>
  <c r="AN258" i="18" s="1"/>
  <c r="BJ320" i="18"/>
  <c r="AJ320" i="18"/>
  <c r="AN320" i="18" s="1"/>
  <c r="BJ368" i="18"/>
  <c r="AJ368" i="18"/>
  <c r="AN368" i="18" s="1"/>
  <c r="BJ34" i="18"/>
  <c r="AJ34" i="18"/>
  <c r="AN34" i="18" s="1"/>
  <c r="BJ77" i="18"/>
  <c r="AJ77" i="18"/>
  <c r="AN77" i="18" s="1"/>
  <c r="BJ141" i="18"/>
  <c r="AJ141" i="18"/>
  <c r="AN141" i="18" s="1"/>
  <c r="BJ79" i="18"/>
  <c r="AJ79" i="18"/>
  <c r="AN79" i="18" s="1"/>
  <c r="BJ111" i="18"/>
  <c r="AJ111" i="18"/>
  <c r="AN111" i="18" s="1"/>
  <c r="BJ143" i="18"/>
  <c r="AJ143" i="18"/>
  <c r="AN143" i="18" s="1"/>
  <c r="BJ158" i="18"/>
  <c r="AJ158" i="18"/>
  <c r="AN158" i="18" s="1"/>
  <c r="BJ190" i="18"/>
  <c r="AJ190" i="18"/>
  <c r="AN190" i="18" s="1"/>
  <c r="BJ22" i="18"/>
  <c r="AJ22" i="18"/>
  <c r="AN22" i="18" s="1"/>
  <c r="BJ37" i="18"/>
  <c r="AJ37" i="18"/>
  <c r="AN37" i="18" s="1"/>
  <c r="BJ72" i="18"/>
  <c r="AJ72" i="18"/>
  <c r="AN72" i="18" s="1"/>
  <c r="BJ88" i="18"/>
  <c r="AJ88" i="18"/>
  <c r="AN88" i="18" s="1"/>
  <c r="BJ120" i="18"/>
  <c r="AJ120" i="18"/>
  <c r="AN120" i="18" s="1"/>
  <c r="BJ151" i="18"/>
  <c r="AJ151" i="18"/>
  <c r="AN151" i="18" s="1"/>
  <c r="BJ167" i="18"/>
  <c r="AJ167" i="18"/>
  <c r="AN167" i="18" s="1"/>
  <c r="BJ183" i="18"/>
  <c r="AJ183" i="18"/>
  <c r="AN183" i="18" s="1"/>
  <c r="BJ199" i="18"/>
  <c r="AJ199" i="18"/>
  <c r="AN199" i="18" s="1"/>
  <c r="BJ215" i="18"/>
  <c r="AJ215" i="18"/>
  <c r="AN215" i="18" s="1"/>
  <c r="BJ229" i="18"/>
  <c r="AJ229" i="18"/>
  <c r="AN229" i="18" s="1"/>
  <c r="BJ246" i="18"/>
  <c r="AJ246" i="18"/>
  <c r="AN246" i="18" s="1"/>
  <c r="BJ262" i="18"/>
  <c r="AJ262" i="18"/>
  <c r="AN262" i="18" s="1"/>
  <c r="BJ278" i="18"/>
  <c r="BL278" i="18" s="1"/>
  <c r="AJ278" i="18"/>
  <c r="AN278" i="18" s="1"/>
  <c r="BJ293" i="18"/>
  <c r="AJ293" i="18"/>
  <c r="AN293" i="18" s="1"/>
  <c r="BJ309" i="18"/>
  <c r="AJ309" i="18"/>
  <c r="AN309" i="18" s="1"/>
  <c r="BJ324" i="18"/>
  <c r="AJ324" i="18"/>
  <c r="AN324" i="18" s="1"/>
  <c r="BJ340" i="18"/>
  <c r="AJ340" i="18"/>
  <c r="AN340" i="18" s="1"/>
  <c r="BJ356" i="18"/>
  <c r="AJ356" i="18"/>
  <c r="AN356" i="18" s="1"/>
  <c r="BJ372" i="18"/>
  <c r="AJ372" i="18"/>
  <c r="AN372" i="18" s="1"/>
  <c r="BJ388" i="18"/>
  <c r="AJ388" i="18"/>
  <c r="AN388" i="18" s="1"/>
  <c r="BJ403" i="18"/>
  <c r="AJ403" i="18"/>
  <c r="AN403" i="18" s="1"/>
  <c r="BJ23" i="18"/>
  <c r="AJ23" i="18"/>
  <c r="BJ38" i="18"/>
  <c r="AJ38" i="18"/>
  <c r="AN38" i="18" s="1"/>
  <c r="BJ54" i="18"/>
  <c r="AJ54" i="18"/>
  <c r="AN54" i="18" s="1"/>
  <c r="BJ66" i="18"/>
  <c r="AJ66" i="18"/>
  <c r="AN66" i="18" s="1"/>
  <c r="BJ81" i="18"/>
  <c r="AJ81" i="18"/>
  <c r="AN81" i="18" s="1"/>
  <c r="BJ97" i="18"/>
  <c r="AJ97" i="18"/>
  <c r="AN97" i="18" s="1"/>
  <c r="BJ113" i="18"/>
  <c r="AJ113" i="18"/>
  <c r="AN113" i="18" s="1"/>
  <c r="BJ129" i="18"/>
  <c r="AJ129" i="18"/>
  <c r="AN129" i="18" s="1"/>
  <c r="BJ160" i="18"/>
  <c r="AJ160" i="18"/>
  <c r="AN160" i="18" s="1"/>
  <c r="BJ176" i="18"/>
  <c r="AJ176" i="18"/>
  <c r="AN176" i="18" s="1"/>
  <c r="BJ192" i="18"/>
  <c r="AJ192" i="18"/>
  <c r="AN192" i="18" s="1"/>
  <c r="BJ208" i="18"/>
  <c r="AJ208" i="18"/>
  <c r="AN208" i="18" s="1"/>
  <c r="BJ239" i="18"/>
  <c r="AJ239" i="18"/>
  <c r="AN239" i="18" s="1"/>
  <c r="BJ255" i="18"/>
  <c r="AJ255" i="18"/>
  <c r="AN255" i="18" s="1"/>
  <c r="BJ271" i="18"/>
  <c r="AJ271" i="18"/>
  <c r="AN271" i="18" s="1"/>
  <c r="BJ287" i="18"/>
  <c r="AJ287" i="18"/>
  <c r="AN287" i="18" s="1"/>
  <c r="BJ302" i="18"/>
  <c r="AJ302" i="18"/>
  <c r="AN302" i="18" s="1"/>
  <c r="BJ317" i="18"/>
  <c r="AJ317" i="18"/>
  <c r="AN317" i="18" s="1"/>
  <c r="BJ333" i="18"/>
  <c r="AJ333" i="18"/>
  <c r="AN333" i="18" s="1"/>
  <c r="BJ349" i="18"/>
  <c r="AJ349" i="18"/>
  <c r="AN349" i="18" s="1"/>
  <c r="BJ365" i="18"/>
  <c r="AJ365" i="18"/>
  <c r="AN365" i="18" s="1"/>
  <c r="BJ381" i="18"/>
  <c r="AJ381" i="18"/>
  <c r="AN381" i="18" s="1"/>
  <c r="BJ397" i="18"/>
  <c r="AJ397" i="18"/>
  <c r="AN397" i="18" s="1"/>
  <c r="BL5" i="18"/>
  <c r="BP5" i="18" s="1"/>
  <c r="BL12" i="18"/>
  <c r="BL20" i="18"/>
  <c r="BO20" i="18" s="1"/>
  <c r="BL28" i="18"/>
  <c r="BL35" i="18"/>
  <c r="BO35" i="18" s="1"/>
  <c r="BL43" i="18"/>
  <c r="BJ63" i="18"/>
  <c r="AJ63" i="18"/>
  <c r="AN63" i="18" s="1"/>
  <c r="BJ78" i="18"/>
  <c r="AJ78" i="18"/>
  <c r="AN78" i="18" s="1"/>
  <c r="BJ94" i="18"/>
  <c r="AJ94" i="18"/>
  <c r="AN94" i="18" s="1"/>
  <c r="BJ110" i="18"/>
  <c r="AJ110" i="18"/>
  <c r="AN110" i="18" s="1"/>
  <c r="BJ126" i="18"/>
  <c r="AJ126" i="18"/>
  <c r="AN126" i="18" s="1"/>
  <c r="BJ142" i="18"/>
  <c r="AJ142" i="18"/>
  <c r="AN142" i="18" s="1"/>
  <c r="BJ157" i="18"/>
  <c r="AJ157" i="18"/>
  <c r="AN157" i="18" s="1"/>
  <c r="BJ173" i="18"/>
  <c r="AJ173" i="18"/>
  <c r="AN173" i="18" s="1"/>
  <c r="BJ189" i="18"/>
  <c r="AJ189" i="18"/>
  <c r="AN189" i="18" s="1"/>
  <c r="BJ205" i="18"/>
  <c r="AJ205" i="18"/>
  <c r="AN205" i="18" s="1"/>
  <c r="BJ221" i="18"/>
  <c r="AJ221" i="18"/>
  <c r="AN221" i="18" s="1"/>
  <c r="BJ236" i="18"/>
  <c r="AJ236" i="18"/>
  <c r="AN236" i="18" s="1"/>
  <c r="BJ252" i="18"/>
  <c r="AJ252" i="18"/>
  <c r="AN252" i="18" s="1"/>
  <c r="BJ268" i="18"/>
  <c r="AJ268" i="18"/>
  <c r="AN268" i="18" s="1"/>
  <c r="BJ284" i="18"/>
  <c r="AJ284" i="18"/>
  <c r="AN284" i="18" s="1"/>
  <c r="BJ299" i="18"/>
  <c r="AJ299" i="18"/>
  <c r="AN299" i="18" s="1"/>
  <c r="BJ314" i="18"/>
  <c r="AJ314" i="18"/>
  <c r="AN314" i="18" s="1"/>
  <c r="BJ330" i="18"/>
  <c r="AJ330" i="18"/>
  <c r="AN330" i="18" s="1"/>
  <c r="BJ346" i="18"/>
  <c r="AJ346" i="18"/>
  <c r="AN346" i="18" s="1"/>
  <c r="BJ362" i="18"/>
  <c r="AJ362" i="18"/>
  <c r="AN362" i="18" s="1"/>
  <c r="BJ378" i="18"/>
  <c r="AJ378" i="18"/>
  <c r="AN378" i="18" s="1"/>
  <c r="BJ394" i="18"/>
  <c r="AJ394" i="18"/>
  <c r="AN394" i="18" s="1"/>
  <c r="BJ331" i="18"/>
  <c r="AJ331" i="18"/>
  <c r="AN331" i="18" s="1"/>
  <c r="BJ71" i="18"/>
  <c r="AJ71" i="18"/>
  <c r="AN71" i="18" s="1"/>
  <c r="BJ119" i="18"/>
  <c r="AJ119" i="18"/>
  <c r="AN119" i="18" s="1"/>
  <c r="BJ182" i="18"/>
  <c r="AJ182" i="18"/>
  <c r="AN182" i="18" s="1"/>
  <c r="BJ14" i="18"/>
  <c r="AJ14" i="18"/>
  <c r="AN14" i="18" s="1"/>
  <c r="BJ96" i="18"/>
  <c r="AJ96" i="18"/>
  <c r="AN96" i="18" s="1"/>
  <c r="BJ144" i="18"/>
  <c r="AJ144" i="18"/>
  <c r="AN144" i="18" s="1"/>
  <c r="BJ175" i="18"/>
  <c r="AJ175" i="18"/>
  <c r="AN175" i="18" s="1"/>
  <c r="BJ207" i="18"/>
  <c r="AJ207" i="18"/>
  <c r="AN207" i="18" s="1"/>
  <c r="BJ270" i="18"/>
  <c r="AJ270" i="18"/>
  <c r="AN270" i="18" s="1"/>
  <c r="BJ332" i="18"/>
  <c r="AJ332" i="18"/>
  <c r="AN332" i="18" s="1"/>
  <c r="BJ380" i="18"/>
  <c r="AJ380" i="18"/>
  <c r="AN380" i="18" s="1"/>
  <c r="BJ73" i="18"/>
  <c r="AJ73" i="18"/>
  <c r="AN73" i="18" s="1"/>
  <c r="BJ137" i="18"/>
  <c r="AJ137" i="18"/>
  <c r="AN137" i="18" s="1"/>
  <c r="BJ168" i="18"/>
  <c r="AJ168" i="18"/>
  <c r="AN168" i="18" s="1"/>
  <c r="AG184" i="18"/>
  <c r="BJ247" i="18"/>
  <c r="AJ247" i="18"/>
  <c r="AN247" i="18" s="1"/>
  <c r="BJ373" i="18"/>
  <c r="AJ373" i="18"/>
  <c r="AN373" i="18" s="1"/>
  <c r="BJ75" i="18"/>
  <c r="AJ75" i="18"/>
  <c r="AN75" i="18" s="1"/>
  <c r="BJ123" i="18"/>
  <c r="AJ123" i="18"/>
  <c r="AN123" i="18" s="1"/>
  <c r="BJ154" i="18"/>
  <c r="AJ154" i="18"/>
  <c r="AN154" i="18" s="1"/>
  <c r="BJ186" i="18"/>
  <c r="AJ186" i="18"/>
  <c r="AN186" i="18" s="1"/>
  <c r="BJ33" i="18"/>
  <c r="AJ33" i="18"/>
  <c r="AN33" i="18" s="1"/>
  <c r="BJ100" i="18"/>
  <c r="AJ100" i="18"/>
  <c r="AN100" i="18" s="1"/>
  <c r="BJ132" i="18"/>
  <c r="AJ132" i="18"/>
  <c r="AN132" i="18" s="1"/>
  <c r="BJ179" i="18"/>
  <c r="AJ179" i="18"/>
  <c r="AN179" i="18" s="1"/>
  <c r="BJ242" i="18"/>
  <c r="AJ242" i="18"/>
  <c r="AN242" i="18" s="1"/>
  <c r="BJ274" i="18"/>
  <c r="BL274" i="18" s="1"/>
  <c r="AJ274" i="18"/>
  <c r="AN274" i="18" s="1"/>
  <c r="BJ305" i="18"/>
  <c r="BL305" i="18" s="1"/>
  <c r="AJ305" i="18"/>
  <c r="AN305" i="18" s="1"/>
  <c r="BJ352" i="18"/>
  <c r="AJ352" i="18"/>
  <c r="AN352" i="18" s="1"/>
  <c r="BJ19" i="18"/>
  <c r="AJ19" i="18"/>
  <c r="AN19" i="18" s="1"/>
  <c r="BJ50" i="18"/>
  <c r="AJ50" i="18"/>
  <c r="AN50" i="18" s="1"/>
  <c r="BJ125" i="18"/>
  <c r="AJ125" i="18"/>
  <c r="AN125" i="18" s="1"/>
  <c r="BJ64" i="18"/>
  <c r="AJ64" i="18"/>
  <c r="AN64" i="18" s="1"/>
  <c r="BJ95" i="18"/>
  <c r="AJ95" i="18"/>
  <c r="AN95" i="18" s="1"/>
  <c r="BJ127" i="18"/>
  <c r="AJ127" i="18"/>
  <c r="AN127" i="18" s="1"/>
  <c r="BJ174" i="18"/>
  <c r="AJ174" i="18"/>
  <c r="AN174" i="18" s="1"/>
  <c r="BJ206" i="18"/>
  <c r="AJ206" i="18"/>
  <c r="AN206" i="18" s="1"/>
  <c r="BJ7" i="18"/>
  <c r="AJ7" i="18"/>
  <c r="AN7" i="18" s="1"/>
  <c r="BJ53" i="18"/>
  <c r="AJ53" i="18"/>
  <c r="AN53" i="18" s="1"/>
  <c r="BJ104" i="18"/>
  <c r="AJ104" i="18"/>
  <c r="AN104" i="18" s="1"/>
  <c r="BJ136" i="18"/>
  <c r="AJ136" i="18"/>
  <c r="AN136" i="18" s="1"/>
  <c r="BJ68" i="18"/>
  <c r="AJ68" i="18"/>
  <c r="AN68" i="18" s="1"/>
  <c r="BJ83" i="18"/>
  <c r="AJ83" i="18"/>
  <c r="AN83" i="18" s="1"/>
  <c r="BJ99" i="18"/>
  <c r="AJ99" i="18"/>
  <c r="AN99" i="18" s="1"/>
  <c r="BJ115" i="18"/>
  <c r="AJ115" i="18"/>
  <c r="AN115" i="18" s="1"/>
  <c r="BJ131" i="18"/>
  <c r="AJ131" i="18"/>
  <c r="AN131" i="18" s="1"/>
  <c r="BJ146" i="18"/>
  <c r="AJ146" i="18"/>
  <c r="AN146" i="18" s="1"/>
  <c r="BJ162" i="18"/>
  <c r="AJ162" i="18"/>
  <c r="AN162" i="18" s="1"/>
  <c r="BJ178" i="18"/>
  <c r="AJ178" i="18"/>
  <c r="AN178" i="18" s="1"/>
  <c r="BJ194" i="18"/>
  <c r="AJ194" i="18"/>
  <c r="AN194" i="18" s="1"/>
  <c r="BJ210" i="18"/>
  <c r="AJ210" i="18"/>
  <c r="AN210" i="18" s="1"/>
  <c r="BJ10" i="18"/>
  <c r="AJ10" i="18"/>
  <c r="AN10" i="18" s="1"/>
  <c r="BJ26" i="18"/>
  <c r="AJ26" i="18"/>
  <c r="AN26" i="18" s="1"/>
  <c r="BJ41" i="18"/>
  <c r="AJ41" i="18"/>
  <c r="AN41" i="18" s="1"/>
  <c r="BJ61" i="18"/>
  <c r="AJ61" i="18"/>
  <c r="AN61" i="18" s="1"/>
  <c r="BJ76" i="18"/>
  <c r="AJ76" i="18"/>
  <c r="AN76" i="18" s="1"/>
  <c r="BJ92" i="18"/>
  <c r="AJ92" i="18"/>
  <c r="AN92" i="18" s="1"/>
  <c r="BJ108" i="18"/>
  <c r="AJ108" i="18"/>
  <c r="AN108" i="18" s="1"/>
  <c r="BJ124" i="18"/>
  <c r="AJ124" i="18"/>
  <c r="AN124" i="18" s="1"/>
  <c r="BJ140" i="18"/>
  <c r="AJ140" i="18"/>
  <c r="AN140" i="18" s="1"/>
  <c r="BJ155" i="18"/>
  <c r="AJ155" i="18"/>
  <c r="AN155" i="18" s="1"/>
  <c r="BJ171" i="18"/>
  <c r="AJ171" i="18"/>
  <c r="AN171" i="18" s="1"/>
  <c r="BJ187" i="18"/>
  <c r="AJ187" i="18"/>
  <c r="AN187" i="18" s="1"/>
  <c r="BJ203" i="18"/>
  <c r="AJ203" i="18"/>
  <c r="AN203" i="18" s="1"/>
  <c r="BJ219" i="18"/>
  <c r="BL219" i="18" s="1"/>
  <c r="AJ219" i="18"/>
  <c r="AN219" i="18" s="1"/>
  <c r="BJ234" i="18"/>
  <c r="AJ234" i="18"/>
  <c r="AN234" i="18" s="1"/>
  <c r="BJ250" i="18"/>
  <c r="AJ250" i="18"/>
  <c r="AN250" i="18" s="1"/>
  <c r="BJ266" i="18"/>
  <c r="AJ266" i="18"/>
  <c r="AN266" i="18" s="1"/>
  <c r="BJ297" i="18"/>
  <c r="AJ297" i="18"/>
  <c r="AN297" i="18" s="1"/>
  <c r="BJ312" i="18"/>
  <c r="AJ312" i="18"/>
  <c r="AN312" i="18" s="1"/>
  <c r="BJ328" i="18"/>
  <c r="AJ328" i="18"/>
  <c r="AN328" i="18" s="1"/>
  <c r="BJ344" i="18"/>
  <c r="AJ344" i="18"/>
  <c r="AN344" i="18" s="1"/>
  <c r="BJ360" i="18"/>
  <c r="AJ360" i="18"/>
  <c r="AN360" i="18" s="1"/>
  <c r="BJ376" i="18"/>
  <c r="AJ376" i="18"/>
  <c r="AN376" i="18" s="1"/>
  <c r="BJ392" i="18"/>
  <c r="AJ392" i="18"/>
  <c r="AN392" i="18" s="1"/>
  <c r="BJ407" i="18"/>
  <c r="AJ407" i="18"/>
  <c r="AN407" i="18" s="1"/>
  <c r="BJ11" i="18"/>
  <c r="AJ11" i="18"/>
  <c r="AN11" i="18" s="1"/>
  <c r="BJ27" i="18"/>
  <c r="AJ27" i="18"/>
  <c r="AN27" i="18" s="1"/>
  <c r="BJ42" i="18"/>
  <c r="AJ42" i="18"/>
  <c r="BJ85" i="18"/>
  <c r="AJ85" i="18"/>
  <c r="AN85" i="18" s="1"/>
  <c r="BJ101" i="18"/>
  <c r="AJ101" i="18"/>
  <c r="AN101" i="18" s="1"/>
  <c r="BJ117" i="18"/>
  <c r="AJ117" i="18"/>
  <c r="AN117" i="18" s="1"/>
  <c r="BJ133" i="18"/>
  <c r="AJ133" i="18"/>
  <c r="AN133" i="18" s="1"/>
  <c r="BJ148" i="18"/>
  <c r="AJ148" i="18"/>
  <c r="AN148" i="18" s="1"/>
  <c r="BJ164" i="18"/>
  <c r="AJ164" i="18"/>
  <c r="AN164" i="18" s="1"/>
  <c r="BJ180" i="18"/>
  <c r="AJ180" i="18"/>
  <c r="AN180" i="18" s="1"/>
  <c r="BJ196" i="18"/>
  <c r="AJ196" i="18"/>
  <c r="AN196" i="18" s="1"/>
  <c r="BJ212" i="18"/>
  <c r="AJ212" i="18"/>
  <c r="AN212" i="18" s="1"/>
  <c r="BJ226" i="18"/>
  <c r="AJ226" i="18"/>
  <c r="AN226" i="18" s="1"/>
  <c r="BJ243" i="18"/>
  <c r="AJ243" i="18"/>
  <c r="AN243" i="18" s="1"/>
  <c r="BJ259" i="18"/>
  <c r="AJ259" i="18"/>
  <c r="AN259" i="18" s="1"/>
  <c r="BJ275" i="18"/>
  <c r="AJ275" i="18"/>
  <c r="AN275" i="18" s="1"/>
  <c r="BJ290" i="18"/>
  <c r="BL290" i="18" s="1"/>
  <c r="AJ290" i="18"/>
  <c r="AN290" i="18" s="1"/>
  <c r="BJ306" i="18"/>
  <c r="AJ306" i="18"/>
  <c r="AN306" i="18" s="1"/>
  <c r="BJ321" i="18"/>
  <c r="AJ321" i="18"/>
  <c r="AN321" i="18" s="1"/>
  <c r="BJ337" i="18"/>
  <c r="AJ337" i="18"/>
  <c r="AN337" i="18" s="1"/>
  <c r="BJ353" i="18"/>
  <c r="AJ353" i="18"/>
  <c r="AN353" i="18" s="1"/>
  <c r="BJ369" i="18"/>
  <c r="AJ369" i="18"/>
  <c r="AN369" i="18" s="1"/>
  <c r="BJ385" i="18"/>
  <c r="AJ385" i="18"/>
  <c r="AN385" i="18" s="1"/>
  <c r="AG401" i="18"/>
  <c r="BJ67" i="18"/>
  <c r="AJ67" i="18"/>
  <c r="AN67" i="18" s="1"/>
  <c r="BJ82" i="18"/>
  <c r="AJ82" i="18"/>
  <c r="AN82" i="18" s="1"/>
  <c r="BJ98" i="18"/>
  <c r="AJ98" i="18"/>
  <c r="AN98" i="18" s="1"/>
  <c r="BJ114" i="18"/>
  <c r="AJ114" i="18"/>
  <c r="AN114" i="18" s="1"/>
  <c r="BJ130" i="18"/>
  <c r="AJ130" i="18"/>
  <c r="AN130" i="18" s="1"/>
  <c r="BJ145" i="18"/>
  <c r="AJ145" i="18"/>
  <c r="AN145" i="18" s="1"/>
  <c r="BJ161" i="18"/>
  <c r="AJ161" i="18"/>
  <c r="AN161" i="18" s="1"/>
  <c r="BJ177" i="18"/>
  <c r="AJ177" i="18"/>
  <c r="AN177" i="18" s="1"/>
  <c r="BJ193" i="18"/>
  <c r="AJ193" i="18"/>
  <c r="AN193" i="18" s="1"/>
  <c r="BJ209" i="18"/>
  <c r="AJ209" i="18"/>
  <c r="AN209" i="18" s="1"/>
  <c r="BJ224" i="18"/>
  <c r="AJ224" i="18"/>
  <c r="AN224" i="18" s="1"/>
  <c r="BJ240" i="18"/>
  <c r="AJ240" i="18"/>
  <c r="AN240" i="18" s="1"/>
  <c r="BJ256" i="18"/>
  <c r="AJ256" i="18"/>
  <c r="AN256" i="18" s="1"/>
  <c r="BJ272" i="18"/>
  <c r="AJ272" i="18"/>
  <c r="AN272" i="18" s="1"/>
  <c r="BJ288" i="18"/>
  <c r="AJ288" i="18"/>
  <c r="AN288" i="18" s="1"/>
  <c r="BJ303" i="18"/>
  <c r="AJ303" i="18"/>
  <c r="AN303" i="18" s="1"/>
  <c r="BJ318" i="18"/>
  <c r="AJ318" i="18"/>
  <c r="AN318" i="18" s="1"/>
  <c r="BJ334" i="18"/>
  <c r="AJ334" i="18"/>
  <c r="AN334" i="18" s="1"/>
  <c r="BJ350" i="18"/>
  <c r="AJ350" i="18"/>
  <c r="AN350" i="18" s="1"/>
  <c r="BJ366" i="18"/>
  <c r="AJ366" i="18"/>
  <c r="AN366" i="18" s="1"/>
  <c r="BJ382" i="18"/>
  <c r="AJ382" i="18"/>
  <c r="AN382" i="18" s="1"/>
  <c r="BJ398" i="18"/>
  <c r="AJ398" i="18"/>
  <c r="AN398" i="18" s="1"/>
  <c r="BL233" i="18"/>
  <c r="BO233" i="18" s="1"/>
  <c r="BL241" i="18"/>
  <c r="BP241" i="18" s="1"/>
  <c r="BL249" i="18"/>
  <c r="BO249" i="18" s="1"/>
  <c r="BL257" i="18"/>
  <c r="BL292" i="18"/>
  <c r="BO292" i="18" s="1"/>
  <c r="BL304" i="18"/>
  <c r="BL315" i="18"/>
  <c r="BO315" i="18" s="1"/>
  <c r="BL339" i="18"/>
  <c r="BO339" i="18" s="1"/>
  <c r="BL351" i="18"/>
  <c r="BL363" i="18"/>
  <c r="BO363" i="18" s="1"/>
  <c r="BL383" i="18"/>
  <c r="BO383" i="18" s="1"/>
  <c r="BL399" i="18"/>
  <c r="BO399" i="18" s="1"/>
  <c r="BL6" i="18"/>
  <c r="BO6" i="18" s="1"/>
  <c r="BL13" i="18"/>
  <c r="BO13" i="18" s="1"/>
  <c r="BL21" i="18"/>
  <c r="BP21" i="18" s="1"/>
  <c r="BL29" i="18"/>
  <c r="BO29" i="18" s="1"/>
  <c r="BL36" i="18"/>
  <c r="BO36" i="18" s="1"/>
  <c r="BL52" i="18"/>
  <c r="BO52" i="18" s="1"/>
  <c r="BL57" i="18"/>
  <c r="BO57" i="18" s="1"/>
  <c r="BL308" i="18"/>
  <c r="BO308" i="18" s="1"/>
  <c r="BL327" i="18"/>
  <c r="BO327" i="18" s="1"/>
  <c r="BL359" i="18"/>
  <c r="BL375" i="18"/>
  <c r="BO375" i="18" s="1"/>
  <c r="BL387" i="18"/>
  <c r="BL406" i="18"/>
  <c r="BO406" i="18" s="1"/>
  <c r="AX63" i="3"/>
  <c r="AX51" i="3"/>
  <c r="AX39" i="3"/>
  <c r="AX15" i="3"/>
  <c r="AX4" i="3"/>
  <c r="AX35" i="3"/>
  <c r="AX23" i="3"/>
  <c r="AX55" i="3"/>
  <c r="AX31" i="3"/>
  <c r="BB409" i="3"/>
  <c r="BB245" i="3"/>
  <c r="BC281" i="3"/>
  <c r="BB197" i="3"/>
  <c r="BA416" i="3"/>
  <c r="BB293" i="3"/>
  <c r="BB6" i="3"/>
  <c r="BC201" i="3"/>
  <c r="BE393" i="3"/>
  <c r="BE25" i="3"/>
  <c r="BC357" i="3"/>
  <c r="BC121" i="3"/>
  <c r="BE357" i="3"/>
  <c r="AX227" i="3"/>
  <c r="AX223" i="3"/>
  <c r="AX215" i="3"/>
  <c r="AX211" i="3"/>
  <c r="AX207" i="3"/>
  <c r="AX199" i="3"/>
  <c r="AX195" i="3"/>
  <c r="AX191" i="3"/>
  <c r="AX183" i="3"/>
  <c r="AX179" i="3"/>
  <c r="AX167" i="3"/>
  <c r="AX163" i="3"/>
  <c r="AX151" i="3"/>
  <c r="AX147" i="3"/>
  <c r="AX143" i="3"/>
  <c r="AX135" i="3"/>
  <c r="AX127" i="3"/>
  <c r="AX115" i="3"/>
  <c r="AX111" i="3"/>
  <c r="AX99" i="3"/>
  <c r="AX95" i="3"/>
  <c r="AX87" i="3"/>
  <c r="AX83" i="3"/>
  <c r="AX79" i="3"/>
  <c r="AX71" i="3"/>
  <c r="AX67" i="3"/>
  <c r="BB222" i="3"/>
  <c r="BC17" i="3"/>
  <c r="BE313" i="3"/>
  <c r="BE78" i="3"/>
  <c r="AX388" i="3"/>
  <c r="AX360" i="3"/>
  <c r="AX332" i="3"/>
  <c r="AX260" i="3"/>
  <c r="AX232" i="3"/>
  <c r="AX204" i="3"/>
  <c r="AX132" i="3"/>
  <c r="AX104" i="3"/>
  <c r="AX76" i="3"/>
  <c r="BB71" i="3"/>
  <c r="BE270" i="3"/>
  <c r="BB405" i="3"/>
  <c r="BB361" i="3"/>
  <c r="BB169" i="3"/>
  <c r="BB69" i="3"/>
  <c r="BC361" i="3"/>
  <c r="BC209" i="3"/>
  <c r="BC129" i="3"/>
  <c r="BD342" i="3"/>
  <c r="BE397" i="3"/>
  <c r="BE314" i="3"/>
  <c r="BE129" i="3"/>
  <c r="BE37" i="3"/>
  <c r="BB94" i="3"/>
  <c r="BE122" i="3"/>
  <c r="AX62" i="3"/>
  <c r="BB337" i="3"/>
  <c r="BB242" i="3"/>
  <c r="BB142" i="3"/>
  <c r="BC325" i="3"/>
  <c r="BC245" i="3"/>
  <c r="BD86" i="3"/>
  <c r="BE181" i="3"/>
  <c r="BE81" i="3"/>
  <c r="F15" i="15"/>
  <c r="G15" i="15"/>
  <c r="D15" i="15"/>
  <c r="B13" i="12"/>
  <c r="E15" i="15"/>
  <c r="R14" i="14"/>
  <c r="K10" i="12"/>
  <c r="AA10" i="12"/>
  <c r="T10" i="12"/>
  <c r="M10" i="12"/>
  <c r="AC10" i="12"/>
  <c r="V10" i="12"/>
  <c r="O10" i="12"/>
  <c r="H10" i="12"/>
  <c r="X10" i="12"/>
  <c r="Q10" i="12"/>
  <c r="J10" i="12"/>
  <c r="Z10" i="12"/>
  <c r="AE10" i="12"/>
  <c r="S10" i="12"/>
  <c r="L10" i="12"/>
  <c r="AB10" i="12"/>
  <c r="U10" i="12"/>
  <c r="N10" i="12"/>
  <c r="AD10" i="12"/>
  <c r="P10" i="12"/>
  <c r="F10" i="12"/>
  <c r="I10" i="12"/>
  <c r="W10" i="12"/>
  <c r="G10" i="12"/>
  <c r="Y10" i="12"/>
  <c r="R10" i="12"/>
  <c r="AO9" i="12"/>
  <c r="AP9" i="12" s="1"/>
  <c r="AR9" i="12"/>
  <c r="A12" i="12"/>
  <c r="P14" i="15"/>
  <c r="F14" i="15"/>
  <c r="B12" i="12"/>
  <c r="D14" i="15"/>
  <c r="E14" i="15"/>
  <c r="G14" i="15"/>
  <c r="A13" i="12"/>
  <c r="AO8" i="12"/>
  <c r="AP8" i="12" s="1"/>
  <c r="AR8" i="12"/>
  <c r="D11" i="12"/>
  <c r="AK11" i="12"/>
  <c r="AM11" i="12"/>
  <c r="C11" i="12"/>
  <c r="J14" i="15"/>
  <c r="AX64" i="3"/>
  <c r="AX60" i="3"/>
  <c r="AX56" i="3"/>
  <c r="AX52" i="3"/>
  <c r="AX48" i="3"/>
  <c r="AX44" i="3"/>
  <c r="AX40" i="3"/>
  <c r="AX36" i="3"/>
  <c r="AX32" i="3"/>
  <c r="AX28" i="3"/>
  <c r="AX24" i="3"/>
  <c r="AX20" i="3"/>
  <c r="AX16" i="3"/>
  <c r="AX12" i="3"/>
  <c r="AX8" i="3"/>
  <c r="AX5" i="3"/>
  <c r="AX411" i="3"/>
  <c r="AX407" i="3"/>
  <c r="AX403" i="3"/>
  <c r="AX399" i="3"/>
  <c r="AX395" i="3"/>
  <c r="AX391" i="3"/>
  <c r="AX387" i="3"/>
  <c r="AX383" i="3"/>
  <c r="AX379" i="3"/>
  <c r="AX375" i="3"/>
  <c r="AX371" i="3"/>
  <c r="AX367" i="3"/>
  <c r="AX363" i="3"/>
  <c r="AX359" i="3"/>
  <c r="AX355" i="3"/>
  <c r="AX351" i="3"/>
  <c r="AX347" i="3"/>
  <c r="AX343" i="3"/>
  <c r="AX339" i="3"/>
  <c r="AX335" i="3"/>
  <c r="AX331" i="3"/>
  <c r="AX327" i="3"/>
  <c r="AX323" i="3"/>
  <c r="AX175" i="3"/>
  <c r="AX103" i="3"/>
  <c r="AX19" i="3"/>
  <c r="AX412" i="3"/>
  <c r="AX408" i="3"/>
  <c r="AX404" i="3"/>
  <c r="AX400" i="3"/>
  <c r="AX396" i="3"/>
  <c r="AX392" i="3"/>
  <c r="AX384" i="3"/>
  <c r="AX380" i="3"/>
  <c r="AX376" i="3"/>
  <c r="AX372" i="3"/>
  <c r="AX368" i="3"/>
  <c r="AX364" i="3"/>
  <c r="AX356" i="3"/>
  <c r="AX352" i="3"/>
  <c r="AX348" i="3"/>
  <c r="AX344" i="3"/>
  <c r="AX340" i="3"/>
  <c r="AX336" i="3"/>
  <c r="AX328" i="3"/>
  <c r="AX324" i="3"/>
  <c r="AX320" i="3"/>
  <c r="AX316" i="3"/>
  <c r="AX312" i="3"/>
  <c r="AX308" i="3"/>
  <c r="AX304" i="3"/>
  <c r="AX300" i="3"/>
  <c r="AX296" i="3"/>
  <c r="AX292" i="3"/>
  <c r="AX288" i="3"/>
  <c r="AX284" i="3"/>
  <c r="AX280" i="3"/>
  <c r="AX276" i="3"/>
  <c r="AX272" i="3"/>
  <c r="AX268" i="3"/>
  <c r="AX264" i="3"/>
  <c r="AX256" i="3"/>
  <c r="AX252" i="3"/>
  <c r="AX248" i="3"/>
  <c r="AX244" i="3"/>
  <c r="AX240" i="3"/>
  <c r="AX236" i="3"/>
  <c r="AX228" i="3"/>
  <c r="AX224" i="3"/>
  <c r="AX220" i="3"/>
  <c r="AX216" i="3"/>
  <c r="AX212" i="3"/>
  <c r="AX208" i="3"/>
  <c r="AX200" i="3"/>
  <c r="AX196" i="3"/>
  <c r="AX192" i="3"/>
  <c r="AX188" i="3"/>
  <c r="AX184" i="3"/>
  <c r="AX180" i="3"/>
  <c r="AX176" i="3"/>
  <c r="AX172" i="3"/>
  <c r="AX168" i="3"/>
  <c r="AX164" i="3"/>
  <c r="AX160" i="3"/>
  <c r="AX156" i="3"/>
  <c r="AX152" i="3"/>
  <c r="AX148" i="3"/>
  <c r="AX144" i="3"/>
  <c r="AX140" i="3"/>
  <c r="AX136" i="3"/>
  <c r="AX128" i="3"/>
  <c r="AX124" i="3"/>
  <c r="AX120" i="3"/>
  <c r="AX116" i="3"/>
  <c r="AX112" i="3"/>
  <c r="AX108" i="3"/>
  <c r="AX100" i="3"/>
  <c r="AX96" i="3"/>
  <c r="AX92" i="3"/>
  <c r="AX88" i="3"/>
  <c r="AX84" i="3"/>
  <c r="AX80" i="3"/>
  <c r="AX72" i="3"/>
  <c r="AX68" i="3"/>
  <c r="AX414" i="3"/>
  <c r="AX410" i="3"/>
  <c r="AX406" i="3"/>
  <c r="AX402" i="3"/>
  <c r="AX398" i="3"/>
  <c r="AX394" i="3"/>
  <c r="AX390" i="3"/>
  <c r="AX386" i="3"/>
  <c r="AX382" i="3"/>
  <c r="AX378" i="3"/>
  <c r="AX374" i="3"/>
  <c r="AX370" i="3"/>
  <c r="AX366" i="3"/>
  <c r="AX362" i="3"/>
  <c r="AX358" i="3"/>
  <c r="AX354" i="3"/>
  <c r="AX350" i="3"/>
  <c r="AX346" i="3"/>
  <c r="AX342" i="3"/>
  <c r="AX338" i="3"/>
  <c r="AX334" i="3"/>
  <c r="AX330" i="3"/>
  <c r="AX326" i="3"/>
  <c r="AX322" i="3"/>
  <c r="AX318" i="3"/>
  <c r="AX314" i="3"/>
  <c r="AX190" i="3"/>
  <c r="AX61" i="3"/>
  <c r="AX57" i="3"/>
  <c r="AX53" i="3"/>
  <c r="AX49" i="3"/>
  <c r="AX45" i="3"/>
  <c r="AX41" i="3"/>
  <c r="AX37" i="3"/>
  <c r="AX33" i="3"/>
  <c r="AX29" i="3"/>
  <c r="AX25" i="3"/>
  <c r="AX21" i="3"/>
  <c r="AX17" i="3"/>
  <c r="AX13" i="3"/>
  <c r="AX9" i="3"/>
  <c r="AX6" i="3"/>
  <c r="AX319" i="3"/>
  <c r="AX315" i="3"/>
  <c r="AX311" i="3"/>
  <c r="AX307" i="3"/>
  <c r="AX303" i="3"/>
  <c r="AX299" i="3"/>
  <c r="AX295" i="3"/>
  <c r="AX291" i="3"/>
  <c r="AX287" i="3"/>
  <c r="AX283" i="3"/>
  <c r="AX279" i="3"/>
  <c r="AX275" i="3"/>
  <c r="AX271" i="3"/>
  <c r="AX267" i="3"/>
  <c r="AX263" i="3"/>
  <c r="AX259" i="3"/>
  <c r="AX255" i="3"/>
  <c r="AX251" i="3"/>
  <c r="AX247" i="3"/>
  <c r="AX243" i="3"/>
  <c r="AX239" i="3"/>
  <c r="AX235" i="3"/>
  <c r="AX231" i="3"/>
  <c r="AX219" i="3"/>
  <c r="AX203" i="3"/>
  <c r="AX187" i="3"/>
  <c r="AX171" i="3"/>
  <c r="AX159" i="3"/>
  <c r="AX155" i="3"/>
  <c r="AX139" i="3"/>
  <c r="AX131" i="3"/>
  <c r="AX123" i="3"/>
  <c r="AX119" i="3"/>
  <c r="AX107" i="3"/>
  <c r="AX91" i="3"/>
  <c r="AX75" i="3"/>
  <c r="AX59" i="3"/>
  <c r="AX47" i="3"/>
  <c r="AX43" i="3"/>
  <c r="AX27" i="3"/>
  <c r="AX11" i="3"/>
  <c r="BD350" i="3"/>
  <c r="BC350" i="3"/>
  <c r="BE286" i="3"/>
  <c r="BB286" i="3"/>
  <c r="BD278" i="3"/>
  <c r="BE278" i="3"/>
  <c r="BE158" i="3"/>
  <c r="BC158" i="3"/>
  <c r="BB30" i="3"/>
  <c r="BC30" i="3"/>
  <c r="BB22" i="3"/>
  <c r="BE22" i="3"/>
  <c r="BB373" i="3"/>
  <c r="BB350" i="3"/>
  <c r="BB305" i="3"/>
  <c r="BB281" i="3"/>
  <c r="BF281" i="3" s="1"/>
  <c r="BB234" i="3"/>
  <c r="BB185" i="3"/>
  <c r="BB158" i="3"/>
  <c r="BB133" i="3"/>
  <c r="BB17" i="3"/>
  <c r="BC394" i="3"/>
  <c r="BC305" i="3"/>
  <c r="BC149" i="3"/>
  <c r="BC105" i="3"/>
  <c r="BC37" i="3"/>
  <c r="BD14" i="3"/>
  <c r="BE377" i="3"/>
  <c r="BE293" i="3"/>
  <c r="BE58" i="3"/>
  <c r="BE17" i="3"/>
  <c r="AX310" i="3"/>
  <c r="AX306" i="3"/>
  <c r="AX302" i="3"/>
  <c r="AX298" i="3"/>
  <c r="AX294" i="3"/>
  <c r="AX290" i="3"/>
  <c r="AX286" i="3"/>
  <c r="AX282" i="3"/>
  <c r="AX278" i="3"/>
  <c r="AX274" i="3"/>
  <c r="AX270" i="3"/>
  <c r="AX266" i="3"/>
  <c r="AX262" i="3"/>
  <c r="AX258" i="3"/>
  <c r="AX254" i="3"/>
  <c r="AX250" i="3"/>
  <c r="AX246" i="3"/>
  <c r="AX242" i="3"/>
  <c r="AX238" i="3"/>
  <c r="AX234" i="3"/>
  <c r="AX230" i="3"/>
  <c r="AX226" i="3"/>
  <c r="AX222" i="3"/>
  <c r="AX218" i="3"/>
  <c r="AX214" i="3"/>
  <c r="AX210" i="3"/>
  <c r="AX206" i="3"/>
  <c r="AX202" i="3"/>
  <c r="AX198" i="3"/>
  <c r="AX194" i="3"/>
  <c r="AX186" i="3"/>
  <c r="AX182" i="3"/>
  <c r="AX178" i="3"/>
  <c r="AX174" i="3"/>
  <c r="AX170" i="3"/>
  <c r="AX166" i="3"/>
  <c r="AX162" i="3"/>
  <c r="AX158" i="3"/>
  <c r="AX154" i="3"/>
  <c r="AX150" i="3"/>
  <c r="AX146" i="3"/>
  <c r="AX142" i="3"/>
  <c r="AX138" i="3"/>
  <c r="AX134" i="3"/>
  <c r="AX130" i="3"/>
  <c r="AX126" i="3"/>
  <c r="AX122" i="3"/>
  <c r="AX118" i="3"/>
  <c r="AX114" i="3"/>
  <c r="AX110" i="3"/>
  <c r="AX106" i="3"/>
  <c r="AX102" i="3"/>
  <c r="AX98" i="3"/>
  <c r="AX94" i="3"/>
  <c r="AX90" i="3"/>
  <c r="AX86" i="3"/>
  <c r="AX82" i="3"/>
  <c r="AX78" i="3"/>
  <c r="AX74" i="3"/>
  <c r="AX70" i="3"/>
  <c r="AX66" i="3"/>
  <c r="AX46" i="3"/>
  <c r="AX34" i="3"/>
  <c r="AX26" i="3"/>
  <c r="AX18" i="3"/>
  <c r="AX10" i="3"/>
  <c r="BB389" i="3"/>
  <c r="BE389" i="3"/>
  <c r="BE381" i="3"/>
  <c r="BB381" i="3"/>
  <c r="BC369" i="3"/>
  <c r="BB369" i="3"/>
  <c r="BB365" i="3"/>
  <c r="BE365" i="3"/>
  <c r="BB353" i="3"/>
  <c r="BC353" i="3"/>
  <c r="BE345" i="3"/>
  <c r="BB345" i="3"/>
  <c r="BE341" i="3"/>
  <c r="BB341" i="3"/>
  <c r="BD337" i="3"/>
  <c r="BC337" i="3"/>
  <c r="BD329" i="3"/>
  <c r="BC329" i="3"/>
  <c r="BE329" i="3"/>
  <c r="BD321" i="3"/>
  <c r="BF321" i="3" s="1"/>
  <c r="BE321" i="3"/>
  <c r="BB321" i="3"/>
  <c r="BD313" i="3"/>
  <c r="BC313" i="3"/>
  <c r="BC309" i="3"/>
  <c r="BE309" i="3"/>
  <c r="BB309" i="3"/>
  <c r="BD289" i="3"/>
  <c r="BC289" i="3"/>
  <c r="BE277" i="3"/>
  <c r="BC277" i="3"/>
  <c r="BD273" i="3"/>
  <c r="BC273" i="3"/>
  <c r="BB273" i="3"/>
  <c r="BD265" i="3"/>
  <c r="BE265" i="3"/>
  <c r="BB265" i="3"/>
  <c r="BD257" i="3"/>
  <c r="BE257" i="3"/>
  <c r="BC257" i="3"/>
  <c r="BD249" i="3"/>
  <c r="BC249" i="3"/>
  <c r="BB249" i="3"/>
  <c r="BE241" i="3"/>
  <c r="BB241" i="3"/>
  <c r="BC229" i="3"/>
  <c r="BB229" i="3"/>
  <c r="BD225" i="3"/>
  <c r="BB225" i="3"/>
  <c r="BD217" i="3"/>
  <c r="BC217" i="3"/>
  <c r="BB217" i="3"/>
  <c r="BC213" i="3"/>
  <c r="BB213" i="3"/>
  <c r="BE213" i="3"/>
  <c r="BD209" i="3"/>
  <c r="BE209" i="3"/>
  <c r="BD201" i="3"/>
  <c r="BB201" i="3"/>
  <c r="BF201" i="3" s="1"/>
  <c r="BD193" i="3"/>
  <c r="BC193" i="3"/>
  <c r="BE193" i="3"/>
  <c r="BD185" i="3"/>
  <c r="BE185" i="3"/>
  <c r="BC177" i="3"/>
  <c r="BB177" i="3"/>
  <c r="BE165" i="3"/>
  <c r="BB165" i="3"/>
  <c r="BD161" i="3"/>
  <c r="BB161" i="3"/>
  <c r="BD153" i="3"/>
  <c r="BC153" i="3"/>
  <c r="BB153" i="3"/>
  <c r="BD145" i="3"/>
  <c r="BE145" i="3"/>
  <c r="BD137" i="3"/>
  <c r="BE137" i="3"/>
  <c r="BB137" i="3"/>
  <c r="BC137" i="3"/>
  <c r="BD121" i="3"/>
  <c r="BE121" i="3"/>
  <c r="BE117" i="3"/>
  <c r="BC117" i="3"/>
  <c r="BC113" i="3"/>
  <c r="BB113" i="3"/>
  <c r="BD97" i="3"/>
  <c r="BB97" i="3"/>
  <c r="BC97" i="3"/>
  <c r="BD89" i="3"/>
  <c r="BE89" i="3"/>
  <c r="BB89" i="3"/>
  <c r="BE85" i="3"/>
  <c r="BB85" i="3"/>
  <c r="BD81" i="3"/>
  <c r="BC81" i="3"/>
  <c r="BD73" i="3"/>
  <c r="BC73" i="3"/>
  <c r="BB73" i="3"/>
  <c r="BE73" i="3"/>
  <c r="BD65" i="3"/>
  <c r="BE65" i="3"/>
  <c r="BB65" i="3"/>
  <c r="BD57" i="3"/>
  <c r="BC57" i="3"/>
  <c r="BB53" i="3"/>
  <c r="BE53" i="3"/>
  <c r="BE49" i="3"/>
  <c r="BC49" i="3"/>
  <c r="BC41" i="3"/>
  <c r="BB41" i="3"/>
  <c r="BD33" i="3"/>
  <c r="BB33" i="3"/>
  <c r="BD25" i="3"/>
  <c r="BC25" i="3"/>
  <c r="BE21" i="3"/>
  <c r="BB21" i="3"/>
  <c r="BD9" i="3"/>
  <c r="BB9" i="3"/>
  <c r="BE9" i="3"/>
  <c r="BC9" i="3"/>
  <c r="BE414" i="3"/>
  <c r="BC414" i="3"/>
  <c r="BB414" i="3"/>
  <c r="BB370" i="3"/>
  <c r="BB277" i="3"/>
  <c r="BB233" i="3"/>
  <c r="BB206" i="3"/>
  <c r="BB181" i="3"/>
  <c r="BB129" i="3"/>
  <c r="BB78" i="3"/>
  <c r="BB57" i="3"/>
  <c r="BB14" i="3"/>
  <c r="BC377" i="3"/>
  <c r="BC341" i="3"/>
  <c r="BC297" i="3"/>
  <c r="BC261" i="3"/>
  <c r="BC222" i="3"/>
  <c r="BC145" i="3"/>
  <c r="BC101" i="3"/>
  <c r="BC65" i="3"/>
  <c r="BC33" i="3"/>
  <c r="BD414" i="3"/>
  <c r="BE413" i="3"/>
  <c r="BE373" i="3"/>
  <c r="BE281" i="3"/>
  <c r="BE198" i="3"/>
  <c r="BE149" i="3"/>
  <c r="BE101" i="3"/>
  <c r="BE57" i="3"/>
  <c r="BE87" i="3"/>
  <c r="BC87" i="3"/>
  <c r="BD87" i="3"/>
  <c r="BE411" i="3"/>
  <c r="BD411" i="3"/>
  <c r="BB411" i="3"/>
  <c r="BC411" i="3"/>
  <c r="BE375" i="3"/>
  <c r="BC375" i="3"/>
  <c r="BD375" i="3"/>
  <c r="BB375" i="3"/>
  <c r="BE339" i="3"/>
  <c r="BD339" i="3"/>
  <c r="BC339" i="3"/>
  <c r="BB339" i="3"/>
  <c r="BE303" i="3"/>
  <c r="BD303" i="3"/>
  <c r="BC303" i="3"/>
  <c r="BB303" i="3"/>
  <c r="BE275" i="3"/>
  <c r="BD275" i="3"/>
  <c r="BC275" i="3"/>
  <c r="BB275" i="3"/>
  <c r="BE251" i="3"/>
  <c r="BC251" i="3"/>
  <c r="BB251" i="3"/>
  <c r="BD251" i="3"/>
  <c r="BE239" i="3"/>
  <c r="BD239" i="3"/>
  <c r="BC239" i="3"/>
  <c r="BB239" i="3"/>
  <c r="BE231" i="3"/>
  <c r="BC231" i="3"/>
  <c r="BD231" i="3"/>
  <c r="BB231" i="3"/>
  <c r="BE195" i="3"/>
  <c r="BD195" i="3"/>
  <c r="BC195" i="3"/>
  <c r="BB195" i="3"/>
  <c r="BE167" i="3"/>
  <c r="BC167" i="3"/>
  <c r="BD167" i="3"/>
  <c r="BD143" i="3"/>
  <c r="BB143" i="3"/>
  <c r="BE143" i="3"/>
  <c r="BC143" i="3"/>
  <c r="BE131" i="3"/>
  <c r="BD131" i="3"/>
  <c r="BC131" i="3"/>
  <c r="BB131" i="3"/>
  <c r="BE119" i="3"/>
  <c r="BC119" i="3"/>
  <c r="BD119" i="3"/>
  <c r="BB107" i="3"/>
  <c r="BD107" i="3"/>
  <c r="BC107" i="3"/>
  <c r="BE95" i="3"/>
  <c r="BD95" i="3"/>
  <c r="BC95" i="3"/>
  <c r="BB95" i="3"/>
  <c r="BE83" i="3"/>
  <c r="BD83" i="3"/>
  <c r="BC83" i="3"/>
  <c r="BB83" i="3"/>
  <c r="AX58" i="3"/>
  <c r="AX54" i="3"/>
  <c r="AX50" i="3"/>
  <c r="AX42" i="3"/>
  <c r="AX38" i="3"/>
  <c r="AX30" i="3"/>
  <c r="AX22" i="3"/>
  <c r="AX14" i="3"/>
  <c r="AX7" i="3"/>
  <c r="AX3" i="3"/>
  <c r="BB167" i="3"/>
  <c r="BC371" i="3"/>
  <c r="BC115" i="3"/>
  <c r="BE107" i="3"/>
  <c r="BE403" i="3"/>
  <c r="BD403" i="3"/>
  <c r="BC403" i="3"/>
  <c r="BB403" i="3"/>
  <c r="BD399" i="3"/>
  <c r="BC399" i="3"/>
  <c r="BB399" i="3"/>
  <c r="BE395" i="3"/>
  <c r="BD395" i="3"/>
  <c r="BB395" i="3"/>
  <c r="BC395" i="3"/>
  <c r="BD383" i="3"/>
  <c r="BE383" i="3"/>
  <c r="BD371" i="3"/>
  <c r="BB371" i="3"/>
  <c r="BE371" i="3"/>
  <c r="BE363" i="3"/>
  <c r="BB363" i="3"/>
  <c r="BC363" i="3"/>
  <c r="BD363" i="3"/>
  <c r="BE351" i="3"/>
  <c r="BD351" i="3"/>
  <c r="BC351" i="3"/>
  <c r="BE343" i="3"/>
  <c r="BC343" i="3"/>
  <c r="BD343" i="3"/>
  <c r="BB343" i="3"/>
  <c r="BE331" i="3"/>
  <c r="BD331" i="3"/>
  <c r="BC331" i="3"/>
  <c r="BB331" i="3"/>
  <c r="BE327" i="3"/>
  <c r="BC327" i="3"/>
  <c r="BB327" i="3"/>
  <c r="BE311" i="3"/>
  <c r="BC311" i="3"/>
  <c r="BD311" i="3"/>
  <c r="BB311" i="3"/>
  <c r="BE307" i="3"/>
  <c r="BB307" i="3"/>
  <c r="BD307" i="3"/>
  <c r="BE295" i="3"/>
  <c r="BC295" i="3"/>
  <c r="BD295" i="3"/>
  <c r="BB295" i="3"/>
  <c r="BE287" i="3"/>
  <c r="BD287" i="3"/>
  <c r="BC287" i="3"/>
  <c r="BE279" i="3"/>
  <c r="BC279" i="3"/>
  <c r="BD279" i="3"/>
  <c r="BB279" i="3"/>
  <c r="BD271" i="3"/>
  <c r="BE271" i="3"/>
  <c r="BC271" i="3"/>
  <c r="BB271" i="3"/>
  <c r="BE263" i="3"/>
  <c r="BC263" i="3"/>
  <c r="BB263" i="3"/>
  <c r="BD263" i="3"/>
  <c r="BD255" i="3"/>
  <c r="BE255" i="3"/>
  <c r="BD243" i="3"/>
  <c r="BB243" i="3"/>
  <c r="BE243" i="3"/>
  <c r="BE227" i="3"/>
  <c r="BC227" i="3"/>
  <c r="BB227" i="3"/>
  <c r="BE215" i="3"/>
  <c r="BC215" i="3"/>
  <c r="BD215" i="3"/>
  <c r="BD207" i="3"/>
  <c r="BB207" i="3"/>
  <c r="BC207" i="3"/>
  <c r="BE207" i="3"/>
  <c r="BE203" i="3"/>
  <c r="BD203" i="3"/>
  <c r="BC203" i="3"/>
  <c r="BB203" i="3"/>
  <c r="BD191" i="3"/>
  <c r="BB191" i="3"/>
  <c r="BE191" i="3"/>
  <c r="BE183" i="3"/>
  <c r="BC183" i="3"/>
  <c r="BD183" i="3"/>
  <c r="BB171" i="3"/>
  <c r="BC171" i="3"/>
  <c r="BE171" i="3"/>
  <c r="BE159" i="3"/>
  <c r="BD159" i="3"/>
  <c r="BC159" i="3"/>
  <c r="BB159" i="3"/>
  <c r="BE151" i="3"/>
  <c r="BC151" i="3"/>
  <c r="BD151" i="3"/>
  <c r="BE139" i="3"/>
  <c r="BD139" i="3"/>
  <c r="BC139" i="3"/>
  <c r="BB139" i="3"/>
  <c r="BE123" i="3"/>
  <c r="BC123" i="3"/>
  <c r="BB123" i="3"/>
  <c r="BD123" i="3"/>
  <c r="BE111" i="3"/>
  <c r="BD111" i="3"/>
  <c r="BB111" i="3"/>
  <c r="BC111" i="3"/>
  <c r="BE103" i="3"/>
  <c r="BC103" i="3"/>
  <c r="BD103" i="3"/>
  <c r="BD79" i="3"/>
  <c r="BE79" i="3"/>
  <c r="BB79" i="3"/>
  <c r="BC79" i="3"/>
  <c r="BC307" i="3"/>
  <c r="AX413" i="3"/>
  <c r="AX409" i="3"/>
  <c r="AX405" i="3"/>
  <c r="AX401" i="3"/>
  <c r="AX397" i="3"/>
  <c r="AX393" i="3"/>
  <c r="AX389" i="3"/>
  <c r="AX385" i="3"/>
  <c r="AX381" i="3"/>
  <c r="AX377" i="3"/>
  <c r="AX373" i="3"/>
  <c r="AX369" i="3"/>
  <c r="AX365" i="3"/>
  <c r="AX361" i="3"/>
  <c r="AX357" i="3"/>
  <c r="AX353" i="3"/>
  <c r="AX349" i="3"/>
  <c r="AX345" i="3"/>
  <c r="AX341" i="3"/>
  <c r="AX337" i="3"/>
  <c r="AX333" i="3"/>
  <c r="AX329" i="3"/>
  <c r="AX325" i="3"/>
  <c r="AX321" i="3"/>
  <c r="AX317" i="3"/>
  <c r="AX313" i="3"/>
  <c r="AX309" i="3"/>
  <c r="AX305" i="3"/>
  <c r="AX301" i="3"/>
  <c r="AX297" i="3"/>
  <c r="AX293" i="3"/>
  <c r="AX289" i="3"/>
  <c r="AX285" i="3"/>
  <c r="AX281" i="3"/>
  <c r="AX277" i="3"/>
  <c r="AX273" i="3"/>
  <c r="AX269" i="3"/>
  <c r="AX265" i="3"/>
  <c r="AX261" i="3"/>
  <c r="AX257" i="3"/>
  <c r="AX253" i="3"/>
  <c r="AX249" i="3"/>
  <c r="AX245" i="3"/>
  <c r="AX241" i="3"/>
  <c r="AX237" i="3"/>
  <c r="AX233" i="3"/>
  <c r="AX229" i="3"/>
  <c r="AX225" i="3"/>
  <c r="AX221" i="3"/>
  <c r="AX217" i="3"/>
  <c r="AX213" i="3"/>
  <c r="AX209" i="3"/>
  <c r="AX205" i="3"/>
  <c r="AX201" i="3"/>
  <c r="AX197" i="3"/>
  <c r="AX193" i="3"/>
  <c r="AX189" i="3"/>
  <c r="AX185" i="3"/>
  <c r="AX181" i="3"/>
  <c r="AX177" i="3"/>
  <c r="AX173" i="3"/>
  <c r="AX169" i="3"/>
  <c r="AX165" i="3"/>
  <c r="AX161" i="3"/>
  <c r="AX157" i="3"/>
  <c r="AX153" i="3"/>
  <c r="AX149" i="3"/>
  <c r="AX145" i="3"/>
  <c r="AX141" i="3"/>
  <c r="AX137" i="3"/>
  <c r="AX133" i="3"/>
  <c r="AX129" i="3"/>
  <c r="AX125" i="3"/>
  <c r="AX121" i="3"/>
  <c r="AX117" i="3"/>
  <c r="AX113" i="3"/>
  <c r="AX109" i="3"/>
  <c r="AX105" i="3"/>
  <c r="AX101" i="3"/>
  <c r="AX97" i="3"/>
  <c r="BC383" i="3"/>
  <c r="BD227" i="3"/>
  <c r="BD171" i="3"/>
  <c r="BE407" i="3"/>
  <c r="BC407" i="3"/>
  <c r="BD407" i="3"/>
  <c r="BB407" i="3"/>
  <c r="BE391" i="3"/>
  <c r="BC391" i="3"/>
  <c r="BB391" i="3"/>
  <c r="BD391" i="3"/>
  <c r="BD387" i="3"/>
  <c r="BE387" i="3"/>
  <c r="BC387" i="3"/>
  <c r="BB387" i="3"/>
  <c r="BE379" i="3"/>
  <c r="BC379" i="3"/>
  <c r="BB379" i="3"/>
  <c r="BD379" i="3"/>
  <c r="BD367" i="3"/>
  <c r="BE367" i="3"/>
  <c r="BC367" i="3"/>
  <c r="BB367" i="3"/>
  <c r="BE359" i="3"/>
  <c r="BC359" i="3"/>
  <c r="BD359" i="3"/>
  <c r="BB359" i="3"/>
  <c r="BC355" i="3"/>
  <c r="BE355" i="3"/>
  <c r="BB355" i="3"/>
  <c r="BE347" i="3"/>
  <c r="BD347" i="3"/>
  <c r="BB347" i="3"/>
  <c r="BC347" i="3"/>
  <c r="BD335" i="3"/>
  <c r="BE335" i="3"/>
  <c r="BC335" i="3"/>
  <c r="BB335" i="3"/>
  <c r="BE323" i="3"/>
  <c r="BD323" i="3"/>
  <c r="BC323" i="3"/>
  <c r="BB323" i="3"/>
  <c r="BD319" i="3"/>
  <c r="BE319" i="3"/>
  <c r="BE315" i="3"/>
  <c r="BC315" i="3"/>
  <c r="BB315" i="3"/>
  <c r="BD315" i="3"/>
  <c r="BE299" i="3"/>
  <c r="BB299" i="3"/>
  <c r="BC299" i="3"/>
  <c r="BC291" i="3"/>
  <c r="BE291" i="3"/>
  <c r="BD291" i="3"/>
  <c r="BB291" i="3"/>
  <c r="BE283" i="3"/>
  <c r="BD283" i="3"/>
  <c r="BB283" i="3"/>
  <c r="BC283" i="3"/>
  <c r="BE267" i="3"/>
  <c r="BD267" i="3"/>
  <c r="BC267" i="3"/>
  <c r="BB267" i="3"/>
  <c r="BE259" i="3"/>
  <c r="BD259" i="3"/>
  <c r="BC259" i="3"/>
  <c r="BB259" i="3"/>
  <c r="BE247" i="3"/>
  <c r="BC247" i="3"/>
  <c r="BD247" i="3"/>
  <c r="BB247" i="3"/>
  <c r="BE235" i="3"/>
  <c r="BB235" i="3"/>
  <c r="BD235" i="3"/>
  <c r="BC235" i="3"/>
  <c r="BE223" i="3"/>
  <c r="BD223" i="3"/>
  <c r="BC223" i="3"/>
  <c r="BD219" i="3"/>
  <c r="BB219" i="3"/>
  <c r="BE219" i="3"/>
  <c r="BC219" i="3"/>
  <c r="BE211" i="3"/>
  <c r="BD211" i="3"/>
  <c r="BC211" i="3"/>
  <c r="BB211" i="3"/>
  <c r="BE199" i="3"/>
  <c r="BC199" i="3"/>
  <c r="BE187" i="3"/>
  <c r="BC187" i="3"/>
  <c r="BB187" i="3"/>
  <c r="BD187" i="3"/>
  <c r="BE179" i="3"/>
  <c r="BB179" i="3"/>
  <c r="BD179" i="3"/>
  <c r="BE175" i="3"/>
  <c r="BD175" i="3"/>
  <c r="BB175" i="3"/>
  <c r="BC175" i="3"/>
  <c r="BE163" i="3"/>
  <c r="BD163" i="3"/>
  <c r="BC163" i="3"/>
  <c r="BB163" i="3"/>
  <c r="BD155" i="3"/>
  <c r="BB155" i="3"/>
  <c r="BE155" i="3"/>
  <c r="BC155" i="3"/>
  <c r="BE147" i="3"/>
  <c r="BD147" i="3"/>
  <c r="BC147" i="3"/>
  <c r="BB147" i="3"/>
  <c r="BE135" i="3"/>
  <c r="BC135" i="3"/>
  <c r="BD135" i="3"/>
  <c r="BD127" i="3"/>
  <c r="BE127" i="3"/>
  <c r="BB127" i="3"/>
  <c r="BE115" i="3"/>
  <c r="BD115" i="3"/>
  <c r="BB115" i="3"/>
  <c r="BC99" i="3"/>
  <c r="BB99" i="3"/>
  <c r="BE99" i="3"/>
  <c r="BE91" i="3"/>
  <c r="BD91" i="3"/>
  <c r="BB91" i="3"/>
  <c r="BC91" i="3"/>
  <c r="BD199" i="3"/>
  <c r="BD2" i="3"/>
  <c r="BC2" i="3"/>
  <c r="BE412" i="3"/>
  <c r="BB412" i="3"/>
  <c r="BC412" i="3"/>
  <c r="BB408" i="3"/>
  <c r="BD408" i="3"/>
  <c r="BC408" i="3"/>
  <c r="BE408" i="3"/>
  <c r="BD404" i="3"/>
  <c r="BB404" i="3"/>
  <c r="BE404" i="3"/>
  <c r="BE400" i="3"/>
  <c r="BB400" i="3"/>
  <c r="BD400" i="3"/>
  <c r="BC400" i="3"/>
  <c r="BE396" i="3"/>
  <c r="BB396" i="3"/>
  <c r="BC396" i="3"/>
  <c r="BD396" i="3"/>
  <c r="BB392" i="3"/>
  <c r="BE392" i="3"/>
  <c r="BC392" i="3"/>
  <c r="BD392" i="3"/>
  <c r="BD388" i="3"/>
  <c r="BB388" i="3"/>
  <c r="BC388" i="3"/>
  <c r="BE384" i="3"/>
  <c r="BB384" i="3"/>
  <c r="BC384" i="3"/>
  <c r="BC380" i="3"/>
  <c r="BE380" i="3"/>
  <c r="BB380" i="3"/>
  <c r="BD380" i="3"/>
  <c r="BC376" i="3"/>
  <c r="BB376" i="3"/>
  <c r="BE376" i="3"/>
  <c r="BD376" i="3"/>
  <c r="BC372" i="3"/>
  <c r="BD372" i="3"/>
  <c r="BB372" i="3"/>
  <c r="BC368" i="3"/>
  <c r="BE368" i="3"/>
  <c r="BB368" i="3"/>
  <c r="BD368" i="3"/>
  <c r="BC364" i="3"/>
  <c r="BE364" i="3"/>
  <c r="BB364" i="3"/>
  <c r="BD364" i="3"/>
  <c r="BC360" i="3"/>
  <c r="BB360" i="3"/>
  <c r="BD360" i="3"/>
  <c r="BC356" i="3"/>
  <c r="BD356" i="3"/>
  <c r="BB356" i="3"/>
  <c r="BE356" i="3"/>
  <c r="BE352" i="3"/>
  <c r="BC352" i="3"/>
  <c r="BB352" i="3"/>
  <c r="BD352" i="3"/>
  <c r="BE348" i="3"/>
  <c r="BC348" i="3"/>
  <c r="BB348" i="3"/>
  <c r="BD348" i="3"/>
  <c r="BE344" i="3"/>
  <c r="BC344" i="3"/>
  <c r="BB344" i="3"/>
  <c r="BD344" i="3"/>
  <c r="BE340" i="3"/>
  <c r="BC340" i="3"/>
  <c r="BD340" i="3"/>
  <c r="BB340" i="3"/>
  <c r="BE336" i="3"/>
  <c r="BC336" i="3"/>
  <c r="BB336" i="3"/>
  <c r="BD336" i="3"/>
  <c r="BE332" i="3"/>
  <c r="BC332" i="3"/>
  <c r="BB332" i="3"/>
  <c r="BD332" i="3"/>
  <c r="BE328" i="3"/>
  <c r="BC328" i="3"/>
  <c r="BB328" i="3"/>
  <c r="BD328" i="3"/>
  <c r="BE324" i="3"/>
  <c r="BC324" i="3"/>
  <c r="BD324" i="3"/>
  <c r="BB324" i="3"/>
  <c r="BE320" i="3"/>
  <c r="BC320" i="3"/>
  <c r="BB320" i="3"/>
  <c r="BD320" i="3"/>
  <c r="BE316" i="3"/>
  <c r="BC316" i="3"/>
  <c r="BB316" i="3"/>
  <c r="BD316" i="3"/>
  <c r="BE312" i="3"/>
  <c r="BC312" i="3"/>
  <c r="BB312" i="3"/>
  <c r="BE308" i="3"/>
  <c r="BC308" i="3"/>
  <c r="BD308" i="3"/>
  <c r="BB308" i="3"/>
  <c r="BE304" i="3"/>
  <c r="BC304" i="3"/>
  <c r="BB304" i="3"/>
  <c r="BD304" i="3"/>
  <c r="BE300" i="3"/>
  <c r="BC300" i="3"/>
  <c r="BB300" i="3"/>
  <c r="BD300" i="3"/>
  <c r="BE296" i="3"/>
  <c r="BC296" i="3"/>
  <c r="BB296" i="3"/>
  <c r="BD296" i="3"/>
  <c r="BE292" i="3"/>
  <c r="BC292" i="3"/>
  <c r="BD292" i="3"/>
  <c r="BB292" i="3"/>
  <c r="BE288" i="3"/>
  <c r="BC288" i="3"/>
  <c r="BB288" i="3"/>
  <c r="BD288" i="3"/>
  <c r="BE284" i="3"/>
  <c r="BC284" i="3"/>
  <c r="BB284" i="3"/>
  <c r="BE280" i="3"/>
  <c r="BC280" i="3"/>
  <c r="BB280" i="3"/>
  <c r="BD280" i="3"/>
  <c r="BE276" i="3"/>
  <c r="BC276" i="3"/>
  <c r="BD276" i="3"/>
  <c r="BB276" i="3"/>
  <c r="BE272" i="3"/>
  <c r="BC272" i="3"/>
  <c r="BB272" i="3"/>
  <c r="BD272" i="3"/>
  <c r="BE268" i="3"/>
  <c r="BC268" i="3"/>
  <c r="BB268" i="3"/>
  <c r="BD268" i="3"/>
  <c r="BE264" i="3"/>
  <c r="BC264" i="3"/>
  <c r="BB264" i="3"/>
  <c r="BD264" i="3"/>
  <c r="BE260" i="3"/>
  <c r="BC260" i="3"/>
  <c r="BD260" i="3"/>
  <c r="BB260" i="3"/>
  <c r="BE256" i="3"/>
  <c r="BC256" i="3"/>
  <c r="BB256" i="3"/>
  <c r="BE252" i="3"/>
  <c r="BC252" i="3"/>
  <c r="BB252" i="3"/>
  <c r="BD252" i="3"/>
  <c r="BE248" i="3"/>
  <c r="BC248" i="3"/>
  <c r="BB248" i="3"/>
  <c r="BD248" i="3"/>
  <c r="BE244" i="3"/>
  <c r="BC244" i="3"/>
  <c r="BD244" i="3"/>
  <c r="BB244" i="3"/>
  <c r="BE240" i="3"/>
  <c r="BC240" i="3"/>
  <c r="BB240" i="3"/>
  <c r="BD240" i="3"/>
  <c r="BE236" i="3"/>
  <c r="BC236" i="3"/>
  <c r="BB236" i="3"/>
  <c r="BD236" i="3"/>
  <c r="BE232" i="3"/>
  <c r="BC232" i="3"/>
  <c r="BB232" i="3"/>
  <c r="BD232" i="3"/>
  <c r="BE228" i="3"/>
  <c r="BC228" i="3"/>
  <c r="BD228" i="3"/>
  <c r="BB228" i="3"/>
  <c r="BE224" i="3"/>
  <c r="BC224" i="3"/>
  <c r="BB224" i="3"/>
  <c r="BD224" i="3"/>
  <c r="BE220" i="3"/>
  <c r="BC220" i="3"/>
  <c r="BB220" i="3"/>
  <c r="BD220" i="3"/>
  <c r="BE216" i="3"/>
  <c r="BC216" i="3"/>
  <c r="BB216" i="3"/>
  <c r="BD216" i="3"/>
  <c r="BE212" i="3"/>
  <c r="BC212" i="3"/>
  <c r="BD212" i="3"/>
  <c r="BB212" i="3"/>
  <c r="BE208" i="3"/>
  <c r="BC208" i="3"/>
  <c r="BB208" i="3"/>
  <c r="BD208" i="3"/>
  <c r="BE204" i="3"/>
  <c r="BC204" i="3"/>
  <c r="BB204" i="3"/>
  <c r="BD204" i="3"/>
  <c r="BE200" i="3"/>
  <c r="BC200" i="3"/>
  <c r="BB200" i="3"/>
  <c r="BD200" i="3"/>
  <c r="BE196" i="3"/>
  <c r="BC196" i="3"/>
  <c r="BD196" i="3"/>
  <c r="BB196" i="3"/>
  <c r="BE192" i="3"/>
  <c r="BC192" i="3"/>
  <c r="BB192" i="3"/>
  <c r="BD192" i="3"/>
  <c r="BE188" i="3"/>
  <c r="BC188" i="3"/>
  <c r="BB188" i="3"/>
  <c r="BD188" i="3"/>
  <c r="BE184" i="3"/>
  <c r="BC184" i="3"/>
  <c r="BB184" i="3"/>
  <c r="BE180" i="3"/>
  <c r="BC180" i="3"/>
  <c r="BD180" i="3"/>
  <c r="BB180" i="3"/>
  <c r="BE176" i="3"/>
  <c r="BC176" i="3"/>
  <c r="BB176" i="3"/>
  <c r="BD176" i="3"/>
  <c r="BE172" i="3"/>
  <c r="BC172" i="3"/>
  <c r="BB172" i="3"/>
  <c r="BD172" i="3"/>
  <c r="BE168" i="3"/>
  <c r="BC168" i="3"/>
  <c r="BB168" i="3"/>
  <c r="BD168" i="3"/>
  <c r="BE164" i="3"/>
  <c r="BC164" i="3"/>
  <c r="BD164" i="3"/>
  <c r="BB164" i="3"/>
  <c r="BE160" i="3"/>
  <c r="BC160" i="3"/>
  <c r="BB160" i="3"/>
  <c r="BD160" i="3"/>
  <c r="BE156" i="3"/>
  <c r="BC156" i="3"/>
  <c r="BB156" i="3"/>
  <c r="BE152" i="3"/>
  <c r="BC152" i="3"/>
  <c r="BB152" i="3"/>
  <c r="BD152" i="3"/>
  <c r="BE148" i="3"/>
  <c r="BC148" i="3"/>
  <c r="BD148" i="3"/>
  <c r="BB148" i="3"/>
  <c r="BE144" i="3"/>
  <c r="BC144" i="3"/>
  <c r="BB144" i="3"/>
  <c r="BD144" i="3"/>
  <c r="BE140" i="3"/>
  <c r="BC140" i="3"/>
  <c r="BB140" i="3"/>
  <c r="BD140" i="3"/>
  <c r="BE136" i="3"/>
  <c r="BC136" i="3"/>
  <c r="BB136" i="3"/>
  <c r="BD136" i="3"/>
  <c r="BE132" i="3"/>
  <c r="BC132" i="3"/>
  <c r="BD132" i="3"/>
  <c r="BB132" i="3"/>
  <c r="BE128" i="3"/>
  <c r="BC128" i="3"/>
  <c r="BB128" i="3"/>
  <c r="BE124" i="3"/>
  <c r="BC124" i="3"/>
  <c r="BB124" i="3"/>
  <c r="BD124" i="3"/>
  <c r="BE120" i="3"/>
  <c r="BC120" i="3"/>
  <c r="BB120" i="3"/>
  <c r="BD120" i="3"/>
  <c r="BE116" i="3"/>
  <c r="BC116" i="3"/>
  <c r="BD116" i="3"/>
  <c r="BB116" i="3"/>
  <c r="BE112" i="3"/>
  <c r="BC112" i="3"/>
  <c r="BB112" i="3"/>
  <c r="BD112" i="3"/>
  <c r="BE108" i="3"/>
  <c r="BC108" i="3"/>
  <c r="BB108" i="3"/>
  <c r="BD108" i="3"/>
  <c r="BE104" i="3"/>
  <c r="BC104" i="3"/>
  <c r="BB104" i="3"/>
  <c r="BD104" i="3"/>
  <c r="BE100" i="3"/>
  <c r="BC100" i="3"/>
  <c r="BD100" i="3"/>
  <c r="BB100" i="3"/>
  <c r="BE96" i="3"/>
  <c r="BC96" i="3"/>
  <c r="BB96" i="3"/>
  <c r="BD96" i="3"/>
  <c r="BE92" i="3"/>
  <c r="BC92" i="3"/>
  <c r="BB92" i="3"/>
  <c r="BD92" i="3"/>
  <c r="BE88" i="3"/>
  <c r="BC88" i="3"/>
  <c r="BB88" i="3"/>
  <c r="BD88" i="3"/>
  <c r="BE84" i="3"/>
  <c r="BC84" i="3"/>
  <c r="BD84" i="3"/>
  <c r="BB84" i="3"/>
  <c r="BE80" i="3"/>
  <c r="BC80" i="3"/>
  <c r="BB80" i="3"/>
  <c r="BD80" i="3"/>
  <c r="BE76" i="3"/>
  <c r="BC76" i="3"/>
  <c r="BB76" i="3"/>
  <c r="BD76" i="3"/>
  <c r="BE72" i="3"/>
  <c r="BC72" i="3"/>
  <c r="BB72" i="3"/>
  <c r="BD72" i="3"/>
  <c r="BE68" i="3"/>
  <c r="BC68" i="3"/>
  <c r="BD68" i="3"/>
  <c r="BB68" i="3"/>
  <c r="BE64" i="3"/>
  <c r="BC64" i="3"/>
  <c r="BB64" i="3"/>
  <c r="BD64" i="3"/>
  <c r="BE60" i="3"/>
  <c r="BC60" i="3"/>
  <c r="BB60" i="3"/>
  <c r="BD60" i="3"/>
  <c r="BE56" i="3"/>
  <c r="BC56" i="3"/>
  <c r="BB56" i="3"/>
  <c r="BE52" i="3"/>
  <c r="BC52" i="3"/>
  <c r="BD52" i="3"/>
  <c r="BB52" i="3"/>
  <c r="BE48" i="3"/>
  <c r="BC48" i="3"/>
  <c r="BB48" i="3"/>
  <c r="BD48" i="3"/>
  <c r="BE44" i="3"/>
  <c r="BC44" i="3"/>
  <c r="BB44" i="3"/>
  <c r="BD44" i="3"/>
  <c r="BE40" i="3"/>
  <c r="BC40" i="3"/>
  <c r="BB40" i="3"/>
  <c r="BD40" i="3"/>
  <c r="BE36" i="3"/>
  <c r="BC36" i="3"/>
  <c r="BD36" i="3"/>
  <c r="BB36" i="3"/>
  <c r="BE32" i="3"/>
  <c r="BC32" i="3"/>
  <c r="BB32" i="3"/>
  <c r="BD32" i="3"/>
  <c r="BE28" i="3"/>
  <c r="BC28" i="3"/>
  <c r="BB28" i="3"/>
  <c r="BE24" i="3"/>
  <c r="BC24" i="3"/>
  <c r="BB24" i="3"/>
  <c r="BD24" i="3"/>
  <c r="BE20" i="3"/>
  <c r="BC20" i="3"/>
  <c r="BD20" i="3"/>
  <c r="BB20" i="3"/>
  <c r="BE16" i="3"/>
  <c r="BC16" i="3"/>
  <c r="BB16" i="3"/>
  <c r="BD16" i="3"/>
  <c r="BE12" i="3"/>
  <c r="BC12" i="3"/>
  <c r="BB12" i="3"/>
  <c r="BD12" i="3"/>
  <c r="BE8" i="3"/>
  <c r="BC8" i="3"/>
  <c r="BB8" i="3"/>
  <c r="BD8" i="3"/>
  <c r="BE5" i="3"/>
  <c r="BC5" i="3"/>
  <c r="BD5" i="3"/>
  <c r="BB5" i="3"/>
  <c r="BB2" i="3"/>
  <c r="BB383" i="3"/>
  <c r="BB351" i="3"/>
  <c r="BB319" i="3"/>
  <c r="BB287" i="3"/>
  <c r="BB255" i="3"/>
  <c r="BF255" i="3" s="1"/>
  <c r="BB223" i="3"/>
  <c r="BB215" i="3"/>
  <c r="BB183" i="3"/>
  <c r="BB151" i="3"/>
  <c r="BB119" i="3"/>
  <c r="BB87" i="3"/>
  <c r="BC243" i="3"/>
  <c r="BC191" i="3"/>
  <c r="BD384" i="3"/>
  <c r="BD327" i="3"/>
  <c r="BD156" i="3"/>
  <c r="BD99" i="3"/>
  <c r="BE75" i="3"/>
  <c r="BD75" i="3"/>
  <c r="BC75" i="3"/>
  <c r="BB75" i="3"/>
  <c r="BE71" i="3"/>
  <c r="BC71" i="3"/>
  <c r="BE67" i="3"/>
  <c r="BD67" i="3"/>
  <c r="BC67" i="3"/>
  <c r="BD63" i="3"/>
  <c r="BB63" i="3"/>
  <c r="BE59" i="3"/>
  <c r="BC59" i="3"/>
  <c r="BB59" i="3"/>
  <c r="BE55" i="3"/>
  <c r="BC55" i="3"/>
  <c r="BD55" i="3"/>
  <c r="BE47" i="3"/>
  <c r="BD47" i="3"/>
  <c r="BB47" i="3"/>
  <c r="BC47" i="3"/>
  <c r="BE43" i="3"/>
  <c r="BB43" i="3"/>
  <c r="BE39" i="3"/>
  <c r="BC39" i="3"/>
  <c r="BD39" i="3"/>
  <c r="BE31" i="3"/>
  <c r="BD31" i="3"/>
  <c r="BC31" i="3"/>
  <c r="BB31" i="3"/>
  <c r="BE27" i="3"/>
  <c r="BD27" i="3"/>
  <c r="BB27" i="3"/>
  <c r="BE23" i="3"/>
  <c r="BC23" i="3"/>
  <c r="BE19" i="3"/>
  <c r="BD19" i="3"/>
  <c r="BC19" i="3"/>
  <c r="BD15" i="3"/>
  <c r="BB15" i="3"/>
  <c r="BE11" i="3"/>
  <c r="BD11" i="3"/>
  <c r="BC11" i="3"/>
  <c r="BB11" i="3"/>
  <c r="BE4" i="3"/>
  <c r="BD4" i="3"/>
  <c r="BC4" i="3"/>
  <c r="BC134" i="3"/>
  <c r="BC27" i="3"/>
  <c r="BD94" i="3"/>
  <c r="BD51" i="3"/>
  <c r="BD38" i="3"/>
  <c r="BD23" i="3"/>
  <c r="BE342" i="3"/>
  <c r="AX93" i="3"/>
  <c r="AX77" i="3"/>
  <c r="BE410" i="3"/>
  <c r="BD410" i="3"/>
  <c r="BE402" i="3"/>
  <c r="BD402" i="3"/>
  <c r="BC402" i="3"/>
  <c r="BE394" i="3"/>
  <c r="BD394" i="3"/>
  <c r="BE386" i="3"/>
  <c r="BC386" i="3"/>
  <c r="BE378" i="3"/>
  <c r="BD378" i="3"/>
  <c r="BE370" i="3"/>
  <c r="BC370" i="3"/>
  <c r="BE362" i="3"/>
  <c r="BD362" i="3"/>
  <c r="BE346" i="3"/>
  <c r="BD346" i="3"/>
  <c r="BC346" i="3"/>
  <c r="BE322" i="3"/>
  <c r="BC322" i="3"/>
  <c r="BD314" i="3"/>
  <c r="BE306" i="3"/>
  <c r="BC306" i="3"/>
  <c r="BE294" i="3"/>
  <c r="BC294" i="3"/>
  <c r="BB294" i="3"/>
  <c r="BE290" i="3"/>
  <c r="BC290" i="3"/>
  <c r="BD290" i="3"/>
  <c r="BE282" i="3"/>
  <c r="BD282" i="3"/>
  <c r="BC282" i="3"/>
  <c r="BE262" i="3"/>
  <c r="BD262" i="3"/>
  <c r="BB262" i="3"/>
  <c r="BE254" i="3"/>
  <c r="BD254" i="3"/>
  <c r="BC254" i="3"/>
  <c r="BE246" i="3"/>
  <c r="BD246" i="3"/>
  <c r="BC246" i="3"/>
  <c r="BB246" i="3"/>
  <c r="BE238" i="3"/>
  <c r="BD238" i="3"/>
  <c r="BC238" i="3"/>
  <c r="BE230" i="3"/>
  <c r="BC230" i="3"/>
  <c r="BB230" i="3"/>
  <c r="BE226" i="3"/>
  <c r="BC226" i="3"/>
  <c r="BD226" i="3"/>
  <c r="BE210" i="3"/>
  <c r="BC210" i="3"/>
  <c r="BD210" i="3"/>
  <c r="BE202" i="3"/>
  <c r="BD202" i="3"/>
  <c r="BC202" i="3"/>
  <c r="BB202" i="3"/>
  <c r="BD198" i="3"/>
  <c r="BB198" i="3"/>
  <c r="BE174" i="3"/>
  <c r="BD174" i="3"/>
  <c r="BC174" i="3"/>
  <c r="BE146" i="3"/>
  <c r="BC146" i="3"/>
  <c r="BD146" i="3"/>
  <c r="BE142" i="3"/>
  <c r="BE130" i="3"/>
  <c r="BC130" i="3"/>
  <c r="BE70" i="3"/>
  <c r="BD70" i="3"/>
  <c r="BB70" i="3"/>
  <c r="BE26" i="3"/>
  <c r="BD26" i="3"/>
  <c r="BB26" i="3"/>
  <c r="BC26" i="3"/>
  <c r="BC43" i="3"/>
  <c r="BD334" i="3"/>
  <c r="BD306" i="3"/>
  <c r="BD78" i="3"/>
  <c r="BF78" i="3" s="1"/>
  <c r="BD35" i="3"/>
  <c r="BD22" i="3"/>
  <c r="BE35" i="3"/>
  <c r="AX89" i="3"/>
  <c r="AX85" i="3"/>
  <c r="AX81" i="3"/>
  <c r="AX73" i="3"/>
  <c r="AX69" i="3"/>
  <c r="AX65" i="3"/>
  <c r="BE406" i="3"/>
  <c r="BB406" i="3"/>
  <c r="BE398" i="3"/>
  <c r="BC398" i="3"/>
  <c r="BE390" i="3"/>
  <c r="BD390" i="3"/>
  <c r="BB390" i="3"/>
  <c r="BE382" i="3"/>
  <c r="BD382" i="3"/>
  <c r="BC382" i="3"/>
  <c r="BE374" i="3"/>
  <c r="BD374" i="3"/>
  <c r="BC374" i="3"/>
  <c r="BB374" i="3"/>
  <c r="BE366" i="3"/>
  <c r="BD366" i="3"/>
  <c r="BC366" i="3"/>
  <c r="BE358" i="3"/>
  <c r="BC358" i="3"/>
  <c r="BB358" i="3"/>
  <c r="BE354" i="3"/>
  <c r="BC354" i="3"/>
  <c r="BD354" i="3"/>
  <c r="BE338" i="3"/>
  <c r="BC338" i="3"/>
  <c r="BD338" i="3"/>
  <c r="BE330" i="3"/>
  <c r="BD330" i="3"/>
  <c r="BC330" i="3"/>
  <c r="BE326" i="3"/>
  <c r="BD326" i="3"/>
  <c r="BB326" i="3"/>
  <c r="BE318" i="3"/>
  <c r="BD318" i="3"/>
  <c r="BC318" i="3"/>
  <c r="BE310" i="3"/>
  <c r="BD310" i="3"/>
  <c r="BC310" i="3"/>
  <c r="BB310" i="3"/>
  <c r="BE302" i="3"/>
  <c r="BD302" i="3"/>
  <c r="BC302" i="3"/>
  <c r="BD298" i="3"/>
  <c r="BE298" i="3"/>
  <c r="BB278" i="3"/>
  <c r="BE274" i="3"/>
  <c r="BC274" i="3"/>
  <c r="BD274" i="3"/>
  <c r="BE266" i="3"/>
  <c r="BD266" i="3"/>
  <c r="BC266" i="3"/>
  <c r="BE258" i="3"/>
  <c r="BC258" i="3"/>
  <c r="BD250" i="3"/>
  <c r="BE250" i="3"/>
  <c r="BE242" i="3"/>
  <c r="BC242" i="3"/>
  <c r="BD234" i="3"/>
  <c r="BE222" i="3"/>
  <c r="BE218" i="3"/>
  <c r="BD218" i="3"/>
  <c r="BB218" i="3"/>
  <c r="BC218" i="3"/>
  <c r="BE214" i="3"/>
  <c r="BB214" i="3"/>
  <c r="BE206" i="3"/>
  <c r="BE194" i="3"/>
  <c r="BC194" i="3"/>
  <c r="BE190" i="3"/>
  <c r="BD190" i="3"/>
  <c r="BC190" i="3"/>
  <c r="BD186" i="3"/>
  <c r="BE186" i="3"/>
  <c r="BB186" i="3"/>
  <c r="BE182" i="3"/>
  <c r="BD182" i="3"/>
  <c r="BC182" i="3"/>
  <c r="BB182" i="3"/>
  <c r="BE178" i="3"/>
  <c r="BC178" i="3"/>
  <c r="BD170" i="3"/>
  <c r="BB170" i="3"/>
  <c r="BE166" i="3"/>
  <c r="BC166" i="3"/>
  <c r="BB166" i="3"/>
  <c r="BE162" i="3"/>
  <c r="BC162" i="3"/>
  <c r="BD162" i="3"/>
  <c r="BE154" i="3"/>
  <c r="BD154" i="3"/>
  <c r="BB154" i="3"/>
  <c r="BC154" i="3"/>
  <c r="BE150" i="3"/>
  <c r="BB150" i="3"/>
  <c r="BE138" i="3"/>
  <c r="BD138" i="3"/>
  <c r="BC138" i="3"/>
  <c r="BB138" i="3"/>
  <c r="BD134" i="3"/>
  <c r="BB134" i="3"/>
  <c r="BE126" i="3"/>
  <c r="BD126" i="3"/>
  <c r="BC126" i="3"/>
  <c r="BD122" i="3"/>
  <c r="BB122" i="3"/>
  <c r="BE118" i="3"/>
  <c r="BD118" i="3"/>
  <c r="BC118" i="3"/>
  <c r="BB118" i="3"/>
  <c r="BE114" i="3"/>
  <c r="BC114" i="3"/>
  <c r="BE110" i="3"/>
  <c r="BD110" i="3"/>
  <c r="BC110" i="3"/>
  <c r="BD106" i="3"/>
  <c r="BB106" i="3"/>
  <c r="BE106" i="3"/>
  <c r="BE102" i="3"/>
  <c r="BC102" i="3"/>
  <c r="BB102" i="3"/>
  <c r="BE98" i="3"/>
  <c r="BC98" i="3"/>
  <c r="BD98" i="3"/>
  <c r="BE90" i="3"/>
  <c r="BD90" i="3"/>
  <c r="BB90" i="3"/>
  <c r="BC90" i="3"/>
  <c r="BB86" i="3"/>
  <c r="BE82" i="3"/>
  <c r="BC82" i="3"/>
  <c r="BD82" i="3"/>
  <c r="BE74" i="3"/>
  <c r="BD74" i="3"/>
  <c r="BC74" i="3"/>
  <c r="BB74" i="3"/>
  <c r="BE66" i="3"/>
  <c r="BC66" i="3"/>
  <c r="BE62" i="3"/>
  <c r="BD62" i="3"/>
  <c r="BC62" i="3"/>
  <c r="BD58" i="3"/>
  <c r="BB58" i="3"/>
  <c r="BE54" i="3"/>
  <c r="BD54" i="3"/>
  <c r="BC54" i="3"/>
  <c r="BB54" i="3"/>
  <c r="BE50" i="3"/>
  <c r="BC50" i="3"/>
  <c r="BE46" i="3"/>
  <c r="BD46" i="3"/>
  <c r="BC46" i="3"/>
  <c r="BD42" i="3"/>
  <c r="BE42" i="3"/>
  <c r="BB42" i="3"/>
  <c r="BE38" i="3"/>
  <c r="BC38" i="3"/>
  <c r="BB38" i="3"/>
  <c r="BE34" i="3"/>
  <c r="BC34" i="3"/>
  <c r="BD34" i="3"/>
  <c r="BE30" i="3"/>
  <c r="BE18" i="3"/>
  <c r="BC18" i="3"/>
  <c r="BD18" i="3"/>
  <c r="BE10" i="3"/>
  <c r="BD10" i="3"/>
  <c r="BC10" i="3"/>
  <c r="BB10" i="3"/>
  <c r="BE7" i="3"/>
  <c r="BD7" i="3"/>
  <c r="BB7" i="3"/>
  <c r="BE3" i="3"/>
  <c r="BC3" i="3"/>
  <c r="BB386" i="3"/>
  <c r="BB354" i="3"/>
  <c r="BB322" i="3"/>
  <c r="BB290" i="3"/>
  <c r="BB258" i="3"/>
  <c r="BB226" i="3"/>
  <c r="BB67" i="3"/>
  <c r="BB51" i="3"/>
  <c r="BB35" i="3"/>
  <c r="BB19" i="3"/>
  <c r="BB4" i="3"/>
  <c r="BC410" i="3"/>
  <c r="BC35" i="3"/>
  <c r="BC15" i="3"/>
  <c r="BD406" i="3"/>
  <c r="BB410" i="3"/>
  <c r="BB398" i="3"/>
  <c r="BB378" i="3"/>
  <c r="BB366" i="3"/>
  <c r="BB346" i="3"/>
  <c r="BB334" i="3"/>
  <c r="BB314" i="3"/>
  <c r="BB302" i="3"/>
  <c r="BB282" i="3"/>
  <c r="BB270" i="3"/>
  <c r="BB250" i="3"/>
  <c r="BB238" i="3"/>
  <c r="BB210" i="3"/>
  <c r="BB194" i="3"/>
  <c r="BB178" i="3"/>
  <c r="BB162" i="3"/>
  <c r="BB146" i="3"/>
  <c r="BB130" i="3"/>
  <c r="BB114" i="3"/>
  <c r="BB98" i="3"/>
  <c r="BB82" i="3"/>
  <c r="BB66" i="3"/>
  <c r="BB50" i="3"/>
  <c r="BB34" i="3"/>
  <c r="BB18" i="3"/>
  <c r="BB3" i="3"/>
  <c r="BC406" i="3"/>
  <c r="BC362" i="3"/>
  <c r="BC342" i="3"/>
  <c r="BC334" i="3"/>
  <c r="BC298" i="3"/>
  <c r="BC278" i="3"/>
  <c r="BC270" i="3"/>
  <c r="BC234" i="3"/>
  <c r="BC214" i="3"/>
  <c r="BC206" i="3"/>
  <c r="BC170" i="3"/>
  <c r="BC150" i="3"/>
  <c r="BC142" i="3"/>
  <c r="BC106" i="3"/>
  <c r="BC86" i="3"/>
  <c r="BC42" i="3"/>
  <c r="BC22" i="3"/>
  <c r="BC14" i="3"/>
  <c r="BD386" i="3"/>
  <c r="BD358" i="3"/>
  <c r="BD286" i="3"/>
  <c r="BD258" i="3"/>
  <c r="BD230" i="3"/>
  <c r="BD158" i="3"/>
  <c r="BD130" i="3"/>
  <c r="BD102" i="3"/>
  <c r="BD59" i="3"/>
  <c r="BD30" i="3"/>
  <c r="BD3" i="3"/>
  <c r="BE350" i="3"/>
  <c r="BE94" i="3"/>
  <c r="BE63" i="3"/>
  <c r="BE51" i="3"/>
  <c r="BE15" i="3"/>
  <c r="BD413" i="3"/>
  <c r="BD409" i="3"/>
  <c r="BD405" i="3"/>
  <c r="BD401" i="3"/>
  <c r="BD397" i="3"/>
  <c r="BD393" i="3"/>
  <c r="BD389" i="3"/>
  <c r="BD385" i="3"/>
  <c r="BD381" i="3"/>
  <c r="BD377" i="3"/>
  <c r="BD373" i="3"/>
  <c r="BD369" i="3"/>
  <c r="BD365" i="3"/>
  <c r="BD361" i="3"/>
  <c r="BD357" i="3"/>
  <c r="BD353" i="3"/>
  <c r="BE349" i="3"/>
  <c r="BD349" i="3"/>
  <c r="BD345" i="3"/>
  <c r="BD341" i="3"/>
  <c r="BE333" i="3"/>
  <c r="BD333" i="3"/>
  <c r="BD325" i="3"/>
  <c r="BE317" i="3"/>
  <c r="BD317" i="3"/>
  <c r="BD309" i="3"/>
  <c r="BD305" i="3"/>
  <c r="BF305" i="3" s="1"/>
  <c r="BE301" i="3"/>
  <c r="BD301" i="3"/>
  <c r="BD297" i="3"/>
  <c r="BD293" i="3"/>
  <c r="BF293" i="3" s="1"/>
  <c r="BE285" i="3"/>
  <c r="BD285" i="3"/>
  <c r="BD277" i="3"/>
  <c r="BE269" i="3"/>
  <c r="BD269" i="3"/>
  <c r="BD261" i="3"/>
  <c r="BE253" i="3"/>
  <c r="BD253" i="3"/>
  <c r="BD245" i="3"/>
  <c r="BD241" i="3"/>
  <c r="BE237" i="3"/>
  <c r="BD237" i="3"/>
  <c r="BD233" i="3"/>
  <c r="BD229" i="3"/>
  <c r="BE221" i="3"/>
  <c r="BD221" i="3"/>
  <c r="BD213" i="3"/>
  <c r="BE205" i="3"/>
  <c r="BD205" i="3"/>
  <c r="BD197" i="3"/>
  <c r="BE189" i="3"/>
  <c r="BD189" i="3"/>
  <c r="BD181" i="3"/>
  <c r="BD177" i="3"/>
  <c r="BF177" i="3" s="1"/>
  <c r="BE173" i="3"/>
  <c r="BD173" i="3"/>
  <c r="BD169" i="3"/>
  <c r="BD165" i="3"/>
  <c r="BE157" i="3"/>
  <c r="BD157" i="3"/>
  <c r="BD149" i="3"/>
  <c r="BE141" i="3"/>
  <c r="BD141" i="3"/>
  <c r="BD133" i="3"/>
  <c r="BE125" i="3"/>
  <c r="BD125" i="3"/>
  <c r="BD117" i="3"/>
  <c r="BD113" i="3"/>
  <c r="BE109" i="3"/>
  <c r="BD109" i="3"/>
  <c r="BD105" i="3"/>
  <c r="BD101" i="3"/>
  <c r="BE93" i="3"/>
  <c r="BD93" i="3"/>
  <c r="BD85" i="3"/>
  <c r="BE77" i="3"/>
  <c r="BD77" i="3"/>
  <c r="BD69" i="3"/>
  <c r="BE61" i="3"/>
  <c r="BD61" i="3"/>
  <c r="BD53" i="3"/>
  <c r="BD49" i="3"/>
  <c r="BE45" i="3"/>
  <c r="BD45" i="3"/>
  <c r="BD41" i="3"/>
  <c r="BD37" i="3"/>
  <c r="BF37" i="3" s="1"/>
  <c r="BE29" i="3"/>
  <c r="BD29" i="3"/>
  <c r="BD21" i="3"/>
  <c r="BE13" i="3"/>
  <c r="BD13" i="3"/>
  <c r="BD6" i="3"/>
  <c r="BC413" i="3"/>
  <c r="BC409" i="3"/>
  <c r="BC405" i="3"/>
  <c r="BC401" i="3"/>
  <c r="BC397" i="3"/>
  <c r="BC393" i="3"/>
  <c r="BC389" i="3"/>
  <c r="BC385" i="3"/>
  <c r="BC381" i="3"/>
  <c r="BC365" i="3"/>
  <c r="BC349" i="3"/>
  <c r="BC333" i="3"/>
  <c r="BC317" i="3"/>
  <c r="BC301" i="3"/>
  <c r="BC285" i="3"/>
  <c r="BC269" i="3"/>
  <c r="BC253" i="3"/>
  <c r="BC237" i="3"/>
  <c r="BC221" i="3"/>
  <c r="BC205" i="3"/>
  <c r="BC189" i="3"/>
  <c r="BC173" i="3"/>
  <c r="BC157" i="3"/>
  <c r="BC141" i="3"/>
  <c r="BC125" i="3"/>
  <c r="BC109" i="3"/>
  <c r="BC93" i="3"/>
  <c r="BC77" i="3"/>
  <c r="BC61" i="3"/>
  <c r="BC45" i="3"/>
  <c r="BC29" i="3"/>
  <c r="BC13" i="3"/>
  <c r="BE401" i="3"/>
  <c r="BE385" i="3"/>
  <c r="BE369" i="3"/>
  <c r="BE353" i="3"/>
  <c r="BE325" i="3"/>
  <c r="BE297" i="3"/>
  <c r="BE289" i="3"/>
  <c r="BE261" i="3"/>
  <c r="BE233" i="3"/>
  <c r="BE225" i="3"/>
  <c r="BF225" i="3" s="1"/>
  <c r="BE197" i="3"/>
  <c r="BE169" i="3"/>
  <c r="BE161" i="3"/>
  <c r="BE133" i="3"/>
  <c r="BE105" i="3"/>
  <c r="BE97" i="3"/>
  <c r="BE69" i="3"/>
  <c r="BE41" i="3"/>
  <c r="BE33" i="3"/>
  <c r="BE6" i="3"/>
  <c r="BF65" i="3"/>
  <c r="AX2" i="3"/>
  <c r="BE2" i="3"/>
  <c r="AG419" i="18" l="1"/>
  <c r="AG414" i="18"/>
  <c r="AG415" i="18"/>
  <c r="AN23" i="18"/>
  <c r="BL174" i="18"/>
  <c r="BP174" i="18" s="1"/>
  <c r="BO335" i="18"/>
  <c r="BZ335" i="18" s="1"/>
  <c r="BP58" i="18"/>
  <c r="BP218" i="18"/>
  <c r="CA218" i="18"/>
  <c r="BZ218" i="18"/>
  <c r="BL382" i="18"/>
  <c r="BO382" i="18" s="1"/>
  <c r="BL224" i="18"/>
  <c r="BP224" i="18" s="1"/>
  <c r="BL98" i="18"/>
  <c r="BO98" i="18" s="1"/>
  <c r="BL101" i="18"/>
  <c r="BP101" i="18" s="1"/>
  <c r="BO101" i="18"/>
  <c r="BL99" i="18"/>
  <c r="BO99" i="18" s="1"/>
  <c r="BL95" i="18"/>
  <c r="BP95" i="18" s="1"/>
  <c r="BL100" i="18"/>
  <c r="BP100" i="18" s="1"/>
  <c r="BL123" i="18"/>
  <c r="BO123" i="18" s="1"/>
  <c r="BL182" i="18"/>
  <c r="BO182" i="18" s="1"/>
  <c r="BP182" i="18"/>
  <c r="BL394" i="18"/>
  <c r="BO394" i="18" s="1"/>
  <c r="BL66" i="18"/>
  <c r="BP66" i="18" s="1"/>
  <c r="BO66" i="18"/>
  <c r="BL309" i="18"/>
  <c r="BO309" i="18" s="1"/>
  <c r="BR265" i="18"/>
  <c r="BQ265" i="18"/>
  <c r="BQ51" i="18"/>
  <c r="BR51" i="18"/>
  <c r="BL231" i="18"/>
  <c r="BP231" i="18" s="1"/>
  <c r="BL370" i="18"/>
  <c r="BO370" i="18" s="1"/>
  <c r="BL276" i="18"/>
  <c r="BP276" i="18" s="1"/>
  <c r="BZ222" i="18"/>
  <c r="CA222" i="18"/>
  <c r="CA58" i="18"/>
  <c r="BZ58" i="18"/>
  <c r="BL272" i="18"/>
  <c r="BO272" i="18" s="1"/>
  <c r="BL369" i="18"/>
  <c r="BO369" i="18" s="1"/>
  <c r="BL168" i="18"/>
  <c r="BP168" i="18" s="1"/>
  <c r="BL207" i="18"/>
  <c r="BP207" i="18" s="1"/>
  <c r="BL331" i="18"/>
  <c r="BP331" i="18" s="1"/>
  <c r="BO265" i="18"/>
  <c r="CA225" i="18"/>
  <c r="BZ225" i="18"/>
  <c r="BR218" i="18"/>
  <c r="BQ218" i="18"/>
  <c r="BO51" i="18"/>
  <c r="BL390" i="18"/>
  <c r="BP390" i="18" s="1"/>
  <c r="BL283" i="18"/>
  <c r="BP283" i="18" s="1"/>
  <c r="BL156" i="18"/>
  <c r="BO156" i="18" s="1"/>
  <c r="BL232" i="18"/>
  <c r="BO232" i="18" s="1"/>
  <c r="BP232" i="18"/>
  <c r="BL279" i="18"/>
  <c r="BP279" i="18" s="1"/>
  <c r="BP265" i="18"/>
  <c r="BR225" i="18"/>
  <c r="BQ225" i="18"/>
  <c r="BP51" i="18"/>
  <c r="BR222" i="18"/>
  <c r="BQ222" i="18"/>
  <c r="BQ58" i="18"/>
  <c r="BR58" i="18"/>
  <c r="BP39" i="18"/>
  <c r="AN42" i="18"/>
  <c r="AH8" i="22"/>
  <c r="BF129" i="3"/>
  <c r="BF333" i="3"/>
  <c r="BF101" i="3"/>
  <c r="BF113" i="3"/>
  <c r="BF241" i="3"/>
  <c r="BF342" i="3"/>
  <c r="BF25" i="3"/>
  <c r="BF85" i="3"/>
  <c r="BF245" i="3"/>
  <c r="BF98" i="3"/>
  <c r="BP249" i="18"/>
  <c r="BP6" i="18"/>
  <c r="BP269" i="18"/>
  <c r="BP9" i="18"/>
  <c r="BO237" i="18"/>
  <c r="BZ237" i="18" s="1"/>
  <c r="BP47" i="18"/>
  <c r="BP355" i="18"/>
  <c r="BO261" i="18"/>
  <c r="BZ261" i="18" s="1"/>
  <c r="BO5" i="18"/>
  <c r="BZ5" i="18" s="1"/>
  <c r="BP55" i="18"/>
  <c r="CA29" i="18"/>
  <c r="BZ29" i="18"/>
  <c r="BZ363" i="18"/>
  <c r="CA363" i="18"/>
  <c r="CA55" i="18"/>
  <c r="BZ55" i="18"/>
  <c r="CA375" i="18"/>
  <c r="BZ375" i="18"/>
  <c r="CA315" i="18"/>
  <c r="BZ315" i="18"/>
  <c r="CA20" i="18"/>
  <c r="BZ20" i="18"/>
  <c r="BZ339" i="18"/>
  <c r="CA339" i="18"/>
  <c r="CA245" i="18"/>
  <c r="BZ245" i="18"/>
  <c r="CA47" i="18"/>
  <c r="BZ47" i="18"/>
  <c r="CA406" i="18"/>
  <c r="BZ406" i="18"/>
  <c r="BZ327" i="18"/>
  <c r="CA327" i="18"/>
  <c r="CA292" i="18"/>
  <c r="BZ292" i="18"/>
  <c r="CA35" i="18"/>
  <c r="BZ35" i="18"/>
  <c r="CA355" i="18"/>
  <c r="BZ355" i="18"/>
  <c r="BP387" i="18"/>
  <c r="BR387" i="18"/>
  <c r="BQ387" i="18"/>
  <c r="BP359" i="18"/>
  <c r="BR359" i="18"/>
  <c r="BQ359" i="18"/>
  <c r="CA308" i="18"/>
  <c r="BZ308" i="18"/>
  <c r="CA52" i="18"/>
  <c r="BZ52" i="18"/>
  <c r="BP29" i="18"/>
  <c r="BR13" i="18"/>
  <c r="BQ13" i="18"/>
  <c r="CA399" i="18"/>
  <c r="BZ399" i="18"/>
  <c r="BP363" i="18"/>
  <c r="BP351" i="18"/>
  <c r="BR351" i="18"/>
  <c r="BQ351" i="18"/>
  <c r="BP304" i="18"/>
  <c r="BR304" i="18"/>
  <c r="BQ304" i="18"/>
  <c r="BP257" i="18"/>
  <c r="BQ257" i="18"/>
  <c r="BR257" i="18"/>
  <c r="BR43" i="18"/>
  <c r="BQ43" i="18"/>
  <c r="BP28" i="18"/>
  <c r="BR28" i="18"/>
  <c r="BQ28" i="18"/>
  <c r="BP12" i="18"/>
  <c r="BR12" i="18"/>
  <c r="BQ12" i="18"/>
  <c r="CA379" i="18"/>
  <c r="BZ379" i="18"/>
  <c r="BZ296" i="18"/>
  <c r="CA296" i="18"/>
  <c r="CA48" i="18"/>
  <c r="BZ48" i="18"/>
  <c r="BZ32" i="18"/>
  <c r="CA32" i="18"/>
  <c r="BQ25" i="18"/>
  <c r="BR25" i="18"/>
  <c r="CA9" i="18"/>
  <c r="BZ9" i="18"/>
  <c r="CA391" i="18"/>
  <c r="BZ391" i="18"/>
  <c r="BP347" i="18"/>
  <c r="BQ347" i="18"/>
  <c r="BR347" i="18"/>
  <c r="BZ323" i="18"/>
  <c r="CA323" i="18"/>
  <c r="BZ300" i="18"/>
  <c r="CA300" i="18"/>
  <c r="CA269" i="18"/>
  <c r="BZ269" i="18"/>
  <c r="BQ253" i="18"/>
  <c r="BR253" i="18"/>
  <c r="BO228" i="18"/>
  <c r="BQ228" i="18"/>
  <c r="BR228" i="18"/>
  <c r="BL358" i="18"/>
  <c r="BO358" i="18" s="1"/>
  <c r="BL326" i="18"/>
  <c r="BO326" i="18" s="1"/>
  <c r="BL248" i="18"/>
  <c r="BO248" i="18" s="1"/>
  <c r="BL217" i="18"/>
  <c r="BP217" i="18" s="1"/>
  <c r="BL185" i="18"/>
  <c r="BO185" i="18" s="1"/>
  <c r="BL153" i="18"/>
  <c r="BO153" i="18" s="1"/>
  <c r="BL122" i="18"/>
  <c r="BP122" i="18" s="1"/>
  <c r="BL90" i="18"/>
  <c r="BO90" i="18" s="1"/>
  <c r="BL59" i="18"/>
  <c r="BO59" i="18" s="1"/>
  <c r="BL377" i="18"/>
  <c r="BO377" i="18" s="1"/>
  <c r="BL345" i="18"/>
  <c r="BO345" i="18" s="1"/>
  <c r="BL313" i="18"/>
  <c r="BO313" i="18" s="1"/>
  <c r="BL251" i="18"/>
  <c r="BO251" i="18" s="1"/>
  <c r="BL220" i="18"/>
  <c r="BO220" i="18" s="1"/>
  <c r="BL188" i="18"/>
  <c r="BO188" i="18" s="1"/>
  <c r="BL93" i="18"/>
  <c r="BO93" i="18" s="1"/>
  <c r="BL4" i="18"/>
  <c r="BO4" i="18" s="1"/>
  <c r="BL336" i="18"/>
  <c r="BP336" i="18" s="1"/>
  <c r="BL116" i="18"/>
  <c r="BO116" i="18" s="1"/>
  <c r="BL49" i="18"/>
  <c r="BO49" i="18" s="1"/>
  <c r="BL170" i="18"/>
  <c r="BO170" i="18" s="1"/>
  <c r="BL389" i="18"/>
  <c r="BO389" i="18" s="1"/>
  <c r="BL152" i="18"/>
  <c r="BO152" i="18" s="1"/>
  <c r="BL348" i="18"/>
  <c r="BO348" i="18" s="1"/>
  <c r="BL191" i="18"/>
  <c r="BO191" i="18" s="1"/>
  <c r="BL150" i="18"/>
  <c r="BL386" i="18"/>
  <c r="BP386" i="18" s="1"/>
  <c r="BL354" i="18"/>
  <c r="BL322" i="18"/>
  <c r="BO322" i="18" s="1"/>
  <c r="BL291" i="18"/>
  <c r="BP291" i="18" s="1"/>
  <c r="BL260" i="18"/>
  <c r="BL227" i="18"/>
  <c r="BO227" i="18" s="1"/>
  <c r="BL197" i="18"/>
  <c r="BP197" i="18" s="1"/>
  <c r="BL165" i="18"/>
  <c r="BO165" i="18" s="1"/>
  <c r="BL134" i="18"/>
  <c r="BO134" i="18" s="1"/>
  <c r="BL102" i="18"/>
  <c r="BO102" i="18" s="1"/>
  <c r="BL70" i="18"/>
  <c r="BO70" i="18" s="1"/>
  <c r="CA24" i="18"/>
  <c r="BZ24" i="18"/>
  <c r="CA8" i="18"/>
  <c r="BZ8" i="18"/>
  <c r="BJ401" i="18"/>
  <c r="BL401" i="18" s="1"/>
  <c r="AJ401" i="18"/>
  <c r="AN401" i="18" s="1"/>
  <c r="BQ308" i="18"/>
  <c r="BR308" i="18"/>
  <c r="BP52" i="18"/>
  <c r="BR52" i="18"/>
  <c r="BQ52" i="18"/>
  <c r="BR21" i="18"/>
  <c r="BQ21" i="18"/>
  <c r="CA6" i="18"/>
  <c r="BZ6" i="18"/>
  <c r="BP399" i="18"/>
  <c r="BQ399" i="18"/>
  <c r="BR399" i="18"/>
  <c r="BZ249" i="18"/>
  <c r="CA249" i="18"/>
  <c r="BO241" i="18"/>
  <c r="BQ241" i="18"/>
  <c r="BR241" i="18"/>
  <c r="BL398" i="18"/>
  <c r="BO398" i="18" s="1"/>
  <c r="BL366" i="18"/>
  <c r="BO366" i="18" s="1"/>
  <c r="BL334" i="18"/>
  <c r="BL303" i="18"/>
  <c r="BO303" i="18" s="1"/>
  <c r="BL240" i="18"/>
  <c r="BO240" i="18" s="1"/>
  <c r="BL209" i="18"/>
  <c r="BP209" i="18" s="1"/>
  <c r="BL177" i="18"/>
  <c r="BO177" i="18" s="1"/>
  <c r="BL145" i="18"/>
  <c r="BO145" i="18" s="1"/>
  <c r="BL114" i="18"/>
  <c r="BO114" i="18" s="1"/>
  <c r="BL82" i="18"/>
  <c r="BP82" i="18" s="1"/>
  <c r="BL337" i="18"/>
  <c r="BO337" i="18" s="1"/>
  <c r="BL306" i="18"/>
  <c r="BO306" i="18" s="1"/>
  <c r="BL275" i="18"/>
  <c r="BO275" i="18" s="1"/>
  <c r="BL243" i="18"/>
  <c r="BO243" i="18" s="1"/>
  <c r="BL212" i="18"/>
  <c r="BO212" i="18" s="1"/>
  <c r="BL180" i="18"/>
  <c r="BO180" i="18" s="1"/>
  <c r="BL148" i="18"/>
  <c r="BP148" i="18" s="1"/>
  <c r="BL117" i="18"/>
  <c r="BO117" i="18" s="1"/>
  <c r="BL85" i="18"/>
  <c r="BL27" i="18"/>
  <c r="BO27" i="18" s="1"/>
  <c r="BL407" i="18"/>
  <c r="BP407" i="18" s="1"/>
  <c r="BL376" i="18"/>
  <c r="BO376" i="18" s="1"/>
  <c r="BL344" i="18"/>
  <c r="BO344" i="18" s="1"/>
  <c r="BL312" i="18"/>
  <c r="BL250" i="18"/>
  <c r="BO250" i="18" s="1"/>
  <c r="BL187" i="18"/>
  <c r="BO187" i="18" s="1"/>
  <c r="BL155" i="18"/>
  <c r="BO155" i="18" s="1"/>
  <c r="BL124" i="18"/>
  <c r="BO124" i="18" s="1"/>
  <c r="BL92" i="18"/>
  <c r="BO92" i="18" s="1"/>
  <c r="BL61" i="18"/>
  <c r="BO61" i="18" s="1"/>
  <c r="BL26" i="18"/>
  <c r="BP26" i="18" s="1"/>
  <c r="BL210" i="18"/>
  <c r="BO210" i="18" s="1"/>
  <c r="BL178" i="18"/>
  <c r="BO178" i="18" s="1"/>
  <c r="BL146" i="18"/>
  <c r="BO146" i="18" s="1"/>
  <c r="BL115" i="18"/>
  <c r="BP115" i="18" s="1"/>
  <c r="BL83" i="18"/>
  <c r="BO83" i="18" s="1"/>
  <c r="BL136" i="18"/>
  <c r="BO136" i="18" s="1"/>
  <c r="BL53" i="18"/>
  <c r="BO53" i="18" s="1"/>
  <c r="BL206" i="18"/>
  <c r="BO206" i="18" s="1"/>
  <c r="BL127" i="18"/>
  <c r="BO127" i="18" s="1"/>
  <c r="BL64" i="18"/>
  <c r="BO64" i="18" s="1"/>
  <c r="BL50" i="18"/>
  <c r="BO50" i="18" s="1"/>
  <c r="BL242" i="18"/>
  <c r="BO242" i="18" s="1"/>
  <c r="BL132" i="18"/>
  <c r="BO132" i="18" s="1"/>
  <c r="BL33" i="18"/>
  <c r="BO33" i="18" s="1"/>
  <c r="BL154" i="18"/>
  <c r="BO154" i="18" s="1"/>
  <c r="BL75" i="18"/>
  <c r="BO75" i="18" s="1"/>
  <c r="BL247" i="18"/>
  <c r="BO247" i="18" s="1"/>
  <c r="BL73" i="18"/>
  <c r="BO73" i="18" s="1"/>
  <c r="BL332" i="18"/>
  <c r="BO332" i="18" s="1"/>
  <c r="BL144" i="18"/>
  <c r="BO144" i="18" s="1"/>
  <c r="BL14" i="18"/>
  <c r="BO14" i="18" s="1"/>
  <c r="BL119" i="18"/>
  <c r="BO119" i="18" s="1"/>
  <c r="BL378" i="18"/>
  <c r="BP378" i="18" s="1"/>
  <c r="BL346" i="18"/>
  <c r="BP346" i="18" s="1"/>
  <c r="BL314" i="18"/>
  <c r="BP314" i="18" s="1"/>
  <c r="BL284" i="18"/>
  <c r="BO284" i="18" s="1"/>
  <c r="BL252" i="18"/>
  <c r="BO252" i="18" s="1"/>
  <c r="BL221" i="18"/>
  <c r="BO221" i="18" s="1"/>
  <c r="BL189" i="18"/>
  <c r="BO189" i="18" s="1"/>
  <c r="BL157" i="18"/>
  <c r="BO157" i="18" s="1"/>
  <c r="BL126" i="18"/>
  <c r="BO126" i="18" s="1"/>
  <c r="BL94" i="18"/>
  <c r="BO94" i="18" s="1"/>
  <c r="BL63" i="18"/>
  <c r="BP63" i="18" s="1"/>
  <c r="BL397" i="18"/>
  <c r="BP397" i="18" s="1"/>
  <c r="BL365" i="18"/>
  <c r="BO365" i="18" s="1"/>
  <c r="BL333" i="18"/>
  <c r="BO333" i="18" s="1"/>
  <c r="BL302" i="18"/>
  <c r="BP302" i="18" s="1"/>
  <c r="BL271" i="18"/>
  <c r="BO271" i="18" s="1"/>
  <c r="BL239" i="18"/>
  <c r="BO239" i="18" s="1"/>
  <c r="BL192" i="18"/>
  <c r="BO192" i="18" s="1"/>
  <c r="BL160" i="18"/>
  <c r="BO160" i="18" s="1"/>
  <c r="BL113" i="18"/>
  <c r="BO113" i="18" s="1"/>
  <c r="BL81" i="18"/>
  <c r="BO81" i="18" s="1"/>
  <c r="BL54" i="18"/>
  <c r="BO54" i="18" s="1"/>
  <c r="BL23" i="18"/>
  <c r="BO23" i="18" s="1"/>
  <c r="BL388" i="18"/>
  <c r="BO388" i="18" s="1"/>
  <c r="BL356" i="18"/>
  <c r="BO356" i="18" s="1"/>
  <c r="BL324" i="18"/>
  <c r="BP324" i="18" s="1"/>
  <c r="BL293" i="18"/>
  <c r="BO293" i="18" s="1"/>
  <c r="BL262" i="18"/>
  <c r="BO262" i="18" s="1"/>
  <c r="BL229" i="18"/>
  <c r="BO229" i="18" s="1"/>
  <c r="BL199" i="18"/>
  <c r="BO199" i="18" s="1"/>
  <c r="BL167" i="18"/>
  <c r="BO167" i="18" s="1"/>
  <c r="BL120" i="18"/>
  <c r="BO120" i="18" s="1"/>
  <c r="BL72" i="18"/>
  <c r="BO72" i="18" s="1"/>
  <c r="BL22" i="18"/>
  <c r="BO22" i="18" s="1"/>
  <c r="BL158" i="18"/>
  <c r="BO158" i="18" s="1"/>
  <c r="BL111" i="18"/>
  <c r="BO111" i="18" s="1"/>
  <c r="BL141" i="18"/>
  <c r="BO141" i="18" s="1"/>
  <c r="BL34" i="18"/>
  <c r="BO34" i="18" s="1"/>
  <c r="BL320" i="18"/>
  <c r="BO320" i="18" s="1"/>
  <c r="BL195" i="18"/>
  <c r="BO195" i="18" s="1"/>
  <c r="BL147" i="18"/>
  <c r="BO147" i="18" s="1"/>
  <c r="BL18" i="18"/>
  <c r="BO18" i="18" s="1"/>
  <c r="BL139" i="18"/>
  <c r="BO139" i="18" s="1"/>
  <c r="BL60" i="18"/>
  <c r="BO60" i="18" s="1"/>
  <c r="BL310" i="18"/>
  <c r="BP310" i="18" s="1"/>
  <c r="BL200" i="18"/>
  <c r="BO200" i="18" s="1"/>
  <c r="BL15" i="18"/>
  <c r="BO15" i="18" s="1"/>
  <c r="BL286" i="18"/>
  <c r="BO286" i="18" s="1"/>
  <c r="BL128" i="18"/>
  <c r="BO128" i="18" s="1"/>
  <c r="BL166" i="18"/>
  <c r="BO166" i="18" s="1"/>
  <c r="BL87" i="18"/>
  <c r="BP87" i="18" s="1"/>
  <c r="BP379" i="18"/>
  <c r="BQ379" i="18"/>
  <c r="BR379" i="18"/>
  <c r="BP296" i="18"/>
  <c r="BQ296" i="18"/>
  <c r="BR296" i="18"/>
  <c r="BP48" i="18"/>
  <c r="BR48" i="18"/>
  <c r="BQ48" i="18"/>
  <c r="BP32" i="18"/>
  <c r="BQ32" i="18"/>
  <c r="BR32" i="18"/>
  <c r="BR9" i="18"/>
  <c r="BQ9" i="18"/>
  <c r="BP391" i="18"/>
  <c r="BR391" i="18"/>
  <c r="BQ391" i="18"/>
  <c r="BP323" i="18"/>
  <c r="BR323" i="18"/>
  <c r="BQ323" i="18"/>
  <c r="BP300" i="18"/>
  <c r="BQ300" i="18"/>
  <c r="BR300" i="18"/>
  <c r="BR261" i="18"/>
  <c r="BQ261" i="18"/>
  <c r="BP245" i="18"/>
  <c r="BR39" i="18"/>
  <c r="BQ39" i="18"/>
  <c r="BP24" i="18"/>
  <c r="BR24" i="18"/>
  <c r="BQ24" i="18"/>
  <c r="BP8" i="18"/>
  <c r="BQ8" i="18"/>
  <c r="BR8" i="18"/>
  <c r="BL325" i="18"/>
  <c r="BO325" i="18" s="1"/>
  <c r="BL216" i="18"/>
  <c r="BO216" i="18" s="1"/>
  <c r="BL46" i="18"/>
  <c r="BO46" i="18" s="1"/>
  <c r="BL316" i="18"/>
  <c r="BP316" i="18" s="1"/>
  <c r="BL223" i="18"/>
  <c r="BO223" i="18" s="1"/>
  <c r="BL80" i="18"/>
  <c r="BO80" i="18" s="1"/>
  <c r="BL214" i="18"/>
  <c r="BO214" i="18" s="1"/>
  <c r="BP43" i="18"/>
  <c r="BP35" i="18"/>
  <c r="BR35" i="18"/>
  <c r="BQ35" i="18"/>
  <c r="BP20" i="18"/>
  <c r="BR20" i="18"/>
  <c r="BQ20" i="18"/>
  <c r="CA395" i="18"/>
  <c r="CA319" i="18"/>
  <c r="BZ319" i="18"/>
  <c r="CA56" i="18"/>
  <c r="BZ56" i="18"/>
  <c r="CA40" i="18"/>
  <c r="BZ40" i="18"/>
  <c r="BP25" i="18"/>
  <c r="BO17" i="18"/>
  <c r="BQ17" i="18"/>
  <c r="BR17" i="18"/>
  <c r="BZ402" i="18"/>
  <c r="CA402" i="18"/>
  <c r="CA371" i="18"/>
  <c r="BZ371" i="18"/>
  <c r="BQ355" i="18"/>
  <c r="BR355" i="18"/>
  <c r="CA311" i="18"/>
  <c r="BZ311" i="18"/>
  <c r="CA285" i="18"/>
  <c r="BZ285" i="18"/>
  <c r="BR269" i="18"/>
  <c r="BQ269" i="18"/>
  <c r="BP253" i="18"/>
  <c r="BQ237" i="18"/>
  <c r="BR237" i="18"/>
  <c r="BL405" i="18"/>
  <c r="BO405" i="18" s="1"/>
  <c r="BL374" i="18"/>
  <c r="BP374" i="18" s="1"/>
  <c r="BL342" i="18"/>
  <c r="BO342" i="18" s="1"/>
  <c r="BL295" i="18"/>
  <c r="BO295" i="18" s="1"/>
  <c r="BL264" i="18"/>
  <c r="BO264" i="18" s="1"/>
  <c r="BL201" i="18"/>
  <c r="BO201" i="18" s="1"/>
  <c r="BL169" i="18"/>
  <c r="BO169" i="18" s="1"/>
  <c r="BL138" i="18"/>
  <c r="BO138" i="18" s="1"/>
  <c r="BL106" i="18"/>
  <c r="BO106" i="18" s="1"/>
  <c r="BL74" i="18"/>
  <c r="BP74" i="18" s="1"/>
  <c r="BL393" i="18"/>
  <c r="BO393" i="18" s="1"/>
  <c r="BL361" i="18"/>
  <c r="BP361" i="18" s="1"/>
  <c r="BL329" i="18"/>
  <c r="BO329" i="18" s="1"/>
  <c r="BL298" i="18"/>
  <c r="BP298" i="18" s="1"/>
  <c r="BL267" i="18"/>
  <c r="BO267" i="18" s="1"/>
  <c r="BL235" i="18"/>
  <c r="BO235" i="18" s="1"/>
  <c r="BL204" i="18"/>
  <c r="BO204" i="18" s="1"/>
  <c r="BL172" i="18"/>
  <c r="BO172" i="18" s="1"/>
  <c r="BL109" i="18"/>
  <c r="BO109" i="18" s="1"/>
  <c r="BL62" i="18"/>
  <c r="BO62" i="18" s="1"/>
  <c r="BL400" i="18"/>
  <c r="BO400" i="18" s="1"/>
  <c r="BL289" i="18"/>
  <c r="BO289" i="18" s="1"/>
  <c r="BL211" i="18"/>
  <c r="BO211" i="18" s="1"/>
  <c r="BL84" i="18"/>
  <c r="BO84" i="18" s="1"/>
  <c r="BL3" i="18"/>
  <c r="BO3" i="18" s="1"/>
  <c r="BL91" i="18"/>
  <c r="BP91" i="18" s="1"/>
  <c r="BL341" i="18"/>
  <c r="BP341" i="18" s="1"/>
  <c r="BL230" i="18"/>
  <c r="BO230" i="18" s="1"/>
  <c r="BL89" i="18"/>
  <c r="BO89" i="18" s="1"/>
  <c r="BL301" i="18"/>
  <c r="BO301" i="18" s="1"/>
  <c r="BL112" i="18"/>
  <c r="BP112" i="18" s="1"/>
  <c r="BL198" i="18"/>
  <c r="BO198" i="18" s="1"/>
  <c r="BJ2" i="18"/>
  <c r="AJ2" i="18"/>
  <c r="BL338" i="18"/>
  <c r="BP338" i="18" s="1"/>
  <c r="BL307" i="18"/>
  <c r="BO307" i="18" s="1"/>
  <c r="BL213" i="18"/>
  <c r="BP213" i="18" s="1"/>
  <c r="BL181" i="18"/>
  <c r="BO181" i="18" s="1"/>
  <c r="BL149" i="18"/>
  <c r="BO149" i="18" s="1"/>
  <c r="BL118" i="18"/>
  <c r="BO118" i="18" s="1"/>
  <c r="BL86" i="18"/>
  <c r="BO86" i="18" s="1"/>
  <c r="BQ47" i="18"/>
  <c r="BR47" i="18"/>
  <c r="BZ31" i="18"/>
  <c r="CA31" i="18"/>
  <c r="CA16" i="18"/>
  <c r="BZ16" i="18"/>
  <c r="BP406" i="18"/>
  <c r="BR406" i="18"/>
  <c r="BQ406" i="18"/>
  <c r="BP375" i="18"/>
  <c r="BQ375" i="18"/>
  <c r="BR375" i="18"/>
  <c r="BP327" i="18"/>
  <c r="BQ327" i="18"/>
  <c r="BR327" i="18"/>
  <c r="BZ57" i="18"/>
  <c r="CA57" i="18"/>
  <c r="CA36" i="18"/>
  <c r="BZ36" i="18"/>
  <c r="BQ29" i="18"/>
  <c r="BR29" i="18"/>
  <c r="BZ13" i="18"/>
  <c r="CA13" i="18"/>
  <c r="BZ383" i="18"/>
  <c r="CA383" i="18"/>
  <c r="BR363" i="18"/>
  <c r="BQ363" i="18"/>
  <c r="BP339" i="18"/>
  <c r="BQ339" i="18"/>
  <c r="BR339" i="18"/>
  <c r="BP315" i="18"/>
  <c r="BR315" i="18"/>
  <c r="BQ315" i="18"/>
  <c r="BP292" i="18"/>
  <c r="BR292" i="18"/>
  <c r="BQ292" i="18"/>
  <c r="CA233" i="18"/>
  <c r="BZ233" i="18"/>
  <c r="BO387" i="18"/>
  <c r="BO359" i="18"/>
  <c r="BP308" i="18"/>
  <c r="BP57" i="18"/>
  <c r="BR57" i="18"/>
  <c r="BQ57" i="18"/>
  <c r="BP36" i="18"/>
  <c r="BQ36" i="18"/>
  <c r="BR36" i="18"/>
  <c r="BO21" i="18"/>
  <c r="BP13" i="18"/>
  <c r="BR6" i="18"/>
  <c r="BQ6" i="18"/>
  <c r="BP383" i="18"/>
  <c r="BR383" i="18"/>
  <c r="BQ383" i="18"/>
  <c r="BO351" i="18"/>
  <c r="BO304" i="18"/>
  <c r="BO257" i="18"/>
  <c r="BR249" i="18"/>
  <c r="BQ249" i="18"/>
  <c r="BP233" i="18"/>
  <c r="BR233" i="18"/>
  <c r="BQ233" i="18"/>
  <c r="BL350" i="18"/>
  <c r="BO350" i="18" s="1"/>
  <c r="BL318" i="18"/>
  <c r="BP318" i="18" s="1"/>
  <c r="BL288" i="18"/>
  <c r="BO288" i="18" s="1"/>
  <c r="BL256" i="18"/>
  <c r="BO256" i="18" s="1"/>
  <c r="BL193" i="18"/>
  <c r="BP193" i="18" s="1"/>
  <c r="BL161" i="18"/>
  <c r="BO161" i="18" s="1"/>
  <c r="BL130" i="18"/>
  <c r="BP130" i="18" s="1"/>
  <c r="BL67" i="18"/>
  <c r="BO67" i="18" s="1"/>
  <c r="BL385" i="18"/>
  <c r="BO385" i="18" s="1"/>
  <c r="BL353" i="18"/>
  <c r="BO353" i="18" s="1"/>
  <c r="BL321" i="18"/>
  <c r="BO321" i="18" s="1"/>
  <c r="BL259" i="18"/>
  <c r="BO259" i="18" s="1"/>
  <c r="BL226" i="18"/>
  <c r="BO226" i="18" s="1"/>
  <c r="BL196" i="18"/>
  <c r="BO196" i="18" s="1"/>
  <c r="BL164" i="18"/>
  <c r="BO164" i="18" s="1"/>
  <c r="BL133" i="18"/>
  <c r="BO133" i="18" s="1"/>
  <c r="BL42" i="18"/>
  <c r="BO42" i="18" s="1"/>
  <c r="BL11" i="18"/>
  <c r="BO11" i="18" s="1"/>
  <c r="BL392" i="18"/>
  <c r="BO392" i="18" s="1"/>
  <c r="BL360" i="18"/>
  <c r="BO360" i="18" s="1"/>
  <c r="BL328" i="18"/>
  <c r="BO328" i="18" s="1"/>
  <c r="BL297" i="18"/>
  <c r="BO297" i="18" s="1"/>
  <c r="BL266" i="18"/>
  <c r="BO266" i="18" s="1"/>
  <c r="BL234" i="18"/>
  <c r="BO234" i="18" s="1"/>
  <c r="BL203" i="18"/>
  <c r="BO203" i="18" s="1"/>
  <c r="BL171" i="18"/>
  <c r="BO171" i="18" s="1"/>
  <c r="BL140" i="18"/>
  <c r="BO140" i="18" s="1"/>
  <c r="BL108" i="18"/>
  <c r="BO108" i="18" s="1"/>
  <c r="BL76" i="18"/>
  <c r="BO76" i="18" s="1"/>
  <c r="BL41" i="18"/>
  <c r="BO41" i="18" s="1"/>
  <c r="BL10" i="18"/>
  <c r="BO10" i="18" s="1"/>
  <c r="BL194" i="18"/>
  <c r="BL162" i="18"/>
  <c r="BP162" i="18" s="1"/>
  <c r="BL131" i="18"/>
  <c r="BP131" i="18" s="1"/>
  <c r="BL68" i="18"/>
  <c r="BO68" i="18" s="1"/>
  <c r="BL104" i="18"/>
  <c r="BO104" i="18" s="1"/>
  <c r="BL7" i="18"/>
  <c r="BL125" i="18"/>
  <c r="BO125" i="18" s="1"/>
  <c r="BL19" i="18"/>
  <c r="BL352" i="18"/>
  <c r="BP352" i="18" s="1"/>
  <c r="BL179" i="18"/>
  <c r="BO179" i="18" s="1"/>
  <c r="BL186" i="18"/>
  <c r="BO186" i="18" s="1"/>
  <c r="BL373" i="18"/>
  <c r="BO373" i="18" s="1"/>
  <c r="BJ184" i="18"/>
  <c r="AJ184" i="18"/>
  <c r="AN184" i="18" s="1"/>
  <c r="BL137" i="18"/>
  <c r="BO137" i="18" s="1"/>
  <c r="BL380" i="18"/>
  <c r="BO380" i="18" s="1"/>
  <c r="BL270" i="18"/>
  <c r="BO270" i="18" s="1"/>
  <c r="BL175" i="18"/>
  <c r="BO175" i="18" s="1"/>
  <c r="BL96" i="18"/>
  <c r="BO96" i="18" s="1"/>
  <c r="BL71" i="18"/>
  <c r="BO71" i="18" s="1"/>
  <c r="BL362" i="18"/>
  <c r="BO362" i="18" s="1"/>
  <c r="BL330" i="18"/>
  <c r="BO330" i="18" s="1"/>
  <c r="BL299" i="18"/>
  <c r="BO299" i="18" s="1"/>
  <c r="BL268" i="18"/>
  <c r="BO268" i="18" s="1"/>
  <c r="BL236" i="18"/>
  <c r="BO236" i="18" s="1"/>
  <c r="BL205" i="18"/>
  <c r="BP205" i="18" s="1"/>
  <c r="BL173" i="18"/>
  <c r="BL142" i="18"/>
  <c r="BO142" i="18" s="1"/>
  <c r="BL110" i="18"/>
  <c r="BL78" i="18"/>
  <c r="BP78" i="18" s="1"/>
  <c r="BO43" i="18"/>
  <c r="BO28" i="18"/>
  <c r="BO12" i="18"/>
  <c r="BR5" i="18"/>
  <c r="BQ5" i="18"/>
  <c r="BL381" i="18"/>
  <c r="BO381" i="18" s="1"/>
  <c r="BL349" i="18"/>
  <c r="BP349" i="18" s="1"/>
  <c r="BL317" i="18"/>
  <c r="BP317" i="18" s="1"/>
  <c r="BL287" i="18"/>
  <c r="BO287" i="18" s="1"/>
  <c r="BL255" i="18"/>
  <c r="BO255" i="18" s="1"/>
  <c r="BL208" i="18"/>
  <c r="BO208" i="18" s="1"/>
  <c r="BL176" i="18"/>
  <c r="BP176" i="18" s="1"/>
  <c r="BL129" i="18"/>
  <c r="BO129" i="18" s="1"/>
  <c r="BL97" i="18"/>
  <c r="BO97" i="18" s="1"/>
  <c r="BL38" i="18"/>
  <c r="BO38" i="18" s="1"/>
  <c r="BL403" i="18"/>
  <c r="BO403" i="18" s="1"/>
  <c r="BL372" i="18"/>
  <c r="BO372" i="18" s="1"/>
  <c r="BL340" i="18"/>
  <c r="BP340" i="18" s="1"/>
  <c r="BL246" i="18"/>
  <c r="BO246" i="18" s="1"/>
  <c r="BL215" i="18"/>
  <c r="BO215" i="18" s="1"/>
  <c r="BL183" i="18"/>
  <c r="BO183" i="18" s="1"/>
  <c r="BL151" i="18"/>
  <c r="BO151" i="18" s="1"/>
  <c r="BL88" i="18"/>
  <c r="BO88" i="18" s="1"/>
  <c r="BL37" i="18"/>
  <c r="BO37" i="18" s="1"/>
  <c r="BL190" i="18"/>
  <c r="BO190" i="18" s="1"/>
  <c r="BL143" i="18"/>
  <c r="BO143" i="18" s="1"/>
  <c r="BL79" i="18"/>
  <c r="BO79" i="18" s="1"/>
  <c r="BL77" i="18"/>
  <c r="BO77" i="18" s="1"/>
  <c r="BL368" i="18"/>
  <c r="BO368" i="18" s="1"/>
  <c r="BL258" i="18"/>
  <c r="BO258" i="18" s="1"/>
  <c r="BL163" i="18"/>
  <c r="BO163" i="18" s="1"/>
  <c r="BL69" i="18"/>
  <c r="BO69" i="18" s="1"/>
  <c r="BL202" i="18"/>
  <c r="BO202" i="18" s="1"/>
  <c r="BL107" i="18"/>
  <c r="BP107" i="18" s="1"/>
  <c r="BL357" i="18"/>
  <c r="BP357" i="18" s="1"/>
  <c r="BL263" i="18"/>
  <c r="BO263" i="18" s="1"/>
  <c r="BL105" i="18"/>
  <c r="BO105" i="18" s="1"/>
  <c r="BL364" i="18"/>
  <c r="BO364" i="18" s="1"/>
  <c r="BL238" i="18"/>
  <c r="BO238" i="18" s="1"/>
  <c r="BL45" i="18"/>
  <c r="BO45" i="18" s="1"/>
  <c r="BL135" i="18"/>
  <c r="BO135" i="18" s="1"/>
  <c r="BP395" i="18"/>
  <c r="BQ395" i="18"/>
  <c r="BR395" i="18"/>
  <c r="BP319" i="18"/>
  <c r="BR319" i="18"/>
  <c r="BQ319" i="18"/>
  <c r="BP56" i="18"/>
  <c r="BR56" i="18"/>
  <c r="BQ56" i="18"/>
  <c r="BP40" i="18"/>
  <c r="BR40" i="18"/>
  <c r="BQ40" i="18"/>
  <c r="BO25" i="18"/>
  <c r="BP402" i="18"/>
  <c r="BR402" i="18"/>
  <c r="BQ402" i="18"/>
  <c r="BP371" i="18"/>
  <c r="BR371" i="18"/>
  <c r="BQ371" i="18"/>
  <c r="BO347" i="18"/>
  <c r="BR335" i="18"/>
  <c r="BQ335" i="18"/>
  <c r="BP311" i="18"/>
  <c r="BR311" i="18"/>
  <c r="BQ311" i="18"/>
  <c r="BP285" i="18"/>
  <c r="BR285" i="18"/>
  <c r="BQ285" i="18"/>
  <c r="BO253" i="18"/>
  <c r="BR245" i="18"/>
  <c r="BQ245" i="18"/>
  <c r="BP228" i="18"/>
  <c r="BR55" i="18"/>
  <c r="BQ55" i="18"/>
  <c r="CA39" i="18"/>
  <c r="BZ39" i="18"/>
  <c r="BP31" i="18"/>
  <c r="BQ31" i="18"/>
  <c r="BR31" i="18"/>
  <c r="BP16" i="18"/>
  <c r="BQ16" i="18"/>
  <c r="BR16" i="18"/>
  <c r="BL404" i="18"/>
  <c r="BO404" i="18" s="1"/>
  <c r="BL121" i="18"/>
  <c r="BO121" i="18" s="1"/>
  <c r="BL396" i="18"/>
  <c r="BO396" i="18" s="1"/>
  <c r="BL254" i="18"/>
  <c r="BO254" i="18" s="1"/>
  <c r="BL159" i="18"/>
  <c r="BO159" i="18" s="1"/>
  <c r="BJ30" i="18"/>
  <c r="AJ30" i="18"/>
  <c r="AN30" i="18" s="1"/>
  <c r="BL103" i="18"/>
  <c r="BP103" i="18" s="1"/>
  <c r="BF393" i="3"/>
  <c r="BF409" i="3"/>
  <c r="BF49" i="3"/>
  <c r="BF357" i="3"/>
  <c r="BF133" i="3"/>
  <c r="BF149" i="3"/>
  <c r="BF377" i="3"/>
  <c r="BF178" i="3"/>
  <c r="BF81" i="3"/>
  <c r="BF329" i="3"/>
  <c r="BF121" i="3"/>
  <c r="BE416" i="3"/>
  <c r="BE418" i="3" s="1"/>
  <c r="BF161" i="3"/>
  <c r="BF233" i="3"/>
  <c r="BF189" i="3"/>
  <c r="BF53" i="3"/>
  <c r="BF181" i="3"/>
  <c r="BF277" i="3"/>
  <c r="BF309" i="3"/>
  <c r="BF361" i="3"/>
  <c r="BF14" i="3"/>
  <c r="BF229" i="3"/>
  <c r="BF286" i="3"/>
  <c r="BF142" i="3"/>
  <c r="BF322" i="3"/>
  <c r="BF151" i="3"/>
  <c r="BF17" i="3"/>
  <c r="BF213" i="3"/>
  <c r="BF341" i="3"/>
  <c r="BF158" i="3"/>
  <c r="BF222" i="3"/>
  <c r="BF390" i="3"/>
  <c r="BF246" i="3"/>
  <c r="BF370" i="3"/>
  <c r="BF414" i="3"/>
  <c r="BF89" i="3"/>
  <c r="BF249" i="3"/>
  <c r="BF58" i="3"/>
  <c r="BF75" i="3"/>
  <c r="BF352" i="3"/>
  <c r="BF396" i="3"/>
  <c r="BF400" i="3"/>
  <c r="BF408" i="3"/>
  <c r="BC416" i="3"/>
  <c r="BC418" i="3" s="1"/>
  <c r="BF91" i="3"/>
  <c r="BF175" i="3"/>
  <c r="BF179" i="3"/>
  <c r="BF211" i="3"/>
  <c r="BF283" i="3"/>
  <c r="BF299" i="3"/>
  <c r="BF209" i="3"/>
  <c r="BF217" i="3"/>
  <c r="BF257" i="3"/>
  <c r="BF273" i="3"/>
  <c r="BF313" i="3"/>
  <c r="BF337" i="3"/>
  <c r="BF369" i="3"/>
  <c r="BB416" i="3"/>
  <c r="BB418" i="3" s="1"/>
  <c r="BF372" i="3"/>
  <c r="BD416" i="3"/>
  <c r="BD418" i="3" s="1"/>
  <c r="BF389" i="3"/>
  <c r="BF405" i="3"/>
  <c r="BF86" i="3"/>
  <c r="BF398" i="3"/>
  <c r="BF258" i="3"/>
  <c r="BF54" i="3"/>
  <c r="BF138" i="3"/>
  <c r="BF182" i="3"/>
  <c r="BF382" i="3"/>
  <c r="BF106" i="3"/>
  <c r="BF122" i="3"/>
  <c r="BF338" i="3"/>
  <c r="BF2" i="3"/>
  <c r="BF99" i="3"/>
  <c r="BF386" i="3"/>
  <c r="BF18" i="3"/>
  <c r="BF77" i="3"/>
  <c r="BF325" i="3"/>
  <c r="BF374" i="3"/>
  <c r="BF379" i="3"/>
  <c r="BF159" i="3"/>
  <c r="BF227" i="3"/>
  <c r="BF243" i="3"/>
  <c r="BF271" i="3"/>
  <c r="BF279" i="3"/>
  <c r="BF307" i="3"/>
  <c r="BF343" i="3"/>
  <c r="BF363" i="3"/>
  <c r="BF403" i="3"/>
  <c r="BF143" i="3"/>
  <c r="BF251" i="3"/>
  <c r="BF57" i="3"/>
  <c r="BF9" i="3"/>
  <c r="BF73" i="3"/>
  <c r="BF117" i="3"/>
  <c r="BF137" i="3"/>
  <c r="BF185" i="3"/>
  <c r="BF270" i="3"/>
  <c r="BF162" i="3"/>
  <c r="BF29" i="3"/>
  <c r="BF93" i="3"/>
  <c r="BF157" i="3"/>
  <c r="BF285" i="3"/>
  <c r="BF349" i="3"/>
  <c r="BF169" i="3"/>
  <c r="BF50" i="3"/>
  <c r="BF114" i="3"/>
  <c r="BF238" i="3"/>
  <c r="BF215" i="3"/>
  <c r="BF324" i="3"/>
  <c r="BF328" i="3"/>
  <c r="BF340" i="3"/>
  <c r="BF145" i="3"/>
  <c r="BF170" i="3"/>
  <c r="BF353" i="3"/>
  <c r="BF290" i="3"/>
  <c r="BF318" i="3"/>
  <c r="BF45" i="3"/>
  <c r="BF109" i="3"/>
  <c r="BF173" i="3"/>
  <c r="BF237" i="3"/>
  <c r="BF301" i="3"/>
  <c r="BF365" i="3"/>
  <c r="BF69" i="3"/>
  <c r="BF30" i="3"/>
  <c r="BF234" i="3"/>
  <c r="BF3" i="3"/>
  <c r="BF66" i="3"/>
  <c r="BF314" i="3"/>
  <c r="BF190" i="3"/>
  <c r="BF266" i="3"/>
  <c r="BF202" i="3"/>
  <c r="BF262" i="3"/>
  <c r="BF294" i="3"/>
  <c r="BF27" i="3"/>
  <c r="BF39" i="3"/>
  <c r="BF119" i="3"/>
  <c r="BF223" i="3"/>
  <c r="BF351" i="3"/>
  <c r="BF8" i="3"/>
  <c r="BF12" i="3"/>
  <c r="BF16" i="3"/>
  <c r="BF24" i="3"/>
  <c r="BF132" i="3"/>
  <c r="BF148" i="3"/>
  <c r="BF156" i="3"/>
  <c r="BF160" i="3"/>
  <c r="BF172" i="3"/>
  <c r="BF176" i="3"/>
  <c r="BF256" i="3"/>
  <c r="BF292" i="3"/>
  <c r="BF308" i="3"/>
  <c r="BF312" i="3"/>
  <c r="BF376" i="3"/>
  <c r="BF359" i="3"/>
  <c r="BF367" i="3"/>
  <c r="BF193" i="3"/>
  <c r="P15" i="15"/>
  <c r="R15" i="14"/>
  <c r="R16" i="14" s="1"/>
  <c r="R17" i="14" s="1"/>
  <c r="R18" i="14" s="1"/>
  <c r="R19" i="14" s="1"/>
  <c r="R20" i="14" s="1"/>
  <c r="R21" i="14" s="1"/>
  <c r="R22" i="14" s="1"/>
  <c r="R23" i="14" s="1"/>
  <c r="R24" i="14" s="1"/>
  <c r="R25" i="14" s="1"/>
  <c r="R26" i="14" s="1"/>
  <c r="R27" i="14" s="1"/>
  <c r="R28" i="14" s="1"/>
  <c r="R29" i="14" s="1"/>
  <c r="R30" i="14" s="1"/>
  <c r="R31" i="14" s="1"/>
  <c r="R32" i="14" s="1"/>
  <c r="R33" i="14" s="1"/>
  <c r="R34" i="14" s="1"/>
  <c r="R35" i="14" s="1"/>
  <c r="R36" i="14" s="1"/>
  <c r="R37" i="14" s="1"/>
  <c r="R38" i="14" s="1"/>
  <c r="R39" i="14" s="1"/>
  <c r="R40" i="14" s="1"/>
  <c r="R41" i="14" s="1"/>
  <c r="R42" i="14" s="1"/>
  <c r="R43" i="14" s="1"/>
  <c r="R44" i="14" s="1"/>
  <c r="R45" i="14" s="1"/>
  <c r="R46" i="14" s="1"/>
  <c r="R47" i="14" s="1"/>
  <c r="R48" i="14" s="1"/>
  <c r="R49" i="14" s="1"/>
  <c r="R50" i="14" s="1"/>
  <c r="R51" i="14" s="1"/>
  <c r="R52" i="14" s="1"/>
  <c r="R53" i="14" s="1"/>
  <c r="R54" i="14" s="1"/>
  <c r="R55" i="14" s="1"/>
  <c r="R56" i="14" s="1"/>
  <c r="R57" i="14" s="1"/>
  <c r="R58" i="14" s="1"/>
  <c r="R59" i="14" s="1"/>
  <c r="R60" i="14" s="1"/>
  <c r="R61" i="14" s="1"/>
  <c r="R62" i="14" s="1"/>
  <c r="R63" i="14" s="1"/>
  <c r="R64" i="14" s="1"/>
  <c r="R65" i="14" s="1"/>
  <c r="R66" i="14" s="1"/>
  <c r="R67" i="14" s="1"/>
  <c r="R68" i="14" s="1"/>
  <c r="R69" i="14" s="1"/>
  <c r="R70" i="14" s="1"/>
  <c r="R71" i="14" s="1"/>
  <c r="R72" i="14" s="1"/>
  <c r="R73" i="14" s="1"/>
  <c r="R74" i="14" s="1"/>
  <c r="R75" i="14" s="1"/>
  <c r="R76" i="14" s="1"/>
  <c r="R77" i="14" s="1"/>
  <c r="R78" i="14" s="1"/>
  <c r="R79" i="14" s="1"/>
  <c r="R80" i="14" s="1"/>
  <c r="R81" i="14" s="1"/>
  <c r="R82" i="14" s="1"/>
  <c r="R83" i="14" s="1"/>
  <c r="R84" i="14" s="1"/>
  <c r="R85" i="14" s="1"/>
  <c r="R86" i="14" s="1"/>
  <c r="R87" i="14" s="1"/>
  <c r="R88" i="14" s="1"/>
  <c r="R89" i="14" s="1"/>
  <c r="R90" i="14" s="1"/>
  <c r="R91" i="14" s="1"/>
  <c r="R92" i="14" s="1"/>
  <c r="R93" i="14" s="1"/>
  <c r="R94" i="14" s="1"/>
  <c r="R95" i="14" s="1"/>
  <c r="R96" i="14" s="1"/>
  <c r="R97" i="14" s="1"/>
  <c r="R98" i="14" s="1"/>
  <c r="R99" i="14" s="1"/>
  <c r="R100" i="14" s="1"/>
  <c r="R101" i="14" s="1"/>
  <c r="R102" i="14" s="1"/>
  <c r="R103" i="14" s="1"/>
  <c r="R104" i="14" s="1"/>
  <c r="R105" i="14" s="1"/>
  <c r="R106" i="14" s="1"/>
  <c r="R107" i="14" s="1"/>
  <c r="R108" i="14" s="1"/>
  <c r="R109" i="14" s="1"/>
  <c r="R110" i="14" s="1"/>
  <c r="R111" i="14" s="1"/>
  <c r="R112" i="14" s="1"/>
  <c r="R113" i="14" s="1"/>
  <c r="R114" i="14" s="1"/>
  <c r="R115" i="14" s="1"/>
  <c r="R116" i="14" s="1"/>
  <c r="R117" i="14" s="1"/>
  <c r="R118" i="14" s="1"/>
  <c r="R119" i="14" s="1"/>
  <c r="R120" i="14" s="1"/>
  <c r="R121" i="14" s="1"/>
  <c r="R122" i="14" s="1"/>
  <c r="R123" i="14" s="1"/>
  <c r="R124" i="14" s="1"/>
  <c r="R125" i="14" s="1"/>
  <c r="R126" i="14" s="1"/>
  <c r="R127" i="14" s="1"/>
  <c r="R128" i="14" s="1"/>
  <c r="R129" i="14" s="1"/>
  <c r="R130" i="14" s="1"/>
  <c r="R131" i="14" s="1"/>
  <c r="R132" i="14" s="1"/>
  <c r="R133" i="14" s="1"/>
  <c r="R134" i="14" s="1"/>
  <c r="R135" i="14" s="1"/>
  <c r="R136" i="14" s="1"/>
  <c r="R137" i="14" s="1"/>
  <c r="R138" i="14" s="1"/>
  <c r="R139" i="14" s="1"/>
  <c r="R140" i="14" s="1"/>
  <c r="R141" i="14" s="1"/>
  <c r="R142" i="14" s="1"/>
  <c r="R143" i="14" s="1"/>
  <c r="R144" i="14" s="1"/>
  <c r="R145" i="14" s="1"/>
  <c r="R146" i="14" s="1"/>
  <c r="R147" i="14" s="1"/>
  <c r="R148" i="14" s="1"/>
  <c r="R149" i="14" s="1"/>
  <c r="R150" i="14" s="1"/>
  <c r="R151" i="14" s="1"/>
  <c r="R152" i="14" s="1"/>
  <c r="R153" i="14" s="1"/>
  <c r="R154" i="14" s="1"/>
  <c r="R155" i="14" s="1"/>
  <c r="R156" i="14" s="1"/>
  <c r="R157" i="14" s="1"/>
  <c r="R158" i="14" s="1"/>
  <c r="R159" i="14" s="1"/>
  <c r="R160" i="14" s="1"/>
  <c r="R161" i="14" s="1"/>
  <c r="R162" i="14" s="1"/>
  <c r="R163" i="14" s="1"/>
  <c r="R164" i="14" s="1"/>
  <c r="R165" i="14" s="1"/>
  <c r="R166" i="14" s="1"/>
  <c r="R167" i="14" s="1"/>
  <c r="R168" i="14" s="1"/>
  <c r="R169" i="14" s="1"/>
  <c r="R170" i="14" s="1"/>
  <c r="R171" i="14" s="1"/>
  <c r="R172" i="14" s="1"/>
  <c r="R173" i="14" s="1"/>
  <c r="R174" i="14" s="1"/>
  <c r="R175" i="14" s="1"/>
  <c r="R176" i="14" s="1"/>
  <c r="R177" i="14" s="1"/>
  <c r="R178" i="14" s="1"/>
  <c r="R179" i="14" s="1"/>
  <c r="R180" i="14" s="1"/>
  <c r="R181" i="14" s="1"/>
  <c r="R182" i="14" s="1"/>
  <c r="R183" i="14" s="1"/>
  <c r="R184" i="14" s="1"/>
  <c r="R185" i="14" s="1"/>
  <c r="R186" i="14" s="1"/>
  <c r="R187" i="14" s="1"/>
  <c r="R188" i="14" s="1"/>
  <c r="R189" i="14" s="1"/>
  <c r="R190" i="14" s="1"/>
  <c r="R191" i="14" s="1"/>
  <c r="R192" i="14" s="1"/>
  <c r="R193" i="14" s="1"/>
  <c r="R194" i="14" s="1"/>
  <c r="R195" i="14" s="1"/>
  <c r="R196" i="14" s="1"/>
  <c r="R197" i="14" s="1"/>
  <c r="R198" i="14" s="1"/>
  <c r="R199" i="14" s="1"/>
  <c r="R200" i="14" s="1"/>
  <c r="R201" i="14" s="1"/>
  <c r="R202" i="14" s="1"/>
  <c r="R203" i="14" s="1"/>
  <c r="R204" i="14" s="1"/>
  <c r="R205" i="14" s="1"/>
  <c r="R206" i="14" s="1"/>
  <c r="R207" i="14" s="1"/>
  <c r="R208" i="14" s="1"/>
  <c r="R209" i="14" s="1"/>
  <c r="R210" i="14" s="1"/>
  <c r="R211" i="14" s="1"/>
  <c r="R212" i="14" s="1"/>
  <c r="R213" i="14" s="1"/>
  <c r="R214" i="14" s="1"/>
  <c r="R215" i="14" s="1"/>
  <c r="R216" i="14" s="1"/>
  <c r="R217" i="14" s="1"/>
  <c r="R218" i="14" s="1"/>
  <c r="R219" i="14" s="1"/>
  <c r="R220" i="14" s="1"/>
  <c r="R221" i="14" s="1"/>
  <c r="R222" i="14" s="1"/>
  <c r="R223" i="14" s="1"/>
  <c r="R224" i="14" s="1"/>
  <c r="R225" i="14" s="1"/>
  <c r="R226" i="14" s="1"/>
  <c r="R227" i="14" s="1"/>
  <c r="R228" i="14" s="1"/>
  <c r="R229" i="14" s="1"/>
  <c r="R230" i="14" s="1"/>
  <c r="R231" i="14" s="1"/>
  <c r="R232" i="14" s="1"/>
  <c r="R233" i="14" s="1"/>
  <c r="R234" i="14" s="1"/>
  <c r="R235" i="14" s="1"/>
  <c r="R236" i="14" s="1"/>
  <c r="R237" i="14" s="1"/>
  <c r="R238" i="14" s="1"/>
  <c r="R239" i="14" s="1"/>
  <c r="R240" i="14" s="1"/>
  <c r="R241" i="14" s="1"/>
  <c r="R242" i="14" s="1"/>
  <c r="R243" i="14" s="1"/>
  <c r="R244" i="14" s="1"/>
  <c r="R245" i="14" s="1"/>
  <c r="R246" i="14" s="1"/>
  <c r="R247" i="14" s="1"/>
  <c r="R248" i="14" s="1"/>
  <c r="R249" i="14" s="1"/>
  <c r="R250" i="14" s="1"/>
  <c r="R251" i="14" s="1"/>
  <c r="R252" i="14" s="1"/>
  <c r="R253" i="14" s="1"/>
  <c r="R254" i="14" s="1"/>
  <c r="R255" i="14" s="1"/>
  <c r="R256" i="14" s="1"/>
  <c r="R257" i="14" s="1"/>
  <c r="R258" i="14" s="1"/>
  <c r="R259" i="14" s="1"/>
  <c r="R260" i="14" s="1"/>
  <c r="R261" i="14" s="1"/>
  <c r="R262" i="14" s="1"/>
  <c r="R263" i="14" s="1"/>
  <c r="R264" i="14" s="1"/>
  <c r="R265" i="14" s="1"/>
  <c r="R266" i="14" s="1"/>
  <c r="R267" i="14" s="1"/>
  <c r="R268" i="14" s="1"/>
  <c r="R269" i="14" s="1"/>
  <c r="R270" i="14" s="1"/>
  <c r="R271" i="14" s="1"/>
  <c r="R272" i="14" s="1"/>
  <c r="R273" i="14" s="1"/>
  <c r="R274" i="14" s="1"/>
  <c r="R275" i="14" s="1"/>
  <c r="R276" i="14" s="1"/>
  <c r="R277" i="14" s="1"/>
  <c r="R278" i="14" s="1"/>
  <c r="R279" i="14" s="1"/>
  <c r="R280" i="14" s="1"/>
  <c r="R281" i="14" s="1"/>
  <c r="R282" i="14" s="1"/>
  <c r="R283" i="14" s="1"/>
  <c r="R284" i="14" s="1"/>
  <c r="R285" i="14" s="1"/>
  <c r="R286" i="14" s="1"/>
  <c r="R287" i="14" s="1"/>
  <c r="R288" i="14" s="1"/>
  <c r="R289" i="14" s="1"/>
  <c r="R290" i="14" s="1"/>
  <c r="R291" i="14" s="1"/>
  <c r="R292" i="14" s="1"/>
  <c r="R293" i="14" s="1"/>
  <c r="R294" i="14" s="1"/>
  <c r="R295" i="14" s="1"/>
  <c r="R296" i="14" s="1"/>
  <c r="R297" i="14" s="1"/>
  <c r="R298" i="14" s="1"/>
  <c r="R299" i="14" s="1"/>
  <c r="R300" i="14" s="1"/>
  <c r="R301" i="14" s="1"/>
  <c r="R302" i="14" s="1"/>
  <c r="R303" i="14" s="1"/>
  <c r="R304" i="14" s="1"/>
  <c r="R305" i="14" s="1"/>
  <c r="R306" i="14" s="1"/>
  <c r="R307" i="14" s="1"/>
  <c r="R308" i="14" s="1"/>
  <c r="R309" i="14" s="1"/>
  <c r="R310" i="14" s="1"/>
  <c r="R311" i="14" s="1"/>
  <c r="R312" i="14" s="1"/>
  <c r="R313" i="14" s="1"/>
  <c r="R314" i="14" s="1"/>
  <c r="R315" i="14" s="1"/>
  <c r="R316" i="14" s="1"/>
  <c r="R317" i="14" s="1"/>
  <c r="R318" i="14" s="1"/>
  <c r="R319" i="14" s="1"/>
  <c r="R320" i="14" s="1"/>
  <c r="R321" i="14" s="1"/>
  <c r="R322" i="14" s="1"/>
  <c r="R323" i="14" s="1"/>
  <c r="R324" i="14" s="1"/>
  <c r="R325" i="14" s="1"/>
  <c r="R326" i="14" s="1"/>
  <c r="R327" i="14" s="1"/>
  <c r="R328" i="14" s="1"/>
  <c r="R329" i="14" s="1"/>
  <c r="R330" i="14" s="1"/>
  <c r="R331" i="14" s="1"/>
  <c r="R332" i="14" s="1"/>
  <c r="R333" i="14" s="1"/>
  <c r="R334" i="14" s="1"/>
  <c r="R335" i="14" s="1"/>
  <c r="R336" i="14" s="1"/>
  <c r="R337" i="14" s="1"/>
  <c r="R338" i="14" s="1"/>
  <c r="R339" i="14" s="1"/>
  <c r="R340" i="14" s="1"/>
  <c r="R341" i="14" s="1"/>
  <c r="R342" i="14" s="1"/>
  <c r="R343" i="14" s="1"/>
  <c r="R344" i="14" s="1"/>
  <c r="R345" i="14" s="1"/>
  <c r="R346" i="14" s="1"/>
  <c r="R347" i="14" s="1"/>
  <c r="R348" i="14" s="1"/>
  <c r="R349" i="14" s="1"/>
  <c r="R350" i="14" s="1"/>
  <c r="R351" i="14" s="1"/>
  <c r="R352" i="14" s="1"/>
  <c r="R353" i="14" s="1"/>
  <c r="R354" i="14" s="1"/>
  <c r="R355" i="14" s="1"/>
  <c r="R356" i="14" s="1"/>
  <c r="R357" i="14" s="1"/>
  <c r="R358" i="14" s="1"/>
  <c r="R359" i="14" s="1"/>
  <c r="R360" i="14" s="1"/>
  <c r="R361" i="14" s="1"/>
  <c r="R362" i="14" s="1"/>
  <c r="R363" i="14" s="1"/>
  <c r="R364" i="14" s="1"/>
  <c r="R365" i="14" s="1"/>
  <c r="R366" i="14" s="1"/>
  <c r="R367" i="14" s="1"/>
  <c r="R368" i="14" s="1"/>
  <c r="R369" i="14" s="1"/>
  <c r="R370" i="14" s="1"/>
  <c r="R371" i="14" s="1"/>
  <c r="R372" i="14" s="1"/>
  <c r="R373" i="14" s="1"/>
  <c r="R374" i="14" s="1"/>
  <c r="R375" i="14" s="1"/>
  <c r="R376" i="14" s="1"/>
  <c r="R377" i="14" s="1"/>
  <c r="R378" i="14" s="1"/>
  <c r="R379" i="14" s="1"/>
  <c r="R380" i="14" s="1"/>
  <c r="R381" i="14" s="1"/>
  <c r="R382" i="14" s="1"/>
  <c r="R383" i="14" s="1"/>
  <c r="R384" i="14" s="1"/>
  <c r="R385" i="14" s="1"/>
  <c r="R386" i="14" s="1"/>
  <c r="R387" i="14" s="1"/>
  <c r="R388" i="14" s="1"/>
  <c r="R389" i="14" s="1"/>
  <c r="R390" i="14" s="1"/>
  <c r="R391" i="14" s="1"/>
  <c r="R392" i="14" s="1"/>
  <c r="R393" i="14" s="1"/>
  <c r="R394" i="14" s="1"/>
  <c r="R395" i="14" s="1"/>
  <c r="R396" i="14" s="1"/>
  <c r="R397" i="14" s="1"/>
  <c r="R398" i="14" s="1"/>
  <c r="R399" i="14" s="1"/>
  <c r="R400" i="14" s="1"/>
  <c r="R401" i="14" s="1"/>
  <c r="R402" i="14" s="1"/>
  <c r="R403" i="14" s="1"/>
  <c r="R404" i="14" s="1"/>
  <c r="R405" i="14" s="1"/>
  <c r="R406" i="14" s="1"/>
  <c r="R407" i="14" s="1"/>
  <c r="R408" i="14" s="1"/>
  <c r="R409" i="14" s="1"/>
  <c r="R410" i="14" s="1"/>
  <c r="R411" i="14" s="1"/>
  <c r="R412" i="14" s="1"/>
  <c r="R413" i="14" s="1"/>
  <c r="R414" i="14" s="1"/>
  <c r="R415" i="14" s="1"/>
  <c r="R416" i="14" s="1"/>
  <c r="B240" i="15" s="1"/>
  <c r="Q240" i="15" s="1"/>
  <c r="O11" i="12"/>
  <c r="H11" i="12"/>
  <c r="X11" i="12"/>
  <c r="Q11" i="12"/>
  <c r="J11" i="12"/>
  <c r="Z11" i="12"/>
  <c r="G11" i="12"/>
  <c r="P11" i="12"/>
  <c r="Y11" i="12"/>
  <c r="F11" i="12"/>
  <c r="AE11" i="12"/>
  <c r="S11" i="12"/>
  <c r="L11" i="12"/>
  <c r="AB11" i="12"/>
  <c r="U11" i="12"/>
  <c r="N11" i="12"/>
  <c r="AD11" i="12"/>
  <c r="W11" i="12"/>
  <c r="I11" i="12"/>
  <c r="R11" i="12"/>
  <c r="T11" i="12"/>
  <c r="K11" i="12"/>
  <c r="V11" i="12"/>
  <c r="M11" i="12"/>
  <c r="AC11" i="12"/>
  <c r="AA11" i="12"/>
  <c r="D12" i="12"/>
  <c r="C12" i="12"/>
  <c r="AM12" i="12"/>
  <c r="AK12" i="12"/>
  <c r="AI10" i="12"/>
  <c r="D13" i="12"/>
  <c r="AM13" i="12"/>
  <c r="AK13" i="12"/>
  <c r="C13" i="12"/>
  <c r="J15" i="15"/>
  <c r="N6" i="15" s="1"/>
  <c r="BF150" i="3"/>
  <c r="BF107" i="3"/>
  <c r="BF61" i="3"/>
  <c r="BF125" i="3"/>
  <c r="BF253" i="3"/>
  <c r="BF317" i="3"/>
  <c r="BF381" i="3"/>
  <c r="BF397" i="3"/>
  <c r="BF413" i="3"/>
  <c r="BF21" i="3"/>
  <c r="BF41" i="3"/>
  <c r="BF105" i="3"/>
  <c r="BF297" i="3"/>
  <c r="BF345" i="3"/>
  <c r="BF373" i="3"/>
  <c r="BF59" i="3"/>
  <c r="BF130" i="3"/>
  <c r="BF210" i="3"/>
  <c r="BF282" i="3"/>
  <c r="BF346" i="3"/>
  <c r="BF410" i="3"/>
  <c r="BF51" i="3"/>
  <c r="BF7" i="3"/>
  <c r="BF38" i="3"/>
  <c r="BF118" i="3"/>
  <c r="BF166" i="3"/>
  <c r="BF186" i="3"/>
  <c r="BF218" i="3"/>
  <c r="BF274" i="3"/>
  <c r="BF310" i="3"/>
  <c r="BF330" i="3"/>
  <c r="BF358" i="3"/>
  <c r="BF254" i="3"/>
  <c r="BF94" i="3"/>
  <c r="BF11" i="3"/>
  <c r="BF15" i="3"/>
  <c r="BF47" i="3"/>
  <c r="BF55" i="3"/>
  <c r="BF191" i="3"/>
  <c r="BF383" i="3"/>
  <c r="BF68" i="3"/>
  <c r="BF80" i="3"/>
  <c r="BF84" i="3"/>
  <c r="BF100" i="3"/>
  <c r="BF112" i="3"/>
  <c r="BF116" i="3"/>
  <c r="BF128" i="3"/>
  <c r="BF136" i="3"/>
  <c r="BF140" i="3"/>
  <c r="BF144" i="3"/>
  <c r="BF152" i="3"/>
  <c r="BF260" i="3"/>
  <c r="BF272" i="3"/>
  <c r="BF276" i="3"/>
  <c r="BF284" i="3"/>
  <c r="BF288" i="3"/>
  <c r="BF296" i="3"/>
  <c r="BF300" i="3"/>
  <c r="BF304" i="3"/>
  <c r="BF316" i="3"/>
  <c r="BF320" i="3"/>
  <c r="BF332" i="3"/>
  <c r="BF336" i="3"/>
  <c r="BF344" i="3"/>
  <c r="BF348" i="3"/>
  <c r="BF364" i="3"/>
  <c r="BF380" i="3"/>
  <c r="BF392" i="3"/>
  <c r="BF412" i="3"/>
  <c r="BF127" i="3"/>
  <c r="BF135" i="3"/>
  <c r="BF315" i="3"/>
  <c r="BF323" i="3"/>
  <c r="BF335" i="3"/>
  <c r="BF355" i="3"/>
  <c r="BF387" i="3"/>
  <c r="BF139" i="3"/>
  <c r="BF203" i="3"/>
  <c r="BF263" i="3"/>
  <c r="BF331" i="3"/>
  <c r="BF371" i="3"/>
  <c r="BF399" i="3"/>
  <c r="BF131" i="3"/>
  <c r="BF231" i="3"/>
  <c r="BF334" i="3"/>
  <c r="BF35" i="3"/>
  <c r="BF42" i="3"/>
  <c r="BF97" i="3"/>
  <c r="BF13" i="3"/>
  <c r="BF141" i="3"/>
  <c r="BF205" i="3"/>
  <c r="BF269" i="3"/>
  <c r="BF385" i="3"/>
  <c r="BF401" i="3"/>
  <c r="BF6" i="3"/>
  <c r="BF261" i="3"/>
  <c r="BF350" i="3"/>
  <c r="BF102" i="3"/>
  <c r="BF206" i="3"/>
  <c r="BF362" i="3"/>
  <c r="BF82" i="3"/>
  <c r="BF302" i="3"/>
  <c r="BF366" i="3"/>
  <c r="BF4" i="3"/>
  <c r="BF67" i="3"/>
  <c r="BF10" i="3"/>
  <c r="BF62" i="3"/>
  <c r="BF110" i="3"/>
  <c r="BF134" i="3"/>
  <c r="BF214" i="3"/>
  <c r="BF242" i="3"/>
  <c r="BF326" i="3"/>
  <c r="BF406" i="3"/>
  <c r="BF26" i="3"/>
  <c r="BF198" i="3"/>
  <c r="BF402" i="3"/>
  <c r="BF23" i="3"/>
  <c r="BF43" i="3"/>
  <c r="BF63" i="3"/>
  <c r="BF183" i="3"/>
  <c r="BF287" i="3"/>
  <c r="BF36" i="3"/>
  <c r="BF52" i="3"/>
  <c r="BF56" i="3"/>
  <c r="BF60" i="3"/>
  <c r="BF64" i="3"/>
  <c r="BF72" i="3"/>
  <c r="BF76" i="3"/>
  <c r="BF88" i="3"/>
  <c r="BF92" i="3"/>
  <c r="BF96" i="3"/>
  <c r="BF104" i="3"/>
  <c r="BF108" i="3"/>
  <c r="BF120" i="3"/>
  <c r="BF124" i="3"/>
  <c r="BF188" i="3"/>
  <c r="BF196" i="3"/>
  <c r="BF204" i="3"/>
  <c r="BF212" i="3"/>
  <c r="BF220" i="3"/>
  <c r="BF228" i="3"/>
  <c r="BF236" i="3"/>
  <c r="BF244" i="3"/>
  <c r="BF252" i="3"/>
  <c r="BF264" i="3"/>
  <c r="BF268" i="3"/>
  <c r="BF280" i="3"/>
  <c r="BF356" i="3"/>
  <c r="BF360" i="3"/>
  <c r="BF368" i="3"/>
  <c r="BF115" i="3"/>
  <c r="BF199" i="3"/>
  <c r="BF219" i="3"/>
  <c r="BF347" i="3"/>
  <c r="BF171" i="3"/>
  <c r="BF79" i="3"/>
  <c r="BF111" i="3"/>
  <c r="BF123" i="3"/>
  <c r="BF311" i="3"/>
  <c r="BF327" i="3"/>
  <c r="BF395" i="3"/>
  <c r="BF83" i="3"/>
  <c r="BF95" i="3"/>
  <c r="BF153" i="3"/>
  <c r="BF384" i="3"/>
  <c r="BF33" i="3"/>
  <c r="BF289" i="3"/>
  <c r="BF221" i="3"/>
  <c r="BF165" i="3"/>
  <c r="BF197" i="3"/>
  <c r="BF22" i="3"/>
  <c r="BF298" i="3"/>
  <c r="BF34" i="3"/>
  <c r="BF146" i="3"/>
  <c r="BF194" i="3"/>
  <c r="BF250" i="3"/>
  <c r="BF378" i="3"/>
  <c r="BF19" i="3"/>
  <c r="BF226" i="3"/>
  <c r="BF354" i="3"/>
  <c r="BF46" i="3"/>
  <c r="BF74" i="3"/>
  <c r="BF90" i="3"/>
  <c r="BF126" i="3"/>
  <c r="BF154" i="3"/>
  <c r="BF278" i="3"/>
  <c r="BF70" i="3"/>
  <c r="BF174" i="3"/>
  <c r="BF306" i="3"/>
  <c r="BF394" i="3"/>
  <c r="BF31" i="3"/>
  <c r="BF71" i="3"/>
  <c r="BF87" i="3"/>
  <c r="BF319" i="3"/>
  <c r="BF5" i="3"/>
  <c r="BF20" i="3"/>
  <c r="BF28" i="3"/>
  <c r="BF32" i="3"/>
  <c r="BF40" i="3"/>
  <c r="BF44" i="3"/>
  <c r="BF48" i="3"/>
  <c r="BF164" i="3"/>
  <c r="BF168" i="3"/>
  <c r="BF180" i="3"/>
  <c r="BF184" i="3"/>
  <c r="BF192" i="3"/>
  <c r="BF200" i="3"/>
  <c r="BF208" i="3"/>
  <c r="BF216" i="3"/>
  <c r="BF224" i="3"/>
  <c r="BF232" i="3"/>
  <c r="BF240" i="3"/>
  <c r="BF248" i="3"/>
  <c r="BF388" i="3"/>
  <c r="BF404" i="3"/>
  <c r="BF147" i="3"/>
  <c r="BF155" i="3"/>
  <c r="BF163" i="3"/>
  <c r="BF187" i="3"/>
  <c r="BF235" i="3"/>
  <c r="BF247" i="3"/>
  <c r="BF259" i="3"/>
  <c r="BF267" i="3"/>
  <c r="BF291" i="3"/>
  <c r="BF391" i="3"/>
  <c r="BF407" i="3"/>
  <c r="BF103" i="3"/>
  <c r="BF207" i="3"/>
  <c r="BF295" i="3"/>
  <c r="BF167" i="3"/>
  <c r="BF195" i="3"/>
  <c r="BF239" i="3"/>
  <c r="BF275" i="3"/>
  <c r="BF303" i="3"/>
  <c r="BF339" i="3"/>
  <c r="BF375" i="3"/>
  <c r="BF411" i="3"/>
  <c r="BF265" i="3"/>
  <c r="BF230" i="3"/>
  <c r="CA335" i="18" l="1"/>
  <c r="CA237" i="18"/>
  <c r="AN2" i="18"/>
  <c r="BR174" i="18"/>
  <c r="BQ174" i="18"/>
  <c r="BO174" i="18"/>
  <c r="C23" i="15"/>
  <c r="C30" i="15"/>
  <c r="C20" i="15"/>
  <c r="B57" i="15"/>
  <c r="Q57" i="15" s="1"/>
  <c r="C29" i="15"/>
  <c r="B18" i="15"/>
  <c r="Q18" i="15" s="1"/>
  <c r="B53" i="15"/>
  <c r="Q53" i="15" s="1"/>
  <c r="BT222" i="18"/>
  <c r="BT58" i="18"/>
  <c r="BT225" i="18"/>
  <c r="BP370" i="18"/>
  <c r="BO276" i="18"/>
  <c r="CA276" i="18" s="1"/>
  <c r="BO283" i="18"/>
  <c r="BZ283" i="18" s="1"/>
  <c r="BP309" i="18"/>
  <c r="BP382" i="18"/>
  <c r="BO390" i="18"/>
  <c r="CA390" i="18" s="1"/>
  <c r="BT218" i="18"/>
  <c r="BP123" i="18"/>
  <c r="BP99" i="18"/>
  <c r="BO279" i="18"/>
  <c r="CA279" i="18" s="1"/>
  <c r="BP369" i="18"/>
  <c r="BP98" i="18"/>
  <c r="BO207" i="18"/>
  <c r="BZ207" i="18" s="1"/>
  <c r="BO231" i="18"/>
  <c r="BZ231" i="18" s="1"/>
  <c r="BO100" i="18"/>
  <c r="BZ100" i="18" s="1"/>
  <c r="BP394" i="18"/>
  <c r="CA232" i="18"/>
  <c r="BZ232" i="18"/>
  <c r="CA99" i="18"/>
  <c r="BZ99" i="18"/>
  <c r="CA156" i="18"/>
  <c r="BZ156" i="18"/>
  <c r="BZ394" i="18"/>
  <c r="CA394" i="18"/>
  <c r="CA272" i="18"/>
  <c r="BZ272" i="18"/>
  <c r="CA182" i="18"/>
  <c r="BZ182" i="18"/>
  <c r="BR279" i="18"/>
  <c r="BQ279" i="18"/>
  <c r="BP156" i="18"/>
  <c r="BQ390" i="18"/>
  <c r="BR390" i="18"/>
  <c r="BO331" i="18"/>
  <c r="BQ168" i="18"/>
  <c r="BR168" i="18"/>
  <c r="BP272" i="18"/>
  <c r="CA370" i="18"/>
  <c r="BZ370" i="18"/>
  <c r="BQ309" i="18"/>
  <c r="BR309" i="18"/>
  <c r="BQ123" i="18"/>
  <c r="BR123" i="18"/>
  <c r="BO95" i="18"/>
  <c r="BQ101" i="18"/>
  <c r="BR101" i="18"/>
  <c r="BO224" i="18"/>
  <c r="BQ283" i="18"/>
  <c r="BR283" i="18"/>
  <c r="BZ51" i="18"/>
  <c r="BT51" i="18"/>
  <c r="CA51" i="18"/>
  <c r="BR207" i="18"/>
  <c r="BQ207" i="18"/>
  <c r="CA369" i="18"/>
  <c r="BZ369" i="18"/>
  <c r="BQ231" i="18"/>
  <c r="BR231" i="18"/>
  <c r="BZ66" i="18"/>
  <c r="CA66" i="18"/>
  <c r="BQ182" i="18"/>
  <c r="BR182" i="18"/>
  <c r="CA100" i="18"/>
  <c r="BR99" i="18"/>
  <c r="BQ99" i="18"/>
  <c r="BZ98" i="18"/>
  <c r="CA98" i="18"/>
  <c r="BR382" i="18"/>
  <c r="BQ382" i="18"/>
  <c r="BL184" i="18"/>
  <c r="BQ156" i="18"/>
  <c r="BR156" i="18"/>
  <c r="BQ331" i="18"/>
  <c r="BR331" i="18"/>
  <c r="BR272" i="18"/>
  <c r="BQ272" i="18"/>
  <c r="BR370" i="18"/>
  <c r="BQ370" i="18"/>
  <c r="BQ394" i="18"/>
  <c r="BR394" i="18"/>
  <c r="CA123" i="18"/>
  <c r="BZ123" i="18"/>
  <c r="BR95" i="18"/>
  <c r="BQ95" i="18"/>
  <c r="CA101" i="18"/>
  <c r="BZ101" i="18"/>
  <c r="BR224" i="18"/>
  <c r="BQ224" i="18"/>
  <c r="BQ232" i="18"/>
  <c r="BR232" i="18"/>
  <c r="CA283" i="18"/>
  <c r="BZ265" i="18"/>
  <c r="BT265" i="18"/>
  <c r="CA265" i="18"/>
  <c r="CA207" i="18"/>
  <c r="BO168" i="18"/>
  <c r="BR369" i="18"/>
  <c r="BQ369" i="18"/>
  <c r="BQ276" i="18"/>
  <c r="BR276" i="18"/>
  <c r="CA309" i="18"/>
  <c r="BZ309" i="18"/>
  <c r="BQ66" i="18"/>
  <c r="BR66" i="18"/>
  <c r="BR100" i="18"/>
  <c r="BQ100" i="18"/>
  <c r="BR98" i="18"/>
  <c r="BQ98" i="18"/>
  <c r="CA382" i="18"/>
  <c r="BZ382" i="18"/>
  <c r="BP134" i="18"/>
  <c r="BT261" i="18"/>
  <c r="CA5" i="18"/>
  <c r="BP221" i="18"/>
  <c r="BP70" i="18"/>
  <c r="BP325" i="18"/>
  <c r="BO324" i="18"/>
  <c r="CA324" i="18" s="1"/>
  <c r="BP201" i="18"/>
  <c r="BT31" i="18"/>
  <c r="BT13" i="18"/>
  <c r="BO87" i="18"/>
  <c r="CA87" i="18" s="1"/>
  <c r="BO310" i="18"/>
  <c r="BZ310" i="18" s="1"/>
  <c r="BO63" i="18"/>
  <c r="CA63" i="18" s="1"/>
  <c r="BP332" i="18"/>
  <c r="BO26" i="18"/>
  <c r="CA26" i="18" s="1"/>
  <c r="BP348" i="18"/>
  <c r="BO103" i="18"/>
  <c r="CA103" i="18" s="1"/>
  <c r="BP159" i="18"/>
  <c r="BP179" i="18"/>
  <c r="BP104" i="18"/>
  <c r="BT39" i="18"/>
  <c r="BT9" i="18"/>
  <c r="BP18" i="18"/>
  <c r="BP111" i="18"/>
  <c r="BP22" i="18"/>
  <c r="BO291" i="18"/>
  <c r="BZ291" i="18" s="1"/>
  <c r="BO349" i="18"/>
  <c r="BZ349" i="18" s="1"/>
  <c r="BO78" i="18"/>
  <c r="CA78" i="18" s="1"/>
  <c r="BO91" i="18"/>
  <c r="CA91" i="18" s="1"/>
  <c r="BO317" i="18"/>
  <c r="CA317" i="18" s="1"/>
  <c r="BO162" i="18"/>
  <c r="CA162" i="18" s="1"/>
  <c r="BO361" i="18"/>
  <c r="BZ361" i="18" s="1"/>
  <c r="BO74" i="18"/>
  <c r="CA74" i="18" s="1"/>
  <c r="BP344" i="18"/>
  <c r="BO122" i="18"/>
  <c r="BZ122" i="18" s="1"/>
  <c r="BO217" i="18"/>
  <c r="BZ217" i="18" s="1"/>
  <c r="BP350" i="18"/>
  <c r="BO302" i="18"/>
  <c r="CA302" i="18" s="1"/>
  <c r="BT233" i="18"/>
  <c r="BT383" i="18"/>
  <c r="BT339" i="18"/>
  <c r="BT20" i="18"/>
  <c r="BT52" i="18"/>
  <c r="BT55" i="18"/>
  <c r="BP10" i="18"/>
  <c r="BP288" i="18"/>
  <c r="BT249" i="18"/>
  <c r="BT6" i="18"/>
  <c r="BT237" i="18"/>
  <c r="BO346" i="18"/>
  <c r="CA346" i="18" s="1"/>
  <c r="BP404" i="18"/>
  <c r="BT371" i="18"/>
  <c r="BT395" i="18"/>
  <c r="BO205" i="18"/>
  <c r="BZ205" i="18" s="1"/>
  <c r="BP137" i="18"/>
  <c r="BP234" i="18"/>
  <c r="BP353" i="18"/>
  <c r="BT269" i="18"/>
  <c r="BT24" i="18"/>
  <c r="BT391" i="18"/>
  <c r="BT48" i="18"/>
  <c r="BO314" i="18"/>
  <c r="BZ314" i="18" s="1"/>
  <c r="BO378" i="18"/>
  <c r="CA378" i="18" s="1"/>
  <c r="BP14" i="18"/>
  <c r="BT16" i="18"/>
  <c r="BT315" i="18"/>
  <c r="BT406" i="18"/>
  <c r="BT245" i="18"/>
  <c r="BT32" i="18"/>
  <c r="CA261" i="18"/>
  <c r="BT311" i="18"/>
  <c r="BT56" i="18"/>
  <c r="BO107" i="18"/>
  <c r="BZ107" i="18" s="1"/>
  <c r="BP403" i="18"/>
  <c r="BP186" i="18"/>
  <c r="BP392" i="18"/>
  <c r="BT57" i="18"/>
  <c r="BT292" i="18"/>
  <c r="BT375" i="18"/>
  <c r="BT300" i="18"/>
  <c r="BT379" i="18"/>
  <c r="BP166" i="18"/>
  <c r="BP366" i="18"/>
  <c r="BP322" i="18"/>
  <c r="BP59" i="18"/>
  <c r="BT29" i="18"/>
  <c r="BT319" i="18"/>
  <c r="BT47" i="18"/>
  <c r="BT8" i="18"/>
  <c r="BT323" i="18"/>
  <c r="BT399" i="18"/>
  <c r="BT285" i="18"/>
  <c r="BT335" i="18"/>
  <c r="BT402" i="18"/>
  <c r="BT40" i="18"/>
  <c r="BT5" i="18"/>
  <c r="BT36" i="18"/>
  <c r="BT308" i="18"/>
  <c r="BT327" i="18"/>
  <c r="BP118" i="18"/>
  <c r="BT355" i="18"/>
  <c r="BT35" i="18"/>
  <c r="BO316" i="18"/>
  <c r="BZ316" i="18" s="1"/>
  <c r="BT296" i="18"/>
  <c r="BO209" i="18"/>
  <c r="BZ209" i="18" s="1"/>
  <c r="BT363" i="18"/>
  <c r="CA396" i="18"/>
  <c r="BZ396" i="18"/>
  <c r="CA287" i="18"/>
  <c r="BZ287" i="18"/>
  <c r="CA142" i="18"/>
  <c r="BZ142" i="18"/>
  <c r="BZ234" i="18"/>
  <c r="CA234" i="18"/>
  <c r="CA181" i="18"/>
  <c r="BZ181" i="18"/>
  <c r="CA198" i="18"/>
  <c r="BZ198" i="18"/>
  <c r="CA230" i="18"/>
  <c r="BZ230" i="18"/>
  <c r="CA342" i="18"/>
  <c r="BZ342" i="18"/>
  <c r="BZ214" i="18"/>
  <c r="CA214" i="18"/>
  <c r="CA216" i="18"/>
  <c r="BZ216" i="18"/>
  <c r="BZ141" i="18"/>
  <c r="CA141" i="18"/>
  <c r="BZ120" i="18"/>
  <c r="CA120" i="18"/>
  <c r="CA262" i="18"/>
  <c r="BZ262" i="18"/>
  <c r="BZ365" i="18"/>
  <c r="CA365" i="18"/>
  <c r="CA157" i="18"/>
  <c r="BZ157" i="18"/>
  <c r="CA117" i="18"/>
  <c r="BZ117" i="18"/>
  <c r="BZ275" i="18"/>
  <c r="CA275" i="18"/>
  <c r="BZ345" i="18"/>
  <c r="CA345" i="18"/>
  <c r="CA121" i="18"/>
  <c r="BZ121" i="18"/>
  <c r="CA208" i="18"/>
  <c r="BZ208" i="18"/>
  <c r="CA380" i="18"/>
  <c r="BZ380" i="18"/>
  <c r="CA259" i="18"/>
  <c r="BZ259" i="18"/>
  <c r="CA118" i="18"/>
  <c r="BZ118" i="18"/>
  <c r="CA264" i="18"/>
  <c r="BZ264" i="18"/>
  <c r="CA15" i="18"/>
  <c r="BZ15" i="18"/>
  <c r="CA195" i="18"/>
  <c r="BZ195" i="18"/>
  <c r="CA167" i="18"/>
  <c r="BZ167" i="18"/>
  <c r="BZ293" i="18"/>
  <c r="CA293" i="18"/>
  <c r="CA189" i="18"/>
  <c r="BZ189" i="18"/>
  <c r="CA210" i="18"/>
  <c r="BZ210" i="18"/>
  <c r="CA145" i="18"/>
  <c r="BZ145" i="18"/>
  <c r="CA102" i="18"/>
  <c r="BZ102" i="18"/>
  <c r="BZ191" i="18"/>
  <c r="CA191" i="18"/>
  <c r="BZ159" i="18"/>
  <c r="CA159" i="18"/>
  <c r="CA129" i="18"/>
  <c r="BZ129" i="18"/>
  <c r="CA175" i="18"/>
  <c r="BZ175" i="18"/>
  <c r="BZ373" i="18"/>
  <c r="CA373" i="18"/>
  <c r="BZ104" i="18"/>
  <c r="CA104" i="18"/>
  <c r="BZ203" i="18"/>
  <c r="CA203" i="18"/>
  <c r="BZ360" i="18"/>
  <c r="CA360" i="18"/>
  <c r="CA196" i="18"/>
  <c r="BZ196" i="18"/>
  <c r="CA301" i="18"/>
  <c r="BZ301" i="18"/>
  <c r="BZ128" i="18"/>
  <c r="CA128" i="18"/>
  <c r="BZ200" i="18"/>
  <c r="CA200" i="18"/>
  <c r="BZ18" i="18"/>
  <c r="CA18" i="18"/>
  <c r="CA320" i="18"/>
  <c r="BZ320" i="18"/>
  <c r="CA111" i="18"/>
  <c r="BZ111" i="18"/>
  <c r="CA22" i="18"/>
  <c r="BZ22" i="18"/>
  <c r="CA199" i="18"/>
  <c r="BZ199" i="18"/>
  <c r="BZ14" i="18"/>
  <c r="CA14" i="18"/>
  <c r="CA27" i="18"/>
  <c r="BZ27" i="18"/>
  <c r="CA398" i="18"/>
  <c r="BZ398" i="18"/>
  <c r="CA254" i="18"/>
  <c r="BZ254" i="18"/>
  <c r="CA404" i="18"/>
  <c r="BZ404" i="18"/>
  <c r="CA381" i="18"/>
  <c r="BZ381" i="18"/>
  <c r="CA137" i="18"/>
  <c r="BZ137" i="18"/>
  <c r="CA125" i="18"/>
  <c r="BZ125" i="18"/>
  <c r="CA10" i="18"/>
  <c r="BZ10" i="18"/>
  <c r="CA297" i="18"/>
  <c r="BZ297" i="18"/>
  <c r="BZ385" i="18"/>
  <c r="CA385" i="18"/>
  <c r="BZ86" i="18"/>
  <c r="CA86" i="18"/>
  <c r="CA307" i="18"/>
  <c r="BZ307" i="18"/>
  <c r="BZ89" i="18"/>
  <c r="CA89" i="18"/>
  <c r="BZ138" i="18"/>
  <c r="CA138" i="18"/>
  <c r="CA405" i="18"/>
  <c r="BZ405" i="18"/>
  <c r="CA223" i="18"/>
  <c r="BZ223" i="18"/>
  <c r="BZ34" i="18"/>
  <c r="CA34" i="18"/>
  <c r="BZ72" i="18"/>
  <c r="CA72" i="18"/>
  <c r="CA229" i="18"/>
  <c r="BZ229" i="18"/>
  <c r="CA333" i="18"/>
  <c r="BZ333" i="18"/>
  <c r="BZ126" i="18"/>
  <c r="CA126" i="18"/>
  <c r="CA284" i="18"/>
  <c r="BZ284" i="18"/>
  <c r="CA144" i="18"/>
  <c r="BZ144" i="18"/>
  <c r="BZ376" i="18"/>
  <c r="CA376" i="18"/>
  <c r="CA337" i="18"/>
  <c r="BZ337" i="18"/>
  <c r="CA389" i="18"/>
  <c r="BZ389" i="18"/>
  <c r="CA153" i="18"/>
  <c r="BZ153" i="18"/>
  <c r="BQ103" i="18"/>
  <c r="BR103" i="18"/>
  <c r="BT25" i="18"/>
  <c r="CA25" i="18"/>
  <c r="BZ25" i="18"/>
  <c r="BP45" i="18"/>
  <c r="BR45" i="18"/>
  <c r="BQ45" i="18"/>
  <c r="BP364" i="18"/>
  <c r="BR364" i="18"/>
  <c r="BQ364" i="18"/>
  <c r="BP263" i="18"/>
  <c r="BR263" i="18"/>
  <c r="BQ263" i="18"/>
  <c r="BP202" i="18"/>
  <c r="BR202" i="18"/>
  <c r="BQ202" i="18"/>
  <c r="BP163" i="18"/>
  <c r="BR163" i="18"/>
  <c r="BQ163" i="18"/>
  <c r="BP368" i="18"/>
  <c r="BQ368" i="18"/>
  <c r="BR368" i="18"/>
  <c r="BP79" i="18"/>
  <c r="BR79" i="18"/>
  <c r="BQ79" i="18"/>
  <c r="BP190" i="18"/>
  <c r="BR190" i="18"/>
  <c r="BQ190" i="18"/>
  <c r="BP88" i="18"/>
  <c r="BQ88" i="18"/>
  <c r="BR88" i="18"/>
  <c r="BP183" i="18"/>
  <c r="BQ183" i="18"/>
  <c r="BR183" i="18"/>
  <c r="BP246" i="18"/>
  <c r="BQ246" i="18"/>
  <c r="BR246" i="18"/>
  <c r="CA372" i="18"/>
  <c r="BZ372" i="18"/>
  <c r="BR403" i="18"/>
  <c r="BQ403" i="18"/>
  <c r="BP97" i="18"/>
  <c r="BR97" i="18"/>
  <c r="BQ97" i="18"/>
  <c r="BO176" i="18"/>
  <c r="BQ176" i="18"/>
  <c r="BR176" i="18"/>
  <c r="BP255" i="18"/>
  <c r="BR255" i="18"/>
  <c r="BQ255" i="18"/>
  <c r="BQ349" i="18"/>
  <c r="BR349" i="18"/>
  <c r="BP110" i="18"/>
  <c r="BQ110" i="18"/>
  <c r="BR110" i="18"/>
  <c r="BP173" i="18"/>
  <c r="BQ173" i="18"/>
  <c r="BR173" i="18"/>
  <c r="BZ236" i="18"/>
  <c r="CA236" i="18"/>
  <c r="BZ299" i="18"/>
  <c r="CA299" i="18"/>
  <c r="CA362" i="18"/>
  <c r="BZ362" i="18"/>
  <c r="CA96" i="18"/>
  <c r="BZ96" i="18"/>
  <c r="BZ270" i="18"/>
  <c r="CA270" i="18"/>
  <c r="BZ186" i="18"/>
  <c r="CA186" i="18"/>
  <c r="BR179" i="18"/>
  <c r="BQ179" i="18"/>
  <c r="BP19" i="18"/>
  <c r="BQ19" i="18"/>
  <c r="BR19" i="18"/>
  <c r="BP7" i="18"/>
  <c r="BR7" i="18"/>
  <c r="BQ7" i="18"/>
  <c r="CA68" i="18"/>
  <c r="BZ68" i="18"/>
  <c r="BP194" i="18"/>
  <c r="BR194" i="18"/>
  <c r="BQ194" i="18"/>
  <c r="BZ41" i="18"/>
  <c r="CA41" i="18"/>
  <c r="CA108" i="18"/>
  <c r="BZ108" i="18"/>
  <c r="BZ171" i="18"/>
  <c r="CA171" i="18"/>
  <c r="BP266" i="18"/>
  <c r="BR266" i="18"/>
  <c r="BQ266" i="18"/>
  <c r="BP328" i="18"/>
  <c r="BQ328" i="18"/>
  <c r="BR328" i="18"/>
  <c r="CA392" i="18"/>
  <c r="BZ392" i="18"/>
  <c r="CA42" i="18"/>
  <c r="BZ42" i="18"/>
  <c r="CA164" i="18"/>
  <c r="BZ164" i="18"/>
  <c r="BZ226" i="18"/>
  <c r="CA226" i="18"/>
  <c r="BZ321" i="18"/>
  <c r="CA321" i="18"/>
  <c r="BR353" i="18"/>
  <c r="BQ353" i="18"/>
  <c r="BP67" i="18"/>
  <c r="BQ67" i="18"/>
  <c r="BR67" i="18"/>
  <c r="CA161" i="18"/>
  <c r="BZ161" i="18"/>
  <c r="CA256" i="18"/>
  <c r="BZ256" i="18"/>
  <c r="BR288" i="18"/>
  <c r="BQ288" i="18"/>
  <c r="BZ304" i="18"/>
  <c r="CA304" i="18"/>
  <c r="BT304" i="18"/>
  <c r="BZ21" i="18"/>
  <c r="BT21" i="18"/>
  <c r="CA21" i="18"/>
  <c r="BT359" i="18"/>
  <c r="CA359" i="18"/>
  <c r="BZ359" i="18"/>
  <c r="BR91" i="18"/>
  <c r="BQ91" i="18"/>
  <c r="BP84" i="18"/>
  <c r="BQ84" i="18"/>
  <c r="BR84" i="18"/>
  <c r="BP289" i="18"/>
  <c r="BR289" i="18"/>
  <c r="BQ289" i="18"/>
  <c r="BP62" i="18"/>
  <c r="BQ62" i="18"/>
  <c r="BR62" i="18"/>
  <c r="BP172" i="18"/>
  <c r="BR172" i="18"/>
  <c r="BQ172" i="18"/>
  <c r="BP235" i="18"/>
  <c r="BR235" i="18"/>
  <c r="BQ235" i="18"/>
  <c r="BO298" i="18"/>
  <c r="BQ298" i="18"/>
  <c r="BR298" i="18"/>
  <c r="BP106" i="18"/>
  <c r="BR106" i="18"/>
  <c r="BQ106" i="18"/>
  <c r="BP169" i="18"/>
  <c r="BQ169" i="18"/>
  <c r="BR169" i="18"/>
  <c r="BP214" i="18"/>
  <c r="BP80" i="18"/>
  <c r="BR80" i="18"/>
  <c r="BQ80" i="18"/>
  <c r="BR325" i="18"/>
  <c r="BQ325" i="18"/>
  <c r="BQ87" i="18"/>
  <c r="BR87" i="18"/>
  <c r="BP60" i="18"/>
  <c r="BQ60" i="18"/>
  <c r="BR60" i="18"/>
  <c r="BP158" i="18"/>
  <c r="BR158" i="18"/>
  <c r="BQ158" i="18"/>
  <c r="BR324" i="18"/>
  <c r="BQ324" i="18"/>
  <c r="BP388" i="18"/>
  <c r="BQ388" i="18"/>
  <c r="BR388" i="18"/>
  <c r="BP54" i="18"/>
  <c r="BR54" i="18"/>
  <c r="BQ54" i="18"/>
  <c r="BP113" i="18"/>
  <c r="BQ113" i="18"/>
  <c r="BR113" i="18"/>
  <c r="BP192" i="18"/>
  <c r="BQ192" i="18"/>
  <c r="BR192" i="18"/>
  <c r="BP271" i="18"/>
  <c r="BQ271" i="18"/>
  <c r="BR271" i="18"/>
  <c r="BR63" i="18"/>
  <c r="BQ63" i="18"/>
  <c r="BQ221" i="18"/>
  <c r="BR221" i="18"/>
  <c r="BR314" i="18"/>
  <c r="BQ314" i="18"/>
  <c r="BP119" i="18"/>
  <c r="BR119" i="18"/>
  <c r="BQ119" i="18"/>
  <c r="BQ332" i="18"/>
  <c r="BR332" i="18"/>
  <c r="BP247" i="18"/>
  <c r="BR247" i="18"/>
  <c r="BQ247" i="18"/>
  <c r="BP154" i="18"/>
  <c r="BR154" i="18"/>
  <c r="BQ154" i="18"/>
  <c r="BP132" i="18"/>
  <c r="BR132" i="18"/>
  <c r="BQ132" i="18"/>
  <c r="BP50" i="18"/>
  <c r="BQ50" i="18"/>
  <c r="BR50" i="18"/>
  <c r="BP127" i="18"/>
  <c r="BR127" i="18"/>
  <c r="BQ127" i="18"/>
  <c r="BP53" i="18"/>
  <c r="BR53" i="18"/>
  <c r="BQ53" i="18"/>
  <c r="BP83" i="18"/>
  <c r="BQ83" i="18"/>
  <c r="BR83" i="18"/>
  <c r="BP146" i="18"/>
  <c r="BQ146" i="18"/>
  <c r="BR146" i="18"/>
  <c r="BR26" i="18"/>
  <c r="BQ26" i="18"/>
  <c r="BP92" i="18"/>
  <c r="BQ92" i="18"/>
  <c r="BR92" i="18"/>
  <c r="BP155" i="18"/>
  <c r="BR155" i="18"/>
  <c r="BQ155" i="18"/>
  <c r="BP250" i="18"/>
  <c r="BR250" i="18"/>
  <c r="BQ250" i="18"/>
  <c r="BP312" i="18"/>
  <c r="BR312" i="18"/>
  <c r="BQ312" i="18"/>
  <c r="BR407" i="18"/>
  <c r="BQ407" i="18"/>
  <c r="BP85" i="18"/>
  <c r="BQ85" i="18"/>
  <c r="BR85" i="18"/>
  <c r="BP212" i="18"/>
  <c r="BQ212" i="18"/>
  <c r="BR212" i="18"/>
  <c r="BP240" i="18"/>
  <c r="BR240" i="18"/>
  <c r="BQ240" i="18"/>
  <c r="BP334" i="18"/>
  <c r="BR334" i="18"/>
  <c r="BQ334" i="18"/>
  <c r="CA241" i="18"/>
  <c r="BZ241" i="18"/>
  <c r="BT241" i="18"/>
  <c r="BR134" i="18"/>
  <c r="BQ134" i="18"/>
  <c r="BO197" i="18"/>
  <c r="BR197" i="18"/>
  <c r="BQ197" i="18"/>
  <c r="BP260" i="18"/>
  <c r="BR260" i="18"/>
  <c r="BQ260" i="18"/>
  <c r="BP354" i="18"/>
  <c r="BQ354" i="18"/>
  <c r="BR354" i="18"/>
  <c r="BP150" i="18"/>
  <c r="BR150" i="18"/>
  <c r="BQ150" i="18"/>
  <c r="BZ348" i="18"/>
  <c r="CA348" i="18"/>
  <c r="BQ152" i="18"/>
  <c r="BR152" i="18"/>
  <c r="BZ170" i="18"/>
  <c r="CA170" i="18"/>
  <c r="CA116" i="18"/>
  <c r="BZ116" i="18"/>
  <c r="CA4" i="18"/>
  <c r="BZ4" i="18"/>
  <c r="BZ188" i="18"/>
  <c r="CA188" i="18"/>
  <c r="CA251" i="18"/>
  <c r="BZ251" i="18"/>
  <c r="BP90" i="18"/>
  <c r="BR90" i="18"/>
  <c r="BQ90" i="18"/>
  <c r="BP248" i="18"/>
  <c r="BQ248" i="18"/>
  <c r="BR248" i="18"/>
  <c r="BP358" i="18"/>
  <c r="BR358" i="18"/>
  <c r="BQ358" i="18"/>
  <c r="BQ159" i="18"/>
  <c r="BR159" i="18"/>
  <c r="BP396" i="18"/>
  <c r="BR396" i="18"/>
  <c r="BQ396" i="18"/>
  <c r="BZ253" i="18"/>
  <c r="BT253" i="18"/>
  <c r="CA253" i="18"/>
  <c r="BZ347" i="18"/>
  <c r="CA347" i="18"/>
  <c r="BT347" i="18"/>
  <c r="CA135" i="18"/>
  <c r="BZ135" i="18"/>
  <c r="CA238" i="18"/>
  <c r="BZ238" i="18"/>
  <c r="BZ105" i="18"/>
  <c r="CA105" i="18"/>
  <c r="BO357" i="18"/>
  <c r="CA69" i="18"/>
  <c r="BZ69" i="18"/>
  <c r="BZ258" i="18"/>
  <c r="CA258" i="18"/>
  <c r="CA77" i="18"/>
  <c r="BZ77" i="18"/>
  <c r="BZ143" i="18"/>
  <c r="CA143" i="18"/>
  <c r="CA37" i="18"/>
  <c r="BZ37" i="18"/>
  <c r="BZ151" i="18"/>
  <c r="CA151" i="18"/>
  <c r="CA215" i="18"/>
  <c r="BZ215" i="18"/>
  <c r="BO340" i="18"/>
  <c r="BP372" i="18"/>
  <c r="BR372" i="18"/>
  <c r="BQ372" i="18"/>
  <c r="CA38" i="18"/>
  <c r="BZ38" i="18"/>
  <c r="BR317" i="18"/>
  <c r="BQ317" i="18"/>
  <c r="BT12" i="18"/>
  <c r="CA12" i="18"/>
  <c r="BZ12" i="18"/>
  <c r="BP236" i="18"/>
  <c r="BQ236" i="18"/>
  <c r="BR236" i="18"/>
  <c r="BP299" i="18"/>
  <c r="BR299" i="18"/>
  <c r="BQ299" i="18"/>
  <c r="BP362" i="18"/>
  <c r="BR362" i="18"/>
  <c r="BQ362" i="18"/>
  <c r="BP96" i="18"/>
  <c r="BR96" i="18"/>
  <c r="BQ96" i="18"/>
  <c r="BP270" i="18"/>
  <c r="BR270" i="18"/>
  <c r="BQ270" i="18"/>
  <c r="BQ186" i="18"/>
  <c r="BR186" i="18"/>
  <c r="BP68" i="18"/>
  <c r="BR68" i="18"/>
  <c r="BQ68" i="18"/>
  <c r="BP41" i="18"/>
  <c r="BR41" i="18"/>
  <c r="BQ41" i="18"/>
  <c r="BP108" i="18"/>
  <c r="BQ108" i="18"/>
  <c r="BR108" i="18"/>
  <c r="BP171" i="18"/>
  <c r="BR171" i="18"/>
  <c r="BQ171" i="18"/>
  <c r="BR392" i="18"/>
  <c r="BQ392" i="18"/>
  <c r="BP42" i="18"/>
  <c r="BQ42" i="18"/>
  <c r="BR42" i="18"/>
  <c r="BP164" i="18"/>
  <c r="BR164" i="18"/>
  <c r="BQ164" i="18"/>
  <c r="BP226" i="18"/>
  <c r="BR226" i="18"/>
  <c r="BQ226" i="18"/>
  <c r="BP321" i="18"/>
  <c r="BR321" i="18"/>
  <c r="BQ321" i="18"/>
  <c r="BO130" i="18"/>
  <c r="BP161" i="18"/>
  <c r="BR161" i="18"/>
  <c r="BQ161" i="18"/>
  <c r="BP256" i="18"/>
  <c r="BR256" i="18"/>
  <c r="BQ256" i="18"/>
  <c r="BQ350" i="18"/>
  <c r="BR350" i="18"/>
  <c r="CA351" i="18"/>
  <c r="BZ351" i="18"/>
  <c r="BT351" i="18"/>
  <c r="BZ387" i="18"/>
  <c r="BT387" i="18"/>
  <c r="CA387" i="18"/>
  <c r="BR118" i="18"/>
  <c r="BQ118" i="18"/>
  <c r="BP181" i="18"/>
  <c r="BQ181" i="18"/>
  <c r="BR181" i="18"/>
  <c r="BP307" i="18"/>
  <c r="BQ307" i="18"/>
  <c r="BR307" i="18"/>
  <c r="BL2" i="18"/>
  <c r="BP2" i="18" s="1"/>
  <c r="BO112" i="18"/>
  <c r="BR112" i="18"/>
  <c r="BQ112" i="18"/>
  <c r="BP89" i="18"/>
  <c r="BQ89" i="18"/>
  <c r="BR89" i="18"/>
  <c r="BO341" i="18"/>
  <c r="BR341" i="18"/>
  <c r="BQ341" i="18"/>
  <c r="CA3" i="18"/>
  <c r="BZ3" i="18"/>
  <c r="BZ211" i="18"/>
  <c r="CA211" i="18"/>
  <c r="BZ400" i="18"/>
  <c r="CA400" i="18"/>
  <c r="CA109" i="18"/>
  <c r="BZ109" i="18"/>
  <c r="CA204" i="18"/>
  <c r="BZ204" i="18"/>
  <c r="CA267" i="18"/>
  <c r="BZ267" i="18"/>
  <c r="BZ329" i="18"/>
  <c r="CA329" i="18"/>
  <c r="BQ361" i="18"/>
  <c r="BR361" i="18"/>
  <c r="BP264" i="18"/>
  <c r="BR264" i="18"/>
  <c r="BQ264" i="18"/>
  <c r="BP342" i="18"/>
  <c r="BR342" i="18"/>
  <c r="BQ342" i="18"/>
  <c r="BP405" i="18"/>
  <c r="BR405" i="18"/>
  <c r="BQ405" i="18"/>
  <c r="BR316" i="18"/>
  <c r="BQ316" i="18"/>
  <c r="BP216" i="18"/>
  <c r="BQ216" i="18"/>
  <c r="BR216" i="18"/>
  <c r="BP128" i="18"/>
  <c r="BQ128" i="18"/>
  <c r="BR128" i="18"/>
  <c r="BP15" i="18"/>
  <c r="BQ15" i="18"/>
  <c r="BR15" i="18"/>
  <c r="CA139" i="18"/>
  <c r="BZ139" i="18"/>
  <c r="BR18" i="18"/>
  <c r="BQ18" i="18"/>
  <c r="BP195" i="18"/>
  <c r="BQ195" i="18"/>
  <c r="BR195" i="18"/>
  <c r="BP34" i="18"/>
  <c r="BR34" i="18"/>
  <c r="BQ34" i="18"/>
  <c r="BP72" i="18"/>
  <c r="BQ72" i="18"/>
  <c r="BR72" i="18"/>
  <c r="BP167" i="18"/>
  <c r="BR167" i="18"/>
  <c r="BQ167" i="18"/>
  <c r="BP229" i="18"/>
  <c r="BR229" i="18"/>
  <c r="BQ229" i="18"/>
  <c r="BP293" i="18"/>
  <c r="BR293" i="18"/>
  <c r="BQ293" i="18"/>
  <c r="BZ356" i="18"/>
  <c r="CA356" i="18"/>
  <c r="CA23" i="18"/>
  <c r="BZ23" i="18"/>
  <c r="CA81" i="18"/>
  <c r="BZ81" i="18"/>
  <c r="CA160" i="18"/>
  <c r="BZ160" i="18"/>
  <c r="CA239" i="18"/>
  <c r="BZ239" i="18"/>
  <c r="BP333" i="18"/>
  <c r="BR333" i="18"/>
  <c r="BQ333" i="18"/>
  <c r="BO397" i="18"/>
  <c r="BQ397" i="18"/>
  <c r="BR397" i="18"/>
  <c r="CA94" i="18"/>
  <c r="BZ94" i="18"/>
  <c r="BQ126" i="18"/>
  <c r="BR126" i="18"/>
  <c r="BP189" i="18"/>
  <c r="BR189" i="18"/>
  <c r="BQ189" i="18"/>
  <c r="BZ252" i="18"/>
  <c r="CA252" i="18"/>
  <c r="BR284" i="18"/>
  <c r="BQ284" i="18"/>
  <c r="BP144" i="18"/>
  <c r="BQ144" i="18"/>
  <c r="BR144" i="18"/>
  <c r="CA73" i="18"/>
  <c r="BZ73" i="18"/>
  <c r="CA75" i="18"/>
  <c r="BZ75" i="18"/>
  <c r="CA33" i="18"/>
  <c r="BZ33" i="18"/>
  <c r="BZ242" i="18"/>
  <c r="CA242" i="18"/>
  <c r="CA64" i="18"/>
  <c r="BZ64" i="18"/>
  <c r="CA206" i="18"/>
  <c r="BZ206" i="18"/>
  <c r="CA136" i="18"/>
  <c r="BZ136" i="18"/>
  <c r="BZ178" i="18"/>
  <c r="CA178" i="18"/>
  <c r="BQ210" i="18"/>
  <c r="BR210" i="18"/>
  <c r="BZ61" i="18"/>
  <c r="CA61" i="18"/>
  <c r="BZ124" i="18"/>
  <c r="CA124" i="18"/>
  <c r="CA187" i="18"/>
  <c r="BZ187" i="18"/>
  <c r="BZ344" i="18"/>
  <c r="CA344" i="18"/>
  <c r="BP376" i="18"/>
  <c r="BR376" i="18"/>
  <c r="BQ376" i="18"/>
  <c r="BR148" i="18"/>
  <c r="BQ148" i="18"/>
  <c r="BZ212" i="18"/>
  <c r="CA212" i="18"/>
  <c r="BP275" i="18"/>
  <c r="BR275" i="18"/>
  <c r="BQ275" i="18"/>
  <c r="BP337" i="18"/>
  <c r="BQ337" i="18"/>
  <c r="BR337" i="18"/>
  <c r="BO82" i="18"/>
  <c r="BQ82" i="18"/>
  <c r="BR82" i="18"/>
  <c r="BP145" i="18"/>
  <c r="BR145" i="18"/>
  <c r="BQ145" i="18"/>
  <c r="CA303" i="18"/>
  <c r="BZ303" i="18"/>
  <c r="BP398" i="18"/>
  <c r="BQ398" i="18"/>
  <c r="BR398" i="18"/>
  <c r="BP102" i="18"/>
  <c r="BR102" i="18"/>
  <c r="BQ102" i="18"/>
  <c r="BZ165" i="18"/>
  <c r="CA165" i="18"/>
  <c r="BZ227" i="18"/>
  <c r="CA227" i="18"/>
  <c r="BZ322" i="18"/>
  <c r="CA322" i="18"/>
  <c r="BR348" i="18"/>
  <c r="BQ348" i="18"/>
  <c r="BQ170" i="18"/>
  <c r="BR170" i="18"/>
  <c r="BP116" i="18"/>
  <c r="BR116" i="18"/>
  <c r="BQ116" i="18"/>
  <c r="BP4" i="18"/>
  <c r="BQ4" i="18"/>
  <c r="BR4" i="18"/>
  <c r="BP188" i="18"/>
  <c r="BR188" i="18"/>
  <c r="BQ188" i="18"/>
  <c r="BP251" i="18"/>
  <c r="BR251" i="18"/>
  <c r="BQ251" i="18"/>
  <c r="BP345" i="18"/>
  <c r="BQ345" i="18"/>
  <c r="BR345" i="18"/>
  <c r="BZ59" i="18"/>
  <c r="CA59" i="18"/>
  <c r="BP153" i="18"/>
  <c r="BQ153" i="18"/>
  <c r="BR153" i="18"/>
  <c r="CA326" i="18"/>
  <c r="BZ326" i="18"/>
  <c r="BL30" i="18"/>
  <c r="BO30" i="18" s="1"/>
  <c r="BR404" i="18"/>
  <c r="BQ404" i="18"/>
  <c r="BP135" i="18"/>
  <c r="BQ135" i="18"/>
  <c r="BR135" i="18"/>
  <c r="BP238" i="18"/>
  <c r="BR238" i="18"/>
  <c r="BQ238" i="18"/>
  <c r="BP105" i="18"/>
  <c r="BQ105" i="18"/>
  <c r="BR105" i="18"/>
  <c r="BQ107" i="18"/>
  <c r="BR107" i="18"/>
  <c r="BP69" i="18"/>
  <c r="BQ69" i="18"/>
  <c r="BR69" i="18"/>
  <c r="BP258" i="18"/>
  <c r="BQ258" i="18"/>
  <c r="BR258" i="18"/>
  <c r="BP77" i="18"/>
  <c r="BR77" i="18"/>
  <c r="BQ77" i="18"/>
  <c r="BP143" i="18"/>
  <c r="BR143" i="18"/>
  <c r="BQ143" i="18"/>
  <c r="BP37" i="18"/>
  <c r="BR37" i="18"/>
  <c r="BQ37" i="18"/>
  <c r="BP151" i="18"/>
  <c r="BR151" i="18"/>
  <c r="BQ151" i="18"/>
  <c r="BP215" i="18"/>
  <c r="BQ215" i="18"/>
  <c r="BR215" i="18"/>
  <c r="BP38" i="18"/>
  <c r="BR38" i="18"/>
  <c r="BQ38" i="18"/>
  <c r="BP129" i="18"/>
  <c r="BQ129" i="18"/>
  <c r="BR129" i="18"/>
  <c r="BP208" i="18"/>
  <c r="BR208" i="18"/>
  <c r="BQ208" i="18"/>
  <c r="BP287" i="18"/>
  <c r="BQ287" i="18"/>
  <c r="BR287" i="18"/>
  <c r="BP381" i="18"/>
  <c r="BR381" i="18"/>
  <c r="BQ381" i="18"/>
  <c r="CA28" i="18"/>
  <c r="BZ28" i="18"/>
  <c r="BT28" i="18"/>
  <c r="BQ78" i="18"/>
  <c r="BR78" i="18"/>
  <c r="BP142" i="18"/>
  <c r="BR142" i="18"/>
  <c r="BQ142" i="18"/>
  <c r="BZ268" i="18"/>
  <c r="CA268" i="18"/>
  <c r="BZ330" i="18"/>
  <c r="CA330" i="18"/>
  <c r="CA71" i="18"/>
  <c r="BZ71" i="18"/>
  <c r="BQ137" i="18"/>
  <c r="BR137" i="18"/>
  <c r="BP373" i="18"/>
  <c r="BQ373" i="18"/>
  <c r="BR373" i="18"/>
  <c r="BZ179" i="18"/>
  <c r="CA179" i="18"/>
  <c r="BO352" i="18"/>
  <c r="BR352" i="18"/>
  <c r="BQ352" i="18"/>
  <c r="BP125" i="18"/>
  <c r="BR125" i="18"/>
  <c r="BQ125" i="18"/>
  <c r="BR162" i="18"/>
  <c r="BQ162" i="18"/>
  <c r="BZ76" i="18"/>
  <c r="CA76" i="18"/>
  <c r="CA140" i="18"/>
  <c r="BZ140" i="18"/>
  <c r="BR234" i="18"/>
  <c r="BQ234" i="18"/>
  <c r="BP297" i="18"/>
  <c r="BR297" i="18"/>
  <c r="BQ297" i="18"/>
  <c r="BP360" i="18"/>
  <c r="BQ360" i="18"/>
  <c r="BR360" i="18"/>
  <c r="CA11" i="18"/>
  <c r="BZ11" i="18"/>
  <c r="BZ133" i="18"/>
  <c r="CA133" i="18"/>
  <c r="CA353" i="18"/>
  <c r="BZ353" i="18"/>
  <c r="BP385" i="18"/>
  <c r="BR385" i="18"/>
  <c r="BQ385" i="18"/>
  <c r="CA288" i="18"/>
  <c r="BZ288" i="18"/>
  <c r="BO318" i="18"/>
  <c r="BR318" i="18"/>
  <c r="BQ318" i="18"/>
  <c r="BP86" i="18"/>
  <c r="BQ86" i="18"/>
  <c r="BR86" i="18"/>
  <c r="CA149" i="18"/>
  <c r="BZ149" i="18"/>
  <c r="BP3" i="18"/>
  <c r="BQ3" i="18"/>
  <c r="BR3" i="18"/>
  <c r="BP211" i="18"/>
  <c r="BQ211" i="18"/>
  <c r="BR211" i="18"/>
  <c r="BP400" i="18"/>
  <c r="BQ400" i="18"/>
  <c r="BR400" i="18"/>
  <c r="BP109" i="18"/>
  <c r="BR109" i="18"/>
  <c r="BQ109" i="18"/>
  <c r="BP204" i="18"/>
  <c r="BR204" i="18"/>
  <c r="BQ204" i="18"/>
  <c r="BP267" i="18"/>
  <c r="BR267" i="18"/>
  <c r="BQ267" i="18"/>
  <c r="BP329" i="18"/>
  <c r="BQ329" i="18"/>
  <c r="BR329" i="18"/>
  <c r="CA393" i="18"/>
  <c r="BZ393" i="18"/>
  <c r="BQ74" i="18"/>
  <c r="BR74" i="18"/>
  <c r="BP138" i="18"/>
  <c r="BR138" i="18"/>
  <c r="BQ138" i="18"/>
  <c r="BZ201" i="18"/>
  <c r="CA201" i="18"/>
  <c r="BZ295" i="18"/>
  <c r="CA295" i="18"/>
  <c r="BZ17" i="18"/>
  <c r="CA17" i="18"/>
  <c r="BT17" i="18"/>
  <c r="BR214" i="18"/>
  <c r="BQ214" i="18"/>
  <c r="BP223" i="18"/>
  <c r="BQ223" i="18"/>
  <c r="BR223" i="18"/>
  <c r="BZ46" i="18"/>
  <c r="CA46" i="18"/>
  <c r="CA325" i="18"/>
  <c r="BZ325" i="18"/>
  <c r="CA166" i="18"/>
  <c r="BZ166" i="18"/>
  <c r="BZ286" i="18"/>
  <c r="CA286" i="18"/>
  <c r="BQ310" i="18"/>
  <c r="BR310" i="18"/>
  <c r="BP139" i="18"/>
  <c r="BR139" i="18"/>
  <c r="BQ139" i="18"/>
  <c r="CA147" i="18"/>
  <c r="BZ147" i="18"/>
  <c r="BQ111" i="18"/>
  <c r="BR111" i="18"/>
  <c r="BP356" i="18"/>
  <c r="BQ356" i="18"/>
  <c r="BR356" i="18"/>
  <c r="BP23" i="18"/>
  <c r="BR23" i="18"/>
  <c r="BQ23" i="18"/>
  <c r="BP81" i="18"/>
  <c r="BR81" i="18"/>
  <c r="BQ81" i="18"/>
  <c r="BP160" i="18"/>
  <c r="BR160" i="18"/>
  <c r="BQ160" i="18"/>
  <c r="BP239" i="18"/>
  <c r="BR239" i="18"/>
  <c r="BQ239" i="18"/>
  <c r="BP94" i="18"/>
  <c r="BQ94" i="18"/>
  <c r="BR94" i="18"/>
  <c r="BP252" i="18"/>
  <c r="BQ252" i="18"/>
  <c r="BR252" i="18"/>
  <c r="BQ378" i="18"/>
  <c r="BR378" i="18"/>
  <c r="BZ332" i="18"/>
  <c r="CA332" i="18"/>
  <c r="BP73" i="18"/>
  <c r="BR73" i="18"/>
  <c r="BQ73" i="18"/>
  <c r="BP75" i="18"/>
  <c r="BQ75" i="18"/>
  <c r="BR75" i="18"/>
  <c r="BP33" i="18"/>
  <c r="BQ33" i="18"/>
  <c r="BR33" i="18"/>
  <c r="BP242" i="18"/>
  <c r="BR242" i="18"/>
  <c r="BQ242" i="18"/>
  <c r="BP64" i="18"/>
  <c r="BQ64" i="18"/>
  <c r="BR64" i="18"/>
  <c r="BP206" i="18"/>
  <c r="BR206" i="18"/>
  <c r="BQ206" i="18"/>
  <c r="BP136" i="18"/>
  <c r="BR136" i="18"/>
  <c r="BQ136" i="18"/>
  <c r="BO115" i="18"/>
  <c r="BR115" i="18"/>
  <c r="BQ115" i="18"/>
  <c r="BP178" i="18"/>
  <c r="BR178" i="18"/>
  <c r="BQ178" i="18"/>
  <c r="BP61" i="18"/>
  <c r="BQ61" i="18"/>
  <c r="BR61" i="18"/>
  <c r="BP124" i="18"/>
  <c r="BQ124" i="18"/>
  <c r="BR124" i="18"/>
  <c r="BP187" i="18"/>
  <c r="BR187" i="18"/>
  <c r="BQ187" i="18"/>
  <c r="BP27" i="18"/>
  <c r="BQ27" i="18"/>
  <c r="BR27" i="18"/>
  <c r="BP117" i="18"/>
  <c r="BR117" i="18"/>
  <c r="BQ117" i="18"/>
  <c r="CA180" i="18"/>
  <c r="BZ180" i="18"/>
  <c r="CA243" i="18"/>
  <c r="BZ243" i="18"/>
  <c r="BZ306" i="18"/>
  <c r="CA306" i="18"/>
  <c r="BZ114" i="18"/>
  <c r="CA114" i="18"/>
  <c r="CA177" i="18"/>
  <c r="BZ177" i="18"/>
  <c r="BR209" i="18"/>
  <c r="BQ209" i="18"/>
  <c r="BP303" i="18"/>
  <c r="BQ303" i="18"/>
  <c r="BR303" i="18"/>
  <c r="BZ366" i="18"/>
  <c r="CA366" i="18"/>
  <c r="CA70" i="18"/>
  <c r="BZ70" i="18"/>
  <c r="CA134" i="18"/>
  <c r="BZ134" i="18"/>
  <c r="BP165" i="18"/>
  <c r="BQ165" i="18"/>
  <c r="BR165" i="18"/>
  <c r="BP227" i="18"/>
  <c r="BR227" i="18"/>
  <c r="BQ227" i="18"/>
  <c r="BR322" i="18"/>
  <c r="BQ322" i="18"/>
  <c r="BO386" i="18"/>
  <c r="BR386" i="18"/>
  <c r="BQ386" i="18"/>
  <c r="BP191" i="18"/>
  <c r="BQ191" i="18"/>
  <c r="BR191" i="18"/>
  <c r="CA152" i="18"/>
  <c r="BZ152" i="18"/>
  <c r="BP389" i="18"/>
  <c r="BQ389" i="18"/>
  <c r="BR389" i="18"/>
  <c r="CA49" i="18"/>
  <c r="BZ49" i="18"/>
  <c r="BZ93" i="18"/>
  <c r="CA93" i="18"/>
  <c r="BZ220" i="18"/>
  <c r="CA220" i="18"/>
  <c r="BZ313" i="18"/>
  <c r="CA313" i="18"/>
  <c r="CA377" i="18"/>
  <c r="BZ377" i="18"/>
  <c r="BQ59" i="18"/>
  <c r="BR59" i="18"/>
  <c r="CA185" i="18"/>
  <c r="BZ185" i="18"/>
  <c r="BR217" i="18"/>
  <c r="BQ217" i="18"/>
  <c r="BP326" i="18"/>
  <c r="BR326" i="18"/>
  <c r="BQ326" i="18"/>
  <c r="BP254" i="18"/>
  <c r="BQ254" i="18"/>
  <c r="BR254" i="18"/>
  <c r="BP121" i="18"/>
  <c r="BR121" i="18"/>
  <c r="BQ121" i="18"/>
  <c r="BZ45" i="18"/>
  <c r="CA45" i="18"/>
  <c r="CA364" i="18"/>
  <c r="BZ364" i="18"/>
  <c r="CA263" i="18"/>
  <c r="BZ263" i="18"/>
  <c r="BQ357" i="18"/>
  <c r="BR357" i="18"/>
  <c r="BZ202" i="18"/>
  <c r="CA202" i="18"/>
  <c r="BZ163" i="18"/>
  <c r="CA163" i="18"/>
  <c r="BZ368" i="18"/>
  <c r="CA368" i="18"/>
  <c r="BZ79" i="18"/>
  <c r="CA79" i="18"/>
  <c r="CA190" i="18"/>
  <c r="BZ190" i="18"/>
  <c r="CA88" i="18"/>
  <c r="BZ88" i="18"/>
  <c r="CA183" i="18"/>
  <c r="BZ183" i="18"/>
  <c r="BZ246" i="18"/>
  <c r="CA246" i="18"/>
  <c r="BQ340" i="18"/>
  <c r="BR340" i="18"/>
  <c r="CA403" i="18"/>
  <c r="BZ403" i="18"/>
  <c r="CA97" i="18"/>
  <c r="BZ97" i="18"/>
  <c r="BZ255" i="18"/>
  <c r="CA255" i="18"/>
  <c r="BZ43" i="18"/>
  <c r="BT43" i="18"/>
  <c r="CA43" i="18"/>
  <c r="BO110" i="18"/>
  <c r="BO173" i="18"/>
  <c r="BR205" i="18"/>
  <c r="BQ205" i="18"/>
  <c r="BP268" i="18"/>
  <c r="BQ268" i="18"/>
  <c r="BR268" i="18"/>
  <c r="BP330" i="18"/>
  <c r="BR330" i="18"/>
  <c r="BQ330" i="18"/>
  <c r="BP71" i="18"/>
  <c r="BQ71" i="18"/>
  <c r="BR71" i="18"/>
  <c r="BP175" i="18"/>
  <c r="BQ175" i="18"/>
  <c r="BR175" i="18"/>
  <c r="BP380" i="18"/>
  <c r="BR380" i="18"/>
  <c r="BQ380" i="18"/>
  <c r="BO19" i="18"/>
  <c r="BO7" i="18"/>
  <c r="BQ104" i="18"/>
  <c r="BR104" i="18"/>
  <c r="BO131" i="18"/>
  <c r="BR131" i="18"/>
  <c r="BQ131" i="18"/>
  <c r="BO194" i="18"/>
  <c r="BQ10" i="18"/>
  <c r="BR10" i="18"/>
  <c r="BP76" i="18"/>
  <c r="BQ76" i="18"/>
  <c r="BR76" i="18"/>
  <c r="BP140" i="18"/>
  <c r="BQ140" i="18"/>
  <c r="BR140" i="18"/>
  <c r="BP203" i="18"/>
  <c r="BR203" i="18"/>
  <c r="BQ203" i="18"/>
  <c r="CA266" i="18"/>
  <c r="BZ266" i="18"/>
  <c r="CA328" i="18"/>
  <c r="BZ328" i="18"/>
  <c r="BP11" i="18"/>
  <c r="BQ11" i="18"/>
  <c r="BR11" i="18"/>
  <c r="BP133" i="18"/>
  <c r="BQ133" i="18"/>
  <c r="BR133" i="18"/>
  <c r="BP196" i="18"/>
  <c r="BR196" i="18"/>
  <c r="BQ196" i="18"/>
  <c r="BP259" i="18"/>
  <c r="BQ259" i="18"/>
  <c r="BR259" i="18"/>
  <c r="BZ67" i="18"/>
  <c r="CA67" i="18"/>
  <c r="BR130" i="18"/>
  <c r="BQ130" i="18"/>
  <c r="BO193" i="18"/>
  <c r="BQ193" i="18"/>
  <c r="BR193" i="18"/>
  <c r="BZ350" i="18"/>
  <c r="CA350" i="18"/>
  <c r="CA257" i="18"/>
  <c r="BT257" i="18"/>
  <c r="BZ257" i="18"/>
  <c r="BP149" i="18"/>
  <c r="BR149" i="18"/>
  <c r="BQ149" i="18"/>
  <c r="BO213" i="18"/>
  <c r="BR213" i="18"/>
  <c r="BQ213" i="18"/>
  <c r="BO338" i="18"/>
  <c r="BQ338" i="18"/>
  <c r="BR338" i="18"/>
  <c r="BP198" i="18"/>
  <c r="BR198" i="18"/>
  <c r="BQ198" i="18"/>
  <c r="BP301" i="18"/>
  <c r="BR301" i="18"/>
  <c r="BQ301" i="18"/>
  <c r="BP230" i="18"/>
  <c r="BR230" i="18"/>
  <c r="BQ230" i="18"/>
  <c r="CA84" i="18"/>
  <c r="BZ84" i="18"/>
  <c r="BZ289" i="18"/>
  <c r="CA289" i="18"/>
  <c r="BZ62" i="18"/>
  <c r="CA62" i="18"/>
  <c r="BZ172" i="18"/>
  <c r="CA172" i="18"/>
  <c r="BZ235" i="18"/>
  <c r="CA235" i="18"/>
  <c r="BP393" i="18"/>
  <c r="BR393" i="18"/>
  <c r="BQ393" i="18"/>
  <c r="BZ106" i="18"/>
  <c r="CA106" i="18"/>
  <c r="CA169" i="18"/>
  <c r="BZ169" i="18"/>
  <c r="BQ201" i="18"/>
  <c r="BR201" i="18"/>
  <c r="BP295" i="18"/>
  <c r="BR295" i="18"/>
  <c r="BQ295" i="18"/>
  <c r="BO374" i="18"/>
  <c r="BQ374" i="18"/>
  <c r="BR374" i="18"/>
  <c r="CA80" i="18"/>
  <c r="BZ80" i="18"/>
  <c r="BP46" i="18"/>
  <c r="BQ46" i="18"/>
  <c r="BR46" i="18"/>
  <c r="BR166" i="18"/>
  <c r="BQ166" i="18"/>
  <c r="BP286" i="18"/>
  <c r="BQ286" i="18"/>
  <c r="BR286" i="18"/>
  <c r="BP200" i="18"/>
  <c r="BQ200" i="18"/>
  <c r="BR200" i="18"/>
  <c r="BZ60" i="18"/>
  <c r="CA60" i="18"/>
  <c r="BP147" i="18"/>
  <c r="BR147" i="18"/>
  <c r="BQ147" i="18"/>
  <c r="BP320" i="18"/>
  <c r="BR320" i="18"/>
  <c r="BQ320" i="18"/>
  <c r="BP141" i="18"/>
  <c r="BR141" i="18"/>
  <c r="BQ141" i="18"/>
  <c r="CA158" i="18"/>
  <c r="BZ158" i="18"/>
  <c r="BQ22" i="18"/>
  <c r="BR22" i="18"/>
  <c r="BP120" i="18"/>
  <c r="BQ120" i="18"/>
  <c r="BR120" i="18"/>
  <c r="BP199" i="18"/>
  <c r="BR199" i="18"/>
  <c r="BQ199" i="18"/>
  <c r="BP262" i="18"/>
  <c r="BR262" i="18"/>
  <c r="BQ262" i="18"/>
  <c r="BZ388" i="18"/>
  <c r="CA388" i="18"/>
  <c r="CA54" i="18"/>
  <c r="BZ54" i="18"/>
  <c r="BZ113" i="18"/>
  <c r="CA113" i="18"/>
  <c r="CA192" i="18"/>
  <c r="BZ192" i="18"/>
  <c r="BZ271" i="18"/>
  <c r="CA271" i="18"/>
  <c r="BQ302" i="18"/>
  <c r="BR302" i="18"/>
  <c r="BP365" i="18"/>
  <c r="BQ365" i="18"/>
  <c r="BR365" i="18"/>
  <c r="BP126" i="18"/>
  <c r="BP157" i="18"/>
  <c r="BR157" i="18"/>
  <c r="BQ157" i="18"/>
  <c r="CA221" i="18"/>
  <c r="BZ221" i="18"/>
  <c r="BP284" i="18"/>
  <c r="BR346" i="18"/>
  <c r="BQ346" i="18"/>
  <c r="CA119" i="18"/>
  <c r="BZ119" i="18"/>
  <c r="BQ14" i="18"/>
  <c r="BR14" i="18"/>
  <c r="CA247" i="18"/>
  <c r="BZ247" i="18"/>
  <c r="CA154" i="18"/>
  <c r="BZ154" i="18"/>
  <c r="BZ132" i="18"/>
  <c r="CA132" i="18"/>
  <c r="BZ50" i="18"/>
  <c r="CA50" i="18"/>
  <c r="CA127" i="18"/>
  <c r="BZ127" i="18"/>
  <c r="CA53" i="18"/>
  <c r="BZ53" i="18"/>
  <c r="BZ83" i="18"/>
  <c r="CA83" i="18"/>
  <c r="CA146" i="18"/>
  <c r="BZ146" i="18"/>
  <c r="BP210" i="18"/>
  <c r="CA92" i="18"/>
  <c r="BZ92" i="18"/>
  <c r="CA155" i="18"/>
  <c r="BZ155" i="18"/>
  <c r="CA250" i="18"/>
  <c r="BZ250" i="18"/>
  <c r="BO312" i="18"/>
  <c r="BQ344" i="18"/>
  <c r="BR344" i="18"/>
  <c r="BO407" i="18"/>
  <c r="BO85" i="18"/>
  <c r="BO148" i="18"/>
  <c r="BP180" i="18"/>
  <c r="BR180" i="18"/>
  <c r="BQ180" i="18"/>
  <c r="BP243" i="18"/>
  <c r="BQ243" i="18"/>
  <c r="BR243" i="18"/>
  <c r="BP306" i="18"/>
  <c r="BQ306" i="18"/>
  <c r="BR306" i="18"/>
  <c r="BP114" i="18"/>
  <c r="BQ114" i="18"/>
  <c r="BR114" i="18"/>
  <c r="BP177" i="18"/>
  <c r="BR177" i="18"/>
  <c r="BQ177" i="18"/>
  <c r="BZ240" i="18"/>
  <c r="CA240" i="18"/>
  <c r="BO334" i="18"/>
  <c r="BQ366" i="18"/>
  <c r="BR366" i="18"/>
  <c r="BQ70" i="18"/>
  <c r="BR70" i="18"/>
  <c r="BO260" i="18"/>
  <c r="BR291" i="18"/>
  <c r="BQ291" i="18"/>
  <c r="BO354" i="18"/>
  <c r="BO150" i="18"/>
  <c r="BP152" i="18"/>
  <c r="BP170" i="18"/>
  <c r="BP49" i="18"/>
  <c r="BR49" i="18"/>
  <c r="BQ49" i="18"/>
  <c r="BO336" i="18"/>
  <c r="BR336" i="18"/>
  <c r="BQ336" i="18"/>
  <c r="BP93" i="18"/>
  <c r="BQ93" i="18"/>
  <c r="BR93" i="18"/>
  <c r="BP220" i="18"/>
  <c r="BR220" i="18"/>
  <c r="BQ220" i="18"/>
  <c r="BP313" i="18"/>
  <c r="BR313" i="18"/>
  <c r="BQ313" i="18"/>
  <c r="BP377" i="18"/>
  <c r="BQ377" i="18"/>
  <c r="BR377" i="18"/>
  <c r="BZ90" i="18"/>
  <c r="CA90" i="18"/>
  <c r="BR122" i="18"/>
  <c r="BQ122" i="18"/>
  <c r="BP185" i="18"/>
  <c r="BQ185" i="18"/>
  <c r="BR185" i="18"/>
  <c r="BZ248" i="18"/>
  <c r="CA248" i="18"/>
  <c r="BZ358" i="18"/>
  <c r="CA358" i="18"/>
  <c r="CA228" i="18"/>
  <c r="BZ228" i="18"/>
  <c r="BT228" i="18"/>
  <c r="BF416" i="3"/>
  <c r="BF418" i="3" s="1"/>
  <c r="C107" i="15"/>
  <c r="C325" i="15"/>
  <c r="B133" i="15"/>
  <c r="Q133" i="15" s="1"/>
  <c r="B205" i="15"/>
  <c r="Q205" i="15" s="1"/>
  <c r="C113" i="15"/>
  <c r="C192" i="15"/>
  <c r="B227" i="15"/>
  <c r="Q227" i="15" s="1"/>
  <c r="C157" i="15"/>
  <c r="B197" i="15"/>
  <c r="Q197" i="15" s="1"/>
  <c r="C39" i="15"/>
  <c r="C129" i="15"/>
  <c r="B127" i="12" s="1"/>
  <c r="C90" i="15"/>
  <c r="B134" i="15"/>
  <c r="Q134" i="15" s="1"/>
  <c r="C55" i="15"/>
  <c r="C59" i="15"/>
  <c r="B57" i="12" s="1"/>
  <c r="B181" i="15"/>
  <c r="Q181" i="15" s="1"/>
  <c r="B21" i="15"/>
  <c r="Q21" i="15" s="1"/>
  <c r="C65" i="15"/>
  <c r="B30" i="15"/>
  <c r="Q30" i="15" s="1"/>
  <c r="C24" i="15"/>
  <c r="B85" i="15"/>
  <c r="Q85" i="15" s="1"/>
  <c r="B287" i="15"/>
  <c r="Q287" i="15" s="1"/>
  <c r="B162" i="15"/>
  <c r="Q162" i="15" s="1"/>
  <c r="B80" i="15"/>
  <c r="Q80" i="15" s="1"/>
  <c r="C245" i="15"/>
  <c r="B102" i="15"/>
  <c r="Q102" i="15" s="1"/>
  <c r="C181" i="15"/>
  <c r="D181" i="15" s="1"/>
  <c r="C150" i="15"/>
  <c r="C94" i="15"/>
  <c r="B63" i="15"/>
  <c r="Q63" i="15" s="1"/>
  <c r="C70" i="15"/>
  <c r="B76" i="15"/>
  <c r="Q76" i="15" s="1"/>
  <c r="C164" i="15"/>
  <c r="C32" i="15"/>
  <c r="C37" i="15"/>
  <c r="B35" i="12" s="1"/>
  <c r="B34" i="15"/>
  <c r="Q34" i="15" s="1"/>
  <c r="B17" i="15"/>
  <c r="Q17" i="15" s="1"/>
  <c r="B534" i="15"/>
  <c r="B501" i="15"/>
  <c r="C595" i="15"/>
  <c r="B531" i="15"/>
  <c r="C471" i="15"/>
  <c r="C518" i="15"/>
  <c r="C481" i="15"/>
  <c r="C337" i="15"/>
  <c r="B610" i="15"/>
  <c r="B208" i="15"/>
  <c r="Q208" i="15" s="1"/>
  <c r="B281" i="15"/>
  <c r="Q281" i="15" s="1"/>
  <c r="C612" i="15"/>
  <c r="E612" i="15" s="1"/>
  <c r="B268" i="15"/>
  <c r="Q268" i="15" s="1"/>
  <c r="C438" i="15"/>
  <c r="D438" i="15" s="1"/>
  <c r="B409" i="15"/>
  <c r="C184" i="15"/>
  <c r="B310" i="15"/>
  <c r="Q310" i="15" s="1"/>
  <c r="C229" i="15"/>
  <c r="G229" i="15" s="1"/>
  <c r="B467" i="15"/>
  <c r="B261" i="15"/>
  <c r="Q261" i="15" s="1"/>
  <c r="B348" i="15"/>
  <c r="Q348" i="15" s="1"/>
  <c r="B207" i="15"/>
  <c r="Q207" i="15" s="1"/>
  <c r="B404" i="15"/>
  <c r="C532" i="15"/>
  <c r="C187" i="15"/>
  <c r="B121" i="15"/>
  <c r="Q121" i="15" s="1"/>
  <c r="C538" i="15"/>
  <c r="C510" i="15"/>
  <c r="C154" i="15"/>
  <c r="B447" i="15"/>
  <c r="C446" i="15"/>
  <c r="B573" i="15"/>
  <c r="B221" i="15"/>
  <c r="Q221" i="15" s="1"/>
  <c r="C391" i="15"/>
  <c r="F391" i="15" s="1"/>
  <c r="B342" i="15"/>
  <c r="Q342" i="15" s="1"/>
  <c r="C87" i="15"/>
  <c r="C547" i="15"/>
  <c r="B346" i="15"/>
  <c r="Q346" i="15" s="1"/>
  <c r="C151" i="15"/>
  <c r="C414" i="15"/>
  <c r="B128" i="15"/>
  <c r="Q128" i="15" s="1"/>
  <c r="C461" i="15"/>
  <c r="C97" i="15"/>
  <c r="C464" i="15"/>
  <c r="B185" i="15"/>
  <c r="Q185" i="15" s="1"/>
  <c r="B149" i="15"/>
  <c r="Q149" i="15" s="1"/>
  <c r="B373" i="15"/>
  <c r="B150" i="15"/>
  <c r="Q150" i="15" s="1"/>
  <c r="B70" i="15"/>
  <c r="Q70" i="15" s="1"/>
  <c r="C54" i="15"/>
  <c r="C68" i="15"/>
  <c r="C61" i="15"/>
  <c r="C33" i="15"/>
  <c r="C550" i="15"/>
  <c r="G550" i="15" s="1"/>
  <c r="B214" i="15"/>
  <c r="Q214" i="15" s="1"/>
  <c r="C288" i="15"/>
  <c r="B43" i="15"/>
  <c r="Q43" i="15" s="1"/>
  <c r="B454" i="15"/>
  <c r="C368" i="15"/>
  <c r="C496" i="15"/>
  <c r="E496" i="15" s="1"/>
  <c r="C462" i="15"/>
  <c r="B514" i="15"/>
  <c r="B479" i="15"/>
  <c r="B358" i="15"/>
  <c r="Q358" i="15" s="1"/>
  <c r="C587" i="15"/>
  <c r="C443" i="15"/>
  <c r="G443" i="15" s="1"/>
  <c r="B304" i="15"/>
  <c r="Q304" i="15" s="1"/>
  <c r="C529" i="15"/>
  <c r="C458" i="15"/>
  <c r="B605" i="15"/>
  <c r="C234" i="15"/>
  <c r="C211" i="15"/>
  <c r="C467" i="15"/>
  <c r="B553" i="15"/>
  <c r="B418" i="15"/>
  <c r="C312" i="15"/>
  <c r="B229" i="15"/>
  <c r="Q229" i="15" s="1"/>
  <c r="B597" i="15"/>
  <c r="C408" i="15"/>
  <c r="B223" i="15"/>
  <c r="Q223" i="15" s="1"/>
  <c r="B146" i="15"/>
  <c r="Q146" i="15" s="1"/>
  <c r="B594" i="15"/>
  <c r="C469" i="15"/>
  <c r="B397" i="15"/>
  <c r="C403" i="15"/>
  <c r="B165" i="15"/>
  <c r="Q165" i="15" s="1"/>
  <c r="C504" i="15"/>
  <c r="C118" i="15"/>
  <c r="B420" i="15"/>
  <c r="C318" i="15"/>
  <c r="C385" i="15"/>
  <c r="C488" i="15"/>
  <c r="B530" i="15"/>
  <c r="B386" i="15"/>
  <c r="C176" i="15"/>
  <c r="C502" i="15"/>
  <c r="F502" i="15" s="1"/>
  <c r="C166" i="15"/>
  <c r="C315" i="15"/>
  <c r="G315" i="15" s="1"/>
  <c r="B272" i="15"/>
  <c r="Q272" i="15" s="1"/>
  <c r="C160" i="15"/>
  <c r="C442" i="15"/>
  <c r="C80" i="15"/>
  <c r="F80" i="15" s="1"/>
  <c r="C74" i="15"/>
  <c r="C155" i="15"/>
  <c r="B60" i="15"/>
  <c r="Q60" i="15" s="1"/>
  <c r="C133" i="15"/>
  <c r="C51" i="15"/>
  <c r="B450" i="15"/>
  <c r="B95" i="15"/>
  <c r="Q95" i="15" s="1"/>
  <c r="C117" i="15"/>
  <c r="D117" i="15" s="1"/>
  <c r="C56" i="15"/>
  <c r="B83" i="15"/>
  <c r="Q83" i="15" s="1"/>
  <c r="C328" i="15"/>
  <c r="C40" i="15"/>
  <c r="C248" i="15"/>
  <c r="B182" i="15"/>
  <c r="Q182" i="15" s="1"/>
  <c r="C549" i="15"/>
  <c r="C69" i="15"/>
  <c r="B67" i="12" s="1"/>
  <c r="B611" i="15"/>
  <c r="C590" i="15"/>
  <c r="F590" i="15" s="1"/>
  <c r="B591" i="15"/>
  <c r="B464" i="15"/>
  <c r="B508" i="15"/>
  <c r="C456" i="15"/>
  <c r="B276" i="15"/>
  <c r="Q276" i="15" s="1"/>
  <c r="C250" i="15"/>
  <c r="D250" i="15" s="1"/>
  <c r="B512" i="15"/>
  <c r="B604" i="15"/>
  <c r="C422" i="15"/>
  <c r="C513" i="15"/>
  <c r="D513" i="15" s="1"/>
  <c r="C283" i="15"/>
  <c r="C202" i="15"/>
  <c r="C179" i="15"/>
  <c r="C516" i="15"/>
  <c r="C519" i="15"/>
  <c r="B477" i="15"/>
  <c r="B607" i="15"/>
  <c r="B614" i="15"/>
  <c r="B406" i="15"/>
  <c r="B365" i="15"/>
  <c r="C197" i="15"/>
  <c r="C131" i="15"/>
  <c r="C339" i="15"/>
  <c r="B381" i="15"/>
  <c r="C200" i="15"/>
  <c r="B548" i="15"/>
  <c r="B540" i="15"/>
  <c r="C433" i="15"/>
  <c r="F433" i="15" s="1"/>
  <c r="B351" i="15"/>
  <c r="Q351" i="15" s="1"/>
  <c r="C278" i="15"/>
  <c r="B276" i="12" s="1"/>
  <c r="C142" i="15"/>
  <c r="B140" i="15"/>
  <c r="Q140" i="15" s="1"/>
  <c r="B176" i="15"/>
  <c r="Q176" i="15" s="1"/>
  <c r="C144" i="15"/>
  <c r="C276" i="15"/>
  <c r="C208" i="15"/>
  <c r="C86" i="15"/>
  <c r="C71" i="15"/>
  <c r="C147" i="15"/>
  <c r="B485" i="15"/>
  <c r="B51" i="15"/>
  <c r="Q51" i="15" s="1"/>
  <c r="C135" i="15"/>
  <c r="E135" i="15" s="1"/>
  <c r="C423" i="15"/>
  <c r="B89" i="15"/>
  <c r="Q89" i="15" s="1"/>
  <c r="C128" i="15"/>
  <c r="B111" i="15"/>
  <c r="Q111" i="15" s="1"/>
  <c r="B31" i="15"/>
  <c r="Q31" i="15" s="1"/>
  <c r="C416" i="15"/>
  <c r="B29" i="15"/>
  <c r="Q29" i="15" s="1"/>
  <c r="B40" i="15"/>
  <c r="Q40" i="15" s="1"/>
  <c r="C120" i="15"/>
  <c r="B394" i="15"/>
  <c r="B496" i="15"/>
  <c r="C373" i="15"/>
  <c r="C614" i="15"/>
  <c r="C536" i="15"/>
  <c r="C358" i="15"/>
  <c r="C558" i="15"/>
  <c r="C542" i="15"/>
  <c r="C499" i="15"/>
  <c r="B581" i="15"/>
  <c r="B370" i="15"/>
  <c r="B527" i="15"/>
  <c r="B314" i="15"/>
  <c r="Q314" i="15" s="1"/>
  <c r="C356" i="15"/>
  <c r="C445" i="15"/>
  <c r="B502" i="15"/>
  <c r="B390" i="15"/>
  <c r="C526" i="15"/>
  <c r="C574" i="15"/>
  <c r="C382" i="15"/>
  <c r="B556" i="15"/>
  <c r="C353" i="15"/>
  <c r="C320" i="15"/>
  <c r="B253" i="15"/>
  <c r="Q253" i="15" s="1"/>
  <c r="C400" i="15"/>
  <c r="B388" i="15"/>
  <c r="C548" i="15"/>
  <c r="B212" i="15"/>
  <c r="Q212" i="15" s="1"/>
  <c r="B224" i="15"/>
  <c r="Q224" i="15" s="1"/>
  <c r="C372" i="15"/>
  <c r="C270" i="15"/>
  <c r="C615" i="15"/>
  <c r="C507" i="15"/>
  <c r="C218" i="15"/>
  <c r="B457" i="15"/>
  <c r="C309" i="15"/>
  <c r="B426" i="15"/>
  <c r="B313" i="15"/>
  <c r="Q313" i="15" s="1"/>
  <c r="C533" i="15"/>
  <c r="B230" i="15"/>
  <c r="Q230" i="15" s="1"/>
  <c r="B320" i="15"/>
  <c r="Q320" i="15" s="1"/>
  <c r="B617" i="15"/>
  <c r="B189" i="15"/>
  <c r="Q189" i="15" s="1"/>
  <c r="C534" i="15"/>
  <c r="B159" i="15"/>
  <c r="Q159" i="15" s="1"/>
  <c r="B210" i="15"/>
  <c r="Q210" i="15" s="1"/>
  <c r="C263" i="15"/>
  <c r="B261" i="12" s="1"/>
  <c r="C491" i="15"/>
  <c r="B178" i="15"/>
  <c r="Q178" i="15" s="1"/>
  <c r="C237" i="15"/>
  <c r="C340" i="15"/>
  <c r="B338" i="12" s="1"/>
  <c r="C606" i="15"/>
  <c r="B384" i="15"/>
  <c r="B425" i="15"/>
  <c r="B515" i="15"/>
  <c r="B108" i="15"/>
  <c r="Q108" i="15" s="1"/>
  <c r="C619" i="15"/>
  <c r="C161" i="15"/>
  <c r="B48" i="15"/>
  <c r="Q48" i="15" s="1"/>
  <c r="C379" i="15"/>
  <c r="B213" i="15"/>
  <c r="Q213" i="15" s="1"/>
  <c r="C515" i="15"/>
  <c r="B130" i="15"/>
  <c r="Q130" i="15" s="1"/>
  <c r="B566" i="15"/>
  <c r="B557" i="15"/>
  <c r="B562" i="15"/>
  <c r="B277" i="15"/>
  <c r="Q277" i="15" s="1"/>
  <c r="B322" i="15"/>
  <c r="Q322" i="15" s="1"/>
  <c r="C206" i="15"/>
  <c r="C149" i="15"/>
  <c r="C490" i="15"/>
  <c r="E490" i="15" s="1"/>
  <c r="B518" i="15"/>
  <c r="B131" i="15"/>
  <c r="Q131" i="15" s="1"/>
  <c r="C350" i="15"/>
  <c r="C215" i="15"/>
  <c r="C224" i="15"/>
  <c r="B180" i="15"/>
  <c r="Q180" i="15" s="1"/>
  <c r="C126" i="15"/>
  <c r="B112" i="15"/>
  <c r="Q112" i="15" s="1"/>
  <c r="B495" i="15"/>
  <c r="C292" i="15"/>
  <c r="C554" i="15"/>
  <c r="C247" i="15"/>
  <c r="G247" i="15" s="1"/>
  <c r="C561" i="15"/>
  <c r="C136" i="15"/>
  <c r="C53" i="15"/>
  <c r="C67" i="15"/>
  <c r="C45" i="15"/>
  <c r="B69" i="15"/>
  <c r="Q69" i="15" s="1"/>
  <c r="B549" i="15"/>
  <c r="B166" i="15"/>
  <c r="Q166" i="15" s="1"/>
  <c r="B293" i="15"/>
  <c r="Q293" i="15" s="1"/>
  <c r="B204" i="15"/>
  <c r="Q204" i="15" s="1"/>
  <c r="C289" i="15"/>
  <c r="C212" i="15"/>
  <c r="E212" i="15" s="1"/>
  <c r="O12" i="12"/>
  <c r="H12" i="12"/>
  <c r="X12" i="12"/>
  <c r="Q12" i="12"/>
  <c r="J12" i="12"/>
  <c r="Z12" i="12"/>
  <c r="AE12" i="12"/>
  <c r="S12" i="12"/>
  <c r="L12" i="12"/>
  <c r="AB12" i="12"/>
  <c r="U12" i="12"/>
  <c r="N12" i="12"/>
  <c r="AD12" i="12"/>
  <c r="G12" i="12"/>
  <c r="W12" i="12"/>
  <c r="P12" i="12"/>
  <c r="I12" i="12"/>
  <c r="Y12" i="12"/>
  <c r="R12" i="12"/>
  <c r="F12" i="12"/>
  <c r="AA12" i="12"/>
  <c r="V12" i="12"/>
  <c r="M12" i="12"/>
  <c r="K12" i="12"/>
  <c r="T12" i="12"/>
  <c r="AC12" i="12"/>
  <c r="A238" i="12"/>
  <c r="F612" i="15"/>
  <c r="D612" i="15"/>
  <c r="A83" i="12"/>
  <c r="F179" i="15"/>
  <c r="G179" i="15"/>
  <c r="B177" i="12"/>
  <c r="D179" i="15"/>
  <c r="E179" i="15"/>
  <c r="D502" i="15"/>
  <c r="E502" i="15"/>
  <c r="B243" i="12"/>
  <c r="D245" i="15"/>
  <c r="E245" i="15"/>
  <c r="F245" i="15"/>
  <c r="G245" i="15"/>
  <c r="F481" i="15"/>
  <c r="G481" i="15"/>
  <c r="E481" i="15"/>
  <c r="D481" i="15"/>
  <c r="G37" i="15"/>
  <c r="AO10" i="12"/>
  <c r="AP10" i="12" s="1"/>
  <c r="AR10" i="12"/>
  <c r="AI11" i="12"/>
  <c r="D496" i="15"/>
  <c r="F496" i="15"/>
  <c r="G496" i="15"/>
  <c r="G107" i="15"/>
  <c r="E107" i="15"/>
  <c r="B105" i="12"/>
  <c r="F107" i="15"/>
  <c r="D107" i="15"/>
  <c r="A279" i="12"/>
  <c r="G39" i="15"/>
  <c r="B37" i="12"/>
  <c r="D39" i="15"/>
  <c r="E39" i="15"/>
  <c r="F39" i="15"/>
  <c r="F438" i="15"/>
  <c r="G129" i="15"/>
  <c r="G590" i="15"/>
  <c r="E590" i="15"/>
  <c r="D590" i="15"/>
  <c r="E462" i="15"/>
  <c r="G462" i="15"/>
  <c r="F462" i="15"/>
  <c r="D462" i="15"/>
  <c r="E408" i="15"/>
  <c r="G408" i="15"/>
  <c r="D408" i="15"/>
  <c r="F408" i="15"/>
  <c r="E229" i="15"/>
  <c r="A203" i="12"/>
  <c r="A144" i="12"/>
  <c r="A205" i="12"/>
  <c r="G469" i="15"/>
  <c r="D469" i="15"/>
  <c r="E469" i="15"/>
  <c r="F469" i="15"/>
  <c r="E403" i="15"/>
  <c r="F403" i="15"/>
  <c r="G403" i="15"/>
  <c r="D403" i="15"/>
  <c r="E538" i="15"/>
  <c r="F538" i="15"/>
  <c r="G538" i="15"/>
  <c r="D538" i="15"/>
  <c r="G339" i="15"/>
  <c r="B337" i="12"/>
  <c r="D339" i="15"/>
  <c r="E339" i="15"/>
  <c r="F339" i="15"/>
  <c r="F587" i="15"/>
  <c r="D587" i="15"/>
  <c r="E587" i="15"/>
  <c r="G587" i="15"/>
  <c r="F446" i="15"/>
  <c r="D446" i="15"/>
  <c r="E446" i="15"/>
  <c r="G446" i="15"/>
  <c r="E59" i="15"/>
  <c r="D443" i="15"/>
  <c r="E488" i="15"/>
  <c r="F488" i="15"/>
  <c r="D488" i="15"/>
  <c r="G488" i="15"/>
  <c r="D391" i="15"/>
  <c r="G278" i="15"/>
  <c r="A78" i="12"/>
  <c r="F176" i="15"/>
  <c r="B174" i="12"/>
  <c r="D176" i="15"/>
  <c r="E176" i="15"/>
  <c r="G176" i="15"/>
  <c r="D547" i="15"/>
  <c r="E547" i="15"/>
  <c r="G547" i="15"/>
  <c r="F547" i="15"/>
  <c r="A138" i="12"/>
  <c r="A302" i="12"/>
  <c r="F315" i="15"/>
  <c r="D315" i="15"/>
  <c r="B367" i="15"/>
  <c r="C346" i="15"/>
  <c r="E160" i="15"/>
  <c r="F160" i="15"/>
  <c r="G160" i="15"/>
  <c r="B158" i="12"/>
  <c r="D160" i="15"/>
  <c r="B361" i="15"/>
  <c r="Q361" i="15" s="1"/>
  <c r="B453" i="15"/>
  <c r="B489" i="15"/>
  <c r="C576" i="15"/>
  <c r="C598" i="15"/>
  <c r="D80" i="15"/>
  <c r="A228" i="12"/>
  <c r="B559" i="15"/>
  <c r="B323" i="15"/>
  <c r="Q323" i="15" s="1"/>
  <c r="C363" i="15"/>
  <c r="B608" i="15"/>
  <c r="C343" i="15"/>
  <c r="B473" i="15"/>
  <c r="B421" i="15"/>
  <c r="B336" i="15"/>
  <c r="Q336" i="15" s="1"/>
  <c r="C333" i="15"/>
  <c r="B308" i="15"/>
  <c r="Q308" i="15" s="1"/>
  <c r="C310" i="15"/>
  <c r="A148" i="12"/>
  <c r="D135" i="15"/>
  <c r="C195" i="15"/>
  <c r="C371" i="15"/>
  <c r="C520" i="15"/>
  <c r="C360" i="15"/>
  <c r="C451" i="15"/>
  <c r="C334" i="15"/>
  <c r="F68" i="15"/>
  <c r="G68" i="15"/>
  <c r="B66" i="12"/>
  <c r="D68" i="15"/>
  <c r="E68" i="15"/>
  <c r="C398" i="15"/>
  <c r="B528" i="15"/>
  <c r="B601" i="15"/>
  <c r="G61" i="15"/>
  <c r="B59" i="12"/>
  <c r="D61" i="15"/>
  <c r="E61" i="15"/>
  <c r="F61" i="15"/>
  <c r="B115" i="12"/>
  <c r="B448" i="15"/>
  <c r="C163" i="15"/>
  <c r="B442" i="15"/>
  <c r="B332" i="15"/>
  <c r="Q332" i="15" s="1"/>
  <c r="B54" i="12"/>
  <c r="D56" i="15"/>
  <c r="E56" i="15"/>
  <c r="F56" i="15"/>
  <c r="G56" i="15"/>
  <c r="B355" i="15"/>
  <c r="Q355" i="15" s="1"/>
  <c r="B582" i="15"/>
  <c r="B588" i="15"/>
  <c r="B460" i="15"/>
  <c r="C593" i="15"/>
  <c r="C420" i="15"/>
  <c r="C413" i="15"/>
  <c r="B511" i="15"/>
  <c r="B387" i="15"/>
  <c r="B435" i="15"/>
  <c r="E45" i="15"/>
  <c r="F45" i="15"/>
  <c r="G45" i="15"/>
  <c r="B43" i="12"/>
  <c r="D45" i="15"/>
  <c r="B516" i="15"/>
  <c r="C564" i="15"/>
  <c r="C134" i="15"/>
  <c r="B579" i="15"/>
  <c r="B191" i="15"/>
  <c r="Q191" i="15" s="1"/>
  <c r="A27" i="12"/>
  <c r="A41" i="12"/>
  <c r="C167" i="15"/>
  <c r="C91" i="15"/>
  <c r="B50" i="15"/>
  <c r="Q50" i="15" s="1"/>
  <c r="C531" i="15"/>
  <c r="B378" i="15"/>
  <c r="C282" i="15"/>
  <c r="B349" i="15"/>
  <c r="Q349" i="15" s="1"/>
  <c r="B271" i="15"/>
  <c r="Q271" i="15" s="1"/>
  <c r="B45" i="15"/>
  <c r="Q45" i="15" s="1"/>
  <c r="B285" i="15"/>
  <c r="Q285" i="15" s="1"/>
  <c r="C48" i="15"/>
  <c r="C454" i="15"/>
  <c r="C259" i="15"/>
  <c r="B368" i="15"/>
  <c r="C302" i="15"/>
  <c r="B356" i="15"/>
  <c r="Q356" i="15" s="1"/>
  <c r="B325" i="15"/>
  <c r="Q325" i="15" s="1"/>
  <c r="B179" i="12"/>
  <c r="G181" i="15"/>
  <c r="F283" i="15"/>
  <c r="G283" i="15"/>
  <c r="B281" i="12"/>
  <c r="D283" i="15"/>
  <c r="E283" i="15"/>
  <c r="B148" i="12"/>
  <c r="D150" i="15"/>
  <c r="E150" i="15"/>
  <c r="F150" i="15"/>
  <c r="G150" i="15"/>
  <c r="E94" i="15"/>
  <c r="F94" i="15"/>
  <c r="B92" i="12"/>
  <c r="G94" i="15"/>
  <c r="D94" i="15"/>
  <c r="A132" i="12"/>
  <c r="F595" i="15"/>
  <c r="D595" i="15"/>
  <c r="E595" i="15"/>
  <c r="G595" i="15"/>
  <c r="B53" i="12"/>
  <c r="D55" i="15"/>
  <c r="E55" i="15"/>
  <c r="F55" i="15"/>
  <c r="G55" i="15"/>
  <c r="A74" i="12"/>
  <c r="A340" i="12"/>
  <c r="A344" i="12"/>
  <c r="G309" i="15"/>
  <c r="B307" i="12"/>
  <c r="D309" i="15"/>
  <c r="F309" i="15"/>
  <c r="E309" i="15"/>
  <c r="G442" i="15"/>
  <c r="F442" i="15"/>
  <c r="D442" i="15"/>
  <c r="E442" i="15"/>
  <c r="G32" i="15"/>
  <c r="B30" i="12"/>
  <c r="D32" i="15"/>
  <c r="E32" i="15"/>
  <c r="F32" i="15"/>
  <c r="A318" i="12"/>
  <c r="E350" i="15"/>
  <c r="F350" i="15"/>
  <c r="B348" i="12"/>
  <c r="G350" i="15"/>
  <c r="D350" i="15"/>
  <c r="A58" i="12"/>
  <c r="E263" i="15"/>
  <c r="B222" i="12"/>
  <c r="D224" i="15"/>
  <c r="E224" i="15"/>
  <c r="F224" i="15"/>
  <c r="G224" i="15"/>
  <c r="A178" i="12"/>
  <c r="A68" i="12"/>
  <c r="D491" i="15"/>
  <c r="G491" i="15"/>
  <c r="F491" i="15"/>
  <c r="E491" i="15"/>
  <c r="D423" i="15"/>
  <c r="E423" i="15"/>
  <c r="F423" i="15"/>
  <c r="G423" i="15"/>
  <c r="A195" i="12"/>
  <c r="A87" i="12"/>
  <c r="F237" i="15"/>
  <c r="G237" i="15"/>
  <c r="B235" i="12"/>
  <c r="D237" i="15"/>
  <c r="E237" i="15"/>
  <c r="E340" i="15"/>
  <c r="E292" i="15"/>
  <c r="F292" i="15"/>
  <c r="G292" i="15"/>
  <c r="B290" i="12"/>
  <c r="D292" i="15"/>
  <c r="G606" i="15"/>
  <c r="D606" i="15"/>
  <c r="F606" i="15"/>
  <c r="E606" i="15"/>
  <c r="F554" i="15"/>
  <c r="G554" i="15"/>
  <c r="D554" i="15"/>
  <c r="E554" i="15"/>
  <c r="G458" i="15"/>
  <c r="F458" i="15"/>
  <c r="D458" i="15"/>
  <c r="E458" i="15"/>
  <c r="F247" i="15"/>
  <c r="E561" i="15"/>
  <c r="F561" i="15"/>
  <c r="G561" i="15"/>
  <c r="D561" i="15"/>
  <c r="B248" i="12"/>
  <c r="G250" i="15"/>
  <c r="A15" i="12"/>
  <c r="F550" i="15"/>
  <c r="G328" i="15"/>
  <c r="B326" i="12"/>
  <c r="D328" i="15"/>
  <c r="E328" i="15"/>
  <c r="F328" i="15"/>
  <c r="F337" i="15"/>
  <c r="G337" i="15"/>
  <c r="B335" i="12"/>
  <c r="D337" i="15"/>
  <c r="E337" i="15"/>
  <c r="A212" i="12"/>
  <c r="G619" i="15"/>
  <c r="D619" i="15"/>
  <c r="E619" i="15"/>
  <c r="F619" i="15"/>
  <c r="E416" i="15"/>
  <c r="F416" i="15"/>
  <c r="G416" i="15"/>
  <c r="D416" i="15"/>
  <c r="E161" i="15"/>
  <c r="F161" i="15"/>
  <c r="D161" i="15"/>
  <c r="B159" i="12"/>
  <c r="G161" i="15"/>
  <c r="G288" i="15"/>
  <c r="B286" i="12"/>
  <c r="D288" i="15"/>
  <c r="E288" i="15"/>
  <c r="F288" i="15"/>
  <c r="E248" i="15"/>
  <c r="F248" i="15"/>
  <c r="G248" i="15"/>
  <c r="B246" i="12"/>
  <c r="D248" i="15"/>
  <c r="D379" i="15"/>
  <c r="E379" i="15"/>
  <c r="F379" i="15"/>
  <c r="G379" i="15"/>
  <c r="A164" i="12"/>
  <c r="A180" i="12"/>
  <c r="A211" i="12"/>
  <c r="E234" i="15"/>
  <c r="F234" i="15"/>
  <c r="G234" i="15"/>
  <c r="B232" i="12"/>
  <c r="D234" i="15"/>
  <c r="A291" i="12"/>
  <c r="F515" i="15"/>
  <c r="E515" i="15"/>
  <c r="G515" i="15"/>
  <c r="D515" i="15"/>
  <c r="A202" i="12"/>
  <c r="F549" i="15"/>
  <c r="D549" i="15"/>
  <c r="E549" i="15"/>
  <c r="G549" i="15"/>
  <c r="G289" i="15"/>
  <c r="B287" i="12"/>
  <c r="D289" i="15"/>
  <c r="F289" i="15"/>
  <c r="E289" i="15"/>
  <c r="G120" i="15"/>
  <c r="B118" i="12"/>
  <c r="D120" i="15"/>
  <c r="E120" i="15"/>
  <c r="F120" i="15"/>
  <c r="E368" i="15"/>
  <c r="F368" i="15"/>
  <c r="G368" i="15"/>
  <c r="D368" i="15"/>
  <c r="D212" i="15"/>
  <c r="D69" i="15"/>
  <c r="C210" i="15"/>
  <c r="C18" i="15"/>
  <c r="B615" i="15"/>
  <c r="C428" i="15"/>
  <c r="B104" i="15"/>
  <c r="Q104" i="15" s="1"/>
  <c r="C575" i="15"/>
  <c r="B401" i="15"/>
  <c r="B522" i="15"/>
  <c r="B315" i="15"/>
  <c r="Q315" i="15" s="1"/>
  <c r="C274" i="15"/>
  <c r="C249" i="15"/>
  <c r="C63" i="15"/>
  <c r="C89" i="15"/>
  <c r="B289" i="15"/>
  <c r="Q289" i="15" s="1"/>
  <c r="B103" i="15"/>
  <c r="Q103" i="15" s="1"/>
  <c r="B28" i="15"/>
  <c r="Q28" i="15" s="1"/>
  <c r="B209" i="15"/>
  <c r="Q209" i="15" s="1"/>
  <c r="C562" i="15"/>
  <c r="B170" i="15"/>
  <c r="Q170" i="15" s="1"/>
  <c r="B247" i="15"/>
  <c r="Q247" i="15" s="1"/>
  <c r="B427" i="15"/>
  <c r="C329" i="15"/>
  <c r="B503" i="15"/>
  <c r="C98" i="15"/>
  <c r="B264" i="15"/>
  <c r="Q264" i="15" s="1"/>
  <c r="C79" i="15"/>
  <c r="B157" i="15"/>
  <c r="Q157" i="15" s="1"/>
  <c r="B391" i="15"/>
  <c r="B171" i="15"/>
  <c r="Q171" i="15" s="1"/>
  <c r="B87" i="15"/>
  <c r="Q87" i="15" s="1"/>
  <c r="B120" i="15"/>
  <c r="Q120" i="15" s="1"/>
  <c r="C607" i="15"/>
  <c r="B462" i="15"/>
  <c r="B299" i="15"/>
  <c r="Q299" i="15" s="1"/>
  <c r="B382" i="15"/>
  <c r="C332" i="15"/>
  <c r="B183" i="15"/>
  <c r="Q183" i="15" s="1"/>
  <c r="B280" i="15"/>
  <c r="Q280" i="15" s="1"/>
  <c r="B154" i="15"/>
  <c r="Q154" i="15" s="1"/>
  <c r="C399" i="15"/>
  <c r="B174" i="15"/>
  <c r="Q174" i="15" s="1"/>
  <c r="B490" i="15"/>
  <c r="B145" i="15"/>
  <c r="Q145" i="15" s="1"/>
  <c r="C393" i="15"/>
  <c r="B414" i="15"/>
  <c r="B94" i="15"/>
  <c r="Q94" i="15" s="1"/>
  <c r="C556" i="15"/>
  <c r="C585" i="15"/>
  <c r="B491" i="15"/>
  <c r="B520" i="15"/>
  <c r="B519" i="15"/>
  <c r="B65" i="15"/>
  <c r="Q65" i="15" s="1"/>
  <c r="B81" i="15"/>
  <c r="Q81" i="15" s="1"/>
  <c r="B222" i="15"/>
  <c r="Q222" i="15" s="1"/>
  <c r="C588" i="15"/>
  <c r="B586" i="15"/>
  <c r="B567" i="15"/>
  <c r="C409" i="15"/>
  <c r="C297" i="15"/>
  <c r="B344" i="15"/>
  <c r="Q344" i="15" s="1"/>
  <c r="B311" i="15"/>
  <c r="Q311" i="15" s="1"/>
  <c r="B552" i="15"/>
  <c r="C99" i="15"/>
  <c r="B506" i="15"/>
  <c r="B122" i="15"/>
  <c r="Q122" i="15" s="1"/>
  <c r="C66" i="15"/>
  <c r="C521" i="15"/>
  <c r="C258" i="15"/>
  <c r="B561" i="15"/>
  <c r="C335" i="15"/>
  <c r="B433" i="15"/>
  <c r="C271" i="15"/>
  <c r="B475" i="15"/>
  <c r="B616" i="15"/>
  <c r="C610" i="15"/>
  <c r="B126" i="15"/>
  <c r="Q126" i="15" s="1"/>
  <c r="B41" i="15"/>
  <c r="Q41" i="15" s="1"/>
  <c r="B471" i="15"/>
  <c r="C217" i="15"/>
  <c r="C383" i="15"/>
  <c r="B459" i="15"/>
  <c r="B321" i="15"/>
  <c r="Q321" i="15" s="1"/>
  <c r="C572" i="15"/>
  <c r="C178" i="15"/>
  <c r="B523" i="15"/>
  <c r="B37" i="15"/>
  <c r="Q37" i="15" s="1"/>
  <c r="B577" i="15"/>
  <c r="C21" i="15"/>
  <c r="B538" i="15"/>
  <c r="B590" i="15"/>
  <c r="B231" i="15"/>
  <c r="Q231" i="15" s="1"/>
  <c r="C345" i="15"/>
  <c r="C370" i="15"/>
  <c r="B440" i="15"/>
  <c r="B151" i="15"/>
  <c r="Q151" i="15" s="1"/>
  <c r="B353" i="15"/>
  <c r="Q353" i="15" s="1"/>
  <c r="C191" i="15"/>
  <c r="B200" i="15"/>
  <c r="Q200" i="15" s="1"/>
  <c r="B71" i="15"/>
  <c r="Q71" i="15" s="1"/>
  <c r="B551" i="15"/>
  <c r="C466" i="15"/>
  <c r="C268" i="15"/>
  <c r="C60" i="15"/>
  <c r="C604" i="15"/>
  <c r="C25" i="15"/>
  <c r="C44" i="15"/>
  <c r="C319" i="15"/>
  <c r="C303" i="15"/>
  <c r="B369" i="15"/>
  <c r="C476" i="15"/>
  <c r="B347" i="15"/>
  <c r="Q347" i="15" s="1"/>
  <c r="B248" i="15"/>
  <c r="Q248" i="15" s="1"/>
  <c r="C73" i="15"/>
  <c r="C431" i="15"/>
  <c r="C130" i="15"/>
  <c r="B283" i="15"/>
  <c r="Q283" i="15" s="1"/>
  <c r="B334" i="15"/>
  <c r="Q334" i="15" s="1"/>
  <c r="B545" i="15"/>
  <c r="B343" i="15"/>
  <c r="Q343" i="15" s="1"/>
  <c r="B385" i="15"/>
  <c r="B225" i="15"/>
  <c r="Q225" i="15" s="1"/>
  <c r="B587" i="15"/>
  <c r="B446" i="15"/>
  <c r="C313" i="15"/>
  <c r="C95" i="15"/>
  <c r="C82" i="15"/>
  <c r="B282" i="15"/>
  <c r="Q282" i="15" s="1"/>
  <c r="B251" i="15"/>
  <c r="Q251" i="15" s="1"/>
  <c r="C239" i="15"/>
  <c r="C322" i="15"/>
  <c r="B363" i="15"/>
  <c r="B75" i="15"/>
  <c r="Q75" i="15" s="1"/>
  <c r="C140" i="15"/>
  <c r="B184" i="15"/>
  <c r="Q184" i="15" s="1"/>
  <c r="B55" i="15"/>
  <c r="Q55" i="15" s="1"/>
  <c r="B125" i="15"/>
  <c r="Q125" i="15" s="1"/>
  <c r="C364" i="15"/>
  <c r="C361" i="15"/>
  <c r="B25" i="15"/>
  <c r="Q25" i="15" s="1"/>
  <c r="B478" i="15"/>
  <c r="B398" i="15"/>
  <c r="B93" i="15"/>
  <c r="Q93" i="15" s="1"/>
  <c r="B168" i="15"/>
  <c r="Q168" i="15" s="1"/>
  <c r="B91" i="15"/>
  <c r="Q91" i="15" s="1"/>
  <c r="C415" i="15"/>
  <c r="B618" i="15"/>
  <c r="B90" i="15"/>
  <c r="Q90" i="15" s="1"/>
  <c r="B443" i="15"/>
  <c r="C530" i="15"/>
  <c r="B417" i="15"/>
  <c r="B250" i="15"/>
  <c r="Q250" i="15" s="1"/>
  <c r="C402" i="15"/>
  <c r="B494" i="15"/>
  <c r="C338" i="15"/>
  <c r="B474" i="15"/>
  <c r="C441" i="15"/>
  <c r="C159" i="15"/>
  <c r="B113" i="15"/>
  <c r="Q113" i="15" s="1"/>
  <c r="C380" i="15"/>
  <c r="C537" i="15"/>
  <c r="C601" i="15"/>
  <c r="B488" i="15"/>
  <c r="C188" i="15"/>
  <c r="B219" i="15"/>
  <c r="Q219" i="15" s="1"/>
  <c r="B143" i="15"/>
  <c r="Q143" i="15" s="1"/>
  <c r="C58" i="15"/>
  <c r="C262" i="15"/>
  <c r="C46" i="15"/>
  <c r="C557" i="15"/>
  <c r="C389" i="15"/>
  <c r="B596" i="15"/>
  <c r="B352" i="15"/>
  <c r="Q352" i="15" s="1"/>
  <c r="C555" i="15"/>
  <c r="C269" i="15"/>
  <c r="C493" i="15"/>
  <c r="B86" i="15"/>
  <c r="Q86" i="15" s="1"/>
  <c r="B493" i="15"/>
  <c r="C145" i="15"/>
  <c r="C517" i="15"/>
  <c r="C411" i="15"/>
  <c r="B505" i="15"/>
  <c r="C378" i="15"/>
  <c r="C478" i="15"/>
  <c r="C225" i="15"/>
  <c r="B428" i="15"/>
  <c r="C116" i="15"/>
  <c r="C459" i="15"/>
  <c r="C64" i="15"/>
  <c r="B458" i="15"/>
  <c r="B345" i="15"/>
  <c r="Q345" i="15" s="1"/>
  <c r="C566" i="15"/>
  <c r="C293" i="15"/>
  <c r="C344" i="15"/>
  <c r="B430" i="15"/>
  <c r="B412" i="15"/>
  <c r="C273" i="15"/>
  <c r="C535" i="15"/>
  <c r="C26" i="15"/>
  <c r="C81" i="15"/>
  <c r="C387" i="15"/>
  <c r="C203" i="15"/>
  <c r="B175" i="15"/>
  <c r="Q175" i="15" s="1"/>
  <c r="C497" i="15"/>
  <c r="C565" i="15"/>
  <c r="B541" i="15"/>
  <c r="C261" i="15"/>
  <c r="C22" i="15"/>
  <c r="B307" i="15"/>
  <c r="Q307" i="15" s="1"/>
  <c r="C439" i="15"/>
  <c r="B215" i="15"/>
  <c r="Q215" i="15" s="1"/>
  <c r="B439" i="15"/>
  <c r="B32" i="15"/>
  <c r="Q32" i="15" s="1"/>
  <c r="B56" i="15"/>
  <c r="Q56" i="15" s="1"/>
  <c r="C233" i="15"/>
  <c r="B68" i="15"/>
  <c r="Q68" i="15" s="1"/>
  <c r="C578" i="15"/>
  <c r="C591" i="15"/>
  <c r="C242" i="15"/>
  <c r="B526" i="15"/>
  <c r="B360" i="15"/>
  <c r="Q360" i="15" s="1"/>
  <c r="C108" i="15"/>
  <c r="C463" i="15"/>
  <c r="C418" i="15"/>
  <c r="B584" i="15"/>
  <c r="B173" i="15"/>
  <c r="Q173" i="15" s="1"/>
  <c r="B266" i="15"/>
  <c r="Q266" i="15" s="1"/>
  <c r="B318" i="15"/>
  <c r="Q318" i="15" s="1"/>
  <c r="C162" i="15"/>
  <c r="C594" i="15"/>
  <c r="C511" i="15"/>
  <c r="B298" i="15"/>
  <c r="Q298" i="15" s="1"/>
  <c r="B411" i="15"/>
  <c r="C351" i="15"/>
  <c r="C226" i="15"/>
  <c r="C425" i="15"/>
  <c r="B328" i="15"/>
  <c r="Q328" i="15" s="1"/>
  <c r="C76" i="15"/>
  <c r="C306" i="15"/>
  <c r="B218" i="15"/>
  <c r="Q218" i="15" s="1"/>
  <c r="B407" i="15"/>
  <c r="C28" i="15"/>
  <c r="B603" i="15"/>
  <c r="B58" i="15"/>
  <c r="Q58" i="15" s="1"/>
  <c r="B119" i="15"/>
  <c r="Q119" i="15" s="1"/>
  <c r="C252" i="15"/>
  <c r="B199" i="15"/>
  <c r="Q199" i="15" s="1"/>
  <c r="B273" i="15"/>
  <c r="Q273" i="15" s="1"/>
  <c r="C50" i="15"/>
  <c r="C524" i="15"/>
  <c r="B152" i="15"/>
  <c r="Q152" i="15" s="1"/>
  <c r="B241" i="15"/>
  <c r="Q241" i="15" s="1"/>
  <c r="B161" i="15"/>
  <c r="Q161" i="15" s="1"/>
  <c r="B263" i="15"/>
  <c r="Q263" i="15" s="1"/>
  <c r="B554" i="15"/>
  <c r="B158" i="15"/>
  <c r="Q158" i="15" s="1"/>
  <c r="C617" i="15"/>
  <c r="C354" i="15"/>
  <c r="B395" i="15"/>
  <c r="B234" i="15"/>
  <c r="Q234" i="15" s="1"/>
  <c r="B376" i="15"/>
  <c r="B186" i="15"/>
  <c r="Q186" i="15" s="1"/>
  <c r="B78" i="15"/>
  <c r="Q78" i="15" s="1"/>
  <c r="C127" i="15"/>
  <c r="B110" i="15"/>
  <c r="Q110" i="15" s="1"/>
  <c r="B74" i="15"/>
  <c r="Q74" i="15" s="1"/>
  <c r="B141" i="15"/>
  <c r="Q141" i="15" s="1"/>
  <c r="C186" i="15"/>
  <c r="C43" i="15"/>
  <c r="C308" i="15"/>
  <c r="B101" i="15"/>
  <c r="Q101" i="15" s="1"/>
  <c r="C580" i="15"/>
  <c r="C501" i="15"/>
  <c r="C231" i="15"/>
  <c r="B306" i="15"/>
  <c r="Q306" i="15" s="1"/>
  <c r="C483" i="15"/>
  <c r="B24" i="15"/>
  <c r="Q24" i="15" s="1"/>
  <c r="B66" i="15"/>
  <c r="Q66" i="15" s="1"/>
  <c r="C49" i="15"/>
  <c r="C611" i="15"/>
  <c r="C27" i="15"/>
  <c r="B33" i="15"/>
  <c r="Q33" i="15" s="1"/>
  <c r="C449" i="15"/>
  <c r="B217" i="15"/>
  <c r="Q217" i="15" s="1"/>
  <c r="C583" i="15"/>
  <c r="B399" i="15"/>
  <c r="C390" i="15"/>
  <c r="C257" i="15"/>
  <c r="B67" i="15"/>
  <c r="Q67" i="15" s="1"/>
  <c r="B333" i="15"/>
  <c r="Q333" i="15" s="1"/>
  <c r="B546" i="15"/>
  <c r="B585" i="15"/>
  <c r="B319" i="15"/>
  <c r="Q319" i="15" s="1"/>
  <c r="C294" i="15"/>
  <c r="C110" i="15"/>
  <c r="C101" i="15"/>
  <c r="C254" i="15"/>
  <c r="C267" i="15"/>
  <c r="C584" i="15"/>
  <c r="C455" i="15"/>
  <c r="B595" i="15"/>
  <c r="B118" i="15"/>
  <c r="Q118" i="15" s="1"/>
  <c r="B127" i="15"/>
  <c r="Q127" i="15" s="1"/>
  <c r="B267" i="15"/>
  <c r="Q267" i="15" s="1"/>
  <c r="B422" i="15"/>
  <c r="C139" i="15"/>
  <c r="C498" i="15"/>
  <c r="B88" i="15"/>
  <c r="Q88" i="15" s="1"/>
  <c r="B167" i="15"/>
  <c r="Q167" i="15" s="1"/>
  <c r="C172" i="15"/>
  <c r="C412" i="15"/>
  <c r="B16" i="15"/>
  <c r="B61" i="15"/>
  <c r="Q61" i="15" s="1"/>
  <c r="C284" i="15"/>
  <c r="C265" i="15"/>
  <c r="C543" i="15"/>
  <c r="B337" i="15"/>
  <c r="Q337" i="15" s="1"/>
  <c r="B109" i="15"/>
  <c r="Q109" i="15" s="1"/>
  <c r="B187" i="15"/>
  <c r="Q187" i="15" s="1"/>
  <c r="C124" i="15"/>
  <c r="C444" i="15"/>
  <c r="B593" i="15"/>
  <c r="B270" i="15"/>
  <c r="Q270" i="15" s="1"/>
  <c r="C114" i="15"/>
  <c r="B257" i="15"/>
  <c r="Q257" i="15" s="1"/>
  <c r="C523" i="15"/>
  <c r="C311" i="15"/>
  <c r="B228" i="15"/>
  <c r="Q228" i="15" s="1"/>
  <c r="B243" i="15"/>
  <c r="Q243" i="15" s="1"/>
  <c r="B42" i="15"/>
  <c r="Q42" i="15" s="1"/>
  <c r="C104" i="15"/>
  <c r="B46" i="15"/>
  <c r="C165" i="15"/>
  <c r="C280" i="15"/>
  <c r="C205" i="15"/>
  <c r="B137" i="15"/>
  <c r="Q137" i="15" s="1"/>
  <c r="C122" i="15"/>
  <c r="C450" i="15"/>
  <c r="B317" i="15"/>
  <c r="Q317" i="15" s="1"/>
  <c r="B521" i="15"/>
  <c r="B124" i="15"/>
  <c r="Q124" i="15" s="1"/>
  <c r="C228" i="15"/>
  <c r="B294" i="15"/>
  <c r="Q294" i="15" s="1"/>
  <c r="B275" i="15"/>
  <c r="Q275" i="15" s="1"/>
  <c r="B288" i="15"/>
  <c r="Q288" i="15" s="1"/>
  <c r="C152" i="15"/>
  <c r="B260" i="15"/>
  <c r="Q260" i="15" s="1"/>
  <c r="C279" i="15"/>
  <c r="C106" i="15"/>
  <c r="B117" i="15"/>
  <c r="Q117" i="15" s="1"/>
  <c r="C453" i="15"/>
  <c r="B565" i="15"/>
  <c r="C93" i="15"/>
  <c r="B476" i="15"/>
  <c r="C199" i="15"/>
  <c r="B403" i="15"/>
  <c r="B114" i="15"/>
  <c r="Q114" i="15" s="1"/>
  <c r="C246" i="15"/>
  <c r="C599" i="15"/>
  <c r="C419" i="15"/>
  <c r="C600" i="15"/>
  <c r="B236" i="15"/>
  <c r="Q236" i="15" s="1"/>
  <c r="B544" i="15"/>
  <c r="C115" i="15"/>
  <c r="C112" i="15"/>
  <c r="C484" i="15"/>
  <c r="C244" i="15"/>
  <c r="B364" i="15"/>
  <c r="B329" i="15"/>
  <c r="Q329" i="15" s="1"/>
  <c r="B316" i="15"/>
  <c r="Q316" i="15" s="1"/>
  <c r="C324" i="15"/>
  <c r="C16" i="15"/>
  <c r="C397" i="15"/>
  <c r="B432" i="15"/>
  <c r="C577" i="15"/>
  <c r="C407" i="15"/>
  <c r="C300" i="15"/>
  <c r="B62" i="15"/>
  <c r="Q62" i="15" s="1"/>
  <c r="B602" i="15"/>
  <c r="B513" i="15"/>
  <c r="C204" i="15"/>
  <c r="C316" i="15"/>
  <c r="C111" i="15"/>
  <c r="B59" i="15"/>
  <c r="Q59" i="15" s="1"/>
  <c r="B606" i="15"/>
  <c r="B52" i="15"/>
  <c r="Q52" i="15" s="1"/>
  <c r="B97" i="15"/>
  <c r="Q97" i="15" s="1"/>
  <c r="C489" i="15"/>
  <c r="B254" i="15"/>
  <c r="Q254" i="15" s="1"/>
  <c r="C348" i="15"/>
  <c r="C175" i="15"/>
  <c r="C287" i="15"/>
  <c r="C194" i="15"/>
  <c r="B529" i="15"/>
  <c r="B38" i="15"/>
  <c r="Q38" i="15" s="1"/>
  <c r="C47" i="15"/>
  <c r="B36" i="15"/>
  <c r="Q36" i="15" s="1"/>
  <c r="C156" i="15"/>
  <c r="C34" i="15"/>
  <c r="B542" i="15"/>
  <c r="B305" i="15"/>
  <c r="Q305" i="15" s="1"/>
  <c r="C447" i="15"/>
  <c r="B392" i="15"/>
  <c r="B359" i="15"/>
  <c r="Q359" i="15" s="1"/>
  <c r="C255" i="15"/>
  <c r="B350" i="15"/>
  <c r="Q350" i="15" s="1"/>
  <c r="C146" i="15"/>
  <c r="B583" i="15"/>
  <c r="B142" i="15"/>
  <c r="Q142" i="15" s="1"/>
  <c r="C41" i="15"/>
  <c r="B558" i="15"/>
  <c r="B296" i="15"/>
  <c r="Q296" i="15" s="1"/>
  <c r="B312" i="15"/>
  <c r="Q312" i="15" s="1"/>
  <c r="C492" i="15"/>
  <c r="B286" i="15"/>
  <c r="Q286" i="15" s="1"/>
  <c r="B138" i="15"/>
  <c r="Q138" i="15" s="1"/>
  <c r="B129" i="15"/>
  <c r="Q129" i="15" s="1"/>
  <c r="B49" i="15"/>
  <c r="Q49" i="15" s="1"/>
  <c r="B619" i="15"/>
  <c r="B331" i="15"/>
  <c r="Q331" i="15" s="1"/>
  <c r="B123" i="15"/>
  <c r="Q123" i="15" s="1"/>
  <c r="B100" i="15"/>
  <c r="Q100" i="15" s="1"/>
  <c r="B568" i="15"/>
  <c r="B35" i="15"/>
  <c r="Q35" i="15" s="1"/>
  <c r="B504" i="15"/>
  <c r="B135" i="15"/>
  <c r="Q135" i="15" s="1"/>
  <c r="C236" i="15"/>
  <c r="B507" i="15"/>
  <c r="C479" i="15"/>
  <c r="B570" i="15"/>
  <c r="B295" i="15"/>
  <c r="Q295" i="15" s="1"/>
  <c r="C92" i="15"/>
  <c r="B232" i="15"/>
  <c r="Q232" i="15" s="1"/>
  <c r="C377" i="15"/>
  <c r="B136" i="15"/>
  <c r="Q136" i="15" s="1"/>
  <c r="B444" i="15"/>
  <c r="C381" i="15"/>
  <c r="B330" i="15"/>
  <c r="Q330" i="15" s="1"/>
  <c r="B338" i="15"/>
  <c r="Q338" i="15" s="1"/>
  <c r="C83" i="15"/>
  <c r="C349" i="15"/>
  <c r="C253" i="15"/>
  <c r="C568" i="15"/>
  <c r="B297" i="15"/>
  <c r="Q297" i="15" s="1"/>
  <c r="C503" i="15"/>
  <c r="C573" i="15"/>
  <c r="C342" i="15"/>
  <c r="B39" i="15"/>
  <c r="Q39" i="15" s="1"/>
  <c r="C168" i="15"/>
  <c r="C277" i="15"/>
  <c r="B245" i="15"/>
  <c r="Q245" i="15" s="1"/>
  <c r="C88" i="15"/>
  <c r="C605" i="15"/>
  <c r="B164" i="15"/>
  <c r="Q164" i="15" s="1"/>
  <c r="B284" i="15"/>
  <c r="Q284" i="15" s="1"/>
  <c r="C440" i="15"/>
  <c r="C427" i="15"/>
  <c r="C608" i="15"/>
  <c r="B441" i="15"/>
  <c r="C256" i="15"/>
  <c r="C586" i="15"/>
  <c r="C173" i="15"/>
  <c r="C392" i="15"/>
  <c r="C435" i="15"/>
  <c r="B592" i="15"/>
  <c r="C436" i="15"/>
  <c r="B220" i="15"/>
  <c r="Q220" i="15" s="1"/>
  <c r="B468" i="15"/>
  <c r="C465" i="15"/>
  <c r="C552" i="15"/>
  <c r="B196" i="15"/>
  <c r="Q196" i="15" s="1"/>
  <c r="C359" i="15"/>
  <c r="C563" i="15"/>
  <c r="B116" i="15"/>
  <c r="Q116" i="15" s="1"/>
  <c r="C347" i="15"/>
  <c r="B302" i="15"/>
  <c r="Q302" i="15" s="1"/>
  <c r="C386" i="15"/>
  <c r="C281" i="15"/>
  <c r="B190" i="15"/>
  <c r="Q190" i="15" s="1"/>
  <c r="C495" i="15"/>
  <c r="B72" i="15"/>
  <c r="Q72" i="15" s="1"/>
  <c r="C105" i="15"/>
  <c r="C396" i="15"/>
  <c r="C223" i="15"/>
  <c r="C508" i="15"/>
  <c r="B84" i="15"/>
  <c r="Q84" i="15" s="1"/>
  <c r="B472" i="15"/>
  <c r="B19" i="15"/>
  <c r="Q19" i="15" s="1"/>
  <c r="C434" i="15"/>
  <c r="C153" i="15"/>
  <c r="C201" i="15"/>
  <c r="C52" i="15"/>
  <c r="C321" i="15"/>
  <c r="C500" i="15"/>
  <c r="C567" i="15"/>
  <c r="B451" i="15"/>
  <c r="B379" i="15"/>
  <c r="B575" i="15"/>
  <c r="B309" i="15"/>
  <c r="Q309" i="15" s="1"/>
  <c r="B354" i="15"/>
  <c r="Q354" i="15" s="1"/>
  <c r="B326" i="15"/>
  <c r="Q326" i="15" s="1"/>
  <c r="B20" i="15"/>
  <c r="Q20" i="15" s="1"/>
  <c r="B249" i="15"/>
  <c r="Q249" i="15" s="1"/>
  <c r="B383" i="15"/>
  <c r="B64" i="15"/>
  <c r="Q64" i="15" s="1"/>
  <c r="B115" i="15"/>
  <c r="Q115" i="15" s="1"/>
  <c r="C336" i="15"/>
  <c r="B99" i="15"/>
  <c r="Q99" i="15" s="1"/>
  <c r="B569" i="15"/>
  <c r="B484" i="15"/>
  <c r="C38" i="15"/>
  <c r="C169" i="15"/>
  <c r="B572" i="15"/>
  <c r="C424" i="15"/>
  <c r="C182" i="15"/>
  <c r="C579" i="15"/>
  <c r="C238" i="15"/>
  <c r="B188" i="15"/>
  <c r="Q188" i="15" s="1"/>
  <c r="C96" i="15"/>
  <c r="B47" i="15"/>
  <c r="Q47" i="15" s="1"/>
  <c r="B179" i="15"/>
  <c r="Q179" i="15" s="1"/>
  <c r="B578" i="15"/>
  <c r="C102" i="15"/>
  <c r="B54" i="15"/>
  <c r="Q54" i="15" s="1"/>
  <c r="C432" i="15"/>
  <c r="C251" i="15"/>
  <c r="B560" i="15"/>
  <c r="B292" i="15"/>
  <c r="Q292" i="15" s="1"/>
  <c r="B461" i="15"/>
  <c r="B194" i="15"/>
  <c r="Q194" i="15" s="1"/>
  <c r="C190" i="15"/>
  <c r="C404" i="15"/>
  <c r="B543" i="15"/>
  <c r="B525" i="15"/>
  <c r="B469" i="15"/>
  <c r="B620" i="15"/>
  <c r="C485" i="15"/>
  <c r="C470" i="15"/>
  <c r="B233" i="15"/>
  <c r="Q233" i="15" s="1"/>
  <c r="B148" i="15"/>
  <c r="Q148" i="15" s="1"/>
  <c r="B339" i="15"/>
  <c r="Q339" i="15" s="1"/>
  <c r="B405" i="15"/>
  <c r="B193" i="15"/>
  <c r="Q193" i="15" s="1"/>
  <c r="B536" i="15"/>
  <c r="B235" i="15"/>
  <c r="Q235" i="15" s="1"/>
  <c r="C220" i="15"/>
  <c r="B327" i="15"/>
  <c r="Q327" i="15" s="1"/>
  <c r="B216" i="15"/>
  <c r="Q216" i="15" s="1"/>
  <c r="C31" i="15"/>
  <c r="B408" i="15"/>
  <c r="C367" i="15"/>
  <c r="B375" i="15"/>
  <c r="C460" i="15"/>
  <c r="C457" i="15"/>
  <c r="C569" i="15"/>
  <c r="B539" i="15"/>
  <c r="B555" i="15"/>
  <c r="C143" i="15"/>
  <c r="C290" i="15"/>
  <c r="B202" i="15"/>
  <c r="Q202" i="15" s="1"/>
  <c r="B455" i="15"/>
  <c r="B456" i="15"/>
  <c r="B279" i="15"/>
  <c r="Q279" i="15" s="1"/>
  <c r="B449" i="15"/>
  <c r="B155" i="15"/>
  <c r="Q155" i="15" s="1"/>
  <c r="B510" i="15"/>
  <c r="B600" i="15"/>
  <c r="B107" i="15"/>
  <c r="Q107" i="15" s="1"/>
  <c r="C505" i="15"/>
  <c r="B424" i="15"/>
  <c r="B609" i="15"/>
  <c r="B206" i="15"/>
  <c r="Q206" i="15" s="1"/>
  <c r="B465" i="15"/>
  <c r="B366" i="15"/>
  <c r="C620" i="15"/>
  <c r="B487" i="15"/>
  <c r="B599" i="15"/>
  <c r="C553" i="15"/>
  <c r="C559" i="15"/>
  <c r="C482" i="15"/>
  <c r="B139" i="15"/>
  <c r="Q139" i="15" s="1"/>
  <c r="C57" i="15"/>
  <c r="C473" i="15"/>
  <c r="B497" i="15"/>
  <c r="C546" i="15"/>
  <c r="C401" i="15"/>
  <c r="B303" i="15"/>
  <c r="Q303" i="15" s="1"/>
  <c r="B524" i="15"/>
  <c r="C317" i="15"/>
  <c r="B429" i="15"/>
  <c r="C219" i="15"/>
  <c r="C609" i="15"/>
  <c r="B226" i="15"/>
  <c r="Q226" i="15" s="1"/>
  <c r="B434" i="15"/>
  <c r="C331" i="15"/>
  <c r="B410" i="15"/>
  <c r="C597" i="15"/>
  <c r="C374" i="15"/>
  <c r="C235" i="15"/>
  <c r="C148" i="15"/>
  <c r="B463" i="15"/>
  <c r="C75" i="15"/>
  <c r="C475" i="15"/>
  <c r="B256" i="15"/>
  <c r="Q256" i="15" s="1"/>
  <c r="B482" i="15"/>
  <c r="C452" i="15"/>
  <c r="B98" i="15"/>
  <c r="Q98" i="15" s="1"/>
  <c r="B393" i="15"/>
  <c r="C301" i="15"/>
  <c r="C323" i="15"/>
  <c r="C298" i="15"/>
  <c r="B550" i="15"/>
  <c r="C355" i="15"/>
  <c r="C421" i="15"/>
  <c r="B571" i="15"/>
  <c r="B517" i="15"/>
  <c r="B242" i="15"/>
  <c r="Q242" i="15" s="1"/>
  <c r="C314" i="15"/>
  <c r="B92" i="15"/>
  <c r="Q92" i="15" s="1"/>
  <c r="B132" i="15"/>
  <c r="Q132" i="15" s="1"/>
  <c r="B27" i="15"/>
  <c r="Q27" i="15" s="1"/>
  <c r="C137" i="15"/>
  <c r="C121" i="15"/>
  <c r="B22" i="15"/>
  <c r="Q22" i="15" s="1"/>
  <c r="B77" i="15"/>
  <c r="Q77" i="15" s="1"/>
  <c r="C207" i="15"/>
  <c r="B423" i="15"/>
  <c r="B177" i="15"/>
  <c r="Q177" i="15" s="1"/>
  <c r="C185" i="15"/>
  <c r="C527" i="15"/>
  <c r="B535" i="15"/>
  <c r="B574" i="15"/>
  <c r="B44" i="15"/>
  <c r="Q44" i="15" s="1"/>
  <c r="C540" i="15"/>
  <c r="B481" i="15"/>
  <c r="B203" i="15"/>
  <c r="Q203" i="15" s="1"/>
  <c r="C514" i="15"/>
  <c r="B79" i="15"/>
  <c r="Q79" i="15" s="1"/>
  <c r="B492" i="15"/>
  <c r="B160" i="15"/>
  <c r="Q160" i="15" s="1"/>
  <c r="C304" i="15"/>
  <c r="B300" i="15"/>
  <c r="Q300" i="15" s="1"/>
  <c r="B106" i="15"/>
  <c r="Q106" i="15" s="1"/>
  <c r="B340" i="15"/>
  <c r="Q340" i="15" s="1"/>
  <c r="B144" i="15"/>
  <c r="Q144" i="15" s="1"/>
  <c r="B500" i="15"/>
  <c r="C227" i="15"/>
  <c r="B431" i="15"/>
  <c r="C388" i="15"/>
  <c r="C209" i="15"/>
  <c r="C394" i="15"/>
  <c r="C341" i="15"/>
  <c r="B274" i="15"/>
  <c r="Q274" i="15" s="1"/>
  <c r="B499" i="15"/>
  <c r="C141" i="15"/>
  <c r="B262" i="15"/>
  <c r="Q262" i="15" s="1"/>
  <c r="C103" i="15"/>
  <c r="C213" i="15"/>
  <c r="C17" i="15"/>
  <c r="B402" i="15"/>
  <c r="C196" i="15"/>
  <c r="B156" i="15"/>
  <c r="Q156" i="15" s="1"/>
  <c r="C369" i="15"/>
  <c r="B416" i="15"/>
  <c r="C230" i="15"/>
  <c r="B238" i="15"/>
  <c r="Q238" i="15" s="1"/>
  <c r="B324" i="15"/>
  <c r="Q324" i="15" s="1"/>
  <c r="B371" i="15"/>
  <c r="B147" i="15"/>
  <c r="Q147" i="15" s="1"/>
  <c r="C480" i="15"/>
  <c r="C426" i="15"/>
  <c r="C138" i="15"/>
  <c r="C406" i="15"/>
  <c r="C77" i="15"/>
  <c r="C62" i="15"/>
  <c r="C602" i="15"/>
  <c r="B301" i="15"/>
  <c r="Q301" i="15" s="1"/>
  <c r="C84" i="15"/>
  <c r="C545" i="15"/>
  <c r="B341" i="15"/>
  <c r="Q341" i="15" s="1"/>
  <c r="C384" i="15"/>
  <c r="B265" i="15"/>
  <c r="Q265" i="15" s="1"/>
  <c r="C509" i="15"/>
  <c r="C35" i="15"/>
  <c r="B563" i="15"/>
  <c r="C618" i="15"/>
  <c r="B372" i="15"/>
  <c r="B589" i="15"/>
  <c r="B290" i="15"/>
  <c r="Q290" i="15" s="1"/>
  <c r="B335" i="15"/>
  <c r="Q335" i="15" s="1"/>
  <c r="B437" i="15"/>
  <c r="C243" i="15"/>
  <c r="C171" i="15"/>
  <c r="B105" i="15"/>
  <c r="Q105" i="15" s="1"/>
  <c r="B389" i="15"/>
  <c r="C487" i="15"/>
  <c r="C299" i="15"/>
  <c r="C100" i="15"/>
  <c r="C42" i="15"/>
  <c r="C603" i="15"/>
  <c r="C539" i="15"/>
  <c r="B580" i="15"/>
  <c r="B163" i="15"/>
  <c r="Q163" i="15" s="1"/>
  <c r="B201" i="15"/>
  <c r="Q201" i="15" s="1"/>
  <c r="C264" i="15"/>
  <c r="C123" i="15"/>
  <c r="C405" i="15"/>
  <c r="C198" i="15"/>
  <c r="C119" i="15"/>
  <c r="B452" i="15"/>
  <c r="B466" i="15"/>
  <c r="B192" i="15"/>
  <c r="Q192" i="15" s="1"/>
  <c r="B246" i="15"/>
  <c r="Q246" i="15" s="1"/>
  <c r="B486" i="15"/>
  <c r="C305" i="15"/>
  <c r="C193" i="15"/>
  <c r="C158" i="15"/>
  <c r="C512" i="15"/>
  <c r="B73" i="15"/>
  <c r="Q73" i="15" s="1"/>
  <c r="B82" i="15"/>
  <c r="Q82" i="15" s="1"/>
  <c r="B564" i="15"/>
  <c r="B480" i="15"/>
  <c r="C286" i="15"/>
  <c r="B470" i="15"/>
  <c r="C477" i="15"/>
  <c r="C85" i="15"/>
  <c r="B96" i="15"/>
  <c r="Q96" i="15" s="1"/>
  <c r="C19" i="15"/>
  <c r="B239" i="15"/>
  <c r="Q239" i="15" s="1"/>
  <c r="B377" i="15"/>
  <c r="C275" i="15"/>
  <c r="B23" i="15"/>
  <c r="Q23" i="15" s="1"/>
  <c r="C417" i="15"/>
  <c r="C180" i="15"/>
  <c r="B26" i="15"/>
  <c r="Q26" i="15" s="1"/>
  <c r="C125" i="15"/>
  <c r="C36" i="15"/>
  <c r="B198" i="15"/>
  <c r="Q198" i="15" s="1"/>
  <c r="A131" i="12"/>
  <c r="G90" i="15"/>
  <c r="B88" i="12"/>
  <c r="D90" i="15"/>
  <c r="E90" i="15"/>
  <c r="F90" i="15"/>
  <c r="A356" i="12"/>
  <c r="E200" i="15"/>
  <c r="F200" i="15"/>
  <c r="G200" i="15"/>
  <c r="B198" i="12"/>
  <c r="D200" i="15"/>
  <c r="B316" i="12"/>
  <c r="D318" i="15"/>
  <c r="E318" i="15"/>
  <c r="F318" i="15"/>
  <c r="G318" i="15"/>
  <c r="B140" i="12"/>
  <c r="D142" i="15"/>
  <c r="F142" i="15"/>
  <c r="E142" i="15"/>
  <c r="G142" i="15"/>
  <c r="A174" i="12"/>
  <c r="A270" i="12"/>
  <c r="D461" i="15"/>
  <c r="E461" i="15"/>
  <c r="F461" i="15"/>
  <c r="G461" i="15"/>
  <c r="E86" i="15"/>
  <c r="F86" i="15"/>
  <c r="G86" i="15"/>
  <c r="B84" i="12"/>
  <c r="D86" i="15"/>
  <c r="A51" i="12"/>
  <c r="E373" i="15"/>
  <c r="F373" i="15"/>
  <c r="G373" i="15"/>
  <c r="D373" i="15"/>
  <c r="D614" i="15"/>
  <c r="E614" i="15"/>
  <c r="F614" i="15"/>
  <c r="G614" i="15"/>
  <c r="E536" i="15"/>
  <c r="G536" i="15"/>
  <c r="D536" i="15"/>
  <c r="F536" i="15"/>
  <c r="F358" i="15"/>
  <c r="G358" i="15"/>
  <c r="B356" i="12"/>
  <c r="D358" i="15"/>
  <c r="E358" i="15"/>
  <c r="G558" i="15"/>
  <c r="D558" i="15"/>
  <c r="E558" i="15"/>
  <c r="F558" i="15"/>
  <c r="G542" i="15"/>
  <c r="D542" i="15"/>
  <c r="E542" i="15"/>
  <c r="F542" i="15"/>
  <c r="F184" i="15"/>
  <c r="G184" i="15"/>
  <c r="B182" i="12"/>
  <c r="D184" i="15"/>
  <c r="E184" i="15"/>
  <c r="F23" i="15"/>
  <c r="G23" i="15"/>
  <c r="B21" i="12"/>
  <c r="D23" i="15"/>
  <c r="E23" i="15"/>
  <c r="G499" i="15"/>
  <c r="F499" i="15"/>
  <c r="D499" i="15"/>
  <c r="E499" i="15"/>
  <c r="A259" i="12"/>
  <c r="A312" i="12"/>
  <c r="B354" i="12"/>
  <c r="D356" i="15"/>
  <c r="E356" i="15"/>
  <c r="F356" i="15"/>
  <c r="G356" i="15"/>
  <c r="E445" i="15"/>
  <c r="F445" i="15"/>
  <c r="G445" i="15"/>
  <c r="D445" i="15"/>
  <c r="F113" i="15"/>
  <c r="G113" i="15"/>
  <c r="B111" i="12"/>
  <c r="D113" i="15"/>
  <c r="E113" i="15"/>
  <c r="B195" i="12"/>
  <c r="D197" i="15"/>
  <c r="E197" i="15"/>
  <c r="F197" i="15"/>
  <c r="G197" i="15"/>
  <c r="G526" i="15"/>
  <c r="D526" i="15"/>
  <c r="F526" i="15"/>
  <c r="E526" i="15"/>
  <c r="F574" i="15"/>
  <c r="G574" i="15"/>
  <c r="D574" i="15"/>
  <c r="E574" i="15"/>
  <c r="A163" i="12"/>
  <c r="D382" i="15"/>
  <c r="E382" i="15"/>
  <c r="F382" i="15"/>
  <c r="G382" i="15"/>
  <c r="F154" i="15"/>
  <c r="G154" i="15"/>
  <c r="B152" i="12"/>
  <c r="D154" i="15"/>
  <c r="E154" i="15"/>
  <c r="F353" i="15"/>
  <c r="G353" i="15"/>
  <c r="E353" i="15"/>
  <c r="B351" i="12"/>
  <c r="D353" i="15"/>
  <c r="B318" i="12"/>
  <c r="D320" i="15"/>
  <c r="E320" i="15"/>
  <c r="F320" i="15"/>
  <c r="G320" i="15"/>
  <c r="A251" i="12"/>
  <c r="E400" i="15"/>
  <c r="F400" i="15"/>
  <c r="G400" i="15"/>
  <c r="D400" i="15"/>
  <c r="F548" i="15"/>
  <c r="D548" i="15"/>
  <c r="E548" i="15"/>
  <c r="G548" i="15"/>
  <c r="A210" i="12"/>
  <c r="A222" i="12"/>
  <c r="E372" i="15"/>
  <c r="F372" i="15"/>
  <c r="D372" i="15"/>
  <c r="G372" i="15"/>
  <c r="F270" i="15"/>
  <c r="B268" i="12"/>
  <c r="D270" i="15"/>
  <c r="E270" i="15"/>
  <c r="G270" i="15"/>
  <c r="E615" i="15"/>
  <c r="D615" i="15"/>
  <c r="G615" i="15"/>
  <c r="F615" i="15"/>
  <c r="G507" i="15"/>
  <c r="F507" i="15"/>
  <c r="E507" i="15"/>
  <c r="D507" i="15"/>
  <c r="E218" i="15"/>
  <c r="F218" i="15"/>
  <c r="G218" i="15"/>
  <c r="B216" i="12"/>
  <c r="D218" i="15"/>
  <c r="A275" i="12"/>
  <c r="E276" i="15"/>
  <c r="G276" i="15"/>
  <c r="D276" i="15"/>
  <c r="B274" i="12"/>
  <c r="F276" i="15"/>
  <c r="D529" i="15"/>
  <c r="F529" i="15"/>
  <c r="G529" i="15"/>
  <c r="E529" i="15"/>
  <c r="B206" i="12"/>
  <c r="D208" i="15"/>
  <c r="E208" i="15"/>
  <c r="F208" i="15"/>
  <c r="G208" i="15"/>
  <c r="G206" i="15"/>
  <c r="E206" i="15"/>
  <c r="F206" i="15"/>
  <c r="D206" i="15"/>
  <c r="B204" i="12"/>
  <c r="G533" i="15"/>
  <c r="D533" i="15"/>
  <c r="F533" i="15"/>
  <c r="E533" i="15"/>
  <c r="C474" i="15"/>
  <c r="C362" i="15"/>
  <c r="F149" i="15"/>
  <c r="G149" i="15"/>
  <c r="B147" i="12"/>
  <c r="D149" i="15"/>
  <c r="E149" i="15"/>
  <c r="G74" i="15"/>
  <c r="B72" i="12"/>
  <c r="D74" i="15"/>
  <c r="E74" i="15"/>
  <c r="F74" i="15"/>
  <c r="F147" i="15"/>
  <c r="G147" i="15"/>
  <c r="B145" i="12"/>
  <c r="D147" i="15"/>
  <c r="E147" i="15"/>
  <c r="A183" i="12"/>
  <c r="A19" i="12"/>
  <c r="A100" i="12"/>
  <c r="A129" i="12"/>
  <c r="C528" i="15"/>
  <c r="B155" i="12"/>
  <c r="D157" i="15"/>
  <c r="E157" i="15"/>
  <c r="G157" i="15"/>
  <c r="F157" i="15"/>
  <c r="C570" i="15"/>
  <c r="A208" i="12"/>
  <c r="E65" i="15"/>
  <c r="G65" i="15"/>
  <c r="B63" i="12"/>
  <c r="F65" i="15"/>
  <c r="D65" i="15"/>
  <c r="B483" i="15"/>
  <c r="E133" i="15"/>
  <c r="F133" i="15"/>
  <c r="D133" i="15"/>
  <c r="B131" i="12"/>
  <c r="G133" i="15"/>
  <c r="C327" i="15"/>
  <c r="B380" i="15"/>
  <c r="G51" i="15"/>
  <c r="B49" i="12"/>
  <c r="D51" i="15"/>
  <c r="E51" i="15"/>
  <c r="F51" i="15"/>
  <c r="E54" i="15"/>
  <c r="F54" i="15"/>
  <c r="G54" i="15"/>
  <c r="B52" i="12"/>
  <c r="D54" i="15"/>
  <c r="C448" i="15"/>
  <c r="A176" i="12"/>
  <c r="C486" i="15"/>
  <c r="A93" i="12"/>
  <c r="A28" i="12"/>
  <c r="B438" i="15"/>
  <c r="C272" i="15"/>
  <c r="C494" i="15"/>
  <c r="C429" i="15"/>
  <c r="B269" i="15"/>
  <c r="Q269" i="15" s="1"/>
  <c r="A109" i="12"/>
  <c r="C616" i="15"/>
  <c r="C544" i="15"/>
  <c r="C468" i="15"/>
  <c r="C222" i="15"/>
  <c r="F136" i="15"/>
  <c r="G136" i="15"/>
  <c r="B134" i="12"/>
  <c r="D136" i="15"/>
  <c r="E136" i="15"/>
  <c r="C506" i="15"/>
  <c r="B509" i="15"/>
  <c r="A106" i="12"/>
  <c r="B532" i="15"/>
  <c r="C541" i="15"/>
  <c r="B65" i="12"/>
  <c r="D67" i="15"/>
  <c r="E67" i="15"/>
  <c r="F67" i="15"/>
  <c r="G67" i="15"/>
  <c r="B244" i="15"/>
  <c r="Q244" i="15" s="1"/>
  <c r="B498" i="15"/>
  <c r="B436" i="15"/>
  <c r="B237" i="15"/>
  <c r="Q237" i="15" s="1"/>
  <c r="C221" i="15"/>
  <c r="B153" i="15"/>
  <c r="Q153" i="15" s="1"/>
  <c r="B169" i="15"/>
  <c r="Q169" i="15" s="1"/>
  <c r="B533" i="15"/>
  <c r="C410" i="15"/>
  <c r="C109" i="15"/>
  <c r="C295" i="15"/>
  <c r="B172" i="15"/>
  <c r="Q172" i="15" s="1"/>
  <c r="B576" i="15"/>
  <c r="B259" i="15"/>
  <c r="Q259" i="15" s="1"/>
  <c r="C375" i="15"/>
  <c r="C132" i="15"/>
  <c r="C582" i="15"/>
  <c r="C291" i="15"/>
  <c r="C395" i="15"/>
  <c r="G24" i="15"/>
  <c r="E24" i="15"/>
  <c r="B22" i="12"/>
  <c r="F24" i="15"/>
  <c r="D24" i="15"/>
  <c r="B547" i="15"/>
  <c r="C177" i="15"/>
  <c r="C170" i="15"/>
  <c r="C589" i="15"/>
  <c r="C551" i="15"/>
  <c r="B291" i="15"/>
  <c r="Q291" i="15" s="1"/>
  <c r="C240" i="15"/>
  <c r="E467" i="15"/>
  <c r="F467" i="15"/>
  <c r="G467" i="15"/>
  <c r="D467" i="15"/>
  <c r="E516" i="15"/>
  <c r="G516" i="15"/>
  <c r="F516" i="15"/>
  <c r="D516" i="15"/>
  <c r="F510" i="15"/>
  <c r="G510" i="15"/>
  <c r="E510" i="15"/>
  <c r="D510" i="15"/>
  <c r="G471" i="15"/>
  <c r="D471" i="15"/>
  <c r="E471" i="15"/>
  <c r="F471" i="15"/>
  <c r="G518" i="15"/>
  <c r="D518" i="15"/>
  <c r="E518" i="15"/>
  <c r="F518" i="15"/>
  <c r="G164" i="15"/>
  <c r="B162" i="12"/>
  <c r="D164" i="15"/>
  <c r="E164" i="15"/>
  <c r="F164" i="15"/>
  <c r="G414" i="15"/>
  <c r="D414" i="15"/>
  <c r="F414" i="15"/>
  <c r="E414" i="15"/>
  <c r="A320" i="12"/>
  <c r="G464" i="15"/>
  <c r="D464" i="15"/>
  <c r="E464" i="15"/>
  <c r="F464" i="15"/>
  <c r="G534" i="15"/>
  <c r="E534" i="15"/>
  <c r="D534" i="15"/>
  <c r="F534" i="15"/>
  <c r="AE13" i="12"/>
  <c r="S13" i="12"/>
  <c r="L13" i="12"/>
  <c r="AB13" i="12"/>
  <c r="U13" i="12"/>
  <c r="N13" i="12"/>
  <c r="AD13" i="12"/>
  <c r="O13" i="12"/>
  <c r="G13" i="12"/>
  <c r="W13" i="12"/>
  <c r="P13" i="12"/>
  <c r="I13" i="12"/>
  <c r="Y13" i="12"/>
  <c r="R13" i="12"/>
  <c r="F13" i="12"/>
  <c r="X13" i="12"/>
  <c r="K13" i="12"/>
  <c r="AA13" i="12"/>
  <c r="T13" i="12"/>
  <c r="M13" i="12"/>
  <c r="AC13" i="12"/>
  <c r="V13" i="12"/>
  <c r="H13" i="12"/>
  <c r="Z13" i="12"/>
  <c r="J13" i="12"/>
  <c r="Q13" i="12"/>
  <c r="E211" i="15"/>
  <c r="F211" i="15"/>
  <c r="G211" i="15"/>
  <c r="D211" i="15"/>
  <c r="B209" i="12"/>
  <c r="A206" i="12"/>
  <c r="D422" i="15"/>
  <c r="E422" i="15"/>
  <c r="F422" i="15"/>
  <c r="G422" i="15"/>
  <c r="A266" i="12"/>
  <c r="E202" i="15"/>
  <c r="D202" i="15"/>
  <c r="F202" i="15"/>
  <c r="G202" i="15"/>
  <c r="B200" i="12"/>
  <c r="F325" i="15"/>
  <c r="G325" i="15"/>
  <c r="B323" i="12"/>
  <c r="D325" i="15"/>
  <c r="E325" i="15"/>
  <c r="B310" i="12"/>
  <c r="D312" i="15"/>
  <c r="E312" i="15"/>
  <c r="F312" i="15"/>
  <c r="G312" i="15"/>
  <c r="A227" i="12"/>
  <c r="A308" i="12"/>
  <c r="E519" i="15"/>
  <c r="F519" i="15"/>
  <c r="G519" i="15"/>
  <c r="D519" i="15"/>
  <c r="A285" i="12"/>
  <c r="A221" i="12"/>
  <c r="A61" i="12"/>
  <c r="A346" i="12"/>
  <c r="F29" i="15"/>
  <c r="G29" i="15"/>
  <c r="B27" i="12"/>
  <c r="D29" i="15"/>
  <c r="E29" i="15"/>
  <c r="B68" i="12"/>
  <c r="D70" i="15"/>
  <c r="E70" i="15"/>
  <c r="F70" i="15"/>
  <c r="G70" i="15"/>
  <c r="F532" i="15"/>
  <c r="E532" i="15"/>
  <c r="G532" i="15"/>
  <c r="D532" i="15"/>
  <c r="B185" i="12"/>
  <c r="D187" i="15"/>
  <c r="E187" i="15"/>
  <c r="F187" i="15"/>
  <c r="G187" i="15"/>
  <c r="A119" i="12"/>
  <c r="G131" i="15"/>
  <c r="B129" i="12"/>
  <c r="D131" i="15"/>
  <c r="E131" i="15"/>
  <c r="F131" i="15"/>
  <c r="A160" i="12"/>
  <c r="G504" i="15"/>
  <c r="D504" i="15"/>
  <c r="E504" i="15"/>
  <c r="F504" i="15"/>
  <c r="B116" i="12"/>
  <c r="D118" i="15"/>
  <c r="E118" i="15"/>
  <c r="F118" i="15"/>
  <c r="G118" i="15"/>
  <c r="F192" i="15"/>
  <c r="G192" i="15"/>
  <c r="B190" i="12"/>
  <c r="D192" i="15"/>
  <c r="E192" i="15"/>
  <c r="G385" i="15"/>
  <c r="E385" i="15"/>
  <c r="D385" i="15"/>
  <c r="F385" i="15"/>
  <c r="A219" i="12"/>
  <c r="A349" i="12"/>
  <c r="D456" i="15"/>
  <c r="E456" i="15"/>
  <c r="F456" i="15"/>
  <c r="G456" i="15"/>
  <c r="E87" i="15"/>
  <c r="F87" i="15"/>
  <c r="G87" i="15"/>
  <c r="B85" i="12"/>
  <c r="D87" i="15"/>
  <c r="E20" i="15"/>
  <c r="F20" i="15"/>
  <c r="G20" i="15"/>
  <c r="D20" i="15"/>
  <c r="B18" i="12"/>
  <c r="A179" i="12"/>
  <c r="E166" i="15"/>
  <c r="F166" i="15"/>
  <c r="G166" i="15"/>
  <c r="B164" i="12"/>
  <c r="D166" i="15"/>
  <c r="B149" i="12"/>
  <c r="D151" i="15"/>
  <c r="E151" i="15"/>
  <c r="F151" i="15"/>
  <c r="G151" i="15"/>
  <c r="E144" i="15"/>
  <c r="F144" i="15"/>
  <c r="G144" i="15"/>
  <c r="B142" i="12"/>
  <c r="D144" i="15"/>
  <c r="C472" i="15"/>
  <c r="A274" i="12"/>
  <c r="A126" i="12"/>
  <c r="C613" i="15"/>
  <c r="A311" i="12"/>
  <c r="C326" i="15"/>
  <c r="B413" i="15"/>
  <c r="C560" i="15"/>
  <c r="F97" i="15"/>
  <c r="G97" i="15"/>
  <c r="E97" i="15"/>
  <c r="B95" i="12"/>
  <c r="D97" i="15"/>
  <c r="E71" i="15"/>
  <c r="F71" i="15"/>
  <c r="B69" i="12"/>
  <c r="D71" i="15"/>
  <c r="G71" i="15"/>
  <c r="A225" i="12"/>
  <c r="B415" i="15"/>
  <c r="C522" i="15"/>
  <c r="C366" i="15"/>
  <c r="A187" i="12"/>
  <c r="A147" i="12"/>
  <c r="B153" i="12"/>
  <c r="D155" i="15"/>
  <c r="E155" i="15"/>
  <c r="F155" i="15"/>
  <c r="G155" i="15"/>
  <c r="A157" i="12"/>
  <c r="G215" i="15"/>
  <c r="B213" i="12"/>
  <c r="D215" i="15"/>
  <c r="E215" i="15"/>
  <c r="F215" i="15"/>
  <c r="C352" i="15"/>
  <c r="A49" i="12"/>
  <c r="B258" i="15"/>
  <c r="Q258" i="15" s="1"/>
  <c r="A55" i="12"/>
  <c r="C260" i="15"/>
  <c r="B419" i="15"/>
  <c r="A32" i="12"/>
  <c r="B537" i="15"/>
  <c r="G126" i="15"/>
  <c r="B124" i="12"/>
  <c r="D126" i="15"/>
  <c r="E126" i="15"/>
  <c r="F126" i="15"/>
  <c r="C525" i="15"/>
  <c r="A110" i="12"/>
  <c r="C216" i="15"/>
  <c r="B613" i="15"/>
  <c r="G128" i="15"/>
  <c r="B126" i="12"/>
  <c r="D128" i="15"/>
  <c r="E128" i="15"/>
  <c r="F128" i="15"/>
  <c r="C174" i="15"/>
  <c r="C357" i="15"/>
  <c r="C241" i="15"/>
  <c r="C330" i="15"/>
  <c r="C189" i="15"/>
  <c r="G33" i="15"/>
  <c r="B31" i="12"/>
  <c r="D33" i="15"/>
  <c r="F33" i="15"/>
  <c r="E33" i="15"/>
  <c r="B400" i="15"/>
  <c r="C581" i="15"/>
  <c r="F30" i="15"/>
  <c r="G30" i="15"/>
  <c r="E30" i="15"/>
  <c r="B28" i="12"/>
  <c r="D30" i="15"/>
  <c r="A81" i="12"/>
  <c r="B195" i="15"/>
  <c r="Q195" i="15" s="1"/>
  <c r="A16" i="12"/>
  <c r="C285" i="15"/>
  <c r="G53" i="15"/>
  <c r="E53" i="15"/>
  <c r="D53" i="15"/>
  <c r="B51" i="12"/>
  <c r="F53" i="15"/>
  <c r="A29" i="12"/>
  <c r="G40" i="15"/>
  <c r="B38" i="12"/>
  <c r="D40" i="15"/>
  <c r="F40" i="15"/>
  <c r="E40" i="15"/>
  <c r="B278" i="15"/>
  <c r="Q278" i="15" s="1"/>
  <c r="C571" i="15"/>
  <c r="C365" i="15"/>
  <c r="C592" i="15"/>
  <c r="A67" i="12"/>
  <c r="A46" i="12"/>
  <c r="C307" i="15"/>
  <c r="C437" i="15"/>
  <c r="B598" i="15"/>
  <c r="B445" i="15"/>
  <c r="C183" i="15"/>
  <c r="C376" i="15"/>
  <c r="C78" i="15"/>
  <c r="B396" i="15"/>
  <c r="B255" i="15"/>
  <c r="Q255" i="15" s="1"/>
  <c r="B252" i="15"/>
  <c r="Q252" i="15" s="1"/>
  <c r="C596" i="15"/>
  <c r="B612" i="15"/>
  <c r="B374" i="15"/>
  <c r="B357" i="15"/>
  <c r="Q357" i="15" s="1"/>
  <c r="C232" i="15"/>
  <c r="C296" i="15"/>
  <c r="B211" i="15"/>
  <c r="Q211" i="15" s="1"/>
  <c r="C430" i="15"/>
  <c r="C266" i="15"/>
  <c r="C214" i="15"/>
  <c r="C72" i="15"/>
  <c r="BT174" i="18" l="1"/>
  <c r="CA174" i="18"/>
  <c r="BZ174" i="18"/>
  <c r="G490" i="15"/>
  <c r="G513" i="15"/>
  <c r="F69" i="15"/>
  <c r="G69" i="15"/>
  <c r="B210" i="12"/>
  <c r="A128" i="12"/>
  <c r="E550" i="15"/>
  <c r="F250" i="15"/>
  <c r="D247" i="15"/>
  <c r="E247" i="15"/>
  <c r="F340" i="15"/>
  <c r="G263" i="15"/>
  <c r="F181" i="15"/>
  <c r="G117" i="15"/>
  <c r="F117" i="15"/>
  <c r="F135" i="15"/>
  <c r="B133" i="12"/>
  <c r="B78" i="12"/>
  <c r="B313" i="12"/>
  <c r="E278" i="15"/>
  <c r="F278" i="15"/>
  <c r="G391" i="15"/>
  <c r="F443" i="15"/>
  <c r="G59" i="15"/>
  <c r="D229" i="15"/>
  <c r="F129" i="15"/>
  <c r="E438" i="15"/>
  <c r="F513" i="15"/>
  <c r="E37" i="15"/>
  <c r="F37" i="15"/>
  <c r="F490" i="15"/>
  <c r="BZ103" i="18"/>
  <c r="BZ276" i="18"/>
  <c r="BT390" i="18"/>
  <c r="Q46" i="15"/>
  <c r="E69" i="15"/>
  <c r="G212" i="15"/>
  <c r="F212" i="15"/>
  <c r="D550" i="15"/>
  <c r="E250" i="15"/>
  <c r="B245" i="12"/>
  <c r="D340" i="15"/>
  <c r="D263" i="15"/>
  <c r="F263" i="15"/>
  <c r="E181" i="15"/>
  <c r="E117" i="15"/>
  <c r="G135" i="15"/>
  <c r="G80" i="15"/>
  <c r="E315" i="15"/>
  <c r="D278" i="15"/>
  <c r="E391" i="15"/>
  <c r="E443" i="15"/>
  <c r="D59" i="15"/>
  <c r="F59" i="15"/>
  <c r="B227" i="12"/>
  <c r="D129" i="15"/>
  <c r="G438" i="15"/>
  <c r="E513" i="15"/>
  <c r="D37" i="15"/>
  <c r="D490" i="15"/>
  <c r="BZ63" i="18"/>
  <c r="CA209" i="18"/>
  <c r="K4" i="22"/>
  <c r="A38" i="12"/>
  <c r="G340" i="15"/>
  <c r="E80" i="15"/>
  <c r="F229" i="15"/>
  <c r="E129" i="15"/>
  <c r="CA231" i="18"/>
  <c r="E433" i="15"/>
  <c r="BT134" i="18"/>
  <c r="BZ390" i="18"/>
  <c r="BT202" i="18"/>
  <c r="BZ279" i="18"/>
  <c r="BT382" i="18"/>
  <c r="BT309" i="18"/>
  <c r="BT207" i="18"/>
  <c r="BT99" i="18"/>
  <c r="BT98" i="18"/>
  <c r="BT369" i="18"/>
  <c r="BT156" i="18"/>
  <c r="BT283" i="18"/>
  <c r="BT123" i="18"/>
  <c r="BT279" i="18"/>
  <c r="BT231" i="18"/>
  <c r="BT66" i="18"/>
  <c r="BT232" i="18"/>
  <c r="BT101" i="18"/>
  <c r="BT272" i="18"/>
  <c r="BZ91" i="18"/>
  <c r="BT100" i="18"/>
  <c r="BT394" i="18"/>
  <c r="BT182" i="18"/>
  <c r="CA314" i="18"/>
  <c r="BZ302" i="18"/>
  <c r="BT276" i="18"/>
  <c r="BT370" i="18"/>
  <c r="BR184" i="18"/>
  <c r="BQ184" i="18"/>
  <c r="BT331" i="18"/>
  <c r="CA331" i="18"/>
  <c r="BZ331" i="18"/>
  <c r="BT95" i="18"/>
  <c r="CA95" i="18"/>
  <c r="BZ95" i="18"/>
  <c r="BP184" i="18"/>
  <c r="BT224" i="18"/>
  <c r="CA224" i="18"/>
  <c r="BZ224" i="18"/>
  <c r="BT324" i="18"/>
  <c r="CA168" i="18"/>
  <c r="BT168" i="18"/>
  <c r="BZ168" i="18"/>
  <c r="BO184" i="18"/>
  <c r="BT198" i="18"/>
  <c r="BT199" i="18"/>
  <c r="BT196" i="18"/>
  <c r="CA361" i="18"/>
  <c r="CA217" i="18"/>
  <c r="BT54" i="18"/>
  <c r="CA310" i="18"/>
  <c r="BT87" i="18"/>
  <c r="BZ324" i="18"/>
  <c r="BZ78" i="18"/>
  <c r="CA122" i="18"/>
  <c r="BT307" i="18"/>
  <c r="BT45" i="18"/>
  <c r="BT288" i="18"/>
  <c r="BZ346" i="18"/>
  <c r="BT284" i="18"/>
  <c r="BZ317" i="18"/>
  <c r="CA291" i="18"/>
  <c r="CA205" i="18"/>
  <c r="BT221" i="18"/>
  <c r="BT353" i="18"/>
  <c r="BT378" i="18"/>
  <c r="BT154" i="18"/>
  <c r="BT80" i="18"/>
  <c r="BT169" i="18"/>
  <c r="BT172" i="18"/>
  <c r="BT250" i="18"/>
  <c r="BT127" i="18"/>
  <c r="BT247" i="18"/>
  <c r="BT314" i="18"/>
  <c r="BT63" i="18"/>
  <c r="BT106" i="18"/>
  <c r="BT97" i="18"/>
  <c r="BT349" i="18"/>
  <c r="BT403" i="18"/>
  <c r="BT246" i="18"/>
  <c r="BT79" i="18"/>
  <c r="BZ87" i="18"/>
  <c r="BT10" i="18"/>
  <c r="CA349" i="18"/>
  <c r="BT152" i="18"/>
  <c r="BZ26" i="18"/>
  <c r="CA316" i="18"/>
  <c r="BZ378" i="18"/>
  <c r="BT26" i="18"/>
  <c r="BZ162" i="18"/>
  <c r="BT22" i="18"/>
  <c r="BT103" i="18"/>
  <c r="BT350" i="18"/>
  <c r="BT122" i="18"/>
  <c r="BT147" i="18"/>
  <c r="BT201" i="18"/>
  <c r="BT393" i="18"/>
  <c r="BT71" i="18"/>
  <c r="BT121" i="18"/>
  <c r="BT165" i="18"/>
  <c r="BT27" i="18"/>
  <c r="BT61" i="18"/>
  <c r="BT206" i="18"/>
  <c r="BT75" i="18"/>
  <c r="BT360" i="18"/>
  <c r="BZ74" i="18"/>
  <c r="BT240" i="18"/>
  <c r="BT92" i="18"/>
  <c r="BT146" i="18"/>
  <c r="BT83" i="18"/>
  <c r="BT132" i="18"/>
  <c r="BT332" i="18"/>
  <c r="BT271" i="18"/>
  <c r="BT388" i="18"/>
  <c r="BT60" i="18"/>
  <c r="BT325" i="18"/>
  <c r="BT235" i="18"/>
  <c r="BT84" i="18"/>
  <c r="BT67" i="18"/>
  <c r="BT328" i="18"/>
  <c r="BT255" i="18"/>
  <c r="BT88" i="18"/>
  <c r="CA107" i="18"/>
  <c r="BT262" i="18"/>
  <c r="BT223" i="18"/>
  <c r="BT138" i="18"/>
  <c r="BT109" i="18"/>
  <c r="BT189" i="18"/>
  <c r="BT229" i="18"/>
  <c r="BT195" i="18"/>
  <c r="BT91" i="18"/>
  <c r="BT157" i="18"/>
  <c r="BT126" i="18"/>
  <c r="BT18" i="18"/>
  <c r="BT93" i="18"/>
  <c r="BT346" i="18"/>
  <c r="BT301" i="18"/>
  <c r="BT149" i="18"/>
  <c r="BT142" i="18"/>
  <c r="BT381" i="18"/>
  <c r="BT38" i="18"/>
  <c r="BT143" i="18"/>
  <c r="BT135" i="18"/>
  <c r="BT348" i="18"/>
  <c r="BT234" i="18"/>
  <c r="BT404" i="18"/>
  <c r="BT365" i="18"/>
  <c r="BT128" i="18"/>
  <c r="BT405" i="18"/>
  <c r="BT226" i="18"/>
  <c r="BT68" i="18"/>
  <c r="BT96" i="18"/>
  <c r="BT159" i="18"/>
  <c r="BT214" i="18"/>
  <c r="BT179" i="18"/>
  <c r="BT163" i="18"/>
  <c r="BT263" i="18"/>
  <c r="BT70" i="18"/>
  <c r="BT177" i="18"/>
  <c r="BT180" i="18"/>
  <c r="BT239" i="18"/>
  <c r="BT356" i="18"/>
  <c r="BT310" i="18"/>
  <c r="BT162" i="18"/>
  <c r="BT188" i="18"/>
  <c r="BT361" i="18"/>
  <c r="BT317" i="18"/>
  <c r="BT358" i="18"/>
  <c r="BT90" i="18"/>
  <c r="BT212" i="18"/>
  <c r="BT53" i="18"/>
  <c r="BT119" i="18"/>
  <c r="BT192" i="18"/>
  <c r="BT266" i="18"/>
  <c r="BT190" i="18"/>
  <c r="BT364" i="18"/>
  <c r="BT155" i="18"/>
  <c r="BT113" i="18"/>
  <c r="BT62" i="18"/>
  <c r="BT220" i="18"/>
  <c r="BT366" i="18"/>
  <c r="BT243" i="18"/>
  <c r="BT344" i="18"/>
  <c r="BT320" i="18"/>
  <c r="BT248" i="18"/>
  <c r="BT50" i="18"/>
  <c r="BT158" i="18"/>
  <c r="BT289" i="18"/>
  <c r="BT183" i="18"/>
  <c r="BT368" i="18"/>
  <c r="BT14" i="18"/>
  <c r="BT46" i="18"/>
  <c r="BT259" i="18"/>
  <c r="BT175" i="18"/>
  <c r="BT326" i="18"/>
  <c r="BT59" i="18"/>
  <c r="BT227" i="18"/>
  <c r="BT124" i="18"/>
  <c r="BT23" i="18"/>
  <c r="BT204" i="18"/>
  <c r="BT86" i="18"/>
  <c r="BT238" i="18"/>
  <c r="BT153" i="18"/>
  <c r="BT145" i="18"/>
  <c r="BT34" i="18"/>
  <c r="BT15" i="18"/>
  <c r="BT161" i="18"/>
  <c r="BT41" i="18"/>
  <c r="BT236" i="18"/>
  <c r="BT313" i="18"/>
  <c r="BT49" i="18"/>
  <c r="BT306" i="18"/>
  <c r="BT302" i="18"/>
  <c r="BT120" i="18"/>
  <c r="BT141" i="18"/>
  <c r="BT200" i="18"/>
  <c r="BT166" i="18"/>
  <c r="BT316" i="18"/>
  <c r="BT11" i="18"/>
  <c r="BT140" i="18"/>
  <c r="BT380" i="18"/>
  <c r="BT268" i="18"/>
  <c r="BT217" i="18"/>
  <c r="BT389" i="18"/>
  <c r="BT303" i="18"/>
  <c r="BT187" i="18"/>
  <c r="BT242" i="18"/>
  <c r="BT94" i="18"/>
  <c r="BT81" i="18"/>
  <c r="BT139" i="18"/>
  <c r="BT74" i="18"/>
  <c r="BT267" i="18"/>
  <c r="BT211" i="18"/>
  <c r="BT385" i="18"/>
  <c r="BT125" i="18"/>
  <c r="BT78" i="18"/>
  <c r="BT208" i="18"/>
  <c r="BT151" i="18"/>
  <c r="BT258" i="18"/>
  <c r="BT105" i="18"/>
  <c r="BT345" i="18"/>
  <c r="BT116" i="18"/>
  <c r="BT398" i="18"/>
  <c r="BT275" i="18"/>
  <c r="BT376" i="18"/>
  <c r="BT333" i="18"/>
  <c r="BT72" i="18"/>
  <c r="BT264" i="18"/>
  <c r="BT89" i="18"/>
  <c r="BT118" i="18"/>
  <c r="BT256" i="18"/>
  <c r="BT42" i="18"/>
  <c r="BT186" i="18"/>
  <c r="BT299" i="18"/>
  <c r="BT396" i="18"/>
  <c r="BT286" i="18"/>
  <c r="BT295" i="18"/>
  <c r="BT230" i="18"/>
  <c r="BT76" i="18"/>
  <c r="BT104" i="18"/>
  <c r="BT117" i="18"/>
  <c r="BT136" i="18"/>
  <c r="BT33" i="18"/>
  <c r="BT111" i="18"/>
  <c r="BT3" i="18"/>
  <c r="BT137" i="18"/>
  <c r="BT129" i="18"/>
  <c r="BT37" i="18"/>
  <c r="BT69" i="18"/>
  <c r="BT251" i="18"/>
  <c r="BT144" i="18"/>
  <c r="BT293" i="18"/>
  <c r="BT181" i="18"/>
  <c r="BT321" i="18"/>
  <c r="BT270" i="18"/>
  <c r="BT185" i="18"/>
  <c r="BT377" i="18"/>
  <c r="BT170" i="18"/>
  <c r="BT291" i="18"/>
  <c r="BT114" i="18"/>
  <c r="BT210" i="18"/>
  <c r="BT133" i="18"/>
  <c r="BT203" i="18"/>
  <c r="BT330" i="18"/>
  <c r="BT205" i="18"/>
  <c r="BT254" i="18"/>
  <c r="BT191" i="18"/>
  <c r="BT322" i="18"/>
  <c r="BT209" i="18"/>
  <c r="BT178" i="18"/>
  <c r="BT64" i="18"/>
  <c r="BT73" i="18"/>
  <c r="BT252" i="18"/>
  <c r="BT160" i="18"/>
  <c r="BT329" i="18"/>
  <c r="BT400" i="18"/>
  <c r="BT297" i="18"/>
  <c r="BT373" i="18"/>
  <c r="BT287" i="18"/>
  <c r="BT215" i="18"/>
  <c r="BT77" i="18"/>
  <c r="BT107" i="18"/>
  <c r="BT4" i="18"/>
  <c r="BT102" i="18"/>
  <c r="BT337" i="18"/>
  <c r="BT167" i="18"/>
  <c r="BT216" i="18"/>
  <c r="BT342" i="18"/>
  <c r="BT164" i="18"/>
  <c r="BT392" i="18"/>
  <c r="BT171" i="18"/>
  <c r="BT362" i="18"/>
  <c r="BT372" i="18"/>
  <c r="CA354" i="18"/>
  <c r="BZ354" i="18"/>
  <c r="BT354" i="18"/>
  <c r="CA334" i="18"/>
  <c r="BZ334" i="18"/>
  <c r="BT334" i="18"/>
  <c r="CA85" i="18"/>
  <c r="BZ85" i="18"/>
  <c r="BT85" i="18"/>
  <c r="BT312" i="18"/>
  <c r="BZ312" i="18"/>
  <c r="CA312" i="18"/>
  <c r="CA374" i="18"/>
  <c r="BZ374" i="18"/>
  <c r="BT374" i="18"/>
  <c r="BZ338" i="18"/>
  <c r="CA338" i="18"/>
  <c r="BT338" i="18"/>
  <c r="CA7" i="18"/>
  <c r="BZ7" i="18"/>
  <c r="BT7" i="18"/>
  <c r="BT110" i="18"/>
  <c r="CA110" i="18"/>
  <c r="BZ110" i="18"/>
  <c r="BZ386" i="18"/>
  <c r="CA386" i="18"/>
  <c r="BT386" i="18"/>
  <c r="CA115" i="18"/>
  <c r="BZ115" i="18"/>
  <c r="BT115" i="18"/>
  <c r="CA130" i="18"/>
  <c r="BT130" i="18"/>
  <c r="BZ130" i="18"/>
  <c r="CA336" i="18"/>
  <c r="BZ336" i="18"/>
  <c r="BT336" i="18"/>
  <c r="BT407" i="18"/>
  <c r="CA407" i="18"/>
  <c r="BZ407" i="18"/>
  <c r="CA131" i="18"/>
  <c r="BZ131" i="18"/>
  <c r="BT131" i="18"/>
  <c r="BT19" i="18"/>
  <c r="BZ19" i="18"/>
  <c r="CA19" i="18"/>
  <c r="CA30" i="18"/>
  <c r="BZ30" i="18"/>
  <c r="CA82" i="18"/>
  <c r="BZ82" i="18"/>
  <c r="BT82" i="18"/>
  <c r="CA397" i="18"/>
  <c r="BZ397" i="18"/>
  <c r="BT397" i="18"/>
  <c r="CA341" i="18"/>
  <c r="BZ341" i="18"/>
  <c r="BT341" i="18"/>
  <c r="BO2" i="18"/>
  <c r="BR2" i="18"/>
  <c r="BQ2" i="18"/>
  <c r="BT357" i="18"/>
  <c r="CA357" i="18"/>
  <c r="BZ357" i="18"/>
  <c r="BT197" i="18"/>
  <c r="CA197" i="18"/>
  <c r="BZ197" i="18"/>
  <c r="CA298" i="18"/>
  <c r="BZ298" i="18"/>
  <c r="BT298" i="18"/>
  <c r="BZ194" i="18"/>
  <c r="CA194" i="18"/>
  <c r="BT194" i="18"/>
  <c r="CA318" i="18"/>
  <c r="BZ318" i="18"/>
  <c r="BT318" i="18"/>
  <c r="BP30" i="18"/>
  <c r="BR30" i="18"/>
  <c r="BQ30" i="18"/>
  <c r="BT108" i="18"/>
  <c r="CA150" i="18"/>
  <c r="BZ150" i="18"/>
  <c r="BT150" i="18"/>
  <c r="BZ260" i="18"/>
  <c r="BT260" i="18"/>
  <c r="CA260" i="18"/>
  <c r="BZ148" i="18"/>
  <c r="BT148" i="18"/>
  <c r="CA148" i="18"/>
  <c r="CA213" i="18"/>
  <c r="BZ213" i="18"/>
  <c r="BT213" i="18"/>
  <c r="CA193" i="18"/>
  <c r="BZ193" i="18"/>
  <c r="BT193" i="18"/>
  <c r="CA173" i="18"/>
  <c r="BT173" i="18"/>
  <c r="BZ173" i="18"/>
  <c r="BZ352" i="18"/>
  <c r="CA352" i="18"/>
  <c r="BT352" i="18"/>
  <c r="CA112" i="18"/>
  <c r="BZ112" i="18"/>
  <c r="BT112" i="18"/>
  <c r="BT340" i="18"/>
  <c r="CA340" i="18"/>
  <c r="BZ340" i="18"/>
  <c r="CA176" i="18"/>
  <c r="BZ176" i="18"/>
  <c r="BT176" i="18"/>
  <c r="J16" i="15"/>
  <c r="J17" i="15" s="1"/>
  <c r="J18" i="15" s="1"/>
  <c r="J19" i="15" s="1"/>
  <c r="J20" i="15" s="1"/>
  <c r="J21" i="15" s="1"/>
  <c r="J22" i="15" s="1"/>
  <c r="J23" i="15" s="1"/>
  <c r="J24" i="15" s="1"/>
  <c r="J25" i="15" s="1"/>
  <c r="J26" i="15" s="1"/>
  <c r="J27" i="15" s="1"/>
  <c r="J28" i="15" s="1"/>
  <c r="J29" i="15" s="1"/>
  <c r="J30" i="15" s="1"/>
  <c r="J31" i="15" s="1"/>
  <c r="J32" i="15" s="1"/>
  <c r="J33" i="15" s="1"/>
  <c r="J34" i="15" s="1"/>
  <c r="J35" i="15" s="1"/>
  <c r="J36" i="15" s="1"/>
  <c r="J37" i="15" s="1"/>
  <c r="J38" i="15" s="1"/>
  <c r="J39" i="15" s="1"/>
  <c r="J40" i="15" s="1"/>
  <c r="J41" i="15" s="1"/>
  <c r="J42" i="15" s="1"/>
  <c r="J43" i="15" s="1"/>
  <c r="J44" i="15" s="1"/>
  <c r="J45" i="15" s="1"/>
  <c r="J46" i="15" s="1"/>
  <c r="J47" i="15" s="1"/>
  <c r="J48" i="15" s="1"/>
  <c r="J49" i="15" s="1"/>
  <c r="J50" i="15" s="1"/>
  <c r="J51" i="15" s="1"/>
  <c r="J52" i="15" s="1"/>
  <c r="J53" i="15" s="1"/>
  <c r="J54" i="15" s="1"/>
  <c r="J55" i="15" s="1"/>
  <c r="J56" i="15" s="1"/>
  <c r="J57" i="15" s="1"/>
  <c r="J58" i="15" s="1"/>
  <c r="J59" i="15" s="1"/>
  <c r="J60" i="15" s="1"/>
  <c r="J61" i="15" s="1"/>
  <c r="J62" i="15" s="1"/>
  <c r="J63" i="15" s="1"/>
  <c r="J64" i="15" s="1"/>
  <c r="J65" i="15" s="1"/>
  <c r="J66" i="15" s="1"/>
  <c r="J67" i="15" s="1"/>
  <c r="J68" i="15" s="1"/>
  <c r="J69" i="15" s="1"/>
  <c r="J70" i="15" s="1"/>
  <c r="J71" i="15" s="1"/>
  <c r="J72" i="15" s="1"/>
  <c r="J73" i="15" s="1"/>
  <c r="J74" i="15" s="1"/>
  <c r="J75" i="15" s="1"/>
  <c r="J76" i="15" s="1"/>
  <c r="J77" i="15" s="1"/>
  <c r="J78" i="15" s="1"/>
  <c r="J79" i="15" s="1"/>
  <c r="J80" i="15" s="1"/>
  <c r="J81" i="15" s="1"/>
  <c r="J82" i="15" s="1"/>
  <c r="J83" i="15" s="1"/>
  <c r="J84" i="15" s="1"/>
  <c r="J85" i="15" s="1"/>
  <c r="J86" i="15" s="1"/>
  <c r="J87" i="15" s="1"/>
  <c r="J88" i="15" s="1"/>
  <c r="J89" i="15" s="1"/>
  <c r="J90" i="15" s="1"/>
  <c r="J91" i="15" s="1"/>
  <c r="J92" i="15" s="1"/>
  <c r="J93" i="15" s="1"/>
  <c r="J94" i="15" s="1"/>
  <c r="J95" i="15" s="1"/>
  <c r="J96" i="15" s="1"/>
  <c r="J97" i="15" s="1"/>
  <c r="J98" i="15" s="1"/>
  <c r="J99" i="15" s="1"/>
  <c r="J100" i="15" s="1"/>
  <c r="J101" i="15" s="1"/>
  <c r="J102" i="15" s="1"/>
  <c r="J103" i="15" s="1"/>
  <c r="J104" i="15" s="1"/>
  <c r="J105" i="15" s="1"/>
  <c r="J106" i="15" s="1"/>
  <c r="J107" i="15" s="1"/>
  <c r="J108" i="15" s="1"/>
  <c r="J109" i="15" s="1"/>
  <c r="J110" i="15" s="1"/>
  <c r="J111" i="15" s="1"/>
  <c r="J112" i="15" s="1"/>
  <c r="J113" i="15" s="1"/>
  <c r="J114" i="15" s="1"/>
  <c r="J115" i="15" s="1"/>
  <c r="J116" i="15" s="1"/>
  <c r="J117" i="15" s="1"/>
  <c r="J118" i="15" s="1"/>
  <c r="J119" i="15" s="1"/>
  <c r="J120" i="15" s="1"/>
  <c r="J121" i="15" s="1"/>
  <c r="J122" i="15" s="1"/>
  <c r="J123" i="15" s="1"/>
  <c r="J124" i="15" s="1"/>
  <c r="J125" i="15" s="1"/>
  <c r="J126" i="15" s="1"/>
  <c r="J127" i="15" s="1"/>
  <c r="J128" i="15" s="1"/>
  <c r="J129" i="15" s="1"/>
  <c r="J130" i="15" s="1"/>
  <c r="J131" i="15" s="1"/>
  <c r="J132" i="15" s="1"/>
  <c r="J133" i="15" s="1"/>
  <c r="J134" i="15" s="1"/>
  <c r="J135" i="15" s="1"/>
  <c r="J136" i="15" s="1"/>
  <c r="J137" i="15" s="1"/>
  <c r="J138" i="15" s="1"/>
  <c r="J139" i="15" s="1"/>
  <c r="J140" i="15" s="1"/>
  <c r="J141" i="15" s="1"/>
  <c r="J142" i="15" s="1"/>
  <c r="J143" i="15" s="1"/>
  <c r="J144" i="15" s="1"/>
  <c r="J145" i="15" s="1"/>
  <c r="J146" i="15" s="1"/>
  <c r="J147" i="15" s="1"/>
  <c r="J148" i="15" s="1"/>
  <c r="J149" i="15" s="1"/>
  <c r="J150" i="15" s="1"/>
  <c r="J151" i="15" s="1"/>
  <c r="J152" i="15" s="1"/>
  <c r="J153" i="15" s="1"/>
  <c r="J154" i="15" s="1"/>
  <c r="J155" i="15" s="1"/>
  <c r="J156" i="15" s="1"/>
  <c r="J157" i="15" s="1"/>
  <c r="J158" i="15" s="1"/>
  <c r="J159" i="15" s="1"/>
  <c r="J160" i="15" s="1"/>
  <c r="J161" i="15" s="1"/>
  <c r="J162" i="15" s="1"/>
  <c r="J163" i="15" s="1"/>
  <c r="J164" i="15" s="1"/>
  <c r="J165" i="15" s="1"/>
  <c r="J166" i="15" s="1"/>
  <c r="J167" i="15" s="1"/>
  <c r="J168" i="15" s="1"/>
  <c r="J169" i="15" s="1"/>
  <c r="J170" i="15" s="1"/>
  <c r="J171" i="15" s="1"/>
  <c r="J172" i="15" s="1"/>
  <c r="J173" i="15" s="1"/>
  <c r="J174" i="15" s="1"/>
  <c r="J175" i="15" s="1"/>
  <c r="J176" i="15" s="1"/>
  <c r="J177" i="15" s="1"/>
  <c r="J178" i="15" s="1"/>
  <c r="J179" i="15" s="1"/>
  <c r="J180" i="15" s="1"/>
  <c r="J181" i="15" s="1"/>
  <c r="J182" i="15" s="1"/>
  <c r="J183" i="15" s="1"/>
  <c r="J184" i="15" s="1"/>
  <c r="J185" i="15" s="1"/>
  <c r="J186" i="15" s="1"/>
  <c r="J187" i="15" s="1"/>
  <c r="J188" i="15" s="1"/>
  <c r="J189" i="15" s="1"/>
  <c r="J190" i="15" s="1"/>
  <c r="J191" i="15" s="1"/>
  <c r="J192" i="15" s="1"/>
  <c r="J193" i="15" s="1"/>
  <c r="J194" i="15" s="1"/>
  <c r="J195" i="15" s="1"/>
  <c r="J196" i="15" s="1"/>
  <c r="J197" i="15" s="1"/>
  <c r="J198" i="15" s="1"/>
  <c r="J199" i="15" s="1"/>
  <c r="J200" i="15" s="1"/>
  <c r="J201" i="15" s="1"/>
  <c r="J202" i="15" s="1"/>
  <c r="J203" i="15" s="1"/>
  <c r="J204" i="15" s="1"/>
  <c r="J205" i="15" s="1"/>
  <c r="J206" i="15" s="1"/>
  <c r="J207" i="15" s="1"/>
  <c r="J208" i="15" s="1"/>
  <c r="J209" i="15" s="1"/>
  <c r="J210" i="15" s="1"/>
  <c r="J211" i="15" s="1"/>
  <c r="J212" i="15" s="1"/>
  <c r="J213" i="15" s="1"/>
  <c r="J214" i="15" s="1"/>
  <c r="J215" i="15" s="1"/>
  <c r="J216" i="15" s="1"/>
  <c r="J217" i="15" s="1"/>
  <c r="J218" i="15" s="1"/>
  <c r="J219" i="15" s="1"/>
  <c r="J220" i="15" s="1"/>
  <c r="J221" i="15" s="1"/>
  <c r="J222" i="15" s="1"/>
  <c r="J223" i="15" s="1"/>
  <c r="J224" i="15" s="1"/>
  <c r="J225" i="15" s="1"/>
  <c r="J226" i="15" s="1"/>
  <c r="J227" i="15" s="1"/>
  <c r="J228" i="15" s="1"/>
  <c r="J229" i="15" s="1"/>
  <c r="J230" i="15" s="1"/>
  <c r="J231" i="15" s="1"/>
  <c r="J232" i="15" s="1"/>
  <c r="J233" i="15" s="1"/>
  <c r="J234" i="15" s="1"/>
  <c r="J235" i="15" s="1"/>
  <c r="J236" i="15" s="1"/>
  <c r="J237" i="15" s="1"/>
  <c r="J238" i="15" s="1"/>
  <c r="J239" i="15" s="1"/>
  <c r="J240" i="15" s="1"/>
  <c r="J241" i="15" s="1"/>
  <c r="J242" i="15" s="1"/>
  <c r="J243" i="15" s="1"/>
  <c r="J244" i="15" s="1"/>
  <c r="J245" i="15" s="1"/>
  <c r="J246" i="15" s="1"/>
  <c r="J247" i="15" s="1"/>
  <c r="J248" i="15" s="1"/>
  <c r="J249" i="15" s="1"/>
  <c r="J250" i="15" s="1"/>
  <c r="J251" i="15" s="1"/>
  <c r="J252" i="15" s="1"/>
  <c r="J253" i="15" s="1"/>
  <c r="J254" i="15" s="1"/>
  <c r="J255" i="15" s="1"/>
  <c r="J256" i="15" s="1"/>
  <c r="J257" i="15" s="1"/>
  <c r="J258" i="15" s="1"/>
  <c r="J259" i="15" s="1"/>
  <c r="J260" i="15" s="1"/>
  <c r="J261" i="15" s="1"/>
  <c r="J262" i="15" s="1"/>
  <c r="J263" i="15" s="1"/>
  <c r="J264" i="15" s="1"/>
  <c r="J265" i="15" s="1"/>
  <c r="J266" i="15" s="1"/>
  <c r="J267" i="15" s="1"/>
  <c r="J268" i="15" s="1"/>
  <c r="J269" i="15" s="1"/>
  <c r="J270" i="15" s="1"/>
  <c r="J271" i="15" s="1"/>
  <c r="J272" i="15" s="1"/>
  <c r="J273" i="15" s="1"/>
  <c r="J274" i="15" s="1"/>
  <c r="J275" i="15" s="1"/>
  <c r="J276" i="15" s="1"/>
  <c r="J277" i="15" s="1"/>
  <c r="J278" i="15" s="1"/>
  <c r="J279" i="15" s="1"/>
  <c r="J280" i="15" s="1"/>
  <c r="J281" i="15" s="1"/>
  <c r="J282" i="15" s="1"/>
  <c r="J283" i="15" s="1"/>
  <c r="J284" i="15" s="1"/>
  <c r="J285" i="15" s="1"/>
  <c r="J286" i="15" s="1"/>
  <c r="J287" i="15" s="1"/>
  <c r="J288" i="15" s="1"/>
  <c r="J289" i="15" s="1"/>
  <c r="J290" i="15" s="1"/>
  <c r="J291" i="15" s="1"/>
  <c r="J292" i="15" s="1"/>
  <c r="J293" i="15" s="1"/>
  <c r="J294" i="15" s="1"/>
  <c r="J295" i="15" s="1"/>
  <c r="J296" i="15" s="1"/>
  <c r="J297" i="15" s="1"/>
  <c r="J298" i="15" s="1"/>
  <c r="J299" i="15" s="1"/>
  <c r="J300" i="15" s="1"/>
  <c r="J301" i="15" s="1"/>
  <c r="J302" i="15" s="1"/>
  <c r="J303" i="15" s="1"/>
  <c r="J304" i="15" s="1"/>
  <c r="J305" i="15" s="1"/>
  <c r="J306" i="15" s="1"/>
  <c r="J307" i="15" s="1"/>
  <c r="J308" i="15" s="1"/>
  <c r="J309" i="15" s="1"/>
  <c r="J310" i="15" s="1"/>
  <c r="J311" i="15" s="1"/>
  <c r="J312" i="15" s="1"/>
  <c r="J313" i="15" s="1"/>
  <c r="J314" i="15" s="1"/>
  <c r="J315" i="15" s="1"/>
  <c r="J316" i="15" s="1"/>
  <c r="J317" i="15" s="1"/>
  <c r="J318" i="15" s="1"/>
  <c r="J319" i="15" s="1"/>
  <c r="J320" i="15" s="1"/>
  <c r="J321" i="15" s="1"/>
  <c r="J322" i="15" s="1"/>
  <c r="J323" i="15" s="1"/>
  <c r="J324" i="15" s="1"/>
  <c r="J325" i="15" s="1"/>
  <c r="J326" i="15" s="1"/>
  <c r="J327" i="15" s="1"/>
  <c r="J328" i="15" s="1"/>
  <c r="J329" i="15" s="1"/>
  <c r="J330" i="15" s="1"/>
  <c r="J331" i="15" s="1"/>
  <c r="J332" i="15" s="1"/>
  <c r="J333" i="15" s="1"/>
  <c r="J334" i="15" s="1"/>
  <c r="J335" i="15" s="1"/>
  <c r="J336" i="15" s="1"/>
  <c r="J337" i="15" s="1"/>
  <c r="J338" i="15" s="1"/>
  <c r="J339" i="15" s="1"/>
  <c r="J340" i="15" s="1"/>
  <c r="J341" i="15" s="1"/>
  <c r="J342" i="15" s="1"/>
  <c r="J343" i="15" s="1"/>
  <c r="J344" i="15" s="1"/>
  <c r="J345" i="15" s="1"/>
  <c r="J346" i="15" s="1"/>
  <c r="J347" i="15" s="1"/>
  <c r="J348" i="15" s="1"/>
  <c r="J349" i="15" s="1"/>
  <c r="J350" i="15" s="1"/>
  <c r="J351" i="15" s="1"/>
  <c r="J352" i="15" s="1"/>
  <c r="J353" i="15" s="1"/>
  <c r="J354" i="15" s="1"/>
  <c r="J355" i="15" s="1"/>
  <c r="J356" i="15" s="1"/>
  <c r="J357" i="15" s="1"/>
  <c r="J358" i="15" s="1"/>
  <c r="J359" i="15" s="1"/>
  <c r="J360" i="15" s="1"/>
  <c r="J361" i="15" s="1"/>
  <c r="N156" i="15" s="1"/>
  <c r="Q16" i="15"/>
  <c r="P16" i="15" s="1"/>
  <c r="G502" i="15"/>
  <c r="G433" i="15"/>
  <c r="G612" i="15"/>
  <c r="D433" i="15"/>
  <c r="D310" i="12"/>
  <c r="AM310" i="12"/>
  <c r="C310" i="12"/>
  <c r="AK310" i="12"/>
  <c r="B230" i="12"/>
  <c r="D232" i="15"/>
  <c r="E232" i="15"/>
  <c r="G232" i="15"/>
  <c r="F232" i="15"/>
  <c r="G365" i="15"/>
  <c r="D365" i="15"/>
  <c r="E365" i="15"/>
  <c r="F365" i="15"/>
  <c r="E357" i="15"/>
  <c r="F357" i="15"/>
  <c r="G357" i="15"/>
  <c r="D357" i="15"/>
  <c r="B355" i="12"/>
  <c r="AK129" i="12"/>
  <c r="D129" i="12"/>
  <c r="AM129" i="12"/>
  <c r="C129" i="12"/>
  <c r="AM185" i="12"/>
  <c r="AK185" i="12"/>
  <c r="D185" i="12"/>
  <c r="C185" i="12"/>
  <c r="AK27" i="12"/>
  <c r="C27" i="12"/>
  <c r="D27" i="12"/>
  <c r="AM27" i="12"/>
  <c r="AM162" i="12"/>
  <c r="AK162" i="12"/>
  <c r="D162" i="12"/>
  <c r="C162" i="12"/>
  <c r="F551" i="15"/>
  <c r="D551" i="15"/>
  <c r="G551" i="15"/>
  <c r="E551" i="15"/>
  <c r="F582" i="15"/>
  <c r="D582" i="15"/>
  <c r="E582" i="15"/>
  <c r="G582" i="15"/>
  <c r="E410" i="15"/>
  <c r="F410" i="15"/>
  <c r="G410" i="15"/>
  <c r="D410" i="15"/>
  <c r="G221" i="15"/>
  <c r="B219" i="12"/>
  <c r="D221" i="15"/>
  <c r="E221" i="15"/>
  <c r="F221" i="15"/>
  <c r="A242" i="12"/>
  <c r="D616" i="15"/>
  <c r="E616" i="15"/>
  <c r="F616" i="15"/>
  <c r="G616" i="15"/>
  <c r="G429" i="15"/>
  <c r="D429" i="15"/>
  <c r="E429" i="15"/>
  <c r="F429" i="15"/>
  <c r="D486" i="15"/>
  <c r="E486" i="15"/>
  <c r="F486" i="15"/>
  <c r="G486" i="15"/>
  <c r="AK49" i="12"/>
  <c r="D49" i="12"/>
  <c r="C49" i="12"/>
  <c r="AM49" i="12"/>
  <c r="AK63" i="12"/>
  <c r="C63" i="12"/>
  <c r="D63" i="12"/>
  <c r="AM63" i="12"/>
  <c r="AK72" i="12"/>
  <c r="C72" i="12"/>
  <c r="AM72" i="12"/>
  <c r="D72" i="12"/>
  <c r="D147" i="12"/>
  <c r="AM147" i="12"/>
  <c r="AK147" i="12"/>
  <c r="C147" i="12"/>
  <c r="G474" i="15"/>
  <c r="D474" i="15"/>
  <c r="E474" i="15"/>
  <c r="F474" i="15"/>
  <c r="AK274" i="12"/>
  <c r="D274" i="12"/>
  <c r="C274" i="12"/>
  <c r="AM274" i="12"/>
  <c r="D351" i="12"/>
  <c r="AM351" i="12"/>
  <c r="AK351" i="12"/>
  <c r="C351" i="12"/>
  <c r="AK21" i="12"/>
  <c r="D21" i="12"/>
  <c r="C21" i="12"/>
  <c r="AM21" i="12"/>
  <c r="D84" i="12"/>
  <c r="C84" i="12"/>
  <c r="AM84" i="12"/>
  <c r="AK84" i="12"/>
  <c r="AM140" i="12"/>
  <c r="AK140" i="12"/>
  <c r="D140" i="12"/>
  <c r="C140" i="12"/>
  <c r="AK88" i="12"/>
  <c r="AM88" i="12"/>
  <c r="D88" i="12"/>
  <c r="C88" i="12"/>
  <c r="A196" i="12"/>
  <c r="B178" i="12"/>
  <c r="D180" i="15"/>
  <c r="E180" i="15"/>
  <c r="G180" i="15"/>
  <c r="F180" i="15"/>
  <c r="G85" i="15"/>
  <c r="B83" i="12"/>
  <c r="D85" i="15"/>
  <c r="E85" i="15"/>
  <c r="F85" i="15"/>
  <c r="G512" i="15"/>
  <c r="D512" i="15"/>
  <c r="E512" i="15"/>
  <c r="F512" i="15"/>
  <c r="E123" i="15"/>
  <c r="F123" i="15"/>
  <c r="D123" i="15"/>
  <c r="G123" i="15"/>
  <c r="B121" i="12"/>
  <c r="B98" i="12"/>
  <c r="D100" i="15"/>
  <c r="E100" i="15"/>
  <c r="F100" i="15"/>
  <c r="G100" i="15"/>
  <c r="A103" i="12"/>
  <c r="A333" i="12"/>
  <c r="F618" i="15"/>
  <c r="E618" i="15"/>
  <c r="G618" i="15"/>
  <c r="D618" i="15"/>
  <c r="A263" i="12"/>
  <c r="B82" i="12"/>
  <c r="D84" i="15"/>
  <c r="E84" i="15"/>
  <c r="F84" i="15"/>
  <c r="G84" i="15"/>
  <c r="B75" i="12"/>
  <c r="D77" i="15"/>
  <c r="E77" i="15"/>
  <c r="F77" i="15"/>
  <c r="G77" i="15"/>
  <c r="G480" i="15"/>
  <c r="D480" i="15"/>
  <c r="E480" i="15"/>
  <c r="F480" i="15"/>
  <c r="A236" i="12"/>
  <c r="A154" i="12"/>
  <c r="F213" i="15"/>
  <c r="B211" i="12"/>
  <c r="D213" i="15"/>
  <c r="E213" i="15"/>
  <c r="G213" i="15"/>
  <c r="B207" i="12"/>
  <c r="D209" i="15"/>
  <c r="E209" i="15"/>
  <c r="F209" i="15"/>
  <c r="G209" i="15"/>
  <c r="A298" i="12"/>
  <c r="A77" i="12"/>
  <c r="E540" i="15"/>
  <c r="D540" i="15"/>
  <c r="G540" i="15"/>
  <c r="F540" i="15"/>
  <c r="E527" i="15"/>
  <c r="D527" i="15"/>
  <c r="F527" i="15"/>
  <c r="G527" i="15"/>
  <c r="B205" i="12"/>
  <c r="D207" i="15"/>
  <c r="E207" i="15"/>
  <c r="F207" i="15"/>
  <c r="G207" i="15"/>
  <c r="F137" i="15"/>
  <c r="E137" i="15"/>
  <c r="G137" i="15"/>
  <c r="B135" i="12"/>
  <c r="D137" i="15"/>
  <c r="G314" i="15"/>
  <c r="B312" i="12"/>
  <c r="D314" i="15"/>
  <c r="E314" i="15"/>
  <c r="F314" i="15"/>
  <c r="G421" i="15"/>
  <c r="D421" i="15"/>
  <c r="E421" i="15"/>
  <c r="F421" i="15"/>
  <c r="B321" i="12"/>
  <c r="D323" i="15"/>
  <c r="E323" i="15"/>
  <c r="F323" i="15"/>
  <c r="G323" i="15"/>
  <c r="G452" i="15"/>
  <c r="D452" i="15"/>
  <c r="E452" i="15"/>
  <c r="F452" i="15"/>
  <c r="G75" i="15"/>
  <c r="B73" i="12"/>
  <c r="D75" i="15"/>
  <c r="E75" i="15"/>
  <c r="F75" i="15"/>
  <c r="D374" i="15"/>
  <c r="E374" i="15"/>
  <c r="F374" i="15"/>
  <c r="G374" i="15"/>
  <c r="D401" i="15"/>
  <c r="E401" i="15"/>
  <c r="F401" i="15"/>
  <c r="G401" i="15"/>
  <c r="B55" i="12"/>
  <c r="D57" i="15"/>
  <c r="E57" i="15"/>
  <c r="F57" i="15"/>
  <c r="G57" i="15"/>
  <c r="E553" i="15"/>
  <c r="D553" i="15"/>
  <c r="F553" i="15"/>
  <c r="G553" i="15"/>
  <c r="B141" i="12"/>
  <c r="D143" i="15"/>
  <c r="G143" i="15"/>
  <c r="E143" i="15"/>
  <c r="F143" i="15"/>
  <c r="D457" i="15"/>
  <c r="G457" i="15"/>
  <c r="E457" i="15"/>
  <c r="F457" i="15"/>
  <c r="B218" i="12"/>
  <c r="D220" i="15"/>
  <c r="E220" i="15"/>
  <c r="F220" i="15"/>
  <c r="G220" i="15"/>
  <c r="E470" i="15"/>
  <c r="F470" i="15"/>
  <c r="G470" i="15"/>
  <c r="D470" i="15"/>
  <c r="A192" i="12"/>
  <c r="G251" i="15"/>
  <c r="B249" i="12"/>
  <c r="D251" i="15"/>
  <c r="F251" i="15"/>
  <c r="E251" i="15"/>
  <c r="A186" i="12"/>
  <c r="E424" i="15"/>
  <c r="F424" i="15"/>
  <c r="G424" i="15"/>
  <c r="D424" i="15"/>
  <c r="A113" i="12"/>
  <c r="A18" i="12"/>
  <c r="E500" i="15"/>
  <c r="G500" i="15"/>
  <c r="D500" i="15"/>
  <c r="F500" i="15"/>
  <c r="G201" i="15"/>
  <c r="B199" i="12"/>
  <c r="E201" i="15"/>
  <c r="F201" i="15"/>
  <c r="D201" i="15"/>
  <c r="E396" i="15"/>
  <c r="D396" i="15"/>
  <c r="F396" i="15"/>
  <c r="G396" i="15"/>
  <c r="A188" i="12"/>
  <c r="E347" i="15"/>
  <c r="F347" i="15"/>
  <c r="G347" i="15"/>
  <c r="D347" i="15"/>
  <c r="B345" i="12"/>
  <c r="A194" i="12"/>
  <c r="A218" i="12"/>
  <c r="F392" i="15"/>
  <c r="G392" i="15"/>
  <c r="D392" i="15"/>
  <c r="E392" i="15"/>
  <c r="A282" i="12"/>
  <c r="A243" i="12"/>
  <c r="E342" i="15"/>
  <c r="F342" i="15"/>
  <c r="G342" i="15"/>
  <c r="B340" i="12"/>
  <c r="D342" i="15"/>
  <c r="G568" i="15"/>
  <c r="D568" i="15"/>
  <c r="E568" i="15"/>
  <c r="F568" i="15"/>
  <c r="A336" i="12"/>
  <c r="A134" i="12"/>
  <c r="A293" i="12"/>
  <c r="B234" i="12"/>
  <c r="D236" i="15"/>
  <c r="E236" i="15"/>
  <c r="F236" i="15"/>
  <c r="G236" i="15"/>
  <c r="A284" i="12"/>
  <c r="G146" i="15"/>
  <c r="B144" i="12"/>
  <c r="D146" i="15"/>
  <c r="E146" i="15"/>
  <c r="F146" i="15"/>
  <c r="E34" i="15"/>
  <c r="F34" i="15"/>
  <c r="D34" i="15"/>
  <c r="B32" i="12"/>
  <c r="G34" i="15"/>
  <c r="A36" i="12"/>
  <c r="F175" i="15"/>
  <c r="G175" i="15"/>
  <c r="B173" i="12"/>
  <c r="D175" i="15"/>
  <c r="E175" i="15"/>
  <c r="A95" i="12"/>
  <c r="F111" i="15"/>
  <c r="E111" i="15"/>
  <c r="G111" i="15"/>
  <c r="B109" i="12"/>
  <c r="D111" i="15"/>
  <c r="G577" i="15"/>
  <c r="D577" i="15"/>
  <c r="F577" i="15"/>
  <c r="E577" i="15"/>
  <c r="F324" i="15"/>
  <c r="G324" i="15"/>
  <c r="B322" i="12"/>
  <c r="D324" i="15"/>
  <c r="E324" i="15"/>
  <c r="G244" i="15"/>
  <c r="B242" i="12"/>
  <c r="D244" i="15"/>
  <c r="F244" i="15"/>
  <c r="E244" i="15"/>
  <c r="E599" i="15"/>
  <c r="F599" i="15"/>
  <c r="D599" i="15"/>
  <c r="G599" i="15"/>
  <c r="G199" i="15"/>
  <c r="B197" i="12"/>
  <c r="D199" i="15"/>
  <c r="F199" i="15"/>
  <c r="E199" i="15"/>
  <c r="F453" i="15"/>
  <c r="G453" i="15"/>
  <c r="D453" i="15"/>
  <c r="E453" i="15"/>
  <c r="A258" i="12"/>
  <c r="A292" i="12"/>
  <c r="A315" i="12"/>
  <c r="F205" i="15"/>
  <c r="G205" i="15"/>
  <c r="B203" i="12"/>
  <c r="D205" i="15"/>
  <c r="E205" i="15"/>
  <c r="F104" i="15"/>
  <c r="G104" i="15"/>
  <c r="B102" i="12"/>
  <c r="D104" i="15"/>
  <c r="E104" i="15"/>
  <c r="B309" i="12"/>
  <c r="D311" i="15"/>
  <c r="E311" i="15"/>
  <c r="F311" i="15"/>
  <c r="G311" i="15"/>
  <c r="A268" i="12"/>
  <c r="A185" i="12"/>
  <c r="E265" i="15"/>
  <c r="B263" i="12"/>
  <c r="F265" i="15"/>
  <c r="G265" i="15"/>
  <c r="D265" i="15"/>
  <c r="F412" i="15"/>
  <c r="G412" i="15"/>
  <c r="D412" i="15"/>
  <c r="E412" i="15"/>
  <c r="E498" i="15"/>
  <c r="D498" i="15"/>
  <c r="G498" i="15"/>
  <c r="F498" i="15"/>
  <c r="A125" i="12"/>
  <c r="F584" i="15"/>
  <c r="G584" i="15"/>
  <c r="D584" i="15"/>
  <c r="E584" i="15"/>
  <c r="B108" i="12"/>
  <c r="D110" i="15"/>
  <c r="E110" i="15"/>
  <c r="F110" i="15"/>
  <c r="G110" i="15"/>
  <c r="G390" i="15"/>
  <c r="E390" i="15"/>
  <c r="D390" i="15"/>
  <c r="F390" i="15"/>
  <c r="E449" i="15"/>
  <c r="G449" i="15"/>
  <c r="D449" i="15"/>
  <c r="F449" i="15"/>
  <c r="G49" i="15"/>
  <c r="B47" i="12"/>
  <c r="D49" i="15"/>
  <c r="E49" i="15"/>
  <c r="F49" i="15"/>
  <c r="A304" i="12"/>
  <c r="A99" i="12"/>
  <c r="A139" i="12"/>
  <c r="A76" i="12"/>
  <c r="A150" i="12"/>
  <c r="A197" i="12"/>
  <c r="E306" i="15"/>
  <c r="B304" i="12"/>
  <c r="G306" i="15"/>
  <c r="D306" i="15"/>
  <c r="F306" i="15"/>
  <c r="G226" i="15"/>
  <c r="E226" i="15"/>
  <c r="F226" i="15"/>
  <c r="D226" i="15"/>
  <c r="B224" i="12"/>
  <c r="F511" i="15"/>
  <c r="D511" i="15"/>
  <c r="G511" i="15"/>
  <c r="E511" i="15"/>
  <c r="A264" i="12"/>
  <c r="D463" i="15"/>
  <c r="E463" i="15"/>
  <c r="F463" i="15"/>
  <c r="G463" i="15"/>
  <c r="E242" i="15"/>
  <c r="F242" i="15"/>
  <c r="G242" i="15"/>
  <c r="B240" i="12"/>
  <c r="D242" i="15"/>
  <c r="B231" i="12"/>
  <c r="D233" i="15"/>
  <c r="E233" i="15"/>
  <c r="F233" i="15"/>
  <c r="G233" i="15"/>
  <c r="A213" i="12"/>
  <c r="G261" i="15"/>
  <c r="B259" i="12"/>
  <c r="D261" i="15"/>
  <c r="E261" i="15"/>
  <c r="F261" i="15"/>
  <c r="A173" i="12"/>
  <c r="B24" i="12"/>
  <c r="D26" i="15"/>
  <c r="E26" i="15"/>
  <c r="F26" i="15"/>
  <c r="G26" i="15"/>
  <c r="A343" i="12"/>
  <c r="E116" i="15"/>
  <c r="F116" i="15"/>
  <c r="D116" i="15"/>
  <c r="B114" i="12"/>
  <c r="G116" i="15"/>
  <c r="G378" i="15"/>
  <c r="D378" i="15"/>
  <c r="E378" i="15"/>
  <c r="F378" i="15"/>
  <c r="E145" i="15"/>
  <c r="F145" i="15"/>
  <c r="G145" i="15"/>
  <c r="B143" i="12"/>
  <c r="D145" i="15"/>
  <c r="E269" i="15"/>
  <c r="F269" i="15"/>
  <c r="G269" i="15"/>
  <c r="B267" i="12"/>
  <c r="D269" i="15"/>
  <c r="D389" i="15"/>
  <c r="E389" i="15"/>
  <c r="F389" i="15"/>
  <c r="G389" i="15"/>
  <c r="G58" i="15"/>
  <c r="B56" i="12"/>
  <c r="D58" i="15"/>
  <c r="E58" i="15"/>
  <c r="F58" i="15"/>
  <c r="A111" i="12"/>
  <c r="G338" i="15"/>
  <c r="B336" i="12"/>
  <c r="D338" i="15"/>
  <c r="E338" i="15"/>
  <c r="F338" i="15"/>
  <c r="A91" i="12"/>
  <c r="G361" i="15"/>
  <c r="B359" i="12"/>
  <c r="E361" i="15"/>
  <c r="F361" i="15"/>
  <c r="D361" i="15"/>
  <c r="A182" i="12"/>
  <c r="E322" i="15"/>
  <c r="B320" i="12"/>
  <c r="F322" i="15"/>
  <c r="G322" i="15"/>
  <c r="D322" i="15"/>
  <c r="E82" i="15"/>
  <c r="F82" i="15"/>
  <c r="G82" i="15"/>
  <c r="D82" i="15"/>
  <c r="B80" i="12"/>
  <c r="D431" i="15"/>
  <c r="G431" i="15"/>
  <c r="F431" i="15"/>
  <c r="E431" i="15"/>
  <c r="D476" i="15"/>
  <c r="G476" i="15"/>
  <c r="E476" i="15"/>
  <c r="F476" i="15"/>
  <c r="G44" i="15"/>
  <c r="F44" i="15"/>
  <c r="D44" i="15"/>
  <c r="B42" i="12"/>
  <c r="E44" i="15"/>
  <c r="E268" i="15"/>
  <c r="F268" i="15"/>
  <c r="G268" i="15"/>
  <c r="B266" i="12"/>
  <c r="D268" i="15"/>
  <c r="A198" i="12"/>
  <c r="A35" i="12"/>
  <c r="A319" i="12"/>
  <c r="B333" i="12"/>
  <c r="D335" i="15"/>
  <c r="F335" i="15"/>
  <c r="E335" i="15"/>
  <c r="G335" i="15"/>
  <c r="G66" i="15"/>
  <c r="F66" i="15"/>
  <c r="D66" i="15"/>
  <c r="B64" i="12"/>
  <c r="E66" i="15"/>
  <c r="G409" i="15"/>
  <c r="D409" i="15"/>
  <c r="E409" i="15"/>
  <c r="F409" i="15"/>
  <c r="A220" i="12"/>
  <c r="A92" i="12"/>
  <c r="A278" i="12"/>
  <c r="A297" i="12"/>
  <c r="A85" i="12"/>
  <c r="B77" i="12"/>
  <c r="D79" i="15"/>
  <c r="E79" i="15"/>
  <c r="F79" i="15"/>
  <c r="G79" i="15"/>
  <c r="B327" i="12"/>
  <c r="D329" i="15"/>
  <c r="E329" i="15"/>
  <c r="F329" i="15"/>
  <c r="G329" i="15"/>
  <c r="D562" i="15"/>
  <c r="G562" i="15"/>
  <c r="E562" i="15"/>
  <c r="F562" i="15"/>
  <c r="A287" i="12"/>
  <c r="B272" i="12"/>
  <c r="D274" i="15"/>
  <c r="E274" i="15"/>
  <c r="F274" i="15"/>
  <c r="G274" i="15"/>
  <c r="E575" i="15"/>
  <c r="F575" i="15"/>
  <c r="D575" i="15"/>
  <c r="G575" i="15"/>
  <c r="F18" i="15"/>
  <c r="G18" i="15"/>
  <c r="D18" i="15"/>
  <c r="B16" i="12"/>
  <c r="E18" i="15"/>
  <c r="D67" i="12"/>
  <c r="AM67" i="12"/>
  <c r="AK67" i="12"/>
  <c r="C67" i="12"/>
  <c r="AK287" i="12"/>
  <c r="D287" i="12"/>
  <c r="C287" i="12"/>
  <c r="AM287" i="12"/>
  <c r="C159" i="12"/>
  <c r="D159" i="12"/>
  <c r="AM159" i="12"/>
  <c r="AK159" i="12"/>
  <c r="C335" i="12"/>
  <c r="D335" i="12"/>
  <c r="AM335" i="12"/>
  <c r="AK335" i="12"/>
  <c r="AK245" i="12"/>
  <c r="C245" i="12"/>
  <c r="D245" i="12"/>
  <c r="AM245" i="12"/>
  <c r="D235" i="12"/>
  <c r="AM235" i="12"/>
  <c r="AK235" i="12"/>
  <c r="C235" i="12"/>
  <c r="C179" i="12"/>
  <c r="D179" i="12"/>
  <c r="AM179" i="12"/>
  <c r="AK179" i="12"/>
  <c r="A283" i="12"/>
  <c r="B280" i="12"/>
  <c r="D282" i="15"/>
  <c r="E282" i="15"/>
  <c r="F282" i="15"/>
  <c r="G282" i="15"/>
  <c r="E91" i="15"/>
  <c r="F91" i="15"/>
  <c r="G91" i="15"/>
  <c r="B89" i="12"/>
  <c r="D91" i="15"/>
  <c r="F134" i="15"/>
  <c r="G134" i="15"/>
  <c r="B132" i="12"/>
  <c r="D134" i="15"/>
  <c r="E134" i="15"/>
  <c r="C43" i="12"/>
  <c r="D43" i="12"/>
  <c r="AM43" i="12"/>
  <c r="AK43" i="12"/>
  <c r="G420" i="15"/>
  <c r="D420" i="15"/>
  <c r="E420" i="15"/>
  <c r="F420" i="15"/>
  <c r="F520" i="15"/>
  <c r="G520" i="15"/>
  <c r="D520" i="15"/>
  <c r="E520" i="15"/>
  <c r="B331" i="12"/>
  <c r="D333" i="15"/>
  <c r="E333" i="15"/>
  <c r="F333" i="15"/>
  <c r="G333" i="15"/>
  <c r="E343" i="15"/>
  <c r="F343" i="15"/>
  <c r="G343" i="15"/>
  <c r="B341" i="12"/>
  <c r="D343" i="15"/>
  <c r="G598" i="15"/>
  <c r="D598" i="15"/>
  <c r="E598" i="15"/>
  <c r="F598" i="15"/>
  <c r="A359" i="12"/>
  <c r="D174" i="12"/>
  <c r="C174" i="12"/>
  <c r="AM174" i="12"/>
  <c r="AK174" i="12"/>
  <c r="AM227" i="12"/>
  <c r="AK227" i="12"/>
  <c r="C227" i="12"/>
  <c r="D227" i="12"/>
  <c r="AM105" i="12"/>
  <c r="AK105" i="12"/>
  <c r="D105" i="12"/>
  <c r="C105" i="12"/>
  <c r="C35" i="12"/>
  <c r="D35" i="12"/>
  <c r="AM35" i="12"/>
  <c r="AK35" i="12"/>
  <c r="AI12" i="12"/>
  <c r="F183" i="15"/>
  <c r="G183" i="15"/>
  <c r="B181" i="12"/>
  <c r="D183" i="15"/>
  <c r="E183" i="15"/>
  <c r="A193" i="12"/>
  <c r="AK28" i="12"/>
  <c r="D28" i="12"/>
  <c r="C28" i="12"/>
  <c r="AM28" i="12"/>
  <c r="G296" i="15"/>
  <c r="B294" i="12"/>
  <c r="D296" i="15"/>
  <c r="E296" i="15"/>
  <c r="F296" i="15"/>
  <c r="F285" i="15"/>
  <c r="G285" i="15"/>
  <c r="B283" i="12"/>
  <c r="D285" i="15"/>
  <c r="E285" i="15"/>
  <c r="E560" i="15"/>
  <c r="F560" i="15"/>
  <c r="G560" i="15"/>
  <c r="D560" i="15"/>
  <c r="C142" i="12"/>
  <c r="AM142" i="12"/>
  <c r="AK142" i="12"/>
  <c r="D142" i="12"/>
  <c r="AK18" i="12"/>
  <c r="D18" i="12"/>
  <c r="C18" i="12"/>
  <c r="AM18" i="12"/>
  <c r="C190" i="12"/>
  <c r="AM190" i="12"/>
  <c r="AK190" i="12"/>
  <c r="D190" i="12"/>
  <c r="B264" i="12"/>
  <c r="D266" i="15"/>
  <c r="E266" i="15"/>
  <c r="F266" i="15"/>
  <c r="G266" i="15"/>
  <c r="F596" i="15"/>
  <c r="E596" i="15"/>
  <c r="D596" i="15"/>
  <c r="G596" i="15"/>
  <c r="E78" i="15"/>
  <c r="G78" i="15"/>
  <c r="D78" i="15"/>
  <c r="B76" i="12"/>
  <c r="F78" i="15"/>
  <c r="B214" i="12"/>
  <c r="D216" i="15"/>
  <c r="F216" i="15"/>
  <c r="E216" i="15"/>
  <c r="G216" i="15"/>
  <c r="A256" i="12"/>
  <c r="E366" i="15"/>
  <c r="F366" i="15"/>
  <c r="D366" i="15"/>
  <c r="G366" i="15"/>
  <c r="E613" i="15"/>
  <c r="D613" i="15"/>
  <c r="G613" i="15"/>
  <c r="F613" i="15"/>
  <c r="G430" i="15"/>
  <c r="D430" i="15"/>
  <c r="E430" i="15"/>
  <c r="F430" i="15"/>
  <c r="A355" i="12"/>
  <c r="A250" i="12"/>
  <c r="G376" i="15"/>
  <c r="D376" i="15"/>
  <c r="E376" i="15"/>
  <c r="F376" i="15"/>
  <c r="E437" i="15"/>
  <c r="F437" i="15"/>
  <c r="D437" i="15"/>
  <c r="G437" i="15"/>
  <c r="G571" i="15"/>
  <c r="F571" i="15"/>
  <c r="D571" i="15"/>
  <c r="E571" i="15"/>
  <c r="E189" i="15"/>
  <c r="F189" i="15"/>
  <c r="G189" i="15"/>
  <c r="B187" i="12"/>
  <c r="D189" i="15"/>
  <c r="G174" i="15"/>
  <c r="B172" i="12"/>
  <c r="D174" i="15"/>
  <c r="E174" i="15"/>
  <c r="F174" i="15"/>
  <c r="AK126" i="12"/>
  <c r="D126" i="12"/>
  <c r="AM126" i="12"/>
  <c r="C126" i="12"/>
  <c r="G260" i="15"/>
  <c r="B258" i="12"/>
  <c r="D260" i="15"/>
  <c r="E260" i="15"/>
  <c r="F260" i="15"/>
  <c r="E522" i="15"/>
  <c r="F522" i="15"/>
  <c r="G522" i="15"/>
  <c r="D522" i="15"/>
  <c r="E326" i="15"/>
  <c r="F326" i="15"/>
  <c r="G326" i="15"/>
  <c r="B324" i="12"/>
  <c r="D326" i="15"/>
  <c r="G472" i="15"/>
  <c r="E472" i="15"/>
  <c r="D472" i="15"/>
  <c r="F472" i="15"/>
  <c r="C164" i="12"/>
  <c r="AM164" i="12"/>
  <c r="AK164" i="12"/>
  <c r="D164" i="12"/>
  <c r="D85" i="12"/>
  <c r="C85" i="12"/>
  <c r="AM85" i="12"/>
  <c r="AK85" i="12"/>
  <c r="AM68" i="12"/>
  <c r="D68" i="12"/>
  <c r="AK68" i="12"/>
  <c r="C68" i="12"/>
  <c r="D200" i="12"/>
  <c r="C200" i="12"/>
  <c r="AM200" i="12"/>
  <c r="AK200" i="12"/>
  <c r="F589" i="15"/>
  <c r="G589" i="15"/>
  <c r="E589" i="15"/>
  <c r="D589" i="15"/>
  <c r="E132" i="15"/>
  <c r="F132" i="15"/>
  <c r="G132" i="15"/>
  <c r="B130" i="12"/>
  <c r="D132" i="15"/>
  <c r="A170" i="12"/>
  <c r="A235" i="12"/>
  <c r="AK65" i="12"/>
  <c r="D65" i="12"/>
  <c r="C65" i="12"/>
  <c r="AM65" i="12"/>
  <c r="G222" i="15"/>
  <c r="B220" i="12"/>
  <c r="D222" i="15"/>
  <c r="E222" i="15"/>
  <c r="F222" i="15"/>
  <c r="G494" i="15"/>
  <c r="E494" i="15"/>
  <c r="D494" i="15"/>
  <c r="F494" i="15"/>
  <c r="C52" i="12"/>
  <c r="AM52" i="12"/>
  <c r="AK52" i="12"/>
  <c r="D52" i="12"/>
  <c r="C131" i="12"/>
  <c r="D131" i="12"/>
  <c r="AM131" i="12"/>
  <c r="AK131" i="12"/>
  <c r="E570" i="15"/>
  <c r="F570" i="15"/>
  <c r="G570" i="15"/>
  <c r="D570" i="15"/>
  <c r="AM204" i="12"/>
  <c r="AK204" i="12"/>
  <c r="D204" i="12"/>
  <c r="C204" i="12"/>
  <c r="D354" i="12"/>
  <c r="C354" i="12"/>
  <c r="AM354" i="12"/>
  <c r="AK354" i="12"/>
  <c r="D182" i="12"/>
  <c r="C182" i="12"/>
  <c r="AM182" i="12"/>
  <c r="AK182" i="12"/>
  <c r="AM316" i="12"/>
  <c r="D316" i="12"/>
  <c r="C316" i="12"/>
  <c r="AK316" i="12"/>
  <c r="E36" i="15"/>
  <c r="F36" i="15"/>
  <c r="G36" i="15"/>
  <c r="D36" i="15"/>
  <c r="B34" i="12"/>
  <c r="D417" i="15"/>
  <c r="E417" i="15"/>
  <c r="G417" i="15"/>
  <c r="F417" i="15"/>
  <c r="A237" i="12"/>
  <c r="E477" i="15"/>
  <c r="F477" i="15"/>
  <c r="G477" i="15"/>
  <c r="D477" i="15"/>
  <c r="B156" i="12"/>
  <c r="D158" i="15"/>
  <c r="E158" i="15"/>
  <c r="G158" i="15"/>
  <c r="F158" i="15"/>
  <c r="A244" i="12"/>
  <c r="G119" i="15"/>
  <c r="B117" i="12"/>
  <c r="D119" i="15"/>
  <c r="E119" i="15"/>
  <c r="F119" i="15"/>
  <c r="B262" i="12"/>
  <c r="D264" i="15"/>
  <c r="E264" i="15"/>
  <c r="F264" i="15"/>
  <c r="G264" i="15"/>
  <c r="E539" i="15"/>
  <c r="G539" i="15"/>
  <c r="F539" i="15"/>
  <c r="D539" i="15"/>
  <c r="B297" i="12"/>
  <c r="D299" i="15"/>
  <c r="F299" i="15"/>
  <c r="E299" i="15"/>
  <c r="G299" i="15"/>
  <c r="F171" i="15"/>
  <c r="B169" i="12"/>
  <c r="D171" i="15"/>
  <c r="E171" i="15"/>
  <c r="G171" i="15"/>
  <c r="A288" i="12"/>
  <c r="G384" i="15"/>
  <c r="D384" i="15"/>
  <c r="E384" i="15"/>
  <c r="F384" i="15"/>
  <c r="A299" i="12"/>
  <c r="G406" i="15"/>
  <c r="D406" i="15"/>
  <c r="E406" i="15"/>
  <c r="F406" i="15"/>
  <c r="A145" i="12"/>
  <c r="B228" i="12"/>
  <c r="D230" i="15"/>
  <c r="E230" i="15"/>
  <c r="F230" i="15"/>
  <c r="G230" i="15"/>
  <c r="B194" i="12"/>
  <c r="D196" i="15"/>
  <c r="E196" i="15"/>
  <c r="F196" i="15"/>
  <c r="G196" i="15"/>
  <c r="F103" i="15"/>
  <c r="G103" i="15"/>
  <c r="B101" i="12"/>
  <c r="D103" i="15"/>
  <c r="E103" i="15"/>
  <c r="A272" i="12"/>
  <c r="E388" i="15"/>
  <c r="F388" i="15"/>
  <c r="G388" i="15"/>
  <c r="D388" i="15"/>
  <c r="A142" i="12"/>
  <c r="B302" i="12"/>
  <c r="D304" i="15"/>
  <c r="F304" i="15"/>
  <c r="E304" i="15"/>
  <c r="G304" i="15"/>
  <c r="D514" i="15"/>
  <c r="G514" i="15"/>
  <c r="E514" i="15"/>
  <c r="F514" i="15"/>
  <c r="A42" i="12"/>
  <c r="G185" i="15"/>
  <c r="E185" i="15"/>
  <c r="F185" i="15"/>
  <c r="B183" i="12"/>
  <c r="D185" i="15"/>
  <c r="A75" i="12"/>
  <c r="A25" i="12"/>
  <c r="A240" i="12"/>
  <c r="B353" i="12"/>
  <c r="D355" i="15"/>
  <c r="E355" i="15"/>
  <c r="F355" i="15"/>
  <c r="G355" i="15"/>
  <c r="E301" i="15"/>
  <c r="F301" i="15"/>
  <c r="G301" i="15"/>
  <c r="D301" i="15"/>
  <c r="B299" i="12"/>
  <c r="E597" i="15"/>
  <c r="G597" i="15"/>
  <c r="F597" i="15"/>
  <c r="D597" i="15"/>
  <c r="A224" i="12"/>
  <c r="G317" i="15"/>
  <c r="B315" i="12"/>
  <c r="D317" i="15"/>
  <c r="E317" i="15"/>
  <c r="F317" i="15"/>
  <c r="E546" i="15"/>
  <c r="G546" i="15"/>
  <c r="F546" i="15"/>
  <c r="D546" i="15"/>
  <c r="A137" i="12"/>
  <c r="G505" i="15"/>
  <c r="F505" i="15"/>
  <c r="E505" i="15"/>
  <c r="D505" i="15"/>
  <c r="A153" i="12"/>
  <c r="D460" i="15"/>
  <c r="E460" i="15"/>
  <c r="F460" i="15"/>
  <c r="G460" i="15"/>
  <c r="G31" i="15"/>
  <c r="F31" i="15"/>
  <c r="D31" i="15"/>
  <c r="B29" i="12"/>
  <c r="E31" i="15"/>
  <c r="A233" i="12"/>
  <c r="A337" i="12"/>
  <c r="D485" i="15"/>
  <c r="E485" i="15"/>
  <c r="F485" i="15"/>
  <c r="G485" i="15"/>
  <c r="D432" i="15"/>
  <c r="G432" i="15"/>
  <c r="F432" i="15"/>
  <c r="E432" i="15"/>
  <c r="A177" i="12"/>
  <c r="F238" i="15"/>
  <c r="G238" i="15"/>
  <c r="B236" i="12"/>
  <c r="D238" i="15"/>
  <c r="E238" i="15"/>
  <c r="A62" i="12"/>
  <c r="A324" i="12"/>
  <c r="E321" i="15"/>
  <c r="G321" i="15"/>
  <c r="D321" i="15"/>
  <c r="B319" i="12"/>
  <c r="F321" i="15"/>
  <c r="F153" i="15"/>
  <c r="B151" i="12"/>
  <c r="E153" i="15"/>
  <c r="G153" i="15"/>
  <c r="D153" i="15"/>
  <c r="A82" i="12"/>
  <c r="E105" i="15"/>
  <c r="B103" i="12"/>
  <c r="F105" i="15"/>
  <c r="G105" i="15"/>
  <c r="D105" i="15"/>
  <c r="B279" i="12"/>
  <c r="F281" i="15"/>
  <c r="G281" i="15"/>
  <c r="D281" i="15"/>
  <c r="E281" i="15"/>
  <c r="A114" i="12"/>
  <c r="E552" i="15"/>
  <c r="F552" i="15"/>
  <c r="G552" i="15"/>
  <c r="D552" i="15"/>
  <c r="G436" i="15"/>
  <c r="D436" i="15"/>
  <c r="E436" i="15"/>
  <c r="F436" i="15"/>
  <c r="G173" i="15"/>
  <c r="B171" i="12"/>
  <c r="D173" i="15"/>
  <c r="E173" i="15"/>
  <c r="F173" i="15"/>
  <c r="E608" i="15"/>
  <c r="F608" i="15"/>
  <c r="G608" i="15"/>
  <c r="D608" i="15"/>
  <c r="A162" i="12"/>
  <c r="B275" i="12"/>
  <c r="D277" i="15"/>
  <c r="E277" i="15"/>
  <c r="F277" i="15"/>
  <c r="G277" i="15"/>
  <c r="D573" i="15"/>
  <c r="G573" i="15"/>
  <c r="E573" i="15"/>
  <c r="F573" i="15"/>
  <c r="B251" i="12"/>
  <c r="D253" i="15"/>
  <c r="E253" i="15"/>
  <c r="F253" i="15"/>
  <c r="G253" i="15"/>
  <c r="A328" i="12"/>
  <c r="G377" i="15"/>
  <c r="D377" i="15"/>
  <c r="F377" i="15"/>
  <c r="E377" i="15"/>
  <c r="A133" i="12"/>
  <c r="A98" i="12"/>
  <c r="A47" i="12"/>
  <c r="E492" i="15"/>
  <c r="G492" i="15"/>
  <c r="F492" i="15"/>
  <c r="D492" i="15"/>
  <c r="B39" i="12"/>
  <c r="D41" i="15"/>
  <c r="F41" i="15"/>
  <c r="G41" i="15"/>
  <c r="E41" i="15"/>
  <c r="A348" i="12"/>
  <c r="F447" i="15"/>
  <c r="E447" i="15"/>
  <c r="G447" i="15"/>
  <c r="D447" i="15"/>
  <c r="E156" i="15"/>
  <c r="F156" i="15"/>
  <c r="G156" i="15"/>
  <c r="D156" i="15"/>
  <c r="B154" i="12"/>
  <c r="E348" i="15"/>
  <c r="B346" i="12"/>
  <c r="F348" i="15"/>
  <c r="G348" i="15"/>
  <c r="D348" i="15"/>
  <c r="A50" i="12"/>
  <c r="F316" i="15"/>
  <c r="G316" i="15"/>
  <c r="B314" i="12"/>
  <c r="D316" i="15"/>
  <c r="E316" i="15"/>
  <c r="A60" i="12"/>
  <c r="A314" i="12"/>
  <c r="E484" i="15"/>
  <c r="D484" i="15"/>
  <c r="F484" i="15"/>
  <c r="G484" i="15"/>
  <c r="A234" i="12"/>
  <c r="B244" i="12"/>
  <c r="D246" i="15"/>
  <c r="E246" i="15"/>
  <c r="F246" i="15"/>
  <c r="G246" i="15"/>
  <c r="A115" i="12"/>
  <c r="E152" i="15"/>
  <c r="G152" i="15"/>
  <c r="D152" i="15"/>
  <c r="B150" i="12"/>
  <c r="F152" i="15"/>
  <c r="F228" i="15"/>
  <c r="G228" i="15"/>
  <c r="B226" i="12"/>
  <c r="D228" i="15"/>
  <c r="E228" i="15"/>
  <c r="G450" i="15"/>
  <c r="D450" i="15"/>
  <c r="E450" i="15"/>
  <c r="F450" i="15"/>
  <c r="G280" i="15"/>
  <c r="E280" i="15"/>
  <c r="F280" i="15"/>
  <c r="D280" i="15"/>
  <c r="B278" i="12"/>
  <c r="A40" i="12"/>
  <c r="F523" i="15"/>
  <c r="D523" i="15"/>
  <c r="E523" i="15"/>
  <c r="G523" i="15"/>
  <c r="A107" i="12"/>
  <c r="E284" i="15"/>
  <c r="B282" i="12"/>
  <c r="F284" i="15"/>
  <c r="G284" i="15"/>
  <c r="D284" i="15"/>
  <c r="G172" i="15"/>
  <c r="B170" i="12"/>
  <c r="D172" i="15"/>
  <c r="E172" i="15"/>
  <c r="F172" i="15"/>
  <c r="F139" i="15"/>
  <c r="G139" i="15"/>
  <c r="B137" i="12"/>
  <c r="D139" i="15"/>
  <c r="E139" i="15"/>
  <c r="A116" i="12"/>
  <c r="B265" i="12"/>
  <c r="D267" i="15"/>
  <c r="E267" i="15"/>
  <c r="F267" i="15"/>
  <c r="G267" i="15"/>
  <c r="G294" i="15"/>
  <c r="B292" i="12"/>
  <c r="D294" i="15"/>
  <c r="E294" i="15"/>
  <c r="F294" i="15"/>
  <c r="A331" i="12"/>
  <c r="A31" i="12"/>
  <c r="A64" i="12"/>
  <c r="B229" i="12"/>
  <c r="D231" i="15"/>
  <c r="E231" i="15"/>
  <c r="F231" i="15"/>
  <c r="G231" i="15"/>
  <c r="F308" i="15"/>
  <c r="G308" i="15"/>
  <c r="E308" i="15"/>
  <c r="B306" i="12"/>
  <c r="D308" i="15"/>
  <c r="A72" i="12"/>
  <c r="A184" i="12"/>
  <c r="F354" i="15"/>
  <c r="B352" i="12"/>
  <c r="G354" i="15"/>
  <c r="E354" i="15"/>
  <c r="D354" i="15"/>
  <c r="A261" i="12"/>
  <c r="G524" i="15"/>
  <c r="D524" i="15"/>
  <c r="E524" i="15"/>
  <c r="F524" i="15"/>
  <c r="G252" i="15"/>
  <c r="E252" i="15"/>
  <c r="F252" i="15"/>
  <c r="D252" i="15"/>
  <c r="B250" i="12"/>
  <c r="B26" i="12"/>
  <c r="D28" i="15"/>
  <c r="E28" i="15"/>
  <c r="F28" i="15"/>
  <c r="G28" i="15"/>
  <c r="E76" i="15"/>
  <c r="F76" i="15"/>
  <c r="G76" i="15"/>
  <c r="B74" i="12"/>
  <c r="D76" i="15"/>
  <c r="G351" i="15"/>
  <c r="B349" i="12"/>
  <c r="E351" i="15"/>
  <c r="F351" i="15"/>
  <c r="D351" i="15"/>
  <c r="E594" i="15"/>
  <c r="D594" i="15"/>
  <c r="G594" i="15"/>
  <c r="F594" i="15"/>
  <c r="A171" i="12"/>
  <c r="E108" i="15"/>
  <c r="F108" i="15"/>
  <c r="G108" i="15"/>
  <c r="B106" i="12"/>
  <c r="D108" i="15"/>
  <c r="F591" i="15"/>
  <c r="D591" i="15"/>
  <c r="G591" i="15"/>
  <c r="E591" i="15"/>
  <c r="A54" i="12"/>
  <c r="G439" i="15"/>
  <c r="F439" i="15"/>
  <c r="D439" i="15"/>
  <c r="E439" i="15"/>
  <c r="E203" i="15"/>
  <c r="F203" i="15"/>
  <c r="G203" i="15"/>
  <c r="B201" i="12"/>
  <c r="D203" i="15"/>
  <c r="E535" i="15"/>
  <c r="F535" i="15"/>
  <c r="D535" i="15"/>
  <c r="G535" i="15"/>
  <c r="F344" i="15"/>
  <c r="B342" i="12"/>
  <c r="D344" i="15"/>
  <c r="G344" i="15"/>
  <c r="E344" i="15"/>
  <c r="D555" i="15"/>
  <c r="G555" i="15"/>
  <c r="E555" i="15"/>
  <c r="F555" i="15"/>
  <c r="E557" i="15"/>
  <c r="F557" i="15"/>
  <c r="D557" i="15"/>
  <c r="G557" i="15"/>
  <c r="A141" i="12"/>
  <c r="G601" i="15"/>
  <c r="E601" i="15"/>
  <c r="F601" i="15"/>
  <c r="D601" i="15"/>
  <c r="G159" i="15"/>
  <c r="E159" i="15"/>
  <c r="F159" i="15"/>
  <c r="D159" i="15"/>
  <c r="B157" i="12"/>
  <c r="F530" i="15"/>
  <c r="G530" i="15"/>
  <c r="E530" i="15"/>
  <c r="D530" i="15"/>
  <c r="D415" i="15"/>
  <c r="E415" i="15"/>
  <c r="F415" i="15"/>
  <c r="G415" i="15"/>
  <c r="F364" i="15"/>
  <c r="G364" i="15"/>
  <c r="D364" i="15"/>
  <c r="E364" i="15"/>
  <c r="F140" i="15"/>
  <c r="E140" i="15"/>
  <c r="G140" i="15"/>
  <c r="B138" i="12"/>
  <c r="D140" i="15"/>
  <c r="F239" i="15"/>
  <c r="G239" i="15"/>
  <c r="B237" i="12"/>
  <c r="D239" i="15"/>
  <c r="E239" i="15"/>
  <c r="G95" i="15"/>
  <c r="D95" i="15"/>
  <c r="E95" i="15"/>
  <c r="F95" i="15"/>
  <c r="B93" i="12"/>
  <c r="A223" i="12"/>
  <c r="A332" i="12"/>
  <c r="F73" i="15"/>
  <c r="G73" i="15"/>
  <c r="B71" i="12"/>
  <c r="D73" i="15"/>
  <c r="E73" i="15"/>
  <c r="E25" i="15"/>
  <c r="F25" i="15"/>
  <c r="G25" i="15"/>
  <c r="D25" i="15"/>
  <c r="B23" i="12"/>
  <c r="F466" i="15"/>
  <c r="G466" i="15"/>
  <c r="D466" i="15"/>
  <c r="E466" i="15"/>
  <c r="E191" i="15"/>
  <c r="G191" i="15"/>
  <c r="B189" i="12"/>
  <c r="F191" i="15"/>
  <c r="D191" i="15"/>
  <c r="D370" i="15"/>
  <c r="G370" i="15"/>
  <c r="E370" i="15"/>
  <c r="F370" i="15"/>
  <c r="A39" i="12"/>
  <c r="A120" i="12"/>
  <c r="A309" i="12"/>
  <c r="A79" i="12"/>
  <c r="A172" i="12"/>
  <c r="A181" i="12"/>
  <c r="A169" i="12"/>
  <c r="A262" i="12"/>
  <c r="A207" i="12"/>
  <c r="E89" i="15"/>
  <c r="F89" i="15"/>
  <c r="G89" i="15"/>
  <c r="B87" i="12"/>
  <c r="D89" i="15"/>
  <c r="A313" i="12"/>
  <c r="A102" i="12"/>
  <c r="G210" i="15"/>
  <c r="E210" i="15"/>
  <c r="D210" i="15"/>
  <c r="F210" i="15"/>
  <c r="B208" i="12"/>
  <c r="AM286" i="12"/>
  <c r="AK286" i="12"/>
  <c r="D286" i="12"/>
  <c r="C286" i="12"/>
  <c r="AK290" i="12"/>
  <c r="C290" i="12"/>
  <c r="D290" i="12"/>
  <c r="AM290" i="12"/>
  <c r="AK338" i="12"/>
  <c r="D338" i="12"/>
  <c r="C338" i="12"/>
  <c r="AM338" i="12"/>
  <c r="C261" i="12"/>
  <c r="AM261" i="12"/>
  <c r="D261" i="12"/>
  <c r="AK261" i="12"/>
  <c r="D348" i="12"/>
  <c r="C348" i="12"/>
  <c r="AK348" i="12"/>
  <c r="AM348" i="12"/>
  <c r="AM30" i="12"/>
  <c r="AK30" i="12"/>
  <c r="D30" i="12"/>
  <c r="C30" i="12"/>
  <c r="D281" i="12"/>
  <c r="C281" i="12"/>
  <c r="AM281" i="12"/>
  <c r="AK281" i="12"/>
  <c r="A323" i="12"/>
  <c r="G259" i="15"/>
  <c r="E259" i="15"/>
  <c r="D259" i="15"/>
  <c r="B257" i="12"/>
  <c r="F259" i="15"/>
  <c r="A43" i="12"/>
  <c r="E167" i="15"/>
  <c r="F167" i="15"/>
  <c r="G167" i="15"/>
  <c r="B165" i="12"/>
  <c r="D167" i="15"/>
  <c r="E564" i="15"/>
  <c r="G564" i="15"/>
  <c r="D564" i="15"/>
  <c r="F564" i="15"/>
  <c r="D593" i="15"/>
  <c r="F593" i="15"/>
  <c r="G593" i="15"/>
  <c r="E593" i="15"/>
  <c r="A353" i="12"/>
  <c r="G163" i="15"/>
  <c r="B161" i="12"/>
  <c r="D163" i="15"/>
  <c r="E163" i="15"/>
  <c r="F163" i="15"/>
  <c r="E334" i="15"/>
  <c r="G334" i="15"/>
  <c r="B332" i="12"/>
  <c r="F334" i="15"/>
  <c r="D334" i="15"/>
  <c r="D371" i="15"/>
  <c r="E371" i="15"/>
  <c r="F371" i="15"/>
  <c r="G371" i="15"/>
  <c r="A334" i="12"/>
  <c r="AM78" i="12"/>
  <c r="AK78" i="12"/>
  <c r="D78" i="12"/>
  <c r="C78" i="12"/>
  <c r="G576" i="15"/>
  <c r="D576" i="15"/>
  <c r="E576" i="15"/>
  <c r="F576" i="15"/>
  <c r="C313" i="12"/>
  <c r="AM313" i="12"/>
  <c r="AK313" i="12"/>
  <c r="D313" i="12"/>
  <c r="AM337" i="12"/>
  <c r="D337" i="12"/>
  <c r="C337" i="12"/>
  <c r="AK337" i="12"/>
  <c r="A209" i="12"/>
  <c r="F307" i="15"/>
  <c r="G307" i="15"/>
  <c r="B305" i="12"/>
  <c r="D307" i="15"/>
  <c r="E307" i="15"/>
  <c r="C38" i="12"/>
  <c r="AM38" i="12"/>
  <c r="AK38" i="12"/>
  <c r="D38" i="12"/>
  <c r="G581" i="15"/>
  <c r="D581" i="15"/>
  <c r="F581" i="15"/>
  <c r="E581" i="15"/>
  <c r="G330" i="15"/>
  <c r="F330" i="15"/>
  <c r="B328" i="12"/>
  <c r="D330" i="15"/>
  <c r="E330" i="15"/>
  <c r="AM116" i="12"/>
  <c r="D116" i="12"/>
  <c r="AK116" i="12"/>
  <c r="C116" i="12"/>
  <c r="AK323" i="12"/>
  <c r="C323" i="12"/>
  <c r="D323" i="12"/>
  <c r="AM323" i="12"/>
  <c r="D209" i="12"/>
  <c r="C209" i="12"/>
  <c r="AM209" i="12"/>
  <c r="AK209" i="12"/>
  <c r="E240" i="15"/>
  <c r="G240" i="15"/>
  <c r="D240" i="15"/>
  <c r="F240" i="15"/>
  <c r="B238" i="12"/>
  <c r="F170" i="15"/>
  <c r="G170" i="15"/>
  <c r="B168" i="12"/>
  <c r="D170" i="15"/>
  <c r="E170" i="15"/>
  <c r="E395" i="15"/>
  <c r="F395" i="15"/>
  <c r="G395" i="15"/>
  <c r="D395" i="15"/>
  <c r="F375" i="15"/>
  <c r="G375" i="15"/>
  <c r="D375" i="15"/>
  <c r="E375" i="15"/>
  <c r="G295" i="15"/>
  <c r="B293" i="12"/>
  <c r="D295" i="15"/>
  <c r="E295" i="15"/>
  <c r="F295" i="15"/>
  <c r="A167" i="12"/>
  <c r="E541" i="15"/>
  <c r="F541" i="15"/>
  <c r="D541" i="15"/>
  <c r="G541" i="15"/>
  <c r="D134" i="12"/>
  <c r="C134" i="12"/>
  <c r="AM134" i="12"/>
  <c r="AK134" i="12"/>
  <c r="E468" i="15"/>
  <c r="G468" i="15"/>
  <c r="F468" i="15"/>
  <c r="D468" i="15"/>
  <c r="G272" i="15"/>
  <c r="B270" i="12"/>
  <c r="D272" i="15"/>
  <c r="E272" i="15"/>
  <c r="F272" i="15"/>
  <c r="C155" i="12"/>
  <c r="D155" i="12"/>
  <c r="AM155" i="12"/>
  <c r="AK155" i="12"/>
  <c r="C145" i="12"/>
  <c r="AM145" i="12"/>
  <c r="AK145" i="12"/>
  <c r="D145" i="12"/>
  <c r="AM206" i="12"/>
  <c r="D206" i="12"/>
  <c r="AK206" i="12"/>
  <c r="C206" i="12"/>
  <c r="D268" i="12"/>
  <c r="C268" i="12"/>
  <c r="AM268" i="12"/>
  <c r="AK268" i="12"/>
  <c r="AK318" i="12"/>
  <c r="D318" i="12"/>
  <c r="C318" i="12"/>
  <c r="AM318" i="12"/>
  <c r="AK152" i="12"/>
  <c r="D152" i="12"/>
  <c r="C152" i="12"/>
  <c r="AM152" i="12"/>
  <c r="AK111" i="12"/>
  <c r="C111" i="12"/>
  <c r="D111" i="12"/>
  <c r="AM111" i="12"/>
  <c r="AK356" i="12"/>
  <c r="AM356" i="12"/>
  <c r="D356" i="12"/>
  <c r="C356" i="12"/>
  <c r="F125" i="15"/>
  <c r="G125" i="15"/>
  <c r="B123" i="12"/>
  <c r="D125" i="15"/>
  <c r="E125" i="15"/>
  <c r="A21" i="12"/>
  <c r="B17" i="12"/>
  <c r="D19" i="15"/>
  <c r="E19" i="15"/>
  <c r="F19" i="15"/>
  <c r="G19" i="15"/>
  <c r="A80" i="12"/>
  <c r="G193" i="15"/>
  <c r="E193" i="15"/>
  <c r="B191" i="12"/>
  <c r="F193" i="15"/>
  <c r="D193" i="15"/>
  <c r="A190" i="12"/>
  <c r="E198" i="15"/>
  <c r="G198" i="15"/>
  <c r="D198" i="15"/>
  <c r="F198" i="15"/>
  <c r="B196" i="12"/>
  <c r="A199" i="12"/>
  <c r="E603" i="15"/>
  <c r="G603" i="15"/>
  <c r="F603" i="15"/>
  <c r="D603" i="15"/>
  <c r="F487" i="15"/>
  <c r="D487" i="15"/>
  <c r="G487" i="15"/>
  <c r="E487" i="15"/>
  <c r="G243" i="15"/>
  <c r="B241" i="12"/>
  <c r="D243" i="15"/>
  <c r="E243" i="15"/>
  <c r="F243" i="15"/>
  <c r="E35" i="15"/>
  <c r="F35" i="15"/>
  <c r="G35" i="15"/>
  <c r="B33" i="12"/>
  <c r="D35" i="15"/>
  <c r="A339" i="12"/>
  <c r="E602" i="15"/>
  <c r="F602" i="15"/>
  <c r="G602" i="15"/>
  <c r="D602" i="15"/>
  <c r="F138" i="15"/>
  <c r="E138" i="15"/>
  <c r="G138" i="15"/>
  <c r="B136" i="12"/>
  <c r="D138" i="15"/>
  <c r="A260" i="12"/>
  <c r="G341" i="15"/>
  <c r="B339" i="12"/>
  <c r="D341" i="15"/>
  <c r="E341" i="15"/>
  <c r="F341" i="15"/>
  <c r="A338" i="12"/>
  <c r="A158" i="12"/>
  <c r="A201" i="12"/>
  <c r="A175" i="12"/>
  <c r="A20" i="12"/>
  <c r="A130" i="12"/>
  <c r="A254" i="12"/>
  <c r="G148" i="15"/>
  <c r="B146" i="12"/>
  <c r="E148" i="15"/>
  <c r="F148" i="15"/>
  <c r="D148" i="15"/>
  <c r="E609" i="15"/>
  <c r="D609" i="15"/>
  <c r="G609" i="15"/>
  <c r="F609" i="15"/>
  <c r="E482" i="15"/>
  <c r="G482" i="15"/>
  <c r="D482" i="15"/>
  <c r="F482" i="15"/>
  <c r="A204" i="12"/>
  <c r="A105" i="12"/>
  <c r="A200" i="12"/>
  <c r="A214" i="12"/>
  <c r="A146" i="12"/>
  <c r="G404" i="15"/>
  <c r="E404" i="15"/>
  <c r="F404" i="15"/>
  <c r="D404" i="15"/>
  <c r="A290" i="12"/>
  <c r="A52" i="12"/>
  <c r="A45" i="12"/>
  <c r="F579" i="15"/>
  <c r="E579" i="15"/>
  <c r="G579" i="15"/>
  <c r="D579" i="15"/>
  <c r="B167" i="12"/>
  <c r="D169" i="15"/>
  <c r="E169" i="15"/>
  <c r="F169" i="15"/>
  <c r="G169" i="15"/>
  <c r="A97" i="12"/>
  <c r="A352" i="12"/>
  <c r="F434" i="15"/>
  <c r="D434" i="15"/>
  <c r="E434" i="15"/>
  <c r="G434" i="15"/>
  <c r="G508" i="15"/>
  <c r="F508" i="15"/>
  <c r="D508" i="15"/>
  <c r="E508" i="15"/>
  <c r="A70" i="12"/>
  <c r="F386" i="15"/>
  <c r="G386" i="15"/>
  <c r="E386" i="15"/>
  <c r="D386" i="15"/>
  <c r="G563" i="15"/>
  <c r="F563" i="15"/>
  <c r="D563" i="15"/>
  <c r="E563" i="15"/>
  <c r="F465" i="15"/>
  <c r="G465" i="15"/>
  <c r="D465" i="15"/>
  <c r="E465" i="15"/>
  <c r="E586" i="15"/>
  <c r="D586" i="15"/>
  <c r="F586" i="15"/>
  <c r="G586" i="15"/>
  <c r="F427" i="15"/>
  <c r="D427" i="15"/>
  <c r="G427" i="15"/>
  <c r="E427" i="15"/>
  <c r="E605" i="15"/>
  <c r="G605" i="15"/>
  <c r="F605" i="15"/>
  <c r="D605" i="15"/>
  <c r="E168" i="15"/>
  <c r="F168" i="15"/>
  <c r="B166" i="12"/>
  <c r="G168" i="15"/>
  <c r="D168" i="15"/>
  <c r="G503" i="15"/>
  <c r="E503" i="15"/>
  <c r="F503" i="15"/>
  <c r="D503" i="15"/>
  <c r="E349" i="15"/>
  <c r="F349" i="15"/>
  <c r="G349" i="15"/>
  <c r="B347" i="12"/>
  <c r="D349" i="15"/>
  <c r="E381" i="15"/>
  <c r="F381" i="15"/>
  <c r="G381" i="15"/>
  <c r="D381" i="15"/>
  <c r="A230" i="12"/>
  <c r="G479" i="15"/>
  <c r="F479" i="15"/>
  <c r="D479" i="15"/>
  <c r="E479" i="15"/>
  <c r="A121" i="12"/>
  <c r="A127" i="12"/>
  <c r="A310" i="12"/>
  <c r="A140" i="12"/>
  <c r="E255" i="15"/>
  <c r="B253" i="12"/>
  <c r="F255" i="15"/>
  <c r="G255" i="15"/>
  <c r="D255" i="15"/>
  <c r="A303" i="12"/>
  <c r="A34" i="12"/>
  <c r="B192" i="12"/>
  <c r="D194" i="15"/>
  <c r="E194" i="15"/>
  <c r="F194" i="15"/>
  <c r="G194" i="15"/>
  <c r="A252" i="12"/>
  <c r="F204" i="15"/>
  <c r="E204" i="15"/>
  <c r="G204" i="15"/>
  <c r="D204" i="15"/>
  <c r="B202" i="12"/>
  <c r="B298" i="12"/>
  <c r="D300" i="15"/>
  <c r="E300" i="15"/>
  <c r="F300" i="15"/>
  <c r="G300" i="15"/>
  <c r="F397" i="15"/>
  <c r="G397" i="15"/>
  <c r="D397" i="15"/>
  <c r="E397" i="15"/>
  <c r="A327" i="12"/>
  <c r="G112" i="15"/>
  <c r="E112" i="15"/>
  <c r="B110" i="12"/>
  <c r="F112" i="15"/>
  <c r="D112" i="15"/>
  <c r="E600" i="15"/>
  <c r="G600" i="15"/>
  <c r="D600" i="15"/>
  <c r="F600" i="15"/>
  <c r="A112" i="12"/>
  <c r="E93" i="15"/>
  <c r="F93" i="15"/>
  <c r="G93" i="15"/>
  <c r="B91" i="12"/>
  <c r="D93" i="15"/>
  <c r="G106" i="15"/>
  <c r="B104" i="12"/>
  <c r="D106" i="15"/>
  <c r="E106" i="15"/>
  <c r="F106" i="15"/>
  <c r="A286" i="12"/>
  <c r="A122" i="12"/>
  <c r="F122" i="15"/>
  <c r="G122" i="15"/>
  <c r="B120" i="12"/>
  <c r="D122" i="15"/>
  <c r="E122" i="15"/>
  <c r="F165" i="15"/>
  <c r="G165" i="15"/>
  <c r="B163" i="12"/>
  <c r="D165" i="15"/>
  <c r="E165" i="15"/>
  <c r="A241" i="12"/>
  <c r="A255" i="12"/>
  <c r="F444" i="15"/>
  <c r="G444" i="15"/>
  <c r="D444" i="15"/>
  <c r="E444" i="15"/>
  <c r="A335" i="12"/>
  <c r="A59" i="12"/>
  <c r="A165" i="12"/>
  <c r="E254" i="15"/>
  <c r="F254" i="15"/>
  <c r="G254" i="15"/>
  <c r="B252" i="12"/>
  <c r="D254" i="15"/>
  <c r="A317" i="12"/>
  <c r="A65" i="12"/>
  <c r="E583" i="15"/>
  <c r="F583" i="15"/>
  <c r="G583" i="15"/>
  <c r="D583" i="15"/>
  <c r="F27" i="15"/>
  <c r="G27" i="15"/>
  <c r="B25" i="12"/>
  <c r="D27" i="15"/>
  <c r="E27" i="15"/>
  <c r="A22" i="12"/>
  <c r="G501" i="15"/>
  <c r="D501" i="15"/>
  <c r="E501" i="15"/>
  <c r="F501" i="15"/>
  <c r="B41" i="12"/>
  <c r="D43" i="15"/>
  <c r="F43" i="15"/>
  <c r="G43" i="15"/>
  <c r="E43" i="15"/>
  <c r="A108" i="12"/>
  <c r="D617" i="15"/>
  <c r="F617" i="15"/>
  <c r="E617" i="15"/>
  <c r="G617" i="15"/>
  <c r="A159" i="12"/>
  <c r="B48" i="12"/>
  <c r="D50" i="15"/>
  <c r="E50" i="15"/>
  <c r="F50" i="15"/>
  <c r="G50" i="15"/>
  <c r="A117" i="12"/>
  <c r="A326" i="12"/>
  <c r="F162" i="15"/>
  <c r="E162" i="15"/>
  <c r="D162" i="15"/>
  <c r="B160" i="12"/>
  <c r="G162" i="15"/>
  <c r="A358" i="12"/>
  <c r="F578" i="15"/>
  <c r="G578" i="15"/>
  <c r="D578" i="15"/>
  <c r="E578" i="15"/>
  <c r="A30" i="12"/>
  <c r="A305" i="12"/>
  <c r="E565" i="15"/>
  <c r="F565" i="15"/>
  <c r="G565" i="15"/>
  <c r="D565" i="15"/>
  <c r="E387" i="15"/>
  <c r="F387" i="15"/>
  <c r="G387" i="15"/>
  <c r="D387" i="15"/>
  <c r="G273" i="15"/>
  <c r="B271" i="12"/>
  <c r="D273" i="15"/>
  <c r="E273" i="15"/>
  <c r="F273" i="15"/>
  <c r="F293" i="15"/>
  <c r="G293" i="15"/>
  <c r="B291" i="12"/>
  <c r="D293" i="15"/>
  <c r="E293" i="15"/>
  <c r="B62" i="12"/>
  <c r="D64" i="15"/>
  <c r="E64" i="15"/>
  <c r="F64" i="15"/>
  <c r="G64" i="15"/>
  <c r="B223" i="12"/>
  <c r="D225" i="15"/>
  <c r="E225" i="15"/>
  <c r="G225" i="15"/>
  <c r="F225" i="15"/>
  <c r="G411" i="15"/>
  <c r="D411" i="15"/>
  <c r="E411" i="15"/>
  <c r="F411" i="15"/>
  <c r="A84" i="12"/>
  <c r="A350" i="12"/>
  <c r="E46" i="15"/>
  <c r="F46" i="15"/>
  <c r="G46" i="15"/>
  <c r="B44" i="12"/>
  <c r="D46" i="15"/>
  <c r="A217" i="12"/>
  <c r="D537" i="15"/>
  <c r="G537" i="15"/>
  <c r="E537" i="15"/>
  <c r="F537" i="15"/>
  <c r="F441" i="15"/>
  <c r="E441" i="15"/>
  <c r="D441" i="15"/>
  <c r="G441" i="15"/>
  <c r="D402" i="15"/>
  <c r="E402" i="15"/>
  <c r="F402" i="15"/>
  <c r="G402" i="15"/>
  <c r="A89" i="12"/>
  <c r="A123" i="12"/>
  <c r="A73" i="12"/>
  <c r="A249" i="12"/>
  <c r="F313" i="15"/>
  <c r="B311" i="12"/>
  <c r="E313" i="15"/>
  <c r="D313" i="15"/>
  <c r="G313" i="15"/>
  <c r="A281" i="12"/>
  <c r="A246" i="12"/>
  <c r="F303" i="15"/>
  <c r="B301" i="12"/>
  <c r="E303" i="15"/>
  <c r="G303" i="15"/>
  <c r="D303" i="15"/>
  <c r="E604" i="15"/>
  <c r="D604" i="15"/>
  <c r="G604" i="15"/>
  <c r="F604" i="15"/>
  <c r="A351" i="12"/>
  <c r="F345" i="15"/>
  <c r="D345" i="15"/>
  <c r="B343" i="12"/>
  <c r="E345" i="15"/>
  <c r="G345" i="15"/>
  <c r="G21" i="15"/>
  <c r="B19" i="12"/>
  <c r="D21" i="15"/>
  <c r="E21" i="15"/>
  <c r="F21" i="15"/>
  <c r="F178" i="15"/>
  <c r="E178" i="15"/>
  <c r="G178" i="15"/>
  <c r="B176" i="12"/>
  <c r="D178" i="15"/>
  <c r="G383" i="15"/>
  <c r="D383" i="15"/>
  <c r="F383" i="15"/>
  <c r="E383" i="15"/>
  <c r="A124" i="12"/>
  <c r="B269" i="12"/>
  <c r="D271" i="15"/>
  <c r="E271" i="15"/>
  <c r="F271" i="15"/>
  <c r="G271" i="15"/>
  <c r="B256" i="12"/>
  <c r="D258" i="15"/>
  <c r="E258" i="15"/>
  <c r="G258" i="15"/>
  <c r="F258" i="15"/>
  <c r="A342" i="12"/>
  <c r="A63" i="12"/>
  <c r="G585" i="15"/>
  <c r="D585" i="15"/>
  <c r="F585" i="15"/>
  <c r="E585" i="15"/>
  <c r="E393" i="15"/>
  <c r="F393" i="15"/>
  <c r="G393" i="15"/>
  <c r="D393" i="15"/>
  <c r="F399" i="15"/>
  <c r="G399" i="15"/>
  <c r="D399" i="15"/>
  <c r="E399" i="15"/>
  <c r="F332" i="15"/>
  <c r="B330" i="12"/>
  <c r="E332" i="15"/>
  <c r="D332" i="15"/>
  <c r="G332" i="15"/>
  <c r="G607" i="15"/>
  <c r="E607" i="15"/>
  <c r="F607" i="15"/>
  <c r="D607" i="15"/>
  <c r="B96" i="12"/>
  <c r="D98" i="15"/>
  <c r="F98" i="15"/>
  <c r="G98" i="15"/>
  <c r="E98" i="15"/>
  <c r="A245" i="12"/>
  <c r="A26" i="12"/>
  <c r="E63" i="15"/>
  <c r="F63" i="15"/>
  <c r="G63" i="15"/>
  <c r="D63" i="15"/>
  <c r="B61" i="12"/>
  <c r="F428" i="15"/>
  <c r="G428" i="15"/>
  <c r="E428" i="15"/>
  <c r="D428" i="15"/>
  <c r="D210" i="12"/>
  <c r="C210" i="12"/>
  <c r="AM210" i="12"/>
  <c r="AK210" i="12"/>
  <c r="D246" i="12"/>
  <c r="C246" i="12"/>
  <c r="AM246" i="12"/>
  <c r="AK246" i="12"/>
  <c r="D326" i="12"/>
  <c r="C326" i="12"/>
  <c r="AM326" i="12"/>
  <c r="AK326" i="12"/>
  <c r="D248" i="12"/>
  <c r="C248" i="12"/>
  <c r="AK248" i="12"/>
  <c r="AM248" i="12"/>
  <c r="AK307" i="12"/>
  <c r="D307" i="12"/>
  <c r="AM307" i="12"/>
  <c r="C307" i="12"/>
  <c r="D53" i="12"/>
  <c r="C53" i="12"/>
  <c r="AM53" i="12"/>
  <c r="AK53" i="12"/>
  <c r="AK148" i="12"/>
  <c r="D148" i="12"/>
  <c r="C148" i="12"/>
  <c r="AM148" i="12"/>
  <c r="A354" i="12"/>
  <c r="D454" i="15"/>
  <c r="E454" i="15"/>
  <c r="F454" i="15"/>
  <c r="G454" i="15"/>
  <c r="A269" i="12"/>
  <c r="F531" i="15"/>
  <c r="D531" i="15"/>
  <c r="E531" i="15"/>
  <c r="G531" i="15"/>
  <c r="A189" i="12"/>
  <c r="D54" i="12"/>
  <c r="AM54" i="12"/>
  <c r="AK54" i="12"/>
  <c r="C54" i="12"/>
  <c r="C115" i="12"/>
  <c r="D115" i="12"/>
  <c r="AM115" i="12"/>
  <c r="AK115" i="12"/>
  <c r="AK66" i="12"/>
  <c r="D66" i="12"/>
  <c r="C66" i="12"/>
  <c r="AM66" i="12"/>
  <c r="E451" i="15"/>
  <c r="G451" i="15"/>
  <c r="D451" i="15"/>
  <c r="F451" i="15"/>
  <c r="E195" i="15"/>
  <c r="F195" i="15"/>
  <c r="G195" i="15"/>
  <c r="B193" i="12"/>
  <c r="D195" i="15"/>
  <c r="G310" i="15"/>
  <c r="B308" i="12"/>
  <c r="D310" i="15"/>
  <c r="E310" i="15"/>
  <c r="F310" i="15"/>
  <c r="F363" i="15"/>
  <c r="D363" i="15"/>
  <c r="E363" i="15"/>
  <c r="G363" i="15"/>
  <c r="C158" i="12"/>
  <c r="AK158" i="12"/>
  <c r="AM158" i="12"/>
  <c r="D158" i="12"/>
  <c r="G346" i="15"/>
  <c r="B344" i="12"/>
  <c r="D346" i="15"/>
  <c r="E346" i="15"/>
  <c r="F346" i="15"/>
  <c r="C276" i="12"/>
  <c r="AM276" i="12"/>
  <c r="AK276" i="12"/>
  <c r="D276" i="12"/>
  <c r="C57" i="12"/>
  <c r="AM57" i="12"/>
  <c r="AK57" i="12"/>
  <c r="D57" i="12"/>
  <c r="AK127" i="12"/>
  <c r="C127" i="12"/>
  <c r="D127" i="12"/>
  <c r="AM127" i="12"/>
  <c r="AK37" i="12"/>
  <c r="D37" i="12"/>
  <c r="C37" i="12"/>
  <c r="AM37" i="12"/>
  <c r="AM177" i="12"/>
  <c r="AK177" i="12"/>
  <c r="D177" i="12"/>
  <c r="C177" i="12"/>
  <c r="G72" i="15"/>
  <c r="B70" i="12"/>
  <c r="D72" i="15"/>
  <c r="E72" i="15"/>
  <c r="F72" i="15"/>
  <c r="A253" i="12"/>
  <c r="A276" i="12"/>
  <c r="G214" i="15"/>
  <c r="B212" i="12"/>
  <c r="D214" i="15"/>
  <c r="E214" i="15"/>
  <c r="F214" i="15"/>
  <c r="E592" i="15"/>
  <c r="F592" i="15"/>
  <c r="G592" i="15"/>
  <c r="D592" i="15"/>
  <c r="AM51" i="12"/>
  <c r="AK51" i="12"/>
  <c r="C51" i="12"/>
  <c r="D51" i="12"/>
  <c r="AK31" i="12"/>
  <c r="D31" i="12"/>
  <c r="AM31" i="12"/>
  <c r="C31" i="12"/>
  <c r="B239" i="12"/>
  <c r="D241" i="15"/>
  <c r="E241" i="15"/>
  <c r="F241" i="15"/>
  <c r="G241" i="15"/>
  <c r="F525" i="15"/>
  <c r="G525" i="15"/>
  <c r="E525" i="15"/>
  <c r="D525" i="15"/>
  <c r="AK124" i="12"/>
  <c r="D124" i="12"/>
  <c r="C124" i="12"/>
  <c r="AM124" i="12"/>
  <c r="F352" i="15"/>
  <c r="G352" i="15"/>
  <c r="B350" i="12"/>
  <c r="D352" i="15"/>
  <c r="E352" i="15"/>
  <c r="AK213" i="12"/>
  <c r="D213" i="12"/>
  <c r="AM213" i="12"/>
  <c r="C213" i="12"/>
  <c r="D153" i="12"/>
  <c r="C153" i="12"/>
  <c r="AM153" i="12"/>
  <c r="AK153" i="12"/>
  <c r="D69" i="12"/>
  <c r="C69" i="12"/>
  <c r="AM69" i="12"/>
  <c r="AK69" i="12"/>
  <c r="D95" i="12"/>
  <c r="AM95" i="12"/>
  <c r="AK95" i="12"/>
  <c r="C95" i="12"/>
  <c r="C149" i="12"/>
  <c r="AM149" i="12"/>
  <c r="AK149" i="12"/>
  <c r="D149" i="12"/>
  <c r="AI13" i="12"/>
  <c r="A289" i="12"/>
  <c r="E177" i="15"/>
  <c r="F177" i="15"/>
  <c r="G177" i="15"/>
  <c r="B175" i="12"/>
  <c r="D177" i="15"/>
  <c r="AM22" i="12"/>
  <c r="AK22" i="12"/>
  <c r="D22" i="12"/>
  <c r="C22" i="12"/>
  <c r="E291" i="15"/>
  <c r="F291" i="15"/>
  <c r="G291" i="15"/>
  <c r="D291" i="15"/>
  <c r="B289" i="12"/>
  <c r="A257" i="12"/>
  <c r="B107" i="12"/>
  <c r="D109" i="15"/>
  <c r="E109" i="15"/>
  <c r="F109" i="15"/>
  <c r="G109" i="15"/>
  <c r="A151" i="12"/>
  <c r="E506" i="15"/>
  <c r="F506" i="15"/>
  <c r="G506" i="15"/>
  <c r="D506" i="15"/>
  <c r="E544" i="15"/>
  <c r="F544" i="15"/>
  <c r="G544" i="15"/>
  <c r="D544" i="15"/>
  <c r="A267" i="12"/>
  <c r="E448" i="15"/>
  <c r="F448" i="15"/>
  <c r="G448" i="15"/>
  <c r="D448" i="15"/>
  <c r="E327" i="15"/>
  <c r="F327" i="15"/>
  <c r="D327" i="15"/>
  <c r="B325" i="12"/>
  <c r="G327" i="15"/>
  <c r="E528" i="15"/>
  <c r="F528" i="15"/>
  <c r="G528" i="15"/>
  <c r="D528" i="15"/>
  <c r="G362" i="15"/>
  <c r="D362" i="15"/>
  <c r="E362" i="15"/>
  <c r="F362" i="15"/>
  <c r="D216" i="12"/>
  <c r="C216" i="12"/>
  <c r="AM216" i="12"/>
  <c r="AK216" i="12"/>
  <c r="D195" i="12"/>
  <c r="AM195" i="12"/>
  <c r="AK195" i="12"/>
  <c r="C195" i="12"/>
  <c r="C198" i="12"/>
  <c r="AK198" i="12"/>
  <c r="AM198" i="12"/>
  <c r="D198" i="12"/>
  <c r="A24" i="12"/>
  <c r="B273" i="12"/>
  <c r="D275" i="15"/>
  <c r="E275" i="15"/>
  <c r="F275" i="15"/>
  <c r="G275" i="15"/>
  <c r="A94" i="12"/>
  <c r="F286" i="15"/>
  <c r="G286" i="15"/>
  <c r="E286" i="15"/>
  <c r="B284" i="12"/>
  <c r="D286" i="15"/>
  <c r="A71" i="12"/>
  <c r="G305" i="15"/>
  <c r="B303" i="12"/>
  <c r="D305" i="15"/>
  <c r="E305" i="15"/>
  <c r="F305" i="15"/>
  <c r="E405" i="15"/>
  <c r="F405" i="15"/>
  <c r="G405" i="15"/>
  <c r="D405" i="15"/>
  <c r="A161" i="12"/>
  <c r="B40" i="12"/>
  <c r="D42" i="15"/>
  <c r="E42" i="15"/>
  <c r="F42" i="15"/>
  <c r="G42" i="15"/>
  <c r="D509" i="15"/>
  <c r="G509" i="15"/>
  <c r="E509" i="15"/>
  <c r="F509" i="15"/>
  <c r="E545" i="15"/>
  <c r="D545" i="15"/>
  <c r="G545" i="15"/>
  <c r="F545" i="15"/>
  <c r="B60" i="12"/>
  <c r="D62" i="15"/>
  <c r="E62" i="15"/>
  <c r="F62" i="15"/>
  <c r="G62" i="15"/>
  <c r="F426" i="15"/>
  <c r="G426" i="15"/>
  <c r="D426" i="15"/>
  <c r="E426" i="15"/>
  <c r="A322" i="12"/>
  <c r="E369" i="15"/>
  <c r="F369" i="15"/>
  <c r="G369" i="15"/>
  <c r="D369" i="15"/>
  <c r="G17" i="15"/>
  <c r="B15" i="12"/>
  <c r="D17" i="15"/>
  <c r="E17" i="15"/>
  <c r="F17" i="15"/>
  <c r="G141" i="15"/>
  <c r="B139" i="12"/>
  <c r="D141" i="15"/>
  <c r="E141" i="15"/>
  <c r="F141" i="15"/>
  <c r="E394" i="15"/>
  <c r="F394" i="15"/>
  <c r="D394" i="15"/>
  <c r="G394" i="15"/>
  <c r="F227" i="15"/>
  <c r="G227" i="15"/>
  <c r="B225" i="12"/>
  <c r="D227" i="15"/>
  <c r="E227" i="15"/>
  <c r="A104" i="12"/>
  <c r="G121" i="15"/>
  <c r="B119" i="12"/>
  <c r="D121" i="15"/>
  <c r="E121" i="15"/>
  <c r="F121" i="15"/>
  <c r="A90" i="12"/>
  <c r="B296" i="12"/>
  <c r="D298" i="15"/>
  <c r="E298" i="15"/>
  <c r="F298" i="15"/>
  <c r="G298" i="15"/>
  <c r="A96" i="12"/>
  <c r="G475" i="15"/>
  <c r="D475" i="15"/>
  <c r="E475" i="15"/>
  <c r="F475" i="15"/>
  <c r="E235" i="15"/>
  <c r="G235" i="15"/>
  <c r="D235" i="15"/>
  <c r="B233" i="12"/>
  <c r="F235" i="15"/>
  <c r="G331" i="15"/>
  <c r="B329" i="12"/>
  <c r="D331" i="15"/>
  <c r="E331" i="15"/>
  <c r="F331" i="15"/>
  <c r="G219" i="15"/>
  <c r="B217" i="12"/>
  <c r="D219" i="15"/>
  <c r="E219" i="15"/>
  <c r="F219" i="15"/>
  <c r="A301" i="12"/>
  <c r="E473" i="15"/>
  <c r="F473" i="15"/>
  <c r="D473" i="15"/>
  <c r="G473" i="15"/>
  <c r="F559" i="15"/>
  <c r="D559" i="15"/>
  <c r="G559" i="15"/>
  <c r="E559" i="15"/>
  <c r="F620" i="15"/>
  <c r="D620" i="15"/>
  <c r="G620" i="15"/>
  <c r="E620" i="15"/>
  <c r="A277" i="12"/>
  <c r="F290" i="15"/>
  <c r="G290" i="15"/>
  <c r="B288" i="12"/>
  <c r="D290" i="15"/>
  <c r="E290" i="15"/>
  <c r="E569" i="15"/>
  <c r="F569" i="15"/>
  <c r="G569" i="15"/>
  <c r="D569" i="15"/>
  <c r="D367" i="15"/>
  <c r="E367" i="15"/>
  <c r="F367" i="15"/>
  <c r="G367" i="15"/>
  <c r="A325" i="12"/>
  <c r="A191" i="12"/>
  <c r="A231" i="12"/>
  <c r="F190" i="15"/>
  <c r="G190" i="15"/>
  <c r="B188" i="12"/>
  <c r="D190" i="15"/>
  <c r="E190" i="15"/>
  <c r="F102" i="15"/>
  <c r="G102" i="15"/>
  <c r="B100" i="12"/>
  <c r="D102" i="15"/>
  <c r="E102" i="15"/>
  <c r="F96" i="15"/>
  <c r="G96" i="15"/>
  <c r="B94" i="12"/>
  <c r="D96" i="15"/>
  <c r="E96" i="15"/>
  <c r="E182" i="15"/>
  <c r="G182" i="15"/>
  <c r="D182" i="15"/>
  <c r="F182" i="15"/>
  <c r="B180" i="12"/>
  <c r="G38" i="15"/>
  <c r="B36" i="12"/>
  <c r="D38" i="15"/>
  <c r="E38" i="15"/>
  <c r="F38" i="15"/>
  <c r="F336" i="15"/>
  <c r="G336" i="15"/>
  <c r="B334" i="12"/>
  <c r="D336" i="15"/>
  <c r="E336" i="15"/>
  <c r="A247" i="12"/>
  <c r="A307" i="12"/>
  <c r="G567" i="15"/>
  <c r="E567" i="15"/>
  <c r="F567" i="15"/>
  <c r="D567" i="15"/>
  <c r="F52" i="15"/>
  <c r="G52" i="15"/>
  <c r="E52" i="15"/>
  <c r="B50" i="12"/>
  <c r="D52" i="15"/>
  <c r="A17" i="12"/>
  <c r="G223" i="15"/>
  <c r="B221" i="12"/>
  <c r="D223" i="15"/>
  <c r="E223" i="15"/>
  <c r="F223" i="15"/>
  <c r="G495" i="15"/>
  <c r="F495" i="15"/>
  <c r="D495" i="15"/>
  <c r="E495" i="15"/>
  <c r="A300" i="12"/>
  <c r="F359" i="15"/>
  <c r="G359" i="15"/>
  <c r="B357" i="12"/>
  <c r="D359" i="15"/>
  <c r="E359" i="15"/>
  <c r="G435" i="15"/>
  <c r="D435" i="15"/>
  <c r="E435" i="15"/>
  <c r="F435" i="15"/>
  <c r="E256" i="15"/>
  <c r="F256" i="15"/>
  <c r="G256" i="15"/>
  <c r="D256" i="15"/>
  <c r="B254" i="12"/>
  <c r="F440" i="15"/>
  <c r="E440" i="15"/>
  <c r="G440" i="15"/>
  <c r="D440" i="15"/>
  <c r="F88" i="15"/>
  <c r="B86" i="12"/>
  <c r="D88" i="15"/>
  <c r="E88" i="15"/>
  <c r="G88" i="15"/>
  <c r="A37" i="12"/>
  <c r="A295" i="12"/>
  <c r="G83" i="15"/>
  <c r="B81" i="12"/>
  <c r="D83" i="15"/>
  <c r="E83" i="15"/>
  <c r="F83" i="15"/>
  <c r="B90" i="12"/>
  <c r="D92" i="15"/>
  <c r="F92" i="15"/>
  <c r="G92" i="15"/>
  <c r="E92" i="15"/>
  <c r="A33" i="12"/>
  <c r="A329" i="12"/>
  <c r="A136" i="12"/>
  <c r="A294" i="12"/>
  <c r="A357" i="12"/>
  <c r="B45" i="12"/>
  <c r="D47" i="15"/>
  <c r="F47" i="15"/>
  <c r="G47" i="15"/>
  <c r="E47" i="15"/>
  <c r="G287" i="15"/>
  <c r="F287" i="15"/>
  <c r="B285" i="12"/>
  <c r="E287" i="15"/>
  <c r="D287" i="15"/>
  <c r="G489" i="15"/>
  <c r="D489" i="15"/>
  <c r="F489" i="15"/>
  <c r="E489" i="15"/>
  <c r="A57" i="12"/>
  <c r="G407" i="15"/>
  <c r="D407" i="15"/>
  <c r="E407" i="15"/>
  <c r="F407" i="15"/>
  <c r="G16" i="15"/>
  <c r="B14" i="12"/>
  <c r="D16" i="15"/>
  <c r="E16" i="15"/>
  <c r="F16" i="15"/>
  <c r="F115" i="15"/>
  <c r="B113" i="12"/>
  <c r="D115" i="15"/>
  <c r="E115" i="15"/>
  <c r="G115" i="15"/>
  <c r="F419" i="15"/>
  <c r="G419" i="15"/>
  <c r="D419" i="15"/>
  <c r="E419" i="15"/>
  <c r="F279" i="15"/>
  <c r="G279" i="15"/>
  <c r="B277" i="12"/>
  <c r="D279" i="15"/>
  <c r="E279" i="15"/>
  <c r="A273" i="12"/>
  <c r="A135" i="12"/>
  <c r="A44" i="12"/>
  <c r="A226" i="12"/>
  <c r="F114" i="15"/>
  <c r="G114" i="15"/>
  <c r="B112" i="12"/>
  <c r="D114" i="15"/>
  <c r="E114" i="15"/>
  <c r="F124" i="15"/>
  <c r="G124" i="15"/>
  <c r="B122" i="12"/>
  <c r="D124" i="15"/>
  <c r="E124" i="15"/>
  <c r="G543" i="15"/>
  <c r="E543" i="15"/>
  <c r="F543" i="15"/>
  <c r="D543" i="15"/>
  <c r="A14" i="12"/>
  <c r="A86" i="12"/>
  <c r="A265" i="12"/>
  <c r="G455" i="15"/>
  <c r="D455" i="15"/>
  <c r="F455" i="15"/>
  <c r="E455" i="15"/>
  <c r="E101" i="15"/>
  <c r="F101" i="15"/>
  <c r="G101" i="15"/>
  <c r="B99" i="12"/>
  <c r="D101" i="15"/>
  <c r="F257" i="15"/>
  <c r="B255" i="12"/>
  <c r="D257" i="15"/>
  <c r="E257" i="15"/>
  <c r="G257" i="15"/>
  <c r="A215" i="12"/>
  <c r="D611" i="15"/>
  <c r="E611" i="15"/>
  <c r="G611" i="15"/>
  <c r="F611" i="15"/>
  <c r="E483" i="15"/>
  <c r="F483" i="15"/>
  <c r="G483" i="15"/>
  <c r="D483" i="15"/>
  <c r="E580" i="15"/>
  <c r="G580" i="15"/>
  <c r="F580" i="15"/>
  <c r="D580" i="15"/>
  <c r="E186" i="15"/>
  <c r="F186" i="15"/>
  <c r="G186" i="15"/>
  <c r="B184" i="12"/>
  <c r="D186" i="15"/>
  <c r="E127" i="15"/>
  <c r="F127" i="15"/>
  <c r="G127" i="15"/>
  <c r="D127" i="15"/>
  <c r="B125" i="12"/>
  <c r="A232" i="12"/>
  <c r="A156" i="12"/>
  <c r="A239" i="12"/>
  <c r="A271" i="12"/>
  <c r="A56" i="12"/>
  <c r="A216" i="12"/>
  <c r="F425" i="15"/>
  <c r="G425" i="15"/>
  <c r="E425" i="15"/>
  <c r="D425" i="15"/>
  <c r="A296" i="12"/>
  <c r="A316" i="12"/>
  <c r="E418" i="15"/>
  <c r="F418" i="15"/>
  <c r="G418" i="15"/>
  <c r="D418" i="15"/>
  <c r="A66" i="12"/>
  <c r="F22" i="15"/>
  <c r="G22" i="15"/>
  <c r="B20" i="12"/>
  <c r="D22" i="15"/>
  <c r="E22" i="15"/>
  <c r="E497" i="15"/>
  <c r="F497" i="15"/>
  <c r="G497" i="15"/>
  <c r="D497" i="15"/>
  <c r="F81" i="15"/>
  <c r="G81" i="15"/>
  <c r="B79" i="12"/>
  <c r="D81" i="15"/>
  <c r="E81" i="15"/>
  <c r="E566" i="15"/>
  <c r="F566" i="15"/>
  <c r="G566" i="15"/>
  <c r="D566" i="15"/>
  <c r="E459" i="15"/>
  <c r="F459" i="15"/>
  <c r="G459" i="15"/>
  <c r="D459" i="15"/>
  <c r="E478" i="15"/>
  <c r="F478" i="15"/>
  <c r="D478" i="15"/>
  <c r="G478" i="15"/>
  <c r="F517" i="15"/>
  <c r="G517" i="15"/>
  <c r="D517" i="15"/>
  <c r="E517" i="15"/>
  <c r="E493" i="15"/>
  <c r="F493" i="15"/>
  <c r="D493" i="15"/>
  <c r="G493" i="15"/>
  <c r="B260" i="12"/>
  <c r="D262" i="15"/>
  <c r="F262" i="15"/>
  <c r="E262" i="15"/>
  <c r="G262" i="15"/>
  <c r="G188" i="15"/>
  <c r="E188" i="15"/>
  <c r="F188" i="15"/>
  <c r="B186" i="12"/>
  <c r="D188" i="15"/>
  <c r="F380" i="15"/>
  <c r="D380" i="15"/>
  <c r="E380" i="15"/>
  <c r="G380" i="15"/>
  <c r="A248" i="12"/>
  <c r="A88" i="12"/>
  <c r="A166" i="12"/>
  <c r="A23" i="12"/>
  <c r="A53" i="12"/>
  <c r="A280" i="12"/>
  <c r="A341" i="12"/>
  <c r="E130" i="15"/>
  <c r="F130" i="15"/>
  <c r="G130" i="15"/>
  <c r="D130" i="15"/>
  <c r="B128" i="12"/>
  <c r="A345" i="12"/>
  <c r="E319" i="15"/>
  <c r="F319" i="15"/>
  <c r="G319" i="15"/>
  <c r="B317" i="12"/>
  <c r="D319" i="15"/>
  <c r="B58" i="12"/>
  <c r="D60" i="15"/>
  <c r="F60" i="15"/>
  <c r="G60" i="15"/>
  <c r="E60" i="15"/>
  <c r="A69" i="12"/>
  <c r="A149" i="12"/>
  <c r="A229" i="12"/>
  <c r="G572" i="15"/>
  <c r="D572" i="15"/>
  <c r="F572" i="15"/>
  <c r="E572" i="15"/>
  <c r="E217" i="15"/>
  <c r="F217" i="15"/>
  <c r="G217" i="15"/>
  <c r="B215" i="12"/>
  <c r="D217" i="15"/>
  <c r="F610" i="15"/>
  <c r="G610" i="15"/>
  <c r="D610" i="15"/>
  <c r="E610" i="15"/>
  <c r="G521" i="15"/>
  <c r="D521" i="15"/>
  <c r="F521" i="15"/>
  <c r="E521" i="15"/>
  <c r="B97" i="12"/>
  <c r="D99" i="15"/>
  <c r="E99" i="15"/>
  <c r="F99" i="15"/>
  <c r="G99" i="15"/>
  <c r="E297" i="15"/>
  <c r="D297" i="15"/>
  <c r="B295" i="12"/>
  <c r="F297" i="15"/>
  <c r="G297" i="15"/>
  <c r="G588" i="15"/>
  <c r="F588" i="15"/>
  <c r="D588" i="15"/>
  <c r="E588" i="15"/>
  <c r="G556" i="15"/>
  <c r="F556" i="15"/>
  <c r="D556" i="15"/>
  <c r="E556" i="15"/>
  <c r="A143" i="12"/>
  <c r="A152" i="12"/>
  <c r="A118" i="12"/>
  <c r="A155" i="12"/>
  <c r="A168" i="12"/>
  <c r="A101" i="12"/>
  <c r="B247" i="12"/>
  <c r="D249" i="15"/>
  <c r="E249" i="15"/>
  <c r="F249" i="15"/>
  <c r="G249" i="15"/>
  <c r="AK118" i="12"/>
  <c r="D118" i="12"/>
  <c r="C118" i="12"/>
  <c r="AM118" i="12"/>
  <c r="AK232" i="12"/>
  <c r="D232" i="12"/>
  <c r="C232" i="12"/>
  <c r="AM232" i="12"/>
  <c r="D222" i="12"/>
  <c r="C222" i="12"/>
  <c r="AM222" i="12"/>
  <c r="AK222" i="12"/>
  <c r="D92" i="12"/>
  <c r="C92" i="12"/>
  <c r="AM92" i="12"/>
  <c r="AK92" i="12"/>
  <c r="E302" i="15"/>
  <c r="F302" i="15"/>
  <c r="G302" i="15"/>
  <c r="B300" i="12"/>
  <c r="D302" i="15"/>
  <c r="B46" i="12"/>
  <c r="D48" i="15"/>
  <c r="F48" i="15"/>
  <c r="G48" i="15"/>
  <c r="E48" i="15"/>
  <c r="A347" i="12"/>
  <c r="A48" i="12"/>
  <c r="G413" i="15"/>
  <c r="F413" i="15"/>
  <c r="D413" i="15"/>
  <c r="E413" i="15"/>
  <c r="A330" i="12"/>
  <c r="AK59" i="12"/>
  <c r="C59" i="12"/>
  <c r="D59" i="12"/>
  <c r="AM59" i="12"/>
  <c r="G398" i="15"/>
  <c r="E398" i="15"/>
  <c r="F398" i="15"/>
  <c r="D398" i="15"/>
  <c r="F360" i="15"/>
  <c r="E360" i="15"/>
  <c r="G360" i="15"/>
  <c r="B358" i="12"/>
  <c r="D360" i="15"/>
  <c r="D133" i="12"/>
  <c r="C133" i="12"/>
  <c r="AM133" i="12"/>
  <c r="AK133" i="12"/>
  <c r="A306" i="12"/>
  <c r="A321" i="12"/>
  <c r="AO11" i="12"/>
  <c r="AP11" i="12" s="1"/>
  <c r="AR11" i="12"/>
  <c r="C243" i="12"/>
  <c r="D243" i="12"/>
  <c r="AM243" i="12"/>
  <c r="AK243" i="12"/>
  <c r="BT184" i="18" l="1"/>
  <c r="CA184" i="18"/>
  <c r="BZ184" i="18"/>
  <c r="BT30" i="18"/>
  <c r="BZ2" i="18"/>
  <c r="CA2" i="18"/>
  <c r="BT2" i="18"/>
  <c r="S8" i="22"/>
  <c r="A17" i="22"/>
  <c r="B17" i="22" s="1"/>
  <c r="B8" i="22"/>
  <c r="R8" i="22"/>
  <c r="E8" i="22"/>
  <c r="R26" i="22" s="1"/>
  <c r="G8" i="22"/>
  <c r="G26" i="22" s="1"/>
  <c r="W8" i="22"/>
  <c r="M26" i="22" s="1"/>
  <c r="Q8" i="22"/>
  <c r="D8" i="22"/>
  <c r="T8" i="22"/>
  <c r="N8" i="22"/>
  <c r="I8" i="22"/>
  <c r="I26" i="22" s="1"/>
  <c r="P8" i="22"/>
  <c r="F8" i="22"/>
  <c r="S26" i="22" s="1"/>
  <c r="V8" i="22"/>
  <c r="C26" i="22" s="1"/>
  <c r="M8" i="22"/>
  <c r="K8" i="22"/>
  <c r="AA8" i="22"/>
  <c r="L26" i="22" s="1"/>
  <c r="Y8" i="22"/>
  <c r="H8" i="22"/>
  <c r="H26" i="22" s="1"/>
  <c r="X8" i="22"/>
  <c r="G17" i="22"/>
  <c r="C8" i="22"/>
  <c r="C79" i="23"/>
  <c r="J8" i="22"/>
  <c r="J26" i="22" s="1"/>
  <c r="Z8" i="22"/>
  <c r="K26" i="22" s="1"/>
  <c r="U8" i="22"/>
  <c r="O8" i="22"/>
  <c r="AE8" i="22"/>
  <c r="I17" i="22" s="1"/>
  <c r="AC8" i="22"/>
  <c r="U26" i="22" s="1"/>
  <c r="L8" i="22"/>
  <c r="AB8" i="22"/>
  <c r="F26" i="22" s="1"/>
  <c r="E17" i="22"/>
  <c r="AD8" i="22"/>
  <c r="A8" i="22"/>
  <c r="P26" i="22" s="1"/>
  <c r="J89" i="22"/>
  <c r="H14" i="23" s="1"/>
  <c r="N23" i="15"/>
  <c r="N128" i="15"/>
  <c r="N337" i="15"/>
  <c r="N120" i="15"/>
  <c r="N117" i="15"/>
  <c r="N343" i="15"/>
  <c r="C317" i="12"/>
  <c r="AK317" i="12"/>
  <c r="AM317" i="12"/>
  <c r="D317" i="12"/>
  <c r="AK188" i="12"/>
  <c r="D188" i="12"/>
  <c r="C188" i="12"/>
  <c r="AM188" i="12"/>
  <c r="D325" i="12"/>
  <c r="C325" i="12"/>
  <c r="AK325" i="12"/>
  <c r="AM325" i="12"/>
  <c r="AK107" i="12"/>
  <c r="C107" i="12"/>
  <c r="D107" i="12"/>
  <c r="AM107" i="12"/>
  <c r="K149" i="12"/>
  <c r="AA149" i="12"/>
  <c r="T149" i="12"/>
  <c r="M149" i="12"/>
  <c r="AC149" i="12"/>
  <c r="V149" i="12"/>
  <c r="AE149" i="12"/>
  <c r="L149" i="12"/>
  <c r="U149" i="12"/>
  <c r="N149" i="12"/>
  <c r="G149" i="12"/>
  <c r="I149" i="12"/>
  <c r="R149" i="12"/>
  <c r="O149" i="12"/>
  <c r="H149" i="12"/>
  <c r="X149" i="12"/>
  <c r="Q149" i="12"/>
  <c r="J149" i="12"/>
  <c r="Z149" i="12"/>
  <c r="S149" i="12"/>
  <c r="AB149" i="12"/>
  <c r="AD149" i="12"/>
  <c r="W149" i="12"/>
  <c r="P149" i="12"/>
  <c r="Y149" i="12"/>
  <c r="F149" i="12"/>
  <c r="R57" i="12"/>
  <c r="G57" i="12"/>
  <c r="W57" i="12"/>
  <c r="P57" i="12"/>
  <c r="I57" i="12"/>
  <c r="Y57" i="12"/>
  <c r="Z57" i="12"/>
  <c r="H57" i="12"/>
  <c r="F57" i="12"/>
  <c r="AE57" i="12"/>
  <c r="V57" i="12"/>
  <c r="K57" i="12"/>
  <c r="AA57" i="12"/>
  <c r="T57" i="12"/>
  <c r="M57" i="12"/>
  <c r="AC57" i="12"/>
  <c r="J57" i="12"/>
  <c r="O57" i="12"/>
  <c r="X57" i="12"/>
  <c r="Q57" i="12"/>
  <c r="N57" i="12"/>
  <c r="AB57" i="12"/>
  <c r="AD57" i="12"/>
  <c r="U57" i="12"/>
  <c r="S57" i="12"/>
  <c r="L57" i="12"/>
  <c r="AM308" i="12"/>
  <c r="AK308" i="12"/>
  <c r="D308" i="12"/>
  <c r="C308" i="12"/>
  <c r="N53" i="12"/>
  <c r="AD53" i="12"/>
  <c r="S53" i="12"/>
  <c r="L53" i="12"/>
  <c r="AB53" i="12"/>
  <c r="U53" i="12"/>
  <c r="V53" i="12"/>
  <c r="AA53" i="12"/>
  <c r="M53" i="12"/>
  <c r="J53" i="12"/>
  <c r="O53" i="12"/>
  <c r="X53" i="12"/>
  <c r="F53" i="12"/>
  <c r="R53" i="12"/>
  <c r="G53" i="12"/>
  <c r="W53" i="12"/>
  <c r="P53" i="12"/>
  <c r="I53" i="12"/>
  <c r="Y53" i="12"/>
  <c r="AE53" i="12"/>
  <c r="K53" i="12"/>
  <c r="T53" i="12"/>
  <c r="AC53" i="12"/>
  <c r="Z53" i="12"/>
  <c r="H53" i="12"/>
  <c r="Q53" i="12"/>
  <c r="H326" i="12"/>
  <c r="X326" i="12"/>
  <c r="Q326" i="12"/>
  <c r="F326" i="12"/>
  <c r="V326" i="12"/>
  <c r="K326" i="12"/>
  <c r="AA326" i="12"/>
  <c r="L326" i="12"/>
  <c r="AB326" i="12"/>
  <c r="U326" i="12"/>
  <c r="J326" i="12"/>
  <c r="Z326" i="12"/>
  <c r="O326" i="12"/>
  <c r="P326" i="12"/>
  <c r="I326" i="12"/>
  <c r="Y326" i="12"/>
  <c r="N326" i="12"/>
  <c r="AD326" i="12"/>
  <c r="S326" i="12"/>
  <c r="M326" i="12"/>
  <c r="W326" i="12"/>
  <c r="AC326" i="12"/>
  <c r="AE326" i="12"/>
  <c r="R326" i="12"/>
  <c r="G326" i="12"/>
  <c r="T326" i="12"/>
  <c r="AE246" i="12"/>
  <c r="S246" i="12"/>
  <c r="L246" i="12"/>
  <c r="AB246" i="12"/>
  <c r="U246" i="12"/>
  <c r="N246" i="12"/>
  <c r="AD246" i="12"/>
  <c r="G246" i="12"/>
  <c r="W246" i="12"/>
  <c r="P246" i="12"/>
  <c r="I246" i="12"/>
  <c r="Y246" i="12"/>
  <c r="R246" i="12"/>
  <c r="F246" i="12"/>
  <c r="K246" i="12"/>
  <c r="AA246" i="12"/>
  <c r="T246" i="12"/>
  <c r="M246" i="12"/>
  <c r="AC246" i="12"/>
  <c r="V246" i="12"/>
  <c r="X246" i="12"/>
  <c r="Q246" i="12"/>
  <c r="O246" i="12"/>
  <c r="J246" i="12"/>
  <c r="Z246" i="12"/>
  <c r="H246" i="12"/>
  <c r="C256" i="12"/>
  <c r="AK256" i="12"/>
  <c r="AM256" i="12"/>
  <c r="D256" i="12"/>
  <c r="AM271" i="12"/>
  <c r="AK271" i="12"/>
  <c r="C271" i="12"/>
  <c r="D271" i="12"/>
  <c r="D120" i="12"/>
  <c r="C120" i="12"/>
  <c r="AM120" i="12"/>
  <c r="AK120" i="12"/>
  <c r="AK241" i="12"/>
  <c r="D241" i="12"/>
  <c r="C241" i="12"/>
  <c r="AM241" i="12"/>
  <c r="AK196" i="12"/>
  <c r="C196" i="12"/>
  <c r="D196" i="12"/>
  <c r="AM196" i="12"/>
  <c r="AE152" i="12"/>
  <c r="S152" i="12"/>
  <c r="L152" i="12"/>
  <c r="AB152" i="12"/>
  <c r="U152" i="12"/>
  <c r="N152" i="12"/>
  <c r="AD152" i="12"/>
  <c r="G152" i="12"/>
  <c r="W152" i="12"/>
  <c r="P152" i="12"/>
  <c r="I152" i="12"/>
  <c r="Y152" i="12"/>
  <c r="R152" i="12"/>
  <c r="F152" i="12"/>
  <c r="K152" i="12"/>
  <c r="AA152" i="12"/>
  <c r="T152" i="12"/>
  <c r="M152" i="12"/>
  <c r="AC152" i="12"/>
  <c r="V152" i="12"/>
  <c r="Q152" i="12"/>
  <c r="Z152" i="12"/>
  <c r="X152" i="12"/>
  <c r="O152" i="12"/>
  <c r="J152" i="12"/>
  <c r="H152" i="12"/>
  <c r="H318" i="12"/>
  <c r="X318" i="12"/>
  <c r="Q318" i="12"/>
  <c r="F318" i="12"/>
  <c r="V318" i="12"/>
  <c r="K318" i="12"/>
  <c r="AA318" i="12"/>
  <c r="L318" i="12"/>
  <c r="AB318" i="12"/>
  <c r="U318" i="12"/>
  <c r="J318" i="12"/>
  <c r="Z318" i="12"/>
  <c r="O318" i="12"/>
  <c r="P318" i="12"/>
  <c r="I318" i="12"/>
  <c r="Y318" i="12"/>
  <c r="N318" i="12"/>
  <c r="AD318" i="12"/>
  <c r="S318" i="12"/>
  <c r="AE318" i="12"/>
  <c r="R318" i="12"/>
  <c r="M318" i="12"/>
  <c r="AC318" i="12"/>
  <c r="T318" i="12"/>
  <c r="G318" i="12"/>
  <c r="W318" i="12"/>
  <c r="O206" i="12"/>
  <c r="H206" i="12"/>
  <c r="X206" i="12"/>
  <c r="Q206" i="12"/>
  <c r="J206" i="12"/>
  <c r="Z206" i="12"/>
  <c r="AE206" i="12"/>
  <c r="S206" i="12"/>
  <c r="L206" i="12"/>
  <c r="AB206" i="12"/>
  <c r="U206" i="12"/>
  <c r="N206" i="12"/>
  <c r="AD206" i="12"/>
  <c r="G206" i="12"/>
  <c r="W206" i="12"/>
  <c r="P206" i="12"/>
  <c r="I206" i="12"/>
  <c r="Y206" i="12"/>
  <c r="R206" i="12"/>
  <c r="F206" i="12"/>
  <c r="AA206" i="12"/>
  <c r="V206" i="12"/>
  <c r="T206" i="12"/>
  <c r="M206" i="12"/>
  <c r="K206" i="12"/>
  <c r="AC206" i="12"/>
  <c r="G155" i="12"/>
  <c r="W155" i="12"/>
  <c r="P155" i="12"/>
  <c r="I155" i="12"/>
  <c r="Y155" i="12"/>
  <c r="R155" i="12"/>
  <c r="F155" i="12"/>
  <c r="O155" i="12"/>
  <c r="H155" i="12"/>
  <c r="Q155" i="12"/>
  <c r="Z155" i="12"/>
  <c r="K155" i="12"/>
  <c r="AA155" i="12"/>
  <c r="T155" i="12"/>
  <c r="M155" i="12"/>
  <c r="AC155" i="12"/>
  <c r="V155" i="12"/>
  <c r="X155" i="12"/>
  <c r="J155" i="12"/>
  <c r="AE155" i="12"/>
  <c r="U155" i="12"/>
  <c r="L155" i="12"/>
  <c r="AD155" i="12"/>
  <c r="AB155" i="12"/>
  <c r="S155" i="12"/>
  <c r="N155" i="12"/>
  <c r="G313" i="12"/>
  <c r="W313" i="12"/>
  <c r="P313" i="12"/>
  <c r="I313" i="12"/>
  <c r="Y313" i="12"/>
  <c r="R313" i="12"/>
  <c r="F313" i="12"/>
  <c r="O313" i="12"/>
  <c r="X313" i="12"/>
  <c r="J313" i="12"/>
  <c r="K313" i="12"/>
  <c r="AA313" i="12"/>
  <c r="T313" i="12"/>
  <c r="M313" i="12"/>
  <c r="AC313" i="12"/>
  <c r="V313" i="12"/>
  <c r="H313" i="12"/>
  <c r="Q313" i="12"/>
  <c r="Z313" i="12"/>
  <c r="L313" i="12"/>
  <c r="AD313" i="12"/>
  <c r="AE313" i="12"/>
  <c r="S313" i="12"/>
  <c r="AB313" i="12"/>
  <c r="U313" i="12"/>
  <c r="N313" i="12"/>
  <c r="AM332" i="12"/>
  <c r="C332" i="12"/>
  <c r="D332" i="12"/>
  <c r="AK332" i="12"/>
  <c r="J59" i="12"/>
  <c r="Z59" i="12"/>
  <c r="O59" i="12"/>
  <c r="H59" i="12"/>
  <c r="X59" i="12"/>
  <c r="Q59" i="12"/>
  <c r="F59" i="12"/>
  <c r="N59" i="12"/>
  <c r="AD59" i="12"/>
  <c r="S59" i="12"/>
  <c r="L59" i="12"/>
  <c r="AB59" i="12"/>
  <c r="U59" i="12"/>
  <c r="R59" i="12"/>
  <c r="G59" i="12"/>
  <c r="W59" i="12"/>
  <c r="P59" i="12"/>
  <c r="I59" i="12"/>
  <c r="Y59" i="12"/>
  <c r="AA59" i="12"/>
  <c r="M59" i="12"/>
  <c r="K59" i="12"/>
  <c r="AE59" i="12"/>
  <c r="T59" i="12"/>
  <c r="V59" i="12"/>
  <c r="AC59" i="12"/>
  <c r="C79" i="12"/>
  <c r="D79" i="12"/>
  <c r="AM79" i="12"/>
  <c r="AK79" i="12"/>
  <c r="AK184" i="12"/>
  <c r="C184" i="12"/>
  <c r="AM184" i="12"/>
  <c r="D184" i="12"/>
  <c r="D99" i="12"/>
  <c r="AK99" i="12"/>
  <c r="AM99" i="12"/>
  <c r="C99" i="12"/>
  <c r="AK122" i="12"/>
  <c r="C122" i="12"/>
  <c r="D122" i="12"/>
  <c r="AM122" i="12"/>
  <c r="D113" i="12"/>
  <c r="C113" i="12"/>
  <c r="AM113" i="12"/>
  <c r="AK113" i="12"/>
  <c r="D254" i="12"/>
  <c r="C254" i="12"/>
  <c r="AM254" i="12"/>
  <c r="AK254" i="12"/>
  <c r="C50" i="12"/>
  <c r="AM50" i="12"/>
  <c r="AK50" i="12"/>
  <c r="D50" i="12"/>
  <c r="AK36" i="12"/>
  <c r="D36" i="12"/>
  <c r="C36" i="12"/>
  <c r="AM36" i="12"/>
  <c r="D217" i="12"/>
  <c r="C217" i="12"/>
  <c r="AM217" i="12"/>
  <c r="AK217" i="12"/>
  <c r="AK233" i="12"/>
  <c r="C233" i="12"/>
  <c r="AM233" i="12"/>
  <c r="D233" i="12"/>
  <c r="AK119" i="12"/>
  <c r="C119" i="12"/>
  <c r="D119" i="12"/>
  <c r="AM119" i="12"/>
  <c r="AM139" i="12"/>
  <c r="AK139" i="12"/>
  <c r="C139" i="12"/>
  <c r="D139" i="12"/>
  <c r="AK303" i="12"/>
  <c r="C303" i="12"/>
  <c r="D303" i="12"/>
  <c r="AM303" i="12"/>
  <c r="O22" i="12"/>
  <c r="H22" i="12"/>
  <c r="X22" i="12"/>
  <c r="Q22" i="12"/>
  <c r="J22" i="12"/>
  <c r="Z22" i="12"/>
  <c r="W22" i="12"/>
  <c r="I22" i="12"/>
  <c r="R22" i="12"/>
  <c r="AE22" i="12"/>
  <c r="S22" i="12"/>
  <c r="L22" i="12"/>
  <c r="AB22" i="12"/>
  <c r="U22" i="12"/>
  <c r="N22" i="12"/>
  <c r="AD22" i="12"/>
  <c r="G22" i="12"/>
  <c r="P22" i="12"/>
  <c r="Y22" i="12"/>
  <c r="F22" i="12"/>
  <c r="M22" i="12"/>
  <c r="V22" i="12"/>
  <c r="T22" i="12"/>
  <c r="K22" i="12"/>
  <c r="AC22" i="12"/>
  <c r="AA22" i="12"/>
  <c r="C175" i="12"/>
  <c r="D175" i="12"/>
  <c r="AM175" i="12"/>
  <c r="AK175" i="12"/>
  <c r="D239" i="12"/>
  <c r="AM239" i="12"/>
  <c r="AK239" i="12"/>
  <c r="C239" i="12"/>
  <c r="AK212" i="12"/>
  <c r="D212" i="12"/>
  <c r="C212" i="12"/>
  <c r="AM212" i="12"/>
  <c r="AE177" i="12"/>
  <c r="S177" i="12"/>
  <c r="L177" i="12"/>
  <c r="AB177" i="12"/>
  <c r="U177" i="12"/>
  <c r="N177" i="12"/>
  <c r="AD177" i="12"/>
  <c r="G177" i="12"/>
  <c r="W177" i="12"/>
  <c r="P177" i="12"/>
  <c r="I177" i="12"/>
  <c r="Y177" i="12"/>
  <c r="R177" i="12"/>
  <c r="F177" i="12"/>
  <c r="K177" i="12"/>
  <c r="AA177" i="12"/>
  <c r="T177" i="12"/>
  <c r="M177" i="12"/>
  <c r="AC177" i="12"/>
  <c r="V177" i="12"/>
  <c r="X177" i="12"/>
  <c r="Q177" i="12"/>
  <c r="O177" i="12"/>
  <c r="J177" i="12"/>
  <c r="H177" i="12"/>
  <c r="Z177" i="12"/>
  <c r="AE127" i="12"/>
  <c r="T127" i="12"/>
  <c r="M127" i="12"/>
  <c r="AC127" i="12"/>
  <c r="V127" i="12"/>
  <c r="K127" i="12"/>
  <c r="AA127" i="12"/>
  <c r="H127" i="12"/>
  <c r="X127" i="12"/>
  <c r="Q127" i="12"/>
  <c r="J127" i="12"/>
  <c r="Z127" i="12"/>
  <c r="O127" i="12"/>
  <c r="F127" i="12"/>
  <c r="L127" i="12"/>
  <c r="AB127" i="12"/>
  <c r="U127" i="12"/>
  <c r="N127" i="12"/>
  <c r="AD127" i="12"/>
  <c r="S127" i="12"/>
  <c r="R127" i="12"/>
  <c r="I127" i="12"/>
  <c r="P127" i="12"/>
  <c r="G127" i="12"/>
  <c r="W127" i="12"/>
  <c r="Y127" i="12"/>
  <c r="AE158" i="12"/>
  <c r="S158" i="12"/>
  <c r="L158" i="12"/>
  <c r="AB158" i="12"/>
  <c r="U158" i="12"/>
  <c r="N158" i="12"/>
  <c r="AD158" i="12"/>
  <c r="G158" i="12"/>
  <c r="W158" i="12"/>
  <c r="P158" i="12"/>
  <c r="I158" i="12"/>
  <c r="Y158" i="12"/>
  <c r="R158" i="12"/>
  <c r="F158" i="12"/>
  <c r="K158" i="12"/>
  <c r="AA158" i="12"/>
  <c r="T158" i="12"/>
  <c r="M158" i="12"/>
  <c r="AC158" i="12"/>
  <c r="V158" i="12"/>
  <c r="X158" i="12"/>
  <c r="Q158" i="12"/>
  <c r="O158" i="12"/>
  <c r="J158" i="12"/>
  <c r="H158" i="12"/>
  <c r="Z158" i="12"/>
  <c r="L66" i="12"/>
  <c r="AB66" i="12"/>
  <c r="U66" i="12"/>
  <c r="N66" i="12"/>
  <c r="AD66" i="12"/>
  <c r="S66" i="12"/>
  <c r="P66" i="12"/>
  <c r="I66" i="12"/>
  <c r="Y66" i="12"/>
  <c r="R66" i="12"/>
  <c r="G66" i="12"/>
  <c r="W66" i="12"/>
  <c r="AE66" i="12"/>
  <c r="T66" i="12"/>
  <c r="M66" i="12"/>
  <c r="AC66" i="12"/>
  <c r="V66" i="12"/>
  <c r="K66" i="12"/>
  <c r="AA66" i="12"/>
  <c r="H66" i="12"/>
  <c r="Z66" i="12"/>
  <c r="Q66" i="12"/>
  <c r="X66" i="12"/>
  <c r="O66" i="12"/>
  <c r="F66" i="12"/>
  <c r="J66" i="12"/>
  <c r="AE115" i="12"/>
  <c r="T115" i="12"/>
  <c r="M115" i="12"/>
  <c r="AC115" i="12"/>
  <c r="V115" i="12"/>
  <c r="K115" i="12"/>
  <c r="AA115" i="12"/>
  <c r="H115" i="12"/>
  <c r="X115" i="12"/>
  <c r="Q115" i="12"/>
  <c r="J115" i="12"/>
  <c r="Z115" i="12"/>
  <c r="O115" i="12"/>
  <c r="F115" i="12"/>
  <c r="AB115" i="12"/>
  <c r="N115" i="12"/>
  <c r="S115" i="12"/>
  <c r="I115" i="12"/>
  <c r="R115" i="12"/>
  <c r="W115" i="12"/>
  <c r="L115" i="12"/>
  <c r="U115" i="12"/>
  <c r="AD115" i="12"/>
  <c r="G115" i="12"/>
  <c r="Y115" i="12"/>
  <c r="P115" i="12"/>
  <c r="AM61" i="12"/>
  <c r="AK61" i="12"/>
  <c r="D61" i="12"/>
  <c r="C61" i="12"/>
  <c r="AK269" i="12"/>
  <c r="D269" i="12"/>
  <c r="C269" i="12"/>
  <c r="AM269" i="12"/>
  <c r="D176" i="12"/>
  <c r="AM176" i="12"/>
  <c r="AK176" i="12"/>
  <c r="C176" i="12"/>
  <c r="C311" i="12"/>
  <c r="AM311" i="12"/>
  <c r="AK311" i="12"/>
  <c r="D311" i="12"/>
  <c r="AM160" i="12"/>
  <c r="AK160" i="12"/>
  <c r="D160" i="12"/>
  <c r="C160" i="12"/>
  <c r="AK48" i="12"/>
  <c r="D48" i="12"/>
  <c r="C48" i="12"/>
  <c r="AM48" i="12"/>
  <c r="C91" i="12"/>
  <c r="D91" i="12"/>
  <c r="AM91" i="12"/>
  <c r="AK91" i="12"/>
  <c r="D110" i="12"/>
  <c r="C110" i="12"/>
  <c r="AM110" i="12"/>
  <c r="AK110" i="12"/>
  <c r="D166" i="12"/>
  <c r="C166" i="12"/>
  <c r="AM166" i="12"/>
  <c r="AK166" i="12"/>
  <c r="AK339" i="12"/>
  <c r="C339" i="12"/>
  <c r="D339" i="12"/>
  <c r="AM339" i="12"/>
  <c r="C33" i="12"/>
  <c r="AM33" i="12"/>
  <c r="AK33" i="12"/>
  <c r="D33" i="12"/>
  <c r="AK191" i="12"/>
  <c r="C191" i="12"/>
  <c r="D191" i="12"/>
  <c r="AM191" i="12"/>
  <c r="G268" i="12"/>
  <c r="W268" i="12"/>
  <c r="P268" i="12"/>
  <c r="I268" i="12"/>
  <c r="Y268" i="12"/>
  <c r="R268" i="12"/>
  <c r="F268" i="12"/>
  <c r="K268" i="12"/>
  <c r="AA268" i="12"/>
  <c r="T268" i="12"/>
  <c r="M268" i="12"/>
  <c r="AC268" i="12"/>
  <c r="V268" i="12"/>
  <c r="O268" i="12"/>
  <c r="H268" i="12"/>
  <c r="X268" i="12"/>
  <c r="Q268" i="12"/>
  <c r="J268" i="12"/>
  <c r="Z268" i="12"/>
  <c r="AB268" i="12"/>
  <c r="N268" i="12"/>
  <c r="L268" i="12"/>
  <c r="AE268" i="12"/>
  <c r="U268" i="12"/>
  <c r="S268" i="12"/>
  <c r="AD268" i="12"/>
  <c r="AK270" i="12"/>
  <c r="D270" i="12"/>
  <c r="C270" i="12"/>
  <c r="AM270" i="12"/>
  <c r="L323" i="12"/>
  <c r="AB323" i="12"/>
  <c r="U323" i="12"/>
  <c r="N323" i="12"/>
  <c r="AD323" i="12"/>
  <c r="O323" i="12"/>
  <c r="P323" i="12"/>
  <c r="I323" i="12"/>
  <c r="Y323" i="12"/>
  <c r="R323" i="12"/>
  <c r="F323" i="12"/>
  <c r="S323" i="12"/>
  <c r="T323" i="12"/>
  <c r="AC323" i="12"/>
  <c r="G323" i="12"/>
  <c r="X323" i="12"/>
  <c r="J323" i="12"/>
  <c r="K323" i="12"/>
  <c r="AE323" i="12"/>
  <c r="M323" i="12"/>
  <c r="V323" i="12"/>
  <c r="W323" i="12"/>
  <c r="Z323" i="12"/>
  <c r="H323" i="12"/>
  <c r="AA323" i="12"/>
  <c r="Q323" i="12"/>
  <c r="N38" i="12"/>
  <c r="AD38" i="12"/>
  <c r="S38" i="12"/>
  <c r="L38" i="12"/>
  <c r="AB38" i="12"/>
  <c r="U38" i="12"/>
  <c r="V38" i="12"/>
  <c r="AA38" i="12"/>
  <c r="M38" i="12"/>
  <c r="R38" i="12"/>
  <c r="G38" i="12"/>
  <c r="W38" i="12"/>
  <c r="P38" i="12"/>
  <c r="I38" i="12"/>
  <c r="Y38" i="12"/>
  <c r="AE38" i="12"/>
  <c r="K38" i="12"/>
  <c r="T38" i="12"/>
  <c r="AC38" i="12"/>
  <c r="H38" i="12"/>
  <c r="Z38" i="12"/>
  <c r="Q38" i="12"/>
  <c r="O38" i="12"/>
  <c r="J38" i="12"/>
  <c r="X38" i="12"/>
  <c r="F38" i="12"/>
  <c r="AE78" i="12"/>
  <c r="T78" i="12"/>
  <c r="M78" i="12"/>
  <c r="AC78" i="12"/>
  <c r="V78" i="12"/>
  <c r="K78" i="12"/>
  <c r="AA78" i="12"/>
  <c r="H78" i="12"/>
  <c r="X78" i="12"/>
  <c r="Q78" i="12"/>
  <c r="J78" i="12"/>
  <c r="Z78" i="12"/>
  <c r="O78" i="12"/>
  <c r="F78" i="12"/>
  <c r="L78" i="12"/>
  <c r="AB78" i="12"/>
  <c r="U78" i="12"/>
  <c r="N78" i="12"/>
  <c r="AD78" i="12"/>
  <c r="S78" i="12"/>
  <c r="P78" i="12"/>
  <c r="G78" i="12"/>
  <c r="I78" i="12"/>
  <c r="W78" i="12"/>
  <c r="Y78" i="12"/>
  <c r="R78" i="12"/>
  <c r="AE30" i="12"/>
  <c r="S30" i="12"/>
  <c r="L30" i="12"/>
  <c r="AB30" i="12"/>
  <c r="U30" i="12"/>
  <c r="N30" i="12"/>
  <c r="AD30" i="12"/>
  <c r="G30" i="12"/>
  <c r="W30" i="12"/>
  <c r="P30" i="12"/>
  <c r="I30" i="12"/>
  <c r="Y30" i="12"/>
  <c r="R30" i="12"/>
  <c r="F30" i="12"/>
  <c r="K30" i="12"/>
  <c r="AA30" i="12"/>
  <c r="T30" i="12"/>
  <c r="M30" i="12"/>
  <c r="AC30" i="12"/>
  <c r="V30" i="12"/>
  <c r="X30" i="12"/>
  <c r="Q30" i="12"/>
  <c r="O30" i="12"/>
  <c r="J30" i="12"/>
  <c r="H30" i="12"/>
  <c r="Z30" i="12"/>
  <c r="K261" i="12"/>
  <c r="AA261" i="12"/>
  <c r="T261" i="12"/>
  <c r="M261" i="12"/>
  <c r="AC261" i="12"/>
  <c r="V261" i="12"/>
  <c r="L261" i="12"/>
  <c r="U261" i="12"/>
  <c r="AD261" i="12"/>
  <c r="O261" i="12"/>
  <c r="H261" i="12"/>
  <c r="X261" i="12"/>
  <c r="Q261" i="12"/>
  <c r="J261" i="12"/>
  <c r="Z261" i="12"/>
  <c r="AE261" i="12"/>
  <c r="S261" i="12"/>
  <c r="AB261" i="12"/>
  <c r="N261" i="12"/>
  <c r="I261" i="12"/>
  <c r="R261" i="12"/>
  <c r="F261" i="12"/>
  <c r="G261" i="12"/>
  <c r="Y261" i="12"/>
  <c r="W261" i="12"/>
  <c r="P261" i="12"/>
  <c r="K290" i="12"/>
  <c r="AA290" i="12"/>
  <c r="T290" i="12"/>
  <c r="M290" i="12"/>
  <c r="AC290" i="12"/>
  <c r="V290" i="12"/>
  <c r="AE290" i="12"/>
  <c r="L290" i="12"/>
  <c r="U290" i="12"/>
  <c r="AD290" i="12"/>
  <c r="O290" i="12"/>
  <c r="H290" i="12"/>
  <c r="X290" i="12"/>
  <c r="Q290" i="12"/>
  <c r="J290" i="12"/>
  <c r="Z290" i="12"/>
  <c r="S290" i="12"/>
  <c r="AB290" i="12"/>
  <c r="N290" i="12"/>
  <c r="W290" i="12"/>
  <c r="R290" i="12"/>
  <c r="G290" i="12"/>
  <c r="P290" i="12"/>
  <c r="F290" i="12"/>
  <c r="I290" i="12"/>
  <c r="Y290" i="12"/>
  <c r="K286" i="12"/>
  <c r="AA286" i="12"/>
  <c r="T286" i="12"/>
  <c r="M286" i="12"/>
  <c r="AC286" i="12"/>
  <c r="V286" i="12"/>
  <c r="O286" i="12"/>
  <c r="H286" i="12"/>
  <c r="X286" i="12"/>
  <c r="Q286" i="12"/>
  <c r="J286" i="12"/>
  <c r="Z286" i="12"/>
  <c r="AE286" i="12"/>
  <c r="S286" i="12"/>
  <c r="L286" i="12"/>
  <c r="AB286" i="12"/>
  <c r="U286" i="12"/>
  <c r="N286" i="12"/>
  <c r="AD286" i="12"/>
  <c r="G286" i="12"/>
  <c r="Y286" i="12"/>
  <c r="W286" i="12"/>
  <c r="R286" i="12"/>
  <c r="P286" i="12"/>
  <c r="F286" i="12"/>
  <c r="I286" i="12"/>
  <c r="D23" i="12"/>
  <c r="AM23" i="12"/>
  <c r="AK23" i="12"/>
  <c r="C23" i="12"/>
  <c r="AK352" i="12"/>
  <c r="AM352" i="12"/>
  <c r="D352" i="12"/>
  <c r="C352" i="12"/>
  <c r="D137" i="12"/>
  <c r="C137" i="12"/>
  <c r="AM137" i="12"/>
  <c r="AK137" i="12"/>
  <c r="D226" i="12"/>
  <c r="C226" i="12"/>
  <c r="AM226" i="12"/>
  <c r="AK226" i="12"/>
  <c r="AK150" i="12"/>
  <c r="C150" i="12"/>
  <c r="D150" i="12"/>
  <c r="AM150" i="12"/>
  <c r="AK39" i="12"/>
  <c r="C39" i="12"/>
  <c r="D39" i="12"/>
  <c r="AM39" i="12"/>
  <c r="AK171" i="12"/>
  <c r="C171" i="12"/>
  <c r="D171" i="12"/>
  <c r="AM171" i="12"/>
  <c r="AK279" i="12"/>
  <c r="D279" i="12"/>
  <c r="AM279" i="12"/>
  <c r="C279" i="12"/>
  <c r="AM103" i="12"/>
  <c r="AK103" i="12"/>
  <c r="C103" i="12"/>
  <c r="D103" i="12"/>
  <c r="D236" i="12"/>
  <c r="C236" i="12"/>
  <c r="AM236" i="12"/>
  <c r="AK236" i="12"/>
  <c r="AK302" i="12"/>
  <c r="AM302" i="12"/>
  <c r="D302" i="12"/>
  <c r="C302" i="12"/>
  <c r="D262" i="12"/>
  <c r="C262" i="12"/>
  <c r="AM262" i="12"/>
  <c r="AK262" i="12"/>
  <c r="AM117" i="12"/>
  <c r="AK117" i="12"/>
  <c r="D117" i="12"/>
  <c r="C117" i="12"/>
  <c r="AM156" i="12"/>
  <c r="AK156" i="12"/>
  <c r="D156" i="12"/>
  <c r="C156" i="12"/>
  <c r="N52" i="12"/>
  <c r="AD52" i="12"/>
  <c r="S52" i="12"/>
  <c r="L52" i="12"/>
  <c r="AB52" i="12"/>
  <c r="U52" i="12"/>
  <c r="V52" i="12"/>
  <c r="AA52" i="12"/>
  <c r="M52" i="12"/>
  <c r="AC52" i="12"/>
  <c r="J52" i="12"/>
  <c r="O52" i="12"/>
  <c r="X52" i="12"/>
  <c r="F52" i="12"/>
  <c r="R52" i="12"/>
  <c r="G52" i="12"/>
  <c r="W52" i="12"/>
  <c r="P52" i="12"/>
  <c r="I52" i="12"/>
  <c r="Y52" i="12"/>
  <c r="AE52" i="12"/>
  <c r="K52" i="12"/>
  <c r="T52" i="12"/>
  <c r="Z52" i="12"/>
  <c r="H52" i="12"/>
  <c r="Q52" i="12"/>
  <c r="H68" i="12"/>
  <c r="X68" i="12"/>
  <c r="Q68" i="12"/>
  <c r="J68" i="12"/>
  <c r="Z68" i="12"/>
  <c r="O68" i="12"/>
  <c r="F68" i="12"/>
  <c r="L68" i="12"/>
  <c r="AB68" i="12"/>
  <c r="U68" i="12"/>
  <c r="N68" i="12"/>
  <c r="AD68" i="12"/>
  <c r="S68" i="12"/>
  <c r="P68" i="12"/>
  <c r="I68" i="12"/>
  <c r="Y68" i="12"/>
  <c r="R68" i="12"/>
  <c r="G68" i="12"/>
  <c r="W68" i="12"/>
  <c r="M68" i="12"/>
  <c r="AA68" i="12"/>
  <c r="AC68" i="12"/>
  <c r="AE68" i="12"/>
  <c r="V68" i="12"/>
  <c r="T68" i="12"/>
  <c r="K68" i="12"/>
  <c r="AM214" i="12"/>
  <c r="AK214" i="12"/>
  <c r="C214" i="12"/>
  <c r="D214" i="12"/>
  <c r="AO12" i="12"/>
  <c r="AP12" i="12" s="1"/>
  <c r="AR12" i="12"/>
  <c r="AE174" i="12"/>
  <c r="S174" i="12"/>
  <c r="L174" i="12"/>
  <c r="AB174" i="12"/>
  <c r="U174" i="12"/>
  <c r="N174" i="12"/>
  <c r="AD174" i="12"/>
  <c r="G174" i="12"/>
  <c r="W174" i="12"/>
  <c r="P174" i="12"/>
  <c r="I174" i="12"/>
  <c r="Y174" i="12"/>
  <c r="R174" i="12"/>
  <c r="F174" i="12"/>
  <c r="K174" i="12"/>
  <c r="AA174" i="12"/>
  <c r="T174" i="12"/>
  <c r="M174" i="12"/>
  <c r="AC174" i="12"/>
  <c r="V174" i="12"/>
  <c r="X174" i="12"/>
  <c r="Q174" i="12"/>
  <c r="O174" i="12"/>
  <c r="J174" i="12"/>
  <c r="H174" i="12"/>
  <c r="Z174" i="12"/>
  <c r="D341" i="12"/>
  <c r="C341" i="12"/>
  <c r="AK341" i="12"/>
  <c r="AM341" i="12"/>
  <c r="C331" i="12"/>
  <c r="D331" i="12"/>
  <c r="AM331" i="12"/>
  <c r="AK331" i="12"/>
  <c r="O179" i="12"/>
  <c r="H179" i="12"/>
  <c r="X179" i="12"/>
  <c r="Q179" i="12"/>
  <c r="J179" i="12"/>
  <c r="Z179" i="12"/>
  <c r="AE179" i="12"/>
  <c r="S179" i="12"/>
  <c r="L179" i="12"/>
  <c r="AB179" i="12"/>
  <c r="U179" i="12"/>
  <c r="N179" i="12"/>
  <c r="AD179" i="12"/>
  <c r="G179" i="12"/>
  <c r="W179" i="12"/>
  <c r="P179" i="12"/>
  <c r="I179" i="12"/>
  <c r="Y179" i="12"/>
  <c r="R179" i="12"/>
  <c r="F179" i="12"/>
  <c r="M179" i="12"/>
  <c r="K179" i="12"/>
  <c r="AC179" i="12"/>
  <c r="AA179" i="12"/>
  <c r="V179" i="12"/>
  <c r="T179" i="12"/>
  <c r="P335" i="12"/>
  <c r="I335" i="12"/>
  <c r="Y335" i="12"/>
  <c r="R335" i="12"/>
  <c r="F335" i="12"/>
  <c r="S335" i="12"/>
  <c r="AE335" i="12"/>
  <c r="T335" i="12"/>
  <c r="M335" i="12"/>
  <c r="AC335" i="12"/>
  <c r="V335" i="12"/>
  <c r="G335" i="12"/>
  <c r="W335" i="12"/>
  <c r="H335" i="12"/>
  <c r="X335" i="12"/>
  <c r="Q335" i="12"/>
  <c r="J335" i="12"/>
  <c r="Z335" i="12"/>
  <c r="K335" i="12"/>
  <c r="AA335" i="12"/>
  <c r="U335" i="12"/>
  <c r="N335" i="12"/>
  <c r="L335" i="12"/>
  <c r="AD335" i="12"/>
  <c r="O335" i="12"/>
  <c r="AB335" i="12"/>
  <c r="AE159" i="12"/>
  <c r="S159" i="12"/>
  <c r="L159" i="12"/>
  <c r="AB159" i="12"/>
  <c r="U159" i="12"/>
  <c r="N159" i="12"/>
  <c r="AD159" i="12"/>
  <c r="T159" i="12"/>
  <c r="AC159" i="12"/>
  <c r="G159" i="12"/>
  <c r="W159" i="12"/>
  <c r="P159" i="12"/>
  <c r="I159" i="12"/>
  <c r="Y159" i="12"/>
  <c r="R159" i="12"/>
  <c r="F159" i="12"/>
  <c r="K159" i="12"/>
  <c r="AA159" i="12"/>
  <c r="M159" i="12"/>
  <c r="V159" i="12"/>
  <c r="H159" i="12"/>
  <c r="Z159" i="12"/>
  <c r="Q159" i="12"/>
  <c r="J159" i="12"/>
  <c r="X159" i="12"/>
  <c r="O159" i="12"/>
  <c r="AE287" i="12"/>
  <c r="S287" i="12"/>
  <c r="L287" i="12"/>
  <c r="AB287" i="12"/>
  <c r="U287" i="12"/>
  <c r="N287" i="12"/>
  <c r="AD287" i="12"/>
  <c r="G287" i="12"/>
  <c r="W287" i="12"/>
  <c r="P287" i="12"/>
  <c r="I287" i="12"/>
  <c r="Y287" i="12"/>
  <c r="R287" i="12"/>
  <c r="F287" i="12"/>
  <c r="K287" i="12"/>
  <c r="T287" i="12"/>
  <c r="AC287" i="12"/>
  <c r="O287" i="12"/>
  <c r="X287" i="12"/>
  <c r="J287" i="12"/>
  <c r="AA287" i="12"/>
  <c r="M287" i="12"/>
  <c r="V287" i="12"/>
  <c r="H287" i="12"/>
  <c r="Q287" i="12"/>
  <c r="Z287" i="12"/>
  <c r="AM42" i="12"/>
  <c r="AK42" i="12"/>
  <c r="D42" i="12"/>
  <c r="C42" i="12"/>
  <c r="C80" i="12"/>
  <c r="AM80" i="12"/>
  <c r="AK80" i="12"/>
  <c r="D80" i="12"/>
  <c r="AK320" i="12"/>
  <c r="AM320" i="12"/>
  <c r="D320" i="12"/>
  <c r="C320" i="12"/>
  <c r="D267" i="12"/>
  <c r="AK267" i="12"/>
  <c r="AM267" i="12"/>
  <c r="C267" i="12"/>
  <c r="C24" i="12"/>
  <c r="AM24" i="12"/>
  <c r="AK24" i="12"/>
  <c r="D24" i="12"/>
  <c r="C240" i="12"/>
  <c r="AM240" i="12"/>
  <c r="AK240" i="12"/>
  <c r="D240" i="12"/>
  <c r="AM102" i="12"/>
  <c r="AK102" i="12"/>
  <c r="D102" i="12"/>
  <c r="C102" i="12"/>
  <c r="AM32" i="12"/>
  <c r="C32" i="12"/>
  <c r="AK32" i="12"/>
  <c r="D32" i="12"/>
  <c r="C249" i="12"/>
  <c r="AM249" i="12"/>
  <c r="AK249" i="12"/>
  <c r="D249" i="12"/>
  <c r="AK218" i="12"/>
  <c r="D218" i="12"/>
  <c r="C218" i="12"/>
  <c r="AM218" i="12"/>
  <c r="AK321" i="12"/>
  <c r="D321" i="12"/>
  <c r="AM321" i="12"/>
  <c r="C321" i="12"/>
  <c r="AK312" i="12"/>
  <c r="AM312" i="12"/>
  <c r="D312" i="12"/>
  <c r="C312" i="12"/>
  <c r="C207" i="12"/>
  <c r="D207" i="12"/>
  <c r="AM207" i="12"/>
  <c r="AK207" i="12"/>
  <c r="C211" i="12"/>
  <c r="D211" i="12"/>
  <c r="AM211" i="12"/>
  <c r="AK211" i="12"/>
  <c r="H72" i="12"/>
  <c r="X72" i="12"/>
  <c r="Q72" i="12"/>
  <c r="J72" i="12"/>
  <c r="Z72" i="12"/>
  <c r="O72" i="12"/>
  <c r="F72" i="12"/>
  <c r="L72" i="12"/>
  <c r="AB72" i="12"/>
  <c r="U72" i="12"/>
  <c r="N72" i="12"/>
  <c r="AD72" i="12"/>
  <c r="S72" i="12"/>
  <c r="P72" i="12"/>
  <c r="I72" i="12"/>
  <c r="Y72" i="12"/>
  <c r="R72" i="12"/>
  <c r="G72" i="12"/>
  <c r="W72" i="12"/>
  <c r="AC72" i="12"/>
  <c r="AA72" i="12"/>
  <c r="AE72" i="12"/>
  <c r="V72" i="12"/>
  <c r="T72" i="12"/>
  <c r="K72" i="12"/>
  <c r="M72" i="12"/>
  <c r="G162" i="12"/>
  <c r="W162" i="12"/>
  <c r="P162" i="12"/>
  <c r="I162" i="12"/>
  <c r="Y162" i="12"/>
  <c r="R162" i="12"/>
  <c r="F162" i="12"/>
  <c r="K162" i="12"/>
  <c r="AA162" i="12"/>
  <c r="T162" i="12"/>
  <c r="M162" i="12"/>
  <c r="AC162" i="12"/>
  <c r="V162" i="12"/>
  <c r="O162" i="12"/>
  <c r="H162" i="12"/>
  <c r="X162" i="12"/>
  <c r="Q162" i="12"/>
  <c r="J162" i="12"/>
  <c r="Z162" i="12"/>
  <c r="AE162" i="12"/>
  <c r="U162" i="12"/>
  <c r="S162" i="12"/>
  <c r="N162" i="12"/>
  <c r="L162" i="12"/>
  <c r="AD162" i="12"/>
  <c r="AB162" i="12"/>
  <c r="AE27" i="12"/>
  <c r="S27" i="12"/>
  <c r="L27" i="12"/>
  <c r="AB27" i="12"/>
  <c r="U27" i="12"/>
  <c r="N27" i="12"/>
  <c r="AD27" i="12"/>
  <c r="K27" i="12"/>
  <c r="T27" i="12"/>
  <c r="AC27" i="12"/>
  <c r="H27" i="12"/>
  <c r="G27" i="12"/>
  <c r="W27" i="12"/>
  <c r="P27" i="12"/>
  <c r="I27" i="12"/>
  <c r="Y27" i="12"/>
  <c r="R27" i="12"/>
  <c r="F27" i="12"/>
  <c r="AA27" i="12"/>
  <c r="M27" i="12"/>
  <c r="V27" i="12"/>
  <c r="O27" i="12"/>
  <c r="X27" i="12"/>
  <c r="Z27" i="12"/>
  <c r="Q27" i="12"/>
  <c r="J27" i="12"/>
  <c r="G185" i="12"/>
  <c r="W185" i="12"/>
  <c r="P185" i="12"/>
  <c r="I185" i="12"/>
  <c r="Y185" i="12"/>
  <c r="R185" i="12"/>
  <c r="F185" i="12"/>
  <c r="H185" i="12"/>
  <c r="X185" i="12"/>
  <c r="Z185" i="12"/>
  <c r="K185" i="12"/>
  <c r="AA185" i="12"/>
  <c r="T185" i="12"/>
  <c r="M185" i="12"/>
  <c r="AC185" i="12"/>
  <c r="V185" i="12"/>
  <c r="O185" i="12"/>
  <c r="Q185" i="12"/>
  <c r="J185" i="12"/>
  <c r="L185" i="12"/>
  <c r="AD185" i="12"/>
  <c r="AE185" i="12"/>
  <c r="S185" i="12"/>
  <c r="N185" i="12"/>
  <c r="AB185" i="12"/>
  <c r="U185" i="12"/>
  <c r="AM230" i="12"/>
  <c r="AK230" i="12"/>
  <c r="D230" i="12"/>
  <c r="C230" i="12"/>
  <c r="K310" i="12"/>
  <c r="AA310" i="12"/>
  <c r="T310" i="12"/>
  <c r="M310" i="12"/>
  <c r="AC310" i="12"/>
  <c r="V310" i="12"/>
  <c r="O310" i="12"/>
  <c r="H310" i="12"/>
  <c r="X310" i="12"/>
  <c r="Q310" i="12"/>
  <c r="J310" i="12"/>
  <c r="Z310" i="12"/>
  <c r="AE310" i="12"/>
  <c r="S310" i="12"/>
  <c r="L310" i="12"/>
  <c r="AB310" i="12"/>
  <c r="U310" i="12"/>
  <c r="N310" i="12"/>
  <c r="AD310" i="12"/>
  <c r="P310" i="12"/>
  <c r="F310" i="12"/>
  <c r="G310" i="12"/>
  <c r="R310" i="12"/>
  <c r="I310" i="12"/>
  <c r="Y310" i="12"/>
  <c r="W310" i="12"/>
  <c r="N235" i="15"/>
  <c r="N232" i="15"/>
  <c r="N330" i="15"/>
  <c r="N12" i="15"/>
  <c r="N112" i="15"/>
  <c r="N13" i="15"/>
  <c r="AM285" i="12"/>
  <c r="AK285" i="12"/>
  <c r="D285" i="12"/>
  <c r="C285" i="12"/>
  <c r="H133" i="12"/>
  <c r="X133" i="12"/>
  <c r="Q133" i="12"/>
  <c r="J133" i="12"/>
  <c r="Z133" i="12"/>
  <c r="O133" i="12"/>
  <c r="F133" i="12"/>
  <c r="L133" i="12"/>
  <c r="AB133" i="12"/>
  <c r="U133" i="12"/>
  <c r="N133" i="12"/>
  <c r="AD133" i="12"/>
  <c r="S133" i="12"/>
  <c r="P133" i="12"/>
  <c r="I133" i="12"/>
  <c r="Y133" i="12"/>
  <c r="R133" i="12"/>
  <c r="G133" i="12"/>
  <c r="W133" i="12"/>
  <c r="AE133" i="12"/>
  <c r="V133" i="12"/>
  <c r="AA133" i="12"/>
  <c r="T133" i="12"/>
  <c r="K133" i="12"/>
  <c r="M133" i="12"/>
  <c r="AC133" i="12"/>
  <c r="AK46" i="12"/>
  <c r="D46" i="12"/>
  <c r="AM46" i="12"/>
  <c r="C46" i="12"/>
  <c r="O232" i="12"/>
  <c r="H232" i="12"/>
  <c r="X232" i="12"/>
  <c r="Q232" i="12"/>
  <c r="J232" i="12"/>
  <c r="Z232" i="12"/>
  <c r="W232" i="12"/>
  <c r="P232" i="12"/>
  <c r="Y232" i="12"/>
  <c r="F232" i="12"/>
  <c r="AA232" i="12"/>
  <c r="M232" i="12"/>
  <c r="AC232" i="12"/>
  <c r="AE232" i="12"/>
  <c r="S232" i="12"/>
  <c r="L232" i="12"/>
  <c r="AB232" i="12"/>
  <c r="U232" i="12"/>
  <c r="N232" i="12"/>
  <c r="AD232" i="12"/>
  <c r="G232" i="12"/>
  <c r="I232" i="12"/>
  <c r="R232" i="12"/>
  <c r="K232" i="12"/>
  <c r="T232" i="12"/>
  <c r="V232" i="12"/>
  <c r="P118" i="12"/>
  <c r="I118" i="12"/>
  <c r="Y118" i="12"/>
  <c r="R118" i="12"/>
  <c r="G118" i="12"/>
  <c r="W118" i="12"/>
  <c r="AE118" i="12"/>
  <c r="T118" i="12"/>
  <c r="M118" i="12"/>
  <c r="AC118" i="12"/>
  <c r="V118" i="12"/>
  <c r="K118" i="12"/>
  <c r="AA118" i="12"/>
  <c r="H118" i="12"/>
  <c r="X118" i="12"/>
  <c r="Q118" i="12"/>
  <c r="J118" i="12"/>
  <c r="Z118" i="12"/>
  <c r="O118" i="12"/>
  <c r="F118" i="12"/>
  <c r="N118" i="12"/>
  <c r="L118" i="12"/>
  <c r="AD118" i="12"/>
  <c r="AB118" i="12"/>
  <c r="S118" i="12"/>
  <c r="U118" i="12"/>
  <c r="AM97" i="12"/>
  <c r="D97" i="12"/>
  <c r="AK97" i="12"/>
  <c r="C97" i="12"/>
  <c r="AK58" i="12"/>
  <c r="D58" i="12"/>
  <c r="C58" i="12"/>
  <c r="AM58" i="12"/>
  <c r="AM128" i="12"/>
  <c r="AK128" i="12"/>
  <c r="D128" i="12"/>
  <c r="C128" i="12"/>
  <c r="D186" i="12"/>
  <c r="C186" i="12"/>
  <c r="AM186" i="12"/>
  <c r="AK186" i="12"/>
  <c r="AK260" i="12"/>
  <c r="D260" i="12"/>
  <c r="C260" i="12"/>
  <c r="AM260" i="12"/>
  <c r="C20" i="12"/>
  <c r="AM20" i="12"/>
  <c r="AK20" i="12"/>
  <c r="D20" i="12"/>
  <c r="C255" i="12"/>
  <c r="D255" i="12"/>
  <c r="AM255" i="12"/>
  <c r="AK255" i="12"/>
  <c r="P17" i="15"/>
  <c r="P18" i="15" s="1"/>
  <c r="P19" i="15" s="1"/>
  <c r="P20" i="15" s="1"/>
  <c r="P21" i="15" s="1"/>
  <c r="P22" i="15" s="1"/>
  <c r="P23" i="15" s="1"/>
  <c r="P24" i="15" s="1"/>
  <c r="P25" i="15" s="1"/>
  <c r="P26" i="15" s="1"/>
  <c r="P27" i="15" s="1"/>
  <c r="P28" i="15" s="1"/>
  <c r="P29" i="15" s="1"/>
  <c r="P30" i="15" s="1"/>
  <c r="P31" i="15" s="1"/>
  <c r="P32" i="15" s="1"/>
  <c r="P33" i="15" s="1"/>
  <c r="P34" i="15" s="1"/>
  <c r="P35" i="15" s="1"/>
  <c r="P36" i="15" s="1"/>
  <c r="P37" i="15" s="1"/>
  <c r="P38" i="15" s="1"/>
  <c r="P39" i="15" s="1"/>
  <c r="P40" i="15" s="1"/>
  <c r="P41" i="15" s="1"/>
  <c r="P42" i="15" s="1"/>
  <c r="P43" i="15" s="1"/>
  <c r="P44" i="15" s="1"/>
  <c r="P45" i="15" s="1"/>
  <c r="P46" i="15" s="1"/>
  <c r="P47" i="15" s="1"/>
  <c r="P48" i="15" s="1"/>
  <c r="P49" i="15" s="1"/>
  <c r="P50" i="15" s="1"/>
  <c r="P51" i="15" s="1"/>
  <c r="P52" i="15" s="1"/>
  <c r="P53" i="15" s="1"/>
  <c r="P54" i="15" s="1"/>
  <c r="P55" i="15" s="1"/>
  <c r="P56" i="15" s="1"/>
  <c r="P57" i="15" s="1"/>
  <c r="P58" i="15" s="1"/>
  <c r="P59" i="15" s="1"/>
  <c r="P60" i="15" s="1"/>
  <c r="P61" i="15" s="1"/>
  <c r="P62" i="15" s="1"/>
  <c r="P63" i="15" s="1"/>
  <c r="P64" i="15" s="1"/>
  <c r="P65" i="15" s="1"/>
  <c r="P66" i="15" s="1"/>
  <c r="P67" i="15" s="1"/>
  <c r="P68" i="15" s="1"/>
  <c r="P69" i="15" s="1"/>
  <c r="P70" i="15" s="1"/>
  <c r="P71" i="15" s="1"/>
  <c r="P72" i="15" s="1"/>
  <c r="P73" i="15" s="1"/>
  <c r="P74" i="15" s="1"/>
  <c r="P75" i="15" s="1"/>
  <c r="P76" i="15" s="1"/>
  <c r="P77" i="15" s="1"/>
  <c r="P78" i="15" s="1"/>
  <c r="P79" i="15" s="1"/>
  <c r="P80" i="15" s="1"/>
  <c r="P81" i="15" s="1"/>
  <c r="P82" i="15" s="1"/>
  <c r="P83" i="15" s="1"/>
  <c r="P84" i="15" s="1"/>
  <c r="P85" i="15" s="1"/>
  <c r="P86" i="15" s="1"/>
  <c r="P87" i="15" s="1"/>
  <c r="P88" i="15" s="1"/>
  <c r="P89" i="15" s="1"/>
  <c r="P90" i="15" s="1"/>
  <c r="P91" i="15" s="1"/>
  <c r="P92" i="15" s="1"/>
  <c r="P93" i="15" s="1"/>
  <c r="P94" i="15" s="1"/>
  <c r="P95" i="15" s="1"/>
  <c r="P96" i="15" s="1"/>
  <c r="P97" i="15" s="1"/>
  <c r="P98" i="15" s="1"/>
  <c r="P99" i="15" s="1"/>
  <c r="P100" i="15" s="1"/>
  <c r="P101" i="15" s="1"/>
  <c r="P102" i="15" s="1"/>
  <c r="P103" i="15" s="1"/>
  <c r="P104" i="15" s="1"/>
  <c r="P105" i="15" s="1"/>
  <c r="P106" i="15" s="1"/>
  <c r="P107" i="15" s="1"/>
  <c r="P108" i="15" s="1"/>
  <c r="P109" i="15" s="1"/>
  <c r="P110" i="15" s="1"/>
  <c r="P111" i="15" s="1"/>
  <c r="P112" i="15" s="1"/>
  <c r="P113" i="15" s="1"/>
  <c r="P114" i="15" s="1"/>
  <c r="P115" i="15" s="1"/>
  <c r="P116" i="15" s="1"/>
  <c r="P117" i="15" s="1"/>
  <c r="P118" i="15" s="1"/>
  <c r="P119" i="15" s="1"/>
  <c r="P120" i="15" s="1"/>
  <c r="P121" i="15" s="1"/>
  <c r="P122" i="15" s="1"/>
  <c r="P123" i="15" s="1"/>
  <c r="P124" i="15" s="1"/>
  <c r="P125" i="15" s="1"/>
  <c r="P126" i="15" s="1"/>
  <c r="P127" i="15" s="1"/>
  <c r="P128" i="15" s="1"/>
  <c r="P129" i="15" s="1"/>
  <c r="P130" i="15" s="1"/>
  <c r="P131" i="15" s="1"/>
  <c r="P132" i="15" s="1"/>
  <c r="P133" i="15" s="1"/>
  <c r="P134" i="15" s="1"/>
  <c r="P135" i="15" s="1"/>
  <c r="P136" i="15" s="1"/>
  <c r="P137" i="15" s="1"/>
  <c r="P138" i="15" s="1"/>
  <c r="P139" i="15" s="1"/>
  <c r="P140" i="15" s="1"/>
  <c r="P141" i="15" s="1"/>
  <c r="P142" i="15" s="1"/>
  <c r="P143" i="15" s="1"/>
  <c r="P144" i="15" s="1"/>
  <c r="P145" i="15" s="1"/>
  <c r="P146" i="15" s="1"/>
  <c r="P147" i="15" s="1"/>
  <c r="P148" i="15" s="1"/>
  <c r="P149" i="15" s="1"/>
  <c r="P150" i="15" s="1"/>
  <c r="P151" i="15" s="1"/>
  <c r="P152" i="15" s="1"/>
  <c r="P153" i="15" s="1"/>
  <c r="P154" i="15" s="1"/>
  <c r="P155" i="15" s="1"/>
  <c r="P156" i="15" s="1"/>
  <c r="P157" i="15" s="1"/>
  <c r="P158" i="15" s="1"/>
  <c r="P159" i="15" s="1"/>
  <c r="P160" i="15" s="1"/>
  <c r="P161" i="15" s="1"/>
  <c r="P162" i="15" s="1"/>
  <c r="P163" i="15" s="1"/>
  <c r="P164" i="15" s="1"/>
  <c r="P165" i="15" s="1"/>
  <c r="P166" i="15" s="1"/>
  <c r="P167" i="15" s="1"/>
  <c r="P168" i="15" s="1"/>
  <c r="P169" i="15" s="1"/>
  <c r="P170" i="15" s="1"/>
  <c r="P171" i="15" s="1"/>
  <c r="P172" i="15" s="1"/>
  <c r="P173" i="15" s="1"/>
  <c r="P174" i="15" s="1"/>
  <c r="P175" i="15" s="1"/>
  <c r="P176" i="15" s="1"/>
  <c r="P177" i="15" s="1"/>
  <c r="P178" i="15" s="1"/>
  <c r="P179" i="15" s="1"/>
  <c r="P180" i="15" s="1"/>
  <c r="P181" i="15" s="1"/>
  <c r="P182" i="15" s="1"/>
  <c r="P183" i="15" s="1"/>
  <c r="P184" i="15" s="1"/>
  <c r="P185" i="15" s="1"/>
  <c r="P186" i="15" s="1"/>
  <c r="P187" i="15" s="1"/>
  <c r="P188" i="15" s="1"/>
  <c r="P189" i="15" s="1"/>
  <c r="P190" i="15" s="1"/>
  <c r="P191" i="15" s="1"/>
  <c r="P192" i="15" s="1"/>
  <c r="P193" i="15" s="1"/>
  <c r="P194" i="15" s="1"/>
  <c r="P195" i="15" s="1"/>
  <c r="P196" i="15" s="1"/>
  <c r="P197" i="15" s="1"/>
  <c r="P198" i="15" s="1"/>
  <c r="P199" i="15" s="1"/>
  <c r="P200" i="15" s="1"/>
  <c r="P201" i="15" s="1"/>
  <c r="P202" i="15" s="1"/>
  <c r="P203" i="15" s="1"/>
  <c r="P204" i="15" s="1"/>
  <c r="P205" i="15" s="1"/>
  <c r="P206" i="15" s="1"/>
  <c r="P207" i="15" s="1"/>
  <c r="P208" i="15" s="1"/>
  <c r="P209" i="15" s="1"/>
  <c r="P210" i="15" s="1"/>
  <c r="P211" i="15" s="1"/>
  <c r="P212" i="15" s="1"/>
  <c r="P213" i="15" s="1"/>
  <c r="P214" i="15" s="1"/>
  <c r="P215" i="15" s="1"/>
  <c r="P216" i="15" s="1"/>
  <c r="P217" i="15" s="1"/>
  <c r="P218" i="15" s="1"/>
  <c r="P219" i="15" s="1"/>
  <c r="P220" i="15" s="1"/>
  <c r="P221" i="15" s="1"/>
  <c r="P222" i="15" s="1"/>
  <c r="P223" i="15" s="1"/>
  <c r="P224" i="15" s="1"/>
  <c r="P225" i="15" s="1"/>
  <c r="P226" i="15" s="1"/>
  <c r="P227" i="15" s="1"/>
  <c r="P228" i="15" s="1"/>
  <c r="P229" i="15" s="1"/>
  <c r="P230" i="15" s="1"/>
  <c r="P231" i="15" s="1"/>
  <c r="P232" i="15" s="1"/>
  <c r="P233" i="15" s="1"/>
  <c r="P234" i="15" s="1"/>
  <c r="P235" i="15" s="1"/>
  <c r="P236" i="15" s="1"/>
  <c r="P237" i="15" s="1"/>
  <c r="P238" i="15" s="1"/>
  <c r="P239" i="15" s="1"/>
  <c r="P240" i="15" s="1"/>
  <c r="P241" i="15" s="1"/>
  <c r="P242" i="15" s="1"/>
  <c r="P243" i="15" s="1"/>
  <c r="P244" i="15" s="1"/>
  <c r="P245" i="15" s="1"/>
  <c r="P246" i="15" s="1"/>
  <c r="P247" i="15" s="1"/>
  <c r="P248" i="15" s="1"/>
  <c r="P249" i="15" s="1"/>
  <c r="P250" i="15" s="1"/>
  <c r="P251" i="15" s="1"/>
  <c r="P252" i="15" s="1"/>
  <c r="P253" i="15" s="1"/>
  <c r="P254" i="15" s="1"/>
  <c r="P255" i="15" s="1"/>
  <c r="P256" i="15" s="1"/>
  <c r="P257" i="15" s="1"/>
  <c r="P258" i="15" s="1"/>
  <c r="P259" i="15" s="1"/>
  <c r="P260" i="15" s="1"/>
  <c r="P261" i="15" s="1"/>
  <c r="P262" i="15" s="1"/>
  <c r="P263" i="15" s="1"/>
  <c r="P264" i="15" s="1"/>
  <c r="P265" i="15" s="1"/>
  <c r="P266" i="15" s="1"/>
  <c r="P267" i="15" s="1"/>
  <c r="P268" i="15" s="1"/>
  <c r="P269" i="15" s="1"/>
  <c r="P270" i="15" s="1"/>
  <c r="P271" i="15" s="1"/>
  <c r="P272" i="15" s="1"/>
  <c r="P273" i="15" s="1"/>
  <c r="P274" i="15" s="1"/>
  <c r="P275" i="15" s="1"/>
  <c r="P276" i="15" s="1"/>
  <c r="P277" i="15" s="1"/>
  <c r="P278" i="15" s="1"/>
  <c r="P279" i="15" s="1"/>
  <c r="P280" i="15" s="1"/>
  <c r="P281" i="15" s="1"/>
  <c r="P282" i="15" s="1"/>
  <c r="P283" i="15" s="1"/>
  <c r="P284" i="15" s="1"/>
  <c r="P285" i="15" s="1"/>
  <c r="P286" i="15" s="1"/>
  <c r="P287" i="15" s="1"/>
  <c r="P288" i="15" s="1"/>
  <c r="P289" i="15" s="1"/>
  <c r="P290" i="15" s="1"/>
  <c r="P291" i="15" s="1"/>
  <c r="P292" i="15" s="1"/>
  <c r="P293" i="15" s="1"/>
  <c r="P294" i="15" s="1"/>
  <c r="P295" i="15" s="1"/>
  <c r="P296" i="15" s="1"/>
  <c r="P297" i="15" s="1"/>
  <c r="P298" i="15" s="1"/>
  <c r="P299" i="15" s="1"/>
  <c r="P300" i="15" s="1"/>
  <c r="P301" i="15" s="1"/>
  <c r="P302" i="15" s="1"/>
  <c r="P303" i="15" s="1"/>
  <c r="P304" i="15" s="1"/>
  <c r="P305" i="15" s="1"/>
  <c r="P306" i="15" s="1"/>
  <c r="P307" i="15" s="1"/>
  <c r="P308" i="15" s="1"/>
  <c r="P309" i="15" s="1"/>
  <c r="P310" i="15" s="1"/>
  <c r="P311" i="15" s="1"/>
  <c r="P312" i="15" s="1"/>
  <c r="P313" i="15" s="1"/>
  <c r="P314" i="15" s="1"/>
  <c r="P315" i="15" s="1"/>
  <c r="P316" i="15" s="1"/>
  <c r="P317" i="15" s="1"/>
  <c r="P318" i="15" s="1"/>
  <c r="P319" i="15" s="1"/>
  <c r="P320" i="15" s="1"/>
  <c r="P321" i="15" s="1"/>
  <c r="P322" i="15" s="1"/>
  <c r="P323" i="15" s="1"/>
  <c r="P324" i="15" s="1"/>
  <c r="P325" i="15" s="1"/>
  <c r="P326" i="15" s="1"/>
  <c r="P327" i="15" s="1"/>
  <c r="P328" i="15" s="1"/>
  <c r="P329" i="15" s="1"/>
  <c r="P330" i="15" s="1"/>
  <c r="P331" i="15" s="1"/>
  <c r="P332" i="15" s="1"/>
  <c r="P333" i="15" s="1"/>
  <c r="P334" i="15" s="1"/>
  <c r="P335" i="15" s="1"/>
  <c r="P336" i="15" s="1"/>
  <c r="P337" i="15" s="1"/>
  <c r="P338" i="15" s="1"/>
  <c r="P339" i="15" s="1"/>
  <c r="P340" i="15" s="1"/>
  <c r="P341" i="15" s="1"/>
  <c r="P342" i="15" s="1"/>
  <c r="P343" i="15" s="1"/>
  <c r="P344" i="15" s="1"/>
  <c r="P345" i="15" s="1"/>
  <c r="P346" i="15" s="1"/>
  <c r="P347" i="15" s="1"/>
  <c r="P348" i="15" s="1"/>
  <c r="P349" i="15" s="1"/>
  <c r="P350" i="15" s="1"/>
  <c r="P351" i="15" s="1"/>
  <c r="P352" i="15" s="1"/>
  <c r="P353" i="15" s="1"/>
  <c r="P354" i="15" s="1"/>
  <c r="P355" i="15" s="1"/>
  <c r="P356" i="15" s="1"/>
  <c r="P357" i="15" s="1"/>
  <c r="P358" i="15" s="1"/>
  <c r="P359" i="15" s="1"/>
  <c r="P360" i="15" s="1"/>
  <c r="P361" i="15" s="1"/>
  <c r="AK112" i="12"/>
  <c r="C112" i="12"/>
  <c r="AM112" i="12"/>
  <c r="D112" i="12"/>
  <c r="AK14" i="12"/>
  <c r="D14" i="12"/>
  <c r="C14" i="12"/>
  <c r="AM14" i="12"/>
  <c r="C90" i="12"/>
  <c r="AM90" i="12"/>
  <c r="AK90" i="12"/>
  <c r="D90" i="12"/>
  <c r="AK81" i="12"/>
  <c r="AM81" i="12"/>
  <c r="D81" i="12"/>
  <c r="C81" i="12"/>
  <c r="D94" i="12"/>
  <c r="C94" i="12"/>
  <c r="AM94" i="12"/>
  <c r="AK94" i="12"/>
  <c r="AM329" i="12"/>
  <c r="D329" i="12"/>
  <c r="C329" i="12"/>
  <c r="AK329" i="12"/>
  <c r="AM15" i="12"/>
  <c r="AK15" i="12"/>
  <c r="C15" i="12"/>
  <c r="D15" i="12"/>
  <c r="AK60" i="12"/>
  <c r="D60" i="12"/>
  <c r="C60" i="12"/>
  <c r="AM60" i="12"/>
  <c r="AK284" i="12"/>
  <c r="AM284" i="12"/>
  <c r="D284" i="12"/>
  <c r="C284" i="12"/>
  <c r="G195" i="12"/>
  <c r="W195" i="12"/>
  <c r="P195" i="12"/>
  <c r="I195" i="12"/>
  <c r="Y195" i="12"/>
  <c r="R195" i="12"/>
  <c r="F195" i="12"/>
  <c r="H195" i="12"/>
  <c r="Q195" i="12"/>
  <c r="Z195" i="12"/>
  <c r="S195" i="12"/>
  <c r="L195" i="12"/>
  <c r="U195" i="12"/>
  <c r="AD195" i="12"/>
  <c r="K195" i="12"/>
  <c r="AA195" i="12"/>
  <c r="T195" i="12"/>
  <c r="M195" i="12"/>
  <c r="AC195" i="12"/>
  <c r="V195" i="12"/>
  <c r="O195" i="12"/>
  <c r="X195" i="12"/>
  <c r="J195" i="12"/>
  <c r="AE195" i="12"/>
  <c r="AB195" i="12"/>
  <c r="N195" i="12"/>
  <c r="O216" i="12"/>
  <c r="H216" i="12"/>
  <c r="X216" i="12"/>
  <c r="Q216" i="12"/>
  <c r="J216" i="12"/>
  <c r="Z216" i="12"/>
  <c r="AE216" i="12"/>
  <c r="S216" i="12"/>
  <c r="L216" i="12"/>
  <c r="AB216" i="12"/>
  <c r="U216" i="12"/>
  <c r="N216" i="12"/>
  <c r="AD216" i="12"/>
  <c r="G216" i="12"/>
  <c r="W216" i="12"/>
  <c r="P216" i="12"/>
  <c r="I216" i="12"/>
  <c r="Y216" i="12"/>
  <c r="R216" i="12"/>
  <c r="F216" i="12"/>
  <c r="M216" i="12"/>
  <c r="K216" i="12"/>
  <c r="AC216" i="12"/>
  <c r="AA216" i="12"/>
  <c r="V216" i="12"/>
  <c r="T216" i="12"/>
  <c r="AE213" i="12"/>
  <c r="S213" i="12"/>
  <c r="L213" i="12"/>
  <c r="AB213" i="12"/>
  <c r="U213" i="12"/>
  <c r="N213" i="12"/>
  <c r="AD213" i="12"/>
  <c r="G213" i="12"/>
  <c r="W213" i="12"/>
  <c r="P213" i="12"/>
  <c r="I213" i="12"/>
  <c r="Y213" i="12"/>
  <c r="R213" i="12"/>
  <c r="F213" i="12"/>
  <c r="K213" i="12"/>
  <c r="AA213" i="12"/>
  <c r="T213" i="12"/>
  <c r="M213" i="12"/>
  <c r="AC213" i="12"/>
  <c r="V213" i="12"/>
  <c r="O213" i="12"/>
  <c r="J213" i="12"/>
  <c r="X213" i="12"/>
  <c r="H213" i="12"/>
  <c r="Z213" i="12"/>
  <c r="Q213" i="12"/>
  <c r="D350" i="12"/>
  <c r="C350" i="12"/>
  <c r="AM350" i="12"/>
  <c r="AK350" i="12"/>
  <c r="R51" i="12"/>
  <c r="G51" i="12"/>
  <c r="W51" i="12"/>
  <c r="P51" i="12"/>
  <c r="I51" i="12"/>
  <c r="Y51" i="12"/>
  <c r="AE51" i="12"/>
  <c r="V51" i="12"/>
  <c r="K51" i="12"/>
  <c r="AA51" i="12"/>
  <c r="T51" i="12"/>
  <c r="M51" i="12"/>
  <c r="AC51" i="12"/>
  <c r="J51" i="12"/>
  <c r="Z51" i="12"/>
  <c r="O51" i="12"/>
  <c r="H51" i="12"/>
  <c r="X51" i="12"/>
  <c r="Q51" i="12"/>
  <c r="F51" i="12"/>
  <c r="S51" i="12"/>
  <c r="AB51" i="12"/>
  <c r="AD51" i="12"/>
  <c r="L51" i="12"/>
  <c r="N51" i="12"/>
  <c r="U51" i="12"/>
  <c r="D70" i="12"/>
  <c r="C70" i="12"/>
  <c r="AM70" i="12"/>
  <c r="AK70" i="12"/>
  <c r="N37" i="12"/>
  <c r="AD37" i="12"/>
  <c r="S37" i="12"/>
  <c r="L37" i="12"/>
  <c r="AB37" i="12"/>
  <c r="U37" i="12"/>
  <c r="V37" i="12"/>
  <c r="T37" i="12"/>
  <c r="AC37" i="12"/>
  <c r="R37" i="12"/>
  <c r="G37" i="12"/>
  <c r="W37" i="12"/>
  <c r="P37" i="12"/>
  <c r="I37" i="12"/>
  <c r="Y37" i="12"/>
  <c r="AE37" i="12"/>
  <c r="K37" i="12"/>
  <c r="AA37" i="12"/>
  <c r="M37" i="12"/>
  <c r="J37" i="12"/>
  <c r="X37" i="12"/>
  <c r="F37" i="12"/>
  <c r="Z37" i="12"/>
  <c r="Q37" i="12"/>
  <c r="O37" i="12"/>
  <c r="H37" i="12"/>
  <c r="AE54" i="12"/>
  <c r="V54" i="12"/>
  <c r="K54" i="12"/>
  <c r="AA54" i="12"/>
  <c r="T54" i="12"/>
  <c r="M54" i="12"/>
  <c r="AC54" i="12"/>
  <c r="N54" i="12"/>
  <c r="L54" i="12"/>
  <c r="U54" i="12"/>
  <c r="R54" i="12"/>
  <c r="W54" i="12"/>
  <c r="I54" i="12"/>
  <c r="J54" i="12"/>
  <c r="Z54" i="12"/>
  <c r="O54" i="12"/>
  <c r="H54" i="12"/>
  <c r="X54" i="12"/>
  <c r="Q54" i="12"/>
  <c r="F54" i="12"/>
  <c r="AD54" i="12"/>
  <c r="S54" i="12"/>
  <c r="AB54" i="12"/>
  <c r="G54" i="12"/>
  <c r="P54" i="12"/>
  <c r="Y54" i="12"/>
  <c r="AK96" i="12"/>
  <c r="D96" i="12"/>
  <c r="C96" i="12"/>
  <c r="AM96" i="12"/>
  <c r="D330" i="12"/>
  <c r="AM330" i="12"/>
  <c r="AK330" i="12"/>
  <c r="C330" i="12"/>
  <c r="D44" i="12"/>
  <c r="C44" i="12"/>
  <c r="AM44" i="12"/>
  <c r="AK44" i="12"/>
  <c r="C223" i="12"/>
  <c r="D223" i="12"/>
  <c r="AM223" i="12"/>
  <c r="AK223" i="12"/>
  <c r="C291" i="12"/>
  <c r="D291" i="12"/>
  <c r="AM291" i="12"/>
  <c r="AK291" i="12"/>
  <c r="AM41" i="12"/>
  <c r="AK41" i="12"/>
  <c r="C41" i="12"/>
  <c r="D41" i="12"/>
  <c r="AK104" i="12"/>
  <c r="D104" i="12"/>
  <c r="C104" i="12"/>
  <c r="AM104" i="12"/>
  <c r="C298" i="12"/>
  <c r="AM298" i="12"/>
  <c r="AK298" i="12"/>
  <c r="D298" i="12"/>
  <c r="AK192" i="12"/>
  <c r="D192" i="12"/>
  <c r="C192" i="12"/>
  <c r="AM192" i="12"/>
  <c r="AM253" i="12"/>
  <c r="AK253" i="12"/>
  <c r="D253" i="12"/>
  <c r="C253" i="12"/>
  <c r="AK167" i="12"/>
  <c r="C167" i="12"/>
  <c r="D167" i="12"/>
  <c r="AM167" i="12"/>
  <c r="AK146" i="12"/>
  <c r="D146" i="12"/>
  <c r="C146" i="12"/>
  <c r="AM146" i="12"/>
  <c r="C136" i="12"/>
  <c r="D136" i="12"/>
  <c r="AM136" i="12"/>
  <c r="AK136" i="12"/>
  <c r="AK17" i="12"/>
  <c r="D17" i="12"/>
  <c r="C17" i="12"/>
  <c r="AM17" i="12"/>
  <c r="H145" i="12"/>
  <c r="X145" i="12"/>
  <c r="U145" i="12"/>
  <c r="R145" i="12"/>
  <c r="K145" i="12"/>
  <c r="AA145" i="12"/>
  <c r="F145" i="12"/>
  <c r="M145" i="12"/>
  <c r="Z145" i="12"/>
  <c r="AC145" i="12"/>
  <c r="L145" i="12"/>
  <c r="I145" i="12"/>
  <c r="Y145" i="12"/>
  <c r="V145" i="12"/>
  <c r="O145" i="12"/>
  <c r="AB145" i="12"/>
  <c r="P145" i="12"/>
  <c r="J145" i="12"/>
  <c r="S145" i="12"/>
  <c r="AE145" i="12"/>
  <c r="G145" i="12"/>
  <c r="AD145" i="12"/>
  <c r="N145" i="12"/>
  <c r="T145" i="12"/>
  <c r="W145" i="12"/>
  <c r="Q145" i="12"/>
  <c r="P134" i="12"/>
  <c r="I134" i="12"/>
  <c r="Y134" i="12"/>
  <c r="R134" i="12"/>
  <c r="G134" i="12"/>
  <c r="W134" i="12"/>
  <c r="AE134" i="12"/>
  <c r="T134" i="12"/>
  <c r="M134" i="12"/>
  <c r="AC134" i="12"/>
  <c r="V134" i="12"/>
  <c r="K134" i="12"/>
  <c r="AA134" i="12"/>
  <c r="H134" i="12"/>
  <c r="X134" i="12"/>
  <c r="Q134" i="12"/>
  <c r="J134" i="12"/>
  <c r="Z134" i="12"/>
  <c r="O134" i="12"/>
  <c r="F134" i="12"/>
  <c r="U134" i="12"/>
  <c r="L134" i="12"/>
  <c r="AB134" i="12"/>
  <c r="S134" i="12"/>
  <c r="N134" i="12"/>
  <c r="AD134" i="12"/>
  <c r="P116" i="12"/>
  <c r="I116" i="12"/>
  <c r="Y116" i="12"/>
  <c r="R116" i="12"/>
  <c r="G116" i="12"/>
  <c r="W116" i="12"/>
  <c r="AE116" i="12"/>
  <c r="T116" i="12"/>
  <c r="M116" i="12"/>
  <c r="AC116" i="12"/>
  <c r="V116" i="12"/>
  <c r="K116" i="12"/>
  <c r="AA116" i="12"/>
  <c r="H116" i="12"/>
  <c r="X116" i="12"/>
  <c r="Q116" i="12"/>
  <c r="J116" i="12"/>
  <c r="Z116" i="12"/>
  <c r="O116" i="12"/>
  <c r="F116" i="12"/>
  <c r="L116" i="12"/>
  <c r="AD116" i="12"/>
  <c r="AB116" i="12"/>
  <c r="S116" i="12"/>
  <c r="U116" i="12"/>
  <c r="N116" i="12"/>
  <c r="AM328" i="12"/>
  <c r="C328" i="12"/>
  <c r="D328" i="12"/>
  <c r="AK328" i="12"/>
  <c r="L337" i="12"/>
  <c r="AB337" i="12"/>
  <c r="Q337" i="12"/>
  <c r="J337" i="12"/>
  <c r="Z337" i="12"/>
  <c r="O337" i="12"/>
  <c r="P337" i="12"/>
  <c r="F337" i="12"/>
  <c r="U337" i="12"/>
  <c r="N337" i="12"/>
  <c r="AD337" i="12"/>
  <c r="S337" i="12"/>
  <c r="AE337" i="12"/>
  <c r="T337" i="12"/>
  <c r="I337" i="12"/>
  <c r="Y337" i="12"/>
  <c r="R337" i="12"/>
  <c r="G337" i="12"/>
  <c r="W337" i="12"/>
  <c r="AC337" i="12"/>
  <c r="H337" i="12"/>
  <c r="V337" i="12"/>
  <c r="X337" i="12"/>
  <c r="K337" i="12"/>
  <c r="M337" i="12"/>
  <c r="AA337" i="12"/>
  <c r="AK161" i="12"/>
  <c r="D161" i="12"/>
  <c r="C161" i="12"/>
  <c r="AM161" i="12"/>
  <c r="D257" i="12"/>
  <c r="C257" i="12"/>
  <c r="AM257" i="12"/>
  <c r="AK257" i="12"/>
  <c r="L338" i="12"/>
  <c r="AB338" i="12"/>
  <c r="U338" i="12"/>
  <c r="J338" i="12"/>
  <c r="Z338" i="12"/>
  <c r="O338" i="12"/>
  <c r="AE338" i="12"/>
  <c r="M338" i="12"/>
  <c r="R338" i="12"/>
  <c r="W338" i="12"/>
  <c r="P338" i="12"/>
  <c r="I338" i="12"/>
  <c r="Y338" i="12"/>
  <c r="N338" i="12"/>
  <c r="AD338" i="12"/>
  <c r="S338" i="12"/>
  <c r="T338" i="12"/>
  <c r="AC338" i="12"/>
  <c r="G338" i="12"/>
  <c r="Q338" i="12"/>
  <c r="AA338" i="12"/>
  <c r="H338" i="12"/>
  <c r="K338" i="12"/>
  <c r="F338" i="12"/>
  <c r="V338" i="12"/>
  <c r="X338" i="12"/>
  <c r="AM87" i="12"/>
  <c r="AK87" i="12"/>
  <c r="C87" i="12"/>
  <c r="D87" i="12"/>
  <c r="AM189" i="12"/>
  <c r="C189" i="12"/>
  <c r="AK189" i="12"/>
  <c r="D189" i="12"/>
  <c r="AM237" i="12"/>
  <c r="AK237" i="12"/>
  <c r="D237" i="12"/>
  <c r="C237" i="12"/>
  <c r="D138" i="12"/>
  <c r="AM138" i="12"/>
  <c r="AK138" i="12"/>
  <c r="C138" i="12"/>
  <c r="D157" i="12"/>
  <c r="C157" i="12"/>
  <c r="AK157" i="12"/>
  <c r="AM157" i="12"/>
  <c r="AM106" i="12"/>
  <c r="AK106" i="12"/>
  <c r="D106" i="12"/>
  <c r="C106" i="12"/>
  <c r="C74" i="12"/>
  <c r="AM74" i="12"/>
  <c r="AK74" i="12"/>
  <c r="D74" i="12"/>
  <c r="AK26" i="12"/>
  <c r="D26" i="12"/>
  <c r="C26" i="12"/>
  <c r="AM26" i="12"/>
  <c r="AK292" i="12"/>
  <c r="D292" i="12"/>
  <c r="C292" i="12"/>
  <c r="AM292" i="12"/>
  <c r="AM278" i="12"/>
  <c r="AK278" i="12"/>
  <c r="D278" i="12"/>
  <c r="C278" i="12"/>
  <c r="AM154" i="12"/>
  <c r="AK154" i="12"/>
  <c r="D154" i="12"/>
  <c r="C154" i="12"/>
  <c r="AM251" i="12"/>
  <c r="C251" i="12"/>
  <c r="D251" i="12"/>
  <c r="AK251" i="12"/>
  <c r="AK315" i="12"/>
  <c r="C315" i="12"/>
  <c r="D315" i="12"/>
  <c r="AM315" i="12"/>
  <c r="C299" i="12"/>
  <c r="D299" i="12"/>
  <c r="AM299" i="12"/>
  <c r="AK299" i="12"/>
  <c r="D169" i="12"/>
  <c r="C169" i="12"/>
  <c r="AM169" i="12"/>
  <c r="AK169" i="12"/>
  <c r="O204" i="12"/>
  <c r="H204" i="12"/>
  <c r="X204" i="12"/>
  <c r="Q204" i="12"/>
  <c r="J204" i="12"/>
  <c r="Z204" i="12"/>
  <c r="G204" i="12"/>
  <c r="W204" i="12"/>
  <c r="I204" i="12"/>
  <c r="R204" i="12"/>
  <c r="AE204" i="12"/>
  <c r="S204" i="12"/>
  <c r="L204" i="12"/>
  <c r="AB204" i="12"/>
  <c r="U204" i="12"/>
  <c r="N204" i="12"/>
  <c r="AD204" i="12"/>
  <c r="P204" i="12"/>
  <c r="Y204" i="12"/>
  <c r="F204" i="12"/>
  <c r="K204" i="12"/>
  <c r="AC204" i="12"/>
  <c r="T204" i="12"/>
  <c r="AA204" i="12"/>
  <c r="V204" i="12"/>
  <c r="M204" i="12"/>
  <c r="O200" i="12"/>
  <c r="H200" i="12"/>
  <c r="X200" i="12"/>
  <c r="Q200" i="12"/>
  <c r="J200" i="12"/>
  <c r="Z200" i="12"/>
  <c r="AE200" i="12"/>
  <c r="S200" i="12"/>
  <c r="L200" i="12"/>
  <c r="AB200" i="12"/>
  <c r="U200" i="12"/>
  <c r="N200" i="12"/>
  <c r="AD200" i="12"/>
  <c r="G200" i="12"/>
  <c r="W200" i="12"/>
  <c r="P200" i="12"/>
  <c r="I200" i="12"/>
  <c r="Y200" i="12"/>
  <c r="R200" i="12"/>
  <c r="F200" i="12"/>
  <c r="AA200" i="12"/>
  <c r="V200" i="12"/>
  <c r="T200" i="12"/>
  <c r="M200" i="12"/>
  <c r="K200" i="12"/>
  <c r="AC200" i="12"/>
  <c r="H85" i="12"/>
  <c r="X85" i="12"/>
  <c r="Q85" i="12"/>
  <c r="J85" i="12"/>
  <c r="Z85" i="12"/>
  <c r="O85" i="12"/>
  <c r="F85" i="12"/>
  <c r="L85" i="12"/>
  <c r="AB85" i="12"/>
  <c r="U85" i="12"/>
  <c r="N85" i="12"/>
  <c r="AD85" i="12"/>
  <c r="S85" i="12"/>
  <c r="P85" i="12"/>
  <c r="I85" i="12"/>
  <c r="Y85" i="12"/>
  <c r="R85" i="12"/>
  <c r="G85" i="12"/>
  <c r="W85" i="12"/>
  <c r="T85" i="12"/>
  <c r="K85" i="12"/>
  <c r="M85" i="12"/>
  <c r="AA85" i="12"/>
  <c r="AC85" i="12"/>
  <c r="V85" i="12"/>
  <c r="AE85" i="12"/>
  <c r="O18" i="12"/>
  <c r="H18" i="12"/>
  <c r="X18" i="12"/>
  <c r="Q18" i="12"/>
  <c r="J18" i="12"/>
  <c r="Z18" i="12"/>
  <c r="AE18" i="12"/>
  <c r="S18" i="12"/>
  <c r="L18" i="12"/>
  <c r="AB18" i="12"/>
  <c r="U18" i="12"/>
  <c r="N18" i="12"/>
  <c r="AD18" i="12"/>
  <c r="G18" i="12"/>
  <c r="W18" i="12"/>
  <c r="P18" i="12"/>
  <c r="I18" i="12"/>
  <c r="Y18" i="12"/>
  <c r="R18" i="12"/>
  <c r="F18" i="12"/>
  <c r="AA18" i="12"/>
  <c r="V18" i="12"/>
  <c r="K18" i="12"/>
  <c r="T18" i="12"/>
  <c r="M18" i="12"/>
  <c r="AC18" i="12"/>
  <c r="AK283" i="12"/>
  <c r="C283" i="12"/>
  <c r="AM283" i="12"/>
  <c r="D283" i="12"/>
  <c r="D181" i="12"/>
  <c r="C181" i="12"/>
  <c r="AM181" i="12"/>
  <c r="AK181" i="12"/>
  <c r="AE227" i="12"/>
  <c r="S227" i="12"/>
  <c r="L227" i="12"/>
  <c r="AB227" i="12"/>
  <c r="U227" i="12"/>
  <c r="N227" i="12"/>
  <c r="AD227" i="12"/>
  <c r="G227" i="12"/>
  <c r="W227" i="12"/>
  <c r="P227" i="12"/>
  <c r="I227" i="12"/>
  <c r="Y227" i="12"/>
  <c r="R227" i="12"/>
  <c r="F227" i="12"/>
  <c r="K227" i="12"/>
  <c r="AA227" i="12"/>
  <c r="T227" i="12"/>
  <c r="M227" i="12"/>
  <c r="AC227" i="12"/>
  <c r="V227" i="12"/>
  <c r="O227" i="12"/>
  <c r="J227" i="12"/>
  <c r="H227" i="12"/>
  <c r="Z227" i="12"/>
  <c r="X227" i="12"/>
  <c r="Q227" i="12"/>
  <c r="AE235" i="12"/>
  <c r="S235" i="12"/>
  <c r="L235" i="12"/>
  <c r="AB235" i="12"/>
  <c r="U235" i="12"/>
  <c r="N235" i="12"/>
  <c r="AD235" i="12"/>
  <c r="G235" i="12"/>
  <c r="W235" i="12"/>
  <c r="P235" i="12"/>
  <c r="I235" i="12"/>
  <c r="Y235" i="12"/>
  <c r="R235" i="12"/>
  <c r="F235" i="12"/>
  <c r="K235" i="12"/>
  <c r="AA235" i="12"/>
  <c r="T235" i="12"/>
  <c r="M235" i="12"/>
  <c r="AC235" i="12"/>
  <c r="V235" i="12"/>
  <c r="Q235" i="12"/>
  <c r="Z235" i="12"/>
  <c r="O235" i="12"/>
  <c r="J235" i="12"/>
  <c r="H235" i="12"/>
  <c r="X235" i="12"/>
  <c r="AE67" i="12"/>
  <c r="T67" i="12"/>
  <c r="M67" i="12"/>
  <c r="AC67" i="12"/>
  <c r="V67" i="12"/>
  <c r="K67" i="12"/>
  <c r="AA67" i="12"/>
  <c r="H67" i="12"/>
  <c r="X67" i="12"/>
  <c r="Q67" i="12"/>
  <c r="J67" i="12"/>
  <c r="Z67" i="12"/>
  <c r="O67" i="12"/>
  <c r="F67" i="12"/>
  <c r="L67" i="12"/>
  <c r="AB67" i="12"/>
  <c r="U67" i="12"/>
  <c r="N67" i="12"/>
  <c r="AD67" i="12"/>
  <c r="S67" i="12"/>
  <c r="P67" i="12"/>
  <c r="G67" i="12"/>
  <c r="Y67" i="12"/>
  <c r="R67" i="12"/>
  <c r="I67" i="12"/>
  <c r="W67" i="12"/>
  <c r="AM56" i="12"/>
  <c r="AK56" i="12"/>
  <c r="D56" i="12"/>
  <c r="C56" i="12"/>
  <c r="AK143" i="12"/>
  <c r="D143" i="12"/>
  <c r="AM143" i="12"/>
  <c r="C143" i="12"/>
  <c r="D108" i="12"/>
  <c r="AM108" i="12"/>
  <c r="C108" i="12"/>
  <c r="AK108" i="12"/>
  <c r="D309" i="12"/>
  <c r="C309" i="12"/>
  <c r="AM309" i="12"/>
  <c r="AK309" i="12"/>
  <c r="C203" i="12"/>
  <c r="D203" i="12"/>
  <c r="AM203" i="12"/>
  <c r="AK203" i="12"/>
  <c r="AK197" i="12"/>
  <c r="C197" i="12"/>
  <c r="AM197" i="12"/>
  <c r="D197" i="12"/>
  <c r="AM199" i="12"/>
  <c r="AK199" i="12"/>
  <c r="C199" i="12"/>
  <c r="D199" i="12"/>
  <c r="C141" i="12"/>
  <c r="AM141" i="12"/>
  <c r="AK141" i="12"/>
  <c r="D141" i="12"/>
  <c r="D178" i="12"/>
  <c r="C178" i="12"/>
  <c r="AM178" i="12"/>
  <c r="AK178" i="12"/>
  <c r="L88" i="12"/>
  <c r="AB88" i="12"/>
  <c r="U88" i="12"/>
  <c r="R88" i="12"/>
  <c r="G88" i="12"/>
  <c r="W88" i="12"/>
  <c r="P88" i="12"/>
  <c r="I88" i="12"/>
  <c r="Y88" i="12"/>
  <c r="V88" i="12"/>
  <c r="K88" i="12"/>
  <c r="AA88" i="12"/>
  <c r="AE88" i="12"/>
  <c r="T88" i="12"/>
  <c r="M88" i="12"/>
  <c r="J88" i="12"/>
  <c r="Z88" i="12"/>
  <c r="O88" i="12"/>
  <c r="AC88" i="12"/>
  <c r="N88" i="12"/>
  <c r="X88" i="12"/>
  <c r="F88" i="12"/>
  <c r="H88" i="12"/>
  <c r="AD88" i="12"/>
  <c r="S88" i="12"/>
  <c r="Q88" i="12"/>
  <c r="AE140" i="12"/>
  <c r="T140" i="12"/>
  <c r="M140" i="12"/>
  <c r="AC140" i="12"/>
  <c r="V140" i="12"/>
  <c r="K140" i="12"/>
  <c r="AA140" i="12"/>
  <c r="U140" i="12"/>
  <c r="AD140" i="12"/>
  <c r="R140" i="12"/>
  <c r="W140" i="12"/>
  <c r="H140" i="12"/>
  <c r="X140" i="12"/>
  <c r="Q140" i="12"/>
  <c r="J140" i="12"/>
  <c r="Z140" i="12"/>
  <c r="O140" i="12"/>
  <c r="F140" i="12"/>
  <c r="L140" i="12"/>
  <c r="AB140" i="12"/>
  <c r="N140" i="12"/>
  <c r="S140" i="12"/>
  <c r="P140" i="12"/>
  <c r="I140" i="12"/>
  <c r="Y140" i="12"/>
  <c r="G140" i="12"/>
  <c r="AE63" i="12"/>
  <c r="T63" i="12"/>
  <c r="M63" i="12"/>
  <c r="AC63" i="12"/>
  <c r="V63" i="12"/>
  <c r="K63" i="12"/>
  <c r="AA63" i="12"/>
  <c r="H63" i="12"/>
  <c r="X63" i="12"/>
  <c r="Q63" i="12"/>
  <c r="J63" i="12"/>
  <c r="Z63" i="12"/>
  <c r="O63" i="12"/>
  <c r="F63" i="12"/>
  <c r="L63" i="12"/>
  <c r="AB63" i="12"/>
  <c r="U63" i="12"/>
  <c r="N63" i="12"/>
  <c r="AD63" i="12"/>
  <c r="S63" i="12"/>
  <c r="P63" i="12"/>
  <c r="G63" i="12"/>
  <c r="Y63" i="12"/>
  <c r="I63" i="12"/>
  <c r="W63" i="12"/>
  <c r="R63" i="12"/>
  <c r="AK219" i="12"/>
  <c r="D219" i="12"/>
  <c r="C219" i="12"/>
  <c r="AM219" i="12"/>
  <c r="AE129" i="12"/>
  <c r="T129" i="12"/>
  <c r="M129" i="12"/>
  <c r="AC129" i="12"/>
  <c r="V129" i="12"/>
  <c r="K129" i="12"/>
  <c r="AA129" i="12"/>
  <c r="H129" i="12"/>
  <c r="X129" i="12"/>
  <c r="Q129" i="12"/>
  <c r="J129" i="12"/>
  <c r="Z129" i="12"/>
  <c r="O129" i="12"/>
  <c r="F129" i="12"/>
  <c r="L129" i="12"/>
  <c r="AB129" i="12"/>
  <c r="U129" i="12"/>
  <c r="N129" i="12"/>
  <c r="AD129" i="12"/>
  <c r="S129" i="12"/>
  <c r="Y129" i="12"/>
  <c r="R129" i="12"/>
  <c r="P129" i="12"/>
  <c r="G129" i="12"/>
  <c r="W129" i="12"/>
  <c r="I129" i="12"/>
  <c r="N357" i="15"/>
  <c r="N272" i="15"/>
  <c r="N67" i="15"/>
  <c r="N89" i="15"/>
  <c r="N194" i="15"/>
  <c r="N226" i="15"/>
  <c r="N58" i="15"/>
  <c r="AE243" i="12"/>
  <c r="S243" i="12"/>
  <c r="L243" i="12"/>
  <c r="AB243" i="12"/>
  <c r="U243" i="12"/>
  <c r="N243" i="12"/>
  <c r="AD243" i="12"/>
  <c r="G243" i="12"/>
  <c r="W243" i="12"/>
  <c r="P243" i="12"/>
  <c r="I243" i="12"/>
  <c r="Y243" i="12"/>
  <c r="R243" i="12"/>
  <c r="F243" i="12"/>
  <c r="K243" i="12"/>
  <c r="T243" i="12"/>
  <c r="AC243" i="12"/>
  <c r="O243" i="12"/>
  <c r="X243" i="12"/>
  <c r="J243" i="12"/>
  <c r="AA243" i="12"/>
  <c r="M243" i="12"/>
  <c r="V243" i="12"/>
  <c r="Z243" i="12"/>
  <c r="H243" i="12"/>
  <c r="Q243" i="12"/>
  <c r="P92" i="12"/>
  <c r="I92" i="12"/>
  <c r="Y92" i="12"/>
  <c r="R92" i="12"/>
  <c r="G92" i="12"/>
  <c r="W92" i="12"/>
  <c r="AE92" i="12"/>
  <c r="T92" i="12"/>
  <c r="M92" i="12"/>
  <c r="AC92" i="12"/>
  <c r="V92" i="12"/>
  <c r="K92" i="12"/>
  <c r="AA92" i="12"/>
  <c r="H92" i="12"/>
  <c r="X92" i="12"/>
  <c r="Q92" i="12"/>
  <c r="J92" i="12"/>
  <c r="Z92" i="12"/>
  <c r="O92" i="12"/>
  <c r="F92" i="12"/>
  <c r="L92" i="12"/>
  <c r="AD92" i="12"/>
  <c r="AB92" i="12"/>
  <c r="S92" i="12"/>
  <c r="U92" i="12"/>
  <c r="N92" i="12"/>
  <c r="K222" i="12"/>
  <c r="AA222" i="12"/>
  <c r="T222" i="12"/>
  <c r="M222" i="12"/>
  <c r="AC222" i="12"/>
  <c r="V222" i="12"/>
  <c r="O222" i="12"/>
  <c r="H222" i="12"/>
  <c r="X222" i="12"/>
  <c r="Q222" i="12"/>
  <c r="J222" i="12"/>
  <c r="Z222" i="12"/>
  <c r="AE222" i="12"/>
  <c r="S222" i="12"/>
  <c r="L222" i="12"/>
  <c r="AB222" i="12"/>
  <c r="U222" i="12"/>
  <c r="N222" i="12"/>
  <c r="AD222" i="12"/>
  <c r="G222" i="12"/>
  <c r="Y222" i="12"/>
  <c r="W222" i="12"/>
  <c r="R222" i="12"/>
  <c r="P222" i="12"/>
  <c r="F222" i="12"/>
  <c r="I222" i="12"/>
  <c r="AM295" i="12"/>
  <c r="AK295" i="12"/>
  <c r="D295" i="12"/>
  <c r="C295" i="12"/>
  <c r="C125" i="12"/>
  <c r="AM125" i="12"/>
  <c r="AK125" i="12"/>
  <c r="D125" i="12"/>
  <c r="AK277" i="12"/>
  <c r="D277" i="12"/>
  <c r="C277" i="12"/>
  <c r="AM277" i="12"/>
  <c r="AK45" i="12"/>
  <c r="D45" i="12"/>
  <c r="C45" i="12"/>
  <c r="AM45" i="12"/>
  <c r="D86" i="12"/>
  <c r="C86" i="12"/>
  <c r="AM86" i="12"/>
  <c r="AK86" i="12"/>
  <c r="AM334" i="12"/>
  <c r="AK334" i="12"/>
  <c r="D334" i="12"/>
  <c r="C334" i="12"/>
  <c r="AK180" i="12"/>
  <c r="C180" i="12"/>
  <c r="AM180" i="12"/>
  <c r="D180" i="12"/>
  <c r="AM100" i="12"/>
  <c r="AK100" i="12"/>
  <c r="D100" i="12"/>
  <c r="C100" i="12"/>
  <c r="AM288" i="12"/>
  <c r="C288" i="12"/>
  <c r="AK288" i="12"/>
  <c r="D288" i="12"/>
  <c r="AM296" i="12"/>
  <c r="D296" i="12"/>
  <c r="C296" i="12"/>
  <c r="AK296" i="12"/>
  <c r="AM225" i="12"/>
  <c r="AK225" i="12"/>
  <c r="D225" i="12"/>
  <c r="C225" i="12"/>
  <c r="AK40" i="12"/>
  <c r="D40" i="12"/>
  <c r="C40" i="12"/>
  <c r="AM40" i="12"/>
  <c r="AE198" i="12"/>
  <c r="S198" i="12"/>
  <c r="L198" i="12"/>
  <c r="AB198" i="12"/>
  <c r="U198" i="12"/>
  <c r="N198" i="12"/>
  <c r="AD198" i="12"/>
  <c r="G198" i="12"/>
  <c r="W198" i="12"/>
  <c r="P198" i="12"/>
  <c r="I198" i="12"/>
  <c r="Y198" i="12"/>
  <c r="R198" i="12"/>
  <c r="F198" i="12"/>
  <c r="K198" i="12"/>
  <c r="AA198" i="12"/>
  <c r="T198" i="12"/>
  <c r="M198" i="12"/>
  <c r="AC198" i="12"/>
  <c r="V198" i="12"/>
  <c r="X198" i="12"/>
  <c r="O198" i="12"/>
  <c r="H198" i="12"/>
  <c r="Q198" i="12"/>
  <c r="J198" i="12"/>
  <c r="Z198" i="12"/>
  <c r="C289" i="12"/>
  <c r="AM289" i="12"/>
  <c r="AK289" i="12"/>
  <c r="D289" i="12"/>
  <c r="AO13" i="12"/>
  <c r="AP13" i="12" s="1"/>
  <c r="AR13" i="12"/>
  <c r="AE95" i="12"/>
  <c r="T95" i="12"/>
  <c r="M95" i="12"/>
  <c r="AC95" i="12"/>
  <c r="V95" i="12"/>
  <c r="K95" i="12"/>
  <c r="AA95" i="12"/>
  <c r="L95" i="12"/>
  <c r="AB95" i="12"/>
  <c r="N95" i="12"/>
  <c r="S95" i="12"/>
  <c r="P95" i="12"/>
  <c r="Y95" i="12"/>
  <c r="G95" i="12"/>
  <c r="H95" i="12"/>
  <c r="X95" i="12"/>
  <c r="Q95" i="12"/>
  <c r="J95" i="12"/>
  <c r="Z95" i="12"/>
  <c r="O95" i="12"/>
  <c r="F95" i="12"/>
  <c r="U95" i="12"/>
  <c r="AD95" i="12"/>
  <c r="I95" i="12"/>
  <c r="R95" i="12"/>
  <c r="W95" i="12"/>
  <c r="H69" i="12"/>
  <c r="X69" i="12"/>
  <c r="Q69" i="12"/>
  <c r="J69" i="12"/>
  <c r="Z69" i="12"/>
  <c r="O69" i="12"/>
  <c r="F69" i="12"/>
  <c r="L69" i="12"/>
  <c r="AB69" i="12"/>
  <c r="U69" i="12"/>
  <c r="N69" i="12"/>
  <c r="AD69" i="12"/>
  <c r="S69" i="12"/>
  <c r="P69" i="12"/>
  <c r="I69" i="12"/>
  <c r="Y69" i="12"/>
  <c r="R69" i="12"/>
  <c r="G69" i="12"/>
  <c r="W69" i="12"/>
  <c r="AC69" i="12"/>
  <c r="AE69" i="12"/>
  <c r="V69" i="12"/>
  <c r="T69" i="12"/>
  <c r="K69" i="12"/>
  <c r="AA69" i="12"/>
  <c r="M69" i="12"/>
  <c r="G153" i="12"/>
  <c r="W153" i="12"/>
  <c r="P153" i="12"/>
  <c r="I153" i="12"/>
  <c r="Y153" i="12"/>
  <c r="R153" i="12"/>
  <c r="F153" i="12"/>
  <c r="K153" i="12"/>
  <c r="AA153" i="12"/>
  <c r="T153" i="12"/>
  <c r="M153" i="12"/>
  <c r="AC153" i="12"/>
  <c r="V153" i="12"/>
  <c r="O153" i="12"/>
  <c r="H153" i="12"/>
  <c r="X153" i="12"/>
  <c r="Q153" i="12"/>
  <c r="J153" i="12"/>
  <c r="Z153" i="12"/>
  <c r="AB153" i="12"/>
  <c r="S153" i="12"/>
  <c r="L153" i="12"/>
  <c r="AE153" i="12"/>
  <c r="U153" i="12"/>
  <c r="N153" i="12"/>
  <c r="AD153" i="12"/>
  <c r="AE124" i="12"/>
  <c r="T124" i="12"/>
  <c r="M124" i="12"/>
  <c r="AC124" i="12"/>
  <c r="V124" i="12"/>
  <c r="K124" i="12"/>
  <c r="AA124" i="12"/>
  <c r="H124" i="12"/>
  <c r="X124" i="12"/>
  <c r="Q124" i="12"/>
  <c r="J124" i="12"/>
  <c r="Z124" i="12"/>
  <c r="O124" i="12"/>
  <c r="F124" i="12"/>
  <c r="L124" i="12"/>
  <c r="AB124" i="12"/>
  <c r="U124" i="12"/>
  <c r="N124" i="12"/>
  <c r="AD124" i="12"/>
  <c r="S124" i="12"/>
  <c r="R124" i="12"/>
  <c r="P124" i="12"/>
  <c r="G124" i="12"/>
  <c r="I124" i="12"/>
  <c r="W124" i="12"/>
  <c r="Y124" i="12"/>
  <c r="AM344" i="12"/>
  <c r="D344" i="12"/>
  <c r="C344" i="12"/>
  <c r="AK344" i="12"/>
  <c r="C193" i="12"/>
  <c r="AM193" i="12"/>
  <c r="AK193" i="12"/>
  <c r="D193" i="12"/>
  <c r="G148" i="12"/>
  <c r="W148" i="12"/>
  <c r="P148" i="12"/>
  <c r="I148" i="12"/>
  <c r="Y148" i="12"/>
  <c r="R148" i="12"/>
  <c r="F148" i="12"/>
  <c r="K148" i="12"/>
  <c r="AA148" i="12"/>
  <c r="T148" i="12"/>
  <c r="M148" i="12"/>
  <c r="AC148" i="12"/>
  <c r="V148" i="12"/>
  <c r="O148" i="12"/>
  <c r="H148" i="12"/>
  <c r="X148" i="12"/>
  <c r="Q148" i="12"/>
  <c r="J148" i="12"/>
  <c r="Z148" i="12"/>
  <c r="S148" i="12"/>
  <c r="N148" i="12"/>
  <c r="AE148" i="12"/>
  <c r="L148" i="12"/>
  <c r="AD148" i="12"/>
  <c r="AB148" i="12"/>
  <c r="U148" i="12"/>
  <c r="K307" i="12"/>
  <c r="AA307" i="12"/>
  <c r="T307" i="12"/>
  <c r="M307" i="12"/>
  <c r="AC307" i="12"/>
  <c r="V307" i="12"/>
  <c r="O307" i="12"/>
  <c r="H307" i="12"/>
  <c r="X307" i="12"/>
  <c r="Q307" i="12"/>
  <c r="J307" i="12"/>
  <c r="Z307" i="12"/>
  <c r="AE307" i="12"/>
  <c r="L307" i="12"/>
  <c r="U307" i="12"/>
  <c r="AD307" i="12"/>
  <c r="G307" i="12"/>
  <c r="P307" i="12"/>
  <c r="Y307" i="12"/>
  <c r="F307" i="12"/>
  <c r="S307" i="12"/>
  <c r="AB307" i="12"/>
  <c r="N307" i="12"/>
  <c r="I307" i="12"/>
  <c r="W307" i="12"/>
  <c r="R307" i="12"/>
  <c r="AK62" i="12"/>
  <c r="D62" i="12"/>
  <c r="C62" i="12"/>
  <c r="AM62" i="12"/>
  <c r="D25" i="12"/>
  <c r="C25" i="12"/>
  <c r="AM25" i="12"/>
  <c r="AK25" i="12"/>
  <c r="D252" i="12"/>
  <c r="C252" i="12"/>
  <c r="AM252" i="12"/>
  <c r="AK252" i="12"/>
  <c r="C163" i="12"/>
  <c r="D163" i="12"/>
  <c r="AM163" i="12"/>
  <c r="AK163" i="12"/>
  <c r="AM202" i="12"/>
  <c r="AK202" i="12"/>
  <c r="D202" i="12"/>
  <c r="C202" i="12"/>
  <c r="C347" i="12"/>
  <c r="D347" i="12"/>
  <c r="AM347" i="12"/>
  <c r="AK347" i="12"/>
  <c r="AM123" i="12"/>
  <c r="AK123" i="12"/>
  <c r="C123" i="12"/>
  <c r="D123" i="12"/>
  <c r="AE356" i="12"/>
  <c r="T356" i="12"/>
  <c r="M356" i="12"/>
  <c r="AC356" i="12"/>
  <c r="V356" i="12"/>
  <c r="K356" i="12"/>
  <c r="AA356" i="12"/>
  <c r="H356" i="12"/>
  <c r="X356" i="12"/>
  <c r="Q356" i="12"/>
  <c r="J356" i="12"/>
  <c r="Z356" i="12"/>
  <c r="O356" i="12"/>
  <c r="F356" i="12"/>
  <c r="L356" i="12"/>
  <c r="AB356" i="12"/>
  <c r="U356" i="12"/>
  <c r="N356" i="12"/>
  <c r="AD356" i="12"/>
  <c r="S356" i="12"/>
  <c r="I356" i="12"/>
  <c r="W356" i="12"/>
  <c r="Y356" i="12"/>
  <c r="R356" i="12"/>
  <c r="G356" i="12"/>
  <c r="P356" i="12"/>
  <c r="AE111" i="12"/>
  <c r="T111" i="12"/>
  <c r="M111" i="12"/>
  <c r="AC111" i="12"/>
  <c r="V111" i="12"/>
  <c r="K111" i="12"/>
  <c r="AA111" i="12"/>
  <c r="H111" i="12"/>
  <c r="X111" i="12"/>
  <c r="Q111" i="12"/>
  <c r="J111" i="12"/>
  <c r="Z111" i="12"/>
  <c r="O111" i="12"/>
  <c r="F111" i="12"/>
  <c r="AB111" i="12"/>
  <c r="N111" i="12"/>
  <c r="S111" i="12"/>
  <c r="I111" i="12"/>
  <c r="R111" i="12"/>
  <c r="W111" i="12"/>
  <c r="L111" i="12"/>
  <c r="U111" i="12"/>
  <c r="AD111" i="12"/>
  <c r="Y111" i="12"/>
  <c r="P111" i="12"/>
  <c r="G111" i="12"/>
  <c r="AK238" i="12"/>
  <c r="C238" i="12"/>
  <c r="AM238" i="12"/>
  <c r="D238" i="12"/>
  <c r="K209" i="12"/>
  <c r="AA209" i="12"/>
  <c r="T209" i="12"/>
  <c r="M209" i="12"/>
  <c r="AC209" i="12"/>
  <c r="V209" i="12"/>
  <c r="O209" i="12"/>
  <c r="H209" i="12"/>
  <c r="X209" i="12"/>
  <c r="Q209" i="12"/>
  <c r="J209" i="12"/>
  <c r="Z209" i="12"/>
  <c r="AE209" i="12"/>
  <c r="S209" i="12"/>
  <c r="L209" i="12"/>
  <c r="AB209" i="12"/>
  <c r="U209" i="12"/>
  <c r="N209" i="12"/>
  <c r="AD209" i="12"/>
  <c r="I209" i="12"/>
  <c r="R209" i="12"/>
  <c r="F209" i="12"/>
  <c r="G209" i="12"/>
  <c r="Y209" i="12"/>
  <c r="W209" i="12"/>
  <c r="P209" i="12"/>
  <c r="D305" i="12"/>
  <c r="C305" i="12"/>
  <c r="AM305" i="12"/>
  <c r="AK305" i="12"/>
  <c r="AK165" i="12"/>
  <c r="D165" i="12"/>
  <c r="C165" i="12"/>
  <c r="AM165" i="12"/>
  <c r="G281" i="12"/>
  <c r="W281" i="12"/>
  <c r="P281" i="12"/>
  <c r="I281" i="12"/>
  <c r="Y281" i="12"/>
  <c r="R281" i="12"/>
  <c r="F281" i="12"/>
  <c r="K281" i="12"/>
  <c r="AA281" i="12"/>
  <c r="T281" i="12"/>
  <c r="M281" i="12"/>
  <c r="AC281" i="12"/>
  <c r="V281" i="12"/>
  <c r="O281" i="12"/>
  <c r="H281" i="12"/>
  <c r="X281" i="12"/>
  <c r="Q281" i="12"/>
  <c r="J281" i="12"/>
  <c r="Z281" i="12"/>
  <c r="S281" i="12"/>
  <c r="N281" i="12"/>
  <c r="AE281" i="12"/>
  <c r="L281" i="12"/>
  <c r="AD281" i="12"/>
  <c r="AB281" i="12"/>
  <c r="U281" i="12"/>
  <c r="H348" i="12"/>
  <c r="X348" i="12"/>
  <c r="Q348" i="12"/>
  <c r="J348" i="12"/>
  <c r="Z348" i="12"/>
  <c r="O348" i="12"/>
  <c r="F348" i="12"/>
  <c r="L348" i="12"/>
  <c r="AB348" i="12"/>
  <c r="U348" i="12"/>
  <c r="N348" i="12"/>
  <c r="AD348" i="12"/>
  <c r="S348" i="12"/>
  <c r="P348" i="12"/>
  <c r="I348" i="12"/>
  <c r="Y348" i="12"/>
  <c r="R348" i="12"/>
  <c r="G348" i="12"/>
  <c r="W348" i="12"/>
  <c r="M348" i="12"/>
  <c r="AA348" i="12"/>
  <c r="AC348" i="12"/>
  <c r="AE348" i="12"/>
  <c r="V348" i="12"/>
  <c r="K348" i="12"/>
  <c r="T348" i="12"/>
  <c r="AM93" i="12"/>
  <c r="AK93" i="12"/>
  <c r="D93" i="12"/>
  <c r="C93" i="12"/>
  <c r="D201" i="12"/>
  <c r="C201" i="12"/>
  <c r="AM201" i="12"/>
  <c r="AK201" i="12"/>
  <c r="D349" i="12"/>
  <c r="C349" i="12"/>
  <c r="AK349" i="12"/>
  <c r="AM349" i="12"/>
  <c r="AM250" i="12"/>
  <c r="AK250" i="12"/>
  <c r="D250" i="12"/>
  <c r="C250" i="12"/>
  <c r="AK170" i="12"/>
  <c r="D170" i="12"/>
  <c r="AM170" i="12"/>
  <c r="C170" i="12"/>
  <c r="AK244" i="12"/>
  <c r="D244" i="12"/>
  <c r="C244" i="12"/>
  <c r="AM244" i="12"/>
  <c r="AK275" i="12"/>
  <c r="C275" i="12"/>
  <c r="D275" i="12"/>
  <c r="AM275" i="12"/>
  <c r="AK319" i="12"/>
  <c r="C319" i="12"/>
  <c r="D319" i="12"/>
  <c r="AM319" i="12"/>
  <c r="D29" i="12"/>
  <c r="C29" i="12"/>
  <c r="AK29" i="12"/>
  <c r="AM29" i="12"/>
  <c r="AK353" i="12"/>
  <c r="D353" i="12"/>
  <c r="AM353" i="12"/>
  <c r="C353" i="12"/>
  <c r="C183" i="12"/>
  <c r="D183" i="12"/>
  <c r="AK183" i="12"/>
  <c r="AM183" i="12"/>
  <c r="C194" i="12"/>
  <c r="AM194" i="12"/>
  <c r="AK194" i="12"/>
  <c r="D194" i="12"/>
  <c r="K316" i="12"/>
  <c r="P316" i="12"/>
  <c r="J316" i="12"/>
  <c r="Q316" i="12"/>
  <c r="Y316" i="12"/>
  <c r="AD316" i="12"/>
  <c r="O316" i="12"/>
  <c r="T316" i="12"/>
  <c r="N316" i="12"/>
  <c r="X316" i="12"/>
  <c r="AC316" i="12"/>
  <c r="W316" i="12"/>
  <c r="AE316" i="12"/>
  <c r="H316" i="12"/>
  <c r="I316" i="12"/>
  <c r="R316" i="12"/>
  <c r="AB316" i="12"/>
  <c r="U316" i="12"/>
  <c r="AA316" i="12"/>
  <c r="M316" i="12"/>
  <c r="F316" i="12"/>
  <c r="S316" i="12"/>
  <c r="Z316" i="12"/>
  <c r="V316" i="12"/>
  <c r="G316" i="12"/>
  <c r="L316" i="12"/>
  <c r="L131" i="12"/>
  <c r="AB131" i="12"/>
  <c r="U131" i="12"/>
  <c r="N131" i="12"/>
  <c r="AD131" i="12"/>
  <c r="S131" i="12"/>
  <c r="AE131" i="12"/>
  <c r="M131" i="12"/>
  <c r="V131" i="12"/>
  <c r="AA131" i="12"/>
  <c r="P131" i="12"/>
  <c r="I131" i="12"/>
  <c r="Y131" i="12"/>
  <c r="R131" i="12"/>
  <c r="G131" i="12"/>
  <c r="W131" i="12"/>
  <c r="T131" i="12"/>
  <c r="AC131" i="12"/>
  <c r="K131" i="12"/>
  <c r="J131" i="12"/>
  <c r="O131" i="12"/>
  <c r="F131" i="12"/>
  <c r="H131" i="12"/>
  <c r="Z131" i="12"/>
  <c r="X131" i="12"/>
  <c r="Q131" i="12"/>
  <c r="D130" i="12"/>
  <c r="C130" i="12"/>
  <c r="AM130" i="12"/>
  <c r="AK130" i="12"/>
  <c r="AE164" i="12"/>
  <c r="S164" i="12"/>
  <c r="L164" i="12"/>
  <c r="AB164" i="12"/>
  <c r="U164" i="12"/>
  <c r="N164" i="12"/>
  <c r="AD164" i="12"/>
  <c r="AA164" i="12"/>
  <c r="M164" i="12"/>
  <c r="V164" i="12"/>
  <c r="O164" i="12"/>
  <c r="X164" i="12"/>
  <c r="J164" i="12"/>
  <c r="G164" i="12"/>
  <c r="W164" i="12"/>
  <c r="P164" i="12"/>
  <c r="I164" i="12"/>
  <c r="Y164" i="12"/>
  <c r="R164" i="12"/>
  <c r="F164" i="12"/>
  <c r="K164" i="12"/>
  <c r="T164" i="12"/>
  <c r="AC164" i="12"/>
  <c r="H164" i="12"/>
  <c r="Q164" i="12"/>
  <c r="Z164" i="12"/>
  <c r="AK258" i="12"/>
  <c r="AM258" i="12"/>
  <c r="D258" i="12"/>
  <c r="C258" i="12"/>
  <c r="AE126" i="12"/>
  <c r="T126" i="12"/>
  <c r="M126" i="12"/>
  <c r="AC126" i="12"/>
  <c r="V126" i="12"/>
  <c r="K126" i="12"/>
  <c r="AA126" i="12"/>
  <c r="H126" i="12"/>
  <c r="X126" i="12"/>
  <c r="Q126" i="12"/>
  <c r="J126" i="12"/>
  <c r="Z126" i="12"/>
  <c r="O126" i="12"/>
  <c r="F126" i="12"/>
  <c r="L126" i="12"/>
  <c r="AB126" i="12"/>
  <c r="U126" i="12"/>
  <c r="N126" i="12"/>
  <c r="AD126" i="12"/>
  <c r="S126" i="12"/>
  <c r="P126" i="12"/>
  <c r="G126" i="12"/>
  <c r="I126" i="12"/>
  <c r="W126" i="12"/>
  <c r="Y126" i="12"/>
  <c r="R126" i="12"/>
  <c r="D187" i="12"/>
  <c r="AM187" i="12"/>
  <c r="AK187" i="12"/>
  <c r="C187" i="12"/>
  <c r="AK76" i="12"/>
  <c r="C76" i="12"/>
  <c r="AM76" i="12"/>
  <c r="D76" i="12"/>
  <c r="D264" i="12"/>
  <c r="C264" i="12"/>
  <c r="AK264" i="12"/>
  <c r="AM264" i="12"/>
  <c r="H105" i="12"/>
  <c r="X105" i="12"/>
  <c r="Q105" i="12"/>
  <c r="J105" i="12"/>
  <c r="Z105" i="12"/>
  <c r="O105" i="12"/>
  <c r="F105" i="12"/>
  <c r="P105" i="12"/>
  <c r="Y105" i="12"/>
  <c r="R105" i="12"/>
  <c r="W105" i="12"/>
  <c r="L105" i="12"/>
  <c r="AB105" i="12"/>
  <c r="U105" i="12"/>
  <c r="N105" i="12"/>
  <c r="AD105" i="12"/>
  <c r="S105" i="12"/>
  <c r="I105" i="12"/>
  <c r="G105" i="12"/>
  <c r="M105" i="12"/>
  <c r="AA105" i="12"/>
  <c r="V105" i="12"/>
  <c r="AC105" i="12"/>
  <c r="AE105" i="12"/>
  <c r="T105" i="12"/>
  <c r="K105" i="12"/>
  <c r="AK327" i="12"/>
  <c r="C327" i="12"/>
  <c r="AM327" i="12"/>
  <c r="D327" i="12"/>
  <c r="AM336" i="12"/>
  <c r="D336" i="12"/>
  <c r="C336" i="12"/>
  <c r="AK336" i="12"/>
  <c r="D114" i="12"/>
  <c r="C114" i="12"/>
  <c r="AM114" i="12"/>
  <c r="AK114" i="12"/>
  <c r="AK259" i="12"/>
  <c r="C259" i="12"/>
  <c r="AM259" i="12"/>
  <c r="D259" i="12"/>
  <c r="AK231" i="12"/>
  <c r="C231" i="12"/>
  <c r="D231" i="12"/>
  <c r="AM231" i="12"/>
  <c r="D224" i="12"/>
  <c r="C224" i="12"/>
  <c r="AM224" i="12"/>
  <c r="AK224" i="12"/>
  <c r="AK304" i="12"/>
  <c r="AM304" i="12"/>
  <c r="D304" i="12"/>
  <c r="C304" i="12"/>
  <c r="AK242" i="12"/>
  <c r="C242" i="12"/>
  <c r="D242" i="12"/>
  <c r="AM242" i="12"/>
  <c r="AK322" i="12"/>
  <c r="D322" i="12"/>
  <c r="C322" i="12"/>
  <c r="AM322" i="12"/>
  <c r="D109" i="12"/>
  <c r="AM109" i="12"/>
  <c r="AK109" i="12"/>
  <c r="C109" i="12"/>
  <c r="AK173" i="12"/>
  <c r="C173" i="12"/>
  <c r="AM173" i="12"/>
  <c r="D173" i="12"/>
  <c r="D55" i="12"/>
  <c r="AM55" i="12"/>
  <c r="AK55" i="12"/>
  <c r="C55" i="12"/>
  <c r="AK73" i="12"/>
  <c r="D73" i="12"/>
  <c r="C73" i="12"/>
  <c r="AM73" i="12"/>
  <c r="C75" i="12"/>
  <c r="D75" i="12"/>
  <c r="AM75" i="12"/>
  <c r="AK75" i="12"/>
  <c r="D98" i="12"/>
  <c r="C98" i="12"/>
  <c r="AM98" i="12"/>
  <c r="AK98" i="12"/>
  <c r="K21" i="12"/>
  <c r="AA21" i="12"/>
  <c r="T21" i="12"/>
  <c r="M21" i="12"/>
  <c r="AC21" i="12"/>
  <c r="V21" i="12"/>
  <c r="O21" i="12"/>
  <c r="H21" i="12"/>
  <c r="X21" i="12"/>
  <c r="Q21" i="12"/>
  <c r="J21" i="12"/>
  <c r="Z21" i="12"/>
  <c r="AE21" i="12"/>
  <c r="S21" i="12"/>
  <c r="L21" i="12"/>
  <c r="AB21" i="12"/>
  <c r="U21" i="12"/>
  <c r="N21" i="12"/>
  <c r="AD21" i="12"/>
  <c r="W21" i="12"/>
  <c r="R21" i="12"/>
  <c r="Y21" i="12"/>
  <c r="P21" i="12"/>
  <c r="F21" i="12"/>
  <c r="I21" i="12"/>
  <c r="G21" i="12"/>
  <c r="G274" i="12"/>
  <c r="W274" i="12"/>
  <c r="P274" i="12"/>
  <c r="I274" i="12"/>
  <c r="Y274" i="12"/>
  <c r="R274" i="12"/>
  <c r="F274" i="12"/>
  <c r="H274" i="12"/>
  <c r="Q274" i="12"/>
  <c r="Z274" i="12"/>
  <c r="AE274" i="12"/>
  <c r="L274" i="12"/>
  <c r="U274" i="12"/>
  <c r="AD274" i="12"/>
  <c r="K274" i="12"/>
  <c r="AA274" i="12"/>
  <c r="T274" i="12"/>
  <c r="M274" i="12"/>
  <c r="AC274" i="12"/>
  <c r="V274" i="12"/>
  <c r="O274" i="12"/>
  <c r="X274" i="12"/>
  <c r="J274" i="12"/>
  <c r="S274" i="12"/>
  <c r="AB274" i="12"/>
  <c r="N274" i="12"/>
  <c r="AE49" i="12"/>
  <c r="V49" i="12"/>
  <c r="K49" i="12"/>
  <c r="AA49" i="12"/>
  <c r="T49" i="12"/>
  <c r="M49" i="12"/>
  <c r="AC49" i="12"/>
  <c r="S49" i="12"/>
  <c r="AB49" i="12"/>
  <c r="J49" i="12"/>
  <c r="Z49" i="12"/>
  <c r="O49" i="12"/>
  <c r="H49" i="12"/>
  <c r="X49" i="12"/>
  <c r="Q49" i="12"/>
  <c r="F49" i="12"/>
  <c r="N49" i="12"/>
  <c r="AD49" i="12"/>
  <c r="L49" i="12"/>
  <c r="U49" i="12"/>
  <c r="G49" i="12"/>
  <c r="Y49" i="12"/>
  <c r="I49" i="12"/>
  <c r="W49" i="12"/>
  <c r="P49" i="12"/>
  <c r="R49" i="12"/>
  <c r="N227" i="15"/>
  <c r="N66" i="15"/>
  <c r="N334" i="15"/>
  <c r="N207" i="15"/>
  <c r="N215" i="15"/>
  <c r="N21" i="15"/>
  <c r="AM358" i="12"/>
  <c r="AK358" i="12"/>
  <c r="D358" i="12"/>
  <c r="C358" i="12"/>
  <c r="D300" i="12"/>
  <c r="C300" i="12"/>
  <c r="AM300" i="12"/>
  <c r="AK300" i="12"/>
  <c r="D247" i="12"/>
  <c r="AM247" i="12"/>
  <c r="AK247" i="12"/>
  <c r="C247" i="12"/>
  <c r="D215" i="12"/>
  <c r="AM215" i="12"/>
  <c r="AK215" i="12"/>
  <c r="C215" i="12"/>
  <c r="D357" i="12"/>
  <c r="C357" i="12"/>
  <c r="AK357" i="12"/>
  <c r="AM357" i="12"/>
  <c r="AK221" i="12"/>
  <c r="D221" i="12"/>
  <c r="AM221" i="12"/>
  <c r="C221" i="12"/>
  <c r="AK273" i="12"/>
  <c r="D273" i="12"/>
  <c r="C273" i="12"/>
  <c r="AM273" i="12"/>
  <c r="K31" i="12"/>
  <c r="AA31" i="12"/>
  <c r="T31" i="12"/>
  <c r="U31" i="12"/>
  <c r="R31" i="12"/>
  <c r="X31" i="12"/>
  <c r="O31" i="12"/>
  <c r="H31" i="12"/>
  <c r="I31" i="12"/>
  <c r="Y31" i="12"/>
  <c r="V31" i="12"/>
  <c r="AB31" i="12"/>
  <c r="S31" i="12"/>
  <c r="M31" i="12"/>
  <c r="Z31" i="12"/>
  <c r="W31" i="12"/>
  <c r="Q31" i="12"/>
  <c r="AD31" i="12"/>
  <c r="AE31" i="12"/>
  <c r="L31" i="12"/>
  <c r="J31" i="12"/>
  <c r="AC31" i="12"/>
  <c r="G31" i="12"/>
  <c r="N31" i="12"/>
  <c r="P31" i="12"/>
  <c r="F31" i="12"/>
  <c r="O276" i="12"/>
  <c r="H276" i="12"/>
  <c r="X276" i="12"/>
  <c r="Q276" i="12"/>
  <c r="J276" i="12"/>
  <c r="Z276" i="12"/>
  <c r="W276" i="12"/>
  <c r="Y276" i="12"/>
  <c r="F276" i="12"/>
  <c r="AE276" i="12"/>
  <c r="S276" i="12"/>
  <c r="L276" i="12"/>
  <c r="AB276" i="12"/>
  <c r="U276" i="12"/>
  <c r="N276" i="12"/>
  <c r="AD276" i="12"/>
  <c r="G276" i="12"/>
  <c r="P276" i="12"/>
  <c r="I276" i="12"/>
  <c r="R276" i="12"/>
  <c r="T276" i="12"/>
  <c r="AA276" i="12"/>
  <c r="M276" i="12"/>
  <c r="K276" i="12"/>
  <c r="AC276" i="12"/>
  <c r="V276" i="12"/>
  <c r="AE248" i="12"/>
  <c r="S248" i="12"/>
  <c r="L248" i="12"/>
  <c r="AB248" i="12"/>
  <c r="U248" i="12"/>
  <c r="N248" i="12"/>
  <c r="AD248" i="12"/>
  <c r="K248" i="12"/>
  <c r="M248" i="12"/>
  <c r="V248" i="12"/>
  <c r="O248" i="12"/>
  <c r="H248" i="12"/>
  <c r="J248" i="12"/>
  <c r="G248" i="12"/>
  <c r="W248" i="12"/>
  <c r="P248" i="12"/>
  <c r="I248" i="12"/>
  <c r="Y248" i="12"/>
  <c r="R248" i="12"/>
  <c r="F248" i="12"/>
  <c r="AA248" i="12"/>
  <c r="T248" i="12"/>
  <c r="AC248" i="12"/>
  <c r="X248" i="12"/>
  <c r="Q248" i="12"/>
  <c r="Z248" i="12"/>
  <c r="G210" i="12"/>
  <c r="W210" i="12"/>
  <c r="P210" i="12"/>
  <c r="I210" i="12"/>
  <c r="Y210" i="12"/>
  <c r="R210" i="12"/>
  <c r="F210" i="12"/>
  <c r="O210" i="12"/>
  <c r="X210" i="12"/>
  <c r="Z210" i="12"/>
  <c r="K210" i="12"/>
  <c r="AA210" i="12"/>
  <c r="T210" i="12"/>
  <c r="M210" i="12"/>
  <c r="AC210" i="12"/>
  <c r="V210" i="12"/>
  <c r="H210" i="12"/>
  <c r="Q210" i="12"/>
  <c r="J210" i="12"/>
  <c r="L210" i="12"/>
  <c r="AD210" i="12"/>
  <c r="AE210" i="12"/>
  <c r="N210" i="12"/>
  <c r="AB210" i="12"/>
  <c r="U210" i="12"/>
  <c r="S210" i="12"/>
  <c r="D19" i="12"/>
  <c r="AM19" i="12"/>
  <c r="AK19" i="12"/>
  <c r="C19" i="12"/>
  <c r="AM343" i="12"/>
  <c r="AK343" i="12"/>
  <c r="C343" i="12"/>
  <c r="D343" i="12"/>
  <c r="D301" i="12"/>
  <c r="AM301" i="12"/>
  <c r="AK301" i="12"/>
  <c r="C301" i="12"/>
  <c r="AK293" i="12"/>
  <c r="D293" i="12"/>
  <c r="C293" i="12"/>
  <c r="AM293" i="12"/>
  <c r="D168" i="12"/>
  <c r="C168" i="12"/>
  <c r="AM168" i="12"/>
  <c r="AK168" i="12"/>
  <c r="AM208" i="12"/>
  <c r="AK208" i="12"/>
  <c r="D208" i="12"/>
  <c r="C208" i="12"/>
  <c r="AK71" i="12"/>
  <c r="D71" i="12"/>
  <c r="AM71" i="12"/>
  <c r="C71" i="12"/>
  <c r="D342" i="12"/>
  <c r="C342" i="12"/>
  <c r="AM342" i="12"/>
  <c r="AK342" i="12"/>
  <c r="C306" i="12"/>
  <c r="D306" i="12"/>
  <c r="AM306" i="12"/>
  <c r="AK306" i="12"/>
  <c r="AK229" i="12"/>
  <c r="D229" i="12"/>
  <c r="C229" i="12"/>
  <c r="AM229" i="12"/>
  <c r="D265" i="12"/>
  <c r="AM265" i="12"/>
  <c r="C265" i="12"/>
  <c r="AK265" i="12"/>
  <c r="AM282" i="12"/>
  <c r="AK282" i="12"/>
  <c r="D282" i="12"/>
  <c r="C282" i="12"/>
  <c r="AK314" i="12"/>
  <c r="C314" i="12"/>
  <c r="AM314" i="12"/>
  <c r="D314" i="12"/>
  <c r="AM346" i="12"/>
  <c r="C346" i="12"/>
  <c r="AK346" i="12"/>
  <c r="D346" i="12"/>
  <c r="AM151" i="12"/>
  <c r="AK151" i="12"/>
  <c r="C151" i="12"/>
  <c r="D151" i="12"/>
  <c r="D101" i="12"/>
  <c r="C101" i="12"/>
  <c r="AM101" i="12"/>
  <c r="AK101" i="12"/>
  <c r="AM228" i="12"/>
  <c r="D228" i="12"/>
  <c r="C228" i="12"/>
  <c r="AK228" i="12"/>
  <c r="AM297" i="12"/>
  <c r="AK297" i="12"/>
  <c r="D297" i="12"/>
  <c r="C297" i="12"/>
  <c r="AK34" i="12"/>
  <c r="C34" i="12"/>
  <c r="AM34" i="12"/>
  <c r="D34" i="12"/>
  <c r="K182" i="12"/>
  <c r="AA182" i="12"/>
  <c r="T182" i="12"/>
  <c r="M182" i="12"/>
  <c r="AC182" i="12"/>
  <c r="V182" i="12"/>
  <c r="O182" i="12"/>
  <c r="H182" i="12"/>
  <c r="X182" i="12"/>
  <c r="Q182" i="12"/>
  <c r="J182" i="12"/>
  <c r="Z182" i="12"/>
  <c r="AE182" i="12"/>
  <c r="L182" i="12"/>
  <c r="U182" i="12"/>
  <c r="AD182" i="12"/>
  <c r="G182" i="12"/>
  <c r="P182" i="12"/>
  <c r="Y182" i="12"/>
  <c r="F182" i="12"/>
  <c r="S182" i="12"/>
  <c r="AB182" i="12"/>
  <c r="N182" i="12"/>
  <c r="R182" i="12"/>
  <c r="W182" i="12"/>
  <c r="I182" i="12"/>
  <c r="AE354" i="12"/>
  <c r="T354" i="12"/>
  <c r="M354" i="12"/>
  <c r="AC354" i="12"/>
  <c r="R354" i="12"/>
  <c r="G354" i="12"/>
  <c r="W354" i="12"/>
  <c r="H354" i="12"/>
  <c r="X354" i="12"/>
  <c r="Q354" i="12"/>
  <c r="F354" i="12"/>
  <c r="V354" i="12"/>
  <c r="K354" i="12"/>
  <c r="AA354" i="12"/>
  <c r="L354" i="12"/>
  <c r="AB354" i="12"/>
  <c r="U354" i="12"/>
  <c r="J354" i="12"/>
  <c r="Z354" i="12"/>
  <c r="O354" i="12"/>
  <c r="P354" i="12"/>
  <c r="AD354" i="12"/>
  <c r="Y354" i="12"/>
  <c r="N354" i="12"/>
  <c r="I354" i="12"/>
  <c r="S354" i="12"/>
  <c r="C220" i="12"/>
  <c r="AM220" i="12"/>
  <c r="AK220" i="12"/>
  <c r="D220" i="12"/>
  <c r="H65" i="12"/>
  <c r="X65" i="12"/>
  <c r="Q65" i="12"/>
  <c r="J65" i="12"/>
  <c r="Z65" i="12"/>
  <c r="O65" i="12"/>
  <c r="F65" i="12"/>
  <c r="L65" i="12"/>
  <c r="AB65" i="12"/>
  <c r="U65" i="12"/>
  <c r="N65" i="12"/>
  <c r="AD65" i="12"/>
  <c r="S65" i="12"/>
  <c r="P65" i="12"/>
  <c r="I65" i="12"/>
  <c r="Y65" i="12"/>
  <c r="R65" i="12"/>
  <c r="G65" i="12"/>
  <c r="W65" i="12"/>
  <c r="T65" i="12"/>
  <c r="K65" i="12"/>
  <c r="V65" i="12"/>
  <c r="M65" i="12"/>
  <c r="AA65" i="12"/>
  <c r="AC65" i="12"/>
  <c r="AE65" i="12"/>
  <c r="D324" i="12"/>
  <c r="C324" i="12"/>
  <c r="AK324" i="12"/>
  <c r="AM324" i="12"/>
  <c r="AK172" i="12"/>
  <c r="D172" i="12"/>
  <c r="C172" i="12"/>
  <c r="AM172" i="12"/>
  <c r="O190" i="12"/>
  <c r="H190" i="12"/>
  <c r="X190" i="12"/>
  <c r="Q190" i="12"/>
  <c r="J190" i="12"/>
  <c r="Z190" i="12"/>
  <c r="W190" i="12"/>
  <c r="I190" i="12"/>
  <c r="R190" i="12"/>
  <c r="AE190" i="12"/>
  <c r="S190" i="12"/>
  <c r="L190" i="12"/>
  <c r="AB190" i="12"/>
  <c r="U190" i="12"/>
  <c r="N190" i="12"/>
  <c r="AD190" i="12"/>
  <c r="G190" i="12"/>
  <c r="P190" i="12"/>
  <c r="Y190" i="12"/>
  <c r="F190" i="12"/>
  <c r="AA190" i="12"/>
  <c r="V190" i="12"/>
  <c r="T190" i="12"/>
  <c r="M190" i="12"/>
  <c r="K190" i="12"/>
  <c r="AC190" i="12"/>
  <c r="L142" i="12"/>
  <c r="AB142" i="12"/>
  <c r="U142" i="12"/>
  <c r="N142" i="12"/>
  <c r="AD142" i="12"/>
  <c r="S142" i="12"/>
  <c r="AE142" i="12"/>
  <c r="M142" i="12"/>
  <c r="V142" i="12"/>
  <c r="AA142" i="12"/>
  <c r="X142" i="12"/>
  <c r="J142" i="12"/>
  <c r="O142" i="12"/>
  <c r="P142" i="12"/>
  <c r="I142" i="12"/>
  <c r="Y142" i="12"/>
  <c r="R142" i="12"/>
  <c r="G142" i="12"/>
  <c r="W142" i="12"/>
  <c r="T142" i="12"/>
  <c r="AC142" i="12"/>
  <c r="K142" i="12"/>
  <c r="H142" i="12"/>
  <c r="Q142" i="12"/>
  <c r="Z142" i="12"/>
  <c r="F142" i="12"/>
  <c r="C294" i="12"/>
  <c r="AM294" i="12"/>
  <c r="AK294" i="12"/>
  <c r="D294" i="12"/>
  <c r="K28" i="12"/>
  <c r="AA28" i="12"/>
  <c r="T28" i="12"/>
  <c r="M28" i="12"/>
  <c r="AC28" i="12"/>
  <c r="V28" i="12"/>
  <c r="O28" i="12"/>
  <c r="H28" i="12"/>
  <c r="X28" i="12"/>
  <c r="Q28" i="12"/>
  <c r="J28" i="12"/>
  <c r="Z28" i="12"/>
  <c r="AE28" i="12"/>
  <c r="S28" i="12"/>
  <c r="L28" i="12"/>
  <c r="AB28" i="12"/>
  <c r="U28" i="12"/>
  <c r="N28" i="12"/>
  <c r="AD28" i="12"/>
  <c r="P28" i="12"/>
  <c r="F28" i="12"/>
  <c r="I28" i="12"/>
  <c r="G28" i="12"/>
  <c r="Y28" i="12"/>
  <c r="R28" i="12"/>
  <c r="W28" i="12"/>
  <c r="AE35" i="12"/>
  <c r="V35" i="12"/>
  <c r="K35" i="12"/>
  <c r="AA35" i="12"/>
  <c r="T35" i="12"/>
  <c r="M35" i="12"/>
  <c r="AC35" i="12"/>
  <c r="J35" i="12"/>
  <c r="Z35" i="12"/>
  <c r="O35" i="12"/>
  <c r="H35" i="12"/>
  <c r="X35" i="12"/>
  <c r="Q35" i="12"/>
  <c r="F35" i="12"/>
  <c r="AD35" i="12"/>
  <c r="L35" i="12"/>
  <c r="U35" i="12"/>
  <c r="G35" i="12"/>
  <c r="P35" i="12"/>
  <c r="Y35" i="12"/>
  <c r="N35" i="12"/>
  <c r="S35" i="12"/>
  <c r="AB35" i="12"/>
  <c r="W35" i="12"/>
  <c r="R35" i="12"/>
  <c r="I35" i="12"/>
  <c r="N43" i="12"/>
  <c r="AD43" i="12"/>
  <c r="S43" i="12"/>
  <c r="L43" i="12"/>
  <c r="AB43" i="12"/>
  <c r="U43" i="12"/>
  <c r="R43" i="12"/>
  <c r="G43" i="12"/>
  <c r="W43" i="12"/>
  <c r="P43" i="12"/>
  <c r="I43" i="12"/>
  <c r="Y43" i="12"/>
  <c r="AE43" i="12"/>
  <c r="K43" i="12"/>
  <c r="T43" i="12"/>
  <c r="AC43" i="12"/>
  <c r="J43" i="12"/>
  <c r="O43" i="12"/>
  <c r="X43" i="12"/>
  <c r="F43" i="12"/>
  <c r="V43" i="12"/>
  <c r="AA43" i="12"/>
  <c r="M43" i="12"/>
  <c r="Z43" i="12"/>
  <c r="Q43" i="12"/>
  <c r="H43" i="12"/>
  <c r="C132" i="12"/>
  <c r="AM132" i="12"/>
  <c r="AK132" i="12"/>
  <c r="D132" i="12"/>
  <c r="C89" i="12"/>
  <c r="AK89" i="12"/>
  <c r="AM89" i="12"/>
  <c r="D89" i="12"/>
  <c r="C280" i="12"/>
  <c r="AK280" i="12"/>
  <c r="AM280" i="12"/>
  <c r="D280" i="12"/>
  <c r="K245" i="12"/>
  <c r="AA245" i="12"/>
  <c r="T245" i="12"/>
  <c r="M245" i="12"/>
  <c r="AC245" i="12"/>
  <c r="V245" i="12"/>
  <c r="AE245" i="12"/>
  <c r="L245" i="12"/>
  <c r="U245" i="12"/>
  <c r="AD245" i="12"/>
  <c r="O245" i="12"/>
  <c r="H245" i="12"/>
  <c r="X245" i="12"/>
  <c r="Q245" i="12"/>
  <c r="J245" i="12"/>
  <c r="Z245" i="12"/>
  <c r="S245" i="12"/>
  <c r="AB245" i="12"/>
  <c r="N245" i="12"/>
  <c r="P245" i="12"/>
  <c r="F245" i="12"/>
  <c r="Y245" i="12"/>
  <c r="R245" i="12"/>
  <c r="I245" i="12"/>
  <c r="G245" i="12"/>
  <c r="W245" i="12"/>
  <c r="D16" i="12"/>
  <c r="AM16" i="12"/>
  <c r="AK16" i="12"/>
  <c r="C16" i="12"/>
  <c r="AM272" i="12"/>
  <c r="D272" i="12"/>
  <c r="C272" i="12"/>
  <c r="AK272" i="12"/>
  <c r="AK77" i="12"/>
  <c r="D77" i="12"/>
  <c r="C77" i="12"/>
  <c r="AM77" i="12"/>
  <c r="D64" i="12"/>
  <c r="C64" i="12"/>
  <c r="AK64" i="12"/>
  <c r="AM64" i="12"/>
  <c r="C333" i="12"/>
  <c r="AK333" i="12"/>
  <c r="AM333" i="12"/>
  <c r="D333" i="12"/>
  <c r="C266" i="12"/>
  <c r="AM266" i="12"/>
  <c r="AK266" i="12"/>
  <c r="D266" i="12"/>
  <c r="C359" i="12"/>
  <c r="D359" i="12"/>
  <c r="AM359" i="12"/>
  <c r="AK359" i="12"/>
  <c r="AK47" i="12"/>
  <c r="C47" i="12"/>
  <c r="D47" i="12"/>
  <c r="AM47" i="12"/>
  <c r="AM263" i="12"/>
  <c r="AK263" i="12"/>
  <c r="C263" i="12"/>
  <c r="D263" i="12"/>
  <c r="AK144" i="12"/>
  <c r="D144" i="12"/>
  <c r="AM144" i="12"/>
  <c r="C144" i="12"/>
  <c r="AK234" i="12"/>
  <c r="D234" i="12"/>
  <c r="C234" i="12"/>
  <c r="AM234" i="12"/>
  <c r="D340" i="12"/>
  <c r="C340" i="12"/>
  <c r="AK340" i="12"/>
  <c r="AM340" i="12"/>
  <c r="C345" i="12"/>
  <c r="AM345" i="12"/>
  <c r="AK345" i="12"/>
  <c r="D345" i="12"/>
  <c r="C135" i="12"/>
  <c r="AM135" i="12"/>
  <c r="AK135" i="12"/>
  <c r="D135" i="12"/>
  <c r="AK205" i="12"/>
  <c r="D205" i="12"/>
  <c r="C205" i="12"/>
  <c r="AM205" i="12"/>
  <c r="AK82" i="12"/>
  <c r="D82" i="12"/>
  <c r="C82" i="12"/>
  <c r="AM82" i="12"/>
  <c r="D121" i="12"/>
  <c r="C121" i="12"/>
  <c r="AM121" i="12"/>
  <c r="AK121" i="12"/>
  <c r="AK83" i="12"/>
  <c r="C83" i="12"/>
  <c r="D83" i="12"/>
  <c r="AM83" i="12"/>
  <c r="L84" i="12"/>
  <c r="AB84" i="12"/>
  <c r="U84" i="12"/>
  <c r="N84" i="12"/>
  <c r="AD84" i="12"/>
  <c r="S84" i="12"/>
  <c r="P84" i="12"/>
  <c r="I84" i="12"/>
  <c r="Y84" i="12"/>
  <c r="R84" i="12"/>
  <c r="G84" i="12"/>
  <c r="W84" i="12"/>
  <c r="AE84" i="12"/>
  <c r="T84" i="12"/>
  <c r="M84" i="12"/>
  <c r="AC84" i="12"/>
  <c r="V84" i="12"/>
  <c r="K84" i="12"/>
  <c r="AA84" i="12"/>
  <c r="H84" i="12"/>
  <c r="Z84" i="12"/>
  <c r="Q84" i="12"/>
  <c r="J84" i="12"/>
  <c r="X84" i="12"/>
  <c r="O84" i="12"/>
  <c r="F84" i="12"/>
  <c r="AE351" i="12"/>
  <c r="T351" i="12"/>
  <c r="M351" i="12"/>
  <c r="AC351" i="12"/>
  <c r="V351" i="12"/>
  <c r="G351" i="12"/>
  <c r="W351" i="12"/>
  <c r="H351" i="12"/>
  <c r="X351" i="12"/>
  <c r="Q351" i="12"/>
  <c r="J351" i="12"/>
  <c r="Z351" i="12"/>
  <c r="K351" i="12"/>
  <c r="AA351" i="12"/>
  <c r="L351" i="12"/>
  <c r="AB351" i="12"/>
  <c r="U351" i="12"/>
  <c r="N351" i="12"/>
  <c r="AD351" i="12"/>
  <c r="O351" i="12"/>
  <c r="I351" i="12"/>
  <c r="S351" i="12"/>
  <c r="R351" i="12"/>
  <c r="F351" i="12"/>
  <c r="Y351" i="12"/>
  <c r="P351" i="12"/>
  <c r="K147" i="12"/>
  <c r="AA147" i="12"/>
  <c r="T147" i="12"/>
  <c r="M147" i="12"/>
  <c r="AC147" i="12"/>
  <c r="V147" i="12"/>
  <c r="O147" i="12"/>
  <c r="H147" i="12"/>
  <c r="X147" i="12"/>
  <c r="Q147" i="12"/>
  <c r="J147" i="12"/>
  <c r="Z147" i="12"/>
  <c r="AE147" i="12"/>
  <c r="S147" i="12"/>
  <c r="L147" i="12"/>
  <c r="AB147" i="12"/>
  <c r="U147" i="12"/>
  <c r="N147" i="12"/>
  <c r="AD147" i="12"/>
  <c r="P147" i="12"/>
  <c r="F147" i="12"/>
  <c r="G147" i="12"/>
  <c r="Y147" i="12"/>
  <c r="R147" i="12"/>
  <c r="I147" i="12"/>
  <c r="W147" i="12"/>
  <c r="AK355" i="12"/>
  <c r="D355" i="12"/>
  <c r="C355" i="12"/>
  <c r="AM355" i="12"/>
  <c r="N338" i="15"/>
  <c r="N74" i="15"/>
  <c r="N105" i="15"/>
  <c r="N131" i="15"/>
  <c r="N211" i="15"/>
  <c r="N170" i="15"/>
  <c r="N182" i="15"/>
  <c r="N11" i="15"/>
  <c r="N159" i="15"/>
  <c r="N354" i="15"/>
  <c r="N106" i="15"/>
  <c r="N115" i="15"/>
  <c r="N250" i="15"/>
  <c r="N177" i="15"/>
  <c r="N345" i="15"/>
  <c r="N219" i="15"/>
  <c r="N225" i="15"/>
  <c r="N166" i="15"/>
  <c r="N36" i="15"/>
  <c r="N359" i="15"/>
  <c r="N116" i="15"/>
  <c r="N185" i="15"/>
  <c r="N295" i="15"/>
  <c r="N201" i="15"/>
  <c r="N148" i="15"/>
  <c r="N147" i="15"/>
  <c r="N22" i="15"/>
  <c r="N214" i="15"/>
  <c r="N104" i="15"/>
  <c r="N158" i="15"/>
  <c r="N176" i="15"/>
  <c r="N92" i="15"/>
  <c r="N210" i="15"/>
  <c r="N231" i="15"/>
  <c r="N317" i="15"/>
  <c r="N221" i="15"/>
  <c r="N162" i="15"/>
  <c r="N28" i="15"/>
  <c r="N216" i="15"/>
  <c r="N52" i="15"/>
  <c r="N107" i="15"/>
  <c r="N325" i="15"/>
  <c r="N98" i="15"/>
  <c r="N321" i="15"/>
  <c r="N19" i="15"/>
  <c r="N296" i="15"/>
  <c r="N298" i="15"/>
  <c r="N319" i="15"/>
  <c r="N181" i="15"/>
  <c r="N198" i="15"/>
  <c r="N192" i="15"/>
  <c r="N85" i="15"/>
  <c r="N48" i="15"/>
  <c r="N255" i="15"/>
  <c r="N141" i="15"/>
  <c r="N10" i="15"/>
  <c r="N326" i="15"/>
  <c r="N56" i="15"/>
  <c r="N229" i="15"/>
  <c r="N78" i="15"/>
  <c r="N310" i="15"/>
  <c r="N79" i="15"/>
  <c r="N132" i="15"/>
  <c r="N279" i="15"/>
  <c r="N161" i="15"/>
  <c r="N82" i="15"/>
  <c r="N243" i="15"/>
  <c r="N127" i="15"/>
  <c r="N62" i="15"/>
  <c r="N287" i="15"/>
  <c r="N333" i="15"/>
  <c r="N318" i="15"/>
  <c r="N20" i="15"/>
  <c r="N268" i="15"/>
  <c r="N44" i="15"/>
  <c r="N90" i="15"/>
  <c r="N353" i="15"/>
  <c r="N35" i="15"/>
  <c r="N361" i="15"/>
  <c r="N360" i="15"/>
  <c r="N294" i="15"/>
  <c r="N349" i="15"/>
  <c r="N99" i="15"/>
  <c r="N139" i="15"/>
  <c r="N109" i="15"/>
  <c r="N70" i="15"/>
  <c r="N135" i="15"/>
  <c r="N220" i="15"/>
  <c r="N14" i="15"/>
  <c r="N168" i="15"/>
  <c r="N101" i="15"/>
  <c r="N302" i="15"/>
  <c r="N95" i="15"/>
  <c r="N189" i="15"/>
  <c r="N31" i="15"/>
  <c r="N45" i="15"/>
  <c r="N297" i="15"/>
  <c r="N190" i="15"/>
  <c r="N203" i="15"/>
  <c r="N206" i="15"/>
  <c r="N167" i="15"/>
  <c r="N171" i="15"/>
  <c r="N87" i="15"/>
  <c r="N133" i="15"/>
  <c r="N223" i="15"/>
  <c r="N80" i="15"/>
  <c r="N184" i="15"/>
  <c r="N246" i="15"/>
  <c r="N84" i="15"/>
  <c r="N332" i="15"/>
  <c r="N242" i="15"/>
  <c r="N193" i="15"/>
  <c r="N222" i="15"/>
  <c r="N352" i="15"/>
  <c r="N322" i="15"/>
  <c r="N29" i="15"/>
  <c r="N165" i="15"/>
  <c r="N196" i="15"/>
  <c r="N195" i="15"/>
  <c r="N217" i="15"/>
  <c r="N245" i="15"/>
  <c r="N121" i="15"/>
  <c r="N34" i="15"/>
  <c r="N134" i="15"/>
  <c r="N151" i="15"/>
  <c r="N183" i="15"/>
  <c r="N164" i="15"/>
  <c r="N114" i="15"/>
  <c r="N247" i="15"/>
  <c r="N96" i="15"/>
  <c r="N324" i="15"/>
  <c r="N125" i="15"/>
  <c r="N103" i="15"/>
  <c r="N305" i="15"/>
  <c r="N83" i="15"/>
  <c r="N273" i="15"/>
  <c r="N299" i="15"/>
  <c r="N7" i="15"/>
  <c r="N174" i="15"/>
  <c r="N339" i="15"/>
  <c r="N213" i="15"/>
  <c r="N39" i="15"/>
  <c r="N261" i="15"/>
  <c r="N179" i="15"/>
  <c r="N212" i="15"/>
  <c r="N150" i="15"/>
  <c r="N172" i="15"/>
  <c r="N300" i="15"/>
  <c r="N72" i="15"/>
  <c r="N180" i="15"/>
  <c r="N286" i="15"/>
  <c r="N153" i="15"/>
  <c r="N218" i="15"/>
  <c r="N282" i="15"/>
  <c r="N50" i="15"/>
  <c r="N306" i="15"/>
  <c r="N308" i="15"/>
  <c r="N290" i="15"/>
  <c r="N49" i="15"/>
  <c r="N327" i="15"/>
  <c r="N244" i="15"/>
  <c r="N144" i="15"/>
  <c r="N288" i="15"/>
  <c r="N312" i="15"/>
  <c r="N142" i="15"/>
  <c r="N252" i="15"/>
  <c r="N204" i="15"/>
  <c r="N146" i="15"/>
  <c r="N100" i="15"/>
  <c r="N8" i="15"/>
  <c r="N126" i="15"/>
  <c r="N88" i="15"/>
  <c r="N301" i="15"/>
  <c r="N32" i="15"/>
  <c r="N186" i="15"/>
  <c r="N157" i="15"/>
  <c r="N285" i="15"/>
  <c r="N289" i="15"/>
  <c r="N303" i="15"/>
  <c r="N110" i="15"/>
  <c r="N113" i="15"/>
  <c r="N228" i="15"/>
  <c r="N140" i="15"/>
  <c r="N59" i="15"/>
  <c r="N265" i="15"/>
  <c r="N260" i="15"/>
  <c r="N138" i="15"/>
  <c r="N331" i="15"/>
  <c r="N69" i="15"/>
  <c r="N61" i="15"/>
  <c r="N230" i="15"/>
  <c r="N143" i="15"/>
  <c r="N233" i="15"/>
  <c r="N346" i="15"/>
  <c r="N38" i="15"/>
  <c r="N118" i="15"/>
  <c r="N178" i="15"/>
  <c r="N75" i="15"/>
  <c r="N314" i="15"/>
  <c r="N270" i="15"/>
  <c r="N9" i="15"/>
  <c r="N55" i="15"/>
  <c r="N51" i="15"/>
  <c r="N191" i="15"/>
  <c r="N277" i="15"/>
  <c r="N236" i="15"/>
  <c r="N316" i="15"/>
  <c r="N307" i="15"/>
  <c r="N241" i="15"/>
  <c r="N30" i="15"/>
  <c r="N275" i="15"/>
  <c r="N155" i="15"/>
  <c r="N253" i="15"/>
  <c r="N281" i="15"/>
  <c r="N271" i="15"/>
  <c r="N111" i="15"/>
  <c r="N344" i="15"/>
  <c r="N86" i="15"/>
  <c r="N187" i="15"/>
  <c r="N137" i="15"/>
  <c r="N102" i="15"/>
  <c r="N93" i="15"/>
  <c r="N173" i="15"/>
  <c r="N33" i="15"/>
  <c r="N335" i="15"/>
  <c r="N284" i="15"/>
  <c r="N160" i="15"/>
  <c r="N208" i="15"/>
  <c r="N266" i="15"/>
  <c r="N283" i="15"/>
  <c r="N77" i="15"/>
  <c r="N54" i="15"/>
  <c r="N188" i="15"/>
  <c r="N323" i="15"/>
  <c r="N202" i="15"/>
  <c r="N24" i="15"/>
  <c r="N320" i="15"/>
  <c r="N46" i="15"/>
  <c r="N68" i="15"/>
  <c r="N27" i="15"/>
  <c r="N292" i="15"/>
  <c r="N258" i="15"/>
  <c r="N328" i="15"/>
  <c r="N311" i="15"/>
  <c r="N350" i="15"/>
  <c r="N81" i="15"/>
  <c r="N122" i="15"/>
  <c r="N224" i="15"/>
  <c r="N57" i="15"/>
  <c r="N280" i="15"/>
  <c r="N313" i="15"/>
  <c r="N234" i="15"/>
  <c r="N71" i="15"/>
  <c r="N26" i="15"/>
  <c r="N358" i="15"/>
  <c r="N37" i="15"/>
  <c r="N257" i="15"/>
  <c r="N238" i="15"/>
  <c r="N342" i="15"/>
  <c r="N291" i="15"/>
  <c r="N145" i="15"/>
  <c r="N267" i="15"/>
  <c r="N249" i="15"/>
  <c r="N304" i="15"/>
  <c r="N293" i="15"/>
  <c r="N355" i="15"/>
  <c r="N123" i="15"/>
  <c r="N16" i="15"/>
  <c r="N348" i="15"/>
  <c r="N351" i="15"/>
  <c r="N248" i="15"/>
  <c r="N251" i="15"/>
  <c r="N240" i="15"/>
  <c r="N108" i="15"/>
  <c r="N154" i="15"/>
  <c r="N264" i="15"/>
  <c r="N199" i="15"/>
  <c r="N91" i="15"/>
  <c r="N169" i="15"/>
  <c r="N340" i="15"/>
  <c r="N175" i="15"/>
  <c r="N149" i="15"/>
  <c r="N209" i="15"/>
  <c r="N262" i="15"/>
  <c r="N276" i="15"/>
  <c r="N97" i="15"/>
  <c r="N269" i="15"/>
  <c r="N129" i="15"/>
  <c r="N136" i="15"/>
  <c r="N152" i="15"/>
  <c r="N42" i="15"/>
  <c r="N65" i="15"/>
  <c r="N73" i="15"/>
  <c r="N47" i="15"/>
  <c r="N64" i="15"/>
  <c r="N60" i="15"/>
  <c r="N329" i="15"/>
  <c r="N200" i="15"/>
  <c r="N124" i="15"/>
  <c r="N356" i="15"/>
  <c r="N15" i="15"/>
  <c r="N254" i="15"/>
  <c r="N263" i="15"/>
  <c r="N309" i="15"/>
  <c r="N256" i="15"/>
  <c r="N41" i="15"/>
  <c r="N341" i="15"/>
  <c r="N205" i="15"/>
  <c r="N239" i="15"/>
  <c r="N130" i="15"/>
  <c r="N18" i="15"/>
  <c r="N53" i="15"/>
  <c r="N197" i="15"/>
  <c r="N119" i="15"/>
  <c r="N40" i="15"/>
  <c r="N76" i="15"/>
  <c r="N25" i="15"/>
  <c r="N237" i="15"/>
  <c r="N274" i="15"/>
  <c r="N278" i="15"/>
  <c r="N63" i="15"/>
  <c r="N163" i="15"/>
  <c r="N315" i="15"/>
  <c r="N43" i="15"/>
  <c r="N94" i="15"/>
  <c r="N17" i="15"/>
  <c r="N347" i="15"/>
  <c r="N259" i="15"/>
  <c r="N336" i="15"/>
  <c r="S5" i="15" l="1"/>
  <c r="P362" i="15"/>
  <c r="S14" i="15" s="1"/>
  <c r="D26" i="22"/>
  <c r="J17" i="22"/>
  <c r="V26" i="22" s="1"/>
  <c r="F17" i="22"/>
  <c r="Q26" i="22"/>
  <c r="B26" i="22"/>
  <c r="G29" i="22"/>
  <c r="A26" i="22"/>
  <c r="AG8" i="22"/>
  <c r="AI8" i="22" s="1"/>
  <c r="AK8" i="22"/>
  <c r="G34" i="23"/>
  <c r="G32" i="23"/>
  <c r="G30" i="23"/>
  <c r="G29" i="23"/>
  <c r="G26" i="23"/>
  <c r="C14" i="23"/>
  <c r="E17" i="23"/>
  <c r="G27" i="23"/>
  <c r="G24" i="23"/>
  <c r="C19" i="23" s="1"/>
  <c r="C20" i="23" s="1"/>
  <c r="E14" i="23"/>
  <c r="G23" i="23"/>
  <c r="G39" i="23"/>
  <c r="G38" i="23"/>
  <c r="G36" i="23"/>
  <c r="G35" i="23"/>
  <c r="S7" i="15"/>
  <c r="S8" i="15"/>
  <c r="S32" i="15"/>
  <c r="AI245" i="12"/>
  <c r="AO245" i="12" s="1"/>
  <c r="AP245" i="12" s="1"/>
  <c r="AI84" i="12"/>
  <c r="AO84" i="12" s="1"/>
  <c r="AP84" i="12" s="1"/>
  <c r="AI38" i="12"/>
  <c r="AO38" i="12" s="1"/>
  <c r="AP38" i="12" s="1"/>
  <c r="AE82" i="12"/>
  <c r="T82" i="12"/>
  <c r="M82" i="12"/>
  <c r="AC82" i="12"/>
  <c r="V82" i="12"/>
  <c r="K82" i="12"/>
  <c r="AA82" i="12"/>
  <c r="L82" i="12"/>
  <c r="U82" i="12"/>
  <c r="AD82" i="12"/>
  <c r="H82" i="12"/>
  <c r="X82" i="12"/>
  <c r="Q82" i="12"/>
  <c r="J82" i="12"/>
  <c r="Z82" i="12"/>
  <c r="O82" i="12"/>
  <c r="F82" i="12"/>
  <c r="AB82" i="12"/>
  <c r="N82" i="12"/>
  <c r="S82" i="12"/>
  <c r="P82" i="12"/>
  <c r="G82" i="12"/>
  <c r="R82" i="12"/>
  <c r="I82" i="12"/>
  <c r="W82" i="12"/>
  <c r="Y82" i="12"/>
  <c r="G272" i="12"/>
  <c r="W272" i="12"/>
  <c r="P272" i="12"/>
  <c r="I272" i="12"/>
  <c r="Y272" i="12"/>
  <c r="R272" i="12"/>
  <c r="F272" i="12"/>
  <c r="AE272" i="12"/>
  <c r="U272" i="12"/>
  <c r="K272" i="12"/>
  <c r="AA272" i="12"/>
  <c r="T272" i="12"/>
  <c r="M272" i="12"/>
  <c r="AC272" i="12"/>
  <c r="V272" i="12"/>
  <c r="S272" i="12"/>
  <c r="AD272" i="12"/>
  <c r="O272" i="12"/>
  <c r="H272" i="12"/>
  <c r="X272" i="12"/>
  <c r="Q272" i="12"/>
  <c r="J272" i="12"/>
  <c r="Z272" i="12"/>
  <c r="AB272" i="12"/>
  <c r="N272" i="12"/>
  <c r="L272" i="12"/>
  <c r="AE297" i="12"/>
  <c r="S297" i="12"/>
  <c r="L297" i="12"/>
  <c r="AB297" i="12"/>
  <c r="U297" i="12"/>
  <c r="N297" i="12"/>
  <c r="AD297" i="12"/>
  <c r="AA297" i="12"/>
  <c r="M297" i="12"/>
  <c r="V297" i="12"/>
  <c r="O297" i="12"/>
  <c r="X297" i="12"/>
  <c r="J297" i="12"/>
  <c r="G297" i="12"/>
  <c r="W297" i="12"/>
  <c r="P297" i="12"/>
  <c r="I297" i="12"/>
  <c r="Y297" i="12"/>
  <c r="R297" i="12"/>
  <c r="F297" i="12"/>
  <c r="K297" i="12"/>
  <c r="T297" i="12"/>
  <c r="AC297" i="12"/>
  <c r="H297" i="12"/>
  <c r="Q297" i="12"/>
  <c r="Z297" i="12"/>
  <c r="P358" i="12"/>
  <c r="I358" i="12"/>
  <c r="Y358" i="12"/>
  <c r="N358" i="12"/>
  <c r="AD358" i="12"/>
  <c r="S358" i="12"/>
  <c r="H358" i="12"/>
  <c r="Q358" i="12"/>
  <c r="V358" i="12"/>
  <c r="AA358" i="12"/>
  <c r="AE358" i="12"/>
  <c r="T358" i="12"/>
  <c r="M358" i="12"/>
  <c r="AC358" i="12"/>
  <c r="R358" i="12"/>
  <c r="G358" i="12"/>
  <c r="W358" i="12"/>
  <c r="X358" i="12"/>
  <c r="F358" i="12"/>
  <c r="K358" i="12"/>
  <c r="U358" i="12"/>
  <c r="L358" i="12"/>
  <c r="Z358" i="12"/>
  <c r="O358" i="12"/>
  <c r="J358" i="12"/>
  <c r="AB358" i="12"/>
  <c r="O242" i="12"/>
  <c r="H242" i="12"/>
  <c r="X242" i="12"/>
  <c r="Q242" i="12"/>
  <c r="J242" i="12"/>
  <c r="Z242" i="12"/>
  <c r="AE242" i="12"/>
  <c r="S242" i="12"/>
  <c r="L242" i="12"/>
  <c r="AB242" i="12"/>
  <c r="U242" i="12"/>
  <c r="N242" i="12"/>
  <c r="AD242" i="12"/>
  <c r="G242" i="12"/>
  <c r="W242" i="12"/>
  <c r="P242" i="12"/>
  <c r="I242" i="12"/>
  <c r="Y242" i="12"/>
  <c r="R242" i="12"/>
  <c r="F242" i="12"/>
  <c r="M242" i="12"/>
  <c r="V242" i="12"/>
  <c r="T242" i="12"/>
  <c r="K242" i="12"/>
  <c r="AC242" i="12"/>
  <c r="AA242" i="12"/>
  <c r="G304" i="12"/>
  <c r="W304" i="12"/>
  <c r="P304" i="12"/>
  <c r="I304" i="12"/>
  <c r="Y304" i="12"/>
  <c r="R304" i="12"/>
  <c r="F304" i="12"/>
  <c r="S304" i="12"/>
  <c r="N304" i="12"/>
  <c r="K304" i="12"/>
  <c r="AA304" i="12"/>
  <c r="T304" i="12"/>
  <c r="M304" i="12"/>
  <c r="AC304" i="12"/>
  <c r="V304" i="12"/>
  <c r="AE304" i="12"/>
  <c r="AB304" i="12"/>
  <c r="U304" i="12"/>
  <c r="O304" i="12"/>
  <c r="H304" i="12"/>
  <c r="X304" i="12"/>
  <c r="Q304" i="12"/>
  <c r="J304" i="12"/>
  <c r="Z304" i="12"/>
  <c r="L304" i="12"/>
  <c r="AD304" i="12"/>
  <c r="K231" i="12"/>
  <c r="AA231" i="12"/>
  <c r="T231" i="12"/>
  <c r="M231" i="12"/>
  <c r="AC231" i="12"/>
  <c r="V231" i="12"/>
  <c r="O231" i="12"/>
  <c r="H231" i="12"/>
  <c r="X231" i="12"/>
  <c r="Q231" i="12"/>
  <c r="J231" i="12"/>
  <c r="Z231" i="12"/>
  <c r="AE231" i="12"/>
  <c r="S231" i="12"/>
  <c r="L231" i="12"/>
  <c r="AB231" i="12"/>
  <c r="U231" i="12"/>
  <c r="N231" i="12"/>
  <c r="AD231" i="12"/>
  <c r="P231" i="12"/>
  <c r="F231" i="12"/>
  <c r="I231" i="12"/>
  <c r="G231" i="12"/>
  <c r="Y231" i="12"/>
  <c r="W231" i="12"/>
  <c r="R231" i="12"/>
  <c r="AI164" i="12"/>
  <c r="G183" i="12"/>
  <c r="W183" i="12"/>
  <c r="P183" i="12"/>
  <c r="I183" i="12"/>
  <c r="Y183" i="12"/>
  <c r="R183" i="12"/>
  <c r="F183" i="12"/>
  <c r="K183" i="12"/>
  <c r="AA183" i="12"/>
  <c r="T183" i="12"/>
  <c r="M183" i="12"/>
  <c r="AC183" i="12"/>
  <c r="V183" i="12"/>
  <c r="O183" i="12"/>
  <c r="H183" i="12"/>
  <c r="X183" i="12"/>
  <c r="Q183" i="12"/>
  <c r="J183" i="12"/>
  <c r="Z183" i="12"/>
  <c r="S183" i="12"/>
  <c r="N183" i="12"/>
  <c r="L183" i="12"/>
  <c r="AD183" i="12"/>
  <c r="AB183" i="12"/>
  <c r="U183" i="12"/>
  <c r="AE183" i="12"/>
  <c r="H353" i="12"/>
  <c r="X353" i="12"/>
  <c r="M353" i="12"/>
  <c r="AC353" i="12"/>
  <c r="V353" i="12"/>
  <c r="K353" i="12"/>
  <c r="AA353" i="12"/>
  <c r="L353" i="12"/>
  <c r="AB353" i="12"/>
  <c r="Q353" i="12"/>
  <c r="J353" i="12"/>
  <c r="Z353" i="12"/>
  <c r="O353" i="12"/>
  <c r="P353" i="12"/>
  <c r="F353" i="12"/>
  <c r="U353" i="12"/>
  <c r="N353" i="12"/>
  <c r="AD353" i="12"/>
  <c r="S353" i="12"/>
  <c r="AE353" i="12"/>
  <c r="R353" i="12"/>
  <c r="T353" i="12"/>
  <c r="G353" i="12"/>
  <c r="I353" i="12"/>
  <c r="W353" i="12"/>
  <c r="Y353" i="12"/>
  <c r="O244" i="12"/>
  <c r="H244" i="12"/>
  <c r="X244" i="12"/>
  <c r="Q244" i="12"/>
  <c r="J244" i="12"/>
  <c r="Z244" i="12"/>
  <c r="AE244" i="12"/>
  <c r="S244" i="12"/>
  <c r="L244" i="12"/>
  <c r="AB244" i="12"/>
  <c r="U244" i="12"/>
  <c r="N244" i="12"/>
  <c r="AD244" i="12"/>
  <c r="G244" i="12"/>
  <c r="W244" i="12"/>
  <c r="P244" i="12"/>
  <c r="I244" i="12"/>
  <c r="Y244" i="12"/>
  <c r="R244" i="12"/>
  <c r="F244" i="12"/>
  <c r="M244" i="12"/>
  <c r="V244" i="12"/>
  <c r="K244" i="12"/>
  <c r="AC244" i="12"/>
  <c r="AA244" i="12"/>
  <c r="T244" i="12"/>
  <c r="O170" i="12"/>
  <c r="H170" i="12"/>
  <c r="X170" i="12"/>
  <c r="Q170" i="12"/>
  <c r="J170" i="12"/>
  <c r="Z170" i="12"/>
  <c r="AE170" i="12"/>
  <c r="S170" i="12"/>
  <c r="L170" i="12"/>
  <c r="AB170" i="12"/>
  <c r="U170" i="12"/>
  <c r="N170" i="12"/>
  <c r="AD170" i="12"/>
  <c r="G170" i="12"/>
  <c r="W170" i="12"/>
  <c r="P170" i="12"/>
  <c r="I170" i="12"/>
  <c r="Y170" i="12"/>
  <c r="R170" i="12"/>
  <c r="F170" i="12"/>
  <c r="T170" i="12"/>
  <c r="M170" i="12"/>
  <c r="K170" i="12"/>
  <c r="AC170" i="12"/>
  <c r="AA170" i="12"/>
  <c r="V170" i="12"/>
  <c r="AI111" i="12"/>
  <c r="AE252" i="12"/>
  <c r="S252" i="12"/>
  <c r="L252" i="12"/>
  <c r="AB252" i="12"/>
  <c r="U252" i="12"/>
  <c r="N252" i="12"/>
  <c r="AD252" i="12"/>
  <c r="G252" i="12"/>
  <c r="W252" i="12"/>
  <c r="P252" i="12"/>
  <c r="I252" i="12"/>
  <c r="Y252" i="12"/>
  <c r="R252" i="12"/>
  <c r="F252" i="12"/>
  <c r="AA252" i="12"/>
  <c r="M252" i="12"/>
  <c r="V252" i="12"/>
  <c r="H252" i="12"/>
  <c r="Q252" i="12"/>
  <c r="Z252" i="12"/>
  <c r="K252" i="12"/>
  <c r="T252" i="12"/>
  <c r="AC252" i="12"/>
  <c r="O252" i="12"/>
  <c r="J252" i="12"/>
  <c r="X252" i="12"/>
  <c r="O25" i="12"/>
  <c r="H25" i="12"/>
  <c r="X25" i="12"/>
  <c r="Q25" i="12"/>
  <c r="J25" i="12"/>
  <c r="Z25" i="12"/>
  <c r="AE25" i="12"/>
  <c r="S25" i="12"/>
  <c r="L25" i="12"/>
  <c r="AB25" i="12"/>
  <c r="U25" i="12"/>
  <c r="N25" i="12"/>
  <c r="AD25" i="12"/>
  <c r="G25" i="12"/>
  <c r="W25" i="12"/>
  <c r="P25" i="12"/>
  <c r="I25" i="12"/>
  <c r="Y25" i="12"/>
  <c r="R25" i="12"/>
  <c r="F25" i="12"/>
  <c r="M25" i="12"/>
  <c r="AA25" i="12"/>
  <c r="K25" i="12"/>
  <c r="AC25" i="12"/>
  <c r="V25" i="12"/>
  <c r="T25" i="12"/>
  <c r="AI307" i="12"/>
  <c r="AI148" i="12"/>
  <c r="AI124" i="12"/>
  <c r="AE288" i="12"/>
  <c r="S288" i="12"/>
  <c r="L288" i="12"/>
  <c r="AB288" i="12"/>
  <c r="U288" i="12"/>
  <c r="N288" i="12"/>
  <c r="AD288" i="12"/>
  <c r="G288" i="12"/>
  <c r="W288" i="12"/>
  <c r="P288" i="12"/>
  <c r="I288" i="12"/>
  <c r="Y288" i="12"/>
  <c r="R288" i="12"/>
  <c r="F288" i="12"/>
  <c r="K288" i="12"/>
  <c r="AA288" i="12"/>
  <c r="T288" i="12"/>
  <c r="M288" i="12"/>
  <c r="AC288" i="12"/>
  <c r="V288" i="12"/>
  <c r="X288" i="12"/>
  <c r="Q288" i="12"/>
  <c r="H288" i="12"/>
  <c r="O288" i="12"/>
  <c r="J288" i="12"/>
  <c r="Z288" i="12"/>
  <c r="AE180" i="12"/>
  <c r="S180" i="12"/>
  <c r="L180" i="12"/>
  <c r="AB180" i="12"/>
  <c r="U180" i="12"/>
  <c r="N180" i="12"/>
  <c r="AD180" i="12"/>
  <c r="G180" i="12"/>
  <c r="W180" i="12"/>
  <c r="P180" i="12"/>
  <c r="I180" i="12"/>
  <c r="Y180" i="12"/>
  <c r="R180" i="12"/>
  <c r="F180" i="12"/>
  <c r="K180" i="12"/>
  <c r="T180" i="12"/>
  <c r="AC180" i="12"/>
  <c r="O180" i="12"/>
  <c r="X180" i="12"/>
  <c r="J180" i="12"/>
  <c r="AA180" i="12"/>
  <c r="M180" i="12"/>
  <c r="V180" i="12"/>
  <c r="Q180" i="12"/>
  <c r="H180" i="12"/>
  <c r="Z180" i="12"/>
  <c r="H125" i="12"/>
  <c r="X125" i="12"/>
  <c r="Q125" i="12"/>
  <c r="J125" i="12"/>
  <c r="Z125" i="12"/>
  <c r="O125" i="12"/>
  <c r="F125" i="12"/>
  <c r="P125" i="12"/>
  <c r="I125" i="12"/>
  <c r="Y125" i="12"/>
  <c r="R125" i="12"/>
  <c r="G125" i="12"/>
  <c r="W125" i="12"/>
  <c r="AB125" i="12"/>
  <c r="N125" i="12"/>
  <c r="S125" i="12"/>
  <c r="AE125" i="12"/>
  <c r="M125" i="12"/>
  <c r="V125" i="12"/>
  <c r="AA125" i="12"/>
  <c r="L125" i="12"/>
  <c r="U125" i="12"/>
  <c r="AD125" i="12"/>
  <c r="K125" i="12"/>
  <c r="T125" i="12"/>
  <c r="AC125" i="12"/>
  <c r="AI63" i="12"/>
  <c r="P141" i="12"/>
  <c r="I141" i="12"/>
  <c r="Y141" i="12"/>
  <c r="R141" i="12"/>
  <c r="G141" i="12"/>
  <c r="W141" i="12"/>
  <c r="H141" i="12"/>
  <c r="X141" i="12"/>
  <c r="Q141" i="12"/>
  <c r="J141" i="12"/>
  <c r="Z141" i="12"/>
  <c r="O141" i="12"/>
  <c r="F141" i="12"/>
  <c r="T141" i="12"/>
  <c r="AC141" i="12"/>
  <c r="K141" i="12"/>
  <c r="AB141" i="12"/>
  <c r="N141" i="12"/>
  <c r="S141" i="12"/>
  <c r="AE141" i="12"/>
  <c r="M141" i="12"/>
  <c r="V141" i="12"/>
  <c r="AA141" i="12"/>
  <c r="L141" i="12"/>
  <c r="U141" i="12"/>
  <c r="AD141" i="12"/>
  <c r="G199" i="12"/>
  <c r="W199" i="12"/>
  <c r="P199" i="12"/>
  <c r="I199" i="12"/>
  <c r="Y199" i="12"/>
  <c r="R199" i="12"/>
  <c r="F199" i="12"/>
  <c r="K199" i="12"/>
  <c r="AA199" i="12"/>
  <c r="T199" i="12"/>
  <c r="M199" i="12"/>
  <c r="AC199" i="12"/>
  <c r="V199" i="12"/>
  <c r="O199" i="12"/>
  <c r="H199" i="12"/>
  <c r="X199" i="12"/>
  <c r="Q199" i="12"/>
  <c r="J199" i="12"/>
  <c r="Z199" i="12"/>
  <c r="AB199" i="12"/>
  <c r="AE199" i="12"/>
  <c r="U199" i="12"/>
  <c r="AD199" i="12"/>
  <c r="S199" i="12"/>
  <c r="N199" i="12"/>
  <c r="L199" i="12"/>
  <c r="G197" i="12"/>
  <c r="W197" i="12"/>
  <c r="P197" i="12"/>
  <c r="I197" i="12"/>
  <c r="Y197" i="12"/>
  <c r="R197" i="12"/>
  <c r="F197" i="12"/>
  <c r="K197" i="12"/>
  <c r="AA197" i="12"/>
  <c r="T197" i="12"/>
  <c r="M197" i="12"/>
  <c r="AC197" i="12"/>
  <c r="V197" i="12"/>
  <c r="O197" i="12"/>
  <c r="H197" i="12"/>
  <c r="X197" i="12"/>
  <c r="Q197" i="12"/>
  <c r="J197" i="12"/>
  <c r="Z197" i="12"/>
  <c r="L197" i="12"/>
  <c r="AD197" i="12"/>
  <c r="U197" i="12"/>
  <c r="S197" i="12"/>
  <c r="AB197" i="12"/>
  <c r="AE197" i="12"/>
  <c r="N197" i="12"/>
  <c r="AI235" i="12"/>
  <c r="AE181" i="12"/>
  <c r="S181" i="12"/>
  <c r="L181" i="12"/>
  <c r="AB181" i="12"/>
  <c r="U181" i="12"/>
  <c r="N181" i="12"/>
  <c r="AD181" i="12"/>
  <c r="G181" i="12"/>
  <c r="W181" i="12"/>
  <c r="P181" i="12"/>
  <c r="I181" i="12"/>
  <c r="Y181" i="12"/>
  <c r="R181" i="12"/>
  <c r="F181" i="12"/>
  <c r="K181" i="12"/>
  <c r="T181" i="12"/>
  <c r="AC181" i="12"/>
  <c r="O181" i="12"/>
  <c r="X181" i="12"/>
  <c r="J181" i="12"/>
  <c r="AA181" i="12"/>
  <c r="M181" i="12"/>
  <c r="V181" i="12"/>
  <c r="H181" i="12"/>
  <c r="Z181" i="12"/>
  <c r="Q181" i="12"/>
  <c r="AI18" i="12"/>
  <c r="AI85" i="12"/>
  <c r="AE299" i="12"/>
  <c r="S299" i="12"/>
  <c r="L299" i="12"/>
  <c r="AB299" i="12"/>
  <c r="U299" i="12"/>
  <c r="N299" i="12"/>
  <c r="AD299" i="12"/>
  <c r="G299" i="12"/>
  <c r="W299" i="12"/>
  <c r="P299" i="12"/>
  <c r="I299" i="12"/>
  <c r="Y299" i="12"/>
  <c r="R299" i="12"/>
  <c r="F299" i="12"/>
  <c r="AA299" i="12"/>
  <c r="M299" i="12"/>
  <c r="V299" i="12"/>
  <c r="H299" i="12"/>
  <c r="Q299" i="12"/>
  <c r="Z299" i="12"/>
  <c r="K299" i="12"/>
  <c r="T299" i="12"/>
  <c r="AC299" i="12"/>
  <c r="X299" i="12"/>
  <c r="J299" i="12"/>
  <c r="O299" i="12"/>
  <c r="AE292" i="12"/>
  <c r="S292" i="12"/>
  <c r="L292" i="12"/>
  <c r="AB292" i="12"/>
  <c r="U292" i="12"/>
  <c r="N292" i="12"/>
  <c r="AD292" i="12"/>
  <c r="AA292" i="12"/>
  <c r="M292" i="12"/>
  <c r="AC292" i="12"/>
  <c r="G292" i="12"/>
  <c r="W292" i="12"/>
  <c r="P292" i="12"/>
  <c r="I292" i="12"/>
  <c r="Y292" i="12"/>
  <c r="R292" i="12"/>
  <c r="F292" i="12"/>
  <c r="K292" i="12"/>
  <c r="T292" i="12"/>
  <c r="V292" i="12"/>
  <c r="O292" i="12"/>
  <c r="J292" i="12"/>
  <c r="H292" i="12"/>
  <c r="Z292" i="12"/>
  <c r="X292" i="12"/>
  <c r="Q292" i="12"/>
  <c r="O26" i="12"/>
  <c r="H26" i="12"/>
  <c r="X26" i="12"/>
  <c r="Q26" i="12"/>
  <c r="J26" i="12"/>
  <c r="Z26" i="12"/>
  <c r="AE26" i="12"/>
  <c r="S26" i="12"/>
  <c r="L26" i="12"/>
  <c r="AB26" i="12"/>
  <c r="U26" i="12"/>
  <c r="N26" i="12"/>
  <c r="AD26" i="12"/>
  <c r="G26" i="12"/>
  <c r="W26" i="12"/>
  <c r="P26" i="12"/>
  <c r="I26" i="12"/>
  <c r="Y26" i="12"/>
  <c r="R26" i="12"/>
  <c r="F26" i="12"/>
  <c r="M26" i="12"/>
  <c r="K26" i="12"/>
  <c r="AC26" i="12"/>
  <c r="AA26" i="12"/>
  <c r="V26" i="12"/>
  <c r="T26" i="12"/>
  <c r="O257" i="12"/>
  <c r="H257" i="12"/>
  <c r="X257" i="12"/>
  <c r="Q257" i="12"/>
  <c r="J257" i="12"/>
  <c r="Z257" i="12"/>
  <c r="AE257" i="12"/>
  <c r="S257" i="12"/>
  <c r="L257" i="12"/>
  <c r="AB257" i="12"/>
  <c r="U257" i="12"/>
  <c r="N257" i="12"/>
  <c r="AD257" i="12"/>
  <c r="G257" i="12"/>
  <c r="W257" i="12"/>
  <c r="P257" i="12"/>
  <c r="I257" i="12"/>
  <c r="Y257" i="12"/>
  <c r="R257" i="12"/>
  <c r="F257" i="12"/>
  <c r="M257" i="12"/>
  <c r="V257" i="12"/>
  <c r="T257" i="12"/>
  <c r="K257" i="12"/>
  <c r="AC257" i="12"/>
  <c r="AA257" i="12"/>
  <c r="AI337" i="12"/>
  <c r="N44" i="12"/>
  <c r="AD44" i="12"/>
  <c r="S44" i="12"/>
  <c r="L44" i="12"/>
  <c r="AB44" i="12"/>
  <c r="U44" i="12"/>
  <c r="R44" i="12"/>
  <c r="G44" i="12"/>
  <c r="W44" i="12"/>
  <c r="P44" i="12"/>
  <c r="I44" i="12"/>
  <c r="Y44" i="12"/>
  <c r="AE44" i="12"/>
  <c r="V44" i="12"/>
  <c r="K44" i="12"/>
  <c r="AA44" i="12"/>
  <c r="T44" i="12"/>
  <c r="M44" i="12"/>
  <c r="AC44" i="12"/>
  <c r="Z44" i="12"/>
  <c r="Q44" i="12"/>
  <c r="O44" i="12"/>
  <c r="F44" i="12"/>
  <c r="H44" i="12"/>
  <c r="J44" i="12"/>
  <c r="X44" i="12"/>
  <c r="AE330" i="12"/>
  <c r="T330" i="12"/>
  <c r="M330" i="12"/>
  <c r="AC330" i="12"/>
  <c r="R330" i="12"/>
  <c r="G330" i="12"/>
  <c r="W330" i="12"/>
  <c r="P330" i="12"/>
  <c r="AD330" i="12"/>
  <c r="H330" i="12"/>
  <c r="X330" i="12"/>
  <c r="Q330" i="12"/>
  <c r="F330" i="12"/>
  <c r="V330" i="12"/>
  <c r="K330" i="12"/>
  <c r="AA330" i="12"/>
  <c r="I330" i="12"/>
  <c r="N330" i="12"/>
  <c r="L330" i="12"/>
  <c r="AB330" i="12"/>
  <c r="U330" i="12"/>
  <c r="J330" i="12"/>
  <c r="Z330" i="12"/>
  <c r="O330" i="12"/>
  <c r="Y330" i="12"/>
  <c r="S330" i="12"/>
  <c r="AI213" i="12"/>
  <c r="AE15" i="12"/>
  <c r="S15" i="12"/>
  <c r="L15" i="12"/>
  <c r="AB15" i="12"/>
  <c r="U15" i="12"/>
  <c r="N15" i="12"/>
  <c r="AD15" i="12"/>
  <c r="G15" i="12"/>
  <c r="W15" i="12"/>
  <c r="P15" i="12"/>
  <c r="I15" i="12"/>
  <c r="Y15" i="12"/>
  <c r="R15" i="12"/>
  <c r="F15" i="12"/>
  <c r="K15" i="12"/>
  <c r="AA15" i="12"/>
  <c r="T15" i="12"/>
  <c r="M15" i="12"/>
  <c r="AC15" i="12"/>
  <c r="V15" i="12"/>
  <c r="H15" i="12"/>
  <c r="Z15" i="12"/>
  <c r="X15" i="12"/>
  <c r="Q15" i="12"/>
  <c r="J15" i="12"/>
  <c r="O15" i="12"/>
  <c r="P90" i="12"/>
  <c r="I90" i="12"/>
  <c r="Y90" i="12"/>
  <c r="R90" i="12"/>
  <c r="G90" i="12"/>
  <c r="W90" i="12"/>
  <c r="H90" i="12"/>
  <c r="X90" i="12"/>
  <c r="Q90" i="12"/>
  <c r="J90" i="12"/>
  <c r="Z90" i="12"/>
  <c r="O90" i="12"/>
  <c r="F90" i="12"/>
  <c r="AE90" i="12"/>
  <c r="M90" i="12"/>
  <c r="V90" i="12"/>
  <c r="AA90" i="12"/>
  <c r="L90" i="12"/>
  <c r="U90" i="12"/>
  <c r="AD90" i="12"/>
  <c r="T90" i="12"/>
  <c r="AC90" i="12"/>
  <c r="K90" i="12"/>
  <c r="S90" i="12"/>
  <c r="AB90" i="12"/>
  <c r="N90" i="12"/>
  <c r="L112" i="12"/>
  <c r="AB112" i="12"/>
  <c r="U112" i="12"/>
  <c r="N112" i="12"/>
  <c r="AD112" i="12"/>
  <c r="S112" i="12"/>
  <c r="P112" i="12"/>
  <c r="I112" i="12"/>
  <c r="Y112" i="12"/>
  <c r="R112" i="12"/>
  <c r="G112" i="12"/>
  <c r="W112" i="12"/>
  <c r="AE112" i="12"/>
  <c r="T112" i="12"/>
  <c r="M112" i="12"/>
  <c r="AC112" i="12"/>
  <c r="V112" i="12"/>
  <c r="K112" i="12"/>
  <c r="AA112" i="12"/>
  <c r="H112" i="12"/>
  <c r="Z112" i="12"/>
  <c r="X112" i="12"/>
  <c r="O112" i="12"/>
  <c r="Q112" i="12"/>
  <c r="F112" i="12"/>
  <c r="J112" i="12"/>
  <c r="P128" i="12"/>
  <c r="I128" i="12"/>
  <c r="Y128" i="12"/>
  <c r="R128" i="12"/>
  <c r="G128" i="12"/>
  <c r="W128" i="12"/>
  <c r="AE128" i="12"/>
  <c r="T128" i="12"/>
  <c r="M128" i="12"/>
  <c r="AC128" i="12"/>
  <c r="V128" i="12"/>
  <c r="K128" i="12"/>
  <c r="AA128" i="12"/>
  <c r="H128" i="12"/>
  <c r="X128" i="12"/>
  <c r="Q128" i="12"/>
  <c r="J128" i="12"/>
  <c r="Z128" i="12"/>
  <c r="O128" i="12"/>
  <c r="F128" i="12"/>
  <c r="AB128" i="12"/>
  <c r="S128" i="12"/>
  <c r="U128" i="12"/>
  <c r="L128" i="12"/>
  <c r="N128" i="12"/>
  <c r="AD128" i="12"/>
  <c r="AI310" i="12"/>
  <c r="G267" i="12"/>
  <c r="W267" i="12"/>
  <c r="P267" i="12"/>
  <c r="I267" i="12"/>
  <c r="Y267" i="12"/>
  <c r="R267" i="12"/>
  <c r="F267" i="12"/>
  <c r="H267" i="12"/>
  <c r="Q267" i="12"/>
  <c r="Z267" i="12"/>
  <c r="K267" i="12"/>
  <c r="AA267" i="12"/>
  <c r="T267" i="12"/>
  <c r="M267" i="12"/>
  <c r="AC267" i="12"/>
  <c r="V267" i="12"/>
  <c r="O267" i="12"/>
  <c r="X267" i="12"/>
  <c r="J267" i="12"/>
  <c r="AE267" i="12"/>
  <c r="U267" i="12"/>
  <c r="L267" i="12"/>
  <c r="S267" i="12"/>
  <c r="N267" i="12"/>
  <c r="AD267" i="12"/>
  <c r="AB267" i="12"/>
  <c r="P341" i="12"/>
  <c r="F341" i="12"/>
  <c r="U341" i="12"/>
  <c r="N341" i="12"/>
  <c r="AD341" i="12"/>
  <c r="S341" i="12"/>
  <c r="AE341" i="12"/>
  <c r="T341" i="12"/>
  <c r="I341" i="12"/>
  <c r="Y341" i="12"/>
  <c r="R341" i="12"/>
  <c r="G341" i="12"/>
  <c r="W341" i="12"/>
  <c r="H341" i="12"/>
  <c r="X341" i="12"/>
  <c r="M341" i="12"/>
  <c r="AC341" i="12"/>
  <c r="V341" i="12"/>
  <c r="K341" i="12"/>
  <c r="AA341" i="12"/>
  <c r="Q341" i="12"/>
  <c r="J341" i="12"/>
  <c r="L341" i="12"/>
  <c r="Z341" i="12"/>
  <c r="O341" i="12"/>
  <c r="AB341" i="12"/>
  <c r="AE103" i="12"/>
  <c r="T103" i="12"/>
  <c r="M103" i="12"/>
  <c r="AC103" i="12"/>
  <c r="V103" i="12"/>
  <c r="K103" i="12"/>
  <c r="AA103" i="12"/>
  <c r="H103" i="12"/>
  <c r="X103" i="12"/>
  <c r="Q103" i="12"/>
  <c r="J103" i="12"/>
  <c r="Z103" i="12"/>
  <c r="O103" i="12"/>
  <c r="F103" i="12"/>
  <c r="L103" i="12"/>
  <c r="AB103" i="12"/>
  <c r="U103" i="12"/>
  <c r="N103" i="12"/>
  <c r="AD103" i="12"/>
  <c r="S103" i="12"/>
  <c r="P103" i="12"/>
  <c r="G103" i="12"/>
  <c r="I103" i="12"/>
  <c r="W103" i="12"/>
  <c r="Y103" i="12"/>
  <c r="R103" i="12"/>
  <c r="N33" i="12"/>
  <c r="AD33" i="12"/>
  <c r="S33" i="12"/>
  <c r="L33" i="12"/>
  <c r="AB33" i="12"/>
  <c r="U33" i="12"/>
  <c r="V33" i="12"/>
  <c r="AA33" i="12"/>
  <c r="M33" i="12"/>
  <c r="J33" i="12"/>
  <c r="O33" i="12"/>
  <c r="X33" i="12"/>
  <c r="F33" i="12"/>
  <c r="R33" i="12"/>
  <c r="G33" i="12"/>
  <c r="W33" i="12"/>
  <c r="P33" i="12"/>
  <c r="I33" i="12"/>
  <c r="Y33" i="12"/>
  <c r="AE33" i="12"/>
  <c r="K33" i="12"/>
  <c r="T33" i="12"/>
  <c r="AC33" i="12"/>
  <c r="Z33" i="12"/>
  <c r="H33" i="12"/>
  <c r="Q33" i="12"/>
  <c r="AE311" i="12"/>
  <c r="S311" i="12"/>
  <c r="L311" i="12"/>
  <c r="AB311" i="12"/>
  <c r="U311" i="12"/>
  <c r="N311" i="12"/>
  <c r="AD311" i="12"/>
  <c r="G311" i="12"/>
  <c r="W311" i="12"/>
  <c r="P311" i="12"/>
  <c r="I311" i="12"/>
  <c r="Y311" i="12"/>
  <c r="R311" i="12"/>
  <c r="F311" i="12"/>
  <c r="K311" i="12"/>
  <c r="AA311" i="12"/>
  <c r="T311" i="12"/>
  <c r="M311" i="12"/>
  <c r="AC311" i="12"/>
  <c r="V311" i="12"/>
  <c r="O311" i="12"/>
  <c r="J311" i="12"/>
  <c r="Q311" i="12"/>
  <c r="H311" i="12"/>
  <c r="Z311" i="12"/>
  <c r="X311" i="12"/>
  <c r="AE303" i="12"/>
  <c r="S303" i="12"/>
  <c r="L303" i="12"/>
  <c r="AB303" i="12"/>
  <c r="U303" i="12"/>
  <c r="N303" i="12"/>
  <c r="AD303" i="12"/>
  <c r="G303" i="12"/>
  <c r="W303" i="12"/>
  <c r="P303" i="12"/>
  <c r="I303" i="12"/>
  <c r="Y303" i="12"/>
  <c r="R303" i="12"/>
  <c r="F303" i="12"/>
  <c r="K303" i="12"/>
  <c r="AA303" i="12"/>
  <c r="T303" i="12"/>
  <c r="M303" i="12"/>
  <c r="AC303" i="12"/>
  <c r="V303" i="12"/>
  <c r="H303" i="12"/>
  <c r="Z303" i="12"/>
  <c r="X303" i="12"/>
  <c r="Q303" i="12"/>
  <c r="J303" i="12"/>
  <c r="O303" i="12"/>
  <c r="H119" i="12"/>
  <c r="X119" i="12"/>
  <c r="Q119" i="12"/>
  <c r="J119" i="12"/>
  <c r="Z119" i="12"/>
  <c r="O119" i="12"/>
  <c r="F119" i="12"/>
  <c r="L119" i="12"/>
  <c r="AB119" i="12"/>
  <c r="U119" i="12"/>
  <c r="N119" i="12"/>
  <c r="AD119" i="12"/>
  <c r="S119" i="12"/>
  <c r="P119" i="12"/>
  <c r="I119" i="12"/>
  <c r="Y119" i="12"/>
  <c r="R119" i="12"/>
  <c r="G119" i="12"/>
  <c r="W119" i="12"/>
  <c r="T119" i="12"/>
  <c r="K119" i="12"/>
  <c r="M119" i="12"/>
  <c r="AA119" i="12"/>
  <c r="AC119" i="12"/>
  <c r="AE119" i="12"/>
  <c r="V119" i="12"/>
  <c r="AE122" i="12"/>
  <c r="T122" i="12"/>
  <c r="M122" i="12"/>
  <c r="AC122" i="12"/>
  <c r="V122" i="12"/>
  <c r="K122" i="12"/>
  <c r="AA122" i="12"/>
  <c r="H122" i="12"/>
  <c r="X122" i="12"/>
  <c r="Q122" i="12"/>
  <c r="J122" i="12"/>
  <c r="Z122" i="12"/>
  <c r="O122" i="12"/>
  <c r="F122" i="12"/>
  <c r="L122" i="12"/>
  <c r="AB122" i="12"/>
  <c r="U122" i="12"/>
  <c r="N122" i="12"/>
  <c r="AD122" i="12"/>
  <c r="S122" i="12"/>
  <c r="R122" i="12"/>
  <c r="Y122" i="12"/>
  <c r="P122" i="12"/>
  <c r="G122" i="12"/>
  <c r="I122" i="12"/>
  <c r="W122" i="12"/>
  <c r="L120" i="12"/>
  <c r="AB120" i="12"/>
  <c r="U120" i="12"/>
  <c r="N120" i="12"/>
  <c r="AD120" i="12"/>
  <c r="S120" i="12"/>
  <c r="P120" i="12"/>
  <c r="I120" i="12"/>
  <c r="Y120" i="12"/>
  <c r="R120" i="12"/>
  <c r="G120" i="12"/>
  <c r="W120" i="12"/>
  <c r="T120" i="12"/>
  <c r="AC120" i="12"/>
  <c r="K120" i="12"/>
  <c r="X120" i="12"/>
  <c r="J120" i="12"/>
  <c r="O120" i="12"/>
  <c r="AE120" i="12"/>
  <c r="M120" i="12"/>
  <c r="V120" i="12"/>
  <c r="AA120" i="12"/>
  <c r="H120" i="12"/>
  <c r="F120" i="12"/>
  <c r="Q120" i="12"/>
  <c r="Z120" i="12"/>
  <c r="AI57" i="12"/>
  <c r="P317" i="12"/>
  <c r="F317" i="12"/>
  <c r="U317" i="12"/>
  <c r="N317" i="12"/>
  <c r="AD317" i="12"/>
  <c r="S317" i="12"/>
  <c r="H317" i="12"/>
  <c r="X317" i="12"/>
  <c r="M317" i="12"/>
  <c r="AC317" i="12"/>
  <c r="V317" i="12"/>
  <c r="K317" i="12"/>
  <c r="AA317" i="12"/>
  <c r="AE317" i="12"/>
  <c r="I317" i="12"/>
  <c r="R317" i="12"/>
  <c r="W317" i="12"/>
  <c r="L317" i="12"/>
  <c r="Q317" i="12"/>
  <c r="Z317" i="12"/>
  <c r="T317" i="12"/>
  <c r="Y317" i="12"/>
  <c r="G317" i="12"/>
  <c r="J317" i="12"/>
  <c r="O317" i="12"/>
  <c r="AB317" i="12"/>
  <c r="K205" i="12"/>
  <c r="AE205" i="12"/>
  <c r="W205" i="12"/>
  <c r="P205" i="12"/>
  <c r="I205" i="12"/>
  <c r="Y205" i="12"/>
  <c r="R205" i="12"/>
  <c r="F205" i="12"/>
  <c r="U205" i="12"/>
  <c r="G205" i="12"/>
  <c r="AA205" i="12"/>
  <c r="T205" i="12"/>
  <c r="M205" i="12"/>
  <c r="AC205" i="12"/>
  <c r="V205" i="12"/>
  <c r="AB205" i="12"/>
  <c r="O205" i="12"/>
  <c r="H205" i="12"/>
  <c r="X205" i="12"/>
  <c r="Q205" i="12"/>
  <c r="J205" i="12"/>
  <c r="Z205" i="12"/>
  <c r="L205" i="12"/>
  <c r="N205" i="12"/>
  <c r="S205" i="12"/>
  <c r="AD205" i="12"/>
  <c r="G234" i="12"/>
  <c r="W234" i="12"/>
  <c r="P234" i="12"/>
  <c r="I234" i="12"/>
  <c r="Y234" i="12"/>
  <c r="R234" i="12"/>
  <c r="F234" i="12"/>
  <c r="K234" i="12"/>
  <c r="AA234" i="12"/>
  <c r="T234" i="12"/>
  <c r="M234" i="12"/>
  <c r="AC234" i="12"/>
  <c r="V234" i="12"/>
  <c r="O234" i="12"/>
  <c r="H234" i="12"/>
  <c r="X234" i="12"/>
  <c r="Q234" i="12"/>
  <c r="J234" i="12"/>
  <c r="Z234" i="12"/>
  <c r="L234" i="12"/>
  <c r="AD234" i="12"/>
  <c r="AB234" i="12"/>
  <c r="S234" i="12"/>
  <c r="AE234" i="12"/>
  <c r="U234" i="12"/>
  <c r="N234" i="12"/>
  <c r="AI190" i="12"/>
  <c r="K208" i="12"/>
  <c r="AA208" i="12"/>
  <c r="T208" i="12"/>
  <c r="M208" i="12"/>
  <c r="AC208" i="12"/>
  <c r="V208" i="12"/>
  <c r="O208" i="12"/>
  <c r="H208" i="12"/>
  <c r="X208" i="12"/>
  <c r="Q208" i="12"/>
  <c r="J208" i="12"/>
  <c r="Z208" i="12"/>
  <c r="AE208" i="12"/>
  <c r="S208" i="12"/>
  <c r="L208" i="12"/>
  <c r="AB208" i="12"/>
  <c r="U208" i="12"/>
  <c r="N208" i="12"/>
  <c r="AD208" i="12"/>
  <c r="P208" i="12"/>
  <c r="F208" i="12"/>
  <c r="I208" i="12"/>
  <c r="G208" i="12"/>
  <c r="Y208" i="12"/>
  <c r="W208" i="12"/>
  <c r="R208" i="12"/>
  <c r="AE64" i="12"/>
  <c r="T64" i="12"/>
  <c r="M64" i="12"/>
  <c r="AC64" i="12"/>
  <c r="V64" i="12"/>
  <c r="K64" i="12"/>
  <c r="AA64" i="12"/>
  <c r="H64" i="12"/>
  <c r="X64" i="12"/>
  <c r="Q64" i="12"/>
  <c r="J64" i="12"/>
  <c r="Z64" i="12"/>
  <c r="O64" i="12"/>
  <c r="F64" i="12"/>
  <c r="L64" i="12"/>
  <c r="AB64" i="12"/>
  <c r="U64" i="12"/>
  <c r="N64" i="12"/>
  <c r="AD64" i="12"/>
  <c r="S64" i="12"/>
  <c r="I64" i="12"/>
  <c r="W64" i="12"/>
  <c r="Y64" i="12"/>
  <c r="R64" i="12"/>
  <c r="G64" i="12"/>
  <c r="P64" i="12"/>
  <c r="AE16" i="12"/>
  <c r="S16" i="12"/>
  <c r="L16" i="12"/>
  <c r="AB16" i="12"/>
  <c r="U16" i="12"/>
  <c r="N16" i="12"/>
  <c r="AD16" i="12"/>
  <c r="G16" i="12"/>
  <c r="W16" i="12"/>
  <c r="P16" i="12"/>
  <c r="I16" i="12"/>
  <c r="Y16" i="12"/>
  <c r="R16" i="12"/>
  <c r="F16" i="12"/>
  <c r="K16" i="12"/>
  <c r="AA16" i="12"/>
  <c r="T16" i="12"/>
  <c r="M16" i="12"/>
  <c r="AC16" i="12"/>
  <c r="V16" i="12"/>
  <c r="O16" i="12"/>
  <c r="J16" i="12"/>
  <c r="H16" i="12"/>
  <c r="Z16" i="12"/>
  <c r="Q16" i="12"/>
  <c r="X16" i="12"/>
  <c r="AE280" i="12"/>
  <c r="S280" i="12"/>
  <c r="L280" i="12"/>
  <c r="AB280" i="12"/>
  <c r="U280" i="12"/>
  <c r="N280" i="12"/>
  <c r="AD280" i="12"/>
  <c r="K280" i="12"/>
  <c r="T280" i="12"/>
  <c r="AC280" i="12"/>
  <c r="H280" i="12"/>
  <c r="J280" i="12"/>
  <c r="G280" i="12"/>
  <c r="W280" i="12"/>
  <c r="P280" i="12"/>
  <c r="I280" i="12"/>
  <c r="Y280" i="12"/>
  <c r="R280" i="12"/>
  <c r="F280" i="12"/>
  <c r="AA280" i="12"/>
  <c r="M280" i="12"/>
  <c r="V280" i="12"/>
  <c r="O280" i="12"/>
  <c r="X280" i="12"/>
  <c r="Q280" i="12"/>
  <c r="Z280" i="12"/>
  <c r="AE89" i="12"/>
  <c r="P89" i="12"/>
  <c r="I89" i="12"/>
  <c r="Y89" i="12"/>
  <c r="R89" i="12"/>
  <c r="K89" i="12"/>
  <c r="AA89" i="12"/>
  <c r="H89" i="12"/>
  <c r="T89" i="12"/>
  <c r="M89" i="12"/>
  <c r="AC89" i="12"/>
  <c r="V89" i="12"/>
  <c r="O89" i="12"/>
  <c r="F89" i="12"/>
  <c r="G89" i="12"/>
  <c r="X89" i="12"/>
  <c r="Q89" i="12"/>
  <c r="J89" i="12"/>
  <c r="Z89" i="12"/>
  <c r="S89" i="12"/>
  <c r="N89" i="12"/>
  <c r="W89" i="12"/>
  <c r="L89" i="12"/>
  <c r="AD89" i="12"/>
  <c r="AB89" i="12"/>
  <c r="U89" i="12"/>
  <c r="P132" i="12"/>
  <c r="I132" i="12"/>
  <c r="Y132" i="12"/>
  <c r="R132" i="12"/>
  <c r="G132" i="12"/>
  <c r="W132" i="12"/>
  <c r="H132" i="12"/>
  <c r="Q132" i="12"/>
  <c r="Z132" i="12"/>
  <c r="O132" i="12"/>
  <c r="AE132" i="12"/>
  <c r="T132" i="12"/>
  <c r="M132" i="12"/>
  <c r="AC132" i="12"/>
  <c r="V132" i="12"/>
  <c r="K132" i="12"/>
  <c r="AA132" i="12"/>
  <c r="X132" i="12"/>
  <c r="J132" i="12"/>
  <c r="F132" i="12"/>
  <c r="N132" i="12"/>
  <c r="AB132" i="12"/>
  <c r="U132" i="12"/>
  <c r="L132" i="12"/>
  <c r="AD132" i="12"/>
  <c r="S132" i="12"/>
  <c r="AI35" i="12"/>
  <c r="AI28" i="12"/>
  <c r="K220" i="12"/>
  <c r="AA220" i="12"/>
  <c r="T220" i="12"/>
  <c r="M220" i="12"/>
  <c r="AC220" i="12"/>
  <c r="V220" i="12"/>
  <c r="AE220" i="12"/>
  <c r="L220" i="12"/>
  <c r="AB220" i="12"/>
  <c r="U220" i="12"/>
  <c r="AD220" i="12"/>
  <c r="O220" i="12"/>
  <c r="H220" i="12"/>
  <c r="X220" i="12"/>
  <c r="Q220" i="12"/>
  <c r="J220" i="12"/>
  <c r="Z220" i="12"/>
  <c r="S220" i="12"/>
  <c r="N220" i="12"/>
  <c r="G220" i="12"/>
  <c r="Y220" i="12"/>
  <c r="F220" i="12"/>
  <c r="W220" i="12"/>
  <c r="R220" i="12"/>
  <c r="P220" i="12"/>
  <c r="I220" i="12"/>
  <c r="AI354" i="12"/>
  <c r="G228" i="12"/>
  <c r="W228" i="12"/>
  <c r="P228" i="12"/>
  <c r="I228" i="12"/>
  <c r="Y228" i="12"/>
  <c r="R228" i="12"/>
  <c r="F228" i="12"/>
  <c r="K228" i="12"/>
  <c r="AA228" i="12"/>
  <c r="T228" i="12"/>
  <c r="M228" i="12"/>
  <c r="AC228" i="12"/>
  <c r="V228" i="12"/>
  <c r="O228" i="12"/>
  <c r="H228" i="12"/>
  <c r="X228" i="12"/>
  <c r="Q228" i="12"/>
  <c r="J228" i="12"/>
  <c r="Z228" i="12"/>
  <c r="S228" i="12"/>
  <c r="N228" i="12"/>
  <c r="L228" i="12"/>
  <c r="AD228" i="12"/>
  <c r="AB228" i="12"/>
  <c r="U228" i="12"/>
  <c r="AE228" i="12"/>
  <c r="K229" i="12"/>
  <c r="AA229" i="12"/>
  <c r="T229" i="12"/>
  <c r="M229" i="12"/>
  <c r="AC229" i="12"/>
  <c r="V229" i="12"/>
  <c r="S229" i="12"/>
  <c r="AB229" i="12"/>
  <c r="N229" i="12"/>
  <c r="O229" i="12"/>
  <c r="H229" i="12"/>
  <c r="X229" i="12"/>
  <c r="Q229" i="12"/>
  <c r="J229" i="12"/>
  <c r="Z229" i="12"/>
  <c r="AE229" i="12"/>
  <c r="L229" i="12"/>
  <c r="U229" i="12"/>
  <c r="AD229" i="12"/>
  <c r="I229" i="12"/>
  <c r="W229" i="12"/>
  <c r="P229" i="12"/>
  <c r="G229" i="12"/>
  <c r="Y229" i="12"/>
  <c r="R229" i="12"/>
  <c r="F229" i="12"/>
  <c r="K306" i="12"/>
  <c r="AA306" i="12"/>
  <c r="T306" i="12"/>
  <c r="M306" i="12"/>
  <c r="AC306" i="12"/>
  <c r="V306" i="12"/>
  <c r="S306" i="12"/>
  <c r="AB306" i="12"/>
  <c r="N306" i="12"/>
  <c r="O306" i="12"/>
  <c r="H306" i="12"/>
  <c r="X306" i="12"/>
  <c r="Q306" i="12"/>
  <c r="J306" i="12"/>
  <c r="Z306" i="12"/>
  <c r="AE306" i="12"/>
  <c r="L306" i="12"/>
  <c r="U306" i="12"/>
  <c r="AD306" i="12"/>
  <c r="P306" i="12"/>
  <c r="F306" i="12"/>
  <c r="G306" i="12"/>
  <c r="W306" i="12"/>
  <c r="I306" i="12"/>
  <c r="Y306" i="12"/>
  <c r="R306" i="12"/>
  <c r="AE71" i="12"/>
  <c r="T71" i="12"/>
  <c r="M71" i="12"/>
  <c r="AC71" i="12"/>
  <c r="V71" i="12"/>
  <c r="K71" i="12"/>
  <c r="AA71" i="12"/>
  <c r="H71" i="12"/>
  <c r="X71" i="12"/>
  <c r="Q71" i="12"/>
  <c r="J71" i="12"/>
  <c r="Z71" i="12"/>
  <c r="O71" i="12"/>
  <c r="F71" i="12"/>
  <c r="L71" i="12"/>
  <c r="AB71" i="12"/>
  <c r="U71" i="12"/>
  <c r="N71" i="12"/>
  <c r="AD71" i="12"/>
  <c r="S71" i="12"/>
  <c r="R71" i="12"/>
  <c r="P71" i="12"/>
  <c r="G71" i="12"/>
  <c r="I71" i="12"/>
  <c r="W71" i="12"/>
  <c r="Y71" i="12"/>
  <c r="AE293" i="12"/>
  <c r="S293" i="12"/>
  <c r="L293" i="12"/>
  <c r="AB293" i="12"/>
  <c r="U293" i="12"/>
  <c r="N293" i="12"/>
  <c r="AD293" i="12"/>
  <c r="AA293" i="12"/>
  <c r="M293" i="12"/>
  <c r="AC293" i="12"/>
  <c r="G293" i="12"/>
  <c r="W293" i="12"/>
  <c r="P293" i="12"/>
  <c r="I293" i="12"/>
  <c r="Y293" i="12"/>
  <c r="R293" i="12"/>
  <c r="F293" i="12"/>
  <c r="K293" i="12"/>
  <c r="T293" i="12"/>
  <c r="V293" i="12"/>
  <c r="H293" i="12"/>
  <c r="Z293" i="12"/>
  <c r="O293" i="12"/>
  <c r="X293" i="12"/>
  <c r="Q293" i="12"/>
  <c r="J293" i="12"/>
  <c r="AI248" i="12"/>
  <c r="AI31" i="12"/>
  <c r="O273" i="12"/>
  <c r="H273" i="12"/>
  <c r="X273" i="12"/>
  <c r="Q273" i="12"/>
  <c r="AE273" i="12"/>
  <c r="S273" i="12"/>
  <c r="L273" i="12"/>
  <c r="AB273" i="12"/>
  <c r="U273" i="12"/>
  <c r="N273" i="12"/>
  <c r="G273" i="12"/>
  <c r="AA273" i="12"/>
  <c r="M273" i="12"/>
  <c r="R273" i="12"/>
  <c r="F273" i="12"/>
  <c r="K273" i="12"/>
  <c r="AC273" i="12"/>
  <c r="I273" i="12"/>
  <c r="AD273" i="12"/>
  <c r="P273" i="12"/>
  <c r="Y273" i="12"/>
  <c r="V273" i="12"/>
  <c r="T273" i="12"/>
  <c r="Z273" i="12"/>
  <c r="W273" i="12"/>
  <c r="J273" i="12"/>
  <c r="G221" i="12"/>
  <c r="W221" i="12"/>
  <c r="P221" i="12"/>
  <c r="I221" i="12"/>
  <c r="Y221" i="12"/>
  <c r="R221" i="12"/>
  <c r="F221" i="12"/>
  <c r="K221" i="12"/>
  <c r="AA221" i="12"/>
  <c r="T221" i="12"/>
  <c r="M221" i="12"/>
  <c r="AC221" i="12"/>
  <c r="V221" i="12"/>
  <c r="O221" i="12"/>
  <c r="H221" i="12"/>
  <c r="X221" i="12"/>
  <c r="Q221" i="12"/>
  <c r="J221" i="12"/>
  <c r="Z221" i="12"/>
  <c r="AE221" i="12"/>
  <c r="U221" i="12"/>
  <c r="S221" i="12"/>
  <c r="N221" i="12"/>
  <c r="L221" i="12"/>
  <c r="AD221" i="12"/>
  <c r="AB221" i="12"/>
  <c r="AI49" i="12"/>
  <c r="AI274" i="12"/>
  <c r="P75" i="12"/>
  <c r="I75" i="12"/>
  <c r="Y75" i="12"/>
  <c r="R75" i="12"/>
  <c r="G75" i="12"/>
  <c r="W75" i="12"/>
  <c r="X75" i="12"/>
  <c r="J75" i="12"/>
  <c r="O75" i="12"/>
  <c r="L75" i="12"/>
  <c r="U75" i="12"/>
  <c r="AD75" i="12"/>
  <c r="AE75" i="12"/>
  <c r="T75" i="12"/>
  <c r="M75" i="12"/>
  <c r="AC75" i="12"/>
  <c r="V75" i="12"/>
  <c r="K75" i="12"/>
  <c r="AA75" i="12"/>
  <c r="H75" i="12"/>
  <c r="Q75" i="12"/>
  <c r="Z75" i="12"/>
  <c r="F75" i="12"/>
  <c r="AB75" i="12"/>
  <c r="N75" i="12"/>
  <c r="S75" i="12"/>
  <c r="P73" i="12"/>
  <c r="I73" i="12"/>
  <c r="Y73" i="12"/>
  <c r="R73" i="12"/>
  <c r="G73" i="12"/>
  <c r="W73" i="12"/>
  <c r="AE73" i="12"/>
  <c r="T73" i="12"/>
  <c r="M73" i="12"/>
  <c r="AC73" i="12"/>
  <c r="V73" i="12"/>
  <c r="K73" i="12"/>
  <c r="AA73" i="12"/>
  <c r="H73" i="12"/>
  <c r="X73" i="12"/>
  <c r="Q73" i="12"/>
  <c r="J73" i="12"/>
  <c r="Z73" i="12"/>
  <c r="O73" i="12"/>
  <c r="F73" i="12"/>
  <c r="L73" i="12"/>
  <c r="AD73" i="12"/>
  <c r="AB73" i="12"/>
  <c r="S73" i="12"/>
  <c r="U73" i="12"/>
  <c r="N73" i="12"/>
  <c r="AE322" i="12"/>
  <c r="T322" i="12"/>
  <c r="M322" i="12"/>
  <c r="AC322" i="12"/>
  <c r="R322" i="12"/>
  <c r="G322" i="12"/>
  <c r="W322" i="12"/>
  <c r="H322" i="12"/>
  <c r="X322" i="12"/>
  <c r="Q322" i="12"/>
  <c r="F322" i="12"/>
  <c r="V322" i="12"/>
  <c r="K322" i="12"/>
  <c r="AA322" i="12"/>
  <c r="L322" i="12"/>
  <c r="AB322" i="12"/>
  <c r="U322" i="12"/>
  <c r="J322" i="12"/>
  <c r="Z322" i="12"/>
  <c r="O322" i="12"/>
  <c r="I322" i="12"/>
  <c r="S322" i="12"/>
  <c r="N322" i="12"/>
  <c r="P322" i="12"/>
  <c r="Y322" i="12"/>
  <c r="AD322" i="12"/>
  <c r="P336" i="12"/>
  <c r="I336" i="12"/>
  <c r="Y336" i="12"/>
  <c r="R336" i="12"/>
  <c r="G336" i="12"/>
  <c r="W336" i="12"/>
  <c r="AE336" i="12"/>
  <c r="T336" i="12"/>
  <c r="M336" i="12"/>
  <c r="AC336" i="12"/>
  <c r="V336" i="12"/>
  <c r="K336" i="12"/>
  <c r="AA336" i="12"/>
  <c r="H336" i="12"/>
  <c r="X336" i="12"/>
  <c r="Q336" i="12"/>
  <c r="J336" i="12"/>
  <c r="Z336" i="12"/>
  <c r="O336" i="12"/>
  <c r="F336" i="12"/>
  <c r="AB336" i="12"/>
  <c r="S336" i="12"/>
  <c r="U336" i="12"/>
  <c r="N336" i="12"/>
  <c r="L336" i="12"/>
  <c r="AD336" i="12"/>
  <c r="O264" i="12"/>
  <c r="H264" i="12"/>
  <c r="X264" i="12"/>
  <c r="Q264" i="12"/>
  <c r="J264" i="12"/>
  <c r="Z264" i="12"/>
  <c r="AE264" i="12"/>
  <c r="S264" i="12"/>
  <c r="L264" i="12"/>
  <c r="AB264" i="12"/>
  <c r="U264" i="12"/>
  <c r="N264" i="12"/>
  <c r="AD264" i="12"/>
  <c r="G264" i="12"/>
  <c r="W264" i="12"/>
  <c r="P264" i="12"/>
  <c r="I264" i="12"/>
  <c r="Y264" i="12"/>
  <c r="R264" i="12"/>
  <c r="F264" i="12"/>
  <c r="T264" i="12"/>
  <c r="AC264" i="12"/>
  <c r="V264" i="12"/>
  <c r="M264" i="12"/>
  <c r="K264" i="12"/>
  <c r="AA264" i="12"/>
  <c r="AE187" i="12"/>
  <c r="S187" i="12"/>
  <c r="L187" i="12"/>
  <c r="AB187" i="12"/>
  <c r="U187" i="12"/>
  <c r="N187" i="12"/>
  <c r="AD187" i="12"/>
  <c r="G187" i="12"/>
  <c r="W187" i="12"/>
  <c r="P187" i="12"/>
  <c r="I187" i="12"/>
  <c r="Y187" i="12"/>
  <c r="R187" i="12"/>
  <c r="F187" i="12"/>
  <c r="K187" i="12"/>
  <c r="AA187" i="12"/>
  <c r="T187" i="12"/>
  <c r="M187" i="12"/>
  <c r="AC187" i="12"/>
  <c r="V187" i="12"/>
  <c r="X187" i="12"/>
  <c r="J187" i="12"/>
  <c r="Z187" i="12"/>
  <c r="Q187" i="12"/>
  <c r="O187" i="12"/>
  <c r="H187" i="12"/>
  <c r="AI131" i="12"/>
  <c r="AI316" i="12"/>
  <c r="AE29" i="12"/>
  <c r="S29" i="12"/>
  <c r="L29" i="12"/>
  <c r="AB29" i="12"/>
  <c r="U29" i="12"/>
  <c r="N29" i="12"/>
  <c r="AD29" i="12"/>
  <c r="G29" i="12"/>
  <c r="W29" i="12"/>
  <c r="P29" i="12"/>
  <c r="I29" i="12"/>
  <c r="Y29" i="12"/>
  <c r="R29" i="12"/>
  <c r="F29" i="12"/>
  <c r="K29" i="12"/>
  <c r="AA29" i="12"/>
  <c r="T29" i="12"/>
  <c r="M29" i="12"/>
  <c r="AC29" i="12"/>
  <c r="V29" i="12"/>
  <c r="X29" i="12"/>
  <c r="Q29" i="12"/>
  <c r="O29" i="12"/>
  <c r="J29" i="12"/>
  <c r="H29" i="12"/>
  <c r="Z29" i="12"/>
  <c r="AE349" i="12"/>
  <c r="T349" i="12"/>
  <c r="I349" i="12"/>
  <c r="Y349" i="12"/>
  <c r="R349" i="12"/>
  <c r="G349" i="12"/>
  <c r="W349" i="12"/>
  <c r="H349" i="12"/>
  <c r="X349" i="12"/>
  <c r="M349" i="12"/>
  <c r="AC349" i="12"/>
  <c r="V349" i="12"/>
  <c r="K349" i="12"/>
  <c r="AA349" i="12"/>
  <c r="L349" i="12"/>
  <c r="AB349" i="12"/>
  <c r="Q349" i="12"/>
  <c r="J349" i="12"/>
  <c r="Z349" i="12"/>
  <c r="O349" i="12"/>
  <c r="N349" i="12"/>
  <c r="P349" i="12"/>
  <c r="AD349" i="12"/>
  <c r="F349" i="12"/>
  <c r="S349" i="12"/>
  <c r="U349" i="12"/>
  <c r="O201" i="12"/>
  <c r="H201" i="12"/>
  <c r="X201" i="12"/>
  <c r="Q201" i="12"/>
  <c r="J201" i="12"/>
  <c r="Z201" i="12"/>
  <c r="AE201" i="12"/>
  <c r="S201" i="12"/>
  <c r="L201" i="12"/>
  <c r="AB201" i="12"/>
  <c r="U201" i="12"/>
  <c r="N201" i="12"/>
  <c r="AD201" i="12"/>
  <c r="G201" i="12"/>
  <c r="W201" i="12"/>
  <c r="P201" i="12"/>
  <c r="I201" i="12"/>
  <c r="Y201" i="12"/>
  <c r="R201" i="12"/>
  <c r="F201" i="12"/>
  <c r="AA201" i="12"/>
  <c r="V201" i="12"/>
  <c r="T201" i="12"/>
  <c r="M201" i="12"/>
  <c r="K201" i="12"/>
  <c r="AC201" i="12"/>
  <c r="AI281" i="12"/>
  <c r="AI209" i="12"/>
  <c r="AE123" i="12"/>
  <c r="T123" i="12"/>
  <c r="M123" i="12"/>
  <c r="AC123" i="12"/>
  <c r="V123" i="12"/>
  <c r="K123" i="12"/>
  <c r="AA123" i="12"/>
  <c r="AB123" i="12"/>
  <c r="N123" i="12"/>
  <c r="S123" i="12"/>
  <c r="H123" i="12"/>
  <c r="X123" i="12"/>
  <c r="Q123" i="12"/>
  <c r="J123" i="12"/>
  <c r="Z123" i="12"/>
  <c r="O123" i="12"/>
  <c r="F123" i="12"/>
  <c r="L123" i="12"/>
  <c r="U123" i="12"/>
  <c r="AD123" i="12"/>
  <c r="P123" i="12"/>
  <c r="G123" i="12"/>
  <c r="R123" i="12"/>
  <c r="I123" i="12"/>
  <c r="W123" i="12"/>
  <c r="Y123" i="12"/>
  <c r="AE344" i="12"/>
  <c r="T344" i="12"/>
  <c r="M344" i="12"/>
  <c r="AC344" i="12"/>
  <c r="V344" i="12"/>
  <c r="K344" i="12"/>
  <c r="AA344" i="12"/>
  <c r="L344" i="12"/>
  <c r="AB344" i="12"/>
  <c r="U344" i="12"/>
  <c r="AD344" i="12"/>
  <c r="I344" i="12"/>
  <c r="R344" i="12"/>
  <c r="W344" i="12"/>
  <c r="H344" i="12"/>
  <c r="X344" i="12"/>
  <c r="Q344" i="12"/>
  <c r="J344" i="12"/>
  <c r="Z344" i="12"/>
  <c r="O344" i="12"/>
  <c r="F344" i="12"/>
  <c r="N344" i="12"/>
  <c r="S344" i="12"/>
  <c r="P344" i="12"/>
  <c r="Y344" i="12"/>
  <c r="G344" i="12"/>
  <c r="AI69" i="12"/>
  <c r="AE289" i="12"/>
  <c r="S289" i="12"/>
  <c r="L289" i="12"/>
  <c r="AB289" i="12"/>
  <c r="U289" i="12"/>
  <c r="N289" i="12"/>
  <c r="AD289" i="12"/>
  <c r="K289" i="12"/>
  <c r="T289" i="12"/>
  <c r="AC289" i="12"/>
  <c r="H289" i="12"/>
  <c r="Q289" i="12"/>
  <c r="Z289" i="12"/>
  <c r="G289" i="12"/>
  <c r="W289" i="12"/>
  <c r="P289" i="12"/>
  <c r="I289" i="12"/>
  <c r="Y289" i="12"/>
  <c r="R289" i="12"/>
  <c r="F289" i="12"/>
  <c r="AA289" i="12"/>
  <c r="M289" i="12"/>
  <c r="V289" i="12"/>
  <c r="O289" i="12"/>
  <c r="X289" i="12"/>
  <c r="J289" i="12"/>
  <c r="K225" i="12"/>
  <c r="AA225" i="12"/>
  <c r="T225" i="12"/>
  <c r="M225" i="12"/>
  <c r="AC225" i="12"/>
  <c r="V225" i="12"/>
  <c r="O225" i="12"/>
  <c r="H225" i="12"/>
  <c r="X225" i="12"/>
  <c r="Q225" i="12"/>
  <c r="J225" i="12"/>
  <c r="Z225" i="12"/>
  <c r="AE225" i="12"/>
  <c r="S225" i="12"/>
  <c r="L225" i="12"/>
  <c r="AB225" i="12"/>
  <c r="U225" i="12"/>
  <c r="N225" i="12"/>
  <c r="AD225" i="12"/>
  <c r="I225" i="12"/>
  <c r="G225" i="12"/>
  <c r="Y225" i="12"/>
  <c r="W225" i="12"/>
  <c r="R225" i="12"/>
  <c r="P225" i="12"/>
  <c r="F225" i="12"/>
  <c r="L100" i="12"/>
  <c r="AB100" i="12"/>
  <c r="U100" i="12"/>
  <c r="N100" i="12"/>
  <c r="AD100" i="12"/>
  <c r="S100" i="12"/>
  <c r="P100" i="12"/>
  <c r="I100" i="12"/>
  <c r="Y100" i="12"/>
  <c r="R100" i="12"/>
  <c r="G100" i="12"/>
  <c r="W100" i="12"/>
  <c r="AE100" i="12"/>
  <c r="T100" i="12"/>
  <c r="M100" i="12"/>
  <c r="AC100" i="12"/>
  <c r="V100" i="12"/>
  <c r="K100" i="12"/>
  <c r="AA100" i="12"/>
  <c r="H100" i="12"/>
  <c r="Z100" i="12"/>
  <c r="X100" i="12"/>
  <c r="O100" i="12"/>
  <c r="Q100" i="12"/>
  <c r="F100" i="12"/>
  <c r="J100" i="12"/>
  <c r="L334" i="12"/>
  <c r="AB334" i="12"/>
  <c r="U334" i="12"/>
  <c r="J334" i="12"/>
  <c r="Z334" i="12"/>
  <c r="O334" i="12"/>
  <c r="P334" i="12"/>
  <c r="I334" i="12"/>
  <c r="Y334" i="12"/>
  <c r="N334" i="12"/>
  <c r="AD334" i="12"/>
  <c r="S334" i="12"/>
  <c r="AE334" i="12"/>
  <c r="T334" i="12"/>
  <c r="M334" i="12"/>
  <c r="AC334" i="12"/>
  <c r="R334" i="12"/>
  <c r="G334" i="12"/>
  <c r="W334" i="12"/>
  <c r="Q334" i="12"/>
  <c r="AA334" i="12"/>
  <c r="F334" i="12"/>
  <c r="H334" i="12"/>
  <c r="V334" i="12"/>
  <c r="X334" i="12"/>
  <c r="K334" i="12"/>
  <c r="K295" i="12"/>
  <c r="AA295" i="12"/>
  <c r="T295" i="12"/>
  <c r="M295" i="12"/>
  <c r="AC295" i="12"/>
  <c r="V295" i="12"/>
  <c r="O295" i="12"/>
  <c r="H295" i="12"/>
  <c r="X295" i="12"/>
  <c r="Q295" i="12"/>
  <c r="J295" i="12"/>
  <c r="Z295" i="12"/>
  <c r="AE295" i="12"/>
  <c r="S295" i="12"/>
  <c r="L295" i="12"/>
  <c r="AB295" i="12"/>
  <c r="U295" i="12"/>
  <c r="N295" i="12"/>
  <c r="AD295" i="12"/>
  <c r="I295" i="12"/>
  <c r="G295" i="12"/>
  <c r="Y295" i="12"/>
  <c r="P295" i="12"/>
  <c r="W295" i="12"/>
  <c r="R295" i="12"/>
  <c r="F295" i="12"/>
  <c r="AI129" i="12"/>
  <c r="G219" i="12"/>
  <c r="W219" i="12"/>
  <c r="P219" i="12"/>
  <c r="I219" i="12"/>
  <c r="Y219" i="12"/>
  <c r="R219" i="12"/>
  <c r="F219" i="12"/>
  <c r="K219" i="12"/>
  <c r="AA219" i="12"/>
  <c r="T219" i="12"/>
  <c r="M219" i="12"/>
  <c r="AC219" i="12"/>
  <c r="V219" i="12"/>
  <c r="O219" i="12"/>
  <c r="H219" i="12"/>
  <c r="X219" i="12"/>
  <c r="Q219" i="12"/>
  <c r="J219" i="12"/>
  <c r="Z219" i="12"/>
  <c r="AE219" i="12"/>
  <c r="U219" i="12"/>
  <c r="S219" i="12"/>
  <c r="N219" i="12"/>
  <c r="L219" i="12"/>
  <c r="AD219" i="12"/>
  <c r="AB219" i="12"/>
  <c r="R56" i="12"/>
  <c r="G56" i="12"/>
  <c r="W56" i="12"/>
  <c r="P56" i="12"/>
  <c r="I56" i="12"/>
  <c r="Y56" i="12"/>
  <c r="AE56" i="12"/>
  <c r="V56" i="12"/>
  <c r="K56" i="12"/>
  <c r="AA56" i="12"/>
  <c r="T56" i="12"/>
  <c r="M56" i="12"/>
  <c r="AC56" i="12"/>
  <c r="J56" i="12"/>
  <c r="Z56" i="12"/>
  <c r="O56" i="12"/>
  <c r="H56" i="12"/>
  <c r="X56" i="12"/>
  <c r="Q56" i="12"/>
  <c r="F56" i="12"/>
  <c r="L56" i="12"/>
  <c r="N56" i="12"/>
  <c r="AB56" i="12"/>
  <c r="AD56" i="12"/>
  <c r="U56" i="12"/>
  <c r="S56" i="12"/>
  <c r="AI67" i="12"/>
  <c r="K283" i="12"/>
  <c r="AA283" i="12"/>
  <c r="T283" i="12"/>
  <c r="M283" i="12"/>
  <c r="AC283" i="12"/>
  <c r="V283" i="12"/>
  <c r="AE283" i="12"/>
  <c r="L283" i="12"/>
  <c r="U283" i="12"/>
  <c r="AD283" i="12"/>
  <c r="O283" i="12"/>
  <c r="H283" i="12"/>
  <c r="X283" i="12"/>
  <c r="Q283" i="12"/>
  <c r="J283" i="12"/>
  <c r="Z283" i="12"/>
  <c r="S283" i="12"/>
  <c r="AB283" i="12"/>
  <c r="N283" i="12"/>
  <c r="I283" i="12"/>
  <c r="R283" i="12"/>
  <c r="P283" i="12"/>
  <c r="F283" i="12"/>
  <c r="G283" i="12"/>
  <c r="Y283" i="12"/>
  <c r="W283" i="12"/>
  <c r="AI204" i="12"/>
  <c r="O169" i="12"/>
  <c r="H169" i="12"/>
  <c r="X169" i="12"/>
  <c r="Q169" i="12"/>
  <c r="J169" i="12"/>
  <c r="Z169" i="12"/>
  <c r="AE169" i="12"/>
  <c r="S169" i="12"/>
  <c r="L169" i="12"/>
  <c r="AB169" i="12"/>
  <c r="U169" i="12"/>
  <c r="N169" i="12"/>
  <c r="AD169" i="12"/>
  <c r="G169" i="12"/>
  <c r="W169" i="12"/>
  <c r="P169" i="12"/>
  <c r="I169" i="12"/>
  <c r="Y169" i="12"/>
  <c r="R169" i="12"/>
  <c r="F169" i="12"/>
  <c r="K169" i="12"/>
  <c r="AC169" i="12"/>
  <c r="M169" i="12"/>
  <c r="AA169" i="12"/>
  <c r="V169" i="12"/>
  <c r="T169" i="12"/>
  <c r="K157" i="12"/>
  <c r="AA157" i="12"/>
  <c r="T157" i="12"/>
  <c r="M157" i="12"/>
  <c r="AC157" i="12"/>
  <c r="V157" i="12"/>
  <c r="O157" i="12"/>
  <c r="H157" i="12"/>
  <c r="X157" i="12"/>
  <c r="Q157" i="12"/>
  <c r="J157" i="12"/>
  <c r="Z157" i="12"/>
  <c r="AE157" i="12"/>
  <c r="S157" i="12"/>
  <c r="L157" i="12"/>
  <c r="AB157" i="12"/>
  <c r="U157" i="12"/>
  <c r="N157" i="12"/>
  <c r="AD157" i="12"/>
  <c r="W157" i="12"/>
  <c r="R157" i="12"/>
  <c r="P157" i="12"/>
  <c r="F157" i="12"/>
  <c r="I157" i="12"/>
  <c r="Y157" i="12"/>
  <c r="G157" i="12"/>
  <c r="L138" i="12"/>
  <c r="AB138" i="12"/>
  <c r="U138" i="12"/>
  <c r="N138" i="12"/>
  <c r="AD138" i="12"/>
  <c r="S138" i="12"/>
  <c r="Q138" i="12"/>
  <c r="P138" i="12"/>
  <c r="I138" i="12"/>
  <c r="Y138" i="12"/>
  <c r="R138" i="12"/>
  <c r="G138" i="12"/>
  <c r="W138" i="12"/>
  <c r="H138" i="12"/>
  <c r="J138" i="12"/>
  <c r="O138" i="12"/>
  <c r="AE138" i="12"/>
  <c r="T138" i="12"/>
  <c r="M138" i="12"/>
  <c r="AC138" i="12"/>
  <c r="V138" i="12"/>
  <c r="K138" i="12"/>
  <c r="AA138" i="12"/>
  <c r="X138" i="12"/>
  <c r="Z138" i="12"/>
  <c r="F138" i="12"/>
  <c r="AI338" i="12"/>
  <c r="P328" i="12"/>
  <c r="I328" i="12"/>
  <c r="Y328" i="12"/>
  <c r="R328" i="12"/>
  <c r="G328" i="12"/>
  <c r="W328" i="12"/>
  <c r="AE328" i="12"/>
  <c r="T328" i="12"/>
  <c r="M328" i="12"/>
  <c r="AC328" i="12"/>
  <c r="V328" i="12"/>
  <c r="K328" i="12"/>
  <c r="AA328" i="12"/>
  <c r="H328" i="12"/>
  <c r="X328" i="12"/>
  <c r="Q328" i="12"/>
  <c r="J328" i="12"/>
  <c r="Z328" i="12"/>
  <c r="O328" i="12"/>
  <c r="F328" i="12"/>
  <c r="L328" i="12"/>
  <c r="AD328" i="12"/>
  <c r="U328" i="12"/>
  <c r="AB328" i="12"/>
  <c r="S328" i="12"/>
  <c r="N328" i="12"/>
  <c r="G298" i="12"/>
  <c r="W298" i="12"/>
  <c r="P298" i="12"/>
  <c r="I298" i="12"/>
  <c r="Y298" i="12"/>
  <c r="R298" i="12"/>
  <c r="F298" i="12"/>
  <c r="O298" i="12"/>
  <c r="H298" i="12"/>
  <c r="X298" i="12"/>
  <c r="Q298" i="12"/>
  <c r="J298" i="12"/>
  <c r="Z298" i="12"/>
  <c r="K298" i="12"/>
  <c r="T298" i="12"/>
  <c r="AC298" i="12"/>
  <c r="S298" i="12"/>
  <c r="AB298" i="12"/>
  <c r="N298" i="12"/>
  <c r="AA298" i="12"/>
  <c r="M298" i="12"/>
  <c r="V298" i="12"/>
  <c r="U298" i="12"/>
  <c r="AD298" i="12"/>
  <c r="AE298" i="12"/>
  <c r="L298" i="12"/>
  <c r="N41" i="12"/>
  <c r="AD41" i="12"/>
  <c r="S41" i="12"/>
  <c r="L41" i="12"/>
  <c r="AB41" i="12"/>
  <c r="U41" i="12"/>
  <c r="AE41" i="12"/>
  <c r="K41" i="12"/>
  <c r="T41" i="12"/>
  <c r="AC41" i="12"/>
  <c r="Z41" i="12"/>
  <c r="H41" i="12"/>
  <c r="Q41" i="12"/>
  <c r="R41" i="12"/>
  <c r="G41" i="12"/>
  <c r="W41" i="12"/>
  <c r="P41" i="12"/>
  <c r="I41" i="12"/>
  <c r="Y41" i="12"/>
  <c r="V41" i="12"/>
  <c r="AA41" i="12"/>
  <c r="M41" i="12"/>
  <c r="J41" i="12"/>
  <c r="O41" i="12"/>
  <c r="X41" i="12"/>
  <c r="F41" i="12"/>
  <c r="AI54" i="12"/>
  <c r="AI216" i="12"/>
  <c r="AI195" i="12"/>
  <c r="AE284" i="12"/>
  <c r="S284" i="12"/>
  <c r="L284" i="12"/>
  <c r="AB284" i="12"/>
  <c r="U284" i="12"/>
  <c r="N284" i="12"/>
  <c r="AD284" i="12"/>
  <c r="G284" i="12"/>
  <c r="W284" i="12"/>
  <c r="P284" i="12"/>
  <c r="I284" i="12"/>
  <c r="Y284" i="12"/>
  <c r="R284" i="12"/>
  <c r="F284" i="12"/>
  <c r="K284" i="12"/>
  <c r="AA284" i="12"/>
  <c r="T284" i="12"/>
  <c r="M284" i="12"/>
  <c r="AC284" i="12"/>
  <c r="V284" i="12"/>
  <c r="Q284" i="12"/>
  <c r="O284" i="12"/>
  <c r="J284" i="12"/>
  <c r="H284" i="12"/>
  <c r="Z284" i="12"/>
  <c r="X284" i="12"/>
  <c r="AE81" i="12"/>
  <c r="T81" i="12"/>
  <c r="M81" i="12"/>
  <c r="AC81" i="12"/>
  <c r="V81" i="12"/>
  <c r="K81" i="12"/>
  <c r="AA81" i="12"/>
  <c r="H81" i="12"/>
  <c r="X81" i="12"/>
  <c r="Q81" i="12"/>
  <c r="J81" i="12"/>
  <c r="Z81" i="12"/>
  <c r="O81" i="12"/>
  <c r="F81" i="12"/>
  <c r="L81" i="12"/>
  <c r="AB81" i="12"/>
  <c r="U81" i="12"/>
  <c r="N81" i="12"/>
  <c r="AD81" i="12"/>
  <c r="S81" i="12"/>
  <c r="I81" i="12"/>
  <c r="W81" i="12"/>
  <c r="Y81" i="12"/>
  <c r="R81" i="12"/>
  <c r="G81" i="12"/>
  <c r="P81" i="12"/>
  <c r="G255" i="12"/>
  <c r="W255" i="12"/>
  <c r="P255" i="12"/>
  <c r="I255" i="12"/>
  <c r="Y255" i="12"/>
  <c r="R255" i="12"/>
  <c r="F255" i="12"/>
  <c r="K255" i="12"/>
  <c r="AA255" i="12"/>
  <c r="T255" i="12"/>
  <c r="M255" i="12"/>
  <c r="AC255" i="12"/>
  <c r="V255" i="12"/>
  <c r="O255" i="12"/>
  <c r="H255" i="12"/>
  <c r="X255" i="12"/>
  <c r="Q255" i="12"/>
  <c r="J255" i="12"/>
  <c r="Z255" i="12"/>
  <c r="S255" i="12"/>
  <c r="N255" i="12"/>
  <c r="AE255" i="12"/>
  <c r="U255" i="12"/>
  <c r="L255" i="12"/>
  <c r="AD255" i="12"/>
  <c r="AB255" i="12"/>
  <c r="AE260" i="12"/>
  <c r="S260" i="12"/>
  <c r="L260" i="12"/>
  <c r="AB260" i="12"/>
  <c r="U260" i="12"/>
  <c r="N260" i="12"/>
  <c r="AD260" i="12"/>
  <c r="G260" i="12"/>
  <c r="W260" i="12"/>
  <c r="P260" i="12"/>
  <c r="I260" i="12"/>
  <c r="Y260" i="12"/>
  <c r="R260" i="12"/>
  <c r="F260" i="12"/>
  <c r="K260" i="12"/>
  <c r="AA260" i="12"/>
  <c r="T260" i="12"/>
  <c r="M260" i="12"/>
  <c r="AC260" i="12"/>
  <c r="V260" i="12"/>
  <c r="H260" i="12"/>
  <c r="Z260" i="12"/>
  <c r="X260" i="12"/>
  <c r="Q260" i="12"/>
  <c r="J260" i="12"/>
  <c r="O260" i="12"/>
  <c r="R58" i="12"/>
  <c r="G58" i="12"/>
  <c r="W58" i="12"/>
  <c r="P58" i="12"/>
  <c r="I58" i="12"/>
  <c r="Y58" i="12"/>
  <c r="AE58" i="12"/>
  <c r="V58" i="12"/>
  <c r="K58" i="12"/>
  <c r="AA58" i="12"/>
  <c r="T58" i="12"/>
  <c r="M58" i="12"/>
  <c r="AC58" i="12"/>
  <c r="J58" i="12"/>
  <c r="Z58" i="12"/>
  <c r="O58" i="12"/>
  <c r="H58" i="12"/>
  <c r="X58" i="12"/>
  <c r="Q58" i="12"/>
  <c r="F58" i="12"/>
  <c r="L58" i="12"/>
  <c r="N58" i="12"/>
  <c r="AB58" i="12"/>
  <c r="S58" i="12"/>
  <c r="AD58" i="12"/>
  <c r="U58" i="12"/>
  <c r="P97" i="12"/>
  <c r="I97" i="12"/>
  <c r="Y97" i="12"/>
  <c r="R97" i="12"/>
  <c r="G97" i="12"/>
  <c r="W97" i="12"/>
  <c r="AE97" i="12"/>
  <c r="T97" i="12"/>
  <c r="M97" i="12"/>
  <c r="AC97" i="12"/>
  <c r="V97" i="12"/>
  <c r="K97" i="12"/>
  <c r="AA97" i="12"/>
  <c r="H97" i="12"/>
  <c r="X97" i="12"/>
  <c r="Q97" i="12"/>
  <c r="J97" i="12"/>
  <c r="Z97" i="12"/>
  <c r="O97" i="12"/>
  <c r="F97" i="12"/>
  <c r="U97" i="12"/>
  <c r="N97" i="12"/>
  <c r="L97" i="12"/>
  <c r="AD97" i="12"/>
  <c r="S97" i="12"/>
  <c r="AB97" i="12"/>
  <c r="AI133" i="12"/>
  <c r="K285" i="12"/>
  <c r="AA285" i="12"/>
  <c r="T285" i="12"/>
  <c r="M285" i="12"/>
  <c r="AC285" i="12"/>
  <c r="V285" i="12"/>
  <c r="O285" i="12"/>
  <c r="H285" i="12"/>
  <c r="X285" i="12"/>
  <c r="Q285" i="12"/>
  <c r="J285" i="12"/>
  <c r="Z285" i="12"/>
  <c r="AE285" i="12"/>
  <c r="S285" i="12"/>
  <c r="L285" i="12"/>
  <c r="AB285" i="12"/>
  <c r="U285" i="12"/>
  <c r="N285" i="12"/>
  <c r="AD285" i="12"/>
  <c r="I285" i="12"/>
  <c r="G285" i="12"/>
  <c r="Y285" i="12"/>
  <c r="W285" i="12"/>
  <c r="R285" i="12"/>
  <c r="P285" i="12"/>
  <c r="F285" i="12"/>
  <c r="AI185" i="12"/>
  <c r="AI27" i="12"/>
  <c r="AE249" i="12"/>
  <c r="S249" i="12"/>
  <c r="L249" i="12"/>
  <c r="AB249" i="12"/>
  <c r="U249" i="12"/>
  <c r="N249" i="12"/>
  <c r="AD249" i="12"/>
  <c r="AA249" i="12"/>
  <c r="M249" i="12"/>
  <c r="V249" i="12"/>
  <c r="G249" i="12"/>
  <c r="W249" i="12"/>
  <c r="P249" i="12"/>
  <c r="I249" i="12"/>
  <c r="Y249" i="12"/>
  <c r="R249" i="12"/>
  <c r="F249" i="12"/>
  <c r="K249" i="12"/>
  <c r="T249" i="12"/>
  <c r="AC249" i="12"/>
  <c r="H249" i="12"/>
  <c r="Z249" i="12"/>
  <c r="O249" i="12"/>
  <c r="X249" i="12"/>
  <c r="Q249" i="12"/>
  <c r="J249" i="12"/>
  <c r="O32" i="12"/>
  <c r="I32" i="12"/>
  <c r="AD32" i="12"/>
  <c r="AA32" i="12"/>
  <c r="AB32" i="12"/>
  <c r="Y32" i="12"/>
  <c r="Z32" i="12"/>
  <c r="U32" i="12"/>
  <c r="AE32" i="12"/>
  <c r="S32" i="12"/>
  <c r="Q32" i="12"/>
  <c r="L32" i="12"/>
  <c r="M32" i="12"/>
  <c r="H32" i="12"/>
  <c r="AC32" i="12"/>
  <c r="K32" i="12"/>
  <c r="W32" i="12"/>
  <c r="G32" i="12"/>
  <c r="J32" i="12"/>
  <c r="V32" i="12"/>
  <c r="R32" i="12"/>
  <c r="T32" i="12"/>
  <c r="P32" i="12"/>
  <c r="F32" i="12"/>
  <c r="N32" i="12"/>
  <c r="X32" i="12"/>
  <c r="O240" i="12"/>
  <c r="H240" i="12"/>
  <c r="X240" i="12"/>
  <c r="Q240" i="12"/>
  <c r="J240" i="12"/>
  <c r="Z240" i="12"/>
  <c r="G240" i="12"/>
  <c r="W240" i="12"/>
  <c r="P240" i="12"/>
  <c r="I240" i="12"/>
  <c r="Y240" i="12"/>
  <c r="R240" i="12"/>
  <c r="F240" i="12"/>
  <c r="S240" i="12"/>
  <c r="AB240" i="12"/>
  <c r="N240" i="12"/>
  <c r="AA240" i="12"/>
  <c r="M240" i="12"/>
  <c r="V240" i="12"/>
  <c r="AE240" i="12"/>
  <c r="L240" i="12"/>
  <c r="U240" i="12"/>
  <c r="AD240" i="12"/>
  <c r="K240" i="12"/>
  <c r="T240" i="12"/>
  <c r="AC240" i="12"/>
  <c r="K24" i="12"/>
  <c r="AA24" i="12"/>
  <c r="T24" i="12"/>
  <c r="M24" i="12"/>
  <c r="AC24" i="12"/>
  <c r="V24" i="12"/>
  <c r="S24" i="12"/>
  <c r="AB24" i="12"/>
  <c r="N24" i="12"/>
  <c r="G24" i="12"/>
  <c r="P24" i="12"/>
  <c r="Y24" i="12"/>
  <c r="F24" i="12"/>
  <c r="O24" i="12"/>
  <c r="H24" i="12"/>
  <c r="X24" i="12"/>
  <c r="Q24" i="12"/>
  <c r="J24" i="12"/>
  <c r="Z24" i="12"/>
  <c r="AE24" i="12"/>
  <c r="L24" i="12"/>
  <c r="U24" i="12"/>
  <c r="AD24" i="12"/>
  <c r="W24" i="12"/>
  <c r="I24" i="12"/>
  <c r="R24" i="12"/>
  <c r="H80" i="12"/>
  <c r="X80" i="12"/>
  <c r="Q80" i="12"/>
  <c r="J80" i="12"/>
  <c r="Z80" i="12"/>
  <c r="O80" i="12"/>
  <c r="F80" i="12"/>
  <c r="P80" i="12"/>
  <c r="I80" i="12"/>
  <c r="Y80" i="12"/>
  <c r="R80" i="12"/>
  <c r="G80" i="12"/>
  <c r="W80" i="12"/>
  <c r="L80" i="12"/>
  <c r="U80" i="12"/>
  <c r="AD80" i="12"/>
  <c r="T80" i="12"/>
  <c r="AC80" i="12"/>
  <c r="K80" i="12"/>
  <c r="AB80" i="12"/>
  <c r="N80" i="12"/>
  <c r="S80" i="12"/>
  <c r="AE80" i="12"/>
  <c r="M80" i="12"/>
  <c r="V80" i="12"/>
  <c r="AA80" i="12"/>
  <c r="AI335" i="12"/>
  <c r="AI179" i="12"/>
  <c r="O156" i="12"/>
  <c r="H156" i="12"/>
  <c r="X156" i="12"/>
  <c r="Q156" i="12"/>
  <c r="J156" i="12"/>
  <c r="Z156" i="12"/>
  <c r="G156" i="12"/>
  <c r="P156" i="12"/>
  <c r="Y156" i="12"/>
  <c r="F156" i="12"/>
  <c r="AE156" i="12"/>
  <c r="S156" i="12"/>
  <c r="L156" i="12"/>
  <c r="AB156" i="12"/>
  <c r="U156" i="12"/>
  <c r="N156" i="12"/>
  <c r="AD156" i="12"/>
  <c r="W156" i="12"/>
  <c r="I156" i="12"/>
  <c r="R156" i="12"/>
  <c r="K156" i="12"/>
  <c r="AC156" i="12"/>
  <c r="M156" i="12"/>
  <c r="AA156" i="12"/>
  <c r="V156" i="12"/>
  <c r="T156" i="12"/>
  <c r="P117" i="12"/>
  <c r="I117" i="12"/>
  <c r="Y117" i="12"/>
  <c r="R117" i="12"/>
  <c r="G117" i="12"/>
  <c r="W117" i="12"/>
  <c r="AE117" i="12"/>
  <c r="T117" i="12"/>
  <c r="M117" i="12"/>
  <c r="AC117" i="12"/>
  <c r="V117" i="12"/>
  <c r="K117" i="12"/>
  <c r="AA117" i="12"/>
  <c r="H117" i="12"/>
  <c r="X117" i="12"/>
  <c r="Q117" i="12"/>
  <c r="J117" i="12"/>
  <c r="Z117" i="12"/>
  <c r="O117" i="12"/>
  <c r="F117" i="12"/>
  <c r="U117" i="12"/>
  <c r="N117" i="12"/>
  <c r="L117" i="12"/>
  <c r="AD117" i="12"/>
  <c r="S117" i="12"/>
  <c r="AB117" i="12"/>
  <c r="AE302" i="12"/>
  <c r="S302" i="12"/>
  <c r="L302" i="12"/>
  <c r="AB302" i="12"/>
  <c r="U302" i="12"/>
  <c r="N302" i="12"/>
  <c r="AD302" i="12"/>
  <c r="G302" i="12"/>
  <c r="W302" i="12"/>
  <c r="P302" i="12"/>
  <c r="I302" i="12"/>
  <c r="Y302" i="12"/>
  <c r="R302" i="12"/>
  <c r="F302" i="12"/>
  <c r="K302" i="12"/>
  <c r="AA302" i="12"/>
  <c r="T302" i="12"/>
  <c r="M302" i="12"/>
  <c r="AC302" i="12"/>
  <c r="V302" i="12"/>
  <c r="O302" i="12"/>
  <c r="J302" i="12"/>
  <c r="H302" i="12"/>
  <c r="Z302" i="12"/>
  <c r="X302" i="12"/>
  <c r="Q302" i="12"/>
  <c r="AE171" i="12"/>
  <c r="S171" i="12"/>
  <c r="L171" i="12"/>
  <c r="AB171" i="12"/>
  <c r="U171" i="12"/>
  <c r="N171" i="12"/>
  <c r="AD171" i="12"/>
  <c r="K171" i="12"/>
  <c r="T171" i="12"/>
  <c r="AC171" i="12"/>
  <c r="G171" i="12"/>
  <c r="W171" i="12"/>
  <c r="P171" i="12"/>
  <c r="I171" i="12"/>
  <c r="Y171" i="12"/>
  <c r="R171" i="12"/>
  <c r="F171" i="12"/>
  <c r="AA171" i="12"/>
  <c r="M171" i="12"/>
  <c r="V171" i="12"/>
  <c r="Q171" i="12"/>
  <c r="H171" i="12"/>
  <c r="X171" i="12"/>
  <c r="O171" i="12"/>
  <c r="J171" i="12"/>
  <c r="Z171" i="12"/>
  <c r="AE39" i="12"/>
  <c r="V39" i="12"/>
  <c r="K39" i="12"/>
  <c r="AA39" i="12"/>
  <c r="T39" i="12"/>
  <c r="M39" i="12"/>
  <c r="AC39" i="12"/>
  <c r="J39" i="12"/>
  <c r="Z39" i="12"/>
  <c r="O39" i="12"/>
  <c r="H39" i="12"/>
  <c r="X39" i="12"/>
  <c r="Q39" i="12"/>
  <c r="F39" i="12"/>
  <c r="N39" i="12"/>
  <c r="AD39" i="12"/>
  <c r="S39" i="12"/>
  <c r="L39" i="12"/>
  <c r="AB39" i="12"/>
  <c r="U39" i="12"/>
  <c r="P39" i="12"/>
  <c r="R39" i="12"/>
  <c r="I39" i="12"/>
  <c r="G39" i="12"/>
  <c r="Y39" i="12"/>
  <c r="W39" i="12"/>
  <c r="K150" i="12"/>
  <c r="AA150" i="12"/>
  <c r="T150" i="12"/>
  <c r="M150" i="12"/>
  <c r="AC150" i="12"/>
  <c r="V150" i="12"/>
  <c r="AE150" i="12"/>
  <c r="L150" i="12"/>
  <c r="U150" i="12"/>
  <c r="O150" i="12"/>
  <c r="H150" i="12"/>
  <c r="X150" i="12"/>
  <c r="Q150" i="12"/>
  <c r="J150" i="12"/>
  <c r="Z150" i="12"/>
  <c r="S150" i="12"/>
  <c r="AB150" i="12"/>
  <c r="N150" i="12"/>
  <c r="AD150" i="12"/>
  <c r="I150" i="12"/>
  <c r="R150" i="12"/>
  <c r="F150" i="12"/>
  <c r="G150" i="12"/>
  <c r="Y150" i="12"/>
  <c r="W150" i="12"/>
  <c r="P150" i="12"/>
  <c r="H352" i="12"/>
  <c r="X352" i="12"/>
  <c r="Q352" i="12"/>
  <c r="J352" i="12"/>
  <c r="Z352" i="12"/>
  <c r="O352" i="12"/>
  <c r="F352" i="12"/>
  <c r="L352" i="12"/>
  <c r="AB352" i="12"/>
  <c r="U352" i="12"/>
  <c r="N352" i="12"/>
  <c r="AD352" i="12"/>
  <c r="S352" i="12"/>
  <c r="P352" i="12"/>
  <c r="I352" i="12"/>
  <c r="Y352" i="12"/>
  <c r="R352" i="12"/>
  <c r="G352" i="12"/>
  <c r="W352" i="12"/>
  <c r="T352" i="12"/>
  <c r="K352" i="12"/>
  <c r="M352" i="12"/>
  <c r="AA352" i="12"/>
  <c r="AC352" i="12"/>
  <c r="AE352" i="12"/>
  <c r="V352" i="12"/>
  <c r="AI78" i="12"/>
  <c r="AI268" i="12"/>
  <c r="G191" i="12"/>
  <c r="W191" i="12"/>
  <c r="P191" i="12"/>
  <c r="I191" i="12"/>
  <c r="Y191" i="12"/>
  <c r="R191" i="12"/>
  <c r="F191" i="12"/>
  <c r="K191" i="12"/>
  <c r="AA191" i="12"/>
  <c r="T191" i="12"/>
  <c r="M191" i="12"/>
  <c r="AC191" i="12"/>
  <c r="V191" i="12"/>
  <c r="O191" i="12"/>
  <c r="H191" i="12"/>
  <c r="X191" i="12"/>
  <c r="Q191" i="12"/>
  <c r="J191" i="12"/>
  <c r="Z191" i="12"/>
  <c r="L191" i="12"/>
  <c r="AD191" i="12"/>
  <c r="AE191" i="12"/>
  <c r="N191" i="12"/>
  <c r="AB191" i="12"/>
  <c r="U191" i="12"/>
  <c r="S191" i="12"/>
  <c r="L339" i="12"/>
  <c r="AB339" i="12"/>
  <c r="U339" i="12"/>
  <c r="N339" i="12"/>
  <c r="AD339" i="12"/>
  <c r="O339" i="12"/>
  <c r="P339" i="12"/>
  <c r="I339" i="12"/>
  <c r="Y339" i="12"/>
  <c r="R339" i="12"/>
  <c r="F339" i="12"/>
  <c r="S339" i="12"/>
  <c r="AE339" i="12"/>
  <c r="T339" i="12"/>
  <c r="M339" i="12"/>
  <c r="AC339" i="12"/>
  <c r="V339" i="12"/>
  <c r="G339" i="12"/>
  <c r="W339" i="12"/>
  <c r="X339" i="12"/>
  <c r="K339" i="12"/>
  <c r="J339" i="12"/>
  <c r="H339" i="12"/>
  <c r="Q339" i="12"/>
  <c r="AA339" i="12"/>
  <c r="Z339" i="12"/>
  <c r="O160" i="12"/>
  <c r="H160" i="12"/>
  <c r="X160" i="12"/>
  <c r="Q160" i="12"/>
  <c r="J160" i="12"/>
  <c r="Z160" i="12"/>
  <c r="AE160" i="12"/>
  <c r="S160" i="12"/>
  <c r="L160" i="12"/>
  <c r="AB160" i="12"/>
  <c r="U160" i="12"/>
  <c r="N160" i="12"/>
  <c r="AD160" i="12"/>
  <c r="G160" i="12"/>
  <c r="W160" i="12"/>
  <c r="P160" i="12"/>
  <c r="I160" i="12"/>
  <c r="Y160" i="12"/>
  <c r="R160" i="12"/>
  <c r="F160" i="12"/>
  <c r="T160" i="12"/>
  <c r="M160" i="12"/>
  <c r="AA160" i="12"/>
  <c r="K160" i="12"/>
  <c r="AC160" i="12"/>
  <c r="V160" i="12"/>
  <c r="P61" i="12"/>
  <c r="I61" i="12"/>
  <c r="Y61" i="12"/>
  <c r="R61" i="12"/>
  <c r="G61" i="12"/>
  <c r="W61" i="12"/>
  <c r="AE61" i="12"/>
  <c r="T61" i="12"/>
  <c r="M61" i="12"/>
  <c r="AC61" i="12"/>
  <c r="V61" i="12"/>
  <c r="K61" i="12"/>
  <c r="AA61" i="12"/>
  <c r="H61" i="12"/>
  <c r="X61" i="12"/>
  <c r="Q61" i="12"/>
  <c r="J61" i="12"/>
  <c r="Z61" i="12"/>
  <c r="O61" i="12"/>
  <c r="F61" i="12"/>
  <c r="U61" i="12"/>
  <c r="N61" i="12"/>
  <c r="AB61" i="12"/>
  <c r="L61" i="12"/>
  <c r="AD61" i="12"/>
  <c r="S61" i="12"/>
  <c r="AI115" i="12"/>
  <c r="AI66" i="12"/>
  <c r="AI177" i="12"/>
  <c r="K212" i="12"/>
  <c r="AA212" i="12"/>
  <c r="T212" i="12"/>
  <c r="M212" i="12"/>
  <c r="AC212" i="12"/>
  <c r="V212" i="12"/>
  <c r="O212" i="12"/>
  <c r="H212" i="12"/>
  <c r="X212" i="12"/>
  <c r="Q212" i="12"/>
  <c r="J212" i="12"/>
  <c r="Z212" i="12"/>
  <c r="AE212" i="12"/>
  <c r="S212" i="12"/>
  <c r="L212" i="12"/>
  <c r="AB212" i="12"/>
  <c r="U212" i="12"/>
  <c r="N212" i="12"/>
  <c r="AD212" i="12"/>
  <c r="G212" i="12"/>
  <c r="Y212" i="12"/>
  <c r="W212" i="12"/>
  <c r="R212" i="12"/>
  <c r="P212" i="12"/>
  <c r="F212" i="12"/>
  <c r="I212" i="12"/>
  <c r="N36" i="12"/>
  <c r="AD36" i="12"/>
  <c r="S36" i="12"/>
  <c r="L36" i="12"/>
  <c r="AB36" i="12"/>
  <c r="U36" i="12"/>
  <c r="AE36" i="12"/>
  <c r="K36" i="12"/>
  <c r="T36" i="12"/>
  <c r="AC36" i="12"/>
  <c r="R36" i="12"/>
  <c r="G36" i="12"/>
  <c r="W36" i="12"/>
  <c r="P36" i="12"/>
  <c r="I36" i="12"/>
  <c r="Y36" i="12"/>
  <c r="V36" i="12"/>
  <c r="AA36" i="12"/>
  <c r="M36" i="12"/>
  <c r="H36" i="12"/>
  <c r="Q36" i="12"/>
  <c r="F36" i="12"/>
  <c r="J36" i="12"/>
  <c r="X36" i="12"/>
  <c r="Z36" i="12"/>
  <c r="O36" i="12"/>
  <c r="H79" i="12"/>
  <c r="X79" i="12"/>
  <c r="Q79" i="12"/>
  <c r="J79" i="12"/>
  <c r="Z79" i="12"/>
  <c r="O79" i="12"/>
  <c r="F79" i="12"/>
  <c r="L79" i="12"/>
  <c r="AB79" i="12"/>
  <c r="U79" i="12"/>
  <c r="N79" i="12"/>
  <c r="AD79" i="12"/>
  <c r="S79" i="12"/>
  <c r="P79" i="12"/>
  <c r="I79" i="12"/>
  <c r="Y79" i="12"/>
  <c r="R79" i="12"/>
  <c r="G79" i="12"/>
  <c r="W79" i="12"/>
  <c r="T79" i="12"/>
  <c r="K79" i="12"/>
  <c r="M79" i="12"/>
  <c r="AA79" i="12"/>
  <c r="AC79" i="12"/>
  <c r="V79" i="12"/>
  <c r="AE79" i="12"/>
  <c r="AI155" i="12"/>
  <c r="K271" i="12"/>
  <c r="AA271" i="12"/>
  <c r="T271" i="12"/>
  <c r="M271" i="12"/>
  <c r="AC271" i="12"/>
  <c r="V271" i="12"/>
  <c r="O271" i="12"/>
  <c r="H271" i="12"/>
  <c r="X271" i="12"/>
  <c r="Q271" i="12"/>
  <c r="J271" i="12"/>
  <c r="Z271" i="12"/>
  <c r="AE271" i="12"/>
  <c r="S271" i="12"/>
  <c r="L271" i="12"/>
  <c r="AB271" i="12"/>
  <c r="U271" i="12"/>
  <c r="N271" i="12"/>
  <c r="AD271" i="12"/>
  <c r="I271" i="12"/>
  <c r="G271" i="12"/>
  <c r="Y271" i="12"/>
  <c r="W271" i="12"/>
  <c r="R271" i="12"/>
  <c r="P271" i="12"/>
  <c r="F271" i="12"/>
  <c r="G256" i="12"/>
  <c r="W256" i="12"/>
  <c r="P256" i="12"/>
  <c r="I256" i="12"/>
  <c r="Y256" i="12"/>
  <c r="R256" i="12"/>
  <c r="F256" i="12"/>
  <c r="O256" i="12"/>
  <c r="H256" i="12"/>
  <c r="X256" i="12"/>
  <c r="Q256" i="12"/>
  <c r="J256" i="12"/>
  <c r="Z256" i="12"/>
  <c r="K256" i="12"/>
  <c r="T256" i="12"/>
  <c r="AC256" i="12"/>
  <c r="S256" i="12"/>
  <c r="AB256" i="12"/>
  <c r="N256" i="12"/>
  <c r="AA256" i="12"/>
  <c r="M256" i="12"/>
  <c r="V256" i="12"/>
  <c r="L256" i="12"/>
  <c r="U256" i="12"/>
  <c r="AD256" i="12"/>
  <c r="AE256" i="12"/>
  <c r="AI53" i="12"/>
  <c r="H107" i="12"/>
  <c r="X107" i="12"/>
  <c r="Q107" i="12"/>
  <c r="J107" i="12"/>
  <c r="Z107" i="12"/>
  <c r="O107" i="12"/>
  <c r="F107" i="12"/>
  <c r="L107" i="12"/>
  <c r="AB107" i="12"/>
  <c r="U107" i="12"/>
  <c r="N107" i="12"/>
  <c r="AD107" i="12"/>
  <c r="S107" i="12"/>
  <c r="P107" i="12"/>
  <c r="I107" i="12"/>
  <c r="Y107" i="12"/>
  <c r="R107" i="12"/>
  <c r="G107" i="12"/>
  <c r="W107" i="12"/>
  <c r="AC107" i="12"/>
  <c r="AE107" i="12"/>
  <c r="V107" i="12"/>
  <c r="T107" i="12"/>
  <c r="K107" i="12"/>
  <c r="AA107" i="12"/>
  <c r="M107" i="12"/>
  <c r="H144" i="12"/>
  <c r="X144" i="12"/>
  <c r="Q144" i="12"/>
  <c r="J144" i="12"/>
  <c r="Z144" i="12"/>
  <c r="O144" i="12"/>
  <c r="F144" i="12"/>
  <c r="L144" i="12"/>
  <c r="AB144" i="12"/>
  <c r="U144" i="12"/>
  <c r="N144" i="12"/>
  <c r="AD144" i="12"/>
  <c r="S144" i="12"/>
  <c r="P144" i="12"/>
  <c r="I144" i="12"/>
  <c r="Y144" i="12"/>
  <c r="R144" i="12"/>
  <c r="G144" i="12"/>
  <c r="W144" i="12"/>
  <c r="AC144" i="12"/>
  <c r="AE144" i="12"/>
  <c r="V144" i="12"/>
  <c r="T144" i="12"/>
  <c r="K144" i="12"/>
  <c r="AA144" i="12"/>
  <c r="M144" i="12"/>
  <c r="P359" i="12"/>
  <c r="I359" i="12"/>
  <c r="Y359" i="12"/>
  <c r="R359" i="12"/>
  <c r="F359" i="12"/>
  <c r="S359" i="12"/>
  <c r="AE359" i="12"/>
  <c r="T359" i="12"/>
  <c r="M359" i="12"/>
  <c r="AC359" i="12"/>
  <c r="V359" i="12"/>
  <c r="G359" i="12"/>
  <c r="W359" i="12"/>
  <c r="H359" i="12"/>
  <c r="X359" i="12"/>
  <c r="Q359" i="12"/>
  <c r="J359" i="12"/>
  <c r="Z359" i="12"/>
  <c r="K359" i="12"/>
  <c r="AA359" i="12"/>
  <c r="N359" i="12"/>
  <c r="L359" i="12"/>
  <c r="AD359" i="12"/>
  <c r="AB359" i="12"/>
  <c r="O359" i="12"/>
  <c r="U359" i="12"/>
  <c r="P77" i="12"/>
  <c r="I77" i="12"/>
  <c r="Y77" i="12"/>
  <c r="R77" i="12"/>
  <c r="G77" i="12"/>
  <c r="W77" i="12"/>
  <c r="AE77" i="12"/>
  <c r="T77" i="12"/>
  <c r="M77" i="12"/>
  <c r="AC77" i="12"/>
  <c r="V77" i="12"/>
  <c r="K77" i="12"/>
  <c r="AA77" i="12"/>
  <c r="H77" i="12"/>
  <c r="X77" i="12"/>
  <c r="Q77" i="12"/>
  <c r="J77" i="12"/>
  <c r="Z77" i="12"/>
  <c r="O77" i="12"/>
  <c r="F77" i="12"/>
  <c r="U77" i="12"/>
  <c r="S77" i="12"/>
  <c r="N77" i="12"/>
  <c r="L77" i="12"/>
  <c r="AD77" i="12"/>
  <c r="AB77" i="12"/>
  <c r="AI43" i="12"/>
  <c r="G282" i="12"/>
  <c r="W282" i="12"/>
  <c r="P282" i="12"/>
  <c r="I282" i="12"/>
  <c r="Y282" i="12"/>
  <c r="R282" i="12"/>
  <c r="F282" i="12"/>
  <c r="K282" i="12"/>
  <c r="AA282" i="12"/>
  <c r="T282" i="12"/>
  <c r="M282" i="12"/>
  <c r="AC282" i="12"/>
  <c r="V282" i="12"/>
  <c r="O282" i="12"/>
  <c r="H282" i="12"/>
  <c r="X282" i="12"/>
  <c r="Q282" i="12"/>
  <c r="J282" i="12"/>
  <c r="Z282" i="12"/>
  <c r="L282" i="12"/>
  <c r="AD282" i="12"/>
  <c r="AB282" i="12"/>
  <c r="S282" i="12"/>
  <c r="AE282" i="12"/>
  <c r="U282" i="12"/>
  <c r="N282" i="12"/>
  <c r="P121" i="12"/>
  <c r="I121" i="12"/>
  <c r="Y121" i="12"/>
  <c r="R121" i="12"/>
  <c r="G121" i="12"/>
  <c r="W121" i="12"/>
  <c r="AE121" i="12"/>
  <c r="T121" i="12"/>
  <c r="M121" i="12"/>
  <c r="AC121" i="12"/>
  <c r="V121" i="12"/>
  <c r="K121" i="12"/>
  <c r="AA121" i="12"/>
  <c r="H121" i="12"/>
  <c r="X121" i="12"/>
  <c r="Q121" i="12"/>
  <c r="J121" i="12"/>
  <c r="Z121" i="12"/>
  <c r="O121" i="12"/>
  <c r="F121" i="12"/>
  <c r="N121" i="12"/>
  <c r="L121" i="12"/>
  <c r="AD121" i="12"/>
  <c r="AB121" i="12"/>
  <c r="S121" i="12"/>
  <c r="U121" i="12"/>
  <c r="AE340" i="12"/>
  <c r="T340" i="12"/>
  <c r="M340" i="12"/>
  <c r="AC340" i="12"/>
  <c r="V340" i="12"/>
  <c r="K340" i="12"/>
  <c r="AA340" i="12"/>
  <c r="H340" i="12"/>
  <c r="X340" i="12"/>
  <c r="Q340" i="12"/>
  <c r="J340" i="12"/>
  <c r="Z340" i="12"/>
  <c r="O340" i="12"/>
  <c r="F340" i="12"/>
  <c r="L340" i="12"/>
  <c r="AB340" i="12"/>
  <c r="U340" i="12"/>
  <c r="N340" i="12"/>
  <c r="AD340" i="12"/>
  <c r="S340" i="12"/>
  <c r="I340" i="12"/>
  <c r="W340" i="12"/>
  <c r="R340" i="12"/>
  <c r="G340" i="12"/>
  <c r="Y340" i="12"/>
  <c r="P340" i="12"/>
  <c r="L135" i="12"/>
  <c r="AB135" i="12"/>
  <c r="U135" i="12"/>
  <c r="N135" i="12"/>
  <c r="AD135" i="12"/>
  <c r="S135" i="12"/>
  <c r="P135" i="12"/>
  <c r="I135" i="12"/>
  <c r="Y135" i="12"/>
  <c r="R135" i="12"/>
  <c r="G135" i="12"/>
  <c r="W135" i="12"/>
  <c r="AE135" i="12"/>
  <c r="T135" i="12"/>
  <c r="M135" i="12"/>
  <c r="AC135" i="12"/>
  <c r="V135" i="12"/>
  <c r="K135" i="12"/>
  <c r="AA135" i="12"/>
  <c r="Q135" i="12"/>
  <c r="F135" i="12"/>
  <c r="J135" i="12"/>
  <c r="X135" i="12"/>
  <c r="H135" i="12"/>
  <c r="Z135" i="12"/>
  <c r="O135" i="12"/>
  <c r="L345" i="12"/>
  <c r="AB345" i="12"/>
  <c r="Q345" i="12"/>
  <c r="J345" i="12"/>
  <c r="Z345" i="12"/>
  <c r="O345" i="12"/>
  <c r="P345" i="12"/>
  <c r="F345" i="12"/>
  <c r="U345" i="12"/>
  <c r="N345" i="12"/>
  <c r="AD345" i="12"/>
  <c r="S345" i="12"/>
  <c r="AE345" i="12"/>
  <c r="T345" i="12"/>
  <c r="I345" i="12"/>
  <c r="Y345" i="12"/>
  <c r="R345" i="12"/>
  <c r="G345" i="12"/>
  <c r="W345" i="12"/>
  <c r="X345" i="12"/>
  <c r="K345" i="12"/>
  <c r="H345" i="12"/>
  <c r="M345" i="12"/>
  <c r="AA345" i="12"/>
  <c r="AC345" i="12"/>
  <c r="V345" i="12"/>
  <c r="K263" i="12"/>
  <c r="AA263" i="12"/>
  <c r="T263" i="12"/>
  <c r="M263" i="12"/>
  <c r="AC263" i="12"/>
  <c r="V263" i="12"/>
  <c r="O263" i="12"/>
  <c r="H263" i="12"/>
  <c r="X263" i="12"/>
  <c r="Q263" i="12"/>
  <c r="J263" i="12"/>
  <c r="Z263" i="12"/>
  <c r="AE263" i="12"/>
  <c r="S263" i="12"/>
  <c r="L263" i="12"/>
  <c r="AB263" i="12"/>
  <c r="U263" i="12"/>
  <c r="N263" i="12"/>
  <c r="AD263" i="12"/>
  <c r="I263" i="12"/>
  <c r="G263" i="12"/>
  <c r="Y263" i="12"/>
  <c r="W263" i="12"/>
  <c r="R263" i="12"/>
  <c r="P263" i="12"/>
  <c r="F263" i="12"/>
  <c r="O266" i="12"/>
  <c r="H266" i="12"/>
  <c r="X266" i="12"/>
  <c r="Q266" i="12"/>
  <c r="J266" i="12"/>
  <c r="Z266" i="12"/>
  <c r="G266" i="12"/>
  <c r="W266" i="12"/>
  <c r="P266" i="12"/>
  <c r="I266" i="12"/>
  <c r="Y266" i="12"/>
  <c r="R266" i="12"/>
  <c r="F266" i="12"/>
  <c r="S266" i="12"/>
  <c r="AB266" i="12"/>
  <c r="N266" i="12"/>
  <c r="AA266" i="12"/>
  <c r="M266" i="12"/>
  <c r="V266" i="12"/>
  <c r="AE266" i="12"/>
  <c r="L266" i="12"/>
  <c r="U266" i="12"/>
  <c r="AD266" i="12"/>
  <c r="K266" i="12"/>
  <c r="T266" i="12"/>
  <c r="AC266" i="12"/>
  <c r="H333" i="12"/>
  <c r="X333" i="12"/>
  <c r="M333" i="12"/>
  <c r="AC333" i="12"/>
  <c r="V333" i="12"/>
  <c r="K333" i="12"/>
  <c r="AA333" i="12"/>
  <c r="P333" i="12"/>
  <c r="F333" i="12"/>
  <c r="U333" i="12"/>
  <c r="N333" i="12"/>
  <c r="AD333" i="12"/>
  <c r="S333" i="12"/>
  <c r="AB333" i="12"/>
  <c r="J333" i="12"/>
  <c r="O333" i="12"/>
  <c r="AE333" i="12"/>
  <c r="I333" i="12"/>
  <c r="R333" i="12"/>
  <c r="W333" i="12"/>
  <c r="L333" i="12"/>
  <c r="Q333" i="12"/>
  <c r="Z333" i="12"/>
  <c r="T333" i="12"/>
  <c r="Y333" i="12"/>
  <c r="G333" i="12"/>
  <c r="AR245" i="12"/>
  <c r="AE294" i="12"/>
  <c r="S294" i="12"/>
  <c r="L294" i="12"/>
  <c r="AB294" i="12"/>
  <c r="U294" i="12"/>
  <c r="N294" i="12"/>
  <c r="AD294" i="12"/>
  <c r="K294" i="12"/>
  <c r="T294" i="12"/>
  <c r="AC294" i="12"/>
  <c r="G294" i="12"/>
  <c r="W294" i="12"/>
  <c r="P294" i="12"/>
  <c r="I294" i="12"/>
  <c r="Y294" i="12"/>
  <c r="R294" i="12"/>
  <c r="F294" i="12"/>
  <c r="AA294" i="12"/>
  <c r="M294" i="12"/>
  <c r="V294" i="12"/>
  <c r="O294" i="12"/>
  <c r="J294" i="12"/>
  <c r="Q294" i="12"/>
  <c r="H294" i="12"/>
  <c r="Z294" i="12"/>
  <c r="X294" i="12"/>
  <c r="G172" i="12"/>
  <c r="W172" i="12"/>
  <c r="P172" i="12"/>
  <c r="I172" i="12"/>
  <c r="Y172" i="12"/>
  <c r="R172" i="12"/>
  <c r="F172" i="12"/>
  <c r="K172" i="12"/>
  <c r="AA172" i="12"/>
  <c r="T172" i="12"/>
  <c r="M172" i="12"/>
  <c r="AC172" i="12"/>
  <c r="V172" i="12"/>
  <c r="O172" i="12"/>
  <c r="H172" i="12"/>
  <c r="X172" i="12"/>
  <c r="Q172" i="12"/>
  <c r="J172" i="12"/>
  <c r="Z172" i="12"/>
  <c r="AB172" i="12"/>
  <c r="AE172" i="12"/>
  <c r="U172" i="12"/>
  <c r="S172" i="12"/>
  <c r="N172" i="12"/>
  <c r="AD172" i="12"/>
  <c r="L172" i="12"/>
  <c r="AI65" i="12"/>
  <c r="H101" i="12"/>
  <c r="X101" i="12"/>
  <c r="Q101" i="12"/>
  <c r="J101" i="12"/>
  <c r="Z101" i="12"/>
  <c r="O101" i="12"/>
  <c r="F101" i="12"/>
  <c r="I101" i="12"/>
  <c r="R101" i="12"/>
  <c r="W101" i="12"/>
  <c r="L101" i="12"/>
  <c r="AB101" i="12"/>
  <c r="U101" i="12"/>
  <c r="N101" i="12"/>
  <c r="AD101" i="12"/>
  <c r="S101" i="12"/>
  <c r="P101" i="12"/>
  <c r="Y101" i="12"/>
  <c r="G101" i="12"/>
  <c r="AC101" i="12"/>
  <c r="K101" i="12"/>
  <c r="M101" i="12"/>
  <c r="AE101" i="12"/>
  <c r="V101" i="12"/>
  <c r="T101" i="12"/>
  <c r="AA101" i="12"/>
  <c r="K265" i="12"/>
  <c r="AA265" i="12"/>
  <c r="T265" i="12"/>
  <c r="M265" i="12"/>
  <c r="AC265" i="12"/>
  <c r="V265" i="12"/>
  <c r="AE265" i="12"/>
  <c r="L265" i="12"/>
  <c r="U265" i="12"/>
  <c r="AD265" i="12"/>
  <c r="W265" i="12"/>
  <c r="I265" i="12"/>
  <c r="R265" i="12"/>
  <c r="O265" i="12"/>
  <c r="H265" i="12"/>
  <c r="X265" i="12"/>
  <c r="Q265" i="12"/>
  <c r="J265" i="12"/>
  <c r="Z265" i="12"/>
  <c r="S265" i="12"/>
  <c r="AB265" i="12"/>
  <c r="N265" i="12"/>
  <c r="G265" i="12"/>
  <c r="P265" i="12"/>
  <c r="Y265" i="12"/>
  <c r="F265" i="12"/>
  <c r="P342" i="12"/>
  <c r="I342" i="12"/>
  <c r="Y342" i="12"/>
  <c r="N342" i="12"/>
  <c r="AD342" i="12"/>
  <c r="S342" i="12"/>
  <c r="AE342" i="12"/>
  <c r="T342" i="12"/>
  <c r="M342" i="12"/>
  <c r="AC342" i="12"/>
  <c r="R342" i="12"/>
  <c r="G342" i="12"/>
  <c r="W342" i="12"/>
  <c r="H342" i="12"/>
  <c r="X342" i="12"/>
  <c r="Q342" i="12"/>
  <c r="F342" i="12"/>
  <c r="V342" i="12"/>
  <c r="K342" i="12"/>
  <c r="AA342" i="12"/>
  <c r="J342" i="12"/>
  <c r="AB342" i="12"/>
  <c r="U342" i="12"/>
  <c r="L342" i="12"/>
  <c r="Z342" i="12"/>
  <c r="O342" i="12"/>
  <c r="O168" i="12"/>
  <c r="H168" i="12"/>
  <c r="X168" i="12"/>
  <c r="Q168" i="12"/>
  <c r="J168" i="12"/>
  <c r="Z168" i="12"/>
  <c r="G168" i="12"/>
  <c r="W168" i="12"/>
  <c r="Y168" i="12"/>
  <c r="F168" i="12"/>
  <c r="AE168" i="12"/>
  <c r="S168" i="12"/>
  <c r="L168" i="12"/>
  <c r="AB168" i="12"/>
  <c r="U168" i="12"/>
  <c r="N168" i="12"/>
  <c r="AD168" i="12"/>
  <c r="P168" i="12"/>
  <c r="I168" i="12"/>
  <c r="R168" i="12"/>
  <c r="AA168" i="12"/>
  <c r="V168" i="12"/>
  <c r="K168" i="12"/>
  <c r="T168" i="12"/>
  <c r="M168" i="12"/>
  <c r="AC168" i="12"/>
  <c r="AE301" i="12"/>
  <c r="S301" i="12"/>
  <c r="L301" i="12"/>
  <c r="AB301" i="12"/>
  <c r="U301" i="12"/>
  <c r="N301" i="12"/>
  <c r="AD301" i="12"/>
  <c r="O301" i="12"/>
  <c r="Z301" i="12"/>
  <c r="G301" i="12"/>
  <c r="W301" i="12"/>
  <c r="P301" i="12"/>
  <c r="I301" i="12"/>
  <c r="Y301" i="12"/>
  <c r="R301" i="12"/>
  <c r="F301" i="12"/>
  <c r="H301" i="12"/>
  <c r="Q301" i="12"/>
  <c r="K301" i="12"/>
  <c r="AA301" i="12"/>
  <c r="T301" i="12"/>
  <c r="M301" i="12"/>
  <c r="AC301" i="12"/>
  <c r="V301" i="12"/>
  <c r="X301" i="12"/>
  <c r="J301" i="12"/>
  <c r="AE19" i="12"/>
  <c r="S19" i="12"/>
  <c r="L19" i="12"/>
  <c r="AB19" i="12"/>
  <c r="U19" i="12"/>
  <c r="N19" i="12"/>
  <c r="AD19" i="12"/>
  <c r="K19" i="12"/>
  <c r="AA19" i="12"/>
  <c r="T19" i="12"/>
  <c r="M19" i="12"/>
  <c r="AC19" i="12"/>
  <c r="V19" i="12"/>
  <c r="W19" i="12"/>
  <c r="I19" i="12"/>
  <c r="R19" i="12"/>
  <c r="X19" i="12"/>
  <c r="H19" i="12"/>
  <c r="Q19" i="12"/>
  <c r="Z19" i="12"/>
  <c r="O19" i="12"/>
  <c r="G19" i="12"/>
  <c r="P19" i="12"/>
  <c r="Y19" i="12"/>
  <c r="F19" i="12"/>
  <c r="J19" i="12"/>
  <c r="P357" i="12"/>
  <c r="F357" i="12"/>
  <c r="U357" i="12"/>
  <c r="N357" i="12"/>
  <c r="AD357" i="12"/>
  <c r="S357" i="12"/>
  <c r="X357" i="12"/>
  <c r="AC357" i="12"/>
  <c r="K357" i="12"/>
  <c r="AE357" i="12"/>
  <c r="T357" i="12"/>
  <c r="I357" i="12"/>
  <c r="Y357" i="12"/>
  <c r="R357" i="12"/>
  <c r="G357" i="12"/>
  <c r="W357" i="12"/>
  <c r="H357" i="12"/>
  <c r="M357" i="12"/>
  <c r="V357" i="12"/>
  <c r="AA357" i="12"/>
  <c r="L357" i="12"/>
  <c r="Z357" i="12"/>
  <c r="J357" i="12"/>
  <c r="AB357" i="12"/>
  <c r="O357" i="12"/>
  <c r="Q357" i="12"/>
  <c r="K215" i="12"/>
  <c r="AA215" i="12"/>
  <c r="T215" i="12"/>
  <c r="M215" i="12"/>
  <c r="AC215" i="12"/>
  <c r="V215" i="12"/>
  <c r="O215" i="12"/>
  <c r="H215" i="12"/>
  <c r="X215" i="12"/>
  <c r="Q215" i="12"/>
  <c r="J215" i="12"/>
  <c r="Z215" i="12"/>
  <c r="AE215" i="12"/>
  <c r="S215" i="12"/>
  <c r="L215" i="12"/>
  <c r="AB215" i="12"/>
  <c r="U215" i="12"/>
  <c r="N215" i="12"/>
  <c r="AD215" i="12"/>
  <c r="G215" i="12"/>
  <c r="Y215" i="12"/>
  <c r="W215" i="12"/>
  <c r="R215" i="12"/>
  <c r="P215" i="12"/>
  <c r="F215" i="12"/>
  <c r="I215" i="12"/>
  <c r="K247" i="12"/>
  <c r="AA247" i="12"/>
  <c r="T247" i="12"/>
  <c r="M247" i="12"/>
  <c r="AC247" i="12"/>
  <c r="V247" i="12"/>
  <c r="O247" i="12"/>
  <c r="H247" i="12"/>
  <c r="X247" i="12"/>
  <c r="Q247" i="12"/>
  <c r="J247" i="12"/>
  <c r="Z247" i="12"/>
  <c r="AE247" i="12"/>
  <c r="S247" i="12"/>
  <c r="L247" i="12"/>
  <c r="AB247" i="12"/>
  <c r="U247" i="12"/>
  <c r="N247" i="12"/>
  <c r="AD247" i="12"/>
  <c r="G247" i="12"/>
  <c r="Y247" i="12"/>
  <c r="W247" i="12"/>
  <c r="R247" i="12"/>
  <c r="I247" i="12"/>
  <c r="P247" i="12"/>
  <c r="F247" i="12"/>
  <c r="K300" i="12"/>
  <c r="AA300" i="12"/>
  <c r="T300" i="12"/>
  <c r="M300" i="12"/>
  <c r="AC300" i="12"/>
  <c r="V300" i="12"/>
  <c r="O300" i="12"/>
  <c r="H300" i="12"/>
  <c r="X300" i="12"/>
  <c r="Q300" i="12"/>
  <c r="J300" i="12"/>
  <c r="Z300" i="12"/>
  <c r="AE300" i="12"/>
  <c r="S300" i="12"/>
  <c r="L300" i="12"/>
  <c r="AB300" i="12"/>
  <c r="U300" i="12"/>
  <c r="N300" i="12"/>
  <c r="AD300" i="12"/>
  <c r="I300" i="12"/>
  <c r="W300" i="12"/>
  <c r="G300" i="12"/>
  <c r="Y300" i="12"/>
  <c r="R300" i="12"/>
  <c r="P300" i="12"/>
  <c r="F300" i="12"/>
  <c r="L98" i="12"/>
  <c r="AB98" i="12"/>
  <c r="U98" i="12"/>
  <c r="N98" i="12"/>
  <c r="AD98" i="12"/>
  <c r="S98" i="12"/>
  <c r="P98" i="12"/>
  <c r="I98" i="12"/>
  <c r="Y98" i="12"/>
  <c r="R98" i="12"/>
  <c r="G98" i="12"/>
  <c r="W98" i="12"/>
  <c r="AE98" i="12"/>
  <c r="T98" i="12"/>
  <c r="M98" i="12"/>
  <c r="AC98" i="12"/>
  <c r="V98" i="12"/>
  <c r="K98" i="12"/>
  <c r="AA98" i="12"/>
  <c r="J98" i="12"/>
  <c r="X98" i="12"/>
  <c r="Q98" i="12"/>
  <c r="H98" i="12"/>
  <c r="Z98" i="12"/>
  <c r="O98" i="12"/>
  <c r="F98" i="12"/>
  <c r="AE55" i="12"/>
  <c r="V55" i="12"/>
  <c r="K55" i="12"/>
  <c r="AA55" i="12"/>
  <c r="T55" i="12"/>
  <c r="M55" i="12"/>
  <c r="AC55" i="12"/>
  <c r="J55" i="12"/>
  <c r="Z55" i="12"/>
  <c r="O55" i="12"/>
  <c r="H55" i="12"/>
  <c r="X55" i="12"/>
  <c r="Q55" i="12"/>
  <c r="F55" i="12"/>
  <c r="N55" i="12"/>
  <c r="AD55" i="12"/>
  <c r="S55" i="12"/>
  <c r="L55" i="12"/>
  <c r="AB55" i="12"/>
  <c r="U55" i="12"/>
  <c r="G55" i="12"/>
  <c r="Y55" i="12"/>
  <c r="W55" i="12"/>
  <c r="R55" i="12"/>
  <c r="P55" i="12"/>
  <c r="I55" i="12"/>
  <c r="L109" i="12"/>
  <c r="AB109" i="12"/>
  <c r="U109" i="12"/>
  <c r="N109" i="12"/>
  <c r="AD109" i="12"/>
  <c r="S109" i="12"/>
  <c r="Q109" i="12"/>
  <c r="P109" i="12"/>
  <c r="I109" i="12"/>
  <c r="Y109" i="12"/>
  <c r="R109" i="12"/>
  <c r="G109" i="12"/>
  <c r="W109" i="12"/>
  <c r="H109" i="12"/>
  <c r="J109" i="12"/>
  <c r="F109" i="12"/>
  <c r="AE109" i="12"/>
  <c r="T109" i="12"/>
  <c r="M109" i="12"/>
  <c r="AC109" i="12"/>
  <c r="V109" i="12"/>
  <c r="K109" i="12"/>
  <c r="AA109" i="12"/>
  <c r="X109" i="12"/>
  <c r="Z109" i="12"/>
  <c r="O109" i="12"/>
  <c r="K224" i="12"/>
  <c r="AA224" i="12"/>
  <c r="T224" i="12"/>
  <c r="M224" i="12"/>
  <c r="AC224" i="12"/>
  <c r="V224" i="12"/>
  <c r="O224" i="12"/>
  <c r="H224" i="12"/>
  <c r="X224" i="12"/>
  <c r="Q224" i="12"/>
  <c r="J224" i="12"/>
  <c r="Z224" i="12"/>
  <c r="AE224" i="12"/>
  <c r="S224" i="12"/>
  <c r="L224" i="12"/>
  <c r="AB224" i="12"/>
  <c r="U224" i="12"/>
  <c r="N224" i="12"/>
  <c r="AD224" i="12"/>
  <c r="G224" i="12"/>
  <c r="Y224" i="12"/>
  <c r="W224" i="12"/>
  <c r="R224" i="12"/>
  <c r="P224" i="12"/>
  <c r="F224" i="12"/>
  <c r="I224" i="12"/>
  <c r="H114" i="12"/>
  <c r="X114" i="12"/>
  <c r="Q114" i="12"/>
  <c r="J114" i="12"/>
  <c r="Z114" i="12"/>
  <c r="O114" i="12"/>
  <c r="F114" i="12"/>
  <c r="L114" i="12"/>
  <c r="AB114" i="12"/>
  <c r="U114" i="12"/>
  <c r="N114" i="12"/>
  <c r="AD114" i="12"/>
  <c r="S114" i="12"/>
  <c r="P114" i="12"/>
  <c r="I114" i="12"/>
  <c r="Y114" i="12"/>
  <c r="R114" i="12"/>
  <c r="G114" i="12"/>
  <c r="W114" i="12"/>
  <c r="M114" i="12"/>
  <c r="AA114" i="12"/>
  <c r="AC114" i="12"/>
  <c r="AE114" i="12"/>
  <c r="V114" i="12"/>
  <c r="K114" i="12"/>
  <c r="T114" i="12"/>
  <c r="AE76" i="12"/>
  <c r="T76" i="12"/>
  <c r="M76" i="12"/>
  <c r="AC76" i="12"/>
  <c r="V76" i="12"/>
  <c r="K76" i="12"/>
  <c r="AA76" i="12"/>
  <c r="AB76" i="12"/>
  <c r="N76" i="12"/>
  <c r="S76" i="12"/>
  <c r="H76" i="12"/>
  <c r="X76" i="12"/>
  <c r="Q76" i="12"/>
  <c r="J76" i="12"/>
  <c r="Z76" i="12"/>
  <c r="O76" i="12"/>
  <c r="F76" i="12"/>
  <c r="L76" i="12"/>
  <c r="U76" i="12"/>
  <c r="AD76" i="12"/>
  <c r="Y76" i="12"/>
  <c r="P76" i="12"/>
  <c r="I76" i="12"/>
  <c r="R76" i="12"/>
  <c r="G76" i="12"/>
  <c r="W76" i="12"/>
  <c r="K258" i="12"/>
  <c r="AA258" i="12"/>
  <c r="T258" i="12"/>
  <c r="M258" i="12"/>
  <c r="AC258" i="12"/>
  <c r="V258" i="12"/>
  <c r="O258" i="12"/>
  <c r="H258" i="12"/>
  <c r="X258" i="12"/>
  <c r="Q258" i="12"/>
  <c r="J258" i="12"/>
  <c r="Z258" i="12"/>
  <c r="AE258" i="12"/>
  <c r="S258" i="12"/>
  <c r="L258" i="12"/>
  <c r="AB258" i="12"/>
  <c r="U258" i="12"/>
  <c r="N258" i="12"/>
  <c r="AD258" i="12"/>
  <c r="P258" i="12"/>
  <c r="F258" i="12"/>
  <c r="Y258" i="12"/>
  <c r="W258" i="12"/>
  <c r="I258" i="12"/>
  <c r="G258" i="12"/>
  <c r="R258" i="12"/>
  <c r="AE194" i="12"/>
  <c r="S194" i="12"/>
  <c r="L194" i="12"/>
  <c r="AB194" i="12"/>
  <c r="U194" i="12"/>
  <c r="N194" i="12"/>
  <c r="AD194" i="12"/>
  <c r="K194" i="12"/>
  <c r="T194" i="12"/>
  <c r="AC194" i="12"/>
  <c r="V194" i="12"/>
  <c r="O194" i="12"/>
  <c r="X194" i="12"/>
  <c r="J194" i="12"/>
  <c r="G194" i="12"/>
  <c r="W194" i="12"/>
  <c r="P194" i="12"/>
  <c r="I194" i="12"/>
  <c r="Y194" i="12"/>
  <c r="R194" i="12"/>
  <c r="F194" i="12"/>
  <c r="AA194" i="12"/>
  <c r="M194" i="12"/>
  <c r="H194" i="12"/>
  <c r="Q194" i="12"/>
  <c r="Z194" i="12"/>
  <c r="AI348" i="12"/>
  <c r="G165" i="12"/>
  <c r="W165" i="12"/>
  <c r="P165" i="12"/>
  <c r="I165" i="12"/>
  <c r="Y165" i="12"/>
  <c r="R165" i="12"/>
  <c r="F165" i="12"/>
  <c r="K165" i="12"/>
  <c r="AA165" i="12"/>
  <c r="T165" i="12"/>
  <c r="M165" i="12"/>
  <c r="AC165" i="12"/>
  <c r="V165" i="12"/>
  <c r="O165" i="12"/>
  <c r="H165" i="12"/>
  <c r="X165" i="12"/>
  <c r="Q165" i="12"/>
  <c r="J165" i="12"/>
  <c r="Z165" i="12"/>
  <c r="AE165" i="12"/>
  <c r="U165" i="12"/>
  <c r="AD165" i="12"/>
  <c r="S165" i="12"/>
  <c r="N165" i="12"/>
  <c r="L165" i="12"/>
  <c r="AB165" i="12"/>
  <c r="G202" i="12"/>
  <c r="H202" i="12"/>
  <c r="I202" i="12"/>
  <c r="J202" i="12"/>
  <c r="W202" i="12"/>
  <c r="Y202" i="12"/>
  <c r="F202" i="12"/>
  <c r="K202" i="12"/>
  <c r="L202" i="12"/>
  <c r="M202" i="12"/>
  <c r="N202" i="12"/>
  <c r="AA202" i="12"/>
  <c r="AC202" i="12"/>
  <c r="O202" i="12"/>
  <c r="P202" i="12"/>
  <c r="Q202" i="12"/>
  <c r="R202" i="12"/>
  <c r="X202" i="12"/>
  <c r="Z202" i="12"/>
  <c r="T202" i="12"/>
  <c r="AD202" i="12"/>
  <c r="U202" i="12"/>
  <c r="S202" i="12"/>
  <c r="AE202" i="12"/>
  <c r="V202" i="12"/>
  <c r="AB202" i="12"/>
  <c r="AI153" i="12"/>
  <c r="AI95" i="12"/>
  <c r="AI198" i="12"/>
  <c r="N40" i="12"/>
  <c r="AD40" i="12"/>
  <c r="S40" i="12"/>
  <c r="L40" i="12"/>
  <c r="AB40" i="12"/>
  <c r="U40" i="12"/>
  <c r="V40" i="12"/>
  <c r="AA40" i="12"/>
  <c r="T40" i="12"/>
  <c r="AC40" i="12"/>
  <c r="R40" i="12"/>
  <c r="G40" i="12"/>
  <c r="W40" i="12"/>
  <c r="P40" i="12"/>
  <c r="I40" i="12"/>
  <c r="Y40" i="12"/>
  <c r="AE40" i="12"/>
  <c r="K40" i="12"/>
  <c r="M40" i="12"/>
  <c r="J40" i="12"/>
  <c r="X40" i="12"/>
  <c r="F40" i="12"/>
  <c r="H40" i="12"/>
  <c r="Z40" i="12"/>
  <c r="Q40" i="12"/>
  <c r="O40" i="12"/>
  <c r="AE296" i="12"/>
  <c r="S296" i="12"/>
  <c r="L296" i="12"/>
  <c r="AB296" i="12"/>
  <c r="U296" i="12"/>
  <c r="N296" i="12"/>
  <c r="AD296" i="12"/>
  <c r="K296" i="12"/>
  <c r="T296" i="12"/>
  <c r="M296" i="12"/>
  <c r="V296" i="12"/>
  <c r="G296" i="12"/>
  <c r="W296" i="12"/>
  <c r="P296" i="12"/>
  <c r="I296" i="12"/>
  <c r="Y296" i="12"/>
  <c r="R296" i="12"/>
  <c r="F296" i="12"/>
  <c r="AA296" i="12"/>
  <c r="AC296" i="12"/>
  <c r="H296" i="12"/>
  <c r="Z296" i="12"/>
  <c r="O296" i="12"/>
  <c r="X296" i="12"/>
  <c r="Q296" i="12"/>
  <c r="J296" i="12"/>
  <c r="R45" i="12"/>
  <c r="G45" i="12"/>
  <c r="W45" i="12"/>
  <c r="P45" i="12"/>
  <c r="I45" i="12"/>
  <c r="Y45" i="12"/>
  <c r="AD45" i="12"/>
  <c r="AE45" i="12"/>
  <c r="V45" i="12"/>
  <c r="K45" i="12"/>
  <c r="AA45" i="12"/>
  <c r="T45" i="12"/>
  <c r="M45" i="12"/>
  <c r="AC45" i="12"/>
  <c r="N45" i="12"/>
  <c r="AB45" i="12"/>
  <c r="J45" i="12"/>
  <c r="Z45" i="12"/>
  <c r="O45" i="12"/>
  <c r="H45" i="12"/>
  <c r="X45" i="12"/>
  <c r="Q45" i="12"/>
  <c r="F45" i="12"/>
  <c r="S45" i="12"/>
  <c r="U45" i="12"/>
  <c r="L45" i="12"/>
  <c r="AE277" i="12"/>
  <c r="S277" i="12"/>
  <c r="L277" i="12"/>
  <c r="AB277" i="12"/>
  <c r="U277" i="12"/>
  <c r="N277" i="12"/>
  <c r="AD277" i="12"/>
  <c r="G277" i="12"/>
  <c r="W277" i="12"/>
  <c r="P277" i="12"/>
  <c r="I277" i="12"/>
  <c r="Y277" i="12"/>
  <c r="R277" i="12"/>
  <c r="F277" i="12"/>
  <c r="K277" i="12"/>
  <c r="AA277" i="12"/>
  <c r="T277" i="12"/>
  <c r="M277" i="12"/>
  <c r="AC277" i="12"/>
  <c r="V277" i="12"/>
  <c r="X277" i="12"/>
  <c r="O277" i="12"/>
  <c r="Z277" i="12"/>
  <c r="Q277" i="12"/>
  <c r="J277" i="12"/>
  <c r="H277" i="12"/>
  <c r="AI222" i="12"/>
  <c r="AI92" i="12"/>
  <c r="AI88" i="12"/>
  <c r="G203" i="12"/>
  <c r="W203" i="12"/>
  <c r="P203" i="12"/>
  <c r="I203" i="12"/>
  <c r="Y203" i="12"/>
  <c r="R203" i="12"/>
  <c r="F203" i="12"/>
  <c r="K203" i="12"/>
  <c r="AA203" i="12"/>
  <c r="T203" i="12"/>
  <c r="M203" i="12"/>
  <c r="AC203" i="12"/>
  <c r="V203" i="12"/>
  <c r="O203" i="12"/>
  <c r="H203" i="12"/>
  <c r="X203" i="12"/>
  <c r="Q203" i="12"/>
  <c r="J203" i="12"/>
  <c r="Z203" i="12"/>
  <c r="AE203" i="12"/>
  <c r="U203" i="12"/>
  <c r="L203" i="12"/>
  <c r="S203" i="12"/>
  <c r="N203" i="12"/>
  <c r="AD203" i="12"/>
  <c r="AB203" i="12"/>
  <c r="H143" i="12"/>
  <c r="X143" i="12"/>
  <c r="Q143" i="12"/>
  <c r="J143" i="12"/>
  <c r="Z143" i="12"/>
  <c r="O143" i="12"/>
  <c r="F143" i="12"/>
  <c r="L143" i="12"/>
  <c r="AB143" i="12"/>
  <c r="U143" i="12"/>
  <c r="N143" i="12"/>
  <c r="AD143" i="12"/>
  <c r="S143" i="12"/>
  <c r="P143" i="12"/>
  <c r="I143" i="12"/>
  <c r="Y143" i="12"/>
  <c r="R143" i="12"/>
  <c r="G143" i="12"/>
  <c r="W143" i="12"/>
  <c r="AE143" i="12"/>
  <c r="V143" i="12"/>
  <c r="M143" i="12"/>
  <c r="AC143" i="12"/>
  <c r="T143" i="12"/>
  <c r="K143" i="12"/>
  <c r="AA143" i="12"/>
  <c r="AI200" i="12"/>
  <c r="H74" i="12"/>
  <c r="X74" i="12"/>
  <c r="Q74" i="12"/>
  <c r="J74" i="12"/>
  <c r="Z74" i="12"/>
  <c r="O74" i="12"/>
  <c r="F74" i="12"/>
  <c r="P74" i="12"/>
  <c r="I74" i="12"/>
  <c r="Y74" i="12"/>
  <c r="R74" i="12"/>
  <c r="G74" i="12"/>
  <c r="W74" i="12"/>
  <c r="L74" i="12"/>
  <c r="U74" i="12"/>
  <c r="AD74" i="12"/>
  <c r="T74" i="12"/>
  <c r="AC74" i="12"/>
  <c r="K74" i="12"/>
  <c r="AB74" i="12"/>
  <c r="N74" i="12"/>
  <c r="S74" i="12"/>
  <c r="M74" i="12"/>
  <c r="V74" i="12"/>
  <c r="AA74" i="12"/>
  <c r="AE74" i="12"/>
  <c r="O189" i="12"/>
  <c r="H189" i="12"/>
  <c r="X189" i="12"/>
  <c r="Q189" i="12"/>
  <c r="J189" i="12"/>
  <c r="Z189" i="12"/>
  <c r="T189" i="12"/>
  <c r="AE189" i="12"/>
  <c r="S189" i="12"/>
  <c r="L189" i="12"/>
  <c r="AB189" i="12"/>
  <c r="U189" i="12"/>
  <c r="N189" i="12"/>
  <c r="AD189" i="12"/>
  <c r="AA189" i="12"/>
  <c r="AC189" i="12"/>
  <c r="G189" i="12"/>
  <c r="W189" i="12"/>
  <c r="P189" i="12"/>
  <c r="I189" i="12"/>
  <c r="Y189" i="12"/>
  <c r="R189" i="12"/>
  <c r="F189" i="12"/>
  <c r="K189" i="12"/>
  <c r="M189" i="12"/>
  <c r="V189" i="12"/>
  <c r="AE87" i="12"/>
  <c r="T87" i="12"/>
  <c r="M87" i="12"/>
  <c r="AC87" i="12"/>
  <c r="V87" i="12"/>
  <c r="K87" i="12"/>
  <c r="AA87" i="12"/>
  <c r="H87" i="12"/>
  <c r="X87" i="12"/>
  <c r="Q87" i="12"/>
  <c r="J87" i="12"/>
  <c r="Z87" i="12"/>
  <c r="O87" i="12"/>
  <c r="F87" i="12"/>
  <c r="L87" i="12"/>
  <c r="AB87" i="12"/>
  <c r="U87" i="12"/>
  <c r="N87" i="12"/>
  <c r="AD87" i="12"/>
  <c r="S87" i="12"/>
  <c r="P87" i="12"/>
  <c r="G87" i="12"/>
  <c r="I87" i="12"/>
  <c r="W87" i="12"/>
  <c r="Y87" i="12"/>
  <c r="R87" i="12"/>
  <c r="AI134" i="12"/>
  <c r="AI145" i="12"/>
  <c r="AE167" i="12"/>
  <c r="S167" i="12"/>
  <c r="L167" i="12"/>
  <c r="AB167" i="12"/>
  <c r="U167" i="12"/>
  <c r="N167" i="12"/>
  <c r="AD167" i="12"/>
  <c r="G167" i="12"/>
  <c r="W167" i="12"/>
  <c r="P167" i="12"/>
  <c r="I167" i="12"/>
  <c r="Y167" i="12"/>
  <c r="R167" i="12"/>
  <c r="F167" i="12"/>
  <c r="K167" i="12"/>
  <c r="AA167" i="12"/>
  <c r="T167" i="12"/>
  <c r="M167" i="12"/>
  <c r="AC167" i="12"/>
  <c r="V167" i="12"/>
  <c r="O167" i="12"/>
  <c r="J167" i="12"/>
  <c r="H167" i="12"/>
  <c r="Z167" i="12"/>
  <c r="X167" i="12"/>
  <c r="Q167" i="12"/>
  <c r="G253" i="12"/>
  <c r="W253" i="12"/>
  <c r="P253" i="12"/>
  <c r="I253" i="12"/>
  <c r="Y253" i="12"/>
  <c r="R253" i="12"/>
  <c r="F253" i="12"/>
  <c r="K253" i="12"/>
  <c r="AA253" i="12"/>
  <c r="T253" i="12"/>
  <c r="M253" i="12"/>
  <c r="AC253" i="12"/>
  <c r="V253" i="12"/>
  <c r="O253" i="12"/>
  <c r="H253" i="12"/>
  <c r="X253" i="12"/>
  <c r="Q253" i="12"/>
  <c r="J253" i="12"/>
  <c r="Z253" i="12"/>
  <c r="S253" i="12"/>
  <c r="N253" i="12"/>
  <c r="L253" i="12"/>
  <c r="AD253" i="12"/>
  <c r="AE253" i="12"/>
  <c r="AB253" i="12"/>
  <c r="U253" i="12"/>
  <c r="AI37" i="12"/>
  <c r="L350" i="12"/>
  <c r="AB350" i="12"/>
  <c r="U350" i="12"/>
  <c r="J350" i="12"/>
  <c r="Z350" i="12"/>
  <c r="O350" i="12"/>
  <c r="T350" i="12"/>
  <c r="R350" i="12"/>
  <c r="W350" i="12"/>
  <c r="P350" i="12"/>
  <c r="I350" i="12"/>
  <c r="Y350" i="12"/>
  <c r="N350" i="12"/>
  <c r="AD350" i="12"/>
  <c r="S350" i="12"/>
  <c r="AE350" i="12"/>
  <c r="M350" i="12"/>
  <c r="AC350" i="12"/>
  <c r="G350" i="12"/>
  <c r="F350" i="12"/>
  <c r="X350" i="12"/>
  <c r="Q350" i="12"/>
  <c r="H350" i="12"/>
  <c r="V350" i="12"/>
  <c r="K350" i="12"/>
  <c r="AA350" i="12"/>
  <c r="J60" i="12"/>
  <c r="G60" i="12"/>
  <c r="L60" i="12"/>
  <c r="Q60" i="12"/>
  <c r="T60" i="12"/>
  <c r="Z60" i="12"/>
  <c r="F60" i="12"/>
  <c r="N60" i="12"/>
  <c r="K60" i="12"/>
  <c r="P60" i="12"/>
  <c r="S60" i="12"/>
  <c r="Y60" i="12"/>
  <c r="AD60" i="12"/>
  <c r="R60" i="12"/>
  <c r="O60" i="12"/>
  <c r="I60" i="12"/>
  <c r="X60" i="12"/>
  <c r="AC60" i="12"/>
  <c r="W60" i="12"/>
  <c r="H60" i="12"/>
  <c r="AA60" i="12"/>
  <c r="M60" i="12"/>
  <c r="AE60" i="12"/>
  <c r="AB60" i="12"/>
  <c r="V60" i="12"/>
  <c r="U60" i="12"/>
  <c r="H329" i="12"/>
  <c r="X329" i="12"/>
  <c r="M329" i="12"/>
  <c r="AC329" i="12"/>
  <c r="V329" i="12"/>
  <c r="K329" i="12"/>
  <c r="AA329" i="12"/>
  <c r="L329" i="12"/>
  <c r="AB329" i="12"/>
  <c r="Q329" i="12"/>
  <c r="J329" i="12"/>
  <c r="Z329" i="12"/>
  <c r="O329" i="12"/>
  <c r="P329" i="12"/>
  <c r="F329" i="12"/>
  <c r="U329" i="12"/>
  <c r="N329" i="12"/>
  <c r="AD329" i="12"/>
  <c r="S329" i="12"/>
  <c r="I329" i="12"/>
  <c r="W329" i="12"/>
  <c r="Y329" i="12"/>
  <c r="AE329" i="12"/>
  <c r="R329" i="12"/>
  <c r="T329" i="12"/>
  <c r="G329" i="12"/>
  <c r="AE14" i="12"/>
  <c r="S14" i="12"/>
  <c r="L14" i="12"/>
  <c r="AB14" i="12"/>
  <c r="U14" i="12"/>
  <c r="N14" i="12"/>
  <c r="AD14" i="12"/>
  <c r="K14" i="12"/>
  <c r="T14" i="12"/>
  <c r="AC14" i="12"/>
  <c r="G14" i="12"/>
  <c r="W14" i="12"/>
  <c r="P14" i="12"/>
  <c r="I14" i="12"/>
  <c r="Y14" i="12"/>
  <c r="R14" i="12"/>
  <c r="F14" i="12"/>
  <c r="AA14" i="12"/>
  <c r="M14" i="12"/>
  <c r="V14" i="12"/>
  <c r="Q14" i="12"/>
  <c r="H14" i="12"/>
  <c r="X14" i="12"/>
  <c r="O14" i="12"/>
  <c r="J14" i="12"/>
  <c r="Z14" i="12"/>
  <c r="S23" i="15"/>
  <c r="S6" i="15"/>
  <c r="S9" i="15"/>
  <c r="AE186" i="12"/>
  <c r="S186" i="12"/>
  <c r="L186" i="12"/>
  <c r="AB186" i="12"/>
  <c r="U186" i="12"/>
  <c r="N186" i="12"/>
  <c r="AD186" i="12"/>
  <c r="G186" i="12"/>
  <c r="W186" i="12"/>
  <c r="P186" i="12"/>
  <c r="I186" i="12"/>
  <c r="Y186" i="12"/>
  <c r="R186" i="12"/>
  <c r="F186" i="12"/>
  <c r="K186" i="12"/>
  <c r="AA186" i="12"/>
  <c r="T186" i="12"/>
  <c r="M186" i="12"/>
  <c r="AC186" i="12"/>
  <c r="V186" i="12"/>
  <c r="O186" i="12"/>
  <c r="J186" i="12"/>
  <c r="H186" i="12"/>
  <c r="Z186" i="12"/>
  <c r="X186" i="12"/>
  <c r="Q186" i="12"/>
  <c r="AI118" i="12"/>
  <c r="O230" i="12"/>
  <c r="H230" i="12"/>
  <c r="X230" i="12"/>
  <c r="Q230" i="12"/>
  <c r="J230" i="12"/>
  <c r="Z230" i="12"/>
  <c r="W230" i="12"/>
  <c r="P230" i="12"/>
  <c r="Y230" i="12"/>
  <c r="F230" i="12"/>
  <c r="AE230" i="12"/>
  <c r="S230" i="12"/>
  <c r="L230" i="12"/>
  <c r="AB230" i="12"/>
  <c r="U230" i="12"/>
  <c r="N230" i="12"/>
  <c r="AD230" i="12"/>
  <c r="G230" i="12"/>
  <c r="I230" i="12"/>
  <c r="R230" i="12"/>
  <c r="M230" i="12"/>
  <c r="V230" i="12"/>
  <c r="T230" i="12"/>
  <c r="K230" i="12"/>
  <c r="AC230" i="12"/>
  <c r="AA230" i="12"/>
  <c r="AI72" i="12"/>
  <c r="G312" i="12"/>
  <c r="W312" i="12"/>
  <c r="P312" i="12"/>
  <c r="I312" i="12"/>
  <c r="Y312" i="12"/>
  <c r="R312" i="12"/>
  <c r="F312" i="12"/>
  <c r="K312" i="12"/>
  <c r="AA312" i="12"/>
  <c r="T312" i="12"/>
  <c r="M312" i="12"/>
  <c r="AC312" i="12"/>
  <c r="V312" i="12"/>
  <c r="O312" i="12"/>
  <c r="H312" i="12"/>
  <c r="X312" i="12"/>
  <c r="Q312" i="12"/>
  <c r="J312" i="12"/>
  <c r="Z312" i="12"/>
  <c r="S312" i="12"/>
  <c r="N312" i="12"/>
  <c r="L312" i="12"/>
  <c r="AD312" i="12"/>
  <c r="AB312" i="12"/>
  <c r="AE312" i="12"/>
  <c r="U312" i="12"/>
  <c r="H102" i="12"/>
  <c r="X102" i="12"/>
  <c r="Q102" i="12"/>
  <c r="J102" i="12"/>
  <c r="Z102" i="12"/>
  <c r="O102" i="12"/>
  <c r="F102" i="12"/>
  <c r="I102" i="12"/>
  <c r="R102" i="12"/>
  <c r="W102" i="12"/>
  <c r="L102" i="12"/>
  <c r="AB102" i="12"/>
  <c r="U102" i="12"/>
  <c r="N102" i="12"/>
  <c r="AD102" i="12"/>
  <c r="S102" i="12"/>
  <c r="P102" i="12"/>
  <c r="Y102" i="12"/>
  <c r="G102" i="12"/>
  <c r="T102" i="12"/>
  <c r="K102" i="12"/>
  <c r="V102" i="12"/>
  <c r="M102" i="12"/>
  <c r="AA102" i="12"/>
  <c r="AC102" i="12"/>
  <c r="AE102" i="12"/>
  <c r="H320" i="12"/>
  <c r="X320" i="12"/>
  <c r="Q320" i="12"/>
  <c r="J320" i="12"/>
  <c r="Z320" i="12"/>
  <c r="O320" i="12"/>
  <c r="F320" i="12"/>
  <c r="L320" i="12"/>
  <c r="AB320" i="12"/>
  <c r="U320" i="12"/>
  <c r="N320" i="12"/>
  <c r="AD320" i="12"/>
  <c r="S320" i="12"/>
  <c r="P320" i="12"/>
  <c r="I320" i="12"/>
  <c r="Y320" i="12"/>
  <c r="R320" i="12"/>
  <c r="G320" i="12"/>
  <c r="W320" i="12"/>
  <c r="AE320" i="12"/>
  <c r="V320" i="12"/>
  <c r="T320" i="12"/>
  <c r="K320" i="12"/>
  <c r="M320" i="12"/>
  <c r="AA320" i="12"/>
  <c r="AC320" i="12"/>
  <c r="AE42" i="12"/>
  <c r="V42" i="12"/>
  <c r="K42" i="12"/>
  <c r="AA42" i="12"/>
  <c r="T42" i="12"/>
  <c r="M42" i="12"/>
  <c r="AC42" i="12"/>
  <c r="J42" i="12"/>
  <c r="Z42" i="12"/>
  <c r="O42" i="12"/>
  <c r="H42" i="12"/>
  <c r="X42" i="12"/>
  <c r="Q42" i="12"/>
  <c r="F42" i="12"/>
  <c r="N42" i="12"/>
  <c r="AD42" i="12"/>
  <c r="S42" i="12"/>
  <c r="L42" i="12"/>
  <c r="AB42" i="12"/>
  <c r="U42" i="12"/>
  <c r="G42" i="12"/>
  <c r="Y42" i="12"/>
  <c r="W42" i="12"/>
  <c r="P42" i="12"/>
  <c r="R42" i="12"/>
  <c r="I42" i="12"/>
  <c r="AI287" i="12"/>
  <c r="AI174" i="12"/>
  <c r="K214" i="12"/>
  <c r="AA214" i="12"/>
  <c r="T214" i="12"/>
  <c r="M214" i="12"/>
  <c r="AC214" i="12"/>
  <c r="V214" i="12"/>
  <c r="S214" i="12"/>
  <c r="AB214" i="12"/>
  <c r="N214" i="12"/>
  <c r="G214" i="12"/>
  <c r="P214" i="12"/>
  <c r="Y214" i="12"/>
  <c r="F214" i="12"/>
  <c r="O214" i="12"/>
  <c r="H214" i="12"/>
  <c r="X214" i="12"/>
  <c r="Q214" i="12"/>
  <c r="J214" i="12"/>
  <c r="Z214" i="12"/>
  <c r="AE214" i="12"/>
  <c r="L214" i="12"/>
  <c r="U214" i="12"/>
  <c r="AD214" i="12"/>
  <c r="W214" i="12"/>
  <c r="I214" i="12"/>
  <c r="R214" i="12"/>
  <c r="AI68" i="12"/>
  <c r="AI52" i="12"/>
  <c r="K279" i="12"/>
  <c r="AA279" i="12"/>
  <c r="T279" i="12"/>
  <c r="M279" i="12"/>
  <c r="AC279" i="12"/>
  <c r="V279" i="12"/>
  <c r="O279" i="12"/>
  <c r="H279" i="12"/>
  <c r="X279" i="12"/>
  <c r="Q279" i="12"/>
  <c r="J279" i="12"/>
  <c r="Z279" i="12"/>
  <c r="AE279" i="12"/>
  <c r="S279" i="12"/>
  <c r="L279" i="12"/>
  <c r="AB279" i="12"/>
  <c r="U279" i="12"/>
  <c r="N279" i="12"/>
  <c r="AD279" i="12"/>
  <c r="P279" i="12"/>
  <c r="F279" i="12"/>
  <c r="I279" i="12"/>
  <c r="R279" i="12"/>
  <c r="G279" i="12"/>
  <c r="Y279" i="12"/>
  <c r="W279" i="12"/>
  <c r="AI286" i="12"/>
  <c r="AI290" i="12"/>
  <c r="AI30" i="12"/>
  <c r="AI323" i="12"/>
  <c r="P91" i="12"/>
  <c r="I91" i="12"/>
  <c r="Y91" i="12"/>
  <c r="R91" i="12"/>
  <c r="G91" i="12"/>
  <c r="W91" i="12"/>
  <c r="AE91" i="12"/>
  <c r="T91" i="12"/>
  <c r="M91" i="12"/>
  <c r="AC91" i="12"/>
  <c r="V91" i="12"/>
  <c r="K91" i="12"/>
  <c r="AA91" i="12"/>
  <c r="H91" i="12"/>
  <c r="X91" i="12"/>
  <c r="Q91" i="12"/>
  <c r="J91" i="12"/>
  <c r="Z91" i="12"/>
  <c r="O91" i="12"/>
  <c r="F91" i="12"/>
  <c r="AB91" i="12"/>
  <c r="S91" i="12"/>
  <c r="U91" i="12"/>
  <c r="N91" i="12"/>
  <c r="AD91" i="12"/>
  <c r="L91" i="12"/>
  <c r="R48" i="12"/>
  <c r="G48" i="12"/>
  <c r="W48" i="12"/>
  <c r="P48" i="12"/>
  <c r="I48" i="12"/>
  <c r="Y48" i="12"/>
  <c r="AE48" i="12"/>
  <c r="V48" i="12"/>
  <c r="K48" i="12"/>
  <c r="AA48" i="12"/>
  <c r="T48" i="12"/>
  <c r="M48" i="12"/>
  <c r="AC48" i="12"/>
  <c r="J48" i="12"/>
  <c r="Z48" i="12"/>
  <c r="O48" i="12"/>
  <c r="H48" i="12"/>
  <c r="X48" i="12"/>
  <c r="Q48" i="12"/>
  <c r="F48" i="12"/>
  <c r="AD48" i="12"/>
  <c r="U48" i="12"/>
  <c r="S48" i="12"/>
  <c r="AB48" i="12"/>
  <c r="L48" i="12"/>
  <c r="N48" i="12"/>
  <c r="G269" i="12"/>
  <c r="W269" i="12"/>
  <c r="P269" i="12"/>
  <c r="I269" i="12"/>
  <c r="Y269" i="12"/>
  <c r="R269" i="12"/>
  <c r="F269" i="12"/>
  <c r="K269" i="12"/>
  <c r="AA269" i="12"/>
  <c r="T269" i="12"/>
  <c r="M269" i="12"/>
  <c r="AC269" i="12"/>
  <c r="V269" i="12"/>
  <c r="O269" i="12"/>
  <c r="H269" i="12"/>
  <c r="X269" i="12"/>
  <c r="Q269" i="12"/>
  <c r="J269" i="12"/>
  <c r="Z269" i="12"/>
  <c r="S269" i="12"/>
  <c r="N269" i="12"/>
  <c r="L269" i="12"/>
  <c r="AD269" i="12"/>
  <c r="U269" i="12"/>
  <c r="AB269" i="12"/>
  <c r="AE269" i="12"/>
  <c r="AI127" i="12"/>
  <c r="O239" i="12"/>
  <c r="H239" i="12"/>
  <c r="X239" i="12"/>
  <c r="Q239" i="12"/>
  <c r="J239" i="12"/>
  <c r="Z239" i="12"/>
  <c r="AE239" i="12"/>
  <c r="S239" i="12"/>
  <c r="L239" i="12"/>
  <c r="AB239" i="12"/>
  <c r="U239" i="12"/>
  <c r="N239" i="12"/>
  <c r="AD239" i="12"/>
  <c r="G239" i="12"/>
  <c r="W239" i="12"/>
  <c r="P239" i="12"/>
  <c r="I239" i="12"/>
  <c r="Y239" i="12"/>
  <c r="R239" i="12"/>
  <c r="F239" i="12"/>
  <c r="AA239" i="12"/>
  <c r="V239" i="12"/>
  <c r="M239" i="12"/>
  <c r="AC239" i="12"/>
  <c r="T239" i="12"/>
  <c r="K239" i="12"/>
  <c r="AE175" i="12"/>
  <c r="S175" i="12"/>
  <c r="L175" i="12"/>
  <c r="AB175" i="12"/>
  <c r="U175" i="12"/>
  <c r="N175" i="12"/>
  <c r="AD175" i="12"/>
  <c r="AA175" i="12"/>
  <c r="M175" i="12"/>
  <c r="G175" i="12"/>
  <c r="W175" i="12"/>
  <c r="P175" i="12"/>
  <c r="I175" i="12"/>
  <c r="Y175" i="12"/>
  <c r="R175" i="12"/>
  <c r="F175" i="12"/>
  <c r="K175" i="12"/>
  <c r="T175" i="12"/>
  <c r="AC175" i="12"/>
  <c r="V175" i="12"/>
  <c r="Q175" i="12"/>
  <c r="Z175" i="12"/>
  <c r="O175" i="12"/>
  <c r="J175" i="12"/>
  <c r="H175" i="12"/>
  <c r="X175" i="12"/>
  <c r="G217" i="12"/>
  <c r="W217" i="12"/>
  <c r="P217" i="12"/>
  <c r="I217" i="12"/>
  <c r="Y217" i="12"/>
  <c r="R217" i="12"/>
  <c r="F217" i="12"/>
  <c r="K217" i="12"/>
  <c r="AA217" i="12"/>
  <c r="T217" i="12"/>
  <c r="M217" i="12"/>
  <c r="AC217" i="12"/>
  <c r="V217" i="12"/>
  <c r="O217" i="12"/>
  <c r="H217" i="12"/>
  <c r="X217" i="12"/>
  <c r="Q217" i="12"/>
  <c r="J217" i="12"/>
  <c r="Z217" i="12"/>
  <c r="AB217" i="12"/>
  <c r="AE217" i="12"/>
  <c r="U217" i="12"/>
  <c r="S217" i="12"/>
  <c r="N217" i="12"/>
  <c r="AD217" i="12"/>
  <c r="L217" i="12"/>
  <c r="AE254" i="12"/>
  <c r="S254" i="12"/>
  <c r="L254" i="12"/>
  <c r="AB254" i="12"/>
  <c r="U254" i="12"/>
  <c r="N254" i="12"/>
  <c r="AD254" i="12"/>
  <c r="G254" i="12"/>
  <c r="W254" i="12"/>
  <c r="P254" i="12"/>
  <c r="I254" i="12"/>
  <c r="Y254" i="12"/>
  <c r="R254" i="12"/>
  <c r="F254" i="12"/>
  <c r="K254" i="12"/>
  <c r="AA254" i="12"/>
  <c r="T254" i="12"/>
  <c r="M254" i="12"/>
  <c r="AC254" i="12"/>
  <c r="V254" i="12"/>
  <c r="O254" i="12"/>
  <c r="J254" i="12"/>
  <c r="H254" i="12"/>
  <c r="Z254" i="12"/>
  <c r="X254" i="12"/>
  <c r="Q254" i="12"/>
  <c r="L113" i="12"/>
  <c r="AB113" i="12"/>
  <c r="U113" i="12"/>
  <c r="N113" i="12"/>
  <c r="AD113" i="12"/>
  <c r="S113" i="12"/>
  <c r="P113" i="12"/>
  <c r="I113" i="12"/>
  <c r="Y113" i="12"/>
  <c r="R113" i="12"/>
  <c r="G113" i="12"/>
  <c r="W113" i="12"/>
  <c r="AE113" i="12"/>
  <c r="T113" i="12"/>
  <c r="M113" i="12"/>
  <c r="AC113" i="12"/>
  <c r="V113" i="12"/>
  <c r="K113" i="12"/>
  <c r="AA113" i="12"/>
  <c r="X113" i="12"/>
  <c r="O113" i="12"/>
  <c r="Q113" i="12"/>
  <c r="F113" i="12"/>
  <c r="J113" i="12"/>
  <c r="H113" i="12"/>
  <c r="Z113" i="12"/>
  <c r="L99" i="12"/>
  <c r="AB99" i="12"/>
  <c r="U99" i="12"/>
  <c r="N99" i="12"/>
  <c r="AD99" i="12"/>
  <c r="S99" i="12"/>
  <c r="P99" i="12"/>
  <c r="I99" i="12"/>
  <c r="Y99" i="12"/>
  <c r="R99" i="12"/>
  <c r="G99" i="12"/>
  <c r="W99" i="12"/>
  <c r="T99" i="12"/>
  <c r="AC99" i="12"/>
  <c r="K99" i="12"/>
  <c r="X99" i="12"/>
  <c r="J99" i="12"/>
  <c r="O99" i="12"/>
  <c r="AE99" i="12"/>
  <c r="M99" i="12"/>
  <c r="V99" i="12"/>
  <c r="AA99" i="12"/>
  <c r="Q99" i="12"/>
  <c r="Z99" i="12"/>
  <c r="F99" i="12"/>
  <c r="H99" i="12"/>
  <c r="AI313" i="12"/>
  <c r="AI318" i="12"/>
  <c r="K196" i="12"/>
  <c r="AA196" i="12"/>
  <c r="T196" i="12"/>
  <c r="M196" i="12"/>
  <c r="AC196" i="12"/>
  <c r="V196" i="12"/>
  <c r="O196" i="12"/>
  <c r="H196" i="12"/>
  <c r="X196" i="12"/>
  <c r="Q196" i="12"/>
  <c r="J196" i="12"/>
  <c r="Z196" i="12"/>
  <c r="AE196" i="12"/>
  <c r="L196" i="12"/>
  <c r="U196" i="12"/>
  <c r="AD196" i="12"/>
  <c r="G196" i="12"/>
  <c r="P196" i="12"/>
  <c r="Y196" i="12"/>
  <c r="F196" i="12"/>
  <c r="S196" i="12"/>
  <c r="AB196" i="12"/>
  <c r="N196" i="12"/>
  <c r="R196" i="12"/>
  <c r="W196" i="12"/>
  <c r="I196" i="12"/>
  <c r="AI246" i="12"/>
  <c r="AI149" i="12"/>
  <c r="K188" i="12"/>
  <c r="AA188" i="12"/>
  <c r="T188" i="12"/>
  <c r="M188" i="12"/>
  <c r="AC188" i="12"/>
  <c r="V188" i="12"/>
  <c r="O188" i="12"/>
  <c r="H188" i="12"/>
  <c r="X188" i="12"/>
  <c r="Q188" i="12"/>
  <c r="J188" i="12"/>
  <c r="Z188" i="12"/>
  <c r="AE188" i="12"/>
  <c r="L188" i="12"/>
  <c r="U188" i="12"/>
  <c r="AD188" i="12"/>
  <c r="G188" i="12"/>
  <c r="P188" i="12"/>
  <c r="Y188" i="12"/>
  <c r="F188" i="12"/>
  <c r="S188" i="12"/>
  <c r="AB188" i="12"/>
  <c r="N188" i="12"/>
  <c r="R188" i="12"/>
  <c r="I188" i="12"/>
  <c r="W188" i="12"/>
  <c r="P355" i="12"/>
  <c r="I355" i="12"/>
  <c r="Y355" i="12"/>
  <c r="R355" i="12"/>
  <c r="F355" i="12"/>
  <c r="S355" i="12"/>
  <c r="AE355" i="12"/>
  <c r="T355" i="12"/>
  <c r="M355" i="12"/>
  <c r="AC355" i="12"/>
  <c r="V355" i="12"/>
  <c r="G355" i="12"/>
  <c r="W355" i="12"/>
  <c r="H355" i="12"/>
  <c r="X355" i="12"/>
  <c r="Q355" i="12"/>
  <c r="J355" i="12"/>
  <c r="Z355" i="12"/>
  <c r="K355" i="12"/>
  <c r="AA355" i="12"/>
  <c r="AB355" i="12"/>
  <c r="O355" i="12"/>
  <c r="N355" i="12"/>
  <c r="AD355" i="12"/>
  <c r="U355" i="12"/>
  <c r="L355" i="12"/>
  <c r="AI147" i="12"/>
  <c r="AI351" i="12"/>
  <c r="AR84" i="12"/>
  <c r="H83" i="12"/>
  <c r="X83" i="12"/>
  <c r="Q83" i="12"/>
  <c r="J83" i="12"/>
  <c r="Z83" i="12"/>
  <c r="O83" i="12"/>
  <c r="F83" i="12"/>
  <c r="L83" i="12"/>
  <c r="AB83" i="12"/>
  <c r="U83" i="12"/>
  <c r="N83" i="12"/>
  <c r="AD83" i="12"/>
  <c r="S83" i="12"/>
  <c r="P83" i="12"/>
  <c r="I83" i="12"/>
  <c r="Y83" i="12"/>
  <c r="R83" i="12"/>
  <c r="G83" i="12"/>
  <c r="W83" i="12"/>
  <c r="T83" i="12"/>
  <c r="K83" i="12"/>
  <c r="M83" i="12"/>
  <c r="AA83" i="12"/>
  <c r="AC83" i="12"/>
  <c r="AE83" i="12"/>
  <c r="V83" i="12"/>
  <c r="N47" i="12"/>
  <c r="AD47" i="12"/>
  <c r="S47" i="12"/>
  <c r="L47" i="12"/>
  <c r="AB47" i="12"/>
  <c r="U47" i="12"/>
  <c r="R47" i="12"/>
  <c r="G47" i="12"/>
  <c r="W47" i="12"/>
  <c r="P47" i="12"/>
  <c r="I47" i="12"/>
  <c r="Y47" i="12"/>
  <c r="AE47" i="12"/>
  <c r="V47" i="12"/>
  <c r="K47" i="12"/>
  <c r="AA47" i="12"/>
  <c r="T47" i="12"/>
  <c r="M47" i="12"/>
  <c r="AC47" i="12"/>
  <c r="J47" i="12"/>
  <c r="X47" i="12"/>
  <c r="Z47" i="12"/>
  <c r="Q47" i="12"/>
  <c r="O47" i="12"/>
  <c r="F47" i="12"/>
  <c r="H47" i="12"/>
  <c r="AI142" i="12"/>
  <c r="AE324" i="12"/>
  <c r="T324" i="12"/>
  <c r="M324" i="12"/>
  <c r="AC324" i="12"/>
  <c r="V324" i="12"/>
  <c r="K324" i="12"/>
  <c r="AA324" i="12"/>
  <c r="H324" i="12"/>
  <c r="X324" i="12"/>
  <c r="Q324" i="12"/>
  <c r="J324" i="12"/>
  <c r="Z324" i="12"/>
  <c r="O324" i="12"/>
  <c r="F324" i="12"/>
  <c r="L324" i="12"/>
  <c r="AB324" i="12"/>
  <c r="U324" i="12"/>
  <c r="N324" i="12"/>
  <c r="AD324" i="12"/>
  <c r="S324" i="12"/>
  <c r="Y324" i="12"/>
  <c r="P324" i="12"/>
  <c r="I324" i="12"/>
  <c r="R324" i="12"/>
  <c r="G324" i="12"/>
  <c r="W324" i="12"/>
  <c r="AI182" i="12"/>
  <c r="AE34" i="12"/>
  <c r="V34" i="12"/>
  <c r="K34" i="12"/>
  <c r="AA34" i="12"/>
  <c r="T34" i="12"/>
  <c r="M34" i="12"/>
  <c r="AC34" i="12"/>
  <c r="AD34" i="12"/>
  <c r="S34" i="12"/>
  <c r="U34" i="12"/>
  <c r="J34" i="12"/>
  <c r="Z34" i="12"/>
  <c r="O34" i="12"/>
  <c r="H34" i="12"/>
  <c r="X34" i="12"/>
  <c r="Q34" i="12"/>
  <c r="F34" i="12"/>
  <c r="N34" i="12"/>
  <c r="L34" i="12"/>
  <c r="AB34" i="12"/>
  <c r="P34" i="12"/>
  <c r="Y34" i="12"/>
  <c r="R34" i="12"/>
  <c r="I34" i="12"/>
  <c r="G34" i="12"/>
  <c r="W34" i="12"/>
  <c r="AE151" i="12"/>
  <c r="S151" i="12"/>
  <c r="L151" i="12"/>
  <c r="AB151" i="12"/>
  <c r="U151" i="12"/>
  <c r="N151" i="12"/>
  <c r="AD151" i="12"/>
  <c r="G151" i="12"/>
  <c r="W151" i="12"/>
  <c r="P151" i="12"/>
  <c r="I151" i="12"/>
  <c r="Y151" i="12"/>
  <c r="R151" i="12"/>
  <c r="F151" i="12"/>
  <c r="K151" i="12"/>
  <c r="AA151" i="12"/>
  <c r="T151" i="12"/>
  <c r="M151" i="12"/>
  <c r="AC151" i="12"/>
  <c r="V151" i="12"/>
  <c r="H151" i="12"/>
  <c r="Z151" i="12"/>
  <c r="X151" i="12"/>
  <c r="Q151" i="12"/>
  <c r="J151" i="12"/>
  <c r="O151" i="12"/>
  <c r="P346" i="12"/>
  <c r="I346" i="12"/>
  <c r="Y346" i="12"/>
  <c r="N346" i="12"/>
  <c r="AD346" i="12"/>
  <c r="S346" i="12"/>
  <c r="U346" i="12"/>
  <c r="O346" i="12"/>
  <c r="AE346" i="12"/>
  <c r="T346" i="12"/>
  <c r="M346" i="12"/>
  <c r="AC346" i="12"/>
  <c r="R346" i="12"/>
  <c r="G346" i="12"/>
  <c r="W346" i="12"/>
  <c r="L346" i="12"/>
  <c r="J346" i="12"/>
  <c r="H346" i="12"/>
  <c r="X346" i="12"/>
  <c r="Q346" i="12"/>
  <c r="F346" i="12"/>
  <c r="V346" i="12"/>
  <c r="K346" i="12"/>
  <c r="AA346" i="12"/>
  <c r="AB346" i="12"/>
  <c r="Z346" i="12"/>
  <c r="K314" i="12"/>
  <c r="AA314" i="12"/>
  <c r="T314" i="12"/>
  <c r="M314" i="12"/>
  <c r="AC314" i="12"/>
  <c r="V314" i="12"/>
  <c r="O314" i="12"/>
  <c r="H314" i="12"/>
  <c r="X314" i="12"/>
  <c r="Q314" i="12"/>
  <c r="J314" i="12"/>
  <c r="Z314" i="12"/>
  <c r="AE314" i="12"/>
  <c r="S314" i="12"/>
  <c r="L314" i="12"/>
  <c r="AB314" i="12"/>
  <c r="U314" i="12"/>
  <c r="N314" i="12"/>
  <c r="AD314" i="12"/>
  <c r="P314" i="12"/>
  <c r="F314" i="12"/>
  <c r="I314" i="12"/>
  <c r="G314" i="12"/>
  <c r="Y314" i="12"/>
  <c r="R314" i="12"/>
  <c r="W314" i="12"/>
  <c r="L343" i="12"/>
  <c r="AB343" i="12"/>
  <c r="U343" i="12"/>
  <c r="N343" i="12"/>
  <c r="AD343" i="12"/>
  <c r="O343" i="12"/>
  <c r="P343" i="12"/>
  <c r="I343" i="12"/>
  <c r="Y343" i="12"/>
  <c r="R343" i="12"/>
  <c r="F343" i="12"/>
  <c r="S343" i="12"/>
  <c r="AE343" i="12"/>
  <c r="T343" i="12"/>
  <c r="M343" i="12"/>
  <c r="AC343" i="12"/>
  <c r="V343" i="12"/>
  <c r="G343" i="12"/>
  <c r="W343" i="12"/>
  <c r="H343" i="12"/>
  <c r="Z343" i="12"/>
  <c r="X343" i="12"/>
  <c r="K343" i="12"/>
  <c r="Q343" i="12"/>
  <c r="AA343" i="12"/>
  <c r="J343" i="12"/>
  <c r="AI210" i="12"/>
  <c r="AI276" i="12"/>
  <c r="AI21" i="12"/>
  <c r="K173" i="12"/>
  <c r="AA173" i="12"/>
  <c r="T173" i="12"/>
  <c r="M173" i="12"/>
  <c r="AC173" i="12"/>
  <c r="V173" i="12"/>
  <c r="O173" i="12"/>
  <c r="H173" i="12"/>
  <c r="X173" i="12"/>
  <c r="Q173" i="12"/>
  <c r="J173" i="12"/>
  <c r="Z173" i="12"/>
  <c r="AE173" i="12"/>
  <c r="S173" i="12"/>
  <c r="L173" i="12"/>
  <c r="AB173" i="12"/>
  <c r="U173" i="12"/>
  <c r="N173" i="12"/>
  <c r="AD173" i="12"/>
  <c r="W173" i="12"/>
  <c r="R173" i="12"/>
  <c r="P173" i="12"/>
  <c r="F173" i="12"/>
  <c r="G173" i="12"/>
  <c r="I173" i="12"/>
  <c r="Y173" i="12"/>
  <c r="K259" i="12"/>
  <c r="P259" i="12"/>
  <c r="J259" i="12"/>
  <c r="W259" i="12"/>
  <c r="AB259" i="12"/>
  <c r="V259" i="12"/>
  <c r="O259" i="12"/>
  <c r="I259" i="12"/>
  <c r="N259" i="12"/>
  <c r="AA259" i="12"/>
  <c r="U259" i="12"/>
  <c r="Z259" i="12"/>
  <c r="AE259" i="12"/>
  <c r="H259" i="12"/>
  <c r="M259" i="12"/>
  <c r="R259" i="12"/>
  <c r="T259" i="12"/>
  <c r="Y259" i="12"/>
  <c r="AD259" i="12"/>
  <c r="S259" i="12"/>
  <c r="G259" i="12"/>
  <c r="X259" i="12"/>
  <c r="L259" i="12"/>
  <c r="AC259" i="12"/>
  <c r="F259" i="12"/>
  <c r="Q259" i="12"/>
  <c r="L327" i="12"/>
  <c r="AB327" i="12"/>
  <c r="U327" i="12"/>
  <c r="N327" i="12"/>
  <c r="AD327" i="12"/>
  <c r="O327" i="12"/>
  <c r="P327" i="12"/>
  <c r="I327" i="12"/>
  <c r="Y327" i="12"/>
  <c r="R327" i="12"/>
  <c r="F327" i="12"/>
  <c r="S327" i="12"/>
  <c r="AE327" i="12"/>
  <c r="T327" i="12"/>
  <c r="M327" i="12"/>
  <c r="AC327" i="12"/>
  <c r="V327" i="12"/>
  <c r="G327" i="12"/>
  <c r="W327" i="12"/>
  <c r="H327" i="12"/>
  <c r="Z327" i="12"/>
  <c r="X327" i="12"/>
  <c r="K327" i="12"/>
  <c r="Q327" i="12"/>
  <c r="AA327" i="12"/>
  <c r="J327" i="12"/>
  <c r="AI105" i="12"/>
  <c r="AI126" i="12"/>
  <c r="H130" i="12"/>
  <c r="X130" i="12"/>
  <c r="Q130" i="12"/>
  <c r="J130" i="12"/>
  <c r="Z130" i="12"/>
  <c r="O130" i="12"/>
  <c r="F130" i="12"/>
  <c r="L130" i="12"/>
  <c r="AB130" i="12"/>
  <c r="U130" i="12"/>
  <c r="N130" i="12"/>
  <c r="AD130" i="12"/>
  <c r="S130" i="12"/>
  <c r="P130" i="12"/>
  <c r="I130" i="12"/>
  <c r="Y130" i="12"/>
  <c r="R130" i="12"/>
  <c r="G130" i="12"/>
  <c r="W130" i="12"/>
  <c r="AE130" i="12"/>
  <c r="V130" i="12"/>
  <c r="T130" i="12"/>
  <c r="K130" i="12"/>
  <c r="M130" i="12"/>
  <c r="AA130" i="12"/>
  <c r="AC130" i="12"/>
  <c r="P319" i="12"/>
  <c r="I319" i="12"/>
  <c r="Y319" i="12"/>
  <c r="R319" i="12"/>
  <c r="F319" i="12"/>
  <c r="S319" i="12"/>
  <c r="AE319" i="12"/>
  <c r="T319" i="12"/>
  <c r="M319" i="12"/>
  <c r="AC319" i="12"/>
  <c r="V319" i="12"/>
  <c r="G319" i="12"/>
  <c r="W319" i="12"/>
  <c r="H319" i="12"/>
  <c r="X319" i="12"/>
  <c r="Q319" i="12"/>
  <c r="J319" i="12"/>
  <c r="Z319" i="12"/>
  <c r="K319" i="12"/>
  <c r="AA319" i="12"/>
  <c r="L319" i="12"/>
  <c r="AD319" i="12"/>
  <c r="AB319" i="12"/>
  <c r="O319" i="12"/>
  <c r="U319" i="12"/>
  <c r="N319" i="12"/>
  <c r="G275" i="12"/>
  <c r="W275" i="12"/>
  <c r="K275" i="12"/>
  <c r="AA275" i="12"/>
  <c r="O275" i="12"/>
  <c r="P275" i="12"/>
  <c r="I275" i="12"/>
  <c r="Y275" i="12"/>
  <c r="R275" i="12"/>
  <c r="F275" i="12"/>
  <c r="S275" i="12"/>
  <c r="T275" i="12"/>
  <c r="M275" i="12"/>
  <c r="AC275" i="12"/>
  <c r="V275" i="12"/>
  <c r="H275" i="12"/>
  <c r="X275" i="12"/>
  <c r="Q275" i="12"/>
  <c r="J275" i="12"/>
  <c r="Z275" i="12"/>
  <c r="L275" i="12"/>
  <c r="AD275" i="12"/>
  <c r="N275" i="12"/>
  <c r="AB275" i="12"/>
  <c r="U275" i="12"/>
  <c r="AE275" i="12"/>
  <c r="K250" i="12"/>
  <c r="AA250" i="12"/>
  <c r="T250" i="12"/>
  <c r="M250" i="12"/>
  <c r="AC250" i="12"/>
  <c r="V250" i="12"/>
  <c r="O250" i="12"/>
  <c r="H250" i="12"/>
  <c r="X250" i="12"/>
  <c r="Q250" i="12"/>
  <c r="J250" i="12"/>
  <c r="Z250" i="12"/>
  <c r="AE250" i="12"/>
  <c r="S250" i="12"/>
  <c r="L250" i="12"/>
  <c r="AB250" i="12"/>
  <c r="U250" i="12"/>
  <c r="N250" i="12"/>
  <c r="AD250" i="12"/>
  <c r="G250" i="12"/>
  <c r="Y250" i="12"/>
  <c r="W250" i="12"/>
  <c r="R250" i="12"/>
  <c r="P250" i="12"/>
  <c r="F250" i="12"/>
  <c r="I250" i="12"/>
  <c r="AE93" i="12"/>
  <c r="T93" i="12"/>
  <c r="M93" i="12"/>
  <c r="AC93" i="12"/>
  <c r="V93" i="12"/>
  <c r="K93" i="12"/>
  <c r="AA93" i="12"/>
  <c r="H93" i="12"/>
  <c r="X93" i="12"/>
  <c r="Q93" i="12"/>
  <c r="J93" i="12"/>
  <c r="Z93" i="12"/>
  <c r="O93" i="12"/>
  <c r="F93" i="12"/>
  <c r="L93" i="12"/>
  <c r="AB93" i="12"/>
  <c r="U93" i="12"/>
  <c r="N93" i="12"/>
  <c r="AD93" i="12"/>
  <c r="S93" i="12"/>
  <c r="P93" i="12"/>
  <c r="G93" i="12"/>
  <c r="I93" i="12"/>
  <c r="W93" i="12"/>
  <c r="Y93" i="12"/>
  <c r="R93" i="12"/>
  <c r="K305" i="12"/>
  <c r="AA305" i="12"/>
  <c r="T305" i="12"/>
  <c r="M305" i="12"/>
  <c r="AC305" i="12"/>
  <c r="V305" i="12"/>
  <c r="S305" i="12"/>
  <c r="AB305" i="12"/>
  <c r="N305" i="12"/>
  <c r="O305" i="12"/>
  <c r="H305" i="12"/>
  <c r="X305" i="12"/>
  <c r="Q305" i="12"/>
  <c r="J305" i="12"/>
  <c r="Z305" i="12"/>
  <c r="AE305" i="12"/>
  <c r="L305" i="12"/>
  <c r="U305" i="12"/>
  <c r="AD305" i="12"/>
  <c r="G305" i="12"/>
  <c r="Y305" i="12"/>
  <c r="F305" i="12"/>
  <c r="W305" i="12"/>
  <c r="R305" i="12"/>
  <c r="P305" i="12"/>
  <c r="I305" i="12"/>
  <c r="AE238" i="12"/>
  <c r="S238" i="12"/>
  <c r="L238" i="12"/>
  <c r="AB238" i="12"/>
  <c r="U238" i="12"/>
  <c r="N238" i="12"/>
  <c r="AD238" i="12"/>
  <c r="G238" i="12"/>
  <c r="W238" i="12"/>
  <c r="P238" i="12"/>
  <c r="I238" i="12"/>
  <c r="Y238" i="12"/>
  <c r="R238" i="12"/>
  <c r="F238" i="12"/>
  <c r="AA238" i="12"/>
  <c r="M238" i="12"/>
  <c r="V238" i="12"/>
  <c r="H238" i="12"/>
  <c r="Q238" i="12"/>
  <c r="Z238" i="12"/>
  <c r="K238" i="12"/>
  <c r="T238" i="12"/>
  <c r="AC238" i="12"/>
  <c r="J238" i="12"/>
  <c r="O238" i="12"/>
  <c r="X238" i="12"/>
  <c r="AI356" i="12"/>
  <c r="H347" i="12"/>
  <c r="X347" i="12"/>
  <c r="Q347" i="12"/>
  <c r="J347" i="12"/>
  <c r="Z347" i="12"/>
  <c r="K347" i="12"/>
  <c r="AA347" i="12"/>
  <c r="L347" i="12"/>
  <c r="AB347" i="12"/>
  <c r="U347" i="12"/>
  <c r="N347" i="12"/>
  <c r="AD347" i="12"/>
  <c r="O347" i="12"/>
  <c r="P347" i="12"/>
  <c r="I347" i="12"/>
  <c r="Y347" i="12"/>
  <c r="R347" i="12"/>
  <c r="F347" i="12"/>
  <c r="S347" i="12"/>
  <c r="AC347" i="12"/>
  <c r="AE347" i="12"/>
  <c r="V347" i="12"/>
  <c r="T347" i="12"/>
  <c r="G347" i="12"/>
  <c r="W347" i="12"/>
  <c r="M347" i="12"/>
  <c r="O163" i="12"/>
  <c r="H163" i="12"/>
  <c r="X163" i="12"/>
  <c r="Q163" i="12"/>
  <c r="J163" i="12"/>
  <c r="Z163" i="12"/>
  <c r="AE163" i="12"/>
  <c r="S163" i="12"/>
  <c r="L163" i="12"/>
  <c r="AB163" i="12"/>
  <c r="U163" i="12"/>
  <c r="N163" i="12"/>
  <c r="AD163" i="12"/>
  <c r="G163" i="12"/>
  <c r="W163" i="12"/>
  <c r="P163" i="12"/>
  <c r="I163" i="12"/>
  <c r="Y163" i="12"/>
  <c r="R163" i="12"/>
  <c r="F163" i="12"/>
  <c r="AA163" i="12"/>
  <c r="V163" i="12"/>
  <c r="T163" i="12"/>
  <c r="M163" i="12"/>
  <c r="K163" i="12"/>
  <c r="AC163" i="12"/>
  <c r="P62" i="12"/>
  <c r="I62" i="12"/>
  <c r="Y62" i="12"/>
  <c r="R62" i="12"/>
  <c r="G62" i="12"/>
  <c r="W62" i="12"/>
  <c r="H62" i="12"/>
  <c r="Q62" i="12"/>
  <c r="Z62" i="12"/>
  <c r="F62" i="12"/>
  <c r="L62" i="12"/>
  <c r="U62" i="12"/>
  <c r="AD62" i="12"/>
  <c r="AE62" i="12"/>
  <c r="T62" i="12"/>
  <c r="M62" i="12"/>
  <c r="AC62" i="12"/>
  <c r="V62" i="12"/>
  <c r="K62" i="12"/>
  <c r="AA62" i="12"/>
  <c r="X62" i="12"/>
  <c r="J62" i="12"/>
  <c r="O62" i="12"/>
  <c r="AB62" i="12"/>
  <c r="N62" i="12"/>
  <c r="S62" i="12"/>
  <c r="K193" i="12"/>
  <c r="AA193" i="12"/>
  <c r="T193" i="12"/>
  <c r="M193" i="12"/>
  <c r="AC193" i="12"/>
  <c r="V193" i="12"/>
  <c r="AE193" i="12"/>
  <c r="L193" i="12"/>
  <c r="U193" i="12"/>
  <c r="AD193" i="12"/>
  <c r="P193" i="12"/>
  <c r="Y193" i="12"/>
  <c r="R193" i="12"/>
  <c r="O193" i="12"/>
  <c r="H193" i="12"/>
  <c r="X193" i="12"/>
  <c r="Q193" i="12"/>
  <c r="J193" i="12"/>
  <c r="Z193" i="12"/>
  <c r="S193" i="12"/>
  <c r="AB193" i="12"/>
  <c r="N193" i="12"/>
  <c r="G193" i="12"/>
  <c r="W193" i="12"/>
  <c r="I193" i="12"/>
  <c r="F193" i="12"/>
  <c r="H86" i="12"/>
  <c r="X86" i="12"/>
  <c r="Q86" i="12"/>
  <c r="J86" i="12"/>
  <c r="Z86" i="12"/>
  <c r="O86" i="12"/>
  <c r="F86" i="12"/>
  <c r="L86" i="12"/>
  <c r="AB86" i="12"/>
  <c r="U86" i="12"/>
  <c r="N86" i="12"/>
  <c r="AD86" i="12"/>
  <c r="S86" i="12"/>
  <c r="P86" i="12"/>
  <c r="I86" i="12"/>
  <c r="Y86" i="12"/>
  <c r="R86" i="12"/>
  <c r="G86" i="12"/>
  <c r="W86" i="12"/>
  <c r="M86" i="12"/>
  <c r="AA86" i="12"/>
  <c r="AE86" i="12"/>
  <c r="AC86" i="12"/>
  <c r="V86" i="12"/>
  <c r="T86" i="12"/>
  <c r="K86" i="12"/>
  <c r="AI243" i="12"/>
  <c r="AI140" i="12"/>
  <c r="O178" i="12"/>
  <c r="H178" i="12"/>
  <c r="X178" i="12"/>
  <c r="Q178" i="12"/>
  <c r="J178" i="12"/>
  <c r="Z178" i="12"/>
  <c r="AE178" i="12"/>
  <c r="S178" i="12"/>
  <c r="L178" i="12"/>
  <c r="AB178" i="12"/>
  <c r="U178" i="12"/>
  <c r="N178" i="12"/>
  <c r="AD178" i="12"/>
  <c r="G178" i="12"/>
  <c r="W178" i="12"/>
  <c r="P178" i="12"/>
  <c r="I178" i="12"/>
  <c r="Y178" i="12"/>
  <c r="R178" i="12"/>
  <c r="F178" i="12"/>
  <c r="AA178" i="12"/>
  <c r="V178" i="12"/>
  <c r="K178" i="12"/>
  <c r="T178" i="12"/>
  <c r="M178" i="12"/>
  <c r="AC178" i="12"/>
  <c r="AE309" i="12"/>
  <c r="S309" i="12"/>
  <c r="L309" i="12"/>
  <c r="AB309" i="12"/>
  <c r="U309" i="12"/>
  <c r="N309" i="12"/>
  <c r="AD309" i="12"/>
  <c r="G309" i="12"/>
  <c r="W309" i="12"/>
  <c r="P309" i="12"/>
  <c r="I309" i="12"/>
  <c r="Y309" i="12"/>
  <c r="R309" i="12"/>
  <c r="F309" i="12"/>
  <c r="K309" i="12"/>
  <c r="AA309" i="12"/>
  <c r="T309" i="12"/>
  <c r="M309" i="12"/>
  <c r="AC309" i="12"/>
  <c r="V309" i="12"/>
  <c r="H309" i="12"/>
  <c r="Z309" i="12"/>
  <c r="Q309" i="12"/>
  <c r="O309" i="12"/>
  <c r="X309" i="12"/>
  <c r="J309" i="12"/>
  <c r="L108" i="12"/>
  <c r="AB108" i="12"/>
  <c r="U108" i="12"/>
  <c r="N108" i="12"/>
  <c r="AD108" i="12"/>
  <c r="S108" i="12"/>
  <c r="P108" i="12"/>
  <c r="I108" i="12"/>
  <c r="Y108" i="12"/>
  <c r="R108" i="12"/>
  <c r="G108" i="12"/>
  <c r="W108" i="12"/>
  <c r="AE108" i="12"/>
  <c r="T108" i="12"/>
  <c r="M108" i="12"/>
  <c r="AC108" i="12"/>
  <c r="V108" i="12"/>
  <c r="K108" i="12"/>
  <c r="AA108" i="12"/>
  <c r="J108" i="12"/>
  <c r="O108" i="12"/>
  <c r="Q108" i="12"/>
  <c r="H108" i="12"/>
  <c r="Z108" i="12"/>
  <c r="X108" i="12"/>
  <c r="F108" i="12"/>
  <c r="AI227" i="12"/>
  <c r="O315" i="12"/>
  <c r="H315" i="12"/>
  <c r="X315" i="12"/>
  <c r="Q315" i="12"/>
  <c r="J315" i="12"/>
  <c r="Z315" i="12"/>
  <c r="AE315" i="12"/>
  <c r="S315" i="12"/>
  <c r="L315" i="12"/>
  <c r="AB315" i="12"/>
  <c r="U315" i="12"/>
  <c r="N315" i="12"/>
  <c r="AD315" i="12"/>
  <c r="G315" i="12"/>
  <c r="W315" i="12"/>
  <c r="P315" i="12"/>
  <c r="I315" i="12"/>
  <c r="Y315" i="12"/>
  <c r="R315" i="12"/>
  <c r="F315" i="12"/>
  <c r="K315" i="12"/>
  <c r="AC315" i="12"/>
  <c r="M315" i="12"/>
  <c r="AA315" i="12"/>
  <c r="V315" i="12"/>
  <c r="T315" i="12"/>
  <c r="K251" i="12"/>
  <c r="AA251" i="12"/>
  <c r="T251" i="12"/>
  <c r="M251" i="12"/>
  <c r="AC251" i="12"/>
  <c r="V251" i="12"/>
  <c r="O251" i="12"/>
  <c r="H251" i="12"/>
  <c r="X251" i="12"/>
  <c r="Q251" i="12"/>
  <c r="J251" i="12"/>
  <c r="Z251" i="12"/>
  <c r="AE251" i="12"/>
  <c r="S251" i="12"/>
  <c r="L251" i="12"/>
  <c r="AB251" i="12"/>
  <c r="U251" i="12"/>
  <c r="N251" i="12"/>
  <c r="AD251" i="12"/>
  <c r="P251" i="12"/>
  <c r="F251" i="12"/>
  <c r="I251" i="12"/>
  <c r="G251" i="12"/>
  <c r="Y251" i="12"/>
  <c r="R251" i="12"/>
  <c r="W251" i="12"/>
  <c r="G154" i="12"/>
  <c r="W154" i="12"/>
  <c r="P154" i="12"/>
  <c r="I154" i="12"/>
  <c r="Y154" i="12"/>
  <c r="R154" i="12"/>
  <c r="F154" i="12"/>
  <c r="L154" i="12"/>
  <c r="N154" i="12"/>
  <c r="K154" i="12"/>
  <c r="AA154" i="12"/>
  <c r="T154" i="12"/>
  <c r="M154" i="12"/>
  <c r="AC154" i="12"/>
  <c r="V154" i="12"/>
  <c r="AE154" i="12"/>
  <c r="AB154" i="12"/>
  <c r="AD154" i="12"/>
  <c r="O154" i="12"/>
  <c r="H154" i="12"/>
  <c r="X154" i="12"/>
  <c r="Q154" i="12"/>
  <c r="J154" i="12"/>
  <c r="Z154" i="12"/>
  <c r="S154" i="12"/>
  <c r="U154" i="12"/>
  <c r="G278" i="12"/>
  <c r="W278" i="12"/>
  <c r="P278" i="12"/>
  <c r="I278" i="12"/>
  <c r="Y278" i="12"/>
  <c r="R278" i="12"/>
  <c r="F278" i="12"/>
  <c r="O278" i="12"/>
  <c r="X278" i="12"/>
  <c r="J278" i="12"/>
  <c r="K278" i="12"/>
  <c r="AA278" i="12"/>
  <c r="T278" i="12"/>
  <c r="M278" i="12"/>
  <c r="AC278" i="12"/>
  <c r="V278" i="12"/>
  <c r="H278" i="12"/>
  <c r="Q278" i="12"/>
  <c r="Z278" i="12"/>
  <c r="S278" i="12"/>
  <c r="N278" i="12"/>
  <c r="AB278" i="12"/>
  <c r="U278" i="12"/>
  <c r="L278" i="12"/>
  <c r="AD278" i="12"/>
  <c r="AE278" i="12"/>
  <c r="P106" i="12"/>
  <c r="I106" i="12"/>
  <c r="Y106" i="12"/>
  <c r="R106" i="12"/>
  <c r="G106" i="12"/>
  <c r="W106" i="12"/>
  <c r="AE106" i="12"/>
  <c r="T106" i="12"/>
  <c r="M106" i="12"/>
  <c r="AC106" i="12"/>
  <c r="V106" i="12"/>
  <c r="K106" i="12"/>
  <c r="AA106" i="12"/>
  <c r="H106" i="12"/>
  <c r="X106" i="12"/>
  <c r="Q106" i="12"/>
  <c r="J106" i="12"/>
  <c r="Z106" i="12"/>
  <c r="O106" i="12"/>
  <c r="F106" i="12"/>
  <c r="N106" i="12"/>
  <c r="L106" i="12"/>
  <c r="AD106" i="12"/>
  <c r="AB106" i="12"/>
  <c r="S106" i="12"/>
  <c r="U106" i="12"/>
  <c r="O237" i="12"/>
  <c r="H237" i="12"/>
  <c r="X237" i="12"/>
  <c r="Q237" i="12"/>
  <c r="J237" i="12"/>
  <c r="Z237" i="12"/>
  <c r="AE237" i="12"/>
  <c r="S237" i="12"/>
  <c r="L237" i="12"/>
  <c r="AB237" i="12"/>
  <c r="U237" i="12"/>
  <c r="N237" i="12"/>
  <c r="AD237" i="12"/>
  <c r="G237" i="12"/>
  <c r="W237" i="12"/>
  <c r="P237" i="12"/>
  <c r="I237" i="12"/>
  <c r="Y237" i="12"/>
  <c r="R237" i="12"/>
  <c r="F237" i="12"/>
  <c r="M237" i="12"/>
  <c r="K237" i="12"/>
  <c r="AC237" i="12"/>
  <c r="T237" i="12"/>
  <c r="AA237" i="12"/>
  <c r="V237" i="12"/>
  <c r="K161" i="12"/>
  <c r="AA161" i="12"/>
  <c r="T161" i="12"/>
  <c r="M161" i="12"/>
  <c r="AC161" i="12"/>
  <c r="V161" i="12"/>
  <c r="S161" i="12"/>
  <c r="AB161" i="12"/>
  <c r="N161" i="12"/>
  <c r="O161" i="12"/>
  <c r="H161" i="12"/>
  <c r="X161" i="12"/>
  <c r="Q161" i="12"/>
  <c r="J161" i="12"/>
  <c r="Z161" i="12"/>
  <c r="AE161" i="12"/>
  <c r="L161" i="12"/>
  <c r="U161" i="12"/>
  <c r="AD161" i="12"/>
  <c r="P161" i="12"/>
  <c r="F161" i="12"/>
  <c r="G161" i="12"/>
  <c r="W161" i="12"/>
  <c r="I161" i="12"/>
  <c r="Y161" i="12"/>
  <c r="R161" i="12"/>
  <c r="AI116" i="12"/>
  <c r="O17" i="12"/>
  <c r="H17" i="12"/>
  <c r="X17" i="12"/>
  <c r="Q17" i="12"/>
  <c r="J17" i="12"/>
  <c r="Z17" i="12"/>
  <c r="AE17" i="12"/>
  <c r="S17" i="12"/>
  <c r="L17" i="12"/>
  <c r="AB17" i="12"/>
  <c r="U17" i="12"/>
  <c r="N17" i="12"/>
  <c r="AD17" i="12"/>
  <c r="G17" i="12"/>
  <c r="W17" i="12"/>
  <c r="P17" i="12"/>
  <c r="I17" i="12"/>
  <c r="Y17" i="12"/>
  <c r="R17" i="12"/>
  <c r="F17" i="12"/>
  <c r="T17" i="12"/>
  <c r="K17" i="12"/>
  <c r="AA17" i="12"/>
  <c r="M17" i="12"/>
  <c r="AC17" i="12"/>
  <c r="V17" i="12"/>
  <c r="L136" i="12"/>
  <c r="AB136" i="12"/>
  <c r="U136" i="12"/>
  <c r="N136" i="12"/>
  <c r="AD136" i="12"/>
  <c r="S136" i="12"/>
  <c r="T136" i="12"/>
  <c r="AC136" i="12"/>
  <c r="K136" i="12"/>
  <c r="AA136" i="12"/>
  <c r="P136" i="12"/>
  <c r="I136" i="12"/>
  <c r="Y136" i="12"/>
  <c r="R136" i="12"/>
  <c r="G136" i="12"/>
  <c r="W136" i="12"/>
  <c r="AE136" i="12"/>
  <c r="M136" i="12"/>
  <c r="V136" i="12"/>
  <c r="H136" i="12"/>
  <c r="Z136" i="12"/>
  <c r="F136" i="12"/>
  <c r="X136" i="12"/>
  <c r="O136" i="12"/>
  <c r="Q136" i="12"/>
  <c r="J136" i="12"/>
  <c r="K146" i="12"/>
  <c r="AA146" i="12"/>
  <c r="T146" i="12"/>
  <c r="M146" i="12"/>
  <c r="AC146" i="12"/>
  <c r="V146" i="12"/>
  <c r="AE146" i="12"/>
  <c r="L146" i="12"/>
  <c r="U146" i="12"/>
  <c r="AD146" i="12"/>
  <c r="O146" i="12"/>
  <c r="H146" i="12"/>
  <c r="X146" i="12"/>
  <c r="Q146" i="12"/>
  <c r="J146" i="12"/>
  <c r="Z146" i="12"/>
  <c r="S146" i="12"/>
  <c r="AB146" i="12"/>
  <c r="N146" i="12"/>
  <c r="I146" i="12"/>
  <c r="W146" i="12"/>
  <c r="P146" i="12"/>
  <c r="F146" i="12"/>
  <c r="G146" i="12"/>
  <c r="Y146" i="12"/>
  <c r="R146" i="12"/>
  <c r="G192" i="12"/>
  <c r="W192" i="12"/>
  <c r="P192" i="12"/>
  <c r="I192" i="12"/>
  <c r="Y192" i="12"/>
  <c r="R192" i="12"/>
  <c r="F192" i="12"/>
  <c r="K192" i="12"/>
  <c r="AA192" i="12"/>
  <c r="T192" i="12"/>
  <c r="M192" i="12"/>
  <c r="AC192" i="12"/>
  <c r="V192" i="12"/>
  <c r="O192" i="12"/>
  <c r="H192" i="12"/>
  <c r="X192" i="12"/>
  <c r="Q192" i="12"/>
  <c r="J192" i="12"/>
  <c r="Z192" i="12"/>
  <c r="AE192" i="12"/>
  <c r="U192" i="12"/>
  <c r="S192" i="12"/>
  <c r="N192" i="12"/>
  <c r="L192" i="12"/>
  <c r="AD192" i="12"/>
  <c r="AB192" i="12"/>
  <c r="AE104" i="12"/>
  <c r="T104" i="12"/>
  <c r="M104" i="12"/>
  <c r="AC104" i="12"/>
  <c r="V104" i="12"/>
  <c r="K104" i="12"/>
  <c r="AA104" i="12"/>
  <c r="AB104" i="12"/>
  <c r="N104" i="12"/>
  <c r="S104" i="12"/>
  <c r="H104" i="12"/>
  <c r="X104" i="12"/>
  <c r="Q104" i="12"/>
  <c r="J104" i="12"/>
  <c r="Z104" i="12"/>
  <c r="O104" i="12"/>
  <c r="F104" i="12"/>
  <c r="L104" i="12"/>
  <c r="U104" i="12"/>
  <c r="AD104" i="12"/>
  <c r="Y104" i="12"/>
  <c r="G104" i="12"/>
  <c r="W104" i="12"/>
  <c r="R104" i="12"/>
  <c r="P104" i="12"/>
  <c r="I104" i="12"/>
  <c r="G291" i="12"/>
  <c r="W291" i="12"/>
  <c r="P291" i="12"/>
  <c r="I291" i="12"/>
  <c r="Y291" i="12"/>
  <c r="R291" i="12"/>
  <c r="F291" i="12"/>
  <c r="K291" i="12"/>
  <c r="AA291" i="12"/>
  <c r="T291" i="12"/>
  <c r="M291" i="12"/>
  <c r="AC291" i="12"/>
  <c r="V291" i="12"/>
  <c r="O291" i="12"/>
  <c r="H291" i="12"/>
  <c r="X291" i="12"/>
  <c r="Q291" i="12"/>
  <c r="J291" i="12"/>
  <c r="Z291" i="12"/>
  <c r="AE291" i="12"/>
  <c r="U291" i="12"/>
  <c r="S291" i="12"/>
  <c r="N291" i="12"/>
  <c r="L291" i="12"/>
  <c r="AD291" i="12"/>
  <c r="AB291" i="12"/>
  <c r="K223" i="12"/>
  <c r="AA223" i="12"/>
  <c r="T223" i="12"/>
  <c r="M223" i="12"/>
  <c r="AC223" i="12"/>
  <c r="V223" i="12"/>
  <c r="O223" i="12"/>
  <c r="H223" i="12"/>
  <c r="X223" i="12"/>
  <c r="Q223" i="12"/>
  <c r="J223" i="12"/>
  <c r="Z223" i="12"/>
  <c r="S223" i="12"/>
  <c r="AB223" i="12"/>
  <c r="N223" i="12"/>
  <c r="W223" i="12"/>
  <c r="I223" i="12"/>
  <c r="R223" i="12"/>
  <c r="AE223" i="12"/>
  <c r="L223" i="12"/>
  <c r="U223" i="12"/>
  <c r="AD223" i="12"/>
  <c r="F223" i="12"/>
  <c r="P223" i="12"/>
  <c r="G223" i="12"/>
  <c r="Y223" i="12"/>
  <c r="P96" i="12"/>
  <c r="I96" i="12"/>
  <c r="Y96" i="12"/>
  <c r="R96" i="12"/>
  <c r="G96" i="12"/>
  <c r="W96" i="12"/>
  <c r="AB96" i="12"/>
  <c r="S96" i="12"/>
  <c r="AE96" i="12"/>
  <c r="T96" i="12"/>
  <c r="M96" i="12"/>
  <c r="AC96" i="12"/>
  <c r="V96" i="12"/>
  <c r="K96" i="12"/>
  <c r="AA96" i="12"/>
  <c r="U96" i="12"/>
  <c r="H96" i="12"/>
  <c r="X96" i="12"/>
  <c r="Q96" i="12"/>
  <c r="J96" i="12"/>
  <c r="Z96" i="12"/>
  <c r="O96" i="12"/>
  <c r="F96" i="12"/>
  <c r="N96" i="12"/>
  <c r="L96" i="12"/>
  <c r="AD96" i="12"/>
  <c r="P70" i="12"/>
  <c r="I70" i="12"/>
  <c r="Y70" i="12"/>
  <c r="R70" i="12"/>
  <c r="G70" i="12"/>
  <c r="W70" i="12"/>
  <c r="AE70" i="12"/>
  <c r="T70" i="12"/>
  <c r="M70" i="12"/>
  <c r="AC70" i="12"/>
  <c r="V70" i="12"/>
  <c r="K70" i="12"/>
  <c r="AA70" i="12"/>
  <c r="H70" i="12"/>
  <c r="X70" i="12"/>
  <c r="Q70" i="12"/>
  <c r="J70" i="12"/>
  <c r="Z70" i="12"/>
  <c r="O70" i="12"/>
  <c r="F70" i="12"/>
  <c r="L70" i="12"/>
  <c r="AD70" i="12"/>
  <c r="AB70" i="12"/>
  <c r="S70" i="12"/>
  <c r="U70" i="12"/>
  <c r="N70" i="12"/>
  <c r="AI51" i="12"/>
  <c r="AE94" i="12"/>
  <c r="T94" i="12"/>
  <c r="M94" i="12"/>
  <c r="AC94" i="12"/>
  <c r="V94" i="12"/>
  <c r="K94" i="12"/>
  <c r="AA94" i="12"/>
  <c r="L94" i="12"/>
  <c r="U94" i="12"/>
  <c r="N94" i="12"/>
  <c r="S94" i="12"/>
  <c r="H94" i="12"/>
  <c r="X94" i="12"/>
  <c r="Q94" i="12"/>
  <c r="J94" i="12"/>
  <c r="Z94" i="12"/>
  <c r="O94" i="12"/>
  <c r="F94" i="12"/>
  <c r="AB94" i="12"/>
  <c r="AD94" i="12"/>
  <c r="I94" i="12"/>
  <c r="W94" i="12"/>
  <c r="P94" i="12"/>
  <c r="Y94" i="12"/>
  <c r="R94" i="12"/>
  <c r="G94" i="12"/>
  <c r="G20" i="12"/>
  <c r="W20" i="12"/>
  <c r="P20" i="12"/>
  <c r="I20" i="12"/>
  <c r="Y20" i="12"/>
  <c r="R20" i="12"/>
  <c r="F20" i="12"/>
  <c r="H20" i="12"/>
  <c r="X20" i="12"/>
  <c r="J20" i="12"/>
  <c r="K20" i="12"/>
  <c r="AA20" i="12"/>
  <c r="T20" i="12"/>
  <c r="M20" i="12"/>
  <c r="AC20" i="12"/>
  <c r="V20" i="12"/>
  <c r="O20" i="12"/>
  <c r="Q20" i="12"/>
  <c r="Z20" i="12"/>
  <c r="S20" i="12"/>
  <c r="N20" i="12"/>
  <c r="AB20" i="12"/>
  <c r="U20" i="12"/>
  <c r="L20" i="12"/>
  <c r="AD20" i="12"/>
  <c r="AE20" i="12"/>
  <c r="AI232" i="12"/>
  <c r="N46" i="12"/>
  <c r="AD46" i="12"/>
  <c r="S46" i="12"/>
  <c r="L46" i="12"/>
  <c r="AB46" i="12"/>
  <c r="U46" i="12"/>
  <c r="R46" i="12"/>
  <c r="G46" i="12"/>
  <c r="W46" i="12"/>
  <c r="P46" i="12"/>
  <c r="I46" i="12"/>
  <c r="Y46" i="12"/>
  <c r="AE46" i="12"/>
  <c r="V46" i="12"/>
  <c r="K46" i="12"/>
  <c r="AA46" i="12"/>
  <c r="T46" i="12"/>
  <c r="M46" i="12"/>
  <c r="AC46" i="12"/>
  <c r="H46" i="12"/>
  <c r="J46" i="12"/>
  <c r="X46" i="12"/>
  <c r="Z46" i="12"/>
  <c r="Q46" i="12"/>
  <c r="F46" i="12"/>
  <c r="O46" i="12"/>
  <c r="AI162" i="12"/>
  <c r="O211" i="12"/>
  <c r="H211" i="12"/>
  <c r="X211" i="12"/>
  <c r="Q211" i="12"/>
  <c r="J211" i="12"/>
  <c r="Z211" i="12"/>
  <c r="AE211" i="12"/>
  <c r="S211" i="12"/>
  <c r="L211" i="12"/>
  <c r="AB211" i="12"/>
  <c r="U211" i="12"/>
  <c r="N211" i="12"/>
  <c r="AD211" i="12"/>
  <c r="G211" i="12"/>
  <c r="W211" i="12"/>
  <c r="P211" i="12"/>
  <c r="I211" i="12"/>
  <c r="Y211" i="12"/>
  <c r="R211" i="12"/>
  <c r="F211" i="12"/>
  <c r="T211" i="12"/>
  <c r="AC211" i="12"/>
  <c r="V211" i="12"/>
  <c r="M211" i="12"/>
  <c r="K211" i="12"/>
  <c r="AA211" i="12"/>
  <c r="O207" i="12"/>
  <c r="H207" i="12"/>
  <c r="X207" i="12"/>
  <c r="Q207" i="12"/>
  <c r="J207" i="12"/>
  <c r="Z207" i="12"/>
  <c r="AE207" i="12"/>
  <c r="S207" i="12"/>
  <c r="L207" i="12"/>
  <c r="AB207" i="12"/>
  <c r="U207" i="12"/>
  <c r="N207" i="12"/>
  <c r="AD207" i="12"/>
  <c r="G207" i="12"/>
  <c r="W207" i="12"/>
  <c r="P207" i="12"/>
  <c r="I207" i="12"/>
  <c r="Y207" i="12"/>
  <c r="R207" i="12"/>
  <c r="F207" i="12"/>
  <c r="M207" i="12"/>
  <c r="K207" i="12"/>
  <c r="AC207" i="12"/>
  <c r="AA207" i="12"/>
  <c r="V207" i="12"/>
  <c r="T207" i="12"/>
  <c r="P321" i="12"/>
  <c r="F321" i="12"/>
  <c r="U321" i="12"/>
  <c r="N321" i="12"/>
  <c r="AD321" i="12"/>
  <c r="S321" i="12"/>
  <c r="AE321" i="12"/>
  <c r="T321" i="12"/>
  <c r="I321" i="12"/>
  <c r="Y321" i="12"/>
  <c r="R321" i="12"/>
  <c r="G321" i="12"/>
  <c r="W321" i="12"/>
  <c r="H321" i="12"/>
  <c r="X321" i="12"/>
  <c r="M321" i="12"/>
  <c r="AC321" i="12"/>
  <c r="V321" i="12"/>
  <c r="K321" i="12"/>
  <c r="AA321" i="12"/>
  <c r="J321" i="12"/>
  <c r="L321" i="12"/>
  <c r="Z321" i="12"/>
  <c r="AB321" i="12"/>
  <c r="O321" i="12"/>
  <c r="Q321" i="12"/>
  <c r="G218" i="12"/>
  <c r="W218" i="12"/>
  <c r="P218" i="12"/>
  <c r="I218" i="12"/>
  <c r="Y218" i="12"/>
  <c r="R218" i="12"/>
  <c r="F218" i="12"/>
  <c r="K218" i="12"/>
  <c r="AA218" i="12"/>
  <c r="T218" i="12"/>
  <c r="M218" i="12"/>
  <c r="AC218" i="12"/>
  <c r="V218" i="12"/>
  <c r="O218" i="12"/>
  <c r="H218" i="12"/>
  <c r="X218" i="12"/>
  <c r="Q218" i="12"/>
  <c r="J218" i="12"/>
  <c r="Z218" i="12"/>
  <c r="L218" i="12"/>
  <c r="AD218" i="12"/>
  <c r="AB218" i="12"/>
  <c r="N218" i="12"/>
  <c r="AE218" i="12"/>
  <c r="U218" i="12"/>
  <c r="S218" i="12"/>
  <c r="AI159" i="12"/>
  <c r="H331" i="12"/>
  <c r="X331" i="12"/>
  <c r="Q331" i="12"/>
  <c r="J331" i="12"/>
  <c r="Z331" i="12"/>
  <c r="K331" i="12"/>
  <c r="AA331" i="12"/>
  <c r="P331" i="12"/>
  <c r="Y331" i="12"/>
  <c r="F331" i="12"/>
  <c r="AE331" i="12"/>
  <c r="M331" i="12"/>
  <c r="V331" i="12"/>
  <c r="W331" i="12"/>
  <c r="L331" i="12"/>
  <c r="AB331" i="12"/>
  <c r="U331" i="12"/>
  <c r="N331" i="12"/>
  <c r="AD331" i="12"/>
  <c r="O331" i="12"/>
  <c r="I331" i="12"/>
  <c r="R331" i="12"/>
  <c r="S331" i="12"/>
  <c r="T331" i="12"/>
  <c r="AC331" i="12"/>
  <c r="G331" i="12"/>
  <c r="O262" i="12"/>
  <c r="H262" i="12"/>
  <c r="X262" i="12"/>
  <c r="Q262" i="12"/>
  <c r="J262" i="12"/>
  <c r="Z262" i="12"/>
  <c r="W262" i="12"/>
  <c r="I262" i="12"/>
  <c r="R262" i="12"/>
  <c r="AA262" i="12"/>
  <c r="M262" i="12"/>
  <c r="V262" i="12"/>
  <c r="AE262" i="12"/>
  <c r="S262" i="12"/>
  <c r="L262" i="12"/>
  <c r="AB262" i="12"/>
  <c r="U262" i="12"/>
  <c r="N262" i="12"/>
  <c r="AD262" i="12"/>
  <c r="G262" i="12"/>
  <c r="P262" i="12"/>
  <c r="Y262" i="12"/>
  <c r="F262" i="12"/>
  <c r="K262" i="12"/>
  <c r="T262" i="12"/>
  <c r="AC262" i="12"/>
  <c r="K236" i="12"/>
  <c r="AA236" i="12"/>
  <c r="T236" i="12"/>
  <c r="M236" i="12"/>
  <c r="AC236" i="12"/>
  <c r="V236" i="12"/>
  <c r="O236" i="12"/>
  <c r="H236" i="12"/>
  <c r="X236" i="12"/>
  <c r="Q236" i="12"/>
  <c r="J236" i="12"/>
  <c r="Z236" i="12"/>
  <c r="S236" i="12"/>
  <c r="AB236" i="12"/>
  <c r="N236" i="12"/>
  <c r="W236" i="12"/>
  <c r="I236" i="12"/>
  <c r="R236" i="12"/>
  <c r="AE236" i="12"/>
  <c r="L236" i="12"/>
  <c r="U236" i="12"/>
  <c r="AD236" i="12"/>
  <c r="Y236" i="12"/>
  <c r="P236" i="12"/>
  <c r="F236" i="12"/>
  <c r="G236" i="12"/>
  <c r="K226" i="12"/>
  <c r="AA226" i="12"/>
  <c r="T226" i="12"/>
  <c r="M226" i="12"/>
  <c r="AC226" i="12"/>
  <c r="V226" i="12"/>
  <c r="O226" i="12"/>
  <c r="H226" i="12"/>
  <c r="X226" i="12"/>
  <c r="Q226" i="12"/>
  <c r="J226" i="12"/>
  <c r="Z226" i="12"/>
  <c r="AE226" i="12"/>
  <c r="L226" i="12"/>
  <c r="U226" i="12"/>
  <c r="AD226" i="12"/>
  <c r="G226" i="12"/>
  <c r="P226" i="12"/>
  <c r="Y226" i="12"/>
  <c r="F226" i="12"/>
  <c r="S226" i="12"/>
  <c r="AB226" i="12"/>
  <c r="N226" i="12"/>
  <c r="I226" i="12"/>
  <c r="R226" i="12"/>
  <c r="W226" i="12"/>
  <c r="AE137" i="12"/>
  <c r="T137" i="12"/>
  <c r="M137" i="12"/>
  <c r="AC137" i="12"/>
  <c r="V137" i="12"/>
  <c r="K137" i="12"/>
  <c r="AA137" i="12"/>
  <c r="H137" i="12"/>
  <c r="X137" i="12"/>
  <c r="Q137" i="12"/>
  <c r="J137" i="12"/>
  <c r="Z137" i="12"/>
  <c r="O137" i="12"/>
  <c r="F137" i="12"/>
  <c r="L137" i="12"/>
  <c r="U137" i="12"/>
  <c r="AD137" i="12"/>
  <c r="P137" i="12"/>
  <c r="Y137" i="12"/>
  <c r="G137" i="12"/>
  <c r="AB137" i="12"/>
  <c r="N137" i="12"/>
  <c r="S137" i="12"/>
  <c r="W137" i="12"/>
  <c r="I137" i="12"/>
  <c r="R137" i="12"/>
  <c r="AE23" i="12"/>
  <c r="S23" i="12"/>
  <c r="L23" i="12"/>
  <c r="AB23" i="12"/>
  <c r="U23" i="12"/>
  <c r="N23" i="12"/>
  <c r="AD23" i="12"/>
  <c r="G23" i="12"/>
  <c r="W23" i="12"/>
  <c r="P23" i="12"/>
  <c r="I23" i="12"/>
  <c r="Y23" i="12"/>
  <c r="R23" i="12"/>
  <c r="F23" i="12"/>
  <c r="K23" i="12"/>
  <c r="AA23" i="12"/>
  <c r="T23" i="12"/>
  <c r="M23" i="12"/>
  <c r="AC23" i="12"/>
  <c r="V23" i="12"/>
  <c r="H23" i="12"/>
  <c r="Z23" i="12"/>
  <c r="X23" i="12"/>
  <c r="O23" i="12"/>
  <c r="Q23" i="12"/>
  <c r="J23" i="12"/>
  <c r="AI261" i="12"/>
  <c r="AR38" i="12"/>
  <c r="K270" i="12"/>
  <c r="AA270" i="12"/>
  <c r="T270" i="12"/>
  <c r="M270" i="12"/>
  <c r="AC270" i="12"/>
  <c r="V270" i="12"/>
  <c r="AE270" i="12"/>
  <c r="L270" i="12"/>
  <c r="U270" i="12"/>
  <c r="AD270" i="12"/>
  <c r="O270" i="12"/>
  <c r="H270" i="12"/>
  <c r="X270" i="12"/>
  <c r="Q270" i="12"/>
  <c r="J270" i="12"/>
  <c r="Z270" i="12"/>
  <c r="S270" i="12"/>
  <c r="AB270" i="12"/>
  <c r="N270" i="12"/>
  <c r="W270" i="12"/>
  <c r="R270" i="12"/>
  <c r="I270" i="12"/>
  <c r="Y270" i="12"/>
  <c r="P270" i="12"/>
  <c r="F270" i="12"/>
  <c r="G270" i="12"/>
  <c r="G166" i="12"/>
  <c r="W166" i="12"/>
  <c r="P166" i="12"/>
  <c r="I166" i="12"/>
  <c r="Y166" i="12"/>
  <c r="R166" i="12"/>
  <c r="F166" i="12"/>
  <c r="K166" i="12"/>
  <c r="AA166" i="12"/>
  <c r="T166" i="12"/>
  <c r="M166" i="12"/>
  <c r="AC166" i="12"/>
  <c r="V166" i="12"/>
  <c r="O166" i="12"/>
  <c r="H166" i="12"/>
  <c r="X166" i="12"/>
  <c r="Q166" i="12"/>
  <c r="J166" i="12"/>
  <c r="Z166" i="12"/>
  <c r="S166" i="12"/>
  <c r="N166" i="12"/>
  <c r="L166" i="12"/>
  <c r="AD166" i="12"/>
  <c r="AB166" i="12"/>
  <c r="U166" i="12"/>
  <c r="AE166" i="12"/>
  <c r="H110" i="12"/>
  <c r="X110" i="12"/>
  <c r="Q110" i="12"/>
  <c r="J110" i="12"/>
  <c r="Z110" i="12"/>
  <c r="O110" i="12"/>
  <c r="F110" i="12"/>
  <c r="L110" i="12"/>
  <c r="AB110" i="12"/>
  <c r="U110" i="12"/>
  <c r="N110" i="12"/>
  <c r="AD110" i="12"/>
  <c r="S110" i="12"/>
  <c r="P110" i="12"/>
  <c r="I110" i="12"/>
  <c r="Y110" i="12"/>
  <c r="R110" i="12"/>
  <c r="G110" i="12"/>
  <c r="W110" i="12"/>
  <c r="T110" i="12"/>
  <c r="K110" i="12"/>
  <c r="V110" i="12"/>
  <c r="M110" i="12"/>
  <c r="AA110" i="12"/>
  <c r="AC110" i="12"/>
  <c r="AE110" i="12"/>
  <c r="K176" i="12"/>
  <c r="AA176" i="12"/>
  <c r="T176" i="12"/>
  <c r="M176" i="12"/>
  <c r="AC176" i="12"/>
  <c r="V176" i="12"/>
  <c r="O176" i="12"/>
  <c r="H176" i="12"/>
  <c r="X176" i="12"/>
  <c r="Q176" i="12"/>
  <c r="J176" i="12"/>
  <c r="Z176" i="12"/>
  <c r="AE176" i="12"/>
  <c r="S176" i="12"/>
  <c r="L176" i="12"/>
  <c r="AB176" i="12"/>
  <c r="U176" i="12"/>
  <c r="N176" i="12"/>
  <c r="AD176" i="12"/>
  <c r="I176" i="12"/>
  <c r="G176" i="12"/>
  <c r="Y176" i="12"/>
  <c r="P176" i="12"/>
  <c r="W176" i="12"/>
  <c r="R176" i="12"/>
  <c r="F176" i="12"/>
  <c r="AI158" i="12"/>
  <c r="AI22" i="12"/>
  <c r="AE139" i="12"/>
  <c r="T139" i="12"/>
  <c r="M139" i="12"/>
  <c r="AC139" i="12"/>
  <c r="V139" i="12"/>
  <c r="K139" i="12"/>
  <c r="AA139" i="12"/>
  <c r="AB139" i="12"/>
  <c r="N139" i="12"/>
  <c r="S139" i="12"/>
  <c r="H139" i="12"/>
  <c r="X139" i="12"/>
  <c r="Q139" i="12"/>
  <c r="J139" i="12"/>
  <c r="Z139" i="12"/>
  <c r="O139" i="12"/>
  <c r="F139" i="12"/>
  <c r="L139" i="12"/>
  <c r="U139" i="12"/>
  <c r="AD139" i="12"/>
  <c r="R139" i="12"/>
  <c r="I139" i="12"/>
  <c r="P139" i="12"/>
  <c r="G139" i="12"/>
  <c r="W139" i="12"/>
  <c r="Y139" i="12"/>
  <c r="AE233" i="12"/>
  <c r="S233" i="12"/>
  <c r="L233" i="12"/>
  <c r="AB233" i="12"/>
  <c r="U233" i="12"/>
  <c r="N233" i="12"/>
  <c r="AD233" i="12"/>
  <c r="K233" i="12"/>
  <c r="T233" i="12"/>
  <c r="AC233" i="12"/>
  <c r="G233" i="12"/>
  <c r="W233" i="12"/>
  <c r="P233" i="12"/>
  <c r="I233" i="12"/>
  <c r="Y233" i="12"/>
  <c r="R233" i="12"/>
  <c r="F233" i="12"/>
  <c r="AA233" i="12"/>
  <c r="M233" i="12"/>
  <c r="V233" i="12"/>
  <c r="H233" i="12"/>
  <c r="Z233" i="12"/>
  <c r="Q233" i="12"/>
  <c r="J233" i="12"/>
  <c r="X233" i="12"/>
  <c r="O233" i="12"/>
  <c r="AE50" i="12"/>
  <c r="V50" i="12"/>
  <c r="K50" i="12"/>
  <c r="AA50" i="12"/>
  <c r="T50" i="12"/>
  <c r="M50" i="12"/>
  <c r="AC50" i="12"/>
  <c r="AD50" i="12"/>
  <c r="L50" i="12"/>
  <c r="U50" i="12"/>
  <c r="J50" i="12"/>
  <c r="Z50" i="12"/>
  <c r="O50" i="12"/>
  <c r="H50" i="12"/>
  <c r="X50" i="12"/>
  <c r="Q50" i="12"/>
  <c r="F50" i="12"/>
  <c r="N50" i="12"/>
  <c r="S50" i="12"/>
  <c r="AB50" i="12"/>
  <c r="R50" i="12"/>
  <c r="I50" i="12"/>
  <c r="G50" i="12"/>
  <c r="Y50" i="12"/>
  <c r="W50" i="12"/>
  <c r="P50" i="12"/>
  <c r="AE184" i="12"/>
  <c r="S184" i="12"/>
  <c r="L184" i="12"/>
  <c r="AB184" i="12"/>
  <c r="U184" i="12"/>
  <c r="N184" i="12"/>
  <c r="AD184" i="12"/>
  <c r="K184" i="12"/>
  <c r="AA184" i="12"/>
  <c r="T184" i="12"/>
  <c r="AC184" i="12"/>
  <c r="G184" i="12"/>
  <c r="W184" i="12"/>
  <c r="P184" i="12"/>
  <c r="I184" i="12"/>
  <c r="Y184" i="12"/>
  <c r="R184" i="12"/>
  <c r="F184" i="12"/>
  <c r="M184" i="12"/>
  <c r="V184" i="12"/>
  <c r="O184" i="12"/>
  <c r="J184" i="12"/>
  <c r="X184" i="12"/>
  <c r="H184" i="12"/>
  <c r="Z184" i="12"/>
  <c r="Q184" i="12"/>
  <c r="AI59" i="12"/>
  <c r="L332" i="12"/>
  <c r="AB332" i="12"/>
  <c r="U332" i="12"/>
  <c r="N332" i="12"/>
  <c r="AD332" i="12"/>
  <c r="S332" i="12"/>
  <c r="T332" i="12"/>
  <c r="AC332" i="12"/>
  <c r="K332" i="12"/>
  <c r="P332" i="12"/>
  <c r="I332" i="12"/>
  <c r="Y332" i="12"/>
  <c r="R332" i="12"/>
  <c r="G332" i="12"/>
  <c r="W332" i="12"/>
  <c r="AE332" i="12"/>
  <c r="M332" i="12"/>
  <c r="V332" i="12"/>
  <c r="AA332" i="12"/>
  <c r="H332" i="12"/>
  <c r="Z332" i="12"/>
  <c r="Q332" i="12"/>
  <c r="J332" i="12"/>
  <c r="X332" i="12"/>
  <c r="O332" i="12"/>
  <c r="F332" i="12"/>
  <c r="AI206" i="12"/>
  <c r="AI152" i="12"/>
  <c r="K241" i="12"/>
  <c r="AA241" i="12"/>
  <c r="T241" i="12"/>
  <c r="M241" i="12"/>
  <c r="AC241" i="12"/>
  <c r="V241" i="12"/>
  <c r="O241" i="12"/>
  <c r="H241" i="12"/>
  <c r="X241" i="12"/>
  <c r="Q241" i="12"/>
  <c r="J241" i="12"/>
  <c r="Z241" i="12"/>
  <c r="AE241" i="12"/>
  <c r="S241" i="12"/>
  <c r="L241" i="12"/>
  <c r="AB241" i="12"/>
  <c r="U241" i="12"/>
  <c r="N241" i="12"/>
  <c r="AD241" i="12"/>
  <c r="W241" i="12"/>
  <c r="R241" i="12"/>
  <c r="P241" i="12"/>
  <c r="F241" i="12"/>
  <c r="I241" i="12"/>
  <c r="Y241" i="12"/>
  <c r="G241" i="12"/>
  <c r="AI326" i="12"/>
  <c r="K308" i="12"/>
  <c r="AA308" i="12"/>
  <c r="T308" i="12"/>
  <c r="M308" i="12"/>
  <c r="AC308" i="12"/>
  <c r="V308" i="12"/>
  <c r="O308" i="12"/>
  <c r="H308" i="12"/>
  <c r="X308" i="12"/>
  <c r="Q308" i="12"/>
  <c r="J308" i="12"/>
  <c r="Z308" i="12"/>
  <c r="AE308" i="12"/>
  <c r="S308" i="12"/>
  <c r="L308" i="12"/>
  <c r="AB308" i="12"/>
  <c r="U308" i="12"/>
  <c r="N308" i="12"/>
  <c r="AD308" i="12"/>
  <c r="W308" i="12"/>
  <c r="R308" i="12"/>
  <c r="P308" i="12"/>
  <c r="F308" i="12"/>
  <c r="I308" i="12"/>
  <c r="Y308" i="12"/>
  <c r="G308" i="12"/>
  <c r="P325" i="12"/>
  <c r="F325" i="12"/>
  <c r="U325" i="12"/>
  <c r="N325" i="12"/>
  <c r="AD325" i="12"/>
  <c r="S325" i="12"/>
  <c r="AE325" i="12"/>
  <c r="T325" i="12"/>
  <c r="I325" i="12"/>
  <c r="Y325" i="12"/>
  <c r="R325" i="12"/>
  <c r="G325" i="12"/>
  <c r="W325" i="12"/>
  <c r="H325" i="12"/>
  <c r="X325" i="12"/>
  <c r="M325" i="12"/>
  <c r="AC325" i="12"/>
  <c r="V325" i="12"/>
  <c r="K325" i="12"/>
  <c r="AA325" i="12"/>
  <c r="L325" i="12"/>
  <c r="Z325" i="12"/>
  <c r="AB325" i="12"/>
  <c r="O325" i="12"/>
  <c r="Q325" i="12"/>
  <c r="J325" i="12"/>
  <c r="S28" i="15" l="1"/>
  <c r="S17" i="15"/>
  <c r="S24" i="15"/>
  <c r="S19" i="15"/>
  <c r="S31" i="15"/>
  <c r="S33" i="15"/>
  <c r="S27" i="15"/>
  <c r="S11" i="15"/>
  <c r="S22" i="15"/>
  <c r="S34" i="15"/>
  <c r="S20" i="15"/>
  <c r="S16" i="15"/>
  <c r="S29" i="15"/>
  <c r="S13" i="15"/>
  <c r="S12" i="15"/>
  <c r="S21" i="15"/>
  <c r="S25" i="15"/>
  <c r="S30" i="15"/>
  <c r="S26" i="15"/>
  <c r="S18" i="15"/>
  <c r="S10" i="15"/>
  <c r="S15" i="15"/>
  <c r="K17" i="22"/>
  <c r="O26" i="22" s="1"/>
  <c r="B34" i="22"/>
  <c r="N26" i="22"/>
  <c r="T26" i="22"/>
  <c r="E26" i="22"/>
  <c r="AI236" i="12"/>
  <c r="AO236" i="12" s="1"/>
  <c r="AP236" i="12" s="1"/>
  <c r="AI96" i="12"/>
  <c r="AO96" i="12" s="1"/>
  <c r="AP96" i="12" s="1"/>
  <c r="AI47" i="12"/>
  <c r="AO47" i="12" s="1"/>
  <c r="AP47" i="12" s="1"/>
  <c r="AI224" i="12"/>
  <c r="AO224" i="12" s="1"/>
  <c r="AP224" i="12" s="1"/>
  <c r="AI19" i="12"/>
  <c r="AO19" i="12" s="1"/>
  <c r="AP19" i="12" s="1"/>
  <c r="AI97" i="12"/>
  <c r="AO97" i="12" s="1"/>
  <c r="AP97" i="12" s="1"/>
  <c r="AI349" i="12"/>
  <c r="AO349" i="12" s="1"/>
  <c r="AP349" i="12" s="1"/>
  <c r="AI194" i="12"/>
  <c r="AO194" i="12" s="1"/>
  <c r="AP194" i="12" s="1"/>
  <c r="AI108" i="12"/>
  <c r="AO108" i="12" s="1"/>
  <c r="AP108" i="12" s="1"/>
  <c r="AI98" i="12"/>
  <c r="AO98" i="12" s="1"/>
  <c r="AP98" i="12" s="1"/>
  <c r="AI263" i="12"/>
  <c r="AO263" i="12" s="1"/>
  <c r="AP263" i="12" s="1"/>
  <c r="AI225" i="12"/>
  <c r="AO225" i="12" s="1"/>
  <c r="AP225" i="12" s="1"/>
  <c r="AI75" i="12"/>
  <c r="AI120" i="12"/>
  <c r="AO120" i="12" s="1"/>
  <c r="AP120" i="12" s="1"/>
  <c r="AI250" i="12"/>
  <c r="AO250" i="12" s="1"/>
  <c r="AP250" i="12" s="1"/>
  <c r="AI32" i="12"/>
  <c r="AO32" i="12" s="1"/>
  <c r="AP32" i="12" s="1"/>
  <c r="AO51" i="12"/>
  <c r="AP51" i="12" s="1"/>
  <c r="AR51" i="12"/>
  <c r="AI70" i="12"/>
  <c r="AI192" i="12"/>
  <c r="AO116" i="12"/>
  <c r="AP116" i="12" s="1"/>
  <c r="AR116" i="12"/>
  <c r="AI178" i="12"/>
  <c r="AO140" i="12"/>
  <c r="AP140" i="12" s="1"/>
  <c r="AR140" i="12"/>
  <c r="AI269" i="12"/>
  <c r="AO286" i="12"/>
  <c r="AP286" i="12" s="1"/>
  <c r="AR286" i="12"/>
  <c r="AO52" i="12"/>
  <c r="AP52" i="12" s="1"/>
  <c r="AR52" i="12"/>
  <c r="AI42" i="12"/>
  <c r="AI312" i="12"/>
  <c r="AI253" i="12"/>
  <c r="AI357" i="12"/>
  <c r="AI301" i="12"/>
  <c r="AI172" i="12"/>
  <c r="AI144" i="12"/>
  <c r="AO66" i="12"/>
  <c r="AP66" i="12" s="1"/>
  <c r="AR66" i="12"/>
  <c r="AI160" i="12"/>
  <c r="AI191" i="12"/>
  <c r="AO78" i="12"/>
  <c r="AP78" i="12" s="1"/>
  <c r="AR78" i="12"/>
  <c r="AI39" i="12"/>
  <c r="AI171" i="12"/>
  <c r="AI156" i="12"/>
  <c r="AI80" i="12"/>
  <c r="AI240" i="12"/>
  <c r="AO185" i="12"/>
  <c r="AP185" i="12" s="1"/>
  <c r="AR185" i="12"/>
  <c r="AO133" i="12"/>
  <c r="AP133" i="12" s="1"/>
  <c r="AR133" i="12"/>
  <c r="AI260" i="12"/>
  <c r="AO216" i="12"/>
  <c r="AP216" i="12" s="1"/>
  <c r="AR216" i="12"/>
  <c r="AI328" i="12"/>
  <c r="AO338" i="12"/>
  <c r="AP338" i="12" s="1"/>
  <c r="AR338" i="12"/>
  <c r="AI157" i="12"/>
  <c r="AI169" i="12"/>
  <c r="AO204" i="12"/>
  <c r="AP204" i="12" s="1"/>
  <c r="AR204" i="12"/>
  <c r="AO67" i="12"/>
  <c r="AP67" i="12" s="1"/>
  <c r="AR67" i="12"/>
  <c r="AI56" i="12"/>
  <c r="AI219" i="12"/>
  <c r="AI334" i="12"/>
  <c r="AI289" i="12"/>
  <c r="AO69" i="12"/>
  <c r="AP69" i="12" s="1"/>
  <c r="AR69" i="12"/>
  <c r="AO281" i="12"/>
  <c r="AP281" i="12" s="1"/>
  <c r="AR281" i="12"/>
  <c r="AI201" i="12"/>
  <c r="AI29" i="12"/>
  <c r="AI221" i="12"/>
  <c r="AI71" i="12"/>
  <c r="AI306" i="12"/>
  <c r="AI228" i="12"/>
  <c r="AO35" i="12"/>
  <c r="AP35" i="12" s="1"/>
  <c r="AR35" i="12"/>
  <c r="AI132" i="12"/>
  <c r="AI208" i="12"/>
  <c r="AI205" i="12"/>
  <c r="AI122" i="12"/>
  <c r="AI267" i="12"/>
  <c r="AI90" i="12"/>
  <c r="AI330" i="12"/>
  <c r="AO337" i="12"/>
  <c r="AP337" i="12" s="1"/>
  <c r="AR337" i="12"/>
  <c r="AI257" i="12"/>
  <c r="AI26" i="12"/>
  <c r="AI299" i="12"/>
  <c r="AI197" i="12"/>
  <c r="AI141" i="12"/>
  <c r="AO148" i="12"/>
  <c r="AP148" i="12" s="1"/>
  <c r="AR148" i="12"/>
  <c r="AO111" i="12"/>
  <c r="AP111" i="12" s="1"/>
  <c r="AR111" i="12"/>
  <c r="AI170" i="12"/>
  <c r="AI231" i="12"/>
  <c r="AO261" i="12"/>
  <c r="AP261" i="12" s="1"/>
  <c r="AR261" i="12"/>
  <c r="AI17" i="12"/>
  <c r="AI62" i="12"/>
  <c r="AO356" i="12"/>
  <c r="AP356" i="12" s="1"/>
  <c r="AR356" i="12"/>
  <c r="AI93" i="12"/>
  <c r="AI327" i="12"/>
  <c r="AI151" i="12"/>
  <c r="AI34" i="12"/>
  <c r="AI214" i="12"/>
  <c r="AI329" i="12"/>
  <c r="AI167" i="12"/>
  <c r="AO88" i="12"/>
  <c r="AP88" i="12" s="1"/>
  <c r="AR88" i="12"/>
  <c r="AI277" i="12"/>
  <c r="AO95" i="12"/>
  <c r="AP95" i="12" s="1"/>
  <c r="AR95" i="12"/>
  <c r="AO348" i="12"/>
  <c r="AP348" i="12" s="1"/>
  <c r="AR348" i="12"/>
  <c r="AI109" i="12"/>
  <c r="AI325" i="12"/>
  <c r="AI332" i="12"/>
  <c r="AI184" i="12"/>
  <c r="AI50" i="12"/>
  <c r="AO158" i="12"/>
  <c r="AP158" i="12" s="1"/>
  <c r="AR158" i="12"/>
  <c r="AI166" i="12"/>
  <c r="AI137" i="12"/>
  <c r="AI262" i="12"/>
  <c r="AI331" i="12"/>
  <c r="AI218" i="12"/>
  <c r="AI321" i="12"/>
  <c r="AI211" i="12"/>
  <c r="AO162" i="12"/>
  <c r="AP162" i="12" s="1"/>
  <c r="AR162" i="12"/>
  <c r="AI46" i="12"/>
  <c r="AI20" i="12"/>
  <c r="AI94" i="12"/>
  <c r="AI154" i="12"/>
  <c r="AI193" i="12"/>
  <c r="AI163" i="12"/>
  <c r="AI305" i="12"/>
  <c r="AI259" i="12"/>
  <c r="AO210" i="12"/>
  <c r="AP210" i="12" s="1"/>
  <c r="AR210" i="12"/>
  <c r="AO182" i="12"/>
  <c r="AP182" i="12" s="1"/>
  <c r="AR182" i="12"/>
  <c r="AO142" i="12"/>
  <c r="AP142" i="12" s="1"/>
  <c r="AR142" i="12"/>
  <c r="AI83" i="12"/>
  <c r="AO351" i="12"/>
  <c r="AP351" i="12" s="1"/>
  <c r="AR351" i="12"/>
  <c r="AI355" i="12"/>
  <c r="AI188" i="12"/>
  <c r="AO149" i="12"/>
  <c r="AP149" i="12" s="1"/>
  <c r="AR149" i="12"/>
  <c r="AI91" i="12"/>
  <c r="AO323" i="12"/>
  <c r="AP323" i="12" s="1"/>
  <c r="AR323" i="12"/>
  <c r="AO68" i="12"/>
  <c r="AP68" i="12" s="1"/>
  <c r="AR68" i="12"/>
  <c r="AO174" i="12"/>
  <c r="AP174" i="12" s="1"/>
  <c r="AR174" i="12"/>
  <c r="AI102" i="12"/>
  <c r="AI230" i="12"/>
  <c r="AI87" i="12"/>
  <c r="AO200" i="12"/>
  <c r="AP200" i="12" s="1"/>
  <c r="AR200" i="12"/>
  <c r="AI203" i="12"/>
  <c r="AO92" i="12"/>
  <c r="AP92" i="12" s="1"/>
  <c r="AR92" i="12"/>
  <c r="AI40" i="12"/>
  <c r="AO153" i="12"/>
  <c r="AP153" i="12" s="1"/>
  <c r="AR153" i="12"/>
  <c r="AI165" i="12"/>
  <c r="AI55" i="12"/>
  <c r="AI168" i="12"/>
  <c r="AI342" i="12"/>
  <c r="AI294" i="12"/>
  <c r="AI345" i="12"/>
  <c r="AI340" i="12"/>
  <c r="AO43" i="12"/>
  <c r="AP43" i="12" s="1"/>
  <c r="AR43" i="12"/>
  <c r="AI77" i="12"/>
  <c r="AO155" i="12"/>
  <c r="AP155" i="12" s="1"/>
  <c r="AR155" i="12"/>
  <c r="AO115" i="12"/>
  <c r="AP115" i="12" s="1"/>
  <c r="AR115" i="12"/>
  <c r="AI61" i="12"/>
  <c r="AI339" i="12"/>
  <c r="AI352" i="12"/>
  <c r="AI150" i="12"/>
  <c r="AI24" i="12"/>
  <c r="AI284" i="12"/>
  <c r="AO54" i="12"/>
  <c r="AP54" i="12" s="1"/>
  <c r="AR54" i="12"/>
  <c r="AI298" i="12"/>
  <c r="AI283" i="12"/>
  <c r="AI295" i="12"/>
  <c r="AI100" i="12"/>
  <c r="AI187" i="12"/>
  <c r="AI336" i="12"/>
  <c r="AI322" i="12"/>
  <c r="AI220" i="12"/>
  <c r="AI89" i="12"/>
  <c r="AO190" i="12"/>
  <c r="AP190" i="12" s="1"/>
  <c r="AR190" i="12"/>
  <c r="AI317" i="12"/>
  <c r="AI311" i="12"/>
  <c r="AI33" i="12"/>
  <c r="AI112" i="12"/>
  <c r="AO213" i="12"/>
  <c r="AP213" i="12" s="1"/>
  <c r="AR213" i="12"/>
  <c r="AI44" i="12"/>
  <c r="AI181" i="12"/>
  <c r="AO63" i="12"/>
  <c r="AP63" i="12" s="1"/>
  <c r="AR63" i="12"/>
  <c r="AI288" i="12"/>
  <c r="AO307" i="12"/>
  <c r="AP307" i="12" s="1"/>
  <c r="AR307" i="12"/>
  <c r="AI25" i="12"/>
  <c r="AO164" i="12"/>
  <c r="AP164" i="12" s="1"/>
  <c r="AR164" i="12"/>
  <c r="AI304" i="12"/>
  <c r="AO22" i="12"/>
  <c r="AP22" i="12" s="1"/>
  <c r="AR22" i="12"/>
  <c r="AO276" i="12"/>
  <c r="AP276" i="12" s="1"/>
  <c r="AR276" i="12"/>
  <c r="AO313" i="12"/>
  <c r="AP313" i="12" s="1"/>
  <c r="AR313" i="12"/>
  <c r="AI113" i="12"/>
  <c r="AI254" i="12"/>
  <c r="AI175" i="12"/>
  <c r="AO326" i="12"/>
  <c r="AP326" i="12" s="1"/>
  <c r="AR326" i="12"/>
  <c r="AO152" i="12"/>
  <c r="AP152" i="12" s="1"/>
  <c r="AR152" i="12"/>
  <c r="AI110" i="12"/>
  <c r="AI270" i="12"/>
  <c r="AI23" i="12"/>
  <c r="AI226" i="12"/>
  <c r="AR236" i="12"/>
  <c r="AI207" i="12"/>
  <c r="AO232" i="12"/>
  <c r="AP232" i="12" s="1"/>
  <c r="AR232" i="12"/>
  <c r="AI291" i="12"/>
  <c r="AI106" i="12"/>
  <c r="AI278" i="12"/>
  <c r="AI251" i="12"/>
  <c r="AI315" i="12"/>
  <c r="AO227" i="12"/>
  <c r="AP227" i="12" s="1"/>
  <c r="AR227" i="12"/>
  <c r="AO243" i="12"/>
  <c r="AP243" i="12" s="1"/>
  <c r="AR243" i="12"/>
  <c r="AI347" i="12"/>
  <c r="AI238" i="12"/>
  <c r="AI275" i="12"/>
  <c r="AI319" i="12"/>
  <c r="AO126" i="12"/>
  <c r="AP126" i="12" s="1"/>
  <c r="AR126" i="12"/>
  <c r="AI343" i="12"/>
  <c r="AI346" i="12"/>
  <c r="AO147" i="12"/>
  <c r="AP147" i="12" s="1"/>
  <c r="AR147" i="12"/>
  <c r="AO246" i="12"/>
  <c r="AP246" i="12" s="1"/>
  <c r="AR246" i="12"/>
  <c r="AI217" i="12"/>
  <c r="AI48" i="12"/>
  <c r="AO30" i="12"/>
  <c r="AP30" i="12" s="1"/>
  <c r="AR30" i="12"/>
  <c r="AO287" i="12"/>
  <c r="AP287" i="12" s="1"/>
  <c r="AR287" i="12"/>
  <c r="AI320" i="12"/>
  <c r="AI186" i="12"/>
  <c r="AI14" i="12"/>
  <c r="AI350" i="12"/>
  <c r="AO37" i="12"/>
  <c r="AP37" i="12" s="1"/>
  <c r="AR37" i="12"/>
  <c r="AO145" i="12"/>
  <c r="AP145" i="12" s="1"/>
  <c r="AR145" i="12"/>
  <c r="AI74" i="12"/>
  <c r="AI143" i="12"/>
  <c r="AO222" i="12"/>
  <c r="AP222" i="12" s="1"/>
  <c r="AR222" i="12"/>
  <c r="AI45" i="12"/>
  <c r="AI296" i="12"/>
  <c r="AI202" i="12"/>
  <c r="AI76" i="12"/>
  <c r="AI247" i="12"/>
  <c r="AI215" i="12"/>
  <c r="AR19" i="12"/>
  <c r="AI266" i="12"/>
  <c r="AI121" i="12"/>
  <c r="AI282" i="12"/>
  <c r="AO53" i="12"/>
  <c r="AP53" i="12" s="1"/>
  <c r="AR53" i="12"/>
  <c r="AI79" i="12"/>
  <c r="AI36" i="12"/>
  <c r="AI212" i="12"/>
  <c r="AI302" i="12"/>
  <c r="AO179" i="12"/>
  <c r="AP179" i="12" s="1"/>
  <c r="AR179" i="12"/>
  <c r="AI249" i="12"/>
  <c r="AI285" i="12"/>
  <c r="AI255" i="12"/>
  <c r="AI81" i="12"/>
  <c r="AI138" i="12"/>
  <c r="AI123" i="12"/>
  <c r="AO316" i="12"/>
  <c r="AP316" i="12" s="1"/>
  <c r="AR316" i="12"/>
  <c r="AI264" i="12"/>
  <c r="AO274" i="12"/>
  <c r="AP274" i="12" s="1"/>
  <c r="AR274" i="12"/>
  <c r="AO31" i="12"/>
  <c r="AP31" i="12" s="1"/>
  <c r="AR31" i="12"/>
  <c r="AI293" i="12"/>
  <c r="AI229" i="12"/>
  <c r="AI234" i="12"/>
  <c r="AI119" i="12"/>
  <c r="AI303" i="12"/>
  <c r="AI341" i="12"/>
  <c r="AI15" i="12"/>
  <c r="AI292" i="12"/>
  <c r="AO85" i="12"/>
  <c r="AP85" i="12" s="1"/>
  <c r="AR85" i="12"/>
  <c r="AI125" i="12"/>
  <c r="AI180" i="12"/>
  <c r="AI252" i="12"/>
  <c r="AI183" i="12"/>
  <c r="AI297" i="12"/>
  <c r="AI272" i="12"/>
  <c r="AI233" i="12"/>
  <c r="AI308" i="12"/>
  <c r="AI241" i="12"/>
  <c r="AO206" i="12"/>
  <c r="AP206" i="12" s="1"/>
  <c r="AR206" i="12"/>
  <c r="AO59" i="12"/>
  <c r="AP59" i="12" s="1"/>
  <c r="AR59" i="12"/>
  <c r="AI139" i="12"/>
  <c r="AI176" i="12"/>
  <c r="AO159" i="12"/>
  <c r="AP159" i="12" s="1"/>
  <c r="AR159" i="12"/>
  <c r="AI223" i="12"/>
  <c r="AI104" i="12"/>
  <c r="AI146" i="12"/>
  <c r="AI136" i="12"/>
  <c r="AI161" i="12"/>
  <c r="AI237" i="12"/>
  <c r="AR108" i="12"/>
  <c r="AI309" i="12"/>
  <c r="AI86" i="12"/>
  <c r="AI130" i="12"/>
  <c r="AO105" i="12"/>
  <c r="AP105" i="12" s="1"/>
  <c r="AR105" i="12"/>
  <c r="AI173" i="12"/>
  <c r="AO21" i="12"/>
  <c r="AP21" i="12" s="1"/>
  <c r="AR21" i="12"/>
  <c r="AI314" i="12"/>
  <c r="AI324" i="12"/>
  <c r="AI196" i="12"/>
  <c r="AO318" i="12"/>
  <c r="AP318" i="12" s="1"/>
  <c r="AR318" i="12"/>
  <c r="AI99" i="12"/>
  <c r="AI239" i="12"/>
  <c r="AO127" i="12"/>
  <c r="AP127" i="12" s="1"/>
  <c r="AR127" i="12"/>
  <c r="AO290" i="12"/>
  <c r="AP290" i="12" s="1"/>
  <c r="AR290" i="12"/>
  <c r="AI279" i="12"/>
  <c r="AO72" i="12"/>
  <c r="AP72" i="12" s="1"/>
  <c r="AR72" i="12"/>
  <c r="AO118" i="12"/>
  <c r="AP118" i="12" s="1"/>
  <c r="AR118" i="12"/>
  <c r="AI60" i="12"/>
  <c r="AO134" i="12"/>
  <c r="AP134" i="12" s="1"/>
  <c r="AR134" i="12"/>
  <c r="AI189" i="12"/>
  <c r="AO198" i="12"/>
  <c r="AP198" i="12" s="1"/>
  <c r="AR198" i="12"/>
  <c r="AI258" i="12"/>
  <c r="AI114" i="12"/>
  <c r="AI300" i="12"/>
  <c r="AI265" i="12"/>
  <c r="AI101" i="12"/>
  <c r="AO65" i="12"/>
  <c r="AP65" i="12" s="1"/>
  <c r="AR65" i="12"/>
  <c r="AI333" i="12"/>
  <c r="AI135" i="12"/>
  <c r="AI359" i="12"/>
  <c r="AI107" i="12"/>
  <c r="AI256" i="12"/>
  <c r="AI271" i="12"/>
  <c r="AO177" i="12"/>
  <c r="AP177" i="12" s="1"/>
  <c r="AR177" i="12"/>
  <c r="AO268" i="12"/>
  <c r="AP268" i="12" s="1"/>
  <c r="AR268" i="12"/>
  <c r="AI117" i="12"/>
  <c r="AO335" i="12"/>
  <c r="AP335" i="12" s="1"/>
  <c r="AR335" i="12"/>
  <c r="AO27" i="12"/>
  <c r="AP27" i="12" s="1"/>
  <c r="AR27" i="12"/>
  <c r="AI58" i="12"/>
  <c r="AO195" i="12"/>
  <c r="AP195" i="12" s="1"/>
  <c r="AR195" i="12"/>
  <c r="AI41" i="12"/>
  <c r="AO129" i="12"/>
  <c r="AP129" i="12" s="1"/>
  <c r="AR129" i="12"/>
  <c r="AI344" i="12"/>
  <c r="AO209" i="12"/>
  <c r="AP209" i="12" s="1"/>
  <c r="AR209" i="12"/>
  <c r="AO131" i="12"/>
  <c r="AP131" i="12" s="1"/>
  <c r="AR131" i="12"/>
  <c r="AI73" i="12"/>
  <c r="AO49" i="12"/>
  <c r="AP49" i="12" s="1"/>
  <c r="AR49" i="12"/>
  <c r="AI273" i="12"/>
  <c r="AO248" i="12"/>
  <c r="AP248" i="12" s="1"/>
  <c r="AR248" i="12"/>
  <c r="AO354" i="12"/>
  <c r="AP354" i="12" s="1"/>
  <c r="AR354" i="12"/>
  <c r="AO28" i="12"/>
  <c r="AP28" i="12" s="1"/>
  <c r="AR28" i="12"/>
  <c r="AI280" i="12"/>
  <c r="AI16" i="12"/>
  <c r="AI64" i="12"/>
  <c r="AO57" i="12"/>
  <c r="AP57" i="12" s="1"/>
  <c r="AR57" i="12"/>
  <c r="AI103" i="12"/>
  <c r="AO310" i="12"/>
  <c r="AP310" i="12" s="1"/>
  <c r="AR310" i="12"/>
  <c r="AI128" i="12"/>
  <c r="AO18" i="12"/>
  <c r="AP18" i="12" s="1"/>
  <c r="AR18" i="12"/>
  <c r="AO235" i="12"/>
  <c r="AP235" i="12" s="1"/>
  <c r="AR235" i="12"/>
  <c r="AI199" i="12"/>
  <c r="AO124" i="12"/>
  <c r="AP124" i="12" s="1"/>
  <c r="AR124" i="12"/>
  <c r="AI244" i="12"/>
  <c r="AI353" i="12"/>
  <c r="AI242" i="12"/>
  <c r="AI358" i="12"/>
  <c r="AI82" i="12"/>
  <c r="B29" i="22" l="1"/>
  <c r="Q29" i="22"/>
  <c r="N29" i="22"/>
  <c r="X26" i="22"/>
  <c r="AR349" i="12"/>
  <c r="AR97" i="12"/>
  <c r="AR120" i="12"/>
  <c r="AR98" i="12"/>
  <c r="AR47" i="12"/>
  <c r="AR250" i="12"/>
  <c r="AR263" i="12"/>
  <c r="AR96" i="12"/>
  <c r="AR194" i="12"/>
  <c r="AR225" i="12"/>
  <c r="AR224" i="12"/>
  <c r="AR32" i="12"/>
  <c r="AO75" i="12"/>
  <c r="AP75" i="12" s="1"/>
  <c r="AR75" i="12"/>
  <c r="AO128" i="12"/>
  <c r="AP128" i="12" s="1"/>
  <c r="AR128" i="12"/>
  <c r="AO114" i="12"/>
  <c r="AP114" i="12" s="1"/>
  <c r="AR114" i="12"/>
  <c r="AO189" i="12"/>
  <c r="AP189" i="12" s="1"/>
  <c r="AR189" i="12"/>
  <c r="AO279" i="12"/>
  <c r="AP279" i="12" s="1"/>
  <c r="AR279" i="12"/>
  <c r="AO229" i="12"/>
  <c r="AP229" i="12" s="1"/>
  <c r="AR229" i="12"/>
  <c r="AO343" i="12"/>
  <c r="AP343" i="12" s="1"/>
  <c r="AR343" i="12"/>
  <c r="AO288" i="12"/>
  <c r="AP288" i="12" s="1"/>
  <c r="AR288" i="12"/>
  <c r="AO345" i="12"/>
  <c r="AP345" i="12" s="1"/>
  <c r="AR345" i="12"/>
  <c r="AO40" i="12"/>
  <c r="AP40" i="12" s="1"/>
  <c r="AR40" i="12"/>
  <c r="AO102" i="12"/>
  <c r="AP102" i="12" s="1"/>
  <c r="AR102" i="12"/>
  <c r="AO46" i="12"/>
  <c r="AP46" i="12" s="1"/>
  <c r="AR46" i="12"/>
  <c r="AO137" i="12"/>
  <c r="AP137" i="12" s="1"/>
  <c r="AR137" i="12"/>
  <c r="AO50" i="12"/>
  <c r="AP50" i="12" s="1"/>
  <c r="AR50" i="12"/>
  <c r="AO167" i="12"/>
  <c r="AP167" i="12" s="1"/>
  <c r="AR167" i="12"/>
  <c r="AO151" i="12"/>
  <c r="AP151" i="12" s="1"/>
  <c r="AR151" i="12"/>
  <c r="AO208" i="12"/>
  <c r="AP208" i="12" s="1"/>
  <c r="AR208" i="12"/>
  <c r="AO157" i="12"/>
  <c r="AP157" i="12" s="1"/>
  <c r="AR157" i="12"/>
  <c r="AO258" i="12"/>
  <c r="AP258" i="12" s="1"/>
  <c r="AR258" i="12"/>
  <c r="AO130" i="12"/>
  <c r="AP130" i="12" s="1"/>
  <c r="AR130" i="12"/>
  <c r="AO237" i="12"/>
  <c r="AP237" i="12" s="1"/>
  <c r="AR237" i="12"/>
  <c r="AO104" i="12"/>
  <c r="AP104" i="12" s="1"/>
  <c r="AR104" i="12"/>
  <c r="AO176" i="12"/>
  <c r="AP176" i="12" s="1"/>
  <c r="AR176" i="12"/>
  <c r="AO233" i="12"/>
  <c r="AP233" i="12" s="1"/>
  <c r="AR233" i="12"/>
  <c r="AO252" i="12"/>
  <c r="AP252" i="12" s="1"/>
  <c r="AR252" i="12"/>
  <c r="AO303" i="12"/>
  <c r="AP303" i="12" s="1"/>
  <c r="AR303" i="12"/>
  <c r="AO293" i="12"/>
  <c r="AP293" i="12" s="1"/>
  <c r="AR293" i="12"/>
  <c r="AO123" i="12"/>
  <c r="AP123" i="12" s="1"/>
  <c r="AR123" i="12"/>
  <c r="AO255" i="12"/>
  <c r="AP255" i="12" s="1"/>
  <c r="AR255" i="12"/>
  <c r="AO79" i="12"/>
  <c r="AP79" i="12" s="1"/>
  <c r="AR79" i="12"/>
  <c r="AO121" i="12"/>
  <c r="AP121" i="12" s="1"/>
  <c r="AR121" i="12"/>
  <c r="AO247" i="12"/>
  <c r="AP247" i="12" s="1"/>
  <c r="AR247" i="12"/>
  <c r="AO202" i="12"/>
  <c r="AP202" i="12" s="1"/>
  <c r="AR202" i="12"/>
  <c r="AO14" i="12"/>
  <c r="AP14" i="12" s="1"/>
  <c r="AR14" i="12"/>
  <c r="AO217" i="12"/>
  <c r="AP217" i="12" s="1"/>
  <c r="AR217" i="12"/>
  <c r="AO251" i="12"/>
  <c r="AP251" i="12" s="1"/>
  <c r="AR251" i="12"/>
  <c r="AO226" i="12"/>
  <c r="AP226" i="12" s="1"/>
  <c r="AR226" i="12"/>
  <c r="AO175" i="12"/>
  <c r="AP175" i="12" s="1"/>
  <c r="AR175" i="12"/>
  <c r="AO25" i="12"/>
  <c r="AP25" i="12" s="1"/>
  <c r="AR25" i="12"/>
  <c r="AO311" i="12"/>
  <c r="AP311" i="12" s="1"/>
  <c r="AR311" i="12"/>
  <c r="AO89" i="12"/>
  <c r="AP89" i="12" s="1"/>
  <c r="AR89" i="12"/>
  <c r="AO187" i="12"/>
  <c r="AP187" i="12" s="1"/>
  <c r="AR187" i="12"/>
  <c r="AO298" i="12"/>
  <c r="AP298" i="12" s="1"/>
  <c r="AR298" i="12"/>
  <c r="AO352" i="12"/>
  <c r="AP352" i="12" s="1"/>
  <c r="AR352" i="12"/>
  <c r="AO294" i="12"/>
  <c r="AP294" i="12" s="1"/>
  <c r="AR294" i="12"/>
  <c r="AO165" i="12"/>
  <c r="AP165" i="12" s="1"/>
  <c r="AR165" i="12"/>
  <c r="AO259" i="12"/>
  <c r="AP259" i="12" s="1"/>
  <c r="AR259" i="12"/>
  <c r="AO154" i="12"/>
  <c r="AP154" i="12" s="1"/>
  <c r="AR154" i="12"/>
  <c r="AO218" i="12"/>
  <c r="AP218" i="12" s="1"/>
  <c r="AR218" i="12"/>
  <c r="AO166" i="12"/>
  <c r="AP166" i="12" s="1"/>
  <c r="AR166" i="12"/>
  <c r="AO184" i="12"/>
  <c r="AP184" i="12" s="1"/>
  <c r="AR184" i="12"/>
  <c r="AO277" i="12"/>
  <c r="AP277" i="12" s="1"/>
  <c r="AR277" i="12"/>
  <c r="AO329" i="12"/>
  <c r="AP329" i="12" s="1"/>
  <c r="AR329" i="12"/>
  <c r="AO327" i="12"/>
  <c r="AP327" i="12" s="1"/>
  <c r="AR327" i="12"/>
  <c r="AO62" i="12"/>
  <c r="AP62" i="12" s="1"/>
  <c r="AR62" i="12"/>
  <c r="AO231" i="12"/>
  <c r="AP231" i="12" s="1"/>
  <c r="AR231" i="12"/>
  <c r="AO299" i="12"/>
  <c r="AP299" i="12" s="1"/>
  <c r="AR299" i="12"/>
  <c r="AO122" i="12"/>
  <c r="AP122" i="12" s="1"/>
  <c r="AR122" i="12"/>
  <c r="AO132" i="12"/>
  <c r="AP132" i="12" s="1"/>
  <c r="AR132" i="12"/>
  <c r="AO306" i="12"/>
  <c r="AP306" i="12" s="1"/>
  <c r="AR306" i="12"/>
  <c r="AO219" i="12"/>
  <c r="AP219" i="12" s="1"/>
  <c r="AR219" i="12"/>
  <c r="AO156" i="12"/>
  <c r="AP156" i="12" s="1"/>
  <c r="AR156" i="12"/>
  <c r="AO357" i="12"/>
  <c r="AP357" i="12" s="1"/>
  <c r="AR357" i="12"/>
  <c r="AO269" i="12"/>
  <c r="AP269" i="12" s="1"/>
  <c r="AR269" i="12"/>
  <c r="AO70" i="12"/>
  <c r="AP70" i="12" s="1"/>
  <c r="AR70" i="12"/>
  <c r="AO82" i="12"/>
  <c r="AP82" i="12" s="1"/>
  <c r="AR82" i="12"/>
  <c r="AO101" i="12"/>
  <c r="AP101" i="12" s="1"/>
  <c r="AR101" i="12"/>
  <c r="AO308" i="12"/>
  <c r="AP308" i="12" s="1"/>
  <c r="AR308" i="12"/>
  <c r="AO81" i="12"/>
  <c r="AP81" i="12" s="1"/>
  <c r="AR81" i="12"/>
  <c r="AO36" i="12"/>
  <c r="AP36" i="12" s="1"/>
  <c r="AR36" i="12"/>
  <c r="AO215" i="12"/>
  <c r="AP215" i="12" s="1"/>
  <c r="AR215" i="12"/>
  <c r="AO275" i="12"/>
  <c r="AP275" i="12" s="1"/>
  <c r="AR275" i="12"/>
  <c r="AO315" i="12"/>
  <c r="AP315" i="12" s="1"/>
  <c r="AR315" i="12"/>
  <c r="AO44" i="12"/>
  <c r="AP44" i="12" s="1"/>
  <c r="AR44" i="12"/>
  <c r="AO33" i="12"/>
  <c r="AP33" i="12" s="1"/>
  <c r="AR33" i="12"/>
  <c r="AO283" i="12"/>
  <c r="AP283" i="12" s="1"/>
  <c r="AR283" i="12"/>
  <c r="AO150" i="12"/>
  <c r="AP150" i="12" s="1"/>
  <c r="AR150" i="12"/>
  <c r="AO193" i="12"/>
  <c r="AP193" i="12" s="1"/>
  <c r="AR193" i="12"/>
  <c r="AO321" i="12"/>
  <c r="AP321" i="12" s="1"/>
  <c r="AR321" i="12"/>
  <c r="AO109" i="12"/>
  <c r="AP109" i="12" s="1"/>
  <c r="AR109" i="12"/>
  <c r="AO197" i="12"/>
  <c r="AP197" i="12" s="1"/>
  <c r="AR197" i="12"/>
  <c r="AO267" i="12"/>
  <c r="AP267" i="12" s="1"/>
  <c r="AR267" i="12"/>
  <c r="AO228" i="12"/>
  <c r="AP228" i="12" s="1"/>
  <c r="AR228" i="12"/>
  <c r="AO29" i="12"/>
  <c r="AP29" i="12" s="1"/>
  <c r="AR29" i="12"/>
  <c r="AO334" i="12"/>
  <c r="AP334" i="12" s="1"/>
  <c r="AR334" i="12"/>
  <c r="AO333" i="12"/>
  <c r="AP333" i="12" s="1"/>
  <c r="AR333" i="12"/>
  <c r="AO239" i="12"/>
  <c r="AP239" i="12" s="1"/>
  <c r="AR239" i="12"/>
  <c r="AO64" i="12"/>
  <c r="AP64" i="12" s="1"/>
  <c r="AR64" i="12"/>
  <c r="AO73" i="12"/>
  <c r="AP73" i="12" s="1"/>
  <c r="AR73" i="12"/>
  <c r="AO41" i="12"/>
  <c r="AP41" i="12" s="1"/>
  <c r="AR41" i="12"/>
  <c r="AO117" i="12"/>
  <c r="AP117" i="12" s="1"/>
  <c r="AR117" i="12"/>
  <c r="AO359" i="12"/>
  <c r="AP359" i="12" s="1"/>
  <c r="AR359" i="12"/>
  <c r="AO300" i="12"/>
  <c r="AP300" i="12" s="1"/>
  <c r="AR300" i="12"/>
  <c r="AO99" i="12"/>
  <c r="AP99" i="12" s="1"/>
  <c r="AR99" i="12"/>
  <c r="AO324" i="12"/>
  <c r="AP324" i="12" s="1"/>
  <c r="AR324" i="12"/>
  <c r="AO173" i="12"/>
  <c r="AP173" i="12" s="1"/>
  <c r="AR173" i="12"/>
  <c r="AO86" i="12"/>
  <c r="AP86" i="12" s="1"/>
  <c r="AR86" i="12"/>
  <c r="AO161" i="12"/>
  <c r="AP161" i="12" s="1"/>
  <c r="AR161" i="12"/>
  <c r="AO223" i="12"/>
  <c r="AP223" i="12" s="1"/>
  <c r="AR223" i="12"/>
  <c r="AO139" i="12"/>
  <c r="AP139" i="12" s="1"/>
  <c r="AR139" i="12"/>
  <c r="AO272" i="12"/>
  <c r="AP272" i="12" s="1"/>
  <c r="AR272" i="12"/>
  <c r="AO180" i="12"/>
  <c r="AP180" i="12" s="1"/>
  <c r="AR180" i="12"/>
  <c r="AO292" i="12"/>
  <c r="AP292" i="12" s="1"/>
  <c r="AR292" i="12"/>
  <c r="AO119" i="12"/>
  <c r="AP119" i="12" s="1"/>
  <c r="AR119" i="12"/>
  <c r="AO264" i="12"/>
  <c r="AP264" i="12" s="1"/>
  <c r="AR264" i="12"/>
  <c r="AO285" i="12"/>
  <c r="AP285" i="12" s="1"/>
  <c r="AR285" i="12"/>
  <c r="AO302" i="12"/>
  <c r="AP302" i="12" s="1"/>
  <c r="AR302" i="12"/>
  <c r="AO266" i="12"/>
  <c r="AP266" i="12" s="1"/>
  <c r="AR266" i="12"/>
  <c r="AO296" i="12"/>
  <c r="AP296" i="12" s="1"/>
  <c r="AR296" i="12"/>
  <c r="AO143" i="12"/>
  <c r="AP143" i="12" s="1"/>
  <c r="AR143" i="12"/>
  <c r="AO186" i="12"/>
  <c r="AP186" i="12" s="1"/>
  <c r="AR186" i="12"/>
  <c r="AO238" i="12"/>
  <c r="AP238" i="12" s="1"/>
  <c r="AR238" i="12"/>
  <c r="AO278" i="12"/>
  <c r="AP278" i="12" s="1"/>
  <c r="AR278" i="12"/>
  <c r="AO23" i="12"/>
  <c r="AP23" i="12" s="1"/>
  <c r="AR23" i="12"/>
  <c r="AO254" i="12"/>
  <c r="AP254" i="12" s="1"/>
  <c r="AR254" i="12"/>
  <c r="AO304" i="12"/>
  <c r="AP304" i="12" s="1"/>
  <c r="AR304" i="12"/>
  <c r="AO317" i="12"/>
  <c r="AP317" i="12" s="1"/>
  <c r="AR317" i="12"/>
  <c r="AO220" i="12"/>
  <c r="AP220" i="12" s="1"/>
  <c r="AR220" i="12"/>
  <c r="AO100" i="12"/>
  <c r="AP100" i="12" s="1"/>
  <c r="AR100" i="12"/>
  <c r="AO339" i="12"/>
  <c r="AP339" i="12" s="1"/>
  <c r="AR339" i="12"/>
  <c r="AO342" i="12"/>
  <c r="AP342" i="12" s="1"/>
  <c r="AR342" i="12"/>
  <c r="AO87" i="12"/>
  <c r="AP87" i="12" s="1"/>
  <c r="AR87" i="12"/>
  <c r="AO188" i="12"/>
  <c r="AP188" i="12" s="1"/>
  <c r="AR188" i="12"/>
  <c r="AO83" i="12"/>
  <c r="AP83" i="12" s="1"/>
  <c r="AR83" i="12"/>
  <c r="AO305" i="12"/>
  <c r="AP305" i="12" s="1"/>
  <c r="AR305" i="12"/>
  <c r="AO94" i="12"/>
  <c r="AP94" i="12" s="1"/>
  <c r="AR94" i="12"/>
  <c r="AO331" i="12"/>
  <c r="AP331" i="12" s="1"/>
  <c r="AR331" i="12"/>
  <c r="AO332" i="12"/>
  <c r="AP332" i="12" s="1"/>
  <c r="AR332" i="12"/>
  <c r="AO214" i="12"/>
  <c r="AP214" i="12" s="1"/>
  <c r="AR214" i="12"/>
  <c r="AO93" i="12"/>
  <c r="AP93" i="12" s="1"/>
  <c r="AR93" i="12"/>
  <c r="AO17" i="12"/>
  <c r="AP17" i="12" s="1"/>
  <c r="AR17" i="12"/>
  <c r="AO170" i="12"/>
  <c r="AP170" i="12" s="1"/>
  <c r="AR170" i="12"/>
  <c r="AO26" i="12"/>
  <c r="AP26" i="12" s="1"/>
  <c r="AR26" i="12"/>
  <c r="AO330" i="12"/>
  <c r="AP330" i="12" s="1"/>
  <c r="AR330" i="12"/>
  <c r="AO71" i="12"/>
  <c r="AP71" i="12" s="1"/>
  <c r="AR71" i="12"/>
  <c r="AO201" i="12"/>
  <c r="AP201" i="12" s="1"/>
  <c r="AR201" i="12"/>
  <c r="AO56" i="12"/>
  <c r="AP56" i="12" s="1"/>
  <c r="AR56" i="12"/>
  <c r="AO260" i="12"/>
  <c r="AP260" i="12" s="1"/>
  <c r="AR260" i="12"/>
  <c r="AO171" i="12"/>
  <c r="AP171" i="12" s="1"/>
  <c r="AR171" i="12"/>
  <c r="AO191" i="12"/>
  <c r="AP191" i="12" s="1"/>
  <c r="AR191" i="12"/>
  <c r="AO144" i="12"/>
  <c r="AP144" i="12" s="1"/>
  <c r="AR144" i="12"/>
  <c r="AO253" i="12"/>
  <c r="AP253" i="12" s="1"/>
  <c r="AR253" i="12"/>
  <c r="AO244" i="12"/>
  <c r="AP244" i="12" s="1"/>
  <c r="AR244" i="12"/>
  <c r="AO280" i="12"/>
  <c r="AP280" i="12" s="1"/>
  <c r="AR280" i="12"/>
  <c r="AO256" i="12"/>
  <c r="AP256" i="12" s="1"/>
  <c r="AR256" i="12"/>
  <c r="AO146" i="12"/>
  <c r="AP146" i="12" s="1"/>
  <c r="AR146" i="12"/>
  <c r="AO183" i="12"/>
  <c r="AP183" i="12" s="1"/>
  <c r="AR183" i="12"/>
  <c r="AO341" i="12"/>
  <c r="AP341" i="12" s="1"/>
  <c r="AR341" i="12"/>
  <c r="AO282" i="12"/>
  <c r="AP282" i="12" s="1"/>
  <c r="AR282" i="12"/>
  <c r="AO350" i="12"/>
  <c r="AP350" i="12" s="1"/>
  <c r="AR350" i="12"/>
  <c r="AO48" i="12"/>
  <c r="AP48" i="12" s="1"/>
  <c r="AR48" i="12"/>
  <c r="AO291" i="12"/>
  <c r="AP291" i="12" s="1"/>
  <c r="AR291" i="12"/>
  <c r="AO110" i="12"/>
  <c r="AP110" i="12" s="1"/>
  <c r="AR110" i="12"/>
  <c r="AO336" i="12"/>
  <c r="AP336" i="12" s="1"/>
  <c r="AR336" i="12"/>
  <c r="AO284" i="12"/>
  <c r="AP284" i="12" s="1"/>
  <c r="AR284" i="12"/>
  <c r="AO77" i="12"/>
  <c r="AP77" i="12" s="1"/>
  <c r="AR77" i="12"/>
  <c r="AO55" i="12"/>
  <c r="AP55" i="12" s="1"/>
  <c r="AR55" i="12"/>
  <c r="AO80" i="12"/>
  <c r="AP80" i="12" s="1"/>
  <c r="AR80" i="12"/>
  <c r="AO301" i="12"/>
  <c r="AP301" i="12" s="1"/>
  <c r="AR301" i="12"/>
  <c r="AO42" i="12"/>
  <c r="AP42" i="12" s="1"/>
  <c r="AR42" i="12"/>
  <c r="AO178" i="12"/>
  <c r="AP178" i="12" s="1"/>
  <c r="AR178" i="12"/>
  <c r="AO358" i="12"/>
  <c r="AP358" i="12" s="1"/>
  <c r="AR358" i="12"/>
  <c r="AO58" i="12"/>
  <c r="AP58" i="12" s="1"/>
  <c r="AR58" i="12"/>
  <c r="AO107" i="12"/>
  <c r="AP107" i="12" s="1"/>
  <c r="AR107" i="12"/>
  <c r="AO265" i="12"/>
  <c r="AP265" i="12" s="1"/>
  <c r="AR265" i="12"/>
  <c r="AO196" i="12"/>
  <c r="AP196" i="12" s="1"/>
  <c r="AR196" i="12"/>
  <c r="AO242" i="12"/>
  <c r="AP242" i="12" s="1"/>
  <c r="AR242" i="12"/>
  <c r="AO353" i="12"/>
  <c r="AP353" i="12" s="1"/>
  <c r="AR353" i="12"/>
  <c r="AO199" i="12"/>
  <c r="AP199" i="12" s="1"/>
  <c r="AR199" i="12"/>
  <c r="AO103" i="12"/>
  <c r="AP103" i="12" s="1"/>
  <c r="AR103" i="12"/>
  <c r="AO16" i="12"/>
  <c r="AP16" i="12" s="1"/>
  <c r="AR16" i="12"/>
  <c r="AO273" i="12"/>
  <c r="AP273" i="12" s="1"/>
  <c r="AR273" i="12"/>
  <c r="AO344" i="12"/>
  <c r="AP344" i="12" s="1"/>
  <c r="AR344" i="12"/>
  <c r="AO271" i="12"/>
  <c r="AP271" i="12" s="1"/>
  <c r="AR271" i="12"/>
  <c r="AO135" i="12"/>
  <c r="AP135" i="12" s="1"/>
  <c r="AR135" i="12"/>
  <c r="AO60" i="12"/>
  <c r="AP60" i="12" s="1"/>
  <c r="AR60" i="12"/>
  <c r="AO314" i="12"/>
  <c r="AP314" i="12" s="1"/>
  <c r="AR314" i="12"/>
  <c r="AO309" i="12"/>
  <c r="AP309" i="12" s="1"/>
  <c r="AR309" i="12"/>
  <c r="AO136" i="12"/>
  <c r="AP136" i="12" s="1"/>
  <c r="AR136" i="12"/>
  <c r="AO241" i="12"/>
  <c r="AP241" i="12" s="1"/>
  <c r="AR241" i="12"/>
  <c r="AO297" i="12"/>
  <c r="AP297" i="12" s="1"/>
  <c r="AR297" i="12"/>
  <c r="AO125" i="12"/>
  <c r="AP125" i="12" s="1"/>
  <c r="AR125" i="12"/>
  <c r="AO15" i="12"/>
  <c r="AP15" i="12" s="1"/>
  <c r="AR15" i="12"/>
  <c r="AO234" i="12"/>
  <c r="AP234" i="12" s="1"/>
  <c r="AR234" i="12"/>
  <c r="AO138" i="12"/>
  <c r="AP138" i="12" s="1"/>
  <c r="AR138" i="12"/>
  <c r="AO249" i="12"/>
  <c r="AP249" i="12" s="1"/>
  <c r="AR249" i="12"/>
  <c r="AO212" i="12"/>
  <c r="AP212" i="12" s="1"/>
  <c r="AR212" i="12"/>
  <c r="AO76" i="12"/>
  <c r="AP76" i="12" s="1"/>
  <c r="AR76" i="12"/>
  <c r="AO45" i="12"/>
  <c r="AP45" i="12" s="1"/>
  <c r="AR45" i="12"/>
  <c r="AO74" i="12"/>
  <c r="AP74" i="12" s="1"/>
  <c r="AR74" i="12"/>
  <c r="AO320" i="12"/>
  <c r="AP320" i="12" s="1"/>
  <c r="AR320" i="12"/>
  <c r="AO346" i="12"/>
  <c r="AP346" i="12" s="1"/>
  <c r="AR346" i="12"/>
  <c r="AO319" i="12"/>
  <c r="AP319" i="12" s="1"/>
  <c r="AR319" i="12"/>
  <c r="AO347" i="12"/>
  <c r="AP347" i="12" s="1"/>
  <c r="AR347" i="12"/>
  <c r="AO106" i="12"/>
  <c r="AP106" i="12" s="1"/>
  <c r="AR106" i="12"/>
  <c r="AO207" i="12"/>
  <c r="AP207" i="12" s="1"/>
  <c r="AR207" i="12"/>
  <c r="AO270" i="12"/>
  <c r="AP270" i="12" s="1"/>
  <c r="AR270" i="12"/>
  <c r="AO113" i="12"/>
  <c r="AP113" i="12" s="1"/>
  <c r="AR113" i="12"/>
  <c r="AO181" i="12"/>
  <c r="AP181" i="12" s="1"/>
  <c r="AR181" i="12"/>
  <c r="AO112" i="12"/>
  <c r="AP112" i="12" s="1"/>
  <c r="AR112" i="12"/>
  <c r="AO322" i="12"/>
  <c r="AP322" i="12" s="1"/>
  <c r="AR322" i="12"/>
  <c r="AO295" i="12"/>
  <c r="AP295" i="12" s="1"/>
  <c r="AR295" i="12"/>
  <c r="AO24" i="12"/>
  <c r="AP24" i="12" s="1"/>
  <c r="AR24" i="12"/>
  <c r="AO61" i="12"/>
  <c r="AP61" i="12" s="1"/>
  <c r="AR61" i="12"/>
  <c r="AO340" i="12"/>
  <c r="AP340" i="12" s="1"/>
  <c r="AR340" i="12"/>
  <c r="AO168" i="12"/>
  <c r="AP168" i="12" s="1"/>
  <c r="AR168" i="12"/>
  <c r="AO203" i="12"/>
  <c r="AP203" i="12" s="1"/>
  <c r="AR203" i="12"/>
  <c r="AO230" i="12"/>
  <c r="AP230" i="12" s="1"/>
  <c r="AR230" i="12"/>
  <c r="AO91" i="12"/>
  <c r="AP91" i="12" s="1"/>
  <c r="AR91" i="12"/>
  <c r="AO355" i="12"/>
  <c r="AP355" i="12" s="1"/>
  <c r="AR355" i="12"/>
  <c r="AO163" i="12"/>
  <c r="AP163" i="12" s="1"/>
  <c r="AR163" i="12"/>
  <c r="AO20" i="12"/>
  <c r="AP20" i="12" s="1"/>
  <c r="AR20" i="12"/>
  <c r="AO211" i="12"/>
  <c r="AP211" i="12" s="1"/>
  <c r="AR211" i="12"/>
  <c r="AO262" i="12"/>
  <c r="AP262" i="12" s="1"/>
  <c r="AR262" i="12"/>
  <c r="AO325" i="12"/>
  <c r="AP325" i="12" s="1"/>
  <c r="AR325" i="12"/>
  <c r="AO34" i="12"/>
  <c r="AP34" i="12" s="1"/>
  <c r="AR34" i="12"/>
  <c r="AO141" i="12"/>
  <c r="AP141" i="12" s="1"/>
  <c r="AR141" i="12"/>
  <c r="AO257" i="12"/>
  <c r="AP257" i="12" s="1"/>
  <c r="AR257" i="12"/>
  <c r="AO90" i="12"/>
  <c r="AP90" i="12" s="1"/>
  <c r="AR90" i="12"/>
  <c r="AO205" i="12"/>
  <c r="AP205" i="12" s="1"/>
  <c r="AR205" i="12"/>
  <c r="AO221" i="12"/>
  <c r="AP221" i="12" s="1"/>
  <c r="AR221" i="12"/>
  <c r="AO289" i="12"/>
  <c r="AP289" i="12" s="1"/>
  <c r="AR289" i="12"/>
  <c r="AO169" i="12"/>
  <c r="AP169" i="12" s="1"/>
  <c r="AR169" i="12"/>
  <c r="AO328" i="12"/>
  <c r="AP328" i="12" s="1"/>
  <c r="AR328" i="12"/>
  <c r="AO240" i="12"/>
  <c r="AP240" i="12" s="1"/>
  <c r="AR240" i="12"/>
  <c r="AO39" i="12"/>
  <c r="AP39" i="12" s="1"/>
  <c r="AR39" i="12"/>
  <c r="AO160" i="12"/>
  <c r="AP160" i="12" s="1"/>
  <c r="AR160" i="12"/>
  <c r="AO172" i="12"/>
  <c r="AP172" i="12" s="1"/>
  <c r="AR172" i="12"/>
  <c r="AO312" i="12"/>
  <c r="AP312" i="12" s="1"/>
  <c r="AR312" i="12"/>
  <c r="AO192" i="12"/>
  <c r="AP192" i="12" s="1"/>
  <c r="AR192" i="12"/>
  <c r="Q30" i="22" l="1"/>
  <c r="B37" i="22"/>
  <c r="G27" i="22"/>
  <c r="B51" i="22" s="1"/>
  <c r="F51" i="22" s="1"/>
  <c r="I27" i="22"/>
  <c r="B53" i="22" s="1"/>
  <c r="F53" i="22" s="1"/>
  <c r="Q27" i="22"/>
  <c r="B68" i="22" s="1"/>
  <c r="F68" i="22" s="1"/>
  <c r="C27" i="22"/>
  <c r="B58" i="22" s="1"/>
  <c r="F58" i="22" s="1"/>
  <c r="S27" i="22"/>
  <c r="B71" i="22" s="1"/>
  <c r="F71" i="22" s="1"/>
  <c r="U27" i="22"/>
  <c r="B73" i="22" s="1"/>
  <c r="F73" i="22" s="1"/>
  <c r="F27" i="22"/>
  <c r="B47" i="22" s="1"/>
  <c r="P27" i="22"/>
  <c r="B70" i="22" s="1"/>
  <c r="F70" i="22" s="1"/>
  <c r="K27" i="22"/>
  <c r="B49" i="22" s="1"/>
  <c r="R27" i="22"/>
  <c r="B69" i="22" s="1"/>
  <c r="F69" i="22" s="1"/>
  <c r="M27" i="22"/>
  <c r="B65" i="22" s="1"/>
  <c r="F65" i="22" s="1"/>
  <c r="H27" i="22"/>
  <c r="B52" i="22" s="1"/>
  <c r="F52" i="22" s="1"/>
  <c r="L27" i="22"/>
  <c r="B48" i="22" s="1"/>
  <c r="F48" i="22" s="1"/>
  <c r="D27" i="22"/>
  <c r="B59" i="22" s="1"/>
  <c r="F59" i="22" s="1"/>
  <c r="J27" i="22"/>
  <c r="B50" i="22" s="1"/>
  <c r="F50" i="22" s="1"/>
  <c r="O27" i="22"/>
  <c r="B63" i="22" s="1"/>
  <c r="F63" i="22" s="1"/>
  <c r="A27" i="22"/>
  <c r="B56" i="22" s="1"/>
  <c r="F56" i="22" s="1"/>
  <c r="G30" i="22"/>
  <c r="B27" i="22"/>
  <c r="B57" i="22" s="1"/>
  <c r="F57" i="22" s="1"/>
  <c r="V27" i="22"/>
  <c r="B74" i="22" s="1"/>
  <c r="F74" i="22" s="1"/>
  <c r="Y26" i="22"/>
  <c r="T27" i="22"/>
  <c r="B72" i="22" s="1"/>
  <c r="F72" i="22" s="1"/>
  <c r="N30" i="22"/>
  <c r="B36" i="22"/>
  <c r="B30" i="22"/>
  <c r="X29" i="22"/>
  <c r="Y29" i="22" s="1"/>
  <c r="B35" i="22"/>
  <c r="N27" i="22"/>
  <c r="B64" i="22" s="1"/>
  <c r="F64" i="22" s="1"/>
  <c r="E27" i="22"/>
  <c r="B60" i="22" s="1"/>
  <c r="F60" i="22" s="1"/>
  <c r="F47" i="22" l="1"/>
  <c r="I47" i="22" s="1"/>
  <c r="I48" i="22" s="1"/>
  <c r="B77" i="22"/>
  <c r="B46" i="22"/>
  <c r="U46" i="22" s="1"/>
  <c r="Z46" i="22" s="1"/>
  <c r="AA46" i="22" s="1"/>
  <c r="N47" i="23" s="1"/>
  <c r="C34" i="22"/>
  <c r="D34" i="22" s="1"/>
  <c r="G34" i="22" s="1"/>
  <c r="F49" i="22"/>
  <c r="F76" i="22"/>
  <c r="B55" i="22"/>
  <c r="C35" i="22"/>
  <c r="D35" i="22" s="1"/>
  <c r="G35" i="22" s="1"/>
  <c r="X30" i="22"/>
  <c r="Y30" i="22" s="1"/>
  <c r="B62" i="22"/>
  <c r="C36" i="22"/>
  <c r="D36" i="22" s="1"/>
  <c r="G36" i="22" s="1"/>
  <c r="B67" i="22"/>
  <c r="B91" i="22" s="1"/>
  <c r="C37" i="22"/>
  <c r="D37" i="22" s="1"/>
  <c r="G37" i="22" s="1"/>
  <c r="H91" i="22" l="1"/>
  <c r="L91" i="22" s="1"/>
  <c r="I49" i="22"/>
  <c r="I50" i="22" s="1"/>
  <c r="I51" i="22" s="1"/>
  <c r="I52" i="22" s="1"/>
  <c r="I53" i="22" s="1"/>
  <c r="I54" i="22" s="1"/>
  <c r="I55" i="22" s="1"/>
  <c r="I56" i="22" s="1"/>
  <c r="I57" i="22" s="1"/>
  <c r="I58" i="22" s="1"/>
  <c r="I59" i="22" s="1"/>
  <c r="I60" i="22" s="1"/>
  <c r="I61" i="22" s="1"/>
  <c r="I62" i="22" s="1"/>
  <c r="I63" i="22" s="1"/>
  <c r="I64" i="22" s="1"/>
  <c r="I65" i="22" s="1"/>
  <c r="I66" i="22" s="1"/>
  <c r="I67" i="22" s="1"/>
  <c r="I68" i="22" s="1"/>
  <c r="I69" i="22" s="1"/>
  <c r="I70" i="22" s="1"/>
  <c r="I71" i="22" s="1"/>
  <c r="I72" i="22" s="1"/>
  <c r="I73" i="22" s="1"/>
  <c r="I74" i="22" s="1"/>
  <c r="I75" i="22" s="1"/>
  <c r="I76" i="22" s="1"/>
  <c r="M49" i="22" s="1"/>
  <c r="S49" i="22" s="1"/>
  <c r="M53" i="22" l="1"/>
  <c r="S53" i="22" s="1"/>
  <c r="X53" i="22" s="1"/>
  <c r="M48" i="22"/>
  <c r="S48" i="22" s="1"/>
  <c r="X48" i="22" s="1"/>
  <c r="M52" i="22"/>
  <c r="S52" i="22" s="1"/>
  <c r="U52" i="22" s="1"/>
  <c r="Z52" i="22" s="1"/>
  <c r="AA52" i="22" s="1"/>
  <c r="N53" i="23" s="1"/>
  <c r="M47" i="22"/>
  <c r="S47" i="22" s="1"/>
  <c r="X47" i="22" s="1"/>
  <c r="M73" i="22"/>
  <c r="S73" i="22" s="1"/>
  <c r="U73" i="22" s="1"/>
  <c r="Z73" i="22" s="1"/>
  <c r="AA73" i="22" s="1"/>
  <c r="N74" i="23" s="1"/>
  <c r="M68" i="22"/>
  <c r="S68" i="22" s="1"/>
  <c r="X68" i="22" s="1"/>
  <c r="M69" i="22"/>
  <c r="S69" i="22" s="1"/>
  <c r="X69" i="22" s="1"/>
  <c r="M56" i="22"/>
  <c r="S56" i="22" s="1"/>
  <c r="X56" i="22" s="1"/>
  <c r="M72" i="22"/>
  <c r="S72" i="22" s="1"/>
  <c r="U72" i="22" s="1"/>
  <c r="Z72" i="22" s="1"/>
  <c r="AA72" i="22" s="1"/>
  <c r="N73" i="23" s="1"/>
  <c r="M50" i="22"/>
  <c r="S50" i="22" s="1"/>
  <c r="U50" i="22" s="1"/>
  <c r="Z50" i="22" s="1"/>
  <c r="AA50" i="22" s="1"/>
  <c r="N51" i="23" s="1"/>
  <c r="M67" i="22"/>
  <c r="S67" i="22" s="1"/>
  <c r="X67" i="22" s="1"/>
  <c r="M54" i="22"/>
  <c r="S54" i="22" s="1"/>
  <c r="X54" i="22" s="1"/>
  <c r="U53" i="22"/>
  <c r="Z53" i="22" s="1"/>
  <c r="AA53" i="22" s="1"/>
  <c r="N54" i="23" s="1"/>
  <c r="M65" i="22"/>
  <c r="S65" i="22" s="1"/>
  <c r="M59" i="22"/>
  <c r="S59" i="22" s="1"/>
  <c r="M76" i="22"/>
  <c r="S76" i="22" s="1"/>
  <c r="M74" i="22"/>
  <c r="S74" i="22" s="1"/>
  <c r="M75" i="22"/>
  <c r="S75" i="22" s="1"/>
  <c r="M62" i="22"/>
  <c r="S62" i="22" s="1"/>
  <c r="M60" i="22"/>
  <c r="S60" i="22" s="1"/>
  <c r="M64" i="22"/>
  <c r="S64" i="22" s="1"/>
  <c r="M51" i="22"/>
  <c r="S51" i="22" s="1"/>
  <c r="M61" i="22"/>
  <c r="S61" i="22" s="1"/>
  <c r="M57" i="22"/>
  <c r="S57" i="22" s="1"/>
  <c r="M63" i="22"/>
  <c r="S63" i="22" s="1"/>
  <c r="M71" i="22"/>
  <c r="S71" i="22" s="1"/>
  <c r="M58" i="22"/>
  <c r="S58" i="22" s="1"/>
  <c r="M55" i="22"/>
  <c r="S55" i="22" s="1"/>
  <c r="M70" i="22"/>
  <c r="S70" i="22" s="1"/>
  <c r="M66" i="22"/>
  <c r="S66" i="22" s="1"/>
  <c r="M45" i="22"/>
  <c r="X49" i="22"/>
  <c r="U49" i="22"/>
  <c r="Z49" i="22" s="1"/>
  <c r="AA49" i="22" s="1"/>
  <c r="N50" i="23" s="1"/>
  <c r="X52" i="22" l="1"/>
  <c r="U48" i="22"/>
  <c r="Z48" i="22" s="1"/>
  <c r="AA48" i="22" s="1"/>
  <c r="N49" i="23" s="1"/>
  <c r="X50" i="22"/>
  <c r="Y50" i="22" s="1"/>
  <c r="M51" i="23" s="1"/>
  <c r="U68" i="22"/>
  <c r="Z68" i="22" s="1"/>
  <c r="AA68" i="22" s="1"/>
  <c r="N69" i="23" s="1"/>
  <c r="X73" i="22"/>
  <c r="Y73" i="22" s="1"/>
  <c r="M74" i="23" s="1"/>
  <c r="U69" i="22"/>
  <c r="Z69" i="22" s="1"/>
  <c r="AA69" i="22" s="1"/>
  <c r="N70" i="23" s="1"/>
  <c r="X72" i="22"/>
  <c r="Y72" i="22" s="1"/>
  <c r="M73" i="23" s="1"/>
  <c r="U67" i="22"/>
  <c r="Z67" i="22" s="1"/>
  <c r="AA67" i="22" s="1"/>
  <c r="N68" i="23" s="1"/>
  <c r="U56" i="22"/>
  <c r="Z56" i="22" s="1"/>
  <c r="AA56" i="22" s="1"/>
  <c r="N57" i="23" s="1"/>
  <c r="U47" i="22"/>
  <c r="Z47" i="22" s="1"/>
  <c r="AA47" i="22" s="1"/>
  <c r="N48" i="23" s="1"/>
  <c r="U54" i="22"/>
  <c r="Z54" i="22" s="1"/>
  <c r="AA54" i="22" s="1"/>
  <c r="N55" i="23" s="1"/>
  <c r="X55" i="22"/>
  <c r="U55" i="22"/>
  <c r="Z55" i="22" s="1"/>
  <c r="AA55" i="22" s="1"/>
  <c r="N56" i="23" s="1"/>
  <c r="U57" i="22"/>
  <c r="Z57" i="22" s="1"/>
  <c r="AA57" i="22" s="1"/>
  <c r="N58" i="23" s="1"/>
  <c r="X57" i="22"/>
  <c r="U74" i="22"/>
  <c r="Z74" i="22" s="1"/>
  <c r="AA74" i="22" s="1"/>
  <c r="N75" i="23" s="1"/>
  <c r="X74" i="22"/>
  <c r="U58" i="22"/>
  <c r="Z58" i="22" s="1"/>
  <c r="AA58" i="22" s="1"/>
  <c r="N59" i="23" s="1"/>
  <c r="X58" i="22"/>
  <c r="U63" i="22"/>
  <c r="Z63" i="22" s="1"/>
  <c r="AA63" i="22" s="1"/>
  <c r="N64" i="23" s="1"/>
  <c r="X63" i="22"/>
  <c r="Y56" i="22"/>
  <c r="M57" i="23" s="1"/>
  <c r="J57" i="23"/>
  <c r="U61" i="22"/>
  <c r="Z61" i="22" s="1"/>
  <c r="AA61" i="22" s="1"/>
  <c r="N62" i="23" s="1"/>
  <c r="X61" i="22"/>
  <c r="U62" i="22"/>
  <c r="Z62" i="22" s="1"/>
  <c r="AA62" i="22" s="1"/>
  <c r="N63" i="23" s="1"/>
  <c r="X62" i="22"/>
  <c r="J50" i="23"/>
  <c r="Y49" i="22"/>
  <c r="M50" i="23" s="1"/>
  <c r="X66" i="22"/>
  <c r="U66" i="22"/>
  <c r="Z66" i="22" s="1"/>
  <c r="AA66" i="22" s="1"/>
  <c r="N67" i="23" s="1"/>
  <c r="U71" i="22"/>
  <c r="Z71" i="22" s="1"/>
  <c r="AA71" i="22" s="1"/>
  <c r="N72" i="23" s="1"/>
  <c r="X71" i="22"/>
  <c r="X51" i="22"/>
  <c r="U51" i="22"/>
  <c r="Z51" i="22" s="1"/>
  <c r="AA51" i="22" s="1"/>
  <c r="N52" i="23" s="1"/>
  <c r="U75" i="22"/>
  <c r="Z75" i="22" s="1"/>
  <c r="AA75" i="22" s="1"/>
  <c r="N76" i="23" s="1"/>
  <c r="X75" i="22"/>
  <c r="Y54" i="22"/>
  <c r="M55" i="23" s="1"/>
  <c r="J55" i="23"/>
  <c r="U76" i="22"/>
  <c r="Z76" i="22" s="1"/>
  <c r="AA76" i="22" s="1"/>
  <c r="X76" i="22"/>
  <c r="Y76" i="22" s="1"/>
  <c r="U65" i="22"/>
  <c r="Z65" i="22" s="1"/>
  <c r="AA65" i="22" s="1"/>
  <c r="N66" i="23" s="1"/>
  <c r="X65" i="22"/>
  <c r="Y67" i="22"/>
  <c r="M68" i="23" s="1"/>
  <c r="J68" i="23"/>
  <c r="X70" i="22"/>
  <c r="U70" i="22"/>
  <c r="Z70" i="22" s="1"/>
  <c r="AA70" i="22" s="1"/>
  <c r="N71" i="23" s="1"/>
  <c r="J69" i="23"/>
  <c r="Y68" i="22"/>
  <c r="M69" i="23" s="1"/>
  <c r="U64" i="22"/>
  <c r="Z64" i="22" s="1"/>
  <c r="AA64" i="22" s="1"/>
  <c r="N65" i="23" s="1"/>
  <c r="X64" i="22"/>
  <c r="Y52" i="22"/>
  <c r="M53" i="23" s="1"/>
  <c r="J53" i="23"/>
  <c r="U59" i="22"/>
  <c r="Z59" i="22" s="1"/>
  <c r="AA59" i="22" s="1"/>
  <c r="N60" i="23" s="1"/>
  <c r="X59" i="22"/>
  <c r="Y69" i="22"/>
  <c r="M70" i="23" s="1"/>
  <c r="J70" i="23"/>
  <c r="Y53" i="22"/>
  <c r="M54" i="23" s="1"/>
  <c r="J54" i="23"/>
  <c r="U60" i="22"/>
  <c r="Z60" i="22" s="1"/>
  <c r="AA60" i="22" s="1"/>
  <c r="N61" i="23" s="1"/>
  <c r="X60" i="22"/>
  <c r="Y48" i="22"/>
  <c r="M49" i="23" s="1"/>
  <c r="J49" i="23"/>
  <c r="Y47" i="22"/>
  <c r="M48" i="23" s="1"/>
  <c r="J48" i="23"/>
  <c r="J51" i="23" l="1"/>
  <c r="J73" i="23"/>
  <c r="J74" i="23"/>
  <c r="Y60" i="22"/>
  <c r="M61" i="23" s="1"/>
  <c r="J61" i="23"/>
  <c r="Y65" i="22"/>
  <c r="M66" i="23" s="1"/>
  <c r="J66" i="23"/>
  <c r="Y71" i="22"/>
  <c r="M72" i="23" s="1"/>
  <c r="J72" i="23"/>
  <c r="J62" i="23"/>
  <c r="Y61" i="22"/>
  <c r="M62" i="23" s="1"/>
  <c r="J64" i="23"/>
  <c r="Y63" i="22"/>
  <c r="M64" i="23" s="1"/>
  <c r="J75" i="23"/>
  <c r="Y74" i="22"/>
  <c r="M75" i="23" s="1"/>
  <c r="Y51" i="22"/>
  <c r="M52" i="23" s="1"/>
  <c r="J52" i="23"/>
  <c r="Y59" i="22"/>
  <c r="M60" i="23" s="1"/>
  <c r="J60" i="23"/>
  <c r="Y64" i="22"/>
  <c r="M65" i="23" s="1"/>
  <c r="J65" i="23"/>
  <c r="J76" i="23"/>
  <c r="Y75" i="22"/>
  <c r="M76" i="23" s="1"/>
  <c r="Y62" i="22"/>
  <c r="M63" i="23" s="1"/>
  <c r="J63" i="23"/>
  <c r="Y58" i="22"/>
  <c r="M59" i="23" s="1"/>
  <c r="J59" i="23"/>
  <c r="J58" i="23"/>
  <c r="Y57" i="22"/>
  <c r="M58" i="23" s="1"/>
  <c r="J71" i="23"/>
  <c r="Y70" i="22"/>
  <c r="M71" i="23" s="1"/>
  <c r="J67" i="23"/>
  <c r="Y66" i="22"/>
  <c r="M67" i="23" s="1"/>
  <c r="J56" i="23"/>
  <c r="Y55" i="22"/>
  <c r="M56" i="23" s="1"/>
</calcChain>
</file>

<file path=xl/comments1.xml><?xml version="1.0" encoding="utf-8"?>
<comments xmlns="http://schemas.openxmlformats.org/spreadsheetml/2006/main">
  <authors>
    <author>Hedman Mattias</author>
  </authors>
  <commentList>
    <comment ref="D6" authorId="0">
      <text>
        <r>
          <rPr>
            <sz val="11"/>
            <rFont val="Calibri"/>
            <family val="2"/>
          </rPr>
          <t>Borlänge Energi</t>
        </r>
      </text>
    </comment>
    <comment ref="D8" authorId="0">
      <text>
        <r>
          <rPr>
            <sz val="11"/>
            <rFont val="Calibri"/>
            <family val="2"/>
          </rPr>
          <t>Köpt fjärrvärme från Karlstads Energi AB</t>
        </r>
      </text>
    </comment>
    <comment ref="D15" authorId="0">
      <text>
        <r>
          <rPr>
            <sz val="11"/>
            <rFont val="Calibri"/>
            <family val="2"/>
          </rPr>
          <t>Vi köper all Fv från Göteborg Energi</t>
        </r>
      </text>
    </comment>
    <comment ref="D16" authorId="0">
      <text>
        <r>
          <rPr>
            <sz val="11"/>
            <rFont val="Calibri"/>
            <family val="2"/>
          </rPr>
          <t>Köpt från Stockholm Exergi.</t>
        </r>
      </text>
    </comment>
  </commentList>
</comments>
</file>

<file path=xl/comments10.xml><?xml version="1.0" encoding="utf-8"?>
<comments xmlns="http://schemas.openxmlformats.org/spreadsheetml/2006/main">
  <authors>
    <author>Åsa Lindqvist</author>
  </authors>
  <commentList>
    <comment ref="B1" authorId="0">
      <text>
        <r>
          <rPr>
            <b/>
            <sz val="9"/>
            <color indexed="81"/>
            <rFont val="Tahoma"/>
            <family val="2"/>
          </rPr>
          <t>Åsa Lindqvist:</t>
        </r>
        <r>
          <rPr>
            <sz val="9"/>
            <color indexed="81"/>
            <rFont val="Tahoma"/>
            <family val="2"/>
          </rPr>
          <t xml:space="preserve">
Nätlista från "Egen hetvattenproduktion", med tomma nät borttaget</t>
        </r>
      </text>
    </comment>
    <comment ref="K1" authorId="0">
      <text>
        <r>
          <rPr>
            <b/>
            <sz val="9"/>
            <color indexed="81"/>
            <rFont val="Tahoma"/>
            <family val="2"/>
          </rPr>
          <t>Åsa Lindqvist:</t>
        </r>
        <r>
          <rPr>
            <sz val="9"/>
            <color indexed="81"/>
            <rFont val="Tahoma"/>
            <family val="2"/>
          </rPr>
          <t xml:space="preserve">
Luleå ändrat manuellt från spillvärme till avfallsgas under tillförd energi fliken.</t>
        </r>
      </text>
    </comment>
    <comment ref="AD1" authorId="0">
      <text>
        <r>
          <rPr>
            <b/>
            <sz val="9"/>
            <color indexed="81"/>
            <rFont val="Tahoma"/>
            <family val="2"/>
          </rPr>
          <t>Åsa Lindqvist:</t>
        </r>
        <r>
          <rPr>
            <sz val="9"/>
            <color indexed="81"/>
            <rFont val="Tahoma"/>
            <family val="2"/>
          </rPr>
          <t xml:space="preserve">
Luleå ändrat manuellt från spillvärme till avfallsgas under tillförd energi fliken.</t>
        </r>
      </text>
    </comment>
    <comment ref="AL414" authorId="0">
      <text>
        <r>
          <rPr>
            <b/>
            <sz val="9"/>
            <color indexed="81"/>
            <rFont val="Tahoma"/>
            <family val="2"/>
          </rPr>
          <t>Åsa Lindqvist:</t>
        </r>
        <r>
          <rPr>
            <sz val="9"/>
            <color indexed="81"/>
            <rFont val="Tahoma"/>
            <family val="2"/>
          </rPr>
          <t xml:space="preserve">
Leveranserna till annat fjärrvärmeföretag är något justerade jämfört med inrapporterat, se fliken Leveranser.
Detta beror på att rätt mängd ska dras ifrån totala leveranser för att få totalt levererat till slutkund. Om det inte finns något fjvföretag som rapporterat in att de köpt motsvarande mängd och sålt den vidare till slutkund ska den inte dras av.</t>
        </r>
      </text>
    </comment>
  </commentList>
</comments>
</file>

<file path=xl/comments11.xml><?xml version="1.0" encoding="utf-8"?>
<comments xmlns="http://schemas.openxmlformats.org/spreadsheetml/2006/main">
  <authors>
    <author>Åsa Lindqvist</author>
  </authors>
  <commentList>
    <comment ref="BF1" authorId="0">
      <text>
        <r>
          <rPr>
            <b/>
            <sz val="9"/>
            <color indexed="81"/>
            <rFont val="Tahoma"/>
            <family val="2"/>
          </rPr>
          <t>Åsa Lindqvist:</t>
        </r>
        <r>
          <rPr>
            <sz val="9"/>
            <color indexed="81"/>
            <rFont val="Tahoma"/>
            <family val="2"/>
          </rPr>
          <t xml:space="preserve">
Uppdateras inför filen som ska tas fram till SGBC</t>
        </r>
      </text>
    </comment>
    <comment ref="B2" authorId="0">
      <text>
        <r>
          <rPr>
            <b/>
            <sz val="9"/>
            <color indexed="81"/>
            <rFont val="Tahoma"/>
            <family val="2"/>
          </rPr>
          <t>Åsa Lindqvist:</t>
        </r>
        <r>
          <rPr>
            <sz val="9"/>
            <color indexed="81"/>
            <rFont val="Tahoma"/>
            <family val="2"/>
          </rPr>
          <t xml:space="preserve">
Endast kvalitetsgranskade nät</t>
        </r>
      </text>
    </comment>
    <comment ref="Z2" authorId="0">
      <text>
        <r>
          <rPr>
            <b/>
            <sz val="9"/>
            <color indexed="81"/>
            <rFont val="Tahoma"/>
            <family val="2"/>
          </rPr>
          <t>Åsa Lindqvist:</t>
        </r>
        <r>
          <rPr>
            <sz val="9"/>
            <color indexed="81"/>
            <rFont val="Tahoma"/>
            <family val="2"/>
          </rPr>
          <t xml:space="preserve">
Se kolumn längre till höger för ursprung för den använda elen</t>
        </r>
      </text>
    </comment>
    <comment ref="AA2" authorId="0">
      <text>
        <r>
          <rPr>
            <b/>
            <sz val="9"/>
            <color indexed="81"/>
            <rFont val="Tahoma"/>
            <family val="2"/>
          </rPr>
          <t>Åsa Lindqvist:</t>
        </r>
        <r>
          <rPr>
            <sz val="9"/>
            <color indexed="81"/>
            <rFont val="Tahoma"/>
            <family val="2"/>
          </rPr>
          <t xml:space="preserve">
Se kolumn längre till höger för ursprung för den använda elen</t>
        </r>
      </text>
    </comment>
    <comment ref="AB2" authorId="0">
      <text>
        <r>
          <rPr>
            <b/>
            <sz val="9"/>
            <color indexed="81"/>
            <rFont val="Tahoma"/>
            <family val="2"/>
          </rPr>
          <t>Åsa Lindqvist:</t>
        </r>
        <r>
          <rPr>
            <sz val="9"/>
            <color indexed="81"/>
            <rFont val="Tahoma"/>
            <family val="2"/>
          </rPr>
          <t xml:space="preserve">
Värmeproduktion minus elförbrukning, alltså den energi som kommer från källan till värmepumpar. Se kolumn längre till höger för källa till värmepumpar</t>
        </r>
      </text>
    </comment>
    <comment ref="AC2" authorId="0">
      <text>
        <r>
          <rPr>
            <b/>
            <sz val="9"/>
            <color indexed="81"/>
            <rFont val="Tahoma"/>
            <family val="2"/>
          </rPr>
          <t>Åsa Lindqvist:</t>
        </r>
        <r>
          <rPr>
            <sz val="9"/>
            <color indexed="81"/>
            <rFont val="Tahoma"/>
            <family val="2"/>
          </rPr>
          <t xml:space="preserve">
Se kolumn längre till höger för att se ursprunget för rökgaskondenseringen</t>
        </r>
      </text>
    </comment>
    <comment ref="AD2" authorId="0">
      <text>
        <r>
          <rPr>
            <b/>
            <sz val="9"/>
            <color indexed="81"/>
            <rFont val="Tahoma"/>
            <family val="2"/>
          </rPr>
          <t>Åsa Lindqvist:</t>
        </r>
        <r>
          <rPr>
            <sz val="9"/>
            <color indexed="81"/>
            <rFont val="Tahoma"/>
            <family val="2"/>
          </rPr>
          <t xml:space="preserve">
Ren spillvärme, inga extra tillförda bränslen</t>
        </r>
      </text>
    </comment>
    <comment ref="AF2" authorId="0">
      <text>
        <r>
          <rPr>
            <b/>
            <sz val="9"/>
            <color indexed="81"/>
            <rFont val="Tahoma"/>
            <family val="2"/>
          </rPr>
          <t>Åsa Lindqvist:</t>
        </r>
        <r>
          <rPr>
            <sz val="9"/>
            <color indexed="81"/>
            <rFont val="Tahoma"/>
            <family val="2"/>
          </rPr>
          <t xml:space="preserve">
Se kolumn längre till höger för ursprung för den använda elen</t>
        </r>
      </text>
    </comment>
    <comment ref="AG2" authorId="0">
      <text>
        <r>
          <rPr>
            <b/>
            <sz val="9"/>
            <color indexed="81"/>
            <rFont val="Tahoma"/>
            <family val="2"/>
          </rPr>
          <t>Åsa Lindqvist:</t>
        </r>
        <r>
          <rPr>
            <sz val="9"/>
            <color indexed="81"/>
            <rFont val="Tahoma"/>
            <family val="2"/>
          </rPr>
          <t xml:space="preserve">
Se kolumn längre till höger för miljövärden för den inköpta fjärrvärmen</t>
        </r>
      </text>
    </comment>
  </commentList>
</comments>
</file>

<file path=xl/comments12.xml><?xml version="1.0" encoding="utf-8"?>
<comments xmlns="http://schemas.openxmlformats.org/spreadsheetml/2006/main">
  <authors>
    <author>Åsa Lindqvist</author>
  </authors>
  <commentList>
    <comment ref="B1" authorId="0">
      <text>
        <r>
          <rPr>
            <b/>
            <sz val="9"/>
            <color indexed="81"/>
            <rFont val="Tahoma"/>
            <family val="2"/>
          </rPr>
          <t>Åsa Lindqvist:</t>
        </r>
        <r>
          <rPr>
            <sz val="9"/>
            <color indexed="81"/>
            <rFont val="Tahoma"/>
            <family val="2"/>
          </rPr>
          <t xml:space="preserve">
Nätlista från "Egen hetvattenproduktion", med tomma nät borttaget</t>
        </r>
      </text>
    </comment>
  </commentList>
</comments>
</file>

<file path=xl/comments13.xml><?xml version="1.0" encoding="utf-8"?>
<comments xmlns="http://schemas.openxmlformats.org/spreadsheetml/2006/main">
  <authors>
    <author>Författare</author>
  </authors>
  <commentList>
    <comment ref="K2" authorId="0">
      <text>
        <r>
          <rPr>
            <b/>
            <sz val="9"/>
            <color indexed="81"/>
            <rFont val="Tahoma"/>
            <family val="2"/>
          </rPr>
          <t>Författare:</t>
        </r>
        <r>
          <rPr>
            <sz val="9"/>
            <color indexed="81"/>
            <rFont val="Tahoma"/>
            <family val="2"/>
          </rPr>
          <t xml:space="preserve">
Används för nät där värdena är kvalitetsgranskade, men man av olika anledningar inte vill publicera. Nätnamnet går inte att välja i listan med nät.</t>
        </r>
      </text>
    </comment>
    <comment ref="L2" authorId="0">
      <text>
        <r>
          <rPr>
            <b/>
            <sz val="9"/>
            <color indexed="81"/>
            <rFont val="Tahoma"/>
            <family val="2"/>
          </rPr>
          <t>Författare:</t>
        </r>
        <r>
          <rPr>
            <sz val="9"/>
            <color indexed="81"/>
            <rFont val="Tahoma"/>
            <family val="2"/>
          </rPr>
          <t xml:space="preserve">
Används om man vill att miljövärdena för ett nät ska synas, trots att de inte är kvalitetsgranskade. Nätnamnet går att välja i listan med nät.</t>
        </r>
      </text>
    </comment>
    <comment ref="M2" authorId="0">
      <text>
        <r>
          <rPr>
            <b/>
            <sz val="9"/>
            <color indexed="81"/>
            <rFont val="Tahoma"/>
            <family val="2"/>
          </rPr>
          <t>Författare:</t>
        </r>
        <r>
          <rPr>
            <sz val="9"/>
            <color indexed="81"/>
            <rFont val="Tahoma"/>
            <family val="2"/>
          </rPr>
          <t xml:space="preserve">
Nätnamnet går att välja i listen med nät, men inga miljövärden eller bränslen visas, utan det står "se länk"</t>
        </r>
      </text>
    </comment>
  </commentList>
</comments>
</file>

<file path=xl/comments2.xml><?xml version="1.0" encoding="utf-8"?>
<comments xmlns="http://schemas.openxmlformats.org/spreadsheetml/2006/main">
  <authors>
    <author>Hedman Mattias</author>
  </authors>
  <commentList>
    <comment ref="G25" authorId="0">
      <text>
        <r>
          <rPr>
            <sz val="11"/>
            <rFont val="Calibri"/>
            <family val="2"/>
          </rPr>
          <t>Låg tillgänglighet på pelletspanna Ny produktionsanläggning planerad</t>
        </r>
      </text>
    </comment>
    <comment ref="G26" authorId="0">
      <text>
        <r>
          <rPr>
            <sz val="11"/>
            <rFont val="Calibri"/>
            <family val="2"/>
          </rPr>
          <t>En ny fastbränslebiopanna har reducerat behovet för stödeldning med eldningsolja</t>
        </r>
      </text>
    </comment>
    <comment ref="Z26" authorId="0">
      <text>
        <r>
          <rPr>
            <sz val="11"/>
            <rFont val="Calibri"/>
            <family val="2"/>
          </rPr>
          <t>En ny fastbiobränslepanna har reducerat behovet för stödelning med bioolja</t>
        </r>
      </text>
    </comment>
    <comment ref="I34" authorId="0">
      <text>
        <r>
          <rPr>
            <sz val="11"/>
            <rFont val="Calibri"/>
            <family val="2"/>
          </rPr>
          <t>Sträng kyla och störningar krävde mer olja än föregående år</t>
        </r>
      </text>
    </comment>
    <comment ref="X34" authorId="0">
      <text>
        <r>
          <rPr>
            <sz val="11"/>
            <rFont val="Calibri"/>
            <family val="2"/>
          </rPr>
          <t>Kall vinter med stora snömängder krävde högra förbrukning än föregående år (blött bränsle)</t>
        </r>
      </text>
    </comment>
    <comment ref="Z34" authorId="0">
      <text>
        <r>
          <rPr>
            <sz val="11"/>
            <rFont val="Calibri"/>
            <family val="2"/>
          </rPr>
          <t>Kall vinter med stora snömängder, störningar etc krävde högre förbrukning än föregående år.</t>
        </r>
      </text>
    </comment>
    <comment ref="AB34" authorId="0">
      <text>
        <r>
          <rPr>
            <sz val="11"/>
            <rFont val="Calibri"/>
            <family val="2"/>
          </rPr>
          <t>Kall vinter och störningar har inneburit högre förbrukning</t>
        </r>
      </text>
    </comment>
    <comment ref="V77" authorId="0">
      <text>
        <r>
          <rPr>
            <sz val="11"/>
            <rFont val="Calibri"/>
            <family val="2"/>
          </rPr>
          <t xml:space="preserve">Produktionsstatistiken, Dotorp - Förbrukning briketter </t>
        </r>
      </text>
    </comment>
    <comment ref="L84" authorId="0">
      <text>
        <r>
          <rPr>
            <sz val="11"/>
            <rFont val="Calibri"/>
            <family val="2"/>
          </rPr>
          <t>Gasol (HVC Syran)</t>
        </r>
      </text>
    </comment>
    <comment ref="D97" authorId="0">
      <text>
        <r>
          <rPr>
            <sz val="11"/>
            <rFont val="Calibri"/>
            <family val="2"/>
          </rPr>
          <t>From 2018 ingår Göteborg Ale. (Ingår i Göteborg Ale Partille)</t>
        </r>
      </text>
    </comment>
    <comment ref="J98" authorId="0">
      <text>
        <r>
          <rPr>
            <sz val="11"/>
            <rFont val="Calibri"/>
            <family val="2"/>
          </rPr>
          <t>2018. Egen hetvattenproduktion + Renova. All NG allokerades till Biogas</t>
        </r>
      </text>
    </comment>
    <comment ref="D100" authorId="0">
      <text>
        <r>
          <rPr>
            <sz val="11"/>
            <rFont val="Calibri"/>
            <family val="2"/>
          </rPr>
          <t>From 2018 ingår Göteborg Ale. (Ingår i Göteborg Ale Partille)</t>
        </r>
      </text>
    </comment>
    <comment ref="D103" authorId="0">
      <text>
        <r>
          <rPr>
            <sz val="11"/>
            <rFont val="Calibri"/>
            <family val="2"/>
          </rPr>
          <t>From 2018 ingår Göteborg Ale. (Ingår i Göteborg Ale Partille)</t>
        </r>
      </text>
    </comment>
    <comment ref="AF110" authorId="0">
      <text>
        <r>
          <rPr>
            <sz val="11"/>
            <rFont val="Calibri"/>
            <family val="2"/>
          </rPr>
          <t>2018: Här kommer biogenhalten för 2018:  P1/P2: Biogenhalt 59,32%  P3: biogenhalt 53,32%  Om du vill ha fossilandelen istället så blir det ju 100-biogenhalten.   /Cecilia   2017: 48,98% fossil CO2 från avfall, mätt i skorstenen, inklusive torkeldning</t>
        </r>
      </text>
    </comment>
    <comment ref="AG110" authorId="0">
      <text>
        <r>
          <rPr>
            <sz val="11"/>
            <rFont val="Calibri"/>
            <family val="2"/>
          </rPr>
          <t>Biogas Oceanen. Enligt Razyieh Kh. på Energiföretagen skall biogas anmälas här.</t>
        </r>
      </text>
    </comment>
    <comment ref="G121" authorId="0">
      <text>
        <r>
          <rPr>
            <sz val="11"/>
            <rFont val="Calibri"/>
            <family val="2"/>
          </rPr>
          <t>Under år 2011 togs en ny biobränsleeldad panna i drift, men kördes inte fullt på grund av leverantören jobbade med intrimning och kontroller.  Pannan övertogs under år 2012 av Hässleholm Miljö AB och har kunnat köras efter produktionsbehov.  2018 har</t>
        </r>
      </text>
    </comment>
    <comment ref="G122" authorId="0">
      <text>
        <r>
          <rPr>
            <sz val="11"/>
            <rFont val="Calibri"/>
            <family val="2"/>
          </rPr>
          <t>Endast HVO</t>
        </r>
      </text>
    </comment>
    <comment ref="Z122" authorId="0">
      <text>
        <r>
          <rPr>
            <sz val="11"/>
            <rFont val="Calibri"/>
            <family val="2"/>
          </rPr>
          <t>HVO</t>
        </r>
      </text>
    </comment>
    <comment ref="D177" authorId="0">
      <text>
        <r>
          <rPr>
            <sz val="11"/>
            <rFont val="Calibri"/>
            <family val="2"/>
          </rPr>
          <t>Tagit bort produktionen från Avfallsgas från Stålindustrin och flyttat den till spillvärmefliken. Se kommentar om avfallsgas och spillvärme.</t>
        </r>
      </text>
    </comment>
    <comment ref="K177" authorId="0">
      <text>
        <r>
          <rPr>
            <sz val="11"/>
            <rFont val="Calibri"/>
            <family val="2"/>
          </rPr>
          <t>Redovisat som Spillvärme</t>
        </r>
      </text>
    </comment>
    <comment ref="P203" authorId="0">
      <text>
        <r>
          <rPr>
            <sz val="11"/>
            <rFont val="Calibri"/>
            <family val="2"/>
          </rPr>
          <t>Här ingår rökgaskondensering</t>
        </r>
      </text>
    </comment>
    <comment ref="AG209" authorId="0">
      <text>
        <r>
          <rPr>
            <sz val="11"/>
            <rFont val="Calibri"/>
            <family val="2"/>
          </rPr>
          <t>Pannan har funkat bättre.</t>
        </r>
      </text>
    </comment>
    <comment ref="D239" authorId="0">
      <text>
        <r>
          <rPr>
            <sz val="11"/>
            <rFont val="Calibri"/>
            <family val="2"/>
          </rPr>
          <t>RGK KVV+PelletsVV+OP1-3+Flis_NoGen+HebySöder+Sala Yttre</t>
        </r>
      </text>
    </comment>
    <comment ref="P239" authorId="0">
      <text>
        <r>
          <rPr>
            <sz val="11"/>
            <rFont val="Calibri"/>
            <family val="2"/>
          </rPr>
          <t>Stamvedsflis har varit totalt 56,2 % av årets (2018) inköp. Så 56,2 % av bränslet som gick åt när turbinen var avstängd fick vara stamvedsflis.</t>
        </r>
      </text>
    </comment>
    <comment ref="U239" authorId="0">
      <text>
        <r>
          <rPr>
            <sz val="11"/>
            <rFont val="Calibri"/>
            <family val="2"/>
          </rPr>
          <t>Tätort+Heby Söder+Sala Yttre</t>
        </r>
      </text>
    </comment>
    <comment ref="Z239" authorId="0">
      <text>
        <r>
          <rPr>
            <sz val="11"/>
            <rFont val="Calibri"/>
            <family val="2"/>
          </rPr>
          <t>Wibax + Heby Söder + Sala Yttre 2018</t>
        </r>
      </text>
    </comment>
    <comment ref="D279" authorId="0">
      <text>
        <r>
          <rPr>
            <sz val="11"/>
            <rFont val="Calibri"/>
            <family val="2"/>
          </rPr>
          <t>Värdena i egen hetvattenproduktion (och alla bränslen nedan) innehåller för 2018 också produktionen från Stockholm Exergis produktionssamverkan, samt Öppen Fjärrvärme. Rökgaskondensering ingår ej.</t>
        </r>
      </text>
    </comment>
    <comment ref="Z286" authorId="0">
      <text>
        <r>
          <rPr>
            <sz val="11"/>
            <rFont val="Calibri"/>
            <family val="2"/>
          </rPr>
          <t>Finbio och biodiesel</t>
        </r>
      </text>
    </comment>
    <comment ref="Z294" authorId="0">
      <text>
        <r>
          <rPr>
            <sz val="11"/>
            <rFont val="Calibri"/>
            <family val="2"/>
          </rPr>
          <t>HVO</t>
        </r>
      </text>
    </comment>
    <comment ref="G324" authorId="0">
      <text>
        <r>
          <rPr>
            <sz val="11"/>
            <rFont val="Calibri"/>
            <family val="2"/>
          </rPr>
          <t>Kaolinprojektet gav betydlig ökning år 2017</t>
        </r>
      </text>
    </comment>
    <comment ref="P326" authorId="0">
      <text>
        <r>
          <rPr>
            <sz val="11"/>
            <rFont val="Calibri"/>
            <family val="2"/>
          </rPr>
          <t>Stamvedflis, torrflis, cellulosaflis</t>
        </r>
      </text>
    </comment>
    <comment ref="S326" authorId="0">
      <text>
        <r>
          <rPr>
            <sz val="11"/>
            <rFont val="Calibri"/>
            <family val="2"/>
          </rPr>
          <t>stubbflis, justerrester, träddelsflis, Blandbränsle</t>
        </r>
      </text>
    </comment>
    <comment ref="U326" authorId="0">
      <text>
        <r>
          <rPr>
            <sz val="11"/>
            <rFont val="Calibri"/>
            <family val="2"/>
          </rPr>
          <t>Räknat med värmevärde 4.982 MWh/ton Enligt analysrapport från Eurofins 2019-01-28</t>
        </r>
      </text>
    </comment>
    <comment ref="Z326" authorId="0">
      <text>
        <r>
          <rPr>
            <sz val="11"/>
            <rFont val="Calibri"/>
            <family val="2"/>
          </rPr>
          <t>Räknat med 9,114 MWh/m3 för RME och 10,19 MWh/ton för biooljan till P3</t>
        </r>
      </text>
    </comment>
    <comment ref="AI326" authorId="0">
      <text>
        <r>
          <rPr>
            <sz val="11"/>
            <rFont val="Calibri"/>
            <family val="2"/>
          </rPr>
          <t xml:space="preserve">VP Graniten </t>
        </r>
      </text>
    </comment>
    <comment ref="G338" authorId="0">
      <text>
        <r>
          <rPr>
            <sz val="11"/>
            <rFont val="Calibri"/>
            <family val="2"/>
          </rPr>
          <t xml:space="preserve">Underhållsåtgärder under vintersäsong innebar oljekörning och därmed högre förbrukning.  </t>
        </r>
      </text>
    </comment>
    <comment ref="D339" authorId="0">
      <text>
        <r>
          <rPr>
            <sz val="11"/>
            <rFont val="Calibri"/>
            <family val="2"/>
          </rPr>
          <t>2018: Inkl P34, OP1, OP2, OP5 och Bollmora (OP1 och OP2) 2017: Siffra tagit från Årsrapport Combilab miljödator, P1,P2,P5 och P34  samt Bollmora.</t>
        </r>
      </text>
    </comment>
    <comment ref="V339" authorId="0">
      <text>
        <r>
          <rPr>
            <sz val="11"/>
            <rFont val="Calibri"/>
            <family val="2"/>
          </rPr>
          <t>Inkl briketter och pellets, fördelning saknas.</t>
        </r>
      </text>
    </comment>
    <comment ref="Z339" authorId="0">
      <text>
        <r>
          <rPr>
            <sz val="11"/>
            <rFont val="Calibri"/>
            <family val="2"/>
          </rPr>
          <t>2018: Mer biooljekörning jfr med 2017 pga problem i anläggningen. Inkl Oljeförbrukning VV (P34, OP1, OP2, OP5), Bollmora (OP1 och OP2). Uppgifter från oljemätare i Amanda. Mer bioljekörning både i VV och Bollmora 2018 jfr med 2017.   2017: Lägre förb</t>
        </r>
      </text>
    </comment>
    <comment ref="D340" authorId="0">
      <text>
        <r>
          <rPr>
            <sz val="11"/>
            <rFont val="Calibri"/>
            <family val="2"/>
          </rPr>
          <t>2018: Inkl Ekobacken, Mölnvik och Hästhagen.</t>
        </r>
      </text>
    </comment>
    <comment ref="G340" authorId="0">
      <text>
        <r>
          <rPr>
            <sz val="11"/>
            <rFont val="Calibri"/>
            <family val="2"/>
          </rPr>
          <t xml:space="preserve">Lagerjustering för eldningsolja ultra i Hästagen. </t>
        </r>
      </text>
    </comment>
    <comment ref="P340" authorId="0">
      <text>
        <r>
          <rPr>
            <sz val="11"/>
            <rFont val="Calibri"/>
            <family val="2"/>
          </rPr>
          <t>2018: Tillförd flis i Ekobacken VV</t>
        </r>
      </text>
    </comment>
    <comment ref="U340" authorId="0">
      <text>
        <r>
          <rPr>
            <sz val="11"/>
            <rFont val="Calibri"/>
            <family val="2"/>
          </rPr>
          <t>2018: Tillförd pellets i Mölnvik,  590 ton, Värmevärde 4,8 MWh/ton</t>
        </r>
      </text>
    </comment>
    <comment ref="Z340" authorId="0">
      <text>
        <r>
          <rPr>
            <sz val="11"/>
            <rFont val="Calibri"/>
            <family val="2"/>
          </rPr>
          <t>2018: Ekobacken 1567 ton biolja + Hästagen 531 ton bioolja. Värmevärde för bioolja 10,25 MWg/ton. OP4 har kört drygt dubbelt så mkt 2018 jfr med 2017.</t>
        </r>
      </text>
    </comment>
    <comment ref="AA340" authorId="0">
      <text>
        <r>
          <rPr>
            <sz val="11"/>
            <rFont val="Calibri"/>
            <family val="2"/>
          </rPr>
          <t>2018: Tillförd biodiesel RME Mölvik 343 m3, värmevärde 10 MWh/m3. Ökad produktion 2018 jfr med 2017 i Mölvik iom ny oljepanna.</t>
        </r>
      </text>
    </comment>
    <comment ref="AG340" authorId="0">
      <text>
        <r>
          <rPr>
            <sz val="11"/>
            <rFont val="Calibri"/>
            <family val="2"/>
          </rPr>
          <t xml:space="preserve">2018: Deponigaspannan i Ekobacken VV. </t>
        </r>
      </text>
    </comment>
    <comment ref="AH340" authorId="0">
      <text>
        <r>
          <rPr>
            <sz val="11"/>
            <rFont val="Calibri"/>
            <family val="2"/>
          </rPr>
          <t>2018: Uppgifter från Amanda</t>
        </r>
      </text>
    </comment>
    <comment ref="G342" authorId="0">
      <text>
        <r>
          <rPr>
            <sz val="11"/>
            <rFont val="Calibri"/>
            <family val="2"/>
          </rPr>
          <t xml:space="preserve">Kallare år 2018. Revisioner har dragit ut på tiden. </t>
        </r>
      </text>
    </comment>
    <comment ref="D346" authorId="0">
      <text>
        <r>
          <rPr>
            <sz val="11"/>
            <rFont val="Calibri"/>
            <family val="2"/>
          </rPr>
          <t>=(totalt hetvatten till nät) - (fjv-prod KVV) + (bortkyld värme som kan härröras till KVV) - (fjv-prod Gabriella) + (ånglev/0,8) - (allokerad el till VP för fjv). OBS: Med "totalt hetvatten till nät" avses den färdigberäknade summan i produktionsfile</t>
        </r>
      </text>
    </comment>
    <comment ref="G346" authorId="0">
      <text>
        <r>
          <rPr>
            <sz val="11"/>
            <rFont val="Calibri"/>
            <family val="2"/>
          </rPr>
          <t>AFA + del av BB</t>
        </r>
      </text>
    </comment>
    <comment ref="AD386" authorId="0">
      <text>
        <r>
          <rPr>
            <sz val="11"/>
            <rFont val="Calibri"/>
            <family val="2"/>
          </rPr>
          <t>Oljan redan inräknad i P412: Fossila bränslen, Eldningsolja 1</t>
        </r>
      </text>
    </comment>
    <comment ref="T387" authorId="0">
      <text>
        <r>
          <rPr>
            <sz val="11"/>
            <rFont val="Calibri"/>
            <family val="2"/>
          </rPr>
          <t>Salix ca 4 GWh</t>
        </r>
      </text>
    </comment>
    <comment ref="Q397" authorId="0">
      <text>
        <r>
          <rPr>
            <sz val="11"/>
            <rFont val="Calibri"/>
            <family val="2"/>
          </rPr>
          <t>Flisat 300 m3 fub , våg kvitto 249,9 ton Energianalys: 648 MWh</t>
        </r>
      </text>
    </comment>
    <comment ref="Z397" authorId="0">
      <text>
        <r>
          <rPr>
            <sz val="11"/>
            <rFont val="Calibri"/>
            <family val="2"/>
          </rPr>
          <t>Använder RME (Rapsmetyleter) på två av våra Eo1 pannor,  Äpplet 8 MW och Lotta 1,5 MW.  Beräkning: 9,08 MWh/m3 * 1050,5 m3 = 9538,5 MWh</t>
        </r>
      </text>
    </comment>
    <comment ref="AG397" authorId="0">
      <text>
        <r>
          <rPr>
            <sz val="11"/>
            <rFont val="Calibri"/>
            <family val="2"/>
          </rPr>
          <t>Deponigas (P34, Lotta, Reningsverket och Ångjanne) verkningsgrad 85% 5 MWh / 1000 kbm.</t>
        </r>
      </text>
    </comment>
    <comment ref="AE412" authorId="0">
      <text>
        <r>
          <rPr>
            <sz val="11"/>
            <rFont val="Calibri"/>
            <family val="2"/>
          </rPr>
          <t>Har ingen avfallsförbränning</t>
        </r>
      </text>
    </comment>
  </commentList>
</comments>
</file>

<file path=xl/comments3.xml><?xml version="1.0" encoding="utf-8"?>
<comments xmlns="http://schemas.openxmlformats.org/spreadsheetml/2006/main">
  <authors>
    <author>Hedman Mattias</author>
  </authors>
  <commentList>
    <comment ref="G58" authorId="0">
      <text>
        <r>
          <rPr>
            <sz val="11"/>
            <rFont val="Calibri"/>
            <family val="2"/>
          </rPr>
          <t>Rökgaskondensering</t>
        </r>
      </text>
    </comment>
    <comment ref="L96" authorId="0">
      <text>
        <r>
          <rPr>
            <sz val="11"/>
            <rFont val="Calibri"/>
            <family val="2"/>
          </rPr>
          <t>2013: 40% av IND 0,4*105,2=42,1 2014: 40% av IND 0,4*102,5=41 ( inkl del av Underleverans Biobaserad) 2016: 40% av IND 0,4*94,354=37,7 + underleverans bio 3,948 2017: 40% av IND 0,4*96,052=38,421 + Bio 0,259 2018: 40% av IND 0,4*88,095=35,238</t>
        </r>
      </text>
    </comment>
    <comment ref="E97" authorId="0">
      <text>
        <r>
          <rPr>
            <sz val="11"/>
            <rFont val="Calibri"/>
            <family val="2"/>
          </rPr>
          <t>From 2018 ingår Göteborg Ale. (Ingår i Göteborg Ale Partille)</t>
        </r>
      </text>
    </comment>
    <comment ref="D100" authorId="0">
      <text>
        <r>
          <rPr>
            <sz val="11"/>
            <rFont val="Calibri"/>
            <family val="2"/>
          </rPr>
          <t>From 2018 ingår Göteborg Ale. (Ingår i Göteborg Ale Partille)</t>
        </r>
      </text>
    </comment>
    <comment ref="D103" authorId="0">
      <text>
        <r>
          <rPr>
            <sz val="11"/>
            <rFont val="Calibri"/>
            <family val="2"/>
          </rPr>
          <t>From 2018 ingår Göteborg Ale. (Ingår i Göteborg Ale Partille)</t>
        </r>
      </text>
    </comment>
    <comment ref="E177" authorId="0">
      <text>
        <r>
          <rPr>
            <sz val="11"/>
            <rFont val="Calibri"/>
            <family val="2"/>
          </rPr>
          <t>Allokerat från Kraftvärmeverket, bränslet är Eo3.</t>
        </r>
      </text>
    </comment>
    <comment ref="F177" authorId="0">
      <text>
        <r>
          <rPr>
            <sz val="11"/>
            <rFont val="Calibri"/>
            <family val="2"/>
          </rPr>
          <t>Allokerad bränslemängd från Kraftvärmeverket</t>
        </r>
      </text>
    </comment>
    <comment ref="I177" authorId="0">
      <text>
        <r>
          <rPr>
            <sz val="11"/>
            <rFont val="Calibri"/>
            <family val="2"/>
          </rPr>
          <t>Allokerad bränslemängd från Kraftvärmeverket</t>
        </r>
      </text>
    </comment>
    <comment ref="O315" authorId="0">
      <text>
        <r>
          <rPr>
            <sz val="11"/>
            <rFont val="Calibri"/>
            <family val="2"/>
          </rPr>
          <t>Spillvärme</t>
        </r>
      </text>
    </comment>
    <comment ref="E387" authorId="0">
      <text>
        <r>
          <rPr>
            <sz val="11"/>
            <rFont val="Calibri"/>
            <family val="2"/>
          </rPr>
          <t>Två leverantörer summerat. Omvandling från ammonium till nitrat i ena och förbränning av kol för att släcka kalk i andra.</t>
        </r>
      </text>
    </comment>
    <comment ref="K397" authorId="0">
      <text>
        <r>
          <rPr>
            <sz val="11"/>
            <rFont val="Calibri"/>
            <family val="2"/>
          </rPr>
          <t xml:space="preserve">Halm är bränslet som används.   I rapporten skall "Sekundära Biobränslen " användas för att inte få någon fossil påverkan.  </t>
        </r>
      </text>
    </comment>
  </commentList>
</comments>
</file>

<file path=xl/comments4.xml><?xml version="1.0" encoding="utf-8"?>
<comments xmlns="http://schemas.openxmlformats.org/spreadsheetml/2006/main">
  <authors>
    <author>Hedman Mattias</author>
  </authors>
  <commentList>
    <comment ref="V23" authorId="0">
      <text>
        <r>
          <rPr>
            <sz val="11"/>
            <rFont val="Calibri"/>
            <family val="2"/>
          </rPr>
          <t>Trädgårdsflis+städbark</t>
        </r>
      </text>
    </comment>
    <comment ref="AG34" authorId="0">
      <text>
        <r>
          <rPr>
            <sz val="11"/>
            <rFont val="Calibri"/>
            <family val="2"/>
          </rPr>
          <t>Nybyggda Panna 18 har behövt olja vid uppstart och tester</t>
        </r>
      </text>
    </comment>
    <comment ref="V58" authorId="0">
      <text>
        <r>
          <rPr>
            <sz val="11"/>
            <rFont val="Calibri"/>
            <family val="2"/>
          </rPr>
          <t xml:space="preserve">Avser kreosotflis enligt samma redovisningsprincip som togs 2013. (Under 2015 inte kraftvärme utan hetvatten). </t>
        </r>
      </text>
    </comment>
    <comment ref="AA58" authorId="0">
      <text>
        <r>
          <rPr>
            <sz val="11"/>
            <rFont val="Calibri"/>
            <family val="2"/>
          </rPr>
          <t xml:space="preserve">Kreosotflis redovisades här 2016-2017. Nu tillbaka under rubrik Övrigt oförädlat biobränsle som tidigare. </t>
        </r>
      </text>
    </comment>
    <comment ref="E77" authorId="0">
      <text>
        <r>
          <rPr>
            <sz val="11"/>
            <rFont val="Calibri"/>
            <family val="2"/>
          </rPr>
          <t>CEO-report flik 3-2 DSO prod P1 kolumn CHP</t>
        </r>
      </text>
    </comment>
    <comment ref="D97" authorId="0">
      <text>
        <r>
          <rPr>
            <sz val="11"/>
            <rFont val="Calibri"/>
            <family val="2"/>
          </rPr>
          <t>From 2018 ingår Göteborg Ale. (Ingår i Göteborg Ale Partille)</t>
        </r>
      </text>
    </comment>
    <comment ref="AJ98" authorId="0">
      <text>
        <r>
          <rPr>
            <sz val="11"/>
            <rFont val="Calibri"/>
            <family val="2"/>
          </rPr>
          <t>Biogas i Rya KVV 2018 så allokerades det inte någon biogas i Rya KVV</t>
        </r>
      </text>
    </comment>
    <comment ref="D100" authorId="0">
      <text>
        <r>
          <rPr>
            <sz val="11"/>
            <rFont val="Calibri"/>
            <family val="2"/>
          </rPr>
          <t>From 2018 ingår Göteborg Ale. (Ingår i Göteborg Ale Partille)</t>
        </r>
      </text>
    </comment>
    <comment ref="D103" authorId="0">
      <text>
        <r>
          <rPr>
            <sz val="11"/>
            <rFont val="Calibri"/>
            <family val="2"/>
          </rPr>
          <t>From 2018 ingår Göteborg Ale. (Ingår i Göteborg Ale Partille)</t>
        </r>
      </text>
    </comment>
    <comment ref="AI110" authorId="0">
      <text>
        <r>
          <rPr>
            <sz val="11"/>
            <rFont val="Calibri"/>
            <family val="2"/>
          </rPr>
          <t>2018: Här kommer biogenhalten för 2018:  P1/P2: Biogenhalt 59,32%  P3: biogenhalt 53,32%  Om du vill ha fossilandelen istället så blir det ju 100-biogenhalten.   /Cecilia  48,98% fossil CO2 från avfall, mätt i skorstenen, inklusive torkeldning och hj</t>
        </r>
      </text>
    </comment>
    <comment ref="K121" authorId="0">
      <text>
        <r>
          <rPr>
            <sz val="11"/>
            <rFont val="Calibri"/>
            <family val="2"/>
          </rPr>
          <t>Hälften Eo1, hälften HVO. Redovisar endast Eo1.</t>
        </r>
      </text>
    </comment>
    <comment ref="AC121" authorId="0">
      <text>
        <r>
          <rPr>
            <sz val="11"/>
            <rFont val="Calibri"/>
            <family val="2"/>
          </rPr>
          <t>HVO</t>
        </r>
      </text>
    </comment>
    <comment ref="AM121" authorId="0">
      <text>
        <r>
          <rPr>
            <sz val="11"/>
            <rFont val="Calibri"/>
            <family val="2"/>
          </rPr>
          <t>Har ingen rökgasrening på avfallspannan</t>
        </r>
      </text>
    </comment>
    <comment ref="E209" authorId="0">
      <text>
        <r>
          <rPr>
            <sz val="11"/>
            <rFont val="Calibri"/>
            <family val="2"/>
          </rPr>
          <t>Problem med el-turbinen.</t>
        </r>
      </text>
    </comment>
    <comment ref="W216" authorId="0">
      <text>
        <r>
          <rPr>
            <sz val="11"/>
            <rFont val="Calibri"/>
            <family val="2"/>
          </rPr>
          <t>Sågverksrester</t>
        </r>
      </text>
    </comment>
    <comment ref="AC239" authorId="0">
      <text>
        <r>
          <rPr>
            <sz val="11"/>
            <rFont val="Calibri"/>
            <family val="2"/>
          </rPr>
          <t>Konverterat det inrapporterade värdet till EU ETS, 19 ton, till GWh.</t>
        </r>
      </text>
    </comment>
    <comment ref="D297" authorId="0">
      <text>
        <r>
          <rPr>
            <sz val="11"/>
            <rFont val="Calibri"/>
            <family val="2"/>
          </rPr>
          <t>DK+TK+Kyl</t>
        </r>
      </text>
    </comment>
    <comment ref="K326" authorId="0">
      <text>
        <r>
          <rPr>
            <sz val="11"/>
            <rFont val="Calibri"/>
            <family val="2"/>
          </rPr>
          <t>Räknat med 9,8 MWh/m3</t>
        </r>
      </text>
    </comment>
    <comment ref="S326" authorId="0">
      <text>
        <r>
          <rPr>
            <sz val="11"/>
            <rFont val="Calibri"/>
            <family val="2"/>
          </rPr>
          <t>inkl torrflis och cellulosaflis</t>
        </r>
      </text>
    </comment>
    <comment ref="V326" authorId="0">
      <text>
        <r>
          <rPr>
            <sz val="11"/>
            <rFont val="Calibri"/>
            <family val="2"/>
          </rPr>
          <t>stubbflis, justerrester, träddelsflis, Blandbränsle</t>
        </r>
      </text>
    </comment>
    <comment ref="AG326" authorId="0">
      <text>
        <r>
          <rPr>
            <sz val="11"/>
            <rFont val="Calibri"/>
            <family val="2"/>
          </rPr>
          <t>Använt 9,8, MWh/m3</t>
        </r>
      </text>
    </comment>
    <comment ref="AK326" authorId="0">
      <text>
        <r>
          <rPr>
            <sz val="11"/>
            <rFont val="Calibri"/>
            <family val="2"/>
          </rPr>
          <t>Inkl. VP Dåva 1</t>
        </r>
      </text>
    </comment>
    <comment ref="D339" authorId="0">
      <text>
        <r>
          <rPr>
            <sz val="11"/>
            <rFont val="Calibri"/>
            <family val="2"/>
          </rPr>
          <t>2018: P7 inkl RGK och hetvatten till Cola.</t>
        </r>
      </text>
    </comment>
    <comment ref="S339" authorId="0">
      <text>
        <r>
          <rPr>
            <sz val="11"/>
            <rFont val="Calibri"/>
            <family val="2"/>
          </rPr>
          <t>2018: Skogsflis till KVV (P7)</t>
        </r>
      </text>
    </comment>
    <comment ref="AA339" authorId="0">
      <text>
        <r>
          <rPr>
            <sz val="11"/>
            <rFont val="Calibri"/>
            <family val="2"/>
          </rPr>
          <t>2018: Tillförd RT-flis till KVV (P7).</t>
        </r>
      </text>
    </comment>
    <comment ref="AK339" authorId="0">
      <text>
        <r>
          <rPr>
            <sz val="11"/>
            <rFont val="Calibri"/>
            <family val="2"/>
          </rPr>
          <t>2018: Anläggningen driftsattes i slutet av 2017. Under 2018 har anläggningen varit i drift i större uträckning.</t>
        </r>
      </text>
    </comment>
    <comment ref="D342" authorId="0">
      <text>
        <r>
          <rPr>
            <sz val="11"/>
            <rFont val="Calibri"/>
            <family val="2"/>
          </rPr>
          <t>Högre Produktion 2018</t>
        </r>
      </text>
    </comment>
    <comment ref="L343" authorId="0">
      <text>
        <r>
          <rPr>
            <sz val="11"/>
            <rFont val="Calibri"/>
            <family val="2"/>
          </rPr>
          <t>Högre 2018 pga haveri i P3 bädd så lastolja användes i stället.</t>
        </r>
      </text>
    </comment>
    <comment ref="D346" authorId="0">
      <text>
        <r>
          <rPr>
            <sz val="11"/>
            <rFont val="Calibri"/>
            <family val="2"/>
          </rPr>
          <t>KVV (minus ÅK) + Gabriella. OBS: var uppmärksam så inte teckenfel uppstår eftersom återkylare är angivet med negativt tecken i produktionsfilen.</t>
        </r>
      </text>
    </comment>
    <comment ref="AG386" authorId="0">
      <text>
        <r>
          <rPr>
            <sz val="11"/>
            <rFont val="Calibri"/>
            <family val="2"/>
          </rPr>
          <t>Olja till avfallsförbränning vid kraftproduktion ligger under fossila bränslen. P1412: Eldningsolja 1</t>
        </r>
      </text>
    </comment>
    <comment ref="M413" authorId="0">
      <text>
        <r>
          <rPr>
            <sz val="11"/>
            <rFont val="Calibri"/>
            <family val="2"/>
          </rPr>
          <t>Bytt eo5 mot eo1 mars 2018 för p11</t>
        </r>
      </text>
    </comment>
  </commentList>
</comments>
</file>

<file path=xl/comments5.xml><?xml version="1.0" encoding="utf-8"?>
<comments xmlns="http://schemas.openxmlformats.org/spreadsheetml/2006/main">
  <authors>
    <author>Författare</author>
  </authors>
  <commentList>
    <comment ref="AL1" authorId="0">
      <text>
        <r>
          <rPr>
            <b/>
            <sz val="9"/>
            <color indexed="81"/>
            <rFont val="Tahoma"/>
            <family val="2"/>
          </rPr>
          <t>Författare:</t>
        </r>
        <r>
          <rPr>
            <sz val="9"/>
            <color indexed="81"/>
            <rFont val="Tahoma"/>
            <family val="2"/>
          </rPr>
          <t xml:space="preserve">
Inkl hjälpel</t>
        </r>
      </text>
    </comment>
  </commentList>
</comments>
</file>

<file path=xl/comments6.xml><?xml version="1.0" encoding="utf-8"?>
<comments xmlns="http://schemas.openxmlformats.org/spreadsheetml/2006/main">
  <authors>
    <author>Åsa Lindqvist</author>
  </authors>
  <commentList>
    <comment ref="B2" authorId="0">
      <text>
        <r>
          <rPr>
            <b/>
            <sz val="9"/>
            <color indexed="81"/>
            <rFont val="Tahoma"/>
            <family val="2"/>
          </rPr>
          <t>Åsa Lindqvist:</t>
        </r>
        <r>
          <rPr>
            <sz val="9"/>
            <color indexed="81"/>
            <rFont val="Tahoma"/>
            <family val="2"/>
          </rPr>
          <t xml:space="preserve">
Endast kvalitetsgranskade nät</t>
        </r>
      </text>
    </comment>
  </commentList>
</comments>
</file>

<file path=xl/comments7.xml><?xml version="1.0" encoding="utf-8"?>
<comments xmlns="http://schemas.openxmlformats.org/spreadsheetml/2006/main">
  <authors>
    <author>Hedman Mattias</author>
  </authors>
  <commentList>
    <comment ref="D47" authorId="0">
      <text>
        <r>
          <rPr>
            <sz val="11"/>
            <rFont val="Calibri"/>
            <family val="2"/>
          </rPr>
          <t>ET</t>
        </r>
      </text>
    </comment>
    <comment ref="E84" authorId="0">
      <text>
        <r>
          <rPr>
            <sz val="11"/>
            <rFont val="Calibri"/>
            <family val="2"/>
          </rPr>
          <t>Falu Pastorat, GSRN: FJV2500</t>
        </r>
      </text>
    </comment>
    <comment ref="F96" authorId="0">
      <text>
        <r>
          <rPr>
            <sz val="11"/>
            <rFont val="Calibri"/>
            <family val="2"/>
          </rPr>
          <t>2016 Spillvärme 219,727+ 60% av IND 0,6*94,351+  Dump 12,038 =409,7 2017 Spillvärme 216,628+ 60% av IND 0,6 2018 Spillvärme 197,312 + 0,6*88,095 (ind) + dump 24,123+ underlev bio 0,377</t>
        </r>
      </text>
    </comment>
    <comment ref="D97" authorId="0">
      <text>
        <r>
          <rPr>
            <sz val="11"/>
            <rFont val="Calibri"/>
            <family val="2"/>
          </rPr>
          <t>From 2018 ingår Göteborg Ale. (Ingår i Göteborg Ale Partille)</t>
        </r>
      </text>
    </comment>
    <comment ref="D100" authorId="0">
      <text>
        <r>
          <rPr>
            <sz val="11"/>
            <rFont val="Calibri"/>
            <family val="2"/>
          </rPr>
          <t>From 2018 ingår Göteborg Ale. (Ingår i Göteborg Ale Partille)</t>
        </r>
      </text>
    </comment>
    <comment ref="D103" authorId="0">
      <text>
        <r>
          <rPr>
            <sz val="11"/>
            <rFont val="Calibri"/>
            <family val="2"/>
          </rPr>
          <t>From 2018 ingår Göteborg Ale. (Ingår i Göteborg Ale Partille)</t>
        </r>
      </text>
    </comment>
    <comment ref="F178" authorId="0">
      <text>
        <r>
          <rPr>
            <sz val="11"/>
            <rFont val="Calibri"/>
            <family val="2"/>
          </rPr>
          <t>Allokerat från Kraftvärmeverket bränslet är avfallsgas från stålindustrin (SSAB).  Inrapporterat 732,5 GWh avfallsgas från KVV. 6,6 till klimatneutral och 725,9 till övriga nätet (residualen). Flyttat hit från Köpt Hetvatten</t>
        </r>
      </text>
    </comment>
    <comment ref="F339" authorId="0">
      <text>
        <r>
          <rPr>
            <sz val="11"/>
            <rFont val="Calibri"/>
            <family val="2"/>
          </rPr>
          <t>2018: Uppgifter från PI via Johnny Friman</t>
        </r>
      </text>
    </comment>
  </commentList>
</comments>
</file>

<file path=xl/comments8.xml><?xml version="1.0" encoding="utf-8"?>
<comments xmlns="http://schemas.openxmlformats.org/spreadsheetml/2006/main">
  <authors>
    <author>Hedman Mattias</author>
  </authors>
  <commentList>
    <comment ref="D24" authorId="0">
      <text>
        <r>
          <rPr>
            <sz val="11"/>
            <rFont val="Calibri"/>
            <family val="2"/>
          </rPr>
          <t>Elförbrukning alla hetvatten + hjälpkraft ren värmeproduktion KVV</t>
        </r>
      </text>
    </comment>
    <comment ref="E24" authorId="0">
      <text>
        <r>
          <rPr>
            <sz val="11"/>
            <rFont val="Calibri"/>
            <family val="2"/>
          </rPr>
          <t xml:space="preserve">Hjälpkraftsförbrukning KVV - hjälpkraftsförbrukning ren värmeproduktion KVV </t>
        </r>
      </text>
    </comment>
    <comment ref="G27" authorId="0">
      <text>
        <r>
          <rPr>
            <sz val="11"/>
            <rFont val="Calibri"/>
            <family val="2"/>
          </rPr>
          <t xml:space="preserve">PEF framräknat ur andelar i elmix och taget ur "Miljöfaktaboken", värmeforsk 2011. Andelen Vindenergi (PEF0,05) har ökat drastiskt och resterande produktion (vatten 1,1) har förhållandevis låg PEF. </t>
        </r>
      </text>
    </comment>
    <comment ref="D37" authorId="0">
      <text>
        <r>
          <rPr>
            <sz val="11"/>
            <rFont val="Calibri"/>
            <family val="2"/>
          </rPr>
          <t>2017 är värden omkastade.</t>
        </r>
      </text>
    </comment>
    <comment ref="D41" authorId="0">
      <text>
        <r>
          <rPr>
            <sz val="11"/>
            <rFont val="Calibri"/>
            <family val="2"/>
          </rPr>
          <t>Estimerat 1,35 för drift av FJV-pumpar i KP</t>
        </r>
      </text>
    </comment>
    <comment ref="H77" authorId="0">
      <text>
        <r>
          <rPr>
            <sz val="11"/>
            <rFont val="Calibri"/>
            <family val="2"/>
          </rPr>
          <t>under utredning</t>
        </r>
      </text>
    </comment>
    <comment ref="G84" authorId="0">
      <text>
        <r>
          <rPr>
            <sz val="11"/>
            <rFont val="Calibri"/>
            <family val="2"/>
          </rPr>
          <t>PEF Bio (2,0) 65% Vind (0,1) 20% Vatten (1,1) 15% Fördelning fev.se</t>
        </r>
      </text>
    </comment>
    <comment ref="G85" authorId="0">
      <text>
        <r>
          <rPr>
            <sz val="11"/>
            <rFont val="Calibri"/>
            <family val="2"/>
          </rPr>
          <t>PEF Bio (2,0) 65% Vind (0,1) 20% Vatten (1,1) 15% Fördelning fev.se</t>
        </r>
      </text>
    </comment>
    <comment ref="K85" authorId="0">
      <text>
        <r>
          <rPr>
            <sz val="11"/>
            <rFont val="Calibri"/>
            <family val="2"/>
          </rPr>
          <t>Borlänge Energi</t>
        </r>
      </text>
    </comment>
    <comment ref="P85" authorId="0">
      <text>
        <r>
          <rPr>
            <sz val="11"/>
            <rFont val="Calibri"/>
            <family val="2"/>
          </rPr>
          <t>Till Borlänge Energi</t>
        </r>
      </text>
    </comment>
    <comment ref="G86" authorId="0">
      <text>
        <r>
          <rPr>
            <sz val="11"/>
            <rFont val="Calibri"/>
            <family val="2"/>
          </rPr>
          <t>PEF Bio (2,0) 65% Vind (0,1) 20% Vatten (1,1) 15% Fördelning fev.se</t>
        </r>
      </text>
    </comment>
    <comment ref="G87" authorId="0">
      <text>
        <r>
          <rPr>
            <sz val="11"/>
            <rFont val="Calibri"/>
            <family val="2"/>
          </rPr>
          <t>PEF Bio (2,0) 65% Vind (0,1) 20% Vatten (1,1) 15% Fördelning fev.se</t>
        </r>
      </text>
    </comment>
    <comment ref="D97" authorId="0">
      <text>
        <r>
          <rPr>
            <sz val="11"/>
            <rFont val="Calibri"/>
            <family val="2"/>
          </rPr>
          <t>Ersbo 668,5 MWh Carlsborg 246,3 MWh piper 609,8 nytryck 369,9 Strömsbro 31,8 Sörby 2,8</t>
        </r>
      </text>
    </comment>
    <comment ref="D98" authorId="0">
      <text>
        <r>
          <rPr>
            <sz val="11"/>
            <rFont val="Calibri"/>
            <family val="2"/>
          </rPr>
          <t>From 2018 ingår Göteborg Ale.      (Ingår i Göteborg Ale Partille)</t>
        </r>
      </text>
    </comment>
    <comment ref="D101" authorId="0">
      <text>
        <r>
          <rPr>
            <sz val="11"/>
            <rFont val="Calibri"/>
            <family val="2"/>
          </rPr>
          <t>From 2018 ingår Göteborg Ale. (Ingår i Göteborg Ale Partille)</t>
        </r>
      </text>
    </comment>
    <comment ref="D104" authorId="0">
      <text>
        <r>
          <rPr>
            <sz val="11"/>
            <rFont val="Calibri"/>
            <family val="2"/>
          </rPr>
          <t>From 2018 ingår Göteborg Ale. (Ingår i Göteborg Ale Partille)</t>
        </r>
      </text>
    </comment>
    <comment ref="P111" authorId="0">
      <text>
        <r>
          <rPr>
            <sz val="11"/>
            <rFont val="Calibri"/>
            <family val="2"/>
          </rPr>
          <t>Tjänstenr 155142, 288892 &amp; 3322509 enl Agneta H. Dessa gäller sedan länge.  Enl Ann-Catrin har även 213422 tillkommit per 2018-11-01 (Intersport Stenalyckan, Orkangatan 3, fastbet: Stenalyckan 1).  Niclas Blucher har tecknat ett avtal med leveranssta</t>
        </r>
      </text>
    </comment>
    <comment ref="F112" authorId="0">
      <text>
        <r>
          <rPr>
            <sz val="11"/>
            <rFont val="Calibri"/>
            <family val="2"/>
          </rPr>
          <t>Köper 100% förnybar el från Karlstads Energi AB</t>
        </r>
      </text>
    </comment>
    <comment ref="K112" authorId="0">
      <text>
        <r>
          <rPr>
            <sz val="11"/>
            <rFont val="Calibri"/>
            <family val="2"/>
          </rPr>
          <t>Köpt fjärrvärme från Karlstads Energi AB</t>
        </r>
      </text>
    </comment>
    <comment ref="D170" authorId="0">
      <text>
        <r>
          <rPr>
            <sz val="11"/>
            <rFont val="Calibri"/>
            <family val="2"/>
          </rPr>
          <t>År 2017 anläggning i drift endast 3 månader.</t>
        </r>
      </text>
    </comment>
    <comment ref="D178" authorId="0">
      <text>
        <r>
          <rPr>
            <sz val="11"/>
            <rFont val="Calibri"/>
            <family val="2"/>
          </rPr>
          <t>Allokerad el från kraftvärmeverket som hjälpkraft till värmeproduktionen ingår i detta.</t>
        </r>
      </text>
    </comment>
    <comment ref="G181" authorId="0">
      <text>
        <r>
          <rPr>
            <sz val="11"/>
            <rFont val="Calibri"/>
            <family val="2"/>
          </rPr>
          <t>84 procent vattenkraft och 16 procent vind motsvarar 0,94  VATTENKRAFT HAR EN PRIMÄRENERGIFAKTOR 1,1 OCH VIND HAR 0,1</t>
        </r>
      </text>
    </comment>
    <comment ref="D182" authorId="0">
      <text>
        <r>
          <rPr>
            <sz val="11"/>
            <rFont val="Calibri"/>
            <family val="2"/>
          </rPr>
          <t>Inköpt el för Snickan PC, Örby pumphus, Fritsla PC= 245 MWh Juni-September ingen kraftvärmeprod. I snitt 209 MWh/månad i elförbrukning Totalt elförbrukning för hetvatten=245+12*209=2753 MWh</t>
        </r>
      </text>
    </comment>
    <comment ref="E182" authorId="0">
      <text>
        <r>
          <rPr>
            <sz val="11"/>
            <rFont val="Calibri"/>
            <family val="2"/>
          </rPr>
          <t>Total förbrukning=4111 MWh el Kraftvärme=4111-2753=1358 MWh el</t>
        </r>
      </text>
    </comment>
    <comment ref="G182" authorId="0">
      <text>
        <r>
          <rPr>
            <sz val="11"/>
            <rFont val="Calibri"/>
            <family val="2"/>
          </rPr>
          <t xml:space="preserve">Köpt El=1442 MWh El från egen prod=2669 MWh  (1442*1,1+2669*0,03)/4111=0,41 0,03=primärenergifaktor sekundära biobränslen 1,1= vattenkraft, PEF/kWh enligt tabell 2, Miljövärdering 2018. </t>
        </r>
      </text>
    </comment>
    <comment ref="K227" authorId="0">
      <text>
        <r>
          <rPr>
            <sz val="11"/>
            <rFont val="Calibri"/>
            <family val="2"/>
          </rPr>
          <t>Vi köper all Fv från Göteborg Energi</t>
        </r>
      </text>
    </comment>
    <comment ref="F240" authorId="0">
      <text>
        <r>
          <rPr>
            <sz val="11"/>
            <rFont val="Calibri"/>
            <family val="2"/>
          </rPr>
          <t>Inköpt el från vattenkraft och sol samt vår Biokraft. All vår el är ursprungsmärkt genom ursprungsgarantier.</t>
        </r>
      </text>
    </comment>
    <comment ref="K269" authorId="0">
      <text>
        <r>
          <rPr>
            <sz val="11"/>
            <rFont val="Calibri"/>
            <family val="2"/>
          </rPr>
          <t>Köpt från Stockholm Exergi.</t>
        </r>
      </text>
    </comment>
    <comment ref="L269" authorId="0">
      <text>
        <r>
          <rPr>
            <sz val="11"/>
            <rFont val="Calibri"/>
            <family val="2"/>
          </rPr>
          <t>Bränslemixen i den inköpta värmen har förändrats sedan tidigare år.</t>
        </r>
      </text>
    </comment>
    <comment ref="O269" authorId="0">
      <text>
        <r>
          <rPr>
            <sz val="11"/>
            <rFont val="Calibri"/>
            <family val="2"/>
          </rPr>
          <t>Bränslemixen i den inköpta värmen har förändrats sedan tidigare år.</t>
        </r>
      </text>
    </comment>
    <comment ref="P280" authorId="0">
      <text>
        <r>
          <rPr>
            <sz val="11"/>
            <rFont val="Calibri"/>
            <family val="2"/>
          </rPr>
          <t>Swedavia, Norrenergi, E.ON, Söderenergi, SFAB, Sollentuna Energi, Miljöbyggnad Guld/Silver, Topp 120-kunder som inte redan har avtal.</t>
        </r>
      </text>
    </comment>
    <comment ref="E320" authorId="0">
      <text>
        <r>
          <rPr>
            <sz val="11"/>
            <rFont val="Calibri"/>
            <family val="2"/>
          </rPr>
          <t>Lillesjö och Bräcke</t>
        </r>
      </text>
    </comment>
    <comment ref="G324" authorId="0">
      <text>
        <r>
          <rPr>
            <sz val="11"/>
            <rFont val="Calibri"/>
            <family val="2"/>
          </rPr>
          <t>68% Vatten 20% Bio 12% Vind andelar från elnät. Schablonvärden finns i Energiföretagens "Miljövärdering 2018 Guide för allokering i kvv och fjv elanvändning"</t>
        </r>
      </text>
    </comment>
    <comment ref="G325" authorId="0">
      <text>
        <r>
          <rPr>
            <sz val="11"/>
            <rFont val="Calibri"/>
            <family val="2"/>
          </rPr>
          <t>68% Vatten 20% Bio 12% Vind andelar från elnät. Schablonvärden finns i Energiföretagens "Miljövärdering 2018 Guide för allokering i kvv och fjv elanvändning"</t>
        </r>
      </text>
    </comment>
    <comment ref="G326" authorId="0">
      <text>
        <r>
          <rPr>
            <sz val="11"/>
            <rFont val="Calibri"/>
            <family val="2"/>
          </rPr>
          <t>68% Vatten 20% Bio 12% Vind andelar från elnät. Schablonvärden finns i Energiföretagens "Miljövärdering 2018 Guide för allokering i kvv och fjv elanvändning"</t>
        </r>
      </text>
    </comment>
    <comment ref="D327" authorId="0">
      <text>
        <r>
          <rPr>
            <sz val="11"/>
            <rFont val="Calibri"/>
            <family val="2"/>
          </rPr>
          <t>Guns siffror från klimatneutralfjv</t>
        </r>
      </text>
    </comment>
    <comment ref="E327" authorId="0">
      <text>
        <r>
          <rPr>
            <sz val="11"/>
            <rFont val="Calibri"/>
            <family val="2"/>
          </rPr>
          <t>Guns siffror från klimatneutralfjv</t>
        </r>
      </text>
    </comment>
    <comment ref="G327" authorId="0">
      <text>
        <r>
          <rPr>
            <sz val="11"/>
            <rFont val="Calibri"/>
            <family val="2"/>
          </rPr>
          <t>68% Vatten 20% Bio 12% Vind andelar från elnät. Schablonvärden finns i Energiföretagens "Miljövärdering 2018 Guide för allokering i kvv och fjv elanvändning"</t>
        </r>
      </text>
    </comment>
    <comment ref="G332" authorId="0">
      <text>
        <r>
          <rPr>
            <sz val="11"/>
            <rFont val="Calibri"/>
            <family val="2"/>
          </rPr>
          <t>Större andel vatten än tidigare.</t>
        </r>
      </text>
    </comment>
    <comment ref="H333" authorId="0">
      <text>
        <r>
          <rPr>
            <sz val="11"/>
            <rFont val="Calibri"/>
            <family val="2"/>
          </rPr>
          <t>Större andel vatten i mixen än tidigare.</t>
        </r>
      </text>
    </comment>
    <comment ref="D340" authorId="0">
      <text>
        <r>
          <rPr>
            <sz val="11"/>
            <rFont val="Calibri"/>
            <family val="2"/>
          </rPr>
          <t>Förbrukad driftel VV</t>
        </r>
      </text>
    </comment>
    <comment ref="E340" authorId="0">
      <text>
        <r>
          <rPr>
            <sz val="11"/>
            <rFont val="Calibri"/>
            <family val="2"/>
          </rPr>
          <t>Förbrukad driftel KVV</t>
        </r>
      </text>
    </comment>
    <comment ref="D341" authorId="0">
      <text>
        <r>
          <rPr>
            <sz val="11"/>
            <rFont val="Calibri"/>
            <family val="2"/>
          </rPr>
          <t xml:space="preserve">2018: Inkl Ekobacken, Mölnvik och Hästhagen.  </t>
        </r>
      </text>
    </comment>
    <comment ref="D398" authorId="0">
      <text>
        <r>
          <rPr>
            <sz val="11"/>
            <rFont val="Calibri"/>
            <family val="2"/>
          </rPr>
          <t>Total el förbr.: 3702,540 MWh (Produktionsanl. Anoden, Äpplet, Lotta, Källesjö och Köpingebro) Varav produktion solcellsanl. 99,119 MWh Inköpt elkraft 3702,540 - 99,119 = 3603,421 MWh</t>
        </r>
      </text>
    </comment>
  </commentList>
</comments>
</file>

<file path=xl/comments9.xml><?xml version="1.0" encoding="utf-8"?>
<comments xmlns="http://schemas.openxmlformats.org/spreadsheetml/2006/main">
  <authors>
    <author>Åsa Lindqvist</author>
    <author>Hedman Mattias</author>
    <author>Mijakovska Dijana</author>
  </authors>
  <commentList>
    <comment ref="V1" authorId="0">
      <text>
        <r>
          <rPr>
            <b/>
            <sz val="9"/>
            <color indexed="81"/>
            <rFont val="Tahoma"/>
            <family val="2"/>
          </rPr>
          <t>Åsa Lindqvist:</t>
        </r>
        <r>
          <rPr>
            <sz val="9"/>
            <color indexed="81"/>
            <rFont val="Tahoma"/>
            <family val="2"/>
          </rPr>
          <t xml:space="preserve">
Gå igenom manuellt för att se så balansen stämmer mellan köpt och sålt mellan fjärrvärmeföretag. Vissa är justerade manuellt för att de inte ska dras av, om det inte finns något företag som rapporterar att de köpt in motsvarande mängd.</t>
        </r>
      </text>
    </comment>
    <comment ref="G51" authorId="1">
      <text>
        <r>
          <rPr>
            <sz val="11"/>
            <rFont val="Calibri"/>
            <family val="2"/>
          </rPr>
          <t>Högre 2018 än 2017 pga att fd HVC Kvarnberg ingår i HVC Degerfors fr 2018</t>
        </r>
      </text>
    </comment>
    <comment ref="S54" authorId="1">
      <text>
        <r>
          <rPr>
            <sz val="11"/>
            <rFont val="Calibri"/>
            <family val="2"/>
          </rPr>
          <t>Vi har inte kvar Åtorp, Degerfors Kommun har tagit över verksamheten</t>
        </r>
      </text>
    </comment>
    <comment ref="D84" authorId="1">
      <text>
        <r>
          <rPr>
            <sz val="11"/>
            <rFont val="Calibri"/>
            <family val="2"/>
          </rPr>
          <t>Totalt uppmätt förbrukning BFUS + värme som mäts men ej faktureras (pelletsfabrik + internvärme för uppvärmning av FJV-loklaler + värme till FJK-produktion)</t>
        </r>
      </text>
    </comment>
    <comment ref="G84" authorId="1">
      <text>
        <r>
          <rPr>
            <sz val="11"/>
            <rFont val="Calibri"/>
            <family val="2"/>
          </rPr>
          <t>Industrier enligt BFUS, ingen koll på om de är tillverkande eller inte här</t>
        </r>
      </text>
    </comment>
    <comment ref="J84" authorId="1">
      <text>
        <r>
          <rPr>
            <sz val="11"/>
            <rFont val="Calibri"/>
            <family val="2"/>
          </rPr>
          <t xml:space="preserve">Fakturerat övriga lokaler: Offentlig förvaltning, myndigheter, sjukvård etc. </t>
        </r>
      </text>
    </comment>
    <comment ref="M84" authorId="1">
      <text>
        <r>
          <rPr>
            <sz val="11"/>
            <rFont val="Calibri"/>
            <family val="2"/>
          </rPr>
          <t>Pelletsfabriken 45,2 GWh och FJV till ABS 4 GWh</t>
        </r>
      </text>
    </comment>
    <comment ref="D97" authorId="1">
      <text>
        <r>
          <rPr>
            <sz val="11"/>
            <rFont val="Calibri"/>
            <family val="2"/>
          </rPr>
          <t>From 2018 ingår Göteborg Ale. (Ingår i Göteborg Ale Partille)</t>
        </r>
      </text>
    </comment>
    <comment ref="D98" authorId="1">
      <text>
        <r>
          <rPr>
            <sz val="11"/>
            <rFont val="Calibri"/>
            <family val="2"/>
          </rPr>
          <t xml:space="preserve">From 2018 ingår inte Partille/Thomas J  I summan ingår såld värme till kyla /Thomas J.   2014 I siffrorna nedan ingår leveranser till bra miljöval. I såld värme ingår ej leverans för bra miljöval, denna finns i separat nät. //Charlotta Abrahamsson   </t>
        </r>
      </text>
    </comment>
    <comment ref="H98" authorId="1">
      <text>
        <r>
          <rPr>
            <sz val="11"/>
            <rFont val="Calibri"/>
            <family val="2"/>
          </rPr>
          <t>2015 ET 2016 ET 2017 ET 2018 ET</t>
        </r>
      </text>
    </comment>
    <comment ref="L98" authorId="1">
      <text>
        <r>
          <rPr>
            <sz val="11"/>
            <rFont val="Calibri"/>
            <family val="2"/>
          </rPr>
          <t>2017 DS 2018 DS</t>
        </r>
      </text>
    </comment>
    <comment ref="M98" authorId="1">
      <text>
        <r>
          <rPr>
            <sz val="11"/>
            <rFont val="Calibri"/>
            <family val="2"/>
          </rPr>
          <t>2017 DS 2018 DS</t>
        </r>
      </text>
    </comment>
    <comment ref="D100" authorId="1">
      <text>
        <r>
          <rPr>
            <sz val="11"/>
            <rFont val="Calibri"/>
            <family val="2"/>
          </rPr>
          <t>From 2018 ingår Göteborg Ale. (Ingår i Göteborg Ale Partille)</t>
        </r>
      </text>
    </comment>
    <comment ref="D103" authorId="1">
      <text>
        <r>
          <rPr>
            <sz val="11"/>
            <rFont val="Calibri"/>
            <family val="2"/>
          </rPr>
          <t>From 2018 ingår Göteborg Ale. (Ingår i Göteborg Ale Partille)</t>
        </r>
      </text>
    </comment>
    <comment ref="D181" authorId="1">
      <text>
        <r>
          <rPr>
            <sz val="11"/>
            <rFont val="Calibri"/>
            <family val="2"/>
          </rPr>
          <t>Varav ånga 7,19 GWh.</t>
        </r>
      </text>
    </comment>
    <comment ref="K303" authorId="1">
      <text>
        <r>
          <rPr>
            <sz val="11"/>
            <rFont val="Calibri"/>
            <family val="2"/>
          </rPr>
          <t>2018 inkluderas även Energi som används för produktion av Fjärrkyla.</t>
        </r>
      </text>
    </comment>
    <comment ref="D319" authorId="1">
      <text>
        <r>
          <rPr>
            <sz val="11"/>
            <rFont val="Calibri"/>
            <family val="2"/>
          </rPr>
          <t>Inkluderat leveranser till Pelletsfabriken</t>
        </r>
      </text>
    </comment>
    <comment ref="F319" authorId="1">
      <text>
        <r>
          <rPr>
            <sz val="11"/>
            <rFont val="Calibri"/>
            <family val="2"/>
          </rPr>
          <t xml:space="preserve">Här ingår även gruppanslutna småhus </t>
        </r>
      </text>
    </comment>
    <comment ref="K319" authorId="1">
      <text>
        <r>
          <rPr>
            <sz val="11"/>
            <rFont val="Calibri"/>
            <family val="2"/>
          </rPr>
          <t>Företaget har ingen markvärme</t>
        </r>
      </text>
    </comment>
    <comment ref="D387" authorId="2">
      <text>
        <r>
          <rPr>
            <b/>
            <sz val="9"/>
            <color indexed="81"/>
            <rFont val="Tahoma"/>
            <family val="2"/>
          </rPr>
          <t>Mijakovska Dijana:</t>
        </r>
        <r>
          <rPr>
            <sz val="9"/>
            <color indexed="81"/>
            <rFont val="Tahoma"/>
            <family val="2"/>
          </rPr>
          <t xml:space="preserve">
Decimalfel. Ändrat manuellt i Publiceringsfilen men inte i Kvalitetsnyckeln 20/05/19</t>
        </r>
      </text>
    </comment>
    <comment ref="E387" authorId="2">
      <text>
        <r>
          <rPr>
            <b/>
            <sz val="9"/>
            <color indexed="81"/>
            <rFont val="Tahoma"/>
            <family val="2"/>
          </rPr>
          <t>Mijakovska Dijana:</t>
        </r>
        <r>
          <rPr>
            <sz val="9"/>
            <color indexed="81"/>
            <rFont val="Tahoma"/>
            <family val="2"/>
          </rPr>
          <t xml:space="preserve">
Decimalfel. Ändrat manuellt i Publiceringsfilen men inte i Kvalitetsnyckeln </t>
        </r>
      </text>
    </comment>
    <comment ref="F387" authorId="2">
      <text>
        <r>
          <rPr>
            <b/>
            <sz val="9"/>
            <color indexed="81"/>
            <rFont val="Tahoma"/>
            <family val="2"/>
          </rPr>
          <t>Mijakovska Dijana:</t>
        </r>
        <r>
          <rPr>
            <sz val="9"/>
            <color indexed="81"/>
            <rFont val="Tahoma"/>
            <family val="2"/>
          </rPr>
          <t xml:space="preserve">
Decimalfel. Ändrat manuellt i Publiceringsfilen men inte i Kvalitetsnyckeln </t>
        </r>
      </text>
    </comment>
    <comment ref="I387" authorId="2">
      <text>
        <r>
          <rPr>
            <b/>
            <sz val="9"/>
            <color indexed="81"/>
            <rFont val="Tahoma"/>
            <family val="2"/>
          </rPr>
          <t>Mijakovska Dijana:</t>
        </r>
        <r>
          <rPr>
            <sz val="9"/>
            <color indexed="81"/>
            <rFont val="Tahoma"/>
            <family val="2"/>
          </rPr>
          <t xml:space="preserve">
Decimalfel. Ändrat manuellt i Publiceringsfilen men inte i Kvalitetsnyckeln </t>
        </r>
      </text>
    </comment>
    <comment ref="J387" authorId="2">
      <text>
        <r>
          <rPr>
            <b/>
            <sz val="9"/>
            <color indexed="81"/>
            <rFont val="Tahoma"/>
            <family val="2"/>
          </rPr>
          <t>Mijakovska Dijana:</t>
        </r>
        <r>
          <rPr>
            <sz val="9"/>
            <color indexed="81"/>
            <rFont val="Tahoma"/>
            <family val="2"/>
          </rPr>
          <t xml:space="preserve">
Decimalfel. Ändrat manuellt i Publiceringsfilen men inte i Kvalitetsnyckeln </t>
        </r>
      </text>
    </comment>
  </commentList>
</comments>
</file>

<file path=xl/sharedStrings.xml><?xml version="1.0" encoding="utf-8"?>
<sst xmlns="http://schemas.openxmlformats.org/spreadsheetml/2006/main" count="61677" uniqueCount="1569">
  <si>
    <t>Dubletter</t>
  </si>
  <si>
    <t>Företag</t>
  </si>
  <si>
    <t>Nät</t>
  </si>
  <si>
    <t>Nytt namn i samtliga flikar:</t>
  </si>
  <si>
    <t>Pemco Energi</t>
  </si>
  <si>
    <t>Älvdalen</t>
  </si>
  <si>
    <t>Älvdalen (Pemco Energi)</t>
  </si>
  <si>
    <t>Veolia</t>
  </si>
  <si>
    <t>Knivsta</t>
  </si>
  <si>
    <t>Knivsta (Veolia)</t>
  </si>
  <si>
    <t xml:space="preserve">Vattenfall AB </t>
  </si>
  <si>
    <t>Knivsta (Vattenfall AB )</t>
  </si>
  <si>
    <t>Övertorneå Värmeverk AB</t>
  </si>
  <si>
    <t>Övertorneå</t>
  </si>
  <si>
    <t>Övertorneå (Övertorneå Värmeverk AB)</t>
  </si>
  <si>
    <t>Adven Energilösningar AB</t>
  </si>
  <si>
    <t>Bara</t>
  </si>
  <si>
    <t>Bara (Adven Energilösningar)</t>
  </si>
  <si>
    <t>Boxholm</t>
  </si>
  <si>
    <t>Boxholm  (Adven Energilösningar)</t>
  </si>
  <si>
    <t>Mora</t>
  </si>
  <si>
    <t>Mora (Adven Energilösningar)</t>
  </si>
  <si>
    <t>Orsa</t>
  </si>
  <si>
    <t>Orsa (Adven Energilösningar)</t>
  </si>
  <si>
    <t>Sollefteå</t>
  </si>
  <si>
    <t>Sollefteå (Adven Energilösningar)</t>
  </si>
  <si>
    <t>Staffanstorp</t>
  </si>
  <si>
    <t>Staffanstorp (Adven Energilösningar)</t>
  </si>
  <si>
    <t>Timrå</t>
  </si>
  <si>
    <t>Timrå (Adven Energilösningar)</t>
  </si>
  <si>
    <t>Vaxholm</t>
  </si>
  <si>
    <t>Vaxholm (Adven Energilösningar)</t>
  </si>
  <si>
    <t>Älmhult</t>
  </si>
  <si>
    <t>Älmhult (Adven Energilösningar)</t>
  </si>
  <si>
    <t>Tomma nät att ge namn:</t>
  </si>
  <si>
    <t>Nytt nätnamn i samtliga flikar utom miljövärdesfliken:</t>
  </si>
  <si>
    <t>Arboga Energi AB</t>
  </si>
  <si>
    <t>Arboga Energi AB nät x</t>
  </si>
  <si>
    <t>Peab Energi AB</t>
  </si>
  <si>
    <t xml:space="preserve"> </t>
  </si>
  <si>
    <t>Peab Energi AB nät x</t>
  </si>
  <si>
    <t xml:space="preserve">Rindi Energi AB Filipstad </t>
  </si>
  <si>
    <t>Rindi Energi AB Filipstad  nät x</t>
  </si>
  <si>
    <t>Täby Miljövärme AB</t>
  </si>
  <si>
    <t>Täby Miljövärme AB nät x</t>
  </si>
  <si>
    <t>Köpings kommun</t>
  </si>
  <si>
    <t>Köpings kommun nät x</t>
  </si>
  <si>
    <t>Elektra Värme AB</t>
  </si>
  <si>
    <t>Elektra Värme nät x</t>
  </si>
  <si>
    <t>Söderenergi AB</t>
  </si>
  <si>
    <t>Söderenergi nät x</t>
  </si>
  <si>
    <t>Täby Miljövärme nät x</t>
  </si>
  <si>
    <t>Värmevärden AB</t>
  </si>
  <si>
    <t>-</t>
  </si>
  <si>
    <t>Värmevärden-x</t>
  </si>
  <si>
    <t>Värmevärden-xy</t>
  </si>
  <si>
    <t>Nytt namn på nät i miljövärdesfliken</t>
  </si>
  <si>
    <t>Arvidsjaurs Energi AB</t>
  </si>
  <si>
    <t>Arvidsjaur</t>
  </si>
  <si>
    <t>Arvidsjaur-x</t>
  </si>
  <si>
    <t>Arvidsjaurs Energi AB (ej medlem)</t>
  </si>
  <si>
    <t>Arvidsjaur-xy</t>
  </si>
  <si>
    <t>Bostadsstiftelsen Hyltebostäder</t>
  </si>
  <si>
    <t>Hylte</t>
  </si>
  <si>
    <t>Hylte (Bostadsstiftelsen Hyltebostäder)</t>
  </si>
  <si>
    <t>Bodens Energi AB (Ej medlem)</t>
  </si>
  <si>
    <t>Boden</t>
  </si>
  <si>
    <t>Boden-x</t>
  </si>
  <si>
    <t>BTEA Energi (Ej Medlem)</t>
  </si>
  <si>
    <t>Berg</t>
  </si>
  <si>
    <t>Berg-x</t>
  </si>
  <si>
    <t>Fjärrvärme i Osby AB</t>
  </si>
  <si>
    <t>Osby</t>
  </si>
  <si>
    <t>Osby-x</t>
  </si>
  <si>
    <t xml:space="preserve">Forshaga Energi (Ej medlem) </t>
  </si>
  <si>
    <t>Forshaga</t>
  </si>
  <si>
    <t>Forshaga-x</t>
  </si>
  <si>
    <t>Herrljunga Energi AB (Ej Medlem)</t>
  </si>
  <si>
    <t>Herrljunga</t>
  </si>
  <si>
    <t>Herrljunga-x</t>
  </si>
  <si>
    <t>Jämtlandsvärme (Ej medlem)</t>
  </si>
  <si>
    <t>Strömsund</t>
  </si>
  <si>
    <t>Strömsund-x</t>
  </si>
  <si>
    <t xml:space="preserve">Karlsborg Energi (Ej Medlem) </t>
  </si>
  <si>
    <t>Karlsborg</t>
  </si>
  <si>
    <t>Karlsborg-x</t>
  </si>
  <si>
    <t xml:space="preserve">Karlskoga Energi (Ej Medlem) </t>
  </si>
  <si>
    <t>Karlskoga</t>
  </si>
  <si>
    <t>Karlskoga-x</t>
  </si>
  <si>
    <t>Karlsskoga Energi (Ej medlem)</t>
  </si>
  <si>
    <t>Karlsskoga</t>
  </si>
  <si>
    <t>Karlsskoga-x</t>
  </si>
  <si>
    <t>Lekeberg Bioenergi AB (Ej Medlem)</t>
  </si>
  <si>
    <t>Lekeberg</t>
  </si>
  <si>
    <t>Lekeberg-x</t>
  </si>
  <si>
    <t>Lessebo Fjärrvärme AB</t>
  </si>
  <si>
    <t>Lessebo</t>
  </si>
  <si>
    <t>Lessebo-x</t>
  </si>
  <si>
    <t>Neova (Ej medlem)</t>
  </si>
  <si>
    <t xml:space="preserve">Bjuv </t>
  </si>
  <si>
    <t>Bjuv -x</t>
  </si>
  <si>
    <t>Hultsfred</t>
  </si>
  <si>
    <t>Hultsfred-x</t>
  </si>
  <si>
    <t>Kramfors</t>
  </si>
  <si>
    <t>Kramfors-x</t>
  </si>
  <si>
    <t>Tanum</t>
  </si>
  <si>
    <t>Tanum-x</t>
  </si>
  <si>
    <t>Tibro</t>
  </si>
  <si>
    <t>Tibro-x</t>
  </si>
  <si>
    <t>Valdemarsvik</t>
  </si>
  <si>
    <t>Valdemarsvik-x</t>
  </si>
  <si>
    <t>Årjäng</t>
  </si>
  <si>
    <t>Årjäng-x</t>
  </si>
  <si>
    <t>Östhammar</t>
  </si>
  <si>
    <t>Östhammar-x</t>
  </si>
  <si>
    <t>Norrenergi AB</t>
  </si>
  <si>
    <t>Stockholm</t>
  </si>
  <si>
    <t>Stochkolm-x</t>
  </si>
  <si>
    <t>Pajala Värmeverk AB (Ej Medlem)</t>
  </si>
  <si>
    <t>Pajala</t>
  </si>
  <si>
    <t>Pajala-x</t>
  </si>
  <si>
    <t>Älvdalen-x</t>
  </si>
  <si>
    <t>POB Energi i Aneby AB</t>
  </si>
  <si>
    <t>Aneby</t>
  </si>
  <si>
    <t>Aneby-x</t>
  </si>
  <si>
    <t>Surahammars Kommunal Teknik AB</t>
  </si>
  <si>
    <t>Surahammar</t>
  </si>
  <si>
    <t>Surahammar-x</t>
  </si>
  <si>
    <t>Svalövs kommun (Ej medlem)</t>
  </si>
  <si>
    <t>Svalöv</t>
  </si>
  <si>
    <t>Svalöv-x</t>
  </si>
  <si>
    <t>Sölvesborgs Fjärrvärme AB (Ej medlem)</t>
  </si>
  <si>
    <t>Sölvesborg</t>
  </si>
  <si>
    <t>Sölvesborg-x</t>
  </si>
  <si>
    <t>Torsås Fjärrvärmenät (Ej medlem)</t>
  </si>
  <si>
    <t>Torsås</t>
  </si>
  <si>
    <t>Torsås-x</t>
  </si>
  <si>
    <t>Malma Kraft &amp; Värme AB</t>
  </si>
  <si>
    <t>Malmköping</t>
  </si>
  <si>
    <t>Malmköping-x</t>
  </si>
  <si>
    <t>Åsele Energi AB (Ej Medlem)</t>
  </si>
  <si>
    <t>Åsele</t>
  </si>
  <si>
    <t>Åsele-x</t>
  </si>
  <si>
    <t>Älvsbyns Energi AB</t>
  </si>
  <si>
    <t>Älvsbyn</t>
  </si>
  <si>
    <t>Älvsbyn-x</t>
  </si>
  <si>
    <t>Överkalix kommun (Ej medlem)</t>
  </si>
  <si>
    <t>Överkalix</t>
  </si>
  <si>
    <t>Överkalix-x</t>
  </si>
  <si>
    <t>Övertorneå Energi som tas bort</t>
  </si>
  <si>
    <t>Övertorneå-x</t>
  </si>
  <si>
    <t>Kommun/ förbund</t>
  </si>
  <si>
    <t>År</t>
  </si>
  <si>
    <t>Total egen hetvattenproduktion (GWh)</t>
  </si>
  <si>
    <t>Tillförd bränslemängd (autosumma) (GWh)</t>
  </si>
  <si>
    <t>Stenkol (GWh)</t>
  </si>
  <si>
    <t>Eldningsolja 1 (GWh)</t>
  </si>
  <si>
    <t>Eldningsolja 2 inkl WRD (GWh)</t>
  </si>
  <si>
    <t>Eldningsolja 3-5 (GWh)</t>
  </si>
  <si>
    <t>Naturgas (GWh)</t>
  </si>
  <si>
    <t>Avfallsgas från stålindustrin (GWh)</t>
  </si>
  <si>
    <t>Övrigt fossilt bränsle (GWh)</t>
  </si>
  <si>
    <t>Kommentera svar ()</t>
  </si>
  <si>
    <t>Grot (GWh)</t>
  </si>
  <si>
    <t>Bark (GWh)</t>
  </si>
  <si>
    <t>Stamvedsflis (GWh)</t>
  </si>
  <si>
    <t>Sågspån och kutterspån (GWh)</t>
  </si>
  <si>
    <t>Åkergrödor (GWh)</t>
  </si>
  <si>
    <t>Övrigt oförädlat biobränsle (GWh)</t>
  </si>
  <si>
    <t>Primära trädbränslen ()</t>
  </si>
  <si>
    <t>Träpellets (GWh)</t>
  </si>
  <si>
    <t>Träbriketter (GWh)</t>
  </si>
  <si>
    <t>Träpulver (GWh)</t>
  </si>
  <si>
    <t>RT flis (GWh)</t>
  </si>
  <si>
    <t>Tallbecksolja (GWh)</t>
  </si>
  <si>
    <t>Bioolja (GWh)</t>
  </si>
  <si>
    <t>Övrigt förädlat biobränsle (GWh)</t>
  </si>
  <si>
    <t>Torv (GWh)</t>
  </si>
  <si>
    <t>Avfall (GWh)</t>
  </si>
  <si>
    <t>Tillförd olja (fossil) vid avfallsförbränning (GWh)</t>
  </si>
  <si>
    <t>Andelen klimatgaser med fossilt ursprung för avfall ()</t>
  </si>
  <si>
    <t>Värde enligt ovan. (%)</t>
  </si>
  <si>
    <t>Deponi- och rötgas (GWh)</t>
  </si>
  <si>
    <t>Produktion med rökgaskondensering (GWh)</t>
  </si>
  <si>
    <t>Värmepumpar värmeproduktion (GWh)</t>
  </si>
  <si>
    <t>Värmekälla till värmepumpar ()</t>
  </si>
  <si>
    <t>Värmepumpar elförbrukning (GWh)</t>
  </si>
  <si>
    <t>Elpannor värmeproduktion (GWh)</t>
  </si>
  <si>
    <t>Elpannor elförbrukning (GWh)</t>
  </si>
  <si>
    <t>Andel av rökgaskondensering med förnybart ursprung (biobränsle) (%)</t>
  </si>
  <si>
    <t>Andel av rökgaskondensering som kommer från avfallsbränsle (oavsett biogen eller plast) (%)</t>
  </si>
  <si>
    <t>Andel av rökgaskondensering som har fossilt ursprung (%)</t>
  </si>
  <si>
    <t>Andel av rökgaskondensering med torv som ursprung (%)</t>
  </si>
  <si>
    <t>ET</t>
  </si>
  <si>
    <t>Nej</t>
  </si>
  <si>
    <t>Schablon</t>
  </si>
  <si>
    <t>Testnät</t>
  </si>
  <si>
    <t>Sjövatten</t>
  </si>
  <si>
    <t>'P1053=LPG'</t>
  </si>
  <si>
    <t>Ingen redovisning</t>
  </si>
  <si>
    <t>Adven Värme AB.</t>
  </si>
  <si>
    <t>Bollstabruk</t>
  </si>
  <si>
    <t>Bräcke, Enycon</t>
  </si>
  <si>
    <t>Friggesund</t>
  </si>
  <si>
    <t>Funäsdalen</t>
  </si>
  <si>
    <t>Hede</t>
  </si>
  <si>
    <t>Lenhovda</t>
  </si>
  <si>
    <t>Långsele</t>
  </si>
  <si>
    <t>Näsåker</t>
  </si>
  <si>
    <t>Ramsele</t>
  </si>
  <si>
    <t>Sösdala</t>
  </si>
  <si>
    <t>Affärsverken Karlskrona AB</t>
  </si>
  <si>
    <t>Fridlevstad</t>
  </si>
  <si>
    <t>Jämjö</t>
  </si>
  <si>
    <t>Karlskrona</t>
  </si>
  <si>
    <t>Nättraby</t>
  </si>
  <si>
    <t>Sturkö</t>
  </si>
  <si>
    <t>Alingsås Energi Nät AB</t>
  </si>
  <si>
    <t>Alingsås</t>
  </si>
  <si>
    <t>'-'</t>
  </si>
  <si>
    <t>Alvesta Energi AB</t>
  </si>
  <si>
    <t>Alvesta</t>
  </si>
  <si>
    <t>Moheda</t>
  </si>
  <si>
    <t>Vislanda</t>
  </si>
  <si>
    <t>Aneby Miljö &amp; Vatten AB</t>
  </si>
  <si>
    <t xml:space="preserve">Aneby </t>
  </si>
  <si>
    <t>Arvika Fjärrvärme AB</t>
  </si>
  <si>
    <t>Arvika</t>
  </si>
  <si>
    <t>Bengtsfors Energi</t>
  </si>
  <si>
    <t>Bengtsfors</t>
  </si>
  <si>
    <t>Bodens Energi AB</t>
  </si>
  <si>
    <t>Bollnäs Energi AB</t>
  </si>
  <si>
    <t>Arbrå</t>
  </si>
  <si>
    <t>Bollnäs</t>
  </si>
  <si>
    <t>Kilafors</t>
  </si>
  <si>
    <t>Borgholm Energi AB</t>
  </si>
  <si>
    <t>Borgholm</t>
  </si>
  <si>
    <t>Löttorp</t>
  </si>
  <si>
    <t>Borlänge Energi AB</t>
  </si>
  <si>
    <t>Borlänge</t>
  </si>
  <si>
    <t>Renat avloppsvatten</t>
  </si>
  <si>
    <t>Ornäs</t>
  </si>
  <si>
    <t>Torsång</t>
  </si>
  <si>
    <t>Borås Energi &amp; Miljö AB</t>
  </si>
  <si>
    <t>Borås</t>
  </si>
  <si>
    <t>Fristad</t>
  </si>
  <si>
    <t>Bromölla Fjärrvärme AB</t>
  </si>
  <si>
    <t>Bromölla</t>
  </si>
  <si>
    <t>BTEA Energi AB</t>
  </si>
  <si>
    <t>C4 Energi AB</t>
  </si>
  <si>
    <t>Fjälkinge</t>
  </si>
  <si>
    <t>Kristianstad</t>
  </si>
  <si>
    <t>'- gasol används inte längre'</t>
  </si>
  <si>
    <t>Dala Energi Värme AB</t>
  </si>
  <si>
    <t>Insjön</t>
  </si>
  <si>
    <t>'Ingen kommentar'</t>
  </si>
  <si>
    <t>Leksand</t>
  </si>
  <si>
    <t>'Uppgift EO1 är korrekt'</t>
  </si>
  <si>
    <t>Degerfors Energi AB</t>
  </si>
  <si>
    <t>HVC Degerfors</t>
  </si>
  <si>
    <t>Kvarnberg (sammanslaget med HVC Degerfors 2018)</t>
  </si>
  <si>
    <t>Svartå</t>
  </si>
  <si>
    <t>Åtorp</t>
  </si>
  <si>
    <t>E.ON Värme Sverige AB</t>
  </si>
  <si>
    <t>Bro</t>
  </si>
  <si>
    <t>Bålsta</t>
  </si>
  <si>
    <t>Coop</t>
  </si>
  <si>
    <t>HÖK</t>
  </si>
  <si>
    <t>' - '</t>
  </si>
  <si>
    <t>Järfälla</t>
  </si>
  <si>
    <t>Kungsängen</t>
  </si>
  <si>
    <t>Lågtempererad spillvärme</t>
  </si>
  <si>
    <t>Malmö</t>
  </si>
  <si>
    <t>Norrköping - Söderköping</t>
  </si>
  <si>
    <t>Täby E.ON.</t>
  </si>
  <si>
    <t>Vallentuna</t>
  </si>
  <si>
    <t>Österåker</t>
  </si>
  <si>
    <t>Eda Energi AB</t>
  </si>
  <si>
    <t>Nils-Erik Einarsson</t>
  </si>
  <si>
    <t>Eksjö Energi AB</t>
  </si>
  <si>
    <t>Eksjö</t>
  </si>
  <si>
    <t>Ingatorp</t>
  </si>
  <si>
    <t>Mariannelund</t>
  </si>
  <si>
    <t>Emmaboda Energi och Miljö AB</t>
  </si>
  <si>
    <t>Emmaboda</t>
  </si>
  <si>
    <t>Ena Energi AB</t>
  </si>
  <si>
    <t>Enköping</t>
  </si>
  <si>
    <t>'Förbrukning skiljer mellan åren'</t>
  </si>
  <si>
    <t>'Produktion skiljer mellan åren'</t>
  </si>
  <si>
    <t>Eskilstuna Energi &amp; Miljö AB</t>
  </si>
  <si>
    <t>Eskilstuna-Torshälla</t>
  </si>
  <si>
    <t>Kvicksund</t>
  </si>
  <si>
    <t>Ärla</t>
  </si>
  <si>
    <t>Falbygdens Energi AB</t>
  </si>
  <si>
    <t>Falköping</t>
  </si>
  <si>
    <t>Floby</t>
  </si>
  <si>
    <t>Stenstorp</t>
  </si>
  <si>
    <t>Falkenberg Energi AB</t>
  </si>
  <si>
    <t>Falkenberg</t>
  </si>
  <si>
    <t>Ullared-närvärme</t>
  </si>
  <si>
    <t>Vessigebro-närvärme</t>
  </si>
  <si>
    <t>Falu Energi &amp; Vatten AB</t>
  </si>
  <si>
    <t>Bjursås</t>
  </si>
  <si>
    <t>Falun</t>
  </si>
  <si>
    <t>'Gasol (Propan 95)'</t>
  </si>
  <si>
    <t>Grycksbo</t>
  </si>
  <si>
    <t>Svärdsjö</t>
  </si>
  <si>
    <t>Finspångs Tekniska Verk AB</t>
  </si>
  <si>
    <t>Finspång</t>
  </si>
  <si>
    <t>Gislaved Energi AB</t>
  </si>
  <si>
    <t>Gislaved</t>
  </si>
  <si>
    <t>Hestra</t>
  </si>
  <si>
    <t>DS</t>
  </si>
  <si>
    <t>Reftele</t>
  </si>
  <si>
    <t>'Stora problem med rosterna i brännarna'</t>
  </si>
  <si>
    <t>Gotlands Energi AB</t>
  </si>
  <si>
    <t>Hemse</t>
  </si>
  <si>
    <t>Klintehamn</t>
  </si>
  <si>
    <t>Slite</t>
  </si>
  <si>
    <t>Visby</t>
  </si>
  <si>
    <t>Gällivare Energi AB</t>
  </si>
  <si>
    <t>Gällivare-Malmberget</t>
  </si>
  <si>
    <t>Gävle Energi AB</t>
  </si>
  <si>
    <t>Gävle</t>
  </si>
  <si>
    <t>Göteborg Energi AB</t>
  </si>
  <si>
    <t>Ale Fjärrvärme AB</t>
  </si>
  <si>
    <t>Göteborg Ale</t>
  </si>
  <si>
    <t>Mätvärde</t>
  </si>
  <si>
    <t>Göteborg Ale Bra Miljöval</t>
  </si>
  <si>
    <t>Partille Energi AB (Skall döljas)</t>
  </si>
  <si>
    <t>Skarvik</t>
  </si>
  <si>
    <t>Sörred Energi AB</t>
  </si>
  <si>
    <t>Götene Vatten &amp; Värme AB</t>
  </si>
  <si>
    <t>Götene</t>
  </si>
  <si>
    <t>Hällekis</t>
  </si>
  <si>
    <t>Habo Energi AB</t>
  </si>
  <si>
    <t>Habo</t>
  </si>
  <si>
    <t>Hagfors Energi</t>
  </si>
  <si>
    <t>Ekshärad</t>
  </si>
  <si>
    <t>Hagfors</t>
  </si>
  <si>
    <t>Sunnemo</t>
  </si>
  <si>
    <t>Halmstads Energi och Miljö AB</t>
  </si>
  <si>
    <t>Halmstad</t>
  </si>
  <si>
    <t>Hammarö Energi AB</t>
  </si>
  <si>
    <t>Skoghall</t>
  </si>
  <si>
    <t>Haparanda Värmeverk AB</t>
  </si>
  <si>
    <t>Min miljö</t>
  </si>
  <si>
    <t>Övriga nät</t>
  </si>
  <si>
    <t>Hedemora Energi AB</t>
  </si>
  <si>
    <t>Hedemora</t>
  </si>
  <si>
    <t>Långshyttan</t>
  </si>
  <si>
    <t>St Skedvi</t>
  </si>
  <si>
    <t>Säter</t>
  </si>
  <si>
    <t>Herrljunga Elektriska AB</t>
  </si>
  <si>
    <t>Hjo Energi AB</t>
  </si>
  <si>
    <t>Hjo</t>
  </si>
  <si>
    <t>Härnösand Energi &amp; Miljö AB</t>
  </si>
  <si>
    <t>Härnösand</t>
  </si>
  <si>
    <t>Hässleholm Miljö AB</t>
  </si>
  <si>
    <t>Hässleholm</t>
  </si>
  <si>
    <t>Tyringe</t>
  </si>
  <si>
    <t>'Endast HVO'</t>
  </si>
  <si>
    <t>Höganäs Energi AB</t>
  </si>
  <si>
    <t>Höganäs</t>
  </si>
  <si>
    <t>Jokkmokks Värmeverk AB</t>
  </si>
  <si>
    <t>Jokkmokk</t>
  </si>
  <si>
    <t>Jämtkraft AB</t>
  </si>
  <si>
    <t>Brunflo</t>
  </si>
  <si>
    <t>Krokom</t>
  </si>
  <si>
    <t>Åre</t>
  </si>
  <si>
    <t>Östersund</t>
  </si>
  <si>
    <t>Jämtlands Värme AB</t>
  </si>
  <si>
    <t>Jönköping Energi AB</t>
  </si>
  <si>
    <t>Gränna</t>
  </si>
  <si>
    <t>Jönköping</t>
  </si>
  <si>
    <t>Stigamo</t>
  </si>
  <si>
    <t>Kalmar Energi Värme AB</t>
  </si>
  <si>
    <t>Kalmar</t>
  </si>
  <si>
    <t>Karlsborgs Värme AB</t>
  </si>
  <si>
    <t>Ja</t>
  </si>
  <si>
    <t>Karlshamn Energi AB</t>
  </si>
  <si>
    <t>Karlshamn</t>
  </si>
  <si>
    <t>Karlskoga Kraftvärmeverk AB</t>
  </si>
  <si>
    <t>Karlstads Energi AB</t>
  </si>
  <si>
    <t>Karlstad</t>
  </si>
  <si>
    <t>Kils Energi AB</t>
  </si>
  <si>
    <t>Kil</t>
  </si>
  <si>
    <t>Kiruna Kraft AB</t>
  </si>
  <si>
    <t>Kiruna C</t>
  </si>
  <si>
    <t>Vittangi</t>
  </si>
  <si>
    <t>Kraftringen Energi AB (publ)</t>
  </si>
  <si>
    <t>Eslöv-Lund-Lomma m fl</t>
  </si>
  <si>
    <t>Geotermi</t>
  </si>
  <si>
    <t>Klippan-Ljungbyhed-Östra Ljungby</t>
  </si>
  <si>
    <t>Kungälv Energi AB</t>
  </si>
  <si>
    <t>HVC Kode</t>
  </si>
  <si>
    <t>HVC Kärna</t>
  </si>
  <si>
    <t>HVC Stålkullen</t>
  </si>
  <si>
    <t>Kungälv</t>
  </si>
  <si>
    <t>Landskrona Energi AB</t>
  </si>
  <si>
    <t>Landskrona</t>
  </si>
  <si>
    <t>Lantmännen Agrovärme AB</t>
  </si>
  <si>
    <t>Bjärnum</t>
  </si>
  <si>
    <t>Ed</t>
  </si>
  <si>
    <t>Grästorp</t>
  </si>
  <si>
    <t>Horred</t>
  </si>
  <si>
    <t>Kvänum</t>
  </si>
  <si>
    <t>Skurup</t>
  </si>
  <si>
    <t>Vinslöv</t>
  </si>
  <si>
    <t>Ödeshög</t>
  </si>
  <si>
    <t>Örsundsbro</t>
  </si>
  <si>
    <t>Laxå Värme AB</t>
  </si>
  <si>
    <t>Laxå</t>
  </si>
  <si>
    <t>Lekeberg Bioenergi AB</t>
  </si>
  <si>
    <t>Lerum Fjärrvärme AB</t>
  </si>
  <si>
    <t>Floda</t>
  </si>
  <si>
    <t>Gråbo</t>
  </si>
  <si>
    <t>Lerum</t>
  </si>
  <si>
    <t>Stenkullen</t>
  </si>
  <si>
    <t>LEVA i Lysekil AB</t>
  </si>
  <si>
    <t>Lysekil</t>
  </si>
  <si>
    <t>Lidköping Energi AB</t>
  </si>
  <si>
    <t>Klimateffektiv fjärrvärme</t>
  </si>
  <si>
    <t>Lidköping</t>
  </si>
  <si>
    <t>Lilla Edets Fjärrvärme AB</t>
  </si>
  <si>
    <t>Lilla Edet</t>
  </si>
  <si>
    <t>Linde Energi AB</t>
  </si>
  <si>
    <t>Frövi</t>
  </si>
  <si>
    <t>Guldsmedhyttan</t>
  </si>
  <si>
    <t>Lindesberg</t>
  </si>
  <si>
    <t>Spillvattennät</t>
  </si>
  <si>
    <t>Vedevåg</t>
  </si>
  <si>
    <t>Ljungby Energi AB</t>
  </si>
  <si>
    <t>Ljungby</t>
  </si>
  <si>
    <t>Ljusdal Energi AB</t>
  </si>
  <si>
    <t>Färila</t>
  </si>
  <si>
    <t>Järvsö</t>
  </si>
  <si>
    <t>Ljusdal</t>
  </si>
  <si>
    <t>Luleå Energi AB</t>
  </si>
  <si>
    <t>Luleå</t>
  </si>
  <si>
    <t>Luleå Klimatneutral</t>
  </si>
  <si>
    <t>Råneå</t>
  </si>
  <si>
    <t>Malung-Sälens kommun</t>
  </si>
  <si>
    <t>Malung</t>
  </si>
  <si>
    <t>Mark Kraftvärme AB</t>
  </si>
  <si>
    <t>Assberg - Fritslanäten</t>
  </si>
  <si>
    <t>Hyssna</t>
  </si>
  <si>
    <t>Mjölby-Svartådalen Energi AB</t>
  </si>
  <si>
    <t>Mjölby</t>
  </si>
  <si>
    <t>Mullsjö Energi &amp; Miljö AB</t>
  </si>
  <si>
    <t>Mullsjö</t>
  </si>
  <si>
    <t>Munkfors Energi AB</t>
  </si>
  <si>
    <t>Munkfors</t>
  </si>
  <si>
    <t>Mälarenergi AB</t>
  </si>
  <si>
    <t>Kungsör</t>
  </si>
  <si>
    <t>Västerås</t>
  </si>
  <si>
    <t>Västerås Miljömärkt</t>
  </si>
  <si>
    <t>Mölndal Energi AB</t>
  </si>
  <si>
    <t>Mölndal</t>
  </si>
  <si>
    <t>Mölndal Biovärmepaket</t>
  </si>
  <si>
    <t>Mölndal Bra Miljöval</t>
  </si>
  <si>
    <t>Neova AB</t>
  </si>
  <si>
    <t>Billesholm</t>
  </si>
  <si>
    <t>'Bara Eo1'</t>
  </si>
  <si>
    <t>Bjuv</t>
  </si>
  <si>
    <t>Gimo</t>
  </si>
  <si>
    <t>'Hög olja pga byte fastbränslepanna'</t>
  </si>
  <si>
    <t>'Rökgaskondensering Ingår i Torv och flis'</t>
  </si>
  <si>
    <t>Smålandsstenar</t>
  </si>
  <si>
    <t>Åstorp</t>
  </si>
  <si>
    <t>Österbybruk</t>
  </si>
  <si>
    <t>'Bara EO1'</t>
  </si>
  <si>
    <t>'Elpanna finns men ej använt'</t>
  </si>
  <si>
    <t>'Använder endas olja'</t>
  </si>
  <si>
    <t>Njudung Energi Sävsjö AB</t>
  </si>
  <si>
    <t>Rörvik</t>
  </si>
  <si>
    <t>Sävsjö</t>
  </si>
  <si>
    <t>Njudung Energi Vetlanda AB</t>
  </si>
  <si>
    <t>Holsby</t>
  </si>
  <si>
    <t>Vetlanda</t>
  </si>
  <si>
    <t>Nordanstigs Fjärrvärme AB</t>
  </si>
  <si>
    <t>Nordanstig</t>
  </si>
  <si>
    <t>Sundbyberg-Solna</t>
  </si>
  <si>
    <t>Norrtälje Energi AB</t>
  </si>
  <si>
    <t>Hallstavik</t>
  </si>
  <si>
    <t>Norrtälje</t>
  </si>
  <si>
    <t>Rimbo</t>
  </si>
  <si>
    <t>Nossebro Energi Värme AB</t>
  </si>
  <si>
    <t>Essunga</t>
  </si>
  <si>
    <t>Nybro Energi AB</t>
  </si>
  <si>
    <t>Nybro stadsnät</t>
  </si>
  <si>
    <t>Nässjö Affärsverk AB</t>
  </si>
  <si>
    <t>Anneberg</t>
  </si>
  <si>
    <t>Bodafors</t>
  </si>
  <si>
    <t>Nässjö</t>
  </si>
  <si>
    <t>Olofströms Kraft AB</t>
  </si>
  <si>
    <t>Olofström</t>
  </si>
  <si>
    <t>'Energi för varmhållning'</t>
  </si>
  <si>
    <t>Orust Kommun</t>
  </si>
  <si>
    <t>Ellös fjärrvärmenät</t>
  </si>
  <si>
    <t>Henåns fjärrvärmenät</t>
  </si>
  <si>
    <t>Oskarshamn Energi AB</t>
  </si>
  <si>
    <t>Oskarshamn</t>
  </si>
  <si>
    <t>Oxelö Energi AB</t>
  </si>
  <si>
    <t>Oxelösund</t>
  </si>
  <si>
    <t>Pajala Värmeverk AB</t>
  </si>
  <si>
    <t>Partille Energi AB</t>
  </si>
  <si>
    <t>Partille</t>
  </si>
  <si>
    <t>Bångbro</t>
  </si>
  <si>
    <t>Näsviken</t>
  </si>
  <si>
    <t>Perstorps Fjärrvärme AB</t>
  </si>
  <si>
    <t>Perstorp</t>
  </si>
  <si>
    <t>'Endast olja för inspektion'</t>
  </si>
  <si>
    <t>PiteEnergi AB</t>
  </si>
  <si>
    <t>Norrfjärden</t>
  </si>
  <si>
    <t>Piteå</t>
  </si>
  <si>
    <t>'Gasol'</t>
  </si>
  <si>
    <t>Rosvik</t>
  </si>
  <si>
    <t>Sjulnäs</t>
  </si>
  <si>
    <t>Ragunda Energi och Teknik AB</t>
  </si>
  <si>
    <t>Hammarstrand</t>
  </si>
  <si>
    <t>Ronneby Miljö och Teknik AB</t>
  </si>
  <si>
    <t>Bräkne-Hoby</t>
  </si>
  <si>
    <t>Ronneby-Kallinge</t>
  </si>
  <si>
    <t>Sala-Heby Energi AB</t>
  </si>
  <si>
    <t>Sala-Heby</t>
  </si>
  <si>
    <t>Sandviken Energi AB</t>
  </si>
  <si>
    <t>Sandviken</t>
  </si>
  <si>
    <t>SEVAB Strängnäs Energi AB</t>
  </si>
  <si>
    <t>Strängnäs</t>
  </si>
  <si>
    <t>Skara Energi AB</t>
  </si>
  <si>
    <t>Skara</t>
  </si>
  <si>
    <t>Skellefteå Kraft AB</t>
  </si>
  <si>
    <t>Boliden</t>
  </si>
  <si>
    <t>Bureå</t>
  </si>
  <si>
    <t>et</t>
  </si>
  <si>
    <t>Burträsk</t>
  </si>
  <si>
    <t>Byske</t>
  </si>
  <si>
    <t>Jörn</t>
  </si>
  <si>
    <t>Kristineberg - Ej Fjärrvärme</t>
  </si>
  <si>
    <t>Kåge</t>
  </si>
  <si>
    <t>Lidbacken</t>
  </si>
  <si>
    <t>Lycksele</t>
  </si>
  <si>
    <t>Lövånger</t>
  </si>
  <si>
    <t>Malå</t>
  </si>
  <si>
    <t>Norsjö</t>
  </si>
  <si>
    <t>Robertsfors</t>
  </si>
  <si>
    <t>Skellefteå</t>
  </si>
  <si>
    <t>Storuman</t>
  </si>
  <si>
    <t>Ursviken-Skelleftehamn</t>
  </si>
  <si>
    <t>Vindeln</t>
  </si>
  <si>
    <t>Ånäset</t>
  </si>
  <si>
    <t>Skövde Energi AB</t>
  </si>
  <si>
    <t>Skultorp</t>
  </si>
  <si>
    <t>Skövde</t>
  </si>
  <si>
    <t>Stöpen</t>
  </si>
  <si>
    <t>Tidan</t>
  </si>
  <si>
    <t>Timmersdala</t>
  </si>
  <si>
    <t>Smedjebacken Energi AB</t>
  </si>
  <si>
    <t>Smedjebacken</t>
  </si>
  <si>
    <t>Söderbärke</t>
  </si>
  <si>
    <t>Sollentuna Energi &amp; Miljö AB</t>
  </si>
  <si>
    <t>Sollentuna</t>
  </si>
  <si>
    <t>Solör Bioenergi Svenljunga AB</t>
  </si>
  <si>
    <t>Svenljunga</t>
  </si>
  <si>
    <t>Statkraft Värme AB</t>
  </si>
  <si>
    <t>Kungsbacka</t>
  </si>
  <si>
    <t>Trosa</t>
  </si>
  <si>
    <t>Vagnhärad</t>
  </si>
  <si>
    <t>Åmål</t>
  </si>
  <si>
    <t>Stenungsunds Energi och Miljö AB</t>
  </si>
  <si>
    <t>Stenungsund</t>
  </si>
  <si>
    <t>Stora Höga</t>
  </si>
  <si>
    <t>Stockholm Exergi AB</t>
  </si>
  <si>
    <t>Lidingö (för prisrapport)</t>
  </si>
  <si>
    <t>Nacka (för prisrapport)</t>
  </si>
  <si>
    <t>Sigtuna (för prisrapport)</t>
  </si>
  <si>
    <t>Stockholm – Aktiv (för prisrapport)</t>
  </si>
  <si>
    <t>Stockholm - Förskottsbetalning 24 (för prissättnin</t>
  </si>
  <si>
    <t>Stockholm - Förskottsbetalning 60 (för prissättnin</t>
  </si>
  <si>
    <t>Stockholm – Invest24 (för prisrapport)</t>
  </si>
  <si>
    <t>Stockholm – Invest60 (för prisrapport)</t>
  </si>
  <si>
    <t>Stockholm (för prissättning)</t>
  </si>
  <si>
    <t>Täby</t>
  </si>
  <si>
    <t>Upplands Väsby (för prisrapport)</t>
  </si>
  <si>
    <t>Sundsvall Energi AB</t>
  </si>
  <si>
    <t>Kvissleby</t>
  </si>
  <si>
    <t>Matfors</t>
  </si>
  <si>
    <t>Sundsvall</t>
  </si>
  <si>
    <t>Tunadal</t>
  </si>
  <si>
    <t>Övriga nät Sundsvall energi</t>
  </si>
  <si>
    <t>Söderhamn Nära AB</t>
  </si>
  <si>
    <t>Ljusne</t>
  </si>
  <si>
    <t>'Avveckling gasol vid drifttagning av PC-Roland'</t>
  </si>
  <si>
    <t>Mohed</t>
  </si>
  <si>
    <t>Sandarne</t>
  </si>
  <si>
    <t>Rökgaskondensat</t>
  </si>
  <si>
    <t>Söderhamn</t>
  </si>
  <si>
    <t>Södertörns Fjärrvärme AB</t>
  </si>
  <si>
    <t>Södertörn Fjärrvärme Totalt</t>
  </si>
  <si>
    <t xml:space="preserve">Sölvesborgs Energi och Vatten AB  </t>
  </si>
  <si>
    <t>Tekniska Verken i Linköping AB</t>
  </si>
  <si>
    <t>Borensberg</t>
  </si>
  <si>
    <t>Katrineholm</t>
  </si>
  <si>
    <t>Kisa</t>
  </si>
  <si>
    <t>Linköping</t>
  </si>
  <si>
    <t>Skärblacka</t>
  </si>
  <si>
    <t>Åtvidaberg</t>
  </si>
  <si>
    <t>Telge Nät AB</t>
  </si>
  <si>
    <t>Järna</t>
  </si>
  <si>
    <t>Södertälje</t>
  </si>
  <si>
    <t>Tidaholms Energi AB</t>
  </si>
  <si>
    <t>Tidaholm</t>
  </si>
  <si>
    <t>Tierps Fjärrvärme AB</t>
  </si>
  <si>
    <t>Tierp</t>
  </si>
  <si>
    <t>Örbyhus</t>
  </si>
  <si>
    <t>Torsby kommun</t>
  </si>
  <si>
    <t>Torsås fjärrvärmenät AB</t>
  </si>
  <si>
    <t>Tranås Energi AB</t>
  </si>
  <si>
    <t>Tranås</t>
  </si>
  <si>
    <t>'Endast E01'</t>
  </si>
  <si>
    <t>Trelleborgs Fjärrvärme AB</t>
  </si>
  <si>
    <t>Trelleborg</t>
  </si>
  <si>
    <t>Trollhättan Energi AB</t>
  </si>
  <si>
    <t>Trollhättan</t>
  </si>
  <si>
    <t>Uddevalla Energi AB</t>
  </si>
  <si>
    <t>Ljungskile</t>
  </si>
  <si>
    <t>Munkedal</t>
  </si>
  <si>
    <t>Uddevalla</t>
  </si>
  <si>
    <t>Ulricehamns Energi AB</t>
  </si>
  <si>
    <t>Gällstad</t>
  </si>
  <si>
    <t>Timmele</t>
  </si>
  <si>
    <t>Ulricehamn</t>
  </si>
  <si>
    <t>Umeå Energi AB</t>
  </si>
  <si>
    <t>Bjurholm</t>
  </si>
  <si>
    <t>Hörnefors</t>
  </si>
  <si>
    <t>Sävar</t>
  </si>
  <si>
    <t>Umeå</t>
  </si>
  <si>
    <t>Vaggeryds Energi AB</t>
  </si>
  <si>
    <t>Skillingaryd</t>
  </si>
  <si>
    <t>'Torv pga bränslebrist skogsbränslen'</t>
  </si>
  <si>
    <t>Vaggeryd</t>
  </si>
  <si>
    <t>'Torv pga brist skogsbränsle'</t>
  </si>
  <si>
    <t>Vara Energi Värme AB</t>
  </si>
  <si>
    <t>Vara</t>
  </si>
  <si>
    <t>Varberg Energi AB</t>
  </si>
  <si>
    <t>Tvååker (Närv)</t>
  </si>
  <si>
    <t>Varberg (Fjv)</t>
  </si>
  <si>
    <t>Veddige</t>
  </si>
  <si>
    <t>Vasa Värme Holding AB</t>
  </si>
  <si>
    <t>Alfta</t>
  </si>
  <si>
    <t>Edsbyn</t>
  </si>
  <si>
    <t>Kalix</t>
  </si>
  <si>
    <t>Krokek</t>
  </si>
  <si>
    <t>Vattenfall AB</t>
  </si>
  <si>
    <t>Askersund</t>
  </si>
  <si>
    <t>Drefviken</t>
  </si>
  <si>
    <t>Gustavsberg</t>
  </si>
  <si>
    <t>Motala</t>
  </si>
  <si>
    <t>Nyköping</t>
  </si>
  <si>
    <t>Saltsjöbaden</t>
  </si>
  <si>
    <t>Storvreta</t>
  </si>
  <si>
    <t>Uppsala</t>
  </si>
  <si>
    <t>Vänersborg</t>
  </si>
  <si>
    <t>Ekerö</t>
  </si>
  <si>
    <t>Vimmerby Energi &amp; Miljö AB</t>
  </si>
  <si>
    <t>Frödinge</t>
  </si>
  <si>
    <t>Gullringen</t>
  </si>
  <si>
    <t>Storebro</t>
  </si>
  <si>
    <t>Södra Vi</t>
  </si>
  <si>
    <t>Vimmerby</t>
  </si>
  <si>
    <t>VänerEnergi AB</t>
  </si>
  <si>
    <t>Lyrestad</t>
  </si>
  <si>
    <t>Mariestad</t>
  </si>
  <si>
    <t>Töreboda</t>
  </si>
  <si>
    <t>Avesta</t>
  </si>
  <si>
    <t>Delsbo</t>
  </si>
  <si>
    <t>Grums</t>
  </si>
  <si>
    <t>Grythyttan</t>
  </si>
  <si>
    <t>Hofors(Värmevärden)</t>
  </si>
  <si>
    <t>Hudiksvall</t>
  </si>
  <si>
    <t>Hällefors</t>
  </si>
  <si>
    <t>Iggesund</t>
  </si>
  <si>
    <t>Kopparberg</t>
  </si>
  <si>
    <t>Kristinehamn(Värmevärden)</t>
  </si>
  <si>
    <t>Nynäshamn</t>
  </si>
  <si>
    <t>Stöllet</t>
  </si>
  <si>
    <t xml:space="preserve">Säffle </t>
  </si>
  <si>
    <t>Sörforsa</t>
  </si>
  <si>
    <t>Torsby</t>
  </si>
  <si>
    <t>Övrigt (närvärme, närkyla m m)</t>
  </si>
  <si>
    <t>Värnamo Energi AB</t>
  </si>
  <si>
    <t>Bor</t>
  </si>
  <si>
    <t>Bredaryd</t>
  </si>
  <si>
    <t>Forsheda</t>
  </si>
  <si>
    <t>Lanna</t>
  </si>
  <si>
    <t>Rydaholm</t>
  </si>
  <si>
    <t>Värnamo</t>
  </si>
  <si>
    <t>Västerbergslagens Energi AB</t>
  </si>
  <si>
    <t>Fagersta</t>
  </si>
  <si>
    <t>Grängesberg</t>
  </si>
  <si>
    <t>Ludvika</t>
  </si>
  <si>
    <t>Norberg</t>
  </si>
  <si>
    <t>Västervik Miljö &amp; Energi AB</t>
  </si>
  <si>
    <t>Ankarsrum</t>
  </si>
  <si>
    <t>Gamleby</t>
  </si>
  <si>
    <t>Västervik</t>
  </si>
  <si>
    <t>Västra Mälardalens Energi och Miljö AB</t>
  </si>
  <si>
    <t>Arboga - Köping</t>
  </si>
  <si>
    <t>Arboga - Priser</t>
  </si>
  <si>
    <t>Kolsva</t>
  </si>
  <si>
    <t>Köping - Priser</t>
  </si>
  <si>
    <t>Växjö Energi AB</t>
  </si>
  <si>
    <t>Braås</t>
  </si>
  <si>
    <t>Ingelstad</t>
  </si>
  <si>
    <t>Rottne</t>
  </si>
  <si>
    <t>Växjö fjärrkyla</t>
  </si>
  <si>
    <t>Växjö fjärrvärme</t>
  </si>
  <si>
    <t>Växjö klimatneutral, Ej gilltig</t>
  </si>
  <si>
    <t>Ystad Energi AB</t>
  </si>
  <si>
    <t>Ystad</t>
  </si>
  <si>
    <t>Ånge Energi AB</t>
  </si>
  <si>
    <t>Fränsta</t>
  </si>
  <si>
    <t>Ånge</t>
  </si>
  <si>
    <t>Åsele Energiverk AB</t>
  </si>
  <si>
    <t>Öresundskraft AB</t>
  </si>
  <si>
    <t>Helsingborg</t>
  </si>
  <si>
    <t>Hjärnarp</t>
  </si>
  <si>
    <t>Vejbystrand</t>
  </si>
  <si>
    <t>Ängelholm</t>
  </si>
  <si>
    <t>Örkelljunga Fjärrvärmeverk AB</t>
  </si>
  <si>
    <t>Örkelljunga</t>
  </si>
  <si>
    <t>Österlens Kraft AB</t>
  </si>
  <si>
    <t>Simrishamn</t>
  </si>
  <si>
    <t>Övik Energi AB</t>
  </si>
  <si>
    <t>Bjästa</t>
  </si>
  <si>
    <t>Bredbyn</t>
  </si>
  <si>
    <t>Husum</t>
  </si>
  <si>
    <t>Moliden</t>
  </si>
  <si>
    <t>Processånga</t>
  </si>
  <si>
    <t>Örnsköldsvik</t>
  </si>
  <si>
    <t>Total värmeproduktion i kraftvärmeverk i kombinerad drift (GWh)</t>
  </si>
  <si>
    <t>Producerad elenergi i kraftvärmeverk (GWh)</t>
  </si>
  <si>
    <t>Producerad elenergi kondensdrift (GWh)</t>
  </si>
  <si>
    <t>Bränsle kondensdrift för el ()</t>
  </si>
  <si>
    <t>Tillförd bränslemängd för el i kondensdrift (GWh)</t>
  </si>
  <si>
    <t>Tillförd energi från rökgaskondensering (GWh)</t>
  </si>
  <si>
    <t>Avfall</t>
  </si>
  <si>
    <t>Naturgas</t>
  </si>
  <si>
    <t>Oförädlade trädbränslen</t>
  </si>
  <si>
    <t>Namn på företag 1 som levererar köpt hetvatten ()</t>
  </si>
  <si>
    <t>Huvudbränsle företag 1 ()</t>
  </si>
  <si>
    <t>Köpt mängd värme, huvudbränsle, företag 1 (GWh)</t>
  </si>
  <si>
    <t>Övrigt bränsle företag 1 ()</t>
  </si>
  <si>
    <t>Köpt mängd värme, övrigt bränsle, företag 1 (GWh)</t>
  </si>
  <si>
    <t>Verkningsgrad produktion, företag 1 (%)</t>
  </si>
  <si>
    <t>Namn på företag 2, Köpt hetvatten ()</t>
  </si>
  <si>
    <t>Huvudbränsle företag 2 ()</t>
  </si>
  <si>
    <t>Köpt mängd värme, huvudbränsle, företag 2 (GWh)</t>
  </si>
  <si>
    <t>Övrigt bränsle företag 2 ()</t>
  </si>
  <si>
    <t>Köpt mängd värme, övrigt bränsle, företag 2 ()</t>
  </si>
  <si>
    <t>Verkningsgrad produktion företag 2 (%)</t>
  </si>
  <si>
    <t>Namn på företag 3, Köpt hetvatten ()</t>
  </si>
  <si>
    <t>Huvudbränsle företag 3 ()</t>
  </si>
  <si>
    <t>Köpt mängd värme, huvudbränsle, företag 3 (GWh)</t>
  </si>
  <si>
    <t>Övrigt bränsle företag 3 ()</t>
  </si>
  <si>
    <t>Köpt mängd värme, övrigt bränsle, företag 3 (GWh)</t>
  </si>
  <si>
    <t>Verkningsgrad produktion, företag 3 (%)</t>
  </si>
  <si>
    <t>'SCA Timber'</t>
  </si>
  <si>
    <t>Sekundära trädbränslen</t>
  </si>
  <si>
    <t>'0'</t>
  </si>
  <si>
    <t>'Bodens kommun'</t>
  </si>
  <si>
    <t>Deponi- och rötgas</t>
  </si>
  <si>
    <t>'Stora Enso Kvarnsveden AB'</t>
  </si>
  <si>
    <t>'Biodal AB'</t>
  </si>
  <si>
    <t>Annat ( kommentera)</t>
  </si>
  <si>
    <t>'Fortum Waste Solutions'</t>
  </si>
  <si>
    <t>'Eksjö Industri AB'</t>
  </si>
  <si>
    <t>'VIDA'</t>
  </si>
  <si>
    <t>'Gotlandsflis AB'</t>
  </si>
  <si>
    <t>Primära trädbränslen</t>
  </si>
  <si>
    <t>'Bomhus Energi AB'</t>
  </si>
  <si>
    <t>'BillerudKorsnäs AB'</t>
  </si>
  <si>
    <t>EO3-5</t>
  </si>
  <si>
    <t>'Renova'</t>
  </si>
  <si>
    <t>'Chalmers'</t>
  </si>
  <si>
    <t>Pellets och briketter</t>
  </si>
  <si>
    <t>'ST1'</t>
  </si>
  <si>
    <t>'Tornion Energia OY'</t>
  </si>
  <si>
    <t>'Tornio Energia OY'</t>
  </si>
  <si>
    <t>Torv</t>
  </si>
  <si>
    <t>EO1</t>
  </si>
  <si>
    <t>'Borgstena Energi AB'</t>
  </si>
  <si>
    <t>'Hissmofors såg'</t>
  </si>
  <si>
    <t>'Statens fastighetsverk'</t>
  </si>
  <si>
    <t>'Aarhus Karlshamn'</t>
  </si>
  <si>
    <t>'Stora Enso'</t>
  </si>
  <si>
    <t>'Kils Avfallshantering ab'</t>
  </si>
  <si>
    <t>'Svenstorp'</t>
  </si>
  <si>
    <t>'Ellinge'</t>
  </si>
  <si>
    <t>'Björnstorp'</t>
  </si>
  <si>
    <t>'SCA Lilla Edet'</t>
  </si>
  <si>
    <t>Okänt</t>
  </si>
  <si>
    <t>'Billerud Korsnäs'</t>
  </si>
  <si>
    <t>'Global Casting Guldsmedhyttan AB'</t>
  </si>
  <si>
    <t>El</t>
  </si>
  <si>
    <t>'Lulekraft AB'</t>
  </si>
  <si>
    <t>Spillvärme</t>
  </si>
  <si>
    <t>'Hilbrands Energi AB'</t>
  </si>
  <si>
    <t>'VAFAB'</t>
  </si>
  <si>
    <t>'Moelven AB. Årjäng'</t>
  </si>
  <si>
    <t>'Adven'</t>
  </si>
  <si>
    <t>'Ekenäs timber'</t>
  </si>
  <si>
    <t>'Perstorp AB'</t>
  </si>
  <si>
    <t>'Energifrakt i Piteå AB'</t>
  </si>
  <si>
    <t>'Hällby Gård Tärnsjö AB'</t>
  </si>
  <si>
    <t>'Sala kommun'</t>
  </si>
  <si>
    <t>'Sndåsa Timber AB'</t>
  </si>
  <si>
    <t>'ER'</t>
  </si>
  <si>
    <t>'Söderbärke bioenergi AB'</t>
  </si>
  <si>
    <t>'SCA Ortviken'</t>
  </si>
  <si>
    <t>'SCA Östrand'</t>
  </si>
  <si>
    <t>'Södra Timber Kisa'</t>
  </si>
  <si>
    <t>'Billerud Skärblacka AB'</t>
  </si>
  <si>
    <t>'Farmarenergi'</t>
  </si>
  <si>
    <t>'15.4'</t>
  </si>
  <si>
    <t>'Scandbio'</t>
  </si>
  <si>
    <t>'Norra Skogsägarna'</t>
  </si>
  <si>
    <t>'Krematoriet'</t>
  </si>
  <si>
    <t>'Iksu Spa'</t>
  </si>
  <si>
    <t>Värmepump ( värme-el)</t>
  </si>
  <si>
    <t>'Varaslättens Lagerhus'</t>
  </si>
  <si>
    <t>'Vedum Kök och Bad'</t>
  </si>
  <si>
    <t>'Södra Cell. Värö'</t>
  </si>
  <si>
    <t>Tallbeckolja</t>
  </si>
  <si>
    <t>'Woxnadalens Energi AB'</t>
  </si>
  <si>
    <t>'Processtec Värme AB'</t>
  </si>
  <si>
    <t>'Frödinge Hällerum Timber AB'</t>
  </si>
  <si>
    <t>'AB Karl Hedin'</t>
  </si>
  <si>
    <t>'Billerudkorsnäs'</t>
  </si>
  <si>
    <t>EO2</t>
  </si>
  <si>
    <t>'Iggesund Paperboard'</t>
  </si>
  <si>
    <t>'Nordic Paper'</t>
  </si>
  <si>
    <t>'RTAB Energiproduktion AB'</t>
  </si>
  <si>
    <t>'ABB'</t>
  </si>
  <si>
    <t>Bioolja</t>
  </si>
  <si>
    <t>'Scanbio AB'</t>
  </si>
  <si>
    <t>'Tvären AB'</t>
  </si>
  <si>
    <t>'OX2'</t>
  </si>
  <si>
    <t>'Reningsverket'</t>
  </si>
  <si>
    <t>'Metsä Board Sverige'</t>
  </si>
  <si>
    <t>Total industriell spillvärme (autosumma) ()</t>
  </si>
  <si>
    <t>Namn på företag 1 som leverarar spillvärme ()</t>
  </si>
  <si>
    <t>Industriell spillvärme från företag 1 (GWh)</t>
  </si>
  <si>
    <t>Namn på företag 2 som leverarar spillvärme ()</t>
  </si>
  <si>
    <t>Industriell spillvärme från företag 2 (GWh)</t>
  </si>
  <si>
    <t>Namn på företag 3 som leverarar spillvärme ()</t>
  </si>
  <si>
    <t>Industriell spillvärme från företag 3 (GWh)</t>
  </si>
  <si>
    <t>'Siljan Timber AB'</t>
  </si>
  <si>
    <t>'SCA Graphic Sundsvall AB'</t>
  </si>
  <si>
    <t>'Stena Aluminium AB'</t>
  </si>
  <si>
    <t>'Ikea Industri Älmhult AB'</t>
  </si>
  <si>
    <t>'Nya Arvika Gjuteri '</t>
  </si>
  <si>
    <t>'Volvo Construction Equipment'</t>
  </si>
  <si>
    <t>'Forgex. PC sjkhus.Vik'</t>
  </si>
  <si>
    <t>'munksjöpaper ab '</t>
  </si>
  <si>
    <t>'SSAB'</t>
  </si>
  <si>
    <t>'Kristianstads Pastorat'</t>
  </si>
  <si>
    <t>'Gyproc'</t>
  </si>
  <si>
    <t>'Orion Norcarb Engineered Carbons'</t>
  </si>
  <si>
    <t>'Falu Pastorat'</t>
  </si>
  <si>
    <t>'Megufo AB'</t>
  </si>
  <si>
    <t>'Cementa AB'</t>
  </si>
  <si>
    <t>'Total industriell spillvärme till nätet'</t>
  </si>
  <si>
    <t>'Svenska Foder AB'</t>
  </si>
  <si>
    <t>'Uddeholms AB'</t>
  </si>
  <si>
    <t>'Höganäs Sweden AB'</t>
  </si>
  <si>
    <t>'SCA BioNorr'</t>
  </si>
  <si>
    <t>'Paroc AB'</t>
  </si>
  <si>
    <t>'Arla'</t>
  </si>
  <si>
    <t>'Södra Cell Mörrum'</t>
  </si>
  <si>
    <t>'LKAB'</t>
  </si>
  <si>
    <t>'Nordic Sugar AB'</t>
  </si>
  <si>
    <t>'Befesa Scandust'</t>
  </si>
  <si>
    <t>'Boliden Bergsöe'</t>
  </si>
  <si>
    <t>'Öresundskraft AB'</t>
  </si>
  <si>
    <t>'Preemraff Lysekil'</t>
  </si>
  <si>
    <t>'Lantmännen Reppe'</t>
  </si>
  <si>
    <t>'Global Casting'</t>
  </si>
  <si>
    <t>'Höganäs Borgestad AB'</t>
  </si>
  <si>
    <t>'Gudmundrå Församling'</t>
  </si>
  <si>
    <t>'Fabege'</t>
  </si>
  <si>
    <t>'Hallsta Pappersbruk'</t>
  </si>
  <si>
    <t>'Oskarshamne församling'</t>
  </si>
  <si>
    <t>'SSAB EMA'</t>
  </si>
  <si>
    <t>'Smurfit Kappa Piteå'</t>
  </si>
  <si>
    <t>'SCA'</t>
  </si>
  <si>
    <t>'Trätrappor'</t>
  </si>
  <si>
    <t>'Boliden mineral AB'</t>
  </si>
  <si>
    <t>'Volvo Powertrain AB'</t>
  </si>
  <si>
    <t>'OVAKO'</t>
  </si>
  <si>
    <t>'Perstorp Oxo'</t>
  </si>
  <si>
    <t>'Borealis Polyeten'</t>
  </si>
  <si>
    <t>'Cerealia Lantmännen '</t>
  </si>
  <si>
    <t>'Vattenfall'</t>
  </si>
  <si>
    <t>'LK-PEX'</t>
  </si>
  <si>
    <t>'Södra Cell Värö'</t>
  </si>
  <si>
    <t>'DAGAB'</t>
  </si>
  <si>
    <t>'Vargön Alloys'</t>
  </si>
  <si>
    <t>'Mariestads kommun. reningsverket'</t>
  </si>
  <si>
    <t>'Outokumpu'</t>
  </si>
  <si>
    <t>'Ovako Hofors'</t>
  </si>
  <si>
    <t>'Arc Metal'</t>
  </si>
  <si>
    <t>'Ovako Hällefors'</t>
  </si>
  <si>
    <t>'Nynas'</t>
  </si>
  <si>
    <t>'Värnamo Kyrkliga Samfällighet'</t>
  </si>
  <si>
    <t>'Fagersta Stainless AB'</t>
  </si>
  <si>
    <t>'Ludvika församling'</t>
  </si>
  <si>
    <t>'Ludvika kommun. reningsverket'</t>
  </si>
  <si>
    <t>'Scandbio AB'</t>
  </si>
  <si>
    <t>'Nouryon'</t>
  </si>
  <si>
    <t>'Kemira'</t>
  </si>
  <si>
    <t>'Elektrokoppar'</t>
  </si>
  <si>
    <t>Hjälpel exklusive kraftvärme (GWh)</t>
  </si>
  <si>
    <t>Hjälpel kraftvärme (GWh)</t>
  </si>
  <si>
    <t>Typ av ursprungsspecificerad el   (Om inget värde anges används Nordisk residualmix, se inforuta) ()</t>
  </si>
  <si>
    <t>Primärenergifaktor ()</t>
  </si>
  <si>
    <t>Koldioxidekvivalenter energiomvandling (g/kwh)</t>
  </si>
  <si>
    <t>Fossilandel för ursprungspecificerad el ()</t>
  </si>
  <si>
    <t>Kärnkraftsandel för ursprungsspecificerad el ()</t>
  </si>
  <si>
    <t>Köpt mängd fjärrvärme från annat fjärrvärmeföretag (GWh)</t>
  </si>
  <si>
    <t>Koldioxidekvivalenter energiomvandling (g CO2ekv/kWh)</t>
  </si>
  <si>
    <t>Koldioxidekvivalenter produktion och transport av bränslet (g CO2ekv/kWh)</t>
  </si>
  <si>
    <t>Fossil andel i procent (%)</t>
  </si>
  <si>
    <t>Såld mängd produktionsspecifik fjärrvärme (GWh)</t>
  </si>
  <si>
    <t>'Vattenkraft'</t>
  </si>
  <si>
    <t>'Sverige Förnybar el Jämtkraft'</t>
  </si>
  <si>
    <t>'Sverige Förnybar El Jämtkraft'</t>
  </si>
  <si>
    <t>''Förnybar el "guarantee of origin"''</t>
  </si>
  <si>
    <t>''förnybar el "guarantee of origin"''</t>
  </si>
  <si>
    <t>''förnybar el "guarantee of origin"'</t>
  </si>
  <si>
    <t>'85.9% Vind och 14.1% vattenkraft'</t>
  </si>
  <si>
    <t>'Nordisk elmix'</t>
  </si>
  <si>
    <t>'Nordisk Elmix'</t>
  </si>
  <si>
    <t>'Bra miljöval'</t>
  </si>
  <si>
    <t>'vattenkraft'</t>
  </si>
  <si>
    <t>'Nordisk residualmix'</t>
  </si>
  <si>
    <t>'Ursprungsmärkt egenproducerad el'</t>
  </si>
  <si>
    <t>''C4 Energi 100% fossilfritt''</t>
  </si>
  <si>
    <t>'Egenproducerad grön 100%'</t>
  </si>
  <si>
    <t>'100% förnybart från Dala Kraft'</t>
  </si>
  <si>
    <t>'100% förnybar el från Dala Kraft'</t>
  </si>
  <si>
    <t>''Biokraft samt Nordisk residualmix''</t>
  </si>
  <si>
    <t>'Biokraft'</t>
  </si>
  <si>
    <t>'Biokraft och residualel'</t>
  </si>
  <si>
    <t>' ' 100% Förnybart vind.vatten o biobränsle'   '</t>
  </si>
  <si>
    <t>'Eskilstuna Bioel'</t>
  </si>
  <si>
    <t>'Bra Miljöval'</t>
  </si>
  <si>
    <t>'"FEAB Bra Miljöval"'</t>
  </si>
  <si>
    <t>'100% Vattenkraftsel'</t>
  </si>
  <si>
    <t>'Bio. vatten. vind'</t>
  </si>
  <si>
    <t>'1.1'</t>
  </si>
  <si>
    <t>'förnybart'</t>
  </si>
  <si>
    <t>'förnybar'</t>
  </si>
  <si>
    <t>'EPD-EL Miljöcertifierad Vattenkraft'</t>
  </si>
  <si>
    <t>'EPD-L Miljöcertifierad Vattenkraft'</t>
  </si>
  <si>
    <t>'Källmärkt Gävle Energi'</t>
  </si>
  <si>
    <t>'Bra Miljöval el'</t>
  </si>
  <si>
    <t>'Förnybar vattenkraft'</t>
  </si>
  <si>
    <t>'Vattenkraftsel'</t>
  </si>
  <si>
    <t>'Förnybar'</t>
  </si>
  <si>
    <t>'Vatten El'</t>
  </si>
  <si>
    <t>'jämtkrafts lokalel'</t>
  </si>
  <si>
    <t>'Jämtkrafts lokalel'</t>
  </si>
  <si>
    <t>'Jämtkraft lokalel'</t>
  </si>
  <si>
    <t>'100% förnybar el'</t>
  </si>
  <si>
    <t>'100% vindkraft'</t>
  </si>
  <si>
    <t>'Miljö el'</t>
  </si>
  <si>
    <t>'Mix av nordisk residualmix och förnyelsebart'</t>
  </si>
  <si>
    <t>'Mix av Nordisk residualmix och förnyelsebart'</t>
  </si>
  <si>
    <t>'biokraft. vindkraft'</t>
  </si>
  <si>
    <t>''Vattenkraft''</t>
  </si>
  <si>
    <t>'100% förnyelsebar'</t>
  </si>
  <si>
    <t>'Lokal Vindel "Din El" GE'</t>
  </si>
  <si>
    <t>'Lokal Vindel från GE'</t>
  </si>
  <si>
    <t>'Lokal Vindel Din El GE'</t>
  </si>
  <si>
    <t>'Lokal Vindel GE'</t>
  </si>
  <si>
    <t>''Bixias  mix '</t>
  </si>
  <si>
    <t>'Vattenkraft el'</t>
  </si>
  <si>
    <t>'Vattekraft'</t>
  </si>
  <si>
    <t>'VindEl+El från KVV'</t>
  </si>
  <si>
    <t>'Vindel'</t>
  </si>
  <si>
    <t>'84%vatten 16%vind'</t>
  </si>
  <si>
    <t>'Bramiljöval'</t>
  </si>
  <si>
    <t>'Nordisk mix för inköpt el'</t>
  </si>
  <si>
    <t>'Ursprungsmärkt vattenkraft'</t>
  </si>
  <si>
    <t>'ursprungsmätkt egen produktion av BIO samt Vatten</t>
  </si>
  <si>
    <t>'ursprungsmärkt egenproducerad Bio'</t>
  </si>
  <si>
    <t>'Förnybar el från egen produktion'</t>
  </si>
  <si>
    <t>'Ursprungsmärkt Vattenkraft'</t>
  </si>
  <si>
    <t>'ursprungsmärkt vattenkraft'</t>
  </si>
  <si>
    <t>'ursprungsmärkt Vattenkraft'</t>
  </si>
  <si>
    <t>'Bra Miljöval El'</t>
  </si>
  <si>
    <t>'Vattenfall EPD 100%'</t>
  </si>
  <si>
    <t>'Biobränsle'</t>
  </si>
  <si>
    <t>'Bixia Miljömärkt'</t>
  </si>
  <si>
    <t>'BIxia Miljömärkt'</t>
  </si>
  <si>
    <t>'Vattenkraft. Vindkraft. biobränsle och solkraft'</t>
  </si>
  <si>
    <t>'Vattenkraft/kärnkraft'</t>
  </si>
  <si>
    <t>'Vindkraft'</t>
  </si>
  <si>
    <t>'100% förnybart'</t>
  </si>
  <si>
    <t>'100% förnybar'</t>
  </si>
  <si>
    <t>'100%förnybar'</t>
  </si>
  <si>
    <t>'VBra Miljöval'</t>
  </si>
  <si>
    <t>'Förnybart'</t>
  </si>
  <si>
    <t>'Eskilstuna bioel'</t>
  </si>
  <si>
    <t>'vatten. vind. bio'</t>
  </si>
  <si>
    <t>'vatten. vind. bio. egenprod i kraftvärmeverk'</t>
  </si>
  <si>
    <t>'vattenproducerad el'</t>
  </si>
  <si>
    <t>'vattenproducerad'</t>
  </si>
  <si>
    <t>'100% vattenkraft'</t>
  </si>
  <si>
    <t>'Mix Biokraft. vattenkraft'</t>
  </si>
  <si>
    <t>'Nordisk residual'</t>
  </si>
  <si>
    <t>'Nordisk Residual'</t>
  </si>
  <si>
    <t>'Förnyelsebar'</t>
  </si>
  <si>
    <t>'Vind vatten bio'</t>
  </si>
  <si>
    <t>'"Vind vatten bio"'</t>
  </si>
  <si>
    <t>'Bioenergi'</t>
  </si>
  <si>
    <t>'vind och vatten'</t>
  </si>
  <si>
    <t>'5 % Vind och 95 % vatten'</t>
  </si>
  <si>
    <t>'''El producerad i eget biokraftvärmeverk'''</t>
  </si>
  <si>
    <t>'Residualmix'</t>
  </si>
  <si>
    <t>'sol. vind. vatten. bio'</t>
  </si>
  <si>
    <t>'vatten'</t>
  </si>
  <si>
    <t>'Vind'</t>
  </si>
  <si>
    <t>'Vind 31% vatten 68% sol 1%'</t>
  </si>
  <si>
    <t>'Vatten 68% vind 31% sol 1%'</t>
  </si>
  <si>
    <t>''Egenproducerad el från biobränsle''</t>
  </si>
  <si>
    <t>'Vattenfalls elmix'</t>
  </si>
  <si>
    <t>'"Vattenfall elmix"'</t>
  </si>
  <si>
    <t>'Egenproducerad el biobränsle'</t>
  </si>
  <si>
    <t>'Egenproducerad el. biobränsle'</t>
  </si>
  <si>
    <t>'Vattenel EPD. kraftvärme bio'</t>
  </si>
  <si>
    <t>'Vattenel EPD. Kraftvärme bio'</t>
  </si>
  <si>
    <t>'100% ursprungsmärkt nordisk vattenkraft'</t>
  </si>
  <si>
    <t>'Biobränslebaserad kraftvärme från KKAB'</t>
  </si>
  <si>
    <t>'100% Ursprungsmärkt nordisk vattenkraft'</t>
  </si>
  <si>
    <t>'Bio energi'</t>
  </si>
  <si>
    <t>'Bioel'</t>
  </si>
  <si>
    <t>'Vindkraft och egen kraftvärme'</t>
  </si>
  <si>
    <t>'EPD Vattenfalls vindkraft'</t>
  </si>
  <si>
    <t>'EPD Vattenfall. vindkraft'</t>
  </si>
  <si>
    <t>'EPD Vattenflls vindkraft'</t>
  </si>
  <si>
    <t>'Vattenfall "Klimatsmart/VattenEl"'</t>
  </si>
  <si>
    <t>'Vattenfall Klimatsmart/VattenEl'</t>
  </si>
  <si>
    <t>'Förnybar el'</t>
  </si>
  <si>
    <t>'Bra miljöval och egenproducerad el'</t>
  </si>
  <si>
    <t>'Hörneborgsel'</t>
  </si>
  <si>
    <t>Såld värme (GWh)</t>
  </si>
  <si>
    <t>Levererad värme, flerbostadshus (GWh)</t>
  </si>
  <si>
    <t>Levererad värme, småhus (GWh)</t>
  </si>
  <si>
    <t>Levererad värme, industrier (GWh)</t>
  </si>
  <si>
    <t>- varav värmeleveranser av är ånga (GWh)</t>
  </si>
  <si>
    <t>Levererad värme, offentliga lokaler (GWh)</t>
  </si>
  <si>
    <t>Levererad värme, övriga lokaler (GWh)</t>
  </si>
  <si>
    <t>Övriga kunder ex markvärme (GWh)</t>
  </si>
  <si>
    <t>Leverad värme samfälligheter (GWh)</t>
  </si>
  <si>
    <t>Levererad värme tillverkningsindustri inkl mineralutvinning (GWh)</t>
  </si>
  <si>
    <t>Namn företag 1 ()</t>
  </si>
  <si>
    <t>Levererad värme, andra fjärrvärmeföretag, företag 1 (GWh)</t>
  </si>
  <si>
    <t>Namn företag 2 ()</t>
  </si>
  <si>
    <t>Levererad värme, andra fjärrvärmeföretag, företag 2 (GWh)</t>
  </si>
  <si>
    <t>Namn företag 3 ()</t>
  </si>
  <si>
    <t>Levererad värme, andra fjärrvärmeföretag, företag 3 (GWh)</t>
  </si>
  <si>
    <t>'Falu Energi &amp; Vatten'</t>
  </si>
  <si>
    <t>'Borlänge Energi'</t>
  </si>
  <si>
    <t>'Kungälv Energi'</t>
  </si>
  <si>
    <t>'Mölndal Energi'</t>
  </si>
  <si>
    <t>'Partille Energi'</t>
  </si>
  <si>
    <t>'Hammarö Energi'</t>
  </si>
  <si>
    <t>'Landskrona energi'</t>
  </si>
  <si>
    <t>'Öresundskraft'</t>
  </si>
  <si>
    <t>'Kraftringen AB'</t>
  </si>
  <si>
    <t>'Solör Bioenergi'</t>
  </si>
  <si>
    <t>'Tekniska verken i Linköping AB'</t>
  </si>
  <si>
    <t>'Göteborg Energi'</t>
  </si>
  <si>
    <t>'Tibro kommun'</t>
  </si>
  <si>
    <t>'Stockholm Exergi'</t>
  </si>
  <si>
    <t>'Norrenergi + Sollentuna Energi'</t>
  </si>
  <si>
    <t>'E.ON + Söderenergi'</t>
  </si>
  <si>
    <t>'SFAB'</t>
  </si>
  <si>
    <t>'Mjölby Svartådalen Energi AB'</t>
  </si>
  <si>
    <t>'Veolia'</t>
  </si>
  <si>
    <t>'Landskrona Energi och Kraftringen'</t>
  </si>
  <si>
    <t>Total primärenergi-faktor</t>
  </si>
  <si>
    <t>Total CO2 förbränning [g/kWh]</t>
  </si>
  <si>
    <t>Total CO2 transport och prod. av bränslen [g/kWh]</t>
  </si>
  <si>
    <t>Total andel fossilt</t>
  </si>
  <si>
    <t>Godkänd</t>
  </si>
  <si>
    <t>Kvalitets-granskad</t>
  </si>
  <si>
    <t>Arjeplogs Kommun</t>
  </si>
  <si>
    <t>Arjeplog</t>
  </si>
  <si>
    <t>Arvidsjaur Energi AB</t>
  </si>
  <si>
    <t>Bionär Närvärme AB</t>
  </si>
  <si>
    <t>Bergby</t>
  </si>
  <si>
    <t>Bällinge</t>
  </si>
  <si>
    <t>Forsbacka</t>
  </si>
  <si>
    <t>Hedesunda</t>
  </si>
  <si>
    <t>Norrsundet</t>
  </si>
  <si>
    <t>Ockelbo</t>
  </si>
  <si>
    <t>Skutskär</t>
  </si>
  <si>
    <t>Söderfors</t>
  </si>
  <si>
    <t>Vänge</t>
  </si>
  <si>
    <t>Älvkarleby</t>
  </si>
  <si>
    <t>Bräcke kommun</t>
  </si>
  <si>
    <t>Bräcke</t>
  </si>
  <si>
    <t>Kälarne</t>
  </si>
  <si>
    <t>Byavärme AB</t>
  </si>
  <si>
    <t>Byavärmes Fjärrvärmenät</t>
  </si>
  <si>
    <t/>
  </si>
  <si>
    <t>Eksta Bostads AB</t>
  </si>
  <si>
    <t>Eksta</t>
  </si>
  <si>
    <t>Fjärrvärme Osby AB</t>
  </si>
  <si>
    <t>Färgelanda</t>
  </si>
  <si>
    <t>Gangnef</t>
  </si>
  <si>
    <t>Forshaga Energi AB</t>
  </si>
  <si>
    <t>Gimmersta Energi AB</t>
  </si>
  <si>
    <t>Bie</t>
  </si>
  <si>
    <t>Björkvik</t>
  </si>
  <si>
    <t>Forssjö</t>
  </si>
  <si>
    <t>Julita</t>
  </si>
  <si>
    <t>Sköldinge</t>
  </si>
  <si>
    <t>Strångsjö</t>
  </si>
  <si>
    <t>Valla</t>
  </si>
  <si>
    <t>Hylte Kommun</t>
  </si>
  <si>
    <t>Katrinefors Kraftvärme AB</t>
  </si>
  <si>
    <t>Katrinefors Kraftvärme (producent)</t>
  </si>
  <si>
    <t>Kristinehamns Värme AB</t>
  </si>
  <si>
    <t>Kristinehamn</t>
  </si>
  <si>
    <t>Fjugesta</t>
  </si>
  <si>
    <t>Lessebo fjärrvärme</t>
  </si>
  <si>
    <t>Melleruds kommun</t>
  </si>
  <si>
    <t>Mellerud</t>
  </si>
  <si>
    <t>Mörbylånga Kommun</t>
  </si>
  <si>
    <t>Mörbylånga</t>
  </si>
  <si>
    <t>Rindi Energi AB</t>
  </si>
  <si>
    <t>Filipstad</t>
  </si>
  <si>
    <t>Flen</t>
  </si>
  <si>
    <t>Gnesta</t>
  </si>
  <si>
    <t>Hörby</t>
  </si>
  <si>
    <t>Höör</t>
  </si>
  <si>
    <t>Sjöbo</t>
  </si>
  <si>
    <t>Storfors</t>
  </si>
  <si>
    <t>Sunne</t>
  </si>
  <si>
    <t>Tomelilla</t>
  </si>
  <si>
    <t>Vadstena</t>
  </si>
  <si>
    <t>Vansbro</t>
  </si>
  <si>
    <t>Vingåker</t>
  </si>
  <si>
    <t>Vårgårda</t>
  </si>
  <si>
    <t>Rättvik Energi AB</t>
  </si>
  <si>
    <t>Rättvik</t>
  </si>
  <si>
    <t>Solör Bioenergi Fjärrvärme AB (ej medlem)</t>
  </si>
  <si>
    <t>Dorotea</t>
  </si>
  <si>
    <t>Härjedalen</t>
  </si>
  <si>
    <t>Härryda</t>
  </si>
  <si>
    <t>Markaryd</t>
  </si>
  <si>
    <t>Mönsterås</t>
  </si>
  <si>
    <t>Nora</t>
  </si>
  <si>
    <t>Nordmaling</t>
  </si>
  <si>
    <t>Sveg</t>
  </si>
  <si>
    <t>Vilhelmina</t>
  </si>
  <si>
    <t>Vännäs</t>
  </si>
  <si>
    <t xml:space="preserve">Sorsele Värmeverk AB </t>
  </si>
  <si>
    <t>Sorsele</t>
  </si>
  <si>
    <t>Strömstads Kommun</t>
  </si>
  <si>
    <t>Strömstad</t>
  </si>
  <si>
    <t>Ramnäs</t>
  </si>
  <si>
    <t>Virsbo</t>
  </si>
  <si>
    <t>Västsura</t>
  </si>
  <si>
    <t>Svensk Fjärrvärme</t>
  </si>
  <si>
    <t>Demonät 1</t>
  </si>
  <si>
    <t>Demonät 2</t>
  </si>
  <si>
    <t>Demonät 2016</t>
  </si>
  <si>
    <t>Demonät 2017</t>
  </si>
  <si>
    <t xml:space="preserve">Sölvesborg </t>
  </si>
  <si>
    <t>Tingsryds Energi AB</t>
  </si>
  <si>
    <t>Tingsryd</t>
  </si>
  <si>
    <t>Tranemo Kommun</t>
  </si>
  <si>
    <t>Tranemo</t>
  </si>
  <si>
    <t>Ydre Kommun</t>
  </si>
  <si>
    <t>Ydre</t>
  </si>
  <si>
    <t>Älvsbyns Energi</t>
  </si>
  <si>
    <t>Överkalix Kommun</t>
  </si>
  <si>
    <t>ok</t>
  </si>
  <si>
    <t>Summa tillförd energi:</t>
  </si>
  <si>
    <t>Egen hetvattenproduktion:</t>
  </si>
  <si>
    <t>Verkningsgrad egen hetvattenproduktion:</t>
  </si>
  <si>
    <t>Mängd rökgaskondensering</t>
  </si>
  <si>
    <t>Rökgaskondensering med förnybart ursprung:</t>
  </si>
  <si>
    <t>Rökgaskondensering med avfall som ursprung:</t>
  </si>
  <si>
    <t>Rökgaskondensering med fossilt ursprung:</t>
  </si>
  <si>
    <t>Rökgaskondensering med torv som ursprung:</t>
  </si>
  <si>
    <t>Rökgaskondensering med ej angivet ursprung:</t>
  </si>
  <si>
    <t>Har de fyllt i andel rgk utan att ange mängd rgk?</t>
  </si>
  <si>
    <t>Rgk ifyllt i kvv</t>
  </si>
  <si>
    <t>Summa tillförd energi exklusive rökgaskondensering</t>
  </si>
  <si>
    <t>Summa tillförd energi inklusive rökgaskondensering</t>
  </si>
  <si>
    <t>Värmeprod i kvv</t>
  </si>
  <si>
    <t>Elprod i kvv</t>
  </si>
  <si>
    <t>Verkningsgrad kvv</t>
  </si>
  <si>
    <t>Avfall i köpt hetvatten</t>
  </si>
  <si>
    <t>Har ursprungscertifierad el:</t>
  </si>
  <si>
    <t>Köper fjärrvärme produktionsspecifikt:</t>
  </si>
  <si>
    <t>Köpt mängd produktionsspecifik fjärrvärme:</t>
  </si>
  <si>
    <t>Andel fossilt i köpt fjärrvärme:</t>
  </si>
  <si>
    <t>Gällande schablonvärden:</t>
  </si>
  <si>
    <t>Primärenergifaktor</t>
  </si>
  <si>
    <t>CO2-ekv energiomvandling</t>
  </si>
  <si>
    <t>g/kWh</t>
  </si>
  <si>
    <t>Fossilandel för ursprungsspec el</t>
  </si>
  <si>
    <t>Kärnkraftsandel för ursprungsspec el</t>
  </si>
  <si>
    <t>Förra årets schablonvärden:</t>
  </si>
  <si>
    <t>Total levererad värme</t>
  </si>
  <si>
    <t>Totalt såld fjärrvärme till andra fjärrvärmeföretag</t>
  </si>
  <si>
    <t>Kontrollsummor:</t>
  </si>
  <si>
    <t>Total såld fjv till andra fjvföretag:</t>
  </si>
  <si>
    <t>Total köpt prod.spec fjv</t>
  </si>
  <si>
    <t>Skillnad:</t>
  </si>
  <si>
    <t>GWh</t>
  </si>
  <si>
    <t>Allokerad hjälpel</t>
  </si>
  <si>
    <t>Summa slutlig allokerad tillförd energi:</t>
  </si>
  <si>
    <t>Summa slutlig allokerad tillförd energi (utan hjälpel):</t>
  </si>
  <si>
    <t>Summa slutlig allokerad tillförd energi (utan hjälpel och rökgaskondensering):</t>
  </si>
  <si>
    <t>Totalt tillfört bränsle till kvv (exkl rökgaskondensering och hjälpel)</t>
  </si>
  <si>
    <t>Andel av bränsle i kvv som allokerats till värme, exklusive rökgaskondensering och hjälpel</t>
  </si>
  <si>
    <t>Biobränsle</t>
  </si>
  <si>
    <t>Kvalitetsgranskad:</t>
  </si>
  <si>
    <t>Verkningsgrad värmeproduktion exkl rgk</t>
  </si>
  <si>
    <t>Bränslen allokerade till el:</t>
  </si>
  <si>
    <t>Totalt bränsle allokerat till el, exklusive hjälpel</t>
  </si>
  <si>
    <t>Totalt bränsle allokerat till värme, exklusive hjälpel och rökgaskondensering</t>
  </si>
  <si>
    <t>Total andel bränsle allokerat till el, exklusive hjälpel och rökgaskondensering</t>
  </si>
  <si>
    <t>kontroll:</t>
  </si>
  <si>
    <t>Kontroll:</t>
  </si>
  <si>
    <t>Elproduktionsverkningsgrad</t>
  </si>
  <si>
    <t>Kommentar</t>
  </si>
  <si>
    <t>Allokerade bränslen till elproduktion 2018 för kvalitetsgranskade nät. Allokering i kraftvärmeverk har skett med alternativproduktionsmetoden.</t>
  </si>
  <si>
    <t>Hjälpel till produktion och distribution (inklusive schablon) samt hjälpel till kraftvärme</t>
  </si>
  <si>
    <t>pellets, briketter, pulver, övrigt förädlat</t>
  </si>
  <si>
    <t>bark, grot, spån, stamvedsflis, övrigt oförädlat</t>
  </si>
  <si>
    <t>EO1, EO2 inkl. WRD, EO3-5</t>
  </si>
  <si>
    <r>
      <t xml:space="preserve">Verkningsgrad </t>
    </r>
    <r>
      <rPr>
        <sz val="9"/>
        <color theme="1"/>
        <rFont val="Calibri"/>
        <family val="2"/>
        <scheme val="minor"/>
      </rPr>
      <t>exklusive rökgaskondensering</t>
    </r>
  </si>
  <si>
    <r>
      <t>Totala värmeleveranser</t>
    </r>
    <r>
      <rPr>
        <vertAlign val="superscript"/>
        <sz val="11"/>
        <color theme="1"/>
        <rFont val="Calibri"/>
        <family val="2"/>
        <scheme val="minor"/>
      </rPr>
      <t>8</t>
    </r>
  </si>
  <si>
    <r>
      <t>SUMMA: Bränsle/energi till värme</t>
    </r>
    <r>
      <rPr>
        <b/>
        <vertAlign val="superscript"/>
        <sz val="11"/>
        <color theme="1"/>
        <rFont val="Calibri"/>
        <family val="2"/>
        <scheme val="minor"/>
      </rPr>
      <t>6</t>
    </r>
  </si>
  <si>
    <t>Rökgaskondensering</t>
  </si>
  <si>
    <t>Övrigt fossilt bränsle</t>
  </si>
  <si>
    <t>Stenkol</t>
  </si>
  <si>
    <r>
      <t>Eldningsolja</t>
    </r>
    <r>
      <rPr>
        <vertAlign val="superscript"/>
        <sz val="11"/>
        <color theme="1"/>
        <rFont val="Calibri"/>
        <family val="2"/>
        <scheme val="minor"/>
      </rPr>
      <t>1</t>
    </r>
  </si>
  <si>
    <r>
      <t>Hjälpel</t>
    </r>
    <r>
      <rPr>
        <vertAlign val="superscript"/>
        <sz val="11"/>
        <color theme="1"/>
        <rFont val="Calibri"/>
        <family val="2"/>
        <scheme val="minor"/>
      </rPr>
      <t>7</t>
    </r>
  </si>
  <si>
    <t>El till elpannor</t>
  </si>
  <si>
    <t>Värme från värmepumpar</t>
  </si>
  <si>
    <t>El till värmepumpar</t>
  </si>
  <si>
    <t>Köpt hetvatten(ospecificerat bränsle)</t>
  </si>
  <si>
    <t>Torv o Torvbriketter</t>
  </si>
  <si>
    <t>n.a</t>
  </si>
  <si>
    <t>Annat bränsle</t>
  </si>
  <si>
    <r>
      <t>Övrig bio</t>
    </r>
    <r>
      <rPr>
        <vertAlign val="superscript"/>
        <sz val="11"/>
        <color theme="1"/>
        <rFont val="Calibri"/>
        <family val="2"/>
        <scheme val="minor"/>
      </rPr>
      <t>9</t>
    </r>
  </si>
  <si>
    <t>Deponi och rötgas</t>
  </si>
  <si>
    <t>Primära biobränslen:</t>
  </si>
  <si>
    <r>
      <t>Trädbränsle, förädlat</t>
    </r>
    <r>
      <rPr>
        <vertAlign val="superscript"/>
        <sz val="11"/>
        <color theme="1"/>
        <rFont val="Calibri"/>
        <family val="2"/>
        <scheme val="minor"/>
      </rPr>
      <t>4</t>
    </r>
  </si>
  <si>
    <r>
      <t>Trädbränsle, oförädlat</t>
    </r>
    <r>
      <rPr>
        <vertAlign val="superscript"/>
        <sz val="11"/>
        <color theme="1"/>
        <rFont val="Calibri"/>
        <family val="2"/>
        <scheme val="minor"/>
      </rPr>
      <t>3</t>
    </r>
  </si>
  <si>
    <t>RT-flis</t>
  </si>
  <si>
    <t>Deponi- och rötgas samt avfallsgas från stålindustrin</t>
  </si>
  <si>
    <t>Solvärme</t>
  </si>
  <si>
    <t>Industriell spillvärme</t>
  </si>
  <si>
    <t>2004</t>
  </si>
  <si>
    <t>2005</t>
  </si>
  <si>
    <t>2006</t>
  </si>
  <si>
    <t>2007</t>
  </si>
  <si>
    <t>2008</t>
  </si>
  <si>
    <t>2012 kvalitetsgranskade</t>
  </si>
  <si>
    <t>2013 kvalitetsgranskade</t>
  </si>
  <si>
    <t>2014 kvalitetsgranskade</t>
  </si>
  <si>
    <t>2015 kvalitetsgranskade</t>
  </si>
  <si>
    <t>2016 kvalitetsgranskade</t>
  </si>
  <si>
    <t>2017 kvalitetsgranskade</t>
  </si>
  <si>
    <t>Bränsle/Energibärare</t>
  </si>
  <si>
    <t>2018 kvalitetsgranskade</t>
  </si>
  <si>
    <t>Skillnad 2018 och 2017 (GWh)</t>
  </si>
  <si>
    <t>Skillnad 2018 och 2017 (%)</t>
  </si>
  <si>
    <t>Miljövärden hämtade 2019-05-14. Administrativ organisation borttaget</t>
  </si>
  <si>
    <t>Miljövärdena hämtas från fliken "Miljövärden".  Nätlista från "Egen hetvattenproduktion".</t>
  </si>
  <si>
    <t>Urval för publicering. Om inget fylls i här publiceras de kvalitetsgranskade näten</t>
  </si>
  <si>
    <t>Nätnumrering (för urval till publicering och redovisning för kunder)</t>
  </si>
  <si>
    <t>ja</t>
  </si>
  <si>
    <t>Ev kommentar</t>
  </si>
  <si>
    <t>x</t>
  </si>
  <si>
    <t>E.ons nät ska inte publiceras</t>
  </si>
  <si>
    <r>
      <rPr>
        <u/>
        <sz val="11"/>
        <color theme="1"/>
        <rFont val="Calibri"/>
        <family val="2"/>
        <scheme val="minor"/>
      </rPr>
      <t>Ska inte publiceras</t>
    </r>
    <r>
      <rPr>
        <sz val="11"/>
        <color theme="1"/>
        <rFont val="Calibri"/>
        <family val="2"/>
        <scheme val="minor"/>
      </rPr>
      <t xml:space="preserve"> trots att värdena är kvalitetsgranskade: (sätt kryss manuellt)</t>
    </r>
  </si>
  <si>
    <r>
      <rPr>
        <u/>
        <sz val="11"/>
        <color theme="1"/>
        <rFont val="Calibri"/>
        <family val="2"/>
        <scheme val="minor"/>
      </rPr>
      <t>Ska publiceras</t>
    </r>
    <r>
      <rPr>
        <sz val="11"/>
        <color theme="1"/>
        <rFont val="Calibri"/>
        <family val="2"/>
        <scheme val="minor"/>
      </rPr>
      <t xml:space="preserve"> trots att värdena inte är kvalitetsgranskade: 
(sätt kryss manuellt)</t>
    </r>
  </si>
  <si>
    <r>
      <rPr>
        <u/>
        <sz val="11"/>
        <color theme="1"/>
        <rFont val="Calibri"/>
        <family val="2"/>
        <scheme val="minor"/>
      </rPr>
      <t xml:space="preserve">Visa </t>
    </r>
    <r>
      <rPr>
        <i/>
        <u/>
        <sz val="11"/>
        <color theme="1"/>
        <rFont val="Calibri"/>
        <family val="2"/>
        <scheme val="minor"/>
      </rPr>
      <t>se länk</t>
    </r>
    <r>
      <rPr>
        <sz val="11"/>
        <color theme="1"/>
        <rFont val="Calibri"/>
        <family val="2"/>
        <scheme val="minor"/>
      </rPr>
      <t xml:space="preserve"> istället för miljövärden i publiceringsfilen: (sätt kryss manuellt)</t>
    </r>
  </si>
  <si>
    <t xml:space="preserve">                                                                                                              </t>
  </si>
  <si>
    <t>Ska publiceras:</t>
  </si>
  <si>
    <t>Nät för publicering baserat på företag i bokstavsordning:</t>
  </si>
  <si>
    <t>Företag för publicering</t>
  </si>
  <si>
    <t>Framtagande av nätlista för valt företag:</t>
  </si>
  <si>
    <t>Valt företag i fliken Redovisning för kunder:</t>
  </si>
  <si>
    <t>Nätnummer:</t>
  </si>
  <si>
    <t>Företagsnumrering:</t>
  </si>
  <si>
    <t>Urvald lista för företag:</t>
  </si>
  <si>
    <t>Nätnumrering</t>
  </si>
  <si>
    <t>Vilka nät hör till företaget?</t>
  </si>
  <si>
    <t>Urvald lista för nät</t>
  </si>
  <si>
    <t>Välj företag:</t>
  </si>
  <si>
    <t>Välj nät:</t>
  </si>
  <si>
    <t>Söderenergi rapporterar inte till kvalitetsnyckeln, tas inte med i summering</t>
  </si>
  <si>
    <t>Summa</t>
  </si>
  <si>
    <t>Diskrepans</t>
  </si>
  <si>
    <t>Totalt</t>
  </si>
  <si>
    <t>Solär bioenergi Ljungby finns inte med i kvalitetsnyckeln</t>
  </si>
  <si>
    <t>Liten energimängd, inom felmarginal, utred inte vidare.</t>
  </si>
  <si>
    <t>Tibro kommun finns inte med i kvalitetsnyckeln</t>
  </si>
  <si>
    <t>E.on köpt 60 Gwh, resterande till söderenergi som inte är med i kvalitetsnyckeln</t>
  </si>
  <si>
    <t>Vattenfall har inte rapporterat något nät Trolhättan</t>
  </si>
  <si>
    <t>Radetiketter</t>
  </si>
  <si>
    <t>Avfallsgas från stålindustrin</t>
  </si>
  <si>
    <t>Bark</t>
  </si>
  <si>
    <t>Elpannor, elförbrukning</t>
  </si>
  <si>
    <t>EO2, inkl WRD</t>
  </si>
  <si>
    <t>Grot</t>
  </si>
  <si>
    <t>Spån</t>
  </si>
  <si>
    <t>Stamvedsflis</t>
  </si>
  <si>
    <t>Torv (fjärrvärme och el)</t>
  </si>
  <si>
    <t>Total hjälpel</t>
  </si>
  <si>
    <t>Träbriketter</t>
  </si>
  <si>
    <t>Träpellets</t>
  </si>
  <si>
    <t>Träpulver</t>
  </si>
  <si>
    <t>Värmepumpar, elförbrukning</t>
  </si>
  <si>
    <t>Värmepumpar, värmeproduktion - elförbrukning</t>
  </si>
  <si>
    <t>Åkergrödor</t>
  </si>
  <si>
    <t>Övrigt fossilt</t>
  </si>
  <si>
    <t>Övrigt förädlat biobränsle</t>
  </si>
  <si>
    <t>Övrigt oförädlat biobränsle</t>
  </si>
  <si>
    <t>Totalsumma</t>
  </si>
  <si>
    <t>Köpt mängd fjärrvärme från annat fjärrvärmeföretag</t>
  </si>
  <si>
    <t>Totalt tillförda bränslen:</t>
  </si>
  <si>
    <t>Totalt tillförd energi:</t>
  </si>
  <si>
    <t>Leveranser:</t>
  </si>
  <si>
    <t>Varav leveranser till annat fjärrvärmeföretag:</t>
  </si>
  <si>
    <t>Varav såld prod.spec fjärrvärme:</t>
  </si>
  <si>
    <t>Totalverkningsgrad:</t>
  </si>
  <si>
    <t>Ev kommentar:</t>
  </si>
  <si>
    <t>Godkänd:</t>
  </si>
  <si>
    <t>Sammanräkning:</t>
  </si>
  <si>
    <t>Total el</t>
  </si>
  <si>
    <t>Pellets, briketter och pulver</t>
  </si>
  <si>
    <t>Totala biobränslen</t>
  </si>
  <si>
    <t>Fossilt:</t>
  </si>
  <si>
    <t>Övrigt:</t>
  </si>
  <si>
    <t>Förnybart:</t>
  </si>
  <si>
    <t>Återvunnen energi:</t>
  </si>
  <si>
    <t>Andel fossilt i elen:</t>
  </si>
  <si>
    <t>Andel kärnkraft i elen:</t>
  </si>
  <si>
    <t>Köpt från annat fjvföretag</t>
  </si>
  <si>
    <t>Andel fossilt i köpt hetvatten:</t>
  </si>
  <si>
    <t>Andel fossilt</t>
  </si>
  <si>
    <t>Andel övrigt</t>
  </si>
  <si>
    <t>Andel förnybart</t>
  </si>
  <si>
    <t>Andel återvunnet</t>
  </si>
  <si>
    <t>Andel fossilt från miljövärdena, som jämförelse:</t>
  </si>
  <si>
    <t>Skillnad andel fossilt - beroende på residual vs total</t>
  </si>
  <si>
    <t>Skillnad avrundade värden som visas i publ.fil</t>
  </si>
  <si>
    <t>Komentar från förra år:Bro och Coop är hopbyggda, verkningsgraden blir därför orimlig för näten separat men rimlig för näten tillsammans. Redovisas som ett nät nästa år.</t>
  </si>
  <si>
    <t>Sverige totalt kvalitetsgranskade:</t>
  </si>
  <si>
    <t>Hemsida dit vi hänvisar för mer information: (endast för E.on)</t>
  </si>
  <si>
    <t>Allokeringsmetod vid kraftvärme</t>
  </si>
  <si>
    <t>Elproduktion</t>
  </si>
  <si>
    <t>Såld prod.spec värme:</t>
  </si>
  <si>
    <t>Är fjärrvärmen klimatkompenserad?</t>
  </si>
  <si>
    <t>Företagsnamn</t>
  </si>
  <si>
    <t>www.eon.se  Skriv "Miljövärden fjärrvärme" i sökfunktionen</t>
  </si>
  <si>
    <r>
      <t xml:space="preserve">Ska publiceras: </t>
    </r>
    <r>
      <rPr>
        <sz val="11"/>
        <rFont val="Calibri"/>
        <family val="2"/>
      </rPr>
      <t>(om inte se länk ska visas)</t>
    </r>
  </si>
  <si>
    <t>Valt företag i rulllista:</t>
  </si>
  <si>
    <t>Företag för det aktuella nätet:</t>
  </si>
  <si>
    <t>Stämmer nät och företag överens:</t>
  </si>
  <si>
    <t>Data från fliken Totalt:</t>
  </si>
  <si>
    <t>Summa bränslen (för kontroll)</t>
  </si>
  <si>
    <t>Summa bränslen från fliken Totalt (för kontroll)</t>
  </si>
  <si>
    <t>Total el:</t>
  </si>
  <si>
    <t>Eldningsolja</t>
  </si>
  <si>
    <t>Bioolja och tallbeckolja</t>
  </si>
  <si>
    <t>Köpt hetvatten odefinierat bränsle</t>
  </si>
  <si>
    <t>Köpt hetvatten från andra fjärrvärmeföretag</t>
  </si>
  <si>
    <t>Data från fliken Miljö:</t>
  </si>
  <si>
    <t>Produktionsspecifik el:</t>
  </si>
  <si>
    <t>Köpt produktionsspecifik fjärrvärme:</t>
  </si>
  <si>
    <t>Typ av ursprungsspecificerad el ()</t>
  </si>
  <si>
    <t>Fossil andel i använd el:</t>
  </si>
  <si>
    <t>Förnybar andel i använd el:</t>
  </si>
  <si>
    <t>Kärnkraftsandel i använd el:</t>
  </si>
  <si>
    <t>Övrig andel:</t>
  </si>
  <si>
    <t>Fördelning till olika kategorier</t>
  </si>
  <si>
    <t>Förnybar energi</t>
  </si>
  <si>
    <t>Återvunnen energi</t>
  </si>
  <si>
    <t>Övrig energi</t>
  </si>
  <si>
    <t>Fossilt</t>
  </si>
  <si>
    <t>Förnybar el</t>
  </si>
  <si>
    <t>Värme från vp minus el till vp</t>
  </si>
  <si>
    <t>Torv och torvbriketter</t>
  </si>
  <si>
    <t>El från kärnkraft</t>
  </si>
  <si>
    <t>Köpt hetvatten från andra fjärrvärmeföretag, ej fossilt</t>
  </si>
  <si>
    <t>Fossil el</t>
  </si>
  <si>
    <t>Köpt hetvatten från andra fjärrvärmeföretag, fossilt</t>
  </si>
  <si>
    <t>Summa bränslen</t>
  </si>
  <si>
    <t>Summa förnybar energi:</t>
  </si>
  <si>
    <t>Summa återvunnen energi:</t>
  </si>
  <si>
    <t>Summa övrig energi:</t>
  </si>
  <si>
    <t>Summa fossilt:</t>
  </si>
  <si>
    <t>Andel förnybar energi:</t>
  </si>
  <si>
    <t>Andel återvunnen energi:</t>
  </si>
  <si>
    <t>Andel övrig energi:</t>
  </si>
  <si>
    <t>Andel fossilt:</t>
  </si>
  <si>
    <t>Till diagram:</t>
  </si>
  <si>
    <t>GWh:</t>
  </si>
  <si>
    <t>Avrundat (%):</t>
  </si>
  <si>
    <t>Axeletiketter:</t>
  </si>
  <si>
    <t>Förnybart</t>
  </si>
  <si>
    <t>Övrigt</t>
  </si>
  <si>
    <t>Till tabell:</t>
  </si>
  <si>
    <t>Hämtar data till grund för tabell:</t>
  </si>
  <si>
    <t>Väljer ut de rader som ska visas i tabellen:</t>
  </si>
  <si>
    <t>Endast de rader som ska visas i tabellen:</t>
  </si>
  <si>
    <t>Data hämtas:</t>
  </si>
  <si>
    <t>Data snyggas till:</t>
  </si>
  <si>
    <t>Här redigeras eventuell namnändring på kategorier eller ändring i ordning, så uppdateras resten automatiskt</t>
  </si>
  <si>
    <t>Numrering av ej tomma fält</t>
  </si>
  <si>
    <t>Kategori:</t>
  </si>
  <si>
    <t>Mängd:</t>
  </si>
  <si>
    <t>Detta är underlag till tabellen på fliken "Redovisning för kunder"</t>
  </si>
  <si>
    <t>Är det en summa? (För formatering)</t>
  </si>
  <si>
    <t>Antal decimaler som ska anges:</t>
  </si>
  <si>
    <t>Värme från värmepumpar (netto)*</t>
  </si>
  <si>
    <t>Deponi-och rötgas</t>
  </si>
  <si>
    <t>Mellanslag kan läggas in i ruta F53 om man vill ha en tom rad mellan kategorierna</t>
  </si>
  <si>
    <t>Sekundära biobränslen</t>
  </si>
  <si>
    <t>Primära biobränslen</t>
  </si>
  <si>
    <t>Förnybar el till elpannor, värmepumpar och hjälpel till distribution</t>
  </si>
  <si>
    <t>Mellanslag kan läggas in i ruta F60 om man vill ha en tom rad mellan kategorierna</t>
  </si>
  <si>
    <t>Köpt hetvatten från annat fjärrvärmeföretag, förnybar eller återvunnen energi</t>
  </si>
  <si>
    <t>El från kärnkraft till elpannor, värmepumpar och hjälpel till distribution</t>
  </si>
  <si>
    <t>Mellanslag kan läggas in i ruta F65 om man vill ha en tom rad mellan kategorierna</t>
  </si>
  <si>
    <t>Fossil el till elpannor, värmepumpar och hjälpel till distribution</t>
  </si>
  <si>
    <t>Köpt hetvatten från industri (ospecificerat bränsle)</t>
  </si>
  <si>
    <t>Köpt hetvatten från annat fjärrvärmeföretag, fossilt</t>
  </si>
  <si>
    <t>Mellanslag kan läggas in i ruta F74 om man vill ha en tom rad mellan kategorierna</t>
  </si>
  <si>
    <t>* Värme från värmepumpar (netto) är värme från värmepumpar minus tillförd el till värmepumpar</t>
  </si>
  <si>
    <t>Kontrollsumma:</t>
  </si>
  <si>
    <t>Miljövärden till redovisning, med rätt antal decimaler:</t>
  </si>
  <si>
    <t>Från fliken Miljövärden för publ. Företag</t>
  </si>
  <si>
    <t>Antal värdesiffror som ska visas:</t>
  </si>
  <si>
    <t>Avrundat värde:</t>
  </si>
  <si>
    <t>Vad ska visas i rutan?</t>
  </si>
  <si>
    <t>(nu visas 1 decimal på andel fossilt om andelen är under 3%)</t>
  </si>
  <si>
    <t>Fossilandel som visas för tillförda bränslen:</t>
  </si>
  <si>
    <t>avrundat till samma antal decimaler</t>
  </si>
  <si>
    <t>Stämmer det överens?</t>
  </si>
  <si>
    <t>Annars visas en extra mening i publiceringsfliken</t>
  </si>
  <si>
    <t>Välj först företag här:</t>
  </si>
  <si>
    <t>Välj sedan nät här:</t>
  </si>
  <si>
    <t>RESURSANVÄNDNING</t>
  </si>
  <si>
    <t>EMISSION AV VÄXTHUSGASER</t>
  </si>
  <si>
    <t>ANDEL FOSSILA BRÄNSLEN</t>
  </si>
  <si>
    <t>Förbränning</t>
  </si>
  <si>
    <t>(kol, eldningsolja, naturgas)</t>
  </si>
  <si>
    <t>Transport och produktion av bränslen</t>
  </si>
  <si>
    <t xml:space="preserve">Ovanstående miljövärden är residualens miljövärden, dvs de är korrigerade för värme som säljs ursprungs- eller produktionsspecifikt. </t>
  </si>
  <si>
    <t>Andelen fossila bränslen ovan kan därför skilja mot den andel fossilt som visas i diagrammet nedan, som visar tillförda bränslen till nätets hela värmeproduktion.</t>
  </si>
  <si>
    <t>NÄTSPECIFIK INFORMATION:</t>
  </si>
  <si>
    <t>Levererad värme:</t>
  </si>
  <si>
    <t>Varav mängd ursprungs- eller produktionsspecifik värme:</t>
  </si>
  <si>
    <t>Producerad el:</t>
  </si>
  <si>
    <t>Andel bränsle allokerat till värmeproduktion i kraftvärme:</t>
  </si>
  <si>
    <t>Totalt tillförd energi till värmeproduktion:</t>
  </si>
  <si>
    <t>Varav el (hjälpel, vp, elpannor):</t>
  </si>
  <si>
    <t>Ursprungsspecificerad el:</t>
  </si>
  <si>
    <r>
      <t>Klimatpåverkan för använd el (g CO2</t>
    </r>
    <r>
      <rPr>
        <vertAlign val="subscript"/>
        <sz val="11"/>
        <color indexed="8"/>
        <rFont val="Arial"/>
        <family val="2"/>
      </rPr>
      <t xml:space="preserve"> ekv</t>
    </r>
    <r>
      <rPr>
        <sz val="11"/>
        <color indexed="8"/>
        <rFont val="Arial"/>
        <family val="2"/>
      </rPr>
      <t xml:space="preserve">/kWh): </t>
    </r>
  </si>
  <si>
    <t>Procentandel fossilt för använd el:</t>
  </si>
  <si>
    <t>Primärenergifaktor för använd el :</t>
  </si>
  <si>
    <t>Allokeringsmetod vid kraftvärme:</t>
  </si>
  <si>
    <t xml:space="preserve">För mer information och frågor: </t>
  </si>
  <si>
    <t>FÖRDELNING TILLFÖRD ENERGI TILL VÄRMEPRODUKTION</t>
  </si>
  <si>
    <t>Visa se länk:</t>
  </si>
  <si>
    <t>Nät och företag stämmer inte överens:</t>
  </si>
  <si>
    <t>Lokala miljövärden 2018</t>
  </si>
  <si>
    <t>Resurseffektivitet, Primärenergifaktor</t>
  </si>
  <si>
    <t>Koldioxidekv energiomvandling
 [g CO2ekv/kWh]</t>
  </si>
  <si>
    <t>Koldioxidekv produktion och transport av bränslet
 [g CO2ekv/kWh]</t>
  </si>
  <si>
    <t xml:space="preserve">Stenkol </t>
  </si>
  <si>
    <t xml:space="preserve">EO1 </t>
  </si>
  <si>
    <t>Övriga biobränslen</t>
  </si>
  <si>
    <t>Värme från värmepump minus el till värmepump</t>
  </si>
  <si>
    <t>El (Nordisk residual)</t>
  </si>
  <si>
    <t>Köpt hetvatten, ospecificerat bränsle</t>
  </si>
  <si>
    <t>Från "Överenskommelse i Värmemarknadskommittén 2018"</t>
  </si>
  <si>
    <t>https://www.energiforetagen.se/medlemsportalen/ny-sakomraden---fordjupning/fjarrvarmefragor/varmemarknadsfragor/varmemarknadskommitten/</t>
  </si>
  <si>
    <t>Typ av ursprungsspecificerad el</t>
  </si>
  <si>
    <t>Primärenergifaktor använd el</t>
  </si>
  <si>
    <t>Koldioxidekvivalenter använd el</t>
  </si>
  <si>
    <t>Fossilandel använd el</t>
  </si>
  <si>
    <t>Kärnkraftsandel använd el</t>
  </si>
  <si>
    <t>El*primärenergi</t>
  </si>
  <si>
    <t>El*koldioxid</t>
  </si>
  <si>
    <t>El*Fossil</t>
  </si>
  <si>
    <t>El*Kärnkraftsandel</t>
  </si>
  <si>
    <t>Viktade miljöfaktorer för kvalitetsgranskade näts el:</t>
  </si>
  <si>
    <t>Antal kvalgranskade nät:</t>
  </si>
  <si>
    <t>Antal med residualel:</t>
  </si>
  <si>
    <t>Antal med urssprungsspecificerad el:</t>
  </si>
  <si>
    <t>Mängd residualel:</t>
  </si>
  <si>
    <t>Mängd urssprungsspecificerad el:</t>
  </si>
  <si>
    <t>Viktade värden för nät med urpsrungsspec el:</t>
  </si>
  <si>
    <t>Små nät</t>
  </si>
  <si>
    <t>leverans &lt;150 GWh</t>
  </si>
  <si>
    <t>Medelstora nät</t>
  </si>
  <si>
    <t>150GWh&lt;leverans&lt;1000 GWh</t>
  </si>
  <si>
    <t>Stora nät</t>
  </si>
  <si>
    <t>Leverans &gt;1000 GWh</t>
  </si>
  <si>
    <t>Summa alla:</t>
  </si>
  <si>
    <t>Miljövärden för använd el:</t>
  </si>
  <si>
    <t>Miljövärden för fjärrvärme inköpt från annat fjärrvärmeföretag:</t>
  </si>
  <si>
    <t>Källa till värmepump</t>
  </si>
  <si>
    <t>Andel fossilt i avfall - Färdigställs inför fil till SGBC</t>
  </si>
  <si>
    <t>Ursprungsmärkning av el:</t>
  </si>
  <si>
    <t>Andel kärnkraft:</t>
  </si>
  <si>
    <t>Andel förnybart:</t>
  </si>
  <si>
    <t>Köper fjärrvärme från annat fjärrvärmeföretag:</t>
  </si>
  <si>
    <t>Andel fossilt i köpt fjärrvärme från annat fjärrvärmeföretag:</t>
  </si>
  <si>
    <t>Har värme från värmepump:</t>
  </si>
  <si>
    <t>Källa till värmepump:</t>
  </si>
  <si>
    <t>Har rökgaskondensering:</t>
  </si>
  <si>
    <t>Har avfall som bränsle</t>
  </si>
  <si>
    <t xml:space="preserve">Metod för andel fossilt i avfall i egen hetvattenproduktion </t>
  </si>
  <si>
    <t xml:space="preserve">Metod för andel fossilt i avfall i kraftvärmeproduktion </t>
  </si>
  <si>
    <t>Tillfört avfall i egen hetvattenprod</t>
  </si>
  <si>
    <t>Allokerad mängd avfall i kraftvärmeprod</t>
  </si>
  <si>
    <t>Värde på andel fossilt i egen hetvattenproduktion:</t>
  </si>
  <si>
    <t>Värde på andel fossilt i kraftvärmeproduktion:</t>
  </si>
  <si>
    <t>Metod för andel fossilt (ifylles manuellt)</t>
  </si>
  <si>
    <t>Schablonvärde:</t>
  </si>
  <si>
    <t>Uppmätt viktat värde för andel fossilt i rökgaser (%):</t>
  </si>
  <si>
    <t>Tillförd olja för avfallsförbränning i egen hetvattenprod</t>
  </si>
  <si>
    <t>Tillförd olja för avfallsförbränning i kraftvärmeprod - OBS! Ska allokeras?</t>
  </si>
  <si>
    <t>Tillförd inrapporterad olja ska justeras.</t>
  </si>
  <si>
    <t>Tillförda bränslen till fjärrvärmeproduktion 2018 för kvalitetsgranskade nät. Alla bränslen är angivna i GWh. Allokering i kraftvärmeverk har skett med alternativproduktionsmetoden</t>
  </si>
  <si>
    <t>Inklusive rökgaskondensering för 2011 till 2018</t>
  </si>
  <si>
    <t>För 2012 till 2018: Leveranser = Total såld värme - sålt till annat fjvföretag.</t>
  </si>
  <si>
    <t>Summa kvalitetsgranskade:</t>
  </si>
  <si>
    <t>Summa:</t>
  </si>
  <si>
    <t>Avfallsgas</t>
  </si>
  <si>
    <t>Trädbränsle, oförädlat2</t>
  </si>
  <si>
    <t>Trädbränsle, förädlat3</t>
  </si>
  <si>
    <t>Primära biobränslen4</t>
  </si>
  <si>
    <t>Övrig bio</t>
  </si>
  <si>
    <t>Hjälpel5</t>
  </si>
  <si>
    <t>Eldningsolja1</t>
  </si>
  <si>
    <t>Summa: Bränslen till elproduktion</t>
  </si>
  <si>
    <t>Elproduktion i kombinerad drift</t>
  </si>
  <si>
    <t>Elproduktion i kondensdrift</t>
  </si>
  <si>
    <t>Värmeproduktion i kraftvärmeverk</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</si>
</sst>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 _k_r_-;\-* #,##0.00\ _k_r_-;_-* &quot;-&quot;??\ _k_r_-;_-@_-"/>
    <numFmt numFmtId="164" formatCode="0.0%"/>
    <numFmt numFmtId="165" formatCode="0.0"/>
    <numFmt numFmtId="166" formatCode="#,##0.0"/>
    <numFmt numFmtId="167" formatCode="0.000%"/>
    <numFmt numFmtId="168" formatCode="0.000"/>
  </numFmts>
  <fonts count="68" x14ac:knownFonts="1">
    <font>
      <sz val="11"/>
      <color theme="1"/>
      <name val="Calibri"/>
      <family val="2"/>
      <scheme val="minor"/>
    </font>
    <font>
      <sz val="11"/>
      <color indexed="8"/>
      <name val="Calibri"/>
      <family val="2"/>
    </font>
    <font>
      <sz val="16"/>
      <color indexed="8"/>
      <name val="Calibri"/>
      <family val="2"/>
    </font>
    <font>
      <b/>
      <sz val="11"/>
      <color indexed="8"/>
      <name val="Calibri"/>
      <family val="2"/>
    </font>
    <font>
      <strike/>
      <sz val="11"/>
      <color rgb="FFFF0000"/>
      <name val="Calibri"/>
      <family val="2"/>
    </font>
    <font>
      <i/>
      <strike/>
      <sz val="11"/>
      <color rgb="FFFF0000"/>
      <name val="Calibri"/>
      <family val="2"/>
    </font>
    <font>
      <strike/>
      <sz val="11"/>
      <color indexed="8"/>
      <name val="Calibri"/>
      <family val="2"/>
    </font>
    <font>
      <sz val="11"/>
      <name val="Calibri"/>
      <family val="2"/>
    </font>
    <font>
      <i/>
      <sz val="11"/>
      <name val="Calibri"/>
      <family val="2"/>
    </font>
    <font>
      <sz val="11"/>
      <color rgb="FFFF0000"/>
      <name val="Calibri"/>
      <family val="2"/>
    </font>
    <font>
      <b/>
      <sz val="11"/>
      <name val="Calibri"/>
      <family val="2"/>
    </font>
    <font>
      <b/>
      <sz val="11"/>
      <color indexed="62"/>
      <name val="Calibri"/>
      <family val="2"/>
    </font>
    <font>
      <sz val="11"/>
      <color theme="1"/>
      <name val="Calibri"/>
      <family val="2"/>
      <scheme val="minor"/>
    </font>
    <font>
      <sz val="11"/>
      <color rgb="FFFF0000"/>
      <name val="Calibri"/>
      <family val="2"/>
      <scheme val="minor"/>
    </font>
    <font>
      <b/>
      <sz val="11"/>
      <color theme="1"/>
      <name val="Calibri"/>
      <family val="2"/>
      <scheme val="minor"/>
    </font>
    <font>
      <i/>
      <sz val="11"/>
      <color indexed="8"/>
      <name val="Calibri"/>
      <family val="2"/>
    </font>
    <font>
      <sz val="10"/>
      <name val="Arial"/>
      <family val="2"/>
    </font>
    <font>
      <b/>
      <sz val="9"/>
      <color indexed="81"/>
      <name val="Tahoma"/>
      <family val="2"/>
    </font>
    <font>
      <sz val="9"/>
      <color indexed="81"/>
      <name val="Tahoma"/>
      <family val="2"/>
    </font>
    <font>
      <b/>
      <i/>
      <sz val="14"/>
      <color indexed="8"/>
      <name val="Calibri"/>
      <family val="2"/>
    </font>
    <font>
      <sz val="18"/>
      <color indexed="8"/>
      <name val="Calibri"/>
      <family val="2"/>
    </font>
    <font>
      <sz val="9"/>
      <color theme="1"/>
      <name val="Calibri"/>
      <family val="2"/>
      <scheme val="minor"/>
    </font>
    <font>
      <vertAlign val="superscript"/>
      <sz val="11"/>
      <color theme="1"/>
      <name val="Calibri"/>
      <family val="2"/>
      <scheme val="minor"/>
    </font>
    <font>
      <b/>
      <vertAlign val="superscript"/>
      <sz val="11"/>
      <color theme="1"/>
      <name val="Calibri"/>
      <family val="2"/>
      <scheme val="minor"/>
    </font>
    <font>
      <u/>
      <sz val="11"/>
      <color theme="1"/>
      <name val="Calibri"/>
      <family val="2"/>
      <scheme val="minor"/>
    </font>
    <font>
      <i/>
      <u/>
      <sz val="11"/>
      <color theme="1"/>
      <name val="Calibri"/>
      <family val="2"/>
      <scheme val="minor"/>
    </font>
    <font>
      <i/>
      <sz val="11"/>
      <color theme="1"/>
      <name val="Calibri"/>
      <family val="2"/>
      <scheme val="minor"/>
    </font>
    <font>
      <i/>
      <sz val="11"/>
      <color theme="0" tint="-0.499984740745262"/>
      <name val="Calibri"/>
      <family val="2"/>
    </font>
    <font>
      <sz val="11"/>
      <color theme="0"/>
      <name val="Calibri"/>
      <family val="2"/>
      <scheme val="minor"/>
    </font>
    <font>
      <b/>
      <sz val="10"/>
      <name val="Arial"/>
      <family val="2"/>
    </font>
    <font>
      <b/>
      <i/>
      <sz val="10"/>
      <name val="Arial"/>
      <family val="2"/>
    </font>
    <font>
      <i/>
      <sz val="10"/>
      <name val="Arial"/>
      <family val="2"/>
    </font>
    <font>
      <sz val="10"/>
      <color rgb="FFFF0000"/>
      <name val="Arial"/>
      <family val="2"/>
    </font>
    <font>
      <sz val="11"/>
      <color theme="0" tint="-0.499984740745262"/>
      <name val="Calibri"/>
      <family val="2"/>
      <scheme val="minor"/>
    </font>
    <font>
      <u/>
      <sz val="14"/>
      <color theme="1"/>
      <name val="Calibri"/>
      <family val="2"/>
      <scheme val="minor"/>
    </font>
    <font>
      <sz val="8"/>
      <color theme="1"/>
      <name val="Calibri"/>
      <family val="2"/>
      <scheme val="minor"/>
    </font>
    <font>
      <u/>
      <sz val="11"/>
      <color theme="0" tint="-0.34998626667073579"/>
      <name val="Calibri"/>
      <family val="2"/>
      <scheme val="minor"/>
    </font>
    <font>
      <sz val="11"/>
      <color theme="0" tint="-0.34998626667073579"/>
      <name val="Calibri"/>
      <family val="2"/>
      <scheme val="minor"/>
    </font>
    <font>
      <i/>
      <sz val="11"/>
      <color theme="0" tint="-0.34998626667073579"/>
      <name val="Calibri"/>
      <family val="2"/>
      <scheme val="minor"/>
    </font>
    <font>
      <b/>
      <sz val="11"/>
      <color theme="0" tint="-0.34998626667073579"/>
      <name val="Calibri"/>
      <family val="2"/>
      <scheme val="minor"/>
    </font>
    <font>
      <b/>
      <sz val="12"/>
      <color indexed="10"/>
      <name val="Calibri"/>
      <family val="2"/>
    </font>
    <font>
      <b/>
      <sz val="36"/>
      <color indexed="17"/>
      <name val="Arial"/>
      <family val="2"/>
    </font>
    <font>
      <sz val="10"/>
      <color indexed="50"/>
      <name val="Arial"/>
      <family val="2"/>
    </font>
    <font>
      <b/>
      <sz val="24"/>
      <color indexed="17"/>
      <name val="Arial"/>
      <family val="2"/>
    </font>
    <font>
      <sz val="14"/>
      <color theme="1"/>
      <name val="Calibri"/>
      <family val="2"/>
      <scheme val="minor"/>
    </font>
    <font>
      <sz val="14"/>
      <name val="Calibri"/>
      <family val="2"/>
      <scheme val="minor"/>
    </font>
    <font>
      <sz val="14"/>
      <name val="Calibri"/>
      <family val="2"/>
    </font>
    <font>
      <sz val="11"/>
      <color indexed="8"/>
      <name val="Arial"/>
      <family val="2"/>
    </font>
    <font>
      <b/>
      <sz val="11"/>
      <color indexed="8"/>
      <name val="Arial"/>
      <family val="2"/>
    </font>
    <font>
      <sz val="8"/>
      <color indexed="8"/>
      <name val="Calibri"/>
      <family val="2"/>
    </font>
    <font>
      <sz val="11"/>
      <color indexed="17"/>
      <name val="Calibri"/>
      <family val="2"/>
    </font>
    <font>
      <i/>
      <sz val="11"/>
      <color theme="9" tint="-0.499984740745262"/>
      <name val="Calibri"/>
      <family val="2"/>
    </font>
    <font>
      <i/>
      <sz val="11"/>
      <color indexed="8"/>
      <name val="Arial"/>
      <family val="2"/>
    </font>
    <font>
      <strike/>
      <sz val="11"/>
      <color indexed="8"/>
      <name val="Arial"/>
      <family val="2"/>
    </font>
    <font>
      <sz val="11"/>
      <color indexed="8"/>
      <name val="Calibri"/>
      <family val="2"/>
      <scheme val="minor"/>
    </font>
    <font>
      <vertAlign val="subscript"/>
      <sz val="11"/>
      <color indexed="8"/>
      <name val="Arial"/>
      <family val="2"/>
    </font>
    <font>
      <sz val="11"/>
      <color indexed="17"/>
      <name val="Arial"/>
      <family val="2"/>
    </font>
    <font>
      <b/>
      <sz val="16"/>
      <color indexed="8"/>
      <name val="Arial"/>
      <family val="2"/>
    </font>
    <font>
      <b/>
      <sz val="12"/>
      <color indexed="8"/>
      <name val="Calibri"/>
      <family val="2"/>
    </font>
    <font>
      <sz val="10"/>
      <color theme="1"/>
      <name val="Arial"/>
      <family val="2"/>
    </font>
    <font>
      <sz val="10"/>
      <color rgb="FFCCFFCC"/>
      <name val="Arial"/>
      <family val="2"/>
    </font>
    <font>
      <sz val="11"/>
      <color theme="0"/>
      <name val="Calibri"/>
      <family val="2"/>
    </font>
    <font>
      <sz val="11"/>
      <name val="Calibri"/>
      <family val="2"/>
      <scheme val="minor"/>
    </font>
    <font>
      <u/>
      <sz val="11"/>
      <color theme="10"/>
      <name val="Calibri"/>
      <family val="2"/>
      <scheme val="minor"/>
    </font>
    <font>
      <u/>
      <sz val="11"/>
      <color theme="10"/>
      <name val="Calibri"/>
      <family val="2"/>
    </font>
    <font>
      <b/>
      <sz val="11"/>
      <color rgb="FF3F3F3F"/>
      <name val="Calibri"/>
      <family val="2"/>
      <scheme val="minor"/>
    </font>
    <font>
      <b/>
      <i/>
      <sz val="11"/>
      <color theme="1"/>
      <name val="Calibri"/>
      <family val="2"/>
      <scheme val="minor"/>
    </font>
    <font>
      <b/>
      <i/>
      <sz val="11"/>
      <color indexed="8"/>
      <name val="Calibri"/>
      <family val="2"/>
    </font>
  </fonts>
  <fills count="31">
    <fill>
      <patternFill patternType="none"/>
    </fill>
    <fill>
      <patternFill patternType="gray125"/>
    </fill>
    <fill>
      <patternFill patternType="solid">
        <fgColor theme="5" tint="0.399975585192419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FFFF00"/>
        <bgColor indexed="64"/>
      </patternFill>
    </fill>
    <fill>
      <patternFill patternType="solid">
        <fgColor theme="0"/>
        <bgColor indexed="64"/>
      </patternFill>
    </fill>
    <fill>
      <patternFill patternType="solid">
        <fgColor theme="6" tint="0.39997558519241921"/>
        <bgColor indexed="64"/>
      </patternFill>
    </fill>
    <fill>
      <patternFill patternType="solid">
        <fgColor rgb="FFFF0000"/>
        <bgColor indexed="64"/>
      </patternFill>
    </fill>
    <fill>
      <patternFill patternType="solid">
        <fgColor theme="0" tint="-0.34998626667073579"/>
        <bgColor indexed="64"/>
      </patternFill>
    </fill>
    <fill>
      <patternFill patternType="solid">
        <fgColor theme="9"/>
        <bgColor indexed="64"/>
      </patternFill>
    </fill>
    <fill>
      <patternFill patternType="solid">
        <fgColor rgb="FFFFC000"/>
        <bgColor indexed="64"/>
      </patternFill>
    </fill>
    <fill>
      <patternFill patternType="solid">
        <fgColor theme="4" tint="0.79998168889431442"/>
        <bgColor theme="4" tint="0.79998168889431442"/>
      </patternFill>
    </fill>
    <fill>
      <patternFill patternType="solid">
        <fgColor theme="4" tint="0.59999389629810485"/>
        <bgColor indexed="64"/>
      </patternFill>
    </fill>
    <fill>
      <patternFill patternType="solid">
        <fgColor rgb="FFFFFFCC"/>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theme="9" tint="0.59999389629810485"/>
        <bgColor indexed="64"/>
      </patternFill>
    </fill>
    <fill>
      <patternFill patternType="solid">
        <fgColor rgb="FFCCFFCC"/>
        <bgColor indexed="64"/>
      </patternFill>
    </fill>
    <fill>
      <patternFill patternType="solid">
        <fgColor theme="9" tint="0.39997558519241921"/>
        <bgColor indexed="64"/>
      </patternFill>
    </fill>
    <fill>
      <patternFill patternType="solid">
        <fgColor indexed="9"/>
        <bgColor indexed="64"/>
      </patternFill>
    </fill>
    <fill>
      <patternFill patternType="solid">
        <fgColor indexed="42"/>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rgb="FFF2F2F2"/>
      </patternFill>
    </fill>
    <fill>
      <patternFill patternType="solid">
        <fgColor theme="2" tint="-9.9978637043366805E-2"/>
        <bgColor indexed="64"/>
      </patternFill>
    </fill>
    <fill>
      <patternFill patternType="solid">
        <fgColor theme="2"/>
        <bgColor indexed="64"/>
      </patternFill>
    </fill>
  </fills>
  <borders count="38">
    <border>
      <left/>
      <right/>
      <top/>
      <bottom/>
      <diagonal/>
    </border>
    <border>
      <left/>
      <right/>
      <top/>
      <bottom style="medium">
        <color rgb="FF95B3D7"/>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top/>
      <bottom style="thin">
        <color theme="4" tint="0.39997558519241921"/>
      </bottom>
      <diagonal/>
    </border>
    <border>
      <left/>
      <right/>
      <top style="thin">
        <color theme="4" tint="0.39997558519241921"/>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rgb="FF3F3F3F"/>
      </left>
      <right style="thin">
        <color rgb="FF3F3F3F"/>
      </right>
      <top style="thin">
        <color rgb="FF3F3F3F"/>
      </top>
      <bottom style="thin">
        <color rgb="FF3F3F3F"/>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style="thin">
        <color indexed="64"/>
      </top>
      <bottom/>
      <diagonal/>
    </border>
    <border>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medium">
        <color indexed="64"/>
      </bottom>
      <diagonal/>
    </border>
    <border>
      <left style="thin">
        <color indexed="64"/>
      </left>
      <right/>
      <top/>
      <bottom style="medium">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s>
  <cellStyleXfs count="23">
    <xf numFmtId="0" fontId="0" fillId="0" borderId="0"/>
    <xf numFmtId="0" fontId="1" fillId="0" borderId="0"/>
    <xf numFmtId="0" fontId="11" fillId="0" borderId="1" applyNumberFormat="0" applyFill="0" applyAlignment="0" applyProtection="0"/>
    <xf numFmtId="9" fontId="12" fillId="0" borderId="0" applyFont="0" applyFill="0" applyBorder="0" applyAlignment="0" applyProtection="0"/>
    <xf numFmtId="0" fontId="12" fillId="0" borderId="0"/>
    <xf numFmtId="0" fontId="12" fillId="0" borderId="0"/>
    <xf numFmtId="9" fontId="1"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 fillId="0" borderId="0"/>
    <xf numFmtId="43" fontId="1" fillId="0" borderId="0" applyFont="0" applyFill="0" applyBorder="0" applyAlignment="0" applyProtection="0"/>
    <xf numFmtId="0" fontId="1" fillId="0" borderId="0"/>
    <xf numFmtId="0" fontId="16" fillId="0" borderId="0"/>
    <xf numFmtId="9" fontId="12" fillId="0" borderId="0" applyFon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5" fillId="28" borderId="25" applyNumberFormat="0" applyAlignment="0" applyProtection="0"/>
    <xf numFmtId="0" fontId="12" fillId="0" borderId="0"/>
    <xf numFmtId="0" fontId="12" fillId="0" borderId="0"/>
  </cellStyleXfs>
  <cellXfs count="434">
    <xf numFmtId="0" fontId="0" fillId="0" borderId="0" xfId="0"/>
    <xf numFmtId="0" fontId="1" fillId="0" borderId="0" xfId="1" applyNumberFormat="1" applyFont="1" applyFill="1" applyBorder="1" applyAlignment="1" applyProtection="1"/>
    <xf numFmtId="0" fontId="0" fillId="0" borderId="0" xfId="0" applyNumberFormat="1" applyFont="1" applyFill="1" applyBorder="1" applyAlignment="1" applyProtection="1">
      <alignment wrapText="1"/>
    </xf>
    <xf numFmtId="0" fontId="1" fillId="0" borderId="0" xfId="1" applyNumberFormat="1" applyFont="1" applyFill="1" applyBorder="1" applyAlignment="1" applyProtection="1">
      <alignment wrapText="1"/>
    </xf>
    <xf numFmtId="0" fontId="15" fillId="0" borderId="0" xfId="0" applyFont="1" applyAlignment="1" applyProtection="1">
      <alignment wrapText="1"/>
      <protection hidden="1"/>
    </xf>
    <xf numFmtId="0" fontId="0" fillId="0" borderId="0" xfId="1" applyNumberFormat="1" applyFont="1" applyFill="1" applyBorder="1" applyAlignment="1" applyProtection="1">
      <alignment wrapText="1"/>
    </xf>
    <xf numFmtId="0" fontId="0" fillId="5" borderId="2" xfId="0" applyNumberFormat="1" applyFont="1" applyFill="1" applyBorder="1" applyAlignment="1" applyProtection="1">
      <alignment wrapText="1"/>
    </xf>
    <xf numFmtId="0" fontId="0" fillId="0" borderId="3" xfId="0" applyNumberFormat="1" applyFont="1" applyFill="1" applyBorder="1" applyAlignment="1" applyProtection="1">
      <alignment wrapText="1"/>
    </xf>
    <xf numFmtId="0" fontId="0" fillId="0" borderId="4" xfId="0" applyNumberFormat="1" applyFont="1" applyFill="1" applyBorder="1" applyAlignment="1" applyProtection="1">
      <alignment wrapText="1"/>
    </xf>
    <xf numFmtId="0" fontId="0" fillId="0" borderId="5" xfId="0" applyNumberFormat="1" applyFont="1" applyFill="1" applyBorder="1" applyAlignment="1" applyProtection="1">
      <alignment wrapText="1"/>
    </xf>
    <xf numFmtId="0" fontId="3" fillId="6" borderId="0" xfId="0" applyNumberFormat="1" applyFont="1" applyFill="1" applyBorder="1" applyAlignment="1" applyProtection="1"/>
    <xf numFmtId="0" fontId="0" fillId="6" borderId="0" xfId="0" applyNumberFormat="1" applyFont="1" applyFill="1" applyBorder="1" applyAlignment="1" applyProtection="1"/>
    <xf numFmtId="0" fontId="0" fillId="0" borderId="0" xfId="0" applyNumberFormat="1" applyFont="1" applyFill="1" applyBorder="1" applyAlignment="1" applyProtection="1"/>
    <xf numFmtId="9" fontId="1" fillId="0" borderId="0" xfId="3" applyFont="1" applyFill="1" applyBorder="1" applyAlignment="1" applyProtection="1"/>
    <xf numFmtId="0" fontId="0" fillId="0" borderId="0" xfId="0" applyAlignment="1">
      <alignment wrapText="1"/>
    </xf>
    <xf numFmtId="0" fontId="0" fillId="4" borderId="0" xfId="0" applyFill="1" applyAlignment="1">
      <alignment wrapText="1"/>
    </xf>
    <xf numFmtId="0" fontId="0" fillId="0" borderId="0" xfId="0" applyFill="1" applyAlignment="1">
      <alignment wrapText="1"/>
    </xf>
    <xf numFmtId="9" fontId="0" fillId="0" borderId="0" xfId="6" applyFont="1"/>
    <xf numFmtId="9" fontId="0" fillId="0" borderId="0" xfId="3" applyFont="1"/>
    <xf numFmtId="0" fontId="29" fillId="18" borderId="0" xfId="5" applyFont="1" applyFill="1" applyAlignment="1">
      <alignment wrapText="1"/>
    </xf>
    <xf numFmtId="0" fontId="12" fillId="18" borderId="0" xfId="5" applyFill="1"/>
    <xf numFmtId="0" fontId="12" fillId="18" borderId="0" xfId="5" applyFill="1" applyAlignment="1">
      <alignment wrapText="1"/>
    </xf>
    <xf numFmtId="0" fontId="16" fillId="18" borderId="0" xfId="5" applyFont="1" applyFill="1" applyAlignment="1">
      <alignment wrapText="1"/>
    </xf>
    <xf numFmtId="0" fontId="15" fillId="0" borderId="0" xfId="0" applyFont="1"/>
    <xf numFmtId="0" fontId="15" fillId="0" borderId="0" xfId="0" applyFont="1" applyAlignment="1">
      <alignment wrapText="1"/>
    </xf>
    <xf numFmtId="0" fontId="15" fillId="0" borderId="0" xfId="0" applyFont="1" applyAlignment="1">
      <alignment horizontal="left" wrapText="1"/>
    </xf>
    <xf numFmtId="164" fontId="0" fillId="0" borderId="0" xfId="6" applyNumberFormat="1" applyFont="1" applyAlignment="1">
      <alignment wrapText="1"/>
    </xf>
    <xf numFmtId="9" fontId="0" fillId="0" borderId="0" xfId="0" applyNumberFormat="1"/>
    <xf numFmtId="167" fontId="0" fillId="0" borderId="0" xfId="3" applyNumberFormat="1" applyFont="1"/>
    <xf numFmtId="0" fontId="29" fillId="10" borderId="0" xfId="0" applyFont="1" applyFill="1"/>
    <xf numFmtId="2" fontId="32" fillId="10" borderId="0" xfId="5" applyNumberFormat="1" applyFont="1" applyFill="1"/>
    <xf numFmtId="2" fontId="16" fillId="0" borderId="0" xfId="5" applyNumberFormat="1" applyFont="1" applyFill="1"/>
    <xf numFmtId="164" fontId="0" fillId="0" borderId="0" xfId="6" applyNumberFormat="1" applyFont="1"/>
    <xf numFmtId="0" fontId="12" fillId="24" borderId="0" xfId="11" applyFill="1" applyProtection="1">
      <protection hidden="1"/>
    </xf>
    <xf numFmtId="0" fontId="40" fillId="24" borderId="0" xfId="15" applyFont="1" applyFill="1" applyProtection="1">
      <protection hidden="1"/>
    </xf>
    <xf numFmtId="0" fontId="16" fillId="24" borderId="0" xfId="16" applyFill="1" applyProtection="1">
      <protection hidden="1"/>
    </xf>
    <xf numFmtId="0" fontId="16" fillId="9" borderId="0" xfId="16" applyFill="1" applyProtection="1">
      <protection hidden="1"/>
    </xf>
    <xf numFmtId="0" fontId="41" fillId="24" borderId="0" xfId="15" applyFont="1" applyFill="1" applyProtection="1">
      <protection hidden="1"/>
    </xf>
    <xf numFmtId="0" fontId="16" fillId="24" borderId="0" xfId="16" applyFont="1" applyFill="1" applyProtection="1">
      <protection hidden="1"/>
    </xf>
    <xf numFmtId="0" fontId="42" fillId="24" borderId="0" xfId="16" applyFont="1" applyFill="1" applyProtection="1">
      <protection hidden="1"/>
    </xf>
    <xf numFmtId="0" fontId="43" fillId="24" borderId="0" xfId="15" applyFont="1" applyFill="1" applyProtection="1">
      <protection hidden="1"/>
    </xf>
    <xf numFmtId="0" fontId="45" fillId="0" borderId="0" xfId="11" applyFont="1" applyBorder="1" applyAlignment="1" applyProtection="1">
      <protection hidden="1"/>
    </xf>
    <xf numFmtId="0" fontId="16" fillId="24" borderId="0" xfId="16" applyFill="1" applyProtection="1">
      <protection locked="0" hidden="1"/>
    </xf>
    <xf numFmtId="0" fontId="12" fillId="9" borderId="0" xfId="11" applyFill="1" applyProtection="1">
      <protection hidden="1"/>
    </xf>
    <xf numFmtId="0" fontId="1" fillId="9" borderId="0" xfId="15" applyFill="1" applyBorder="1" applyProtection="1">
      <protection hidden="1"/>
    </xf>
    <xf numFmtId="0" fontId="15" fillId="9" borderId="0" xfId="15" applyFont="1" applyFill="1" applyBorder="1" applyProtection="1">
      <protection hidden="1"/>
    </xf>
    <xf numFmtId="0" fontId="47" fillId="9" borderId="0" xfId="15" applyFont="1" applyFill="1" applyBorder="1" applyAlignment="1" applyProtection="1">
      <alignment horizontal="center"/>
      <protection hidden="1"/>
    </xf>
    <xf numFmtId="0" fontId="1" fillId="25" borderId="0" xfId="15" applyFont="1" applyFill="1" applyBorder="1" applyProtection="1">
      <protection hidden="1"/>
    </xf>
    <xf numFmtId="0" fontId="47" fillId="25" borderId="0" xfId="15" applyFont="1" applyFill="1" applyBorder="1" applyAlignment="1" applyProtection="1">
      <alignment horizontal="center"/>
      <protection hidden="1"/>
    </xf>
    <xf numFmtId="0" fontId="1" fillId="25" borderId="0" xfId="15" applyFill="1" applyBorder="1" applyProtection="1">
      <protection hidden="1"/>
    </xf>
    <xf numFmtId="0" fontId="12" fillId="25" borderId="0" xfId="11" applyFill="1" applyProtection="1">
      <protection hidden="1"/>
    </xf>
    <xf numFmtId="0" fontId="1" fillId="25" borderId="0" xfId="15" applyFill="1" applyBorder="1" applyAlignment="1" applyProtection="1">
      <alignment horizontal="center"/>
      <protection hidden="1"/>
    </xf>
    <xf numFmtId="0" fontId="48" fillId="25" borderId="0" xfId="15" applyFont="1" applyFill="1" applyBorder="1" applyAlignment="1" applyProtection="1">
      <alignment horizontal="left"/>
      <protection hidden="1"/>
    </xf>
    <xf numFmtId="0" fontId="48" fillId="25" borderId="0" xfId="15" applyFont="1" applyFill="1" applyBorder="1" applyProtection="1">
      <protection hidden="1"/>
    </xf>
    <xf numFmtId="0" fontId="3" fillId="25" borderId="0" xfId="15" applyFont="1" applyFill="1" applyBorder="1" applyProtection="1">
      <protection hidden="1"/>
    </xf>
    <xf numFmtId="0" fontId="16" fillId="25" borderId="0" xfId="16" applyFill="1" applyBorder="1" applyProtection="1">
      <protection hidden="1"/>
    </xf>
    <xf numFmtId="0" fontId="3" fillId="25" borderId="0" xfId="15" applyFont="1" applyFill="1" applyBorder="1" applyAlignment="1" applyProtection="1">
      <alignment horizontal="left"/>
      <protection hidden="1"/>
    </xf>
    <xf numFmtId="0" fontId="47" fillId="25" borderId="0" xfId="15" applyFont="1" applyFill="1" applyBorder="1" applyProtection="1">
      <protection hidden="1"/>
    </xf>
    <xf numFmtId="2" fontId="1" fillId="24" borderId="0" xfId="15" applyNumberFormat="1" applyFill="1" applyBorder="1" applyAlignment="1" applyProtection="1">
      <alignment horizontal="center"/>
      <protection hidden="1"/>
    </xf>
    <xf numFmtId="2" fontId="1" fillId="25" borderId="0" xfId="15" applyNumberFormat="1" applyFill="1" applyBorder="1" applyAlignment="1" applyProtection="1">
      <alignment horizontal="center"/>
      <protection hidden="1"/>
    </xf>
    <xf numFmtId="0" fontId="49" fillId="25" borderId="0" xfId="15" applyFont="1" applyFill="1" applyBorder="1" applyProtection="1">
      <protection hidden="1"/>
    </xf>
    <xf numFmtId="0" fontId="50" fillId="25" borderId="0" xfId="15" applyFont="1" applyFill="1" applyBorder="1" applyProtection="1">
      <protection hidden="1"/>
    </xf>
    <xf numFmtId="0" fontId="51" fillId="25" borderId="0" xfId="15" applyFont="1" applyFill="1" applyBorder="1" applyProtection="1">
      <protection hidden="1"/>
    </xf>
    <xf numFmtId="0" fontId="28" fillId="24" borderId="0" xfId="11" applyFont="1" applyFill="1" applyProtection="1">
      <protection hidden="1"/>
    </xf>
    <xf numFmtId="1" fontId="1" fillId="24" borderId="0" xfId="15" applyNumberFormat="1" applyFill="1" applyBorder="1" applyAlignment="1" applyProtection="1">
      <alignment horizontal="left"/>
      <protection hidden="1"/>
    </xf>
    <xf numFmtId="0" fontId="52" fillId="25" borderId="0" xfId="15" applyFont="1" applyFill="1" applyBorder="1" applyProtection="1">
      <protection hidden="1"/>
    </xf>
    <xf numFmtId="0" fontId="47" fillId="25" borderId="0" xfId="15" applyFont="1" applyFill="1" applyBorder="1" applyAlignment="1" applyProtection="1">
      <alignment horizontal="left"/>
      <protection hidden="1"/>
    </xf>
    <xf numFmtId="1" fontId="1" fillId="25" borderId="0" xfId="15" applyNumberFormat="1" applyFill="1" applyBorder="1" applyAlignment="1" applyProtection="1">
      <alignment horizontal="center"/>
      <protection hidden="1"/>
    </xf>
    <xf numFmtId="1" fontId="1" fillId="24" borderId="0" xfId="15" applyNumberFormat="1" applyFont="1" applyFill="1" applyBorder="1" applyAlignment="1" applyProtection="1">
      <alignment horizontal="left"/>
      <protection hidden="1"/>
    </xf>
    <xf numFmtId="0" fontId="53" fillId="25" borderId="0" xfId="15" applyFont="1" applyFill="1" applyBorder="1" applyProtection="1">
      <protection hidden="1"/>
    </xf>
    <xf numFmtId="0" fontId="6" fillId="25" borderId="0" xfId="15" applyFont="1" applyFill="1" applyBorder="1" applyProtection="1">
      <protection hidden="1"/>
    </xf>
    <xf numFmtId="9" fontId="1" fillId="24" borderId="0" xfId="17" applyFont="1" applyFill="1" applyBorder="1" applyAlignment="1" applyProtection="1">
      <alignment horizontal="left"/>
      <protection hidden="1"/>
    </xf>
    <xf numFmtId="0" fontId="1" fillId="25" borderId="0" xfId="15" applyFill="1" applyBorder="1" applyAlignment="1" applyProtection="1">
      <alignment horizontal="left"/>
      <protection hidden="1"/>
    </xf>
    <xf numFmtId="0" fontId="48" fillId="25" borderId="0" xfId="15" applyFont="1" applyFill="1" applyBorder="1" applyAlignment="1" applyProtection="1">
      <protection hidden="1"/>
    </xf>
    <xf numFmtId="0" fontId="47" fillId="25" borderId="0" xfId="15" applyFont="1" applyFill="1" applyBorder="1" applyAlignment="1" applyProtection="1">
      <protection hidden="1"/>
    </xf>
    <xf numFmtId="0" fontId="52" fillId="25" borderId="0" xfId="15" applyFont="1" applyFill="1" applyBorder="1" applyAlignment="1" applyProtection="1">
      <alignment horizontal="left"/>
      <protection hidden="1"/>
    </xf>
    <xf numFmtId="2" fontId="47" fillId="25" borderId="0" xfId="15" applyNumberFormat="1" applyFont="1" applyFill="1" applyBorder="1" applyAlignment="1" applyProtection="1">
      <alignment horizontal="left"/>
      <protection hidden="1"/>
    </xf>
    <xf numFmtId="165" fontId="1" fillId="24" borderId="0" xfId="15" applyNumberFormat="1" applyFill="1" applyBorder="1" applyAlignment="1" applyProtection="1">
      <alignment horizontal="left"/>
      <protection hidden="1"/>
    </xf>
    <xf numFmtId="0" fontId="1" fillId="25" borderId="0" xfId="15" applyFill="1" applyBorder="1" applyAlignment="1" applyProtection="1">
      <protection hidden="1"/>
    </xf>
    <xf numFmtId="0" fontId="15" fillId="25" borderId="0" xfId="15" applyFont="1" applyFill="1" applyBorder="1" applyProtection="1">
      <protection hidden="1"/>
    </xf>
    <xf numFmtId="2" fontId="54" fillId="22" borderId="0" xfId="15" applyNumberFormat="1" applyFont="1" applyFill="1" applyBorder="1" applyAlignment="1" applyProtection="1">
      <alignment horizontal="left" wrapText="1"/>
      <protection hidden="1"/>
    </xf>
    <xf numFmtId="0" fontId="56" fillId="25" borderId="0" xfId="15" applyFont="1" applyFill="1" applyBorder="1" applyProtection="1">
      <protection hidden="1"/>
    </xf>
    <xf numFmtId="9" fontId="1" fillId="25" borderId="0" xfId="17" applyFont="1" applyFill="1" applyBorder="1" applyProtection="1">
      <protection hidden="1"/>
    </xf>
    <xf numFmtId="0" fontId="57" fillId="25" borderId="0" xfId="15" applyFont="1" applyFill="1" applyBorder="1" applyProtection="1">
      <protection hidden="1"/>
    </xf>
    <xf numFmtId="0" fontId="12" fillId="22" borderId="0" xfId="11" applyFill="1" applyProtection="1">
      <protection hidden="1"/>
    </xf>
    <xf numFmtId="0" fontId="58" fillId="25" borderId="0" xfId="15" applyFont="1" applyFill="1" applyBorder="1" applyProtection="1">
      <protection hidden="1"/>
    </xf>
    <xf numFmtId="0" fontId="1" fillId="22" borderId="0" xfId="15" applyFill="1" applyBorder="1" applyProtection="1">
      <protection hidden="1"/>
    </xf>
    <xf numFmtId="0" fontId="60" fillId="22" borderId="0" xfId="11" applyFont="1" applyFill="1" applyProtection="1">
      <protection hidden="1"/>
    </xf>
    <xf numFmtId="9" fontId="59" fillId="22" borderId="0" xfId="6" applyFont="1" applyFill="1" applyProtection="1">
      <protection hidden="1"/>
    </xf>
    <xf numFmtId="0" fontId="16" fillId="25" borderId="0" xfId="16" applyFont="1" applyFill="1" applyBorder="1" applyAlignment="1" applyProtection="1">
      <alignment wrapText="1"/>
      <protection hidden="1"/>
    </xf>
    <xf numFmtId="0" fontId="16" fillId="25" borderId="0" xfId="16" applyFont="1" applyFill="1" applyBorder="1" applyProtection="1">
      <protection hidden="1"/>
    </xf>
    <xf numFmtId="0" fontId="61" fillId="9" borderId="0" xfId="11" applyFont="1" applyFill="1" applyProtection="1">
      <protection hidden="1"/>
    </xf>
    <xf numFmtId="0" fontId="61" fillId="24" borderId="0" xfId="11" applyFont="1" applyFill="1" applyProtection="1">
      <protection hidden="1"/>
    </xf>
    <xf numFmtId="0" fontId="62" fillId="24" borderId="0" xfId="11" applyFont="1" applyFill="1" applyProtection="1">
      <protection hidden="1"/>
    </xf>
    <xf numFmtId="0" fontId="1" fillId="9" borderId="21" xfId="1" applyFill="1" applyBorder="1" applyAlignment="1" applyProtection="1">
      <alignment wrapText="1"/>
      <protection hidden="1"/>
    </xf>
    <xf numFmtId="0" fontId="3" fillId="9" borderId="22" xfId="1" applyFont="1" applyFill="1" applyBorder="1" applyAlignment="1" applyProtection="1">
      <alignment wrapText="1"/>
      <protection hidden="1"/>
    </xf>
    <xf numFmtId="0" fontId="3" fillId="9" borderId="23" xfId="1" applyFont="1" applyFill="1" applyBorder="1" applyAlignment="1" applyProtection="1">
      <alignment wrapText="1"/>
      <protection hidden="1"/>
    </xf>
    <xf numFmtId="0" fontId="1" fillId="9" borderId="0" xfId="1" applyFill="1" applyAlignment="1" applyProtection="1">
      <alignment wrapText="1"/>
      <protection hidden="1"/>
    </xf>
    <xf numFmtId="0" fontId="1" fillId="9" borderId="24" xfId="1" applyFill="1" applyBorder="1" applyProtection="1">
      <protection hidden="1"/>
    </xf>
    <xf numFmtId="1" fontId="1" fillId="9" borderId="24" xfId="1" applyNumberFormat="1" applyFill="1" applyBorder="1" applyProtection="1">
      <protection hidden="1"/>
    </xf>
    <xf numFmtId="0" fontId="1" fillId="9" borderId="0" xfId="1" applyFill="1" applyProtection="1">
      <protection hidden="1"/>
    </xf>
    <xf numFmtId="0" fontId="1" fillId="9" borderId="14" xfId="1" applyFill="1" applyBorder="1" applyProtection="1">
      <protection hidden="1"/>
    </xf>
    <xf numFmtId="1" fontId="1" fillId="9" borderId="14" xfId="1" applyNumberFormat="1" applyFill="1" applyBorder="1" applyProtection="1">
      <protection hidden="1"/>
    </xf>
    <xf numFmtId="165" fontId="1" fillId="9" borderId="14" xfId="1" applyNumberFormat="1" applyFill="1" applyBorder="1" applyProtection="1">
      <protection hidden="1"/>
    </xf>
    <xf numFmtId="0" fontId="1" fillId="0" borderId="14" xfId="1" applyFill="1" applyBorder="1" applyProtection="1">
      <protection hidden="1"/>
    </xf>
    <xf numFmtId="1" fontId="1" fillId="0" borderId="14" xfId="1" applyNumberFormat="1" applyFill="1" applyBorder="1" applyProtection="1">
      <protection hidden="1"/>
    </xf>
    <xf numFmtId="2" fontId="1" fillId="0" borderId="14" xfId="1" applyNumberFormat="1" applyFill="1" applyBorder="1" applyProtection="1">
      <protection hidden="1"/>
    </xf>
    <xf numFmtId="0" fontId="1" fillId="9" borderId="13" xfId="1" applyFill="1" applyBorder="1" applyProtection="1">
      <protection hidden="1"/>
    </xf>
    <xf numFmtId="1" fontId="1" fillId="9" borderId="13" xfId="1" applyNumberFormat="1" applyFill="1" applyBorder="1" applyProtection="1">
      <protection hidden="1"/>
    </xf>
    <xf numFmtId="0" fontId="63" fillId="9" borderId="0" xfId="18" applyFill="1" applyProtection="1">
      <protection hidden="1"/>
    </xf>
    <xf numFmtId="0" fontId="62" fillId="0" borderId="0" xfId="0" applyNumberFormat="1" applyFont="1" applyFill="1" applyBorder="1" applyAlignment="1" applyProtection="1"/>
    <xf numFmtId="0" fontId="16" fillId="26" borderId="0" xfId="0" applyFont="1" applyFill="1"/>
    <xf numFmtId="0" fontId="29" fillId="0" borderId="0" xfId="0" applyFont="1"/>
    <xf numFmtId="0" fontId="16" fillId="0" borderId="0" xfId="0" applyFont="1"/>
    <xf numFmtId="0" fontId="13" fillId="0" borderId="0" xfId="0" applyFont="1"/>
    <xf numFmtId="2" fontId="0" fillId="27" borderId="0" xfId="0" applyNumberFormat="1" applyFill="1"/>
    <xf numFmtId="2" fontId="13" fillId="27" borderId="0" xfId="0" applyNumberFormat="1" applyFont="1" applyFill="1"/>
    <xf numFmtId="0" fontId="0" fillId="27" borderId="0" xfId="0" applyFill="1"/>
    <xf numFmtId="165" fontId="0" fillId="27" borderId="0" xfId="0" applyNumberFormat="1" applyFill="1"/>
    <xf numFmtId="0" fontId="19" fillId="0" borderId="0" xfId="0" applyFont="1" applyProtection="1">
      <protection hidden="1"/>
    </xf>
    <xf numFmtId="0" fontId="67" fillId="0" borderId="0" xfId="0" applyFont="1" applyProtection="1">
      <protection hidden="1"/>
    </xf>
    <xf numFmtId="0" fontId="0" fillId="0" borderId="0" xfId="0" applyProtection="1">
      <protection hidden="1"/>
    </xf>
    <xf numFmtId="0" fontId="29" fillId="0" borderId="0" xfId="5" applyFont="1" applyAlignment="1" applyProtection="1">
      <alignment horizontal="center" vertical="center" wrapText="1"/>
      <protection hidden="1"/>
    </xf>
    <xf numFmtId="0" fontId="29" fillId="0" borderId="0" xfId="5" applyFont="1" applyFill="1" applyAlignment="1" applyProtection="1">
      <alignment horizontal="center" vertical="center" wrapText="1"/>
      <protection hidden="1"/>
    </xf>
    <xf numFmtId="0" fontId="30" fillId="0" borderId="0" xfId="5" applyFont="1" applyFill="1" applyAlignment="1" applyProtection="1">
      <alignment horizontal="center" vertical="center" wrapText="1"/>
      <protection hidden="1"/>
    </xf>
    <xf numFmtId="0" fontId="16" fillId="0" borderId="0" xfId="5" applyFont="1" applyAlignment="1" applyProtection="1">
      <alignment vertical="top"/>
      <protection hidden="1"/>
    </xf>
    <xf numFmtId="0" fontId="29" fillId="29" borderId="3" xfId="5" applyFont="1" applyFill="1" applyBorder="1" applyAlignment="1" applyProtection="1">
      <alignment horizontal="center" vertical="center" wrapText="1"/>
      <protection hidden="1"/>
    </xf>
    <xf numFmtId="0" fontId="29" fillId="29" borderId="5" xfId="5" applyFont="1" applyFill="1" applyBorder="1" applyAlignment="1" applyProtection="1">
      <alignment horizontal="center" vertical="center"/>
      <protection hidden="1"/>
    </xf>
    <xf numFmtId="0" fontId="16" fillId="0" borderId="0" xfId="5" applyFont="1" applyFill="1" applyAlignment="1" applyProtection="1">
      <alignment horizontal="center" vertical="center" wrapText="1"/>
      <protection hidden="1"/>
    </xf>
    <xf numFmtId="0" fontId="15" fillId="0" borderId="0" xfId="0" applyNumberFormat="1" applyFont="1" applyFill="1" applyBorder="1" applyAlignment="1" applyProtection="1">
      <alignment wrapText="1"/>
      <protection hidden="1"/>
    </xf>
    <xf numFmtId="0" fontId="15" fillId="0" borderId="0" xfId="0" applyFont="1" applyFill="1" applyAlignment="1" applyProtection="1">
      <alignment wrapText="1"/>
      <protection hidden="1"/>
    </xf>
    <xf numFmtId="0" fontId="15" fillId="8" borderId="0" xfId="0" applyFont="1" applyFill="1" applyAlignment="1" applyProtection="1">
      <alignment wrapText="1"/>
      <protection hidden="1"/>
    </xf>
    <xf numFmtId="0" fontId="11" fillId="0" borderId="1" xfId="2" applyFont="1" applyFill="1" applyBorder="1" applyAlignment="1" applyProtection="1">
      <alignment wrapText="1"/>
      <protection hidden="1"/>
    </xf>
    <xf numFmtId="0" fontId="1" fillId="13" borderId="0" xfId="1" applyNumberFormat="1" applyFont="1" applyFill="1" applyBorder="1" applyAlignment="1" applyProtection="1">
      <protection hidden="1"/>
    </xf>
    <xf numFmtId="0" fontId="1" fillId="14" borderId="0" xfId="1" applyNumberFormat="1" applyFont="1" applyFill="1" applyBorder="1" applyAlignment="1" applyProtection="1">
      <protection hidden="1"/>
    </xf>
    <xf numFmtId="0" fontId="1" fillId="11" borderId="0" xfId="1" applyNumberFormat="1" applyFont="1" applyFill="1" applyBorder="1" applyAlignment="1" applyProtection="1">
      <protection hidden="1"/>
    </xf>
    <xf numFmtId="0" fontId="11" fillId="0" borderId="0" xfId="2" applyFont="1" applyFill="1" applyBorder="1" applyAlignment="1" applyProtection="1">
      <alignment wrapText="1"/>
      <protection hidden="1"/>
    </xf>
    <xf numFmtId="0" fontId="1" fillId="0" borderId="0" xfId="1" applyNumberFormat="1" applyFont="1" applyFill="1" applyBorder="1" applyAlignment="1" applyProtection="1">
      <protection hidden="1"/>
    </xf>
    <xf numFmtId="0" fontId="0" fillId="13" borderId="0" xfId="0" applyFill="1" applyProtection="1">
      <protection hidden="1"/>
    </xf>
    <xf numFmtId="0" fontId="0" fillId="14" borderId="0" xfId="0" applyFill="1" applyProtection="1">
      <protection hidden="1"/>
    </xf>
    <xf numFmtId="0" fontId="0" fillId="11" borderId="0" xfId="0" applyFill="1" applyProtection="1">
      <protection hidden="1"/>
    </xf>
    <xf numFmtId="0" fontId="7" fillId="3" borderId="0" xfId="1" applyFont="1" applyFill="1" applyProtection="1">
      <protection hidden="1"/>
    </xf>
    <xf numFmtId="0" fontId="2" fillId="0" borderId="0" xfId="1" applyFont="1" applyProtection="1">
      <protection hidden="1"/>
    </xf>
    <xf numFmtId="0" fontId="1" fillId="0" borderId="0" xfId="1" applyProtection="1">
      <protection hidden="1"/>
    </xf>
    <xf numFmtId="0" fontId="3" fillId="0" borderId="0" xfId="1" applyFont="1" applyProtection="1">
      <protection hidden="1"/>
    </xf>
    <xf numFmtId="0" fontId="3" fillId="2" borderId="0" xfId="1" applyFont="1" applyFill="1" applyAlignment="1" applyProtection="1">
      <alignment wrapText="1"/>
      <protection hidden="1"/>
    </xf>
    <xf numFmtId="0" fontId="4" fillId="0" borderId="0" xfId="1" applyNumberFormat="1" applyFont="1" applyFill="1" applyBorder="1" applyAlignment="1" applyProtection="1">
      <protection hidden="1"/>
    </xf>
    <xf numFmtId="0" fontId="5" fillId="0" borderId="0" xfId="1" applyNumberFormat="1" applyFont="1" applyFill="1" applyBorder="1" applyAlignment="1" applyProtection="1">
      <protection hidden="1"/>
    </xf>
    <xf numFmtId="0" fontId="4" fillId="3" borderId="0" xfId="1" applyFont="1" applyFill="1" applyProtection="1">
      <protection hidden="1"/>
    </xf>
    <xf numFmtId="0" fontId="6" fillId="0" borderId="0" xfId="1" applyFont="1" applyProtection="1">
      <protection hidden="1"/>
    </xf>
    <xf numFmtId="0" fontId="7" fillId="0" borderId="0" xfId="1" applyNumberFormat="1" applyFont="1" applyFill="1" applyBorder="1" applyAlignment="1" applyProtection="1">
      <protection hidden="1"/>
    </xf>
    <xf numFmtId="0" fontId="7" fillId="0" borderId="0" xfId="1" applyFont="1" applyProtection="1">
      <protection hidden="1"/>
    </xf>
    <xf numFmtId="0" fontId="4" fillId="0" borderId="0" xfId="1" applyFont="1" applyProtection="1">
      <protection hidden="1"/>
    </xf>
    <xf numFmtId="0" fontId="9" fillId="0" borderId="0" xfId="1" applyFont="1" applyProtection="1">
      <protection hidden="1"/>
    </xf>
    <xf numFmtId="0" fontId="10" fillId="0" borderId="0" xfId="1" applyFont="1" applyProtection="1">
      <protection hidden="1"/>
    </xf>
    <xf numFmtId="0" fontId="10" fillId="2" borderId="0" xfId="1" applyFont="1" applyFill="1" applyAlignment="1" applyProtection="1">
      <alignment horizontal="left" wrapText="1"/>
      <protection hidden="1"/>
    </xf>
    <xf numFmtId="0" fontId="7" fillId="0" borderId="0" xfId="1" applyFont="1" applyAlignment="1" applyProtection="1">
      <alignment wrapText="1"/>
      <protection hidden="1"/>
    </xf>
    <xf numFmtId="0" fontId="9" fillId="0" borderId="0" xfId="1" applyNumberFormat="1" applyFont="1" applyFill="1" applyBorder="1" applyAlignment="1" applyProtection="1">
      <protection hidden="1"/>
    </xf>
    <xf numFmtId="0" fontId="10" fillId="2" borderId="0" xfId="1" applyFont="1" applyFill="1" applyAlignment="1" applyProtection="1">
      <alignment wrapText="1"/>
      <protection hidden="1"/>
    </xf>
    <xf numFmtId="0" fontId="7" fillId="4" borderId="0" xfId="1" applyFont="1" applyFill="1" applyProtection="1">
      <protection hidden="1"/>
    </xf>
    <xf numFmtId="0" fontId="8" fillId="0" borderId="0" xfId="1" applyNumberFormat="1" applyFont="1" applyFill="1" applyBorder="1" applyAlignment="1" applyProtection="1">
      <protection hidden="1"/>
    </xf>
    <xf numFmtId="0" fontId="9" fillId="4" borderId="0" xfId="1" applyFont="1" applyFill="1" applyProtection="1">
      <protection hidden="1"/>
    </xf>
    <xf numFmtId="0" fontId="7" fillId="0" borderId="0" xfId="1" applyFont="1" applyFill="1" applyProtection="1">
      <protection hidden="1"/>
    </xf>
    <xf numFmtId="0" fontId="10" fillId="0" borderId="0" xfId="2" applyFont="1" applyFill="1" applyBorder="1" applyAlignment="1" applyProtection="1">
      <alignment wrapText="1"/>
      <protection hidden="1"/>
    </xf>
    <xf numFmtId="0" fontId="20" fillId="8" borderId="0" xfId="0" applyFont="1" applyFill="1" applyProtection="1">
      <protection hidden="1"/>
    </xf>
    <xf numFmtId="0" fontId="0" fillId="8" borderId="0" xfId="0" applyFill="1" applyProtection="1">
      <protection hidden="1"/>
    </xf>
    <xf numFmtId="164" fontId="0" fillId="0" borderId="0" xfId="0" applyNumberFormat="1" applyProtection="1">
      <protection hidden="1"/>
    </xf>
    <xf numFmtId="0" fontId="12" fillId="0" borderId="0" xfId="4" applyFill="1" applyAlignment="1" applyProtection="1">
      <alignment wrapText="1"/>
      <protection hidden="1"/>
    </xf>
    <xf numFmtId="0" fontId="12" fillId="0" borderId="0" xfId="4" applyFont="1" applyFill="1" applyAlignment="1" applyProtection="1">
      <alignment wrapText="1"/>
      <protection hidden="1"/>
    </xf>
    <xf numFmtId="164" fontId="12" fillId="0" borderId="0" xfId="4" applyNumberFormat="1" applyAlignment="1" applyProtection="1">
      <alignment wrapText="1"/>
      <protection hidden="1"/>
    </xf>
    <xf numFmtId="0" fontId="0" fillId="0" borderId="0" xfId="0" applyAlignment="1" applyProtection="1">
      <alignment wrapText="1"/>
      <protection hidden="1"/>
    </xf>
    <xf numFmtId="0" fontId="0" fillId="0" borderId="0" xfId="0" applyNumberFormat="1" applyFont="1" applyFill="1" applyBorder="1" applyAlignment="1" applyProtection="1">
      <protection hidden="1"/>
    </xf>
    <xf numFmtId="9" fontId="0" fillId="0" borderId="0" xfId="3" applyFont="1" applyProtection="1">
      <protection hidden="1"/>
    </xf>
    <xf numFmtId="43" fontId="0" fillId="0" borderId="0" xfId="9" applyFont="1" applyProtection="1">
      <protection hidden="1"/>
    </xf>
    <xf numFmtId="0" fontId="65" fillId="28" borderId="36" xfId="20" applyBorder="1" applyProtection="1">
      <protection hidden="1"/>
    </xf>
    <xf numFmtId="0" fontId="65" fillId="28" borderId="37" xfId="20" applyBorder="1" applyProtection="1">
      <protection hidden="1"/>
    </xf>
    <xf numFmtId="0" fontId="65" fillId="28" borderId="22" xfId="20" applyBorder="1" applyProtection="1">
      <protection hidden="1"/>
    </xf>
    <xf numFmtId="0" fontId="65" fillId="28" borderId="23" xfId="20" applyBorder="1" applyProtection="1">
      <protection hidden="1"/>
    </xf>
    <xf numFmtId="0" fontId="0" fillId="9" borderId="28" xfId="0" applyFill="1" applyBorder="1" applyProtection="1">
      <protection hidden="1"/>
    </xf>
    <xf numFmtId="165" fontId="0" fillId="9" borderId="10" xfId="0" applyNumberFormat="1" applyFill="1" applyBorder="1" applyProtection="1">
      <protection hidden="1"/>
    </xf>
    <xf numFmtId="165" fontId="0" fillId="9" borderId="0" xfId="0" applyNumberFormat="1" applyFill="1" applyBorder="1" applyProtection="1">
      <protection hidden="1"/>
    </xf>
    <xf numFmtId="165" fontId="0" fillId="9" borderId="30" xfId="0" applyNumberFormat="1" applyFill="1" applyBorder="1" applyProtection="1">
      <protection hidden="1"/>
    </xf>
    <xf numFmtId="165" fontId="26" fillId="9" borderId="0" xfId="0" applyNumberFormat="1" applyFont="1" applyFill="1" applyBorder="1" applyAlignment="1" applyProtection="1">
      <alignment horizontal="right"/>
      <protection hidden="1"/>
    </xf>
    <xf numFmtId="165" fontId="26" fillId="9" borderId="30" xfId="0" applyNumberFormat="1" applyFont="1" applyFill="1" applyBorder="1" applyAlignment="1" applyProtection="1">
      <alignment horizontal="right"/>
      <protection hidden="1"/>
    </xf>
    <xf numFmtId="0" fontId="0" fillId="9" borderId="10" xfId="0" applyFill="1" applyBorder="1" applyProtection="1">
      <protection hidden="1"/>
    </xf>
    <xf numFmtId="0" fontId="14" fillId="9" borderId="31" xfId="0" applyFont="1" applyFill="1" applyBorder="1" applyProtection="1">
      <protection hidden="1"/>
    </xf>
    <xf numFmtId="165" fontId="14" fillId="9" borderId="3" xfId="0" applyNumberFormat="1" applyFont="1" applyFill="1" applyBorder="1" applyProtection="1">
      <protection hidden="1"/>
    </xf>
    <xf numFmtId="165" fontId="14" fillId="9" borderId="4" xfId="0" applyNumberFormat="1" applyFont="1" applyFill="1" applyBorder="1" applyProtection="1">
      <protection hidden="1"/>
    </xf>
    <xf numFmtId="165" fontId="14" fillId="9" borderId="32" xfId="0" applyNumberFormat="1" applyFont="1" applyFill="1" applyBorder="1" applyProtection="1">
      <protection hidden="1"/>
    </xf>
    <xf numFmtId="0" fontId="14" fillId="9" borderId="33" xfId="0" applyFont="1" applyFill="1" applyBorder="1" applyProtection="1">
      <protection hidden="1"/>
    </xf>
    <xf numFmtId="0" fontId="14" fillId="9" borderId="12" xfId="0" applyFont="1" applyFill="1" applyBorder="1" applyProtection="1">
      <protection hidden="1"/>
    </xf>
    <xf numFmtId="0" fontId="14" fillId="9" borderId="11" xfId="21" applyFont="1" applyFill="1" applyBorder="1" applyProtection="1">
      <protection hidden="1"/>
    </xf>
    <xf numFmtId="0" fontId="14" fillId="9" borderId="29" xfId="21" applyFont="1" applyFill="1" applyBorder="1" applyProtection="1">
      <protection hidden="1"/>
    </xf>
    <xf numFmtId="0" fontId="14" fillId="9" borderId="28" xfId="0" applyFont="1" applyFill="1" applyBorder="1" applyProtection="1">
      <protection hidden="1"/>
    </xf>
    <xf numFmtId="0" fontId="14" fillId="9" borderId="10" xfId="0" applyFont="1" applyFill="1" applyBorder="1" applyProtection="1">
      <protection hidden="1"/>
    </xf>
    <xf numFmtId="0" fontId="14" fillId="9" borderId="0" xfId="21" applyFont="1" applyFill="1" applyBorder="1" applyProtection="1">
      <protection hidden="1"/>
    </xf>
    <xf numFmtId="0" fontId="66" fillId="9" borderId="0" xfId="21" applyFont="1" applyFill="1" applyBorder="1" applyAlignment="1" applyProtection="1">
      <alignment horizontal="right"/>
      <protection hidden="1"/>
    </xf>
    <xf numFmtId="0" fontId="66" fillId="9" borderId="30" xfId="21" applyFont="1" applyFill="1" applyBorder="1" applyAlignment="1" applyProtection="1">
      <alignment horizontal="right"/>
      <protection hidden="1"/>
    </xf>
    <xf numFmtId="0" fontId="14" fillId="9" borderId="34" xfId="0" applyFont="1" applyFill="1" applyBorder="1" applyProtection="1">
      <protection hidden="1"/>
    </xf>
    <xf numFmtId="0" fontId="14" fillId="9" borderId="35" xfId="0" applyFont="1" applyFill="1" applyBorder="1" applyProtection="1">
      <protection hidden="1"/>
    </xf>
    <xf numFmtId="0" fontId="14" fillId="9" borderId="26" xfId="21" applyFont="1" applyFill="1" applyBorder="1" applyProtection="1">
      <protection hidden="1"/>
    </xf>
    <xf numFmtId="0" fontId="14" fillId="9" borderId="27" xfId="21" applyFont="1" applyFill="1" applyBorder="1" applyProtection="1">
      <protection hidden="1"/>
    </xf>
    <xf numFmtId="0" fontId="0" fillId="0" borderId="0" xfId="0" applyNumberFormat="1" applyFont="1" applyFill="1" applyBorder="1" applyAlignment="1" applyProtection="1">
      <alignment wrapText="1"/>
      <protection hidden="1"/>
    </xf>
    <xf numFmtId="0" fontId="1" fillId="0" borderId="0" xfId="1" applyNumberFormat="1" applyFont="1" applyFill="1" applyBorder="1" applyAlignment="1" applyProtection="1">
      <alignment wrapText="1"/>
      <protection hidden="1"/>
    </xf>
    <xf numFmtId="0" fontId="16" fillId="7" borderId="0" xfId="0" applyFont="1" applyFill="1" applyAlignment="1" applyProtection="1">
      <alignment wrapText="1"/>
      <protection hidden="1"/>
    </xf>
    <xf numFmtId="1" fontId="0" fillId="0" borderId="0" xfId="0" applyNumberFormat="1" applyFont="1" applyFill="1" applyBorder="1" applyAlignment="1" applyProtection="1">
      <protection hidden="1"/>
    </xf>
    <xf numFmtId="0" fontId="14" fillId="15" borderId="16" xfId="0" applyFont="1" applyFill="1" applyBorder="1" applyAlignment="1" applyProtection="1">
      <alignment wrapText="1"/>
      <protection hidden="1"/>
    </xf>
    <xf numFmtId="0" fontId="14" fillId="0" borderId="16" xfId="0" applyFont="1" applyBorder="1" applyAlignment="1" applyProtection="1">
      <alignment horizontal="left"/>
      <protection hidden="1"/>
    </xf>
    <xf numFmtId="0" fontId="14" fillId="0" borderId="16" xfId="0" applyFont="1" applyBorder="1" applyProtection="1">
      <protection hidden="1"/>
    </xf>
    <xf numFmtId="0" fontId="14" fillId="0" borderId="16" xfId="0" applyNumberFormat="1" applyFont="1" applyBorder="1" applyProtection="1">
      <protection hidden="1"/>
    </xf>
    <xf numFmtId="0" fontId="0" fillId="0" borderId="0" xfId="0" applyAlignment="1" applyProtection="1">
      <alignment horizontal="left"/>
      <protection hidden="1"/>
    </xf>
    <xf numFmtId="0" fontId="0" fillId="0" borderId="0" xfId="0" applyNumberFormat="1" applyProtection="1">
      <protection hidden="1"/>
    </xf>
    <xf numFmtId="0" fontId="0" fillId="11" borderId="0" xfId="0" applyNumberFormat="1" applyFill="1" applyProtection="1">
      <protection hidden="1"/>
    </xf>
    <xf numFmtId="0" fontId="0" fillId="0" borderId="0" xfId="0" applyNumberFormat="1" applyFill="1" applyProtection="1">
      <protection hidden="1"/>
    </xf>
    <xf numFmtId="0" fontId="14" fillId="15" borderId="17" xfId="0" applyFont="1" applyFill="1" applyBorder="1" applyAlignment="1" applyProtection="1">
      <alignment horizontal="left"/>
      <protection hidden="1"/>
    </xf>
    <xf numFmtId="0" fontId="14" fillId="15" borderId="17" xfId="0" applyFont="1" applyFill="1" applyBorder="1" applyProtection="1">
      <protection hidden="1"/>
    </xf>
    <xf numFmtId="0" fontId="14" fillId="15" borderId="17" xfId="0" applyNumberFormat="1" applyFont="1" applyFill="1" applyBorder="1" applyProtection="1">
      <protection hidden="1"/>
    </xf>
    <xf numFmtId="0" fontId="29" fillId="2" borderId="0" xfId="5" applyFont="1" applyFill="1" applyAlignment="1" applyProtection="1">
      <alignment horizontal="center" vertical="center" wrapText="1"/>
      <protection hidden="1"/>
    </xf>
    <xf numFmtId="0" fontId="16" fillId="16" borderId="0" xfId="5" applyFont="1" applyFill="1" applyAlignment="1" applyProtection="1">
      <alignment vertical="top" wrapText="1"/>
      <protection hidden="1"/>
    </xf>
    <xf numFmtId="0" fontId="16" fillId="16" borderId="0" xfId="5" applyFont="1" applyFill="1" applyAlignment="1" applyProtection="1">
      <alignment vertical="top"/>
      <protection hidden="1"/>
    </xf>
    <xf numFmtId="0" fontId="31" fillId="16" borderId="0" xfId="5" applyFont="1" applyFill="1" applyAlignment="1" applyProtection="1">
      <alignment vertical="top" wrapText="1"/>
      <protection hidden="1"/>
    </xf>
    <xf numFmtId="0" fontId="31" fillId="17" borderId="0" xfId="5" applyFont="1" applyFill="1" applyAlignment="1" applyProtection="1">
      <alignment wrapText="1"/>
      <protection hidden="1"/>
    </xf>
    <xf numFmtId="0" fontId="29" fillId="16" borderId="0" xfId="5" applyFont="1" applyFill="1" applyAlignment="1" applyProtection="1">
      <alignment wrapText="1"/>
      <protection hidden="1"/>
    </xf>
    <xf numFmtId="0" fontId="16" fillId="16" borderId="0" xfId="5" applyFont="1" applyFill="1" applyProtection="1">
      <protection hidden="1"/>
    </xf>
    <xf numFmtId="0" fontId="0" fillId="0" borderId="0" xfId="0" applyFont="1" applyBorder="1" applyAlignment="1" applyProtection="1">
      <alignment horizontal="left"/>
      <protection hidden="1"/>
    </xf>
    <xf numFmtId="0" fontId="0" fillId="0" borderId="0" xfId="0" applyAlignment="1" applyProtection="1">
      <protection hidden="1"/>
    </xf>
    <xf numFmtId="2" fontId="0" fillId="0" borderId="0" xfId="0" applyNumberFormat="1" applyProtection="1">
      <protection hidden="1"/>
    </xf>
    <xf numFmtId="0" fontId="26" fillId="0" borderId="0" xfId="0" applyFont="1" applyProtection="1">
      <protection hidden="1"/>
    </xf>
    <xf numFmtId="9" fontId="26" fillId="0" borderId="0" xfId="3" applyFont="1" applyProtection="1">
      <protection hidden="1"/>
    </xf>
    <xf numFmtId="0" fontId="14" fillId="9" borderId="7" xfId="5" applyFont="1" applyFill="1" applyBorder="1" applyAlignment="1" applyProtection="1">
      <alignment horizontal="left"/>
      <protection hidden="1"/>
    </xf>
    <xf numFmtId="0" fontId="14" fillId="9" borderId="7" xfId="5" applyFont="1" applyFill="1" applyBorder="1" applyAlignment="1" applyProtection="1">
      <alignment horizontal="center" vertical="center" wrapText="1"/>
      <protection hidden="1"/>
    </xf>
    <xf numFmtId="0" fontId="14" fillId="9" borderId="7" xfId="5" applyFont="1" applyFill="1" applyBorder="1" applyAlignment="1" applyProtection="1">
      <alignment horizontal="center" vertical="center"/>
      <protection hidden="1"/>
    </xf>
    <xf numFmtId="0" fontId="12" fillId="0" borderId="0" xfId="5" applyProtection="1">
      <protection hidden="1"/>
    </xf>
    <xf numFmtId="166" fontId="12" fillId="9" borderId="14" xfId="5" applyNumberFormat="1" applyFill="1" applyBorder="1" applyProtection="1">
      <protection hidden="1"/>
    </xf>
    <xf numFmtId="9" fontId="0" fillId="9" borderId="0" xfId="3" applyFont="1" applyFill="1" applyBorder="1" applyAlignment="1" applyProtection="1">
      <alignment horizontal="center" vertical="center"/>
      <protection hidden="1"/>
    </xf>
    <xf numFmtId="1" fontId="0" fillId="9" borderId="0" xfId="7" applyNumberFormat="1" applyFont="1" applyFill="1" applyBorder="1" applyAlignment="1" applyProtection="1">
      <alignment horizontal="center" vertical="center"/>
      <protection hidden="1"/>
    </xf>
    <xf numFmtId="1" fontId="12" fillId="9" borderId="0" xfId="5" applyNumberFormat="1" applyFill="1" applyBorder="1" applyAlignment="1" applyProtection="1">
      <alignment horizontal="center" vertical="center"/>
      <protection hidden="1"/>
    </xf>
    <xf numFmtId="3" fontId="12" fillId="9" borderId="0" xfId="5" applyNumberFormat="1" applyFill="1" applyBorder="1" applyAlignment="1" applyProtection="1">
      <alignment horizontal="center" vertical="center"/>
      <protection hidden="1"/>
    </xf>
    <xf numFmtId="3" fontId="12" fillId="9" borderId="9" xfId="5" applyNumberFormat="1" applyFill="1" applyBorder="1" applyAlignment="1" applyProtection="1">
      <alignment horizontal="center" vertical="center"/>
      <protection hidden="1"/>
    </xf>
    <xf numFmtId="166" fontId="12" fillId="9" borderId="14" xfId="5" applyNumberFormat="1" applyFont="1" applyFill="1" applyBorder="1" applyProtection="1">
      <protection hidden="1"/>
    </xf>
    <xf numFmtId="166" fontId="12" fillId="9" borderId="9" xfId="5" applyNumberFormat="1" applyFill="1" applyBorder="1" applyProtection="1">
      <protection hidden="1"/>
    </xf>
    <xf numFmtId="166" fontId="12" fillId="9" borderId="13" xfId="5" applyNumberFormat="1" applyFill="1" applyBorder="1" applyProtection="1">
      <protection hidden="1"/>
    </xf>
    <xf numFmtId="1" fontId="12" fillId="9" borderId="7" xfId="5" applyNumberFormat="1" applyFill="1" applyBorder="1" applyAlignment="1" applyProtection="1">
      <alignment horizontal="center" vertical="center"/>
      <protection hidden="1"/>
    </xf>
    <xf numFmtId="166" fontId="12" fillId="9" borderId="7" xfId="5" applyNumberFormat="1" applyFill="1" applyBorder="1" applyAlignment="1" applyProtection="1">
      <alignment horizontal="center" vertical="center"/>
      <protection hidden="1"/>
    </xf>
    <xf numFmtId="166" fontId="12" fillId="9" borderId="6" xfId="5" applyNumberFormat="1" applyFill="1" applyBorder="1" applyAlignment="1" applyProtection="1">
      <alignment horizontal="center" vertical="center"/>
      <protection hidden="1"/>
    </xf>
    <xf numFmtId="166" fontId="14" fillId="9" borderId="10" xfId="5" applyNumberFormat="1" applyFont="1" applyFill="1" applyBorder="1" applyProtection="1">
      <protection hidden="1"/>
    </xf>
    <xf numFmtId="9" fontId="0" fillId="9" borderId="11" xfId="3" applyFont="1" applyFill="1" applyBorder="1" applyAlignment="1" applyProtection="1">
      <alignment horizontal="center" vertical="center"/>
      <protection hidden="1"/>
    </xf>
    <xf numFmtId="1" fontId="0" fillId="9" borderId="11" xfId="7" applyNumberFormat="1" applyFont="1" applyFill="1" applyBorder="1" applyAlignment="1" applyProtection="1">
      <alignment horizontal="center" vertical="center"/>
      <protection hidden="1"/>
    </xf>
    <xf numFmtId="1" fontId="14" fillId="9" borderId="11" xfId="7" applyNumberFormat="1" applyFont="1" applyFill="1" applyBorder="1" applyAlignment="1" applyProtection="1">
      <alignment horizontal="center" vertical="center"/>
      <protection hidden="1"/>
    </xf>
    <xf numFmtId="3" fontId="14" fillId="9" borderId="11" xfId="5" applyNumberFormat="1" applyFont="1" applyFill="1" applyBorder="1" applyAlignment="1" applyProtection="1">
      <alignment horizontal="center"/>
      <protection hidden="1"/>
    </xf>
    <xf numFmtId="3" fontId="14" fillId="9" borderId="0" xfId="5" applyNumberFormat="1" applyFont="1" applyFill="1" applyBorder="1" applyAlignment="1" applyProtection="1">
      <alignment horizontal="center"/>
      <protection hidden="1"/>
    </xf>
    <xf numFmtId="3" fontId="14" fillId="9" borderId="9" xfId="5" applyNumberFormat="1" applyFont="1" applyFill="1" applyBorder="1" applyAlignment="1" applyProtection="1">
      <alignment horizontal="center"/>
      <protection hidden="1"/>
    </xf>
    <xf numFmtId="166" fontId="12" fillId="9" borderId="10" xfId="5" applyNumberFormat="1" applyFont="1" applyFill="1" applyBorder="1" applyProtection="1">
      <protection hidden="1"/>
    </xf>
    <xf numFmtId="1" fontId="14" fillId="9" borderId="0" xfId="7" applyNumberFormat="1" applyFont="1" applyFill="1" applyBorder="1" applyAlignment="1" applyProtection="1">
      <alignment horizontal="center" vertical="center"/>
      <protection hidden="1"/>
    </xf>
    <xf numFmtId="3" fontId="14" fillId="0" borderId="0" xfId="5" applyNumberFormat="1" applyFont="1" applyFill="1" applyBorder="1" applyAlignment="1" applyProtection="1">
      <alignment horizontal="center"/>
      <protection hidden="1"/>
    </xf>
    <xf numFmtId="0" fontId="12" fillId="9" borderId="8" xfId="5" applyFill="1" applyBorder="1" applyProtection="1">
      <protection hidden="1"/>
    </xf>
    <xf numFmtId="9" fontId="0" fillId="9" borderId="7" xfId="3" applyFont="1" applyFill="1" applyBorder="1" applyAlignment="1" applyProtection="1">
      <alignment horizontal="center" vertical="center"/>
      <protection hidden="1"/>
    </xf>
    <xf numFmtId="1" fontId="0" fillId="9" borderId="7" xfId="7" applyNumberFormat="1" applyFont="1" applyFill="1" applyBorder="1" applyAlignment="1" applyProtection="1">
      <alignment horizontal="center" vertical="center"/>
      <protection hidden="1"/>
    </xf>
    <xf numFmtId="9" fontId="14" fillId="9" borderId="7" xfId="3" applyFont="1" applyFill="1" applyBorder="1" applyAlignment="1" applyProtection="1">
      <alignment horizontal="center" vertical="center"/>
      <protection hidden="1"/>
    </xf>
    <xf numFmtId="9" fontId="14" fillId="9" borderId="7" xfId="7" applyNumberFormat="1" applyFont="1" applyFill="1" applyBorder="1" applyAlignment="1" applyProtection="1">
      <alignment horizontal="center"/>
      <protection hidden="1"/>
    </xf>
    <xf numFmtId="9" fontId="14" fillId="9" borderId="7" xfId="7" applyFont="1" applyFill="1" applyBorder="1" applyAlignment="1" applyProtection="1">
      <alignment horizontal="center"/>
      <protection hidden="1"/>
    </xf>
    <xf numFmtId="9" fontId="3" fillId="9" borderId="7" xfId="7" applyFont="1" applyFill="1" applyBorder="1" applyAlignment="1" applyProtection="1">
      <alignment horizontal="center"/>
      <protection hidden="1"/>
    </xf>
    <xf numFmtId="9" fontId="3" fillId="9" borderId="6" xfId="7" applyFont="1" applyFill="1" applyBorder="1" applyAlignment="1" applyProtection="1">
      <alignment horizontal="center"/>
      <protection hidden="1"/>
    </xf>
    <xf numFmtId="165" fontId="12" fillId="0" borderId="11" xfId="5" applyNumberFormat="1" applyBorder="1" applyProtection="1">
      <protection hidden="1"/>
    </xf>
    <xf numFmtId="165" fontId="12" fillId="0" borderId="0" xfId="5" applyNumberFormat="1" applyProtection="1">
      <protection hidden="1"/>
    </xf>
    <xf numFmtId="9" fontId="12" fillId="0" borderId="0" xfId="6" applyFont="1" applyProtection="1">
      <protection hidden="1"/>
    </xf>
    <xf numFmtId="0" fontId="12" fillId="0" borderId="0" xfId="5" applyFill="1" applyProtection="1">
      <protection hidden="1"/>
    </xf>
    <xf numFmtId="0" fontId="12" fillId="0" borderId="0" xfId="5" applyFont="1" applyFill="1" applyProtection="1">
      <protection hidden="1"/>
    </xf>
    <xf numFmtId="164" fontId="12" fillId="0" borderId="0" xfId="6" applyNumberFormat="1" applyFont="1" applyProtection="1">
      <protection hidden="1"/>
    </xf>
    <xf numFmtId="0" fontId="12" fillId="0" borderId="0" xfId="5" applyFill="1" applyAlignment="1" applyProtection="1">
      <alignment horizontal="right"/>
      <protection hidden="1"/>
    </xf>
    <xf numFmtId="0" fontId="0" fillId="0" borderId="0" xfId="5" applyFont="1" applyFill="1" applyProtection="1">
      <protection hidden="1"/>
    </xf>
    <xf numFmtId="0" fontId="37" fillId="0" borderId="0" xfId="0" applyFont="1" applyProtection="1">
      <protection hidden="1"/>
    </xf>
    <xf numFmtId="0" fontId="0" fillId="30" borderId="3" xfId="0" applyFill="1" applyBorder="1" applyProtection="1">
      <protection hidden="1"/>
    </xf>
    <xf numFmtId="0" fontId="0" fillId="30" borderId="4" xfId="0" applyFill="1" applyBorder="1" applyProtection="1">
      <protection hidden="1"/>
    </xf>
    <xf numFmtId="0" fontId="0" fillId="0" borderId="12" xfId="0" applyBorder="1" applyProtection="1">
      <protection hidden="1"/>
    </xf>
    <xf numFmtId="0" fontId="0" fillId="0" borderId="11" xfId="0" applyBorder="1" applyProtection="1">
      <protection hidden="1"/>
    </xf>
    <xf numFmtId="0" fontId="0" fillId="0" borderId="15" xfId="0" applyBorder="1" applyProtection="1">
      <protection hidden="1"/>
    </xf>
    <xf numFmtId="2" fontId="0" fillId="0" borderId="11" xfId="0" applyNumberFormat="1" applyBorder="1" applyProtection="1">
      <protection hidden="1"/>
    </xf>
    <xf numFmtId="0" fontId="0" fillId="0" borderId="8" xfId="0" applyBorder="1" applyProtection="1">
      <protection hidden="1"/>
    </xf>
    <xf numFmtId="0" fontId="0" fillId="0" borderId="7" xfId="0" applyBorder="1" applyProtection="1">
      <protection hidden="1"/>
    </xf>
    <xf numFmtId="0" fontId="0" fillId="0" borderId="6" xfId="0" applyBorder="1" applyProtection="1">
      <protection hidden="1"/>
    </xf>
    <xf numFmtId="2" fontId="0" fillId="0" borderId="7" xfId="0" applyNumberFormat="1" applyBorder="1" applyProtection="1">
      <protection hidden="1"/>
    </xf>
    <xf numFmtId="168" fontId="0" fillId="0" borderId="0" xfId="0" applyNumberFormat="1" applyProtection="1">
      <protection hidden="1"/>
    </xf>
    <xf numFmtId="0" fontId="3" fillId="0" borderId="0" xfId="1" applyFont="1" applyAlignment="1" applyProtection="1">
      <alignment vertical="top" wrapText="1"/>
      <protection hidden="1"/>
    </xf>
    <xf numFmtId="0" fontId="1" fillId="0" borderId="0" xfId="1" applyFill="1" applyProtection="1">
      <protection hidden="1"/>
    </xf>
    <xf numFmtId="0" fontId="0" fillId="6" borderId="0" xfId="0" applyFill="1" applyProtection="1">
      <protection hidden="1"/>
    </xf>
    <xf numFmtId="0" fontId="14" fillId="10" borderId="10" xfId="0" applyFont="1" applyFill="1" applyBorder="1" applyProtection="1">
      <protection hidden="1"/>
    </xf>
    <xf numFmtId="0" fontId="0" fillId="10" borderId="10" xfId="0" applyFill="1" applyBorder="1" applyProtection="1">
      <protection hidden="1"/>
    </xf>
    <xf numFmtId="0" fontId="3" fillId="0" borderId="2" xfId="0" applyFont="1" applyBorder="1" applyAlignment="1" applyProtection="1">
      <alignment vertical="top" wrapText="1"/>
      <protection hidden="1"/>
    </xf>
    <xf numFmtId="0" fontId="3" fillId="6" borderId="2" xfId="0" applyFont="1" applyFill="1" applyBorder="1" applyAlignment="1" applyProtection="1">
      <alignment vertical="top" wrapText="1"/>
      <protection hidden="1"/>
    </xf>
    <xf numFmtId="0" fontId="0" fillId="0" borderId="0" xfId="0" applyFont="1" applyAlignment="1" applyProtection="1">
      <alignment vertical="top" wrapText="1"/>
      <protection hidden="1"/>
    </xf>
    <xf numFmtId="0" fontId="0" fillId="10" borderId="10" xfId="0" applyFill="1" applyBorder="1" applyAlignment="1" applyProtection="1">
      <alignment vertical="top" wrapText="1"/>
      <protection hidden="1"/>
    </xf>
    <xf numFmtId="0" fontId="0" fillId="10" borderId="10" xfId="0" applyFill="1" applyBorder="1" applyAlignment="1" applyProtection="1">
      <alignment vertical="top"/>
      <protection hidden="1"/>
    </xf>
    <xf numFmtId="0" fontId="26" fillId="0" borderId="0" xfId="0" applyFont="1" applyAlignment="1" applyProtection="1">
      <alignment wrapText="1"/>
      <protection hidden="1"/>
    </xf>
    <xf numFmtId="0" fontId="12" fillId="0" borderId="0" xfId="8" applyProtection="1">
      <protection hidden="1"/>
    </xf>
    <xf numFmtId="0" fontId="14" fillId="0" borderId="0" xfId="8" applyFont="1" applyProtection="1">
      <protection hidden="1"/>
    </xf>
    <xf numFmtId="0" fontId="27" fillId="0" borderId="0" xfId="0" applyFont="1" applyProtection="1">
      <protection hidden="1"/>
    </xf>
    <xf numFmtId="0" fontId="3" fillId="0" borderId="0" xfId="0" applyFont="1" applyAlignment="1" applyProtection="1">
      <alignment vertical="top" wrapText="1"/>
      <protection hidden="1"/>
    </xf>
    <xf numFmtId="0" fontId="12" fillId="0" borderId="0" xfId="8" applyFont="1" applyProtection="1">
      <protection hidden="1"/>
    </xf>
    <xf numFmtId="0" fontId="10" fillId="12" borderId="0" xfId="0" applyFont="1" applyFill="1" applyProtection="1">
      <protection hidden="1"/>
    </xf>
    <xf numFmtId="0" fontId="12" fillId="0" borderId="0" xfId="8" applyAlignment="1" applyProtection="1">
      <alignment horizontal="center"/>
      <protection hidden="1"/>
    </xf>
    <xf numFmtId="0" fontId="15" fillId="0" borderId="0" xfId="0" applyFont="1" applyAlignment="1" applyProtection="1">
      <protection hidden="1"/>
    </xf>
    <xf numFmtId="0" fontId="12" fillId="0" borderId="0" xfId="8" applyAlignment="1" applyProtection="1">
      <alignment horizontal="right"/>
      <protection hidden="1"/>
    </xf>
    <xf numFmtId="0" fontId="3" fillId="0" borderId="0" xfId="8" applyFont="1" applyAlignment="1" applyProtection="1">
      <alignment vertical="top" wrapText="1"/>
      <protection hidden="1"/>
    </xf>
    <xf numFmtId="0" fontId="14" fillId="0" borderId="3" xfId="0" applyFont="1" applyBorder="1" applyAlignment="1" applyProtection="1">
      <alignment vertical="top"/>
      <protection hidden="1"/>
    </xf>
    <xf numFmtId="0" fontId="14" fillId="0" borderId="5" xfId="0" applyFont="1" applyBorder="1" applyAlignment="1" applyProtection="1">
      <alignment vertical="top"/>
      <protection hidden="1"/>
    </xf>
    <xf numFmtId="0" fontId="12" fillId="0" borderId="0" xfId="10" applyFill="1" applyAlignment="1" applyProtection="1">
      <alignment vertical="top" wrapText="1"/>
      <protection hidden="1"/>
    </xf>
    <xf numFmtId="0" fontId="12" fillId="0" borderId="0" xfId="10" applyAlignment="1" applyProtection="1">
      <alignment vertical="top" wrapText="1"/>
      <protection hidden="1"/>
    </xf>
    <xf numFmtId="0" fontId="12" fillId="0" borderId="0" xfId="10" applyAlignment="1" applyProtection="1">
      <alignment vertical="top"/>
      <protection hidden="1"/>
    </xf>
    <xf numFmtId="0" fontId="33" fillId="18" borderId="0" xfId="10" applyFont="1" applyFill="1" applyAlignment="1" applyProtection="1">
      <alignment vertical="top" wrapText="1"/>
      <protection hidden="1"/>
    </xf>
    <xf numFmtId="0" fontId="0" fillId="0" borderId="0" xfId="0" applyAlignment="1" applyProtection="1">
      <alignment vertical="top"/>
      <protection hidden="1"/>
    </xf>
    <xf numFmtId="0" fontId="14" fillId="0" borderId="0" xfId="11" applyFont="1" applyAlignment="1" applyProtection="1">
      <alignment wrapText="1"/>
      <protection hidden="1"/>
    </xf>
    <xf numFmtId="0" fontId="12" fillId="0" borderId="0" xfId="11" applyProtection="1">
      <protection hidden="1"/>
    </xf>
    <xf numFmtId="0" fontId="12" fillId="0" borderId="0" xfId="11" applyAlignment="1" applyProtection="1">
      <alignment vertical="top"/>
      <protection hidden="1"/>
    </xf>
    <xf numFmtId="0" fontId="12" fillId="0" borderId="0" xfId="11" applyFont="1" applyProtection="1">
      <protection hidden="1"/>
    </xf>
    <xf numFmtId="0" fontId="12" fillId="19" borderId="3" xfId="11" applyFill="1" applyBorder="1" applyProtection="1">
      <protection hidden="1"/>
    </xf>
    <xf numFmtId="0" fontId="12" fillId="19" borderId="5" xfId="11" applyFill="1" applyBorder="1" applyProtection="1">
      <protection hidden="1"/>
    </xf>
    <xf numFmtId="0" fontId="12" fillId="19" borderId="2" xfId="11" applyFill="1" applyBorder="1" applyProtection="1">
      <protection hidden="1"/>
    </xf>
    <xf numFmtId="0" fontId="26" fillId="0" borderId="0" xfId="11" applyFont="1" applyProtection="1">
      <protection hidden="1"/>
    </xf>
    <xf numFmtId="0" fontId="0" fillId="0" borderId="0" xfId="11" applyFont="1" applyProtection="1">
      <protection hidden="1"/>
    </xf>
    <xf numFmtId="0" fontId="34" fillId="0" borderId="0" xfId="11" applyFont="1" applyProtection="1">
      <protection hidden="1"/>
    </xf>
    <xf numFmtId="0" fontId="24" fillId="0" borderId="0" xfId="11" applyFont="1" applyProtection="1">
      <protection hidden="1"/>
    </xf>
    <xf numFmtId="0" fontId="12" fillId="0" borderId="0" xfId="11" applyAlignment="1" applyProtection="1">
      <alignment wrapText="1"/>
      <protection hidden="1"/>
    </xf>
    <xf numFmtId="0" fontId="29" fillId="0" borderId="0" xfId="12" applyFont="1" applyAlignment="1" applyProtection="1">
      <alignment horizontal="center" vertical="center" wrapText="1"/>
      <protection hidden="1"/>
    </xf>
    <xf numFmtId="0" fontId="29" fillId="0" borderId="0" xfId="12" applyFont="1" applyFill="1" applyAlignment="1" applyProtection="1">
      <alignment horizontal="center" vertical="center" wrapText="1"/>
      <protection hidden="1"/>
    </xf>
    <xf numFmtId="0" fontId="12" fillId="0" borderId="0" xfId="11" applyFill="1" applyProtection="1">
      <protection hidden="1"/>
    </xf>
    <xf numFmtId="0" fontId="12" fillId="0" borderId="0" xfId="11" applyFill="1" applyAlignment="1" applyProtection="1">
      <alignment wrapText="1"/>
      <protection hidden="1"/>
    </xf>
    <xf numFmtId="0" fontId="12" fillId="0" borderId="0" xfId="11" applyFont="1" applyFill="1" applyAlignment="1" applyProtection="1">
      <alignment wrapText="1"/>
      <protection hidden="1"/>
    </xf>
    <xf numFmtId="0" fontId="12" fillId="20" borderId="0" xfId="11" applyFill="1" applyAlignment="1" applyProtection="1">
      <alignment wrapText="1"/>
      <protection hidden="1"/>
    </xf>
    <xf numFmtId="0" fontId="12" fillId="0" borderId="3" xfId="11" applyFill="1" applyBorder="1" applyProtection="1">
      <protection hidden="1"/>
    </xf>
    <xf numFmtId="0" fontId="12" fillId="0" borderId="0" xfId="11" applyFill="1" applyBorder="1" applyProtection="1">
      <protection hidden="1"/>
    </xf>
    <xf numFmtId="0" fontId="12" fillId="20" borderId="0" xfId="11" applyFill="1" applyProtection="1">
      <protection hidden="1"/>
    </xf>
    <xf numFmtId="0" fontId="35" fillId="0" borderId="0" xfId="11" applyFont="1" applyAlignment="1" applyProtection="1">
      <alignment wrapText="1"/>
      <protection hidden="1"/>
    </xf>
    <xf numFmtId="0" fontId="12" fillId="0" borderId="3" xfId="11" applyFill="1" applyBorder="1" applyAlignment="1" applyProtection="1">
      <alignment vertical="center"/>
      <protection hidden="1"/>
    </xf>
    <xf numFmtId="0" fontId="12" fillId="0" borderId="4" xfId="11" applyFill="1" applyBorder="1" applyAlignment="1" applyProtection="1">
      <alignment vertical="center"/>
      <protection hidden="1"/>
    </xf>
    <xf numFmtId="0" fontId="12" fillId="0" borderId="5" xfId="11" applyFill="1" applyBorder="1" applyAlignment="1" applyProtection="1">
      <alignment vertical="center"/>
      <protection hidden="1"/>
    </xf>
    <xf numFmtId="0" fontId="12" fillId="0" borderId="0" xfId="11" applyFill="1" applyBorder="1" applyAlignment="1" applyProtection="1">
      <protection hidden="1"/>
    </xf>
    <xf numFmtId="0" fontId="1" fillId="0" borderId="3" xfId="1" applyNumberFormat="1" applyFont="1" applyFill="1" applyBorder="1" applyAlignment="1" applyProtection="1">
      <alignment wrapText="1"/>
      <protection hidden="1"/>
    </xf>
    <xf numFmtId="0" fontId="12" fillId="9" borderId="4" xfId="11" applyFill="1" applyBorder="1" applyAlignment="1" applyProtection="1">
      <alignment wrapText="1"/>
      <protection hidden="1"/>
    </xf>
    <xf numFmtId="0" fontId="26" fillId="9" borderId="4" xfId="11" applyFont="1" applyFill="1" applyBorder="1" applyAlignment="1" applyProtection="1">
      <alignment wrapText="1"/>
      <protection hidden="1"/>
    </xf>
    <xf numFmtId="0" fontId="26" fillId="9" borderId="5" xfId="11" applyFont="1" applyFill="1" applyBorder="1" applyAlignment="1" applyProtection="1">
      <alignment wrapText="1"/>
      <protection hidden="1"/>
    </xf>
    <xf numFmtId="0" fontId="1" fillId="0" borderId="2" xfId="1" applyNumberFormat="1" applyFont="1" applyFill="1" applyBorder="1" applyAlignment="1" applyProtection="1">
      <alignment wrapText="1"/>
      <protection hidden="1"/>
    </xf>
    <xf numFmtId="0" fontId="26" fillId="9" borderId="7" xfId="11" applyFont="1" applyFill="1" applyBorder="1" applyAlignment="1" applyProtection="1">
      <alignment wrapText="1"/>
      <protection hidden="1"/>
    </xf>
    <xf numFmtId="0" fontId="26" fillId="9" borderId="6" xfId="11" applyFont="1" applyFill="1" applyBorder="1" applyAlignment="1" applyProtection="1">
      <alignment wrapText="1"/>
      <protection hidden="1"/>
    </xf>
    <xf numFmtId="2" fontId="12" fillId="0" borderId="0" xfId="11" applyNumberFormat="1" applyFill="1" applyProtection="1">
      <protection hidden="1"/>
    </xf>
    <xf numFmtId="0" fontId="12" fillId="0" borderId="0" xfId="11" applyFont="1" applyBorder="1" applyAlignment="1" applyProtection="1">
      <protection hidden="1"/>
    </xf>
    <xf numFmtId="0" fontId="14" fillId="0" borderId="3" xfId="11" applyFont="1" applyBorder="1" applyProtection="1">
      <protection hidden="1"/>
    </xf>
    <xf numFmtId="49" fontId="10" fillId="0" borderId="4" xfId="13" applyNumberFormat="1" applyFont="1" applyFill="1" applyBorder="1" applyAlignment="1" applyProtection="1">
      <alignment wrapText="1"/>
      <protection hidden="1"/>
    </xf>
    <xf numFmtId="49" fontId="10" fillId="0" borderId="5" xfId="13" applyNumberFormat="1" applyFont="1" applyFill="1" applyBorder="1" applyAlignment="1" applyProtection="1">
      <alignment wrapText="1"/>
      <protection hidden="1"/>
    </xf>
    <xf numFmtId="49" fontId="10" fillId="0" borderId="7" xfId="13" applyNumberFormat="1" applyFont="1" applyFill="1" applyBorder="1" applyAlignment="1" applyProtection="1">
      <alignment wrapText="1"/>
      <protection hidden="1"/>
    </xf>
    <xf numFmtId="49" fontId="10" fillId="0" borderId="3" xfId="13" applyNumberFormat="1" applyFont="1" applyFill="1" applyBorder="1" applyAlignment="1" applyProtection="1">
      <alignment wrapText="1"/>
      <protection hidden="1"/>
    </xf>
    <xf numFmtId="49" fontId="10" fillId="0" borderId="6" xfId="13" applyNumberFormat="1" applyFont="1" applyFill="1" applyBorder="1" applyAlignment="1" applyProtection="1">
      <alignment wrapText="1"/>
      <protection hidden="1"/>
    </xf>
    <xf numFmtId="49" fontId="10" fillId="0" borderId="8" xfId="13" applyNumberFormat="1" applyFont="1" applyFill="1" applyBorder="1" applyAlignment="1" applyProtection="1">
      <alignment wrapText="1"/>
      <protection hidden="1"/>
    </xf>
    <xf numFmtId="0" fontId="14" fillId="0" borderId="6" xfId="11" applyFont="1" applyBorder="1" applyProtection="1">
      <protection hidden="1"/>
    </xf>
    <xf numFmtId="43" fontId="12" fillId="0" borderId="0" xfId="14" applyFont="1" applyProtection="1">
      <protection hidden="1"/>
    </xf>
    <xf numFmtId="9" fontId="12" fillId="0" borderId="0" xfId="6" applyNumberFormat="1" applyFont="1" applyProtection="1">
      <protection hidden="1"/>
    </xf>
    <xf numFmtId="9" fontId="12" fillId="0" borderId="0" xfId="11" applyNumberFormat="1" applyProtection="1">
      <protection hidden="1"/>
    </xf>
    <xf numFmtId="164" fontId="12" fillId="0" borderId="0" xfId="11" applyNumberFormat="1" applyProtection="1">
      <protection hidden="1"/>
    </xf>
    <xf numFmtId="0" fontId="36" fillId="0" borderId="0" xfId="11" applyFont="1" applyProtection="1">
      <protection hidden="1"/>
    </xf>
    <xf numFmtId="0" fontId="37" fillId="0" borderId="0" xfId="11" applyFont="1" applyProtection="1">
      <protection hidden="1"/>
    </xf>
    <xf numFmtId="0" fontId="38" fillId="0" borderId="0" xfId="11" applyFont="1" applyProtection="1">
      <protection hidden="1"/>
    </xf>
    <xf numFmtId="0" fontId="12" fillId="21" borderId="12" xfId="11" applyFill="1" applyBorder="1" applyProtection="1">
      <protection hidden="1"/>
    </xf>
    <xf numFmtId="0" fontId="12" fillId="21" borderId="11" xfId="11" applyFont="1" applyFill="1" applyBorder="1" applyProtection="1">
      <protection hidden="1"/>
    </xf>
    <xf numFmtId="0" fontId="12" fillId="21" borderId="15" xfId="11" applyFill="1" applyBorder="1" applyProtection="1">
      <protection hidden="1"/>
    </xf>
    <xf numFmtId="0" fontId="12" fillId="22" borderId="12" xfId="11" applyFill="1" applyBorder="1" applyProtection="1">
      <protection hidden="1"/>
    </xf>
    <xf numFmtId="0" fontId="12" fillId="22" borderId="11" xfId="11" applyFont="1" applyFill="1" applyBorder="1" applyAlignment="1" applyProtection="1">
      <alignment horizontal="center" wrapText="1"/>
      <protection hidden="1"/>
    </xf>
    <xf numFmtId="2" fontId="12" fillId="22" borderId="15" xfId="6" applyNumberFormat="1" applyFont="1" applyFill="1" applyBorder="1" applyProtection="1">
      <protection hidden="1"/>
    </xf>
    <xf numFmtId="0" fontId="14" fillId="21" borderId="10" xfId="11" applyFont="1" applyFill="1" applyBorder="1" applyProtection="1">
      <protection hidden="1"/>
    </xf>
    <xf numFmtId="164" fontId="12" fillId="21" borderId="0" xfId="11" applyNumberFormat="1" applyFill="1" applyBorder="1" applyProtection="1">
      <protection hidden="1"/>
    </xf>
    <xf numFmtId="0" fontId="12" fillId="21" borderId="9" xfId="11" applyFont="1" applyFill="1" applyBorder="1" applyProtection="1">
      <protection hidden="1"/>
    </xf>
    <xf numFmtId="0" fontId="39" fillId="0" borderId="0" xfId="11" applyFont="1" applyProtection="1">
      <protection hidden="1"/>
    </xf>
    <xf numFmtId="0" fontId="12" fillId="22" borderId="10" xfId="11" applyFill="1" applyBorder="1" applyProtection="1">
      <protection hidden="1"/>
    </xf>
    <xf numFmtId="0" fontId="12" fillId="22" borderId="0" xfId="11" applyFill="1" applyBorder="1" applyAlignment="1" applyProtection="1">
      <alignment horizontal="center"/>
      <protection hidden="1"/>
    </xf>
    <xf numFmtId="0" fontId="12" fillId="22" borderId="9" xfId="6" applyNumberFormat="1" applyFont="1" applyFill="1" applyBorder="1" applyProtection="1">
      <protection hidden="1"/>
    </xf>
    <xf numFmtId="0" fontId="12" fillId="21" borderId="10" xfId="11" applyFill="1" applyBorder="1" applyProtection="1">
      <protection hidden="1"/>
    </xf>
    <xf numFmtId="9" fontId="12" fillId="21" borderId="0" xfId="11" applyNumberFormat="1" applyFill="1" applyBorder="1" applyProtection="1">
      <protection hidden="1"/>
    </xf>
    <xf numFmtId="0" fontId="12" fillId="21" borderId="9" xfId="11" applyFill="1" applyBorder="1" applyProtection="1">
      <protection hidden="1"/>
    </xf>
    <xf numFmtId="0" fontId="12" fillId="21" borderId="10" xfId="11" applyFont="1" applyFill="1" applyBorder="1" applyProtection="1">
      <protection hidden="1"/>
    </xf>
    <xf numFmtId="0" fontId="12" fillId="21" borderId="0" xfId="11" applyFill="1" applyBorder="1" applyProtection="1">
      <protection hidden="1"/>
    </xf>
    <xf numFmtId="0" fontId="12" fillId="21" borderId="9" xfId="11" applyFill="1" applyBorder="1" applyAlignment="1" applyProtection="1">
      <alignment horizontal="left"/>
      <protection hidden="1"/>
    </xf>
    <xf numFmtId="0" fontId="26" fillId="21" borderId="8" xfId="11" applyFont="1" applyFill="1" applyBorder="1" applyAlignment="1" applyProtection="1">
      <alignment wrapText="1"/>
      <protection hidden="1"/>
    </xf>
    <xf numFmtId="0" fontId="12" fillId="21" borderId="7" xfId="11" applyFill="1" applyBorder="1" applyProtection="1">
      <protection hidden="1"/>
    </xf>
    <xf numFmtId="0" fontId="12" fillId="21" borderId="6" xfId="11" applyFill="1" applyBorder="1" applyProtection="1">
      <protection hidden="1"/>
    </xf>
    <xf numFmtId="0" fontId="12" fillId="22" borderId="8" xfId="11" applyFill="1" applyBorder="1" applyProtection="1">
      <protection hidden="1"/>
    </xf>
    <xf numFmtId="0" fontId="12" fillId="22" borderId="7" xfId="11" applyFill="1" applyBorder="1" applyAlignment="1" applyProtection="1">
      <alignment horizontal="center"/>
      <protection hidden="1"/>
    </xf>
    <xf numFmtId="0" fontId="12" fillId="22" borderId="6" xfId="6" applyNumberFormat="1" applyFont="1" applyFill="1" applyBorder="1" applyProtection="1">
      <protection hidden="1"/>
    </xf>
    <xf numFmtId="0" fontId="12" fillId="0" borderId="10" xfId="11" applyFill="1" applyBorder="1" applyProtection="1">
      <protection hidden="1"/>
    </xf>
    <xf numFmtId="0" fontId="24" fillId="0" borderId="0" xfId="11" applyFont="1" applyFill="1" applyProtection="1">
      <protection hidden="1"/>
    </xf>
    <xf numFmtId="2" fontId="12" fillId="23" borderId="0" xfId="6" applyNumberFormat="1" applyFont="1" applyFill="1" applyProtection="1">
      <protection hidden="1"/>
    </xf>
    <xf numFmtId="0" fontId="12" fillId="23" borderId="0" xfId="11" applyFill="1" applyProtection="1">
      <protection hidden="1"/>
    </xf>
    <xf numFmtId="0" fontId="7" fillId="0" borderId="0" xfId="1" applyFont="1" applyAlignment="1" applyProtection="1">
      <alignment horizontal="left" wrapText="1"/>
      <protection hidden="1"/>
    </xf>
    <xf numFmtId="0" fontId="19" fillId="0" borderId="0" xfId="0" applyFont="1" applyAlignment="1" applyProtection="1">
      <alignment horizontal="left" vertical="top" wrapText="1"/>
      <protection hidden="1"/>
    </xf>
    <xf numFmtId="0" fontId="15" fillId="0" borderId="3" xfId="0" applyFont="1" applyBorder="1" applyAlignment="1" applyProtection="1">
      <alignment horizontal="center"/>
      <protection hidden="1"/>
    </xf>
    <xf numFmtId="0" fontId="15" fillId="0" borderId="4" xfId="0" applyFont="1" applyBorder="1" applyAlignment="1" applyProtection="1">
      <alignment horizontal="center"/>
      <protection hidden="1"/>
    </xf>
    <xf numFmtId="0" fontId="15" fillId="0" borderId="5" xfId="0" applyFont="1" applyBorder="1" applyAlignment="1" applyProtection="1">
      <alignment horizontal="center"/>
      <protection hidden="1"/>
    </xf>
    <xf numFmtId="0" fontId="15" fillId="0" borderId="3" xfId="0" applyFont="1" applyBorder="1" applyAlignment="1" applyProtection="1">
      <alignment horizontal="center" wrapText="1"/>
      <protection hidden="1"/>
    </xf>
    <xf numFmtId="0" fontId="15" fillId="0" borderId="5" xfId="0" applyFont="1" applyBorder="1" applyAlignment="1" applyProtection="1">
      <alignment horizontal="center" wrapText="1"/>
      <protection hidden="1"/>
    </xf>
    <xf numFmtId="0" fontId="0" fillId="11" borderId="3" xfId="0" applyFill="1" applyBorder="1" applyAlignment="1" applyProtection="1">
      <alignment horizontal="center"/>
      <protection hidden="1"/>
    </xf>
    <xf numFmtId="0" fontId="0" fillId="11" borderId="4" xfId="0" applyFill="1" applyBorder="1" applyAlignment="1" applyProtection="1">
      <alignment horizontal="center"/>
      <protection hidden="1"/>
    </xf>
    <xf numFmtId="0" fontId="0" fillId="11" borderId="5" xfId="0" applyFill="1" applyBorder="1" applyAlignment="1" applyProtection="1">
      <alignment horizontal="center"/>
      <protection hidden="1"/>
    </xf>
    <xf numFmtId="0" fontId="0" fillId="5" borderId="3" xfId="0" applyFill="1" applyBorder="1" applyAlignment="1" applyProtection="1">
      <alignment horizontal="center"/>
      <protection hidden="1"/>
    </xf>
    <xf numFmtId="0" fontId="0" fillId="5" borderId="4" xfId="0" applyFill="1" applyBorder="1" applyAlignment="1" applyProtection="1">
      <alignment horizontal="center"/>
      <protection hidden="1"/>
    </xf>
    <xf numFmtId="0" fontId="0" fillId="5" borderId="5" xfId="0" applyFill="1" applyBorder="1" applyAlignment="1" applyProtection="1">
      <alignment horizontal="center"/>
      <protection hidden="1"/>
    </xf>
    <xf numFmtId="0" fontId="0" fillId="5" borderId="12" xfId="0" applyFill="1" applyBorder="1" applyAlignment="1" applyProtection="1">
      <alignment horizontal="center"/>
      <protection hidden="1"/>
    </xf>
    <xf numFmtId="0" fontId="0" fillId="5" borderId="11" xfId="0" applyFill="1" applyBorder="1" applyAlignment="1" applyProtection="1">
      <alignment horizontal="center"/>
      <protection hidden="1"/>
    </xf>
    <xf numFmtId="0" fontId="0" fillId="5" borderId="15" xfId="0" applyFill="1" applyBorder="1" applyAlignment="1" applyProtection="1">
      <alignment horizontal="center"/>
      <protection hidden="1"/>
    </xf>
    <xf numFmtId="0" fontId="26" fillId="0" borderId="0" xfId="11" applyFont="1" applyBorder="1" applyAlignment="1" applyProtection="1">
      <alignment horizontal="center" wrapText="1"/>
      <protection hidden="1"/>
    </xf>
    <xf numFmtId="0" fontId="26" fillId="0" borderId="12" xfId="11" applyFont="1" applyBorder="1" applyAlignment="1" applyProtection="1">
      <alignment horizontal="center" vertical="center" wrapText="1"/>
      <protection hidden="1"/>
    </xf>
    <xf numFmtId="0" fontId="26" fillId="0" borderId="11" xfId="11" applyFont="1" applyBorder="1" applyAlignment="1" applyProtection="1">
      <alignment horizontal="center" vertical="center" wrapText="1"/>
      <protection hidden="1"/>
    </xf>
    <xf numFmtId="0" fontId="26" fillId="0" borderId="15" xfId="11" applyFont="1" applyBorder="1" applyAlignment="1" applyProtection="1">
      <alignment horizontal="center" vertical="center" wrapText="1"/>
      <protection hidden="1"/>
    </xf>
    <xf numFmtId="0" fontId="26" fillId="0" borderId="0" xfId="11" applyFont="1" applyAlignment="1" applyProtection="1">
      <alignment horizontal="center" wrapText="1"/>
      <protection hidden="1"/>
    </xf>
    <xf numFmtId="0" fontId="12" fillId="0" borderId="3" xfId="11" applyFill="1" applyBorder="1" applyAlignment="1" applyProtection="1">
      <alignment horizontal="center" vertical="center" wrapText="1"/>
      <protection hidden="1"/>
    </xf>
    <xf numFmtId="0" fontId="12" fillId="0" borderId="4" xfId="11" applyFill="1" applyBorder="1" applyAlignment="1" applyProtection="1">
      <alignment horizontal="center" vertical="center" wrapText="1"/>
      <protection hidden="1"/>
    </xf>
    <xf numFmtId="0" fontId="12" fillId="0" borderId="5" xfId="11" applyFill="1" applyBorder="1" applyAlignment="1" applyProtection="1">
      <alignment horizontal="center" vertical="center" wrapText="1"/>
      <protection hidden="1"/>
    </xf>
    <xf numFmtId="0" fontId="12" fillId="0" borderId="3" xfId="11" applyBorder="1" applyAlignment="1" applyProtection="1">
      <alignment horizontal="center"/>
      <protection hidden="1"/>
    </xf>
    <xf numFmtId="0" fontId="12" fillId="0" borderId="4" xfId="11" applyBorder="1" applyAlignment="1" applyProtection="1">
      <alignment horizontal="center"/>
      <protection hidden="1"/>
    </xf>
    <xf numFmtId="0" fontId="12" fillId="0" borderId="5" xfId="11" applyBorder="1" applyAlignment="1" applyProtection="1">
      <alignment horizontal="center"/>
      <protection hidden="1"/>
    </xf>
    <xf numFmtId="0" fontId="12" fillId="0" borderId="3" xfId="11" applyFont="1" applyBorder="1" applyAlignment="1" applyProtection="1">
      <alignment horizontal="center"/>
      <protection hidden="1"/>
    </xf>
    <xf numFmtId="0" fontId="12" fillId="0" borderId="4" xfId="11" applyFont="1" applyBorder="1" applyAlignment="1" applyProtection="1">
      <alignment horizontal="center"/>
      <protection hidden="1"/>
    </xf>
    <xf numFmtId="0" fontId="12" fillId="0" borderId="5" xfId="11" applyFont="1" applyBorder="1" applyAlignment="1" applyProtection="1">
      <alignment horizontal="center"/>
      <protection hidden="1"/>
    </xf>
    <xf numFmtId="0" fontId="59" fillId="22" borderId="0" xfId="11" applyFont="1" applyFill="1" applyAlignment="1" applyProtection="1">
      <alignment horizontal="left" wrapText="1"/>
      <protection hidden="1"/>
    </xf>
    <xf numFmtId="0" fontId="44" fillId="24" borderId="18" xfId="11" applyFont="1" applyFill="1" applyBorder="1" applyAlignment="1" applyProtection="1">
      <alignment horizontal="left"/>
      <protection hidden="1"/>
    </xf>
    <xf numFmtId="0" fontId="44" fillId="24" borderId="19" xfId="11" applyFont="1" applyFill="1" applyBorder="1" applyAlignment="1" applyProtection="1">
      <alignment horizontal="left"/>
      <protection hidden="1"/>
    </xf>
    <xf numFmtId="0" fontId="44" fillId="24" borderId="20" xfId="11" applyFont="1" applyFill="1" applyBorder="1" applyAlignment="1" applyProtection="1">
      <alignment horizontal="left"/>
      <protection hidden="1"/>
    </xf>
    <xf numFmtId="0" fontId="46" fillId="24" borderId="18" xfId="15" applyFont="1" applyFill="1" applyBorder="1" applyAlignment="1" applyProtection="1">
      <alignment horizontal="left"/>
      <protection hidden="1"/>
    </xf>
    <xf numFmtId="0" fontId="46" fillId="24" borderId="19" xfId="15" applyFont="1" applyFill="1" applyBorder="1" applyAlignment="1" applyProtection="1">
      <alignment horizontal="left"/>
      <protection hidden="1"/>
    </xf>
    <xf numFmtId="0" fontId="46" fillId="24" borderId="20" xfId="15" applyFont="1" applyFill="1" applyBorder="1" applyAlignment="1" applyProtection="1">
      <alignment horizontal="left"/>
      <protection hidden="1"/>
    </xf>
    <xf numFmtId="1" fontId="1" fillId="24" borderId="0" xfId="15" applyNumberFormat="1" applyFill="1" applyBorder="1" applyAlignment="1" applyProtection="1">
      <alignment horizontal="center"/>
      <protection hidden="1"/>
    </xf>
    <xf numFmtId="9" fontId="1" fillId="9" borderId="0" xfId="17" applyNumberFormat="1" applyFont="1" applyFill="1" applyBorder="1" applyAlignment="1" applyProtection="1">
      <alignment horizontal="center"/>
      <protection hidden="1"/>
    </xf>
    <xf numFmtId="0" fontId="48" fillId="25" borderId="0" xfId="15" applyFont="1" applyFill="1" applyBorder="1" applyAlignment="1" applyProtection="1">
      <alignment horizontal="left"/>
      <protection hidden="1"/>
    </xf>
    <xf numFmtId="2" fontId="54" fillId="24" borderId="0" xfId="15" applyNumberFormat="1" applyFont="1" applyFill="1" applyBorder="1" applyAlignment="1" applyProtection="1">
      <alignment horizontal="left"/>
      <protection hidden="1"/>
    </xf>
    <xf numFmtId="0" fontId="1" fillId="24" borderId="0" xfId="15" applyFill="1" applyBorder="1" applyAlignment="1" applyProtection="1">
      <alignment horizontal="left"/>
      <protection hidden="1"/>
    </xf>
    <xf numFmtId="0" fontId="12" fillId="0" borderId="0" xfId="11" applyBorder="1" applyAlignment="1" applyProtection="1">
      <protection hidden="1"/>
    </xf>
    <xf numFmtId="2" fontId="54" fillId="24" borderId="0" xfId="15" applyNumberFormat="1" applyFont="1" applyFill="1" applyBorder="1" applyAlignment="1" applyProtection="1">
      <alignment horizontal="left" wrapText="1"/>
      <protection hidden="1"/>
    </xf>
  </cellXfs>
  <cellStyles count="23">
    <cellStyle name="Head" xfId="2"/>
    <cellStyle name="Hyperlänk" xfId="18" builtinId="8"/>
    <cellStyle name="Hyperlänk 2" xfId="19"/>
    <cellStyle name="Normal" xfId="0" builtinId="0"/>
    <cellStyle name="Normal 2" xfId="1"/>
    <cellStyle name="Normal 3" xfId="4"/>
    <cellStyle name="Normal 4" xfId="8"/>
    <cellStyle name="Normal 5" xfId="5"/>
    <cellStyle name="Normal 5 2" xfId="12"/>
    <cellStyle name="Normal 5 3" xfId="22"/>
    <cellStyle name="Normal 6" xfId="10"/>
    <cellStyle name="Normal 7" xfId="11"/>
    <cellStyle name="Normal 8" xfId="21"/>
    <cellStyle name="Normal_Granska dina miljövärden" xfId="16"/>
    <cellStyle name="Normal_Granska Miljövärden" xfId="15"/>
    <cellStyle name="Normal_Underlag till diagram_1" xfId="13"/>
    <cellStyle name="Procent" xfId="3" builtinId="5"/>
    <cellStyle name="Procent 2" xfId="6"/>
    <cellStyle name="Procent 4" xfId="7"/>
    <cellStyle name="Procent 6" xfId="17"/>
    <cellStyle name="Tusental" xfId="9" builtinId="3"/>
    <cellStyle name="Tusental 2" xfId="14"/>
    <cellStyle name="Utdata" xfId="20" builtinId="21"/>
  </cellStyles>
  <dxfs count="29">
    <dxf>
      <font>
        <color rgb="FFFFFF99"/>
      </font>
      <fill>
        <patternFill>
          <bgColor rgb="FFFFFF99"/>
        </patternFill>
      </fill>
    </dxf>
    <dxf>
      <font>
        <b/>
        <i/>
      </font>
    </dxf>
    <dxf>
      <font>
        <b/>
        <i/>
        <strike val="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border>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a:latin typeface="Arial" panose="020B0604020202020204" pitchFamily="34" charset="0"/>
                <a:cs typeface="Arial" panose="020B0604020202020204" pitchFamily="34" charset="0"/>
              </a:rPr>
              <a:t>FÖRDELNING TILLFÖRD ENERGI TILL VÄRMEPRODUKTION</a:t>
            </a:r>
          </a:p>
        </c:rich>
      </c:tx>
      <c:layout/>
      <c:overlay val="0"/>
    </c:title>
    <c:autoTitleDeleted val="0"/>
    <c:plotArea>
      <c:layout/>
      <c:pieChart>
        <c:varyColors val="1"/>
        <c:ser>
          <c:idx val="0"/>
          <c:order val="0"/>
          <c:dPt>
            <c:idx val="0"/>
            <c:bubble3D val="0"/>
            <c:spPr>
              <a:solidFill>
                <a:srgbClr val="008200"/>
              </a:solidFill>
            </c:spPr>
            <c:extLst xmlns:c16r2="http://schemas.microsoft.com/office/drawing/2015/06/chart">
              <c:ext xmlns:c16="http://schemas.microsoft.com/office/drawing/2014/chart" uri="{C3380CC4-5D6E-409C-BE32-E72D297353CC}">
                <c16:uniqueId val="{00000001-72DD-4FA8-9512-B5E15BCBAB28}"/>
              </c:ext>
            </c:extLst>
          </c:dPt>
          <c:dPt>
            <c:idx val="1"/>
            <c:bubble3D val="0"/>
            <c:spPr>
              <a:solidFill>
                <a:srgbClr val="66FF33"/>
              </a:solidFill>
            </c:spPr>
            <c:extLst xmlns:c16r2="http://schemas.microsoft.com/office/drawing/2015/06/chart">
              <c:ext xmlns:c16="http://schemas.microsoft.com/office/drawing/2014/chart" uri="{C3380CC4-5D6E-409C-BE32-E72D297353CC}">
                <c16:uniqueId val="{00000003-72DD-4FA8-9512-B5E15BCBAB28}"/>
              </c:ext>
            </c:extLst>
          </c:dPt>
          <c:dPt>
            <c:idx val="2"/>
            <c:bubble3D val="0"/>
            <c:spPr>
              <a:solidFill>
                <a:srgbClr val="7030A0"/>
              </a:solidFill>
            </c:spPr>
            <c:extLst xmlns:c16r2="http://schemas.microsoft.com/office/drawing/2015/06/chart">
              <c:ext xmlns:c16="http://schemas.microsoft.com/office/drawing/2014/chart" uri="{C3380CC4-5D6E-409C-BE32-E72D297353CC}">
                <c16:uniqueId val="{00000005-72DD-4FA8-9512-B5E15BCBAB28}"/>
              </c:ext>
            </c:extLst>
          </c:dPt>
          <c:dPt>
            <c:idx val="3"/>
            <c:bubble3D val="0"/>
            <c:spPr>
              <a:solidFill>
                <a:schemeClr val="tx1">
                  <a:lumMod val="50000"/>
                  <a:lumOff val="50000"/>
                </a:schemeClr>
              </a:solidFill>
            </c:spPr>
            <c:extLst xmlns:c16r2="http://schemas.microsoft.com/office/drawing/2015/06/chart">
              <c:ext xmlns:c16="http://schemas.microsoft.com/office/drawing/2014/chart" uri="{C3380CC4-5D6E-409C-BE32-E72D297353CC}">
                <c16:uniqueId val="{00000007-72DD-4FA8-9512-B5E15BCBAB28}"/>
              </c:ext>
            </c:extLst>
          </c:dPt>
          <c:cat>
            <c:strRef>
              <c:f>'Underlag till diagram'!$G$34:$G$37</c:f>
              <c:strCache>
                <c:ptCount val="4"/>
                <c:pt idx="0">
                  <c:v>Återvunnen energi 72%</c:v>
                </c:pt>
                <c:pt idx="1">
                  <c:v>Förnybart 26%</c:v>
                </c:pt>
                <c:pt idx="2">
                  <c:v>Övrigt 0%</c:v>
                </c:pt>
                <c:pt idx="3">
                  <c:v>Fossilt 2%</c:v>
                </c:pt>
              </c:strCache>
            </c:strRef>
          </c:cat>
          <c:val>
            <c:numRef>
              <c:f>'Underlag till diagram'!$C$34:$C$37</c:f>
              <c:numCache>
                <c:formatCode>0.0%</c:formatCode>
                <c:ptCount val="4"/>
                <c:pt idx="0">
                  <c:v>0.7238837260716765</c:v>
                </c:pt>
                <c:pt idx="1">
                  <c:v>0.25661530955303308</c:v>
                </c:pt>
                <c:pt idx="2">
                  <c:v>0</c:v>
                </c:pt>
                <c:pt idx="3">
                  <c:v>1.9500964375290648E-2</c:v>
                </c:pt>
              </c:numCache>
            </c:numRef>
          </c:val>
          <c:extLst xmlns:c16r2="http://schemas.microsoft.com/office/drawing/2015/06/chart">
            <c:ext xmlns:c16="http://schemas.microsoft.com/office/drawing/2014/chart" uri="{C3380CC4-5D6E-409C-BE32-E72D297353CC}">
              <c16:uniqueId val="{00000008-72DD-4FA8-9512-B5E15BCBAB28}"/>
            </c:ext>
          </c:extLst>
        </c:ser>
        <c:dLbls>
          <c:showLegendKey val="0"/>
          <c:showVal val="0"/>
          <c:showCatName val="0"/>
          <c:showSerName val="0"/>
          <c:showPercent val="0"/>
          <c:showBubbleSize val="0"/>
          <c:showLeaderLines val="1"/>
        </c:dLbls>
        <c:firstSliceAng val="0"/>
      </c:pieChart>
    </c:plotArea>
    <c:legend>
      <c:legendPos val="b"/>
      <c:layout/>
      <c:overlay val="0"/>
      <c:txPr>
        <a:bodyPr/>
        <a:lstStyle/>
        <a:p>
          <a:pPr rtl="0">
            <a:defRPr sz="1400"/>
          </a:pPr>
          <a:endParaRPr lang="sv-SE"/>
        </a:p>
      </c:txPr>
    </c:legend>
    <c:plotVisOnly val="1"/>
    <c:dispBlanksAs val="gap"/>
    <c:showDLblsOverMax val="0"/>
  </c:chart>
  <c:spPr>
    <a:solidFill>
      <a:srgbClr val="CCFFCC"/>
    </a:solidFill>
    <a:ln>
      <a:noFill/>
    </a:ln>
  </c:spPr>
  <c:printSettings>
    <c:headerFooter/>
    <c:pageMargins b="0.75" l="0.7" r="0.7" t="0.75" header="0.3" footer="0.3"/>
    <c:pageSetup/>
  </c:printSettings>
</c:chartSpace>
</file>

<file path=xl/drawings/_rels/drawing3.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15</xdr:col>
      <xdr:colOff>371475</xdr:colOff>
      <xdr:row>6</xdr:row>
      <xdr:rowOff>47625</xdr:rowOff>
    </xdr:from>
    <xdr:to>
      <xdr:col>18</xdr:col>
      <xdr:colOff>171450</xdr:colOff>
      <xdr:row>9</xdr:row>
      <xdr:rowOff>152400</xdr:rowOff>
    </xdr:to>
    <xdr:sp macro="" textlink="">
      <xdr:nvSpPr>
        <xdr:cNvPr id="2" name="Rektangel 1">
          <a:extLst>
            <a:ext uri="{FF2B5EF4-FFF2-40B4-BE49-F238E27FC236}">
              <a16:creationId xmlns:a16="http://schemas.microsoft.com/office/drawing/2014/main" xmlns="" id="{BA55BAEC-530D-41F0-AF1F-075E70E541AE}"/>
            </a:ext>
          </a:extLst>
        </xdr:cNvPr>
        <xdr:cNvSpPr/>
      </xdr:nvSpPr>
      <xdr:spPr>
        <a:xfrm>
          <a:off x="14220825" y="1390650"/>
          <a:ext cx="1628775" cy="6762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Öresundskraft</a:t>
          </a:r>
        </a:p>
      </xdr:txBody>
    </xdr:sp>
    <xdr:clientData/>
  </xdr:twoCellAnchor>
  <xdr:twoCellAnchor>
    <xdr:from>
      <xdr:col>21</xdr:col>
      <xdr:colOff>95250</xdr:colOff>
      <xdr:row>6</xdr:row>
      <xdr:rowOff>66675</xdr:rowOff>
    </xdr:from>
    <xdr:to>
      <xdr:col>24</xdr:col>
      <xdr:colOff>57150</xdr:colOff>
      <xdr:row>9</xdr:row>
      <xdr:rowOff>171450</xdr:rowOff>
    </xdr:to>
    <xdr:sp macro="" textlink="">
      <xdr:nvSpPr>
        <xdr:cNvPr id="3" name="Rektangel 2">
          <a:extLst>
            <a:ext uri="{FF2B5EF4-FFF2-40B4-BE49-F238E27FC236}">
              <a16:creationId xmlns:a16="http://schemas.microsoft.com/office/drawing/2014/main" xmlns="" id="{DB740617-78AC-4EB2-8B59-A2CF15EB210E}"/>
            </a:ext>
          </a:extLst>
        </xdr:cNvPr>
        <xdr:cNvSpPr/>
      </xdr:nvSpPr>
      <xdr:spPr>
        <a:xfrm>
          <a:off x="17602200" y="1409700"/>
          <a:ext cx="1790700" cy="6762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Landskrona</a:t>
          </a:r>
          <a:r>
            <a:rPr lang="sv-SE" sz="1100" baseline="0"/>
            <a:t> Energi</a:t>
          </a:r>
          <a:endParaRPr lang="sv-SE" sz="1100"/>
        </a:p>
      </xdr:txBody>
    </xdr:sp>
    <xdr:clientData/>
  </xdr:twoCellAnchor>
  <xdr:twoCellAnchor>
    <xdr:from>
      <xdr:col>25</xdr:col>
      <xdr:colOff>523875</xdr:colOff>
      <xdr:row>6</xdr:row>
      <xdr:rowOff>57150</xdr:rowOff>
    </xdr:from>
    <xdr:to>
      <xdr:col>28</xdr:col>
      <xdr:colOff>485775</xdr:colOff>
      <xdr:row>9</xdr:row>
      <xdr:rowOff>161925</xdr:rowOff>
    </xdr:to>
    <xdr:sp macro="" textlink="">
      <xdr:nvSpPr>
        <xdr:cNvPr id="4" name="Rektangel 3">
          <a:extLst>
            <a:ext uri="{FF2B5EF4-FFF2-40B4-BE49-F238E27FC236}">
              <a16:creationId xmlns:a16="http://schemas.microsoft.com/office/drawing/2014/main" xmlns="" id="{B7444A75-9DE3-4773-9D74-515230A54C10}"/>
            </a:ext>
          </a:extLst>
        </xdr:cNvPr>
        <xdr:cNvSpPr/>
      </xdr:nvSpPr>
      <xdr:spPr>
        <a:xfrm>
          <a:off x="20469225" y="1400175"/>
          <a:ext cx="1790700" cy="6762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Kraftringen</a:t>
          </a:r>
        </a:p>
      </xdr:txBody>
    </xdr:sp>
    <xdr:clientData/>
  </xdr:twoCellAnchor>
  <xdr:twoCellAnchor>
    <xdr:from>
      <xdr:col>14</xdr:col>
      <xdr:colOff>90715</xdr:colOff>
      <xdr:row>14</xdr:row>
      <xdr:rowOff>9073</xdr:rowOff>
    </xdr:from>
    <xdr:to>
      <xdr:col>28</xdr:col>
      <xdr:colOff>517072</xdr:colOff>
      <xdr:row>14</xdr:row>
      <xdr:rowOff>27215</xdr:rowOff>
    </xdr:to>
    <xdr:cxnSp macro="">
      <xdr:nvCxnSpPr>
        <xdr:cNvPr id="5" name="Rak pilkoppling 4">
          <a:extLst>
            <a:ext uri="{FF2B5EF4-FFF2-40B4-BE49-F238E27FC236}">
              <a16:creationId xmlns:a16="http://schemas.microsoft.com/office/drawing/2014/main" xmlns="" id="{12C5580B-4A74-4168-947A-363600B8A366}"/>
            </a:ext>
          </a:extLst>
        </xdr:cNvPr>
        <xdr:cNvCxnSpPr/>
      </xdr:nvCxnSpPr>
      <xdr:spPr>
        <a:xfrm>
          <a:off x="13330465" y="2876098"/>
          <a:ext cx="8960757" cy="18142"/>
        </a:xfrm>
        <a:prstGeom prst="straightConnector1">
          <a:avLst/>
        </a:prstGeom>
        <a:ln>
          <a:tailEnd type="non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14</xdr:col>
      <xdr:colOff>542925</xdr:colOff>
      <xdr:row>11</xdr:row>
      <xdr:rowOff>47625</xdr:rowOff>
    </xdr:from>
    <xdr:ext cx="505844" cy="264560"/>
    <xdr:sp macro="" textlink="">
      <xdr:nvSpPr>
        <xdr:cNvPr id="6" name="textruta 5">
          <a:extLst>
            <a:ext uri="{FF2B5EF4-FFF2-40B4-BE49-F238E27FC236}">
              <a16:creationId xmlns:a16="http://schemas.microsoft.com/office/drawing/2014/main" xmlns="" id="{D1421020-E7F3-4BF0-AB0E-7E2CBA83A5F3}"/>
            </a:ext>
          </a:extLst>
        </xdr:cNvPr>
        <xdr:cNvSpPr txBox="1"/>
      </xdr:nvSpPr>
      <xdr:spPr>
        <a:xfrm>
          <a:off x="13782675" y="2343150"/>
          <a:ext cx="50584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163,3</a:t>
          </a:r>
        </a:p>
      </xdr:txBody>
    </xdr:sp>
    <xdr:clientData/>
  </xdr:oneCellAnchor>
  <xdr:twoCellAnchor>
    <xdr:from>
      <xdr:col>21</xdr:col>
      <xdr:colOff>257175</xdr:colOff>
      <xdr:row>9</xdr:row>
      <xdr:rowOff>180975</xdr:rowOff>
    </xdr:from>
    <xdr:to>
      <xdr:col>21</xdr:col>
      <xdr:colOff>257175</xdr:colOff>
      <xdr:row>13</xdr:row>
      <xdr:rowOff>123825</xdr:rowOff>
    </xdr:to>
    <xdr:cxnSp macro="">
      <xdr:nvCxnSpPr>
        <xdr:cNvPr id="7" name="Rak pilkoppling 6">
          <a:extLst>
            <a:ext uri="{FF2B5EF4-FFF2-40B4-BE49-F238E27FC236}">
              <a16:creationId xmlns:a16="http://schemas.microsoft.com/office/drawing/2014/main" xmlns="" id="{AF16367A-8C1C-4CF9-9DDA-8718FF9C9A5D}"/>
            </a:ext>
          </a:extLst>
        </xdr:cNvPr>
        <xdr:cNvCxnSpPr/>
      </xdr:nvCxnSpPr>
      <xdr:spPr>
        <a:xfrm flipV="1">
          <a:off x="17764125" y="2095500"/>
          <a:ext cx="0" cy="7048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20</xdr:col>
      <xdr:colOff>323850</xdr:colOff>
      <xdr:row>10</xdr:row>
      <xdr:rowOff>161925</xdr:rowOff>
    </xdr:from>
    <xdr:ext cx="434350" cy="264560"/>
    <xdr:sp macro="" textlink="">
      <xdr:nvSpPr>
        <xdr:cNvPr id="8" name="textruta 7">
          <a:extLst>
            <a:ext uri="{FF2B5EF4-FFF2-40B4-BE49-F238E27FC236}">
              <a16:creationId xmlns:a16="http://schemas.microsoft.com/office/drawing/2014/main" xmlns="" id="{08C6B1FA-EEC7-4B09-9DB0-8FF5ABA6498E}"/>
            </a:ext>
          </a:extLst>
        </xdr:cNvPr>
        <xdr:cNvSpPr txBox="1"/>
      </xdr:nvSpPr>
      <xdr:spPr>
        <a:xfrm>
          <a:off x="17221200" y="2266950"/>
          <a:ext cx="43435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46,2</a:t>
          </a:r>
        </a:p>
      </xdr:txBody>
    </xdr:sp>
    <xdr:clientData/>
  </xdr:oneCellAnchor>
  <xdr:twoCellAnchor>
    <xdr:from>
      <xdr:col>23</xdr:col>
      <xdr:colOff>409575</xdr:colOff>
      <xdr:row>10</xdr:row>
      <xdr:rowOff>9525</xdr:rowOff>
    </xdr:from>
    <xdr:to>
      <xdr:col>23</xdr:col>
      <xdr:colOff>409575</xdr:colOff>
      <xdr:row>13</xdr:row>
      <xdr:rowOff>133350</xdr:rowOff>
    </xdr:to>
    <xdr:cxnSp macro="">
      <xdr:nvCxnSpPr>
        <xdr:cNvPr id="9" name="Rak pilkoppling 8">
          <a:extLst>
            <a:ext uri="{FF2B5EF4-FFF2-40B4-BE49-F238E27FC236}">
              <a16:creationId xmlns:a16="http://schemas.microsoft.com/office/drawing/2014/main" xmlns="" id="{43CD4AE2-64E9-4737-8B07-80DF702450C6}"/>
            </a:ext>
          </a:extLst>
        </xdr:cNvPr>
        <xdr:cNvCxnSpPr/>
      </xdr:nvCxnSpPr>
      <xdr:spPr>
        <a:xfrm>
          <a:off x="19135725" y="2114550"/>
          <a:ext cx="0" cy="6953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438150</xdr:colOff>
      <xdr:row>10</xdr:row>
      <xdr:rowOff>161925</xdr:rowOff>
    </xdr:from>
    <xdr:ext cx="714683" cy="264560"/>
    <xdr:sp macro="" textlink="">
      <xdr:nvSpPr>
        <xdr:cNvPr id="10" name="textruta 9">
          <a:extLst>
            <a:ext uri="{FF2B5EF4-FFF2-40B4-BE49-F238E27FC236}">
              <a16:creationId xmlns:a16="http://schemas.microsoft.com/office/drawing/2014/main" xmlns="" id="{E0714179-79FD-43AB-8AAE-37101C052BEE}"/>
            </a:ext>
          </a:extLst>
        </xdr:cNvPr>
        <xdr:cNvSpPr txBox="1"/>
      </xdr:nvSpPr>
      <xdr:spPr>
        <a:xfrm>
          <a:off x="19164300" y="2266950"/>
          <a:ext cx="71468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29,9 +1,9</a:t>
          </a:r>
        </a:p>
      </xdr:txBody>
    </xdr:sp>
    <xdr:clientData/>
  </xdr:oneCellAnchor>
  <xdr:oneCellAnchor>
    <xdr:from>
      <xdr:col>24</xdr:col>
      <xdr:colOff>438150</xdr:colOff>
      <xdr:row>14</xdr:row>
      <xdr:rowOff>0</xdr:rowOff>
    </xdr:from>
    <xdr:ext cx="505844" cy="264560"/>
    <xdr:sp macro="" textlink="">
      <xdr:nvSpPr>
        <xdr:cNvPr id="11" name="textruta 10">
          <a:extLst>
            <a:ext uri="{FF2B5EF4-FFF2-40B4-BE49-F238E27FC236}">
              <a16:creationId xmlns:a16="http://schemas.microsoft.com/office/drawing/2014/main" xmlns="" id="{9BC9F7F6-4FFF-4116-8C60-B4F6AC0C9860}"/>
            </a:ext>
          </a:extLst>
        </xdr:cNvPr>
        <xdr:cNvSpPr txBox="1"/>
      </xdr:nvSpPr>
      <xdr:spPr>
        <a:xfrm>
          <a:off x="19773900" y="2867025"/>
          <a:ext cx="50584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145,2</a:t>
          </a:r>
        </a:p>
      </xdr:txBody>
    </xdr:sp>
    <xdr:clientData/>
  </xdr:oneCellAnchor>
  <xdr:twoCellAnchor>
    <xdr:from>
      <xdr:col>15</xdr:col>
      <xdr:colOff>438150</xdr:colOff>
      <xdr:row>10</xdr:row>
      <xdr:rowOff>19050</xdr:rowOff>
    </xdr:from>
    <xdr:to>
      <xdr:col>15</xdr:col>
      <xdr:colOff>438150</xdr:colOff>
      <xdr:row>13</xdr:row>
      <xdr:rowOff>142875</xdr:rowOff>
    </xdr:to>
    <xdr:cxnSp macro="">
      <xdr:nvCxnSpPr>
        <xdr:cNvPr id="12" name="Rak pilkoppling 11">
          <a:extLst>
            <a:ext uri="{FF2B5EF4-FFF2-40B4-BE49-F238E27FC236}">
              <a16:creationId xmlns:a16="http://schemas.microsoft.com/office/drawing/2014/main" xmlns="" id="{9D2F361B-BA59-4013-8C51-B3AF34E18BF4}"/>
            </a:ext>
          </a:extLst>
        </xdr:cNvPr>
        <xdr:cNvCxnSpPr/>
      </xdr:nvCxnSpPr>
      <xdr:spPr>
        <a:xfrm>
          <a:off x="14287500" y="2124075"/>
          <a:ext cx="0" cy="6953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561975</xdr:colOff>
      <xdr:row>9</xdr:row>
      <xdr:rowOff>180975</xdr:rowOff>
    </xdr:from>
    <xdr:to>
      <xdr:col>17</xdr:col>
      <xdr:colOff>561975</xdr:colOff>
      <xdr:row>13</xdr:row>
      <xdr:rowOff>161925</xdr:rowOff>
    </xdr:to>
    <xdr:cxnSp macro="">
      <xdr:nvCxnSpPr>
        <xdr:cNvPr id="13" name="Rak pilkoppling 12">
          <a:extLst>
            <a:ext uri="{FF2B5EF4-FFF2-40B4-BE49-F238E27FC236}">
              <a16:creationId xmlns:a16="http://schemas.microsoft.com/office/drawing/2014/main" xmlns="" id="{1BA72959-BA55-4684-94EB-E4D75F77CE9D}"/>
            </a:ext>
          </a:extLst>
        </xdr:cNvPr>
        <xdr:cNvCxnSpPr/>
      </xdr:nvCxnSpPr>
      <xdr:spPr>
        <a:xfrm flipV="1">
          <a:off x="15630525" y="2095500"/>
          <a:ext cx="0" cy="7429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17</xdr:col>
      <xdr:colOff>571500</xdr:colOff>
      <xdr:row>11</xdr:row>
      <xdr:rowOff>85725</xdr:rowOff>
    </xdr:from>
    <xdr:ext cx="362856" cy="264560"/>
    <xdr:sp macro="" textlink="">
      <xdr:nvSpPr>
        <xdr:cNvPr id="14" name="textruta 13">
          <a:extLst>
            <a:ext uri="{FF2B5EF4-FFF2-40B4-BE49-F238E27FC236}">
              <a16:creationId xmlns:a16="http://schemas.microsoft.com/office/drawing/2014/main" xmlns="" id="{78D17086-81C6-496A-A429-2418F7157159}"/>
            </a:ext>
          </a:extLst>
        </xdr:cNvPr>
        <xdr:cNvSpPr txBox="1"/>
      </xdr:nvSpPr>
      <xdr:spPr>
        <a:xfrm>
          <a:off x="15640050" y="2381250"/>
          <a:ext cx="36285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3,7</a:t>
          </a:r>
        </a:p>
      </xdr:txBody>
    </xdr:sp>
    <xdr:clientData/>
  </xdr:oneCellAnchor>
  <xdr:oneCellAnchor>
    <xdr:from>
      <xdr:col>19</xdr:col>
      <xdr:colOff>19050</xdr:colOff>
      <xdr:row>13</xdr:row>
      <xdr:rowOff>171450</xdr:rowOff>
    </xdr:from>
    <xdr:ext cx="505844" cy="264560"/>
    <xdr:sp macro="" textlink="">
      <xdr:nvSpPr>
        <xdr:cNvPr id="15" name="textruta 14">
          <a:extLst>
            <a:ext uri="{FF2B5EF4-FFF2-40B4-BE49-F238E27FC236}">
              <a16:creationId xmlns:a16="http://schemas.microsoft.com/office/drawing/2014/main" xmlns="" id="{66EA0159-2F3C-44A7-91A6-5D4A7F667A31}"/>
            </a:ext>
          </a:extLst>
        </xdr:cNvPr>
        <xdr:cNvSpPr txBox="1"/>
      </xdr:nvSpPr>
      <xdr:spPr>
        <a:xfrm>
          <a:off x="16306800" y="2847975"/>
          <a:ext cx="50584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159,6</a:t>
          </a:r>
        </a:p>
      </xdr:txBody>
    </xdr:sp>
    <xdr:clientData/>
  </xdr:oneCellAnchor>
  <xdr:twoCellAnchor>
    <xdr:from>
      <xdr:col>26</xdr:col>
      <xdr:colOff>219075</xdr:colOff>
      <xdr:row>9</xdr:row>
      <xdr:rowOff>180975</xdr:rowOff>
    </xdr:from>
    <xdr:to>
      <xdr:col>26</xdr:col>
      <xdr:colOff>228600</xdr:colOff>
      <xdr:row>13</xdr:row>
      <xdr:rowOff>142875</xdr:rowOff>
    </xdr:to>
    <xdr:cxnSp macro="">
      <xdr:nvCxnSpPr>
        <xdr:cNvPr id="16" name="Rak pilkoppling 15">
          <a:extLst>
            <a:ext uri="{FF2B5EF4-FFF2-40B4-BE49-F238E27FC236}">
              <a16:creationId xmlns:a16="http://schemas.microsoft.com/office/drawing/2014/main" xmlns="" id="{32A635D8-631D-4615-8E7A-96ADE10BDB00}"/>
            </a:ext>
          </a:extLst>
        </xdr:cNvPr>
        <xdr:cNvCxnSpPr/>
      </xdr:nvCxnSpPr>
      <xdr:spPr>
        <a:xfrm flipV="1">
          <a:off x="20774025" y="2095500"/>
          <a:ext cx="9525" cy="7239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25</xdr:col>
      <xdr:colOff>295275</xdr:colOff>
      <xdr:row>11</xdr:row>
      <xdr:rowOff>9525</xdr:rowOff>
    </xdr:from>
    <xdr:ext cx="505844" cy="264560"/>
    <xdr:sp macro="" textlink="">
      <xdr:nvSpPr>
        <xdr:cNvPr id="17" name="textruta 16">
          <a:extLst>
            <a:ext uri="{FF2B5EF4-FFF2-40B4-BE49-F238E27FC236}">
              <a16:creationId xmlns:a16="http://schemas.microsoft.com/office/drawing/2014/main" xmlns="" id="{142683F5-640C-4ABF-8BB5-173D6519821C}"/>
            </a:ext>
          </a:extLst>
        </xdr:cNvPr>
        <xdr:cNvSpPr txBox="1"/>
      </xdr:nvSpPr>
      <xdr:spPr>
        <a:xfrm>
          <a:off x="20240625" y="2305050"/>
          <a:ext cx="50584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155,6</a:t>
          </a:r>
        </a:p>
      </xdr:txBody>
    </xdr:sp>
    <xdr:clientData/>
  </xdr:oneCellAnchor>
  <xdr:twoCellAnchor>
    <xdr:from>
      <xdr:col>28</xdr:col>
      <xdr:colOff>190500</xdr:colOff>
      <xdr:row>10</xdr:row>
      <xdr:rowOff>47625</xdr:rowOff>
    </xdr:from>
    <xdr:to>
      <xdr:col>28</xdr:col>
      <xdr:colOff>209550</xdr:colOff>
      <xdr:row>13</xdr:row>
      <xdr:rowOff>152400</xdr:rowOff>
    </xdr:to>
    <xdr:cxnSp macro="">
      <xdr:nvCxnSpPr>
        <xdr:cNvPr id="18" name="Rak pilkoppling 17">
          <a:extLst>
            <a:ext uri="{FF2B5EF4-FFF2-40B4-BE49-F238E27FC236}">
              <a16:creationId xmlns:a16="http://schemas.microsoft.com/office/drawing/2014/main" xmlns="" id="{08EB743B-9184-4B44-B38B-E676C67B334C}"/>
            </a:ext>
          </a:extLst>
        </xdr:cNvPr>
        <xdr:cNvCxnSpPr/>
      </xdr:nvCxnSpPr>
      <xdr:spPr>
        <a:xfrm flipH="1">
          <a:off x="21964650" y="2152650"/>
          <a:ext cx="19050" cy="6762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28</xdr:col>
      <xdr:colOff>209550</xdr:colOff>
      <xdr:row>11</xdr:row>
      <xdr:rowOff>9525</xdr:rowOff>
    </xdr:from>
    <xdr:ext cx="611321" cy="264560"/>
    <xdr:sp macro="" textlink="">
      <xdr:nvSpPr>
        <xdr:cNvPr id="19" name="textruta 18">
          <a:extLst>
            <a:ext uri="{FF2B5EF4-FFF2-40B4-BE49-F238E27FC236}">
              <a16:creationId xmlns:a16="http://schemas.microsoft.com/office/drawing/2014/main" xmlns="" id="{A5254EE4-3145-49F6-A5B1-7A5EBFB58BD5}"/>
            </a:ext>
          </a:extLst>
        </xdr:cNvPr>
        <xdr:cNvSpPr txBox="1"/>
      </xdr:nvSpPr>
      <xdr:spPr>
        <a:xfrm>
          <a:off x="21983700" y="2305050"/>
          <a:ext cx="61132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8,7+1,5</a:t>
          </a:r>
        </a:p>
      </xdr:txBody>
    </xdr:sp>
    <xdr:clientData/>
  </xdr:oneCellAnchor>
  <xdr:oneCellAnchor>
    <xdr:from>
      <xdr:col>14</xdr:col>
      <xdr:colOff>76200</xdr:colOff>
      <xdr:row>14</xdr:row>
      <xdr:rowOff>38100</xdr:rowOff>
    </xdr:from>
    <xdr:ext cx="256160" cy="264560"/>
    <xdr:sp macro="" textlink="">
      <xdr:nvSpPr>
        <xdr:cNvPr id="20" name="textruta 19">
          <a:extLst>
            <a:ext uri="{FF2B5EF4-FFF2-40B4-BE49-F238E27FC236}">
              <a16:creationId xmlns:a16="http://schemas.microsoft.com/office/drawing/2014/main" xmlns="" id="{EE4C7691-011E-4AE9-8213-FC9B59F56224}"/>
            </a:ext>
          </a:extLst>
        </xdr:cNvPr>
        <xdr:cNvSpPr txBox="1"/>
      </xdr:nvSpPr>
      <xdr:spPr>
        <a:xfrm>
          <a:off x="13315950" y="2905125"/>
          <a:ext cx="25616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0</a:t>
          </a:r>
        </a:p>
      </xdr:txBody>
    </xdr:sp>
    <xdr:clientData/>
  </xdr:oneCellAnchor>
  <xdr:oneCellAnchor>
    <xdr:from>
      <xdr:col>28</xdr:col>
      <xdr:colOff>495300</xdr:colOff>
      <xdr:row>14</xdr:row>
      <xdr:rowOff>57150</xdr:rowOff>
    </xdr:from>
    <xdr:ext cx="362856" cy="264560"/>
    <xdr:sp macro="" textlink="">
      <xdr:nvSpPr>
        <xdr:cNvPr id="21" name="textruta 20">
          <a:extLst>
            <a:ext uri="{FF2B5EF4-FFF2-40B4-BE49-F238E27FC236}">
              <a16:creationId xmlns:a16="http://schemas.microsoft.com/office/drawing/2014/main" xmlns="" id="{47C41565-F442-4904-A59A-6A950D0F97A5}"/>
            </a:ext>
          </a:extLst>
        </xdr:cNvPr>
        <xdr:cNvSpPr txBox="1"/>
      </xdr:nvSpPr>
      <xdr:spPr>
        <a:xfrm>
          <a:off x="22269450" y="2924175"/>
          <a:ext cx="36285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solidFill>
                <a:srgbClr val="FF0000"/>
              </a:solidFill>
            </a:rPr>
            <a:t>0,5</a:t>
          </a:r>
        </a:p>
      </xdr:txBody>
    </xdr:sp>
    <xdr:clientData/>
  </xdr:oneCellAnchor>
  <xdr:twoCellAnchor>
    <xdr:from>
      <xdr:col>15</xdr:col>
      <xdr:colOff>333375</xdr:colOff>
      <xdr:row>17</xdr:row>
      <xdr:rowOff>28575</xdr:rowOff>
    </xdr:from>
    <xdr:to>
      <xdr:col>18</xdr:col>
      <xdr:colOff>133350</xdr:colOff>
      <xdr:row>20</xdr:row>
      <xdr:rowOff>133350</xdr:rowOff>
    </xdr:to>
    <xdr:sp macro="" textlink="">
      <xdr:nvSpPr>
        <xdr:cNvPr id="22" name="Rektangel 21">
          <a:extLst>
            <a:ext uri="{FF2B5EF4-FFF2-40B4-BE49-F238E27FC236}">
              <a16:creationId xmlns:a16="http://schemas.microsoft.com/office/drawing/2014/main" xmlns="" id="{4E9E9195-29F0-4986-8A43-99D37524C8EA}"/>
            </a:ext>
          </a:extLst>
        </xdr:cNvPr>
        <xdr:cNvSpPr/>
      </xdr:nvSpPr>
      <xdr:spPr>
        <a:xfrm>
          <a:off x="14182725" y="3467100"/>
          <a:ext cx="1628775" cy="6762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Stockholm exergi</a:t>
          </a:r>
        </a:p>
      </xdr:txBody>
    </xdr:sp>
    <xdr:clientData/>
  </xdr:twoCellAnchor>
  <xdr:twoCellAnchor>
    <xdr:from>
      <xdr:col>21</xdr:col>
      <xdr:colOff>95250</xdr:colOff>
      <xdr:row>17</xdr:row>
      <xdr:rowOff>66675</xdr:rowOff>
    </xdr:from>
    <xdr:to>
      <xdr:col>24</xdr:col>
      <xdr:colOff>57150</xdr:colOff>
      <xdr:row>20</xdr:row>
      <xdr:rowOff>171450</xdr:rowOff>
    </xdr:to>
    <xdr:sp macro="" textlink="">
      <xdr:nvSpPr>
        <xdr:cNvPr id="23" name="Rektangel 22">
          <a:extLst>
            <a:ext uri="{FF2B5EF4-FFF2-40B4-BE49-F238E27FC236}">
              <a16:creationId xmlns:a16="http://schemas.microsoft.com/office/drawing/2014/main" xmlns="" id="{629710C3-535C-4608-B7D3-654DAA4EF15F}"/>
            </a:ext>
          </a:extLst>
        </xdr:cNvPr>
        <xdr:cNvSpPr/>
      </xdr:nvSpPr>
      <xdr:spPr>
        <a:xfrm>
          <a:off x="17602200" y="3505200"/>
          <a:ext cx="1790700" cy="6762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Norrenergi</a:t>
          </a:r>
        </a:p>
      </xdr:txBody>
    </xdr:sp>
    <xdr:clientData/>
  </xdr:twoCellAnchor>
  <xdr:twoCellAnchor>
    <xdr:from>
      <xdr:col>25</xdr:col>
      <xdr:colOff>523875</xdr:colOff>
      <xdr:row>17</xdr:row>
      <xdr:rowOff>57150</xdr:rowOff>
    </xdr:from>
    <xdr:to>
      <xdr:col>28</xdr:col>
      <xdr:colOff>485775</xdr:colOff>
      <xdr:row>20</xdr:row>
      <xdr:rowOff>161925</xdr:rowOff>
    </xdr:to>
    <xdr:sp macro="" textlink="">
      <xdr:nvSpPr>
        <xdr:cNvPr id="24" name="Rektangel 23">
          <a:extLst>
            <a:ext uri="{FF2B5EF4-FFF2-40B4-BE49-F238E27FC236}">
              <a16:creationId xmlns:a16="http://schemas.microsoft.com/office/drawing/2014/main" xmlns="" id="{3ED53043-3AF6-423D-816C-160E0926AD9E}"/>
            </a:ext>
          </a:extLst>
        </xdr:cNvPr>
        <xdr:cNvSpPr/>
      </xdr:nvSpPr>
      <xdr:spPr>
        <a:xfrm>
          <a:off x="20469225" y="3495675"/>
          <a:ext cx="1790700" cy="6762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Sollentuna</a:t>
          </a:r>
        </a:p>
      </xdr:txBody>
    </xdr:sp>
    <xdr:clientData/>
  </xdr:twoCellAnchor>
  <xdr:twoCellAnchor>
    <xdr:from>
      <xdr:col>14</xdr:col>
      <xdr:colOff>66675</xdr:colOff>
      <xdr:row>24</xdr:row>
      <xdr:rowOff>142876</xdr:rowOff>
    </xdr:from>
    <xdr:to>
      <xdr:col>28</xdr:col>
      <xdr:colOff>485775</xdr:colOff>
      <xdr:row>25</xdr:row>
      <xdr:rowOff>9525</xdr:rowOff>
    </xdr:to>
    <xdr:cxnSp macro="">
      <xdr:nvCxnSpPr>
        <xdr:cNvPr id="25" name="Rak pilkoppling 24">
          <a:extLst>
            <a:ext uri="{FF2B5EF4-FFF2-40B4-BE49-F238E27FC236}">
              <a16:creationId xmlns:a16="http://schemas.microsoft.com/office/drawing/2014/main" xmlns="" id="{E97347FC-5853-4FAD-B256-6D9D83E4508E}"/>
            </a:ext>
          </a:extLst>
        </xdr:cNvPr>
        <xdr:cNvCxnSpPr/>
      </xdr:nvCxnSpPr>
      <xdr:spPr>
        <a:xfrm flipV="1">
          <a:off x="13306425" y="4914901"/>
          <a:ext cx="8953500" cy="57149"/>
        </a:xfrm>
        <a:prstGeom prst="straightConnector1">
          <a:avLst/>
        </a:prstGeom>
        <a:ln>
          <a:tailEnd type="non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14</xdr:col>
      <xdr:colOff>542925</xdr:colOff>
      <xdr:row>22</xdr:row>
      <xdr:rowOff>47625</xdr:rowOff>
    </xdr:from>
    <xdr:ext cx="399148" cy="264560"/>
    <xdr:sp macro="" textlink="">
      <xdr:nvSpPr>
        <xdr:cNvPr id="26" name="textruta 25">
          <a:extLst>
            <a:ext uri="{FF2B5EF4-FFF2-40B4-BE49-F238E27FC236}">
              <a16:creationId xmlns:a16="http://schemas.microsoft.com/office/drawing/2014/main" xmlns="" id="{04EF0242-BDE2-48D4-943C-C3AC83DB0DEA}"/>
            </a:ext>
          </a:extLst>
        </xdr:cNvPr>
        <xdr:cNvSpPr txBox="1"/>
      </xdr:nvSpPr>
      <xdr:spPr>
        <a:xfrm>
          <a:off x="13782675" y="4438650"/>
          <a:ext cx="39914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789</a:t>
          </a:r>
        </a:p>
      </xdr:txBody>
    </xdr:sp>
    <xdr:clientData/>
  </xdr:oneCellAnchor>
  <xdr:twoCellAnchor>
    <xdr:from>
      <xdr:col>21</xdr:col>
      <xdr:colOff>257175</xdr:colOff>
      <xdr:row>20</xdr:row>
      <xdr:rowOff>180975</xdr:rowOff>
    </xdr:from>
    <xdr:to>
      <xdr:col>21</xdr:col>
      <xdr:colOff>257175</xdr:colOff>
      <xdr:row>24</xdr:row>
      <xdr:rowOff>123825</xdr:rowOff>
    </xdr:to>
    <xdr:cxnSp macro="">
      <xdr:nvCxnSpPr>
        <xdr:cNvPr id="27" name="Rak pilkoppling 26">
          <a:extLst>
            <a:ext uri="{FF2B5EF4-FFF2-40B4-BE49-F238E27FC236}">
              <a16:creationId xmlns:a16="http://schemas.microsoft.com/office/drawing/2014/main" xmlns="" id="{FA2BF5CA-9D69-48CA-AC32-795A6E3ECD8B}"/>
            </a:ext>
          </a:extLst>
        </xdr:cNvPr>
        <xdr:cNvCxnSpPr/>
      </xdr:nvCxnSpPr>
      <xdr:spPr>
        <a:xfrm flipV="1">
          <a:off x="17764125" y="4191000"/>
          <a:ext cx="0" cy="7048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20</xdr:col>
      <xdr:colOff>323850</xdr:colOff>
      <xdr:row>21</xdr:row>
      <xdr:rowOff>161925</xdr:rowOff>
    </xdr:from>
    <xdr:ext cx="399148" cy="264560"/>
    <xdr:sp macro="" textlink="">
      <xdr:nvSpPr>
        <xdr:cNvPr id="28" name="textruta 27">
          <a:extLst>
            <a:ext uri="{FF2B5EF4-FFF2-40B4-BE49-F238E27FC236}">
              <a16:creationId xmlns:a16="http://schemas.microsoft.com/office/drawing/2014/main" xmlns="" id="{431AD5CE-5F5E-47B5-8A53-EA7A65D90659}"/>
            </a:ext>
          </a:extLst>
        </xdr:cNvPr>
        <xdr:cNvSpPr txBox="1"/>
      </xdr:nvSpPr>
      <xdr:spPr>
        <a:xfrm>
          <a:off x="17221200" y="4362450"/>
          <a:ext cx="39914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444</a:t>
          </a:r>
        </a:p>
      </xdr:txBody>
    </xdr:sp>
    <xdr:clientData/>
  </xdr:oneCellAnchor>
  <xdr:twoCellAnchor>
    <xdr:from>
      <xdr:col>23</xdr:col>
      <xdr:colOff>409575</xdr:colOff>
      <xdr:row>21</xdr:row>
      <xdr:rowOff>9525</xdr:rowOff>
    </xdr:from>
    <xdr:to>
      <xdr:col>23</xdr:col>
      <xdr:colOff>409575</xdr:colOff>
      <xdr:row>24</xdr:row>
      <xdr:rowOff>133350</xdr:rowOff>
    </xdr:to>
    <xdr:cxnSp macro="">
      <xdr:nvCxnSpPr>
        <xdr:cNvPr id="29" name="Rak pilkoppling 28">
          <a:extLst>
            <a:ext uri="{FF2B5EF4-FFF2-40B4-BE49-F238E27FC236}">
              <a16:creationId xmlns:a16="http://schemas.microsoft.com/office/drawing/2014/main" xmlns="" id="{D451B632-06F0-49FE-9C5B-1467C665A9A8}"/>
            </a:ext>
          </a:extLst>
        </xdr:cNvPr>
        <xdr:cNvCxnSpPr/>
      </xdr:nvCxnSpPr>
      <xdr:spPr>
        <a:xfrm>
          <a:off x="19135725" y="4210050"/>
          <a:ext cx="0" cy="6953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438150</xdr:colOff>
      <xdr:row>21</xdr:row>
      <xdr:rowOff>161925</xdr:rowOff>
    </xdr:from>
    <xdr:ext cx="256160" cy="264560"/>
    <xdr:sp macro="" textlink="">
      <xdr:nvSpPr>
        <xdr:cNvPr id="30" name="textruta 29">
          <a:extLst>
            <a:ext uri="{FF2B5EF4-FFF2-40B4-BE49-F238E27FC236}">
              <a16:creationId xmlns:a16="http://schemas.microsoft.com/office/drawing/2014/main" xmlns="" id="{756C81CC-D0F9-418D-BC02-ED50141F3937}"/>
            </a:ext>
          </a:extLst>
        </xdr:cNvPr>
        <xdr:cNvSpPr txBox="1"/>
      </xdr:nvSpPr>
      <xdr:spPr>
        <a:xfrm>
          <a:off x="19164300" y="4362450"/>
          <a:ext cx="25616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1</a:t>
          </a:r>
        </a:p>
      </xdr:txBody>
    </xdr:sp>
    <xdr:clientData/>
  </xdr:oneCellAnchor>
  <xdr:oneCellAnchor>
    <xdr:from>
      <xdr:col>24</xdr:col>
      <xdr:colOff>438150</xdr:colOff>
      <xdr:row>25</xdr:row>
      <xdr:rowOff>0</xdr:rowOff>
    </xdr:from>
    <xdr:ext cx="184731" cy="264560"/>
    <xdr:sp macro="" textlink="">
      <xdr:nvSpPr>
        <xdr:cNvPr id="31" name="textruta 30">
          <a:extLst>
            <a:ext uri="{FF2B5EF4-FFF2-40B4-BE49-F238E27FC236}">
              <a16:creationId xmlns:a16="http://schemas.microsoft.com/office/drawing/2014/main" xmlns="" id="{3D2B650A-F596-4E23-A302-3CBC461E5488}"/>
            </a:ext>
          </a:extLst>
        </xdr:cNvPr>
        <xdr:cNvSpPr txBox="1"/>
      </xdr:nvSpPr>
      <xdr:spPr>
        <a:xfrm>
          <a:off x="19773900" y="496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v-SE" sz="1100"/>
        </a:p>
      </xdr:txBody>
    </xdr:sp>
    <xdr:clientData/>
  </xdr:oneCellAnchor>
  <xdr:twoCellAnchor>
    <xdr:from>
      <xdr:col>15</xdr:col>
      <xdr:colOff>438150</xdr:colOff>
      <xdr:row>21</xdr:row>
      <xdr:rowOff>19050</xdr:rowOff>
    </xdr:from>
    <xdr:to>
      <xdr:col>15</xdr:col>
      <xdr:colOff>438150</xdr:colOff>
      <xdr:row>24</xdr:row>
      <xdr:rowOff>142875</xdr:rowOff>
    </xdr:to>
    <xdr:cxnSp macro="">
      <xdr:nvCxnSpPr>
        <xdr:cNvPr id="32" name="Rak pilkoppling 31">
          <a:extLst>
            <a:ext uri="{FF2B5EF4-FFF2-40B4-BE49-F238E27FC236}">
              <a16:creationId xmlns:a16="http://schemas.microsoft.com/office/drawing/2014/main" xmlns="" id="{695B93E8-B8BF-47F0-90B9-73A2B8971239}"/>
            </a:ext>
          </a:extLst>
        </xdr:cNvPr>
        <xdr:cNvCxnSpPr/>
      </xdr:nvCxnSpPr>
      <xdr:spPr>
        <a:xfrm>
          <a:off x="14287500" y="4219575"/>
          <a:ext cx="0" cy="6953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561975</xdr:colOff>
      <xdr:row>20</xdr:row>
      <xdr:rowOff>180975</xdr:rowOff>
    </xdr:from>
    <xdr:to>
      <xdr:col>17</xdr:col>
      <xdr:colOff>561975</xdr:colOff>
      <xdr:row>24</xdr:row>
      <xdr:rowOff>161925</xdr:rowOff>
    </xdr:to>
    <xdr:cxnSp macro="">
      <xdr:nvCxnSpPr>
        <xdr:cNvPr id="33" name="Rak pilkoppling 32">
          <a:extLst>
            <a:ext uri="{FF2B5EF4-FFF2-40B4-BE49-F238E27FC236}">
              <a16:creationId xmlns:a16="http://schemas.microsoft.com/office/drawing/2014/main" xmlns="" id="{E5194775-BF0E-4DA8-98BC-027BCCC4E90E}"/>
            </a:ext>
          </a:extLst>
        </xdr:cNvPr>
        <xdr:cNvCxnSpPr/>
      </xdr:nvCxnSpPr>
      <xdr:spPr>
        <a:xfrm flipV="1">
          <a:off x="15630525" y="4191000"/>
          <a:ext cx="0" cy="7429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17</xdr:col>
      <xdr:colOff>571500</xdr:colOff>
      <xdr:row>22</xdr:row>
      <xdr:rowOff>85725</xdr:rowOff>
    </xdr:from>
    <xdr:ext cx="256160" cy="264560"/>
    <xdr:sp macro="" textlink="">
      <xdr:nvSpPr>
        <xdr:cNvPr id="34" name="textruta 33">
          <a:extLst>
            <a:ext uri="{FF2B5EF4-FFF2-40B4-BE49-F238E27FC236}">
              <a16:creationId xmlns:a16="http://schemas.microsoft.com/office/drawing/2014/main" xmlns="" id="{DFB3062E-0657-44F9-9C93-81B938E73B0E}"/>
            </a:ext>
          </a:extLst>
        </xdr:cNvPr>
        <xdr:cNvSpPr txBox="1"/>
      </xdr:nvSpPr>
      <xdr:spPr>
        <a:xfrm>
          <a:off x="15640050" y="4476750"/>
          <a:ext cx="25616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0</a:t>
          </a:r>
        </a:p>
      </xdr:txBody>
    </xdr:sp>
    <xdr:clientData/>
  </xdr:oneCellAnchor>
  <xdr:oneCellAnchor>
    <xdr:from>
      <xdr:col>19</xdr:col>
      <xdr:colOff>19050</xdr:colOff>
      <xdr:row>24</xdr:row>
      <xdr:rowOff>171450</xdr:rowOff>
    </xdr:from>
    <xdr:ext cx="399148" cy="264560"/>
    <xdr:sp macro="" textlink="">
      <xdr:nvSpPr>
        <xdr:cNvPr id="35" name="textruta 34">
          <a:extLst>
            <a:ext uri="{FF2B5EF4-FFF2-40B4-BE49-F238E27FC236}">
              <a16:creationId xmlns:a16="http://schemas.microsoft.com/office/drawing/2014/main" xmlns="" id="{D3C75015-EE78-4514-81D8-1EF55B500E8E}"/>
            </a:ext>
          </a:extLst>
        </xdr:cNvPr>
        <xdr:cNvSpPr txBox="1"/>
      </xdr:nvSpPr>
      <xdr:spPr>
        <a:xfrm>
          <a:off x="16306800" y="4943475"/>
          <a:ext cx="39914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789</a:t>
          </a:r>
        </a:p>
      </xdr:txBody>
    </xdr:sp>
    <xdr:clientData/>
  </xdr:oneCellAnchor>
  <xdr:twoCellAnchor>
    <xdr:from>
      <xdr:col>26</xdr:col>
      <xdr:colOff>219075</xdr:colOff>
      <xdr:row>20</xdr:row>
      <xdr:rowOff>180975</xdr:rowOff>
    </xdr:from>
    <xdr:to>
      <xdr:col>26</xdr:col>
      <xdr:colOff>228600</xdr:colOff>
      <xdr:row>24</xdr:row>
      <xdr:rowOff>142875</xdr:rowOff>
    </xdr:to>
    <xdr:cxnSp macro="">
      <xdr:nvCxnSpPr>
        <xdr:cNvPr id="36" name="Rak pilkoppling 35">
          <a:extLst>
            <a:ext uri="{FF2B5EF4-FFF2-40B4-BE49-F238E27FC236}">
              <a16:creationId xmlns:a16="http://schemas.microsoft.com/office/drawing/2014/main" xmlns="" id="{B704C6BE-7DA5-4A33-AC5F-51739709B035}"/>
            </a:ext>
          </a:extLst>
        </xdr:cNvPr>
        <xdr:cNvCxnSpPr/>
      </xdr:nvCxnSpPr>
      <xdr:spPr>
        <a:xfrm flipV="1">
          <a:off x="20774025" y="4191000"/>
          <a:ext cx="9525" cy="7239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25</xdr:col>
      <xdr:colOff>295275</xdr:colOff>
      <xdr:row>22</xdr:row>
      <xdr:rowOff>9525</xdr:rowOff>
    </xdr:from>
    <xdr:ext cx="399148" cy="264560"/>
    <xdr:sp macro="" textlink="">
      <xdr:nvSpPr>
        <xdr:cNvPr id="37" name="textruta 36">
          <a:extLst>
            <a:ext uri="{FF2B5EF4-FFF2-40B4-BE49-F238E27FC236}">
              <a16:creationId xmlns:a16="http://schemas.microsoft.com/office/drawing/2014/main" xmlns="" id="{D6100B45-A93B-47A4-B506-68972E7AFE7F}"/>
            </a:ext>
          </a:extLst>
        </xdr:cNvPr>
        <xdr:cNvSpPr txBox="1"/>
      </xdr:nvSpPr>
      <xdr:spPr>
        <a:xfrm>
          <a:off x="20240625" y="4400550"/>
          <a:ext cx="39914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343</a:t>
          </a:r>
        </a:p>
      </xdr:txBody>
    </xdr:sp>
    <xdr:clientData/>
  </xdr:oneCellAnchor>
  <xdr:twoCellAnchor>
    <xdr:from>
      <xdr:col>28</xdr:col>
      <xdr:colOff>190500</xdr:colOff>
      <xdr:row>21</xdr:row>
      <xdr:rowOff>47625</xdr:rowOff>
    </xdr:from>
    <xdr:to>
      <xdr:col>28</xdr:col>
      <xdr:colOff>209550</xdr:colOff>
      <xdr:row>24</xdr:row>
      <xdr:rowOff>152400</xdr:rowOff>
    </xdr:to>
    <xdr:cxnSp macro="">
      <xdr:nvCxnSpPr>
        <xdr:cNvPr id="38" name="Rak pilkoppling 37">
          <a:extLst>
            <a:ext uri="{FF2B5EF4-FFF2-40B4-BE49-F238E27FC236}">
              <a16:creationId xmlns:a16="http://schemas.microsoft.com/office/drawing/2014/main" xmlns="" id="{B147A5A9-AE10-4EA7-B12F-B84E34F904B7}"/>
            </a:ext>
          </a:extLst>
        </xdr:cNvPr>
        <xdr:cNvCxnSpPr/>
      </xdr:nvCxnSpPr>
      <xdr:spPr>
        <a:xfrm flipH="1">
          <a:off x="21964650" y="4248150"/>
          <a:ext cx="19050" cy="6762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28</xdr:col>
      <xdr:colOff>209550</xdr:colOff>
      <xdr:row>22</xdr:row>
      <xdr:rowOff>9525</xdr:rowOff>
    </xdr:from>
    <xdr:ext cx="256160" cy="264560"/>
    <xdr:sp macro="" textlink="">
      <xdr:nvSpPr>
        <xdr:cNvPr id="39" name="textruta 38">
          <a:extLst>
            <a:ext uri="{FF2B5EF4-FFF2-40B4-BE49-F238E27FC236}">
              <a16:creationId xmlns:a16="http://schemas.microsoft.com/office/drawing/2014/main" xmlns="" id="{3FF18584-ED89-49DB-B96C-2C1F7C9BE50F}"/>
            </a:ext>
          </a:extLst>
        </xdr:cNvPr>
        <xdr:cNvSpPr txBox="1"/>
      </xdr:nvSpPr>
      <xdr:spPr>
        <a:xfrm>
          <a:off x="21983700" y="4400550"/>
          <a:ext cx="25616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0</a:t>
          </a:r>
        </a:p>
      </xdr:txBody>
    </xdr:sp>
    <xdr:clientData/>
  </xdr:oneCellAnchor>
  <xdr:oneCellAnchor>
    <xdr:from>
      <xdr:col>14</xdr:col>
      <xdr:colOff>76200</xdr:colOff>
      <xdr:row>25</xdr:row>
      <xdr:rowOff>38100</xdr:rowOff>
    </xdr:from>
    <xdr:ext cx="256160" cy="264560"/>
    <xdr:sp macro="" textlink="">
      <xdr:nvSpPr>
        <xdr:cNvPr id="40" name="textruta 39">
          <a:extLst>
            <a:ext uri="{FF2B5EF4-FFF2-40B4-BE49-F238E27FC236}">
              <a16:creationId xmlns:a16="http://schemas.microsoft.com/office/drawing/2014/main" xmlns="" id="{12EA0D32-185D-424A-BDB4-E93957E9CF34}"/>
            </a:ext>
          </a:extLst>
        </xdr:cNvPr>
        <xdr:cNvSpPr txBox="1"/>
      </xdr:nvSpPr>
      <xdr:spPr>
        <a:xfrm>
          <a:off x="13315950" y="5000625"/>
          <a:ext cx="25616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0</a:t>
          </a:r>
        </a:p>
      </xdr:txBody>
    </xdr:sp>
    <xdr:clientData/>
  </xdr:oneCellAnchor>
  <xdr:oneCellAnchor>
    <xdr:from>
      <xdr:col>28</xdr:col>
      <xdr:colOff>495300</xdr:colOff>
      <xdr:row>25</xdr:row>
      <xdr:rowOff>57150</xdr:rowOff>
    </xdr:from>
    <xdr:ext cx="1684244" cy="264560"/>
    <xdr:sp macro="" textlink="">
      <xdr:nvSpPr>
        <xdr:cNvPr id="41" name="textruta 40">
          <a:extLst>
            <a:ext uri="{FF2B5EF4-FFF2-40B4-BE49-F238E27FC236}">
              <a16:creationId xmlns:a16="http://schemas.microsoft.com/office/drawing/2014/main" xmlns="" id="{80FC01C7-BAAE-42CB-96F8-2C298B6D353A}"/>
            </a:ext>
          </a:extLst>
        </xdr:cNvPr>
        <xdr:cNvSpPr txBox="1"/>
      </xdr:nvSpPr>
      <xdr:spPr>
        <a:xfrm>
          <a:off x="22269450" y="5019675"/>
          <a:ext cx="168424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solidFill>
                <a:srgbClr val="FF0000"/>
              </a:solidFill>
            </a:rPr>
            <a:t>3, OK // MaPe 2019-05-06</a:t>
          </a:r>
        </a:p>
      </xdr:txBody>
    </xdr:sp>
    <xdr:clientData/>
  </xdr:oneCellAnchor>
  <xdr:oneCellAnchor>
    <xdr:from>
      <xdr:col>24</xdr:col>
      <xdr:colOff>371475</xdr:colOff>
      <xdr:row>25</xdr:row>
      <xdr:rowOff>0</xdr:rowOff>
    </xdr:from>
    <xdr:ext cx="399148" cy="264560"/>
    <xdr:sp macro="" textlink="">
      <xdr:nvSpPr>
        <xdr:cNvPr id="42" name="textruta 41">
          <a:extLst>
            <a:ext uri="{FF2B5EF4-FFF2-40B4-BE49-F238E27FC236}">
              <a16:creationId xmlns:a16="http://schemas.microsoft.com/office/drawing/2014/main" xmlns="" id="{ECA0A28D-766F-4556-8B0D-23A0F773D46D}"/>
            </a:ext>
          </a:extLst>
        </xdr:cNvPr>
        <xdr:cNvSpPr txBox="1"/>
      </xdr:nvSpPr>
      <xdr:spPr>
        <a:xfrm>
          <a:off x="19707225" y="4962525"/>
          <a:ext cx="39914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346</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6</xdr:col>
      <xdr:colOff>933450</xdr:colOff>
      <xdr:row>28</xdr:row>
      <xdr:rowOff>180975</xdr:rowOff>
    </xdr:from>
    <xdr:to>
      <xdr:col>9</xdr:col>
      <xdr:colOff>914400</xdr:colOff>
      <xdr:row>37</xdr:row>
      <xdr:rowOff>95250</xdr:rowOff>
    </xdr:to>
    <xdr:sp macro="" textlink="">
      <xdr:nvSpPr>
        <xdr:cNvPr id="2" name="textruta 1">
          <a:extLst>
            <a:ext uri="{FF2B5EF4-FFF2-40B4-BE49-F238E27FC236}">
              <a16:creationId xmlns:a16="http://schemas.microsoft.com/office/drawing/2014/main" xmlns="" id="{13E235FE-F11E-4B83-AE56-94F58F4A7545}"/>
            </a:ext>
          </a:extLst>
        </xdr:cNvPr>
        <xdr:cNvSpPr txBox="1"/>
      </xdr:nvSpPr>
      <xdr:spPr>
        <a:xfrm>
          <a:off x="3657600" y="5514975"/>
          <a:ext cx="1828800" cy="1628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400" baseline="0"/>
            <a:t>Allokering mellan bränslen till värme och el har skett med hjälp av alternativproduktionsmetoden.</a:t>
          </a:r>
        </a:p>
        <a:p>
          <a:r>
            <a:rPr lang="sv-SE" sz="1400" baseline="0"/>
            <a:t/>
          </a:r>
          <a:br>
            <a:rPr lang="sv-SE" sz="1400" baseline="0"/>
          </a:br>
          <a:r>
            <a:rPr lang="sv-SE" sz="1400" baseline="0"/>
            <a:t>Värme från värmepumpar inkluderar tillförd värme från värmekälla + tillförd el.</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770164</xdr:colOff>
      <xdr:row>1</xdr:row>
      <xdr:rowOff>391885</xdr:rowOff>
    </xdr:from>
    <xdr:to>
      <xdr:col>10</xdr:col>
      <xdr:colOff>892630</xdr:colOff>
      <xdr:row>6</xdr:row>
      <xdr:rowOff>206828</xdr:rowOff>
    </xdr:to>
    <xdr:pic>
      <xdr:nvPicPr>
        <xdr:cNvPr id="2" name="Picture 120">
          <a:extLst>
            <a:ext uri="{FF2B5EF4-FFF2-40B4-BE49-F238E27FC236}">
              <a16:creationId xmlns:a16="http://schemas.microsoft.com/office/drawing/2014/main" xmlns="" id="{C125EDA1-3D20-4510-9403-91D5FC9366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52064" y="934810"/>
          <a:ext cx="1627416" cy="1605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400050</xdr:colOff>
      <xdr:row>43</xdr:row>
      <xdr:rowOff>85726</xdr:rowOff>
    </xdr:from>
    <xdr:to>
      <xdr:col>8</xdr:col>
      <xdr:colOff>38100</xdr:colOff>
      <xdr:row>59</xdr:row>
      <xdr:rowOff>85725</xdr:rowOff>
    </xdr:to>
    <xdr:graphicFrame macro="">
      <xdr:nvGraphicFramePr>
        <xdr:cNvPr id="3" name="Diagram 2">
          <a:extLst>
            <a:ext uri="{FF2B5EF4-FFF2-40B4-BE49-F238E27FC236}">
              <a16:creationId xmlns:a16="http://schemas.microsoft.com/office/drawing/2014/main" xmlns="" id="{39AE74CD-2F60-4292-94AB-87D5980A89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5473\15004801\000\8_Underlag\Mallar%20f&#246;r%20rapport%20och%20granskning\Alla%20filer%20milj&#246;v&#228;rdering%202017%20-%20del%201\C.%20Publiceringsfil\Publiceringsfil%202018-06-14%20ol&#229;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s köpt och såld fjv 180524"/>
      <sheetName val="Dublettnamn"/>
      <sheetName val="Egen hetvattenprod"/>
      <sheetName val="Köpt hetvatten"/>
      <sheetName val="Kraftvärmeprod"/>
      <sheetName val="Slutlig allokering kvv"/>
      <sheetName val="Allokerat till el"/>
      <sheetName val="Spillvärme"/>
      <sheetName val="Miljö"/>
      <sheetName val="Leveranser"/>
      <sheetName val="Tillförd energi"/>
      <sheetName val="Totalt"/>
      <sheetName val="Tillförda bränslen per nät"/>
      <sheetName val="Sammanfattning bränslen"/>
      <sheetName val="Viktade värden el"/>
      <sheetName val="Miljövärden"/>
      <sheetName val="Miljövärden urval för publ"/>
      <sheetName val="Miljövärden för publ företag"/>
      <sheetName val="Underlagsinformation"/>
      <sheetName val="Underlag till diagram"/>
      <sheetName val="Redovisning för kunder"/>
      <sheetName val="Emissionsfaktor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
          <cell r="B1" t="str">
            <v>Nät</v>
          </cell>
          <cell r="C1" t="str">
            <v>Hemsida dit vi hänvisar för mer information: (endast för E.on)</v>
          </cell>
          <cell r="D1" t="str">
            <v>Allokeringsmetod vid kraftvärme</v>
          </cell>
          <cell r="E1" t="str">
            <v>Andel av bränsle i kvv som allokerats till värme, exklusive rökgaskondensering och hjälpel</v>
          </cell>
          <cell r="F1" t="str">
            <v>Elproduktion</v>
          </cell>
          <cell r="G1" t="str">
            <v>Såld prod.spec värme:</v>
          </cell>
          <cell r="H1" t="str">
            <v>Är fjärrvärmen klimatkompenserad?</v>
          </cell>
          <cell r="I1">
            <v>0</v>
          </cell>
          <cell r="J1" t="str">
            <v>Företagsnamn</v>
          </cell>
        </row>
        <row r="2">
          <cell r="B2" t="str">
            <v>Bollstabruk</v>
          </cell>
          <cell r="D2" t="str">
            <v>Ej kraftvärme</v>
          </cell>
          <cell r="E2" t="str">
            <v/>
          </cell>
          <cell r="F2" t="str">
            <v/>
          </cell>
          <cell r="G2" t="str">
            <v/>
          </cell>
          <cell r="J2" t="str">
            <v>Adven Värme AB.</v>
          </cell>
        </row>
        <row r="3">
          <cell r="B3" t="str">
            <v>Bräcke, Enycon</v>
          </cell>
          <cell r="D3" t="str">
            <v>Ej kraftvärme</v>
          </cell>
          <cell r="E3" t="str">
            <v/>
          </cell>
          <cell r="F3" t="str">
            <v/>
          </cell>
          <cell r="G3" t="str">
            <v/>
          </cell>
          <cell r="J3" t="str">
            <v>Adven Värme AB.</v>
          </cell>
        </row>
        <row r="4">
          <cell r="B4" t="str">
            <v>Friggesund</v>
          </cell>
          <cell r="D4" t="str">
            <v>Ej kraftvärme</v>
          </cell>
          <cell r="E4" t="str">
            <v/>
          </cell>
          <cell r="F4" t="str">
            <v/>
          </cell>
          <cell r="G4" t="str">
            <v/>
          </cell>
          <cell r="J4" t="str">
            <v>Adven Värme AB.</v>
          </cell>
        </row>
        <row r="5">
          <cell r="B5" t="str">
            <v>Funäsdalen</v>
          </cell>
          <cell r="D5" t="str">
            <v>Ej kraftvärme</v>
          </cell>
          <cell r="E5" t="str">
            <v/>
          </cell>
          <cell r="F5" t="str">
            <v/>
          </cell>
          <cell r="G5" t="str">
            <v/>
          </cell>
          <cell r="J5" t="str">
            <v>Adven Värme AB.</v>
          </cell>
        </row>
        <row r="6">
          <cell r="B6" t="str">
            <v>Hede</v>
          </cell>
          <cell r="D6" t="str">
            <v>Ej kraftvärme</v>
          </cell>
          <cell r="E6" t="str">
            <v/>
          </cell>
          <cell r="F6" t="str">
            <v/>
          </cell>
          <cell r="G6" t="str">
            <v/>
          </cell>
          <cell r="J6" t="str">
            <v>Adven Värme AB.</v>
          </cell>
        </row>
        <row r="7">
          <cell r="B7" t="str">
            <v>Långsele</v>
          </cell>
          <cell r="D7" t="str">
            <v>Ej kraftvärme</v>
          </cell>
          <cell r="E7" t="str">
            <v/>
          </cell>
          <cell r="F7" t="str">
            <v/>
          </cell>
          <cell r="G7" t="str">
            <v/>
          </cell>
          <cell r="J7" t="str">
            <v>Adven Värme AB.</v>
          </cell>
        </row>
        <row r="8">
          <cell r="B8" t="str">
            <v>Näsåker</v>
          </cell>
          <cell r="D8" t="str">
            <v>Ej kraftvärme</v>
          </cell>
          <cell r="E8" t="str">
            <v/>
          </cell>
          <cell r="F8" t="str">
            <v/>
          </cell>
          <cell r="G8" t="str">
            <v/>
          </cell>
          <cell r="J8" t="str">
            <v>Adven Värme AB.</v>
          </cell>
        </row>
        <row r="9">
          <cell r="B9" t="str">
            <v>Ramsele</v>
          </cell>
          <cell r="D9" t="str">
            <v>Ej kraftvärme</v>
          </cell>
          <cell r="E9" t="str">
            <v/>
          </cell>
          <cell r="F9" t="str">
            <v/>
          </cell>
          <cell r="G9" t="str">
            <v/>
          </cell>
          <cell r="J9" t="str">
            <v>Adven Värme AB.</v>
          </cell>
        </row>
        <row r="10">
          <cell r="B10" t="str">
            <v>Fridlevstad</v>
          </cell>
          <cell r="D10" t="str">
            <v>Ej kraftvärme</v>
          </cell>
          <cell r="E10" t="str">
            <v/>
          </cell>
          <cell r="F10" t="str">
            <v/>
          </cell>
          <cell r="G10" t="str">
            <v/>
          </cell>
          <cell r="J10" t="str">
            <v>Affärsverken Karlskrona AB</v>
          </cell>
        </row>
        <row r="11">
          <cell r="B11" t="str">
            <v>Jämjö</v>
          </cell>
          <cell r="D11" t="str">
            <v>Ej kraftvärme</v>
          </cell>
          <cell r="E11" t="str">
            <v/>
          </cell>
          <cell r="F11" t="str">
            <v/>
          </cell>
          <cell r="G11" t="str">
            <v/>
          </cell>
          <cell r="J11" t="str">
            <v>Affärsverken Karlskrona AB</v>
          </cell>
        </row>
        <row r="12">
          <cell r="B12" t="str">
            <v>Karlskrona</v>
          </cell>
          <cell r="D12" t="str">
            <v>Alternativproduktionsmetoden</v>
          </cell>
          <cell r="E12">
            <v>0.58631070432059107</v>
          </cell>
          <cell r="F12">
            <v>65.334999999999994</v>
          </cell>
          <cell r="G12" t="str">
            <v/>
          </cell>
          <cell r="J12" t="str">
            <v>Affärsverken Karlskrona AB</v>
          </cell>
        </row>
        <row r="13">
          <cell r="B13" t="str">
            <v>Nättraby</v>
          </cell>
          <cell r="D13" t="str">
            <v>Ej kraftvärme</v>
          </cell>
          <cell r="E13" t="str">
            <v/>
          </cell>
          <cell r="F13" t="str">
            <v/>
          </cell>
          <cell r="G13" t="str">
            <v/>
          </cell>
          <cell r="J13" t="str">
            <v>Affärsverken Karlskrona AB</v>
          </cell>
        </row>
        <row r="14">
          <cell r="B14" t="str">
            <v>Sturkö</v>
          </cell>
          <cell r="D14" t="str">
            <v>Ej kraftvärme</v>
          </cell>
          <cell r="E14" t="str">
            <v/>
          </cell>
          <cell r="F14" t="str">
            <v/>
          </cell>
          <cell r="G14" t="str">
            <v/>
          </cell>
          <cell r="J14" t="str">
            <v>Affärsverken Karlskrona AB</v>
          </cell>
        </row>
        <row r="15">
          <cell r="B15" t="str">
            <v>Alingsås</v>
          </cell>
          <cell r="D15" t="str">
            <v>Ej kraftvärme</v>
          </cell>
          <cell r="E15" t="str">
            <v/>
          </cell>
          <cell r="F15" t="str">
            <v/>
          </cell>
          <cell r="G15" t="str">
            <v/>
          </cell>
          <cell r="J15" t="str">
            <v>Alingsås Energi Nät AB</v>
          </cell>
        </row>
        <row r="16">
          <cell r="B16" t="str">
            <v>Alvesta</v>
          </cell>
          <cell r="D16" t="str">
            <v>Ej kraftvärme</v>
          </cell>
          <cell r="E16" t="str">
            <v/>
          </cell>
          <cell r="F16" t="str">
            <v/>
          </cell>
          <cell r="G16" t="str">
            <v/>
          </cell>
          <cell r="J16" t="str">
            <v>Alvesta Energi AB</v>
          </cell>
        </row>
        <row r="17">
          <cell r="B17" t="str">
            <v>Moheda</v>
          </cell>
          <cell r="D17" t="str">
            <v>Ej kraftvärme</v>
          </cell>
          <cell r="E17" t="str">
            <v/>
          </cell>
          <cell r="F17" t="str">
            <v/>
          </cell>
          <cell r="G17" t="str">
            <v/>
          </cell>
          <cell r="J17" t="str">
            <v>Alvesta Energi AB</v>
          </cell>
        </row>
        <row r="18">
          <cell r="B18" t="str">
            <v>Vislanda</v>
          </cell>
          <cell r="D18" t="str">
            <v>Ej kraftvärme</v>
          </cell>
          <cell r="E18" t="str">
            <v/>
          </cell>
          <cell r="F18" t="str">
            <v/>
          </cell>
          <cell r="G18" t="str">
            <v/>
          </cell>
          <cell r="J18" t="str">
            <v>Alvesta Energi AB</v>
          </cell>
        </row>
        <row r="19">
          <cell r="B19" t="str">
            <v xml:space="preserve">Aneby </v>
          </cell>
          <cell r="D19" t="str">
            <v>Ej kraftvärme</v>
          </cell>
          <cell r="E19" t="str">
            <v/>
          </cell>
          <cell r="F19" t="str">
            <v/>
          </cell>
          <cell r="G19" t="str">
            <v/>
          </cell>
          <cell r="J19" t="str">
            <v xml:space="preserve">Aneby Miljö &amp; Vatten AB </v>
          </cell>
        </row>
        <row r="20">
          <cell r="B20" t="str">
            <v>Arboga Energi AB nät x</v>
          </cell>
          <cell r="D20" t="str">
            <v>Ej kraftvärme</v>
          </cell>
          <cell r="E20" t="str">
            <v/>
          </cell>
          <cell r="F20" t="str">
            <v/>
          </cell>
          <cell r="G20" t="str">
            <v/>
          </cell>
          <cell r="J20" t="str">
            <v>Arboga Energi AB</v>
          </cell>
        </row>
        <row r="21">
          <cell r="B21" t="str">
            <v>Arjeplog</v>
          </cell>
          <cell r="D21" t="str">
            <v>Ej kraftvärme</v>
          </cell>
          <cell r="E21" t="str">
            <v/>
          </cell>
          <cell r="F21" t="str">
            <v/>
          </cell>
          <cell r="G21" t="str">
            <v/>
          </cell>
          <cell r="J21" t="str">
            <v>Arjeplogs Kommun</v>
          </cell>
        </row>
        <row r="22">
          <cell r="B22" t="str">
            <v>Arvidsjaur</v>
          </cell>
          <cell r="D22" t="str">
            <v>Ej kraftvärme</v>
          </cell>
          <cell r="E22" t="str">
            <v/>
          </cell>
          <cell r="F22" t="str">
            <v/>
          </cell>
          <cell r="G22" t="str">
            <v/>
          </cell>
          <cell r="J22" t="str">
            <v>Arvidsjaur Energi AB</v>
          </cell>
        </row>
        <row r="23">
          <cell r="B23" t="str">
            <v>Arvika</v>
          </cell>
          <cell r="D23" t="str">
            <v>Ej kraftvärme</v>
          </cell>
          <cell r="E23" t="str">
            <v/>
          </cell>
          <cell r="F23" t="str">
            <v/>
          </cell>
          <cell r="G23" t="str">
            <v/>
          </cell>
          <cell r="J23" t="str">
            <v>Arvika Fjärrvärme AB</v>
          </cell>
        </row>
        <row r="24">
          <cell r="B24" t="str">
            <v>Bengtsfors</v>
          </cell>
          <cell r="D24" t="str">
            <v>Ej kraftvärme</v>
          </cell>
          <cell r="E24" t="str">
            <v/>
          </cell>
          <cell r="F24" t="str">
            <v/>
          </cell>
          <cell r="G24" t="str">
            <v/>
          </cell>
          <cell r="J24" t="str">
            <v>Bengtsfors Energi</v>
          </cell>
        </row>
        <row r="25">
          <cell r="B25" t="str">
            <v>Bergby</v>
          </cell>
          <cell r="D25" t="str">
            <v>Ej kraftvärme</v>
          </cell>
          <cell r="E25" t="str">
            <v/>
          </cell>
          <cell r="F25" t="str">
            <v/>
          </cell>
          <cell r="G25" t="str">
            <v/>
          </cell>
          <cell r="J25" t="str">
            <v>Bionär Närvärme AB</v>
          </cell>
        </row>
        <row r="26">
          <cell r="B26" t="str">
            <v>Bällinge</v>
          </cell>
          <cell r="D26" t="str">
            <v>Ej kraftvärme</v>
          </cell>
          <cell r="E26" t="str">
            <v/>
          </cell>
          <cell r="F26" t="str">
            <v/>
          </cell>
          <cell r="G26" t="str">
            <v/>
          </cell>
          <cell r="J26" t="str">
            <v>Bionär Närvärme AB</v>
          </cell>
        </row>
        <row r="27">
          <cell r="B27" t="str">
            <v>Forsbacka</v>
          </cell>
          <cell r="D27" t="str">
            <v>Ej kraftvärme</v>
          </cell>
          <cell r="E27" t="str">
            <v/>
          </cell>
          <cell r="F27" t="str">
            <v/>
          </cell>
          <cell r="G27" t="str">
            <v/>
          </cell>
          <cell r="J27" t="str">
            <v>Bionär Närvärme AB</v>
          </cell>
        </row>
        <row r="28">
          <cell r="B28" t="str">
            <v>Hedesunda</v>
          </cell>
          <cell r="D28" t="str">
            <v>Ej kraftvärme</v>
          </cell>
          <cell r="E28" t="str">
            <v/>
          </cell>
          <cell r="F28" t="str">
            <v/>
          </cell>
          <cell r="G28" t="str">
            <v/>
          </cell>
          <cell r="J28" t="str">
            <v>Bionär Närvärme AB</v>
          </cell>
        </row>
        <row r="29">
          <cell r="B29" t="str">
            <v>Norrsundet</v>
          </cell>
          <cell r="D29" t="str">
            <v>Ej kraftvärme</v>
          </cell>
          <cell r="E29" t="str">
            <v/>
          </cell>
          <cell r="F29" t="str">
            <v/>
          </cell>
          <cell r="G29" t="str">
            <v/>
          </cell>
          <cell r="J29" t="str">
            <v>Bionär Närvärme AB</v>
          </cell>
        </row>
        <row r="30">
          <cell r="B30" t="str">
            <v>Ockelbo</v>
          </cell>
          <cell r="D30" t="str">
            <v>Ej kraftvärme</v>
          </cell>
          <cell r="E30" t="str">
            <v/>
          </cell>
          <cell r="F30" t="str">
            <v/>
          </cell>
          <cell r="G30" t="str">
            <v/>
          </cell>
          <cell r="J30" t="str">
            <v>Bionär Närvärme AB</v>
          </cell>
        </row>
        <row r="31">
          <cell r="B31" t="str">
            <v>Skutskär</v>
          </cell>
          <cell r="D31" t="str">
            <v>Ej kraftvärme</v>
          </cell>
          <cell r="E31" t="str">
            <v/>
          </cell>
          <cell r="F31" t="str">
            <v/>
          </cell>
          <cell r="G31" t="str">
            <v/>
          </cell>
          <cell r="J31" t="str">
            <v>Bionär Närvärme AB</v>
          </cell>
        </row>
        <row r="32">
          <cell r="B32" t="str">
            <v>Söderfors</v>
          </cell>
          <cell r="D32" t="str">
            <v>Ej kraftvärme</v>
          </cell>
          <cell r="E32" t="str">
            <v/>
          </cell>
          <cell r="F32" t="str">
            <v/>
          </cell>
          <cell r="G32" t="str">
            <v/>
          </cell>
          <cell r="J32" t="str">
            <v>Bionär Närvärme AB</v>
          </cell>
        </row>
        <row r="33">
          <cell r="B33" t="str">
            <v>Vänge</v>
          </cell>
          <cell r="D33" t="str">
            <v>Ej kraftvärme</v>
          </cell>
          <cell r="E33" t="str">
            <v/>
          </cell>
          <cell r="F33" t="str">
            <v/>
          </cell>
          <cell r="G33" t="str">
            <v/>
          </cell>
          <cell r="J33" t="str">
            <v>Bionär Närvärme AB</v>
          </cell>
        </row>
        <row r="34">
          <cell r="B34" t="str">
            <v>Älvkarleby</v>
          </cell>
          <cell r="D34" t="str">
            <v>Ej kraftvärme</v>
          </cell>
          <cell r="E34" t="str">
            <v/>
          </cell>
          <cell r="F34" t="str">
            <v/>
          </cell>
          <cell r="G34" t="str">
            <v/>
          </cell>
          <cell r="J34" t="str">
            <v>Bionär Närvärme AB</v>
          </cell>
        </row>
        <row r="35">
          <cell r="B35" t="str">
            <v>Boden</v>
          </cell>
          <cell r="D35" t="str">
            <v>Alternativproduktionsmetoden</v>
          </cell>
          <cell r="E35">
            <v>0.66469698795180721</v>
          </cell>
          <cell r="F35">
            <v>24</v>
          </cell>
          <cell r="G35" t="str">
            <v/>
          </cell>
          <cell r="J35" t="str">
            <v>Bodens Energi AB</v>
          </cell>
        </row>
        <row r="36">
          <cell r="B36" t="str">
            <v>Arbrå</v>
          </cell>
          <cell r="D36" t="str">
            <v>Ej kraftvärme</v>
          </cell>
          <cell r="E36" t="str">
            <v/>
          </cell>
          <cell r="F36" t="str">
            <v/>
          </cell>
          <cell r="G36" t="str">
            <v/>
          </cell>
          <cell r="J36" t="str">
            <v>Bollnäs Energi AB</v>
          </cell>
        </row>
        <row r="37">
          <cell r="B37" t="str">
            <v>Bollnäs</v>
          </cell>
          <cell r="D37" t="str">
            <v>Alternativproduktionsmetoden</v>
          </cell>
          <cell r="E37">
            <v>0.55597015548226425</v>
          </cell>
          <cell r="F37">
            <v>26.9</v>
          </cell>
          <cell r="G37" t="str">
            <v/>
          </cell>
          <cell r="J37" t="str">
            <v>Bollnäs Energi AB</v>
          </cell>
        </row>
        <row r="38">
          <cell r="B38" t="str">
            <v>Kilafors</v>
          </cell>
          <cell r="D38" t="str">
            <v>Ej kraftvärme</v>
          </cell>
          <cell r="E38" t="str">
            <v/>
          </cell>
          <cell r="F38" t="str">
            <v/>
          </cell>
          <cell r="G38" t="str">
            <v/>
          </cell>
          <cell r="J38" t="str">
            <v>Bollnäs Energi AB</v>
          </cell>
        </row>
        <row r="39">
          <cell r="B39" t="str">
            <v>Borgholm</v>
          </cell>
          <cell r="D39" t="str">
            <v>Ej kraftvärme</v>
          </cell>
          <cell r="E39" t="str">
            <v/>
          </cell>
          <cell r="F39" t="str">
            <v/>
          </cell>
          <cell r="G39" t="str">
            <v/>
          </cell>
          <cell r="J39" t="str">
            <v>Borgholm Energi AB</v>
          </cell>
        </row>
        <row r="40">
          <cell r="B40" t="str">
            <v>Löttorp</v>
          </cell>
          <cell r="D40" t="str">
            <v>Ej kraftvärme</v>
          </cell>
          <cell r="E40" t="str">
            <v/>
          </cell>
          <cell r="F40" t="str">
            <v/>
          </cell>
          <cell r="G40" t="str">
            <v/>
          </cell>
          <cell r="J40" t="str">
            <v>Borgholm Energi AB</v>
          </cell>
        </row>
        <row r="41">
          <cell r="B41" t="str">
            <v>Borlänge</v>
          </cell>
          <cell r="D41" t="str">
            <v>Alternativproduktionsmetoden</v>
          </cell>
          <cell r="E41">
            <v>0.57428036752658462</v>
          </cell>
          <cell r="F41">
            <v>42.152999999999999</v>
          </cell>
          <cell r="G41">
            <v>54.850999999999999</v>
          </cell>
          <cell r="J41" t="str">
            <v>Borlänge Energi AB</v>
          </cell>
        </row>
        <row r="42">
          <cell r="B42" t="str">
            <v>Ornäs</v>
          </cell>
          <cell r="D42" t="str">
            <v>Ej kraftvärme</v>
          </cell>
          <cell r="E42" t="str">
            <v/>
          </cell>
          <cell r="F42" t="str">
            <v/>
          </cell>
          <cell r="G42" t="str">
            <v/>
          </cell>
          <cell r="J42" t="str">
            <v>Borlänge Energi AB</v>
          </cell>
        </row>
        <row r="43">
          <cell r="B43" t="str">
            <v>Torsång</v>
          </cell>
          <cell r="D43" t="str">
            <v>Ej kraftvärme</v>
          </cell>
          <cell r="E43" t="str">
            <v/>
          </cell>
          <cell r="F43" t="str">
            <v/>
          </cell>
          <cell r="G43" t="str">
            <v/>
          </cell>
          <cell r="J43" t="str">
            <v>Borlänge Energi AB</v>
          </cell>
        </row>
        <row r="44">
          <cell r="B44" t="str">
            <v>Borås</v>
          </cell>
          <cell r="D44" t="str">
            <v>Alternativproduktionsmetoden</v>
          </cell>
          <cell r="E44">
            <v>0.65754978461842284</v>
          </cell>
          <cell r="F44">
            <v>103.53</v>
          </cell>
          <cell r="G44" t="str">
            <v/>
          </cell>
          <cell r="J44" t="str">
            <v>Borås Energi och Miljö AB</v>
          </cell>
        </row>
        <row r="45">
          <cell r="B45" t="str">
            <v>Fristad</v>
          </cell>
          <cell r="D45" t="str">
            <v>Ej kraftvärme</v>
          </cell>
          <cell r="E45" t="str">
            <v/>
          </cell>
          <cell r="F45" t="str">
            <v/>
          </cell>
          <cell r="G45" t="str">
            <v/>
          </cell>
          <cell r="J45" t="str">
            <v>Borås Energi och Miljö AB</v>
          </cell>
        </row>
        <row r="46">
          <cell r="B46" t="str">
            <v>Hylte (Bostadsstiftelsen Hyltebostäder)</v>
          </cell>
          <cell r="D46" t="str">
            <v>Ej kraftvärme</v>
          </cell>
          <cell r="E46" t="str">
            <v/>
          </cell>
          <cell r="F46" t="str">
            <v/>
          </cell>
          <cell r="G46" t="str">
            <v/>
          </cell>
          <cell r="J46" t="str">
            <v>Bostadsstiftelsen Hyltebostäder</v>
          </cell>
        </row>
        <row r="47">
          <cell r="B47" t="str">
            <v>Bromölla</v>
          </cell>
          <cell r="D47" t="str">
            <v>Ej kraftvärme</v>
          </cell>
          <cell r="E47" t="str">
            <v/>
          </cell>
          <cell r="F47" t="str">
            <v/>
          </cell>
          <cell r="G47" t="str">
            <v/>
          </cell>
          <cell r="J47" t="str">
            <v>Bromölla Fjärrvärme AB</v>
          </cell>
        </row>
        <row r="48">
          <cell r="B48" t="str">
            <v>Berg</v>
          </cell>
          <cell r="D48" t="str">
            <v>Ej kraftvärme</v>
          </cell>
          <cell r="E48" t="str">
            <v/>
          </cell>
          <cell r="F48" t="str">
            <v/>
          </cell>
          <cell r="G48" t="str">
            <v/>
          </cell>
          <cell r="J48" t="str">
            <v>BTEA Energi</v>
          </cell>
        </row>
        <row r="49">
          <cell r="B49" t="str">
            <v>Fjälkinge</v>
          </cell>
          <cell r="D49" t="str">
            <v>Ej kraftvärme</v>
          </cell>
          <cell r="E49" t="str">
            <v/>
          </cell>
          <cell r="F49" t="str">
            <v/>
          </cell>
          <cell r="G49" t="str">
            <v/>
          </cell>
          <cell r="J49" t="str">
            <v>C4 Energi AB</v>
          </cell>
        </row>
        <row r="50">
          <cell r="B50" t="str">
            <v>Kristianstad</v>
          </cell>
          <cell r="D50" t="str">
            <v>Alternativproduktionsmetoden</v>
          </cell>
          <cell r="E50">
            <v>0.58503391093924517</v>
          </cell>
          <cell r="F50">
            <v>88.111000000000004</v>
          </cell>
          <cell r="G50" t="str">
            <v/>
          </cell>
          <cell r="J50" t="str">
            <v>C4 Energi AB</v>
          </cell>
        </row>
        <row r="51">
          <cell r="B51" t="str">
            <v>Insjön</v>
          </cell>
          <cell r="D51" t="str">
            <v>Ej kraftvärme</v>
          </cell>
          <cell r="E51" t="str">
            <v/>
          </cell>
          <cell r="F51" t="str">
            <v/>
          </cell>
          <cell r="G51" t="str">
            <v/>
          </cell>
          <cell r="J51" t="str">
            <v>Dala Energi Värme AB</v>
          </cell>
        </row>
        <row r="52">
          <cell r="B52" t="str">
            <v>Leksand</v>
          </cell>
          <cell r="D52" t="str">
            <v>Ej kraftvärme</v>
          </cell>
          <cell r="E52" t="str">
            <v/>
          </cell>
          <cell r="F52" t="str">
            <v/>
          </cell>
          <cell r="G52" t="str">
            <v/>
          </cell>
          <cell r="J52" t="str">
            <v>Dala Energi Värme AB</v>
          </cell>
        </row>
        <row r="53">
          <cell r="B53" t="str">
            <v>HVC Degerfors</v>
          </cell>
          <cell r="D53" t="str">
            <v>Ej kraftvärme</v>
          </cell>
          <cell r="E53" t="str">
            <v/>
          </cell>
          <cell r="F53" t="str">
            <v/>
          </cell>
          <cell r="G53" t="str">
            <v/>
          </cell>
          <cell r="J53" t="str">
            <v>Degerfors Energi AB</v>
          </cell>
        </row>
        <row r="54">
          <cell r="B54" t="str">
            <v>Kvarnberg</v>
          </cell>
          <cell r="D54" t="str">
            <v>Ej kraftvärme</v>
          </cell>
          <cell r="E54" t="str">
            <v/>
          </cell>
          <cell r="F54" t="str">
            <v/>
          </cell>
          <cell r="G54" t="str">
            <v/>
          </cell>
          <cell r="J54" t="str">
            <v>Degerfors Energi AB</v>
          </cell>
        </row>
        <row r="55">
          <cell r="B55" t="str">
            <v>Svartå</v>
          </cell>
          <cell r="D55" t="str">
            <v>Ej kraftvärme</v>
          </cell>
          <cell r="E55" t="str">
            <v/>
          </cell>
          <cell r="F55" t="str">
            <v/>
          </cell>
          <cell r="G55" t="str">
            <v/>
          </cell>
          <cell r="J55" t="str">
            <v>Degerfors Energi AB</v>
          </cell>
        </row>
        <row r="56">
          <cell r="B56" t="str">
            <v>Åtorp</v>
          </cell>
          <cell r="D56" t="str">
            <v>Ej kraftvärme</v>
          </cell>
          <cell r="E56" t="str">
            <v/>
          </cell>
          <cell r="F56" t="str">
            <v/>
          </cell>
          <cell r="G56" t="str">
            <v/>
          </cell>
          <cell r="J56" t="str">
            <v>Degerfors Energi AB</v>
          </cell>
        </row>
        <row r="57">
          <cell r="B57" t="str">
            <v>Bara</v>
          </cell>
          <cell r="C57" t="str">
            <v>www.eon.se  Skriv "Miljövärden fjärrvärme" i sökfunktionen</v>
          </cell>
          <cell r="D57" t="str">
            <v>Ej kraftvärme</v>
          </cell>
          <cell r="E57" t="str">
            <v/>
          </cell>
          <cell r="F57" t="str">
            <v/>
          </cell>
          <cell r="G57" t="str">
            <v/>
          </cell>
          <cell r="J57" t="str">
            <v>E.ON Värme Sverige AB</v>
          </cell>
        </row>
        <row r="58">
          <cell r="B58" t="str">
            <v>Boxholm</v>
          </cell>
          <cell r="C58" t="str">
            <v>www.eon.se  Skriv "Miljövärden fjärrvärme" i sökfunktionen</v>
          </cell>
          <cell r="D58" t="str">
            <v>Ej kraftvärme</v>
          </cell>
          <cell r="E58" t="str">
            <v/>
          </cell>
          <cell r="F58" t="str">
            <v/>
          </cell>
          <cell r="G58" t="str">
            <v/>
          </cell>
          <cell r="J58" t="str">
            <v>E.ON Värme Sverige AB</v>
          </cell>
        </row>
        <row r="59">
          <cell r="B59" t="str">
            <v>Bro</v>
          </cell>
          <cell r="C59" t="str">
            <v>www.eon.se  Skriv "Miljövärden fjärrvärme" i sökfunktionen</v>
          </cell>
          <cell r="D59" t="str">
            <v>Ej kraftvärme</v>
          </cell>
          <cell r="E59" t="str">
            <v/>
          </cell>
          <cell r="F59" t="str">
            <v/>
          </cell>
          <cell r="G59" t="str">
            <v/>
          </cell>
          <cell r="J59" t="str">
            <v>E.ON Värme Sverige AB</v>
          </cell>
        </row>
        <row r="60">
          <cell r="B60" t="str">
            <v>Bålsta</v>
          </cell>
          <cell r="C60" t="str">
            <v>www.eon.se  Skriv "Miljövärden fjärrvärme" i sökfunktionen</v>
          </cell>
          <cell r="D60" t="str">
            <v>Ej kraftvärme</v>
          </cell>
          <cell r="E60" t="str">
            <v/>
          </cell>
          <cell r="F60" t="str">
            <v/>
          </cell>
          <cell r="G60" t="str">
            <v/>
          </cell>
          <cell r="J60" t="str">
            <v>E.ON Värme Sverige AB</v>
          </cell>
        </row>
        <row r="61">
          <cell r="B61" t="str">
            <v>Coop</v>
          </cell>
          <cell r="C61" t="str">
            <v>www.eon.se  Skriv "Miljövärden fjärrvärme" i sökfunktionen</v>
          </cell>
          <cell r="D61" t="str">
            <v>Ej kraftvärme</v>
          </cell>
          <cell r="E61" t="str">
            <v/>
          </cell>
          <cell r="F61" t="str">
            <v/>
          </cell>
          <cell r="G61" t="str">
            <v/>
          </cell>
          <cell r="J61" t="str">
            <v>E.ON Värme Sverige AB</v>
          </cell>
        </row>
        <row r="62">
          <cell r="B62" t="str">
            <v>HÖK</v>
          </cell>
          <cell r="C62" t="str">
            <v>www.eon.se  Skriv "Miljövärden fjärrvärme" i sökfunktionen</v>
          </cell>
          <cell r="D62" t="str">
            <v>Alternativproduktionsmetoden</v>
          </cell>
          <cell r="E62">
            <v>0.53165158791314371</v>
          </cell>
          <cell r="F62">
            <v>223.43199999999999</v>
          </cell>
          <cell r="G62" t="str">
            <v/>
          </cell>
          <cell r="J62" t="str">
            <v>E.ON Värme Sverige AB</v>
          </cell>
        </row>
        <row r="63">
          <cell r="B63" t="str">
            <v>Järfälla</v>
          </cell>
          <cell r="C63" t="str">
            <v>www.eon.se  Skriv "Miljövärden fjärrvärme" i sökfunktionen</v>
          </cell>
          <cell r="D63" t="str">
            <v>Ej kraftvärme</v>
          </cell>
          <cell r="E63" t="str">
            <v/>
          </cell>
          <cell r="F63" t="str">
            <v/>
          </cell>
          <cell r="G63" t="str">
            <v/>
          </cell>
          <cell r="J63" t="str">
            <v>E.ON Värme Sverige AB</v>
          </cell>
        </row>
        <row r="64">
          <cell r="B64" t="str">
            <v>Kungsängen</v>
          </cell>
          <cell r="C64" t="str">
            <v>www.eon.se  Skriv "Miljövärden fjärrvärme" i sökfunktionen</v>
          </cell>
          <cell r="D64" t="str">
            <v>Ej kraftvärme</v>
          </cell>
          <cell r="E64" t="str">
            <v/>
          </cell>
          <cell r="F64" t="str">
            <v/>
          </cell>
          <cell r="G64" t="str">
            <v/>
          </cell>
          <cell r="J64" t="str">
            <v>E.ON Värme Sverige AB</v>
          </cell>
        </row>
        <row r="65">
          <cell r="B65" t="str">
            <v>Malmö</v>
          </cell>
          <cell r="C65" t="str">
            <v>www.eon.se  Skriv "Miljövärden fjärrvärme" i sökfunktionen</v>
          </cell>
          <cell r="D65" t="str">
            <v>Alternativproduktionsmetoden</v>
          </cell>
          <cell r="E65">
            <v>0.63272193741787131</v>
          </cell>
          <cell r="F65">
            <v>416</v>
          </cell>
          <cell r="G65" t="str">
            <v/>
          </cell>
          <cell r="J65" t="str">
            <v>E.ON Värme Sverige AB</v>
          </cell>
        </row>
        <row r="66">
          <cell r="B66" t="str">
            <v>Mora</v>
          </cell>
          <cell r="C66" t="str">
            <v>www.eon.se  Skriv "Miljövärden fjärrvärme" i sökfunktionen</v>
          </cell>
          <cell r="D66" t="str">
            <v>Ej kraftvärme</v>
          </cell>
          <cell r="E66" t="str">
            <v/>
          </cell>
          <cell r="F66" t="str">
            <v/>
          </cell>
          <cell r="G66" t="str">
            <v/>
          </cell>
          <cell r="J66" t="str">
            <v>E.ON Värme Sverige AB</v>
          </cell>
        </row>
        <row r="67">
          <cell r="B67" t="str">
            <v>Norrköping - Söderköping</v>
          </cell>
          <cell r="C67" t="str">
            <v>www.eon.se  Skriv "Miljövärden fjärrvärme" i sökfunktionen</v>
          </cell>
          <cell r="D67" t="str">
            <v>Alternativproduktionsmetoden</v>
          </cell>
          <cell r="E67">
            <v>0.47996254392129301</v>
          </cell>
          <cell r="F67">
            <v>328</v>
          </cell>
          <cell r="G67">
            <v>27</v>
          </cell>
          <cell r="J67" t="str">
            <v>E.ON Värme Sverige AB</v>
          </cell>
        </row>
        <row r="68">
          <cell r="B68" t="str">
            <v>Orsa</v>
          </cell>
          <cell r="C68" t="str">
            <v>www.eon.se  Skriv "Miljövärden fjärrvärme" i sökfunktionen</v>
          </cell>
          <cell r="D68" t="str">
            <v>Ej kraftvärme</v>
          </cell>
          <cell r="E68" t="str">
            <v/>
          </cell>
          <cell r="F68" t="str">
            <v/>
          </cell>
          <cell r="G68" t="str">
            <v/>
          </cell>
          <cell r="J68" t="str">
            <v>E.ON Värme Sverige AB</v>
          </cell>
        </row>
        <row r="69">
          <cell r="B69" t="str">
            <v>Sollefteå</v>
          </cell>
          <cell r="C69" t="str">
            <v>www.eon.se  Skriv "Miljövärden fjärrvärme" i sökfunktionen</v>
          </cell>
          <cell r="D69" t="str">
            <v>Ej kraftvärme</v>
          </cell>
          <cell r="E69" t="str">
            <v/>
          </cell>
          <cell r="F69" t="str">
            <v/>
          </cell>
          <cell r="G69" t="str">
            <v/>
          </cell>
          <cell r="J69" t="str">
            <v>E.ON Värme Sverige AB</v>
          </cell>
        </row>
        <row r="70">
          <cell r="B70" t="str">
            <v>Staffanstorp</v>
          </cell>
          <cell r="C70" t="str">
            <v>www.eon.se  Skriv "Miljövärden fjärrvärme" i sökfunktionen</v>
          </cell>
          <cell r="D70" t="str">
            <v>Ej kraftvärme</v>
          </cell>
          <cell r="E70" t="str">
            <v/>
          </cell>
          <cell r="F70" t="str">
            <v/>
          </cell>
          <cell r="G70" t="str">
            <v/>
          </cell>
          <cell r="J70" t="str">
            <v>E.ON Värme Sverige AB</v>
          </cell>
        </row>
        <row r="71">
          <cell r="B71" t="str">
            <v>Timrå</v>
          </cell>
          <cell r="C71" t="str">
            <v>www.eon.se  Skriv "Miljövärden fjärrvärme" i sökfunktionen</v>
          </cell>
          <cell r="D71" t="str">
            <v>Ej kraftvärme</v>
          </cell>
          <cell r="E71" t="str">
            <v/>
          </cell>
          <cell r="F71" t="str">
            <v/>
          </cell>
          <cell r="G71" t="str">
            <v/>
          </cell>
          <cell r="J71" t="str">
            <v>E.ON Värme Sverige AB</v>
          </cell>
        </row>
        <row r="72">
          <cell r="B72" t="str">
            <v>Täby E.ON.</v>
          </cell>
          <cell r="C72" t="str">
            <v>www.eon.se  Skriv "Miljövärden fjärrvärme" i sökfunktionen</v>
          </cell>
          <cell r="D72" t="str">
            <v>Ej kraftvärme</v>
          </cell>
          <cell r="E72" t="str">
            <v/>
          </cell>
          <cell r="F72" t="str">
            <v/>
          </cell>
          <cell r="G72" t="str">
            <v/>
          </cell>
          <cell r="J72" t="str">
            <v>E.ON Värme Sverige AB</v>
          </cell>
        </row>
        <row r="73">
          <cell r="B73" t="str">
            <v>Vallentuna</v>
          </cell>
          <cell r="C73" t="str">
            <v>www.eon.se  Skriv "Miljövärden fjärrvärme" i sökfunktionen</v>
          </cell>
          <cell r="D73" t="str">
            <v>Ej kraftvärme</v>
          </cell>
          <cell r="E73" t="str">
            <v/>
          </cell>
          <cell r="F73" t="str">
            <v/>
          </cell>
          <cell r="G73" t="str">
            <v/>
          </cell>
          <cell r="J73" t="str">
            <v>E.ON Värme Sverige AB</v>
          </cell>
        </row>
        <row r="74">
          <cell r="B74" t="str">
            <v>Vaxholm</v>
          </cell>
          <cell r="C74" t="str">
            <v>www.eon.se  Skriv "Miljövärden fjärrvärme" i sökfunktionen</v>
          </cell>
          <cell r="D74" t="str">
            <v>Ej kraftvärme</v>
          </cell>
          <cell r="E74" t="str">
            <v/>
          </cell>
          <cell r="F74" t="str">
            <v/>
          </cell>
          <cell r="G74" t="str">
            <v/>
          </cell>
          <cell r="J74" t="str">
            <v>E.ON Värme Sverige AB</v>
          </cell>
        </row>
        <row r="75">
          <cell r="B75" t="str">
            <v>Älmhult</v>
          </cell>
          <cell r="C75" t="str">
            <v>www.eon.se  Skriv "Miljövärden fjärrvärme" i sökfunktionen</v>
          </cell>
          <cell r="D75" t="str">
            <v>Ej kraftvärme</v>
          </cell>
          <cell r="E75" t="str">
            <v/>
          </cell>
          <cell r="F75" t="str">
            <v/>
          </cell>
          <cell r="G75" t="str">
            <v/>
          </cell>
          <cell r="J75" t="str">
            <v>E.ON Värme Sverige AB</v>
          </cell>
        </row>
        <row r="76">
          <cell r="B76" t="str">
            <v>Österåker</v>
          </cell>
          <cell r="C76" t="str">
            <v>www.eon.se  Skriv "Miljövärden fjärrvärme" i sökfunktionen</v>
          </cell>
          <cell r="D76" t="str">
            <v>Ej kraftvärme</v>
          </cell>
          <cell r="E76" t="str">
            <v/>
          </cell>
          <cell r="F76" t="str">
            <v/>
          </cell>
          <cell r="G76" t="str">
            <v/>
          </cell>
          <cell r="J76" t="str">
            <v>E.ON Värme Sverige AB</v>
          </cell>
        </row>
        <row r="77">
          <cell r="B77" t="str">
            <v>Eda</v>
          </cell>
          <cell r="C77">
            <v>0</v>
          </cell>
          <cell r="D77" t="str">
            <v>Ej kraftvärme</v>
          </cell>
          <cell r="E77" t="str">
            <v/>
          </cell>
          <cell r="F77" t="str">
            <v/>
          </cell>
          <cell r="G77" t="str">
            <v/>
          </cell>
          <cell r="J77" t="str">
            <v>Eda Energi AB</v>
          </cell>
        </row>
        <row r="78">
          <cell r="B78" t="str">
            <v>Eksjö</v>
          </cell>
          <cell r="D78" t="str">
            <v>Alternativproduktionsmetoden</v>
          </cell>
          <cell r="E78">
            <v>0.74429029021855964</v>
          </cell>
          <cell r="F78">
            <v>15.8</v>
          </cell>
          <cell r="G78" t="str">
            <v/>
          </cell>
          <cell r="J78" t="str">
            <v>Eksjö Energi AB</v>
          </cell>
        </row>
        <row r="79">
          <cell r="B79" t="str">
            <v>Ingatorp</v>
          </cell>
          <cell r="D79" t="str">
            <v>Ej kraftvärme</v>
          </cell>
          <cell r="E79" t="str">
            <v/>
          </cell>
          <cell r="F79" t="str">
            <v/>
          </cell>
          <cell r="G79" t="str">
            <v/>
          </cell>
          <cell r="J79" t="str">
            <v>Eksjö Energi AB</v>
          </cell>
        </row>
        <row r="80">
          <cell r="B80" t="str">
            <v>Mariannelund</v>
          </cell>
          <cell r="D80" t="str">
            <v>Ej kraftvärme</v>
          </cell>
          <cell r="E80" t="str">
            <v/>
          </cell>
          <cell r="F80" t="str">
            <v/>
          </cell>
          <cell r="G80" t="str">
            <v/>
          </cell>
          <cell r="J80" t="str">
            <v>Eksjö Energi AB</v>
          </cell>
        </row>
        <row r="81">
          <cell r="B81" t="str">
            <v>Eksta</v>
          </cell>
          <cell r="D81" t="str">
            <v>Ej kraftvärme</v>
          </cell>
          <cell r="E81" t="str">
            <v/>
          </cell>
          <cell r="F81" t="str">
            <v/>
          </cell>
          <cell r="G81" t="str">
            <v/>
          </cell>
          <cell r="J81" t="str">
            <v>Eksta Bostads AB</v>
          </cell>
        </row>
        <row r="82">
          <cell r="B82" t="str">
            <v>Elektra Värme nät x</v>
          </cell>
          <cell r="D82" t="str">
            <v>Ej kraftvärme</v>
          </cell>
          <cell r="E82" t="str">
            <v/>
          </cell>
          <cell r="F82" t="str">
            <v/>
          </cell>
          <cell r="G82" t="str">
            <v/>
          </cell>
          <cell r="J82" t="str">
            <v>Elektra Värme AB</v>
          </cell>
        </row>
        <row r="83">
          <cell r="B83" t="str">
            <v>Emmaboda</v>
          </cell>
          <cell r="D83" t="str">
            <v>Ej kraftvärme</v>
          </cell>
          <cell r="E83" t="str">
            <v/>
          </cell>
          <cell r="F83" t="str">
            <v/>
          </cell>
          <cell r="G83" t="str">
            <v/>
          </cell>
          <cell r="J83" t="str">
            <v>Emmaboda Energi &amp; Miljö AB</v>
          </cell>
        </row>
        <row r="84">
          <cell r="B84" t="str">
            <v>Enköping</v>
          </cell>
          <cell r="D84" t="str">
            <v>Alternativproduktionsmetoden</v>
          </cell>
          <cell r="E84">
            <v>0.52423928187358104</v>
          </cell>
          <cell r="F84">
            <v>78</v>
          </cell>
          <cell r="G84" t="str">
            <v/>
          </cell>
          <cell r="J84" t="str">
            <v>Ena Energi AB</v>
          </cell>
        </row>
        <row r="85">
          <cell r="B85" t="str">
            <v>Eskilstuna-Torshälla</v>
          </cell>
          <cell r="D85" t="str">
            <v>Alternativproduktionsmetoden</v>
          </cell>
          <cell r="E85">
            <v>0.48486604433119834</v>
          </cell>
          <cell r="F85">
            <v>177.584</v>
          </cell>
          <cell r="G85" t="str">
            <v/>
          </cell>
          <cell r="J85" t="str">
            <v>Eskilstuna Energi &amp; Miljö AB</v>
          </cell>
        </row>
        <row r="86">
          <cell r="B86" t="str">
            <v>Kvicksund</v>
          </cell>
          <cell r="D86" t="str">
            <v>Ej kraftvärme</v>
          </cell>
          <cell r="E86" t="str">
            <v/>
          </cell>
          <cell r="F86" t="str">
            <v/>
          </cell>
          <cell r="G86" t="str">
            <v/>
          </cell>
          <cell r="J86" t="str">
            <v>Eskilstuna Energi &amp; Miljö AB</v>
          </cell>
        </row>
        <row r="87">
          <cell r="B87" t="str">
            <v>Ärla</v>
          </cell>
          <cell r="D87" t="str">
            <v>Ej kraftvärme</v>
          </cell>
          <cell r="E87" t="str">
            <v/>
          </cell>
          <cell r="F87" t="str">
            <v/>
          </cell>
          <cell r="G87" t="str">
            <v/>
          </cell>
          <cell r="J87" t="str">
            <v>Eskilstuna Energi &amp; Miljö AB</v>
          </cell>
        </row>
        <row r="88">
          <cell r="B88" t="str">
            <v>Falköping</v>
          </cell>
          <cell r="D88" t="str">
            <v>Alternativproduktionsmetoden</v>
          </cell>
          <cell r="E88">
            <v>0.73461437246963568</v>
          </cell>
          <cell r="F88">
            <v>12.4</v>
          </cell>
          <cell r="G88" t="str">
            <v/>
          </cell>
          <cell r="J88" t="str">
            <v>Falbygdens Energi AB</v>
          </cell>
        </row>
        <row r="89">
          <cell r="B89" t="str">
            <v>Floby</v>
          </cell>
          <cell r="D89" t="str">
            <v>Ej kraftvärme</v>
          </cell>
          <cell r="E89" t="str">
            <v/>
          </cell>
          <cell r="F89" t="str">
            <v/>
          </cell>
          <cell r="G89" t="str">
            <v/>
          </cell>
          <cell r="J89" t="str">
            <v>Falbygdens Energi AB</v>
          </cell>
        </row>
        <row r="90">
          <cell r="B90" t="str">
            <v>Stenstorp</v>
          </cell>
          <cell r="D90" t="str">
            <v>Ej kraftvärme</v>
          </cell>
          <cell r="E90" t="str">
            <v/>
          </cell>
          <cell r="F90" t="str">
            <v/>
          </cell>
          <cell r="G90" t="str">
            <v/>
          </cell>
          <cell r="J90" t="str">
            <v>Falbygdens Energi AB</v>
          </cell>
        </row>
        <row r="91">
          <cell r="B91" t="str">
            <v>Falkenberg</v>
          </cell>
          <cell r="D91" t="str">
            <v>Ej kraftvärme</v>
          </cell>
          <cell r="E91" t="str">
            <v/>
          </cell>
          <cell r="F91" t="str">
            <v/>
          </cell>
          <cell r="G91" t="str">
            <v/>
          </cell>
          <cell r="J91" t="str">
            <v>Falkenberg Energi AB</v>
          </cell>
        </row>
        <row r="92">
          <cell r="B92" t="str">
            <v>Ullared-närvärme</v>
          </cell>
          <cell r="D92" t="str">
            <v>Ej kraftvärme</v>
          </cell>
          <cell r="E92" t="str">
            <v/>
          </cell>
          <cell r="F92" t="str">
            <v/>
          </cell>
          <cell r="G92" t="str">
            <v/>
          </cell>
          <cell r="J92" t="str">
            <v>Falkenberg Energi AB</v>
          </cell>
        </row>
        <row r="93">
          <cell r="B93" t="str">
            <v>Vessigebro-närvärme</v>
          </cell>
          <cell r="D93" t="str">
            <v>Ej kraftvärme</v>
          </cell>
          <cell r="E93" t="str">
            <v/>
          </cell>
          <cell r="F93" t="str">
            <v/>
          </cell>
          <cell r="G93" t="str">
            <v/>
          </cell>
          <cell r="J93" t="str">
            <v>Falkenberg Energi AB</v>
          </cell>
        </row>
        <row r="94">
          <cell r="B94" t="str">
            <v>Bjursås</v>
          </cell>
          <cell r="D94" t="str">
            <v>Ej kraftvärme</v>
          </cell>
          <cell r="E94" t="str">
            <v/>
          </cell>
          <cell r="F94" t="str">
            <v/>
          </cell>
          <cell r="G94" t="str">
            <v/>
          </cell>
          <cell r="J94" t="str">
            <v>Falu Energi &amp; Vatten AB</v>
          </cell>
        </row>
        <row r="95">
          <cell r="B95" t="str">
            <v>Falun</v>
          </cell>
          <cell r="D95" t="str">
            <v>Alternativproduktionsmetoden</v>
          </cell>
          <cell r="E95">
            <v>0.5608443727675001</v>
          </cell>
          <cell r="F95">
            <v>76.3</v>
          </cell>
          <cell r="G95">
            <v>3.55</v>
          </cell>
          <cell r="J95" t="str">
            <v>Falu Energi &amp; Vatten AB</v>
          </cell>
        </row>
        <row r="96">
          <cell r="B96" t="str">
            <v>Grycksbo</v>
          </cell>
          <cell r="D96" t="str">
            <v>Ej kraftvärme</v>
          </cell>
          <cell r="E96" t="str">
            <v/>
          </cell>
          <cell r="F96" t="str">
            <v/>
          </cell>
          <cell r="G96" t="str">
            <v/>
          </cell>
          <cell r="J96" t="str">
            <v>Falu Energi &amp; Vatten AB</v>
          </cell>
        </row>
        <row r="97">
          <cell r="B97" t="str">
            <v>Svärdsjö</v>
          </cell>
          <cell r="D97" t="str">
            <v>Ej kraftvärme</v>
          </cell>
          <cell r="E97" t="str">
            <v/>
          </cell>
          <cell r="F97" t="str">
            <v/>
          </cell>
          <cell r="G97" t="str">
            <v/>
          </cell>
          <cell r="J97" t="str">
            <v>Falu Energi &amp; Vatten AB</v>
          </cell>
        </row>
        <row r="98">
          <cell r="B98" t="str">
            <v>Finspång</v>
          </cell>
          <cell r="D98" t="str">
            <v>Ej kraftvärme</v>
          </cell>
          <cell r="E98" t="str">
            <v/>
          </cell>
          <cell r="F98" t="str">
            <v/>
          </cell>
          <cell r="G98" t="str">
            <v/>
          </cell>
          <cell r="J98" t="str">
            <v>Finspångs Tekniska Verk AB</v>
          </cell>
        </row>
        <row r="99">
          <cell r="B99" t="str">
            <v>Osby</v>
          </cell>
          <cell r="D99" t="str">
            <v>Ej kraftvärme</v>
          </cell>
          <cell r="E99" t="str">
            <v/>
          </cell>
          <cell r="F99" t="str">
            <v/>
          </cell>
          <cell r="G99" t="str">
            <v/>
          </cell>
          <cell r="J99" t="str">
            <v>Fjärrvärme Osby AB</v>
          </cell>
        </row>
        <row r="100">
          <cell r="B100" t="str">
            <v>Forshaga</v>
          </cell>
          <cell r="D100" t="str">
            <v>Ej kraftvärme</v>
          </cell>
          <cell r="E100" t="str">
            <v/>
          </cell>
          <cell r="F100" t="str">
            <v/>
          </cell>
          <cell r="G100" t="str">
            <v/>
          </cell>
          <cell r="J100" t="str">
            <v>Forshaga Energi AB</v>
          </cell>
        </row>
        <row r="101">
          <cell r="B101" t="str">
            <v>Bie</v>
          </cell>
          <cell r="D101" t="str">
            <v>Ej kraftvärme</v>
          </cell>
          <cell r="E101" t="str">
            <v/>
          </cell>
          <cell r="F101" t="str">
            <v/>
          </cell>
          <cell r="G101" t="str">
            <v/>
          </cell>
          <cell r="J101" t="str">
            <v>Gimmersta Energi AB</v>
          </cell>
        </row>
        <row r="102">
          <cell r="B102" t="str">
            <v>Björkvik</v>
          </cell>
          <cell r="D102" t="str">
            <v>Ej kraftvärme</v>
          </cell>
          <cell r="E102" t="str">
            <v/>
          </cell>
          <cell r="F102" t="str">
            <v/>
          </cell>
          <cell r="G102" t="str">
            <v/>
          </cell>
          <cell r="J102" t="str">
            <v>Gimmersta Energi AB</v>
          </cell>
        </row>
        <row r="103">
          <cell r="B103" t="str">
            <v>Forssjö</v>
          </cell>
          <cell r="D103" t="str">
            <v>Ej kraftvärme</v>
          </cell>
          <cell r="E103" t="str">
            <v/>
          </cell>
          <cell r="F103" t="str">
            <v/>
          </cell>
          <cell r="G103" t="str">
            <v/>
          </cell>
          <cell r="J103" t="str">
            <v>Gimmersta Energi AB</v>
          </cell>
        </row>
        <row r="104">
          <cell r="B104" t="str">
            <v>Julita</v>
          </cell>
          <cell r="D104" t="str">
            <v>Ej kraftvärme</v>
          </cell>
          <cell r="E104" t="str">
            <v/>
          </cell>
          <cell r="F104" t="str">
            <v/>
          </cell>
          <cell r="G104" t="str">
            <v/>
          </cell>
          <cell r="J104" t="str">
            <v>Gimmersta Energi AB</v>
          </cell>
        </row>
        <row r="105">
          <cell r="B105" t="str">
            <v>Sköldinge</v>
          </cell>
          <cell r="D105" t="str">
            <v>Ej kraftvärme</v>
          </cell>
          <cell r="E105" t="str">
            <v/>
          </cell>
          <cell r="F105" t="str">
            <v/>
          </cell>
          <cell r="G105" t="str">
            <v/>
          </cell>
          <cell r="J105" t="str">
            <v>Gimmersta Energi AB</v>
          </cell>
        </row>
        <row r="106">
          <cell r="B106" t="str">
            <v>Strångsjö</v>
          </cell>
          <cell r="D106" t="str">
            <v>Ej kraftvärme</v>
          </cell>
          <cell r="E106" t="str">
            <v/>
          </cell>
          <cell r="F106" t="str">
            <v/>
          </cell>
          <cell r="G106" t="str">
            <v/>
          </cell>
          <cell r="J106" t="str">
            <v>Gimmersta Energi AB</v>
          </cell>
        </row>
        <row r="107">
          <cell r="B107" t="str">
            <v>Valla</v>
          </cell>
          <cell r="D107" t="str">
            <v>Ej kraftvärme</v>
          </cell>
          <cell r="E107" t="str">
            <v/>
          </cell>
          <cell r="F107" t="str">
            <v/>
          </cell>
          <cell r="G107" t="str">
            <v/>
          </cell>
          <cell r="J107" t="str">
            <v>Gimmersta Energi AB</v>
          </cell>
        </row>
        <row r="108">
          <cell r="B108" t="str">
            <v>Gislaved</v>
          </cell>
          <cell r="D108" t="str">
            <v>Ej kraftvärme</v>
          </cell>
          <cell r="E108" t="str">
            <v/>
          </cell>
          <cell r="F108" t="str">
            <v/>
          </cell>
          <cell r="G108" t="str">
            <v/>
          </cell>
          <cell r="J108" t="str">
            <v>Gislaved Energi AB</v>
          </cell>
        </row>
        <row r="109">
          <cell r="B109" t="str">
            <v>Hestra</v>
          </cell>
          <cell r="D109" t="str">
            <v>Ej kraftvärme</v>
          </cell>
          <cell r="E109" t="str">
            <v/>
          </cell>
          <cell r="F109" t="str">
            <v/>
          </cell>
          <cell r="G109" t="str">
            <v/>
          </cell>
          <cell r="J109" t="str">
            <v>Gislaved Energi AB</v>
          </cell>
        </row>
        <row r="110">
          <cell r="B110" t="str">
            <v>Reftele</v>
          </cell>
          <cell r="D110" t="str">
            <v>Ej kraftvärme</v>
          </cell>
          <cell r="E110" t="str">
            <v/>
          </cell>
          <cell r="F110" t="str">
            <v/>
          </cell>
          <cell r="G110" t="str">
            <v/>
          </cell>
          <cell r="J110" t="str">
            <v>Gislaved Energi AB</v>
          </cell>
        </row>
        <row r="111">
          <cell r="B111" t="str">
            <v>Hemse</v>
          </cell>
          <cell r="D111" t="str">
            <v>Ej kraftvärme</v>
          </cell>
          <cell r="E111" t="str">
            <v/>
          </cell>
          <cell r="F111" t="str">
            <v/>
          </cell>
          <cell r="G111" t="str">
            <v/>
          </cell>
          <cell r="J111" t="str">
            <v>Gotlands Energi AB</v>
          </cell>
        </row>
        <row r="112">
          <cell r="B112" t="str">
            <v>Klintehamn</v>
          </cell>
          <cell r="D112" t="str">
            <v>Ej kraftvärme</v>
          </cell>
          <cell r="E112" t="str">
            <v/>
          </cell>
          <cell r="F112" t="str">
            <v/>
          </cell>
          <cell r="G112" t="str">
            <v/>
          </cell>
          <cell r="J112" t="str">
            <v>Gotlands Energi AB</v>
          </cell>
        </row>
        <row r="113">
          <cell r="B113" t="str">
            <v>Slite</v>
          </cell>
          <cell r="D113" t="str">
            <v>Ej kraftvärme</v>
          </cell>
          <cell r="E113" t="str">
            <v/>
          </cell>
          <cell r="F113" t="str">
            <v/>
          </cell>
          <cell r="G113" t="str">
            <v/>
          </cell>
          <cell r="J113" t="str">
            <v>Gotlands Energi AB</v>
          </cell>
        </row>
        <row r="114">
          <cell r="B114" t="str">
            <v>Visby</v>
          </cell>
          <cell r="D114" t="str">
            <v>Ej kraftvärme</v>
          </cell>
          <cell r="E114" t="str">
            <v/>
          </cell>
          <cell r="F114" t="str">
            <v/>
          </cell>
          <cell r="G114" t="str">
            <v/>
          </cell>
          <cell r="J114" t="str">
            <v>Gotlands Energi AB</v>
          </cell>
        </row>
        <row r="115">
          <cell r="B115" t="str">
            <v>Gällivare-Malmberget</v>
          </cell>
          <cell r="D115" t="str">
            <v>Alternativproduktionsmetoden</v>
          </cell>
          <cell r="E115">
            <v>0.70930097560975613</v>
          </cell>
          <cell r="F115">
            <v>31</v>
          </cell>
          <cell r="G115" t="str">
            <v/>
          </cell>
          <cell r="J115" t="str">
            <v>Gällivare Energi AB</v>
          </cell>
        </row>
        <row r="116">
          <cell r="B116" t="str">
            <v>Gävle</v>
          </cell>
          <cell r="D116" t="str">
            <v>Alternativproduktionsmetoden</v>
          </cell>
          <cell r="E116">
            <v>0.55543854276047133</v>
          </cell>
          <cell r="F116">
            <v>62.6</v>
          </cell>
          <cell r="G116" t="str">
            <v/>
          </cell>
          <cell r="J116" t="str">
            <v>Gävle Energi AB</v>
          </cell>
        </row>
        <row r="117">
          <cell r="B117" t="str">
            <v>Ale Fjärrvärme AB</v>
          </cell>
          <cell r="D117" t="str">
            <v>Ej kraftvärme</v>
          </cell>
          <cell r="E117" t="str">
            <v/>
          </cell>
          <cell r="F117" t="str">
            <v/>
          </cell>
          <cell r="G117" t="str">
            <v/>
          </cell>
          <cell r="J117" t="str">
            <v>Göteborg Energi AB</v>
          </cell>
        </row>
        <row r="118">
          <cell r="B118" t="str">
            <v>Göteborg Ale och Partille</v>
          </cell>
          <cell r="D118" t="str">
            <v>Alternativproduktionsmetoden</v>
          </cell>
          <cell r="E118">
            <v>0.51797379616053807</v>
          </cell>
          <cell r="F118">
            <v>240.46600000000001</v>
          </cell>
          <cell r="G118">
            <v>113.78400000000001</v>
          </cell>
          <cell r="J118" t="str">
            <v>Göteborg Energi AB</v>
          </cell>
        </row>
        <row r="119">
          <cell r="B119" t="str">
            <v>Göteborg Ale och Partille Bra Miljöval</v>
          </cell>
          <cell r="D119" t="str">
            <v>Alternativproduktionsmetoden</v>
          </cell>
          <cell r="E119">
            <v>0.73678768660829419</v>
          </cell>
          <cell r="F119">
            <v>18.792000000000002</v>
          </cell>
          <cell r="G119" t="str">
            <v/>
          </cell>
          <cell r="J119" t="str">
            <v>Göteborg Energi AB</v>
          </cell>
        </row>
        <row r="120">
          <cell r="B120" t="str">
            <v>Göteborg Energi AB</v>
          </cell>
          <cell r="D120" t="str">
            <v>Ej kraftvärme</v>
          </cell>
          <cell r="E120" t="str">
            <v/>
          </cell>
          <cell r="F120" t="str">
            <v/>
          </cell>
          <cell r="G120" t="str">
            <v/>
          </cell>
          <cell r="J120" t="str">
            <v>Göteborg Energi AB</v>
          </cell>
        </row>
        <row r="121">
          <cell r="B121" t="str">
            <v>Partille Energi AB</v>
          </cell>
          <cell r="D121" t="str">
            <v>Ej kraftvärme</v>
          </cell>
          <cell r="E121" t="str">
            <v/>
          </cell>
          <cell r="F121" t="str">
            <v/>
          </cell>
          <cell r="G121" t="str">
            <v/>
          </cell>
          <cell r="J121" t="str">
            <v>Göteborg Energi AB</v>
          </cell>
        </row>
        <row r="122">
          <cell r="B122" t="str">
            <v>Skarvik</v>
          </cell>
          <cell r="D122" t="str">
            <v>Ej kraftvärme</v>
          </cell>
          <cell r="E122" t="str">
            <v/>
          </cell>
          <cell r="F122" t="str">
            <v/>
          </cell>
          <cell r="G122" t="str">
            <v/>
          </cell>
          <cell r="J122" t="str">
            <v>Göteborg Energi AB</v>
          </cell>
        </row>
        <row r="123">
          <cell r="B123" t="str">
            <v>Sörred Energi AB</v>
          </cell>
          <cell r="D123" t="str">
            <v>Ej kraftvärme</v>
          </cell>
          <cell r="E123" t="str">
            <v/>
          </cell>
          <cell r="F123" t="str">
            <v/>
          </cell>
          <cell r="G123" t="str">
            <v/>
          </cell>
          <cell r="J123" t="str">
            <v>Göteborg Energi AB</v>
          </cell>
        </row>
        <row r="124">
          <cell r="B124" t="str">
            <v>Götene</v>
          </cell>
          <cell r="D124" t="str">
            <v>Ej kraftvärme</v>
          </cell>
          <cell r="E124" t="str">
            <v/>
          </cell>
          <cell r="F124" t="str">
            <v/>
          </cell>
          <cell r="G124" t="str">
            <v/>
          </cell>
          <cell r="J124" t="str">
            <v>Götene Vatten &amp; Värme AB</v>
          </cell>
        </row>
        <row r="125">
          <cell r="B125" t="str">
            <v>Hällekis</v>
          </cell>
          <cell r="D125" t="str">
            <v>Ej kraftvärme</v>
          </cell>
          <cell r="E125" t="str">
            <v/>
          </cell>
          <cell r="F125" t="str">
            <v/>
          </cell>
          <cell r="G125" t="str">
            <v/>
          </cell>
          <cell r="J125" t="str">
            <v>Götene Vatten &amp; Värme AB</v>
          </cell>
        </row>
        <row r="126">
          <cell r="B126" t="str">
            <v>Habo</v>
          </cell>
          <cell r="D126" t="str">
            <v>Ej kraftvärme</v>
          </cell>
          <cell r="E126" t="str">
            <v/>
          </cell>
          <cell r="F126" t="str">
            <v/>
          </cell>
          <cell r="G126" t="str">
            <v/>
          </cell>
          <cell r="J126" t="str">
            <v>Habo Energi AB</v>
          </cell>
        </row>
        <row r="127">
          <cell r="B127" t="str">
            <v>Ekshärad</v>
          </cell>
          <cell r="D127" t="str">
            <v>Ej kraftvärme</v>
          </cell>
          <cell r="E127" t="str">
            <v/>
          </cell>
          <cell r="F127" t="str">
            <v/>
          </cell>
          <cell r="G127" t="str">
            <v/>
          </cell>
          <cell r="J127" t="str">
            <v>Hagfors Energi AB</v>
          </cell>
        </row>
        <row r="128">
          <cell r="B128" t="str">
            <v>Hagfors</v>
          </cell>
          <cell r="D128" t="str">
            <v>Ej kraftvärme</v>
          </cell>
          <cell r="E128" t="str">
            <v/>
          </cell>
          <cell r="F128" t="str">
            <v/>
          </cell>
          <cell r="G128" t="str">
            <v/>
          </cell>
          <cell r="J128" t="str">
            <v>Hagfors Energi AB</v>
          </cell>
        </row>
        <row r="129">
          <cell r="B129" t="str">
            <v>Sunnemo</v>
          </cell>
          <cell r="D129" t="str">
            <v>Ej kraftvärme</v>
          </cell>
          <cell r="E129" t="str">
            <v/>
          </cell>
          <cell r="F129" t="str">
            <v/>
          </cell>
          <cell r="G129" t="str">
            <v/>
          </cell>
          <cell r="J129" t="str">
            <v>Hagfors Energi AB</v>
          </cell>
        </row>
        <row r="130">
          <cell r="B130" t="str">
            <v>Halmstad</v>
          </cell>
          <cell r="D130" t="str">
            <v>Alternativproduktionsmetoden</v>
          </cell>
          <cell r="E130">
            <v>0.58324070579666953</v>
          </cell>
          <cell r="F130">
            <v>81.099999999999994</v>
          </cell>
          <cell r="G130">
            <v>1</v>
          </cell>
          <cell r="J130" t="str">
            <v>Halmstads Energi och Miljö AB</v>
          </cell>
        </row>
        <row r="131">
          <cell r="B131" t="str">
            <v>Skoghall</v>
          </cell>
          <cell r="D131" t="str">
            <v>Ej kraftvärme</v>
          </cell>
          <cell r="E131" t="str">
            <v/>
          </cell>
          <cell r="F131" t="str">
            <v/>
          </cell>
          <cell r="G131" t="str">
            <v/>
          </cell>
          <cell r="J131" t="str">
            <v>Hammarö Energi AB</v>
          </cell>
        </row>
        <row r="132">
          <cell r="B132" t="str">
            <v>Haparanda</v>
          </cell>
          <cell r="D132" t="str">
            <v>Ej kraftvärme</v>
          </cell>
          <cell r="E132" t="str">
            <v/>
          </cell>
          <cell r="F132" t="str">
            <v/>
          </cell>
          <cell r="G132" t="str">
            <v/>
          </cell>
          <cell r="J132" t="str">
            <v>Haparanda Värmeverk AB</v>
          </cell>
        </row>
        <row r="133">
          <cell r="B133" t="str">
            <v>Hedemora</v>
          </cell>
          <cell r="D133" t="str">
            <v>Ej kraftvärme</v>
          </cell>
          <cell r="E133" t="str">
            <v/>
          </cell>
          <cell r="F133" t="str">
            <v/>
          </cell>
          <cell r="G133" t="str">
            <v/>
          </cell>
          <cell r="J133" t="str">
            <v>Hedemora Energi AB</v>
          </cell>
        </row>
        <row r="134">
          <cell r="B134" t="str">
            <v>Långshyttan</v>
          </cell>
          <cell r="D134" t="str">
            <v>Ej kraftvärme</v>
          </cell>
          <cell r="E134" t="str">
            <v/>
          </cell>
          <cell r="F134" t="str">
            <v/>
          </cell>
          <cell r="G134" t="str">
            <v/>
          </cell>
          <cell r="J134" t="str">
            <v>Hedemora Energi AB</v>
          </cell>
        </row>
        <row r="135">
          <cell r="B135" t="str">
            <v>St Skedvi</v>
          </cell>
          <cell r="D135" t="str">
            <v>Ej kraftvärme</v>
          </cell>
          <cell r="E135" t="str">
            <v/>
          </cell>
          <cell r="F135" t="str">
            <v/>
          </cell>
          <cell r="G135" t="str">
            <v/>
          </cell>
          <cell r="J135" t="str">
            <v>Hedemora Energi AB</v>
          </cell>
        </row>
        <row r="136">
          <cell r="B136" t="str">
            <v>Säter</v>
          </cell>
          <cell r="D136" t="str">
            <v>Ej kraftvärme</v>
          </cell>
          <cell r="E136" t="str">
            <v/>
          </cell>
          <cell r="F136" t="str">
            <v/>
          </cell>
          <cell r="G136" t="str">
            <v/>
          </cell>
          <cell r="J136" t="str">
            <v>Hedemora Energi AB</v>
          </cell>
        </row>
        <row r="137">
          <cell r="B137" t="str">
            <v>Herrljunga</v>
          </cell>
          <cell r="D137" t="str">
            <v>Ej kraftvärme</v>
          </cell>
          <cell r="E137" t="str">
            <v/>
          </cell>
          <cell r="F137" t="str">
            <v/>
          </cell>
          <cell r="G137" t="str">
            <v/>
          </cell>
          <cell r="J137" t="str">
            <v>Herrljunga Elektriska AB</v>
          </cell>
        </row>
        <row r="138">
          <cell r="B138" t="str">
            <v>Hjo</v>
          </cell>
          <cell r="D138" t="str">
            <v>Ej kraftvärme</v>
          </cell>
          <cell r="E138" t="str">
            <v/>
          </cell>
          <cell r="F138" t="str">
            <v/>
          </cell>
          <cell r="G138" t="str">
            <v/>
          </cell>
          <cell r="J138" t="str">
            <v>Hjo Energi AB</v>
          </cell>
        </row>
        <row r="139">
          <cell r="B139" t="str">
            <v>Hylte</v>
          </cell>
          <cell r="D139" t="str">
            <v>Ej kraftvärme</v>
          </cell>
          <cell r="E139" t="str">
            <v/>
          </cell>
          <cell r="F139" t="str">
            <v/>
          </cell>
          <cell r="G139" t="str">
            <v/>
          </cell>
          <cell r="J139" t="str">
            <v>Hylte Kommun</v>
          </cell>
        </row>
        <row r="140">
          <cell r="B140" t="str">
            <v>Härnösand</v>
          </cell>
          <cell r="D140" t="str">
            <v>Alternativproduktionsmetoden</v>
          </cell>
          <cell r="E140">
            <v>0.61851190751445084</v>
          </cell>
          <cell r="F140">
            <v>32.4</v>
          </cell>
          <cell r="G140" t="str">
            <v/>
          </cell>
          <cell r="J140" t="str">
            <v>Härnösand Energi &amp; Miljö AB</v>
          </cell>
        </row>
        <row r="141">
          <cell r="B141" t="str">
            <v>Hässleholm</v>
          </cell>
          <cell r="D141" t="str">
            <v>Alternativproduktionsmetoden</v>
          </cell>
          <cell r="E141">
            <v>0.76824658068783047</v>
          </cell>
          <cell r="F141">
            <v>10.9</v>
          </cell>
          <cell r="G141" t="str">
            <v/>
          </cell>
          <cell r="J141" t="str">
            <v>Hässleholm Miljö AB</v>
          </cell>
        </row>
        <row r="142">
          <cell r="B142" t="str">
            <v>Tyringe</v>
          </cell>
          <cell r="D142" t="str">
            <v>Ej kraftvärme</v>
          </cell>
          <cell r="E142" t="str">
            <v/>
          </cell>
          <cell r="F142" t="str">
            <v/>
          </cell>
          <cell r="G142" t="str">
            <v/>
          </cell>
          <cell r="J142" t="str">
            <v>Hässleholm Miljö AB</v>
          </cell>
        </row>
        <row r="143">
          <cell r="B143" t="str">
            <v>Höganäs</v>
          </cell>
          <cell r="D143" t="str">
            <v>Ej kraftvärme</v>
          </cell>
          <cell r="E143" t="str">
            <v/>
          </cell>
          <cell r="F143" t="str">
            <v/>
          </cell>
          <cell r="G143" t="str">
            <v/>
          </cell>
          <cell r="J143" t="str">
            <v>Höganäs Energi AB</v>
          </cell>
        </row>
        <row r="144">
          <cell r="B144" t="str">
            <v>Jokkmokk</v>
          </cell>
          <cell r="D144" t="str">
            <v>Ej kraftvärme</v>
          </cell>
          <cell r="E144" t="str">
            <v/>
          </cell>
          <cell r="F144" t="str">
            <v/>
          </cell>
          <cell r="G144" t="str">
            <v/>
          </cell>
          <cell r="J144" t="str">
            <v>Jokkmokks Värmeverk AB</v>
          </cell>
        </row>
        <row r="145">
          <cell r="B145" t="str">
            <v>Brunflo</v>
          </cell>
          <cell r="D145" t="str">
            <v>Ej kraftvärme</v>
          </cell>
          <cell r="E145" t="str">
            <v/>
          </cell>
          <cell r="F145" t="str">
            <v/>
          </cell>
          <cell r="G145" t="str">
            <v/>
          </cell>
          <cell r="J145" t="str">
            <v>Jämtkraft AB</v>
          </cell>
        </row>
        <row r="146">
          <cell r="B146" t="str">
            <v>Krokom</v>
          </cell>
          <cell r="D146" t="str">
            <v>Ej kraftvärme</v>
          </cell>
          <cell r="E146" t="str">
            <v/>
          </cell>
          <cell r="F146" t="str">
            <v/>
          </cell>
          <cell r="G146" t="str">
            <v/>
          </cell>
          <cell r="J146" t="str">
            <v>Jämtkraft AB</v>
          </cell>
        </row>
        <row r="147">
          <cell r="B147" t="str">
            <v>Åre</v>
          </cell>
          <cell r="D147" t="str">
            <v>Ej kraftvärme</v>
          </cell>
          <cell r="E147" t="str">
            <v/>
          </cell>
          <cell r="F147" t="str">
            <v/>
          </cell>
          <cell r="G147" t="str">
            <v/>
          </cell>
          <cell r="J147" t="str">
            <v>Jämtkraft AB</v>
          </cell>
        </row>
        <row r="148">
          <cell r="B148" t="str">
            <v>Östersund</v>
          </cell>
          <cell r="D148" t="str">
            <v>Alternativproduktionsmetoden</v>
          </cell>
          <cell r="E148">
            <v>0.45781873272318424</v>
          </cell>
          <cell r="F148">
            <v>200</v>
          </cell>
          <cell r="G148">
            <v>1.7050000000000001</v>
          </cell>
          <cell r="J148" t="str">
            <v>Jämtkraft AB</v>
          </cell>
        </row>
        <row r="149">
          <cell r="B149" t="str">
            <v>Strömsund</v>
          </cell>
          <cell r="D149" t="str">
            <v>Ej kraftvärme</v>
          </cell>
          <cell r="E149" t="str">
            <v/>
          </cell>
          <cell r="F149" t="str">
            <v/>
          </cell>
          <cell r="G149" t="str">
            <v/>
          </cell>
          <cell r="J149" t="str">
            <v xml:space="preserve">Jämtlandsvärme </v>
          </cell>
        </row>
        <row r="150">
          <cell r="B150" t="str">
            <v>Gränna</v>
          </cell>
          <cell r="D150" t="str">
            <v>Ej kraftvärme</v>
          </cell>
          <cell r="E150" t="str">
            <v/>
          </cell>
          <cell r="F150" t="str">
            <v/>
          </cell>
          <cell r="G150" t="str">
            <v/>
          </cell>
          <cell r="J150" t="str">
            <v>Jönköping Energi AB</v>
          </cell>
        </row>
        <row r="151">
          <cell r="B151" t="str">
            <v>Jönköping</v>
          </cell>
          <cell r="D151" t="str">
            <v>Alternativproduktionsmetoden</v>
          </cell>
          <cell r="E151">
            <v>0.49588878572709733</v>
          </cell>
          <cell r="F151">
            <v>219.87</v>
          </cell>
          <cell r="G151">
            <v>8.2989999999999995</v>
          </cell>
          <cell r="J151" t="str">
            <v>Jönköping Energi AB</v>
          </cell>
        </row>
        <row r="152">
          <cell r="B152" t="str">
            <v>Stigamo</v>
          </cell>
          <cell r="D152" t="str">
            <v>Ej kraftvärme</v>
          </cell>
          <cell r="E152" t="str">
            <v/>
          </cell>
          <cell r="F152" t="str">
            <v/>
          </cell>
          <cell r="G152" t="str">
            <v/>
          </cell>
          <cell r="J152" t="str">
            <v>Jönköping Energi AB</v>
          </cell>
        </row>
        <row r="153">
          <cell r="B153" t="str">
            <v>Kalmar</v>
          </cell>
          <cell r="D153" t="str">
            <v>Alternativproduktionsmetoden</v>
          </cell>
          <cell r="E153">
            <v>0.45434707730986795</v>
          </cell>
          <cell r="F153">
            <v>125.9</v>
          </cell>
          <cell r="G153" t="str">
            <v/>
          </cell>
          <cell r="J153" t="str">
            <v>Kalmar Energi Värme AB</v>
          </cell>
        </row>
        <row r="154">
          <cell r="B154" t="str">
            <v>Karlsborg</v>
          </cell>
          <cell r="D154" t="str">
            <v>Ej kraftvärme</v>
          </cell>
          <cell r="E154" t="str">
            <v/>
          </cell>
          <cell r="F154" t="str">
            <v/>
          </cell>
          <cell r="G154" t="str">
            <v/>
          </cell>
          <cell r="J154" t="str">
            <v>Karlsborg Värme AB</v>
          </cell>
        </row>
        <row r="155">
          <cell r="B155" t="str">
            <v>Karlshamn</v>
          </cell>
          <cell r="D155" t="str">
            <v>Ej kraftvärme</v>
          </cell>
          <cell r="E155" t="str">
            <v/>
          </cell>
          <cell r="F155" t="str">
            <v/>
          </cell>
          <cell r="G155" t="str">
            <v/>
          </cell>
          <cell r="J155" t="str">
            <v>Karlshamn Energi AB</v>
          </cell>
        </row>
        <row r="156">
          <cell r="B156" t="str">
            <v>Karlskoga</v>
          </cell>
          <cell r="D156" t="str">
            <v>Alternativproduktionsmetoden</v>
          </cell>
          <cell r="E156">
            <v>0.8113371668597914</v>
          </cell>
          <cell r="F156">
            <v>24.1</v>
          </cell>
          <cell r="G156" t="str">
            <v/>
          </cell>
          <cell r="J156" t="str">
            <v>Karlskoga Energi och Miljö AB</v>
          </cell>
        </row>
        <row r="157">
          <cell r="B157" t="str">
            <v>Karlstad</v>
          </cell>
          <cell r="D157" t="str">
            <v>Alternativproduktionsmetoden</v>
          </cell>
          <cell r="E157">
            <v>0.56287889955107728</v>
          </cell>
          <cell r="F157">
            <v>136.78</v>
          </cell>
          <cell r="G157" t="str">
            <v/>
          </cell>
          <cell r="J157" t="str">
            <v>Karlstads Energi AB</v>
          </cell>
        </row>
        <row r="158">
          <cell r="B158" t="str">
            <v>Katrinefors Kraftvärme (producent)</v>
          </cell>
          <cell r="D158" t="str">
            <v>Ej kraftvärme</v>
          </cell>
          <cell r="E158" t="str">
            <v/>
          </cell>
          <cell r="F158" t="str">
            <v/>
          </cell>
          <cell r="G158" t="str">
            <v/>
          </cell>
          <cell r="J158" t="str">
            <v>Katrinefors Kraftvärme AB</v>
          </cell>
        </row>
        <row r="159">
          <cell r="B159" t="str">
            <v>Kil</v>
          </cell>
          <cell r="D159" t="str">
            <v>Ej kraftvärme</v>
          </cell>
          <cell r="E159" t="str">
            <v/>
          </cell>
          <cell r="F159" t="str">
            <v/>
          </cell>
          <cell r="G159" t="str">
            <v/>
          </cell>
          <cell r="J159" t="str">
            <v>Kils Energi AB</v>
          </cell>
        </row>
        <row r="160">
          <cell r="B160" t="str">
            <v>Kiruna C</v>
          </cell>
          <cell r="D160" t="str">
            <v>Alternativproduktionsmetoden</v>
          </cell>
          <cell r="E160">
            <v>0.68943151529137803</v>
          </cell>
          <cell r="F160">
            <v>19.367000000000001</v>
          </cell>
          <cell r="G160" t="str">
            <v/>
          </cell>
          <cell r="J160" t="str">
            <v>Kiruna Kraft AB</v>
          </cell>
        </row>
        <row r="161">
          <cell r="B161" t="str">
            <v>Vittangi</v>
          </cell>
          <cell r="D161" t="str">
            <v>Ej kraftvärme</v>
          </cell>
          <cell r="E161" t="str">
            <v/>
          </cell>
          <cell r="F161" t="str">
            <v/>
          </cell>
          <cell r="G161" t="str">
            <v/>
          </cell>
          <cell r="J161" t="str">
            <v>Kiruna Kraft AB</v>
          </cell>
        </row>
        <row r="162">
          <cell r="B162" t="str">
            <v>Eslöv-Lund-Lomma m fl</v>
          </cell>
          <cell r="D162" t="str">
            <v>Alternativproduktionsmetoden</v>
          </cell>
          <cell r="E162">
            <v>0.53737108343194273</v>
          </cell>
          <cell r="F162">
            <v>172.47</v>
          </cell>
          <cell r="G162">
            <v>100.21</v>
          </cell>
          <cell r="J162" t="str">
            <v>Kraftringen Energi AB (publ)</v>
          </cell>
        </row>
        <row r="163">
          <cell r="B163" t="str">
            <v>Klippan-Ljungbyhed-Östra Ljungby</v>
          </cell>
          <cell r="D163" t="str">
            <v>Ej kraftvärme</v>
          </cell>
          <cell r="E163" t="str">
            <v/>
          </cell>
          <cell r="F163" t="str">
            <v/>
          </cell>
          <cell r="G163" t="str">
            <v/>
          </cell>
          <cell r="J163" t="str">
            <v>Kraftringen Energi AB (publ)</v>
          </cell>
        </row>
        <row r="164">
          <cell r="B164" t="str">
            <v>Kristinehamn</v>
          </cell>
          <cell r="D164" t="str">
            <v>Ej kraftvärme</v>
          </cell>
          <cell r="E164" t="str">
            <v/>
          </cell>
          <cell r="F164" t="str">
            <v/>
          </cell>
          <cell r="G164" t="str">
            <v/>
          </cell>
          <cell r="J164" t="str">
            <v>Kristinehamns Fjärrvärme AB</v>
          </cell>
        </row>
        <row r="165">
          <cell r="B165" t="str">
            <v>HVC Kode</v>
          </cell>
          <cell r="D165" t="str">
            <v>Ej kraftvärme</v>
          </cell>
          <cell r="E165" t="str">
            <v/>
          </cell>
          <cell r="F165" t="str">
            <v/>
          </cell>
          <cell r="G165" t="str">
            <v/>
          </cell>
          <cell r="J165" t="str">
            <v>Kungälv Energi AB</v>
          </cell>
        </row>
        <row r="166">
          <cell r="B166" t="str">
            <v>HVC Kärna</v>
          </cell>
          <cell r="D166" t="str">
            <v>Ej kraftvärme</v>
          </cell>
          <cell r="E166" t="str">
            <v/>
          </cell>
          <cell r="F166" t="str">
            <v/>
          </cell>
          <cell r="G166" t="str">
            <v/>
          </cell>
          <cell r="J166" t="str">
            <v>Kungälv Energi AB</v>
          </cell>
        </row>
        <row r="167">
          <cell r="B167" t="str">
            <v>HVC Stålkullen</v>
          </cell>
          <cell r="D167" t="str">
            <v>Ej kraftvärme</v>
          </cell>
          <cell r="E167" t="str">
            <v/>
          </cell>
          <cell r="F167" t="str">
            <v/>
          </cell>
          <cell r="G167" t="str">
            <v/>
          </cell>
          <cell r="J167" t="str">
            <v>Kungälv Energi AB</v>
          </cell>
        </row>
        <row r="168">
          <cell r="B168" t="str">
            <v>Kungälv</v>
          </cell>
          <cell r="D168" t="str">
            <v>Alternativproduktionsmetoden</v>
          </cell>
          <cell r="E168">
            <v>0.80569199999999996</v>
          </cell>
          <cell r="F168">
            <v>6.7</v>
          </cell>
          <cell r="G168" t="str">
            <v/>
          </cell>
          <cell r="J168" t="str">
            <v>Kungälv Energi AB</v>
          </cell>
        </row>
        <row r="169">
          <cell r="B169" t="str">
            <v>Köpings kommun nät x</v>
          </cell>
          <cell r="D169" t="str">
            <v>Ej kraftvärme</v>
          </cell>
          <cell r="E169" t="str">
            <v/>
          </cell>
          <cell r="F169" t="str">
            <v/>
          </cell>
          <cell r="G169" t="str">
            <v/>
          </cell>
          <cell r="J169" t="str">
            <v>Köpings kommun</v>
          </cell>
        </row>
        <row r="170">
          <cell r="B170" t="str">
            <v>Landskrona</v>
          </cell>
          <cell r="D170" t="str">
            <v>Alternativproduktionsmetoden</v>
          </cell>
          <cell r="E170">
            <v>0.57513840714338327</v>
          </cell>
          <cell r="F170">
            <v>40.186999999999998</v>
          </cell>
          <cell r="G170">
            <v>32.299999999999997</v>
          </cell>
          <cell r="J170" t="str">
            <v>Landskrona Energi AB</v>
          </cell>
        </row>
        <row r="171">
          <cell r="B171" t="str">
            <v>Bjärnum</v>
          </cell>
          <cell r="D171" t="str">
            <v>Ej kraftvärme</v>
          </cell>
          <cell r="E171" t="str">
            <v/>
          </cell>
          <cell r="F171" t="str">
            <v/>
          </cell>
          <cell r="G171" t="str">
            <v/>
          </cell>
          <cell r="J171" t="str">
            <v>Lantmännen Agrovärme AB</v>
          </cell>
        </row>
        <row r="172">
          <cell r="B172" t="str">
            <v>Ed</v>
          </cell>
          <cell r="D172" t="str">
            <v>Ej kraftvärme</v>
          </cell>
          <cell r="E172" t="str">
            <v/>
          </cell>
          <cell r="F172" t="str">
            <v/>
          </cell>
          <cell r="G172" t="str">
            <v/>
          </cell>
          <cell r="J172" t="str">
            <v>Lantmännen Agrovärme AB</v>
          </cell>
        </row>
        <row r="173">
          <cell r="B173" t="str">
            <v>Grästorp</v>
          </cell>
          <cell r="D173" t="str">
            <v>Ej kraftvärme</v>
          </cell>
          <cell r="E173" t="str">
            <v/>
          </cell>
          <cell r="F173" t="str">
            <v/>
          </cell>
          <cell r="G173" t="str">
            <v/>
          </cell>
          <cell r="J173" t="str">
            <v>Lantmännen Agrovärme AB</v>
          </cell>
        </row>
        <row r="174">
          <cell r="B174" t="str">
            <v>Horred</v>
          </cell>
          <cell r="D174" t="str">
            <v>Ej kraftvärme</v>
          </cell>
          <cell r="E174" t="str">
            <v/>
          </cell>
          <cell r="F174" t="str">
            <v/>
          </cell>
          <cell r="G174" t="str">
            <v/>
          </cell>
          <cell r="J174" t="str">
            <v>Lantmännen Agrovärme AB</v>
          </cell>
        </row>
        <row r="175">
          <cell r="B175" t="str">
            <v>Kvänum</v>
          </cell>
          <cell r="D175" t="str">
            <v>Ej kraftvärme</v>
          </cell>
          <cell r="E175" t="str">
            <v/>
          </cell>
          <cell r="F175" t="str">
            <v/>
          </cell>
          <cell r="G175" t="str">
            <v/>
          </cell>
          <cell r="J175" t="str">
            <v>Lantmännen Agrovärme AB</v>
          </cell>
        </row>
        <row r="176">
          <cell r="B176" t="str">
            <v>Skurup</v>
          </cell>
          <cell r="D176" t="str">
            <v>Ej kraftvärme</v>
          </cell>
          <cell r="E176" t="str">
            <v/>
          </cell>
          <cell r="F176" t="str">
            <v/>
          </cell>
          <cell r="G176" t="str">
            <v/>
          </cell>
          <cell r="J176" t="str">
            <v>Lantmännen Agrovärme AB</v>
          </cell>
        </row>
        <row r="177">
          <cell r="B177" t="str">
            <v>Vinslöv</v>
          </cell>
          <cell r="D177" t="str">
            <v>Ej kraftvärme</v>
          </cell>
          <cell r="E177" t="str">
            <v/>
          </cell>
          <cell r="F177" t="str">
            <v/>
          </cell>
          <cell r="G177" t="str">
            <v/>
          </cell>
          <cell r="J177" t="str">
            <v>Lantmännen Agrovärme AB</v>
          </cell>
        </row>
        <row r="178">
          <cell r="B178" t="str">
            <v>Ödeshög</v>
          </cell>
          <cell r="D178" t="str">
            <v>Ej kraftvärme</v>
          </cell>
          <cell r="E178" t="str">
            <v/>
          </cell>
          <cell r="F178" t="str">
            <v/>
          </cell>
          <cell r="G178" t="str">
            <v/>
          </cell>
          <cell r="J178" t="str">
            <v>Lantmännen Agrovärme AB</v>
          </cell>
        </row>
        <row r="179">
          <cell r="B179" t="str">
            <v>Örsundsbro</v>
          </cell>
          <cell r="D179" t="str">
            <v>Ej kraftvärme</v>
          </cell>
          <cell r="E179" t="str">
            <v/>
          </cell>
          <cell r="F179" t="str">
            <v/>
          </cell>
          <cell r="G179" t="str">
            <v/>
          </cell>
          <cell r="J179" t="str">
            <v>Lantmännen Agrovärme AB</v>
          </cell>
        </row>
        <row r="180">
          <cell r="B180" t="str">
            <v>Laxå</v>
          </cell>
          <cell r="D180" t="str">
            <v>Ej kraftvärme</v>
          </cell>
          <cell r="E180" t="str">
            <v/>
          </cell>
          <cell r="F180" t="str">
            <v/>
          </cell>
          <cell r="G180" t="str">
            <v/>
          </cell>
          <cell r="J180" t="str">
            <v>Laxå Värme AB</v>
          </cell>
        </row>
        <row r="181">
          <cell r="B181" t="str">
            <v>Lekeberg</v>
          </cell>
          <cell r="D181" t="str">
            <v>Ej kraftvärme</v>
          </cell>
          <cell r="E181" t="str">
            <v/>
          </cell>
          <cell r="F181" t="str">
            <v/>
          </cell>
          <cell r="G181" t="str">
            <v/>
          </cell>
          <cell r="J181" t="str">
            <v>Lekeberg Bioenergi AB</v>
          </cell>
        </row>
        <row r="182">
          <cell r="B182" t="str">
            <v>Floda</v>
          </cell>
          <cell r="D182" t="str">
            <v>Ej kraftvärme</v>
          </cell>
          <cell r="E182" t="str">
            <v/>
          </cell>
          <cell r="F182" t="str">
            <v/>
          </cell>
          <cell r="G182" t="str">
            <v/>
          </cell>
          <cell r="J182" t="str">
            <v>Lerum Fjärrvärme AB</v>
          </cell>
        </row>
        <row r="183">
          <cell r="B183" t="str">
            <v>Gråbo</v>
          </cell>
          <cell r="D183" t="str">
            <v>Ej kraftvärme</v>
          </cell>
          <cell r="E183" t="str">
            <v/>
          </cell>
          <cell r="F183" t="str">
            <v/>
          </cell>
          <cell r="G183" t="str">
            <v/>
          </cell>
          <cell r="J183" t="str">
            <v>Lerum Fjärrvärme AB</v>
          </cell>
        </row>
        <row r="184">
          <cell r="B184" t="str">
            <v>Lerum</v>
          </cell>
          <cell r="D184" t="str">
            <v>Ej kraftvärme</v>
          </cell>
          <cell r="E184" t="str">
            <v/>
          </cell>
          <cell r="F184" t="str">
            <v/>
          </cell>
          <cell r="G184" t="str">
            <v/>
          </cell>
          <cell r="J184" t="str">
            <v>Lerum Fjärrvärme AB</v>
          </cell>
        </row>
        <row r="185">
          <cell r="B185" t="str">
            <v>Stenkullen</v>
          </cell>
          <cell r="D185" t="str">
            <v>Ej kraftvärme</v>
          </cell>
          <cell r="E185" t="str">
            <v/>
          </cell>
          <cell r="F185" t="str">
            <v/>
          </cell>
          <cell r="G185" t="str">
            <v/>
          </cell>
          <cell r="J185" t="str">
            <v>Lerum Fjärrvärme AB</v>
          </cell>
        </row>
        <row r="186">
          <cell r="B186" t="str">
            <v>Lessebo</v>
          </cell>
          <cell r="D186" t="str">
            <v>Ej kraftvärme</v>
          </cell>
          <cell r="E186" t="str">
            <v/>
          </cell>
          <cell r="F186" t="str">
            <v/>
          </cell>
          <cell r="G186" t="str">
            <v/>
          </cell>
          <cell r="J186" t="str">
            <v>Lessebo fjärrvärme</v>
          </cell>
        </row>
        <row r="187">
          <cell r="B187" t="str">
            <v>Lysekil</v>
          </cell>
          <cell r="D187" t="str">
            <v>Ej kraftvärme</v>
          </cell>
          <cell r="E187" t="str">
            <v/>
          </cell>
          <cell r="F187" t="str">
            <v/>
          </cell>
          <cell r="G187" t="str">
            <v/>
          </cell>
          <cell r="J187" t="str">
            <v>LEVA i Lysekil AB</v>
          </cell>
        </row>
        <row r="188">
          <cell r="B188" t="str">
            <v>Klimateffektiv fjärrvärme</v>
          </cell>
          <cell r="D188" t="str">
            <v>Alternativproduktionsmetoden</v>
          </cell>
          <cell r="E188">
            <v>1</v>
          </cell>
          <cell r="F188" t="str">
            <v/>
          </cell>
          <cell r="G188" t="str">
            <v/>
          </cell>
          <cell r="J188" t="str">
            <v>Lidköpings Värmeverk AB</v>
          </cell>
        </row>
        <row r="189">
          <cell r="B189" t="str">
            <v>Lidköping</v>
          </cell>
          <cell r="D189" t="str">
            <v>Alternativproduktionsmetoden</v>
          </cell>
          <cell r="E189">
            <v>0.59710421430904925</v>
          </cell>
          <cell r="F189">
            <v>17.802</v>
          </cell>
          <cell r="G189" t="str">
            <v/>
          </cell>
          <cell r="J189" t="str">
            <v>Lidköpings Värmeverk AB</v>
          </cell>
        </row>
        <row r="190">
          <cell r="B190" t="str">
            <v>Lilla Edet</v>
          </cell>
          <cell r="D190" t="str">
            <v>Ej kraftvärme</v>
          </cell>
          <cell r="E190" t="str">
            <v/>
          </cell>
          <cell r="F190" t="str">
            <v/>
          </cell>
          <cell r="G190" t="str">
            <v/>
          </cell>
          <cell r="J190" t="str">
            <v>Lilla Edets Fjärrvärme AB</v>
          </cell>
        </row>
        <row r="191">
          <cell r="B191" t="str">
            <v>Frövi</v>
          </cell>
          <cell r="D191" t="str">
            <v>Ej kraftvärme</v>
          </cell>
          <cell r="E191" t="str">
            <v/>
          </cell>
          <cell r="F191" t="str">
            <v/>
          </cell>
          <cell r="G191" t="str">
            <v/>
          </cell>
          <cell r="J191" t="str">
            <v>Linde Energi AB</v>
          </cell>
        </row>
        <row r="192">
          <cell r="B192" t="str">
            <v>Guldsmedhyttan</v>
          </cell>
          <cell r="D192" t="str">
            <v>Ej kraftvärme</v>
          </cell>
          <cell r="E192" t="str">
            <v/>
          </cell>
          <cell r="F192" t="str">
            <v/>
          </cell>
          <cell r="G192" t="str">
            <v/>
          </cell>
          <cell r="J192" t="str">
            <v>Linde Energi AB</v>
          </cell>
        </row>
        <row r="193">
          <cell r="B193" t="str">
            <v>Lindesberg</v>
          </cell>
          <cell r="D193" t="str">
            <v>Ej kraftvärme</v>
          </cell>
          <cell r="E193" t="str">
            <v/>
          </cell>
          <cell r="F193" t="str">
            <v/>
          </cell>
          <cell r="G193" t="str">
            <v/>
          </cell>
          <cell r="J193" t="str">
            <v>Linde Energi AB</v>
          </cell>
        </row>
        <row r="194">
          <cell r="B194" t="str">
            <v>Spillvattennät</v>
          </cell>
          <cell r="D194" t="str">
            <v>Ej kraftvärme</v>
          </cell>
          <cell r="E194" t="str">
            <v/>
          </cell>
          <cell r="F194" t="str">
            <v/>
          </cell>
          <cell r="G194" t="str">
            <v/>
          </cell>
          <cell r="J194" t="str">
            <v>Linde Energi AB</v>
          </cell>
        </row>
        <row r="195">
          <cell r="B195" t="str">
            <v>Vedevåg</v>
          </cell>
          <cell r="D195" t="str">
            <v>Ej kraftvärme</v>
          </cell>
          <cell r="E195" t="str">
            <v/>
          </cell>
          <cell r="F195" t="str">
            <v/>
          </cell>
          <cell r="G195" t="str">
            <v/>
          </cell>
          <cell r="J195" t="str">
            <v>Linde Energi AB</v>
          </cell>
        </row>
        <row r="196">
          <cell r="B196" t="str">
            <v>Ljungby</v>
          </cell>
          <cell r="D196" t="str">
            <v>Alternativproduktionsmetoden</v>
          </cell>
          <cell r="E196">
            <v>0.7601636413641365</v>
          </cell>
          <cell r="F196">
            <v>20.420000000000002</v>
          </cell>
          <cell r="G196" t="str">
            <v/>
          </cell>
          <cell r="J196" t="str">
            <v>Ljungby Energi AB</v>
          </cell>
        </row>
        <row r="197">
          <cell r="B197" t="str">
            <v>Färila</v>
          </cell>
          <cell r="D197" t="str">
            <v>Ej kraftvärme</v>
          </cell>
          <cell r="E197" t="str">
            <v/>
          </cell>
          <cell r="F197" t="str">
            <v/>
          </cell>
          <cell r="G197" t="str">
            <v/>
          </cell>
          <cell r="J197" t="str">
            <v>Ljusdal Energi AB</v>
          </cell>
        </row>
        <row r="198">
          <cell r="B198" t="str">
            <v>Järvsö</v>
          </cell>
          <cell r="D198" t="str">
            <v>Ej kraftvärme</v>
          </cell>
          <cell r="E198" t="str">
            <v/>
          </cell>
          <cell r="F198" t="str">
            <v/>
          </cell>
          <cell r="G198" t="str">
            <v/>
          </cell>
          <cell r="J198" t="str">
            <v>Ljusdal Energi AB</v>
          </cell>
        </row>
        <row r="199">
          <cell r="B199" t="str">
            <v>Ljusdal</v>
          </cell>
          <cell r="D199" t="str">
            <v>Ej kraftvärme</v>
          </cell>
          <cell r="E199" t="str">
            <v/>
          </cell>
          <cell r="F199" t="str">
            <v/>
          </cell>
          <cell r="G199" t="str">
            <v/>
          </cell>
          <cell r="J199" t="str">
            <v>Ljusdal Energi AB</v>
          </cell>
        </row>
        <row r="200">
          <cell r="B200" t="str">
            <v>Luleå</v>
          </cell>
          <cell r="D200" t="str">
            <v>Ej kraftvärme</v>
          </cell>
          <cell r="E200" t="str">
            <v/>
          </cell>
          <cell r="F200" t="str">
            <v/>
          </cell>
          <cell r="G200" t="str">
            <v/>
          </cell>
          <cell r="J200" t="str">
            <v>Luleå Energi AB</v>
          </cell>
        </row>
        <row r="201">
          <cell r="B201" t="str">
            <v>Luleå Klimatneutral</v>
          </cell>
          <cell r="D201" t="str">
            <v>Ej kraftvärme</v>
          </cell>
          <cell r="E201" t="str">
            <v/>
          </cell>
          <cell r="F201" t="str">
            <v/>
          </cell>
          <cell r="G201" t="str">
            <v/>
          </cell>
          <cell r="J201" t="str">
            <v>Luleå Energi AB</v>
          </cell>
        </row>
        <row r="202">
          <cell r="B202" t="str">
            <v>Råneå</v>
          </cell>
          <cell r="D202" t="str">
            <v>Ej kraftvärme</v>
          </cell>
          <cell r="E202" t="str">
            <v/>
          </cell>
          <cell r="F202" t="str">
            <v/>
          </cell>
          <cell r="G202" t="str">
            <v/>
          </cell>
          <cell r="J202" t="str">
            <v>Luleå Energi AB</v>
          </cell>
        </row>
        <row r="203">
          <cell r="B203" t="str">
            <v>Malung</v>
          </cell>
          <cell r="D203" t="str">
            <v>Ej kraftvärme</v>
          </cell>
          <cell r="E203" t="str">
            <v/>
          </cell>
          <cell r="F203" t="str">
            <v/>
          </cell>
          <cell r="G203" t="str">
            <v/>
          </cell>
          <cell r="J203" t="str">
            <v>Malung-Sälens kommun</v>
          </cell>
        </row>
        <row r="204">
          <cell r="B204" t="str">
            <v>Assberg - Fritslanäten</v>
          </cell>
          <cell r="D204" t="str">
            <v>Alternativproduktionsmetoden</v>
          </cell>
          <cell r="E204">
            <v>0.72354775075670597</v>
          </cell>
          <cell r="F204">
            <v>10.6</v>
          </cell>
          <cell r="G204" t="str">
            <v/>
          </cell>
          <cell r="J204" t="str">
            <v>Mark Kraftvärme AB</v>
          </cell>
        </row>
        <row r="205">
          <cell r="B205" t="str">
            <v>Hyssna</v>
          </cell>
          <cell r="D205" t="str">
            <v>Ej kraftvärme</v>
          </cell>
          <cell r="E205" t="str">
            <v/>
          </cell>
          <cell r="F205" t="str">
            <v/>
          </cell>
          <cell r="G205" t="str">
            <v/>
          </cell>
          <cell r="J205" t="str">
            <v>Mark Kraftvärme AB</v>
          </cell>
        </row>
        <row r="206">
          <cell r="B206" t="str">
            <v>Mjölby</v>
          </cell>
          <cell r="D206" t="str">
            <v>Alternativproduktionsmetoden</v>
          </cell>
          <cell r="E206">
            <v>0.49123415242165225</v>
          </cell>
          <cell r="F206">
            <v>34.6</v>
          </cell>
          <cell r="G206" t="str">
            <v/>
          </cell>
          <cell r="J206" t="str">
            <v>Mjölby-Svartådalen Energi AB</v>
          </cell>
        </row>
        <row r="207">
          <cell r="B207" t="str">
            <v>Mullsjö</v>
          </cell>
          <cell r="D207" t="str">
            <v>Ej kraftvärme</v>
          </cell>
          <cell r="E207" t="str">
            <v/>
          </cell>
          <cell r="F207" t="str">
            <v/>
          </cell>
          <cell r="G207" t="str">
            <v/>
          </cell>
          <cell r="J207" t="str">
            <v>Mullsjö Energi &amp; Miljö AB</v>
          </cell>
        </row>
        <row r="208">
          <cell r="B208" t="str">
            <v>Munkfors</v>
          </cell>
          <cell r="D208" t="str">
            <v>Ej kraftvärme</v>
          </cell>
          <cell r="E208" t="str">
            <v/>
          </cell>
          <cell r="F208" t="str">
            <v/>
          </cell>
          <cell r="G208" t="str">
            <v/>
          </cell>
          <cell r="J208" t="str">
            <v>Munkfors Energi AB</v>
          </cell>
        </row>
        <row r="209">
          <cell r="B209" t="str">
            <v>Kungsör</v>
          </cell>
          <cell r="D209" t="str">
            <v>Ej kraftvärme</v>
          </cell>
          <cell r="E209" t="str">
            <v/>
          </cell>
          <cell r="F209" t="str">
            <v/>
          </cell>
          <cell r="G209" t="str">
            <v/>
          </cell>
          <cell r="J209" t="str">
            <v>Mälarenergi AB</v>
          </cell>
        </row>
        <row r="210">
          <cell r="B210" t="str">
            <v>Surahammar</v>
          </cell>
          <cell r="D210" t="str">
            <v>Ej kraftvärme</v>
          </cell>
          <cell r="E210" t="str">
            <v/>
          </cell>
          <cell r="F210" t="str">
            <v/>
          </cell>
          <cell r="G210" t="str">
            <v/>
          </cell>
          <cell r="J210" t="str">
            <v>Mälarenergi AB</v>
          </cell>
        </row>
        <row r="211">
          <cell r="B211" t="str">
            <v>Västerås</v>
          </cell>
          <cell r="D211" t="str">
            <v>Alternativproduktionsmetoden</v>
          </cell>
          <cell r="E211">
            <v>0.50604041779011022</v>
          </cell>
          <cell r="F211">
            <v>413.43</v>
          </cell>
          <cell r="G211" t="str">
            <v/>
          </cell>
          <cell r="J211" t="str">
            <v>Mälarenergi AB</v>
          </cell>
        </row>
        <row r="212">
          <cell r="B212" t="str">
            <v>Västerås Miljömärkt</v>
          </cell>
          <cell r="D212" t="str">
            <v>Alternativproduktionsmetoden</v>
          </cell>
          <cell r="E212">
            <v>0.50592810218389472</v>
          </cell>
          <cell r="F212">
            <v>5.4242999999999997</v>
          </cell>
          <cell r="G212" t="str">
            <v/>
          </cell>
          <cell r="J212" t="str">
            <v>Mälarenergi AB</v>
          </cell>
        </row>
        <row r="213">
          <cell r="B213" t="str">
            <v>Mölndal</v>
          </cell>
          <cell r="D213" t="str">
            <v>Alternativproduktionsmetoden</v>
          </cell>
          <cell r="E213">
            <v>0.4602363384053586</v>
          </cell>
          <cell r="F213">
            <v>105.73</v>
          </cell>
          <cell r="G213">
            <v>137.83000000000001</v>
          </cell>
          <cell r="J213" t="str">
            <v>Mölndal Energi AB</v>
          </cell>
        </row>
        <row r="214">
          <cell r="B214" t="str">
            <v>Mölndal Biovärmepaket</v>
          </cell>
          <cell r="D214" t="str">
            <v>Alternativproduktionsmetoden</v>
          </cell>
          <cell r="E214">
            <v>0.4580092054018513</v>
          </cell>
          <cell r="F214">
            <v>10.6005</v>
          </cell>
          <cell r="G214" t="str">
            <v/>
          </cell>
          <cell r="J214" t="str">
            <v>Mölndal Energi AB</v>
          </cell>
        </row>
        <row r="215">
          <cell r="B215" t="str">
            <v>Mölndal Bra Miljöval</v>
          </cell>
          <cell r="D215" t="str">
            <v>Alternativproduktionsmetoden</v>
          </cell>
          <cell r="E215">
            <v>0.45799842395587081</v>
          </cell>
          <cell r="F215">
            <v>6.1239999999999997</v>
          </cell>
          <cell r="G215" t="str">
            <v/>
          </cell>
          <cell r="J215" t="str">
            <v>Mölndal Energi AB</v>
          </cell>
        </row>
        <row r="216">
          <cell r="B216" t="str">
            <v>Mörbylånga</v>
          </cell>
          <cell r="D216" t="str">
            <v>Ej kraftvärme</v>
          </cell>
          <cell r="E216" t="str">
            <v/>
          </cell>
          <cell r="F216" t="str">
            <v/>
          </cell>
          <cell r="G216" t="str">
            <v/>
          </cell>
          <cell r="J216" t="str">
            <v>Mörbylånga Kommun</v>
          </cell>
        </row>
        <row r="217">
          <cell r="B217" t="str">
            <v>Bjuv</v>
          </cell>
          <cell r="D217" t="str">
            <v>Ej kraftvärme</v>
          </cell>
          <cell r="E217" t="str">
            <v/>
          </cell>
          <cell r="F217" t="str">
            <v/>
          </cell>
          <cell r="G217" t="str">
            <v/>
          </cell>
          <cell r="J217" t="str">
            <v>Neova AB</v>
          </cell>
        </row>
        <row r="218">
          <cell r="B218" t="str">
            <v>Hultsfred</v>
          </cell>
          <cell r="D218" t="str">
            <v>Ej kraftvärme</v>
          </cell>
          <cell r="E218" t="str">
            <v/>
          </cell>
          <cell r="F218" t="str">
            <v/>
          </cell>
          <cell r="G218" t="str">
            <v/>
          </cell>
          <cell r="J218" t="str">
            <v>Neova AB</v>
          </cell>
        </row>
        <row r="219">
          <cell r="B219" t="str">
            <v>Kramfors</v>
          </cell>
          <cell r="D219" t="str">
            <v>Ej kraftvärme</v>
          </cell>
          <cell r="E219" t="str">
            <v/>
          </cell>
          <cell r="F219" t="str">
            <v/>
          </cell>
          <cell r="G219" t="str">
            <v/>
          </cell>
          <cell r="J219" t="str">
            <v>Neova AB</v>
          </cell>
        </row>
        <row r="220">
          <cell r="B220" t="str">
            <v>Smålandsstenar</v>
          </cell>
          <cell r="D220" t="str">
            <v>Ej kraftvärme</v>
          </cell>
          <cell r="E220" t="str">
            <v/>
          </cell>
          <cell r="F220" t="str">
            <v/>
          </cell>
          <cell r="G220" t="str">
            <v/>
          </cell>
          <cell r="J220" t="str">
            <v>Neova AB</v>
          </cell>
        </row>
        <row r="221">
          <cell r="B221" t="str">
            <v>Tanum</v>
          </cell>
          <cell r="D221" t="str">
            <v>Ej kraftvärme</v>
          </cell>
          <cell r="E221" t="str">
            <v/>
          </cell>
          <cell r="F221" t="str">
            <v/>
          </cell>
          <cell r="G221" t="str">
            <v/>
          </cell>
          <cell r="J221" t="str">
            <v>Neova AB</v>
          </cell>
        </row>
        <row r="222">
          <cell r="B222" t="str">
            <v>Tibro</v>
          </cell>
          <cell r="D222" t="str">
            <v>Ej kraftvärme</v>
          </cell>
          <cell r="E222" t="str">
            <v/>
          </cell>
          <cell r="F222" t="str">
            <v/>
          </cell>
          <cell r="G222" t="str">
            <v/>
          </cell>
          <cell r="J222" t="str">
            <v>Neova AB</v>
          </cell>
        </row>
        <row r="223">
          <cell r="B223" t="str">
            <v>Valdemarsvik</v>
          </cell>
          <cell r="D223" t="str">
            <v>Ej kraftvärme</v>
          </cell>
          <cell r="E223" t="str">
            <v/>
          </cell>
          <cell r="F223" t="str">
            <v/>
          </cell>
          <cell r="G223" t="str">
            <v/>
          </cell>
          <cell r="J223" t="str">
            <v>Neova AB</v>
          </cell>
        </row>
        <row r="224">
          <cell r="B224" t="str">
            <v>Årjäng</v>
          </cell>
          <cell r="D224" t="str">
            <v>Ej kraftvärme</v>
          </cell>
          <cell r="E224" t="str">
            <v/>
          </cell>
          <cell r="F224" t="str">
            <v/>
          </cell>
          <cell r="G224" t="str">
            <v/>
          </cell>
          <cell r="J224" t="str">
            <v>Neova AB</v>
          </cell>
        </row>
        <row r="225">
          <cell r="B225" t="str">
            <v>Åstorp</v>
          </cell>
          <cell r="D225" t="str">
            <v>Ej kraftvärme</v>
          </cell>
          <cell r="E225" t="str">
            <v/>
          </cell>
          <cell r="F225" t="str">
            <v/>
          </cell>
          <cell r="G225" t="str">
            <v/>
          </cell>
          <cell r="J225" t="str">
            <v>Neova AB</v>
          </cell>
        </row>
        <row r="226">
          <cell r="B226" t="str">
            <v>Östhammar</v>
          </cell>
          <cell r="D226" t="str">
            <v>Ej kraftvärme</v>
          </cell>
          <cell r="E226" t="str">
            <v/>
          </cell>
          <cell r="F226" t="str">
            <v/>
          </cell>
          <cell r="G226" t="str">
            <v/>
          </cell>
          <cell r="J226" t="str">
            <v>Neova AB</v>
          </cell>
        </row>
        <row r="227">
          <cell r="B227" t="str">
            <v>Rörvik</v>
          </cell>
          <cell r="D227" t="str">
            <v>Ej kraftvärme</v>
          </cell>
          <cell r="E227" t="str">
            <v/>
          </cell>
          <cell r="F227" t="str">
            <v/>
          </cell>
          <cell r="G227" t="str">
            <v/>
          </cell>
          <cell r="J227" t="str">
            <v>Njudung Energi Sävsjö AB</v>
          </cell>
        </row>
        <row r="228">
          <cell r="B228" t="str">
            <v>Sävsjö</v>
          </cell>
          <cell r="D228" t="str">
            <v>Ej kraftvärme</v>
          </cell>
          <cell r="E228" t="str">
            <v/>
          </cell>
          <cell r="F228" t="str">
            <v/>
          </cell>
          <cell r="G228" t="str">
            <v/>
          </cell>
          <cell r="J228" t="str">
            <v>Njudung Energi Sävsjö AB</v>
          </cell>
        </row>
        <row r="229">
          <cell r="B229" t="str">
            <v>Holsby</v>
          </cell>
          <cell r="D229" t="str">
            <v>Ej kraftvärme</v>
          </cell>
          <cell r="E229" t="str">
            <v/>
          </cell>
          <cell r="F229" t="str">
            <v/>
          </cell>
          <cell r="G229" t="str">
            <v/>
          </cell>
          <cell r="J229" t="str">
            <v>Njudung Energi Vetlanda AB</v>
          </cell>
        </row>
        <row r="230">
          <cell r="B230" t="str">
            <v>Vetlanda</v>
          </cell>
          <cell r="D230" t="str">
            <v>Alternativproduktionsmetoden</v>
          </cell>
          <cell r="E230">
            <v>0.67579137522768673</v>
          </cell>
          <cell r="F230">
            <v>15.4</v>
          </cell>
          <cell r="G230" t="str">
            <v/>
          </cell>
          <cell r="J230" t="str">
            <v>Njudung Energi Vetlanda AB</v>
          </cell>
        </row>
        <row r="231">
          <cell r="B231" t="str">
            <v>Nordanstig</v>
          </cell>
          <cell r="D231" t="str">
            <v>Ej kraftvärme</v>
          </cell>
          <cell r="E231" t="str">
            <v/>
          </cell>
          <cell r="F231" t="str">
            <v/>
          </cell>
          <cell r="G231" t="str">
            <v/>
          </cell>
          <cell r="J231" t="str">
            <v>Nordanstigs Fjärrvärme AB</v>
          </cell>
        </row>
        <row r="232">
          <cell r="B232" t="str">
            <v>Sundbyberg-Solna</v>
          </cell>
          <cell r="D232" t="str">
            <v>Ej kraftvärme</v>
          </cell>
          <cell r="E232" t="str">
            <v/>
          </cell>
          <cell r="F232" t="str">
            <v/>
          </cell>
          <cell r="G232">
            <v>4.4630000000000001</v>
          </cell>
          <cell r="J232" t="str">
            <v>Norrenergi AB</v>
          </cell>
        </row>
        <row r="233">
          <cell r="B233" t="str">
            <v>Hallstavik</v>
          </cell>
          <cell r="D233" t="str">
            <v>Ej kraftvärme</v>
          </cell>
          <cell r="E233" t="str">
            <v/>
          </cell>
          <cell r="F233" t="str">
            <v/>
          </cell>
          <cell r="G233" t="str">
            <v/>
          </cell>
          <cell r="J233" t="str">
            <v>Norrtälje Energi AB</v>
          </cell>
        </row>
        <row r="234">
          <cell r="B234" t="str">
            <v>Norrtälje</v>
          </cell>
          <cell r="D234" t="str">
            <v>Alternativproduktionsmetoden</v>
          </cell>
          <cell r="E234">
            <v>0.61068412279483264</v>
          </cell>
          <cell r="F234">
            <v>20.981999999999999</v>
          </cell>
          <cell r="G234" t="str">
            <v/>
          </cell>
          <cell r="J234" t="str">
            <v>Norrtälje Energi AB</v>
          </cell>
        </row>
        <row r="235">
          <cell r="B235" t="str">
            <v>Rimbo</v>
          </cell>
          <cell r="D235" t="str">
            <v>Ej kraftvärme</v>
          </cell>
          <cell r="E235" t="str">
            <v/>
          </cell>
          <cell r="F235" t="str">
            <v/>
          </cell>
          <cell r="G235" t="str">
            <v/>
          </cell>
          <cell r="J235" t="str">
            <v>Norrtälje Energi AB</v>
          </cell>
        </row>
        <row r="236">
          <cell r="B236" t="str">
            <v>Essunga</v>
          </cell>
          <cell r="D236" t="str">
            <v>Ej kraftvärme</v>
          </cell>
          <cell r="E236" t="str">
            <v/>
          </cell>
          <cell r="F236" t="str">
            <v/>
          </cell>
          <cell r="G236" t="str">
            <v/>
          </cell>
          <cell r="J236" t="str">
            <v>Nossebro Energi</v>
          </cell>
        </row>
        <row r="237">
          <cell r="B237" t="str">
            <v>Nybro stadsnät</v>
          </cell>
          <cell r="D237" t="str">
            <v>Alternativproduktionsmetoden</v>
          </cell>
          <cell r="E237">
            <v>0.75759549299556894</v>
          </cell>
          <cell r="F237">
            <v>16.399999999999999</v>
          </cell>
          <cell r="G237" t="str">
            <v/>
          </cell>
          <cell r="J237" t="str">
            <v>Nybro Energi AB</v>
          </cell>
        </row>
        <row r="238">
          <cell r="B238" t="str">
            <v>Anneberg</v>
          </cell>
          <cell r="D238" t="str">
            <v>Ej kraftvärme</v>
          </cell>
          <cell r="E238" t="str">
            <v/>
          </cell>
          <cell r="F238" t="str">
            <v/>
          </cell>
          <cell r="G238" t="str">
            <v/>
          </cell>
          <cell r="J238" t="str">
            <v>Nässjö Affärsverk AB</v>
          </cell>
        </row>
        <row r="239">
          <cell r="B239" t="str">
            <v>Bodafors</v>
          </cell>
          <cell r="D239" t="str">
            <v>Ej kraftvärme</v>
          </cell>
          <cell r="E239" t="str">
            <v/>
          </cell>
          <cell r="F239" t="str">
            <v/>
          </cell>
          <cell r="G239" t="str">
            <v/>
          </cell>
          <cell r="J239" t="str">
            <v>Nässjö Affärsverk AB</v>
          </cell>
        </row>
        <row r="240">
          <cell r="B240" t="str">
            <v>Nässjö</v>
          </cell>
          <cell r="D240" t="str">
            <v>Ej kraftvärme</v>
          </cell>
          <cell r="E240" t="str">
            <v/>
          </cell>
          <cell r="F240" t="str">
            <v/>
          </cell>
          <cell r="G240" t="str">
            <v/>
          </cell>
          <cell r="J240" t="str">
            <v>Nässjö Affärsverk AB</v>
          </cell>
        </row>
        <row r="241">
          <cell r="B241" t="str">
            <v>Olofström</v>
          </cell>
          <cell r="D241" t="str">
            <v>Ej kraftvärme</v>
          </cell>
          <cell r="E241" t="str">
            <v/>
          </cell>
          <cell r="F241" t="str">
            <v/>
          </cell>
          <cell r="G241" t="str">
            <v/>
          </cell>
          <cell r="J241" t="str">
            <v>Olofströms Kraft AB</v>
          </cell>
        </row>
        <row r="242">
          <cell r="B242" t="str">
            <v>Ellös fjärrvärmenät</v>
          </cell>
          <cell r="D242" t="str">
            <v>Ej kraftvärme</v>
          </cell>
          <cell r="E242" t="str">
            <v/>
          </cell>
          <cell r="F242" t="str">
            <v/>
          </cell>
          <cell r="G242" t="str">
            <v/>
          </cell>
          <cell r="J242" t="str">
            <v>Orust Kommun</v>
          </cell>
        </row>
        <row r="243">
          <cell r="B243" t="str">
            <v>Henåns fjärrvärmenät</v>
          </cell>
          <cell r="D243" t="str">
            <v>Ej kraftvärme</v>
          </cell>
          <cell r="E243" t="str">
            <v/>
          </cell>
          <cell r="F243" t="str">
            <v/>
          </cell>
          <cell r="G243" t="str">
            <v/>
          </cell>
          <cell r="J243" t="str">
            <v>Orust Kommun</v>
          </cell>
        </row>
        <row r="244">
          <cell r="B244" t="str">
            <v>Oskarshamn</v>
          </cell>
          <cell r="D244" t="str">
            <v>Alternativproduktionsmetoden</v>
          </cell>
          <cell r="E244">
            <v>0.82375851996105154</v>
          </cell>
          <cell r="F244">
            <v>14</v>
          </cell>
          <cell r="G244" t="str">
            <v/>
          </cell>
          <cell r="J244" t="str">
            <v>Oskarshamn Energi AB</v>
          </cell>
        </row>
        <row r="245">
          <cell r="B245" t="str">
            <v>Oxelösund</v>
          </cell>
          <cell r="D245" t="str">
            <v>Ej kraftvärme</v>
          </cell>
          <cell r="E245" t="str">
            <v/>
          </cell>
          <cell r="F245" t="str">
            <v/>
          </cell>
          <cell r="G245" t="str">
            <v/>
          </cell>
          <cell r="J245" t="str">
            <v>Oxelö Energi AB</v>
          </cell>
        </row>
        <row r="246">
          <cell r="B246" t="str">
            <v>Pajala</v>
          </cell>
          <cell r="D246" t="str">
            <v>Ej kraftvärme</v>
          </cell>
          <cell r="E246" t="str">
            <v/>
          </cell>
          <cell r="F246" t="str">
            <v/>
          </cell>
          <cell r="G246" t="str">
            <v/>
          </cell>
          <cell r="J246" t="str">
            <v>Pajala Värmeverk AB</v>
          </cell>
        </row>
        <row r="247">
          <cell r="B247" t="str">
            <v>Partille</v>
          </cell>
          <cell r="D247" t="str">
            <v>Ej kraftvärme</v>
          </cell>
          <cell r="E247" t="str">
            <v/>
          </cell>
          <cell r="F247" t="str">
            <v/>
          </cell>
          <cell r="G247" t="str">
            <v/>
          </cell>
          <cell r="J247" t="str">
            <v>Partille Energi</v>
          </cell>
        </row>
        <row r="248">
          <cell r="B248" t="str">
            <v>Peab Energi AB nät x</v>
          </cell>
          <cell r="D248" t="str">
            <v>Ej kraftvärme</v>
          </cell>
          <cell r="E248" t="str">
            <v/>
          </cell>
          <cell r="F248" t="str">
            <v/>
          </cell>
          <cell r="G248" t="str">
            <v/>
          </cell>
          <cell r="J248" t="str">
            <v>Peab Energi AB</v>
          </cell>
        </row>
        <row r="249">
          <cell r="B249" t="str">
            <v>Bångbro</v>
          </cell>
          <cell r="D249" t="str">
            <v>Ej kraftvärme</v>
          </cell>
          <cell r="E249" t="str">
            <v/>
          </cell>
          <cell r="F249" t="str">
            <v/>
          </cell>
          <cell r="G249" t="str">
            <v/>
          </cell>
          <cell r="J249" t="str">
            <v>Pemco Energi</v>
          </cell>
        </row>
        <row r="250">
          <cell r="B250" t="str">
            <v>Näsviken</v>
          </cell>
          <cell r="D250" t="str">
            <v>Ej kraftvärme</v>
          </cell>
          <cell r="E250" t="str">
            <v/>
          </cell>
          <cell r="F250" t="str">
            <v/>
          </cell>
          <cell r="G250" t="str">
            <v/>
          </cell>
          <cell r="J250" t="str">
            <v>Pemco Energi</v>
          </cell>
        </row>
        <row r="251">
          <cell r="B251" t="str">
            <v>Älvdalen (Pemco Energi)</v>
          </cell>
          <cell r="D251" t="str">
            <v>Ej kraftvärme</v>
          </cell>
          <cell r="E251" t="str">
            <v/>
          </cell>
          <cell r="F251" t="str">
            <v/>
          </cell>
          <cell r="G251" t="str">
            <v/>
          </cell>
          <cell r="J251" t="str">
            <v>Pemco Energi</v>
          </cell>
        </row>
        <row r="252">
          <cell r="B252" t="str">
            <v>Perstorp</v>
          </cell>
          <cell r="D252" t="str">
            <v>Ej kraftvärme</v>
          </cell>
          <cell r="E252" t="str">
            <v/>
          </cell>
          <cell r="F252" t="str">
            <v/>
          </cell>
          <cell r="G252" t="str">
            <v/>
          </cell>
          <cell r="J252" t="str">
            <v>Perstorps Fjärrvärme AB</v>
          </cell>
        </row>
        <row r="253">
          <cell r="B253" t="str">
            <v>Norrfjärden</v>
          </cell>
          <cell r="D253" t="str">
            <v>Ej kraftvärme</v>
          </cell>
          <cell r="E253" t="str">
            <v/>
          </cell>
          <cell r="F253" t="str">
            <v/>
          </cell>
          <cell r="G253" t="str">
            <v/>
          </cell>
          <cell r="J253" t="str">
            <v>PiteEnergi AB</v>
          </cell>
        </row>
        <row r="254">
          <cell r="B254" t="str">
            <v>Piteå</v>
          </cell>
          <cell r="D254" t="str">
            <v>Ej kraftvärme</v>
          </cell>
          <cell r="E254" t="str">
            <v/>
          </cell>
          <cell r="F254" t="str">
            <v/>
          </cell>
          <cell r="G254" t="str">
            <v/>
          </cell>
          <cell r="J254" t="str">
            <v>PiteEnergi AB</v>
          </cell>
        </row>
        <row r="255">
          <cell r="B255" t="str">
            <v>Rosvik</v>
          </cell>
          <cell r="D255" t="str">
            <v>Ej kraftvärme</v>
          </cell>
          <cell r="E255" t="str">
            <v/>
          </cell>
          <cell r="F255" t="str">
            <v/>
          </cell>
          <cell r="G255" t="str">
            <v/>
          </cell>
          <cell r="J255" t="str">
            <v>PiteEnergi AB</v>
          </cell>
        </row>
        <row r="256">
          <cell r="B256" t="str">
            <v>Sjulnäs</v>
          </cell>
          <cell r="D256" t="str">
            <v>Ej kraftvärme</v>
          </cell>
          <cell r="E256" t="str">
            <v/>
          </cell>
          <cell r="F256" t="str">
            <v/>
          </cell>
          <cell r="G256" t="str">
            <v/>
          </cell>
          <cell r="J256" t="str">
            <v>PiteEnergi AB</v>
          </cell>
        </row>
        <row r="257">
          <cell r="B257" t="str">
            <v>Aneby</v>
          </cell>
          <cell r="D257" t="str">
            <v>Ej kraftvärme</v>
          </cell>
          <cell r="E257" t="str">
            <v/>
          </cell>
          <cell r="F257" t="str">
            <v/>
          </cell>
          <cell r="G257" t="str">
            <v/>
          </cell>
          <cell r="J257" t="str">
            <v>POB Energi i Aneby AB</v>
          </cell>
        </row>
        <row r="258">
          <cell r="B258" t="str">
            <v>Hammarstrand</v>
          </cell>
          <cell r="D258" t="str">
            <v>Ej kraftvärme</v>
          </cell>
          <cell r="E258" t="str">
            <v/>
          </cell>
          <cell r="F258" t="str">
            <v/>
          </cell>
          <cell r="G258" t="str">
            <v/>
          </cell>
          <cell r="J258" t="str">
            <v>Ragunda Energi och Teknik AB</v>
          </cell>
        </row>
        <row r="259">
          <cell r="B259" t="str">
            <v>Filipstad</v>
          </cell>
          <cell r="D259" t="str">
            <v>Ej kraftvärme</v>
          </cell>
          <cell r="E259" t="str">
            <v/>
          </cell>
          <cell r="F259" t="str">
            <v/>
          </cell>
          <cell r="G259" t="str">
            <v/>
          </cell>
          <cell r="J259" t="str">
            <v>Rindi Energi AB</v>
          </cell>
        </row>
        <row r="260">
          <cell r="B260" t="str">
            <v>Flen</v>
          </cell>
          <cell r="D260" t="str">
            <v>Ej kraftvärme</v>
          </cell>
          <cell r="E260" t="str">
            <v/>
          </cell>
          <cell r="F260" t="str">
            <v/>
          </cell>
          <cell r="G260" t="str">
            <v/>
          </cell>
          <cell r="J260" t="str">
            <v>Rindi Energi AB</v>
          </cell>
        </row>
        <row r="261">
          <cell r="B261" t="str">
            <v>Gnesta</v>
          </cell>
          <cell r="D261" t="str">
            <v>Ej kraftvärme</v>
          </cell>
          <cell r="E261" t="str">
            <v/>
          </cell>
          <cell r="F261" t="str">
            <v/>
          </cell>
          <cell r="G261" t="str">
            <v/>
          </cell>
          <cell r="J261" t="str">
            <v>Rindi Energi AB</v>
          </cell>
        </row>
        <row r="262">
          <cell r="B262" t="str">
            <v>Hörby</v>
          </cell>
          <cell r="D262" t="str">
            <v>Ej kraftvärme</v>
          </cell>
          <cell r="E262" t="str">
            <v/>
          </cell>
          <cell r="F262" t="str">
            <v/>
          </cell>
          <cell r="G262" t="str">
            <v/>
          </cell>
          <cell r="J262" t="str">
            <v>Rindi Energi AB</v>
          </cell>
        </row>
        <row r="263">
          <cell r="B263" t="str">
            <v>Höör</v>
          </cell>
          <cell r="D263" t="str">
            <v>Ej kraftvärme</v>
          </cell>
          <cell r="E263" t="str">
            <v/>
          </cell>
          <cell r="F263" t="str">
            <v/>
          </cell>
          <cell r="G263" t="str">
            <v/>
          </cell>
          <cell r="J263" t="str">
            <v>Rindi Energi AB</v>
          </cell>
        </row>
        <row r="264">
          <cell r="B264" t="str">
            <v>Sjöbo</v>
          </cell>
          <cell r="D264" t="str">
            <v>Ej kraftvärme</v>
          </cell>
          <cell r="E264" t="str">
            <v/>
          </cell>
          <cell r="F264" t="str">
            <v/>
          </cell>
          <cell r="G264" t="str">
            <v/>
          </cell>
          <cell r="J264" t="str">
            <v>Rindi Energi AB</v>
          </cell>
        </row>
        <row r="265">
          <cell r="B265" t="str">
            <v>Storfors</v>
          </cell>
          <cell r="D265" t="str">
            <v>Ej kraftvärme</v>
          </cell>
          <cell r="E265" t="str">
            <v/>
          </cell>
          <cell r="F265" t="str">
            <v/>
          </cell>
          <cell r="G265" t="str">
            <v/>
          </cell>
          <cell r="J265" t="str">
            <v>Rindi Energi AB</v>
          </cell>
        </row>
        <row r="266">
          <cell r="B266" t="str">
            <v>Sunne</v>
          </cell>
          <cell r="D266" t="str">
            <v>Ej kraftvärme</v>
          </cell>
          <cell r="E266" t="str">
            <v/>
          </cell>
          <cell r="F266" t="str">
            <v/>
          </cell>
          <cell r="G266" t="str">
            <v/>
          </cell>
          <cell r="J266" t="str">
            <v>Rindi Energi AB</v>
          </cell>
        </row>
        <row r="267">
          <cell r="B267" t="str">
            <v>Tomelilla</v>
          </cell>
          <cell r="D267" t="str">
            <v>Ej kraftvärme</v>
          </cell>
          <cell r="E267" t="str">
            <v/>
          </cell>
          <cell r="F267" t="str">
            <v/>
          </cell>
          <cell r="G267" t="str">
            <v/>
          </cell>
          <cell r="J267" t="str">
            <v>Rindi Energi AB</v>
          </cell>
        </row>
        <row r="268">
          <cell r="B268" t="str">
            <v>Vadstena</v>
          </cell>
          <cell r="D268" t="str">
            <v>Ej kraftvärme</v>
          </cell>
          <cell r="E268" t="str">
            <v/>
          </cell>
          <cell r="F268" t="str">
            <v/>
          </cell>
          <cell r="G268" t="str">
            <v/>
          </cell>
          <cell r="J268" t="str">
            <v>Rindi Energi AB</v>
          </cell>
        </row>
        <row r="269">
          <cell r="B269" t="str">
            <v>Vansbro</v>
          </cell>
          <cell r="D269" t="str">
            <v>Ej kraftvärme</v>
          </cell>
          <cell r="E269" t="str">
            <v/>
          </cell>
          <cell r="F269" t="str">
            <v/>
          </cell>
          <cell r="G269" t="str">
            <v/>
          </cell>
          <cell r="J269" t="str">
            <v>Rindi Energi AB</v>
          </cell>
        </row>
        <row r="270">
          <cell r="B270" t="str">
            <v>Vingåker</v>
          </cell>
          <cell r="D270" t="str">
            <v>Ej kraftvärme</v>
          </cell>
          <cell r="E270" t="str">
            <v/>
          </cell>
          <cell r="F270" t="str">
            <v/>
          </cell>
          <cell r="G270" t="str">
            <v/>
          </cell>
          <cell r="J270" t="str">
            <v>Rindi Energi AB</v>
          </cell>
        </row>
        <row r="271">
          <cell r="B271" t="str">
            <v>Vårgårda</v>
          </cell>
          <cell r="D271" t="str">
            <v>Ej kraftvärme</v>
          </cell>
          <cell r="E271" t="str">
            <v/>
          </cell>
          <cell r="F271" t="str">
            <v/>
          </cell>
          <cell r="G271" t="str">
            <v/>
          </cell>
          <cell r="J271" t="str">
            <v>Rindi Energi AB</v>
          </cell>
        </row>
        <row r="272">
          <cell r="B272" t="str">
            <v>Älvdalen</v>
          </cell>
          <cell r="D272" t="str">
            <v>Ej kraftvärme</v>
          </cell>
          <cell r="E272" t="str">
            <v/>
          </cell>
          <cell r="F272" t="str">
            <v/>
          </cell>
          <cell r="G272" t="str">
            <v/>
          </cell>
          <cell r="J272" t="str">
            <v>Rindi Energi AB</v>
          </cell>
        </row>
        <row r="273">
          <cell r="B273" t="str">
            <v>Rindi Energi AB Filipstad  nät x</v>
          </cell>
          <cell r="D273" t="str">
            <v>Ej kraftvärme</v>
          </cell>
          <cell r="E273" t="str">
            <v/>
          </cell>
          <cell r="F273" t="str">
            <v/>
          </cell>
          <cell r="G273" t="str">
            <v/>
          </cell>
          <cell r="J273" t="str">
            <v xml:space="preserve">Rindi Energi AB Filipstad </v>
          </cell>
        </row>
        <row r="274">
          <cell r="B274" t="str">
            <v>Bräkne-Hoby</v>
          </cell>
          <cell r="D274" t="str">
            <v>Ej kraftvärme</v>
          </cell>
          <cell r="E274" t="str">
            <v/>
          </cell>
          <cell r="F274" t="str">
            <v/>
          </cell>
          <cell r="G274" t="str">
            <v/>
          </cell>
          <cell r="J274" t="str">
            <v>Ronneby Miljö och Teknik AB</v>
          </cell>
        </row>
        <row r="275">
          <cell r="B275" t="str">
            <v>Ronneby-Kallinge</v>
          </cell>
          <cell r="D275" t="str">
            <v>Ej kraftvärme</v>
          </cell>
          <cell r="E275" t="str">
            <v/>
          </cell>
          <cell r="F275" t="str">
            <v/>
          </cell>
          <cell r="G275" t="str">
            <v/>
          </cell>
          <cell r="J275" t="str">
            <v>Ronneby Miljö och Teknik AB</v>
          </cell>
        </row>
        <row r="276">
          <cell r="B276" t="str">
            <v>Rättvik</v>
          </cell>
          <cell r="D276" t="str">
            <v>Ej kraftvärme</v>
          </cell>
          <cell r="E276" t="str">
            <v/>
          </cell>
          <cell r="F276" t="str">
            <v/>
          </cell>
          <cell r="G276" t="str">
            <v/>
          </cell>
          <cell r="J276" t="str">
            <v>Rättviks Teknik AB</v>
          </cell>
        </row>
        <row r="277">
          <cell r="B277" t="str">
            <v>Sala-Heby</v>
          </cell>
          <cell r="D277" t="str">
            <v>Alternativproduktionsmetoden</v>
          </cell>
          <cell r="E277">
            <v>0.60079423092954098</v>
          </cell>
          <cell r="F277">
            <v>23.61</v>
          </cell>
          <cell r="G277" t="str">
            <v/>
          </cell>
          <cell r="J277" t="str">
            <v>Sala-Heby Energi AB</v>
          </cell>
        </row>
        <row r="278">
          <cell r="B278" t="str">
            <v>Sandviken</v>
          </cell>
          <cell r="D278" t="str">
            <v>Ej kraftvärme</v>
          </cell>
          <cell r="E278" t="str">
            <v/>
          </cell>
          <cell r="F278" t="str">
            <v/>
          </cell>
          <cell r="G278" t="str">
            <v/>
          </cell>
          <cell r="J278" t="str">
            <v>Sandviken Energi AB</v>
          </cell>
        </row>
        <row r="279">
          <cell r="B279" t="str">
            <v>Skara</v>
          </cell>
          <cell r="D279" t="str">
            <v>Ej kraftvärme</v>
          </cell>
          <cell r="E279" t="str">
            <v/>
          </cell>
          <cell r="F279" t="str">
            <v/>
          </cell>
          <cell r="G279" t="str">
            <v/>
          </cell>
          <cell r="J279" t="str">
            <v>Skara Energi AB</v>
          </cell>
        </row>
        <row r="280">
          <cell r="B280" t="str">
            <v>Boliden</v>
          </cell>
          <cell r="D280" t="str">
            <v>Ej kraftvärme</v>
          </cell>
          <cell r="E280" t="str">
            <v/>
          </cell>
          <cell r="F280" t="str">
            <v/>
          </cell>
          <cell r="G280" t="str">
            <v/>
          </cell>
          <cell r="J280" t="str">
            <v>Skellefteå Kraft AB</v>
          </cell>
        </row>
        <row r="281">
          <cell r="B281" t="str">
            <v>Bureå</v>
          </cell>
          <cell r="D281" t="str">
            <v>Ej kraftvärme</v>
          </cell>
          <cell r="E281" t="str">
            <v/>
          </cell>
          <cell r="F281" t="str">
            <v/>
          </cell>
          <cell r="G281" t="str">
            <v/>
          </cell>
          <cell r="J281" t="str">
            <v>Skellefteå Kraft AB</v>
          </cell>
        </row>
        <row r="282">
          <cell r="B282" t="str">
            <v>Burträsk</v>
          </cell>
          <cell r="D282" t="str">
            <v>Ej kraftvärme</v>
          </cell>
          <cell r="E282" t="str">
            <v/>
          </cell>
          <cell r="F282" t="str">
            <v/>
          </cell>
          <cell r="G282" t="str">
            <v/>
          </cell>
          <cell r="J282" t="str">
            <v>Skellefteå Kraft AB</v>
          </cell>
        </row>
        <row r="283">
          <cell r="B283" t="str">
            <v>Byske</v>
          </cell>
          <cell r="D283" t="str">
            <v>Ej kraftvärme</v>
          </cell>
          <cell r="E283" t="str">
            <v/>
          </cell>
          <cell r="F283" t="str">
            <v/>
          </cell>
          <cell r="G283" t="str">
            <v/>
          </cell>
          <cell r="J283" t="str">
            <v>Skellefteå Kraft AB</v>
          </cell>
        </row>
        <row r="284">
          <cell r="B284" t="str">
            <v>Jörn</v>
          </cell>
          <cell r="D284" t="str">
            <v>Ej kraftvärme</v>
          </cell>
          <cell r="E284" t="str">
            <v/>
          </cell>
          <cell r="F284" t="str">
            <v/>
          </cell>
          <cell r="G284" t="str">
            <v/>
          </cell>
          <cell r="J284" t="str">
            <v>Skellefteå Kraft AB</v>
          </cell>
        </row>
        <row r="285">
          <cell r="B285" t="str">
            <v>Kristineberg - Ej Fjärrvärme</v>
          </cell>
          <cell r="D285" t="str">
            <v>Ej kraftvärme</v>
          </cell>
          <cell r="E285" t="str">
            <v/>
          </cell>
          <cell r="F285" t="str">
            <v/>
          </cell>
          <cell r="G285" t="str">
            <v/>
          </cell>
          <cell r="J285" t="str">
            <v>Skellefteå Kraft AB</v>
          </cell>
        </row>
        <row r="286">
          <cell r="B286" t="str">
            <v>Kåge</v>
          </cell>
          <cell r="D286" t="str">
            <v>Ej kraftvärme</v>
          </cell>
          <cell r="E286" t="str">
            <v/>
          </cell>
          <cell r="F286" t="str">
            <v/>
          </cell>
          <cell r="G286" t="str">
            <v/>
          </cell>
          <cell r="J286" t="str">
            <v>Skellefteå Kraft AB</v>
          </cell>
        </row>
        <row r="287">
          <cell r="B287" t="str">
            <v>Lidbacken</v>
          </cell>
          <cell r="D287" t="str">
            <v>Ej kraftvärme</v>
          </cell>
          <cell r="E287" t="str">
            <v/>
          </cell>
          <cell r="F287" t="str">
            <v/>
          </cell>
          <cell r="G287" t="str">
            <v/>
          </cell>
          <cell r="J287" t="str">
            <v>Skellefteå Kraft AB</v>
          </cell>
        </row>
        <row r="288">
          <cell r="B288" t="str">
            <v>Lycksele</v>
          </cell>
          <cell r="D288" t="str">
            <v>Alternativproduktionsmetoden</v>
          </cell>
          <cell r="E288">
            <v>0.49242054587547213</v>
          </cell>
          <cell r="F288">
            <v>43.264000000000003</v>
          </cell>
          <cell r="G288" t="str">
            <v/>
          </cell>
          <cell r="J288" t="str">
            <v>Skellefteå Kraft AB</v>
          </cell>
        </row>
        <row r="289">
          <cell r="B289" t="str">
            <v>Lövånger</v>
          </cell>
          <cell r="D289" t="str">
            <v>Ej kraftvärme</v>
          </cell>
          <cell r="E289" t="str">
            <v/>
          </cell>
          <cell r="F289" t="str">
            <v/>
          </cell>
          <cell r="G289" t="str">
            <v/>
          </cell>
          <cell r="J289" t="str">
            <v>Skellefteå Kraft AB</v>
          </cell>
        </row>
        <row r="290">
          <cell r="B290" t="str">
            <v>Malå</v>
          </cell>
          <cell r="D290" t="str">
            <v>Alternativproduktionsmetoden</v>
          </cell>
          <cell r="E290">
            <v>0.62752659007461808</v>
          </cell>
          <cell r="F290">
            <v>17.312999999999999</v>
          </cell>
          <cell r="G290" t="str">
            <v/>
          </cell>
          <cell r="J290" t="str">
            <v>Skellefteå Kraft AB</v>
          </cell>
        </row>
        <row r="291">
          <cell r="B291" t="str">
            <v>Norsjö</v>
          </cell>
          <cell r="D291" t="str">
            <v>Ej kraftvärme</v>
          </cell>
          <cell r="E291" t="str">
            <v/>
          </cell>
          <cell r="F291" t="str">
            <v/>
          </cell>
          <cell r="G291" t="str">
            <v/>
          </cell>
          <cell r="J291" t="str">
            <v>Skellefteå Kraft AB</v>
          </cell>
        </row>
        <row r="292">
          <cell r="B292" t="str">
            <v>Robertsfors</v>
          </cell>
          <cell r="D292" t="str">
            <v>Ej kraftvärme</v>
          </cell>
          <cell r="E292" t="str">
            <v/>
          </cell>
          <cell r="F292" t="str">
            <v/>
          </cell>
          <cell r="G292" t="str">
            <v/>
          </cell>
          <cell r="J292" t="str">
            <v>Skellefteå Kraft AB</v>
          </cell>
        </row>
        <row r="293">
          <cell r="B293" t="str">
            <v>Skellefteå</v>
          </cell>
          <cell r="D293" t="str">
            <v>Alternativproduktionsmetoden</v>
          </cell>
          <cell r="E293">
            <v>0.47517474623427625</v>
          </cell>
          <cell r="F293">
            <v>117.483</v>
          </cell>
          <cell r="G293" t="str">
            <v/>
          </cell>
          <cell r="J293" t="str">
            <v>Skellefteå Kraft AB</v>
          </cell>
        </row>
        <row r="294">
          <cell r="B294" t="str">
            <v>Storuman</v>
          </cell>
          <cell r="D294" t="str">
            <v>Ej kraftvärme</v>
          </cell>
          <cell r="E294" t="str">
            <v/>
          </cell>
          <cell r="F294" t="str">
            <v/>
          </cell>
          <cell r="G294" t="str">
            <v/>
          </cell>
          <cell r="J294" t="str">
            <v>Skellefteå Kraft AB</v>
          </cell>
        </row>
        <row r="295">
          <cell r="B295" t="str">
            <v>Ursviken-Skelleftehamn</v>
          </cell>
          <cell r="D295" t="str">
            <v>Ej kraftvärme</v>
          </cell>
          <cell r="E295" t="str">
            <v/>
          </cell>
          <cell r="F295" t="str">
            <v/>
          </cell>
          <cell r="G295" t="str">
            <v/>
          </cell>
          <cell r="J295" t="str">
            <v>Skellefteå Kraft AB</v>
          </cell>
        </row>
        <row r="296">
          <cell r="B296" t="str">
            <v>Vindeln</v>
          </cell>
          <cell r="D296" t="str">
            <v>Ej kraftvärme</v>
          </cell>
          <cell r="E296" t="str">
            <v/>
          </cell>
          <cell r="F296" t="str">
            <v/>
          </cell>
          <cell r="G296" t="str">
            <v/>
          </cell>
          <cell r="J296" t="str">
            <v>Skellefteå Kraft AB</v>
          </cell>
        </row>
        <row r="297">
          <cell r="B297" t="str">
            <v>Ånäset</v>
          </cell>
          <cell r="D297" t="str">
            <v>Ej kraftvärme</v>
          </cell>
          <cell r="E297" t="str">
            <v/>
          </cell>
          <cell r="F297" t="str">
            <v/>
          </cell>
          <cell r="G297" t="str">
            <v/>
          </cell>
          <cell r="J297" t="str">
            <v>Skellefteå Kraft AB</v>
          </cell>
        </row>
        <row r="298">
          <cell r="B298" t="str">
            <v>Skultorp</v>
          </cell>
          <cell r="D298" t="str">
            <v>Ej kraftvärme</v>
          </cell>
          <cell r="E298" t="str">
            <v/>
          </cell>
          <cell r="F298" t="str">
            <v/>
          </cell>
          <cell r="G298" t="str">
            <v/>
          </cell>
          <cell r="J298" t="str">
            <v>Skövde Värmeverk AB</v>
          </cell>
        </row>
        <row r="299">
          <cell r="B299" t="str">
            <v>Skövde</v>
          </cell>
          <cell r="D299" t="str">
            <v>Alternativproduktionsmetoden</v>
          </cell>
          <cell r="E299">
            <v>0.76427326472389434</v>
          </cell>
          <cell r="F299">
            <v>34.194000000000003</v>
          </cell>
          <cell r="G299" t="str">
            <v/>
          </cell>
          <cell r="J299" t="str">
            <v>Skövde Värmeverk AB</v>
          </cell>
        </row>
        <row r="300">
          <cell r="B300" t="str">
            <v>Stöpen</v>
          </cell>
          <cell r="D300" t="str">
            <v>Ej kraftvärme</v>
          </cell>
          <cell r="E300" t="str">
            <v/>
          </cell>
          <cell r="F300" t="str">
            <v/>
          </cell>
          <cell r="G300" t="str">
            <v/>
          </cell>
          <cell r="J300" t="str">
            <v>Skövde Värmeverk AB</v>
          </cell>
        </row>
        <row r="301">
          <cell r="B301" t="str">
            <v>Tidan</v>
          </cell>
          <cell r="D301" t="str">
            <v>Ej kraftvärme</v>
          </cell>
          <cell r="E301" t="str">
            <v/>
          </cell>
          <cell r="F301" t="str">
            <v/>
          </cell>
          <cell r="G301" t="str">
            <v/>
          </cell>
          <cell r="J301" t="str">
            <v>Skövde Värmeverk AB</v>
          </cell>
        </row>
        <row r="302">
          <cell r="B302" t="str">
            <v>Timmersdala</v>
          </cell>
          <cell r="D302" t="str">
            <v>Ej kraftvärme</v>
          </cell>
          <cell r="E302" t="str">
            <v/>
          </cell>
          <cell r="F302" t="str">
            <v/>
          </cell>
          <cell r="G302" t="str">
            <v/>
          </cell>
          <cell r="J302" t="str">
            <v>Skövde Värmeverk AB</v>
          </cell>
        </row>
        <row r="303">
          <cell r="B303" t="str">
            <v>Smedjebacken</v>
          </cell>
          <cell r="D303" t="str">
            <v>Ej kraftvärme</v>
          </cell>
          <cell r="E303" t="str">
            <v/>
          </cell>
          <cell r="F303" t="str">
            <v/>
          </cell>
          <cell r="G303" t="str">
            <v/>
          </cell>
          <cell r="J303" t="str">
            <v>Smedjebacken Energi AB</v>
          </cell>
        </row>
        <row r="304">
          <cell r="B304" t="str">
            <v>Söderbärke</v>
          </cell>
          <cell r="D304" t="str">
            <v>Ej kraftvärme</v>
          </cell>
          <cell r="E304" t="str">
            <v/>
          </cell>
          <cell r="F304" t="str">
            <v/>
          </cell>
          <cell r="G304" t="str">
            <v/>
          </cell>
          <cell r="J304" t="str">
            <v>Smedjebacken Energi AB</v>
          </cell>
        </row>
        <row r="305">
          <cell r="B305" t="str">
            <v>Sollentuna</v>
          </cell>
          <cell r="D305" t="str">
            <v>Ej kraftvärme</v>
          </cell>
          <cell r="E305" t="str">
            <v/>
          </cell>
          <cell r="F305" t="str">
            <v/>
          </cell>
          <cell r="G305" t="str">
            <v/>
          </cell>
          <cell r="J305" t="str">
            <v>Sollentuna Energi och Miljö AB</v>
          </cell>
        </row>
        <row r="306">
          <cell r="B306" t="str">
            <v>Dorotea</v>
          </cell>
          <cell r="D306" t="str">
            <v>Ej kraftvärme</v>
          </cell>
          <cell r="E306" t="str">
            <v/>
          </cell>
          <cell r="F306" t="str">
            <v/>
          </cell>
          <cell r="G306" t="str">
            <v/>
          </cell>
          <cell r="J306" t="str">
            <v>Solör Bioenergi Fjärrvärme AB (ej medlem)</v>
          </cell>
        </row>
        <row r="307">
          <cell r="B307" t="str">
            <v>Härjedalen</v>
          </cell>
          <cell r="D307" t="str">
            <v>Ej kraftvärme</v>
          </cell>
          <cell r="E307" t="str">
            <v/>
          </cell>
          <cell r="F307" t="str">
            <v/>
          </cell>
          <cell r="G307" t="str">
            <v/>
          </cell>
          <cell r="J307" t="str">
            <v>Solör Bioenergi Fjärrvärme AB (ej medlem)</v>
          </cell>
        </row>
        <row r="308">
          <cell r="B308" t="str">
            <v>Härryda</v>
          </cell>
          <cell r="D308" t="str">
            <v>Ej kraftvärme</v>
          </cell>
          <cell r="E308" t="str">
            <v/>
          </cell>
          <cell r="F308" t="str">
            <v/>
          </cell>
          <cell r="G308" t="str">
            <v/>
          </cell>
          <cell r="J308" t="str">
            <v>Solör Bioenergi Fjärrvärme AB (ej medlem)</v>
          </cell>
        </row>
        <row r="309">
          <cell r="B309" t="str">
            <v>Markaryd</v>
          </cell>
          <cell r="D309" t="str">
            <v>Ej kraftvärme</v>
          </cell>
          <cell r="E309" t="str">
            <v/>
          </cell>
          <cell r="F309" t="str">
            <v/>
          </cell>
          <cell r="G309" t="str">
            <v/>
          </cell>
          <cell r="J309" t="str">
            <v>Solör Bioenergi Fjärrvärme AB (ej medlem)</v>
          </cell>
        </row>
        <row r="310">
          <cell r="B310" t="str">
            <v>Mönsterås</v>
          </cell>
          <cell r="D310" t="str">
            <v>Ej kraftvärme</v>
          </cell>
          <cell r="E310" t="str">
            <v/>
          </cell>
          <cell r="F310" t="str">
            <v/>
          </cell>
          <cell r="G310" t="str">
            <v/>
          </cell>
          <cell r="J310" t="str">
            <v>Solör Bioenergi Fjärrvärme AB (ej medlem)</v>
          </cell>
        </row>
        <row r="311">
          <cell r="B311" t="str">
            <v>Nora</v>
          </cell>
          <cell r="D311" t="str">
            <v>Ej kraftvärme</v>
          </cell>
          <cell r="E311" t="str">
            <v/>
          </cell>
          <cell r="F311" t="str">
            <v/>
          </cell>
          <cell r="G311" t="str">
            <v/>
          </cell>
          <cell r="J311" t="str">
            <v>Solör Bioenergi Fjärrvärme AB (ej medlem)</v>
          </cell>
        </row>
        <row r="312">
          <cell r="B312" t="str">
            <v>Nordmaling</v>
          </cell>
          <cell r="D312" t="str">
            <v>Ej kraftvärme</v>
          </cell>
          <cell r="E312" t="str">
            <v/>
          </cell>
          <cell r="F312" t="str">
            <v/>
          </cell>
          <cell r="G312" t="str">
            <v/>
          </cell>
          <cell r="J312" t="str">
            <v>Solör Bioenergi Fjärrvärme AB (ej medlem)</v>
          </cell>
        </row>
        <row r="313">
          <cell r="B313" t="str">
            <v>Svalöv</v>
          </cell>
          <cell r="D313" t="str">
            <v>Ej kraftvärme</v>
          </cell>
          <cell r="E313" t="str">
            <v/>
          </cell>
          <cell r="F313" t="str">
            <v/>
          </cell>
          <cell r="G313" t="str">
            <v/>
          </cell>
          <cell r="J313" t="str">
            <v>Solör Bioenergi Fjärrvärme AB (ej medlem)</v>
          </cell>
        </row>
        <row r="314">
          <cell r="B314" t="str">
            <v>Sveg</v>
          </cell>
          <cell r="D314" t="str">
            <v>Ej kraftvärme</v>
          </cell>
          <cell r="E314" t="str">
            <v/>
          </cell>
          <cell r="F314" t="str">
            <v/>
          </cell>
          <cell r="G314" t="str">
            <v/>
          </cell>
          <cell r="J314" t="str">
            <v>Solör Bioenergi Fjärrvärme AB (ej medlem)</v>
          </cell>
        </row>
        <row r="315">
          <cell r="B315" t="str">
            <v>Vilhelmina</v>
          </cell>
          <cell r="D315" t="str">
            <v>Ej kraftvärme</v>
          </cell>
          <cell r="E315" t="str">
            <v/>
          </cell>
          <cell r="F315" t="str">
            <v/>
          </cell>
          <cell r="G315" t="str">
            <v/>
          </cell>
          <cell r="J315" t="str">
            <v>Solör Bioenergi Fjärrvärme AB (ej medlem)</v>
          </cell>
        </row>
        <row r="316">
          <cell r="B316" t="str">
            <v>Vännäs</v>
          </cell>
          <cell r="D316" t="str">
            <v>Ej kraftvärme</v>
          </cell>
          <cell r="E316" t="str">
            <v/>
          </cell>
          <cell r="F316" t="str">
            <v/>
          </cell>
          <cell r="G316" t="str">
            <v/>
          </cell>
          <cell r="J316" t="str">
            <v>Solör Bioenergi Fjärrvärme AB (ej medlem)</v>
          </cell>
        </row>
        <row r="317">
          <cell r="B317" t="str">
            <v>Svenljunga</v>
          </cell>
          <cell r="D317" t="str">
            <v>Ej kraftvärme</v>
          </cell>
          <cell r="E317" t="str">
            <v/>
          </cell>
          <cell r="F317" t="str">
            <v/>
          </cell>
          <cell r="G317" t="str">
            <v/>
          </cell>
          <cell r="J317" t="str">
            <v>Solör Bioenergi Svenljunga AB</v>
          </cell>
        </row>
        <row r="318">
          <cell r="B318" t="str">
            <v>Sorsele</v>
          </cell>
          <cell r="D318" t="str">
            <v>Ej kraftvärme</v>
          </cell>
          <cell r="E318" t="str">
            <v/>
          </cell>
          <cell r="F318" t="str">
            <v/>
          </cell>
          <cell r="G318" t="str">
            <v/>
          </cell>
          <cell r="J318" t="str">
            <v xml:space="preserve">Sorsele Värmeverk AB </v>
          </cell>
        </row>
        <row r="319">
          <cell r="B319" t="str">
            <v>Kungsbacka</v>
          </cell>
          <cell r="D319" t="str">
            <v>Ej kraftvärme</v>
          </cell>
          <cell r="E319" t="str">
            <v/>
          </cell>
          <cell r="F319" t="str">
            <v/>
          </cell>
          <cell r="G319" t="str">
            <v/>
          </cell>
          <cell r="J319" t="str">
            <v>Statkraft Värme AB</v>
          </cell>
        </row>
        <row r="320">
          <cell r="B320" t="str">
            <v>Trosa</v>
          </cell>
          <cell r="D320" t="str">
            <v>Ej kraftvärme</v>
          </cell>
          <cell r="E320" t="str">
            <v/>
          </cell>
          <cell r="F320" t="str">
            <v/>
          </cell>
          <cell r="G320" t="str">
            <v/>
          </cell>
          <cell r="J320" t="str">
            <v>Statkraft Värme AB</v>
          </cell>
        </row>
        <row r="321">
          <cell r="B321" t="str">
            <v>Vagnhärad</v>
          </cell>
          <cell r="D321" t="str">
            <v>Ej kraftvärme</v>
          </cell>
          <cell r="E321" t="str">
            <v/>
          </cell>
          <cell r="F321" t="str">
            <v/>
          </cell>
          <cell r="G321" t="str">
            <v/>
          </cell>
          <cell r="J321" t="str">
            <v>Statkraft Värme AB</v>
          </cell>
        </row>
        <row r="322">
          <cell r="B322" t="str">
            <v>Åmål</v>
          </cell>
          <cell r="D322" t="str">
            <v>Ej kraftvärme</v>
          </cell>
          <cell r="E322" t="str">
            <v/>
          </cell>
          <cell r="F322" t="str">
            <v/>
          </cell>
          <cell r="G322" t="str">
            <v/>
          </cell>
          <cell r="J322" t="str">
            <v>Statkraft Värme AB</v>
          </cell>
        </row>
        <row r="323">
          <cell r="B323" t="str">
            <v>Stenungsund</v>
          </cell>
          <cell r="D323" t="str">
            <v>Ej kraftvärme</v>
          </cell>
          <cell r="E323" t="str">
            <v/>
          </cell>
          <cell r="F323" t="str">
            <v/>
          </cell>
          <cell r="G323" t="str">
            <v/>
          </cell>
          <cell r="J323" t="str">
            <v>Stenungsunds Energi &amp; Miljö AB</v>
          </cell>
        </row>
        <row r="324">
          <cell r="B324" t="str">
            <v>Stora Höga</v>
          </cell>
          <cell r="D324" t="str">
            <v>Ej kraftvärme</v>
          </cell>
          <cell r="E324" t="str">
            <v/>
          </cell>
          <cell r="F324" t="str">
            <v/>
          </cell>
          <cell r="G324" t="str">
            <v/>
          </cell>
          <cell r="J324" t="str">
            <v>Stenungsunds Energi &amp; Miljö AB</v>
          </cell>
        </row>
        <row r="325">
          <cell r="B325" t="str">
            <v>Lidingö (för prisrapport)</v>
          </cell>
          <cell r="D325" t="str">
            <v>Ej kraftvärme</v>
          </cell>
          <cell r="E325" t="str">
            <v/>
          </cell>
          <cell r="F325" t="str">
            <v/>
          </cell>
          <cell r="G325" t="str">
            <v/>
          </cell>
          <cell r="J325" t="str">
            <v>Stockholm Exergi AB</v>
          </cell>
        </row>
        <row r="326">
          <cell r="B326" t="str">
            <v>Nacka (för prisrapport)</v>
          </cell>
          <cell r="D326" t="str">
            <v>Ej kraftvärme</v>
          </cell>
          <cell r="E326" t="str">
            <v/>
          </cell>
          <cell r="F326" t="str">
            <v/>
          </cell>
          <cell r="G326" t="str">
            <v/>
          </cell>
          <cell r="J326" t="str">
            <v>Stockholm Exergi AB</v>
          </cell>
        </row>
        <row r="327">
          <cell r="B327" t="str">
            <v>Sigtuna (för prisrapport)</v>
          </cell>
          <cell r="D327" t="str">
            <v>Ej kraftvärme</v>
          </cell>
          <cell r="E327" t="str">
            <v/>
          </cell>
          <cell r="F327" t="str">
            <v/>
          </cell>
          <cell r="G327" t="str">
            <v/>
          </cell>
          <cell r="J327" t="str">
            <v>Stockholm Exergi AB</v>
          </cell>
        </row>
        <row r="328">
          <cell r="B328" t="str">
            <v>Stockholm</v>
          </cell>
          <cell r="D328" t="str">
            <v>Alternativproduktionsmetoden</v>
          </cell>
          <cell r="E328">
            <v>0.45844984130843613</v>
          </cell>
          <cell r="F328">
            <v>1682.6120000000001</v>
          </cell>
          <cell r="G328">
            <v>789.33</v>
          </cell>
          <cell r="J328" t="str">
            <v>Stockholm Exergi AB</v>
          </cell>
        </row>
        <row r="329">
          <cell r="B329" t="str">
            <v>Stockholm – Aktiv (för prisrapport)</v>
          </cell>
          <cell r="D329" t="str">
            <v>Ej kraftvärme</v>
          </cell>
          <cell r="E329" t="str">
            <v/>
          </cell>
          <cell r="F329" t="str">
            <v/>
          </cell>
          <cell r="G329" t="str">
            <v/>
          </cell>
          <cell r="J329" t="str">
            <v>Stockholm Exergi AB</v>
          </cell>
        </row>
        <row r="330">
          <cell r="B330" t="str">
            <v>Stockholm - Förskottsbetalning 24 (för prissättnin</v>
          </cell>
          <cell r="D330" t="str">
            <v>Ej kraftvärme</v>
          </cell>
          <cell r="E330" t="str">
            <v/>
          </cell>
          <cell r="F330" t="str">
            <v/>
          </cell>
          <cell r="G330" t="str">
            <v/>
          </cell>
          <cell r="J330" t="str">
            <v>Stockholm Exergi AB</v>
          </cell>
        </row>
        <row r="331">
          <cell r="B331" t="str">
            <v>Stockholm - Förskottsbetalning 60 (för prissättnin</v>
          </cell>
          <cell r="D331" t="str">
            <v>Ej kraftvärme</v>
          </cell>
          <cell r="E331" t="str">
            <v/>
          </cell>
          <cell r="F331" t="str">
            <v/>
          </cell>
          <cell r="G331" t="str">
            <v/>
          </cell>
          <cell r="J331" t="str">
            <v>Stockholm Exergi AB</v>
          </cell>
        </row>
        <row r="332">
          <cell r="B332" t="str">
            <v>Stockholm – Invest24 (för prisrapport)</v>
          </cell>
          <cell r="D332" t="str">
            <v>Ej kraftvärme</v>
          </cell>
          <cell r="E332" t="str">
            <v/>
          </cell>
          <cell r="F332" t="str">
            <v/>
          </cell>
          <cell r="G332" t="str">
            <v/>
          </cell>
          <cell r="J332" t="str">
            <v>Stockholm Exergi AB</v>
          </cell>
        </row>
        <row r="333">
          <cell r="B333" t="str">
            <v>Stockholm – Invest60 (för prisrapport)</v>
          </cell>
          <cell r="D333" t="str">
            <v>Ej kraftvärme</v>
          </cell>
          <cell r="E333" t="str">
            <v/>
          </cell>
          <cell r="F333" t="str">
            <v/>
          </cell>
          <cell r="G333" t="str">
            <v/>
          </cell>
          <cell r="J333" t="str">
            <v>Stockholm Exergi AB</v>
          </cell>
        </row>
        <row r="334">
          <cell r="B334" t="str">
            <v>Stockholm (för prissättning)</v>
          </cell>
          <cell r="D334" t="str">
            <v>Ej kraftvärme</v>
          </cell>
          <cell r="E334" t="str">
            <v/>
          </cell>
          <cell r="F334" t="str">
            <v/>
          </cell>
          <cell r="G334" t="str">
            <v/>
          </cell>
          <cell r="J334" t="str">
            <v>Stockholm Exergi AB</v>
          </cell>
        </row>
        <row r="335">
          <cell r="B335" t="str">
            <v>Täby</v>
          </cell>
          <cell r="D335" t="str">
            <v>Ej kraftvärme</v>
          </cell>
          <cell r="E335" t="str">
            <v/>
          </cell>
          <cell r="F335" t="str">
            <v/>
          </cell>
          <cell r="G335" t="str">
            <v/>
          </cell>
          <cell r="J335" t="str">
            <v>Stockholm Exergi AB</v>
          </cell>
        </row>
        <row r="336">
          <cell r="B336" t="str">
            <v>Upplands Väsby (för prisrapport)</v>
          </cell>
          <cell r="D336" t="str">
            <v>Ej kraftvärme</v>
          </cell>
          <cell r="E336" t="str">
            <v/>
          </cell>
          <cell r="F336" t="str">
            <v/>
          </cell>
          <cell r="G336" t="str">
            <v/>
          </cell>
          <cell r="J336" t="str">
            <v>Stockholm Exergi AB</v>
          </cell>
        </row>
        <row r="337">
          <cell r="B337" t="str">
            <v>Strängnäs</v>
          </cell>
          <cell r="D337" t="str">
            <v>Alternativproduktionsmetoden</v>
          </cell>
          <cell r="E337">
            <v>0.65234871805076056</v>
          </cell>
          <cell r="F337">
            <v>28.472999999999999</v>
          </cell>
          <cell r="G337" t="str">
            <v/>
          </cell>
          <cell r="J337" t="str">
            <v>Strängnäs Energi AB, SEVAB</v>
          </cell>
        </row>
        <row r="338">
          <cell r="B338" t="str">
            <v>Strömstad</v>
          </cell>
          <cell r="D338" t="str">
            <v>Ej kraftvärme</v>
          </cell>
          <cell r="E338" t="str">
            <v/>
          </cell>
          <cell r="F338" t="str">
            <v/>
          </cell>
          <cell r="G338" t="str">
            <v/>
          </cell>
          <cell r="J338" t="str">
            <v>Strömstads Kommun</v>
          </cell>
        </row>
        <row r="339">
          <cell r="B339" t="str">
            <v>Kvissleby</v>
          </cell>
          <cell r="D339" t="str">
            <v>Ej kraftvärme</v>
          </cell>
          <cell r="E339" t="str">
            <v/>
          </cell>
          <cell r="F339" t="str">
            <v/>
          </cell>
          <cell r="G339" t="str">
            <v/>
          </cell>
          <cell r="J339" t="str">
            <v>Sundsvall Energi AB</v>
          </cell>
        </row>
        <row r="340">
          <cell r="B340" t="str">
            <v>Matfors</v>
          </cell>
          <cell r="D340" t="str">
            <v>Ej kraftvärme</v>
          </cell>
          <cell r="E340" t="str">
            <v/>
          </cell>
          <cell r="F340" t="str">
            <v/>
          </cell>
          <cell r="G340" t="str">
            <v/>
          </cell>
          <cell r="J340" t="str">
            <v>Sundsvall Energi AB</v>
          </cell>
        </row>
        <row r="341">
          <cell r="B341" t="str">
            <v>Sundsvall</v>
          </cell>
          <cell r="D341" t="str">
            <v>Alternativproduktionsmetoden</v>
          </cell>
          <cell r="E341">
            <v>0.54501388904636106</v>
          </cell>
          <cell r="F341">
            <v>42.973999999999997</v>
          </cell>
          <cell r="G341">
            <v>74.744</v>
          </cell>
          <cell r="J341" t="str">
            <v>Sundsvall Energi AB</v>
          </cell>
        </row>
        <row r="342">
          <cell r="B342" t="str">
            <v>Tunadal</v>
          </cell>
          <cell r="D342" t="str">
            <v>Alternativproduktionsmetoden</v>
          </cell>
          <cell r="E342">
            <v>0.55065476569971306</v>
          </cell>
          <cell r="F342">
            <v>3.4</v>
          </cell>
          <cell r="G342" t="str">
            <v/>
          </cell>
          <cell r="J342" t="str">
            <v>Sundsvall Energi AB</v>
          </cell>
        </row>
        <row r="343">
          <cell r="B343" t="str">
            <v>Övriga nät Sundsvall energi</v>
          </cell>
          <cell r="D343" t="str">
            <v>Ej kraftvärme</v>
          </cell>
          <cell r="E343" t="str">
            <v/>
          </cell>
          <cell r="F343" t="str">
            <v/>
          </cell>
          <cell r="G343" t="str">
            <v/>
          </cell>
          <cell r="J343" t="str">
            <v>Sundsvall Energi AB</v>
          </cell>
        </row>
        <row r="344">
          <cell r="B344" t="str">
            <v>Demonät 1</v>
          </cell>
          <cell r="D344" t="str">
            <v>Alternativproduktionsmetoden</v>
          </cell>
          <cell r="E344">
            <v>0.58405945454545438</v>
          </cell>
          <cell r="F344">
            <v>300</v>
          </cell>
          <cell r="G344" t="str">
            <v/>
          </cell>
          <cell r="J344" t="str">
            <v>Svensk Fjärrvärme</v>
          </cell>
        </row>
        <row r="345">
          <cell r="B345" t="str">
            <v>Demonät 2016</v>
          </cell>
          <cell r="D345" t="str">
            <v>Ej kraftvärme</v>
          </cell>
          <cell r="E345" t="str">
            <v/>
          </cell>
          <cell r="F345" t="str">
            <v/>
          </cell>
          <cell r="G345" t="str">
            <v/>
          </cell>
          <cell r="J345" t="str">
            <v>Svensk Fjärrvärme</v>
          </cell>
        </row>
        <row r="346">
          <cell r="B346" t="str">
            <v>Demonät 2017</v>
          </cell>
          <cell r="D346" t="str">
            <v>Alternativproduktionsmetoden</v>
          </cell>
          <cell r="E346">
            <v>0.60130959493670888</v>
          </cell>
          <cell r="F346">
            <v>70</v>
          </cell>
          <cell r="G346" t="str">
            <v/>
          </cell>
          <cell r="J346" t="str">
            <v>Svensk Fjärrvärme</v>
          </cell>
        </row>
        <row r="347">
          <cell r="B347" t="str">
            <v>Söderenergi</v>
          </cell>
          <cell r="D347" t="str">
            <v>Ej kraftvärme</v>
          </cell>
          <cell r="E347" t="str">
            <v/>
          </cell>
          <cell r="F347" t="str">
            <v/>
          </cell>
          <cell r="G347" t="str">
            <v/>
          </cell>
          <cell r="J347" t="str">
            <v>Söderenergi AB</v>
          </cell>
        </row>
        <row r="348">
          <cell r="B348" t="str">
            <v>Ljusne</v>
          </cell>
          <cell r="D348" t="str">
            <v>Ej kraftvärme</v>
          </cell>
          <cell r="E348" t="str">
            <v/>
          </cell>
          <cell r="F348" t="str">
            <v/>
          </cell>
          <cell r="G348" t="str">
            <v/>
          </cell>
          <cell r="J348" t="str">
            <v>Söderhamn Nära AB</v>
          </cell>
        </row>
        <row r="349">
          <cell r="B349" t="str">
            <v>Mohed</v>
          </cell>
          <cell r="D349" t="str">
            <v>Ej kraftvärme</v>
          </cell>
          <cell r="E349" t="str">
            <v/>
          </cell>
          <cell r="F349" t="str">
            <v/>
          </cell>
          <cell r="G349" t="str">
            <v/>
          </cell>
          <cell r="J349" t="str">
            <v>Söderhamn Nära AB</v>
          </cell>
        </row>
        <row r="350">
          <cell r="B350" t="str">
            <v>Sandarne</v>
          </cell>
          <cell r="D350" t="str">
            <v>Ej kraftvärme</v>
          </cell>
          <cell r="E350" t="str">
            <v/>
          </cell>
          <cell r="F350" t="str">
            <v/>
          </cell>
          <cell r="G350" t="str">
            <v/>
          </cell>
          <cell r="J350" t="str">
            <v>Söderhamn Nära AB</v>
          </cell>
        </row>
        <row r="351">
          <cell r="B351" t="str">
            <v>Söderhamn</v>
          </cell>
          <cell r="D351" t="str">
            <v>Alternativproduktionsmetoden</v>
          </cell>
          <cell r="E351">
            <v>0.50884353741496591</v>
          </cell>
          <cell r="F351">
            <v>37.700000000000003</v>
          </cell>
          <cell r="G351" t="str">
            <v/>
          </cell>
          <cell r="J351" t="str">
            <v>Söderhamn Nära AB</v>
          </cell>
        </row>
        <row r="352">
          <cell r="B352" t="str">
            <v>Södertörn Fjärrvärme Totalt</v>
          </cell>
          <cell r="D352" t="str">
            <v>Alternativproduktionsmetoden</v>
          </cell>
          <cell r="E352">
            <v>0.42965387527627669</v>
          </cell>
          <cell r="F352">
            <v>276.47000000000003</v>
          </cell>
          <cell r="G352" t="str">
            <v/>
          </cell>
          <cell r="J352" t="str">
            <v>Södertörns Fjärrvärme AB</v>
          </cell>
        </row>
        <row r="353">
          <cell r="B353" t="str">
            <v>Sölvesborg</v>
          </cell>
          <cell r="D353" t="str">
            <v>Ej kraftvärme</v>
          </cell>
          <cell r="E353" t="str">
            <v/>
          </cell>
          <cell r="F353" t="str">
            <v/>
          </cell>
          <cell r="G353" t="str">
            <v/>
          </cell>
          <cell r="J353" t="str">
            <v xml:space="preserve">Sölvesborgs Energi och Vatten AB  </v>
          </cell>
        </row>
        <row r="354">
          <cell r="B354" t="str">
            <v>Borensberg</v>
          </cell>
          <cell r="D354" t="str">
            <v>Ej kraftvärme</v>
          </cell>
          <cell r="E354" t="str">
            <v/>
          </cell>
          <cell r="F354" t="str">
            <v/>
          </cell>
          <cell r="G354" t="str">
            <v/>
          </cell>
          <cell r="J354" t="str">
            <v>Tekniska Verken i Linköping AB</v>
          </cell>
        </row>
        <row r="355">
          <cell r="B355" t="str">
            <v>Katrineholm</v>
          </cell>
          <cell r="D355" t="str">
            <v>Alternativproduktionsmetoden</v>
          </cell>
          <cell r="E355">
            <v>0.63050065947242218</v>
          </cell>
          <cell r="F355">
            <v>27.3</v>
          </cell>
          <cell r="G355" t="str">
            <v/>
          </cell>
          <cell r="J355" t="str">
            <v>Tekniska Verken i Linköping AB</v>
          </cell>
        </row>
        <row r="356">
          <cell r="B356" t="str">
            <v>Kisa</v>
          </cell>
          <cell r="D356" t="str">
            <v>Ej kraftvärme</v>
          </cell>
          <cell r="E356" t="str">
            <v/>
          </cell>
          <cell r="F356" t="str">
            <v/>
          </cell>
          <cell r="G356" t="str">
            <v/>
          </cell>
          <cell r="J356" t="str">
            <v>Tekniska Verken i Linköping AB</v>
          </cell>
        </row>
        <row r="357">
          <cell r="B357" t="str">
            <v>Linköping</v>
          </cell>
          <cell r="D357" t="str">
            <v>Alternativproduktionsmetoden</v>
          </cell>
          <cell r="E357">
            <v>0.91206748318924102</v>
          </cell>
          <cell r="F357">
            <v>241.8</v>
          </cell>
          <cell r="G357">
            <v>3.6</v>
          </cell>
          <cell r="J357" t="str">
            <v>Tekniska Verken i Linköping AB</v>
          </cell>
        </row>
        <row r="358">
          <cell r="B358" t="str">
            <v>Skärblacka</v>
          </cell>
          <cell r="D358" t="str">
            <v>Ej kraftvärme</v>
          </cell>
          <cell r="E358" t="str">
            <v/>
          </cell>
          <cell r="F358" t="str">
            <v/>
          </cell>
          <cell r="G358" t="str">
            <v/>
          </cell>
          <cell r="J358" t="str">
            <v>Tekniska Verken i Linköping AB</v>
          </cell>
        </row>
        <row r="359">
          <cell r="B359" t="str">
            <v>Åtvidaberg</v>
          </cell>
          <cell r="D359" t="str">
            <v>Ej kraftvärme</v>
          </cell>
          <cell r="E359" t="str">
            <v/>
          </cell>
          <cell r="F359" t="str">
            <v/>
          </cell>
          <cell r="G359" t="str">
            <v/>
          </cell>
          <cell r="J359" t="str">
            <v>Tekniska Verken i Linköping AB</v>
          </cell>
        </row>
        <row r="360">
          <cell r="B360" t="str">
            <v>Järna</v>
          </cell>
          <cell r="D360" t="str">
            <v>Ej kraftvärme</v>
          </cell>
          <cell r="E360" t="str">
            <v/>
          </cell>
          <cell r="F360" t="str">
            <v/>
          </cell>
          <cell r="G360" t="str">
            <v/>
          </cell>
          <cell r="J360" t="str">
            <v>Telge Nät AB</v>
          </cell>
        </row>
        <row r="361">
          <cell r="B361" t="str">
            <v>Nykvarn- tillhör Södertäljenät ska osynliggöras</v>
          </cell>
          <cell r="D361" t="str">
            <v>Ej kraftvärme</v>
          </cell>
          <cell r="E361" t="str">
            <v/>
          </cell>
          <cell r="F361" t="str">
            <v/>
          </cell>
          <cell r="G361" t="str">
            <v/>
          </cell>
          <cell r="J361" t="str">
            <v>Telge Nät AB</v>
          </cell>
        </row>
        <row r="362">
          <cell r="B362" t="str">
            <v>Södertälje</v>
          </cell>
          <cell r="D362" t="str">
            <v>Alternativproduktionsmetoden</v>
          </cell>
          <cell r="E362">
            <v>0.43022278352145427</v>
          </cell>
          <cell r="F362">
            <v>227.32</v>
          </cell>
          <cell r="G362" t="str">
            <v/>
          </cell>
          <cell r="J362" t="str">
            <v>Telge Nät AB</v>
          </cell>
        </row>
        <row r="363">
          <cell r="B363" t="str">
            <v>Tidaholm</v>
          </cell>
          <cell r="D363" t="str">
            <v>Alternativproduktionsmetoden</v>
          </cell>
          <cell r="E363">
            <v>0.67849000014814587</v>
          </cell>
          <cell r="F363">
            <v>8.9589999999999996</v>
          </cell>
          <cell r="G363" t="str">
            <v/>
          </cell>
          <cell r="J363" t="str">
            <v>Tidaholms Energi AB</v>
          </cell>
        </row>
        <row r="364">
          <cell r="B364" t="str">
            <v>Tierp</v>
          </cell>
          <cell r="D364" t="str">
            <v>Ej kraftvärme</v>
          </cell>
          <cell r="E364" t="str">
            <v/>
          </cell>
          <cell r="F364" t="str">
            <v/>
          </cell>
          <cell r="G364" t="str">
            <v/>
          </cell>
          <cell r="J364" t="str">
            <v>Tierps Fjärrvärme AB</v>
          </cell>
        </row>
        <row r="365">
          <cell r="B365" t="str">
            <v>Örbyhus</v>
          </cell>
          <cell r="D365" t="str">
            <v>Ej kraftvärme</v>
          </cell>
          <cell r="E365" t="str">
            <v/>
          </cell>
          <cell r="F365" t="str">
            <v/>
          </cell>
          <cell r="G365" t="str">
            <v/>
          </cell>
          <cell r="J365" t="str">
            <v>Tierps Fjärrvärme AB</v>
          </cell>
        </row>
        <row r="366">
          <cell r="B366" t="str">
            <v>Tingsryd</v>
          </cell>
          <cell r="D366" t="str">
            <v>Ej kraftvärme</v>
          </cell>
          <cell r="E366" t="str">
            <v/>
          </cell>
          <cell r="F366" t="str">
            <v/>
          </cell>
          <cell r="G366" t="str">
            <v/>
          </cell>
          <cell r="J366" t="str">
            <v>Tingsryds Energi AB</v>
          </cell>
        </row>
        <row r="367">
          <cell r="B367" t="str">
            <v>Torsby kommun</v>
          </cell>
          <cell r="D367" t="str">
            <v>Ej kraftvärme</v>
          </cell>
          <cell r="E367" t="str">
            <v/>
          </cell>
          <cell r="F367" t="str">
            <v/>
          </cell>
          <cell r="G367" t="str">
            <v/>
          </cell>
          <cell r="J367" t="str">
            <v>Torsby kommun</v>
          </cell>
        </row>
        <row r="368">
          <cell r="B368" t="str">
            <v>Torsås</v>
          </cell>
          <cell r="D368" t="str">
            <v>Ej kraftvärme</v>
          </cell>
          <cell r="E368" t="str">
            <v/>
          </cell>
          <cell r="F368" t="str">
            <v/>
          </cell>
          <cell r="G368" t="str">
            <v/>
          </cell>
          <cell r="J368" t="str">
            <v>Torsås fjärrvärmenät AB</v>
          </cell>
        </row>
        <row r="369">
          <cell r="B369" t="str">
            <v>Tranemo</v>
          </cell>
          <cell r="D369" t="str">
            <v>Ej kraftvärme</v>
          </cell>
          <cell r="E369" t="str">
            <v/>
          </cell>
          <cell r="F369" t="str">
            <v/>
          </cell>
          <cell r="G369" t="str">
            <v/>
          </cell>
          <cell r="J369" t="str">
            <v>Tranemo Kommun</v>
          </cell>
        </row>
        <row r="370">
          <cell r="B370" t="str">
            <v>Tranås</v>
          </cell>
          <cell r="D370" t="str">
            <v>Alternativproduktionsmetoden</v>
          </cell>
          <cell r="E370">
            <v>0.65130276420753208</v>
          </cell>
          <cell r="F370">
            <v>27.2</v>
          </cell>
          <cell r="G370" t="str">
            <v/>
          </cell>
          <cell r="J370" t="str">
            <v>Tranås Energi AB</v>
          </cell>
        </row>
        <row r="371">
          <cell r="B371" t="str">
            <v>Trelleborg</v>
          </cell>
          <cell r="D371" t="str">
            <v>Ej kraftvärme</v>
          </cell>
          <cell r="E371" t="str">
            <v/>
          </cell>
          <cell r="F371" t="str">
            <v/>
          </cell>
          <cell r="G371" t="str">
            <v/>
          </cell>
          <cell r="J371" t="str">
            <v>Trelleborgs Fjärrvärme AB</v>
          </cell>
        </row>
        <row r="372">
          <cell r="B372" t="str">
            <v>Trollhättan</v>
          </cell>
          <cell r="D372" t="str">
            <v>Alternativproduktionsmetoden</v>
          </cell>
          <cell r="E372">
            <v>0.61329206819866555</v>
          </cell>
          <cell r="F372">
            <v>21.8</v>
          </cell>
          <cell r="G372" t="str">
            <v/>
          </cell>
          <cell r="J372" t="str">
            <v>Trollhättan Energi AB</v>
          </cell>
        </row>
        <row r="373">
          <cell r="B373" t="str">
            <v>Täby Miljövärme AB nät x</v>
          </cell>
          <cell r="D373" t="str">
            <v>Ej kraftvärme</v>
          </cell>
          <cell r="E373" t="str">
            <v/>
          </cell>
          <cell r="F373" t="str">
            <v/>
          </cell>
          <cell r="G373" t="str">
            <v/>
          </cell>
          <cell r="J373" t="str">
            <v>Täby Miljövärme AB</v>
          </cell>
        </row>
        <row r="374">
          <cell r="B374" t="str">
            <v>Ljungskile</v>
          </cell>
          <cell r="D374" t="str">
            <v>Ej kraftvärme</v>
          </cell>
          <cell r="E374" t="str">
            <v/>
          </cell>
          <cell r="F374" t="str">
            <v/>
          </cell>
          <cell r="G374" t="str">
            <v/>
          </cell>
          <cell r="J374" t="str">
            <v>Uddevalla Energi AB</v>
          </cell>
        </row>
        <row r="375">
          <cell r="B375" t="str">
            <v>Munkedal</v>
          </cell>
          <cell r="D375" t="str">
            <v>Ej kraftvärme</v>
          </cell>
          <cell r="E375" t="str">
            <v/>
          </cell>
          <cell r="F375" t="str">
            <v/>
          </cell>
          <cell r="G375" t="str">
            <v/>
          </cell>
          <cell r="J375" t="str">
            <v>Uddevalla Energi AB</v>
          </cell>
        </row>
        <row r="376">
          <cell r="B376" t="str">
            <v>Uddevalla</v>
          </cell>
          <cell r="D376" t="str">
            <v>Alternativproduktionsmetoden</v>
          </cell>
          <cell r="E376">
            <v>0.51310912777585649</v>
          </cell>
          <cell r="F376">
            <v>67.673000000000002</v>
          </cell>
          <cell r="G376" t="str">
            <v/>
          </cell>
          <cell r="J376" t="str">
            <v>Uddevalla Energi AB</v>
          </cell>
        </row>
        <row r="377">
          <cell r="B377" t="str">
            <v>Gällstad</v>
          </cell>
          <cell r="D377" t="str">
            <v>Ej kraftvärme</v>
          </cell>
          <cell r="E377" t="str">
            <v/>
          </cell>
          <cell r="F377" t="str">
            <v/>
          </cell>
          <cell r="G377" t="str">
            <v/>
          </cell>
          <cell r="J377" t="str">
            <v>Ulricehamns Energi AB</v>
          </cell>
        </row>
        <row r="378">
          <cell r="B378" t="str">
            <v>Timmele</v>
          </cell>
          <cell r="D378" t="str">
            <v>Ej kraftvärme</v>
          </cell>
          <cell r="E378" t="str">
            <v/>
          </cell>
          <cell r="F378" t="str">
            <v/>
          </cell>
          <cell r="G378" t="str">
            <v/>
          </cell>
          <cell r="J378" t="str">
            <v>Ulricehamns Energi AB</v>
          </cell>
        </row>
        <row r="379">
          <cell r="B379" t="str">
            <v>Ulricehamn</v>
          </cell>
          <cell r="D379" t="str">
            <v>Ej kraftvärme</v>
          </cell>
          <cell r="E379" t="str">
            <v/>
          </cell>
          <cell r="F379" t="str">
            <v/>
          </cell>
          <cell r="G379" t="str">
            <v/>
          </cell>
          <cell r="J379" t="str">
            <v>Ulricehamns Energi AB</v>
          </cell>
        </row>
        <row r="380">
          <cell r="B380" t="str">
            <v>Bjurholm</v>
          </cell>
          <cell r="D380" t="str">
            <v>Ej kraftvärme</v>
          </cell>
          <cell r="E380" t="str">
            <v/>
          </cell>
          <cell r="F380" t="str">
            <v/>
          </cell>
          <cell r="G380" t="str">
            <v/>
          </cell>
          <cell r="J380" t="str">
            <v>Umeå Energi AB</v>
          </cell>
        </row>
        <row r="381">
          <cell r="B381" t="str">
            <v>Hörnefors</v>
          </cell>
          <cell r="D381" t="str">
            <v>Ej kraftvärme</v>
          </cell>
          <cell r="E381" t="str">
            <v/>
          </cell>
          <cell r="F381" t="str">
            <v/>
          </cell>
          <cell r="G381" t="str">
            <v/>
          </cell>
          <cell r="J381" t="str">
            <v>Umeå Energi AB</v>
          </cell>
        </row>
        <row r="382">
          <cell r="B382" t="str">
            <v>Sävar</v>
          </cell>
          <cell r="D382" t="str">
            <v>Ej kraftvärme</v>
          </cell>
          <cell r="E382" t="str">
            <v/>
          </cell>
          <cell r="F382" t="str">
            <v/>
          </cell>
          <cell r="G382" t="str">
            <v/>
          </cell>
          <cell r="J382" t="str">
            <v>Umeå Energi AB</v>
          </cell>
        </row>
        <row r="383">
          <cell r="B383" t="str">
            <v>Umeå</v>
          </cell>
          <cell r="D383" t="str">
            <v>Alternativproduktionsmetoden</v>
          </cell>
          <cell r="E383">
            <v>0.48782608695652174</v>
          </cell>
          <cell r="F383">
            <v>236.465</v>
          </cell>
          <cell r="G383" t="str">
            <v/>
          </cell>
          <cell r="J383" t="str">
            <v>Umeå Energi AB</v>
          </cell>
        </row>
        <row r="384">
          <cell r="B384" t="str">
            <v>Skillingaryd</v>
          </cell>
          <cell r="D384" t="str">
            <v>Ej kraftvärme</v>
          </cell>
          <cell r="E384" t="str">
            <v/>
          </cell>
          <cell r="F384" t="str">
            <v/>
          </cell>
          <cell r="G384" t="str">
            <v/>
          </cell>
          <cell r="J384" t="str">
            <v>Vaggeryds Energi AB</v>
          </cell>
        </row>
        <row r="385">
          <cell r="B385" t="str">
            <v>Vaggeryd</v>
          </cell>
          <cell r="D385" t="str">
            <v>Ej kraftvärme</v>
          </cell>
          <cell r="E385" t="str">
            <v/>
          </cell>
          <cell r="F385" t="str">
            <v/>
          </cell>
          <cell r="G385" t="str">
            <v/>
          </cell>
          <cell r="J385" t="str">
            <v>Vaggeryds Energi AB</v>
          </cell>
        </row>
        <row r="386">
          <cell r="B386" t="str">
            <v>Vara</v>
          </cell>
          <cell r="D386" t="str">
            <v>Ej kraftvärme</v>
          </cell>
          <cell r="E386" t="str">
            <v/>
          </cell>
          <cell r="F386" t="str">
            <v/>
          </cell>
          <cell r="G386" t="str">
            <v/>
          </cell>
          <cell r="J386" t="str">
            <v>Vara Energi Värme AB</v>
          </cell>
        </row>
        <row r="387">
          <cell r="B387" t="str">
            <v>Tvååker (Närv)</v>
          </cell>
          <cell r="D387" t="str">
            <v>Ej kraftvärme</v>
          </cell>
          <cell r="E387" t="str">
            <v/>
          </cell>
          <cell r="F387" t="str">
            <v/>
          </cell>
          <cell r="G387" t="str">
            <v/>
          </cell>
          <cell r="J387" t="str">
            <v>Varberg Energi AB</v>
          </cell>
        </row>
        <row r="388">
          <cell r="B388" t="str">
            <v>Varberg (Fjv)</v>
          </cell>
          <cell r="D388" t="str">
            <v>Ej kraftvärme</v>
          </cell>
          <cell r="E388" t="str">
            <v/>
          </cell>
          <cell r="F388" t="str">
            <v/>
          </cell>
          <cell r="G388" t="str">
            <v/>
          </cell>
          <cell r="J388" t="str">
            <v>Varberg Energi AB</v>
          </cell>
        </row>
        <row r="389">
          <cell r="B389" t="str">
            <v>Veddige</v>
          </cell>
          <cell r="D389" t="str">
            <v>Ej kraftvärme</v>
          </cell>
          <cell r="E389" t="str">
            <v/>
          </cell>
          <cell r="F389" t="str">
            <v/>
          </cell>
          <cell r="G389" t="str">
            <v/>
          </cell>
          <cell r="J389" t="str">
            <v>Varberg Energi AB</v>
          </cell>
        </row>
        <row r="390">
          <cell r="B390" t="str">
            <v>Alfta</v>
          </cell>
          <cell r="D390" t="str">
            <v>Ej kraftvärme</v>
          </cell>
          <cell r="E390" t="str">
            <v/>
          </cell>
          <cell r="F390" t="str">
            <v/>
          </cell>
          <cell r="G390" t="str">
            <v/>
          </cell>
          <cell r="J390" t="str">
            <v>Vasa Värme Holding AB</v>
          </cell>
        </row>
        <row r="391">
          <cell r="B391" t="str">
            <v>Edsbyn</v>
          </cell>
          <cell r="D391" t="str">
            <v>Ej kraftvärme</v>
          </cell>
          <cell r="E391" t="str">
            <v/>
          </cell>
          <cell r="F391" t="str">
            <v/>
          </cell>
          <cell r="G391" t="str">
            <v/>
          </cell>
          <cell r="J391" t="str">
            <v>Vasa Värme Holding AB</v>
          </cell>
        </row>
        <row r="392">
          <cell r="B392" t="str">
            <v>Kalix</v>
          </cell>
          <cell r="D392" t="str">
            <v>Ej kraftvärme</v>
          </cell>
          <cell r="E392" t="str">
            <v/>
          </cell>
          <cell r="F392" t="str">
            <v/>
          </cell>
          <cell r="G392" t="str">
            <v/>
          </cell>
          <cell r="J392" t="str">
            <v>Vasa Värme Holding AB</v>
          </cell>
        </row>
        <row r="393">
          <cell r="B393" t="str">
            <v>Krokek</v>
          </cell>
          <cell r="D393" t="str">
            <v>Ej kraftvärme</v>
          </cell>
          <cell r="E393" t="str">
            <v/>
          </cell>
          <cell r="F393" t="str">
            <v/>
          </cell>
          <cell r="G393" t="str">
            <v/>
          </cell>
          <cell r="J393" t="str">
            <v>Vasa Värme Holding AB</v>
          </cell>
        </row>
        <row r="394">
          <cell r="B394" t="str">
            <v>Malmköping</v>
          </cell>
          <cell r="D394" t="str">
            <v>Ej kraftvärme</v>
          </cell>
          <cell r="E394" t="str">
            <v/>
          </cell>
          <cell r="F394" t="str">
            <v/>
          </cell>
          <cell r="G394" t="str">
            <v/>
          </cell>
          <cell r="J394" t="str">
            <v>Vasa Värme Holding AB</v>
          </cell>
        </row>
        <row r="395">
          <cell r="B395" t="str">
            <v>Askersund</v>
          </cell>
          <cell r="D395" t="str">
            <v>Ej kraftvärme</v>
          </cell>
          <cell r="E395" t="str">
            <v/>
          </cell>
          <cell r="F395" t="str">
            <v/>
          </cell>
          <cell r="G395" t="str">
            <v/>
          </cell>
          <cell r="J395" t="str">
            <v>Vattenfall AB Värme</v>
          </cell>
        </row>
        <row r="396">
          <cell r="B396" t="str">
            <v>Drefviken</v>
          </cell>
          <cell r="D396" t="str">
            <v>Alternativproduktionsmetoden</v>
          </cell>
          <cell r="E396">
            <v>0.63173350590571309</v>
          </cell>
          <cell r="F396">
            <v>67.926000000000002</v>
          </cell>
          <cell r="G396" t="str">
            <v/>
          </cell>
          <cell r="J396" t="str">
            <v>Vattenfall AB Värme</v>
          </cell>
        </row>
        <row r="397">
          <cell r="B397" t="str">
            <v>Gustavsberg</v>
          </cell>
          <cell r="D397" t="str">
            <v>Ej kraftvärme</v>
          </cell>
          <cell r="E397" t="str">
            <v/>
          </cell>
          <cell r="F397" t="str">
            <v/>
          </cell>
          <cell r="G397" t="str">
            <v/>
          </cell>
          <cell r="J397" t="str">
            <v>Vattenfall AB Värme</v>
          </cell>
        </row>
        <row r="398">
          <cell r="B398" t="str">
            <v>Knivsta (Vattenfall AB Värme)</v>
          </cell>
          <cell r="D398" t="str">
            <v>Ej kraftvärme</v>
          </cell>
          <cell r="E398" t="str">
            <v/>
          </cell>
          <cell r="F398" t="str">
            <v/>
          </cell>
          <cell r="G398" t="str">
            <v/>
          </cell>
          <cell r="J398" t="str">
            <v>Vattenfall AB Värme</v>
          </cell>
        </row>
        <row r="399">
          <cell r="B399" t="str">
            <v>Motala</v>
          </cell>
          <cell r="D399" t="str">
            <v>Alternativproduktionsmetoden</v>
          </cell>
          <cell r="E399">
            <v>0.60961957184413584</v>
          </cell>
          <cell r="F399">
            <v>19</v>
          </cell>
          <cell r="G399" t="str">
            <v/>
          </cell>
          <cell r="J399" t="str">
            <v>Vattenfall AB Värme</v>
          </cell>
        </row>
        <row r="400">
          <cell r="B400" t="str">
            <v>Nyköping</v>
          </cell>
          <cell r="D400" t="str">
            <v>Alternativproduktionsmetoden</v>
          </cell>
          <cell r="E400">
            <v>0.46503211399507932</v>
          </cell>
          <cell r="F400">
            <v>101.55500000000001</v>
          </cell>
          <cell r="G400" t="str">
            <v/>
          </cell>
          <cell r="J400" t="str">
            <v>Vattenfall AB Värme</v>
          </cell>
        </row>
        <row r="401">
          <cell r="B401" t="str">
            <v>Saltsjöbaden</v>
          </cell>
          <cell r="D401" t="str">
            <v>Ej kraftvärme</v>
          </cell>
          <cell r="E401" t="str">
            <v/>
          </cell>
          <cell r="F401" t="str">
            <v/>
          </cell>
          <cell r="G401" t="str">
            <v/>
          </cell>
          <cell r="J401" t="str">
            <v>Vattenfall AB Värme</v>
          </cell>
        </row>
        <row r="402">
          <cell r="B402" t="str">
            <v>Storvreta</v>
          </cell>
          <cell r="D402" t="str">
            <v>Ej kraftvärme</v>
          </cell>
          <cell r="E402" t="str">
            <v/>
          </cell>
          <cell r="F402" t="str">
            <v/>
          </cell>
          <cell r="G402" t="str">
            <v/>
          </cell>
          <cell r="J402" t="str">
            <v>Vattenfall AB Värme</v>
          </cell>
        </row>
        <row r="403">
          <cell r="B403" t="str">
            <v>Uppsala</v>
          </cell>
          <cell r="D403" t="str">
            <v>Alternativproduktionsmetoden</v>
          </cell>
          <cell r="E403">
            <v>0.53789798115266474</v>
          </cell>
          <cell r="F403">
            <v>93.4</v>
          </cell>
          <cell r="G403">
            <v>96.9</v>
          </cell>
          <cell r="J403" t="str">
            <v>Vattenfall AB Värme</v>
          </cell>
        </row>
        <row r="404">
          <cell r="B404" t="str">
            <v>Vänersborg</v>
          </cell>
          <cell r="D404" t="str">
            <v>Ej kraftvärme</v>
          </cell>
          <cell r="E404" t="str">
            <v/>
          </cell>
          <cell r="F404" t="str">
            <v/>
          </cell>
          <cell r="G404" t="str">
            <v/>
          </cell>
          <cell r="J404" t="str">
            <v>Vattenfall AB Värme</v>
          </cell>
        </row>
        <row r="405">
          <cell r="B405" t="str">
            <v>Ekerö</v>
          </cell>
          <cell r="D405" t="str">
            <v>Ej kraftvärme</v>
          </cell>
          <cell r="E405" t="str">
            <v/>
          </cell>
          <cell r="F405" t="str">
            <v/>
          </cell>
          <cell r="G405" t="str">
            <v/>
          </cell>
          <cell r="J405" t="str">
            <v>Veolia</v>
          </cell>
        </row>
        <row r="406">
          <cell r="B406" t="str">
            <v>Knivsta (Veolia)</v>
          </cell>
          <cell r="D406" t="str">
            <v>Ej kraftvärme</v>
          </cell>
          <cell r="E406" t="str">
            <v/>
          </cell>
          <cell r="F406" t="str">
            <v/>
          </cell>
          <cell r="G406" t="str">
            <v/>
          </cell>
          <cell r="J406" t="str">
            <v>Veolia</v>
          </cell>
        </row>
        <row r="407">
          <cell r="B407" t="str">
            <v>Frödinge</v>
          </cell>
          <cell r="D407" t="str">
            <v>Ej kraftvärme</v>
          </cell>
          <cell r="E407" t="str">
            <v/>
          </cell>
          <cell r="F407" t="str">
            <v/>
          </cell>
          <cell r="G407" t="str">
            <v/>
          </cell>
          <cell r="J407" t="str">
            <v>Vimmerby Energi &amp; Miljö AB</v>
          </cell>
        </row>
        <row r="408">
          <cell r="B408" t="str">
            <v>Gullringen</v>
          </cell>
          <cell r="D408" t="str">
            <v>Ej kraftvärme</v>
          </cell>
          <cell r="E408" t="str">
            <v/>
          </cell>
          <cell r="F408" t="str">
            <v/>
          </cell>
          <cell r="G408" t="str">
            <v/>
          </cell>
          <cell r="J408" t="str">
            <v>Vimmerby Energi &amp; Miljö AB</v>
          </cell>
        </row>
        <row r="409">
          <cell r="B409" t="str">
            <v>Storebro</v>
          </cell>
          <cell r="D409" t="str">
            <v>Ej kraftvärme</v>
          </cell>
          <cell r="E409" t="str">
            <v/>
          </cell>
          <cell r="F409" t="str">
            <v/>
          </cell>
          <cell r="G409" t="str">
            <v/>
          </cell>
          <cell r="J409" t="str">
            <v>Vimmerby Energi &amp; Miljö AB</v>
          </cell>
        </row>
        <row r="410">
          <cell r="B410" t="str">
            <v>Södra Vi</v>
          </cell>
          <cell r="D410" t="str">
            <v>Ej kraftvärme</v>
          </cell>
          <cell r="E410" t="str">
            <v/>
          </cell>
          <cell r="F410" t="str">
            <v/>
          </cell>
          <cell r="G410" t="str">
            <v/>
          </cell>
          <cell r="J410" t="str">
            <v>Vimmerby Energi &amp; Miljö AB</v>
          </cell>
        </row>
        <row r="411">
          <cell r="B411" t="str">
            <v>Vimmerby</v>
          </cell>
          <cell r="D411" t="str">
            <v>Alternativproduktionsmetoden</v>
          </cell>
          <cell r="E411">
            <v>0.69946460329496096</v>
          </cell>
          <cell r="F411">
            <v>19.11</v>
          </cell>
          <cell r="G411" t="str">
            <v/>
          </cell>
          <cell r="J411" t="str">
            <v>Vimmerby Energi &amp; Miljö AB</v>
          </cell>
        </row>
        <row r="412">
          <cell r="B412" t="str">
            <v>Lyrestad</v>
          </cell>
          <cell r="D412" t="str">
            <v>Ej kraftvärme</v>
          </cell>
          <cell r="E412" t="str">
            <v/>
          </cell>
          <cell r="F412" t="str">
            <v/>
          </cell>
          <cell r="G412" t="str">
            <v/>
          </cell>
          <cell r="J412" t="str">
            <v>Väner Energi AB</v>
          </cell>
        </row>
        <row r="413">
          <cell r="B413" t="str">
            <v>Mariestad</v>
          </cell>
          <cell r="D413" t="str">
            <v>Alternativproduktionsmetoden</v>
          </cell>
          <cell r="E413">
            <v>0.63409299363057314</v>
          </cell>
          <cell r="F413">
            <v>31</v>
          </cell>
          <cell r="G413" t="str">
            <v/>
          </cell>
          <cell r="J413" t="str">
            <v>Väner Energi AB</v>
          </cell>
        </row>
        <row r="414">
          <cell r="B414" t="str">
            <v>Töreboda</v>
          </cell>
          <cell r="D414" t="str">
            <v>Ej kraftvärme</v>
          </cell>
          <cell r="E414" t="str">
            <v/>
          </cell>
          <cell r="F414" t="str">
            <v/>
          </cell>
          <cell r="G414" t="str">
            <v/>
          </cell>
          <cell r="J414" t="str">
            <v>Väner Energi AB</v>
          </cell>
        </row>
        <row r="415">
          <cell r="B415" t="str">
            <v>-</v>
          </cell>
          <cell r="D415" t="str">
            <v>Ej kraftvärme</v>
          </cell>
          <cell r="E415" t="str">
            <v/>
          </cell>
          <cell r="F415" t="str">
            <v/>
          </cell>
          <cell r="G415" t="str">
            <v/>
          </cell>
          <cell r="J415" t="str">
            <v>Värmevärden AB</v>
          </cell>
        </row>
        <row r="416">
          <cell r="B416" t="str">
            <v>-</v>
          </cell>
          <cell r="D416" t="str">
            <v>Ej kraftvärme</v>
          </cell>
          <cell r="E416" t="str">
            <v/>
          </cell>
          <cell r="F416" t="str">
            <v/>
          </cell>
          <cell r="G416" t="str">
            <v/>
          </cell>
          <cell r="J416" t="str">
            <v>Värmevärden AB</v>
          </cell>
        </row>
        <row r="417">
          <cell r="B417" t="str">
            <v>Avesta</v>
          </cell>
          <cell r="D417" t="str">
            <v>Ej kraftvärme</v>
          </cell>
          <cell r="E417" t="str">
            <v/>
          </cell>
          <cell r="F417" t="str">
            <v/>
          </cell>
          <cell r="G417" t="str">
            <v/>
          </cell>
          <cell r="J417" t="str">
            <v>Värmevärden AB</v>
          </cell>
        </row>
        <row r="418">
          <cell r="B418" t="str">
            <v>Delsbo</v>
          </cell>
          <cell r="D418" t="str">
            <v>Ej kraftvärme</v>
          </cell>
          <cell r="E418" t="str">
            <v/>
          </cell>
          <cell r="F418" t="str">
            <v/>
          </cell>
          <cell r="G418" t="str">
            <v/>
          </cell>
          <cell r="J418" t="str">
            <v>Värmevärden AB</v>
          </cell>
        </row>
        <row r="419">
          <cell r="B419" t="str">
            <v>Grums</v>
          </cell>
          <cell r="D419" t="str">
            <v>Ej kraftvärme</v>
          </cell>
          <cell r="E419" t="str">
            <v/>
          </cell>
          <cell r="F419" t="str">
            <v/>
          </cell>
          <cell r="G419" t="str">
            <v/>
          </cell>
          <cell r="J419" t="str">
            <v>Värmevärden AB</v>
          </cell>
        </row>
        <row r="420">
          <cell r="B420" t="str">
            <v>Grythyttan</v>
          </cell>
          <cell r="D420" t="str">
            <v>Ej kraftvärme</v>
          </cell>
          <cell r="E420" t="str">
            <v/>
          </cell>
          <cell r="F420" t="str">
            <v/>
          </cell>
          <cell r="G420" t="str">
            <v/>
          </cell>
          <cell r="J420" t="str">
            <v>Värmevärden AB</v>
          </cell>
        </row>
        <row r="421">
          <cell r="B421" t="str">
            <v>Hofors(Värmevärden)</v>
          </cell>
          <cell r="D421" t="str">
            <v>Alternativproduktionsmetoden</v>
          </cell>
          <cell r="E421">
            <v>0.74970032737345749</v>
          </cell>
          <cell r="F421">
            <v>0.875</v>
          </cell>
          <cell r="G421" t="str">
            <v/>
          </cell>
          <cell r="J421" t="str">
            <v>Värmevärden AB</v>
          </cell>
        </row>
        <row r="422">
          <cell r="B422" t="str">
            <v>Hudiksvall</v>
          </cell>
          <cell r="D422" t="str">
            <v>Alternativproduktionsmetoden</v>
          </cell>
          <cell r="E422">
            <v>0.5949036859342679</v>
          </cell>
          <cell r="F422">
            <v>23.896999999999998</v>
          </cell>
          <cell r="G422" t="str">
            <v/>
          </cell>
          <cell r="J422" t="str">
            <v>Värmevärden AB</v>
          </cell>
        </row>
        <row r="423">
          <cell r="B423" t="str">
            <v>Hällefors</v>
          </cell>
          <cell r="D423" t="str">
            <v>Ej kraftvärme</v>
          </cell>
          <cell r="E423" t="str">
            <v/>
          </cell>
          <cell r="F423" t="str">
            <v/>
          </cell>
          <cell r="G423" t="str">
            <v/>
          </cell>
          <cell r="J423" t="str">
            <v>Värmevärden AB</v>
          </cell>
        </row>
        <row r="424">
          <cell r="B424" t="str">
            <v>Iggesund</v>
          </cell>
          <cell r="D424" t="str">
            <v>Ej kraftvärme</v>
          </cell>
          <cell r="E424" t="str">
            <v/>
          </cell>
          <cell r="F424" t="str">
            <v/>
          </cell>
          <cell r="G424" t="str">
            <v/>
          </cell>
          <cell r="J424" t="str">
            <v>Värmevärden AB</v>
          </cell>
        </row>
        <row r="425">
          <cell r="B425" t="str">
            <v>Kopparberg</v>
          </cell>
          <cell r="D425" t="str">
            <v>Ej kraftvärme</v>
          </cell>
          <cell r="E425" t="str">
            <v/>
          </cell>
          <cell r="F425" t="str">
            <v/>
          </cell>
          <cell r="G425" t="str">
            <v/>
          </cell>
          <cell r="J425" t="str">
            <v>Värmevärden AB</v>
          </cell>
        </row>
        <row r="426">
          <cell r="B426" t="str">
            <v>Kristinehamn(Värmevärden)</v>
          </cell>
          <cell r="D426" t="str">
            <v>Ej kraftvärme</v>
          </cell>
          <cell r="E426" t="str">
            <v/>
          </cell>
          <cell r="F426" t="str">
            <v/>
          </cell>
          <cell r="G426" t="str">
            <v/>
          </cell>
          <cell r="J426" t="str">
            <v>Värmevärden AB</v>
          </cell>
        </row>
        <row r="427">
          <cell r="B427" t="str">
            <v>Nynäshamn</v>
          </cell>
          <cell r="D427" t="str">
            <v>Ej kraftvärme</v>
          </cell>
          <cell r="E427" t="str">
            <v/>
          </cell>
          <cell r="F427" t="str">
            <v/>
          </cell>
          <cell r="G427" t="str">
            <v/>
          </cell>
          <cell r="J427" t="str">
            <v>Värmevärden AB</v>
          </cell>
        </row>
      </sheetData>
      <sheetData sheetId="19">
        <row r="91">
          <cell r="L91" t="e">
            <v>#N/A</v>
          </cell>
        </row>
      </sheetData>
      <sheetData sheetId="20"/>
      <sheetData sheetId="21"/>
    </sheetDataSet>
  </externalBook>
</externalLink>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hyperlink" Target="https://www.energiforetagen.se/medlemsportalen/ny-sakomraden---fordjupning/fjarrvarmefragor/varmemarknadsfragor/varmemarknadskommitten/" TargetMode="Externa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B3:M45"/>
  <sheetViews>
    <sheetView topLeftCell="A13" workbookViewId="0">
      <selection activeCell="N27" sqref="A1:XFD1048576"/>
    </sheetView>
  </sheetViews>
  <sheetFormatPr defaultRowHeight="15" x14ac:dyDescent="0.25"/>
  <cols>
    <col min="1" max="1" width="2.28515625" style="121" customWidth="1"/>
    <col min="2" max="2" width="28.5703125" style="121" customWidth="1"/>
    <col min="3" max="3" width="29.28515625" style="121" customWidth="1"/>
    <col min="4" max="4" width="32.5703125" style="121" bestFit="1" customWidth="1"/>
    <col min="5" max="5" width="15.42578125" style="121" customWidth="1"/>
    <col min="6" max="6" width="9.140625" style="121"/>
    <col min="7" max="7" width="15" style="121" customWidth="1"/>
    <col min="8" max="11" width="9.140625" style="121"/>
    <col min="12" max="12" width="11.42578125" style="121" customWidth="1"/>
    <col min="13" max="16384" width="9.140625" style="121"/>
  </cols>
  <sheetData>
    <row r="3" spans="2:4" ht="30.75" thickBot="1" x14ac:dyDescent="0.3">
      <c r="B3" s="132" t="s">
        <v>151</v>
      </c>
      <c r="C3" s="132" t="s">
        <v>2</v>
      </c>
      <c r="D3" s="132" t="s">
        <v>930</v>
      </c>
    </row>
    <row r="4" spans="2:4" x14ac:dyDescent="0.25">
      <c r="B4" s="121" t="s">
        <v>238</v>
      </c>
      <c r="C4" s="121" t="s">
        <v>239</v>
      </c>
      <c r="D4" s="133">
        <v>5.8289999999999997</v>
      </c>
    </row>
    <row r="5" spans="2:4" x14ac:dyDescent="0.25">
      <c r="B5" s="121" t="s">
        <v>263</v>
      </c>
      <c r="C5" s="121" t="s">
        <v>269</v>
      </c>
      <c r="D5" s="133">
        <v>60</v>
      </c>
    </row>
    <row r="6" spans="2:4" x14ac:dyDescent="0.25">
      <c r="B6" s="121" t="s">
        <v>301</v>
      </c>
      <c r="C6" s="121" t="s">
        <v>303</v>
      </c>
      <c r="D6" s="133">
        <v>64.599999999999994</v>
      </c>
    </row>
    <row r="7" spans="2:4" x14ac:dyDescent="0.25">
      <c r="B7" s="121" t="s">
        <v>324</v>
      </c>
      <c r="C7" s="121" t="s">
        <v>326</v>
      </c>
      <c r="D7" s="133">
        <v>98.918999999999997</v>
      </c>
    </row>
    <row r="8" spans="2:4" x14ac:dyDescent="0.25">
      <c r="B8" s="121" t="s">
        <v>343</v>
      </c>
      <c r="C8" s="121" t="s">
        <v>344</v>
      </c>
      <c r="D8" s="134">
        <v>61.5</v>
      </c>
    </row>
    <row r="9" spans="2:4" x14ac:dyDescent="0.25">
      <c r="B9" s="121" t="s">
        <v>390</v>
      </c>
      <c r="C9" s="121" t="s">
        <v>391</v>
      </c>
      <c r="D9" s="133">
        <v>155.64599999999999</v>
      </c>
    </row>
    <row r="10" spans="2:4" x14ac:dyDescent="0.25">
      <c r="B10" s="121" t="s">
        <v>394</v>
      </c>
      <c r="C10" s="121" t="s">
        <v>398</v>
      </c>
      <c r="D10" s="133">
        <v>32.200000000000003</v>
      </c>
    </row>
    <row r="11" spans="2:4" x14ac:dyDescent="0.25">
      <c r="B11" s="121" t="s">
        <v>399</v>
      </c>
      <c r="C11" s="121" t="s">
        <v>400</v>
      </c>
      <c r="D11" s="133">
        <v>46.2</v>
      </c>
    </row>
    <row r="12" spans="2:4" x14ac:dyDescent="0.25">
      <c r="B12" s="121" t="s">
        <v>447</v>
      </c>
      <c r="C12" s="121" t="s">
        <v>448</v>
      </c>
      <c r="D12" s="133">
        <v>68.900000000000006</v>
      </c>
    </row>
    <row r="13" spans="2:4" x14ac:dyDescent="0.25">
      <c r="B13" s="121" t="s">
        <v>457</v>
      </c>
      <c r="C13" s="121" t="s">
        <v>458</v>
      </c>
      <c r="D13" s="133">
        <v>22.7</v>
      </c>
    </row>
    <row r="14" spans="2:4" x14ac:dyDescent="0.25">
      <c r="B14" s="121" t="s">
        <v>115</v>
      </c>
      <c r="C14" s="121" t="s">
        <v>482</v>
      </c>
      <c r="D14" s="133">
        <v>443.57</v>
      </c>
    </row>
    <row r="15" spans="2:4" x14ac:dyDescent="0.25">
      <c r="B15" s="121" t="s">
        <v>506</v>
      </c>
      <c r="C15" s="121" t="s">
        <v>507</v>
      </c>
      <c r="D15" s="133">
        <v>171</v>
      </c>
    </row>
    <row r="16" spans="2:4" x14ac:dyDescent="0.25">
      <c r="B16" s="121" t="s">
        <v>561</v>
      </c>
      <c r="C16" s="121" t="s">
        <v>562</v>
      </c>
      <c r="D16" s="133">
        <v>342.49700000000001</v>
      </c>
    </row>
    <row r="17" spans="2:12" x14ac:dyDescent="0.25">
      <c r="B17" s="121" t="s">
        <v>598</v>
      </c>
      <c r="C17" s="121" t="s">
        <v>599</v>
      </c>
      <c r="D17" s="133">
        <v>89.191999999999993</v>
      </c>
    </row>
    <row r="18" spans="2:12" x14ac:dyDescent="0.25">
      <c r="B18" s="121" t="s">
        <v>608</v>
      </c>
      <c r="C18" s="121" t="s">
        <v>610</v>
      </c>
      <c r="D18" s="135">
        <v>4.38</v>
      </c>
      <c r="E18" s="121" t="s">
        <v>1315</v>
      </c>
    </row>
    <row r="19" spans="2:12" x14ac:dyDescent="0.25">
      <c r="B19" s="121" t="s">
        <v>7</v>
      </c>
      <c r="C19" s="121" t="s">
        <v>8</v>
      </c>
      <c r="D19" s="133">
        <v>5.4</v>
      </c>
    </row>
    <row r="20" spans="2:12" x14ac:dyDescent="0.25">
      <c r="B20" s="121" t="s">
        <v>725</v>
      </c>
      <c r="C20" s="121" t="s">
        <v>726</v>
      </c>
      <c r="D20" s="133">
        <v>3.7</v>
      </c>
    </row>
    <row r="22" spans="2:12" x14ac:dyDescent="0.25">
      <c r="B22" s="121" t="s">
        <v>1316</v>
      </c>
      <c r="D22" s="121">
        <f>SUM(D4:D20)-D18</f>
        <v>1671.8530000000001</v>
      </c>
    </row>
    <row r="27" spans="2:12" ht="105.75" thickBot="1" x14ac:dyDescent="0.3">
      <c r="B27" s="132" t="s">
        <v>151</v>
      </c>
      <c r="C27" s="132" t="s">
        <v>2</v>
      </c>
      <c r="D27" s="132" t="s">
        <v>1068</v>
      </c>
      <c r="E27" s="132" t="s">
        <v>1069</v>
      </c>
      <c r="F27" s="132" t="s">
        <v>1070</v>
      </c>
      <c r="G27" s="132" t="s">
        <v>1071</v>
      </c>
      <c r="H27" s="132" t="s">
        <v>1072</v>
      </c>
      <c r="I27" s="132" t="s">
        <v>1073</v>
      </c>
      <c r="K27" s="136" t="s">
        <v>1317</v>
      </c>
      <c r="L27" s="136" t="s">
        <v>1318</v>
      </c>
    </row>
    <row r="28" spans="2:12" x14ac:dyDescent="0.25">
      <c r="B28" s="137" t="s">
        <v>238</v>
      </c>
      <c r="C28" s="137" t="s">
        <v>239</v>
      </c>
      <c r="D28" s="137" t="s">
        <v>1074</v>
      </c>
      <c r="E28" s="138">
        <v>64.605000000000004</v>
      </c>
      <c r="F28" s="121" t="s">
        <v>193</v>
      </c>
      <c r="G28" s="121" t="s">
        <v>193</v>
      </c>
      <c r="H28" s="121" t="s">
        <v>193</v>
      </c>
      <c r="I28" s="121" t="s">
        <v>193</v>
      </c>
      <c r="L28" s="121">
        <f>E28</f>
        <v>64.605000000000004</v>
      </c>
    </row>
    <row r="29" spans="2:12" x14ac:dyDescent="0.25">
      <c r="B29" s="137" t="s">
        <v>301</v>
      </c>
      <c r="C29" s="137" t="s">
        <v>303</v>
      </c>
      <c r="D29" s="137" t="s">
        <v>1075</v>
      </c>
      <c r="E29" s="138">
        <v>5.82</v>
      </c>
      <c r="F29" s="121" t="s">
        <v>53</v>
      </c>
      <c r="G29" s="121" t="s">
        <v>193</v>
      </c>
      <c r="H29" s="121" t="s">
        <v>53</v>
      </c>
      <c r="I29" s="121" t="s">
        <v>193</v>
      </c>
      <c r="L29" s="121">
        <f>E29</f>
        <v>5.82</v>
      </c>
    </row>
    <row r="30" spans="2:12" x14ac:dyDescent="0.25">
      <c r="B30" s="137" t="s">
        <v>324</v>
      </c>
      <c r="C30" s="137" t="s">
        <v>326</v>
      </c>
      <c r="D30" s="137" t="s">
        <v>1076</v>
      </c>
      <c r="E30" s="138">
        <v>31.4</v>
      </c>
      <c r="F30" s="121" t="s">
        <v>1077</v>
      </c>
      <c r="G30" s="138">
        <v>22.7</v>
      </c>
      <c r="H30" s="121" t="s">
        <v>1078</v>
      </c>
      <c r="I30" s="138">
        <v>171</v>
      </c>
      <c r="L30" s="121">
        <f>E30+G30+I30</f>
        <v>225.1</v>
      </c>
    </row>
    <row r="31" spans="2:12" x14ac:dyDescent="0.25">
      <c r="B31" s="137" t="s">
        <v>383</v>
      </c>
      <c r="C31" s="137" t="s">
        <v>384</v>
      </c>
      <c r="D31" s="137" t="s">
        <v>1079</v>
      </c>
      <c r="E31" s="139">
        <v>57.600999999999999</v>
      </c>
      <c r="F31" s="121" t="s">
        <v>53</v>
      </c>
      <c r="G31" s="121" t="s">
        <v>193</v>
      </c>
      <c r="H31" s="121" t="s">
        <v>53</v>
      </c>
      <c r="I31" s="121" t="s">
        <v>193</v>
      </c>
      <c r="K31" s="121">
        <f>E31-D8</f>
        <v>-3.8990000000000009</v>
      </c>
      <c r="L31" s="121">
        <f>E31</f>
        <v>57.600999999999999</v>
      </c>
    </row>
    <row r="32" spans="2:12" x14ac:dyDescent="0.25">
      <c r="B32" s="137" t="s">
        <v>390</v>
      </c>
      <c r="C32" s="137" t="s">
        <v>391</v>
      </c>
      <c r="D32" s="137" t="s">
        <v>1080</v>
      </c>
      <c r="E32" s="138">
        <v>8.6999999999999993</v>
      </c>
      <c r="F32" s="121" t="s">
        <v>1081</v>
      </c>
      <c r="G32" s="138">
        <v>1.8</v>
      </c>
      <c r="H32" s="121" t="s">
        <v>53</v>
      </c>
      <c r="I32" s="121" t="s">
        <v>193</v>
      </c>
      <c r="L32" s="121">
        <f>E32+G32</f>
        <v>10.5</v>
      </c>
    </row>
    <row r="33" spans="2:13" x14ac:dyDescent="0.25">
      <c r="B33" s="137" t="s">
        <v>399</v>
      </c>
      <c r="C33" s="137" t="s">
        <v>400</v>
      </c>
      <c r="D33" s="137" t="s">
        <v>885</v>
      </c>
      <c r="E33" s="138">
        <v>1.9</v>
      </c>
      <c r="F33" s="121" t="s">
        <v>1082</v>
      </c>
      <c r="G33" s="138">
        <v>29.9</v>
      </c>
      <c r="H33" s="121" t="s">
        <v>219</v>
      </c>
      <c r="I33" s="121" t="s">
        <v>193</v>
      </c>
      <c r="L33" s="121">
        <f>E33+G33</f>
        <v>31.799999999999997</v>
      </c>
    </row>
    <row r="34" spans="2:13" x14ac:dyDescent="0.25">
      <c r="B34" s="137" t="s">
        <v>432</v>
      </c>
      <c r="C34" s="137" t="s">
        <v>433</v>
      </c>
      <c r="D34" s="137" t="s">
        <v>1083</v>
      </c>
      <c r="E34" s="140">
        <v>3.5</v>
      </c>
      <c r="F34" s="121" t="s">
        <v>53</v>
      </c>
      <c r="G34" s="121" t="s">
        <v>193</v>
      </c>
      <c r="H34" s="121" t="s">
        <v>53</v>
      </c>
      <c r="I34" s="121" t="s">
        <v>193</v>
      </c>
      <c r="L34" s="121">
        <v>0</v>
      </c>
      <c r="M34" s="121" t="s">
        <v>1319</v>
      </c>
    </row>
    <row r="35" spans="2:13" x14ac:dyDescent="0.25">
      <c r="B35" s="137" t="s">
        <v>447</v>
      </c>
      <c r="C35" s="137" t="s">
        <v>448</v>
      </c>
      <c r="D35" s="137" t="s">
        <v>1084</v>
      </c>
      <c r="E35" s="140">
        <v>0.22</v>
      </c>
      <c r="F35" s="121" t="s">
        <v>219</v>
      </c>
      <c r="G35" s="121" t="s">
        <v>193</v>
      </c>
      <c r="H35" s="121" t="s">
        <v>219</v>
      </c>
      <c r="I35" s="121" t="s">
        <v>193</v>
      </c>
      <c r="L35" s="121">
        <v>0</v>
      </c>
      <c r="M35" s="121" t="s">
        <v>1320</v>
      </c>
    </row>
    <row r="36" spans="2:13" x14ac:dyDescent="0.25">
      <c r="B36" s="137" t="s">
        <v>457</v>
      </c>
      <c r="C36" s="137" t="s">
        <v>458</v>
      </c>
      <c r="D36" s="137" t="s">
        <v>1085</v>
      </c>
      <c r="E36" s="138">
        <v>98.918999999999997</v>
      </c>
      <c r="F36" s="121" t="s">
        <v>53</v>
      </c>
      <c r="G36" s="121" t="s">
        <v>193</v>
      </c>
      <c r="H36" s="121" t="s">
        <v>53</v>
      </c>
      <c r="I36" s="121" t="s">
        <v>193</v>
      </c>
      <c r="L36" s="121">
        <f>E36</f>
        <v>98.918999999999997</v>
      </c>
    </row>
    <row r="37" spans="2:13" x14ac:dyDescent="0.25">
      <c r="B37" s="137" t="s">
        <v>461</v>
      </c>
      <c r="C37" s="137" t="s">
        <v>107</v>
      </c>
      <c r="D37" s="137" t="s">
        <v>1086</v>
      </c>
      <c r="E37" s="140">
        <v>39.472999999999999</v>
      </c>
      <c r="F37" s="121" t="s">
        <v>53</v>
      </c>
      <c r="G37" s="121" t="s">
        <v>193</v>
      </c>
      <c r="H37" s="121" t="s">
        <v>53</v>
      </c>
      <c r="I37" s="121" t="s">
        <v>193</v>
      </c>
      <c r="L37" s="121">
        <v>0</v>
      </c>
      <c r="M37" s="121" t="s">
        <v>1321</v>
      </c>
    </row>
    <row r="38" spans="2:13" x14ac:dyDescent="0.25">
      <c r="B38" s="137" t="s">
        <v>115</v>
      </c>
      <c r="C38" s="137" t="s">
        <v>482</v>
      </c>
      <c r="D38" s="137" t="s">
        <v>1087</v>
      </c>
      <c r="E38" s="138">
        <v>0.90700000000000003</v>
      </c>
      <c r="F38" s="121" t="s">
        <v>53</v>
      </c>
      <c r="G38" s="121" t="s">
        <v>193</v>
      </c>
      <c r="H38" s="121" t="s">
        <v>53</v>
      </c>
      <c r="I38" s="121" t="s">
        <v>193</v>
      </c>
      <c r="L38" s="121">
        <f>E38</f>
        <v>0.90700000000000003</v>
      </c>
    </row>
    <row r="39" spans="2:13" x14ac:dyDescent="0.25">
      <c r="B39" s="137" t="s">
        <v>573</v>
      </c>
      <c r="C39" s="137" t="s">
        <v>116</v>
      </c>
      <c r="D39" s="137" t="s">
        <v>1088</v>
      </c>
      <c r="E39" s="138">
        <v>788.83399999999995</v>
      </c>
      <c r="F39" s="121" t="s">
        <v>1089</v>
      </c>
      <c r="G39" s="139">
        <v>69.207999999999998</v>
      </c>
      <c r="H39" s="121" t="s">
        <v>1090</v>
      </c>
      <c r="I39" s="138">
        <v>89.191999999999993</v>
      </c>
      <c r="L39" s="121">
        <f>E39+60+I39</f>
        <v>938.02599999999995</v>
      </c>
      <c r="M39" s="121" t="s">
        <v>1322</v>
      </c>
    </row>
    <row r="40" spans="2:13" x14ac:dyDescent="0.25">
      <c r="B40" s="137" t="s">
        <v>601</v>
      </c>
      <c r="C40" s="137" t="s">
        <v>605</v>
      </c>
      <c r="D40" s="137" t="s">
        <v>1091</v>
      </c>
      <c r="E40" s="138">
        <v>68.95</v>
      </c>
      <c r="F40" s="121" t="s">
        <v>53</v>
      </c>
      <c r="G40" s="121" t="s">
        <v>193</v>
      </c>
      <c r="H40" s="121" t="s">
        <v>53</v>
      </c>
      <c r="I40" s="121" t="s">
        <v>193</v>
      </c>
      <c r="L40" s="121">
        <f>E40</f>
        <v>68.95</v>
      </c>
    </row>
    <row r="41" spans="2:13" x14ac:dyDescent="0.25">
      <c r="B41" s="137" t="s">
        <v>623</v>
      </c>
      <c r="C41" s="137" t="s">
        <v>624</v>
      </c>
      <c r="D41" s="137" t="s">
        <v>904</v>
      </c>
      <c r="E41" s="140">
        <v>4.2</v>
      </c>
      <c r="F41" s="121" t="s">
        <v>193</v>
      </c>
      <c r="G41" s="121" t="s">
        <v>193</v>
      </c>
      <c r="H41" s="121" t="s">
        <v>193</v>
      </c>
      <c r="I41" s="121" t="s">
        <v>193</v>
      </c>
      <c r="L41" s="121">
        <v>0</v>
      </c>
      <c r="M41" s="121" t="s">
        <v>1323</v>
      </c>
    </row>
    <row r="42" spans="2:13" x14ac:dyDescent="0.25">
      <c r="B42" s="137" t="s">
        <v>654</v>
      </c>
      <c r="C42" s="141" t="s">
        <v>11</v>
      </c>
      <c r="D42" s="137" t="s">
        <v>1092</v>
      </c>
      <c r="E42" s="138">
        <v>5.37</v>
      </c>
      <c r="F42" s="121" t="s">
        <v>53</v>
      </c>
      <c r="G42" s="121" t="s">
        <v>193</v>
      </c>
      <c r="H42" s="121" t="s">
        <v>53</v>
      </c>
      <c r="I42" s="121" t="s">
        <v>193</v>
      </c>
      <c r="L42" s="121">
        <f>E42</f>
        <v>5.37</v>
      </c>
    </row>
    <row r="43" spans="2:13" x14ac:dyDescent="0.25">
      <c r="B43" s="137" t="s">
        <v>725</v>
      </c>
      <c r="C43" s="137" t="s">
        <v>726</v>
      </c>
      <c r="D43" s="137" t="s">
        <v>1093</v>
      </c>
      <c r="E43" s="138">
        <v>163.30000000000001</v>
      </c>
      <c r="F43" s="121" t="s">
        <v>53</v>
      </c>
      <c r="G43" s="121" t="s">
        <v>193</v>
      </c>
      <c r="H43" s="121" t="s">
        <v>53</v>
      </c>
      <c r="I43" s="121" t="s">
        <v>193</v>
      </c>
      <c r="L43" s="121">
        <f>E43</f>
        <v>163.30000000000001</v>
      </c>
    </row>
    <row r="45" spans="2:13" x14ac:dyDescent="0.25">
      <c r="C45" s="121" t="s">
        <v>1316</v>
      </c>
      <c r="L45" s="121">
        <f>SUM(L28:L43)</f>
        <v>1670.8979999999997</v>
      </c>
    </row>
  </sheetData>
  <conditionalFormatting sqref="C3">
    <cfRule type="duplicateValues" dxfId="28" priority="2"/>
  </conditionalFormatting>
  <conditionalFormatting sqref="C43 C27:C41">
    <cfRule type="duplicateValues" dxfId="27" priority="1"/>
  </conditionalFormatting>
  <pageMargins left="0.7" right="0.7" top="0.75" bottom="0.75" header="0.3" footer="0.3"/>
  <pageSetup paperSize="9" orientation="portrait"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Z414"/>
  <sheetViews>
    <sheetView topLeftCell="J1" workbookViewId="0">
      <selection activeCell="X24" sqref="A1:XFD1048576"/>
    </sheetView>
  </sheetViews>
  <sheetFormatPr defaultColWidth="9.140625" defaultRowHeight="15" customHeight="1" x14ac:dyDescent="0.25"/>
  <cols>
    <col min="1" max="1" width="36.140625" style="137" bestFit="1" customWidth="1"/>
    <col min="2" max="2" width="48" style="137" bestFit="1" customWidth="1"/>
    <col min="3" max="21" width="9.140625" style="137"/>
    <col min="22" max="22" width="10.28515625" style="137" customWidth="1"/>
    <col min="23" max="23" width="9.140625" style="137"/>
    <col min="24" max="24" width="30.85546875" style="137" bestFit="1" customWidth="1"/>
    <col min="25" max="16384" width="9.140625" style="137"/>
  </cols>
  <sheetData>
    <row r="1" spans="1:26" s="202" customFormat="1" ht="120.75" thickBot="1" x14ac:dyDescent="0.3">
      <c r="A1" s="132" t="s">
        <v>151</v>
      </c>
      <c r="B1" s="132" t="s">
        <v>2</v>
      </c>
      <c r="C1" s="132" t="s">
        <v>152</v>
      </c>
      <c r="D1" s="132" t="s">
        <v>1058</v>
      </c>
      <c r="E1" s="132" t="s">
        <v>1059</v>
      </c>
      <c r="F1" s="132" t="s">
        <v>1060</v>
      </c>
      <c r="G1" s="132" t="s">
        <v>1061</v>
      </c>
      <c r="H1" s="132" t="s">
        <v>1062</v>
      </c>
      <c r="I1" s="132" t="s">
        <v>1063</v>
      </c>
      <c r="J1" s="132" t="s">
        <v>1064</v>
      </c>
      <c r="K1" s="132" t="s">
        <v>1065</v>
      </c>
      <c r="L1" s="132" t="s">
        <v>1066</v>
      </c>
      <c r="M1" s="132" t="s">
        <v>1067</v>
      </c>
      <c r="N1" s="132" t="s">
        <v>1068</v>
      </c>
      <c r="O1" s="132" t="s">
        <v>1069</v>
      </c>
      <c r="P1" s="132" t="s">
        <v>1070</v>
      </c>
      <c r="Q1" s="132" t="s">
        <v>1071</v>
      </c>
      <c r="R1" s="132" t="s">
        <v>1072</v>
      </c>
      <c r="S1" s="132" t="s">
        <v>1073</v>
      </c>
      <c r="U1" s="203" t="s">
        <v>1222</v>
      </c>
      <c r="V1" s="204" t="s">
        <v>1223</v>
      </c>
      <c r="X1" s="171" t="s">
        <v>1224</v>
      </c>
    </row>
    <row r="2" spans="1:26" ht="15" customHeight="1" x14ac:dyDescent="0.25">
      <c r="A2" s="137" t="s">
        <v>15</v>
      </c>
      <c r="B2" s="137" t="s">
        <v>16</v>
      </c>
      <c r="C2" s="137">
        <v>2018</v>
      </c>
      <c r="D2" s="137">
        <v>7.4930000000000003</v>
      </c>
      <c r="E2" s="137" t="s">
        <v>312</v>
      </c>
      <c r="F2" s="137" t="s">
        <v>312</v>
      </c>
      <c r="G2" s="137" t="s">
        <v>312</v>
      </c>
      <c r="H2" s="137" t="s">
        <v>312</v>
      </c>
      <c r="I2" s="137" t="s">
        <v>312</v>
      </c>
      <c r="J2" s="137" t="s">
        <v>312</v>
      </c>
      <c r="K2" s="137" t="s">
        <v>312</v>
      </c>
      <c r="L2" s="137" t="s">
        <v>312</v>
      </c>
      <c r="M2" s="137" t="s">
        <v>312</v>
      </c>
      <c r="N2" s="137" t="s">
        <v>53</v>
      </c>
      <c r="O2" s="137" t="s">
        <v>193</v>
      </c>
      <c r="P2" s="137" t="s">
        <v>53</v>
      </c>
      <c r="Q2" s="137" t="s">
        <v>193</v>
      </c>
      <c r="R2" s="137" t="s">
        <v>53</v>
      </c>
      <c r="S2" s="137" t="s">
        <v>193</v>
      </c>
      <c r="U2" s="137">
        <f>IFERROR(D2/1,0)</f>
        <v>7.4930000000000003</v>
      </c>
      <c r="V2" s="171">
        <f>IFERROR(O2/1,0)+IFERROR(Q2/1,0)+IFERROR(S2/1,0)</f>
        <v>0</v>
      </c>
      <c r="X2" s="171" t="s">
        <v>1225</v>
      </c>
      <c r="Y2" s="205">
        <f>SUM(V2:V472)</f>
        <v>1727.499</v>
      </c>
      <c r="Z2" s="171" t="s">
        <v>1228</v>
      </c>
    </row>
    <row r="3" spans="1:26" ht="15" customHeight="1" x14ac:dyDescent="0.25">
      <c r="A3" s="137" t="s">
        <v>15</v>
      </c>
      <c r="B3" s="137" t="s">
        <v>18</v>
      </c>
      <c r="C3" s="137">
        <v>2018</v>
      </c>
      <c r="D3" s="137">
        <v>16.2</v>
      </c>
      <c r="E3" s="137" t="s">
        <v>312</v>
      </c>
      <c r="F3" s="137" t="s">
        <v>312</v>
      </c>
      <c r="G3" s="137" t="s">
        <v>312</v>
      </c>
      <c r="H3" s="137" t="s">
        <v>312</v>
      </c>
      <c r="I3" s="137" t="s">
        <v>312</v>
      </c>
      <c r="J3" s="137" t="s">
        <v>312</v>
      </c>
      <c r="K3" s="137" t="s">
        <v>312</v>
      </c>
      <c r="L3" s="137" t="s">
        <v>312</v>
      </c>
      <c r="M3" s="137" t="s">
        <v>312</v>
      </c>
      <c r="N3" s="137" t="s">
        <v>53</v>
      </c>
      <c r="O3" s="137" t="s">
        <v>193</v>
      </c>
      <c r="P3" s="137" t="s">
        <v>53</v>
      </c>
      <c r="Q3" s="137" t="s">
        <v>193</v>
      </c>
      <c r="R3" s="137" t="s">
        <v>53</v>
      </c>
      <c r="S3" s="137" t="s">
        <v>193</v>
      </c>
      <c r="U3" s="137">
        <f t="shared" ref="U3:U65" si="0">IFERROR(D3/1,0)</f>
        <v>16.2</v>
      </c>
      <c r="V3" s="171">
        <f t="shared" ref="V3:V65" si="1">IFERROR(O3/1,0)+IFERROR(Q3/1,0)+IFERROR(S3/1,0)</f>
        <v>0</v>
      </c>
      <c r="X3" s="171" t="s">
        <v>1226</v>
      </c>
      <c r="Y3" s="205">
        <f>SUM(Miljö!Z2:Z473)</f>
        <v>1676.2330000000002</v>
      </c>
      <c r="Z3" s="171" t="s">
        <v>1228</v>
      </c>
    </row>
    <row r="4" spans="1:26" ht="15" customHeight="1" x14ac:dyDescent="0.25">
      <c r="A4" s="137" t="s">
        <v>15</v>
      </c>
      <c r="B4" s="137" t="s">
        <v>20</v>
      </c>
      <c r="C4" s="137">
        <v>2018</v>
      </c>
      <c r="D4" s="137">
        <v>107.4</v>
      </c>
      <c r="E4" s="137" t="s">
        <v>312</v>
      </c>
      <c r="F4" s="137" t="s">
        <v>312</v>
      </c>
      <c r="G4" s="137" t="s">
        <v>312</v>
      </c>
      <c r="H4" s="137" t="s">
        <v>312</v>
      </c>
      <c r="I4" s="137" t="s">
        <v>312</v>
      </c>
      <c r="J4" s="137" t="s">
        <v>312</v>
      </c>
      <c r="K4" s="137" t="s">
        <v>312</v>
      </c>
      <c r="L4" s="137" t="s">
        <v>312</v>
      </c>
      <c r="M4" s="137" t="s">
        <v>312</v>
      </c>
      <c r="N4" s="137" t="s">
        <v>53</v>
      </c>
      <c r="O4" s="137" t="s">
        <v>193</v>
      </c>
      <c r="P4" s="137" t="s">
        <v>53</v>
      </c>
      <c r="Q4" s="137" t="s">
        <v>193</v>
      </c>
      <c r="R4" s="137" t="s">
        <v>53</v>
      </c>
      <c r="S4" s="137" t="s">
        <v>193</v>
      </c>
      <c r="U4" s="137">
        <f t="shared" si="0"/>
        <v>107.4</v>
      </c>
      <c r="V4" s="171">
        <f t="shared" si="1"/>
        <v>0</v>
      </c>
      <c r="X4" s="171"/>
    </row>
    <row r="5" spans="1:26" ht="15" customHeight="1" x14ac:dyDescent="0.25">
      <c r="A5" s="137" t="s">
        <v>15</v>
      </c>
      <c r="B5" s="137" t="s">
        <v>22</v>
      </c>
      <c r="C5" s="137">
        <v>2018</v>
      </c>
      <c r="D5" s="137">
        <v>22.3</v>
      </c>
      <c r="E5" s="137" t="s">
        <v>312</v>
      </c>
      <c r="F5" s="137" t="s">
        <v>312</v>
      </c>
      <c r="G5" s="137" t="s">
        <v>312</v>
      </c>
      <c r="H5" s="137" t="s">
        <v>312</v>
      </c>
      <c r="I5" s="137" t="s">
        <v>312</v>
      </c>
      <c r="J5" s="137" t="s">
        <v>312</v>
      </c>
      <c r="K5" s="137" t="s">
        <v>312</v>
      </c>
      <c r="L5" s="137" t="s">
        <v>312</v>
      </c>
      <c r="M5" s="137" t="s">
        <v>312</v>
      </c>
      <c r="N5" s="137" t="s">
        <v>53</v>
      </c>
      <c r="O5" s="137" t="s">
        <v>193</v>
      </c>
      <c r="P5" s="137" t="s">
        <v>53</v>
      </c>
      <c r="Q5" s="137" t="s">
        <v>193</v>
      </c>
      <c r="R5" s="137" t="s">
        <v>53</v>
      </c>
      <c r="S5" s="137" t="s">
        <v>193</v>
      </c>
      <c r="U5" s="137">
        <f t="shared" si="0"/>
        <v>22.3</v>
      </c>
      <c r="V5" s="171">
        <f t="shared" si="1"/>
        <v>0</v>
      </c>
      <c r="X5" s="171" t="s">
        <v>1227</v>
      </c>
      <c r="Y5" s="205">
        <f>Y2-Y3</f>
        <v>51.265999999999849</v>
      </c>
      <c r="Z5" s="171" t="s">
        <v>1228</v>
      </c>
    </row>
    <row r="6" spans="1:26" ht="15" customHeight="1" x14ac:dyDescent="0.25">
      <c r="A6" s="137" t="s">
        <v>15</v>
      </c>
      <c r="B6" s="137" t="s">
        <v>24</v>
      </c>
      <c r="C6" s="137">
        <v>2018</v>
      </c>
      <c r="D6" s="137">
        <v>62.1</v>
      </c>
      <c r="E6" s="137" t="s">
        <v>312</v>
      </c>
      <c r="F6" s="137" t="s">
        <v>312</v>
      </c>
      <c r="G6" s="137" t="s">
        <v>312</v>
      </c>
      <c r="H6" s="137" t="s">
        <v>312</v>
      </c>
      <c r="I6" s="137" t="s">
        <v>312</v>
      </c>
      <c r="J6" s="137" t="s">
        <v>312</v>
      </c>
      <c r="K6" s="137" t="s">
        <v>312</v>
      </c>
      <c r="L6" s="137" t="s">
        <v>312</v>
      </c>
      <c r="M6" s="137" t="s">
        <v>312</v>
      </c>
      <c r="N6" s="137" t="s">
        <v>53</v>
      </c>
      <c r="O6" s="137" t="s">
        <v>193</v>
      </c>
      <c r="P6" s="137" t="s">
        <v>53</v>
      </c>
      <c r="Q6" s="137" t="s">
        <v>193</v>
      </c>
      <c r="R6" s="137" t="s">
        <v>53</v>
      </c>
      <c r="S6" s="137" t="s">
        <v>193</v>
      </c>
      <c r="U6" s="137">
        <f t="shared" si="0"/>
        <v>62.1</v>
      </c>
      <c r="V6" s="171">
        <f t="shared" si="1"/>
        <v>0</v>
      </c>
    </row>
    <row r="7" spans="1:26" ht="15" customHeight="1" x14ac:dyDescent="0.25">
      <c r="A7" s="137" t="s">
        <v>15</v>
      </c>
      <c r="B7" s="137" t="s">
        <v>26</v>
      </c>
      <c r="C7" s="137">
        <v>2018</v>
      </c>
      <c r="D7" s="137">
        <v>23.9</v>
      </c>
      <c r="E7" s="137" t="s">
        <v>312</v>
      </c>
      <c r="F7" s="137" t="s">
        <v>312</v>
      </c>
      <c r="G7" s="137" t="s">
        <v>312</v>
      </c>
      <c r="H7" s="137" t="s">
        <v>312</v>
      </c>
      <c r="I7" s="137" t="s">
        <v>312</v>
      </c>
      <c r="J7" s="137" t="s">
        <v>312</v>
      </c>
      <c r="K7" s="137" t="s">
        <v>312</v>
      </c>
      <c r="L7" s="137" t="s">
        <v>312</v>
      </c>
      <c r="M7" s="137" t="s">
        <v>312</v>
      </c>
      <c r="N7" s="137" t="s">
        <v>53</v>
      </c>
      <c r="O7" s="137" t="s">
        <v>193</v>
      </c>
      <c r="P7" s="137" t="s">
        <v>53</v>
      </c>
      <c r="Q7" s="137" t="s">
        <v>193</v>
      </c>
      <c r="R7" s="137" t="s">
        <v>53</v>
      </c>
      <c r="S7" s="137" t="s">
        <v>193</v>
      </c>
      <c r="U7" s="137">
        <f t="shared" si="0"/>
        <v>23.9</v>
      </c>
      <c r="V7" s="171">
        <f t="shared" si="1"/>
        <v>0</v>
      </c>
      <c r="X7" s="157"/>
    </row>
    <row r="8" spans="1:26" ht="15" customHeight="1" x14ac:dyDescent="0.25">
      <c r="A8" s="137" t="s">
        <v>15</v>
      </c>
      <c r="B8" s="137" t="s">
        <v>28</v>
      </c>
      <c r="C8" s="137">
        <v>2018</v>
      </c>
      <c r="D8" s="137">
        <v>71.900000000000006</v>
      </c>
      <c r="E8" s="137" t="s">
        <v>312</v>
      </c>
      <c r="F8" s="137" t="s">
        <v>312</v>
      </c>
      <c r="G8" s="137" t="s">
        <v>312</v>
      </c>
      <c r="H8" s="137" t="s">
        <v>312</v>
      </c>
      <c r="I8" s="137" t="s">
        <v>312</v>
      </c>
      <c r="J8" s="137" t="s">
        <v>312</v>
      </c>
      <c r="K8" s="137" t="s">
        <v>312</v>
      </c>
      <c r="L8" s="137" t="s">
        <v>312</v>
      </c>
      <c r="M8" s="137" t="s">
        <v>312</v>
      </c>
      <c r="N8" s="137" t="s">
        <v>53</v>
      </c>
      <c r="O8" s="137" t="s">
        <v>193</v>
      </c>
      <c r="P8" s="137" t="s">
        <v>53</v>
      </c>
      <c r="Q8" s="137" t="s">
        <v>193</v>
      </c>
      <c r="R8" s="137" t="s">
        <v>53</v>
      </c>
      <c r="S8" s="137" t="s">
        <v>193</v>
      </c>
      <c r="U8" s="137">
        <f t="shared" si="0"/>
        <v>71.900000000000006</v>
      </c>
      <c r="V8" s="171">
        <f t="shared" si="1"/>
        <v>0</v>
      </c>
    </row>
    <row r="9" spans="1:26" ht="15" customHeight="1" x14ac:dyDescent="0.25">
      <c r="A9" s="137" t="s">
        <v>15</v>
      </c>
      <c r="B9" s="137" t="s">
        <v>30</v>
      </c>
      <c r="C9" s="137">
        <v>2018</v>
      </c>
      <c r="D9" s="137">
        <v>23.6</v>
      </c>
      <c r="E9" s="137" t="s">
        <v>312</v>
      </c>
      <c r="F9" s="137" t="s">
        <v>312</v>
      </c>
      <c r="G9" s="137" t="s">
        <v>312</v>
      </c>
      <c r="H9" s="137" t="s">
        <v>312</v>
      </c>
      <c r="I9" s="137" t="s">
        <v>312</v>
      </c>
      <c r="J9" s="137" t="s">
        <v>312</v>
      </c>
      <c r="K9" s="137" t="s">
        <v>312</v>
      </c>
      <c r="L9" s="137" t="s">
        <v>312</v>
      </c>
      <c r="M9" s="137" t="s">
        <v>312</v>
      </c>
      <c r="N9" s="137" t="s">
        <v>53</v>
      </c>
      <c r="O9" s="137" t="s">
        <v>193</v>
      </c>
      <c r="P9" s="137" t="s">
        <v>53</v>
      </c>
      <c r="Q9" s="137" t="s">
        <v>193</v>
      </c>
      <c r="R9" s="137" t="s">
        <v>53</v>
      </c>
      <c r="S9" s="137" t="s">
        <v>193</v>
      </c>
      <c r="U9" s="137">
        <f t="shared" si="0"/>
        <v>23.6</v>
      </c>
      <c r="V9" s="171">
        <f t="shared" si="1"/>
        <v>0</v>
      </c>
    </row>
    <row r="10" spans="1:26" ht="15" customHeight="1" x14ac:dyDescent="0.25">
      <c r="A10" s="137" t="s">
        <v>15</v>
      </c>
      <c r="B10" s="137" t="s">
        <v>32</v>
      </c>
      <c r="C10" s="137">
        <v>2018</v>
      </c>
      <c r="D10" s="137">
        <v>86.6</v>
      </c>
      <c r="E10" s="137" t="s">
        <v>312</v>
      </c>
      <c r="F10" s="137" t="s">
        <v>312</v>
      </c>
      <c r="G10" s="137" t="s">
        <v>312</v>
      </c>
      <c r="H10" s="137" t="s">
        <v>312</v>
      </c>
      <c r="I10" s="137" t="s">
        <v>312</v>
      </c>
      <c r="J10" s="137" t="s">
        <v>312</v>
      </c>
      <c r="K10" s="137" t="s">
        <v>312</v>
      </c>
      <c r="L10" s="137" t="s">
        <v>312</v>
      </c>
      <c r="M10" s="137" t="s">
        <v>312</v>
      </c>
      <c r="N10" s="137" t="s">
        <v>53</v>
      </c>
      <c r="O10" s="137" t="s">
        <v>193</v>
      </c>
      <c r="P10" s="137" t="s">
        <v>53</v>
      </c>
      <c r="Q10" s="137" t="s">
        <v>193</v>
      </c>
      <c r="R10" s="137" t="s">
        <v>53</v>
      </c>
      <c r="S10" s="137" t="s">
        <v>193</v>
      </c>
      <c r="U10" s="137">
        <f t="shared" si="0"/>
        <v>86.6</v>
      </c>
      <c r="V10" s="171">
        <f t="shared" si="1"/>
        <v>0</v>
      </c>
    </row>
    <row r="11" spans="1:26" ht="15" customHeight="1" x14ac:dyDescent="0.25">
      <c r="A11" s="137" t="s">
        <v>200</v>
      </c>
      <c r="B11" s="137" t="s">
        <v>201</v>
      </c>
      <c r="C11" s="137">
        <v>2018</v>
      </c>
      <c r="D11" s="137">
        <v>5.3</v>
      </c>
      <c r="E11" s="137">
        <v>3.3</v>
      </c>
      <c r="F11" s="137" t="s">
        <v>193</v>
      </c>
      <c r="G11" s="137" t="s">
        <v>193</v>
      </c>
      <c r="H11" s="137" t="s">
        <v>193</v>
      </c>
      <c r="I11" s="137">
        <v>2</v>
      </c>
      <c r="J11" s="137" t="s">
        <v>193</v>
      </c>
      <c r="K11" s="137" t="s">
        <v>193</v>
      </c>
      <c r="L11" s="137" t="s">
        <v>193</v>
      </c>
      <c r="M11" s="137" t="s">
        <v>193</v>
      </c>
      <c r="N11" s="137" t="s">
        <v>53</v>
      </c>
      <c r="O11" s="137" t="s">
        <v>193</v>
      </c>
      <c r="P11" s="137" t="s">
        <v>53</v>
      </c>
      <c r="Q11" s="137" t="s">
        <v>193</v>
      </c>
      <c r="R11" s="137" t="s">
        <v>53</v>
      </c>
      <c r="S11" s="137" t="s">
        <v>193</v>
      </c>
      <c r="U11" s="137">
        <f t="shared" si="0"/>
        <v>5.3</v>
      </c>
      <c r="V11" s="171">
        <f t="shared" si="1"/>
        <v>0</v>
      </c>
    </row>
    <row r="12" spans="1:26" ht="15" customHeight="1" x14ac:dyDescent="0.25">
      <c r="A12" s="137" t="s">
        <v>200</v>
      </c>
      <c r="B12" s="137" t="s">
        <v>202</v>
      </c>
      <c r="C12" s="137">
        <v>2018</v>
      </c>
      <c r="D12" s="137">
        <v>18.2</v>
      </c>
      <c r="E12" s="137">
        <v>10.3</v>
      </c>
      <c r="F12" s="137">
        <v>0</v>
      </c>
      <c r="G12" s="137">
        <v>0.7</v>
      </c>
      <c r="H12" s="137">
        <v>0</v>
      </c>
      <c r="I12" s="137">
        <v>7.2</v>
      </c>
      <c r="J12" s="137">
        <v>0</v>
      </c>
      <c r="K12" s="137">
        <v>0</v>
      </c>
      <c r="L12" s="137">
        <v>0</v>
      </c>
      <c r="M12" s="137">
        <v>0</v>
      </c>
      <c r="N12" s="137" t="s">
        <v>53</v>
      </c>
      <c r="O12" s="137" t="s">
        <v>193</v>
      </c>
      <c r="P12" s="137" t="s">
        <v>53</v>
      </c>
      <c r="Q12" s="137" t="s">
        <v>193</v>
      </c>
      <c r="R12" s="137" t="s">
        <v>53</v>
      </c>
      <c r="S12" s="137" t="s">
        <v>193</v>
      </c>
      <c r="U12" s="137">
        <f t="shared" si="0"/>
        <v>18.2</v>
      </c>
      <c r="V12" s="171">
        <f t="shared" si="1"/>
        <v>0</v>
      </c>
    </row>
    <row r="13" spans="1:26" ht="15" customHeight="1" x14ac:dyDescent="0.25">
      <c r="A13" s="137" t="s">
        <v>200</v>
      </c>
      <c r="B13" s="137" t="s">
        <v>203</v>
      </c>
      <c r="C13" s="137">
        <v>2018</v>
      </c>
      <c r="D13" s="137">
        <v>3.5</v>
      </c>
      <c r="E13" s="137">
        <v>1.9</v>
      </c>
      <c r="F13" s="137">
        <v>0</v>
      </c>
      <c r="G13" s="137">
        <v>0</v>
      </c>
      <c r="H13" s="137">
        <v>0</v>
      </c>
      <c r="I13" s="137">
        <v>1.6</v>
      </c>
      <c r="J13" s="137">
        <v>0</v>
      </c>
      <c r="K13" s="137">
        <v>0</v>
      </c>
      <c r="L13" s="137">
        <v>0</v>
      </c>
      <c r="M13" s="137">
        <v>0</v>
      </c>
      <c r="N13" s="137" t="s">
        <v>53</v>
      </c>
      <c r="O13" s="137" t="s">
        <v>193</v>
      </c>
      <c r="P13" s="137" t="s">
        <v>53</v>
      </c>
      <c r="Q13" s="137" t="s">
        <v>193</v>
      </c>
      <c r="R13" s="137" t="s">
        <v>53</v>
      </c>
      <c r="S13" s="137" t="s">
        <v>193</v>
      </c>
      <c r="U13" s="137">
        <f t="shared" si="0"/>
        <v>3.5</v>
      </c>
      <c r="V13" s="171">
        <f t="shared" si="1"/>
        <v>0</v>
      </c>
    </row>
    <row r="14" spans="1:26" ht="15" customHeight="1" x14ac:dyDescent="0.25">
      <c r="A14" s="137" t="s">
        <v>200</v>
      </c>
      <c r="B14" s="137" t="s">
        <v>204</v>
      </c>
      <c r="C14" s="137">
        <v>2018</v>
      </c>
      <c r="D14" s="137">
        <v>5.4</v>
      </c>
      <c r="E14" s="137">
        <v>3</v>
      </c>
      <c r="F14" s="137">
        <v>0.4</v>
      </c>
      <c r="G14" s="137">
        <v>0</v>
      </c>
      <c r="H14" s="137">
        <v>0</v>
      </c>
      <c r="I14" s="137">
        <v>2</v>
      </c>
      <c r="J14" s="137">
        <v>0</v>
      </c>
      <c r="K14" s="137">
        <v>0</v>
      </c>
      <c r="L14" s="137">
        <v>0</v>
      </c>
      <c r="M14" s="137">
        <v>0</v>
      </c>
      <c r="N14" s="137" t="s">
        <v>53</v>
      </c>
      <c r="O14" s="137" t="s">
        <v>193</v>
      </c>
      <c r="P14" s="137" t="s">
        <v>53</v>
      </c>
      <c r="Q14" s="137" t="s">
        <v>193</v>
      </c>
      <c r="R14" s="137" t="s">
        <v>53</v>
      </c>
      <c r="S14" s="137" t="s">
        <v>193</v>
      </c>
      <c r="U14" s="137">
        <f t="shared" si="0"/>
        <v>5.4</v>
      </c>
      <c r="V14" s="171">
        <f t="shared" si="1"/>
        <v>0</v>
      </c>
    </row>
    <row r="15" spans="1:26" ht="15" customHeight="1" x14ac:dyDescent="0.25">
      <c r="A15" s="137" t="s">
        <v>200</v>
      </c>
      <c r="B15" s="137" t="s">
        <v>205</v>
      </c>
      <c r="C15" s="137">
        <v>2018</v>
      </c>
      <c r="D15" s="137">
        <v>7.8</v>
      </c>
      <c r="E15" s="137">
        <v>2.8</v>
      </c>
      <c r="F15" s="137">
        <v>1.4</v>
      </c>
      <c r="G15" s="137">
        <v>0.6</v>
      </c>
      <c r="H15" s="137">
        <v>0</v>
      </c>
      <c r="I15" s="137">
        <v>3</v>
      </c>
      <c r="J15" s="137">
        <v>0</v>
      </c>
      <c r="K15" s="137">
        <v>0</v>
      </c>
      <c r="L15" s="137">
        <v>0</v>
      </c>
      <c r="M15" s="137">
        <v>0</v>
      </c>
      <c r="N15" s="137" t="s">
        <v>53</v>
      </c>
      <c r="O15" s="137" t="s">
        <v>193</v>
      </c>
      <c r="P15" s="137" t="s">
        <v>53</v>
      </c>
      <c r="Q15" s="137" t="s">
        <v>193</v>
      </c>
      <c r="R15" s="137" t="s">
        <v>53</v>
      </c>
      <c r="S15" s="137" t="s">
        <v>193</v>
      </c>
      <c r="U15" s="137">
        <f t="shared" si="0"/>
        <v>7.8</v>
      </c>
      <c r="V15" s="171">
        <f t="shared" si="1"/>
        <v>0</v>
      </c>
    </row>
    <row r="16" spans="1:26" ht="15" customHeight="1" x14ac:dyDescent="0.25">
      <c r="A16" s="137" t="s">
        <v>200</v>
      </c>
      <c r="B16" s="137" t="s">
        <v>206</v>
      </c>
      <c r="C16" s="137">
        <v>2018</v>
      </c>
      <c r="D16" s="137">
        <v>15.7</v>
      </c>
      <c r="E16" s="137">
        <v>5.4</v>
      </c>
      <c r="F16" s="137">
        <v>3.1</v>
      </c>
      <c r="G16" s="137">
        <v>7.2</v>
      </c>
      <c r="H16" s="137" t="s">
        <v>193</v>
      </c>
      <c r="I16" s="137" t="s">
        <v>193</v>
      </c>
      <c r="J16" s="137" t="s">
        <v>193</v>
      </c>
      <c r="K16" s="137" t="s">
        <v>193</v>
      </c>
      <c r="L16" s="137" t="s">
        <v>193</v>
      </c>
      <c r="M16" s="137" t="s">
        <v>193</v>
      </c>
      <c r="N16" s="137" t="s">
        <v>53</v>
      </c>
      <c r="O16" s="137" t="s">
        <v>193</v>
      </c>
      <c r="P16" s="137" t="s">
        <v>53</v>
      </c>
      <c r="Q16" s="137" t="s">
        <v>193</v>
      </c>
      <c r="R16" s="137" t="s">
        <v>53</v>
      </c>
      <c r="S16" s="137" t="s">
        <v>193</v>
      </c>
      <c r="U16" s="137">
        <f t="shared" si="0"/>
        <v>15.7</v>
      </c>
      <c r="V16" s="171">
        <f t="shared" si="1"/>
        <v>0</v>
      </c>
    </row>
    <row r="17" spans="1:22" ht="15" customHeight="1" x14ac:dyDescent="0.25">
      <c r="A17" s="137" t="s">
        <v>200</v>
      </c>
      <c r="B17" s="137" t="s">
        <v>207</v>
      </c>
      <c r="C17" s="137">
        <v>2018</v>
      </c>
      <c r="D17" s="137">
        <v>4</v>
      </c>
      <c r="E17" s="137">
        <v>2.1</v>
      </c>
      <c r="F17" s="137">
        <v>0.1</v>
      </c>
      <c r="G17" s="137">
        <v>0</v>
      </c>
      <c r="H17" s="137">
        <v>0</v>
      </c>
      <c r="I17" s="137">
        <v>1.8</v>
      </c>
      <c r="J17" s="137">
        <v>0</v>
      </c>
      <c r="K17" s="137">
        <v>0</v>
      </c>
      <c r="L17" s="137">
        <v>0</v>
      </c>
      <c r="M17" s="137">
        <v>0</v>
      </c>
      <c r="N17" s="137" t="s">
        <v>53</v>
      </c>
      <c r="O17" s="137" t="s">
        <v>193</v>
      </c>
      <c r="P17" s="137" t="s">
        <v>53</v>
      </c>
      <c r="Q17" s="137" t="s">
        <v>193</v>
      </c>
      <c r="R17" s="137" t="s">
        <v>53</v>
      </c>
      <c r="S17" s="137" t="s">
        <v>193</v>
      </c>
      <c r="U17" s="137">
        <f t="shared" si="0"/>
        <v>4</v>
      </c>
      <c r="V17" s="171">
        <f t="shared" si="1"/>
        <v>0</v>
      </c>
    </row>
    <row r="18" spans="1:22" ht="15" customHeight="1" x14ac:dyDescent="0.25">
      <c r="A18" s="137" t="s">
        <v>200</v>
      </c>
      <c r="B18" s="137" t="s">
        <v>208</v>
      </c>
      <c r="C18" s="137">
        <v>2018</v>
      </c>
      <c r="D18" s="137">
        <v>1.8</v>
      </c>
      <c r="E18" s="137">
        <v>1.3</v>
      </c>
      <c r="F18" s="137">
        <v>0</v>
      </c>
      <c r="G18" s="137">
        <v>0</v>
      </c>
      <c r="H18" s="137">
        <v>0</v>
      </c>
      <c r="I18" s="137">
        <v>0.5</v>
      </c>
      <c r="J18" s="137">
        <v>0</v>
      </c>
      <c r="K18" s="137">
        <v>0</v>
      </c>
      <c r="L18" s="137">
        <v>0</v>
      </c>
      <c r="M18" s="137">
        <v>0</v>
      </c>
      <c r="N18" s="137" t="s">
        <v>53</v>
      </c>
      <c r="O18" s="137" t="s">
        <v>193</v>
      </c>
      <c r="P18" s="137" t="s">
        <v>53</v>
      </c>
      <c r="Q18" s="137" t="s">
        <v>193</v>
      </c>
      <c r="R18" s="137" t="s">
        <v>53</v>
      </c>
      <c r="S18" s="137" t="s">
        <v>193</v>
      </c>
      <c r="U18" s="137">
        <f t="shared" si="0"/>
        <v>1.8</v>
      </c>
      <c r="V18" s="171">
        <f t="shared" si="1"/>
        <v>0</v>
      </c>
    </row>
    <row r="19" spans="1:22" ht="15" customHeight="1" x14ac:dyDescent="0.25">
      <c r="A19" s="137" t="s">
        <v>200</v>
      </c>
      <c r="B19" s="137" t="s">
        <v>209</v>
      </c>
      <c r="C19" s="137">
        <v>2018</v>
      </c>
      <c r="D19" s="137">
        <v>5.5</v>
      </c>
      <c r="E19" s="137">
        <v>3.1</v>
      </c>
      <c r="F19" s="137">
        <v>0.6</v>
      </c>
      <c r="G19" s="137">
        <v>0</v>
      </c>
      <c r="H19" s="137">
        <v>0</v>
      </c>
      <c r="I19" s="137">
        <v>2.4</v>
      </c>
      <c r="J19" s="137">
        <v>0</v>
      </c>
      <c r="K19" s="137">
        <v>0</v>
      </c>
      <c r="L19" s="137">
        <v>0</v>
      </c>
      <c r="M19" s="137">
        <v>0</v>
      </c>
      <c r="N19" s="137" t="s">
        <v>53</v>
      </c>
      <c r="O19" s="137" t="s">
        <v>193</v>
      </c>
      <c r="P19" s="137" t="s">
        <v>53</v>
      </c>
      <c r="Q19" s="137" t="s">
        <v>193</v>
      </c>
      <c r="R19" s="137" t="s">
        <v>53</v>
      </c>
      <c r="S19" s="137" t="s">
        <v>193</v>
      </c>
      <c r="U19" s="137">
        <f t="shared" si="0"/>
        <v>5.5</v>
      </c>
      <c r="V19" s="171">
        <f t="shared" si="1"/>
        <v>0</v>
      </c>
    </row>
    <row r="20" spans="1:22" ht="15" customHeight="1" x14ac:dyDescent="0.25">
      <c r="A20" s="137" t="s">
        <v>200</v>
      </c>
      <c r="B20" s="137" t="s">
        <v>210</v>
      </c>
      <c r="C20" s="137">
        <v>2018</v>
      </c>
      <c r="D20" s="137">
        <v>3.5</v>
      </c>
      <c r="E20" s="137">
        <v>1.4</v>
      </c>
      <c r="F20" s="137">
        <v>0.6</v>
      </c>
      <c r="G20" s="137" t="s">
        <v>193</v>
      </c>
      <c r="H20" s="137" t="s">
        <v>193</v>
      </c>
      <c r="I20" s="137">
        <v>1.5</v>
      </c>
      <c r="J20" s="137" t="s">
        <v>193</v>
      </c>
      <c r="K20" s="137" t="s">
        <v>193</v>
      </c>
      <c r="L20" s="137" t="s">
        <v>193</v>
      </c>
      <c r="M20" s="137" t="s">
        <v>193</v>
      </c>
      <c r="N20" s="137" t="s">
        <v>53</v>
      </c>
      <c r="O20" s="137" t="s">
        <v>193</v>
      </c>
      <c r="P20" s="137" t="s">
        <v>53</v>
      </c>
      <c r="Q20" s="137" t="s">
        <v>193</v>
      </c>
      <c r="R20" s="137" t="s">
        <v>53</v>
      </c>
      <c r="S20" s="137" t="s">
        <v>193</v>
      </c>
      <c r="U20" s="137">
        <f t="shared" si="0"/>
        <v>3.5</v>
      </c>
      <c r="V20" s="171">
        <f t="shared" si="1"/>
        <v>0</v>
      </c>
    </row>
    <row r="21" spans="1:22" ht="15" customHeight="1" x14ac:dyDescent="0.25">
      <c r="A21" s="137" t="s">
        <v>211</v>
      </c>
      <c r="B21" s="137" t="s">
        <v>212</v>
      </c>
      <c r="C21" s="137">
        <v>2018</v>
      </c>
      <c r="D21" s="137">
        <v>0.38</v>
      </c>
      <c r="E21" s="137">
        <v>0</v>
      </c>
      <c r="F21" s="137">
        <v>0</v>
      </c>
      <c r="G21" s="137">
        <v>0</v>
      </c>
      <c r="H21" s="137">
        <v>0</v>
      </c>
      <c r="I21" s="137">
        <v>0.38</v>
      </c>
      <c r="J21" s="137">
        <v>0</v>
      </c>
      <c r="K21" s="137">
        <v>0</v>
      </c>
      <c r="L21" s="137">
        <v>0</v>
      </c>
      <c r="M21" s="137">
        <v>0</v>
      </c>
      <c r="N21" s="137" t="s">
        <v>53</v>
      </c>
      <c r="O21" s="137" t="s">
        <v>193</v>
      </c>
      <c r="P21" s="137" t="s">
        <v>53</v>
      </c>
      <c r="Q21" s="137" t="s">
        <v>193</v>
      </c>
      <c r="R21" s="137" t="s">
        <v>53</v>
      </c>
      <c r="S21" s="137" t="s">
        <v>193</v>
      </c>
      <c r="U21" s="137">
        <f t="shared" si="0"/>
        <v>0.38</v>
      </c>
      <c r="V21" s="171">
        <f t="shared" si="1"/>
        <v>0</v>
      </c>
    </row>
    <row r="22" spans="1:22" ht="15" customHeight="1" x14ac:dyDescent="0.25">
      <c r="A22" s="137" t="s">
        <v>211</v>
      </c>
      <c r="B22" s="137" t="s">
        <v>213</v>
      </c>
      <c r="C22" s="137">
        <v>2018</v>
      </c>
      <c r="D22" s="137">
        <v>4.95</v>
      </c>
      <c r="E22" s="137">
        <v>2</v>
      </c>
      <c r="F22" s="137">
        <v>0.19</v>
      </c>
      <c r="G22" s="137">
        <v>0</v>
      </c>
      <c r="H22" s="137">
        <v>0</v>
      </c>
      <c r="I22" s="137">
        <v>2.5099999999999998</v>
      </c>
      <c r="J22" s="137">
        <v>0.27</v>
      </c>
      <c r="K22" s="137">
        <v>0</v>
      </c>
      <c r="L22" s="137">
        <v>0</v>
      </c>
      <c r="M22" s="137">
        <v>0</v>
      </c>
      <c r="N22" s="137" t="s">
        <v>53</v>
      </c>
      <c r="O22" s="137" t="s">
        <v>193</v>
      </c>
      <c r="P22" s="137" t="s">
        <v>53</v>
      </c>
      <c r="Q22" s="137" t="s">
        <v>193</v>
      </c>
      <c r="R22" s="137" t="s">
        <v>53</v>
      </c>
      <c r="S22" s="137" t="s">
        <v>193</v>
      </c>
      <c r="U22" s="137">
        <f t="shared" si="0"/>
        <v>4.95</v>
      </c>
      <c r="V22" s="171">
        <f t="shared" si="1"/>
        <v>0</v>
      </c>
    </row>
    <row r="23" spans="1:22" ht="15" customHeight="1" x14ac:dyDescent="0.25">
      <c r="A23" s="137" t="s">
        <v>211</v>
      </c>
      <c r="B23" s="137" t="s">
        <v>214</v>
      </c>
      <c r="C23" s="137">
        <v>2018</v>
      </c>
      <c r="D23" s="137">
        <v>243.29599999999999</v>
      </c>
      <c r="E23" s="137">
        <v>124.744</v>
      </c>
      <c r="F23" s="137">
        <v>2.702</v>
      </c>
      <c r="G23" s="137" t="s">
        <v>193</v>
      </c>
      <c r="H23" s="137" t="s">
        <v>193</v>
      </c>
      <c r="I23" s="137">
        <v>42.685000000000002</v>
      </c>
      <c r="J23" s="137">
        <v>49.439</v>
      </c>
      <c r="K23" s="137">
        <v>8.5000000000000006E-2</v>
      </c>
      <c r="L23" s="137" t="s">
        <v>193</v>
      </c>
      <c r="M23" s="137">
        <v>23.640999999999998</v>
      </c>
      <c r="N23" s="137" t="s">
        <v>53</v>
      </c>
      <c r="O23" s="137" t="s">
        <v>193</v>
      </c>
      <c r="P23" s="137" t="s">
        <v>53</v>
      </c>
      <c r="Q23" s="137" t="s">
        <v>193</v>
      </c>
      <c r="R23" s="137" t="s">
        <v>53</v>
      </c>
      <c r="S23" s="137" t="s">
        <v>193</v>
      </c>
      <c r="U23" s="137">
        <f t="shared" si="0"/>
        <v>243.29599999999999</v>
      </c>
      <c r="V23" s="171">
        <f t="shared" si="1"/>
        <v>0</v>
      </c>
    </row>
    <row r="24" spans="1:22" ht="15" customHeight="1" x14ac:dyDescent="0.25">
      <c r="A24" s="137" t="s">
        <v>211</v>
      </c>
      <c r="B24" s="137" t="s">
        <v>215</v>
      </c>
      <c r="C24" s="137">
        <v>2018</v>
      </c>
      <c r="D24" s="137">
        <v>4.0970000000000004</v>
      </c>
      <c r="E24" s="137">
        <v>1.083</v>
      </c>
      <c r="F24" s="137">
        <v>0.32</v>
      </c>
      <c r="G24" s="137">
        <v>0</v>
      </c>
      <c r="H24" s="137">
        <v>0</v>
      </c>
      <c r="I24" s="137">
        <v>1.7829999999999999</v>
      </c>
      <c r="J24" s="137">
        <v>0.91100000000000003</v>
      </c>
      <c r="K24" s="137">
        <v>0</v>
      </c>
      <c r="L24" s="137">
        <v>0</v>
      </c>
      <c r="M24" s="137">
        <v>0</v>
      </c>
      <c r="N24" s="137" t="s">
        <v>53</v>
      </c>
      <c r="O24" s="137" t="s">
        <v>193</v>
      </c>
      <c r="P24" s="137" t="s">
        <v>53</v>
      </c>
      <c r="Q24" s="137" t="s">
        <v>193</v>
      </c>
      <c r="R24" s="137" t="s">
        <v>53</v>
      </c>
      <c r="S24" s="137" t="s">
        <v>193</v>
      </c>
      <c r="U24" s="137">
        <f t="shared" si="0"/>
        <v>4.0970000000000004</v>
      </c>
      <c r="V24" s="171">
        <f t="shared" si="1"/>
        <v>0</v>
      </c>
    </row>
    <row r="25" spans="1:22" ht="15" customHeight="1" x14ac:dyDescent="0.25">
      <c r="A25" s="137" t="s">
        <v>211</v>
      </c>
      <c r="B25" s="137" t="s">
        <v>216</v>
      </c>
      <c r="C25" s="137">
        <v>2018</v>
      </c>
      <c r="D25" s="137">
        <v>0.7</v>
      </c>
      <c r="E25" s="137">
        <v>0.32</v>
      </c>
      <c r="F25" s="137">
        <v>0</v>
      </c>
      <c r="G25" s="137">
        <v>0</v>
      </c>
      <c r="H25" s="137">
        <v>0</v>
      </c>
      <c r="I25" s="137">
        <v>0.37</v>
      </c>
      <c r="J25" s="137">
        <v>0</v>
      </c>
      <c r="K25" s="137">
        <v>0</v>
      </c>
      <c r="L25" s="137">
        <v>0</v>
      </c>
      <c r="M25" s="137">
        <v>0</v>
      </c>
      <c r="N25" s="137" t="s">
        <v>53</v>
      </c>
      <c r="O25" s="137" t="s">
        <v>193</v>
      </c>
      <c r="P25" s="137" t="s">
        <v>53</v>
      </c>
      <c r="Q25" s="137" t="s">
        <v>193</v>
      </c>
      <c r="R25" s="137" t="s">
        <v>53</v>
      </c>
      <c r="S25" s="137" t="s">
        <v>193</v>
      </c>
      <c r="U25" s="137">
        <f t="shared" si="0"/>
        <v>0.7</v>
      </c>
      <c r="V25" s="171">
        <f t="shared" si="1"/>
        <v>0</v>
      </c>
    </row>
    <row r="26" spans="1:22" ht="15" customHeight="1" x14ac:dyDescent="0.25">
      <c r="A26" s="137" t="s">
        <v>217</v>
      </c>
      <c r="B26" s="137" t="s">
        <v>218</v>
      </c>
      <c r="C26" s="137">
        <v>2018</v>
      </c>
      <c r="D26" s="137">
        <v>121.5</v>
      </c>
      <c r="E26" s="137">
        <v>62</v>
      </c>
      <c r="F26" s="137">
        <v>11.1</v>
      </c>
      <c r="G26" s="137">
        <v>9.4</v>
      </c>
      <c r="H26" s="137">
        <v>0</v>
      </c>
      <c r="I26" s="137">
        <v>12.5</v>
      </c>
      <c r="J26" s="137">
        <v>26.5</v>
      </c>
      <c r="K26" s="137">
        <v>0</v>
      </c>
      <c r="L26" s="137" t="s">
        <v>312</v>
      </c>
      <c r="M26" s="137">
        <v>4.3</v>
      </c>
      <c r="N26" s="137" t="s">
        <v>53</v>
      </c>
      <c r="O26" s="137" t="s">
        <v>193</v>
      </c>
      <c r="P26" s="137" t="s">
        <v>53</v>
      </c>
      <c r="Q26" s="137" t="s">
        <v>193</v>
      </c>
      <c r="R26" s="137" t="s">
        <v>53</v>
      </c>
      <c r="S26" s="137" t="s">
        <v>193</v>
      </c>
      <c r="U26" s="137">
        <f t="shared" si="0"/>
        <v>121.5</v>
      </c>
      <c r="V26" s="171">
        <f t="shared" si="1"/>
        <v>0</v>
      </c>
    </row>
    <row r="27" spans="1:22" ht="15" customHeight="1" x14ac:dyDescent="0.25">
      <c r="A27" s="137" t="s">
        <v>220</v>
      </c>
      <c r="B27" s="137" t="s">
        <v>221</v>
      </c>
      <c r="C27" s="137">
        <v>2018</v>
      </c>
      <c r="D27" s="137">
        <v>55.97</v>
      </c>
      <c r="E27" s="137">
        <v>23.34</v>
      </c>
      <c r="F27" s="137">
        <v>13.59</v>
      </c>
      <c r="G27" s="137">
        <v>4.42</v>
      </c>
      <c r="H27" s="137" t="s">
        <v>312</v>
      </c>
      <c r="I27" s="137">
        <v>14.62</v>
      </c>
      <c r="J27" s="137" t="s">
        <v>193</v>
      </c>
      <c r="K27" s="137" t="s">
        <v>193</v>
      </c>
      <c r="L27" s="137" t="s">
        <v>193</v>
      </c>
      <c r="M27" s="137" t="s">
        <v>193</v>
      </c>
      <c r="N27" s="137" t="s">
        <v>53</v>
      </c>
      <c r="O27" s="137" t="s">
        <v>193</v>
      </c>
      <c r="P27" s="137" t="s">
        <v>53</v>
      </c>
      <c r="Q27" s="137" t="s">
        <v>193</v>
      </c>
      <c r="R27" s="137" t="s">
        <v>53</v>
      </c>
      <c r="S27" s="137" t="s">
        <v>193</v>
      </c>
      <c r="U27" s="137">
        <f t="shared" si="0"/>
        <v>55.97</v>
      </c>
      <c r="V27" s="171">
        <f t="shared" si="1"/>
        <v>0</v>
      </c>
    </row>
    <row r="28" spans="1:22" ht="15" customHeight="1" x14ac:dyDescent="0.25">
      <c r="A28" s="137" t="s">
        <v>220</v>
      </c>
      <c r="B28" s="137" t="s">
        <v>222</v>
      </c>
      <c r="C28" s="137">
        <v>2018</v>
      </c>
      <c r="D28" s="137">
        <v>10.67</v>
      </c>
      <c r="E28" s="137">
        <v>2.83</v>
      </c>
      <c r="F28" s="137">
        <v>4.8899999999999997</v>
      </c>
      <c r="G28" s="137">
        <v>1.47</v>
      </c>
      <c r="H28" s="137" t="s">
        <v>193</v>
      </c>
      <c r="I28" s="137">
        <v>1.48</v>
      </c>
      <c r="J28" s="137" t="s">
        <v>193</v>
      </c>
      <c r="K28" s="137" t="s">
        <v>193</v>
      </c>
      <c r="L28" s="137" t="s">
        <v>193</v>
      </c>
      <c r="M28" s="137" t="s">
        <v>193</v>
      </c>
      <c r="N28" s="137" t="s">
        <v>53</v>
      </c>
      <c r="O28" s="137" t="s">
        <v>193</v>
      </c>
      <c r="P28" s="137" t="s">
        <v>53</v>
      </c>
      <c r="Q28" s="137" t="s">
        <v>193</v>
      </c>
      <c r="R28" s="137" t="s">
        <v>53</v>
      </c>
      <c r="S28" s="137" t="s">
        <v>193</v>
      </c>
      <c r="U28" s="137">
        <f t="shared" si="0"/>
        <v>10.67</v>
      </c>
      <c r="V28" s="171">
        <f t="shared" si="1"/>
        <v>0</v>
      </c>
    </row>
    <row r="29" spans="1:22" ht="15" customHeight="1" x14ac:dyDescent="0.25">
      <c r="A29" s="137" t="s">
        <v>220</v>
      </c>
      <c r="B29" s="137" t="s">
        <v>223</v>
      </c>
      <c r="C29" s="137">
        <v>2018</v>
      </c>
      <c r="D29" s="137">
        <v>10.67</v>
      </c>
      <c r="E29" s="137">
        <v>2.83</v>
      </c>
      <c r="F29" s="137">
        <v>4.8899999999999997</v>
      </c>
      <c r="G29" s="137">
        <v>1.47</v>
      </c>
      <c r="H29" s="137" t="s">
        <v>193</v>
      </c>
      <c r="I29" s="137">
        <v>1.48</v>
      </c>
      <c r="J29" s="137" t="s">
        <v>193</v>
      </c>
      <c r="K29" s="137" t="s">
        <v>193</v>
      </c>
      <c r="L29" s="137" t="s">
        <v>193</v>
      </c>
      <c r="M29" s="137" t="s">
        <v>193</v>
      </c>
      <c r="N29" s="137" t="s">
        <v>53</v>
      </c>
      <c r="O29" s="137" t="s">
        <v>193</v>
      </c>
      <c r="P29" s="137" t="s">
        <v>53</v>
      </c>
      <c r="Q29" s="137" t="s">
        <v>193</v>
      </c>
      <c r="R29" s="137" t="s">
        <v>53</v>
      </c>
      <c r="S29" s="137" t="s">
        <v>193</v>
      </c>
      <c r="U29" s="137">
        <f t="shared" si="0"/>
        <v>10.67</v>
      </c>
      <c r="V29" s="171">
        <f t="shared" si="1"/>
        <v>0</v>
      </c>
    </row>
    <row r="30" spans="1:22" ht="15" customHeight="1" x14ac:dyDescent="0.25">
      <c r="A30" s="137" t="s">
        <v>224</v>
      </c>
      <c r="B30" s="137" t="s">
        <v>225</v>
      </c>
      <c r="C30" s="137">
        <v>2018</v>
      </c>
      <c r="D30" s="137">
        <v>25.97</v>
      </c>
      <c r="E30" s="137">
        <v>5.9610000000000003</v>
      </c>
      <c r="F30" s="137">
        <v>3.4729999999999999</v>
      </c>
      <c r="G30" s="137">
        <v>0.97899999999999998</v>
      </c>
      <c r="H30" s="137">
        <v>0</v>
      </c>
      <c r="I30" s="137">
        <v>2.1070000000000002</v>
      </c>
      <c r="J30" s="137">
        <v>1.8620000000000001</v>
      </c>
      <c r="K30" s="137">
        <v>0</v>
      </c>
      <c r="L30" s="137">
        <v>0</v>
      </c>
      <c r="M30" s="137">
        <v>11.587999999999999</v>
      </c>
      <c r="N30" s="137" t="s">
        <v>53</v>
      </c>
      <c r="O30" s="137" t="s">
        <v>193</v>
      </c>
      <c r="P30" s="137" t="s">
        <v>53</v>
      </c>
      <c r="Q30" s="137" t="s">
        <v>193</v>
      </c>
      <c r="R30" s="137" t="s">
        <v>53</v>
      </c>
      <c r="S30" s="137" t="s">
        <v>193</v>
      </c>
      <c r="U30" s="137">
        <f t="shared" si="0"/>
        <v>25.97</v>
      </c>
      <c r="V30" s="171">
        <f t="shared" si="1"/>
        <v>0</v>
      </c>
    </row>
    <row r="31" spans="1:22" ht="15" customHeight="1" x14ac:dyDescent="0.25">
      <c r="A31" s="137" t="s">
        <v>36</v>
      </c>
      <c r="B31" s="141" t="s">
        <v>37</v>
      </c>
      <c r="C31" s="137">
        <v>2018</v>
      </c>
      <c r="D31" s="137" t="s">
        <v>53</v>
      </c>
      <c r="E31" s="137" t="s">
        <v>53</v>
      </c>
      <c r="F31" s="137" t="s">
        <v>53</v>
      </c>
      <c r="G31" s="137" t="s">
        <v>53</v>
      </c>
      <c r="H31" s="137" t="s">
        <v>53</v>
      </c>
      <c r="I31" s="137" t="s">
        <v>53</v>
      </c>
      <c r="J31" s="137" t="s">
        <v>53</v>
      </c>
      <c r="K31" s="137" t="s">
        <v>53</v>
      </c>
      <c r="L31" s="137" t="s">
        <v>53</v>
      </c>
      <c r="M31" s="137" t="s">
        <v>53</v>
      </c>
      <c r="N31" s="137" t="s">
        <v>53</v>
      </c>
      <c r="O31" s="137" t="s">
        <v>53</v>
      </c>
      <c r="P31" s="137" t="s">
        <v>53</v>
      </c>
      <c r="Q31" s="137" t="s">
        <v>53</v>
      </c>
      <c r="R31" s="137" t="s">
        <v>53</v>
      </c>
      <c r="S31" s="137" t="s">
        <v>53</v>
      </c>
      <c r="U31" s="137">
        <f t="shared" si="0"/>
        <v>0</v>
      </c>
      <c r="V31" s="171">
        <f t="shared" si="1"/>
        <v>0</v>
      </c>
    </row>
    <row r="32" spans="1:22" ht="15" customHeight="1" x14ac:dyDescent="0.25">
      <c r="A32" s="137" t="s">
        <v>226</v>
      </c>
      <c r="B32" s="137" t="s">
        <v>227</v>
      </c>
      <c r="C32" s="137">
        <v>2018</v>
      </c>
      <c r="D32" s="137">
        <v>108.3</v>
      </c>
      <c r="E32" s="137">
        <v>40.799999999999997</v>
      </c>
      <c r="F32" s="137">
        <v>5.2</v>
      </c>
      <c r="G32" s="137">
        <v>31.4</v>
      </c>
      <c r="H32" s="137" t="s">
        <v>193</v>
      </c>
      <c r="I32" s="137">
        <v>14.1</v>
      </c>
      <c r="J32" s="137">
        <v>16.8</v>
      </c>
      <c r="K32" s="137" t="s">
        <v>193</v>
      </c>
      <c r="L32" s="137" t="s">
        <v>193</v>
      </c>
      <c r="M32" s="137" t="s">
        <v>193</v>
      </c>
      <c r="N32" s="137" t="s">
        <v>53</v>
      </c>
      <c r="O32" s="137" t="s">
        <v>193</v>
      </c>
      <c r="P32" s="137" t="s">
        <v>53</v>
      </c>
      <c r="Q32" s="137" t="s">
        <v>193</v>
      </c>
      <c r="R32" s="137" t="s">
        <v>53</v>
      </c>
      <c r="S32" s="137" t="s">
        <v>193</v>
      </c>
      <c r="U32" s="137">
        <f t="shared" si="0"/>
        <v>108.3</v>
      </c>
      <c r="V32" s="171">
        <f t="shared" si="1"/>
        <v>0</v>
      </c>
    </row>
    <row r="33" spans="1:22" ht="15" customHeight="1" x14ac:dyDescent="0.25">
      <c r="A33" s="137" t="s">
        <v>228</v>
      </c>
      <c r="B33" s="137" t="s">
        <v>229</v>
      </c>
      <c r="C33" s="137">
        <v>2018</v>
      </c>
      <c r="D33" s="137">
        <v>8.4</v>
      </c>
      <c r="E33" s="137">
        <v>3.4</v>
      </c>
      <c r="F33" s="137">
        <v>0.5</v>
      </c>
      <c r="G33" s="137" t="s">
        <v>193</v>
      </c>
      <c r="H33" s="137" t="s">
        <v>193</v>
      </c>
      <c r="I33" s="137">
        <v>3.6</v>
      </c>
      <c r="J33" s="137">
        <v>0.6</v>
      </c>
      <c r="K33" s="137" t="s">
        <v>193</v>
      </c>
      <c r="L33" s="137" t="s">
        <v>193</v>
      </c>
      <c r="M33" s="137" t="s">
        <v>193</v>
      </c>
      <c r="N33" s="137" t="s">
        <v>53</v>
      </c>
      <c r="O33" s="137" t="s">
        <v>193</v>
      </c>
      <c r="P33" s="137" t="s">
        <v>53</v>
      </c>
      <c r="Q33" s="137" t="s">
        <v>193</v>
      </c>
      <c r="R33" s="137" t="s">
        <v>53</v>
      </c>
      <c r="S33" s="137" t="s">
        <v>193</v>
      </c>
      <c r="U33" s="137">
        <f t="shared" si="0"/>
        <v>8.4</v>
      </c>
      <c r="V33" s="171">
        <f t="shared" si="1"/>
        <v>0</v>
      </c>
    </row>
    <row r="34" spans="1:22" ht="15" customHeight="1" x14ac:dyDescent="0.25">
      <c r="A34" s="137" t="s">
        <v>230</v>
      </c>
      <c r="B34" s="137" t="s">
        <v>66</v>
      </c>
      <c r="C34" s="137">
        <v>2018</v>
      </c>
      <c r="D34" s="137">
        <v>273</v>
      </c>
      <c r="E34" s="137">
        <v>91</v>
      </c>
      <c r="F34" s="137">
        <v>88</v>
      </c>
      <c r="G34" s="137">
        <v>12</v>
      </c>
      <c r="H34" s="137" t="s">
        <v>193</v>
      </c>
      <c r="I34" s="137">
        <v>36</v>
      </c>
      <c r="J34" s="137" t="s">
        <v>193</v>
      </c>
      <c r="K34" s="137">
        <v>4</v>
      </c>
      <c r="L34" s="137" t="s">
        <v>193</v>
      </c>
      <c r="M34" s="137">
        <v>12</v>
      </c>
      <c r="N34" s="137" t="s">
        <v>53</v>
      </c>
      <c r="O34" s="137" t="s">
        <v>193</v>
      </c>
      <c r="P34" s="137" t="s">
        <v>53</v>
      </c>
      <c r="Q34" s="137" t="s">
        <v>193</v>
      </c>
      <c r="R34" s="137" t="s">
        <v>53</v>
      </c>
      <c r="S34" s="137" t="s">
        <v>193</v>
      </c>
      <c r="U34" s="137">
        <f t="shared" si="0"/>
        <v>273</v>
      </c>
      <c r="V34" s="171">
        <f t="shared" si="1"/>
        <v>0</v>
      </c>
    </row>
    <row r="35" spans="1:22" ht="15" customHeight="1" x14ac:dyDescent="0.25">
      <c r="A35" s="137" t="s">
        <v>231</v>
      </c>
      <c r="B35" s="137" t="s">
        <v>232</v>
      </c>
      <c r="C35" s="137">
        <v>2018</v>
      </c>
      <c r="D35" s="137">
        <v>17.327999999999999</v>
      </c>
      <c r="E35" s="137">
        <v>5.9989999999999997</v>
      </c>
      <c r="F35" s="137">
        <v>3.431</v>
      </c>
      <c r="G35" s="137">
        <v>3.5390000000000001</v>
      </c>
      <c r="H35" s="137" t="s">
        <v>193</v>
      </c>
      <c r="I35" s="137">
        <v>3.6059999999999999</v>
      </c>
      <c r="J35" s="137">
        <v>0.753</v>
      </c>
      <c r="K35" s="137" t="s">
        <v>193</v>
      </c>
      <c r="L35" s="137" t="s">
        <v>193</v>
      </c>
      <c r="M35" s="137" t="s">
        <v>193</v>
      </c>
      <c r="N35" s="137" t="s">
        <v>53</v>
      </c>
      <c r="O35" s="137" t="s">
        <v>193</v>
      </c>
      <c r="P35" s="137" t="s">
        <v>53</v>
      </c>
      <c r="Q35" s="137" t="s">
        <v>193</v>
      </c>
      <c r="R35" s="137" t="s">
        <v>53</v>
      </c>
      <c r="S35" s="137" t="s">
        <v>193</v>
      </c>
      <c r="U35" s="137">
        <f t="shared" si="0"/>
        <v>17.327999999999999</v>
      </c>
      <c r="V35" s="171">
        <f t="shared" si="1"/>
        <v>0</v>
      </c>
    </row>
    <row r="36" spans="1:22" ht="15" customHeight="1" x14ac:dyDescent="0.25">
      <c r="A36" s="137" t="s">
        <v>231</v>
      </c>
      <c r="B36" s="137" t="s">
        <v>233</v>
      </c>
      <c r="C36" s="137">
        <v>2018</v>
      </c>
      <c r="D36" s="137">
        <v>125.789</v>
      </c>
      <c r="E36" s="137">
        <v>50.56</v>
      </c>
      <c r="F36" s="137">
        <v>23.484999999999999</v>
      </c>
      <c r="G36" s="137">
        <v>4.149</v>
      </c>
      <c r="H36" s="137" t="s">
        <v>193</v>
      </c>
      <c r="I36" s="137">
        <v>25.388000000000002</v>
      </c>
      <c r="J36" s="137">
        <v>20.338000000000001</v>
      </c>
      <c r="K36" s="137">
        <v>1.1299999999999999</v>
      </c>
      <c r="L36" s="137">
        <v>0.73899999999999999</v>
      </c>
      <c r="M36" s="137" t="s">
        <v>193</v>
      </c>
      <c r="N36" s="137" t="s">
        <v>53</v>
      </c>
      <c r="O36" s="137" t="s">
        <v>193</v>
      </c>
      <c r="P36" s="137" t="s">
        <v>53</v>
      </c>
      <c r="Q36" s="137" t="s">
        <v>193</v>
      </c>
      <c r="R36" s="137" t="s">
        <v>53</v>
      </c>
      <c r="S36" s="137" t="s">
        <v>193</v>
      </c>
      <c r="U36" s="137">
        <f t="shared" si="0"/>
        <v>125.789</v>
      </c>
      <c r="V36" s="171">
        <f t="shared" si="1"/>
        <v>0</v>
      </c>
    </row>
    <row r="37" spans="1:22" ht="15" customHeight="1" x14ac:dyDescent="0.25">
      <c r="A37" s="137" t="s">
        <v>231</v>
      </c>
      <c r="B37" s="137" t="s">
        <v>234</v>
      </c>
      <c r="C37" s="137">
        <v>2018</v>
      </c>
      <c r="D37" s="137">
        <v>22.678999999999998</v>
      </c>
      <c r="E37" s="137">
        <v>3.1179999999999999</v>
      </c>
      <c r="F37" s="137">
        <v>2.0590000000000002</v>
      </c>
      <c r="G37" s="137">
        <v>13.897</v>
      </c>
      <c r="H37" s="137" t="s">
        <v>193</v>
      </c>
      <c r="I37" s="137">
        <v>2.5150000000000001</v>
      </c>
      <c r="J37" s="137">
        <v>1.0900000000000001</v>
      </c>
      <c r="K37" s="137" t="s">
        <v>193</v>
      </c>
      <c r="L37" s="137" t="s">
        <v>193</v>
      </c>
      <c r="M37" s="137" t="s">
        <v>193</v>
      </c>
      <c r="N37" s="137" t="s">
        <v>53</v>
      </c>
      <c r="O37" s="137" t="s">
        <v>193</v>
      </c>
      <c r="P37" s="137" t="s">
        <v>53</v>
      </c>
      <c r="Q37" s="137" t="s">
        <v>193</v>
      </c>
      <c r="R37" s="137" t="s">
        <v>53</v>
      </c>
      <c r="S37" s="137" t="s">
        <v>193</v>
      </c>
      <c r="U37" s="137">
        <f t="shared" si="0"/>
        <v>22.678999999999998</v>
      </c>
      <c r="V37" s="171">
        <f t="shared" si="1"/>
        <v>0</v>
      </c>
    </row>
    <row r="38" spans="1:22" ht="15" customHeight="1" x14ac:dyDescent="0.25">
      <c r="A38" s="137" t="s">
        <v>235</v>
      </c>
      <c r="B38" s="137" t="s">
        <v>236</v>
      </c>
      <c r="C38" s="137">
        <v>2018</v>
      </c>
      <c r="D38" s="137">
        <v>25.062000000000001</v>
      </c>
      <c r="E38" s="137">
        <v>7.4880000000000004</v>
      </c>
      <c r="F38" s="137">
        <v>7.2290000000000001</v>
      </c>
      <c r="G38" s="137">
        <v>0.308</v>
      </c>
      <c r="H38" s="137" t="s">
        <v>312</v>
      </c>
      <c r="I38" s="137">
        <v>4.4249999999999998</v>
      </c>
      <c r="J38" s="137">
        <v>5.6130000000000004</v>
      </c>
      <c r="K38" s="137" t="s">
        <v>193</v>
      </c>
      <c r="L38" s="137" t="s">
        <v>193</v>
      </c>
      <c r="M38" s="137" t="s">
        <v>312</v>
      </c>
      <c r="N38" s="137" t="s">
        <v>53</v>
      </c>
      <c r="O38" s="137" t="s">
        <v>193</v>
      </c>
      <c r="P38" s="137" t="s">
        <v>53</v>
      </c>
      <c r="Q38" s="137" t="s">
        <v>193</v>
      </c>
      <c r="R38" s="137" t="s">
        <v>53</v>
      </c>
      <c r="S38" s="137" t="s">
        <v>193</v>
      </c>
      <c r="U38" s="137">
        <f t="shared" si="0"/>
        <v>25.062000000000001</v>
      </c>
      <c r="V38" s="171">
        <f t="shared" si="1"/>
        <v>0</v>
      </c>
    </row>
    <row r="39" spans="1:22" ht="15" customHeight="1" x14ac:dyDescent="0.25">
      <c r="A39" s="137" t="s">
        <v>235</v>
      </c>
      <c r="B39" s="137" t="s">
        <v>237</v>
      </c>
      <c r="C39" s="137">
        <v>2018</v>
      </c>
      <c r="D39" s="137">
        <v>2.0990000000000002</v>
      </c>
      <c r="E39" s="137">
        <v>0</v>
      </c>
      <c r="F39" s="137">
        <v>0.221</v>
      </c>
      <c r="G39" s="137">
        <v>8.3000000000000004E-2</v>
      </c>
      <c r="H39" s="137">
        <v>0</v>
      </c>
      <c r="I39" s="137">
        <v>1.5489999999999999</v>
      </c>
      <c r="J39" s="137">
        <v>0.245</v>
      </c>
      <c r="K39" s="137" t="s">
        <v>193</v>
      </c>
      <c r="L39" s="137" t="s">
        <v>193</v>
      </c>
      <c r="M39" s="137" t="s">
        <v>193</v>
      </c>
      <c r="N39" s="137" t="s">
        <v>53</v>
      </c>
      <c r="O39" s="137" t="s">
        <v>193</v>
      </c>
      <c r="P39" s="137" t="s">
        <v>53</v>
      </c>
      <c r="Q39" s="137" t="s">
        <v>193</v>
      </c>
      <c r="R39" s="137" t="s">
        <v>53</v>
      </c>
      <c r="S39" s="137" t="s">
        <v>193</v>
      </c>
      <c r="U39" s="137">
        <f t="shared" si="0"/>
        <v>2.0990000000000002</v>
      </c>
      <c r="V39" s="171">
        <f t="shared" si="1"/>
        <v>0</v>
      </c>
    </row>
    <row r="40" spans="1:22" ht="15" customHeight="1" x14ac:dyDescent="0.25">
      <c r="A40" s="137" t="s">
        <v>238</v>
      </c>
      <c r="B40" s="137" t="s">
        <v>239</v>
      </c>
      <c r="C40" s="137">
        <v>2018</v>
      </c>
      <c r="D40" s="137">
        <v>445.13299999999998</v>
      </c>
      <c r="E40" s="137">
        <v>144.96700000000001</v>
      </c>
      <c r="F40" s="137">
        <v>105.807</v>
      </c>
      <c r="G40" s="137">
        <v>37.707000000000001</v>
      </c>
      <c r="H40" s="137" t="s">
        <v>193</v>
      </c>
      <c r="I40" s="137">
        <v>49.423999999999999</v>
      </c>
      <c r="J40" s="137">
        <v>37.551000000000002</v>
      </c>
      <c r="K40" s="137">
        <v>2.0750000000000002</v>
      </c>
      <c r="L40" s="137">
        <v>2.1120000000000001</v>
      </c>
      <c r="M40" s="137">
        <v>6.8540000000000001</v>
      </c>
      <c r="N40" s="137" t="s">
        <v>1074</v>
      </c>
      <c r="O40" s="137">
        <v>64.605000000000004</v>
      </c>
      <c r="P40" s="137" t="s">
        <v>193</v>
      </c>
      <c r="Q40" s="137" t="s">
        <v>193</v>
      </c>
      <c r="R40" s="137" t="s">
        <v>193</v>
      </c>
      <c r="S40" s="137" t="s">
        <v>193</v>
      </c>
      <c r="U40" s="137">
        <f t="shared" si="0"/>
        <v>445.13299999999998</v>
      </c>
      <c r="V40" s="171">
        <f t="shared" si="1"/>
        <v>64.605000000000004</v>
      </c>
    </row>
    <row r="41" spans="1:22" ht="15" customHeight="1" x14ac:dyDescent="0.25">
      <c r="A41" s="137" t="s">
        <v>238</v>
      </c>
      <c r="B41" s="137" t="s">
        <v>241</v>
      </c>
      <c r="C41" s="137">
        <v>2018</v>
      </c>
      <c r="D41" s="137">
        <v>1.96</v>
      </c>
      <c r="E41" s="137">
        <v>0.67400000000000004</v>
      </c>
      <c r="F41" s="137">
        <v>0.60499999999999998</v>
      </c>
      <c r="G41" s="137" t="s">
        <v>193</v>
      </c>
      <c r="H41" s="137" t="s">
        <v>193</v>
      </c>
      <c r="I41" s="137">
        <v>0.67969999999999997</v>
      </c>
      <c r="J41" s="137" t="s">
        <v>193</v>
      </c>
      <c r="K41" s="137" t="s">
        <v>193</v>
      </c>
      <c r="L41" s="137" t="s">
        <v>193</v>
      </c>
      <c r="M41" s="137" t="s">
        <v>193</v>
      </c>
      <c r="N41" s="137" t="s">
        <v>53</v>
      </c>
      <c r="O41" s="137" t="s">
        <v>193</v>
      </c>
      <c r="P41" s="137" t="s">
        <v>53</v>
      </c>
      <c r="Q41" s="137" t="s">
        <v>193</v>
      </c>
      <c r="R41" s="137" t="s">
        <v>53</v>
      </c>
      <c r="S41" s="137" t="s">
        <v>193</v>
      </c>
      <c r="U41" s="137">
        <f t="shared" si="0"/>
        <v>1.96</v>
      </c>
      <c r="V41" s="171">
        <f t="shared" si="1"/>
        <v>0</v>
      </c>
    </row>
    <row r="42" spans="1:22" ht="15" customHeight="1" x14ac:dyDescent="0.25">
      <c r="A42" s="137" t="s">
        <v>238</v>
      </c>
      <c r="B42" s="137" t="s">
        <v>242</v>
      </c>
      <c r="C42" s="137">
        <v>2018</v>
      </c>
      <c r="D42" s="137">
        <v>3.133</v>
      </c>
      <c r="E42" s="137" t="s">
        <v>193</v>
      </c>
      <c r="F42" s="137">
        <v>2.9260000000000002</v>
      </c>
      <c r="G42" s="137" t="s">
        <v>193</v>
      </c>
      <c r="H42" s="137" t="s">
        <v>193</v>
      </c>
      <c r="I42" s="137">
        <v>0.20799999999999999</v>
      </c>
      <c r="J42" s="137" t="s">
        <v>193</v>
      </c>
      <c r="K42" s="137" t="s">
        <v>193</v>
      </c>
      <c r="L42" s="137" t="s">
        <v>193</v>
      </c>
      <c r="M42" s="137" t="s">
        <v>193</v>
      </c>
      <c r="N42" s="137" t="s">
        <v>53</v>
      </c>
      <c r="O42" s="137" t="s">
        <v>193</v>
      </c>
      <c r="P42" s="137" t="s">
        <v>53</v>
      </c>
      <c r="Q42" s="137" t="s">
        <v>193</v>
      </c>
      <c r="R42" s="137" t="s">
        <v>53</v>
      </c>
      <c r="S42" s="137" t="s">
        <v>193</v>
      </c>
      <c r="U42" s="137">
        <f t="shared" si="0"/>
        <v>3.133</v>
      </c>
      <c r="V42" s="171">
        <f t="shared" si="1"/>
        <v>0</v>
      </c>
    </row>
    <row r="43" spans="1:22" ht="15" customHeight="1" x14ac:dyDescent="0.25">
      <c r="A43" s="137" t="s">
        <v>243</v>
      </c>
      <c r="B43" s="137" t="s">
        <v>244</v>
      </c>
      <c r="C43" s="137">
        <v>2018</v>
      </c>
      <c r="D43" s="137">
        <v>598.46799999999996</v>
      </c>
      <c r="E43" s="137">
        <v>293.14600000000002</v>
      </c>
      <c r="F43" s="137">
        <v>50.978000000000002</v>
      </c>
      <c r="G43" s="137">
        <v>29.465</v>
      </c>
      <c r="H43" s="137">
        <v>5.819</v>
      </c>
      <c r="I43" s="137">
        <v>105</v>
      </c>
      <c r="J43" s="137">
        <v>114.623</v>
      </c>
      <c r="K43" s="137">
        <v>5.2560000000000002</v>
      </c>
      <c r="L43" s="137" t="s">
        <v>193</v>
      </c>
      <c r="M43" s="137" t="s">
        <v>193</v>
      </c>
      <c r="N43" s="137" t="s">
        <v>219</v>
      </c>
      <c r="O43" s="137" t="s">
        <v>193</v>
      </c>
      <c r="P43" s="137" t="s">
        <v>219</v>
      </c>
      <c r="Q43" s="137" t="s">
        <v>193</v>
      </c>
      <c r="R43" s="137" t="s">
        <v>219</v>
      </c>
      <c r="S43" s="137" t="s">
        <v>193</v>
      </c>
      <c r="U43" s="137">
        <f t="shared" si="0"/>
        <v>598.46799999999996</v>
      </c>
      <c r="V43" s="171">
        <f t="shared" si="1"/>
        <v>0</v>
      </c>
    </row>
    <row r="44" spans="1:22" ht="15" customHeight="1" x14ac:dyDescent="0.25">
      <c r="A44" s="137" t="s">
        <v>243</v>
      </c>
      <c r="B44" s="137" t="s">
        <v>245</v>
      </c>
      <c r="C44" s="137">
        <v>2018</v>
      </c>
      <c r="D44" s="137">
        <v>17.98</v>
      </c>
      <c r="E44" s="137">
        <v>4.9379999999999997</v>
      </c>
      <c r="F44" s="137">
        <v>3.5009999999999999</v>
      </c>
      <c r="G44" s="137">
        <v>2.4969999999999999</v>
      </c>
      <c r="H44" s="137" t="s">
        <v>193</v>
      </c>
      <c r="I44" s="137">
        <v>5.6689999999999996</v>
      </c>
      <c r="J44" s="137">
        <v>1.375</v>
      </c>
      <c r="K44" s="137" t="s">
        <v>193</v>
      </c>
      <c r="L44" s="137" t="s">
        <v>193</v>
      </c>
      <c r="M44" s="137" t="s">
        <v>193</v>
      </c>
      <c r="N44" s="137" t="s">
        <v>219</v>
      </c>
      <c r="O44" s="137" t="s">
        <v>193</v>
      </c>
      <c r="P44" s="137" t="s">
        <v>219</v>
      </c>
      <c r="Q44" s="137" t="s">
        <v>193</v>
      </c>
      <c r="R44" s="137" t="s">
        <v>219</v>
      </c>
      <c r="S44" s="137" t="s">
        <v>193</v>
      </c>
      <c r="U44" s="137">
        <f t="shared" si="0"/>
        <v>17.98</v>
      </c>
      <c r="V44" s="171">
        <f t="shared" si="1"/>
        <v>0</v>
      </c>
    </row>
    <row r="45" spans="1:22" ht="15" customHeight="1" x14ac:dyDescent="0.25">
      <c r="A45" s="137" t="s">
        <v>246</v>
      </c>
      <c r="B45" s="137" t="s">
        <v>247</v>
      </c>
      <c r="C45" s="137">
        <v>2018</v>
      </c>
      <c r="D45" s="137" t="s">
        <v>53</v>
      </c>
      <c r="E45" s="137" t="s">
        <v>53</v>
      </c>
      <c r="F45" s="137" t="s">
        <v>53</v>
      </c>
      <c r="G45" s="137" t="s">
        <v>53</v>
      </c>
      <c r="H45" s="137" t="s">
        <v>53</v>
      </c>
      <c r="I45" s="137" t="s">
        <v>53</v>
      </c>
      <c r="J45" s="137" t="s">
        <v>53</v>
      </c>
      <c r="K45" s="137" t="s">
        <v>53</v>
      </c>
      <c r="L45" s="137" t="s">
        <v>53</v>
      </c>
      <c r="M45" s="137" t="s">
        <v>53</v>
      </c>
      <c r="N45" s="137" t="s">
        <v>53</v>
      </c>
      <c r="O45" s="137" t="s">
        <v>53</v>
      </c>
      <c r="P45" s="137" t="s">
        <v>53</v>
      </c>
      <c r="Q45" s="137" t="s">
        <v>53</v>
      </c>
      <c r="R45" s="137" t="s">
        <v>53</v>
      </c>
      <c r="S45" s="137" t="s">
        <v>53</v>
      </c>
      <c r="U45" s="137">
        <f t="shared" si="0"/>
        <v>0</v>
      </c>
      <c r="V45" s="171">
        <f t="shared" si="1"/>
        <v>0</v>
      </c>
    </row>
    <row r="46" spans="1:22" ht="15" customHeight="1" x14ac:dyDescent="0.25">
      <c r="A46" s="137" t="s">
        <v>248</v>
      </c>
      <c r="B46" s="137" t="s">
        <v>69</v>
      </c>
      <c r="C46" s="137">
        <v>2018</v>
      </c>
      <c r="D46" s="137">
        <v>11.193</v>
      </c>
      <c r="E46" s="137">
        <v>4.2350000000000003</v>
      </c>
      <c r="F46" s="137">
        <v>0.76400000000000001</v>
      </c>
      <c r="G46" s="137">
        <v>1.66</v>
      </c>
      <c r="H46" s="137">
        <v>0</v>
      </c>
      <c r="I46" s="137">
        <v>4.4800000000000004</v>
      </c>
      <c r="J46" s="137">
        <v>0.52900000000000003</v>
      </c>
      <c r="K46" s="137">
        <v>0</v>
      </c>
      <c r="L46" s="137">
        <v>0</v>
      </c>
      <c r="M46" s="137">
        <v>0</v>
      </c>
      <c r="N46" s="137" t="s">
        <v>53</v>
      </c>
      <c r="O46" s="137" t="s">
        <v>193</v>
      </c>
      <c r="P46" s="137" t="s">
        <v>53</v>
      </c>
      <c r="Q46" s="137" t="s">
        <v>193</v>
      </c>
      <c r="R46" s="137" t="s">
        <v>53</v>
      </c>
      <c r="S46" s="137" t="s">
        <v>193</v>
      </c>
      <c r="U46" s="137">
        <f t="shared" si="0"/>
        <v>11.193</v>
      </c>
      <c r="V46" s="171">
        <f t="shared" si="1"/>
        <v>0</v>
      </c>
    </row>
    <row r="47" spans="1:22" ht="15" customHeight="1" x14ac:dyDescent="0.25">
      <c r="A47" s="137" t="s">
        <v>249</v>
      </c>
      <c r="B47" s="137" t="s">
        <v>250</v>
      </c>
      <c r="C47" s="137">
        <v>2018</v>
      </c>
      <c r="D47" s="137">
        <v>4.5830000000000002</v>
      </c>
      <c r="E47" s="137">
        <v>0.437</v>
      </c>
      <c r="F47" s="137">
        <v>2.2160000000000002</v>
      </c>
      <c r="G47" s="137">
        <v>0</v>
      </c>
      <c r="H47" s="137">
        <v>0</v>
      </c>
      <c r="I47" s="137">
        <v>1.5469999999999999</v>
      </c>
      <c r="J47" s="137">
        <v>0.38300000000000001</v>
      </c>
      <c r="K47" s="137" t="s">
        <v>193</v>
      </c>
      <c r="L47" s="137" t="s">
        <v>193</v>
      </c>
      <c r="M47" s="137" t="s">
        <v>193</v>
      </c>
      <c r="N47" s="137" t="s">
        <v>219</v>
      </c>
      <c r="O47" s="137" t="s">
        <v>193</v>
      </c>
      <c r="P47" s="137" t="s">
        <v>219</v>
      </c>
      <c r="Q47" s="137" t="s">
        <v>193</v>
      </c>
      <c r="R47" s="137" t="s">
        <v>219</v>
      </c>
      <c r="S47" s="137" t="s">
        <v>193</v>
      </c>
      <c r="U47" s="137">
        <f t="shared" si="0"/>
        <v>4.5830000000000002</v>
      </c>
      <c r="V47" s="171">
        <f t="shared" si="1"/>
        <v>0</v>
      </c>
    </row>
    <row r="48" spans="1:22" ht="15" customHeight="1" x14ac:dyDescent="0.25">
      <c r="A48" s="137" t="s">
        <v>249</v>
      </c>
      <c r="B48" s="137" t="s">
        <v>251</v>
      </c>
      <c r="C48" s="137">
        <v>2018</v>
      </c>
      <c r="D48" s="137">
        <v>355.76600000000002</v>
      </c>
      <c r="E48" s="137">
        <v>147.69</v>
      </c>
      <c r="F48" s="137">
        <v>43.945999999999998</v>
      </c>
      <c r="G48" s="137">
        <v>49.295000000000002</v>
      </c>
      <c r="H48" s="137">
        <v>21.372</v>
      </c>
      <c r="I48" s="137">
        <v>53.173999999999999</v>
      </c>
      <c r="J48" s="137">
        <v>60.552999999999997</v>
      </c>
      <c r="K48" s="137">
        <v>1.1080000000000001</v>
      </c>
      <c r="L48" s="137" t="s">
        <v>193</v>
      </c>
      <c r="M48" s="137" t="s">
        <v>193</v>
      </c>
      <c r="N48" s="137" t="s">
        <v>219</v>
      </c>
      <c r="O48" s="137" t="s">
        <v>193</v>
      </c>
      <c r="P48" s="137" t="s">
        <v>219</v>
      </c>
      <c r="Q48" s="137" t="s">
        <v>193</v>
      </c>
      <c r="R48" s="137" t="s">
        <v>219</v>
      </c>
      <c r="S48" s="137" t="s">
        <v>193</v>
      </c>
      <c r="U48" s="137">
        <f t="shared" si="0"/>
        <v>355.76600000000002</v>
      </c>
      <c r="V48" s="171">
        <f t="shared" si="1"/>
        <v>0</v>
      </c>
    </row>
    <row r="49" spans="1:22" ht="15" customHeight="1" x14ac:dyDescent="0.25">
      <c r="A49" s="137" t="s">
        <v>253</v>
      </c>
      <c r="B49" s="137" t="s">
        <v>254</v>
      </c>
      <c r="C49" s="137">
        <v>2018</v>
      </c>
      <c r="D49" s="137">
        <v>10.673999999999999</v>
      </c>
      <c r="E49" s="137">
        <v>2.0510000000000002</v>
      </c>
      <c r="F49" s="137">
        <v>0.187</v>
      </c>
      <c r="G49" s="137" t="s">
        <v>193</v>
      </c>
      <c r="H49" s="137" t="s">
        <v>193</v>
      </c>
      <c r="I49" s="137">
        <v>1.5229999999999999</v>
      </c>
      <c r="J49" s="137">
        <v>4.7919999999999998</v>
      </c>
      <c r="K49" s="137" t="s">
        <v>193</v>
      </c>
      <c r="L49" s="137" t="s">
        <v>193</v>
      </c>
      <c r="M49" s="137">
        <v>2.121</v>
      </c>
      <c r="N49" s="137" t="s">
        <v>53</v>
      </c>
      <c r="O49" s="137" t="s">
        <v>193</v>
      </c>
      <c r="P49" s="137" t="s">
        <v>53</v>
      </c>
      <c r="Q49" s="137" t="s">
        <v>193</v>
      </c>
      <c r="R49" s="137" t="s">
        <v>53</v>
      </c>
      <c r="S49" s="137" t="s">
        <v>193</v>
      </c>
      <c r="U49" s="137">
        <f t="shared" si="0"/>
        <v>10.673999999999999</v>
      </c>
      <c r="V49" s="171">
        <f t="shared" si="1"/>
        <v>0</v>
      </c>
    </row>
    <row r="50" spans="1:22" ht="15" customHeight="1" x14ac:dyDescent="0.25">
      <c r="A50" s="137" t="s">
        <v>253</v>
      </c>
      <c r="B50" s="137" t="s">
        <v>256</v>
      </c>
      <c r="C50" s="137">
        <v>2018</v>
      </c>
      <c r="D50" s="137">
        <v>33.930999999999997</v>
      </c>
      <c r="E50" s="137">
        <v>14.266</v>
      </c>
      <c r="F50" s="137">
        <v>5.9880000000000004</v>
      </c>
      <c r="G50" s="137" t="s">
        <v>193</v>
      </c>
      <c r="H50" s="137" t="s">
        <v>193</v>
      </c>
      <c r="I50" s="137">
        <v>9.5850000000000009</v>
      </c>
      <c r="J50" s="137">
        <v>7.9059999999999997</v>
      </c>
      <c r="K50" s="137" t="s">
        <v>193</v>
      </c>
      <c r="L50" s="137" t="s">
        <v>193</v>
      </c>
      <c r="M50" s="137" t="s">
        <v>193</v>
      </c>
      <c r="N50" s="137" t="s">
        <v>53</v>
      </c>
      <c r="O50" s="137" t="s">
        <v>193</v>
      </c>
      <c r="P50" s="137" t="s">
        <v>53</v>
      </c>
      <c r="Q50" s="137" t="s">
        <v>193</v>
      </c>
      <c r="R50" s="137" t="s">
        <v>53</v>
      </c>
      <c r="S50" s="137" t="s">
        <v>193</v>
      </c>
      <c r="U50" s="137">
        <f t="shared" si="0"/>
        <v>33.930999999999997</v>
      </c>
      <c r="V50" s="171">
        <f t="shared" si="1"/>
        <v>0</v>
      </c>
    </row>
    <row r="51" spans="1:22" ht="15" customHeight="1" x14ac:dyDescent="0.25">
      <c r="A51" s="137" t="s">
        <v>258</v>
      </c>
      <c r="B51" s="137" t="s">
        <v>259</v>
      </c>
      <c r="C51" s="137">
        <v>2018</v>
      </c>
      <c r="D51" s="137">
        <v>35.369999999999997</v>
      </c>
      <c r="E51" s="137">
        <v>15.67</v>
      </c>
      <c r="F51" s="137">
        <v>5.53</v>
      </c>
      <c r="G51" s="137">
        <v>2.78</v>
      </c>
      <c r="H51" s="137" t="s">
        <v>193</v>
      </c>
      <c r="I51" s="137">
        <v>6.59</v>
      </c>
      <c r="J51" s="137">
        <v>3.82</v>
      </c>
      <c r="K51" s="137">
        <v>0.84</v>
      </c>
      <c r="L51" s="137">
        <v>0.46</v>
      </c>
      <c r="M51" s="137" t="s">
        <v>193</v>
      </c>
      <c r="N51" s="137" t="s">
        <v>219</v>
      </c>
      <c r="O51" s="137" t="s">
        <v>193</v>
      </c>
      <c r="P51" s="137" t="s">
        <v>219</v>
      </c>
      <c r="Q51" s="137" t="s">
        <v>193</v>
      </c>
      <c r="R51" s="137" t="s">
        <v>219</v>
      </c>
      <c r="S51" s="137" t="s">
        <v>193</v>
      </c>
      <c r="U51" s="137">
        <f t="shared" si="0"/>
        <v>35.369999999999997</v>
      </c>
      <c r="V51" s="171">
        <f t="shared" si="1"/>
        <v>0</v>
      </c>
    </row>
    <row r="52" spans="1:22" ht="15" customHeight="1" x14ac:dyDescent="0.25">
      <c r="A52" s="137" t="s">
        <v>258</v>
      </c>
      <c r="B52" s="137" t="s">
        <v>260</v>
      </c>
      <c r="C52" s="137">
        <v>2018</v>
      </c>
      <c r="D52" s="137" t="s">
        <v>53</v>
      </c>
      <c r="E52" s="137" t="s">
        <v>53</v>
      </c>
      <c r="F52" s="137" t="s">
        <v>53</v>
      </c>
      <c r="G52" s="137" t="s">
        <v>53</v>
      </c>
      <c r="H52" s="137" t="s">
        <v>53</v>
      </c>
      <c r="I52" s="137" t="s">
        <v>53</v>
      </c>
      <c r="J52" s="137" t="s">
        <v>53</v>
      </c>
      <c r="K52" s="137" t="s">
        <v>53</v>
      </c>
      <c r="L52" s="137" t="s">
        <v>53</v>
      </c>
      <c r="M52" s="137" t="s">
        <v>53</v>
      </c>
      <c r="N52" s="137" t="s">
        <v>53</v>
      </c>
      <c r="O52" s="137" t="s">
        <v>53</v>
      </c>
      <c r="P52" s="137" t="s">
        <v>53</v>
      </c>
      <c r="Q52" s="137" t="s">
        <v>53</v>
      </c>
      <c r="R52" s="137" t="s">
        <v>53</v>
      </c>
      <c r="S52" s="137" t="s">
        <v>53</v>
      </c>
      <c r="U52" s="137">
        <f t="shared" si="0"/>
        <v>0</v>
      </c>
      <c r="V52" s="171">
        <f t="shared" si="1"/>
        <v>0</v>
      </c>
    </row>
    <row r="53" spans="1:22" ht="15" customHeight="1" x14ac:dyDescent="0.25">
      <c r="A53" s="137" t="s">
        <v>258</v>
      </c>
      <c r="B53" s="137" t="s">
        <v>261</v>
      </c>
      <c r="C53" s="137">
        <v>2018</v>
      </c>
      <c r="D53" s="137">
        <v>1.78</v>
      </c>
      <c r="E53" s="137">
        <v>0.33</v>
      </c>
      <c r="F53" s="137">
        <v>0.03</v>
      </c>
      <c r="G53" s="137">
        <v>0.38</v>
      </c>
      <c r="H53" s="137" t="s">
        <v>193</v>
      </c>
      <c r="I53" s="137">
        <v>0.59</v>
      </c>
      <c r="J53" s="137">
        <v>0.12</v>
      </c>
      <c r="K53" s="137" t="s">
        <v>193</v>
      </c>
      <c r="L53" s="137" t="s">
        <v>193</v>
      </c>
      <c r="M53" s="137" t="s">
        <v>193</v>
      </c>
      <c r="N53" s="137" t="s">
        <v>219</v>
      </c>
      <c r="O53" s="137" t="s">
        <v>193</v>
      </c>
      <c r="P53" s="137" t="s">
        <v>219</v>
      </c>
      <c r="Q53" s="137" t="s">
        <v>193</v>
      </c>
      <c r="R53" s="137" t="s">
        <v>219</v>
      </c>
      <c r="S53" s="137" t="s">
        <v>193</v>
      </c>
      <c r="U53" s="137">
        <f t="shared" si="0"/>
        <v>1.78</v>
      </c>
      <c r="V53" s="171">
        <f t="shared" si="1"/>
        <v>0</v>
      </c>
    </row>
    <row r="54" spans="1:22" ht="15" customHeight="1" x14ac:dyDescent="0.25">
      <c r="A54" s="137" t="s">
        <v>258</v>
      </c>
      <c r="B54" s="137" t="s">
        <v>262</v>
      </c>
      <c r="C54" s="137">
        <v>2018</v>
      </c>
      <c r="D54" s="137">
        <v>0.55400000000000005</v>
      </c>
      <c r="E54" s="137" t="s">
        <v>193</v>
      </c>
      <c r="F54" s="137" t="s">
        <v>193</v>
      </c>
      <c r="G54" s="137" t="s">
        <v>193</v>
      </c>
      <c r="H54" s="137" t="s">
        <v>193</v>
      </c>
      <c r="I54" s="137" t="s">
        <v>193</v>
      </c>
      <c r="J54" s="137" t="s">
        <v>193</v>
      </c>
      <c r="K54" s="137" t="s">
        <v>193</v>
      </c>
      <c r="L54" s="137" t="s">
        <v>193</v>
      </c>
      <c r="M54" s="137" t="s">
        <v>193</v>
      </c>
      <c r="N54" s="137" t="s">
        <v>219</v>
      </c>
      <c r="O54" s="137" t="s">
        <v>193</v>
      </c>
      <c r="P54" s="137" t="s">
        <v>219</v>
      </c>
      <c r="Q54" s="137" t="s">
        <v>193</v>
      </c>
      <c r="R54" s="137" t="s">
        <v>219</v>
      </c>
      <c r="S54" s="137" t="s">
        <v>193</v>
      </c>
      <c r="U54" s="137">
        <f t="shared" si="0"/>
        <v>0.55400000000000005</v>
      </c>
      <c r="V54" s="171">
        <f t="shared" si="1"/>
        <v>0</v>
      </c>
    </row>
    <row r="55" spans="1:22" ht="15" customHeight="1" x14ac:dyDescent="0.25">
      <c r="A55" s="137" t="s">
        <v>263</v>
      </c>
      <c r="B55" s="137" t="s">
        <v>264</v>
      </c>
      <c r="C55" s="137">
        <v>2018</v>
      </c>
      <c r="D55" s="137">
        <v>28.38</v>
      </c>
      <c r="E55" s="137" t="s">
        <v>312</v>
      </c>
      <c r="F55" s="137" t="s">
        <v>312</v>
      </c>
      <c r="G55" s="137" t="s">
        <v>312</v>
      </c>
      <c r="H55" s="137" t="s">
        <v>312</v>
      </c>
      <c r="I55" s="137" t="s">
        <v>312</v>
      </c>
      <c r="J55" s="137" t="s">
        <v>312</v>
      </c>
      <c r="K55" s="137" t="s">
        <v>312</v>
      </c>
      <c r="L55" s="137" t="s">
        <v>312</v>
      </c>
      <c r="M55" s="137" t="s">
        <v>312</v>
      </c>
      <c r="N55" s="137" t="s">
        <v>53</v>
      </c>
      <c r="O55" s="137" t="s">
        <v>193</v>
      </c>
      <c r="P55" s="137" t="s">
        <v>53</v>
      </c>
      <c r="Q55" s="137" t="s">
        <v>193</v>
      </c>
      <c r="R55" s="137" t="s">
        <v>53</v>
      </c>
      <c r="S55" s="137" t="s">
        <v>193</v>
      </c>
      <c r="U55" s="137">
        <f t="shared" si="0"/>
        <v>28.38</v>
      </c>
      <c r="V55" s="171">
        <f t="shared" si="1"/>
        <v>0</v>
      </c>
    </row>
    <row r="56" spans="1:22" ht="15" customHeight="1" x14ac:dyDescent="0.25">
      <c r="A56" s="137" t="s">
        <v>263</v>
      </c>
      <c r="B56" s="137" t="s">
        <v>265</v>
      </c>
      <c r="C56" s="137">
        <v>2018</v>
      </c>
      <c r="D56" s="137">
        <v>32.5</v>
      </c>
      <c r="E56" s="137" t="s">
        <v>193</v>
      </c>
      <c r="F56" s="137" t="s">
        <v>193</v>
      </c>
      <c r="G56" s="137" t="s">
        <v>193</v>
      </c>
      <c r="H56" s="137" t="s">
        <v>193</v>
      </c>
      <c r="I56" s="137" t="s">
        <v>193</v>
      </c>
      <c r="J56" s="137" t="s">
        <v>193</v>
      </c>
      <c r="K56" s="137" t="s">
        <v>193</v>
      </c>
      <c r="L56" s="137" t="s">
        <v>193</v>
      </c>
      <c r="M56" s="137" t="s">
        <v>193</v>
      </c>
      <c r="N56" s="137" t="s">
        <v>53</v>
      </c>
      <c r="O56" s="137" t="s">
        <v>193</v>
      </c>
      <c r="P56" s="137" t="s">
        <v>53</v>
      </c>
      <c r="Q56" s="137" t="s">
        <v>193</v>
      </c>
      <c r="R56" s="137" t="s">
        <v>53</v>
      </c>
      <c r="S56" s="137" t="s">
        <v>193</v>
      </c>
      <c r="U56" s="137">
        <f t="shared" si="0"/>
        <v>32.5</v>
      </c>
      <c r="V56" s="171">
        <f t="shared" si="1"/>
        <v>0</v>
      </c>
    </row>
    <row r="57" spans="1:22" ht="15" customHeight="1" x14ac:dyDescent="0.25">
      <c r="A57" s="137" t="s">
        <v>263</v>
      </c>
      <c r="B57" s="137" t="s">
        <v>266</v>
      </c>
      <c r="C57" s="137">
        <v>2018</v>
      </c>
      <c r="D57" s="137">
        <v>16</v>
      </c>
      <c r="E57" s="137" t="s">
        <v>193</v>
      </c>
      <c r="F57" s="137" t="s">
        <v>193</v>
      </c>
      <c r="G57" s="137" t="s">
        <v>193</v>
      </c>
      <c r="H57" s="137" t="s">
        <v>193</v>
      </c>
      <c r="I57" s="137" t="s">
        <v>193</v>
      </c>
      <c r="J57" s="137" t="s">
        <v>193</v>
      </c>
      <c r="K57" s="137" t="s">
        <v>193</v>
      </c>
      <c r="L57" s="137" t="s">
        <v>193</v>
      </c>
      <c r="M57" s="137" t="s">
        <v>193</v>
      </c>
      <c r="N57" s="137" t="s">
        <v>53</v>
      </c>
      <c r="O57" s="137" t="s">
        <v>193</v>
      </c>
      <c r="P57" s="137" t="s">
        <v>53</v>
      </c>
      <c r="Q57" s="137" t="s">
        <v>193</v>
      </c>
      <c r="R57" s="137" t="s">
        <v>53</v>
      </c>
      <c r="S57" s="137" t="s">
        <v>193</v>
      </c>
      <c r="U57" s="137">
        <f t="shared" si="0"/>
        <v>16</v>
      </c>
      <c r="V57" s="171">
        <f t="shared" si="1"/>
        <v>0</v>
      </c>
    </row>
    <row r="58" spans="1:22" ht="15" customHeight="1" x14ac:dyDescent="0.25">
      <c r="A58" s="137" t="s">
        <v>263</v>
      </c>
      <c r="B58" s="137" t="s">
        <v>267</v>
      </c>
      <c r="C58" s="137">
        <v>2018</v>
      </c>
      <c r="D58" s="137">
        <v>1034</v>
      </c>
      <c r="E58" s="137">
        <v>546</v>
      </c>
      <c r="F58" s="137">
        <v>62</v>
      </c>
      <c r="G58" s="137">
        <v>119</v>
      </c>
      <c r="H58" s="137">
        <v>4</v>
      </c>
      <c r="I58" s="137">
        <v>130</v>
      </c>
      <c r="J58" s="137">
        <v>153</v>
      </c>
      <c r="K58" s="137">
        <v>0.03</v>
      </c>
      <c r="L58" s="137" t="s">
        <v>193</v>
      </c>
      <c r="M58" s="137">
        <v>32</v>
      </c>
      <c r="N58" s="137" t="s">
        <v>53</v>
      </c>
      <c r="O58" s="137" t="s">
        <v>193</v>
      </c>
      <c r="P58" s="137" t="s">
        <v>53</v>
      </c>
      <c r="Q58" s="137" t="s">
        <v>193</v>
      </c>
      <c r="R58" s="137" t="s">
        <v>53</v>
      </c>
      <c r="S58" s="137" t="s">
        <v>193</v>
      </c>
      <c r="U58" s="137">
        <f t="shared" si="0"/>
        <v>1034</v>
      </c>
      <c r="V58" s="171">
        <f t="shared" si="1"/>
        <v>0</v>
      </c>
    </row>
    <row r="59" spans="1:22" ht="15" customHeight="1" x14ac:dyDescent="0.25">
      <c r="A59" s="137" t="s">
        <v>263</v>
      </c>
      <c r="B59" s="137" t="s">
        <v>269</v>
      </c>
      <c r="C59" s="137">
        <v>2018</v>
      </c>
      <c r="D59" s="137">
        <v>292</v>
      </c>
      <c r="E59" s="137" t="s">
        <v>193</v>
      </c>
      <c r="F59" s="137" t="s">
        <v>193</v>
      </c>
      <c r="G59" s="137" t="s">
        <v>193</v>
      </c>
      <c r="H59" s="137" t="s">
        <v>193</v>
      </c>
      <c r="I59" s="137" t="s">
        <v>193</v>
      </c>
      <c r="J59" s="137" t="s">
        <v>193</v>
      </c>
      <c r="K59" s="137" t="s">
        <v>193</v>
      </c>
      <c r="L59" s="137" t="s">
        <v>193</v>
      </c>
      <c r="M59" s="137" t="s">
        <v>193</v>
      </c>
      <c r="N59" s="137" t="s">
        <v>53</v>
      </c>
      <c r="O59" s="137" t="s">
        <v>193</v>
      </c>
      <c r="P59" s="137" t="s">
        <v>53</v>
      </c>
      <c r="Q59" s="137" t="s">
        <v>193</v>
      </c>
      <c r="R59" s="137" t="s">
        <v>53</v>
      </c>
      <c r="S59" s="137" t="s">
        <v>193</v>
      </c>
      <c r="U59" s="137">
        <f t="shared" si="0"/>
        <v>292</v>
      </c>
      <c r="V59" s="171">
        <f t="shared" si="1"/>
        <v>0</v>
      </c>
    </row>
    <row r="60" spans="1:22" ht="15" customHeight="1" x14ac:dyDescent="0.25">
      <c r="A60" s="137" t="s">
        <v>263</v>
      </c>
      <c r="B60" s="137" t="s">
        <v>270</v>
      </c>
      <c r="C60" s="137">
        <v>2018</v>
      </c>
      <c r="D60" s="137">
        <v>54.2</v>
      </c>
      <c r="E60" s="137" t="s">
        <v>193</v>
      </c>
      <c r="F60" s="137" t="s">
        <v>193</v>
      </c>
      <c r="G60" s="137" t="s">
        <v>193</v>
      </c>
      <c r="H60" s="137" t="s">
        <v>193</v>
      </c>
      <c r="I60" s="137" t="s">
        <v>193</v>
      </c>
      <c r="J60" s="137" t="s">
        <v>193</v>
      </c>
      <c r="K60" s="137" t="s">
        <v>193</v>
      </c>
      <c r="L60" s="137" t="s">
        <v>193</v>
      </c>
      <c r="M60" s="137" t="s">
        <v>193</v>
      </c>
      <c r="N60" s="137" t="s">
        <v>53</v>
      </c>
      <c r="O60" s="137" t="s">
        <v>193</v>
      </c>
      <c r="P60" s="137" t="s">
        <v>53</v>
      </c>
      <c r="Q60" s="137" t="s">
        <v>193</v>
      </c>
      <c r="R60" s="137" t="s">
        <v>53</v>
      </c>
      <c r="S60" s="137" t="s">
        <v>193</v>
      </c>
      <c r="U60" s="137">
        <f t="shared" si="0"/>
        <v>54.2</v>
      </c>
      <c r="V60" s="171">
        <f t="shared" si="1"/>
        <v>0</v>
      </c>
    </row>
    <row r="61" spans="1:22" ht="15" customHeight="1" x14ac:dyDescent="0.25">
      <c r="A61" s="137" t="s">
        <v>263</v>
      </c>
      <c r="B61" s="137" t="s">
        <v>272</v>
      </c>
      <c r="C61" s="137">
        <v>2018</v>
      </c>
      <c r="D61" s="137">
        <v>2074</v>
      </c>
      <c r="E61" s="137" t="s">
        <v>312</v>
      </c>
      <c r="F61" s="137" t="s">
        <v>312</v>
      </c>
      <c r="G61" s="137" t="s">
        <v>312</v>
      </c>
      <c r="H61" s="137" t="s">
        <v>312</v>
      </c>
      <c r="I61" s="137" t="s">
        <v>312</v>
      </c>
      <c r="J61" s="137" t="s">
        <v>312</v>
      </c>
      <c r="K61" s="137" t="s">
        <v>312</v>
      </c>
      <c r="L61" s="137" t="s">
        <v>312</v>
      </c>
      <c r="M61" s="137">
        <v>17</v>
      </c>
      <c r="N61" s="137" t="s">
        <v>53</v>
      </c>
      <c r="O61" s="137" t="s">
        <v>193</v>
      </c>
      <c r="P61" s="137" t="s">
        <v>53</v>
      </c>
      <c r="Q61" s="137" t="s">
        <v>193</v>
      </c>
      <c r="R61" s="137" t="s">
        <v>53</v>
      </c>
      <c r="S61" s="137" t="s">
        <v>193</v>
      </c>
      <c r="U61" s="137">
        <f t="shared" si="0"/>
        <v>2074</v>
      </c>
      <c r="V61" s="171">
        <f t="shared" si="1"/>
        <v>0</v>
      </c>
    </row>
    <row r="62" spans="1:22" ht="15" customHeight="1" x14ac:dyDescent="0.25">
      <c r="A62" s="137" t="s">
        <v>263</v>
      </c>
      <c r="B62" s="137" t="s">
        <v>273</v>
      </c>
      <c r="C62" s="137">
        <v>2018</v>
      </c>
      <c r="D62" s="137">
        <v>901</v>
      </c>
      <c r="E62" s="137" t="s">
        <v>193</v>
      </c>
      <c r="F62" s="137" t="s">
        <v>193</v>
      </c>
      <c r="G62" s="137" t="s">
        <v>193</v>
      </c>
      <c r="H62" s="137" t="s">
        <v>193</v>
      </c>
      <c r="I62" s="137" t="s">
        <v>193</v>
      </c>
      <c r="J62" s="137" t="s">
        <v>193</v>
      </c>
      <c r="K62" s="137" t="s">
        <v>193</v>
      </c>
      <c r="L62" s="137" t="s">
        <v>193</v>
      </c>
      <c r="M62" s="137">
        <v>16</v>
      </c>
      <c r="N62" s="137" t="s">
        <v>53</v>
      </c>
      <c r="O62" s="137" t="s">
        <v>193</v>
      </c>
      <c r="P62" s="137" t="s">
        <v>53</v>
      </c>
      <c r="Q62" s="137" t="s">
        <v>193</v>
      </c>
      <c r="R62" s="137" t="s">
        <v>53</v>
      </c>
      <c r="S62" s="137" t="s">
        <v>193</v>
      </c>
      <c r="U62" s="137">
        <f t="shared" si="0"/>
        <v>901</v>
      </c>
      <c r="V62" s="171">
        <f t="shared" si="1"/>
        <v>0</v>
      </c>
    </row>
    <row r="63" spans="1:22" ht="15" customHeight="1" x14ac:dyDescent="0.25">
      <c r="A63" s="137" t="s">
        <v>263</v>
      </c>
      <c r="B63" s="137" t="s">
        <v>274</v>
      </c>
      <c r="C63" s="137">
        <v>2018</v>
      </c>
      <c r="D63" s="137">
        <v>72.3</v>
      </c>
      <c r="E63" s="137" t="s">
        <v>193</v>
      </c>
      <c r="F63" s="137" t="s">
        <v>193</v>
      </c>
      <c r="G63" s="137" t="s">
        <v>193</v>
      </c>
      <c r="H63" s="137" t="s">
        <v>193</v>
      </c>
      <c r="I63" s="137" t="s">
        <v>193</v>
      </c>
      <c r="J63" s="137" t="s">
        <v>193</v>
      </c>
      <c r="K63" s="137" t="s">
        <v>193</v>
      </c>
      <c r="L63" s="137" t="s">
        <v>193</v>
      </c>
      <c r="M63" s="137" t="s">
        <v>193</v>
      </c>
      <c r="N63" s="137" t="s">
        <v>53</v>
      </c>
      <c r="O63" s="137" t="s">
        <v>193</v>
      </c>
      <c r="P63" s="137" t="s">
        <v>53</v>
      </c>
      <c r="Q63" s="137" t="s">
        <v>193</v>
      </c>
      <c r="R63" s="137" t="s">
        <v>53</v>
      </c>
      <c r="S63" s="137" t="s">
        <v>193</v>
      </c>
      <c r="U63" s="137">
        <f t="shared" si="0"/>
        <v>72.3</v>
      </c>
      <c r="V63" s="171">
        <f t="shared" si="1"/>
        <v>0</v>
      </c>
    </row>
    <row r="64" spans="1:22" ht="15" customHeight="1" x14ac:dyDescent="0.25">
      <c r="A64" s="137" t="s">
        <v>263</v>
      </c>
      <c r="B64" s="137" t="s">
        <v>275</v>
      </c>
      <c r="C64" s="137">
        <v>2018</v>
      </c>
      <c r="D64" s="137">
        <v>61</v>
      </c>
      <c r="E64" s="137" t="s">
        <v>193</v>
      </c>
      <c r="F64" s="137" t="s">
        <v>193</v>
      </c>
      <c r="G64" s="137" t="s">
        <v>193</v>
      </c>
      <c r="H64" s="137" t="s">
        <v>193</v>
      </c>
      <c r="I64" s="137" t="s">
        <v>193</v>
      </c>
      <c r="J64" s="137" t="s">
        <v>193</v>
      </c>
      <c r="K64" s="137" t="s">
        <v>193</v>
      </c>
      <c r="L64" s="137" t="s">
        <v>193</v>
      </c>
      <c r="M64" s="137" t="s">
        <v>193</v>
      </c>
      <c r="N64" s="137" t="s">
        <v>53</v>
      </c>
      <c r="O64" s="137" t="s">
        <v>193</v>
      </c>
      <c r="P64" s="137" t="s">
        <v>53</v>
      </c>
      <c r="Q64" s="137" t="s">
        <v>193</v>
      </c>
      <c r="R64" s="137" t="s">
        <v>53</v>
      </c>
      <c r="S64" s="137" t="s">
        <v>193</v>
      </c>
      <c r="U64" s="137">
        <f t="shared" si="0"/>
        <v>61</v>
      </c>
      <c r="V64" s="171">
        <f t="shared" si="1"/>
        <v>0</v>
      </c>
    </row>
    <row r="65" spans="1:22" ht="15" customHeight="1" x14ac:dyDescent="0.25">
      <c r="A65" s="137" t="s">
        <v>263</v>
      </c>
      <c r="B65" s="137" t="s">
        <v>276</v>
      </c>
      <c r="C65" s="137">
        <v>2018</v>
      </c>
      <c r="D65" s="137">
        <v>68</v>
      </c>
      <c r="E65" s="137" t="s">
        <v>193</v>
      </c>
      <c r="F65" s="137" t="s">
        <v>193</v>
      </c>
      <c r="G65" s="137" t="s">
        <v>193</v>
      </c>
      <c r="H65" s="137" t="s">
        <v>193</v>
      </c>
      <c r="I65" s="137" t="s">
        <v>193</v>
      </c>
      <c r="J65" s="137" t="s">
        <v>193</v>
      </c>
      <c r="K65" s="137" t="s">
        <v>193</v>
      </c>
      <c r="L65" s="137" t="s">
        <v>193</v>
      </c>
      <c r="M65" s="137" t="s">
        <v>193</v>
      </c>
      <c r="N65" s="137" t="s">
        <v>53</v>
      </c>
      <c r="O65" s="137" t="s">
        <v>193</v>
      </c>
      <c r="P65" s="137" t="s">
        <v>53</v>
      </c>
      <c r="Q65" s="137" t="s">
        <v>193</v>
      </c>
      <c r="R65" s="137" t="s">
        <v>53</v>
      </c>
      <c r="S65" s="137" t="s">
        <v>193</v>
      </c>
      <c r="U65" s="137">
        <f t="shared" si="0"/>
        <v>68</v>
      </c>
      <c r="V65" s="171">
        <f t="shared" si="1"/>
        <v>0</v>
      </c>
    </row>
    <row r="66" spans="1:22" ht="15" customHeight="1" x14ac:dyDescent="0.25">
      <c r="A66" s="137" t="s">
        <v>277</v>
      </c>
      <c r="B66" s="137" t="s">
        <v>277</v>
      </c>
      <c r="C66" s="137">
        <v>2018</v>
      </c>
      <c r="D66" s="137">
        <v>7.95</v>
      </c>
      <c r="E66" s="137">
        <v>1.78</v>
      </c>
      <c r="F66" s="137">
        <v>1.77</v>
      </c>
      <c r="G66" s="137">
        <v>1.91</v>
      </c>
      <c r="H66" s="137" t="s">
        <v>193</v>
      </c>
      <c r="I66" s="137">
        <v>2.4900000000000002</v>
      </c>
      <c r="J66" s="137" t="s">
        <v>193</v>
      </c>
      <c r="K66" s="137" t="s">
        <v>193</v>
      </c>
      <c r="L66" s="137" t="s">
        <v>193</v>
      </c>
      <c r="M66" s="137" t="s">
        <v>193</v>
      </c>
      <c r="N66" s="137" t="s">
        <v>53</v>
      </c>
      <c r="O66" s="137" t="s">
        <v>193</v>
      </c>
      <c r="P66" s="137" t="s">
        <v>53</v>
      </c>
      <c r="Q66" s="137" t="s">
        <v>193</v>
      </c>
      <c r="R66" s="137" t="s">
        <v>53</v>
      </c>
      <c r="S66" s="137" t="s">
        <v>193</v>
      </c>
      <c r="U66" s="137">
        <f t="shared" ref="U66:U129" si="2">IFERROR(D66/1,0)</f>
        <v>7.95</v>
      </c>
      <c r="V66" s="171">
        <f t="shared" ref="V66:V129" si="3">IFERROR(O66/1,0)+IFERROR(Q66/1,0)+IFERROR(S66/1,0)</f>
        <v>0</v>
      </c>
    </row>
    <row r="67" spans="1:22" ht="15" customHeight="1" x14ac:dyDescent="0.25">
      <c r="A67" s="137" t="s">
        <v>277</v>
      </c>
      <c r="B67" s="137" t="s">
        <v>278</v>
      </c>
      <c r="C67" s="137">
        <v>2018</v>
      </c>
      <c r="D67" s="137" t="s">
        <v>53</v>
      </c>
      <c r="E67" s="137" t="s">
        <v>53</v>
      </c>
      <c r="F67" s="137" t="s">
        <v>53</v>
      </c>
      <c r="G67" s="137" t="s">
        <v>53</v>
      </c>
      <c r="H67" s="137" t="s">
        <v>53</v>
      </c>
      <c r="I67" s="137" t="s">
        <v>53</v>
      </c>
      <c r="J67" s="137" t="s">
        <v>53</v>
      </c>
      <c r="K67" s="137" t="s">
        <v>53</v>
      </c>
      <c r="L67" s="137" t="s">
        <v>53</v>
      </c>
      <c r="M67" s="137" t="s">
        <v>53</v>
      </c>
      <c r="N67" s="137" t="s">
        <v>53</v>
      </c>
      <c r="O67" s="137" t="s">
        <v>53</v>
      </c>
      <c r="P67" s="137" t="s">
        <v>53</v>
      </c>
      <c r="Q67" s="137" t="s">
        <v>53</v>
      </c>
      <c r="R67" s="137" t="s">
        <v>53</v>
      </c>
      <c r="S67" s="137" t="s">
        <v>53</v>
      </c>
      <c r="U67" s="137">
        <f t="shared" si="2"/>
        <v>0</v>
      </c>
      <c r="V67" s="171">
        <f t="shared" si="3"/>
        <v>0</v>
      </c>
    </row>
    <row r="68" spans="1:22" ht="15" customHeight="1" x14ac:dyDescent="0.25">
      <c r="A68" s="137" t="s">
        <v>279</v>
      </c>
      <c r="B68" s="137" t="s">
        <v>280</v>
      </c>
      <c r="C68" s="137">
        <v>2018</v>
      </c>
      <c r="D68" s="137">
        <v>106.69499999999999</v>
      </c>
      <c r="E68" s="137">
        <v>35.097000000000001</v>
      </c>
      <c r="F68" s="137">
        <v>22.558</v>
      </c>
      <c r="G68" s="137">
        <v>0</v>
      </c>
      <c r="H68" s="137" t="s">
        <v>193</v>
      </c>
      <c r="I68" s="137">
        <v>24.681999999999999</v>
      </c>
      <c r="J68" s="137">
        <v>16.327999999999999</v>
      </c>
      <c r="K68" s="137" t="s">
        <v>193</v>
      </c>
      <c r="L68" s="137" t="s">
        <v>193</v>
      </c>
      <c r="M68" s="137">
        <v>8.0299999999999994</v>
      </c>
      <c r="N68" s="137" t="s">
        <v>53</v>
      </c>
      <c r="O68" s="137" t="s">
        <v>193</v>
      </c>
      <c r="P68" s="137" t="s">
        <v>53</v>
      </c>
      <c r="Q68" s="137" t="s">
        <v>193</v>
      </c>
      <c r="R68" s="137" t="s">
        <v>53</v>
      </c>
      <c r="S68" s="137" t="s">
        <v>193</v>
      </c>
      <c r="U68" s="137">
        <f t="shared" si="2"/>
        <v>106.69499999999999</v>
      </c>
      <c r="V68" s="171">
        <f t="shared" si="3"/>
        <v>0</v>
      </c>
    </row>
    <row r="69" spans="1:22" ht="15" customHeight="1" x14ac:dyDescent="0.25">
      <c r="A69" s="137" t="s">
        <v>279</v>
      </c>
      <c r="B69" s="137" t="s">
        <v>281</v>
      </c>
      <c r="C69" s="137">
        <v>2018</v>
      </c>
      <c r="D69" s="137">
        <v>2.9169999999999998</v>
      </c>
      <c r="E69" s="137">
        <v>0.91800000000000004</v>
      </c>
      <c r="F69" s="137">
        <v>1.0580000000000001</v>
      </c>
      <c r="G69" s="137">
        <v>0</v>
      </c>
      <c r="H69" s="137" t="s">
        <v>193</v>
      </c>
      <c r="I69" s="137">
        <v>0.79</v>
      </c>
      <c r="J69" s="137">
        <v>0.151</v>
      </c>
      <c r="K69" s="137" t="s">
        <v>193</v>
      </c>
      <c r="L69" s="137" t="s">
        <v>193</v>
      </c>
      <c r="M69" s="137">
        <v>0</v>
      </c>
      <c r="N69" s="137" t="s">
        <v>53</v>
      </c>
      <c r="O69" s="137" t="s">
        <v>193</v>
      </c>
      <c r="P69" s="137" t="s">
        <v>53</v>
      </c>
      <c r="Q69" s="137" t="s">
        <v>193</v>
      </c>
      <c r="R69" s="137" t="s">
        <v>53</v>
      </c>
      <c r="S69" s="137" t="s">
        <v>193</v>
      </c>
      <c r="U69" s="137">
        <f t="shared" si="2"/>
        <v>2.9169999999999998</v>
      </c>
      <c r="V69" s="171">
        <f t="shared" si="3"/>
        <v>0</v>
      </c>
    </row>
    <row r="70" spans="1:22" ht="15" customHeight="1" x14ac:dyDescent="0.25">
      <c r="A70" s="137" t="s">
        <v>279</v>
      </c>
      <c r="B70" s="137" t="s">
        <v>282</v>
      </c>
      <c r="C70" s="137">
        <v>2018</v>
      </c>
      <c r="D70" s="137">
        <v>14.026</v>
      </c>
      <c r="E70" s="137">
        <v>3.75</v>
      </c>
      <c r="F70" s="137">
        <v>3.4609999999999999</v>
      </c>
      <c r="G70" s="137">
        <v>0</v>
      </c>
      <c r="H70" s="137" t="s">
        <v>193</v>
      </c>
      <c r="I70" s="137">
        <v>3.6419999999999999</v>
      </c>
      <c r="J70" s="137">
        <v>1.224</v>
      </c>
      <c r="K70" s="137" t="s">
        <v>193</v>
      </c>
      <c r="L70" s="137" t="s">
        <v>193</v>
      </c>
      <c r="M70" s="137">
        <v>1.9490000000000001</v>
      </c>
      <c r="N70" s="137" t="s">
        <v>53</v>
      </c>
      <c r="O70" s="137" t="s">
        <v>193</v>
      </c>
      <c r="P70" s="137" t="s">
        <v>53</v>
      </c>
      <c r="Q70" s="137" t="s">
        <v>193</v>
      </c>
      <c r="R70" s="137" t="s">
        <v>53</v>
      </c>
      <c r="S70" s="137" t="s">
        <v>193</v>
      </c>
      <c r="U70" s="137">
        <f t="shared" si="2"/>
        <v>14.026</v>
      </c>
      <c r="V70" s="171">
        <f t="shared" si="3"/>
        <v>0</v>
      </c>
    </row>
    <row r="71" spans="1:22" ht="15" customHeight="1" x14ac:dyDescent="0.25">
      <c r="A71" s="137" t="s">
        <v>47</v>
      </c>
      <c r="B71" s="141" t="s">
        <v>48</v>
      </c>
      <c r="C71" s="137">
        <v>2018</v>
      </c>
      <c r="D71" s="137" t="s">
        <v>53</v>
      </c>
      <c r="E71" s="137" t="s">
        <v>53</v>
      </c>
      <c r="F71" s="137" t="s">
        <v>53</v>
      </c>
      <c r="G71" s="137" t="s">
        <v>53</v>
      </c>
      <c r="H71" s="137" t="s">
        <v>53</v>
      </c>
      <c r="I71" s="137" t="s">
        <v>53</v>
      </c>
      <c r="J71" s="137" t="s">
        <v>53</v>
      </c>
      <c r="K71" s="137" t="s">
        <v>53</v>
      </c>
      <c r="L71" s="137" t="s">
        <v>53</v>
      </c>
      <c r="M71" s="137" t="s">
        <v>53</v>
      </c>
      <c r="N71" s="137" t="s">
        <v>53</v>
      </c>
      <c r="O71" s="137" t="s">
        <v>53</v>
      </c>
      <c r="P71" s="137" t="s">
        <v>53</v>
      </c>
      <c r="Q71" s="137" t="s">
        <v>53</v>
      </c>
      <c r="R71" s="137" t="s">
        <v>53</v>
      </c>
      <c r="S71" s="137" t="s">
        <v>53</v>
      </c>
      <c r="U71" s="137">
        <f t="shared" si="2"/>
        <v>0</v>
      </c>
      <c r="V71" s="171">
        <f t="shared" si="3"/>
        <v>0</v>
      </c>
    </row>
    <row r="72" spans="1:22" ht="15" customHeight="1" x14ac:dyDescent="0.25">
      <c r="A72" s="137" t="s">
        <v>283</v>
      </c>
      <c r="B72" s="137" t="s">
        <v>284</v>
      </c>
      <c r="C72" s="137">
        <v>2018</v>
      </c>
      <c r="D72" s="137">
        <v>46.8</v>
      </c>
      <c r="E72" s="137">
        <v>10.8</v>
      </c>
      <c r="F72" s="137">
        <v>11.7</v>
      </c>
      <c r="G72" s="137">
        <v>11.9</v>
      </c>
      <c r="H72" s="137" t="s">
        <v>193</v>
      </c>
      <c r="I72" s="137">
        <v>7.9</v>
      </c>
      <c r="J72" s="137">
        <v>4.5</v>
      </c>
      <c r="K72" s="137" t="s">
        <v>193</v>
      </c>
      <c r="L72" s="137" t="s">
        <v>193</v>
      </c>
      <c r="M72" s="137" t="s">
        <v>193</v>
      </c>
      <c r="N72" s="137" t="s">
        <v>53</v>
      </c>
      <c r="O72" s="137" t="s">
        <v>193</v>
      </c>
      <c r="P72" s="137" t="s">
        <v>53</v>
      </c>
      <c r="Q72" s="137" t="s">
        <v>193</v>
      </c>
      <c r="R72" s="137" t="s">
        <v>53</v>
      </c>
      <c r="S72" s="137" t="s">
        <v>193</v>
      </c>
      <c r="U72" s="137">
        <f t="shared" si="2"/>
        <v>46.8</v>
      </c>
      <c r="V72" s="171">
        <f t="shared" si="3"/>
        <v>0</v>
      </c>
    </row>
    <row r="73" spans="1:22" ht="15" customHeight="1" x14ac:dyDescent="0.25">
      <c r="A73" s="137" t="s">
        <v>285</v>
      </c>
      <c r="B73" s="137" t="s">
        <v>286</v>
      </c>
      <c r="C73" s="137">
        <v>2018</v>
      </c>
      <c r="D73" s="137">
        <v>213</v>
      </c>
      <c r="E73" s="137">
        <v>84</v>
      </c>
      <c r="F73" s="137">
        <v>29</v>
      </c>
      <c r="G73" s="137">
        <v>4</v>
      </c>
      <c r="H73" s="137" t="s">
        <v>193</v>
      </c>
      <c r="I73" s="137">
        <v>52</v>
      </c>
      <c r="J73" s="137">
        <v>30</v>
      </c>
      <c r="K73" s="137">
        <v>1</v>
      </c>
      <c r="L73" s="137">
        <v>14</v>
      </c>
      <c r="M73" s="137" t="s">
        <v>193</v>
      </c>
      <c r="N73" s="137" t="s">
        <v>193</v>
      </c>
      <c r="O73" s="137" t="s">
        <v>193</v>
      </c>
      <c r="P73" s="137" t="s">
        <v>193</v>
      </c>
      <c r="Q73" s="137" t="s">
        <v>193</v>
      </c>
      <c r="R73" s="137" t="s">
        <v>193</v>
      </c>
      <c r="S73" s="137" t="s">
        <v>193</v>
      </c>
      <c r="U73" s="137">
        <f t="shared" si="2"/>
        <v>213</v>
      </c>
      <c r="V73" s="171">
        <f t="shared" si="3"/>
        <v>0</v>
      </c>
    </row>
    <row r="74" spans="1:22" ht="15" customHeight="1" x14ac:dyDescent="0.25">
      <c r="A74" s="137" t="s">
        <v>289</v>
      </c>
      <c r="B74" s="137" t="s">
        <v>290</v>
      </c>
      <c r="C74" s="137">
        <v>2018</v>
      </c>
      <c r="D74" s="137">
        <v>628.12400000000002</v>
      </c>
      <c r="E74" s="137">
        <v>306.49900000000002</v>
      </c>
      <c r="F74" s="137">
        <v>57.89</v>
      </c>
      <c r="G74" s="137">
        <v>51.506999999999998</v>
      </c>
      <c r="H74" s="137">
        <v>0</v>
      </c>
      <c r="I74" s="137">
        <v>88.506</v>
      </c>
      <c r="J74" s="137">
        <v>110.74299999999999</v>
      </c>
      <c r="K74" s="137">
        <v>3.12</v>
      </c>
      <c r="L74" s="137">
        <v>9.859</v>
      </c>
      <c r="M74" s="137" t="s">
        <v>193</v>
      </c>
      <c r="N74" s="137" t="s">
        <v>53</v>
      </c>
      <c r="O74" s="137" t="s">
        <v>193</v>
      </c>
      <c r="P74" s="137" t="s">
        <v>53</v>
      </c>
      <c r="Q74" s="137" t="s">
        <v>193</v>
      </c>
      <c r="R74" s="137" t="s">
        <v>53</v>
      </c>
      <c r="S74" s="137" t="s">
        <v>193</v>
      </c>
      <c r="U74" s="137">
        <f t="shared" si="2"/>
        <v>628.12400000000002</v>
      </c>
      <c r="V74" s="171">
        <f t="shared" si="3"/>
        <v>0</v>
      </c>
    </row>
    <row r="75" spans="1:22" ht="15" customHeight="1" x14ac:dyDescent="0.25">
      <c r="A75" s="137" t="s">
        <v>289</v>
      </c>
      <c r="B75" s="137" t="s">
        <v>291</v>
      </c>
      <c r="C75" s="137">
        <v>2018</v>
      </c>
      <c r="D75" s="137">
        <v>0.76939999999999997</v>
      </c>
      <c r="E75" s="137" t="s">
        <v>193</v>
      </c>
      <c r="F75" s="137" t="s">
        <v>193</v>
      </c>
      <c r="G75" s="137" t="s">
        <v>193</v>
      </c>
      <c r="H75" s="137" t="s">
        <v>193</v>
      </c>
      <c r="I75" s="137">
        <v>0.76939999999999997</v>
      </c>
      <c r="J75" s="137" t="s">
        <v>193</v>
      </c>
      <c r="K75" s="137" t="s">
        <v>193</v>
      </c>
      <c r="L75" s="137" t="s">
        <v>193</v>
      </c>
      <c r="M75" s="137" t="s">
        <v>193</v>
      </c>
      <c r="N75" s="137" t="s">
        <v>53</v>
      </c>
      <c r="O75" s="137" t="s">
        <v>193</v>
      </c>
      <c r="P75" s="137" t="s">
        <v>53</v>
      </c>
      <c r="Q75" s="137" t="s">
        <v>193</v>
      </c>
      <c r="R75" s="137" t="s">
        <v>53</v>
      </c>
      <c r="S75" s="137" t="s">
        <v>193</v>
      </c>
      <c r="U75" s="137">
        <f t="shared" si="2"/>
        <v>0.76939999999999997</v>
      </c>
      <c r="V75" s="171">
        <f t="shared" si="3"/>
        <v>0</v>
      </c>
    </row>
    <row r="76" spans="1:22" ht="15" customHeight="1" x14ac:dyDescent="0.25">
      <c r="A76" s="137" t="s">
        <v>289</v>
      </c>
      <c r="B76" s="137" t="s">
        <v>292</v>
      </c>
      <c r="C76" s="137">
        <v>2018</v>
      </c>
      <c r="D76" s="137">
        <v>5.8570000000000002</v>
      </c>
      <c r="E76" s="137">
        <v>0.76200000000000001</v>
      </c>
      <c r="F76" s="137">
        <v>3.8660000000000001</v>
      </c>
      <c r="G76" s="137" t="s">
        <v>193</v>
      </c>
      <c r="H76" s="137" t="s">
        <v>193</v>
      </c>
      <c r="I76" s="137">
        <v>1.097</v>
      </c>
      <c r="J76" s="137">
        <v>0.13200000000000001</v>
      </c>
      <c r="K76" s="137" t="s">
        <v>193</v>
      </c>
      <c r="L76" s="137" t="s">
        <v>193</v>
      </c>
      <c r="M76" s="137" t="s">
        <v>193</v>
      </c>
      <c r="N76" s="137" t="s">
        <v>53</v>
      </c>
      <c r="O76" s="137" t="s">
        <v>193</v>
      </c>
      <c r="P76" s="137" t="s">
        <v>53</v>
      </c>
      <c r="Q76" s="137" t="s">
        <v>193</v>
      </c>
      <c r="R76" s="137" t="s">
        <v>53</v>
      </c>
      <c r="S76" s="137" t="s">
        <v>193</v>
      </c>
      <c r="U76" s="137">
        <f t="shared" si="2"/>
        <v>5.8570000000000002</v>
      </c>
      <c r="V76" s="171">
        <f t="shared" si="3"/>
        <v>0</v>
      </c>
    </row>
    <row r="77" spans="1:22" ht="15" customHeight="1" x14ac:dyDescent="0.25">
      <c r="A77" s="137" t="s">
        <v>293</v>
      </c>
      <c r="B77" s="137" t="s">
        <v>294</v>
      </c>
      <c r="C77" s="137">
        <v>2018</v>
      </c>
      <c r="D77" s="137">
        <v>103.4</v>
      </c>
      <c r="E77" s="137">
        <v>53.4</v>
      </c>
      <c r="F77" s="137">
        <v>8.6</v>
      </c>
      <c r="G77" s="137">
        <v>4.8</v>
      </c>
      <c r="H77" s="137" t="s">
        <v>193</v>
      </c>
      <c r="I77" s="137">
        <v>15.3</v>
      </c>
      <c r="J77" s="137">
        <v>21.2</v>
      </c>
      <c r="K77" s="137" t="s">
        <v>193</v>
      </c>
      <c r="L77" s="137" t="s">
        <v>193</v>
      </c>
      <c r="M77" s="137" t="s">
        <v>193</v>
      </c>
      <c r="N77" s="137" t="s">
        <v>219</v>
      </c>
      <c r="O77" s="137" t="s">
        <v>193</v>
      </c>
      <c r="P77" s="137" t="s">
        <v>219</v>
      </c>
      <c r="Q77" s="137" t="s">
        <v>193</v>
      </c>
      <c r="R77" s="137" t="s">
        <v>219</v>
      </c>
      <c r="S77" s="137" t="s">
        <v>193</v>
      </c>
      <c r="U77" s="137">
        <f t="shared" si="2"/>
        <v>103.4</v>
      </c>
      <c r="V77" s="171">
        <f t="shared" si="3"/>
        <v>0</v>
      </c>
    </row>
    <row r="78" spans="1:22" ht="15" customHeight="1" x14ac:dyDescent="0.25">
      <c r="A78" s="137" t="s">
        <v>293</v>
      </c>
      <c r="B78" s="137" t="s">
        <v>295</v>
      </c>
      <c r="C78" s="137">
        <v>2018</v>
      </c>
      <c r="D78" s="137">
        <v>10.9</v>
      </c>
      <c r="E78" s="137">
        <v>2.2999999999999998</v>
      </c>
      <c r="F78" s="137">
        <v>1.5</v>
      </c>
      <c r="G78" s="137">
        <v>4.8</v>
      </c>
      <c r="H78" s="137" t="s">
        <v>193</v>
      </c>
      <c r="I78" s="137">
        <v>2.2000000000000002</v>
      </c>
      <c r="J78" s="137" t="s">
        <v>193</v>
      </c>
      <c r="K78" s="137">
        <v>0.1</v>
      </c>
      <c r="L78" s="137" t="s">
        <v>193</v>
      </c>
      <c r="M78" s="137" t="s">
        <v>193</v>
      </c>
      <c r="N78" s="137" t="s">
        <v>193</v>
      </c>
      <c r="O78" s="137" t="s">
        <v>193</v>
      </c>
      <c r="P78" s="137" t="s">
        <v>193</v>
      </c>
      <c r="Q78" s="137" t="s">
        <v>193</v>
      </c>
      <c r="R78" s="137" t="s">
        <v>193</v>
      </c>
      <c r="S78" s="137" t="s">
        <v>193</v>
      </c>
      <c r="U78" s="137">
        <f t="shared" si="2"/>
        <v>10.9</v>
      </c>
      <c r="V78" s="171">
        <f t="shared" si="3"/>
        <v>0</v>
      </c>
    </row>
    <row r="79" spans="1:22" ht="15" customHeight="1" x14ac:dyDescent="0.25">
      <c r="A79" s="137" t="s">
        <v>293</v>
      </c>
      <c r="B79" s="137" t="s">
        <v>296</v>
      </c>
      <c r="C79" s="137">
        <v>2018</v>
      </c>
      <c r="D79" s="137">
        <v>4.0999999999999996</v>
      </c>
      <c r="E79" s="137">
        <v>1.5</v>
      </c>
      <c r="F79" s="137">
        <v>0.15</v>
      </c>
      <c r="G79" s="137" t="s">
        <v>193</v>
      </c>
      <c r="H79" s="137" t="s">
        <v>193</v>
      </c>
      <c r="I79" s="137">
        <v>2.2999999999999998</v>
      </c>
      <c r="J79" s="137" t="s">
        <v>193</v>
      </c>
      <c r="K79" s="137">
        <v>0.2</v>
      </c>
      <c r="L79" s="137" t="s">
        <v>193</v>
      </c>
      <c r="M79" s="137" t="s">
        <v>193</v>
      </c>
      <c r="N79" s="137" t="s">
        <v>53</v>
      </c>
      <c r="O79" s="137" t="s">
        <v>193</v>
      </c>
      <c r="P79" s="137" t="s">
        <v>53</v>
      </c>
      <c r="Q79" s="137" t="s">
        <v>193</v>
      </c>
      <c r="R79" s="137" t="s">
        <v>53</v>
      </c>
      <c r="S79" s="137" t="s">
        <v>193</v>
      </c>
      <c r="U79" s="137">
        <f t="shared" si="2"/>
        <v>4.0999999999999996</v>
      </c>
      <c r="V79" s="171">
        <f t="shared" si="3"/>
        <v>0</v>
      </c>
    </row>
    <row r="80" spans="1:22" ht="15" customHeight="1" x14ac:dyDescent="0.25">
      <c r="A80" s="137" t="s">
        <v>297</v>
      </c>
      <c r="B80" s="137" t="s">
        <v>298</v>
      </c>
      <c r="C80" s="137">
        <v>2018</v>
      </c>
      <c r="D80" s="137">
        <v>63.59</v>
      </c>
      <c r="E80" s="137">
        <v>27.25</v>
      </c>
      <c r="F80" s="137">
        <v>5.75</v>
      </c>
      <c r="G80" s="137">
        <v>0</v>
      </c>
      <c r="H80" s="137" t="s">
        <v>193</v>
      </c>
      <c r="I80" s="137">
        <v>13.441000000000001</v>
      </c>
      <c r="J80" s="137">
        <v>13.459</v>
      </c>
      <c r="K80" s="137" t="s">
        <v>193</v>
      </c>
      <c r="L80" s="137" t="s">
        <v>193</v>
      </c>
      <c r="M80" s="137">
        <v>3.69</v>
      </c>
      <c r="N80" s="137" t="s">
        <v>53</v>
      </c>
      <c r="O80" s="137" t="s">
        <v>193</v>
      </c>
      <c r="P80" s="137" t="s">
        <v>53</v>
      </c>
      <c r="Q80" s="137" t="s">
        <v>193</v>
      </c>
      <c r="R80" s="137" t="s">
        <v>53</v>
      </c>
      <c r="S80" s="137" t="s">
        <v>193</v>
      </c>
      <c r="U80" s="137">
        <f t="shared" si="2"/>
        <v>63.59</v>
      </c>
      <c r="V80" s="171">
        <f t="shared" si="3"/>
        <v>0</v>
      </c>
    </row>
    <row r="81" spans="1:22" ht="15" customHeight="1" x14ac:dyDescent="0.25">
      <c r="A81" s="137" t="s">
        <v>297</v>
      </c>
      <c r="B81" s="137" t="s">
        <v>299</v>
      </c>
      <c r="C81" s="137">
        <v>2018</v>
      </c>
      <c r="D81" s="137">
        <v>2.4660000000000002</v>
      </c>
      <c r="E81" s="137">
        <v>0.36599999999999999</v>
      </c>
      <c r="F81" s="137">
        <v>0.19700000000000001</v>
      </c>
      <c r="G81" s="137">
        <v>0</v>
      </c>
      <c r="H81" s="137" t="s">
        <v>193</v>
      </c>
      <c r="I81" s="137">
        <v>1.7470000000000001</v>
      </c>
      <c r="J81" s="137">
        <v>0.156</v>
      </c>
      <c r="K81" s="137">
        <v>0</v>
      </c>
      <c r="L81" s="137">
        <v>0</v>
      </c>
      <c r="M81" s="137">
        <v>0</v>
      </c>
      <c r="N81" s="137" t="s">
        <v>53</v>
      </c>
      <c r="O81" s="137" t="s">
        <v>193</v>
      </c>
      <c r="P81" s="137" t="s">
        <v>53</v>
      </c>
      <c r="Q81" s="137" t="s">
        <v>193</v>
      </c>
      <c r="R81" s="137" t="s">
        <v>53</v>
      </c>
      <c r="S81" s="137" t="s">
        <v>193</v>
      </c>
      <c r="U81" s="137">
        <f t="shared" si="2"/>
        <v>2.4660000000000002</v>
      </c>
      <c r="V81" s="171">
        <f t="shared" si="3"/>
        <v>0</v>
      </c>
    </row>
    <row r="82" spans="1:22" ht="15" customHeight="1" x14ac:dyDescent="0.25">
      <c r="A82" s="137" t="s">
        <v>297</v>
      </c>
      <c r="B82" s="137" t="s">
        <v>300</v>
      </c>
      <c r="C82" s="137">
        <v>2018</v>
      </c>
      <c r="D82" s="137">
        <v>3.2919999999999998</v>
      </c>
      <c r="E82" s="137">
        <v>0.49299999999999999</v>
      </c>
      <c r="F82" s="137">
        <v>0.26600000000000001</v>
      </c>
      <c r="G82" s="137">
        <v>0</v>
      </c>
      <c r="H82" s="137" t="s">
        <v>193</v>
      </c>
      <c r="I82" s="137">
        <v>2.496</v>
      </c>
      <c r="J82" s="137">
        <v>3.6999999999999998E-2</v>
      </c>
      <c r="K82" s="137">
        <v>0</v>
      </c>
      <c r="L82" s="137">
        <v>0</v>
      </c>
      <c r="M82" s="137">
        <v>0</v>
      </c>
      <c r="N82" s="137" t="s">
        <v>53</v>
      </c>
      <c r="O82" s="137" t="s">
        <v>193</v>
      </c>
      <c r="P82" s="137" t="s">
        <v>53</v>
      </c>
      <c r="Q82" s="137" t="s">
        <v>193</v>
      </c>
      <c r="R82" s="137" t="s">
        <v>53</v>
      </c>
      <c r="S82" s="137" t="s">
        <v>193</v>
      </c>
      <c r="U82" s="137">
        <f t="shared" si="2"/>
        <v>3.2919999999999998</v>
      </c>
      <c r="V82" s="171">
        <f t="shared" si="3"/>
        <v>0</v>
      </c>
    </row>
    <row r="83" spans="1:22" ht="15" customHeight="1" x14ac:dyDescent="0.25">
      <c r="A83" s="137" t="s">
        <v>301</v>
      </c>
      <c r="B83" s="137" t="s">
        <v>302</v>
      </c>
      <c r="C83" s="137">
        <v>2018</v>
      </c>
      <c r="D83" s="137">
        <v>3.71</v>
      </c>
      <c r="E83" s="137">
        <v>1.45</v>
      </c>
      <c r="F83" s="137">
        <v>0.24</v>
      </c>
      <c r="G83" s="137">
        <v>0.3</v>
      </c>
      <c r="H83" s="137" t="s">
        <v>193</v>
      </c>
      <c r="I83" s="137">
        <v>1.34</v>
      </c>
      <c r="J83" s="137">
        <v>0.15</v>
      </c>
      <c r="K83" s="137">
        <v>0.23</v>
      </c>
      <c r="L83" s="137">
        <v>0</v>
      </c>
      <c r="M83" s="137">
        <v>0</v>
      </c>
      <c r="N83" s="137" t="s">
        <v>53</v>
      </c>
      <c r="O83" s="137" t="s">
        <v>193</v>
      </c>
      <c r="P83" s="137" t="s">
        <v>53</v>
      </c>
      <c r="Q83" s="137" t="s">
        <v>193</v>
      </c>
      <c r="R83" s="137" t="s">
        <v>53</v>
      </c>
      <c r="S83" s="137" t="s">
        <v>193</v>
      </c>
      <c r="U83" s="137">
        <f t="shared" si="2"/>
        <v>3.71</v>
      </c>
      <c r="V83" s="171">
        <f t="shared" si="3"/>
        <v>0</v>
      </c>
    </row>
    <row r="84" spans="1:22" ht="15" customHeight="1" x14ac:dyDescent="0.25">
      <c r="A84" s="137" t="s">
        <v>301</v>
      </c>
      <c r="B84" s="137" t="s">
        <v>303</v>
      </c>
      <c r="C84" s="137">
        <v>2018</v>
      </c>
      <c r="D84" s="137">
        <v>357.8</v>
      </c>
      <c r="E84" s="137">
        <v>133.57</v>
      </c>
      <c r="F84" s="137">
        <v>39.58</v>
      </c>
      <c r="G84" s="137">
        <v>30.04</v>
      </c>
      <c r="H84" s="137" t="s">
        <v>193</v>
      </c>
      <c r="I84" s="137">
        <v>42.46</v>
      </c>
      <c r="J84" s="137">
        <v>40.799999999999997</v>
      </c>
      <c r="K84" s="137">
        <v>18.16</v>
      </c>
      <c r="L84" s="137">
        <v>4.0199999999999996</v>
      </c>
      <c r="M84" s="137">
        <v>49.2</v>
      </c>
      <c r="N84" s="137" t="s">
        <v>1075</v>
      </c>
      <c r="O84" s="137">
        <v>5.82</v>
      </c>
      <c r="P84" s="137" t="s">
        <v>53</v>
      </c>
      <c r="Q84" s="137" t="s">
        <v>193</v>
      </c>
      <c r="R84" s="137" t="s">
        <v>53</v>
      </c>
      <c r="S84" s="137" t="s">
        <v>193</v>
      </c>
      <c r="U84" s="137">
        <f t="shared" si="2"/>
        <v>357.8</v>
      </c>
      <c r="V84" s="171">
        <f t="shared" si="3"/>
        <v>5.82</v>
      </c>
    </row>
    <row r="85" spans="1:22" ht="15" customHeight="1" x14ac:dyDescent="0.25">
      <c r="A85" s="137" t="s">
        <v>301</v>
      </c>
      <c r="B85" s="137" t="s">
        <v>305</v>
      </c>
      <c r="C85" s="137">
        <v>2018</v>
      </c>
      <c r="D85" s="137">
        <v>4.93</v>
      </c>
      <c r="E85" s="137">
        <v>3.56</v>
      </c>
      <c r="F85" s="137">
        <v>0.02</v>
      </c>
      <c r="G85" s="137">
        <v>0</v>
      </c>
      <c r="H85" s="137" t="s">
        <v>193</v>
      </c>
      <c r="I85" s="137">
        <v>1.18</v>
      </c>
      <c r="J85" s="137">
        <v>0.17</v>
      </c>
      <c r="K85" s="137">
        <v>0</v>
      </c>
      <c r="L85" s="137">
        <v>0</v>
      </c>
      <c r="M85" s="137">
        <v>0</v>
      </c>
      <c r="N85" s="137" t="s">
        <v>53</v>
      </c>
      <c r="O85" s="137" t="s">
        <v>193</v>
      </c>
      <c r="P85" s="137" t="s">
        <v>53</v>
      </c>
      <c r="Q85" s="137" t="s">
        <v>193</v>
      </c>
      <c r="R85" s="137" t="s">
        <v>53</v>
      </c>
      <c r="S85" s="137" t="s">
        <v>193</v>
      </c>
      <c r="U85" s="137">
        <f t="shared" si="2"/>
        <v>4.93</v>
      </c>
      <c r="V85" s="171">
        <f t="shared" si="3"/>
        <v>0</v>
      </c>
    </row>
    <row r="86" spans="1:22" ht="15" customHeight="1" x14ac:dyDescent="0.25">
      <c r="A86" s="137" t="s">
        <v>301</v>
      </c>
      <c r="B86" s="137" t="s">
        <v>306</v>
      </c>
      <c r="C86" s="137">
        <v>2018</v>
      </c>
      <c r="D86" s="137">
        <v>4.88</v>
      </c>
      <c r="E86" s="137">
        <v>2.54</v>
      </c>
      <c r="F86" s="137">
        <v>0.14000000000000001</v>
      </c>
      <c r="G86" s="137">
        <v>0</v>
      </c>
      <c r="H86" s="137" t="s">
        <v>193</v>
      </c>
      <c r="I86" s="137">
        <v>2.11</v>
      </c>
      <c r="J86" s="137">
        <v>0.09</v>
      </c>
      <c r="K86" s="137">
        <v>0</v>
      </c>
      <c r="L86" s="137">
        <v>0</v>
      </c>
      <c r="M86" s="137">
        <v>0</v>
      </c>
      <c r="N86" s="137" t="s">
        <v>53</v>
      </c>
      <c r="O86" s="137" t="s">
        <v>193</v>
      </c>
      <c r="P86" s="137" t="s">
        <v>53</v>
      </c>
      <c r="Q86" s="137" t="s">
        <v>193</v>
      </c>
      <c r="R86" s="137" t="s">
        <v>53</v>
      </c>
      <c r="S86" s="137" t="s">
        <v>193</v>
      </c>
      <c r="U86" s="137">
        <f t="shared" si="2"/>
        <v>4.88</v>
      </c>
      <c r="V86" s="171">
        <f t="shared" si="3"/>
        <v>0</v>
      </c>
    </row>
    <row r="87" spans="1:22" ht="15" customHeight="1" x14ac:dyDescent="0.25">
      <c r="A87" s="137" t="s">
        <v>307</v>
      </c>
      <c r="B87" s="137" t="s">
        <v>308</v>
      </c>
      <c r="C87" s="137">
        <v>2018</v>
      </c>
      <c r="D87" s="137">
        <v>107</v>
      </c>
      <c r="E87" s="137">
        <v>41</v>
      </c>
      <c r="F87" s="137">
        <v>9</v>
      </c>
      <c r="G87" s="137">
        <v>30</v>
      </c>
      <c r="H87" s="137">
        <v>0</v>
      </c>
      <c r="I87" s="137">
        <v>14</v>
      </c>
      <c r="J87" s="137">
        <v>13</v>
      </c>
      <c r="K87" s="137">
        <v>0</v>
      </c>
      <c r="L87" s="137" t="s">
        <v>312</v>
      </c>
      <c r="M87" s="137" t="s">
        <v>193</v>
      </c>
      <c r="N87" s="137" t="s">
        <v>53</v>
      </c>
      <c r="O87" s="137" t="s">
        <v>193</v>
      </c>
      <c r="P87" s="137" t="s">
        <v>53</v>
      </c>
      <c r="Q87" s="137" t="s">
        <v>193</v>
      </c>
      <c r="R87" s="137" t="s">
        <v>53</v>
      </c>
      <c r="S87" s="137" t="s">
        <v>193</v>
      </c>
      <c r="U87" s="137">
        <f t="shared" si="2"/>
        <v>107</v>
      </c>
      <c r="V87" s="171">
        <f t="shared" si="3"/>
        <v>0</v>
      </c>
    </row>
    <row r="88" spans="1:22" ht="15" customHeight="1" x14ac:dyDescent="0.25">
      <c r="A88" s="137" t="s">
        <v>309</v>
      </c>
      <c r="B88" s="137" t="s">
        <v>310</v>
      </c>
      <c r="C88" s="137">
        <v>2018</v>
      </c>
      <c r="D88" s="137">
        <v>33.445</v>
      </c>
      <c r="E88" s="137">
        <v>16.343</v>
      </c>
      <c r="F88" s="137">
        <v>0.29699999999999999</v>
      </c>
      <c r="G88" s="137">
        <v>0.98099999999999998</v>
      </c>
      <c r="H88" s="137" t="s">
        <v>193</v>
      </c>
      <c r="I88" s="137">
        <v>11.704000000000001</v>
      </c>
      <c r="J88" s="137">
        <v>4.1180000000000003</v>
      </c>
      <c r="K88" s="137" t="s">
        <v>193</v>
      </c>
      <c r="L88" s="137" t="s">
        <v>193</v>
      </c>
      <c r="M88" s="137" t="s">
        <v>193</v>
      </c>
      <c r="N88" s="137" t="s">
        <v>53</v>
      </c>
      <c r="O88" s="137" t="s">
        <v>193</v>
      </c>
      <c r="P88" s="137" t="s">
        <v>53</v>
      </c>
      <c r="Q88" s="137" t="s">
        <v>193</v>
      </c>
      <c r="R88" s="137" t="s">
        <v>53</v>
      </c>
      <c r="S88" s="137" t="s">
        <v>193</v>
      </c>
      <c r="U88" s="137">
        <f t="shared" si="2"/>
        <v>33.445</v>
      </c>
      <c r="V88" s="171">
        <f t="shared" si="3"/>
        <v>0</v>
      </c>
    </row>
    <row r="89" spans="1:22" ht="15" customHeight="1" x14ac:dyDescent="0.25">
      <c r="A89" s="137" t="s">
        <v>309</v>
      </c>
      <c r="B89" s="137" t="s">
        <v>311</v>
      </c>
      <c r="C89" s="137">
        <v>2018</v>
      </c>
      <c r="D89" s="137">
        <v>4.367</v>
      </c>
      <c r="E89" s="137">
        <v>1.224</v>
      </c>
      <c r="F89" s="137">
        <v>4.5999999999999999E-2</v>
      </c>
      <c r="G89" s="137">
        <v>1.806</v>
      </c>
      <c r="H89" s="137" t="s">
        <v>193</v>
      </c>
      <c r="I89" s="137">
        <v>1.2050000000000001</v>
      </c>
      <c r="J89" s="137">
        <v>8.5000000000000006E-2</v>
      </c>
      <c r="K89" s="137" t="s">
        <v>193</v>
      </c>
      <c r="L89" s="137" t="s">
        <v>193</v>
      </c>
      <c r="M89" s="137" t="s">
        <v>193</v>
      </c>
      <c r="N89" s="137" t="s">
        <v>53</v>
      </c>
      <c r="O89" s="137" t="s">
        <v>193</v>
      </c>
      <c r="P89" s="137" t="s">
        <v>53</v>
      </c>
      <c r="Q89" s="137" t="s">
        <v>193</v>
      </c>
      <c r="R89" s="137" t="s">
        <v>53</v>
      </c>
      <c r="S89" s="137" t="s">
        <v>193</v>
      </c>
      <c r="U89" s="137">
        <f t="shared" si="2"/>
        <v>4.367</v>
      </c>
      <c r="V89" s="171">
        <f t="shared" si="3"/>
        <v>0</v>
      </c>
    </row>
    <row r="90" spans="1:22" ht="15" customHeight="1" x14ac:dyDescent="0.25">
      <c r="A90" s="137" t="s">
        <v>309</v>
      </c>
      <c r="B90" s="137" t="s">
        <v>313</v>
      </c>
      <c r="C90" s="137">
        <v>2018</v>
      </c>
      <c r="D90" s="137">
        <v>2.1549999999999998</v>
      </c>
      <c r="E90" s="137">
        <v>0.247</v>
      </c>
      <c r="F90" s="137">
        <v>2.1999999999999999E-2</v>
      </c>
      <c r="G90" s="137" t="s">
        <v>193</v>
      </c>
      <c r="H90" s="137" t="s">
        <v>193</v>
      </c>
      <c r="I90" s="137">
        <v>1.8839999999999999</v>
      </c>
      <c r="J90" s="137" t="s">
        <v>193</v>
      </c>
      <c r="K90" s="137" t="s">
        <v>193</v>
      </c>
      <c r="L90" s="137" t="s">
        <v>193</v>
      </c>
      <c r="M90" s="137" t="s">
        <v>193</v>
      </c>
      <c r="N90" s="137" t="s">
        <v>53</v>
      </c>
      <c r="O90" s="137" t="s">
        <v>193</v>
      </c>
      <c r="P90" s="137" t="s">
        <v>53</v>
      </c>
      <c r="Q90" s="137" t="s">
        <v>193</v>
      </c>
      <c r="R90" s="137" t="s">
        <v>53</v>
      </c>
      <c r="S90" s="137" t="s">
        <v>193</v>
      </c>
      <c r="U90" s="137">
        <f t="shared" si="2"/>
        <v>2.1549999999999998</v>
      </c>
      <c r="V90" s="171">
        <f t="shared" si="3"/>
        <v>0</v>
      </c>
    </row>
    <row r="91" spans="1:22" ht="15" customHeight="1" x14ac:dyDescent="0.25">
      <c r="A91" s="137" t="s">
        <v>315</v>
      </c>
      <c r="B91" s="137" t="s">
        <v>316</v>
      </c>
      <c r="C91" s="137">
        <v>2018</v>
      </c>
      <c r="D91" s="137">
        <v>11.819000000000001</v>
      </c>
      <c r="E91" s="137">
        <v>4.516</v>
      </c>
      <c r="F91" s="137">
        <v>0.50600000000000001</v>
      </c>
      <c r="G91" s="137">
        <v>0</v>
      </c>
      <c r="H91" s="137">
        <v>0</v>
      </c>
      <c r="I91" s="137">
        <v>4.0730000000000004</v>
      </c>
      <c r="J91" s="137">
        <v>2.6440000000000001</v>
      </c>
      <c r="K91" s="137">
        <v>0</v>
      </c>
      <c r="L91" s="137">
        <v>0</v>
      </c>
      <c r="M91" s="137">
        <v>0.08</v>
      </c>
      <c r="N91" s="137" t="s">
        <v>219</v>
      </c>
      <c r="O91" s="137" t="s">
        <v>193</v>
      </c>
      <c r="P91" s="137" t="s">
        <v>219</v>
      </c>
      <c r="Q91" s="137" t="s">
        <v>193</v>
      </c>
      <c r="R91" s="137" t="s">
        <v>219</v>
      </c>
      <c r="S91" s="137" t="s">
        <v>193</v>
      </c>
      <c r="U91" s="137">
        <f t="shared" si="2"/>
        <v>11.819000000000001</v>
      </c>
      <c r="V91" s="171">
        <f t="shared" si="3"/>
        <v>0</v>
      </c>
    </row>
    <row r="92" spans="1:22" ht="15" customHeight="1" x14ac:dyDescent="0.25">
      <c r="A92" s="137" t="s">
        <v>315</v>
      </c>
      <c r="B92" s="137" t="s">
        <v>317</v>
      </c>
      <c r="C92" s="137">
        <v>2018</v>
      </c>
      <c r="D92" s="137">
        <v>7.149</v>
      </c>
      <c r="E92" s="137">
        <v>3.2909999999999999</v>
      </c>
      <c r="F92" s="137">
        <v>0.151</v>
      </c>
      <c r="G92" s="137">
        <v>0</v>
      </c>
      <c r="H92" s="137">
        <v>0</v>
      </c>
      <c r="I92" s="137">
        <v>2.5379999999999998</v>
      </c>
      <c r="J92" s="137">
        <v>1.2130000000000001</v>
      </c>
      <c r="K92" s="137">
        <v>0</v>
      </c>
      <c r="L92" s="137">
        <v>0</v>
      </c>
      <c r="M92" s="137">
        <v>0</v>
      </c>
      <c r="N92" s="137" t="s">
        <v>53</v>
      </c>
      <c r="O92" s="137" t="s">
        <v>193</v>
      </c>
      <c r="P92" s="137" t="s">
        <v>53</v>
      </c>
      <c r="Q92" s="137" t="s">
        <v>193</v>
      </c>
      <c r="R92" s="137" t="s">
        <v>53</v>
      </c>
      <c r="S92" s="137" t="s">
        <v>193</v>
      </c>
      <c r="U92" s="137">
        <f t="shared" si="2"/>
        <v>7.149</v>
      </c>
      <c r="V92" s="171">
        <f t="shared" si="3"/>
        <v>0</v>
      </c>
    </row>
    <row r="93" spans="1:22" ht="15" customHeight="1" x14ac:dyDescent="0.25">
      <c r="A93" s="137" t="s">
        <v>315</v>
      </c>
      <c r="B93" s="137" t="s">
        <v>318</v>
      </c>
      <c r="C93" s="137">
        <v>2018</v>
      </c>
      <c r="D93" s="137">
        <v>15.727</v>
      </c>
      <c r="E93" s="137">
        <v>3.97</v>
      </c>
      <c r="F93" s="137">
        <v>0.24299999999999999</v>
      </c>
      <c r="G93" s="137">
        <v>0</v>
      </c>
      <c r="H93" s="137">
        <v>0</v>
      </c>
      <c r="I93" s="137">
        <v>2.0609999999999999</v>
      </c>
      <c r="J93" s="137">
        <v>1.8220000000000001</v>
      </c>
      <c r="K93" s="137">
        <v>0</v>
      </c>
      <c r="L93" s="137">
        <v>0</v>
      </c>
      <c r="M93" s="137">
        <v>7.6310000000000002</v>
      </c>
      <c r="N93" s="137" t="s">
        <v>53</v>
      </c>
      <c r="O93" s="137" t="s">
        <v>193</v>
      </c>
      <c r="P93" s="137" t="s">
        <v>53</v>
      </c>
      <c r="Q93" s="137" t="s">
        <v>193</v>
      </c>
      <c r="R93" s="137" t="s">
        <v>53</v>
      </c>
      <c r="S93" s="137" t="s">
        <v>193</v>
      </c>
      <c r="U93" s="137">
        <f t="shared" si="2"/>
        <v>15.727</v>
      </c>
      <c r="V93" s="171">
        <f t="shared" si="3"/>
        <v>0</v>
      </c>
    </row>
    <row r="94" spans="1:22" ht="15" customHeight="1" x14ac:dyDescent="0.25">
      <c r="A94" s="137" t="s">
        <v>315</v>
      </c>
      <c r="B94" s="137" t="s">
        <v>319</v>
      </c>
      <c r="C94" s="137">
        <v>2018</v>
      </c>
      <c r="D94" s="137">
        <v>170.99700000000001</v>
      </c>
      <c r="E94" s="137">
        <v>90.180999999999997</v>
      </c>
      <c r="F94" s="137">
        <v>9.8930000000000007</v>
      </c>
      <c r="G94" s="137">
        <v>0</v>
      </c>
      <c r="H94" s="137">
        <v>0</v>
      </c>
      <c r="I94" s="137">
        <v>37.835999999999999</v>
      </c>
      <c r="J94" s="137">
        <v>28.757999999999999</v>
      </c>
      <c r="K94" s="137">
        <v>0</v>
      </c>
      <c r="L94" s="137">
        <v>0</v>
      </c>
      <c r="M94" s="137">
        <v>4.3289999999999997</v>
      </c>
      <c r="N94" s="137" t="s">
        <v>53</v>
      </c>
      <c r="O94" s="137" t="s">
        <v>193</v>
      </c>
      <c r="P94" s="137" t="s">
        <v>53</v>
      </c>
      <c r="Q94" s="137" t="s">
        <v>193</v>
      </c>
      <c r="R94" s="137" t="s">
        <v>53</v>
      </c>
      <c r="S94" s="137" t="s">
        <v>193</v>
      </c>
      <c r="U94" s="137">
        <f t="shared" si="2"/>
        <v>170.99700000000001</v>
      </c>
      <c r="V94" s="171">
        <f t="shared" si="3"/>
        <v>0</v>
      </c>
    </row>
    <row r="95" spans="1:22" ht="15" customHeight="1" x14ac:dyDescent="0.25">
      <c r="A95" s="137" t="s">
        <v>320</v>
      </c>
      <c r="B95" s="137" t="s">
        <v>321</v>
      </c>
      <c r="C95" s="137">
        <v>2018</v>
      </c>
      <c r="D95" s="137">
        <v>162</v>
      </c>
      <c r="E95" s="137">
        <v>66</v>
      </c>
      <c r="F95" s="137">
        <v>37</v>
      </c>
      <c r="G95" s="137">
        <v>6.1</v>
      </c>
      <c r="H95" s="137" t="s">
        <v>193</v>
      </c>
      <c r="I95" s="137">
        <v>28</v>
      </c>
      <c r="J95" s="137">
        <v>19</v>
      </c>
      <c r="K95" s="137">
        <v>1.3</v>
      </c>
      <c r="L95" s="137">
        <v>0</v>
      </c>
      <c r="M95" s="137">
        <v>4.0999999999999996</v>
      </c>
      <c r="N95" s="137" t="s">
        <v>53</v>
      </c>
      <c r="O95" s="137" t="s">
        <v>193</v>
      </c>
      <c r="P95" s="137" t="s">
        <v>53</v>
      </c>
      <c r="Q95" s="137" t="s">
        <v>193</v>
      </c>
      <c r="R95" s="137" t="s">
        <v>53</v>
      </c>
      <c r="S95" s="137" t="s">
        <v>193</v>
      </c>
      <c r="U95" s="137">
        <f t="shared" si="2"/>
        <v>162</v>
      </c>
      <c r="V95" s="171">
        <f t="shared" si="3"/>
        <v>0</v>
      </c>
    </row>
    <row r="96" spans="1:22" ht="15" customHeight="1" x14ac:dyDescent="0.25">
      <c r="A96" s="137" t="s">
        <v>322</v>
      </c>
      <c r="B96" s="137" t="s">
        <v>323</v>
      </c>
      <c r="C96" s="137">
        <v>2018</v>
      </c>
      <c r="D96" s="137">
        <v>680</v>
      </c>
      <c r="E96" s="137">
        <v>363.2</v>
      </c>
      <c r="F96" s="137">
        <v>84.4</v>
      </c>
      <c r="G96" s="137" t="s">
        <v>193</v>
      </c>
      <c r="H96" s="137" t="s">
        <v>193</v>
      </c>
      <c r="I96" s="137">
        <v>97.3</v>
      </c>
      <c r="J96" s="137">
        <v>77.400000000000006</v>
      </c>
      <c r="K96" s="137">
        <v>8.5</v>
      </c>
      <c r="L96" s="137">
        <v>18.3</v>
      </c>
      <c r="M96" s="137">
        <v>31</v>
      </c>
      <c r="N96" s="137" t="s">
        <v>53</v>
      </c>
      <c r="O96" s="137" t="s">
        <v>193</v>
      </c>
      <c r="P96" s="137" t="s">
        <v>53</v>
      </c>
      <c r="Q96" s="137" t="s">
        <v>193</v>
      </c>
      <c r="R96" s="137" t="s">
        <v>53</v>
      </c>
      <c r="S96" s="137" t="s">
        <v>193</v>
      </c>
      <c r="U96" s="137">
        <f t="shared" si="2"/>
        <v>680</v>
      </c>
      <c r="V96" s="171">
        <f t="shared" si="3"/>
        <v>0</v>
      </c>
    </row>
    <row r="97" spans="1:22" ht="15" customHeight="1" x14ac:dyDescent="0.25">
      <c r="A97" s="137" t="s">
        <v>324</v>
      </c>
      <c r="B97" s="137" t="s">
        <v>325</v>
      </c>
      <c r="C97" s="137">
        <v>2018</v>
      </c>
      <c r="D97" s="137" t="s">
        <v>193</v>
      </c>
      <c r="E97" s="137" t="s">
        <v>193</v>
      </c>
      <c r="F97" s="137" t="s">
        <v>193</v>
      </c>
      <c r="G97" s="137" t="s">
        <v>193</v>
      </c>
      <c r="H97" s="137" t="s">
        <v>193</v>
      </c>
      <c r="I97" s="137" t="s">
        <v>193</v>
      </c>
      <c r="J97" s="137" t="s">
        <v>193</v>
      </c>
      <c r="K97" s="137" t="s">
        <v>193</v>
      </c>
      <c r="L97" s="137" t="s">
        <v>193</v>
      </c>
      <c r="M97" s="137" t="s">
        <v>193</v>
      </c>
      <c r="N97" s="137" t="s">
        <v>219</v>
      </c>
      <c r="O97" s="137" t="s">
        <v>193</v>
      </c>
      <c r="P97" s="137" t="s">
        <v>219</v>
      </c>
      <c r="Q97" s="137" t="s">
        <v>193</v>
      </c>
      <c r="R97" s="137" t="s">
        <v>219</v>
      </c>
      <c r="S97" s="137" t="s">
        <v>193</v>
      </c>
      <c r="U97" s="137">
        <f t="shared" si="2"/>
        <v>0</v>
      </c>
      <c r="V97" s="171">
        <f t="shared" si="3"/>
        <v>0</v>
      </c>
    </row>
    <row r="98" spans="1:22" ht="15" customHeight="1" x14ac:dyDescent="0.25">
      <c r="A98" s="137" t="s">
        <v>324</v>
      </c>
      <c r="B98" s="137" t="s">
        <v>326</v>
      </c>
      <c r="C98" s="137">
        <v>2018</v>
      </c>
      <c r="D98" s="137">
        <v>3363.53</v>
      </c>
      <c r="E98" s="137">
        <v>1986</v>
      </c>
      <c r="F98" s="137">
        <v>224</v>
      </c>
      <c r="G98" s="137">
        <v>193</v>
      </c>
      <c r="H98" s="137" t="s">
        <v>193</v>
      </c>
      <c r="I98" s="137">
        <v>323</v>
      </c>
      <c r="J98" s="137">
        <v>436</v>
      </c>
      <c r="K98" s="137">
        <v>4</v>
      </c>
      <c r="L98" s="137" t="s">
        <v>312</v>
      </c>
      <c r="M98" s="137" t="s">
        <v>312</v>
      </c>
      <c r="N98" s="137" t="s">
        <v>1076</v>
      </c>
      <c r="O98" s="137">
        <v>31.4</v>
      </c>
      <c r="P98" s="137" t="s">
        <v>1077</v>
      </c>
      <c r="Q98" s="137">
        <v>22.7</v>
      </c>
      <c r="R98" s="137" t="s">
        <v>1078</v>
      </c>
      <c r="S98" s="137">
        <v>171</v>
      </c>
      <c r="U98" s="137">
        <f t="shared" si="2"/>
        <v>3363.53</v>
      </c>
      <c r="V98" s="171">
        <f t="shared" si="3"/>
        <v>225.1</v>
      </c>
    </row>
    <row r="99" spans="1:22" ht="15" customHeight="1" x14ac:dyDescent="0.25">
      <c r="A99" s="137" t="s">
        <v>324</v>
      </c>
      <c r="B99" s="137" t="s">
        <v>328</v>
      </c>
      <c r="C99" s="137">
        <v>2018</v>
      </c>
      <c r="D99" s="137">
        <v>165.02</v>
      </c>
      <c r="E99" s="137" t="s">
        <v>193</v>
      </c>
      <c r="F99" s="137" t="s">
        <v>193</v>
      </c>
      <c r="G99" s="137" t="s">
        <v>193</v>
      </c>
      <c r="H99" s="137" t="s">
        <v>193</v>
      </c>
      <c r="I99" s="137" t="s">
        <v>193</v>
      </c>
      <c r="J99" s="137" t="s">
        <v>193</v>
      </c>
      <c r="K99" s="137" t="s">
        <v>193</v>
      </c>
      <c r="L99" s="137" t="s">
        <v>193</v>
      </c>
      <c r="M99" s="137" t="s">
        <v>193</v>
      </c>
      <c r="N99" s="137" t="s">
        <v>219</v>
      </c>
      <c r="O99" s="137" t="s">
        <v>193</v>
      </c>
      <c r="P99" s="137" t="s">
        <v>219</v>
      </c>
      <c r="Q99" s="137" t="s">
        <v>193</v>
      </c>
      <c r="R99" s="137" t="s">
        <v>219</v>
      </c>
      <c r="S99" s="137" t="s">
        <v>193</v>
      </c>
      <c r="U99" s="137">
        <f t="shared" si="2"/>
        <v>165.02</v>
      </c>
      <c r="V99" s="171">
        <f t="shared" si="3"/>
        <v>0</v>
      </c>
    </row>
    <row r="100" spans="1:22" ht="15" customHeight="1" x14ac:dyDescent="0.25">
      <c r="A100" s="137" t="s">
        <v>324</v>
      </c>
      <c r="B100" s="137" t="s">
        <v>324</v>
      </c>
      <c r="C100" s="137">
        <v>2018</v>
      </c>
      <c r="D100" s="137" t="s">
        <v>193</v>
      </c>
      <c r="E100" s="137" t="s">
        <v>193</v>
      </c>
      <c r="F100" s="137" t="s">
        <v>193</v>
      </c>
      <c r="G100" s="137" t="s">
        <v>193</v>
      </c>
      <c r="H100" s="137" t="s">
        <v>193</v>
      </c>
      <c r="I100" s="137" t="s">
        <v>193</v>
      </c>
      <c r="J100" s="137" t="s">
        <v>193</v>
      </c>
      <c r="K100" s="137" t="s">
        <v>193</v>
      </c>
      <c r="L100" s="137" t="s">
        <v>193</v>
      </c>
      <c r="M100" s="137" t="s">
        <v>193</v>
      </c>
      <c r="N100" s="137" t="s">
        <v>219</v>
      </c>
      <c r="O100" s="137" t="s">
        <v>193</v>
      </c>
      <c r="P100" s="137" t="s">
        <v>219</v>
      </c>
      <c r="Q100" s="137" t="s">
        <v>193</v>
      </c>
      <c r="R100" s="137" t="s">
        <v>219</v>
      </c>
      <c r="S100" s="137" t="s">
        <v>193</v>
      </c>
      <c r="U100" s="137">
        <f t="shared" si="2"/>
        <v>0</v>
      </c>
      <c r="V100" s="171">
        <f t="shared" si="3"/>
        <v>0</v>
      </c>
    </row>
    <row r="101" spans="1:22" ht="15" customHeight="1" x14ac:dyDescent="0.25">
      <c r="A101" s="137" t="s">
        <v>324</v>
      </c>
      <c r="B101" s="137" t="s">
        <v>329</v>
      </c>
      <c r="C101" s="137">
        <v>2018</v>
      </c>
      <c r="D101" s="137" t="s">
        <v>53</v>
      </c>
      <c r="E101" s="137" t="s">
        <v>53</v>
      </c>
      <c r="F101" s="137" t="s">
        <v>53</v>
      </c>
      <c r="G101" s="137" t="s">
        <v>53</v>
      </c>
      <c r="H101" s="137" t="s">
        <v>53</v>
      </c>
      <c r="I101" s="137" t="s">
        <v>53</v>
      </c>
      <c r="J101" s="137" t="s">
        <v>53</v>
      </c>
      <c r="K101" s="137" t="s">
        <v>53</v>
      </c>
      <c r="L101" s="137" t="s">
        <v>53</v>
      </c>
      <c r="M101" s="137" t="s">
        <v>53</v>
      </c>
      <c r="N101" s="137" t="s">
        <v>53</v>
      </c>
      <c r="O101" s="137" t="s">
        <v>53</v>
      </c>
      <c r="P101" s="137" t="s">
        <v>53</v>
      </c>
      <c r="Q101" s="137" t="s">
        <v>53</v>
      </c>
      <c r="R101" s="137" t="s">
        <v>53</v>
      </c>
      <c r="S101" s="137" t="s">
        <v>53</v>
      </c>
      <c r="U101" s="137">
        <f t="shared" si="2"/>
        <v>0</v>
      </c>
      <c r="V101" s="171">
        <f t="shared" si="3"/>
        <v>0</v>
      </c>
    </row>
    <row r="102" spans="1:22" ht="15" customHeight="1" x14ac:dyDescent="0.25">
      <c r="A102" s="137" t="s">
        <v>324</v>
      </c>
      <c r="B102" s="137" t="s">
        <v>330</v>
      </c>
      <c r="C102" s="137">
        <v>2018</v>
      </c>
      <c r="D102" s="137" t="s">
        <v>193</v>
      </c>
      <c r="E102" s="137" t="s">
        <v>193</v>
      </c>
      <c r="F102" s="137" t="s">
        <v>193</v>
      </c>
      <c r="G102" s="137" t="s">
        <v>193</v>
      </c>
      <c r="H102" s="137" t="s">
        <v>193</v>
      </c>
      <c r="I102" s="137" t="s">
        <v>193</v>
      </c>
      <c r="J102" s="137" t="s">
        <v>193</v>
      </c>
      <c r="K102" s="137" t="s">
        <v>193</v>
      </c>
      <c r="L102" s="137" t="s">
        <v>193</v>
      </c>
      <c r="M102" s="137" t="s">
        <v>193</v>
      </c>
      <c r="N102" s="137" t="s">
        <v>219</v>
      </c>
      <c r="O102" s="137" t="s">
        <v>193</v>
      </c>
      <c r="P102" s="137" t="s">
        <v>219</v>
      </c>
      <c r="Q102" s="137" t="s">
        <v>193</v>
      </c>
      <c r="R102" s="137" t="s">
        <v>219</v>
      </c>
      <c r="S102" s="137" t="s">
        <v>193</v>
      </c>
      <c r="U102" s="137">
        <f t="shared" si="2"/>
        <v>0</v>
      </c>
      <c r="V102" s="171">
        <f t="shared" si="3"/>
        <v>0</v>
      </c>
    </row>
    <row r="103" spans="1:22" ht="15" customHeight="1" x14ac:dyDescent="0.25">
      <c r="A103" s="137" t="s">
        <v>324</v>
      </c>
      <c r="B103" s="137" t="s">
        <v>331</v>
      </c>
      <c r="C103" s="137">
        <v>2018</v>
      </c>
      <c r="D103" s="137" t="s">
        <v>193</v>
      </c>
      <c r="E103" s="137" t="s">
        <v>193</v>
      </c>
      <c r="F103" s="137" t="s">
        <v>193</v>
      </c>
      <c r="G103" s="137" t="s">
        <v>193</v>
      </c>
      <c r="H103" s="137" t="s">
        <v>193</v>
      </c>
      <c r="I103" s="137" t="s">
        <v>193</v>
      </c>
      <c r="J103" s="137" t="s">
        <v>193</v>
      </c>
      <c r="K103" s="137" t="s">
        <v>193</v>
      </c>
      <c r="L103" s="137" t="s">
        <v>193</v>
      </c>
      <c r="M103" s="137" t="s">
        <v>193</v>
      </c>
      <c r="N103" s="137" t="s">
        <v>219</v>
      </c>
      <c r="O103" s="137" t="s">
        <v>193</v>
      </c>
      <c r="P103" s="137" t="s">
        <v>219</v>
      </c>
      <c r="Q103" s="137" t="s">
        <v>193</v>
      </c>
      <c r="R103" s="137" t="s">
        <v>219</v>
      </c>
      <c r="S103" s="137" t="s">
        <v>193</v>
      </c>
      <c r="U103" s="137">
        <f t="shared" si="2"/>
        <v>0</v>
      </c>
      <c r="V103" s="171">
        <f t="shared" si="3"/>
        <v>0</v>
      </c>
    </row>
    <row r="104" spans="1:22" ht="15" customHeight="1" x14ac:dyDescent="0.25">
      <c r="A104" s="137" t="s">
        <v>332</v>
      </c>
      <c r="B104" s="137" t="s">
        <v>333</v>
      </c>
      <c r="C104" s="137">
        <v>2018</v>
      </c>
      <c r="D104" s="137">
        <v>113.941</v>
      </c>
      <c r="E104" s="137">
        <v>11.419</v>
      </c>
      <c r="F104" s="137">
        <v>9.8819999999999997</v>
      </c>
      <c r="G104" s="137">
        <v>83.007000000000005</v>
      </c>
      <c r="H104" s="137">
        <v>76.941999999999993</v>
      </c>
      <c r="I104" s="137">
        <v>4.9980000000000002</v>
      </c>
      <c r="J104" s="137">
        <v>2.1110000000000002</v>
      </c>
      <c r="K104" s="137" t="s">
        <v>193</v>
      </c>
      <c r="L104" s="137" t="s">
        <v>193</v>
      </c>
      <c r="M104" s="137" t="s">
        <v>193</v>
      </c>
      <c r="N104" s="137" t="s">
        <v>53</v>
      </c>
      <c r="O104" s="137" t="s">
        <v>193</v>
      </c>
      <c r="P104" s="137" t="s">
        <v>53</v>
      </c>
      <c r="Q104" s="137" t="s">
        <v>193</v>
      </c>
      <c r="R104" s="137" t="s">
        <v>53</v>
      </c>
      <c r="S104" s="137" t="s">
        <v>193</v>
      </c>
      <c r="U104" s="137">
        <f t="shared" si="2"/>
        <v>113.941</v>
      </c>
      <c r="V104" s="171">
        <f t="shared" si="3"/>
        <v>0</v>
      </c>
    </row>
    <row r="105" spans="1:22" ht="15" customHeight="1" x14ac:dyDescent="0.25">
      <c r="A105" s="137" t="s">
        <v>332</v>
      </c>
      <c r="B105" s="137" t="s">
        <v>334</v>
      </c>
      <c r="C105" s="137">
        <v>2018</v>
      </c>
      <c r="D105" s="137">
        <v>2.5230000000000001</v>
      </c>
      <c r="E105" s="137">
        <v>1.0860000000000001</v>
      </c>
      <c r="F105" s="137">
        <v>0.59099999999999997</v>
      </c>
      <c r="G105" s="137">
        <v>0</v>
      </c>
      <c r="H105" s="137" t="s">
        <v>193</v>
      </c>
      <c r="I105" s="137">
        <v>0.84599999999999997</v>
      </c>
      <c r="J105" s="137">
        <v>0</v>
      </c>
      <c r="K105" s="137" t="s">
        <v>193</v>
      </c>
      <c r="L105" s="137" t="s">
        <v>193</v>
      </c>
      <c r="M105" s="137" t="s">
        <v>193</v>
      </c>
      <c r="N105" s="137" t="s">
        <v>53</v>
      </c>
      <c r="O105" s="137" t="s">
        <v>193</v>
      </c>
      <c r="P105" s="137" t="s">
        <v>53</v>
      </c>
      <c r="Q105" s="137" t="s">
        <v>193</v>
      </c>
      <c r="R105" s="137" t="s">
        <v>53</v>
      </c>
      <c r="S105" s="137" t="s">
        <v>193</v>
      </c>
      <c r="U105" s="137">
        <f t="shared" si="2"/>
        <v>2.5230000000000001</v>
      </c>
      <c r="V105" s="171">
        <f t="shared" si="3"/>
        <v>0</v>
      </c>
    </row>
    <row r="106" spans="1:22" ht="15" customHeight="1" x14ac:dyDescent="0.25">
      <c r="A106" s="137" t="s">
        <v>335</v>
      </c>
      <c r="B106" s="137" t="s">
        <v>336</v>
      </c>
      <c r="C106" s="137">
        <v>2018</v>
      </c>
      <c r="D106" s="137">
        <v>21.3</v>
      </c>
      <c r="E106" s="137">
        <v>7.6</v>
      </c>
      <c r="F106" s="137">
        <v>5</v>
      </c>
      <c r="G106" s="137">
        <v>2.8</v>
      </c>
      <c r="H106" s="137" t="s">
        <v>193</v>
      </c>
      <c r="I106" s="137">
        <v>3.8</v>
      </c>
      <c r="J106" s="137">
        <v>1.9</v>
      </c>
      <c r="K106" s="137" t="s">
        <v>193</v>
      </c>
      <c r="L106" s="137" t="s">
        <v>193</v>
      </c>
      <c r="M106" s="137" t="s">
        <v>193</v>
      </c>
      <c r="N106" s="137" t="s">
        <v>53</v>
      </c>
      <c r="O106" s="137" t="s">
        <v>193</v>
      </c>
      <c r="P106" s="137" t="s">
        <v>53</v>
      </c>
      <c r="Q106" s="137" t="s">
        <v>193</v>
      </c>
      <c r="R106" s="137" t="s">
        <v>53</v>
      </c>
      <c r="S106" s="137" t="s">
        <v>193</v>
      </c>
      <c r="U106" s="137">
        <f t="shared" si="2"/>
        <v>21.3</v>
      </c>
      <c r="V106" s="171">
        <f t="shared" si="3"/>
        <v>0</v>
      </c>
    </row>
    <row r="107" spans="1:22" ht="15" customHeight="1" x14ac:dyDescent="0.25">
      <c r="A107" s="137" t="s">
        <v>337</v>
      </c>
      <c r="B107" s="137" t="s">
        <v>338</v>
      </c>
      <c r="C107" s="137">
        <v>2018</v>
      </c>
      <c r="D107" s="137">
        <v>11.32</v>
      </c>
      <c r="E107" s="137">
        <v>1.65</v>
      </c>
      <c r="F107" s="137">
        <v>4.3899999999999997</v>
      </c>
      <c r="G107" s="137">
        <v>0.46</v>
      </c>
      <c r="H107" s="137" t="s">
        <v>193</v>
      </c>
      <c r="I107" s="137">
        <v>2.2000000000000002</v>
      </c>
      <c r="J107" s="137">
        <v>2.0499999999999998</v>
      </c>
      <c r="K107" s="137" t="s">
        <v>193</v>
      </c>
      <c r="L107" s="137" t="s">
        <v>193</v>
      </c>
      <c r="M107" s="137">
        <v>0.54</v>
      </c>
      <c r="N107" s="137" t="s">
        <v>53</v>
      </c>
      <c r="O107" s="137" t="s">
        <v>193</v>
      </c>
      <c r="P107" s="137" t="s">
        <v>53</v>
      </c>
      <c r="Q107" s="137" t="s">
        <v>193</v>
      </c>
      <c r="R107" s="137" t="s">
        <v>53</v>
      </c>
      <c r="S107" s="137" t="s">
        <v>193</v>
      </c>
      <c r="U107" s="137">
        <f t="shared" si="2"/>
        <v>11.32</v>
      </c>
      <c r="V107" s="171">
        <f t="shared" si="3"/>
        <v>0</v>
      </c>
    </row>
    <row r="108" spans="1:22" ht="15" customHeight="1" x14ac:dyDescent="0.25">
      <c r="A108" s="137" t="s">
        <v>337</v>
      </c>
      <c r="B108" s="137" t="s">
        <v>339</v>
      </c>
      <c r="C108" s="137">
        <v>2018</v>
      </c>
      <c r="D108" s="137">
        <v>51.68</v>
      </c>
      <c r="E108" s="137">
        <v>15.9</v>
      </c>
      <c r="F108" s="137">
        <v>0.62</v>
      </c>
      <c r="G108" s="137">
        <v>21.85</v>
      </c>
      <c r="H108" s="137" t="s">
        <v>193</v>
      </c>
      <c r="I108" s="137">
        <v>7.08</v>
      </c>
      <c r="J108" s="137">
        <v>6.18</v>
      </c>
      <c r="K108" s="137" t="s">
        <v>193</v>
      </c>
      <c r="L108" s="137" t="s">
        <v>193</v>
      </c>
      <c r="M108" s="137" t="s">
        <v>312</v>
      </c>
      <c r="N108" s="137" t="s">
        <v>53</v>
      </c>
      <c r="O108" s="137" t="s">
        <v>193</v>
      </c>
      <c r="P108" s="137" t="s">
        <v>53</v>
      </c>
      <c r="Q108" s="137" t="s">
        <v>193</v>
      </c>
      <c r="R108" s="137" t="s">
        <v>53</v>
      </c>
      <c r="S108" s="137" t="s">
        <v>193</v>
      </c>
      <c r="U108" s="137">
        <f t="shared" si="2"/>
        <v>51.68</v>
      </c>
      <c r="V108" s="171">
        <f t="shared" si="3"/>
        <v>0</v>
      </c>
    </row>
    <row r="109" spans="1:22" ht="15" customHeight="1" x14ac:dyDescent="0.25">
      <c r="A109" s="137" t="s">
        <v>337</v>
      </c>
      <c r="B109" s="137" t="s">
        <v>340</v>
      </c>
      <c r="C109" s="137">
        <v>2018</v>
      </c>
      <c r="D109" s="137">
        <v>0.254</v>
      </c>
      <c r="E109" s="137" t="s">
        <v>193</v>
      </c>
      <c r="F109" s="137" t="s">
        <v>193</v>
      </c>
      <c r="G109" s="137" t="s">
        <v>193</v>
      </c>
      <c r="H109" s="137" t="s">
        <v>193</v>
      </c>
      <c r="I109" s="137">
        <v>0.254</v>
      </c>
      <c r="J109" s="137" t="s">
        <v>193</v>
      </c>
      <c r="K109" s="137" t="s">
        <v>193</v>
      </c>
      <c r="L109" s="137" t="s">
        <v>193</v>
      </c>
      <c r="M109" s="137" t="s">
        <v>193</v>
      </c>
      <c r="N109" s="137" t="s">
        <v>53</v>
      </c>
      <c r="O109" s="137" t="s">
        <v>193</v>
      </c>
      <c r="P109" s="137" t="s">
        <v>53</v>
      </c>
      <c r="Q109" s="137" t="s">
        <v>193</v>
      </c>
      <c r="R109" s="137" t="s">
        <v>53</v>
      </c>
      <c r="S109" s="137" t="s">
        <v>193</v>
      </c>
      <c r="U109" s="137">
        <f t="shared" si="2"/>
        <v>0.254</v>
      </c>
      <c r="V109" s="171">
        <f t="shared" si="3"/>
        <v>0</v>
      </c>
    </row>
    <row r="110" spans="1:22" ht="15" customHeight="1" x14ac:dyDescent="0.25">
      <c r="A110" s="137" t="s">
        <v>341</v>
      </c>
      <c r="B110" s="137" t="s">
        <v>342</v>
      </c>
      <c r="C110" s="137">
        <v>2018</v>
      </c>
      <c r="D110" s="137">
        <v>575</v>
      </c>
      <c r="E110" s="137">
        <v>274</v>
      </c>
      <c r="F110" s="137">
        <v>63</v>
      </c>
      <c r="G110" s="137">
        <v>130</v>
      </c>
      <c r="H110" s="137" t="s">
        <v>193</v>
      </c>
      <c r="I110" s="137">
        <v>55</v>
      </c>
      <c r="J110" s="137">
        <v>53</v>
      </c>
      <c r="K110" s="137" t="s">
        <v>193</v>
      </c>
      <c r="L110" s="137" t="s">
        <v>193</v>
      </c>
      <c r="M110" s="137" t="s">
        <v>193</v>
      </c>
      <c r="N110" s="137" t="s">
        <v>53</v>
      </c>
      <c r="O110" s="137" t="s">
        <v>193</v>
      </c>
      <c r="P110" s="137" t="s">
        <v>53</v>
      </c>
      <c r="Q110" s="137" t="s">
        <v>193</v>
      </c>
      <c r="R110" s="137" t="s">
        <v>53</v>
      </c>
      <c r="S110" s="137" t="s">
        <v>193</v>
      </c>
      <c r="U110" s="137">
        <f t="shared" si="2"/>
        <v>575</v>
      </c>
      <c r="V110" s="171">
        <f t="shared" si="3"/>
        <v>0</v>
      </c>
    </row>
    <row r="111" spans="1:22" ht="15" customHeight="1" x14ac:dyDescent="0.25">
      <c r="A111" s="137" t="s">
        <v>343</v>
      </c>
      <c r="B111" s="137" t="s">
        <v>344</v>
      </c>
      <c r="C111" s="137">
        <v>2018</v>
      </c>
      <c r="D111" s="137">
        <v>47.3</v>
      </c>
      <c r="E111" s="137">
        <v>16.2</v>
      </c>
      <c r="F111" s="137">
        <v>18.3</v>
      </c>
      <c r="G111" s="137">
        <v>0</v>
      </c>
      <c r="H111" s="137">
        <v>0</v>
      </c>
      <c r="I111" s="137">
        <v>8.6</v>
      </c>
      <c r="J111" s="137">
        <v>4.2</v>
      </c>
      <c r="K111" s="137" t="s">
        <v>193</v>
      </c>
      <c r="L111" s="137" t="s">
        <v>193</v>
      </c>
      <c r="M111" s="137" t="s">
        <v>193</v>
      </c>
      <c r="N111" s="137" t="s">
        <v>53</v>
      </c>
      <c r="O111" s="137" t="s">
        <v>193</v>
      </c>
      <c r="P111" s="137" t="s">
        <v>53</v>
      </c>
      <c r="Q111" s="137" t="s">
        <v>193</v>
      </c>
      <c r="R111" s="137" t="s">
        <v>53</v>
      </c>
      <c r="S111" s="137" t="s">
        <v>193</v>
      </c>
      <c r="U111" s="137">
        <f t="shared" si="2"/>
        <v>47.3</v>
      </c>
      <c r="V111" s="171">
        <f t="shared" si="3"/>
        <v>0</v>
      </c>
    </row>
    <row r="112" spans="1:22" ht="15" customHeight="1" x14ac:dyDescent="0.25">
      <c r="A112" s="137" t="s">
        <v>345</v>
      </c>
      <c r="B112" s="137" t="s">
        <v>346</v>
      </c>
      <c r="C112" s="137">
        <v>2018</v>
      </c>
      <c r="D112" s="137">
        <v>10</v>
      </c>
      <c r="E112" s="137">
        <v>4</v>
      </c>
      <c r="F112" s="137" t="s">
        <v>193</v>
      </c>
      <c r="G112" s="137">
        <v>1</v>
      </c>
      <c r="H112" s="137" t="s">
        <v>193</v>
      </c>
      <c r="I112" s="137">
        <v>1</v>
      </c>
      <c r="J112" s="137">
        <v>4</v>
      </c>
      <c r="K112" s="137" t="s">
        <v>193</v>
      </c>
      <c r="L112" s="137" t="s">
        <v>193</v>
      </c>
      <c r="M112" s="137" t="s">
        <v>193</v>
      </c>
      <c r="N112" s="137" t="s">
        <v>53</v>
      </c>
      <c r="O112" s="137" t="s">
        <v>193</v>
      </c>
      <c r="P112" s="137" t="s">
        <v>53</v>
      </c>
      <c r="Q112" s="137" t="s">
        <v>193</v>
      </c>
      <c r="R112" s="137" t="s">
        <v>53</v>
      </c>
      <c r="S112" s="137" t="s">
        <v>193</v>
      </c>
      <c r="U112" s="137">
        <f t="shared" si="2"/>
        <v>10</v>
      </c>
      <c r="V112" s="171">
        <f t="shared" si="3"/>
        <v>0</v>
      </c>
    </row>
    <row r="113" spans="1:22" ht="15" customHeight="1" x14ac:dyDescent="0.25">
      <c r="A113" s="137" t="s">
        <v>345</v>
      </c>
      <c r="B113" s="137" t="s">
        <v>347</v>
      </c>
      <c r="C113" s="137">
        <v>2018</v>
      </c>
      <c r="D113" s="137">
        <v>46</v>
      </c>
      <c r="E113" s="137">
        <v>16</v>
      </c>
      <c r="F113" s="137">
        <v>10</v>
      </c>
      <c r="G113" s="137" t="s">
        <v>193</v>
      </c>
      <c r="H113" s="137" t="s">
        <v>193</v>
      </c>
      <c r="I113" s="137">
        <v>5</v>
      </c>
      <c r="J113" s="137">
        <v>15</v>
      </c>
      <c r="K113" s="137" t="s">
        <v>193</v>
      </c>
      <c r="L113" s="137" t="s">
        <v>193</v>
      </c>
      <c r="M113" s="137" t="s">
        <v>193</v>
      </c>
      <c r="N113" s="137" t="s">
        <v>53</v>
      </c>
      <c r="O113" s="137" t="s">
        <v>193</v>
      </c>
      <c r="P113" s="137" t="s">
        <v>53</v>
      </c>
      <c r="Q113" s="137" t="s">
        <v>193</v>
      </c>
      <c r="R113" s="137" t="s">
        <v>53</v>
      </c>
      <c r="S113" s="137" t="s">
        <v>193</v>
      </c>
      <c r="U113" s="137">
        <f t="shared" si="2"/>
        <v>46</v>
      </c>
      <c r="V113" s="171">
        <f t="shared" si="3"/>
        <v>0</v>
      </c>
    </row>
    <row r="114" spans="1:22" ht="15" customHeight="1" x14ac:dyDescent="0.25">
      <c r="A114" s="137" t="s">
        <v>348</v>
      </c>
      <c r="B114" s="137" t="s">
        <v>349</v>
      </c>
      <c r="C114" s="137">
        <v>2018</v>
      </c>
      <c r="D114" s="137">
        <v>56.1</v>
      </c>
      <c r="E114" s="137">
        <v>24.6</v>
      </c>
      <c r="F114" s="137">
        <v>10.8</v>
      </c>
      <c r="G114" s="137">
        <v>1.9</v>
      </c>
      <c r="H114" s="137">
        <v>0</v>
      </c>
      <c r="I114" s="137">
        <v>12.3</v>
      </c>
      <c r="J114" s="137">
        <v>6.5</v>
      </c>
      <c r="K114" s="137" t="s">
        <v>193</v>
      </c>
      <c r="L114" s="137" t="s">
        <v>193</v>
      </c>
      <c r="M114" s="137" t="s">
        <v>193</v>
      </c>
      <c r="N114" s="137" t="s">
        <v>53</v>
      </c>
      <c r="O114" s="137" t="s">
        <v>193</v>
      </c>
      <c r="P114" s="137" t="s">
        <v>53</v>
      </c>
      <c r="Q114" s="137" t="s">
        <v>193</v>
      </c>
      <c r="R114" s="137" t="s">
        <v>53</v>
      </c>
      <c r="S114" s="137" t="s">
        <v>193</v>
      </c>
      <c r="U114" s="137">
        <f t="shared" si="2"/>
        <v>56.1</v>
      </c>
      <c r="V114" s="171">
        <f t="shared" si="3"/>
        <v>0</v>
      </c>
    </row>
    <row r="115" spans="1:22" ht="15" customHeight="1" x14ac:dyDescent="0.25">
      <c r="A115" s="137" t="s">
        <v>348</v>
      </c>
      <c r="B115" s="137" t="s">
        <v>350</v>
      </c>
      <c r="C115" s="137">
        <v>2018</v>
      </c>
      <c r="D115" s="137">
        <v>6.59</v>
      </c>
      <c r="E115" s="137">
        <v>4.9000000000000004</v>
      </c>
      <c r="F115" s="137">
        <v>0.16</v>
      </c>
      <c r="G115" s="137">
        <v>0</v>
      </c>
      <c r="H115" s="137">
        <v>0</v>
      </c>
      <c r="I115" s="137">
        <v>1.32</v>
      </c>
      <c r="J115" s="137">
        <v>0.25</v>
      </c>
      <c r="K115" s="137">
        <v>0</v>
      </c>
      <c r="L115" s="137">
        <v>0</v>
      </c>
      <c r="M115" s="137" t="s">
        <v>193</v>
      </c>
      <c r="N115" s="137" t="s">
        <v>53</v>
      </c>
      <c r="O115" s="137" t="s">
        <v>193</v>
      </c>
      <c r="P115" s="137" t="s">
        <v>53</v>
      </c>
      <c r="Q115" s="137" t="s">
        <v>193</v>
      </c>
      <c r="R115" s="137" t="s">
        <v>53</v>
      </c>
      <c r="S115" s="137" t="s">
        <v>193</v>
      </c>
      <c r="U115" s="137">
        <f t="shared" si="2"/>
        <v>6.59</v>
      </c>
      <c r="V115" s="171">
        <f t="shared" si="3"/>
        <v>0</v>
      </c>
    </row>
    <row r="116" spans="1:22" ht="15" customHeight="1" x14ac:dyDescent="0.25">
      <c r="A116" s="137" t="s">
        <v>348</v>
      </c>
      <c r="B116" s="137" t="s">
        <v>351</v>
      </c>
      <c r="C116" s="137">
        <v>2018</v>
      </c>
      <c r="D116" s="137">
        <v>2.27</v>
      </c>
      <c r="E116" s="137">
        <v>0.73</v>
      </c>
      <c r="F116" s="137">
        <v>0.23</v>
      </c>
      <c r="G116" s="137">
        <v>0.1</v>
      </c>
      <c r="H116" s="137">
        <v>0</v>
      </c>
      <c r="I116" s="137">
        <v>4.5999999999999999E-2</v>
      </c>
      <c r="J116" s="137">
        <v>1.1200000000000001</v>
      </c>
      <c r="K116" s="137">
        <v>0</v>
      </c>
      <c r="L116" s="137">
        <v>0</v>
      </c>
      <c r="M116" s="137">
        <v>0.1</v>
      </c>
      <c r="N116" s="137" t="s">
        <v>53</v>
      </c>
      <c r="O116" s="137" t="s">
        <v>193</v>
      </c>
      <c r="P116" s="137" t="s">
        <v>53</v>
      </c>
      <c r="Q116" s="137" t="s">
        <v>193</v>
      </c>
      <c r="R116" s="137" t="s">
        <v>53</v>
      </c>
      <c r="S116" s="137" t="s">
        <v>193</v>
      </c>
      <c r="U116" s="137">
        <f t="shared" si="2"/>
        <v>2.27</v>
      </c>
      <c r="V116" s="171">
        <f t="shared" si="3"/>
        <v>0</v>
      </c>
    </row>
    <row r="117" spans="1:22" ht="15" customHeight="1" x14ac:dyDescent="0.25">
      <c r="A117" s="137" t="s">
        <v>348</v>
      </c>
      <c r="B117" s="137" t="s">
        <v>352</v>
      </c>
      <c r="C117" s="137">
        <v>2018</v>
      </c>
      <c r="D117" s="137">
        <v>50.14</v>
      </c>
      <c r="E117" s="137">
        <v>13.25</v>
      </c>
      <c r="F117" s="137">
        <v>6.47</v>
      </c>
      <c r="G117" s="137">
        <v>15.59</v>
      </c>
      <c r="H117" s="137" t="s">
        <v>193</v>
      </c>
      <c r="I117" s="137">
        <v>12</v>
      </c>
      <c r="J117" s="137">
        <v>2.83</v>
      </c>
      <c r="K117" s="137" t="s">
        <v>193</v>
      </c>
      <c r="L117" s="137" t="s">
        <v>193</v>
      </c>
      <c r="M117" s="137" t="s">
        <v>193</v>
      </c>
      <c r="N117" s="137" t="s">
        <v>53</v>
      </c>
      <c r="O117" s="137" t="s">
        <v>193</v>
      </c>
      <c r="P117" s="137" t="s">
        <v>53</v>
      </c>
      <c r="Q117" s="137" t="s">
        <v>193</v>
      </c>
      <c r="R117" s="137" t="s">
        <v>53</v>
      </c>
      <c r="S117" s="137" t="s">
        <v>193</v>
      </c>
      <c r="U117" s="137">
        <f t="shared" si="2"/>
        <v>50.14</v>
      </c>
      <c r="V117" s="171">
        <f t="shared" si="3"/>
        <v>0</v>
      </c>
    </row>
    <row r="118" spans="1:22" ht="15" customHeight="1" x14ac:dyDescent="0.25">
      <c r="A118" s="137" t="s">
        <v>353</v>
      </c>
      <c r="B118" s="137" t="s">
        <v>78</v>
      </c>
      <c r="C118" s="137">
        <v>2018</v>
      </c>
      <c r="D118" s="137">
        <v>18.896000000000001</v>
      </c>
      <c r="E118" s="137" t="s">
        <v>193</v>
      </c>
      <c r="F118" s="137" t="s">
        <v>193</v>
      </c>
      <c r="G118" s="137" t="s">
        <v>193</v>
      </c>
      <c r="H118" s="137" t="s">
        <v>193</v>
      </c>
      <c r="I118" s="137" t="s">
        <v>193</v>
      </c>
      <c r="J118" s="137" t="s">
        <v>193</v>
      </c>
      <c r="K118" s="137" t="s">
        <v>193</v>
      </c>
      <c r="L118" s="137" t="s">
        <v>193</v>
      </c>
      <c r="M118" s="137" t="s">
        <v>193</v>
      </c>
      <c r="N118" s="137" t="s">
        <v>53</v>
      </c>
      <c r="O118" s="137" t="s">
        <v>193</v>
      </c>
      <c r="P118" s="137" t="s">
        <v>53</v>
      </c>
      <c r="Q118" s="137" t="s">
        <v>193</v>
      </c>
      <c r="R118" s="137" t="s">
        <v>53</v>
      </c>
      <c r="S118" s="137" t="s">
        <v>193</v>
      </c>
      <c r="U118" s="137">
        <f t="shared" si="2"/>
        <v>18.896000000000001</v>
      </c>
      <c r="V118" s="171">
        <f t="shared" si="3"/>
        <v>0</v>
      </c>
    </row>
    <row r="119" spans="1:22" ht="15" customHeight="1" x14ac:dyDescent="0.25">
      <c r="A119" s="137" t="s">
        <v>354</v>
      </c>
      <c r="B119" s="137" t="s">
        <v>355</v>
      </c>
      <c r="C119" s="137">
        <v>2018</v>
      </c>
      <c r="D119" s="137">
        <v>33.927999999999997</v>
      </c>
      <c r="E119" s="137">
        <v>13.476000000000001</v>
      </c>
      <c r="F119" s="137">
        <v>8.5869999999999997</v>
      </c>
      <c r="G119" s="137">
        <v>3.044</v>
      </c>
      <c r="H119" s="137">
        <v>0</v>
      </c>
      <c r="I119" s="137">
        <v>4.9820000000000002</v>
      </c>
      <c r="J119" s="137">
        <v>3.6549999999999998</v>
      </c>
      <c r="K119" s="137">
        <v>0.184</v>
      </c>
      <c r="L119" s="137">
        <v>0</v>
      </c>
      <c r="M119" s="137">
        <v>0</v>
      </c>
      <c r="N119" s="137" t="s">
        <v>53</v>
      </c>
      <c r="O119" s="137" t="s">
        <v>193</v>
      </c>
      <c r="P119" s="137" t="s">
        <v>53</v>
      </c>
      <c r="Q119" s="137" t="s">
        <v>193</v>
      </c>
      <c r="R119" s="137" t="s">
        <v>53</v>
      </c>
      <c r="S119" s="137" t="s">
        <v>193</v>
      </c>
      <c r="U119" s="137">
        <f t="shared" si="2"/>
        <v>33.927999999999997</v>
      </c>
      <c r="V119" s="171">
        <f t="shared" si="3"/>
        <v>0</v>
      </c>
    </row>
    <row r="120" spans="1:22" ht="15" customHeight="1" x14ac:dyDescent="0.25">
      <c r="A120" s="137" t="s">
        <v>356</v>
      </c>
      <c r="B120" s="137" t="s">
        <v>357</v>
      </c>
      <c r="C120" s="137">
        <v>2018</v>
      </c>
      <c r="D120" s="137">
        <v>180.9</v>
      </c>
      <c r="E120" s="137">
        <v>67.900000000000006</v>
      </c>
      <c r="F120" s="137">
        <v>34</v>
      </c>
      <c r="G120" s="137">
        <v>4</v>
      </c>
      <c r="H120" s="137" t="s">
        <v>193</v>
      </c>
      <c r="I120" s="137">
        <v>51</v>
      </c>
      <c r="J120" s="137">
        <v>7</v>
      </c>
      <c r="K120" s="137">
        <v>1</v>
      </c>
      <c r="L120" s="137">
        <v>16</v>
      </c>
      <c r="M120" s="137" t="s">
        <v>193</v>
      </c>
      <c r="N120" s="137" t="s">
        <v>53</v>
      </c>
      <c r="O120" s="137" t="s">
        <v>193</v>
      </c>
      <c r="P120" s="137" t="s">
        <v>53</v>
      </c>
      <c r="Q120" s="137" t="s">
        <v>193</v>
      </c>
      <c r="R120" s="137" t="s">
        <v>53</v>
      </c>
      <c r="S120" s="137" t="s">
        <v>193</v>
      </c>
      <c r="U120" s="137">
        <f t="shared" si="2"/>
        <v>180.9</v>
      </c>
      <c r="V120" s="171">
        <f t="shared" si="3"/>
        <v>0</v>
      </c>
    </row>
    <row r="121" spans="1:22" ht="15" customHeight="1" x14ac:dyDescent="0.25">
      <c r="A121" s="137" t="s">
        <v>358</v>
      </c>
      <c r="B121" s="137" t="s">
        <v>359</v>
      </c>
      <c r="C121" s="137">
        <v>2018</v>
      </c>
      <c r="D121" s="137">
        <v>179.5</v>
      </c>
      <c r="E121" s="137">
        <v>67.099999999999994</v>
      </c>
      <c r="F121" s="137">
        <v>43</v>
      </c>
      <c r="G121" s="137">
        <v>5.5</v>
      </c>
      <c r="H121" s="137" t="s">
        <v>193</v>
      </c>
      <c r="I121" s="137">
        <v>31.4</v>
      </c>
      <c r="J121" s="137">
        <v>30.4</v>
      </c>
      <c r="K121" s="137" t="s">
        <v>193</v>
      </c>
      <c r="L121" s="137">
        <v>2.1</v>
      </c>
      <c r="M121" s="137" t="s">
        <v>193</v>
      </c>
      <c r="N121" s="137" t="s">
        <v>53</v>
      </c>
      <c r="O121" s="137" t="s">
        <v>193</v>
      </c>
      <c r="P121" s="137" t="s">
        <v>53</v>
      </c>
      <c r="Q121" s="137" t="s">
        <v>193</v>
      </c>
      <c r="R121" s="137" t="s">
        <v>53</v>
      </c>
      <c r="S121" s="137" t="s">
        <v>193</v>
      </c>
      <c r="U121" s="137">
        <f t="shared" si="2"/>
        <v>179.5</v>
      </c>
      <c r="V121" s="171">
        <f t="shared" si="3"/>
        <v>0</v>
      </c>
    </row>
    <row r="122" spans="1:22" ht="15" customHeight="1" x14ac:dyDescent="0.25">
      <c r="A122" s="137" t="s">
        <v>358</v>
      </c>
      <c r="B122" s="137" t="s">
        <v>360</v>
      </c>
      <c r="C122" s="137">
        <v>2018</v>
      </c>
      <c r="D122" s="137">
        <v>17</v>
      </c>
      <c r="E122" s="137">
        <v>7.8</v>
      </c>
      <c r="F122" s="137">
        <v>3.2</v>
      </c>
      <c r="G122" s="137">
        <v>0.2</v>
      </c>
      <c r="H122" s="137" t="s">
        <v>193</v>
      </c>
      <c r="I122" s="137">
        <v>4.8</v>
      </c>
      <c r="J122" s="137">
        <v>1</v>
      </c>
      <c r="K122" s="137" t="s">
        <v>193</v>
      </c>
      <c r="L122" s="137" t="s">
        <v>193</v>
      </c>
      <c r="M122" s="137" t="s">
        <v>193</v>
      </c>
      <c r="N122" s="137" t="s">
        <v>53</v>
      </c>
      <c r="O122" s="137" t="s">
        <v>193</v>
      </c>
      <c r="P122" s="137" t="s">
        <v>53</v>
      </c>
      <c r="Q122" s="137" t="s">
        <v>193</v>
      </c>
      <c r="R122" s="137" t="s">
        <v>53</v>
      </c>
      <c r="S122" s="137" t="s">
        <v>193</v>
      </c>
      <c r="U122" s="137">
        <f t="shared" si="2"/>
        <v>17</v>
      </c>
      <c r="V122" s="171">
        <f t="shared" si="3"/>
        <v>0</v>
      </c>
    </row>
    <row r="123" spans="1:22" ht="15" customHeight="1" x14ac:dyDescent="0.25">
      <c r="A123" s="137" t="s">
        <v>362</v>
      </c>
      <c r="B123" s="137" t="s">
        <v>363</v>
      </c>
      <c r="C123" s="137">
        <v>2018</v>
      </c>
      <c r="D123" s="137">
        <v>42.759</v>
      </c>
      <c r="E123" s="137">
        <v>25.257999999999999</v>
      </c>
      <c r="F123" s="137">
        <v>1.702</v>
      </c>
      <c r="G123" s="137" t="s">
        <v>193</v>
      </c>
      <c r="H123" s="137" t="s">
        <v>193</v>
      </c>
      <c r="I123" s="137">
        <v>7.2460000000000004</v>
      </c>
      <c r="J123" s="137">
        <v>4.3339999999999996</v>
      </c>
      <c r="K123" s="137">
        <v>0</v>
      </c>
      <c r="L123" s="137" t="s">
        <v>193</v>
      </c>
      <c r="M123" s="137">
        <v>4.2160000000000002</v>
      </c>
      <c r="N123" s="137" t="s">
        <v>219</v>
      </c>
      <c r="O123" s="137" t="s">
        <v>193</v>
      </c>
      <c r="P123" s="137" t="s">
        <v>219</v>
      </c>
      <c r="Q123" s="137" t="s">
        <v>193</v>
      </c>
      <c r="R123" s="137" t="s">
        <v>219</v>
      </c>
      <c r="S123" s="137" t="s">
        <v>193</v>
      </c>
      <c r="U123" s="137">
        <f t="shared" si="2"/>
        <v>42.759</v>
      </c>
      <c r="V123" s="171">
        <f t="shared" si="3"/>
        <v>0</v>
      </c>
    </row>
    <row r="124" spans="1:22" ht="15" customHeight="1" x14ac:dyDescent="0.25">
      <c r="A124" s="137" t="s">
        <v>364</v>
      </c>
      <c r="B124" s="137" t="s">
        <v>365</v>
      </c>
      <c r="C124" s="137">
        <v>2018</v>
      </c>
      <c r="D124" s="137">
        <v>34.799999999999997</v>
      </c>
      <c r="E124" s="137">
        <v>9</v>
      </c>
      <c r="F124" s="137">
        <v>8.6999999999999993</v>
      </c>
      <c r="G124" s="137">
        <v>3.1</v>
      </c>
      <c r="H124" s="137" t="s">
        <v>193</v>
      </c>
      <c r="I124" s="137">
        <v>6.6</v>
      </c>
      <c r="J124" s="137">
        <v>7.5</v>
      </c>
      <c r="K124" s="137" t="s">
        <v>193</v>
      </c>
      <c r="L124" s="137" t="s">
        <v>193</v>
      </c>
      <c r="M124" s="137" t="s">
        <v>193</v>
      </c>
      <c r="N124" s="137" t="s">
        <v>53</v>
      </c>
      <c r="O124" s="137" t="s">
        <v>193</v>
      </c>
      <c r="P124" s="137" t="s">
        <v>53</v>
      </c>
      <c r="Q124" s="137" t="s">
        <v>193</v>
      </c>
      <c r="R124" s="137" t="s">
        <v>53</v>
      </c>
      <c r="S124" s="137" t="s">
        <v>193</v>
      </c>
      <c r="U124" s="137">
        <f t="shared" si="2"/>
        <v>34.799999999999997</v>
      </c>
      <c r="V124" s="171">
        <f t="shared" si="3"/>
        <v>0</v>
      </c>
    </row>
    <row r="125" spans="1:22" ht="15" customHeight="1" x14ac:dyDescent="0.25">
      <c r="A125" s="137" t="s">
        <v>366</v>
      </c>
      <c r="B125" s="137" t="s">
        <v>367</v>
      </c>
      <c r="C125" s="137">
        <v>2018</v>
      </c>
      <c r="D125" s="137" t="s">
        <v>193</v>
      </c>
      <c r="E125" s="137" t="s">
        <v>193</v>
      </c>
      <c r="F125" s="137" t="s">
        <v>193</v>
      </c>
      <c r="G125" s="137" t="s">
        <v>193</v>
      </c>
      <c r="H125" s="137" t="s">
        <v>193</v>
      </c>
      <c r="I125" s="137" t="s">
        <v>193</v>
      </c>
      <c r="J125" s="137" t="s">
        <v>193</v>
      </c>
      <c r="K125" s="137" t="s">
        <v>193</v>
      </c>
      <c r="L125" s="137" t="s">
        <v>193</v>
      </c>
      <c r="M125" s="137" t="s">
        <v>193</v>
      </c>
      <c r="N125" s="137" t="s">
        <v>53</v>
      </c>
      <c r="O125" s="137" t="s">
        <v>193</v>
      </c>
      <c r="P125" s="137" t="s">
        <v>53</v>
      </c>
      <c r="Q125" s="137" t="s">
        <v>193</v>
      </c>
      <c r="R125" s="137" t="s">
        <v>53</v>
      </c>
      <c r="S125" s="137" t="s">
        <v>193</v>
      </c>
      <c r="U125" s="137">
        <f t="shared" si="2"/>
        <v>0</v>
      </c>
      <c r="V125" s="171">
        <f t="shared" si="3"/>
        <v>0</v>
      </c>
    </row>
    <row r="126" spans="1:22" ht="15" customHeight="1" x14ac:dyDescent="0.25">
      <c r="A126" s="137" t="s">
        <v>366</v>
      </c>
      <c r="B126" s="137" t="s">
        <v>368</v>
      </c>
      <c r="C126" s="137">
        <v>2018</v>
      </c>
      <c r="D126" s="137">
        <v>18.63</v>
      </c>
      <c r="E126" s="137">
        <v>8.2100000000000009</v>
      </c>
      <c r="F126" s="137">
        <v>2.2999999999999998</v>
      </c>
      <c r="G126" s="137">
        <v>0.61</v>
      </c>
      <c r="H126" s="137">
        <v>0</v>
      </c>
      <c r="I126" s="137">
        <v>5.28</v>
      </c>
      <c r="J126" s="137">
        <v>2.23</v>
      </c>
      <c r="K126" s="137">
        <v>0</v>
      </c>
      <c r="L126" s="137">
        <v>0</v>
      </c>
      <c r="M126" s="137">
        <v>0</v>
      </c>
      <c r="N126" s="137" t="s">
        <v>53</v>
      </c>
      <c r="O126" s="137" t="s">
        <v>193</v>
      </c>
      <c r="P126" s="137" t="s">
        <v>53</v>
      </c>
      <c r="Q126" s="137" t="s">
        <v>193</v>
      </c>
      <c r="R126" s="137" t="s">
        <v>53</v>
      </c>
      <c r="S126" s="137" t="s">
        <v>193</v>
      </c>
      <c r="U126" s="137">
        <f t="shared" si="2"/>
        <v>18.63</v>
      </c>
      <c r="V126" s="171">
        <f t="shared" si="3"/>
        <v>0</v>
      </c>
    </row>
    <row r="127" spans="1:22" ht="15" customHeight="1" x14ac:dyDescent="0.25">
      <c r="A127" s="137" t="s">
        <v>366</v>
      </c>
      <c r="B127" s="137" t="s">
        <v>369</v>
      </c>
      <c r="C127" s="137">
        <v>2018</v>
      </c>
      <c r="D127" s="137">
        <v>57.2</v>
      </c>
      <c r="E127" s="137">
        <v>20.39</v>
      </c>
      <c r="F127" s="137">
        <v>4.42</v>
      </c>
      <c r="G127" s="137">
        <v>0.95</v>
      </c>
      <c r="H127" s="137">
        <v>0</v>
      </c>
      <c r="I127" s="137">
        <v>8.36</v>
      </c>
      <c r="J127" s="137">
        <v>23.08</v>
      </c>
      <c r="K127" s="137">
        <v>0</v>
      </c>
      <c r="L127" s="137">
        <v>0</v>
      </c>
      <c r="M127" s="137">
        <v>0</v>
      </c>
      <c r="N127" s="137" t="s">
        <v>53</v>
      </c>
      <c r="O127" s="137" t="s">
        <v>193</v>
      </c>
      <c r="P127" s="137" t="s">
        <v>53</v>
      </c>
      <c r="Q127" s="137" t="s">
        <v>193</v>
      </c>
      <c r="R127" s="137" t="s">
        <v>53</v>
      </c>
      <c r="S127" s="137" t="s">
        <v>193</v>
      </c>
      <c r="U127" s="137">
        <f t="shared" si="2"/>
        <v>57.2</v>
      </c>
      <c r="V127" s="171">
        <f t="shared" si="3"/>
        <v>0</v>
      </c>
    </row>
    <row r="128" spans="1:22" ht="15" customHeight="1" x14ac:dyDescent="0.25">
      <c r="A128" s="137" t="s">
        <v>366</v>
      </c>
      <c r="B128" s="137" t="s">
        <v>370</v>
      </c>
      <c r="C128" s="137">
        <v>2018</v>
      </c>
      <c r="D128" s="137">
        <v>551.14</v>
      </c>
      <c r="E128" s="137">
        <v>263.20999999999998</v>
      </c>
      <c r="F128" s="137">
        <v>88.21</v>
      </c>
      <c r="G128" s="137">
        <v>16.940000000000001</v>
      </c>
      <c r="H128" s="137">
        <v>0</v>
      </c>
      <c r="I128" s="137">
        <v>61.27</v>
      </c>
      <c r="J128" s="137">
        <v>119.63</v>
      </c>
      <c r="K128" s="137">
        <v>1.88</v>
      </c>
      <c r="L128" s="137">
        <v>0</v>
      </c>
      <c r="M128" s="137">
        <v>0</v>
      </c>
      <c r="N128" s="137" t="s">
        <v>53</v>
      </c>
      <c r="O128" s="137" t="s">
        <v>193</v>
      </c>
      <c r="P128" s="137" t="s">
        <v>53</v>
      </c>
      <c r="Q128" s="137" t="s">
        <v>193</v>
      </c>
      <c r="R128" s="137" t="s">
        <v>53</v>
      </c>
      <c r="S128" s="137" t="s">
        <v>193</v>
      </c>
      <c r="U128" s="137">
        <f t="shared" si="2"/>
        <v>551.14</v>
      </c>
      <c r="V128" s="171">
        <f t="shared" si="3"/>
        <v>0</v>
      </c>
    </row>
    <row r="129" spans="1:22" ht="15" customHeight="1" x14ac:dyDescent="0.25">
      <c r="A129" s="137" t="s">
        <v>371</v>
      </c>
      <c r="B129" s="137" t="s">
        <v>81</v>
      </c>
      <c r="C129" s="137">
        <v>2018</v>
      </c>
      <c r="D129" s="137">
        <v>55.7</v>
      </c>
      <c r="E129" s="137">
        <v>19.399999999999999</v>
      </c>
      <c r="F129" s="137">
        <v>7.4</v>
      </c>
      <c r="G129" s="137">
        <v>5.2</v>
      </c>
      <c r="H129" s="137" t="s">
        <v>193</v>
      </c>
      <c r="I129" s="137">
        <v>17.7</v>
      </c>
      <c r="J129" s="137">
        <v>6</v>
      </c>
      <c r="K129" s="137" t="s">
        <v>193</v>
      </c>
      <c r="L129" s="137" t="s">
        <v>193</v>
      </c>
      <c r="M129" s="137" t="s">
        <v>193</v>
      </c>
      <c r="N129" s="137" t="s">
        <v>53</v>
      </c>
      <c r="O129" s="137" t="s">
        <v>193</v>
      </c>
      <c r="P129" s="137" t="s">
        <v>53</v>
      </c>
      <c r="Q129" s="137" t="s">
        <v>193</v>
      </c>
      <c r="R129" s="137" t="s">
        <v>53</v>
      </c>
      <c r="S129" s="137" t="s">
        <v>193</v>
      </c>
      <c r="U129" s="137">
        <f t="shared" si="2"/>
        <v>55.7</v>
      </c>
      <c r="V129" s="171">
        <f t="shared" si="3"/>
        <v>0</v>
      </c>
    </row>
    <row r="130" spans="1:22" ht="15" customHeight="1" x14ac:dyDescent="0.25">
      <c r="A130" s="137" t="s">
        <v>372</v>
      </c>
      <c r="B130" s="137" t="s">
        <v>373</v>
      </c>
      <c r="C130" s="137">
        <v>2018</v>
      </c>
      <c r="D130" s="137">
        <v>11.7</v>
      </c>
      <c r="E130" s="137">
        <v>5.92</v>
      </c>
      <c r="F130" s="137">
        <v>2.42</v>
      </c>
      <c r="G130" s="137" t="s">
        <v>193</v>
      </c>
      <c r="H130" s="137" t="s">
        <v>193</v>
      </c>
      <c r="I130" s="137">
        <v>2.14</v>
      </c>
      <c r="J130" s="137">
        <v>1.22</v>
      </c>
      <c r="K130" s="137" t="s">
        <v>193</v>
      </c>
      <c r="L130" s="137" t="s">
        <v>312</v>
      </c>
      <c r="M130" s="137" t="s">
        <v>193</v>
      </c>
      <c r="N130" s="137" t="s">
        <v>53</v>
      </c>
      <c r="O130" s="137" t="s">
        <v>193</v>
      </c>
      <c r="P130" s="137" t="s">
        <v>53</v>
      </c>
      <c r="Q130" s="137" t="s">
        <v>193</v>
      </c>
      <c r="R130" s="137" t="s">
        <v>53</v>
      </c>
      <c r="S130" s="137" t="s">
        <v>193</v>
      </c>
      <c r="U130" s="137">
        <f t="shared" ref="U130:U193" si="4">IFERROR(D130/1,0)</f>
        <v>11.7</v>
      </c>
      <c r="V130" s="171">
        <f t="shared" ref="V130:V193" si="5">IFERROR(O130/1,0)+IFERROR(Q130/1,0)+IFERROR(S130/1,0)</f>
        <v>0</v>
      </c>
    </row>
    <row r="131" spans="1:22" ht="15" customHeight="1" x14ac:dyDescent="0.25">
      <c r="A131" s="137" t="s">
        <v>372</v>
      </c>
      <c r="B131" s="137" t="s">
        <v>374</v>
      </c>
      <c r="C131" s="137">
        <v>2018</v>
      </c>
      <c r="D131" s="137">
        <v>710.64</v>
      </c>
      <c r="E131" s="137">
        <v>308.37</v>
      </c>
      <c r="F131" s="137">
        <v>81.93</v>
      </c>
      <c r="G131" s="137">
        <v>28</v>
      </c>
      <c r="H131" s="137" t="s">
        <v>193</v>
      </c>
      <c r="I131" s="137">
        <v>114.2</v>
      </c>
      <c r="J131" s="137">
        <v>176.98</v>
      </c>
      <c r="K131" s="137">
        <v>1.18</v>
      </c>
      <c r="L131" s="137" t="s">
        <v>312</v>
      </c>
      <c r="M131" s="137" t="s">
        <v>193</v>
      </c>
      <c r="N131" s="137" t="s">
        <v>53</v>
      </c>
      <c r="O131" s="137" t="s">
        <v>193</v>
      </c>
      <c r="P131" s="137" t="s">
        <v>53</v>
      </c>
      <c r="Q131" s="137" t="s">
        <v>193</v>
      </c>
      <c r="R131" s="137" t="s">
        <v>53</v>
      </c>
      <c r="S131" s="137" t="s">
        <v>193</v>
      </c>
      <c r="U131" s="137">
        <f t="shared" si="4"/>
        <v>710.64</v>
      </c>
      <c r="V131" s="171">
        <f t="shared" si="5"/>
        <v>0</v>
      </c>
    </row>
    <row r="132" spans="1:22" ht="15" customHeight="1" x14ac:dyDescent="0.25">
      <c r="A132" s="137" t="s">
        <v>372</v>
      </c>
      <c r="B132" s="137" t="s">
        <v>375</v>
      </c>
      <c r="C132" s="137">
        <v>2018</v>
      </c>
      <c r="D132" s="137">
        <v>3.14</v>
      </c>
      <c r="E132" s="137" t="s">
        <v>193</v>
      </c>
      <c r="F132" s="137" t="s">
        <v>193</v>
      </c>
      <c r="G132" s="137" t="s">
        <v>193</v>
      </c>
      <c r="H132" s="137" t="s">
        <v>193</v>
      </c>
      <c r="I132" s="137" t="s">
        <v>193</v>
      </c>
      <c r="J132" s="137">
        <v>3.14</v>
      </c>
      <c r="K132" s="137" t="s">
        <v>193</v>
      </c>
      <c r="L132" s="137" t="s">
        <v>193</v>
      </c>
      <c r="M132" s="137" t="s">
        <v>193</v>
      </c>
      <c r="N132" s="137" t="s">
        <v>53</v>
      </c>
      <c r="O132" s="137" t="s">
        <v>193</v>
      </c>
      <c r="P132" s="137" t="s">
        <v>53</v>
      </c>
      <c r="Q132" s="137" t="s">
        <v>193</v>
      </c>
      <c r="R132" s="137" t="s">
        <v>53</v>
      </c>
      <c r="S132" s="137" t="s">
        <v>193</v>
      </c>
      <c r="U132" s="137">
        <f t="shared" si="4"/>
        <v>3.14</v>
      </c>
      <c r="V132" s="171">
        <f t="shared" si="5"/>
        <v>0</v>
      </c>
    </row>
    <row r="133" spans="1:22" ht="15" customHeight="1" x14ac:dyDescent="0.25">
      <c r="A133" s="137" t="s">
        <v>376</v>
      </c>
      <c r="B133" s="137" t="s">
        <v>377</v>
      </c>
      <c r="C133" s="137">
        <v>2018</v>
      </c>
      <c r="D133" s="137">
        <v>368.9</v>
      </c>
      <c r="E133" s="137">
        <v>181.6</v>
      </c>
      <c r="F133" s="137">
        <v>38.299999999999997</v>
      </c>
      <c r="G133" s="137">
        <v>18.100000000000001</v>
      </c>
      <c r="H133" s="137">
        <v>0</v>
      </c>
      <c r="I133" s="137">
        <v>62.7</v>
      </c>
      <c r="J133" s="137">
        <v>68.099999999999994</v>
      </c>
      <c r="K133" s="137">
        <v>1</v>
      </c>
      <c r="L133" s="137" t="s">
        <v>193</v>
      </c>
      <c r="M133" s="137" t="s">
        <v>193</v>
      </c>
      <c r="N133" s="137" t="s">
        <v>53</v>
      </c>
      <c r="O133" s="137" t="s">
        <v>193</v>
      </c>
      <c r="P133" s="137" t="s">
        <v>53</v>
      </c>
      <c r="Q133" s="137" t="s">
        <v>193</v>
      </c>
      <c r="R133" s="137" t="s">
        <v>53</v>
      </c>
      <c r="S133" s="137" t="s">
        <v>193</v>
      </c>
      <c r="U133" s="137">
        <f t="shared" si="4"/>
        <v>368.9</v>
      </c>
      <c r="V133" s="171">
        <f t="shared" si="5"/>
        <v>0</v>
      </c>
    </row>
    <row r="134" spans="1:22" ht="15" customHeight="1" x14ac:dyDescent="0.25">
      <c r="A134" s="137" t="s">
        <v>378</v>
      </c>
      <c r="B134" s="137" t="s">
        <v>84</v>
      </c>
      <c r="C134" s="137">
        <v>2018</v>
      </c>
      <c r="D134" s="137">
        <v>15.1</v>
      </c>
      <c r="E134" s="137">
        <v>14.8</v>
      </c>
      <c r="F134" s="137" t="s">
        <v>193</v>
      </c>
      <c r="G134" s="137">
        <v>0.29099999999999998</v>
      </c>
      <c r="H134" s="137" t="s">
        <v>193</v>
      </c>
      <c r="I134" s="137" t="s">
        <v>193</v>
      </c>
      <c r="J134" s="137" t="s">
        <v>193</v>
      </c>
      <c r="K134" s="137" t="s">
        <v>193</v>
      </c>
      <c r="L134" s="137" t="s">
        <v>193</v>
      </c>
      <c r="M134" s="137" t="s">
        <v>193</v>
      </c>
      <c r="N134" s="137" t="s">
        <v>53</v>
      </c>
      <c r="O134" s="137" t="s">
        <v>193</v>
      </c>
      <c r="P134" s="137" t="s">
        <v>53</v>
      </c>
      <c r="Q134" s="137" t="s">
        <v>193</v>
      </c>
      <c r="R134" s="137" t="s">
        <v>53</v>
      </c>
      <c r="S134" s="137" t="s">
        <v>193</v>
      </c>
      <c r="U134" s="137">
        <f t="shared" si="4"/>
        <v>15.1</v>
      </c>
      <c r="V134" s="171">
        <f t="shared" si="5"/>
        <v>0</v>
      </c>
    </row>
    <row r="135" spans="1:22" ht="15" customHeight="1" x14ac:dyDescent="0.25">
      <c r="A135" s="137" t="s">
        <v>380</v>
      </c>
      <c r="B135" s="137" t="s">
        <v>381</v>
      </c>
      <c r="C135" s="137">
        <v>2018</v>
      </c>
      <c r="D135" s="137">
        <v>167.82300000000001</v>
      </c>
      <c r="E135" s="137">
        <v>67.06</v>
      </c>
      <c r="F135" s="137">
        <v>17.475999999999999</v>
      </c>
      <c r="G135" s="137">
        <v>6.3010000000000002</v>
      </c>
      <c r="H135" s="137">
        <v>0</v>
      </c>
      <c r="I135" s="137">
        <v>31.096</v>
      </c>
      <c r="J135" s="137">
        <v>45.89</v>
      </c>
      <c r="K135" s="137">
        <v>0</v>
      </c>
      <c r="L135" s="137">
        <v>0</v>
      </c>
      <c r="M135" s="137">
        <v>0</v>
      </c>
      <c r="N135" s="137" t="s">
        <v>53</v>
      </c>
      <c r="O135" s="137" t="s">
        <v>193</v>
      </c>
      <c r="P135" s="137" t="s">
        <v>53</v>
      </c>
      <c r="Q135" s="137" t="s">
        <v>193</v>
      </c>
      <c r="R135" s="137" t="s">
        <v>53</v>
      </c>
      <c r="S135" s="137" t="s">
        <v>193</v>
      </c>
      <c r="U135" s="137">
        <f t="shared" si="4"/>
        <v>167.82300000000001</v>
      </c>
      <c r="V135" s="171">
        <f t="shared" si="5"/>
        <v>0</v>
      </c>
    </row>
    <row r="136" spans="1:22" ht="15" customHeight="1" x14ac:dyDescent="0.25">
      <c r="A136" s="137" t="s">
        <v>382</v>
      </c>
      <c r="B136" s="137" t="s">
        <v>87</v>
      </c>
      <c r="C136" s="137">
        <v>2018</v>
      </c>
      <c r="D136" s="137">
        <v>305.2</v>
      </c>
      <c r="E136" s="137">
        <v>88.3</v>
      </c>
      <c r="F136" s="137">
        <v>18.8</v>
      </c>
      <c r="G136" s="137">
        <v>142.19999999999999</v>
      </c>
      <c r="H136" s="137">
        <v>107.6</v>
      </c>
      <c r="I136" s="137">
        <v>28.6</v>
      </c>
      <c r="J136" s="137">
        <v>26.2</v>
      </c>
      <c r="K136" s="137">
        <v>1</v>
      </c>
      <c r="L136" s="137" t="s">
        <v>312</v>
      </c>
      <c r="M136" s="137">
        <v>34.299999999999997</v>
      </c>
      <c r="N136" s="137" t="s">
        <v>53</v>
      </c>
      <c r="O136" s="137" t="s">
        <v>193</v>
      </c>
      <c r="P136" s="137" t="s">
        <v>53</v>
      </c>
      <c r="Q136" s="137" t="s">
        <v>193</v>
      </c>
      <c r="R136" s="137" t="s">
        <v>53</v>
      </c>
      <c r="S136" s="137" t="s">
        <v>193</v>
      </c>
      <c r="U136" s="137">
        <f t="shared" si="4"/>
        <v>305.2</v>
      </c>
      <c r="V136" s="171">
        <f t="shared" si="5"/>
        <v>0</v>
      </c>
    </row>
    <row r="137" spans="1:22" ht="15" customHeight="1" x14ac:dyDescent="0.25">
      <c r="A137" s="137" t="s">
        <v>383</v>
      </c>
      <c r="B137" s="137" t="s">
        <v>384</v>
      </c>
      <c r="C137" s="137">
        <v>2018</v>
      </c>
      <c r="D137" s="137">
        <v>576.79999999999995</v>
      </c>
      <c r="E137" s="137">
        <v>254.6</v>
      </c>
      <c r="F137" s="137">
        <v>73.5</v>
      </c>
      <c r="G137" s="137">
        <v>6.6710000000000003</v>
      </c>
      <c r="H137" s="137" t="s">
        <v>193</v>
      </c>
      <c r="I137" s="137">
        <v>57.3</v>
      </c>
      <c r="J137" s="137">
        <v>105.2</v>
      </c>
      <c r="K137" s="137">
        <v>3.9</v>
      </c>
      <c r="L137" s="137" t="s">
        <v>193</v>
      </c>
      <c r="M137" s="137">
        <v>17.600000000000001</v>
      </c>
      <c r="N137" s="137" t="s">
        <v>1079</v>
      </c>
      <c r="O137" s="137">
        <v>57.600999999999999</v>
      </c>
      <c r="P137" s="137" t="s">
        <v>53</v>
      </c>
      <c r="Q137" s="137" t="s">
        <v>193</v>
      </c>
      <c r="R137" s="137" t="s">
        <v>53</v>
      </c>
      <c r="S137" s="137" t="s">
        <v>193</v>
      </c>
      <c r="U137" s="137">
        <f t="shared" si="4"/>
        <v>576.79999999999995</v>
      </c>
      <c r="V137" s="171">
        <f t="shared" si="5"/>
        <v>57.600999999999999</v>
      </c>
    </row>
    <row r="138" spans="1:22" ht="15" customHeight="1" x14ac:dyDescent="0.25">
      <c r="A138" s="137" t="s">
        <v>385</v>
      </c>
      <c r="B138" s="137" t="s">
        <v>386</v>
      </c>
      <c r="C138" s="137">
        <v>2018</v>
      </c>
      <c r="D138" s="137">
        <v>36.6</v>
      </c>
      <c r="E138" s="137">
        <v>12.6</v>
      </c>
      <c r="F138" s="137">
        <v>10.8</v>
      </c>
      <c r="G138" s="137">
        <v>1.8</v>
      </c>
      <c r="H138" s="137" t="s">
        <v>193</v>
      </c>
      <c r="I138" s="137">
        <v>6.5</v>
      </c>
      <c r="J138" s="137">
        <v>1.3</v>
      </c>
      <c r="K138" s="137">
        <v>0.2</v>
      </c>
      <c r="L138" s="137" t="s">
        <v>193</v>
      </c>
      <c r="M138" s="137">
        <v>3.3</v>
      </c>
      <c r="N138" s="137" t="s">
        <v>53</v>
      </c>
      <c r="O138" s="137" t="s">
        <v>193</v>
      </c>
      <c r="P138" s="137" t="s">
        <v>53</v>
      </c>
      <c r="Q138" s="137" t="s">
        <v>193</v>
      </c>
      <c r="R138" s="137" t="s">
        <v>53</v>
      </c>
      <c r="S138" s="137" t="s">
        <v>193</v>
      </c>
      <c r="U138" s="137">
        <f t="shared" si="4"/>
        <v>36.6</v>
      </c>
      <c r="V138" s="171">
        <f t="shared" si="5"/>
        <v>0</v>
      </c>
    </row>
    <row r="139" spans="1:22" ht="15" customHeight="1" x14ac:dyDescent="0.25">
      <c r="A139" s="137" t="s">
        <v>387</v>
      </c>
      <c r="B139" s="137" t="s">
        <v>388</v>
      </c>
      <c r="C139" s="137">
        <v>2018</v>
      </c>
      <c r="D139" s="137">
        <v>200.06800000000001</v>
      </c>
      <c r="E139" s="137" t="s">
        <v>312</v>
      </c>
      <c r="F139" s="137">
        <v>33.826999999999998</v>
      </c>
      <c r="G139" s="137" t="s">
        <v>312</v>
      </c>
      <c r="H139" s="137" t="s">
        <v>193</v>
      </c>
      <c r="I139" s="137" t="s">
        <v>312</v>
      </c>
      <c r="J139" s="137" t="s">
        <v>312</v>
      </c>
      <c r="K139" s="137" t="s">
        <v>312</v>
      </c>
      <c r="L139" s="137" t="s">
        <v>312</v>
      </c>
      <c r="M139" s="137" t="s">
        <v>312</v>
      </c>
      <c r="N139" s="137" t="s">
        <v>53</v>
      </c>
      <c r="O139" s="137" t="s">
        <v>193</v>
      </c>
      <c r="P139" s="137" t="s">
        <v>53</v>
      </c>
      <c r="Q139" s="137" t="s">
        <v>193</v>
      </c>
      <c r="R139" s="137" t="s">
        <v>53</v>
      </c>
      <c r="S139" s="137" t="s">
        <v>193</v>
      </c>
      <c r="U139" s="137">
        <f t="shared" si="4"/>
        <v>200.06800000000001</v>
      </c>
      <c r="V139" s="171">
        <f t="shared" si="5"/>
        <v>0</v>
      </c>
    </row>
    <row r="140" spans="1:22" ht="15" customHeight="1" x14ac:dyDescent="0.25">
      <c r="A140" s="137" t="s">
        <v>387</v>
      </c>
      <c r="B140" s="137" t="s">
        <v>389</v>
      </c>
      <c r="C140" s="137">
        <v>2018</v>
      </c>
      <c r="D140" s="137">
        <v>5.7569999999999997</v>
      </c>
      <c r="E140" s="137" t="s">
        <v>312</v>
      </c>
      <c r="F140" s="137">
        <v>3.8940000000000001</v>
      </c>
      <c r="G140" s="137" t="s">
        <v>193</v>
      </c>
      <c r="H140" s="137" t="s">
        <v>193</v>
      </c>
      <c r="I140" s="137" t="s">
        <v>312</v>
      </c>
      <c r="J140" s="137" t="s">
        <v>312</v>
      </c>
      <c r="K140" s="137" t="s">
        <v>312</v>
      </c>
      <c r="L140" s="137" t="s">
        <v>312</v>
      </c>
      <c r="M140" s="137" t="s">
        <v>193</v>
      </c>
      <c r="N140" s="137" t="s">
        <v>53</v>
      </c>
      <c r="O140" s="137" t="s">
        <v>193</v>
      </c>
      <c r="P140" s="137" t="s">
        <v>53</v>
      </c>
      <c r="Q140" s="137" t="s">
        <v>193</v>
      </c>
      <c r="R140" s="137" t="s">
        <v>53</v>
      </c>
      <c r="S140" s="137" t="s">
        <v>193</v>
      </c>
      <c r="U140" s="137">
        <f t="shared" si="4"/>
        <v>5.7569999999999997</v>
      </c>
      <c r="V140" s="171">
        <f t="shared" si="5"/>
        <v>0</v>
      </c>
    </row>
    <row r="141" spans="1:22" ht="15" customHeight="1" x14ac:dyDescent="0.25">
      <c r="A141" s="137" t="s">
        <v>390</v>
      </c>
      <c r="B141" s="137" t="s">
        <v>391</v>
      </c>
      <c r="C141" s="137">
        <v>2018</v>
      </c>
      <c r="D141" s="137">
        <v>836</v>
      </c>
      <c r="E141" s="137">
        <v>433</v>
      </c>
      <c r="F141" s="137">
        <v>93</v>
      </c>
      <c r="G141" s="137">
        <v>56</v>
      </c>
      <c r="H141" s="137" t="s">
        <v>193</v>
      </c>
      <c r="I141" s="137">
        <v>158</v>
      </c>
      <c r="J141" s="137">
        <v>98</v>
      </c>
      <c r="K141" s="137" t="s">
        <v>193</v>
      </c>
      <c r="L141" s="137" t="s">
        <v>193</v>
      </c>
      <c r="M141" s="137" t="s">
        <v>193</v>
      </c>
      <c r="N141" s="137" t="s">
        <v>1080</v>
      </c>
      <c r="O141" s="137">
        <v>8.6999999999999993</v>
      </c>
      <c r="P141" s="137" t="s">
        <v>1081</v>
      </c>
      <c r="Q141" s="137">
        <v>1.8</v>
      </c>
      <c r="R141" s="137" t="s">
        <v>53</v>
      </c>
      <c r="S141" s="137" t="s">
        <v>193</v>
      </c>
      <c r="U141" s="137">
        <f t="shared" si="4"/>
        <v>836</v>
      </c>
      <c r="V141" s="171">
        <f t="shared" si="5"/>
        <v>10.5</v>
      </c>
    </row>
    <row r="142" spans="1:22" ht="15" customHeight="1" x14ac:dyDescent="0.25">
      <c r="A142" s="137" t="s">
        <v>390</v>
      </c>
      <c r="B142" s="137" t="s">
        <v>393</v>
      </c>
      <c r="C142" s="137">
        <v>2018</v>
      </c>
      <c r="D142" s="137">
        <v>53</v>
      </c>
      <c r="E142" s="137" t="s">
        <v>53</v>
      </c>
      <c r="F142" s="137" t="s">
        <v>53</v>
      </c>
      <c r="G142" s="137" t="s">
        <v>53</v>
      </c>
      <c r="H142" s="137" t="s">
        <v>53</v>
      </c>
      <c r="I142" s="137" t="s">
        <v>53</v>
      </c>
      <c r="J142" s="137" t="s">
        <v>53</v>
      </c>
      <c r="K142" s="137" t="s">
        <v>53</v>
      </c>
      <c r="L142" s="137" t="s">
        <v>53</v>
      </c>
      <c r="M142" s="137" t="s">
        <v>53</v>
      </c>
      <c r="N142" s="137" t="s">
        <v>53</v>
      </c>
      <c r="O142" s="137" t="s">
        <v>53</v>
      </c>
      <c r="P142" s="137" t="s">
        <v>53</v>
      </c>
      <c r="Q142" s="137" t="s">
        <v>53</v>
      </c>
      <c r="R142" s="137" t="s">
        <v>53</v>
      </c>
      <c r="S142" s="137" t="s">
        <v>53</v>
      </c>
      <c r="U142" s="137">
        <f t="shared" si="4"/>
        <v>53</v>
      </c>
      <c r="V142" s="171">
        <f t="shared" si="5"/>
        <v>0</v>
      </c>
    </row>
    <row r="143" spans="1:22" ht="15" customHeight="1" x14ac:dyDescent="0.25">
      <c r="A143" s="137" t="s">
        <v>394</v>
      </c>
      <c r="B143" s="137" t="s">
        <v>395</v>
      </c>
      <c r="C143" s="137">
        <v>2018</v>
      </c>
      <c r="D143" s="137">
        <v>1.1025</v>
      </c>
      <c r="E143" s="137" t="s">
        <v>193</v>
      </c>
      <c r="F143" s="137">
        <v>2.5000000000000001E-2</v>
      </c>
      <c r="G143" s="137" t="s">
        <v>193</v>
      </c>
      <c r="H143" s="137" t="s">
        <v>193</v>
      </c>
      <c r="I143" s="137" t="s">
        <v>193</v>
      </c>
      <c r="J143" s="137">
        <v>1.0780000000000001</v>
      </c>
      <c r="K143" s="137" t="s">
        <v>193</v>
      </c>
      <c r="L143" s="137" t="s">
        <v>193</v>
      </c>
      <c r="M143" s="137" t="s">
        <v>193</v>
      </c>
      <c r="N143" s="137" t="s">
        <v>53</v>
      </c>
      <c r="O143" s="137" t="s">
        <v>193</v>
      </c>
      <c r="P143" s="137" t="s">
        <v>53</v>
      </c>
      <c r="Q143" s="137" t="s">
        <v>193</v>
      </c>
      <c r="R143" s="137" t="s">
        <v>53</v>
      </c>
      <c r="S143" s="137" t="s">
        <v>193</v>
      </c>
      <c r="U143" s="137">
        <f t="shared" si="4"/>
        <v>1.1025</v>
      </c>
      <c r="V143" s="171">
        <f t="shared" si="5"/>
        <v>0</v>
      </c>
    </row>
    <row r="144" spans="1:22" ht="15" customHeight="1" x14ac:dyDescent="0.25">
      <c r="A144" s="137" t="s">
        <v>394</v>
      </c>
      <c r="B144" s="137" t="s">
        <v>396</v>
      </c>
      <c r="C144" s="137">
        <v>2018</v>
      </c>
      <c r="D144" s="137">
        <v>0.81089999999999995</v>
      </c>
      <c r="E144" s="137">
        <v>0.16800000000000001</v>
      </c>
      <c r="F144" s="137">
        <v>6.5000000000000002E-2</v>
      </c>
      <c r="G144" s="137" t="s">
        <v>193</v>
      </c>
      <c r="H144" s="137" t="s">
        <v>193</v>
      </c>
      <c r="I144" s="137">
        <v>0.57699999999999996</v>
      </c>
      <c r="J144" s="137" t="s">
        <v>193</v>
      </c>
      <c r="K144" s="137" t="s">
        <v>193</v>
      </c>
      <c r="L144" s="137" t="s">
        <v>193</v>
      </c>
      <c r="M144" s="137" t="s">
        <v>193</v>
      </c>
      <c r="N144" s="137" t="s">
        <v>53</v>
      </c>
      <c r="O144" s="137" t="s">
        <v>193</v>
      </c>
      <c r="P144" s="137" t="s">
        <v>53</v>
      </c>
      <c r="Q144" s="137" t="s">
        <v>193</v>
      </c>
      <c r="R144" s="137" t="s">
        <v>53</v>
      </c>
      <c r="S144" s="137" t="s">
        <v>193</v>
      </c>
      <c r="U144" s="137">
        <f t="shared" si="4"/>
        <v>0.81089999999999995</v>
      </c>
      <c r="V144" s="171">
        <f t="shared" si="5"/>
        <v>0</v>
      </c>
    </row>
    <row r="145" spans="1:22" ht="15" customHeight="1" x14ac:dyDescent="0.25">
      <c r="A145" s="137" t="s">
        <v>394</v>
      </c>
      <c r="B145" s="137" t="s">
        <v>397</v>
      </c>
      <c r="C145" s="137">
        <v>2018</v>
      </c>
      <c r="D145" s="137">
        <v>3</v>
      </c>
      <c r="E145" s="137" t="s">
        <v>193</v>
      </c>
      <c r="F145" s="137">
        <v>2.9</v>
      </c>
      <c r="G145" s="137" t="s">
        <v>193</v>
      </c>
      <c r="H145" s="137" t="s">
        <v>193</v>
      </c>
      <c r="I145" s="137">
        <v>0.1</v>
      </c>
      <c r="J145" s="137" t="s">
        <v>193</v>
      </c>
      <c r="K145" s="137" t="s">
        <v>193</v>
      </c>
      <c r="L145" s="137" t="s">
        <v>193</v>
      </c>
      <c r="M145" s="137" t="s">
        <v>193</v>
      </c>
      <c r="N145" s="137" t="s">
        <v>53</v>
      </c>
      <c r="O145" s="137" t="s">
        <v>193</v>
      </c>
      <c r="P145" s="137" t="s">
        <v>53</v>
      </c>
      <c r="Q145" s="137" t="s">
        <v>193</v>
      </c>
      <c r="R145" s="137" t="s">
        <v>53</v>
      </c>
      <c r="S145" s="137" t="s">
        <v>193</v>
      </c>
      <c r="U145" s="137">
        <f t="shared" si="4"/>
        <v>3</v>
      </c>
      <c r="V145" s="171">
        <f t="shared" si="5"/>
        <v>0</v>
      </c>
    </row>
    <row r="146" spans="1:22" ht="15" customHeight="1" x14ac:dyDescent="0.25">
      <c r="A146" s="137" t="s">
        <v>394</v>
      </c>
      <c r="B146" s="137" t="s">
        <v>398</v>
      </c>
      <c r="C146" s="137">
        <v>2018</v>
      </c>
      <c r="D146" s="137">
        <v>116</v>
      </c>
      <c r="E146" s="137">
        <v>62.2</v>
      </c>
      <c r="F146" s="137">
        <v>6.7</v>
      </c>
      <c r="G146" s="137">
        <v>7.8</v>
      </c>
      <c r="H146" s="137" t="s">
        <v>193</v>
      </c>
      <c r="I146" s="137">
        <v>23.3</v>
      </c>
      <c r="J146" s="137">
        <v>11.1</v>
      </c>
      <c r="K146" s="137" t="s">
        <v>193</v>
      </c>
      <c r="L146" s="137" t="s">
        <v>193</v>
      </c>
      <c r="M146" s="137" t="s">
        <v>193</v>
      </c>
      <c r="N146" s="137" t="s">
        <v>53</v>
      </c>
      <c r="O146" s="137" t="s">
        <v>193</v>
      </c>
      <c r="P146" s="137" t="s">
        <v>53</v>
      </c>
      <c r="Q146" s="137" t="s">
        <v>193</v>
      </c>
      <c r="R146" s="137" t="s">
        <v>53</v>
      </c>
      <c r="S146" s="137" t="s">
        <v>193</v>
      </c>
      <c r="U146" s="137">
        <f t="shared" si="4"/>
        <v>116</v>
      </c>
      <c r="V146" s="171">
        <f t="shared" si="5"/>
        <v>0</v>
      </c>
    </row>
    <row r="147" spans="1:22" ht="15" customHeight="1" x14ac:dyDescent="0.25">
      <c r="A147" s="137" t="s">
        <v>45</v>
      </c>
      <c r="B147" s="141" t="s">
        <v>46</v>
      </c>
      <c r="C147" s="137">
        <v>2018</v>
      </c>
      <c r="D147" s="137" t="s">
        <v>53</v>
      </c>
      <c r="E147" s="137" t="s">
        <v>53</v>
      </c>
      <c r="F147" s="137" t="s">
        <v>53</v>
      </c>
      <c r="G147" s="137" t="s">
        <v>53</v>
      </c>
      <c r="H147" s="137" t="s">
        <v>53</v>
      </c>
      <c r="I147" s="137" t="s">
        <v>53</v>
      </c>
      <c r="J147" s="137" t="s">
        <v>53</v>
      </c>
      <c r="K147" s="137" t="s">
        <v>53</v>
      </c>
      <c r="L147" s="137" t="s">
        <v>53</v>
      </c>
      <c r="M147" s="137" t="s">
        <v>53</v>
      </c>
      <c r="N147" s="137" t="s">
        <v>53</v>
      </c>
      <c r="O147" s="137" t="s">
        <v>53</v>
      </c>
      <c r="P147" s="137" t="s">
        <v>53</v>
      </c>
      <c r="Q147" s="137" t="s">
        <v>53</v>
      </c>
      <c r="R147" s="137" t="s">
        <v>53</v>
      </c>
      <c r="S147" s="137" t="s">
        <v>53</v>
      </c>
      <c r="U147" s="137">
        <f t="shared" si="4"/>
        <v>0</v>
      </c>
      <c r="V147" s="171">
        <f t="shared" si="5"/>
        <v>0</v>
      </c>
    </row>
    <row r="148" spans="1:22" ht="15" customHeight="1" x14ac:dyDescent="0.25">
      <c r="A148" s="137" t="s">
        <v>399</v>
      </c>
      <c r="B148" s="137" t="s">
        <v>400</v>
      </c>
      <c r="C148" s="137">
        <v>2018</v>
      </c>
      <c r="D148" s="137">
        <v>254.3</v>
      </c>
      <c r="E148" s="137">
        <v>150.5</v>
      </c>
      <c r="F148" s="137">
        <v>33</v>
      </c>
      <c r="G148" s="137">
        <v>10.1</v>
      </c>
      <c r="H148" s="137" t="s">
        <v>193</v>
      </c>
      <c r="I148" s="137">
        <v>22</v>
      </c>
      <c r="J148" s="137">
        <v>16.100000000000001</v>
      </c>
      <c r="K148" s="137">
        <v>0.3</v>
      </c>
      <c r="L148" s="137">
        <v>3.1</v>
      </c>
      <c r="M148" s="137">
        <v>19.2</v>
      </c>
      <c r="N148" s="137" t="s">
        <v>885</v>
      </c>
      <c r="O148" s="137">
        <v>1.9</v>
      </c>
      <c r="P148" s="137" t="s">
        <v>1082</v>
      </c>
      <c r="Q148" s="137">
        <v>29.9</v>
      </c>
      <c r="R148" s="137" t="s">
        <v>219</v>
      </c>
      <c r="S148" s="137" t="s">
        <v>193</v>
      </c>
      <c r="U148" s="137">
        <f t="shared" si="4"/>
        <v>254.3</v>
      </c>
      <c r="V148" s="171">
        <f t="shared" si="5"/>
        <v>31.799999999999997</v>
      </c>
    </row>
    <row r="149" spans="1:22" ht="15" customHeight="1" x14ac:dyDescent="0.25">
      <c r="A149" s="137" t="s">
        <v>401</v>
      </c>
      <c r="B149" s="137" t="s">
        <v>402</v>
      </c>
      <c r="C149" s="137">
        <v>2018</v>
      </c>
      <c r="D149" s="137">
        <v>8.68</v>
      </c>
      <c r="E149" s="137">
        <v>4.12</v>
      </c>
      <c r="F149" s="137">
        <v>0.6</v>
      </c>
      <c r="G149" s="137">
        <v>2.0299999999999998</v>
      </c>
      <c r="H149" s="137" t="s">
        <v>193</v>
      </c>
      <c r="I149" s="137">
        <v>1.68</v>
      </c>
      <c r="J149" s="137">
        <v>0.23</v>
      </c>
      <c r="K149" s="137" t="s">
        <v>193</v>
      </c>
      <c r="L149" s="137" t="s">
        <v>193</v>
      </c>
      <c r="M149" s="137" t="s">
        <v>193</v>
      </c>
      <c r="N149" s="137" t="s">
        <v>53</v>
      </c>
      <c r="O149" s="137" t="s">
        <v>193</v>
      </c>
      <c r="P149" s="137" t="s">
        <v>53</v>
      </c>
      <c r="Q149" s="137" t="s">
        <v>193</v>
      </c>
      <c r="R149" s="137" t="s">
        <v>53</v>
      </c>
      <c r="S149" s="137" t="s">
        <v>193</v>
      </c>
      <c r="U149" s="137">
        <f t="shared" si="4"/>
        <v>8.68</v>
      </c>
      <c r="V149" s="171">
        <f t="shared" si="5"/>
        <v>0</v>
      </c>
    </row>
    <row r="150" spans="1:22" ht="15" customHeight="1" x14ac:dyDescent="0.25">
      <c r="A150" s="137" t="s">
        <v>401</v>
      </c>
      <c r="B150" s="137" t="s">
        <v>403</v>
      </c>
      <c r="C150" s="137">
        <v>2018</v>
      </c>
      <c r="D150" s="137">
        <v>6.98</v>
      </c>
      <c r="E150" s="137">
        <v>2.98</v>
      </c>
      <c r="F150" s="137">
        <v>0.15</v>
      </c>
      <c r="G150" s="137">
        <v>0</v>
      </c>
      <c r="H150" s="137">
        <v>0</v>
      </c>
      <c r="I150" s="137">
        <v>2.74</v>
      </c>
      <c r="J150" s="137">
        <v>1.1000000000000001</v>
      </c>
      <c r="K150" s="137">
        <v>0</v>
      </c>
      <c r="L150" s="137">
        <v>0</v>
      </c>
      <c r="M150" s="137">
        <v>0</v>
      </c>
      <c r="N150" s="137" t="s">
        <v>53</v>
      </c>
      <c r="O150" s="137" t="s">
        <v>193</v>
      </c>
      <c r="P150" s="137" t="s">
        <v>53</v>
      </c>
      <c r="Q150" s="137" t="s">
        <v>193</v>
      </c>
      <c r="R150" s="137" t="s">
        <v>53</v>
      </c>
      <c r="S150" s="137" t="s">
        <v>193</v>
      </c>
      <c r="U150" s="137">
        <f t="shared" si="4"/>
        <v>6.98</v>
      </c>
      <c r="V150" s="171">
        <f t="shared" si="5"/>
        <v>0</v>
      </c>
    </row>
    <row r="151" spans="1:22" ht="15" customHeight="1" x14ac:dyDescent="0.25">
      <c r="A151" s="137" t="s">
        <v>401</v>
      </c>
      <c r="B151" s="137" t="s">
        <v>404</v>
      </c>
      <c r="C151" s="137">
        <v>2018</v>
      </c>
      <c r="D151" s="137">
        <v>10.95</v>
      </c>
      <c r="E151" s="137">
        <v>3.7</v>
      </c>
      <c r="F151" s="137">
        <v>1.85</v>
      </c>
      <c r="G151" s="137">
        <v>0.19</v>
      </c>
      <c r="H151" s="137">
        <v>0</v>
      </c>
      <c r="I151" s="137">
        <v>4.12</v>
      </c>
      <c r="J151" s="137">
        <v>1.07</v>
      </c>
      <c r="K151" s="137">
        <v>0</v>
      </c>
      <c r="L151" s="137">
        <v>0</v>
      </c>
      <c r="M151" s="137">
        <v>0</v>
      </c>
      <c r="N151" s="137" t="s">
        <v>53</v>
      </c>
      <c r="O151" s="137" t="s">
        <v>193</v>
      </c>
      <c r="P151" s="137" t="s">
        <v>53</v>
      </c>
      <c r="Q151" s="137" t="s">
        <v>193</v>
      </c>
      <c r="R151" s="137" t="s">
        <v>53</v>
      </c>
      <c r="S151" s="137" t="s">
        <v>193</v>
      </c>
      <c r="U151" s="137">
        <f t="shared" si="4"/>
        <v>10.95</v>
      </c>
      <c r="V151" s="171">
        <f t="shared" si="5"/>
        <v>0</v>
      </c>
    </row>
    <row r="152" spans="1:22" ht="15" customHeight="1" x14ac:dyDescent="0.25">
      <c r="A152" s="137" t="s">
        <v>401</v>
      </c>
      <c r="B152" s="137" t="s">
        <v>405</v>
      </c>
      <c r="C152" s="137">
        <v>2018</v>
      </c>
      <c r="D152" s="137">
        <v>5.46</v>
      </c>
      <c r="E152" s="137">
        <v>1.04</v>
      </c>
      <c r="F152" s="137">
        <v>1.76</v>
      </c>
      <c r="G152" s="137">
        <v>1.42</v>
      </c>
      <c r="H152" s="137">
        <v>0</v>
      </c>
      <c r="I152" s="137">
        <v>1.1200000000000001</v>
      </c>
      <c r="J152" s="137">
        <v>0.11</v>
      </c>
      <c r="K152" s="137">
        <v>0</v>
      </c>
      <c r="L152" s="137">
        <v>0</v>
      </c>
      <c r="M152" s="137">
        <v>0</v>
      </c>
      <c r="N152" s="137" t="s">
        <v>53</v>
      </c>
      <c r="O152" s="137" t="s">
        <v>193</v>
      </c>
      <c r="P152" s="137" t="s">
        <v>53</v>
      </c>
      <c r="Q152" s="137" t="s">
        <v>193</v>
      </c>
      <c r="R152" s="137" t="s">
        <v>53</v>
      </c>
      <c r="S152" s="137" t="s">
        <v>193</v>
      </c>
      <c r="U152" s="137">
        <f t="shared" si="4"/>
        <v>5.46</v>
      </c>
      <c r="V152" s="171">
        <f t="shared" si="5"/>
        <v>0</v>
      </c>
    </row>
    <row r="153" spans="1:22" ht="15" customHeight="1" x14ac:dyDescent="0.25">
      <c r="A153" s="137" t="s">
        <v>401</v>
      </c>
      <c r="B153" s="137" t="s">
        <v>406</v>
      </c>
      <c r="C153" s="137">
        <v>2018</v>
      </c>
      <c r="D153" s="137">
        <v>11.65</v>
      </c>
      <c r="E153" s="137">
        <v>2.633</v>
      </c>
      <c r="F153" s="137">
        <v>1.05</v>
      </c>
      <c r="G153" s="137">
        <v>4.67</v>
      </c>
      <c r="H153" s="137">
        <v>0</v>
      </c>
      <c r="I153" s="137">
        <v>2.97</v>
      </c>
      <c r="J153" s="137">
        <v>0.32</v>
      </c>
      <c r="K153" s="137">
        <v>0</v>
      </c>
      <c r="L153" s="137">
        <v>0</v>
      </c>
      <c r="M153" s="137">
        <v>0</v>
      </c>
      <c r="N153" s="137" t="s">
        <v>53</v>
      </c>
      <c r="O153" s="137" t="s">
        <v>193</v>
      </c>
      <c r="P153" s="137" t="s">
        <v>53</v>
      </c>
      <c r="Q153" s="137" t="s">
        <v>193</v>
      </c>
      <c r="R153" s="137" t="s">
        <v>53</v>
      </c>
      <c r="S153" s="137" t="s">
        <v>193</v>
      </c>
      <c r="U153" s="137">
        <f t="shared" si="4"/>
        <v>11.65</v>
      </c>
      <c r="V153" s="171">
        <f t="shared" si="5"/>
        <v>0</v>
      </c>
    </row>
    <row r="154" spans="1:22" ht="15" customHeight="1" x14ac:dyDescent="0.25">
      <c r="A154" s="137" t="s">
        <v>401</v>
      </c>
      <c r="B154" s="137" t="s">
        <v>407</v>
      </c>
      <c r="C154" s="137">
        <v>2018</v>
      </c>
      <c r="D154" s="137">
        <v>28</v>
      </c>
      <c r="E154" s="137">
        <v>13.57</v>
      </c>
      <c r="F154" s="137">
        <v>1.1499999999999999</v>
      </c>
      <c r="G154" s="137">
        <v>1.08</v>
      </c>
      <c r="H154" s="137">
        <v>0</v>
      </c>
      <c r="I154" s="137">
        <v>11.34</v>
      </c>
      <c r="J154" s="137">
        <v>0.84</v>
      </c>
      <c r="K154" s="137">
        <v>0</v>
      </c>
      <c r="L154" s="137">
        <v>0</v>
      </c>
      <c r="M154" s="137">
        <v>0</v>
      </c>
      <c r="N154" s="137" t="s">
        <v>53</v>
      </c>
      <c r="O154" s="137" t="s">
        <v>193</v>
      </c>
      <c r="P154" s="137" t="s">
        <v>53</v>
      </c>
      <c r="Q154" s="137" t="s">
        <v>193</v>
      </c>
      <c r="R154" s="137" t="s">
        <v>53</v>
      </c>
      <c r="S154" s="137" t="s">
        <v>193</v>
      </c>
      <c r="U154" s="137">
        <f t="shared" si="4"/>
        <v>28</v>
      </c>
      <c r="V154" s="171">
        <f t="shared" si="5"/>
        <v>0</v>
      </c>
    </row>
    <row r="155" spans="1:22" ht="15" customHeight="1" x14ac:dyDescent="0.25">
      <c r="A155" s="137" t="s">
        <v>401</v>
      </c>
      <c r="B155" s="137" t="s">
        <v>408</v>
      </c>
      <c r="C155" s="137">
        <v>2018</v>
      </c>
      <c r="D155" s="137">
        <v>7.74</v>
      </c>
      <c r="E155" s="137">
        <v>2.54</v>
      </c>
      <c r="F155" s="137">
        <v>1.59</v>
      </c>
      <c r="G155" s="137">
        <v>0.25</v>
      </c>
      <c r="H155" s="137">
        <v>0</v>
      </c>
      <c r="I155" s="137">
        <v>2.2799999999999998</v>
      </c>
      <c r="J155" s="137">
        <v>1.07</v>
      </c>
      <c r="K155" s="137">
        <v>0</v>
      </c>
      <c r="L155" s="137">
        <v>0</v>
      </c>
      <c r="M155" s="137">
        <v>0</v>
      </c>
      <c r="N155" s="137" t="s">
        <v>53</v>
      </c>
      <c r="O155" s="137" t="s">
        <v>193</v>
      </c>
      <c r="P155" s="137" t="s">
        <v>53</v>
      </c>
      <c r="Q155" s="137" t="s">
        <v>193</v>
      </c>
      <c r="R155" s="137" t="s">
        <v>53</v>
      </c>
      <c r="S155" s="137" t="s">
        <v>193</v>
      </c>
      <c r="U155" s="137">
        <f t="shared" si="4"/>
        <v>7.74</v>
      </c>
      <c r="V155" s="171">
        <f t="shared" si="5"/>
        <v>0</v>
      </c>
    </row>
    <row r="156" spans="1:22" ht="15" customHeight="1" x14ac:dyDescent="0.25">
      <c r="A156" s="137" t="s">
        <v>401</v>
      </c>
      <c r="B156" s="137" t="s">
        <v>409</v>
      </c>
      <c r="C156" s="137">
        <v>2018</v>
      </c>
      <c r="D156" s="137">
        <v>11.76</v>
      </c>
      <c r="E156" s="137">
        <v>4.1689999999999996</v>
      </c>
      <c r="F156" s="137">
        <v>0.85</v>
      </c>
      <c r="G156" s="137">
        <v>2.08</v>
      </c>
      <c r="H156" s="137">
        <v>0</v>
      </c>
      <c r="I156" s="137">
        <v>4.2300000000000004</v>
      </c>
      <c r="J156" s="137">
        <v>0.44</v>
      </c>
      <c r="K156" s="137">
        <v>0</v>
      </c>
      <c r="L156" s="137">
        <v>0</v>
      </c>
      <c r="M156" s="137">
        <v>0</v>
      </c>
      <c r="N156" s="137" t="s">
        <v>53</v>
      </c>
      <c r="O156" s="137" t="s">
        <v>193</v>
      </c>
      <c r="P156" s="137" t="s">
        <v>53</v>
      </c>
      <c r="Q156" s="137" t="s">
        <v>193</v>
      </c>
      <c r="R156" s="137" t="s">
        <v>53</v>
      </c>
      <c r="S156" s="137" t="s">
        <v>193</v>
      </c>
      <c r="U156" s="137">
        <f t="shared" si="4"/>
        <v>11.76</v>
      </c>
      <c r="V156" s="171">
        <f t="shared" si="5"/>
        <v>0</v>
      </c>
    </row>
    <row r="157" spans="1:22" ht="15" customHeight="1" x14ac:dyDescent="0.25">
      <c r="A157" s="137" t="s">
        <v>401</v>
      </c>
      <c r="B157" s="137" t="s">
        <v>410</v>
      </c>
      <c r="C157" s="137">
        <v>2018</v>
      </c>
      <c r="D157" s="137">
        <v>5.41</v>
      </c>
      <c r="E157" s="137">
        <v>1.27</v>
      </c>
      <c r="F157" s="137">
        <v>0.04</v>
      </c>
      <c r="G157" s="137">
        <v>7.0000000000000007E-2</v>
      </c>
      <c r="H157" s="137">
        <v>0</v>
      </c>
      <c r="I157" s="137">
        <v>4.0199999999999996</v>
      </c>
      <c r="J157" s="137">
        <v>0</v>
      </c>
      <c r="K157" s="137">
        <v>0</v>
      </c>
      <c r="L157" s="137">
        <v>0</v>
      </c>
      <c r="M157" s="137">
        <v>0</v>
      </c>
      <c r="N157" s="137" t="s">
        <v>53</v>
      </c>
      <c r="O157" s="137" t="s">
        <v>193</v>
      </c>
      <c r="P157" s="137" t="s">
        <v>53</v>
      </c>
      <c r="Q157" s="137" t="s">
        <v>193</v>
      </c>
      <c r="R157" s="137" t="s">
        <v>53</v>
      </c>
      <c r="S157" s="137" t="s">
        <v>193</v>
      </c>
      <c r="U157" s="137">
        <f t="shared" si="4"/>
        <v>5.41</v>
      </c>
      <c r="V157" s="171">
        <f t="shared" si="5"/>
        <v>0</v>
      </c>
    </row>
    <row r="158" spans="1:22" ht="15" customHeight="1" x14ac:dyDescent="0.25">
      <c r="A158" s="137" t="s">
        <v>411</v>
      </c>
      <c r="B158" s="137" t="s">
        <v>412</v>
      </c>
      <c r="C158" s="137">
        <v>2018</v>
      </c>
      <c r="D158" s="137">
        <v>29.670999999999999</v>
      </c>
      <c r="E158" s="137">
        <v>9.4009999999999998</v>
      </c>
      <c r="F158" s="137">
        <v>2.0510000000000002</v>
      </c>
      <c r="G158" s="137">
        <v>10.882999999999999</v>
      </c>
      <c r="H158" s="137">
        <v>0</v>
      </c>
      <c r="I158" s="137">
        <v>4.4829999999999997</v>
      </c>
      <c r="J158" s="137">
        <v>2.8540000000000001</v>
      </c>
      <c r="K158" s="137">
        <v>0</v>
      </c>
      <c r="L158" s="137">
        <v>0</v>
      </c>
      <c r="M158" s="137" t="s">
        <v>193</v>
      </c>
      <c r="N158" s="137" t="s">
        <v>53</v>
      </c>
      <c r="O158" s="137" t="s">
        <v>193</v>
      </c>
      <c r="P158" s="137" t="s">
        <v>53</v>
      </c>
      <c r="Q158" s="137" t="s">
        <v>193</v>
      </c>
      <c r="R158" s="137" t="s">
        <v>53</v>
      </c>
      <c r="S158" s="137" t="s">
        <v>193</v>
      </c>
      <c r="U158" s="137">
        <f t="shared" si="4"/>
        <v>29.670999999999999</v>
      </c>
      <c r="V158" s="171">
        <f t="shared" si="5"/>
        <v>0</v>
      </c>
    </row>
    <row r="159" spans="1:22" ht="15" customHeight="1" x14ac:dyDescent="0.25">
      <c r="A159" s="137" t="s">
        <v>413</v>
      </c>
      <c r="B159" s="137" t="s">
        <v>93</v>
      </c>
      <c r="C159" s="137">
        <v>2018</v>
      </c>
      <c r="D159" s="137" t="s">
        <v>53</v>
      </c>
      <c r="E159" s="137" t="s">
        <v>53</v>
      </c>
      <c r="F159" s="137" t="s">
        <v>53</v>
      </c>
      <c r="G159" s="137" t="s">
        <v>53</v>
      </c>
      <c r="H159" s="137" t="s">
        <v>53</v>
      </c>
      <c r="I159" s="137" t="s">
        <v>53</v>
      </c>
      <c r="J159" s="137" t="s">
        <v>53</v>
      </c>
      <c r="K159" s="137" t="s">
        <v>53</v>
      </c>
      <c r="L159" s="137" t="s">
        <v>53</v>
      </c>
      <c r="M159" s="137" t="s">
        <v>53</v>
      </c>
      <c r="N159" s="137" t="s">
        <v>53</v>
      </c>
      <c r="O159" s="137" t="s">
        <v>53</v>
      </c>
      <c r="P159" s="137" t="s">
        <v>53</v>
      </c>
      <c r="Q159" s="137" t="s">
        <v>53</v>
      </c>
      <c r="R159" s="137" t="s">
        <v>53</v>
      </c>
      <c r="S159" s="137" t="s">
        <v>53</v>
      </c>
      <c r="U159" s="137">
        <f t="shared" si="4"/>
        <v>0</v>
      </c>
      <c r="V159" s="171">
        <f t="shared" si="5"/>
        <v>0</v>
      </c>
    </row>
    <row r="160" spans="1:22" ht="15" customHeight="1" x14ac:dyDescent="0.25">
      <c r="A160" s="137" t="s">
        <v>414</v>
      </c>
      <c r="B160" s="137" t="s">
        <v>415</v>
      </c>
      <c r="C160" s="137">
        <v>2018</v>
      </c>
      <c r="D160" s="137">
        <v>8.3000000000000007</v>
      </c>
      <c r="E160" s="137">
        <v>4</v>
      </c>
      <c r="F160" s="137">
        <v>0.3</v>
      </c>
      <c r="G160" s="137" t="s">
        <v>193</v>
      </c>
      <c r="H160" s="137" t="s">
        <v>193</v>
      </c>
      <c r="I160" s="137">
        <v>4</v>
      </c>
      <c r="J160" s="137" t="s">
        <v>193</v>
      </c>
      <c r="K160" s="137" t="s">
        <v>193</v>
      </c>
      <c r="L160" s="137" t="s">
        <v>193</v>
      </c>
      <c r="M160" s="137" t="s">
        <v>193</v>
      </c>
      <c r="N160" s="137" t="s">
        <v>53</v>
      </c>
      <c r="O160" s="137" t="s">
        <v>193</v>
      </c>
      <c r="P160" s="137" t="s">
        <v>53</v>
      </c>
      <c r="Q160" s="137" t="s">
        <v>193</v>
      </c>
      <c r="R160" s="137" t="s">
        <v>53</v>
      </c>
      <c r="S160" s="137" t="s">
        <v>193</v>
      </c>
      <c r="U160" s="137">
        <f t="shared" si="4"/>
        <v>8.3000000000000007</v>
      </c>
      <c r="V160" s="171">
        <f t="shared" si="5"/>
        <v>0</v>
      </c>
    </row>
    <row r="161" spans="1:22" ht="15" customHeight="1" x14ac:dyDescent="0.25">
      <c r="A161" s="137" t="s">
        <v>414</v>
      </c>
      <c r="B161" s="137" t="s">
        <v>416</v>
      </c>
      <c r="C161" s="137">
        <v>2018</v>
      </c>
      <c r="D161" s="137">
        <v>10.7</v>
      </c>
      <c r="E161" s="137">
        <v>5.3</v>
      </c>
      <c r="F161" s="137">
        <v>1.1000000000000001</v>
      </c>
      <c r="G161" s="137" t="s">
        <v>193</v>
      </c>
      <c r="H161" s="137" t="s">
        <v>193</v>
      </c>
      <c r="I161" s="137">
        <v>4.3</v>
      </c>
      <c r="J161" s="137" t="s">
        <v>193</v>
      </c>
      <c r="K161" s="137" t="s">
        <v>193</v>
      </c>
      <c r="L161" s="137" t="s">
        <v>193</v>
      </c>
      <c r="M161" s="137" t="s">
        <v>193</v>
      </c>
      <c r="N161" s="137" t="s">
        <v>53</v>
      </c>
      <c r="O161" s="137" t="s">
        <v>193</v>
      </c>
      <c r="P161" s="137" t="s">
        <v>53</v>
      </c>
      <c r="Q161" s="137" t="s">
        <v>193</v>
      </c>
      <c r="R161" s="137" t="s">
        <v>53</v>
      </c>
      <c r="S161" s="137" t="s">
        <v>193</v>
      </c>
      <c r="U161" s="137">
        <f t="shared" si="4"/>
        <v>10.7</v>
      </c>
      <c r="V161" s="171">
        <f t="shared" si="5"/>
        <v>0</v>
      </c>
    </row>
    <row r="162" spans="1:22" ht="15" customHeight="1" x14ac:dyDescent="0.25">
      <c r="A162" s="137" t="s">
        <v>414</v>
      </c>
      <c r="B162" s="137" t="s">
        <v>417</v>
      </c>
      <c r="C162" s="137">
        <v>2018</v>
      </c>
      <c r="D162" s="137">
        <v>29</v>
      </c>
      <c r="E162" s="137">
        <v>13.5</v>
      </c>
      <c r="F162" s="137">
        <v>1.9</v>
      </c>
      <c r="G162" s="137" t="s">
        <v>193</v>
      </c>
      <c r="H162" s="137" t="s">
        <v>193</v>
      </c>
      <c r="I162" s="137">
        <v>13.6</v>
      </c>
      <c r="J162" s="137" t="s">
        <v>193</v>
      </c>
      <c r="K162" s="137" t="s">
        <v>193</v>
      </c>
      <c r="L162" s="137" t="s">
        <v>193</v>
      </c>
      <c r="M162" s="137" t="s">
        <v>193</v>
      </c>
      <c r="N162" s="137" t="s">
        <v>53</v>
      </c>
      <c r="O162" s="137" t="s">
        <v>193</v>
      </c>
      <c r="P162" s="137" t="s">
        <v>53</v>
      </c>
      <c r="Q162" s="137" t="s">
        <v>193</v>
      </c>
      <c r="R162" s="137" t="s">
        <v>53</v>
      </c>
      <c r="S162" s="137" t="s">
        <v>193</v>
      </c>
      <c r="U162" s="137">
        <f t="shared" si="4"/>
        <v>29</v>
      </c>
      <c r="V162" s="171">
        <f t="shared" si="5"/>
        <v>0</v>
      </c>
    </row>
    <row r="163" spans="1:22" ht="15" customHeight="1" x14ac:dyDescent="0.25">
      <c r="A163" s="137" t="s">
        <v>414</v>
      </c>
      <c r="B163" s="137" t="s">
        <v>418</v>
      </c>
      <c r="C163" s="137">
        <v>2018</v>
      </c>
      <c r="D163" s="137">
        <v>3.1</v>
      </c>
      <c r="E163" s="137" t="s">
        <v>193</v>
      </c>
      <c r="F163" s="137" t="s">
        <v>193</v>
      </c>
      <c r="G163" s="137" t="s">
        <v>193</v>
      </c>
      <c r="H163" s="137" t="s">
        <v>193</v>
      </c>
      <c r="I163" s="137" t="s">
        <v>193</v>
      </c>
      <c r="J163" s="137">
        <v>3.1</v>
      </c>
      <c r="K163" s="137" t="s">
        <v>193</v>
      </c>
      <c r="L163" s="137" t="s">
        <v>193</v>
      </c>
      <c r="M163" s="137" t="s">
        <v>193</v>
      </c>
      <c r="N163" s="137" t="s">
        <v>53</v>
      </c>
      <c r="O163" s="137" t="s">
        <v>193</v>
      </c>
      <c r="P163" s="137" t="s">
        <v>53</v>
      </c>
      <c r="Q163" s="137" t="s">
        <v>193</v>
      </c>
      <c r="R163" s="137" t="s">
        <v>53</v>
      </c>
      <c r="S163" s="137" t="s">
        <v>193</v>
      </c>
      <c r="U163" s="137">
        <f t="shared" si="4"/>
        <v>3.1</v>
      </c>
      <c r="V163" s="171">
        <f t="shared" si="5"/>
        <v>0</v>
      </c>
    </row>
    <row r="164" spans="1:22" ht="15" customHeight="1" x14ac:dyDescent="0.25">
      <c r="A164" s="137" t="s">
        <v>419</v>
      </c>
      <c r="B164" s="137" t="s">
        <v>420</v>
      </c>
      <c r="C164" s="137">
        <v>2018</v>
      </c>
      <c r="D164" s="137">
        <v>44.374000000000002</v>
      </c>
      <c r="E164" s="137">
        <v>26.559000000000001</v>
      </c>
      <c r="F164" s="137">
        <v>0.66300000000000003</v>
      </c>
      <c r="G164" s="137" t="s">
        <v>193</v>
      </c>
      <c r="H164" s="137" t="s">
        <v>193</v>
      </c>
      <c r="I164" s="137">
        <v>8.57</v>
      </c>
      <c r="J164" s="137">
        <v>3.504</v>
      </c>
      <c r="K164" s="137" t="s">
        <v>193</v>
      </c>
      <c r="L164" s="137" t="s">
        <v>193</v>
      </c>
      <c r="M164" s="137">
        <v>5.0789999999999997</v>
      </c>
      <c r="N164" s="137" t="s">
        <v>53</v>
      </c>
      <c r="O164" s="137" t="s">
        <v>193</v>
      </c>
      <c r="P164" s="137" t="s">
        <v>53</v>
      </c>
      <c r="Q164" s="137" t="s">
        <v>193</v>
      </c>
      <c r="R164" s="137" t="s">
        <v>53</v>
      </c>
      <c r="S164" s="137" t="s">
        <v>193</v>
      </c>
      <c r="U164" s="137">
        <f t="shared" si="4"/>
        <v>44.374000000000002</v>
      </c>
      <c r="V164" s="171">
        <f t="shared" si="5"/>
        <v>0</v>
      </c>
    </row>
    <row r="165" spans="1:22" ht="15" customHeight="1" x14ac:dyDescent="0.25">
      <c r="A165" s="137" t="s">
        <v>421</v>
      </c>
      <c r="B165" s="137" t="s">
        <v>422</v>
      </c>
      <c r="C165" s="137">
        <v>2018</v>
      </c>
      <c r="D165" s="137">
        <v>75.518000000000001</v>
      </c>
      <c r="E165" s="137" t="s">
        <v>193</v>
      </c>
      <c r="F165" s="137" t="s">
        <v>193</v>
      </c>
      <c r="G165" s="137">
        <v>75.518000000000001</v>
      </c>
      <c r="H165" s="137">
        <v>51.064999999999998</v>
      </c>
      <c r="I165" s="137" t="s">
        <v>193</v>
      </c>
      <c r="J165" s="137" t="s">
        <v>193</v>
      </c>
      <c r="K165" s="137" t="s">
        <v>193</v>
      </c>
      <c r="L165" s="137" t="s">
        <v>193</v>
      </c>
      <c r="M165" s="137" t="s">
        <v>193</v>
      </c>
      <c r="N165" s="137" t="s">
        <v>193</v>
      </c>
      <c r="O165" s="137" t="s">
        <v>193</v>
      </c>
      <c r="P165" s="137" t="s">
        <v>193</v>
      </c>
      <c r="Q165" s="137" t="s">
        <v>193</v>
      </c>
      <c r="R165" s="137" t="s">
        <v>193</v>
      </c>
      <c r="S165" s="137" t="s">
        <v>193</v>
      </c>
      <c r="U165" s="137">
        <f t="shared" si="4"/>
        <v>75.518000000000001</v>
      </c>
      <c r="V165" s="171">
        <f t="shared" si="5"/>
        <v>0</v>
      </c>
    </row>
    <row r="166" spans="1:22" ht="15" customHeight="1" x14ac:dyDescent="0.25">
      <c r="A166" s="137" t="s">
        <v>421</v>
      </c>
      <c r="B166" s="137" t="s">
        <v>423</v>
      </c>
      <c r="C166" s="137">
        <v>2018</v>
      </c>
      <c r="D166" s="137">
        <v>220.43</v>
      </c>
      <c r="E166" s="137">
        <v>89.14</v>
      </c>
      <c r="F166" s="137">
        <v>54.36</v>
      </c>
      <c r="G166" s="137">
        <v>12.98</v>
      </c>
      <c r="H166" s="137" t="s">
        <v>193</v>
      </c>
      <c r="I166" s="137">
        <v>29.47</v>
      </c>
      <c r="J166" s="137">
        <v>34.11</v>
      </c>
      <c r="K166" s="137">
        <v>0.38</v>
      </c>
      <c r="L166" s="137" t="s">
        <v>193</v>
      </c>
      <c r="M166" s="137" t="s">
        <v>193</v>
      </c>
      <c r="N166" s="137" t="s">
        <v>193</v>
      </c>
      <c r="O166" s="137" t="s">
        <v>193</v>
      </c>
      <c r="P166" s="137" t="s">
        <v>193</v>
      </c>
      <c r="Q166" s="137" t="s">
        <v>193</v>
      </c>
      <c r="R166" s="137" t="s">
        <v>193</v>
      </c>
      <c r="S166" s="137" t="s">
        <v>193</v>
      </c>
      <c r="U166" s="137">
        <f t="shared" si="4"/>
        <v>220.43</v>
      </c>
      <c r="V166" s="171">
        <f t="shared" si="5"/>
        <v>0</v>
      </c>
    </row>
    <row r="167" spans="1:22" ht="15" customHeight="1" x14ac:dyDescent="0.25">
      <c r="A167" s="137" t="s">
        <v>424</v>
      </c>
      <c r="B167" s="137" t="s">
        <v>425</v>
      </c>
      <c r="C167" s="137">
        <v>2018</v>
      </c>
      <c r="D167" s="137">
        <v>12.323</v>
      </c>
      <c r="E167" s="137">
        <v>8.1609999999999996</v>
      </c>
      <c r="F167" s="137">
        <v>5.8999999999999997E-2</v>
      </c>
      <c r="G167" s="137" t="s">
        <v>193</v>
      </c>
      <c r="H167" s="137" t="s">
        <v>193</v>
      </c>
      <c r="I167" s="137">
        <v>4.05</v>
      </c>
      <c r="J167" s="137">
        <v>5.2999999999999999E-2</v>
      </c>
      <c r="K167" s="137" t="s">
        <v>193</v>
      </c>
      <c r="L167" s="137" t="s">
        <v>193</v>
      </c>
      <c r="M167" s="137" t="s">
        <v>193</v>
      </c>
      <c r="N167" s="137" t="s">
        <v>53</v>
      </c>
      <c r="O167" s="137" t="s">
        <v>193</v>
      </c>
      <c r="P167" s="137" t="s">
        <v>53</v>
      </c>
      <c r="Q167" s="137" t="s">
        <v>193</v>
      </c>
      <c r="R167" s="137" t="s">
        <v>53</v>
      </c>
      <c r="S167" s="137" t="s">
        <v>193</v>
      </c>
      <c r="U167" s="137">
        <f t="shared" si="4"/>
        <v>12.323</v>
      </c>
      <c r="V167" s="171">
        <f t="shared" si="5"/>
        <v>0</v>
      </c>
    </row>
    <row r="168" spans="1:22" ht="15" customHeight="1" x14ac:dyDescent="0.25">
      <c r="A168" s="137" t="s">
        <v>426</v>
      </c>
      <c r="B168" s="137" t="s">
        <v>427</v>
      </c>
      <c r="C168" s="137">
        <v>2018</v>
      </c>
      <c r="D168" s="137">
        <v>14.1</v>
      </c>
      <c r="E168" s="137">
        <v>4.8</v>
      </c>
      <c r="F168" s="137">
        <v>4.2</v>
      </c>
      <c r="G168" s="137">
        <v>0.46</v>
      </c>
      <c r="H168" s="137" t="s">
        <v>193</v>
      </c>
      <c r="I168" s="137">
        <v>1</v>
      </c>
      <c r="J168" s="137">
        <v>3.7</v>
      </c>
      <c r="K168" s="137" t="s">
        <v>193</v>
      </c>
      <c r="L168" s="137" t="s">
        <v>193</v>
      </c>
      <c r="M168" s="137" t="s">
        <v>193</v>
      </c>
      <c r="N168" s="137" t="s">
        <v>53</v>
      </c>
      <c r="O168" s="137" t="s">
        <v>193</v>
      </c>
      <c r="P168" s="137" t="s">
        <v>53</v>
      </c>
      <c r="Q168" s="137" t="s">
        <v>193</v>
      </c>
      <c r="R168" s="137" t="s">
        <v>53</v>
      </c>
      <c r="S168" s="137" t="s">
        <v>193</v>
      </c>
      <c r="U168" s="137">
        <f t="shared" si="4"/>
        <v>14.1</v>
      </c>
      <c r="V168" s="171">
        <f t="shared" si="5"/>
        <v>0</v>
      </c>
    </row>
    <row r="169" spans="1:22" ht="15" customHeight="1" x14ac:dyDescent="0.25">
      <c r="A169" s="137" t="s">
        <v>426</v>
      </c>
      <c r="B169" s="137" t="s">
        <v>428</v>
      </c>
      <c r="C169" s="137">
        <v>2018</v>
      </c>
      <c r="D169" s="137">
        <v>4.4000000000000004</v>
      </c>
      <c r="E169" s="137">
        <v>0.9</v>
      </c>
      <c r="F169" s="137" t="s">
        <v>193</v>
      </c>
      <c r="G169" s="137">
        <v>3.3</v>
      </c>
      <c r="H169" s="137" t="s">
        <v>193</v>
      </c>
      <c r="I169" s="137">
        <v>0.17</v>
      </c>
      <c r="J169" s="137" t="s">
        <v>193</v>
      </c>
      <c r="K169" s="137" t="s">
        <v>193</v>
      </c>
      <c r="L169" s="137" t="s">
        <v>193</v>
      </c>
      <c r="M169" s="137" t="s">
        <v>193</v>
      </c>
      <c r="N169" s="137" t="s">
        <v>53</v>
      </c>
      <c r="O169" s="137" t="s">
        <v>193</v>
      </c>
      <c r="P169" s="137" t="s">
        <v>53</v>
      </c>
      <c r="Q169" s="137" t="s">
        <v>193</v>
      </c>
      <c r="R169" s="137" t="s">
        <v>53</v>
      </c>
      <c r="S169" s="137" t="s">
        <v>193</v>
      </c>
      <c r="U169" s="137">
        <f t="shared" si="4"/>
        <v>4.4000000000000004</v>
      </c>
      <c r="V169" s="171">
        <f t="shared" si="5"/>
        <v>0</v>
      </c>
    </row>
    <row r="170" spans="1:22" ht="15" customHeight="1" x14ac:dyDescent="0.25">
      <c r="A170" s="137" t="s">
        <v>426</v>
      </c>
      <c r="B170" s="137" t="s">
        <v>429</v>
      </c>
      <c r="C170" s="137">
        <v>2018</v>
      </c>
      <c r="D170" s="137">
        <v>85</v>
      </c>
      <c r="E170" s="137">
        <v>31.5</v>
      </c>
      <c r="F170" s="137">
        <v>10.9</v>
      </c>
      <c r="G170" s="137">
        <v>18.2</v>
      </c>
      <c r="H170" s="137">
        <v>2.2000000000000002</v>
      </c>
      <c r="I170" s="137">
        <v>11.6</v>
      </c>
      <c r="J170" s="137">
        <v>13.9</v>
      </c>
      <c r="K170" s="137">
        <v>0.8</v>
      </c>
      <c r="L170" s="137" t="s">
        <v>193</v>
      </c>
      <c r="M170" s="137" t="s">
        <v>193</v>
      </c>
      <c r="N170" s="137" t="s">
        <v>53</v>
      </c>
      <c r="O170" s="137" t="s">
        <v>193</v>
      </c>
      <c r="P170" s="137" t="s">
        <v>53</v>
      </c>
      <c r="Q170" s="137" t="s">
        <v>193</v>
      </c>
      <c r="R170" s="137" t="s">
        <v>53</v>
      </c>
      <c r="S170" s="137" t="s">
        <v>193</v>
      </c>
      <c r="U170" s="137">
        <f t="shared" si="4"/>
        <v>85</v>
      </c>
      <c r="V170" s="171">
        <f t="shared" si="5"/>
        <v>0</v>
      </c>
    </row>
    <row r="171" spans="1:22" ht="15" customHeight="1" x14ac:dyDescent="0.25">
      <c r="A171" s="137" t="s">
        <v>426</v>
      </c>
      <c r="B171" s="137" t="s">
        <v>430</v>
      </c>
      <c r="C171" s="137">
        <v>2018</v>
      </c>
      <c r="D171" s="137" t="s">
        <v>193</v>
      </c>
      <c r="E171" s="137" t="s">
        <v>193</v>
      </c>
      <c r="F171" s="137" t="s">
        <v>193</v>
      </c>
      <c r="G171" s="137" t="s">
        <v>193</v>
      </c>
      <c r="H171" s="137" t="s">
        <v>193</v>
      </c>
      <c r="I171" s="137" t="s">
        <v>193</v>
      </c>
      <c r="J171" s="137" t="s">
        <v>193</v>
      </c>
      <c r="K171" s="137" t="s">
        <v>193</v>
      </c>
      <c r="L171" s="137" t="s">
        <v>193</v>
      </c>
      <c r="M171" s="137" t="s">
        <v>193</v>
      </c>
      <c r="N171" s="137" t="s">
        <v>53</v>
      </c>
      <c r="O171" s="137" t="s">
        <v>193</v>
      </c>
      <c r="P171" s="137" t="s">
        <v>53</v>
      </c>
      <c r="Q171" s="137" t="s">
        <v>193</v>
      </c>
      <c r="R171" s="137" t="s">
        <v>53</v>
      </c>
      <c r="S171" s="137" t="s">
        <v>193</v>
      </c>
      <c r="U171" s="137">
        <f t="shared" si="4"/>
        <v>0</v>
      </c>
      <c r="V171" s="171">
        <f t="shared" si="5"/>
        <v>0</v>
      </c>
    </row>
    <row r="172" spans="1:22" ht="15" customHeight="1" x14ac:dyDescent="0.25">
      <c r="A172" s="137" t="s">
        <v>426</v>
      </c>
      <c r="B172" s="137" t="s">
        <v>431</v>
      </c>
      <c r="C172" s="137">
        <v>2018</v>
      </c>
      <c r="D172" s="137">
        <v>3.8</v>
      </c>
      <c r="E172" s="137">
        <v>0.9</v>
      </c>
      <c r="F172" s="137" t="s">
        <v>193</v>
      </c>
      <c r="G172" s="137">
        <v>2.2999999999999998</v>
      </c>
      <c r="H172" s="137" t="s">
        <v>193</v>
      </c>
      <c r="I172" s="137">
        <v>0.2</v>
      </c>
      <c r="J172" s="137">
        <v>0.3</v>
      </c>
      <c r="K172" s="137" t="s">
        <v>193</v>
      </c>
      <c r="L172" s="137" t="s">
        <v>193</v>
      </c>
      <c r="M172" s="137" t="s">
        <v>193</v>
      </c>
      <c r="N172" s="137" t="s">
        <v>53</v>
      </c>
      <c r="O172" s="137" t="s">
        <v>193</v>
      </c>
      <c r="P172" s="137" t="s">
        <v>53</v>
      </c>
      <c r="Q172" s="137" t="s">
        <v>193</v>
      </c>
      <c r="R172" s="137" t="s">
        <v>53</v>
      </c>
      <c r="S172" s="137" t="s">
        <v>193</v>
      </c>
      <c r="U172" s="137">
        <f t="shared" si="4"/>
        <v>3.8</v>
      </c>
      <c r="V172" s="171">
        <f t="shared" si="5"/>
        <v>0</v>
      </c>
    </row>
    <row r="173" spans="1:22" ht="15" customHeight="1" x14ac:dyDescent="0.25">
      <c r="A173" s="137" t="s">
        <v>432</v>
      </c>
      <c r="B173" s="137" t="s">
        <v>433</v>
      </c>
      <c r="C173" s="137">
        <v>2018</v>
      </c>
      <c r="D173" s="137">
        <v>142.9</v>
      </c>
      <c r="E173" s="137">
        <v>43.7</v>
      </c>
      <c r="F173" s="137">
        <v>31.1</v>
      </c>
      <c r="G173" s="137">
        <v>25.8</v>
      </c>
      <c r="H173" s="137" t="s">
        <v>193</v>
      </c>
      <c r="I173" s="137">
        <v>16.399999999999999</v>
      </c>
      <c r="J173" s="137">
        <v>19.600000000000001</v>
      </c>
      <c r="K173" s="137">
        <v>0</v>
      </c>
      <c r="L173" s="137">
        <v>0</v>
      </c>
      <c r="M173" s="137">
        <v>0</v>
      </c>
      <c r="N173" s="137" t="s">
        <v>1083</v>
      </c>
      <c r="O173" s="137">
        <v>3.5</v>
      </c>
      <c r="P173" s="137" t="s">
        <v>53</v>
      </c>
      <c r="Q173" s="137" t="s">
        <v>193</v>
      </c>
      <c r="R173" s="137" t="s">
        <v>53</v>
      </c>
      <c r="S173" s="137" t="s">
        <v>193</v>
      </c>
      <c r="U173" s="137">
        <f t="shared" si="4"/>
        <v>142.9</v>
      </c>
      <c r="V173" s="171">
        <f t="shared" si="5"/>
        <v>3.5</v>
      </c>
    </row>
    <row r="174" spans="1:22" ht="15" customHeight="1" x14ac:dyDescent="0.25">
      <c r="A174" s="137" t="s">
        <v>434</v>
      </c>
      <c r="B174" s="137" t="s">
        <v>435</v>
      </c>
      <c r="C174" s="137">
        <v>2018</v>
      </c>
      <c r="D174" s="137">
        <v>8.1</v>
      </c>
      <c r="E174" s="137">
        <v>3</v>
      </c>
      <c r="F174" s="137">
        <v>0.8</v>
      </c>
      <c r="G174" s="137">
        <v>0.2</v>
      </c>
      <c r="H174" s="137">
        <v>0</v>
      </c>
      <c r="I174" s="137">
        <v>1.7</v>
      </c>
      <c r="J174" s="137">
        <v>2.4</v>
      </c>
      <c r="K174" s="137">
        <v>0</v>
      </c>
      <c r="L174" s="137">
        <v>0</v>
      </c>
      <c r="M174" s="137">
        <v>0</v>
      </c>
      <c r="N174" s="137" t="s">
        <v>53</v>
      </c>
      <c r="O174" s="137" t="s">
        <v>193</v>
      </c>
      <c r="P174" s="137" t="s">
        <v>53</v>
      </c>
      <c r="Q174" s="137" t="s">
        <v>193</v>
      </c>
      <c r="R174" s="137" t="s">
        <v>53</v>
      </c>
      <c r="S174" s="137" t="s">
        <v>193</v>
      </c>
      <c r="U174" s="137">
        <f t="shared" si="4"/>
        <v>8.1</v>
      </c>
      <c r="V174" s="171">
        <f t="shared" si="5"/>
        <v>0</v>
      </c>
    </row>
    <row r="175" spans="1:22" ht="15" customHeight="1" x14ac:dyDescent="0.25">
      <c r="A175" s="137" t="s">
        <v>434</v>
      </c>
      <c r="B175" s="137" t="s">
        <v>436</v>
      </c>
      <c r="C175" s="137">
        <v>2018</v>
      </c>
      <c r="D175" s="137">
        <v>10.5</v>
      </c>
      <c r="E175" s="137">
        <v>4.4000000000000004</v>
      </c>
      <c r="F175" s="137">
        <v>1.2</v>
      </c>
      <c r="G175" s="137">
        <v>2.1</v>
      </c>
      <c r="H175" s="137">
        <v>0</v>
      </c>
      <c r="I175" s="137">
        <v>1.4</v>
      </c>
      <c r="J175" s="137">
        <v>1.4</v>
      </c>
      <c r="K175" s="137">
        <v>0</v>
      </c>
      <c r="L175" s="137">
        <v>0</v>
      </c>
      <c r="M175" s="137">
        <v>0</v>
      </c>
      <c r="N175" s="137" t="s">
        <v>53</v>
      </c>
      <c r="O175" s="137" t="s">
        <v>193</v>
      </c>
      <c r="P175" s="137" t="s">
        <v>53</v>
      </c>
      <c r="Q175" s="137" t="s">
        <v>193</v>
      </c>
      <c r="R175" s="137" t="s">
        <v>53</v>
      </c>
      <c r="S175" s="137" t="s">
        <v>193</v>
      </c>
      <c r="U175" s="137">
        <f t="shared" si="4"/>
        <v>10.5</v>
      </c>
      <c r="V175" s="171">
        <f t="shared" si="5"/>
        <v>0</v>
      </c>
    </row>
    <row r="176" spans="1:22" ht="15" customHeight="1" x14ac:dyDescent="0.25">
      <c r="A176" s="137" t="s">
        <v>434</v>
      </c>
      <c r="B176" s="137" t="s">
        <v>437</v>
      </c>
      <c r="C176" s="137">
        <v>2018</v>
      </c>
      <c r="D176" s="137">
        <v>63.1</v>
      </c>
      <c r="E176" s="137">
        <v>28.4</v>
      </c>
      <c r="F176" s="137">
        <v>8.9</v>
      </c>
      <c r="G176" s="137">
        <v>3.3</v>
      </c>
      <c r="H176" s="137">
        <v>0</v>
      </c>
      <c r="I176" s="137">
        <v>9.6999999999999993</v>
      </c>
      <c r="J176" s="137">
        <v>12.5</v>
      </c>
      <c r="K176" s="137">
        <v>0</v>
      </c>
      <c r="L176" s="137">
        <v>0.3</v>
      </c>
      <c r="M176" s="137">
        <v>0</v>
      </c>
      <c r="N176" s="137" t="s">
        <v>53</v>
      </c>
      <c r="O176" s="137" t="s">
        <v>193</v>
      </c>
      <c r="P176" s="137" t="s">
        <v>53</v>
      </c>
      <c r="Q176" s="137" t="s">
        <v>193</v>
      </c>
      <c r="R176" s="137" t="s">
        <v>53</v>
      </c>
      <c r="S176" s="137" t="s">
        <v>193</v>
      </c>
      <c r="U176" s="137">
        <f t="shared" si="4"/>
        <v>63.1</v>
      </c>
      <c r="V176" s="171">
        <f t="shared" si="5"/>
        <v>0</v>
      </c>
    </row>
    <row r="177" spans="1:22" ht="15" customHeight="1" x14ac:dyDescent="0.25">
      <c r="A177" s="137" t="s">
        <v>438</v>
      </c>
      <c r="B177" s="137" t="s">
        <v>439</v>
      </c>
      <c r="C177" s="137">
        <v>2018</v>
      </c>
      <c r="D177" s="137">
        <v>789.2</v>
      </c>
      <c r="E177" s="137">
        <v>265</v>
      </c>
      <c r="F177" s="137">
        <v>201.3</v>
      </c>
      <c r="G177" s="137">
        <v>7</v>
      </c>
      <c r="H177" s="137" t="s">
        <v>193</v>
      </c>
      <c r="I177" s="137">
        <v>99.1</v>
      </c>
      <c r="J177" s="137">
        <v>152.5</v>
      </c>
      <c r="K177" s="137">
        <v>7.4</v>
      </c>
      <c r="L177" s="137">
        <v>0.9</v>
      </c>
      <c r="M177" s="137">
        <v>56</v>
      </c>
      <c r="N177" s="137" t="s">
        <v>53</v>
      </c>
      <c r="O177" s="137" t="s">
        <v>193</v>
      </c>
      <c r="P177" s="137" t="s">
        <v>53</v>
      </c>
      <c r="Q177" s="137" t="s">
        <v>193</v>
      </c>
      <c r="R177" s="137" t="s">
        <v>53</v>
      </c>
      <c r="S177" s="137" t="s">
        <v>193</v>
      </c>
      <c r="U177" s="137">
        <f t="shared" si="4"/>
        <v>789.2</v>
      </c>
      <c r="V177" s="171">
        <f t="shared" si="5"/>
        <v>0</v>
      </c>
    </row>
    <row r="178" spans="1:22" ht="15" customHeight="1" x14ac:dyDescent="0.25">
      <c r="A178" s="137" t="s">
        <v>438</v>
      </c>
      <c r="B178" s="137" t="s">
        <v>440</v>
      </c>
      <c r="C178" s="137">
        <v>2018</v>
      </c>
      <c r="D178" s="137">
        <v>6.14</v>
      </c>
      <c r="E178" s="137" t="s">
        <v>193</v>
      </c>
      <c r="F178" s="137" t="s">
        <v>193</v>
      </c>
      <c r="G178" s="137" t="s">
        <v>193</v>
      </c>
      <c r="H178" s="137" t="s">
        <v>193</v>
      </c>
      <c r="I178" s="137">
        <v>1.18</v>
      </c>
      <c r="J178" s="137">
        <v>4.96</v>
      </c>
      <c r="K178" s="137" t="s">
        <v>193</v>
      </c>
      <c r="L178" s="137" t="s">
        <v>193</v>
      </c>
      <c r="M178" s="137" t="s">
        <v>193</v>
      </c>
      <c r="N178" s="137" t="s">
        <v>53</v>
      </c>
      <c r="O178" s="137" t="s">
        <v>193</v>
      </c>
      <c r="P178" s="137" t="s">
        <v>53</v>
      </c>
      <c r="Q178" s="137" t="s">
        <v>193</v>
      </c>
      <c r="R178" s="137" t="s">
        <v>53</v>
      </c>
      <c r="S178" s="137" t="s">
        <v>193</v>
      </c>
      <c r="U178" s="137">
        <f t="shared" si="4"/>
        <v>6.14</v>
      </c>
      <c r="V178" s="171">
        <f t="shared" si="5"/>
        <v>0</v>
      </c>
    </row>
    <row r="179" spans="1:22" ht="15" customHeight="1" x14ac:dyDescent="0.25">
      <c r="A179" s="137" t="s">
        <v>438</v>
      </c>
      <c r="B179" s="137" t="s">
        <v>441</v>
      </c>
      <c r="C179" s="137">
        <v>2018</v>
      </c>
      <c r="D179" s="137">
        <v>22.4</v>
      </c>
      <c r="E179" s="137">
        <v>4.9000000000000004</v>
      </c>
      <c r="F179" s="137">
        <v>11.6</v>
      </c>
      <c r="G179" s="137" t="s">
        <v>193</v>
      </c>
      <c r="H179" s="137" t="s">
        <v>193</v>
      </c>
      <c r="I179" s="137">
        <v>4.0999999999999996</v>
      </c>
      <c r="J179" s="137">
        <v>1.8</v>
      </c>
      <c r="K179" s="137" t="s">
        <v>193</v>
      </c>
      <c r="L179" s="137" t="s">
        <v>193</v>
      </c>
      <c r="M179" s="137" t="s">
        <v>193</v>
      </c>
      <c r="N179" s="137" t="s">
        <v>53</v>
      </c>
      <c r="O179" s="137" t="s">
        <v>193</v>
      </c>
      <c r="P179" s="137" t="s">
        <v>53</v>
      </c>
      <c r="Q179" s="137" t="s">
        <v>193</v>
      </c>
      <c r="R179" s="137" t="s">
        <v>53</v>
      </c>
      <c r="S179" s="137" t="s">
        <v>193</v>
      </c>
      <c r="U179" s="137">
        <f t="shared" si="4"/>
        <v>22.4</v>
      </c>
      <c r="V179" s="171">
        <f t="shared" si="5"/>
        <v>0</v>
      </c>
    </row>
    <row r="180" spans="1:22" ht="15" customHeight="1" x14ac:dyDescent="0.25">
      <c r="A180" s="137" t="s">
        <v>442</v>
      </c>
      <c r="B180" s="137" t="s">
        <v>443</v>
      </c>
      <c r="C180" s="137">
        <v>2018</v>
      </c>
      <c r="D180" s="137">
        <v>27</v>
      </c>
      <c r="E180" s="137">
        <v>7.6</v>
      </c>
      <c r="F180" s="137" t="s">
        <v>193</v>
      </c>
      <c r="G180" s="137">
        <v>6.2</v>
      </c>
      <c r="H180" s="137" t="s">
        <v>193</v>
      </c>
      <c r="I180" s="137">
        <v>8.6999999999999993</v>
      </c>
      <c r="J180" s="137">
        <v>4.5999999999999996</v>
      </c>
      <c r="K180" s="137" t="s">
        <v>193</v>
      </c>
      <c r="L180" s="137" t="s">
        <v>193</v>
      </c>
      <c r="M180" s="137" t="s">
        <v>193</v>
      </c>
      <c r="N180" s="137" t="s">
        <v>53</v>
      </c>
      <c r="O180" s="137" t="s">
        <v>193</v>
      </c>
      <c r="P180" s="137" t="s">
        <v>53</v>
      </c>
      <c r="Q180" s="137" t="s">
        <v>193</v>
      </c>
      <c r="R180" s="137" t="s">
        <v>53</v>
      </c>
      <c r="S180" s="137" t="s">
        <v>193</v>
      </c>
      <c r="U180" s="137">
        <f t="shared" si="4"/>
        <v>27</v>
      </c>
      <c r="V180" s="171">
        <f t="shared" si="5"/>
        <v>0</v>
      </c>
    </row>
    <row r="181" spans="1:22" ht="15" customHeight="1" x14ac:dyDescent="0.25">
      <c r="A181" s="137" t="s">
        <v>444</v>
      </c>
      <c r="B181" s="137" t="s">
        <v>445</v>
      </c>
      <c r="C181" s="137">
        <v>2018</v>
      </c>
      <c r="D181" s="137">
        <v>93.07</v>
      </c>
      <c r="E181" s="137">
        <v>37.4</v>
      </c>
      <c r="F181" s="137">
        <v>11.45</v>
      </c>
      <c r="G181" s="137">
        <v>15.62</v>
      </c>
      <c r="H181" s="137">
        <v>7.19</v>
      </c>
      <c r="I181" s="137">
        <v>16.149999999999999</v>
      </c>
      <c r="J181" s="137">
        <v>13.02</v>
      </c>
      <c r="K181" s="137" t="s">
        <v>193</v>
      </c>
      <c r="L181" s="137" t="s">
        <v>193</v>
      </c>
      <c r="M181" s="137" t="s">
        <v>193</v>
      </c>
      <c r="N181" s="137" t="s">
        <v>193</v>
      </c>
      <c r="O181" s="137" t="s">
        <v>193</v>
      </c>
      <c r="P181" s="137" t="s">
        <v>193</v>
      </c>
      <c r="Q181" s="137" t="s">
        <v>193</v>
      </c>
      <c r="R181" s="137" t="s">
        <v>193</v>
      </c>
      <c r="S181" s="137" t="s">
        <v>193</v>
      </c>
      <c r="U181" s="137">
        <f t="shared" si="4"/>
        <v>93.07</v>
      </c>
      <c r="V181" s="171">
        <f t="shared" si="5"/>
        <v>0</v>
      </c>
    </row>
    <row r="182" spans="1:22" ht="15" customHeight="1" x14ac:dyDescent="0.25">
      <c r="A182" s="137" t="s">
        <v>444</v>
      </c>
      <c r="B182" s="137" t="s">
        <v>446</v>
      </c>
      <c r="C182" s="137">
        <v>2018</v>
      </c>
      <c r="D182" s="137">
        <v>1.226</v>
      </c>
      <c r="E182" s="137">
        <v>0.66200000000000003</v>
      </c>
      <c r="F182" s="137" t="s">
        <v>193</v>
      </c>
      <c r="G182" s="137" t="s">
        <v>193</v>
      </c>
      <c r="H182" s="137" t="s">
        <v>193</v>
      </c>
      <c r="I182" s="137">
        <v>0.56399999999999995</v>
      </c>
      <c r="J182" s="137" t="s">
        <v>193</v>
      </c>
      <c r="K182" s="137" t="s">
        <v>193</v>
      </c>
      <c r="L182" s="137" t="s">
        <v>193</v>
      </c>
      <c r="M182" s="137" t="s">
        <v>193</v>
      </c>
      <c r="N182" s="137" t="s">
        <v>193</v>
      </c>
      <c r="O182" s="137" t="s">
        <v>193</v>
      </c>
      <c r="P182" s="137" t="s">
        <v>193</v>
      </c>
      <c r="Q182" s="137" t="s">
        <v>193</v>
      </c>
      <c r="R182" s="137" t="s">
        <v>193</v>
      </c>
      <c r="S182" s="137" t="s">
        <v>193</v>
      </c>
      <c r="U182" s="137">
        <f t="shared" si="4"/>
        <v>1.226</v>
      </c>
      <c r="V182" s="171">
        <f t="shared" si="5"/>
        <v>0</v>
      </c>
    </row>
    <row r="183" spans="1:22" ht="15" customHeight="1" x14ac:dyDescent="0.25">
      <c r="A183" s="137" t="s">
        <v>447</v>
      </c>
      <c r="B183" s="137" t="s">
        <v>448</v>
      </c>
      <c r="C183" s="137">
        <v>2018</v>
      </c>
      <c r="D183" s="137">
        <v>176.1</v>
      </c>
      <c r="E183" s="137">
        <v>63.5</v>
      </c>
      <c r="F183" s="137">
        <v>37.700000000000003</v>
      </c>
      <c r="G183" s="137">
        <v>28.4</v>
      </c>
      <c r="H183" s="137" t="s">
        <v>193</v>
      </c>
      <c r="I183" s="137">
        <v>23.8</v>
      </c>
      <c r="J183" s="137">
        <v>22.2</v>
      </c>
      <c r="K183" s="137">
        <v>0.2</v>
      </c>
      <c r="L183" s="137" t="s">
        <v>193</v>
      </c>
      <c r="M183" s="137" t="s">
        <v>193</v>
      </c>
      <c r="N183" s="137" t="s">
        <v>1084</v>
      </c>
      <c r="O183" s="137">
        <v>0.22</v>
      </c>
      <c r="P183" s="137" t="s">
        <v>219</v>
      </c>
      <c r="Q183" s="137" t="s">
        <v>193</v>
      </c>
      <c r="R183" s="137" t="s">
        <v>219</v>
      </c>
      <c r="S183" s="137" t="s">
        <v>193</v>
      </c>
      <c r="U183" s="137">
        <f t="shared" si="4"/>
        <v>176.1</v>
      </c>
      <c r="V183" s="171">
        <f t="shared" si="5"/>
        <v>0.22</v>
      </c>
    </row>
    <row r="184" spans="1:22" ht="15" customHeight="1" x14ac:dyDescent="0.25">
      <c r="A184" s="137" t="s">
        <v>449</v>
      </c>
      <c r="B184" s="137" t="s">
        <v>450</v>
      </c>
      <c r="C184" s="137">
        <v>2018</v>
      </c>
      <c r="D184" s="137">
        <v>17.8</v>
      </c>
      <c r="E184" s="137">
        <v>6.4</v>
      </c>
      <c r="F184" s="137">
        <v>3.3</v>
      </c>
      <c r="G184" s="137">
        <v>2.1</v>
      </c>
      <c r="H184" s="137">
        <v>0</v>
      </c>
      <c r="I184" s="137">
        <v>5.3</v>
      </c>
      <c r="J184" s="137">
        <v>0.7</v>
      </c>
      <c r="K184" s="137">
        <v>0</v>
      </c>
      <c r="L184" s="137" t="s">
        <v>193</v>
      </c>
      <c r="M184" s="137" t="s">
        <v>193</v>
      </c>
      <c r="N184" s="137" t="s">
        <v>53</v>
      </c>
      <c r="O184" s="137" t="s">
        <v>193</v>
      </c>
      <c r="P184" s="137" t="s">
        <v>53</v>
      </c>
      <c r="Q184" s="137" t="s">
        <v>193</v>
      </c>
      <c r="R184" s="137" t="s">
        <v>53</v>
      </c>
      <c r="S184" s="137" t="s">
        <v>193</v>
      </c>
      <c r="U184" s="137">
        <f t="shared" si="4"/>
        <v>17.8</v>
      </c>
      <c r="V184" s="171">
        <f t="shared" si="5"/>
        <v>0</v>
      </c>
    </row>
    <row r="185" spans="1:22" ht="15" customHeight="1" x14ac:dyDescent="0.25">
      <c r="A185" s="137" t="s">
        <v>451</v>
      </c>
      <c r="B185" s="137" t="s">
        <v>452</v>
      </c>
      <c r="C185" s="137">
        <v>2018</v>
      </c>
      <c r="D185" s="137" t="s">
        <v>53</v>
      </c>
      <c r="E185" s="137" t="s">
        <v>53</v>
      </c>
      <c r="F185" s="137" t="s">
        <v>53</v>
      </c>
      <c r="G185" s="137" t="s">
        <v>53</v>
      </c>
      <c r="H185" s="137" t="s">
        <v>53</v>
      </c>
      <c r="I185" s="137" t="s">
        <v>53</v>
      </c>
      <c r="J185" s="137" t="s">
        <v>53</v>
      </c>
      <c r="K185" s="137" t="s">
        <v>53</v>
      </c>
      <c r="L185" s="137" t="s">
        <v>53</v>
      </c>
      <c r="M185" s="137" t="s">
        <v>53</v>
      </c>
      <c r="N185" s="137" t="s">
        <v>53</v>
      </c>
      <c r="O185" s="137" t="s">
        <v>53</v>
      </c>
      <c r="P185" s="137" t="s">
        <v>53</v>
      </c>
      <c r="Q185" s="137" t="s">
        <v>53</v>
      </c>
      <c r="R185" s="137" t="s">
        <v>53</v>
      </c>
      <c r="S185" s="137" t="s">
        <v>53</v>
      </c>
      <c r="U185" s="137">
        <f t="shared" si="4"/>
        <v>0</v>
      </c>
      <c r="V185" s="171">
        <f t="shared" si="5"/>
        <v>0</v>
      </c>
    </row>
    <row r="186" spans="1:22" ht="15" customHeight="1" x14ac:dyDescent="0.25">
      <c r="A186" s="137" t="s">
        <v>453</v>
      </c>
      <c r="B186" s="137" t="s">
        <v>454</v>
      </c>
      <c r="C186" s="137">
        <v>2018</v>
      </c>
      <c r="D186" s="137">
        <v>37.799999999999997</v>
      </c>
      <c r="E186" s="137">
        <v>14.8</v>
      </c>
      <c r="F186" s="137">
        <v>4.8</v>
      </c>
      <c r="G186" s="137">
        <v>9</v>
      </c>
      <c r="H186" s="137" t="s">
        <v>193</v>
      </c>
      <c r="I186" s="137">
        <v>8.4</v>
      </c>
      <c r="J186" s="137">
        <v>0.7</v>
      </c>
      <c r="K186" s="137" t="s">
        <v>193</v>
      </c>
      <c r="L186" s="137">
        <v>0.1</v>
      </c>
      <c r="M186" s="137" t="s">
        <v>193</v>
      </c>
      <c r="N186" s="137" t="s">
        <v>53</v>
      </c>
      <c r="O186" s="137" t="s">
        <v>193</v>
      </c>
      <c r="P186" s="137" t="s">
        <v>53</v>
      </c>
      <c r="Q186" s="137" t="s">
        <v>193</v>
      </c>
      <c r="R186" s="137" t="s">
        <v>53</v>
      </c>
      <c r="S186" s="137" t="s">
        <v>193</v>
      </c>
      <c r="U186" s="137">
        <f t="shared" si="4"/>
        <v>37.799999999999997</v>
      </c>
      <c r="V186" s="171">
        <f t="shared" si="5"/>
        <v>0</v>
      </c>
    </row>
    <row r="187" spans="1:22" ht="15" customHeight="1" x14ac:dyDescent="0.25">
      <c r="A187" s="137" t="s">
        <v>453</v>
      </c>
      <c r="B187" s="137" t="s">
        <v>126</v>
      </c>
      <c r="C187" s="137">
        <v>2018</v>
      </c>
      <c r="D187" s="137" t="s">
        <v>193</v>
      </c>
      <c r="E187" s="137" t="s">
        <v>193</v>
      </c>
      <c r="F187" s="137" t="s">
        <v>193</v>
      </c>
      <c r="G187" s="137" t="s">
        <v>193</v>
      </c>
      <c r="H187" s="137" t="s">
        <v>193</v>
      </c>
      <c r="I187" s="137" t="s">
        <v>193</v>
      </c>
      <c r="J187" s="137" t="s">
        <v>193</v>
      </c>
      <c r="K187" s="137" t="s">
        <v>193</v>
      </c>
      <c r="L187" s="137" t="s">
        <v>193</v>
      </c>
      <c r="M187" s="137" t="s">
        <v>193</v>
      </c>
      <c r="N187" s="137" t="s">
        <v>53</v>
      </c>
      <c r="O187" s="137" t="s">
        <v>193</v>
      </c>
      <c r="P187" s="137" t="s">
        <v>53</v>
      </c>
      <c r="Q187" s="137" t="s">
        <v>193</v>
      </c>
      <c r="R187" s="137" t="s">
        <v>53</v>
      </c>
      <c r="S187" s="137" t="s">
        <v>193</v>
      </c>
      <c r="U187" s="137">
        <f t="shared" si="4"/>
        <v>0</v>
      </c>
      <c r="V187" s="171">
        <f t="shared" si="5"/>
        <v>0</v>
      </c>
    </row>
    <row r="188" spans="1:22" ht="15" customHeight="1" x14ac:dyDescent="0.25">
      <c r="A188" s="137" t="s">
        <v>453</v>
      </c>
      <c r="B188" s="137" t="s">
        <v>455</v>
      </c>
      <c r="C188" s="137">
        <v>2018</v>
      </c>
      <c r="D188" s="137">
        <v>1419.33</v>
      </c>
      <c r="E188" s="137">
        <v>538.6</v>
      </c>
      <c r="F188" s="137">
        <v>276.8</v>
      </c>
      <c r="G188" s="137">
        <v>118.3</v>
      </c>
      <c r="H188" s="137">
        <v>9.3000000000000007</v>
      </c>
      <c r="I188" s="137">
        <v>189.1</v>
      </c>
      <c r="J188" s="137">
        <v>199.5</v>
      </c>
      <c r="K188" s="137">
        <v>25.7</v>
      </c>
      <c r="L188" s="137">
        <v>96.6</v>
      </c>
      <c r="M188" s="137" t="s">
        <v>193</v>
      </c>
      <c r="N188" s="137" t="s">
        <v>53</v>
      </c>
      <c r="O188" s="137" t="s">
        <v>193</v>
      </c>
      <c r="P188" s="137" t="s">
        <v>53</v>
      </c>
      <c r="Q188" s="137" t="s">
        <v>193</v>
      </c>
      <c r="R188" s="137" t="s">
        <v>53</v>
      </c>
      <c r="S188" s="137" t="s">
        <v>193</v>
      </c>
      <c r="U188" s="137">
        <f t="shared" si="4"/>
        <v>1419.33</v>
      </c>
      <c r="V188" s="171">
        <f t="shared" si="5"/>
        <v>0</v>
      </c>
    </row>
    <row r="189" spans="1:22" ht="15" customHeight="1" x14ac:dyDescent="0.25">
      <c r="A189" s="137" t="s">
        <v>453</v>
      </c>
      <c r="B189" s="137" t="s">
        <v>456</v>
      </c>
      <c r="C189" s="137">
        <v>2018</v>
      </c>
      <c r="D189" s="137">
        <v>46.040999999999997</v>
      </c>
      <c r="E189" s="137">
        <v>1.0029999999999999</v>
      </c>
      <c r="F189" s="137" t="s">
        <v>193</v>
      </c>
      <c r="G189" s="137">
        <v>0.29599999999999999</v>
      </c>
      <c r="H189" s="137" t="s">
        <v>193</v>
      </c>
      <c r="I189" s="137">
        <v>29.364999999999998</v>
      </c>
      <c r="J189" s="137">
        <v>15.377000000000001</v>
      </c>
      <c r="K189" s="137" t="s">
        <v>193</v>
      </c>
      <c r="L189" s="137" t="s">
        <v>193</v>
      </c>
      <c r="M189" s="137" t="s">
        <v>193</v>
      </c>
      <c r="N189" s="137" t="s">
        <v>53</v>
      </c>
      <c r="O189" s="137" t="s">
        <v>193</v>
      </c>
      <c r="P189" s="137" t="s">
        <v>53</v>
      </c>
      <c r="Q189" s="137" t="s">
        <v>193</v>
      </c>
      <c r="R189" s="137" t="s">
        <v>53</v>
      </c>
      <c r="S189" s="137" t="s">
        <v>193</v>
      </c>
      <c r="U189" s="137">
        <f t="shared" si="4"/>
        <v>46.040999999999997</v>
      </c>
      <c r="V189" s="171">
        <f t="shared" si="5"/>
        <v>0</v>
      </c>
    </row>
    <row r="190" spans="1:22" ht="15" customHeight="1" x14ac:dyDescent="0.25">
      <c r="A190" s="137" t="s">
        <v>457</v>
      </c>
      <c r="B190" s="137" t="s">
        <v>458</v>
      </c>
      <c r="C190" s="137">
        <v>2018</v>
      </c>
      <c r="D190" s="137">
        <v>322.29599999999999</v>
      </c>
      <c r="E190" s="137">
        <v>125.06</v>
      </c>
      <c r="F190" s="137">
        <v>18.978000000000002</v>
      </c>
      <c r="G190" s="137">
        <v>24.914000000000001</v>
      </c>
      <c r="H190" s="137" t="s">
        <v>193</v>
      </c>
      <c r="I190" s="137">
        <v>42.838000000000001</v>
      </c>
      <c r="J190" s="137">
        <v>64.977000000000004</v>
      </c>
      <c r="K190" s="137">
        <v>0.13300000000000001</v>
      </c>
      <c r="L190" s="137">
        <v>5.5670000000000002</v>
      </c>
      <c r="M190" s="137" t="s">
        <v>193</v>
      </c>
      <c r="N190" s="137" t="s">
        <v>1085</v>
      </c>
      <c r="O190" s="137">
        <v>98.918999999999997</v>
      </c>
      <c r="P190" s="137" t="s">
        <v>53</v>
      </c>
      <c r="Q190" s="137" t="s">
        <v>193</v>
      </c>
      <c r="R190" s="137" t="s">
        <v>53</v>
      </c>
      <c r="S190" s="137" t="s">
        <v>193</v>
      </c>
      <c r="U190" s="137">
        <f t="shared" si="4"/>
        <v>322.29599999999999</v>
      </c>
      <c r="V190" s="171">
        <f t="shared" si="5"/>
        <v>98.918999999999997</v>
      </c>
    </row>
    <row r="191" spans="1:22" ht="15" customHeight="1" x14ac:dyDescent="0.25">
      <c r="A191" s="137" t="s">
        <v>457</v>
      </c>
      <c r="B191" s="137" t="s">
        <v>459</v>
      </c>
      <c r="C191" s="137">
        <v>2018</v>
      </c>
      <c r="D191" s="137">
        <v>48.192</v>
      </c>
      <c r="E191" s="137" t="s">
        <v>193</v>
      </c>
      <c r="F191" s="137" t="s">
        <v>193</v>
      </c>
      <c r="G191" s="137" t="s">
        <v>193</v>
      </c>
      <c r="H191" s="137" t="s">
        <v>193</v>
      </c>
      <c r="I191" s="137" t="s">
        <v>193</v>
      </c>
      <c r="J191" s="137" t="s">
        <v>193</v>
      </c>
      <c r="K191" s="137" t="s">
        <v>193</v>
      </c>
      <c r="L191" s="137" t="s">
        <v>193</v>
      </c>
      <c r="M191" s="137" t="s">
        <v>193</v>
      </c>
      <c r="N191" s="137" t="s">
        <v>53</v>
      </c>
      <c r="O191" s="137" t="s">
        <v>193</v>
      </c>
      <c r="P191" s="137" t="s">
        <v>53</v>
      </c>
      <c r="Q191" s="137" t="s">
        <v>193</v>
      </c>
      <c r="R191" s="137" t="s">
        <v>53</v>
      </c>
      <c r="S191" s="137" t="s">
        <v>193</v>
      </c>
      <c r="U191" s="137">
        <f t="shared" si="4"/>
        <v>48.192</v>
      </c>
      <c r="V191" s="171">
        <f t="shared" si="5"/>
        <v>0</v>
      </c>
    </row>
    <row r="192" spans="1:22" ht="15" customHeight="1" x14ac:dyDescent="0.25">
      <c r="A192" s="137" t="s">
        <v>457</v>
      </c>
      <c r="B192" s="137" t="s">
        <v>460</v>
      </c>
      <c r="C192" s="137">
        <v>2018</v>
      </c>
      <c r="D192" s="137">
        <v>10.904</v>
      </c>
      <c r="E192" s="137" t="s">
        <v>193</v>
      </c>
      <c r="F192" s="137" t="s">
        <v>193</v>
      </c>
      <c r="G192" s="137" t="s">
        <v>193</v>
      </c>
      <c r="H192" s="137" t="s">
        <v>193</v>
      </c>
      <c r="I192" s="137" t="s">
        <v>193</v>
      </c>
      <c r="J192" s="137" t="s">
        <v>193</v>
      </c>
      <c r="K192" s="137" t="s">
        <v>193</v>
      </c>
      <c r="L192" s="137" t="s">
        <v>193</v>
      </c>
      <c r="M192" s="137" t="s">
        <v>193</v>
      </c>
      <c r="N192" s="137" t="s">
        <v>53</v>
      </c>
      <c r="O192" s="137" t="s">
        <v>193</v>
      </c>
      <c r="P192" s="137" t="s">
        <v>53</v>
      </c>
      <c r="Q192" s="137" t="s">
        <v>193</v>
      </c>
      <c r="R192" s="137" t="s">
        <v>53</v>
      </c>
      <c r="S192" s="137" t="s">
        <v>193</v>
      </c>
      <c r="U192" s="137">
        <f t="shared" si="4"/>
        <v>10.904</v>
      </c>
      <c r="V192" s="171">
        <f t="shared" si="5"/>
        <v>0</v>
      </c>
    </row>
    <row r="193" spans="1:22" ht="15" customHeight="1" x14ac:dyDescent="0.25">
      <c r="A193" s="137" t="s">
        <v>461</v>
      </c>
      <c r="B193" s="137" t="s">
        <v>462</v>
      </c>
      <c r="C193" s="137">
        <v>2018</v>
      </c>
      <c r="D193" s="137">
        <v>3.2170000000000001</v>
      </c>
      <c r="E193" s="137">
        <v>3.2170000000000001</v>
      </c>
      <c r="F193" s="137">
        <v>0</v>
      </c>
      <c r="G193" s="137">
        <v>0</v>
      </c>
      <c r="H193" s="137">
        <v>0</v>
      </c>
      <c r="I193" s="137">
        <v>0</v>
      </c>
      <c r="J193" s="137">
        <v>0</v>
      </c>
      <c r="K193" s="137">
        <v>0</v>
      </c>
      <c r="L193" s="137">
        <v>0</v>
      </c>
      <c r="M193" s="137">
        <v>0</v>
      </c>
      <c r="N193" s="137" t="s">
        <v>53</v>
      </c>
      <c r="O193" s="137" t="s">
        <v>193</v>
      </c>
      <c r="P193" s="137" t="s">
        <v>53</v>
      </c>
      <c r="Q193" s="137" t="s">
        <v>193</v>
      </c>
      <c r="R193" s="137" t="s">
        <v>53</v>
      </c>
      <c r="S193" s="137" t="s">
        <v>193</v>
      </c>
      <c r="U193" s="137">
        <f t="shared" si="4"/>
        <v>3.2170000000000001</v>
      </c>
      <c r="V193" s="171">
        <f t="shared" si="5"/>
        <v>0</v>
      </c>
    </row>
    <row r="194" spans="1:22" ht="15" customHeight="1" x14ac:dyDescent="0.25">
      <c r="A194" s="137" t="s">
        <v>461</v>
      </c>
      <c r="B194" s="137" t="s">
        <v>464</v>
      </c>
      <c r="C194" s="137">
        <v>2018</v>
      </c>
      <c r="D194" s="137">
        <v>22.4</v>
      </c>
      <c r="E194" s="137">
        <v>14.048999999999999</v>
      </c>
      <c r="F194" s="137">
        <v>0.45800000000000002</v>
      </c>
      <c r="G194" s="137">
        <v>0</v>
      </c>
      <c r="H194" s="137">
        <v>0</v>
      </c>
      <c r="I194" s="137">
        <v>3.8740000000000001</v>
      </c>
      <c r="J194" s="137">
        <v>1.8879999999999999</v>
      </c>
      <c r="K194" s="137">
        <v>0</v>
      </c>
      <c r="L194" s="137">
        <v>0</v>
      </c>
      <c r="M194" s="137">
        <v>2.1309999999999998</v>
      </c>
      <c r="N194" s="137" t="s">
        <v>53</v>
      </c>
      <c r="O194" s="137" t="s">
        <v>193</v>
      </c>
      <c r="P194" s="137" t="s">
        <v>53</v>
      </c>
      <c r="Q194" s="137" t="s">
        <v>193</v>
      </c>
      <c r="R194" s="137" t="s">
        <v>53</v>
      </c>
      <c r="S194" s="137" t="s">
        <v>193</v>
      </c>
      <c r="U194" s="137">
        <f t="shared" ref="U194:U257" si="6">IFERROR(D194/1,0)</f>
        <v>22.4</v>
      </c>
      <c r="V194" s="171">
        <f t="shared" ref="V194:V257" si="7">IFERROR(O194/1,0)+IFERROR(Q194/1,0)+IFERROR(S194/1,0)</f>
        <v>0</v>
      </c>
    </row>
    <row r="195" spans="1:22" ht="15" customHeight="1" x14ac:dyDescent="0.25">
      <c r="A195" s="137" t="s">
        <v>461</v>
      </c>
      <c r="B195" s="137" t="s">
        <v>465</v>
      </c>
      <c r="C195" s="137">
        <v>2018</v>
      </c>
      <c r="D195" s="137">
        <v>12.478999999999999</v>
      </c>
      <c r="E195" s="137">
        <v>6.1079999999999997</v>
      </c>
      <c r="F195" s="137">
        <v>1.9E-2</v>
      </c>
      <c r="G195" s="137">
        <v>0</v>
      </c>
      <c r="H195" s="137">
        <v>0</v>
      </c>
      <c r="I195" s="137">
        <v>4.1580000000000004</v>
      </c>
      <c r="J195" s="137">
        <v>0.81599999999999995</v>
      </c>
      <c r="K195" s="137">
        <v>0.246</v>
      </c>
      <c r="L195" s="137">
        <v>0</v>
      </c>
      <c r="M195" s="137">
        <v>1.1299999999999999</v>
      </c>
      <c r="N195" s="137" t="s">
        <v>53</v>
      </c>
      <c r="O195" s="137" t="s">
        <v>193</v>
      </c>
      <c r="P195" s="137" t="s">
        <v>53</v>
      </c>
      <c r="Q195" s="137" t="s">
        <v>193</v>
      </c>
      <c r="R195" s="137" t="s">
        <v>53</v>
      </c>
      <c r="S195" s="137" t="s">
        <v>193</v>
      </c>
      <c r="U195" s="137">
        <f t="shared" si="6"/>
        <v>12.478999999999999</v>
      </c>
      <c r="V195" s="171">
        <f t="shared" si="7"/>
        <v>0</v>
      </c>
    </row>
    <row r="196" spans="1:22" ht="15" customHeight="1" x14ac:dyDescent="0.25">
      <c r="A196" s="137" t="s">
        <v>461</v>
      </c>
      <c r="B196" s="137" t="s">
        <v>101</v>
      </c>
      <c r="C196" s="137">
        <v>2018</v>
      </c>
      <c r="D196" s="137">
        <v>32.593000000000004</v>
      </c>
      <c r="E196" s="137">
        <v>14.93</v>
      </c>
      <c r="F196" s="137">
        <v>1.7310000000000001</v>
      </c>
      <c r="G196" s="137">
        <v>4.0830000000000002</v>
      </c>
      <c r="H196" s="137">
        <v>0</v>
      </c>
      <c r="I196" s="137">
        <v>6.7629999999999999</v>
      </c>
      <c r="J196" s="137">
        <v>5.0860000000000003</v>
      </c>
      <c r="K196" s="137">
        <v>0</v>
      </c>
      <c r="L196" s="137">
        <v>0</v>
      </c>
      <c r="M196" s="137">
        <v>0</v>
      </c>
      <c r="N196" s="137" t="s">
        <v>53</v>
      </c>
      <c r="O196" s="137" t="s">
        <v>193</v>
      </c>
      <c r="P196" s="137" t="s">
        <v>53</v>
      </c>
      <c r="Q196" s="137" t="s">
        <v>193</v>
      </c>
      <c r="R196" s="137" t="s">
        <v>53</v>
      </c>
      <c r="S196" s="137" t="s">
        <v>193</v>
      </c>
      <c r="U196" s="137">
        <f t="shared" si="6"/>
        <v>32.593000000000004</v>
      </c>
      <c r="V196" s="171">
        <f t="shared" si="7"/>
        <v>0</v>
      </c>
    </row>
    <row r="197" spans="1:22" ht="15" customHeight="1" x14ac:dyDescent="0.25">
      <c r="A197" s="137" t="s">
        <v>461</v>
      </c>
      <c r="B197" s="137" t="s">
        <v>103</v>
      </c>
      <c r="C197" s="137">
        <v>2018</v>
      </c>
      <c r="D197" s="137">
        <v>45.156999999999996</v>
      </c>
      <c r="E197" s="137">
        <v>22.163</v>
      </c>
      <c r="F197" s="137">
        <v>2.746</v>
      </c>
      <c r="G197" s="137">
        <v>0</v>
      </c>
      <c r="H197" s="137">
        <v>0</v>
      </c>
      <c r="I197" s="137">
        <v>7.4770000000000003</v>
      </c>
      <c r="J197" s="137">
        <v>8.64</v>
      </c>
      <c r="K197" s="137">
        <v>0.68799999999999994</v>
      </c>
      <c r="L197" s="137">
        <v>0</v>
      </c>
      <c r="M197" s="137">
        <v>3.4430000000000001</v>
      </c>
      <c r="N197" s="137" t="s">
        <v>53</v>
      </c>
      <c r="O197" s="137" t="s">
        <v>193</v>
      </c>
      <c r="P197" s="137" t="s">
        <v>53</v>
      </c>
      <c r="Q197" s="137" t="s">
        <v>193</v>
      </c>
      <c r="R197" s="137" t="s">
        <v>53</v>
      </c>
      <c r="S197" s="137" t="s">
        <v>193</v>
      </c>
      <c r="U197" s="137">
        <f t="shared" si="6"/>
        <v>45.156999999999996</v>
      </c>
      <c r="V197" s="171">
        <f t="shared" si="7"/>
        <v>0</v>
      </c>
    </row>
    <row r="198" spans="1:22" ht="15" customHeight="1" x14ac:dyDescent="0.25">
      <c r="A198" s="137" t="s">
        <v>461</v>
      </c>
      <c r="B198" s="137" t="s">
        <v>468</v>
      </c>
      <c r="C198" s="137">
        <v>2018</v>
      </c>
      <c r="D198" s="137">
        <v>3.0550000000000002</v>
      </c>
      <c r="E198" s="137">
        <v>0.79400000000000004</v>
      </c>
      <c r="F198" s="137">
        <v>0</v>
      </c>
      <c r="G198" s="137">
        <v>0.67500000000000004</v>
      </c>
      <c r="H198" s="137">
        <v>0</v>
      </c>
      <c r="I198" s="137">
        <v>1.5860000000000001</v>
      </c>
      <c r="J198" s="137">
        <v>0</v>
      </c>
      <c r="K198" s="137">
        <v>0</v>
      </c>
      <c r="L198" s="137">
        <v>0</v>
      </c>
      <c r="M198" s="137">
        <v>0</v>
      </c>
      <c r="N198" s="137" t="s">
        <v>53</v>
      </c>
      <c r="O198" s="137" t="s">
        <v>193</v>
      </c>
      <c r="P198" s="137" t="s">
        <v>53</v>
      </c>
      <c r="Q198" s="137" t="s">
        <v>193</v>
      </c>
      <c r="R198" s="137" t="s">
        <v>53</v>
      </c>
      <c r="S198" s="137" t="s">
        <v>193</v>
      </c>
      <c r="U198" s="137">
        <f t="shared" si="6"/>
        <v>3.0550000000000002</v>
      </c>
      <c r="V198" s="171">
        <f t="shared" si="7"/>
        <v>0</v>
      </c>
    </row>
    <row r="199" spans="1:22" ht="15" customHeight="1" x14ac:dyDescent="0.25">
      <c r="A199" s="137" t="s">
        <v>461</v>
      </c>
      <c r="B199" s="137" t="s">
        <v>105</v>
      </c>
      <c r="C199" s="137">
        <v>2018</v>
      </c>
      <c r="D199" s="137">
        <v>8.5459999999999994</v>
      </c>
      <c r="E199" s="137">
        <v>3.6349999999999998</v>
      </c>
      <c r="F199" s="137">
        <v>7.6999999999999999E-2</v>
      </c>
      <c r="G199" s="137">
        <v>0</v>
      </c>
      <c r="H199" s="137">
        <v>0</v>
      </c>
      <c r="I199" s="137">
        <v>3.08</v>
      </c>
      <c r="J199" s="137">
        <v>1.7529999999999999</v>
      </c>
      <c r="K199" s="137">
        <v>0</v>
      </c>
      <c r="L199" s="137">
        <v>0</v>
      </c>
      <c r="M199" s="137">
        <v>0</v>
      </c>
      <c r="N199" s="137" t="s">
        <v>53</v>
      </c>
      <c r="O199" s="137" t="s">
        <v>193</v>
      </c>
      <c r="P199" s="137" t="s">
        <v>53</v>
      </c>
      <c r="Q199" s="137" t="s">
        <v>193</v>
      </c>
      <c r="R199" s="137" t="s">
        <v>53</v>
      </c>
      <c r="S199" s="137" t="s">
        <v>193</v>
      </c>
      <c r="U199" s="137">
        <f t="shared" si="6"/>
        <v>8.5459999999999994</v>
      </c>
      <c r="V199" s="171">
        <f t="shared" si="7"/>
        <v>0</v>
      </c>
    </row>
    <row r="200" spans="1:22" ht="15" customHeight="1" x14ac:dyDescent="0.25">
      <c r="A200" s="137" t="s">
        <v>461</v>
      </c>
      <c r="B200" s="137" t="s">
        <v>107</v>
      </c>
      <c r="C200" s="137">
        <v>2018</v>
      </c>
      <c r="D200" s="137">
        <v>58.317999999999998</v>
      </c>
      <c r="E200" s="137">
        <v>0</v>
      </c>
      <c r="F200" s="137">
        <v>0.32300000000000001</v>
      </c>
      <c r="G200" s="137">
        <v>0</v>
      </c>
      <c r="H200" s="137">
        <v>0</v>
      </c>
      <c r="I200" s="137">
        <v>0</v>
      </c>
      <c r="J200" s="137">
        <v>3.996</v>
      </c>
      <c r="K200" s="137">
        <v>0</v>
      </c>
      <c r="L200" s="137">
        <v>0</v>
      </c>
      <c r="M200" s="137">
        <v>7.2629999999999999</v>
      </c>
      <c r="N200" s="137" t="s">
        <v>1086</v>
      </c>
      <c r="O200" s="137">
        <v>39.472999999999999</v>
      </c>
      <c r="P200" s="137" t="s">
        <v>53</v>
      </c>
      <c r="Q200" s="137" t="s">
        <v>193</v>
      </c>
      <c r="R200" s="137" t="s">
        <v>53</v>
      </c>
      <c r="S200" s="137" t="s">
        <v>193</v>
      </c>
      <c r="U200" s="137">
        <f t="shared" si="6"/>
        <v>58.317999999999998</v>
      </c>
      <c r="V200" s="171">
        <f t="shared" si="7"/>
        <v>39.472999999999999</v>
      </c>
    </row>
    <row r="201" spans="1:22" ht="15" customHeight="1" x14ac:dyDescent="0.25">
      <c r="A201" s="137" t="s">
        <v>461</v>
      </c>
      <c r="B201" s="137" t="s">
        <v>109</v>
      </c>
      <c r="C201" s="137">
        <v>2018</v>
      </c>
      <c r="D201" s="137">
        <v>13.42</v>
      </c>
      <c r="E201" s="137">
        <v>6.8479999999999999</v>
      </c>
      <c r="F201" s="137">
        <v>2.1000000000000001E-2</v>
      </c>
      <c r="G201" s="137">
        <v>1.01</v>
      </c>
      <c r="H201" s="137">
        <v>0</v>
      </c>
      <c r="I201" s="137">
        <v>1.9630000000000001</v>
      </c>
      <c r="J201" s="137">
        <v>3.5779999999999998</v>
      </c>
      <c r="K201" s="137">
        <v>0</v>
      </c>
      <c r="L201" s="137">
        <v>0</v>
      </c>
      <c r="M201" s="137">
        <v>0</v>
      </c>
      <c r="N201" s="137" t="s">
        <v>53</v>
      </c>
      <c r="O201" s="137" t="s">
        <v>193</v>
      </c>
      <c r="P201" s="137" t="s">
        <v>53</v>
      </c>
      <c r="Q201" s="137" t="s">
        <v>193</v>
      </c>
      <c r="R201" s="137" t="s">
        <v>53</v>
      </c>
      <c r="S201" s="137" t="s">
        <v>193</v>
      </c>
      <c r="U201" s="137">
        <f t="shared" si="6"/>
        <v>13.42</v>
      </c>
      <c r="V201" s="171">
        <f t="shared" si="7"/>
        <v>0</v>
      </c>
    </row>
    <row r="202" spans="1:22" ht="15" customHeight="1" x14ac:dyDescent="0.25">
      <c r="A202" s="137" t="s">
        <v>461</v>
      </c>
      <c r="B202" s="137" t="s">
        <v>111</v>
      </c>
      <c r="C202" s="137">
        <v>2018</v>
      </c>
      <c r="D202" s="137">
        <v>17.164000000000001</v>
      </c>
      <c r="E202" s="137">
        <v>7.2969999999999997</v>
      </c>
      <c r="F202" s="137">
        <v>0.27400000000000002</v>
      </c>
      <c r="G202" s="137">
        <v>0.111</v>
      </c>
      <c r="H202" s="137">
        <v>0</v>
      </c>
      <c r="I202" s="137">
        <v>6.7130000000000001</v>
      </c>
      <c r="J202" s="137">
        <v>2.7690000000000001</v>
      </c>
      <c r="K202" s="137">
        <v>0</v>
      </c>
      <c r="L202" s="137">
        <v>0</v>
      </c>
      <c r="M202" s="137">
        <v>0</v>
      </c>
      <c r="N202" s="137" t="s">
        <v>53</v>
      </c>
      <c r="O202" s="137" t="s">
        <v>193</v>
      </c>
      <c r="P202" s="137" t="s">
        <v>53</v>
      </c>
      <c r="Q202" s="137" t="s">
        <v>193</v>
      </c>
      <c r="R202" s="137" t="s">
        <v>53</v>
      </c>
      <c r="S202" s="137" t="s">
        <v>193</v>
      </c>
      <c r="U202" s="137">
        <f t="shared" si="6"/>
        <v>17.164000000000001</v>
      </c>
      <c r="V202" s="171">
        <f t="shared" si="7"/>
        <v>0</v>
      </c>
    </row>
    <row r="203" spans="1:22" ht="15" customHeight="1" x14ac:dyDescent="0.25">
      <c r="A203" s="137" t="s">
        <v>461</v>
      </c>
      <c r="B203" s="137" t="s">
        <v>469</v>
      </c>
      <c r="C203" s="137">
        <v>2018</v>
      </c>
      <c r="D203" s="137">
        <v>24.768000000000001</v>
      </c>
      <c r="E203" s="137">
        <v>15.516999999999999</v>
      </c>
      <c r="F203" s="137">
        <v>0.161</v>
      </c>
      <c r="G203" s="137">
        <v>0</v>
      </c>
      <c r="H203" s="137">
        <v>0</v>
      </c>
      <c r="I203" s="137">
        <v>3.8039999999999998</v>
      </c>
      <c r="J203" s="137">
        <v>5.2850000000000001</v>
      </c>
      <c r="K203" s="137">
        <v>0</v>
      </c>
      <c r="L203" s="137">
        <v>0</v>
      </c>
      <c r="M203" s="137">
        <v>0</v>
      </c>
      <c r="N203" s="137" t="s">
        <v>53</v>
      </c>
      <c r="O203" s="137" t="s">
        <v>193</v>
      </c>
      <c r="P203" s="137" t="s">
        <v>53</v>
      </c>
      <c r="Q203" s="137" t="s">
        <v>193</v>
      </c>
      <c r="R203" s="137" t="s">
        <v>53</v>
      </c>
      <c r="S203" s="137" t="s">
        <v>193</v>
      </c>
      <c r="U203" s="137">
        <f t="shared" si="6"/>
        <v>24.768000000000001</v>
      </c>
      <c r="V203" s="171">
        <f t="shared" si="7"/>
        <v>0</v>
      </c>
    </row>
    <row r="204" spans="1:22" ht="15" customHeight="1" x14ac:dyDescent="0.25">
      <c r="A204" s="137" t="s">
        <v>461</v>
      </c>
      <c r="B204" s="137" t="s">
        <v>470</v>
      </c>
      <c r="C204" s="137">
        <v>2018</v>
      </c>
      <c r="D204" s="137">
        <v>7.3010000000000002</v>
      </c>
      <c r="E204" s="137">
        <v>5.1150000000000002</v>
      </c>
      <c r="F204" s="137">
        <v>4.5999999999999999E-2</v>
      </c>
      <c r="G204" s="137">
        <v>0</v>
      </c>
      <c r="H204" s="137">
        <v>0</v>
      </c>
      <c r="I204" s="137">
        <v>2.073</v>
      </c>
      <c r="J204" s="137">
        <v>6.6000000000000003E-2</v>
      </c>
      <c r="K204" s="137">
        <v>0</v>
      </c>
      <c r="L204" s="137">
        <v>0</v>
      </c>
      <c r="M204" s="137">
        <v>0</v>
      </c>
      <c r="N204" s="137" t="s">
        <v>53</v>
      </c>
      <c r="O204" s="137" t="s">
        <v>193</v>
      </c>
      <c r="P204" s="137" t="s">
        <v>53</v>
      </c>
      <c r="Q204" s="137" t="s">
        <v>193</v>
      </c>
      <c r="R204" s="137" t="s">
        <v>53</v>
      </c>
      <c r="S204" s="137" t="s">
        <v>193</v>
      </c>
      <c r="U204" s="137">
        <f t="shared" si="6"/>
        <v>7.3010000000000002</v>
      </c>
      <c r="V204" s="171">
        <f t="shared" si="7"/>
        <v>0</v>
      </c>
    </row>
    <row r="205" spans="1:22" ht="15" customHeight="1" x14ac:dyDescent="0.25">
      <c r="A205" s="137" t="s">
        <v>461</v>
      </c>
      <c r="B205" s="137" t="s">
        <v>113</v>
      </c>
      <c r="C205" s="137">
        <v>2018</v>
      </c>
      <c r="D205" s="137">
        <v>4.7910000000000004</v>
      </c>
      <c r="E205" s="137">
        <v>1.3129999999999999</v>
      </c>
      <c r="F205" s="137">
        <v>5.5E-2</v>
      </c>
      <c r="G205" s="137">
        <v>0</v>
      </c>
      <c r="H205" s="137">
        <v>0</v>
      </c>
      <c r="I205" s="137">
        <v>3.0259999999999998</v>
      </c>
      <c r="J205" s="137">
        <v>0.39600000000000002</v>
      </c>
      <c r="K205" s="137">
        <v>0</v>
      </c>
      <c r="L205" s="137">
        <v>0</v>
      </c>
      <c r="M205" s="137">
        <v>0</v>
      </c>
      <c r="N205" s="137" t="s">
        <v>53</v>
      </c>
      <c r="O205" s="137" t="s">
        <v>193</v>
      </c>
      <c r="P205" s="137" t="s">
        <v>53</v>
      </c>
      <c r="Q205" s="137" t="s">
        <v>193</v>
      </c>
      <c r="R205" s="137" t="s">
        <v>53</v>
      </c>
      <c r="S205" s="137" t="s">
        <v>193</v>
      </c>
      <c r="U205" s="137">
        <f t="shared" si="6"/>
        <v>4.7910000000000004</v>
      </c>
      <c r="V205" s="171">
        <f t="shared" si="7"/>
        <v>0</v>
      </c>
    </row>
    <row r="206" spans="1:22" ht="15" customHeight="1" x14ac:dyDescent="0.25">
      <c r="A206" s="137" t="s">
        <v>474</v>
      </c>
      <c r="B206" s="137" t="s">
        <v>475</v>
      </c>
      <c r="C206" s="137">
        <v>2018</v>
      </c>
      <c r="D206" s="137">
        <v>3.7309999999999999</v>
      </c>
      <c r="E206" s="137">
        <v>0.9</v>
      </c>
      <c r="F206" s="137">
        <v>1.032</v>
      </c>
      <c r="G206" s="137">
        <v>0.88400000000000001</v>
      </c>
      <c r="H206" s="137" t="s">
        <v>193</v>
      </c>
      <c r="I206" s="137">
        <v>0.89100000000000001</v>
      </c>
      <c r="J206" s="137">
        <v>2.4E-2</v>
      </c>
      <c r="K206" s="137" t="s">
        <v>193</v>
      </c>
      <c r="L206" s="137" t="s">
        <v>193</v>
      </c>
      <c r="M206" s="137" t="s">
        <v>193</v>
      </c>
      <c r="N206" s="137" t="s">
        <v>53</v>
      </c>
      <c r="O206" s="137" t="s">
        <v>193</v>
      </c>
      <c r="P206" s="137" t="s">
        <v>53</v>
      </c>
      <c r="Q206" s="137" t="s">
        <v>193</v>
      </c>
      <c r="R206" s="137" t="s">
        <v>53</v>
      </c>
      <c r="S206" s="137" t="s">
        <v>193</v>
      </c>
      <c r="U206" s="137">
        <f t="shared" si="6"/>
        <v>3.7309999999999999</v>
      </c>
      <c r="V206" s="171">
        <f t="shared" si="7"/>
        <v>0</v>
      </c>
    </row>
    <row r="207" spans="1:22" ht="15" customHeight="1" x14ac:dyDescent="0.25">
      <c r="A207" s="137" t="s">
        <v>474</v>
      </c>
      <c r="B207" s="137" t="s">
        <v>476</v>
      </c>
      <c r="C207" s="137">
        <v>2018</v>
      </c>
      <c r="D207" s="137">
        <v>44.280999999999999</v>
      </c>
      <c r="E207" s="137">
        <v>12.532</v>
      </c>
      <c r="F207" s="137">
        <v>6.6680000000000001</v>
      </c>
      <c r="G207" s="137">
        <v>13.904999999999999</v>
      </c>
      <c r="H207" s="137" t="s">
        <v>193</v>
      </c>
      <c r="I207" s="137">
        <v>7.8410000000000002</v>
      </c>
      <c r="J207" s="137">
        <v>3.335</v>
      </c>
      <c r="K207" s="137" t="s">
        <v>193</v>
      </c>
      <c r="L207" s="137" t="s">
        <v>193</v>
      </c>
      <c r="M207" s="137" t="s">
        <v>193</v>
      </c>
      <c r="N207" s="137" t="s">
        <v>53</v>
      </c>
      <c r="O207" s="137" t="s">
        <v>193</v>
      </c>
      <c r="P207" s="137" t="s">
        <v>53</v>
      </c>
      <c r="Q207" s="137" t="s">
        <v>193</v>
      </c>
      <c r="R207" s="137" t="s">
        <v>53</v>
      </c>
      <c r="S207" s="137" t="s">
        <v>193</v>
      </c>
      <c r="U207" s="137">
        <f t="shared" si="6"/>
        <v>44.280999999999999</v>
      </c>
      <c r="V207" s="171">
        <f t="shared" si="7"/>
        <v>0</v>
      </c>
    </row>
    <row r="208" spans="1:22" ht="15" customHeight="1" x14ac:dyDescent="0.25">
      <c r="A208" s="137" t="s">
        <v>477</v>
      </c>
      <c r="B208" s="137" t="s">
        <v>478</v>
      </c>
      <c r="C208" s="137">
        <v>2018</v>
      </c>
      <c r="D208" s="137">
        <v>4.2</v>
      </c>
      <c r="E208" s="137">
        <v>0.2</v>
      </c>
      <c r="F208" s="137">
        <v>0.5</v>
      </c>
      <c r="G208" s="137">
        <v>0.8</v>
      </c>
      <c r="H208" s="137" t="s">
        <v>193</v>
      </c>
      <c r="I208" s="137">
        <v>2.2000000000000002</v>
      </c>
      <c r="J208" s="137">
        <v>0.4</v>
      </c>
      <c r="K208" s="137" t="s">
        <v>193</v>
      </c>
      <c r="L208" s="137" t="s">
        <v>193</v>
      </c>
      <c r="M208" s="137" t="s">
        <v>193</v>
      </c>
      <c r="N208" s="137" t="s">
        <v>219</v>
      </c>
      <c r="O208" s="137" t="s">
        <v>193</v>
      </c>
      <c r="P208" s="137" t="s">
        <v>219</v>
      </c>
      <c r="Q208" s="137" t="s">
        <v>193</v>
      </c>
      <c r="R208" s="137" t="s">
        <v>219</v>
      </c>
      <c r="S208" s="137" t="s">
        <v>193</v>
      </c>
      <c r="U208" s="137">
        <f t="shared" si="6"/>
        <v>4.2</v>
      </c>
      <c r="V208" s="171">
        <f t="shared" si="7"/>
        <v>0</v>
      </c>
    </row>
    <row r="209" spans="1:22" ht="15" customHeight="1" x14ac:dyDescent="0.25">
      <c r="A209" s="137" t="s">
        <v>477</v>
      </c>
      <c r="B209" s="137" t="s">
        <v>479</v>
      </c>
      <c r="C209" s="137">
        <v>2018</v>
      </c>
      <c r="D209" s="137">
        <v>127.8</v>
      </c>
      <c r="E209" s="137">
        <v>32.299999999999997</v>
      </c>
      <c r="F209" s="137">
        <v>19.5</v>
      </c>
      <c r="G209" s="137">
        <v>39.299999999999997</v>
      </c>
      <c r="H209" s="137">
        <v>6.7</v>
      </c>
      <c r="I209" s="137">
        <v>20.6</v>
      </c>
      <c r="J209" s="137">
        <v>15.6</v>
      </c>
      <c r="K209" s="137" t="s">
        <v>193</v>
      </c>
      <c r="L209" s="137" t="s">
        <v>193</v>
      </c>
      <c r="M209" s="137" t="s">
        <v>193</v>
      </c>
      <c r="N209" s="137" t="s">
        <v>53</v>
      </c>
      <c r="O209" s="137" t="s">
        <v>193</v>
      </c>
      <c r="P209" s="137" t="s">
        <v>53</v>
      </c>
      <c r="Q209" s="137" t="s">
        <v>193</v>
      </c>
      <c r="R209" s="137" t="s">
        <v>53</v>
      </c>
      <c r="S209" s="137" t="s">
        <v>193</v>
      </c>
      <c r="U209" s="137">
        <f t="shared" si="6"/>
        <v>127.8</v>
      </c>
      <c r="V209" s="171">
        <f t="shared" si="7"/>
        <v>0</v>
      </c>
    </row>
    <row r="210" spans="1:22" ht="15" customHeight="1" x14ac:dyDescent="0.25">
      <c r="A210" s="137" t="s">
        <v>480</v>
      </c>
      <c r="B210" s="137" t="s">
        <v>481</v>
      </c>
      <c r="C210" s="137">
        <v>2018</v>
      </c>
      <c r="D210" s="137" t="s">
        <v>53</v>
      </c>
      <c r="E210" s="137" t="s">
        <v>53</v>
      </c>
      <c r="F210" s="137" t="s">
        <v>53</v>
      </c>
      <c r="G210" s="137" t="s">
        <v>53</v>
      </c>
      <c r="H210" s="137" t="s">
        <v>53</v>
      </c>
      <c r="I210" s="137" t="s">
        <v>53</v>
      </c>
      <c r="J210" s="137" t="s">
        <v>53</v>
      </c>
      <c r="K210" s="137" t="s">
        <v>53</v>
      </c>
      <c r="L210" s="137" t="s">
        <v>53</v>
      </c>
      <c r="M210" s="137" t="s">
        <v>53</v>
      </c>
      <c r="N210" s="137" t="s">
        <v>53</v>
      </c>
      <c r="O210" s="137" t="s">
        <v>53</v>
      </c>
      <c r="P210" s="137" t="s">
        <v>53</v>
      </c>
      <c r="Q210" s="137" t="s">
        <v>53</v>
      </c>
      <c r="R210" s="137" t="s">
        <v>53</v>
      </c>
      <c r="S210" s="137" t="s">
        <v>53</v>
      </c>
      <c r="U210" s="137">
        <f t="shared" si="6"/>
        <v>0</v>
      </c>
      <c r="V210" s="171">
        <f t="shared" si="7"/>
        <v>0</v>
      </c>
    </row>
    <row r="211" spans="1:22" ht="15" customHeight="1" x14ac:dyDescent="0.25">
      <c r="A211" s="137" t="s">
        <v>115</v>
      </c>
      <c r="B211" s="137" t="s">
        <v>482</v>
      </c>
      <c r="C211" s="137">
        <v>2018</v>
      </c>
      <c r="D211" s="137">
        <v>1002</v>
      </c>
      <c r="E211" s="137">
        <v>661.76</v>
      </c>
      <c r="F211" s="137">
        <v>10.52</v>
      </c>
      <c r="G211" s="137">
        <v>10.029999999999999</v>
      </c>
      <c r="H211" s="137">
        <v>0</v>
      </c>
      <c r="I211" s="137">
        <v>80.680000000000007</v>
      </c>
      <c r="J211" s="137">
        <v>235.04</v>
      </c>
      <c r="K211" s="137">
        <v>4.41</v>
      </c>
      <c r="L211" s="137">
        <v>0</v>
      </c>
      <c r="M211" s="137">
        <v>0</v>
      </c>
      <c r="N211" s="137" t="s">
        <v>1087</v>
      </c>
      <c r="O211" s="137">
        <v>0.90700000000000003</v>
      </c>
      <c r="P211" s="137" t="s">
        <v>53</v>
      </c>
      <c r="Q211" s="137" t="s">
        <v>193</v>
      </c>
      <c r="R211" s="137" t="s">
        <v>53</v>
      </c>
      <c r="S211" s="137" t="s">
        <v>193</v>
      </c>
      <c r="U211" s="137">
        <f t="shared" si="6"/>
        <v>1002</v>
      </c>
      <c r="V211" s="171">
        <f t="shared" si="7"/>
        <v>0.90700000000000003</v>
      </c>
    </row>
    <row r="212" spans="1:22" ht="15" customHeight="1" x14ac:dyDescent="0.25">
      <c r="A212" s="137" t="s">
        <v>483</v>
      </c>
      <c r="B212" s="137" t="s">
        <v>484</v>
      </c>
      <c r="C212" s="137">
        <v>2018</v>
      </c>
      <c r="D212" s="137">
        <v>16.640999999999998</v>
      </c>
      <c r="E212" s="137">
        <v>10.346</v>
      </c>
      <c r="F212" s="137">
        <v>0.57099999999999995</v>
      </c>
      <c r="G212" s="137">
        <v>0</v>
      </c>
      <c r="H212" s="137">
        <v>0</v>
      </c>
      <c r="I212" s="137">
        <v>4.9269999999999996</v>
      </c>
      <c r="J212" s="137">
        <v>1.038</v>
      </c>
      <c r="K212" s="137">
        <v>0</v>
      </c>
      <c r="L212" s="137">
        <v>0</v>
      </c>
      <c r="M212" s="137">
        <v>0</v>
      </c>
      <c r="N212" s="137" t="s">
        <v>53</v>
      </c>
      <c r="O212" s="137" t="s">
        <v>193</v>
      </c>
      <c r="P212" s="137" t="s">
        <v>53</v>
      </c>
      <c r="Q212" s="137" t="s">
        <v>193</v>
      </c>
      <c r="R212" s="137" t="s">
        <v>53</v>
      </c>
      <c r="S212" s="137" t="s">
        <v>193</v>
      </c>
      <c r="U212" s="137">
        <f t="shared" si="6"/>
        <v>16.640999999999998</v>
      </c>
      <c r="V212" s="171">
        <f t="shared" si="7"/>
        <v>0</v>
      </c>
    </row>
    <row r="213" spans="1:22" ht="15" customHeight="1" x14ac:dyDescent="0.25">
      <c r="A213" s="137" t="s">
        <v>483</v>
      </c>
      <c r="B213" s="137" t="s">
        <v>485</v>
      </c>
      <c r="C213" s="137">
        <v>2018</v>
      </c>
      <c r="D213" s="137">
        <v>123.922</v>
      </c>
      <c r="E213" s="137">
        <v>65.671999999999997</v>
      </c>
      <c r="F213" s="137">
        <v>4.5759999999999996</v>
      </c>
      <c r="G213" s="137">
        <v>3.718</v>
      </c>
      <c r="H213" s="137">
        <v>0</v>
      </c>
      <c r="I213" s="137">
        <v>32.79</v>
      </c>
      <c r="J213" s="137">
        <v>17.038</v>
      </c>
      <c r="K213" s="137">
        <v>0</v>
      </c>
      <c r="L213" s="137">
        <v>0</v>
      </c>
      <c r="M213" s="137">
        <v>2.4950000000000001</v>
      </c>
      <c r="N213" s="137" t="s">
        <v>53</v>
      </c>
      <c r="O213" s="137" t="s">
        <v>193</v>
      </c>
      <c r="P213" s="137" t="s">
        <v>53</v>
      </c>
      <c r="Q213" s="137" t="s">
        <v>193</v>
      </c>
      <c r="R213" s="137" t="s">
        <v>53</v>
      </c>
      <c r="S213" s="137" t="s">
        <v>193</v>
      </c>
      <c r="U213" s="137">
        <f t="shared" si="6"/>
        <v>123.922</v>
      </c>
      <c r="V213" s="171">
        <f t="shared" si="7"/>
        <v>0</v>
      </c>
    </row>
    <row r="214" spans="1:22" ht="15" customHeight="1" x14ac:dyDescent="0.25">
      <c r="A214" s="137" t="s">
        <v>483</v>
      </c>
      <c r="B214" s="137" t="s">
        <v>486</v>
      </c>
      <c r="C214" s="137">
        <v>2018</v>
      </c>
      <c r="D214" s="137">
        <v>17.280999999999999</v>
      </c>
      <c r="E214" s="137">
        <v>9.3539999999999992</v>
      </c>
      <c r="F214" s="137">
        <v>0.753</v>
      </c>
      <c r="G214" s="137">
        <v>0</v>
      </c>
      <c r="H214" s="137">
        <v>0</v>
      </c>
      <c r="I214" s="137">
        <v>3.4740000000000002</v>
      </c>
      <c r="J214" s="137">
        <v>3.5880000000000001</v>
      </c>
      <c r="K214" s="137">
        <v>0</v>
      </c>
      <c r="L214" s="137">
        <v>0</v>
      </c>
      <c r="M214" s="137">
        <v>0</v>
      </c>
      <c r="N214" s="137" t="s">
        <v>53</v>
      </c>
      <c r="O214" s="137" t="s">
        <v>193</v>
      </c>
      <c r="P214" s="137" t="s">
        <v>53</v>
      </c>
      <c r="Q214" s="137" t="s">
        <v>193</v>
      </c>
      <c r="R214" s="137" t="s">
        <v>53</v>
      </c>
      <c r="S214" s="137" t="s">
        <v>193</v>
      </c>
      <c r="U214" s="137">
        <f t="shared" si="6"/>
        <v>17.280999999999999</v>
      </c>
      <c r="V214" s="171">
        <f t="shared" si="7"/>
        <v>0</v>
      </c>
    </row>
    <row r="215" spans="1:22" ht="15" customHeight="1" x14ac:dyDescent="0.25">
      <c r="A215" s="137" t="s">
        <v>487</v>
      </c>
      <c r="B215" s="137" t="s">
        <v>488</v>
      </c>
      <c r="C215" s="137">
        <v>2018</v>
      </c>
      <c r="D215" s="137">
        <v>7</v>
      </c>
      <c r="E215" s="137">
        <v>2</v>
      </c>
      <c r="F215" s="137">
        <v>0</v>
      </c>
      <c r="G215" s="137">
        <v>1</v>
      </c>
      <c r="H215" s="137" t="s">
        <v>193</v>
      </c>
      <c r="I215" s="137" t="s">
        <v>193</v>
      </c>
      <c r="J215" s="137">
        <v>4</v>
      </c>
      <c r="K215" s="137">
        <v>0</v>
      </c>
      <c r="L215" s="137" t="s">
        <v>193</v>
      </c>
      <c r="M215" s="137" t="s">
        <v>193</v>
      </c>
      <c r="N215" s="137" t="s">
        <v>53</v>
      </c>
      <c r="O215" s="137" t="s">
        <v>193</v>
      </c>
      <c r="P215" s="137" t="s">
        <v>53</v>
      </c>
      <c r="Q215" s="137" t="s">
        <v>193</v>
      </c>
      <c r="R215" s="137" t="s">
        <v>53</v>
      </c>
      <c r="S215" s="137" t="s">
        <v>193</v>
      </c>
      <c r="U215" s="137">
        <f t="shared" si="6"/>
        <v>7</v>
      </c>
      <c r="V215" s="171">
        <f t="shared" si="7"/>
        <v>0</v>
      </c>
    </row>
    <row r="216" spans="1:22" ht="15" customHeight="1" x14ac:dyDescent="0.25">
      <c r="A216" s="137" t="s">
        <v>489</v>
      </c>
      <c r="B216" s="137" t="s">
        <v>490</v>
      </c>
      <c r="C216" s="137">
        <v>2018</v>
      </c>
      <c r="D216" s="137">
        <v>144</v>
      </c>
      <c r="E216" s="137">
        <v>61</v>
      </c>
      <c r="F216" s="137">
        <v>19</v>
      </c>
      <c r="G216" s="137">
        <v>63</v>
      </c>
      <c r="H216" s="137">
        <v>0</v>
      </c>
      <c r="I216" s="137">
        <v>1.5</v>
      </c>
      <c r="J216" s="137">
        <v>0</v>
      </c>
      <c r="K216" s="137">
        <v>0</v>
      </c>
      <c r="L216" s="137">
        <v>0</v>
      </c>
      <c r="M216" s="137">
        <v>0</v>
      </c>
      <c r="N216" s="137" t="s">
        <v>770</v>
      </c>
      <c r="O216" s="137" t="s">
        <v>193</v>
      </c>
      <c r="P216" s="137" t="s">
        <v>770</v>
      </c>
      <c r="Q216" s="137" t="s">
        <v>193</v>
      </c>
      <c r="R216" s="137" t="s">
        <v>770</v>
      </c>
      <c r="S216" s="137" t="s">
        <v>193</v>
      </c>
      <c r="U216" s="137">
        <f t="shared" si="6"/>
        <v>144</v>
      </c>
      <c r="V216" s="171">
        <f t="shared" si="7"/>
        <v>0</v>
      </c>
    </row>
    <row r="217" spans="1:22" ht="15" customHeight="1" x14ac:dyDescent="0.25">
      <c r="A217" s="137" t="s">
        <v>491</v>
      </c>
      <c r="B217" s="137" t="s">
        <v>492</v>
      </c>
      <c r="C217" s="137">
        <v>2018</v>
      </c>
      <c r="D217" s="137">
        <v>1.72</v>
      </c>
      <c r="E217" s="137">
        <v>0.77</v>
      </c>
      <c r="F217" s="137">
        <v>0.124</v>
      </c>
      <c r="G217" s="137" t="s">
        <v>193</v>
      </c>
      <c r="H217" s="137" t="s">
        <v>193</v>
      </c>
      <c r="I217" s="137">
        <v>0.82</v>
      </c>
      <c r="J217" s="137" t="s">
        <v>193</v>
      </c>
      <c r="K217" s="137" t="s">
        <v>193</v>
      </c>
      <c r="L217" s="137" t="s">
        <v>193</v>
      </c>
      <c r="M217" s="137" t="s">
        <v>193</v>
      </c>
      <c r="N217" s="137" t="s">
        <v>53</v>
      </c>
      <c r="O217" s="137" t="s">
        <v>193</v>
      </c>
      <c r="P217" s="137" t="s">
        <v>53</v>
      </c>
      <c r="Q217" s="137" t="s">
        <v>193</v>
      </c>
      <c r="R217" s="137" t="s">
        <v>53</v>
      </c>
      <c r="S217" s="137" t="s">
        <v>193</v>
      </c>
      <c r="U217" s="137">
        <f t="shared" si="6"/>
        <v>1.72</v>
      </c>
      <c r="V217" s="171">
        <f t="shared" si="7"/>
        <v>0</v>
      </c>
    </row>
    <row r="218" spans="1:22" ht="15" customHeight="1" x14ac:dyDescent="0.25">
      <c r="A218" s="137" t="s">
        <v>491</v>
      </c>
      <c r="B218" s="137" t="s">
        <v>493</v>
      </c>
      <c r="C218" s="137">
        <v>2018</v>
      </c>
      <c r="D218" s="137">
        <v>10.56</v>
      </c>
      <c r="E218" s="137">
        <v>1.65</v>
      </c>
      <c r="F218" s="137">
        <v>3.18</v>
      </c>
      <c r="G218" s="137" t="s">
        <v>193</v>
      </c>
      <c r="H218" s="137" t="s">
        <v>193</v>
      </c>
      <c r="I218" s="137">
        <v>1.81</v>
      </c>
      <c r="J218" s="137">
        <v>0.75</v>
      </c>
      <c r="K218" s="137" t="s">
        <v>193</v>
      </c>
      <c r="L218" s="137">
        <v>0.12</v>
      </c>
      <c r="M218" s="137">
        <v>3.06</v>
      </c>
      <c r="N218" s="137" t="s">
        <v>53</v>
      </c>
      <c r="O218" s="137" t="s">
        <v>193</v>
      </c>
      <c r="P218" s="137" t="s">
        <v>53</v>
      </c>
      <c r="Q218" s="137" t="s">
        <v>193</v>
      </c>
      <c r="R218" s="137" t="s">
        <v>53</v>
      </c>
      <c r="S218" s="137" t="s">
        <v>193</v>
      </c>
      <c r="U218" s="137">
        <f t="shared" si="6"/>
        <v>10.56</v>
      </c>
      <c r="V218" s="171">
        <f t="shared" si="7"/>
        <v>0</v>
      </c>
    </row>
    <row r="219" spans="1:22" ht="15" customHeight="1" x14ac:dyDescent="0.25">
      <c r="A219" s="137" t="s">
        <v>491</v>
      </c>
      <c r="B219" s="137" t="s">
        <v>494</v>
      </c>
      <c r="C219" s="137">
        <v>2018</v>
      </c>
      <c r="D219" s="137">
        <v>150.80000000000001</v>
      </c>
      <c r="E219" s="137">
        <v>42.8</v>
      </c>
      <c r="F219" s="137">
        <v>25.4</v>
      </c>
      <c r="G219" s="137" t="s">
        <v>193</v>
      </c>
      <c r="H219" s="137" t="s">
        <v>193</v>
      </c>
      <c r="I219" s="137">
        <v>18.8</v>
      </c>
      <c r="J219" s="137">
        <v>23</v>
      </c>
      <c r="K219" s="137">
        <v>29.8</v>
      </c>
      <c r="L219" s="137" t="s">
        <v>193</v>
      </c>
      <c r="M219" s="137">
        <v>20</v>
      </c>
      <c r="N219" s="137" t="s">
        <v>53</v>
      </c>
      <c r="O219" s="137" t="s">
        <v>193</v>
      </c>
      <c r="P219" s="137" t="s">
        <v>53</v>
      </c>
      <c r="Q219" s="137" t="s">
        <v>193</v>
      </c>
      <c r="R219" s="137" t="s">
        <v>53</v>
      </c>
      <c r="S219" s="137" t="s">
        <v>193</v>
      </c>
      <c r="U219" s="137">
        <f t="shared" si="6"/>
        <v>150.80000000000001</v>
      </c>
      <c r="V219" s="171">
        <f t="shared" si="7"/>
        <v>0</v>
      </c>
    </row>
    <row r="220" spans="1:22" ht="15" customHeight="1" x14ac:dyDescent="0.25">
      <c r="A220" s="137" t="s">
        <v>495</v>
      </c>
      <c r="B220" s="137" t="s">
        <v>496</v>
      </c>
      <c r="C220" s="137">
        <v>2018</v>
      </c>
      <c r="D220" s="137">
        <v>49</v>
      </c>
      <c r="E220" s="137">
        <v>25.7</v>
      </c>
      <c r="F220" s="137">
        <v>4.4000000000000004</v>
      </c>
      <c r="G220" s="137">
        <v>7.6</v>
      </c>
      <c r="H220" s="137" t="s">
        <v>193</v>
      </c>
      <c r="I220" s="137">
        <v>8.9</v>
      </c>
      <c r="J220" s="137">
        <v>2.4</v>
      </c>
      <c r="K220" s="137" t="s">
        <v>193</v>
      </c>
      <c r="L220" s="137" t="s">
        <v>193</v>
      </c>
      <c r="M220" s="137" t="s">
        <v>193</v>
      </c>
      <c r="N220" s="137" t="s">
        <v>219</v>
      </c>
      <c r="O220" s="137" t="s">
        <v>193</v>
      </c>
      <c r="P220" s="137" t="s">
        <v>219</v>
      </c>
      <c r="Q220" s="137" t="s">
        <v>193</v>
      </c>
      <c r="R220" s="137" t="s">
        <v>219</v>
      </c>
      <c r="S220" s="137" t="s">
        <v>193</v>
      </c>
      <c r="U220" s="137">
        <f t="shared" si="6"/>
        <v>49</v>
      </c>
      <c r="V220" s="171">
        <f t="shared" si="7"/>
        <v>0</v>
      </c>
    </row>
    <row r="221" spans="1:22" ht="15" customHeight="1" x14ac:dyDescent="0.25">
      <c r="A221" s="137" t="s">
        <v>498</v>
      </c>
      <c r="B221" s="137" t="s">
        <v>499</v>
      </c>
      <c r="C221" s="137">
        <v>2018</v>
      </c>
      <c r="D221" s="137" t="s">
        <v>53</v>
      </c>
      <c r="E221" s="137" t="s">
        <v>53</v>
      </c>
      <c r="F221" s="137" t="s">
        <v>53</v>
      </c>
      <c r="G221" s="137" t="s">
        <v>53</v>
      </c>
      <c r="H221" s="137" t="s">
        <v>53</v>
      </c>
      <c r="I221" s="137" t="s">
        <v>53</v>
      </c>
      <c r="J221" s="137" t="s">
        <v>53</v>
      </c>
      <c r="K221" s="137" t="s">
        <v>53</v>
      </c>
      <c r="L221" s="137" t="s">
        <v>53</v>
      </c>
      <c r="M221" s="137" t="s">
        <v>53</v>
      </c>
      <c r="N221" s="137" t="s">
        <v>53</v>
      </c>
      <c r="O221" s="137" t="s">
        <v>53</v>
      </c>
      <c r="P221" s="137" t="s">
        <v>53</v>
      </c>
      <c r="Q221" s="137" t="s">
        <v>53</v>
      </c>
      <c r="R221" s="137" t="s">
        <v>53</v>
      </c>
      <c r="S221" s="137" t="s">
        <v>53</v>
      </c>
      <c r="U221" s="137">
        <f t="shared" si="6"/>
        <v>0</v>
      </c>
      <c r="V221" s="171">
        <f t="shared" si="7"/>
        <v>0</v>
      </c>
    </row>
    <row r="222" spans="1:22" ht="15" customHeight="1" x14ac:dyDescent="0.25">
      <c r="A222" s="137" t="s">
        <v>498</v>
      </c>
      <c r="B222" s="137" t="s">
        <v>500</v>
      </c>
      <c r="C222" s="137">
        <v>2018</v>
      </c>
      <c r="D222" s="137" t="s">
        <v>53</v>
      </c>
      <c r="E222" s="137" t="s">
        <v>53</v>
      </c>
      <c r="F222" s="137" t="s">
        <v>53</v>
      </c>
      <c r="G222" s="137" t="s">
        <v>53</v>
      </c>
      <c r="H222" s="137" t="s">
        <v>53</v>
      </c>
      <c r="I222" s="137" t="s">
        <v>53</v>
      </c>
      <c r="J222" s="137" t="s">
        <v>53</v>
      </c>
      <c r="K222" s="137" t="s">
        <v>53</v>
      </c>
      <c r="L222" s="137" t="s">
        <v>53</v>
      </c>
      <c r="M222" s="137" t="s">
        <v>53</v>
      </c>
      <c r="N222" s="137" t="s">
        <v>53</v>
      </c>
      <c r="O222" s="137" t="s">
        <v>53</v>
      </c>
      <c r="P222" s="137" t="s">
        <v>53</v>
      </c>
      <c r="Q222" s="137" t="s">
        <v>53</v>
      </c>
      <c r="R222" s="137" t="s">
        <v>53</v>
      </c>
      <c r="S222" s="137" t="s">
        <v>53</v>
      </c>
      <c r="U222" s="137">
        <f t="shared" si="6"/>
        <v>0</v>
      </c>
      <c r="V222" s="171">
        <f t="shared" si="7"/>
        <v>0</v>
      </c>
    </row>
    <row r="223" spans="1:22" ht="15" customHeight="1" x14ac:dyDescent="0.25">
      <c r="A223" s="137" t="s">
        <v>501</v>
      </c>
      <c r="B223" s="137" t="s">
        <v>502</v>
      </c>
      <c r="C223" s="137">
        <v>2018</v>
      </c>
      <c r="D223" s="137">
        <v>148.6</v>
      </c>
      <c r="E223" s="137">
        <v>58.6</v>
      </c>
      <c r="F223" s="137">
        <v>4.9000000000000004</v>
      </c>
      <c r="G223" s="137">
        <v>56.3</v>
      </c>
      <c r="H223" s="137">
        <v>16.7</v>
      </c>
      <c r="I223" s="137">
        <v>16.399999999999999</v>
      </c>
      <c r="J223" s="137">
        <v>12.4</v>
      </c>
      <c r="K223" s="137">
        <v>0</v>
      </c>
      <c r="L223" s="137">
        <v>0</v>
      </c>
      <c r="M223" s="137">
        <v>55.5</v>
      </c>
      <c r="N223" s="137" t="s">
        <v>53</v>
      </c>
      <c r="O223" s="137" t="s">
        <v>193</v>
      </c>
      <c r="P223" s="137" t="s">
        <v>53</v>
      </c>
      <c r="Q223" s="137" t="s">
        <v>193</v>
      </c>
      <c r="R223" s="137" t="s">
        <v>53</v>
      </c>
      <c r="S223" s="137" t="s">
        <v>193</v>
      </c>
      <c r="U223" s="137">
        <f t="shared" si="6"/>
        <v>148.6</v>
      </c>
      <c r="V223" s="171">
        <f t="shared" si="7"/>
        <v>0</v>
      </c>
    </row>
    <row r="224" spans="1:22" ht="15" customHeight="1" x14ac:dyDescent="0.25">
      <c r="A224" s="137" t="s">
        <v>503</v>
      </c>
      <c r="B224" s="137" t="s">
        <v>504</v>
      </c>
      <c r="C224" s="137">
        <v>2018</v>
      </c>
      <c r="D224" s="137">
        <v>82.9</v>
      </c>
      <c r="E224" s="137">
        <v>35</v>
      </c>
      <c r="F224" s="137">
        <v>23.1</v>
      </c>
      <c r="G224" s="137">
        <v>10.199999999999999</v>
      </c>
      <c r="H224" s="137" t="s">
        <v>193</v>
      </c>
      <c r="I224" s="137">
        <v>9.6</v>
      </c>
      <c r="J224" s="137">
        <v>5</v>
      </c>
      <c r="K224" s="137" t="s">
        <v>193</v>
      </c>
      <c r="L224" s="137" t="s">
        <v>193</v>
      </c>
      <c r="M224" s="137" t="s">
        <v>193</v>
      </c>
      <c r="N224" s="137" t="s">
        <v>53</v>
      </c>
      <c r="O224" s="137" t="s">
        <v>193</v>
      </c>
      <c r="P224" s="137" t="s">
        <v>53</v>
      </c>
      <c r="Q224" s="137" t="s">
        <v>193</v>
      </c>
      <c r="R224" s="137" t="s">
        <v>53</v>
      </c>
      <c r="S224" s="137" t="s">
        <v>193</v>
      </c>
      <c r="U224" s="137">
        <f t="shared" si="6"/>
        <v>82.9</v>
      </c>
      <c r="V224" s="171">
        <f t="shared" si="7"/>
        <v>0</v>
      </c>
    </row>
    <row r="225" spans="1:22" ht="15" customHeight="1" x14ac:dyDescent="0.25">
      <c r="A225" s="137" t="s">
        <v>505</v>
      </c>
      <c r="B225" s="137" t="s">
        <v>119</v>
      </c>
      <c r="C225" s="137">
        <v>2018</v>
      </c>
      <c r="D225" s="137" t="s">
        <v>53</v>
      </c>
      <c r="E225" s="137" t="s">
        <v>53</v>
      </c>
      <c r="F225" s="137" t="s">
        <v>53</v>
      </c>
      <c r="G225" s="137" t="s">
        <v>53</v>
      </c>
      <c r="H225" s="137" t="s">
        <v>53</v>
      </c>
      <c r="I225" s="137" t="s">
        <v>53</v>
      </c>
      <c r="J225" s="137" t="s">
        <v>53</v>
      </c>
      <c r="K225" s="137" t="s">
        <v>53</v>
      </c>
      <c r="L225" s="137" t="s">
        <v>53</v>
      </c>
      <c r="M225" s="137" t="s">
        <v>53</v>
      </c>
      <c r="N225" s="137" t="s">
        <v>53</v>
      </c>
      <c r="O225" s="137" t="s">
        <v>53</v>
      </c>
      <c r="P225" s="137" t="s">
        <v>53</v>
      </c>
      <c r="Q225" s="137" t="s">
        <v>53</v>
      </c>
      <c r="R225" s="137" t="s">
        <v>53</v>
      </c>
      <c r="S225" s="137" t="s">
        <v>53</v>
      </c>
      <c r="U225" s="137">
        <f t="shared" si="6"/>
        <v>0</v>
      </c>
      <c r="V225" s="171">
        <f t="shared" si="7"/>
        <v>0</v>
      </c>
    </row>
    <row r="226" spans="1:22" ht="15" customHeight="1" x14ac:dyDescent="0.25">
      <c r="A226" s="137" t="s">
        <v>506</v>
      </c>
      <c r="B226" s="137" t="s">
        <v>507</v>
      </c>
      <c r="C226" s="137">
        <v>2018</v>
      </c>
      <c r="D226" s="137">
        <v>158</v>
      </c>
      <c r="E226" s="137">
        <v>81</v>
      </c>
      <c r="F226" s="137">
        <v>39</v>
      </c>
      <c r="G226" s="137">
        <v>7</v>
      </c>
      <c r="H226" s="137">
        <v>0</v>
      </c>
      <c r="I226" s="137">
        <v>12</v>
      </c>
      <c r="J226" s="137">
        <v>19</v>
      </c>
      <c r="K226" s="137">
        <v>0</v>
      </c>
      <c r="L226" s="137">
        <v>0</v>
      </c>
      <c r="M226" s="137">
        <v>0</v>
      </c>
      <c r="N226" s="137" t="s">
        <v>193</v>
      </c>
      <c r="O226" s="137" t="s">
        <v>193</v>
      </c>
      <c r="P226" s="137" t="s">
        <v>193</v>
      </c>
      <c r="Q226" s="137" t="s">
        <v>193</v>
      </c>
      <c r="R226" s="137" t="s">
        <v>193</v>
      </c>
      <c r="S226" s="137" t="s">
        <v>193</v>
      </c>
      <c r="U226" s="137">
        <f t="shared" si="6"/>
        <v>158</v>
      </c>
      <c r="V226" s="171">
        <f t="shared" si="7"/>
        <v>0</v>
      </c>
    </row>
    <row r="227" spans="1:22" ht="15" customHeight="1" x14ac:dyDescent="0.25">
      <c r="A227" s="137" t="s">
        <v>38</v>
      </c>
      <c r="B227" s="141" t="s">
        <v>40</v>
      </c>
      <c r="C227" s="137">
        <v>2018</v>
      </c>
      <c r="D227" s="137" t="s">
        <v>53</v>
      </c>
      <c r="E227" s="137" t="s">
        <v>53</v>
      </c>
      <c r="F227" s="137" t="s">
        <v>53</v>
      </c>
      <c r="G227" s="137" t="s">
        <v>53</v>
      </c>
      <c r="H227" s="137" t="s">
        <v>53</v>
      </c>
      <c r="I227" s="137" t="s">
        <v>53</v>
      </c>
      <c r="J227" s="137" t="s">
        <v>53</v>
      </c>
      <c r="K227" s="137" t="s">
        <v>53</v>
      </c>
      <c r="L227" s="137" t="s">
        <v>53</v>
      </c>
      <c r="M227" s="137" t="s">
        <v>53</v>
      </c>
      <c r="N227" s="137" t="s">
        <v>53</v>
      </c>
      <c r="O227" s="137" t="s">
        <v>53</v>
      </c>
      <c r="P227" s="137" t="s">
        <v>53</v>
      </c>
      <c r="Q227" s="137" t="s">
        <v>53</v>
      </c>
      <c r="R227" s="137" t="s">
        <v>53</v>
      </c>
      <c r="S227" s="137" t="s">
        <v>53</v>
      </c>
      <c r="U227" s="137">
        <f t="shared" si="6"/>
        <v>0</v>
      </c>
      <c r="V227" s="171">
        <f t="shared" si="7"/>
        <v>0</v>
      </c>
    </row>
    <row r="228" spans="1:22" ht="15" customHeight="1" x14ac:dyDescent="0.25">
      <c r="A228" s="137" t="s">
        <v>4</v>
      </c>
      <c r="B228" s="137" t="s">
        <v>508</v>
      </c>
      <c r="C228" s="137">
        <v>2018</v>
      </c>
      <c r="D228" s="137" t="s">
        <v>53</v>
      </c>
      <c r="E228" s="137" t="s">
        <v>53</v>
      </c>
      <c r="F228" s="137" t="s">
        <v>53</v>
      </c>
      <c r="G228" s="137" t="s">
        <v>53</v>
      </c>
      <c r="H228" s="137" t="s">
        <v>53</v>
      </c>
      <c r="I228" s="137" t="s">
        <v>53</v>
      </c>
      <c r="J228" s="137" t="s">
        <v>53</v>
      </c>
      <c r="K228" s="137" t="s">
        <v>53</v>
      </c>
      <c r="L228" s="137" t="s">
        <v>53</v>
      </c>
      <c r="M228" s="137" t="s">
        <v>53</v>
      </c>
      <c r="N228" s="137" t="s">
        <v>53</v>
      </c>
      <c r="O228" s="137" t="s">
        <v>53</v>
      </c>
      <c r="P228" s="137" t="s">
        <v>53</v>
      </c>
      <c r="Q228" s="137" t="s">
        <v>53</v>
      </c>
      <c r="R228" s="137" t="s">
        <v>53</v>
      </c>
      <c r="S228" s="137" t="s">
        <v>53</v>
      </c>
      <c r="U228" s="137">
        <f t="shared" si="6"/>
        <v>0</v>
      </c>
      <c r="V228" s="171">
        <f t="shared" si="7"/>
        <v>0</v>
      </c>
    </row>
    <row r="229" spans="1:22" ht="15" customHeight="1" x14ac:dyDescent="0.25">
      <c r="A229" s="137" t="s">
        <v>4</v>
      </c>
      <c r="B229" s="137" t="s">
        <v>509</v>
      </c>
      <c r="C229" s="137">
        <v>2018</v>
      </c>
      <c r="D229" s="137" t="s">
        <v>53</v>
      </c>
      <c r="E229" s="137" t="s">
        <v>53</v>
      </c>
      <c r="F229" s="137" t="s">
        <v>53</v>
      </c>
      <c r="G229" s="137" t="s">
        <v>53</v>
      </c>
      <c r="H229" s="137" t="s">
        <v>53</v>
      </c>
      <c r="I229" s="137" t="s">
        <v>53</v>
      </c>
      <c r="J229" s="137" t="s">
        <v>53</v>
      </c>
      <c r="K229" s="137" t="s">
        <v>53</v>
      </c>
      <c r="L229" s="137" t="s">
        <v>53</v>
      </c>
      <c r="M229" s="137" t="s">
        <v>53</v>
      </c>
      <c r="N229" s="137" t="s">
        <v>53</v>
      </c>
      <c r="O229" s="137" t="s">
        <v>53</v>
      </c>
      <c r="P229" s="137" t="s">
        <v>53</v>
      </c>
      <c r="Q229" s="137" t="s">
        <v>53</v>
      </c>
      <c r="R229" s="137" t="s">
        <v>53</v>
      </c>
      <c r="S229" s="137" t="s">
        <v>53</v>
      </c>
      <c r="U229" s="137">
        <f t="shared" si="6"/>
        <v>0</v>
      </c>
      <c r="V229" s="171">
        <f t="shared" si="7"/>
        <v>0</v>
      </c>
    </row>
    <row r="230" spans="1:22" ht="15" customHeight="1" x14ac:dyDescent="0.25">
      <c r="A230" s="137" t="s">
        <v>4</v>
      </c>
      <c r="B230" s="137" t="s">
        <v>5</v>
      </c>
      <c r="C230" s="137">
        <v>2018</v>
      </c>
      <c r="D230" s="137" t="s">
        <v>53</v>
      </c>
      <c r="E230" s="137" t="s">
        <v>53</v>
      </c>
      <c r="F230" s="137" t="s">
        <v>53</v>
      </c>
      <c r="G230" s="137" t="s">
        <v>53</v>
      </c>
      <c r="H230" s="137" t="s">
        <v>53</v>
      </c>
      <c r="I230" s="137" t="s">
        <v>53</v>
      </c>
      <c r="J230" s="137" t="s">
        <v>53</v>
      </c>
      <c r="K230" s="137" t="s">
        <v>53</v>
      </c>
      <c r="L230" s="137" t="s">
        <v>53</v>
      </c>
      <c r="M230" s="137" t="s">
        <v>53</v>
      </c>
      <c r="N230" s="137" t="s">
        <v>53</v>
      </c>
      <c r="O230" s="137" t="s">
        <v>53</v>
      </c>
      <c r="P230" s="137" t="s">
        <v>53</v>
      </c>
      <c r="Q230" s="137" t="s">
        <v>53</v>
      </c>
      <c r="R230" s="137" t="s">
        <v>53</v>
      </c>
      <c r="S230" s="137" t="s">
        <v>53</v>
      </c>
      <c r="U230" s="137">
        <f t="shared" si="6"/>
        <v>0</v>
      </c>
      <c r="V230" s="171">
        <f t="shared" si="7"/>
        <v>0</v>
      </c>
    </row>
    <row r="231" spans="1:22" ht="15" customHeight="1" x14ac:dyDescent="0.25">
      <c r="A231" s="137" t="s">
        <v>510</v>
      </c>
      <c r="B231" s="137" t="s">
        <v>511</v>
      </c>
      <c r="C231" s="137">
        <v>2018</v>
      </c>
      <c r="D231" s="137">
        <v>45.8</v>
      </c>
      <c r="E231" s="137">
        <v>18.7</v>
      </c>
      <c r="F231" s="137">
        <v>16.399999999999999</v>
      </c>
      <c r="G231" s="137">
        <v>3.1</v>
      </c>
      <c r="H231" s="137">
        <v>0</v>
      </c>
      <c r="I231" s="137">
        <v>6.3</v>
      </c>
      <c r="J231" s="137">
        <v>1.3</v>
      </c>
      <c r="K231" s="137">
        <v>0</v>
      </c>
      <c r="L231" s="137">
        <v>0</v>
      </c>
      <c r="M231" s="137">
        <v>0</v>
      </c>
      <c r="N231" s="137" t="s">
        <v>193</v>
      </c>
      <c r="O231" s="137" t="s">
        <v>193</v>
      </c>
      <c r="P231" s="137" t="s">
        <v>193</v>
      </c>
      <c r="Q231" s="137" t="s">
        <v>193</v>
      </c>
      <c r="R231" s="137" t="s">
        <v>193</v>
      </c>
      <c r="S231" s="137" t="s">
        <v>193</v>
      </c>
      <c r="U231" s="137">
        <f t="shared" si="6"/>
        <v>45.8</v>
      </c>
      <c r="V231" s="171">
        <f t="shared" si="7"/>
        <v>0</v>
      </c>
    </row>
    <row r="232" spans="1:22" ht="15" customHeight="1" x14ac:dyDescent="0.25">
      <c r="A232" s="137" t="s">
        <v>513</v>
      </c>
      <c r="B232" s="137" t="s">
        <v>514</v>
      </c>
      <c r="C232" s="137">
        <v>2018</v>
      </c>
      <c r="D232" s="137">
        <v>6.06</v>
      </c>
      <c r="E232" s="137">
        <v>2.09</v>
      </c>
      <c r="F232" s="137">
        <v>1.58</v>
      </c>
      <c r="G232" s="137" t="s">
        <v>193</v>
      </c>
      <c r="H232" s="137" t="s">
        <v>193</v>
      </c>
      <c r="I232" s="137">
        <v>1.87</v>
      </c>
      <c r="J232" s="137">
        <v>0.52</v>
      </c>
      <c r="K232" s="137" t="s">
        <v>193</v>
      </c>
      <c r="L232" s="137" t="s">
        <v>193</v>
      </c>
      <c r="M232" s="137" t="s">
        <v>193</v>
      </c>
      <c r="N232" s="137" t="s">
        <v>53</v>
      </c>
      <c r="O232" s="137" t="s">
        <v>193</v>
      </c>
      <c r="P232" s="137" t="s">
        <v>53</v>
      </c>
      <c r="Q232" s="137" t="s">
        <v>193</v>
      </c>
      <c r="R232" s="137" t="s">
        <v>53</v>
      </c>
      <c r="S232" s="137" t="s">
        <v>193</v>
      </c>
      <c r="U232" s="137">
        <f t="shared" si="6"/>
        <v>6.06</v>
      </c>
      <c r="V232" s="171">
        <f t="shared" si="7"/>
        <v>0</v>
      </c>
    </row>
    <row r="233" spans="1:22" ht="15" customHeight="1" x14ac:dyDescent="0.25">
      <c r="A233" s="137" t="s">
        <v>513</v>
      </c>
      <c r="B233" s="137" t="s">
        <v>515</v>
      </c>
      <c r="C233" s="137">
        <v>2018</v>
      </c>
      <c r="D233" s="137">
        <v>246.8</v>
      </c>
      <c r="E233" s="137">
        <v>80.7</v>
      </c>
      <c r="F233" s="137">
        <v>69</v>
      </c>
      <c r="G233" s="137">
        <v>18.100000000000001</v>
      </c>
      <c r="H233" s="137" t="s">
        <v>193</v>
      </c>
      <c r="I233" s="137">
        <v>40</v>
      </c>
      <c r="J233" s="137">
        <v>36.200000000000003</v>
      </c>
      <c r="K233" s="137">
        <v>2.76</v>
      </c>
      <c r="L233" s="137" t="s">
        <v>193</v>
      </c>
      <c r="M233" s="137" t="s">
        <v>193</v>
      </c>
      <c r="N233" s="137" t="s">
        <v>53</v>
      </c>
      <c r="O233" s="137" t="s">
        <v>193</v>
      </c>
      <c r="P233" s="137" t="s">
        <v>53</v>
      </c>
      <c r="Q233" s="137" t="s">
        <v>193</v>
      </c>
      <c r="R233" s="137" t="s">
        <v>53</v>
      </c>
      <c r="S233" s="137" t="s">
        <v>193</v>
      </c>
      <c r="U233" s="137">
        <f t="shared" si="6"/>
        <v>246.8</v>
      </c>
      <c r="V233" s="171">
        <f t="shared" si="7"/>
        <v>0</v>
      </c>
    </row>
    <row r="234" spans="1:22" ht="15" customHeight="1" x14ac:dyDescent="0.25">
      <c r="A234" s="137" t="s">
        <v>513</v>
      </c>
      <c r="B234" s="137" t="s">
        <v>517</v>
      </c>
      <c r="C234" s="137">
        <v>2018</v>
      </c>
      <c r="D234" s="137">
        <v>1.468</v>
      </c>
      <c r="E234" s="137">
        <v>0.69299999999999995</v>
      </c>
      <c r="F234" s="137" t="s">
        <v>193</v>
      </c>
      <c r="G234" s="137" t="s">
        <v>193</v>
      </c>
      <c r="H234" s="137" t="s">
        <v>193</v>
      </c>
      <c r="I234" s="137">
        <v>0.63900000000000001</v>
      </c>
      <c r="J234" s="137">
        <v>0.13600000000000001</v>
      </c>
      <c r="K234" s="137" t="s">
        <v>193</v>
      </c>
      <c r="L234" s="137" t="s">
        <v>193</v>
      </c>
      <c r="M234" s="137" t="s">
        <v>193</v>
      </c>
      <c r="N234" s="137" t="s">
        <v>53</v>
      </c>
      <c r="O234" s="137" t="s">
        <v>193</v>
      </c>
      <c r="P234" s="137" t="s">
        <v>53</v>
      </c>
      <c r="Q234" s="137" t="s">
        <v>193</v>
      </c>
      <c r="R234" s="137" t="s">
        <v>53</v>
      </c>
      <c r="S234" s="137" t="s">
        <v>193</v>
      </c>
      <c r="U234" s="137">
        <f t="shared" si="6"/>
        <v>1.468</v>
      </c>
      <c r="V234" s="171">
        <f t="shared" si="7"/>
        <v>0</v>
      </c>
    </row>
    <row r="235" spans="1:22" ht="15" customHeight="1" x14ac:dyDescent="0.25">
      <c r="A235" s="137" t="s">
        <v>513</v>
      </c>
      <c r="B235" s="137" t="s">
        <v>518</v>
      </c>
      <c r="C235" s="137">
        <v>2018</v>
      </c>
      <c r="D235" s="137">
        <v>2.09</v>
      </c>
      <c r="E235" s="137">
        <v>0.59</v>
      </c>
      <c r="F235" s="137">
        <v>0.151</v>
      </c>
      <c r="G235" s="137" t="s">
        <v>193</v>
      </c>
      <c r="H235" s="137" t="s">
        <v>193</v>
      </c>
      <c r="I235" s="137">
        <v>1.29</v>
      </c>
      <c r="J235" s="137">
        <v>6.3E-2</v>
      </c>
      <c r="K235" s="137" t="s">
        <v>193</v>
      </c>
      <c r="L235" s="137" t="s">
        <v>193</v>
      </c>
      <c r="M235" s="137" t="s">
        <v>193</v>
      </c>
      <c r="N235" s="137" t="s">
        <v>53</v>
      </c>
      <c r="O235" s="137" t="s">
        <v>193</v>
      </c>
      <c r="P235" s="137" t="s">
        <v>53</v>
      </c>
      <c r="Q235" s="137" t="s">
        <v>193</v>
      </c>
      <c r="R235" s="137" t="s">
        <v>53</v>
      </c>
      <c r="S235" s="137" t="s">
        <v>193</v>
      </c>
      <c r="U235" s="137">
        <f t="shared" si="6"/>
        <v>2.09</v>
      </c>
      <c r="V235" s="171">
        <f t="shared" si="7"/>
        <v>0</v>
      </c>
    </row>
    <row r="236" spans="1:22" ht="15" customHeight="1" x14ac:dyDescent="0.25">
      <c r="A236" s="137" t="s">
        <v>519</v>
      </c>
      <c r="B236" s="137" t="s">
        <v>520</v>
      </c>
      <c r="C236" s="137">
        <v>2018</v>
      </c>
      <c r="D236" s="137" t="s">
        <v>53</v>
      </c>
      <c r="E236" s="137" t="s">
        <v>53</v>
      </c>
      <c r="F236" s="137" t="s">
        <v>53</v>
      </c>
      <c r="G236" s="137" t="s">
        <v>53</v>
      </c>
      <c r="H236" s="137" t="s">
        <v>53</v>
      </c>
      <c r="I236" s="137" t="s">
        <v>53</v>
      </c>
      <c r="J236" s="137" t="s">
        <v>53</v>
      </c>
      <c r="K236" s="137" t="s">
        <v>53</v>
      </c>
      <c r="L236" s="137" t="s">
        <v>53</v>
      </c>
      <c r="M236" s="137" t="s">
        <v>53</v>
      </c>
      <c r="N236" s="137" t="s">
        <v>53</v>
      </c>
      <c r="O236" s="137" t="s">
        <v>53</v>
      </c>
      <c r="P236" s="137" t="s">
        <v>53</v>
      </c>
      <c r="Q236" s="137" t="s">
        <v>53</v>
      </c>
      <c r="R236" s="137" t="s">
        <v>53</v>
      </c>
      <c r="S236" s="137" t="s">
        <v>53</v>
      </c>
      <c r="U236" s="137">
        <f t="shared" si="6"/>
        <v>0</v>
      </c>
      <c r="V236" s="171">
        <f t="shared" si="7"/>
        <v>0</v>
      </c>
    </row>
    <row r="237" spans="1:22" ht="15" customHeight="1" x14ac:dyDescent="0.25">
      <c r="A237" s="137" t="s">
        <v>521</v>
      </c>
      <c r="B237" s="137" t="s">
        <v>522</v>
      </c>
      <c r="C237" s="137">
        <v>2018</v>
      </c>
      <c r="D237" s="137">
        <v>14.6</v>
      </c>
      <c r="E237" s="137">
        <v>3</v>
      </c>
      <c r="F237" s="137">
        <v>4.2</v>
      </c>
      <c r="G237" s="137">
        <v>3.5</v>
      </c>
      <c r="H237" s="137">
        <v>0</v>
      </c>
      <c r="I237" s="137">
        <v>3.9</v>
      </c>
      <c r="J237" s="137">
        <v>0</v>
      </c>
      <c r="K237" s="137">
        <v>0</v>
      </c>
      <c r="L237" s="137" t="s">
        <v>193</v>
      </c>
      <c r="M237" s="137" t="s">
        <v>193</v>
      </c>
      <c r="N237" s="137" t="s">
        <v>53</v>
      </c>
      <c r="O237" s="137" t="s">
        <v>193</v>
      </c>
      <c r="P237" s="137" t="s">
        <v>53</v>
      </c>
      <c r="Q237" s="137" t="s">
        <v>193</v>
      </c>
      <c r="R237" s="137" t="s">
        <v>53</v>
      </c>
      <c r="S237" s="137" t="s">
        <v>193</v>
      </c>
      <c r="U237" s="137">
        <f t="shared" si="6"/>
        <v>14.6</v>
      </c>
      <c r="V237" s="171">
        <f t="shared" si="7"/>
        <v>0</v>
      </c>
    </row>
    <row r="238" spans="1:22" ht="15" customHeight="1" x14ac:dyDescent="0.25">
      <c r="A238" s="137" t="s">
        <v>521</v>
      </c>
      <c r="B238" s="137" t="s">
        <v>523</v>
      </c>
      <c r="C238" s="137">
        <v>2018</v>
      </c>
      <c r="D238" s="137">
        <v>106.9</v>
      </c>
      <c r="E238" s="137">
        <v>69.7</v>
      </c>
      <c r="F238" s="137">
        <v>7.7</v>
      </c>
      <c r="G238" s="137">
        <v>10.4</v>
      </c>
      <c r="H238" s="137">
        <v>0</v>
      </c>
      <c r="I238" s="137">
        <v>16.2</v>
      </c>
      <c r="J238" s="137">
        <v>2.6</v>
      </c>
      <c r="K238" s="137" t="s">
        <v>193</v>
      </c>
      <c r="L238" s="137">
        <v>0.3</v>
      </c>
      <c r="M238" s="137" t="s">
        <v>193</v>
      </c>
      <c r="N238" s="137" t="s">
        <v>53</v>
      </c>
      <c r="O238" s="137" t="s">
        <v>193</v>
      </c>
      <c r="P238" s="137" t="s">
        <v>53</v>
      </c>
      <c r="Q238" s="137" t="s">
        <v>193</v>
      </c>
      <c r="R238" s="137" t="s">
        <v>53</v>
      </c>
      <c r="S238" s="137" t="s">
        <v>193</v>
      </c>
      <c r="U238" s="137">
        <f t="shared" si="6"/>
        <v>106.9</v>
      </c>
      <c r="V238" s="171">
        <f t="shared" si="7"/>
        <v>0</v>
      </c>
    </row>
    <row r="239" spans="1:22" ht="15" customHeight="1" x14ac:dyDescent="0.25">
      <c r="A239" s="137" t="s">
        <v>524</v>
      </c>
      <c r="B239" s="137" t="s">
        <v>525</v>
      </c>
      <c r="C239" s="137">
        <v>2018</v>
      </c>
      <c r="D239" s="137">
        <v>146.04</v>
      </c>
      <c r="E239" s="137">
        <v>62.7</v>
      </c>
      <c r="F239" s="137">
        <v>18.03</v>
      </c>
      <c r="G239" s="137">
        <v>6.05</v>
      </c>
      <c r="H239" s="137" t="s">
        <v>193</v>
      </c>
      <c r="I239" s="137">
        <v>36.81</v>
      </c>
      <c r="J239" s="137">
        <v>21.19</v>
      </c>
      <c r="K239" s="137">
        <v>1.26</v>
      </c>
      <c r="L239" s="137" t="s">
        <v>312</v>
      </c>
      <c r="M239" s="137" t="s">
        <v>312</v>
      </c>
      <c r="N239" s="137" t="s">
        <v>53</v>
      </c>
      <c r="O239" s="137" t="s">
        <v>193</v>
      </c>
      <c r="P239" s="137" t="s">
        <v>53</v>
      </c>
      <c r="Q239" s="137" t="s">
        <v>193</v>
      </c>
      <c r="R239" s="137" t="s">
        <v>53</v>
      </c>
      <c r="S239" s="137" t="s">
        <v>193</v>
      </c>
      <c r="U239" s="137">
        <f t="shared" si="6"/>
        <v>146.04</v>
      </c>
      <c r="V239" s="171">
        <f t="shared" si="7"/>
        <v>0</v>
      </c>
    </row>
    <row r="240" spans="1:22" ht="15" customHeight="1" x14ac:dyDescent="0.25">
      <c r="A240" s="137" t="s">
        <v>526</v>
      </c>
      <c r="B240" s="137" t="s">
        <v>527</v>
      </c>
      <c r="C240" s="137">
        <v>2018</v>
      </c>
      <c r="D240" s="137">
        <v>215</v>
      </c>
      <c r="E240" s="137">
        <v>99</v>
      </c>
      <c r="F240" s="137">
        <v>39</v>
      </c>
      <c r="G240" s="137">
        <v>21</v>
      </c>
      <c r="H240" s="137" t="s">
        <v>193</v>
      </c>
      <c r="I240" s="137">
        <v>23</v>
      </c>
      <c r="J240" s="137">
        <v>30</v>
      </c>
      <c r="K240" s="137">
        <v>1.9</v>
      </c>
      <c r="L240" s="137" t="s">
        <v>193</v>
      </c>
      <c r="M240" s="137" t="s">
        <v>193</v>
      </c>
      <c r="N240" s="137" t="s">
        <v>53</v>
      </c>
      <c r="O240" s="137" t="s">
        <v>193</v>
      </c>
      <c r="P240" s="137" t="s">
        <v>53</v>
      </c>
      <c r="Q240" s="137" t="s">
        <v>193</v>
      </c>
      <c r="R240" s="137" t="s">
        <v>53</v>
      </c>
      <c r="S240" s="137" t="s">
        <v>193</v>
      </c>
      <c r="U240" s="137">
        <f t="shared" si="6"/>
        <v>215</v>
      </c>
      <c r="V240" s="171">
        <f t="shared" si="7"/>
        <v>0</v>
      </c>
    </row>
    <row r="241" spans="1:22" ht="15" customHeight="1" x14ac:dyDescent="0.25">
      <c r="A241" s="137" t="s">
        <v>528</v>
      </c>
      <c r="B241" s="137" t="s">
        <v>529</v>
      </c>
      <c r="C241" s="137">
        <v>2018</v>
      </c>
      <c r="D241" s="137">
        <v>149.37200000000001</v>
      </c>
      <c r="E241" s="137">
        <v>77.292000000000002</v>
      </c>
      <c r="F241" s="137">
        <v>13.98</v>
      </c>
      <c r="G241" s="137">
        <v>22.468</v>
      </c>
      <c r="H241" s="137">
        <v>18.803999999999998</v>
      </c>
      <c r="I241" s="137">
        <v>15.510999999999999</v>
      </c>
      <c r="J241" s="137">
        <v>19.024999999999999</v>
      </c>
      <c r="K241" s="137">
        <v>0.159</v>
      </c>
      <c r="L241" s="137">
        <v>0.80200000000000005</v>
      </c>
      <c r="M241" s="137" t="s">
        <v>193</v>
      </c>
      <c r="N241" s="137" t="s">
        <v>53</v>
      </c>
      <c r="O241" s="137" t="s">
        <v>193</v>
      </c>
      <c r="P241" s="137" t="s">
        <v>53</v>
      </c>
      <c r="Q241" s="137" t="s">
        <v>193</v>
      </c>
      <c r="R241" s="137" t="s">
        <v>53</v>
      </c>
      <c r="S241" s="137" t="s">
        <v>193</v>
      </c>
      <c r="U241" s="137">
        <f t="shared" si="6"/>
        <v>149.37200000000001</v>
      </c>
      <c r="V241" s="171">
        <f t="shared" si="7"/>
        <v>0</v>
      </c>
    </row>
    <row r="242" spans="1:22" ht="15" customHeight="1" x14ac:dyDescent="0.25">
      <c r="A242" s="137" t="s">
        <v>530</v>
      </c>
      <c r="B242" s="137" t="s">
        <v>531</v>
      </c>
      <c r="C242" s="137">
        <v>2018</v>
      </c>
      <c r="D242" s="137">
        <v>88.4</v>
      </c>
      <c r="E242" s="137">
        <v>44.8</v>
      </c>
      <c r="F242" s="137">
        <v>5.0999999999999996</v>
      </c>
      <c r="G242" s="137">
        <v>11.7</v>
      </c>
      <c r="H242" s="137">
        <v>0</v>
      </c>
      <c r="I242" s="137">
        <v>2.1</v>
      </c>
      <c r="J242" s="137">
        <v>23.7</v>
      </c>
      <c r="K242" s="137">
        <v>0</v>
      </c>
      <c r="L242" s="137">
        <v>1</v>
      </c>
      <c r="M242" s="137">
        <v>0</v>
      </c>
      <c r="N242" s="137" t="s">
        <v>53</v>
      </c>
      <c r="O242" s="137" t="s">
        <v>193</v>
      </c>
      <c r="P242" s="137" t="s">
        <v>53</v>
      </c>
      <c r="Q242" s="137" t="s">
        <v>193</v>
      </c>
      <c r="R242" s="137" t="s">
        <v>53</v>
      </c>
      <c r="S242" s="137" t="s">
        <v>193</v>
      </c>
      <c r="U242" s="137">
        <f t="shared" si="6"/>
        <v>88.4</v>
      </c>
      <c r="V242" s="171">
        <f t="shared" si="7"/>
        <v>0</v>
      </c>
    </row>
    <row r="243" spans="1:22" ht="15" customHeight="1" x14ac:dyDescent="0.25">
      <c r="A243" s="137" t="s">
        <v>532</v>
      </c>
      <c r="B243" s="137" t="s">
        <v>533</v>
      </c>
      <c r="C243" s="137">
        <v>2018</v>
      </c>
      <c r="D243" s="137">
        <v>7.9029999999999996</v>
      </c>
      <c r="E243" s="137">
        <v>4.4850000000000003</v>
      </c>
      <c r="F243" s="137">
        <v>0.434</v>
      </c>
      <c r="G243" s="137">
        <v>0.20499999999999999</v>
      </c>
      <c r="H243" s="137" t="s">
        <v>193</v>
      </c>
      <c r="I243" s="137">
        <v>2.1640000000000001</v>
      </c>
      <c r="J243" s="137">
        <v>0.61499999999999999</v>
      </c>
      <c r="K243" s="137" t="s">
        <v>193</v>
      </c>
      <c r="L243" s="137" t="s">
        <v>193</v>
      </c>
      <c r="M243" s="137" t="s">
        <v>193</v>
      </c>
      <c r="N243" s="137" t="s">
        <v>53</v>
      </c>
      <c r="O243" s="137" t="s">
        <v>193</v>
      </c>
      <c r="P243" s="137" t="s">
        <v>53</v>
      </c>
      <c r="Q243" s="137" t="s">
        <v>193</v>
      </c>
      <c r="R243" s="137" t="s">
        <v>53</v>
      </c>
      <c r="S243" s="137" t="s">
        <v>193</v>
      </c>
      <c r="U243" s="137">
        <f t="shared" si="6"/>
        <v>7.9029999999999996</v>
      </c>
      <c r="V243" s="171">
        <f t="shared" si="7"/>
        <v>0</v>
      </c>
    </row>
    <row r="244" spans="1:22" ht="15" customHeight="1" x14ac:dyDescent="0.25">
      <c r="A244" s="137" t="s">
        <v>532</v>
      </c>
      <c r="B244" s="137" t="s">
        <v>534</v>
      </c>
      <c r="C244" s="137">
        <v>2018</v>
      </c>
      <c r="D244" s="137">
        <v>7.8559999999999999</v>
      </c>
      <c r="E244" s="137">
        <v>1.387</v>
      </c>
      <c r="F244" s="137">
        <v>1.087</v>
      </c>
      <c r="G244" s="137">
        <v>0</v>
      </c>
      <c r="H244" s="137" t="s">
        <v>193</v>
      </c>
      <c r="I244" s="137">
        <v>4.367</v>
      </c>
      <c r="J244" s="137">
        <v>1.0149999999999999</v>
      </c>
      <c r="K244" s="137" t="s">
        <v>193</v>
      </c>
      <c r="L244" s="137" t="s">
        <v>193</v>
      </c>
      <c r="M244" s="137" t="s">
        <v>193</v>
      </c>
      <c r="N244" s="137" t="s">
        <v>53</v>
      </c>
      <c r="O244" s="137" t="s">
        <v>193</v>
      </c>
      <c r="P244" s="137" t="s">
        <v>53</v>
      </c>
      <c r="Q244" s="137" t="s">
        <v>193</v>
      </c>
      <c r="R244" s="137" t="s">
        <v>53</v>
      </c>
      <c r="S244" s="137" t="s">
        <v>193</v>
      </c>
      <c r="U244" s="137">
        <f t="shared" si="6"/>
        <v>7.8559999999999999</v>
      </c>
      <c r="V244" s="171">
        <f t="shared" si="7"/>
        <v>0</v>
      </c>
    </row>
    <row r="245" spans="1:22" ht="15" customHeight="1" x14ac:dyDescent="0.25">
      <c r="A245" s="137" t="s">
        <v>532</v>
      </c>
      <c r="B245" s="137" t="s">
        <v>536</v>
      </c>
      <c r="C245" s="137">
        <v>2018</v>
      </c>
      <c r="D245" s="137">
        <v>15.5</v>
      </c>
      <c r="E245" s="137">
        <v>2.4860000000000002</v>
      </c>
      <c r="F245" s="137">
        <v>3.4790000000000001</v>
      </c>
      <c r="G245" s="137">
        <v>3.0819999999999999</v>
      </c>
      <c r="H245" s="137" t="s">
        <v>193</v>
      </c>
      <c r="I245" s="137">
        <v>5.5860000000000003</v>
      </c>
      <c r="J245" s="137">
        <v>0.86599999999999999</v>
      </c>
      <c r="K245" s="137" t="s">
        <v>193</v>
      </c>
      <c r="L245" s="137" t="s">
        <v>193</v>
      </c>
      <c r="M245" s="137" t="s">
        <v>193</v>
      </c>
      <c r="N245" s="137" t="s">
        <v>53</v>
      </c>
      <c r="O245" s="137" t="s">
        <v>193</v>
      </c>
      <c r="P245" s="137" t="s">
        <v>53</v>
      </c>
      <c r="Q245" s="137" t="s">
        <v>193</v>
      </c>
      <c r="R245" s="137" t="s">
        <v>53</v>
      </c>
      <c r="S245" s="137" t="s">
        <v>193</v>
      </c>
      <c r="U245" s="137">
        <f t="shared" si="6"/>
        <v>15.5</v>
      </c>
      <c r="V245" s="171">
        <f t="shared" si="7"/>
        <v>0</v>
      </c>
    </row>
    <row r="246" spans="1:22" ht="15" customHeight="1" x14ac:dyDescent="0.25">
      <c r="A246" s="137" t="s">
        <v>532</v>
      </c>
      <c r="B246" s="137" t="s">
        <v>537</v>
      </c>
      <c r="C246" s="137">
        <v>2018</v>
      </c>
      <c r="D246" s="137">
        <v>10.94</v>
      </c>
      <c r="E246" s="137">
        <v>2.7</v>
      </c>
      <c r="F246" s="137">
        <v>0.57799999999999996</v>
      </c>
      <c r="G246" s="137">
        <v>4.5490000000000004</v>
      </c>
      <c r="H246" s="137" t="s">
        <v>193</v>
      </c>
      <c r="I246" s="137">
        <v>2.9260000000000002</v>
      </c>
      <c r="J246" s="137">
        <v>0.187</v>
      </c>
      <c r="K246" s="137" t="s">
        <v>193</v>
      </c>
      <c r="L246" s="137" t="s">
        <v>193</v>
      </c>
      <c r="M246" s="137" t="s">
        <v>193</v>
      </c>
      <c r="N246" s="137" t="s">
        <v>53</v>
      </c>
      <c r="O246" s="137" t="s">
        <v>193</v>
      </c>
      <c r="P246" s="137" t="s">
        <v>53</v>
      </c>
      <c r="Q246" s="137" t="s">
        <v>193</v>
      </c>
      <c r="R246" s="137" t="s">
        <v>53</v>
      </c>
      <c r="S246" s="137" t="s">
        <v>193</v>
      </c>
      <c r="U246" s="137">
        <f t="shared" si="6"/>
        <v>10.94</v>
      </c>
      <c r="V246" s="171">
        <f t="shared" si="7"/>
        <v>0</v>
      </c>
    </row>
    <row r="247" spans="1:22" ht="15" customHeight="1" x14ac:dyDescent="0.25">
      <c r="A247" s="137" t="s">
        <v>532</v>
      </c>
      <c r="B247" s="137" t="s">
        <v>538</v>
      </c>
      <c r="C247" s="137">
        <v>2018</v>
      </c>
      <c r="D247" s="137">
        <v>6.87</v>
      </c>
      <c r="E247" s="137">
        <v>2.4180000000000001</v>
      </c>
      <c r="F247" s="137">
        <v>0.38200000000000001</v>
      </c>
      <c r="G247" s="137" t="s">
        <v>193</v>
      </c>
      <c r="H247" s="137" t="s">
        <v>193</v>
      </c>
      <c r="I247" s="137">
        <v>3.0739999999999998</v>
      </c>
      <c r="J247" s="137">
        <v>0.996</v>
      </c>
      <c r="K247" s="137" t="s">
        <v>193</v>
      </c>
      <c r="L247" s="137" t="s">
        <v>193</v>
      </c>
      <c r="M247" s="137" t="s">
        <v>193</v>
      </c>
      <c r="N247" s="137" t="s">
        <v>53</v>
      </c>
      <c r="O247" s="137" t="s">
        <v>193</v>
      </c>
      <c r="P247" s="137" t="s">
        <v>53</v>
      </c>
      <c r="Q247" s="137" t="s">
        <v>193</v>
      </c>
      <c r="R247" s="137" t="s">
        <v>53</v>
      </c>
      <c r="S247" s="137" t="s">
        <v>193</v>
      </c>
      <c r="U247" s="137">
        <f t="shared" si="6"/>
        <v>6.87</v>
      </c>
      <c r="V247" s="171">
        <f t="shared" si="7"/>
        <v>0</v>
      </c>
    </row>
    <row r="248" spans="1:22" ht="15" customHeight="1" x14ac:dyDescent="0.25">
      <c r="A248" s="137" t="s">
        <v>532</v>
      </c>
      <c r="B248" s="137" t="s">
        <v>539</v>
      </c>
      <c r="C248" s="137">
        <v>2018</v>
      </c>
      <c r="D248" s="137" t="s">
        <v>193</v>
      </c>
      <c r="E248" s="137" t="s">
        <v>193</v>
      </c>
      <c r="F248" s="137" t="s">
        <v>193</v>
      </c>
      <c r="G248" s="137" t="s">
        <v>193</v>
      </c>
      <c r="H248" s="137" t="s">
        <v>193</v>
      </c>
      <c r="I248" s="137" t="s">
        <v>193</v>
      </c>
      <c r="J248" s="137" t="s">
        <v>193</v>
      </c>
      <c r="K248" s="137" t="s">
        <v>193</v>
      </c>
      <c r="L248" s="137" t="s">
        <v>193</v>
      </c>
      <c r="M248" s="137" t="s">
        <v>193</v>
      </c>
      <c r="N248" s="137" t="s">
        <v>53</v>
      </c>
      <c r="O248" s="137" t="s">
        <v>193</v>
      </c>
      <c r="P248" s="137" t="s">
        <v>53</v>
      </c>
      <c r="Q248" s="137" t="s">
        <v>193</v>
      </c>
      <c r="R248" s="137" t="s">
        <v>53</v>
      </c>
      <c r="S248" s="137" t="s">
        <v>193</v>
      </c>
      <c r="U248" s="137">
        <f t="shared" si="6"/>
        <v>0</v>
      </c>
      <c r="V248" s="171">
        <f t="shared" si="7"/>
        <v>0</v>
      </c>
    </row>
    <row r="249" spans="1:22" ht="15" customHeight="1" x14ac:dyDescent="0.25">
      <c r="A249" s="137" t="s">
        <v>532</v>
      </c>
      <c r="B249" s="137" t="s">
        <v>540</v>
      </c>
      <c r="C249" s="137">
        <v>2018</v>
      </c>
      <c r="D249" s="137">
        <v>5.27</v>
      </c>
      <c r="E249" s="137">
        <v>2.677</v>
      </c>
      <c r="F249" s="137">
        <v>0.49399999999999999</v>
      </c>
      <c r="G249" s="137" t="s">
        <v>193</v>
      </c>
      <c r="H249" s="137" t="s">
        <v>193</v>
      </c>
      <c r="I249" s="137">
        <v>1.75</v>
      </c>
      <c r="J249" s="137">
        <v>0.34899999999999998</v>
      </c>
      <c r="K249" s="137" t="s">
        <v>193</v>
      </c>
      <c r="L249" s="137" t="s">
        <v>193</v>
      </c>
      <c r="M249" s="137" t="s">
        <v>193</v>
      </c>
      <c r="N249" s="137" t="s">
        <v>53</v>
      </c>
      <c r="O249" s="137" t="s">
        <v>193</v>
      </c>
      <c r="P249" s="137" t="s">
        <v>53</v>
      </c>
      <c r="Q249" s="137" t="s">
        <v>193</v>
      </c>
      <c r="R249" s="137" t="s">
        <v>53</v>
      </c>
      <c r="S249" s="137" t="s">
        <v>193</v>
      </c>
      <c r="U249" s="137">
        <f t="shared" si="6"/>
        <v>5.27</v>
      </c>
      <c r="V249" s="171">
        <f t="shared" si="7"/>
        <v>0</v>
      </c>
    </row>
    <row r="250" spans="1:22" ht="15" customHeight="1" x14ac:dyDescent="0.25">
      <c r="A250" s="137" t="s">
        <v>532</v>
      </c>
      <c r="B250" s="137" t="s">
        <v>541</v>
      </c>
      <c r="C250" s="137">
        <v>2018</v>
      </c>
      <c r="D250" s="137">
        <v>2.855</v>
      </c>
      <c r="E250" s="137" t="s">
        <v>193</v>
      </c>
      <c r="F250" s="137" t="s">
        <v>193</v>
      </c>
      <c r="G250" s="137">
        <v>2.452</v>
      </c>
      <c r="H250" s="137" t="s">
        <v>193</v>
      </c>
      <c r="I250" s="137">
        <v>0.34499999999999997</v>
      </c>
      <c r="J250" s="137">
        <v>5.8999999999999997E-2</v>
      </c>
      <c r="K250" s="137" t="s">
        <v>193</v>
      </c>
      <c r="L250" s="137" t="s">
        <v>193</v>
      </c>
      <c r="M250" s="137" t="s">
        <v>193</v>
      </c>
      <c r="N250" s="137" t="s">
        <v>53</v>
      </c>
      <c r="O250" s="137" t="s">
        <v>193</v>
      </c>
      <c r="P250" s="137" t="s">
        <v>53</v>
      </c>
      <c r="Q250" s="137" t="s">
        <v>193</v>
      </c>
      <c r="R250" s="137" t="s">
        <v>53</v>
      </c>
      <c r="S250" s="137" t="s">
        <v>193</v>
      </c>
      <c r="U250" s="137">
        <f t="shared" si="6"/>
        <v>2.855</v>
      </c>
      <c r="V250" s="171">
        <f t="shared" si="7"/>
        <v>0</v>
      </c>
    </row>
    <row r="251" spans="1:22" ht="15" customHeight="1" x14ac:dyDescent="0.25">
      <c r="A251" s="137" t="s">
        <v>532</v>
      </c>
      <c r="B251" s="137" t="s">
        <v>542</v>
      </c>
      <c r="C251" s="137">
        <v>2018</v>
      </c>
      <c r="D251" s="137">
        <v>105.599</v>
      </c>
      <c r="E251" s="137">
        <v>31.359000000000002</v>
      </c>
      <c r="F251" s="137">
        <v>22.696999999999999</v>
      </c>
      <c r="G251" s="137">
        <v>9.7110000000000003</v>
      </c>
      <c r="H251" s="137" t="s">
        <v>193</v>
      </c>
      <c r="I251" s="137">
        <v>21.512</v>
      </c>
      <c r="J251" s="137">
        <v>20.32</v>
      </c>
      <c r="K251" s="137" t="s">
        <v>193</v>
      </c>
      <c r="L251" s="137" t="s">
        <v>193</v>
      </c>
      <c r="M251" s="137" t="s">
        <v>193</v>
      </c>
      <c r="N251" s="137" t="s">
        <v>53</v>
      </c>
      <c r="O251" s="137" t="s">
        <v>193</v>
      </c>
      <c r="P251" s="137" t="s">
        <v>53</v>
      </c>
      <c r="Q251" s="137" t="s">
        <v>193</v>
      </c>
      <c r="R251" s="137" t="s">
        <v>53</v>
      </c>
      <c r="S251" s="137" t="s">
        <v>193</v>
      </c>
      <c r="U251" s="137">
        <f t="shared" si="6"/>
        <v>105.599</v>
      </c>
      <c r="V251" s="171">
        <f t="shared" si="7"/>
        <v>0</v>
      </c>
    </row>
    <row r="252" spans="1:22" ht="15" customHeight="1" x14ac:dyDescent="0.25">
      <c r="A252" s="137" t="s">
        <v>532</v>
      </c>
      <c r="B252" s="137" t="s">
        <v>543</v>
      </c>
      <c r="C252" s="137">
        <v>2018</v>
      </c>
      <c r="D252" s="137">
        <v>3.2170000000000001</v>
      </c>
      <c r="E252" s="137">
        <v>0.38700000000000001</v>
      </c>
      <c r="F252" s="137">
        <v>0.13100000000000001</v>
      </c>
      <c r="G252" s="137">
        <v>0</v>
      </c>
      <c r="H252" s="137" t="s">
        <v>193</v>
      </c>
      <c r="I252" s="137">
        <v>2.63</v>
      </c>
      <c r="J252" s="137">
        <v>7.0000000000000007E-2</v>
      </c>
      <c r="K252" s="137" t="s">
        <v>193</v>
      </c>
      <c r="L252" s="137" t="s">
        <v>193</v>
      </c>
      <c r="M252" s="137" t="s">
        <v>193</v>
      </c>
      <c r="N252" s="137" t="s">
        <v>53</v>
      </c>
      <c r="O252" s="137" t="s">
        <v>193</v>
      </c>
      <c r="P252" s="137" t="s">
        <v>53</v>
      </c>
      <c r="Q252" s="137" t="s">
        <v>193</v>
      </c>
      <c r="R252" s="137" t="s">
        <v>53</v>
      </c>
      <c r="S252" s="137" t="s">
        <v>193</v>
      </c>
      <c r="U252" s="137">
        <f t="shared" si="6"/>
        <v>3.2170000000000001</v>
      </c>
      <c r="V252" s="171">
        <f t="shared" si="7"/>
        <v>0</v>
      </c>
    </row>
    <row r="253" spans="1:22" ht="15" customHeight="1" x14ac:dyDescent="0.25">
      <c r="A253" s="137" t="s">
        <v>532</v>
      </c>
      <c r="B253" s="137" t="s">
        <v>544</v>
      </c>
      <c r="C253" s="137">
        <v>2018</v>
      </c>
      <c r="D253" s="137">
        <v>87.786000000000001</v>
      </c>
      <c r="E253" s="137">
        <v>4.4770000000000003</v>
      </c>
      <c r="F253" s="137">
        <v>4.3090000000000002</v>
      </c>
      <c r="G253" s="137">
        <v>72.313000000000002</v>
      </c>
      <c r="H253" s="137" t="s">
        <v>193</v>
      </c>
      <c r="I253" s="137">
        <v>4.319</v>
      </c>
      <c r="J253" s="137">
        <v>2.3690000000000002</v>
      </c>
      <c r="K253" s="137" t="s">
        <v>193</v>
      </c>
      <c r="L253" s="137" t="s">
        <v>193</v>
      </c>
      <c r="M253" s="137" t="s">
        <v>193</v>
      </c>
      <c r="N253" s="137" t="s">
        <v>53</v>
      </c>
      <c r="O253" s="137" t="s">
        <v>193</v>
      </c>
      <c r="P253" s="137" t="s">
        <v>53</v>
      </c>
      <c r="Q253" s="137" t="s">
        <v>193</v>
      </c>
      <c r="R253" s="137" t="s">
        <v>53</v>
      </c>
      <c r="S253" s="137" t="s">
        <v>193</v>
      </c>
      <c r="U253" s="137">
        <f t="shared" si="6"/>
        <v>87.786000000000001</v>
      </c>
      <c r="V253" s="171">
        <f t="shared" si="7"/>
        <v>0</v>
      </c>
    </row>
    <row r="254" spans="1:22" ht="15" customHeight="1" x14ac:dyDescent="0.25">
      <c r="A254" s="137" t="s">
        <v>532</v>
      </c>
      <c r="B254" s="137" t="s">
        <v>545</v>
      </c>
      <c r="C254" s="137">
        <v>2018</v>
      </c>
      <c r="D254" s="137">
        <v>13.169</v>
      </c>
      <c r="E254" s="137">
        <v>3.1120000000000001</v>
      </c>
      <c r="F254" s="137">
        <v>2.0270000000000001</v>
      </c>
      <c r="G254" s="137">
        <v>7.2999999999999995E-2</v>
      </c>
      <c r="H254" s="137" t="s">
        <v>193</v>
      </c>
      <c r="I254" s="137">
        <v>5.6070000000000002</v>
      </c>
      <c r="J254" s="137">
        <v>2.35</v>
      </c>
      <c r="K254" s="137" t="s">
        <v>193</v>
      </c>
      <c r="L254" s="137" t="s">
        <v>193</v>
      </c>
      <c r="M254" s="137" t="s">
        <v>193</v>
      </c>
      <c r="N254" s="137" t="s">
        <v>53</v>
      </c>
      <c r="O254" s="137" t="s">
        <v>193</v>
      </c>
      <c r="P254" s="137" t="s">
        <v>53</v>
      </c>
      <c r="Q254" s="137" t="s">
        <v>193</v>
      </c>
      <c r="R254" s="137" t="s">
        <v>53</v>
      </c>
      <c r="S254" s="137" t="s">
        <v>193</v>
      </c>
      <c r="U254" s="137">
        <f t="shared" si="6"/>
        <v>13.169</v>
      </c>
      <c r="V254" s="171">
        <f t="shared" si="7"/>
        <v>0</v>
      </c>
    </row>
    <row r="255" spans="1:22" ht="15" customHeight="1" x14ac:dyDescent="0.25">
      <c r="A255" s="137" t="s">
        <v>532</v>
      </c>
      <c r="B255" s="137" t="s">
        <v>546</v>
      </c>
      <c r="C255" s="137">
        <v>2018</v>
      </c>
      <c r="D255" s="137">
        <v>9.8339999999999996</v>
      </c>
      <c r="E255" s="137">
        <v>1.167</v>
      </c>
      <c r="F255" s="137">
        <v>0.78500000000000003</v>
      </c>
      <c r="G255" s="137">
        <v>2.2709999999999999</v>
      </c>
      <c r="H255" s="137" t="s">
        <v>193</v>
      </c>
      <c r="I255" s="137">
        <v>5.0259999999999998</v>
      </c>
      <c r="J255" s="137">
        <v>0.58599999999999997</v>
      </c>
      <c r="K255" s="137" t="s">
        <v>193</v>
      </c>
      <c r="L255" s="137" t="s">
        <v>193</v>
      </c>
      <c r="M255" s="137" t="s">
        <v>193</v>
      </c>
      <c r="N255" s="137" t="s">
        <v>53</v>
      </c>
      <c r="O255" s="137" t="s">
        <v>193</v>
      </c>
      <c r="P255" s="137" t="s">
        <v>53</v>
      </c>
      <c r="Q255" s="137" t="s">
        <v>193</v>
      </c>
      <c r="R255" s="137" t="s">
        <v>53</v>
      </c>
      <c r="S255" s="137" t="s">
        <v>193</v>
      </c>
      <c r="U255" s="137">
        <f t="shared" si="6"/>
        <v>9.8339999999999996</v>
      </c>
      <c r="V255" s="171">
        <f t="shared" si="7"/>
        <v>0</v>
      </c>
    </row>
    <row r="256" spans="1:22" ht="15" customHeight="1" x14ac:dyDescent="0.25">
      <c r="A256" s="137" t="s">
        <v>532</v>
      </c>
      <c r="B256" s="137" t="s">
        <v>547</v>
      </c>
      <c r="C256" s="137">
        <v>2018</v>
      </c>
      <c r="D256" s="137">
        <v>323.15499999999997</v>
      </c>
      <c r="E256" s="137">
        <v>129.63800000000001</v>
      </c>
      <c r="F256" s="137">
        <v>52.613</v>
      </c>
      <c r="G256" s="137">
        <v>25.725999999999999</v>
      </c>
      <c r="H256" s="137" t="s">
        <v>193</v>
      </c>
      <c r="I256" s="137">
        <v>59.508000000000003</v>
      </c>
      <c r="J256" s="137">
        <v>55.67</v>
      </c>
      <c r="K256" s="137">
        <v>6.4870000000000001</v>
      </c>
      <c r="L256" s="137" t="s">
        <v>193</v>
      </c>
      <c r="M256" s="137" t="s">
        <v>193</v>
      </c>
      <c r="N256" s="137" t="s">
        <v>53</v>
      </c>
      <c r="O256" s="137" t="s">
        <v>193</v>
      </c>
      <c r="P256" s="137" t="s">
        <v>53</v>
      </c>
      <c r="Q256" s="137" t="s">
        <v>193</v>
      </c>
      <c r="R256" s="137" t="s">
        <v>53</v>
      </c>
      <c r="S256" s="137" t="s">
        <v>193</v>
      </c>
      <c r="U256" s="137">
        <f t="shared" si="6"/>
        <v>323.15499999999997</v>
      </c>
      <c r="V256" s="171">
        <f t="shared" si="7"/>
        <v>0</v>
      </c>
    </row>
    <row r="257" spans="1:22" ht="15" customHeight="1" x14ac:dyDescent="0.25">
      <c r="A257" s="137" t="s">
        <v>532</v>
      </c>
      <c r="B257" s="137" t="s">
        <v>548</v>
      </c>
      <c r="C257" s="137">
        <v>2018</v>
      </c>
      <c r="D257" s="137">
        <v>30.885999999999999</v>
      </c>
      <c r="E257" s="137">
        <v>10.27</v>
      </c>
      <c r="F257" s="137">
        <v>7.6470000000000002</v>
      </c>
      <c r="G257" s="137">
        <v>1.6919999999999999</v>
      </c>
      <c r="H257" s="137" t="s">
        <v>193</v>
      </c>
      <c r="I257" s="137">
        <v>5.9109999999999996</v>
      </c>
      <c r="J257" s="137">
        <v>5.3659999999999997</v>
      </c>
      <c r="K257" s="137" t="s">
        <v>193</v>
      </c>
      <c r="L257" s="137" t="s">
        <v>193</v>
      </c>
      <c r="M257" s="137" t="s">
        <v>193</v>
      </c>
      <c r="N257" s="137" t="s">
        <v>53</v>
      </c>
      <c r="O257" s="137" t="s">
        <v>193</v>
      </c>
      <c r="P257" s="137" t="s">
        <v>53</v>
      </c>
      <c r="Q257" s="137" t="s">
        <v>193</v>
      </c>
      <c r="R257" s="137" t="s">
        <v>53</v>
      </c>
      <c r="S257" s="137" t="s">
        <v>193</v>
      </c>
      <c r="U257" s="137">
        <f t="shared" si="6"/>
        <v>30.885999999999999</v>
      </c>
      <c r="V257" s="171">
        <f t="shared" si="7"/>
        <v>0</v>
      </c>
    </row>
    <row r="258" spans="1:22" ht="15" customHeight="1" x14ac:dyDescent="0.25">
      <c r="A258" s="137" t="s">
        <v>532</v>
      </c>
      <c r="B258" s="137" t="s">
        <v>549</v>
      </c>
      <c r="C258" s="137">
        <v>2018</v>
      </c>
      <c r="D258" s="137">
        <v>30.95</v>
      </c>
      <c r="E258" s="137">
        <v>12.775</v>
      </c>
      <c r="F258" s="137">
        <v>7.157</v>
      </c>
      <c r="G258" s="137">
        <v>3.3210000000000002</v>
      </c>
      <c r="H258" s="137" t="s">
        <v>193</v>
      </c>
      <c r="I258" s="137">
        <v>4.9909999999999997</v>
      </c>
      <c r="J258" s="137">
        <v>2.706</v>
      </c>
      <c r="K258" s="137" t="s">
        <v>193</v>
      </c>
      <c r="L258" s="137" t="s">
        <v>193</v>
      </c>
      <c r="M258" s="137" t="s">
        <v>193</v>
      </c>
      <c r="N258" s="137" t="s">
        <v>53</v>
      </c>
      <c r="O258" s="137" t="s">
        <v>193</v>
      </c>
      <c r="P258" s="137" t="s">
        <v>53</v>
      </c>
      <c r="Q258" s="137" t="s">
        <v>193</v>
      </c>
      <c r="R258" s="137" t="s">
        <v>53</v>
      </c>
      <c r="S258" s="137" t="s">
        <v>193</v>
      </c>
      <c r="U258" s="137">
        <f t="shared" ref="U258:U321" si="8">IFERROR(D258/1,0)</f>
        <v>30.95</v>
      </c>
      <c r="V258" s="171">
        <f t="shared" ref="V258:V321" si="9">IFERROR(O258/1,0)+IFERROR(Q258/1,0)+IFERROR(S258/1,0)</f>
        <v>0</v>
      </c>
    </row>
    <row r="259" spans="1:22" ht="15" customHeight="1" x14ac:dyDescent="0.25">
      <c r="A259" s="137" t="s">
        <v>532</v>
      </c>
      <c r="B259" s="137" t="s">
        <v>550</v>
      </c>
      <c r="C259" s="137">
        <v>2018</v>
      </c>
      <c r="D259" s="137">
        <v>13.664</v>
      </c>
      <c r="E259" s="137">
        <v>3.173</v>
      </c>
      <c r="F259" s="137">
        <v>2.8279999999999998</v>
      </c>
      <c r="G259" s="137">
        <v>0</v>
      </c>
      <c r="H259" s="137" t="s">
        <v>193</v>
      </c>
      <c r="I259" s="137">
        <v>5.5330000000000004</v>
      </c>
      <c r="J259" s="137">
        <v>2.13</v>
      </c>
      <c r="K259" s="137" t="s">
        <v>193</v>
      </c>
      <c r="L259" s="137" t="s">
        <v>193</v>
      </c>
      <c r="M259" s="137" t="s">
        <v>193</v>
      </c>
      <c r="N259" s="137" t="s">
        <v>53</v>
      </c>
      <c r="O259" s="137" t="s">
        <v>193</v>
      </c>
      <c r="P259" s="137" t="s">
        <v>53</v>
      </c>
      <c r="Q259" s="137" t="s">
        <v>193</v>
      </c>
      <c r="R259" s="137" t="s">
        <v>53</v>
      </c>
      <c r="S259" s="137" t="s">
        <v>193</v>
      </c>
      <c r="U259" s="137">
        <f t="shared" si="8"/>
        <v>13.664</v>
      </c>
      <c r="V259" s="171">
        <f t="shared" si="9"/>
        <v>0</v>
      </c>
    </row>
    <row r="260" spans="1:22" ht="15" customHeight="1" x14ac:dyDescent="0.25">
      <c r="A260" s="137" t="s">
        <v>532</v>
      </c>
      <c r="B260" s="137" t="s">
        <v>551</v>
      </c>
      <c r="C260" s="137">
        <v>2018</v>
      </c>
      <c r="D260" s="137">
        <v>2.7559999999999998</v>
      </c>
      <c r="E260" s="137">
        <v>0.71499999999999997</v>
      </c>
      <c r="F260" s="137">
        <v>9.9000000000000005E-2</v>
      </c>
      <c r="G260" s="137">
        <v>0</v>
      </c>
      <c r="H260" s="137" t="s">
        <v>193</v>
      </c>
      <c r="I260" s="137">
        <v>1.395</v>
      </c>
      <c r="J260" s="137">
        <v>0.54700000000000004</v>
      </c>
      <c r="K260" s="137" t="s">
        <v>193</v>
      </c>
      <c r="L260" s="137" t="s">
        <v>193</v>
      </c>
      <c r="M260" s="137" t="s">
        <v>193</v>
      </c>
      <c r="N260" s="137" t="s">
        <v>53</v>
      </c>
      <c r="O260" s="137" t="s">
        <v>193</v>
      </c>
      <c r="P260" s="137" t="s">
        <v>53</v>
      </c>
      <c r="Q260" s="137" t="s">
        <v>193</v>
      </c>
      <c r="R260" s="137" t="s">
        <v>53</v>
      </c>
      <c r="S260" s="137" t="s">
        <v>193</v>
      </c>
      <c r="U260" s="137">
        <f t="shared" si="8"/>
        <v>2.7559999999999998</v>
      </c>
      <c r="V260" s="171">
        <f t="shared" si="9"/>
        <v>0</v>
      </c>
    </row>
    <row r="261" spans="1:22" ht="15" customHeight="1" x14ac:dyDescent="0.25">
      <c r="A261" s="137" t="s">
        <v>552</v>
      </c>
      <c r="B261" s="137" t="s">
        <v>553</v>
      </c>
      <c r="C261" s="137">
        <v>2018</v>
      </c>
      <c r="D261" s="137">
        <v>9.7629999999999999</v>
      </c>
      <c r="E261" s="137">
        <v>6.3220000000000001</v>
      </c>
      <c r="F261" s="137">
        <v>1.0349999999999999</v>
      </c>
      <c r="G261" s="137">
        <v>0.10299999999999999</v>
      </c>
      <c r="H261" s="137">
        <v>0</v>
      </c>
      <c r="I261" s="137">
        <v>0.876</v>
      </c>
      <c r="J261" s="137">
        <v>1.2949999999999999</v>
      </c>
      <c r="K261" s="137">
        <v>0</v>
      </c>
      <c r="L261" s="137">
        <v>0.13</v>
      </c>
      <c r="M261" s="137">
        <v>0.10299999999999999</v>
      </c>
      <c r="N261" s="137" t="s">
        <v>53</v>
      </c>
      <c r="O261" s="137" t="s">
        <v>193</v>
      </c>
      <c r="P261" s="137" t="s">
        <v>53</v>
      </c>
      <c r="Q261" s="137" t="s">
        <v>193</v>
      </c>
      <c r="R261" s="137" t="s">
        <v>53</v>
      </c>
      <c r="S261" s="137" t="s">
        <v>193</v>
      </c>
      <c r="U261" s="137">
        <f t="shared" si="8"/>
        <v>9.7629999999999999</v>
      </c>
      <c r="V261" s="171">
        <f t="shared" si="9"/>
        <v>0</v>
      </c>
    </row>
    <row r="262" spans="1:22" ht="15" customHeight="1" x14ac:dyDescent="0.25">
      <c r="A262" s="137" t="s">
        <v>552</v>
      </c>
      <c r="B262" s="137" t="s">
        <v>554</v>
      </c>
      <c r="C262" s="137">
        <v>2018</v>
      </c>
      <c r="D262" s="137">
        <v>359.29</v>
      </c>
      <c r="E262" s="137">
        <v>121.861</v>
      </c>
      <c r="F262" s="137">
        <v>15.505000000000001</v>
      </c>
      <c r="G262" s="137">
        <v>84.97</v>
      </c>
      <c r="H262" s="137" t="s">
        <v>193</v>
      </c>
      <c r="I262" s="137">
        <v>69.763999999999996</v>
      </c>
      <c r="J262" s="137">
        <v>45.023000000000003</v>
      </c>
      <c r="K262" s="137">
        <v>0.48699999999999999</v>
      </c>
      <c r="L262" s="137">
        <v>22.113</v>
      </c>
      <c r="M262" s="137">
        <v>84.97</v>
      </c>
      <c r="N262" s="137" t="s">
        <v>53</v>
      </c>
      <c r="O262" s="137" t="s">
        <v>193</v>
      </c>
      <c r="P262" s="137" t="s">
        <v>53</v>
      </c>
      <c r="Q262" s="137" t="s">
        <v>193</v>
      </c>
      <c r="R262" s="137" t="s">
        <v>53</v>
      </c>
      <c r="S262" s="137" t="s">
        <v>193</v>
      </c>
      <c r="U262" s="137">
        <f t="shared" si="8"/>
        <v>359.29</v>
      </c>
      <c r="V262" s="171">
        <f t="shared" si="9"/>
        <v>0</v>
      </c>
    </row>
    <row r="263" spans="1:22" ht="15" customHeight="1" x14ac:dyDescent="0.25">
      <c r="A263" s="137" t="s">
        <v>552</v>
      </c>
      <c r="B263" s="137" t="s">
        <v>555</v>
      </c>
      <c r="C263" s="137">
        <v>2018</v>
      </c>
      <c r="D263" s="137">
        <v>4.4852100000000004</v>
      </c>
      <c r="E263" s="137">
        <v>0.57091999999999998</v>
      </c>
      <c r="F263" s="137">
        <v>0.24817</v>
      </c>
      <c r="G263" s="137">
        <v>0</v>
      </c>
      <c r="H263" s="137">
        <v>0</v>
      </c>
      <c r="I263" s="137">
        <v>1.1539200000000001</v>
      </c>
      <c r="J263" s="137">
        <v>2.01E-2</v>
      </c>
      <c r="K263" s="137">
        <v>0</v>
      </c>
      <c r="L263" s="137">
        <v>2.4921099999999998</v>
      </c>
      <c r="M263" s="137">
        <v>0</v>
      </c>
      <c r="N263" s="137" t="s">
        <v>53</v>
      </c>
      <c r="O263" s="137" t="s">
        <v>193</v>
      </c>
      <c r="P263" s="137" t="s">
        <v>53</v>
      </c>
      <c r="Q263" s="137" t="s">
        <v>193</v>
      </c>
      <c r="R263" s="137" t="s">
        <v>53</v>
      </c>
      <c r="S263" s="137" t="s">
        <v>193</v>
      </c>
      <c r="U263" s="137">
        <f t="shared" si="8"/>
        <v>4.4852100000000004</v>
      </c>
      <c r="V263" s="171">
        <f t="shared" si="9"/>
        <v>0</v>
      </c>
    </row>
    <row r="264" spans="1:22" ht="15" customHeight="1" x14ac:dyDescent="0.25">
      <c r="A264" s="137" t="s">
        <v>552</v>
      </c>
      <c r="B264" s="137" t="s">
        <v>556</v>
      </c>
      <c r="C264" s="137">
        <v>2018</v>
      </c>
      <c r="D264" s="137">
        <v>2.0739999999999998</v>
      </c>
      <c r="E264" s="137">
        <v>0.751</v>
      </c>
      <c r="F264" s="137">
        <v>0.20100000000000001</v>
      </c>
      <c r="G264" s="137">
        <v>0</v>
      </c>
      <c r="H264" s="137">
        <v>0</v>
      </c>
      <c r="I264" s="137">
        <v>0.82</v>
      </c>
      <c r="J264" s="137">
        <v>0.30099999999999999</v>
      </c>
      <c r="K264" s="137">
        <v>0</v>
      </c>
      <c r="L264" s="137">
        <v>0</v>
      </c>
      <c r="M264" s="137">
        <v>0</v>
      </c>
      <c r="N264" s="137" t="s">
        <v>53</v>
      </c>
      <c r="O264" s="137" t="s">
        <v>193</v>
      </c>
      <c r="P264" s="137" t="s">
        <v>53</v>
      </c>
      <c r="Q264" s="137" t="s">
        <v>193</v>
      </c>
      <c r="R264" s="137" t="s">
        <v>53</v>
      </c>
      <c r="S264" s="137" t="s">
        <v>193</v>
      </c>
      <c r="U264" s="137">
        <f t="shared" si="8"/>
        <v>2.0739999999999998</v>
      </c>
      <c r="V264" s="171">
        <f t="shared" si="9"/>
        <v>0</v>
      </c>
    </row>
    <row r="265" spans="1:22" ht="15" customHeight="1" x14ac:dyDescent="0.25">
      <c r="A265" s="137" t="s">
        <v>552</v>
      </c>
      <c r="B265" s="137" t="s">
        <v>557</v>
      </c>
      <c r="C265" s="137">
        <v>2018</v>
      </c>
      <c r="D265" s="137">
        <v>3.2269999999999999</v>
      </c>
      <c r="E265" s="137">
        <v>0.60899999999999999</v>
      </c>
      <c r="F265" s="137">
        <v>0.97699999999999998</v>
      </c>
      <c r="G265" s="137">
        <v>0.33400000000000002</v>
      </c>
      <c r="H265" s="137">
        <v>0</v>
      </c>
      <c r="I265" s="137">
        <v>0.88300000000000001</v>
      </c>
      <c r="J265" s="137">
        <v>0.42299999999999999</v>
      </c>
      <c r="K265" s="137">
        <v>0</v>
      </c>
      <c r="L265" s="137">
        <v>0</v>
      </c>
      <c r="M265" s="137">
        <v>0.33400000000000002</v>
      </c>
      <c r="N265" s="137" t="s">
        <v>53</v>
      </c>
      <c r="O265" s="137" t="s">
        <v>193</v>
      </c>
      <c r="P265" s="137" t="s">
        <v>53</v>
      </c>
      <c r="Q265" s="137" t="s">
        <v>193</v>
      </c>
      <c r="R265" s="137" t="s">
        <v>53</v>
      </c>
      <c r="S265" s="137" t="s">
        <v>193</v>
      </c>
      <c r="U265" s="137">
        <f t="shared" si="8"/>
        <v>3.2269999999999999</v>
      </c>
      <c r="V265" s="171">
        <f t="shared" si="9"/>
        <v>0</v>
      </c>
    </row>
    <row r="266" spans="1:22" ht="15" customHeight="1" x14ac:dyDescent="0.25">
      <c r="A266" s="137" t="s">
        <v>558</v>
      </c>
      <c r="B266" s="137" t="s">
        <v>559</v>
      </c>
      <c r="C266" s="137">
        <v>2018</v>
      </c>
      <c r="D266" s="137">
        <v>43.204000000000001</v>
      </c>
      <c r="E266" s="137" t="s">
        <v>193</v>
      </c>
      <c r="F266" s="137" t="s">
        <v>193</v>
      </c>
      <c r="G266" s="137" t="s">
        <v>193</v>
      </c>
      <c r="H266" s="137" t="s">
        <v>193</v>
      </c>
      <c r="I266" s="137" t="s">
        <v>193</v>
      </c>
      <c r="J266" s="137" t="s">
        <v>193</v>
      </c>
      <c r="K266" s="137" t="s">
        <v>193</v>
      </c>
      <c r="L266" s="137" t="s">
        <v>193</v>
      </c>
      <c r="M266" s="137">
        <v>16.219000000000001</v>
      </c>
      <c r="N266" s="137" t="s">
        <v>53</v>
      </c>
      <c r="O266" s="137" t="s">
        <v>193</v>
      </c>
      <c r="P266" s="137" t="s">
        <v>53</v>
      </c>
      <c r="Q266" s="137" t="s">
        <v>193</v>
      </c>
      <c r="R266" s="137" t="s">
        <v>53</v>
      </c>
      <c r="S266" s="137" t="s">
        <v>193</v>
      </c>
      <c r="U266" s="137">
        <f t="shared" si="8"/>
        <v>43.204000000000001</v>
      </c>
      <c r="V266" s="171">
        <f t="shared" si="9"/>
        <v>0</v>
      </c>
    </row>
    <row r="267" spans="1:22" ht="15" customHeight="1" x14ac:dyDescent="0.25">
      <c r="A267" s="137" t="s">
        <v>558</v>
      </c>
      <c r="B267" s="137" t="s">
        <v>560</v>
      </c>
      <c r="C267" s="137">
        <v>2018</v>
      </c>
      <c r="D267" s="137">
        <v>4.7210000000000001</v>
      </c>
      <c r="E267" s="137" t="s">
        <v>193</v>
      </c>
      <c r="F267" s="137" t="s">
        <v>193</v>
      </c>
      <c r="G267" s="137" t="s">
        <v>193</v>
      </c>
      <c r="H267" s="137" t="s">
        <v>193</v>
      </c>
      <c r="I267" s="137" t="s">
        <v>193</v>
      </c>
      <c r="J267" s="137" t="s">
        <v>193</v>
      </c>
      <c r="K267" s="137" t="s">
        <v>193</v>
      </c>
      <c r="L267" s="137" t="s">
        <v>193</v>
      </c>
      <c r="M267" s="137" t="s">
        <v>193</v>
      </c>
      <c r="N267" s="137" t="s">
        <v>53</v>
      </c>
      <c r="O267" s="137" t="s">
        <v>193</v>
      </c>
      <c r="P267" s="137" t="s">
        <v>53</v>
      </c>
      <c r="Q267" s="137" t="s">
        <v>193</v>
      </c>
      <c r="R267" s="137" t="s">
        <v>53</v>
      </c>
      <c r="S267" s="137" t="s">
        <v>193</v>
      </c>
      <c r="U267" s="137">
        <f t="shared" si="8"/>
        <v>4.7210000000000001</v>
      </c>
      <c r="V267" s="171">
        <f t="shared" si="9"/>
        <v>0</v>
      </c>
    </row>
    <row r="268" spans="1:22" ht="15" customHeight="1" x14ac:dyDescent="0.25">
      <c r="A268" s="137" t="s">
        <v>561</v>
      </c>
      <c r="B268" s="137" t="s">
        <v>562</v>
      </c>
      <c r="C268" s="137">
        <v>2018</v>
      </c>
      <c r="D268" s="137">
        <v>302</v>
      </c>
      <c r="E268" s="137">
        <v>216.8</v>
      </c>
      <c r="F268" s="137">
        <v>26.8</v>
      </c>
      <c r="G268" s="137">
        <v>5.3</v>
      </c>
      <c r="H268" s="137">
        <v>0</v>
      </c>
      <c r="I268" s="137">
        <v>25</v>
      </c>
      <c r="J268" s="137">
        <v>19.8</v>
      </c>
      <c r="K268" s="137">
        <v>0.1</v>
      </c>
      <c r="L268" s="137">
        <v>8.6999999999999993</v>
      </c>
      <c r="M268" s="137">
        <v>0</v>
      </c>
      <c r="N268" s="137" t="s">
        <v>193</v>
      </c>
      <c r="O268" s="137" t="s">
        <v>193</v>
      </c>
      <c r="P268" s="137" t="s">
        <v>193</v>
      </c>
      <c r="Q268" s="137" t="s">
        <v>193</v>
      </c>
      <c r="R268" s="137" t="s">
        <v>193</v>
      </c>
      <c r="S268" s="137" t="s">
        <v>193</v>
      </c>
      <c r="U268" s="137">
        <f t="shared" si="8"/>
        <v>302</v>
      </c>
      <c r="V268" s="171">
        <f t="shared" si="9"/>
        <v>0</v>
      </c>
    </row>
    <row r="269" spans="1:22" ht="15" customHeight="1" x14ac:dyDescent="0.25">
      <c r="A269" s="137" t="s">
        <v>563</v>
      </c>
      <c r="B269" s="137" t="s">
        <v>564</v>
      </c>
      <c r="C269" s="137">
        <v>2018</v>
      </c>
      <c r="D269" s="137" t="s">
        <v>53</v>
      </c>
      <c r="E269" s="137" t="s">
        <v>53</v>
      </c>
      <c r="F269" s="137" t="s">
        <v>53</v>
      </c>
      <c r="G269" s="137" t="s">
        <v>53</v>
      </c>
      <c r="H269" s="137" t="s">
        <v>53</v>
      </c>
      <c r="I269" s="137" t="s">
        <v>53</v>
      </c>
      <c r="J269" s="137" t="s">
        <v>53</v>
      </c>
      <c r="K269" s="137" t="s">
        <v>53</v>
      </c>
      <c r="L269" s="137" t="s">
        <v>53</v>
      </c>
      <c r="M269" s="137" t="s">
        <v>53</v>
      </c>
      <c r="N269" s="137" t="s">
        <v>53</v>
      </c>
      <c r="O269" s="137" t="s">
        <v>53</v>
      </c>
      <c r="P269" s="137" t="s">
        <v>53</v>
      </c>
      <c r="Q269" s="137" t="s">
        <v>53</v>
      </c>
      <c r="R269" s="137" t="s">
        <v>53</v>
      </c>
      <c r="S269" s="137" t="s">
        <v>53</v>
      </c>
      <c r="U269" s="137">
        <f t="shared" si="8"/>
        <v>0</v>
      </c>
      <c r="V269" s="171">
        <f t="shared" si="9"/>
        <v>0</v>
      </c>
    </row>
    <row r="270" spans="1:22" ht="15" customHeight="1" x14ac:dyDescent="0.25">
      <c r="A270" s="137" t="s">
        <v>565</v>
      </c>
      <c r="B270" s="137" t="s">
        <v>566</v>
      </c>
      <c r="C270" s="137">
        <v>2018</v>
      </c>
      <c r="D270" s="137">
        <v>121.45</v>
      </c>
      <c r="E270" s="137">
        <v>58.93</v>
      </c>
      <c r="F270" s="137">
        <v>15.13</v>
      </c>
      <c r="G270" s="137">
        <v>0.48</v>
      </c>
      <c r="H270" s="137">
        <v>0</v>
      </c>
      <c r="I270" s="137">
        <v>15.53</v>
      </c>
      <c r="J270" s="137">
        <v>29.48</v>
      </c>
      <c r="K270" s="137">
        <v>0</v>
      </c>
      <c r="L270" s="137">
        <v>1.9</v>
      </c>
      <c r="M270" s="137">
        <v>0</v>
      </c>
      <c r="N270" s="137" t="s">
        <v>193</v>
      </c>
      <c r="O270" s="137" t="s">
        <v>193</v>
      </c>
      <c r="P270" s="137" t="s">
        <v>193</v>
      </c>
      <c r="Q270" s="137" t="s">
        <v>193</v>
      </c>
      <c r="R270" s="137" t="s">
        <v>193</v>
      </c>
      <c r="S270" s="137" t="s">
        <v>193</v>
      </c>
      <c r="U270" s="137">
        <f t="shared" si="8"/>
        <v>121.45</v>
      </c>
      <c r="V270" s="171">
        <f t="shared" si="9"/>
        <v>0</v>
      </c>
    </row>
    <row r="271" spans="1:22" ht="15" customHeight="1" x14ac:dyDescent="0.25">
      <c r="A271" s="137" t="s">
        <v>565</v>
      </c>
      <c r="B271" s="137" t="s">
        <v>567</v>
      </c>
      <c r="C271" s="137">
        <v>2018</v>
      </c>
      <c r="D271" s="137">
        <v>21.95</v>
      </c>
      <c r="E271" s="137">
        <v>11.04</v>
      </c>
      <c r="F271" s="137">
        <v>1.34</v>
      </c>
      <c r="G271" s="137">
        <v>1.49</v>
      </c>
      <c r="H271" s="137">
        <v>0</v>
      </c>
      <c r="I271" s="137">
        <v>3.43</v>
      </c>
      <c r="J271" s="137">
        <v>4.54</v>
      </c>
      <c r="K271" s="137">
        <v>0</v>
      </c>
      <c r="L271" s="137">
        <v>0.11</v>
      </c>
      <c r="M271" s="137">
        <v>0</v>
      </c>
      <c r="N271" s="137" t="s">
        <v>193</v>
      </c>
      <c r="O271" s="137" t="s">
        <v>193</v>
      </c>
      <c r="P271" s="137" t="s">
        <v>193</v>
      </c>
      <c r="Q271" s="137" t="s">
        <v>193</v>
      </c>
      <c r="R271" s="137" t="s">
        <v>193</v>
      </c>
      <c r="S271" s="137" t="s">
        <v>193</v>
      </c>
      <c r="U271" s="137">
        <f t="shared" si="8"/>
        <v>21.95</v>
      </c>
      <c r="V271" s="171">
        <f t="shared" si="9"/>
        <v>0</v>
      </c>
    </row>
    <row r="272" spans="1:22" ht="15" customHeight="1" x14ac:dyDescent="0.25">
      <c r="A272" s="137" t="s">
        <v>565</v>
      </c>
      <c r="B272" s="137" t="s">
        <v>568</v>
      </c>
      <c r="C272" s="137">
        <v>2018</v>
      </c>
      <c r="D272" s="137">
        <v>9.2100000000000009</v>
      </c>
      <c r="E272" s="137">
        <v>3.02</v>
      </c>
      <c r="F272" s="137">
        <v>1.8</v>
      </c>
      <c r="G272" s="137">
        <v>0.3</v>
      </c>
      <c r="H272" s="137">
        <v>0</v>
      </c>
      <c r="I272" s="137">
        <v>3.43</v>
      </c>
      <c r="J272" s="137">
        <v>0.66</v>
      </c>
      <c r="K272" s="137">
        <v>0</v>
      </c>
      <c r="L272" s="137">
        <v>0</v>
      </c>
      <c r="M272" s="137">
        <v>0</v>
      </c>
      <c r="N272" s="137" t="s">
        <v>193</v>
      </c>
      <c r="O272" s="137" t="s">
        <v>193</v>
      </c>
      <c r="P272" s="137" t="s">
        <v>193</v>
      </c>
      <c r="Q272" s="137" t="s">
        <v>193</v>
      </c>
      <c r="R272" s="137" t="s">
        <v>193</v>
      </c>
      <c r="S272" s="137" t="s">
        <v>193</v>
      </c>
      <c r="U272" s="137">
        <f t="shared" si="8"/>
        <v>9.2100000000000009</v>
      </c>
      <c r="V272" s="171">
        <f t="shared" si="9"/>
        <v>0</v>
      </c>
    </row>
    <row r="273" spans="1:22" ht="15" customHeight="1" x14ac:dyDescent="0.25">
      <c r="A273" s="137" t="s">
        <v>565</v>
      </c>
      <c r="B273" s="137" t="s">
        <v>569</v>
      </c>
      <c r="C273" s="137">
        <v>2018</v>
      </c>
      <c r="D273" s="137">
        <v>42.33</v>
      </c>
      <c r="E273" s="137">
        <v>19.100000000000001</v>
      </c>
      <c r="F273" s="137">
        <v>0.95</v>
      </c>
      <c r="G273" s="137">
        <v>9.18</v>
      </c>
      <c r="H273" s="137">
        <v>0</v>
      </c>
      <c r="I273" s="137">
        <v>6.73</v>
      </c>
      <c r="J273" s="137">
        <v>6.37</v>
      </c>
      <c r="K273" s="137">
        <v>0</v>
      </c>
      <c r="L273" s="137">
        <v>0</v>
      </c>
      <c r="M273" s="137">
        <v>0</v>
      </c>
      <c r="N273" s="137" t="s">
        <v>193</v>
      </c>
      <c r="O273" s="137" t="s">
        <v>193</v>
      </c>
      <c r="P273" s="137" t="s">
        <v>193</v>
      </c>
      <c r="Q273" s="137" t="s">
        <v>193</v>
      </c>
      <c r="R273" s="137" t="s">
        <v>193</v>
      </c>
      <c r="S273" s="137" t="s">
        <v>193</v>
      </c>
      <c r="U273" s="137">
        <f t="shared" si="8"/>
        <v>42.33</v>
      </c>
      <c r="V273" s="171">
        <f t="shared" si="9"/>
        <v>0</v>
      </c>
    </row>
    <row r="274" spans="1:22" ht="15" customHeight="1" x14ac:dyDescent="0.25">
      <c r="A274" s="137" t="s">
        <v>570</v>
      </c>
      <c r="B274" s="137" t="s">
        <v>571</v>
      </c>
      <c r="C274" s="137">
        <v>2018</v>
      </c>
      <c r="D274" s="137">
        <v>77.3</v>
      </c>
      <c r="E274" s="137">
        <v>38.299999999999997</v>
      </c>
      <c r="F274" s="137">
        <v>17.5</v>
      </c>
      <c r="G274" s="137">
        <v>2.2000000000000002</v>
      </c>
      <c r="H274" s="137" t="s">
        <v>193</v>
      </c>
      <c r="I274" s="137">
        <v>10.199999999999999</v>
      </c>
      <c r="J274" s="137">
        <v>9</v>
      </c>
      <c r="K274" s="137" t="s">
        <v>193</v>
      </c>
      <c r="L274" s="137" t="s">
        <v>193</v>
      </c>
      <c r="M274" s="137" t="s">
        <v>193</v>
      </c>
      <c r="N274" s="137" t="s">
        <v>53</v>
      </c>
      <c r="O274" s="137" t="s">
        <v>193</v>
      </c>
      <c r="P274" s="137" t="s">
        <v>53</v>
      </c>
      <c r="Q274" s="137" t="s">
        <v>193</v>
      </c>
      <c r="R274" s="137" t="s">
        <v>53</v>
      </c>
      <c r="S274" s="137" t="s">
        <v>193</v>
      </c>
      <c r="U274" s="137">
        <f t="shared" si="8"/>
        <v>77.3</v>
      </c>
      <c r="V274" s="171">
        <f t="shared" si="9"/>
        <v>0</v>
      </c>
    </row>
    <row r="275" spans="1:22" ht="15" customHeight="1" x14ac:dyDescent="0.25">
      <c r="A275" s="137" t="s">
        <v>570</v>
      </c>
      <c r="B275" s="137" t="s">
        <v>572</v>
      </c>
      <c r="C275" s="137">
        <v>2018</v>
      </c>
      <c r="D275" s="137">
        <v>0.872</v>
      </c>
      <c r="E275" s="137" t="s">
        <v>193</v>
      </c>
      <c r="F275" s="137" t="s">
        <v>193</v>
      </c>
      <c r="G275" s="137" t="s">
        <v>193</v>
      </c>
      <c r="H275" s="137" t="s">
        <v>193</v>
      </c>
      <c r="I275" s="137">
        <v>0.872</v>
      </c>
      <c r="J275" s="137" t="s">
        <v>193</v>
      </c>
      <c r="K275" s="137" t="s">
        <v>193</v>
      </c>
      <c r="L275" s="137" t="s">
        <v>193</v>
      </c>
      <c r="M275" s="137" t="s">
        <v>193</v>
      </c>
      <c r="N275" s="137" t="s">
        <v>53</v>
      </c>
      <c r="O275" s="137" t="s">
        <v>193</v>
      </c>
      <c r="P275" s="137" t="s">
        <v>53</v>
      </c>
      <c r="Q275" s="137" t="s">
        <v>193</v>
      </c>
      <c r="R275" s="137" t="s">
        <v>53</v>
      </c>
      <c r="S275" s="137" t="s">
        <v>193</v>
      </c>
      <c r="U275" s="137">
        <f t="shared" si="8"/>
        <v>0.872</v>
      </c>
      <c r="V275" s="171">
        <f t="shared" si="9"/>
        <v>0</v>
      </c>
    </row>
    <row r="276" spans="1:22" ht="15" customHeight="1" x14ac:dyDescent="0.25">
      <c r="A276" s="137" t="s">
        <v>573</v>
      </c>
      <c r="B276" s="137" t="s">
        <v>574</v>
      </c>
      <c r="C276" s="137">
        <v>2018</v>
      </c>
      <c r="D276" s="137" t="s">
        <v>53</v>
      </c>
      <c r="E276" s="137" t="s">
        <v>53</v>
      </c>
      <c r="F276" s="137" t="s">
        <v>53</v>
      </c>
      <c r="G276" s="137" t="s">
        <v>53</v>
      </c>
      <c r="H276" s="137" t="s">
        <v>53</v>
      </c>
      <c r="I276" s="137" t="s">
        <v>53</v>
      </c>
      <c r="J276" s="137" t="s">
        <v>53</v>
      </c>
      <c r="K276" s="137" t="s">
        <v>53</v>
      </c>
      <c r="L276" s="137" t="s">
        <v>53</v>
      </c>
      <c r="M276" s="137" t="s">
        <v>53</v>
      </c>
      <c r="N276" s="137" t="s">
        <v>53</v>
      </c>
      <c r="O276" s="137" t="s">
        <v>53</v>
      </c>
      <c r="P276" s="137" t="s">
        <v>53</v>
      </c>
      <c r="Q276" s="137" t="s">
        <v>53</v>
      </c>
      <c r="R276" s="137" t="s">
        <v>53</v>
      </c>
      <c r="S276" s="137" t="s">
        <v>53</v>
      </c>
      <c r="U276" s="137">
        <f t="shared" si="8"/>
        <v>0</v>
      </c>
      <c r="V276" s="171">
        <f t="shared" si="9"/>
        <v>0</v>
      </c>
    </row>
    <row r="277" spans="1:22" ht="15" customHeight="1" x14ac:dyDescent="0.25">
      <c r="A277" s="137" t="s">
        <v>573</v>
      </c>
      <c r="B277" s="137" t="s">
        <v>575</v>
      </c>
      <c r="C277" s="137">
        <v>2018</v>
      </c>
      <c r="D277" s="137" t="s">
        <v>53</v>
      </c>
      <c r="E277" s="137" t="s">
        <v>53</v>
      </c>
      <c r="F277" s="137" t="s">
        <v>53</v>
      </c>
      <c r="G277" s="137" t="s">
        <v>53</v>
      </c>
      <c r="H277" s="137" t="s">
        <v>53</v>
      </c>
      <c r="I277" s="137" t="s">
        <v>53</v>
      </c>
      <c r="J277" s="137" t="s">
        <v>53</v>
      </c>
      <c r="K277" s="137" t="s">
        <v>53</v>
      </c>
      <c r="L277" s="137" t="s">
        <v>53</v>
      </c>
      <c r="M277" s="137" t="s">
        <v>53</v>
      </c>
      <c r="N277" s="137" t="s">
        <v>53</v>
      </c>
      <c r="O277" s="137" t="s">
        <v>53</v>
      </c>
      <c r="P277" s="137" t="s">
        <v>53</v>
      </c>
      <c r="Q277" s="137" t="s">
        <v>53</v>
      </c>
      <c r="R277" s="137" t="s">
        <v>53</v>
      </c>
      <c r="S277" s="137" t="s">
        <v>53</v>
      </c>
      <c r="U277" s="137">
        <f t="shared" si="8"/>
        <v>0</v>
      </c>
      <c r="V277" s="171">
        <f t="shared" si="9"/>
        <v>0</v>
      </c>
    </row>
    <row r="278" spans="1:22" ht="15" customHeight="1" x14ac:dyDescent="0.25">
      <c r="A278" s="137" t="s">
        <v>573</v>
      </c>
      <c r="B278" s="137" t="s">
        <v>576</v>
      </c>
      <c r="C278" s="137">
        <v>2018</v>
      </c>
      <c r="D278" s="137" t="s">
        <v>53</v>
      </c>
      <c r="E278" s="137" t="s">
        <v>53</v>
      </c>
      <c r="F278" s="137" t="s">
        <v>53</v>
      </c>
      <c r="G278" s="137" t="s">
        <v>53</v>
      </c>
      <c r="H278" s="137" t="s">
        <v>53</v>
      </c>
      <c r="I278" s="137" t="s">
        <v>53</v>
      </c>
      <c r="J278" s="137" t="s">
        <v>53</v>
      </c>
      <c r="K278" s="137" t="s">
        <v>53</v>
      </c>
      <c r="L278" s="137" t="s">
        <v>53</v>
      </c>
      <c r="M278" s="137" t="s">
        <v>53</v>
      </c>
      <c r="N278" s="137" t="s">
        <v>53</v>
      </c>
      <c r="O278" s="137" t="s">
        <v>53</v>
      </c>
      <c r="P278" s="137" t="s">
        <v>53</v>
      </c>
      <c r="Q278" s="137" t="s">
        <v>53</v>
      </c>
      <c r="R278" s="137" t="s">
        <v>53</v>
      </c>
      <c r="S278" s="137" t="s">
        <v>53</v>
      </c>
      <c r="U278" s="137">
        <f t="shared" si="8"/>
        <v>0</v>
      </c>
      <c r="V278" s="171">
        <f t="shared" si="9"/>
        <v>0</v>
      </c>
    </row>
    <row r="279" spans="1:22" ht="15" customHeight="1" x14ac:dyDescent="0.25">
      <c r="A279" s="137" t="s">
        <v>573</v>
      </c>
      <c r="B279" s="137" t="s">
        <v>116</v>
      </c>
      <c r="C279" s="137">
        <v>2018</v>
      </c>
      <c r="D279" s="137">
        <v>8113.0209999999997</v>
      </c>
      <c r="E279" s="137">
        <v>4672.6480000000001</v>
      </c>
      <c r="F279" s="137">
        <v>144.506</v>
      </c>
      <c r="G279" s="137">
        <v>178.00399999999999</v>
      </c>
      <c r="H279" s="137">
        <v>15.976000000000001</v>
      </c>
      <c r="I279" s="137">
        <v>542.1</v>
      </c>
      <c r="J279" s="137">
        <v>1219.6859999999999</v>
      </c>
      <c r="K279" s="137">
        <v>359.47800000000001</v>
      </c>
      <c r="L279" s="137" t="s">
        <v>193</v>
      </c>
      <c r="M279" s="137" t="s">
        <v>193</v>
      </c>
      <c r="N279" s="137" t="s">
        <v>1088</v>
      </c>
      <c r="O279" s="137">
        <v>788.83399999999995</v>
      </c>
      <c r="P279" s="137" t="s">
        <v>1089</v>
      </c>
      <c r="Q279" s="137">
        <v>69.207999999999998</v>
      </c>
      <c r="R279" s="137" t="s">
        <v>1090</v>
      </c>
      <c r="S279" s="137">
        <v>89.191999999999993</v>
      </c>
      <c r="U279" s="137">
        <f t="shared" si="8"/>
        <v>8113.0209999999997</v>
      </c>
      <c r="V279" s="171">
        <f t="shared" si="9"/>
        <v>947.23399999999992</v>
      </c>
    </row>
    <row r="280" spans="1:22" ht="15" customHeight="1" x14ac:dyDescent="0.25">
      <c r="A280" s="137" t="s">
        <v>573</v>
      </c>
      <c r="B280" s="137" t="s">
        <v>577</v>
      </c>
      <c r="C280" s="137">
        <v>2018</v>
      </c>
      <c r="D280" s="137" t="s">
        <v>53</v>
      </c>
      <c r="E280" s="137" t="s">
        <v>53</v>
      </c>
      <c r="F280" s="137" t="s">
        <v>53</v>
      </c>
      <c r="G280" s="137" t="s">
        <v>53</v>
      </c>
      <c r="H280" s="137" t="s">
        <v>53</v>
      </c>
      <c r="I280" s="137" t="s">
        <v>53</v>
      </c>
      <c r="J280" s="137" t="s">
        <v>53</v>
      </c>
      <c r="K280" s="137" t="s">
        <v>53</v>
      </c>
      <c r="L280" s="137" t="s">
        <v>53</v>
      </c>
      <c r="M280" s="137" t="s">
        <v>53</v>
      </c>
      <c r="N280" s="137" t="s">
        <v>53</v>
      </c>
      <c r="O280" s="137" t="s">
        <v>53</v>
      </c>
      <c r="P280" s="137" t="s">
        <v>53</v>
      </c>
      <c r="Q280" s="137" t="s">
        <v>53</v>
      </c>
      <c r="R280" s="137" t="s">
        <v>53</v>
      </c>
      <c r="S280" s="137" t="s">
        <v>53</v>
      </c>
      <c r="U280" s="137">
        <f t="shared" si="8"/>
        <v>0</v>
      </c>
      <c r="V280" s="171">
        <f t="shared" si="9"/>
        <v>0</v>
      </c>
    </row>
    <row r="281" spans="1:22" ht="15" customHeight="1" x14ac:dyDescent="0.25">
      <c r="A281" s="137" t="s">
        <v>573</v>
      </c>
      <c r="B281" s="137" t="s">
        <v>578</v>
      </c>
      <c r="C281" s="137">
        <v>2018</v>
      </c>
      <c r="D281" s="137" t="s">
        <v>53</v>
      </c>
      <c r="E281" s="137" t="s">
        <v>53</v>
      </c>
      <c r="F281" s="137" t="s">
        <v>53</v>
      </c>
      <c r="G281" s="137" t="s">
        <v>53</v>
      </c>
      <c r="H281" s="137" t="s">
        <v>53</v>
      </c>
      <c r="I281" s="137" t="s">
        <v>53</v>
      </c>
      <c r="J281" s="137" t="s">
        <v>53</v>
      </c>
      <c r="K281" s="137" t="s">
        <v>53</v>
      </c>
      <c r="L281" s="137" t="s">
        <v>53</v>
      </c>
      <c r="M281" s="137" t="s">
        <v>53</v>
      </c>
      <c r="N281" s="137" t="s">
        <v>53</v>
      </c>
      <c r="O281" s="137" t="s">
        <v>53</v>
      </c>
      <c r="P281" s="137" t="s">
        <v>53</v>
      </c>
      <c r="Q281" s="137" t="s">
        <v>53</v>
      </c>
      <c r="R281" s="137" t="s">
        <v>53</v>
      </c>
      <c r="S281" s="137" t="s">
        <v>53</v>
      </c>
      <c r="U281" s="137">
        <f t="shared" si="8"/>
        <v>0</v>
      </c>
      <c r="V281" s="171">
        <f t="shared" si="9"/>
        <v>0</v>
      </c>
    </row>
    <row r="282" spans="1:22" ht="15" customHeight="1" x14ac:dyDescent="0.25">
      <c r="A282" s="137" t="s">
        <v>573</v>
      </c>
      <c r="B282" s="137" t="s">
        <v>579</v>
      </c>
      <c r="C282" s="137">
        <v>2018</v>
      </c>
      <c r="D282" s="137" t="s">
        <v>53</v>
      </c>
      <c r="E282" s="137" t="s">
        <v>53</v>
      </c>
      <c r="F282" s="137" t="s">
        <v>53</v>
      </c>
      <c r="G282" s="137" t="s">
        <v>53</v>
      </c>
      <c r="H282" s="137" t="s">
        <v>53</v>
      </c>
      <c r="I282" s="137" t="s">
        <v>53</v>
      </c>
      <c r="J282" s="137" t="s">
        <v>53</v>
      </c>
      <c r="K282" s="137" t="s">
        <v>53</v>
      </c>
      <c r="L282" s="137" t="s">
        <v>53</v>
      </c>
      <c r="M282" s="137" t="s">
        <v>53</v>
      </c>
      <c r="N282" s="137" t="s">
        <v>53</v>
      </c>
      <c r="O282" s="137" t="s">
        <v>53</v>
      </c>
      <c r="P282" s="137" t="s">
        <v>53</v>
      </c>
      <c r="Q282" s="137" t="s">
        <v>53</v>
      </c>
      <c r="R282" s="137" t="s">
        <v>53</v>
      </c>
      <c r="S282" s="137" t="s">
        <v>53</v>
      </c>
      <c r="U282" s="137">
        <f t="shared" si="8"/>
        <v>0</v>
      </c>
      <c r="V282" s="171">
        <f t="shared" si="9"/>
        <v>0</v>
      </c>
    </row>
    <row r="283" spans="1:22" ht="15" customHeight="1" x14ac:dyDescent="0.25">
      <c r="A283" s="137" t="s">
        <v>573</v>
      </c>
      <c r="B283" s="137" t="s">
        <v>580</v>
      </c>
      <c r="C283" s="137">
        <v>2018</v>
      </c>
      <c r="D283" s="137" t="s">
        <v>53</v>
      </c>
      <c r="E283" s="137" t="s">
        <v>53</v>
      </c>
      <c r="F283" s="137" t="s">
        <v>53</v>
      </c>
      <c r="G283" s="137" t="s">
        <v>53</v>
      </c>
      <c r="H283" s="137" t="s">
        <v>53</v>
      </c>
      <c r="I283" s="137" t="s">
        <v>53</v>
      </c>
      <c r="J283" s="137" t="s">
        <v>53</v>
      </c>
      <c r="K283" s="137" t="s">
        <v>53</v>
      </c>
      <c r="L283" s="137" t="s">
        <v>53</v>
      </c>
      <c r="M283" s="137" t="s">
        <v>53</v>
      </c>
      <c r="N283" s="137" t="s">
        <v>53</v>
      </c>
      <c r="O283" s="137" t="s">
        <v>53</v>
      </c>
      <c r="P283" s="137" t="s">
        <v>53</v>
      </c>
      <c r="Q283" s="137" t="s">
        <v>53</v>
      </c>
      <c r="R283" s="137" t="s">
        <v>53</v>
      </c>
      <c r="S283" s="137" t="s">
        <v>53</v>
      </c>
      <c r="U283" s="137">
        <f t="shared" si="8"/>
        <v>0</v>
      </c>
      <c r="V283" s="171">
        <f t="shared" si="9"/>
        <v>0</v>
      </c>
    </row>
    <row r="284" spans="1:22" ht="15" customHeight="1" x14ac:dyDescent="0.25">
      <c r="A284" s="137" t="s">
        <v>573</v>
      </c>
      <c r="B284" s="137" t="s">
        <v>581</v>
      </c>
      <c r="C284" s="137">
        <v>2018</v>
      </c>
      <c r="D284" s="137" t="s">
        <v>53</v>
      </c>
      <c r="E284" s="137" t="s">
        <v>53</v>
      </c>
      <c r="F284" s="137" t="s">
        <v>53</v>
      </c>
      <c r="G284" s="137" t="s">
        <v>53</v>
      </c>
      <c r="H284" s="137" t="s">
        <v>53</v>
      </c>
      <c r="I284" s="137" t="s">
        <v>53</v>
      </c>
      <c r="J284" s="137" t="s">
        <v>53</v>
      </c>
      <c r="K284" s="137" t="s">
        <v>53</v>
      </c>
      <c r="L284" s="137" t="s">
        <v>53</v>
      </c>
      <c r="M284" s="137" t="s">
        <v>53</v>
      </c>
      <c r="N284" s="137" t="s">
        <v>53</v>
      </c>
      <c r="O284" s="137" t="s">
        <v>53</v>
      </c>
      <c r="P284" s="137" t="s">
        <v>53</v>
      </c>
      <c r="Q284" s="137" t="s">
        <v>53</v>
      </c>
      <c r="R284" s="137" t="s">
        <v>53</v>
      </c>
      <c r="S284" s="137" t="s">
        <v>53</v>
      </c>
      <c r="U284" s="137">
        <f t="shared" si="8"/>
        <v>0</v>
      </c>
      <c r="V284" s="171">
        <f t="shared" si="9"/>
        <v>0</v>
      </c>
    </row>
    <row r="285" spans="1:22" ht="15" customHeight="1" x14ac:dyDescent="0.25">
      <c r="A285" s="137" t="s">
        <v>573</v>
      </c>
      <c r="B285" s="137" t="s">
        <v>582</v>
      </c>
      <c r="C285" s="137">
        <v>2018</v>
      </c>
      <c r="D285" s="137" t="s">
        <v>53</v>
      </c>
      <c r="E285" s="137" t="s">
        <v>53</v>
      </c>
      <c r="F285" s="137" t="s">
        <v>53</v>
      </c>
      <c r="G285" s="137" t="s">
        <v>53</v>
      </c>
      <c r="H285" s="137" t="s">
        <v>53</v>
      </c>
      <c r="I285" s="137" t="s">
        <v>53</v>
      </c>
      <c r="J285" s="137" t="s">
        <v>53</v>
      </c>
      <c r="K285" s="137" t="s">
        <v>53</v>
      </c>
      <c r="L285" s="137" t="s">
        <v>53</v>
      </c>
      <c r="M285" s="137" t="s">
        <v>53</v>
      </c>
      <c r="N285" s="137" t="s">
        <v>53</v>
      </c>
      <c r="O285" s="137" t="s">
        <v>53</v>
      </c>
      <c r="P285" s="137" t="s">
        <v>53</v>
      </c>
      <c r="Q285" s="137" t="s">
        <v>53</v>
      </c>
      <c r="R285" s="137" t="s">
        <v>53</v>
      </c>
      <c r="S285" s="137" t="s">
        <v>53</v>
      </c>
      <c r="U285" s="137">
        <f t="shared" si="8"/>
        <v>0</v>
      </c>
      <c r="V285" s="171">
        <f t="shared" si="9"/>
        <v>0</v>
      </c>
    </row>
    <row r="286" spans="1:22" ht="15" customHeight="1" x14ac:dyDescent="0.25">
      <c r="A286" s="137" t="s">
        <v>573</v>
      </c>
      <c r="B286" s="137" t="s">
        <v>583</v>
      </c>
      <c r="C286" s="137">
        <v>2018</v>
      </c>
      <c r="D286" s="137">
        <v>62.732999999999997</v>
      </c>
      <c r="E286" s="137" t="s">
        <v>193</v>
      </c>
      <c r="F286" s="137" t="s">
        <v>193</v>
      </c>
      <c r="G286" s="137" t="s">
        <v>193</v>
      </c>
      <c r="H286" s="137" t="s">
        <v>193</v>
      </c>
      <c r="I286" s="137" t="s">
        <v>193</v>
      </c>
      <c r="J286" s="137" t="s">
        <v>193</v>
      </c>
      <c r="K286" s="137" t="s">
        <v>193</v>
      </c>
      <c r="L286" s="137" t="s">
        <v>193</v>
      </c>
      <c r="M286" s="137" t="s">
        <v>193</v>
      </c>
      <c r="N286" s="137" t="s">
        <v>53</v>
      </c>
      <c r="O286" s="137" t="s">
        <v>193</v>
      </c>
      <c r="P286" s="137" t="s">
        <v>53</v>
      </c>
      <c r="Q286" s="137" t="s">
        <v>193</v>
      </c>
      <c r="R286" s="137" t="s">
        <v>53</v>
      </c>
      <c r="S286" s="137" t="s">
        <v>193</v>
      </c>
      <c r="U286" s="137">
        <f t="shared" si="8"/>
        <v>62.732999999999997</v>
      </c>
      <c r="V286" s="171">
        <f t="shared" si="9"/>
        <v>0</v>
      </c>
    </row>
    <row r="287" spans="1:22" ht="15" customHeight="1" x14ac:dyDescent="0.25">
      <c r="A287" s="137" t="s">
        <v>573</v>
      </c>
      <c r="B287" s="137" t="s">
        <v>584</v>
      </c>
      <c r="C287" s="137">
        <v>2018</v>
      </c>
      <c r="D287" s="137" t="s">
        <v>53</v>
      </c>
      <c r="E287" s="137" t="s">
        <v>53</v>
      </c>
      <c r="F287" s="137" t="s">
        <v>53</v>
      </c>
      <c r="G287" s="137" t="s">
        <v>53</v>
      </c>
      <c r="H287" s="137" t="s">
        <v>53</v>
      </c>
      <c r="I287" s="137" t="s">
        <v>53</v>
      </c>
      <c r="J287" s="137" t="s">
        <v>53</v>
      </c>
      <c r="K287" s="137" t="s">
        <v>53</v>
      </c>
      <c r="L287" s="137" t="s">
        <v>53</v>
      </c>
      <c r="M287" s="137" t="s">
        <v>53</v>
      </c>
      <c r="N287" s="137" t="s">
        <v>53</v>
      </c>
      <c r="O287" s="137" t="s">
        <v>53</v>
      </c>
      <c r="P287" s="137" t="s">
        <v>53</v>
      </c>
      <c r="Q287" s="137" t="s">
        <v>53</v>
      </c>
      <c r="R287" s="137" t="s">
        <v>53</v>
      </c>
      <c r="S287" s="137" t="s">
        <v>53</v>
      </c>
      <c r="U287" s="137">
        <f t="shared" si="8"/>
        <v>0</v>
      </c>
      <c r="V287" s="171">
        <f t="shared" si="9"/>
        <v>0</v>
      </c>
    </row>
    <row r="288" spans="1:22" ht="15" customHeight="1" x14ac:dyDescent="0.25">
      <c r="A288" s="137" t="s">
        <v>585</v>
      </c>
      <c r="B288" s="137" t="s">
        <v>586</v>
      </c>
      <c r="C288" s="137">
        <v>2018</v>
      </c>
      <c r="D288" s="137">
        <v>22.38</v>
      </c>
      <c r="E288" s="137">
        <v>11.94</v>
      </c>
      <c r="F288" s="137">
        <v>2.9020000000000001</v>
      </c>
      <c r="G288" s="137">
        <v>0.21099999999999999</v>
      </c>
      <c r="H288" s="137" t="s">
        <v>193</v>
      </c>
      <c r="I288" s="137">
        <v>5.8129999999999997</v>
      </c>
      <c r="J288" s="137">
        <v>1.1519999999999999</v>
      </c>
      <c r="K288" s="137" t="s">
        <v>193</v>
      </c>
      <c r="L288" s="137" t="s">
        <v>193</v>
      </c>
      <c r="M288" s="137" t="s">
        <v>193</v>
      </c>
      <c r="N288" s="137" t="s">
        <v>53</v>
      </c>
      <c r="O288" s="137" t="s">
        <v>193</v>
      </c>
      <c r="P288" s="137" t="s">
        <v>53</v>
      </c>
      <c r="Q288" s="137" t="s">
        <v>193</v>
      </c>
      <c r="R288" s="137" t="s">
        <v>53</v>
      </c>
      <c r="S288" s="137" t="s">
        <v>193</v>
      </c>
      <c r="U288" s="137">
        <f t="shared" si="8"/>
        <v>22.38</v>
      </c>
      <c r="V288" s="171">
        <f t="shared" si="9"/>
        <v>0</v>
      </c>
    </row>
    <row r="289" spans="1:22" ht="15" customHeight="1" x14ac:dyDescent="0.25">
      <c r="A289" s="137" t="s">
        <v>585</v>
      </c>
      <c r="B289" s="137" t="s">
        <v>587</v>
      </c>
      <c r="C289" s="137">
        <v>2018</v>
      </c>
      <c r="D289" s="137">
        <v>15.986000000000001</v>
      </c>
      <c r="E289" s="137">
        <v>5.6879999999999997</v>
      </c>
      <c r="F289" s="137">
        <v>1.3320000000000001</v>
      </c>
      <c r="G289" s="137">
        <v>3.7890000000000001</v>
      </c>
      <c r="H289" s="137" t="s">
        <v>193</v>
      </c>
      <c r="I289" s="137">
        <v>4.0229999999999997</v>
      </c>
      <c r="J289" s="137">
        <v>1.1519999999999999</v>
      </c>
      <c r="K289" s="137" t="s">
        <v>193</v>
      </c>
      <c r="L289" s="137" t="s">
        <v>193</v>
      </c>
      <c r="M289" s="137" t="s">
        <v>193</v>
      </c>
      <c r="N289" s="137" t="s">
        <v>53</v>
      </c>
      <c r="O289" s="137" t="s">
        <v>193</v>
      </c>
      <c r="P289" s="137" t="s">
        <v>53</v>
      </c>
      <c r="Q289" s="137" t="s">
        <v>193</v>
      </c>
      <c r="R289" s="137" t="s">
        <v>53</v>
      </c>
      <c r="S289" s="137" t="s">
        <v>193</v>
      </c>
      <c r="U289" s="137">
        <f t="shared" si="8"/>
        <v>15.986000000000001</v>
      </c>
      <c r="V289" s="171">
        <f t="shared" si="9"/>
        <v>0</v>
      </c>
    </row>
    <row r="290" spans="1:22" ht="15" customHeight="1" x14ac:dyDescent="0.25">
      <c r="A290" s="137" t="s">
        <v>585</v>
      </c>
      <c r="B290" s="137" t="s">
        <v>588</v>
      </c>
      <c r="C290" s="137">
        <v>2018</v>
      </c>
      <c r="D290" s="137">
        <v>549.02499999999998</v>
      </c>
      <c r="E290" s="137">
        <v>257.71699999999998</v>
      </c>
      <c r="F290" s="137">
        <v>42.875</v>
      </c>
      <c r="G290" s="137" t="s">
        <v>193</v>
      </c>
      <c r="H290" s="137" t="s">
        <v>193</v>
      </c>
      <c r="I290" s="137">
        <v>82.724999999999994</v>
      </c>
      <c r="J290" s="137">
        <v>141.251</v>
      </c>
      <c r="K290" s="137">
        <v>1.9630000000000001</v>
      </c>
      <c r="L290" s="137">
        <v>6.44</v>
      </c>
      <c r="M290" s="137">
        <v>14.028</v>
      </c>
      <c r="N290" s="137" t="s">
        <v>53</v>
      </c>
      <c r="O290" s="137" t="s">
        <v>193</v>
      </c>
      <c r="P290" s="137" t="s">
        <v>53</v>
      </c>
      <c r="Q290" s="137" t="s">
        <v>193</v>
      </c>
      <c r="R290" s="137" t="s">
        <v>53</v>
      </c>
      <c r="S290" s="137" t="s">
        <v>193</v>
      </c>
      <c r="U290" s="137">
        <f t="shared" si="8"/>
        <v>549.02499999999998</v>
      </c>
      <c r="V290" s="171">
        <f t="shared" si="9"/>
        <v>0</v>
      </c>
    </row>
    <row r="291" spans="1:22" ht="15" customHeight="1" x14ac:dyDescent="0.25">
      <c r="A291" s="137" t="s">
        <v>585</v>
      </c>
      <c r="B291" s="137" t="s">
        <v>589</v>
      </c>
      <c r="C291" s="137">
        <v>2018</v>
      </c>
      <c r="D291" s="137">
        <v>129.91300000000001</v>
      </c>
      <c r="E291" s="137" t="s">
        <v>193</v>
      </c>
      <c r="F291" s="137" t="s">
        <v>193</v>
      </c>
      <c r="G291" s="137">
        <v>129.91300000000001</v>
      </c>
      <c r="H291" s="137" t="s">
        <v>193</v>
      </c>
      <c r="I291" s="137" t="s">
        <v>193</v>
      </c>
      <c r="J291" s="137" t="s">
        <v>193</v>
      </c>
      <c r="K291" s="137" t="s">
        <v>193</v>
      </c>
      <c r="L291" s="137" t="s">
        <v>193</v>
      </c>
      <c r="M291" s="137" t="s">
        <v>193</v>
      </c>
      <c r="N291" s="137" t="s">
        <v>53</v>
      </c>
      <c r="O291" s="137" t="s">
        <v>193</v>
      </c>
      <c r="P291" s="137" t="s">
        <v>53</v>
      </c>
      <c r="Q291" s="137" t="s">
        <v>193</v>
      </c>
      <c r="R291" s="137" t="s">
        <v>53</v>
      </c>
      <c r="S291" s="137" t="s">
        <v>193</v>
      </c>
      <c r="U291" s="137">
        <f t="shared" si="8"/>
        <v>129.91300000000001</v>
      </c>
      <c r="V291" s="171">
        <f t="shared" si="9"/>
        <v>0</v>
      </c>
    </row>
    <row r="292" spans="1:22" ht="15" customHeight="1" x14ac:dyDescent="0.25">
      <c r="A292" s="137" t="s">
        <v>585</v>
      </c>
      <c r="B292" s="137" t="s">
        <v>590</v>
      </c>
      <c r="C292" s="137">
        <v>2018</v>
      </c>
      <c r="D292" s="137">
        <v>6.6349999999999998</v>
      </c>
      <c r="E292" s="137">
        <v>1.8640000000000001</v>
      </c>
      <c r="F292" s="137">
        <v>1.355</v>
      </c>
      <c r="G292" s="137">
        <v>6.5000000000000002E-2</v>
      </c>
      <c r="H292" s="137" t="s">
        <v>193</v>
      </c>
      <c r="I292" s="137">
        <v>2.996</v>
      </c>
      <c r="J292" s="137">
        <v>0.35499999999999998</v>
      </c>
      <c r="K292" s="137" t="s">
        <v>193</v>
      </c>
      <c r="L292" s="137" t="s">
        <v>193</v>
      </c>
      <c r="M292" s="137" t="s">
        <v>193</v>
      </c>
      <c r="N292" s="137" t="s">
        <v>53</v>
      </c>
      <c r="O292" s="137" t="s">
        <v>193</v>
      </c>
      <c r="P292" s="137" t="s">
        <v>53</v>
      </c>
      <c r="Q292" s="137" t="s">
        <v>193</v>
      </c>
      <c r="R292" s="137" t="s">
        <v>53</v>
      </c>
      <c r="S292" s="137" t="s">
        <v>193</v>
      </c>
      <c r="U292" s="137">
        <f t="shared" si="8"/>
        <v>6.6349999999999998</v>
      </c>
      <c r="V292" s="171">
        <f t="shared" si="9"/>
        <v>0</v>
      </c>
    </row>
    <row r="293" spans="1:22" ht="15" customHeight="1" x14ac:dyDescent="0.25">
      <c r="A293" s="137" t="s">
        <v>49</v>
      </c>
      <c r="B293" s="141" t="s">
        <v>50</v>
      </c>
      <c r="C293" s="137">
        <v>2018</v>
      </c>
      <c r="D293" s="137" t="s">
        <v>53</v>
      </c>
      <c r="E293" s="137" t="s">
        <v>53</v>
      </c>
      <c r="F293" s="137" t="s">
        <v>53</v>
      </c>
      <c r="G293" s="137" t="s">
        <v>53</v>
      </c>
      <c r="H293" s="137" t="s">
        <v>53</v>
      </c>
      <c r="I293" s="137" t="s">
        <v>53</v>
      </c>
      <c r="J293" s="137" t="s">
        <v>53</v>
      </c>
      <c r="K293" s="137" t="s">
        <v>53</v>
      </c>
      <c r="L293" s="137" t="s">
        <v>53</v>
      </c>
      <c r="M293" s="137" t="s">
        <v>53</v>
      </c>
      <c r="N293" s="137" t="s">
        <v>53</v>
      </c>
      <c r="O293" s="137" t="s">
        <v>53</v>
      </c>
      <c r="P293" s="137" t="s">
        <v>53</v>
      </c>
      <c r="Q293" s="137" t="s">
        <v>53</v>
      </c>
      <c r="R293" s="137" t="s">
        <v>53</v>
      </c>
      <c r="S293" s="137" t="s">
        <v>53</v>
      </c>
      <c r="U293" s="137">
        <f t="shared" si="8"/>
        <v>0</v>
      </c>
      <c r="V293" s="171">
        <f t="shared" si="9"/>
        <v>0</v>
      </c>
    </row>
    <row r="294" spans="1:22" ht="15" customHeight="1" x14ac:dyDescent="0.25">
      <c r="A294" s="137" t="s">
        <v>591</v>
      </c>
      <c r="B294" s="137" t="s">
        <v>592</v>
      </c>
      <c r="C294" s="137">
        <v>2018</v>
      </c>
      <c r="D294" s="137">
        <v>9.4990000000000006</v>
      </c>
      <c r="E294" s="137">
        <v>4.6180000000000003</v>
      </c>
      <c r="F294" s="137">
        <v>0.747</v>
      </c>
      <c r="G294" s="137">
        <v>0.50600000000000001</v>
      </c>
      <c r="H294" s="137" t="s">
        <v>193</v>
      </c>
      <c r="I294" s="137">
        <v>2.7410000000000001</v>
      </c>
      <c r="J294" s="137">
        <v>0.88700000000000001</v>
      </c>
      <c r="K294" s="137" t="s">
        <v>193</v>
      </c>
      <c r="L294" s="137" t="s">
        <v>193</v>
      </c>
      <c r="M294" s="137" t="s">
        <v>193</v>
      </c>
      <c r="N294" s="137" t="s">
        <v>53</v>
      </c>
      <c r="O294" s="137" t="s">
        <v>193</v>
      </c>
      <c r="P294" s="137" t="s">
        <v>53</v>
      </c>
      <c r="Q294" s="137" t="s">
        <v>193</v>
      </c>
      <c r="R294" s="137" t="s">
        <v>53</v>
      </c>
      <c r="S294" s="137" t="s">
        <v>193</v>
      </c>
      <c r="U294" s="137">
        <f t="shared" si="8"/>
        <v>9.4990000000000006</v>
      </c>
      <c r="V294" s="171">
        <f t="shared" si="9"/>
        <v>0</v>
      </c>
    </row>
    <row r="295" spans="1:22" ht="15" customHeight="1" x14ac:dyDescent="0.25">
      <c r="A295" s="137" t="s">
        <v>591</v>
      </c>
      <c r="B295" s="137" t="s">
        <v>594</v>
      </c>
      <c r="C295" s="137">
        <v>2018</v>
      </c>
      <c r="D295" s="137" t="s">
        <v>193</v>
      </c>
      <c r="E295" s="137" t="s">
        <v>193</v>
      </c>
      <c r="F295" s="137" t="s">
        <v>193</v>
      </c>
      <c r="G295" s="137" t="s">
        <v>193</v>
      </c>
      <c r="H295" s="137" t="s">
        <v>193</v>
      </c>
      <c r="I295" s="137" t="s">
        <v>193</v>
      </c>
      <c r="J295" s="137" t="s">
        <v>193</v>
      </c>
      <c r="K295" s="137" t="s">
        <v>193</v>
      </c>
      <c r="L295" s="137" t="s">
        <v>193</v>
      </c>
      <c r="M295" s="137" t="s">
        <v>193</v>
      </c>
      <c r="N295" s="137" t="s">
        <v>53</v>
      </c>
      <c r="O295" s="137" t="s">
        <v>193</v>
      </c>
      <c r="P295" s="137" t="s">
        <v>53</v>
      </c>
      <c r="Q295" s="137" t="s">
        <v>193</v>
      </c>
      <c r="R295" s="137" t="s">
        <v>53</v>
      </c>
      <c r="S295" s="137" t="s">
        <v>193</v>
      </c>
      <c r="U295" s="137">
        <f t="shared" si="8"/>
        <v>0</v>
      </c>
      <c r="V295" s="171">
        <f t="shared" si="9"/>
        <v>0</v>
      </c>
    </row>
    <row r="296" spans="1:22" ht="15" customHeight="1" x14ac:dyDescent="0.25">
      <c r="A296" s="137" t="s">
        <v>591</v>
      </c>
      <c r="B296" s="137" t="s">
        <v>595</v>
      </c>
      <c r="C296" s="137">
        <v>2018</v>
      </c>
      <c r="D296" s="137">
        <v>3.149</v>
      </c>
      <c r="E296" s="137">
        <v>2.827</v>
      </c>
      <c r="F296" s="137">
        <v>6.0000000000000001E-3</v>
      </c>
      <c r="G296" s="137">
        <v>0</v>
      </c>
      <c r="H296" s="137" t="s">
        <v>193</v>
      </c>
      <c r="I296" s="137">
        <v>0.316</v>
      </c>
      <c r="J296" s="137">
        <v>0</v>
      </c>
      <c r="K296" s="137" t="s">
        <v>193</v>
      </c>
      <c r="L296" s="137" t="s">
        <v>193</v>
      </c>
      <c r="M296" s="137" t="s">
        <v>193</v>
      </c>
      <c r="N296" s="137" t="s">
        <v>53</v>
      </c>
      <c r="O296" s="137" t="s">
        <v>193</v>
      </c>
      <c r="P296" s="137" t="s">
        <v>53</v>
      </c>
      <c r="Q296" s="137" t="s">
        <v>193</v>
      </c>
      <c r="R296" s="137" t="s">
        <v>53</v>
      </c>
      <c r="S296" s="137" t="s">
        <v>193</v>
      </c>
      <c r="U296" s="137">
        <f t="shared" si="8"/>
        <v>3.149</v>
      </c>
      <c r="V296" s="171">
        <f t="shared" si="9"/>
        <v>0</v>
      </c>
    </row>
    <row r="297" spans="1:22" ht="15" customHeight="1" x14ac:dyDescent="0.25">
      <c r="A297" s="137" t="s">
        <v>591</v>
      </c>
      <c r="B297" s="137" t="s">
        <v>597</v>
      </c>
      <c r="C297" s="137">
        <v>2018</v>
      </c>
      <c r="D297" s="137">
        <v>125.73699999999999</v>
      </c>
      <c r="E297" s="137">
        <v>57.853000000000002</v>
      </c>
      <c r="F297" s="137">
        <v>15.308999999999999</v>
      </c>
      <c r="G297" s="137">
        <v>10.483000000000001</v>
      </c>
      <c r="H297" s="137" t="s">
        <v>193</v>
      </c>
      <c r="I297" s="137">
        <v>19.821000000000002</v>
      </c>
      <c r="J297" s="137">
        <v>22.271999999999998</v>
      </c>
      <c r="K297" s="137" t="s">
        <v>193</v>
      </c>
      <c r="L297" s="137" t="s">
        <v>193</v>
      </c>
      <c r="M297" s="137" t="s">
        <v>193</v>
      </c>
      <c r="N297" s="137" t="s">
        <v>53</v>
      </c>
      <c r="O297" s="137" t="s">
        <v>193</v>
      </c>
      <c r="P297" s="137" t="s">
        <v>53</v>
      </c>
      <c r="Q297" s="137" t="s">
        <v>193</v>
      </c>
      <c r="R297" s="137" t="s">
        <v>53</v>
      </c>
      <c r="S297" s="137" t="s">
        <v>193</v>
      </c>
      <c r="U297" s="137">
        <f t="shared" si="8"/>
        <v>125.73699999999999</v>
      </c>
      <c r="V297" s="171">
        <f t="shared" si="9"/>
        <v>0</v>
      </c>
    </row>
    <row r="298" spans="1:22" ht="15" customHeight="1" x14ac:dyDescent="0.25">
      <c r="A298" s="137" t="s">
        <v>598</v>
      </c>
      <c r="B298" s="137" t="s">
        <v>599</v>
      </c>
      <c r="C298" s="137">
        <v>2018</v>
      </c>
      <c r="D298" s="137">
        <v>978.07899999999995</v>
      </c>
      <c r="E298" s="137">
        <v>498.904</v>
      </c>
      <c r="F298" s="137">
        <v>47.738999999999997</v>
      </c>
      <c r="G298" s="137">
        <v>78.965999999999994</v>
      </c>
      <c r="H298" s="137" t="s">
        <v>193</v>
      </c>
      <c r="I298" s="137">
        <v>166.375</v>
      </c>
      <c r="J298" s="137">
        <v>74.811999999999998</v>
      </c>
      <c r="K298" s="137">
        <v>0.7</v>
      </c>
      <c r="L298" s="137">
        <v>91.006</v>
      </c>
      <c r="M298" s="137">
        <v>19.568000000000001</v>
      </c>
      <c r="N298" s="137" t="s">
        <v>53</v>
      </c>
      <c r="O298" s="137" t="s">
        <v>193</v>
      </c>
      <c r="P298" s="137" t="s">
        <v>53</v>
      </c>
      <c r="Q298" s="137" t="s">
        <v>193</v>
      </c>
      <c r="R298" s="137" t="s">
        <v>53</v>
      </c>
      <c r="S298" s="137" t="s">
        <v>193</v>
      </c>
      <c r="U298" s="137">
        <f t="shared" si="8"/>
        <v>978.07899999999995</v>
      </c>
      <c r="V298" s="171">
        <f t="shared" si="9"/>
        <v>0</v>
      </c>
    </row>
    <row r="299" spans="1:22" ht="15" customHeight="1" x14ac:dyDescent="0.25">
      <c r="A299" s="137" t="s">
        <v>600</v>
      </c>
      <c r="B299" s="137" t="s">
        <v>132</v>
      </c>
      <c r="C299" s="137">
        <v>2018</v>
      </c>
      <c r="D299" s="137" t="s">
        <v>53</v>
      </c>
      <c r="E299" s="137" t="s">
        <v>53</v>
      </c>
      <c r="F299" s="137" t="s">
        <v>53</v>
      </c>
      <c r="G299" s="137" t="s">
        <v>53</v>
      </c>
      <c r="H299" s="137" t="s">
        <v>53</v>
      </c>
      <c r="I299" s="137" t="s">
        <v>53</v>
      </c>
      <c r="J299" s="137" t="s">
        <v>53</v>
      </c>
      <c r="K299" s="137" t="s">
        <v>53</v>
      </c>
      <c r="L299" s="137" t="s">
        <v>53</v>
      </c>
      <c r="M299" s="137" t="s">
        <v>53</v>
      </c>
      <c r="N299" s="137" t="s">
        <v>53</v>
      </c>
      <c r="O299" s="137" t="s">
        <v>53</v>
      </c>
      <c r="P299" s="137" t="s">
        <v>53</v>
      </c>
      <c r="Q299" s="137" t="s">
        <v>53</v>
      </c>
      <c r="R299" s="137" t="s">
        <v>53</v>
      </c>
      <c r="S299" s="137" t="s">
        <v>53</v>
      </c>
      <c r="U299" s="137">
        <f t="shared" si="8"/>
        <v>0</v>
      </c>
      <c r="V299" s="171">
        <f t="shared" si="9"/>
        <v>0</v>
      </c>
    </row>
    <row r="300" spans="1:22" ht="15" customHeight="1" x14ac:dyDescent="0.25">
      <c r="A300" s="137" t="s">
        <v>601</v>
      </c>
      <c r="B300" s="137" t="s">
        <v>602</v>
      </c>
      <c r="C300" s="137">
        <v>2018</v>
      </c>
      <c r="D300" s="137">
        <v>11.2</v>
      </c>
      <c r="E300" s="137">
        <v>4.5</v>
      </c>
      <c r="F300" s="137">
        <v>4.3</v>
      </c>
      <c r="G300" s="137">
        <v>0</v>
      </c>
      <c r="H300" s="137" t="s">
        <v>193</v>
      </c>
      <c r="I300" s="137">
        <v>2</v>
      </c>
      <c r="J300" s="137">
        <v>0</v>
      </c>
      <c r="K300" s="137">
        <v>0</v>
      </c>
      <c r="L300" s="137">
        <v>0.5</v>
      </c>
      <c r="M300" s="137">
        <v>0</v>
      </c>
      <c r="N300" s="137" t="s">
        <v>53</v>
      </c>
      <c r="O300" s="137" t="s">
        <v>193</v>
      </c>
      <c r="P300" s="137" t="s">
        <v>53</v>
      </c>
      <c r="Q300" s="137" t="s">
        <v>193</v>
      </c>
      <c r="R300" s="137" t="s">
        <v>53</v>
      </c>
      <c r="S300" s="137" t="s">
        <v>193</v>
      </c>
      <c r="U300" s="137">
        <f t="shared" si="8"/>
        <v>11.2</v>
      </c>
      <c r="V300" s="171">
        <f t="shared" si="9"/>
        <v>0</v>
      </c>
    </row>
    <row r="301" spans="1:22" ht="15" customHeight="1" x14ac:dyDescent="0.25">
      <c r="A301" s="137" t="s">
        <v>601</v>
      </c>
      <c r="B301" s="137" t="s">
        <v>603</v>
      </c>
      <c r="C301" s="137">
        <v>2018</v>
      </c>
      <c r="D301" s="137">
        <v>170.4</v>
      </c>
      <c r="E301" s="137">
        <v>90.3</v>
      </c>
      <c r="F301" s="137">
        <v>14.8</v>
      </c>
      <c r="G301" s="137">
        <v>9.8000000000000007</v>
      </c>
      <c r="H301" s="137">
        <v>0</v>
      </c>
      <c r="I301" s="137">
        <v>22.5</v>
      </c>
      <c r="J301" s="137">
        <v>15.8</v>
      </c>
      <c r="K301" s="137">
        <v>0.2</v>
      </c>
      <c r="L301" s="137">
        <v>0</v>
      </c>
      <c r="M301" s="137">
        <v>17</v>
      </c>
      <c r="N301" s="137" t="s">
        <v>53</v>
      </c>
      <c r="O301" s="137" t="s">
        <v>193</v>
      </c>
      <c r="P301" s="137" t="s">
        <v>53</v>
      </c>
      <c r="Q301" s="137" t="s">
        <v>193</v>
      </c>
      <c r="R301" s="137" t="s">
        <v>53</v>
      </c>
      <c r="S301" s="137" t="s">
        <v>193</v>
      </c>
      <c r="U301" s="137">
        <f t="shared" si="8"/>
        <v>170.4</v>
      </c>
      <c r="V301" s="171">
        <f t="shared" si="9"/>
        <v>0</v>
      </c>
    </row>
    <row r="302" spans="1:22" ht="15" customHeight="1" x14ac:dyDescent="0.25">
      <c r="A302" s="137" t="s">
        <v>601</v>
      </c>
      <c r="B302" s="137" t="s">
        <v>604</v>
      </c>
      <c r="C302" s="137">
        <v>2018</v>
      </c>
      <c r="D302" s="137">
        <v>18.7</v>
      </c>
      <c r="E302" s="137">
        <v>12</v>
      </c>
      <c r="F302" s="137">
        <v>2.1</v>
      </c>
      <c r="G302" s="137">
        <v>0.4</v>
      </c>
      <c r="H302" s="137" t="s">
        <v>193</v>
      </c>
      <c r="I302" s="137">
        <v>1.9</v>
      </c>
      <c r="J302" s="137">
        <v>0.8</v>
      </c>
      <c r="K302" s="137">
        <v>0</v>
      </c>
      <c r="L302" s="137">
        <v>0</v>
      </c>
      <c r="M302" s="137">
        <v>1.4</v>
      </c>
      <c r="N302" s="137" t="s">
        <v>53</v>
      </c>
      <c r="O302" s="137" t="s">
        <v>193</v>
      </c>
      <c r="P302" s="137" t="s">
        <v>53</v>
      </c>
      <c r="Q302" s="137" t="s">
        <v>193</v>
      </c>
      <c r="R302" s="137" t="s">
        <v>53</v>
      </c>
      <c r="S302" s="137" t="s">
        <v>193</v>
      </c>
      <c r="U302" s="137">
        <f t="shared" si="8"/>
        <v>18.7</v>
      </c>
      <c r="V302" s="171">
        <f t="shared" si="9"/>
        <v>0</v>
      </c>
    </row>
    <row r="303" spans="1:22" ht="15" customHeight="1" x14ac:dyDescent="0.25">
      <c r="A303" s="137" t="s">
        <v>601</v>
      </c>
      <c r="B303" s="137" t="s">
        <v>605</v>
      </c>
      <c r="C303" s="137">
        <v>2018</v>
      </c>
      <c r="D303" s="137">
        <v>1313.9</v>
      </c>
      <c r="E303" s="137">
        <v>534.70000000000005</v>
      </c>
      <c r="F303" s="137">
        <v>198.9</v>
      </c>
      <c r="G303" s="137">
        <v>74.900000000000006</v>
      </c>
      <c r="H303" s="137" t="s">
        <v>193</v>
      </c>
      <c r="I303" s="137">
        <v>151.30000000000001</v>
      </c>
      <c r="J303" s="137">
        <v>118.8</v>
      </c>
      <c r="K303" s="137">
        <v>100.8</v>
      </c>
      <c r="L303" s="137">
        <v>28.2</v>
      </c>
      <c r="M303" s="137">
        <v>106.3</v>
      </c>
      <c r="N303" s="137" t="s">
        <v>1091</v>
      </c>
      <c r="O303" s="137">
        <v>68.95</v>
      </c>
      <c r="P303" s="137" t="s">
        <v>53</v>
      </c>
      <c r="Q303" s="137" t="s">
        <v>193</v>
      </c>
      <c r="R303" s="137" t="s">
        <v>53</v>
      </c>
      <c r="S303" s="137" t="s">
        <v>193</v>
      </c>
      <c r="U303" s="137">
        <f t="shared" si="8"/>
        <v>1313.9</v>
      </c>
      <c r="V303" s="171">
        <f t="shared" si="9"/>
        <v>68.95</v>
      </c>
    </row>
    <row r="304" spans="1:22" ht="15" customHeight="1" x14ac:dyDescent="0.25">
      <c r="A304" s="137" t="s">
        <v>601</v>
      </c>
      <c r="B304" s="137" t="s">
        <v>606</v>
      </c>
      <c r="C304" s="137">
        <v>2018</v>
      </c>
      <c r="D304" s="137">
        <v>17.2</v>
      </c>
      <c r="E304" s="137">
        <v>7.4</v>
      </c>
      <c r="F304" s="137">
        <v>5.4</v>
      </c>
      <c r="G304" s="137">
        <v>0.2</v>
      </c>
      <c r="H304" s="137" t="s">
        <v>193</v>
      </c>
      <c r="I304" s="137">
        <v>4</v>
      </c>
      <c r="J304" s="137">
        <v>0.2</v>
      </c>
      <c r="K304" s="137">
        <v>0</v>
      </c>
      <c r="L304" s="137">
        <v>0</v>
      </c>
      <c r="M304" s="137">
        <v>0</v>
      </c>
      <c r="N304" s="137" t="s">
        <v>53</v>
      </c>
      <c r="O304" s="137" t="s">
        <v>193</v>
      </c>
      <c r="P304" s="137" t="s">
        <v>53</v>
      </c>
      <c r="Q304" s="137" t="s">
        <v>193</v>
      </c>
      <c r="R304" s="137" t="s">
        <v>53</v>
      </c>
      <c r="S304" s="137" t="s">
        <v>193</v>
      </c>
      <c r="U304" s="137">
        <f t="shared" si="8"/>
        <v>17.2</v>
      </c>
      <c r="V304" s="171">
        <f t="shared" si="9"/>
        <v>0</v>
      </c>
    </row>
    <row r="305" spans="1:22" ht="15" customHeight="1" x14ac:dyDescent="0.25">
      <c r="A305" s="137" t="s">
        <v>601</v>
      </c>
      <c r="B305" s="137" t="s">
        <v>607</v>
      </c>
      <c r="C305" s="137">
        <v>2018</v>
      </c>
      <c r="D305" s="137">
        <v>30.8</v>
      </c>
      <c r="E305" s="137">
        <v>14.2</v>
      </c>
      <c r="F305" s="137">
        <v>1</v>
      </c>
      <c r="G305" s="137">
        <v>6.1</v>
      </c>
      <c r="H305" s="137" t="s">
        <v>193</v>
      </c>
      <c r="I305" s="137">
        <v>7.3</v>
      </c>
      <c r="J305" s="137">
        <v>1.5</v>
      </c>
      <c r="K305" s="137">
        <v>0.8</v>
      </c>
      <c r="L305" s="137">
        <v>0</v>
      </c>
      <c r="M305" s="137">
        <v>0</v>
      </c>
      <c r="N305" s="137" t="s">
        <v>53</v>
      </c>
      <c r="O305" s="137" t="s">
        <v>193</v>
      </c>
      <c r="P305" s="137" t="s">
        <v>53</v>
      </c>
      <c r="Q305" s="137" t="s">
        <v>193</v>
      </c>
      <c r="R305" s="137" t="s">
        <v>53</v>
      </c>
      <c r="S305" s="137" t="s">
        <v>193</v>
      </c>
      <c r="U305" s="137">
        <f t="shared" si="8"/>
        <v>30.8</v>
      </c>
      <c r="V305" s="171">
        <f t="shared" si="9"/>
        <v>0</v>
      </c>
    </row>
    <row r="306" spans="1:22" ht="15" customHeight="1" x14ac:dyDescent="0.25">
      <c r="A306" s="137" t="s">
        <v>608</v>
      </c>
      <c r="B306" s="137" t="s">
        <v>609</v>
      </c>
      <c r="C306" s="137">
        <v>2018</v>
      </c>
      <c r="D306" s="137">
        <v>43</v>
      </c>
      <c r="E306" s="137">
        <v>16</v>
      </c>
      <c r="F306" s="137">
        <v>0.4</v>
      </c>
      <c r="G306" s="137">
        <v>20.6</v>
      </c>
      <c r="H306" s="137">
        <v>8</v>
      </c>
      <c r="I306" s="137">
        <v>4.5999999999999996</v>
      </c>
      <c r="J306" s="137">
        <v>1.4</v>
      </c>
      <c r="K306" s="137">
        <v>0</v>
      </c>
      <c r="L306" s="137">
        <v>0</v>
      </c>
      <c r="M306" s="137" t="s">
        <v>193</v>
      </c>
      <c r="N306" s="137" t="s">
        <v>53</v>
      </c>
      <c r="O306" s="137" t="s">
        <v>193</v>
      </c>
      <c r="P306" s="137" t="s">
        <v>53</v>
      </c>
      <c r="Q306" s="137" t="s">
        <v>193</v>
      </c>
      <c r="R306" s="137" t="s">
        <v>53</v>
      </c>
      <c r="S306" s="137" t="s">
        <v>193</v>
      </c>
      <c r="U306" s="137">
        <f t="shared" si="8"/>
        <v>43</v>
      </c>
      <c r="V306" s="171">
        <f t="shared" si="9"/>
        <v>0</v>
      </c>
    </row>
    <row r="307" spans="1:22" ht="15" customHeight="1" x14ac:dyDescent="0.25">
      <c r="A307" s="137" t="s">
        <v>608</v>
      </c>
      <c r="B307" s="137" t="s">
        <v>610</v>
      </c>
      <c r="C307" s="137">
        <v>2018</v>
      </c>
      <c r="D307" s="137">
        <v>688</v>
      </c>
      <c r="E307" s="137">
        <v>307</v>
      </c>
      <c r="F307" s="137">
        <v>19</v>
      </c>
      <c r="G307" s="137">
        <v>219</v>
      </c>
      <c r="H307" s="137">
        <v>64</v>
      </c>
      <c r="I307" s="137">
        <v>68</v>
      </c>
      <c r="J307" s="137">
        <v>73</v>
      </c>
      <c r="K307" s="137">
        <v>2</v>
      </c>
      <c r="L307" s="137">
        <v>0</v>
      </c>
      <c r="M307" s="137">
        <v>0</v>
      </c>
      <c r="N307" s="137" t="s">
        <v>53</v>
      </c>
      <c r="O307" s="137" t="s">
        <v>193</v>
      </c>
      <c r="P307" s="137" t="s">
        <v>53</v>
      </c>
      <c r="Q307" s="137" t="s">
        <v>193</v>
      </c>
      <c r="R307" s="137" t="s">
        <v>53</v>
      </c>
      <c r="S307" s="137" t="s">
        <v>193</v>
      </c>
      <c r="U307" s="137">
        <f t="shared" si="8"/>
        <v>688</v>
      </c>
      <c r="V307" s="171">
        <f t="shared" si="9"/>
        <v>0</v>
      </c>
    </row>
    <row r="308" spans="1:22" ht="15" customHeight="1" x14ac:dyDescent="0.25">
      <c r="A308" s="137" t="s">
        <v>611</v>
      </c>
      <c r="B308" s="137" t="s">
        <v>612</v>
      </c>
      <c r="C308" s="137">
        <v>2018</v>
      </c>
      <c r="D308" s="137">
        <v>53.524999999999999</v>
      </c>
      <c r="E308" s="137">
        <v>17.190000000000001</v>
      </c>
      <c r="F308" s="137">
        <v>1.5609999999999999</v>
      </c>
      <c r="G308" s="137">
        <v>20.568000000000001</v>
      </c>
      <c r="H308" s="137" t="s">
        <v>193</v>
      </c>
      <c r="I308" s="137">
        <v>11.21</v>
      </c>
      <c r="J308" s="137">
        <v>2.9950000000000001</v>
      </c>
      <c r="K308" s="137" t="s">
        <v>193</v>
      </c>
      <c r="L308" s="137" t="s">
        <v>193</v>
      </c>
      <c r="M308" s="137" t="s">
        <v>193</v>
      </c>
      <c r="N308" s="137" t="s">
        <v>53</v>
      </c>
      <c r="O308" s="137" t="s">
        <v>193</v>
      </c>
      <c r="P308" s="137" t="s">
        <v>53</v>
      </c>
      <c r="Q308" s="137" t="s">
        <v>193</v>
      </c>
      <c r="R308" s="137" t="s">
        <v>53</v>
      </c>
      <c r="S308" s="137" t="s">
        <v>193</v>
      </c>
      <c r="U308" s="137">
        <f t="shared" si="8"/>
        <v>53.524999999999999</v>
      </c>
      <c r="V308" s="171">
        <f t="shared" si="9"/>
        <v>0</v>
      </c>
    </row>
    <row r="309" spans="1:22" ht="15" customHeight="1" x14ac:dyDescent="0.25">
      <c r="A309" s="137" t="s">
        <v>613</v>
      </c>
      <c r="B309" s="137" t="s">
        <v>614</v>
      </c>
      <c r="C309" s="137">
        <v>2018</v>
      </c>
      <c r="D309" s="137">
        <v>57.95</v>
      </c>
      <c r="E309" s="137">
        <v>30.86</v>
      </c>
      <c r="F309" s="137">
        <v>6.41</v>
      </c>
      <c r="G309" s="137">
        <v>1.43</v>
      </c>
      <c r="H309" s="137" t="s">
        <v>193</v>
      </c>
      <c r="I309" s="137">
        <v>13.86</v>
      </c>
      <c r="J309" s="137">
        <v>2.96</v>
      </c>
      <c r="K309" s="137" t="s">
        <v>193</v>
      </c>
      <c r="L309" s="137" t="s">
        <v>193</v>
      </c>
      <c r="M309" s="137" t="s">
        <v>193</v>
      </c>
      <c r="N309" s="137" t="s">
        <v>53</v>
      </c>
      <c r="O309" s="137" t="s">
        <v>193</v>
      </c>
      <c r="P309" s="137" t="s">
        <v>53</v>
      </c>
      <c r="Q309" s="137" t="s">
        <v>193</v>
      </c>
      <c r="R309" s="137" t="s">
        <v>53</v>
      </c>
      <c r="S309" s="137" t="s">
        <v>193</v>
      </c>
      <c r="U309" s="137">
        <f t="shared" si="8"/>
        <v>57.95</v>
      </c>
      <c r="V309" s="171">
        <f t="shared" si="9"/>
        <v>0</v>
      </c>
    </row>
    <row r="310" spans="1:22" ht="15" customHeight="1" x14ac:dyDescent="0.25">
      <c r="A310" s="137" t="s">
        <v>613</v>
      </c>
      <c r="B310" s="137" t="s">
        <v>615</v>
      </c>
      <c r="C310" s="137">
        <v>2018</v>
      </c>
      <c r="D310" s="137" t="s">
        <v>193</v>
      </c>
      <c r="E310" s="137" t="s">
        <v>193</v>
      </c>
      <c r="F310" s="137" t="s">
        <v>193</v>
      </c>
      <c r="G310" s="137" t="s">
        <v>193</v>
      </c>
      <c r="H310" s="137" t="s">
        <v>193</v>
      </c>
      <c r="I310" s="137" t="s">
        <v>193</v>
      </c>
      <c r="J310" s="137" t="s">
        <v>193</v>
      </c>
      <c r="K310" s="137" t="s">
        <v>193</v>
      </c>
      <c r="L310" s="137" t="s">
        <v>193</v>
      </c>
      <c r="M310" s="137" t="s">
        <v>193</v>
      </c>
      <c r="N310" s="137" t="s">
        <v>53</v>
      </c>
      <c r="O310" s="137" t="s">
        <v>193</v>
      </c>
      <c r="P310" s="137" t="s">
        <v>53</v>
      </c>
      <c r="Q310" s="137" t="s">
        <v>193</v>
      </c>
      <c r="R310" s="137" t="s">
        <v>53</v>
      </c>
      <c r="S310" s="137" t="s">
        <v>193</v>
      </c>
      <c r="U310" s="137">
        <f t="shared" si="8"/>
        <v>0</v>
      </c>
      <c r="V310" s="171">
        <f t="shared" si="9"/>
        <v>0</v>
      </c>
    </row>
    <row r="311" spans="1:22" ht="15" customHeight="1" x14ac:dyDescent="0.25">
      <c r="A311" s="137" t="s">
        <v>616</v>
      </c>
      <c r="B311" s="137" t="s">
        <v>616</v>
      </c>
      <c r="C311" s="137">
        <v>2018</v>
      </c>
      <c r="D311" s="137">
        <v>2.4500000000000002</v>
      </c>
      <c r="E311" s="137">
        <v>0.59</v>
      </c>
      <c r="F311" s="137">
        <v>0.27</v>
      </c>
      <c r="G311" s="137">
        <v>0.59</v>
      </c>
      <c r="H311" s="137" t="s">
        <v>193</v>
      </c>
      <c r="I311" s="137">
        <v>1</v>
      </c>
      <c r="J311" s="137" t="s">
        <v>193</v>
      </c>
      <c r="K311" s="137" t="s">
        <v>193</v>
      </c>
      <c r="L311" s="137" t="s">
        <v>193</v>
      </c>
      <c r="M311" s="137" t="s">
        <v>193</v>
      </c>
      <c r="N311" s="137" t="s">
        <v>53</v>
      </c>
      <c r="O311" s="137" t="s">
        <v>193</v>
      </c>
      <c r="P311" s="137" t="s">
        <v>53</v>
      </c>
      <c r="Q311" s="137" t="s">
        <v>193</v>
      </c>
      <c r="R311" s="137" t="s">
        <v>53</v>
      </c>
      <c r="S311" s="137" t="s">
        <v>193</v>
      </c>
      <c r="U311" s="137">
        <f t="shared" si="8"/>
        <v>2.4500000000000002</v>
      </c>
      <c r="V311" s="171">
        <f t="shared" si="9"/>
        <v>0</v>
      </c>
    </row>
    <row r="312" spans="1:22" ht="15" customHeight="1" x14ac:dyDescent="0.25">
      <c r="A312" s="137" t="s">
        <v>617</v>
      </c>
      <c r="B312" s="137" t="s">
        <v>135</v>
      </c>
      <c r="C312" s="137">
        <v>2018</v>
      </c>
      <c r="D312" s="137">
        <v>12.355</v>
      </c>
      <c r="E312" s="137">
        <v>3.6920000000000002</v>
      </c>
      <c r="F312" s="137">
        <v>2.5099999999999998</v>
      </c>
      <c r="G312" s="137">
        <v>2.9020000000000001</v>
      </c>
      <c r="H312" s="137" t="s">
        <v>193</v>
      </c>
      <c r="I312" s="137">
        <v>3.2519999999999998</v>
      </c>
      <c r="J312" s="137" t="s">
        <v>193</v>
      </c>
      <c r="K312" s="137" t="s">
        <v>193</v>
      </c>
      <c r="L312" s="137" t="s">
        <v>193</v>
      </c>
      <c r="M312" s="137" t="s">
        <v>193</v>
      </c>
      <c r="N312" s="137" t="s">
        <v>53</v>
      </c>
      <c r="O312" s="137" t="s">
        <v>193</v>
      </c>
      <c r="P312" s="137" t="s">
        <v>53</v>
      </c>
      <c r="Q312" s="137" t="s">
        <v>193</v>
      </c>
      <c r="R312" s="137" t="s">
        <v>53</v>
      </c>
      <c r="S312" s="137" t="s">
        <v>193</v>
      </c>
      <c r="U312" s="137">
        <f t="shared" si="8"/>
        <v>12.355</v>
      </c>
      <c r="V312" s="171">
        <f t="shared" si="9"/>
        <v>0</v>
      </c>
    </row>
    <row r="313" spans="1:22" ht="15" customHeight="1" x14ac:dyDescent="0.25">
      <c r="A313" s="137" t="s">
        <v>618</v>
      </c>
      <c r="B313" s="137" t="s">
        <v>619</v>
      </c>
      <c r="C313" s="137">
        <v>2018</v>
      </c>
      <c r="D313" s="137">
        <v>124</v>
      </c>
      <c r="E313" s="137">
        <v>52.2</v>
      </c>
      <c r="F313" s="137">
        <v>18.5</v>
      </c>
      <c r="G313" s="137">
        <v>24.6</v>
      </c>
      <c r="H313" s="137" t="s">
        <v>193</v>
      </c>
      <c r="I313" s="137">
        <v>12.7</v>
      </c>
      <c r="J313" s="137">
        <v>16</v>
      </c>
      <c r="K313" s="137">
        <v>0.2</v>
      </c>
      <c r="L313" s="137">
        <v>0</v>
      </c>
      <c r="M313" s="137">
        <v>0</v>
      </c>
      <c r="N313" s="137" t="s">
        <v>219</v>
      </c>
      <c r="O313" s="137" t="s">
        <v>193</v>
      </c>
      <c r="P313" s="137" t="s">
        <v>219</v>
      </c>
      <c r="Q313" s="137" t="s">
        <v>193</v>
      </c>
      <c r="R313" s="137" t="s">
        <v>219</v>
      </c>
      <c r="S313" s="137" t="s">
        <v>193</v>
      </c>
      <c r="U313" s="137">
        <f t="shared" si="8"/>
        <v>124</v>
      </c>
      <c r="V313" s="171">
        <f t="shared" si="9"/>
        <v>0</v>
      </c>
    </row>
    <row r="314" spans="1:22" ht="15" customHeight="1" x14ac:dyDescent="0.25">
      <c r="A314" s="137" t="s">
        <v>621</v>
      </c>
      <c r="B314" s="137" t="s">
        <v>622</v>
      </c>
      <c r="C314" s="137">
        <v>2018</v>
      </c>
      <c r="D314" s="137" t="s">
        <v>53</v>
      </c>
      <c r="E314" s="137" t="s">
        <v>53</v>
      </c>
      <c r="F314" s="137" t="s">
        <v>53</v>
      </c>
      <c r="G314" s="137" t="s">
        <v>53</v>
      </c>
      <c r="H314" s="137" t="s">
        <v>53</v>
      </c>
      <c r="I314" s="137" t="s">
        <v>53</v>
      </c>
      <c r="J314" s="137" t="s">
        <v>53</v>
      </c>
      <c r="K314" s="137" t="s">
        <v>53</v>
      </c>
      <c r="L314" s="137" t="s">
        <v>53</v>
      </c>
      <c r="M314" s="137" t="s">
        <v>53</v>
      </c>
      <c r="N314" s="137" t="s">
        <v>53</v>
      </c>
      <c r="O314" s="137" t="s">
        <v>193</v>
      </c>
      <c r="P314" s="137" t="s">
        <v>53</v>
      </c>
      <c r="Q314" s="137" t="s">
        <v>193</v>
      </c>
      <c r="R314" s="137" t="s">
        <v>53</v>
      </c>
      <c r="S314" s="137" t="s">
        <v>193</v>
      </c>
      <c r="U314" s="137">
        <f t="shared" si="8"/>
        <v>0</v>
      </c>
      <c r="V314" s="171">
        <f t="shared" si="9"/>
        <v>0</v>
      </c>
    </row>
    <row r="315" spans="1:22" ht="15" customHeight="1" x14ac:dyDescent="0.25">
      <c r="A315" s="137" t="s">
        <v>623</v>
      </c>
      <c r="B315" s="137" t="s">
        <v>624</v>
      </c>
      <c r="C315" s="137">
        <v>2018</v>
      </c>
      <c r="D315" s="137">
        <v>346.2</v>
      </c>
      <c r="E315" s="137">
        <v>153.30000000000001</v>
      </c>
      <c r="F315" s="137">
        <v>15.5</v>
      </c>
      <c r="G315" s="137">
        <v>84.5</v>
      </c>
      <c r="H315" s="137">
        <v>0</v>
      </c>
      <c r="I315" s="137">
        <v>21.6</v>
      </c>
      <c r="J315" s="137">
        <v>49.6</v>
      </c>
      <c r="K315" s="137">
        <v>0</v>
      </c>
      <c r="L315" s="137">
        <v>22.3</v>
      </c>
      <c r="M315" s="137">
        <v>0</v>
      </c>
      <c r="N315" s="137" t="s">
        <v>904</v>
      </c>
      <c r="O315" s="137">
        <v>4.2</v>
      </c>
      <c r="P315" s="137" t="s">
        <v>193</v>
      </c>
      <c r="Q315" s="137" t="s">
        <v>193</v>
      </c>
      <c r="R315" s="137" t="s">
        <v>193</v>
      </c>
      <c r="S315" s="137" t="s">
        <v>193</v>
      </c>
      <c r="U315" s="137">
        <f t="shared" si="8"/>
        <v>346.2</v>
      </c>
      <c r="V315" s="171">
        <f t="shared" si="9"/>
        <v>4.2</v>
      </c>
    </row>
    <row r="316" spans="1:22" ht="15" customHeight="1" x14ac:dyDescent="0.25">
      <c r="A316" s="137" t="s">
        <v>43</v>
      </c>
      <c r="B316" s="141" t="s">
        <v>51</v>
      </c>
      <c r="C316" s="137">
        <v>2018</v>
      </c>
      <c r="D316" s="137" t="s">
        <v>53</v>
      </c>
      <c r="E316" s="137" t="s">
        <v>53</v>
      </c>
      <c r="F316" s="137" t="s">
        <v>53</v>
      </c>
      <c r="G316" s="137" t="s">
        <v>53</v>
      </c>
      <c r="H316" s="137" t="s">
        <v>53</v>
      </c>
      <c r="I316" s="137" t="s">
        <v>53</v>
      </c>
      <c r="J316" s="137" t="s">
        <v>53</v>
      </c>
      <c r="K316" s="137" t="s">
        <v>53</v>
      </c>
      <c r="L316" s="137" t="s">
        <v>53</v>
      </c>
      <c r="M316" s="137" t="s">
        <v>53</v>
      </c>
      <c r="N316" s="137" t="s">
        <v>53</v>
      </c>
      <c r="O316" s="137" t="s">
        <v>53</v>
      </c>
      <c r="P316" s="137" t="s">
        <v>53</v>
      </c>
      <c r="Q316" s="137" t="s">
        <v>53</v>
      </c>
      <c r="R316" s="137" t="s">
        <v>53</v>
      </c>
      <c r="S316" s="137" t="s">
        <v>53</v>
      </c>
      <c r="U316" s="137">
        <f t="shared" si="8"/>
        <v>0</v>
      </c>
      <c r="V316" s="171">
        <f t="shared" si="9"/>
        <v>0</v>
      </c>
    </row>
    <row r="317" spans="1:22" ht="15" customHeight="1" x14ac:dyDescent="0.25">
      <c r="A317" s="137" t="s">
        <v>625</v>
      </c>
      <c r="B317" s="137" t="s">
        <v>626</v>
      </c>
      <c r="C317" s="137">
        <v>2018</v>
      </c>
      <c r="D317" s="137">
        <v>4.2690000000000001</v>
      </c>
      <c r="E317" s="137">
        <v>1.3</v>
      </c>
      <c r="F317" s="137">
        <v>0.107</v>
      </c>
      <c r="G317" s="137">
        <v>7.9000000000000001E-2</v>
      </c>
      <c r="H317" s="137">
        <v>0</v>
      </c>
      <c r="I317" s="137">
        <v>2.2000000000000002</v>
      </c>
      <c r="J317" s="137">
        <v>0.48299999999999998</v>
      </c>
      <c r="K317" s="137">
        <v>0</v>
      </c>
      <c r="L317" s="137">
        <v>0</v>
      </c>
      <c r="M317" s="137">
        <v>0</v>
      </c>
      <c r="N317" s="137" t="s">
        <v>193</v>
      </c>
      <c r="O317" s="137" t="s">
        <v>193</v>
      </c>
      <c r="P317" s="137" t="s">
        <v>193</v>
      </c>
      <c r="Q317" s="137" t="s">
        <v>193</v>
      </c>
      <c r="R317" s="137" t="s">
        <v>193</v>
      </c>
      <c r="S317" s="137" t="s">
        <v>193</v>
      </c>
      <c r="U317" s="137">
        <f t="shared" si="8"/>
        <v>4.2690000000000001</v>
      </c>
      <c r="V317" s="171">
        <f t="shared" si="9"/>
        <v>0</v>
      </c>
    </row>
    <row r="318" spans="1:22" ht="15" customHeight="1" x14ac:dyDescent="0.25">
      <c r="A318" s="137" t="s">
        <v>625</v>
      </c>
      <c r="B318" s="137" t="s">
        <v>627</v>
      </c>
      <c r="C318" s="137">
        <v>2018</v>
      </c>
      <c r="D318" s="137">
        <v>7.0449999999999999</v>
      </c>
      <c r="E318" s="137">
        <v>3.2</v>
      </c>
      <c r="F318" s="137">
        <v>0</v>
      </c>
      <c r="G318" s="137">
        <v>0</v>
      </c>
      <c r="H318" s="137">
        <v>0</v>
      </c>
      <c r="I318" s="137">
        <v>3.4</v>
      </c>
      <c r="J318" s="137">
        <v>0.34300000000000003</v>
      </c>
      <c r="K318" s="137">
        <v>0</v>
      </c>
      <c r="L318" s="137">
        <v>0</v>
      </c>
      <c r="M318" s="137">
        <v>0</v>
      </c>
      <c r="N318" s="137" t="s">
        <v>193</v>
      </c>
      <c r="O318" s="137" t="s">
        <v>193</v>
      </c>
      <c r="P318" s="137" t="s">
        <v>193</v>
      </c>
      <c r="Q318" s="137" t="s">
        <v>193</v>
      </c>
      <c r="R318" s="137" t="s">
        <v>193</v>
      </c>
      <c r="S318" s="137" t="s">
        <v>193</v>
      </c>
      <c r="U318" s="137">
        <f t="shared" si="8"/>
        <v>7.0449999999999999</v>
      </c>
      <c r="V318" s="171">
        <f t="shared" si="9"/>
        <v>0</v>
      </c>
    </row>
    <row r="319" spans="1:22" ht="15" customHeight="1" x14ac:dyDescent="0.25">
      <c r="A319" s="137" t="s">
        <v>625</v>
      </c>
      <c r="B319" s="137" t="s">
        <v>628</v>
      </c>
      <c r="C319" s="137">
        <v>2018</v>
      </c>
      <c r="D319" s="137">
        <v>302</v>
      </c>
      <c r="E319" s="137">
        <v>122.7</v>
      </c>
      <c r="F319" s="137">
        <v>17.399999999999999</v>
      </c>
      <c r="G319" s="137">
        <v>70.099999999999994</v>
      </c>
      <c r="H319" s="137">
        <v>0</v>
      </c>
      <c r="I319" s="137">
        <v>43.7</v>
      </c>
      <c r="J319" s="137">
        <v>45.6</v>
      </c>
      <c r="K319" s="137">
        <v>0</v>
      </c>
      <c r="L319" s="137">
        <v>3.4</v>
      </c>
      <c r="M319" s="137">
        <v>0</v>
      </c>
      <c r="N319" s="137" t="s">
        <v>193</v>
      </c>
      <c r="O319" s="137" t="s">
        <v>193</v>
      </c>
      <c r="P319" s="137" t="s">
        <v>193</v>
      </c>
      <c r="Q319" s="137" t="s">
        <v>193</v>
      </c>
      <c r="R319" s="137" t="s">
        <v>193</v>
      </c>
      <c r="S319" s="137" t="s">
        <v>193</v>
      </c>
      <c r="U319" s="137">
        <f t="shared" si="8"/>
        <v>302</v>
      </c>
      <c r="V319" s="171">
        <f t="shared" si="9"/>
        <v>0</v>
      </c>
    </row>
    <row r="320" spans="1:22" ht="15" customHeight="1" x14ac:dyDescent="0.25">
      <c r="A320" s="137" t="s">
        <v>629</v>
      </c>
      <c r="B320" s="137" t="s">
        <v>630</v>
      </c>
      <c r="C320" s="137">
        <v>2018</v>
      </c>
      <c r="D320" s="137">
        <v>2.161</v>
      </c>
      <c r="E320" s="137">
        <v>0.66600000000000004</v>
      </c>
      <c r="F320" s="137">
        <v>0.28899999999999998</v>
      </c>
      <c r="G320" s="137">
        <v>0</v>
      </c>
      <c r="H320" s="137">
        <v>0</v>
      </c>
      <c r="I320" s="137">
        <v>1.1539999999999999</v>
      </c>
      <c r="J320" s="137">
        <v>5.1999999999999998E-2</v>
      </c>
      <c r="K320" s="137">
        <v>0</v>
      </c>
      <c r="L320" s="137">
        <v>0</v>
      </c>
      <c r="M320" s="137">
        <v>0</v>
      </c>
      <c r="N320" s="137" t="s">
        <v>53</v>
      </c>
      <c r="O320" s="137" t="s">
        <v>193</v>
      </c>
      <c r="P320" s="137" t="s">
        <v>53</v>
      </c>
      <c r="Q320" s="137" t="s">
        <v>193</v>
      </c>
      <c r="R320" s="137" t="s">
        <v>53</v>
      </c>
      <c r="S320" s="137" t="s">
        <v>193</v>
      </c>
      <c r="U320" s="137">
        <f t="shared" si="8"/>
        <v>2.161</v>
      </c>
      <c r="V320" s="171">
        <f t="shared" si="9"/>
        <v>0</v>
      </c>
    </row>
    <row r="321" spans="1:22" ht="15" customHeight="1" x14ac:dyDescent="0.25">
      <c r="A321" s="137" t="s">
        <v>629</v>
      </c>
      <c r="B321" s="137" t="s">
        <v>631</v>
      </c>
      <c r="C321" s="137">
        <v>2018</v>
      </c>
      <c r="D321" s="137">
        <v>0.82399999999999995</v>
      </c>
      <c r="E321" s="137">
        <v>0</v>
      </c>
      <c r="F321" s="137">
        <v>0</v>
      </c>
      <c r="G321" s="137">
        <v>0</v>
      </c>
      <c r="H321" s="137">
        <v>0</v>
      </c>
      <c r="I321" s="137">
        <v>0.82399999999999995</v>
      </c>
      <c r="J321" s="137">
        <v>0</v>
      </c>
      <c r="K321" s="137">
        <v>0</v>
      </c>
      <c r="L321" s="137">
        <v>0</v>
      </c>
      <c r="M321" s="137">
        <v>0</v>
      </c>
      <c r="N321" s="137" t="s">
        <v>53</v>
      </c>
      <c r="O321" s="137" t="s">
        <v>193</v>
      </c>
      <c r="P321" s="137" t="s">
        <v>53</v>
      </c>
      <c r="Q321" s="137" t="s">
        <v>193</v>
      </c>
      <c r="R321" s="137" t="s">
        <v>53</v>
      </c>
      <c r="S321" s="137" t="s">
        <v>193</v>
      </c>
      <c r="U321" s="137">
        <f t="shared" si="8"/>
        <v>0.82399999999999995</v>
      </c>
      <c r="V321" s="171">
        <f t="shared" si="9"/>
        <v>0</v>
      </c>
    </row>
    <row r="322" spans="1:22" ht="15" customHeight="1" x14ac:dyDescent="0.25">
      <c r="A322" s="137" t="s">
        <v>629</v>
      </c>
      <c r="B322" s="137" t="s">
        <v>632</v>
      </c>
      <c r="C322" s="137">
        <v>2018</v>
      </c>
      <c r="D322" s="137">
        <v>48.752000000000002</v>
      </c>
      <c r="E322" s="137">
        <v>22.861999999999998</v>
      </c>
      <c r="F322" s="137">
        <v>2.0960000000000001</v>
      </c>
      <c r="G322" s="137">
        <v>3.516</v>
      </c>
      <c r="H322" s="137">
        <v>0</v>
      </c>
      <c r="I322" s="137">
        <v>9.7140000000000004</v>
      </c>
      <c r="J322" s="137">
        <v>9.9659999999999993</v>
      </c>
      <c r="K322" s="137">
        <v>0.59799999999999998</v>
      </c>
      <c r="L322" s="137">
        <v>0</v>
      </c>
      <c r="M322" s="137">
        <v>0</v>
      </c>
      <c r="N322" s="137" t="s">
        <v>53</v>
      </c>
      <c r="O322" s="137" t="s">
        <v>193</v>
      </c>
      <c r="P322" s="137" t="s">
        <v>53</v>
      </c>
      <c r="Q322" s="137" t="s">
        <v>193</v>
      </c>
      <c r="R322" s="137" t="s">
        <v>53</v>
      </c>
      <c r="S322" s="137" t="s">
        <v>193</v>
      </c>
      <c r="U322" s="137">
        <f t="shared" ref="U322:U385" si="10">IFERROR(D322/1,0)</f>
        <v>48.752000000000002</v>
      </c>
      <c r="V322" s="171">
        <f t="shared" ref="V322:V385" si="11">IFERROR(O322/1,0)+IFERROR(Q322/1,0)+IFERROR(S322/1,0)</f>
        <v>0</v>
      </c>
    </row>
    <row r="323" spans="1:22" ht="15" customHeight="1" x14ac:dyDescent="0.25">
      <c r="A323" s="137" t="s">
        <v>633</v>
      </c>
      <c r="B323" s="137" t="s">
        <v>634</v>
      </c>
      <c r="C323" s="137">
        <v>2018</v>
      </c>
      <c r="D323" s="137">
        <v>7.55</v>
      </c>
      <c r="E323" s="137">
        <v>1.79</v>
      </c>
      <c r="F323" s="137">
        <v>1.28</v>
      </c>
      <c r="G323" s="137">
        <v>0.14000000000000001</v>
      </c>
      <c r="H323" s="137" t="s">
        <v>193</v>
      </c>
      <c r="I323" s="137">
        <v>2.29</v>
      </c>
      <c r="J323" s="137">
        <v>1.87</v>
      </c>
      <c r="K323" s="137" t="s">
        <v>193</v>
      </c>
      <c r="L323" s="137">
        <v>0.18</v>
      </c>
      <c r="M323" s="137">
        <v>0</v>
      </c>
      <c r="N323" s="137" t="s">
        <v>53</v>
      </c>
      <c r="O323" s="137" t="s">
        <v>193</v>
      </c>
      <c r="P323" s="137" t="s">
        <v>53</v>
      </c>
      <c r="Q323" s="137" t="s">
        <v>193</v>
      </c>
      <c r="R323" s="137" t="s">
        <v>53</v>
      </c>
      <c r="S323" s="137" t="s">
        <v>193</v>
      </c>
      <c r="U323" s="137">
        <f t="shared" si="10"/>
        <v>7.55</v>
      </c>
      <c r="V323" s="171">
        <f t="shared" si="11"/>
        <v>0</v>
      </c>
    </row>
    <row r="324" spans="1:22" ht="15" customHeight="1" x14ac:dyDescent="0.25">
      <c r="A324" s="137" t="s">
        <v>633</v>
      </c>
      <c r="B324" s="137" t="s">
        <v>635</v>
      </c>
      <c r="C324" s="137">
        <v>2018</v>
      </c>
      <c r="D324" s="137">
        <v>7.41</v>
      </c>
      <c r="E324" s="137">
        <v>0.9</v>
      </c>
      <c r="F324" s="137">
        <v>1.23</v>
      </c>
      <c r="G324" s="137">
        <v>0</v>
      </c>
      <c r="H324" s="137">
        <v>0</v>
      </c>
      <c r="I324" s="137">
        <v>2.79</v>
      </c>
      <c r="J324" s="137">
        <v>2.5</v>
      </c>
      <c r="K324" s="137">
        <v>0</v>
      </c>
      <c r="L324" s="137">
        <v>0</v>
      </c>
      <c r="M324" s="137">
        <v>0</v>
      </c>
      <c r="N324" s="137" t="s">
        <v>53</v>
      </c>
      <c r="O324" s="137" t="s">
        <v>193</v>
      </c>
      <c r="P324" s="137" t="s">
        <v>53</v>
      </c>
      <c r="Q324" s="137" t="s">
        <v>193</v>
      </c>
      <c r="R324" s="137" t="s">
        <v>53</v>
      </c>
      <c r="S324" s="137" t="s">
        <v>193</v>
      </c>
      <c r="U324" s="137">
        <f t="shared" si="10"/>
        <v>7.41</v>
      </c>
      <c r="V324" s="171">
        <f t="shared" si="11"/>
        <v>0</v>
      </c>
    </row>
    <row r="325" spans="1:22" ht="15" customHeight="1" x14ac:dyDescent="0.25">
      <c r="A325" s="137" t="s">
        <v>633</v>
      </c>
      <c r="B325" s="137" t="s">
        <v>636</v>
      </c>
      <c r="C325" s="137">
        <v>2018</v>
      </c>
      <c r="D325" s="137">
        <v>7.54</v>
      </c>
      <c r="E325" s="137">
        <v>1.01</v>
      </c>
      <c r="F325" s="137">
        <v>1.69</v>
      </c>
      <c r="G325" s="137">
        <v>0.28999999999999998</v>
      </c>
      <c r="H325" s="137">
        <v>0</v>
      </c>
      <c r="I325" s="137">
        <v>3.34</v>
      </c>
      <c r="J325" s="137">
        <v>0.63</v>
      </c>
      <c r="K325" s="137">
        <v>0</v>
      </c>
      <c r="L325" s="137">
        <v>0.57999999999999996</v>
      </c>
      <c r="M325" s="137">
        <v>0</v>
      </c>
      <c r="N325" s="137" t="s">
        <v>53</v>
      </c>
      <c r="O325" s="137" t="s">
        <v>193</v>
      </c>
      <c r="P325" s="137" t="s">
        <v>53</v>
      </c>
      <c r="Q325" s="137" t="s">
        <v>193</v>
      </c>
      <c r="R325" s="137" t="s">
        <v>53</v>
      </c>
      <c r="S325" s="137" t="s">
        <v>193</v>
      </c>
      <c r="U325" s="137">
        <f t="shared" si="10"/>
        <v>7.54</v>
      </c>
      <c r="V325" s="171">
        <f t="shared" si="11"/>
        <v>0</v>
      </c>
    </row>
    <row r="326" spans="1:22" ht="15" customHeight="1" x14ac:dyDescent="0.25">
      <c r="A326" s="137" t="s">
        <v>633</v>
      </c>
      <c r="B326" s="137" t="s">
        <v>637</v>
      </c>
      <c r="C326" s="137">
        <v>2018</v>
      </c>
      <c r="D326" s="137">
        <v>854.3</v>
      </c>
      <c r="E326" s="137">
        <v>367.94</v>
      </c>
      <c r="F326" s="137">
        <v>99.16</v>
      </c>
      <c r="G326" s="137">
        <v>41.26</v>
      </c>
      <c r="H326" s="137" t="s">
        <v>193</v>
      </c>
      <c r="I326" s="137">
        <v>145.56</v>
      </c>
      <c r="J326" s="137">
        <v>147.32</v>
      </c>
      <c r="K326" s="137">
        <v>19.03</v>
      </c>
      <c r="L326" s="137">
        <v>34.04</v>
      </c>
      <c r="M326" s="137">
        <v>0</v>
      </c>
      <c r="N326" s="137" t="s">
        <v>53</v>
      </c>
      <c r="O326" s="137" t="s">
        <v>193</v>
      </c>
      <c r="P326" s="137" t="s">
        <v>53</v>
      </c>
      <c r="Q326" s="137" t="s">
        <v>193</v>
      </c>
      <c r="R326" s="137" t="s">
        <v>53</v>
      </c>
      <c r="S326" s="137" t="s">
        <v>193</v>
      </c>
      <c r="U326" s="137">
        <f t="shared" si="10"/>
        <v>854.3</v>
      </c>
      <c r="V326" s="171">
        <f t="shared" si="11"/>
        <v>0</v>
      </c>
    </row>
    <row r="327" spans="1:22" ht="15" customHeight="1" x14ac:dyDescent="0.25">
      <c r="A327" s="137" t="s">
        <v>638</v>
      </c>
      <c r="B327" s="137" t="s">
        <v>639</v>
      </c>
      <c r="C327" s="137">
        <v>2018</v>
      </c>
      <c r="D327" s="137">
        <v>22.716999999999999</v>
      </c>
      <c r="E327" s="137">
        <v>9.9559999999999995</v>
      </c>
      <c r="F327" s="137">
        <v>3.0409999999999999</v>
      </c>
      <c r="G327" s="137">
        <v>4.0229999999999997</v>
      </c>
      <c r="H327" s="137" t="s">
        <v>193</v>
      </c>
      <c r="I327" s="137">
        <v>4.04</v>
      </c>
      <c r="J327" s="137">
        <v>1.657</v>
      </c>
      <c r="K327" s="137" t="s">
        <v>193</v>
      </c>
      <c r="L327" s="137" t="s">
        <v>312</v>
      </c>
      <c r="M327" s="137">
        <v>4.0979999999999999</v>
      </c>
      <c r="N327" s="137" t="s">
        <v>53</v>
      </c>
      <c r="O327" s="137" t="s">
        <v>193</v>
      </c>
      <c r="P327" s="137" t="s">
        <v>53</v>
      </c>
      <c r="Q327" s="137" t="s">
        <v>193</v>
      </c>
      <c r="R327" s="137" t="s">
        <v>53</v>
      </c>
      <c r="S327" s="137" t="s">
        <v>193</v>
      </c>
      <c r="U327" s="137">
        <f t="shared" si="10"/>
        <v>22.716999999999999</v>
      </c>
      <c r="V327" s="171">
        <f t="shared" si="11"/>
        <v>0</v>
      </c>
    </row>
    <row r="328" spans="1:22" ht="15" customHeight="1" x14ac:dyDescent="0.25">
      <c r="A328" s="137" t="s">
        <v>638</v>
      </c>
      <c r="B328" s="137" t="s">
        <v>641</v>
      </c>
      <c r="C328" s="137">
        <v>2018</v>
      </c>
      <c r="D328" s="137">
        <v>30.187000000000001</v>
      </c>
      <c r="E328" s="137">
        <v>13.573</v>
      </c>
      <c r="F328" s="137">
        <v>6.4740000000000002</v>
      </c>
      <c r="G328" s="137">
        <v>6.3620000000000001</v>
      </c>
      <c r="H328" s="137" t="s">
        <v>193</v>
      </c>
      <c r="I328" s="137">
        <v>0.9</v>
      </c>
      <c r="J328" s="137">
        <v>2.8780000000000001</v>
      </c>
      <c r="K328" s="137" t="s">
        <v>193</v>
      </c>
      <c r="L328" s="137" t="s">
        <v>312</v>
      </c>
      <c r="M328" s="137">
        <v>6.0229999999999997</v>
      </c>
      <c r="N328" s="137" t="s">
        <v>53</v>
      </c>
      <c r="O328" s="137" t="s">
        <v>193</v>
      </c>
      <c r="P328" s="137" t="s">
        <v>53</v>
      </c>
      <c r="Q328" s="137" t="s">
        <v>193</v>
      </c>
      <c r="R328" s="137" t="s">
        <v>53</v>
      </c>
      <c r="S328" s="137" t="s">
        <v>193</v>
      </c>
      <c r="U328" s="137">
        <f t="shared" si="10"/>
        <v>30.187000000000001</v>
      </c>
      <c r="V328" s="171">
        <f t="shared" si="11"/>
        <v>0</v>
      </c>
    </row>
    <row r="329" spans="1:22" ht="15" customHeight="1" x14ac:dyDescent="0.25">
      <c r="A329" s="137" t="s">
        <v>643</v>
      </c>
      <c r="B329" s="137" t="s">
        <v>644</v>
      </c>
      <c r="C329" s="137">
        <v>2018</v>
      </c>
      <c r="D329" s="137">
        <v>31.73</v>
      </c>
      <c r="E329" s="137">
        <v>10.3</v>
      </c>
      <c r="F329" s="137">
        <v>4.5</v>
      </c>
      <c r="G329" s="137">
        <v>0.39</v>
      </c>
      <c r="H329" s="137" t="s">
        <v>193</v>
      </c>
      <c r="I329" s="137">
        <v>10.5</v>
      </c>
      <c r="J329" s="137">
        <v>5.8</v>
      </c>
      <c r="K329" s="137" t="s">
        <v>193</v>
      </c>
      <c r="L329" s="137" t="s">
        <v>193</v>
      </c>
      <c r="M329" s="137" t="s">
        <v>193</v>
      </c>
      <c r="N329" s="137" t="s">
        <v>53</v>
      </c>
      <c r="O329" s="137" t="s">
        <v>193</v>
      </c>
      <c r="P329" s="137" t="s">
        <v>53</v>
      </c>
      <c r="Q329" s="137" t="s">
        <v>193</v>
      </c>
      <c r="R329" s="137" t="s">
        <v>53</v>
      </c>
      <c r="S329" s="137" t="s">
        <v>193</v>
      </c>
      <c r="U329" s="137">
        <f t="shared" si="10"/>
        <v>31.73</v>
      </c>
      <c r="V329" s="171">
        <f t="shared" si="11"/>
        <v>0</v>
      </c>
    </row>
    <row r="330" spans="1:22" ht="15" customHeight="1" x14ac:dyDescent="0.25">
      <c r="A330" s="137" t="s">
        <v>645</v>
      </c>
      <c r="B330" s="137" t="s">
        <v>646</v>
      </c>
      <c r="C330" s="137">
        <v>2018</v>
      </c>
      <c r="D330" s="137">
        <v>4.968</v>
      </c>
      <c r="E330" s="137" t="s">
        <v>193</v>
      </c>
      <c r="F330" s="137" t="s">
        <v>193</v>
      </c>
      <c r="G330" s="137" t="s">
        <v>193</v>
      </c>
      <c r="H330" s="137" t="s">
        <v>193</v>
      </c>
      <c r="I330" s="137" t="s">
        <v>193</v>
      </c>
      <c r="J330" s="137" t="s">
        <v>193</v>
      </c>
      <c r="K330" s="137" t="s">
        <v>193</v>
      </c>
      <c r="L330" s="137" t="s">
        <v>193</v>
      </c>
      <c r="M330" s="137" t="s">
        <v>193</v>
      </c>
      <c r="N330" s="137" t="s">
        <v>53</v>
      </c>
      <c r="O330" s="137" t="s">
        <v>193</v>
      </c>
      <c r="P330" s="137" t="s">
        <v>53</v>
      </c>
      <c r="Q330" s="137" t="s">
        <v>193</v>
      </c>
      <c r="R330" s="137" t="s">
        <v>53</v>
      </c>
      <c r="S330" s="137" t="s">
        <v>193</v>
      </c>
      <c r="U330" s="137">
        <f t="shared" si="10"/>
        <v>4.968</v>
      </c>
      <c r="V330" s="171">
        <f t="shared" si="11"/>
        <v>0</v>
      </c>
    </row>
    <row r="331" spans="1:22" ht="15" customHeight="1" x14ac:dyDescent="0.25">
      <c r="A331" s="137" t="s">
        <v>645</v>
      </c>
      <c r="B331" s="137" t="s">
        <v>647</v>
      </c>
      <c r="C331" s="137">
        <v>2018</v>
      </c>
      <c r="D331" s="137">
        <v>152.30000000000001</v>
      </c>
      <c r="E331" s="137" t="s">
        <v>193</v>
      </c>
      <c r="F331" s="137" t="s">
        <v>193</v>
      </c>
      <c r="G331" s="137" t="s">
        <v>193</v>
      </c>
      <c r="H331" s="137" t="s">
        <v>193</v>
      </c>
      <c r="I331" s="137" t="s">
        <v>193</v>
      </c>
      <c r="J331" s="137" t="s">
        <v>193</v>
      </c>
      <c r="K331" s="137" t="s">
        <v>193</v>
      </c>
      <c r="L331" s="137" t="s">
        <v>193</v>
      </c>
      <c r="M331" s="137" t="s">
        <v>193</v>
      </c>
      <c r="N331" s="137" t="s">
        <v>53</v>
      </c>
      <c r="O331" s="137" t="s">
        <v>193</v>
      </c>
      <c r="P331" s="137" t="s">
        <v>53</v>
      </c>
      <c r="Q331" s="137" t="s">
        <v>193</v>
      </c>
      <c r="R331" s="137" t="s">
        <v>53</v>
      </c>
      <c r="S331" s="137" t="s">
        <v>193</v>
      </c>
      <c r="U331" s="137">
        <f t="shared" si="10"/>
        <v>152.30000000000001</v>
      </c>
      <c r="V331" s="171">
        <f t="shared" si="11"/>
        <v>0</v>
      </c>
    </row>
    <row r="332" spans="1:22" ht="15" customHeight="1" x14ac:dyDescent="0.25">
      <c r="A332" s="137" t="s">
        <v>645</v>
      </c>
      <c r="B332" s="137" t="s">
        <v>648</v>
      </c>
      <c r="C332" s="137">
        <v>2018</v>
      </c>
      <c r="D332" s="137">
        <v>3.6349999999999998</v>
      </c>
      <c r="E332" s="137" t="s">
        <v>193</v>
      </c>
      <c r="F332" s="137" t="s">
        <v>193</v>
      </c>
      <c r="G332" s="137" t="s">
        <v>193</v>
      </c>
      <c r="H332" s="137" t="s">
        <v>193</v>
      </c>
      <c r="I332" s="137" t="s">
        <v>193</v>
      </c>
      <c r="J332" s="137" t="s">
        <v>193</v>
      </c>
      <c r="K332" s="137" t="s">
        <v>193</v>
      </c>
      <c r="L332" s="137" t="s">
        <v>193</v>
      </c>
      <c r="M332" s="137" t="s">
        <v>193</v>
      </c>
      <c r="N332" s="137" t="s">
        <v>53</v>
      </c>
      <c r="O332" s="137" t="s">
        <v>193</v>
      </c>
      <c r="P332" s="137" t="s">
        <v>53</v>
      </c>
      <c r="Q332" s="137" t="s">
        <v>193</v>
      </c>
      <c r="R332" s="137" t="s">
        <v>53</v>
      </c>
      <c r="S332" s="137" t="s">
        <v>193</v>
      </c>
      <c r="U332" s="137">
        <f t="shared" si="10"/>
        <v>3.6349999999999998</v>
      </c>
      <c r="V332" s="171">
        <f t="shared" si="11"/>
        <v>0</v>
      </c>
    </row>
    <row r="333" spans="1:22" ht="15" customHeight="1" x14ac:dyDescent="0.25">
      <c r="A333" s="137" t="s">
        <v>649</v>
      </c>
      <c r="B333" s="137" t="s">
        <v>650</v>
      </c>
      <c r="C333" s="137">
        <v>2018</v>
      </c>
      <c r="D333" s="137">
        <v>18.7</v>
      </c>
      <c r="E333" s="137">
        <v>8.6999999999999993</v>
      </c>
      <c r="F333" s="137">
        <v>1.8</v>
      </c>
      <c r="G333" s="137" t="s">
        <v>193</v>
      </c>
      <c r="H333" s="137" t="s">
        <v>193</v>
      </c>
      <c r="I333" s="137">
        <v>1.8</v>
      </c>
      <c r="J333" s="137">
        <v>1.3</v>
      </c>
      <c r="K333" s="137" t="s">
        <v>193</v>
      </c>
      <c r="L333" s="137" t="s">
        <v>193</v>
      </c>
      <c r="M333" s="137">
        <v>5.0999999999999996</v>
      </c>
      <c r="N333" s="137" t="s">
        <v>53</v>
      </c>
      <c r="O333" s="137" t="s">
        <v>193</v>
      </c>
      <c r="P333" s="137" t="s">
        <v>53</v>
      </c>
      <c r="Q333" s="137" t="s">
        <v>193</v>
      </c>
      <c r="R333" s="137" t="s">
        <v>53</v>
      </c>
      <c r="S333" s="137" t="s">
        <v>193</v>
      </c>
      <c r="U333" s="137">
        <f t="shared" si="10"/>
        <v>18.7</v>
      </c>
      <c r="V333" s="171">
        <f t="shared" si="11"/>
        <v>0</v>
      </c>
    </row>
    <row r="334" spans="1:22" ht="15" customHeight="1" x14ac:dyDescent="0.25">
      <c r="A334" s="137" t="s">
        <v>649</v>
      </c>
      <c r="B334" s="137" t="s">
        <v>651</v>
      </c>
      <c r="C334" s="137">
        <v>2018</v>
      </c>
      <c r="D334" s="137">
        <v>32.299999999999997</v>
      </c>
      <c r="E334" s="137">
        <v>13</v>
      </c>
      <c r="F334" s="137">
        <v>5.3</v>
      </c>
      <c r="G334" s="137">
        <v>7.8</v>
      </c>
      <c r="H334" s="137" t="s">
        <v>193</v>
      </c>
      <c r="I334" s="137">
        <v>4</v>
      </c>
      <c r="J334" s="137">
        <v>2.2000000000000002</v>
      </c>
      <c r="K334" s="137" t="s">
        <v>193</v>
      </c>
      <c r="L334" s="137" t="s">
        <v>193</v>
      </c>
      <c r="M334" s="137" t="s">
        <v>193</v>
      </c>
      <c r="N334" s="137" t="s">
        <v>53</v>
      </c>
      <c r="O334" s="137" t="s">
        <v>193</v>
      </c>
      <c r="P334" s="137" t="s">
        <v>53</v>
      </c>
      <c r="Q334" s="137" t="s">
        <v>193</v>
      </c>
      <c r="R334" s="137" t="s">
        <v>53</v>
      </c>
      <c r="S334" s="137" t="s">
        <v>193</v>
      </c>
      <c r="U334" s="137">
        <f t="shared" si="10"/>
        <v>32.299999999999997</v>
      </c>
      <c r="V334" s="171">
        <f t="shared" si="11"/>
        <v>0</v>
      </c>
    </row>
    <row r="335" spans="1:22" ht="15" customHeight="1" x14ac:dyDescent="0.25">
      <c r="A335" s="137" t="s">
        <v>649</v>
      </c>
      <c r="B335" s="137" t="s">
        <v>652</v>
      </c>
      <c r="C335" s="137">
        <v>2018</v>
      </c>
      <c r="D335" s="137">
        <v>108.1</v>
      </c>
      <c r="E335" s="137">
        <v>20.6</v>
      </c>
      <c r="F335" s="137">
        <v>7.8</v>
      </c>
      <c r="G335" s="137" t="s">
        <v>193</v>
      </c>
      <c r="H335" s="137" t="s">
        <v>193</v>
      </c>
      <c r="I335" s="137">
        <v>20.5</v>
      </c>
      <c r="J335" s="137">
        <v>17.899999999999999</v>
      </c>
      <c r="K335" s="137" t="s">
        <v>193</v>
      </c>
      <c r="L335" s="137" t="s">
        <v>193</v>
      </c>
      <c r="M335" s="137">
        <v>41.3</v>
      </c>
      <c r="N335" s="137" t="s">
        <v>53</v>
      </c>
      <c r="O335" s="137" t="s">
        <v>193</v>
      </c>
      <c r="P335" s="137" t="s">
        <v>53</v>
      </c>
      <c r="Q335" s="137" t="s">
        <v>193</v>
      </c>
      <c r="R335" s="137" t="s">
        <v>53</v>
      </c>
      <c r="S335" s="137" t="s">
        <v>193</v>
      </c>
      <c r="U335" s="137">
        <f t="shared" si="10"/>
        <v>108.1</v>
      </c>
      <c r="V335" s="171">
        <f t="shared" si="11"/>
        <v>0</v>
      </c>
    </row>
    <row r="336" spans="1:22" ht="15" customHeight="1" x14ac:dyDescent="0.25">
      <c r="A336" s="137" t="s">
        <v>649</v>
      </c>
      <c r="B336" s="137" t="s">
        <v>653</v>
      </c>
      <c r="C336" s="137">
        <v>2018</v>
      </c>
      <c r="D336" s="137">
        <v>2.5720000000000001</v>
      </c>
      <c r="E336" s="137">
        <v>2.319</v>
      </c>
      <c r="F336" s="137" t="s">
        <v>193</v>
      </c>
      <c r="G336" s="137" t="s">
        <v>193</v>
      </c>
      <c r="H336" s="137" t="s">
        <v>193</v>
      </c>
      <c r="I336" s="137">
        <v>0.20599999999999999</v>
      </c>
      <c r="J336" s="137">
        <v>4.7E-2</v>
      </c>
      <c r="K336" s="137" t="s">
        <v>193</v>
      </c>
      <c r="L336" s="137" t="s">
        <v>193</v>
      </c>
      <c r="M336" s="137" t="s">
        <v>193</v>
      </c>
      <c r="N336" s="137" t="s">
        <v>53</v>
      </c>
      <c r="O336" s="137" t="s">
        <v>193</v>
      </c>
      <c r="P336" s="137" t="s">
        <v>53</v>
      </c>
      <c r="Q336" s="137" t="s">
        <v>193</v>
      </c>
      <c r="R336" s="137" t="s">
        <v>53</v>
      </c>
      <c r="S336" s="137" t="s">
        <v>193</v>
      </c>
      <c r="U336" s="137">
        <f t="shared" si="10"/>
        <v>2.5720000000000001</v>
      </c>
      <c r="V336" s="171">
        <f t="shared" si="11"/>
        <v>0</v>
      </c>
    </row>
    <row r="337" spans="1:22" ht="15" customHeight="1" x14ac:dyDescent="0.25">
      <c r="A337" s="137" t="s">
        <v>649</v>
      </c>
      <c r="B337" s="137" t="s">
        <v>138</v>
      </c>
      <c r="C337" s="137">
        <v>2018</v>
      </c>
      <c r="D337" s="137">
        <v>14.8</v>
      </c>
      <c r="E337" s="137">
        <v>10.199999999999999</v>
      </c>
      <c r="F337" s="137">
        <v>2.6</v>
      </c>
      <c r="G337" s="137">
        <v>0.70799999999999996</v>
      </c>
      <c r="H337" s="137" t="s">
        <v>193</v>
      </c>
      <c r="I337" s="137">
        <v>1.0720000000000001</v>
      </c>
      <c r="J337" s="137">
        <v>0.12</v>
      </c>
      <c r="K337" s="137" t="s">
        <v>193</v>
      </c>
      <c r="L337" s="137">
        <v>0.1</v>
      </c>
      <c r="M337" s="137" t="s">
        <v>193</v>
      </c>
      <c r="N337" s="137" t="s">
        <v>53</v>
      </c>
      <c r="O337" s="137" t="s">
        <v>193</v>
      </c>
      <c r="P337" s="137" t="s">
        <v>53</v>
      </c>
      <c r="Q337" s="137" t="s">
        <v>193</v>
      </c>
      <c r="R337" s="137" t="s">
        <v>53</v>
      </c>
      <c r="S337" s="137" t="s">
        <v>193</v>
      </c>
      <c r="U337" s="137">
        <f t="shared" si="10"/>
        <v>14.8</v>
      </c>
      <c r="V337" s="171">
        <f t="shared" si="11"/>
        <v>0</v>
      </c>
    </row>
    <row r="338" spans="1:22" ht="15" customHeight="1" x14ac:dyDescent="0.25">
      <c r="A338" s="137" t="s">
        <v>654</v>
      </c>
      <c r="B338" s="137" t="s">
        <v>655</v>
      </c>
      <c r="C338" s="137">
        <v>2018</v>
      </c>
      <c r="D338" s="137">
        <v>18.920000000000002</v>
      </c>
      <c r="E338" s="137">
        <v>11.96</v>
      </c>
      <c r="F338" s="137">
        <v>0.17</v>
      </c>
      <c r="G338" s="137">
        <v>1.2</v>
      </c>
      <c r="H338" s="137" t="s">
        <v>193</v>
      </c>
      <c r="I338" s="137">
        <v>3.6</v>
      </c>
      <c r="J338" s="137">
        <v>1.99</v>
      </c>
      <c r="K338" s="137">
        <v>0</v>
      </c>
      <c r="L338" s="137" t="s">
        <v>193</v>
      </c>
      <c r="M338" s="137" t="s">
        <v>193</v>
      </c>
      <c r="N338" s="137" t="s">
        <v>53</v>
      </c>
      <c r="O338" s="137" t="s">
        <v>193</v>
      </c>
      <c r="P338" s="137" t="s">
        <v>53</v>
      </c>
      <c r="Q338" s="137" t="s">
        <v>193</v>
      </c>
      <c r="R338" s="137" t="s">
        <v>53</v>
      </c>
      <c r="S338" s="137" t="s">
        <v>193</v>
      </c>
      <c r="U338" s="137">
        <f t="shared" si="10"/>
        <v>18.920000000000002</v>
      </c>
      <c r="V338" s="171">
        <f t="shared" si="11"/>
        <v>0</v>
      </c>
    </row>
    <row r="339" spans="1:22" ht="15" customHeight="1" x14ac:dyDescent="0.25">
      <c r="A339" s="137" t="s">
        <v>654</v>
      </c>
      <c r="B339" s="137" t="s">
        <v>656</v>
      </c>
      <c r="C339" s="137">
        <v>2018</v>
      </c>
      <c r="D339" s="137">
        <v>467.84800000000001</v>
      </c>
      <c r="E339" s="137">
        <v>301.029</v>
      </c>
      <c r="F339" s="137">
        <v>5.82</v>
      </c>
      <c r="G339" s="137">
        <v>24.59</v>
      </c>
      <c r="H339" s="137" t="s">
        <v>193</v>
      </c>
      <c r="I339" s="137">
        <v>28.28</v>
      </c>
      <c r="J339" s="137">
        <v>107.34</v>
      </c>
      <c r="K339" s="137">
        <v>0.8</v>
      </c>
      <c r="L339" s="137" t="s">
        <v>193</v>
      </c>
      <c r="M339" s="137" t="s">
        <v>193</v>
      </c>
      <c r="N339" s="137" t="s">
        <v>53</v>
      </c>
      <c r="O339" s="137" t="s">
        <v>193</v>
      </c>
      <c r="P339" s="137" t="s">
        <v>53</v>
      </c>
      <c r="Q339" s="137" t="s">
        <v>193</v>
      </c>
      <c r="R339" s="137" t="s">
        <v>53</v>
      </c>
      <c r="S339" s="137" t="s">
        <v>193</v>
      </c>
      <c r="U339" s="137">
        <f t="shared" si="10"/>
        <v>467.84800000000001</v>
      </c>
      <c r="V339" s="171">
        <f t="shared" si="11"/>
        <v>0</v>
      </c>
    </row>
    <row r="340" spans="1:22" ht="15" customHeight="1" x14ac:dyDescent="0.25">
      <c r="A340" s="137" t="s">
        <v>654</v>
      </c>
      <c r="B340" s="137" t="s">
        <v>657</v>
      </c>
      <c r="C340" s="137">
        <v>2018</v>
      </c>
      <c r="D340" s="137">
        <v>67.75</v>
      </c>
      <c r="E340" s="137">
        <v>49.3</v>
      </c>
      <c r="F340" s="137">
        <v>2.14</v>
      </c>
      <c r="G340" s="137">
        <v>0.56999999999999995</v>
      </c>
      <c r="H340" s="137" t="s">
        <v>193</v>
      </c>
      <c r="I340" s="137">
        <v>4.8899999999999997</v>
      </c>
      <c r="J340" s="137">
        <v>11.06</v>
      </c>
      <c r="K340" s="137">
        <v>0.01</v>
      </c>
      <c r="L340" s="137" t="s">
        <v>193</v>
      </c>
      <c r="M340" s="137" t="s">
        <v>193</v>
      </c>
      <c r="N340" s="137" t="s">
        <v>53</v>
      </c>
      <c r="O340" s="137" t="s">
        <v>193</v>
      </c>
      <c r="P340" s="137" t="s">
        <v>53</v>
      </c>
      <c r="Q340" s="137" t="s">
        <v>193</v>
      </c>
      <c r="R340" s="137" t="s">
        <v>53</v>
      </c>
      <c r="S340" s="137" t="s">
        <v>193</v>
      </c>
      <c r="U340" s="137">
        <f t="shared" si="10"/>
        <v>67.75</v>
      </c>
      <c r="V340" s="171">
        <f t="shared" si="11"/>
        <v>0</v>
      </c>
    </row>
    <row r="341" spans="1:22" ht="15" customHeight="1" x14ac:dyDescent="0.25">
      <c r="A341" s="137" t="s">
        <v>654</v>
      </c>
      <c r="B341" s="141" t="s">
        <v>11</v>
      </c>
      <c r="C341" s="137">
        <v>2018</v>
      </c>
      <c r="D341" s="137">
        <v>53.29</v>
      </c>
      <c r="E341" s="137">
        <v>25.02</v>
      </c>
      <c r="F341" s="137">
        <v>12.21</v>
      </c>
      <c r="G341" s="137">
        <v>0.88</v>
      </c>
      <c r="H341" s="137" t="s">
        <v>193</v>
      </c>
      <c r="I341" s="137">
        <v>4.13</v>
      </c>
      <c r="J341" s="137">
        <v>5.61</v>
      </c>
      <c r="K341" s="137">
        <v>8.5999999999999993E-2</v>
      </c>
      <c r="L341" s="137" t="s">
        <v>193</v>
      </c>
      <c r="M341" s="137" t="s">
        <v>193</v>
      </c>
      <c r="N341" s="137" t="s">
        <v>1092</v>
      </c>
      <c r="O341" s="137">
        <v>5.37</v>
      </c>
      <c r="P341" s="137" t="s">
        <v>53</v>
      </c>
      <c r="Q341" s="137" t="s">
        <v>193</v>
      </c>
      <c r="R341" s="137" t="s">
        <v>53</v>
      </c>
      <c r="S341" s="137" t="s">
        <v>193</v>
      </c>
      <c r="U341" s="137">
        <f t="shared" si="10"/>
        <v>53.29</v>
      </c>
      <c r="V341" s="171">
        <f t="shared" si="11"/>
        <v>5.37</v>
      </c>
    </row>
    <row r="342" spans="1:22" ht="15" customHeight="1" x14ac:dyDescent="0.25">
      <c r="A342" s="137" t="s">
        <v>654</v>
      </c>
      <c r="B342" s="137" t="s">
        <v>658</v>
      </c>
      <c r="C342" s="137">
        <v>2018</v>
      </c>
      <c r="D342" s="137">
        <v>150.82400000000001</v>
      </c>
      <c r="E342" s="137">
        <v>85.12</v>
      </c>
      <c r="F342" s="137">
        <v>4.41</v>
      </c>
      <c r="G342" s="137">
        <v>12.04</v>
      </c>
      <c r="H342" s="137" t="s">
        <v>193</v>
      </c>
      <c r="I342" s="137">
        <v>21.58</v>
      </c>
      <c r="J342" s="137">
        <v>26.69</v>
      </c>
      <c r="K342" s="137">
        <v>0.99</v>
      </c>
      <c r="L342" s="137" t="s">
        <v>193</v>
      </c>
      <c r="M342" s="137" t="s">
        <v>193</v>
      </c>
      <c r="N342" s="137" t="s">
        <v>53</v>
      </c>
      <c r="O342" s="137" t="s">
        <v>193</v>
      </c>
      <c r="P342" s="137" t="s">
        <v>53</v>
      </c>
      <c r="Q342" s="137" t="s">
        <v>193</v>
      </c>
      <c r="R342" s="137" t="s">
        <v>53</v>
      </c>
      <c r="S342" s="137" t="s">
        <v>193</v>
      </c>
      <c r="U342" s="137">
        <f t="shared" si="10"/>
        <v>150.82400000000001</v>
      </c>
      <c r="V342" s="171">
        <f t="shared" si="11"/>
        <v>0</v>
      </c>
    </row>
    <row r="343" spans="1:22" ht="15" customHeight="1" x14ac:dyDescent="0.25">
      <c r="A343" s="137" t="s">
        <v>654</v>
      </c>
      <c r="B343" s="137" t="s">
        <v>659</v>
      </c>
      <c r="C343" s="137">
        <v>2018</v>
      </c>
      <c r="D343" s="137">
        <v>270.89100000000002</v>
      </c>
      <c r="E343" s="137">
        <v>135.69</v>
      </c>
      <c r="F343" s="137">
        <v>23.42</v>
      </c>
      <c r="G343" s="137">
        <v>7.79</v>
      </c>
      <c r="H343" s="137" t="s">
        <v>193</v>
      </c>
      <c r="I343" s="137">
        <v>27.96</v>
      </c>
      <c r="J343" s="137">
        <v>75.77</v>
      </c>
      <c r="K343" s="137">
        <v>0.25</v>
      </c>
      <c r="L343" s="137" t="s">
        <v>193</v>
      </c>
      <c r="M343" s="137" t="s">
        <v>193</v>
      </c>
      <c r="N343" s="137" t="s">
        <v>53</v>
      </c>
      <c r="O343" s="137" t="s">
        <v>193</v>
      </c>
      <c r="P343" s="137" t="s">
        <v>53</v>
      </c>
      <c r="Q343" s="137" t="s">
        <v>193</v>
      </c>
      <c r="R343" s="137" t="s">
        <v>53</v>
      </c>
      <c r="S343" s="137" t="s">
        <v>193</v>
      </c>
      <c r="U343" s="137">
        <f t="shared" si="10"/>
        <v>270.89100000000002</v>
      </c>
      <c r="V343" s="171">
        <f t="shared" si="11"/>
        <v>0</v>
      </c>
    </row>
    <row r="344" spans="1:22" ht="15" customHeight="1" x14ac:dyDescent="0.25">
      <c r="A344" s="137" t="s">
        <v>654</v>
      </c>
      <c r="B344" s="137" t="s">
        <v>660</v>
      </c>
      <c r="C344" s="137">
        <v>2018</v>
      </c>
      <c r="D344" s="137">
        <v>27.100999999999999</v>
      </c>
      <c r="E344" s="137">
        <v>24.44</v>
      </c>
      <c r="F344" s="137" t="s">
        <v>193</v>
      </c>
      <c r="G344" s="137" t="s">
        <v>193</v>
      </c>
      <c r="H344" s="137" t="s">
        <v>193</v>
      </c>
      <c r="I344" s="137">
        <v>1.72</v>
      </c>
      <c r="J344" s="137">
        <v>0.94</v>
      </c>
      <c r="K344" s="137" t="s">
        <v>193</v>
      </c>
      <c r="L344" s="137" t="s">
        <v>193</v>
      </c>
      <c r="M344" s="137" t="s">
        <v>193</v>
      </c>
      <c r="N344" s="137" t="s">
        <v>53</v>
      </c>
      <c r="O344" s="137" t="s">
        <v>193</v>
      </c>
      <c r="P344" s="137" t="s">
        <v>53</v>
      </c>
      <c r="Q344" s="137" t="s">
        <v>193</v>
      </c>
      <c r="R344" s="137" t="s">
        <v>53</v>
      </c>
      <c r="S344" s="137" t="s">
        <v>193</v>
      </c>
      <c r="U344" s="137">
        <f t="shared" si="10"/>
        <v>27.100999999999999</v>
      </c>
      <c r="V344" s="171">
        <f t="shared" si="11"/>
        <v>0</v>
      </c>
    </row>
    <row r="345" spans="1:22" ht="15" customHeight="1" x14ac:dyDescent="0.25">
      <c r="A345" s="137" t="s">
        <v>654</v>
      </c>
      <c r="B345" s="137" t="s">
        <v>661</v>
      </c>
      <c r="C345" s="137">
        <v>2018</v>
      </c>
      <c r="D345" s="137">
        <v>14.05</v>
      </c>
      <c r="E345" s="137">
        <v>6.31</v>
      </c>
      <c r="F345" s="137">
        <v>4.04</v>
      </c>
      <c r="G345" s="137" t="s">
        <v>193</v>
      </c>
      <c r="H345" s="137" t="s">
        <v>193</v>
      </c>
      <c r="I345" s="137">
        <v>3.06</v>
      </c>
      <c r="J345" s="137">
        <v>0.63</v>
      </c>
      <c r="K345" s="137" t="s">
        <v>193</v>
      </c>
      <c r="L345" s="137" t="s">
        <v>193</v>
      </c>
      <c r="M345" s="137" t="s">
        <v>193</v>
      </c>
      <c r="N345" s="137" t="s">
        <v>53</v>
      </c>
      <c r="O345" s="137" t="s">
        <v>193</v>
      </c>
      <c r="P345" s="137" t="s">
        <v>53</v>
      </c>
      <c r="Q345" s="137" t="s">
        <v>193</v>
      </c>
      <c r="R345" s="137" t="s">
        <v>53</v>
      </c>
      <c r="S345" s="137" t="s">
        <v>193</v>
      </c>
      <c r="U345" s="137">
        <f t="shared" si="10"/>
        <v>14.05</v>
      </c>
      <c r="V345" s="171">
        <f t="shared" si="11"/>
        <v>0</v>
      </c>
    </row>
    <row r="346" spans="1:22" ht="15" customHeight="1" x14ac:dyDescent="0.25">
      <c r="A346" s="137" t="s">
        <v>654</v>
      </c>
      <c r="B346" s="137" t="s">
        <v>662</v>
      </c>
      <c r="C346" s="137">
        <v>2018</v>
      </c>
      <c r="D346" s="137">
        <v>1419.3689999999999</v>
      </c>
      <c r="E346" s="137">
        <v>677.53</v>
      </c>
      <c r="F346" s="137">
        <v>134.5</v>
      </c>
      <c r="G346" s="137">
        <v>171</v>
      </c>
      <c r="H346" s="137">
        <v>112.32</v>
      </c>
      <c r="I346" s="137">
        <v>124.67</v>
      </c>
      <c r="J346" s="137">
        <v>298.45999999999998</v>
      </c>
      <c r="K346" s="137">
        <v>13.21</v>
      </c>
      <c r="L346" s="137" t="s">
        <v>193</v>
      </c>
      <c r="M346" s="137" t="s">
        <v>193</v>
      </c>
      <c r="N346" s="137" t="s">
        <v>53</v>
      </c>
      <c r="O346" s="137" t="s">
        <v>193</v>
      </c>
      <c r="P346" s="137" t="s">
        <v>53</v>
      </c>
      <c r="Q346" s="137" t="s">
        <v>193</v>
      </c>
      <c r="R346" s="137" t="s">
        <v>53</v>
      </c>
      <c r="S346" s="137" t="s">
        <v>193</v>
      </c>
      <c r="U346" s="137">
        <f t="shared" si="10"/>
        <v>1419.3689999999999</v>
      </c>
      <c r="V346" s="171">
        <f t="shared" si="11"/>
        <v>0</v>
      </c>
    </row>
    <row r="347" spans="1:22" ht="15" customHeight="1" x14ac:dyDescent="0.25">
      <c r="A347" s="137" t="s">
        <v>654</v>
      </c>
      <c r="B347" s="137" t="s">
        <v>663</v>
      </c>
      <c r="C347" s="137">
        <v>2018</v>
      </c>
      <c r="D347" s="137">
        <v>135.69</v>
      </c>
      <c r="E347" s="137">
        <v>73.2</v>
      </c>
      <c r="F347" s="137">
        <v>5.94</v>
      </c>
      <c r="G347" s="137">
        <v>3</v>
      </c>
      <c r="H347" s="137" t="s">
        <v>193</v>
      </c>
      <c r="I347" s="137">
        <v>10.35</v>
      </c>
      <c r="J347" s="137">
        <v>41.4</v>
      </c>
      <c r="K347" s="137">
        <v>1.79</v>
      </c>
      <c r="L347" s="137" t="s">
        <v>193</v>
      </c>
      <c r="M347" s="137" t="s">
        <v>193</v>
      </c>
      <c r="N347" s="137" t="s">
        <v>53</v>
      </c>
      <c r="O347" s="137" t="s">
        <v>193</v>
      </c>
      <c r="P347" s="137" t="s">
        <v>53</v>
      </c>
      <c r="Q347" s="137" t="s">
        <v>193</v>
      </c>
      <c r="R347" s="137" t="s">
        <v>53</v>
      </c>
      <c r="S347" s="137" t="s">
        <v>193</v>
      </c>
      <c r="U347" s="137">
        <f t="shared" si="10"/>
        <v>135.69</v>
      </c>
      <c r="V347" s="171">
        <f t="shared" si="11"/>
        <v>0</v>
      </c>
    </row>
    <row r="348" spans="1:22" ht="15" customHeight="1" x14ac:dyDescent="0.25">
      <c r="A348" s="137" t="s">
        <v>7</v>
      </c>
      <c r="B348" s="137" t="s">
        <v>664</v>
      </c>
      <c r="C348" s="137">
        <v>2018</v>
      </c>
      <c r="D348" s="137">
        <v>5.5</v>
      </c>
      <c r="E348" s="137">
        <v>0.66</v>
      </c>
      <c r="F348" s="137">
        <v>4.84</v>
      </c>
      <c r="G348" s="137" t="s">
        <v>193</v>
      </c>
      <c r="H348" s="137" t="s">
        <v>193</v>
      </c>
      <c r="I348" s="137" t="s">
        <v>312</v>
      </c>
      <c r="J348" s="137" t="s">
        <v>312</v>
      </c>
      <c r="K348" s="137" t="s">
        <v>193</v>
      </c>
      <c r="L348" s="137" t="s">
        <v>193</v>
      </c>
      <c r="M348" s="137" t="s">
        <v>193</v>
      </c>
      <c r="N348" s="137" t="s">
        <v>53</v>
      </c>
      <c r="O348" s="137" t="s">
        <v>193</v>
      </c>
      <c r="P348" s="137" t="s">
        <v>53</v>
      </c>
      <c r="Q348" s="137" t="s">
        <v>193</v>
      </c>
      <c r="R348" s="137" t="s">
        <v>53</v>
      </c>
      <c r="S348" s="137" t="s">
        <v>193</v>
      </c>
      <c r="U348" s="137">
        <f t="shared" si="10"/>
        <v>5.5</v>
      </c>
      <c r="V348" s="171">
        <f t="shared" si="11"/>
        <v>0</v>
      </c>
    </row>
    <row r="349" spans="1:22" ht="15" customHeight="1" x14ac:dyDescent="0.25">
      <c r="A349" s="137" t="s">
        <v>7</v>
      </c>
      <c r="B349" s="137" t="s">
        <v>8</v>
      </c>
      <c r="C349" s="137">
        <v>2018</v>
      </c>
      <c r="D349" s="137">
        <v>3.3</v>
      </c>
      <c r="E349" s="137">
        <v>0.74</v>
      </c>
      <c r="F349" s="137">
        <v>2</v>
      </c>
      <c r="G349" s="137" t="s">
        <v>193</v>
      </c>
      <c r="H349" s="137" t="s">
        <v>193</v>
      </c>
      <c r="I349" s="137">
        <v>0.56000000000000005</v>
      </c>
      <c r="J349" s="137" t="s">
        <v>193</v>
      </c>
      <c r="K349" s="137" t="s">
        <v>193</v>
      </c>
      <c r="L349" s="137" t="s">
        <v>193</v>
      </c>
      <c r="M349" s="137" t="s">
        <v>193</v>
      </c>
      <c r="N349" s="137" t="s">
        <v>53</v>
      </c>
      <c r="O349" s="137" t="s">
        <v>193</v>
      </c>
      <c r="P349" s="137" t="s">
        <v>53</v>
      </c>
      <c r="Q349" s="137" t="s">
        <v>193</v>
      </c>
      <c r="R349" s="137" t="s">
        <v>53</v>
      </c>
      <c r="S349" s="137" t="s">
        <v>193</v>
      </c>
      <c r="U349" s="137">
        <f t="shared" si="10"/>
        <v>3.3</v>
      </c>
      <c r="V349" s="171">
        <f t="shared" si="11"/>
        <v>0</v>
      </c>
    </row>
    <row r="350" spans="1:22" ht="15" customHeight="1" x14ac:dyDescent="0.25">
      <c r="A350" s="137" t="s">
        <v>665</v>
      </c>
      <c r="B350" s="137" t="s">
        <v>666</v>
      </c>
      <c r="C350" s="137">
        <v>2018</v>
      </c>
      <c r="D350" s="137">
        <v>4.5229999999999997</v>
      </c>
      <c r="E350" s="137">
        <v>0.32700000000000001</v>
      </c>
      <c r="F350" s="137">
        <v>1.0449999999999999</v>
      </c>
      <c r="G350" s="137">
        <v>0</v>
      </c>
      <c r="H350" s="137" t="s">
        <v>193</v>
      </c>
      <c r="I350" s="137">
        <v>0.49</v>
      </c>
      <c r="J350" s="137">
        <v>0.23599999999999999</v>
      </c>
      <c r="K350" s="137">
        <v>0</v>
      </c>
      <c r="L350" s="137">
        <v>0</v>
      </c>
      <c r="M350" s="137">
        <v>2.4249999999999998</v>
      </c>
      <c r="N350" s="137" t="s">
        <v>53</v>
      </c>
      <c r="O350" s="137" t="s">
        <v>193</v>
      </c>
      <c r="P350" s="137" t="s">
        <v>53</v>
      </c>
      <c r="Q350" s="137" t="s">
        <v>193</v>
      </c>
      <c r="R350" s="137" t="s">
        <v>53</v>
      </c>
      <c r="S350" s="137" t="s">
        <v>193</v>
      </c>
      <c r="U350" s="137">
        <f t="shared" si="10"/>
        <v>4.5229999999999997</v>
      </c>
      <c r="V350" s="171">
        <f t="shared" si="11"/>
        <v>0</v>
      </c>
    </row>
    <row r="351" spans="1:22" ht="15" customHeight="1" x14ac:dyDescent="0.25">
      <c r="A351" s="137" t="s">
        <v>665</v>
      </c>
      <c r="B351" s="137" t="s">
        <v>667</v>
      </c>
      <c r="C351" s="137">
        <v>2018</v>
      </c>
      <c r="D351" s="137">
        <v>4.0510000000000002</v>
      </c>
      <c r="E351" s="137">
        <v>0.33700000000000002</v>
      </c>
      <c r="F351" s="137">
        <v>1.2430000000000001</v>
      </c>
      <c r="G351" s="137">
        <v>0</v>
      </c>
      <c r="H351" s="137" t="s">
        <v>193</v>
      </c>
      <c r="I351" s="137">
        <v>0.45700000000000002</v>
      </c>
      <c r="J351" s="137">
        <v>0.21199999999999999</v>
      </c>
      <c r="K351" s="137">
        <v>0</v>
      </c>
      <c r="L351" s="137">
        <v>0</v>
      </c>
      <c r="M351" s="137">
        <v>1.802</v>
      </c>
      <c r="N351" s="137" t="s">
        <v>53</v>
      </c>
      <c r="O351" s="137" t="s">
        <v>193</v>
      </c>
      <c r="P351" s="137" t="s">
        <v>53</v>
      </c>
      <c r="Q351" s="137" t="s">
        <v>193</v>
      </c>
      <c r="R351" s="137" t="s">
        <v>53</v>
      </c>
      <c r="S351" s="137" t="s">
        <v>193</v>
      </c>
      <c r="U351" s="137">
        <f t="shared" si="10"/>
        <v>4.0510000000000002</v>
      </c>
      <c r="V351" s="171">
        <f t="shared" si="11"/>
        <v>0</v>
      </c>
    </row>
    <row r="352" spans="1:22" ht="15" customHeight="1" x14ac:dyDescent="0.25">
      <c r="A352" s="137" t="s">
        <v>665</v>
      </c>
      <c r="B352" s="137" t="s">
        <v>668</v>
      </c>
      <c r="C352" s="137">
        <v>2018</v>
      </c>
      <c r="D352" s="137">
        <v>6.7370000000000001</v>
      </c>
      <c r="E352" s="137">
        <v>2.004</v>
      </c>
      <c r="F352" s="137">
        <v>2.6680000000000001</v>
      </c>
      <c r="G352" s="137" t="s">
        <v>193</v>
      </c>
      <c r="H352" s="137" t="s">
        <v>193</v>
      </c>
      <c r="I352" s="137">
        <v>0.47399999999999998</v>
      </c>
      <c r="J352" s="137">
        <v>0</v>
      </c>
      <c r="K352" s="137">
        <v>0</v>
      </c>
      <c r="L352" s="137">
        <v>0</v>
      </c>
      <c r="M352" s="137">
        <v>1.591</v>
      </c>
      <c r="N352" s="137" t="s">
        <v>53</v>
      </c>
      <c r="O352" s="137" t="s">
        <v>193</v>
      </c>
      <c r="P352" s="137" t="s">
        <v>53</v>
      </c>
      <c r="Q352" s="137" t="s">
        <v>193</v>
      </c>
      <c r="R352" s="137" t="s">
        <v>53</v>
      </c>
      <c r="S352" s="137" t="s">
        <v>193</v>
      </c>
      <c r="U352" s="137">
        <f t="shared" si="10"/>
        <v>6.7370000000000001</v>
      </c>
      <c r="V352" s="171">
        <f t="shared" si="11"/>
        <v>0</v>
      </c>
    </row>
    <row r="353" spans="1:22" ht="15" customHeight="1" x14ac:dyDescent="0.25">
      <c r="A353" s="137" t="s">
        <v>665</v>
      </c>
      <c r="B353" s="137" t="s">
        <v>669</v>
      </c>
      <c r="C353" s="137">
        <v>2018</v>
      </c>
      <c r="D353" s="137">
        <v>12.093</v>
      </c>
      <c r="E353" s="137">
        <v>1.2749999999999999</v>
      </c>
      <c r="F353" s="137">
        <v>3.4620000000000002</v>
      </c>
      <c r="G353" s="137" t="s">
        <v>193</v>
      </c>
      <c r="H353" s="137" t="s">
        <v>193</v>
      </c>
      <c r="I353" s="137">
        <v>1.002</v>
      </c>
      <c r="J353" s="137">
        <v>0.56200000000000006</v>
      </c>
      <c r="K353" s="137">
        <v>0</v>
      </c>
      <c r="L353" s="137">
        <v>0</v>
      </c>
      <c r="M353" s="137">
        <v>5.7919999999999998</v>
      </c>
      <c r="N353" s="137" t="s">
        <v>53</v>
      </c>
      <c r="O353" s="137" t="s">
        <v>193</v>
      </c>
      <c r="P353" s="137" t="s">
        <v>53</v>
      </c>
      <c r="Q353" s="137" t="s">
        <v>193</v>
      </c>
      <c r="R353" s="137" t="s">
        <v>53</v>
      </c>
      <c r="S353" s="137" t="s">
        <v>193</v>
      </c>
      <c r="U353" s="137">
        <f t="shared" si="10"/>
        <v>12.093</v>
      </c>
      <c r="V353" s="171">
        <f t="shared" si="11"/>
        <v>0</v>
      </c>
    </row>
    <row r="354" spans="1:22" ht="15" customHeight="1" x14ac:dyDescent="0.25">
      <c r="A354" s="137" t="s">
        <v>665</v>
      </c>
      <c r="B354" s="137" t="s">
        <v>670</v>
      </c>
      <c r="C354" s="137">
        <v>2018</v>
      </c>
      <c r="D354" s="137">
        <v>102.31</v>
      </c>
      <c r="E354" s="137">
        <v>22.248999999999999</v>
      </c>
      <c r="F354" s="137">
        <v>23.145</v>
      </c>
      <c r="G354" s="137">
        <v>0</v>
      </c>
      <c r="H354" s="137">
        <v>0</v>
      </c>
      <c r="I354" s="137">
        <v>14.802</v>
      </c>
      <c r="J354" s="137">
        <v>18.395</v>
      </c>
      <c r="K354" s="137">
        <v>0</v>
      </c>
      <c r="L354" s="137">
        <v>0</v>
      </c>
      <c r="M354" s="137">
        <v>23.719000000000001</v>
      </c>
      <c r="N354" s="137" t="s">
        <v>53</v>
      </c>
      <c r="O354" s="137" t="s">
        <v>193</v>
      </c>
      <c r="P354" s="137" t="s">
        <v>53</v>
      </c>
      <c r="Q354" s="137" t="s">
        <v>193</v>
      </c>
      <c r="R354" s="137" t="s">
        <v>53</v>
      </c>
      <c r="S354" s="137" t="s">
        <v>193</v>
      </c>
      <c r="U354" s="137">
        <f t="shared" si="10"/>
        <v>102.31</v>
      </c>
      <c r="V354" s="171">
        <f t="shared" si="11"/>
        <v>0</v>
      </c>
    </row>
    <row r="355" spans="1:22" ht="15" customHeight="1" x14ac:dyDescent="0.25">
      <c r="A355" s="137" t="s">
        <v>671</v>
      </c>
      <c r="B355" s="137" t="s">
        <v>672</v>
      </c>
      <c r="C355" s="137">
        <v>2018</v>
      </c>
      <c r="D355" s="137">
        <v>2.12</v>
      </c>
      <c r="E355" s="137">
        <v>0.55800000000000005</v>
      </c>
      <c r="F355" s="137">
        <v>0.28000000000000003</v>
      </c>
      <c r="G355" s="137">
        <v>0</v>
      </c>
      <c r="H355" s="137">
        <v>0</v>
      </c>
      <c r="I355" s="137">
        <v>0.79300000000000004</v>
      </c>
      <c r="J355" s="137">
        <v>8.1000000000000003E-2</v>
      </c>
      <c r="K355" s="137">
        <v>0</v>
      </c>
      <c r="L355" s="137">
        <v>0</v>
      </c>
      <c r="M355" s="137">
        <v>0.40899999999999997</v>
      </c>
      <c r="N355" s="137" t="s">
        <v>53</v>
      </c>
      <c r="O355" s="137" t="s">
        <v>193</v>
      </c>
      <c r="P355" s="137" t="s">
        <v>53</v>
      </c>
      <c r="Q355" s="137" t="s">
        <v>193</v>
      </c>
      <c r="R355" s="137" t="s">
        <v>53</v>
      </c>
      <c r="S355" s="137" t="s">
        <v>193</v>
      </c>
      <c r="U355" s="137">
        <f t="shared" si="10"/>
        <v>2.12</v>
      </c>
      <c r="V355" s="171">
        <f t="shared" si="11"/>
        <v>0</v>
      </c>
    </row>
    <row r="356" spans="1:22" ht="15" customHeight="1" x14ac:dyDescent="0.25">
      <c r="A356" s="137" t="s">
        <v>671</v>
      </c>
      <c r="B356" s="137" t="s">
        <v>673</v>
      </c>
      <c r="C356" s="137">
        <v>2018</v>
      </c>
      <c r="D356" s="137">
        <v>128.35300000000001</v>
      </c>
      <c r="E356" s="137">
        <v>49.624000000000002</v>
      </c>
      <c r="F356" s="137">
        <v>20.306000000000001</v>
      </c>
      <c r="G356" s="137" t="s">
        <v>193</v>
      </c>
      <c r="H356" s="137">
        <v>11.343999999999999</v>
      </c>
      <c r="I356" s="137">
        <v>21.972999999999999</v>
      </c>
      <c r="J356" s="137">
        <v>11.766999999999999</v>
      </c>
      <c r="K356" s="137">
        <v>4.1000000000000002E-2</v>
      </c>
      <c r="L356" s="137">
        <v>4.649</v>
      </c>
      <c r="M356" s="137">
        <v>19.992999999999999</v>
      </c>
      <c r="N356" s="137" t="s">
        <v>53</v>
      </c>
      <c r="O356" s="137" t="s">
        <v>193</v>
      </c>
      <c r="P356" s="137" t="s">
        <v>53</v>
      </c>
      <c r="Q356" s="137" t="s">
        <v>193</v>
      </c>
      <c r="R356" s="137" t="s">
        <v>53</v>
      </c>
      <c r="S356" s="137" t="s">
        <v>193</v>
      </c>
      <c r="U356" s="137">
        <f t="shared" si="10"/>
        <v>128.35300000000001</v>
      </c>
      <c r="V356" s="171">
        <f t="shared" si="11"/>
        <v>0</v>
      </c>
    </row>
    <row r="357" spans="1:22" ht="15" customHeight="1" x14ac:dyDescent="0.25">
      <c r="A357" s="137" t="s">
        <v>671</v>
      </c>
      <c r="B357" s="137" t="s">
        <v>674</v>
      </c>
      <c r="C357" s="137">
        <v>2018</v>
      </c>
      <c r="D357" s="137">
        <v>26.018000000000001</v>
      </c>
      <c r="E357" s="137">
        <v>10.913</v>
      </c>
      <c r="F357" s="137">
        <v>0.624</v>
      </c>
      <c r="G357" s="137" t="s">
        <v>193</v>
      </c>
      <c r="H357" s="137" t="s">
        <v>193</v>
      </c>
      <c r="I357" s="137">
        <v>6.7489999999999997</v>
      </c>
      <c r="J357" s="137">
        <v>1.0069999999999999</v>
      </c>
      <c r="K357" s="137" t="s">
        <v>193</v>
      </c>
      <c r="L357" s="137" t="s">
        <v>193</v>
      </c>
      <c r="M357" s="137">
        <v>6.7240000000000002</v>
      </c>
      <c r="N357" s="137" t="s">
        <v>53</v>
      </c>
      <c r="O357" s="137" t="s">
        <v>193</v>
      </c>
      <c r="P357" s="137" t="s">
        <v>53</v>
      </c>
      <c r="Q357" s="137" t="s">
        <v>193</v>
      </c>
      <c r="R357" s="137" t="s">
        <v>53</v>
      </c>
      <c r="S357" s="137" t="s">
        <v>193</v>
      </c>
      <c r="U357" s="137">
        <f t="shared" si="10"/>
        <v>26.018000000000001</v>
      </c>
      <c r="V357" s="171">
        <f t="shared" si="11"/>
        <v>0</v>
      </c>
    </row>
    <row r="358" spans="1:22" ht="15" customHeight="1" x14ac:dyDescent="0.25">
      <c r="A358" s="137" t="s">
        <v>52</v>
      </c>
      <c r="B358" s="137" t="s">
        <v>675</v>
      </c>
      <c r="C358" s="137">
        <v>2018</v>
      </c>
      <c r="D358" s="137">
        <v>203.3</v>
      </c>
      <c r="E358" s="137">
        <v>63.5</v>
      </c>
      <c r="F358" s="137">
        <v>21.4</v>
      </c>
      <c r="G358" s="137">
        <v>77.599999999999994</v>
      </c>
      <c r="H358" s="137" t="s">
        <v>193</v>
      </c>
      <c r="I358" s="137">
        <v>20.7</v>
      </c>
      <c r="J358" s="137">
        <v>17.7</v>
      </c>
      <c r="K358" s="137">
        <v>2.2999999999999998</v>
      </c>
      <c r="L358" s="137" t="s">
        <v>193</v>
      </c>
      <c r="M358" s="137">
        <v>77.599999999999994</v>
      </c>
      <c r="N358" s="137" t="s">
        <v>53</v>
      </c>
      <c r="O358" s="137" t="s">
        <v>193</v>
      </c>
      <c r="P358" s="137" t="s">
        <v>53</v>
      </c>
      <c r="Q358" s="137" t="s">
        <v>193</v>
      </c>
      <c r="R358" s="137" t="s">
        <v>53</v>
      </c>
      <c r="S358" s="137" t="s">
        <v>193</v>
      </c>
      <c r="U358" s="137">
        <f t="shared" si="10"/>
        <v>203.3</v>
      </c>
      <c r="V358" s="171">
        <f t="shared" si="11"/>
        <v>0</v>
      </c>
    </row>
    <row r="359" spans="1:22" ht="15" customHeight="1" x14ac:dyDescent="0.25">
      <c r="A359" s="137" t="s">
        <v>52</v>
      </c>
      <c r="B359" s="137" t="s">
        <v>676</v>
      </c>
      <c r="C359" s="137">
        <v>2018</v>
      </c>
      <c r="D359" s="137">
        <v>14.8</v>
      </c>
      <c r="E359" s="137">
        <v>7.9</v>
      </c>
      <c r="F359" s="137">
        <v>0.64</v>
      </c>
      <c r="G359" s="137" t="s">
        <v>193</v>
      </c>
      <c r="H359" s="137" t="s">
        <v>193</v>
      </c>
      <c r="I359" s="137">
        <v>3.9</v>
      </c>
      <c r="J359" s="137">
        <v>1.1000000000000001</v>
      </c>
      <c r="K359" s="137" t="s">
        <v>193</v>
      </c>
      <c r="L359" s="137" t="s">
        <v>193</v>
      </c>
      <c r="M359" s="137" t="s">
        <v>193</v>
      </c>
      <c r="N359" s="137" t="s">
        <v>53</v>
      </c>
      <c r="O359" s="137" t="s">
        <v>193</v>
      </c>
      <c r="P359" s="137" t="s">
        <v>53</v>
      </c>
      <c r="Q359" s="137" t="s">
        <v>193</v>
      </c>
      <c r="R359" s="137" t="s">
        <v>53</v>
      </c>
      <c r="S359" s="137" t="s">
        <v>193</v>
      </c>
      <c r="U359" s="137">
        <f t="shared" si="10"/>
        <v>14.8</v>
      </c>
      <c r="V359" s="171">
        <f t="shared" si="11"/>
        <v>0</v>
      </c>
    </row>
    <row r="360" spans="1:22" ht="15" customHeight="1" x14ac:dyDescent="0.25">
      <c r="A360" s="137" t="s">
        <v>52</v>
      </c>
      <c r="B360" s="137" t="s">
        <v>677</v>
      </c>
      <c r="C360" s="137">
        <v>2018</v>
      </c>
      <c r="D360" s="137">
        <v>21.974</v>
      </c>
      <c r="E360" s="137">
        <v>10.048</v>
      </c>
      <c r="F360" s="137">
        <v>6.0730000000000004</v>
      </c>
      <c r="G360" s="137" t="s">
        <v>193</v>
      </c>
      <c r="H360" s="137" t="s">
        <v>193</v>
      </c>
      <c r="I360" s="137">
        <v>4.3129999999999997</v>
      </c>
      <c r="J360" s="137">
        <v>1.54</v>
      </c>
      <c r="K360" s="137" t="s">
        <v>193</v>
      </c>
      <c r="L360" s="137" t="s">
        <v>193</v>
      </c>
      <c r="M360" s="137" t="s">
        <v>193</v>
      </c>
      <c r="N360" s="137" t="s">
        <v>53</v>
      </c>
      <c r="O360" s="137" t="s">
        <v>193</v>
      </c>
      <c r="P360" s="137" t="s">
        <v>53</v>
      </c>
      <c r="Q360" s="137" t="s">
        <v>193</v>
      </c>
      <c r="R360" s="137" t="s">
        <v>53</v>
      </c>
      <c r="S360" s="137" t="s">
        <v>193</v>
      </c>
      <c r="U360" s="137">
        <f t="shared" si="10"/>
        <v>21.974</v>
      </c>
      <c r="V360" s="171">
        <f t="shared" si="11"/>
        <v>0</v>
      </c>
    </row>
    <row r="361" spans="1:22" ht="15" customHeight="1" x14ac:dyDescent="0.25">
      <c r="A361" s="137" t="s">
        <v>52</v>
      </c>
      <c r="B361" s="137" t="s">
        <v>678</v>
      </c>
      <c r="C361" s="137">
        <v>2018</v>
      </c>
      <c r="D361" s="137">
        <v>5.8</v>
      </c>
      <c r="E361" s="137">
        <v>1.9</v>
      </c>
      <c r="F361" s="137">
        <v>0.3</v>
      </c>
      <c r="G361" s="137">
        <v>1</v>
      </c>
      <c r="H361" s="137" t="s">
        <v>193</v>
      </c>
      <c r="I361" s="137">
        <v>1.3</v>
      </c>
      <c r="J361" s="137">
        <v>1.2</v>
      </c>
      <c r="K361" s="137" t="s">
        <v>193</v>
      </c>
      <c r="L361" s="137" t="s">
        <v>193</v>
      </c>
      <c r="M361" s="137" t="s">
        <v>193</v>
      </c>
      <c r="N361" s="137" t="s">
        <v>53</v>
      </c>
      <c r="O361" s="137" t="s">
        <v>193</v>
      </c>
      <c r="P361" s="137" t="s">
        <v>53</v>
      </c>
      <c r="Q361" s="137" t="s">
        <v>193</v>
      </c>
      <c r="R361" s="137" t="s">
        <v>53</v>
      </c>
      <c r="S361" s="137" t="s">
        <v>193</v>
      </c>
      <c r="U361" s="137">
        <f t="shared" si="10"/>
        <v>5.8</v>
      </c>
      <c r="V361" s="171">
        <f t="shared" si="11"/>
        <v>0</v>
      </c>
    </row>
    <row r="362" spans="1:22" ht="15" customHeight="1" x14ac:dyDescent="0.25">
      <c r="A362" s="137" t="s">
        <v>52</v>
      </c>
      <c r="B362" s="137" t="s">
        <v>679</v>
      </c>
      <c r="C362" s="137">
        <v>2018</v>
      </c>
      <c r="D362" s="137">
        <v>97.2</v>
      </c>
      <c r="E362" s="137">
        <v>22</v>
      </c>
      <c r="F362" s="137">
        <v>4.4000000000000004</v>
      </c>
      <c r="G362" s="137">
        <v>60.7</v>
      </c>
      <c r="H362" s="137">
        <v>31.3</v>
      </c>
      <c r="I362" s="137">
        <v>5.9</v>
      </c>
      <c r="J362" s="137">
        <v>3.9</v>
      </c>
      <c r="K362" s="137">
        <v>0.4</v>
      </c>
      <c r="L362" s="137" t="s">
        <v>193</v>
      </c>
      <c r="M362" s="137">
        <v>60.7</v>
      </c>
      <c r="N362" s="137" t="s">
        <v>53</v>
      </c>
      <c r="O362" s="137" t="s">
        <v>193</v>
      </c>
      <c r="P362" s="137" t="s">
        <v>53</v>
      </c>
      <c r="Q362" s="137" t="s">
        <v>193</v>
      </c>
      <c r="R362" s="137" t="s">
        <v>53</v>
      </c>
      <c r="S362" s="137" t="s">
        <v>193</v>
      </c>
      <c r="U362" s="137">
        <f t="shared" si="10"/>
        <v>97.2</v>
      </c>
      <c r="V362" s="171">
        <f t="shared" si="11"/>
        <v>0</v>
      </c>
    </row>
    <row r="363" spans="1:22" ht="15" customHeight="1" x14ac:dyDescent="0.25">
      <c r="A363" s="137" t="s">
        <v>52</v>
      </c>
      <c r="B363" s="137" t="s">
        <v>680</v>
      </c>
      <c r="C363" s="137">
        <v>2018</v>
      </c>
      <c r="D363" s="137">
        <v>120.9</v>
      </c>
      <c r="E363" s="137">
        <v>64.8</v>
      </c>
      <c r="F363" s="137">
        <v>7.5</v>
      </c>
      <c r="G363" s="137">
        <v>11.6</v>
      </c>
      <c r="H363" s="137" t="s">
        <v>193</v>
      </c>
      <c r="I363" s="137">
        <v>20.100000000000001</v>
      </c>
      <c r="J363" s="137">
        <v>16.399999999999999</v>
      </c>
      <c r="K363" s="137">
        <v>0.7</v>
      </c>
      <c r="L363" s="137" t="s">
        <v>193</v>
      </c>
      <c r="M363" s="137">
        <v>11.6</v>
      </c>
      <c r="N363" s="137" t="s">
        <v>53</v>
      </c>
      <c r="O363" s="137" t="s">
        <v>193</v>
      </c>
      <c r="P363" s="137" t="s">
        <v>53</v>
      </c>
      <c r="Q363" s="137" t="s">
        <v>193</v>
      </c>
      <c r="R363" s="137" t="s">
        <v>53</v>
      </c>
      <c r="S363" s="137" t="s">
        <v>193</v>
      </c>
      <c r="U363" s="137">
        <f t="shared" si="10"/>
        <v>120.9</v>
      </c>
      <c r="V363" s="171">
        <f t="shared" si="11"/>
        <v>0</v>
      </c>
    </row>
    <row r="364" spans="1:22" ht="15" customHeight="1" x14ac:dyDescent="0.25">
      <c r="A364" s="137" t="s">
        <v>52</v>
      </c>
      <c r="B364" s="137" t="s">
        <v>681</v>
      </c>
      <c r="C364" s="137">
        <v>2018</v>
      </c>
      <c r="D364" s="137">
        <v>33.700000000000003</v>
      </c>
      <c r="E364" s="137">
        <v>13.7</v>
      </c>
      <c r="F364" s="137">
        <v>3.7</v>
      </c>
      <c r="G364" s="137">
        <v>8</v>
      </c>
      <c r="H364" s="137" t="s">
        <v>193</v>
      </c>
      <c r="I364" s="137">
        <v>6.4</v>
      </c>
      <c r="J364" s="137" t="s">
        <v>193</v>
      </c>
      <c r="K364" s="137">
        <v>1.9</v>
      </c>
      <c r="L364" s="137" t="s">
        <v>193</v>
      </c>
      <c r="M364" s="137">
        <v>8</v>
      </c>
      <c r="N364" s="137" t="s">
        <v>53</v>
      </c>
      <c r="O364" s="137" t="s">
        <v>193</v>
      </c>
      <c r="P364" s="137" t="s">
        <v>53</v>
      </c>
      <c r="Q364" s="137" t="s">
        <v>193</v>
      </c>
      <c r="R364" s="137" t="s">
        <v>53</v>
      </c>
      <c r="S364" s="137" t="s">
        <v>193</v>
      </c>
      <c r="U364" s="137">
        <f t="shared" si="10"/>
        <v>33.700000000000003</v>
      </c>
      <c r="V364" s="171">
        <f t="shared" si="11"/>
        <v>0</v>
      </c>
    </row>
    <row r="365" spans="1:22" ht="15" customHeight="1" x14ac:dyDescent="0.25">
      <c r="A365" s="137" t="s">
        <v>52</v>
      </c>
      <c r="B365" s="137" t="s">
        <v>682</v>
      </c>
      <c r="C365" s="137">
        <v>2018</v>
      </c>
      <c r="D365" s="137">
        <v>16.3</v>
      </c>
      <c r="E365" s="137">
        <v>7</v>
      </c>
      <c r="F365" s="137" t="s">
        <v>193</v>
      </c>
      <c r="G365" s="137">
        <v>5.3</v>
      </c>
      <c r="H365" s="137" t="s">
        <v>193</v>
      </c>
      <c r="I365" s="137">
        <v>3.1</v>
      </c>
      <c r="J365" s="137">
        <v>0.9</v>
      </c>
      <c r="K365" s="137" t="s">
        <v>193</v>
      </c>
      <c r="L365" s="137" t="s">
        <v>193</v>
      </c>
      <c r="M365" s="137">
        <v>5.3</v>
      </c>
      <c r="N365" s="137" t="s">
        <v>53</v>
      </c>
      <c r="O365" s="137" t="s">
        <v>193</v>
      </c>
      <c r="P365" s="137" t="s">
        <v>53</v>
      </c>
      <c r="Q365" s="137" t="s">
        <v>193</v>
      </c>
      <c r="R365" s="137" t="s">
        <v>53</v>
      </c>
      <c r="S365" s="137" t="s">
        <v>193</v>
      </c>
      <c r="U365" s="137">
        <f t="shared" si="10"/>
        <v>16.3</v>
      </c>
      <c r="V365" s="171">
        <f t="shared" si="11"/>
        <v>0</v>
      </c>
    </row>
    <row r="366" spans="1:22" ht="15" customHeight="1" x14ac:dyDescent="0.25">
      <c r="A366" s="137" t="s">
        <v>52</v>
      </c>
      <c r="B366" s="137" t="s">
        <v>683</v>
      </c>
      <c r="C366" s="137">
        <v>2018</v>
      </c>
      <c r="D366" s="137">
        <v>11.1</v>
      </c>
      <c r="E366" s="137">
        <v>7.2</v>
      </c>
      <c r="F366" s="137">
        <v>0.4</v>
      </c>
      <c r="G366" s="137" t="s">
        <v>193</v>
      </c>
      <c r="H366" s="137" t="s">
        <v>193</v>
      </c>
      <c r="I366" s="137">
        <v>2.8</v>
      </c>
      <c r="J366" s="137">
        <v>0.6</v>
      </c>
      <c r="K366" s="137">
        <v>0.1</v>
      </c>
      <c r="L366" s="137" t="s">
        <v>193</v>
      </c>
      <c r="M366" s="137" t="s">
        <v>193</v>
      </c>
      <c r="N366" s="137" t="s">
        <v>53</v>
      </c>
      <c r="O366" s="137" t="s">
        <v>193</v>
      </c>
      <c r="P366" s="137" t="s">
        <v>53</v>
      </c>
      <c r="Q366" s="137" t="s">
        <v>193</v>
      </c>
      <c r="R366" s="137" t="s">
        <v>53</v>
      </c>
      <c r="S366" s="137" t="s">
        <v>193</v>
      </c>
      <c r="U366" s="137">
        <f t="shared" si="10"/>
        <v>11.1</v>
      </c>
      <c r="V366" s="171">
        <f t="shared" si="11"/>
        <v>0</v>
      </c>
    </row>
    <row r="367" spans="1:22" ht="15" customHeight="1" x14ac:dyDescent="0.25">
      <c r="A367" s="137" t="s">
        <v>52</v>
      </c>
      <c r="B367" s="137" t="s">
        <v>684</v>
      </c>
      <c r="C367" s="137">
        <v>2018</v>
      </c>
      <c r="D367" s="137">
        <v>93.7</v>
      </c>
      <c r="E367" s="137">
        <v>43.6</v>
      </c>
      <c r="F367" s="137">
        <v>4.9000000000000004</v>
      </c>
      <c r="G367" s="137">
        <v>11.5</v>
      </c>
      <c r="H367" s="137" t="s">
        <v>193</v>
      </c>
      <c r="I367" s="137">
        <v>15.9</v>
      </c>
      <c r="J367" s="137">
        <v>17.899999999999999</v>
      </c>
      <c r="K367" s="137" t="s">
        <v>193</v>
      </c>
      <c r="L367" s="137" t="s">
        <v>193</v>
      </c>
      <c r="M367" s="137">
        <v>11.5</v>
      </c>
      <c r="N367" s="137" t="s">
        <v>53</v>
      </c>
      <c r="O367" s="137" t="s">
        <v>193</v>
      </c>
      <c r="P367" s="137" t="s">
        <v>53</v>
      </c>
      <c r="Q367" s="137" t="s">
        <v>193</v>
      </c>
      <c r="R367" s="137" t="s">
        <v>53</v>
      </c>
      <c r="S367" s="137" t="s">
        <v>193</v>
      </c>
      <c r="U367" s="137">
        <f t="shared" si="10"/>
        <v>93.7</v>
      </c>
      <c r="V367" s="171">
        <f t="shared" si="11"/>
        <v>0</v>
      </c>
    </row>
    <row r="368" spans="1:22" ht="15" customHeight="1" x14ac:dyDescent="0.25">
      <c r="A368" s="137" t="s">
        <v>52</v>
      </c>
      <c r="B368" s="137" t="s">
        <v>685</v>
      </c>
      <c r="C368" s="137">
        <v>2018</v>
      </c>
      <c r="D368" s="137">
        <v>208.7</v>
      </c>
      <c r="E368" s="137">
        <v>45.6</v>
      </c>
      <c r="F368" s="137" t="s">
        <v>193</v>
      </c>
      <c r="G368" s="137">
        <v>151</v>
      </c>
      <c r="H368" s="137">
        <v>151</v>
      </c>
      <c r="I368" s="137">
        <v>7.8</v>
      </c>
      <c r="J368" s="137">
        <v>4.2</v>
      </c>
      <c r="K368" s="137" t="s">
        <v>193</v>
      </c>
      <c r="L368" s="137" t="s">
        <v>193</v>
      </c>
      <c r="M368" s="137">
        <v>151</v>
      </c>
      <c r="N368" s="137" t="s">
        <v>53</v>
      </c>
      <c r="O368" s="137" t="s">
        <v>193</v>
      </c>
      <c r="P368" s="137" t="s">
        <v>53</v>
      </c>
      <c r="Q368" s="137" t="s">
        <v>193</v>
      </c>
      <c r="R368" s="137" t="s">
        <v>53</v>
      </c>
      <c r="S368" s="137" t="s">
        <v>193</v>
      </c>
      <c r="U368" s="137">
        <f t="shared" si="10"/>
        <v>208.7</v>
      </c>
      <c r="V368" s="171">
        <f t="shared" si="11"/>
        <v>0</v>
      </c>
    </row>
    <row r="369" spans="1:22" ht="15" customHeight="1" x14ac:dyDescent="0.25">
      <c r="A369" s="137" t="s">
        <v>52</v>
      </c>
      <c r="B369" s="137" t="s">
        <v>686</v>
      </c>
      <c r="C369" s="137">
        <v>2018</v>
      </c>
      <c r="D369" s="137">
        <v>1.7</v>
      </c>
      <c r="E369" s="137" t="s">
        <v>193</v>
      </c>
      <c r="F369" s="137">
        <v>0.1</v>
      </c>
      <c r="G369" s="137" t="s">
        <v>193</v>
      </c>
      <c r="H369" s="137" t="s">
        <v>193</v>
      </c>
      <c r="I369" s="137">
        <v>1.6</v>
      </c>
      <c r="J369" s="137" t="s">
        <v>193</v>
      </c>
      <c r="K369" s="137" t="s">
        <v>193</v>
      </c>
      <c r="L369" s="137" t="s">
        <v>193</v>
      </c>
      <c r="M369" s="137" t="s">
        <v>193</v>
      </c>
      <c r="N369" s="137" t="s">
        <v>53</v>
      </c>
      <c r="O369" s="137" t="s">
        <v>193</v>
      </c>
      <c r="P369" s="137" t="s">
        <v>53</v>
      </c>
      <c r="Q369" s="137" t="s">
        <v>193</v>
      </c>
      <c r="R369" s="137" t="s">
        <v>53</v>
      </c>
      <c r="S369" s="137" t="s">
        <v>193</v>
      </c>
      <c r="U369" s="137">
        <f t="shared" si="10"/>
        <v>1.7</v>
      </c>
      <c r="V369" s="171">
        <f t="shared" si="11"/>
        <v>0</v>
      </c>
    </row>
    <row r="370" spans="1:22" ht="15" customHeight="1" x14ac:dyDescent="0.25">
      <c r="A370" s="137" t="s">
        <v>52</v>
      </c>
      <c r="B370" s="137" t="s">
        <v>687</v>
      </c>
      <c r="C370" s="137">
        <v>2018</v>
      </c>
      <c r="D370" s="137">
        <v>49.863</v>
      </c>
      <c r="E370" s="137">
        <v>21.704000000000001</v>
      </c>
      <c r="F370" s="137">
        <v>1.1970000000000001</v>
      </c>
      <c r="G370" s="137">
        <v>7.133</v>
      </c>
      <c r="H370" s="137" t="s">
        <v>193</v>
      </c>
      <c r="I370" s="137">
        <v>7.9059999999999997</v>
      </c>
      <c r="J370" s="137">
        <v>11.923999999999999</v>
      </c>
      <c r="K370" s="137" t="s">
        <v>193</v>
      </c>
      <c r="L370" s="137" t="s">
        <v>193</v>
      </c>
      <c r="M370" s="137" t="s">
        <v>193</v>
      </c>
      <c r="N370" s="137" t="s">
        <v>53</v>
      </c>
      <c r="O370" s="137" t="s">
        <v>193</v>
      </c>
      <c r="P370" s="137" t="s">
        <v>53</v>
      </c>
      <c r="Q370" s="137" t="s">
        <v>193</v>
      </c>
      <c r="R370" s="137" t="s">
        <v>53</v>
      </c>
      <c r="S370" s="137" t="s">
        <v>193</v>
      </c>
      <c r="U370" s="137">
        <f t="shared" si="10"/>
        <v>49.863</v>
      </c>
      <c r="V370" s="171">
        <f t="shared" si="11"/>
        <v>0</v>
      </c>
    </row>
    <row r="371" spans="1:22" ht="15" customHeight="1" x14ac:dyDescent="0.25">
      <c r="A371" s="137" t="s">
        <v>52</v>
      </c>
      <c r="B371" s="137" t="s">
        <v>688</v>
      </c>
      <c r="C371" s="137">
        <v>2018</v>
      </c>
      <c r="D371" s="137">
        <v>6.8</v>
      </c>
      <c r="E371" s="137">
        <v>3.3</v>
      </c>
      <c r="F371" s="137">
        <v>0.2</v>
      </c>
      <c r="G371" s="137" t="s">
        <v>193</v>
      </c>
      <c r="H371" s="137" t="s">
        <v>193</v>
      </c>
      <c r="I371" s="137">
        <v>3</v>
      </c>
      <c r="J371" s="137">
        <v>0.3</v>
      </c>
      <c r="K371" s="137" t="s">
        <v>193</v>
      </c>
      <c r="L371" s="137" t="s">
        <v>193</v>
      </c>
      <c r="M371" s="137" t="s">
        <v>193</v>
      </c>
      <c r="N371" s="137" t="s">
        <v>53</v>
      </c>
      <c r="O371" s="137" t="s">
        <v>193</v>
      </c>
      <c r="P371" s="137" t="s">
        <v>53</v>
      </c>
      <c r="Q371" s="137" t="s">
        <v>193</v>
      </c>
      <c r="R371" s="137" t="s">
        <v>53</v>
      </c>
      <c r="S371" s="137" t="s">
        <v>193</v>
      </c>
      <c r="U371" s="137">
        <f t="shared" si="10"/>
        <v>6.8</v>
      </c>
      <c r="V371" s="171">
        <f t="shared" si="11"/>
        <v>0</v>
      </c>
    </row>
    <row r="372" spans="1:22" ht="15" customHeight="1" x14ac:dyDescent="0.25">
      <c r="A372" s="137" t="s">
        <v>52</v>
      </c>
      <c r="B372" s="137" t="s">
        <v>689</v>
      </c>
      <c r="C372" s="137">
        <v>2018</v>
      </c>
      <c r="D372" s="137">
        <v>91.9</v>
      </c>
      <c r="E372" s="137">
        <v>12.6</v>
      </c>
      <c r="F372" s="137">
        <v>4</v>
      </c>
      <c r="G372" s="137">
        <v>61.6</v>
      </c>
      <c r="H372" s="137" t="s">
        <v>193</v>
      </c>
      <c r="I372" s="137">
        <v>8.8000000000000007</v>
      </c>
      <c r="J372" s="137">
        <v>4.3</v>
      </c>
      <c r="K372" s="137" t="s">
        <v>193</v>
      </c>
      <c r="L372" s="137" t="s">
        <v>193</v>
      </c>
      <c r="M372" s="137">
        <v>61.6</v>
      </c>
      <c r="N372" s="137" t="s">
        <v>53</v>
      </c>
      <c r="O372" s="137" t="s">
        <v>193</v>
      </c>
      <c r="P372" s="137" t="s">
        <v>53</v>
      </c>
      <c r="Q372" s="137" t="s">
        <v>193</v>
      </c>
      <c r="R372" s="137" t="s">
        <v>53</v>
      </c>
      <c r="S372" s="137" t="s">
        <v>193</v>
      </c>
      <c r="U372" s="137">
        <f t="shared" si="10"/>
        <v>91.9</v>
      </c>
      <c r="V372" s="171">
        <f t="shared" si="11"/>
        <v>0</v>
      </c>
    </row>
    <row r="373" spans="1:22" ht="15" customHeight="1" x14ac:dyDescent="0.25">
      <c r="A373" s="137" t="s">
        <v>52</v>
      </c>
      <c r="B373" s="137" t="s">
        <v>690</v>
      </c>
      <c r="C373" s="137">
        <v>2018</v>
      </c>
      <c r="D373" s="137" t="s">
        <v>193</v>
      </c>
      <c r="E373" s="137" t="s">
        <v>312</v>
      </c>
      <c r="F373" s="137" t="s">
        <v>193</v>
      </c>
      <c r="G373" s="137" t="s">
        <v>193</v>
      </c>
      <c r="H373" s="137" t="s">
        <v>193</v>
      </c>
      <c r="I373" s="137" t="s">
        <v>193</v>
      </c>
      <c r="J373" s="137" t="s">
        <v>193</v>
      </c>
      <c r="K373" s="137" t="s">
        <v>193</v>
      </c>
      <c r="L373" s="137" t="s">
        <v>193</v>
      </c>
      <c r="M373" s="137" t="s">
        <v>193</v>
      </c>
      <c r="N373" s="137" t="s">
        <v>53</v>
      </c>
      <c r="O373" s="137" t="s">
        <v>193</v>
      </c>
      <c r="P373" s="137" t="s">
        <v>53</v>
      </c>
      <c r="Q373" s="137" t="s">
        <v>193</v>
      </c>
      <c r="R373" s="137" t="s">
        <v>53</v>
      </c>
      <c r="S373" s="137" t="s">
        <v>193</v>
      </c>
      <c r="U373" s="137">
        <f t="shared" si="10"/>
        <v>0</v>
      </c>
      <c r="V373" s="171">
        <f t="shared" si="11"/>
        <v>0</v>
      </c>
    </row>
    <row r="374" spans="1:22" ht="15" customHeight="1" x14ac:dyDescent="0.25">
      <c r="A374" s="137" t="s">
        <v>691</v>
      </c>
      <c r="B374" s="137" t="s">
        <v>692</v>
      </c>
      <c r="C374" s="137">
        <v>2018</v>
      </c>
      <c r="D374" s="137">
        <v>0.48199999999999998</v>
      </c>
      <c r="E374" s="137">
        <v>0.13900000000000001</v>
      </c>
      <c r="F374" s="137">
        <v>3.0000000000000001E-3</v>
      </c>
      <c r="G374" s="137">
        <v>0</v>
      </c>
      <c r="H374" s="137" t="s">
        <v>193</v>
      </c>
      <c r="I374" s="137">
        <v>0.3402</v>
      </c>
      <c r="J374" s="137">
        <v>0</v>
      </c>
      <c r="K374" s="137" t="s">
        <v>193</v>
      </c>
      <c r="L374" s="137" t="s">
        <v>193</v>
      </c>
      <c r="M374" s="137" t="s">
        <v>193</v>
      </c>
      <c r="N374" s="137" t="s">
        <v>53</v>
      </c>
      <c r="O374" s="137" t="s">
        <v>193</v>
      </c>
      <c r="P374" s="137" t="s">
        <v>53</v>
      </c>
      <c r="Q374" s="137" t="s">
        <v>193</v>
      </c>
      <c r="R374" s="137" t="s">
        <v>53</v>
      </c>
      <c r="S374" s="137" t="s">
        <v>193</v>
      </c>
      <c r="U374" s="137">
        <f t="shared" si="10"/>
        <v>0.48199999999999998</v>
      </c>
      <c r="V374" s="171">
        <f t="shared" si="11"/>
        <v>0</v>
      </c>
    </row>
    <row r="375" spans="1:22" ht="15" customHeight="1" x14ac:dyDescent="0.25">
      <c r="A375" s="137" t="s">
        <v>691</v>
      </c>
      <c r="B375" s="137" t="s">
        <v>693</v>
      </c>
      <c r="C375" s="137">
        <v>2018</v>
      </c>
      <c r="D375" s="137">
        <v>0</v>
      </c>
      <c r="E375" s="137">
        <v>0</v>
      </c>
      <c r="F375" s="137">
        <v>0</v>
      </c>
      <c r="G375" s="137">
        <v>0</v>
      </c>
      <c r="H375" s="137" t="s">
        <v>193</v>
      </c>
      <c r="I375" s="137">
        <v>0</v>
      </c>
      <c r="J375" s="137">
        <v>0</v>
      </c>
      <c r="K375" s="137" t="s">
        <v>193</v>
      </c>
      <c r="L375" s="137" t="s">
        <v>193</v>
      </c>
      <c r="M375" s="137" t="s">
        <v>193</v>
      </c>
      <c r="N375" s="137" t="s">
        <v>53</v>
      </c>
      <c r="O375" s="137" t="s">
        <v>193</v>
      </c>
      <c r="P375" s="137" t="s">
        <v>53</v>
      </c>
      <c r="Q375" s="137" t="s">
        <v>193</v>
      </c>
      <c r="R375" s="137" t="s">
        <v>53</v>
      </c>
      <c r="S375" s="137" t="s">
        <v>193</v>
      </c>
      <c r="U375" s="137">
        <f t="shared" si="10"/>
        <v>0</v>
      </c>
      <c r="V375" s="171">
        <f t="shared" si="11"/>
        <v>0</v>
      </c>
    </row>
    <row r="376" spans="1:22" ht="15" customHeight="1" x14ac:dyDescent="0.25">
      <c r="A376" s="137" t="s">
        <v>691</v>
      </c>
      <c r="B376" s="137" t="s">
        <v>694</v>
      </c>
      <c r="C376" s="137">
        <v>2018</v>
      </c>
      <c r="D376" s="137">
        <v>0</v>
      </c>
      <c r="E376" s="137">
        <v>0</v>
      </c>
      <c r="F376" s="137">
        <v>0</v>
      </c>
      <c r="G376" s="137">
        <v>0</v>
      </c>
      <c r="H376" s="137" t="s">
        <v>193</v>
      </c>
      <c r="I376" s="137">
        <v>0</v>
      </c>
      <c r="J376" s="137">
        <v>0</v>
      </c>
      <c r="K376" s="137" t="s">
        <v>193</v>
      </c>
      <c r="L376" s="137" t="s">
        <v>193</v>
      </c>
      <c r="M376" s="137" t="s">
        <v>193</v>
      </c>
      <c r="N376" s="137" t="s">
        <v>53</v>
      </c>
      <c r="O376" s="137" t="s">
        <v>193</v>
      </c>
      <c r="P376" s="137" t="s">
        <v>53</v>
      </c>
      <c r="Q376" s="137" t="s">
        <v>193</v>
      </c>
      <c r="R376" s="137" t="s">
        <v>53</v>
      </c>
      <c r="S376" s="137" t="s">
        <v>193</v>
      </c>
      <c r="U376" s="137">
        <f t="shared" si="10"/>
        <v>0</v>
      </c>
      <c r="V376" s="171">
        <f t="shared" si="11"/>
        <v>0</v>
      </c>
    </row>
    <row r="377" spans="1:22" ht="15" customHeight="1" x14ac:dyDescent="0.25">
      <c r="A377" s="137" t="s">
        <v>691</v>
      </c>
      <c r="B377" s="137" t="s">
        <v>695</v>
      </c>
      <c r="C377" s="137">
        <v>2018</v>
      </c>
      <c r="D377" s="137">
        <v>0.71299999999999997</v>
      </c>
      <c r="E377" s="137">
        <v>0</v>
      </c>
      <c r="F377" s="137">
        <v>0</v>
      </c>
      <c r="G377" s="137">
        <v>0</v>
      </c>
      <c r="H377" s="137" t="s">
        <v>193</v>
      </c>
      <c r="I377" s="137">
        <v>0.997</v>
      </c>
      <c r="J377" s="137">
        <v>0.61299999999999999</v>
      </c>
      <c r="K377" s="137" t="s">
        <v>193</v>
      </c>
      <c r="L377" s="137" t="s">
        <v>193</v>
      </c>
      <c r="M377" s="137" t="s">
        <v>193</v>
      </c>
      <c r="N377" s="137" t="s">
        <v>53</v>
      </c>
      <c r="O377" s="137" t="s">
        <v>193</v>
      </c>
      <c r="P377" s="137" t="s">
        <v>53</v>
      </c>
      <c r="Q377" s="137" t="s">
        <v>193</v>
      </c>
      <c r="R377" s="137" t="s">
        <v>53</v>
      </c>
      <c r="S377" s="137" t="s">
        <v>193</v>
      </c>
      <c r="U377" s="137">
        <f t="shared" si="10"/>
        <v>0.71299999999999997</v>
      </c>
      <c r="V377" s="171">
        <f t="shared" si="11"/>
        <v>0</v>
      </c>
    </row>
    <row r="378" spans="1:22" ht="15" customHeight="1" x14ac:dyDescent="0.25">
      <c r="A378" s="137" t="s">
        <v>691</v>
      </c>
      <c r="B378" s="137" t="s">
        <v>696</v>
      </c>
      <c r="C378" s="137">
        <v>2018</v>
      </c>
      <c r="D378" s="137">
        <v>9.5990000000000002</v>
      </c>
      <c r="E378" s="137">
        <v>2.8690000000000002</v>
      </c>
      <c r="F378" s="137">
        <v>3.0750000000000002</v>
      </c>
      <c r="G378" s="137">
        <v>1.889</v>
      </c>
      <c r="H378" s="137" t="s">
        <v>193</v>
      </c>
      <c r="I378" s="137">
        <v>1.4710000000000001</v>
      </c>
      <c r="J378" s="137">
        <v>0.29499999999999998</v>
      </c>
      <c r="K378" s="137" t="s">
        <v>193</v>
      </c>
      <c r="L378" s="137" t="s">
        <v>193</v>
      </c>
      <c r="M378" s="137" t="s">
        <v>193</v>
      </c>
      <c r="N378" s="137" t="s">
        <v>53</v>
      </c>
      <c r="O378" s="137" t="s">
        <v>193</v>
      </c>
      <c r="P378" s="137" t="s">
        <v>53</v>
      </c>
      <c r="Q378" s="137" t="s">
        <v>193</v>
      </c>
      <c r="R378" s="137" t="s">
        <v>53</v>
      </c>
      <c r="S378" s="137" t="s">
        <v>193</v>
      </c>
      <c r="U378" s="137">
        <f t="shared" si="10"/>
        <v>9.5990000000000002</v>
      </c>
      <c r="V378" s="171">
        <f t="shared" si="11"/>
        <v>0</v>
      </c>
    </row>
    <row r="379" spans="1:22" ht="15" customHeight="1" x14ac:dyDescent="0.25">
      <c r="A379" s="137" t="s">
        <v>691</v>
      </c>
      <c r="B379" s="137" t="s">
        <v>697</v>
      </c>
      <c r="C379" s="137">
        <v>2018</v>
      </c>
      <c r="D379" s="137">
        <v>144.096</v>
      </c>
      <c r="E379" s="137">
        <v>59.704000000000001</v>
      </c>
      <c r="F379" s="137">
        <v>16.599</v>
      </c>
      <c r="G379" s="137">
        <v>15.96</v>
      </c>
      <c r="H379" s="137" t="s">
        <v>193</v>
      </c>
      <c r="I379" s="137">
        <v>26.44</v>
      </c>
      <c r="J379" s="137">
        <v>25.393000000000001</v>
      </c>
      <c r="K379" s="137" t="s">
        <v>193</v>
      </c>
      <c r="L379" s="137" t="s">
        <v>193</v>
      </c>
      <c r="M379" s="137" t="s">
        <v>193</v>
      </c>
      <c r="N379" s="137" t="s">
        <v>53</v>
      </c>
      <c r="O379" s="137" t="s">
        <v>193</v>
      </c>
      <c r="P379" s="137" t="s">
        <v>53</v>
      </c>
      <c r="Q379" s="137" t="s">
        <v>193</v>
      </c>
      <c r="R379" s="137" t="s">
        <v>53</v>
      </c>
      <c r="S379" s="137" t="s">
        <v>193</v>
      </c>
      <c r="U379" s="137">
        <f t="shared" si="10"/>
        <v>144.096</v>
      </c>
      <c r="V379" s="171">
        <f t="shared" si="11"/>
        <v>0</v>
      </c>
    </row>
    <row r="380" spans="1:22" ht="15" customHeight="1" x14ac:dyDescent="0.25">
      <c r="A380" s="137" t="s">
        <v>698</v>
      </c>
      <c r="B380" s="137" t="s">
        <v>699</v>
      </c>
      <c r="C380" s="137">
        <v>2018</v>
      </c>
      <c r="D380" s="137">
        <v>94.965999999999994</v>
      </c>
      <c r="E380" s="137">
        <v>45.05</v>
      </c>
      <c r="F380" s="137">
        <v>3.9409999999999998</v>
      </c>
      <c r="G380" s="137">
        <v>19.401</v>
      </c>
      <c r="H380" s="137" t="s">
        <v>193</v>
      </c>
      <c r="I380" s="137">
        <v>15.7</v>
      </c>
      <c r="J380" s="137">
        <v>10.676</v>
      </c>
      <c r="K380" s="137">
        <v>0.18</v>
      </c>
      <c r="L380" s="137" t="s">
        <v>193</v>
      </c>
      <c r="M380" s="137">
        <v>19.401</v>
      </c>
      <c r="N380" s="137" t="s">
        <v>53</v>
      </c>
      <c r="O380" s="137" t="s">
        <v>193</v>
      </c>
      <c r="P380" s="137" t="s">
        <v>53</v>
      </c>
      <c r="Q380" s="137" t="s">
        <v>193</v>
      </c>
      <c r="R380" s="137" t="s">
        <v>53</v>
      </c>
      <c r="S380" s="137" t="s">
        <v>193</v>
      </c>
      <c r="U380" s="137">
        <f t="shared" si="10"/>
        <v>94.965999999999994</v>
      </c>
      <c r="V380" s="171">
        <f t="shared" si="11"/>
        <v>0</v>
      </c>
    </row>
    <row r="381" spans="1:22" ht="15" customHeight="1" x14ac:dyDescent="0.25">
      <c r="A381" s="137" t="s">
        <v>698</v>
      </c>
      <c r="B381" s="137" t="s">
        <v>700</v>
      </c>
      <c r="C381" s="137">
        <v>2018</v>
      </c>
      <c r="D381" s="137">
        <v>12.122999999999999</v>
      </c>
      <c r="E381" s="137">
        <v>5.7720000000000002</v>
      </c>
      <c r="F381" s="137">
        <v>8.9999999999999993E-3</v>
      </c>
      <c r="G381" s="137">
        <v>1.5589999999999999</v>
      </c>
      <c r="H381" s="137" t="s">
        <v>193</v>
      </c>
      <c r="I381" s="137">
        <v>3.0419999999999998</v>
      </c>
      <c r="J381" s="137">
        <v>1.7410000000000001</v>
      </c>
      <c r="K381" s="137" t="s">
        <v>193</v>
      </c>
      <c r="L381" s="137" t="s">
        <v>193</v>
      </c>
      <c r="M381" s="137">
        <v>1.5589999999999999</v>
      </c>
      <c r="N381" s="137" t="s">
        <v>53</v>
      </c>
      <c r="O381" s="137" t="s">
        <v>193</v>
      </c>
      <c r="P381" s="137" t="s">
        <v>53</v>
      </c>
      <c r="Q381" s="137" t="s">
        <v>193</v>
      </c>
      <c r="R381" s="137" t="s">
        <v>53</v>
      </c>
      <c r="S381" s="137" t="s">
        <v>193</v>
      </c>
      <c r="U381" s="137">
        <f t="shared" si="10"/>
        <v>12.122999999999999</v>
      </c>
      <c r="V381" s="171">
        <f t="shared" si="11"/>
        <v>0</v>
      </c>
    </row>
    <row r="382" spans="1:22" ht="15" customHeight="1" x14ac:dyDescent="0.25">
      <c r="A382" s="137" t="s">
        <v>698</v>
      </c>
      <c r="B382" s="137" t="s">
        <v>701</v>
      </c>
      <c r="C382" s="137">
        <v>2018</v>
      </c>
      <c r="D382" s="137">
        <v>101.849</v>
      </c>
      <c r="E382" s="137">
        <v>53.124000000000002</v>
      </c>
      <c r="F382" s="137">
        <v>2.3980000000000001</v>
      </c>
      <c r="G382" s="137">
        <v>14.698</v>
      </c>
      <c r="H382" s="137" t="s">
        <v>193</v>
      </c>
      <c r="I382" s="137">
        <v>17.863</v>
      </c>
      <c r="J382" s="137">
        <v>13.765000000000001</v>
      </c>
      <c r="K382" s="137" t="s">
        <v>193</v>
      </c>
      <c r="L382" s="137" t="s">
        <v>193</v>
      </c>
      <c r="M382" s="137">
        <v>14.698</v>
      </c>
      <c r="N382" s="137" t="s">
        <v>53</v>
      </c>
      <c r="O382" s="137" t="s">
        <v>193</v>
      </c>
      <c r="P382" s="137" t="s">
        <v>53</v>
      </c>
      <c r="Q382" s="137" t="s">
        <v>193</v>
      </c>
      <c r="R382" s="137" t="s">
        <v>53</v>
      </c>
      <c r="S382" s="137" t="s">
        <v>193</v>
      </c>
      <c r="U382" s="137">
        <f t="shared" si="10"/>
        <v>101.849</v>
      </c>
      <c r="V382" s="171">
        <f t="shared" si="11"/>
        <v>0</v>
      </c>
    </row>
    <row r="383" spans="1:22" ht="15" customHeight="1" x14ac:dyDescent="0.25">
      <c r="A383" s="137" t="s">
        <v>698</v>
      </c>
      <c r="B383" s="137" t="s">
        <v>702</v>
      </c>
      <c r="C383" s="137">
        <v>2018</v>
      </c>
      <c r="D383" s="137">
        <v>18.561</v>
      </c>
      <c r="E383" s="137">
        <v>16.135000000000002</v>
      </c>
      <c r="F383" s="137">
        <v>8.6999999999999994E-2</v>
      </c>
      <c r="G383" s="137">
        <v>2.0950000000000002</v>
      </c>
      <c r="H383" s="137" t="s">
        <v>193</v>
      </c>
      <c r="I383" s="137">
        <v>0.19500000000000001</v>
      </c>
      <c r="J383" s="137">
        <v>0.05</v>
      </c>
      <c r="K383" s="137" t="s">
        <v>193</v>
      </c>
      <c r="L383" s="137" t="s">
        <v>193</v>
      </c>
      <c r="M383" s="137">
        <v>2.0950000000000002</v>
      </c>
      <c r="N383" s="137" t="s">
        <v>53</v>
      </c>
      <c r="O383" s="137" t="s">
        <v>193</v>
      </c>
      <c r="P383" s="137" t="s">
        <v>53</v>
      </c>
      <c r="Q383" s="137" t="s">
        <v>193</v>
      </c>
      <c r="R383" s="137" t="s">
        <v>53</v>
      </c>
      <c r="S383" s="137" t="s">
        <v>193</v>
      </c>
      <c r="U383" s="137">
        <f t="shared" si="10"/>
        <v>18.561</v>
      </c>
      <c r="V383" s="171">
        <f t="shared" si="11"/>
        <v>0</v>
      </c>
    </row>
    <row r="384" spans="1:22" ht="15" customHeight="1" x14ac:dyDescent="0.25">
      <c r="A384" s="137" t="s">
        <v>703</v>
      </c>
      <c r="B384" s="137" t="s">
        <v>704</v>
      </c>
      <c r="C384" s="137">
        <v>2018</v>
      </c>
      <c r="D384" s="137">
        <v>6.3</v>
      </c>
      <c r="E384" s="137">
        <v>1.7</v>
      </c>
      <c r="F384" s="137">
        <v>2.7</v>
      </c>
      <c r="G384" s="137" t="s">
        <v>193</v>
      </c>
      <c r="H384" s="137" t="s">
        <v>193</v>
      </c>
      <c r="I384" s="137">
        <v>1.2</v>
      </c>
      <c r="J384" s="137">
        <v>0.3</v>
      </c>
      <c r="K384" s="137" t="s">
        <v>193</v>
      </c>
      <c r="L384" s="137">
        <v>0.4</v>
      </c>
      <c r="M384" s="137" t="s">
        <v>193</v>
      </c>
      <c r="N384" s="137" t="s">
        <v>53</v>
      </c>
      <c r="O384" s="137" t="s">
        <v>193</v>
      </c>
      <c r="P384" s="137" t="s">
        <v>53</v>
      </c>
      <c r="Q384" s="137" t="s">
        <v>193</v>
      </c>
      <c r="R384" s="137" t="s">
        <v>53</v>
      </c>
      <c r="S384" s="137" t="s">
        <v>193</v>
      </c>
      <c r="U384" s="137">
        <f t="shared" si="10"/>
        <v>6.3</v>
      </c>
      <c r="V384" s="171">
        <f t="shared" si="11"/>
        <v>0</v>
      </c>
    </row>
    <row r="385" spans="1:22" ht="15" customHeight="1" x14ac:dyDescent="0.25">
      <c r="A385" s="137" t="s">
        <v>703</v>
      </c>
      <c r="B385" s="137" t="s">
        <v>705</v>
      </c>
      <c r="C385" s="137">
        <v>2018</v>
      </c>
      <c r="D385" s="137">
        <v>24.6</v>
      </c>
      <c r="E385" s="137">
        <v>7.4</v>
      </c>
      <c r="F385" s="137">
        <v>7.2</v>
      </c>
      <c r="G385" s="137">
        <v>0.8</v>
      </c>
      <c r="H385" s="137" t="s">
        <v>193</v>
      </c>
      <c r="I385" s="137">
        <v>5.5</v>
      </c>
      <c r="J385" s="137">
        <v>3.1</v>
      </c>
      <c r="K385" s="137" t="s">
        <v>193</v>
      </c>
      <c r="L385" s="137">
        <v>0.6</v>
      </c>
      <c r="M385" s="137" t="s">
        <v>193</v>
      </c>
      <c r="N385" s="137" t="s">
        <v>53</v>
      </c>
      <c r="O385" s="137" t="s">
        <v>193</v>
      </c>
      <c r="P385" s="137" t="s">
        <v>53</v>
      </c>
      <c r="Q385" s="137" t="s">
        <v>193</v>
      </c>
      <c r="R385" s="137" t="s">
        <v>53</v>
      </c>
      <c r="S385" s="137" t="s">
        <v>193</v>
      </c>
      <c r="U385" s="137">
        <f t="shared" si="10"/>
        <v>24.6</v>
      </c>
      <c r="V385" s="171">
        <f t="shared" si="11"/>
        <v>0</v>
      </c>
    </row>
    <row r="386" spans="1:22" ht="15" customHeight="1" x14ac:dyDescent="0.25">
      <c r="A386" s="137" t="s">
        <v>703</v>
      </c>
      <c r="B386" s="137" t="s">
        <v>706</v>
      </c>
      <c r="C386" s="137">
        <v>2018</v>
      </c>
      <c r="D386" s="137">
        <v>177.5</v>
      </c>
      <c r="E386" s="137">
        <v>66.099999999999994</v>
      </c>
      <c r="F386" s="137">
        <v>39.5</v>
      </c>
      <c r="G386" s="137">
        <v>7.9</v>
      </c>
      <c r="H386" s="137" t="s">
        <v>193</v>
      </c>
      <c r="I386" s="137">
        <v>25.4</v>
      </c>
      <c r="J386" s="137">
        <v>35.5</v>
      </c>
      <c r="K386" s="137" t="s">
        <v>193</v>
      </c>
      <c r="L386" s="137">
        <v>3.1</v>
      </c>
      <c r="M386" s="137" t="s">
        <v>193</v>
      </c>
      <c r="N386" s="137" t="s">
        <v>53</v>
      </c>
      <c r="O386" s="137" t="s">
        <v>193</v>
      </c>
      <c r="P386" s="137" t="s">
        <v>53</v>
      </c>
      <c r="Q386" s="137" t="s">
        <v>193</v>
      </c>
      <c r="R386" s="137" t="s">
        <v>53</v>
      </c>
      <c r="S386" s="137" t="s">
        <v>193</v>
      </c>
      <c r="U386" s="137">
        <f t="shared" ref="U386:U414" si="12">IFERROR(D386/1,0)</f>
        <v>177.5</v>
      </c>
      <c r="V386" s="171">
        <f t="shared" ref="V386:V414" si="13">IFERROR(O386/1,0)+IFERROR(Q386/1,0)+IFERROR(S386/1,0)</f>
        <v>0</v>
      </c>
    </row>
    <row r="387" spans="1:22" ht="15" customHeight="1" x14ac:dyDescent="0.25">
      <c r="A387" s="137" t="s">
        <v>707</v>
      </c>
      <c r="B387" s="137" t="s">
        <v>708</v>
      </c>
      <c r="C387" s="137">
        <v>2018</v>
      </c>
      <c r="D387" s="135">
        <v>301.92700000000002</v>
      </c>
      <c r="E387" s="135">
        <v>142.36099999999999</v>
      </c>
      <c r="F387" s="135">
        <v>35.319000000000003</v>
      </c>
      <c r="G387" s="137" t="s">
        <v>193</v>
      </c>
      <c r="H387" s="137" t="s">
        <v>193</v>
      </c>
      <c r="I387" s="135">
        <v>41.203000000000003</v>
      </c>
      <c r="J387" s="135">
        <v>83.043999999999997</v>
      </c>
      <c r="K387" s="137" t="s">
        <v>193</v>
      </c>
      <c r="L387" s="137" t="s">
        <v>193</v>
      </c>
      <c r="M387" s="137" t="s">
        <v>193</v>
      </c>
      <c r="N387" s="137" t="s">
        <v>193</v>
      </c>
      <c r="O387" s="137" t="s">
        <v>193</v>
      </c>
      <c r="P387" s="137" t="s">
        <v>53</v>
      </c>
      <c r="Q387" s="137" t="s">
        <v>193</v>
      </c>
      <c r="R387" s="137" t="s">
        <v>53</v>
      </c>
      <c r="S387" s="137" t="s">
        <v>193</v>
      </c>
      <c r="U387" s="137">
        <f t="shared" si="12"/>
        <v>301.92700000000002</v>
      </c>
      <c r="V387" s="171">
        <f t="shared" si="13"/>
        <v>0</v>
      </c>
    </row>
    <row r="388" spans="1:22" ht="15" customHeight="1" x14ac:dyDescent="0.25">
      <c r="A388" s="137" t="s">
        <v>707</v>
      </c>
      <c r="B388" s="137" t="s">
        <v>709</v>
      </c>
      <c r="C388" s="137">
        <v>2018</v>
      </c>
      <c r="D388" s="137" t="s">
        <v>53</v>
      </c>
      <c r="E388" s="137" t="s">
        <v>53</v>
      </c>
      <c r="F388" s="137" t="s">
        <v>53</v>
      </c>
      <c r="G388" s="137" t="s">
        <v>53</v>
      </c>
      <c r="H388" s="137" t="s">
        <v>53</v>
      </c>
      <c r="I388" s="137" t="s">
        <v>53</v>
      </c>
      <c r="J388" s="137" t="s">
        <v>53</v>
      </c>
      <c r="K388" s="137" t="s">
        <v>53</v>
      </c>
      <c r="L388" s="137" t="s">
        <v>53</v>
      </c>
      <c r="M388" s="137" t="s">
        <v>53</v>
      </c>
      <c r="N388" s="137" t="s">
        <v>53</v>
      </c>
      <c r="O388" s="137" t="s">
        <v>53</v>
      </c>
      <c r="P388" s="137" t="s">
        <v>53</v>
      </c>
      <c r="Q388" s="137" t="s">
        <v>53</v>
      </c>
      <c r="R388" s="137" t="s">
        <v>53</v>
      </c>
      <c r="S388" s="137" t="s">
        <v>53</v>
      </c>
      <c r="U388" s="137">
        <f t="shared" si="12"/>
        <v>0</v>
      </c>
      <c r="V388" s="171">
        <f t="shared" si="13"/>
        <v>0</v>
      </c>
    </row>
    <row r="389" spans="1:22" ht="15" customHeight="1" x14ac:dyDescent="0.25">
      <c r="A389" s="137" t="s">
        <v>707</v>
      </c>
      <c r="B389" s="137" t="s">
        <v>710</v>
      </c>
      <c r="C389" s="137">
        <v>2018</v>
      </c>
      <c r="D389" s="137">
        <v>16.399999999999999</v>
      </c>
      <c r="E389" s="137" t="s">
        <v>193</v>
      </c>
      <c r="F389" s="137" t="s">
        <v>193</v>
      </c>
      <c r="G389" s="137" t="s">
        <v>193</v>
      </c>
      <c r="H389" s="137" t="s">
        <v>193</v>
      </c>
      <c r="I389" s="137" t="s">
        <v>193</v>
      </c>
      <c r="J389" s="137" t="s">
        <v>193</v>
      </c>
      <c r="K389" s="137" t="s">
        <v>193</v>
      </c>
      <c r="L389" s="137" t="s">
        <v>193</v>
      </c>
      <c r="M389" s="137" t="s">
        <v>193</v>
      </c>
      <c r="N389" s="137" t="s">
        <v>53</v>
      </c>
      <c r="O389" s="137" t="s">
        <v>193</v>
      </c>
      <c r="P389" s="137" t="s">
        <v>53</v>
      </c>
      <c r="Q389" s="137" t="s">
        <v>193</v>
      </c>
      <c r="R389" s="137" t="s">
        <v>53</v>
      </c>
      <c r="S389" s="137" t="s">
        <v>193</v>
      </c>
      <c r="U389" s="137">
        <f t="shared" si="12"/>
        <v>16.399999999999999</v>
      </c>
      <c r="V389" s="171">
        <f t="shared" si="13"/>
        <v>0</v>
      </c>
    </row>
    <row r="390" spans="1:22" ht="15" customHeight="1" x14ac:dyDescent="0.25">
      <c r="A390" s="137" t="s">
        <v>707</v>
      </c>
      <c r="B390" s="137" t="s">
        <v>711</v>
      </c>
      <c r="C390" s="137">
        <v>2018</v>
      </c>
      <c r="D390" s="137" t="s">
        <v>53</v>
      </c>
      <c r="E390" s="137" t="s">
        <v>53</v>
      </c>
      <c r="F390" s="137" t="s">
        <v>53</v>
      </c>
      <c r="G390" s="137" t="s">
        <v>53</v>
      </c>
      <c r="H390" s="137" t="s">
        <v>53</v>
      </c>
      <c r="I390" s="137" t="s">
        <v>53</v>
      </c>
      <c r="J390" s="137" t="s">
        <v>53</v>
      </c>
      <c r="K390" s="137" t="s">
        <v>53</v>
      </c>
      <c r="L390" s="137" t="s">
        <v>53</v>
      </c>
      <c r="M390" s="137" t="s">
        <v>53</v>
      </c>
      <c r="N390" s="137" t="s">
        <v>53</v>
      </c>
      <c r="O390" s="137" t="s">
        <v>53</v>
      </c>
      <c r="P390" s="137" t="s">
        <v>53</v>
      </c>
      <c r="Q390" s="137" t="s">
        <v>53</v>
      </c>
      <c r="R390" s="137" t="s">
        <v>53</v>
      </c>
      <c r="S390" s="137" t="s">
        <v>53</v>
      </c>
      <c r="U390" s="137">
        <f t="shared" si="12"/>
        <v>0</v>
      </c>
      <c r="V390" s="171">
        <f t="shared" si="13"/>
        <v>0</v>
      </c>
    </row>
    <row r="391" spans="1:22" ht="15" customHeight="1" x14ac:dyDescent="0.25">
      <c r="A391" s="137" t="s">
        <v>712</v>
      </c>
      <c r="B391" s="137" t="s">
        <v>713</v>
      </c>
      <c r="C391" s="137">
        <v>2018</v>
      </c>
      <c r="D391" s="137">
        <v>13.83</v>
      </c>
      <c r="E391" s="137">
        <v>3.0329999999999999</v>
      </c>
      <c r="F391" s="137">
        <v>2.2599999999999998</v>
      </c>
      <c r="G391" s="137">
        <v>6.617</v>
      </c>
      <c r="H391" s="137" t="s">
        <v>193</v>
      </c>
      <c r="I391" s="137">
        <v>1.268</v>
      </c>
      <c r="J391" s="137">
        <v>0.64800000000000002</v>
      </c>
      <c r="K391" s="137" t="s">
        <v>193</v>
      </c>
      <c r="L391" s="137" t="s">
        <v>193</v>
      </c>
      <c r="M391" s="137" t="s">
        <v>193</v>
      </c>
      <c r="N391" s="137" t="s">
        <v>53</v>
      </c>
      <c r="O391" s="137" t="s">
        <v>193</v>
      </c>
      <c r="P391" s="137" t="s">
        <v>53</v>
      </c>
      <c r="Q391" s="137" t="s">
        <v>193</v>
      </c>
      <c r="R391" s="137" t="s">
        <v>53</v>
      </c>
      <c r="S391" s="137" t="s">
        <v>193</v>
      </c>
      <c r="U391" s="137">
        <f t="shared" si="12"/>
        <v>13.83</v>
      </c>
      <c r="V391" s="171">
        <f t="shared" si="13"/>
        <v>0</v>
      </c>
    </row>
    <row r="392" spans="1:22" ht="15" customHeight="1" x14ac:dyDescent="0.25">
      <c r="A392" s="137" t="s">
        <v>712</v>
      </c>
      <c r="B392" s="137" t="s">
        <v>714</v>
      </c>
      <c r="C392" s="137">
        <v>2018</v>
      </c>
      <c r="D392" s="137">
        <v>7.7039999999999997</v>
      </c>
      <c r="E392" s="137">
        <v>2.681</v>
      </c>
      <c r="F392" s="137">
        <v>2.5419999999999998</v>
      </c>
      <c r="G392" s="137">
        <v>0</v>
      </c>
      <c r="H392" s="137" t="s">
        <v>193</v>
      </c>
      <c r="I392" s="137">
        <v>2.2290000000000001</v>
      </c>
      <c r="J392" s="137">
        <v>0.254</v>
      </c>
      <c r="K392" s="137">
        <v>0</v>
      </c>
      <c r="L392" s="137">
        <v>0</v>
      </c>
      <c r="M392" s="137">
        <v>0</v>
      </c>
      <c r="N392" s="137" t="s">
        <v>53</v>
      </c>
      <c r="O392" s="137" t="s">
        <v>193</v>
      </c>
      <c r="P392" s="137" t="s">
        <v>53</v>
      </c>
      <c r="Q392" s="137" t="s">
        <v>193</v>
      </c>
      <c r="R392" s="137" t="s">
        <v>53</v>
      </c>
      <c r="S392" s="137" t="s">
        <v>193</v>
      </c>
      <c r="U392" s="137">
        <f t="shared" si="12"/>
        <v>7.7039999999999997</v>
      </c>
      <c r="V392" s="171">
        <f t="shared" si="13"/>
        <v>0</v>
      </c>
    </row>
    <row r="393" spans="1:22" ht="15" customHeight="1" x14ac:dyDescent="0.25">
      <c r="A393" s="137" t="s">
        <v>712</v>
      </c>
      <c r="B393" s="137" t="s">
        <v>715</v>
      </c>
      <c r="C393" s="137">
        <v>2018</v>
      </c>
      <c r="D393" s="137">
        <v>10.163</v>
      </c>
      <c r="E393" s="137">
        <v>3.58</v>
      </c>
      <c r="F393" s="137">
        <v>2.387</v>
      </c>
      <c r="G393" s="137">
        <v>1.64</v>
      </c>
      <c r="H393" s="137" t="s">
        <v>193</v>
      </c>
      <c r="I393" s="137">
        <v>1.298</v>
      </c>
      <c r="J393" s="137">
        <v>1.264</v>
      </c>
      <c r="K393" s="137">
        <v>0</v>
      </c>
      <c r="L393" s="137" t="s">
        <v>193</v>
      </c>
      <c r="M393" s="137" t="s">
        <v>193</v>
      </c>
      <c r="N393" s="137" t="s">
        <v>53</v>
      </c>
      <c r="O393" s="137" t="s">
        <v>193</v>
      </c>
      <c r="P393" s="137" t="s">
        <v>53</v>
      </c>
      <c r="Q393" s="137" t="s">
        <v>193</v>
      </c>
      <c r="R393" s="137" t="s">
        <v>53</v>
      </c>
      <c r="S393" s="137" t="s">
        <v>193</v>
      </c>
      <c r="U393" s="137">
        <f t="shared" si="12"/>
        <v>10.163</v>
      </c>
      <c r="V393" s="171">
        <f t="shared" si="13"/>
        <v>0</v>
      </c>
    </row>
    <row r="394" spans="1:22" ht="15" customHeight="1" x14ac:dyDescent="0.25">
      <c r="A394" s="137" t="s">
        <v>712</v>
      </c>
      <c r="B394" s="137" t="s">
        <v>716</v>
      </c>
      <c r="C394" s="137">
        <v>2018</v>
      </c>
      <c r="D394" s="137">
        <v>16.013000000000002</v>
      </c>
      <c r="E394" s="137" t="s">
        <v>193</v>
      </c>
      <c r="F394" s="137" t="s">
        <v>193</v>
      </c>
      <c r="G394" s="137" t="s">
        <v>193</v>
      </c>
      <c r="H394" s="137" t="s">
        <v>193</v>
      </c>
      <c r="I394" s="137" t="s">
        <v>193</v>
      </c>
      <c r="J394" s="137" t="s">
        <v>193</v>
      </c>
      <c r="K394" s="137" t="s">
        <v>193</v>
      </c>
      <c r="L394" s="137" t="s">
        <v>193</v>
      </c>
      <c r="M394" s="137" t="s">
        <v>193</v>
      </c>
      <c r="N394" s="137" t="s">
        <v>53</v>
      </c>
      <c r="O394" s="137" t="s">
        <v>193</v>
      </c>
      <c r="P394" s="137" t="s">
        <v>53</v>
      </c>
      <c r="Q394" s="137" t="s">
        <v>193</v>
      </c>
      <c r="R394" s="137" t="s">
        <v>53</v>
      </c>
      <c r="S394" s="137" t="s">
        <v>193</v>
      </c>
      <c r="U394" s="137">
        <f t="shared" si="12"/>
        <v>16.013000000000002</v>
      </c>
      <c r="V394" s="171">
        <f t="shared" si="13"/>
        <v>0</v>
      </c>
    </row>
    <row r="395" spans="1:22" ht="15" customHeight="1" x14ac:dyDescent="0.25">
      <c r="A395" s="137" t="s">
        <v>712</v>
      </c>
      <c r="B395" s="137" t="s">
        <v>717</v>
      </c>
      <c r="C395" s="137">
        <v>2018</v>
      </c>
      <c r="D395" s="137">
        <v>534.84799999999996</v>
      </c>
      <c r="E395" s="137">
        <v>226.268</v>
      </c>
      <c r="F395" s="137">
        <v>120.598</v>
      </c>
      <c r="G395" s="137">
        <v>11.318</v>
      </c>
      <c r="H395" s="137">
        <v>0</v>
      </c>
      <c r="I395" s="137">
        <v>47.761000000000003</v>
      </c>
      <c r="J395" s="137">
        <v>128.90299999999999</v>
      </c>
      <c r="K395" s="137">
        <v>0</v>
      </c>
      <c r="L395" s="137">
        <v>0</v>
      </c>
      <c r="M395" s="137">
        <v>0</v>
      </c>
      <c r="N395" s="137" t="s">
        <v>53</v>
      </c>
      <c r="O395" s="137" t="s">
        <v>193</v>
      </c>
      <c r="P395" s="137" t="s">
        <v>53</v>
      </c>
      <c r="Q395" s="137" t="s">
        <v>193</v>
      </c>
      <c r="R395" s="137" t="s">
        <v>53</v>
      </c>
      <c r="S395" s="137" t="s">
        <v>193</v>
      </c>
      <c r="U395" s="137">
        <f t="shared" si="12"/>
        <v>534.84799999999996</v>
      </c>
      <c r="V395" s="171">
        <f t="shared" si="13"/>
        <v>0</v>
      </c>
    </row>
    <row r="396" spans="1:22" ht="15" customHeight="1" x14ac:dyDescent="0.25">
      <c r="A396" s="137" t="s">
        <v>712</v>
      </c>
      <c r="B396" s="137" t="s">
        <v>718</v>
      </c>
      <c r="C396" s="137">
        <v>2018</v>
      </c>
      <c r="D396" s="137" t="s">
        <v>53</v>
      </c>
      <c r="E396" s="137" t="s">
        <v>53</v>
      </c>
      <c r="F396" s="137" t="s">
        <v>53</v>
      </c>
      <c r="G396" s="137" t="s">
        <v>53</v>
      </c>
      <c r="H396" s="137" t="s">
        <v>53</v>
      </c>
      <c r="I396" s="137" t="s">
        <v>53</v>
      </c>
      <c r="J396" s="137" t="s">
        <v>53</v>
      </c>
      <c r="K396" s="137" t="s">
        <v>53</v>
      </c>
      <c r="L396" s="137" t="s">
        <v>53</v>
      </c>
      <c r="M396" s="137" t="s">
        <v>53</v>
      </c>
      <c r="N396" s="137" t="s">
        <v>53</v>
      </c>
      <c r="O396" s="137" t="s">
        <v>53</v>
      </c>
      <c r="P396" s="137" t="s">
        <v>53</v>
      </c>
      <c r="Q396" s="137" t="s">
        <v>53</v>
      </c>
      <c r="R396" s="137" t="s">
        <v>53</v>
      </c>
      <c r="S396" s="137" t="s">
        <v>53</v>
      </c>
      <c r="U396" s="137">
        <f t="shared" si="12"/>
        <v>0</v>
      </c>
      <c r="V396" s="171">
        <f t="shared" si="13"/>
        <v>0</v>
      </c>
    </row>
    <row r="397" spans="1:22" ht="15" customHeight="1" x14ac:dyDescent="0.25">
      <c r="A397" s="137" t="s">
        <v>719</v>
      </c>
      <c r="B397" s="137" t="s">
        <v>720</v>
      </c>
      <c r="C397" s="137">
        <v>2018</v>
      </c>
      <c r="D397" s="137">
        <v>133.149</v>
      </c>
      <c r="E397" s="137">
        <v>75.649000000000001</v>
      </c>
      <c r="F397" s="137">
        <v>24.783000000000001</v>
      </c>
      <c r="G397" s="137">
        <v>0.60499999999999998</v>
      </c>
      <c r="H397" s="137">
        <v>0</v>
      </c>
      <c r="I397" s="137">
        <v>22.702000000000002</v>
      </c>
      <c r="J397" s="137">
        <v>4.7919999999999998</v>
      </c>
      <c r="K397" s="137">
        <v>0</v>
      </c>
      <c r="L397" s="137">
        <v>0</v>
      </c>
      <c r="M397" s="137">
        <v>4.6180000000000003</v>
      </c>
      <c r="N397" s="137" t="s">
        <v>53</v>
      </c>
      <c r="O397" s="137" t="s">
        <v>193</v>
      </c>
      <c r="P397" s="137" t="s">
        <v>53</v>
      </c>
      <c r="Q397" s="137" t="s">
        <v>193</v>
      </c>
      <c r="R397" s="137" t="s">
        <v>53</v>
      </c>
      <c r="S397" s="137" t="s">
        <v>193</v>
      </c>
      <c r="U397" s="137">
        <f t="shared" si="12"/>
        <v>133.149</v>
      </c>
      <c r="V397" s="171">
        <f t="shared" si="13"/>
        <v>0</v>
      </c>
    </row>
    <row r="398" spans="1:22" ht="15" customHeight="1" x14ac:dyDescent="0.25">
      <c r="A398" s="137" t="s">
        <v>721</v>
      </c>
      <c r="B398" s="137" t="s">
        <v>722</v>
      </c>
      <c r="C398" s="137">
        <v>2018</v>
      </c>
      <c r="D398" s="137">
        <v>6.7</v>
      </c>
      <c r="E398" s="137">
        <v>3.5</v>
      </c>
      <c r="F398" s="137">
        <v>0.4</v>
      </c>
      <c r="G398" s="137" t="s">
        <v>193</v>
      </c>
      <c r="H398" s="137" t="s">
        <v>193</v>
      </c>
      <c r="I398" s="137">
        <v>1.8</v>
      </c>
      <c r="J398" s="137">
        <v>1</v>
      </c>
      <c r="K398" s="137" t="s">
        <v>193</v>
      </c>
      <c r="L398" s="137" t="s">
        <v>193</v>
      </c>
      <c r="M398" s="137" t="s">
        <v>193</v>
      </c>
      <c r="N398" s="137" t="s">
        <v>53</v>
      </c>
      <c r="O398" s="137" t="s">
        <v>193</v>
      </c>
      <c r="P398" s="137" t="s">
        <v>53</v>
      </c>
      <c r="Q398" s="137" t="s">
        <v>193</v>
      </c>
      <c r="R398" s="137" t="s">
        <v>53</v>
      </c>
      <c r="S398" s="137" t="s">
        <v>193</v>
      </c>
      <c r="U398" s="137">
        <f t="shared" si="12"/>
        <v>6.7</v>
      </c>
      <c r="V398" s="171">
        <f t="shared" si="13"/>
        <v>0</v>
      </c>
    </row>
    <row r="399" spans="1:22" ht="15" customHeight="1" x14ac:dyDescent="0.25">
      <c r="A399" s="137" t="s">
        <v>721</v>
      </c>
      <c r="B399" s="137" t="s">
        <v>723</v>
      </c>
      <c r="C399" s="137">
        <v>2018</v>
      </c>
      <c r="D399" s="137">
        <v>23.193000000000001</v>
      </c>
      <c r="E399" s="137">
        <v>10.503</v>
      </c>
      <c r="F399" s="137">
        <v>1.446</v>
      </c>
      <c r="G399" s="137">
        <v>1.5229999999999999</v>
      </c>
      <c r="H399" s="137" t="s">
        <v>193</v>
      </c>
      <c r="I399" s="137">
        <v>4.0289999999999999</v>
      </c>
      <c r="J399" s="137">
        <v>5.4450000000000003</v>
      </c>
      <c r="K399" s="137">
        <v>0.247</v>
      </c>
      <c r="L399" s="137" t="s">
        <v>193</v>
      </c>
      <c r="M399" s="137" t="s">
        <v>193</v>
      </c>
      <c r="N399" s="137" t="s">
        <v>53</v>
      </c>
      <c r="O399" s="137" t="s">
        <v>193</v>
      </c>
      <c r="P399" s="137" t="s">
        <v>53</v>
      </c>
      <c r="Q399" s="137" t="s">
        <v>193</v>
      </c>
      <c r="R399" s="137" t="s">
        <v>53</v>
      </c>
      <c r="S399" s="137" t="s">
        <v>193</v>
      </c>
      <c r="U399" s="137">
        <f t="shared" si="12"/>
        <v>23.193000000000001</v>
      </c>
      <c r="V399" s="171">
        <f t="shared" si="13"/>
        <v>0</v>
      </c>
    </row>
    <row r="400" spans="1:22" ht="15" customHeight="1" x14ac:dyDescent="0.25">
      <c r="A400" s="137" t="s">
        <v>724</v>
      </c>
      <c r="B400" s="137" t="s">
        <v>141</v>
      </c>
      <c r="C400" s="137">
        <v>2018</v>
      </c>
      <c r="D400" s="137" t="s">
        <v>53</v>
      </c>
      <c r="E400" s="137" t="s">
        <v>53</v>
      </c>
      <c r="F400" s="137" t="s">
        <v>53</v>
      </c>
      <c r="G400" s="137" t="s">
        <v>53</v>
      </c>
      <c r="H400" s="137" t="s">
        <v>53</v>
      </c>
      <c r="I400" s="137" t="s">
        <v>53</v>
      </c>
      <c r="J400" s="137" t="s">
        <v>53</v>
      </c>
      <c r="K400" s="137" t="s">
        <v>53</v>
      </c>
      <c r="L400" s="137" t="s">
        <v>53</v>
      </c>
      <c r="M400" s="137" t="s">
        <v>53</v>
      </c>
      <c r="N400" s="137" t="s">
        <v>53</v>
      </c>
      <c r="O400" s="137" t="s">
        <v>53</v>
      </c>
      <c r="P400" s="137" t="s">
        <v>53</v>
      </c>
      <c r="Q400" s="137" t="s">
        <v>53</v>
      </c>
      <c r="R400" s="137" t="s">
        <v>53</v>
      </c>
      <c r="S400" s="137" t="s">
        <v>53</v>
      </c>
      <c r="U400" s="137">
        <f t="shared" si="12"/>
        <v>0</v>
      </c>
      <c r="V400" s="171">
        <f t="shared" si="13"/>
        <v>0</v>
      </c>
    </row>
    <row r="401" spans="1:22" ht="15" customHeight="1" x14ac:dyDescent="0.25">
      <c r="A401" s="137" t="s">
        <v>725</v>
      </c>
      <c r="B401" s="137" t="s">
        <v>726</v>
      </c>
      <c r="C401" s="137">
        <v>2018</v>
      </c>
      <c r="D401" s="137">
        <v>1031.8599999999999</v>
      </c>
      <c r="E401" s="137">
        <v>464.8</v>
      </c>
      <c r="F401" s="137">
        <v>147.04</v>
      </c>
      <c r="G401" s="137">
        <v>49.244999999999997</v>
      </c>
      <c r="H401" s="137">
        <v>0</v>
      </c>
      <c r="I401" s="137">
        <v>79.653000000000006</v>
      </c>
      <c r="J401" s="137">
        <v>121.102</v>
      </c>
      <c r="K401" s="137">
        <v>0.3</v>
      </c>
      <c r="L401" s="137">
        <v>7</v>
      </c>
      <c r="M401" s="137" t="s">
        <v>193</v>
      </c>
      <c r="N401" s="137" t="s">
        <v>1093</v>
      </c>
      <c r="O401" s="137">
        <v>163.30000000000001</v>
      </c>
      <c r="P401" s="137" t="s">
        <v>53</v>
      </c>
      <c r="Q401" s="137" t="s">
        <v>193</v>
      </c>
      <c r="R401" s="137" t="s">
        <v>53</v>
      </c>
      <c r="S401" s="137" t="s">
        <v>193</v>
      </c>
      <c r="U401" s="137">
        <f t="shared" si="12"/>
        <v>1031.8599999999999</v>
      </c>
      <c r="V401" s="171">
        <f t="shared" si="13"/>
        <v>163.30000000000001</v>
      </c>
    </row>
    <row r="402" spans="1:22" ht="15" customHeight="1" x14ac:dyDescent="0.25">
      <c r="A402" s="137" t="s">
        <v>725</v>
      </c>
      <c r="B402" s="137" t="s">
        <v>727</v>
      </c>
      <c r="C402" s="137">
        <v>2018</v>
      </c>
      <c r="D402" s="137">
        <v>1.661</v>
      </c>
      <c r="E402" s="137">
        <v>0.66100000000000003</v>
      </c>
      <c r="F402" s="137" t="s">
        <v>193</v>
      </c>
      <c r="G402" s="137" t="s">
        <v>193</v>
      </c>
      <c r="H402" s="137" t="s">
        <v>193</v>
      </c>
      <c r="I402" s="137">
        <v>1</v>
      </c>
      <c r="J402" s="137" t="s">
        <v>193</v>
      </c>
      <c r="K402" s="137" t="s">
        <v>193</v>
      </c>
      <c r="L402" s="137" t="s">
        <v>193</v>
      </c>
      <c r="M402" s="137" t="s">
        <v>193</v>
      </c>
      <c r="N402" s="137" t="s">
        <v>53</v>
      </c>
      <c r="O402" s="137" t="s">
        <v>193</v>
      </c>
      <c r="P402" s="137" t="s">
        <v>53</v>
      </c>
      <c r="Q402" s="137" t="s">
        <v>193</v>
      </c>
      <c r="R402" s="137" t="s">
        <v>53</v>
      </c>
      <c r="S402" s="137" t="s">
        <v>193</v>
      </c>
      <c r="U402" s="137">
        <f t="shared" si="12"/>
        <v>1.661</v>
      </c>
      <c r="V402" s="171">
        <f t="shared" si="13"/>
        <v>0</v>
      </c>
    </row>
    <row r="403" spans="1:22" ht="15" customHeight="1" x14ac:dyDescent="0.25">
      <c r="A403" s="137" t="s">
        <v>725</v>
      </c>
      <c r="B403" s="137" t="s">
        <v>728</v>
      </c>
      <c r="C403" s="137">
        <v>2018</v>
      </c>
      <c r="D403" s="137">
        <v>8.49</v>
      </c>
      <c r="E403" s="137">
        <v>2.2000000000000002</v>
      </c>
      <c r="F403" s="137">
        <v>2.8</v>
      </c>
      <c r="G403" s="137" t="s">
        <v>193</v>
      </c>
      <c r="H403" s="137" t="s">
        <v>193</v>
      </c>
      <c r="I403" s="137">
        <v>3.4</v>
      </c>
      <c r="J403" s="137">
        <v>0.1</v>
      </c>
      <c r="K403" s="137" t="s">
        <v>193</v>
      </c>
      <c r="L403" s="137" t="s">
        <v>193</v>
      </c>
      <c r="M403" s="137" t="s">
        <v>193</v>
      </c>
      <c r="N403" s="137" t="s">
        <v>53</v>
      </c>
      <c r="O403" s="137" t="s">
        <v>193</v>
      </c>
      <c r="P403" s="137" t="s">
        <v>53</v>
      </c>
      <c r="Q403" s="137" t="s">
        <v>193</v>
      </c>
      <c r="R403" s="137" t="s">
        <v>53</v>
      </c>
      <c r="S403" s="137" t="s">
        <v>193</v>
      </c>
      <c r="U403" s="137">
        <f t="shared" si="12"/>
        <v>8.49</v>
      </c>
      <c r="V403" s="171">
        <f t="shared" si="13"/>
        <v>0</v>
      </c>
    </row>
    <row r="404" spans="1:22" ht="15" customHeight="1" x14ac:dyDescent="0.25">
      <c r="A404" s="137" t="s">
        <v>725</v>
      </c>
      <c r="B404" s="137" t="s">
        <v>729</v>
      </c>
      <c r="C404" s="137">
        <v>2018</v>
      </c>
      <c r="D404" s="137">
        <v>171.738</v>
      </c>
      <c r="E404" s="137">
        <v>82.328999999999994</v>
      </c>
      <c r="F404" s="137">
        <v>39.875</v>
      </c>
      <c r="G404" s="137">
        <v>10.151999999999999</v>
      </c>
      <c r="H404" s="137" t="s">
        <v>193</v>
      </c>
      <c r="I404" s="137">
        <v>36.558999999999997</v>
      </c>
      <c r="J404" s="137">
        <v>10.1</v>
      </c>
      <c r="K404" s="137" t="s">
        <v>193</v>
      </c>
      <c r="L404" s="137">
        <v>1.2</v>
      </c>
      <c r="M404" s="137" t="s">
        <v>193</v>
      </c>
      <c r="N404" s="137" t="s">
        <v>53</v>
      </c>
      <c r="O404" s="137" t="s">
        <v>193</v>
      </c>
      <c r="P404" s="137" t="s">
        <v>53</v>
      </c>
      <c r="Q404" s="137" t="s">
        <v>193</v>
      </c>
      <c r="R404" s="137" t="s">
        <v>53</v>
      </c>
      <c r="S404" s="137" t="s">
        <v>193</v>
      </c>
      <c r="U404" s="137">
        <f t="shared" si="12"/>
        <v>171.738</v>
      </c>
      <c r="V404" s="171">
        <f t="shared" si="13"/>
        <v>0</v>
      </c>
    </row>
    <row r="405" spans="1:22" ht="15" customHeight="1" x14ac:dyDescent="0.25">
      <c r="A405" s="137" t="s">
        <v>730</v>
      </c>
      <c r="B405" s="137" t="s">
        <v>731</v>
      </c>
      <c r="C405" s="137">
        <v>2018</v>
      </c>
      <c r="D405" s="137">
        <v>27.2</v>
      </c>
      <c r="E405" s="137">
        <v>9.4</v>
      </c>
      <c r="F405" s="137">
        <v>6.6</v>
      </c>
      <c r="G405" s="137">
        <v>1</v>
      </c>
      <c r="H405" s="137" t="s">
        <v>193</v>
      </c>
      <c r="I405" s="137">
        <v>6.6</v>
      </c>
      <c r="J405" s="137">
        <v>2.8</v>
      </c>
      <c r="K405" s="137" t="s">
        <v>193</v>
      </c>
      <c r="L405" s="137" t="s">
        <v>193</v>
      </c>
      <c r="M405" s="137" t="s">
        <v>193</v>
      </c>
      <c r="N405" s="137" t="s">
        <v>53</v>
      </c>
      <c r="O405" s="137" t="s">
        <v>193</v>
      </c>
      <c r="P405" s="137" t="s">
        <v>53</v>
      </c>
      <c r="Q405" s="137" t="s">
        <v>193</v>
      </c>
      <c r="R405" s="137" t="s">
        <v>53</v>
      </c>
      <c r="S405" s="137" t="s">
        <v>193</v>
      </c>
      <c r="U405" s="137">
        <f t="shared" si="12"/>
        <v>27.2</v>
      </c>
      <c r="V405" s="171">
        <f t="shared" si="13"/>
        <v>0</v>
      </c>
    </row>
    <row r="406" spans="1:22" ht="15" customHeight="1" x14ac:dyDescent="0.25">
      <c r="A406" s="137" t="s">
        <v>732</v>
      </c>
      <c r="B406" s="137" t="s">
        <v>733</v>
      </c>
      <c r="C406" s="137">
        <v>2018</v>
      </c>
      <c r="D406" s="137">
        <v>47.3</v>
      </c>
      <c r="E406" s="137">
        <v>28.7</v>
      </c>
      <c r="F406" s="137">
        <v>3.9</v>
      </c>
      <c r="G406" s="137">
        <v>3.7</v>
      </c>
      <c r="H406" s="137" t="s">
        <v>193</v>
      </c>
      <c r="I406" s="137">
        <v>6.7</v>
      </c>
      <c r="J406" s="137">
        <v>4.3</v>
      </c>
      <c r="K406" s="137" t="s">
        <v>193</v>
      </c>
      <c r="L406" s="137" t="s">
        <v>193</v>
      </c>
      <c r="M406" s="137" t="s">
        <v>193</v>
      </c>
      <c r="N406" s="137" t="s">
        <v>53</v>
      </c>
      <c r="O406" s="137" t="s">
        <v>193</v>
      </c>
      <c r="P406" s="137" t="s">
        <v>53</v>
      </c>
      <c r="Q406" s="137" t="s">
        <v>193</v>
      </c>
      <c r="R406" s="137" t="s">
        <v>53</v>
      </c>
      <c r="S406" s="137" t="s">
        <v>193</v>
      </c>
      <c r="U406" s="137">
        <f t="shared" si="12"/>
        <v>47.3</v>
      </c>
      <c r="V406" s="171">
        <f t="shared" si="13"/>
        <v>0</v>
      </c>
    </row>
    <row r="407" spans="1:22" ht="15" customHeight="1" x14ac:dyDescent="0.25">
      <c r="A407" s="137" t="s">
        <v>149</v>
      </c>
      <c r="B407" s="137" t="s">
        <v>13</v>
      </c>
      <c r="C407" s="137">
        <v>2018</v>
      </c>
      <c r="D407" s="137" t="s">
        <v>53</v>
      </c>
      <c r="E407" s="137" t="s">
        <v>53</v>
      </c>
      <c r="F407" s="137" t="s">
        <v>53</v>
      </c>
      <c r="G407" s="137" t="s">
        <v>53</v>
      </c>
      <c r="H407" s="137" t="s">
        <v>53</v>
      </c>
      <c r="I407" s="137" t="s">
        <v>53</v>
      </c>
      <c r="J407" s="137" t="s">
        <v>53</v>
      </c>
      <c r="K407" s="137" t="s">
        <v>53</v>
      </c>
      <c r="L407" s="137" t="s">
        <v>53</v>
      </c>
      <c r="M407" s="137" t="s">
        <v>53</v>
      </c>
      <c r="N407" s="137" t="s">
        <v>53</v>
      </c>
      <c r="O407" s="137" t="s">
        <v>53</v>
      </c>
      <c r="P407" s="137" t="s">
        <v>53</v>
      </c>
      <c r="Q407" s="137" t="s">
        <v>53</v>
      </c>
      <c r="R407" s="137" t="s">
        <v>53</v>
      </c>
      <c r="S407" s="137" t="s">
        <v>53</v>
      </c>
      <c r="U407" s="137">
        <f t="shared" si="12"/>
        <v>0</v>
      </c>
      <c r="V407" s="171">
        <f t="shared" si="13"/>
        <v>0</v>
      </c>
    </row>
    <row r="408" spans="1:22" ht="15" customHeight="1" x14ac:dyDescent="0.25">
      <c r="A408" s="137" t="s">
        <v>12</v>
      </c>
      <c r="B408" s="141" t="s">
        <v>14</v>
      </c>
      <c r="C408" s="137">
        <v>2018</v>
      </c>
      <c r="D408" s="137" t="s">
        <v>53</v>
      </c>
      <c r="E408" s="137" t="s">
        <v>53</v>
      </c>
      <c r="F408" s="137" t="s">
        <v>53</v>
      </c>
      <c r="G408" s="137" t="s">
        <v>53</v>
      </c>
      <c r="H408" s="137" t="s">
        <v>53</v>
      </c>
      <c r="I408" s="137" t="s">
        <v>53</v>
      </c>
      <c r="J408" s="137" t="s">
        <v>53</v>
      </c>
      <c r="K408" s="137" t="s">
        <v>53</v>
      </c>
      <c r="L408" s="137" t="s">
        <v>53</v>
      </c>
      <c r="M408" s="137" t="s">
        <v>53</v>
      </c>
      <c r="N408" s="137" t="s">
        <v>53</v>
      </c>
      <c r="O408" s="137" t="s">
        <v>53</v>
      </c>
      <c r="P408" s="137" t="s">
        <v>53</v>
      </c>
      <c r="Q408" s="137" t="s">
        <v>53</v>
      </c>
      <c r="R408" s="137" t="s">
        <v>53</v>
      </c>
      <c r="S408" s="137" t="s">
        <v>53</v>
      </c>
      <c r="U408" s="137">
        <f t="shared" si="12"/>
        <v>0</v>
      </c>
      <c r="V408" s="171">
        <f t="shared" si="13"/>
        <v>0</v>
      </c>
    </row>
    <row r="409" spans="1:22" ht="15" customHeight="1" x14ac:dyDescent="0.25">
      <c r="A409" s="137" t="s">
        <v>734</v>
      </c>
      <c r="B409" s="137" t="s">
        <v>735</v>
      </c>
      <c r="C409" s="137">
        <v>2018</v>
      </c>
      <c r="D409" s="137">
        <v>7.19</v>
      </c>
      <c r="E409" s="137">
        <v>3</v>
      </c>
      <c r="F409" s="137">
        <v>0.96</v>
      </c>
      <c r="G409" s="137">
        <v>0.62</v>
      </c>
      <c r="H409" s="137" t="s">
        <v>193</v>
      </c>
      <c r="I409" s="137">
        <v>1.77</v>
      </c>
      <c r="J409" s="137">
        <v>0.83</v>
      </c>
      <c r="K409" s="137" t="s">
        <v>193</v>
      </c>
      <c r="L409" s="137" t="s">
        <v>193</v>
      </c>
      <c r="M409" s="137" t="s">
        <v>193</v>
      </c>
      <c r="N409" s="137" t="s">
        <v>53</v>
      </c>
      <c r="O409" s="137" t="s">
        <v>193</v>
      </c>
      <c r="P409" s="137" t="s">
        <v>53</v>
      </c>
      <c r="Q409" s="137" t="s">
        <v>193</v>
      </c>
      <c r="R409" s="137" t="s">
        <v>53</v>
      </c>
      <c r="S409" s="137" t="s">
        <v>193</v>
      </c>
      <c r="U409" s="137">
        <f t="shared" si="12"/>
        <v>7.19</v>
      </c>
      <c r="V409" s="171">
        <f t="shared" si="13"/>
        <v>0</v>
      </c>
    </row>
    <row r="410" spans="1:22" ht="15" customHeight="1" x14ac:dyDescent="0.25">
      <c r="A410" s="137" t="s">
        <v>734</v>
      </c>
      <c r="B410" s="137" t="s">
        <v>736</v>
      </c>
      <c r="C410" s="137">
        <v>2018</v>
      </c>
      <c r="D410" s="137">
        <v>5.62</v>
      </c>
      <c r="E410" s="137">
        <v>1.61</v>
      </c>
      <c r="F410" s="137">
        <v>1.68</v>
      </c>
      <c r="G410" s="137" t="s">
        <v>193</v>
      </c>
      <c r="H410" s="137" t="s">
        <v>193</v>
      </c>
      <c r="I410" s="137">
        <v>2.0299999999999998</v>
      </c>
      <c r="J410" s="137">
        <v>0.28999999999999998</v>
      </c>
      <c r="K410" s="137" t="s">
        <v>193</v>
      </c>
      <c r="L410" s="137" t="s">
        <v>193</v>
      </c>
      <c r="M410" s="137" t="s">
        <v>193</v>
      </c>
      <c r="N410" s="137" t="s">
        <v>53</v>
      </c>
      <c r="O410" s="137" t="s">
        <v>193</v>
      </c>
      <c r="P410" s="137" t="s">
        <v>53</v>
      </c>
      <c r="Q410" s="137" t="s">
        <v>193</v>
      </c>
      <c r="R410" s="137" t="s">
        <v>53</v>
      </c>
      <c r="S410" s="137" t="s">
        <v>193</v>
      </c>
      <c r="U410" s="137">
        <f t="shared" si="12"/>
        <v>5.62</v>
      </c>
      <c r="V410" s="171">
        <f t="shared" si="13"/>
        <v>0</v>
      </c>
    </row>
    <row r="411" spans="1:22" ht="15" customHeight="1" x14ac:dyDescent="0.25">
      <c r="A411" s="137" t="s">
        <v>734</v>
      </c>
      <c r="B411" s="137" t="s">
        <v>737</v>
      </c>
      <c r="C411" s="137">
        <v>2018</v>
      </c>
      <c r="D411" s="137">
        <v>6.8</v>
      </c>
      <c r="E411" s="137">
        <v>1.94</v>
      </c>
      <c r="F411" s="137">
        <v>1.03</v>
      </c>
      <c r="G411" s="137" t="s">
        <v>193</v>
      </c>
      <c r="H411" s="137" t="s">
        <v>193</v>
      </c>
      <c r="I411" s="137">
        <v>2.06</v>
      </c>
      <c r="J411" s="137">
        <v>1.77</v>
      </c>
      <c r="K411" s="137">
        <v>0</v>
      </c>
      <c r="L411" s="137" t="s">
        <v>193</v>
      </c>
      <c r="M411" s="137" t="s">
        <v>193</v>
      </c>
      <c r="N411" s="137" t="s">
        <v>53</v>
      </c>
      <c r="O411" s="137" t="s">
        <v>193</v>
      </c>
      <c r="P411" s="137" t="s">
        <v>53</v>
      </c>
      <c r="Q411" s="137" t="s">
        <v>193</v>
      </c>
      <c r="R411" s="137" t="s">
        <v>53</v>
      </c>
      <c r="S411" s="137" t="s">
        <v>193</v>
      </c>
      <c r="U411" s="137">
        <f t="shared" si="12"/>
        <v>6.8</v>
      </c>
      <c r="V411" s="171">
        <f t="shared" si="13"/>
        <v>0</v>
      </c>
    </row>
    <row r="412" spans="1:22" ht="15" customHeight="1" x14ac:dyDescent="0.25">
      <c r="A412" s="137" t="s">
        <v>734</v>
      </c>
      <c r="B412" s="137" t="s">
        <v>738</v>
      </c>
      <c r="C412" s="137">
        <v>2018</v>
      </c>
      <c r="D412" s="137">
        <v>0.54</v>
      </c>
      <c r="E412" s="137" t="s">
        <v>193</v>
      </c>
      <c r="F412" s="137">
        <v>7.2999999999999995E-2</v>
      </c>
      <c r="G412" s="137" t="s">
        <v>193</v>
      </c>
      <c r="H412" s="137" t="s">
        <v>193</v>
      </c>
      <c r="I412" s="137">
        <v>0.46</v>
      </c>
      <c r="J412" s="137" t="s">
        <v>193</v>
      </c>
      <c r="K412" s="137" t="s">
        <v>193</v>
      </c>
      <c r="L412" s="137" t="s">
        <v>193</v>
      </c>
      <c r="M412" s="137" t="s">
        <v>193</v>
      </c>
      <c r="N412" s="137" t="s">
        <v>53</v>
      </c>
      <c r="O412" s="137" t="s">
        <v>193</v>
      </c>
      <c r="P412" s="137" t="s">
        <v>53</v>
      </c>
      <c r="Q412" s="137" t="s">
        <v>193</v>
      </c>
      <c r="R412" s="137" t="s">
        <v>53</v>
      </c>
      <c r="S412" s="137" t="s">
        <v>193</v>
      </c>
      <c r="U412" s="137">
        <f t="shared" si="12"/>
        <v>0.54</v>
      </c>
      <c r="V412" s="171">
        <f t="shared" si="13"/>
        <v>0</v>
      </c>
    </row>
    <row r="413" spans="1:22" ht="15" customHeight="1" x14ac:dyDescent="0.25">
      <c r="A413" s="137" t="s">
        <v>734</v>
      </c>
      <c r="B413" s="137" t="s">
        <v>739</v>
      </c>
      <c r="C413" s="137">
        <v>2018</v>
      </c>
      <c r="D413" s="137">
        <v>277.14</v>
      </c>
      <c r="E413" s="137" t="s">
        <v>193</v>
      </c>
      <c r="F413" s="137" t="s">
        <v>193</v>
      </c>
      <c r="G413" s="137">
        <v>277.14</v>
      </c>
      <c r="H413" s="137">
        <v>277.14</v>
      </c>
      <c r="I413" s="137" t="s">
        <v>193</v>
      </c>
      <c r="J413" s="137" t="s">
        <v>193</v>
      </c>
      <c r="K413" s="137" t="s">
        <v>193</v>
      </c>
      <c r="L413" s="137" t="s">
        <v>193</v>
      </c>
      <c r="M413" s="137" t="s">
        <v>193</v>
      </c>
      <c r="N413" s="137" t="s">
        <v>53</v>
      </c>
      <c r="O413" s="137" t="s">
        <v>193</v>
      </c>
      <c r="P413" s="137" t="s">
        <v>53</v>
      </c>
      <c r="Q413" s="137" t="s">
        <v>193</v>
      </c>
      <c r="R413" s="137" t="s">
        <v>53</v>
      </c>
      <c r="S413" s="137" t="s">
        <v>193</v>
      </c>
      <c r="U413" s="137">
        <f t="shared" si="12"/>
        <v>277.14</v>
      </c>
      <c r="V413" s="171">
        <f t="shared" si="13"/>
        <v>0</v>
      </c>
    </row>
    <row r="414" spans="1:22" ht="15" customHeight="1" x14ac:dyDescent="0.25">
      <c r="A414" s="137" t="s">
        <v>734</v>
      </c>
      <c r="B414" s="137" t="s">
        <v>740</v>
      </c>
      <c r="C414" s="137">
        <v>2018</v>
      </c>
      <c r="D414" s="137">
        <v>234.08</v>
      </c>
      <c r="E414" s="137">
        <v>80.05</v>
      </c>
      <c r="F414" s="137">
        <v>53.86</v>
      </c>
      <c r="G414" s="137">
        <v>26.62</v>
      </c>
      <c r="H414" s="137" t="s">
        <v>193</v>
      </c>
      <c r="I414" s="137">
        <v>32.5</v>
      </c>
      <c r="J414" s="137">
        <v>39.15</v>
      </c>
      <c r="K414" s="137">
        <v>1.9</v>
      </c>
      <c r="L414" s="137" t="s">
        <v>193</v>
      </c>
      <c r="M414" s="137" t="s">
        <v>193</v>
      </c>
      <c r="N414" s="137" t="s">
        <v>53</v>
      </c>
      <c r="O414" s="137" t="s">
        <v>193</v>
      </c>
      <c r="P414" s="137" t="s">
        <v>53</v>
      </c>
      <c r="Q414" s="137" t="s">
        <v>193</v>
      </c>
      <c r="R414" s="137" t="s">
        <v>53</v>
      </c>
      <c r="S414" s="137" t="s">
        <v>193</v>
      </c>
      <c r="U414" s="137">
        <f t="shared" si="12"/>
        <v>234.08</v>
      </c>
      <c r="V414" s="171">
        <f t="shared" si="13"/>
        <v>0</v>
      </c>
    </row>
  </sheetData>
  <autoFilter ref="A1:Y1"/>
  <conditionalFormatting sqref="B32:B70 B1:B30 B72:B146 B148:B226 B228:B292 B294:B315 B317:B340 B342:B407 B409:B1048576">
    <cfRule type="duplicateValues" dxfId="15" priority="1"/>
  </conditionalFormatting>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AG709"/>
  <sheetViews>
    <sheetView workbookViewId="0">
      <pane xSplit="4" ySplit="1" topLeftCell="O656" activePane="bottomRight" state="frozen"/>
      <selection pane="topRight" activeCell="E1" sqref="E1"/>
      <selection pane="bottomLeft" activeCell="A2" sqref="A2"/>
      <selection pane="bottomRight" activeCell="A684" sqref="A684"/>
    </sheetView>
  </sheetViews>
  <sheetFormatPr defaultRowHeight="15" x14ac:dyDescent="0.25"/>
  <cols>
    <col min="1" max="1" width="39.85546875" bestFit="1" customWidth="1"/>
    <col min="2" max="2" width="29.7109375" customWidth="1"/>
  </cols>
  <sheetData>
    <row r="1" spans="1:33" s="14" customFormat="1" ht="105" x14ac:dyDescent="0.25">
      <c r="A1" s="206" t="s">
        <v>1324</v>
      </c>
      <c r="B1" s="206" t="s">
        <v>2</v>
      </c>
      <c r="C1" s="206" t="s">
        <v>1265</v>
      </c>
      <c r="D1" s="206" t="s">
        <v>747</v>
      </c>
      <c r="E1" s="206" t="s">
        <v>1325</v>
      </c>
      <c r="F1" s="206" t="s">
        <v>1326</v>
      </c>
      <c r="G1" s="206" t="s">
        <v>845</v>
      </c>
      <c r="H1" s="206" t="s">
        <v>772</v>
      </c>
      <c r="I1" s="206" t="s">
        <v>1327</v>
      </c>
      <c r="J1" s="206" t="s">
        <v>791</v>
      </c>
      <c r="K1" s="206" t="s">
        <v>1328</v>
      </c>
      <c r="L1" s="206" t="s">
        <v>783</v>
      </c>
      <c r="M1" s="206" t="s">
        <v>1329</v>
      </c>
      <c r="N1" s="206" t="s">
        <v>748</v>
      </c>
      <c r="O1" s="206" t="s">
        <v>1271</v>
      </c>
      <c r="P1" s="206" t="s">
        <v>1254</v>
      </c>
      <c r="Q1" s="206" t="s">
        <v>807</v>
      </c>
      <c r="R1" s="206" t="s">
        <v>1330</v>
      </c>
      <c r="S1" s="206" t="s">
        <v>1331</v>
      </c>
      <c r="T1" s="206" t="s">
        <v>1256</v>
      </c>
      <c r="U1" s="206" t="s">
        <v>834</v>
      </c>
      <c r="V1" s="206" t="s">
        <v>1332</v>
      </c>
      <c r="W1" s="206" t="s">
        <v>1333</v>
      </c>
      <c r="X1" s="206" t="s">
        <v>1334</v>
      </c>
      <c r="Y1" s="206" t="s">
        <v>1335</v>
      </c>
      <c r="Z1" s="206" t="s">
        <v>1336</v>
      </c>
      <c r="AA1" s="206" t="s">
        <v>1337</v>
      </c>
      <c r="AB1" s="206" t="s">
        <v>1338</v>
      </c>
      <c r="AC1" s="206" t="s">
        <v>1339</v>
      </c>
      <c r="AD1" s="206" t="s">
        <v>1340</v>
      </c>
      <c r="AE1" s="206" t="s">
        <v>1341</v>
      </c>
      <c r="AF1" s="206" t="s">
        <v>1342</v>
      </c>
      <c r="AG1" s="206" t="s">
        <v>1343</v>
      </c>
    </row>
    <row r="2" spans="1:33" x14ac:dyDescent="0.25">
      <c r="A2" s="207" t="s">
        <v>15</v>
      </c>
      <c r="B2" s="208"/>
      <c r="C2" s="209"/>
      <c r="D2" s="209"/>
      <c r="E2" s="209"/>
      <c r="F2" s="209"/>
      <c r="G2" s="209"/>
      <c r="H2" s="209"/>
      <c r="I2" s="209"/>
      <c r="J2" s="209"/>
      <c r="K2" s="209"/>
      <c r="L2" s="209"/>
      <c r="M2" s="209"/>
      <c r="N2" s="209"/>
      <c r="O2" s="209"/>
      <c r="P2" s="209"/>
      <c r="Q2" s="209"/>
      <c r="R2" s="209"/>
      <c r="S2" s="209"/>
      <c r="T2" s="209"/>
      <c r="U2" s="209"/>
      <c r="V2" s="209"/>
      <c r="W2" s="209"/>
      <c r="X2" s="209"/>
      <c r="Y2" s="209"/>
      <c r="Z2" s="209"/>
      <c r="AA2" s="209"/>
      <c r="AB2" s="209"/>
      <c r="AC2" s="209"/>
      <c r="AD2" s="209"/>
      <c r="AE2" s="209"/>
      <c r="AF2" s="209"/>
      <c r="AG2" s="209"/>
    </row>
    <row r="3" spans="1:33" x14ac:dyDescent="0.25">
      <c r="A3" s="121"/>
      <c r="B3" s="210" t="s">
        <v>16</v>
      </c>
      <c r="C3" s="211">
        <v>0</v>
      </c>
      <c r="D3" s="211">
        <v>0</v>
      </c>
      <c r="E3" s="211">
        <v>0</v>
      </c>
      <c r="F3" s="211">
        <v>0</v>
      </c>
      <c r="G3" s="211">
        <v>0</v>
      </c>
      <c r="H3" s="211">
        <v>0.3</v>
      </c>
      <c r="I3" s="211">
        <v>0</v>
      </c>
      <c r="J3" s="211">
        <v>0</v>
      </c>
      <c r="K3" s="211">
        <v>0</v>
      </c>
      <c r="L3" s="211">
        <v>0</v>
      </c>
      <c r="M3" s="211">
        <v>0</v>
      </c>
      <c r="N3" s="211">
        <v>0</v>
      </c>
      <c r="O3" s="211">
        <v>0</v>
      </c>
      <c r="P3" s="211">
        <v>0</v>
      </c>
      <c r="Q3" s="211">
        <v>0</v>
      </c>
      <c r="R3" s="211">
        <v>0</v>
      </c>
      <c r="S3" s="211">
        <v>0</v>
      </c>
      <c r="T3" s="211">
        <v>0</v>
      </c>
      <c r="U3" s="211">
        <v>0</v>
      </c>
      <c r="V3" s="211">
        <v>0</v>
      </c>
      <c r="W3" s="211">
        <v>0.1</v>
      </c>
      <c r="X3" s="211">
        <v>0</v>
      </c>
      <c r="Y3" s="211">
        <v>8.6</v>
      </c>
      <c r="Z3" s="211">
        <v>0</v>
      </c>
      <c r="AA3" s="211">
        <v>0</v>
      </c>
      <c r="AB3" s="211">
        <v>0</v>
      </c>
      <c r="AC3" s="211">
        <v>0</v>
      </c>
      <c r="AD3" s="211">
        <v>0</v>
      </c>
      <c r="AE3" s="211">
        <v>0</v>
      </c>
      <c r="AF3" s="211">
        <v>0</v>
      </c>
      <c r="AG3" s="211">
        <v>9</v>
      </c>
    </row>
    <row r="4" spans="1:33" x14ac:dyDescent="0.25">
      <c r="A4" s="121"/>
      <c r="B4" s="210" t="s">
        <v>18</v>
      </c>
      <c r="C4" s="211">
        <v>0</v>
      </c>
      <c r="D4" s="211">
        <v>0</v>
      </c>
      <c r="E4" s="211">
        <v>0</v>
      </c>
      <c r="F4" s="211">
        <v>0</v>
      </c>
      <c r="G4" s="211">
        <v>0</v>
      </c>
      <c r="H4" s="211">
        <v>0</v>
      </c>
      <c r="I4" s="211">
        <v>0</v>
      </c>
      <c r="J4" s="211">
        <v>3.7999999999999999E-2</v>
      </c>
      <c r="K4" s="211">
        <v>0</v>
      </c>
      <c r="L4" s="211">
        <v>0</v>
      </c>
      <c r="M4" s="211">
        <v>0</v>
      </c>
      <c r="N4" s="211">
        <v>0</v>
      </c>
      <c r="O4" s="211">
        <v>0</v>
      </c>
      <c r="P4" s="211">
        <v>0</v>
      </c>
      <c r="Q4" s="211">
        <v>0</v>
      </c>
      <c r="R4" s="211">
        <v>0</v>
      </c>
      <c r="S4" s="211">
        <v>0</v>
      </c>
      <c r="T4" s="211">
        <v>0</v>
      </c>
      <c r="U4" s="211">
        <v>0</v>
      </c>
      <c r="V4" s="211">
        <v>0</v>
      </c>
      <c r="W4" s="211">
        <v>0.6</v>
      </c>
      <c r="X4" s="211">
        <v>0</v>
      </c>
      <c r="Y4" s="211">
        <v>0</v>
      </c>
      <c r="Z4" s="211">
        <v>0</v>
      </c>
      <c r="AA4" s="211">
        <v>0</v>
      </c>
      <c r="AB4" s="211">
        <v>0</v>
      </c>
      <c r="AC4" s="211">
        <v>0</v>
      </c>
      <c r="AD4" s="211">
        <v>0</v>
      </c>
      <c r="AE4" s="211">
        <v>0</v>
      </c>
      <c r="AF4" s="211">
        <v>21.7</v>
      </c>
      <c r="AG4" s="211">
        <v>22.338000000000001</v>
      </c>
    </row>
    <row r="5" spans="1:33" x14ac:dyDescent="0.25">
      <c r="A5" s="121"/>
      <c r="B5" s="210" t="s">
        <v>20</v>
      </c>
      <c r="C5" s="211">
        <v>0</v>
      </c>
      <c r="D5" s="211">
        <v>63.664000000000001</v>
      </c>
      <c r="E5" s="211">
        <v>0</v>
      </c>
      <c r="F5" s="211">
        <v>0</v>
      </c>
      <c r="G5" s="211">
        <v>0</v>
      </c>
      <c r="H5" s="211">
        <v>0</v>
      </c>
      <c r="I5" s="211">
        <v>0</v>
      </c>
      <c r="J5" s="211">
        <v>0.84899999999999998</v>
      </c>
      <c r="K5" s="211">
        <v>0</v>
      </c>
      <c r="L5" s="211">
        <v>0</v>
      </c>
      <c r="M5" s="211">
        <v>0</v>
      </c>
      <c r="N5" s="211">
        <v>0</v>
      </c>
      <c r="O5" s="211">
        <v>0</v>
      </c>
      <c r="P5" s="211">
        <v>11.101000000000001</v>
      </c>
      <c r="Q5" s="211">
        <v>1.8</v>
      </c>
      <c r="R5" s="211">
        <v>0</v>
      </c>
      <c r="S5" s="211">
        <v>0</v>
      </c>
      <c r="T5" s="211">
        <v>0</v>
      </c>
      <c r="U5" s="211">
        <v>0</v>
      </c>
      <c r="V5" s="211">
        <v>0</v>
      </c>
      <c r="W5" s="211">
        <v>4.4000000000000004</v>
      </c>
      <c r="X5" s="211">
        <v>0</v>
      </c>
      <c r="Y5" s="211">
        <v>0</v>
      </c>
      <c r="Z5" s="211">
        <v>0</v>
      </c>
      <c r="AA5" s="211">
        <v>0</v>
      </c>
      <c r="AB5" s="211">
        <v>0</v>
      </c>
      <c r="AC5" s="211">
        <v>0</v>
      </c>
      <c r="AD5" s="211">
        <v>0</v>
      </c>
      <c r="AE5" s="211">
        <v>0</v>
      </c>
      <c r="AF5" s="211">
        <v>68.141000000000005</v>
      </c>
      <c r="AG5" s="211">
        <v>149.95500000000001</v>
      </c>
    </row>
    <row r="6" spans="1:33" x14ac:dyDescent="0.25">
      <c r="A6" s="121"/>
      <c r="B6" s="210" t="s">
        <v>22</v>
      </c>
      <c r="C6" s="211">
        <v>0</v>
      </c>
      <c r="D6" s="211">
        <v>0</v>
      </c>
      <c r="E6" s="211">
        <v>0</v>
      </c>
      <c r="F6" s="211">
        <v>0</v>
      </c>
      <c r="G6" s="211">
        <v>0</v>
      </c>
      <c r="H6" s="211">
        <v>0</v>
      </c>
      <c r="I6" s="211">
        <v>0</v>
      </c>
      <c r="J6" s="211">
        <v>0.06</v>
      </c>
      <c r="K6" s="211">
        <v>0</v>
      </c>
      <c r="L6" s="211">
        <v>0</v>
      </c>
      <c r="M6" s="211">
        <v>0</v>
      </c>
      <c r="N6" s="211">
        <v>0</v>
      </c>
      <c r="O6" s="211">
        <v>0</v>
      </c>
      <c r="P6" s="211">
        <v>3.3</v>
      </c>
      <c r="Q6" s="211">
        <v>0</v>
      </c>
      <c r="R6" s="211">
        <v>0</v>
      </c>
      <c r="S6" s="211">
        <v>0</v>
      </c>
      <c r="T6" s="211">
        <v>0</v>
      </c>
      <c r="U6" s="211">
        <v>0</v>
      </c>
      <c r="V6" s="211">
        <v>0</v>
      </c>
      <c r="W6" s="211">
        <v>0.5</v>
      </c>
      <c r="X6" s="211">
        <v>0</v>
      </c>
      <c r="Y6" s="211">
        <v>0</v>
      </c>
      <c r="Z6" s="211">
        <v>0</v>
      </c>
      <c r="AA6" s="211">
        <v>0</v>
      </c>
      <c r="AB6" s="211">
        <v>0</v>
      </c>
      <c r="AC6" s="211">
        <v>0</v>
      </c>
      <c r="AD6" s="211">
        <v>0</v>
      </c>
      <c r="AE6" s="211">
        <v>0</v>
      </c>
      <c r="AF6" s="211">
        <v>27.9</v>
      </c>
      <c r="AG6" s="211">
        <v>31.759999999999998</v>
      </c>
    </row>
    <row r="7" spans="1:33" x14ac:dyDescent="0.25">
      <c r="A7" s="121"/>
      <c r="B7" s="210" t="s">
        <v>24</v>
      </c>
      <c r="C7" s="211">
        <v>0</v>
      </c>
      <c r="D7" s="211">
        <v>0</v>
      </c>
      <c r="E7" s="211">
        <v>0</v>
      </c>
      <c r="F7" s="211">
        <v>0</v>
      </c>
      <c r="G7" s="211">
        <v>0</v>
      </c>
      <c r="H7" s="211">
        <v>0</v>
      </c>
      <c r="I7" s="211">
        <v>0</v>
      </c>
      <c r="J7" s="211">
        <v>1.1739999999999999</v>
      </c>
      <c r="K7" s="211">
        <v>0</v>
      </c>
      <c r="L7" s="211">
        <v>0</v>
      </c>
      <c r="M7" s="211">
        <v>0</v>
      </c>
      <c r="N7" s="211">
        <v>0</v>
      </c>
      <c r="O7" s="211">
        <v>0</v>
      </c>
      <c r="P7" s="211">
        <v>9.3759999999999994</v>
      </c>
      <c r="Q7" s="211">
        <v>0</v>
      </c>
      <c r="R7" s="211">
        <v>0</v>
      </c>
      <c r="S7" s="211">
        <v>0</v>
      </c>
      <c r="T7" s="211">
        <v>0</v>
      </c>
      <c r="U7" s="211">
        <v>0</v>
      </c>
      <c r="V7" s="211">
        <v>0</v>
      </c>
      <c r="W7" s="211">
        <v>2.5</v>
      </c>
      <c r="X7" s="211">
        <v>0</v>
      </c>
      <c r="Y7" s="211">
        <v>0</v>
      </c>
      <c r="Z7" s="211">
        <v>0</v>
      </c>
      <c r="AA7" s="211">
        <v>0</v>
      </c>
      <c r="AB7" s="211">
        <v>0</v>
      </c>
      <c r="AC7" s="211">
        <v>0</v>
      </c>
      <c r="AD7" s="211">
        <v>0</v>
      </c>
      <c r="AE7" s="211">
        <v>0</v>
      </c>
      <c r="AF7" s="211">
        <v>68.599999999999994</v>
      </c>
      <c r="AG7" s="211">
        <v>81.649999999999991</v>
      </c>
    </row>
    <row r="8" spans="1:33" x14ac:dyDescent="0.25">
      <c r="A8" s="121"/>
      <c r="B8" s="210" t="s">
        <v>26</v>
      </c>
      <c r="C8" s="211">
        <v>0</v>
      </c>
      <c r="D8" s="211">
        <v>0</v>
      </c>
      <c r="E8" s="211">
        <v>0</v>
      </c>
      <c r="F8" s="211">
        <v>0</v>
      </c>
      <c r="G8" s="211">
        <v>0</v>
      </c>
      <c r="H8" s="211">
        <v>1.9450000000000001</v>
      </c>
      <c r="I8" s="211">
        <v>0</v>
      </c>
      <c r="J8" s="211">
        <v>0</v>
      </c>
      <c r="K8" s="211">
        <v>0</v>
      </c>
      <c r="L8" s="211">
        <v>0</v>
      </c>
      <c r="M8" s="211">
        <v>0</v>
      </c>
      <c r="N8" s="211">
        <v>0</v>
      </c>
      <c r="O8" s="211">
        <v>0</v>
      </c>
      <c r="P8" s="211">
        <v>3.5590000000000002</v>
      </c>
      <c r="Q8" s="211">
        <v>0</v>
      </c>
      <c r="R8" s="211">
        <v>0</v>
      </c>
      <c r="S8" s="211">
        <v>0</v>
      </c>
      <c r="T8" s="211">
        <v>0</v>
      </c>
      <c r="U8" s="211">
        <v>0</v>
      </c>
      <c r="V8" s="211">
        <v>0</v>
      </c>
      <c r="W8" s="211">
        <v>0.9</v>
      </c>
      <c r="X8" s="211">
        <v>0</v>
      </c>
      <c r="Y8" s="211">
        <v>0</v>
      </c>
      <c r="Z8" s="211">
        <v>0</v>
      </c>
      <c r="AA8" s="211">
        <v>0</v>
      </c>
      <c r="AB8" s="211">
        <v>0</v>
      </c>
      <c r="AC8" s="211">
        <v>0</v>
      </c>
      <c r="AD8" s="211">
        <v>0</v>
      </c>
      <c r="AE8" s="211">
        <v>0</v>
      </c>
      <c r="AF8" s="211">
        <v>25.917999999999999</v>
      </c>
      <c r="AG8" s="211">
        <v>32.322000000000003</v>
      </c>
    </row>
    <row r="9" spans="1:33" x14ac:dyDescent="0.25">
      <c r="A9" s="121"/>
      <c r="B9" s="210" t="s">
        <v>28</v>
      </c>
      <c r="C9" s="211">
        <v>0</v>
      </c>
      <c r="D9" s="211">
        <v>0</v>
      </c>
      <c r="E9" s="211">
        <v>0</v>
      </c>
      <c r="F9" s="211">
        <v>0</v>
      </c>
      <c r="G9" s="211">
        <v>0</v>
      </c>
      <c r="H9" s="211">
        <v>0</v>
      </c>
      <c r="I9" s="211">
        <v>0</v>
      </c>
      <c r="J9" s="211">
        <v>5.8</v>
      </c>
      <c r="K9" s="211">
        <v>0</v>
      </c>
      <c r="L9" s="211">
        <v>0</v>
      </c>
      <c r="M9" s="211">
        <v>0</v>
      </c>
      <c r="N9" s="211">
        <v>0</v>
      </c>
      <c r="O9" s="211">
        <v>0</v>
      </c>
      <c r="P9" s="211">
        <v>0</v>
      </c>
      <c r="Q9" s="211">
        <v>72.900000000000006</v>
      </c>
      <c r="R9" s="211">
        <v>0</v>
      </c>
      <c r="S9" s="211">
        <v>0</v>
      </c>
      <c r="T9" s="211">
        <v>0</v>
      </c>
      <c r="U9" s="211">
        <v>0</v>
      </c>
      <c r="V9" s="211">
        <v>0</v>
      </c>
      <c r="W9" s="211">
        <v>1.4</v>
      </c>
      <c r="X9" s="211">
        <v>0</v>
      </c>
      <c r="Y9" s="211">
        <v>0</v>
      </c>
      <c r="Z9" s="211">
        <v>0</v>
      </c>
      <c r="AA9" s="211">
        <v>0</v>
      </c>
      <c r="AB9" s="211">
        <v>0</v>
      </c>
      <c r="AC9" s="211">
        <v>0</v>
      </c>
      <c r="AD9" s="211">
        <v>0</v>
      </c>
      <c r="AE9" s="211">
        <v>0</v>
      </c>
      <c r="AF9" s="211">
        <v>0</v>
      </c>
      <c r="AG9" s="211">
        <v>80.100000000000009</v>
      </c>
    </row>
    <row r="10" spans="1:33" x14ac:dyDescent="0.25">
      <c r="A10" s="121"/>
      <c r="B10" s="210" t="s">
        <v>30</v>
      </c>
      <c r="C10" s="211">
        <v>0</v>
      </c>
      <c r="D10" s="211">
        <v>0</v>
      </c>
      <c r="E10" s="211">
        <v>0</v>
      </c>
      <c r="F10" s="211">
        <v>0</v>
      </c>
      <c r="G10" s="211">
        <v>2.8</v>
      </c>
      <c r="H10" s="211">
        <v>0</v>
      </c>
      <c r="I10" s="211">
        <v>0</v>
      </c>
      <c r="J10" s="211">
        <v>0.6</v>
      </c>
      <c r="K10" s="211">
        <v>0</v>
      </c>
      <c r="L10" s="211">
        <v>0</v>
      </c>
      <c r="M10" s="211">
        <v>0</v>
      </c>
      <c r="N10" s="211">
        <v>0</v>
      </c>
      <c r="O10" s="211">
        <v>0</v>
      </c>
      <c r="P10" s="211">
        <v>3.6</v>
      </c>
      <c r="Q10" s="211">
        <v>0</v>
      </c>
      <c r="R10" s="211">
        <v>0</v>
      </c>
      <c r="S10" s="211">
        <v>0</v>
      </c>
      <c r="T10" s="211">
        <v>0</v>
      </c>
      <c r="U10" s="211">
        <v>0</v>
      </c>
      <c r="V10" s="211">
        <v>0</v>
      </c>
      <c r="W10" s="211">
        <v>0.9</v>
      </c>
      <c r="X10" s="211">
        <v>0</v>
      </c>
      <c r="Y10" s="211">
        <v>0</v>
      </c>
      <c r="Z10" s="211">
        <v>0</v>
      </c>
      <c r="AA10" s="211">
        <v>0</v>
      </c>
      <c r="AB10" s="211">
        <v>0</v>
      </c>
      <c r="AC10" s="211">
        <v>0</v>
      </c>
      <c r="AD10" s="211">
        <v>0</v>
      </c>
      <c r="AE10" s="211">
        <v>0</v>
      </c>
      <c r="AF10" s="211">
        <v>25.4</v>
      </c>
      <c r="AG10" s="211">
        <v>33.299999999999997</v>
      </c>
    </row>
    <row r="11" spans="1:33" x14ac:dyDescent="0.25">
      <c r="A11" s="121"/>
      <c r="B11" s="210" t="s">
        <v>32</v>
      </c>
      <c r="C11" s="211">
        <v>0</v>
      </c>
      <c r="D11" s="211">
        <v>0</v>
      </c>
      <c r="E11" s="211">
        <v>0</v>
      </c>
      <c r="F11" s="211">
        <v>0</v>
      </c>
      <c r="G11" s="211">
        <v>2.61</v>
      </c>
      <c r="H11" s="211">
        <v>0.44600000000000001</v>
      </c>
      <c r="I11" s="211">
        <v>0</v>
      </c>
      <c r="J11" s="211">
        <v>0.28899999999999998</v>
      </c>
      <c r="K11" s="211">
        <v>0</v>
      </c>
      <c r="L11" s="211">
        <v>0</v>
      </c>
      <c r="M11" s="211">
        <v>0</v>
      </c>
      <c r="N11" s="211">
        <v>0</v>
      </c>
      <c r="O11" s="211">
        <v>0</v>
      </c>
      <c r="P11" s="211">
        <v>13.744</v>
      </c>
      <c r="Q11" s="211">
        <v>13.49</v>
      </c>
      <c r="R11" s="211">
        <v>0</v>
      </c>
      <c r="S11" s="211">
        <v>0</v>
      </c>
      <c r="T11" s="211">
        <v>0</v>
      </c>
      <c r="U11" s="211">
        <v>0</v>
      </c>
      <c r="V11" s="211">
        <v>0</v>
      </c>
      <c r="W11" s="211">
        <v>1.7</v>
      </c>
      <c r="X11" s="211">
        <v>5.8920000000000003</v>
      </c>
      <c r="Y11" s="211">
        <v>0</v>
      </c>
      <c r="Z11" s="211">
        <v>0</v>
      </c>
      <c r="AA11" s="211">
        <v>0</v>
      </c>
      <c r="AB11" s="211">
        <v>0</v>
      </c>
      <c r="AC11" s="211">
        <v>0</v>
      </c>
      <c r="AD11" s="211">
        <v>0.223</v>
      </c>
      <c r="AE11" s="211">
        <v>0</v>
      </c>
      <c r="AF11" s="211">
        <v>59.558</v>
      </c>
      <c r="AG11" s="211">
        <v>97.951999999999998</v>
      </c>
    </row>
    <row r="12" spans="1:33" x14ac:dyDescent="0.25">
      <c r="A12" s="207" t="s">
        <v>200</v>
      </c>
      <c r="B12" s="208"/>
      <c r="C12" s="209"/>
      <c r="D12" s="209"/>
      <c r="E12" s="209"/>
      <c r="F12" s="209"/>
      <c r="G12" s="209"/>
      <c r="H12" s="209"/>
      <c r="I12" s="209"/>
      <c r="J12" s="209"/>
      <c r="K12" s="209"/>
      <c r="L12" s="209"/>
      <c r="M12" s="209"/>
      <c r="N12" s="209"/>
      <c r="O12" s="209"/>
      <c r="P12" s="209"/>
      <c r="Q12" s="209"/>
      <c r="R12" s="209"/>
      <c r="S12" s="209"/>
      <c r="T12" s="209"/>
      <c r="U12" s="209"/>
      <c r="V12" s="209"/>
      <c r="W12" s="209"/>
      <c r="X12" s="209"/>
      <c r="Y12" s="209"/>
      <c r="Z12" s="209"/>
      <c r="AA12" s="209"/>
      <c r="AB12" s="209"/>
      <c r="AC12" s="209"/>
      <c r="AD12" s="209"/>
      <c r="AE12" s="209"/>
      <c r="AF12" s="209"/>
      <c r="AG12" s="209"/>
    </row>
    <row r="13" spans="1:33" x14ac:dyDescent="0.25">
      <c r="A13" s="121"/>
      <c r="B13" s="210" t="s">
        <v>201</v>
      </c>
      <c r="C13" s="211">
        <v>0</v>
      </c>
      <c r="D13" s="211">
        <v>0</v>
      </c>
      <c r="E13" s="211">
        <v>0</v>
      </c>
      <c r="F13" s="211">
        <v>0</v>
      </c>
      <c r="G13" s="211">
        <v>0</v>
      </c>
      <c r="H13" s="211">
        <v>0</v>
      </c>
      <c r="I13" s="211">
        <v>0</v>
      </c>
      <c r="J13" s="211">
        <v>0</v>
      </c>
      <c r="K13" s="211">
        <v>0</v>
      </c>
      <c r="L13" s="211">
        <v>0</v>
      </c>
      <c r="M13" s="211">
        <v>0</v>
      </c>
      <c r="N13" s="211">
        <v>0</v>
      </c>
      <c r="O13" s="211">
        <v>0</v>
      </c>
      <c r="P13" s="211">
        <v>0</v>
      </c>
      <c r="Q13" s="211">
        <v>0</v>
      </c>
      <c r="R13" s="211">
        <v>0</v>
      </c>
      <c r="S13" s="211">
        <v>0</v>
      </c>
      <c r="T13" s="211">
        <v>0</v>
      </c>
      <c r="U13" s="211">
        <v>0</v>
      </c>
      <c r="V13" s="211">
        <v>0</v>
      </c>
      <c r="W13" s="211">
        <v>0.159</v>
      </c>
      <c r="X13" s="211">
        <v>0</v>
      </c>
      <c r="Y13" s="211">
        <v>0</v>
      </c>
      <c r="Z13" s="211">
        <v>0</v>
      </c>
      <c r="AA13" s="211">
        <v>0</v>
      </c>
      <c r="AB13" s="211">
        <v>0</v>
      </c>
      <c r="AC13" s="211">
        <v>0</v>
      </c>
      <c r="AD13" s="211">
        <v>0</v>
      </c>
      <c r="AE13" s="211">
        <v>0</v>
      </c>
      <c r="AF13" s="211">
        <v>7.4117600000000001</v>
      </c>
      <c r="AG13" s="211">
        <v>7.5707599999999999</v>
      </c>
    </row>
    <row r="14" spans="1:33" x14ac:dyDescent="0.25">
      <c r="A14" s="121"/>
      <c r="B14" s="210" t="s">
        <v>202</v>
      </c>
      <c r="C14" s="211">
        <v>0</v>
      </c>
      <c r="D14" s="211">
        <v>0</v>
      </c>
      <c r="E14" s="211">
        <v>0</v>
      </c>
      <c r="F14" s="211">
        <v>7</v>
      </c>
      <c r="G14" s="211">
        <v>0</v>
      </c>
      <c r="H14" s="211">
        <v>0</v>
      </c>
      <c r="I14" s="211">
        <v>0</v>
      </c>
      <c r="J14" s="211">
        <v>0.3</v>
      </c>
      <c r="K14" s="211">
        <v>0</v>
      </c>
      <c r="L14" s="211">
        <v>0</v>
      </c>
      <c r="M14" s="211">
        <v>0</v>
      </c>
      <c r="N14" s="211">
        <v>0</v>
      </c>
      <c r="O14" s="211">
        <v>0</v>
      </c>
      <c r="P14" s="211">
        <v>0</v>
      </c>
      <c r="Q14" s="211">
        <v>0</v>
      </c>
      <c r="R14" s="211">
        <v>0</v>
      </c>
      <c r="S14" s="211">
        <v>15</v>
      </c>
      <c r="T14" s="211">
        <v>0</v>
      </c>
      <c r="U14" s="211">
        <v>0</v>
      </c>
      <c r="V14" s="211">
        <v>0</v>
      </c>
      <c r="W14" s="211">
        <v>0.4</v>
      </c>
      <c r="X14" s="211">
        <v>0</v>
      </c>
      <c r="Y14" s="211">
        <v>3.8</v>
      </c>
      <c r="Z14" s="211">
        <v>0</v>
      </c>
      <c r="AA14" s="211">
        <v>0</v>
      </c>
      <c r="AB14" s="211">
        <v>0</v>
      </c>
      <c r="AC14" s="211">
        <v>0</v>
      </c>
      <c r="AD14" s="211">
        <v>0</v>
      </c>
      <c r="AE14" s="211">
        <v>0</v>
      </c>
      <c r="AF14" s="211">
        <v>0</v>
      </c>
      <c r="AG14" s="211">
        <v>26.5</v>
      </c>
    </row>
    <row r="15" spans="1:33" x14ac:dyDescent="0.25">
      <c r="A15" s="121"/>
      <c r="B15" s="210" t="s">
        <v>203</v>
      </c>
      <c r="C15" s="211">
        <v>0</v>
      </c>
      <c r="D15" s="211">
        <v>0</v>
      </c>
      <c r="E15" s="211">
        <v>0</v>
      </c>
      <c r="F15" s="211">
        <v>0</v>
      </c>
      <c r="G15" s="211">
        <v>0</v>
      </c>
      <c r="H15" s="211">
        <v>0</v>
      </c>
      <c r="I15" s="211">
        <v>0</v>
      </c>
      <c r="J15" s="211">
        <v>0.2</v>
      </c>
      <c r="K15" s="211">
        <v>0</v>
      </c>
      <c r="L15" s="211">
        <v>0</v>
      </c>
      <c r="M15" s="211">
        <v>0</v>
      </c>
      <c r="N15" s="211">
        <v>0</v>
      </c>
      <c r="O15" s="211">
        <v>0</v>
      </c>
      <c r="P15" s="211">
        <v>0</v>
      </c>
      <c r="Q15" s="211">
        <v>0</v>
      </c>
      <c r="R15" s="211">
        <v>0</v>
      </c>
      <c r="S15" s="211">
        <v>4.5</v>
      </c>
      <c r="T15" s="211">
        <v>0</v>
      </c>
      <c r="U15" s="211">
        <v>0</v>
      </c>
      <c r="V15" s="211">
        <v>0</v>
      </c>
      <c r="W15" s="211">
        <v>0.01</v>
      </c>
      <c r="X15" s="211">
        <v>0</v>
      </c>
      <c r="Y15" s="211">
        <v>0</v>
      </c>
      <c r="Z15" s="211">
        <v>0</v>
      </c>
      <c r="AA15" s="211">
        <v>0</v>
      </c>
      <c r="AB15" s="211">
        <v>0</v>
      </c>
      <c r="AC15" s="211">
        <v>0</v>
      </c>
      <c r="AD15" s="211">
        <v>0</v>
      </c>
      <c r="AE15" s="211">
        <v>0</v>
      </c>
      <c r="AF15" s="211">
        <v>0</v>
      </c>
      <c r="AG15" s="211">
        <v>4.71</v>
      </c>
    </row>
    <row r="16" spans="1:33" x14ac:dyDescent="0.25">
      <c r="A16" s="121"/>
      <c r="B16" s="210" t="s">
        <v>204</v>
      </c>
      <c r="C16" s="211">
        <v>0</v>
      </c>
      <c r="D16" s="211">
        <v>0</v>
      </c>
      <c r="E16" s="211">
        <v>0</v>
      </c>
      <c r="F16" s="211">
        <v>0</v>
      </c>
      <c r="G16" s="211">
        <v>0</v>
      </c>
      <c r="H16" s="211">
        <v>0</v>
      </c>
      <c r="I16" s="211">
        <v>0</v>
      </c>
      <c r="J16" s="211">
        <v>0.8</v>
      </c>
      <c r="K16" s="211">
        <v>0</v>
      </c>
      <c r="L16" s="211">
        <v>0</v>
      </c>
      <c r="M16" s="211">
        <v>0</v>
      </c>
      <c r="N16" s="211">
        <v>0</v>
      </c>
      <c r="O16" s="211">
        <v>0</v>
      </c>
      <c r="P16" s="211">
        <v>0</v>
      </c>
      <c r="Q16" s="211">
        <v>0</v>
      </c>
      <c r="R16" s="211">
        <v>8.4</v>
      </c>
      <c r="S16" s="211">
        <v>0</v>
      </c>
      <c r="T16" s="211">
        <v>0</v>
      </c>
      <c r="U16" s="211">
        <v>0</v>
      </c>
      <c r="V16" s="211">
        <v>0</v>
      </c>
      <c r="W16" s="211">
        <v>0.1</v>
      </c>
      <c r="X16" s="211">
        <v>0</v>
      </c>
      <c r="Y16" s="211">
        <v>0</v>
      </c>
      <c r="Z16" s="211">
        <v>0</v>
      </c>
      <c r="AA16" s="211">
        <v>0</v>
      </c>
      <c r="AB16" s="211">
        <v>0</v>
      </c>
      <c r="AC16" s="211">
        <v>0</v>
      </c>
      <c r="AD16" s="211">
        <v>0</v>
      </c>
      <c r="AE16" s="211">
        <v>0</v>
      </c>
      <c r="AF16" s="211">
        <v>0</v>
      </c>
      <c r="AG16" s="211">
        <v>9.3000000000000007</v>
      </c>
    </row>
    <row r="17" spans="1:33" x14ac:dyDescent="0.25">
      <c r="A17" s="121"/>
      <c r="B17" s="210" t="s">
        <v>205</v>
      </c>
      <c r="C17" s="211">
        <v>0</v>
      </c>
      <c r="D17" s="211">
        <v>0</v>
      </c>
      <c r="E17" s="211">
        <v>0</v>
      </c>
      <c r="F17" s="211">
        <v>5.9</v>
      </c>
      <c r="G17" s="211">
        <v>0</v>
      </c>
      <c r="H17" s="211">
        <v>0</v>
      </c>
      <c r="I17" s="211">
        <v>0</v>
      </c>
      <c r="J17" s="211">
        <v>0.2</v>
      </c>
      <c r="K17" s="211">
        <v>0</v>
      </c>
      <c r="L17" s="211">
        <v>0</v>
      </c>
      <c r="M17" s="211">
        <v>0</v>
      </c>
      <c r="N17" s="211">
        <v>0</v>
      </c>
      <c r="O17" s="211">
        <v>0</v>
      </c>
      <c r="P17" s="211">
        <v>0</v>
      </c>
      <c r="Q17" s="211">
        <v>0</v>
      </c>
      <c r="R17" s="211">
        <v>0</v>
      </c>
      <c r="S17" s="211">
        <v>5.9</v>
      </c>
      <c r="T17" s="211">
        <v>0</v>
      </c>
      <c r="U17" s="211">
        <v>0</v>
      </c>
      <c r="V17" s="211">
        <v>0</v>
      </c>
      <c r="W17" s="211">
        <v>0.1</v>
      </c>
      <c r="X17" s="211">
        <v>0</v>
      </c>
      <c r="Y17" s="211">
        <v>0</v>
      </c>
      <c r="Z17" s="211">
        <v>0</v>
      </c>
      <c r="AA17" s="211">
        <v>0</v>
      </c>
      <c r="AB17" s="211">
        <v>0</v>
      </c>
      <c r="AC17" s="211">
        <v>0</v>
      </c>
      <c r="AD17" s="211">
        <v>0</v>
      </c>
      <c r="AE17" s="211">
        <v>0</v>
      </c>
      <c r="AF17" s="211">
        <v>0</v>
      </c>
      <c r="AG17" s="211">
        <v>12.1</v>
      </c>
    </row>
    <row r="18" spans="1:33" x14ac:dyDescent="0.25">
      <c r="A18" s="121"/>
      <c r="B18" s="210" t="s">
        <v>206</v>
      </c>
      <c r="C18" s="211">
        <v>0</v>
      </c>
      <c r="D18" s="211">
        <v>0</v>
      </c>
      <c r="E18" s="211">
        <v>0</v>
      </c>
      <c r="F18" s="211">
        <v>17.3</v>
      </c>
      <c r="G18" s="211">
        <v>0</v>
      </c>
      <c r="H18" s="211">
        <v>0</v>
      </c>
      <c r="I18" s="211">
        <v>0</v>
      </c>
      <c r="J18" s="211">
        <v>0.22</v>
      </c>
      <c r="K18" s="211">
        <v>0</v>
      </c>
      <c r="L18" s="211">
        <v>0</v>
      </c>
      <c r="M18" s="211">
        <v>0</v>
      </c>
      <c r="N18" s="211">
        <v>0</v>
      </c>
      <c r="O18" s="211">
        <v>0</v>
      </c>
      <c r="P18" s="211">
        <v>0</v>
      </c>
      <c r="Q18" s="211">
        <v>0</v>
      </c>
      <c r="R18" s="211">
        <v>0</v>
      </c>
      <c r="S18" s="211">
        <v>4.5</v>
      </c>
      <c r="T18" s="211">
        <v>0</v>
      </c>
      <c r="U18" s="211">
        <v>0</v>
      </c>
      <c r="V18" s="211">
        <v>0</v>
      </c>
      <c r="W18" s="211">
        <v>0.4</v>
      </c>
      <c r="X18" s="211">
        <v>0</v>
      </c>
      <c r="Y18" s="211">
        <v>0</v>
      </c>
      <c r="Z18" s="211">
        <v>0</v>
      </c>
      <c r="AA18" s="211">
        <v>0</v>
      </c>
      <c r="AB18" s="211">
        <v>0</v>
      </c>
      <c r="AC18" s="211">
        <v>0</v>
      </c>
      <c r="AD18" s="211">
        <v>0</v>
      </c>
      <c r="AE18" s="211">
        <v>0</v>
      </c>
      <c r="AF18" s="211">
        <v>0</v>
      </c>
      <c r="AG18" s="211">
        <v>22.419999999999998</v>
      </c>
    </row>
    <row r="19" spans="1:33" x14ac:dyDescent="0.25">
      <c r="A19" s="121"/>
      <c r="B19" s="210" t="s">
        <v>207</v>
      </c>
      <c r="C19" s="211">
        <v>0</v>
      </c>
      <c r="D19" s="211">
        <v>0</v>
      </c>
      <c r="E19" s="211">
        <v>0</v>
      </c>
      <c r="F19" s="211">
        <v>0</v>
      </c>
      <c r="G19" s="211">
        <v>0</v>
      </c>
      <c r="H19" s="211">
        <v>0</v>
      </c>
      <c r="I19" s="211">
        <v>0</v>
      </c>
      <c r="J19" s="211">
        <v>0.8</v>
      </c>
      <c r="K19" s="211">
        <v>0</v>
      </c>
      <c r="L19" s="211">
        <v>0</v>
      </c>
      <c r="M19" s="211">
        <v>0</v>
      </c>
      <c r="N19" s="211">
        <v>0</v>
      </c>
      <c r="O19" s="211">
        <v>0</v>
      </c>
      <c r="P19" s="211">
        <v>0</v>
      </c>
      <c r="Q19" s="211">
        <v>0</v>
      </c>
      <c r="R19" s="211">
        <v>0</v>
      </c>
      <c r="S19" s="211">
        <v>0</v>
      </c>
      <c r="T19" s="211">
        <v>0</v>
      </c>
      <c r="U19" s="211">
        <v>0</v>
      </c>
      <c r="V19" s="211">
        <v>0</v>
      </c>
      <c r="W19" s="211">
        <v>0.1</v>
      </c>
      <c r="X19" s="211">
        <v>0</v>
      </c>
      <c r="Y19" s="211">
        <v>4.2</v>
      </c>
      <c r="Z19" s="211">
        <v>0</v>
      </c>
      <c r="AA19" s="211">
        <v>0</v>
      </c>
      <c r="AB19" s="211">
        <v>0</v>
      </c>
      <c r="AC19" s="211">
        <v>0</v>
      </c>
      <c r="AD19" s="211">
        <v>0</v>
      </c>
      <c r="AE19" s="211">
        <v>0</v>
      </c>
      <c r="AF19" s="211">
        <v>0</v>
      </c>
      <c r="AG19" s="211">
        <v>5.1000000000000005</v>
      </c>
    </row>
    <row r="20" spans="1:33" x14ac:dyDescent="0.25">
      <c r="A20" s="121"/>
      <c r="B20" s="210" t="s">
        <v>208</v>
      </c>
      <c r="C20" s="211">
        <v>0</v>
      </c>
      <c r="D20" s="211">
        <v>0</v>
      </c>
      <c r="E20" s="211">
        <v>0</v>
      </c>
      <c r="F20" s="211">
        <v>0</v>
      </c>
      <c r="G20" s="211">
        <v>0</v>
      </c>
      <c r="H20" s="211">
        <v>0</v>
      </c>
      <c r="I20" s="211">
        <v>0</v>
      </c>
      <c r="J20" s="211">
        <v>0</v>
      </c>
      <c r="K20" s="211">
        <v>0</v>
      </c>
      <c r="L20" s="211">
        <v>0</v>
      </c>
      <c r="M20" s="211">
        <v>0</v>
      </c>
      <c r="N20" s="211">
        <v>0</v>
      </c>
      <c r="O20" s="211">
        <v>0</v>
      </c>
      <c r="P20" s="211">
        <v>0</v>
      </c>
      <c r="Q20" s="211">
        <v>0</v>
      </c>
      <c r="R20" s="211">
        <v>0</v>
      </c>
      <c r="S20" s="211">
        <v>0</v>
      </c>
      <c r="T20" s="211">
        <v>0</v>
      </c>
      <c r="U20" s="211">
        <v>0</v>
      </c>
      <c r="V20" s="211">
        <v>0</v>
      </c>
      <c r="W20" s="211">
        <v>0.03</v>
      </c>
      <c r="X20" s="211">
        <v>0</v>
      </c>
      <c r="Y20" s="211">
        <v>2.2999999999999998</v>
      </c>
      <c r="Z20" s="211">
        <v>0</v>
      </c>
      <c r="AA20" s="211">
        <v>0</v>
      </c>
      <c r="AB20" s="211">
        <v>0</v>
      </c>
      <c r="AC20" s="211">
        <v>0</v>
      </c>
      <c r="AD20" s="211">
        <v>0</v>
      </c>
      <c r="AE20" s="211">
        <v>0</v>
      </c>
      <c r="AF20" s="211">
        <v>0</v>
      </c>
      <c r="AG20" s="211">
        <v>2.3299999999999996</v>
      </c>
    </row>
    <row r="21" spans="1:33" x14ac:dyDescent="0.25">
      <c r="A21" s="121"/>
      <c r="B21" s="210" t="s">
        <v>209</v>
      </c>
      <c r="C21" s="211">
        <v>0</v>
      </c>
      <c r="D21" s="211">
        <v>0</v>
      </c>
      <c r="E21" s="211">
        <v>0</v>
      </c>
      <c r="F21" s="211">
        <v>2.8</v>
      </c>
      <c r="G21" s="211">
        <v>0</v>
      </c>
      <c r="H21" s="211">
        <v>0</v>
      </c>
      <c r="I21" s="211">
        <v>0</v>
      </c>
      <c r="J21" s="211">
        <v>0</v>
      </c>
      <c r="K21" s="211">
        <v>0</v>
      </c>
      <c r="L21" s="211">
        <v>0</v>
      </c>
      <c r="M21" s="211">
        <v>0</v>
      </c>
      <c r="N21" s="211">
        <v>0</v>
      </c>
      <c r="O21" s="211">
        <v>0</v>
      </c>
      <c r="P21" s="211">
        <v>0</v>
      </c>
      <c r="Q21" s="211">
        <v>0</v>
      </c>
      <c r="R21" s="211">
        <v>0</v>
      </c>
      <c r="S21" s="211">
        <v>4.4000000000000004</v>
      </c>
      <c r="T21" s="211">
        <v>0</v>
      </c>
      <c r="U21" s="211">
        <v>0</v>
      </c>
      <c r="V21" s="211">
        <v>0</v>
      </c>
      <c r="W21" s="211">
        <v>0.3</v>
      </c>
      <c r="X21" s="211">
        <v>0</v>
      </c>
      <c r="Y21" s="211">
        <v>0.8</v>
      </c>
      <c r="Z21" s="211">
        <v>0</v>
      </c>
      <c r="AA21" s="211">
        <v>0</v>
      </c>
      <c r="AB21" s="211">
        <v>0</v>
      </c>
      <c r="AC21" s="211">
        <v>0</v>
      </c>
      <c r="AD21" s="211">
        <v>0</v>
      </c>
      <c r="AE21" s="211">
        <v>0</v>
      </c>
      <c r="AF21" s="211">
        <v>0</v>
      </c>
      <c r="AG21" s="211">
        <v>8.3000000000000007</v>
      </c>
    </row>
    <row r="22" spans="1:33" x14ac:dyDescent="0.25">
      <c r="A22" s="121"/>
      <c r="B22" s="210" t="s">
        <v>210</v>
      </c>
      <c r="C22" s="211">
        <v>0</v>
      </c>
      <c r="D22" s="211">
        <v>0</v>
      </c>
      <c r="E22" s="211">
        <v>0</v>
      </c>
      <c r="F22" s="211">
        <v>0</v>
      </c>
      <c r="G22" s="211">
        <v>0</v>
      </c>
      <c r="H22" s="211">
        <v>0</v>
      </c>
      <c r="I22" s="211">
        <v>0</v>
      </c>
      <c r="J22" s="211">
        <v>0.1</v>
      </c>
      <c r="K22" s="211">
        <v>0</v>
      </c>
      <c r="L22" s="211">
        <v>0</v>
      </c>
      <c r="M22" s="211">
        <v>0</v>
      </c>
      <c r="N22" s="211">
        <v>0</v>
      </c>
      <c r="O22" s="211">
        <v>0</v>
      </c>
      <c r="P22" s="211">
        <v>0</v>
      </c>
      <c r="Q22" s="211">
        <v>0</v>
      </c>
      <c r="R22" s="211">
        <v>0</v>
      </c>
      <c r="S22" s="211">
        <v>5.3</v>
      </c>
      <c r="T22" s="211">
        <v>0</v>
      </c>
      <c r="U22" s="211">
        <v>0</v>
      </c>
      <c r="V22" s="211">
        <v>0</v>
      </c>
      <c r="W22" s="211">
        <v>0.02</v>
      </c>
      <c r="X22" s="211">
        <v>0</v>
      </c>
      <c r="Y22" s="211">
        <v>0</v>
      </c>
      <c r="Z22" s="211">
        <v>0</v>
      </c>
      <c r="AA22" s="211">
        <v>0</v>
      </c>
      <c r="AB22" s="211">
        <v>0</v>
      </c>
      <c r="AC22" s="211">
        <v>0</v>
      </c>
      <c r="AD22" s="211">
        <v>0</v>
      </c>
      <c r="AE22" s="211">
        <v>0</v>
      </c>
      <c r="AF22" s="211">
        <v>0</v>
      </c>
      <c r="AG22" s="211">
        <v>5.419999999999999</v>
      </c>
    </row>
    <row r="23" spans="1:33" x14ac:dyDescent="0.25">
      <c r="A23" s="207" t="s">
        <v>211</v>
      </c>
      <c r="B23" s="208"/>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09"/>
      <c r="AB23" s="209"/>
      <c r="AC23" s="209"/>
      <c r="AD23" s="209"/>
      <c r="AE23" s="209"/>
      <c r="AF23" s="209"/>
      <c r="AG23" s="209"/>
    </row>
    <row r="24" spans="1:33" x14ac:dyDescent="0.25">
      <c r="A24" s="121"/>
      <c r="B24" s="210" t="s">
        <v>212</v>
      </c>
      <c r="C24" s="211">
        <v>0</v>
      </c>
      <c r="D24" s="211">
        <v>0</v>
      </c>
      <c r="E24" s="211">
        <v>0</v>
      </c>
      <c r="F24" s="211">
        <v>0</v>
      </c>
      <c r="G24" s="211">
        <v>0</v>
      </c>
      <c r="H24" s="211">
        <v>0</v>
      </c>
      <c r="I24" s="211">
        <v>0</v>
      </c>
      <c r="J24" s="211">
        <v>1.7999999999999999E-2</v>
      </c>
      <c r="K24" s="211">
        <v>0</v>
      </c>
      <c r="L24" s="211">
        <v>0</v>
      </c>
      <c r="M24" s="211">
        <v>0</v>
      </c>
      <c r="N24" s="211">
        <v>0</v>
      </c>
      <c r="O24" s="211">
        <v>0</v>
      </c>
      <c r="P24" s="211">
        <v>0</v>
      </c>
      <c r="Q24" s="211">
        <v>0</v>
      </c>
      <c r="R24" s="211">
        <v>0</v>
      </c>
      <c r="S24" s="211">
        <v>0</v>
      </c>
      <c r="T24" s="211">
        <v>0</v>
      </c>
      <c r="U24" s="211">
        <v>0</v>
      </c>
      <c r="V24" s="211">
        <v>0</v>
      </c>
      <c r="W24" s="211">
        <v>1.4E-2</v>
      </c>
      <c r="X24" s="211">
        <v>0</v>
      </c>
      <c r="Y24" s="211">
        <v>0.56599999999999995</v>
      </c>
      <c r="Z24" s="211">
        <v>0</v>
      </c>
      <c r="AA24" s="211">
        <v>0</v>
      </c>
      <c r="AB24" s="211">
        <v>0</v>
      </c>
      <c r="AC24" s="211">
        <v>0</v>
      </c>
      <c r="AD24" s="211">
        <v>0</v>
      </c>
      <c r="AE24" s="211">
        <v>0</v>
      </c>
      <c r="AF24" s="211">
        <v>0</v>
      </c>
      <c r="AG24" s="211">
        <v>0.59799999999999998</v>
      </c>
    </row>
    <row r="25" spans="1:33" x14ac:dyDescent="0.25">
      <c r="A25" s="121"/>
      <c r="B25" s="210" t="s">
        <v>213</v>
      </c>
      <c r="C25" s="211">
        <v>0</v>
      </c>
      <c r="D25" s="211">
        <v>0</v>
      </c>
      <c r="E25" s="211">
        <v>0</v>
      </c>
      <c r="F25" s="211">
        <v>0</v>
      </c>
      <c r="G25" s="211">
        <v>0</v>
      </c>
      <c r="H25" s="211">
        <v>0</v>
      </c>
      <c r="I25" s="211">
        <v>0</v>
      </c>
      <c r="J25" s="211">
        <v>4.8000000000000001E-2</v>
      </c>
      <c r="K25" s="211">
        <v>0</v>
      </c>
      <c r="L25" s="211">
        <v>0</v>
      </c>
      <c r="M25" s="211">
        <v>0</v>
      </c>
      <c r="N25" s="211">
        <v>0</v>
      </c>
      <c r="O25" s="211">
        <v>0</v>
      </c>
      <c r="P25" s="211">
        <v>0</v>
      </c>
      <c r="Q25" s="211">
        <v>0</v>
      </c>
      <c r="R25" s="211">
        <v>0</v>
      </c>
      <c r="S25" s="211">
        <v>0</v>
      </c>
      <c r="T25" s="211">
        <v>0</v>
      </c>
      <c r="U25" s="211">
        <v>0</v>
      </c>
      <c r="V25" s="211">
        <v>0</v>
      </c>
      <c r="W25" s="211">
        <v>0.104</v>
      </c>
      <c r="X25" s="211">
        <v>0</v>
      </c>
      <c r="Y25" s="211">
        <v>6.9210000000000003</v>
      </c>
      <c r="Z25" s="211">
        <v>0</v>
      </c>
      <c r="AA25" s="211">
        <v>0</v>
      </c>
      <c r="AB25" s="211">
        <v>0</v>
      </c>
      <c r="AC25" s="211">
        <v>0</v>
      </c>
      <c r="AD25" s="211">
        <v>0</v>
      </c>
      <c r="AE25" s="211">
        <v>0</v>
      </c>
      <c r="AF25" s="211">
        <v>0</v>
      </c>
      <c r="AG25" s="211">
        <v>7.0730000000000004</v>
      </c>
    </row>
    <row r="26" spans="1:33" x14ac:dyDescent="0.25">
      <c r="A26" s="121"/>
      <c r="B26" s="210" t="s">
        <v>214</v>
      </c>
      <c r="C26" s="211">
        <v>0</v>
      </c>
      <c r="D26" s="211">
        <v>0</v>
      </c>
      <c r="E26" s="211">
        <v>0</v>
      </c>
      <c r="F26" s="211">
        <v>16.279900000000001</v>
      </c>
      <c r="G26" s="211">
        <v>1.2749999999999999</v>
      </c>
      <c r="H26" s="211">
        <v>0</v>
      </c>
      <c r="I26" s="211">
        <v>0</v>
      </c>
      <c r="J26" s="211">
        <v>0.37356400000000001</v>
      </c>
      <c r="K26" s="211">
        <v>0</v>
      </c>
      <c r="L26" s="211">
        <v>0</v>
      </c>
      <c r="M26" s="211">
        <v>123.217</v>
      </c>
      <c r="N26" s="211">
        <v>0</v>
      </c>
      <c r="O26" s="211">
        <v>34.304099999999998</v>
      </c>
      <c r="P26" s="211">
        <v>59.843000000000004</v>
      </c>
      <c r="Q26" s="211">
        <v>0</v>
      </c>
      <c r="R26" s="211">
        <v>22.534099999999999</v>
      </c>
      <c r="S26" s="211">
        <v>10.9314</v>
      </c>
      <c r="T26" s="211">
        <v>0</v>
      </c>
      <c r="U26" s="211">
        <v>0</v>
      </c>
      <c r="V26" s="211">
        <v>9.2766400000000004</v>
      </c>
      <c r="W26" s="211">
        <v>9.6985799999999998</v>
      </c>
      <c r="X26" s="211">
        <v>0</v>
      </c>
      <c r="Y26" s="211">
        <v>0</v>
      </c>
      <c r="Z26" s="211">
        <v>0</v>
      </c>
      <c r="AA26" s="211">
        <v>0</v>
      </c>
      <c r="AB26" s="211">
        <v>0</v>
      </c>
      <c r="AC26" s="211">
        <v>0</v>
      </c>
      <c r="AD26" s="211">
        <v>0</v>
      </c>
      <c r="AE26" s="211">
        <v>0</v>
      </c>
      <c r="AF26" s="211">
        <v>6.2052800000000001</v>
      </c>
      <c r="AG26" s="211">
        <v>293.93856400000004</v>
      </c>
    </row>
    <row r="27" spans="1:33" x14ac:dyDescent="0.25">
      <c r="A27" s="121"/>
      <c r="B27" s="210" t="s">
        <v>215</v>
      </c>
      <c r="C27" s="211">
        <v>0</v>
      </c>
      <c r="D27" s="211">
        <v>0</v>
      </c>
      <c r="E27" s="211">
        <v>0</v>
      </c>
      <c r="F27" s="211">
        <v>0</v>
      </c>
      <c r="G27" s="211">
        <v>0</v>
      </c>
      <c r="H27" s="211">
        <v>0</v>
      </c>
      <c r="I27" s="211">
        <v>0</v>
      </c>
      <c r="J27" s="211">
        <v>0.193</v>
      </c>
      <c r="K27" s="211">
        <v>0</v>
      </c>
      <c r="L27" s="211">
        <v>0</v>
      </c>
      <c r="M27" s="211">
        <v>0</v>
      </c>
      <c r="N27" s="211">
        <v>0</v>
      </c>
      <c r="O27" s="211">
        <v>0</v>
      </c>
      <c r="P27" s="211">
        <v>0</v>
      </c>
      <c r="Q27" s="211">
        <v>0</v>
      </c>
      <c r="R27" s="211">
        <v>0</v>
      </c>
      <c r="S27" s="211">
        <v>0</v>
      </c>
      <c r="T27" s="211">
        <v>0</v>
      </c>
      <c r="U27" s="211">
        <v>0</v>
      </c>
      <c r="V27" s="211">
        <v>0</v>
      </c>
      <c r="W27" s="211">
        <v>0.112</v>
      </c>
      <c r="X27" s="211">
        <v>0</v>
      </c>
      <c r="Y27" s="211">
        <v>5.6630000000000003</v>
      </c>
      <c r="Z27" s="211">
        <v>0</v>
      </c>
      <c r="AA27" s="211">
        <v>0</v>
      </c>
      <c r="AB27" s="211">
        <v>0</v>
      </c>
      <c r="AC27" s="211">
        <v>0</v>
      </c>
      <c r="AD27" s="211">
        <v>0</v>
      </c>
      <c r="AE27" s="211">
        <v>0</v>
      </c>
      <c r="AF27" s="211">
        <v>0</v>
      </c>
      <c r="AG27" s="211">
        <v>5.968</v>
      </c>
    </row>
    <row r="28" spans="1:33" x14ac:dyDescent="0.25">
      <c r="A28" s="121"/>
      <c r="B28" s="210" t="s">
        <v>216</v>
      </c>
      <c r="C28" s="211">
        <v>0</v>
      </c>
      <c r="D28" s="211">
        <v>0</v>
      </c>
      <c r="E28" s="211">
        <v>0</v>
      </c>
      <c r="F28" s="211">
        <v>0</v>
      </c>
      <c r="G28" s="211">
        <v>0</v>
      </c>
      <c r="H28" s="211">
        <v>0</v>
      </c>
      <c r="I28" s="211">
        <v>5.2999999999999999E-2</v>
      </c>
      <c r="J28" s="211">
        <v>0.17199999999999999</v>
      </c>
      <c r="K28" s="211">
        <v>0</v>
      </c>
      <c r="L28" s="211">
        <v>0</v>
      </c>
      <c r="M28" s="211">
        <v>0</v>
      </c>
      <c r="N28" s="211">
        <v>0</v>
      </c>
      <c r="O28" s="211">
        <v>0</v>
      </c>
      <c r="P28" s="211">
        <v>0</v>
      </c>
      <c r="Q28" s="211">
        <v>0</v>
      </c>
      <c r="R28" s="211">
        <v>0</v>
      </c>
      <c r="S28" s="211">
        <v>0</v>
      </c>
      <c r="T28" s="211">
        <v>0</v>
      </c>
      <c r="U28" s="211">
        <v>0</v>
      </c>
      <c r="V28" s="211">
        <v>0</v>
      </c>
      <c r="W28" s="211">
        <v>1.4999999999999999E-2</v>
      </c>
      <c r="X28" s="211">
        <v>0</v>
      </c>
      <c r="Y28" s="211">
        <v>0.63200000000000001</v>
      </c>
      <c r="Z28" s="211">
        <v>0</v>
      </c>
      <c r="AA28" s="211">
        <v>0</v>
      </c>
      <c r="AB28" s="211">
        <v>0</v>
      </c>
      <c r="AC28" s="211">
        <v>0</v>
      </c>
      <c r="AD28" s="211">
        <v>0</v>
      </c>
      <c r="AE28" s="211">
        <v>0</v>
      </c>
      <c r="AF28" s="211">
        <v>0</v>
      </c>
      <c r="AG28" s="211">
        <v>0.872</v>
      </c>
    </row>
    <row r="29" spans="1:33" x14ac:dyDescent="0.25">
      <c r="A29" s="207" t="s">
        <v>217</v>
      </c>
      <c r="B29" s="208"/>
      <c r="C29" s="209"/>
      <c r="D29" s="209"/>
      <c r="E29" s="209"/>
      <c r="F29" s="209"/>
      <c r="G29" s="209"/>
      <c r="H29" s="209"/>
      <c r="I29" s="209"/>
      <c r="J29" s="209"/>
      <c r="K29" s="209"/>
      <c r="L29" s="209"/>
      <c r="M29" s="209"/>
      <c r="N29" s="209"/>
      <c r="O29" s="209"/>
      <c r="P29" s="209"/>
      <c r="Q29" s="209"/>
      <c r="R29" s="209"/>
      <c r="S29" s="209"/>
      <c r="T29" s="209"/>
      <c r="U29" s="209"/>
      <c r="V29" s="209"/>
      <c r="W29" s="209"/>
      <c r="X29" s="209"/>
      <c r="Y29" s="209"/>
      <c r="Z29" s="209"/>
      <c r="AA29" s="209"/>
      <c r="AB29" s="209"/>
      <c r="AC29" s="209"/>
      <c r="AD29" s="209"/>
      <c r="AE29" s="209"/>
      <c r="AF29" s="209"/>
      <c r="AG29" s="209"/>
    </row>
    <row r="30" spans="1:33" x14ac:dyDescent="0.25">
      <c r="A30" s="121"/>
      <c r="B30" s="210" t="s">
        <v>218</v>
      </c>
      <c r="C30" s="211">
        <v>0</v>
      </c>
      <c r="D30" s="211">
        <v>0</v>
      </c>
      <c r="E30" s="211">
        <v>0</v>
      </c>
      <c r="F30" s="211">
        <v>0</v>
      </c>
      <c r="G30" s="211">
        <v>1.52</v>
      </c>
      <c r="H30" s="211">
        <v>1.66</v>
      </c>
      <c r="I30" s="211">
        <v>0</v>
      </c>
      <c r="J30" s="211">
        <v>0.06</v>
      </c>
      <c r="K30" s="211">
        <v>0</v>
      </c>
      <c r="L30" s="211">
        <v>0</v>
      </c>
      <c r="M30" s="211">
        <v>0</v>
      </c>
      <c r="N30" s="211">
        <v>0</v>
      </c>
      <c r="O30" s="211">
        <v>0</v>
      </c>
      <c r="P30" s="211">
        <v>31.52</v>
      </c>
      <c r="Q30" s="211">
        <v>0</v>
      </c>
      <c r="R30" s="211">
        <v>0</v>
      </c>
      <c r="S30" s="211">
        <v>0</v>
      </c>
      <c r="T30" s="211">
        <v>0</v>
      </c>
      <c r="U30" s="211">
        <v>0</v>
      </c>
      <c r="V30" s="211">
        <v>0</v>
      </c>
      <c r="W30" s="211">
        <v>3.2</v>
      </c>
      <c r="X30" s="211">
        <v>0</v>
      </c>
      <c r="Y30" s="211">
        <v>0</v>
      </c>
      <c r="Z30" s="211">
        <v>0</v>
      </c>
      <c r="AA30" s="211">
        <v>0</v>
      </c>
      <c r="AB30" s="211">
        <v>0</v>
      </c>
      <c r="AC30" s="211">
        <v>0</v>
      </c>
      <c r="AD30" s="211">
        <v>0</v>
      </c>
      <c r="AE30" s="211">
        <v>0</v>
      </c>
      <c r="AF30" s="211">
        <v>124.85</v>
      </c>
      <c r="AG30" s="211">
        <v>162.81</v>
      </c>
    </row>
    <row r="31" spans="1:33" x14ac:dyDescent="0.25">
      <c r="A31" s="207" t="s">
        <v>220</v>
      </c>
      <c r="B31" s="208"/>
      <c r="C31" s="209"/>
      <c r="D31" s="209"/>
      <c r="E31" s="209"/>
      <c r="F31" s="209"/>
      <c r="G31" s="209"/>
      <c r="H31" s="209"/>
      <c r="I31" s="209"/>
      <c r="J31" s="209"/>
      <c r="K31" s="209"/>
      <c r="L31" s="209"/>
      <c r="M31" s="209"/>
      <c r="N31" s="209"/>
      <c r="O31" s="209"/>
      <c r="P31" s="209"/>
      <c r="Q31" s="209"/>
      <c r="R31" s="209"/>
      <c r="S31" s="209"/>
      <c r="T31" s="209"/>
      <c r="U31" s="209"/>
      <c r="V31" s="209"/>
      <c r="W31" s="209"/>
      <c r="X31" s="209"/>
      <c r="Y31" s="209"/>
      <c r="Z31" s="209"/>
      <c r="AA31" s="209"/>
      <c r="AB31" s="209"/>
      <c r="AC31" s="209"/>
      <c r="AD31" s="209"/>
      <c r="AE31" s="209"/>
      <c r="AF31" s="209"/>
      <c r="AG31" s="209"/>
    </row>
    <row r="32" spans="1:33" x14ac:dyDescent="0.25">
      <c r="A32" s="121"/>
      <c r="B32" s="210" t="s">
        <v>221</v>
      </c>
      <c r="C32" s="211">
        <v>0</v>
      </c>
      <c r="D32" s="211">
        <v>0</v>
      </c>
      <c r="E32" s="211">
        <v>0</v>
      </c>
      <c r="F32" s="211">
        <v>0</v>
      </c>
      <c r="G32" s="211">
        <v>0</v>
      </c>
      <c r="H32" s="211">
        <v>0</v>
      </c>
      <c r="I32" s="211">
        <v>0</v>
      </c>
      <c r="J32" s="211">
        <v>0.3</v>
      </c>
      <c r="K32" s="211">
        <v>0</v>
      </c>
      <c r="L32" s="211">
        <v>0</v>
      </c>
      <c r="M32" s="211">
        <v>0</v>
      </c>
      <c r="N32" s="211">
        <v>0</v>
      </c>
      <c r="O32" s="211">
        <v>0</v>
      </c>
      <c r="P32" s="211">
        <v>0</v>
      </c>
      <c r="Q32" s="211">
        <v>0</v>
      </c>
      <c r="R32" s="211">
        <v>0</v>
      </c>
      <c r="S32" s="211">
        <v>0</v>
      </c>
      <c r="T32" s="211">
        <v>0</v>
      </c>
      <c r="U32" s="211">
        <v>0</v>
      </c>
      <c r="V32" s="211">
        <v>0</v>
      </c>
      <c r="W32" s="211">
        <v>1.6791</v>
      </c>
      <c r="X32" s="211">
        <v>0</v>
      </c>
      <c r="Y32" s="211">
        <v>0</v>
      </c>
      <c r="Z32" s="211">
        <v>0</v>
      </c>
      <c r="AA32" s="211">
        <v>0</v>
      </c>
      <c r="AB32" s="211">
        <v>0</v>
      </c>
      <c r="AC32" s="211">
        <v>0</v>
      </c>
      <c r="AD32" s="211">
        <v>0</v>
      </c>
      <c r="AE32" s="211">
        <v>0</v>
      </c>
      <c r="AF32" s="211">
        <v>78</v>
      </c>
      <c r="AG32" s="211">
        <v>79.979100000000003</v>
      </c>
    </row>
    <row r="33" spans="1:33" x14ac:dyDescent="0.25">
      <c r="A33" s="121"/>
      <c r="B33" s="210" t="s">
        <v>222</v>
      </c>
      <c r="C33" s="211">
        <v>0</v>
      </c>
      <c r="D33" s="211">
        <v>0</v>
      </c>
      <c r="E33" s="211">
        <v>0</v>
      </c>
      <c r="F33" s="211">
        <v>0</v>
      </c>
      <c r="G33" s="211">
        <v>0</v>
      </c>
      <c r="H33" s="211">
        <v>0</v>
      </c>
      <c r="I33" s="211">
        <v>0</v>
      </c>
      <c r="J33" s="211">
        <v>0.24</v>
      </c>
      <c r="K33" s="211">
        <v>0</v>
      </c>
      <c r="L33" s="211">
        <v>0</v>
      </c>
      <c r="M33" s="211">
        <v>0</v>
      </c>
      <c r="N33" s="211">
        <v>0</v>
      </c>
      <c r="O33" s="211">
        <v>0</v>
      </c>
      <c r="P33" s="211">
        <v>0</v>
      </c>
      <c r="Q33" s="211">
        <v>0</v>
      </c>
      <c r="R33" s="211">
        <v>0</v>
      </c>
      <c r="S33" s="211">
        <v>0</v>
      </c>
      <c r="T33" s="211">
        <v>0</v>
      </c>
      <c r="U33" s="211">
        <v>0</v>
      </c>
      <c r="V33" s="211">
        <v>0</v>
      </c>
      <c r="W33" s="211">
        <v>0.3201</v>
      </c>
      <c r="X33" s="211">
        <v>0</v>
      </c>
      <c r="Y33" s="211">
        <v>0</v>
      </c>
      <c r="Z33" s="211">
        <v>0</v>
      </c>
      <c r="AA33" s="211">
        <v>0</v>
      </c>
      <c r="AB33" s="211">
        <v>0</v>
      </c>
      <c r="AC33" s="211">
        <v>0</v>
      </c>
      <c r="AD33" s="211">
        <v>0</v>
      </c>
      <c r="AE33" s="211">
        <v>0</v>
      </c>
      <c r="AF33" s="211">
        <v>15.8</v>
      </c>
      <c r="AG33" s="211">
        <v>16.360099999999999</v>
      </c>
    </row>
    <row r="34" spans="1:33" x14ac:dyDescent="0.25">
      <c r="A34" s="121"/>
      <c r="B34" s="210" t="s">
        <v>223</v>
      </c>
      <c r="C34" s="211">
        <v>0</v>
      </c>
      <c r="D34" s="211">
        <v>0</v>
      </c>
      <c r="E34" s="211">
        <v>0</v>
      </c>
      <c r="F34" s="211">
        <v>0</v>
      </c>
      <c r="G34" s="211">
        <v>0</v>
      </c>
      <c r="H34" s="211">
        <v>0</v>
      </c>
      <c r="I34" s="211">
        <v>0</v>
      </c>
      <c r="J34" s="211">
        <v>0.06</v>
      </c>
      <c r="K34" s="211">
        <v>0</v>
      </c>
      <c r="L34" s="211">
        <v>0</v>
      </c>
      <c r="M34" s="211">
        <v>0</v>
      </c>
      <c r="N34" s="211">
        <v>0</v>
      </c>
      <c r="O34" s="211">
        <v>0</v>
      </c>
      <c r="P34" s="211">
        <v>0</v>
      </c>
      <c r="Q34" s="211">
        <v>0</v>
      </c>
      <c r="R34" s="211">
        <v>0</v>
      </c>
      <c r="S34" s="211">
        <v>0</v>
      </c>
      <c r="T34" s="211">
        <v>0</v>
      </c>
      <c r="U34" s="211">
        <v>0</v>
      </c>
      <c r="V34" s="211">
        <v>0</v>
      </c>
      <c r="W34" s="211">
        <v>0.3201</v>
      </c>
      <c r="X34" s="211">
        <v>0</v>
      </c>
      <c r="Y34" s="211">
        <v>0</v>
      </c>
      <c r="Z34" s="211">
        <v>0</v>
      </c>
      <c r="AA34" s="211">
        <v>0</v>
      </c>
      <c r="AB34" s="211">
        <v>0</v>
      </c>
      <c r="AC34" s="211">
        <v>0</v>
      </c>
      <c r="AD34" s="211">
        <v>0</v>
      </c>
      <c r="AE34" s="211">
        <v>0</v>
      </c>
      <c r="AF34" s="211">
        <v>22.8</v>
      </c>
      <c r="AG34" s="211">
        <v>23.180099999999999</v>
      </c>
    </row>
    <row r="35" spans="1:33" x14ac:dyDescent="0.25">
      <c r="A35" s="207" t="s">
        <v>224</v>
      </c>
      <c r="B35" s="208"/>
      <c r="C35" s="209"/>
      <c r="D35" s="209"/>
      <c r="E35" s="209"/>
      <c r="F35" s="209"/>
      <c r="G35" s="209"/>
      <c r="H35" s="209"/>
      <c r="I35" s="209"/>
      <c r="J35" s="209"/>
      <c r="K35" s="209"/>
      <c r="L35" s="209"/>
      <c r="M35" s="209"/>
      <c r="N35" s="209"/>
      <c r="O35" s="209"/>
      <c r="P35" s="209"/>
      <c r="Q35" s="209"/>
      <c r="R35" s="209"/>
      <c r="S35" s="209"/>
      <c r="T35" s="209"/>
      <c r="U35" s="209"/>
      <c r="V35" s="209"/>
      <c r="W35" s="209"/>
      <c r="X35" s="209"/>
      <c r="Y35" s="209"/>
      <c r="Z35" s="209"/>
      <c r="AA35" s="209"/>
      <c r="AB35" s="209"/>
      <c r="AC35" s="209"/>
      <c r="AD35" s="209"/>
      <c r="AE35" s="209"/>
      <c r="AF35" s="209"/>
      <c r="AG35" s="209"/>
    </row>
    <row r="36" spans="1:33" x14ac:dyDescent="0.25">
      <c r="A36" s="121"/>
      <c r="B36" s="210" t="s">
        <v>225</v>
      </c>
      <c r="C36" s="211">
        <v>0</v>
      </c>
      <c r="D36" s="211">
        <v>0</v>
      </c>
      <c r="E36" s="211">
        <v>0</v>
      </c>
      <c r="F36" s="211">
        <v>0</v>
      </c>
      <c r="G36" s="211">
        <v>0</v>
      </c>
      <c r="H36" s="211">
        <v>0</v>
      </c>
      <c r="I36" s="211">
        <v>0</v>
      </c>
      <c r="J36" s="211">
        <v>0</v>
      </c>
      <c r="K36" s="211">
        <v>0</v>
      </c>
      <c r="L36" s="211">
        <v>0</v>
      </c>
      <c r="M36" s="211">
        <v>0</v>
      </c>
      <c r="N36" s="211">
        <v>0</v>
      </c>
      <c r="O36" s="211">
        <v>0</v>
      </c>
      <c r="P36" s="211">
        <v>0</v>
      </c>
      <c r="Q36" s="211">
        <v>0</v>
      </c>
      <c r="R36" s="211">
        <v>0</v>
      </c>
      <c r="S36" s="211">
        <v>29.55</v>
      </c>
      <c r="T36" s="211">
        <v>0</v>
      </c>
      <c r="U36" s="211">
        <v>0</v>
      </c>
      <c r="V36" s="211">
        <v>0</v>
      </c>
      <c r="W36" s="211">
        <v>0.56999999999999995</v>
      </c>
      <c r="X36" s="211">
        <v>0</v>
      </c>
      <c r="Y36" s="211">
        <v>6.68</v>
      </c>
      <c r="Z36" s="211">
        <v>0</v>
      </c>
      <c r="AA36" s="211">
        <v>0</v>
      </c>
      <c r="AB36" s="211">
        <v>0</v>
      </c>
      <c r="AC36" s="211">
        <v>0</v>
      </c>
      <c r="AD36" s="211">
        <v>0</v>
      </c>
      <c r="AE36" s="211">
        <v>0</v>
      </c>
      <c r="AF36" s="211">
        <v>0</v>
      </c>
      <c r="AG36" s="211">
        <v>36.799999999999997</v>
      </c>
    </row>
    <row r="37" spans="1:33" x14ac:dyDescent="0.25">
      <c r="A37" s="207" t="s">
        <v>1100</v>
      </c>
      <c r="B37" s="208"/>
      <c r="C37" s="209"/>
      <c r="D37" s="209"/>
      <c r="E37" s="209"/>
      <c r="F37" s="209"/>
      <c r="G37" s="209"/>
      <c r="H37" s="209"/>
      <c r="I37" s="209"/>
      <c r="J37" s="209"/>
      <c r="K37" s="209"/>
      <c r="L37" s="209"/>
      <c r="M37" s="209"/>
      <c r="N37" s="209"/>
      <c r="O37" s="209"/>
      <c r="P37" s="209"/>
      <c r="Q37" s="209"/>
      <c r="R37" s="209"/>
      <c r="S37" s="209"/>
      <c r="T37" s="209"/>
      <c r="U37" s="209"/>
      <c r="V37" s="209"/>
      <c r="W37" s="209"/>
      <c r="X37" s="209"/>
      <c r="Y37" s="209"/>
      <c r="Z37" s="209"/>
      <c r="AA37" s="209"/>
      <c r="AB37" s="209"/>
      <c r="AC37" s="209"/>
      <c r="AD37" s="209"/>
      <c r="AE37" s="209"/>
      <c r="AF37" s="209"/>
      <c r="AG37" s="209"/>
    </row>
    <row r="38" spans="1:33" x14ac:dyDescent="0.25">
      <c r="A38" s="121"/>
      <c r="B38" s="210" t="s">
        <v>1101</v>
      </c>
      <c r="C38" s="211">
        <v>0</v>
      </c>
      <c r="D38" s="211">
        <v>0</v>
      </c>
      <c r="E38" s="211">
        <v>0</v>
      </c>
      <c r="F38" s="211">
        <v>0</v>
      </c>
      <c r="G38" s="211">
        <v>0</v>
      </c>
      <c r="H38" s="211">
        <v>0</v>
      </c>
      <c r="I38" s="211">
        <v>0</v>
      </c>
      <c r="J38" s="211">
        <v>0</v>
      </c>
      <c r="K38" s="211">
        <v>0</v>
      </c>
      <c r="L38" s="211">
        <v>0</v>
      </c>
      <c r="M38" s="211">
        <v>0</v>
      </c>
      <c r="N38" s="211">
        <v>0</v>
      </c>
      <c r="O38" s="211">
        <v>0</v>
      </c>
      <c r="P38" s="211">
        <v>0</v>
      </c>
      <c r="Q38" s="211">
        <v>0</v>
      </c>
      <c r="R38" s="211">
        <v>0</v>
      </c>
      <c r="S38" s="211">
        <v>0</v>
      </c>
      <c r="T38" s="211">
        <v>0</v>
      </c>
      <c r="U38" s="211">
        <v>0</v>
      </c>
      <c r="V38" s="211">
        <v>0</v>
      </c>
      <c r="W38" s="211">
        <v>0</v>
      </c>
      <c r="X38" s="211">
        <v>0</v>
      </c>
      <c r="Y38" s="211">
        <v>0</v>
      </c>
      <c r="Z38" s="211">
        <v>0</v>
      </c>
      <c r="AA38" s="211">
        <v>0</v>
      </c>
      <c r="AB38" s="211">
        <v>0</v>
      </c>
      <c r="AC38" s="211">
        <v>0</v>
      </c>
      <c r="AD38" s="211">
        <v>0</v>
      </c>
      <c r="AE38" s="211">
        <v>0</v>
      </c>
      <c r="AF38" s="211">
        <v>0</v>
      </c>
      <c r="AG38" s="211">
        <v>0</v>
      </c>
    </row>
    <row r="39" spans="1:33" x14ac:dyDescent="0.25">
      <c r="A39" s="207" t="s">
        <v>1102</v>
      </c>
      <c r="B39" s="208"/>
      <c r="C39" s="209"/>
      <c r="D39" s="209"/>
      <c r="E39" s="209"/>
      <c r="F39" s="209"/>
      <c r="G39" s="209"/>
      <c r="H39" s="209"/>
      <c r="I39" s="209"/>
      <c r="J39" s="209"/>
      <c r="K39" s="209"/>
      <c r="L39" s="209"/>
      <c r="M39" s="209"/>
      <c r="N39" s="209"/>
      <c r="O39" s="209"/>
      <c r="P39" s="209"/>
      <c r="Q39" s="209"/>
      <c r="R39" s="209"/>
      <c r="S39" s="209"/>
      <c r="T39" s="209"/>
      <c r="U39" s="209"/>
      <c r="V39" s="209"/>
      <c r="W39" s="209"/>
      <c r="X39" s="209"/>
      <c r="Y39" s="209"/>
      <c r="Z39" s="209"/>
      <c r="AA39" s="209"/>
      <c r="AB39" s="209"/>
      <c r="AC39" s="209"/>
      <c r="AD39" s="209"/>
      <c r="AE39" s="209"/>
      <c r="AF39" s="209"/>
      <c r="AG39" s="209"/>
    </row>
    <row r="40" spans="1:33" x14ac:dyDescent="0.25">
      <c r="A40" s="121"/>
      <c r="B40" s="210" t="s">
        <v>58</v>
      </c>
      <c r="C40" s="211">
        <v>0</v>
      </c>
      <c r="D40" s="211">
        <v>0</v>
      </c>
      <c r="E40" s="211">
        <v>0</v>
      </c>
      <c r="F40" s="211">
        <v>0</v>
      </c>
      <c r="G40" s="211">
        <v>0</v>
      </c>
      <c r="H40" s="211">
        <v>0</v>
      </c>
      <c r="I40" s="211">
        <v>0</v>
      </c>
      <c r="J40" s="211">
        <v>0</v>
      </c>
      <c r="K40" s="211">
        <v>0</v>
      </c>
      <c r="L40" s="211">
        <v>0</v>
      </c>
      <c r="M40" s="211">
        <v>0</v>
      </c>
      <c r="N40" s="211">
        <v>0</v>
      </c>
      <c r="O40" s="211">
        <v>0</v>
      </c>
      <c r="P40" s="211">
        <v>0</v>
      </c>
      <c r="Q40" s="211">
        <v>0</v>
      </c>
      <c r="R40" s="211">
        <v>0</v>
      </c>
      <c r="S40" s="211">
        <v>0</v>
      </c>
      <c r="T40" s="211">
        <v>0</v>
      </c>
      <c r="U40" s="211">
        <v>0</v>
      </c>
      <c r="V40" s="211">
        <v>0</v>
      </c>
      <c r="W40" s="211">
        <v>0</v>
      </c>
      <c r="X40" s="211">
        <v>0</v>
      </c>
      <c r="Y40" s="211">
        <v>0</v>
      </c>
      <c r="Z40" s="211">
        <v>0</v>
      </c>
      <c r="AA40" s="211">
        <v>0</v>
      </c>
      <c r="AB40" s="211">
        <v>0</v>
      </c>
      <c r="AC40" s="211">
        <v>0</v>
      </c>
      <c r="AD40" s="211">
        <v>0</v>
      </c>
      <c r="AE40" s="211">
        <v>0</v>
      </c>
      <c r="AF40" s="211">
        <v>0</v>
      </c>
      <c r="AG40" s="211">
        <v>0</v>
      </c>
    </row>
    <row r="41" spans="1:33" x14ac:dyDescent="0.25">
      <c r="A41" s="207" t="s">
        <v>57</v>
      </c>
      <c r="B41" s="208"/>
      <c r="C41" s="209"/>
      <c r="D41" s="209"/>
      <c r="E41" s="209"/>
      <c r="F41" s="209"/>
      <c r="G41" s="209"/>
      <c r="H41" s="209"/>
      <c r="I41" s="209"/>
      <c r="J41" s="209"/>
      <c r="K41" s="209"/>
      <c r="L41" s="209"/>
      <c r="M41" s="209"/>
      <c r="N41" s="209"/>
      <c r="O41" s="209"/>
      <c r="P41" s="209"/>
      <c r="Q41" s="209"/>
      <c r="R41" s="209"/>
      <c r="S41" s="209"/>
      <c r="T41" s="209"/>
      <c r="U41" s="209"/>
      <c r="V41" s="209"/>
      <c r="W41" s="209"/>
      <c r="X41" s="209"/>
      <c r="Y41" s="209"/>
      <c r="Z41" s="209"/>
      <c r="AA41" s="209"/>
      <c r="AB41" s="209"/>
      <c r="AC41" s="209"/>
      <c r="AD41" s="209"/>
      <c r="AE41" s="209"/>
      <c r="AF41" s="209"/>
      <c r="AG41" s="209"/>
    </row>
    <row r="42" spans="1:33" x14ac:dyDescent="0.25">
      <c r="A42" s="121"/>
      <c r="B42" s="210" t="s">
        <v>59</v>
      </c>
      <c r="C42" s="211">
        <v>0</v>
      </c>
      <c r="D42" s="211">
        <v>0</v>
      </c>
      <c r="E42" s="211">
        <v>0</v>
      </c>
      <c r="F42" s="211">
        <v>0</v>
      </c>
      <c r="G42" s="211">
        <v>0</v>
      </c>
      <c r="H42" s="211">
        <v>0</v>
      </c>
      <c r="I42" s="211">
        <v>0</v>
      </c>
      <c r="J42" s="211">
        <v>0</v>
      </c>
      <c r="K42" s="211">
        <v>0</v>
      </c>
      <c r="L42" s="211">
        <v>0</v>
      </c>
      <c r="M42" s="211">
        <v>0</v>
      </c>
      <c r="N42" s="211">
        <v>0</v>
      </c>
      <c r="O42" s="211">
        <v>0</v>
      </c>
      <c r="P42" s="211">
        <v>0</v>
      </c>
      <c r="Q42" s="211">
        <v>0</v>
      </c>
      <c r="R42" s="211">
        <v>0</v>
      </c>
      <c r="S42" s="211">
        <v>0</v>
      </c>
      <c r="T42" s="211">
        <v>0</v>
      </c>
      <c r="U42" s="211">
        <v>0</v>
      </c>
      <c r="V42" s="211">
        <v>0</v>
      </c>
      <c r="W42" s="211">
        <v>0</v>
      </c>
      <c r="X42" s="211">
        <v>0</v>
      </c>
      <c r="Y42" s="211">
        <v>0</v>
      </c>
      <c r="Z42" s="211">
        <v>0</v>
      </c>
      <c r="AA42" s="211">
        <v>0</v>
      </c>
      <c r="AB42" s="211">
        <v>0</v>
      </c>
      <c r="AC42" s="211">
        <v>0</v>
      </c>
      <c r="AD42" s="211">
        <v>0</v>
      </c>
      <c r="AE42" s="211">
        <v>0</v>
      </c>
      <c r="AF42" s="211">
        <v>0</v>
      </c>
      <c r="AG42" s="211">
        <v>0</v>
      </c>
    </row>
    <row r="43" spans="1:33" x14ac:dyDescent="0.25">
      <c r="A43" s="207" t="s">
        <v>60</v>
      </c>
      <c r="B43" s="208"/>
      <c r="C43" s="209"/>
      <c r="D43" s="209"/>
      <c r="E43" s="209"/>
      <c r="F43" s="209"/>
      <c r="G43" s="209"/>
      <c r="H43" s="209"/>
      <c r="I43" s="209"/>
      <c r="J43" s="209"/>
      <c r="K43" s="209"/>
      <c r="L43" s="209"/>
      <c r="M43" s="209"/>
      <c r="N43" s="209"/>
      <c r="O43" s="209"/>
      <c r="P43" s="209"/>
      <c r="Q43" s="209"/>
      <c r="R43" s="209"/>
      <c r="S43" s="209"/>
      <c r="T43" s="209"/>
      <c r="U43" s="209"/>
      <c r="V43" s="209"/>
      <c r="W43" s="209"/>
      <c r="X43" s="209"/>
      <c r="Y43" s="209"/>
      <c r="Z43" s="209"/>
      <c r="AA43" s="209"/>
      <c r="AB43" s="209"/>
      <c r="AC43" s="209"/>
      <c r="AD43" s="209"/>
      <c r="AE43" s="209"/>
      <c r="AF43" s="209"/>
      <c r="AG43" s="209"/>
    </row>
    <row r="44" spans="1:33" x14ac:dyDescent="0.25">
      <c r="A44" s="121"/>
      <c r="B44" s="210" t="s">
        <v>61</v>
      </c>
      <c r="C44" s="211">
        <v>0</v>
      </c>
      <c r="D44" s="211">
        <v>0</v>
      </c>
      <c r="E44" s="211">
        <v>0</v>
      </c>
      <c r="F44" s="211">
        <v>0</v>
      </c>
      <c r="G44" s="211">
        <v>0</v>
      </c>
      <c r="H44" s="211">
        <v>0</v>
      </c>
      <c r="I44" s="211">
        <v>0</v>
      </c>
      <c r="J44" s="211">
        <v>0</v>
      </c>
      <c r="K44" s="211">
        <v>0</v>
      </c>
      <c r="L44" s="211">
        <v>0</v>
      </c>
      <c r="M44" s="211">
        <v>0</v>
      </c>
      <c r="N44" s="211">
        <v>0</v>
      </c>
      <c r="O44" s="211">
        <v>0</v>
      </c>
      <c r="P44" s="211">
        <v>0</v>
      </c>
      <c r="Q44" s="211">
        <v>0</v>
      </c>
      <c r="R44" s="211">
        <v>0</v>
      </c>
      <c r="S44" s="211">
        <v>0</v>
      </c>
      <c r="T44" s="211">
        <v>0</v>
      </c>
      <c r="U44" s="211">
        <v>0</v>
      </c>
      <c r="V44" s="211">
        <v>0</v>
      </c>
      <c r="W44" s="211">
        <v>0</v>
      </c>
      <c r="X44" s="211">
        <v>0</v>
      </c>
      <c r="Y44" s="211">
        <v>0</v>
      </c>
      <c r="Z44" s="211">
        <v>0</v>
      </c>
      <c r="AA44" s="211">
        <v>0</v>
      </c>
      <c r="AB44" s="211">
        <v>0</v>
      </c>
      <c r="AC44" s="211">
        <v>0</v>
      </c>
      <c r="AD44" s="211">
        <v>0</v>
      </c>
      <c r="AE44" s="211">
        <v>0</v>
      </c>
      <c r="AF44" s="211">
        <v>0</v>
      </c>
      <c r="AG44" s="211">
        <v>0</v>
      </c>
    </row>
    <row r="45" spans="1:33" x14ac:dyDescent="0.25">
      <c r="A45" s="207" t="s">
        <v>226</v>
      </c>
      <c r="B45" s="208"/>
      <c r="C45" s="209"/>
      <c r="D45" s="209"/>
      <c r="E45" s="209"/>
      <c r="F45" s="209"/>
      <c r="G45" s="209"/>
      <c r="H45" s="209"/>
      <c r="I45" s="209"/>
      <c r="J45" s="209"/>
      <c r="K45" s="209"/>
      <c r="L45" s="209"/>
      <c r="M45" s="209"/>
      <c r="N45" s="209"/>
      <c r="O45" s="209"/>
      <c r="P45" s="209"/>
      <c r="Q45" s="209"/>
      <c r="R45" s="209"/>
      <c r="S45" s="209"/>
      <c r="T45" s="209"/>
      <c r="U45" s="209"/>
      <c r="V45" s="209"/>
      <c r="W45" s="209"/>
      <c r="X45" s="209"/>
      <c r="Y45" s="209"/>
      <c r="Z45" s="209"/>
      <c r="AA45" s="209"/>
      <c r="AB45" s="209"/>
      <c r="AC45" s="209"/>
      <c r="AD45" s="209"/>
      <c r="AE45" s="209"/>
      <c r="AF45" s="209"/>
      <c r="AG45" s="209"/>
    </row>
    <row r="46" spans="1:33" x14ac:dyDescent="0.25">
      <c r="A46" s="121"/>
      <c r="B46" s="210" t="s">
        <v>227</v>
      </c>
      <c r="C46" s="211">
        <v>0</v>
      </c>
      <c r="D46" s="211">
        <v>0</v>
      </c>
      <c r="E46" s="211">
        <v>0</v>
      </c>
      <c r="F46" s="211">
        <v>0</v>
      </c>
      <c r="G46" s="211">
        <v>0</v>
      </c>
      <c r="H46" s="211">
        <v>0.95</v>
      </c>
      <c r="I46" s="211">
        <v>0</v>
      </c>
      <c r="J46" s="211">
        <v>1.1599999999999999</v>
      </c>
      <c r="K46" s="211">
        <v>0</v>
      </c>
      <c r="L46" s="211">
        <v>1.38</v>
      </c>
      <c r="M46" s="211">
        <v>0</v>
      </c>
      <c r="N46" s="211">
        <v>0</v>
      </c>
      <c r="O46" s="211">
        <v>0</v>
      </c>
      <c r="P46" s="211">
        <v>19.399999999999999</v>
      </c>
      <c r="Q46" s="211">
        <v>9.1999999999999993</v>
      </c>
      <c r="R46" s="211">
        <v>0</v>
      </c>
      <c r="S46" s="211">
        <v>0</v>
      </c>
      <c r="T46" s="211">
        <v>0</v>
      </c>
      <c r="U46" s="211">
        <v>0</v>
      </c>
      <c r="V46" s="211">
        <v>0</v>
      </c>
      <c r="W46" s="211">
        <v>3.44</v>
      </c>
      <c r="X46" s="211">
        <v>0</v>
      </c>
      <c r="Y46" s="211">
        <v>17.8</v>
      </c>
      <c r="Z46" s="211">
        <v>0</v>
      </c>
      <c r="AA46" s="211">
        <v>0</v>
      </c>
      <c r="AB46" s="211">
        <v>0</v>
      </c>
      <c r="AC46" s="211">
        <v>0</v>
      </c>
      <c r="AD46" s="211">
        <v>0</v>
      </c>
      <c r="AE46" s="211">
        <v>0</v>
      </c>
      <c r="AF46" s="211">
        <v>82.9</v>
      </c>
      <c r="AG46" s="211">
        <v>136.23000000000002</v>
      </c>
    </row>
    <row r="47" spans="1:33" x14ac:dyDescent="0.25">
      <c r="A47" s="207" t="s">
        <v>228</v>
      </c>
      <c r="B47" s="208"/>
      <c r="C47" s="209"/>
      <c r="D47" s="209"/>
      <c r="E47" s="209"/>
      <c r="F47" s="209"/>
      <c r="G47" s="209"/>
      <c r="H47" s="209"/>
      <c r="I47" s="209"/>
      <c r="J47" s="209"/>
      <c r="K47" s="209"/>
      <c r="L47" s="209"/>
      <c r="M47" s="209"/>
      <c r="N47" s="209"/>
      <c r="O47" s="209"/>
      <c r="P47" s="209"/>
      <c r="Q47" s="209"/>
      <c r="R47" s="209"/>
      <c r="S47" s="209"/>
      <c r="T47" s="209"/>
      <c r="U47" s="209"/>
      <c r="V47" s="209"/>
      <c r="W47" s="209"/>
      <c r="X47" s="209"/>
      <c r="Y47" s="209"/>
      <c r="Z47" s="209"/>
      <c r="AA47" s="209"/>
      <c r="AB47" s="209"/>
      <c r="AC47" s="209"/>
      <c r="AD47" s="209"/>
      <c r="AE47" s="209"/>
      <c r="AF47" s="209"/>
      <c r="AG47" s="209"/>
    </row>
    <row r="48" spans="1:33" x14ac:dyDescent="0.25">
      <c r="A48" s="121"/>
      <c r="B48" s="210" t="s">
        <v>229</v>
      </c>
      <c r="C48" s="211">
        <v>0</v>
      </c>
      <c r="D48" s="211">
        <v>0</v>
      </c>
      <c r="E48" s="211">
        <v>0</v>
      </c>
      <c r="F48" s="211">
        <v>0</v>
      </c>
      <c r="G48" s="211">
        <v>0</v>
      </c>
      <c r="H48" s="211">
        <v>0</v>
      </c>
      <c r="I48" s="211">
        <v>0</v>
      </c>
      <c r="J48" s="211">
        <v>0.1</v>
      </c>
      <c r="K48" s="211">
        <v>0</v>
      </c>
      <c r="L48" s="211">
        <v>0</v>
      </c>
      <c r="M48" s="211">
        <v>0</v>
      </c>
      <c r="N48" s="211">
        <v>0</v>
      </c>
      <c r="O48" s="211">
        <v>0</v>
      </c>
      <c r="P48" s="211">
        <v>0</v>
      </c>
      <c r="Q48" s="211">
        <v>6.2</v>
      </c>
      <c r="R48" s="211">
        <v>0</v>
      </c>
      <c r="S48" s="211">
        <v>0</v>
      </c>
      <c r="T48" s="211">
        <v>0</v>
      </c>
      <c r="U48" s="211">
        <v>0</v>
      </c>
      <c r="V48" s="211">
        <v>0</v>
      </c>
      <c r="W48" s="211">
        <v>0.06</v>
      </c>
      <c r="X48" s="211">
        <v>0</v>
      </c>
      <c r="Y48" s="211">
        <v>3.1</v>
      </c>
      <c r="Z48" s="211">
        <v>0</v>
      </c>
      <c r="AA48" s="211">
        <v>0</v>
      </c>
      <c r="AB48" s="211">
        <v>0</v>
      </c>
      <c r="AC48" s="211">
        <v>0</v>
      </c>
      <c r="AD48" s="211">
        <v>0</v>
      </c>
      <c r="AE48" s="211">
        <v>0</v>
      </c>
      <c r="AF48" s="211">
        <v>0</v>
      </c>
      <c r="AG48" s="211">
        <v>9.4599999999999991</v>
      </c>
    </row>
    <row r="49" spans="1:33" x14ac:dyDescent="0.25">
      <c r="A49" s="207" t="s">
        <v>1103</v>
      </c>
      <c r="B49" s="208"/>
      <c r="C49" s="209"/>
      <c r="D49" s="209"/>
      <c r="E49" s="209"/>
      <c r="F49" s="209"/>
      <c r="G49" s="209"/>
      <c r="H49" s="209"/>
      <c r="I49" s="209"/>
      <c r="J49" s="209"/>
      <c r="K49" s="209"/>
      <c r="L49" s="209"/>
      <c r="M49" s="209"/>
      <c r="N49" s="209"/>
      <c r="O49" s="209"/>
      <c r="P49" s="209"/>
      <c r="Q49" s="209"/>
      <c r="R49" s="209"/>
      <c r="S49" s="209"/>
      <c r="T49" s="209"/>
      <c r="U49" s="209"/>
      <c r="V49" s="209"/>
      <c r="W49" s="209"/>
      <c r="X49" s="209"/>
      <c r="Y49" s="209"/>
      <c r="Z49" s="209"/>
      <c r="AA49" s="209"/>
      <c r="AB49" s="209"/>
      <c r="AC49" s="209"/>
      <c r="AD49" s="209"/>
      <c r="AE49" s="209"/>
      <c r="AF49" s="209"/>
      <c r="AG49" s="209"/>
    </row>
    <row r="50" spans="1:33" x14ac:dyDescent="0.25">
      <c r="A50" s="121"/>
      <c r="B50" s="210" t="s">
        <v>1104</v>
      </c>
      <c r="C50" s="211">
        <v>0</v>
      </c>
      <c r="D50" s="211">
        <v>0</v>
      </c>
      <c r="E50" s="211">
        <v>0</v>
      </c>
      <c r="F50" s="211">
        <v>0</v>
      </c>
      <c r="G50" s="211">
        <v>0</v>
      </c>
      <c r="H50" s="211">
        <v>0</v>
      </c>
      <c r="I50" s="211">
        <v>0</v>
      </c>
      <c r="J50" s="211">
        <v>0</v>
      </c>
      <c r="K50" s="211">
        <v>0</v>
      </c>
      <c r="L50" s="211">
        <v>0</v>
      </c>
      <c r="M50" s="211">
        <v>0</v>
      </c>
      <c r="N50" s="211">
        <v>0</v>
      </c>
      <c r="O50" s="211">
        <v>0</v>
      </c>
      <c r="P50" s="211">
        <v>0</v>
      </c>
      <c r="Q50" s="211">
        <v>0</v>
      </c>
      <c r="R50" s="211">
        <v>0</v>
      </c>
      <c r="S50" s="211">
        <v>0</v>
      </c>
      <c r="T50" s="211">
        <v>0</v>
      </c>
      <c r="U50" s="211">
        <v>0</v>
      </c>
      <c r="V50" s="211">
        <v>0</v>
      </c>
      <c r="W50" s="211">
        <v>0</v>
      </c>
      <c r="X50" s="211">
        <v>0</v>
      </c>
      <c r="Y50" s="211">
        <v>0</v>
      </c>
      <c r="Z50" s="211">
        <v>0</v>
      </c>
      <c r="AA50" s="211">
        <v>0</v>
      </c>
      <c r="AB50" s="211">
        <v>0</v>
      </c>
      <c r="AC50" s="211">
        <v>0</v>
      </c>
      <c r="AD50" s="211">
        <v>0</v>
      </c>
      <c r="AE50" s="211">
        <v>0</v>
      </c>
      <c r="AF50" s="211">
        <v>0</v>
      </c>
      <c r="AG50" s="211">
        <v>0</v>
      </c>
    </row>
    <row r="51" spans="1:33" x14ac:dyDescent="0.25">
      <c r="A51" s="121"/>
      <c r="B51" s="210" t="s">
        <v>1105</v>
      </c>
      <c r="C51" s="211">
        <v>0</v>
      </c>
      <c r="D51" s="211">
        <v>0</v>
      </c>
      <c r="E51" s="211">
        <v>0</v>
      </c>
      <c r="F51" s="211">
        <v>0</v>
      </c>
      <c r="G51" s="211">
        <v>0</v>
      </c>
      <c r="H51" s="211">
        <v>0</v>
      </c>
      <c r="I51" s="211">
        <v>0</v>
      </c>
      <c r="J51" s="211">
        <v>0</v>
      </c>
      <c r="K51" s="211">
        <v>0</v>
      </c>
      <c r="L51" s="211">
        <v>0</v>
      </c>
      <c r="M51" s="211">
        <v>0</v>
      </c>
      <c r="N51" s="211">
        <v>0</v>
      </c>
      <c r="O51" s="211">
        <v>0</v>
      </c>
      <c r="P51" s="211">
        <v>0</v>
      </c>
      <c r="Q51" s="211">
        <v>0</v>
      </c>
      <c r="R51" s="211">
        <v>0</v>
      </c>
      <c r="S51" s="211">
        <v>0</v>
      </c>
      <c r="T51" s="211">
        <v>0</v>
      </c>
      <c r="U51" s="211">
        <v>0</v>
      </c>
      <c r="V51" s="211">
        <v>0</v>
      </c>
      <c r="W51" s="211">
        <v>0</v>
      </c>
      <c r="X51" s="211">
        <v>0</v>
      </c>
      <c r="Y51" s="211">
        <v>0</v>
      </c>
      <c r="Z51" s="211">
        <v>0</v>
      </c>
      <c r="AA51" s="211">
        <v>0</v>
      </c>
      <c r="AB51" s="211">
        <v>0</v>
      </c>
      <c r="AC51" s="211">
        <v>0</v>
      </c>
      <c r="AD51" s="211">
        <v>0</v>
      </c>
      <c r="AE51" s="211">
        <v>0</v>
      </c>
      <c r="AF51" s="211">
        <v>0</v>
      </c>
      <c r="AG51" s="211">
        <v>0</v>
      </c>
    </row>
    <row r="52" spans="1:33" x14ac:dyDescent="0.25">
      <c r="A52" s="121"/>
      <c r="B52" s="210" t="s">
        <v>1106</v>
      </c>
      <c r="C52" s="211">
        <v>0</v>
      </c>
      <c r="D52" s="211">
        <v>0</v>
      </c>
      <c r="E52" s="211">
        <v>0</v>
      </c>
      <c r="F52" s="211">
        <v>0</v>
      </c>
      <c r="G52" s="211">
        <v>0</v>
      </c>
      <c r="H52" s="211">
        <v>0</v>
      </c>
      <c r="I52" s="211">
        <v>0</v>
      </c>
      <c r="J52" s="211">
        <v>0</v>
      </c>
      <c r="K52" s="211">
        <v>0</v>
      </c>
      <c r="L52" s="211">
        <v>0</v>
      </c>
      <c r="M52" s="211">
        <v>0</v>
      </c>
      <c r="N52" s="211">
        <v>0</v>
      </c>
      <c r="O52" s="211">
        <v>0</v>
      </c>
      <c r="P52" s="211">
        <v>0</v>
      </c>
      <c r="Q52" s="211">
        <v>0</v>
      </c>
      <c r="R52" s="211">
        <v>0</v>
      </c>
      <c r="S52" s="211">
        <v>0</v>
      </c>
      <c r="T52" s="211">
        <v>0</v>
      </c>
      <c r="U52" s="211">
        <v>0</v>
      </c>
      <c r="V52" s="211">
        <v>0</v>
      </c>
      <c r="W52" s="211">
        <v>0</v>
      </c>
      <c r="X52" s="211">
        <v>0</v>
      </c>
      <c r="Y52" s="211">
        <v>0</v>
      </c>
      <c r="Z52" s="211">
        <v>0</v>
      </c>
      <c r="AA52" s="211">
        <v>0</v>
      </c>
      <c r="AB52" s="211">
        <v>0</v>
      </c>
      <c r="AC52" s="211">
        <v>0</v>
      </c>
      <c r="AD52" s="211">
        <v>0</v>
      </c>
      <c r="AE52" s="211">
        <v>0</v>
      </c>
      <c r="AF52" s="211">
        <v>0</v>
      </c>
      <c r="AG52" s="211">
        <v>0</v>
      </c>
    </row>
    <row r="53" spans="1:33" x14ac:dyDescent="0.25">
      <c r="A53" s="121"/>
      <c r="B53" s="210" t="s">
        <v>1107</v>
      </c>
      <c r="C53" s="211">
        <v>0</v>
      </c>
      <c r="D53" s="211">
        <v>0</v>
      </c>
      <c r="E53" s="211">
        <v>0</v>
      </c>
      <c r="F53" s="211">
        <v>0</v>
      </c>
      <c r="G53" s="211">
        <v>0</v>
      </c>
      <c r="H53" s="211">
        <v>0</v>
      </c>
      <c r="I53" s="211">
        <v>0</v>
      </c>
      <c r="J53" s="211">
        <v>0</v>
      </c>
      <c r="K53" s="211">
        <v>0</v>
      </c>
      <c r="L53" s="211">
        <v>0</v>
      </c>
      <c r="M53" s="211">
        <v>0</v>
      </c>
      <c r="N53" s="211">
        <v>0</v>
      </c>
      <c r="O53" s="211">
        <v>0</v>
      </c>
      <c r="P53" s="211">
        <v>0</v>
      </c>
      <c r="Q53" s="211">
        <v>0</v>
      </c>
      <c r="R53" s="211">
        <v>0</v>
      </c>
      <c r="S53" s="211">
        <v>0</v>
      </c>
      <c r="T53" s="211">
        <v>0</v>
      </c>
      <c r="U53" s="211">
        <v>0</v>
      </c>
      <c r="V53" s="211">
        <v>0</v>
      </c>
      <c r="W53" s="211">
        <v>0</v>
      </c>
      <c r="X53" s="211">
        <v>0</v>
      </c>
      <c r="Y53" s="211">
        <v>0</v>
      </c>
      <c r="Z53" s="211">
        <v>0</v>
      </c>
      <c r="AA53" s="211">
        <v>0</v>
      </c>
      <c r="AB53" s="211">
        <v>0</v>
      </c>
      <c r="AC53" s="211">
        <v>0</v>
      </c>
      <c r="AD53" s="211">
        <v>0</v>
      </c>
      <c r="AE53" s="211">
        <v>0</v>
      </c>
      <c r="AF53" s="211">
        <v>0</v>
      </c>
      <c r="AG53" s="211">
        <v>0</v>
      </c>
    </row>
    <row r="54" spans="1:33" x14ac:dyDescent="0.25">
      <c r="A54" s="121"/>
      <c r="B54" s="210" t="s">
        <v>1108</v>
      </c>
      <c r="C54" s="211">
        <v>0</v>
      </c>
      <c r="D54" s="211">
        <v>0</v>
      </c>
      <c r="E54" s="211">
        <v>0</v>
      </c>
      <c r="F54" s="211">
        <v>0</v>
      </c>
      <c r="G54" s="211">
        <v>0</v>
      </c>
      <c r="H54" s="211">
        <v>0</v>
      </c>
      <c r="I54" s="211">
        <v>0</v>
      </c>
      <c r="J54" s="211">
        <v>0</v>
      </c>
      <c r="K54" s="211">
        <v>0</v>
      </c>
      <c r="L54" s="211">
        <v>0</v>
      </c>
      <c r="M54" s="211">
        <v>0</v>
      </c>
      <c r="N54" s="211">
        <v>0</v>
      </c>
      <c r="O54" s="211">
        <v>0</v>
      </c>
      <c r="P54" s="211">
        <v>0</v>
      </c>
      <c r="Q54" s="211">
        <v>0</v>
      </c>
      <c r="R54" s="211">
        <v>0</v>
      </c>
      <c r="S54" s="211">
        <v>0</v>
      </c>
      <c r="T54" s="211">
        <v>0</v>
      </c>
      <c r="U54" s="211">
        <v>0</v>
      </c>
      <c r="V54" s="211">
        <v>0</v>
      </c>
      <c r="W54" s="211">
        <v>0</v>
      </c>
      <c r="X54" s="211">
        <v>0</v>
      </c>
      <c r="Y54" s="211">
        <v>0</v>
      </c>
      <c r="Z54" s="211">
        <v>0</v>
      </c>
      <c r="AA54" s="211">
        <v>0</v>
      </c>
      <c r="AB54" s="211">
        <v>0</v>
      </c>
      <c r="AC54" s="211">
        <v>0</v>
      </c>
      <c r="AD54" s="211">
        <v>0</v>
      </c>
      <c r="AE54" s="211">
        <v>0</v>
      </c>
      <c r="AF54" s="211">
        <v>0</v>
      </c>
      <c r="AG54" s="211">
        <v>0</v>
      </c>
    </row>
    <row r="55" spans="1:33" x14ac:dyDescent="0.25">
      <c r="A55" s="121"/>
      <c r="B55" s="210" t="s">
        <v>1109</v>
      </c>
      <c r="C55" s="211">
        <v>0</v>
      </c>
      <c r="D55" s="211">
        <v>0</v>
      </c>
      <c r="E55" s="211">
        <v>0</v>
      </c>
      <c r="F55" s="211">
        <v>0</v>
      </c>
      <c r="G55" s="211">
        <v>0</v>
      </c>
      <c r="H55" s="211">
        <v>0</v>
      </c>
      <c r="I55" s="211">
        <v>0</v>
      </c>
      <c r="J55" s="211">
        <v>0</v>
      </c>
      <c r="K55" s="211">
        <v>0</v>
      </c>
      <c r="L55" s="211">
        <v>0</v>
      </c>
      <c r="M55" s="211">
        <v>0</v>
      </c>
      <c r="N55" s="211">
        <v>0</v>
      </c>
      <c r="O55" s="211">
        <v>0</v>
      </c>
      <c r="P55" s="211">
        <v>0</v>
      </c>
      <c r="Q55" s="211">
        <v>0</v>
      </c>
      <c r="R55" s="211">
        <v>0</v>
      </c>
      <c r="S55" s="211">
        <v>0</v>
      </c>
      <c r="T55" s="211">
        <v>0</v>
      </c>
      <c r="U55" s="211">
        <v>0</v>
      </c>
      <c r="V55" s="211">
        <v>0</v>
      </c>
      <c r="W55" s="211">
        <v>0</v>
      </c>
      <c r="X55" s="211">
        <v>0</v>
      </c>
      <c r="Y55" s="211">
        <v>0</v>
      </c>
      <c r="Z55" s="211">
        <v>0</v>
      </c>
      <c r="AA55" s="211">
        <v>0</v>
      </c>
      <c r="AB55" s="211">
        <v>0</v>
      </c>
      <c r="AC55" s="211">
        <v>0</v>
      </c>
      <c r="AD55" s="211">
        <v>0</v>
      </c>
      <c r="AE55" s="211">
        <v>0</v>
      </c>
      <c r="AF55" s="211">
        <v>0</v>
      </c>
      <c r="AG55" s="211">
        <v>0</v>
      </c>
    </row>
    <row r="56" spans="1:33" x14ac:dyDescent="0.25">
      <c r="A56" s="121"/>
      <c r="B56" s="210" t="s">
        <v>1110</v>
      </c>
      <c r="C56" s="211">
        <v>0</v>
      </c>
      <c r="D56" s="211">
        <v>0</v>
      </c>
      <c r="E56" s="211">
        <v>0</v>
      </c>
      <c r="F56" s="211">
        <v>0</v>
      </c>
      <c r="G56" s="211">
        <v>0</v>
      </c>
      <c r="H56" s="211">
        <v>0</v>
      </c>
      <c r="I56" s="211">
        <v>0</v>
      </c>
      <c r="J56" s="211">
        <v>0</v>
      </c>
      <c r="K56" s="211">
        <v>0</v>
      </c>
      <c r="L56" s="211">
        <v>0</v>
      </c>
      <c r="M56" s="211">
        <v>0</v>
      </c>
      <c r="N56" s="211">
        <v>0</v>
      </c>
      <c r="O56" s="211">
        <v>0</v>
      </c>
      <c r="P56" s="211">
        <v>0</v>
      </c>
      <c r="Q56" s="211">
        <v>0</v>
      </c>
      <c r="R56" s="211">
        <v>0</v>
      </c>
      <c r="S56" s="211">
        <v>0</v>
      </c>
      <c r="T56" s="211">
        <v>0</v>
      </c>
      <c r="U56" s="211">
        <v>0</v>
      </c>
      <c r="V56" s="211">
        <v>0</v>
      </c>
      <c r="W56" s="211">
        <v>0</v>
      </c>
      <c r="X56" s="211">
        <v>0</v>
      </c>
      <c r="Y56" s="211">
        <v>0</v>
      </c>
      <c r="Z56" s="211">
        <v>0</v>
      </c>
      <c r="AA56" s="211">
        <v>0</v>
      </c>
      <c r="AB56" s="211">
        <v>0</v>
      </c>
      <c r="AC56" s="211">
        <v>0</v>
      </c>
      <c r="AD56" s="211">
        <v>0</v>
      </c>
      <c r="AE56" s="211">
        <v>0</v>
      </c>
      <c r="AF56" s="211">
        <v>0</v>
      </c>
      <c r="AG56" s="211">
        <v>0</v>
      </c>
    </row>
    <row r="57" spans="1:33" x14ac:dyDescent="0.25">
      <c r="A57" s="121"/>
      <c r="B57" s="210" t="s">
        <v>1111</v>
      </c>
      <c r="C57" s="211">
        <v>0</v>
      </c>
      <c r="D57" s="211">
        <v>0</v>
      </c>
      <c r="E57" s="211">
        <v>0</v>
      </c>
      <c r="F57" s="211">
        <v>0</v>
      </c>
      <c r="G57" s="211">
        <v>0</v>
      </c>
      <c r="H57" s="211">
        <v>0</v>
      </c>
      <c r="I57" s="211">
        <v>0</v>
      </c>
      <c r="J57" s="211">
        <v>0</v>
      </c>
      <c r="K57" s="211">
        <v>0</v>
      </c>
      <c r="L57" s="211">
        <v>0</v>
      </c>
      <c r="M57" s="211">
        <v>0</v>
      </c>
      <c r="N57" s="211">
        <v>0</v>
      </c>
      <c r="O57" s="211">
        <v>0</v>
      </c>
      <c r="P57" s="211">
        <v>0</v>
      </c>
      <c r="Q57" s="211">
        <v>0</v>
      </c>
      <c r="R57" s="211">
        <v>0</v>
      </c>
      <c r="S57" s="211">
        <v>0</v>
      </c>
      <c r="T57" s="211">
        <v>0</v>
      </c>
      <c r="U57" s="211">
        <v>0</v>
      </c>
      <c r="V57" s="211">
        <v>0</v>
      </c>
      <c r="W57" s="211">
        <v>0</v>
      </c>
      <c r="X57" s="211">
        <v>0</v>
      </c>
      <c r="Y57" s="211">
        <v>0</v>
      </c>
      <c r="Z57" s="211">
        <v>0</v>
      </c>
      <c r="AA57" s="211">
        <v>0</v>
      </c>
      <c r="AB57" s="211">
        <v>0</v>
      </c>
      <c r="AC57" s="211">
        <v>0</v>
      </c>
      <c r="AD57" s="211">
        <v>0</v>
      </c>
      <c r="AE57" s="211">
        <v>0</v>
      </c>
      <c r="AF57" s="211">
        <v>0</v>
      </c>
      <c r="AG57" s="211">
        <v>0</v>
      </c>
    </row>
    <row r="58" spans="1:33" x14ac:dyDescent="0.25">
      <c r="A58" s="121"/>
      <c r="B58" s="210" t="s">
        <v>1112</v>
      </c>
      <c r="C58" s="211">
        <v>0</v>
      </c>
      <c r="D58" s="211">
        <v>0</v>
      </c>
      <c r="E58" s="211">
        <v>0</v>
      </c>
      <c r="F58" s="211">
        <v>0</v>
      </c>
      <c r="G58" s="211">
        <v>0</v>
      </c>
      <c r="H58" s="211">
        <v>0</v>
      </c>
      <c r="I58" s="211">
        <v>0</v>
      </c>
      <c r="J58" s="211">
        <v>0</v>
      </c>
      <c r="K58" s="211">
        <v>0</v>
      </c>
      <c r="L58" s="211">
        <v>0</v>
      </c>
      <c r="M58" s="211">
        <v>0</v>
      </c>
      <c r="N58" s="211">
        <v>0</v>
      </c>
      <c r="O58" s="211">
        <v>0</v>
      </c>
      <c r="P58" s="211">
        <v>0</v>
      </c>
      <c r="Q58" s="211">
        <v>0</v>
      </c>
      <c r="R58" s="211">
        <v>0</v>
      </c>
      <c r="S58" s="211">
        <v>0</v>
      </c>
      <c r="T58" s="211">
        <v>0</v>
      </c>
      <c r="U58" s="211">
        <v>0</v>
      </c>
      <c r="V58" s="211">
        <v>0</v>
      </c>
      <c r="W58" s="211">
        <v>0</v>
      </c>
      <c r="X58" s="211">
        <v>0</v>
      </c>
      <c r="Y58" s="211">
        <v>0</v>
      </c>
      <c r="Z58" s="211">
        <v>0</v>
      </c>
      <c r="AA58" s="211">
        <v>0</v>
      </c>
      <c r="AB58" s="211">
        <v>0</v>
      </c>
      <c r="AC58" s="211">
        <v>0</v>
      </c>
      <c r="AD58" s="211">
        <v>0</v>
      </c>
      <c r="AE58" s="211">
        <v>0</v>
      </c>
      <c r="AF58" s="211">
        <v>0</v>
      </c>
      <c r="AG58" s="211">
        <v>0</v>
      </c>
    </row>
    <row r="59" spans="1:33" x14ac:dyDescent="0.25">
      <c r="A59" s="121"/>
      <c r="B59" s="210" t="s">
        <v>1113</v>
      </c>
      <c r="C59" s="211">
        <v>0</v>
      </c>
      <c r="D59" s="211">
        <v>0</v>
      </c>
      <c r="E59" s="211">
        <v>0</v>
      </c>
      <c r="F59" s="211">
        <v>0</v>
      </c>
      <c r="G59" s="211">
        <v>0</v>
      </c>
      <c r="H59" s="211">
        <v>0</v>
      </c>
      <c r="I59" s="211">
        <v>0</v>
      </c>
      <c r="J59" s="211">
        <v>0</v>
      </c>
      <c r="K59" s="211">
        <v>0</v>
      </c>
      <c r="L59" s="211">
        <v>0</v>
      </c>
      <c r="M59" s="211">
        <v>0</v>
      </c>
      <c r="N59" s="211">
        <v>0</v>
      </c>
      <c r="O59" s="211">
        <v>0</v>
      </c>
      <c r="P59" s="211">
        <v>0</v>
      </c>
      <c r="Q59" s="211">
        <v>0</v>
      </c>
      <c r="R59" s="211">
        <v>0</v>
      </c>
      <c r="S59" s="211">
        <v>0</v>
      </c>
      <c r="T59" s="211">
        <v>0</v>
      </c>
      <c r="U59" s="211">
        <v>0</v>
      </c>
      <c r="V59" s="211">
        <v>0</v>
      </c>
      <c r="W59" s="211">
        <v>0</v>
      </c>
      <c r="X59" s="211">
        <v>0</v>
      </c>
      <c r="Y59" s="211">
        <v>0</v>
      </c>
      <c r="Z59" s="211">
        <v>0</v>
      </c>
      <c r="AA59" s="211">
        <v>0</v>
      </c>
      <c r="AB59" s="211">
        <v>0</v>
      </c>
      <c r="AC59" s="211">
        <v>0</v>
      </c>
      <c r="AD59" s="211">
        <v>0</v>
      </c>
      <c r="AE59" s="211">
        <v>0</v>
      </c>
      <c r="AF59" s="211">
        <v>0</v>
      </c>
      <c r="AG59" s="211">
        <v>0</v>
      </c>
    </row>
    <row r="60" spans="1:33" x14ac:dyDescent="0.25">
      <c r="A60" s="207" t="s">
        <v>230</v>
      </c>
      <c r="B60" s="208"/>
      <c r="C60" s="209"/>
      <c r="D60" s="209"/>
      <c r="E60" s="209"/>
      <c r="F60" s="209"/>
      <c r="G60" s="209"/>
      <c r="H60" s="209"/>
      <c r="I60" s="209"/>
      <c r="J60" s="209"/>
      <c r="K60" s="209"/>
      <c r="L60" s="209"/>
      <c r="M60" s="209"/>
      <c r="N60" s="209"/>
      <c r="O60" s="209"/>
      <c r="P60" s="209"/>
      <c r="Q60" s="209"/>
      <c r="R60" s="209"/>
      <c r="S60" s="209"/>
      <c r="T60" s="209"/>
      <c r="U60" s="209"/>
      <c r="V60" s="209"/>
      <c r="W60" s="209"/>
      <c r="X60" s="209"/>
      <c r="Y60" s="209"/>
      <c r="Z60" s="209"/>
      <c r="AA60" s="209"/>
      <c r="AB60" s="209"/>
      <c r="AC60" s="209"/>
      <c r="AD60" s="209"/>
      <c r="AE60" s="209"/>
      <c r="AF60" s="209"/>
      <c r="AG60" s="209"/>
    </row>
    <row r="61" spans="1:33" x14ac:dyDescent="0.25">
      <c r="A61" s="121"/>
      <c r="B61" s="210" t="s">
        <v>66</v>
      </c>
      <c r="C61" s="211">
        <v>0</v>
      </c>
      <c r="D61" s="211">
        <v>250.54300000000001</v>
      </c>
      <c r="E61" s="211">
        <v>0</v>
      </c>
      <c r="F61" s="211">
        <v>0</v>
      </c>
      <c r="G61" s="211">
        <v>2</v>
      </c>
      <c r="H61" s="211">
        <v>2.8717600000000001</v>
      </c>
      <c r="I61" s="211">
        <v>0</v>
      </c>
      <c r="J61" s="211">
        <v>3</v>
      </c>
      <c r="K61" s="211">
        <v>0</v>
      </c>
      <c r="L61" s="211">
        <v>12</v>
      </c>
      <c r="M61" s="211">
        <v>0</v>
      </c>
      <c r="N61" s="211">
        <v>0</v>
      </c>
      <c r="O61" s="211">
        <v>7.8930800000000003</v>
      </c>
      <c r="P61" s="211">
        <v>65</v>
      </c>
      <c r="Q61" s="211">
        <v>0</v>
      </c>
      <c r="R61" s="211">
        <v>15</v>
      </c>
      <c r="S61" s="211">
        <v>5</v>
      </c>
      <c r="T61" s="211">
        <v>0</v>
      </c>
      <c r="U61" s="211">
        <v>0</v>
      </c>
      <c r="V61" s="211">
        <v>12</v>
      </c>
      <c r="W61" s="211">
        <v>10.1225</v>
      </c>
      <c r="X61" s="211">
        <v>0</v>
      </c>
      <c r="Y61" s="211">
        <v>0</v>
      </c>
      <c r="Z61" s="211">
        <v>0</v>
      </c>
      <c r="AA61" s="211">
        <v>0</v>
      </c>
      <c r="AB61" s="211">
        <v>0</v>
      </c>
      <c r="AC61" s="211">
        <v>0</v>
      </c>
      <c r="AD61" s="211">
        <v>0</v>
      </c>
      <c r="AE61" s="211">
        <v>0</v>
      </c>
      <c r="AF61" s="211">
        <v>0</v>
      </c>
      <c r="AG61" s="211">
        <v>385.43034</v>
      </c>
    </row>
    <row r="62" spans="1:33" x14ac:dyDescent="0.25">
      <c r="A62" s="207" t="s">
        <v>65</v>
      </c>
      <c r="B62" s="208"/>
      <c r="C62" s="209"/>
      <c r="D62" s="209"/>
      <c r="E62" s="209"/>
      <c r="F62" s="209"/>
      <c r="G62" s="209"/>
      <c r="H62" s="209"/>
      <c r="I62" s="209"/>
      <c r="J62" s="209"/>
      <c r="K62" s="209"/>
      <c r="L62" s="209"/>
      <c r="M62" s="209"/>
      <c r="N62" s="209"/>
      <c r="O62" s="209"/>
      <c r="P62" s="209"/>
      <c r="Q62" s="209"/>
      <c r="R62" s="209"/>
      <c r="S62" s="209"/>
      <c r="T62" s="209"/>
      <c r="U62" s="209"/>
      <c r="V62" s="209"/>
      <c r="W62" s="209"/>
      <c r="X62" s="209"/>
      <c r="Y62" s="209"/>
      <c r="Z62" s="209"/>
      <c r="AA62" s="209"/>
      <c r="AB62" s="209"/>
      <c r="AC62" s="209"/>
      <c r="AD62" s="209"/>
      <c r="AE62" s="209"/>
      <c r="AF62" s="209"/>
      <c r="AG62" s="209"/>
    </row>
    <row r="63" spans="1:33" x14ac:dyDescent="0.25">
      <c r="A63" s="121"/>
      <c r="B63" s="210" t="s">
        <v>67</v>
      </c>
      <c r="C63" s="211">
        <v>0</v>
      </c>
      <c r="D63" s="211">
        <v>0</v>
      </c>
      <c r="E63" s="211">
        <v>0</v>
      </c>
      <c r="F63" s="211">
        <v>0</v>
      </c>
      <c r="G63" s="211">
        <v>0</v>
      </c>
      <c r="H63" s="211">
        <v>0</v>
      </c>
      <c r="I63" s="211">
        <v>0</v>
      </c>
      <c r="J63" s="211">
        <v>0</v>
      </c>
      <c r="K63" s="211">
        <v>0</v>
      </c>
      <c r="L63" s="211">
        <v>0</v>
      </c>
      <c r="M63" s="211">
        <v>0</v>
      </c>
      <c r="N63" s="211">
        <v>0</v>
      </c>
      <c r="O63" s="211">
        <v>0</v>
      </c>
      <c r="P63" s="211">
        <v>0</v>
      </c>
      <c r="Q63" s="211">
        <v>0</v>
      </c>
      <c r="R63" s="211">
        <v>0</v>
      </c>
      <c r="S63" s="211">
        <v>0</v>
      </c>
      <c r="T63" s="211">
        <v>0</v>
      </c>
      <c r="U63" s="211">
        <v>0</v>
      </c>
      <c r="V63" s="211">
        <v>0</v>
      </c>
      <c r="W63" s="211">
        <v>0</v>
      </c>
      <c r="X63" s="211">
        <v>0</v>
      </c>
      <c r="Y63" s="211">
        <v>0</v>
      </c>
      <c r="Z63" s="211">
        <v>0</v>
      </c>
      <c r="AA63" s="211">
        <v>0</v>
      </c>
      <c r="AB63" s="211">
        <v>0</v>
      </c>
      <c r="AC63" s="211">
        <v>0</v>
      </c>
      <c r="AD63" s="211">
        <v>0</v>
      </c>
      <c r="AE63" s="211">
        <v>0</v>
      </c>
      <c r="AF63" s="211">
        <v>0</v>
      </c>
      <c r="AG63" s="211">
        <v>0</v>
      </c>
    </row>
    <row r="64" spans="1:33" x14ac:dyDescent="0.25">
      <c r="A64" s="207" t="s">
        <v>231</v>
      </c>
      <c r="B64" s="208"/>
      <c r="C64" s="209"/>
      <c r="D64" s="209"/>
      <c r="E64" s="209"/>
      <c r="F64" s="209"/>
      <c r="G64" s="209"/>
      <c r="H64" s="209"/>
      <c r="I64" s="209"/>
      <c r="J64" s="209"/>
      <c r="K64" s="209"/>
      <c r="L64" s="209"/>
      <c r="M64" s="209"/>
      <c r="N64" s="209"/>
      <c r="O64" s="209"/>
      <c r="P64" s="209"/>
      <c r="Q64" s="209"/>
      <c r="R64" s="209"/>
      <c r="S64" s="209"/>
      <c r="T64" s="209"/>
      <c r="U64" s="209"/>
      <c r="V64" s="209"/>
      <c r="W64" s="209"/>
      <c r="X64" s="209"/>
      <c r="Y64" s="209"/>
      <c r="Z64" s="209"/>
      <c r="AA64" s="209"/>
      <c r="AB64" s="209"/>
      <c r="AC64" s="209"/>
      <c r="AD64" s="209"/>
      <c r="AE64" s="209"/>
      <c r="AF64" s="209"/>
      <c r="AG64" s="209"/>
    </row>
    <row r="65" spans="1:33" x14ac:dyDescent="0.25">
      <c r="A65" s="121"/>
      <c r="B65" s="210" t="s">
        <v>232</v>
      </c>
      <c r="C65" s="211">
        <v>0</v>
      </c>
      <c r="D65" s="211">
        <v>0</v>
      </c>
      <c r="E65" s="211">
        <v>0</v>
      </c>
      <c r="F65" s="211">
        <v>0</v>
      </c>
      <c r="G65" s="211">
        <v>0</v>
      </c>
      <c r="H65" s="211">
        <v>0</v>
      </c>
      <c r="I65" s="211">
        <v>0</v>
      </c>
      <c r="J65" s="211">
        <v>1.93</v>
      </c>
      <c r="K65" s="211">
        <v>0</v>
      </c>
      <c r="L65" s="211">
        <v>0</v>
      </c>
      <c r="M65" s="211">
        <v>0</v>
      </c>
      <c r="N65" s="211">
        <v>0</v>
      </c>
      <c r="O65" s="211">
        <v>0</v>
      </c>
      <c r="P65" s="211">
        <v>1.32</v>
      </c>
      <c r="Q65" s="211">
        <v>0</v>
      </c>
      <c r="R65" s="211">
        <v>6.54</v>
      </c>
      <c r="S65" s="211">
        <v>13.8</v>
      </c>
      <c r="T65" s="211">
        <v>0</v>
      </c>
      <c r="U65" s="211">
        <v>0</v>
      </c>
      <c r="V65" s="211">
        <v>0</v>
      </c>
      <c r="W65" s="211">
        <v>0.33900000000000002</v>
      </c>
      <c r="X65" s="211">
        <v>0</v>
      </c>
      <c r="Y65" s="211">
        <v>0</v>
      </c>
      <c r="Z65" s="211">
        <v>0</v>
      </c>
      <c r="AA65" s="211">
        <v>0</v>
      </c>
      <c r="AB65" s="211">
        <v>0</v>
      </c>
      <c r="AC65" s="211">
        <v>0</v>
      </c>
      <c r="AD65" s="211">
        <v>0</v>
      </c>
      <c r="AE65" s="211">
        <v>0</v>
      </c>
      <c r="AF65" s="211">
        <v>0</v>
      </c>
      <c r="AG65" s="211">
        <v>23.928999999999998</v>
      </c>
    </row>
    <row r="66" spans="1:33" x14ac:dyDescent="0.25">
      <c r="A66" s="121"/>
      <c r="B66" s="210" t="s">
        <v>233</v>
      </c>
      <c r="C66" s="211">
        <v>0</v>
      </c>
      <c r="D66" s="211">
        <v>89.510400000000004</v>
      </c>
      <c r="E66" s="211">
        <v>0</v>
      </c>
      <c r="F66" s="211">
        <v>1.2130099999999999</v>
      </c>
      <c r="G66" s="211">
        <v>0</v>
      </c>
      <c r="H66" s="211">
        <v>0</v>
      </c>
      <c r="I66" s="211">
        <v>0</v>
      </c>
      <c r="J66" s="211">
        <v>1.968</v>
      </c>
      <c r="K66" s="211">
        <v>0</v>
      </c>
      <c r="L66" s="211">
        <v>0</v>
      </c>
      <c r="M66" s="211">
        <v>0</v>
      </c>
      <c r="N66" s="211">
        <v>0</v>
      </c>
      <c r="O66" s="211">
        <v>29.662600000000001</v>
      </c>
      <c r="P66" s="211">
        <v>11.55</v>
      </c>
      <c r="Q66" s="211">
        <v>0</v>
      </c>
      <c r="R66" s="211">
        <v>1.06</v>
      </c>
      <c r="S66" s="211">
        <v>1.9</v>
      </c>
      <c r="T66" s="211">
        <v>0</v>
      </c>
      <c r="U66" s="211">
        <v>0</v>
      </c>
      <c r="V66" s="211">
        <v>0</v>
      </c>
      <c r="W66" s="211">
        <v>6.2804799999999998</v>
      </c>
      <c r="X66" s="211">
        <v>0</v>
      </c>
      <c r="Y66" s="211">
        <v>0</v>
      </c>
      <c r="Z66" s="211">
        <v>0</v>
      </c>
      <c r="AA66" s="211">
        <v>0</v>
      </c>
      <c r="AB66" s="211">
        <v>0</v>
      </c>
      <c r="AC66" s="211">
        <v>0</v>
      </c>
      <c r="AD66" s="211">
        <v>0</v>
      </c>
      <c r="AE66" s="211">
        <v>0</v>
      </c>
      <c r="AF66" s="211">
        <v>0</v>
      </c>
      <c r="AG66" s="211">
        <v>143.14449000000002</v>
      </c>
    </row>
    <row r="67" spans="1:33" x14ac:dyDescent="0.25">
      <c r="A67" s="121"/>
      <c r="B67" s="210" t="s">
        <v>234</v>
      </c>
      <c r="C67" s="211">
        <v>0</v>
      </c>
      <c r="D67" s="211">
        <v>0</v>
      </c>
      <c r="E67" s="211">
        <v>0</v>
      </c>
      <c r="F67" s="211">
        <v>12</v>
      </c>
      <c r="G67" s="211">
        <v>0</v>
      </c>
      <c r="H67" s="211">
        <v>0</v>
      </c>
      <c r="I67" s="211">
        <v>0</v>
      </c>
      <c r="J67" s="211">
        <v>0.24</v>
      </c>
      <c r="K67" s="211">
        <v>0</v>
      </c>
      <c r="L67" s="211">
        <v>0</v>
      </c>
      <c r="M67" s="211">
        <v>0</v>
      </c>
      <c r="N67" s="211">
        <v>0</v>
      </c>
      <c r="O67" s="211">
        <v>0</v>
      </c>
      <c r="P67" s="211">
        <v>3.33</v>
      </c>
      <c r="Q67" s="211">
        <v>0</v>
      </c>
      <c r="R67" s="211">
        <v>12.75</v>
      </c>
      <c r="S67" s="211">
        <v>1</v>
      </c>
      <c r="T67" s="211">
        <v>0</v>
      </c>
      <c r="U67" s="211">
        <v>0</v>
      </c>
      <c r="V67" s="211">
        <v>0</v>
      </c>
      <c r="W67" s="211">
        <v>0.58399999999999996</v>
      </c>
      <c r="X67" s="211">
        <v>0</v>
      </c>
      <c r="Y67" s="211">
        <v>0</v>
      </c>
      <c r="Z67" s="211">
        <v>0</v>
      </c>
      <c r="AA67" s="211">
        <v>0</v>
      </c>
      <c r="AB67" s="211">
        <v>0</v>
      </c>
      <c r="AC67" s="211">
        <v>0</v>
      </c>
      <c r="AD67" s="211">
        <v>0</v>
      </c>
      <c r="AE67" s="211">
        <v>0</v>
      </c>
      <c r="AF67" s="211">
        <v>0</v>
      </c>
      <c r="AG67" s="211">
        <v>29.904</v>
      </c>
    </row>
    <row r="68" spans="1:33" x14ac:dyDescent="0.25">
      <c r="A68" s="207" t="s">
        <v>235</v>
      </c>
      <c r="B68" s="208"/>
      <c r="C68" s="209"/>
      <c r="D68" s="209"/>
      <c r="E68" s="209"/>
      <c r="F68" s="209"/>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row>
    <row r="69" spans="1:33" x14ac:dyDescent="0.25">
      <c r="A69" s="121"/>
      <c r="B69" s="210" t="s">
        <v>236</v>
      </c>
      <c r="C69" s="211">
        <v>0</v>
      </c>
      <c r="D69" s="211">
        <v>0</v>
      </c>
      <c r="E69" s="211">
        <v>0</v>
      </c>
      <c r="F69" s="211">
        <v>0</v>
      </c>
      <c r="G69" s="211">
        <v>0</v>
      </c>
      <c r="H69" s="211">
        <v>0</v>
      </c>
      <c r="I69" s="211">
        <v>0</v>
      </c>
      <c r="J69" s="211">
        <v>2.5000000000000001E-2</v>
      </c>
      <c r="K69" s="211">
        <v>0</v>
      </c>
      <c r="L69" s="211">
        <v>0</v>
      </c>
      <c r="M69" s="211">
        <v>0</v>
      </c>
      <c r="N69" s="211">
        <v>0</v>
      </c>
      <c r="O69" s="211">
        <v>0</v>
      </c>
      <c r="P69" s="211">
        <v>4.7210000000000001</v>
      </c>
      <c r="Q69" s="211">
        <v>0</v>
      </c>
      <c r="R69" s="211">
        <v>0</v>
      </c>
      <c r="S69" s="211">
        <v>26.951000000000001</v>
      </c>
      <c r="T69" s="211">
        <v>0</v>
      </c>
      <c r="U69" s="211">
        <v>0</v>
      </c>
      <c r="V69" s="211">
        <v>0</v>
      </c>
      <c r="W69" s="211">
        <v>0.75185999999999997</v>
      </c>
      <c r="X69" s="211">
        <v>0</v>
      </c>
      <c r="Y69" s="211">
        <v>0</v>
      </c>
      <c r="Z69" s="211">
        <v>0</v>
      </c>
      <c r="AA69" s="211">
        <v>0</v>
      </c>
      <c r="AB69" s="211">
        <v>0</v>
      </c>
      <c r="AC69" s="211">
        <v>0</v>
      </c>
      <c r="AD69" s="211">
        <v>0</v>
      </c>
      <c r="AE69" s="211">
        <v>0</v>
      </c>
      <c r="AF69" s="211">
        <v>0</v>
      </c>
      <c r="AG69" s="211">
        <v>32.448860000000003</v>
      </c>
    </row>
    <row r="70" spans="1:33" x14ac:dyDescent="0.25">
      <c r="A70" s="121"/>
      <c r="B70" s="210" t="s">
        <v>237</v>
      </c>
      <c r="C70" s="211">
        <v>0</v>
      </c>
      <c r="D70" s="211">
        <v>0</v>
      </c>
      <c r="E70" s="211">
        <v>0</v>
      </c>
      <c r="F70" s="211">
        <v>0</v>
      </c>
      <c r="G70" s="211">
        <v>0</v>
      </c>
      <c r="H70" s="211">
        <v>0</v>
      </c>
      <c r="I70" s="211">
        <v>0</v>
      </c>
      <c r="J70" s="211">
        <v>9.0999999999999998E-2</v>
      </c>
      <c r="K70" s="211">
        <v>0</v>
      </c>
      <c r="L70" s="211">
        <v>0</v>
      </c>
      <c r="M70" s="211">
        <v>0</v>
      </c>
      <c r="N70" s="211">
        <v>0</v>
      </c>
      <c r="O70" s="211">
        <v>0</v>
      </c>
      <c r="P70" s="211">
        <v>0</v>
      </c>
      <c r="Q70" s="211">
        <v>0</v>
      </c>
      <c r="R70" s="211">
        <v>0</v>
      </c>
      <c r="S70" s="211">
        <v>2.774</v>
      </c>
      <c r="T70" s="211">
        <v>0</v>
      </c>
      <c r="U70" s="211">
        <v>0</v>
      </c>
      <c r="V70" s="211">
        <v>0</v>
      </c>
      <c r="W70" s="211">
        <v>6.2969999999999998E-2</v>
      </c>
      <c r="X70" s="211">
        <v>0</v>
      </c>
      <c r="Y70" s="211">
        <v>0</v>
      </c>
      <c r="Z70" s="211">
        <v>0</v>
      </c>
      <c r="AA70" s="211">
        <v>0</v>
      </c>
      <c r="AB70" s="211">
        <v>0</v>
      </c>
      <c r="AC70" s="211">
        <v>0</v>
      </c>
      <c r="AD70" s="211">
        <v>0</v>
      </c>
      <c r="AE70" s="211">
        <v>0</v>
      </c>
      <c r="AF70" s="211">
        <v>0</v>
      </c>
      <c r="AG70" s="211">
        <v>2.9279700000000002</v>
      </c>
    </row>
    <row r="71" spans="1:33" x14ac:dyDescent="0.25">
      <c r="A71" s="207" t="s">
        <v>238</v>
      </c>
      <c r="B71" s="208"/>
      <c r="C71" s="209"/>
      <c r="D71" s="209"/>
      <c r="E71" s="209"/>
      <c r="F71" s="209"/>
      <c r="G71" s="209"/>
      <c r="H71" s="209"/>
      <c r="I71" s="209"/>
      <c r="J71" s="209"/>
      <c r="K71" s="209"/>
      <c r="L71" s="209"/>
      <c r="M71" s="209"/>
      <c r="N71" s="209"/>
      <c r="O71" s="209"/>
      <c r="P71" s="209"/>
      <c r="Q71" s="209"/>
      <c r="R71" s="209"/>
      <c r="S71" s="209"/>
      <c r="T71" s="209"/>
      <c r="U71" s="209"/>
      <c r="V71" s="209"/>
      <c r="W71" s="209"/>
      <c r="X71" s="209"/>
      <c r="Y71" s="209"/>
      <c r="Z71" s="209"/>
      <c r="AA71" s="209"/>
      <c r="AB71" s="209"/>
      <c r="AC71" s="209"/>
      <c r="AD71" s="209"/>
      <c r="AE71" s="209"/>
      <c r="AF71" s="209"/>
      <c r="AG71" s="209"/>
    </row>
    <row r="72" spans="1:33" x14ac:dyDescent="0.25">
      <c r="A72" s="121"/>
      <c r="B72" s="210" t="s">
        <v>239</v>
      </c>
      <c r="C72" s="211">
        <v>0</v>
      </c>
      <c r="D72" s="211">
        <v>202.91399999999999</v>
      </c>
      <c r="E72" s="211">
        <v>0</v>
      </c>
      <c r="F72" s="211">
        <v>0</v>
      </c>
      <c r="G72" s="211">
        <v>0.133161</v>
      </c>
      <c r="H72" s="211">
        <v>2.8620000000000001</v>
      </c>
      <c r="I72" s="211">
        <v>0</v>
      </c>
      <c r="J72" s="211">
        <v>0.47399999999999998</v>
      </c>
      <c r="K72" s="211">
        <v>1.4419999999999999</v>
      </c>
      <c r="L72" s="211">
        <v>0</v>
      </c>
      <c r="M72" s="211">
        <v>0</v>
      </c>
      <c r="N72" s="211">
        <v>0</v>
      </c>
      <c r="O72" s="211">
        <v>5.2865000000000002</v>
      </c>
      <c r="P72" s="211">
        <v>8.5</v>
      </c>
      <c r="Q72" s="211">
        <v>91.956000000000003</v>
      </c>
      <c r="R72" s="211">
        <v>0</v>
      </c>
      <c r="S72" s="211">
        <v>0</v>
      </c>
      <c r="T72" s="211">
        <v>0</v>
      </c>
      <c r="U72" s="211">
        <v>0</v>
      </c>
      <c r="V72" s="211">
        <v>0</v>
      </c>
      <c r="W72" s="211">
        <v>8.0960199999999993</v>
      </c>
      <c r="X72" s="211">
        <v>0</v>
      </c>
      <c r="Y72" s="211">
        <v>0</v>
      </c>
      <c r="Z72" s="211">
        <v>0</v>
      </c>
      <c r="AA72" s="211">
        <v>0.27900000000000003</v>
      </c>
      <c r="AB72" s="211">
        <v>0.55700000000000005</v>
      </c>
      <c r="AC72" s="211">
        <v>0</v>
      </c>
      <c r="AD72" s="211">
        <v>0</v>
      </c>
      <c r="AE72" s="211">
        <v>0</v>
      </c>
      <c r="AF72" s="211">
        <v>183.07599999999999</v>
      </c>
      <c r="AG72" s="211">
        <v>505.57568100000003</v>
      </c>
    </row>
    <row r="73" spans="1:33" x14ac:dyDescent="0.25">
      <c r="A73" s="121"/>
      <c r="B73" s="210" t="s">
        <v>241</v>
      </c>
      <c r="C73" s="211">
        <v>0</v>
      </c>
      <c r="D73" s="211">
        <v>0</v>
      </c>
      <c r="E73" s="211">
        <v>0</v>
      </c>
      <c r="F73" s="211">
        <v>0</v>
      </c>
      <c r="G73" s="211">
        <v>0</v>
      </c>
      <c r="H73" s="211">
        <v>0</v>
      </c>
      <c r="I73" s="211">
        <v>0</v>
      </c>
      <c r="J73" s="211">
        <v>1.1000000000000001E-3</v>
      </c>
      <c r="K73" s="211">
        <v>0</v>
      </c>
      <c r="L73" s="211">
        <v>0</v>
      </c>
      <c r="M73" s="211">
        <v>0</v>
      </c>
      <c r="N73" s="211">
        <v>0</v>
      </c>
      <c r="O73" s="211">
        <v>0</v>
      </c>
      <c r="P73" s="211">
        <v>0</v>
      </c>
      <c r="Q73" s="211">
        <v>0</v>
      </c>
      <c r="R73" s="211">
        <v>0</v>
      </c>
      <c r="S73" s="211">
        <v>0</v>
      </c>
      <c r="T73" s="211">
        <v>0</v>
      </c>
      <c r="U73" s="211">
        <v>0</v>
      </c>
      <c r="V73" s="211">
        <v>0</v>
      </c>
      <c r="W73" s="211">
        <v>6.4999999999999997E-3</v>
      </c>
      <c r="X73" s="211">
        <v>0</v>
      </c>
      <c r="Y73" s="211">
        <v>3.016</v>
      </c>
      <c r="Z73" s="211">
        <v>0</v>
      </c>
      <c r="AA73" s="211">
        <v>0</v>
      </c>
      <c r="AB73" s="211">
        <v>0</v>
      </c>
      <c r="AC73" s="211">
        <v>0</v>
      </c>
      <c r="AD73" s="211">
        <v>0</v>
      </c>
      <c r="AE73" s="211">
        <v>0</v>
      </c>
      <c r="AF73" s="211">
        <v>0</v>
      </c>
      <c r="AG73" s="211">
        <v>3.0236000000000001</v>
      </c>
    </row>
    <row r="74" spans="1:33" x14ac:dyDescent="0.25">
      <c r="A74" s="121"/>
      <c r="B74" s="210" t="s">
        <v>242</v>
      </c>
      <c r="C74" s="211">
        <v>0</v>
      </c>
      <c r="D74" s="211">
        <v>0</v>
      </c>
      <c r="E74" s="211">
        <v>0</v>
      </c>
      <c r="F74" s="211">
        <v>0</v>
      </c>
      <c r="G74" s="211">
        <v>0</v>
      </c>
      <c r="H74" s="211">
        <v>0</v>
      </c>
      <c r="I74" s="211">
        <v>7.0199999999999999E-2</v>
      </c>
      <c r="J74" s="211">
        <v>0</v>
      </c>
      <c r="K74" s="211">
        <v>0</v>
      </c>
      <c r="L74" s="211">
        <v>0</v>
      </c>
      <c r="M74" s="211">
        <v>0</v>
      </c>
      <c r="N74" s="211">
        <v>0</v>
      </c>
      <c r="O74" s="211">
        <v>0</v>
      </c>
      <c r="P74" s="211">
        <v>0</v>
      </c>
      <c r="Q74" s="211">
        <v>0</v>
      </c>
      <c r="R74" s="211">
        <v>0</v>
      </c>
      <c r="S74" s="211">
        <v>0</v>
      </c>
      <c r="T74" s="211">
        <v>0</v>
      </c>
      <c r="U74" s="211">
        <v>0</v>
      </c>
      <c r="V74" s="211">
        <v>0</v>
      </c>
      <c r="W74" s="211">
        <v>9.5000000000000001E-2</v>
      </c>
      <c r="X74" s="211">
        <v>0</v>
      </c>
      <c r="Y74" s="211">
        <v>5.4710000000000001</v>
      </c>
      <c r="Z74" s="211">
        <v>0</v>
      </c>
      <c r="AA74" s="211">
        <v>0</v>
      </c>
      <c r="AB74" s="211">
        <v>0</v>
      </c>
      <c r="AC74" s="211">
        <v>0</v>
      </c>
      <c r="AD74" s="211">
        <v>0</v>
      </c>
      <c r="AE74" s="211">
        <v>0</v>
      </c>
      <c r="AF74" s="211">
        <v>0</v>
      </c>
      <c r="AG74" s="211">
        <v>5.6362000000000005</v>
      </c>
    </row>
    <row r="75" spans="1:33" x14ac:dyDescent="0.25">
      <c r="A75" s="207" t="s">
        <v>243</v>
      </c>
      <c r="B75" s="208"/>
      <c r="C75" s="209"/>
      <c r="D75" s="209"/>
      <c r="E75" s="209"/>
      <c r="F75" s="209"/>
      <c r="G75" s="209"/>
      <c r="H75" s="209"/>
      <c r="I75" s="209"/>
      <c r="J75" s="209"/>
      <c r="K75" s="209"/>
      <c r="L75" s="209"/>
      <c r="M75" s="209"/>
      <c r="N75" s="209"/>
      <c r="O75" s="209"/>
      <c r="P75" s="209"/>
      <c r="Q75" s="209"/>
      <c r="R75" s="209"/>
      <c r="S75" s="209"/>
      <c r="T75" s="209"/>
      <c r="U75" s="209"/>
      <c r="V75" s="209"/>
      <c r="W75" s="209"/>
      <c r="X75" s="209"/>
      <c r="Y75" s="209"/>
      <c r="Z75" s="209"/>
      <c r="AA75" s="209"/>
      <c r="AB75" s="209"/>
      <c r="AC75" s="209"/>
      <c r="AD75" s="209"/>
      <c r="AE75" s="209"/>
      <c r="AF75" s="209"/>
      <c r="AG75" s="209"/>
    </row>
    <row r="76" spans="1:33" x14ac:dyDescent="0.25">
      <c r="A76" s="121"/>
      <c r="B76" s="210" t="s">
        <v>244</v>
      </c>
      <c r="C76" s="211">
        <v>0</v>
      </c>
      <c r="D76" s="211">
        <v>195.91900000000001</v>
      </c>
      <c r="E76" s="211">
        <v>0</v>
      </c>
      <c r="F76" s="211">
        <v>39.6877</v>
      </c>
      <c r="G76" s="211">
        <v>21.63</v>
      </c>
      <c r="H76" s="211">
        <v>0</v>
      </c>
      <c r="I76" s="211">
        <v>0.43</v>
      </c>
      <c r="J76" s="211">
        <v>0.12</v>
      </c>
      <c r="K76" s="211">
        <v>7.39</v>
      </c>
      <c r="L76" s="211">
        <v>0</v>
      </c>
      <c r="M76" s="211">
        <v>206.52500000000001</v>
      </c>
      <c r="N76" s="211">
        <v>0</v>
      </c>
      <c r="O76" s="211">
        <v>0</v>
      </c>
      <c r="P76" s="211">
        <v>39.450000000000003</v>
      </c>
      <c r="Q76" s="211">
        <v>0</v>
      </c>
      <c r="R76" s="211">
        <v>1.8671599999999999</v>
      </c>
      <c r="S76" s="211">
        <v>0</v>
      </c>
      <c r="T76" s="211">
        <v>0</v>
      </c>
      <c r="U76" s="211">
        <v>0</v>
      </c>
      <c r="V76" s="211">
        <v>0</v>
      </c>
      <c r="W76" s="211">
        <v>26.4421</v>
      </c>
      <c r="X76" s="211">
        <v>2.6814100000000001</v>
      </c>
      <c r="Y76" s="211">
        <v>35.32</v>
      </c>
      <c r="Z76" s="211">
        <v>0</v>
      </c>
      <c r="AA76" s="211">
        <v>4.97</v>
      </c>
      <c r="AB76" s="211">
        <v>9.23</v>
      </c>
      <c r="AC76" s="211">
        <v>0</v>
      </c>
      <c r="AD76" s="211">
        <v>6.23</v>
      </c>
      <c r="AE76" s="211">
        <v>42.509500000000003</v>
      </c>
      <c r="AF76" s="211">
        <v>58.366399999999999</v>
      </c>
      <c r="AG76" s="211">
        <v>698.76827000000014</v>
      </c>
    </row>
    <row r="77" spans="1:33" x14ac:dyDescent="0.25">
      <c r="A77" s="121"/>
      <c r="B77" s="210" t="s">
        <v>245</v>
      </c>
      <c r="C77" s="211">
        <v>0</v>
      </c>
      <c r="D77" s="211">
        <v>0</v>
      </c>
      <c r="E77" s="211">
        <v>0</v>
      </c>
      <c r="F77" s="211">
        <v>0</v>
      </c>
      <c r="G77" s="211">
        <v>0</v>
      </c>
      <c r="H77" s="211">
        <v>0</v>
      </c>
      <c r="I77" s="211">
        <v>0</v>
      </c>
      <c r="J77" s="211">
        <v>2.76</v>
      </c>
      <c r="K77" s="211">
        <v>0</v>
      </c>
      <c r="L77" s="211">
        <v>0</v>
      </c>
      <c r="M77" s="211">
        <v>0</v>
      </c>
      <c r="N77" s="211">
        <v>0</v>
      </c>
      <c r="O77" s="211">
        <v>0</v>
      </c>
      <c r="P77" s="211">
        <v>0</v>
      </c>
      <c r="Q77" s="211">
        <v>0</v>
      </c>
      <c r="R77" s="211">
        <v>0</v>
      </c>
      <c r="S77" s="211">
        <v>0</v>
      </c>
      <c r="T77" s="211">
        <v>0</v>
      </c>
      <c r="U77" s="211">
        <v>0</v>
      </c>
      <c r="V77" s="211">
        <v>0</v>
      </c>
      <c r="W77" s="211">
        <v>0.40100000000000002</v>
      </c>
      <c r="X77" s="211">
        <v>17.59</v>
      </c>
      <c r="Y77" s="211">
        <v>4.7699999999999996</v>
      </c>
      <c r="Z77" s="211">
        <v>0</v>
      </c>
      <c r="AA77" s="211">
        <v>0</v>
      </c>
      <c r="AB77" s="211">
        <v>0</v>
      </c>
      <c r="AC77" s="211">
        <v>0</v>
      </c>
      <c r="AD77" s="211">
        <v>0</v>
      </c>
      <c r="AE77" s="211">
        <v>0</v>
      </c>
      <c r="AF77" s="211">
        <v>0</v>
      </c>
      <c r="AG77" s="211">
        <v>25.520999999999997</v>
      </c>
    </row>
    <row r="78" spans="1:33" x14ac:dyDescent="0.25">
      <c r="A78" s="207" t="s">
        <v>62</v>
      </c>
      <c r="B78" s="208"/>
      <c r="C78" s="209"/>
      <c r="D78" s="209"/>
      <c r="E78" s="209"/>
      <c r="F78" s="209"/>
      <c r="G78" s="209"/>
      <c r="H78" s="209"/>
      <c r="I78" s="209"/>
      <c r="J78" s="209"/>
      <c r="K78" s="209"/>
      <c r="L78" s="209"/>
      <c r="M78" s="209"/>
      <c r="N78" s="209"/>
      <c r="O78" s="209"/>
      <c r="P78" s="209"/>
      <c r="Q78" s="209"/>
      <c r="R78" s="209"/>
      <c r="S78" s="209"/>
      <c r="T78" s="209"/>
      <c r="U78" s="209"/>
      <c r="V78" s="209"/>
      <c r="W78" s="209"/>
      <c r="X78" s="209"/>
      <c r="Y78" s="209"/>
      <c r="Z78" s="209"/>
      <c r="AA78" s="209"/>
      <c r="AB78" s="209"/>
      <c r="AC78" s="209"/>
      <c r="AD78" s="209"/>
      <c r="AE78" s="209"/>
      <c r="AF78" s="209"/>
      <c r="AG78" s="209"/>
    </row>
    <row r="79" spans="1:33" x14ac:dyDescent="0.25">
      <c r="A79" s="121"/>
      <c r="B79" s="210" t="s">
        <v>64</v>
      </c>
      <c r="C79" s="211">
        <v>0</v>
      </c>
      <c r="D79" s="211">
        <v>0</v>
      </c>
      <c r="E79" s="211">
        <v>0</v>
      </c>
      <c r="F79" s="211">
        <v>0</v>
      </c>
      <c r="G79" s="211">
        <v>0</v>
      </c>
      <c r="H79" s="211">
        <v>0</v>
      </c>
      <c r="I79" s="211">
        <v>0</v>
      </c>
      <c r="J79" s="211">
        <v>0</v>
      </c>
      <c r="K79" s="211">
        <v>0</v>
      </c>
      <c r="L79" s="211">
        <v>0</v>
      </c>
      <c r="M79" s="211">
        <v>0</v>
      </c>
      <c r="N79" s="211">
        <v>0</v>
      </c>
      <c r="O79" s="211">
        <v>0</v>
      </c>
      <c r="P79" s="211">
        <v>0</v>
      </c>
      <c r="Q79" s="211">
        <v>0</v>
      </c>
      <c r="R79" s="211">
        <v>0</v>
      </c>
      <c r="S79" s="211">
        <v>0</v>
      </c>
      <c r="T79" s="211">
        <v>0</v>
      </c>
      <c r="U79" s="211">
        <v>0</v>
      </c>
      <c r="V79" s="211">
        <v>0</v>
      </c>
      <c r="W79" s="211">
        <v>0</v>
      </c>
      <c r="X79" s="211">
        <v>0</v>
      </c>
      <c r="Y79" s="211">
        <v>0</v>
      </c>
      <c r="Z79" s="211">
        <v>0</v>
      </c>
      <c r="AA79" s="211">
        <v>0</v>
      </c>
      <c r="AB79" s="211">
        <v>0</v>
      </c>
      <c r="AC79" s="211">
        <v>0</v>
      </c>
      <c r="AD79" s="211">
        <v>0</v>
      </c>
      <c r="AE79" s="211">
        <v>0</v>
      </c>
      <c r="AF79" s="211">
        <v>0</v>
      </c>
      <c r="AG79" s="211">
        <v>0</v>
      </c>
    </row>
    <row r="80" spans="1:33" x14ac:dyDescent="0.25">
      <c r="A80" s="207" t="s">
        <v>246</v>
      </c>
      <c r="B80" s="208"/>
      <c r="C80" s="209"/>
      <c r="D80" s="209"/>
      <c r="E80" s="209"/>
      <c r="F80" s="209"/>
      <c r="G80" s="209"/>
      <c r="H80" s="209"/>
      <c r="I80" s="209"/>
      <c r="J80" s="209"/>
      <c r="K80" s="209"/>
      <c r="L80" s="209"/>
      <c r="M80" s="209"/>
      <c r="N80" s="209"/>
      <c r="O80" s="209"/>
      <c r="P80" s="209"/>
      <c r="Q80" s="209"/>
      <c r="R80" s="209"/>
      <c r="S80" s="209"/>
      <c r="T80" s="209"/>
      <c r="U80" s="209"/>
      <c r="V80" s="209"/>
      <c r="W80" s="209"/>
      <c r="X80" s="209"/>
      <c r="Y80" s="209"/>
      <c r="Z80" s="209"/>
      <c r="AA80" s="209"/>
      <c r="AB80" s="209"/>
      <c r="AC80" s="209"/>
      <c r="AD80" s="209"/>
      <c r="AE80" s="209"/>
      <c r="AF80" s="209"/>
      <c r="AG80" s="209"/>
    </row>
    <row r="81" spans="1:33" x14ac:dyDescent="0.25">
      <c r="A81" s="121"/>
      <c r="B81" s="210" t="s">
        <v>247</v>
      </c>
      <c r="C81" s="211">
        <v>0</v>
      </c>
      <c r="D81" s="211">
        <v>0</v>
      </c>
      <c r="E81" s="211">
        <v>0</v>
      </c>
      <c r="F81" s="211">
        <v>0</v>
      </c>
      <c r="G81" s="211">
        <v>0</v>
      </c>
      <c r="H81" s="211">
        <v>0</v>
      </c>
      <c r="I81" s="211">
        <v>0</v>
      </c>
      <c r="J81" s="211">
        <v>0</v>
      </c>
      <c r="K81" s="211">
        <v>0</v>
      </c>
      <c r="L81" s="211">
        <v>0</v>
      </c>
      <c r="M81" s="211">
        <v>0</v>
      </c>
      <c r="N81" s="211">
        <v>0</v>
      </c>
      <c r="O81" s="211">
        <v>0</v>
      </c>
      <c r="P81" s="211">
        <v>0</v>
      </c>
      <c r="Q81" s="211">
        <v>0</v>
      </c>
      <c r="R81" s="211">
        <v>0</v>
      </c>
      <c r="S81" s="211">
        <v>0</v>
      </c>
      <c r="T81" s="211">
        <v>0</v>
      </c>
      <c r="U81" s="211">
        <v>0</v>
      </c>
      <c r="V81" s="211">
        <v>0</v>
      </c>
      <c r="W81" s="211">
        <v>0</v>
      </c>
      <c r="X81" s="211">
        <v>0</v>
      </c>
      <c r="Y81" s="211">
        <v>0</v>
      </c>
      <c r="Z81" s="211">
        <v>0</v>
      </c>
      <c r="AA81" s="211">
        <v>0</v>
      </c>
      <c r="AB81" s="211">
        <v>0</v>
      </c>
      <c r="AC81" s="211">
        <v>0</v>
      </c>
      <c r="AD81" s="211">
        <v>0</v>
      </c>
      <c r="AE81" s="211">
        <v>0</v>
      </c>
      <c r="AF81" s="211">
        <v>0</v>
      </c>
      <c r="AG81" s="211">
        <v>0</v>
      </c>
    </row>
    <row r="82" spans="1:33" x14ac:dyDescent="0.25">
      <c r="A82" s="207" t="s">
        <v>1114</v>
      </c>
      <c r="B82" s="208"/>
      <c r="C82" s="209"/>
      <c r="D82" s="209"/>
      <c r="E82" s="209"/>
      <c r="F82" s="209"/>
      <c r="G82" s="209"/>
      <c r="H82" s="209"/>
      <c r="I82" s="209"/>
      <c r="J82" s="209"/>
      <c r="K82" s="209"/>
      <c r="L82" s="209"/>
      <c r="M82" s="209"/>
      <c r="N82" s="209"/>
      <c r="O82" s="209"/>
      <c r="P82" s="209"/>
      <c r="Q82" s="209"/>
      <c r="R82" s="209"/>
      <c r="S82" s="209"/>
      <c r="T82" s="209"/>
      <c r="U82" s="209"/>
      <c r="V82" s="209"/>
      <c r="W82" s="209"/>
      <c r="X82" s="209"/>
      <c r="Y82" s="209"/>
      <c r="Z82" s="209"/>
      <c r="AA82" s="209"/>
      <c r="AB82" s="209"/>
      <c r="AC82" s="209"/>
      <c r="AD82" s="209"/>
      <c r="AE82" s="209"/>
      <c r="AF82" s="209"/>
      <c r="AG82" s="209"/>
    </row>
    <row r="83" spans="1:33" x14ac:dyDescent="0.25">
      <c r="A83" s="121"/>
      <c r="B83" s="210" t="s">
        <v>1115</v>
      </c>
      <c r="C83" s="211">
        <v>0</v>
      </c>
      <c r="D83" s="211">
        <v>0</v>
      </c>
      <c r="E83" s="211">
        <v>0</v>
      </c>
      <c r="F83" s="211">
        <v>0</v>
      </c>
      <c r="G83" s="211">
        <v>0</v>
      </c>
      <c r="H83" s="211">
        <v>0</v>
      </c>
      <c r="I83" s="211">
        <v>0</v>
      </c>
      <c r="J83" s="211">
        <v>0</v>
      </c>
      <c r="K83" s="211">
        <v>0</v>
      </c>
      <c r="L83" s="211">
        <v>0</v>
      </c>
      <c r="M83" s="211">
        <v>0</v>
      </c>
      <c r="N83" s="211">
        <v>0</v>
      </c>
      <c r="O83" s="211">
        <v>0</v>
      </c>
      <c r="P83" s="211">
        <v>0</v>
      </c>
      <c r="Q83" s="211">
        <v>0</v>
      </c>
      <c r="R83" s="211">
        <v>0</v>
      </c>
      <c r="S83" s="211">
        <v>0</v>
      </c>
      <c r="T83" s="211">
        <v>0</v>
      </c>
      <c r="U83" s="211">
        <v>0</v>
      </c>
      <c r="V83" s="211">
        <v>0</v>
      </c>
      <c r="W83" s="211">
        <v>0</v>
      </c>
      <c r="X83" s="211">
        <v>0</v>
      </c>
      <c r="Y83" s="211">
        <v>0</v>
      </c>
      <c r="Z83" s="211">
        <v>0</v>
      </c>
      <c r="AA83" s="211">
        <v>0</v>
      </c>
      <c r="AB83" s="211">
        <v>0</v>
      </c>
      <c r="AC83" s="211">
        <v>0</v>
      </c>
      <c r="AD83" s="211">
        <v>0</v>
      </c>
      <c r="AE83" s="211">
        <v>0</v>
      </c>
      <c r="AF83" s="211">
        <v>0</v>
      </c>
      <c r="AG83" s="211">
        <v>0</v>
      </c>
    </row>
    <row r="84" spans="1:33" x14ac:dyDescent="0.25">
      <c r="A84" s="121"/>
      <c r="B84" s="210" t="s">
        <v>1116</v>
      </c>
      <c r="C84" s="211">
        <v>0</v>
      </c>
      <c r="D84" s="211">
        <v>0</v>
      </c>
      <c r="E84" s="211">
        <v>0</v>
      </c>
      <c r="F84" s="211">
        <v>0</v>
      </c>
      <c r="G84" s="211">
        <v>0</v>
      </c>
      <c r="H84" s="211">
        <v>0</v>
      </c>
      <c r="I84" s="211">
        <v>0</v>
      </c>
      <c r="J84" s="211">
        <v>0</v>
      </c>
      <c r="K84" s="211">
        <v>0</v>
      </c>
      <c r="L84" s="211">
        <v>0</v>
      </c>
      <c r="M84" s="211">
        <v>0</v>
      </c>
      <c r="N84" s="211">
        <v>0</v>
      </c>
      <c r="O84" s="211">
        <v>0</v>
      </c>
      <c r="P84" s="211">
        <v>0</v>
      </c>
      <c r="Q84" s="211">
        <v>0</v>
      </c>
      <c r="R84" s="211">
        <v>0</v>
      </c>
      <c r="S84" s="211">
        <v>0</v>
      </c>
      <c r="T84" s="211">
        <v>0</v>
      </c>
      <c r="U84" s="211">
        <v>0</v>
      </c>
      <c r="V84" s="211">
        <v>0</v>
      </c>
      <c r="W84" s="211">
        <v>0</v>
      </c>
      <c r="X84" s="211">
        <v>0</v>
      </c>
      <c r="Y84" s="211">
        <v>0</v>
      </c>
      <c r="Z84" s="211">
        <v>0</v>
      </c>
      <c r="AA84" s="211">
        <v>0</v>
      </c>
      <c r="AB84" s="211">
        <v>0</v>
      </c>
      <c r="AC84" s="211">
        <v>0</v>
      </c>
      <c r="AD84" s="211">
        <v>0</v>
      </c>
      <c r="AE84" s="211">
        <v>0</v>
      </c>
      <c r="AF84" s="211">
        <v>0</v>
      </c>
      <c r="AG84" s="211">
        <v>0</v>
      </c>
    </row>
    <row r="85" spans="1:33" x14ac:dyDescent="0.25">
      <c r="A85" s="207" t="s">
        <v>68</v>
      </c>
      <c r="B85" s="208"/>
      <c r="C85" s="209"/>
      <c r="D85" s="209"/>
      <c r="E85" s="209"/>
      <c r="F85" s="209"/>
      <c r="G85" s="209"/>
      <c r="H85" s="209"/>
      <c r="I85" s="209"/>
      <c r="J85" s="209"/>
      <c r="K85" s="209"/>
      <c r="L85" s="209"/>
      <c r="M85" s="209"/>
      <c r="N85" s="209"/>
      <c r="O85" s="209"/>
      <c r="P85" s="209"/>
      <c r="Q85" s="209"/>
      <c r="R85" s="209"/>
      <c r="S85" s="209"/>
      <c r="T85" s="209"/>
      <c r="U85" s="209"/>
      <c r="V85" s="209"/>
      <c r="W85" s="209"/>
      <c r="X85" s="209"/>
      <c r="Y85" s="209"/>
      <c r="Z85" s="209"/>
      <c r="AA85" s="209"/>
      <c r="AB85" s="209"/>
      <c r="AC85" s="209"/>
      <c r="AD85" s="209"/>
      <c r="AE85" s="209"/>
      <c r="AF85" s="209"/>
      <c r="AG85" s="209"/>
    </row>
    <row r="86" spans="1:33" x14ac:dyDescent="0.25">
      <c r="A86" s="121"/>
      <c r="B86" s="210" t="s">
        <v>70</v>
      </c>
      <c r="C86" s="211">
        <v>0</v>
      </c>
      <c r="D86" s="211">
        <v>0</v>
      </c>
      <c r="E86" s="211">
        <v>0</v>
      </c>
      <c r="F86" s="211">
        <v>0</v>
      </c>
      <c r="G86" s="211">
        <v>0</v>
      </c>
      <c r="H86" s="211">
        <v>0</v>
      </c>
      <c r="I86" s="211">
        <v>0</v>
      </c>
      <c r="J86" s="211">
        <v>0</v>
      </c>
      <c r="K86" s="211">
        <v>0</v>
      </c>
      <c r="L86" s="211">
        <v>0</v>
      </c>
      <c r="M86" s="211">
        <v>0</v>
      </c>
      <c r="N86" s="211">
        <v>0</v>
      </c>
      <c r="O86" s="211">
        <v>0</v>
      </c>
      <c r="P86" s="211">
        <v>0</v>
      </c>
      <c r="Q86" s="211">
        <v>0</v>
      </c>
      <c r="R86" s="211">
        <v>0</v>
      </c>
      <c r="S86" s="211">
        <v>0</v>
      </c>
      <c r="T86" s="211">
        <v>0</v>
      </c>
      <c r="U86" s="211">
        <v>0</v>
      </c>
      <c r="V86" s="211">
        <v>0</v>
      </c>
      <c r="W86" s="211">
        <v>0</v>
      </c>
      <c r="X86" s="211">
        <v>0</v>
      </c>
      <c r="Y86" s="211">
        <v>0</v>
      </c>
      <c r="Z86" s="211">
        <v>0</v>
      </c>
      <c r="AA86" s="211">
        <v>0</v>
      </c>
      <c r="AB86" s="211">
        <v>0</v>
      </c>
      <c r="AC86" s="211">
        <v>0</v>
      </c>
      <c r="AD86" s="211">
        <v>0</v>
      </c>
      <c r="AE86" s="211">
        <v>0</v>
      </c>
      <c r="AF86" s="211">
        <v>0</v>
      </c>
      <c r="AG86" s="211">
        <v>0</v>
      </c>
    </row>
    <row r="87" spans="1:33" x14ac:dyDescent="0.25">
      <c r="A87" s="207" t="s">
        <v>248</v>
      </c>
      <c r="B87" s="208"/>
      <c r="C87" s="209"/>
      <c r="D87" s="209"/>
      <c r="E87" s="209"/>
      <c r="F87" s="209"/>
      <c r="G87" s="209"/>
      <c r="H87" s="209"/>
      <c r="I87" s="209"/>
      <c r="J87" s="209"/>
      <c r="K87" s="209"/>
      <c r="L87" s="209"/>
      <c r="M87" s="209"/>
      <c r="N87" s="209"/>
      <c r="O87" s="209"/>
      <c r="P87" s="209"/>
      <c r="Q87" s="209"/>
      <c r="R87" s="209"/>
      <c r="S87" s="209"/>
      <c r="T87" s="209"/>
      <c r="U87" s="209"/>
      <c r="V87" s="209"/>
      <c r="W87" s="209"/>
      <c r="X87" s="209"/>
      <c r="Y87" s="209"/>
      <c r="Z87" s="209"/>
      <c r="AA87" s="209"/>
      <c r="AB87" s="209"/>
      <c r="AC87" s="209"/>
      <c r="AD87" s="209"/>
      <c r="AE87" s="209"/>
      <c r="AF87" s="209"/>
      <c r="AG87" s="209"/>
    </row>
    <row r="88" spans="1:33" x14ac:dyDescent="0.25">
      <c r="A88" s="121"/>
      <c r="B88" s="210" t="s">
        <v>69</v>
      </c>
      <c r="C88" s="211">
        <v>0</v>
      </c>
      <c r="D88" s="211">
        <v>0</v>
      </c>
      <c r="E88" s="211">
        <v>0</v>
      </c>
      <c r="F88" s="211">
        <v>0</v>
      </c>
      <c r="G88" s="211">
        <v>0</v>
      </c>
      <c r="H88" s="211">
        <v>0</v>
      </c>
      <c r="I88" s="211">
        <v>0.29599999999999999</v>
      </c>
      <c r="J88" s="211">
        <v>0.19600000000000001</v>
      </c>
      <c r="K88" s="211">
        <v>0</v>
      </c>
      <c r="L88" s="211">
        <v>0</v>
      </c>
      <c r="M88" s="211">
        <v>0</v>
      </c>
      <c r="N88" s="211">
        <v>0</v>
      </c>
      <c r="O88" s="211">
        <v>0</v>
      </c>
      <c r="P88" s="211">
        <v>0</v>
      </c>
      <c r="Q88" s="211">
        <v>0</v>
      </c>
      <c r="R88" s="211">
        <v>10.72</v>
      </c>
      <c r="S88" s="211">
        <v>2.2770000000000001</v>
      </c>
      <c r="T88" s="211">
        <v>0</v>
      </c>
      <c r="U88" s="211">
        <v>0</v>
      </c>
      <c r="V88" s="211">
        <v>0</v>
      </c>
      <c r="W88" s="211">
        <v>0.33578999999999998</v>
      </c>
      <c r="X88" s="211">
        <v>0</v>
      </c>
      <c r="Y88" s="211">
        <v>0.60199999999999998</v>
      </c>
      <c r="Z88" s="211">
        <v>0</v>
      </c>
      <c r="AA88" s="211">
        <v>0</v>
      </c>
      <c r="AB88" s="211">
        <v>0</v>
      </c>
      <c r="AC88" s="211">
        <v>0</v>
      </c>
      <c r="AD88" s="211">
        <v>0</v>
      </c>
      <c r="AE88" s="211">
        <v>0</v>
      </c>
      <c r="AF88" s="211">
        <v>0</v>
      </c>
      <c r="AG88" s="211">
        <v>14.42679</v>
      </c>
    </row>
    <row r="89" spans="1:33" x14ac:dyDescent="0.25">
      <c r="A89" s="207" t="s">
        <v>1117</v>
      </c>
      <c r="B89" s="208"/>
      <c r="C89" s="209"/>
      <c r="D89" s="209"/>
      <c r="E89" s="209"/>
      <c r="F89" s="209"/>
      <c r="G89" s="209"/>
      <c r="H89" s="209"/>
      <c r="I89" s="209"/>
      <c r="J89" s="209"/>
      <c r="K89" s="209"/>
      <c r="L89" s="209"/>
      <c r="M89" s="209"/>
      <c r="N89" s="209"/>
      <c r="O89" s="209"/>
      <c r="P89" s="209"/>
      <c r="Q89" s="209"/>
      <c r="R89" s="209"/>
      <c r="S89" s="209"/>
      <c r="T89" s="209"/>
      <c r="U89" s="209"/>
      <c r="V89" s="209"/>
      <c r="W89" s="209"/>
      <c r="X89" s="209"/>
      <c r="Y89" s="209"/>
      <c r="Z89" s="209"/>
      <c r="AA89" s="209"/>
      <c r="AB89" s="209"/>
      <c r="AC89" s="209"/>
      <c r="AD89" s="209"/>
      <c r="AE89" s="209"/>
      <c r="AF89" s="209"/>
      <c r="AG89" s="209"/>
    </row>
    <row r="90" spans="1:33" x14ac:dyDescent="0.25">
      <c r="A90" s="121"/>
      <c r="B90" s="210" t="s">
        <v>1118</v>
      </c>
      <c r="C90" s="211">
        <v>0</v>
      </c>
      <c r="D90" s="211">
        <v>0</v>
      </c>
      <c r="E90" s="211">
        <v>0</v>
      </c>
      <c r="F90" s="211">
        <v>0</v>
      </c>
      <c r="G90" s="211">
        <v>0</v>
      </c>
      <c r="H90" s="211">
        <v>0</v>
      </c>
      <c r="I90" s="211">
        <v>0</v>
      </c>
      <c r="J90" s="211">
        <v>0</v>
      </c>
      <c r="K90" s="211">
        <v>0</v>
      </c>
      <c r="L90" s="211">
        <v>0</v>
      </c>
      <c r="M90" s="211">
        <v>0</v>
      </c>
      <c r="N90" s="211">
        <v>0</v>
      </c>
      <c r="O90" s="211">
        <v>0</v>
      </c>
      <c r="P90" s="211">
        <v>0</v>
      </c>
      <c r="Q90" s="211">
        <v>0</v>
      </c>
      <c r="R90" s="211">
        <v>0</v>
      </c>
      <c r="S90" s="211">
        <v>0</v>
      </c>
      <c r="T90" s="211">
        <v>0</v>
      </c>
      <c r="U90" s="211">
        <v>0</v>
      </c>
      <c r="V90" s="211">
        <v>0</v>
      </c>
      <c r="W90" s="211">
        <v>0</v>
      </c>
      <c r="X90" s="211">
        <v>0</v>
      </c>
      <c r="Y90" s="211">
        <v>0</v>
      </c>
      <c r="Z90" s="211">
        <v>0</v>
      </c>
      <c r="AA90" s="211">
        <v>0</v>
      </c>
      <c r="AB90" s="211">
        <v>0</v>
      </c>
      <c r="AC90" s="211">
        <v>0</v>
      </c>
      <c r="AD90" s="211">
        <v>0</v>
      </c>
      <c r="AE90" s="211">
        <v>0</v>
      </c>
      <c r="AF90" s="211">
        <v>0</v>
      </c>
      <c r="AG90" s="211">
        <v>0</v>
      </c>
    </row>
    <row r="91" spans="1:33" x14ac:dyDescent="0.25">
      <c r="A91" s="207" t="s">
        <v>249</v>
      </c>
      <c r="B91" s="208"/>
      <c r="C91" s="209"/>
      <c r="D91" s="209"/>
      <c r="E91" s="209"/>
      <c r="F91" s="209"/>
      <c r="G91" s="209"/>
      <c r="H91" s="209"/>
      <c r="I91" s="209"/>
      <c r="J91" s="209"/>
      <c r="K91" s="209"/>
      <c r="L91" s="209"/>
      <c r="M91" s="209"/>
      <c r="N91" s="209"/>
      <c r="O91" s="209"/>
      <c r="P91" s="209"/>
      <c r="Q91" s="209"/>
      <c r="R91" s="209"/>
      <c r="S91" s="209"/>
      <c r="T91" s="209"/>
      <c r="U91" s="209"/>
      <c r="V91" s="209"/>
      <c r="W91" s="209"/>
      <c r="X91" s="209"/>
      <c r="Y91" s="209"/>
      <c r="Z91" s="209"/>
      <c r="AA91" s="209"/>
      <c r="AB91" s="209"/>
      <c r="AC91" s="209"/>
      <c r="AD91" s="209"/>
      <c r="AE91" s="209"/>
      <c r="AF91" s="209"/>
      <c r="AG91" s="209"/>
    </row>
    <row r="92" spans="1:33" x14ac:dyDescent="0.25">
      <c r="A92" s="121"/>
      <c r="B92" s="210" t="s">
        <v>250</v>
      </c>
      <c r="C92" s="211">
        <v>0</v>
      </c>
      <c r="D92" s="211">
        <v>0</v>
      </c>
      <c r="E92" s="211">
        <v>0</v>
      </c>
      <c r="F92" s="211">
        <v>0</v>
      </c>
      <c r="G92" s="211">
        <v>0.99819999999999998</v>
      </c>
      <c r="H92" s="211">
        <v>0</v>
      </c>
      <c r="I92" s="211">
        <v>0</v>
      </c>
      <c r="J92" s="211">
        <v>7.8409999999999994E-2</v>
      </c>
      <c r="K92" s="211">
        <v>0</v>
      </c>
      <c r="L92" s="211">
        <v>0</v>
      </c>
      <c r="M92" s="211">
        <v>0</v>
      </c>
      <c r="N92" s="211">
        <v>0</v>
      </c>
      <c r="O92" s="211">
        <v>0</v>
      </c>
      <c r="P92" s="211">
        <v>0</v>
      </c>
      <c r="Q92" s="211">
        <v>0</v>
      </c>
      <c r="R92" s="211">
        <v>0</v>
      </c>
      <c r="S92" s="211">
        <v>6.1292400000000002</v>
      </c>
      <c r="T92" s="211">
        <v>0</v>
      </c>
      <c r="U92" s="211">
        <v>0</v>
      </c>
      <c r="V92" s="211">
        <v>0</v>
      </c>
      <c r="W92" s="211">
        <v>0.13700000000000001</v>
      </c>
      <c r="X92" s="211">
        <v>0</v>
      </c>
      <c r="Y92" s="211">
        <v>0</v>
      </c>
      <c r="Z92" s="211">
        <v>0</v>
      </c>
      <c r="AA92" s="211">
        <v>0</v>
      </c>
      <c r="AB92" s="211">
        <v>0</v>
      </c>
      <c r="AC92" s="211">
        <v>0</v>
      </c>
      <c r="AD92" s="211">
        <v>0</v>
      </c>
      <c r="AE92" s="211">
        <v>0</v>
      </c>
      <c r="AF92" s="211">
        <v>0</v>
      </c>
      <c r="AG92" s="211">
        <v>7.3428500000000003</v>
      </c>
    </row>
    <row r="93" spans="1:33" x14ac:dyDescent="0.25">
      <c r="A93" s="121"/>
      <c r="B93" s="210" t="s">
        <v>251</v>
      </c>
      <c r="C93" s="211">
        <v>0</v>
      </c>
      <c r="D93" s="211">
        <v>0</v>
      </c>
      <c r="E93" s="211">
        <v>0</v>
      </c>
      <c r="F93" s="211">
        <v>15.453099999999999</v>
      </c>
      <c r="G93" s="211">
        <v>28.9895</v>
      </c>
      <c r="H93" s="211">
        <v>17.069600000000001</v>
      </c>
      <c r="I93" s="211">
        <v>0</v>
      </c>
      <c r="J93" s="211">
        <v>0.39771699999999999</v>
      </c>
      <c r="K93" s="211">
        <v>0</v>
      </c>
      <c r="L93" s="211">
        <v>0</v>
      </c>
      <c r="M93" s="211">
        <v>210.05099999999999</v>
      </c>
      <c r="N93" s="211">
        <v>0</v>
      </c>
      <c r="O93" s="211">
        <v>0</v>
      </c>
      <c r="P93" s="211">
        <v>75.911000000000001</v>
      </c>
      <c r="Q93" s="211">
        <v>0.60899999999999999</v>
      </c>
      <c r="R93" s="211">
        <v>0</v>
      </c>
      <c r="S93" s="211">
        <v>42.548900000000003</v>
      </c>
      <c r="T93" s="211">
        <v>0</v>
      </c>
      <c r="U93" s="211">
        <v>0</v>
      </c>
      <c r="V93" s="211">
        <v>0</v>
      </c>
      <c r="W93" s="211">
        <v>11.6058</v>
      </c>
      <c r="X93" s="211">
        <v>0</v>
      </c>
      <c r="Y93" s="211">
        <v>0</v>
      </c>
      <c r="Z93" s="211">
        <v>0</v>
      </c>
      <c r="AA93" s="211">
        <v>0</v>
      </c>
      <c r="AB93" s="211">
        <v>0</v>
      </c>
      <c r="AC93" s="211">
        <v>0</v>
      </c>
      <c r="AD93" s="211">
        <v>0</v>
      </c>
      <c r="AE93" s="211">
        <v>0</v>
      </c>
      <c r="AF93" s="211">
        <v>2.0725899999999999</v>
      </c>
      <c r="AG93" s="211">
        <v>404.70820699999996</v>
      </c>
    </row>
    <row r="94" spans="1:33" x14ac:dyDescent="0.25">
      <c r="A94" s="207" t="s">
        <v>253</v>
      </c>
      <c r="B94" s="208"/>
      <c r="C94" s="209"/>
      <c r="D94" s="209"/>
      <c r="E94" s="209"/>
      <c r="F94" s="209"/>
      <c r="G94" s="209"/>
      <c r="H94" s="209"/>
      <c r="I94" s="209"/>
      <c r="J94" s="209"/>
      <c r="K94" s="209"/>
      <c r="L94" s="209"/>
      <c r="M94" s="209"/>
      <c r="N94" s="209"/>
      <c r="O94" s="209"/>
      <c r="P94" s="209"/>
      <c r="Q94" s="209"/>
      <c r="R94" s="209"/>
      <c r="S94" s="209"/>
      <c r="T94" s="209"/>
      <c r="U94" s="209"/>
      <c r="V94" s="209"/>
      <c r="W94" s="209"/>
      <c r="X94" s="209"/>
      <c r="Y94" s="209"/>
      <c r="Z94" s="209"/>
      <c r="AA94" s="209"/>
      <c r="AB94" s="209"/>
      <c r="AC94" s="209"/>
      <c r="AD94" s="209"/>
      <c r="AE94" s="209"/>
      <c r="AF94" s="209"/>
      <c r="AG94" s="209"/>
    </row>
    <row r="95" spans="1:33" x14ac:dyDescent="0.25">
      <c r="A95" s="121"/>
      <c r="B95" s="210" t="s">
        <v>254</v>
      </c>
      <c r="C95" s="211">
        <v>0</v>
      </c>
      <c r="D95" s="211">
        <v>0</v>
      </c>
      <c r="E95" s="211">
        <v>0</v>
      </c>
      <c r="F95" s="211">
        <v>0</v>
      </c>
      <c r="G95" s="211">
        <v>0</v>
      </c>
      <c r="H95" s="211">
        <v>0</v>
      </c>
      <c r="I95" s="211">
        <v>0</v>
      </c>
      <c r="J95" s="211">
        <v>0</v>
      </c>
      <c r="K95" s="211">
        <v>0</v>
      </c>
      <c r="L95" s="211">
        <v>0</v>
      </c>
      <c r="M95" s="211">
        <v>0</v>
      </c>
      <c r="N95" s="211">
        <v>0</v>
      </c>
      <c r="O95" s="211">
        <v>0</v>
      </c>
      <c r="P95" s="211">
        <v>0</v>
      </c>
      <c r="Q95" s="211">
        <v>0</v>
      </c>
      <c r="R95" s="211">
        <v>0</v>
      </c>
      <c r="S95" s="211">
        <v>0</v>
      </c>
      <c r="T95" s="211">
        <v>0</v>
      </c>
      <c r="U95" s="211">
        <v>0</v>
      </c>
      <c r="V95" s="211">
        <v>0</v>
      </c>
      <c r="W95" s="211">
        <v>3.1E-2</v>
      </c>
      <c r="X95" s="211">
        <v>0</v>
      </c>
      <c r="Y95" s="211">
        <v>0</v>
      </c>
      <c r="Z95" s="211">
        <v>0</v>
      </c>
      <c r="AA95" s="211">
        <v>0</v>
      </c>
      <c r="AB95" s="211">
        <v>0</v>
      </c>
      <c r="AC95" s="211">
        <v>0</v>
      </c>
      <c r="AD95" s="211">
        <v>0</v>
      </c>
      <c r="AE95" s="211">
        <v>0</v>
      </c>
      <c r="AF95" s="211">
        <v>13.3451</v>
      </c>
      <c r="AG95" s="211">
        <v>13.376100000000001</v>
      </c>
    </row>
    <row r="96" spans="1:33" x14ac:dyDescent="0.25">
      <c r="A96" s="121"/>
      <c r="B96" s="210" t="s">
        <v>256</v>
      </c>
      <c r="C96" s="211">
        <v>0</v>
      </c>
      <c r="D96" s="211">
        <v>0</v>
      </c>
      <c r="E96" s="211">
        <v>0</v>
      </c>
      <c r="F96" s="211">
        <v>5.6630000000000003</v>
      </c>
      <c r="G96" s="211">
        <v>0</v>
      </c>
      <c r="H96" s="211">
        <v>0</v>
      </c>
      <c r="I96" s="211">
        <v>0</v>
      </c>
      <c r="J96" s="211">
        <v>3.4000000000000002E-2</v>
      </c>
      <c r="K96" s="211">
        <v>0</v>
      </c>
      <c r="L96" s="211">
        <v>0</v>
      </c>
      <c r="M96" s="211">
        <v>25.939</v>
      </c>
      <c r="N96" s="211">
        <v>0</v>
      </c>
      <c r="O96" s="211">
        <v>0</v>
      </c>
      <c r="P96" s="211">
        <v>5.6029999999999998</v>
      </c>
      <c r="Q96" s="211">
        <v>0</v>
      </c>
      <c r="R96" s="211">
        <v>0</v>
      </c>
      <c r="S96" s="211">
        <v>8.3989999999999991</v>
      </c>
      <c r="T96" s="211">
        <v>0</v>
      </c>
      <c r="U96" s="211">
        <v>0</v>
      </c>
      <c r="V96" s="211">
        <v>0</v>
      </c>
      <c r="W96" s="211">
        <v>1.173</v>
      </c>
      <c r="X96" s="211">
        <v>0</v>
      </c>
      <c r="Y96" s="211">
        <v>0</v>
      </c>
      <c r="Z96" s="211">
        <v>0</v>
      </c>
      <c r="AA96" s="211">
        <v>0</v>
      </c>
      <c r="AB96" s="211">
        <v>0</v>
      </c>
      <c r="AC96" s="211">
        <v>0</v>
      </c>
      <c r="AD96" s="211">
        <v>0</v>
      </c>
      <c r="AE96" s="211">
        <v>0</v>
      </c>
      <c r="AF96" s="211">
        <v>0</v>
      </c>
      <c r="AG96" s="211">
        <v>46.811</v>
      </c>
    </row>
    <row r="97" spans="1:33" x14ac:dyDescent="0.25">
      <c r="A97" s="207" t="s">
        <v>258</v>
      </c>
      <c r="B97" s="208"/>
      <c r="C97" s="209"/>
      <c r="D97" s="209"/>
      <c r="E97" s="209"/>
      <c r="F97" s="209"/>
      <c r="G97" s="209"/>
      <c r="H97" s="209"/>
      <c r="I97" s="209"/>
      <c r="J97" s="209"/>
      <c r="K97" s="209"/>
      <c r="L97" s="209"/>
      <c r="M97" s="209"/>
      <c r="N97" s="209"/>
      <c r="O97" s="209"/>
      <c r="P97" s="209"/>
      <c r="Q97" s="209"/>
      <c r="R97" s="209"/>
      <c r="S97" s="209"/>
      <c r="T97" s="209"/>
      <c r="U97" s="209"/>
      <c r="V97" s="209"/>
      <c r="W97" s="209"/>
      <c r="X97" s="209"/>
      <c r="Y97" s="209"/>
      <c r="Z97" s="209"/>
      <c r="AA97" s="209"/>
      <c r="AB97" s="209"/>
      <c r="AC97" s="209"/>
      <c r="AD97" s="209"/>
      <c r="AE97" s="209"/>
      <c r="AF97" s="209"/>
      <c r="AG97" s="209"/>
    </row>
    <row r="98" spans="1:33" x14ac:dyDescent="0.25">
      <c r="A98" s="121"/>
      <c r="B98" s="210" t="s">
        <v>259</v>
      </c>
      <c r="C98" s="211">
        <v>0</v>
      </c>
      <c r="D98" s="211">
        <v>0</v>
      </c>
      <c r="E98" s="211">
        <v>0</v>
      </c>
      <c r="F98" s="211">
        <v>10.935</v>
      </c>
      <c r="G98" s="211">
        <v>0</v>
      </c>
      <c r="H98" s="211">
        <v>0</v>
      </c>
      <c r="I98" s="211">
        <v>0</v>
      </c>
      <c r="J98" s="211">
        <v>0</v>
      </c>
      <c r="K98" s="211">
        <v>0</v>
      </c>
      <c r="L98" s="211">
        <v>0</v>
      </c>
      <c r="M98" s="211">
        <v>7.0060000000000002</v>
      </c>
      <c r="N98" s="211">
        <v>0</v>
      </c>
      <c r="O98" s="211">
        <v>0</v>
      </c>
      <c r="P98" s="211">
        <v>7.0629999999999997</v>
      </c>
      <c r="Q98" s="211">
        <v>0</v>
      </c>
      <c r="R98" s="211">
        <v>0</v>
      </c>
      <c r="S98" s="211">
        <v>17.831</v>
      </c>
      <c r="T98" s="211">
        <v>0</v>
      </c>
      <c r="U98" s="211">
        <v>0</v>
      </c>
      <c r="V98" s="211">
        <v>0</v>
      </c>
      <c r="W98" s="211">
        <v>0.69099999999999995</v>
      </c>
      <c r="X98" s="211">
        <v>8.1959999999999997</v>
      </c>
      <c r="Y98" s="211">
        <v>7.6999999999999999E-2</v>
      </c>
      <c r="Z98" s="211">
        <v>0</v>
      </c>
      <c r="AA98" s="211">
        <v>0</v>
      </c>
      <c r="AB98" s="211">
        <v>0</v>
      </c>
      <c r="AC98" s="211">
        <v>0</v>
      </c>
      <c r="AD98" s="211">
        <v>0</v>
      </c>
      <c r="AE98" s="211">
        <v>0</v>
      </c>
      <c r="AF98" s="211">
        <v>0</v>
      </c>
      <c r="AG98" s="211">
        <v>51.798999999999999</v>
      </c>
    </row>
    <row r="99" spans="1:33" x14ac:dyDescent="0.25">
      <c r="A99" s="121"/>
      <c r="B99" s="210" t="s">
        <v>260</v>
      </c>
      <c r="C99" s="211">
        <v>0</v>
      </c>
      <c r="D99" s="211">
        <v>0</v>
      </c>
      <c r="E99" s="211">
        <v>0</v>
      </c>
      <c r="F99" s="211">
        <v>0</v>
      </c>
      <c r="G99" s="211">
        <v>0</v>
      </c>
      <c r="H99" s="211">
        <v>0</v>
      </c>
      <c r="I99" s="211">
        <v>0</v>
      </c>
      <c r="J99" s="211">
        <v>0</v>
      </c>
      <c r="K99" s="211">
        <v>0</v>
      </c>
      <c r="L99" s="211">
        <v>0</v>
      </c>
      <c r="M99" s="211">
        <v>0</v>
      </c>
      <c r="N99" s="211">
        <v>0</v>
      </c>
      <c r="O99" s="211">
        <v>0</v>
      </c>
      <c r="P99" s="211">
        <v>0</v>
      </c>
      <c r="Q99" s="211">
        <v>0</v>
      </c>
      <c r="R99" s="211">
        <v>0</v>
      </c>
      <c r="S99" s="211">
        <v>0</v>
      </c>
      <c r="T99" s="211">
        <v>0</v>
      </c>
      <c r="U99" s="211">
        <v>0</v>
      </c>
      <c r="V99" s="211">
        <v>0</v>
      </c>
      <c r="W99" s="211">
        <v>0</v>
      </c>
      <c r="X99" s="211">
        <v>0</v>
      </c>
      <c r="Y99" s="211">
        <v>0</v>
      </c>
      <c r="Z99" s="211">
        <v>0</v>
      </c>
      <c r="AA99" s="211">
        <v>0</v>
      </c>
      <c r="AB99" s="211">
        <v>0</v>
      </c>
      <c r="AC99" s="211">
        <v>0</v>
      </c>
      <c r="AD99" s="211">
        <v>0</v>
      </c>
      <c r="AE99" s="211">
        <v>0</v>
      </c>
      <c r="AF99" s="211">
        <v>0</v>
      </c>
      <c r="AG99" s="211">
        <v>0</v>
      </c>
    </row>
    <row r="100" spans="1:33" x14ac:dyDescent="0.25">
      <c r="A100" s="121"/>
      <c r="B100" s="210" t="s">
        <v>261</v>
      </c>
      <c r="C100" s="211">
        <v>0</v>
      </c>
      <c r="D100" s="211">
        <v>0</v>
      </c>
      <c r="E100" s="211">
        <v>0</v>
      </c>
      <c r="F100" s="211">
        <v>0</v>
      </c>
      <c r="G100" s="211">
        <v>0</v>
      </c>
      <c r="H100" s="211">
        <v>0</v>
      </c>
      <c r="I100" s="211">
        <v>0</v>
      </c>
      <c r="J100" s="211">
        <v>1.4999999999999999E-2</v>
      </c>
      <c r="K100" s="211">
        <v>0</v>
      </c>
      <c r="L100" s="211">
        <v>0</v>
      </c>
      <c r="M100" s="211">
        <v>0</v>
      </c>
      <c r="N100" s="211">
        <v>0</v>
      </c>
      <c r="O100" s="211">
        <v>0</v>
      </c>
      <c r="P100" s="211">
        <v>0</v>
      </c>
      <c r="Q100" s="211">
        <v>0</v>
      </c>
      <c r="R100" s="211">
        <v>0</v>
      </c>
      <c r="S100" s="211">
        <v>0</v>
      </c>
      <c r="T100" s="211">
        <v>0</v>
      </c>
      <c r="U100" s="211">
        <v>0</v>
      </c>
      <c r="V100" s="211">
        <v>0</v>
      </c>
      <c r="W100" s="211">
        <v>4.5999999999999999E-2</v>
      </c>
      <c r="X100" s="211">
        <v>0</v>
      </c>
      <c r="Y100" s="211">
        <v>1.851</v>
      </c>
      <c r="Z100" s="211">
        <v>0</v>
      </c>
      <c r="AA100" s="211">
        <v>0</v>
      </c>
      <c r="AB100" s="211">
        <v>0</v>
      </c>
      <c r="AC100" s="211">
        <v>0</v>
      </c>
      <c r="AD100" s="211">
        <v>0</v>
      </c>
      <c r="AE100" s="211">
        <v>0</v>
      </c>
      <c r="AF100" s="211">
        <v>0</v>
      </c>
      <c r="AG100" s="211">
        <v>1.9119999999999999</v>
      </c>
    </row>
    <row r="101" spans="1:33" x14ac:dyDescent="0.25">
      <c r="A101" s="121"/>
      <c r="B101" s="210" t="s">
        <v>262</v>
      </c>
      <c r="C101" s="211">
        <v>0</v>
      </c>
      <c r="D101" s="211">
        <v>0</v>
      </c>
      <c r="E101" s="211">
        <v>0</v>
      </c>
      <c r="F101" s="211">
        <v>0</v>
      </c>
      <c r="G101" s="211">
        <v>0</v>
      </c>
      <c r="H101" s="211">
        <v>0</v>
      </c>
      <c r="I101" s="211">
        <v>0</v>
      </c>
      <c r="J101" s="211">
        <v>1.17E-2</v>
      </c>
      <c r="K101" s="211">
        <v>0</v>
      </c>
      <c r="L101" s="211">
        <v>0</v>
      </c>
      <c r="M101" s="211">
        <v>0</v>
      </c>
      <c r="N101" s="211">
        <v>0</v>
      </c>
      <c r="O101" s="211">
        <v>0</v>
      </c>
      <c r="P101" s="211">
        <v>0</v>
      </c>
      <c r="Q101" s="211">
        <v>0</v>
      </c>
      <c r="R101" s="211">
        <v>0</v>
      </c>
      <c r="S101" s="211">
        <v>0</v>
      </c>
      <c r="T101" s="211">
        <v>0</v>
      </c>
      <c r="U101" s="211">
        <v>0</v>
      </c>
      <c r="V101" s="211">
        <v>0</v>
      </c>
      <c r="W101" s="211">
        <v>1.6619999999999999E-2</v>
      </c>
      <c r="X101" s="211">
        <v>0</v>
      </c>
      <c r="Y101" s="211">
        <v>0.60399999999999998</v>
      </c>
      <c r="Z101" s="211">
        <v>0</v>
      </c>
      <c r="AA101" s="211">
        <v>0</v>
      </c>
      <c r="AB101" s="211">
        <v>0</v>
      </c>
      <c r="AC101" s="211">
        <v>0</v>
      </c>
      <c r="AD101" s="211">
        <v>0</v>
      </c>
      <c r="AE101" s="211">
        <v>0</v>
      </c>
      <c r="AF101" s="211">
        <v>0</v>
      </c>
      <c r="AG101" s="211">
        <v>0.63231999999999999</v>
      </c>
    </row>
    <row r="102" spans="1:33" x14ac:dyDescent="0.25">
      <c r="A102" s="207" t="s">
        <v>263</v>
      </c>
      <c r="B102" s="208"/>
      <c r="C102" s="209"/>
      <c r="D102" s="209"/>
      <c r="E102" s="209"/>
      <c r="F102" s="209"/>
      <c r="G102" s="209"/>
      <c r="H102" s="209"/>
      <c r="I102" s="209"/>
      <c r="J102" s="209"/>
      <c r="K102" s="209"/>
      <c r="L102" s="209"/>
      <c r="M102" s="209"/>
      <c r="N102" s="209"/>
      <c r="O102" s="209"/>
      <c r="P102" s="209"/>
      <c r="Q102" s="209"/>
      <c r="R102" s="209"/>
      <c r="S102" s="209"/>
      <c r="T102" s="209"/>
      <c r="U102" s="209"/>
      <c r="V102" s="209"/>
      <c r="W102" s="209"/>
      <c r="X102" s="209"/>
      <c r="Y102" s="209"/>
      <c r="Z102" s="209"/>
      <c r="AA102" s="209"/>
      <c r="AB102" s="209"/>
      <c r="AC102" s="209"/>
      <c r="AD102" s="209"/>
      <c r="AE102" s="209"/>
      <c r="AF102" s="209"/>
      <c r="AG102" s="209"/>
    </row>
    <row r="103" spans="1:33" x14ac:dyDescent="0.25">
      <c r="A103" s="121"/>
      <c r="B103" s="210" t="s">
        <v>264</v>
      </c>
      <c r="C103" s="211">
        <v>0</v>
      </c>
      <c r="D103" s="211">
        <v>0</v>
      </c>
      <c r="E103" s="211">
        <v>0</v>
      </c>
      <c r="F103" s="211">
        <v>0</v>
      </c>
      <c r="G103" s="211">
        <v>2</v>
      </c>
      <c r="H103" s="211">
        <v>2.427</v>
      </c>
      <c r="I103" s="211">
        <v>0</v>
      </c>
      <c r="J103" s="211">
        <v>0</v>
      </c>
      <c r="K103" s="211">
        <v>0</v>
      </c>
      <c r="L103" s="211">
        <v>0</v>
      </c>
      <c r="M103" s="211">
        <v>0</v>
      </c>
      <c r="N103" s="211">
        <v>0</v>
      </c>
      <c r="O103" s="211">
        <v>0</v>
      </c>
      <c r="P103" s="211">
        <v>0</v>
      </c>
      <c r="Q103" s="211">
        <v>0</v>
      </c>
      <c r="R103" s="211">
        <v>0</v>
      </c>
      <c r="S103" s="211">
        <v>0</v>
      </c>
      <c r="T103" s="211">
        <v>0</v>
      </c>
      <c r="U103" s="211">
        <v>0</v>
      </c>
      <c r="V103" s="211">
        <v>0</v>
      </c>
      <c r="W103" s="211">
        <v>0.93589999999999995</v>
      </c>
      <c r="X103" s="211">
        <v>0</v>
      </c>
      <c r="Y103" s="211">
        <v>0</v>
      </c>
      <c r="Z103" s="211">
        <v>0</v>
      </c>
      <c r="AA103" s="211">
        <v>0</v>
      </c>
      <c r="AB103" s="211">
        <v>0</v>
      </c>
      <c r="AC103" s="211">
        <v>0</v>
      </c>
      <c r="AD103" s="211">
        <v>0</v>
      </c>
      <c r="AE103" s="211">
        <v>0</v>
      </c>
      <c r="AF103" s="211">
        <v>0</v>
      </c>
      <c r="AG103" s="211">
        <v>5.3628999999999998</v>
      </c>
    </row>
    <row r="104" spans="1:33" x14ac:dyDescent="0.25">
      <c r="A104" s="121"/>
      <c r="B104" s="210" t="s">
        <v>265</v>
      </c>
      <c r="C104" s="211">
        <v>0</v>
      </c>
      <c r="D104" s="211">
        <v>0</v>
      </c>
      <c r="E104" s="211">
        <v>0</v>
      </c>
      <c r="F104" s="211">
        <v>0</v>
      </c>
      <c r="G104" s="211">
        <v>1.9</v>
      </c>
      <c r="H104" s="211">
        <v>0</v>
      </c>
      <c r="I104" s="211">
        <v>0</v>
      </c>
      <c r="J104" s="211">
        <v>0.7</v>
      </c>
      <c r="K104" s="211">
        <v>0</v>
      </c>
      <c r="L104" s="211">
        <v>0</v>
      </c>
      <c r="M104" s="211">
        <v>0</v>
      </c>
      <c r="N104" s="211">
        <v>0</v>
      </c>
      <c r="O104" s="211">
        <v>0</v>
      </c>
      <c r="P104" s="211">
        <v>0</v>
      </c>
      <c r="Q104" s="211">
        <v>8</v>
      </c>
      <c r="R104" s="211">
        <v>0</v>
      </c>
      <c r="S104" s="211">
        <v>24.186</v>
      </c>
      <c r="T104" s="211">
        <v>0</v>
      </c>
      <c r="U104" s="211">
        <v>0</v>
      </c>
      <c r="V104" s="211">
        <v>0</v>
      </c>
      <c r="W104" s="211">
        <v>0.96699999999999997</v>
      </c>
      <c r="X104" s="211">
        <v>0</v>
      </c>
      <c r="Y104" s="211">
        <v>7.9</v>
      </c>
      <c r="Z104" s="211">
        <v>0</v>
      </c>
      <c r="AA104" s="211">
        <v>0</v>
      </c>
      <c r="AB104" s="211">
        <v>0</v>
      </c>
      <c r="AC104" s="211">
        <v>0</v>
      </c>
      <c r="AD104" s="211">
        <v>0</v>
      </c>
      <c r="AE104" s="211">
        <v>0</v>
      </c>
      <c r="AF104" s="211">
        <v>0</v>
      </c>
      <c r="AG104" s="211">
        <v>43.652999999999999</v>
      </c>
    </row>
    <row r="105" spans="1:33" x14ac:dyDescent="0.25">
      <c r="A105" s="121"/>
      <c r="B105" s="210" t="s">
        <v>266</v>
      </c>
      <c r="C105" s="211">
        <v>0</v>
      </c>
      <c r="D105" s="211">
        <v>0</v>
      </c>
      <c r="E105" s="211">
        <v>0</v>
      </c>
      <c r="F105" s="211">
        <v>0</v>
      </c>
      <c r="G105" s="211">
        <v>0</v>
      </c>
      <c r="H105" s="211">
        <v>0</v>
      </c>
      <c r="I105" s="211">
        <v>0</v>
      </c>
      <c r="J105" s="211">
        <v>0</v>
      </c>
      <c r="K105" s="211">
        <v>0</v>
      </c>
      <c r="L105" s="211">
        <v>0</v>
      </c>
      <c r="M105" s="211">
        <v>0</v>
      </c>
      <c r="N105" s="211">
        <v>0</v>
      </c>
      <c r="O105" s="211">
        <v>0</v>
      </c>
      <c r="P105" s="211">
        <v>0</v>
      </c>
      <c r="Q105" s="211">
        <v>0</v>
      </c>
      <c r="R105" s="211">
        <v>0</v>
      </c>
      <c r="S105" s="211">
        <v>21.8</v>
      </c>
      <c r="T105" s="211">
        <v>0</v>
      </c>
      <c r="U105" s="211">
        <v>0</v>
      </c>
      <c r="V105" s="211">
        <v>0</v>
      </c>
      <c r="W105" s="211">
        <v>0.48</v>
      </c>
      <c r="X105" s="211">
        <v>0</v>
      </c>
      <c r="Y105" s="211">
        <v>18.600000000000001</v>
      </c>
      <c r="Z105" s="211">
        <v>0</v>
      </c>
      <c r="AA105" s="211">
        <v>0</v>
      </c>
      <c r="AB105" s="211">
        <v>0</v>
      </c>
      <c r="AC105" s="211">
        <v>0</v>
      </c>
      <c r="AD105" s="211">
        <v>0</v>
      </c>
      <c r="AE105" s="211">
        <v>0</v>
      </c>
      <c r="AF105" s="211">
        <v>0</v>
      </c>
      <c r="AG105" s="211">
        <v>40.880000000000003</v>
      </c>
    </row>
    <row r="106" spans="1:33" x14ac:dyDescent="0.25">
      <c r="A106" s="121"/>
      <c r="B106" s="210" t="s">
        <v>267</v>
      </c>
      <c r="C106" s="211">
        <v>0</v>
      </c>
      <c r="D106" s="211">
        <v>238.82400000000001</v>
      </c>
      <c r="E106" s="211">
        <v>0</v>
      </c>
      <c r="F106" s="211">
        <v>49.821399999999997</v>
      </c>
      <c r="G106" s="211">
        <v>0</v>
      </c>
      <c r="H106" s="211">
        <v>0</v>
      </c>
      <c r="I106" s="211">
        <v>0.4</v>
      </c>
      <c r="J106" s="211">
        <v>0.88691200000000003</v>
      </c>
      <c r="K106" s="211">
        <v>0</v>
      </c>
      <c r="L106" s="211">
        <v>33.912100000000002</v>
      </c>
      <c r="M106" s="211">
        <v>108.55800000000001</v>
      </c>
      <c r="N106" s="211">
        <v>0</v>
      </c>
      <c r="O106" s="211">
        <v>0</v>
      </c>
      <c r="P106" s="211">
        <v>173</v>
      </c>
      <c r="Q106" s="211">
        <v>71</v>
      </c>
      <c r="R106" s="211">
        <v>109.083</v>
      </c>
      <c r="S106" s="211">
        <v>122.194</v>
      </c>
      <c r="T106" s="211">
        <v>5.7120100000000003</v>
      </c>
      <c r="U106" s="211">
        <v>0</v>
      </c>
      <c r="V106" s="211">
        <v>88.270200000000003</v>
      </c>
      <c r="W106" s="211">
        <v>54.915500000000002</v>
      </c>
      <c r="X106" s="211">
        <v>0</v>
      </c>
      <c r="Y106" s="211">
        <v>0</v>
      </c>
      <c r="Z106" s="211">
        <v>0</v>
      </c>
      <c r="AA106" s="211">
        <v>17</v>
      </c>
      <c r="AB106" s="211">
        <v>39</v>
      </c>
      <c r="AC106" s="211">
        <v>12.7751</v>
      </c>
      <c r="AD106" s="211">
        <v>0</v>
      </c>
      <c r="AE106" s="211">
        <v>0</v>
      </c>
      <c r="AF106" s="211">
        <v>71.847700000000003</v>
      </c>
      <c r="AG106" s="211">
        <v>1197.199922</v>
      </c>
    </row>
    <row r="107" spans="1:33" x14ac:dyDescent="0.25">
      <c r="A107" s="121"/>
      <c r="B107" s="210" t="s">
        <v>269</v>
      </c>
      <c r="C107" s="211">
        <v>0</v>
      </c>
      <c r="D107" s="211">
        <v>0</v>
      </c>
      <c r="E107" s="211">
        <v>0</v>
      </c>
      <c r="F107" s="211">
        <v>0</v>
      </c>
      <c r="G107" s="211">
        <v>47</v>
      </c>
      <c r="H107" s="211">
        <v>0</v>
      </c>
      <c r="I107" s="211">
        <v>0</v>
      </c>
      <c r="J107" s="211">
        <v>0</v>
      </c>
      <c r="K107" s="211">
        <v>0</v>
      </c>
      <c r="L107" s="211">
        <v>0</v>
      </c>
      <c r="M107" s="211">
        <v>0</v>
      </c>
      <c r="N107" s="211">
        <v>0</v>
      </c>
      <c r="O107" s="211">
        <v>0</v>
      </c>
      <c r="P107" s="211">
        <v>0</v>
      </c>
      <c r="Q107" s="211">
        <v>0</v>
      </c>
      <c r="R107" s="211">
        <v>0</v>
      </c>
      <c r="S107" s="211">
        <v>0</v>
      </c>
      <c r="T107" s="211">
        <v>0</v>
      </c>
      <c r="U107" s="211">
        <v>0</v>
      </c>
      <c r="V107" s="211">
        <v>0</v>
      </c>
      <c r="W107" s="211">
        <v>4.5999999999999996</v>
      </c>
      <c r="X107" s="211">
        <v>0</v>
      </c>
      <c r="Y107" s="211">
        <v>47</v>
      </c>
      <c r="Z107" s="211">
        <v>0</v>
      </c>
      <c r="AA107" s="211">
        <v>67</v>
      </c>
      <c r="AB107" s="211">
        <v>113</v>
      </c>
      <c r="AC107" s="211">
        <v>0</v>
      </c>
      <c r="AD107" s="211">
        <v>0</v>
      </c>
      <c r="AE107" s="211">
        <v>0</v>
      </c>
      <c r="AF107" s="211">
        <v>0</v>
      </c>
      <c r="AG107" s="211">
        <v>278.60000000000002</v>
      </c>
    </row>
    <row r="108" spans="1:33" x14ac:dyDescent="0.25">
      <c r="A108" s="121"/>
      <c r="B108" s="210" t="s">
        <v>270</v>
      </c>
      <c r="C108" s="211">
        <v>0</v>
      </c>
      <c r="D108" s="211">
        <v>0</v>
      </c>
      <c r="E108" s="211">
        <v>0</v>
      </c>
      <c r="F108" s="211">
        <v>0</v>
      </c>
      <c r="G108" s="211">
        <v>9.3000000000000007</v>
      </c>
      <c r="H108" s="211">
        <v>0</v>
      </c>
      <c r="I108" s="211">
        <v>0</v>
      </c>
      <c r="J108" s="211">
        <v>0.7</v>
      </c>
      <c r="K108" s="211">
        <v>0</v>
      </c>
      <c r="L108" s="211">
        <v>0</v>
      </c>
      <c r="M108" s="211">
        <v>0</v>
      </c>
      <c r="N108" s="211">
        <v>0</v>
      </c>
      <c r="O108" s="211">
        <v>0</v>
      </c>
      <c r="P108" s="211">
        <v>0</v>
      </c>
      <c r="Q108" s="211">
        <v>0</v>
      </c>
      <c r="R108" s="211">
        <v>0</v>
      </c>
      <c r="S108" s="211">
        <v>0</v>
      </c>
      <c r="T108" s="211">
        <v>0</v>
      </c>
      <c r="U108" s="211">
        <v>0</v>
      </c>
      <c r="V108" s="211">
        <v>0</v>
      </c>
      <c r="W108" s="211">
        <v>0.5</v>
      </c>
      <c r="X108" s="211">
        <v>24.7</v>
      </c>
      <c r="Y108" s="211">
        <v>13.9</v>
      </c>
      <c r="Z108" s="211">
        <v>0</v>
      </c>
      <c r="AA108" s="211">
        <v>8.6999999999999993</v>
      </c>
      <c r="AB108" s="211">
        <v>8.5</v>
      </c>
      <c r="AC108" s="211">
        <v>0</v>
      </c>
      <c r="AD108" s="211">
        <v>0</v>
      </c>
      <c r="AE108" s="211">
        <v>0</v>
      </c>
      <c r="AF108" s="211">
        <v>0</v>
      </c>
      <c r="AG108" s="211">
        <v>66.3</v>
      </c>
    </row>
    <row r="109" spans="1:33" x14ac:dyDescent="0.25">
      <c r="A109" s="121"/>
      <c r="B109" s="210" t="s">
        <v>272</v>
      </c>
      <c r="C109" s="211">
        <v>0</v>
      </c>
      <c r="D109" s="211">
        <v>1019.27</v>
      </c>
      <c r="E109" s="211">
        <v>0</v>
      </c>
      <c r="F109" s="211">
        <v>0</v>
      </c>
      <c r="G109" s="211">
        <v>0</v>
      </c>
      <c r="H109" s="211">
        <v>61.3</v>
      </c>
      <c r="I109" s="211">
        <v>0</v>
      </c>
      <c r="J109" s="211">
        <v>0.20644599999999999</v>
      </c>
      <c r="K109" s="211">
        <v>0</v>
      </c>
      <c r="L109" s="211">
        <v>3.3352599999999999</v>
      </c>
      <c r="M109" s="211">
        <v>0</v>
      </c>
      <c r="N109" s="211">
        <v>511.27800000000002</v>
      </c>
      <c r="O109" s="211">
        <v>0</v>
      </c>
      <c r="P109" s="211">
        <v>67</v>
      </c>
      <c r="Q109" s="211">
        <v>155</v>
      </c>
      <c r="R109" s="211">
        <v>0</v>
      </c>
      <c r="S109" s="211">
        <v>120.9</v>
      </c>
      <c r="T109" s="211">
        <v>0</v>
      </c>
      <c r="U109" s="211">
        <v>0</v>
      </c>
      <c r="V109" s="211">
        <v>0</v>
      </c>
      <c r="W109" s="211">
        <v>36.9375</v>
      </c>
      <c r="X109" s="211">
        <v>0</v>
      </c>
      <c r="Y109" s="211">
        <v>0</v>
      </c>
      <c r="Z109" s="211">
        <v>0</v>
      </c>
      <c r="AA109" s="211">
        <v>17.5</v>
      </c>
      <c r="AB109" s="211">
        <v>39.299999999999997</v>
      </c>
      <c r="AC109" s="211">
        <v>0</v>
      </c>
      <c r="AD109" s="211">
        <v>0</v>
      </c>
      <c r="AE109" s="211">
        <v>0</v>
      </c>
      <c r="AF109" s="211">
        <v>0</v>
      </c>
      <c r="AG109" s="211">
        <v>2032.027206</v>
      </c>
    </row>
    <row r="110" spans="1:33" x14ac:dyDescent="0.25">
      <c r="A110" s="121"/>
      <c r="B110" s="210" t="s">
        <v>273</v>
      </c>
      <c r="C110" s="211">
        <v>0</v>
      </c>
      <c r="D110" s="211">
        <v>667.65899999999999</v>
      </c>
      <c r="E110" s="211">
        <v>0</v>
      </c>
      <c r="F110" s="211">
        <v>0</v>
      </c>
      <c r="G110" s="211">
        <v>1.1000000000000001</v>
      </c>
      <c r="H110" s="211">
        <v>0</v>
      </c>
      <c r="I110" s="211">
        <v>0</v>
      </c>
      <c r="J110" s="211">
        <v>0.92719300000000004</v>
      </c>
      <c r="K110" s="211">
        <v>0</v>
      </c>
      <c r="L110" s="211">
        <v>3.7</v>
      </c>
      <c r="M110" s="211">
        <v>48.351500000000001</v>
      </c>
      <c r="N110" s="211">
        <v>0</v>
      </c>
      <c r="O110" s="211">
        <v>50.700200000000002</v>
      </c>
      <c r="P110" s="211">
        <v>71.2</v>
      </c>
      <c r="Q110" s="211">
        <v>0</v>
      </c>
      <c r="R110" s="211">
        <v>0</v>
      </c>
      <c r="S110" s="211">
        <v>0</v>
      </c>
      <c r="T110" s="211">
        <v>62.707999999999998</v>
      </c>
      <c r="U110" s="211">
        <v>0</v>
      </c>
      <c r="V110" s="211">
        <v>0</v>
      </c>
      <c r="W110" s="211">
        <v>42.984200000000001</v>
      </c>
      <c r="X110" s="211">
        <v>0</v>
      </c>
      <c r="Y110" s="211">
        <v>0</v>
      </c>
      <c r="Z110" s="211">
        <v>0</v>
      </c>
      <c r="AA110" s="211">
        <v>0</v>
      </c>
      <c r="AB110" s="211">
        <v>0</v>
      </c>
      <c r="AC110" s="211">
        <v>0</v>
      </c>
      <c r="AD110" s="211">
        <v>0</v>
      </c>
      <c r="AE110" s="211">
        <v>0</v>
      </c>
      <c r="AF110" s="211">
        <v>0</v>
      </c>
      <c r="AG110" s="211">
        <v>949.33009300000003</v>
      </c>
    </row>
    <row r="111" spans="1:33" x14ac:dyDescent="0.25">
      <c r="A111" s="121"/>
      <c r="B111" s="210" t="s">
        <v>274</v>
      </c>
      <c r="C111" s="211">
        <v>0</v>
      </c>
      <c r="D111" s="211">
        <v>0</v>
      </c>
      <c r="E111" s="211">
        <v>0</v>
      </c>
      <c r="F111" s="211">
        <v>0</v>
      </c>
      <c r="G111" s="211">
        <v>2.1</v>
      </c>
      <c r="H111" s="211">
        <v>0</v>
      </c>
      <c r="I111" s="211">
        <v>0</v>
      </c>
      <c r="J111" s="211">
        <v>1.3</v>
      </c>
      <c r="K111" s="211">
        <v>0</v>
      </c>
      <c r="L111" s="211">
        <v>0</v>
      </c>
      <c r="M111" s="211">
        <v>0</v>
      </c>
      <c r="N111" s="211">
        <v>0</v>
      </c>
      <c r="O111" s="211">
        <v>0</v>
      </c>
      <c r="P111" s="211">
        <v>11.7</v>
      </c>
      <c r="Q111" s="211">
        <v>0</v>
      </c>
      <c r="R111" s="211">
        <v>0</v>
      </c>
      <c r="S111" s="211">
        <v>74</v>
      </c>
      <c r="T111" s="211">
        <v>0</v>
      </c>
      <c r="U111" s="211">
        <v>0</v>
      </c>
      <c r="V111" s="211">
        <v>0</v>
      </c>
      <c r="W111" s="211">
        <v>2.2999999999999998</v>
      </c>
      <c r="X111" s="211">
        <v>0</v>
      </c>
      <c r="Y111" s="211">
        <v>4.7</v>
      </c>
      <c r="Z111" s="211">
        <v>0</v>
      </c>
      <c r="AA111" s="211">
        <v>0</v>
      </c>
      <c r="AB111" s="211">
        <v>0</v>
      </c>
      <c r="AC111" s="211">
        <v>0</v>
      </c>
      <c r="AD111" s="211">
        <v>0</v>
      </c>
      <c r="AE111" s="211">
        <v>0</v>
      </c>
      <c r="AF111" s="211">
        <v>0</v>
      </c>
      <c r="AG111" s="211">
        <v>96.1</v>
      </c>
    </row>
    <row r="112" spans="1:33" x14ac:dyDescent="0.25">
      <c r="A112" s="121"/>
      <c r="B112" s="210" t="s">
        <v>275</v>
      </c>
      <c r="C112" s="211">
        <v>0</v>
      </c>
      <c r="D112" s="211">
        <v>0</v>
      </c>
      <c r="E112" s="211">
        <v>0</v>
      </c>
      <c r="F112" s="211">
        <v>0</v>
      </c>
      <c r="G112" s="211">
        <v>6.3</v>
      </c>
      <c r="H112" s="211">
        <v>0</v>
      </c>
      <c r="I112" s="211">
        <v>0</v>
      </c>
      <c r="J112" s="211">
        <v>0</v>
      </c>
      <c r="K112" s="211">
        <v>0</v>
      </c>
      <c r="L112" s="211">
        <v>0</v>
      </c>
      <c r="M112" s="211">
        <v>0</v>
      </c>
      <c r="N112" s="211">
        <v>0</v>
      </c>
      <c r="O112" s="211">
        <v>0</v>
      </c>
      <c r="P112" s="211">
        <v>0</v>
      </c>
      <c r="Q112" s="211">
        <v>0</v>
      </c>
      <c r="R112" s="211">
        <v>0</v>
      </c>
      <c r="S112" s="211">
        <v>37</v>
      </c>
      <c r="T112" s="211">
        <v>0</v>
      </c>
      <c r="U112" s="211">
        <v>0</v>
      </c>
      <c r="V112" s="211">
        <v>0</v>
      </c>
      <c r="W112" s="211">
        <v>4.7</v>
      </c>
      <c r="X112" s="211">
        <v>0</v>
      </c>
      <c r="Y112" s="211">
        <v>0</v>
      </c>
      <c r="Z112" s="211">
        <v>0</v>
      </c>
      <c r="AA112" s="211">
        <v>9</v>
      </c>
      <c r="AB112" s="211">
        <v>17.7</v>
      </c>
      <c r="AC112" s="211">
        <v>0</v>
      </c>
      <c r="AD112" s="211">
        <v>0</v>
      </c>
      <c r="AE112" s="211">
        <v>0</v>
      </c>
      <c r="AF112" s="211">
        <v>0</v>
      </c>
      <c r="AG112" s="211">
        <v>74.7</v>
      </c>
    </row>
    <row r="113" spans="1:33" x14ac:dyDescent="0.25">
      <c r="A113" s="121"/>
      <c r="B113" s="210" t="s">
        <v>276</v>
      </c>
      <c r="C113" s="211">
        <v>0</v>
      </c>
      <c r="D113" s="211">
        <v>0</v>
      </c>
      <c r="E113" s="211">
        <v>0</v>
      </c>
      <c r="F113" s="211">
        <v>0</v>
      </c>
      <c r="G113" s="211">
        <v>4.5</v>
      </c>
      <c r="H113" s="211">
        <v>0</v>
      </c>
      <c r="I113" s="211">
        <v>0</v>
      </c>
      <c r="J113" s="211">
        <v>0.7</v>
      </c>
      <c r="K113" s="211">
        <v>0</v>
      </c>
      <c r="L113" s="211">
        <v>0</v>
      </c>
      <c r="M113" s="211">
        <v>0</v>
      </c>
      <c r="N113" s="211">
        <v>0</v>
      </c>
      <c r="O113" s="211">
        <v>0</v>
      </c>
      <c r="P113" s="211">
        <v>12</v>
      </c>
      <c r="Q113" s="211">
        <v>0</v>
      </c>
      <c r="R113" s="211">
        <v>0</v>
      </c>
      <c r="S113" s="211">
        <v>63</v>
      </c>
      <c r="T113" s="211">
        <v>0</v>
      </c>
      <c r="U113" s="211">
        <v>0</v>
      </c>
      <c r="V113" s="211">
        <v>0</v>
      </c>
      <c r="W113" s="211">
        <v>1.6</v>
      </c>
      <c r="X113" s="211">
        <v>0</v>
      </c>
      <c r="Y113" s="211">
        <v>6.8</v>
      </c>
      <c r="Z113" s="211">
        <v>0</v>
      </c>
      <c r="AA113" s="211">
        <v>0</v>
      </c>
      <c r="AB113" s="211">
        <v>0</v>
      </c>
      <c r="AC113" s="211">
        <v>0</v>
      </c>
      <c r="AD113" s="211">
        <v>0</v>
      </c>
      <c r="AE113" s="211">
        <v>0</v>
      </c>
      <c r="AF113" s="211">
        <v>0</v>
      </c>
      <c r="AG113" s="211">
        <v>88.6</v>
      </c>
    </row>
    <row r="114" spans="1:33" x14ac:dyDescent="0.25">
      <c r="A114" s="207" t="s">
        <v>277</v>
      </c>
      <c r="B114" s="208"/>
      <c r="C114" s="209"/>
      <c r="D114" s="209"/>
      <c r="E114" s="209"/>
      <c r="F114" s="209"/>
      <c r="G114" s="209"/>
      <c r="H114" s="209"/>
      <c r="I114" s="209"/>
      <c r="J114" s="209"/>
      <c r="K114" s="209"/>
      <c r="L114" s="209"/>
      <c r="M114" s="209"/>
      <c r="N114" s="209"/>
      <c r="O114" s="209"/>
      <c r="P114" s="209"/>
      <c r="Q114" s="209"/>
      <c r="R114" s="209"/>
      <c r="S114" s="209"/>
      <c r="T114" s="209"/>
      <c r="U114" s="209"/>
      <c r="V114" s="209"/>
      <c r="W114" s="209"/>
      <c r="X114" s="209"/>
      <c r="Y114" s="209"/>
      <c r="Z114" s="209"/>
      <c r="AA114" s="209"/>
      <c r="AB114" s="209"/>
      <c r="AC114" s="209"/>
      <c r="AD114" s="209"/>
      <c r="AE114" s="209"/>
      <c r="AF114" s="209"/>
      <c r="AG114" s="209"/>
    </row>
    <row r="115" spans="1:33" x14ac:dyDescent="0.25">
      <c r="A115" s="121"/>
      <c r="B115" s="210" t="s">
        <v>277</v>
      </c>
      <c r="C115" s="211">
        <v>0</v>
      </c>
      <c r="D115" s="211">
        <v>0</v>
      </c>
      <c r="E115" s="211">
        <v>0</v>
      </c>
      <c r="F115" s="211">
        <v>0</v>
      </c>
      <c r="G115" s="211">
        <v>0</v>
      </c>
      <c r="H115" s="211">
        <v>0</v>
      </c>
      <c r="I115" s="211">
        <v>0</v>
      </c>
      <c r="J115" s="211">
        <v>0</v>
      </c>
      <c r="K115" s="211">
        <v>0</v>
      </c>
      <c r="L115" s="211">
        <v>0</v>
      </c>
      <c r="M115" s="211">
        <v>0</v>
      </c>
      <c r="N115" s="211">
        <v>0</v>
      </c>
      <c r="O115" s="211">
        <v>0</v>
      </c>
      <c r="P115" s="211">
        <v>0</v>
      </c>
      <c r="Q115" s="211">
        <v>0</v>
      </c>
      <c r="R115" s="211">
        <v>0</v>
      </c>
      <c r="S115" s="211">
        <v>0</v>
      </c>
      <c r="T115" s="211">
        <v>0</v>
      </c>
      <c r="U115" s="211">
        <v>0</v>
      </c>
      <c r="V115" s="211">
        <v>0</v>
      </c>
      <c r="W115" s="211">
        <v>0</v>
      </c>
      <c r="X115" s="211">
        <v>0</v>
      </c>
      <c r="Y115" s="211">
        <v>0</v>
      </c>
      <c r="Z115" s="211">
        <v>0</v>
      </c>
      <c r="AA115" s="211">
        <v>0</v>
      </c>
      <c r="AB115" s="211">
        <v>0</v>
      </c>
      <c r="AC115" s="211">
        <v>0</v>
      </c>
      <c r="AD115" s="211">
        <v>0</v>
      </c>
      <c r="AE115" s="211">
        <v>0</v>
      </c>
      <c r="AF115" s="211">
        <v>0</v>
      </c>
      <c r="AG115" s="211">
        <v>0</v>
      </c>
    </row>
    <row r="116" spans="1:33" x14ac:dyDescent="0.25">
      <c r="A116" s="121"/>
      <c r="B116" s="210" t="s">
        <v>278</v>
      </c>
      <c r="C116" s="211">
        <v>0</v>
      </c>
      <c r="D116" s="211">
        <v>0</v>
      </c>
      <c r="E116" s="211">
        <v>0</v>
      </c>
      <c r="F116" s="211">
        <v>0</v>
      </c>
      <c r="G116" s="211">
        <v>0</v>
      </c>
      <c r="H116" s="211">
        <v>0</v>
      </c>
      <c r="I116" s="211">
        <v>0</v>
      </c>
      <c r="J116" s="211">
        <v>0</v>
      </c>
      <c r="K116" s="211">
        <v>0</v>
      </c>
      <c r="L116" s="211">
        <v>0</v>
      </c>
      <c r="M116" s="211">
        <v>0</v>
      </c>
      <c r="N116" s="211">
        <v>0</v>
      </c>
      <c r="O116" s="211">
        <v>0</v>
      </c>
      <c r="P116" s="211">
        <v>0</v>
      </c>
      <c r="Q116" s="211">
        <v>0</v>
      </c>
      <c r="R116" s="211">
        <v>0</v>
      </c>
      <c r="S116" s="211">
        <v>0</v>
      </c>
      <c r="T116" s="211">
        <v>0</v>
      </c>
      <c r="U116" s="211">
        <v>0</v>
      </c>
      <c r="V116" s="211">
        <v>0</v>
      </c>
      <c r="W116" s="211">
        <v>0</v>
      </c>
      <c r="X116" s="211">
        <v>0</v>
      </c>
      <c r="Y116" s="211">
        <v>0</v>
      </c>
      <c r="Z116" s="211">
        <v>0</v>
      </c>
      <c r="AA116" s="211">
        <v>0</v>
      </c>
      <c r="AB116" s="211">
        <v>0</v>
      </c>
      <c r="AC116" s="211">
        <v>0</v>
      </c>
      <c r="AD116" s="211">
        <v>0</v>
      </c>
      <c r="AE116" s="211">
        <v>0</v>
      </c>
      <c r="AF116" s="211">
        <v>0</v>
      </c>
      <c r="AG116" s="211">
        <v>0</v>
      </c>
    </row>
    <row r="117" spans="1:33" x14ac:dyDescent="0.25">
      <c r="A117" s="207" t="s">
        <v>279</v>
      </c>
      <c r="B117" s="208"/>
      <c r="C117" s="209"/>
      <c r="D117" s="209"/>
      <c r="E117" s="209"/>
      <c r="F117" s="209"/>
      <c r="G117" s="209"/>
      <c r="H117" s="209"/>
      <c r="I117" s="209"/>
      <c r="J117" s="209"/>
      <c r="K117" s="209"/>
      <c r="L117" s="209"/>
      <c r="M117" s="209"/>
      <c r="N117" s="209"/>
      <c r="O117" s="209"/>
      <c r="P117" s="209"/>
      <c r="Q117" s="209"/>
      <c r="R117" s="209"/>
      <c r="S117" s="209"/>
      <c r="T117" s="209"/>
      <c r="U117" s="209"/>
      <c r="V117" s="209"/>
      <c r="W117" s="209"/>
      <c r="X117" s="209"/>
      <c r="Y117" s="209"/>
      <c r="Z117" s="209"/>
      <c r="AA117" s="209"/>
      <c r="AB117" s="209"/>
      <c r="AC117" s="209"/>
      <c r="AD117" s="209"/>
      <c r="AE117" s="209"/>
      <c r="AF117" s="209"/>
      <c r="AG117" s="209"/>
    </row>
    <row r="118" spans="1:33" x14ac:dyDescent="0.25">
      <c r="A118" s="121"/>
      <c r="B118" s="210" t="s">
        <v>280</v>
      </c>
      <c r="C118" s="211">
        <v>0</v>
      </c>
      <c r="D118" s="211">
        <v>113.18300000000001</v>
      </c>
      <c r="E118" s="211">
        <v>0</v>
      </c>
      <c r="F118" s="211">
        <v>4.3</v>
      </c>
      <c r="G118" s="211">
        <v>0.49594500000000002</v>
      </c>
      <c r="H118" s="211">
        <v>0</v>
      </c>
      <c r="I118" s="211">
        <v>0</v>
      </c>
      <c r="J118" s="211">
        <v>9.2999999999999999E-2</v>
      </c>
      <c r="K118" s="211">
        <v>0</v>
      </c>
      <c r="L118" s="211">
        <v>0</v>
      </c>
      <c r="M118" s="211">
        <v>0</v>
      </c>
      <c r="N118" s="211">
        <v>0</v>
      </c>
      <c r="O118" s="211">
        <v>0</v>
      </c>
      <c r="P118" s="211">
        <v>11.5</v>
      </c>
      <c r="Q118" s="211">
        <v>0</v>
      </c>
      <c r="R118" s="211">
        <v>4.3</v>
      </c>
      <c r="S118" s="211">
        <v>19</v>
      </c>
      <c r="T118" s="211">
        <v>0</v>
      </c>
      <c r="U118" s="211">
        <v>0</v>
      </c>
      <c r="V118" s="211">
        <v>0</v>
      </c>
      <c r="W118" s="211">
        <v>5.9959899999999999</v>
      </c>
      <c r="X118" s="211">
        <v>0</v>
      </c>
      <c r="Y118" s="211">
        <v>0</v>
      </c>
      <c r="Z118" s="211">
        <v>0</v>
      </c>
      <c r="AA118" s="211">
        <v>0</v>
      </c>
      <c r="AB118" s="211">
        <v>0</v>
      </c>
      <c r="AC118" s="211">
        <v>0</v>
      </c>
      <c r="AD118" s="211">
        <v>0</v>
      </c>
      <c r="AE118" s="211">
        <v>0</v>
      </c>
      <c r="AF118" s="211">
        <v>1.9294100000000001</v>
      </c>
      <c r="AG118" s="211">
        <v>160.79734500000004</v>
      </c>
    </row>
    <row r="119" spans="1:33" x14ac:dyDescent="0.25">
      <c r="A119" s="121"/>
      <c r="B119" s="210" t="s">
        <v>281</v>
      </c>
      <c r="C119" s="211">
        <v>0</v>
      </c>
      <c r="D119" s="211">
        <v>0</v>
      </c>
      <c r="E119" s="211">
        <v>0</v>
      </c>
      <c r="F119" s="211">
        <v>1.49</v>
      </c>
      <c r="G119" s="211">
        <v>0.13</v>
      </c>
      <c r="H119" s="211">
        <v>0</v>
      </c>
      <c r="I119" s="211">
        <v>0</v>
      </c>
      <c r="J119" s="211">
        <v>0</v>
      </c>
      <c r="K119" s="211">
        <v>0</v>
      </c>
      <c r="L119" s="211">
        <v>0</v>
      </c>
      <c r="M119" s="211">
        <v>0</v>
      </c>
      <c r="N119" s="211">
        <v>0</v>
      </c>
      <c r="O119" s="211">
        <v>0</v>
      </c>
      <c r="P119" s="211">
        <v>0</v>
      </c>
      <c r="Q119" s="211">
        <v>0</v>
      </c>
      <c r="R119" s="211">
        <v>1.49</v>
      </c>
      <c r="S119" s="211">
        <v>1.49</v>
      </c>
      <c r="T119" s="211">
        <v>0</v>
      </c>
      <c r="U119" s="211">
        <v>0</v>
      </c>
      <c r="V119" s="211">
        <v>0</v>
      </c>
      <c r="W119" s="211">
        <v>0.13</v>
      </c>
      <c r="X119" s="211">
        <v>0</v>
      </c>
      <c r="Y119" s="211">
        <v>0</v>
      </c>
      <c r="Z119" s="211">
        <v>0</v>
      </c>
      <c r="AA119" s="211">
        <v>0</v>
      </c>
      <c r="AB119" s="211">
        <v>0</v>
      </c>
      <c r="AC119" s="211">
        <v>0</v>
      </c>
      <c r="AD119" s="211">
        <v>0</v>
      </c>
      <c r="AE119" s="211">
        <v>0</v>
      </c>
      <c r="AF119" s="211">
        <v>0</v>
      </c>
      <c r="AG119" s="211">
        <v>4.7300000000000004</v>
      </c>
    </row>
    <row r="120" spans="1:33" x14ac:dyDescent="0.25">
      <c r="A120" s="121"/>
      <c r="B120" s="210" t="s">
        <v>282</v>
      </c>
      <c r="C120" s="211">
        <v>0</v>
      </c>
      <c r="D120" s="211">
        <v>0</v>
      </c>
      <c r="E120" s="211">
        <v>0</v>
      </c>
      <c r="F120" s="211">
        <v>7.04</v>
      </c>
      <c r="G120" s="211">
        <v>0.15</v>
      </c>
      <c r="H120" s="211">
        <v>0</v>
      </c>
      <c r="I120" s="211">
        <v>0</v>
      </c>
      <c r="J120" s="211">
        <v>0</v>
      </c>
      <c r="K120" s="211">
        <v>0</v>
      </c>
      <c r="L120" s="211">
        <v>0</v>
      </c>
      <c r="M120" s="211">
        <v>0</v>
      </c>
      <c r="N120" s="211">
        <v>0</v>
      </c>
      <c r="O120" s="211">
        <v>0</v>
      </c>
      <c r="P120" s="211">
        <v>0</v>
      </c>
      <c r="Q120" s="211">
        <v>0</v>
      </c>
      <c r="R120" s="211">
        <v>7.04</v>
      </c>
      <c r="S120" s="211">
        <v>7.04</v>
      </c>
      <c r="T120" s="211">
        <v>0</v>
      </c>
      <c r="U120" s="211">
        <v>0</v>
      </c>
      <c r="V120" s="211">
        <v>0</v>
      </c>
      <c r="W120" s="211">
        <v>0.35</v>
      </c>
      <c r="X120" s="211">
        <v>0</v>
      </c>
      <c r="Y120" s="211">
        <v>0</v>
      </c>
      <c r="Z120" s="211">
        <v>0</v>
      </c>
      <c r="AA120" s="211">
        <v>0</v>
      </c>
      <c r="AB120" s="211">
        <v>0</v>
      </c>
      <c r="AC120" s="211">
        <v>0</v>
      </c>
      <c r="AD120" s="211">
        <v>0</v>
      </c>
      <c r="AE120" s="211">
        <v>0</v>
      </c>
      <c r="AF120" s="211">
        <v>0</v>
      </c>
      <c r="AG120" s="211">
        <v>21.62</v>
      </c>
    </row>
    <row r="121" spans="1:33" x14ac:dyDescent="0.25">
      <c r="A121" s="207" t="s">
        <v>1120</v>
      </c>
      <c r="B121" s="208"/>
      <c r="C121" s="209"/>
      <c r="D121" s="209"/>
      <c r="E121" s="209"/>
      <c r="F121" s="209"/>
      <c r="G121" s="209"/>
      <c r="H121" s="209"/>
      <c r="I121" s="209"/>
      <c r="J121" s="209"/>
      <c r="K121" s="209"/>
      <c r="L121" s="209"/>
      <c r="M121" s="209"/>
      <c r="N121" s="209"/>
      <c r="O121" s="209"/>
      <c r="P121" s="209"/>
      <c r="Q121" s="209"/>
      <c r="R121" s="209"/>
      <c r="S121" s="209"/>
      <c r="T121" s="209"/>
      <c r="U121" s="209"/>
      <c r="V121" s="209"/>
      <c r="W121" s="209"/>
      <c r="X121" s="209"/>
      <c r="Y121" s="209"/>
      <c r="Z121" s="209"/>
      <c r="AA121" s="209"/>
      <c r="AB121" s="209"/>
      <c r="AC121" s="209"/>
      <c r="AD121" s="209"/>
      <c r="AE121" s="209"/>
      <c r="AF121" s="209"/>
      <c r="AG121" s="209"/>
    </row>
    <row r="122" spans="1:33" x14ac:dyDescent="0.25">
      <c r="A122" s="121"/>
      <c r="B122" s="210" t="s">
        <v>1121</v>
      </c>
      <c r="C122" s="211">
        <v>0</v>
      </c>
      <c r="D122" s="211">
        <v>0</v>
      </c>
      <c r="E122" s="211">
        <v>0</v>
      </c>
      <c r="F122" s="211">
        <v>0</v>
      </c>
      <c r="G122" s="211">
        <v>0</v>
      </c>
      <c r="H122" s="211">
        <v>0</v>
      </c>
      <c r="I122" s="211">
        <v>0</v>
      </c>
      <c r="J122" s="211">
        <v>0</v>
      </c>
      <c r="K122" s="211">
        <v>0</v>
      </c>
      <c r="L122" s="211">
        <v>0</v>
      </c>
      <c r="M122" s="211">
        <v>0</v>
      </c>
      <c r="N122" s="211">
        <v>0</v>
      </c>
      <c r="O122" s="211">
        <v>0</v>
      </c>
      <c r="P122" s="211">
        <v>0</v>
      </c>
      <c r="Q122" s="211">
        <v>0</v>
      </c>
      <c r="R122" s="211">
        <v>0</v>
      </c>
      <c r="S122" s="211">
        <v>0</v>
      </c>
      <c r="T122" s="211">
        <v>0</v>
      </c>
      <c r="U122" s="211">
        <v>0</v>
      </c>
      <c r="V122" s="211">
        <v>0</v>
      </c>
      <c r="W122" s="211">
        <v>0</v>
      </c>
      <c r="X122" s="211">
        <v>0</v>
      </c>
      <c r="Y122" s="211">
        <v>0</v>
      </c>
      <c r="Z122" s="211">
        <v>0</v>
      </c>
      <c r="AA122" s="211">
        <v>0</v>
      </c>
      <c r="AB122" s="211">
        <v>0</v>
      </c>
      <c r="AC122" s="211">
        <v>0</v>
      </c>
      <c r="AD122" s="211">
        <v>0</v>
      </c>
      <c r="AE122" s="211">
        <v>0</v>
      </c>
      <c r="AF122" s="211">
        <v>0</v>
      </c>
      <c r="AG122" s="211">
        <v>0</v>
      </c>
    </row>
    <row r="123" spans="1:33" x14ac:dyDescent="0.25">
      <c r="A123" s="207" t="s">
        <v>283</v>
      </c>
      <c r="B123" s="208"/>
      <c r="C123" s="209"/>
      <c r="D123" s="209"/>
      <c r="E123" s="209"/>
      <c r="F123" s="209"/>
      <c r="G123" s="209"/>
      <c r="H123" s="209"/>
      <c r="I123" s="209"/>
      <c r="J123" s="209"/>
      <c r="K123" s="209"/>
      <c r="L123" s="209"/>
      <c r="M123" s="209"/>
      <c r="N123" s="209"/>
      <c r="O123" s="209"/>
      <c r="P123" s="209"/>
      <c r="Q123" s="209"/>
      <c r="R123" s="209"/>
      <c r="S123" s="209"/>
      <c r="T123" s="209"/>
      <c r="U123" s="209"/>
      <c r="V123" s="209"/>
      <c r="W123" s="209"/>
      <c r="X123" s="209"/>
      <c r="Y123" s="209"/>
      <c r="Z123" s="209"/>
      <c r="AA123" s="209"/>
      <c r="AB123" s="209"/>
      <c r="AC123" s="209"/>
      <c r="AD123" s="209"/>
      <c r="AE123" s="209"/>
      <c r="AF123" s="209"/>
      <c r="AG123" s="209"/>
    </row>
    <row r="124" spans="1:33" x14ac:dyDescent="0.25">
      <c r="A124" s="121"/>
      <c r="B124" s="210" t="s">
        <v>284</v>
      </c>
      <c r="C124" s="211">
        <v>0</v>
      </c>
      <c r="D124" s="211">
        <v>0</v>
      </c>
      <c r="E124" s="211">
        <v>0</v>
      </c>
      <c r="F124" s="211">
        <v>0</v>
      </c>
      <c r="G124" s="211">
        <v>0</v>
      </c>
      <c r="H124" s="211">
        <v>0</v>
      </c>
      <c r="I124" s="211">
        <v>0</v>
      </c>
      <c r="J124" s="211">
        <v>0.93</v>
      </c>
      <c r="K124" s="211">
        <v>0</v>
      </c>
      <c r="L124" s="211">
        <v>0</v>
      </c>
      <c r="M124" s="211">
        <v>0</v>
      </c>
      <c r="N124" s="211">
        <v>0</v>
      </c>
      <c r="O124" s="211">
        <v>0</v>
      </c>
      <c r="P124" s="211">
        <v>8.5</v>
      </c>
      <c r="Q124" s="211">
        <v>0</v>
      </c>
      <c r="R124" s="211">
        <v>0</v>
      </c>
      <c r="S124" s="211">
        <v>0</v>
      </c>
      <c r="T124" s="211">
        <v>0</v>
      </c>
      <c r="U124" s="211">
        <v>0</v>
      </c>
      <c r="V124" s="211">
        <v>0</v>
      </c>
      <c r="W124" s="211">
        <v>1.59</v>
      </c>
      <c r="X124" s="211">
        <v>0</v>
      </c>
      <c r="Y124" s="211">
        <v>4.5</v>
      </c>
      <c r="Z124" s="211">
        <v>0</v>
      </c>
      <c r="AA124" s="211">
        <v>0</v>
      </c>
      <c r="AB124" s="211">
        <v>0</v>
      </c>
      <c r="AC124" s="211">
        <v>0</v>
      </c>
      <c r="AD124" s="211">
        <v>0</v>
      </c>
      <c r="AE124" s="211">
        <v>0</v>
      </c>
      <c r="AF124" s="211">
        <v>48.6</v>
      </c>
      <c r="AG124" s="211">
        <v>64.12</v>
      </c>
    </row>
    <row r="125" spans="1:33" x14ac:dyDescent="0.25">
      <c r="A125" s="207" t="s">
        <v>285</v>
      </c>
      <c r="B125" s="208"/>
      <c r="C125" s="209"/>
      <c r="D125" s="209"/>
      <c r="E125" s="209"/>
      <c r="F125" s="209"/>
      <c r="G125" s="209"/>
      <c r="H125" s="209"/>
      <c r="I125" s="209"/>
      <c r="J125" s="209"/>
      <c r="K125" s="209"/>
      <c r="L125" s="209"/>
      <c r="M125" s="209"/>
      <c r="N125" s="209"/>
      <c r="O125" s="209"/>
      <c r="P125" s="209"/>
      <c r="Q125" s="209"/>
      <c r="R125" s="209"/>
      <c r="S125" s="209"/>
      <c r="T125" s="209"/>
      <c r="U125" s="209"/>
      <c r="V125" s="209"/>
      <c r="W125" s="209"/>
      <c r="X125" s="209"/>
      <c r="Y125" s="209"/>
      <c r="Z125" s="209"/>
      <c r="AA125" s="209"/>
      <c r="AB125" s="209"/>
      <c r="AC125" s="209"/>
      <c r="AD125" s="209"/>
      <c r="AE125" s="209"/>
      <c r="AF125" s="209"/>
      <c r="AG125" s="209"/>
    </row>
    <row r="126" spans="1:33" x14ac:dyDescent="0.25">
      <c r="A126" s="121"/>
      <c r="B126" s="210" t="s">
        <v>286</v>
      </c>
      <c r="C126" s="211">
        <v>0</v>
      </c>
      <c r="D126" s="211">
        <v>0</v>
      </c>
      <c r="E126" s="211">
        <v>0</v>
      </c>
      <c r="F126" s="211">
        <v>0</v>
      </c>
      <c r="G126" s="211">
        <v>0</v>
      </c>
      <c r="H126" s="211">
        <v>2.6</v>
      </c>
      <c r="I126" s="211">
        <v>4.5</v>
      </c>
      <c r="J126" s="211">
        <v>1.0649900000000001</v>
      </c>
      <c r="K126" s="211">
        <v>2.5</v>
      </c>
      <c r="L126" s="211">
        <v>0</v>
      </c>
      <c r="M126" s="211">
        <v>21.702300000000001</v>
      </c>
      <c r="N126" s="211">
        <v>0</v>
      </c>
      <c r="O126" s="211">
        <v>155.62200000000001</v>
      </c>
      <c r="P126" s="211">
        <v>22.6</v>
      </c>
      <c r="Q126" s="211">
        <v>0</v>
      </c>
      <c r="R126" s="211">
        <v>0</v>
      </c>
      <c r="S126" s="211">
        <v>6.3518999999999997</v>
      </c>
      <c r="T126" s="211">
        <v>0</v>
      </c>
      <c r="U126" s="211">
        <v>0</v>
      </c>
      <c r="V126" s="211">
        <v>0</v>
      </c>
      <c r="W126" s="211">
        <v>13.784599999999999</v>
      </c>
      <c r="X126" s="211">
        <v>0</v>
      </c>
      <c r="Y126" s="211">
        <v>34</v>
      </c>
      <c r="Z126" s="211">
        <v>0</v>
      </c>
      <c r="AA126" s="211">
        <v>0</v>
      </c>
      <c r="AB126" s="211">
        <v>0</v>
      </c>
      <c r="AC126" s="211">
        <v>0</v>
      </c>
      <c r="AD126" s="211">
        <v>0</v>
      </c>
      <c r="AE126" s="211">
        <v>0</v>
      </c>
      <c r="AF126" s="211">
        <v>0</v>
      </c>
      <c r="AG126" s="211">
        <v>264.72579000000002</v>
      </c>
    </row>
    <row r="127" spans="1:33" x14ac:dyDescent="0.25">
      <c r="A127" s="207" t="s">
        <v>289</v>
      </c>
      <c r="B127" s="208"/>
      <c r="C127" s="209"/>
      <c r="D127" s="209"/>
      <c r="E127" s="209"/>
      <c r="F127" s="209"/>
      <c r="G127" s="209"/>
      <c r="H127" s="209"/>
      <c r="I127" s="209"/>
      <c r="J127" s="209"/>
      <c r="K127" s="209"/>
      <c r="L127" s="209"/>
      <c r="M127" s="209"/>
      <c r="N127" s="209"/>
      <c r="O127" s="209"/>
      <c r="P127" s="209"/>
      <c r="Q127" s="209"/>
      <c r="R127" s="209"/>
      <c r="S127" s="209"/>
      <c r="T127" s="209"/>
      <c r="U127" s="209"/>
      <c r="V127" s="209"/>
      <c r="W127" s="209"/>
      <c r="X127" s="209"/>
      <c r="Y127" s="209"/>
      <c r="Z127" s="209"/>
      <c r="AA127" s="209"/>
      <c r="AB127" s="209"/>
      <c r="AC127" s="209"/>
      <c r="AD127" s="209"/>
      <c r="AE127" s="209"/>
      <c r="AF127" s="209"/>
      <c r="AG127" s="209"/>
    </row>
    <row r="128" spans="1:33" x14ac:dyDescent="0.25">
      <c r="A128" s="121"/>
      <c r="B128" s="210" t="s">
        <v>290</v>
      </c>
      <c r="C128" s="211">
        <v>0</v>
      </c>
      <c r="D128" s="211">
        <v>0</v>
      </c>
      <c r="E128" s="211">
        <v>0</v>
      </c>
      <c r="F128" s="211">
        <v>159.77099999999999</v>
      </c>
      <c r="G128" s="211">
        <v>14.686999999999999</v>
      </c>
      <c r="H128" s="211">
        <v>0</v>
      </c>
      <c r="I128" s="211">
        <v>0</v>
      </c>
      <c r="J128" s="211">
        <v>1.8466499999999999</v>
      </c>
      <c r="K128" s="211">
        <v>0</v>
      </c>
      <c r="L128" s="211">
        <v>2.629</v>
      </c>
      <c r="M128" s="211">
        <v>389.47</v>
      </c>
      <c r="N128" s="211">
        <v>0</v>
      </c>
      <c r="O128" s="211">
        <v>0</v>
      </c>
      <c r="P128" s="211">
        <v>138.559</v>
      </c>
      <c r="Q128" s="211">
        <v>0</v>
      </c>
      <c r="R128" s="211">
        <v>0</v>
      </c>
      <c r="S128" s="211">
        <v>0</v>
      </c>
      <c r="T128" s="211">
        <v>0</v>
      </c>
      <c r="U128" s="211">
        <v>0</v>
      </c>
      <c r="V128" s="211">
        <v>0</v>
      </c>
      <c r="W128" s="211">
        <v>24.9635</v>
      </c>
      <c r="X128" s="211">
        <v>0</v>
      </c>
      <c r="Y128" s="211">
        <v>0</v>
      </c>
      <c r="Z128" s="211">
        <v>0</v>
      </c>
      <c r="AA128" s="211">
        <v>0</v>
      </c>
      <c r="AB128" s="211">
        <v>0</v>
      </c>
      <c r="AC128" s="211">
        <v>0</v>
      </c>
      <c r="AD128" s="211">
        <v>0</v>
      </c>
      <c r="AE128" s="211">
        <v>0</v>
      </c>
      <c r="AF128" s="211">
        <v>0</v>
      </c>
      <c r="AG128" s="211">
        <v>731.92614999999989</v>
      </c>
    </row>
    <row r="129" spans="1:33" x14ac:dyDescent="0.25">
      <c r="A129" s="121"/>
      <c r="B129" s="210" t="s">
        <v>291</v>
      </c>
      <c r="C129" s="211">
        <v>0</v>
      </c>
      <c r="D129" s="211">
        <v>0</v>
      </c>
      <c r="E129" s="211">
        <v>0</v>
      </c>
      <c r="F129" s="211">
        <v>0</v>
      </c>
      <c r="G129" s="211">
        <v>0</v>
      </c>
      <c r="H129" s="211">
        <v>0</v>
      </c>
      <c r="I129" s="211">
        <v>0</v>
      </c>
      <c r="J129" s="211">
        <v>0.14000000000000001</v>
      </c>
      <c r="K129" s="211">
        <v>0</v>
      </c>
      <c r="L129" s="211">
        <v>0</v>
      </c>
      <c r="M129" s="211">
        <v>0</v>
      </c>
      <c r="N129" s="211">
        <v>0</v>
      </c>
      <c r="O129" s="211">
        <v>0</v>
      </c>
      <c r="P129" s="211">
        <v>0</v>
      </c>
      <c r="Q129" s="211">
        <v>0</v>
      </c>
      <c r="R129" s="211">
        <v>0</v>
      </c>
      <c r="S129" s="211">
        <v>0</v>
      </c>
      <c r="T129" s="211">
        <v>0</v>
      </c>
      <c r="U129" s="211">
        <v>0</v>
      </c>
      <c r="V129" s="211">
        <v>0</v>
      </c>
      <c r="W129" s="211">
        <v>1.9E-2</v>
      </c>
      <c r="X129" s="211">
        <v>0</v>
      </c>
      <c r="Y129" s="211">
        <v>0.85899999999999999</v>
      </c>
      <c r="Z129" s="211">
        <v>0</v>
      </c>
      <c r="AA129" s="211">
        <v>0</v>
      </c>
      <c r="AB129" s="211">
        <v>0</v>
      </c>
      <c r="AC129" s="211">
        <v>0</v>
      </c>
      <c r="AD129" s="211">
        <v>0</v>
      </c>
      <c r="AE129" s="211">
        <v>0</v>
      </c>
      <c r="AF129" s="211">
        <v>0</v>
      </c>
      <c r="AG129" s="211">
        <v>1.018</v>
      </c>
    </row>
    <row r="130" spans="1:33" x14ac:dyDescent="0.25">
      <c r="A130" s="121"/>
      <c r="B130" s="210" t="s">
        <v>292</v>
      </c>
      <c r="C130" s="211">
        <v>0</v>
      </c>
      <c r="D130" s="211">
        <v>0</v>
      </c>
      <c r="E130" s="211">
        <v>0</v>
      </c>
      <c r="F130" s="211">
        <v>0</v>
      </c>
      <c r="G130" s="211">
        <v>3.2450000000000001</v>
      </c>
      <c r="H130" s="211">
        <v>0</v>
      </c>
      <c r="I130" s="211">
        <v>0</v>
      </c>
      <c r="J130" s="211">
        <v>0</v>
      </c>
      <c r="K130" s="211">
        <v>0</v>
      </c>
      <c r="L130" s="211">
        <v>0</v>
      </c>
      <c r="M130" s="211">
        <v>0</v>
      </c>
      <c r="N130" s="211">
        <v>0</v>
      </c>
      <c r="O130" s="211">
        <v>0</v>
      </c>
      <c r="P130" s="211">
        <v>0</v>
      </c>
      <c r="Q130" s="211">
        <v>0</v>
      </c>
      <c r="R130" s="211">
        <v>0</v>
      </c>
      <c r="S130" s="211">
        <v>0</v>
      </c>
      <c r="T130" s="211">
        <v>0</v>
      </c>
      <c r="U130" s="211">
        <v>0</v>
      </c>
      <c r="V130" s="211">
        <v>0</v>
      </c>
      <c r="W130" s="211">
        <v>0.125</v>
      </c>
      <c r="X130" s="211">
        <v>0</v>
      </c>
      <c r="Y130" s="211">
        <v>5.3819999999999997</v>
      </c>
      <c r="Z130" s="211">
        <v>0</v>
      </c>
      <c r="AA130" s="211">
        <v>0</v>
      </c>
      <c r="AB130" s="211">
        <v>0</v>
      </c>
      <c r="AC130" s="211">
        <v>0</v>
      </c>
      <c r="AD130" s="211">
        <v>0</v>
      </c>
      <c r="AE130" s="211">
        <v>0</v>
      </c>
      <c r="AF130" s="211">
        <v>0</v>
      </c>
      <c r="AG130" s="211">
        <v>8.7519999999999989</v>
      </c>
    </row>
    <row r="131" spans="1:33" x14ac:dyDescent="0.25">
      <c r="A131" s="207" t="s">
        <v>293</v>
      </c>
      <c r="B131" s="208"/>
      <c r="C131" s="209"/>
      <c r="D131" s="209"/>
      <c r="E131" s="209"/>
      <c r="F131" s="209"/>
      <c r="G131" s="209"/>
      <c r="H131" s="209"/>
      <c r="I131" s="209"/>
      <c r="J131" s="209"/>
      <c r="K131" s="209"/>
      <c r="L131" s="209"/>
      <c r="M131" s="209"/>
      <c r="N131" s="209"/>
      <c r="O131" s="209"/>
      <c r="P131" s="209"/>
      <c r="Q131" s="209"/>
      <c r="R131" s="209"/>
      <c r="S131" s="209"/>
      <c r="T131" s="209"/>
      <c r="U131" s="209"/>
      <c r="V131" s="209"/>
      <c r="W131" s="209"/>
      <c r="X131" s="209"/>
      <c r="Y131" s="209"/>
      <c r="Z131" s="209"/>
      <c r="AA131" s="209"/>
      <c r="AB131" s="209"/>
      <c r="AC131" s="209"/>
      <c r="AD131" s="209"/>
      <c r="AE131" s="209"/>
      <c r="AF131" s="209"/>
      <c r="AG131" s="209"/>
    </row>
    <row r="132" spans="1:33" x14ac:dyDescent="0.25">
      <c r="A132" s="121"/>
      <c r="B132" s="210" t="s">
        <v>294</v>
      </c>
      <c r="C132" s="211">
        <v>0</v>
      </c>
      <c r="D132" s="211">
        <v>0</v>
      </c>
      <c r="E132" s="211">
        <v>0</v>
      </c>
      <c r="F132" s="211">
        <v>6.8791900000000004</v>
      </c>
      <c r="G132" s="211">
        <v>1.0465599999999999</v>
      </c>
      <c r="H132" s="211">
        <v>0</v>
      </c>
      <c r="I132" s="211">
        <v>0</v>
      </c>
      <c r="J132" s="211">
        <v>0</v>
      </c>
      <c r="K132" s="211">
        <v>0</v>
      </c>
      <c r="L132" s="211">
        <v>0</v>
      </c>
      <c r="M132" s="211">
        <v>57.925899999999999</v>
      </c>
      <c r="N132" s="211">
        <v>0</v>
      </c>
      <c r="O132" s="211">
        <v>0</v>
      </c>
      <c r="P132" s="211">
        <v>24.3</v>
      </c>
      <c r="Q132" s="211">
        <v>0</v>
      </c>
      <c r="R132" s="211">
        <v>0</v>
      </c>
      <c r="S132" s="211">
        <v>24.233499999999999</v>
      </c>
      <c r="T132" s="211">
        <v>0</v>
      </c>
      <c r="U132" s="211">
        <v>0</v>
      </c>
      <c r="V132" s="211">
        <v>0</v>
      </c>
      <c r="W132" s="211">
        <v>3.1210900000000001</v>
      </c>
      <c r="X132" s="211">
        <v>7.8</v>
      </c>
      <c r="Y132" s="211">
        <v>0</v>
      </c>
      <c r="Z132" s="211">
        <v>0</v>
      </c>
      <c r="AA132" s="211">
        <v>0</v>
      </c>
      <c r="AB132" s="211">
        <v>0</v>
      </c>
      <c r="AC132" s="211">
        <v>0</v>
      </c>
      <c r="AD132" s="211">
        <v>0</v>
      </c>
      <c r="AE132" s="211">
        <v>0</v>
      </c>
      <c r="AF132" s="211">
        <v>12.585800000000001</v>
      </c>
      <c r="AG132" s="211">
        <v>137.89204000000001</v>
      </c>
    </row>
    <row r="133" spans="1:33" x14ac:dyDescent="0.25">
      <c r="A133" s="121"/>
      <c r="B133" s="210" t="s">
        <v>295</v>
      </c>
      <c r="C133" s="211">
        <v>0</v>
      </c>
      <c r="D133" s="211">
        <v>0</v>
      </c>
      <c r="E133" s="211">
        <v>0</v>
      </c>
      <c r="F133" s="211">
        <v>0</v>
      </c>
      <c r="G133" s="211">
        <v>0.18099999999999999</v>
      </c>
      <c r="H133" s="211">
        <v>0</v>
      </c>
      <c r="I133" s="211">
        <v>0</v>
      </c>
      <c r="J133" s="211">
        <v>0</v>
      </c>
      <c r="K133" s="211">
        <v>0</v>
      </c>
      <c r="L133" s="211">
        <v>0</v>
      </c>
      <c r="M133" s="211">
        <v>0</v>
      </c>
      <c r="N133" s="211">
        <v>0</v>
      </c>
      <c r="O133" s="211">
        <v>0</v>
      </c>
      <c r="P133" s="211">
        <v>0</v>
      </c>
      <c r="Q133" s="211">
        <v>0</v>
      </c>
      <c r="R133" s="211">
        <v>0</v>
      </c>
      <c r="S133" s="211">
        <v>0</v>
      </c>
      <c r="T133" s="211">
        <v>0</v>
      </c>
      <c r="U133" s="211">
        <v>0</v>
      </c>
      <c r="V133" s="211">
        <v>0</v>
      </c>
      <c r="W133" s="211">
        <v>0.12</v>
      </c>
      <c r="X133" s="211">
        <v>12.1</v>
      </c>
      <c r="Y133" s="211">
        <v>0</v>
      </c>
      <c r="Z133" s="211">
        <v>0</v>
      </c>
      <c r="AA133" s="211">
        <v>0</v>
      </c>
      <c r="AB133" s="211">
        <v>0</v>
      </c>
      <c r="AC133" s="211">
        <v>0</v>
      </c>
      <c r="AD133" s="211">
        <v>0</v>
      </c>
      <c r="AE133" s="211">
        <v>0</v>
      </c>
      <c r="AF133" s="211">
        <v>0</v>
      </c>
      <c r="AG133" s="211">
        <v>12.401</v>
      </c>
    </row>
    <row r="134" spans="1:33" x14ac:dyDescent="0.25">
      <c r="A134" s="121"/>
      <c r="B134" s="210" t="s">
        <v>296</v>
      </c>
      <c r="C134" s="211">
        <v>0</v>
      </c>
      <c r="D134" s="211">
        <v>0</v>
      </c>
      <c r="E134" s="211">
        <v>0</v>
      </c>
      <c r="F134" s="211">
        <v>0</v>
      </c>
      <c r="G134" s="211">
        <v>0</v>
      </c>
      <c r="H134" s="211">
        <v>0</v>
      </c>
      <c r="I134" s="211">
        <v>0.5</v>
      </c>
      <c r="J134" s="211">
        <v>0</v>
      </c>
      <c r="K134" s="211">
        <v>0</v>
      </c>
      <c r="L134" s="211">
        <v>0</v>
      </c>
      <c r="M134" s="211">
        <v>0</v>
      </c>
      <c r="N134" s="211">
        <v>0</v>
      </c>
      <c r="O134" s="211">
        <v>0</v>
      </c>
      <c r="P134" s="211">
        <v>0</v>
      </c>
      <c r="Q134" s="211">
        <v>0</v>
      </c>
      <c r="R134" s="211">
        <v>0</v>
      </c>
      <c r="S134" s="211">
        <v>0</v>
      </c>
      <c r="T134" s="211">
        <v>0</v>
      </c>
      <c r="U134" s="211">
        <v>0</v>
      </c>
      <c r="V134" s="211">
        <v>0</v>
      </c>
      <c r="W134" s="211">
        <v>0.56000000000000005</v>
      </c>
      <c r="X134" s="211">
        <v>0</v>
      </c>
      <c r="Y134" s="211">
        <v>4.2270000000000003</v>
      </c>
      <c r="Z134" s="211">
        <v>0</v>
      </c>
      <c r="AA134" s="211">
        <v>0</v>
      </c>
      <c r="AB134" s="211">
        <v>0</v>
      </c>
      <c r="AC134" s="211">
        <v>0</v>
      </c>
      <c r="AD134" s="211">
        <v>0</v>
      </c>
      <c r="AE134" s="211">
        <v>0</v>
      </c>
      <c r="AF134" s="211">
        <v>0</v>
      </c>
      <c r="AG134" s="211">
        <v>5.2870000000000008</v>
      </c>
    </row>
    <row r="135" spans="1:33" x14ac:dyDescent="0.25">
      <c r="A135" s="207" t="s">
        <v>297</v>
      </c>
      <c r="B135" s="208"/>
      <c r="C135" s="209"/>
      <c r="D135" s="209"/>
      <c r="E135" s="209"/>
      <c r="F135" s="209"/>
      <c r="G135" s="209"/>
      <c r="H135" s="209"/>
      <c r="I135" s="209"/>
      <c r="J135" s="209"/>
      <c r="K135" s="209"/>
      <c r="L135" s="209"/>
      <c r="M135" s="209"/>
      <c r="N135" s="209"/>
      <c r="O135" s="209"/>
      <c r="P135" s="209"/>
      <c r="Q135" s="209"/>
      <c r="R135" s="209"/>
      <c r="S135" s="209"/>
      <c r="T135" s="209"/>
      <c r="U135" s="209"/>
      <c r="V135" s="209"/>
      <c r="W135" s="209"/>
      <c r="X135" s="209"/>
      <c r="Y135" s="209"/>
      <c r="Z135" s="209"/>
      <c r="AA135" s="209"/>
      <c r="AB135" s="209"/>
      <c r="AC135" s="209"/>
      <c r="AD135" s="209"/>
      <c r="AE135" s="209"/>
      <c r="AF135" s="209"/>
      <c r="AG135" s="209"/>
    </row>
    <row r="136" spans="1:33" x14ac:dyDescent="0.25">
      <c r="A136" s="121"/>
      <c r="B136" s="210" t="s">
        <v>298</v>
      </c>
      <c r="C136" s="211">
        <v>0</v>
      </c>
      <c r="D136" s="211">
        <v>0</v>
      </c>
      <c r="E136" s="211">
        <v>0</v>
      </c>
      <c r="F136" s="211">
        <v>0</v>
      </c>
      <c r="G136" s="211">
        <v>1.083</v>
      </c>
      <c r="H136" s="211">
        <v>3.3719999999999999</v>
      </c>
      <c r="I136" s="211">
        <v>0</v>
      </c>
      <c r="J136" s="211">
        <v>0.56499999999999995</v>
      </c>
      <c r="K136" s="211">
        <v>0</v>
      </c>
      <c r="L136" s="211">
        <v>0</v>
      </c>
      <c r="M136" s="211">
        <v>50.393999999999998</v>
      </c>
      <c r="N136" s="211">
        <v>0</v>
      </c>
      <c r="O136" s="211">
        <v>0</v>
      </c>
      <c r="P136" s="211">
        <v>8.1820000000000004</v>
      </c>
      <c r="Q136" s="211">
        <v>0</v>
      </c>
      <c r="R136" s="211">
        <v>0</v>
      </c>
      <c r="S136" s="211">
        <v>21.178000000000001</v>
      </c>
      <c r="T136" s="211">
        <v>0</v>
      </c>
      <c r="U136" s="211">
        <v>0</v>
      </c>
      <c r="V136" s="211">
        <v>0</v>
      </c>
      <c r="W136" s="211">
        <v>1.7230000000000001</v>
      </c>
      <c r="X136" s="211">
        <v>0</v>
      </c>
      <c r="Y136" s="211">
        <v>0</v>
      </c>
      <c r="Z136" s="211">
        <v>0</v>
      </c>
      <c r="AA136" s="211">
        <v>0</v>
      </c>
      <c r="AB136" s="211">
        <v>0</v>
      </c>
      <c r="AC136" s="211">
        <v>0</v>
      </c>
      <c r="AD136" s="211">
        <v>0</v>
      </c>
      <c r="AE136" s="211">
        <v>0</v>
      </c>
      <c r="AF136" s="211">
        <v>0</v>
      </c>
      <c r="AG136" s="211">
        <v>86.497</v>
      </c>
    </row>
    <row r="137" spans="1:33" x14ac:dyDescent="0.25">
      <c r="A137" s="121"/>
      <c r="B137" s="210" t="s">
        <v>299</v>
      </c>
      <c r="C137" s="211">
        <v>0</v>
      </c>
      <c r="D137" s="211">
        <v>0</v>
      </c>
      <c r="E137" s="211">
        <v>0</v>
      </c>
      <c r="F137" s="211">
        <v>0</v>
      </c>
      <c r="G137" s="211">
        <v>0</v>
      </c>
      <c r="H137" s="211">
        <v>0</v>
      </c>
      <c r="I137" s="211">
        <v>0</v>
      </c>
      <c r="J137" s="211">
        <v>2.8000000000000001E-2</v>
      </c>
      <c r="K137" s="211">
        <v>0</v>
      </c>
      <c r="L137" s="211">
        <v>0</v>
      </c>
      <c r="M137" s="211">
        <v>0</v>
      </c>
      <c r="N137" s="211">
        <v>0</v>
      </c>
      <c r="O137" s="211">
        <v>0</v>
      </c>
      <c r="P137" s="211">
        <v>0</v>
      </c>
      <c r="Q137" s="211">
        <v>0</v>
      </c>
      <c r="R137" s="211">
        <v>0</v>
      </c>
      <c r="S137" s="211">
        <v>0</v>
      </c>
      <c r="T137" s="211">
        <v>0</v>
      </c>
      <c r="U137" s="211">
        <v>0</v>
      </c>
      <c r="V137" s="211">
        <v>0</v>
      </c>
      <c r="W137" s="211">
        <v>5.0999999999999997E-2</v>
      </c>
      <c r="X137" s="211">
        <v>0</v>
      </c>
      <c r="Y137" s="211">
        <v>3.0910000000000002</v>
      </c>
      <c r="Z137" s="211">
        <v>0</v>
      </c>
      <c r="AA137" s="211">
        <v>0</v>
      </c>
      <c r="AB137" s="211">
        <v>0</v>
      </c>
      <c r="AC137" s="211">
        <v>0</v>
      </c>
      <c r="AD137" s="211">
        <v>0</v>
      </c>
      <c r="AE137" s="211">
        <v>0</v>
      </c>
      <c r="AF137" s="211">
        <v>0</v>
      </c>
      <c r="AG137" s="211">
        <v>3.1700000000000004</v>
      </c>
    </row>
    <row r="138" spans="1:33" x14ac:dyDescent="0.25">
      <c r="A138" s="121"/>
      <c r="B138" s="210" t="s">
        <v>300</v>
      </c>
      <c r="C138" s="211">
        <v>0</v>
      </c>
      <c r="D138" s="211">
        <v>0</v>
      </c>
      <c r="E138" s="211">
        <v>0</v>
      </c>
      <c r="F138" s="211">
        <v>0</v>
      </c>
      <c r="G138" s="211">
        <v>0</v>
      </c>
      <c r="H138" s="211">
        <v>0</v>
      </c>
      <c r="I138" s="211">
        <v>0</v>
      </c>
      <c r="J138" s="211">
        <v>0.27800000000000002</v>
      </c>
      <c r="K138" s="211">
        <v>0</v>
      </c>
      <c r="L138" s="211">
        <v>0</v>
      </c>
      <c r="M138" s="211">
        <v>0</v>
      </c>
      <c r="N138" s="211">
        <v>0</v>
      </c>
      <c r="O138" s="211">
        <v>0</v>
      </c>
      <c r="P138" s="211">
        <v>0</v>
      </c>
      <c r="Q138" s="211">
        <v>0</v>
      </c>
      <c r="R138" s="211">
        <v>0</v>
      </c>
      <c r="S138" s="211">
        <v>0</v>
      </c>
      <c r="T138" s="211">
        <v>0</v>
      </c>
      <c r="U138" s="211">
        <v>0</v>
      </c>
      <c r="V138" s="211">
        <v>0</v>
      </c>
      <c r="W138" s="211">
        <v>5.5E-2</v>
      </c>
      <c r="X138" s="211">
        <v>0</v>
      </c>
      <c r="Y138" s="211">
        <v>3.8290000000000002</v>
      </c>
      <c r="Z138" s="211">
        <v>0</v>
      </c>
      <c r="AA138" s="211">
        <v>0</v>
      </c>
      <c r="AB138" s="211">
        <v>0</v>
      </c>
      <c r="AC138" s="211">
        <v>0</v>
      </c>
      <c r="AD138" s="211">
        <v>0</v>
      </c>
      <c r="AE138" s="211">
        <v>0</v>
      </c>
      <c r="AF138" s="211">
        <v>0</v>
      </c>
      <c r="AG138" s="211">
        <v>4.1619999999999999</v>
      </c>
    </row>
    <row r="139" spans="1:33" x14ac:dyDescent="0.25">
      <c r="A139" s="207" t="s">
        <v>301</v>
      </c>
      <c r="B139" s="208"/>
      <c r="C139" s="209"/>
      <c r="D139" s="209"/>
      <c r="E139" s="209"/>
      <c r="F139" s="209"/>
      <c r="G139" s="209"/>
      <c r="H139" s="209"/>
      <c r="I139" s="209"/>
      <c r="J139" s="209"/>
      <c r="K139" s="209"/>
      <c r="L139" s="209"/>
      <c r="M139" s="209"/>
      <c r="N139" s="209"/>
      <c r="O139" s="209"/>
      <c r="P139" s="209"/>
      <c r="Q139" s="209"/>
      <c r="R139" s="209"/>
      <c r="S139" s="209"/>
      <c r="T139" s="209"/>
      <c r="U139" s="209"/>
      <c r="V139" s="209"/>
      <c r="W139" s="209"/>
      <c r="X139" s="209"/>
      <c r="Y139" s="209"/>
      <c r="Z139" s="209"/>
      <c r="AA139" s="209"/>
      <c r="AB139" s="209"/>
      <c r="AC139" s="209"/>
      <c r="AD139" s="209"/>
      <c r="AE139" s="209"/>
      <c r="AF139" s="209"/>
      <c r="AG139" s="209"/>
    </row>
    <row r="140" spans="1:33" x14ac:dyDescent="0.25">
      <c r="A140" s="121"/>
      <c r="B140" s="210" t="s">
        <v>302</v>
      </c>
      <c r="C140" s="211">
        <v>0</v>
      </c>
      <c r="D140" s="211">
        <v>0</v>
      </c>
      <c r="E140" s="211">
        <v>0</v>
      </c>
      <c r="F140" s="211">
        <v>0</v>
      </c>
      <c r="G140" s="211">
        <v>0</v>
      </c>
      <c r="H140" s="211">
        <v>0</v>
      </c>
      <c r="I140" s="211">
        <v>0</v>
      </c>
      <c r="J140" s="211">
        <v>1.4E-2</v>
      </c>
      <c r="K140" s="211">
        <v>0</v>
      </c>
      <c r="L140" s="211">
        <v>0</v>
      </c>
      <c r="M140" s="211">
        <v>0</v>
      </c>
      <c r="N140" s="211">
        <v>0</v>
      </c>
      <c r="O140" s="211">
        <v>0</v>
      </c>
      <c r="P140" s="211">
        <v>0</v>
      </c>
      <c r="Q140" s="211">
        <v>0</v>
      </c>
      <c r="R140" s="211">
        <v>0</v>
      </c>
      <c r="S140" s="211">
        <v>0</v>
      </c>
      <c r="T140" s="211">
        <v>0</v>
      </c>
      <c r="U140" s="211">
        <v>0</v>
      </c>
      <c r="V140" s="211">
        <v>0</v>
      </c>
      <c r="W140" s="211">
        <v>0.06</v>
      </c>
      <c r="X140" s="211">
        <v>0</v>
      </c>
      <c r="Y140" s="211">
        <v>5.8</v>
      </c>
      <c r="Z140" s="211">
        <v>0</v>
      </c>
      <c r="AA140" s="211">
        <v>0</v>
      </c>
      <c r="AB140" s="211">
        <v>0</v>
      </c>
      <c r="AC140" s="211">
        <v>0</v>
      </c>
      <c r="AD140" s="211">
        <v>0</v>
      </c>
      <c r="AE140" s="211">
        <v>0</v>
      </c>
      <c r="AF140" s="211">
        <v>0</v>
      </c>
      <c r="AG140" s="211">
        <v>5.8739999999999997</v>
      </c>
    </row>
    <row r="141" spans="1:33" x14ac:dyDescent="0.25">
      <c r="A141" s="121"/>
      <c r="B141" s="210" t="s">
        <v>303</v>
      </c>
      <c r="C141" s="211">
        <v>0</v>
      </c>
      <c r="D141" s="211">
        <v>0</v>
      </c>
      <c r="E141" s="211">
        <v>0</v>
      </c>
      <c r="F141" s="211">
        <v>83.492900000000006</v>
      </c>
      <c r="G141" s="211">
        <v>0</v>
      </c>
      <c r="H141" s="211">
        <v>0</v>
      </c>
      <c r="I141" s="211">
        <v>0</v>
      </c>
      <c r="J141" s="211">
        <v>3.32</v>
      </c>
      <c r="K141" s="211">
        <v>0</v>
      </c>
      <c r="L141" s="211">
        <v>0</v>
      </c>
      <c r="M141" s="211">
        <v>33.812600000000003</v>
      </c>
      <c r="N141" s="211">
        <v>0</v>
      </c>
      <c r="O141" s="211">
        <v>43.390900000000002</v>
      </c>
      <c r="P141" s="211">
        <v>61.44</v>
      </c>
      <c r="Q141" s="211">
        <v>0.124</v>
      </c>
      <c r="R141" s="211">
        <v>2.30803</v>
      </c>
      <c r="S141" s="211">
        <v>63.7729</v>
      </c>
      <c r="T141" s="211">
        <v>0</v>
      </c>
      <c r="U141" s="211">
        <v>0</v>
      </c>
      <c r="V141" s="211">
        <v>0</v>
      </c>
      <c r="W141" s="211">
        <v>9.9985700000000008</v>
      </c>
      <c r="X141" s="211">
        <v>0</v>
      </c>
      <c r="Y141" s="211">
        <v>0</v>
      </c>
      <c r="Z141" s="211">
        <v>0</v>
      </c>
      <c r="AA141" s="211">
        <v>0</v>
      </c>
      <c r="AB141" s="211">
        <v>0</v>
      </c>
      <c r="AC141" s="211">
        <v>0</v>
      </c>
      <c r="AD141" s="211">
        <v>5.16</v>
      </c>
      <c r="AE141" s="211">
        <v>0</v>
      </c>
      <c r="AF141" s="211">
        <v>20.887599999999999</v>
      </c>
      <c r="AG141" s="211">
        <v>327.70750000000004</v>
      </c>
    </row>
    <row r="142" spans="1:33" x14ac:dyDescent="0.25">
      <c r="A142" s="121"/>
      <c r="B142" s="210" t="s">
        <v>305</v>
      </c>
      <c r="C142" s="211">
        <v>0</v>
      </c>
      <c r="D142" s="211">
        <v>0</v>
      </c>
      <c r="E142" s="211">
        <v>0</v>
      </c>
      <c r="F142" s="211">
        <v>0</v>
      </c>
      <c r="G142" s="211">
        <v>0</v>
      </c>
      <c r="H142" s="211">
        <v>0</v>
      </c>
      <c r="I142" s="211">
        <v>0</v>
      </c>
      <c r="J142" s="211">
        <v>0.09</v>
      </c>
      <c r="K142" s="211">
        <v>0</v>
      </c>
      <c r="L142" s="211">
        <v>0</v>
      </c>
      <c r="M142" s="211">
        <v>0</v>
      </c>
      <c r="N142" s="211">
        <v>0</v>
      </c>
      <c r="O142" s="211">
        <v>0</v>
      </c>
      <c r="P142" s="211">
        <v>0</v>
      </c>
      <c r="Q142" s="211">
        <v>0</v>
      </c>
      <c r="R142" s="211">
        <v>0</v>
      </c>
      <c r="S142" s="211">
        <v>0</v>
      </c>
      <c r="T142" s="211">
        <v>0</v>
      </c>
      <c r="U142" s="211">
        <v>0</v>
      </c>
      <c r="V142" s="211">
        <v>0</v>
      </c>
      <c r="W142" s="211">
        <v>5.5E-2</v>
      </c>
      <c r="X142" s="211">
        <v>0</v>
      </c>
      <c r="Y142" s="211">
        <v>5</v>
      </c>
      <c r="Z142" s="211">
        <v>0</v>
      </c>
      <c r="AA142" s="211">
        <v>0</v>
      </c>
      <c r="AB142" s="211">
        <v>0</v>
      </c>
      <c r="AC142" s="211">
        <v>0</v>
      </c>
      <c r="AD142" s="211">
        <v>0</v>
      </c>
      <c r="AE142" s="211">
        <v>0</v>
      </c>
      <c r="AF142" s="211">
        <v>0</v>
      </c>
      <c r="AG142" s="211">
        <v>5.1449999999999996</v>
      </c>
    </row>
    <row r="143" spans="1:33" x14ac:dyDescent="0.25">
      <c r="A143" s="121"/>
      <c r="B143" s="210" t="s">
        <v>306</v>
      </c>
      <c r="C143" s="211">
        <v>0</v>
      </c>
      <c r="D143" s="211">
        <v>0</v>
      </c>
      <c r="E143" s="211">
        <v>0</v>
      </c>
      <c r="F143" s="211">
        <v>0</v>
      </c>
      <c r="G143" s="211">
        <v>0</v>
      </c>
      <c r="H143" s="211">
        <v>0</v>
      </c>
      <c r="I143" s="211">
        <v>0</v>
      </c>
      <c r="J143" s="211">
        <v>0.05</v>
      </c>
      <c r="K143" s="211">
        <v>0</v>
      </c>
      <c r="L143" s="211">
        <v>0</v>
      </c>
      <c r="M143" s="211">
        <v>0</v>
      </c>
      <c r="N143" s="211">
        <v>0</v>
      </c>
      <c r="O143" s="211">
        <v>0</v>
      </c>
      <c r="P143" s="211">
        <v>0</v>
      </c>
      <c r="Q143" s="211">
        <v>0</v>
      </c>
      <c r="R143" s="211">
        <v>0</v>
      </c>
      <c r="S143" s="211">
        <v>0</v>
      </c>
      <c r="T143" s="211">
        <v>0</v>
      </c>
      <c r="U143" s="211">
        <v>0</v>
      </c>
      <c r="V143" s="211">
        <v>0</v>
      </c>
      <c r="W143" s="211">
        <v>0.105</v>
      </c>
      <c r="X143" s="211">
        <v>0</v>
      </c>
      <c r="Y143" s="211">
        <v>5.8</v>
      </c>
      <c r="Z143" s="211">
        <v>0</v>
      </c>
      <c r="AA143" s="211">
        <v>0</v>
      </c>
      <c r="AB143" s="211">
        <v>0</v>
      </c>
      <c r="AC143" s="211">
        <v>0</v>
      </c>
      <c r="AD143" s="211">
        <v>0</v>
      </c>
      <c r="AE143" s="211">
        <v>0</v>
      </c>
      <c r="AF143" s="211">
        <v>0</v>
      </c>
      <c r="AG143" s="211">
        <v>5.9550000000000001</v>
      </c>
    </row>
    <row r="144" spans="1:33" x14ac:dyDescent="0.25">
      <c r="A144" s="207" t="s">
        <v>307</v>
      </c>
      <c r="B144" s="208"/>
      <c r="C144" s="209"/>
      <c r="D144" s="209"/>
      <c r="E144" s="209"/>
      <c r="F144" s="209"/>
      <c r="G144" s="209"/>
      <c r="H144" s="209"/>
      <c r="I144" s="209"/>
      <c r="J144" s="209"/>
      <c r="K144" s="209"/>
      <c r="L144" s="209"/>
      <c r="M144" s="209"/>
      <c r="N144" s="209"/>
      <c r="O144" s="209"/>
      <c r="P144" s="209"/>
      <c r="Q144" s="209"/>
      <c r="R144" s="209"/>
      <c r="S144" s="209"/>
      <c r="T144" s="209"/>
      <c r="U144" s="209"/>
      <c r="V144" s="209"/>
      <c r="W144" s="209"/>
      <c r="X144" s="209"/>
      <c r="Y144" s="209"/>
      <c r="Z144" s="209"/>
      <c r="AA144" s="209"/>
      <c r="AB144" s="209"/>
      <c r="AC144" s="209"/>
      <c r="AD144" s="209"/>
      <c r="AE144" s="209"/>
      <c r="AF144" s="209"/>
      <c r="AG144" s="209"/>
    </row>
    <row r="145" spans="1:33" x14ac:dyDescent="0.25">
      <c r="A145" s="121"/>
      <c r="B145" s="210" t="s">
        <v>308</v>
      </c>
      <c r="C145" s="211">
        <v>0</v>
      </c>
      <c r="D145" s="211">
        <v>71.3</v>
      </c>
      <c r="E145" s="211">
        <v>0</v>
      </c>
      <c r="F145" s="211">
        <v>0</v>
      </c>
      <c r="G145" s="211">
        <v>11.1</v>
      </c>
      <c r="H145" s="211">
        <v>0</v>
      </c>
      <c r="I145" s="211">
        <v>0</v>
      </c>
      <c r="J145" s="211">
        <v>5</v>
      </c>
      <c r="K145" s="211">
        <v>0</v>
      </c>
      <c r="L145" s="211">
        <v>0</v>
      </c>
      <c r="M145" s="211">
        <v>38.700000000000003</v>
      </c>
      <c r="N145" s="211">
        <v>0</v>
      </c>
      <c r="O145" s="211">
        <v>2.7</v>
      </c>
      <c r="P145" s="211">
        <v>0</v>
      </c>
      <c r="Q145" s="211">
        <v>15.4</v>
      </c>
      <c r="R145" s="211">
        <v>0</v>
      </c>
      <c r="S145" s="211">
        <v>0</v>
      </c>
      <c r="T145" s="211">
        <v>0</v>
      </c>
      <c r="U145" s="211">
        <v>0</v>
      </c>
      <c r="V145" s="211">
        <v>0</v>
      </c>
      <c r="W145" s="211">
        <v>3.9</v>
      </c>
      <c r="X145" s="211">
        <v>0</v>
      </c>
      <c r="Y145" s="211">
        <v>0</v>
      </c>
      <c r="Z145" s="211">
        <v>0</v>
      </c>
      <c r="AA145" s="211">
        <v>0</v>
      </c>
      <c r="AB145" s="211">
        <v>0</v>
      </c>
      <c r="AC145" s="211">
        <v>0</v>
      </c>
      <c r="AD145" s="211">
        <v>0</v>
      </c>
      <c r="AE145" s="211">
        <v>0</v>
      </c>
      <c r="AF145" s="211">
        <v>0</v>
      </c>
      <c r="AG145" s="211">
        <v>148.1</v>
      </c>
    </row>
    <row r="146" spans="1:33" x14ac:dyDescent="0.25">
      <c r="A146" s="207" t="s">
        <v>71</v>
      </c>
      <c r="B146" s="208"/>
      <c r="C146" s="209"/>
      <c r="D146" s="209"/>
      <c r="E146" s="209"/>
      <c r="F146" s="209"/>
      <c r="G146" s="209"/>
      <c r="H146" s="209"/>
      <c r="I146" s="209"/>
      <c r="J146" s="209"/>
      <c r="K146" s="209"/>
      <c r="L146" s="209"/>
      <c r="M146" s="209"/>
      <c r="N146" s="209"/>
      <c r="O146" s="209"/>
      <c r="P146" s="209"/>
      <c r="Q146" s="209"/>
      <c r="R146" s="209"/>
      <c r="S146" s="209"/>
      <c r="T146" s="209"/>
      <c r="U146" s="209"/>
      <c r="V146" s="209"/>
      <c r="W146" s="209"/>
      <c r="X146" s="209"/>
      <c r="Y146" s="209"/>
      <c r="Z146" s="209"/>
      <c r="AA146" s="209"/>
      <c r="AB146" s="209"/>
      <c r="AC146" s="209"/>
      <c r="AD146" s="209"/>
      <c r="AE146" s="209"/>
      <c r="AF146" s="209"/>
      <c r="AG146" s="209"/>
    </row>
    <row r="147" spans="1:33" x14ac:dyDescent="0.25">
      <c r="A147" s="121"/>
      <c r="B147" s="210" t="s">
        <v>73</v>
      </c>
      <c r="C147" s="211">
        <v>0</v>
      </c>
      <c r="D147" s="211">
        <v>0</v>
      </c>
      <c r="E147" s="211">
        <v>0</v>
      </c>
      <c r="F147" s="211">
        <v>0</v>
      </c>
      <c r="G147" s="211">
        <v>0</v>
      </c>
      <c r="H147" s="211">
        <v>0</v>
      </c>
      <c r="I147" s="211">
        <v>0</v>
      </c>
      <c r="J147" s="211">
        <v>0</v>
      </c>
      <c r="K147" s="211">
        <v>0</v>
      </c>
      <c r="L147" s="211">
        <v>0</v>
      </c>
      <c r="M147" s="211">
        <v>0</v>
      </c>
      <c r="N147" s="211">
        <v>0</v>
      </c>
      <c r="O147" s="211">
        <v>0</v>
      </c>
      <c r="P147" s="211">
        <v>0</v>
      </c>
      <c r="Q147" s="211">
        <v>0</v>
      </c>
      <c r="R147" s="211">
        <v>0</v>
      </c>
      <c r="S147" s="211">
        <v>0</v>
      </c>
      <c r="T147" s="211">
        <v>0</v>
      </c>
      <c r="U147" s="211">
        <v>0</v>
      </c>
      <c r="V147" s="211">
        <v>0</v>
      </c>
      <c r="W147" s="211">
        <v>0</v>
      </c>
      <c r="X147" s="211">
        <v>0</v>
      </c>
      <c r="Y147" s="211">
        <v>0</v>
      </c>
      <c r="Z147" s="211">
        <v>0</v>
      </c>
      <c r="AA147" s="211">
        <v>0</v>
      </c>
      <c r="AB147" s="211">
        <v>0</v>
      </c>
      <c r="AC147" s="211">
        <v>0</v>
      </c>
      <c r="AD147" s="211">
        <v>0</v>
      </c>
      <c r="AE147" s="211">
        <v>0</v>
      </c>
      <c r="AF147" s="211">
        <v>0</v>
      </c>
      <c r="AG147" s="211">
        <v>0</v>
      </c>
    </row>
    <row r="148" spans="1:33" x14ac:dyDescent="0.25">
      <c r="A148" s="207" t="s">
        <v>1122</v>
      </c>
      <c r="B148" s="208"/>
      <c r="C148" s="209"/>
      <c r="D148" s="209"/>
      <c r="E148" s="209"/>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C148" s="209"/>
      <c r="AD148" s="209"/>
      <c r="AE148" s="209"/>
      <c r="AF148" s="209"/>
      <c r="AG148" s="209"/>
    </row>
    <row r="149" spans="1:33" x14ac:dyDescent="0.25">
      <c r="A149" s="121"/>
      <c r="B149" s="210" t="s">
        <v>72</v>
      </c>
      <c r="C149" s="211">
        <v>0</v>
      </c>
      <c r="D149" s="211">
        <v>0</v>
      </c>
      <c r="E149" s="211">
        <v>0</v>
      </c>
      <c r="F149" s="211">
        <v>0</v>
      </c>
      <c r="G149" s="211">
        <v>0</v>
      </c>
      <c r="H149" s="211">
        <v>0</v>
      </c>
      <c r="I149" s="211">
        <v>0</v>
      </c>
      <c r="J149" s="211">
        <v>0</v>
      </c>
      <c r="K149" s="211">
        <v>0</v>
      </c>
      <c r="L149" s="211">
        <v>0</v>
      </c>
      <c r="M149" s="211">
        <v>0</v>
      </c>
      <c r="N149" s="211">
        <v>0</v>
      </c>
      <c r="O149" s="211">
        <v>0</v>
      </c>
      <c r="P149" s="211">
        <v>0</v>
      </c>
      <c r="Q149" s="211">
        <v>0</v>
      </c>
      <c r="R149" s="211">
        <v>0</v>
      </c>
      <c r="S149" s="211">
        <v>0</v>
      </c>
      <c r="T149" s="211">
        <v>0</v>
      </c>
      <c r="U149" s="211">
        <v>0</v>
      </c>
      <c r="V149" s="211">
        <v>0</v>
      </c>
      <c r="W149" s="211">
        <v>0</v>
      </c>
      <c r="X149" s="211">
        <v>0</v>
      </c>
      <c r="Y149" s="211">
        <v>0</v>
      </c>
      <c r="Z149" s="211">
        <v>0</v>
      </c>
      <c r="AA149" s="211">
        <v>0</v>
      </c>
      <c r="AB149" s="211">
        <v>0</v>
      </c>
      <c r="AC149" s="211">
        <v>0</v>
      </c>
      <c r="AD149" s="211">
        <v>0</v>
      </c>
      <c r="AE149" s="211">
        <v>0</v>
      </c>
      <c r="AF149" s="211">
        <v>0</v>
      </c>
      <c r="AG149" s="211">
        <v>0</v>
      </c>
    </row>
    <row r="150" spans="1:33" x14ac:dyDescent="0.25">
      <c r="A150" s="207" t="s">
        <v>74</v>
      </c>
      <c r="B150" s="208"/>
      <c r="C150" s="209"/>
      <c r="D150" s="209"/>
      <c r="E150" s="209"/>
      <c r="F150" s="209"/>
      <c r="G150" s="209"/>
      <c r="H150" s="209"/>
      <c r="I150" s="209"/>
      <c r="J150" s="209"/>
      <c r="K150" s="209"/>
      <c r="L150" s="209"/>
      <c r="M150" s="209"/>
      <c r="N150" s="209"/>
      <c r="O150" s="209"/>
      <c r="P150" s="209"/>
      <c r="Q150" s="209"/>
      <c r="R150" s="209"/>
      <c r="S150" s="209"/>
      <c r="T150" s="209"/>
      <c r="U150" s="209"/>
      <c r="V150" s="209"/>
      <c r="W150" s="209"/>
      <c r="X150" s="209"/>
      <c r="Y150" s="209"/>
      <c r="Z150" s="209"/>
      <c r="AA150" s="209"/>
      <c r="AB150" s="209"/>
      <c r="AC150" s="209"/>
      <c r="AD150" s="209"/>
      <c r="AE150" s="209"/>
      <c r="AF150" s="209"/>
      <c r="AG150" s="209"/>
    </row>
    <row r="151" spans="1:33" x14ac:dyDescent="0.25">
      <c r="A151" s="121"/>
      <c r="B151" s="210" t="s">
        <v>1123</v>
      </c>
      <c r="C151" s="211">
        <v>0</v>
      </c>
      <c r="D151" s="211">
        <v>0</v>
      </c>
      <c r="E151" s="211">
        <v>0</v>
      </c>
      <c r="F151" s="211">
        <v>0</v>
      </c>
      <c r="G151" s="211">
        <v>0</v>
      </c>
      <c r="H151" s="211">
        <v>0</v>
      </c>
      <c r="I151" s="211">
        <v>0</v>
      </c>
      <c r="J151" s="211">
        <v>0</v>
      </c>
      <c r="K151" s="211">
        <v>0</v>
      </c>
      <c r="L151" s="211">
        <v>0</v>
      </c>
      <c r="M151" s="211">
        <v>0</v>
      </c>
      <c r="N151" s="211">
        <v>0</v>
      </c>
      <c r="O151" s="211">
        <v>0</v>
      </c>
      <c r="P151" s="211">
        <v>0</v>
      </c>
      <c r="Q151" s="211">
        <v>0</v>
      </c>
      <c r="R151" s="211">
        <v>0</v>
      </c>
      <c r="S151" s="211">
        <v>0</v>
      </c>
      <c r="T151" s="211">
        <v>0</v>
      </c>
      <c r="U151" s="211">
        <v>0</v>
      </c>
      <c r="V151" s="211">
        <v>0</v>
      </c>
      <c r="W151" s="211">
        <v>0</v>
      </c>
      <c r="X151" s="211">
        <v>0</v>
      </c>
      <c r="Y151" s="211">
        <v>0</v>
      </c>
      <c r="Z151" s="211">
        <v>0</v>
      </c>
      <c r="AA151" s="211">
        <v>0</v>
      </c>
      <c r="AB151" s="211">
        <v>0</v>
      </c>
      <c r="AC151" s="211">
        <v>0</v>
      </c>
      <c r="AD151" s="211">
        <v>0</v>
      </c>
      <c r="AE151" s="211">
        <v>0</v>
      </c>
      <c r="AF151" s="211">
        <v>0</v>
      </c>
      <c r="AG151" s="211">
        <v>0</v>
      </c>
    </row>
    <row r="152" spans="1:33" x14ac:dyDescent="0.25">
      <c r="A152" s="121"/>
      <c r="B152" s="210" t="s">
        <v>1124</v>
      </c>
      <c r="C152" s="211">
        <v>0</v>
      </c>
      <c r="D152" s="211">
        <v>0</v>
      </c>
      <c r="E152" s="211">
        <v>0</v>
      </c>
      <c r="F152" s="211">
        <v>0</v>
      </c>
      <c r="G152" s="211">
        <v>0</v>
      </c>
      <c r="H152" s="211">
        <v>0</v>
      </c>
      <c r="I152" s="211">
        <v>0</v>
      </c>
      <c r="J152" s="211">
        <v>0</v>
      </c>
      <c r="K152" s="211">
        <v>0</v>
      </c>
      <c r="L152" s="211">
        <v>0</v>
      </c>
      <c r="M152" s="211">
        <v>0</v>
      </c>
      <c r="N152" s="211">
        <v>0</v>
      </c>
      <c r="O152" s="211">
        <v>0</v>
      </c>
      <c r="P152" s="211">
        <v>0</v>
      </c>
      <c r="Q152" s="211">
        <v>0</v>
      </c>
      <c r="R152" s="211">
        <v>0</v>
      </c>
      <c r="S152" s="211">
        <v>0</v>
      </c>
      <c r="T152" s="211">
        <v>0</v>
      </c>
      <c r="U152" s="211">
        <v>0</v>
      </c>
      <c r="V152" s="211">
        <v>0</v>
      </c>
      <c r="W152" s="211">
        <v>0</v>
      </c>
      <c r="X152" s="211">
        <v>0</v>
      </c>
      <c r="Y152" s="211">
        <v>0</v>
      </c>
      <c r="Z152" s="211">
        <v>0</v>
      </c>
      <c r="AA152" s="211">
        <v>0</v>
      </c>
      <c r="AB152" s="211">
        <v>0</v>
      </c>
      <c r="AC152" s="211">
        <v>0</v>
      </c>
      <c r="AD152" s="211">
        <v>0</v>
      </c>
      <c r="AE152" s="211">
        <v>0</v>
      </c>
      <c r="AF152" s="211">
        <v>0</v>
      </c>
      <c r="AG152" s="211">
        <v>0</v>
      </c>
    </row>
    <row r="153" spans="1:33" x14ac:dyDescent="0.25">
      <c r="A153" s="121"/>
      <c r="B153" s="210" t="s">
        <v>76</v>
      </c>
      <c r="C153" s="211">
        <v>0</v>
      </c>
      <c r="D153" s="211">
        <v>0</v>
      </c>
      <c r="E153" s="211">
        <v>0</v>
      </c>
      <c r="F153" s="211">
        <v>0</v>
      </c>
      <c r="G153" s="211">
        <v>0</v>
      </c>
      <c r="H153" s="211">
        <v>0</v>
      </c>
      <c r="I153" s="211">
        <v>0</v>
      </c>
      <c r="J153" s="211">
        <v>0</v>
      </c>
      <c r="K153" s="211">
        <v>0</v>
      </c>
      <c r="L153" s="211">
        <v>0</v>
      </c>
      <c r="M153" s="211">
        <v>0</v>
      </c>
      <c r="N153" s="211">
        <v>0</v>
      </c>
      <c r="O153" s="211">
        <v>0</v>
      </c>
      <c r="P153" s="211">
        <v>0</v>
      </c>
      <c r="Q153" s="211">
        <v>0</v>
      </c>
      <c r="R153" s="211">
        <v>0</v>
      </c>
      <c r="S153" s="211">
        <v>0</v>
      </c>
      <c r="T153" s="211">
        <v>0</v>
      </c>
      <c r="U153" s="211">
        <v>0</v>
      </c>
      <c r="V153" s="211">
        <v>0</v>
      </c>
      <c r="W153" s="211">
        <v>0</v>
      </c>
      <c r="X153" s="211">
        <v>0</v>
      </c>
      <c r="Y153" s="211">
        <v>0</v>
      </c>
      <c r="Z153" s="211">
        <v>0</v>
      </c>
      <c r="AA153" s="211">
        <v>0</v>
      </c>
      <c r="AB153" s="211">
        <v>0</v>
      </c>
      <c r="AC153" s="211">
        <v>0</v>
      </c>
      <c r="AD153" s="211">
        <v>0</v>
      </c>
      <c r="AE153" s="211">
        <v>0</v>
      </c>
      <c r="AF153" s="211">
        <v>0</v>
      </c>
      <c r="AG153" s="211">
        <v>0</v>
      </c>
    </row>
    <row r="154" spans="1:33" x14ac:dyDescent="0.25">
      <c r="A154" s="207" t="s">
        <v>1125</v>
      </c>
      <c r="B154" s="208"/>
      <c r="C154" s="209"/>
      <c r="D154" s="209"/>
      <c r="E154" s="209"/>
      <c r="F154" s="209"/>
      <c r="G154" s="209"/>
      <c r="H154" s="209"/>
      <c r="I154" s="209"/>
      <c r="J154" s="209"/>
      <c r="K154" s="209"/>
      <c r="L154" s="209"/>
      <c r="M154" s="209"/>
      <c r="N154" s="209"/>
      <c r="O154" s="209"/>
      <c r="P154" s="209"/>
      <c r="Q154" s="209"/>
      <c r="R154" s="209"/>
      <c r="S154" s="209"/>
      <c r="T154" s="209"/>
      <c r="U154" s="209"/>
      <c r="V154" s="209"/>
      <c r="W154" s="209"/>
      <c r="X154" s="209"/>
      <c r="Y154" s="209"/>
      <c r="Z154" s="209"/>
      <c r="AA154" s="209"/>
      <c r="AB154" s="209"/>
      <c r="AC154" s="209"/>
      <c r="AD154" s="209"/>
      <c r="AE154" s="209"/>
      <c r="AF154" s="209"/>
      <c r="AG154" s="209"/>
    </row>
    <row r="155" spans="1:33" x14ac:dyDescent="0.25">
      <c r="A155" s="121"/>
      <c r="B155" s="210" t="s">
        <v>75</v>
      </c>
      <c r="C155" s="211">
        <v>0</v>
      </c>
      <c r="D155" s="211">
        <v>0</v>
      </c>
      <c r="E155" s="211">
        <v>0</v>
      </c>
      <c r="F155" s="211">
        <v>0</v>
      </c>
      <c r="G155" s="211">
        <v>0</v>
      </c>
      <c r="H155" s="211">
        <v>0</v>
      </c>
      <c r="I155" s="211">
        <v>0</v>
      </c>
      <c r="J155" s="211">
        <v>0</v>
      </c>
      <c r="K155" s="211">
        <v>0</v>
      </c>
      <c r="L155" s="211">
        <v>0</v>
      </c>
      <c r="M155" s="211">
        <v>0</v>
      </c>
      <c r="N155" s="211">
        <v>0</v>
      </c>
      <c r="O155" s="211">
        <v>0</v>
      </c>
      <c r="P155" s="211">
        <v>0</v>
      </c>
      <c r="Q155" s="211">
        <v>0</v>
      </c>
      <c r="R155" s="211">
        <v>0</v>
      </c>
      <c r="S155" s="211">
        <v>0</v>
      </c>
      <c r="T155" s="211">
        <v>0</v>
      </c>
      <c r="U155" s="211">
        <v>0</v>
      </c>
      <c r="V155" s="211">
        <v>0</v>
      </c>
      <c r="W155" s="211">
        <v>0</v>
      </c>
      <c r="X155" s="211">
        <v>0</v>
      </c>
      <c r="Y155" s="211">
        <v>0</v>
      </c>
      <c r="Z155" s="211">
        <v>0</v>
      </c>
      <c r="AA155" s="211">
        <v>0</v>
      </c>
      <c r="AB155" s="211">
        <v>0</v>
      </c>
      <c r="AC155" s="211">
        <v>0</v>
      </c>
      <c r="AD155" s="211">
        <v>0</v>
      </c>
      <c r="AE155" s="211">
        <v>0</v>
      </c>
      <c r="AF155" s="211">
        <v>0</v>
      </c>
      <c r="AG155" s="211">
        <v>0</v>
      </c>
    </row>
    <row r="156" spans="1:33" x14ac:dyDescent="0.25">
      <c r="A156" s="207" t="s">
        <v>1126</v>
      </c>
      <c r="B156" s="208"/>
      <c r="C156" s="209"/>
      <c r="D156" s="209"/>
      <c r="E156" s="209"/>
      <c r="F156" s="209"/>
      <c r="G156" s="209"/>
      <c r="H156" s="209"/>
      <c r="I156" s="209"/>
      <c r="J156" s="209"/>
      <c r="K156" s="209"/>
      <c r="L156" s="209"/>
      <c r="M156" s="209"/>
      <c r="N156" s="209"/>
      <c r="O156" s="209"/>
      <c r="P156" s="209"/>
      <c r="Q156" s="209"/>
      <c r="R156" s="209"/>
      <c r="S156" s="209"/>
      <c r="T156" s="209"/>
      <c r="U156" s="209"/>
      <c r="V156" s="209"/>
      <c r="W156" s="209"/>
      <c r="X156" s="209"/>
      <c r="Y156" s="209"/>
      <c r="Z156" s="209"/>
      <c r="AA156" s="209"/>
      <c r="AB156" s="209"/>
      <c r="AC156" s="209"/>
      <c r="AD156" s="209"/>
      <c r="AE156" s="209"/>
      <c r="AF156" s="209"/>
      <c r="AG156" s="209"/>
    </row>
    <row r="157" spans="1:33" x14ac:dyDescent="0.25">
      <c r="A157" s="121"/>
      <c r="B157" s="210" t="s">
        <v>1127</v>
      </c>
      <c r="C157" s="211">
        <v>0</v>
      </c>
      <c r="D157" s="211">
        <v>0</v>
      </c>
      <c r="E157" s="211">
        <v>0</v>
      </c>
      <c r="F157" s="211">
        <v>0</v>
      </c>
      <c r="G157" s="211">
        <v>0</v>
      </c>
      <c r="H157" s="211">
        <v>0</v>
      </c>
      <c r="I157" s="211">
        <v>0</v>
      </c>
      <c r="J157" s="211">
        <v>0</v>
      </c>
      <c r="K157" s="211">
        <v>0</v>
      </c>
      <c r="L157" s="211">
        <v>0</v>
      </c>
      <c r="M157" s="211">
        <v>0</v>
      </c>
      <c r="N157" s="211">
        <v>0</v>
      </c>
      <c r="O157" s="211">
        <v>0</v>
      </c>
      <c r="P157" s="211">
        <v>0</v>
      </c>
      <c r="Q157" s="211">
        <v>0</v>
      </c>
      <c r="R157" s="211">
        <v>0</v>
      </c>
      <c r="S157" s="211">
        <v>0</v>
      </c>
      <c r="T157" s="211">
        <v>0</v>
      </c>
      <c r="U157" s="211">
        <v>0</v>
      </c>
      <c r="V157" s="211">
        <v>0</v>
      </c>
      <c r="W157" s="211">
        <v>0</v>
      </c>
      <c r="X157" s="211">
        <v>0</v>
      </c>
      <c r="Y157" s="211">
        <v>0</v>
      </c>
      <c r="Z157" s="211">
        <v>0</v>
      </c>
      <c r="AA157" s="211">
        <v>0</v>
      </c>
      <c r="AB157" s="211">
        <v>0</v>
      </c>
      <c r="AC157" s="211">
        <v>0</v>
      </c>
      <c r="AD157" s="211">
        <v>0</v>
      </c>
      <c r="AE157" s="211">
        <v>0</v>
      </c>
      <c r="AF157" s="211">
        <v>0</v>
      </c>
      <c r="AG157" s="211">
        <v>0</v>
      </c>
    </row>
    <row r="158" spans="1:33" x14ac:dyDescent="0.25">
      <c r="A158" s="121"/>
      <c r="B158" s="210" t="s">
        <v>1128</v>
      </c>
      <c r="C158" s="211">
        <v>0</v>
      </c>
      <c r="D158" s="211">
        <v>0</v>
      </c>
      <c r="E158" s="211">
        <v>0</v>
      </c>
      <c r="F158" s="211">
        <v>0</v>
      </c>
      <c r="G158" s="211">
        <v>0</v>
      </c>
      <c r="H158" s="211">
        <v>0</v>
      </c>
      <c r="I158" s="211">
        <v>0</v>
      </c>
      <c r="J158" s="211">
        <v>0</v>
      </c>
      <c r="K158" s="211">
        <v>0</v>
      </c>
      <c r="L158" s="211">
        <v>0</v>
      </c>
      <c r="M158" s="211">
        <v>0</v>
      </c>
      <c r="N158" s="211">
        <v>0</v>
      </c>
      <c r="O158" s="211">
        <v>0</v>
      </c>
      <c r="P158" s="211">
        <v>0</v>
      </c>
      <c r="Q158" s="211">
        <v>0</v>
      </c>
      <c r="R158" s="211">
        <v>0</v>
      </c>
      <c r="S158" s="211">
        <v>0</v>
      </c>
      <c r="T158" s="211">
        <v>0</v>
      </c>
      <c r="U158" s="211">
        <v>0</v>
      </c>
      <c r="V158" s="211">
        <v>0</v>
      </c>
      <c r="W158" s="211">
        <v>0</v>
      </c>
      <c r="X158" s="211">
        <v>0</v>
      </c>
      <c r="Y158" s="211">
        <v>0</v>
      </c>
      <c r="Z158" s="211">
        <v>0</v>
      </c>
      <c r="AA158" s="211">
        <v>0</v>
      </c>
      <c r="AB158" s="211">
        <v>0</v>
      </c>
      <c r="AC158" s="211">
        <v>0</v>
      </c>
      <c r="AD158" s="211">
        <v>0</v>
      </c>
      <c r="AE158" s="211">
        <v>0</v>
      </c>
      <c r="AF158" s="211">
        <v>0</v>
      </c>
      <c r="AG158" s="211">
        <v>0</v>
      </c>
    </row>
    <row r="159" spans="1:33" x14ac:dyDescent="0.25">
      <c r="A159" s="121"/>
      <c r="B159" s="210" t="s">
        <v>1129</v>
      </c>
      <c r="C159" s="211">
        <v>0</v>
      </c>
      <c r="D159" s="211">
        <v>0</v>
      </c>
      <c r="E159" s="211">
        <v>0</v>
      </c>
      <c r="F159" s="211">
        <v>0</v>
      </c>
      <c r="G159" s="211">
        <v>0</v>
      </c>
      <c r="H159" s="211">
        <v>0</v>
      </c>
      <c r="I159" s="211">
        <v>0</v>
      </c>
      <c r="J159" s="211">
        <v>0</v>
      </c>
      <c r="K159" s="211">
        <v>0</v>
      </c>
      <c r="L159" s="211">
        <v>0</v>
      </c>
      <c r="M159" s="211">
        <v>0</v>
      </c>
      <c r="N159" s="211">
        <v>0</v>
      </c>
      <c r="O159" s="211">
        <v>0</v>
      </c>
      <c r="P159" s="211">
        <v>0</v>
      </c>
      <c r="Q159" s="211">
        <v>0</v>
      </c>
      <c r="R159" s="211">
        <v>0</v>
      </c>
      <c r="S159" s="211">
        <v>0</v>
      </c>
      <c r="T159" s="211">
        <v>0</v>
      </c>
      <c r="U159" s="211">
        <v>0</v>
      </c>
      <c r="V159" s="211">
        <v>0</v>
      </c>
      <c r="W159" s="211">
        <v>0</v>
      </c>
      <c r="X159" s="211">
        <v>0</v>
      </c>
      <c r="Y159" s="211">
        <v>0</v>
      </c>
      <c r="Z159" s="211">
        <v>0</v>
      </c>
      <c r="AA159" s="211">
        <v>0</v>
      </c>
      <c r="AB159" s="211">
        <v>0</v>
      </c>
      <c r="AC159" s="211">
        <v>0</v>
      </c>
      <c r="AD159" s="211">
        <v>0</v>
      </c>
      <c r="AE159" s="211">
        <v>0</v>
      </c>
      <c r="AF159" s="211">
        <v>0</v>
      </c>
      <c r="AG159" s="211">
        <v>0</v>
      </c>
    </row>
    <row r="160" spans="1:33" x14ac:dyDescent="0.25">
      <c r="A160" s="121"/>
      <c r="B160" s="210" t="s">
        <v>1130</v>
      </c>
      <c r="C160" s="211">
        <v>0</v>
      </c>
      <c r="D160" s="211">
        <v>0</v>
      </c>
      <c r="E160" s="211">
        <v>0</v>
      </c>
      <c r="F160" s="211">
        <v>0</v>
      </c>
      <c r="G160" s="211">
        <v>0</v>
      </c>
      <c r="H160" s="211">
        <v>0</v>
      </c>
      <c r="I160" s="211">
        <v>0</v>
      </c>
      <c r="J160" s="211">
        <v>0</v>
      </c>
      <c r="K160" s="211">
        <v>0</v>
      </c>
      <c r="L160" s="211">
        <v>0</v>
      </c>
      <c r="M160" s="211">
        <v>0</v>
      </c>
      <c r="N160" s="211">
        <v>0</v>
      </c>
      <c r="O160" s="211">
        <v>0</v>
      </c>
      <c r="P160" s="211">
        <v>0</v>
      </c>
      <c r="Q160" s="211">
        <v>0</v>
      </c>
      <c r="R160" s="211">
        <v>0</v>
      </c>
      <c r="S160" s="211">
        <v>0</v>
      </c>
      <c r="T160" s="211">
        <v>0</v>
      </c>
      <c r="U160" s="211">
        <v>0</v>
      </c>
      <c r="V160" s="211">
        <v>0</v>
      </c>
      <c r="W160" s="211">
        <v>0</v>
      </c>
      <c r="X160" s="211">
        <v>0</v>
      </c>
      <c r="Y160" s="211">
        <v>0</v>
      </c>
      <c r="Z160" s="211">
        <v>0</v>
      </c>
      <c r="AA160" s="211">
        <v>0</v>
      </c>
      <c r="AB160" s="211">
        <v>0</v>
      </c>
      <c r="AC160" s="211">
        <v>0</v>
      </c>
      <c r="AD160" s="211">
        <v>0</v>
      </c>
      <c r="AE160" s="211">
        <v>0</v>
      </c>
      <c r="AF160" s="211">
        <v>0</v>
      </c>
      <c r="AG160" s="211">
        <v>0</v>
      </c>
    </row>
    <row r="161" spans="1:33" x14ac:dyDescent="0.25">
      <c r="A161" s="121"/>
      <c r="B161" s="210" t="s">
        <v>1131</v>
      </c>
      <c r="C161" s="211">
        <v>0</v>
      </c>
      <c r="D161" s="211">
        <v>0</v>
      </c>
      <c r="E161" s="211">
        <v>0</v>
      </c>
      <c r="F161" s="211">
        <v>0</v>
      </c>
      <c r="G161" s="211">
        <v>0</v>
      </c>
      <c r="H161" s="211">
        <v>0</v>
      </c>
      <c r="I161" s="211">
        <v>0</v>
      </c>
      <c r="J161" s="211">
        <v>0</v>
      </c>
      <c r="K161" s="211">
        <v>0</v>
      </c>
      <c r="L161" s="211">
        <v>0</v>
      </c>
      <c r="M161" s="211">
        <v>0</v>
      </c>
      <c r="N161" s="211">
        <v>0</v>
      </c>
      <c r="O161" s="211">
        <v>0</v>
      </c>
      <c r="P161" s="211">
        <v>0</v>
      </c>
      <c r="Q161" s="211">
        <v>0</v>
      </c>
      <c r="R161" s="211">
        <v>0</v>
      </c>
      <c r="S161" s="211">
        <v>0</v>
      </c>
      <c r="T161" s="211">
        <v>0</v>
      </c>
      <c r="U161" s="211">
        <v>0</v>
      </c>
      <c r="V161" s="211">
        <v>0</v>
      </c>
      <c r="W161" s="211">
        <v>0</v>
      </c>
      <c r="X161" s="211">
        <v>0</v>
      </c>
      <c r="Y161" s="211">
        <v>0</v>
      </c>
      <c r="Z161" s="211">
        <v>0</v>
      </c>
      <c r="AA161" s="211">
        <v>0</v>
      </c>
      <c r="AB161" s="211">
        <v>0</v>
      </c>
      <c r="AC161" s="211">
        <v>0</v>
      </c>
      <c r="AD161" s="211">
        <v>0</v>
      </c>
      <c r="AE161" s="211">
        <v>0</v>
      </c>
      <c r="AF161" s="211">
        <v>0</v>
      </c>
      <c r="AG161" s="211">
        <v>0</v>
      </c>
    </row>
    <row r="162" spans="1:33" x14ac:dyDescent="0.25">
      <c r="A162" s="121"/>
      <c r="B162" s="210" t="s">
        <v>1132</v>
      </c>
      <c r="C162" s="211">
        <v>0</v>
      </c>
      <c r="D162" s="211">
        <v>0</v>
      </c>
      <c r="E162" s="211">
        <v>0</v>
      </c>
      <c r="F162" s="211">
        <v>0</v>
      </c>
      <c r="G162" s="211">
        <v>0</v>
      </c>
      <c r="H162" s="211">
        <v>0</v>
      </c>
      <c r="I162" s="211">
        <v>0</v>
      </c>
      <c r="J162" s="211">
        <v>0</v>
      </c>
      <c r="K162" s="211">
        <v>0</v>
      </c>
      <c r="L162" s="211">
        <v>0</v>
      </c>
      <c r="M162" s="211">
        <v>0</v>
      </c>
      <c r="N162" s="211">
        <v>0</v>
      </c>
      <c r="O162" s="211">
        <v>0</v>
      </c>
      <c r="P162" s="211">
        <v>0</v>
      </c>
      <c r="Q162" s="211">
        <v>0</v>
      </c>
      <c r="R162" s="211">
        <v>0</v>
      </c>
      <c r="S162" s="211">
        <v>0</v>
      </c>
      <c r="T162" s="211">
        <v>0</v>
      </c>
      <c r="U162" s="211">
        <v>0</v>
      </c>
      <c r="V162" s="211">
        <v>0</v>
      </c>
      <c r="W162" s="211">
        <v>0</v>
      </c>
      <c r="X162" s="211">
        <v>0</v>
      </c>
      <c r="Y162" s="211">
        <v>0</v>
      </c>
      <c r="Z162" s="211">
        <v>0</v>
      </c>
      <c r="AA162" s="211">
        <v>0</v>
      </c>
      <c r="AB162" s="211">
        <v>0</v>
      </c>
      <c r="AC162" s="211">
        <v>0</v>
      </c>
      <c r="AD162" s="211">
        <v>0</v>
      </c>
      <c r="AE162" s="211">
        <v>0</v>
      </c>
      <c r="AF162" s="211">
        <v>0</v>
      </c>
      <c r="AG162" s="211">
        <v>0</v>
      </c>
    </row>
    <row r="163" spans="1:33" x14ac:dyDescent="0.25">
      <c r="A163" s="121"/>
      <c r="B163" s="210" t="s">
        <v>1133</v>
      </c>
      <c r="C163" s="211">
        <v>0</v>
      </c>
      <c r="D163" s="211">
        <v>0</v>
      </c>
      <c r="E163" s="211">
        <v>0</v>
      </c>
      <c r="F163" s="211">
        <v>0</v>
      </c>
      <c r="G163" s="211">
        <v>0</v>
      </c>
      <c r="H163" s="211">
        <v>0</v>
      </c>
      <c r="I163" s="211">
        <v>0</v>
      </c>
      <c r="J163" s="211">
        <v>0</v>
      </c>
      <c r="K163" s="211">
        <v>0</v>
      </c>
      <c r="L163" s="211">
        <v>0</v>
      </c>
      <c r="M163" s="211">
        <v>0</v>
      </c>
      <c r="N163" s="211">
        <v>0</v>
      </c>
      <c r="O163" s="211">
        <v>0</v>
      </c>
      <c r="P163" s="211">
        <v>0</v>
      </c>
      <c r="Q163" s="211">
        <v>0</v>
      </c>
      <c r="R163" s="211">
        <v>0</v>
      </c>
      <c r="S163" s="211">
        <v>0</v>
      </c>
      <c r="T163" s="211">
        <v>0</v>
      </c>
      <c r="U163" s="211">
        <v>0</v>
      </c>
      <c r="V163" s="211">
        <v>0</v>
      </c>
      <c r="W163" s="211">
        <v>0</v>
      </c>
      <c r="X163" s="211">
        <v>0</v>
      </c>
      <c r="Y163" s="211">
        <v>0</v>
      </c>
      <c r="Z163" s="211">
        <v>0</v>
      </c>
      <c r="AA163" s="211">
        <v>0</v>
      </c>
      <c r="AB163" s="211">
        <v>0</v>
      </c>
      <c r="AC163" s="211">
        <v>0</v>
      </c>
      <c r="AD163" s="211">
        <v>0</v>
      </c>
      <c r="AE163" s="211">
        <v>0</v>
      </c>
      <c r="AF163" s="211">
        <v>0</v>
      </c>
      <c r="AG163" s="211">
        <v>0</v>
      </c>
    </row>
    <row r="164" spans="1:33" x14ac:dyDescent="0.25">
      <c r="A164" s="207" t="s">
        <v>309</v>
      </c>
      <c r="B164" s="208"/>
      <c r="C164" s="209"/>
      <c r="D164" s="209"/>
      <c r="E164" s="209"/>
      <c r="F164" s="209"/>
      <c r="G164" s="209"/>
      <c r="H164" s="209"/>
      <c r="I164" s="209"/>
      <c r="J164" s="209"/>
      <c r="K164" s="209"/>
      <c r="L164" s="209"/>
      <c r="M164" s="209"/>
      <c r="N164" s="209"/>
      <c r="O164" s="209"/>
      <c r="P164" s="209"/>
      <c r="Q164" s="209"/>
      <c r="R164" s="209"/>
      <c r="S164" s="209"/>
      <c r="T164" s="209"/>
      <c r="U164" s="209"/>
      <c r="V164" s="209"/>
      <c r="W164" s="209"/>
      <c r="X164" s="209"/>
      <c r="Y164" s="209"/>
      <c r="Z164" s="209"/>
      <c r="AA164" s="209"/>
      <c r="AB164" s="209"/>
      <c r="AC164" s="209"/>
      <c r="AD164" s="209"/>
      <c r="AE164" s="209"/>
      <c r="AF164" s="209"/>
      <c r="AG164" s="209"/>
    </row>
    <row r="165" spans="1:33" x14ac:dyDescent="0.25">
      <c r="A165" s="121"/>
      <c r="B165" s="210" t="s">
        <v>310</v>
      </c>
      <c r="C165" s="211">
        <v>0</v>
      </c>
      <c r="D165" s="211">
        <v>0</v>
      </c>
      <c r="E165" s="211">
        <v>0</v>
      </c>
      <c r="F165" s="211">
        <v>9</v>
      </c>
      <c r="G165" s="211">
        <v>0</v>
      </c>
      <c r="H165" s="211">
        <v>0</v>
      </c>
      <c r="I165" s="211">
        <v>0.06</v>
      </c>
      <c r="J165" s="211">
        <v>0.40100000000000002</v>
      </c>
      <c r="K165" s="211">
        <v>0</v>
      </c>
      <c r="L165" s="211">
        <v>0</v>
      </c>
      <c r="M165" s="211">
        <v>15</v>
      </c>
      <c r="N165" s="211">
        <v>0.26400000000000001</v>
      </c>
      <c r="O165" s="211">
        <v>0</v>
      </c>
      <c r="P165" s="211">
        <v>5.2</v>
      </c>
      <c r="Q165" s="211">
        <v>0.90300000000000002</v>
      </c>
      <c r="R165" s="211">
        <v>0</v>
      </c>
      <c r="S165" s="211">
        <v>10.5</v>
      </c>
      <c r="T165" s="211">
        <v>0</v>
      </c>
      <c r="U165" s="211">
        <v>0</v>
      </c>
      <c r="V165" s="211">
        <v>0</v>
      </c>
      <c r="W165" s="211">
        <v>1.00335</v>
      </c>
      <c r="X165" s="211">
        <v>0</v>
      </c>
      <c r="Y165" s="211">
        <v>2.093</v>
      </c>
      <c r="Z165" s="211">
        <v>0</v>
      </c>
      <c r="AA165" s="211">
        <v>0</v>
      </c>
      <c r="AB165" s="211">
        <v>0</v>
      </c>
      <c r="AC165" s="211">
        <v>0</v>
      </c>
      <c r="AD165" s="211">
        <v>0</v>
      </c>
      <c r="AE165" s="211">
        <v>0</v>
      </c>
      <c r="AF165" s="211">
        <v>0</v>
      </c>
      <c r="AG165" s="211">
        <v>44.42434999999999</v>
      </c>
    </row>
    <row r="166" spans="1:33" x14ac:dyDescent="0.25">
      <c r="A166" s="121"/>
      <c r="B166" s="210" t="s">
        <v>311</v>
      </c>
      <c r="C166" s="211">
        <v>0</v>
      </c>
      <c r="D166" s="211">
        <v>0</v>
      </c>
      <c r="E166" s="211">
        <v>0</v>
      </c>
      <c r="F166" s="211">
        <v>0</v>
      </c>
      <c r="G166" s="211">
        <v>0</v>
      </c>
      <c r="H166" s="211">
        <v>0</v>
      </c>
      <c r="I166" s="211">
        <v>0</v>
      </c>
      <c r="J166" s="211">
        <v>0</v>
      </c>
      <c r="K166" s="211">
        <v>0</v>
      </c>
      <c r="L166" s="211">
        <v>0</v>
      </c>
      <c r="M166" s="211">
        <v>0</v>
      </c>
      <c r="N166" s="211">
        <v>0</v>
      </c>
      <c r="O166" s="211">
        <v>0</v>
      </c>
      <c r="P166" s="211">
        <v>0</v>
      </c>
      <c r="Q166" s="211">
        <v>0</v>
      </c>
      <c r="R166" s="211">
        <v>0</v>
      </c>
      <c r="S166" s="211">
        <v>0</v>
      </c>
      <c r="T166" s="211">
        <v>0</v>
      </c>
      <c r="U166" s="211">
        <v>0</v>
      </c>
      <c r="V166" s="211">
        <v>0</v>
      </c>
      <c r="W166" s="211">
        <v>0.13100999999999999</v>
      </c>
      <c r="X166" s="211">
        <v>0</v>
      </c>
      <c r="Y166" s="211">
        <v>0</v>
      </c>
      <c r="Z166" s="211">
        <v>0</v>
      </c>
      <c r="AA166" s="211">
        <v>0</v>
      </c>
      <c r="AB166" s="211">
        <v>0</v>
      </c>
      <c r="AC166" s="211">
        <v>0</v>
      </c>
      <c r="AD166" s="211">
        <v>0</v>
      </c>
      <c r="AE166" s="211">
        <v>0</v>
      </c>
      <c r="AF166" s="211">
        <v>5.91059</v>
      </c>
      <c r="AG166" s="211">
        <v>6.0415999999999999</v>
      </c>
    </row>
    <row r="167" spans="1:33" x14ac:dyDescent="0.25">
      <c r="A167" s="121"/>
      <c r="B167" s="210" t="s">
        <v>313</v>
      </c>
      <c r="C167" s="211">
        <v>0</v>
      </c>
      <c r="D167" s="211">
        <v>0</v>
      </c>
      <c r="E167" s="211">
        <v>0</v>
      </c>
      <c r="F167" s="211">
        <v>0</v>
      </c>
      <c r="G167" s="211">
        <v>0</v>
      </c>
      <c r="H167" s="211">
        <v>0</v>
      </c>
      <c r="I167" s="211">
        <v>0.497</v>
      </c>
      <c r="J167" s="211">
        <v>0</v>
      </c>
      <c r="K167" s="211">
        <v>0</v>
      </c>
      <c r="L167" s="211">
        <v>0</v>
      </c>
      <c r="M167" s="211">
        <v>0</v>
      </c>
      <c r="N167" s="211">
        <v>0</v>
      </c>
      <c r="O167" s="211">
        <v>0</v>
      </c>
      <c r="P167" s="211">
        <v>0</v>
      </c>
      <c r="Q167" s="211">
        <v>0</v>
      </c>
      <c r="R167" s="211">
        <v>0</v>
      </c>
      <c r="S167" s="211">
        <v>0</v>
      </c>
      <c r="T167" s="211">
        <v>0</v>
      </c>
      <c r="U167" s="211">
        <v>0</v>
      </c>
      <c r="V167" s="211">
        <v>0</v>
      </c>
      <c r="W167" s="211">
        <v>6.4649999999999999E-2</v>
      </c>
      <c r="X167" s="211">
        <v>1.986</v>
      </c>
      <c r="Y167" s="211">
        <v>0</v>
      </c>
      <c r="Z167" s="211">
        <v>0</v>
      </c>
      <c r="AA167" s="211">
        <v>0</v>
      </c>
      <c r="AB167" s="211">
        <v>0</v>
      </c>
      <c r="AC167" s="211">
        <v>0</v>
      </c>
      <c r="AD167" s="211">
        <v>0</v>
      </c>
      <c r="AE167" s="211">
        <v>0</v>
      </c>
      <c r="AF167" s="211">
        <v>0</v>
      </c>
      <c r="AG167" s="211">
        <v>2.54765</v>
      </c>
    </row>
    <row r="168" spans="1:33" x14ac:dyDescent="0.25">
      <c r="A168" s="207" t="s">
        <v>315</v>
      </c>
      <c r="B168" s="208"/>
      <c r="C168" s="209"/>
      <c r="D168" s="209"/>
      <c r="E168" s="209"/>
      <c r="F168" s="209"/>
      <c r="G168" s="209"/>
      <c r="H168" s="209"/>
      <c r="I168" s="209"/>
      <c r="J168" s="209"/>
      <c r="K168" s="209"/>
      <c r="L168" s="209"/>
      <c r="M168" s="209"/>
      <c r="N168" s="209"/>
      <c r="O168" s="209"/>
      <c r="P168" s="209"/>
      <c r="Q168" s="209"/>
      <c r="R168" s="209"/>
      <c r="S168" s="209"/>
      <c r="T168" s="209"/>
      <c r="U168" s="209"/>
      <c r="V168" s="209"/>
      <c r="W168" s="209"/>
      <c r="X168" s="209"/>
      <c r="Y168" s="209"/>
      <c r="Z168" s="209"/>
      <c r="AA168" s="209"/>
      <c r="AB168" s="209"/>
      <c r="AC168" s="209"/>
      <c r="AD168" s="209"/>
      <c r="AE168" s="209"/>
      <c r="AF168" s="209"/>
      <c r="AG168" s="209"/>
    </row>
    <row r="169" spans="1:33" x14ac:dyDescent="0.25">
      <c r="A169" s="121"/>
      <c r="B169" s="210" t="s">
        <v>316</v>
      </c>
      <c r="C169" s="211">
        <v>0</v>
      </c>
      <c r="D169" s="211">
        <v>0</v>
      </c>
      <c r="E169" s="211">
        <v>0</v>
      </c>
      <c r="F169" s="211">
        <v>0</v>
      </c>
      <c r="G169" s="211">
        <v>0</v>
      </c>
      <c r="H169" s="211">
        <v>0</v>
      </c>
      <c r="I169" s="211">
        <v>0</v>
      </c>
      <c r="J169" s="211">
        <v>0.316</v>
      </c>
      <c r="K169" s="211">
        <v>0</v>
      </c>
      <c r="L169" s="211">
        <v>0</v>
      </c>
      <c r="M169" s="211">
        <v>13.849</v>
      </c>
      <c r="N169" s="211">
        <v>0</v>
      </c>
      <c r="O169" s="211">
        <v>0</v>
      </c>
      <c r="P169" s="211">
        <v>0</v>
      </c>
      <c r="Q169" s="211">
        <v>0</v>
      </c>
      <c r="R169" s="211">
        <v>0</v>
      </c>
      <c r="S169" s="211">
        <v>0</v>
      </c>
      <c r="T169" s="211">
        <v>0</v>
      </c>
      <c r="U169" s="211">
        <v>0</v>
      </c>
      <c r="V169" s="211">
        <v>0</v>
      </c>
      <c r="W169" s="211">
        <v>0.35457</v>
      </c>
      <c r="X169" s="211">
        <v>0</v>
      </c>
      <c r="Y169" s="211">
        <v>0</v>
      </c>
      <c r="Z169" s="211">
        <v>0</v>
      </c>
      <c r="AA169" s="211">
        <v>0</v>
      </c>
      <c r="AB169" s="211">
        <v>0</v>
      </c>
      <c r="AC169" s="211">
        <v>0</v>
      </c>
      <c r="AD169" s="211">
        <v>0</v>
      </c>
      <c r="AE169" s="211">
        <v>0</v>
      </c>
      <c r="AF169" s="211">
        <v>0</v>
      </c>
      <c r="AG169" s="211">
        <v>14.519570000000002</v>
      </c>
    </row>
    <row r="170" spans="1:33" x14ac:dyDescent="0.25">
      <c r="A170" s="121"/>
      <c r="B170" s="210" t="s">
        <v>317</v>
      </c>
      <c r="C170" s="211">
        <v>0</v>
      </c>
      <c r="D170" s="211">
        <v>0</v>
      </c>
      <c r="E170" s="211">
        <v>0</v>
      </c>
      <c r="F170" s="211">
        <v>0</v>
      </c>
      <c r="G170" s="211">
        <v>0</v>
      </c>
      <c r="H170" s="211">
        <v>0</v>
      </c>
      <c r="I170" s="211">
        <v>0</v>
      </c>
      <c r="J170" s="211">
        <v>0.28899999999999998</v>
      </c>
      <c r="K170" s="211">
        <v>0</v>
      </c>
      <c r="L170" s="211">
        <v>0</v>
      </c>
      <c r="M170" s="211">
        <v>0</v>
      </c>
      <c r="N170" s="211">
        <v>0</v>
      </c>
      <c r="O170" s="211">
        <v>0</v>
      </c>
      <c r="P170" s="211">
        <v>0</v>
      </c>
      <c r="Q170" s="211">
        <v>0</v>
      </c>
      <c r="R170" s="211">
        <v>0</v>
      </c>
      <c r="S170" s="211">
        <v>0</v>
      </c>
      <c r="T170" s="211">
        <v>0</v>
      </c>
      <c r="U170" s="211">
        <v>0</v>
      </c>
      <c r="V170" s="211">
        <v>0</v>
      </c>
      <c r="W170" s="211">
        <v>0.21446999999999999</v>
      </c>
      <c r="X170" s="211">
        <v>0</v>
      </c>
      <c r="Y170" s="211">
        <v>0</v>
      </c>
      <c r="Z170" s="211">
        <v>0</v>
      </c>
      <c r="AA170" s="211">
        <v>0</v>
      </c>
      <c r="AB170" s="211">
        <v>0</v>
      </c>
      <c r="AC170" s="211">
        <v>9.9623500000000007</v>
      </c>
      <c r="AD170" s="211">
        <v>0</v>
      </c>
      <c r="AE170" s="211">
        <v>0</v>
      </c>
      <c r="AF170" s="211">
        <v>0</v>
      </c>
      <c r="AG170" s="211">
        <v>10.465820000000001</v>
      </c>
    </row>
    <row r="171" spans="1:33" x14ac:dyDescent="0.25">
      <c r="A171" s="121"/>
      <c r="B171" s="210" t="s">
        <v>318</v>
      </c>
      <c r="C171" s="211">
        <v>0</v>
      </c>
      <c r="D171" s="211">
        <v>0</v>
      </c>
      <c r="E171" s="211">
        <v>0</v>
      </c>
      <c r="F171" s="211">
        <v>0</v>
      </c>
      <c r="G171" s="211">
        <v>2.714</v>
      </c>
      <c r="H171" s="211">
        <v>0</v>
      </c>
      <c r="I171" s="211">
        <v>0</v>
      </c>
      <c r="J171" s="211">
        <v>0.246</v>
      </c>
      <c r="K171" s="211">
        <v>0</v>
      </c>
      <c r="L171" s="211">
        <v>0</v>
      </c>
      <c r="M171" s="211">
        <v>0</v>
      </c>
      <c r="N171" s="211">
        <v>0</v>
      </c>
      <c r="O171" s="211">
        <v>0</v>
      </c>
      <c r="P171" s="211">
        <v>0</v>
      </c>
      <c r="Q171" s="211">
        <v>14.407999999999999</v>
      </c>
      <c r="R171" s="211">
        <v>0</v>
      </c>
      <c r="S171" s="211">
        <v>0</v>
      </c>
      <c r="T171" s="211">
        <v>0</v>
      </c>
      <c r="U171" s="211">
        <v>0</v>
      </c>
      <c r="V171" s="211">
        <v>0</v>
      </c>
      <c r="W171" s="211">
        <v>0.47181000000000001</v>
      </c>
      <c r="X171" s="211">
        <v>0</v>
      </c>
      <c r="Y171" s="211">
        <v>0</v>
      </c>
      <c r="Z171" s="211">
        <v>0</v>
      </c>
      <c r="AA171" s="211">
        <v>0</v>
      </c>
      <c r="AB171" s="211">
        <v>0</v>
      </c>
      <c r="AC171" s="211">
        <v>0</v>
      </c>
      <c r="AD171" s="211">
        <v>0</v>
      </c>
      <c r="AE171" s="211">
        <v>0</v>
      </c>
      <c r="AF171" s="211">
        <v>0</v>
      </c>
      <c r="AG171" s="211">
        <v>17.83981</v>
      </c>
    </row>
    <row r="172" spans="1:33" x14ac:dyDescent="0.25">
      <c r="A172" s="121"/>
      <c r="B172" s="210" t="s">
        <v>319</v>
      </c>
      <c r="C172" s="211">
        <v>0</v>
      </c>
      <c r="D172" s="211">
        <v>0</v>
      </c>
      <c r="E172" s="211">
        <v>0</v>
      </c>
      <c r="F172" s="211">
        <v>62.027999999999999</v>
      </c>
      <c r="G172" s="211">
        <v>8.907</v>
      </c>
      <c r="H172" s="211">
        <v>1.03</v>
      </c>
      <c r="I172" s="211">
        <v>4.5999999999999999E-2</v>
      </c>
      <c r="J172" s="211">
        <v>0</v>
      </c>
      <c r="K172" s="211">
        <v>0</v>
      </c>
      <c r="L172" s="211">
        <v>0</v>
      </c>
      <c r="M172" s="211">
        <v>82.260999999999996</v>
      </c>
      <c r="N172" s="211">
        <v>0</v>
      </c>
      <c r="O172" s="211">
        <v>0</v>
      </c>
      <c r="P172" s="211">
        <v>33.462000000000003</v>
      </c>
      <c r="Q172" s="211">
        <v>0</v>
      </c>
      <c r="R172" s="211">
        <v>0</v>
      </c>
      <c r="S172" s="211">
        <v>3.3959999999999999</v>
      </c>
      <c r="T172" s="211">
        <v>0</v>
      </c>
      <c r="U172" s="211">
        <v>0</v>
      </c>
      <c r="V172" s="211">
        <v>0</v>
      </c>
      <c r="W172" s="211">
        <v>5.1299099999999997</v>
      </c>
      <c r="X172" s="211">
        <v>0</v>
      </c>
      <c r="Y172" s="211">
        <v>0</v>
      </c>
      <c r="Z172" s="211">
        <v>0</v>
      </c>
      <c r="AA172" s="211">
        <v>12.922000000000001</v>
      </c>
      <c r="AB172" s="211">
        <v>19.093</v>
      </c>
      <c r="AC172" s="211">
        <v>0</v>
      </c>
      <c r="AD172" s="211">
        <v>0</v>
      </c>
      <c r="AE172" s="211">
        <v>0</v>
      </c>
      <c r="AF172" s="211">
        <v>0</v>
      </c>
      <c r="AG172" s="211">
        <v>228.27490999999995</v>
      </c>
    </row>
    <row r="173" spans="1:33" x14ac:dyDescent="0.25">
      <c r="A173" s="207" t="s">
        <v>320</v>
      </c>
      <c r="B173" s="208"/>
      <c r="C173" s="209"/>
      <c r="D173" s="209"/>
      <c r="E173" s="209"/>
      <c r="F173" s="209"/>
      <c r="G173" s="209"/>
      <c r="H173" s="209"/>
      <c r="I173" s="209"/>
      <c r="J173" s="209"/>
      <c r="K173" s="209"/>
      <c r="L173" s="209"/>
      <c r="M173" s="209"/>
      <c r="N173" s="209"/>
      <c r="O173" s="209"/>
      <c r="P173" s="209"/>
      <c r="Q173" s="209"/>
      <c r="R173" s="209"/>
      <c r="S173" s="209"/>
      <c r="T173" s="209"/>
      <c r="U173" s="209"/>
      <c r="V173" s="209"/>
      <c r="W173" s="209"/>
      <c r="X173" s="209"/>
      <c r="Y173" s="209"/>
      <c r="Z173" s="209"/>
      <c r="AA173" s="209"/>
      <c r="AB173" s="209"/>
      <c r="AC173" s="209"/>
      <c r="AD173" s="209"/>
      <c r="AE173" s="209"/>
      <c r="AF173" s="209"/>
      <c r="AG173" s="209"/>
    </row>
    <row r="174" spans="1:33" x14ac:dyDescent="0.25">
      <c r="A174" s="121"/>
      <c r="B174" s="210" t="s">
        <v>321</v>
      </c>
      <c r="C174" s="211">
        <v>0</v>
      </c>
      <c r="D174" s="211">
        <v>0</v>
      </c>
      <c r="E174" s="211">
        <v>0</v>
      </c>
      <c r="F174" s="211">
        <v>6.0747</v>
      </c>
      <c r="G174" s="211">
        <v>0</v>
      </c>
      <c r="H174" s="211">
        <v>0</v>
      </c>
      <c r="I174" s="211">
        <v>0</v>
      </c>
      <c r="J174" s="211">
        <v>0.4</v>
      </c>
      <c r="K174" s="211">
        <v>0</v>
      </c>
      <c r="L174" s="211">
        <v>1.3</v>
      </c>
      <c r="M174" s="211">
        <v>2.3623799999999999</v>
      </c>
      <c r="N174" s="211">
        <v>0</v>
      </c>
      <c r="O174" s="211">
        <v>0</v>
      </c>
      <c r="P174" s="211">
        <v>22</v>
      </c>
      <c r="Q174" s="211">
        <v>0</v>
      </c>
      <c r="R174" s="211">
        <v>51.297499999999999</v>
      </c>
      <c r="S174" s="211">
        <v>21.5989</v>
      </c>
      <c r="T174" s="211">
        <v>0</v>
      </c>
      <c r="U174" s="211">
        <v>0</v>
      </c>
      <c r="V174" s="211">
        <v>86.680400000000006</v>
      </c>
      <c r="W174" s="211">
        <v>7.0270200000000003</v>
      </c>
      <c r="X174" s="211">
        <v>0</v>
      </c>
      <c r="Y174" s="211">
        <v>8.6999999999999993</v>
      </c>
      <c r="Z174" s="211">
        <v>0</v>
      </c>
      <c r="AA174" s="211">
        <v>0</v>
      </c>
      <c r="AB174" s="211">
        <v>0</v>
      </c>
      <c r="AC174" s="211">
        <v>0</v>
      </c>
      <c r="AD174" s="211">
        <v>0</v>
      </c>
      <c r="AE174" s="211">
        <v>0</v>
      </c>
      <c r="AF174" s="211">
        <v>0</v>
      </c>
      <c r="AG174" s="211">
        <v>207.4409</v>
      </c>
    </row>
    <row r="175" spans="1:33" x14ac:dyDescent="0.25">
      <c r="A175" s="207" t="s">
        <v>322</v>
      </c>
      <c r="B175" s="208"/>
      <c r="C175" s="209"/>
      <c r="D175" s="209"/>
      <c r="E175" s="209"/>
      <c r="F175" s="209"/>
      <c r="G175" s="209"/>
      <c r="H175" s="209"/>
      <c r="I175" s="209"/>
      <c r="J175" s="209"/>
      <c r="K175" s="209"/>
      <c r="L175" s="209"/>
      <c r="M175" s="209"/>
      <c r="N175" s="209"/>
      <c r="O175" s="209"/>
      <c r="P175" s="209"/>
      <c r="Q175" s="209"/>
      <c r="R175" s="209"/>
      <c r="S175" s="209"/>
      <c r="T175" s="209"/>
      <c r="U175" s="209"/>
      <c r="V175" s="209"/>
      <c r="W175" s="209"/>
      <c r="X175" s="209"/>
      <c r="Y175" s="209"/>
      <c r="Z175" s="209"/>
      <c r="AA175" s="209"/>
      <c r="AB175" s="209"/>
      <c r="AC175" s="209"/>
      <c r="AD175" s="209"/>
      <c r="AE175" s="209"/>
      <c r="AF175" s="209"/>
      <c r="AG175" s="209"/>
    </row>
    <row r="176" spans="1:33" x14ac:dyDescent="0.25">
      <c r="A176" s="121"/>
      <c r="B176" s="210" t="s">
        <v>323</v>
      </c>
      <c r="C176" s="211">
        <v>0</v>
      </c>
      <c r="D176" s="211">
        <v>0</v>
      </c>
      <c r="E176" s="211">
        <v>0</v>
      </c>
      <c r="F176" s="211">
        <v>93.888999999999996</v>
      </c>
      <c r="G176" s="211">
        <v>0.88360799999999995</v>
      </c>
      <c r="H176" s="211">
        <v>0</v>
      </c>
      <c r="I176" s="211">
        <v>0</v>
      </c>
      <c r="J176" s="211">
        <v>0</v>
      </c>
      <c r="K176" s="211">
        <v>0</v>
      </c>
      <c r="L176" s="211">
        <v>0.168235</v>
      </c>
      <c r="M176" s="211">
        <v>13.781000000000001</v>
      </c>
      <c r="N176" s="211">
        <v>0</v>
      </c>
      <c r="O176" s="211">
        <v>74.868300000000005</v>
      </c>
      <c r="P176" s="211">
        <v>84.256</v>
      </c>
      <c r="Q176" s="211">
        <v>375.12</v>
      </c>
      <c r="R176" s="211">
        <v>0</v>
      </c>
      <c r="S176" s="211">
        <v>7.8771100000000001</v>
      </c>
      <c r="T176" s="211">
        <v>0</v>
      </c>
      <c r="U176" s="211">
        <v>0</v>
      </c>
      <c r="V176" s="211">
        <v>0</v>
      </c>
      <c r="W176" s="211">
        <v>11.3766</v>
      </c>
      <c r="X176" s="211">
        <v>0</v>
      </c>
      <c r="Y176" s="211">
        <v>0</v>
      </c>
      <c r="Z176" s="211">
        <v>0</v>
      </c>
      <c r="AA176" s="211">
        <v>0</v>
      </c>
      <c r="AB176" s="211">
        <v>0</v>
      </c>
      <c r="AC176" s="211">
        <v>0</v>
      </c>
      <c r="AD176" s="211">
        <v>0</v>
      </c>
      <c r="AE176" s="211">
        <v>0</v>
      </c>
      <c r="AF176" s="211">
        <v>87.988200000000006</v>
      </c>
      <c r="AG176" s="211">
        <v>750.20805300000006</v>
      </c>
    </row>
    <row r="177" spans="1:33" x14ac:dyDescent="0.25">
      <c r="A177" s="207" t="s">
        <v>324</v>
      </c>
      <c r="B177" s="208"/>
      <c r="C177" s="209"/>
      <c r="D177" s="209"/>
      <c r="E177" s="209"/>
      <c r="F177" s="209"/>
      <c r="G177" s="209"/>
      <c r="H177" s="209"/>
      <c r="I177" s="209"/>
      <c r="J177" s="209"/>
      <c r="K177" s="209"/>
      <c r="L177" s="209"/>
      <c r="M177" s="209"/>
      <c r="N177" s="209"/>
      <c r="O177" s="209"/>
      <c r="P177" s="209"/>
      <c r="Q177" s="209"/>
      <c r="R177" s="209"/>
      <c r="S177" s="209"/>
      <c r="T177" s="209"/>
      <c r="U177" s="209"/>
      <c r="V177" s="209"/>
      <c r="W177" s="209"/>
      <c r="X177" s="209"/>
      <c r="Y177" s="209"/>
      <c r="Z177" s="209"/>
      <c r="AA177" s="209"/>
      <c r="AB177" s="209"/>
      <c r="AC177" s="209"/>
      <c r="AD177" s="209"/>
      <c r="AE177" s="209"/>
      <c r="AF177" s="209"/>
      <c r="AG177" s="209"/>
    </row>
    <row r="178" spans="1:33" x14ac:dyDescent="0.25">
      <c r="A178" s="121"/>
      <c r="B178" s="210" t="s">
        <v>325</v>
      </c>
      <c r="C178" s="211">
        <v>0</v>
      </c>
      <c r="D178" s="211">
        <v>0</v>
      </c>
      <c r="E178" s="211">
        <v>0</v>
      </c>
      <c r="F178" s="211">
        <v>0</v>
      </c>
      <c r="G178" s="211">
        <v>0</v>
      </c>
      <c r="H178" s="211">
        <v>0</v>
      </c>
      <c r="I178" s="211">
        <v>0</v>
      </c>
      <c r="J178" s="211">
        <v>0</v>
      </c>
      <c r="K178" s="211">
        <v>0</v>
      </c>
      <c r="L178" s="211">
        <v>0</v>
      </c>
      <c r="M178" s="211">
        <v>0</v>
      </c>
      <c r="N178" s="211">
        <v>0</v>
      </c>
      <c r="O178" s="211">
        <v>0</v>
      </c>
      <c r="P178" s="211">
        <v>0</v>
      </c>
      <c r="Q178" s="211">
        <v>0</v>
      </c>
      <c r="R178" s="211">
        <v>0</v>
      </c>
      <c r="S178" s="211">
        <v>0</v>
      </c>
      <c r="T178" s="211">
        <v>0</v>
      </c>
      <c r="U178" s="211">
        <v>0</v>
      </c>
      <c r="V178" s="211">
        <v>0</v>
      </c>
      <c r="W178" s="211">
        <v>0</v>
      </c>
      <c r="X178" s="211">
        <v>0</v>
      </c>
      <c r="Y178" s="211">
        <v>0</v>
      </c>
      <c r="Z178" s="211">
        <v>0</v>
      </c>
      <c r="AA178" s="211">
        <v>0</v>
      </c>
      <c r="AB178" s="211">
        <v>0</v>
      </c>
      <c r="AC178" s="211">
        <v>0</v>
      </c>
      <c r="AD178" s="211">
        <v>0</v>
      </c>
      <c r="AE178" s="211">
        <v>0</v>
      </c>
      <c r="AF178" s="211">
        <v>0</v>
      </c>
      <c r="AG178" s="211">
        <v>0</v>
      </c>
    </row>
    <row r="179" spans="1:33" x14ac:dyDescent="0.25">
      <c r="A179" s="121"/>
      <c r="B179" s="210" t="s">
        <v>326</v>
      </c>
      <c r="C179" s="211">
        <v>0</v>
      </c>
      <c r="D179" s="211">
        <v>875.61599999999999</v>
      </c>
      <c r="E179" s="211">
        <v>0</v>
      </c>
      <c r="F179" s="211">
        <v>28.841000000000001</v>
      </c>
      <c r="G179" s="211">
        <v>3.1179999999999999</v>
      </c>
      <c r="H179" s="211">
        <v>67.346999999999994</v>
      </c>
      <c r="I179" s="211">
        <v>0</v>
      </c>
      <c r="J179" s="211">
        <v>1.383</v>
      </c>
      <c r="K179" s="211">
        <v>0</v>
      </c>
      <c r="L179" s="211">
        <v>4.4450000000000003</v>
      </c>
      <c r="M179" s="211">
        <v>56.429000000000002</v>
      </c>
      <c r="N179" s="211">
        <v>433.72</v>
      </c>
      <c r="O179" s="211">
        <v>0</v>
      </c>
      <c r="P179" s="211">
        <v>386.97399999999999</v>
      </c>
      <c r="Q179" s="211">
        <v>1212.21</v>
      </c>
      <c r="R179" s="211">
        <v>0</v>
      </c>
      <c r="S179" s="211">
        <v>22.571000000000002</v>
      </c>
      <c r="T179" s="211">
        <v>0</v>
      </c>
      <c r="U179" s="211">
        <v>0</v>
      </c>
      <c r="V179" s="211">
        <v>0</v>
      </c>
      <c r="W179" s="211">
        <v>49.591000000000001</v>
      </c>
      <c r="X179" s="211">
        <v>0</v>
      </c>
      <c r="Y179" s="211">
        <v>144.43899999999999</v>
      </c>
      <c r="Z179" s="211">
        <v>0</v>
      </c>
      <c r="AA179" s="211">
        <v>121.14400000000001</v>
      </c>
      <c r="AB179" s="211">
        <v>292.68400000000003</v>
      </c>
      <c r="AC179" s="211">
        <v>0</v>
      </c>
      <c r="AD179" s="211">
        <v>0</v>
      </c>
      <c r="AE179" s="211">
        <v>0</v>
      </c>
      <c r="AF179" s="211">
        <v>20.720500000000001</v>
      </c>
      <c r="AG179" s="211">
        <v>3721.2324999999996</v>
      </c>
    </row>
    <row r="180" spans="1:33" x14ac:dyDescent="0.25">
      <c r="A180" s="121"/>
      <c r="B180" s="210" t="s">
        <v>328</v>
      </c>
      <c r="C180" s="211">
        <v>0</v>
      </c>
      <c r="D180" s="211">
        <v>0</v>
      </c>
      <c r="E180" s="211">
        <v>0</v>
      </c>
      <c r="F180" s="211">
        <v>31.954999999999998</v>
      </c>
      <c r="G180" s="211">
        <v>0.550315</v>
      </c>
      <c r="H180" s="211">
        <v>0</v>
      </c>
      <c r="I180" s="211">
        <v>0</v>
      </c>
      <c r="J180" s="211">
        <v>0</v>
      </c>
      <c r="K180" s="211">
        <v>0</v>
      </c>
      <c r="L180" s="211">
        <v>0</v>
      </c>
      <c r="M180" s="211">
        <v>62.521999999999998</v>
      </c>
      <c r="N180" s="211">
        <v>0</v>
      </c>
      <c r="O180" s="211">
        <v>0</v>
      </c>
      <c r="P180" s="211">
        <v>41.618000000000002</v>
      </c>
      <c r="Q180" s="211">
        <v>0</v>
      </c>
      <c r="R180" s="211">
        <v>0</v>
      </c>
      <c r="S180" s="211">
        <v>25.009</v>
      </c>
      <c r="T180" s="211">
        <v>0</v>
      </c>
      <c r="U180" s="211">
        <v>0</v>
      </c>
      <c r="V180" s="211">
        <v>0</v>
      </c>
      <c r="W180" s="211">
        <v>7.5789999999999997</v>
      </c>
      <c r="X180" s="211">
        <v>0</v>
      </c>
      <c r="Y180" s="211">
        <v>0</v>
      </c>
      <c r="Z180" s="211">
        <v>0</v>
      </c>
      <c r="AA180" s="211">
        <v>0</v>
      </c>
      <c r="AB180" s="211">
        <v>0</v>
      </c>
      <c r="AC180" s="211">
        <v>0</v>
      </c>
      <c r="AD180" s="211">
        <v>0</v>
      </c>
      <c r="AE180" s="211">
        <v>0</v>
      </c>
      <c r="AF180" s="211">
        <v>19.451000000000001</v>
      </c>
      <c r="AG180" s="211">
        <v>188.684315</v>
      </c>
    </row>
    <row r="181" spans="1:33" x14ac:dyDescent="0.25">
      <c r="A181" s="121"/>
      <c r="B181" s="210" t="s">
        <v>324</v>
      </c>
      <c r="C181" s="211">
        <v>0</v>
      </c>
      <c r="D181" s="211">
        <v>0</v>
      </c>
      <c r="E181" s="211">
        <v>0</v>
      </c>
      <c r="F181" s="211">
        <v>0</v>
      </c>
      <c r="G181" s="211">
        <v>0</v>
      </c>
      <c r="H181" s="211">
        <v>0</v>
      </c>
      <c r="I181" s="211">
        <v>0</v>
      </c>
      <c r="J181" s="211">
        <v>0</v>
      </c>
      <c r="K181" s="211">
        <v>0</v>
      </c>
      <c r="L181" s="211">
        <v>0</v>
      </c>
      <c r="M181" s="211">
        <v>0</v>
      </c>
      <c r="N181" s="211">
        <v>0</v>
      </c>
      <c r="O181" s="211">
        <v>0</v>
      </c>
      <c r="P181" s="211">
        <v>0</v>
      </c>
      <c r="Q181" s="211">
        <v>0</v>
      </c>
      <c r="R181" s="211">
        <v>0</v>
      </c>
      <c r="S181" s="211">
        <v>0</v>
      </c>
      <c r="T181" s="211">
        <v>0</v>
      </c>
      <c r="U181" s="211">
        <v>0</v>
      </c>
      <c r="V181" s="211">
        <v>0</v>
      </c>
      <c r="W181" s="211">
        <v>0</v>
      </c>
      <c r="X181" s="211">
        <v>0</v>
      </c>
      <c r="Y181" s="211">
        <v>0</v>
      </c>
      <c r="Z181" s="211">
        <v>0</v>
      </c>
      <c r="AA181" s="211">
        <v>0</v>
      </c>
      <c r="AB181" s="211">
        <v>0</v>
      </c>
      <c r="AC181" s="211">
        <v>0</v>
      </c>
      <c r="AD181" s="211">
        <v>0</v>
      </c>
      <c r="AE181" s="211">
        <v>0</v>
      </c>
      <c r="AF181" s="211">
        <v>0</v>
      </c>
      <c r="AG181" s="211">
        <v>0</v>
      </c>
    </row>
    <row r="182" spans="1:33" x14ac:dyDescent="0.25">
      <c r="A182" s="121"/>
      <c r="B182" s="210" t="s">
        <v>329</v>
      </c>
      <c r="C182" s="211">
        <v>0</v>
      </c>
      <c r="D182" s="211">
        <v>0</v>
      </c>
      <c r="E182" s="211">
        <v>0</v>
      </c>
      <c r="F182" s="211">
        <v>0</v>
      </c>
      <c r="G182" s="211">
        <v>0</v>
      </c>
      <c r="H182" s="211">
        <v>0</v>
      </c>
      <c r="I182" s="211">
        <v>0</v>
      </c>
      <c r="J182" s="211">
        <v>0</v>
      </c>
      <c r="K182" s="211">
        <v>0</v>
      </c>
      <c r="L182" s="211">
        <v>0</v>
      </c>
      <c r="M182" s="211">
        <v>0</v>
      </c>
      <c r="N182" s="211">
        <v>0</v>
      </c>
      <c r="O182" s="211">
        <v>0</v>
      </c>
      <c r="P182" s="211">
        <v>0</v>
      </c>
      <c r="Q182" s="211">
        <v>0</v>
      </c>
      <c r="R182" s="211">
        <v>0</v>
      </c>
      <c r="S182" s="211">
        <v>0</v>
      </c>
      <c r="T182" s="211">
        <v>0</v>
      </c>
      <c r="U182" s="211">
        <v>0</v>
      </c>
      <c r="V182" s="211">
        <v>0</v>
      </c>
      <c r="W182" s="211">
        <v>0</v>
      </c>
      <c r="X182" s="211">
        <v>0</v>
      </c>
      <c r="Y182" s="211">
        <v>0</v>
      </c>
      <c r="Z182" s="211">
        <v>0</v>
      </c>
      <c r="AA182" s="211">
        <v>0</v>
      </c>
      <c r="AB182" s="211">
        <v>0</v>
      </c>
      <c r="AC182" s="211">
        <v>0</v>
      </c>
      <c r="AD182" s="211">
        <v>0</v>
      </c>
      <c r="AE182" s="211">
        <v>0</v>
      </c>
      <c r="AF182" s="211">
        <v>0</v>
      </c>
      <c r="AG182" s="211">
        <v>0</v>
      </c>
    </row>
    <row r="183" spans="1:33" x14ac:dyDescent="0.25">
      <c r="A183" s="121"/>
      <c r="B183" s="210" t="s">
        <v>330</v>
      </c>
      <c r="C183" s="211">
        <v>0</v>
      </c>
      <c r="D183" s="211">
        <v>0</v>
      </c>
      <c r="E183" s="211">
        <v>0</v>
      </c>
      <c r="F183" s="211">
        <v>0</v>
      </c>
      <c r="G183" s="211">
        <v>0</v>
      </c>
      <c r="H183" s="211">
        <v>0</v>
      </c>
      <c r="I183" s="211">
        <v>0</v>
      </c>
      <c r="J183" s="211">
        <v>0</v>
      </c>
      <c r="K183" s="211">
        <v>0</v>
      </c>
      <c r="L183" s="211">
        <v>0</v>
      </c>
      <c r="M183" s="211">
        <v>0</v>
      </c>
      <c r="N183" s="211">
        <v>0</v>
      </c>
      <c r="O183" s="211">
        <v>0</v>
      </c>
      <c r="P183" s="211">
        <v>0</v>
      </c>
      <c r="Q183" s="211">
        <v>0</v>
      </c>
      <c r="R183" s="211">
        <v>0</v>
      </c>
      <c r="S183" s="211">
        <v>0</v>
      </c>
      <c r="T183" s="211">
        <v>0</v>
      </c>
      <c r="U183" s="211">
        <v>0</v>
      </c>
      <c r="V183" s="211">
        <v>0</v>
      </c>
      <c r="W183" s="211">
        <v>0</v>
      </c>
      <c r="X183" s="211">
        <v>0</v>
      </c>
      <c r="Y183" s="211">
        <v>0</v>
      </c>
      <c r="Z183" s="211">
        <v>0</v>
      </c>
      <c r="AA183" s="211">
        <v>0</v>
      </c>
      <c r="AB183" s="211">
        <v>0</v>
      </c>
      <c r="AC183" s="211">
        <v>0</v>
      </c>
      <c r="AD183" s="211">
        <v>0</v>
      </c>
      <c r="AE183" s="211">
        <v>0</v>
      </c>
      <c r="AF183" s="211">
        <v>0</v>
      </c>
      <c r="AG183" s="211">
        <v>0</v>
      </c>
    </row>
    <row r="184" spans="1:33" x14ac:dyDescent="0.25">
      <c r="A184" s="121"/>
      <c r="B184" s="210" t="s">
        <v>331</v>
      </c>
      <c r="C184" s="211">
        <v>0</v>
      </c>
      <c r="D184" s="211">
        <v>0</v>
      </c>
      <c r="E184" s="211">
        <v>0</v>
      </c>
      <c r="F184" s="211">
        <v>0</v>
      </c>
      <c r="G184" s="211">
        <v>0</v>
      </c>
      <c r="H184" s="211">
        <v>0</v>
      </c>
      <c r="I184" s="211">
        <v>0</v>
      </c>
      <c r="J184" s="211">
        <v>0</v>
      </c>
      <c r="K184" s="211">
        <v>0</v>
      </c>
      <c r="L184" s="211">
        <v>0</v>
      </c>
      <c r="M184" s="211">
        <v>0</v>
      </c>
      <c r="N184" s="211">
        <v>0</v>
      </c>
      <c r="O184" s="211">
        <v>0</v>
      </c>
      <c r="P184" s="211">
        <v>0</v>
      </c>
      <c r="Q184" s="211">
        <v>0</v>
      </c>
      <c r="R184" s="211">
        <v>0</v>
      </c>
      <c r="S184" s="211">
        <v>0</v>
      </c>
      <c r="T184" s="211">
        <v>0</v>
      </c>
      <c r="U184" s="211">
        <v>0</v>
      </c>
      <c r="V184" s="211">
        <v>0</v>
      </c>
      <c r="W184" s="211">
        <v>0</v>
      </c>
      <c r="X184" s="211">
        <v>0</v>
      </c>
      <c r="Y184" s="211">
        <v>0</v>
      </c>
      <c r="Z184" s="211">
        <v>0</v>
      </c>
      <c r="AA184" s="211">
        <v>0</v>
      </c>
      <c r="AB184" s="211">
        <v>0</v>
      </c>
      <c r="AC184" s="211">
        <v>0</v>
      </c>
      <c r="AD184" s="211">
        <v>0</v>
      </c>
      <c r="AE184" s="211">
        <v>0</v>
      </c>
      <c r="AF184" s="211">
        <v>0</v>
      </c>
      <c r="AG184" s="211">
        <v>0</v>
      </c>
    </row>
    <row r="185" spans="1:33" x14ac:dyDescent="0.25">
      <c r="A185" s="207" t="s">
        <v>332</v>
      </c>
      <c r="B185" s="208"/>
      <c r="C185" s="209"/>
      <c r="D185" s="209"/>
      <c r="E185" s="209"/>
      <c r="F185" s="209"/>
      <c r="G185" s="209"/>
      <c r="H185" s="209"/>
      <c r="I185" s="209"/>
      <c r="J185" s="209"/>
      <c r="K185" s="209"/>
      <c r="L185" s="209"/>
      <c r="M185" s="209"/>
      <c r="N185" s="209"/>
      <c r="O185" s="209"/>
      <c r="P185" s="209"/>
      <c r="Q185" s="209"/>
      <c r="R185" s="209"/>
      <c r="S185" s="209"/>
      <c r="T185" s="209"/>
      <c r="U185" s="209"/>
      <c r="V185" s="209"/>
      <c r="W185" s="209"/>
      <c r="X185" s="209"/>
      <c r="Y185" s="209"/>
      <c r="Z185" s="209"/>
      <c r="AA185" s="209"/>
      <c r="AB185" s="209"/>
      <c r="AC185" s="209"/>
      <c r="AD185" s="209"/>
      <c r="AE185" s="209"/>
      <c r="AF185" s="209"/>
      <c r="AG185" s="209"/>
    </row>
    <row r="186" spans="1:33" x14ac:dyDescent="0.25">
      <c r="A186" s="121"/>
      <c r="B186" s="210" t="s">
        <v>333</v>
      </c>
      <c r="C186" s="211">
        <v>0</v>
      </c>
      <c r="D186" s="211">
        <v>0</v>
      </c>
      <c r="E186" s="211">
        <v>0</v>
      </c>
      <c r="F186" s="211">
        <v>37.591999999999999</v>
      </c>
      <c r="G186" s="211">
        <v>0</v>
      </c>
      <c r="H186" s="211">
        <v>0</v>
      </c>
      <c r="I186" s="211">
        <v>0</v>
      </c>
      <c r="J186" s="211">
        <v>4.6630000000000003</v>
      </c>
      <c r="K186" s="211">
        <v>0</v>
      </c>
      <c r="L186" s="211">
        <v>0</v>
      </c>
      <c r="M186" s="211">
        <v>96.972999999999999</v>
      </c>
      <c r="N186" s="211">
        <v>0</v>
      </c>
      <c r="O186" s="211">
        <v>0</v>
      </c>
      <c r="P186" s="211">
        <v>10.898</v>
      </c>
      <c r="Q186" s="211">
        <v>0</v>
      </c>
      <c r="R186" s="211">
        <v>0</v>
      </c>
      <c r="S186" s="211">
        <v>0</v>
      </c>
      <c r="T186" s="211">
        <v>0</v>
      </c>
      <c r="U186" s="211">
        <v>0</v>
      </c>
      <c r="V186" s="211">
        <v>0</v>
      </c>
      <c r="W186" s="211">
        <v>3.3780000000000001</v>
      </c>
      <c r="X186" s="211">
        <v>0</v>
      </c>
      <c r="Y186" s="211">
        <v>0</v>
      </c>
      <c r="Z186" s="211">
        <v>0</v>
      </c>
      <c r="AA186" s="211">
        <v>0</v>
      </c>
      <c r="AB186" s="211">
        <v>0</v>
      </c>
      <c r="AC186" s="211">
        <v>0</v>
      </c>
      <c r="AD186" s="211">
        <v>0</v>
      </c>
      <c r="AE186" s="211">
        <v>0</v>
      </c>
      <c r="AF186" s="211">
        <v>0</v>
      </c>
      <c r="AG186" s="211">
        <v>153.50400000000002</v>
      </c>
    </row>
    <row r="187" spans="1:33" x14ac:dyDescent="0.25">
      <c r="A187" s="121"/>
      <c r="B187" s="210" t="s">
        <v>334</v>
      </c>
      <c r="C187" s="211">
        <v>0</v>
      </c>
      <c r="D187" s="211">
        <v>0</v>
      </c>
      <c r="E187" s="211">
        <v>0</v>
      </c>
      <c r="F187" s="211">
        <v>0</v>
      </c>
      <c r="G187" s="211">
        <v>0</v>
      </c>
      <c r="H187" s="211">
        <v>0</v>
      </c>
      <c r="I187" s="211">
        <v>0</v>
      </c>
      <c r="J187" s="211">
        <v>8.5000000000000006E-2</v>
      </c>
      <c r="K187" s="211">
        <v>0</v>
      </c>
      <c r="L187" s="211">
        <v>0</v>
      </c>
      <c r="M187" s="211">
        <v>0</v>
      </c>
      <c r="N187" s="211">
        <v>0</v>
      </c>
      <c r="O187" s="211">
        <v>0</v>
      </c>
      <c r="P187" s="211">
        <v>0</v>
      </c>
      <c r="Q187" s="211">
        <v>3.0110000000000001</v>
      </c>
      <c r="R187" s="211">
        <v>0</v>
      </c>
      <c r="S187" s="211">
        <v>0</v>
      </c>
      <c r="T187" s="211">
        <v>0</v>
      </c>
      <c r="U187" s="211">
        <v>0</v>
      </c>
      <c r="V187" s="211">
        <v>0</v>
      </c>
      <c r="W187" s="211">
        <v>7.5689999999999993E-2</v>
      </c>
      <c r="X187" s="211">
        <v>0</v>
      </c>
      <c r="Y187" s="211">
        <v>0.17</v>
      </c>
      <c r="Z187" s="211">
        <v>0</v>
      </c>
      <c r="AA187" s="211">
        <v>0</v>
      </c>
      <c r="AB187" s="211">
        <v>0</v>
      </c>
      <c r="AC187" s="211">
        <v>0</v>
      </c>
      <c r="AD187" s="211">
        <v>0</v>
      </c>
      <c r="AE187" s="211">
        <v>0</v>
      </c>
      <c r="AF187" s="211">
        <v>0</v>
      </c>
      <c r="AG187" s="211">
        <v>3.3416899999999998</v>
      </c>
    </row>
    <row r="188" spans="1:33" x14ac:dyDescent="0.25">
      <c r="A188" s="207" t="s">
        <v>335</v>
      </c>
      <c r="B188" s="208"/>
      <c r="C188" s="209"/>
      <c r="D188" s="209"/>
      <c r="E188" s="209"/>
      <c r="F188" s="209"/>
      <c r="G188" s="209"/>
      <c r="H188" s="209"/>
      <c r="I188" s="209"/>
      <c r="J188" s="209"/>
      <c r="K188" s="209"/>
      <c r="L188" s="209"/>
      <c r="M188" s="209"/>
      <c r="N188" s="209"/>
      <c r="O188" s="209"/>
      <c r="P188" s="209"/>
      <c r="Q188" s="209"/>
      <c r="R188" s="209"/>
      <c r="S188" s="209"/>
      <c r="T188" s="209"/>
      <c r="U188" s="209"/>
      <c r="V188" s="209"/>
      <c r="W188" s="209"/>
      <c r="X188" s="209"/>
      <c r="Y188" s="209"/>
      <c r="Z188" s="209"/>
      <c r="AA188" s="209"/>
      <c r="AB188" s="209"/>
      <c r="AC188" s="209"/>
      <c r="AD188" s="209"/>
      <c r="AE188" s="209"/>
      <c r="AF188" s="209"/>
      <c r="AG188" s="209"/>
    </row>
    <row r="189" spans="1:33" x14ac:dyDescent="0.25">
      <c r="A189" s="121"/>
      <c r="B189" s="210" t="s">
        <v>336</v>
      </c>
      <c r="C189" s="211">
        <v>0</v>
      </c>
      <c r="D189" s="211">
        <v>0</v>
      </c>
      <c r="E189" s="211">
        <v>0</v>
      </c>
      <c r="F189" s="211">
        <v>0</v>
      </c>
      <c r="G189" s="211">
        <v>1.3</v>
      </c>
      <c r="H189" s="211">
        <v>0</v>
      </c>
      <c r="I189" s="211">
        <v>0</v>
      </c>
      <c r="J189" s="211">
        <v>0</v>
      </c>
      <c r="K189" s="211">
        <v>0</v>
      </c>
      <c r="L189" s="211">
        <v>0</v>
      </c>
      <c r="M189" s="211">
        <v>4.4000000000000004</v>
      </c>
      <c r="N189" s="211">
        <v>0</v>
      </c>
      <c r="O189" s="211">
        <v>0</v>
      </c>
      <c r="P189" s="211">
        <v>0</v>
      </c>
      <c r="Q189" s="211">
        <v>0</v>
      </c>
      <c r="R189" s="211">
        <v>0</v>
      </c>
      <c r="S189" s="211">
        <v>27.4</v>
      </c>
      <c r="T189" s="211">
        <v>0</v>
      </c>
      <c r="U189" s="211">
        <v>0</v>
      </c>
      <c r="V189" s="211">
        <v>0</v>
      </c>
      <c r="W189" s="211">
        <v>0.27</v>
      </c>
      <c r="X189" s="211">
        <v>0</v>
      </c>
      <c r="Y189" s="211">
        <v>0</v>
      </c>
      <c r="Z189" s="211">
        <v>0</v>
      </c>
      <c r="AA189" s="211">
        <v>0</v>
      </c>
      <c r="AB189" s="211">
        <v>0</v>
      </c>
      <c r="AC189" s="211">
        <v>0</v>
      </c>
      <c r="AD189" s="211">
        <v>0</v>
      </c>
      <c r="AE189" s="211">
        <v>0</v>
      </c>
      <c r="AF189" s="211">
        <v>0</v>
      </c>
      <c r="AG189" s="211">
        <v>33.370000000000005</v>
      </c>
    </row>
    <row r="190" spans="1:33" x14ac:dyDescent="0.25">
      <c r="A190" s="207" t="s">
        <v>337</v>
      </c>
      <c r="B190" s="208"/>
      <c r="C190" s="209"/>
      <c r="D190" s="209"/>
      <c r="E190" s="209"/>
      <c r="F190" s="209"/>
      <c r="G190" s="209"/>
      <c r="H190" s="209"/>
      <c r="I190" s="209"/>
      <c r="J190" s="209"/>
      <c r="K190" s="209"/>
      <c r="L190" s="209"/>
      <c r="M190" s="209"/>
      <c r="N190" s="209"/>
      <c r="O190" s="209"/>
      <c r="P190" s="209"/>
      <c r="Q190" s="209"/>
      <c r="R190" s="209"/>
      <c r="S190" s="209"/>
      <c r="T190" s="209"/>
      <c r="U190" s="209"/>
      <c r="V190" s="209"/>
      <c r="W190" s="209"/>
      <c r="X190" s="209"/>
      <c r="Y190" s="209"/>
      <c r="Z190" s="209"/>
      <c r="AA190" s="209"/>
      <c r="AB190" s="209"/>
      <c r="AC190" s="209"/>
      <c r="AD190" s="209"/>
      <c r="AE190" s="209"/>
      <c r="AF190" s="209"/>
      <c r="AG190" s="209"/>
    </row>
    <row r="191" spans="1:33" x14ac:dyDescent="0.25">
      <c r="A191" s="121"/>
      <c r="B191" s="210" t="s">
        <v>338</v>
      </c>
      <c r="C191" s="211">
        <v>0</v>
      </c>
      <c r="D191" s="211">
        <v>0</v>
      </c>
      <c r="E191" s="211">
        <v>0</v>
      </c>
      <c r="F191" s="211">
        <v>1.62</v>
      </c>
      <c r="G191" s="211">
        <v>0</v>
      </c>
      <c r="H191" s="211">
        <v>0</v>
      </c>
      <c r="I191" s="211">
        <v>0</v>
      </c>
      <c r="J191" s="211">
        <v>0.50900000000000001</v>
      </c>
      <c r="K191" s="211">
        <v>0</v>
      </c>
      <c r="L191" s="211">
        <v>0</v>
      </c>
      <c r="M191" s="211">
        <v>4.59</v>
      </c>
      <c r="N191" s="211">
        <v>0</v>
      </c>
      <c r="O191" s="211">
        <v>0</v>
      </c>
      <c r="P191" s="211">
        <v>2.6960000000000002</v>
      </c>
      <c r="Q191" s="211">
        <v>0</v>
      </c>
      <c r="R191" s="211">
        <v>0</v>
      </c>
      <c r="S191" s="211">
        <v>5.3</v>
      </c>
      <c r="T191" s="211">
        <v>0</v>
      </c>
      <c r="U191" s="211">
        <v>0</v>
      </c>
      <c r="V191" s="211">
        <v>0</v>
      </c>
      <c r="W191" s="211">
        <v>0.216</v>
      </c>
      <c r="X191" s="211">
        <v>0</v>
      </c>
      <c r="Y191" s="211">
        <v>0</v>
      </c>
      <c r="Z191" s="211">
        <v>0</v>
      </c>
      <c r="AA191" s="211">
        <v>0</v>
      </c>
      <c r="AB191" s="211">
        <v>0</v>
      </c>
      <c r="AC191" s="211">
        <v>0</v>
      </c>
      <c r="AD191" s="211">
        <v>0</v>
      </c>
      <c r="AE191" s="211">
        <v>0</v>
      </c>
      <c r="AF191" s="211">
        <v>4.5999999999999996</v>
      </c>
      <c r="AG191" s="211">
        <v>19.530999999999999</v>
      </c>
    </row>
    <row r="192" spans="1:33" x14ac:dyDescent="0.25">
      <c r="A192" s="121"/>
      <c r="B192" s="210" t="s">
        <v>339</v>
      </c>
      <c r="C192" s="211">
        <v>0</v>
      </c>
      <c r="D192" s="211">
        <v>0</v>
      </c>
      <c r="E192" s="211">
        <v>0</v>
      </c>
      <c r="F192" s="211">
        <v>8.7899999999999991</v>
      </c>
      <c r="G192" s="211">
        <v>0</v>
      </c>
      <c r="H192" s="211">
        <v>0</v>
      </c>
      <c r="I192" s="211">
        <v>0</v>
      </c>
      <c r="J192" s="211">
        <v>0.57799999999999996</v>
      </c>
      <c r="K192" s="211">
        <v>0</v>
      </c>
      <c r="L192" s="211">
        <v>0</v>
      </c>
      <c r="M192" s="211">
        <v>14.26</v>
      </c>
      <c r="N192" s="211">
        <v>8.6999999999999993</v>
      </c>
      <c r="O192" s="211">
        <v>0</v>
      </c>
      <c r="P192" s="211">
        <v>6.6</v>
      </c>
      <c r="Q192" s="211">
        <v>9.9000000000000005E-2</v>
      </c>
      <c r="R192" s="211">
        <v>0</v>
      </c>
      <c r="S192" s="211">
        <v>21.72</v>
      </c>
      <c r="T192" s="211">
        <v>0</v>
      </c>
      <c r="U192" s="211">
        <v>0</v>
      </c>
      <c r="V192" s="211">
        <v>0</v>
      </c>
      <c r="W192" s="211">
        <v>0.96299999999999997</v>
      </c>
      <c r="X192" s="211">
        <v>0</v>
      </c>
      <c r="Y192" s="211">
        <v>0</v>
      </c>
      <c r="Z192" s="211">
        <v>0</v>
      </c>
      <c r="AA192" s="211">
        <v>0</v>
      </c>
      <c r="AB192" s="211">
        <v>0</v>
      </c>
      <c r="AC192" s="211">
        <v>0</v>
      </c>
      <c r="AD192" s="211">
        <v>0</v>
      </c>
      <c r="AE192" s="211">
        <v>0</v>
      </c>
      <c r="AF192" s="211">
        <v>7.03</v>
      </c>
      <c r="AG192" s="211">
        <v>68.739999999999995</v>
      </c>
    </row>
    <row r="193" spans="1:33" x14ac:dyDescent="0.25">
      <c r="A193" s="121"/>
      <c r="B193" s="210" t="s">
        <v>340</v>
      </c>
      <c r="C193" s="211">
        <v>0</v>
      </c>
      <c r="D193" s="211">
        <v>0</v>
      </c>
      <c r="E193" s="211">
        <v>0</v>
      </c>
      <c r="F193" s="211">
        <v>0</v>
      </c>
      <c r="G193" s="211">
        <v>0</v>
      </c>
      <c r="H193" s="211">
        <v>0</v>
      </c>
      <c r="I193" s="211">
        <v>0</v>
      </c>
      <c r="J193" s="211">
        <v>4.1000000000000002E-2</v>
      </c>
      <c r="K193" s="211">
        <v>0</v>
      </c>
      <c r="L193" s="211">
        <v>0</v>
      </c>
      <c r="M193" s="211">
        <v>0</v>
      </c>
      <c r="N193" s="211">
        <v>0</v>
      </c>
      <c r="O193" s="211">
        <v>0</v>
      </c>
      <c r="P193" s="211">
        <v>0</v>
      </c>
      <c r="Q193" s="211">
        <v>0</v>
      </c>
      <c r="R193" s="211">
        <v>0</v>
      </c>
      <c r="S193" s="211">
        <v>0</v>
      </c>
      <c r="T193" s="211">
        <v>0</v>
      </c>
      <c r="U193" s="211">
        <v>0</v>
      </c>
      <c r="V193" s="211">
        <v>0</v>
      </c>
      <c r="W193" s="211">
        <v>7.62E-3</v>
      </c>
      <c r="X193" s="211">
        <v>0</v>
      </c>
      <c r="Y193" s="211">
        <v>0.222</v>
      </c>
      <c r="Z193" s="211">
        <v>0</v>
      </c>
      <c r="AA193" s="211">
        <v>0</v>
      </c>
      <c r="AB193" s="211">
        <v>0</v>
      </c>
      <c r="AC193" s="211">
        <v>0</v>
      </c>
      <c r="AD193" s="211">
        <v>0</v>
      </c>
      <c r="AE193" s="211">
        <v>0</v>
      </c>
      <c r="AF193" s="211">
        <v>0</v>
      </c>
      <c r="AG193" s="211">
        <v>0.27062000000000003</v>
      </c>
    </row>
    <row r="194" spans="1:33" x14ac:dyDescent="0.25">
      <c r="A194" s="207" t="s">
        <v>341</v>
      </c>
      <c r="B194" s="208"/>
      <c r="C194" s="209"/>
      <c r="D194" s="209"/>
      <c r="E194" s="209"/>
      <c r="F194" s="209"/>
      <c r="G194" s="209"/>
      <c r="H194" s="209"/>
      <c r="I194" s="209"/>
      <c r="J194" s="209"/>
      <c r="K194" s="209"/>
      <c r="L194" s="209"/>
      <c r="M194" s="209"/>
      <c r="N194" s="209"/>
      <c r="O194" s="209"/>
      <c r="P194" s="209"/>
      <c r="Q194" s="209"/>
      <c r="R194" s="209"/>
      <c r="S194" s="209"/>
      <c r="T194" s="209"/>
      <c r="U194" s="209"/>
      <c r="V194" s="209"/>
      <c r="W194" s="209"/>
      <c r="X194" s="209"/>
      <c r="Y194" s="209"/>
      <c r="Z194" s="209"/>
      <c r="AA194" s="209"/>
      <c r="AB194" s="209"/>
      <c r="AC194" s="209"/>
      <c r="AD194" s="209"/>
      <c r="AE194" s="209"/>
      <c r="AF194" s="209"/>
      <c r="AG194" s="209"/>
    </row>
    <row r="195" spans="1:33" x14ac:dyDescent="0.25">
      <c r="A195" s="121"/>
      <c r="B195" s="210" t="s">
        <v>342</v>
      </c>
      <c r="C195" s="211">
        <v>0</v>
      </c>
      <c r="D195" s="211">
        <v>409.32900000000001</v>
      </c>
      <c r="E195" s="211">
        <v>0</v>
      </c>
      <c r="F195" s="211">
        <v>0</v>
      </c>
      <c r="G195" s="211">
        <v>0.41199999999999998</v>
      </c>
      <c r="H195" s="211">
        <v>33.4</v>
      </c>
      <c r="I195" s="211">
        <v>0</v>
      </c>
      <c r="J195" s="211">
        <v>1</v>
      </c>
      <c r="K195" s="211">
        <v>0</v>
      </c>
      <c r="L195" s="211">
        <v>0</v>
      </c>
      <c r="M195" s="211">
        <v>152.58600000000001</v>
      </c>
      <c r="N195" s="211">
        <v>0</v>
      </c>
      <c r="O195" s="211">
        <v>0</v>
      </c>
      <c r="P195" s="211">
        <v>104.6</v>
      </c>
      <c r="Q195" s="211">
        <v>13.6</v>
      </c>
      <c r="R195" s="211">
        <v>0</v>
      </c>
      <c r="S195" s="211">
        <v>0</v>
      </c>
      <c r="T195" s="211">
        <v>0</v>
      </c>
      <c r="U195" s="211">
        <v>0</v>
      </c>
      <c r="V195" s="211">
        <v>0</v>
      </c>
      <c r="W195" s="211">
        <v>22.542200000000001</v>
      </c>
      <c r="X195" s="211">
        <v>0</v>
      </c>
      <c r="Y195" s="211">
        <v>0</v>
      </c>
      <c r="Z195" s="211">
        <v>0</v>
      </c>
      <c r="AA195" s="211">
        <v>0</v>
      </c>
      <c r="AB195" s="211">
        <v>0</v>
      </c>
      <c r="AC195" s="211">
        <v>0</v>
      </c>
      <c r="AD195" s="211">
        <v>0</v>
      </c>
      <c r="AE195" s="211">
        <v>0</v>
      </c>
      <c r="AF195" s="211">
        <v>0</v>
      </c>
      <c r="AG195" s="211">
        <v>737.4692</v>
      </c>
    </row>
    <row r="196" spans="1:33" x14ac:dyDescent="0.25">
      <c r="A196" s="207" t="s">
        <v>343</v>
      </c>
      <c r="B196" s="208"/>
      <c r="C196" s="209"/>
      <c r="D196" s="209"/>
      <c r="E196" s="209"/>
      <c r="F196" s="209"/>
      <c r="G196" s="209"/>
      <c r="H196" s="209"/>
      <c r="I196" s="209"/>
      <c r="J196" s="209"/>
      <c r="K196" s="209"/>
      <c r="L196" s="209"/>
      <c r="M196" s="209"/>
      <c r="N196" s="209"/>
      <c r="O196" s="209"/>
      <c r="P196" s="209"/>
      <c r="Q196" s="209"/>
      <c r="R196" s="209"/>
      <c r="S196" s="209"/>
      <c r="T196" s="209"/>
      <c r="U196" s="209"/>
      <c r="V196" s="209"/>
      <c r="W196" s="209"/>
      <c r="X196" s="209"/>
      <c r="Y196" s="209"/>
      <c r="Z196" s="209"/>
      <c r="AA196" s="209"/>
      <c r="AB196" s="209"/>
      <c r="AC196" s="209"/>
      <c r="AD196" s="209"/>
      <c r="AE196" s="209"/>
      <c r="AF196" s="209"/>
      <c r="AG196" s="209"/>
    </row>
    <row r="197" spans="1:33" x14ac:dyDescent="0.25">
      <c r="A197" s="121"/>
      <c r="B197" s="210" t="s">
        <v>344</v>
      </c>
      <c r="C197" s="211">
        <v>0</v>
      </c>
      <c r="D197" s="211">
        <v>0</v>
      </c>
      <c r="E197" s="211">
        <v>0</v>
      </c>
      <c r="F197" s="211">
        <v>0</v>
      </c>
      <c r="G197" s="211">
        <v>0</v>
      </c>
      <c r="H197" s="211">
        <v>0</v>
      </c>
      <c r="I197" s="211">
        <v>0</v>
      </c>
      <c r="J197" s="211">
        <v>0.14000000000000001</v>
      </c>
      <c r="K197" s="211">
        <v>0</v>
      </c>
      <c r="L197" s="211">
        <v>0</v>
      </c>
      <c r="M197" s="211">
        <v>0</v>
      </c>
      <c r="N197" s="211">
        <v>0</v>
      </c>
      <c r="O197" s="211">
        <v>0</v>
      </c>
      <c r="P197" s="211">
        <v>0</v>
      </c>
      <c r="Q197" s="211">
        <v>0</v>
      </c>
      <c r="R197" s="211">
        <v>0</v>
      </c>
      <c r="S197" s="211">
        <v>0</v>
      </c>
      <c r="T197" s="211">
        <v>0</v>
      </c>
      <c r="U197" s="211">
        <v>0</v>
      </c>
      <c r="V197" s="211">
        <v>0</v>
      </c>
      <c r="W197" s="211">
        <v>0.38</v>
      </c>
      <c r="X197" s="211">
        <v>0</v>
      </c>
      <c r="Y197" s="211">
        <v>3.7</v>
      </c>
      <c r="Z197" s="211">
        <v>0</v>
      </c>
      <c r="AA197" s="211">
        <v>0</v>
      </c>
      <c r="AB197" s="211">
        <v>0</v>
      </c>
      <c r="AC197" s="211">
        <v>0</v>
      </c>
      <c r="AD197" s="211">
        <v>0</v>
      </c>
      <c r="AE197" s="211">
        <v>0</v>
      </c>
      <c r="AF197" s="211">
        <v>0</v>
      </c>
      <c r="AG197" s="211">
        <v>4.2200000000000006</v>
      </c>
    </row>
    <row r="198" spans="1:33" x14ac:dyDescent="0.25">
      <c r="A198" s="207" t="s">
        <v>345</v>
      </c>
      <c r="B198" s="208"/>
      <c r="C198" s="209"/>
      <c r="D198" s="209"/>
      <c r="E198" s="209"/>
      <c r="F198" s="209"/>
      <c r="G198" s="209"/>
      <c r="H198" s="209"/>
      <c r="I198" s="209"/>
      <c r="J198" s="209"/>
      <c r="K198" s="209"/>
      <c r="L198" s="209"/>
      <c r="M198" s="209"/>
      <c r="N198" s="209"/>
      <c r="O198" s="209"/>
      <c r="P198" s="209"/>
      <c r="Q198" s="209"/>
      <c r="R198" s="209"/>
      <c r="S198" s="209"/>
      <c r="T198" s="209"/>
      <c r="U198" s="209"/>
      <c r="V198" s="209"/>
      <c r="W198" s="209"/>
      <c r="X198" s="209"/>
      <c r="Y198" s="209"/>
      <c r="Z198" s="209"/>
      <c r="AA198" s="209"/>
      <c r="AB198" s="209"/>
      <c r="AC198" s="209"/>
      <c r="AD198" s="209"/>
      <c r="AE198" s="209"/>
      <c r="AF198" s="209"/>
      <c r="AG198" s="209"/>
    </row>
    <row r="199" spans="1:33" x14ac:dyDescent="0.25">
      <c r="A199" s="121"/>
      <c r="B199" s="210" t="s">
        <v>346</v>
      </c>
      <c r="C199" s="211">
        <v>0</v>
      </c>
      <c r="D199" s="211">
        <v>0</v>
      </c>
      <c r="E199" s="211">
        <v>0</v>
      </c>
      <c r="F199" s="211">
        <v>0</v>
      </c>
      <c r="G199" s="211">
        <v>2.4039999999999999</v>
      </c>
      <c r="H199" s="211">
        <v>0</v>
      </c>
      <c r="I199" s="211">
        <v>0</v>
      </c>
      <c r="J199" s="211">
        <v>0</v>
      </c>
      <c r="K199" s="211">
        <v>0</v>
      </c>
      <c r="L199" s="211">
        <v>0</v>
      </c>
      <c r="M199" s="211">
        <v>0</v>
      </c>
      <c r="N199" s="211">
        <v>0</v>
      </c>
      <c r="O199" s="211">
        <v>0</v>
      </c>
      <c r="P199" s="211">
        <v>0</v>
      </c>
      <c r="Q199" s="211">
        <v>0</v>
      </c>
      <c r="R199" s="211">
        <v>0</v>
      </c>
      <c r="S199" s="211">
        <v>6.3559999999999999</v>
      </c>
      <c r="T199" s="211">
        <v>0</v>
      </c>
      <c r="U199" s="211">
        <v>0</v>
      </c>
      <c r="V199" s="211">
        <v>0</v>
      </c>
      <c r="W199" s="211">
        <v>0.09</v>
      </c>
      <c r="X199" s="211">
        <v>0</v>
      </c>
      <c r="Y199" s="211">
        <v>3.4489999999999998</v>
      </c>
      <c r="Z199" s="211">
        <v>0</v>
      </c>
      <c r="AA199" s="211">
        <v>0</v>
      </c>
      <c r="AB199" s="211">
        <v>0</v>
      </c>
      <c r="AC199" s="211">
        <v>1.11111</v>
      </c>
      <c r="AD199" s="211">
        <v>0</v>
      </c>
      <c r="AE199" s="211">
        <v>0</v>
      </c>
      <c r="AF199" s="211">
        <v>0</v>
      </c>
      <c r="AG199" s="211">
        <v>13.41011</v>
      </c>
    </row>
    <row r="200" spans="1:33" x14ac:dyDescent="0.25">
      <c r="A200" s="121"/>
      <c r="B200" s="210" t="s">
        <v>347</v>
      </c>
      <c r="C200" s="211">
        <v>0</v>
      </c>
      <c r="D200" s="211">
        <v>0</v>
      </c>
      <c r="E200" s="211">
        <v>0</v>
      </c>
      <c r="F200" s="211">
        <v>0</v>
      </c>
      <c r="G200" s="211">
        <v>0</v>
      </c>
      <c r="H200" s="211">
        <v>0</v>
      </c>
      <c r="I200" s="211">
        <v>0</v>
      </c>
      <c r="J200" s="211">
        <v>0.84252899999999997</v>
      </c>
      <c r="K200" s="211">
        <v>0</v>
      </c>
      <c r="L200" s="211">
        <v>0</v>
      </c>
      <c r="M200" s="211">
        <v>0</v>
      </c>
      <c r="N200" s="211">
        <v>0</v>
      </c>
      <c r="O200" s="211">
        <v>0</v>
      </c>
      <c r="P200" s="211">
        <v>0</v>
      </c>
      <c r="Q200" s="211">
        <v>0</v>
      </c>
      <c r="R200" s="211">
        <v>0</v>
      </c>
      <c r="S200" s="211">
        <v>0</v>
      </c>
      <c r="T200" s="211">
        <v>0</v>
      </c>
      <c r="U200" s="211">
        <v>0</v>
      </c>
      <c r="V200" s="211">
        <v>63.435400000000001</v>
      </c>
      <c r="W200" s="211">
        <v>0.42399999999999999</v>
      </c>
      <c r="X200" s="211">
        <v>0</v>
      </c>
      <c r="Y200" s="211">
        <v>0</v>
      </c>
      <c r="Z200" s="211">
        <v>0</v>
      </c>
      <c r="AA200" s="211">
        <v>0</v>
      </c>
      <c r="AB200" s="211">
        <v>0</v>
      </c>
      <c r="AC200" s="211">
        <v>0</v>
      </c>
      <c r="AD200" s="211">
        <v>0</v>
      </c>
      <c r="AE200" s="211">
        <v>0</v>
      </c>
      <c r="AF200" s="211">
        <v>0</v>
      </c>
      <c r="AG200" s="211">
        <v>64.701929000000007</v>
      </c>
    </row>
    <row r="201" spans="1:33" x14ac:dyDescent="0.25">
      <c r="A201" s="207" t="s">
        <v>348</v>
      </c>
      <c r="B201" s="208"/>
      <c r="C201" s="209"/>
      <c r="D201" s="209"/>
      <c r="E201" s="209"/>
      <c r="F201" s="209"/>
      <c r="G201" s="209"/>
      <c r="H201" s="209"/>
      <c r="I201" s="209"/>
      <c r="J201" s="209"/>
      <c r="K201" s="209"/>
      <c r="L201" s="209"/>
      <c r="M201" s="209"/>
      <c r="N201" s="209"/>
      <c r="O201" s="209"/>
      <c r="P201" s="209"/>
      <c r="Q201" s="209"/>
      <c r="R201" s="209"/>
      <c r="S201" s="209"/>
      <c r="T201" s="209"/>
      <c r="U201" s="209"/>
      <c r="V201" s="209"/>
      <c r="W201" s="209"/>
      <c r="X201" s="209"/>
      <c r="Y201" s="209"/>
      <c r="Z201" s="209"/>
      <c r="AA201" s="209"/>
      <c r="AB201" s="209"/>
      <c r="AC201" s="209"/>
      <c r="AD201" s="209"/>
      <c r="AE201" s="209"/>
      <c r="AF201" s="209"/>
      <c r="AG201" s="209"/>
    </row>
    <row r="202" spans="1:33" x14ac:dyDescent="0.25">
      <c r="A202" s="121"/>
      <c r="B202" s="210" t="s">
        <v>349</v>
      </c>
      <c r="C202" s="211">
        <v>0</v>
      </c>
      <c r="D202" s="211">
        <v>0</v>
      </c>
      <c r="E202" s="211">
        <v>0</v>
      </c>
      <c r="F202" s="211">
        <v>11.8001</v>
      </c>
      <c r="G202" s="211">
        <v>0</v>
      </c>
      <c r="H202" s="211">
        <v>0</v>
      </c>
      <c r="I202" s="211">
        <v>0</v>
      </c>
      <c r="J202" s="211">
        <v>1.7</v>
      </c>
      <c r="K202" s="211">
        <v>0</v>
      </c>
      <c r="L202" s="211">
        <v>0</v>
      </c>
      <c r="M202" s="211">
        <v>11.8001</v>
      </c>
      <c r="N202" s="211">
        <v>0</v>
      </c>
      <c r="O202" s="211">
        <v>0</v>
      </c>
      <c r="P202" s="211">
        <v>10.5</v>
      </c>
      <c r="Q202" s="211">
        <v>0</v>
      </c>
      <c r="R202" s="211">
        <v>11.8001</v>
      </c>
      <c r="S202" s="211">
        <v>11.8001</v>
      </c>
      <c r="T202" s="211">
        <v>0</v>
      </c>
      <c r="U202" s="211">
        <v>0</v>
      </c>
      <c r="V202" s="211">
        <v>0</v>
      </c>
      <c r="W202" s="211">
        <v>2.19597</v>
      </c>
      <c r="X202" s="211">
        <v>0</v>
      </c>
      <c r="Y202" s="211">
        <v>0</v>
      </c>
      <c r="Z202" s="211">
        <v>0</v>
      </c>
      <c r="AA202" s="211">
        <v>0</v>
      </c>
      <c r="AB202" s="211">
        <v>0</v>
      </c>
      <c r="AC202" s="211">
        <v>0</v>
      </c>
      <c r="AD202" s="211">
        <v>0</v>
      </c>
      <c r="AE202" s="211">
        <v>0</v>
      </c>
      <c r="AF202" s="211">
        <v>11.8001</v>
      </c>
      <c r="AG202" s="211">
        <v>73.396470000000008</v>
      </c>
    </row>
    <row r="203" spans="1:33" x14ac:dyDescent="0.25">
      <c r="A203" s="121"/>
      <c r="B203" s="210" t="s">
        <v>350</v>
      </c>
      <c r="C203" s="211">
        <v>0</v>
      </c>
      <c r="D203" s="211">
        <v>0</v>
      </c>
      <c r="E203" s="211">
        <v>0</v>
      </c>
      <c r="F203" s="211">
        <v>0</v>
      </c>
      <c r="G203" s="211">
        <v>0</v>
      </c>
      <c r="H203" s="211">
        <v>0</v>
      </c>
      <c r="I203" s="211">
        <v>0</v>
      </c>
      <c r="J203" s="211">
        <v>0.16</v>
      </c>
      <c r="K203" s="211">
        <v>0</v>
      </c>
      <c r="L203" s="211">
        <v>0</v>
      </c>
      <c r="M203" s="211">
        <v>0</v>
      </c>
      <c r="N203" s="211">
        <v>0</v>
      </c>
      <c r="O203" s="211">
        <v>0</v>
      </c>
      <c r="P203" s="211">
        <v>0</v>
      </c>
      <c r="Q203" s="211">
        <v>0</v>
      </c>
      <c r="R203" s="211">
        <v>0</v>
      </c>
      <c r="S203" s="211">
        <v>8.1999999999999993</v>
      </c>
      <c r="T203" s="211">
        <v>0</v>
      </c>
      <c r="U203" s="211">
        <v>0</v>
      </c>
      <c r="V203" s="211">
        <v>0</v>
      </c>
      <c r="W203" s="211">
        <v>0.18</v>
      </c>
      <c r="X203" s="211">
        <v>0</v>
      </c>
      <c r="Y203" s="211">
        <v>0</v>
      </c>
      <c r="Z203" s="211">
        <v>0</v>
      </c>
      <c r="AA203" s="211">
        <v>0</v>
      </c>
      <c r="AB203" s="211">
        <v>0</v>
      </c>
      <c r="AC203" s="211">
        <v>0</v>
      </c>
      <c r="AD203" s="211">
        <v>0</v>
      </c>
      <c r="AE203" s="211">
        <v>0</v>
      </c>
      <c r="AF203" s="211">
        <v>0</v>
      </c>
      <c r="AG203" s="211">
        <v>8.5399999999999991</v>
      </c>
    </row>
    <row r="204" spans="1:33" x14ac:dyDescent="0.25">
      <c r="A204" s="121"/>
      <c r="B204" s="210" t="s">
        <v>351</v>
      </c>
      <c r="C204" s="211">
        <v>0</v>
      </c>
      <c r="D204" s="211">
        <v>0</v>
      </c>
      <c r="E204" s="211">
        <v>0</v>
      </c>
      <c r="F204" s="211">
        <v>0</v>
      </c>
      <c r="G204" s="211">
        <v>0</v>
      </c>
      <c r="H204" s="211">
        <v>0</v>
      </c>
      <c r="I204" s="211">
        <v>0</v>
      </c>
      <c r="J204" s="211">
        <v>0.17</v>
      </c>
      <c r="K204" s="211">
        <v>0</v>
      </c>
      <c r="L204" s="211">
        <v>0</v>
      </c>
      <c r="M204" s="211">
        <v>0</v>
      </c>
      <c r="N204" s="211">
        <v>0</v>
      </c>
      <c r="O204" s="211">
        <v>0</v>
      </c>
      <c r="P204" s="211">
        <v>0</v>
      </c>
      <c r="Q204" s="211">
        <v>0</v>
      </c>
      <c r="R204" s="211">
        <v>0</v>
      </c>
      <c r="S204" s="211">
        <v>2.6</v>
      </c>
      <c r="T204" s="211">
        <v>0</v>
      </c>
      <c r="U204" s="211">
        <v>0</v>
      </c>
      <c r="V204" s="211">
        <v>0</v>
      </c>
      <c r="W204" s="211">
        <v>5.3999999999999999E-2</v>
      </c>
      <c r="X204" s="211">
        <v>0</v>
      </c>
      <c r="Y204" s="211">
        <v>0</v>
      </c>
      <c r="Z204" s="211">
        <v>0</v>
      </c>
      <c r="AA204" s="211">
        <v>0</v>
      </c>
      <c r="AB204" s="211">
        <v>0</v>
      </c>
      <c r="AC204" s="211">
        <v>0</v>
      </c>
      <c r="AD204" s="211">
        <v>0</v>
      </c>
      <c r="AE204" s="211">
        <v>0</v>
      </c>
      <c r="AF204" s="211">
        <v>0</v>
      </c>
      <c r="AG204" s="211">
        <v>2.8239999999999998</v>
      </c>
    </row>
    <row r="205" spans="1:33" x14ac:dyDescent="0.25">
      <c r="A205" s="121"/>
      <c r="B205" s="210" t="s">
        <v>352</v>
      </c>
      <c r="C205" s="211">
        <v>0</v>
      </c>
      <c r="D205" s="211">
        <v>0</v>
      </c>
      <c r="E205" s="211">
        <v>0</v>
      </c>
      <c r="F205" s="211">
        <v>10.033200000000001</v>
      </c>
      <c r="G205" s="211">
        <v>0</v>
      </c>
      <c r="H205" s="211">
        <v>0</v>
      </c>
      <c r="I205" s="211">
        <v>0</v>
      </c>
      <c r="J205" s="211">
        <v>2.2000000000000002</v>
      </c>
      <c r="K205" s="211">
        <v>0</v>
      </c>
      <c r="L205" s="211">
        <v>0</v>
      </c>
      <c r="M205" s="211">
        <v>10.101900000000001</v>
      </c>
      <c r="N205" s="211">
        <v>0</v>
      </c>
      <c r="O205" s="211">
        <v>0</v>
      </c>
      <c r="P205" s="211">
        <v>6.28</v>
      </c>
      <c r="Q205" s="211">
        <v>0</v>
      </c>
      <c r="R205" s="211">
        <v>10.101900000000001</v>
      </c>
      <c r="S205" s="211">
        <v>10.033200000000001</v>
      </c>
      <c r="T205" s="211">
        <v>0</v>
      </c>
      <c r="U205" s="211">
        <v>0</v>
      </c>
      <c r="V205" s="211">
        <v>0</v>
      </c>
      <c r="W205" s="211">
        <v>2.1621999999999999</v>
      </c>
      <c r="X205" s="211">
        <v>0</v>
      </c>
      <c r="Y205" s="211">
        <v>0</v>
      </c>
      <c r="Z205" s="211">
        <v>0</v>
      </c>
      <c r="AA205" s="211">
        <v>0</v>
      </c>
      <c r="AB205" s="211">
        <v>0</v>
      </c>
      <c r="AC205" s="211">
        <v>0</v>
      </c>
      <c r="AD205" s="211">
        <v>0</v>
      </c>
      <c r="AE205" s="211">
        <v>0</v>
      </c>
      <c r="AF205" s="211">
        <v>10.101900000000001</v>
      </c>
      <c r="AG205" s="211">
        <v>61.014299999999999</v>
      </c>
    </row>
    <row r="206" spans="1:33" x14ac:dyDescent="0.25">
      <c r="A206" s="207" t="s">
        <v>353</v>
      </c>
      <c r="B206" s="208"/>
      <c r="C206" s="209"/>
      <c r="D206" s="209"/>
      <c r="E206" s="209"/>
      <c r="F206" s="209"/>
      <c r="G206" s="209"/>
      <c r="H206" s="209"/>
      <c r="I206" s="209"/>
      <c r="J206" s="209"/>
      <c r="K206" s="209"/>
      <c r="L206" s="209"/>
      <c r="M206" s="209"/>
      <c r="N206" s="209"/>
      <c r="O206" s="209"/>
      <c r="P206" s="209"/>
      <c r="Q206" s="209"/>
      <c r="R206" s="209"/>
      <c r="S206" s="209"/>
      <c r="T206" s="209"/>
      <c r="U206" s="209"/>
      <c r="V206" s="209"/>
      <c r="W206" s="209"/>
      <c r="X206" s="209"/>
      <c r="Y206" s="209"/>
      <c r="Z206" s="209"/>
      <c r="AA206" s="209"/>
      <c r="AB206" s="209"/>
      <c r="AC206" s="209"/>
      <c r="AD206" s="209"/>
      <c r="AE206" s="209"/>
      <c r="AF206" s="209"/>
      <c r="AG206" s="209"/>
    </row>
    <row r="207" spans="1:33" x14ac:dyDescent="0.25">
      <c r="A207" s="121"/>
      <c r="B207" s="210" t="s">
        <v>78</v>
      </c>
      <c r="C207" s="211">
        <v>0</v>
      </c>
      <c r="D207" s="211">
        <v>0</v>
      </c>
      <c r="E207" s="211">
        <v>0</v>
      </c>
      <c r="F207" s="211">
        <v>0</v>
      </c>
      <c r="G207" s="211">
        <v>0</v>
      </c>
      <c r="H207" s="211">
        <v>0</v>
      </c>
      <c r="I207" s="211">
        <v>0</v>
      </c>
      <c r="J207" s="211">
        <v>0.50346999999999997</v>
      </c>
      <c r="K207" s="211">
        <v>0</v>
      </c>
      <c r="L207" s="211">
        <v>0</v>
      </c>
      <c r="M207" s="211">
        <v>0</v>
      </c>
      <c r="N207" s="211">
        <v>0</v>
      </c>
      <c r="O207" s="211">
        <v>0</v>
      </c>
      <c r="P207" s="211">
        <v>0</v>
      </c>
      <c r="Q207" s="211">
        <v>0</v>
      </c>
      <c r="R207" s="211">
        <v>0</v>
      </c>
      <c r="S207" s="211">
        <v>0</v>
      </c>
      <c r="T207" s="211">
        <v>0</v>
      </c>
      <c r="U207" s="211">
        <v>0</v>
      </c>
      <c r="V207" s="211">
        <v>0</v>
      </c>
      <c r="W207" s="211">
        <v>4.752E-2</v>
      </c>
      <c r="X207" s="211">
        <v>0</v>
      </c>
      <c r="Y207" s="211">
        <v>0</v>
      </c>
      <c r="Z207" s="211">
        <v>0</v>
      </c>
      <c r="AA207" s="211">
        <v>0</v>
      </c>
      <c r="AB207" s="211">
        <v>0</v>
      </c>
      <c r="AC207" s="211">
        <v>0</v>
      </c>
      <c r="AD207" s="211">
        <v>0</v>
      </c>
      <c r="AE207" s="211">
        <v>0</v>
      </c>
      <c r="AF207" s="211">
        <v>26.267099999999999</v>
      </c>
      <c r="AG207" s="211">
        <v>26.818089999999998</v>
      </c>
    </row>
    <row r="208" spans="1:33" x14ac:dyDescent="0.25">
      <c r="A208" s="207" t="s">
        <v>77</v>
      </c>
      <c r="B208" s="208"/>
      <c r="C208" s="209"/>
      <c r="D208" s="209"/>
      <c r="E208" s="209"/>
      <c r="F208" s="209"/>
      <c r="G208" s="209"/>
      <c r="H208" s="209"/>
      <c r="I208" s="209"/>
      <c r="J208" s="209"/>
      <c r="K208" s="209"/>
      <c r="L208" s="209"/>
      <c r="M208" s="209"/>
      <c r="N208" s="209"/>
      <c r="O208" s="209"/>
      <c r="P208" s="209"/>
      <c r="Q208" s="209"/>
      <c r="R208" s="209"/>
      <c r="S208" s="209"/>
      <c r="T208" s="209"/>
      <c r="U208" s="209"/>
      <c r="V208" s="209"/>
      <c r="W208" s="209"/>
      <c r="X208" s="209"/>
      <c r="Y208" s="209"/>
      <c r="Z208" s="209"/>
      <c r="AA208" s="209"/>
      <c r="AB208" s="209"/>
      <c r="AC208" s="209"/>
      <c r="AD208" s="209"/>
      <c r="AE208" s="209"/>
      <c r="AF208" s="209"/>
      <c r="AG208" s="209"/>
    </row>
    <row r="209" spans="1:33" x14ac:dyDescent="0.25">
      <c r="A209" s="121"/>
      <c r="B209" s="210" t="s">
        <v>79</v>
      </c>
      <c r="C209" s="211">
        <v>0</v>
      </c>
      <c r="D209" s="211">
        <v>0</v>
      </c>
      <c r="E209" s="211">
        <v>0</v>
      </c>
      <c r="F209" s="211">
        <v>0</v>
      </c>
      <c r="G209" s="211">
        <v>0</v>
      </c>
      <c r="H209" s="211">
        <v>0</v>
      </c>
      <c r="I209" s="211">
        <v>0</v>
      </c>
      <c r="J209" s="211">
        <v>0</v>
      </c>
      <c r="K209" s="211">
        <v>0</v>
      </c>
      <c r="L209" s="211">
        <v>0</v>
      </c>
      <c r="M209" s="211">
        <v>0</v>
      </c>
      <c r="N209" s="211">
        <v>0</v>
      </c>
      <c r="O209" s="211">
        <v>0</v>
      </c>
      <c r="P209" s="211">
        <v>0</v>
      </c>
      <c r="Q209" s="211">
        <v>0</v>
      </c>
      <c r="R209" s="211">
        <v>0</v>
      </c>
      <c r="S209" s="211">
        <v>0</v>
      </c>
      <c r="T209" s="211">
        <v>0</v>
      </c>
      <c r="U209" s="211">
        <v>0</v>
      </c>
      <c r="V209" s="211">
        <v>0</v>
      </c>
      <c r="W209" s="211">
        <v>0</v>
      </c>
      <c r="X209" s="211">
        <v>0</v>
      </c>
      <c r="Y209" s="211">
        <v>0</v>
      </c>
      <c r="Z209" s="211">
        <v>0</v>
      </c>
      <c r="AA209" s="211">
        <v>0</v>
      </c>
      <c r="AB209" s="211">
        <v>0</v>
      </c>
      <c r="AC209" s="211">
        <v>0</v>
      </c>
      <c r="AD209" s="211">
        <v>0</v>
      </c>
      <c r="AE209" s="211">
        <v>0</v>
      </c>
      <c r="AF209" s="211">
        <v>0</v>
      </c>
      <c r="AG209" s="211">
        <v>0</v>
      </c>
    </row>
    <row r="210" spans="1:33" x14ac:dyDescent="0.25">
      <c r="A210" s="207" t="s">
        <v>354</v>
      </c>
      <c r="B210" s="208"/>
      <c r="C210" s="209"/>
      <c r="D210" s="209"/>
      <c r="E210" s="209"/>
      <c r="F210" s="209"/>
      <c r="G210" s="209"/>
      <c r="H210" s="209"/>
      <c r="I210" s="209"/>
      <c r="J210" s="209"/>
      <c r="K210" s="209"/>
      <c r="L210" s="209"/>
      <c r="M210" s="209"/>
      <c r="N210" s="209"/>
      <c r="O210" s="209"/>
      <c r="P210" s="209"/>
      <c r="Q210" s="209"/>
      <c r="R210" s="209"/>
      <c r="S210" s="209"/>
      <c r="T210" s="209"/>
      <c r="U210" s="209"/>
      <c r="V210" s="209"/>
      <c r="W210" s="209"/>
      <c r="X210" s="209"/>
      <c r="Y210" s="209"/>
      <c r="Z210" s="209"/>
      <c r="AA210" s="209"/>
      <c r="AB210" s="209"/>
      <c r="AC210" s="209"/>
      <c r="AD210" s="209"/>
      <c r="AE210" s="209"/>
      <c r="AF210" s="209"/>
      <c r="AG210" s="209"/>
    </row>
    <row r="211" spans="1:33" x14ac:dyDescent="0.25">
      <c r="A211" s="121"/>
      <c r="B211" s="210" t="s">
        <v>355</v>
      </c>
      <c r="C211" s="211">
        <v>0</v>
      </c>
      <c r="D211" s="211">
        <v>0</v>
      </c>
      <c r="E211" s="211">
        <v>0</v>
      </c>
      <c r="F211" s="211">
        <v>0</v>
      </c>
      <c r="G211" s="211">
        <v>0</v>
      </c>
      <c r="H211" s="211">
        <v>0</v>
      </c>
      <c r="I211" s="211">
        <v>0</v>
      </c>
      <c r="J211" s="211">
        <v>0.3</v>
      </c>
      <c r="K211" s="211">
        <v>0</v>
      </c>
      <c r="L211" s="211">
        <v>0</v>
      </c>
      <c r="M211" s="211">
        <v>40.5</v>
      </c>
      <c r="N211" s="211">
        <v>0</v>
      </c>
      <c r="O211" s="211">
        <v>0</v>
      </c>
      <c r="P211" s="211">
        <v>6</v>
      </c>
      <c r="Q211" s="211">
        <v>0</v>
      </c>
      <c r="R211" s="211">
        <v>0</v>
      </c>
      <c r="S211" s="211">
        <v>2.2999999999999998</v>
      </c>
      <c r="T211" s="211">
        <v>0</v>
      </c>
      <c r="U211" s="211">
        <v>0</v>
      </c>
      <c r="V211" s="211">
        <v>0</v>
      </c>
      <c r="W211" s="211">
        <v>0.88300000000000001</v>
      </c>
      <c r="X211" s="211">
        <v>0</v>
      </c>
      <c r="Y211" s="211">
        <v>0</v>
      </c>
      <c r="Z211" s="211">
        <v>0</v>
      </c>
      <c r="AA211" s="211">
        <v>0</v>
      </c>
      <c r="AB211" s="211">
        <v>0</v>
      </c>
      <c r="AC211" s="211">
        <v>0</v>
      </c>
      <c r="AD211" s="211">
        <v>0</v>
      </c>
      <c r="AE211" s="211">
        <v>0</v>
      </c>
      <c r="AF211" s="211">
        <v>0</v>
      </c>
      <c r="AG211" s="211">
        <v>49.982999999999997</v>
      </c>
    </row>
    <row r="212" spans="1:33" x14ac:dyDescent="0.25">
      <c r="A212" s="207" t="s">
        <v>1134</v>
      </c>
      <c r="B212" s="208"/>
      <c r="C212" s="209"/>
      <c r="D212" s="209"/>
      <c r="E212" s="209"/>
      <c r="F212" s="209"/>
      <c r="G212" s="209"/>
      <c r="H212" s="209"/>
      <c r="I212" s="209"/>
      <c r="J212" s="209"/>
      <c r="K212" s="209"/>
      <c r="L212" s="209"/>
      <c r="M212" s="209"/>
      <c r="N212" s="209"/>
      <c r="O212" s="209"/>
      <c r="P212" s="209"/>
      <c r="Q212" s="209"/>
      <c r="R212" s="209"/>
      <c r="S212" s="209"/>
      <c r="T212" s="209"/>
      <c r="U212" s="209"/>
      <c r="V212" s="209"/>
      <c r="W212" s="209"/>
      <c r="X212" s="209"/>
      <c r="Y212" s="209"/>
      <c r="Z212" s="209"/>
      <c r="AA212" s="209"/>
      <c r="AB212" s="209"/>
      <c r="AC212" s="209"/>
      <c r="AD212" s="209"/>
      <c r="AE212" s="209"/>
      <c r="AF212" s="209"/>
      <c r="AG212" s="209"/>
    </row>
    <row r="213" spans="1:33" x14ac:dyDescent="0.25">
      <c r="A213" s="121"/>
      <c r="B213" s="210" t="s">
        <v>63</v>
      </c>
      <c r="C213" s="211">
        <v>0</v>
      </c>
      <c r="D213" s="211">
        <v>0</v>
      </c>
      <c r="E213" s="211">
        <v>0</v>
      </c>
      <c r="F213" s="211">
        <v>0</v>
      </c>
      <c r="G213" s="211">
        <v>0</v>
      </c>
      <c r="H213" s="211">
        <v>0</v>
      </c>
      <c r="I213" s="211">
        <v>0</v>
      </c>
      <c r="J213" s="211">
        <v>0</v>
      </c>
      <c r="K213" s="211">
        <v>0</v>
      </c>
      <c r="L213" s="211">
        <v>0</v>
      </c>
      <c r="M213" s="211">
        <v>0</v>
      </c>
      <c r="N213" s="211">
        <v>0</v>
      </c>
      <c r="O213" s="211">
        <v>0</v>
      </c>
      <c r="P213" s="211">
        <v>0</v>
      </c>
      <c r="Q213" s="211">
        <v>0</v>
      </c>
      <c r="R213" s="211">
        <v>0</v>
      </c>
      <c r="S213" s="211">
        <v>0</v>
      </c>
      <c r="T213" s="211">
        <v>0</v>
      </c>
      <c r="U213" s="211">
        <v>0</v>
      </c>
      <c r="V213" s="211">
        <v>0</v>
      </c>
      <c r="W213" s="211">
        <v>0</v>
      </c>
      <c r="X213" s="211">
        <v>0</v>
      </c>
      <c r="Y213" s="211">
        <v>0</v>
      </c>
      <c r="Z213" s="211">
        <v>0</v>
      </c>
      <c r="AA213" s="211">
        <v>0</v>
      </c>
      <c r="AB213" s="211">
        <v>0</v>
      </c>
      <c r="AC213" s="211">
        <v>0</v>
      </c>
      <c r="AD213" s="211">
        <v>0</v>
      </c>
      <c r="AE213" s="211">
        <v>0</v>
      </c>
      <c r="AF213" s="211">
        <v>0</v>
      </c>
      <c r="AG213" s="211">
        <v>0</v>
      </c>
    </row>
    <row r="214" spans="1:33" x14ac:dyDescent="0.25">
      <c r="A214" s="207" t="s">
        <v>356</v>
      </c>
      <c r="B214" s="208"/>
      <c r="C214" s="209"/>
      <c r="D214" s="209"/>
      <c r="E214" s="209"/>
      <c r="F214" s="209"/>
      <c r="G214" s="209"/>
      <c r="H214" s="209"/>
      <c r="I214" s="209"/>
      <c r="J214" s="209"/>
      <c r="K214" s="209"/>
      <c r="L214" s="209"/>
      <c r="M214" s="209"/>
      <c r="N214" s="209"/>
      <c r="O214" s="209"/>
      <c r="P214" s="209"/>
      <c r="Q214" s="209"/>
      <c r="R214" s="209"/>
      <c r="S214" s="209"/>
      <c r="T214" s="209"/>
      <c r="U214" s="209"/>
      <c r="V214" s="209"/>
      <c r="W214" s="209"/>
      <c r="X214" s="209"/>
      <c r="Y214" s="209"/>
      <c r="Z214" s="209"/>
      <c r="AA214" s="209"/>
      <c r="AB214" s="209"/>
      <c r="AC214" s="209"/>
      <c r="AD214" s="209"/>
      <c r="AE214" s="209"/>
      <c r="AF214" s="209"/>
      <c r="AG214" s="209"/>
    </row>
    <row r="215" spans="1:33" x14ac:dyDescent="0.25">
      <c r="A215" s="121"/>
      <c r="B215" s="210" t="s">
        <v>357</v>
      </c>
      <c r="C215" s="211">
        <v>0</v>
      </c>
      <c r="D215" s="211">
        <v>0</v>
      </c>
      <c r="E215" s="211">
        <v>0</v>
      </c>
      <c r="F215" s="211">
        <v>36.8249</v>
      </c>
      <c r="G215" s="211">
        <v>0</v>
      </c>
      <c r="H215" s="211">
        <v>1.6</v>
      </c>
      <c r="I215" s="211">
        <v>2.7</v>
      </c>
      <c r="J215" s="211">
        <v>0</v>
      </c>
      <c r="K215" s="211">
        <v>2.4</v>
      </c>
      <c r="L215" s="211">
        <v>0</v>
      </c>
      <c r="M215" s="211">
        <v>13.7949</v>
      </c>
      <c r="N215" s="211">
        <v>0</v>
      </c>
      <c r="O215" s="211">
        <v>0</v>
      </c>
      <c r="P215" s="211">
        <v>34</v>
      </c>
      <c r="Q215" s="211">
        <v>33.5</v>
      </c>
      <c r="R215" s="211">
        <v>1.9416100000000001</v>
      </c>
      <c r="S215" s="211">
        <v>42.334400000000002</v>
      </c>
      <c r="T215" s="211">
        <v>0</v>
      </c>
      <c r="U215" s="211">
        <v>0</v>
      </c>
      <c r="V215" s="211">
        <v>23.249400000000001</v>
      </c>
      <c r="W215" s="211">
        <v>6.5547899999999997</v>
      </c>
      <c r="X215" s="211">
        <v>0</v>
      </c>
      <c r="Y215" s="211">
        <v>5</v>
      </c>
      <c r="Z215" s="211">
        <v>0</v>
      </c>
      <c r="AA215" s="211">
        <v>0</v>
      </c>
      <c r="AB215" s="211">
        <v>0</v>
      </c>
      <c r="AC215" s="211">
        <v>0</v>
      </c>
      <c r="AD215" s="211">
        <v>0</v>
      </c>
      <c r="AE215" s="211">
        <v>0</v>
      </c>
      <c r="AF215" s="211">
        <v>0</v>
      </c>
      <c r="AG215" s="211">
        <v>203.9</v>
      </c>
    </row>
    <row r="216" spans="1:33" x14ac:dyDescent="0.25">
      <c r="A216" s="207" t="s">
        <v>358</v>
      </c>
      <c r="B216" s="208"/>
      <c r="C216" s="209"/>
      <c r="D216" s="209"/>
      <c r="E216" s="209"/>
      <c r="F216" s="209"/>
      <c r="G216" s="209"/>
      <c r="H216" s="209"/>
      <c r="I216" s="209"/>
      <c r="J216" s="209"/>
      <c r="K216" s="209"/>
      <c r="L216" s="209"/>
      <c r="M216" s="209"/>
      <c r="N216" s="209"/>
      <c r="O216" s="209"/>
      <c r="P216" s="209"/>
      <c r="Q216" s="209"/>
      <c r="R216" s="209"/>
      <c r="S216" s="209"/>
      <c r="T216" s="209"/>
      <c r="U216" s="209"/>
      <c r="V216" s="209"/>
      <c r="W216" s="209"/>
      <c r="X216" s="209"/>
      <c r="Y216" s="209"/>
      <c r="Z216" s="209"/>
      <c r="AA216" s="209"/>
      <c r="AB216" s="209"/>
      <c r="AC216" s="209"/>
      <c r="AD216" s="209"/>
      <c r="AE216" s="209"/>
      <c r="AF216" s="209"/>
      <c r="AG216" s="209"/>
    </row>
    <row r="217" spans="1:33" x14ac:dyDescent="0.25">
      <c r="A217" s="121"/>
      <c r="B217" s="210" t="s">
        <v>359</v>
      </c>
      <c r="C217" s="211">
        <v>0</v>
      </c>
      <c r="D217" s="211">
        <v>119.027</v>
      </c>
      <c r="E217" s="211">
        <v>0</v>
      </c>
      <c r="F217" s="211">
        <v>0</v>
      </c>
      <c r="G217" s="211">
        <v>0.37681399999999998</v>
      </c>
      <c r="H217" s="211">
        <v>0</v>
      </c>
      <c r="I217" s="211">
        <v>0</v>
      </c>
      <c r="J217" s="211">
        <v>1.1268100000000001</v>
      </c>
      <c r="K217" s="211">
        <v>0</v>
      </c>
      <c r="L217" s="211">
        <v>0</v>
      </c>
      <c r="M217" s="211">
        <v>0</v>
      </c>
      <c r="N217" s="211">
        <v>0</v>
      </c>
      <c r="O217" s="211">
        <v>0</v>
      </c>
      <c r="P217" s="211">
        <v>15.6</v>
      </c>
      <c r="Q217" s="211">
        <v>2.08</v>
      </c>
      <c r="R217" s="211">
        <v>0</v>
      </c>
      <c r="S217" s="211">
        <v>95.8</v>
      </c>
      <c r="T217" s="211">
        <v>0</v>
      </c>
      <c r="U217" s="211">
        <v>0</v>
      </c>
      <c r="V217" s="211">
        <v>0</v>
      </c>
      <c r="W217" s="211">
        <v>8.1999999999999993</v>
      </c>
      <c r="X217" s="211">
        <v>0</v>
      </c>
      <c r="Y217" s="211">
        <v>0</v>
      </c>
      <c r="Z217" s="211">
        <v>0</v>
      </c>
      <c r="AA217" s="211">
        <v>0</v>
      </c>
      <c r="AB217" s="211">
        <v>0</v>
      </c>
      <c r="AC217" s="211">
        <v>0</v>
      </c>
      <c r="AD217" s="211">
        <v>0</v>
      </c>
      <c r="AE217" s="211">
        <v>0</v>
      </c>
      <c r="AF217" s="211">
        <v>0</v>
      </c>
      <c r="AG217" s="211">
        <v>242.210624</v>
      </c>
    </row>
    <row r="218" spans="1:33" x14ac:dyDescent="0.25">
      <c r="A218" s="121"/>
      <c r="B218" s="210" t="s">
        <v>360</v>
      </c>
      <c r="C218" s="211">
        <v>0</v>
      </c>
      <c r="D218" s="211">
        <v>0</v>
      </c>
      <c r="E218" s="211">
        <v>0</v>
      </c>
      <c r="F218" s="211">
        <v>0</v>
      </c>
      <c r="G218" s="211">
        <v>0.33</v>
      </c>
      <c r="H218" s="211">
        <v>0</v>
      </c>
      <c r="I218" s="211">
        <v>0</v>
      </c>
      <c r="J218" s="211">
        <v>0</v>
      </c>
      <c r="K218" s="211">
        <v>0</v>
      </c>
      <c r="L218" s="211">
        <v>0</v>
      </c>
      <c r="M218" s="211">
        <v>0</v>
      </c>
      <c r="N218" s="211">
        <v>0</v>
      </c>
      <c r="O218" s="211">
        <v>0</v>
      </c>
      <c r="P218" s="211">
        <v>0</v>
      </c>
      <c r="Q218" s="211">
        <v>0</v>
      </c>
      <c r="R218" s="211">
        <v>0</v>
      </c>
      <c r="S218" s="211">
        <v>24.1</v>
      </c>
      <c r="T218" s="211">
        <v>0</v>
      </c>
      <c r="U218" s="211">
        <v>0</v>
      </c>
      <c r="V218" s="211">
        <v>0</v>
      </c>
      <c r="W218" s="211">
        <v>0.52</v>
      </c>
      <c r="X218" s="211">
        <v>0</v>
      </c>
      <c r="Y218" s="211">
        <v>0</v>
      </c>
      <c r="Z218" s="211">
        <v>0</v>
      </c>
      <c r="AA218" s="211">
        <v>0</v>
      </c>
      <c r="AB218" s="211">
        <v>0</v>
      </c>
      <c r="AC218" s="211">
        <v>0</v>
      </c>
      <c r="AD218" s="211">
        <v>0</v>
      </c>
      <c r="AE218" s="211">
        <v>0</v>
      </c>
      <c r="AF218" s="211">
        <v>0</v>
      </c>
      <c r="AG218" s="211">
        <v>24.95</v>
      </c>
    </row>
    <row r="219" spans="1:33" x14ac:dyDescent="0.25">
      <c r="A219" s="207" t="s">
        <v>362</v>
      </c>
      <c r="B219" s="208"/>
      <c r="C219" s="209"/>
      <c r="D219" s="209"/>
      <c r="E219" s="209"/>
      <c r="F219" s="209"/>
      <c r="G219" s="209"/>
      <c r="H219" s="209"/>
      <c r="I219" s="209"/>
      <c r="J219" s="209"/>
      <c r="K219" s="209"/>
      <c r="L219" s="209"/>
      <c r="M219" s="209"/>
      <c r="N219" s="209"/>
      <c r="O219" s="209"/>
      <c r="P219" s="209"/>
      <c r="Q219" s="209"/>
      <c r="R219" s="209"/>
      <c r="S219" s="209"/>
      <c r="T219" s="209"/>
      <c r="U219" s="209"/>
      <c r="V219" s="209"/>
      <c r="W219" s="209"/>
      <c r="X219" s="209"/>
      <c r="Y219" s="209"/>
      <c r="Z219" s="209"/>
      <c r="AA219" s="209"/>
      <c r="AB219" s="209"/>
      <c r="AC219" s="209"/>
      <c r="AD219" s="209"/>
      <c r="AE219" s="209"/>
      <c r="AF219" s="209"/>
      <c r="AG219" s="209"/>
    </row>
    <row r="220" spans="1:33" x14ac:dyDescent="0.25">
      <c r="A220" s="121"/>
      <c r="B220" s="210" t="s">
        <v>363</v>
      </c>
      <c r="C220" s="211">
        <v>0</v>
      </c>
      <c r="D220" s="211">
        <v>0</v>
      </c>
      <c r="E220" s="211">
        <v>0</v>
      </c>
      <c r="F220" s="211">
        <v>0</v>
      </c>
      <c r="G220" s="211">
        <v>6.2969999999999997</v>
      </c>
      <c r="H220" s="211">
        <v>0</v>
      </c>
      <c r="I220" s="211">
        <v>0</v>
      </c>
      <c r="J220" s="211">
        <v>0</v>
      </c>
      <c r="K220" s="211">
        <v>0</v>
      </c>
      <c r="L220" s="211">
        <v>0</v>
      </c>
      <c r="M220" s="211">
        <v>0</v>
      </c>
      <c r="N220" s="211">
        <v>1.4E-2</v>
      </c>
      <c r="O220" s="211">
        <v>0</v>
      </c>
      <c r="P220" s="211">
        <v>0</v>
      </c>
      <c r="Q220" s="211">
        <v>42.887999999999998</v>
      </c>
      <c r="R220" s="211">
        <v>0</v>
      </c>
      <c r="S220" s="211">
        <v>0</v>
      </c>
      <c r="T220" s="211">
        <v>0</v>
      </c>
      <c r="U220" s="211">
        <v>0</v>
      </c>
      <c r="V220" s="211">
        <v>0</v>
      </c>
      <c r="W220" s="211">
        <v>0.37866899999999998</v>
      </c>
      <c r="X220" s="211">
        <v>0</v>
      </c>
      <c r="Y220" s="211">
        <v>0</v>
      </c>
      <c r="Z220" s="211">
        <v>0</v>
      </c>
      <c r="AA220" s="211">
        <v>0</v>
      </c>
      <c r="AB220" s="211">
        <v>0</v>
      </c>
      <c r="AC220" s="211">
        <v>0</v>
      </c>
      <c r="AD220" s="211">
        <v>0</v>
      </c>
      <c r="AE220" s="211">
        <v>0</v>
      </c>
      <c r="AF220" s="211">
        <v>0</v>
      </c>
      <c r="AG220" s="211">
        <v>49.577669</v>
      </c>
    </row>
    <row r="221" spans="1:33" x14ac:dyDescent="0.25">
      <c r="A221" s="207" t="s">
        <v>364</v>
      </c>
      <c r="B221" s="208"/>
      <c r="C221" s="209"/>
      <c r="D221" s="209"/>
      <c r="E221" s="209"/>
      <c r="F221" s="209"/>
      <c r="G221" s="209"/>
      <c r="H221" s="209"/>
      <c r="I221" s="209"/>
      <c r="J221" s="209"/>
      <c r="K221" s="209"/>
      <c r="L221" s="209"/>
      <c r="M221" s="209"/>
      <c r="N221" s="209"/>
      <c r="O221" s="209"/>
      <c r="P221" s="209"/>
      <c r="Q221" s="209"/>
      <c r="R221" s="209"/>
      <c r="S221" s="209"/>
      <c r="T221" s="209"/>
      <c r="U221" s="209"/>
      <c r="V221" s="209"/>
      <c r="W221" s="209"/>
      <c r="X221" s="209"/>
      <c r="Y221" s="209"/>
      <c r="Z221" s="209"/>
      <c r="AA221" s="209"/>
      <c r="AB221" s="209"/>
      <c r="AC221" s="209"/>
      <c r="AD221" s="209"/>
      <c r="AE221" s="209"/>
      <c r="AF221" s="209"/>
      <c r="AG221" s="209"/>
    </row>
    <row r="222" spans="1:33" x14ac:dyDescent="0.25">
      <c r="A222" s="121"/>
      <c r="B222" s="210" t="s">
        <v>365</v>
      </c>
      <c r="C222" s="211">
        <v>0</v>
      </c>
      <c r="D222" s="211">
        <v>0</v>
      </c>
      <c r="E222" s="211">
        <v>0</v>
      </c>
      <c r="F222" s="211">
        <v>0</v>
      </c>
      <c r="G222" s="211">
        <v>0</v>
      </c>
      <c r="H222" s="211">
        <v>0</v>
      </c>
      <c r="I222" s="211">
        <v>0</v>
      </c>
      <c r="J222" s="211">
        <v>0.3</v>
      </c>
      <c r="K222" s="211">
        <v>0</v>
      </c>
      <c r="L222" s="211">
        <v>0</v>
      </c>
      <c r="M222" s="211">
        <v>0</v>
      </c>
      <c r="N222" s="211">
        <v>0</v>
      </c>
      <c r="O222" s="211">
        <v>0</v>
      </c>
      <c r="P222" s="211">
        <v>6</v>
      </c>
      <c r="Q222" s="211">
        <v>0</v>
      </c>
      <c r="R222" s="211">
        <v>0</v>
      </c>
      <c r="S222" s="211">
        <v>39</v>
      </c>
      <c r="T222" s="211">
        <v>0</v>
      </c>
      <c r="U222" s="211">
        <v>0</v>
      </c>
      <c r="V222" s="211">
        <v>0</v>
      </c>
      <c r="W222" s="211">
        <v>1.3</v>
      </c>
      <c r="X222" s="211">
        <v>0</v>
      </c>
      <c r="Y222" s="211">
        <v>5</v>
      </c>
      <c r="Z222" s="211">
        <v>0</v>
      </c>
      <c r="AA222" s="211">
        <v>0</v>
      </c>
      <c r="AB222" s="211">
        <v>0</v>
      </c>
      <c r="AC222" s="211">
        <v>0</v>
      </c>
      <c r="AD222" s="211">
        <v>0</v>
      </c>
      <c r="AE222" s="211">
        <v>0</v>
      </c>
      <c r="AF222" s="211">
        <v>0</v>
      </c>
      <c r="AG222" s="211">
        <v>51.599999999999994</v>
      </c>
    </row>
    <row r="223" spans="1:33" x14ac:dyDescent="0.25">
      <c r="A223" s="207" t="s">
        <v>366</v>
      </c>
      <c r="B223" s="208"/>
      <c r="C223" s="209"/>
      <c r="D223" s="209"/>
      <c r="E223" s="209"/>
      <c r="F223" s="209"/>
      <c r="G223" s="209"/>
      <c r="H223" s="209"/>
      <c r="I223" s="209"/>
      <c r="J223" s="209"/>
      <c r="K223" s="209"/>
      <c r="L223" s="209"/>
      <c r="M223" s="209"/>
      <c r="N223" s="209"/>
      <c r="O223" s="209"/>
      <c r="P223" s="209"/>
      <c r="Q223" s="209"/>
      <c r="R223" s="209"/>
      <c r="S223" s="209"/>
      <c r="T223" s="209"/>
      <c r="U223" s="209"/>
      <c r="V223" s="209"/>
      <c r="W223" s="209"/>
      <c r="X223" s="209"/>
      <c r="Y223" s="209"/>
      <c r="Z223" s="209"/>
      <c r="AA223" s="209"/>
      <c r="AB223" s="209"/>
      <c r="AC223" s="209"/>
      <c r="AD223" s="209"/>
      <c r="AE223" s="209"/>
      <c r="AF223" s="209"/>
      <c r="AG223" s="209"/>
    </row>
    <row r="224" spans="1:33" x14ac:dyDescent="0.25">
      <c r="A224" s="121"/>
      <c r="B224" s="210" t="s">
        <v>367</v>
      </c>
      <c r="C224" s="211">
        <v>0</v>
      </c>
      <c r="D224" s="211">
        <v>0</v>
      </c>
      <c r="E224" s="211">
        <v>0</v>
      </c>
      <c r="F224" s="211">
        <v>0</v>
      </c>
      <c r="G224" s="211">
        <v>0</v>
      </c>
      <c r="H224" s="211">
        <v>0</v>
      </c>
      <c r="I224" s="211">
        <v>0</v>
      </c>
      <c r="J224" s="211">
        <v>0</v>
      </c>
      <c r="K224" s="211">
        <v>0</v>
      </c>
      <c r="L224" s="211">
        <v>0</v>
      </c>
      <c r="M224" s="211">
        <v>0</v>
      </c>
      <c r="N224" s="211">
        <v>0</v>
      </c>
      <c r="O224" s="211">
        <v>0</v>
      </c>
      <c r="P224" s="211">
        <v>0</v>
      </c>
      <c r="Q224" s="211">
        <v>0</v>
      </c>
      <c r="R224" s="211">
        <v>0</v>
      </c>
      <c r="S224" s="211">
        <v>0</v>
      </c>
      <c r="T224" s="211">
        <v>0</v>
      </c>
      <c r="U224" s="211">
        <v>0</v>
      </c>
      <c r="V224" s="211">
        <v>0</v>
      </c>
      <c r="W224" s="211">
        <v>0</v>
      </c>
      <c r="X224" s="211">
        <v>0</v>
      </c>
      <c r="Y224" s="211">
        <v>0</v>
      </c>
      <c r="Z224" s="211">
        <v>0</v>
      </c>
      <c r="AA224" s="211">
        <v>0</v>
      </c>
      <c r="AB224" s="211">
        <v>0</v>
      </c>
      <c r="AC224" s="211">
        <v>0</v>
      </c>
      <c r="AD224" s="211">
        <v>0</v>
      </c>
      <c r="AE224" s="211">
        <v>0</v>
      </c>
      <c r="AF224" s="211">
        <v>0</v>
      </c>
      <c r="AG224" s="211">
        <v>0</v>
      </c>
    </row>
    <row r="225" spans="1:33" x14ac:dyDescent="0.25">
      <c r="A225" s="121"/>
      <c r="B225" s="210" t="s">
        <v>368</v>
      </c>
      <c r="C225" s="211">
        <v>0</v>
      </c>
      <c r="D225" s="211">
        <v>0</v>
      </c>
      <c r="E225" s="211">
        <v>0</v>
      </c>
      <c r="F225" s="211">
        <v>0</v>
      </c>
      <c r="G225" s="211">
        <v>0.1</v>
      </c>
      <c r="H225" s="211">
        <v>0</v>
      </c>
      <c r="I225" s="211">
        <v>0.7</v>
      </c>
      <c r="J225" s="211">
        <v>0.3</v>
      </c>
      <c r="K225" s="211">
        <v>0</v>
      </c>
      <c r="L225" s="211">
        <v>0</v>
      </c>
      <c r="M225" s="211">
        <v>0</v>
      </c>
      <c r="N225" s="211">
        <v>0</v>
      </c>
      <c r="O225" s="211">
        <v>0</v>
      </c>
      <c r="P225" s="211">
        <v>0</v>
      </c>
      <c r="Q225" s="211">
        <v>0</v>
      </c>
      <c r="R225" s="211">
        <v>0</v>
      </c>
      <c r="S225" s="211">
        <v>0</v>
      </c>
      <c r="T225" s="211">
        <v>0</v>
      </c>
      <c r="U225" s="211">
        <v>0</v>
      </c>
      <c r="V225" s="211">
        <v>0</v>
      </c>
      <c r="W225" s="211">
        <v>0.55889999999999995</v>
      </c>
      <c r="X225" s="211">
        <v>0</v>
      </c>
      <c r="Y225" s="211">
        <v>6.7</v>
      </c>
      <c r="Z225" s="211">
        <v>0</v>
      </c>
      <c r="AA225" s="211">
        <v>0</v>
      </c>
      <c r="AB225" s="211">
        <v>0</v>
      </c>
      <c r="AC225" s="211">
        <v>0</v>
      </c>
      <c r="AD225" s="211">
        <v>0</v>
      </c>
      <c r="AE225" s="211">
        <v>0</v>
      </c>
      <c r="AF225" s="211">
        <v>17.647099999999998</v>
      </c>
      <c r="AG225" s="211">
        <v>26.006</v>
      </c>
    </row>
    <row r="226" spans="1:33" x14ac:dyDescent="0.25">
      <c r="A226" s="121"/>
      <c r="B226" s="210" t="s">
        <v>369</v>
      </c>
      <c r="C226" s="211">
        <v>0</v>
      </c>
      <c r="D226" s="211">
        <v>0</v>
      </c>
      <c r="E226" s="211">
        <v>0</v>
      </c>
      <c r="F226" s="211">
        <v>0</v>
      </c>
      <c r="G226" s="211">
        <v>6.8</v>
      </c>
      <c r="H226" s="211">
        <v>0</v>
      </c>
      <c r="I226" s="211">
        <v>0.4</v>
      </c>
      <c r="J226" s="211">
        <v>0.3</v>
      </c>
      <c r="K226" s="211">
        <v>0</v>
      </c>
      <c r="L226" s="211">
        <v>0</v>
      </c>
      <c r="M226" s="211">
        <v>0</v>
      </c>
      <c r="N226" s="211">
        <v>0</v>
      </c>
      <c r="O226" s="211">
        <v>0</v>
      </c>
      <c r="P226" s="211">
        <v>4.8</v>
      </c>
      <c r="Q226" s="211">
        <v>0</v>
      </c>
      <c r="R226" s="211">
        <v>0</v>
      </c>
      <c r="S226" s="211">
        <v>59.5</v>
      </c>
      <c r="T226" s="211">
        <v>0</v>
      </c>
      <c r="U226" s="211">
        <v>0</v>
      </c>
      <c r="V226" s="211">
        <v>0</v>
      </c>
      <c r="W226" s="211">
        <v>1.716</v>
      </c>
      <c r="X226" s="211">
        <v>0</v>
      </c>
      <c r="Y226" s="211">
        <v>8.5</v>
      </c>
      <c r="Z226" s="211">
        <v>0</v>
      </c>
      <c r="AA226" s="211">
        <v>0</v>
      </c>
      <c r="AB226" s="211">
        <v>0</v>
      </c>
      <c r="AC226" s="211">
        <v>0</v>
      </c>
      <c r="AD226" s="211">
        <v>0</v>
      </c>
      <c r="AE226" s="211">
        <v>0</v>
      </c>
      <c r="AF226" s="211">
        <v>0</v>
      </c>
      <c r="AG226" s="211">
        <v>82.015999999999991</v>
      </c>
    </row>
    <row r="227" spans="1:33" x14ac:dyDescent="0.25">
      <c r="A227" s="121"/>
      <c r="B227" s="210" t="s">
        <v>370</v>
      </c>
      <c r="C227" s="211">
        <v>0</v>
      </c>
      <c r="D227" s="211">
        <v>0</v>
      </c>
      <c r="E227" s="211">
        <v>0</v>
      </c>
      <c r="F227" s="211">
        <v>77.185400000000001</v>
      </c>
      <c r="G227" s="211">
        <v>1.2</v>
      </c>
      <c r="H227" s="211">
        <v>0</v>
      </c>
      <c r="I227" s="211">
        <v>0</v>
      </c>
      <c r="J227" s="211">
        <v>2.9</v>
      </c>
      <c r="K227" s="211">
        <v>0</v>
      </c>
      <c r="L227" s="211">
        <v>8.1</v>
      </c>
      <c r="M227" s="211">
        <v>19.9954</v>
      </c>
      <c r="N227" s="211">
        <v>0</v>
      </c>
      <c r="O227" s="211">
        <v>66.3078</v>
      </c>
      <c r="P227" s="211">
        <v>124.3</v>
      </c>
      <c r="Q227" s="211">
        <v>4.5</v>
      </c>
      <c r="R227" s="211">
        <v>71.988600000000005</v>
      </c>
      <c r="S227" s="211">
        <v>130.351</v>
      </c>
      <c r="T227" s="211">
        <v>0</v>
      </c>
      <c r="U227" s="211">
        <v>0</v>
      </c>
      <c r="V227" s="211">
        <v>28.8704</v>
      </c>
      <c r="W227" s="211">
        <v>16.534199999999998</v>
      </c>
      <c r="X227" s="211">
        <v>0</v>
      </c>
      <c r="Y227" s="211">
        <v>0</v>
      </c>
      <c r="Z227" s="211">
        <v>0</v>
      </c>
      <c r="AA227" s="211">
        <v>0</v>
      </c>
      <c r="AB227" s="211">
        <v>0</v>
      </c>
      <c r="AC227" s="211">
        <v>0</v>
      </c>
      <c r="AD227" s="211">
        <v>0</v>
      </c>
      <c r="AE227" s="211">
        <v>0</v>
      </c>
      <c r="AF227" s="211">
        <v>0</v>
      </c>
      <c r="AG227" s="211">
        <v>552.2328</v>
      </c>
    </row>
    <row r="228" spans="1:33" x14ac:dyDescent="0.25">
      <c r="A228" s="207" t="s">
        <v>371</v>
      </c>
      <c r="B228" s="208"/>
      <c r="C228" s="209"/>
      <c r="D228" s="209"/>
      <c r="E228" s="209"/>
      <c r="F228" s="209"/>
      <c r="G228" s="209"/>
      <c r="H228" s="209"/>
      <c r="I228" s="209"/>
      <c r="J228" s="209"/>
      <c r="K228" s="209"/>
      <c r="L228" s="209"/>
      <c r="M228" s="209"/>
      <c r="N228" s="209"/>
      <c r="O228" s="209"/>
      <c r="P228" s="209"/>
      <c r="Q228" s="209"/>
      <c r="R228" s="209"/>
      <c r="S228" s="209"/>
      <c r="T228" s="209"/>
      <c r="U228" s="209"/>
      <c r="V228" s="209"/>
      <c r="W228" s="209"/>
      <c r="X228" s="209"/>
      <c r="Y228" s="209"/>
      <c r="Z228" s="209"/>
      <c r="AA228" s="209"/>
      <c r="AB228" s="209"/>
      <c r="AC228" s="209"/>
      <c r="AD228" s="209"/>
      <c r="AE228" s="209"/>
      <c r="AF228" s="209"/>
      <c r="AG228" s="209"/>
    </row>
    <row r="229" spans="1:33" x14ac:dyDescent="0.25">
      <c r="A229" s="121"/>
      <c r="B229" s="210" t="s">
        <v>81</v>
      </c>
      <c r="C229" s="211">
        <v>0</v>
      </c>
      <c r="D229" s="211">
        <v>0</v>
      </c>
      <c r="E229" s="211">
        <v>0</v>
      </c>
      <c r="F229" s="211">
        <v>0</v>
      </c>
      <c r="G229" s="211">
        <v>4.47</v>
      </c>
      <c r="H229" s="211">
        <v>0</v>
      </c>
      <c r="I229" s="211">
        <v>0</v>
      </c>
      <c r="J229" s="211">
        <v>1</v>
      </c>
      <c r="K229" s="211">
        <v>0</v>
      </c>
      <c r="L229" s="211">
        <v>0</v>
      </c>
      <c r="M229" s="211">
        <v>0</v>
      </c>
      <c r="N229" s="211">
        <v>0</v>
      </c>
      <c r="O229" s="211">
        <v>0</v>
      </c>
      <c r="P229" s="211">
        <v>2.2000000000000002</v>
      </c>
      <c r="Q229" s="211">
        <v>0</v>
      </c>
      <c r="R229" s="211">
        <v>16.899999999999999</v>
      </c>
      <c r="S229" s="211">
        <v>16.5</v>
      </c>
      <c r="T229" s="211">
        <v>0</v>
      </c>
      <c r="U229" s="211">
        <v>0</v>
      </c>
      <c r="V229" s="211">
        <v>0</v>
      </c>
      <c r="W229" s="211">
        <v>1.671</v>
      </c>
      <c r="X229" s="211">
        <v>0</v>
      </c>
      <c r="Y229" s="211">
        <v>12</v>
      </c>
      <c r="Z229" s="211">
        <v>0</v>
      </c>
      <c r="AA229" s="211">
        <v>0</v>
      </c>
      <c r="AB229" s="211">
        <v>0</v>
      </c>
      <c r="AC229" s="211">
        <v>0</v>
      </c>
      <c r="AD229" s="211">
        <v>0</v>
      </c>
      <c r="AE229" s="211">
        <v>0</v>
      </c>
      <c r="AF229" s="211">
        <v>30.8</v>
      </c>
      <c r="AG229" s="211">
        <v>85.540999999999997</v>
      </c>
    </row>
    <row r="230" spans="1:33" x14ac:dyDescent="0.25">
      <c r="A230" s="207" t="s">
        <v>80</v>
      </c>
      <c r="B230" s="208"/>
      <c r="C230" s="209"/>
      <c r="D230" s="209"/>
      <c r="E230" s="209"/>
      <c r="F230" s="209"/>
      <c r="G230" s="209"/>
      <c r="H230" s="209"/>
      <c r="I230" s="209"/>
      <c r="J230" s="209"/>
      <c r="K230" s="209"/>
      <c r="L230" s="209"/>
      <c r="M230" s="209"/>
      <c r="N230" s="209"/>
      <c r="O230" s="209"/>
      <c r="P230" s="209"/>
      <c r="Q230" s="209"/>
      <c r="R230" s="209"/>
      <c r="S230" s="209"/>
      <c r="T230" s="209"/>
      <c r="U230" s="209"/>
      <c r="V230" s="209"/>
      <c r="W230" s="209"/>
      <c r="X230" s="209"/>
      <c r="Y230" s="209"/>
      <c r="Z230" s="209"/>
      <c r="AA230" s="209"/>
      <c r="AB230" s="209"/>
      <c r="AC230" s="209"/>
      <c r="AD230" s="209"/>
      <c r="AE230" s="209"/>
      <c r="AF230" s="209"/>
      <c r="AG230" s="209"/>
    </row>
    <row r="231" spans="1:33" x14ac:dyDescent="0.25">
      <c r="A231" s="121"/>
      <c r="B231" s="210" t="s">
        <v>82</v>
      </c>
      <c r="C231" s="211">
        <v>0</v>
      </c>
      <c r="D231" s="211">
        <v>0</v>
      </c>
      <c r="E231" s="211">
        <v>0</v>
      </c>
      <c r="F231" s="211">
        <v>0</v>
      </c>
      <c r="G231" s="211">
        <v>0</v>
      </c>
      <c r="H231" s="211">
        <v>0</v>
      </c>
      <c r="I231" s="211">
        <v>0</v>
      </c>
      <c r="J231" s="211">
        <v>0</v>
      </c>
      <c r="K231" s="211">
        <v>0</v>
      </c>
      <c r="L231" s="211">
        <v>0</v>
      </c>
      <c r="M231" s="211">
        <v>0</v>
      </c>
      <c r="N231" s="211">
        <v>0</v>
      </c>
      <c r="O231" s="211">
        <v>0</v>
      </c>
      <c r="P231" s="211">
        <v>0</v>
      </c>
      <c r="Q231" s="211">
        <v>0</v>
      </c>
      <c r="R231" s="211">
        <v>0</v>
      </c>
      <c r="S231" s="211">
        <v>0</v>
      </c>
      <c r="T231" s="211">
        <v>0</v>
      </c>
      <c r="U231" s="211">
        <v>0</v>
      </c>
      <c r="V231" s="211">
        <v>0</v>
      </c>
      <c r="W231" s="211">
        <v>0</v>
      </c>
      <c r="X231" s="211">
        <v>0</v>
      </c>
      <c r="Y231" s="211">
        <v>0</v>
      </c>
      <c r="Z231" s="211">
        <v>0</v>
      </c>
      <c r="AA231" s="211">
        <v>0</v>
      </c>
      <c r="AB231" s="211">
        <v>0</v>
      </c>
      <c r="AC231" s="211">
        <v>0</v>
      </c>
      <c r="AD231" s="211">
        <v>0</v>
      </c>
      <c r="AE231" s="211">
        <v>0</v>
      </c>
      <c r="AF231" s="211">
        <v>0</v>
      </c>
      <c r="AG231" s="211">
        <v>0</v>
      </c>
    </row>
    <row r="232" spans="1:33" x14ac:dyDescent="0.25">
      <c r="A232" s="207" t="s">
        <v>372</v>
      </c>
      <c r="B232" s="208"/>
      <c r="C232" s="209"/>
      <c r="D232" s="209"/>
      <c r="E232" s="209"/>
      <c r="F232" s="209"/>
      <c r="G232" s="209"/>
      <c r="H232" s="209"/>
      <c r="I232" s="209"/>
      <c r="J232" s="209"/>
      <c r="K232" s="209"/>
      <c r="L232" s="209"/>
      <c r="M232" s="209"/>
      <c r="N232" s="209"/>
      <c r="O232" s="209"/>
      <c r="P232" s="209"/>
      <c r="Q232" s="209"/>
      <c r="R232" s="209"/>
      <c r="S232" s="209"/>
      <c r="T232" s="209"/>
      <c r="U232" s="209"/>
      <c r="V232" s="209"/>
      <c r="W232" s="209"/>
      <c r="X232" s="209"/>
      <c r="Y232" s="209"/>
      <c r="Z232" s="209"/>
      <c r="AA232" s="209"/>
      <c r="AB232" s="209"/>
      <c r="AC232" s="209"/>
      <c r="AD232" s="209"/>
      <c r="AE232" s="209"/>
      <c r="AF232" s="209"/>
      <c r="AG232" s="209"/>
    </row>
    <row r="233" spans="1:33" x14ac:dyDescent="0.25">
      <c r="A233" s="121"/>
      <c r="B233" s="210" t="s">
        <v>373</v>
      </c>
      <c r="C233" s="211">
        <v>0</v>
      </c>
      <c r="D233" s="211">
        <v>0</v>
      </c>
      <c r="E233" s="211">
        <v>0</v>
      </c>
      <c r="F233" s="211">
        <v>0</v>
      </c>
      <c r="G233" s="211">
        <v>0</v>
      </c>
      <c r="H233" s="211">
        <v>0</v>
      </c>
      <c r="I233" s="211">
        <v>0</v>
      </c>
      <c r="J233" s="211">
        <v>0.28000000000000003</v>
      </c>
      <c r="K233" s="211">
        <v>0</v>
      </c>
      <c r="L233" s="211">
        <v>0</v>
      </c>
      <c r="M233" s="211">
        <v>0</v>
      </c>
      <c r="N233" s="211">
        <v>0</v>
      </c>
      <c r="O233" s="211">
        <v>0</v>
      </c>
      <c r="P233" s="211">
        <v>2.4300000000000002</v>
      </c>
      <c r="Q233" s="211">
        <v>0</v>
      </c>
      <c r="R233" s="211">
        <v>0</v>
      </c>
      <c r="S233" s="211">
        <v>15.32</v>
      </c>
      <c r="T233" s="211">
        <v>0</v>
      </c>
      <c r="U233" s="211">
        <v>0</v>
      </c>
      <c r="V233" s="211">
        <v>0</v>
      </c>
      <c r="W233" s="211">
        <v>0.49</v>
      </c>
      <c r="X233" s="211">
        <v>0</v>
      </c>
      <c r="Y233" s="211">
        <v>0</v>
      </c>
      <c r="Z233" s="211">
        <v>0</v>
      </c>
      <c r="AA233" s="211">
        <v>0</v>
      </c>
      <c r="AB233" s="211">
        <v>0</v>
      </c>
      <c r="AC233" s="211">
        <v>0</v>
      </c>
      <c r="AD233" s="211">
        <v>0</v>
      </c>
      <c r="AE233" s="211">
        <v>0</v>
      </c>
      <c r="AF233" s="211">
        <v>0</v>
      </c>
      <c r="AG233" s="211">
        <v>18.52</v>
      </c>
    </row>
    <row r="234" spans="1:33" x14ac:dyDescent="0.25">
      <c r="A234" s="121"/>
      <c r="B234" s="210" t="s">
        <v>374</v>
      </c>
      <c r="C234" s="211">
        <v>0</v>
      </c>
      <c r="D234" s="211">
        <v>247.31700000000001</v>
      </c>
      <c r="E234" s="211">
        <v>0</v>
      </c>
      <c r="F234" s="211">
        <v>48.540199999999999</v>
      </c>
      <c r="G234" s="211">
        <v>0</v>
      </c>
      <c r="H234" s="211">
        <v>0</v>
      </c>
      <c r="I234" s="211">
        <v>0</v>
      </c>
      <c r="J234" s="211">
        <v>2.5331199999999998</v>
      </c>
      <c r="K234" s="211">
        <v>0</v>
      </c>
      <c r="L234" s="211">
        <v>14.96</v>
      </c>
      <c r="M234" s="211">
        <v>133.01</v>
      </c>
      <c r="N234" s="211">
        <v>0</v>
      </c>
      <c r="O234" s="211">
        <v>0.82783399999999996</v>
      </c>
      <c r="P234" s="211">
        <v>125.35</v>
      </c>
      <c r="Q234" s="211">
        <v>0</v>
      </c>
      <c r="R234" s="211">
        <v>12.5633</v>
      </c>
      <c r="S234" s="211">
        <v>18.326899999999998</v>
      </c>
      <c r="T234" s="211">
        <v>0</v>
      </c>
      <c r="U234" s="211">
        <v>0</v>
      </c>
      <c r="V234" s="211">
        <v>5.1601100000000004</v>
      </c>
      <c r="W234" s="211">
        <v>28.017199999999999</v>
      </c>
      <c r="X234" s="211">
        <v>0</v>
      </c>
      <c r="Y234" s="211">
        <v>20.23</v>
      </c>
      <c r="Z234" s="211">
        <v>57.21</v>
      </c>
      <c r="AA234" s="211">
        <v>3.19</v>
      </c>
      <c r="AB234" s="211">
        <v>9.39</v>
      </c>
      <c r="AC234" s="211">
        <v>0</v>
      </c>
      <c r="AD234" s="211">
        <v>0</v>
      </c>
      <c r="AE234" s="211">
        <v>0</v>
      </c>
      <c r="AF234" s="211">
        <v>35.643700000000003</v>
      </c>
      <c r="AG234" s="211">
        <v>762.26936400000011</v>
      </c>
    </row>
    <row r="235" spans="1:33" x14ac:dyDescent="0.25">
      <c r="A235" s="121"/>
      <c r="B235" s="210" t="s">
        <v>375</v>
      </c>
      <c r="C235" s="211">
        <v>0</v>
      </c>
      <c r="D235" s="211">
        <v>0</v>
      </c>
      <c r="E235" s="211">
        <v>0</v>
      </c>
      <c r="F235" s="211">
        <v>0</v>
      </c>
      <c r="G235" s="211">
        <v>0</v>
      </c>
      <c r="H235" s="211">
        <v>0</v>
      </c>
      <c r="I235" s="211">
        <v>0</v>
      </c>
      <c r="J235" s="211">
        <v>0.14000000000000001</v>
      </c>
      <c r="K235" s="211">
        <v>0</v>
      </c>
      <c r="L235" s="211">
        <v>0</v>
      </c>
      <c r="M235" s="211">
        <v>0</v>
      </c>
      <c r="N235" s="211">
        <v>0</v>
      </c>
      <c r="O235" s="211">
        <v>0</v>
      </c>
      <c r="P235" s="211">
        <v>0</v>
      </c>
      <c r="Q235" s="211">
        <v>0</v>
      </c>
      <c r="R235" s="211">
        <v>0</v>
      </c>
      <c r="S235" s="211">
        <v>0</v>
      </c>
      <c r="T235" s="211">
        <v>0</v>
      </c>
      <c r="U235" s="211">
        <v>0</v>
      </c>
      <c r="V235" s="211">
        <v>0</v>
      </c>
      <c r="W235" s="211">
        <v>0.09</v>
      </c>
      <c r="X235" s="211">
        <v>0</v>
      </c>
      <c r="Y235" s="211">
        <v>4.37</v>
      </c>
      <c r="Z235" s="211">
        <v>0</v>
      </c>
      <c r="AA235" s="211">
        <v>0</v>
      </c>
      <c r="AB235" s="211">
        <v>0</v>
      </c>
      <c r="AC235" s="211">
        <v>0</v>
      </c>
      <c r="AD235" s="211">
        <v>0</v>
      </c>
      <c r="AE235" s="211">
        <v>0</v>
      </c>
      <c r="AF235" s="211">
        <v>0</v>
      </c>
      <c r="AG235" s="211">
        <v>4.6000000000000005</v>
      </c>
    </row>
    <row r="236" spans="1:33" x14ac:dyDescent="0.25">
      <c r="A236" s="207" t="s">
        <v>376</v>
      </c>
      <c r="B236" s="208"/>
      <c r="C236" s="209"/>
      <c r="D236" s="209"/>
      <c r="E236" s="209"/>
      <c r="F236" s="209"/>
      <c r="G236" s="209"/>
      <c r="H236" s="209"/>
      <c r="I236" s="209"/>
      <c r="J236" s="209"/>
      <c r="K236" s="209"/>
      <c r="L236" s="209"/>
      <c r="M236" s="209"/>
      <c r="N236" s="209"/>
      <c r="O236" s="209"/>
      <c r="P236" s="209"/>
      <c r="Q236" s="209"/>
      <c r="R236" s="209"/>
      <c r="S236" s="209"/>
      <c r="T236" s="209"/>
      <c r="U236" s="209"/>
      <c r="V236" s="209"/>
      <c r="W236" s="209"/>
      <c r="X236" s="209"/>
      <c r="Y236" s="209"/>
      <c r="Z236" s="209"/>
      <c r="AA236" s="209"/>
      <c r="AB236" s="209"/>
      <c r="AC236" s="209"/>
      <c r="AD236" s="209"/>
      <c r="AE236" s="209"/>
      <c r="AF236" s="209"/>
      <c r="AG236" s="209"/>
    </row>
    <row r="237" spans="1:33" x14ac:dyDescent="0.25">
      <c r="A237" s="121"/>
      <c r="B237" s="210" t="s">
        <v>377</v>
      </c>
      <c r="C237" s="211">
        <v>0</v>
      </c>
      <c r="D237" s="211">
        <v>0</v>
      </c>
      <c r="E237" s="211">
        <v>0</v>
      </c>
      <c r="F237" s="211">
        <v>65.518500000000003</v>
      </c>
      <c r="G237" s="211">
        <v>0</v>
      </c>
      <c r="H237" s="211">
        <v>0</v>
      </c>
      <c r="I237" s="211">
        <v>0</v>
      </c>
      <c r="J237" s="211">
        <v>0.66</v>
      </c>
      <c r="K237" s="211">
        <v>0</v>
      </c>
      <c r="L237" s="211">
        <v>0.73</v>
      </c>
      <c r="M237" s="211">
        <v>123.318</v>
      </c>
      <c r="N237" s="211">
        <v>0</v>
      </c>
      <c r="O237" s="211">
        <v>0</v>
      </c>
      <c r="P237" s="211">
        <v>89.3</v>
      </c>
      <c r="Q237" s="211">
        <v>0</v>
      </c>
      <c r="R237" s="211">
        <v>25.683599999999998</v>
      </c>
      <c r="S237" s="211">
        <v>0</v>
      </c>
      <c r="T237" s="211">
        <v>0</v>
      </c>
      <c r="U237" s="211">
        <v>0</v>
      </c>
      <c r="V237" s="211">
        <v>0</v>
      </c>
      <c r="W237" s="211">
        <v>15.3162</v>
      </c>
      <c r="X237" s="211">
        <v>0</v>
      </c>
      <c r="Y237" s="211">
        <v>0</v>
      </c>
      <c r="Z237" s="211">
        <v>64</v>
      </c>
      <c r="AA237" s="211">
        <v>0</v>
      </c>
      <c r="AB237" s="211">
        <v>0</v>
      </c>
      <c r="AC237" s="211">
        <v>0</v>
      </c>
      <c r="AD237" s="211">
        <v>0</v>
      </c>
      <c r="AE237" s="211">
        <v>0</v>
      </c>
      <c r="AF237" s="211">
        <v>0</v>
      </c>
      <c r="AG237" s="211">
        <v>384.52629999999999</v>
      </c>
    </row>
    <row r="238" spans="1:33" x14ac:dyDescent="0.25">
      <c r="A238" s="207" t="s">
        <v>83</v>
      </c>
      <c r="B238" s="208"/>
      <c r="C238" s="209"/>
      <c r="D238" s="209"/>
      <c r="E238" s="209"/>
      <c r="F238" s="209"/>
      <c r="G238" s="209"/>
      <c r="H238" s="209"/>
      <c r="I238" s="209"/>
      <c r="J238" s="209"/>
      <c r="K238" s="209"/>
      <c r="L238" s="209"/>
      <c r="M238" s="209"/>
      <c r="N238" s="209"/>
      <c r="O238" s="209"/>
      <c r="P238" s="209"/>
      <c r="Q238" s="209"/>
      <c r="R238" s="209"/>
      <c r="S238" s="209"/>
      <c r="T238" s="209"/>
      <c r="U238" s="209"/>
      <c r="V238" s="209"/>
      <c r="W238" s="209"/>
      <c r="X238" s="209"/>
      <c r="Y238" s="209"/>
      <c r="Z238" s="209"/>
      <c r="AA238" s="209"/>
      <c r="AB238" s="209"/>
      <c r="AC238" s="209"/>
      <c r="AD238" s="209"/>
      <c r="AE238" s="209"/>
      <c r="AF238" s="209"/>
      <c r="AG238" s="209"/>
    </row>
    <row r="239" spans="1:33" x14ac:dyDescent="0.25">
      <c r="A239" s="121"/>
      <c r="B239" s="210" t="s">
        <v>85</v>
      </c>
      <c r="C239" s="211">
        <v>0</v>
      </c>
      <c r="D239" s="211">
        <v>0</v>
      </c>
      <c r="E239" s="211">
        <v>0</v>
      </c>
      <c r="F239" s="211">
        <v>0</v>
      </c>
      <c r="G239" s="211">
        <v>0</v>
      </c>
      <c r="H239" s="211">
        <v>0</v>
      </c>
      <c r="I239" s="211">
        <v>0</v>
      </c>
      <c r="J239" s="211">
        <v>0</v>
      </c>
      <c r="K239" s="211">
        <v>0</v>
      </c>
      <c r="L239" s="211">
        <v>0</v>
      </c>
      <c r="M239" s="211">
        <v>0</v>
      </c>
      <c r="N239" s="211">
        <v>0</v>
      </c>
      <c r="O239" s="211">
        <v>0</v>
      </c>
      <c r="P239" s="211">
        <v>0</v>
      </c>
      <c r="Q239" s="211">
        <v>0</v>
      </c>
      <c r="R239" s="211">
        <v>0</v>
      </c>
      <c r="S239" s="211">
        <v>0</v>
      </c>
      <c r="T239" s="211">
        <v>0</v>
      </c>
      <c r="U239" s="211">
        <v>0</v>
      </c>
      <c r="V239" s="211">
        <v>0</v>
      </c>
      <c r="W239" s="211">
        <v>0</v>
      </c>
      <c r="X239" s="211">
        <v>0</v>
      </c>
      <c r="Y239" s="211">
        <v>0</v>
      </c>
      <c r="Z239" s="211">
        <v>0</v>
      </c>
      <c r="AA239" s="211">
        <v>0</v>
      </c>
      <c r="AB239" s="211">
        <v>0</v>
      </c>
      <c r="AC239" s="211">
        <v>0</v>
      </c>
      <c r="AD239" s="211">
        <v>0</v>
      </c>
      <c r="AE239" s="211">
        <v>0</v>
      </c>
      <c r="AF239" s="211">
        <v>0</v>
      </c>
      <c r="AG239" s="211">
        <v>0</v>
      </c>
    </row>
    <row r="240" spans="1:33" x14ac:dyDescent="0.25">
      <c r="A240" s="207" t="s">
        <v>378</v>
      </c>
      <c r="B240" s="208"/>
      <c r="C240" s="209"/>
      <c r="D240" s="209"/>
      <c r="E240" s="209"/>
      <c r="F240" s="209"/>
      <c r="G240" s="209"/>
      <c r="H240" s="209"/>
      <c r="I240" s="209"/>
      <c r="J240" s="209"/>
      <c r="K240" s="209"/>
      <c r="L240" s="209"/>
      <c r="M240" s="209"/>
      <c r="N240" s="209"/>
      <c r="O240" s="209"/>
      <c r="P240" s="209"/>
      <c r="Q240" s="209"/>
      <c r="R240" s="209"/>
      <c r="S240" s="209"/>
      <c r="T240" s="209"/>
      <c r="U240" s="209"/>
      <c r="V240" s="209"/>
      <c r="W240" s="209"/>
      <c r="X240" s="209"/>
      <c r="Y240" s="209"/>
      <c r="Z240" s="209"/>
      <c r="AA240" s="209"/>
      <c r="AB240" s="209"/>
      <c r="AC240" s="209"/>
      <c r="AD240" s="209"/>
      <c r="AE240" s="209"/>
      <c r="AF240" s="209"/>
      <c r="AG240" s="209"/>
    </row>
    <row r="241" spans="1:33" x14ac:dyDescent="0.25">
      <c r="A241" s="121"/>
      <c r="B241" s="210" t="s">
        <v>84</v>
      </c>
      <c r="C241" s="211">
        <v>0</v>
      </c>
      <c r="D241" s="211">
        <v>0</v>
      </c>
      <c r="E241" s="211">
        <v>0</v>
      </c>
      <c r="F241" s="211">
        <v>0</v>
      </c>
      <c r="G241" s="211">
        <v>0</v>
      </c>
      <c r="H241" s="211">
        <v>0</v>
      </c>
      <c r="I241" s="211">
        <v>0</v>
      </c>
      <c r="J241" s="211">
        <v>0.64200000000000002</v>
      </c>
      <c r="K241" s="211">
        <v>0</v>
      </c>
      <c r="L241" s="211">
        <v>0</v>
      </c>
      <c r="M241" s="211">
        <v>0</v>
      </c>
      <c r="N241" s="211">
        <v>0</v>
      </c>
      <c r="O241" s="211">
        <v>0</v>
      </c>
      <c r="P241" s="211">
        <v>2.4089999999999998</v>
      </c>
      <c r="Q241" s="211">
        <v>0</v>
      </c>
      <c r="R241" s="211">
        <v>0</v>
      </c>
      <c r="S241" s="211">
        <v>18.353000000000002</v>
      </c>
      <c r="T241" s="211">
        <v>0</v>
      </c>
      <c r="U241" s="211">
        <v>0</v>
      </c>
      <c r="V241" s="211">
        <v>0</v>
      </c>
      <c r="W241" s="211">
        <v>0.45300000000000001</v>
      </c>
      <c r="X241" s="211">
        <v>0</v>
      </c>
      <c r="Y241" s="211">
        <v>0</v>
      </c>
      <c r="Z241" s="211">
        <v>0</v>
      </c>
      <c r="AA241" s="211">
        <v>0</v>
      </c>
      <c r="AB241" s="211">
        <v>0</v>
      </c>
      <c r="AC241" s="211">
        <v>0.22352900000000001</v>
      </c>
      <c r="AD241" s="211">
        <v>0</v>
      </c>
      <c r="AE241" s="211">
        <v>0</v>
      </c>
      <c r="AF241" s="211">
        <v>0</v>
      </c>
      <c r="AG241" s="211">
        <v>22.080528999999999</v>
      </c>
    </row>
    <row r="242" spans="1:33" x14ac:dyDescent="0.25">
      <c r="A242" s="207" t="s">
        <v>380</v>
      </c>
      <c r="B242" s="208"/>
      <c r="C242" s="209"/>
      <c r="D242" s="209"/>
      <c r="E242" s="209"/>
      <c r="F242" s="209"/>
      <c r="G242" s="209"/>
      <c r="H242" s="209"/>
      <c r="I242" s="209"/>
      <c r="J242" s="209"/>
      <c r="K242" s="209"/>
      <c r="L242" s="209"/>
      <c r="M242" s="209"/>
      <c r="N242" s="209"/>
      <c r="O242" s="209"/>
      <c r="P242" s="209"/>
      <c r="Q242" s="209"/>
      <c r="R242" s="209"/>
      <c r="S242" s="209"/>
      <c r="T242" s="209"/>
      <c r="U242" s="209"/>
      <c r="V242" s="209"/>
      <c r="W242" s="209"/>
      <c r="X242" s="209"/>
      <c r="Y242" s="209"/>
      <c r="Z242" s="209"/>
      <c r="AA242" s="209"/>
      <c r="AB242" s="209"/>
      <c r="AC242" s="209"/>
      <c r="AD242" s="209"/>
      <c r="AE242" s="209"/>
      <c r="AF242" s="209"/>
      <c r="AG242" s="209"/>
    </row>
    <row r="243" spans="1:33" x14ac:dyDescent="0.25">
      <c r="A243" s="121"/>
      <c r="B243" s="210" t="s">
        <v>381</v>
      </c>
      <c r="C243" s="211">
        <v>0</v>
      </c>
      <c r="D243" s="211">
        <v>0</v>
      </c>
      <c r="E243" s="211">
        <v>0</v>
      </c>
      <c r="F243" s="211">
        <v>0</v>
      </c>
      <c r="G243" s="211">
        <v>0</v>
      </c>
      <c r="H243" s="211">
        <v>0</v>
      </c>
      <c r="I243" s="211">
        <v>0</v>
      </c>
      <c r="J243" s="211">
        <v>2.008</v>
      </c>
      <c r="K243" s="211">
        <v>0</v>
      </c>
      <c r="L243" s="211">
        <v>0</v>
      </c>
      <c r="M243" s="211">
        <v>0</v>
      </c>
      <c r="N243" s="211">
        <v>1.1990000000000001</v>
      </c>
      <c r="O243" s="211">
        <v>0</v>
      </c>
      <c r="P243" s="211">
        <v>0</v>
      </c>
      <c r="Q243" s="211">
        <v>176.923</v>
      </c>
      <c r="R243" s="211">
        <v>0</v>
      </c>
      <c r="S243" s="211">
        <v>0</v>
      </c>
      <c r="T243" s="211">
        <v>0</v>
      </c>
      <c r="U243" s="211">
        <v>0</v>
      </c>
      <c r="V243" s="211">
        <v>0</v>
      </c>
      <c r="W243" s="211">
        <v>5.0346900000000003</v>
      </c>
      <c r="X243" s="211">
        <v>0</v>
      </c>
      <c r="Y243" s="211">
        <v>11.427</v>
      </c>
      <c r="Z243" s="211">
        <v>0</v>
      </c>
      <c r="AA243" s="211">
        <v>0</v>
      </c>
      <c r="AB243" s="211">
        <v>0</v>
      </c>
      <c r="AC243" s="211">
        <v>0</v>
      </c>
      <c r="AD243" s="211">
        <v>0</v>
      </c>
      <c r="AE243" s="211">
        <v>0</v>
      </c>
      <c r="AF243" s="211">
        <v>0</v>
      </c>
      <c r="AG243" s="211">
        <v>196.59169</v>
      </c>
    </row>
    <row r="244" spans="1:33" x14ac:dyDescent="0.25">
      <c r="A244" s="207" t="s">
        <v>86</v>
      </c>
      <c r="B244" s="208"/>
      <c r="C244" s="209"/>
      <c r="D244" s="209"/>
      <c r="E244" s="209"/>
      <c r="F244" s="209"/>
      <c r="G244" s="209"/>
      <c r="H244" s="209"/>
      <c r="I244" s="209"/>
      <c r="J244" s="209"/>
      <c r="K244" s="209"/>
      <c r="L244" s="209"/>
      <c r="M244" s="209"/>
      <c r="N244" s="209"/>
      <c r="O244" s="209"/>
      <c r="P244" s="209"/>
      <c r="Q244" s="209"/>
      <c r="R244" s="209"/>
      <c r="S244" s="209"/>
      <c r="T244" s="209"/>
      <c r="U244" s="209"/>
      <c r="V244" s="209"/>
      <c r="W244" s="209"/>
      <c r="X244" s="209"/>
      <c r="Y244" s="209"/>
      <c r="Z244" s="209"/>
      <c r="AA244" s="209"/>
      <c r="AB244" s="209"/>
      <c r="AC244" s="209"/>
      <c r="AD244" s="209"/>
      <c r="AE244" s="209"/>
      <c r="AF244" s="209"/>
      <c r="AG244" s="209"/>
    </row>
    <row r="245" spans="1:33" x14ac:dyDescent="0.25">
      <c r="A245" s="121"/>
      <c r="B245" s="210" t="s">
        <v>88</v>
      </c>
      <c r="C245" s="211">
        <v>0</v>
      </c>
      <c r="D245" s="211">
        <v>0</v>
      </c>
      <c r="E245" s="211">
        <v>0</v>
      </c>
      <c r="F245" s="211">
        <v>0</v>
      </c>
      <c r="G245" s="211">
        <v>0</v>
      </c>
      <c r="H245" s="211">
        <v>0</v>
      </c>
      <c r="I245" s="211">
        <v>0</v>
      </c>
      <c r="J245" s="211">
        <v>0</v>
      </c>
      <c r="K245" s="211">
        <v>0</v>
      </c>
      <c r="L245" s="211">
        <v>0</v>
      </c>
      <c r="M245" s="211">
        <v>0</v>
      </c>
      <c r="N245" s="211">
        <v>0</v>
      </c>
      <c r="O245" s="211">
        <v>0</v>
      </c>
      <c r="P245" s="211">
        <v>0</v>
      </c>
      <c r="Q245" s="211">
        <v>0</v>
      </c>
      <c r="R245" s="211">
        <v>0</v>
      </c>
      <c r="S245" s="211">
        <v>0</v>
      </c>
      <c r="T245" s="211">
        <v>0</v>
      </c>
      <c r="U245" s="211">
        <v>0</v>
      </c>
      <c r="V245" s="211">
        <v>0</v>
      </c>
      <c r="W245" s="211">
        <v>0</v>
      </c>
      <c r="X245" s="211">
        <v>0</v>
      </c>
      <c r="Y245" s="211">
        <v>0</v>
      </c>
      <c r="Z245" s="211">
        <v>0</v>
      </c>
      <c r="AA245" s="211">
        <v>0</v>
      </c>
      <c r="AB245" s="211">
        <v>0</v>
      </c>
      <c r="AC245" s="211">
        <v>0</v>
      </c>
      <c r="AD245" s="211">
        <v>0</v>
      </c>
      <c r="AE245" s="211">
        <v>0</v>
      </c>
      <c r="AF245" s="211">
        <v>0</v>
      </c>
      <c r="AG245" s="211">
        <v>0</v>
      </c>
    </row>
    <row r="246" spans="1:33" x14ac:dyDescent="0.25">
      <c r="A246" s="207" t="s">
        <v>382</v>
      </c>
      <c r="B246" s="208"/>
      <c r="C246" s="209"/>
      <c r="D246" s="209"/>
      <c r="E246" s="209"/>
      <c r="F246" s="209"/>
      <c r="G246" s="209"/>
      <c r="H246" s="209"/>
      <c r="I246" s="209"/>
      <c r="J246" s="209"/>
      <c r="K246" s="209"/>
      <c r="L246" s="209"/>
      <c r="M246" s="209"/>
      <c r="N246" s="209"/>
      <c r="O246" s="209"/>
      <c r="P246" s="209"/>
      <c r="Q246" s="209"/>
      <c r="R246" s="209"/>
      <c r="S246" s="209"/>
      <c r="T246" s="209"/>
      <c r="U246" s="209"/>
      <c r="V246" s="209"/>
      <c r="W246" s="209"/>
      <c r="X246" s="209"/>
      <c r="Y246" s="209"/>
      <c r="Z246" s="209"/>
      <c r="AA246" s="209"/>
      <c r="AB246" s="209"/>
      <c r="AC246" s="209"/>
      <c r="AD246" s="209"/>
      <c r="AE246" s="209"/>
      <c r="AF246" s="209"/>
      <c r="AG246" s="209"/>
    </row>
    <row r="247" spans="1:33" x14ac:dyDescent="0.25">
      <c r="A247" s="121"/>
      <c r="B247" s="210" t="s">
        <v>87</v>
      </c>
      <c r="C247" s="211">
        <v>0</v>
      </c>
      <c r="D247" s="211">
        <v>72.571299999999994</v>
      </c>
      <c r="E247" s="211">
        <v>0</v>
      </c>
      <c r="F247" s="211">
        <v>0</v>
      </c>
      <c r="G247" s="211">
        <v>26.384699999999999</v>
      </c>
      <c r="H247" s="211">
        <v>0</v>
      </c>
      <c r="I247" s="211">
        <v>0</v>
      </c>
      <c r="J247" s="211">
        <v>17.923300000000001</v>
      </c>
      <c r="K247" s="211">
        <v>0</v>
      </c>
      <c r="L247" s="211">
        <v>0</v>
      </c>
      <c r="M247" s="211">
        <v>0</v>
      </c>
      <c r="N247" s="211">
        <v>0</v>
      </c>
      <c r="O247" s="211">
        <v>163.732</v>
      </c>
      <c r="P247" s="211">
        <v>22.4</v>
      </c>
      <c r="Q247" s="211">
        <v>0</v>
      </c>
      <c r="R247" s="211">
        <v>0</v>
      </c>
      <c r="S247" s="211">
        <v>0</v>
      </c>
      <c r="T247" s="211">
        <v>0</v>
      </c>
      <c r="U247" s="211">
        <v>0</v>
      </c>
      <c r="V247" s="211">
        <v>52.188899999999997</v>
      </c>
      <c r="W247" s="211">
        <v>13.027100000000001</v>
      </c>
      <c r="X247" s="211">
        <v>0</v>
      </c>
      <c r="Y247" s="211">
        <v>0</v>
      </c>
      <c r="Z247" s="211">
        <v>0</v>
      </c>
      <c r="AA247" s="211">
        <v>0</v>
      </c>
      <c r="AB247" s="211">
        <v>0</v>
      </c>
      <c r="AC247" s="211">
        <v>0</v>
      </c>
      <c r="AD247" s="211">
        <v>0</v>
      </c>
      <c r="AE247" s="211">
        <v>6.2479800000000001</v>
      </c>
      <c r="AF247" s="211">
        <v>0</v>
      </c>
      <c r="AG247" s="211">
        <v>374.47527999999994</v>
      </c>
    </row>
    <row r="248" spans="1:33" x14ac:dyDescent="0.25">
      <c r="A248" s="207" t="s">
        <v>89</v>
      </c>
      <c r="B248" s="208"/>
      <c r="C248" s="209"/>
      <c r="D248" s="209"/>
      <c r="E248" s="209"/>
      <c r="F248" s="209"/>
      <c r="G248" s="209"/>
      <c r="H248" s="209"/>
      <c r="I248" s="209"/>
      <c r="J248" s="209"/>
      <c r="K248" s="209"/>
      <c r="L248" s="209"/>
      <c r="M248" s="209"/>
      <c r="N248" s="209"/>
      <c r="O248" s="209"/>
      <c r="P248" s="209"/>
      <c r="Q248" s="209"/>
      <c r="R248" s="209"/>
      <c r="S248" s="209"/>
      <c r="T248" s="209"/>
      <c r="U248" s="209"/>
      <c r="V248" s="209"/>
      <c r="W248" s="209"/>
      <c r="X248" s="209"/>
      <c r="Y248" s="209"/>
      <c r="Z248" s="209"/>
      <c r="AA248" s="209"/>
      <c r="AB248" s="209"/>
      <c r="AC248" s="209"/>
      <c r="AD248" s="209"/>
      <c r="AE248" s="209"/>
      <c r="AF248" s="209"/>
      <c r="AG248" s="209"/>
    </row>
    <row r="249" spans="1:33" x14ac:dyDescent="0.25">
      <c r="A249" s="121"/>
      <c r="B249" s="210" t="s">
        <v>91</v>
      </c>
      <c r="C249" s="211">
        <v>0</v>
      </c>
      <c r="D249" s="211">
        <v>0</v>
      </c>
      <c r="E249" s="211">
        <v>0</v>
      </c>
      <c r="F249" s="211">
        <v>0</v>
      </c>
      <c r="G249" s="211">
        <v>0</v>
      </c>
      <c r="H249" s="211">
        <v>0</v>
      </c>
      <c r="I249" s="211">
        <v>0</v>
      </c>
      <c r="J249" s="211">
        <v>0</v>
      </c>
      <c r="K249" s="211">
        <v>0</v>
      </c>
      <c r="L249" s="211">
        <v>0</v>
      </c>
      <c r="M249" s="211">
        <v>0</v>
      </c>
      <c r="N249" s="211">
        <v>0</v>
      </c>
      <c r="O249" s="211">
        <v>0</v>
      </c>
      <c r="P249" s="211">
        <v>0</v>
      </c>
      <c r="Q249" s="211">
        <v>0</v>
      </c>
      <c r="R249" s="211">
        <v>0</v>
      </c>
      <c r="S249" s="211">
        <v>0</v>
      </c>
      <c r="T249" s="211">
        <v>0</v>
      </c>
      <c r="U249" s="211">
        <v>0</v>
      </c>
      <c r="V249" s="211">
        <v>0</v>
      </c>
      <c r="W249" s="211">
        <v>0</v>
      </c>
      <c r="X249" s="211">
        <v>0</v>
      </c>
      <c r="Y249" s="211">
        <v>0</v>
      </c>
      <c r="Z249" s="211">
        <v>0</v>
      </c>
      <c r="AA249" s="211">
        <v>0</v>
      </c>
      <c r="AB249" s="211">
        <v>0</v>
      </c>
      <c r="AC249" s="211">
        <v>0</v>
      </c>
      <c r="AD249" s="211">
        <v>0</v>
      </c>
      <c r="AE249" s="211">
        <v>0</v>
      </c>
      <c r="AF249" s="211">
        <v>0</v>
      </c>
      <c r="AG249" s="211">
        <v>0</v>
      </c>
    </row>
    <row r="250" spans="1:33" x14ac:dyDescent="0.25">
      <c r="A250" s="207" t="s">
        <v>383</v>
      </c>
      <c r="B250" s="208"/>
      <c r="C250" s="209"/>
      <c r="D250" s="209"/>
      <c r="E250" s="209"/>
      <c r="F250" s="209"/>
      <c r="G250" s="209"/>
      <c r="H250" s="209"/>
      <c r="I250" s="209"/>
      <c r="J250" s="209"/>
      <c r="K250" s="209"/>
      <c r="L250" s="209"/>
      <c r="M250" s="209"/>
      <c r="N250" s="209"/>
      <c r="O250" s="209"/>
      <c r="P250" s="209"/>
      <c r="Q250" s="209"/>
      <c r="R250" s="209"/>
      <c r="S250" s="209"/>
      <c r="T250" s="209"/>
      <c r="U250" s="209"/>
      <c r="V250" s="209"/>
      <c r="W250" s="209"/>
      <c r="X250" s="209"/>
      <c r="Y250" s="209"/>
      <c r="Z250" s="209"/>
      <c r="AA250" s="209"/>
      <c r="AB250" s="209"/>
      <c r="AC250" s="209"/>
      <c r="AD250" s="209"/>
      <c r="AE250" s="209"/>
      <c r="AF250" s="209"/>
      <c r="AG250" s="209"/>
    </row>
    <row r="251" spans="1:33" x14ac:dyDescent="0.25">
      <c r="A251" s="121"/>
      <c r="B251" s="210" t="s">
        <v>384</v>
      </c>
      <c r="C251" s="211">
        <v>0</v>
      </c>
      <c r="D251" s="211">
        <v>146.11000000000001</v>
      </c>
      <c r="E251" s="211">
        <v>0</v>
      </c>
      <c r="F251" s="211">
        <v>0</v>
      </c>
      <c r="G251" s="211">
        <v>9.1</v>
      </c>
      <c r="H251" s="211">
        <v>0</v>
      </c>
      <c r="I251" s="211">
        <v>0</v>
      </c>
      <c r="J251" s="211">
        <v>7.1043900000000004</v>
      </c>
      <c r="K251" s="211">
        <v>0</v>
      </c>
      <c r="L251" s="211">
        <v>1.7035199999999999</v>
      </c>
      <c r="M251" s="211">
        <v>0</v>
      </c>
      <c r="N251" s="211">
        <v>0</v>
      </c>
      <c r="O251" s="211">
        <v>0</v>
      </c>
      <c r="P251" s="211">
        <v>153.05099999999999</v>
      </c>
      <c r="Q251" s="211">
        <v>5.0119999999999996</v>
      </c>
      <c r="R251" s="211">
        <v>0</v>
      </c>
      <c r="S251" s="211">
        <v>0</v>
      </c>
      <c r="T251" s="211">
        <v>0</v>
      </c>
      <c r="U251" s="211">
        <v>0</v>
      </c>
      <c r="V251" s="211">
        <v>0</v>
      </c>
      <c r="W251" s="211">
        <v>27.029199999999999</v>
      </c>
      <c r="X251" s="211">
        <v>0</v>
      </c>
      <c r="Y251" s="211">
        <v>0</v>
      </c>
      <c r="Z251" s="211">
        <v>0</v>
      </c>
      <c r="AA251" s="211">
        <v>0</v>
      </c>
      <c r="AB251" s="211">
        <v>0</v>
      </c>
      <c r="AC251" s="211">
        <v>0</v>
      </c>
      <c r="AD251" s="211">
        <v>0</v>
      </c>
      <c r="AE251" s="211">
        <v>0</v>
      </c>
      <c r="AF251" s="211">
        <v>340.73</v>
      </c>
      <c r="AG251" s="211">
        <v>689.84010999999998</v>
      </c>
    </row>
    <row r="252" spans="1:33" x14ac:dyDescent="0.25">
      <c r="A252" s="207" t="s">
        <v>1135</v>
      </c>
      <c r="B252" s="208"/>
      <c r="C252" s="209"/>
      <c r="D252" s="209"/>
      <c r="E252" s="209"/>
      <c r="F252" s="209"/>
      <c r="G252" s="209"/>
      <c r="H252" s="209"/>
      <c r="I252" s="209"/>
      <c r="J252" s="209"/>
      <c r="K252" s="209"/>
      <c r="L252" s="209"/>
      <c r="M252" s="209"/>
      <c r="N252" s="209"/>
      <c r="O252" s="209"/>
      <c r="P252" s="209"/>
      <c r="Q252" s="209"/>
      <c r="R252" s="209"/>
      <c r="S252" s="209"/>
      <c r="T252" s="209"/>
      <c r="U252" s="209"/>
      <c r="V252" s="209"/>
      <c r="W252" s="209"/>
      <c r="X252" s="209"/>
      <c r="Y252" s="209"/>
      <c r="Z252" s="209"/>
      <c r="AA252" s="209"/>
      <c r="AB252" s="209"/>
      <c r="AC252" s="209"/>
      <c r="AD252" s="209"/>
      <c r="AE252" s="209"/>
      <c r="AF252" s="209"/>
      <c r="AG252" s="209"/>
    </row>
    <row r="253" spans="1:33" x14ac:dyDescent="0.25">
      <c r="A253" s="121"/>
      <c r="B253" s="210" t="s">
        <v>1136</v>
      </c>
      <c r="C253" s="211">
        <v>0</v>
      </c>
      <c r="D253" s="211">
        <v>0</v>
      </c>
      <c r="E253" s="211">
        <v>0</v>
      </c>
      <c r="F253" s="211">
        <v>0</v>
      </c>
      <c r="G253" s="211">
        <v>0</v>
      </c>
      <c r="H253" s="211">
        <v>0</v>
      </c>
      <c r="I253" s="211">
        <v>0</v>
      </c>
      <c r="J253" s="211">
        <v>0</v>
      </c>
      <c r="K253" s="211">
        <v>0</v>
      </c>
      <c r="L253" s="211">
        <v>0</v>
      </c>
      <c r="M253" s="211">
        <v>0</v>
      </c>
      <c r="N253" s="211">
        <v>0</v>
      </c>
      <c r="O253" s="211">
        <v>0</v>
      </c>
      <c r="P253" s="211">
        <v>0</v>
      </c>
      <c r="Q253" s="211">
        <v>0</v>
      </c>
      <c r="R253" s="211">
        <v>0</v>
      </c>
      <c r="S253" s="211">
        <v>0</v>
      </c>
      <c r="T253" s="211">
        <v>0</v>
      </c>
      <c r="U253" s="211">
        <v>0</v>
      </c>
      <c r="V253" s="211">
        <v>0</v>
      </c>
      <c r="W253" s="211">
        <v>0</v>
      </c>
      <c r="X253" s="211">
        <v>0</v>
      </c>
      <c r="Y253" s="211">
        <v>0</v>
      </c>
      <c r="Z253" s="211">
        <v>0</v>
      </c>
      <c r="AA253" s="211">
        <v>0</v>
      </c>
      <c r="AB253" s="211">
        <v>0</v>
      </c>
      <c r="AC253" s="211">
        <v>0</v>
      </c>
      <c r="AD253" s="211">
        <v>0</v>
      </c>
      <c r="AE253" s="211">
        <v>0</v>
      </c>
      <c r="AF253" s="211">
        <v>0</v>
      </c>
      <c r="AG253" s="211">
        <v>0</v>
      </c>
    </row>
    <row r="254" spans="1:33" x14ac:dyDescent="0.25">
      <c r="A254" s="207" t="s">
        <v>385</v>
      </c>
      <c r="B254" s="208"/>
      <c r="C254" s="209"/>
      <c r="D254" s="209"/>
      <c r="E254" s="209"/>
      <c r="F254" s="209"/>
      <c r="G254" s="209"/>
      <c r="H254" s="209"/>
      <c r="I254" s="209"/>
      <c r="J254" s="209"/>
      <c r="K254" s="209"/>
      <c r="L254" s="209"/>
      <c r="M254" s="209"/>
      <c r="N254" s="209"/>
      <c r="O254" s="209"/>
      <c r="P254" s="209"/>
      <c r="Q254" s="209"/>
      <c r="R254" s="209"/>
      <c r="S254" s="209"/>
      <c r="T254" s="209"/>
      <c r="U254" s="209"/>
      <c r="V254" s="209"/>
      <c r="W254" s="209"/>
      <c r="X254" s="209"/>
      <c r="Y254" s="209"/>
      <c r="Z254" s="209"/>
      <c r="AA254" s="209"/>
      <c r="AB254" s="209"/>
      <c r="AC254" s="209"/>
      <c r="AD254" s="209"/>
      <c r="AE254" s="209"/>
      <c r="AF254" s="209"/>
      <c r="AG254" s="209"/>
    </row>
    <row r="255" spans="1:33" x14ac:dyDescent="0.25">
      <c r="A255" s="121"/>
      <c r="B255" s="210" t="s">
        <v>386</v>
      </c>
      <c r="C255" s="211">
        <v>0</v>
      </c>
      <c r="D255" s="211">
        <v>0</v>
      </c>
      <c r="E255" s="211">
        <v>0</v>
      </c>
      <c r="F255" s="211">
        <v>0</v>
      </c>
      <c r="G255" s="211">
        <v>0</v>
      </c>
      <c r="H255" s="211">
        <v>0.235294</v>
      </c>
      <c r="I255" s="211">
        <v>0</v>
      </c>
      <c r="J255" s="211">
        <v>0.6</v>
      </c>
      <c r="K255" s="211">
        <v>0</v>
      </c>
      <c r="L255" s="211">
        <v>0</v>
      </c>
      <c r="M255" s="211">
        <v>0</v>
      </c>
      <c r="N255" s="211">
        <v>0</v>
      </c>
      <c r="O255" s="211">
        <v>42.9</v>
      </c>
      <c r="P255" s="211">
        <v>0</v>
      </c>
      <c r="Q255" s="211">
        <v>0</v>
      </c>
      <c r="R255" s="211">
        <v>0</v>
      </c>
      <c r="S255" s="211">
        <v>0</v>
      </c>
      <c r="T255" s="211">
        <v>0</v>
      </c>
      <c r="U255" s="211">
        <v>0</v>
      </c>
      <c r="V255" s="211">
        <v>0</v>
      </c>
      <c r="W255" s="211">
        <v>1.9</v>
      </c>
      <c r="X255" s="211">
        <v>0</v>
      </c>
      <c r="Y255" s="211">
        <v>3.2</v>
      </c>
      <c r="Z255" s="211">
        <v>0</v>
      </c>
      <c r="AA255" s="211">
        <v>0</v>
      </c>
      <c r="AB255" s="211">
        <v>0</v>
      </c>
      <c r="AC255" s="211">
        <v>0</v>
      </c>
      <c r="AD255" s="211">
        <v>0</v>
      </c>
      <c r="AE255" s="211">
        <v>0</v>
      </c>
      <c r="AF255" s="211">
        <v>0</v>
      </c>
      <c r="AG255" s="211">
        <v>48.835293999999998</v>
      </c>
    </row>
    <row r="256" spans="1:33" x14ac:dyDescent="0.25">
      <c r="A256" s="207" t="s">
        <v>387</v>
      </c>
      <c r="B256" s="208"/>
      <c r="C256" s="209"/>
      <c r="D256" s="209"/>
      <c r="E256" s="209"/>
      <c r="F256" s="209"/>
      <c r="G256" s="209"/>
      <c r="H256" s="209"/>
      <c r="I256" s="209"/>
      <c r="J256" s="209"/>
      <c r="K256" s="209"/>
      <c r="L256" s="209"/>
      <c r="M256" s="209"/>
      <c r="N256" s="209"/>
      <c r="O256" s="209"/>
      <c r="P256" s="209"/>
      <c r="Q256" s="209"/>
      <c r="R256" s="209"/>
      <c r="S256" s="209"/>
      <c r="T256" s="209"/>
      <c r="U256" s="209"/>
      <c r="V256" s="209"/>
      <c r="W256" s="209"/>
      <c r="X256" s="209"/>
      <c r="Y256" s="209"/>
      <c r="Z256" s="209"/>
      <c r="AA256" s="209"/>
      <c r="AB256" s="209"/>
      <c r="AC256" s="209"/>
      <c r="AD256" s="209"/>
      <c r="AE256" s="209"/>
      <c r="AF256" s="209"/>
      <c r="AG256" s="209"/>
    </row>
    <row r="257" spans="1:33" x14ac:dyDescent="0.25">
      <c r="A257" s="121"/>
      <c r="B257" s="210" t="s">
        <v>388</v>
      </c>
      <c r="C257" s="211">
        <v>0</v>
      </c>
      <c r="D257" s="211">
        <v>127.937</v>
      </c>
      <c r="E257" s="211">
        <v>0</v>
      </c>
      <c r="F257" s="211">
        <v>0</v>
      </c>
      <c r="G257" s="211">
        <v>12.061</v>
      </c>
      <c r="H257" s="211">
        <v>0</v>
      </c>
      <c r="I257" s="211">
        <v>4.0380000000000003</v>
      </c>
      <c r="J257" s="211">
        <v>13.426</v>
      </c>
      <c r="K257" s="211">
        <v>0</v>
      </c>
      <c r="L257" s="211">
        <v>0</v>
      </c>
      <c r="M257" s="211">
        <v>0</v>
      </c>
      <c r="N257" s="211">
        <v>0</v>
      </c>
      <c r="O257" s="211">
        <v>68.956800000000001</v>
      </c>
      <c r="P257" s="211">
        <v>17.306000000000001</v>
      </c>
      <c r="Q257" s="211">
        <v>27.863</v>
      </c>
      <c r="R257" s="211">
        <v>0</v>
      </c>
      <c r="S257" s="211">
        <v>9.1365999999999996</v>
      </c>
      <c r="T257" s="211">
        <v>0</v>
      </c>
      <c r="U257" s="211">
        <v>0</v>
      </c>
      <c r="V257" s="211">
        <v>0</v>
      </c>
      <c r="W257" s="211">
        <v>9.8164300000000004</v>
      </c>
      <c r="X257" s="211">
        <v>0</v>
      </c>
      <c r="Y257" s="211">
        <v>2.8450000000000002</v>
      </c>
      <c r="Z257" s="211">
        <v>0</v>
      </c>
      <c r="AA257" s="211">
        <v>0</v>
      </c>
      <c r="AB257" s="211">
        <v>0</v>
      </c>
      <c r="AC257" s="211">
        <v>0</v>
      </c>
      <c r="AD257" s="211">
        <v>0</v>
      </c>
      <c r="AE257" s="211">
        <v>0</v>
      </c>
      <c r="AF257" s="211">
        <v>0</v>
      </c>
      <c r="AG257" s="211">
        <v>293.38583000000006</v>
      </c>
    </row>
    <row r="258" spans="1:33" x14ac:dyDescent="0.25">
      <c r="A258" s="121"/>
      <c r="B258" s="210" t="s">
        <v>389</v>
      </c>
      <c r="C258" s="211">
        <v>0</v>
      </c>
      <c r="D258" s="211">
        <v>0</v>
      </c>
      <c r="E258" s="211">
        <v>0</v>
      </c>
      <c r="F258" s="211">
        <v>0</v>
      </c>
      <c r="G258" s="211">
        <v>0</v>
      </c>
      <c r="H258" s="211">
        <v>0</v>
      </c>
      <c r="I258" s="211">
        <v>0.443</v>
      </c>
      <c r="J258" s="211">
        <v>1.9470000000000001</v>
      </c>
      <c r="K258" s="211">
        <v>0</v>
      </c>
      <c r="L258" s="211">
        <v>0</v>
      </c>
      <c r="M258" s="211">
        <v>0</v>
      </c>
      <c r="N258" s="211">
        <v>0</v>
      </c>
      <c r="O258" s="211">
        <v>0</v>
      </c>
      <c r="P258" s="211">
        <v>0</v>
      </c>
      <c r="Q258" s="211">
        <v>0</v>
      </c>
      <c r="R258" s="211">
        <v>0</v>
      </c>
      <c r="S258" s="211">
        <v>8.6809999999999992</v>
      </c>
      <c r="T258" s="211">
        <v>0</v>
      </c>
      <c r="U258" s="211">
        <v>0</v>
      </c>
      <c r="V258" s="211">
        <v>0</v>
      </c>
      <c r="W258" s="211">
        <v>0.154</v>
      </c>
      <c r="X258" s="211">
        <v>0</v>
      </c>
      <c r="Y258" s="211">
        <v>0</v>
      </c>
      <c r="Z258" s="211">
        <v>0</v>
      </c>
      <c r="AA258" s="211">
        <v>0</v>
      </c>
      <c r="AB258" s="211">
        <v>0</v>
      </c>
      <c r="AC258" s="211">
        <v>0</v>
      </c>
      <c r="AD258" s="211">
        <v>0</v>
      </c>
      <c r="AE258" s="211">
        <v>0</v>
      </c>
      <c r="AF258" s="211">
        <v>0</v>
      </c>
      <c r="AG258" s="211">
        <v>11.225</v>
      </c>
    </row>
    <row r="259" spans="1:33" x14ac:dyDescent="0.25">
      <c r="A259" s="207" t="s">
        <v>390</v>
      </c>
      <c r="B259" s="208"/>
      <c r="C259" s="209"/>
      <c r="D259" s="209"/>
      <c r="E259" s="209"/>
      <c r="F259" s="209"/>
      <c r="G259" s="209"/>
      <c r="H259" s="209"/>
      <c r="I259" s="209"/>
      <c r="J259" s="209"/>
      <c r="K259" s="209"/>
      <c r="L259" s="209"/>
      <c r="M259" s="209"/>
      <c r="N259" s="209"/>
      <c r="O259" s="209"/>
      <c r="P259" s="209"/>
      <c r="Q259" s="209"/>
      <c r="R259" s="209"/>
      <c r="S259" s="209"/>
      <c r="T259" s="209"/>
      <c r="U259" s="209"/>
      <c r="V259" s="209"/>
      <c r="W259" s="209"/>
      <c r="X259" s="209"/>
      <c r="Y259" s="209"/>
      <c r="Z259" s="209"/>
      <c r="AA259" s="209"/>
      <c r="AB259" s="209"/>
      <c r="AC259" s="209"/>
      <c r="AD259" s="209"/>
      <c r="AE259" s="209"/>
      <c r="AF259" s="209"/>
      <c r="AG259" s="209"/>
    </row>
    <row r="260" spans="1:33" x14ac:dyDescent="0.25">
      <c r="A260" s="121"/>
      <c r="B260" s="210" t="s">
        <v>391</v>
      </c>
      <c r="C260" s="211">
        <v>0</v>
      </c>
      <c r="D260" s="211">
        <v>0</v>
      </c>
      <c r="E260" s="211">
        <v>0</v>
      </c>
      <c r="F260" s="211">
        <v>0</v>
      </c>
      <c r="G260" s="211">
        <v>72.75</v>
      </c>
      <c r="H260" s="211">
        <v>26.567</v>
      </c>
      <c r="I260" s="211">
        <v>0</v>
      </c>
      <c r="J260" s="211">
        <v>0</v>
      </c>
      <c r="K260" s="211">
        <v>0</v>
      </c>
      <c r="L260" s="211">
        <v>0</v>
      </c>
      <c r="M260" s="211">
        <v>0</v>
      </c>
      <c r="N260" s="211">
        <v>0</v>
      </c>
      <c r="O260" s="211">
        <v>174.846</v>
      </c>
      <c r="P260" s="211">
        <v>87.361000000000004</v>
      </c>
      <c r="Q260" s="211">
        <v>21.547999999999998</v>
      </c>
      <c r="R260" s="211">
        <v>0</v>
      </c>
      <c r="S260" s="211">
        <v>198.958</v>
      </c>
      <c r="T260" s="211">
        <v>0</v>
      </c>
      <c r="U260" s="211">
        <v>0</v>
      </c>
      <c r="V260" s="211">
        <v>8.9529999999999994</v>
      </c>
      <c r="W260" s="211">
        <v>25.08</v>
      </c>
      <c r="X260" s="211">
        <v>0</v>
      </c>
      <c r="Y260" s="211">
        <v>8.7390000000000008</v>
      </c>
      <c r="Z260" s="211">
        <v>0</v>
      </c>
      <c r="AA260" s="211">
        <v>67.361999999999995</v>
      </c>
      <c r="AB260" s="211">
        <v>147.76400000000001</v>
      </c>
      <c r="AC260" s="211">
        <v>0</v>
      </c>
      <c r="AD260" s="211">
        <v>0</v>
      </c>
      <c r="AE260" s="211">
        <v>0</v>
      </c>
      <c r="AF260" s="211">
        <v>27.692900000000002</v>
      </c>
      <c r="AG260" s="211">
        <v>867.62090000000001</v>
      </c>
    </row>
    <row r="261" spans="1:33" x14ac:dyDescent="0.25">
      <c r="A261" s="121"/>
      <c r="B261" s="210" t="s">
        <v>393</v>
      </c>
      <c r="C261" s="211">
        <v>0</v>
      </c>
      <c r="D261" s="211">
        <v>0</v>
      </c>
      <c r="E261" s="211">
        <v>0</v>
      </c>
      <c r="F261" s="211">
        <v>0</v>
      </c>
      <c r="G261" s="211">
        <v>4.383</v>
      </c>
      <c r="H261" s="211">
        <v>2.3860000000000001</v>
      </c>
      <c r="I261" s="211">
        <v>0.41399999999999998</v>
      </c>
      <c r="J261" s="211">
        <v>0</v>
      </c>
      <c r="K261" s="211">
        <v>0</v>
      </c>
      <c r="L261" s="211">
        <v>0</v>
      </c>
      <c r="M261" s="211">
        <v>0</v>
      </c>
      <c r="N261" s="211">
        <v>0</v>
      </c>
      <c r="O261" s="211">
        <v>0</v>
      </c>
      <c r="P261" s="211">
        <v>2.8889999999999998</v>
      </c>
      <c r="Q261" s="211">
        <v>0</v>
      </c>
      <c r="R261" s="211">
        <v>0</v>
      </c>
      <c r="S261" s="211">
        <v>44.725999999999999</v>
      </c>
      <c r="T261" s="211">
        <v>0</v>
      </c>
      <c r="U261" s="211">
        <v>0</v>
      </c>
      <c r="V261" s="211">
        <v>0</v>
      </c>
      <c r="W261" s="211">
        <v>1.59</v>
      </c>
      <c r="X261" s="211">
        <v>13.488</v>
      </c>
      <c r="Y261" s="211">
        <v>3.3660000000000001</v>
      </c>
      <c r="Z261" s="211">
        <v>0</v>
      </c>
      <c r="AA261" s="211">
        <v>0</v>
      </c>
      <c r="AB261" s="211">
        <v>0</v>
      </c>
      <c r="AC261" s="211">
        <v>0</v>
      </c>
      <c r="AD261" s="211">
        <v>0</v>
      </c>
      <c r="AE261" s="211">
        <v>0</v>
      </c>
      <c r="AF261" s="211">
        <v>0</v>
      </c>
      <c r="AG261" s="211">
        <v>73.242000000000004</v>
      </c>
    </row>
    <row r="262" spans="1:33" x14ac:dyDescent="0.25">
      <c r="A262" s="207" t="s">
        <v>1137</v>
      </c>
      <c r="B262" s="208"/>
      <c r="C262" s="209"/>
      <c r="D262" s="209"/>
      <c r="E262" s="209"/>
      <c r="F262" s="209"/>
      <c r="G262" s="209"/>
      <c r="H262" s="209"/>
      <c r="I262" s="209"/>
      <c r="J262" s="209"/>
      <c r="K262" s="209"/>
      <c r="L262" s="209"/>
      <c r="M262" s="209"/>
      <c r="N262" s="209"/>
      <c r="O262" s="209"/>
      <c r="P262" s="209"/>
      <c r="Q262" s="209"/>
      <c r="R262" s="209"/>
      <c r="S262" s="209"/>
      <c r="T262" s="209"/>
      <c r="U262" s="209"/>
      <c r="V262" s="209"/>
      <c r="W262" s="209"/>
      <c r="X262" s="209"/>
      <c r="Y262" s="209"/>
      <c r="Z262" s="209"/>
      <c r="AA262" s="209"/>
      <c r="AB262" s="209"/>
      <c r="AC262" s="209"/>
      <c r="AD262" s="209"/>
      <c r="AE262" s="209"/>
      <c r="AF262" s="209"/>
      <c r="AG262" s="209"/>
    </row>
    <row r="263" spans="1:33" x14ac:dyDescent="0.25">
      <c r="A263" s="121"/>
      <c r="B263" s="210" t="s">
        <v>1138</v>
      </c>
      <c r="C263" s="211">
        <v>0</v>
      </c>
      <c r="D263" s="211">
        <v>0</v>
      </c>
      <c r="E263" s="211">
        <v>0</v>
      </c>
      <c r="F263" s="211">
        <v>0</v>
      </c>
      <c r="G263" s="211">
        <v>0</v>
      </c>
      <c r="H263" s="211">
        <v>0</v>
      </c>
      <c r="I263" s="211">
        <v>0</v>
      </c>
      <c r="J263" s="211">
        <v>0</v>
      </c>
      <c r="K263" s="211">
        <v>0</v>
      </c>
      <c r="L263" s="211">
        <v>0</v>
      </c>
      <c r="M263" s="211">
        <v>0</v>
      </c>
      <c r="N263" s="211">
        <v>0</v>
      </c>
      <c r="O263" s="211">
        <v>0</v>
      </c>
      <c r="P263" s="211">
        <v>0</v>
      </c>
      <c r="Q263" s="211">
        <v>0</v>
      </c>
      <c r="R263" s="211">
        <v>0</v>
      </c>
      <c r="S263" s="211">
        <v>0</v>
      </c>
      <c r="T263" s="211">
        <v>0</v>
      </c>
      <c r="U263" s="211">
        <v>0</v>
      </c>
      <c r="V263" s="211">
        <v>0</v>
      </c>
      <c r="W263" s="211">
        <v>0</v>
      </c>
      <c r="X263" s="211">
        <v>0</v>
      </c>
      <c r="Y263" s="211">
        <v>0</v>
      </c>
      <c r="Z263" s="211">
        <v>0</v>
      </c>
      <c r="AA263" s="211">
        <v>0</v>
      </c>
      <c r="AB263" s="211">
        <v>0</v>
      </c>
      <c r="AC263" s="211">
        <v>0</v>
      </c>
      <c r="AD263" s="211">
        <v>0</v>
      </c>
      <c r="AE263" s="211">
        <v>0</v>
      </c>
      <c r="AF263" s="211">
        <v>0</v>
      </c>
      <c r="AG263" s="211">
        <v>0</v>
      </c>
    </row>
    <row r="264" spans="1:33" x14ac:dyDescent="0.25">
      <c r="A264" s="207" t="s">
        <v>394</v>
      </c>
      <c r="B264" s="208"/>
      <c r="C264" s="209"/>
      <c r="D264" s="209"/>
      <c r="E264" s="209"/>
      <c r="F264" s="209"/>
      <c r="G264" s="209"/>
      <c r="H264" s="209"/>
      <c r="I264" s="209"/>
      <c r="J264" s="209"/>
      <c r="K264" s="209"/>
      <c r="L264" s="209"/>
      <c r="M264" s="209"/>
      <c r="N264" s="209"/>
      <c r="O264" s="209"/>
      <c r="P264" s="209"/>
      <c r="Q264" s="209"/>
      <c r="R264" s="209"/>
      <c r="S264" s="209"/>
      <c r="T264" s="209"/>
      <c r="U264" s="209"/>
      <c r="V264" s="209"/>
      <c r="W264" s="209"/>
      <c r="X264" s="209"/>
      <c r="Y264" s="209"/>
      <c r="Z264" s="209"/>
      <c r="AA264" s="209"/>
      <c r="AB264" s="209"/>
      <c r="AC264" s="209"/>
      <c r="AD264" s="209"/>
      <c r="AE264" s="209"/>
      <c r="AF264" s="209"/>
      <c r="AG264" s="209"/>
    </row>
    <row r="265" spans="1:33" x14ac:dyDescent="0.25">
      <c r="A265" s="121"/>
      <c r="B265" s="210" t="s">
        <v>395</v>
      </c>
      <c r="C265" s="211">
        <v>0</v>
      </c>
      <c r="D265" s="211">
        <v>0</v>
      </c>
      <c r="E265" s="211">
        <v>0</v>
      </c>
      <c r="F265" s="211">
        <v>0</v>
      </c>
      <c r="G265" s="211">
        <v>0</v>
      </c>
      <c r="H265" s="211">
        <v>0</v>
      </c>
      <c r="I265" s="211">
        <v>0</v>
      </c>
      <c r="J265" s="211">
        <v>4.8000000000000001E-2</v>
      </c>
      <c r="K265" s="211">
        <v>0</v>
      </c>
      <c r="L265" s="211">
        <v>0</v>
      </c>
      <c r="M265" s="211">
        <v>0</v>
      </c>
      <c r="N265" s="211">
        <v>0</v>
      </c>
      <c r="O265" s="211">
        <v>0</v>
      </c>
      <c r="P265" s="211">
        <v>0</v>
      </c>
      <c r="Q265" s="211">
        <v>0</v>
      </c>
      <c r="R265" s="211">
        <v>0</v>
      </c>
      <c r="S265" s="211">
        <v>0</v>
      </c>
      <c r="T265" s="211">
        <v>0</v>
      </c>
      <c r="U265" s="211">
        <v>0</v>
      </c>
      <c r="V265" s="211">
        <v>0</v>
      </c>
      <c r="W265" s="211">
        <v>2.8000000000000001E-2</v>
      </c>
      <c r="X265" s="211">
        <v>0</v>
      </c>
      <c r="Y265" s="211">
        <v>1.31</v>
      </c>
      <c r="Z265" s="211">
        <v>0</v>
      </c>
      <c r="AA265" s="211">
        <v>0</v>
      </c>
      <c r="AB265" s="211">
        <v>0</v>
      </c>
      <c r="AC265" s="211">
        <v>0</v>
      </c>
      <c r="AD265" s="211">
        <v>0</v>
      </c>
      <c r="AE265" s="211">
        <v>0</v>
      </c>
      <c r="AF265" s="211">
        <v>0</v>
      </c>
      <c r="AG265" s="211">
        <v>1.3860000000000001</v>
      </c>
    </row>
    <row r="266" spans="1:33" x14ac:dyDescent="0.25">
      <c r="A266" s="121"/>
      <c r="B266" s="210" t="s">
        <v>396</v>
      </c>
      <c r="C266" s="211">
        <v>0</v>
      </c>
      <c r="D266" s="211">
        <v>0</v>
      </c>
      <c r="E266" s="211">
        <v>0</v>
      </c>
      <c r="F266" s="211">
        <v>0</v>
      </c>
      <c r="G266" s="211">
        <v>0</v>
      </c>
      <c r="H266" s="211">
        <v>0</v>
      </c>
      <c r="I266" s="211">
        <v>0</v>
      </c>
      <c r="J266" s="211">
        <v>0.02</v>
      </c>
      <c r="K266" s="211">
        <v>0</v>
      </c>
      <c r="L266" s="211">
        <v>0</v>
      </c>
      <c r="M266" s="211">
        <v>0</v>
      </c>
      <c r="N266" s="211">
        <v>0</v>
      </c>
      <c r="O266" s="211">
        <v>0</v>
      </c>
      <c r="P266" s="211">
        <v>0</v>
      </c>
      <c r="Q266" s="211">
        <v>0</v>
      </c>
      <c r="R266" s="211">
        <v>0</v>
      </c>
      <c r="S266" s="211">
        <v>0</v>
      </c>
      <c r="T266" s="211">
        <v>0</v>
      </c>
      <c r="U266" s="211">
        <v>0</v>
      </c>
      <c r="V266" s="211">
        <v>0</v>
      </c>
      <c r="W266" s="211">
        <v>2.93E-2</v>
      </c>
      <c r="X266" s="211">
        <v>0</v>
      </c>
      <c r="Y266" s="211">
        <v>0.98</v>
      </c>
      <c r="Z266" s="211">
        <v>0</v>
      </c>
      <c r="AA266" s="211">
        <v>0</v>
      </c>
      <c r="AB266" s="211">
        <v>0</v>
      </c>
      <c r="AC266" s="211">
        <v>0</v>
      </c>
      <c r="AD266" s="211">
        <v>0</v>
      </c>
      <c r="AE266" s="211">
        <v>0</v>
      </c>
      <c r="AF266" s="211">
        <v>0</v>
      </c>
      <c r="AG266" s="211">
        <v>1.0292999999999999</v>
      </c>
    </row>
    <row r="267" spans="1:33" x14ac:dyDescent="0.25">
      <c r="A267" s="121"/>
      <c r="B267" s="210" t="s">
        <v>397</v>
      </c>
      <c r="C267" s="211">
        <v>0</v>
      </c>
      <c r="D267" s="211">
        <v>0</v>
      </c>
      <c r="E267" s="211">
        <v>0</v>
      </c>
      <c r="F267" s="211">
        <v>0</v>
      </c>
      <c r="G267" s="211">
        <v>0</v>
      </c>
      <c r="H267" s="211">
        <v>0</v>
      </c>
      <c r="I267" s="211">
        <v>0</v>
      </c>
      <c r="J267" s="211">
        <v>6.5000000000000002E-2</v>
      </c>
      <c r="K267" s="211">
        <v>0</v>
      </c>
      <c r="L267" s="211">
        <v>0</v>
      </c>
      <c r="M267" s="211">
        <v>0</v>
      </c>
      <c r="N267" s="211">
        <v>0</v>
      </c>
      <c r="O267" s="211">
        <v>0</v>
      </c>
      <c r="P267" s="211">
        <v>0</v>
      </c>
      <c r="Q267" s="211">
        <v>0</v>
      </c>
      <c r="R267" s="211">
        <v>0</v>
      </c>
      <c r="S267" s="211">
        <v>0</v>
      </c>
      <c r="T267" s="211">
        <v>0</v>
      </c>
      <c r="U267" s="211">
        <v>0</v>
      </c>
      <c r="V267" s="211">
        <v>0</v>
      </c>
      <c r="W267" s="211">
        <v>4.9000000000000002E-2</v>
      </c>
      <c r="X267" s="211">
        <v>0</v>
      </c>
      <c r="Y267" s="211">
        <v>3.512</v>
      </c>
      <c r="Z267" s="211">
        <v>0</v>
      </c>
      <c r="AA267" s="211">
        <v>0</v>
      </c>
      <c r="AB267" s="211">
        <v>0</v>
      </c>
      <c r="AC267" s="211">
        <v>0</v>
      </c>
      <c r="AD267" s="211">
        <v>0</v>
      </c>
      <c r="AE267" s="211">
        <v>0</v>
      </c>
      <c r="AF267" s="211">
        <v>0</v>
      </c>
      <c r="AG267" s="211">
        <v>3.6259999999999999</v>
      </c>
    </row>
    <row r="268" spans="1:33" x14ac:dyDescent="0.25">
      <c r="A268" s="121"/>
      <c r="B268" s="210" t="s">
        <v>398</v>
      </c>
      <c r="C268" s="211">
        <v>0</v>
      </c>
      <c r="D268" s="211">
        <v>0</v>
      </c>
      <c r="E268" s="211">
        <v>0</v>
      </c>
      <c r="F268" s="211">
        <v>22.862300000000001</v>
      </c>
      <c r="G268" s="211">
        <v>0.48299999999999998</v>
      </c>
      <c r="H268" s="211">
        <v>0</v>
      </c>
      <c r="I268" s="211">
        <v>0</v>
      </c>
      <c r="J268" s="211">
        <v>0</v>
      </c>
      <c r="K268" s="211">
        <v>0</v>
      </c>
      <c r="L268" s="211">
        <v>0</v>
      </c>
      <c r="M268" s="211">
        <v>38.154800000000002</v>
      </c>
      <c r="N268" s="211">
        <v>0</v>
      </c>
      <c r="O268" s="211">
        <v>0</v>
      </c>
      <c r="P268" s="211">
        <v>26.8</v>
      </c>
      <c r="Q268" s="211">
        <v>0</v>
      </c>
      <c r="R268" s="211">
        <v>0</v>
      </c>
      <c r="S268" s="211">
        <v>15.2925</v>
      </c>
      <c r="T268" s="211">
        <v>0</v>
      </c>
      <c r="U268" s="211">
        <v>0</v>
      </c>
      <c r="V268" s="211">
        <v>0</v>
      </c>
      <c r="W268" s="211">
        <v>3.0814400000000002</v>
      </c>
      <c r="X268" s="211">
        <v>0</v>
      </c>
      <c r="Y268" s="211">
        <v>0</v>
      </c>
      <c r="Z268" s="211">
        <v>0</v>
      </c>
      <c r="AA268" s="211">
        <v>0</v>
      </c>
      <c r="AB268" s="211">
        <v>0</v>
      </c>
      <c r="AC268" s="211">
        <v>0</v>
      </c>
      <c r="AD268" s="211">
        <v>0</v>
      </c>
      <c r="AE268" s="211">
        <v>0</v>
      </c>
      <c r="AF268" s="211">
        <v>0</v>
      </c>
      <c r="AG268" s="211">
        <v>106.67404000000001</v>
      </c>
    </row>
    <row r="269" spans="1:33" x14ac:dyDescent="0.25">
      <c r="A269" s="207" t="s">
        <v>399</v>
      </c>
      <c r="B269" s="208"/>
      <c r="C269" s="209"/>
      <c r="D269" s="209"/>
      <c r="E269" s="209"/>
      <c r="F269" s="209"/>
      <c r="G269" s="209"/>
      <c r="H269" s="209"/>
      <c r="I269" s="209"/>
      <c r="J269" s="209"/>
      <c r="K269" s="209"/>
      <c r="L269" s="209"/>
      <c r="M269" s="209"/>
      <c r="N269" s="209"/>
      <c r="O269" s="209"/>
      <c r="P269" s="209"/>
      <c r="Q269" s="209"/>
      <c r="R269" s="209"/>
      <c r="S269" s="209"/>
      <c r="T269" s="209"/>
      <c r="U269" s="209"/>
      <c r="V269" s="209"/>
      <c r="W269" s="209"/>
      <c r="X269" s="209"/>
      <c r="Y269" s="209"/>
      <c r="Z269" s="209"/>
      <c r="AA269" s="209"/>
      <c r="AB269" s="209"/>
      <c r="AC269" s="209"/>
      <c r="AD269" s="209"/>
      <c r="AE269" s="209"/>
      <c r="AF269" s="209"/>
      <c r="AG269" s="209"/>
    </row>
    <row r="270" spans="1:33" x14ac:dyDescent="0.25">
      <c r="A270" s="121"/>
      <c r="B270" s="210" t="s">
        <v>400</v>
      </c>
      <c r="C270" s="211">
        <v>0</v>
      </c>
      <c r="D270" s="211">
        <v>136.16900000000001</v>
      </c>
      <c r="E270" s="211">
        <v>0</v>
      </c>
      <c r="F270" s="211">
        <v>0</v>
      </c>
      <c r="G270" s="211">
        <v>0</v>
      </c>
      <c r="H270" s="211">
        <v>9.6199999999999992</v>
      </c>
      <c r="I270" s="211">
        <v>0</v>
      </c>
      <c r="J270" s="211">
        <v>1.27712</v>
      </c>
      <c r="K270" s="211">
        <v>0</v>
      </c>
      <c r="L270" s="211">
        <v>0</v>
      </c>
      <c r="M270" s="211">
        <v>0</v>
      </c>
      <c r="N270" s="211">
        <v>0.436</v>
      </c>
      <c r="O270" s="211">
        <v>57.672199999999997</v>
      </c>
      <c r="P270" s="211">
        <v>12.797000000000001</v>
      </c>
      <c r="Q270" s="211">
        <v>66.081000000000003</v>
      </c>
      <c r="R270" s="211">
        <v>0</v>
      </c>
      <c r="S270" s="211">
        <v>25.2</v>
      </c>
      <c r="T270" s="211">
        <v>0</v>
      </c>
      <c r="U270" s="211">
        <v>0</v>
      </c>
      <c r="V270" s="211">
        <v>0</v>
      </c>
      <c r="W270" s="211">
        <v>7.0475399999999997</v>
      </c>
      <c r="X270" s="211">
        <v>0</v>
      </c>
      <c r="Y270" s="211">
        <v>0</v>
      </c>
      <c r="Z270" s="211">
        <v>0</v>
      </c>
      <c r="AA270" s="211">
        <v>0</v>
      </c>
      <c r="AB270" s="211">
        <v>0</v>
      </c>
      <c r="AC270" s="211">
        <v>0</v>
      </c>
      <c r="AD270" s="211">
        <v>0</v>
      </c>
      <c r="AE270" s="211">
        <v>0</v>
      </c>
      <c r="AF270" s="211">
        <v>0</v>
      </c>
      <c r="AG270" s="211">
        <v>316.29986000000002</v>
      </c>
    </row>
    <row r="271" spans="1:33" x14ac:dyDescent="0.25">
      <c r="A271" s="207" t="s">
        <v>401</v>
      </c>
      <c r="B271" s="208"/>
      <c r="C271" s="209"/>
      <c r="D271" s="209"/>
      <c r="E271" s="209"/>
      <c r="F271" s="209"/>
      <c r="G271" s="209"/>
      <c r="H271" s="209"/>
      <c r="I271" s="209"/>
      <c r="J271" s="209"/>
      <c r="K271" s="209"/>
      <c r="L271" s="209"/>
      <c r="M271" s="209"/>
      <c r="N271" s="209"/>
      <c r="O271" s="209"/>
      <c r="P271" s="209"/>
      <c r="Q271" s="209"/>
      <c r="R271" s="209"/>
      <c r="S271" s="209"/>
      <c r="T271" s="209"/>
      <c r="U271" s="209"/>
      <c r="V271" s="209"/>
      <c r="W271" s="209"/>
      <c r="X271" s="209"/>
      <c r="Y271" s="209"/>
      <c r="Z271" s="209"/>
      <c r="AA271" s="209"/>
      <c r="AB271" s="209"/>
      <c r="AC271" s="209"/>
      <c r="AD271" s="209"/>
      <c r="AE271" s="209"/>
      <c r="AF271" s="209"/>
      <c r="AG271" s="209"/>
    </row>
    <row r="272" spans="1:33" x14ac:dyDescent="0.25">
      <c r="A272" s="121"/>
      <c r="B272" s="210" t="s">
        <v>402</v>
      </c>
      <c r="C272" s="211">
        <v>0</v>
      </c>
      <c r="D272" s="211">
        <v>0</v>
      </c>
      <c r="E272" s="211">
        <v>0</v>
      </c>
      <c r="F272" s="211">
        <v>0</v>
      </c>
      <c r="G272" s="211">
        <v>0</v>
      </c>
      <c r="H272" s="211">
        <v>0</v>
      </c>
      <c r="I272" s="211">
        <v>0</v>
      </c>
      <c r="J272" s="211">
        <v>1.4</v>
      </c>
      <c r="K272" s="211">
        <v>0</v>
      </c>
      <c r="L272" s="211">
        <v>0</v>
      </c>
      <c r="M272" s="211">
        <v>0</v>
      </c>
      <c r="N272" s="211">
        <v>0</v>
      </c>
      <c r="O272" s="211">
        <v>0</v>
      </c>
      <c r="P272" s="211">
        <v>0</v>
      </c>
      <c r="Q272" s="211">
        <v>0</v>
      </c>
      <c r="R272" s="211">
        <v>0</v>
      </c>
      <c r="S272" s="211">
        <v>9.77</v>
      </c>
      <c r="T272" s="211">
        <v>0</v>
      </c>
      <c r="U272" s="211">
        <v>0</v>
      </c>
      <c r="V272" s="211">
        <v>0</v>
      </c>
      <c r="W272" s="211">
        <v>0.17699999999999999</v>
      </c>
      <c r="X272" s="211">
        <v>0</v>
      </c>
      <c r="Y272" s="211">
        <v>0.65300000000000002</v>
      </c>
      <c r="Z272" s="211">
        <v>0</v>
      </c>
      <c r="AA272" s="211">
        <v>0</v>
      </c>
      <c r="AB272" s="211">
        <v>0</v>
      </c>
      <c r="AC272" s="211">
        <v>0</v>
      </c>
      <c r="AD272" s="211">
        <v>0</v>
      </c>
      <c r="AE272" s="211">
        <v>0</v>
      </c>
      <c r="AF272" s="211">
        <v>0</v>
      </c>
      <c r="AG272" s="211">
        <v>12</v>
      </c>
    </row>
    <row r="273" spans="1:33" x14ac:dyDescent="0.25">
      <c r="A273" s="121"/>
      <c r="B273" s="210" t="s">
        <v>403</v>
      </c>
      <c r="C273" s="211">
        <v>0</v>
      </c>
      <c r="D273" s="211">
        <v>0</v>
      </c>
      <c r="E273" s="211">
        <v>0</v>
      </c>
      <c r="F273" s="211">
        <v>0</v>
      </c>
      <c r="G273" s="211">
        <v>0</v>
      </c>
      <c r="H273" s="211">
        <v>0</v>
      </c>
      <c r="I273" s="211">
        <v>0</v>
      </c>
      <c r="J273" s="211">
        <v>0.79</v>
      </c>
      <c r="K273" s="211">
        <v>0</v>
      </c>
      <c r="L273" s="211">
        <v>0</v>
      </c>
      <c r="M273" s="211">
        <v>0</v>
      </c>
      <c r="N273" s="211">
        <v>0</v>
      </c>
      <c r="O273" s="211">
        <v>0</v>
      </c>
      <c r="P273" s="211">
        <v>0</v>
      </c>
      <c r="Q273" s="211">
        <v>0</v>
      </c>
      <c r="R273" s="211">
        <v>0</v>
      </c>
      <c r="S273" s="211">
        <v>9</v>
      </c>
      <c r="T273" s="211">
        <v>0</v>
      </c>
      <c r="U273" s="211">
        <v>0</v>
      </c>
      <c r="V273" s="211">
        <v>0</v>
      </c>
      <c r="W273" s="211">
        <v>8.4000000000000005E-2</v>
      </c>
      <c r="X273" s="211">
        <v>0</v>
      </c>
      <c r="Y273" s="211">
        <v>0</v>
      </c>
      <c r="Z273" s="211">
        <v>0</v>
      </c>
      <c r="AA273" s="211">
        <v>0</v>
      </c>
      <c r="AB273" s="211">
        <v>0</v>
      </c>
      <c r="AC273" s="211">
        <v>0</v>
      </c>
      <c r="AD273" s="211">
        <v>0</v>
      </c>
      <c r="AE273" s="211">
        <v>0</v>
      </c>
      <c r="AF273" s="211">
        <v>0</v>
      </c>
      <c r="AG273" s="211">
        <v>9.8739999999999988</v>
      </c>
    </row>
    <row r="274" spans="1:33" x14ac:dyDescent="0.25">
      <c r="A274" s="121"/>
      <c r="B274" s="210" t="s">
        <v>404</v>
      </c>
      <c r="C274" s="211">
        <v>0</v>
      </c>
      <c r="D274" s="211">
        <v>0</v>
      </c>
      <c r="E274" s="211">
        <v>0</v>
      </c>
      <c r="F274" s="211">
        <v>0</v>
      </c>
      <c r="G274" s="211">
        <v>0</v>
      </c>
      <c r="H274" s="211">
        <v>0</v>
      </c>
      <c r="I274" s="211">
        <v>0</v>
      </c>
      <c r="J274" s="211">
        <v>0.15</v>
      </c>
      <c r="K274" s="211">
        <v>0</v>
      </c>
      <c r="L274" s="211">
        <v>0</v>
      </c>
      <c r="M274" s="211">
        <v>0</v>
      </c>
      <c r="N274" s="211">
        <v>0</v>
      </c>
      <c r="O274" s="211">
        <v>0</v>
      </c>
      <c r="P274" s="211">
        <v>0</v>
      </c>
      <c r="Q274" s="211">
        <v>0</v>
      </c>
      <c r="R274" s="211">
        <v>0</v>
      </c>
      <c r="S274" s="211">
        <v>12.14</v>
      </c>
      <c r="T274" s="211">
        <v>0</v>
      </c>
      <c r="U274" s="211">
        <v>0</v>
      </c>
      <c r="V274" s="211">
        <v>0</v>
      </c>
      <c r="W274" s="211">
        <v>0.247</v>
      </c>
      <c r="X274" s="211">
        <v>0</v>
      </c>
      <c r="Y274" s="211">
        <v>0</v>
      </c>
      <c r="Z274" s="211">
        <v>0</v>
      </c>
      <c r="AA274" s="211">
        <v>0</v>
      </c>
      <c r="AB274" s="211">
        <v>0</v>
      </c>
      <c r="AC274" s="211">
        <v>3.67</v>
      </c>
      <c r="AD274" s="211">
        <v>0</v>
      </c>
      <c r="AE274" s="211">
        <v>0</v>
      </c>
      <c r="AF274" s="211">
        <v>0</v>
      </c>
      <c r="AG274" s="211">
        <v>16.207000000000001</v>
      </c>
    </row>
    <row r="275" spans="1:33" x14ac:dyDescent="0.25">
      <c r="A275" s="121"/>
      <c r="B275" s="210" t="s">
        <v>405</v>
      </c>
      <c r="C275" s="211">
        <v>0</v>
      </c>
      <c r="D275" s="211">
        <v>0</v>
      </c>
      <c r="E275" s="211">
        <v>0</v>
      </c>
      <c r="F275" s="211">
        <v>0</v>
      </c>
      <c r="G275" s="211">
        <v>0</v>
      </c>
      <c r="H275" s="211">
        <v>0</v>
      </c>
      <c r="I275" s="211">
        <v>0</v>
      </c>
      <c r="J275" s="211">
        <v>0.27</v>
      </c>
      <c r="K275" s="211">
        <v>0</v>
      </c>
      <c r="L275" s="211">
        <v>0</v>
      </c>
      <c r="M275" s="211">
        <v>0</v>
      </c>
      <c r="N275" s="211">
        <v>0</v>
      </c>
      <c r="O275" s="211">
        <v>0</v>
      </c>
      <c r="P275" s="211">
        <v>0</v>
      </c>
      <c r="Q275" s="211">
        <v>0</v>
      </c>
      <c r="R275" s="211">
        <v>0</v>
      </c>
      <c r="S275" s="211">
        <v>0</v>
      </c>
      <c r="T275" s="211">
        <v>0</v>
      </c>
      <c r="U275" s="211">
        <v>0</v>
      </c>
      <c r="V275" s="211">
        <v>0</v>
      </c>
      <c r="W275" s="211">
        <v>0.12</v>
      </c>
      <c r="X275" s="211">
        <v>7.82</v>
      </c>
      <c r="Y275" s="211">
        <v>0</v>
      </c>
      <c r="Z275" s="211">
        <v>0</v>
      </c>
      <c r="AA275" s="211">
        <v>0</v>
      </c>
      <c r="AB275" s="211">
        <v>0</v>
      </c>
      <c r="AC275" s="211">
        <v>0</v>
      </c>
      <c r="AD275" s="211">
        <v>0</v>
      </c>
      <c r="AE275" s="211">
        <v>0</v>
      </c>
      <c r="AF275" s="211">
        <v>0</v>
      </c>
      <c r="AG275" s="211">
        <v>8.2100000000000009</v>
      </c>
    </row>
    <row r="276" spans="1:33" x14ac:dyDescent="0.25">
      <c r="A276" s="121"/>
      <c r="B276" s="210" t="s">
        <v>406</v>
      </c>
      <c r="C276" s="211">
        <v>0</v>
      </c>
      <c r="D276" s="211">
        <v>0</v>
      </c>
      <c r="E276" s="211">
        <v>0</v>
      </c>
      <c r="F276" s="211">
        <v>0</v>
      </c>
      <c r="G276" s="211">
        <v>0</v>
      </c>
      <c r="H276" s="211">
        <v>0</v>
      </c>
      <c r="I276" s="211">
        <v>0</v>
      </c>
      <c r="J276" s="211">
        <v>4.5999999999999999E-2</v>
      </c>
      <c r="K276" s="211">
        <v>0</v>
      </c>
      <c r="L276" s="211">
        <v>0</v>
      </c>
      <c r="M276" s="211">
        <v>0</v>
      </c>
      <c r="N276" s="211">
        <v>0</v>
      </c>
      <c r="O276" s="211">
        <v>0</v>
      </c>
      <c r="P276" s="211">
        <v>0</v>
      </c>
      <c r="Q276" s="211">
        <v>0</v>
      </c>
      <c r="R276" s="211">
        <v>0</v>
      </c>
      <c r="S276" s="211">
        <v>0</v>
      </c>
      <c r="T276" s="211">
        <v>0</v>
      </c>
      <c r="U276" s="211">
        <v>0</v>
      </c>
      <c r="V276" s="211">
        <v>0</v>
      </c>
      <c r="W276" s="211">
        <v>0.27600000000000002</v>
      </c>
      <c r="X276" s="211">
        <v>5.4</v>
      </c>
      <c r="Y276" s="211">
        <v>0.16</v>
      </c>
      <c r="Z276" s="211">
        <v>0</v>
      </c>
      <c r="AA276" s="211">
        <v>0</v>
      </c>
      <c r="AB276" s="211">
        <v>0</v>
      </c>
      <c r="AC276" s="211">
        <v>7.5</v>
      </c>
      <c r="AD276" s="211">
        <v>0</v>
      </c>
      <c r="AE276" s="211">
        <v>0</v>
      </c>
      <c r="AF276" s="211">
        <v>0</v>
      </c>
      <c r="AG276" s="211">
        <v>13.382000000000001</v>
      </c>
    </row>
    <row r="277" spans="1:33" x14ac:dyDescent="0.25">
      <c r="A277" s="121"/>
      <c r="B277" s="210" t="s">
        <v>407</v>
      </c>
      <c r="C277" s="211">
        <v>0</v>
      </c>
      <c r="D277" s="211">
        <v>0</v>
      </c>
      <c r="E277" s="211">
        <v>0</v>
      </c>
      <c r="F277" s="211">
        <v>0</v>
      </c>
      <c r="G277" s="211">
        <v>0</v>
      </c>
      <c r="H277" s="211">
        <v>0</v>
      </c>
      <c r="I277" s="211">
        <v>0</v>
      </c>
      <c r="J277" s="211">
        <v>2</v>
      </c>
      <c r="K277" s="211">
        <v>0</v>
      </c>
      <c r="L277" s="211">
        <v>0</v>
      </c>
      <c r="M277" s="211">
        <v>0</v>
      </c>
      <c r="N277" s="211">
        <v>0</v>
      </c>
      <c r="O277" s="211">
        <v>0</v>
      </c>
      <c r="P277" s="211">
        <v>0</v>
      </c>
      <c r="Q277" s="211">
        <v>0</v>
      </c>
      <c r="R277" s="211">
        <v>0</v>
      </c>
      <c r="S277" s="211">
        <v>11.57</v>
      </c>
      <c r="T277" s="211">
        <v>0</v>
      </c>
      <c r="U277" s="211">
        <v>0</v>
      </c>
      <c r="V277" s="211">
        <v>0</v>
      </c>
      <c r="W277" s="211">
        <v>0.52800000000000002</v>
      </c>
      <c r="X277" s="211">
        <v>0</v>
      </c>
      <c r="Y277" s="211">
        <v>0</v>
      </c>
      <c r="Z277" s="211">
        <v>0</v>
      </c>
      <c r="AA277" s="211">
        <v>0</v>
      </c>
      <c r="AB277" s="211">
        <v>0</v>
      </c>
      <c r="AC277" s="211">
        <v>22.54</v>
      </c>
      <c r="AD277" s="211">
        <v>0</v>
      </c>
      <c r="AE277" s="211">
        <v>0</v>
      </c>
      <c r="AF277" s="211">
        <v>0</v>
      </c>
      <c r="AG277" s="211">
        <v>36.637999999999998</v>
      </c>
    </row>
    <row r="278" spans="1:33" x14ac:dyDescent="0.25">
      <c r="A278" s="121"/>
      <c r="B278" s="210" t="s">
        <v>408</v>
      </c>
      <c r="C278" s="211">
        <v>0</v>
      </c>
      <c r="D278" s="211">
        <v>0</v>
      </c>
      <c r="E278" s="211">
        <v>0</v>
      </c>
      <c r="F278" s="211">
        <v>0</v>
      </c>
      <c r="G278" s="211">
        <v>0</v>
      </c>
      <c r="H278" s="211">
        <v>0</v>
      </c>
      <c r="I278" s="211">
        <v>0</v>
      </c>
      <c r="J278" s="211">
        <v>5.1999999999999998E-2</v>
      </c>
      <c r="K278" s="211">
        <v>0</v>
      </c>
      <c r="L278" s="211">
        <v>0</v>
      </c>
      <c r="M278" s="211">
        <v>0</v>
      </c>
      <c r="N278" s="211">
        <v>0</v>
      </c>
      <c r="O278" s="211">
        <v>0</v>
      </c>
      <c r="P278" s="211">
        <v>0</v>
      </c>
      <c r="Q278" s="211">
        <v>0</v>
      </c>
      <c r="R278" s="211">
        <v>0</v>
      </c>
      <c r="S278" s="211">
        <v>12.28</v>
      </c>
      <c r="T278" s="211">
        <v>0</v>
      </c>
      <c r="U278" s="211">
        <v>0</v>
      </c>
      <c r="V278" s="211">
        <v>0</v>
      </c>
      <c r="W278" s="211">
        <v>0.186</v>
      </c>
      <c r="X278" s="211">
        <v>0</v>
      </c>
      <c r="Y278" s="211">
        <v>0</v>
      </c>
      <c r="Z278" s="211">
        <v>0</v>
      </c>
      <c r="AA278" s="211">
        <v>0</v>
      </c>
      <c r="AB278" s="211">
        <v>0</v>
      </c>
      <c r="AC278" s="211">
        <v>0</v>
      </c>
      <c r="AD278" s="211">
        <v>0</v>
      </c>
      <c r="AE278" s="211">
        <v>0</v>
      </c>
      <c r="AF278" s="211">
        <v>0</v>
      </c>
      <c r="AG278" s="211">
        <v>12.517999999999999</v>
      </c>
    </row>
    <row r="279" spans="1:33" x14ac:dyDescent="0.25">
      <c r="A279" s="121"/>
      <c r="B279" s="210" t="s">
        <v>409</v>
      </c>
      <c r="C279" s="211">
        <v>0</v>
      </c>
      <c r="D279" s="211">
        <v>0</v>
      </c>
      <c r="E279" s="211">
        <v>0</v>
      </c>
      <c r="F279" s="211">
        <v>0</v>
      </c>
      <c r="G279" s="211">
        <v>0</v>
      </c>
      <c r="H279" s="211">
        <v>0</v>
      </c>
      <c r="I279" s="211">
        <v>0</v>
      </c>
      <c r="J279" s="211">
        <v>2.5999999999999999E-2</v>
      </c>
      <c r="K279" s="211">
        <v>0</v>
      </c>
      <c r="L279" s="211">
        <v>0</v>
      </c>
      <c r="M279" s="211">
        <v>0</v>
      </c>
      <c r="N279" s="211">
        <v>0</v>
      </c>
      <c r="O279" s="211">
        <v>0</v>
      </c>
      <c r="P279" s="211">
        <v>0</v>
      </c>
      <c r="Q279" s="211">
        <v>0</v>
      </c>
      <c r="R279" s="211">
        <v>0</v>
      </c>
      <c r="S279" s="211">
        <v>16.850000000000001</v>
      </c>
      <c r="T279" s="211">
        <v>0</v>
      </c>
      <c r="U279" s="211">
        <v>0</v>
      </c>
      <c r="V279" s="211">
        <v>0</v>
      </c>
      <c r="W279" s="211">
        <v>0.27500000000000002</v>
      </c>
      <c r="X279" s="211">
        <v>0</v>
      </c>
      <c r="Y279" s="211">
        <v>0</v>
      </c>
      <c r="Z279" s="211">
        <v>0</v>
      </c>
      <c r="AA279" s="211">
        <v>0</v>
      </c>
      <c r="AB279" s="211">
        <v>0</v>
      </c>
      <c r="AC279" s="211">
        <v>0</v>
      </c>
      <c r="AD279" s="211">
        <v>0</v>
      </c>
      <c r="AE279" s="211">
        <v>0</v>
      </c>
      <c r="AF279" s="211">
        <v>0</v>
      </c>
      <c r="AG279" s="211">
        <v>17.151</v>
      </c>
    </row>
    <row r="280" spans="1:33" x14ac:dyDescent="0.25">
      <c r="A280" s="121"/>
      <c r="B280" s="210" t="s">
        <v>410</v>
      </c>
      <c r="C280" s="211">
        <v>0</v>
      </c>
      <c r="D280" s="211">
        <v>0</v>
      </c>
      <c r="E280" s="211">
        <v>0</v>
      </c>
      <c r="F280" s="211">
        <v>0</v>
      </c>
      <c r="G280" s="211">
        <v>0</v>
      </c>
      <c r="H280" s="211">
        <v>0</v>
      </c>
      <c r="I280" s="211">
        <v>0</v>
      </c>
      <c r="J280" s="211">
        <v>6.3E-2</v>
      </c>
      <c r="K280" s="211">
        <v>0</v>
      </c>
      <c r="L280" s="211">
        <v>0</v>
      </c>
      <c r="M280" s="211">
        <v>0</v>
      </c>
      <c r="N280" s="211">
        <v>0</v>
      </c>
      <c r="O280" s="211">
        <v>0</v>
      </c>
      <c r="P280" s="211">
        <v>0</v>
      </c>
      <c r="Q280" s="211">
        <v>0</v>
      </c>
      <c r="R280" s="211">
        <v>0</v>
      </c>
      <c r="S280" s="211">
        <v>7.48</v>
      </c>
      <c r="T280" s="211">
        <v>0</v>
      </c>
      <c r="U280" s="211">
        <v>0</v>
      </c>
      <c r="V280" s="211">
        <v>0</v>
      </c>
      <c r="W280" s="211">
        <v>0.114</v>
      </c>
      <c r="X280" s="211">
        <v>0</v>
      </c>
      <c r="Y280" s="211">
        <v>0</v>
      </c>
      <c r="Z280" s="211">
        <v>0</v>
      </c>
      <c r="AA280" s="211">
        <v>0</v>
      </c>
      <c r="AB280" s="211">
        <v>0</v>
      </c>
      <c r="AC280" s="211">
        <v>0</v>
      </c>
      <c r="AD280" s="211">
        <v>0</v>
      </c>
      <c r="AE280" s="211">
        <v>0</v>
      </c>
      <c r="AF280" s="211">
        <v>0</v>
      </c>
      <c r="AG280" s="211">
        <v>7.657</v>
      </c>
    </row>
    <row r="281" spans="1:33" x14ac:dyDescent="0.25">
      <c r="A281" s="207" t="s">
        <v>411</v>
      </c>
      <c r="B281" s="208"/>
      <c r="C281" s="209"/>
      <c r="D281" s="209"/>
      <c r="E281" s="209"/>
      <c r="F281" s="209"/>
      <c r="G281" s="209"/>
      <c r="H281" s="209"/>
      <c r="I281" s="209"/>
      <c r="J281" s="209"/>
      <c r="K281" s="209"/>
      <c r="L281" s="209"/>
      <c r="M281" s="209"/>
      <c r="N281" s="209"/>
      <c r="O281" s="209"/>
      <c r="P281" s="209"/>
      <c r="Q281" s="209"/>
      <c r="R281" s="209"/>
      <c r="S281" s="209"/>
      <c r="T281" s="209"/>
      <c r="U281" s="209"/>
      <c r="V281" s="209"/>
      <c r="W281" s="209"/>
      <c r="X281" s="209"/>
      <c r="Y281" s="209"/>
      <c r="Z281" s="209"/>
      <c r="AA281" s="209"/>
      <c r="AB281" s="209"/>
      <c r="AC281" s="209"/>
      <c r="AD281" s="209"/>
      <c r="AE281" s="209"/>
      <c r="AF281" s="209"/>
      <c r="AG281" s="209"/>
    </row>
    <row r="282" spans="1:33" x14ac:dyDescent="0.25">
      <c r="A282" s="121"/>
      <c r="B282" s="210" t="s">
        <v>412</v>
      </c>
      <c r="C282" s="211">
        <v>0</v>
      </c>
      <c r="D282" s="211">
        <v>0</v>
      </c>
      <c r="E282" s="211">
        <v>0</v>
      </c>
      <c r="F282" s="211">
        <v>0</v>
      </c>
      <c r="G282" s="211">
        <v>0</v>
      </c>
      <c r="H282" s="211">
        <v>0</v>
      </c>
      <c r="I282" s="211">
        <v>0</v>
      </c>
      <c r="J282" s="211">
        <v>0.39</v>
      </c>
      <c r="K282" s="211">
        <v>0</v>
      </c>
      <c r="L282" s="211">
        <v>0</v>
      </c>
      <c r="M282" s="211">
        <v>0</v>
      </c>
      <c r="N282" s="211">
        <v>0</v>
      </c>
      <c r="O282" s="211">
        <v>0</v>
      </c>
      <c r="P282" s="211">
        <v>0</v>
      </c>
      <c r="Q282" s="211">
        <v>0</v>
      </c>
      <c r="R282" s="211">
        <v>0</v>
      </c>
      <c r="S282" s="211">
        <v>0</v>
      </c>
      <c r="T282" s="211">
        <v>0</v>
      </c>
      <c r="U282" s="211">
        <v>0</v>
      </c>
      <c r="V282" s="211">
        <v>0</v>
      </c>
      <c r="W282" s="211">
        <v>0.47899999999999998</v>
      </c>
      <c r="X282" s="211">
        <v>31.108000000000001</v>
      </c>
      <c r="Y282" s="211">
        <v>5.7469999999999999</v>
      </c>
      <c r="Z282" s="211">
        <v>0</v>
      </c>
      <c r="AA282" s="211">
        <v>0</v>
      </c>
      <c r="AB282" s="211">
        <v>0</v>
      </c>
      <c r="AC282" s="211">
        <v>0</v>
      </c>
      <c r="AD282" s="211">
        <v>0</v>
      </c>
      <c r="AE282" s="211">
        <v>0</v>
      </c>
      <c r="AF282" s="211">
        <v>0</v>
      </c>
      <c r="AG282" s="211">
        <v>37.724000000000004</v>
      </c>
    </row>
    <row r="283" spans="1:33" x14ac:dyDescent="0.25">
      <c r="A283" s="207" t="s">
        <v>413</v>
      </c>
      <c r="B283" s="208"/>
      <c r="C283" s="209"/>
      <c r="D283" s="209"/>
      <c r="E283" s="209"/>
      <c r="F283" s="209"/>
      <c r="G283" s="209"/>
      <c r="H283" s="209"/>
      <c r="I283" s="209"/>
      <c r="J283" s="209"/>
      <c r="K283" s="209"/>
      <c r="L283" s="209"/>
      <c r="M283" s="209"/>
      <c r="N283" s="209"/>
      <c r="O283" s="209"/>
      <c r="P283" s="209"/>
      <c r="Q283" s="209"/>
      <c r="R283" s="209"/>
      <c r="S283" s="209"/>
      <c r="T283" s="209"/>
      <c r="U283" s="209"/>
      <c r="V283" s="209"/>
      <c r="W283" s="209"/>
      <c r="X283" s="209"/>
      <c r="Y283" s="209"/>
      <c r="Z283" s="209"/>
      <c r="AA283" s="209"/>
      <c r="AB283" s="209"/>
      <c r="AC283" s="209"/>
      <c r="AD283" s="209"/>
      <c r="AE283" s="209"/>
      <c r="AF283" s="209"/>
      <c r="AG283" s="209"/>
    </row>
    <row r="284" spans="1:33" x14ac:dyDescent="0.25">
      <c r="A284" s="121"/>
      <c r="B284" s="210" t="s">
        <v>93</v>
      </c>
      <c r="C284" s="211">
        <v>0</v>
      </c>
      <c r="D284" s="211">
        <v>0</v>
      </c>
      <c r="E284" s="211">
        <v>0</v>
      </c>
      <c r="F284" s="211">
        <v>0</v>
      </c>
      <c r="G284" s="211">
        <v>0</v>
      </c>
      <c r="H284" s="211">
        <v>0</v>
      </c>
      <c r="I284" s="211">
        <v>0</v>
      </c>
      <c r="J284" s="211">
        <v>0</v>
      </c>
      <c r="K284" s="211">
        <v>0</v>
      </c>
      <c r="L284" s="211">
        <v>0</v>
      </c>
      <c r="M284" s="211">
        <v>0</v>
      </c>
      <c r="N284" s="211">
        <v>0</v>
      </c>
      <c r="O284" s="211">
        <v>0</v>
      </c>
      <c r="P284" s="211">
        <v>0</v>
      </c>
      <c r="Q284" s="211">
        <v>0</v>
      </c>
      <c r="R284" s="211">
        <v>0</v>
      </c>
      <c r="S284" s="211">
        <v>0</v>
      </c>
      <c r="T284" s="211">
        <v>0</v>
      </c>
      <c r="U284" s="211">
        <v>0</v>
      </c>
      <c r="V284" s="211">
        <v>0</v>
      </c>
      <c r="W284" s="211">
        <v>0</v>
      </c>
      <c r="X284" s="211">
        <v>0</v>
      </c>
      <c r="Y284" s="211">
        <v>0</v>
      </c>
      <c r="Z284" s="211">
        <v>0</v>
      </c>
      <c r="AA284" s="211">
        <v>0</v>
      </c>
      <c r="AB284" s="211">
        <v>0</v>
      </c>
      <c r="AC284" s="211">
        <v>0</v>
      </c>
      <c r="AD284" s="211">
        <v>0</v>
      </c>
      <c r="AE284" s="211">
        <v>0</v>
      </c>
      <c r="AF284" s="211">
        <v>0</v>
      </c>
      <c r="AG284" s="211">
        <v>0</v>
      </c>
    </row>
    <row r="285" spans="1:33" x14ac:dyDescent="0.25">
      <c r="A285" s="207" t="s">
        <v>92</v>
      </c>
      <c r="B285" s="208"/>
      <c r="C285" s="209"/>
      <c r="D285" s="209"/>
      <c r="E285" s="209"/>
      <c r="F285" s="209"/>
      <c r="G285" s="209"/>
      <c r="H285" s="209"/>
      <c r="I285" s="209"/>
      <c r="J285" s="209"/>
      <c r="K285" s="209"/>
      <c r="L285" s="209"/>
      <c r="M285" s="209"/>
      <c r="N285" s="209"/>
      <c r="O285" s="209"/>
      <c r="P285" s="209"/>
      <c r="Q285" s="209"/>
      <c r="R285" s="209"/>
      <c r="S285" s="209"/>
      <c r="T285" s="209"/>
      <c r="U285" s="209"/>
      <c r="V285" s="209"/>
      <c r="W285" s="209"/>
      <c r="X285" s="209"/>
      <c r="Y285" s="209"/>
      <c r="Z285" s="209"/>
      <c r="AA285" s="209"/>
      <c r="AB285" s="209"/>
      <c r="AC285" s="209"/>
      <c r="AD285" s="209"/>
      <c r="AE285" s="209"/>
      <c r="AF285" s="209"/>
      <c r="AG285" s="209"/>
    </row>
    <row r="286" spans="1:33" x14ac:dyDescent="0.25">
      <c r="A286" s="121"/>
      <c r="B286" s="210" t="s">
        <v>1139</v>
      </c>
      <c r="C286" s="211">
        <v>0</v>
      </c>
      <c r="D286" s="211">
        <v>0</v>
      </c>
      <c r="E286" s="211">
        <v>0</v>
      </c>
      <c r="F286" s="211">
        <v>0</v>
      </c>
      <c r="G286" s="211">
        <v>0</v>
      </c>
      <c r="H286" s="211">
        <v>0</v>
      </c>
      <c r="I286" s="211">
        <v>0</v>
      </c>
      <c r="J286" s="211">
        <v>0</v>
      </c>
      <c r="K286" s="211">
        <v>0</v>
      </c>
      <c r="L286" s="211">
        <v>0</v>
      </c>
      <c r="M286" s="211">
        <v>0</v>
      </c>
      <c r="N286" s="211">
        <v>0</v>
      </c>
      <c r="O286" s="211">
        <v>0</v>
      </c>
      <c r="P286" s="211">
        <v>0</v>
      </c>
      <c r="Q286" s="211">
        <v>0</v>
      </c>
      <c r="R286" s="211">
        <v>0</v>
      </c>
      <c r="S286" s="211">
        <v>0</v>
      </c>
      <c r="T286" s="211">
        <v>0</v>
      </c>
      <c r="U286" s="211">
        <v>0</v>
      </c>
      <c r="V286" s="211">
        <v>0</v>
      </c>
      <c r="W286" s="211">
        <v>0</v>
      </c>
      <c r="X286" s="211">
        <v>0</v>
      </c>
      <c r="Y286" s="211">
        <v>0</v>
      </c>
      <c r="Z286" s="211">
        <v>0</v>
      </c>
      <c r="AA286" s="211">
        <v>0</v>
      </c>
      <c r="AB286" s="211">
        <v>0</v>
      </c>
      <c r="AC286" s="211">
        <v>0</v>
      </c>
      <c r="AD286" s="211">
        <v>0</v>
      </c>
      <c r="AE286" s="211">
        <v>0</v>
      </c>
      <c r="AF286" s="211">
        <v>0</v>
      </c>
      <c r="AG286" s="211">
        <v>0</v>
      </c>
    </row>
    <row r="287" spans="1:33" x14ac:dyDescent="0.25">
      <c r="A287" s="121"/>
      <c r="B287" s="210" t="s">
        <v>94</v>
      </c>
      <c r="C287" s="211">
        <v>0</v>
      </c>
      <c r="D287" s="211">
        <v>0</v>
      </c>
      <c r="E287" s="211">
        <v>0</v>
      </c>
      <c r="F287" s="211">
        <v>0</v>
      </c>
      <c r="G287" s="211">
        <v>0</v>
      </c>
      <c r="H287" s="211">
        <v>0</v>
      </c>
      <c r="I287" s="211">
        <v>0</v>
      </c>
      <c r="J287" s="211">
        <v>0</v>
      </c>
      <c r="K287" s="211">
        <v>0</v>
      </c>
      <c r="L287" s="211">
        <v>0</v>
      </c>
      <c r="M287" s="211">
        <v>0</v>
      </c>
      <c r="N287" s="211">
        <v>0</v>
      </c>
      <c r="O287" s="211">
        <v>0</v>
      </c>
      <c r="P287" s="211">
        <v>0</v>
      </c>
      <c r="Q287" s="211">
        <v>0</v>
      </c>
      <c r="R287" s="211">
        <v>0</v>
      </c>
      <c r="S287" s="211">
        <v>0</v>
      </c>
      <c r="T287" s="211">
        <v>0</v>
      </c>
      <c r="U287" s="211">
        <v>0</v>
      </c>
      <c r="V287" s="211">
        <v>0</v>
      </c>
      <c r="W287" s="211">
        <v>0</v>
      </c>
      <c r="X287" s="211">
        <v>0</v>
      </c>
      <c r="Y287" s="211">
        <v>0</v>
      </c>
      <c r="Z287" s="211">
        <v>0</v>
      </c>
      <c r="AA287" s="211">
        <v>0</v>
      </c>
      <c r="AB287" s="211">
        <v>0</v>
      </c>
      <c r="AC287" s="211">
        <v>0</v>
      </c>
      <c r="AD287" s="211">
        <v>0</v>
      </c>
      <c r="AE287" s="211">
        <v>0</v>
      </c>
      <c r="AF287" s="211">
        <v>0</v>
      </c>
      <c r="AG287" s="211">
        <v>0</v>
      </c>
    </row>
    <row r="288" spans="1:33" x14ac:dyDescent="0.25">
      <c r="A288" s="207" t="s">
        <v>414</v>
      </c>
      <c r="B288" s="208"/>
      <c r="C288" s="209"/>
      <c r="D288" s="209"/>
      <c r="E288" s="209"/>
      <c r="F288" s="209"/>
      <c r="G288" s="209"/>
      <c r="H288" s="209"/>
      <c r="I288" s="209"/>
      <c r="J288" s="209"/>
      <c r="K288" s="209"/>
      <c r="L288" s="209"/>
      <c r="M288" s="209"/>
      <c r="N288" s="209"/>
      <c r="O288" s="209"/>
      <c r="P288" s="209"/>
      <c r="Q288" s="209"/>
      <c r="R288" s="209"/>
      <c r="S288" s="209"/>
      <c r="T288" s="209"/>
      <c r="U288" s="209"/>
      <c r="V288" s="209"/>
      <c r="W288" s="209"/>
      <c r="X288" s="209"/>
      <c r="Y288" s="209"/>
      <c r="Z288" s="209"/>
      <c r="AA288" s="209"/>
      <c r="AB288" s="209"/>
      <c r="AC288" s="209"/>
      <c r="AD288" s="209"/>
      <c r="AE288" s="209"/>
      <c r="AF288" s="209"/>
      <c r="AG288" s="209"/>
    </row>
    <row r="289" spans="1:33" x14ac:dyDescent="0.25">
      <c r="A289" s="121"/>
      <c r="B289" s="210" t="s">
        <v>415</v>
      </c>
      <c r="C289" s="211">
        <v>0</v>
      </c>
      <c r="D289" s="211">
        <v>0</v>
      </c>
      <c r="E289" s="211">
        <v>0</v>
      </c>
      <c r="F289" s="211">
        <v>0</v>
      </c>
      <c r="G289" s="211">
        <v>0</v>
      </c>
      <c r="H289" s="211">
        <v>0</v>
      </c>
      <c r="I289" s="211">
        <v>0</v>
      </c>
      <c r="J289" s="211">
        <v>0.9</v>
      </c>
      <c r="K289" s="211">
        <v>0</v>
      </c>
      <c r="L289" s="211">
        <v>0</v>
      </c>
      <c r="M289" s="211">
        <v>0</v>
      </c>
      <c r="N289" s="211">
        <v>0</v>
      </c>
      <c r="O289" s="211">
        <v>0</v>
      </c>
      <c r="P289" s="211">
        <v>0</v>
      </c>
      <c r="Q289" s="211">
        <v>0</v>
      </c>
      <c r="R289" s="211">
        <v>0</v>
      </c>
      <c r="S289" s="211">
        <v>9</v>
      </c>
      <c r="T289" s="211">
        <v>0</v>
      </c>
      <c r="U289" s="211">
        <v>0</v>
      </c>
      <c r="V289" s="211">
        <v>0</v>
      </c>
      <c r="W289" s="211">
        <v>0.216</v>
      </c>
      <c r="X289" s="211">
        <v>0</v>
      </c>
      <c r="Y289" s="211">
        <v>0.1</v>
      </c>
      <c r="Z289" s="211">
        <v>0</v>
      </c>
      <c r="AA289" s="211">
        <v>0</v>
      </c>
      <c r="AB289" s="211">
        <v>0</v>
      </c>
      <c r="AC289" s="211">
        <v>0</v>
      </c>
      <c r="AD289" s="211">
        <v>0</v>
      </c>
      <c r="AE289" s="211">
        <v>0</v>
      </c>
      <c r="AF289" s="211">
        <v>0</v>
      </c>
      <c r="AG289" s="211">
        <v>10.215999999999999</v>
      </c>
    </row>
    <row r="290" spans="1:33" x14ac:dyDescent="0.25">
      <c r="A290" s="121"/>
      <c r="B290" s="210" t="s">
        <v>416</v>
      </c>
      <c r="C290" s="211">
        <v>0</v>
      </c>
      <c r="D290" s="211">
        <v>0</v>
      </c>
      <c r="E290" s="211">
        <v>0</v>
      </c>
      <c r="F290" s="211">
        <v>0</v>
      </c>
      <c r="G290" s="211">
        <v>0</v>
      </c>
      <c r="H290" s="211">
        <v>0</v>
      </c>
      <c r="I290" s="211">
        <v>0</v>
      </c>
      <c r="J290" s="211">
        <v>0.67600000000000005</v>
      </c>
      <c r="K290" s="211">
        <v>0</v>
      </c>
      <c r="L290" s="211">
        <v>0</v>
      </c>
      <c r="M290" s="211">
        <v>0</v>
      </c>
      <c r="N290" s="211">
        <v>0</v>
      </c>
      <c r="O290" s="211">
        <v>0</v>
      </c>
      <c r="P290" s="211">
        <v>0</v>
      </c>
      <c r="Q290" s="211">
        <v>0</v>
      </c>
      <c r="R290" s="211">
        <v>0</v>
      </c>
      <c r="S290" s="211">
        <v>0</v>
      </c>
      <c r="T290" s="211">
        <v>0</v>
      </c>
      <c r="U290" s="211">
        <v>0</v>
      </c>
      <c r="V290" s="211">
        <v>0</v>
      </c>
      <c r="W290" s="211">
        <v>0.23599999999999999</v>
      </c>
      <c r="X290" s="211">
        <v>9.1</v>
      </c>
      <c r="Y290" s="211">
        <v>2.2999999999999998</v>
      </c>
      <c r="Z290" s="211">
        <v>0</v>
      </c>
      <c r="AA290" s="211">
        <v>0</v>
      </c>
      <c r="AB290" s="211">
        <v>0</v>
      </c>
      <c r="AC290" s="211">
        <v>0</v>
      </c>
      <c r="AD290" s="211">
        <v>0</v>
      </c>
      <c r="AE290" s="211">
        <v>0</v>
      </c>
      <c r="AF290" s="211">
        <v>0</v>
      </c>
      <c r="AG290" s="211">
        <v>12.312000000000001</v>
      </c>
    </row>
    <row r="291" spans="1:33" x14ac:dyDescent="0.25">
      <c r="A291" s="121"/>
      <c r="B291" s="210" t="s">
        <v>417</v>
      </c>
      <c r="C291" s="211">
        <v>0</v>
      </c>
      <c r="D291" s="211">
        <v>0</v>
      </c>
      <c r="E291" s="211">
        <v>0</v>
      </c>
      <c r="F291" s="211">
        <v>0</v>
      </c>
      <c r="G291" s="211">
        <v>0</v>
      </c>
      <c r="H291" s="211">
        <v>0</v>
      </c>
      <c r="I291" s="211">
        <v>0</v>
      </c>
      <c r="J291" s="211">
        <v>7.0000000000000007E-2</v>
      </c>
      <c r="K291" s="211">
        <v>0</v>
      </c>
      <c r="L291" s="211">
        <v>0</v>
      </c>
      <c r="M291" s="211">
        <v>0</v>
      </c>
      <c r="N291" s="211">
        <v>0</v>
      </c>
      <c r="O291" s="211">
        <v>0</v>
      </c>
      <c r="P291" s="211">
        <v>1.5</v>
      </c>
      <c r="Q291" s="211">
        <v>0</v>
      </c>
      <c r="R291" s="211">
        <v>0</v>
      </c>
      <c r="S291" s="211">
        <v>16.399999999999999</v>
      </c>
      <c r="T291" s="211">
        <v>0</v>
      </c>
      <c r="U291" s="211">
        <v>0</v>
      </c>
      <c r="V291" s="211">
        <v>0</v>
      </c>
      <c r="W291" s="211">
        <v>0.55000000000000004</v>
      </c>
      <c r="X291" s="211">
        <v>0</v>
      </c>
      <c r="Y291" s="211">
        <v>12.8</v>
      </c>
      <c r="Z291" s="211">
        <v>0</v>
      </c>
      <c r="AA291" s="211">
        <v>0</v>
      </c>
      <c r="AB291" s="211">
        <v>0</v>
      </c>
      <c r="AC291" s="211">
        <v>0</v>
      </c>
      <c r="AD291" s="211">
        <v>0</v>
      </c>
      <c r="AE291" s="211">
        <v>6</v>
      </c>
      <c r="AF291" s="211">
        <v>0</v>
      </c>
      <c r="AG291" s="211">
        <v>37.32</v>
      </c>
    </row>
    <row r="292" spans="1:33" x14ac:dyDescent="0.25">
      <c r="A292" s="121"/>
      <c r="B292" s="210" t="s">
        <v>418</v>
      </c>
      <c r="C292" s="211">
        <v>0</v>
      </c>
      <c r="D292" s="211">
        <v>0</v>
      </c>
      <c r="E292" s="211">
        <v>0</v>
      </c>
      <c r="F292" s="211">
        <v>0</v>
      </c>
      <c r="G292" s="211">
        <v>0</v>
      </c>
      <c r="H292" s="211">
        <v>0</v>
      </c>
      <c r="I292" s="211">
        <v>0</v>
      </c>
      <c r="J292" s="211">
        <v>0.124</v>
      </c>
      <c r="K292" s="211">
        <v>0</v>
      </c>
      <c r="L292" s="211">
        <v>0</v>
      </c>
      <c r="M292" s="211">
        <v>0</v>
      </c>
      <c r="N292" s="211">
        <v>0</v>
      </c>
      <c r="O292" s="211">
        <v>0</v>
      </c>
      <c r="P292" s="211">
        <v>0</v>
      </c>
      <c r="Q292" s="211">
        <v>0</v>
      </c>
      <c r="R292" s="211">
        <v>0</v>
      </c>
      <c r="S292" s="211">
        <v>0</v>
      </c>
      <c r="T292" s="211">
        <v>0</v>
      </c>
      <c r="U292" s="211">
        <v>0</v>
      </c>
      <c r="V292" s="211">
        <v>0</v>
      </c>
      <c r="W292" s="211">
        <v>3.3099999999999997E-2</v>
      </c>
      <c r="X292" s="211">
        <v>0</v>
      </c>
      <c r="Y292" s="211">
        <v>3.4</v>
      </c>
      <c r="Z292" s="211">
        <v>0</v>
      </c>
      <c r="AA292" s="211">
        <v>0</v>
      </c>
      <c r="AB292" s="211">
        <v>0</v>
      </c>
      <c r="AC292" s="211">
        <v>0</v>
      </c>
      <c r="AD292" s="211">
        <v>0</v>
      </c>
      <c r="AE292" s="211">
        <v>0</v>
      </c>
      <c r="AF292" s="211">
        <v>0</v>
      </c>
      <c r="AG292" s="211">
        <v>3.5570999999999997</v>
      </c>
    </row>
    <row r="293" spans="1:33" x14ac:dyDescent="0.25">
      <c r="A293" s="207" t="s">
        <v>1140</v>
      </c>
      <c r="B293" s="208"/>
      <c r="C293" s="209"/>
      <c r="D293" s="209"/>
      <c r="E293" s="209"/>
      <c r="F293" s="209"/>
      <c r="G293" s="209"/>
      <c r="H293" s="209"/>
      <c r="I293" s="209"/>
      <c r="J293" s="209"/>
      <c r="K293" s="209"/>
      <c r="L293" s="209"/>
      <c r="M293" s="209"/>
      <c r="N293" s="209"/>
      <c r="O293" s="209"/>
      <c r="P293" s="209"/>
      <c r="Q293" s="209"/>
      <c r="R293" s="209"/>
      <c r="S293" s="209"/>
      <c r="T293" s="209"/>
      <c r="U293" s="209"/>
      <c r="V293" s="209"/>
      <c r="W293" s="209"/>
      <c r="X293" s="209"/>
      <c r="Y293" s="209"/>
      <c r="Z293" s="209"/>
      <c r="AA293" s="209"/>
      <c r="AB293" s="209"/>
      <c r="AC293" s="209"/>
      <c r="AD293" s="209"/>
      <c r="AE293" s="209"/>
      <c r="AF293" s="209"/>
      <c r="AG293" s="209"/>
    </row>
    <row r="294" spans="1:33" x14ac:dyDescent="0.25">
      <c r="A294" s="121"/>
      <c r="B294" s="210" t="s">
        <v>96</v>
      </c>
      <c r="C294" s="211">
        <v>0</v>
      </c>
      <c r="D294" s="211">
        <v>0</v>
      </c>
      <c r="E294" s="211">
        <v>0</v>
      </c>
      <c r="F294" s="211">
        <v>0</v>
      </c>
      <c r="G294" s="211">
        <v>0</v>
      </c>
      <c r="H294" s="211">
        <v>0</v>
      </c>
      <c r="I294" s="211">
        <v>0</v>
      </c>
      <c r="J294" s="211">
        <v>0</v>
      </c>
      <c r="K294" s="211">
        <v>0</v>
      </c>
      <c r="L294" s="211">
        <v>0</v>
      </c>
      <c r="M294" s="211">
        <v>0</v>
      </c>
      <c r="N294" s="211">
        <v>0</v>
      </c>
      <c r="O294" s="211">
        <v>0</v>
      </c>
      <c r="P294" s="211">
        <v>0</v>
      </c>
      <c r="Q294" s="211">
        <v>0</v>
      </c>
      <c r="R294" s="211">
        <v>0</v>
      </c>
      <c r="S294" s="211">
        <v>0</v>
      </c>
      <c r="T294" s="211">
        <v>0</v>
      </c>
      <c r="U294" s="211">
        <v>0</v>
      </c>
      <c r="V294" s="211">
        <v>0</v>
      </c>
      <c r="W294" s="211">
        <v>0</v>
      </c>
      <c r="X294" s="211">
        <v>0</v>
      </c>
      <c r="Y294" s="211">
        <v>0</v>
      </c>
      <c r="Z294" s="211">
        <v>0</v>
      </c>
      <c r="AA294" s="211">
        <v>0</v>
      </c>
      <c r="AB294" s="211">
        <v>0</v>
      </c>
      <c r="AC294" s="211">
        <v>0</v>
      </c>
      <c r="AD294" s="211">
        <v>0</v>
      </c>
      <c r="AE294" s="211">
        <v>0</v>
      </c>
      <c r="AF294" s="211">
        <v>0</v>
      </c>
      <c r="AG294" s="211">
        <v>0</v>
      </c>
    </row>
    <row r="295" spans="1:33" x14ac:dyDescent="0.25">
      <c r="A295" s="207" t="s">
        <v>95</v>
      </c>
      <c r="B295" s="208"/>
      <c r="C295" s="209"/>
      <c r="D295" s="209"/>
      <c r="E295" s="209"/>
      <c r="F295" s="209"/>
      <c r="G295" s="209"/>
      <c r="H295" s="209"/>
      <c r="I295" s="209"/>
      <c r="J295" s="209"/>
      <c r="K295" s="209"/>
      <c r="L295" s="209"/>
      <c r="M295" s="209"/>
      <c r="N295" s="209"/>
      <c r="O295" s="209"/>
      <c r="P295" s="209"/>
      <c r="Q295" s="209"/>
      <c r="R295" s="209"/>
      <c r="S295" s="209"/>
      <c r="T295" s="209"/>
      <c r="U295" s="209"/>
      <c r="V295" s="209"/>
      <c r="W295" s="209"/>
      <c r="X295" s="209"/>
      <c r="Y295" s="209"/>
      <c r="Z295" s="209"/>
      <c r="AA295" s="209"/>
      <c r="AB295" s="209"/>
      <c r="AC295" s="209"/>
      <c r="AD295" s="209"/>
      <c r="AE295" s="209"/>
      <c r="AF295" s="209"/>
      <c r="AG295" s="209"/>
    </row>
    <row r="296" spans="1:33" x14ac:dyDescent="0.25">
      <c r="A296" s="121"/>
      <c r="B296" s="210" t="s">
        <v>97</v>
      </c>
      <c r="C296" s="211">
        <v>0</v>
      </c>
      <c r="D296" s="211">
        <v>0</v>
      </c>
      <c r="E296" s="211">
        <v>0</v>
      </c>
      <c r="F296" s="211">
        <v>0</v>
      </c>
      <c r="G296" s="211">
        <v>0</v>
      </c>
      <c r="H296" s="211">
        <v>0</v>
      </c>
      <c r="I296" s="211">
        <v>0</v>
      </c>
      <c r="J296" s="211">
        <v>0</v>
      </c>
      <c r="K296" s="211">
        <v>0</v>
      </c>
      <c r="L296" s="211">
        <v>0</v>
      </c>
      <c r="M296" s="211">
        <v>0</v>
      </c>
      <c r="N296" s="211">
        <v>0</v>
      </c>
      <c r="O296" s="211">
        <v>0</v>
      </c>
      <c r="P296" s="211">
        <v>0</v>
      </c>
      <c r="Q296" s="211">
        <v>0</v>
      </c>
      <c r="R296" s="211">
        <v>0</v>
      </c>
      <c r="S296" s="211">
        <v>0</v>
      </c>
      <c r="T296" s="211">
        <v>0</v>
      </c>
      <c r="U296" s="211">
        <v>0</v>
      </c>
      <c r="V296" s="211">
        <v>0</v>
      </c>
      <c r="W296" s="211">
        <v>0</v>
      </c>
      <c r="X296" s="211">
        <v>0</v>
      </c>
      <c r="Y296" s="211">
        <v>0</v>
      </c>
      <c r="Z296" s="211">
        <v>0</v>
      </c>
      <c r="AA296" s="211">
        <v>0</v>
      </c>
      <c r="AB296" s="211">
        <v>0</v>
      </c>
      <c r="AC296" s="211">
        <v>0</v>
      </c>
      <c r="AD296" s="211">
        <v>0</v>
      </c>
      <c r="AE296" s="211">
        <v>0</v>
      </c>
      <c r="AF296" s="211">
        <v>0</v>
      </c>
      <c r="AG296" s="211">
        <v>0</v>
      </c>
    </row>
    <row r="297" spans="1:33" x14ac:dyDescent="0.25">
      <c r="A297" s="207" t="s">
        <v>419</v>
      </c>
      <c r="B297" s="208"/>
      <c r="C297" s="209"/>
      <c r="D297" s="209"/>
      <c r="E297" s="209"/>
      <c r="F297" s="209"/>
      <c r="G297" s="209"/>
      <c r="H297" s="209"/>
      <c r="I297" s="209"/>
      <c r="J297" s="209"/>
      <c r="K297" s="209"/>
      <c r="L297" s="209"/>
      <c r="M297" s="209"/>
      <c r="N297" s="209"/>
      <c r="O297" s="209"/>
      <c r="P297" s="209"/>
      <c r="Q297" s="209"/>
      <c r="R297" s="209"/>
      <c r="S297" s="209"/>
      <c r="T297" s="209"/>
      <c r="U297" s="209"/>
      <c r="V297" s="209"/>
      <c r="W297" s="209"/>
      <c r="X297" s="209"/>
      <c r="Y297" s="209"/>
      <c r="Z297" s="209"/>
      <c r="AA297" s="209"/>
      <c r="AB297" s="209"/>
      <c r="AC297" s="209"/>
      <c r="AD297" s="209"/>
      <c r="AE297" s="209"/>
      <c r="AF297" s="209"/>
      <c r="AG297" s="209"/>
    </row>
    <row r="298" spans="1:33" x14ac:dyDescent="0.25">
      <c r="A298" s="121"/>
      <c r="B298" s="210" t="s">
        <v>420</v>
      </c>
      <c r="C298" s="211">
        <v>0</v>
      </c>
      <c r="D298" s="211">
        <v>0</v>
      </c>
      <c r="E298" s="211">
        <v>0</v>
      </c>
      <c r="F298" s="211">
        <v>0</v>
      </c>
      <c r="G298" s="211">
        <v>0</v>
      </c>
      <c r="H298" s="211">
        <v>0</v>
      </c>
      <c r="I298" s="211">
        <v>0</v>
      </c>
      <c r="J298" s="211">
        <v>2.06</v>
      </c>
      <c r="K298" s="211">
        <v>0</v>
      </c>
      <c r="L298" s="211">
        <v>0</v>
      </c>
      <c r="M298" s="211">
        <v>0</v>
      </c>
      <c r="N298" s="211">
        <v>0</v>
      </c>
      <c r="O298" s="211">
        <v>0</v>
      </c>
      <c r="P298" s="211">
        <v>0</v>
      </c>
      <c r="Q298" s="211">
        <v>55.55</v>
      </c>
      <c r="R298" s="211">
        <v>0</v>
      </c>
      <c r="S298" s="211">
        <v>0</v>
      </c>
      <c r="T298" s="211">
        <v>0</v>
      </c>
      <c r="U298" s="211">
        <v>0</v>
      </c>
      <c r="V298" s="211">
        <v>0</v>
      </c>
      <c r="W298" s="211">
        <v>1.3312200000000001</v>
      </c>
      <c r="X298" s="211">
        <v>0</v>
      </c>
      <c r="Y298" s="211">
        <v>0</v>
      </c>
      <c r="Z298" s="211">
        <v>0</v>
      </c>
      <c r="AA298" s="211">
        <v>0</v>
      </c>
      <c r="AB298" s="211">
        <v>0</v>
      </c>
      <c r="AC298" s="211">
        <v>0</v>
      </c>
      <c r="AD298" s="211">
        <v>0</v>
      </c>
      <c r="AE298" s="211">
        <v>0</v>
      </c>
      <c r="AF298" s="211">
        <v>0</v>
      </c>
      <c r="AG298" s="211">
        <v>58.941220000000001</v>
      </c>
    </row>
    <row r="299" spans="1:33" x14ac:dyDescent="0.25">
      <c r="A299" s="207" t="s">
        <v>421</v>
      </c>
      <c r="B299" s="208"/>
      <c r="C299" s="209"/>
      <c r="D299" s="209"/>
      <c r="E299" s="209"/>
      <c r="F299" s="209"/>
      <c r="G299" s="209"/>
      <c r="H299" s="209"/>
      <c r="I299" s="209"/>
      <c r="J299" s="209"/>
      <c r="K299" s="209"/>
      <c r="L299" s="209"/>
      <c r="M299" s="209"/>
      <c r="N299" s="209"/>
      <c r="O299" s="209"/>
      <c r="P299" s="209"/>
      <c r="Q299" s="209"/>
      <c r="R299" s="209"/>
      <c r="S299" s="209"/>
      <c r="T299" s="209"/>
      <c r="U299" s="209"/>
      <c r="V299" s="209"/>
      <c r="W299" s="209"/>
      <c r="X299" s="209"/>
      <c r="Y299" s="209"/>
      <c r="Z299" s="209"/>
      <c r="AA299" s="209"/>
      <c r="AB299" s="209"/>
      <c r="AC299" s="209"/>
      <c r="AD299" s="209"/>
      <c r="AE299" s="209"/>
      <c r="AF299" s="209"/>
      <c r="AG299" s="209"/>
    </row>
    <row r="300" spans="1:33" x14ac:dyDescent="0.25">
      <c r="A300" s="121"/>
      <c r="B300" s="210" t="s">
        <v>422</v>
      </c>
      <c r="C300" s="211">
        <v>0</v>
      </c>
      <c r="D300" s="211">
        <v>55.46</v>
      </c>
      <c r="E300" s="211">
        <v>0</v>
      </c>
      <c r="F300" s="211">
        <v>0</v>
      </c>
      <c r="G300" s="211">
        <v>0</v>
      </c>
      <c r="H300" s="211">
        <v>0</v>
      </c>
      <c r="I300" s="211">
        <v>0</v>
      </c>
      <c r="J300" s="211">
        <v>0</v>
      </c>
      <c r="K300" s="211">
        <v>0</v>
      </c>
      <c r="L300" s="211">
        <v>0</v>
      </c>
      <c r="M300" s="211">
        <v>0</v>
      </c>
      <c r="N300" s="211">
        <v>0</v>
      </c>
      <c r="O300" s="211">
        <v>0</v>
      </c>
      <c r="P300" s="211">
        <v>0</v>
      </c>
      <c r="Q300" s="211">
        <v>11.773999999999999</v>
      </c>
      <c r="R300" s="211">
        <v>0</v>
      </c>
      <c r="S300" s="211">
        <v>0</v>
      </c>
      <c r="T300" s="211">
        <v>0</v>
      </c>
      <c r="U300" s="211">
        <v>0</v>
      </c>
      <c r="V300" s="211">
        <v>0</v>
      </c>
      <c r="W300" s="211">
        <v>27.625</v>
      </c>
      <c r="X300" s="211">
        <v>0</v>
      </c>
      <c r="Y300" s="211">
        <v>0</v>
      </c>
      <c r="Z300" s="211">
        <v>0</v>
      </c>
      <c r="AA300" s="211">
        <v>0</v>
      </c>
      <c r="AB300" s="211">
        <v>0</v>
      </c>
      <c r="AC300" s="211">
        <v>0</v>
      </c>
      <c r="AD300" s="211">
        <v>0</v>
      </c>
      <c r="AE300" s="211">
        <v>0</v>
      </c>
      <c r="AF300" s="211">
        <v>0</v>
      </c>
      <c r="AG300" s="211">
        <v>94.858999999999995</v>
      </c>
    </row>
    <row r="301" spans="1:33" x14ac:dyDescent="0.25">
      <c r="A301" s="121"/>
      <c r="B301" s="210" t="s">
        <v>423</v>
      </c>
      <c r="C301" s="211">
        <v>0</v>
      </c>
      <c r="D301" s="211">
        <v>266.88099999999997</v>
      </c>
      <c r="E301" s="211">
        <v>0</v>
      </c>
      <c r="F301" s="211">
        <v>0</v>
      </c>
      <c r="G301" s="211">
        <v>4.6749999999999998</v>
      </c>
      <c r="H301" s="211">
        <v>0</v>
      </c>
      <c r="I301" s="211">
        <v>0</v>
      </c>
      <c r="J301" s="211">
        <v>3.8860000000000001</v>
      </c>
      <c r="K301" s="211">
        <v>0</v>
      </c>
      <c r="L301" s="211">
        <v>0</v>
      </c>
      <c r="M301" s="211">
        <v>0</v>
      </c>
      <c r="N301" s="211">
        <v>0</v>
      </c>
      <c r="O301" s="211">
        <v>0</v>
      </c>
      <c r="P301" s="211">
        <v>19.329999999999998</v>
      </c>
      <c r="Q301" s="211">
        <v>0</v>
      </c>
      <c r="R301" s="211">
        <v>0</v>
      </c>
      <c r="S301" s="211">
        <v>0</v>
      </c>
      <c r="T301" s="211">
        <v>0</v>
      </c>
      <c r="U301" s="211">
        <v>0</v>
      </c>
      <c r="V301" s="211">
        <v>0</v>
      </c>
      <c r="W301" s="211">
        <v>6.6128999999999998</v>
      </c>
      <c r="X301" s="211">
        <v>0</v>
      </c>
      <c r="Y301" s="211">
        <v>0</v>
      </c>
      <c r="Z301" s="211">
        <v>0</v>
      </c>
      <c r="AA301" s="211">
        <v>0</v>
      </c>
      <c r="AB301" s="211">
        <v>0</v>
      </c>
      <c r="AC301" s="211">
        <v>0</v>
      </c>
      <c r="AD301" s="211">
        <v>0</v>
      </c>
      <c r="AE301" s="211">
        <v>0</v>
      </c>
      <c r="AF301" s="211">
        <v>0</v>
      </c>
      <c r="AG301" s="211">
        <v>301.38490000000002</v>
      </c>
    </row>
    <row r="302" spans="1:33" x14ac:dyDescent="0.25">
      <c r="A302" s="207" t="s">
        <v>424</v>
      </c>
      <c r="B302" s="208"/>
      <c r="C302" s="209"/>
      <c r="D302" s="209"/>
      <c r="E302" s="209"/>
      <c r="F302" s="209"/>
      <c r="G302" s="209"/>
      <c r="H302" s="209"/>
      <c r="I302" s="209"/>
      <c r="J302" s="209"/>
      <c r="K302" s="209"/>
      <c r="L302" s="209"/>
      <c r="M302" s="209"/>
      <c r="N302" s="209"/>
      <c r="O302" s="209"/>
      <c r="P302" s="209"/>
      <c r="Q302" s="209"/>
      <c r="R302" s="209"/>
      <c r="S302" s="209"/>
      <c r="T302" s="209"/>
      <c r="U302" s="209"/>
      <c r="V302" s="209"/>
      <c r="W302" s="209"/>
      <c r="X302" s="209"/>
      <c r="Y302" s="209"/>
      <c r="Z302" s="209"/>
      <c r="AA302" s="209"/>
      <c r="AB302" s="209"/>
      <c r="AC302" s="209"/>
      <c r="AD302" s="209"/>
      <c r="AE302" s="209"/>
      <c r="AF302" s="209"/>
      <c r="AG302" s="209"/>
    </row>
    <row r="303" spans="1:33" x14ac:dyDescent="0.25">
      <c r="A303" s="121"/>
      <c r="B303" s="210" t="s">
        <v>425</v>
      </c>
      <c r="C303" s="211">
        <v>0</v>
      </c>
      <c r="D303" s="211">
        <v>0</v>
      </c>
      <c r="E303" s="211">
        <v>0</v>
      </c>
      <c r="F303" s="211">
        <v>0</v>
      </c>
      <c r="G303" s="211">
        <v>0</v>
      </c>
      <c r="H303" s="211">
        <v>0</v>
      </c>
      <c r="I303" s="211">
        <v>0</v>
      </c>
      <c r="J303" s="211">
        <v>0.45800000000000002</v>
      </c>
      <c r="K303" s="211">
        <v>0</v>
      </c>
      <c r="L303" s="211">
        <v>0</v>
      </c>
      <c r="M303" s="211">
        <v>0</v>
      </c>
      <c r="N303" s="211">
        <v>0</v>
      </c>
      <c r="O303" s="211">
        <v>0</v>
      </c>
      <c r="P303" s="211">
        <v>0</v>
      </c>
      <c r="Q303" s="211">
        <v>0</v>
      </c>
      <c r="R303" s="211">
        <v>0</v>
      </c>
      <c r="S303" s="211">
        <v>0</v>
      </c>
      <c r="T303" s="211">
        <v>0</v>
      </c>
      <c r="U303" s="211">
        <v>0</v>
      </c>
      <c r="V303" s="211">
        <v>0</v>
      </c>
      <c r="W303" s="211">
        <v>0.36969000000000002</v>
      </c>
      <c r="X303" s="211">
        <v>0</v>
      </c>
      <c r="Y303" s="211">
        <v>0</v>
      </c>
      <c r="Z303" s="211">
        <v>0</v>
      </c>
      <c r="AA303" s="211">
        <v>0</v>
      </c>
      <c r="AB303" s="211">
        <v>0</v>
      </c>
      <c r="AC303" s="211">
        <v>0</v>
      </c>
      <c r="AD303" s="211">
        <v>0</v>
      </c>
      <c r="AE303" s="211">
        <v>0</v>
      </c>
      <c r="AF303" s="211">
        <v>15.8</v>
      </c>
      <c r="AG303" s="211">
        <v>16.627690000000001</v>
      </c>
    </row>
    <row r="304" spans="1:33" x14ac:dyDescent="0.25">
      <c r="A304" s="207" t="s">
        <v>426</v>
      </c>
      <c r="B304" s="208"/>
      <c r="C304" s="209"/>
      <c r="D304" s="209"/>
      <c r="E304" s="209"/>
      <c r="F304" s="209"/>
      <c r="G304" s="209"/>
      <c r="H304" s="209"/>
      <c r="I304" s="209"/>
      <c r="J304" s="209"/>
      <c r="K304" s="209"/>
      <c r="L304" s="209"/>
      <c r="M304" s="209"/>
      <c r="N304" s="209"/>
      <c r="O304" s="209"/>
      <c r="P304" s="209"/>
      <c r="Q304" s="209"/>
      <c r="R304" s="209"/>
      <c r="S304" s="209"/>
      <c r="T304" s="209"/>
      <c r="U304" s="209"/>
      <c r="V304" s="209"/>
      <c r="W304" s="209"/>
      <c r="X304" s="209"/>
      <c r="Y304" s="209"/>
      <c r="Z304" s="209"/>
      <c r="AA304" s="209"/>
      <c r="AB304" s="209"/>
      <c r="AC304" s="209"/>
      <c r="AD304" s="209"/>
      <c r="AE304" s="209"/>
      <c r="AF304" s="209"/>
      <c r="AG304" s="209"/>
    </row>
    <row r="305" spans="1:33" x14ac:dyDescent="0.25">
      <c r="A305" s="121"/>
      <c r="B305" s="210" t="s">
        <v>427</v>
      </c>
      <c r="C305" s="211">
        <v>0</v>
      </c>
      <c r="D305" s="211">
        <v>0</v>
      </c>
      <c r="E305" s="211">
        <v>0</v>
      </c>
      <c r="F305" s="211">
        <v>0</v>
      </c>
      <c r="G305" s="211">
        <v>0</v>
      </c>
      <c r="H305" s="211">
        <v>0</v>
      </c>
      <c r="I305" s="211">
        <v>0</v>
      </c>
      <c r="J305" s="211">
        <v>0.56599999999999995</v>
      </c>
      <c r="K305" s="211">
        <v>0</v>
      </c>
      <c r="L305" s="211">
        <v>0</v>
      </c>
      <c r="M305" s="211">
        <v>0</v>
      </c>
      <c r="N305" s="211">
        <v>0</v>
      </c>
      <c r="O305" s="211">
        <v>0</v>
      </c>
      <c r="P305" s="211">
        <v>0</v>
      </c>
      <c r="Q305" s="211">
        <v>17.600000000000001</v>
      </c>
      <c r="R305" s="211">
        <v>0</v>
      </c>
      <c r="S305" s="211">
        <v>0</v>
      </c>
      <c r="T305" s="211">
        <v>0</v>
      </c>
      <c r="U305" s="211">
        <v>0</v>
      </c>
      <c r="V305" s="211">
        <v>0</v>
      </c>
      <c r="W305" s="211">
        <v>8.6999999999999994E-2</v>
      </c>
      <c r="X305" s="211">
        <v>0</v>
      </c>
      <c r="Y305" s="211">
        <v>0</v>
      </c>
      <c r="Z305" s="211">
        <v>0</v>
      </c>
      <c r="AA305" s="211">
        <v>0</v>
      </c>
      <c r="AB305" s="211">
        <v>0</v>
      </c>
      <c r="AC305" s="211">
        <v>0</v>
      </c>
      <c r="AD305" s="211">
        <v>0</v>
      </c>
      <c r="AE305" s="211">
        <v>0</v>
      </c>
      <c r="AF305" s="211">
        <v>0.28235300000000002</v>
      </c>
      <c r="AG305" s="211">
        <v>18.535353000000001</v>
      </c>
    </row>
    <row r="306" spans="1:33" x14ac:dyDescent="0.25">
      <c r="A306" s="121"/>
      <c r="B306" s="210" t="s">
        <v>428</v>
      </c>
      <c r="C306" s="211">
        <v>0</v>
      </c>
      <c r="D306" s="211">
        <v>0</v>
      </c>
      <c r="E306" s="211">
        <v>0</v>
      </c>
      <c r="F306" s="211">
        <v>0</v>
      </c>
      <c r="G306" s="211">
        <v>0</v>
      </c>
      <c r="H306" s="211">
        <v>0</v>
      </c>
      <c r="I306" s="211">
        <v>0.75411799999999996</v>
      </c>
      <c r="J306" s="211">
        <v>0</v>
      </c>
      <c r="K306" s="211">
        <v>0</v>
      </c>
      <c r="L306" s="211">
        <v>0</v>
      </c>
      <c r="M306" s="211">
        <v>0</v>
      </c>
      <c r="N306" s="211">
        <v>0</v>
      </c>
      <c r="O306" s="211">
        <v>0</v>
      </c>
      <c r="P306" s="211">
        <v>0</v>
      </c>
      <c r="Q306" s="211">
        <v>0.64100000000000001</v>
      </c>
      <c r="R306" s="211">
        <v>0</v>
      </c>
      <c r="S306" s="211">
        <v>0</v>
      </c>
      <c r="T306" s="211">
        <v>0</v>
      </c>
      <c r="U306" s="211">
        <v>0</v>
      </c>
      <c r="V306" s="211">
        <v>0</v>
      </c>
      <c r="W306" s="211">
        <v>0.23</v>
      </c>
      <c r="X306" s="211">
        <v>0</v>
      </c>
      <c r="Y306" s="211">
        <v>3.948</v>
      </c>
      <c r="Z306" s="211">
        <v>0</v>
      </c>
      <c r="AA306" s="211">
        <v>0</v>
      </c>
      <c r="AB306" s="211">
        <v>0</v>
      </c>
      <c r="AC306" s="211">
        <v>0</v>
      </c>
      <c r="AD306" s="211">
        <v>0</v>
      </c>
      <c r="AE306" s="211">
        <v>0</v>
      </c>
      <c r="AF306" s="211">
        <v>0</v>
      </c>
      <c r="AG306" s="211">
        <v>5.573118</v>
      </c>
    </row>
    <row r="307" spans="1:33" x14ac:dyDescent="0.25">
      <c r="A307" s="121"/>
      <c r="B307" s="210" t="s">
        <v>429</v>
      </c>
      <c r="C307" s="211">
        <v>0</v>
      </c>
      <c r="D307" s="211">
        <v>0</v>
      </c>
      <c r="E307" s="211">
        <v>0</v>
      </c>
      <c r="F307" s="211">
        <v>0</v>
      </c>
      <c r="G307" s="211">
        <v>3.5</v>
      </c>
      <c r="H307" s="211">
        <v>0</v>
      </c>
      <c r="I307" s="211">
        <v>3.7890000000000001</v>
      </c>
      <c r="J307" s="211">
        <v>0.76200000000000001</v>
      </c>
      <c r="K307" s="211">
        <v>0</v>
      </c>
      <c r="L307" s="211">
        <v>0</v>
      </c>
      <c r="M307" s="211">
        <v>0</v>
      </c>
      <c r="N307" s="211">
        <v>0</v>
      </c>
      <c r="O307" s="211">
        <v>0</v>
      </c>
      <c r="P307" s="211">
        <v>0</v>
      </c>
      <c r="Q307" s="211">
        <v>77.7</v>
      </c>
      <c r="R307" s="211">
        <v>0</v>
      </c>
      <c r="S307" s="211">
        <v>0</v>
      </c>
      <c r="T307" s="211">
        <v>0</v>
      </c>
      <c r="U307" s="211">
        <v>0</v>
      </c>
      <c r="V307" s="211">
        <v>0</v>
      </c>
      <c r="W307" s="211">
        <v>1.57</v>
      </c>
      <c r="X307" s="211">
        <v>0</v>
      </c>
      <c r="Y307" s="211">
        <v>5.0359999999999996</v>
      </c>
      <c r="Z307" s="211">
        <v>0</v>
      </c>
      <c r="AA307" s="211">
        <v>0</v>
      </c>
      <c r="AB307" s="211">
        <v>0</v>
      </c>
      <c r="AC307" s="211">
        <v>0</v>
      </c>
      <c r="AD307" s="211">
        <v>0</v>
      </c>
      <c r="AE307" s="211">
        <v>0</v>
      </c>
      <c r="AF307" s="211">
        <v>6.1176500000000003</v>
      </c>
      <c r="AG307" s="211">
        <v>98.474649999999997</v>
      </c>
    </row>
    <row r="308" spans="1:33" x14ac:dyDescent="0.25">
      <c r="A308" s="121"/>
      <c r="B308" s="210" t="s">
        <v>430</v>
      </c>
      <c r="C308" s="211">
        <v>0</v>
      </c>
      <c r="D308" s="211">
        <v>0</v>
      </c>
      <c r="E308" s="211">
        <v>0</v>
      </c>
      <c r="F308" s="211">
        <v>0</v>
      </c>
      <c r="G308" s="211">
        <v>0</v>
      </c>
      <c r="H308" s="211">
        <v>0</v>
      </c>
      <c r="I308" s="211">
        <v>0</v>
      </c>
      <c r="J308" s="211">
        <v>0</v>
      </c>
      <c r="K308" s="211">
        <v>0</v>
      </c>
      <c r="L308" s="211">
        <v>0</v>
      </c>
      <c r="M308" s="211">
        <v>0</v>
      </c>
      <c r="N308" s="211">
        <v>0</v>
      </c>
      <c r="O308" s="211">
        <v>0</v>
      </c>
      <c r="P308" s="211">
        <v>0</v>
      </c>
      <c r="Q308" s="211">
        <v>0</v>
      </c>
      <c r="R308" s="211">
        <v>0</v>
      </c>
      <c r="S308" s="211">
        <v>0</v>
      </c>
      <c r="T308" s="211">
        <v>0</v>
      </c>
      <c r="U308" s="211">
        <v>0</v>
      </c>
      <c r="V308" s="211">
        <v>0</v>
      </c>
      <c r="W308" s="211">
        <v>0</v>
      </c>
      <c r="X308" s="211">
        <v>0</v>
      </c>
      <c r="Y308" s="211">
        <v>0</v>
      </c>
      <c r="Z308" s="211">
        <v>0</v>
      </c>
      <c r="AA308" s="211">
        <v>0</v>
      </c>
      <c r="AB308" s="211">
        <v>0</v>
      </c>
      <c r="AC308" s="211">
        <v>0</v>
      </c>
      <c r="AD308" s="211">
        <v>0</v>
      </c>
      <c r="AE308" s="211">
        <v>0</v>
      </c>
      <c r="AF308" s="211">
        <v>0</v>
      </c>
      <c r="AG308" s="211">
        <v>0</v>
      </c>
    </row>
    <row r="309" spans="1:33" x14ac:dyDescent="0.25">
      <c r="A309" s="121"/>
      <c r="B309" s="210" t="s">
        <v>431</v>
      </c>
      <c r="C309" s="211">
        <v>0</v>
      </c>
      <c r="D309" s="211">
        <v>0</v>
      </c>
      <c r="E309" s="211">
        <v>0</v>
      </c>
      <c r="F309" s="211">
        <v>0</v>
      </c>
      <c r="G309" s="211">
        <v>0</v>
      </c>
      <c r="H309" s="211">
        <v>0</v>
      </c>
      <c r="I309" s="211">
        <v>0</v>
      </c>
      <c r="J309" s="211">
        <v>0.23799999999999999</v>
      </c>
      <c r="K309" s="211">
        <v>0</v>
      </c>
      <c r="L309" s="211">
        <v>0</v>
      </c>
      <c r="M309" s="211">
        <v>0</v>
      </c>
      <c r="N309" s="211">
        <v>0</v>
      </c>
      <c r="O309" s="211">
        <v>0</v>
      </c>
      <c r="P309" s="211">
        <v>0</v>
      </c>
      <c r="Q309" s="211">
        <v>4.09</v>
      </c>
      <c r="R309" s="211">
        <v>0</v>
      </c>
      <c r="S309" s="211">
        <v>0</v>
      </c>
      <c r="T309" s="211">
        <v>0</v>
      </c>
      <c r="U309" s="211">
        <v>0</v>
      </c>
      <c r="V309" s="211">
        <v>0</v>
      </c>
      <c r="W309" s="211">
        <v>2.7E-2</v>
      </c>
      <c r="X309" s="211">
        <v>0</v>
      </c>
      <c r="Y309" s="211">
        <v>0</v>
      </c>
      <c r="Z309" s="211">
        <v>0</v>
      </c>
      <c r="AA309" s="211">
        <v>0</v>
      </c>
      <c r="AB309" s="211">
        <v>0</v>
      </c>
      <c r="AC309" s="211">
        <v>0</v>
      </c>
      <c r="AD309" s="211">
        <v>0</v>
      </c>
      <c r="AE309" s="211">
        <v>0</v>
      </c>
      <c r="AF309" s="211">
        <v>0.31764700000000001</v>
      </c>
      <c r="AG309" s="211">
        <v>4.6726469999999996</v>
      </c>
    </row>
    <row r="310" spans="1:33" x14ac:dyDescent="0.25">
      <c r="A310" s="207" t="s">
        <v>432</v>
      </c>
      <c r="B310" s="208"/>
      <c r="C310" s="209"/>
      <c r="D310" s="209"/>
      <c r="E310" s="209"/>
      <c r="F310" s="209"/>
      <c r="G310" s="209"/>
      <c r="H310" s="209"/>
      <c r="I310" s="209"/>
      <c r="J310" s="209"/>
      <c r="K310" s="209"/>
      <c r="L310" s="209"/>
      <c r="M310" s="209"/>
      <c r="N310" s="209"/>
      <c r="O310" s="209"/>
      <c r="P310" s="209"/>
      <c r="Q310" s="209"/>
      <c r="R310" s="209"/>
      <c r="S310" s="209"/>
      <c r="T310" s="209"/>
      <c r="U310" s="209"/>
      <c r="V310" s="209"/>
      <c r="W310" s="209"/>
      <c r="X310" s="209"/>
      <c r="Y310" s="209"/>
      <c r="Z310" s="209"/>
      <c r="AA310" s="209"/>
      <c r="AB310" s="209"/>
      <c r="AC310" s="209"/>
      <c r="AD310" s="209"/>
      <c r="AE310" s="209"/>
      <c r="AF310" s="209"/>
      <c r="AG310" s="209"/>
    </row>
    <row r="311" spans="1:33" x14ac:dyDescent="0.25">
      <c r="A311" s="121"/>
      <c r="B311" s="210" t="s">
        <v>433</v>
      </c>
      <c r="C311" s="211">
        <v>0</v>
      </c>
      <c r="D311" s="211">
        <v>112.348</v>
      </c>
      <c r="E311" s="211">
        <v>0</v>
      </c>
      <c r="F311" s="211">
        <v>0</v>
      </c>
      <c r="G311" s="211">
        <v>0</v>
      </c>
      <c r="H311" s="211">
        <v>0</v>
      </c>
      <c r="I311" s="211">
        <v>0</v>
      </c>
      <c r="J311" s="211">
        <v>2.58</v>
      </c>
      <c r="K311" s="211">
        <v>0</v>
      </c>
      <c r="L311" s="211">
        <v>0</v>
      </c>
      <c r="M311" s="211">
        <v>45.082099999999997</v>
      </c>
      <c r="N311" s="211">
        <v>0</v>
      </c>
      <c r="O311" s="211">
        <v>19.059699999999999</v>
      </c>
      <c r="P311" s="211">
        <v>0</v>
      </c>
      <c r="Q311" s="211">
        <v>0</v>
      </c>
      <c r="R311" s="211">
        <v>0</v>
      </c>
      <c r="S311" s="211">
        <v>0</v>
      </c>
      <c r="T311" s="211">
        <v>0</v>
      </c>
      <c r="U311" s="211">
        <v>0</v>
      </c>
      <c r="V311" s="211">
        <v>4.2357800000000001</v>
      </c>
      <c r="W311" s="211">
        <v>4.2869999999999999</v>
      </c>
      <c r="X311" s="211">
        <v>0</v>
      </c>
      <c r="Y311" s="211">
        <v>10.06</v>
      </c>
      <c r="Z311" s="211">
        <v>0</v>
      </c>
      <c r="AA311" s="211">
        <v>0</v>
      </c>
      <c r="AB311" s="211">
        <v>0</v>
      </c>
      <c r="AC311" s="211">
        <v>0</v>
      </c>
      <c r="AD311" s="211">
        <v>0</v>
      </c>
      <c r="AE311" s="211">
        <v>0</v>
      </c>
      <c r="AF311" s="211">
        <v>0</v>
      </c>
      <c r="AG311" s="211">
        <v>197.65258</v>
      </c>
    </row>
    <row r="312" spans="1:33" x14ac:dyDescent="0.25">
      <c r="A312" s="207" t="s">
        <v>434</v>
      </c>
      <c r="B312" s="208"/>
      <c r="C312" s="209"/>
      <c r="D312" s="209"/>
      <c r="E312" s="209"/>
      <c r="F312" s="209"/>
      <c r="G312" s="209"/>
      <c r="H312" s="209"/>
      <c r="I312" s="209"/>
      <c r="J312" s="209"/>
      <c r="K312" s="209"/>
      <c r="L312" s="209"/>
      <c r="M312" s="209"/>
      <c r="N312" s="209"/>
      <c r="O312" s="209"/>
      <c r="P312" s="209"/>
      <c r="Q312" s="209"/>
      <c r="R312" s="209"/>
      <c r="S312" s="209"/>
      <c r="T312" s="209"/>
      <c r="U312" s="209"/>
      <c r="V312" s="209"/>
      <c r="W312" s="209"/>
      <c r="X312" s="209"/>
      <c r="Y312" s="209"/>
      <c r="Z312" s="209"/>
      <c r="AA312" s="209"/>
      <c r="AB312" s="209"/>
      <c r="AC312" s="209"/>
      <c r="AD312" s="209"/>
      <c r="AE312" s="209"/>
      <c r="AF312" s="209"/>
      <c r="AG312" s="209"/>
    </row>
    <row r="313" spans="1:33" x14ac:dyDescent="0.25">
      <c r="A313" s="121"/>
      <c r="B313" s="210" t="s">
        <v>435</v>
      </c>
      <c r="C313" s="211">
        <v>0</v>
      </c>
      <c r="D313" s="211">
        <v>0</v>
      </c>
      <c r="E313" s="211">
        <v>0</v>
      </c>
      <c r="F313" s="211">
        <v>0</v>
      </c>
      <c r="G313" s="211">
        <v>0</v>
      </c>
      <c r="H313" s="211">
        <v>0</v>
      </c>
      <c r="I313" s="211">
        <v>0</v>
      </c>
      <c r="J313" s="211">
        <v>0.2</v>
      </c>
      <c r="K313" s="211">
        <v>0</v>
      </c>
      <c r="L313" s="211">
        <v>0</v>
      </c>
      <c r="M313" s="211">
        <v>0</v>
      </c>
      <c r="N313" s="211">
        <v>0</v>
      </c>
      <c r="O313" s="211">
        <v>0</v>
      </c>
      <c r="P313" s="211">
        <v>0</v>
      </c>
      <c r="Q313" s="211">
        <v>0</v>
      </c>
      <c r="R313" s="211">
        <v>0</v>
      </c>
      <c r="S313" s="211">
        <v>0</v>
      </c>
      <c r="T313" s="211">
        <v>0</v>
      </c>
      <c r="U313" s="211">
        <v>0</v>
      </c>
      <c r="V313" s="211">
        <v>0</v>
      </c>
      <c r="W313" s="211">
        <v>0.16400000000000001</v>
      </c>
      <c r="X313" s="211">
        <v>0</v>
      </c>
      <c r="Y313" s="211">
        <v>1.6</v>
      </c>
      <c r="Z313" s="211">
        <v>0</v>
      </c>
      <c r="AA313" s="211">
        <v>0</v>
      </c>
      <c r="AB313" s="211">
        <v>0</v>
      </c>
      <c r="AC313" s="211">
        <v>0</v>
      </c>
      <c r="AD313" s="211">
        <v>0</v>
      </c>
      <c r="AE313" s="211">
        <v>0</v>
      </c>
      <c r="AF313" s="211">
        <v>6.8</v>
      </c>
      <c r="AG313" s="211">
        <v>8.7639999999999993</v>
      </c>
    </row>
    <row r="314" spans="1:33" x14ac:dyDescent="0.25">
      <c r="A314" s="121"/>
      <c r="B314" s="210" t="s">
        <v>436</v>
      </c>
      <c r="C314" s="211">
        <v>0</v>
      </c>
      <c r="D314" s="211">
        <v>0</v>
      </c>
      <c r="E314" s="211">
        <v>0</v>
      </c>
      <c r="F314" s="211">
        <v>0</v>
      </c>
      <c r="G314" s="211">
        <v>0</v>
      </c>
      <c r="H314" s="211">
        <v>0</v>
      </c>
      <c r="I314" s="211">
        <v>0</v>
      </c>
      <c r="J314" s="211">
        <v>0.9</v>
      </c>
      <c r="K314" s="211">
        <v>0</v>
      </c>
      <c r="L314" s="211">
        <v>0</v>
      </c>
      <c r="M314" s="211">
        <v>0</v>
      </c>
      <c r="N314" s="211">
        <v>0</v>
      </c>
      <c r="O314" s="211">
        <v>0</v>
      </c>
      <c r="P314" s="211">
        <v>1.2</v>
      </c>
      <c r="Q314" s="211">
        <v>0</v>
      </c>
      <c r="R314" s="211">
        <v>0</v>
      </c>
      <c r="S314" s="211">
        <v>12.8</v>
      </c>
      <c r="T314" s="211">
        <v>0</v>
      </c>
      <c r="U314" s="211">
        <v>0</v>
      </c>
      <c r="V314" s="211">
        <v>0</v>
      </c>
      <c r="W314" s="211">
        <v>0.39</v>
      </c>
      <c r="X314" s="211">
        <v>0</v>
      </c>
      <c r="Y314" s="211">
        <v>0</v>
      </c>
      <c r="Z314" s="211">
        <v>0</v>
      </c>
      <c r="AA314" s="211">
        <v>0</v>
      </c>
      <c r="AB314" s="211">
        <v>0</v>
      </c>
      <c r="AC314" s="211">
        <v>0</v>
      </c>
      <c r="AD314" s="211">
        <v>0</v>
      </c>
      <c r="AE314" s="211">
        <v>0</v>
      </c>
      <c r="AF314" s="211">
        <v>0</v>
      </c>
      <c r="AG314" s="211">
        <v>15.290000000000001</v>
      </c>
    </row>
    <row r="315" spans="1:33" x14ac:dyDescent="0.25">
      <c r="A315" s="121"/>
      <c r="B315" s="210" t="s">
        <v>437</v>
      </c>
      <c r="C315" s="211">
        <v>0</v>
      </c>
      <c r="D315" s="211">
        <v>0</v>
      </c>
      <c r="E315" s="211">
        <v>0</v>
      </c>
      <c r="F315" s="211">
        <v>7.6</v>
      </c>
      <c r="G315" s="211">
        <v>0</v>
      </c>
      <c r="H315" s="211">
        <v>0</v>
      </c>
      <c r="I315" s="211">
        <v>0</v>
      </c>
      <c r="J315" s="211">
        <v>0.56000000000000005</v>
      </c>
      <c r="K315" s="211">
        <v>0</v>
      </c>
      <c r="L315" s="211">
        <v>0</v>
      </c>
      <c r="M315" s="211">
        <v>65.8</v>
      </c>
      <c r="N315" s="211">
        <v>0</v>
      </c>
      <c r="O315" s="211">
        <v>0</v>
      </c>
      <c r="P315" s="211">
        <v>10.8</v>
      </c>
      <c r="Q315" s="211">
        <v>0</v>
      </c>
      <c r="R315" s="211">
        <v>0</v>
      </c>
      <c r="S315" s="211">
        <v>0</v>
      </c>
      <c r="T315" s="211">
        <v>0</v>
      </c>
      <c r="U315" s="211">
        <v>0</v>
      </c>
      <c r="V315" s="211">
        <v>0</v>
      </c>
      <c r="W315" s="211">
        <v>2.38</v>
      </c>
      <c r="X315" s="211">
        <v>0</v>
      </c>
      <c r="Y315" s="211">
        <v>0</v>
      </c>
      <c r="Z315" s="211">
        <v>0</v>
      </c>
      <c r="AA315" s="211">
        <v>0</v>
      </c>
      <c r="AB315" s="211">
        <v>0</v>
      </c>
      <c r="AC315" s="211">
        <v>0</v>
      </c>
      <c r="AD315" s="211">
        <v>0</v>
      </c>
      <c r="AE315" s="211">
        <v>0</v>
      </c>
      <c r="AF315" s="211">
        <v>0</v>
      </c>
      <c r="AG315" s="211">
        <v>87.139999999999986</v>
      </c>
    </row>
    <row r="316" spans="1:33" x14ac:dyDescent="0.25">
      <c r="A316" s="207" t="s">
        <v>438</v>
      </c>
      <c r="B316" s="208"/>
      <c r="C316" s="209"/>
      <c r="D316" s="209"/>
      <c r="E316" s="209"/>
      <c r="F316" s="209"/>
      <c r="G316" s="209"/>
      <c r="H316" s="209"/>
      <c r="I316" s="209"/>
      <c r="J316" s="209"/>
      <c r="K316" s="209"/>
      <c r="L316" s="209"/>
      <c r="M316" s="209"/>
      <c r="N316" s="209"/>
      <c r="O316" s="209"/>
      <c r="P316" s="209"/>
      <c r="Q316" s="209"/>
      <c r="R316" s="209"/>
      <c r="S316" s="209"/>
      <c r="T316" s="209"/>
      <c r="U316" s="209"/>
      <c r="V316" s="209"/>
      <c r="W316" s="209"/>
      <c r="X316" s="209"/>
      <c r="Y316" s="209"/>
      <c r="Z316" s="209"/>
      <c r="AA316" s="209"/>
      <c r="AB316" s="209"/>
      <c r="AC316" s="209"/>
      <c r="AD316" s="209"/>
      <c r="AE316" s="209"/>
      <c r="AF316" s="209"/>
      <c r="AG316" s="209"/>
    </row>
    <row r="317" spans="1:33" x14ac:dyDescent="0.25">
      <c r="A317" s="121"/>
      <c r="B317" s="210" t="s">
        <v>439</v>
      </c>
      <c r="C317" s="211">
        <v>0</v>
      </c>
      <c r="D317" s="211">
        <v>0</v>
      </c>
      <c r="E317" s="212">
        <v>739.5</v>
      </c>
      <c r="F317" s="211">
        <v>0</v>
      </c>
      <c r="G317" s="211">
        <v>4.7</v>
      </c>
      <c r="H317" s="211">
        <v>0</v>
      </c>
      <c r="I317" s="211">
        <v>8.1</v>
      </c>
      <c r="J317" s="211">
        <v>0.2</v>
      </c>
      <c r="K317" s="211">
        <v>0</v>
      </c>
      <c r="L317" s="211">
        <v>36.299999999999997</v>
      </c>
      <c r="M317" s="211">
        <v>0</v>
      </c>
      <c r="N317" s="211">
        <v>0</v>
      </c>
      <c r="O317" s="211">
        <v>0</v>
      </c>
      <c r="P317" s="211">
        <v>0</v>
      </c>
      <c r="Q317" s="213">
        <v>0</v>
      </c>
      <c r="R317" s="211">
        <v>0</v>
      </c>
      <c r="S317" s="211">
        <v>0</v>
      </c>
      <c r="T317" s="211">
        <v>0</v>
      </c>
      <c r="U317" s="211">
        <v>0</v>
      </c>
      <c r="V317" s="211">
        <v>0</v>
      </c>
      <c r="W317" s="211">
        <v>25.6</v>
      </c>
      <c r="X317" s="211">
        <v>0</v>
      </c>
      <c r="Y317" s="211">
        <v>26.2</v>
      </c>
      <c r="Z317" s="211">
        <v>0</v>
      </c>
      <c r="AA317" s="211">
        <v>0</v>
      </c>
      <c r="AB317" s="211">
        <v>0</v>
      </c>
      <c r="AC317" s="211">
        <v>0</v>
      </c>
      <c r="AD317" s="211">
        <v>0</v>
      </c>
      <c r="AE317" s="211">
        <v>0</v>
      </c>
      <c r="AF317" s="211">
        <v>0</v>
      </c>
      <c r="AG317" s="211">
        <v>840.60000000000014</v>
      </c>
    </row>
    <row r="318" spans="1:33" x14ac:dyDescent="0.25">
      <c r="A318" s="121"/>
      <c r="B318" s="210" t="s">
        <v>440</v>
      </c>
      <c r="C318" s="211">
        <v>0</v>
      </c>
      <c r="D318" s="211">
        <v>0</v>
      </c>
      <c r="E318" s="211">
        <v>0</v>
      </c>
      <c r="F318" s="211">
        <v>0</v>
      </c>
      <c r="G318" s="211">
        <v>0.05</v>
      </c>
      <c r="H318" s="211">
        <v>0</v>
      </c>
      <c r="I318" s="211">
        <v>7.0000000000000007E-2</v>
      </c>
      <c r="J318" s="211">
        <v>0</v>
      </c>
      <c r="K318" s="211">
        <v>0</v>
      </c>
      <c r="L318" s="211">
        <v>0</v>
      </c>
      <c r="M318" s="211">
        <v>0</v>
      </c>
      <c r="N318" s="211">
        <v>0</v>
      </c>
      <c r="O318" s="211">
        <v>0</v>
      </c>
      <c r="P318" s="211">
        <v>0</v>
      </c>
      <c r="Q318" s="211">
        <v>6.6</v>
      </c>
      <c r="R318" s="211">
        <v>0</v>
      </c>
      <c r="S318" s="211">
        <v>0</v>
      </c>
      <c r="T318" s="211">
        <v>0</v>
      </c>
      <c r="U318" s="211">
        <v>0</v>
      </c>
      <c r="V318" s="211">
        <v>0</v>
      </c>
      <c r="W318" s="211">
        <v>0.21</v>
      </c>
      <c r="X318" s="211">
        <v>0</v>
      </c>
      <c r="Y318" s="211">
        <v>0.25</v>
      </c>
      <c r="Z318" s="211">
        <v>0</v>
      </c>
      <c r="AA318" s="211">
        <v>0</v>
      </c>
      <c r="AB318" s="211">
        <v>0</v>
      </c>
      <c r="AC318" s="211">
        <v>0</v>
      </c>
      <c r="AD318" s="211">
        <v>0</v>
      </c>
      <c r="AE318" s="211">
        <v>0</v>
      </c>
      <c r="AF318" s="211">
        <v>0</v>
      </c>
      <c r="AG318" s="211">
        <v>7.18</v>
      </c>
    </row>
    <row r="319" spans="1:33" x14ac:dyDescent="0.25">
      <c r="A319" s="121"/>
      <c r="B319" s="210" t="s">
        <v>441</v>
      </c>
      <c r="C319" s="211">
        <v>0</v>
      </c>
      <c r="D319" s="211">
        <v>0</v>
      </c>
      <c r="E319" s="211">
        <v>0</v>
      </c>
      <c r="F319" s="211">
        <v>0</v>
      </c>
      <c r="G319" s="211">
        <v>0</v>
      </c>
      <c r="H319" s="211">
        <v>0</v>
      </c>
      <c r="I319" s="211">
        <v>0</v>
      </c>
      <c r="J319" s="211">
        <v>1.4</v>
      </c>
      <c r="K319" s="211">
        <v>0</v>
      </c>
      <c r="L319" s="211">
        <v>0</v>
      </c>
      <c r="M319" s="211">
        <v>0</v>
      </c>
      <c r="N319" s="211">
        <v>0</v>
      </c>
      <c r="O319" s="211">
        <v>0</v>
      </c>
      <c r="P319" s="211">
        <v>0</v>
      </c>
      <c r="Q319" s="211">
        <v>0</v>
      </c>
      <c r="R319" s="211">
        <v>0</v>
      </c>
      <c r="S319" s="211">
        <v>12</v>
      </c>
      <c r="T319" s="211">
        <v>0</v>
      </c>
      <c r="U319" s="211">
        <v>0</v>
      </c>
      <c r="V319" s="211">
        <v>0</v>
      </c>
      <c r="W319" s="211">
        <v>0.42</v>
      </c>
      <c r="X319" s="211">
        <v>0</v>
      </c>
      <c r="Y319" s="211">
        <v>17.8</v>
      </c>
      <c r="Z319" s="211">
        <v>0</v>
      </c>
      <c r="AA319" s="211">
        <v>0</v>
      </c>
      <c r="AB319" s="211">
        <v>0</v>
      </c>
      <c r="AC319" s="211">
        <v>0</v>
      </c>
      <c r="AD319" s="211">
        <v>0</v>
      </c>
      <c r="AE319" s="211">
        <v>0</v>
      </c>
      <c r="AF319" s="211">
        <v>0</v>
      </c>
      <c r="AG319" s="211">
        <v>31.62</v>
      </c>
    </row>
    <row r="320" spans="1:33" x14ac:dyDescent="0.25">
      <c r="A320" s="207" t="s">
        <v>137</v>
      </c>
      <c r="B320" s="208"/>
      <c r="C320" s="209"/>
      <c r="D320" s="209"/>
      <c r="E320" s="209"/>
      <c r="F320" s="209"/>
      <c r="G320" s="209"/>
      <c r="H320" s="209"/>
      <c r="I320" s="209"/>
      <c r="J320" s="209"/>
      <c r="K320" s="209"/>
      <c r="L320" s="209"/>
      <c r="M320" s="209"/>
      <c r="N320" s="209"/>
      <c r="O320" s="209"/>
      <c r="P320" s="209"/>
      <c r="Q320" s="209"/>
      <c r="R320" s="209"/>
      <c r="S320" s="209"/>
      <c r="T320" s="209"/>
      <c r="U320" s="209"/>
      <c r="V320" s="209"/>
      <c r="W320" s="209"/>
      <c r="X320" s="209"/>
      <c r="Y320" s="209"/>
      <c r="Z320" s="209"/>
      <c r="AA320" s="209"/>
      <c r="AB320" s="209"/>
      <c r="AC320" s="209"/>
      <c r="AD320" s="209"/>
      <c r="AE320" s="209"/>
      <c r="AF320" s="209"/>
      <c r="AG320" s="209"/>
    </row>
    <row r="321" spans="1:33" x14ac:dyDescent="0.25">
      <c r="A321" s="121"/>
      <c r="B321" s="210" t="s">
        <v>139</v>
      </c>
      <c r="C321" s="211">
        <v>0</v>
      </c>
      <c r="D321" s="211">
        <v>0</v>
      </c>
      <c r="E321" s="211">
        <v>0</v>
      </c>
      <c r="F321" s="211">
        <v>0</v>
      </c>
      <c r="G321" s="211">
        <v>0</v>
      </c>
      <c r="H321" s="211">
        <v>0</v>
      </c>
      <c r="I321" s="211">
        <v>0</v>
      </c>
      <c r="J321" s="211">
        <v>0</v>
      </c>
      <c r="K321" s="211">
        <v>0</v>
      </c>
      <c r="L321" s="211">
        <v>0</v>
      </c>
      <c r="M321" s="211">
        <v>0</v>
      </c>
      <c r="N321" s="211">
        <v>0</v>
      </c>
      <c r="O321" s="211">
        <v>0</v>
      </c>
      <c r="P321" s="211">
        <v>0</v>
      </c>
      <c r="Q321" s="211">
        <v>0</v>
      </c>
      <c r="R321" s="211">
        <v>0</v>
      </c>
      <c r="S321" s="211">
        <v>0</v>
      </c>
      <c r="T321" s="211">
        <v>0</v>
      </c>
      <c r="U321" s="211">
        <v>0</v>
      </c>
      <c r="V321" s="211">
        <v>0</v>
      </c>
      <c r="W321" s="211">
        <v>0</v>
      </c>
      <c r="X321" s="211">
        <v>0</v>
      </c>
      <c r="Y321" s="211">
        <v>0</v>
      </c>
      <c r="Z321" s="211">
        <v>0</v>
      </c>
      <c r="AA321" s="211">
        <v>0</v>
      </c>
      <c r="AB321" s="211">
        <v>0</v>
      </c>
      <c r="AC321" s="211">
        <v>0</v>
      </c>
      <c r="AD321" s="211">
        <v>0</v>
      </c>
      <c r="AE321" s="211">
        <v>0</v>
      </c>
      <c r="AF321" s="211">
        <v>0</v>
      </c>
      <c r="AG321" s="211">
        <v>0</v>
      </c>
    </row>
    <row r="322" spans="1:33" x14ac:dyDescent="0.25">
      <c r="A322" s="207" t="s">
        <v>442</v>
      </c>
      <c r="B322" s="208"/>
      <c r="C322" s="209"/>
      <c r="D322" s="209"/>
      <c r="E322" s="209"/>
      <c r="F322" s="209"/>
      <c r="G322" s="209"/>
      <c r="H322" s="209"/>
      <c r="I322" s="209"/>
      <c r="J322" s="209"/>
      <c r="K322" s="209"/>
      <c r="L322" s="209"/>
      <c r="M322" s="209"/>
      <c r="N322" s="209"/>
      <c r="O322" s="209"/>
      <c r="P322" s="209"/>
      <c r="Q322" s="209"/>
      <c r="R322" s="209"/>
      <c r="S322" s="209"/>
      <c r="T322" s="209"/>
      <c r="U322" s="209"/>
      <c r="V322" s="209"/>
      <c r="W322" s="209"/>
      <c r="X322" s="209"/>
      <c r="Y322" s="209"/>
      <c r="Z322" s="209"/>
      <c r="AA322" s="209"/>
      <c r="AB322" s="209"/>
      <c r="AC322" s="209"/>
      <c r="AD322" s="209"/>
      <c r="AE322" s="209"/>
      <c r="AF322" s="209"/>
      <c r="AG322" s="209"/>
    </row>
    <row r="323" spans="1:33" x14ac:dyDescent="0.25">
      <c r="A323" s="121"/>
      <c r="B323" s="210" t="s">
        <v>443</v>
      </c>
      <c r="C323" s="211">
        <v>0</v>
      </c>
      <c r="D323" s="211">
        <v>0</v>
      </c>
      <c r="E323" s="211">
        <v>0</v>
      </c>
      <c r="F323" s="211">
        <v>0</v>
      </c>
      <c r="G323" s="211">
        <v>0</v>
      </c>
      <c r="H323" s="211">
        <v>0</v>
      </c>
      <c r="I323" s="211">
        <v>0</v>
      </c>
      <c r="J323" s="211">
        <v>0.13</v>
      </c>
      <c r="K323" s="211">
        <v>0</v>
      </c>
      <c r="L323" s="211">
        <v>0</v>
      </c>
      <c r="M323" s="211">
        <v>0</v>
      </c>
      <c r="N323" s="211">
        <v>0</v>
      </c>
      <c r="O323" s="211">
        <v>0</v>
      </c>
      <c r="P323" s="211">
        <v>3.8</v>
      </c>
      <c r="Q323" s="211">
        <v>0</v>
      </c>
      <c r="R323" s="211">
        <v>0</v>
      </c>
      <c r="S323" s="211">
        <v>29.1</v>
      </c>
      <c r="T323" s="211">
        <v>0</v>
      </c>
      <c r="U323" s="211">
        <v>0</v>
      </c>
      <c r="V323" s="211">
        <v>0</v>
      </c>
      <c r="W323" s="211">
        <v>0.5</v>
      </c>
      <c r="X323" s="211">
        <v>0</v>
      </c>
      <c r="Y323" s="211">
        <v>0</v>
      </c>
      <c r="Z323" s="211">
        <v>0</v>
      </c>
      <c r="AA323" s="211">
        <v>0</v>
      </c>
      <c r="AB323" s="211">
        <v>0</v>
      </c>
      <c r="AC323" s="211">
        <v>0</v>
      </c>
      <c r="AD323" s="211">
        <v>0</v>
      </c>
      <c r="AE323" s="211">
        <v>0</v>
      </c>
      <c r="AF323" s="211">
        <v>0</v>
      </c>
      <c r="AG323" s="211">
        <v>33.53</v>
      </c>
    </row>
    <row r="324" spans="1:33" x14ac:dyDescent="0.25">
      <c r="A324" s="207" t="s">
        <v>444</v>
      </c>
      <c r="B324" s="208"/>
      <c r="C324" s="209"/>
      <c r="D324" s="209"/>
      <c r="E324" s="209"/>
      <c r="F324" s="209"/>
      <c r="G324" s="209"/>
      <c r="H324" s="209"/>
      <c r="I324" s="209"/>
      <c r="J324" s="209"/>
      <c r="K324" s="209"/>
      <c r="L324" s="209"/>
      <c r="M324" s="209"/>
      <c r="N324" s="209"/>
      <c r="O324" s="209"/>
      <c r="P324" s="209"/>
      <c r="Q324" s="209"/>
      <c r="R324" s="209"/>
      <c r="S324" s="209"/>
      <c r="T324" s="209"/>
      <c r="U324" s="209"/>
      <c r="V324" s="209"/>
      <c r="W324" s="209"/>
      <c r="X324" s="209"/>
      <c r="Y324" s="209"/>
      <c r="Z324" s="209"/>
      <c r="AA324" s="209"/>
      <c r="AB324" s="209"/>
      <c r="AC324" s="209"/>
      <c r="AD324" s="209"/>
      <c r="AE324" s="209"/>
      <c r="AF324" s="209"/>
      <c r="AG324" s="209"/>
    </row>
    <row r="325" spans="1:33" x14ac:dyDescent="0.25">
      <c r="A325" s="121"/>
      <c r="B325" s="210" t="s">
        <v>445</v>
      </c>
      <c r="C325" s="211">
        <v>0</v>
      </c>
      <c r="D325" s="211">
        <v>0</v>
      </c>
      <c r="E325" s="211">
        <v>0</v>
      </c>
      <c r="F325" s="211">
        <v>5.6034899999999999</v>
      </c>
      <c r="G325" s="211">
        <v>0</v>
      </c>
      <c r="H325" s="211">
        <v>0</v>
      </c>
      <c r="I325" s="211">
        <v>0</v>
      </c>
      <c r="J325" s="211">
        <v>0.82699999999999996</v>
      </c>
      <c r="K325" s="211">
        <v>0</v>
      </c>
      <c r="L325" s="211">
        <v>0</v>
      </c>
      <c r="M325" s="211">
        <v>59.289900000000003</v>
      </c>
      <c r="N325" s="211">
        <v>0</v>
      </c>
      <c r="O325" s="211">
        <v>0</v>
      </c>
      <c r="P325" s="211">
        <v>17.79</v>
      </c>
      <c r="Q325" s="211">
        <v>0</v>
      </c>
      <c r="R325" s="211">
        <v>0</v>
      </c>
      <c r="S325" s="211">
        <v>45.291899999999998</v>
      </c>
      <c r="T325" s="211">
        <v>0</v>
      </c>
      <c r="U325" s="211">
        <v>0</v>
      </c>
      <c r="V325" s="211">
        <v>0</v>
      </c>
      <c r="W325" s="211">
        <v>3.7203900000000001</v>
      </c>
      <c r="X325" s="211">
        <v>4.71</v>
      </c>
      <c r="Y325" s="211">
        <v>0</v>
      </c>
      <c r="Z325" s="211">
        <v>0</v>
      </c>
      <c r="AA325" s="211">
        <v>0</v>
      </c>
      <c r="AB325" s="211">
        <v>0</v>
      </c>
      <c r="AC325" s="211">
        <v>0</v>
      </c>
      <c r="AD325" s="211">
        <v>0</v>
      </c>
      <c r="AE325" s="211">
        <v>0</v>
      </c>
      <c r="AF325" s="211">
        <v>0</v>
      </c>
      <c r="AG325" s="211">
        <v>137.23268000000002</v>
      </c>
    </row>
    <row r="326" spans="1:33" x14ac:dyDescent="0.25">
      <c r="A326" s="121"/>
      <c r="B326" s="210" t="s">
        <v>446</v>
      </c>
      <c r="C326" s="211">
        <v>0</v>
      </c>
      <c r="D326" s="211">
        <v>0</v>
      </c>
      <c r="E326" s="211">
        <v>0</v>
      </c>
      <c r="F326" s="211">
        <v>0</v>
      </c>
      <c r="G326" s="211">
        <v>0</v>
      </c>
      <c r="H326" s="211">
        <v>0</v>
      </c>
      <c r="I326" s="211">
        <v>0</v>
      </c>
      <c r="J326" s="211">
        <v>8.8999999999999999E-3</v>
      </c>
      <c r="K326" s="211">
        <v>0</v>
      </c>
      <c r="L326" s="211">
        <v>0</v>
      </c>
      <c r="M326" s="211">
        <v>0</v>
      </c>
      <c r="N326" s="211">
        <v>0</v>
      </c>
      <c r="O326" s="211">
        <v>0</v>
      </c>
      <c r="P326" s="211">
        <v>0</v>
      </c>
      <c r="Q326" s="211">
        <v>0</v>
      </c>
      <c r="R326" s="211">
        <v>0</v>
      </c>
      <c r="S326" s="211">
        <v>0</v>
      </c>
      <c r="T326" s="211">
        <v>0</v>
      </c>
      <c r="U326" s="211">
        <v>0</v>
      </c>
      <c r="V326" s="211">
        <v>0</v>
      </c>
      <c r="W326" s="211">
        <v>0.04</v>
      </c>
      <c r="X326" s="211">
        <v>1.5169999999999999</v>
      </c>
      <c r="Y326" s="211">
        <v>0</v>
      </c>
      <c r="Z326" s="211">
        <v>0</v>
      </c>
      <c r="AA326" s="211">
        <v>0</v>
      </c>
      <c r="AB326" s="211">
        <v>0</v>
      </c>
      <c r="AC326" s="211">
        <v>0</v>
      </c>
      <c r="AD326" s="211">
        <v>0</v>
      </c>
      <c r="AE326" s="211">
        <v>0</v>
      </c>
      <c r="AF326" s="211">
        <v>0</v>
      </c>
      <c r="AG326" s="211">
        <v>1.5658999999999998</v>
      </c>
    </row>
    <row r="327" spans="1:33" x14ac:dyDescent="0.25">
      <c r="A327" s="207" t="s">
        <v>1141</v>
      </c>
      <c r="B327" s="208"/>
      <c r="C327" s="209"/>
      <c r="D327" s="209"/>
      <c r="E327" s="209"/>
      <c r="F327" s="209"/>
      <c r="G327" s="209"/>
      <c r="H327" s="209"/>
      <c r="I327" s="209"/>
      <c r="J327" s="209"/>
      <c r="K327" s="209"/>
      <c r="L327" s="209"/>
      <c r="M327" s="209"/>
      <c r="N327" s="209"/>
      <c r="O327" s="209"/>
      <c r="P327" s="209"/>
      <c r="Q327" s="209"/>
      <c r="R327" s="209"/>
      <c r="S327" s="209"/>
      <c r="T327" s="209"/>
      <c r="U327" s="209"/>
      <c r="V327" s="209"/>
      <c r="W327" s="209"/>
      <c r="X327" s="209"/>
      <c r="Y327" s="209"/>
      <c r="Z327" s="209"/>
      <c r="AA327" s="209"/>
      <c r="AB327" s="209"/>
      <c r="AC327" s="209"/>
      <c r="AD327" s="209"/>
      <c r="AE327" s="209"/>
      <c r="AF327" s="209"/>
      <c r="AG327" s="209"/>
    </row>
    <row r="328" spans="1:33" x14ac:dyDescent="0.25">
      <c r="A328" s="121"/>
      <c r="B328" s="210" t="s">
        <v>1142</v>
      </c>
      <c r="C328" s="211">
        <v>0</v>
      </c>
      <c r="D328" s="211">
        <v>0</v>
      </c>
      <c r="E328" s="211">
        <v>0</v>
      </c>
      <c r="F328" s="211">
        <v>0</v>
      </c>
      <c r="G328" s="211">
        <v>0</v>
      </c>
      <c r="H328" s="211">
        <v>0</v>
      </c>
      <c r="I328" s="211">
        <v>0</v>
      </c>
      <c r="J328" s="211">
        <v>0</v>
      </c>
      <c r="K328" s="211">
        <v>0</v>
      </c>
      <c r="L328" s="211">
        <v>0</v>
      </c>
      <c r="M328" s="211">
        <v>0</v>
      </c>
      <c r="N328" s="211">
        <v>0</v>
      </c>
      <c r="O328" s="211">
        <v>0</v>
      </c>
      <c r="P328" s="211">
        <v>0</v>
      </c>
      <c r="Q328" s="211">
        <v>0</v>
      </c>
      <c r="R328" s="211">
        <v>0</v>
      </c>
      <c r="S328" s="211">
        <v>0</v>
      </c>
      <c r="T328" s="211">
        <v>0</v>
      </c>
      <c r="U328" s="211">
        <v>0</v>
      </c>
      <c r="V328" s="211">
        <v>0</v>
      </c>
      <c r="W328" s="211">
        <v>0</v>
      </c>
      <c r="X328" s="211">
        <v>0</v>
      </c>
      <c r="Y328" s="211">
        <v>0</v>
      </c>
      <c r="Z328" s="211">
        <v>0</v>
      </c>
      <c r="AA328" s="211">
        <v>0</v>
      </c>
      <c r="AB328" s="211">
        <v>0</v>
      </c>
      <c r="AC328" s="211">
        <v>0</v>
      </c>
      <c r="AD328" s="211">
        <v>0</v>
      </c>
      <c r="AE328" s="211">
        <v>0</v>
      </c>
      <c r="AF328" s="211">
        <v>0</v>
      </c>
      <c r="AG328" s="211">
        <v>0</v>
      </c>
    </row>
    <row r="329" spans="1:33" x14ac:dyDescent="0.25">
      <c r="A329" s="207" t="s">
        <v>447</v>
      </c>
      <c r="B329" s="208"/>
      <c r="C329" s="209"/>
      <c r="D329" s="209"/>
      <c r="E329" s="209"/>
      <c r="F329" s="209"/>
      <c r="G329" s="209"/>
      <c r="H329" s="209"/>
      <c r="I329" s="209"/>
      <c r="J329" s="209"/>
      <c r="K329" s="209"/>
      <c r="L329" s="209"/>
      <c r="M329" s="209"/>
      <c r="N329" s="209"/>
      <c r="O329" s="209"/>
      <c r="P329" s="209"/>
      <c r="Q329" s="209"/>
      <c r="R329" s="209"/>
      <c r="S329" s="209"/>
      <c r="T329" s="209"/>
      <c r="U329" s="209"/>
      <c r="V329" s="209"/>
      <c r="W329" s="209"/>
      <c r="X329" s="209"/>
      <c r="Y329" s="209"/>
      <c r="Z329" s="209"/>
      <c r="AA329" s="209"/>
      <c r="AB329" s="209"/>
      <c r="AC329" s="209"/>
      <c r="AD329" s="209"/>
      <c r="AE329" s="209"/>
      <c r="AF329" s="209"/>
      <c r="AG329" s="209"/>
    </row>
    <row r="330" spans="1:33" x14ac:dyDescent="0.25">
      <c r="A330" s="121"/>
      <c r="B330" s="210" t="s">
        <v>448</v>
      </c>
      <c r="C330" s="211">
        <v>0</v>
      </c>
      <c r="D330" s="211">
        <v>0</v>
      </c>
      <c r="E330" s="211">
        <v>0</v>
      </c>
      <c r="F330" s="211">
        <v>5.3</v>
      </c>
      <c r="G330" s="211">
        <v>0</v>
      </c>
      <c r="H330" s="211">
        <v>0</v>
      </c>
      <c r="I330" s="211">
        <v>0</v>
      </c>
      <c r="J330" s="211">
        <v>0.79581999999999997</v>
      </c>
      <c r="K330" s="211">
        <v>0</v>
      </c>
      <c r="L330" s="211">
        <v>0</v>
      </c>
      <c r="M330" s="211">
        <v>102.167</v>
      </c>
      <c r="N330" s="211">
        <v>0</v>
      </c>
      <c r="O330" s="211">
        <v>0</v>
      </c>
      <c r="P330" s="211">
        <v>0</v>
      </c>
      <c r="Q330" s="211">
        <v>0</v>
      </c>
      <c r="R330" s="211">
        <v>5.3</v>
      </c>
      <c r="S330" s="211">
        <v>16.1493</v>
      </c>
      <c r="T330" s="211">
        <v>0</v>
      </c>
      <c r="U330" s="211">
        <v>0</v>
      </c>
      <c r="V330" s="211">
        <v>0</v>
      </c>
      <c r="W330" s="211">
        <v>5.0341699999999996</v>
      </c>
      <c r="X330" s="211">
        <v>0</v>
      </c>
      <c r="Y330" s="211">
        <v>0</v>
      </c>
      <c r="Z330" s="211">
        <v>0</v>
      </c>
      <c r="AA330" s="211">
        <v>0</v>
      </c>
      <c r="AB330" s="211">
        <v>0</v>
      </c>
      <c r="AC330" s="211">
        <v>0</v>
      </c>
      <c r="AD330" s="211">
        <v>0</v>
      </c>
      <c r="AE330" s="211">
        <v>0</v>
      </c>
      <c r="AF330" s="211">
        <v>9.4117599999999992</v>
      </c>
      <c r="AG330" s="211">
        <v>144.15804999999997</v>
      </c>
    </row>
    <row r="331" spans="1:33" x14ac:dyDescent="0.25">
      <c r="A331" s="207" t="s">
        <v>449</v>
      </c>
      <c r="B331" s="208"/>
      <c r="C331" s="209"/>
      <c r="D331" s="209"/>
      <c r="E331" s="209"/>
      <c r="F331" s="209"/>
      <c r="G331" s="209"/>
      <c r="H331" s="209"/>
      <c r="I331" s="209"/>
      <c r="J331" s="209"/>
      <c r="K331" s="209"/>
      <c r="L331" s="209"/>
      <c r="M331" s="209"/>
      <c r="N331" s="209"/>
      <c r="O331" s="209"/>
      <c r="P331" s="209"/>
      <c r="Q331" s="209"/>
      <c r="R331" s="209"/>
      <c r="S331" s="209"/>
      <c r="T331" s="209"/>
      <c r="U331" s="209"/>
      <c r="V331" s="209"/>
      <c r="W331" s="209"/>
      <c r="X331" s="209"/>
      <c r="Y331" s="209"/>
      <c r="Z331" s="209"/>
      <c r="AA331" s="209"/>
      <c r="AB331" s="209"/>
      <c r="AC331" s="209"/>
      <c r="AD331" s="209"/>
      <c r="AE331" s="209"/>
      <c r="AF331" s="209"/>
      <c r="AG331" s="209"/>
    </row>
    <row r="332" spans="1:33" x14ac:dyDescent="0.25">
      <c r="A332" s="121"/>
      <c r="B332" s="210" t="s">
        <v>450</v>
      </c>
      <c r="C332" s="211">
        <v>0</v>
      </c>
      <c r="D332" s="211">
        <v>0</v>
      </c>
      <c r="E332" s="211">
        <v>0</v>
      </c>
      <c r="F332" s="211">
        <v>0</v>
      </c>
      <c r="G332" s="211">
        <v>0</v>
      </c>
      <c r="H332" s="211">
        <v>0</v>
      </c>
      <c r="I332" s="211">
        <v>0</v>
      </c>
      <c r="J332" s="211">
        <v>0</v>
      </c>
      <c r="K332" s="211">
        <v>0</v>
      </c>
      <c r="L332" s="211">
        <v>0</v>
      </c>
      <c r="M332" s="211">
        <v>0</v>
      </c>
      <c r="N332" s="211">
        <v>0</v>
      </c>
      <c r="O332" s="211">
        <v>0</v>
      </c>
      <c r="P332" s="211">
        <v>0</v>
      </c>
      <c r="Q332" s="211">
        <v>0</v>
      </c>
      <c r="R332" s="211">
        <v>0</v>
      </c>
      <c r="S332" s="211">
        <v>22.1</v>
      </c>
      <c r="T332" s="211">
        <v>0</v>
      </c>
      <c r="U332" s="211">
        <v>0</v>
      </c>
      <c r="V332" s="211">
        <v>0</v>
      </c>
      <c r="W332" s="211">
        <v>0.26</v>
      </c>
      <c r="X332" s="211">
        <v>0</v>
      </c>
      <c r="Y332" s="211">
        <v>4.3</v>
      </c>
      <c r="Z332" s="211">
        <v>0</v>
      </c>
      <c r="AA332" s="211">
        <v>0</v>
      </c>
      <c r="AB332" s="211">
        <v>0</v>
      </c>
      <c r="AC332" s="211">
        <v>0</v>
      </c>
      <c r="AD332" s="211">
        <v>0</v>
      </c>
      <c r="AE332" s="211">
        <v>0</v>
      </c>
      <c r="AF332" s="211">
        <v>0</v>
      </c>
      <c r="AG332" s="211">
        <v>26.660000000000004</v>
      </c>
    </row>
    <row r="333" spans="1:33" x14ac:dyDescent="0.25">
      <c r="A333" s="207" t="s">
        <v>451</v>
      </c>
      <c r="B333" s="208"/>
      <c r="C333" s="209"/>
      <c r="D333" s="209"/>
      <c r="E333" s="209"/>
      <c r="F333" s="209"/>
      <c r="G333" s="209"/>
      <c r="H333" s="209"/>
      <c r="I333" s="209"/>
      <c r="J333" s="209"/>
      <c r="K333" s="209"/>
      <c r="L333" s="209"/>
      <c r="M333" s="209"/>
      <c r="N333" s="209"/>
      <c r="O333" s="209"/>
      <c r="P333" s="209"/>
      <c r="Q333" s="209"/>
      <c r="R333" s="209"/>
      <c r="S333" s="209"/>
      <c r="T333" s="209"/>
      <c r="U333" s="209"/>
      <c r="V333" s="209"/>
      <c r="W333" s="209"/>
      <c r="X333" s="209"/>
      <c r="Y333" s="209"/>
      <c r="Z333" s="209"/>
      <c r="AA333" s="209"/>
      <c r="AB333" s="209"/>
      <c r="AC333" s="209"/>
      <c r="AD333" s="209"/>
      <c r="AE333" s="209"/>
      <c r="AF333" s="209"/>
      <c r="AG333" s="209"/>
    </row>
    <row r="334" spans="1:33" x14ac:dyDescent="0.25">
      <c r="A334" s="121"/>
      <c r="B334" s="210" t="s">
        <v>452</v>
      </c>
      <c r="C334" s="211">
        <v>0</v>
      </c>
      <c r="D334" s="211">
        <v>0</v>
      </c>
      <c r="E334" s="211">
        <v>0</v>
      </c>
      <c r="F334" s="211">
        <v>0</v>
      </c>
      <c r="G334" s="211">
        <v>0</v>
      </c>
      <c r="H334" s="211">
        <v>0</v>
      </c>
      <c r="I334" s="211">
        <v>0</v>
      </c>
      <c r="J334" s="211">
        <v>0</v>
      </c>
      <c r="K334" s="211">
        <v>0</v>
      </c>
      <c r="L334" s="211">
        <v>0</v>
      </c>
      <c r="M334" s="211">
        <v>0</v>
      </c>
      <c r="N334" s="211">
        <v>0</v>
      </c>
      <c r="O334" s="211">
        <v>0</v>
      </c>
      <c r="P334" s="211">
        <v>0</v>
      </c>
      <c r="Q334" s="211">
        <v>0</v>
      </c>
      <c r="R334" s="211">
        <v>0</v>
      </c>
      <c r="S334" s="211">
        <v>0</v>
      </c>
      <c r="T334" s="211">
        <v>0</v>
      </c>
      <c r="U334" s="211">
        <v>0</v>
      </c>
      <c r="V334" s="211">
        <v>0</v>
      </c>
      <c r="W334" s="211">
        <v>0</v>
      </c>
      <c r="X334" s="211">
        <v>0</v>
      </c>
      <c r="Y334" s="211">
        <v>0</v>
      </c>
      <c r="Z334" s="211">
        <v>0</v>
      </c>
      <c r="AA334" s="211">
        <v>0</v>
      </c>
      <c r="AB334" s="211">
        <v>0</v>
      </c>
      <c r="AC334" s="211">
        <v>0</v>
      </c>
      <c r="AD334" s="211">
        <v>0</v>
      </c>
      <c r="AE334" s="211">
        <v>0</v>
      </c>
      <c r="AF334" s="211">
        <v>0</v>
      </c>
      <c r="AG334" s="211">
        <v>0</v>
      </c>
    </row>
    <row r="335" spans="1:33" x14ac:dyDescent="0.25">
      <c r="A335" s="207" t="s">
        <v>453</v>
      </c>
      <c r="B335" s="208"/>
      <c r="C335" s="209"/>
      <c r="D335" s="209"/>
      <c r="E335" s="209"/>
      <c r="F335" s="209"/>
      <c r="G335" s="209"/>
      <c r="H335" s="209"/>
      <c r="I335" s="209"/>
      <c r="J335" s="209"/>
      <c r="K335" s="209"/>
      <c r="L335" s="209"/>
      <c r="M335" s="209"/>
      <c r="N335" s="209"/>
      <c r="O335" s="209"/>
      <c r="P335" s="209"/>
      <c r="Q335" s="209"/>
      <c r="R335" s="209"/>
      <c r="S335" s="209"/>
      <c r="T335" s="209"/>
      <c r="U335" s="209"/>
      <c r="V335" s="209"/>
      <c r="W335" s="209"/>
      <c r="X335" s="209"/>
      <c r="Y335" s="209"/>
      <c r="Z335" s="209"/>
      <c r="AA335" s="209"/>
      <c r="AB335" s="209"/>
      <c r="AC335" s="209"/>
      <c r="AD335" s="209"/>
      <c r="AE335" s="209"/>
      <c r="AF335" s="209"/>
      <c r="AG335" s="209"/>
    </row>
    <row r="336" spans="1:33" x14ac:dyDescent="0.25">
      <c r="A336" s="121"/>
      <c r="B336" s="210" t="s">
        <v>454</v>
      </c>
      <c r="C336" s="211">
        <v>0</v>
      </c>
      <c r="D336" s="211">
        <v>0</v>
      </c>
      <c r="E336" s="211">
        <v>0</v>
      </c>
      <c r="F336" s="211">
        <v>0</v>
      </c>
      <c r="G336" s="211">
        <v>0</v>
      </c>
      <c r="H336" s="211">
        <v>0</v>
      </c>
      <c r="I336" s="211">
        <v>0</v>
      </c>
      <c r="J336" s="211">
        <v>0.92</v>
      </c>
      <c r="K336" s="211">
        <v>0</v>
      </c>
      <c r="L336" s="211">
        <v>0</v>
      </c>
      <c r="M336" s="211">
        <v>10.8</v>
      </c>
      <c r="N336" s="211">
        <v>0</v>
      </c>
      <c r="O336" s="211">
        <v>24.6</v>
      </c>
      <c r="P336" s="211">
        <v>3.7</v>
      </c>
      <c r="Q336" s="211">
        <v>0</v>
      </c>
      <c r="R336" s="211">
        <v>0</v>
      </c>
      <c r="S336" s="211">
        <v>0</v>
      </c>
      <c r="T336" s="211">
        <v>0</v>
      </c>
      <c r="U336" s="211">
        <v>0</v>
      </c>
      <c r="V336" s="211">
        <v>0</v>
      </c>
      <c r="W336" s="211">
        <v>0.96299999999999997</v>
      </c>
      <c r="X336" s="211">
        <v>0</v>
      </c>
      <c r="Y336" s="211">
        <v>10.88</v>
      </c>
      <c r="Z336" s="211">
        <v>0</v>
      </c>
      <c r="AA336" s="211">
        <v>0</v>
      </c>
      <c r="AB336" s="211">
        <v>0</v>
      </c>
      <c r="AC336" s="211">
        <v>0</v>
      </c>
      <c r="AD336" s="211">
        <v>0</v>
      </c>
      <c r="AE336" s="211">
        <v>0</v>
      </c>
      <c r="AF336" s="211">
        <v>0</v>
      </c>
      <c r="AG336" s="211">
        <v>51.863000000000007</v>
      </c>
    </row>
    <row r="337" spans="1:33" x14ac:dyDescent="0.25">
      <c r="A337" s="121"/>
      <c r="B337" s="210" t="s">
        <v>126</v>
      </c>
      <c r="C337" s="211">
        <v>0</v>
      </c>
      <c r="D337" s="211">
        <v>0</v>
      </c>
      <c r="E337" s="211">
        <v>0</v>
      </c>
      <c r="F337" s="211">
        <v>0</v>
      </c>
      <c r="G337" s="211">
        <v>0</v>
      </c>
      <c r="H337" s="211">
        <v>0</v>
      </c>
      <c r="I337" s="211">
        <v>0</v>
      </c>
      <c r="J337" s="211">
        <v>0</v>
      </c>
      <c r="K337" s="211">
        <v>0</v>
      </c>
      <c r="L337" s="211">
        <v>0</v>
      </c>
      <c r="M337" s="211">
        <v>0</v>
      </c>
      <c r="N337" s="211">
        <v>0</v>
      </c>
      <c r="O337" s="211">
        <v>0</v>
      </c>
      <c r="P337" s="211">
        <v>0</v>
      </c>
      <c r="Q337" s="211">
        <v>0</v>
      </c>
      <c r="R337" s="211">
        <v>0</v>
      </c>
      <c r="S337" s="211">
        <v>0</v>
      </c>
      <c r="T337" s="211">
        <v>0</v>
      </c>
      <c r="U337" s="211">
        <v>0</v>
      </c>
      <c r="V337" s="211">
        <v>0</v>
      </c>
      <c r="W337" s="211">
        <v>0</v>
      </c>
      <c r="X337" s="211">
        <v>0</v>
      </c>
      <c r="Y337" s="211">
        <v>0</v>
      </c>
      <c r="Z337" s="211">
        <v>0</v>
      </c>
      <c r="AA337" s="211">
        <v>0</v>
      </c>
      <c r="AB337" s="211">
        <v>0</v>
      </c>
      <c r="AC337" s="211">
        <v>0</v>
      </c>
      <c r="AD337" s="211">
        <v>0</v>
      </c>
      <c r="AE337" s="211">
        <v>0</v>
      </c>
      <c r="AF337" s="211">
        <v>0</v>
      </c>
      <c r="AG337" s="211">
        <v>0</v>
      </c>
    </row>
    <row r="338" spans="1:33" x14ac:dyDescent="0.25">
      <c r="A338" s="121"/>
      <c r="B338" s="210" t="s">
        <v>455</v>
      </c>
      <c r="C338" s="211">
        <v>0</v>
      </c>
      <c r="D338" s="211">
        <v>522.51</v>
      </c>
      <c r="E338" s="211">
        <v>0</v>
      </c>
      <c r="F338" s="211">
        <v>57.048999999999999</v>
      </c>
      <c r="G338" s="211">
        <v>0</v>
      </c>
      <c r="H338" s="211">
        <v>2.57647</v>
      </c>
      <c r="I338" s="211">
        <v>7.0000000000000007E-2</v>
      </c>
      <c r="J338" s="211">
        <v>5.7148000000000003</v>
      </c>
      <c r="K338" s="211">
        <v>0</v>
      </c>
      <c r="L338" s="211">
        <v>2.66</v>
      </c>
      <c r="M338" s="211">
        <v>102.7</v>
      </c>
      <c r="N338" s="211">
        <v>0</v>
      </c>
      <c r="O338" s="211">
        <v>162.83000000000001</v>
      </c>
      <c r="P338" s="211">
        <v>196.65</v>
      </c>
      <c r="Q338" s="211">
        <v>0</v>
      </c>
      <c r="R338" s="211">
        <v>102.8</v>
      </c>
      <c r="S338" s="211">
        <v>147.93</v>
      </c>
      <c r="T338" s="211">
        <v>100.21</v>
      </c>
      <c r="U338" s="211">
        <v>9.36</v>
      </c>
      <c r="V338" s="211">
        <v>85.002799999999993</v>
      </c>
      <c r="W338" s="211">
        <v>60.205599999999997</v>
      </c>
      <c r="X338" s="211">
        <v>0</v>
      </c>
      <c r="Y338" s="211">
        <v>0</v>
      </c>
      <c r="Z338" s="211">
        <v>0</v>
      </c>
      <c r="AA338" s="211">
        <v>4.5199999999999996</v>
      </c>
      <c r="AB338" s="211">
        <v>8.9499999999999993</v>
      </c>
      <c r="AC338" s="211">
        <v>4.74979</v>
      </c>
      <c r="AD338" s="211">
        <v>0</v>
      </c>
      <c r="AE338" s="211">
        <v>0</v>
      </c>
      <c r="AF338" s="211">
        <v>0</v>
      </c>
      <c r="AG338" s="211">
        <v>1576.48846</v>
      </c>
    </row>
    <row r="339" spans="1:33" x14ac:dyDescent="0.25">
      <c r="A339" s="121"/>
      <c r="B339" s="210" t="s">
        <v>456</v>
      </c>
      <c r="C339" s="211">
        <v>0</v>
      </c>
      <c r="D339" s="211">
        <v>16.145600000000002</v>
      </c>
      <c r="E339" s="211">
        <v>0</v>
      </c>
      <c r="F339" s="211">
        <v>2.7926799999999998</v>
      </c>
      <c r="G339" s="211">
        <v>0</v>
      </c>
      <c r="H339" s="211">
        <v>0.10509400000000001</v>
      </c>
      <c r="I339" s="211">
        <v>8.0999999999999996E-4</v>
      </c>
      <c r="J339" s="211">
        <v>7.9533999999999994E-2</v>
      </c>
      <c r="K339" s="211">
        <v>0</v>
      </c>
      <c r="L339" s="211">
        <v>0</v>
      </c>
      <c r="M339" s="211">
        <v>5.0279400000000001</v>
      </c>
      <c r="N339" s="211">
        <v>0</v>
      </c>
      <c r="O339" s="211">
        <v>7.5581500000000004</v>
      </c>
      <c r="P339" s="211">
        <v>8.0830500000000001</v>
      </c>
      <c r="Q339" s="211">
        <v>0</v>
      </c>
      <c r="R339" s="211">
        <v>5.0328099999999996</v>
      </c>
      <c r="S339" s="211">
        <v>7.2512299999999996</v>
      </c>
      <c r="T339" s="211">
        <v>1.27176</v>
      </c>
      <c r="U339" s="211">
        <v>0.50226899999999997</v>
      </c>
      <c r="V339" s="211">
        <v>1.0787</v>
      </c>
      <c r="W339" s="211">
        <v>2.5283099999999998</v>
      </c>
      <c r="X339" s="211">
        <v>0</v>
      </c>
      <c r="Y339" s="211">
        <v>0</v>
      </c>
      <c r="Z339" s="211">
        <v>0</v>
      </c>
      <c r="AA339" s="211">
        <v>0.18043000000000001</v>
      </c>
      <c r="AB339" s="211">
        <v>0.36501</v>
      </c>
      <c r="AC339" s="211">
        <v>0.21585099999999999</v>
      </c>
      <c r="AD339" s="211">
        <v>0</v>
      </c>
      <c r="AE339" s="211">
        <v>0</v>
      </c>
      <c r="AF339" s="211">
        <v>0</v>
      </c>
      <c r="AG339" s="211">
        <v>58.219228000000001</v>
      </c>
    </row>
    <row r="340" spans="1:33" x14ac:dyDescent="0.25">
      <c r="A340" s="207" t="s">
        <v>457</v>
      </c>
      <c r="B340" s="208"/>
      <c r="C340" s="209"/>
      <c r="D340" s="209"/>
      <c r="E340" s="209"/>
      <c r="F340" s="209"/>
      <c r="G340" s="209"/>
      <c r="H340" s="209"/>
      <c r="I340" s="209"/>
      <c r="J340" s="209"/>
      <c r="K340" s="209"/>
      <c r="L340" s="209"/>
      <c r="M340" s="209"/>
      <c r="N340" s="209"/>
      <c r="O340" s="209"/>
      <c r="P340" s="209"/>
      <c r="Q340" s="209"/>
      <c r="R340" s="209"/>
      <c r="S340" s="209"/>
      <c r="T340" s="209"/>
      <c r="U340" s="209"/>
      <c r="V340" s="209"/>
      <c r="W340" s="209"/>
      <c r="X340" s="209"/>
      <c r="Y340" s="209"/>
      <c r="Z340" s="209"/>
      <c r="AA340" s="209"/>
      <c r="AB340" s="209"/>
      <c r="AC340" s="209"/>
      <c r="AD340" s="209"/>
      <c r="AE340" s="209"/>
      <c r="AF340" s="209"/>
      <c r="AG340" s="209"/>
    </row>
    <row r="341" spans="1:33" x14ac:dyDescent="0.25">
      <c r="A341" s="121"/>
      <c r="B341" s="210" t="s">
        <v>458</v>
      </c>
      <c r="C341" s="211">
        <v>0</v>
      </c>
      <c r="D341" s="211">
        <v>0</v>
      </c>
      <c r="E341" s="211">
        <v>0</v>
      </c>
      <c r="F341" s="211">
        <v>101.26600000000001</v>
      </c>
      <c r="G341" s="211">
        <v>0</v>
      </c>
      <c r="H341" s="211">
        <v>0</v>
      </c>
      <c r="I341" s="211">
        <v>0</v>
      </c>
      <c r="J341" s="211">
        <v>0.65261999999999998</v>
      </c>
      <c r="K341" s="211">
        <v>0</v>
      </c>
      <c r="L341" s="211">
        <v>0</v>
      </c>
      <c r="M341" s="211">
        <v>24.338999999999999</v>
      </c>
      <c r="N341" s="211">
        <v>0</v>
      </c>
      <c r="O341" s="211">
        <v>69.0745</v>
      </c>
      <c r="P341" s="211">
        <v>99.519199999999998</v>
      </c>
      <c r="Q341" s="211">
        <v>0</v>
      </c>
      <c r="R341" s="211">
        <v>0</v>
      </c>
      <c r="S341" s="211">
        <v>5.9482299999999997</v>
      </c>
      <c r="T341" s="211">
        <v>0</v>
      </c>
      <c r="U341" s="211">
        <v>0</v>
      </c>
      <c r="V341" s="211">
        <v>0</v>
      </c>
      <c r="W341" s="211">
        <v>9.4852900000000009</v>
      </c>
      <c r="X341" s="211">
        <v>0</v>
      </c>
      <c r="Y341" s="211">
        <v>0</v>
      </c>
      <c r="Z341" s="211">
        <v>0</v>
      </c>
      <c r="AA341" s="211">
        <v>0</v>
      </c>
      <c r="AB341" s="211">
        <v>0</v>
      </c>
      <c r="AC341" s="211">
        <v>0</v>
      </c>
      <c r="AD341" s="211">
        <v>0</v>
      </c>
      <c r="AE341" s="211">
        <v>0</v>
      </c>
      <c r="AF341" s="211">
        <v>0</v>
      </c>
      <c r="AG341" s="211">
        <v>310.28484000000003</v>
      </c>
    </row>
    <row r="342" spans="1:33" x14ac:dyDescent="0.25">
      <c r="A342" s="121"/>
      <c r="B342" s="210" t="s">
        <v>459</v>
      </c>
      <c r="C342" s="211">
        <v>0</v>
      </c>
      <c r="D342" s="211">
        <v>0</v>
      </c>
      <c r="E342" s="211">
        <v>0</v>
      </c>
      <c r="F342" s="211">
        <v>0</v>
      </c>
      <c r="G342" s="211">
        <v>0</v>
      </c>
      <c r="H342" s="211">
        <v>0</v>
      </c>
      <c r="I342" s="211">
        <v>0</v>
      </c>
      <c r="J342" s="211">
        <v>0</v>
      </c>
      <c r="K342" s="211">
        <v>0</v>
      </c>
      <c r="L342" s="211">
        <v>0</v>
      </c>
      <c r="M342" s="211">
        <v>30.2178</v>
      </c>
      <c r="N342" s="211">
        <v>0</v>
      </c>
      <c r="O342" s="211">
        <v>0</v>
      </c>
      <c r="P342" s="211">
        <v>16.21</v>
      </c>
      <c r="Q342" s="211">
        <v>0</v>
      </c>
      <c r="R342" s="211">
        <v>0</v>
      </c>
      <c r="S342" s="211">
        <v>0</v>
      </c>
      <c r="T342" s="211">
        <v>0</v>
      </c>
      <c r="U342" s="211">
        <v>0</v>
      </c>
      <c r="V342" s="211">
        <v>0</v>
      </c>
      <c r="W342" s="211">
        <v>1.2359100000000001</v>
      </c>
      <c r="X342" s="211">
        <v>0</v>
      </c>
      <c r="Y342" s="211">
        <v>0</v>
      </c>
      <c r="Z342" s="211">
        <v>0</v>
      </c>
      <c r="AA342" s="211">
        <v>0</v>
      </c>
      <c r="AB342" s="211">
        <v>0</v>
      </c>
      <c r="AC342" s="211">
        <v>0</v>
      </c>
      <c r="AD342" s="211">
        <v>0</v>
      </c>
      <c r="AE342" s="211">
        <v>0</v>
      </c>
      <c r="AF342" s="211">
        <v>0</v>
      </c>
      <c r="AG342" s="211">
        <v>47.663710000000002</v>
      </c>
    </row>
    <row r="343" spans="1:33" x14ac:dyDescent="0.25">
      <c r="A343" s="121"/>
      <c r="B343" s="210" t="s">
        <v>460</v>
      </c>
      <c r="C343" s="211">
        <v>0</v>
      </c>
      <c r="D343" s="211">
        <v>0</v>
      </c>
      <c r="E343" s="211">
        <v>0</v>
      </c>
      <c r="F343" s="211">
        <v>2.5399600000000002</v>
      </c>
      <c r="G343" s="211">
        <v>0</v>
      </c>
      <c r="H343" s="211">
        <v>0</v>
      </c>
      <c r="I343" s="211">
        <v>0</v>
      </c>
      <c r="J343" s="211">
        <v>0</v>
      </c>
      <c r="K343" s="211">
        <v>0</v>
      </c>
      <c r="L343" s="211">
        <v>0</v>
      </c>
      <c r="M343" s="211">
        <v>4.0941099999999997</v>
      </c>
      <c r="N343" s="211">
        <v>0</v>
      </c>
      <c r="O343" s="211">
        <v>0</v>
      </c>
      <c r="P343" s="211">
        <v>3.6680000000000001</v>
      </c>
      <c r="Q343" s="211">
        <v>0</v>
      </c>
      <c r="R343" s="211">
        <v>0</v>
      </c>
      <c r="S343" s="211">
        <v>0.20297499999999999</v>
      </c>
      <c r="T343" s="211">
        <v>0</v>
      </c>
      <c r="U343" s="211">
        <v>0</v>
      </c>
      <c r="V343" s="211">
        <v>0</v>
      </c>
      <c r="W343" s="211">
        <v>0.279553</v>
      </c>
      <c r="X343" s="211">
        <v>0</v>
      </c>
      <c r="Y343" s="211">
        <v>0</v>
      </c>
      <c r="Z343" s="211">
        <v>0</v>
      </c>
      <c r="AA343" s="211">
        <v>0</v>
      </c>
      <c r="AB343" s="211">
        <v>0</v>
      </c>
      <c r="AC343" s="211">
        <v>0</v>
      </c>
      <c r="AD343" s="211">
        <v>0</v>
      </c>
      <c r="AE343" s="211">
        <v>0</v>
      </c>
      <c r="AF343" s="211">
        <v>0</v>
      </c>
      <c r="AG343" s="211">
        <v>10.784598000000001</v>
      </c>
    </row>
    <row r="344" spans="1:33" x14ac:dyDescent="0.25">
      <c r="A344" s="207" t="s">
        <v>1143</v>
      </c>
      <c r="B344" s="208"/>
      <c r="C344" s="209"/>
      <c r="D344" s="209"/>
      <c r="E344" s="209"/>
      <c r="F344" s="209"/>
      <c r="G344" s="209"/>
      <c r="H344" s="209"/>
      <c r="I344" s="209"/>
      <c r="J344" s="209"/>
      <c r="K344" s="209"/>
      <c r="L344" s="209"/>
      <c r="M344" s="209"/>
      <c r="N344" s="209"/>
      <c r="O344" s="209"/>
      <c r="P344" s="209"/>
      <c r="Q344" s="209"/>
      <c r="R344" s="209"/>
      <c r="S344" s="209"/>
      <c r="T344" s="209"/>
      <c r="U344" s="209"/>
      <c r="V344" s="209"/>
      <c r="W344" s="209"/>
      <c r="X344" s="209"/>
      <c r="Y344" s="209"/>
      <c r="Z344" s="209"/>
      <c r="AA344" s="209"/>
      <c r="AB344" s="209"/>
      <c r="AC344" s="209"/>
      <c r="AD344" s="209"/>
      <c r="AE344" s="209"/>
      <c r="AF344" s="209"/>
      <c r="AG344" s="209"/>
    </row>
    <row r="345" spans="1:33" x14ac:dyDescent="0.25">
      <c r="A345" s="121"/>
      <c r="B345" s="210" t="s">
        <v>1144</v>
      </c>
      <c r="C345" s="211">
        <v>0</v>
      </c>
      <c r="D345" s="211">
        <v>0</v>
      </c>
      <c r="E345" s="211">
        <v>0</v>
      </c>
      <c r="F345" s="211">
        <v>0</v>
      </c>
      <c r="G345" s="211">
        <v>0</v>
      </c>
      <c r="H345" s="211">
        <v>0</v>
      </c>
      <c r="I345" s="211">
        <v>0</v>
      </c>
      <c r="J345" s="211">
        <v>0</v>
      </c>
      <c r="K345" s="211">
        <v>0</v>
      </c>
      <c r="L345" s="211">
        <v>0</v>
      </c>
      <c r="M345" s="211">
        <v>0</v>
      </c>
      <c r="N345" s="211">
        <v>0</v>
      </c>
      <c r="O345" s="211">
        <v>0</v>
      </c>
      <c r="P345" s="211">
        <v>0</v>
      </c>
      <c r="Q345" s="211">
        <v>0</v>
      </c>
      <c r="R345" s="211">
        <v>0</v>
      </c>
      <c r="S345" s="211">
        <v>0</v>
      </c>
      <c r="T345" s="211">
        <v>0</v>
      </c>
      <c r="U345" s="211">
        <v>0</v>
      </c>
      <c r="V345" s="211">
        <v>0</v>
      </c>
      <c r="W345" s="211">
        <v>0</v>
      </c>
      <c r="X345" s="211">
        <v>0</v>
      </c>
      <c r="Y345" s="211">
        <v>0</v>
      </c>
      <c r="Z345" s="211">
        <v>0</v>
      </c>
      <c r="AA345" s="211">
        <v>0</v>
      </c>
      <c r="AB345" s="211">
        <v>0</v>
      </c>
      <c r="AC345" s="211">
        <v>0</v>
      </c>
      <c r="AD345" s="211">
        <v>0</v>
      </c>
      <c r="AE345" s="211">
        <v>0</v>
      </c>
      <c r="AF345" s="211">
        <v>0</v>
      </c>
      <c r="AG345" s="211">
        <v>0</v>
      </c>
    </row>
    <row r="346" spans="1:33" x14ac:dyDescent="0.25">
      <c r="A346" s="207" t="s">
        <v>98</v>
      </c>
      <c r="B346" s="208"/>
      <c r="C346" s="209"/>
      <c r="D346" s="209"/>
      <c r="E346" s="209"/>
      <c r="F346" s="209"/>
      <c r="G346" s="209"/>
      <c r="H346" s="209"/>
      <c r="I346" s="209"/>
      <c r="J346" s="209"/>
      <c r="K346" s="209"/>
      <c r="L346" s="209"/>
      <c r="M346" s="209"/>
      <c r="N346" s="209"/>
      <c r="O346" s="209"/>
      <c r="P346" s="209"/>
      <c r="Q346" s="209"/>
      <c r="R346" s="209"/>
      <c r="S346" s="209"/>
      <c r="T346" s="209"/>
      <c r="U346" s="209"/>
      <c r="V346" s="209"/>
      <c r="W346" s="209"/>
      <c r="X346" s="209"/>
      <c r="Y346" s="209"/>
      <c r="Z346" s="209"/>
      <c r="AA346" s="209"/>
      <c r="AB346" s="209"/>
      <c r="AC346" s="209"/>
      <c r="AD346" s="209"/>
      <c r="AE346" s="209"/>
      <c r="AF346" s="209"/>
      <c r="AG346" s="209"/>
    </row>
    <row r="347" spans="1:33" x14ac:dyDescent="0.25">
      <c r="A347" s="121"/>
      <c r="B347" s="210" t="s">
        <v>100</v>
      </c>
      <c r="C347" s="211">
        <v>0</v>
      </c>
      <c r="D347" s="211">
        <v>0</v>
      </c>
      <c r="E347" s="211">
        <v>0</v>
      </c>
      <c r="F347" s="211">
        <v>0</v>
      </c>
      <c r="G347" s="211">
        <v>0</v>
      </c>
      <c r="H347" s="211">
        <v>0</v>
      </c>
      <c r="I347" s="211">
        <v>0</v>
      </c>
      <c r="J347" s="211">
        <v>0</v>
      </c>
      <c r="K347" s="211">
        <v>0</v>
      </c>
      <c r="L347" s="211">
        <v>0</v>
      </c>
      <c r="M347" s="211">
        <v>0</v>
      </c>
      <c r="N347" s="211">
        <v>0</v>
      </c>
      <c r="O347" s="211">
        <v>0</v>
      </c>
      <c r="P347" s="211">
        <v>0</v>
      </c>
      <c r="Q347" s="211">
        <v>0</v>
      </c>
      <c r="R347" s="211">
        <v>0</v>
      </c>
      <c r="S347" s="211">
        <v>0</v>
      </c>
      <c r="T347" s="211">
        <v>0</v>
      </c>
      <c r="U347" s="211">
        <v>0</v>
      </c>
      <c r="V347" s="211">
        <v>0</v>
      </c>
      <c r="W347" s="211">
        <v>0</v>
      </c>
      <c r="X347" s="211">
        <v>0</v>
      </c>
      <c r="Y347" s="211">
        <v>0</v>
      </c>
      <c r="Z347" s="211">
        <v>0</v>
      </c>
      <c r="AA347" s="211">
        <v>0</v>
      </c>
      <c r="AB347" s="211">
        <v>0</v>
      </c>
      <c r="AC347" s="211">
        <v>0</v>
      </c>
      <c r="AD347" s="211">
        <v>0</v>
      </c>
      <c r="AE347" s="211">
        <v>0</v>
      </c>
      <c r="AF347" s="211">
        <v>0</v>
      </c>
      <c r="AG347" s="211">
        <v>0</v>
      </c>
    </row>
    <row r="348" spans="1:33" x14ac:dyDescent="0.25">
      <c r="A348" s="121"/>
      <c r="B348" s="210" t="s">
        <v>102</v>
      </c>
      <c r="C348" s="211">
        <v>0</v>
      </c>
      <c r="D348" s="211">
        <v>0</v>
      </c>
      <c r="E348" s="211">
        <v>0</v>
      </c>
      <c r="F348" s="211">
        <v>0</v>
      </c>
      <c r="G348" s="211">
        <v>0</v>
      </c>
      <c r="H348" s="211">
        <v>0</v>
      </c>
      <c r="I348" s="211">
        <v>0</v>
      </c>
      <c r="J348" s="211">
        <v>0</v>
      </c>
      <c r="K348" s="211">
        <v>0</v>
      </c>
      <c r="L348" s="211">
        <v>0</v>
      </c>
      <c r="M348" s="211">
        <v>0</v>
      </c>
      <c r="N348" s="211">
        <v>0</v>
      </c>
      <c r="O348" s="211">
        <v>0</v>
      </c>
      <c r="P348" s="211">
        <v>0</v>
      </c>
      <c r="Q348" s="211">
        <v>0</v>
      </c>
      <c r="R348" s="211">
        <v>0</v>
      </c>
      <c r="S348" s="211">
        <v>0</v>
      </c>
      <c r="T348" s="211">
        <v>0</v>
      </c>
      <c r="U348" s="211">
        <v>0</v>
      </c>
      <c r="V348" s="211">
        <v>0</v>
      </c>
      <c r="W348" s="211">
        <v>0</v>
      </c>
      <c r="X348" s="211">
        <v>0</v>
      </c>
      <c r="Y348" s="211">
        <v>0</v>
      </c>
      <c r="Z348" s="211">
        <v>0</v>
      </c>
      <c r="AA348" s="211">
        <v>0</v>
      </c>
      <c r="AB348" s="211">
        <v>0</v>
      </c>
      <c r="AC348" s="211">
        <v>0</v>
      </c>
      <c r="AD348" s="211">
        <v>0</v>
      </c>
      <c r="AE348" s="211">
        <v>0</v>
      </c>
      <c r="AF348" s="211">
        <v>0</v>
      </c>
      <c r="AG348" s="211">
        <v>0</v>
      </c>
    </row>
    <row r="349" spans="1:33" x14ac:dyDescent="0.25">
      <c r="A349" s="121"/>
      <c r="B349" s="210" t="s">
        <v>104</v>
      </c>
      <c r="C349" s="211">
        <v>0</v>
      </c>
      <c r="D349" s="211">
        <v>0</v>
      </c>
      <c r="E349" s="211">
        <v>0</v>
      </c>
      <c r="F349" s="211">
        <v>0</v>
      </c>
      <c r="G349" s="211">
        <v>0</v>
      </c>
      <c r="H349" s="211">
        <v>0</v>
      </c>
      <c r="I349" s="211">
        <v>0</v>
      </c>
      <c r="J349" s="211">
        <v>0</v>
      </c>
      <c r="K349" s="211">
        <v>0</v>
      </c>
      <c r="L349" s="211">
        <v>0</v>
      </c>
      <c r="M349" s="211">
        <v>0</v>
      </c>
      <c r="N349" s="211">
        <v>0</v>
      </c>
      <c r="O349" s="211">
        <v>0</v>
      </c>
      <c r="P349" s="211">
        <v>0</v>
      </c>
      <c r="Q349" s="211">
        <v>0</v>
      </c>
      <c r="R349" s="211">
        <v>0</v>
      </c>
      <c r="S349" s="211">
        <v>0</v>
      </c>
      <c r="T349" s="211">
        <v>0</v>
      </c>
      <c r="U349" s="211">
        <v>0</v>
      </c>
      <c r="V349" s="211">
        <v>0</v>
      </c>
      <c r="W349" s="211">
        <v>0</v>
      </c>
      <c r="X349" s="211">
        <v>0</v>
      </c>
      <c r="Y349" s="211">
        <v>0</v>
      </c>
      <c r="Z349" s="211">
        <v>0</v>
      </c>
      <c r="AA349" s="211">
        <v>0</v>
      </c>
      <c r="AB349" s="211">
        <v>0</v>
      </c>
      <c r="AC349" s="211">
        <v>0</v>
      </c>
      <c r="AD349" s="211">
        <v>0</v>
      </c>
      <c r="AE349" s="211">
        <v>0</v>
      </c>
      <c r="AF349" s="211">
        <v>0</v>
      </c>
      <c r="AG349" s="211">
        <v>0</v>
      </c>
    </row>
    <row r="350" spans="1:33" x14ac:dyDescent="0.25">
      <c r="A350" s="121"/>
      <c r="B350" s="210" t="s">
        <v>106</v>
      </c>
      <c r="C350" s="211">
        <v>0</v>
      </c>
      <c r="D350" s="211">
        <v>0</v>
      </c>
      <c r="E350" s="211">
        <v>0</v>
      </c>
      <c r="F350" s="211">
        <v>0</v>
      </c>
      <c r="G350" s="211">
        <v>0</v>
      </c>
      <c r="H350" s="211">
        <v>0</v>
      </c>
      <c r="I350" s="211">
        <v>0</v>
      </c>
      <c r="J350" s="211">
        <v>0</v>
      </c>
      <c r="K350" s="211">
        <v>0</v>
      </c>
      <c r="L350" s="211">
        <v>0</v>
      </c>
      <c r="M350" s="211">
        <v>0</v>
      </c>
      <c r="N350" s="211">
        <v>0</v>
      </c>
      <c r="O350" s="211">
        <v>0</v>
      </c>
      <c r="P350" s="211">
        <v>0</v>
      </c>
      <c r="Q350" s="211">
        <v>0</v>
      </c>
      <c r="R350" s="211">
        <v>0</v>
      </c>
      <c r="S350" s="211">
        <v>0</v>
      </c>
      <c r="T350" s="211">
        <v>0</v>
      </c>
      <c r="U350" s="211">
        <v>0</v>
      </c>
      <c r="V350" s="211">
        <v>0</v>
      </c>
      <c r="W350" s="211">
        <v>0</v>
      </c>
      <c r="X350" s="211">
        <v>0</v>
      </c>
      <c r="Y350" s="211">
        <v>0</v>
      </c>
      <c r="Z350" s="211">
        <v>0</v>
      </c>
      <c r="AA350" s="211">
        <v>0</v>
      </c>
      <c r="AB350" s="211">
        <v>0</v>
      </c>
      <c r="AC350" s="211">
        <v>0</v>
      </c>
      <c r="AD350" s="211">
        <v>0</v>
      </c>
      <c r="AE350" s="211">
        <v>0</v>
      </c>
      <c r="AF350" s="211">
        <v>0</v>
      </c>
      <c r="AG350" s="211">
        <v>0</v>
      </c>
    </row>
    <row r="351" spans="1:33" x14ac:dyDescent="0.25">
      <c r="A351" s="121"/>
      <c r="B351" s="210" t="s">
        <v>108</v>
      </c>
      <c r="C351" s="211">
        <v>0</v>
      </c>
      <c r="D351" s="211">
        <v>0</v>
      </c>
      <c r="E351" s="211">
        <v>0</v>
      </c>
      <c r="F351" s="211">
        <v>0</v>
      </c>
      <c r="G351" s="211">
        <v>0</v>
      </c>
      <c r="H351" s="211">
        <v>0</v>
      </c>
      <c r="I351" s="211">
        <v>0</v>
      </c>
      <c r="J351" s="211">
        <v>0</v>
      </c>
      <c r="K351" s="211">
        <v>0</v>
      </c>
      <c r="L351" s="211">
        <v>0</v>
      </c>
      <c r="M351" s="211">
        <v>0</v>
      </c>
      <c r="N351" s="211">
        <v>0</v>
      </c>
      <c r="O351" s="211">
        <v>0</v>
      </c>
      <c r="P351" s="211">
        <v>0</v>
      </c>
      <c r="Q351" s="211">
        <v>0</v>
      </c>
      <c r="R351" s="211">
        <v>0</v>
      </c>
      <c r="S351" s="211">
        <v>0</v>
      </c>
      <c r="T351" s="211">
        <v>0</v>
      </c>
      <c r="U351" s="211">
        <v>0</v>
      </c>
      <c r="V351" s="211">
        <v>0</v>
      </c>
      <c r="W351" s="211">
        <v>0</v>
      </c>
      <c r="X351" s="211">
        <v>0</v>
      </c>
      <c r="Y351" s="211">
        <v>0</v>
      </c>
      <c r="Z351" s="211">
        <v>0</v>
      </c>
      <c r="AA351" s="211">
        <v>0</v>
      </c>
      <c r="AB351" s="211">
        <v>0</v>
      </c>
      <c r="AC351" s="211">
        <v>0</v>
      </c>
      <c r="AD351" s="211">
        <v>0</v>
      </c>
      <c r="AE351" s="211">
        <v>0</v>
      </c>
      <c r="AF351" s="211">
        <v>0</v>
      </c>
      <c r="AG351" s="211">
        <v>0</v>
      </c>
    </row>
    <row r="352" spans="1:33" x14ac:dyDescent="0.25">
      <c r="A352" s="121"/>
      <c r="B352" s="210" t="s">
        <v>110</v>
      </c>
      <c r="C352" s="211">
        <v>0</v>
      </c>
      <c r="D352" s="211">
        <v>0</v>
      </c>
      <c r="E352" s="211">
        <v>0</v>
      </c>
      <c r="F352" s="211">
        <v>0</v>
      </c>
      <c r="G352" s="211">
        <v>0</v>
      </c>
      <c r="H352" s="211">
        <v>0</v>
      </c>
      <c r="I352" s="211">
        <v>0</v>
      </c>
      <c r="J352" s="211">
        <v>0</v>
      </c>
      <c r="K352" s="211">
        <v>0</v>
      </c>
      <c r="L352" s="211">
        <v>0</v>
      </c>
      <c r="M352" s="211">
        <v>0</v>
      </c>
      <c r="N352" s="211">
        <v>0</v>
      </c>
      <c r="O352" s="211">
        <v>0</v>
      </c>
      <c r="P352" s="211">
        <v>0</v>
      </c>
      <c r="Q352" s="211">
        <v>0</v>
      </c>
      <c r="R352" s="211">
        <v>0</v>
      </c>
      <c r="S352" s="211">
        <v>0</v>
      </c>
      <c r="T352" s="211">
        <v>0</v>
      </c>
      <c r="U352" s="211">
        <v>0</v>
      </c>
      <c r="V352" s="211">
        <v>0</v>
      </c>
      <c r="W352" s="211">
        <v>0</v>
      </c>
      <c r="X352" s="211">
        <v>0</v>
      </c>
      <c r="Y352" s="211">
        <v>0</v>
      </c>
      <c r="Z352" s="211">
        <v>0</v>
      </c>
      <c r="AA352" s="211">
        <v>0</v>
      </c>
      <c r="AB352" s="211">
        <v>0</v>
      </c>
      <c r="AC352" s="211">
        <v>0</v>
      </c>
      <c r="AD352" s="211">
        <v>0</v>
      </c>
      <c r="AE352" s="211">
        <v>0</v>
      </c>
      <c r="AF352" s="211">
        <v>0</v>
      </c>
      <c r="AG352" s="211">
        <v>0</v>
      </c>
    </row>
    <row r="353" spans="1:33" x14ac:dyDescent="0.25">
      <c r="A353" s="121"/>
      <c r="B353" s="210" t="s">
        <v>112</v>
      </c>
      <c r="C353" s="211">
        <v>0</v>
      </c>
      <c r="D353" s="211">
        <v>0</v>
      </c>
      <c r="E353" s="211">
        <v>0</v>
      </c>
      <c r="F353" s="211">
        <v>0</v>
      </c>
      <c r="G353" s="211">
        <v>0</v>
      </c>
      <c r="H353" s="211">
        <v>0</v>
      </c>
      <c r="I353" s="211">
        <v>0</v>
      </c>
      <c r="J353" s="211">
        <v>0</v>
      </c>
      <c r="K353" s="211">
        <v>0</v>
      </c>
      <c r="L353" s="211">
        <v>0</v>
      </c>
      <c r="M353" s="211">
        <v>0</v>
      </c>
      <c r="N353" s="211">
        <v>0</v>
      </c>
      <c r="O353" s="211">
        <v>0</v>
      </c>
      <c r="P353" s="211">
        <v>0</v>
      </c>
      <c r="Q353" s="211">
        <v>0</v>
      </c>
      <c r="R353" s="211">
        <v>0</v>
      </c>
      <c r="S353" s="211">
        <v>0</v>
      </c>
      <c r="T353" s="211">
        <v>0</v>
      </c>
      <c r="U353" s="211">
        <v>0</v>
      </c>
      <c r="V353" s="211">
        <v>0</v>
      </c>
      <c r="W353" s="211">
        <v>0</v>
      </c>
      <c r="X353" s="211">
        <v>0</v>
      </c>
      <c r="Y353" s="211">
        <v>0</v>
      </c>
      <c r="Z353" s="211">
        <v>0</v>
      </c>
      <c r="AA353" s="211">
        <v>0</v>
      </c>
      <c r="AB353" s="211">
        <v>0</v>
      </c>
      <c r="AC353" s="211">
        <v>0</v>
      </c>
      <c r="AD353" s="211">
        <v>0</v>
      </c>
      <c r="AE353" s="211">
        <v>0</v>
      </c>
      <c r="AF353" s="211">
        <v>0</v>
      </c>
      <c r="AG353" s="211">
        <v>0</v>
      </c>
    </row>
    <row r="354" spans="1:33" x14ac:dyDescent="0.25">
      <c r="A354" s="121"/>
      <c r="B354" s="210" t="s">
        <v>114</v>
      </c>
      <c r="C354" s="211">
        <v>0</v>
      </c>
      <c r="D354" s="211">
        <v>0</v>
      </c>
      <c r="E354" s="211">
        <v>0</v>
      </c>
      <c r="F354" s="211">
        <v>0</v>
      </c>
      <c r="G354" s="211">
        <v>0</v>
      </c>
      <c r="H354" s="211">
        <v>0</v>
      </c>
      <c r="I354" s="211">
        <v>0</v>
      </c>
      <c r="J354" s="211">
        <v>0</v>
      </c>
      <c r="K354" s="211">
        <v>0</v>
      </c>
      <c r="L354" s="211">
        <v>0</v>
      </c>
      <c r="M354" s="211">
        <v>0</v>
      </c>
      <c r="N354" s="211">
        <v>0</v>
      </c>
      <c r="O354" s="211">
        <v>0</v>
      </c>
      <c r="P354" s="211">
        <v>0</v>
      </c>
      <c r="Q354" s="211">
        <v>0</v>
      </c>
      <c r="R354" s="211">
        <v>0</v>
      </c>
      <c r="S354" s="211">
        <v>0</v>
      </c>
      <c r="T354" s="211">
        <v>0</v>
      </c>
      <c r="U354" s="211">
        <v>0</v>
      </c>
      <c r="V354" s="211">
        <v>0</v>
      </c>
      <c r="W354" s="211">
        <v>0</v>
      </c>
      <c r="X354" s="211">
        <v>0</v>
      </c>
      <c r="Y354" s="211">
        <v>0</v>
      </c>
      <c r="Z354" s="211">
        <v>0</v>
      </c>
      <c r="AA354" s="211">
        <v>0</v>
      </c>
      <c r="AB354" s="211">
        <v>0</v>
      </c>
      <c r="AC354" s="211">
        <v>0</v>
      </c>
      <c r="AD354" s="211">
        <v>0</v>
      </c>
      <c r="AE354" s="211">
        <v>0</v>
      </c>
      <c r="AF354" s="211">
        <v>0</v>
      </c>
      <c r="AG354" s="211">
        <v>0</v>
      </c>
    </row>
    <row r="355" spans="1:33" x14ac:dyDescent="0.25">
      <c r="A355" s="207" t="s">
        <v>461</v>
      </c>
      <c r="B355" s="208"/>
      <c r="C355" s="209"/>
      <c r="D355" s="209"/>
      <c r="E355" s="209"/>
      <c r="F355" s="209"/>
      <c r="G355" s="209"/>
      <c r="H355" s="209"/>
      <c r="I355" s="209"/>
      <c r="J355" s="209"/>
      <c r="K355" s="209"/>
      <c r="L355" s="209"/>
      <c r="M355" s="209"/>
      <c r="N355" s="209"/>
      <c r="O355" s="209"/>
      <c r="P355" s="209"/>
      <c r="Q355" s="209"/>
      <c r="R355" s="209"/>
      <c r="S355" s="209"/>
      <c r="T355" s="209"/>
      <c r="U355" s="209"/>
      <c r="V355" s="209"/>
      <c r="W355" s="209"/>
      <c r="X355" s="209"/>
      <c r="Y355" s="209"/>
      <c r="Z355" s="209"/>
      <c r="AA355" s="209"/>
      <c r="AB355" s="209"/>
      <c r="AC355" s="209"/>
      <c r="AD355" s="209"/>
      <c r="AE355" s="209"/>
      <c r="AF355" s="209"/>
      <c r="AG355" s="209"/>
    </row>
    <row r="356" spans="1:33" x14ac:dyDescent="0.25">
      <c r="A356" s="121"/>
      <c r="B356" s="210" t="s">
        <v>462</v>
      </c>
      <c r="C356" s="211">
        <v>0</v>
      </c>
      <c r="D356" s="211">
        <v>0</v>
      </c>
      <c r="E356" s="211">
        <v>0</v>
      </c>
      <c r="F356" s="211">
        <v>0</v>
      </c>
      <c r="G356" s="211">
        <v>0</v>
      </c>
      <c r="H356" s="211">
        <v>0</v>
      </c>
      <c r="I356" s="211">
        <v>0</v>
      </c>
      <c r="J356" s="211">
        <v>0.313</v>
      </c>
      <c r="K356" s="211">
        <v>0</v>
      </c>
      <c r="L356" s="211">
        <v>0</v>
      </c>
      <c r="M356" s="211">
        <v>0</v>
      </c>
      <c r="N356" s="211">
        <v>0</v>
      </c>
      <c r="O356" s="211">
        <v>0</v>
      </c>
      <c r="P356" s="211">
        <v>0</v>
      </c>
      <c r="Q356" s="211">
        <v>0</v>
      </c>
      <c r="R356" s="211">
        <v>0</v>
      </c>
      <c r="S356" s="211">
        <v>0</v>
      </c>
      <c r="T356" s="211">
        <v>0</v>
      </c>
      <c r="U356" s="211">
        <v>0</v>
      </c>
      <c r="V356" s="211">
        <v>0</v>
      </c>
      <c r="W356" s="211">
        <v>5.1499999999999997E-2</v>
      </c>
      <c r="X356" s="211">
        <v>0</v>
      </c>
      <c r="Y356" s="211">
        <v>3.484</v>
      </c>
      <c r="Z356" s="211">
        <v>0</v>
      </c>
      <c r="AA356" s="211">
        <v>0</v>
      </c>
      <c r="AB356" s="211">
        <v>0</v>
      </c>
      <c r="AC356" s="211">
        <v>0</v>
      </c>
      <c r="AD356" s="211">
        <v>0</v>
      </c>
      <c r="AE356" s="211">
        <v>0</v>
      </c>
      <c r="AF356" s="211">
        <v>0</v>
      </c>
      <c r="AG356" s="211">
        <v>3.8485</v>
      </c>
    </row>
    <row r="357" spans="1:33" x14ac:dyDescent="0.25">
      <c r="A357" s="121"/>
      <c r="B357" s="210" t="s">
        <v>464</v>
      </c>
      <c r="C357" s="211">
        <v>0</v>
      </c>
      <c r="D357" s="211">
        <v>0</v>
      </c>
      <c r="E357" s="211">
        <v>0</v>
      </c>
      <c r="F357" s="211">
        <v>0</v>
      </c>
      <c r="G357" s="211">
        <v>0</v>
      </c>
      <c r="H357" s="211">
        <v>0</v>
      </c>
      <c r="I357" s="211">
        <v>0</v>
      </c>
      <c r="J357" s="211">
        <v>0</v>
      </c>
      <c r="K357" s="211">
        <v>0</v>
      </c>
      <c r="L357" s="211">
        <v>0</v>
      </c>
      <c r="M357" s="211">
        <v>0</v>
      </c>
      <c r="N357" s="211">
        <v>2.5979999999999999</v>
      </c>
      <c r="O357" s="211">
        <v>0</v>
      </c>
      <c r="P357" s="211">
        <v>0</v>
      </c>
      <c r="Q357" s="211">
        <v>2.375</v>
      </c>
      <c r="R357" s="211">
        <v>0</v>
      </c>
      <c r="S357" s="211">
        <v>25.164000000000001</v>
      </c>
      <c r="T357" s="211">
        <v>0</v>
      </c>
      <c r="U357" s="211">
        <v>0</v>
      </c>
      <c r="V357" s="211">
        <v>0</v>
      </c>
      <c r="W357" s="211">
        <v>0.69569999999999999</v>
      </c>
      <c r="X357" s="211">
        <v>0</v>
      </c>
      <c r="Y357" s="211">
        <v>0.66200000000000003</v>
      </c>
      <c r="Z357" s="211">
        <v>0</v>
      </c>
      <c r="AA357" s="211">
        <v>0</v>
      </c>
      <c r="AB357" s="211">
        <v>0</v>
      </c>
      <c r="AC357" s="211">
        <v>0</v>
      </c>
      <c r="AD357" s="211">
        <v>0</v>
      </c>
      <c r="AE357" s="211">
        <v>0</v>
      </c>
      <c r="AF357" s="211">
        <v>0</v>
      </c>
      <c r="AG357" s="211">
        <v>31.494699999999998</v>
      </c>
    </row>
    <row r="358" spans="1:33" x14ac:dyDescent="0.25">
      <c r="A358" s="121"/>
      <c r="B358" s="210" t="s">
        <v>465</v>
      </c>
      <c r="C358" s="211">
        <v>0</v>
      </c>
      <c r="D358" s="211">
        <v>0</v>
      </c>
      <c r="E358" s="211">
        <v>0</v>
      </c>
      <c r="F358" s="211">
        <v>0</v>
      </c>
      <c r="G358" s="211">
        <v>0</v>
      </c>
      <c r="H358" s="211">
        <v>0</v>
      </c>
      <c r="I358" s="211">
        <v>0</v>
      </c>
      <c r="J358" s="211">
        <v>2.649</v>
      </c>
      <c r="K358" s="211">
        <v>0</v>
      </c>
      <c r="L358" s="211">
        <v>0</v>
      </c>
      <c r="M358" s="211">
        <v>4.63</v>
      </c>
      <c r="N358" s="211">
        <v>0</v>
      </c>
      <c r="O358" s="211">
        <v>0</v>
      </c>
      <c r="P358" s="211">
        <v>0</v>
      </c>
      <c r="Q358" s="211">
        <v>0</v>
      </c>
      <c r="R358" s="211">
        <v>0</v>
      </c>
      <c r="S358" s="211">
        <v>10</v>
      </c>
      <c r="T358" s="211">
        <v>0</v>
      </c>
      <c r="U358" s="211">
        <v>0</v>
      </c>
      <c r="V358" s="211">
        <v>0</v>
      </c>
      <c r="W358" s="211">
        <v>0.245</v>
      </c>
      <c r="X358" s="211">
        <v>0</v>
      </c>
      <c r="Y358" s="211">
        <v>0</v>
      </c>
      <c r="Z358" s="211">
        <v>0</v>
      </c>
      <c r="AA358" s="211">
        <v>0</v>
      </c>
      <c r="AB358" s="211">
        <v>0</v>
      </c>
      <c r="AC358" s="211">
        <v>0</v>
      </c>
      <c r="AD358" s="211">
        <v>0</v>
      </c>
      <c r="AE358" s="211">
        <v>0</v>
      </c>
      <c r="AF358" s="211">
        <v>0</v>
      </c>
      <c r="AG358" s="211">
        <v>17.524000000000001</v>
      </c>
    </row>
    <row r="359" spans="1:33" x14ac:dyDescent="0.25">
      <c r="A359" s="121"/>
      <c r="B359" s="210" t="s">
        <v>101</v>
      </c>
      <c r="C359" s="211">
        <v>0</v>
      </c>
      <c r="D359" s="211">
        <v>0</v>
      </c>
      <c r="E359" s="211">
        <v>0</v>
      </c>
      <c r="F359" s="211">
        <v>0</v>
      </c>
      <c r="G359" s="211">
        <v>0</v>
      </c>
      <c r="H359" s="211">
        <v>0</v>
      </c>
      <c r="I359" s="211">
        <v>0</v>
      </c>
      <c r="J359" s="211">
        <v>0.108</v>
      </c>
      <c r="K359" s="211">
        <v>0</v>
      </c>
      <c r="L359" s="211">
        <v>0</v>
      </c>
      <c r="M359" s="211">
        <v>0</v>
      </c>
      <c r="N359" s="211">
        <v>0</v>
      </c>
      <c r="O359" s="211">
        <v>0</v>
      </c>
      <c r="P359" s="211">
        <v>5.625</v>
      </c>
      <c r="Q359" s="211">
        <v>0</v>
      </c>
      <c r="R359" s="211">
        <v>0</v>
      </c>
      <c r="S359" s="211">
        <v>39.893999999999998</v>
      </c>
      <c r="T359" s="211">
        <v>0</v>
      </c>
      <c r="U359" s="211">
        <v>0</v>
      </c>
      <c r="V359" s="211">
        <v>0</v>
      </c>
      <c r="W359" s="211">
        <v>0.85399999999999998</v>
      </c>
      <c r="X359" s="211">
        <v>0</v>
      </c>
      <c r="Y359" s="211">
        <v>0</v>
      </c>
      <c r="Z359" s="211">
        <v>0</v>
      </c>
      <c r="AA359" s="211">
        <v>0</v>
      </c>
      <c r="AB359" s="211">
        <v>0</v>
      </c>
      <c r="AC359" s="211">
        <v>0</v>
      </c>
      <c r="AD359" s="211">
        <v>0</v>
      </c>
      <c r="AE359" s="211">
        <v>0</v>
      </c>
      <c r="AF359" s="211">
        <v>0</v>
      </c>
      <c r="AG359" s="211">
        <v>46.480999999999995</v>
      </c>
    </row>
    <row r="360" spans="1:33" x14ac:dyDescent="0.25">
      <c r="A360" s="121"/>
      <c r="B360" s="210" t="s">
        <v>103</v>
      </c>
      <c r="C360" s="211">
        <v>0</v>
      </c>
      <c r="D360" s="211">
        <v>0</v>
      </c>
      <c r="E360" s="211">
        <v>0</v>
      </c>
      <c r="F360" s="211">
        <v>0</v>
      </c>
      <c r="G360" s="211">
        <v>0</v>
      </c>
      <c r="H360" s="211">
        <v>0</v>
      </c>
      <c r="I360" s="211">
        <v>0</v>
      </c>
      <c r="J360" s="211">
        <v>0.82199999999999995</v>
      </c>
      <c r="K360" s="211">
        <v>0</v>
      </c>
      <c r="L360" s="211">
        <v>0</v>
      </c>
      <c r="M360" s="211">
        <v>0</v>
      </c>
      <c r="N360" s="211">
        <v>0</v>
      </c>
      <c r="O360" s="211">
        <v>0</v>
      </c>
      <c r="P360" s="211">
        <v>5.681</v>
      </c>
      <c r="Q360" s="211">
        <v>0.19500000000000001</v>
      </c>
      <c r="R360" s="211">
        <v>0</v>
      </c>
      <c r="S360" s="211">
        <v>27.856999999999999</v>
      </c>
      <c r="T360" s="211">
        <v>0</v>
      </c>
      <c r="U360" s="211">
        <v>0</v>
      </c>
      <c r="V360" s="211">
        <v>19.849</v>
      </c>
      <c r="W360" s="211">
        <v>1.4670000000000001</v>
      </c>
      <c r="X360" s="211">
        <v>0</v>
      </c>
      <c r="Y360" s="211">
        <v>9.0250000000000004</v>
      </c>
      <c r="Z360" s="211">
        <v>0</v>
      </c>
      <c r="AA360" s="211">
        <v>0</v>
      </c>
      <c r="AB360" s="211">
        <v>0</v>
      </c>
      <c r="AC360" s="211">
        <v>0</v>
      </c>
      <c r="AD360" s="211">
        <v>0</v>
      </c>
      <c r="AE360" s="211">
        <v>0</v>
      </c>
      <c r="AF360" s="211">
        <v>0</v>
      </c>
      <c r="AG360" s="211">
        <v>64.896000000000001</v>
      </c>
    </row>
    <row r="361" spans="1:33" x14ac:dyDescent="0.25">
      <c r="A361" s="121"/>
      <c r="B361" s="210" t="s">
        <v>468</v>
      </c>
      <c r="C361" s="211">
        <v>0</v>
      </c>
      <c r="D361" s="211">
        <v>0</v>
      </c>
      <c r="E361" s="211">
        <v>0</v>
      </c>
      <c r="F361" s="211">
        <v>0</v>
      </c>
      <c r="G361" s="211">
        <v>0</v>
      </c>
      <c r="H361" s="211">
        <v>0</v>
      </c>
      <c r="I361" s="211">
        <v>0</v>
      </c>
      <c r="J361" s="211">
        <v>0.23</v>
      </c>
      <c r="K361" s="211">
        <v>0</v>
      </c>
      <c r="L361" s="211">
        <v>0</v>
      </c>
      <c r="M361" s="211">
        <v>0</v>
      </c>
      <c r="N361" s="211">
        <v>0</v>
      </c>
      <c r="O361" s="211">
        <v>0</v>
      </c>
      <c r="P361" s="211">
        <v>0</v>
      </c>
      <c r="Q361" s="211">
        <v>0</v>
      </c>
      <c r="R361" s="211">
        <v>0</v>
      </c>
      <c r="S361" s="211">
        <v>0</v>
      </c>
      <c r="T361" s="211">
        <v>0</v>
      </c>
      <c r="U361" s="211">
        <v>0</v>
      </c>
      <c r="V361" s="211">
        <v>0</v>
      </c>
      <c r="W361" s="211">
        <v>9.1999999999999998E-2</v>
      </c>
      <c r="X361" s="211">
        <v>0</v>
      </c>
      <c r="Y361" s="211">
        <v>3.6459999999999999</v>
      </c>
      <c r="Z361" s="211">
        <v>0</v>
      </c>
      <c r="AA361" s="211">
        <v>0</v>
      </c>
      <c r="AB361" s="211">
        <v>0</v>
      </c>
      <c r="AC361" s="211">
        <v>0</v>
      </c>
      <c r="AD361" s="211">
        <v>0</v>
      </c>
      <c r="AE361" s="211">
        <v>0</v>
      </c>
      <c r="AF361" s="211">
        <v>0</v>
      </c>
      <c r="AG361" s="211">
        <v>3.968</v>
      </c>
    </row>
    <row r="362" spans="1:33" x14ac:dyDescent="0.25">
      <c r="A362" s="121"/>
      <c r="B362" s="210" t="s">
        <v>105</v>
      </c>
      <c r="C362" s="211">
        <v>0</v>
      </c>
      <c r="D362" s="211">
        <v>0</v>
      </c>
      <c r="E362" s="211">
        <v>0</v>
      </c>
      <c r="F362" s="211">
        <v>0</v>
      </c>
      <c r="G362" s="211">
        <v>0</v>
      </c>
      <c r="H362" s="211">
        <v>0</v>
      </c>
      <c r="I362" s="211">
        <v>0</v>
      </c>
      <c r="J362" s="211">
        <v>0.127</v>
      </c>
      <c r="K362" s="211">
        <v>0</v>
      </c>
      <c r="L362" s="211">
        <v>0</v>
      </c>
      <c r="M362" s="211">
        <v>0</v>
      </c>
      <c r="N362" s="211">
        <v>0</v>
      </c>
      <c r="O362" s="211">
        <v>0</v>
      </c>
      <c r="P362" s="211">
        <v>0</v>
      </c>
      <c r="Q362" s="211">
        <v>0</v>
      </c>
      <c r="R362" s="211">
        <v>0</v>
      </c>
      <c r="S362" s="211">
        <v>0</v>
      </c>
      <c r="T362" s="211">
        <v>0</v>
      </c>
      <c r="U362" s="211">
        <v>0</v>
      </c>
      <c r="V362" s="211">
        <v>0</v>
      </c>
      <c r="W362" s="211">
        <v>0.128</v>
      </c>
      <c r="X362" s="211">
        <v>0</v>
      </c>
      <c r="Y362" s="211">
        <v>9.5340000000000007</v>
      </c>
      <c r="Z362" s="211">
        <v>0</v>
      </c>
      <c r="AA362" s="211">
        <v>0</v>
      </c>
      <c r="AB362" s="211">
        <v>0</v>
      </c>
      <c r="AC362" s="211">
        <v>0</v>
      </c>
      <c r="AD362" s="211">
        <v>0</v>
      </c>
      <c r="AE362" s="211">
        <v>0</v>
      </c>
      <c r="AF362" s="211">
        <v>0</v>
      </c>
      <c r="AG362" s="211">
        <v>9.7890000000000015</v>
      </c>
    </row>
    <row r="363" spans="1:33" x14ac:dyDescent="0.25">
      <c r="A363" s="121"/>
      <c r="B363" s="210" t="s">
        <v>107</v>
      </c>
      <c r="C363" s="211">
        <v>0</v>
      </c>
      <c r="D363" s="211">
        <v>0</v>
      </c>
      <c r="E363" s="211">
        <v>0</v>
      </c>
      <c r="F363" s="211">
        <v>0</v>
      </c>
      <c r="G363" s="211">
        <v>0</v>
      </c>
      <c r="H363" s="211">
        <v>0</v>
      </c>
      <c r="I363" s="211">
        <v>0</v>
      </c>
      <c r="J363" s="211">
        <v>0.311</v>
      </c>
      <c r="K363" s="211">
        <v>0</v>
      </c>
      <c r="L363" s="211">
        <v>0</v>
      </c>
      <c r="M363" s="211">
        <v>0</v>
      </c>
      <c r="N363" s="211">
        <v>0</v>
      </c>
      <c r="O363" s="211">
        <v>0</v>
      </c>
      <c r="P363" s="211">
        <v>0</v>
      </c>
      <c r="Q363" s="211">
        <v>0</v>
      </c>
      <c r="R363" s="211">
        <v>52.595999999999997</v>
      </c>
      <c r="S363" s="211">
        <v>0</v>
      </c>
      <c r="T363" s="211">
        <v>0</v>
      </c>
      <c r="U363" s="211">
        <v>0</v>
      </c>
      <c r="V363" s="211">
        <v>0</v>
      </c>
      <c r="W363" s="211">
        <v>1.3109999999999999</v>
      </c>
      <c r="X363" s="211">
        <v>16.803999999999998</v>
      </c>
      <c r="Y363" s="211">
        <v>0</v>
      </c>
      <c r="Z363" s="211">
        <v>0</v>
      </c>
      <c r="AA363" s="211">
        <v>0</v>
      </c>
      <c r="AB363" s="211">
        <v>0</v>
      </c>
      <c r="AC363" s="211">
        <v>0</v>
      </c>
      <c r="AD363" s="211">
        <v>0</v>
      </c>
      <c r="AE363" s="211">
        <v>0</v>
      </c>
      <c r="AF363" s="211">
        <v>0</v>
      </c>
      <c r="AG363" s="211">
        <v>71.021999999999991</v>
      </c>
    </row>
    <row r="364" spans="1:33" x14ac:dyDescent="0.25">
      <c r="A364" s="121"/>
      <c r="B364" s="210" t="s">
        <v>109</v>
      </c>
      <c r="C364" s="211">
        <v>0</v>
      </c>
      <c r="D364" s="211">
        <v>0</v>
      </c>
      <c r="E364" s="211">
        <v>0</v>
      </c>
      <c r="F364" s="211">
        <v>0</v>
      </c>
      <c r="G364" s="211">
        <v>0</v>
      </c>
      <c r="H364" s="211">
        <v>0</v>
      </c>
      <c r="I364" s="211">
        <v>0</v>
      </c>
      <c r="J364" s="211">
        <v>5.7000000000000002E-2</v>
      </c>
      <c r="K364" s="211">
        <v>0</v>
      </c>
      <c r="L364" s="211">
        <v>0</v>
      </c>
      <c r="M364" s="211">
        <v>0</v>
      </c>
      <c r="N364" s="211">
        <v>0</v>
      </c>
      <c r="O364" s="211">
        <v>0</v>
      </c>
      <c r="P364" s="211">
        <v>0</v>
      </c>
      <c r="Q364" s="211">
        <v>0</v>
      </c>
      <c r="R364" s="211">
        <v>0</v>
      </c>
      <c r="S364" s="211">
        <v>3.2040000000000002</v>
      </c>
      <c r="T364" s="211">
        <v>0</v>
      </c>
      <c r="U364" s="211">
        <v>0</v>
      </c>
      <c r="V364" s="211">
        <v>0</v>
      </c>
      <c r="W364" s="211">
        <v>0.317</v>
      </c>
      <c r="X364" s="211">
        <v>13.98</v>
      </c>
      <c r="Y364" s="211">
        <v>0</v>
      </c>
      <c r="Z364" s="211">
        <v>0</v>
      </c>
      <c r="AA364" s="211">
        <v>0</v>
      </c>
      <c r="AB364" s="211">
        <v>0</v>
      </c>
      <c r="AC364" s="211">
        <v>0</v>
      </c>
      <c r="AD364" s="211">
        <v>0</v>
      </c>
      <c r="AE364" s="211">
        <v>0</v>
      </c>
      <c r="AF364" s="211">
        <v>0</v>
      </c>
      <c r="AG364" s="211">
        <v>17.558</v>
      </c>
    </row>
    <row r="365" spans="1:33" x14ac:dyDescent="0.25">
      <c r="A365" s="121"/>
      <c r="B365" s="210" t="s">
        <v>111</v>
      </c>
      <c r="C365" s="211">
        <v>0</v>
      </c>
      <c r="D365" s="211">
        <v>0</v>
      </c>
      <c r="E365" s="211">
        <v>0</v>
      </c>
      <c r="F365" s="211">
        <v>0</v>
      </c>
      <c r="G365" s="211">
        <v>0</v>
      </c>
      <c r="H365" s="211">
        <v>0</v>
      </c>
      <c r="I365" s="211">
        <v>0</v>
      </c>
      <c r="J365" s="211">
        <v>2.4247200000000002</v>
      </c>
      <c r="K365" s="211">
        <v>0</v>
      </c>
      <c r="L365" s="211">
        <v>0</v>
      </c>
      <c r="M365" s="211">
        <v>0</v>
      </c>
      <c r="N365" s="211">
        <v>0</v>
      </c>
      <c r="O365" s="211">
        <v>0</v>
      </c>
      <c r="P365" s="211">
        <v>0</v>
      </c>
      <c r="Q365" s="211">
        <v>0</v>
      </c>
      <c r="R365" s="211">
        <v>0</v>
      </c>
      <c r="S365" s="211">
        <v>0</v>
      </c>
      <c r="T365" s="211">
        <v>0</v>
      </c>
      <c r="U365" s="211">
        <v>0</v>
      </c>
      <c r="V365" s="211">
        <v>0</v>
      </c>
      <c r="W365" s="211">
        <v>0.128</v>
      </c>
      <c r="X365" s="211">
        <v>0</v>
      </c>
      <c r="Y365" s="211">
        <v>5.2850000000000001</v>
      </c>
      <c r="Z365" s="211">
        <v>0</v>
      </c>
      <c r="AA365" s="211">
        <v>0</v>
      </c>
      <c r="AB365" s="211">
        <v>0</v>
      </c>
      <c r="AC365" s="211">
        <v>0</v>
      </c>
      <c r="AD365" s="211">
        <v>0</v>
      </c>
      <c r="AE365" s="211">
        <v>0</v>
      </c>
      <c r="AF365" s="211">
        <v>14.379799999999999</v>
      </c>
      <c r="AG365" s="211">
        <v>22.21752</v>
      </c>
    </row>
    <row r="366" spans="1:33" x14ac:dyDescent="0.25">
      <c r="A366" s="121"/>
      <c r="B366" s="210" t="s">
        <v>469</v>
      </c>
      <c r="C366" s="211">
        <v>0</v>
      </c>
      <c r="D366" s="211">
        <v>0</v>
      </c>
      <c r="E366" s="211">
        <v>0</v>
      </c>
      <c r="F366" s="211">
        <v>0</v>
      </c>
      <c r="G366" s="211">
        <v>0</v>
      </c>
      <c r="H366" s="211">
        <v>0</v>
      </c>
      <c r="I366" s="211">
        <v>0</v>
      </c>
      <c r="J366" s="211">
        <v>1.823</v>
      </c>
      <c r="K366" s="211">
        <v>0</v>
      </c>
      <c r="L366" s="211">
        <v>0</v>
      </c>
      <c r="M366" s="211">
        <v>0</v>
      </c>
      <c r="N366" s="211">
        <v>0</v>
      </c>
      <c r="O366" s="211">
        <v>0</v>
      </c>
      <c r="P366" s="211">
        <v>3.4750000000000001</v>
      </c>
      <c r="Q366" s="211">
        <v>0</v>
      </c>
      <c r="R366" s="211">
        <v>0</v>
      </c>
      <c r="S366" s="211">
        <v>29.163</v>
      </c>
      <c r="T366" s="211">
        <v>0</v>
      </c>
      <c r="U366" s="211">
        <v>0</v>
      </c>
      <c r="V366" s="211">
        <v>0</v>
      </c>
      <c r="W366" s="211">
        <v>0.65600000000000003</v>
      </c>
      <c r="X366" s="211">
        <v>0</v>
      </c>
      <c r="Y366" s="211">
        <v>0</v>
      </c>
      <c r="Z366" s="211">
        <v>0</v>
      </c>
      <c r="AA366" s="211">
        <v>0</v>
      </c>
      <c r="AB366" s="211">
        <v>0</v>
      </c>
      <c r="AC366" s="211">
        <v>0</v>
      </c>
      <c r="AD366" s="211">
        <v>0</v>
      </c>
      <c r="AE366" s="211">
        <v>0</v>
      </c>
      <c r="AF366" s="211">
        <v>0</v>
      </c>
      <c r="AG366" s="211">
        <v>35.116999999999997</v>
      </c>
    </row>
    <row r="367" spans="1:33" x14ac:dyDescent="0.25">
      <c r="A367" s="121"/>
      <c r="B367" s="210" t="s">
        <v>470</v>
      </c>
      <c r="C367" s="211">
        <v>0</v>
      </c>
      <c r="D367" s="211">
        <v>0</v>
      </c>
      <c r="E367" s="211">
        <v>0</v>
      </c>
      <c r="F367" s="211">
        <v>0</v>
      </c>
      <c r="G367" s="211">
        <v>0</v>
      </c>
      <c r="H367" s="211">
        <v>0</v>
      </c>
      <c r="I367" s="211">
        <v>0</v>
      </c>
      <c r="J367" s="211">
        <v>0.57299999999999995</v>
      </c>
      <c r="K367" s="211">
        <v>0</v>
      </c>
      <c r="L367" s="211">
        <v>0</v>
      </c>
      <c r="M367" s="211">
        <v>0</v>
      </c>
      <c r="N367" s="211">
        <v>0</v>
      </c>
      <c r="O367" s="211">
        <v>0</v>
      </c>
      <c r="P367" s="211">
        <v>0</v>
      </c>
      <c r="Q367" s="211">
        <v>0</v>
      </c>
      <c r="R367" s="211">
        <v>0</v>
      </c>
      <c r="S367" s="211">
        <v>9.9540000000000006</v>
      </c>
      <c r="T367" s="211">
        <v>0</v>
      </c>
      <c r="U367" s="211">
        <v>0</v>
      </c>
      <c r="V367" s="211">
        <v>0</v>
      </c>
      <c r="W367" s="211">
        <v>0.22800000000000001</v>
      </c>
      <c r="X367" s="211">
        <v>0</v>
      </c>
      <c r="Y367" s="211">
        <v>0</v>
      </c>
      <c r="Z367" s="211">
        <v>0</v>
      </c>
      <c r="AA367" s="211">
        <v>0</v>
      </c>
      <c r="AB367" s="211">
        <v>0</v>
      </c>
      <c r="AC367" s="211">
        <v>0</v>
      </c>
      <c r="AD367" s="211">
        <v>0</v>
      </c>
      <c r="AE367" s="211">
        <v>0</v>
      </c>
      <c r="AF367" s="211">
        <v>0</v>
      </c>
      <c r="AG367" s="211">
        <v>10.755000000000001</v>
      </c>
    </row>
    <row r="368" spans="1:33" x14ac:dyDescent="0.25">
      <c r="A368" s="121"/>
      <c r="B368" s="210" t="s">
        <v>113</v>
      </c>
      <c r="C368" s="211">
        <v>0</v>
      </c>
      <c r="D368" s="211">
        <v>0</v>
      </c>
      <c r="E368" s="211">
        <v>0</v>
      </c>
      <c r="F368" s="211">
        <v>0</v>
      </c>
      <c r="G368" s="211">
        <v>0</v>
      </c>
      <c r="H368" s="211">
        <v>0</v>
      </c>
      <c r="I368" s="211">
        <v>0</v>
      </c>
      <c r="J368" s="211">
        <v>0.223</v>
      </c>
      <c r="K368" s="211">
        <v>0</v>
      </c>
      <c r="L368" s="211">
        <v>0</v>
      </c>
      <c r="M368" s="211">
        <v>0</v>
      </c>
      <c r="N368" s="211">
        <v>0</v>
      </c>
      <c r="O368" s="211">
        <v>0</v>
      </c>
      <c r="P368" s="211">
        <v>0</v>
      </c>
      <c r="Q368" s="211">
        <v>0</v>
      </c>
      <c r="R368" s="211">
        <v>0</v>
      </c>
      <c r="S368" s="211">
        <v>0</v>
      </c>
      <c r="T368" s="211">
        <v>0</v>
      </c>
      <c r="U368" s="211">
        <v>0</v>
      </c>
      <c r="V368" s="211">
        <v>0</v>
      </c>
      <c r="W368" s="211">
        <v>8.8999999999999996E-2</v>
      </c>
      <c r="X368" s="211">
        <v>0</v>
      </c>
      <c r="Y368" s="211">
        <v>5.7930000000000001</v>
      </c>
      <c r="Z368" s="211">
        <v>0</v>
      </c>
      <c r="AA368" s="211">
        <v>0</v>
      </c>
      <c r="AB368" s="211">
        <v>0</v>
      </c>
      <c r="AC368" s="211">
        <v>0</v>
      </c>
      <c r="AD368" s="211">
        <v>0</v>
      </c>
      <c r="AE368" s="211">
        <v>0</v>
      </c>
      <c r="AF368" s="211">
        <v>0</v>
      </c>
      <c r="AG368" s="211">
        <v>6.1050000000000004</v>
      </c>
    </row>
    <row r="369" spans="1:33" x14ac:dyDescent="0.25">
      <c r="A369" s="207" t="s">
        <v>474</v>
      </c>
      <c r="B369" s="208"/>
      <c r="C369" s="209"/>
      <c r="D369" s="209"/>
      <c r="E369" s="209"/>
      <c r="F369" s="209"/>
      <c r="G369" s="209"/>
      <c r="H369" s="209"/>
      <c r="I369" s="209"/>
      <c r="J369" s="209"/>
      <c r="K369" s="209"/>
      <c r="L369" s="209"/>
      <c r="M369" s="209"/>
      <c r="N369" s="209"/>
      <c r="O369" s="209"/>
      <c r="P369" s="209"/>
      <c r="Q369" s="209"/>
      <c r="R369" s="209"/>
      <c r="S369" s="209"/>
      <c r="T369" s="209"/>
      <c r="U369" s="209"/>
      <c r="V369" s="209"/>
      <c r="W369" s="209"/>
      <c r="X369" s="209"/>
      <c r="Y369" s="209"/>
      <c r="Z369" s="209"/>
      <c r="AA369" s="209"/>
      <c r="AB369" s="209"/>
      <c r="AC369" s="209"/>
      <c r="AD369" s="209"/>
      <c r="AE369" s="209"/>
      <c r="AF369" s="209"/>
      <c r="AG369" s="209"/>
    </row>
    <row r="370" spans="1:33" x14ac:dyDescent="0.25">
      <c r="A370" s="121"/>
      <c r="B370" s="210" t="s">
        <v>475</v>
      </c>
      <c r="C370" s="211">
        <v>0</v>
      </c>
      <c r="D370" s="211">
        <v>0</v>
      </c>
      <c r="E370" s="211">
        <v>0</v>
      </c>
      <c r="F370" s="211">
        <v>0</v>
      </c>
      <c r="G370" s="211">
        <v>0</v>
      </c>
      <c r="H370" s="211">
        <v>0</v>
      </c>
      <c r="I370" s="211">
        <v>0</v>
      </c>
      <c r="J370" s="211">
        <v>0</v>
      </c>
      <c r="K370" s="211">
        <v>0</v>
      </c>
      <c r="L370" s="211">
        <v>0</v>
      </c>
      <c r="M370" s="211">
        <v>0</v>
      </c>
      <c r="N370" s="211">
        <v>0</v>
      </c>
      <c r="O370" s="211">
        <v>0</v>
      </c>
      <c r="P370" s="211">
        <v>0</v>
      </c>
      <c r="Q370" s="211">
        <v>0</v>
      </c>
      <c r="R370" s="211">
        <v>0</v>
      </c>
      <c r="S370" s="211">
        <v>0</v>
      </c>
      <c r="T370" s="211">
        <v>0</v>
      </c>
      <c r="U370" s="211">
        <v>0</v>
      </c>
      <c r="V370" s="211">
        <v>0</v>
      </c>
      <c r="W370" s="211">
        <v>0.11193</v>
      </c>
      <c r="X370" s="211">
        <v>0</v>
      </c>
      <c r="Y370" s="211">
        <v>0</v>
      </c>
      <c r="Z370" s="211">
        <v>0</v>
      </c>
      <c r="AA370" s="211">
        <v>0</v>
      </c>
      <c r="AB370" s="211">
        <v>0</v>
      </c>
      <c r="AC370" s="211">
        <v>0</v>
      </c>
      <c r="AD370" s="211">
        <v>0</v>
      </c>
      <c r="AE370" s="211">
        <v>0</v>
      </c>
      <c r="AF370" s="211">
        <v>5.53294</v>
      </c>
      <c r="AG370" s="211">
        <v>5.6448700000000001</v>
      </c>
    </row>
    <row r="371" spans="1:33" x14ac:dyDescent="0.25">
      <c r="A371" s="121"/>
      <c r="B371" s="210" t="s">
        <v>476</v>
      </c>
      <c r="C371" s="211">
        <v>0</v>
      </c>
      <c r="D371" s="211">
        <v>0</v>
      </c>
      <c r="E371" s="211">
        <v>0</v>
      </c>
      <c r="F371" s="211">
        <v>0</v>
      </c>
      <c r="G371" s="211">
        <v>0</v>
      </c>
      <c r="H371" s="211">
        <v>0</v>
      </c>
      <c r="I371" s="211">
        <v>0</v>
      </c>
      <c r="J371" s="211">
        <v>0.44500000000000001</v>
      </c>
      <c r="K371" s="211">
        <v>0</v>
      </c>
      <c r="L371" s="211">
        <v>0</v>
      </c>
      <c r="M371" s="211">
        <v>57.481000000000002</v>
      </c>
      <c r="N371" s="211">
        <v>0</v>
      </c>
      <c r="O371" s="211">
        <v>0</v>
      </c>
      <c r="P371" s="211">
        <v>0</v>
      </c>
      <c r="Q371" s="211">
        <v>0</v>
      </c>
      <c r="R371" s="211">
        <v>0</v>
      </c>
      <c r="S371" s="211">
        <v>0</v>
      </c>
      <c r="T371" s="211">
        <v>0</v>
      </c>
      <c r="U371" s="211">
        <v>0</v>
      </c>
      <c r="V371" s="211">
        <v>0</v>
      </c>
      <c r="W371" s="211">
        <v>1.32843</v>
      </c>
      <c r="X371" s="211">
        <v>0</v>
      </c>
      <c r="Y371" s="211">
        <v>0.996</v>
      </c>
      <c r="Z371" s="211">
        <v>0</v>
      </c>
      <c r="AA371" s="211">
        <v>0</v>
      </c>
      <c r="AB371" s="211">
        <v>0</v>
      </c>
      <c r="AC371" s="211">
        <v>0</v>
      </c>
      <c r="AD371" s="211">
        <v>0</v>
      </c>
      <c r="AE371" s="211">
        <v>0</v>
      </c>
      <c r="AF371" s="211">
        <v>0</v>
      </c>
      <c r="AG371" s="211">
        <v>60.250430000000001</v>
      </c>
    </row>
    <row r="372" spans="1:33" x14ac:dyDescent="0.25">
      <c r="A372" s="207" t="s">
        <v>477</v>
      </c>
      <c r="B372" s="208"/>
      <c r="C372" s="209"/>
      <c r="D372" s="209"/>
      <c r="E372" s="209"/>
      <c r="F372" s="209"/>
      <c r="G372" s="209"/>
      <c r="H372" s="209"/>
      <c r="I372" s="209"/>
      <c r="J372" s="209"/>
      <c r="K372" s="209"/>
      <c r="L372" s="209"/>
      <c r="M372" s="209"/>
      <c r="N372" s="209"/>
      <c r="O372" s="209"/>
      <c r="P372" s="209"/>
      <c r="Q372" s="209"/>
      <c r="R372" s="209"/>
      <c r="S372" s="209"/>
      <c r="T372" s="209"/>
      <c r="U372" s="209"/>
      <c r="V372" s="209"/>
      <c r="W372" s="209"/>
      <c r="X372" s="209"/>
      <c r="Y372" s="209"/>
      <c r="Z372" s="209"/>
      <c r="AA372" s="209"/>
      <c r="AB372" s="209"/>
      <c r="AC372" s="209"/>
      <c r="AD372" s="209"/>
      <c r="AE372" s="209"/>
      <c r="AF372" s="209"/>
      <c r="AG372" s="209"/>
    </row>
    <row r="373" spans="1:33" x14ac:dyDescent="0.25">
      <c r="A373" s="121"/>
      <c r="B373" s="210" t="s">
        <v>478</v>
      </c>
      <c r="C373" s="211">
        <v>0</v>
      </c>
      <c r="D373" s="211">
        <v>0</v>
      </c>
      <c r="E373" s="211">
        <v>0</v>
      </c>
      <c r="F373" s="211">
        <v>0</v>
      </c>
      <c r="G373" s="211">
        <v>0</v>
      </c>
      <c r="H373" s="211">
        <v>0</v>
      </c>
      <c r="I373" s="211">
        <v>0</v>
      </c>
      <c r="J373" s="211">
        <v>0.3</v>
      </c>
      <c r="K373" s="211">
        <v>0</v>
      </c>
      <c r="L373" s="211">
        <v>0</v>
      </c>
      <c r="M373" s="211">
        <v>0</v>
      </c>
      <c r="N373" s="211">
        <v>0</v>
      </c>
      <c r="O373" s="211">
        <v>0</v>
      </c>
      <c r="P373" s="211">
        <v>0</v>
      </c>
      <c r="Q373" s="211">
        <v>0</v>
      </c>
      <c r="R373" s="211">
        <v>0</v>
      </c>
      <c r="S373" s="211">
        <v>6.1</v>
      </c>
      <c r="T373" s="211">
        <v>0</v>
      </c>
      <c r="U373" s="211">
        <v>0</v>
      </c>
      <c r="V373" s="211">
        <v>0</v>
      </c>
      <c r="W373" s="211">
        <v>0.126</v>
      </c>
      <c r="X373" s="211">
        <v>0</v>
      </c>
      <c r="Y373" s="211">
        <v>0</v>
      </c>
      <c r="Z373" s="211">
        <v>0</v>
      </c>
      <c r="AA373" s="211">
        <v>0</v>
      </c>
      <c r="AB373" s="211">
        <v>0</v>
      </c>
      <c r="AC373" s="211">
        <v>0</v>
      </c>
      <c r="AD373" s="211">
        <v>0</v>
      </c>
      <c r="AE373" s="211">
        <v>0</v>
      </c>
      <c r="AF373" s="211">
        <v>0</v>
      </c>
      <c r="AG373" s="211">
        <v>6.5259999999999998</v>
      </c>
    </row>
    <row r="374" spans="1:33" x14ac:dyDescent="0.25">
      <c r="A374" s="121"/>
      <c r="B374" s="210" t="s">
        <v>479</v>
      </c>
      <c r="C374" s="211">
        <v>0</v>
      </c>
      <c r="D374" s="211">
        <v>0</v>
      </c>
      <c r="E374" s="211">
        <v>0</v>
      </c>
      <c r="F374" s="211">
        <v>10.063000000000001</v>
      </c>
      <c r="G374" s="211">
        <v>0</v>
      </c>
      <c r="H374" s="211">
        <v>1</v>
      </c>
      <c r="I374" s="211">
        <v>0</v>
      </c>
      <c r="J374" s="211">
        <v>2.6439699999999999</v>
      </c>
      <c r="K374" s="211">
        <v>0</v>
      </c>
      <c r="L374" s="211">
        <v>0</v>
      </c>
      <c r="M374" s="211">
        <v>24.062999999999999</v>
      </c>
      <c r="N374" s="211">
        <v>0</v>
      </c>
      <c r="O374" s="211">
        <v>80.486400000000003</v>
      </c>
      <c r="P374" s="211">
        <v>20.6</v>
      </c>
      <c r="Q374" s="211">
        <v>0</v>
      </c>
      <c r="R374" s="211">
        <v>0</v>
      </c>
      <c r="S374" s="211">
        <v>30.880400000000002</v>
      </c>
      <c r="T374" s="211">
        <v>0</v>
      </c>
      <c r="U374" s="211">
        <v>0</v>
      </c>
      <c r="V374" s="211">
        <v>0</v>
      </c>
      <c r="W374" s="211">
        <v>3.8340000000000001</v>
      </c>
      <c r="X374" s="211">
        <v>0</v>
      </c>
      <c r="Y374" s="211">
        <v>0</v>
      </c>
      <c r="Z374" s="211">
        <v>0</v>
      </c>
      <c r="AA374" s="211">
        <v>0</v>
      </c>
      <c r="AB374" s="211">
        <v>0</v>
      </c>
      <c r="AC374" s="211">
        <v>0</v>
      </c>
      <c r="AD374" s="211">
        <v>0</v>
      </c>
      <c r="AE374" s="211">
        <v>0</v>
      </c>
      <c r="AF374" s="211">
        <v>2.4705900000000001</v>
      </c>
      <c r="AG374" s="211">
        <v>176.04136</v>
      </c>
    </row>
    <row r="375" spans="1:33" x14ac:dyDescent="0.25">
      <c r="A375" s="207" t="s">
        <v>480</v>
      </c>
      <c r="B375" s="208"/>
      <c r="C375" s="209"/>
      <c r="D375" s="209"/>
      <c r="E375" s="209"/>
      <c r="F375" s="209"/>
      <c r="G375" s="209"/>
      <c r="H375" s="209"/>
      <c r="I375" s="209"/>
      <c r="J375" s="209"/>
      <c r="K375" s="209"/>
      <c r="L375" s="209"/>
      <c r="M375" s="209"/>
      <c r="N375" s="209"/>
      <c r="O375" s="209"/>
      <c r="P375" s="209"/>
      <c r="Q375" s="209"/>
      <c r="R375" s="209"/>
      <c r="S375" s="209"/>
      <c r="T375" s="209"/>
      <c r="U375" s="209"/>
      <c r="V375" s="209"/>
      <c r="W375" s="209"/>
      <c r="X375" s="209"/>
      <c r="Y375" s="209"/>
      <c r="Z375" s="209"/>
      <c r="AA375" s="209"/>
      <c r="AB375" s="209"/>
      <c r="AC375" s="209"/>
      <c r="AD375" s="209"/>
      <c r="AE375" s="209"/>
      <c r="AF375" s="209"/>
      <c r="AG375" s="209"/>
    </row>
    <row r="376" spans="1:33" x14ac:dyDescent="0.25">
      <c r="A376" s="121"/>
      <c r="B376" s="210" t="s">
        <v>481</v>
      </c>
      <c r="C376" s="211">
        <v>0</v>
      </c>
      <c r="D376" s="211">
        <v>0</v>
      </c>
      <c r="E376" s="211">
        <v>0</v>
      </c>
      <c r="F376" s="211">
        <v>0</v>
      </c>
      <c r="G376" s="211">
        <v>0</v>
      </c>
      <c r="H376" s="211">
        <v>0</v>
      </c>
      <c r="I376" s="211">
        <v>0</v>
      </c>
      <c r="J376" s="211">
        <v>0</v>
      </c>
      <c r="K376" s="211">
        <v>0</v>
      </c>
      <c r="L376" s="211">
        <v>0</v>
      </c>
      <c r="M376" s="211">
        <v>0</v>
      </c>
      <c r="N376" s="211">
        <v>0</v>
      </c>
      <c r="O376" s="211">
        <v>0</v>
      </c>
      <c r="P376" s="211">
        <v>0</v>
      </c>
      <c r="Q376" s="211">
        <v>0</v>
      </c>
      <c r="R376" s="211">
        <v>0</v>
      </c>
      <c r="S376" s="211">
        <v>0</v>
      </c>
      <c r="T376" s="211">
        <v>0</v>
      </c>
      <c r="U376" s="211">
        <v>0</v>
      </c>
      <c r="V376" s="211">
        <v>0</v>
      </c>
      <c r="W376" s="211">
        <v>0</v>
      </c>
      <c r="X376" s="211">
        <v>0</v>
      </c>
      <c r="Y376" s="211">
        <v>0</v>
      </c>
      <c r="Z376" s="211">
        <v>0</v>
      </c>
      <c r="AA376" s="211">
        <v>0</v>
      </c>
      <c r="AB376" s="211">
        <v>0</v>
      </c>
      <c r="AC376" s="211">
        <v>0</v>
      </c>
      <c r="AD376" s="211">
        <v>0</v>
      </c>
      <c r="AE376" s="211">
        <v>0</v>
      </c>
      <c r="AF376" s="211">
        <v>0</v>
      </c>
      <c r="AG376" s="211">
        <v>0</v>
      </c>
    </row>
    <row r="377" spans="1:33" x14ac:dyDescent="0.25">
      <c r="A377" s="207" t="s">
        <v>115</v>
      </c>
      <c r="B377" s="208"/>
      <c r="C377" s="209"/>
      <c r="D377" s="209"/>
      <c r="E377" s="209"/>
      <c r="F377" s="209"/>
      <c r="G377" s="209"/>
      <c r="H377" s="209"/>
      <c r="I377" s="209"/>
      <c r="J377" s="209"/>
      <c r="K377" s="209"/>
      <c r="L377" s="209"/>
      <c r="M377" s="209"/>
      <c r="N377" s="209"/>
      <c r="O377" s="209"/>
      <c r="P377" s="209"/>
      <c r="Q377" s="209"/>
      <c r="R377" s="209"/>
      <c r="S377" s="209"/>
      <c r="T377" s="209"/>
      <c r="U377" s="209"/>
      <c r="V377" s="209"/>
      <c r="W377" s="209"/>
      <c r="X377" s="209"/>
      <c r="Y377" s="209"/>
      <c r="Z377" s="209"/>
      <c r="AA377" s="209"/>
      <c r="AB377" s="209"/>
      <c r="AC377" s="209"/>
      <c r="AD377" s="209"/>
      <c r="AE377" s="209"/>
      <c r="AF377" s="209"/>
      <c r="AG377" s="209"/>
    </row>
    <row r="378" spans="1:33" x14ac:dyDescent="0.25">
      <c r="A378" s="121"/>
      <c r="B378" s="210" t="s">
        <v>482</v>
      </c>
      <c r="C378" s="211">
        <v>0</v>
      </c>
      <c r="D378" s="211">
        <v>0</v>
      </c>
      <c r="E378" s="211">
        <v>0</v>
      </c>
      <c r="F378" s="211">
        <v>0</v>
      </c>
      <c r="G378" s="211">
        <v>2.58</v>
      </c>
      <c r="H378" s="211">
        <v>0</v>
      </c>
      <c r="I378" s="211">
        <v>0</v>
      </c>
      <c r="J378" s="211">
        <v>2.5499999999999998</v>
      </c>
      <c r="K378" s="211">
        <v>0</v>
      </c>
      <c r="L378" s="211">
        <v>5.54</v>
      </c>
      <c r="M378" s="211">
        <v>0</v>
      </c>
      <c r="N378" s="211">
        <v>0</v>
      </c>
      <c r="O378" s="211">
        <v>0</v>
      </c>
      <c r="P378" s="211">
        <v>0</v>
      </c>
      <c r="Q378" s="211">
        <v>0.13500000000000001</v>
      </c>
      <c r="R378" s="211">
        <v>0</v>
      </c>
      <c r="S378" s="211">
        <v>0</v>
      </c>
      <c r="T378" s="211">
        <v>0</v>
      </c>
      <c r="U378" s="211">
        <v>5.15</v>
      </c>
      <c r="V378" s="211">
        <v>0</v>
      </c>
      <c r="W378" s="211">
        <v>15.398</v>
      </c>
      <c r="X378" s="211">
        <v>0</v>
      </c>
      <c r="Y378" s="211">
        <v>0</v>
      </c>
      <c r="Z378" s="211">
        <v>192.54</v>
      </c>
      <c r="AA378" s="211">
        <v>147.62</v>
      </c>
      <c r="AB378" s="211">
        <v>282.79000000000002</v>
      </c>
      <c r="AC378" s="211">
        <v>0</v>
      </c>
      <c r="AD378" s="211">
        <v>0</v>
      </c>
      <c r="AE378" s="211">
        <v>0</v>
      </c>
      <c r="AF378" s="211">
        <v>0</v>
      </c>
      <c r="AG378" s="211">
        <v>654.30300000000011</v>
      </c>
    </row>
    <row r="379" spans="1:33" x14ac:dyDescent="0.25">
      <c r="A379" s="207" t="s">
        <v>483</v>
      </c>
      <c r="B379" s="208"/>
      <c r="C379" s="209"/>
      <c r="D379" s="209"/>
      <c r="E379" s="209"/>
      <c r="F379" s="209"/>
      <c r="G379" s="209"/>
      <c r="H379" s="209"/>
      <c r="I379" s="209"/>
      <c r="J379" s="209"/>
      <c r="K379" s="209"/>
      <c r="L379" s="209"/>
      <c r="M379" s="209"/>
      <c r="N379" s="209"/>
      <c r="O379" s="209"/>
      <c r="P379" s="209"/>
      <c r="Q379" s="209"/>
      <c r="R379" s="209"/>
      <c r="S379" s="209"/>
      <c r="T379" s="209"/>
      <c r="U379" s="209"/>
      <c r="V379" s="209"/>
      <c r="W379" s="209"/>
      <c r="X379" s="209"/>
      <c r="Y379" s="209"/>
      <c r="Z379" s="209"/>
      <c r="AA379" s="209"/>
      <c r="AB379" s="209"/>
      <c r="AC379" s="209"/>
      <c r="AD379" s="209"/>
      <c r="AE379" s="209"/>
      <c r="AF379" s="209"/>
      <c r="AG379" s="209"/>
    </row>
    <row r="380" spans="1:33" x14ac:dyDescent="0.25">
      <c r="A380" s="121"/>
      <c r="B380" s="210" t="s">
        <v>484</v>
      </c>
      <c r="C380" s="211">
        <v>0</v>
      </c>
      <c r="D380" s="211">
        <v>0</v>
      </c>
      <c r="E380" s="211">
        <v>0</v>
      </c>
      <c r="F380" s="211">
        <v>0</v>
      </c>
      <c r="G380" s="211">
        <v>0</v>
      </c>
      <c r="H380" s="211">
        <v>0</v>
      </c>
      <c r="I380" s="211">
        <v>0</v>
      </c>
      <c r="J380" s="211">
        <v>1E-3</v>
      </c>
      <c r="K380" s="211">
        <v>0</v>
      </c>
      <c r="L380" s="211">
        <v>0</v>
      </c>
      <c r="M380" s="211">
        <v>0</v>
      </c>
      <c r="N380" s="211">
        <v>0</v>
      </c>
      <c r="O380" s="211">
        <v>0</v>
      </c>
      <c r="P380" s="211">
        <v>0</v>
      </c>
      <c r="Q380" s="211">
        <v>4.5979999999999999</v>
      </c>
      <c r="R380" s="211">
        <v>0</v>
      </c>
      <c r="S380" s="211">
        <v>0</v>
      </c>
      <c r="T380" s="211">
        <v>0</v>
      </c>
      <c r="U380" s="211">
        <v>0</v>
      </c>
      <c r="V380" s="211">
        <v>0</v>
      </c>
      <c r="W380" s="211">
        <v>0.499</v>
      </c>
      <c r="X380" s="211">
        <v>0</v>
      </c>
      <c r="Y380" s="211">
        <v>15.46</v>
      </c>
      <c r="Z380" s="211">
        <v>0</v>
      </c>
      <c r="AA380" s="211">
        <v>0</v>
      </c>
      <c r="AB380" s="211">
        <v>0</v>
      </c>
      <c r="AC380" s="211">
        <v>0</v>
      </c>
      <c r="AD380" s="211">
        <v>0</v>
      </c>
      <c r="AE380" s="211">
        <v>0</v>
      </c>
      <c r="AF380" s="211">
        <v>0</v>
      </c>
      <c r="AG380" s="211">
        <v>20.558</v>
      </c>
    </row>
    <row r="381" spans="1:33" x14ac:dyDescent="0.25">
      <c r="A381" s="121"/>
      <c r="B381" s="210" t="s">
        <v>485</v>
      </c>
      <c r="C381" s="211">
        <v>0</v>
      </c>
      <c r="D381" s="211">
        <v>0</v>
      </c>
      <c r="E381" s="211">
        <v>0</v>
      </c>
      <c r="F381" s="211">
        <v>0</v>
      </c>
      <c r="G381" s="211">
        <v>0</v>
      </c>
      <c r="H381" s="211">
        <v>0</v>
      </c>
      <c r="I381" s="211">
        <v>0.88</v>
      </c>
      <c r="J381" s="211">
        <v>0.55300000000000005</v>
      </c>
      <c r="K381" s="211">
        <v>0</v>
      </c>
      <c r="L381" s="211">
        <v>0</v>
      </c>
      <c r="M381" s="211">
        <v>111.05500000000001</v>
      </c>
      <c r="N381" s="211">
        <v>0</v>
      </c>
      <c r="O381" s="211">
        <v>0</v>
      </c>
      <c r="P381" s="211">
        <v>28.37</v>
      </c>
      <c r="Q381" s="211">
        <v>0</v>
      </c>
      <c r="R381" s="211">
        <v>0</v>
      </c>
      <c r="S381" s="211">
        <v>13.176600000000001</v>
      </c>
      <c r="T381" s="211">
        <v>0</v>
      </c>
      <c r="U381" s="211">
        <v>0</v>
      </c>
      <c r="V381" s="211">
        <v>0</v>
      </c>
      <c r="W381" s="211">
        <v>4.5635599999999998</v>
      </c>
      <c r="X381" s="211">
        <v>0</v>
      </c>
      <c r="Y381" s="211">
        <v>0</v>
      </c>
      <c r="Z381" s="211">
        <v>0</v>
      </c>
      <c r="AA381" s="211">
        <v>0</v>
      </c>
      <c r="AB381" s="211">
        <v>0</v>
      </c>
      <c r="AC381" s="211">
        <v>0</v>
      </c>
      <c r="AD381" s="211">
        <v>0</v>
      </c>
      <c r="AE381" s="211">
        <v>0</v>
      </c>
      <c r="AF381" s="211">
        <v>0</v>
      </c>
      <c r="AG381" s="211">
        <v>158.59816000000001</v>
      </c>
    </row>
    <row r="382" spans="1:33" x14ac:dyDescent="0.25">
      <c r="A382" s="121"/>
      <c r="B382" s="210" t="s">
        <v>486</v>
      </c>
      <c r="C382" s="211">
        <v>0</v>
      </c>
      <c r="D382" s="211">
        <v>0</v>
      </c>
      <c r="E382" s="211">
        <v>0</v>
      </c>
      <c r="F382" s="211">
        <v>0</v>
      </c>
      <c r="G382" s="211">
        <v>0</v>
      </c>
      <c r="H382" s="211">
        <v>0</v>
      </c>
      <c r="I382" s="211">
        <v>1.4159999999999999</v>
      </c>
      <c r="J382" s="211">
        <v>1.3009999999999999</v>
      </c>
      <c r="K382" s="211">
        <v>0</v>
      </c>
      <c r="L382" s="211">
        <v>0</v>
      </c>
      <c r="M382" s="211">
        <v>0</v>
      </c>
      <c r="N382" s="211">
        <v>0</v>
      </c>
      <c r="O382" s="211">
        <v>0</v>
      </c>
      <c r="P382" s="211">
        <v>2.0960000000000001</v>
      </c>
      <c r="Q382" s="211">
        <v>0</v>
      </c>
      <c r="R382" s="211">
        <v>0</v>
      </c>
      <c r="S382" s="211">
        <v>19.702000000000002</v>
      </c>
      <c r="T382" s="211">
        <v>0</v>
      </c>
      <c r="U382" s="211">
        <v>0</v>
      </c>
      <c r="V382" s="211">
        <v>0</v>
      </c>
      <c r="W382" s="211">
        <v>0.51800000000000002</v>
      </c>
      <c r="X382" s="211">
        <v>0</v>
      </c>
      <c r="Y382" s="211">
        <v>0</v>
      </c>
      <c r="Z382" s="211">
        <v>0</v>
      </c>
      <c r="AA382" s="211">
        <v>0</v>
      </c>
      <c r="AB382" s="211">
        <v>0</v>
      </c>
      <c r="AC382" s="211">
        <v>0</v>
      </c>
      <c r="AD382" s="211">
        <v>0</v>
      </c>
      <c r="AE382" s="211">
        <v>0</v>
      </c>
      <c r="AF382" s="211">
        <v>0</v>
      </c>
      <c r="AG382" s="211">
        <v>25.033000000000001</v>
      </c>
    </row>
    <row r="383" spans="1:33" x14ac:dyDescent="0.25">
      <c r="A383" s="207" t="s">
        <v>487</v>
      </c>
      <c r="B383" s="208"/>
      <c r="C383" s="209"/>
      <c r="D383" s="209"/>
      <c r="E383" s="209"/>
      <c r="F383" s="209"/>
      <c r="G383" s="209"/>
      <c r="H383" s="209"/>
      <c r="I383" s="209"/>
      <c r="J383" s="209"/>
      <c r="K383" s="209"/>
      <c r="L383" s="209"/>
      <c r="M383" s="209"/>
      <c r="N383" s="209"/>
      <c r="O383" s="209"/>
      <c r="P383" s="209"/>
      <c r="Q383" s="209"/>
      <c r="R383" s="209"/>
      <c r="S383" s="209"/>
      <c r="T383" s="209"/>
      <c r="U383" s="209"/>
      <c r="V383" s="209"/>
      <c r="W383" s="209"/>
      <c r="X383" s="209"/>
      <c r="Y383" s="209"/>
      <c r="Z383" s="209"/>
      <c r="AA383" s="209"/>
      <c r="AB383" s="209"/>
      <c r="AC383" s="209"/>
      <c r="AD383" s="209"/>
      <c r="AE383" s="209"/>
      <c r="AF383" s="209"/>
      <c r="AG383" s="209"/>
    </row>
    <row r="384" spans="1:33" x14ac:dyDescent="0.25">
      <c r="A384" s="121"/>
      <c r="B384" s="210" t="s">
        <v>488</v>
      </c>
      <c r="C384" s="211">
        <v>0</v>
      </c>
      <c r="D384" s="211">
        <v>0</v>
      </c>
      <c r="E384" s="211">
        <v>0</v>
      </c>
      <c r="F384" s="211">
        <v>0</v>
      </c>
      <c r="G384" s="211">
        <v>0</v>
      </c>
      <c r="H384" s="211">
        <v>0</v>
      </c>
      <c r="I384" s="211">
        <v>0</v>
      </c>
      <c r="J384" s="211">
        <v>0</v>
      </c>
      <c r="K384" s="211">
        <v>0</v>
      </c>
      <c r="L384" s="211">
        <v>0</v>
      </c>
      <c r="M384" s="211">
        <v>0</v>
      </c>
      <c r="N384" s="211">
        <v>0</v>
      </c>
      <c r="O384" s="211">
        <v>0</v>
      </c>
      <c r="P384" s="211">
        <v>0</v>
      </c>
      <c r="Q384" s="211">
        <v>0</v>
      </c>
      <c r="R384" s="211">
        <v>0</v>
      </c>
      <c r="S384" s="211">
        <v>10.6</v>
      </c>
      <c r="T384" s="211">
        <v>0</v>
      </c>
      <c r="U384" s="211">
        <v>0</v>
      </c>
      <c r="V384" s="211">
        <v>0</v>
      </c>
      <c r="W384" s="211">
        <v>0.15</v>
      </c>
      <c r="X384" s="211">
        <v>0</v>
      </c>
      <c r="Y384" s="211">
        <v>0.1</v>
      </c>
      <c r="Z384" s="211">
        <v>0</v>
      </c>
      <c r="AA384" s="211">
        <v>0</v>
      </c>
      <c r="AB384" s="211">
        <v>0</v>
      </c>
      <c r="AC384" s="211">
        <v>0</v>
      </c>
      <c r="AD384" s="211">
        <v>0</v>
      </c>
      <c r="AE384" s="211">
        <v>0</v>
      </c>
      <c r="AF384" s="211">
        <v>0</v>
      </c>
      <c r="AG384" s="211">
        <v>10.85</v>
      </c>
    </row>
    <row r="385" spans="1:33" x14ac:dyDescent="0.25">
      <c r="A385" s="207" t="s">
        <v>489</v>
      </c>
      <c r="B385" s="208"/>
      <c r="C385" s="209"/>
      <c r="D385" s="209"/>
      <c r="E385" s="209"/>
      <c r="F385" s="209"/>
      <c r="G385" s="209"/>
      <c r="H385" s="209"/>
      <c r="I385" s="209"/>
      <c r="J385" s="209"/>
      <c r="K385" s="209"/>
      <c r="L385" s="209"/>
      <c r="M385" s="209"/>
      <c r="N385" s="209"/>
      <c r="O385" s="209"/>
      <c r="P385" s="209"/>
      <c r="Q385" s="209"/>
      <c r="R385" s="209"/>
      <c r="S385" s="209"/>
      <c r="T385" s="209"/>
      <c r="U385" s="209"/>
      <c r="V385" s="209"/>
      <c r="W385" s="209"/>
      <c r="X385" s="209"/>
      <c r="Y385" s="209"/>
      <c r="Z385" s="209"/>
      <c r="AA385" s="209"/>
      <c r="AB385" s="209"/>
      <c r="AC385" s="209"/>
      <c r="AD385" s="209"/>
      <c r="AE385" s="209"/>
      <c r="AF385" s="209"/>
      <c r="AG385" s="209"/>
    </row>
    <row r="386" spans="1:33" x14ac:dyDescent="0.25">
      <c r="A386" s="121"/>
      <c r="B386" s="210" t="s">
        <v>490</v>
      </c>
      <c r="C386" s="211">
        <v>0</v>
      </c>
      <c r="D386" s="211">
        <v>99.592699999999994</v>
      </c>
      <c r="E386" s="211">
        <v>0</v>
      </c>
      <c r="F386" s="211">
        <v>0</v>
      </c>
      <c r="G386" s="211">
        <v>0</v>
      </c>
      <c r="H386" s="211">
        <v>0</v>
      </c>
      <c r="I386" s="211">
        <v>0</v>
      </c>
      <c r="J386" s="211">
        <v>2.3240400000000001</v>
      </c>
      <c r="K386" s="211">
        <v>0</v>
      </c>
      <c r="L386" s="211">
        <v>0</v>
      </c>
      <c r="M386" s="211">
        <v>0</v>
      </c>
      <c r="N386" s="211">
        <v>0</v>
      </c>
      <c r="O386" s="211">
        <v>0</v>
      </c>
      <c r="P386" s="211">
        <v>0</v>
      </c>
      <c r="Q386" s="211">
        <v>0</v>
      </c>
      <c r="R386" s="211">
        <v>47.295299999999997</v>
      </c>
      <c r="S386" s="211">
        <v>0</v>
      </c>
      <c r="T386" s="211">
        <v>0</v>
      </c>
      <c r="U386" s="211">
        <v>0</v>
      </c>
      <c r="V386" s="211">
        <v>0</v>
      </c>
      <c r="W386" s="211">
        <v>6.4656099999999999</v>
      </c>
      <c r="X386" s="211">
        <v>0</v>
      </c>
      <c r="Y386" s="211">
        <v>0</v>
      </c>
      <c r="Z386" s="211">
        <v>0</v>
      </c>
      <c r="AA386" s="211">
        <v>0</v>
      </c>
      <c r="AB386" s="211">
        <v>0</v>
      </c>
      <c r="AC386" s="211">
        <v>0</v>
      </c>
      <c r="AD386" s="211">
        <v>0</v>
      </c>
      <c r="AE386" s="211">
        <v>0</v>
      </c>
      <c r="AF386" s="211">
        <v>0</v>
      </c>
      <c r="AG386" s="211">
        <v>155.67765</v>
      </c>
    </row>
    <row r="387" spans="1:33" x14ac:dyDescent="0.25">
      <c r="A387" s="207" t="s">
        <v>491</v>
      </c>
      <c r="B387" s="208"/>
      <c r="C387" s="209"/>
      <c r="D387" s="209"/>
      <c r="E387" s="209"/>
      <c r="F387" s="209"/>
      <c r="G387" s="209"/>
      <c r="H387" s="209"/>
      <c r="I387" s="209"/>
      <c r="J387" s="209"/>
      <c r="K387" s="209"/>
      <c r="L387" s="209"/>
      <c r="M387" s="209"/>
      <c r="N387" s="209"/>
      <c r="O387" s="209"/>
      <c r="P387" s="209"/>
      <c r="Q387" s="209"/>
      <c r="R387" s="209"/>
      <c r="S387" s="209"/>
      <c r="T387" s="209"/>
      <c r="U387" s="209"/>
      <c r="V387" s="209"/>
      <c r="W387" s="209"/>
      <c r="X387" s="209"/>
      <c r="Y387" s="209"/>
      <c r="Z387" s="209"/>
      <c r="AA387" s="209"/>
      <c r="AB387" s="209"/>
      <c r="AC387" s="209"/>
      <c r="AD387" s="209"/>
      <c r="AE387" s="209"/>
      <c r="AF387" s="209"/>
      <c r="AG387" s="209"/>
    </row>
    <row r="388" spans="1:33" x14ac:dyDescent="0.25">
      <c r="A388" s="121"/>
      <c r="B388" s="210" t="s">
        <v>492</v>
      </c>
      <c r="C388" s="211">
        <v>0</v>
      </c>
      <c r="D388" s="211">
        <v>0</v>
      </c>
      <c r="E388" s="211">
        <v>0</v>
      </c>
      <c r="F388" s="211">
        <v>0</v>
      </c>
      <c r="G388" s="211">
        <v>0</v>
      </c>
      <c r="H388" s="211">
        <v>0</v>
      </c>
      <c r="I388" s="211">
        <v>0</v>
      </c>
      <c r="J388" s="211">
        <v>6.8000000000000005E-2</v>
      </c>
      <c r="K388" s="211">
        <v>0</v>
      </c>
      <c r="L388" s="211">
        <v>0</v>
      </c>
      <c r="M388" s="211">
        <v>0</v>
      </c>
      <c r="N388" s="211">
        <v>0</v>
      </c>
      <c r="O388" s="211">
        <v>0</v>
      </c>
      <c r="P388" s="211">
        <v>0</v>
      </c>
      <c r="Q388" s="211">
        <v>0</v>
      </c>
      <c r="R388" s="211">
        <v>0</v>
      </c>
      <c r="S388" s="211">
        <v>0</v>
      </c>
      <c r="T388" s="211">
        <v>0</v>
      </c>
      <c r="U388" s="211">
        <v>0</v>
      </c>
      <c r="V388" s="211">
        <v>0</v>
      </c>
      <c r="W388" s="211">
        <v>3.5000000000000003E-2</v>
      </c>
      <c r="X388" s="211">
        <v>0</v>
      </c>
      <c r="Y388" s="211">
        <v>2.0419999999999998</v>
      </c>
      <c r="Z388" s="211">
        <v>0</v>
      </c>
      <c r="AA388" s="211">
        <v>0</v>
      </c>
      <c r="AB388" s="211">
        <v>0</v>
      </c>
      <c r="AC388" s="211">
        <v>0</v>
      </c>
      <c r="AD388" s="211">
        <v>0</v>
      </c>
      <c r="AE388" s="211">
        <v>0</v>
      </c>
      <c r="AF388" s="211">
        <v>0</v>
      </c>
      <c r="AG388" s="211">
        <v>2.145</v>
      </c>
    </row>
    <row r="389" spans="1:33" x14ac:dyDescent="0.25">
      <c r="A389" s="121"/>
      <c r="B389" s="210" t="s">
        <v>493</v>
      </c>
      <c r="C389" s="211">
        <v>0</v>
      </c>
      <c r="D389" s="211">
        <v>0</v>
      </c>
      <c r="E389" s="211">
        <v>0</v>
      </c>
      <c r="F389" s="211">
        <v>0</v>
      </c>
      <c r="G389" s="211">
        <v>0.75</v>
      </c>
      <c r="H389" s="211">
        <v>0</v>
      </c>
      <c r="I389" s="211">
        <v>0</v>
      </c>
      <c r="J389" s="211">
        <v>0.42799999999999999</v>
      </c>
      <c r="K389" s="211">
        <v>0</v>
      </c>
      <c r="L389" s="211">
        <v>0</v>
      </c>
      <c r="M389" s="211">
        <v>0</v>
      </c>
      <c r="N389" s="211">
        <v>0</v>
      </c>
      <c r="O389" s="211">
        <v>0</v>
      </c>
      <c r="P389" s="211">
        <v>1.22</v>
      </c>
      <c r="Q389" s="211">
        <v>0</v>
      </c>
      <c r="R389" s="211">
        <v>0</v>
      </c>
      <c r="S389" s="211">
        <v>10.91</v>
      </c>
      <c r="T389" s="211">
        <v>0</v>
      </c>
      <c r="U389" s="211">
        <v>0</v>
      </c>
      <c r="V389" s="211">
        <v>0</v>
      </c>
      <c r="W389" s="211">
        <v>0.29499999999999998</v>
      </c>
      <c r="X389" s="211">
        <v>0</v>
      </c>
      <c r="Y389" s="211">
        <v>0</v>
      </c>
      <c r="Z389" s="211">
        <v>0</v>
      </c>
      <c r="AA389" s="211">
        <v>0</v>
      </c>
      <c r="AB389" s="211">
        <v>0</v>
      </c>
      <c r="AC389" s="211">
        <v>0</v>
      </c>
      <c r="AD389" s="211">
        <v>0</v>
      </c>
      <c r="AE389" s="211">
        <v>0</v>
      </c>
      <c r="AF389" s="211">
        <v>0</v>
      </c>
      <c r="AG389" s="211">
        <v>13.603</v>
      </c>
    </row>
    <row r="390" spans="1:33" x14ac:dyDescent="0.25">
      <c r="A390" s="121"/>
      <c r="B390" s="210" t="s">
        <v>494</v>
      </c>
      <c r="C390" s="211">
        <v>0</v>
      </c>
      <c r="D390" s="211">
        <v>0</v>
      </c>
      <c r="E390" s="211">
        <v>0</v>
      </c>
      <c r="F390" s="211">
        <v>0</v>
      </c>
      <c r="G390" s="211">
        <v>0</v>
      </c>
      <c r="H390" s="211">
        <v>0</v>
      </c>
      <c r="I390" s="211">
        <v>0</v>
      </c>
      <c r="J390" s="211">
        <v>3.2450000000000001</v>
      </c>
      <c r="K390" s="211">
        <v>3.5649999999999999</v>
      </c>
      <c r="L390" s="211">
        <v>0</v>
      </c>
      <c r="M390" s="211">
        <v>129.58099999999999</v>
      </c>
      <c r="N390" s="211">
        <v>0</v>
      </c>
      <c r="O390" s="211">
        <v>0</v>
      </c>
      <c r="P390" s="211">
        <v>30.09</v>
      </c>
      <c r="Q390" s="211">
        <v>0</v>
      </c>
      <c r="R390" s="211">
        <v>0</v>
      </c>
      <c r="S390" s="211">
        <v>0</v>
      </c>
      <c r="T390" s="211">
        <v>0</v>
      </c>
      <c r="U390" s="211">
        <v>0</v>
      </c>
      <c r="V390" s="211">
        <v>0</v>
      </c>
      <c r="W390" s="211">
        <v>2.8884400000000001</v>
      </c>
      <c r="X390" s="211">
        <v>0</v>
      </c>
      <c r="Y390" s="211">
        <v>0</v>
      </c>
      <c r="Z390" s="211">
        <v>0</v>
      </c>
      <c r="AA390" s="211">
        <v>0</v>
      </c>
      <c r="AB390" s="211">
        <v>0</v>
      </c>
      <c r="AC390" s="211">
        <v>0</v>
      </c>
      <c r="AD390" s="211">
        <v>0</v>
      </c>
      <c r="AE390" s="211">
        <v>0</v>
      </c>
      <c r="AF390" s="211">
        <v>0</v>
      </c>
      <c r="AG390" s="211">
        <v>169.36944</v>
      </c>
    </row>
    <row r="391" spans="1:33" x14ac:dyDescent="0.25">
      <c r="A391" s="207" t="s">
        <v>495</v>
      </c>
      <c r="B391" s="208"/>
      <c r="C391" s="209"/>
      <c r="D391" s="209"/>
      <c r="E391" s="209"/>
      <c r="F391" s="209"/>
      <c r="G391" s="209"/>
      <c r="H391" s="209"/>
      <c r="I391" s="209"/>
      <c r="J391" s="209"/>
      <c r="K391" s="209"/>
      <c r="L391" s="209"/>
      <c r="M391" s="209"/>
      <c r="N391" s="209"/>
      <c r="O391" s="209"/>
      <c r="P391" s="209"/>
      <c r="Q391" s="209"/>
      <c r="R391" s="209"/>
      <c r="S391" s="209"/>
      <c r="T391" s="209"/>
      <c r="U391" s="209"/>
      <c r="V391" s="209"/>
      <c r="W391" s="209"/>
      <c r="X391" s="209"/>
      <c r="Y391" s="209"/>
      <c r="Z391" s="209"/>
      <c r="AA391" s="209"/>
      <c r="AB391" s="209"/>
      <c r="AC391" s="209"/>
      <c r="AD391" s="209"/>
      <c r="AE391" s="209"/>
      <c r="AF391" s="209"/>
      <c r="AG391" s="209"/>
    </row>
    <row r="392" spans="1:33" x14ac:dyDescent="0.25">
      <c r="A392" s="121"/>
      <c r="B392" s="210" t="s">
        <v>496</v>
      </c>
      <c r="C392" s="211">
        <v>0</v>
      </c>
      <c r="D392" s="211">
        <v>0</v>
      </c>
      <c r="E392" s="211">
        <v>0</v>
      </c>
      <c r="F392" s="211">
        <v>1.34</v>
      </c>
      <c r="G392" s="211">
        <v>1.7</v>
      </c>
      <c r="H392" s="211">
        <v>0</v>
      </c>
      <c r="I392" s="211">
        <v>0.78</v>
      </c>
      <c r="J392" s="211">
        <v>0</v>
      </c>
      <c r="K392" s="211">
        <v>0</v>
      </c>
      <c r="L392" s="211">
        <v>0</v>
      </c>
      <c r="M392" s="211">
        <v>35.619999999999997</v>
      </c>
      <c r="N392" s="211">
        <v>0</v>
      </c>
      <c r="O392" s="211">
        <v>0</v>
      </c>
      <c r="P392" s="211">
        <v>0</v>
      </c>
      <c r="Q392" s="211">
        <v>0</v>
      </c>
      <c r="R392" s="211">
        <v>0</v>
      </c>
      <c r="S392" s="211">
        <v>0</v>
      </c>
      <c r="T392" s="211">
        <v>0</v>
      </c>
      <c r="U392" s="211">
        <v>0</v>
      </c>
      <c r="V392" s="211">
        <v>0</v>
      </c>
      <c r="W392" s="211">
        <v>1.1870000000000001</v>
      </c>
      <c r="X392" s="211">
        <v>0</v>
      </c>
      <c r="Y392" s="211">
        <v>7.37</v>
      </c>
      <c r="Z392" s="211">
        <v>0</v>
      </c>
      <c r="AA392" s="211">
        <v>0</v>
      </c>
      <c r="AB392" s="211">
        <v>0</v>
      </c>
      <c r="AC392" s="211">
        <v>0</v>
      </c>
      <c r="AD392" s="211">
        <v>0</v>
      </c>
      <c r="AE392" s="211">
        <v>0</v>
      </c>
      <c r="AF392" s="211">
        <v>0</v>
      </c>
      <c r="AG392" s="211">
        <v>47.996999999999993</v>
      </c>
    </row>
    <row r="393" spans="1:33" x14ac:dyDescent="0.25">
      <c r="A393" s="207" t="s">
        <v>498</v>
      </c>
      <c r="B393" s="208"/>
      <c r="C393" s="209"/>
      <c r="D393" s="209"/>
      <c r="E393" s="209"/>
      <c r="F393" s="209"/>
      <c r="G393" s="209"/>
      <c r="H393" s="209"/>
      <c r="I393" s="209"/>
      <c r="J393" s="209"/>
      <c r="K393" s="209"/>
      <c r="L393" s="209"/>
      <c r="M393" s="209"/>
      <c r="N393" s="209"/>
      <c r="O393" s="209"/>
      <c r="P393" s="209"/>
      <c r="Q393" s="209"/>
      <c r="R393" s="209"/>
      <c r="S393" s="209"/>
      <c r="T393" s="209"/>
      <c r="U393" s="209"/>
      <c r="V393" s="209"/>
      <c r="W393" s="209"/>
      <c r="X393" s="209"/>
      <c r="Y393" s="209"/>
      <c r="Z393" s="209"/>
      <c r="AA393" s="209"/>
      <c r="AB393" s="209"/>
      <c r="AC393" s="209"/>
      <c r="AD393" s="209"/>
      <c r="AE393" s="209"/>
      <c r="AF393" s="209"/>
      <c r="AG393" s="209"/>
    </row>
    <row r="394" spans="1:33" x14ac:dyDescent="0.25">
      <c r="A394" s="121"/>
      <c r="B394" s="210" t="s">
        <v>499</v>
      </c>
      <c r="C394" s="211">
        <v>0</v>
      </c>
      <c r="D394" s="211">
        <v>0</v>
      </c>
      <c r="E394" s="211">
        <v>0</v>
      </c>
      <c r="F394" s="211">
        <v>0</v>
      </c>
      <c r="G394" s="211">
        <v>0</v>
      </c>
      <c r="H394" s="211">
        <v>0</v>
      </c>
      <c r="I394" s="211">
        <v>0</v>
      </c>
      <c r="J394" s="211">
        <v>0</v>
      </c>
      <c r="K394" s="211">
        <v>0</v>
      </c>
      <c r="L394" s="211">
        <v>0</v>
      </c>
      <c r="M394" s="211">
        <v>0</v>
      </c>
      <c r="N394" s="211">
        <v>0</v>
      </c>
      <c r="O394" s="211">
        <v>0</v>
      </c>
      <c r="P394" s="211">
        <v>0</v>
      </c>
      <c r="Q394" s="211">
        <v>0</v>
      </c>
      <c r="R394" s="211">
        <v>0</v>
      </c>
      <c r="S394" s="211">
        <v>0</v>
      </c>
      <c r="T394" s="211">
        <v>0</v>
      </c>
      <c r="U394" s="211">
        <v>0</v>
      </c>
      <c r="V394" s="211">
        <v>0</v>
      </c>
      <c r="W394" s="211">
        <v>0</v>
      </c>
      <c r="X394" s="211">
        <v>0</v>
      </c>
      <c r="Y394" s="211">
        <v>0</v>
      </c>
      <c r="Z394" s="211">
        <v>0</v>
      </c>
      <c r="AA394" s="211">
        <v>0</v>
      </c>
      <c r="AB394" s="211">
        <v>0</v>
      </c>
      <c r="AC394" s="211">
        <v>0</v>
      </c>
      <c r="AD394" s="211">
        <v>0</v>
      </c>
      <c r="AE394" s="211">
        <v>0</v>
      </c>
      <c r="AF394" s="211">
        <v>0</v>
      </c>
      <c r="AG394" s="211">
        <v>0</v>
      </c>
    </row>
    <row r="395" spans="1:33" x14ac:dyDescent="0.25">
      <c r="A395" s="121"/>
      <c r="B395" s="210" t="s">
        <v>500</v>
      </c>
      <c r="C395" s="211">
        <v>0</v>
      </c>
      <c r="D395" s="211">
        <v>0</v>
      </c>
      <c r="E395" s="211">
        <v>0</v>
      </c>
      <c r="F395" s="211">
        <v>0</v>
      </c>
      <c r="G395" s="211">
        <v>0</v>
      </c>
      <c r="H395" s="211">
        <v>0</v>
      </c>
      <c r="I395" s="211">
        <v>0</v>
      </c>
      <c r="J395" s="211">
        <v>0</v>
      </c>
      <c r="K395" s="211">
        <v>0</v>
      </c>
      <c r="L395" s="211">
        <v>0</v>
      </c>
      <c r="M395" s="211">
        <v>0</v>
      </c>
      <c r="N395" s="211">
        <v>0</v>
      </c>
      <c r="O395" s="211">
        <v>0</v>
      </c>
      <c r="P395" s="211">
        <v>0</v>
      </c>
      <c r="Q395" s="211">
        <v>0</v>
      </c>
      <c r="R395" s="211">
        <v>0</v>
      </c>
      <c r="S395" s="211">
        <v>0</v>
      </c>
      <c r="T395" s="211">
        <v>0</v>
      </c>
      <c r="U395" s="211">
        <v>0</v>
      </c>
      <c r="V395" s="211">
        <v>0</v>
      </c>
      <c r="W395" s="211">
        <v>0</v>
      </c>
      <c r="X395" s="211">
        <v>0</v>
      </c>
      <c r="Y395" s="211">
        <v>0</v>
      </c>
      <c r="Z395" s="211">
        <v>0</v>
      </c>
      <c r="AA395" s="211">
        <v>0</v>
      </c>
      <c r="AB395" s="211">
        <v>0</v>
      </c>
      <c r="AC395" s="211">
        <v>0</v>
      </c>
      <c r="AD395" s="211">
        <v>0</v>
      </c>
      <c r="AE395" s="211">
        <v>0</v>
      </c>
      <c r="AF395" s="211">
        <v>0</v>
      </c>
      <c r="AG395" s="211">
        <v>0</v>
      </c>
    </row>
    <row r="396" spans="1:33" x14ac:dyDescent="0.25">
      <c r="A396" s="207" t="s">
        <v>501</v>
      </c>
      <c r="B396" s="208"/>
      <c r="C396" s="209"/>
      <c r="D396" s="209"/>
      <c r="E396" s="209"/>
      <c r="F396" s="209"/>
      <c r="G396" s="209"/>
      <c r="H396" s="209"/>
      <c r="I396" s="209"/>
      <c r="J396" s="209"/>
      <c r="K396" s="209"/>
      <c r="L396" s="209"/>
      <c r="M396" s="209"/>
      <c r="N396" s="209"/>
      <c r="O396" s="209"/>
      <c r="P396" s="209"/>
      <c r="Q396" s="209"/>
      <c r="R396" s="209"/>
      <c r="S396" s="209"/>
      <c r="T396" s="209"/>
      <c r="U396" s="209"/>
      <c r="V396" s="209"/>
      <c r="W396" s="209"/>
      <c r="X396" s="209"/>
      <c r="Y396" s="209"/>
      <c r="Z396" s="209"/>
      <c r="AA396" s="209"/>
      <c r="AB396" s="209"/>
      <c r="AC396" s="209"/>
      <c r="AD396" s="209"/>
      <c r="AE396" s="209"/>
      <c r="AF396" s="209"/>
      <c r="AG396" s="209"/>
    </row>
    <row r="397" spans="1:33" x14ac:dyDescent="0.25">
      <c r="A397" s="121"/>
      <c r="B397" s="210" t="s">
        <v>502</v>
      </c>
      <c r="C397" s="211">
        <v>0</v>
      </c>
      <c r="D397" s="211">
        <v>0</v>
      </c>
      <c r="E397" s="211">
        <v>0</v>
      </c>
      <c r="F397" s="211">
        <v>54.978499999999997</v>
      </c>
      <c r="G397" s="211">
        <v>5.6</v>
      </c>
      <c r="H397" s="211">
        <v>0</v>
      </c>
      <c r="I397" s="211">
        <v>0</v>
      </c>
      <c r="J397" s="211">
        <v>0.3</v>
      </c>
      <c r="K397" s="211">
        <v>0</v>
      </c>
      <c r="L397" s="211">
        <v>0</v>
      </c>
      <c r="M397" s="211">
        <v>32.752600000000001</v>
      </c>
      <c r="N397" s="211">
        <v>0</v>
      </c>
      <c r="O397" s="211">
        <v>0</v>
      </c>
      <c r="P397" s="211">
        <v>28.9</v>
      </c>
      <c r="Q397" s="211">
        <v>0.4</v>
      </c>
      <c r="R397" s="211">
        <v>12.021599999999999</v>
      </c>
      <c r="S397" s="211">
        <v>32.514000000000003</v>
      </c>
      <c r="T397" s="211">
        <v>0</v>
      </c>
      <c r="U397" s="211">
        <v>0</v>
      </c>
      <c r="V397" s="211">
        <v>0</v>
      </c>
      <c r="W397" s="211">
        <v>3.6985700000000001</v>
      </c>
      <c r="X397" s="211">
        <v>0</v>
      </c>
      <c r="Y397" s="211">
        <v>10.3</v>
      </c>
      <c r="Z397" s="211">
        <v>0</v>
      </c>
      <c r="AA397" s="211">
        <v>0.6</v>
      </c>
      <c r="AB397" s="211">
        <v>0.6</v>
      </c>
      <c r="AC397" s="211">
        <v>0</v>
      </c>
      <c r="AD397" s="211">
        <v>0</v>
      </c>
      <c r="AE397" s="211">
        <v>0</v>
      </c>
      <c r="AF397" s="211">
        <v>0</v>
      </c>
      <c r="AG397" s="211">
        <v>182.66527000000002</v>
      </c>
    </row>
    <row r="398" spans="1:33" x14ac:dyDescent="0.25">
      <c r="A398" s="207" t="s">
        <v>503</v>
      </c>
      <c r="B398" s="208"/>
      <c r="C398" s="209"/>
      <c r="D398" s="209"/>
      <c r="E398" s="209"/>
      <c r="F398" s="209"/>
      <c r="G398" s="209"/>
      <c r="H398" s="209"/>
      <c r="I398" s="209"/>
      <c r="J398" s="209"/>
      <c r="K398" s="209"/>
      <c r="L398" s="209"/>
      <c r="M398" s="209"/>
      <c r="N398" s="209"/>
      <c r="O398" s="209"/>
      <c r="P398" s="209"/>
      <c r="Q398" s="209"/>
      <c r="R398" s="209"/>
      <c r="S398" s="209"/>
      <c r="T398" s="209"/>
      <c r="U398" s="209"/>
      <c r="V398" s="209"/>
      <c r="W398" s="209"/>
      <c r="X398" s="209"/>
      <c r="Y398" s="209"/>
      <c r="Z398" s="209"/>
      <c r="AA398" s="209"/>
      <c r="AB398" s="209"/>
      <c r="AC398" s="209"/>
      <c r="AD398" s="209"/>
      <c r="AE398" s="209"/>
      <c r="AF398" s="209"/>
      <c r="AG398" s="209"/>
    </row>
    <row r="399" spans="1:33" x14ac:dyDescent="0.25">
      <c r="A399" s="121"/>
      <c r="B399" s="210" t="s">
        <v>504</v>
      </c>
      <c r="C399" s="211">
        <v>0</v>
      </c>
      <c r="D399" s="211">
        <v>0</v>
      </c>
      <c r="E399" s="211">
        <v>0</v>
      </c>
      <c r="F399" s="211">
        <v>0</v>
      </c>
      <c r="G399" s="211">
        <v>0</v>
      </c>
      <c r="H399" s="211">
        <v>0</v>
      </c>
      <c r="I399" s="211">
        <v>0</v>
      </c>
      <c r="J399" s="211">
        <v>0.70299999999999996</v>
      </c>
      <c r="K399" s="211">
        <v>0</v>
      </c>
      <c r="L399" s="211">
        <v>0</v>
      </c>
      <c r="M399" s="211">
        <v>0</v>
      </c>
      <c r="N399" s="211">
        <v>0</v>
      </c>
      <c r="O399" s="211">
        <v>0</v>
      </c>
      <c r="P399" s="211">
        <v>0</v>
      </c>
      <c r="Q399" s="211">
        <v>98.9</v>
      </c>
      <c r="R399" s="211">
        <v>0</v>
      </c>
      <c r="S399" s="211">
        <v>0</v>
      </c>
      <c r="T399" s="211">
        <v>0</v>
      </c>
      <c r="U399" s="211">
        <v>0</v>
      </c>
      <c r="V399" s="211">
        <v>0</v>
      </c>
      <c r="W399" s="211">
        <v>2.4870000000000001</v>
      </c>
      <c r="X399" s="211">
        <v>0</v>
      </c>
      <c r="Y399" s="211">
        <v>0</v>
      </c>
      <c r="Z399" s="211">
        <v>0</v>
      </c>
      <c r="AA399" s="211">
        <v>0</v>
      </c>
      <c r="AB399" s="211">
        <v>0</v>
      </c>
      <c r="AC399" s="211">
        <v>0</v>
      </c>
      <c r="AD399" s="211">
        <v>0</v>
      </c>
      <c r="AE399" s="211">
        <v>0</v>
      </c>
      <c r="AF399" s="211">
        <v>0</v>
      </c>
      <c r="AG399" s="211">
        <v>102.09</v>
      </c>
    </row>
    <row r="400" spans="1:33" x14ac:dyDescent="0.25">
      <c r="A400" s="207" t="s">
        <v>505</v>
      </c>
      <c r="B400" s="208"/>
      <c r="C400" s="209"/>
      <c r="D400" s="209"/>
      <c r="E400" s="209"/>
      <c r="F400" s="209"/>
      <c r="G400" s="209"/>
      <c r="H400" s="209"/>
      <c r="I400" s="209"/>
      <c r="J400" s="209"/>
      <c r="K400" s="209"/>
      <c r="L400" s="209"/>
      <c r="M400" s="209"/>
      <c r="N400" s="209"/>
      <c r="O400" s="209"/>
      <c r="P400" s="209"/>
      <c r="Q400" s="209"/>
      <c r="R400" s="209"/>
      <c r="S400" s="209"/>
      <c r="T400" s="209"/>
      <c r="U400" s="209"/>
      <c r="V400" s="209"/>
      <c r="W400" s="209"/>
      <c r="X400" s="209"/>
      <c r="Y400" s="209"/>
      <c r="Z400" s="209"/>
      <c r="AA400" s="209"/>
      <c r="AB400" s="209"/>
      <c r="AC400" s="209"/>
      <c r="AD400" s="209"/>
      <c r="AE400" s="209"/>
      <c r="AF400" s="209"/>
      <c r="AG400" s="209"/>
    </row>
    <row r="401" spans="1:33" x14ac:dyDescent="0.25">
      <c r="A401" s="121"/>
      <c r="B401" s="210" t="s">
        <v>119</v>
      </c>
      <c r="C401" s="211">
        <v>0</v>
      </c>
      <c r="D401" s="211">
        <v>0</v>
      </c>
      <c r="E401" s="211">
        <v>0</v>
      </c>
      <c r="F401" s="211">
        <v>0</v>
      </c>
      <c r="G401" s="211">
        <v>0</v>
      </c>
      <c r="H401" s="211">
        <v>0</v>
      </c>
      <c r="I401" s="211">
        <v>0</v>
      </c>
      <c r="J401" s="211">
        <v>0</v>
      </c>
      <c r="K401" s="211">
        <v>0</v>
      </c>
      <c r="L401" s="211">
        <v>0</v>
      </c>
      <c r="M401" s="211">
        <v>0</v>
      </c>
      <c r="N401" s="211">
        <v>0</v>
      </c>
      <c r="O401" s="211">
        <v>0</v>
      </c>
      <c r="P401" s="211">
        <v>0</v>
      </c>
      <c r="Q401" s="211">
        <v>0</v>
      </c>
      <c r="R401" s="211">
        <v>0</v>
      </c>
      <c r="S401" s="211">
        <v>0</v>
      </c>
      <c r="T401" s="211">
        <v>0</v>
      </c>
      <c r="U401" s="211">
        <v>0</v>
      </c>
      <c r="V401" s="211">
        <v>0</v>
      </c>
      <c r="W401" s="211">
        <v>0</v>
      </c>
      <c r="X401" s="211">
        <v>0</v>
      </c>
      <c r="Y401" s="211">
        <v>0</v>
      </c>
      <c r="Z401" s="211">
        <v>0</v>
      </c>
      <c r="AA401" s="211">
        <v>0</v>
      </c>
      <c r="AB401" s="211">
        <v>0</v>
      </c>
      <c r="AC401" s="211">
        <v>0</v>
      </c>
      <c r="AD401" s="211">
        <v>0</v>
      </c>
      <c r="AE401" s="211">
        <v>0</v>
      </c>
      <c r="AF401" s="211">
        <v>0</v>
      </c>
      <c r="AG401" s="211">
        <v>0</v>
      </c>
    </row>
    <row r="402" spans="1:33" x14ac:dyDescent="0.25">
      <c r="A402" s="207" t="s">
        <v>118</v>
      </c>
      <c r="B402" s="208"/>
      <c r="C402" s="209"/>
      <c r="D402" s="209"/>
      <c r="E402" s="209"/>
      <c r="F402" s="209"/>
      <c r="G402" s="209"/>
      <c r="H402" s="209"/>
      <c r="I402" s="209"/>
      <c r="J402" s="209"/>
      <c r="K402" s="209"/>
      <c r="L402" s="209"/>
      <c r="M402" s="209"/>
      <c r="N402" s="209"/>
      <c r="O402" s="209"/>
      <c r="P402" s="209"/>
      <c r="Q402" s="209"/>
      <c r="R402" s="209"/>
      <c r="S402" s="209"/>
      <c r="T402" s="209"/>
      <c r="U402" s="209"/>
      <c r="V402" s="209"/>
      <c r="W402" s="209"/>
      <c r="X402" s="209"/>
      <c r="Y402" s="209"/>
      <c r="Z402" s="209"/>
      <c r="AA402" s="209"/>
      <c r="AB402" s="209"/>
      <c r="AC402" s="209"/>
      <c r="AD402" s="209"/>
      <c r="AE402" s="209"/>
      <c r="AF402" s="209"/>
      <c r="AG402" s="209"/>
    </row>
    <row r="403" spans="1:33" x14ac:dyDescent="0.25">
      <c r="A403" s="121"/>
      <c r="B403" s="210" t="s">
        <v>120</v>
      </c>
      <c r="C403" s="211">
        <v>0</v>
      </c>
      <c r="D403" s="211">
        <v>0</v>
      </c>
      <c r="E403" s="211">
        <v>0</v>
      </c>
      <c r="F403" s="211">
        <v>0</v>
      </c>
      <c r="G403" s="211">
        <v>0</v>
      </c>
      <c r="H403" s="211">
        <v>0</v>
      </c>
      <c r="I403" s="211">
        <v>0</v>
      </c>
      <c r="J403" s="211">
        <v>0</v>
      </c>
      <c r="K403" s="211">
        <v>0</v>
      </c>
      <c r="L403" s="211">
        <v>0</v>
      </c>
      <c r="M403" s="211">
        <v>0</v>
      </c>
      <c r="N403" s="211">
        <v>0</v>
      </c>
      <c r="O403" s="211">
        <v>0</v>
      </c>
      <c r="P403" s="211">
        <v>0</v>
      </c>
      <c r="Q403" s="211">
        <v>0</v>
      </c>
      <c r="R403" s="211">
        <v>0</v>
      </c>
      <c r="S403" s="211">
        <v>0</v>
      </c>
      <c r="T403" s="211">
        <v>0</v>
      </c>
      <c r="U403" s="211">
        <v>0</v>
      </c>
      <c r="V403" s="211">
        <v>0</v>
      </c>
      <c r="W403" s="211">
        <v>0</v>
      </c>
      <c r="X403" s="211">
        <v>0</v>
      </c>
      <c r="Y403" s="211">
        <v>0</v>
      </c>
      <c r="Z403" s="211">
        <v>0</v>
      </c>
      <c r="AA403" s="211">
        <v>0</v>
      </c>
      <c r="AB403" s="211">
        <v>0</v>
      </c>
      <c r="AC403" s="211">
        <v>0</v>
      </c>
      <c r="AD403" s="211">
        <v>0</v>
      </c>
      <c r="AE403" s="211">
        <v>0</v>
      </c>
      <c r="AF403" s="211">
        <v>0</v>
      </c>
      <c r="AG403" s="211">
        <v>0</v>
      </c>
    </row>
    <row r="404" spans="1:33" x14ac:dyDescent="0.25">
      <c r="A404" s="207" t="s">
        <v>506</v>
      </c>
      <c r="B404" s="208"/>
      <c r="C404" s="209"/>
      <c r="D404" s="209"/>
      <c r="E404" s="209"/>
      <c r="F404" s="209"/>
      <c r="G404" s="209"/>
      <c r="H404" s="209"/>
      <c r="I404" s="209"/>
      <c r="J404" s="209"/>
      <c r="K404" s="209"/>
      <c r="L404" s="209"/>
      <c r="M404" s="209"/>
      <c r="N404" s="209"/>
      <c r="O404" s="209"/>
      <c r="P404" s="209"/>
      <c r="Q404" s="209"/>
      <c r="R404" s="209"/>
      <c r="S404" s="209"/>
      <c r="T404" s="209"/>
      <c r="U404" s="209"/>
      <c r="V404" s="209"/>
      <c r="W404" s="209"/>
      <c r="X404" s="209"/>
      <c r="Y404" s="209"/>
      <c r="Z404" s="209"/>
      <c r="AA404" s="209"/>
      <c r="AB404" s="209"/>
      <c r="AC404" s="209"/>
      <c r="AD404" s="209"/>
      <c r="AE404" s="209"/>
      <c r="AF404" s="209"/>
      <c r="AG404" s="209"/>
    </row>
    <row r="405" spans="1:33" x14ac:dyDescent="0.25">
      <c r="A405" s="121"/>
      <c r="B405" s="210" t="s">
        <v>507</v>
      </c>
      <c r="C405" s="211">
        <v>0</v>
      </c>
      <c r="D405" s="211">
        <v>0</v>
      </c>
      <c r="E405" s="211">
        <v>0</v>
      </c>
      <c r="F405" s="211">
        <v>0</v>
      </c>
      <c r="G405" s="211">
        <v>0</v>
      </c>
      <c r="H405" s="211">
        <v>0</v>
      </c>
      <c r="I405" s="211">
        <v>0</v>
      </c>
      <c r="J405" s="211">
        <v>0</v>
      </c>
      <c r="K405" s="211">
        <v>0</v>
      </c>
      <c r="L405" s="211">
        <v>0</v>
      </c>
      <c r="M405" s="211">
        <v>0</v>
      </c>
      <c r="N405" s="211">
        <v>0</v>
      </c>
      <c r="O405" s="211">
        <v>0</v>
      </c>
      <c r="P405" s="211">
        <v>0</v>
      </c>
      <c r="Q405" s="211">
        <v>0</v>
      </c>
      <c r="R405" s="211">
        <v>0</v>
      </c>
      <c r="S405" s="211">
        <v>0</v>
      </c>
      <c r="T405" s="211">
        <v>0</v>
      </c>
      <c r="U405" s="211">
        <v>0</v>
      </c>
      <c r="V405" s="211">
        <v>0</v>
      </c>
      <c r="W405" s="211">
        <v>9.9999999999999995E-7</v>
      </c>
      <c r="X405" s="211">
        <v>0</v>
      </c>
      <c r="Y405" s="211">
        <v>0</v>
      </c>
      <c r="Z405" s="211">
        <v>0</v>
      </c>
      <c r="AA405" s="211">
        <v>0</v>
      </c>
      <c r="AB405" s="211">
        <v>0</v>
      </c>
      <c r="AC405" s="211">
        <v>0</v>
      </c>
      <c r="AD405" s="211">
        <v>0</v>
      </c>
      <c r="AE405" s="211">
        <v>0</v>
      </c>
      <c r="AF405" s="211">
        <v>0</v>
      </c>
      <c r="AG405" s="211">
        <v>9.9999999999999995E-7</v>
      </c>
    </row>
    <row r="406" spans="1:33" x14ac:dyDescent="0.25">
      <c r="A406" s="207" t="s">
        <v>4</v>
      </c>
      <c r="B406" s="208"/>
      <c r="C406" s="209"/>
      <c r="D406" s="209"/>
      <c r="E406" s="209"/>
      <c r="F406" s="209"/>
      <c r="G406" s="209"/>
      <c r="H406" s="209"/>
      <c r="I406" s="209"/>
      <c r="J406" s="209"/>
      <c r="K406" s="209"/>
      <c r="L406" s="209"/>
      <c r="M406" s="209"/>
      <c r="N406" s="209"/>
      <c r="O406" s="209"/>
      <c r="P406" s="209"/>
      <c r="Q406" s="209"/>
      <c r="R406" s="209"/>
      <c r="S406" s="209"/>
      <c r="T406" s="209"/>
      <c r="U406" s="209"/>
      <c r="V406" s="209"/>
      <c r="W406" s="209"/>
      <c r="X406" s="209"/>
      <c r="Y406" s="209"/>
      <c r="Z406" s="209"/>
      <c r="AA406" s="209"/>
      <c r="AB406" s="209"/>
      <c r="AC406" s="209"/>
      <c r="AD406" s="209"/>
      <c r="AE406" s="209"/>
      <c r="AF406" s="209"/>
      <c r="AG406" s="209"/>
    </row>
    <row r="407" spans="1:33" x14ac:dyDescent="0.25">
      <c r="A407" s="121"/>
      <c r="B407" s="210" t="s">
        <v>508</v>
      </c>
      <c r="C407" s="211">
        <v>0</v>
      </c>
      <c r="D407" s="211">
        <v>0</v>
      </c>
      <c r="E407" s="211">
        <v>0</v>
      </c>
      <c r="F407" s="211">
        <v>0</v>
      </c>
      <c r="G407" s="211">
        <v>0</v>
      </c>
      <c r="H407" s="211">
        <v>0</v>
      </c>
      <c r="I407" s="211">
        <v>0</v>
      </c>
      <c r="J407" s="211">
        <v>0</v>
      </c>
      <c r="K407" s="211">
        <v>0</v>
      </c>
      <c r="L407" s="211">
        <v>0</v>
      </c>
      <c r="M407" s="211">
        <v>0</v>
      </c>
      <c r="N407" s="211">
        <v>0</v>
      </c>
      <c r="O407" s="211">
        <v>0</v>
      </c>
      <c r="P407" s="211">
        <v>0</v>
      </c>
      <c r="Q407" s="211">
        <v>0</v>
      </c>
      <c r="R407" s="211">
        <v>0</v>
      </c>
      <c r="S407" s="211">
        <v>0</v>
      </c>
      <c r="T407" s="211">
        <v>0</v>
      </c>
      <c r="U407" s="211">
        <v>0</v>
      </c>
      <c r="V407" s="211">
        <v>0</v>
      </c>
      <c r="W407" s="211">
        <v>0</v>
      </c>
      <c r="X407" s="211">
        <v>0</v>
      </c>
      <c r="Y407" s="211">
        <v>0</v>
      </c>
      <c r="Z407" s="211">
        <v>0</v>
      </c>
      <c r="AA407" s="211">
        <v>0</v>
      </c>
      <c r="AB407" s="211">
        <v>0</v>
      </c>
      <c r="AC407" s="211">
        <v>0</v>
      </c>
      <c r="AD407" s="211">
        <v>0</v>
      </c>
      <c r="AE407" s="211">
        <v>0</v>
      </c>
      <c r="AF407" s="211">
        <v>0</v>
      </c>
      <c r="AG407" s="211">
        <v>0</v>
      </c>
    </row>
    <row r="408" spans="1:33" x14ac:dyDescent="0.25">
      <c r="A408" s="121"/>
      <c r="B408" s="210" t="s">
        <v>509</v>
      </c>
      <c r="C408" s="211">
        <v>0</v>
      </c>
      <c r="D408" s="211">
        <v>0</v>
      </c>
      <c r="E408" s="211">
        <v>0</v>
      </c>
      <c r="F408" s="211">
        <v>0</v>
      </c>
      <c r="G408" s="211">
        <v>0</v>
      </c>
      <c r="H408" s="211">
        <v>0</v>
      </c>
      <c r="I408" s="211">
        <v>0</v>
      </c>
      <c r="J408" s="211">
        <v>0</v>
      </c>
      <c r="K408" s="211">
        <v>0</v>
      </c>
      <c r="L408" s="211">
        <v>0</v>
      </c>
      <c r="M408" s="211">
        <v>0</v>
      </c>
      <c r="N408" s="211">
        <v>0</v>
      </c>
      <c r="O408" s="211">
        <v>0</v>
      </c>
      <c r="P408" s="211">
        <v>0</v>
      </c>
      <c r="Q408" s="211">
        <v>0</v>
      </c>
      <c r="R408" s="211">
        <v>0</v>
      </c>
      <c r="S408" s="211">
        <v>0</v>
      </c>
      <c r="T408" s="211">
        <v>0</v>
      </c>
      <c r="U408" s="211">
        <v>0</v>
      </c>
      <c r="V408" s="211">
        <v>0</v>
      </c>
      <c r="W408" s="211">
        <v>0</v>
      </c>
      <c r="X408" s="211">
        <v>0</v>
      </c>
      <c r="Y408" s="211">
        <v>0</v>
      </c>
      <c r="Z408" s="211">
        <v>0</v>
      </c>
      <c r="AA408" s="211">
        <v>0</v>
      </c>
      <c r="AB408" s="211">
        <v>0</v>
      </c>
      <c r="AC408" s="211">
        <v>0</v>
      </c>
      <c r="AD408" s="211">
        <v>0</v>
      </c>
      <c r="AE408" s="211">
        <v>0</v>
      </c>
      <c r="AF408" s="211">
        <v>0</v>
      </c>
      <c r="AG408" s="211">
        <v>0</v>
      </c>
    </row>
    <row r="409" spans="1:33" x14ac:dyDescent="0.25">
      <c r="A409" s="121"/>
      <c r="B409" s="210" t="s">
        <v>6</v>
      </c>
      <c r="C409" s="211">
        <v>0</v>
      </c>
      <c r="D409" s="211">
        <v>0</v>
      </c>
      <c r="E409" s="211">
        <v>0</v>
      </c>
      <c r="F409" s="211">
        <v>0</v>
      </c>
      <c r="G409" s="211">
        <v>0</v>
      </c>
      <c r="H409" s="211">
        <v>0</v>
      </c>
      <c r="I409" s="211">
        <v>0</v>
      </c>
      <c r="J409" s="211">
        <v>0</v>
      </c>
      <c r="K409" s="211">
        <v>0</v>
      </c>
      <c r="L409" s="211">
        <v>0</v>
      </c>
      <c r="M409" s="211">
        <v>0</v>
      </c>
      <c r="N409" s="211">
        <v>0</v>
      </c>
      <c r="O409" s="211">
        <v>0</v>
      </c>
      <c r="P409" s="211">
        <v>0</v>
      </c>
      <c r="Q409" s="211">
        <v>0</v>
      </c>
      <c r="R409" s="211">
        <v>0</v>
      </c>
      <c r="S409" s="211">
        <v>0</v>
      </c>
      <c r="T409" s="211">
        <v>0</v>
      </c>
      <c r="U409" s="211">
        <v>0</v>
      </c>
      <c r="V409" s="211">
        <v>0</v>
      </c>
      <c r="W409" s="211">
        <v>0</v>
      </c>
      <c r="X409" s="211">
        <v>0</v>
      </c>
      <c r="Y409" s="211">
        <v>0</v>
      </c>
      <c r="Z409" s="211">
        <v>0</v>
      </c>
      <c r="AA409" s="211">
        <v>0</v>
      </c>
      <c r="AB409" s="211">
        <v>0</v>
      </c>
      <c r="AC409" s="211">
        <v>0</v>
      </c>
      <c r="AD409" s="211">
        <v>0</v>
      </c>
      <c r="AE409" s="211">
        <v>0</v>
      </c>
      <c r="AF409" s="211">
        <v>0</v>
      </c>
      <c r="AG409" s="211">
        <v>0</v>
      </c>
    </row>
    <row r="410" spans="1:33" x14ac:dyDescent="0.25">
      <c r="A410" s="207" t="s">
        <v>510</v>
      </c>
      <c r="B410" s="208"/>
      <c r="C410" s="209"/>
      <c r="D410" s="209"/>
      <c r="E410" s="209"/>
      <c r="F410" s="209"/>
      <c r="G410" s="209"/>
      <c r="H410" s="209"/>
      <c r="I410" s="209"/>
      <c r="J410" s="209"/>
      <c r="K410" s="209"/>
      <c r="L410" s="209"/>
      <c r="M410" s="209"/>
      <c r="N410" s="209"/>
      <c r="O410" s="209"/>
      <c r="P410" s="209"/>
      <c r="Q410" s="209"/>
      <c r="R410" s="209"/>
      <c r="S410" s="209"/>
      <c r="T410" s="209"/>
      <c r="U410" s="209"/>
      <c r="V410" s="209"/>
      <c r="W410" s="209"/>
      <c r="X410" s="209"/>
      <c r="Y410" s="209"/>
      <c r="Z410" s="209"/>
      <c r="AA410" s="209"/>
      <c r="AB410" s="209"/>
      <c r="AC410" s="209"/>
      <c r="AD410" s="209"/>
      <c r="AE410" s="209"/>
      <c r="AF410" s="209"/>
      <c r="AG410" s="209"/>
    </row>
    <row r="411" spans="1:33" x14ac:dyDescent="0.25">
      <c r="A411" s="121"/>
      <c r="B411" s="210" t="s">
        <v>511</v>
      </c>
      <c r="C411" s="211">
        <v>0</v>
      </c>
      <c r="D411" s="211">
        <v>0</v>
      </c>
      <c r="E411" s="211">
        <v>0</v>
      </c>
      <c r="F411" s="211">
        <v>17.399000000000001</v>
      </c>
      <c r="G411" s="211">
        <v>0</v>
      </c>
      <c r="H411" s="211">
        <v>0</v>
      </c>
      <c r="I411" s="211">
        <v>0</v>
      </c>
      <c r="J411" s="211">
        <v>0.01</v>
      </c>
      <c r="K411" s="211">
        <v>0</v>
      </c>
      <c r="L411" s="211">
        <v>0</v>
      </c>
      <c r="M411" s="211">
        <v>5.2969999999999997</v>
      </c>
      <c r="N411" s="211">
        <v>0</v>
      </c>
      <c r="O411" s="211">
        <v>0</v>
      </c>
      <c r="P411" s="211">
        <v>8.8209999999999997</v>
      </c>
      <c r="Q411" s="211">
        <v>0.45300000000000001</v>
      </c>
      <c r="R411" s="211">
        <v>6.1909999999999998</v>
      </c>
      <c r="S411" s="211">
        <v>4.2489999999999997</v>
      </c>
      <c r="T411" s="211">
        <v>0</v>
      </c>
      <c r="U411" s="211">
        <v>0</v>
      </c>
      <c r="V411" s="211">
        <v>0</v>
      </c>
      <c r="W411" s="211">
        <v>0.96899999999999997</v>
      </c>
      <c r="X411" s="211">
        <v>0</v>
      </c>
      <c r="Y411" s="211">
        <v>0</v>
      </c>
      <c r="Z411" s="211">
        <v>0</v>
      </c>
      <c r="AA411" s="211">
        <v>0</v>
      </c>
      <c r="AB411" s="211">
        <v>0</v>
      </c>
      <c r="AC411" s="211">
        <v>2.7519999999999998</v>
      </c>
      <c r="AD411" s="211">
        <v>0</v>
      </c>
      <c r="AE411" s="211">
        <v>0</v>
      </c>
      <c r="AF411" s="211">
        <v>14.853999999999999</v>
      </c>
      <c r="AG411" s="211">
        <v>60.995000000000005</v>
      </c>
    </row>
    <row r="412" spans="1:33" x14ac:dyDescent="0.25">
      <c r="A412" s="207" t="s">
        <v>513</v>
      </c>
      <c r="B412" s="208"/>
      <c r="C412" s="209"/>
      <c r="D412" s="209"/>
      <c r="E412" s="209"/>
      <c r="F412" s="209"/>
      <c r="G412" s="209"/>
      <c r="H412" s="209"/>
      <c r="I412" s="209"/>
      <c r="J412" s="209"/>
      <c r="K412" s="209"/>
      <c r="L412" s="209"/>
      <c r="M412" s="209"/>
      <c r="N412" s="209"/>
      <c r="O412" s="209"/>
      <c r="P412" s="209"/>
      <c r="Q412" s="209"/>
      <c r="R412" s="209"/>
      <c r="S412" s="209"/>
      <c r="T412" s="209"/>
      <c r="U412" s="209"/>
      <c r="V412" s="209"/>
      <c r="W412" s="209"/>
      <c r="X412" s="209"/>
      <c r="Y412" s="209"/>
      <c r="Z412" s="209"/>
      <c r="AA412" s="209"/>
      <c r="AB412" s="209"/>
      <c r="AC412" s="209"/>
      <c r="AD412" s="209"/>
      <c r="AE412" s="209"/>
      <c r="AF412" s="209"/>
      <c r="AG412" s="209"/>
    </row>
    <row r="413" spans="1:33" x14ac:dyDescent="0.25">
      <c r="A413" s="121"/>
      <c r="B413" s="210" t="s">
        <v>514</v>
      </c>
      <c r="C413" s="211">
        <v>0</v>
      </c>
      <c r="D413" s="211">
        <v>0</v>
      </c>
      <c r="E413" s="211">
        <v>0</v>
      </c>
      <c r="F413" s="211">
        <v>0</v>
      </c>
      <c r="G413" s="211">
        <v>0</v>
      </c>
      <c r="H413" s="211">
        <v>0</v>
      </c>
      <c r="I413" s="211">
        <v>0.20100000000000001</v>
      </c>
      <c r="J413" s="211">
        <v>3.8E-3</v>
      </c>
      <c r="K413" s="211">
        <v>0</v>
      </c>
      <c r="L413" s="211">
        <v>0</v>
      </c>
      <c r="M413" s="211">
        <v>0</v>
      </c>
      <c r="N413" s="211">
        <v>0</v>
      </c>
      <c r="O413" s="211">
        <v>0</v>
      </c>
      <c r="P413" s="211">
        <v>0</v>
      </c>
      <c r="Q413" s="211">
        <v>0</v>
      </c>
      <c r="R413" s="211">
        <v>0</v>
      </c>
      <c r="S413" s="211">
        <v>0</v>
      </c>
      <c r="T413" s="211">
        <v>0</v>
      </c>
      <c r="U413" s="211">
        <v>0</v>
      </c>
      <c r="V413" s="211">
        <v>0</v>
      </c>
      <c r="W413" s="211">
        <v>0.6</v>
      </c>
      <c r="X413" s="211">
        <v>0</v>
      </c>
      <c r="Y413" s="211">
        <v>7.3</v>
      </c>
      <c r="Z413" s="211">
        <v>0</v>
      </c>
      <c r="AA413" s="211">
        <v>0</v>
      </c>
      <c r="AB413" s="211">
        <v>0</v>
      </c>
      <c r="AC413" s="211">
        <v>0</v>
      </c>
      <c r="AD413" s="211">
        <v>0</v>
      </c>
      <c r="AE413" s="211">
        <v>0</v>
      </c>
      <c r="AF413" s="211">
        <v>0</v>
      </c>
      <c r="AG413" s="211">
        <v>8.1047999999999991</v>
      </c>
    </row>
    <row r="414" spans="1:33" x14ac:dyDescent="0.25">
      <c r="A414" s="121"/>
      <c r="B414" s="210" t="s">
        <v>515</v>
      </c>
      <c r="C414" s="211">
        <v>0</v>
      </c>
      <c r="D414" s="211">
        <v>0</v>
      </c>
      <c r="E414" s="211">
        <v>0</v>
      </c>
      <c r="F414" s="211">
        <v>0</v>
      </c>
      <c r="G414" s="211">
        <v>0</v>
      </c>
      <c r="H414" s="211">
        <v>0</v>
      </c>
      <c r="I414" s="211">
        <v>0</v>
      </c>
      <c r="J414" s="211">
        <v>0.66600000000000004</v>
      </c>
      <c r="K414" s="211">
        <v>0</v>
      </c>
      <c r="L414" s="211">
        <v>0</v>
      </c>
      <c r="M414" s="211">
        <v>0</v>
      </c>
      <c r="N414" s="211">
        <v>0</v>
      </c>
      <c r="O414" s="211">
        <v>0</v>
      </c>
      <c r="P414" s="211">
        <v>0</v>
      </c>
      <c r="Q414" s="211">
        <v>293.226</v>
      </c>
      <c r="R414" s="211">
        <v>0</v>
      </c>
      <c r="S414" s="211">
        <v>0</v>
      </c>
      <c r="T414" s="211">
        <v>0</v>
      </c>
      <c r="U414" s="211">
        <v>0</v>
      </c>
      <c r="V414" s="211">
        <v>0</v>
      </c>
      <c r="W414" s="211">
        <v>2</v>
      </c>
      <c r="X414" s="211">
        <v>0</v>
      </c>
      <c r="Y414" s="211">
        <v>0</v>
      </c>
      <c r="Z414" s="211">
        <v>0</v>
      </c>
      <c r="AA414" s="211">
        <v>0</v>
      </c>
      <c r="AB414" s="211">
        <v>0</v>
      </c>
      <c r="AC414" s="211">
        <v>0</v>
      </c>
      <c r="AD414" s="211">
        <v>0.11799999999999999</v>
      </c>
      <c r="AE414" s="211">
        <v>0</v>
      </c>
      <c r="AF414" s="211">
        <v>0</v>
      </c>
      <c r="AG414" s="211">
        <v>296.01</v>
      </c>
    </row>
    <row r="415" spans="1:33" x14ac:dyDescent="0.25">
      <c r="A415" s="121"/>
      <c r="B415" s="210" t="s">
        <v>517</v>
      </c>
      <c r="C415" s="211">
        <v>0</v>
      </c>
      <c r="D415" s="211">
        <v>0</v>
      </c>
      <c r="E415" s="211">
        <v>0</v>
      </c>
      <c r="F415" s="211">
        <v>0</v>
      </c>
      <c r="G415" s="211">
        <v>0</v>
      </c>
      <c r="H415" s="211">
        <v>0</v>
      </c>
      <c r="I415" s="211">
        <v>0</v>
      </c>
      <c r="J415" s="211">
        <v>0</v>
      </c>
      <c r="K415" s="211">
        <v>0</v>
      </c>
      <c r="L415" s="211">
        <v>0</v>
      </c>
      <c r="M415" s="211">
        <v>0</v>
      </c>
      <c r="N415" s="211">
        <v>0</v>
      </c>
      <c r="O415" s="211">
        <v>0</v>
      </c>
      <c r="P415" s="211">
        <v>0</v>
      </c>
      <c r="Q415" s="211">
        <v>0</v>
      </c>
      <c r="R415" s="211">
        <v>0</v>
      </c>
      <c r="S415" s="211">
        <v>0</v>
      </c>
      <c r="T415" s="211">
        <v>0</v>
      </c>
      <c r="U415" s="211">
        <v>0</v>
      </c>
      <c r="V415" s="211">
        <v>0</v>
      </c>
      <c r="W415" s="211">
        <v>4.4040000000000003E-2</v>
      </c>
      <c r="X415" s="211">
        <v>0</v>
      </c>
      <c r="Y415" s="211">
        <v>0</v>
      </c>
      <c r="Z415" s="211">
        <v>0</v>
      </c>
      <c r="AA415" s="211">
        <v>0</v>
      </c>
      <c r="AB415" s="211">
        <v>0</v>
      </c>
      <c r="AC415" s="211">
        <v>0</v>
      </c>
      <c r="AD415" s="211">
        <v>0</v>
      </c>
      <c r="AE415" s="211">
        <v>0</v>
      </c>
      <c r="AF415" s="211">
        <v>2.0352899999999998</v>
      </c>
      <c r="AG415" s="211">
        <v>2.0793299999999997</v>
      </c>
    </row>
    <row r="416" spans="1:33" x14ac:dyDescent="0.25">
      <c r="A416" s="121"/>
      <c r="B416" s="210" t="s">
        <v>518</v>
      </c>
      <c r="C416" s="211">
        <v>0</v>
      </c>
      <c r="D416" s="211">
        <v>0</v>
      </c>
      <c r="E416" s="211">
        <v>0</v>
      </c>
      <c r="F416" s="211">
        <v>0</v>
      </c>
      <c r="G416" s="211">
        <v>0</v>
      </c>
      <c r="H416" s="211">
        <v>0</v>
      </c>
      <c r="I416" s="211">
        <v>4.1799999999999997E-2</v>
      </c>
      <c r="J416" s="211">
        <v>7.6999999999999999E-2</v>
      </c>
      <c r="K416" s="211">
        <v>0</v>
      </c>
      <c r="L416" s="211">
        <v>0</v>
      </c>
      <c r="M416" s="211">
        <v>0</v>
      </c>
      <c r="N416" s="211">
        <v>0</v>
      </c>
      <c r="O416" s="211">
        <v>0</v>
      </c>
      <c r="P416" s="211">
        <v>0</v>
      </c>
      <c r="Q416" s="211">
        <v>0</v>
      </c>
      <c r="R416" s="211">
        <v>0</v>
      </c>
      <c r="S416" s="211">
        <v>0</v>
      </c>
      <c r="T416" s="211">
        <v>0</v>
      </c>
      <c r="U416" s="211">
        <v>0</v>
      </c>
      <c r="V416" s="211">
        <v>0</v>
      </c>
      <c r="W416" s="211">
        <v>0.3</v>
      </c>
      <c r="X416" s="211">
        <v>0</v>
      </c>
      <c r="Y416" s="211">
        <v>2.367</v>
      </c>
      <c r="Z416" s="211">
        <v>0</v>
      </c>
      <c r="AA416" s="211">
        <v>0</v>
      </c>
      <c r="AB416" s="211">
        <v>0</v>
      </c>
      <c r="AC416" s="211">
        <v>0</v>
      </c>
      <c r="AD416" s="211">
        <v>0</v>
      </c>
      <c r="AE416" s="211">
        <v>0</v>
      </c>
      <c r="AF416" s="211">
        <v>0</v>
      </c>
      <c r="AG416" s="211">
        <v>2.7858000000000001</v>
      </c>
    </row>
    <row r="417" spans="1:33" x14ac:dyDescent="0.25">
      <c r="A417" s="207" t="s">
        <v>122</v>
      </c>
      <c r="B417" s="208"/>
      <c r="C417" s="209"/>
      <c r="D417" s="209"/>
      <c r="E417" s="209"/>
      <c r="F417" s="209"/>
      <c r="G417" s="209"/>
      <c r="H417" s="209"/>
      <c r="I417" s="209"/>
      <c r="J417" s="209"/>
      <c r="K417" s="209"/>
      <c r="L417" s="209"/>
      <c r="M417" s="209"/>
      <c r="N417" s="209"/>
      <c r="O417" s="209"/>
      <c r="P417" s="209"/>
      <c r="Q417" s="209"/>
      <c r="R417" s="209"/>
      <c r="S417" s="209"/>
      <c r="T417" s="209"/>
      <c r="U417" s="209"/>
      <c r="V417" s="209"/>
      <c r="W417" s="209"/>
      <c r="X417" s="209"/>
      <c r="Y417" s="209"/>
      <c r="Z417" s="209"/>
      <c r="AA417" s="209"/>
      <c r="AB417" s="209"/>
      <c r="AC417" s="209"/>
      <c r="AD417" s="209"/>
      <c r="AE417" s="209"/>
      <c r="AF417" s="209"/>
      <c r="AG417" s="209"/>
    </row>
    <row r="418" spans="1:33" x14ac:dyDescent="0.25">
      <c r="A418" s="121"/>
      <c r="B418" s="210" t="s">
        <v>124</v>
      </c>
      <c r="C418" s="211">
        <v>0</v>
      </c>
      <c r="D418" s="211">
        <v>0</v>
      </c>
      <c r="E418" s="211">
        <v>0</v>
      </c>
      <c r="F418" s="211">
        <v>0</v>
      </c>
      <c r="G418" s="211">
        <v>0</v>
      </c>
      <c r="H418" s="211">
        <v>0</v>
      </c>
      <c r="I418" s="211">
        <v>0</v>
      </c>
      <c r="J418" s="211">
        <v>0</v>
      </c>
      <c r="K418" s="211">
        <v>0</v>
      </c>
      <c r="L418" s="211">
        <v>0</v>
      </c>
      <c r="M418" s="211">
        <v>0</v>
      </c>
      <c r="N418" s="211">
        <v>0</v>
      </c>
      <c r="O418" s="211">
        <v>0</v>
      </c>
      <c r="P418" s="211">
        <v>0</v>
      </c>
      <c r="Q418" s="211">
        <v>0</v>
      </c>
      <c r="R418" s="211">
        <v>0</v>
      </c>
      <c r="S418" s="211">
        <v>0</v>
      </c>
      <c r="T418" s="211">
        <v>0</v>
      </c>
      <c r="U418" s="211">
        <v>0</v>
      </c>
      <c r="V418" s="211">
        <v>0</v>
      </c>
      <c r="W418" s="211">
        <v>0</v>
      </c>
      <c r="X418" s="211">
        <v>0</v>
      </c>
      <c r="Y418" s="211">
        <v>0</v>
      </c>
      <c r="Z418" s="211">
        <v>0</v>
      </c>
      <c r="AA418" s="211">
        <v>0</v>
      </c>
      <c r="AB418" s="211">
        <v>0</v>
      </c>
      <c r="AC418" s="211">
        <v>0</v>
      </c>
      <c r="AD418" s="211">
        <v>0</v>
      </c>
      <c r="AE418" s="211">
        <v>0</v>
      </c>
      <c r="AF418" s="211">
        <v>0</v>
      </c>
      <c r="AG418" s="211">
        <v>0</v>
      </c>
    </row>
    <row r="419" spans="1:33" x14ac:dyDescent="0.25">
      <c r="A419" s="207" t="s">
        <v>519</v>
      </c>
      <c r="B419" s="208"/>
      <c r="C419" s="209"/>
      <c r="D419" s="209"/>
      <c r="E419" s="209"/>
      <c r="F419" s="209"/>
      <c r="G419" s="209"/>
      <c r="H419" s="209"/>
      <c r="I419" s="209"/>
      <c r="J419" s="209"/>
      <c r="K419" s="209"/>
      <c r="L419" s="209"/>
      <c r="M419" s="209"/>
      <c r="N419" s="209"/>
      <c r="O419" s="209"/>
      <c r="P419" s="209"/>
      <c r="Q419" s="209"/>
      <c r="R419" s="209"/>
      <c r="S419" s="209"/>
      <c r="T419" s="209"/>
      <c r="U419" s="209"/>
      <c r="V419" s="209"/>
      <c r="W419" s="209"/>
      <c r="X419" s="209"/>
      <c r="Y419" s="209"/>
      <c r="Z419" s="209"/>
      <c r="AA419" s="209"/>
      <c r="AB419" s="209"/>
      <c r="AC419" s="209"/>
      <c r="AD419" s="209"/>
      <c r="AE419" s="209"/>
      <c r="AF419" s="209"/>
      <c r="AG419" s="209"/>
    </row>
    <row r="420" spans="1:33" x14ac:dyDescent="0.25">
      <c r="A420" s="121"/>
      <c r="B420" s="210" t="s">
        <v>520</v>
      </c>
      <c r="C420" s="211">
        <v>0</v>
      </c>
      <c r="D420" s="211">
        <v>0</v>
      </c>
      <c r="E420" s="211">
        <v>0</v>
      </c>
      <c r="F420" s="211">
        <v>0</v>
      </c>
      <c r="G420" s="211">
        <v>0</v>
      </c>
      <c r="H420" s="211">
        <v>0</v>
      </c>
      <c r="I420" s="211">
        <v>0</v>
      </c>
      <c r="J420" s="211">
        <v>0</v>
      </c>
      <c r="K420" s="211">
        <v>0</v>
      </c>
      <c r="L420" s="211">
        <v>0</v>
      </c>
      <c r="M420" s="211">
        <v>0</v>
      </c>
      <c r="N420" s="211">
        <v>0</v>
      </c>
      <c r="O420" s="211">
        <v>0</v>
      </c>
      <c r="P420" s="211">
        <v>0</v>
      </c>
      <c r="Q420" s="211">
        <v>0</v>
      </c>
      <c r="R420" s="211">
        <v>0</v>
      </c>
      <c r="S420" s="211">
        <v>0</v>
      </c>
      <c r="T420" s="211">
        <v>0</v>
      </c>
      <c r="U420" s="211">
        <v>0</v>
      </c>
      <c r="V420" s="211">
        <v>0</v>
      </c>
      <c r="W420" s="211">
        <v>0</v>
      </c>
      <c r="X420" s="211">
        <v>0</v>
      </c>
      <c r="Y420" s="211">
        <v>0</v>
      </c>
      <c r="Z420" s="211">
        <v>0</v>
      </c>
      <c r="AA420" s="211">
        <v>0</v>
      </c>
      <c r="AB420" s="211">
        <v>0</v>
      </c>
      <c r="AC420" s="211">
        <v>0</v>
      </c>
      <c r="AD420" s="211">
        <v>0</v>
      </c>
      <c r="AE420" s="211">
        <v>0</v>
      </c>
      <c r="AF420" s="211">
        <v>0</v>
      </c>
      <c r="AG420" s="211">
        <v>0</v>
      </c>
    </row>
    <row r="421" spans="1:33" x14ac:dyDescent="0.25">
      <c r="A421" s="207" t="s">
        <v>1145</v>
      </c>
      <c r="B421" s="208"/>
      <c r="C421" s="209"/>
      <c r="D421" s="209"/>
      <c r="E421" s="209"/>
      <c r="F421" s="209"/>
      <c r="G421" s="209"/>
      <c r="H421" s="209"/>
      <c r="I421" s="209"/>
      <c r="J421" s="209"/>
      <c r="K421" s="209"/>
      <c r="L421" s="209"/>
      <c r="M421" s="209"/>
      <c r="N421" s="209"/>
      <c r="O421" s="209"/>
      <c r="P421" s="209"/>
      <c r="Q421" s="209"/>
      <c r="R421" s="209"/>
      <c r="S421" s="209"/>
      <c r="T421" s="209"/>
      <c r="U421" s="209"/>
      <c r="V421" s="209"/>
      <c r="W421" s="209"/>
      <c r="X421" s="209"/>
      <c r="Y421" s="209"/>
      <c r="Z421" s="209"/>
      <c r="AA421" s="209"/>
      <c r="AB421" s="209"/>
      <c r="AC421" s="209"/>
      <c r="AD421" s="209"/>
      <c r="AE421" s="209"/>
      <c r="AF421" s="209"/>
      <c r="AG421" s="209"/>
    </row>
    <row r="422" spans="1:33" x14ac:dyDescent="0.25">
      <c r="A422" s="121"/>
      <c r="B422" s="210" t="s">
        <v>1146</v>
      </c>
      <c r="C422" s="211">
        <v>0</v>
      </c>
      <c r="D422" s="211">
        <v>0</v>
      </c>
      <c r="E422" s="211">
        <v>0</v>
      </c>
      <c r="F422" s="211">
        <v>0</v>
      </c>
      <c r="G422" s="211">
        <v>0</v>
      </c>
      <c r="H422" s="211">
        <v>0</v>
      </c>
      <c r="I422" s="211">
        <v>0</v>
      </c>
      <c r="J422" s="211">
        <v>0</v>
      </c>
      <c r="K422" s="211">
        <v>0</v>
      </c>
      <c r="L422" s="211">
        <v>0</v>
      </c>
      <c r="M422" s="211">
        <v>0</v>
      </c>
      <c r="N422" s="211">
        <v>0</v>
      </c>
      <c r="O422" s="211">
        <v>0</v>
      </c>
      <c r="P422" s="211">
        <v>0</v>
      </c>
      <c r="Q422" s="211">
        <v>0</v>
      </c>
      <c r="R422" s="211">
        <v>0</v>
      </c>
      <c r="S422" s="211">
        <v>0</v>
      </c>
      <c r="T422" s="211">
        <v>0</v>
      </c>
      <c r="U422" s="211">
        <v>0</v>
      </c>
      <c r="V422" s="211">
        <v>0</v>
      </c>
      <c r="W422" s="211">
        <v>0</v>
      </c>
      <c r="X422" s="211">
        <v>0</v>
      </c>
      <c r="Y422" s="211">
        <v>0</v>
      </c>
      <c r="Z422" s="211">
        <v>0</v>
      </c>
      <c r="AA422" s="211">
        <v>0</v>
      </c>
      <c r="AB422" s="211">
        <v>0</v>
      </c>
      <c r="AC422" s="211">
        <v>0</v>
      </c>
      <c r="AD422" s="211">
        <v>0</v>
      </c>
      <c r="AE422" s="211">
        <v>0</v>
      </c>
      <c r="AF422" s="211">
        <v>0</v>
      </c>
      <c r="AG422" s="211">
        <v>0</v>
      </c>
    </row>
    <row r="423" spans="1:33" x14ac:dyDescent="0.25">
      <c r="A423" s="121"/>
      <c r="B423" s="210" t="s">
        <v>1147</v>
      </c>
      <c r="C423" s="211">
        <v>0</v>
      </c>
      <c r="D423" s="211">
        <v>0</v>
      </c>
      <c r="E423" s="211">
        <v>0</v>
      </c>
      <c r="F423" s="211">
        <v>0</v>
      </c>
      <c r="G423" s="211">
        <v>0</v>
      </c>
      <c r="H423" s="211">
        <v>0</v>
      </c>
      <c r="I423" s="211">
        <v>0</v>
      </c>
      <c r="J423" s="211">
        <v>0</v>
      </c>
      <c r="K423" s="211">
        <v>0</v>
      </c>
      <c r="L423" s="211">
        <v>0</v>
      </c>
      <c r="M423" s="211">
        <v>0</v>
      </c>
      <c r="N423" s="211">
        <v>0</v>
      </c>
      <c r="O423" s="211">
        <v>0</v>
      </c>
      <c r="P423" s="211">
        <v>0</v>
      </c>
      <c r="Q423" s="211">
        <v>0</v>
      </c>
      <c r="R423" s="211">
        <v>0</v>
      </c>
      <c r="S423" s="211">
        <v>0</v>
      </c>
      <c r="T423" s="211">
        <v>0</v>
      </c>
      <c r="U423" s="211">
        <v>0</v>
      </c>
      <c r="V423" s="211">
        <v>0</v>
      </c>
      <c r="W423" s="211">
        <v>0</v>
      </c>
      <c r="X423" s="211">
        <v>0</v>
      </c>
      <c r="Y423" s="211">
        <v>0</v>
      </c>
      <c r="Z423" s="211">
        <v>0</v>
      </c>
      <c r="AA423" s="211">
        <v>0</v>
      </c>
      <c r="AB423" s="211">
        <v>0</v>
      </c>
      <c r="AC423" s="211">
        <v>0</v>
      </c>
      <c r="AD423" s="211">
        <v>0</v>
      </c>
      <c r="AE423" s="211">
        <v>0</v>
      </c>
      <c r="AF423" s="211">
        <v>0</v>
      </c>
      <c r="AG423" s="211">
        <v>0</v>
      </c>
    </row>
    <row r="424" spans="1:33" x14ac:dyDescent="0.25">
      <c r="A424" s="121"/>
      <c r="B424" s="210" t="s">
        <v>1148</v>
      </c>
      <c r="C424" s="211">
        <v>0</v>
      </c>
      <c r="D424" s="211">
        <v>0</v>
      </c>
      <c r="E424" s="211">
        <v>0</v>
      </c>
      <c r="F424" s="211">
        <v>0</v>
      </c>
      <c r="G424" s="211">
        <v>0</v>
      </c>
      <c r="H424" s="211">
        <v>0</v>
      </c>
      <c r="I424" s="211">
        <v>0</v>
      </c>
      <c r="J424" s="211">
        <v>0</v>
      </c>
      <c r="K424" s="211">
        <v>0</v>
      </c>
      <c r="L424" s="211">
        <v>0</v>
      </c>
      <c r="M424" s="211">
        <v>0</v>
      </c>
      <c r="N424" s="211">
        <v>0</v>
      </c>
      <c r="O424" s="211">
        <v>0</v>
      </c>
      <c r="P424" s="211">
        <v>0</v>
      </c>
      <c r="Q424" s="211">
        <v>0</v>
      </c>
      <c r="R424" s="211">
        <v>0</v>
      </c>
      <c r="S424" s="211">
        <v>0</v>
      </c>
      <c r="T424" s="211">
        <v>0</v>
      </c>
      <c r="U424" s="211">
        <v>0</v>
      </c>
      <c r="V424" s="211">
        <v>0</v>
      </c>
      <c r="W424" s="211">
        <v>0</v>
      </c>
      <c r="X424" s="211">
        <v>0</v>
      </c>
      <c r="Y424" s="211">
        <v>0</v>
      </c>
      <c r="Z424" s="211">
        <v>0</v>
      </c>
      <c r="AA424" s="211">
        <v>0</v>
      </c>
      <c r="AB424" s="211">
        <v>0</v>
      </c>
      <c r="AC424" s="211">
        <v>0</v>
      </c>
      <c r="AD424" s="211">
        <v>0</v>
      </c>
      <c r="AE424" s="211">
        <v>0</v>
      </c>
      <c r="AF424" s="211">
        <v>0</v>
      </c>
      <c r="AG424" s="211">
        <v>0</v>
      </c>
    </row>
    <row r="425" spans="1:33" x14ac:dyDescent="0.25">
      <c r="A425" s="121"/>
      <c r="B425" s="210" t="s">
        <v>1149</v>
      </c>
      <c r="C425" s="211">
        <v>0</v>
      </c>
      <c r="D425" s="211">
        <v>0</v>
      </c>
      <c r="E425" s="211">
        <v>0</v>
      </c>
      <c r="F425" s="211">
        <v>0</v>
      </c>
      <c r="G425" s="211">
        <v>0</v>
      </c>
      <c r="H425" s="211">
        <v>0</v>
      </c>
      <c r="I425" s="211">
        <v>0</v>
      </c>
      <c r="J425" s="211">
        <v>0</v>
      </c>
      <c r="K425" s="211">
        <v>0</v>
      </c>
      <c r="L425" s="211">
        <v>0</v>
      </c>
      <c r="M425" s="211">
        <v>0</v>
      </c>
      <c r="N425" s="211">
        <v>0</v>
      </c>
      <c r="O425" s="211">
        <v>0</v>
      </c>
      <c r="P425" s="211">
        <v>0</v>
      </c>
      <c r="Q425" s="211">
        <v>0</v>
      </c>
      <c r="R425" s="211">
        <v>0</v>
      </c>
      <c r="S425" s="211">
        <v>0</v>
      </c>
      <c r="T425" s="211">
        <v>0</v>
      </c>
      <c r="U425" s="211">
        <v>0</v>
      </c>
      <c r="V425" s="211">
        <v>0</v>
      </c>
      <c r="W425" s="211">
        <v>0</v>
      </c>
      <c r="X425" s="211">
        <v>0</v>
      </c>
      <c r="Y425" s="211">
        <v>0</v>
      </c>
      <c r="Z425" s="211">
        <v>0</v>
      </c>
      <c r="AA425" s="211">
        <v>0</v>
      </c>
      <c r="AB425" s="211">
        <v>0</v>
      </c>
      <c r="AC425" s="211">
        <v>0</v>
      </c>
      <c r="AD425" s="211">
        <v>0</v>
      </c>
      <c r="AE425" s="211">
        <v>0</v>
      </c>
      <c r="AF425" s="211">
        <v>0</v>
      </c>
      <c r="AG425" s="211">
        <v>0</v>
      </c>
    </row>
    <row r="426" spans="1:33" x14ac:dyDescent="0.25">
      <c r="A426" s="121"/>
      <c r="B426" s="210" t="s">
        <v>1150</v>
      </c>
      <c r="C426" s="211">
        <v>0</v>
      </c>
      <c r="D426" s="211">
        <v>0</v>
      </c>
      <c r="E426" s="211">
        <v>0</v>
      </c>
      <c r="F426" s="211">
        <v>0</v>
      </c>
      <c r="G426" s="211">
        <v>0</v>
      </c>
      <c r="H426" s="211">
        <v>0</v>
      </c>
      <c r="I426" s="211">
        <v>0</v>
      </c>
      <c r="J426" s="211">
        <v>0</v>
      </c>
      <c r="K426" s="211">
        <v>0</v>
      </c>
      <c r="L426" s="211">
        <v>0</v>
      </c>
      <c r="M426" s="211">
        <v>0</v>
      </c>
      <c r="N426" s="211">
        <v>0</v>
      </c>
      <c r="O426" s="211">
        <v>0</v>
      </c>
      <c r="P426" s="211">
        <v>0</v>
      </c>
      <c r="Q426" s="211">
        <v>0</v>
      </c>
      <c r="R426" s="211">
        <v>0</v>
      </c>
      <c r="S426" s="211">
        <v>0</v>
      </c>
      <c r="T426" s="211">
        <v>0</v>
      </c>
      <c r="U426" s="211">
        <v>0</v>
      </c>
      <c r="V426" s="211">
        <v>0</v>
      </c>
      <c r="W426" s="211">
        <v>0</v>
      </c>
      <c r="X426" s="211">
        <v>0</v>
      </c>
      <c r="Y426" s="211">
        <v>0</v>
      </c>
      <c r="Z426" s="211">
        <v>0</v>
      </c>
      <c r="AA426" s="211">
        <v>0</v>
      </c>
      <c r="AB426" s="211">
        <v>0</v>
      </c>
      <c r="AC426" s="211">
        <v>0</v>
      </c>
      <c r="AD426" s="211">
        <v>0</v>
      </c>
      <c r="AE426" s="211">
        <v>0</v>
      </c>
      <c r="AF426" s="211">
        <v>0</v>
      </c>
      <c r="AG426" s="211">
        <v>0</v>
      </c>
    </row>
    <row r="427" spans="1:33" x14ac:dyDescent="0.25">
      <c r="A427" s="121"/>
      <c r="B427" s="210" t="s">
        <v>1151</v>
      </c>
      <c r="C427" s="211">
        <v>0</v>
      </c>
      <c r="D427" s="211">
        <v>0</v>
      </c>
      <c r="E427" s="211">
        <v>0</v>
      </c>
      <c r="F427" s="211">
        <v>0</v>
      </c>
      <c r="G427" s="211">
        <v>0</v>
      </c>
      <c r="H427" s="211">
        <v>0</v>
      </c>
      <c r="I427" s="211">
        <v>0</v>
      </c>
      <c r="J427" s="211">
        <v>0</v>
      </c>
      <c r="K427" s="211">
        <v>0</v>
      </c>
      <c r="L427" s="211">
        <v>0</v>
      </c>
      <c r="M427" s="211">
        <v>0</v>
      </c>
      <c r="N427" s="211">
        <v>0</v>
      </c>
      <c r="O427" s="211">
        <v>0</v>
      </c>
      <c r="P427" s="211">
        <v>0</v>
      </c>
      <c r="Q427" s="211">
        <v>0</v>
      </c>
      <c r="R427" s="211">
        <v>0</v>
      </c>
      <c r="S427" s="211">
        <v>0</v>
      </c>
      <c r="T427" s="211">
        <v>0</v>
      </c>
      <c r="U427" s="211">
        <v>0</v>
      </c>
      <c r="V427" s="211">
        <v>0</v>
      </c>
      <c r="W427" s="211">
        <v>0</v>
      </c>
      <c r="X427" s="211">
        <v>0</v>
      </c>
      <c r="Y427" s="211">
        <v>0</v>
      </c>
      <c r="Z427" s="211">
        <v>0</v>
      </c>
      <c r="AA427" s="211">
        <v>0</v>
      </c>
      <c r="AB427" s="211">
        <v>0</v>
      </c>
      <c r="AC427" s="211">
        <v>0</v>
      </c>
      <c r="AD427" s="211">
        <v>0</v>
      </c>
      <c r="AE427" s="211">
        <v>0</v>
      </c>
      <c r="AF427" s="211">
        <v>0</v>
      </c>
      <c r="AG427" s="211">
        <v>0</v>
      </c>
    </row>
    <row r="428" spans="1:33" x14ac:dyDescent="0.25">
      <c r="A428" s="121"/>
      <c r="B428" s="210" t="s">
        <v>1152</v>
      </c>
      <c r="C428" s="211">
        <v>0</v>
      </c>
      <c r="D428" s="211">
        <v>0</v>
      </c>
      <c r="E428" s="211">
        <v>0</v>
      </c>
      <c r="F428" s="211">
        <v>0</v>
      </c>
      <c r="G428" s="211">
        <v>0</v>
      </c>
      <c r="H428" s="211">
        <v>0</v>
      </c>
      <c r="I428" s="211">
        <v>0</v>
      </c>
      <c r="J428" s="211">
        <v>0</v>
      </c>
      <c r="K428" s="211">
        <v>0</v>
      </c>
      <c r="L428" s="211">
        <v>0</v>
      </c>
      <c r="M428" s="211">
        <v>0</v>
      </c>
      <c r="N428" s="211">
        <v>0</v>
      </c>
      <c r="O428" s="211">
        <v>0</v>
      </c>
      <c r="P428" s="211">
        <v>0</v>
      </c>
      <c r="Q428" s="211">
        <v>0</v>
      </c>
      <c r="R428" s="211">
        <v>0</v>
      </c>
      <c r="S428" s="211">
        <v>0</v>
      </c>
      <c r="T428" s="211">
        <v>0</v>
      </c>
      <c r="U428" s="211">
        <v>0</v>
      </c>
      <c r="V428" s="211">
        <v>0</v>
      </c>
      <c r="W428" s="211">
        <v>0</v>
      </c>
      <c r="X428" s="211">
        <v>0</v>
      </c>
      <c r="Y428" s="211">
        <v>0</v>
      </c>
      <c r="Z428" s="211">
        <v>0</v>
      </c>
      <c r="AA428" s="211">
        <v>0</v>
      </c>
      <c r="AB428" s="211">
        <v>0</v>
      </c>
      <c r="AC428" s="211">
        <v>0</v>
      </c>
      <c r="AD428" s="211">
        <v>0</v>
      </c>
      <c r="AE428" s="211">
        <v>0</v>
      </c>
      <c r="AF428" s="211">
        <v>0</v>
      </c>
      <c r="AG428" s="211">
        <v>0</v>
      </c>
    </row>
    <row r="429" spans="1:33" x14ac:dyDescent="0.25">
      <c r="A429" s="121"/>
      <c r="B429" s="210" t="s">
        <v>1153</v>
      </c>
      <c r="C429" s="211">
        <v>0</v>
      </c>
      <c r="D429" s="211">
        <v>0</v>
      </c>
      <c r="E429" s="211">
        <v>0</v>
      </c>
      <c r="F429" s="211">
        <v>0</v>
      </c>
      <c r="G429" s="211">
        <v>0</v>
      </c>
      <c r="H429" s="211">
        <v>0</v>
      </c>
      <c r="I429" s="211">
        <v>0</v>
      </c>
      <c r="J429" s="211">
        <v>0</v>
      </c>
      <c r="K429" s="211">
        <v>0</v>
      </c>
      <c r="L429" s="211">
        <v>0</v>
      </c>
      <c r="M429" s="211">
        <v>0</v>
      </c>
      <c r="N429" s="211">
        <v>0</v>
      </c>
      <c r="O429" s="211">
        <v>0</v>
      </c>
      <c r="P429" s="211">
        <v>0</v>
      </c>
      <c r="Q429" s="211">
        <v>0</v>
      </c>
      <c r="R429" s="211">
        <v>0</v>
      </c>
      <c r="S429" s="211">
        <v>0</v>
      </c>
      <c r="T429" s="211">
        <v>0</v>
      </c>
      <c r="U429" s="211">
        <v>0</v>
      </c>
      <c r="V429" s="211">
        <v>0</v>
      </c>
      <c r="W429" s="211">
        <v>0</v>
      </c>
      <c r="X429" s="211">
        <v>0</v>
      </c>
      <c r="Y429" s="211">
        <v>0</v>
      </c>
      <c r="Z429" s="211">
        <v>0</v>
      </c>
      <c r="AA429" s="211">
        <v>0</v>
      </c>
      <c r="AB429" s="211">
        <v>0</v>
      </c>
      <c r="AC429" s="211">
        <v>0</v>
      </c>
      <c r="AD429" s="211">
        <v>0</v>
      </c>
      <c r="AE429" s="211">
        <v>0</v>
      </c>
      <c r="AF429" s="211">
        <v>0</v>
      </c>
      <c r="AG429" s="211">
        <v>0</v>
      </c>
    </row>
    <row r="430" spans="1:33" x14ac:dyDescent="0.25">
      <c r="A430" s="121"/>
      <c r="B430" s="210" t="s">
        <v>1154</v>
      </c>
      <c r="C430" s="211">
        <v>0</v>
      </c>
      <c r="D430" s="211">
        <v>0</v>
      </c>
      <c r="E430" s="211">
        <v>0</v>
      </c>
      <c r="F430" s="211">
        <v>0</v>
      </c>
      <c r="G430" s="211">
        <v>0</v>
      </c>
      <c r="H430" s="211">
        <v>0</v>
      </c>
      <c r="I430" s="211">
        <v>0</v>
      </c>
      <c r="J430" s="211">
        <v>0</v>
      </c>
      <c r="K430" s="211">
        <v>0</v>
      </c>
      <c r="L430" s="211">
        <v>0</v>
      </c>
      <c r="M430" s="211">
        <v>0</v>
      </c>
      <c r="N430" s="211">
        <v>0</v>
      </c>
      <c r="O430" s="211">
        <v>0</v>
      </c>
      <c r="P430" s="211">
        <v>0</v>
      </c>
      <c r="Q430" s="211">
        <v>0</v>
      </c>
      <c r="R430" s="211">
        <v>0</v>
      </c>
      <c r="S430" s="211">
        <v>0</v>
      </c>
      <c r="T430" s="211">
        <v>0</v>
      </c>
      <c r="U430" s="211">
        <v>0</v>
      </c>
      <c r="V430" s="211">
        <v>0</v>
      </c>
      <c r="W430" s="211">
        <v>0</v>
      </c>
      <c r="X430" s="211">
        <v>0</v>
      </c>
      <c r="Y430" s="211">
        <v>0</v>
      </c>
      <c r="Z430" s="211">
        <v>0</v>
      </c>
      <c r="AA430" s="211">
        <v>0</v>
      </c>
      <c r="AB430" s="211">
        <v>0</v>
      </c>
      <c r="AC430" s="211">
        <v>0</v>
      </c>
      <c r="AD430" s="211">
        <v>0</v>
      </c>
      <c r="AE430" s="211">
        <v>0</v>
      </c>
      <c r="AF430" s="211">
        <v>0</v>
      </c>
      <c r="AG430" s="211">
        <v>0</v>
      </c>
    </row>
    <row r="431" spans="1:33" x14ac:dyDescent="0.25">
      <c r="A431" s="121"/>
      <c r="B431" s="210" t="s">
        <v>1155</v>
      </c>
      <c r="C431" s="211">
        <v>0</v>
      </c>
      <c r="D431" s="211">
        <v>0</v>
      </c>
      <c r="E431" s="211">
        <v>0</v>
      </c>
      <c r="F431" s="211">
        <v>0</v>
      </c>
      <c r="G431" s="211">
        <v>0</v>
      </c>
      <c r="H431" s="211">
        <v>0</v>
      </c>
      <c r="I431" s="211">
        <v>0</v>
      </c>
      <c r="J431" s="211">
        <v>0</v>
      </c>
      <c r="K431" s="211">
        <v>0</v>
      </c>
      <c r="L431" s="211">
        <v>0</v>
      </c>
      <c r="M431" s="211">
        <v>0</v>
      </c>
      <c r="N431" s="211">
        <v>0</v>
      </c>
      <c r="O431" s="211">
        <v>0</v>
      </c>
      <c r="P431" s="211">
        <v>0</v>
      </c>
      <c r="Q431" s="211">
        <v>0</v>
      </c>
      <c r="R431" s="211">
        <v>0</v>
      </c>
      <c r="S431" s="211">
        <v>0</v>
      </c>
      <c r="T431" s="211">
        <v>0</v>
      </c>
      <c r="U431" s="211">
        <v>0</v>
      </c>
      <c r="V431" s="211">
        <v>0</v>
      </c>
      <c r="W431" s="211">
        <v>0</v>
      </c>
      <c r="X431" s="211">
        <v>0</v>
      </c>
      <c r="Y431" s="211">
        <v>0</v>
      </c>
      <c r="Z431" s="211">
        <v>0</v>
      </c>
      <c r="AA431" s="211">
        <v>0</v>
      </c>
      <c r="AB431" s="211">
        <v>0</v>
      </c>
      <c r="AC431" s="211">
        <v>0</v>
      </c>
      <c r="AD431" s="211">
        <v>0</v>
      </c>
      <c r="AE431" s="211">
        <v>0</v>
      </c>
      <c r="AF431" s="211">
        <v>0</v>
      </c>
      <c r="AG431" s="211">
        <v>0</v>
      </c>
    </row>
    <row r="432" spans="1:33" x14ac:dyDescent="0.25">
      <c r="A432" s="121"/>
      <c r="B432" s="210" t="s">
        <v>1156</v>
      </c>
      <c r="C432" s="211">
        <v>0</v>
      </c>
      <c r="D432" s="211">
        <v>0</v>
      </c>
      <c r="E432" s="211">
        <v>0</v>
      </c>
      <c r="F432" s="211">
        <v>0</v>
      </c>
      <c r="G432" s="211">
        <v>0</v>
      </c>
      <c r="H432" s="211">
        <v>0</v>
      </c>
      <c r="I432" s="211">
        <v>0</v>
      </c>
      <c r="J432" s="211">
        <v>0</v>
      </c>
      <c r="K432" s="211">
        <v>0</v>
      </c>
      <c r="L432" s="211">
        <v>0</v>
      </c>
      <c r="M432" s="211">
        <v>0</v>
      </c>
      <c r="N432" s="211">
        <v>0</v>
      </c>
      <c r="O432" s="211">
        <v>0</v>
      </c>
      <c r="P432" s="211">
        <v>0</v>
      </c>
      <c r="Q432" s="211">
        <v>0</v>
      </c>
      <c r="R432" s="211">
        <v>0</v>
      </c>
      <c r="S432" s="211">
        <v>0</v>
      </c>
      <c r="T432" s="211">
        <v>0</v>
      </c>
      <c r="U432" s="211">
        <v>0</v>
      </c>
      <c r="V432" s="211">
        <v>0</v>
      </c>
      <c r="W432" s="211">
        <v>0</v>
      </c>
      <c r="X432" s="211">
        <v>0</v>
      </c>
      <c r="Y432" s="211">
        <v>0</v>
      </c>
      <c r="Z432" s="211">
        <v>0</v>
      </c>
      <c r="AA432" s="211">
        <v>0</v>
      </c>
      <c r="AB432" s="211">
        <v>0</v>
      </c>
      <c r="AC432" s="211">
        <v>0</v>
      </c>
      <c r="AD432" s="211">
        <v>0</v>
      </c>
      <c r="AE432" s="211">
        <v>0</v>
      </c>
      <c r="AF432" s="211">
        <v>0</v>
      </c>
      <c r="AG432" s="211">
        <v>0</v>
      </c>
    </row>
    <row r="433" spans="1:33" x14ac:dyDescent="0.25">
      <c r="A433" s="121"/>
      <c r="B433" s="210" t="s">
        <v>1157</v>
      </c>
      <c r="C433" s="211">
        <v>0</v>
      </c>
      <c r="D433" s="211">
        <v>0</v>
      </c>
      <c r="E433" s="211">
        <v>0</v>
      </c>
      <c r="F433" s="211">
        <v>0</v>
      </c>
      <c r="G433" s="211">
        <v>0</v>
      </c>
      <c r="H433" s="211">
        <v>0</v>
      </c>
      <c r="I433" s="211">
        <v>0</v>
      </c>
      <c r="J433" s="211">
        <v>0</v>
      </c>
      <c r="K433" s="211">
        <v>0</v>
      </c>
      <c r="L433" s="211">
        <v>0</v>
      </c>
      <c r="M433" s="211">
        <v>0</v>
      </c>
      <c r="N433" s="211">
        <v>0</v>
      </c>
      <c r="O433" s="211">
        <v>0</v>
      </c>
      <c r="P433" s="211">
        <v>0</v>
      </c>
      <c r="Q433" s="211">
        <v>0</v>
      </c>
      <c r="R433" s="211">
        <v>0</v>
      </c>
      <c r="S433" s="211">
        <v>0</v>
      </c>
      <c r="T433" s="211">
        <v>0</v>
      </c>
      <c r="U433" s="211">
        <v>0</v>
      </c>
      <c r="V433" s="211">
        <v>0</v>
      </c>
      <c r="W433" s="211">
        <v>0</v>
      </c>
      <c r="X433" s="211">
        <v>0</v>
      </c>
      <c r="Y433" s="211">
        <v>0</v>
      </c>
      <c r="Z433" s="211">
        <v>0</v>
      </c>
      <c r="AA433" s="211">
        <v>0</v>
      </c>
      <c r="AB433" s="211">
        <v>0</v>
      </c>
      <c r="AC433" s="211">
        <v>0</v>
      </c>
      <c r="AD433" s="211">
        <v>0</v>
      </c>
      <c r="AE433" s="211">
        <v>0</v>
      </c>
      <c r="AF433" s="211">
        <v>0</v>
      </c>
      <c r="AG433" s="211">
        <v>0</v>
      </c>
    </row>
    <row r="434" spans="1:33" x14ac:dyDescent="0.25">
      <c r="A434" s="121"/>
      <c r="B434" s="210" t="s">
        <v>1158</v>
      </c>
      <c r="C434" s="211">
        <v>0</v>
      </c>
      <c r="D434" s="211">
        <v>0</v>
      </c>
      <c r="E434" s="211">
        <v>0</v>
      </c>
      <c r="F434" s="211">
        <v>0</v>
      </c>
      <c r="G434" s="211">
        <v>0</v>
      </c>
      <c r="H434" s="211">
        <v>0</v>
      </c>
      <c r="I434" s="211">
        <v>0</v>
      </c>
      <c r="J434" s="211">
        <v>0</v>
      </c>
      <c r="K434" s="211">
        <v>0</v>
      </c>
      <c r="L434" s="211">
        <v>0</v>
      </c>
      <c r="M434" s="211">
        <v>0</v>
      </c>
      <c r="N434" s="211">
        <v>0</v>
      </c>
      <c r="O434" s="211">
        <v>0</v>
      </c>
      <c r="P434" s="211">
        <v>0</v>
      </c>
      <c r="Q434" s="211">
        <v>0</v>
      </c>
      <c r="R434" s="211">
        <v>0</v>
      </c>
      <c r="S434" s="211">
        <v>0</v>
      </c>
      <c r="T434" s="211">
        <v>0</v>
      </c>
      <c r="U434" s="211">
        <v>0</v>
      </c>
      <c r="V434" s="211">
        <v>0</v>
      </c>
      <c r="W434" s="211">
        <v>0</v>
      </c>
      <c r="X434" s="211">
        <v>0</v>
      </c>
      <c r="Y434" s="211">
        <v>0</v>
      </c>
      <c r="Z434" s="211">
        <v>0</v>
      </c>
      <c r="AA434" s="211">
        <v>0</v>
      </c>
      <c r="AB434" s="211">
        <v>0</v>
      </c>
      <c r="AC434" s="211">
        <v>0</v>
      </c>
      <c r="AD434" s="211">
        <v>0</v>
      </c>
      <c r="AE434" s="211">
        <v>0</v>
      </c>
      <c r="AF434" s="211">
        <v>0</v>
      </c>
      <c r="AG434" s="211">
        <v>0</v>
      </c>
    </row>
    <row r="435" spans="1:33" x14ac:dyDescent="0.25">
      <c r="A435" s="121"/>
      <c r="B435" s="210" t="s">
        <v>5</v>
      </c>
      <c r="C435" s="211">
        <v>0</v>
      </c>
      <c r="D435" s="211">
        <v>0</v>
      </c>
      <c r="E435" s="211">
        <v>0</v>
      </c>
      <c r="F435" s="211">
        <v>0</v>
      </c>
      <c r="G435" s="211">
        <v>0</v>
      </c>
      <c r="H435" s="211">
        <v>0</v>
      </c>
      <c r="I435" s="211">
        <v>0</v>
      </c>
      <c r="J435" s="211">
        <v>0</v>
      </c>
      <c r="K435" s="211">
        <v>0</v>
      </c>
      <c r="L435" s="211">
        <v>0</v>
      </c>
      <c r="M435" s="211">
        <v>0</v>
      </c>
      <c r="N435" s="211">
        <v>0</v>
      </c>
      <c r="O435" s="211">
        <v>0</v>
      </c>
      <c r="P435" s="211">
        <v>0</v>
      </c>
      <c r="Q435" s="211">
        <v>0</v>
      </c>
      <c r="R435" s="211">
        <v>0</v>
      </c>
      <c r="S435" s="211">
        <v>0</v>
      </c>
      <c r="T435" s="211">
        <v>0</v>
      </c>
      <c r="U435" s="211">
        <v>0</v>
      </c>
      <c r="V435" s="211">
        <v>0</v>
      </c>
      <c r="W435" s="211">
        <v>0</v>
      </c>
      <c r="X435" s="211">
        <v>0</v>
      </c>
      <c r="Y435" s="211">
        <v>0</v>
      </c>
      <c r="Z435" s="211">
        <v>0</v>
      </c>
      <c r="AA435" s="211">
        <v>0</v>
      </c>
      <c r="AB435" s="211">
        <v>0</v>
      </c>
      <c r="AC435" s="211">
        <v>0</v>
      </c>
      <c r="AD435" s="211">
        <v>0</v>
      </c>
      <c r="AE435" s="211">
        <v>0</v>
      </c>
      <c r="AF435" s="211">
        <v>0</v>
      </c>
      <c r="AG435" s="211">
        <v>0</v>
      </c>
    </row>
    <row r="436" spans="1:33" x14ac:dyDescent="0.25">
      <c r="A436" s="207" t="s">
        <v>521</v>
      </c>
      <c r="B436" s="208"/>
      <c r="C436" s="209"/>
      <c r="D436" s="209"/>
      <c r="E436" s="209"/>
      <c r="F436" s="209"/>
      <c r="G436" s="209"/>
      <c r="H436" s="209"/>
      <c r="I436" s="209"/>
      <c r="J436" s="209"/>
      <c r="K436" s="209"/>
      <c r="L436" s="209"/>
      <c r="M436" s="209"/>
      <c r="N436" s="209"/>
      <c r="O436" s="209"/>
      <c r="P436" s="209"/>
      <c r="Q436" s="209"/>
      <c r="R436" s="209"/>
      <c r="S436" s="209"/>
      <c r="T436" s="209"/>
      <c r="U436" s="209"/>
      <c r="V436" s="209"/>
      <c r="W436" s="209"/>
      <c r="X436" s="209"/>
      <c r="Y436" s="209"/>
      <c r="Z436" s="209"/>
      <c r="AA436" s="209"/>
      <c r="AB436" s="209"/>
      <c r="AC436" s="209"/>
      <c r="AD436" s="209"/>
      <c r="AE436" s="209"/>
      <c r="AF436" s="209"/>
      <c r="AG436" s="209"/>
    </row>
    <row r="437" spans="1:33" x14ac:dyDescent="0.25">
      <c r="A437" s="121"/>
      <c r="B437" s="210" t="s">
        <v>522</v>
      </c>
      <c r="C437" s="211">
        <v>0</v>
      </c>
      <c r="D437" s="211">
        <v>0</v>
      </c>
      <c r="E437" s="211">
        <v>0</v>
      </c>
      <c r="F437" s="211">
        <v>7.25441</v>
      </c>
      <c r="G437" s="211">
        <v>0</v>
      </c>
      <c r="H437" s="211">
        <v>0</v>
      </c>
      <c r="I437" s="211">
        <v>0</v>
      </c>
      <c r="J437" s="211">
        <v>0.18</v>
      </c>
      <c r="K437" s="211">
        <v>0</v>
      </c>
      <c r="L437" s="211">
        <v>0</v>
      </c>
      <c r="M437" s="211">
        <v>7.25441</v>
      </c>
      <c r="N437" s="211">
        <v>0</v>
      </c>
      <c r="O437" s="211">
        <v>0</v>
      </c>
      <c r="P437" s="211">
        <v>0</v>
      </c>
      <c r="Q437" s="211">
        <v>0</v>
      </c>
      <c r="R437" s="211">
        <v>2.2879999999999998</v>
      </c>
      <c r="S437" s="211">
        <v>7.3544099999999997</v>
      </c>
      <c r="T437" s="211">
        <v>0</v>
      </c>
      <c r="U437" s="211">
        <v>0</v>
      </c>
      <c r="V437" s="211">
        <v>0</v>
      </c>
      <c r="W437" s="211">
        <v>0.301952</v>
      </c>
      <c r="X437" s="211">
        <v>0</v>
      </c>
      <c r="Y437" s="211">
        <v>2.2000000000000002</v>
      </c>
      <c r="Z437" s="211">
        <v>0</v>
      </c>
      <c r="AA437" s="211">
        <v>0</v>
      </c>
      <c r="AB437" s="211">
        <v>0</v>
      </c>
      <c r="AC437" s="211">
        <v>0</v>
      </c>
      <c r="AD437" s="211">
        <v>0</v>
      </c>
      <c r="AE437" s="211">
        <v>0</v>
      </c>
      <c r="AF437" s="211">
        <v>0</v>
      </c>
      <c r="AG437" s="211">
        <v>26.833181999999997</v>
      </c>
    </row>
    <row r="438" spans="1:33" x14ac:dyDescent="0.25">
      <c r="A438" s="121"/>
      <c r="B438" s="210" t="s">
        <v>523</v>
      </c>
      <c r="C438" s="211">
        <v>0</v>
      </c>
      <c r="D438" s="211">
        <v>0</v>
      </c>
      <c r="E438" s="211">
        <v>0</v>
      </c>
      <c r="F438" s="211">
        <v>26.246400000000001</v>
      </c>
      <c r="G438" s="211">
        <v>0</v>
      </c>
      <c r="H438" s="211">
        <v>0</v>
      </c>
      <c r="I438" s="211">
        <v>0</v>
      </c>
      <c r="J438" s="211">
        <v>3</v>
      </c>
      <c r="K438" s="211">
        <v>0</v>
      </c>
      <c r="L438" s="211">
        <v>0</v>
      </c>
      <c r="M438" s="211">
        <v>26.246400000000001</v>
      </c>
      <c r="N438" s="211">
        <v>0</v>
      </c>
      <c r="O438" s="211">
        <v>0</v>
      </c>
      <c r="P438" s="211">
        <v>0</v>
      </c>
      <c r="Q438" s="211">
        <v>0</v>
      </c>
      <c r="R438" s="211">
        <v>8.7444600000000001</v>
      </c>
      <c r="S438" s="211">
        <v>26.246400000000001</v>
      </c>
      <c r="T438" s="211">
        <v>0</v>
      </c>
      <c r="U438" s="211">
        <v>0</v>
      </c>
      <c r="V438" s="211">
        <v>0</v>
      </c>
      <c r="W438" s="211">
        <v>2.1304599999999998</v>
      </c>
      <c r="X438" s="211">
        <v>41</v>
      </c>
      <c r="Y438" s="211">
        <v>3</v>
      </c>
      <c r="Z438" s="211">
        <v>0</v>
      </c>
      <c r="AA438" s="211">
        <v>0</v>
      </c>
      <c r="AB438" s="211">
        <v>0</v>
      </c>
      <c r="AC438" s="211">
        <v>0</v>
      </c>
      <c r="AD438" s="211">
        <v>0</v>
      </c>
      <c r="AE438" s="211">
        <v>0</v>
      </c>
      <c r="AF438" s="211">
        <v>0</v>
      </c>
      <c r="AG438" s="211">
        <v>136.61412000000001</v>
      </c>
    </row>
    <row r="439" spans="1:33" x14ac:dyDescent="0.25">
      <c r="A439" s="207" t="s">
        <v>1159</v>
      </c>
      <c r="B439" s="208"/>
      <c r="C439" s="209"/>
      <c r="D439" s="209"/>
      <c r="E439" s="209"/>
      <c r="F439" s="209"/>
      <c r="G439" s="209"/>
      <c r="H439" s="209"/>
      <c r="I439" s="209"/>
      <c r="J439" s="209"/>
      <c r="K439" s="209"/>
      <c r="L439" s="209"/>
      <c r="M439" s="209"/>
      <c r="N439" s="209"/>
      <c r="O439" s="209"/>
      <c r="P439" s="209"/>
      <c r="Q439" s="209"/>
      <c r="R439" s="209"/>
      <c r="S439" s="209"/>
      <c r="T439" s="209"/>
      <c r="U439" s="209"/>
      <c r="V439" s="209"/>
      <c r="W439" s="209"/>
      <c r="X439" s="209"/>
      <c r="Y439" s="209"/>
      <c r="Z439" s="209"/>
      <c r="AA439" s="209"/>
      <c r="AB439" s="209"/>
      <c r="AC439" s="209"/>
      <c r="AD439" s="209"/>
      <c r="AE439" s="209"/>
      <c r="AF439" s="209"/>
      <c r="AG439" s="209"/>
    </row>
    <row r="440" spans="1:33" x14ac:dyDescent="0.25">
      <c r="A440" s="121"/>
      <c r="B440" s="210" t="s">
        <v>1160</v>
      </c>
      <c r="C440" s="211">
        <v>0</v>
      </c>
      <c r="D440" s="211">
        <v>0</v>
      </c>
      <c r="E440" s="211">
        <v>0</v>
      </c>
      <c r="F440" s="211">
        <v>0</v>
      </c>
      <c r="G440" s="211">
        <v>0</v>
      </c>
      <c r="H440" s="211">
        <v>0</v>
      </c>
      <c r="I440" s="211">
        <v>0</v>
      </c>
      <c r="J440" s="211">
        <v>0</v>
      </c>
      <c r="K440" s="211">
        <v>0</v>
      </c>
      <c r="L440" s="211">
        <v>0</v>
      </c>
      <c r="M440" s="211">
        <v>0</v>
      </c>
      <c r="N440" s="211">
        <v>0</v>
      </c>
      <c r="O440" s="211">
        <v>0</v>
      </c>
      <c r="P440" s="211">
        <v>0</v>
      </c>
      <c r="Q440" s="211">
        <v>0</v>
      </c>
      <c r="R440" s="211">
        <v>0</v>
      </c>
      <c r="S440" s="211">
        <v>0</v>
      </c>
      <c r="T440" s="211">
        <v>0</v>
      </c>
      <c r="U440" s="211">
        <v>0</v>
      </c>
      <c r="V440" s="211">
        <v>0</v>
      </c>
      <c r="W440" s="211">
        <v>0</v>
      </c>
      <c r="X440" s="211">
        <v>0</v>
      </c>
      <c r="Y440" s="211">
        <v>0</v>
      </c>
      <c r="Z440" s="211">
        <v>0</v>
      </c>
      <c r="AA440" s="211">
        <v>0</v>
      </c>
      <c r="AB440" s="211">
        <v>0</v>
      </c>
      <c r="AC440" s="211">
        <v>0</v>
      </c>
      <c r="AD440" s="211">
        <v>0</v>
      </c>
      <c r="AE440" s="211">
        <v>0</v>
      </c>
      <c r="AF440" s="211">
        <v>0</v>
      </c>
      <c r="AG440" s="211">
        <v>0</v>
      </c>
    </row>
    <row r="441" spans="1:33" x14ac:dyDescent="0.25">
      <c r="A441" s="207" t="s">
        <v>524</v>
      </c>
      <c r="B441" s="208"/>
      <c r="C441" s="209"/>
      <c r="D441" s="209"/>
      <c r="E441" s="209"/>
      <c r="F441" s="209"/>
      <c r="G441" s="209"/>
      <c r="H441" s="209"/>
      <c r="I441" s="209"/>
      <c r="J441" s="209"/>
      <c r="K441" s="209"/>
      <c r="L441" s="209"/>
      <c r="M441" s="209"/>
      <c r="N441" s="209"/>
      <c r="O441" s="209"/>
      <c r="P441" s="209"/>
      <c r="Q441" s="209"/>
      <c r="R441" s="209"/>
      <c r="S441" s="209"/>
      <c r="T441" s="209"/>
      <c r="U441" s="209"/>
      <c r="V441" s="209"/>
      <c r="W441" s="209"/>
      <c r="X441" s="209"/>
      <c r="Y441" s="209"/>
      <c r="Z441" s="209"/>
      <c r="AA441" s="209"/>
      <c r="AB441" s="209"/>
      <c r="AC441" s="209"/>
      <c r="AD441" s="209"/>
      <c r="AE441" s="209"/>
      <c r="AF441" s="209"/>
      <c r="AG441" s="209"/>
    </row>
    <row r="442" spans="1:33" x14ac:dyDescent="0.25">
      <c r="A442" s="121"/>
      <c r="B442" s="210" t="s">
        <v>525</v>
      </c>
      <c r="C442" s="211">
        <v>0</v>
      </c>
      <c r="D442" s="211">
        <v>0</v>
      </c>
      <c r="E442" s="211">
        <v>0</v>
      </c>
      <c r="F442" s="211">
        <v>0</v>
      </c>
      <c r="G442" s="211">
        <v>5.58094</v>
      </c>
      <c r="H442" s="211">
        <v>3.3255599999999998</v>
      </c>
      <c r="I442" s="211">
        <v>3.8462000000000003E-2</v>
      </c>
      <c r="J442" s="211">
        <v>0</v>
      </c>
      <c r="K442" s="211">
        <v>0</v>
      </c>
      <c r="L442" s="211">
        <v>0</v>
      </c>
      <c r="M442" s="211">
        <v>29.2563</v>
      </c>
      <c r="N442" s="211">
        <v>0</v>
      </c>
      <c r="O442" s="211">
        <v>0</v>
      </c>
      <c r="P442" s="211">
        <v>15.55</v>
      </c>
      <c r="Q442" s="211">
        <v>0</v>
      </c>
      <c r="R442" s="211">
        <v>14.3447</v>
      </c>
      <c r="S442" s="211">
        <v>48.900599999999997</v>
      </c>
      <c r="T442" s="211">
        <v>0</v>
      </c>
      <c r="U442" s="211">
        <v>0</v>
      </c>
      <c r="V442" s="211">
        <v>0</v>
      </c>
      <c r="W442" s="211">
        <v>3.1807599999999998</v>
      </c>
      <c r="X442" s="211">
        <v>0</v>
      </c>
      <c r="Y442" s="211">
        <v>40.401200000000003</v>
      </c>
      <c r="Z442" s="211">
        <v>0</v>
      </c>
      <c r="AA442" s="211">
        <v>0</v>
      </c>
      <c r="AB442" s="211">
        <v>0</v>
      </c>
      <c r="AC442" s="211">
        <v>0</v>
      </c>
      <c r="AD442" s="211">
        <v>0</v>
      </c>
      <c r="AE442" s="211">
        <v>0</v>
      </c>
      <c r="AF442" s="211">
        <v>15.125</v>
      </c>
      <c r="AG442" s="211">
        <v>175.70352200000002</v>
      </c>
    </row>
    <row r="443" spans="1:33" x14ac:dyDescent="0.25">
      <c r="A443" s="207" t="s">
        <v>526</v>
      </c>
      <c r="B443" s="208"/>
      <c r="C443" s="209"/>
      <c r="D443" s="209"/>
      <c r="E443" s="209"/>
      <c r="F443" s="209"/>
      <c r="G443" s="209"/>
      <c r="H443" s="209"/>
      <c r="I443" s="209"/>
      <c r="J443" s="209"/>
      <c r="K443" s="209"/>
      <c r="L443" s="209"/>
      <c r="M443" s="209"/>
      <c r="N443" s="209"/>
      <c r="O443" s="209"/>
      <c r="P443" s="209"/>
      <c r="Q443" s="209"/>
      <c r="R443" s="209"/>
      <c r="S443" s="209"/>
      <c r="T443" s="209"/>
      <c r="U443" s="209"/>
      <c r="V443" s="209"/>
      <c r="W443" s="209"/>
      <c r="X443" s="209"/>
      <c r="Y443" s="209"/>
      <c r="Z443" s="209"/>
      <c r="AA443" s="209"/>
      <c r="AB443" s="209"/>
      <c r="AC443" s="209"/>
      <c r="AD443" s="209"/>
      <c r="AE443" s="209"/>
      <c r="AF443" s="209"/>
      <c r="AG443" s="209"/>
    </row>
    <row r="444" spans="1:33" x14ac:dyDescent="0.25">
      <c r="A444" s="121"/>
      <c r="B444" s="210" t="s">
        <v>527</v>
      </c>
      <c r="C444" s="211">
        <v>0</v>
      </c>
      <c r="D444" s="211">
        <v>0</v>
      </c>
      <c r="E444" s="211">
        <v>0</v>
      </c>
      <c r="F444" s="211">
        <v>0</v>
      </c>
      <c r="G444" s="211">
        <v>0</v>
      </c>
      <c r="H444" s="211">
        <v>0</v>
      </c>
      <c r="I444" s="211">
        <v>0</v>
      </c>
      <c r="J444" s="211">
        <v>1.08</v>
      </c>
      <c r="K444" s="211">
        <v>0</v>
      </c>
      <c r="L444" s="211">
        <v>0</v>
      </c>
      <c r="M444" s="211">
        <v>0</v>
      </c>
      <c r="N444" s="211">
        <v>0</v>
      </c>
      <c r="O444" s="211">
        <v>35.375</v>
      </c>
      <c r="P444" s="211">
        <v>28.713000000000001</v>
      </c>
      <c r="Q444" s="211">
        <v>0</v>
      </c>
      <c r="R444" s="211">
        <v>55.508000000000003</v>
      </c>
      <c r="S444" s="211">
        <v>0</v>
      </c>
      <c r="T444" s="211">
        <v>0</v>
      </c>
      <c r="U444" s="211">
        <v>0</v>
      </c>
      <c r="V444" s="211">
        <v>112.46899999999999</v>
      </c>
      <c r="W444" s="211">
        <v>8.67</v>
      </c>
      <c r="X444" s="211">
        <v>0</v>
      </c>
      <c r="Y444" s="211">
        <v>68</v>
      </c>
      <c r="Z444" s="211">
        <v>0</v>
      </c>
      <c r="AA444" s="211">
        <v>0</v>
      </c>
      <c r="AB444" s="211">
        <v>0</v>
      </c>
      <c r="AC444" s="211">
        <v>0</v>
      </c>
      <c r="AD444" s="211">
        <v>1.0940000000000001</v>
      </c>
      <c r="AE444" s="211">
        <v>0</v>
      </c>
      <c r="AF444" s="211">
        <v>0.59899999999999998</v>
      </c>
      <c r="AG444" s="211">
        <v>311.50799999999998</v>
      </c>
    </row>
    <row r="445" spans="1:33" x14ac:dyDescent="0.25">
      <c r="A445" s="207" t="s">
        <v>528</v>
      </c>
      <c r="B445" s="208"/>
      <c r="C445" s="209"/>
      <c r="D445" s="209"/>
      <c r="E445" s="209"/>
      <c r="F445" s="209"/>
      <c r="G445" s="209"/>
      <c r="H445" s="209"/>
      <c r="I445" s="209"/>
      <c r="J445" s="209"/>
      <c r="K445" s="209"/>
      <c r="L445" s="209"/>
      <c r="M445" s="209"/>
      <c r="N445" s="209"/>
      <c r="O445" s="209"/>
      <c r="P445" s="209"/>
      <c r="Q445" s="209"/>
      <c r="R445" s="209"/>
      <c r="S445" s="209"/>
      <c r="T445" s="209"/>
      <c r="U445" s="209"/>
      <c r="V445" s="209"/>
      <c r="W445" s="209"/>
      <c r="X445" s="209"/>
      <c r="Y445" s="209"/>
      <c r="Z445" s="209"/>
      <c r="AA445" s="209"/>
      <c r="AB445" s="209"/>
      <c r="AC445" s="209"/>
      <c r="AD445" s="209"/>
      <c r="AE445" s="209"/>
      <c r="AF445" s="209"/>
      <c r="AG445" s="209"/>
    </row>
    <row r="446" spans="1:33" x14ac:dyDescent="0.25">
      <c r="A446" s="121"/>
      <c r="B446" s="210" t="s">
        <v>529</v>
      </c>
      <c r="C446" s="211">
        <v>0</v>
      </c>
      <c r="D446" s="211">
        <v>0</v>
      </c>
      <c r="E446" s="211">
        <v>0</v>
      </c>
      <c r="F446" s="211">
        <v>6.5518700000000001</v>
      </c>
      <c r="G446" s="211">
        <v>0</v>
      </c>
      <c r="H446" s="211">
        <v>0</v>
      </c>
      <c r="I446" s="211">
        <v>0</v>
      </c>
      <c r="J446" s="211">
        <v>10.308999999999999</v>
      </c>
      <c r="K446" s="211">
        <v>0</v>
      </c>
      <c r="L446" s="211">
        <v>0</v>
      </c>
      <c r="M446" s="211">
        <v>1.63361</v>
      </c>
      <c r="N446" s="211">
        <v>0</v>
      </c>
      <c r="O446" s="211">
        <v>115.462</v>
      </c>
      <c r="P446" s="211">
        <v>17.63</v>
      </c>
      <c r="Q446" s="211">
        <v>0</v>
      </c>
      <c r="R446" s="211">
        <v>0</v>
      </c>
      <c r="S446" s="211">
        <v>0</v>
      </c>
      <c r="T446" s="211">
        <v>0</v>
      </c>
      <c r="U446" s="211">
        <v>0</v>
      </c>
      <c r="V446" s="211">
        <v>0</v>
      </c>
      <c r="W446" s="211">
        <v>4.4977999999999998</v>
      </c>
      <c r="X446" s="211">
        <v>0</v>
      </c>
      <c r="Y446" s="211">
        <v>24.922000000000001</v>
      </c>
      <c r="Z446" s="211">
        <v>0</v>
      </c>
      <c r="AA446" s="211">
        <v>0</v>
      </c>
      <c r="AB446" s="211">
        <v>0</v>
      </c>
      <c r="AC446" s="211">
        <v>0</v>
      </c>
      <c r="AD446" s="211">
        <v>0</v>
      </c>
      <c r="AE446" s="211">
        <v>0</v>
      </c>
      <c r="AF446" s="211">
        <v>13.024699999999999</v>
      </c>
      <c r="AG446" s="211">
        <v>194.03098</v>
      </c>
    </row>
    <row r="447" spans="1:33" x14ac:dyDescent="0.25">
      <c r="A447" s="207" t="s">
        <v>530</v>
      </c>
      <c r="B447" s="208"/>
      <c r="C447" s="209"/>
      <c r="D447" s="209"/>
      <c r="E447" s="209"/>
      <c r="F447" s="209"/>
      <c r="G447" s="209"/>
      <c r="H447" s="209"/>
      <c r="I447" s="209"/>
      <c r="J447" s="209"/>
      <c r="K447" s="209"/>
      <c r="L447" s="209"/>
      <c r="M447" s="209"/>
      <c r="N447" s="209"/>
      <c r="O447" s="209"/>
      <c r="P447" s="209"/>
      <c r="Q447" s="209"/>
      <c r="R447" s="209"/>
      <c r="S447" s="209"/>
      <c r="T447" s="209"/>
      <c r="U447" s="209"/>
      <c r="V447" s="209"/>
      <c r="W447" s="209"/>
      <c r="X447" s="209"/>
      <c r="Y447" s="209"/>
      <c r="Z447" s="209"/>
      <c r="AA447" s="209"/>
      <c r="AB447" s="209"/>
      <c r="AC447" s="209"/>
      <c r="AD447" s="209"/>
      <c r="AE447" s="209"/>
      <c r="AF447" s="209"/>
      <c r="AG447" s="209"/>
    </row>
    <row r="448" spans="1:33" x14ac:dyDescent="0.25">
      <c r="A448" s="121"/>
      <c r="B448" s="210" t="s">
        <v>531</v>
      </c>
      <c r="C448" s="211">
        <v>0</v>
      </c>
      <c r="D448" s="211">
        <v>0</v>
      </c>
      <c r="E448" s="211">
        <v>0</v>
      </c>
      <c r="F448" s="211">
        <v>22.1</v>
      </c>
      <c r="G448" s="211">
        <v>0</v>
      </c>
      <c r="H448" s="211">
        <v>0</v>
      </c>
      <c r="I448" s="211">
        <v>0</v>
      </c>
      <c r="J448" s="211">
        <v>0.6</v>
      </c>
      <c r="K448" s="211">
        <v>0</v>
      </c>
      <c r="L448" s="211">
        <v>0</v>
      </c>
      <c r="M448" s="211">
        <v>69.8</v>
      </c>
      <c r="N448" s="211">
        <v>0</v>
      </c>
      <c r="O448" s="211">
        <v>0</v>
      </c>
      <c r="P448" s="211">
        <v>14.3</v>
      </c>
      <c r="Q448" s="211">
        <v>0</v>
      </c>
      <c r="R448" s="211">
        <v>0</v>
      </c>
      <c r="S448" s="211">
        <v>1.1000000000000001</v>
      </c>
      <c r="T448" s="211">
        <v>0</v>
      </c>
      <c r="U448" s="211">
        <v>0</v>
      </c>
      <c r="V448" s="211">
        <v>0</v>
      </c>
      <c r="W448" s="211">
        <v>1.94</v>
      </c>
      <c r="X448" s="211">
        <v>0</v>
      </c>
      <c r="Y448" s="211">
        <v>0</v>
      </c>
      <c r="Z448" s="211">
        <v>0</v>
      </c>
      <c r="AA448" s="211">
        <v>0</v>
      </c>
      <c r="AB448" s="211">
        <v>0</v>
      </c>
      <c r="AC448" s="211">
        <v>0</v>
      </c>
      <c r="AD448" s="211">
        <v>0</v>
      </c>
      <c r="AE448" s="211">
        <v>0</v>
      </c>
      <c r="AF448" s="211">
        <v>0</v>
      </c>
      <c r="AG448" s="211">
        <v>109.83999999999999</v>
      </c>
    </row>
    <row r="449" spans="1:33" x14ac:dyDescent="0.25">
      <c r="A449" s="207" t="s">
        <v>532</v>
      </c>
      <c r="B449" s="208"/>
      <c r="C449" s="209"/>
      <c r="D449" s="209"/>
      <c r="E449" s="209"/>
      <c r="F449" s="209"/>
      <c r="G449" s="209"/>
      <c r="H449" s="209"/>
      <c r="I449" s="209"/>
      <c r="J449" s="209"/>
      <c r="K449" s="209"/>
      <c r="L449" s="209"/>
      <c r="M449" s="209"/>
      <c r="N449" s="209"/>
      <c r="O449" s="209"/>
      <c r="P449" s="209"/>
      <c r="Q449" s="209"/>
      <c r="R449" s="209"/>
      <c r="S449" s="209"/>
      <c r="T449" s="209"/>
      <c r="U449" s="209"/>
      <c r="V449" s="209"/>
      <c r="W449" s="209"/>
      <c r="X449" s="209"/>
      <c r="Y449" s="209"/>
      <c r="Z449" s="209"/>
      <c r="AA449" s="209"/>
      <c r="AB449" s="209"/>
      <c r="AC449" s="209"/>
      <c r="AD449" s="209"/>
      <c r="AE449" s="209"/>
      <c r="AF449" s="209"/>
      <c r="AG449" s="209"/>
    </row>
    <row r="450" spans="1:33" x14ac:dyDescent="0.25">
      <c r="A450" s="121"/>
      <c r="B450" s="210" t="s">
        <v>533</v>
      </c>
      <c r="C450" s="211">
        <v>0</v>
      </c>
      <c r="D450" s="211">
        <v>0</v>
      </c>
      <c r="E450" s="211">
        <v>0</v>
      </c>
      <c r="F450" s="211">
        <v>0</v>
      </c>
      <c r="G450" s="211">
        <v>0</v>
      </c>
      <c r="H450" s="211">
        <v>0</v>
      </c>
      <c r="I450" s="211">
        <v>3.0000000000000001E-3</v>
      </c>
      <c r="J450" s="211">
        <v>0.16500000000000001</v>
      </c>
      <c r="K450" s="211">
        <v>0</v>
      </c>
      <c r="L450" s="211">
        <v>0</v>
      </c>
      <c r="M450" s="211">
        <v>0</v>
      </c>
      <c r="N450" s="211">
        <v>0</v>
      </c>
      <c r="O450" s="211">
        <v>0</v>
      </c>
      <c r="P450" s="211">
        <v>0</v>
      </c>
      <c r="Q450" s="211">
        <v>0</v>
      </c>
      <c r="R450" s="211">
        <v>0</v>
      </c>
      <c r="S450" s="211">
        <v>0</v>
      </c>
      <c r="T450" s="211">
        <v>0</v>
      </c>
      <c r="U450" s="211">
        <v>0</v>
      </c>
      <c r="V450" s="211">
        <v>0</v>
      </c>
      <c r="W450" s="211">
        <v>0.13100000000000001</v>
      </c>
      <c r="X450" s="211">
        <v>0</v>
      </c>
      <c r="Y450" s="211">
        <v>9.6039999999999992</v>
      </c>
      <c r="Z450" s="211">
        <v>0</v>
      </c>
      <c r="AA450" s="211">
        <v>0</v>
      </c>
      <c r="AB450" s="211">
        <v>0</v>
      </c>
      <c r="AC450" s="211">
        <v>0</v>
      </c>
      <c r="AD450" s="211">
        <v>0</v>
      </c>
      <c r="AE450" s="211">
        <v>0</v>
      </c>
      <c r="AF450" s="211">
        <v>0</v>
      </c>
      <c r="AG450" s="211">
        <v>9.9029999999999987</v>
      </c>
    </row>
    <row r="451" spans="1:33" x14ac:dyDescent="0.25">
      <c r="A451" s="121"/>
      <c r="B451" s="210" t="s">
        <v>534</v>
      </c>
      <c r="C451" s="211">
        <v>0</v>
      </c>
      <c r="D451" s="211">
        <v>0</v>
      </c>
      <c r="E451" s="211">
        <v>0</v>
      </c>
      <c r="F451" s="211">
        <v>0</v>
      </c>
      <c r="G451" s="211">
        <v>0</v>
      </c>
      <c r="H451" s="211">
        <v>0</v>
      </c>
      <c r="I451" s="211">
        <v>0</v>
      </c>
      <c r="J451" s="211">
        <v>6.3E-2</v>
      </c>
      <c r="K451" s="211">
        <v>0</v>
      </c>
      <c r="L451" s="211">
        <v>0</v>
      </c>
      <c r="M451" s="211">
        <v>0</v>
      </c>
      <c r="N451" s="211">
        <v>0</v>
      </c>
      <c r="O451" s="211">
        <v>0</v>
      </c>
      <c r="P451" s="211">
        <v>0</v>
      </c>
      <c r="Q451" s="211">
        <v>0</v>
      </c>
      <c r="R451" s="211">
        <v>0</v>
      </c>
      <c r="S451" s="211">
        <v>0</v>
      </c>
      <c r="T451" s="211">
        <v>0</v>
      </c>
      <c r="U451" s="211">
        <v>0</v>
      </c>
      <c r="V451" s="211">
        <v>0</v>
      </c>
      <c r="W451" s="211">
        <v>0.104</v>
      </c>
      <c r="X451" s="211">
        <v>0</v>
      </c>
      <c r="Y451" s="211">
        <v>10.4</v>
      </c>
      <c r="Z451" s="211">
        <v>0</v>
      </c>
      <c r="AA451" s="211">
        <v>0</v>
      </c>
      <c r="AB451" s="211">
        <v>0</v>
      </c>
      <c r="AC451" s="211">
        <v>0</v>
      </c>
      <c r="AD451" s="211">
        <v>0</v>
      </c>
      <c r="AE451" s="211">
        <v>0</v>
      </c>
      <c r="AF451" s="211">
        <v>0</v>
      </c>
      <c r="AG451" s="211">
        <v>10.567</v>
      </c>
    </row>
    <row r="452" spans="1:33" x14ac:dyDescent="0.25">
      <c r="A452" s="121"/>
      <c r="B452" s="210" t="s">
        <v>536</v>
      </c>
      <c r="C452" s="211">
        <v>0</v>
      </c>
      <c r="D452" s="211">
        <v>0</v>
      </c>
      <c r="E452" s="211">
        <v>0</v>
      </c>
      <c r="F452" s="211">
        <v>5.35466</v>
      </c>
      <c r="G452" s="211">
        <v>0</v>
      </c>
      <c r="H452" s="211">
        <v>0</v>
      </c>
      <c r="I452" s="211">
        <v>5.0000000000000001E-3</v>
      </c>
      <c r="J452" s="211">
        <v>0.499</v>
      </c>
      <c r="K452" s="211">
        <v>0</v>
      </c>
      <c r="L452" s="211">
        <v>0</v>
      </c>
      <c r="M452" s="211">
        <v>0</v>
      </c>
      <c r="N452" s="211">
        <v>0</v>
      </c>
      <c r="O452" s="211">
        <v>0</v>
      </c>
      <c r="P452" s="211">
        <v>0</v>
      </c>
      <c r="Q452" s="211">
        <v>0</v>
      </c>
      <c r="R452" s="211">
        <v>5.35466</v>
      </c>
      <c r="S452" s="211">
        <v>0</v>
      </c>
      <c r="T452" s="211">
        <v>0</v>
      </c>
      <c r="U452" s="211">
        <v>0</v>
      </c>
      <c r="V452" s="211">
        <v>0</v>
      </c>
      <c r="W452" s="211">
        <v>0.29199999999999998</v>
      </c>
      <c r="X452" s="211">
        <v>0</v>
      </c>
      <c r="Y452" s="211">
        <v>10.071999999999999</v>
      </c>
      <c r="Z452" s="211">
        <v>0</v>
      </c>
      <c r="AA452" s="211">
        <v>0</v>
      </c>
      <c r="AB452" s="211">
        <v>0</v>
      </c>
      <c r="AC452" s="211">
        <v>0</v>
      </c>
      <c r="AD452" s="211">
        <v>0</v>
      </c>
      <c r="AE452" s="211">
        <v>0</v>
      </c>
      <c r="AF452" s="211">
        <v>0</v>
      </c>
      <c r="AG452" s="211">
        <v>21.57732</v>
      </c>
    </row>
    <row r="453" spans="1:33" x14ac:dyDescent="0.25">
      <c r="A453" s="121"/>
      <c r="B453" s="210" t="s">
        <v>537</v>
      </c>
      <c r="C453" s="211">
        <v>0</v>
      </c>
      <c r="D453" s="211">
        <v>0</v>
      </c>
      <c r="E453" s="211">
        <v>0</v>
      </c>
      <c r="F453" s="211">
        <v>0</v>
      </c>
      <c r="G453" s="211">
        <v>0</v>
      </c>
      <c r="H453" s="211">
        <v>0</v>
      </c>
      <c r="I453" s="211">
        <v>0</v>
      </c>
      <c r="J453" s="211">
        <v>0.16400000000000001</v>
      </c>
      <c r="K453" s="211">
        <v>0</v>
      </c>
      <c r="L453" s="211">
        <v>0</v>
      </c>
      <c r="M453" s="211">
        <v>0</v>
      </c>
      <c r="N453" s="211">
        <v>0</v>
      </c>
      <c r="O453" s="211">
        <v>0</v>
      </c>
      <c r="P453" s="211">
        <v>0</v>
      </c>
      <c r="Q453" s="211">
        <v>0</v>
      </c>
      <c r="R453" s="211">
        <v>0</v>
      </c>
      <c r="S453" s="211">
        <v>0</v>
      </c>
      <c r="T453" s="211">
        <v>0</v>
      </c>
      <c r="U453" s="211">
        <v>0</v>
      </c>
      <c r="V453" s="211">
        <v>0</v>
      </c>
      <c r="W453" s="211">
        <v>0.11</v>
      </c>
      <c r="X453" s="211">
        <v>0</v>
      </c>
      <c r="Y453" s="211">
        <v>13.191000000000001</v>
      </c>
      <c r="Z453" s="211">
        <v>0</v>
      </c>
      <c r="AA453" s="211">
        <v>0</v>
      </c>
      <c r="AB453" s="211">
        <v>0</v>
      </c>
      <c r="AC453" s="211">
        <v>0</v>
      </c>
      <c r="AD453" s="211">
        <v>0</v>
      </c>
      <c r="AE453" s="211">
        <v>0</v>
      </c>
      <c r="AF453" s="211">
        <v>0</v>
      </c>
      <c r="AG453" s="211">
        <v>13.465</v>
      </c>
    </row>
    <row r="454" spans="1:33" x14ac:dyDescent="0.25">
      <c r="A454" s="121"/>
      <c r="B454" s="210" t="s">
        <v>538</v>
      </c>
      <c r="C454" s="211">
        <v>0</v>
      </c>
      <c r="D454" s="211">
        <v>0</v>
      </c>
      <c r="E454" s="211">
        <v>0</v>
      </c>
      <c r="F454" s="211">
        <v>0</v>
      </c>
      <c r="G454" s="211">
        <v>0</v>
      </c>
      <c r="H454" s="211">
        <v>0</v>
      </c>
      <c r="I454" s="211">
        <v>0</v>
      </c>
      <c r="J454" s="211">
        <v>5.0999999999999997E-2</v>
      </c>
      <c r="K454" s="211">
        <v>0</v>
      </c>
      <c r="L454" s="211">
        <v>0</v>
      </c>
      <c r="M454" s="211">
        <v>0</v>
      </c>
      <c r="N454" s="211">
        <v>0</v>
      </c>
      <c r="O454" s="211">
        <v>0</v>
      </c>
      <c r="P454" s="211">
        <v>0</v>
      </c>
      <c r="Q454" s="211">
        <v>0</v>
      </c>
      <c r="R454" s="211">
        <v>0</v>
      </c>
      <c r="S454" s="211">
        <v>0</v>
      </c>
      <c r="T454" s="211">
        <v>0</v>
      </c>
      <c r="U454" s="211">
        <v>0</v>
      </c>
      <c r="V454" s="211">
        <v>0</v>
      </c>
      <c r="W454" s="211">
        <v>0.14099999999999999</v>
      </c>
      <c r="X454" s="211">
        <v>0</v>
      </c>
      <c r="Y454" s="211">
        <v>8.7859999999999996</v>
      </c>
      <c r="Z454" s="211">
        <v>0</v>
      </c>
      <c r="AA454" s="211">
        <v>0</v>
      </c>
      <c r="AB454" s="211">
        <v>0</v>
      </c>
      <c r="AC454" s="211">
        <v>0</v>
      </c>
      <c r="AD454" s="211">
        <v>0</v>
      </c>
      <c r="AE454" s="211">
        <v>0</v>
      </c>
      <c r="AF454" s="211">
        <v>0</v>
      </c>
      <c r="AG454" s="211">
        <v>8.9779999999999998</v>
      </c>
    </row>
    <row r="455" spans="1:33" x14ac:dyDescent="0.25">
      <c r="A455" s="121"/>
      <c r="B455" s="210" t="s">
        <v>539</v>
      </c>
      <c r="C455" s="211">
        <v>0</v>
      </c>
      <c r="D455" s="211">
        <v>0</v>
      </c>
      <c r="E455" s="211">
        <v>0</v>
      </c>
      <c r="F455" s="211">
        <v>0</v>
      </c>
      <c r="G455" s="211">
        <v>0</v>
      </c>
      <c r="H455" s="211">
        <v>0</v>
      </c>
      <c r="I455" s="211">
        <v>0</v>
      </c>
      <c r="J455" s="211">
        <v>0</v>
      </c>
      <c r="K455" s="211">
        <v>0</v>
      </c>
      <c r="L455" s="211">
        <v>0</v>
      </c>
      <c r="M455" s="211">
        <v>0</v>
      </c>
      <c r="N455" s="211">
        <v>0</v>
      </c>
      <c r="O455" s="211">
        <v>0</v>
      </c>
      <c r="P455" s="211">
        <v>0</v>
      </c>
      <c r="Q455" s="211">
        <v>0</v>
      </c>
      <c r="R455" s="211">
        <v>0</v>
      </c>
      <c r="S455" s="211">
        <v>0</v>
      </c>
      <c r="T455" s="211">
        <v>0</v>
      </c>
      <c r="U455" s="211">
        <v>0</v>
      </c>
      <c r="V455" s="211">
        <v>0</v>
      </c>
      <c r="W455" s="211">
        <v>0</v>
      </c>
      <c r="X455" s="211">
        <v>0</v>
      </c>
      <c r="Y455" s="211">
        <v>0</v>
      </c>
      <c r="Z455" s="211">
        <v>0</v>
      </c>
      <c r="AA455" s="211">
        <v>0</v>
      </c>
      <c r="AB455" s="211">
        <v>0</v>
      </c>
      <c r="AC455" s="211">
        <v>0</v>
      </c>
      <c r="AD455" s="211">
        <v>0</v>
      </c>
      <c r="AE455" s="211">
        <v>0</v>
      </c>
      <c r="AF455" s="211">
        <v>0</v>
      </c>
      <c r="AG455" s="211">
        <v>0</v>
      </c>
    </row>
    <row r="456" spans="1:33" x14ac:dyDescent="0.25">
      <c r="A456" s="121"/>
      <c r="B456" s="210" t="s">
        <v>540</v>
      </c>
      <c r="C456" s="211">
        <v>0</v>
      </c>
      <c r="D456" s="211">
        <v>0</v>
      </c>
      <c r="E456" s="211">
        <v>0</v>
      </c>
      <c r="F456" s="211">
        <v>0</v>
      </c>
      <c r="G456" s="211">
        <v>0</v>
      </c>
      <c r="H456" s="211">
        <v>0</v>
      </c>
      <c r="I456" s="211">
        <v>7.8E-2</v>
      </c>
      <c r="J456" s="211">
        <v>2.1999999999999999E-2</v>
      </c>
      <c r="K456" s="211">
        <v>0</v>
      </c>
      <c r="L456" s="211">
        <v>0</v>
      </c>
      <c r="M456" s="211">
        <v>0</v>
      </c>
      <c r="N456" s="211">
        <v>0</v>
      </c>
      <c r="O456" s="211">
        <v>0</v>
      </c>
      <c r="P456" s="211">
        <v>0</v>
      </c>
      <c r="Q456" s="211">
        <v>0</v>
      </c>
      <c r="R456" s="211">
        <v>0</v>
      </c>
      <c r="S456" s="211">
        <v>0</v>
      </c>
      <c r="T456" s="211">
        <v>0</v>
      </c>
      <c r="U456" s="211">
        <v>0</v>
      </c>
      <c r="V456" s="211">
        <v>0</v>
      </c>
      <c r="W456" s="211">
        <v>6.9000000000000006E-2</v>
      </c>
      <c r="X456" s="211">
        <v>0</v>
      </c>
      <c r="Y456" s="211">
        <v>6.9969999999999999</v>
      </c>
      <c r="Z456" s="211">
        <v>0</v>
      </c>
      <c r="AA456" s="211">
        <v>0</v>
      </c>
      <c r="AB456" s="211">
        <v>0</v>
      </c>
      <c r="AC456" s="211">
        <v>0</v>
      </c>
      <c r="AD456" s="211">
        <v>0</v>
      </c>
      <c r="AE456" s="211">
        <v>0</v>
      </c>
      <c r="AF456" s="211">
        <v>0</v>
      </c>
      <c r="AG456" s="211">
        <v>7.1659999999999995</v>
      </c>
    </row>
    <row r="457" spans="1:33" x14ac:dyDescent="0.25">
      <c r="A457" s="121"/>
      <c r="B457" s="210" t="s">
        <v>541</v>
      </c>
      <c r="C457" s="211">
        <v>0</v>
      </c>
      <c r="D457" s="211">
        <v>0</v>
      </c>
      <c r="E457" s="211">
        <v>0</v>
      </c>
      <c r="F457" s="211">
        <v>0</v>
      </c>
      <c r="G457" s="211">
        <v>0</v>
      </c>
      <c r="H457" s="211">
        <v>0</v>
      </c>
      <c r="I457" s="211">
        <v>0</v>
      </c>
      <c r="J457" s="211">
        <v>5.3999999999999999E-2</v>
      </c>
      <c r="K457" s="211">
        <v>0</v>
      </c>
      <c r="L457" s="211">
        <v>0</v>
      </c>
      <c r="M457" s="211">
        <v>0</v>
      </c>
      <c r="N457" s="211">
        <v>0</v>
      </c>
      <c r="O457" s="211">
        <v>0</v>
      </c>
      <c r="P457" s="211">
        <v>0</v>
      </c>
      <c r="Q457" s="211">
        <v>0</v>
      </c>
      <c r="R457" s="211">
        <v>0</v>
      </c>
      <c r="S457" s="211">
        <v>0</v>
      </c>
      <c r="T457" s="211">
        <v>0</v>
      </c>
      <c r="U457" s="211">
        <v>0</v>
      </c>
      <c r="V457" s="211">
        <v>0</v>
      </c>
      <c r="W457" s="211">
        <v>3.2000000000000001E-2</v>
      </c>
      <c r="X457" s="211">
        <v>0</v>
      </c>
      <c r="Y457" s="211">
        <v>3.5680000000000001</v>
      </c>
      <c r="Z457" s="211">
        <v>0</v>
      </c>
      <c r="AA457" s="211">
        <v>0</v>
      </c>
      <c r="AB457" s="211">
        <v>0</v>
      </c>
      <c r="AC457" s="211">
        <v>0</v>
      </c>
      <c r="AD457" s="211">
        <v>0</v>
      </c>
      <c r="AE457" s="211">
        <v>0</v>
      </c>
      <c r="AF457" s="211">
        <v>0</v>
      </c>
      <c r="AG457" s="211">
        <v>3.6539999999999999</v>
      </c>
    </row>
    <row r="458" spans="1:33" x14ac:dyDescent="0.25">
      <c r="A458" s="121"/>
      <c r="B458" s="210" t="s">
        <v>542</v>
      </c>
      <c r="C458" s="211">
        <v>0</v>
      </c>
      <c r="D458" s="211">
        <v>0</v>
      </c>
      <c r="E458" s="211">
        <v>0</v>
      </c>
      <c r="F458" s="211">
        <v>28.398700000000002</v>
      </c>
      <c r="G458" s="211">
        <v>0</v>
      </c>
      <c r="H458" s="211">
        <v>0</v>
      </c>
      <c r="I458" s="211">
        <v>1.4016000000000001E-2</v>
      </c>
      <c r="J458" s="211">
        <v>0.39076499999999997</v>
      </c>
      <c r="K458" s="211">
        <v>7.8560000000000005E-2</v>
      </c>
      <c r="L458" s="211">
        <v>0</v>
      </c>
      <c r="M458" s="211">
        <v>11.1166</v>
      </c>
      <c r="N458" s="211">
        <v>0</v>
      </c>
      <c r="O458" s="211">
        <v>0</v>
      </c>
      <c r="P458" s="211">
        <v>0</v>
      </c>
      <c r="Q458" s="211">
        <v>0</v>
      </c>
      <c r="R458" s="211">
        <v>36.831499999999998</v>
      </c>
      <c r="S458" s="211">
        <v>0</v>
      </c>
      <c r="T458" s="211">
        <v>0</v>
      </c>
      <c r="U458" s="211">
        <v>0</v>
      </c>
      <c r="V458" s="211">
        <v>21.415400000000002</v>
      </c>
      <c r="W458" s="211">
        <v>4.0981800000000002</v>
      </c>
      <c r="X458" s="211">
        <v>0.153306</v>
      </c>
      <c r="Y458" s="211">
        <v>0.38326399999999999</v>
      </c>
      <c r="Z458" s="211">
        <v>0</v>
      </c>
      <c r="AA458" s="211">
        <v>0</v>
      </c>
      <c r="AB458" s="211">
        <v>0</v>
      </c>
      <c r="AC458" s="211">
        <v>0</v>
      </c>
      <c r="AD458" s="211">
        <v>0</v>
      </c>
      <c r="AE458" s="211">
        <v>0</v>
      </c>
      <c r="AF458" s="211">
        <v>6.5667499999999999</v>
      </c>
      <c r="AG458" s="211">
        <v>109.447041</v>
      </c>
    </row>
    <row r="459" spans="1:33" x14ac:dyDescent="0.25">
      <c r="A459" s="121"/>
      <c r="B459" s="210" t="s">
        <v>543</v>
      </c>
      <c r="C459" s="211">
        <v>0</v>
      </c>
      <c r="D459" s="211">
        <v>0</v>
      </c>
      <c r="E459" s="211">
        <v>0</v>
      </c>
      <c r="F459" s="211">
        <v>0</v>
      </c>
      <c r="G459" s="211">
        <v>0</v>
      </c>
      <c r="H459" s="211">
        <v>0</v>
      </c>
      <c r="I459" s="211">
        <v>0</v>
      </c>
      <c r="J459" s="211">
        <v>2.1999999999999999E-2</v>
      </c>
      <c r="K459" s="211">
        <v>0</v>
      </c>
      <c r="L459" s="211">
        <v>0</v>
      </c>
      <c r="M459" s="211">
        <v>0</v>
      </c>
      <c r="N459" s="211">
        <v>0</v>
      </c>
      <c r="O459" s="211">
        <v>0</v>
      </c>
      <c r="P459" s="211">
        <v>0</v>
      </c>
      <c r="Q459" s="211">
        <v>0</v>
      </c>
      <c r="R459" s="211">
        <v>0</v>
      </c>
      <c r="S459" s="211">
        <v>0</v>
      </c>
      <c r="T459" s="211">
        <v>0</v>
      </c>
      <c r="U459" s="211">
        <v>0</v>
      </c>
      <c r="V459" s="211">
        <v>0</v>
      </c>
      <c r="W459" s="211">
        <v>4.7E-2</v>
      </c>
      <c r="X459" s="211">
        <v>0</v>
      </c>
      <c r="Y459" s="211">
        <v>4.1239999999999997</v>
      </c>
      <c r="Z459" s="211">
        <v>0</v>
      </c>
      <c r="AA459" s="211">
        <v>0</v>
      </c>
      <c r="AB459" s="211">
        <v>0</v>
      </c>
      <c r="AC459" s="211">
        <v>0</v>
      </c>
      <c r="AD459" s="211">
        <v>0</v>
      </c>
      <c r="AE459" s="211">
        <v>0</v>
      </c>
      <c r="AF459" s="211">
        <v>0</v>
      </c>
      <c r="AG459" s="211">
        <v>4.1929999999999996</v>
      </c>
    </row>
    <row r="460" spans="1:33" x14ac:dyDescent="0.25">
      <c r="A460" s="121"/>
      <c r="B460" s="210" t="s">
        <v>544</v>
      </c>
      <c r="C460" s="211">
        <v>0</v>
      </c>
      <c r="D460" s="211">
        <v>0</v>
      </c>
      <c r="E460" s="211">
        <v>0</v>
      </c>
      <c r="F460" s="211">
        <v>23.3186</v>
      </c>
      <c r="G460" s="211">
        <v>0</v>
      </c>
      <c r="H460" s="211">
        <v>0</v>
      </c>
      <c r="I460" s="211">
        <v>0.16236999999999999</v>
      </c>
      <c r="J460" s="211">
        <v>1.5982700000000001</v>
      </c>
      <c r="K460" s="211">
        <v>0</v>
      </c>
      <c r="L460" s="211">
        <v>0</v>
      </c>
      <c r="M460" s="211">
        <v>0</v>
      </c>
      <c r="N460" s="211">
        <v>0</v>
      </c>
      <c r="O460" s="211">
        <v>0</v>
      </c>
      <c r="P460" s="211">
        <v>0</v>
      </c>
      <c r="Q460" s="211">
        <v>0</v>
      </c>
      <c r="R460" s="211">
        <v>43.305999999999997</v>
      </c>
      <c r="S460" s="211">
        <v>0</v>
      </c>
      <c r="T460" s="211">
        <v>0</v>
      </c>
      <c r="U460" s="211">
        <v>0</v>
      </c>
      <c r="V460" s="211">
        <v>0</v>
      </c>
      <c r="W460" s="211">
        <v>2.9267599999999998</v>
      </c>
      <c r="X460" s="211">
        <v>0</v>
      </c>
      <c r="Y460" s="211">
        <v>11.963800000000001</v>
      </c>
      <c r="Z460" s="211">
        <v>0</v>
      </c>
      <c r="AA460" s="211">
        <v>0</v>
      </c>
      <c r="AB460" s="211">
        <v>0</v>
      </c>
      <c r="AC460" s="211">
        <v>0</v>
      </c>
      <c r="AD460" s="211">
        <v>0</v>
      </c>
      <c r="AE460" s="211">
        <v>0</v>
      </c>
      <c r="AF460" s="211">
        <v>0</v>
      </c>
      <c r="AG460" s="211">
        <v>83.275800000000004</v>
      </c>
    </row>
    <row r="461" spans="1:33" x14ac:dyDescent="0.25">
      <c r="A461" s="121"/>
      <c r="B461" s="210" t="s">
        <v>545</v>
      </c>
      <c r="C461" s="211">
        <v>0</v>
      </c>
      <c r="D461" s="211">
        <v>0</v>
      </c>
      <c r="E461" s="211">
        <v>0</v>
      </c>
      <c r="F461" s="211">
        <v>0</v>
      </c>
      <c r="G461" s="211">
        <v>0</v>
      </c>
      <c r="H461" s="211">
        <v>0</v>
      </c>
      <c r="I461" s="211">
        <v>0.27100000000000002</v>
      </c>
      <c r="J461" s="211">
        <v>0.31900000000000001</v>
      </c>
      <c r="K461" s="211">
        <v>0</v>
      </c>
      <c r="L461" s="211">
        <v>0</v>
      </c>
      <c r="M461" s="211">
        <v>0</v>
      </c>
      <c r="N461" s="211">
        <v>0</v>
      </c>
      <c r="O461" s="211">
        <v>0</v>
      </c>
      <c r="P461" s="211">
        <v>0</v>
      </c>
      <c r="Q461" s="211">
        <v>5.5780000000000003</v>
      </c>
      <c r="R461" s="211">
        <v>0</v>
      </c>
      <c r="S461" s="211">
        <v>0</v>
      </c>
      <c r="T461" s="211">
        <v>0</v>
      </c>
      <c r="U461" s="211">
        <v>0</v>
      </c>
      <c r="V461" s="211">
        <v>0</v>
      </c>
      <c r="W461" s="211">
        <v>0.14699999999999999</v>
      </c>
      <c r="X461" s="211">
        <v>0</v>
      </c>
      <c r="Y461" s="211">
        <v>10.474</v>
      </c>
      <c r="Z461" s="211">
        <v>0</v>
      </c>
      <c r="AA461" s="211">
        <v>0</v>
      </c>
      <c r="AB461" s="211">
        <v>0</v>
      </c>
      <c r="AC461" s="211">
        <v>0</v>
      </c>
      <c r="AD461" s="211">
        <v>0</v>
      </c>
      <c r="AE461" s="211">
        <v>0</v>
      </c>
      <c r="AF461" s="211">
        <v>0</v>
      </c>
      <c r="AG461" s="211">
        <v>16.789000000000001</v>
      </c>
    </row>
    <row r="462" spans="1:33" x14ac:dyDescent="0.25">
      <c r="A462" s="121"/>
      <c r="B462" s="210" t="s">
        <v>546</v>
      </c>
      <c r="C462" s="211">
        <v>0</v>
      </c>
      <c r="D462" s="211">
        <v>0</v>
      </c>
      <c r="E462" s="211">
        <v>0</v>
      </c>
      <c r="F462" s="211">
        <v>0</v>
      </c>
      <c r="G462" s="211">
        <v>0</v>
      </c>
      <c r="H462" s="211">
        <v>0</v>
      </c>
      <c r="I462" s="211">
        <v>0</v>
      </c>
      <c r="J462" s="211">
        <v>9.1999999999999998E-2</v>
      </c>
      <c r="K462" s="211">
        <v>0</v>
      </c>
      <c r="L462" s="211">
        <v>0</v>
      </c>
      <c r="M462" s="211">
        <v>0</v>
      </c>
      <c r="N462" s="211">
        <v>0</v>
      </c>
      <c r="O462" s="211">
        <v>0</v>
      </c>
      <c r="P462" s="211">
        <v>0</v>
      </c>
      <c r="Q462" s="211">
        <v>0</v>
      </c>
      <c r="R462" s="211">
        <v>0</v>
      </c>
      <c r="S462" s="211">
        <v>0</v>
      </c>
      <c r="T462" s="211">
        <v>0</v>
      </c>
      <c r="U462" s="211">
        <v>0</v>
      </c>
      <c r="V462" s="211">
        <v>0</v>
      </c>
      <c r="W462" s="211">
        <v>0.114</v>
      </c>
      <c r="X462" s="211">
        <v>0</v>
      </c>
      <c r="Y462" s="211">
        <v>12.67</v>
      </c>
      <c r="Z462" s="211">
        <v>0</v>
      </c>
      <c r="AA462" s="211">
        <v>0</v>
      </c>
      <c r="AB462" s="211">
        <v>0</v>
      </c>
      <c r="AC462" s="211">
        <v>0</v>
      </c>
      <c r="AD462" s="211">
        <v>0</v>
      </c>
      <c r="AE462" s="211">
        <v>0</v>
      </c>
      <c r="AF462" s="211">
        <v>0</v>
      </c>
      <c r="AG462" s="211">
        <v>12.875999999999999</v>
      </c>
    </row>
    <row r="463" spans="1:33" x14ac:dyDescent="0.25">
      <c r="A463" s="121"/>
      <c r="B463" s="210" t="s">
        <v>547</v>
      </c>
      <c r="C463" s="211">
        <v>0</v>
      </c>
      <c r="D463" s="211">
        <v>0</v>
      </c>
      <c r="E463" s="211">
        <v>0</v>
      </c>
      <c r="F463" s="211">
        <v>63.855600000000003</v>
      </c>
      <c r="G463" s="211">
        <v>0</v>
      </c>
      <c r="H463" s="211">
        <v>0</v>
      </c>
      <c r="I463" s="211">
        <v>0</v>
      </c>
      <c r="J463" s="211">
        <v>5.87317</v>
      </c>
      <c r="K463" s="211">
        <v>0</v>
      </c>
      <c r="L463" s="211">
        <v>0</v>
      </c>
      <c r="M463" s="211">
        <v>42.200800000000001</v>
      </c>
      <c r="N463" s="211">
        <v>0</v>
      </c>
      <c r="O463" s="211">
        <v>0</v>
      </c>
      <c r="P463" s="211">
        <v>67.151499999999999</v>
      </c>
      <c r="Q463" s="211">
        <v>0</v>
      </c>
      <c r="R463" s="211">
        <v>64.730099999999993</v>
      </c>
      <c r="S463" s="211">
        <v>13.551399999999999</v>
      </c>
      <c r="T463" s="211">
        <v>0</v>
      </c>
      <c r="U463" s="211">
        <v>0</v>
      </c>
      <c r="V463" s="211">
        <v>37.451300000000003</v>
      </c>
      <c r="W463" s="211">
        <v>13.6165</v>
      </c>
      <c r="X463" s="211">
        <v>0.49684899999999999</v>
      </c>
      <c r="Y463" s="211">
        <v>0</v>
      </c>
      <c r="Z463" s="211">
        <v>1.2393400000000001</v>
      </c>
      <c r="AA463" s="211">
        <v>0</v>
      </c>
      <c r="AB463" s="211">
        <v>0</v>
      </c>
      <c r="AC463" s="211">
        <v>0</v>
      </c>
      <c r="AD463" s="211">
        <v>0</v>
      </c>
      <c r="AE463" s="211">
        <v>0</v>
      </c>
      <c r="AF463" s="211">
        <v>28.550999999999998</v>
      </c>
      <c r="AG463" s="211">
        <v>338.71755899999999</v>
      </c>
    </row>
    <row r="464" spans="1:33" x14ac:dyDescent="0.25">
      <c r="A464" s="121"/>
      <c r="B464" s="210" t="s">
        <v>548</v>
      </c>
      <c r="C464" s="211">
        <v>0</v>
      </c>
      <c r="D464" s="211">
        <v>0</v>
      </c>
      <c r="E464" s="211">
        <v>0</v>
      </c>
      <c r="F464" s="211">
        <v>0</v>
      </c>
      <c r="G464" s="211">
        <v>0</v>
      </c>
      <c r="H464" s="211">
        <v>0</v>
      </c>
      <c r="I464" s="211">
        <v>0</v>
      </c>
      <c r="J464" s="211">
        <v>1.3169999999999999</v>
      </c>
      <c r="K464" s="211">
        <v>0</v>
      </c>
      <c r="L464" s="211">
        <v>0</v>
      </c>
      <c r="M464" s="211">
        <v>0</v>
      </c>
      <c r="N464" s="211">
        <v>0</v>
      </c>
      <c r="O464" s="211">
        <v>0</v>
      </c>
      <c r="P464" s="211">
        <v>0</v>
      </c>
      <c r="Q464" s="211">
        <v>0</v>
      </c>
      <c r="R464" s="211">
        <v>0</v>
      </c>
      <c r="S464" s="211">
        <v>0</v>
      </c>
      <c r="T464" s="211">
        <v>0</v>
      </c>
      <c r="U464" s="211">
        <v>0</v>
      </c>
      <c r="V464" s="211">
        <v>0</v>
      </c>
      <c r="W464" s="211">
        <v>0.69899999999999995</v>
      </c>
      <c r="X464" s="211">
        <v>0</v>
      </c>
      <c r="Y464" s="211">
        <v>43.628999999999998</v>
      </c>
      <c r="Z464" s="211">
        <v>0</v>
      </c>
      <c r="AA464" s="211">
        <v>0</v>
      </c>
      <c r="AB464" s="211">
        <v>0</v>
      </c>
      <c r="AC464" s="211">
        <v>0</v>
      </c>
      <c r="AD464" s="211">
        <v>0</v>
      </c>
      <c r="AE464" s="211">
        <v>0</v>
      </c>
      <c r="AF464" s="211">
        <v>0</v>
      </c>
      <c r="AG464" s="211">
        <v>45.644999999999996</v>
      </c>
    </row>
    <row r="465" spans="1:33" x14ac:dyDescent="0.25">
      <c r="A465" s="121"/>
      <c r="B465" s="210" t="s">
        <v>549</v>
      </c>
      <c r="C465" s="211">
        <v>0</v>
      </c>
      <c r="D465" s="211">
        <v>0</v>
      </c>
      <c r="E465" s="211">
        <v>0</v>
      </c>
      <c r="F465" s="211">
        <v>0</v>
      </c>
      <c r="G465" s="211">
        <v>0</v>
      </c>
      <c r="H465" s="211">
        <v>0</v>
      </c>
      <c r="I465" s="211">
        <v>0</v>
      </c>
      <c r="J465" s="211">
        <v>0</v>
      </c>
      <c r="K465" s="211">
        <v>0</v>
      </c>
      <c r="L465" s="211">
        <v>0</v>
      </c>
      <c r="M465" s="211">
        <v>0</v>
      </c>
      <c r="N465" s="211">
        <v>0</v>
      </c>
      <c r="O465" s="211">
        <v>0</v>
      </c>
      <c r="P465" s="211">
        <v>0</v>
      </c>
      <c r="Q465" s="211">
        <v>39.201700000000002</v>
      </c>
      <c r="R465" s="211">
        <v>0</v>
      </c>
      <c r="S465" s="211">
        <v>0</v>
      </c>
      <c r="T465" s="211">
        <v>0</v>
      </c>
      <c r="U465" s="211">
        <v>0</v>
      </c>
      <c r="V465" s="211">
        <v>0</v>
      </c>
      <c r="W465" s="211">
        <v>1.0999999999999999E-2</v>
      </c>
      <c r="X465" s="211">
        <v>0</v>
      </c>
      <c r="Y465" s="211">
        <v>0</v>
      </c>
      <c r="Z465" s="211">
        <v>0</v>
      </c>
      <c r="AA465" s="211">
        <v>0</v>
      </c>
      <c r="AB465" s="211">
        <v>0</v>
      </c>
      <c r="AC465" s="211">
        <v>0</v>
      </c>
      <c r="AD465" s="211">
        <v>0</v>
      </c>
      <c r="AE465" s="211">
        <v>0</v>
      </c>
      <c r="AF465" s="211">
        <v>0</v>
      </c>
      <c r="AG465" s="211">
        <v>39.212700000000005</v>
      </c>
    </row>
    <row r="466" spans="1:33" x14ac:dyDescent="0.25">
      <c r="A466" s="121"/>
      <c r="B466" s="210" t="s">
        <v>550</v>
      </c>
      <c r="C466" s="211">
        <v>0</v>
      </c>
      <c r="D466" s="211">
        <v>0</v>
      </c>
      <c r="E466" s="211">
        <v>0</v>
      </c>
      <c r="F466" s="211">
        <v>0</v>
      </c>
      <c r="G466" s="211">
        <v>0</v>
      </c>
      <c r="H466" s="211">
        <v>0</v>
      </c>
      <c r="I466" s="211">
        <v>0</v>
      </c>
      <c r="J466" s="211">
        <v>0.75700000000000001</v>
      </c>
      <c r="K466" s="211">
        <v>0</v>
      </c>
      <c r="L466" s="211">
        <v>0</v>
      </c>
      <c r="M466" s="211">
        <v>0</v>
      </c>
      <c r="N466" s="211">
        <v>0</v>
      </c>
      <c r="O466" s="211">
        <v>0</v>
      </c>
      <c r="P466" s="211">
        <v>0</v>
      </c>
      <c r="Q466" s="211">
        <v>0</v>
      </c>
      <c r="R466" s="211">
        <v>0</v>
      </c>
      <c r="S466" s="211">
        <v>0</v>
      </c>
      <c r="T466" s="211">
        <v>0</v>
      </c>
      <c r="U466" s="211">
        <v>0</v>
      </c>
      <c r="V466" s="211">
        <v>0</v>
      </c>
      <c r="W466" s="211">
        <v>0.161</v>
      </c>
      <c r="X466" s="211">
        <v>0</v>
      </c>
      <c r="Y466" s="211">
        <v>16.245000000000001</v>
      </c>
      <c r="Z466" s="211">
        <v>0</v>
      </c>
      <c r="AA466" s="211">
        <v>0</v>
      </c>
      <c r="AB466" s="211">
        <v>0</v>
      </c>
      <c r="AC466" s="211">
        <v>0</v>
      </c>
      <c r="AD466" s="211">
        <v>0</v>
      </c>
      <c r="AE466" s="211">
        <v>0</v>
      </c>
      <c r="AF466" s="211">
        <v>0</v>
      </c>
      <c r="AG466" s="211">
        <v>17.163</v>
      </c>
    </row>
    <row r="467" spans="1:33" x14ac:dyDescent="0.25">
      <c r="A467" s="121"/>
      <c r="B467" s="210" t="s">
        <v>551</v>
      </c>
      <c r="C467" s="211">
        <v>0</v>
      </c>
      <c r="D467" s="211">
        <v>0</v>
      </c>
      <c r="E467" s="211">
        <v>0</v>
      </c>
      <c r="F467" s="211">
        <v>0</v>
      </c>
      <c r="G467" s="211">
        <v>0</v>
      </c>
      <c r="H467" s="211">
        <v>0</v>
      </c>
      <c r="I467" s="211">
        <v>0</v>
      </c>
      <c r="J467" s="211">
        <v>2.5999999999999999E-2</v>
      </c>
      <c r="K467" s="211">
        <v>0</v>
      </c>
      <c r="L467" s="211">
        <v>0</v>
      </c>
      <c r="M467" s="211">
        <v>0</v>
      </c>
      <c r="N467" s="211">
        <v>0</v>
      </c>
      <c r="O467" s="211">
        <v>0</v>
      </c>
      <c r="P467" s="211">
        <v>0</v>
      </c>
      <c r="Q467" s="211">
        <v>0</v>
      </c>
      <c r="R467" s="211">
        <v>0</v>
      </c>
      <c r="S467" s="211">
        <v>0</v>
      </c>
      <c r="T467" s="211">
        <v>0</v>
      </c>
      <c r="U467" s="211">
        <v>0</v>
      </c>
      <c r="V467" s="211">
        <v>0</v>
      </c>
      <c r="W467" s="211">
        <v>5.5E-2</v>
      </c>
      <c r="X467" s="211">
        <v>0</v>
      </c>
      <c r="Y467" s="211">
        <v>3.6989999999999998</v>
      </c>
      <c r="Z467" s="211">
        <v>0</v>
      </c>
      <c r="AA467" s="211">
        <v>0</v>
      </c>
      <c r="AB467" s="211">
        <v>0</v>
      </c>
      <c r="AC467" s="211">
        <v>0</v>
      </c>
      <c r="AD467" s="211">
        <v>0</v>
      </c>
      <c r="AE467" s="211">
        <v>0</v>
      </c>
      <c r="AF467" s="211">
        <v>0</v>
      </c>
      <c r="AG467" s="211">
        <v>3.78</v>
      </c>
    </row>
    <row r="468" spans="1:33" x14ac:dyDescent="0.25">
      <c r="A468" s="207" t="s">
        <v>552</v>
      </c>
      <c r="B468" s="208"/>
      <c r="C468" s="209"/>
      <c r="D468" s="209"/>
      <c r="E468" s="209"/>
      <c r="F468" s="209"/>
      <c r="G468" s="209"/>
      <c r="H468" s="209"/>
      <c r="I468" s="209"/>
      <c r="J468" s="209"/>
      <c r="K468" s="209"/>
      <c r="L468" s="209"/>
      <c r="M468" s="209"/>
      <c r="N468" s="209"/>
      <c r="O468" s="209"/>
      <c r="P468" s="209"/>
      <c r="Q468" s="209"/>
      <c r="R468" s="209"/>
      <c r="S468" s="209"/>
      <c r="T468" s="209"/>
      <c r="U468" s="209"/>
      <c r="V468" s="209"/>
      <c r="W468" s="209"/>
      <c r="X468" s="209"/>
      <c r="Y468" s="209"/>
      <c r="Z468" s="209"/>
      <c r="AA468" s="209"/>
      <c r="AB468" s="209"/>
      <c r="AC468" s="209"/>
      <c r="AD468" s="209"/>
      <c r="AE468" s="209"/>
      <c r="AF468" s="209"/>
      <c r="AG468" s="209"/>
    </row>
    <row r="469" spans="1:33" x14ac:dyDescent="0.25">
      <c r="A469" s="121"/>
      <c r="B469" s="210" t="s">
        <v>553</v>
      </c>
      <c r="C469" s="211">
        <v>0</v>
      </c>
      <c r="D469" s="211">
        <v>0</v>
      </c>
      <c r="E469" s="211">
        <v>0</v>
      </c>
      <c r="F469" s="211">
        <v>0</v>
      </c>
      <c r="G469" s="211">
        <v>0</v>
      </c>
      <c r="H469" s="211">
        <v>0</v>
      </c>
      <c r="I469" s="211">
        <v>0</v>
      </c>
      <c r="J469" s="211">
        <v>0.06</v>
      </c>
      <c r="K469" s="211">
        <v>0</v>
      </c>
      <c r="L469" s="211">
        <v>0</v>
      </c>
      <c r="M469" s="211">
        <v>0</v>
      </c>
      <c r="N469" s="211">
        <v>0</v>
      </c>
      <c r="O469" s="211">
        <v>0</v>
      </c>
      <c r="P469" s="211">
        <v>0</v>
      </c>
      <c r="Q469" s="211">
        <v>0</v>
      </c>
      <c r="R469" s="211">
        <v>0</v>
      </c>
      <c r="S469" s="211">
        <v>0</v>
      </c>
      <c r="T469" s="211">
        <v>0</v>
      </c>
      <c r="U469" s="211">
        <v>0</v>
      </c>
      <c r="V469" s="211">
        <v>0</v>
      </c>
      <c r="W469" s="211">
        <v>0.1</v>
      </c>
      <c r="X469" s="211">
        <v>12.6</v>
      </c>
      <c r="Y469" s="211">
        <v>0</v>
      </c>
      <c r="Z469" s="211">
        <v>0</v>
      </c>
      <c r="AA469" s="211">
        <v>0</v>
      </c>
      <c r="AB469" s="211">
        <v>0</v>
      </c>
      <c r="AC469" s="211">
        <v>0</v>
      </c>
      <c r="AD469" s="211">
        <v>0</v>
      </c>
      <c r="AE469" s="211">
        <v>0</v>
      </c>
      <c r="AF469" s="211">
        <v>0</v>
      </c>
      <c r="AG469" s="211">
        <v>12.76</v>
      </c>
    </row>
    <row r="470" spans="1:33" x14ac:dyDescent="0.25">
      <c r="A470" s="121"/>
      <c r="B470" s="210" t="s">
        <v>554</v>
      </c>
      <c r="C470" s="211">
        <v>0</v>
      </c>
      <c r="D470" s="211">
        <v>129.846</v>
      </c>
      <c r="E470" s="211">
        <v>0</v>
      </c>
      <c r="F470" s="211">
        <v>0</v>
      </c>
      <c r="G470" s="211">
        <v>6.1820000000000004</v>
      </c>
      <c r="H470" s="211">
        <v>0</v>
      </c>
      <c r="I470" s="211">
        <v>0</v>
      </c>
      <c r="J470" s="211">
        <v>1.7941400000000001</v>
      </c>
      <c r="K470" s="211">
        <v>0.56999999999999995</v>
      </c>
      <c r="L470" s="211">
        <v>0</v>
      </c>
      <c r="M470" s="211">
        <v>134.203</v>
      </c>
      <c r="N470" s="211">
        <v>0</v>
      </c>
      <c r="O470" s="211">
        <v>0</v>
      </c>
      <c r="P470" s="211">
        <v>62.973999999999997</v>
      </c>
      <c r="Q470" s="211">
        <v>5.3940000000000001</v>
      </c>
      <c r="R470" s="211">
        <v>0</v>
      </c>
      <c r="S470" s="211">
        <v>110.845</v>
      </c>
      <c r="T470" s="211">
        <v>0</v>
      </c>
      <c r="U470" s="211">
        <v>0</v>
      </c>
      <c r="V470" s="211">
        <v>0</v>
      </c>
      <c r="W470" s="211">
        <v>12.8391</v>
      </c>
      <c r="X470" s="211">
        <v>0</v>
      </c>
      <c r="Y470" s="211">
        <v>0</v>
      </c>
      <c r="Z470" s="211">
        <v>0</v>
      </c>
      <c r="AA470" s="211">
        <v>0</v>
      </c>
      <c r="AB470" s="211">
        <v>0</v>
      </c>
      <c r="AC470" s="211">
        <v>0</v>
      </c>
      <c r="AD470" s="211">
        <v>0</v>
      </c>
      <c r="AE470" s="211">
        <v>0</v>
      </c>
      <c r="AF470" s="211">
        <v>0</v>
      </c>
      <c r="AG470" s="211">
        <v>464.64723999999995</v>
      </c>
    </row>
    <row r="471" spans="1:33" x14ac:dyDescent="0.25">
      <c r="A471" s="121"/>
      <c r="B471" s="210" t="s">
        <v>555</v>
      </c>
      <c r="C471" s="211">
        <v>0</v>
      </c>
      <c r="D471" s="211">
        <v>0</v>
      </c>
      <c r="E471" s="211">
        <v>0</v>
      </c>
      <c r="F471" s="211">
        <v>0</v>
      </c>
      <c r="G471" s="211">
        <v>0</v>
      </c>
      <c r="H471" s="211">
        <v>0</v>
      </c>
      <c r="I471" s="211">
        <v>0</v>
      </c>
      <c r="J471" s="211">
        <v>0.185</v>
      </c>
      <c r="K471" s="211">
        <v>0</v>
      </c>
      <c r="L471" s="211">
        <v>0</v>
      </c>
      <c r="M471" s="211">
        <v>0</v>
      </c>
      <c r="N471" s="211">
        <v>0</v>
      </c>
      <c r="O471" s="211">
        <v>0</v>
      </c>
      <c r="P471" s="211">
        <v>0</v>
      </c>
      <c r="Q471" s="211">
        <v>0</v>
      </c>
      <c r="R471" s="211">
        <v>0</v>
      </c>
      <c r="S471" s="211">
        <v>0</v>
      </c>
      <c r="T471" s="211">
        <v>0</v>
      </c>
      <c r="U471" s="211">
        <v>0</v>
      </c>
      <c r="V471" s="211">
        <v>0</v>
      </c>
      <c r="W471" s="211">
        <v>0.06</v>
      </c>
      <c r="X471" s="211">
        <v>0</v>
      </c>
      <c r="Y471" s="211">
        <v>5.34</v>
      </c>
      <c r="Z471" s="211">
        <v>0</v>
      </c>
      <c r="AA471" s="211">
        <v>0</v>
      </c>
      <c r="AB471" s="211">
        <v>0</v>
      </c>
      <c r="AC471" s="211">
        <v>0</v>
      </c>
      <c r="AD471" s="211">
        <v>0</v>
      </c>
      <c r="AE471" s="211">
        <v>0</v>
      </c>
      <c r="AF471" s="211">
        <v>0</v>
      </c>
      <c r="AG471" s="211">
        <v>5.585</v>
      </c>
    </row>
    <row r="472" spans="1:33" x14ac:dyDescent="0.25">
      <c r="A472" s="121"/>
      <c r="B472" s="210" t="s">
        <v>556</v>
      </c>
      <c r="C472" s="211">
        <v>0</v>
      </c>
      <c r="D472" s="211">
        <v>0</v>
      </c>
      <c r="E472" s="211">
        <v>0</v>
      </c>
      <c r="F472" s="211">
        <v>0</v>
      </c>
      <c r="G472" s="211">
        <v>0</v>
      </c>
      <c r="H472" s="211">
        <v>0</v>
      </c>
      <c r="I472" s="211">
        <v>0</v>
      </c>
      <c r="J472" s="211">
        <v>4.5999999999999999E-2</v>
      </c>
      <c r="K472" s="211">
        <v>0</v>
      </c>
      <c r="L472" s="211">
        <v>0</v>
      </c>
      <c r="M472" s="211">
        <v>0</v>
      </c>
      <c r="N472" s="211">
        <v>0</v>
      </c>
      <c r="O472" s="211">
        <v>0</v>
      </c>
      <c r="P472" s="211">
        <v>0</v>
      </c>
      <c r="Q472" s="211">
        <v>0</v>
      </c>
      <c r="R472" s="211">
        <v>0</v>
      </c>
      <c r="S472" s="211">
        <v>0</v>
      </c>
      <c r="T472" s="211">
        <v>0</v>
      </c>
      <c r="U472" s="211">
        <v>0</v>
      </c>
      <c r="V472" s="211">
        <v>0</v>
      </c>
      <c r="W472" s="211">
        <v>2.4E-2</v>
      </c>
      <c r="X472" s="211">
        <v>0</v>
      </c>
      <c r="Y472" s="211">
        <v>2.58</v>
      </c>
      <c r="Z472" s="211">
        <v>0</v>
      </c>
      <c r="AA472" s="211">
        <v>0</v>
      </c>
      <c r="AB472" s="211">
        <v>0</v>
      </c>
      <c r="AC472" s="211">
        <v>0</v>
      </c>
      <c r="AD472" s="211">
        <v>0</v>
      </c>
      <c r="AE472" s="211">
        <v>0</v>
      </c>
      <c r="AF472" s="211">
        <v>0</v>
      </c>
      <c r="AG472" s="211">
        <v>2.65</v>
      </c>
    </row>
    <row r="473" spans="1:33" x14ac:dyDescent="0.25">
      <c r="A473" s="121"/>
      <c r="B473" s="210" t="s">
        <v>557</v>
      </c>
      <c r="C473" s="211">
        <v>0</v>
      </c>
      <c r="D473" s="211">
        <v>0</v>
      </c>
      <c r="E473" s="211">
        <v>0</v>
      </c>
      <c r="F473" s="211">
        <v>0</v>
      </c>
      <c r="G473" s="211">
        <v>0</v>
      </c>
      <c r="H473" s="211">
        <v>0</v>
      </c>
      <c r="I473" s="211">
        <v>0</v>
      </c>
      <c r="J473" s="211">
        <v>5.2999999999999999E-2</v>
      </c>
      <c r="K473" s="211">
        <v>0</v>
      </c>
      <c r="L473" s="211">
        <v>0</v>
      </c>
      <c r="M473" s="211">
        <v>0</v>
      </c>
      <c r="N473" s="211">
        <v>0</v>
      </c>
      <c r="O473" s="211">
        <v>0</v>
      </c>
      <c r="P473" s="211">
        <v>0</v>
      </c>
      <c r="Q473" s="211">
        <v>0</v>
      </c>
      <c r="R473" s="211">
        <v>0</v>
      </c>
      <c r="S473" s="211">
        <v>0</v>
      </c>
      <c r="T473" s="211">
        <v>0</v>
      </c>
      <c r="U473" s="211">
        <v>0</v>
      </c>
      <c r="V473" s="211">
        <v>0</v>
      </c>
      <c r="W473" s="211">
        <v>5.1999999999999998E-2</v>
      </c>
      <c r="X473" s="211">
        <v>0</v>
      </c>
      <c r="Y473" s="211">
        <v>3.9510000000000001</v>
      </c>
      <c r="Z473" s="211">
        <v>0</v>
      </c>
      <c r="AA473" s="211">
        <v>0</v>
      </c>
      <c r="AB473" s="211">
        <v>0</v>
      </c>
      <c r="AC473" s="211">
        <v>0</v>
      </c>
      <c r="AD473" s="211">
        <v>0</v>
      </c>
      <c r="AE473" s="211">
        <v>0</v>
      </c>
      <c r="AF473" s="211">
        <v>0</v>
      </c>
      <c r="AG473" s="211">
        <v>4.056</v>
      </c>
    </row>
    <row r="474" spans="1:33" x14ac:dyDescent="0.25">
      <c r="A474" s="207" t="s">
        <v>558</v>
      </c>
      <c r="B474" s="208"/>
      <c r="C474" s="209"/>
      <c r="D474" s="209"/>
      <c r="E474" s="209"/>
      <c r="F474" s="209"/>
      <c r="G474" s="209"/>
      <c r="H474" s="209"/>
      <c r="I474" s="209"/>
      <c r="J474" s="209"/>
      <c r="K474" s="209"/>
      <c r="L474" s="209"/>
      <c r="M474" s="209"/>
      <c r="N474" s="209"/>
      <c r="O474" s="209"/>
      <c r="P474" s="209"/>
      <c r="Q474" s="209"/>
      <c r="R474" s="209"/>
      <c r="S474" s="209"/>
      <c r="T474" s="209"/>
      <c r="U474" s="209"/>
      <c r="V474" s="209"/>
      <c r="W474" s="209"/>
      <c r="X474" s="209"/>
      <c r="Y474" s="209"/>
      <c r="Z474" s="209"/>
      <c r="AA474" s="209"/>
      <c r="AB474" s="209"/>
      <c r="AC474" s="209"/>
      <c r="AD474" s="209"/>
      <c r="AE474" s="209"/>
      <c r="AF474" s="209"/>
      <c r="AG474" s="209"/>
    </row>
    <row r="475" spans="1:33" x14ac:dyDescent="0.25">
      <c r="A475" s="121"/>
      <c r="B475" s="210" t="s">
        <v>559</v>
      </c>
      <c r="C475" s="211">
        <v>0</v>
      </c>
      <c r="D475" s="211">
        <v>0</v>
      </c>
      <c r="E475" s="211">
        <v>0</v>
      </c>
      <c r="F475" s="211">
        <v>0</v>
      </c>
      <c r="G475" s="211">
        <v>0</v>
      </c>
      <c r="H475" s="211">
        <v>0</v>
      </c>
      <c r="I475" s="211">
        <v>2.1120000000000001</v>
      </c>
      <c r="J475" s="211">
        <v>0.40799999999999997</v>
      </c>
      <c r="K475" s="211">
        <v>0</v>
      </c>
      <c r="L475" s="211">
        <v>0</v>
      </c>
      <c r="M475" s="211">
        <v>0</v>
      </c>
      <c r="N475" s="211">
        <v>0</v>
      </c>
      <c r="O475" s="211">
        <v>0</v>
      </c>
      <c r="P475" s="211">
        <v>0</v>
      </c>
      <c r="Q475" s="211">
        <v>26.698</v>
      </c>
      <c r="R475" s="211">
        <v>0</v>
      </c>
      <c r="S475" s="211">
        <v>0</v>
      </c>
      <c r="T475" s="211">
        <v>0</v>
      </c>
      <c r="U475" s="211">
        <v>0</v>
      </c>
      <c r="V475" s="211">
        <v>0</v>
      </c>
      <c r="W475" s="211">
        <v>0.9</v>
      </c>
      <c r="X475" s="211">
        <v>0</v>
      </c>
      <c r="Y475" s="211">
        <v>19.085999999999999</v>
      </c>
      <c r="Z475" s="211">
        <v>0</v>
      </c>
      <c r="AA475" s="211">
        <v>0</v>
      </c>
      <c r="AB475" s="211">
        <v>0</v>
      </c>
      <c r="AC475" s="211">
        <v>0</v>
      </c>
      <c r="AD475" s="211">
        <v>0</v>
      </c>
      <c r="AE475" s="211">
        <v>0</v>
      </c>
      <c r="AF475" s="211">
        <v>0</v>
      </c>
      <c r="AG475" s="211">
        <v>49.203999999999994</v>
      </c>
    </row>
    <row r="476" spans="1:33" x14ac:dyDescent="0.25">
      <c r="A476" s="121"/>
      <c r="B476" s="210" t="s">
        <v>560</v>
      </c>
      <c r="C476" s="211">
        <v>0</v>
      </c>
      <c r="D476" s="211">
        <v>0</v>
      </c>
      <c r="E476" s="211">
        <v>0</v>
      </c>
      <c r="F476" s="211">
        <v>0</v>
      </c>
      <c r="G476" s="211">
        <v>0</v>
      </c>
      <c r="H476" s="211">
        <v>0</v>
      </c>
      <c r="I476" s="211">
        <v>0</v>
      </c>
      <c r="J476" s="211">
        <v>9.6000000000000002E-2</v>
      </c>
      <c r="K476" s="211">
        <v>0</v>
      </c>
      <c r="L476" s="211">
        <v>0</v>
      </c>
      <c r="M476" s="211">
        <v>0</v>
      </c>
      <c r="N476" s="211">
        <v>0</v>
      </c>
      <c r="O476" s="211">
        <v>0</v>
      </c>
      <c r="P476" s="211">
        <v>0</v>
      </c>
      <c r="Q476" s="211">
        <v>0</v>
      </c>
      <c r="R476" s="211">
        <v>0</v>
      </c>
      <c r="S476" s="211">
        <v>0</v>
      </c>
      <c r="T476" s="211">
        <v>0</v>
      </c>
      <c r="U476" s="211">
        <v>0</v>
      </c>
      <c r="V476" s="211">
        <v>0</v>
      </c>
      <c r="W476" s="211">
        <v>0.1</v>
      </c>
      <c r="X476" s="211">
        <v>0</v>
      </c>
      <c r="Y476" s="211">
        <v>0</v>
      </c>
      <c r="Z476" s="211">
        <v>0</v>
      </c>
      <c r="AA476" s="211">
        <v>0</v>
      </c>
      <c r="AB476" s="211">
        <v>0</v>
      </c>
      <c r="AC476" s="211">
        <v>0</v>
      </c>
      <c r="AD476" s="211">
        <v>0</v>
      </c>
      <c r="AE476" s="211">
        <v>0</v>
      </c>
      <c r="AF476" s="211">
        <v>5.4411800000000001</v>
      </c>
      <c r="AG476" s="211">
        <v>5.6371799999999999</v>
      </c>
    </row>
    <row r="477" spans="1:33" x14ac:dyDescent="0.25">
      <c r="A477" s="207" t="s">
        <v>561</v>
      </c>
      <c r="B477" s="208"/>
      <c r="C477" s="209"/>
      <c r="D477" s="209"/>
      <c r="E477" s="209"/>
      <c r="F477" s="209"/>
      <c r="G477" s="209"/>
      <c r="H477" s="209"/>
      <c r="I477" s="209"/>
      <c r="J477" s="209"/>
      <c r="K477" s="209"/>
      <c r="L477" s="209"/>
      <c r="M477" s="209"/>
      <c r="N477" s="209"/>
      <c r="O477" s="209"/>
      <c r="P477" s="209"/>
      <c r="Q477" s="209"/>
      <c r="R477" s="209"/>
      <c r="S477" s="209"/>
      <c r="T477" s="209"/>
      <c r="U477" s="209"/>
      <c r="V477" s="209"/>
      <c r="W477" s="209"/>
      <c r="X477" s="209"/>
      <c r="Y477" s="209"/>
      <c r="Z477" s="209"/>
      <c r="AA477" s="209"/>
      <c r="AB477" s="209"/>
      <c r="AC477" s="209"/>
      <c r="AD477" s="209"/>
      <c r="AE477" s="209"/>
      <c r="AF477" s="209"/>
      <c r="AG477" s="209"/>
    </row>
    <row r="478" spans="1:33" x14ac:dyDescent="0.25">
      <c r="A478" s="121"/>
      <c r="B478" s="210" t="s">
        <v>562</v>
      </c>
      <c r="C478" s="211">
        <v>0</v>
      </c>
      <c r="D478" s="211">
        <v>0</v>
      </c>
      <c r="E478" s="211">
        <v>0</v>
      </c>
      <c r="F478" s="211">
        <v>0</v>
      </c>
      <c r="G478" s="211">
        <v>0</v>
      </c>
      <c r="H478" s="211">
        <v>0</v>
      </c>
      <c r="I478" s="211">
        <v>0</v>
      </c>
      <c r="J478" s="211">
        <v>0</v>
      </c>
      <c r="K478" s="211">
        <v>0</v>
      </c>
      <c r="L478" s="211">
        <v>0</v>
      </c>
      <c r="M478" s="211">
        <v>0</v>
      </c>
      <c r="N478" s="211">
        <v>0</v>
      </c>
      <c r="O478" s="211">
        <v>0</v>
      </c>
      <c r="P478" s="211">
        <v>0</v>
      </c>
      <c r="Q478" s="211">
        <v>0</v>
      </c>
      <c r="R478" s="211">
        <v>0</v>
      </c>
      <c r="S478" s="211">
        <v>0</v>
      </c>
      <c r="T478" s="211">
        <v>0</v>
      </c>
      <c r="U478" s="211">
        <v>0</v>
      </c>
      <c r="V478" s="211">
        <v>0</v>
      </c>
      <c r="W478" s="211">
        <v>9.06</v>
      </c>
      <c r="X478" s="211">
        <v>0</v>
      </c>
      <c r="Y478" s="211">
        <v>0</v>
      </c>
      <c r="Z478" s="211">
        <v>0</v>
      </c>
      <c r="AA478" s="211">
        <v>0</v>
      </c>
      <c r="AB478" s="211">
        <v>0</v>
      </c>
      <c r="AC478" s="211">
        <v>0</v>
      </c>
      <c r="AD478" s="211">
        <v>0</v>
      </c>
      <c r="AE478" s="211">
        <v>0</v>
      </c>
      <c r="AF478" s="211">
        <v>0</v>
      </c>
      <c r="AG478" s="211">
        <v>9.06</v>
      </c>
    </row>
    <row r="479" spans="1:33" x14ac:dyDescent="0.25">
      <c r="A479" s="207" t="s">
        <v>1161</v>
      </c>
      <c r="B479" s="208"/>
      <c r="C479" s="209"/>
      <c r="D479" s="209"/>
      <c r="E479" s="209"/>
      <c r="F479" s="209"/>
      <c r="G479" s="209"/>
      <c r="H479" s="209"/>
      <c r="I479" s="209"/>
      <c r="J479" s="209"/>
      <c r="K479" s="209"/>
      <c r="L479" s="209"/>
      <c r="M479" s="209"/>
      <c r="N479" s="209"/>
      <c r="O479" s="209"/>
      <c r="P479" s="209"/>
      <c r="Q479" s="209"/>
      <c r="R479" s="209"/>
      <c r="S479" s="209"/>
      <c r="T479" s="209"/>
      <c r="U479" s="209"/>
      <c r="V479" s="209"/>
      <c r="W479" s="209"/>
      <c r="X479" s="209"/>
      <c r="Y479" s="209"/>
      <c r="Z479" s="209"/>
      <c r="AA479" s="209"/>
      <c r="AB479" s="209"/>
      <c r="AC479" s="209"/>
      <c r="AD479" s="209"/>
      <c r="AE479" s="209"/>
      <c r="AF479" s="209"/>
      <c r="AG479" s="209"/>
    </row>
    <row r="480" spans="1:33" x14ac:dyDescent="0.25">
      <c r="A480" s="121"/>
      <c r="B480" s="210" t="s">
        <v>1162</v>
      </c>
      <c r="C480" s="211">
        <v>0</v>
      </c>
      <c r="D480" s="211">
        <v>0</v>
      </c>
      <c r="E480" s="211">
        <v>0</v>
      </c>
      <c r="F480" s="211">
        <v>0</v>
      </c>
      <c r="G480" s="211">
        <v>0</v>
      </c>
      <c r="H480" s="211">
        <v>0</v>
      </c>
      <c r="I480" s="211">
        <v>0</v>
      </c>
      <c r="J480" s="211">
        <v>0</v>
      </c>
      <c r="K480" s="211">
        <v>0</v>
      </c>
      <c r="L480" s="211">
        <v>0</v>
      </c>
      <c r="M480" s="211">
        <v>0</v>
      </c>
      <c r="N480" s="211">
        <v>0</v>
      </c>
      <c r="O480" s="211">
        <v>0</v>
      </c>
      <c r="P480" s="211">
        <v>0</v>
      </c>
      <c r="Q480" s="211">
        <v>0</v>
      </c>
      <c r="R480" s="211">
        <v>0</v>
      </c>
      <c r="S480" s="211">
        <v>0</v>
      </c>
      <c r="T480" s="211">
        <v>0</v>
      </c>
      <c r="U480" s="211">
        <v>0</v>
      </c>
      <c r="V480" s="211">
        <v>0</v>
      </c>
      <c r="W480" s="211">
        <v>0</v>
      </c>
      <c r="X480" s="211">
        <v>0</v>
      </c>
      <c r="Y480" s="211">
        <v>0</v>
      </c>
      <c r="Z480" s="211">
        <v>0</v>
      </c>
      <c r="AA480" s="211">
        <v>0</v>
      </c>
      <c r="AB480" s="211">
        <v>0</v>
      </c>
      <c r="AC480" s="211">
        <v>0</v>
      </c>
      <c r="AD480" s="211">
        <v>0</v>
      </c>
      <c r="AE480" s="211">
        <v>0</v>
      </c>
      <c r="AF480" s="211">
        <v>0</v>
      </c>
      <c r="AG480" s="211">
        <v>0</v>
      </c>
    </row>
    <row r="481" spans="1:33" x14ac:dyDescent="0.25">
      <c r="A481" s="121"/>
      <c r="B481" s="210" t="s">
        <v>1163</v>
      </c>
      <c r="C481" s="211">
        <v>0</v>
      </c>
      <c r="D481" s="211">
        <v>0</v>
      </c>
      <c r="E481" s="211">
        <v>0</v>
      </c>
      <c r="F481" s="211">
        <v>0</v>
      </c>
      <c r="G481" s="211">
        <v>0</v>
      </c>
      <c r="H481" s="211">
        <v>0</v>
      </c>
      <c r="I481" s="211">
        <v>0</v>
      </c>
      <c r="J481" s="211">
        <v>0</v>
      </c>
      <c r="K481" s="211">
        <v>0</v>
      </c>
      <c r="L481" s="211">
        <v>0</v>
      </c>
      <c r="M481" s="211">
        <v>0</v>
      </c>
      <c r="N481" s="211">
        <v>0</v>
      </c>
      <c r="O481" s="211">
        <v>0</v>
      </c>
      <c r="P481" s="211">
        <v>0</v>
      </c>
      <c r="Q481" s="211">
        <v>0</v>
      </c>
      <c r="R481" s="211">
        <v>0</v>
      </c>
      <c r="S481" s="211">
        <v>0</v>
      </c>
      <c r="T481" s="211">
        <v>0</v>
      </c>
      <c r="U481" s="211">
        <v>0</v>
      </c>
      <c r="V481" s="211">
        <v>0</v>
      </c>
      <c r="W481" s="211">
        <v>0</v>
      </c>
      <c r="X481" s="211">
        <v>0</v>
      </c>
      <c r="Y481" s="211">
        <v>0</v>
      </c>
      <c r="Z481" s="211">
        <v>0</v>
      </c>
      <c r="AA481" s="211">
        <v>0</v>
      </c>
      <c r="AB481" s="211">
        <v>0</v>
      </c>
      <c r="AC481" s="211">
        <v>0</v>
      </c>
      <c r="AD481" s="211">
        <v>0</v>
      </c>
      <c r="AE481" s="211">
        <v>0</v>
      </c>
      <c r="AF481" s="211">
        <v>0</v>
      </c>
      <c r="AG481" s="211">
        <v>0</v>
      </c>
    </row>
    <row r="482" spans="1:33" x14ac:dyDescent="0.25">
      <c r="A482" s="121"/>
      <c r="B482" s="210" t="s">
        <v>1164</v>
      </c>
      <c r="C482" s="211">
        <v>0</v>
      </c>
      <c r="D482" s="211">
        <v>0</v>
      </c>
      <c r="E482" s="211">
        <v>0</v>
      </c>
      <c r="F482" s="211">
        <v>0</v>
      </c>
      <c r="G482" s="211">
        <v>0</v>
      </c>
      <c r="H482" s="211">
        <v>0</v>
      </c>
      <c r="I482" s="211">
        <v>0</v>
      </c>
      <c r="J482" s="211">
        <v>0</v>
      </c>
      <c r="K482" s="211">
        <v>0</v>
      </c>
      <c r="L482" s="211">
        <v>0</v>
      </c>
      <c r="M482" s="211">
        <v>0</v>
      </c>
      <c r="N482" s="211">
        <v>0</v>
      </c>
      <c r="O482" s="211">
        <v>0</v>
      </c>
      <c r="P482" s="211">
        <v>0</v>
      </c>
      <c r="Q482" s="211">
        <v>0</v>
      </c>
      <c r="R482" s="211">
        <v>0</v>
      </c>
      <c r="S482" s="211">
        <v>0</v>
      </c>
      <c r="T482" s="211">
        <v>0</v>
      </c>
      <c r="U482" s="211">
        <v>0</v>
      </c>
      <c r="V482" s="211">
        <v>0</v>
      </c>
      <c r="W482" s="211">
        <v>0</v>
      </c>
      <c r="X482" s="211">
        <v>0</v>
      </c>
      <c r="Y482" s="211">
        <v>0</v>
      </c>
      <c r="Z482" s="211">
        <v>0</v>
      </c>
      <c r="AA482" s="211">
        <v>0</v>
      </c>
      <c r="AB482" s="211">
        <v>0</v>
      </c>
      <c r="AC482" s="211">
        <v>0</v>
      </c>
      <c r="AD482" s="211">
        <v>0</v>
      </c>
      <c r="AE482" s="211">
        <v>0</v>
      </c>
      <c r="AF482" s="211">
        <v>0</v>
      </c>
      <c r="AG482" s="211">
        <v>0</v>
      </c>
    </row>
    <row r="483" spans="1:33" x14ac:dyDescent="0.25">
      <c r="A483" s="121"/>
      <c r="B483" s="210" t="s">
        <v>1165</v>
      </c>
      <c r="C483" s="211">
        <v>0</v>
      </c>
      <c r="D483" s="211">
        <v>0</v>
      </c>
      <c r="E483" s="211">
        <v>0</v>
      </c>
      <c r="F483" s="211">
        <v>0</v>
      </c>
      <c r="G483" s="211">
        <v>0</v>
      </c>
      <c r="H483" s="211">
        <v>0</v>
      </c>
      <c r="I483" s="211">
        <v>0</v>
      </c>
      <c r="J483" s="211">
        <v>0</v>
      </c>
      <c r="K483" s="211">
        <v>0</v>
      </c>
      <c r="L483" s="211">
        <v>0</v>
      </c>
      <c r="M483" s="211">
        <v>0</v>
      </c>
      <c r="N483" s="211">
        <v>0</v>
      </c>
      <c r="O483" s="211">
        <v>0</v>
      </c>
      <c r="P483" s="211">
        <v>0</v>
      </c>
      <c r="Q483" s="211">
        <v>0</v>
      </c>
      <c r="R483" s="211">
        <v>0</v>
      </c>
      <c r="S483" s="211">
        <v>0</v>
      </c>
      <c r="T483" s="211">
        <v>0</v>
      </c>
      <c r="U483" s="211">
        <v>0</v>
      </c>
      <c r="V483" s="211">
        <v>0</v>
      </c>
      <c r="W483" s="211">
        <v>0</v>
      </c>
      <c r="X483" s="211">
        <v>0</v>
      </c>
      <c r="Y483" s="211">
        <v>0</v>
      </c>
      <c r="Z483" s="211">
        <v>0</v>
      </c>
      <c r="AA483" s="211">
        <v>0</v>
      </c>
      <c r="AB483" s="211">
        <v>0</v>
      </c>
      <c r="AC483" s="211">
        <v>0</v>
      </c>
      <c r="AD483" s="211">
        <v>0</v>
      </c>
      <c r="AE483" s="211">
        <v>0</v>
      </c>
      <c r="AF483" s="211">
        <v>0</v>
      </c>
      <c r="AG483" s="211">
        <v>0</v>
      </c>
    </row>
    <row r="484" spans="1:33" x14ac:dyDescent="0.25">
      <c r="A484" s="121"/>
      <c r="B484" s="210" t="s">
        <v>1166</v>
      </c>
      <c r="C484" s="211">
        <v>0</v>
      </c>
      <c r="D484" s="211">
        <v>0</v>
      </c>
      <c r="E484" s="211">
        <v>0</v>
      </c>
      <c r="F484" s="211">
        <v>0</v>
      </c>
      <c r="G484" s="211">
        <v>0</v>
      </c>
      <c r="H484" s="211">
        <v>0</v>
      </c>
      <c r="I484" s="211">
        <v>0</v>
      </c>
      <c r="J484" s="211">
        <v>0</v>
      </c>
      <c r="K484" s="211">
        <v>0</v>
      </c>
      <c r="L484" s="211">
        <v>0</v>
      </c>
      <c r="M484" s="211">
        <v>0</v>
      </c>
      <c r="N484" s="211">
        <v>0</v>
      </c>
      <c r="O484" s="211">
        <v>0</v>
      </c>
      <c r="P484" s="211">
        <v>0</v>
      </c>
      <c r="Q484" s="211">
        <v>0</v>
      </c>
      <c r="R484" s="211">
        <v>0</v>
      </c>
      <c r="S484" s="211">
        <v>0</v>
      </c>
      <c r="T484" s="211">
        <v>0</v>
      </c>
      <c r="U484" s="211">
        <v>0</v>
      </c>
      <c r="V484" s="211">
        <v>0</v>
      </c>
      <c r="W484" s="211">
        <v>0</v>
      </c>
      <c r="X484" s="211">
        <v>0</v>
      </c>
      <c r="Y484" s="211">
        <v>0</v>
      </c>
      <c r="Z484" s="211">
        <v>0</v>
      </c>
      <c r="AA484" s="211">
        <v>0</v>
      </c>
      <c r="AB484" s="211">
        <v>0</v>
      </c>
      <c r="AC484" s="211">
        <v>0</v>
      </c>
      <c r="AD484" s="211">
        <v>0</v>
      </c>
      <c r="AE484" s="211">
        <v>0</v>
      </c>
      <c r="AF484" s="211">
        <v>0</v>
      </c>
      <c r="AG484" s="211">
        <v>0</v>
      </c>
    </row>
    <row r="485" spans="1:33" x14ac:dyDescent="0.25">
      <c r="A485" s="121"/>
      <c r="B485" s="210" t="s">
        <v>1167</v>
      </c>
      <c r="C485" s="211">
        <v>0</v>
      </c>
      <c r="D485" s="211">
        <v>0</v>
      </c>
      <c r="E485" s="211">
        <v>0</v>
      </c>
      <c r="F485" s="211">
        <v>0</v>
      </c>
      <c r="G485" s="211">
        <v>0</v>
      </c>
      <c r="H485" s="211">
        <v>0</v>
      </c>
      <c r="I485" s="211">
        <v>0</v>
      </c>
      <c r="J485" s="211">
        <v>0</v>
      </c>
      <c r="K485" s="211">
        <v>0</v>
      </c>
      <c r="L485" s="211">
        <v>0</v>
      </c>
      <c r="M485" s="211">
        <v>0</v>
      </c>
      <c r="N485" s="211">
        <v>0</v>
      </c>
      <c r="O485" s="211">
        <v>0</v>
      </c>
      <c r="P485" s="211">
        <v>0</v>
      </c>
      <c r="Q485" s="211">
        <v>0</v>
      </c>
      <c r="R485" s="211">
        <v>0</v>
      </c>
      <c r="S485" s="211">
        <v>0</v>
      </c>
      <c r="T485" s="211">
        <v>0</v>
      </c>
      <c r="U485" s="211">
        <v>0</v>
      </c>
      <c r="V485" s="211">
        <v>0</v>
      </c>
      <c r="W485" s="211">
        <v>0</v>
      </c>
      <c r="X485" s="211">
        <v>0</v>
      </c>
      <c r="Y485" s="211">
        <v>0</v>
      </c>
      <c r="Z485" s="211">
        <v>0</v>
      </c>
      <c r="AA485" s="211">
        <v>0</v>
      </c>
      <c r="AB485" s="211">
        <v>0</v>
      </c>
      <c r="AC485" s="211">
        <v>0</v>
      </c>
      <c r="AD485" s="211">
        <v>0</v>
      </c>
      <c r="AE485" s="211">
        <v>0</v>
      </c>
      <c r="AF485" s="211">
        <v>0</v>
      </c>
      <c r="AG485" s="211">
        <v>0</v>
      </c>
    </row>
    <row r="486" spans="1:33" x14ac:dyDescent="0.25">
      <c r="A486" s="121"/>
      <c r="B486" s="210" t="s">
        <v>1168</v>
      </c>
      <c r="C486" s="211">
        <v>0</v>
      </c>
      <c r="D486" s="211">
        <v>0</v>
      </c>
      <c r="E486" s="211">
        <v>0</v>
      </c>
      <c r="F486" s="211">
        <v>0</v>
      </c>
      <c r="G486" s="211">
        <v>0</v>
      </c>
      <c r="H486" s="211">
        <v>0</v>
      </c>
      <c r="I486" s="211">
        <v>0</v>
      </c>
      <c r="J486" s="211">
        <v>0</v>
      </c>
      <c r="K486" s="211">
        <v>0</v>
      </c>
      <c r="L486" s="211">
        <v>0</v>
      </c>
      <c r="M486" s="211">
        <v>0</v>
      </c>
      <c r="N486" s="211">
        <v>0</v>
      </c>
      <c r="O486" s="211">
        <v>0</v>
      </c>
      <c r="P486" s="211">
        <v>0</v>
      </c>
      <c r="Q486" s="211">
        <v>0</v>
      </c>
      <c r="R486" s="211">
        <v>0</v>
      </c>
      <c r="S486" s="211">
        <v>0</v>
      </c>
      <c r="T486" s="211">
        <v>0</v>
      </c>
      <c r="U486" s="211">
        <v>0</v>
      </c>
      <c r="V486" s="211">
        <v>0</v>
      </c>
      <c r="W486" s="211">
        <v>0</v>
      </c>
      <c r="X486" s="211">
        <v>0</v>
      </c>
      <c r="Y486" s="211">
        <v>0</v>
      </c>
      <c r="Z486" s="211">
        <v>0</v>
      </c>
      <c r="AA486" s="211">
        <v>0</v>
      </c>
      <c r="AB486" s="211">
        <v>0</v>
      </c>
      <c r="AC486" s="211">
        <v>0</v>
      </c>
      <c r="AD486" s="211">
        <v>0</v>
      </c>
      <c r="AE486" s="211">
        <v>0</v>
      </c>
      <c r="AF486" s="211">
        <v>0</v>
      </c>
      <c r="AG486" s="211">
        <v>0</v>
      </c>
    </row>
    <row r="487" spans="1:33" x14ac:dyDescent="0.25">
      <c r="A487" s="121"/>
      <c r="B487" s="210" t="s">
        <v>129</v>
      </c>
      <c r="C487" s="211">
        <v>0</v>
      </c>
      <c r="D487" s="211">
        <v>0</v>
      </c>
      <c r="E487" s="211">
        <v>0</v>
      </c>
      <c r="F487" s="211">
        <v>0</v>
      </c>
      <c r="G487" s="211">
        <v>0</v>
      </c>
      <c r="H487" s="211">
        <v>0</v>
      </c>
      <c r="I487" s="211">
        <v>0</v>
      </c>
      <c r="J487" s="211">
        <v>0</v>
      </c>
      <c r="K487" s="211">
        <v>0</v>
      </c>
      <c r="L487" s="211">
        <v>0</v>
      </c>
      <c r="M487" s="211">
        <v>0</v>
      </c>
      <c r="N487" s="211">
        <v>0</v>
      </c>
      <c r="O487" s="211">
        <v>0</v>
      </c>
      <c r="P487" s="211">
        <v>0</v>
      </c>
      <c r="Q487" s="211">
        <v>0</v>
      </c>
      <c r="R487" s="211">
        <v>0</v>
      </c>
      <c r="S487" s="211">
        <v>0</v>
      </c>
      <c r="T487" s="211">
        <v>0</v>
      </c>
      <c r="U487" s="211">
        <v>0</v>
      </c>
      <c r="V487" s="211">
        <v>0</v>
      </c>
      <c r="W487" s="211">
        <v>0</v>
      </c>
      <c r="X487" s="211">
        <v>0</v>
      </c>
      <c r="Y487" s="211">
        <v>0</v>
      </c>
      <c r="Z487" s="211">
        <v>0</v>
      </c>
      <c r="AA487" s="211">
        <v>0</v>
      </c>
      <c r="AB487" s="211">
        <v>0</v>
      </c>
      <c r="AC487" s="211">
        <v>0</v>
      </c>
      <c r="AD487" s="211">
        <v>0</v>
      </c>
      <c r="AE487" s="211">
        <v>0</v>
      </c>
      <c r="AF487" s="211">
        <v>0</v>
      </c>
      <c r="AG487" s="211">
        <v>0</v>
      </c>
    </row>
    <row r="488" spans="1:33" x14ac:dyDescent="0.25">
      <c r="A488" s="121"/>
      <c r="B488" s="210" t="s">
        <v>1169</v>
      </c>
      <c r="C488" s="211">
        <v>0</v>
      </c>
      <c r="D488" s="211">
        <v>0</v>
      </c>
      <c r="E488" s="211">
        <v>0</v>
      </c>
      <c r="F488" s="211">
        <v>0</v>
      </c>
      <c r="G488" s="211">
        <v>0</v>
      </c>
      <c r="H488" s="211">
        <v>0</v>
      </c>
      <c r="I488" s="211">
        <v>0</v>
      </c>
      <c r="J488" s="211">
        <v>0</v>
      </c>
      <c r="K488" s="211">
        <v>0</v>
      </c>
      <c r="L488" s="211">
        <v>0</v>
      </c>
      <c r="M488" s="211">
        <v>0</v>
      </c>
      <c r="N488" s="211">
        <v>0</v>
      </c>
      <c r="O488" s="211">
        <v>0</v>
      </c>
      <c r="P488" s="211">
        <v>0</v>
      </c>
      <c r="Q488" s="211">
        <v>0</v>
      </c>
      <c r="R488" s="211">
        <v>0</v>
      </c>
      <c r="S488" s="211">
        <v>0</v>
      </c>
      <c r="T488" s="211">
        <v>0</v>
      </c>
      <c r="U488" s="211">
        <v>0</v>
      </c>
      <c r="V488" s="211">
        <v>0</v>
      </c>
      <c r="W488" s="211">
        <v>0</v>
      </c>
      <c r="X488" s="211">
        <v>0</v>
      </c>
      <c r="Y488" s="211">
        <v>0</v>
      </c>
      <c r="Z488" s="211">
        <v>0</v>
      </c>
      <c r="AA488" s="211">
        <v>0</v>
      </c>
      <c r="AB488" s="211">
        <v>0</v>
      </c>
      <c r="AC488" s="211">
        <v>0</v>
      </c>
      <c r="AD488" s="211">
        <v>0</v>
      </c>
      <c r="AE488" s="211">
        <v>0</v>
      </c>
      <c r="AF488" s="211">
        <v>0</v>
      </c>
      <c r="AG488" s="211">
        <v>0</v>
      </c>
    </row>
    <row r="489" spans="1:33" x14ac:dyDescent="0.25">
      <c r="A489" s="121"/>
      <c r="B489" s="210" t="s">
        <v>1170</v>
      </c>
      <c r="C489" s="211">
        <v>0</v>
      </c>
      <c r="D489" s="211">
        <v>0</v>
      </c>
      <c r="E489" s="211">
        <v>0</v>
      </c>
      <c r="F489" s="211">
        <v>0</v>
      </c>
      <c r="G489" s="211">
        <v>0</v>
      </c>
      <c r="H489" s="211">
        <v>0</v>
      </c>
      <c r="I489" s="211">
        <v>0</v>
      </c>
      <c r="J489" s="211">
        <v>0</v>
      </c>
      <c r="K489" s="211">
        <v>0</v>
      </c>
      <c r="L489" s="211">
        <v>0</v>
      </c>
      <c r="M489" s="211">
        <v>0</v>
      </c>
      <c r="N489" s="211">
        <v>0</v>
      </c>
      <c r="O489" s="211">
        <v>0</v>
      </c>
      <c r="P489" s="211">
        <v>0</v>
      </c>
      <c r="Q489" s="211">
        <v>0</v>
      </c>
      <c r="R489" s="211">
        <v>0</v>
      </c>
      <c r="S489" s="211">
        <v>0</v>
      </c>
      <c r="T489" s="211">
        <v>0</v>
      </c>
      <c r="U489" s="211">
        <v>0</v>
      </c>
      <c r="V489" s="211">
        <v>0</v>
      </c>
      <c r="W489" s="211">
        <v>0</v>
      </c>
      <c r="X489" s="211">
        <v>0</v>
      </c>
      <c r="Y489" s="211">
        <v>0</v>
      </c>
      <c r="Z489" s="211">
        <v>0</v>
      </c>
      <c r="AA489" s="211">
        <v>0</v>
      </c>
      <c r="AB489" s="211">
        <v>0</v>
      </c>
      <c r="AC489" s="211">
        <v>0</v>
      </c>
      <c r="AD489" s="211">
        <v>0</v>
      </c>
      <c r="AE489" s="211">
        <v>0</v>
      </c>
      <c r="AF489" s="211">
        <v>0</v>
      </c>
      <c r="AG489" s="211">
        <v>0</v>
      </c>
    </row>
    <row r="490" spans="1:33" x14ac:dyDescent="0.25">
      <c r="A490" s="121"/>
      <c r="B490" s="210" t="s">
        <v>1171</v>
      </c>
      <c r="C490" s="211">
        <v>0</v>
      </c>
      <c r="D490" s="211">
        <v>0</v>
      </c>
      <c r="E490" s="211">
        <v>0</v>
      </c>
      <c r="F490" s="211">
        <v>0</v>
      </c>
      <c r="G490" s="211">
        <v>0</v>
      </c>
      <c r="H490" s="211">
        <v>0</v>
      </c>
      <c r="I490" s="211">
        <v>0</v>
      </c>
      <c r="J490" s="211">
        <v>0</v>
      </c>
      <c r="K490" s="211">
        <v>0</v>
      </c>
      <c r="L490" s="211">
        <v>0</v>
      </c>
      <c r="M490" s="211">
        <v>0</v>
      </c>
      <c r="N490" s="211">
        <v>0</v>
      </c>
      <c r="O490" s="211">
        <v>0</v>
      </c>
      <c r="P490" s="211">
        <v>0</v>
      </c>
      <c r="Q490" s="211">
        <v>0</v>
      </c>
      <c r="R490" s="211">
        <v>0</v>
      </c>
      <c r="S490" s="211">
        <v>0</v>
      </c>
      <c r="T490" s="211">
        <v>0</v>
      </c>
      <c r="U490" s="211">
        <v>0</v>
      </c>
      <c r="V490" s="211">
        <v>0</v>
      </c>
      <c r="W490" s="211">
        <v>0</v>
      </c>
      <c r="X490" s="211">
        <v>0</v>
      </c>
      <c r="Y490" s="211">
        <v>0</v>
      </c>
      <c r="Z490" s="211">
        <v>0</v>
      </c>
      <c r="AA490" s="211">
        <v>0</v>
      </c>
      <c r="AB490" s="211">
        <v>0</v>
      </c>
      <c r="AC490" s="211">
        <v>0</v>
      </c>
      <c r="AD490" s="211">
        <v>0</v>
      </c>
      <c r="AE490" s="211">
        <v>0</v>
      </c>
      <c r="AF490" s="211">
        <v>0</v>
      </c>
      <c r="AG490" s="211">
        <v>0</v>
      </c>
    </row>
    <row r="491" spans="1:33" x14ac:dyDescent="0.25">
      <c r="A491" s="207" t="s">
        <v>563</v>
      </c>
      <c r="B491" s="208"/>
      <c r="C491" s="209"/>
      <c r="D491" s="209"/>
      <c r="E491" s="209"/>
      <c r="F491" s="209"/>
      <c r="G491" s="209"/>
      <c r="H491" s="209"/>
      <c r="I491" s="209"/>
      <c r="J491" s="209"/>
      <c r="K491" s="209"/>
      <c r="L491" s="209"/>
      <c r="M491" s="209"/>
      <c r="N491" s="209"/>
      <c r="O491" s="209"/>
      <c r="P491" s="209"/>
      <c r="Q491" s="209"/>
      <c r="R491" s="209"/>
      <c r="S491" s="209"/>
      <c r="T491" s="209"/>
      <c r="U491" s="209"/>
      <c r="V491" s="209"/>
      <c r="W491" s="209"/>
      <c r="X491" s="209"/>
      <c r="Y491" s="209"/>
      <c r="Z491" s="209"/>
      <c r="AA491" s="209"/>
      <c r="AB491" s="209"/>
      <c r="AC491" s="209"/>
      <c r="AD491" s="209"/>
      <c r="AE491" s="209"/>
      <c r="AF491" s="209"/>
      <c r="AG491" s="209"/>
    </row>
    <row r="492" spans="1:33" x14ac:dyDescent="0.25">
      <c r="A492" s="121"/>
      <c r="B492" s="210" t="s">
        <v>564</v>
      </c>
      <c r="C492" s="211">
        <v>0</v>
      </c>
      <c r="D492" s="211">
        <v>0</v>
      </c>
      <c r="E492" s="211">
        <v>0</v>
      </c>
      <c r="F492" s="211">
        <v>0</v>
      </c>
      <c r="G492" s="211">
        <v>0</v>
      </c>
      <c r="H492" s="211">
        <v>0</v>
      </c>
      <c r="I492" s="211">
        <v>0</v>
      </c>
      <c r="J492" s="211">
        <v>0</v>
      </c>
      <c r="K492" s="211">
        <v>0</v>
      </c>
      <c r="L492" s="211">
        <v>0</v>
      </c>
      <c r="M492" s="211">
        <v>0</v>
      </c>
      <c r="N492" s="211">
        <v>0</v>
      </c>
      <c r="O492" s="211">
        <v>0</v>
      </c>
      <c r="P492" s="211">
        <v>0</v>
      </c>
      <c r="Q492" s="211">
        <v>0</v>
      </c>
      <c r="R492" s="211">
        <v>0</v>
      </c>
      <c r="S492" s="211">
        <v>0</v>
      </c>
      <c r="T492" s="211">
        <v>0</v>
      </c>
      <c r="U492" s="211">
        <v>0</v>
      </c>
      <c r="V492" s="211">
        <v>0</v>
      </c>
      <c r="W492" s="211">
        <v>0</v>
      </c>
      <c r="X492" s="211">
        <v>0</v>
      </c>
      <c r="Y492" s="211">
        <v>0</v>
      </c>
      <c r="Z492" s="211">
        <v>0</v>
      </c>
      <c r="AA492" s="211">
        <v>0</v>
      </c>
      <c r="AB492" s="211">
        <v>0</v>
      </c>
      <c r="AC492" s="211">
        <v>0</v>
      </c>
      <c r="AD492" s="211">
        <v>0</v>
      </c>
      <c r="AE492" s="211">
        <v>0</v>
      </c>
      <c r="AF492" s="211">
        <v>0</v>
      </c>
      <c r="AG492" s="211">
        <v>0</v>
      </c>
    </row>
    <row r="493" spans="1:33" x14ac:dyDescent="0.25">
      <c r="A493" s="207" t="s">
        <v>1172</v>
      </c>
      <c r="B493" s="208"/>
      <c r="C493" s="209"/>
      <c r="D493" s="209"/>
      <c r="E493" s="209"/>
      <c r="F493" s="209"/>
      <c r="G493" s="209"/>
      <c r="H493" s="209"/>
      <c r="I493" s="209"/>
      <c r="J493" s="209"/>
      <c r="K493" s="209"/>
      <c r="L493" s="209"/>
      <c r="M493" s="209"/>
      <c r="N493" s="209"/>
      <c r="O493" s="209"/>
      <c r="P493" s="209"/>
      <c r="Q493" s="209"/>
      <c r="R493" s="209"/>
      <c r="S493" s="209"/>
      <c r="T493" s="209"/>
      <c r="U493" s="209"/>
      <c r="V493" s="209"/>
      <c r="W493" s="209"/>
      <c r="X493" s="209"/>
      <c r="Y493" s="209"/>
      <c r="Z493" s="209"/>
      <c r="AA493" s="209"/>
      <c r="AB493" s="209"/>
      <c r="AC493" s="209"/>
      <c r="AD493" s="209"/>
      <c r="AE493" s="209"/>
      <c r="AF493" s="209"/>
      <c r="AG493" s="209"/>
    </row>
    <row r="494" spans="1:33" x14ac:dyDescent="0.25">
      <c r="A494" s="121"/>
      <c r="B494" s="210" t="s">
        <v>1173</v>
      </c>
      <c r="C494" s="211">
        <v>0</v>
      </c>
      <c r="D494" s="211">
        <v>0</v>
      </c>
      <c r="E494" s="211">
        <v>0</v>
      </c>
      <c r="F494" s="211">
        <v>0</v>
      </c>
      <c r="G494" s="211">
        <v>0</v>
      </c>
      <c r="H494" s="211">
        <v>0</v>
      </c>
      <c r="I494" s="211">
        <v>0</v>
      </c>
      <c r="J494" s="211">
        <v>0</v>
      </c>
      <c r="K494" s="211">
        <v>0</v>
      </c>
      <c r="L494" s="211">
        <v>0</v>
      </c>
      <c r="M494" s="211">
        <v>0</v>
      </c>
      <c r="N494" s="211">
        <v>0</v>
      </c>
      <c r="O494" s="211">
        <v>0</v>
      </c>
      <c r="P494" s="211">
        <v>0</v>
      </c>
      <c r="Q494" s="211">
        <v>0</v>
      </c>
      <c r="R494" s="211">
        <v>0</v>
      </c>
      <c r="S494" s="211">
        <v>0</v>
      </c>
      <c r="T494" s="211">
        <v>0</v>
      </c>
      <c r="U494" s="211">
        <v>0</v>
      </c>
      <c r="V494" s="211">
        <v>0</v>
      </c>
      <c r="W494" s="211">
        <v>0</v>
      </c>
      <c r="X494" s="211">
        <v>0</v>
      </c>
      <c r="Y494" s="211">
        <v>0</v>
      </c>
      <c r="Z494" s="211">
        <v>0</v>
      </c>
      <c r="AA494" s="211">
        <v>0</v>
      </c>
      <c r="AB494" s="211">
        <v>0</v>
      </c>
      <c r="AC494" s="211">
        <v>0</v>
      </c>
      <c r="AD494" s="211">
        <v>0</v>
      </c>
      <c r="AE494" s="211">
        <v>0</v>
      </c>
      <c r="AF494" s="211">
        <v>0</v>
      </c>
      <c r="AG494" s="211">
        <v>0</v>
      </c>
    </row>
    <row r="495" spans="1:33" x14ac:dyDescent="0.25">
      <c r="A495" s="207" t="s">
        <v>565</v>
      </c>
      <c r="B495" s="208"/>
      <c r="C495" s="209"/>
      <c r="D495" s="209"/>
      <c r="E495" s="209"/>
      <c r="F495" s="209"/>
      <c r="G495" s="209"/>
      <c r="H495" s="209"/>
      <c r="I495" s="209"/>
      <c r="J495" s="209"/>
      <c r="K495" s="209"/>
      <c r="L495" s="209"/>
      <c r="M495" s="209"/>
      <c r="N495" s="209"/>
      <c r="O495" s="209"/>
      <c r="P495" s="209"/>
      <c r="Q495" s="209"/>
      <c r="R495" s="209"/>
      <c r="S495" s="209"/>
      <c r="T495" s="209"/>
      <c r="U495" s="209"/>
      <c r="V495" s="209"/>
      <c r="W495" s="209"/>
      <c r="X495" s="209"/>
      <c r="Y495" s="209"/>
      <c r="Z495" s="209"/>
      <c r="AA495" s="209"/>
      <c r="AB495" s="209"/>
      <c r="AC495" s="209"/>
      <c r="AD495" s="209"/>
      <c r="AE495" s="209"/>
      <c r="AF495" s="209"/>
      <c r="AG495" s="209"/>
    </row>
    <row r="496" spans="1:33" x14ac:dyDescent="0.25">
      <c r="A496" s="121"/>
      <c r="B496" s="210" t="s">
        <v>566</v>
      </c>
      <c r="C496" s="211">
        <v>0</v>
      </c>
      <c r="D496" s="211">
        <v>0</v>
      </c>
      <c r="E496" s="211">
        <v>0</v>
      </c>
      <c r="F496" s="211">
        <v>20.96</v>
      </c>
      <c r="G496" s="211">
        <v>3.24</v>
      </c>
      <c r="H496" s="211">
        <v>0</v>
      </c>
      <c r="I496" s="211">
        <v>0</v>
      </c>
      <c r="J496" s="211">
        <v>0</v>
      </c>
      <c r="K496" s="211">
        <v>0</v>
      </c>
      <c r="L496" s="211">
        <v>0</v>
      </c>
      <c r="M496" s="211">
        <v>8.26</v>
      </c>
      <c r="N496" s="211">
        <v>0</v>
      </c>
      <c r="O496" s="211">
        <v>0</v>
      </c>
      <c r="P496" s="211">
        <v>29.63</v>
      </c>
      <c r="Q496" s="211">
        <v>0</v>
      </c>
      <c r="R496" s="211">
        <v>73.040000000000006</v>
      </c>
      <c r="S496" s="211">
        <v>24.77</v>
      </c>
      <c r="T496" s="211">
        <v>0</v>
      </c>
      <c r="U496" s="211">
        <v>0</v>
      </c>
      <c r="V496" s="211">
        <v>0</v>
      </c>
      <c r="W496" s="211">
        <v>4</v>
      </c>
      <c r="X496" s="211">
        <v>0</v>
      </c>
      <c r="Y496" s="211">
        <v>0</v>
      </c>
      <c r="Z496" s="211">
        <v>0</v>
      </c>
      <c r="AA496" s="211">
        <v>0</v>
      </c>
      <c r="AB496" s="211">
        <v>0</v>
      </c>
      <c r="AC496" s="211">
        <v>0</v>
      </c>
      <c r="AD496" s="211">
        <v>0</v>
      </c>
      <c r="AE496" s="211">
        <v>0</v>
      </c>
      <c r="AF496" s="211">
        <v>0</v>
      </c>
      <c r="AG496" s="211">
        <v>163.9</v>
      </c>
    </row>
    <row r="497" spans="1:33" x14ac:dyDescent="0.25">
      <c r="A497" s="121"/>
      <c r="B497" s="210" t="s">
        <v>567</v>
      </c>
      <c r="C497" s="211">
        <v>0</v>
      </c>
      <c r="D497" s="211">
        <v>0</v>
      </c>
      <c r="E497" s="211">
        <v>0</v>
      </c>
      <c r="F497" s="211">
        <v>6.57</v>
      </c>
      <c r="G497" s="211">
        <v>0.81</v>
      </c>
      <c r="H497" s="211">
        <v>0</v>
      </c>
      <c r="I497" s="211">
        <v>0</v>
      </c>
      <c r="J497" s="211">
        <v>0</v>
      </c>
      <c r="K497" s="211">
        <v>0</v>
      </c>
      <c r="L497" s="211">
        <v>0</v>
      </c>
      <c r="M497" s="211">
        <v>11.27</v>
      </c>
      <c r="N497" s="211">
        <v>0</v>
      </c>
      <c r="O497" s="211">
        <v>0</v>
      </c>
      <c r="P497" s="211">
        <v>5</v>
      </c>
      <c r="Q497" s="211">
        <v>0</v>
      </c>
      <c r="R497" s="211">
        <v>4.46</v>
      </c>
      <c r="S497" s="211">
        <v>1.17</v>
      </c>
      <c r="T497" s="211">
        <v>0</v>
      </c>
      <c r="U497" s="211">
        <v>0</v>
      </c>
      <c r="V497" s="211">
        <v>0</v>
      </c>
      <c r="W497" s="211">
        <v>0.83</v>
      </c>
      <c r="X497" s="211">
        <v>0</v>
      </c>
      <c r="Y497" s="211">
        <v>0</v>
      </c>
      <c r="Z497" s="211">
        <v>0</v>
      </c>
      <c r="AA497" s="211">
        <v>0</v>
      </c>
      <c r="AB497" s="211">
        <v>0</v>
      </c>
      <c r="AC497" s="211">
        <v>0</v>
      </c>
      <c r="AD497" s="211">
        <v>0</v>
      </c>
      <c r="AE497" s="211">
        <v>0</v>
      </c>
      <c r="AF497" s="211">
        <v>0</v>
      </c>
      <c r="AG497" s="211">
        <v>30.11</v>
      </c>
    </row>
    <row r="498" spans="1:33" x14ac:dyDescent="0.25">
      <c r="A498" s="121"/>
      <c r="B498" s="210" t="s">
        <v>568</v>
      </c>
      <c r="C498" s="211">
        <v>0</v>
      </c>
      <c r="D498" s="211">
        <v>0</v>
      </c>
      <c r="E498" s="211">
        <v>0</v>
      </c>
      <c r="F498" s="211">
        <v>0</v>
      </c>
      <c r="G498" s="211">
        <v>0.47</v>
      </c>
      <c r="H498" s="211">
        <v>0</v>
      </c>
      <c r="I498" s="211">
        <v>0</v>
      </c>
      <c r="J498" s="211">
        <v>0.31</v>
      </c>
      <c r="K498" s="211">
        <v>0</v>
      </c>
      <c r="L498" s="211">
        <v>0</v>
      </c>
      <c r="M498" s="211">
        <v>4.03</v>
      </c>
      <c r="N498" s="211">
        <v>0</v>
      </c>
      <c r="O498" s="211">
        <v>0</v>
      </c>
      <c r="P498" s="211">
        <v>1.39</v>
      </c>
      <c r="Q498" s="211">
        <v>0</v>
      </c>
      <c r="R498" s="211">
        <v>0</v>
      </c>
      <c r="S498" s="211">
        <v>6.57</v>
      </c>
      <c r="T498" s="211">
        <v>0</v>
      </c>
      <c r="U498" s="211">
        <v>0</v>
      </c>
      <c r="V498" s="211">
        <v>0</v>
      </c>
      <c r="W498" s="211">
        <v>0.24</v>
      </c>
      <c r="X498" s="211">
        <v>0</v>
      </c>
      <c r="Y498" s="211">
        <v>0</v>
      </c>
      <c r="Z498" s="211">
        <v>0</v>
      </c>
      <c r="AA498" s="211">
        <v>0</v>
      </c>
      <c r="AB498" s="211">
        <v>0</v>
      </c>
      <c r="AC498" s="211">
        <v>0</v>
      </c>
      <c r="AD498" s="211">
        <v>0</v>
      </c>
      <c r="AE498" s="211">
        <v>0</v>
      </c>
      <c r="AF498" s="211">
        <v>0</v>
      </c>
      <c r="AG498" s="211">
        <v>13.01</v>
      </c>
    </row>
    <row r="499" spans="1:33" x14ac:dyDescent="0.25">
      <c r="A499" s="121"/>
      <c r="B499" s="210" t="s">
        <v>569</v>
      </c>
      <c r="C499" s="211">
        <v>0</v>
      </c>
      <c r="D499" s="211">
        <v>0</v>
      </c>
      <c r="E499" s="211">
        <v>0</v>
      </c>
      <c r="F499" s="211">
        <v>11.07</v>
      </c>
      <c r="G499" s="211">
        <v>3.55</v>
      </c>
      <c r="H499" s="211">
        <v>0</v>
      </c>
      <c r="I499" s="211">
        <v>0</v>
      </c>
      <c r="J499" s="211">
        <v>6.3E-2</v>
      </c>
      <c r="K499" s="211">
        <v>0</v>
      </c>
      <c r="L499" s="211">
        <v>0</v>
      </c>
      <c r="M499" s="211">
        <v>3.41</v>
      </c>
      <c r="N499" s="211">
        <v>0</v>
      </c>
      <c r="O499" s="211">
        <v>0</v>
      </c>
      <c r="P499" s="211">
        <v>6.54</v>
      </c>
      <c r="Q499" s="211">
        <v>0</v>
      </c>
      <c r="R499" s="211">
        <v>2.5499999999999998</v>
      </c>
      <c r="S499" s="211">
        <v>25.54</v>
      </c>
      <c r="T499" s="211">
        <v>0</v>
      </c>
      <c r="U499" s="211">
        <v>0</v>
      </c>
      <c r="V499" s="211">
        <v>0</v>
      </c>
      <c r="W499" s="211">
        <v>1.06</v>
      </c>
      <c r="X499" s="211">
        <v>0</v>
      </c>
      <c r="Y499" s="211">
        <v>0</v>
      </c>
      <c r="Z499" s="211">
        <v>0</v>
      </c>
      <c r="AA499" s="211">
        <v>0</v>
      </c>
      <c r="AB499" s="211">
        <v>0</v>
      </c>
      <c r="AC499" s="211">
        <v>0</v>
      </c>
      <c r="AD499" s="211">
        <v>0</v>
      </c>
      <c r="AE499" s="211">
        <v>0</v>
      </c>
      <c r="AF499" s="211">
        <v>0</v>
      </c>
      <c r="AG499" s="211">
        <v>53.783000000000001</v>
      </c>
    </row>
    <row r="500" spans="1:33" x14ac:dyDescent="0.25">
      <c r="A500" s="207" t="s">
        <v>570</v>
      </c>
      <c r="B500" s="208"/>
      <c r="C500" s="209"/>
      <c r="D500" s="209"/>
      <c r="E500" s="209"/>
      <c r="F500" s="209"/>
      <c r="G500" s="209"/>
      <c r="H500" s="209"/>
      <c r="I500" s="209"/>
      <c r="J500" s="209"/>
      <c r="K500" s="209"/>
      <c r="L500" s="209"/>
      <c r="M500" s="209"/>
      <c r="N500" s="209"/>
      <c r="O500" s="209"/>
      <c r="P500" s="209"/>
      <c r="Q500" s="209"/>
      <c r="R500" s="209"/>
      <c r="S500" s="209"/>
      <c r="T500" s="209"/>
      <c r="U500" s="209"/>
      <c r="V500" s="209"/>
      <c r="W500" s="209"/>
      <c r="X500" s="209"/>
      <c r="Y500" s="209"/>
      <c r="Z500" s="209"/>
      <c r="AA500" s="209"/>
      <c r="AB500" s="209"/>
      <c r="AC500" s="209"/>
      <c r="AD500" s="209"/>
      <c r="AE500" s="209"/>
      <c r="AF500" s="209"/>
      <c r="AG500" s="209"/>
    </row>
    <row r="501" spans="1:33" x14ac:dyDescent="0.25">
      <c r="A501" s="121"/>
      <c r="B501" s="210" t="s">
        <v>571</v>
      </c>
      <c r="C501" s="211">
        <v>0</v>
      </c>
      <c r="D501" s="211">
        <v>0</v>
      </c>
      <c r="E501" s="211">
        <v>0</v>
      </c>
      <c r="F501" s="211">
        <v>0</v>
      </c>
      <c r="G501" s="211">
        <v>0</v>
      </c>
      <c r="H501" s="211">
        <v>1.931</v>
      </c>
      <c r="I501" s="211">
        <v>0</v>
      </c>
      <c r="J501" s="211">
        <v>3.0000000000000001E-3</v>
      </c>
      <c r="K501" s="211">
        <v>0</v>
      </c>
      <c r="L501" s="211">
        <v>0</v>
      </c>
      <c r="M501" s="211">
        <v>0</v>
      </c>
      <c r="N501" s="211">
        <v>2.58</v>
      </c>
      <c r="O501" s="211">
        <v>0</v>
      </c>
      <c r="P501" s="211">
        <v>0</v>
      </c>
      <c r="Q501" s="211">
        <v>89.6</v>
      </c>
      <c r="R501" s="211">
        <v>0</v>
      </c>
      <c r="S501" s="211">
        <v>0</v>
      </c>
      <c r="T501" s="211">
        <v>0</v>
      </c>
      <c r="U501" s="211">
        <v>0</v>
      </c>
      <c r="V501" s="211">
        <v>0</v>
      </c>
      <c r="W501" s="211">
        <v>1</v>
      </c>
      <c r="X501" s="211">
        <v>0</v>
      </c>
      <c r="Y501" s="211">
        <v>0</v>
      </c>
      <c r="Z501" s="211">
        <v>0</v>
      </c>
      <c r="AA501" s="211">
        <v>0</v>
      </c>
      <c r="AB501" s="211">
        <v>0</v>
      </c>
      <c r="AC501" s="211">
        <v>0</v>
      </c>
      <c r="AD501" s="211">
        <v>0</v>
      </c>
      <c r="AE501" s="211">
        <v>0</v>
      </c>
      <c r="AF501" s="211">
        <v>0</v>
      </c>
      <c r="AG501" s="211">
        <v>95.11399999999999</v>
      </c>
    </row>
    <row r="502" spans="1:33" x14ac:dyDescent="0.25">
      <c r="A502" s="121"/>
      <c r="B502" s="210" t="s">
        <v>572</v>
      </c>
      <c r="C502" s="211">
        <v>0</v>
      </c>
      <c r="D502" s="211">
        <v>0</v>
      </c>
      <c r="E502" s="211">
        <v>0</v>
      </c>
      <c r="F502" s="211">
        <v>0</v>
      </c>
      <c r="G502" s="211">
        <v>0</v>
      </c>
      <c r="H502" s="211">
        <v>0</v>
      </c>
      <c r="I502" s="211">
        <v>0</v>
      </c>
      <c r="J502" s="211">
        <v>1.0999999999999999E-2</v>
      </c>
      <c r="K502" s="211">
        <v>0</v>
      </c>
      <c r="L502" s="211">
        <v>0</v>
      </c>
      <c r="M502" s="211">
        <v>0</v>
      </c>
      <c r="N502" s="211">
        <v>0</v>
      </c>
      <c r="O502" s="211">
        <v>0</v>
      </c>
      <c r="P502" s="211">
        <v>0</v>
      </c>
      <c r="Q502" s="211">
        <v>0</v>
      </c>
      <c r="R502" s="211">
        <v>0</v>
      </c>
      <c r="S502" s="211">
        <v>0</v>
      </c>
      <c r="T502" s="211">
        <v>0</v>
      </c>
      <c r="U502" s="211">
        <v>0</v>
      </c>
      <c r="V502" s="211">
        <v>0</v>
      </c>
      <c r="W502" s="211">
        <v>2.1000000000000001E-2</v>
      </c>
      <c r="X502" s="211">
        <v>0</v>
      </c>
      <c r="Y502" s="211">
        <v>0.86</v>
      </c>
      <c r="Z502" s="211">
        <v>0</v>
      </c>
      <c r="AA502" s="211">
        <v>0</v>
      </c>
      <c r="AB502" s="211">
        <v>0</v>
      </c>
      <c r="AC502" s="211">
        <v>0</v>
      </c>
      <c r="AD502" s="211">
        <v>0</v>
      </c>
      <c r="AE502" s="211">
        <v>0</v>
      </c>
      <c r="AF502" s="211">
        <v>0</v>
      </c>
      <c r="AG502" s="211">
        <v>0.89200000000000002</v>
      </c>
    </row>
    <row r="503" spans="1:33" x14ac:dyDescent="0.25">
      <c r="A503" s="207" t="s">
        <v>573</v>
      </c>
      <c r="B503" s="208"/>
      <c r="C503" s="209"/>
      <c r="D503" s="209"/>
      <c r="E503" s="209"/>
      <c r="F503" s="209"/>
      <c r="G503" s="209"/>
      <c r="H503" s="209"/>
      <c r="I503" s="209"/>
      <c r="J503" s="209"/>
      <c r="K503" s="209"/>
      <c r="L503" s="209"/>
      <c r="M503" s="209"/>
      <c r="N503" s="209"/>
      <c r="O503" s="209"/>
      <c r="P503" s="209"/>
      <c r="Q503" s="209"/>
      <c r="R503" s="209"/>
      <c r="S503" s="209"/>
      <c r="T503" s="209"/>
      <c r="U503" s="209"/>
      <c r="V503" s="209"/>
      <c r="W503" s="209"/>
      <c r="X503" s="209"/>
      <c r="Y503" s="209"/>
      <c r="Z503" s="209"/>
      <c r="AA503" s="209"/>
      <c r="AB503" s="209"/>
      <c r="AC503" s="209"/>
      <c r="AD503" s="209"/>
      <c r="AE503" s="209"/>
      <c r="AF503" s="209"/>
      <c r="AG503" s="209"/>
    </row>
    <row r="504" spans="1:33" x14ac:dyDescent="0.25">
      <c r="A504" s="121"/>
      <c r="B504" s="210" t="s">
        <v>574</v>
      </c>
      <c r="C504" s="211">
        <v>0</v>
      </c>
      <c r="D504" s="211">
        <v>0</v>
      </c>
      <c r="E504" s="211">
        <v>0</v>
      </c>
      <c r="F504" s="211">
        <v>0</v>
      </c>
      <c r="G504" s="211">
        <v>0</v>
      </c>
      <c r="H504" s="211">
        <v>0</v>
      </c>
      <c r="I504" s="211">
        <v>0</v>
      </c>
      <c r="J504" s="211">
        <v>0</v>
      </c>
      <c r="K504" s="211">
        <v>0</v>
      </c>
      <c r="L504" s="211">
        <v>0</v>
      </c>
      <c r="M504" s="211">
        <v>0</v>
      </c>
      <c r="N504" s="211">
        <v>0</v>
      </c>
      <c r="O504" s="211">
        <v>0</v>
      </c>
      <c r="P504" s="211">
        <v>0</v>
      </c>
      <c r="Q504" s="211">
        <v>0</v>
      </c>
      <c r="R504" s="211">
        <v>0</v>
      </c>
      <c r="S504" s="211">
        <v>0</v>
      </c>
      <c r="T504" s="211">
        <v>0</v>
      </c>
      <c r="U504" s="211">
        <v>0</v>
      </c>
      <c r="V504" s="211">
        <v>0</v>
      </c>
      <c r="W504" s="211">
        <v>0</v>
      </c>
      <c r="X504" s="211">
        <v>0</v>
      </c>
      <c r="Y504" s="211">
        <v>0</v>
      </c>
      <c r="Z504" s="211">
        <v>0</v>
      </c>
      <c r="AA504" s="211">
        <v>0</v>
      </c>
      <c r="AB504" s="211">
        <v>0</v>
      </c>
      <c r="AC504" s="211">
        <v>0</v>
      </c>
      <c r="AD504" s="211">
        <v>0</v>
      </c>
      <c r="AE504" s="211">
        <v>0</v>
      </c>
      <c r="AF504" s="211">
        <v>0</v>
      </c>
      <c r="AG504" s="211">
        <v>0</v>
      </c>
    </row>
    <row r="505" spans="1:33" x14ac:dyDescent="0.25">
      <c r="A505" s="121"/>
      <c r="B505" s="210" t="s">
        <v>575</v>
      </c>
      <c r="C505" s="211">
        <v>0</v>
      </c>
      <c r="D505" s="211">
        <v>0</v>
      </c>
      <c r="E505" s="211">
        <v>0</v>
      </c>
      <c r="F505" s="211">
        <v>0</v>
      </c>
      <c r="G505" s="211">
        <v>0</v>
      </c>
      <c r="H505" s="211">
        <v>0</v>
      </c>
      <c r="I505" s="211">
        <v>0</v>
      </c>
      <c r="J505" s="211">
        <v>0</v>
      </c>
      <c r="K505" s="211">
        <v>0</v>
      </c>
      <c r="L505" s="211">
        <v>0</v>
      </c>
      <c r="M505" s="211">
        <v>0</v>
      </c>
      <c r="N505" s="211">
        <v>0</v>
      </c>
      <c r="O505" s="211">
        <v>0</v>
      </c>
      <c r="P505" s="211">
        <v>0</v>
      </c>
      <c r="Q505" s="211">
        <v>0</v>
      </c>
      <c r="R505" s="211">
        <v>0</v>
      </c>
      <c r="S505" s="211">
        <v>0</v>
      </c>
      <c r="T505" s="211">
        <v>0</v>
      </c>
      <c r="U505" s="211">
        <v>0</v>
      </c>
      <c r="V505" s="211">
        <v>0</v>
      </c>
      <c r="W505" s="211">
        <v>0</v>
      </c>
      <c r="X505" s="211">
        <v>0</v>
      </c>
      <c r="Y505" s="211">
        <v>0</v>
      </c>
      <c r="Z505" s="211">
        <v>0</v>
      </c>
      <c r="AA505" s="211">
        <v>0</v>
      </c>
      <c r="AB505" s="211">
        <v>0</v>
      </c>
      <c r="AC505" s="211">
        <v>0</v>
      </c>
      <c r="AD505" s="211">
        <v>0</v>
      </c>
      <c r="AE505" s="211">
        <v>0</v>
      </c>
      <c r="AF505" s="211">
        <v>0</v>
      </c>
      <c r="AG505" s="211">
        <v>0</v>
      </c>
    </row>
    <row r="506" spans="1:33" x14ac:dyDescent="0.25">
      <c r="A506" s="121"/>
      <c r="B506" s="210" t="s">
        <v>576</v>
      </c>
      <c r="C506" s="211">
        <v>0</v>
      </c>
      <c r="D506" s="211">
        <v>0</v>
      </c>
      <c r="E506" s="211">
        <v>0</v>
      </c>
      <c r="F506" s="211">
        <v>0</v>
      </c>
      <c r="G506" s="211">
        <v>0</v>
      </c>
      <c r="H506" s="211">
        <v>0</v>
      </c>
      <c r="I506" s="211">
        <v>0</v>
      </c>
      <c r="J506" s="211">
        <v>0</v>
      </c>
      <c r="K506" s="211">
        <v>0</v>
      </c>
      <c r="L506" s="211">
        <v>0</v>
      </c>
      <c r="M506" s="211">
        <v>0</v>
      </c>
      <c r="N506" s="211">
        <v>0</v>
      </c>
      <c r="O506" s="211">
        <v>0</v>
      </c>
      <c r="P506" s="211">
        <v>0</v>
      </c>
      <c r="Q506" s="211">
        <v>0</v>
      </c>
      <c r="R506" s="211">
        <v>0</v>
      </c>
      <c r="S506" s="211">
        <v>0</v>
      </c>
      <c r="T506" s="211">
        <v>0</v>
      </c>
      <c r="U506" s="211">
        <v>0</v>
      </c>
      <c r="V506" s="211">
        <v>0</v>
      </c>
      <c r="W506" s="211">
        <v>0</v>
      </c>
      <c r="X506" s="211">
        <v>0</v>
      </c>
      <c r="Y506" s="211">
        <v>0</v>
      </c>
      <c r="Z506" s="211">
        <v>0</v>
      </c>
      <c r="AA506" s="211">
        <v>0</v>
      </c>
      <c r="AB506" s="211">
        <v>0</v>
      </c>
      <c r="AC506" s="211">
        <v>0</v>
      </c>
      <c r="AD506" s="211">
        <v>0</v>
      </c>
      <c r="AE506" s="211">
        <v>0</v>
      </c>
      <c r="AF506" s="211">
        <v>0</v>
      </c>
      <c r="AG506" s="211">
        <v>0</v>
      </c>
    </row>
    <row r="507" spans="1:33" x14ac:dyDescent="0.25">
      <c r="A507" s="121"/>
      <c r="B507" s="210" t="s">
        <v>116</v>
      </c>
      <c r="C507" s="211">
        <v>0</v>
      </c>
      <c r="D507" s="211">
        <v>1945.6</v>
      </c>
      <c r="E507" s="211">
        <v>0</v>
      </c>
      <c r="F507" s="211">
        <v>0</v>
      </c>
      <c r="G507" s="211">
        <v>323.77300000000002</v>
      </c>
      <c r="H507" s="211">
        <v>0</v>
      </c>
      <c r="I507" s="211">
        <v>45.783000000000001</v>
      </c>
      <c r="J507" s="211">
        <v>109.10899999999999</v>
      </c>
      <c r="K507" s="211">
        <v>0</v>
      </c>
      <c r="L507" s="211">
        <v>136.226</v>
      </c>
      <c r="M507" s="211">
        <v>1150.24</v>
      </c>
      <c r="N507" s="211">
        <v>0</v>
      </c>
      <c r="O507" s="211">
        <v>188.87700000000001</v>
      </c>
      <c r="P507" s="211">
        <v>1064.99</v>
      </c>
      <c r="Q507" s="211">
        <v>0</v>
      </c>
      <c r="R507" s="211">
        <v>0</v>
      </c>
      <c r="S507" s="211">
        <v>0</v>
      </c>
      <c r="T507" s="211">
        <v>639.37</v>
      </c>
      <c r="U507" s="211">
        <v>197.69399999999999</v>
      </c>
      <c r="V507" s="211">
        <v>0</v>
      </c>
      <c r="W507" s="211">
        <v>255.345</v>
      </c>
      <c r="X507" s="211">
        <v>0</v>
      </c>
      <c r="Y507" s="211">
        <v>474.09800000000001</v>
      </c>
      <c r="Z507" s="211">
        <v>0</v>
      </c>
      <c r="AA507" s="211">
        <v>546.71500000000003</v>
      </c>
      <c r="AB507" s="211">
        <v>1147.25</v>
      </c>
      <c r="AC507" s="211">
        <v>0</v>
      </c>
      <c r="AD507" s="211">
        <v>0</v>
      </c>
      <c r="AE507" s="211">
        <v>0</v>
      </c>
      <c r="AF507" s="211">
        <v>23.739000000000001</v>
      </c>
      <c r="AG507" s="211">
        <v>8248.8089999999993</v>
      </c>
    </row>
    <row r="508" spans="1:33" x14ac:dyDescent="0.25">
      <c r="A508" s="121"/>
      <c r="B508" s="210" t="s">
        <v>577</v>
      </c>
      <c r="C508" s="211">
        <v>0</v>
      </c>
      <c r="D508" s="211">
        <v>0</v>
      </c>
      <c r="E508" s="211">
        <v>0</v>
      </c>
      <c r="F508" s="211">
        <v>0</v>
      </c>
      <c r="G508" s="211">
        <v>0</v>
      </c>
      <c r="H508" s="211">
        <v>0</v>
      </c>
      <c r="I508" s="211">
        <v>0</v>
      </c>
      <c r="J508" s="211">
        <v>0</v>
      </c>
      <c r="K508" s="211">
        <v>0</v>
      </c>
      <c r="L508" s="211">
        <v>0</v>
      </c>
      <c r="M508" s="211">
        <v>0</v>
      </c>
      <c r="N508" s="211">
        <v>0</v>
      </c>
      <c r="O508" s="211">
        <v>0</v>
      </c>
      <c r="P508" s="211">
        <v>0</v>
      </c>
      <c r="Q508" s="211">
        <v>0</v>
      </c>
      <c r="R508" s="211">
        <v>0</v>
      </c>
      <c r="S508" s="211">
        <v>0</v>
      </c>
      <c r="T508" s="211">
        <v>0</v>
      </c>
      <c r="U508" s="211">
        <v>0</v>
      </c>
      <c r="V508" s="211">
        <v>0</v>
      </c>
      <c r="W508" s="211">
        <v>0</v>
      </c>
      <c r="X508" s="211">
        <v>0</v>
      </c>
      <c r="Y508" s="211">
        <v>0</v>
      </c>
      <c r="Z508" s="211">
        <v>0</v>
      </c>
      <c r="AA508" s="211">
        <v>0</v>
      </c>
      <c r="AB508" s="211">
        <v>0</v>
      </c>
      <c r="AC508" s="211">
        <v>0</v>
      </c>
      <c r="AD508" s="211">
        <v>0</v>
      </c>
      <c r="AE508" s="211">
        <v>0</v>
      </c>
      <c r="AF508" s="211">
        <v>0</v>
      </c>
      <c r="AG508" s="211">
        <v>0</v>
      </c>
    </row>
    <row r="509" spans="1:33" x14ac:dyDescent="0.25">
      <c r="A509" s="121"/>
      <c r="B509" s="210" t="s">
        <v>578</v>
      </c>
      <c r="C509" s="211">
        <v>0</v>
      </c>
      <c r="D509" s="211">
        <v>0</v>
      </c>
      <c r="E509" s="211">
        <v>0</v>
      </c>
      <c r="F509" s="211">
        <v>0</v>
      </c>
      <c r="G509" s="211">
        <v>0</v>
      </c>
      <c r="H509" s="211">
        <v>0</v>
      </c>
      <c r="I509" s="211">
        <v>0</v>
      </c>
      <c r="J509" s="211">
        <v>0</v>
      </c>
      <c r="K509" s="211">
        <v>0</v>
      </c>
      <c r="L509" s="211">
        <v>0</v>
      </c>
      <c r="M509" s="211">
        <v>0</v>
      </c>
      <c r="N509" s="211">
        <v>0</v>
      </c>
      <c r="O509" s="211">
        <v>0</v>
      </c>
      <c r="P509" s="211">
        <v>0</v>
      </c>
      <c r="Q509" s="211">
        <v>0</v>
      </c>
      <c r="R509" s="211">
        <v>0</v>
      </c>
      <c r="S509" s="211">
        <v>0</v>
      </c>
      <c r="T509" s="211">
        <v>0</v>
      </c>
      <c r="U509" s="211">
        <v>0</v>
      </c>
      <c r="V509" s="211">
        <v>0</v>
      </c>
      <c r="W509" s="211">
        <v>0</v>
      </c>
      <c r="X509" s="211">
        <v>0</v>
      </c>
      <c r="Y509" s="211">
        <v>0</v>
      </c>
      <c r="Z509" s="211">
        <v>0</v>
      </c>
      <c r="AA509" s="211">
        <v>0</v>
      </c>
      <c r="AB509" s="211">
        <v>0</v>
      </c>
      <c r="AC509" s="211">
        <v>0</v>
      </c>
      <c r="AD509" s="211">
        <v>0</v>
      </c>
      <c r="AE509" s="211">
        <v>0</v>
      </c>
      <c r="AF509" s="211">
        <v>0</v>
      </c>
      <c r="AG509" s="211">
        <v>0</v>
      </c>
    </row>
    <row r="510" spans="1:33" x14ac:dyDescent="0.25">
      <c r="A510" s="121"/>
      <c r="B510" s="210" t="s">
        <v>579</v>
      </c>
      <c r="C510" s="211">
        <v>0</v>
      </c>
      <c r="D510" s="211">
        <v>0</v>
      </c>
      <c r="E510" s="211">
        <v>0</v>
      </c>
      <c r="F510" s="211">
        <v>0</v>
      </c>
      <c r="G510" s="211">
        <v>0</v>
      </c>
      <c r="H510" s="211">
        <v>0</v>
      </c>
      <c r="I510" s="211">
        <v>0</v>
      </c>
      <c r="J510" s="211">
        <v>0</v>
      </c>
      <c r="K510" s="211">
        <v>0</v>
      </c>
      <c r="L510" s="211">
        <v>0</v>
      </c>
      <c r="M510" s="211">
        <v>0</v>
      </c>
      <c r="N510" s="211">
        <v>0</v>
      </c>
      <c r="O510" s="211">
        <v>0</v>
      </c>
      <c r="P510" s="211">
        <v>0</v>
      </c>
      <c r="Q510" s="211">
        <v>0</v>
      </c>
      <c r="R510" s="211">
        <v>0</v>
      </c>
      <c r="S510" s="211">
        <v>0</v>
      </c>
      <c r="T510" s="211">
        <v>0</v>
      </c>
      <c r="U510" s="211">
        <v>0</v>
      </c>
      <c r="V510" s="211">
        <v>0</v>
      </c>
      <c r="W510" s="211">
        <v>0</v>
      </c>
      <c r="X510" s="211">
        <v>0</v>
      </c>
      <c r="Y510" s="211">
        <v>0</v>
      </c>
      <c r="Z510" s="211">
        <v>0</v>
      </c>
      <c r="AA510" s="211">
        <v>0</v>
      </c>
      <c r="AB510" s="211">
        <v>0</v>
      </c>
      <c r="AC510" s="211">
        <v>0</v>
      </c>
      <c r="AD510" s="211">
        <v>0</v>
      </c>
      <c r="AE510" s="211">
        <v>0</v>
      </c>
      <c r="AF510" s="211">
        <v>0</v>
      </c>
      <c r="AG510" s="211">
        <v>0</v>
      </c>
    </row>
    <row r="511" spans="1:33" x14ac:dyDescent="0.25">
      <c r="A511" s="121"/>
      <c r="B511" s="210" t="s">
        <v>580</v>
      </c>
      <c r="C511" s="211">
        <v>0</v>
      </c>
      <c r="D511" s="211">
        <v>0</v>
      </c>
      <c r="E511" s="211">
        <v>0</v>
      </c>
      <c r="F511" s="211">
        <v>0</v>
      </c>
      <c r="G511" s="211">
        <v>0</v>
      </c>
      <c r="H511" s="211">
        <v>0</v>
      </c>
      <c r="I511" s="211">
        <v>0</v>
      </c>
      <c r="J511" s="211">
        <v>0</v>
      </c>
      <c r="K511" s="211">
        <v>0</v>
      </c>
      <c r="L511" s="211">
        <v>0</v>
      </c>
      <c r="M511" s="211">
        <v>0</v>
      </c>
      <c r="N511" s="211">
        <v>0</v>
      </c>
      <c r="O511" s="211">
        <v>0</v>
      </c>
      <c r="P511" s="211">
        <v>0</v>
      </c>
      <c r="Q511" s="211">
        <v>0</v>
      </c>
      <c r="R511" s="211">
        <v>0</v>
      </c>
      <c r="S511" s="211">
        <v>0</v>
      </c>
      <c r="T511" s="211">
        <v>0</v>
      </c>
      <c r="U511" s="211">
        <v>0</v>
      </c>
      <c r="V511" s="211">
        <v>0</v>
      </c>
      <c r="W511" s="211">
        <v>0</v>
      </c>
      <c r="X511" s="211">
        <v>0</v>
      </c>
      <c r="Y511" s="211">
        <v>0</v>
      </c>
      <c r="Z511" s="211">
        <v>0</v>
      </c>
      <c r="AA511" s="211">
        <v>0</v>
      </c>
      <c r="AB511" s="211">
        <v>0</v>
      </c>
      <c r="AC511" s="211">
        <v>0</v>
      </c>
      <c r="AD511" s="211">
        <v>0</v>
      </c>
      <c r="AE511" s="211">
        <v>0</v>
      </c>
      <c r="AF511" s="211">
        <v>0</v>
      </c>
      <c r="AG511" s="211">
        <v>0</v>
      </c>
    </row>
    <row r="512" spans="1:33" x14ac:dyDescent="0.25">
      <c r="A512" s="121"/>
      <c r="B512" s="210" t="s">
        <v>581</v>
      </c>
      <c r="C512" s="211">
        <v>0</v>
      </c>
      <c r="D512" s="211">
        <v>0</v>
      </c>
      <c r="E512" s="211">
        <v>0</v>
      </c>
      <c r="F512" s="211">
        <v>0</v>
      </c>
      <c r="G512" s="211">
        <v>0</v>
      </c>
      <c r="H512" s="211">
        <v>0</v>
      </c>
      <c r="I512" s="211">
        <v>0</v>
      </c>
      <c r="J512" s="211">
        <v>0</v>
      </c>
      <c r="K512" s="211">
        <v>0</v>
      </c>
      <c r="L512" s="211">
        <v>0</v>
      </c>
      <c r="M512" s="211">
        <v>0</v>
      </c>
      <c r="N512" s="211">
        <v>0</v>
      </c>
      <c r="O512" s="211">
        <v>0</v>
      </c>
      <c r="P512" s="211">
        <v>0</v>
      </c>
      <c r="Q512" s="211">
        <v>0</v>
      </c>
      <c r="R512" s="211">
        <v>0</v>
      </c>
      <c r="S512" s="211">
        <v>0</v>
      </c>
      <c r="T512" s="211">
        <v>0</v>
      </c>
      <c r="U512" s="211">
        <v>0</v>
      </c>
      <c r="V512" s="211">
        <v>0</v>
      </c>
      <c r="W512" s="211">
        <v>0</v>
      </c>
      <c r="X512" s="211">
        <v>0</v>
      </c>
      <c r="Y512" s="211">
        <v>0</v>
      </c>
      <c r="Z512" s="211">
        <v>0</v>
      </c>
      <c r="AA512" s="211">
        <v>0</v>
      </c>
      <c r="AB512" s="211">
        <v>0</v>
      </c>
      <c r="AC512" s="211">
        <v>0</v>
      </c>
      <c r="AD512" s="211">
        <v>0</v>
      </c>
      <c r="AE512" s="211">
        <v>0</v>
      </c>
      <c r="AF512" s="211">
        <v>0</v>
      </c>
      <c r="AG512" s="211">
        <v>0</v>
      </c>
    </row>
    <row r="513" spans="1:33" x14ac:dyDescent="0.25">
      <c r="A513" s="121"/>
      <c r="B513" s="210" t="s">
        <v>582</v>
      </c>
      <c r="C513" s="211">
        <v>0</v>
      </c>
      <c r="D513" s="211">
        <v>0</v>
      </c>
      <c r="E513" s="211">
        <v>0</v>
      </c>
      <c r="F513" s="211">
        <v>0</v>
      </c>
      <c r="G513" s="211">
        <v>0</v>
      </c>
      <c r="H513" s="211">
        <v>0</v>
      </c>
      <c r="I513" s="211">
        <v>0</v>
      </c>
      <c r="J513" s="211">
        <v>0</v>
      </c>
      <c r="K513" s="211">
        <v>0</v>
      </c>
      <c r="L513" s="211">
        <v>0</v>
      </c>
      <c r="M513" s="211">
        <v>0</v>
      </c>
      <c r="N513" s="211">
        <v>0</v>
      </c>
      <c r="O513" s="211">
        <v>0</v>
      </c>
      <c r="P513" s="211">
        <v>0</v>
      </c>
      <c r="Q513" s="211">
        <v>0</v>
      </c>
      <c r="R513" s="211">
        <v>0</v>
      </c>
      <c r="S513" s="211">
        <v>0</v>
      </c>
      <c r="T513" s="211">
        <v>0</v>
      </c>
      <c r="U513" s="211">
        <v>0</v>
      </c>
      <c r="V513" s="211">
        <v>0</v>
      </c>
      <c r="W513" s="211">
        <v>0</v>
      </c>
      <c r="X513" s="211">
        <v>0</v>
      </c>
      <c r="Y513" s="211">
        <v>0</v>
      </c>
      <c r="Z513" s="211">
        <v>0</v>
      </c>
      <c r="AA513" s="211">
        <v>0</v>
      </c>
      <c r="AB513" s="211">
        <v>0</v>
      </c>
      <c r="AC513" s="211">
        <v>0</v>
      </c>
      <c r="AD513" s="211">
        <v>0</v>
      </c>
      <c r="AE513" s="211">
        <v>0</v>
      </c>
      <c r="AF513" s="211">
        <v>0</v>
      </c>
      <c r="AG513" s="211">
        <v>0</v>
      </c>
    </row>
    <row r="514" spans="1:33" x14ac:dyDescent="0.25">
      <c r="A514" s="121"/>
      <c r="B514" s="210" t="s">
        <v>583</v>
      </c>
      <c r="C514" s="211">
        <v>0</v>
      </c>
      <c r="D514" s="211">
        <v>0</v>
      </c>
      <c r="E514" s="211">
        <v>0</v>
      </c>
      <c r="F514" s="211">
        <v>0</v>
      </c>
      <c r="G514" s="211">
        <v>30.751000000000001</v>
      </c>
      <c r="H514" s="211">
        <v>0</v>
      </c>
      <c r="I514" s="211">
        <v>5.5650000000000004</v>
      </c>
      <c r="J514" s="211">
        <v>0</v>
      </c>
      <c r="K514" s="211">
        <v>0</v>
      </c>
      <c r="L514" s="211">
        <v>0</v>
      </c>
      <c r="M514" s="211">
        <v>0</v>
      </c>
      <c r="N514" s="211">
        <v>0</v>
      </c>
      <c r="O514" s="211">
        <v>0</v>
      </c>
      <c r="P514" s="211">
        <v>0</v>
      </c>
      <c r="Q514" s="211">
        <v>0</v>
      </c>
      <c r="R514" s="211">
        <v>0</v>
      </c>
      <c r="S514" s="211">
        <v>0</v>
      </c>
      <c r="T514" s="211">
        <v>0</v>
      </c>
      <c r="U514" s="211">
        <v>0</v>
      </c>
      <c r="V514" s="211">
        <v>0</v>
      </c>
      <c r="W514" s="211">
        <v>0.91500000000000004</v>
      </c>
      <c r="X514" s="211">
        <v>0</v>
      </c>
      <c r="Y514" s="211">
        <v>17.670000000000002</v>
      </c>
      <c r="Z514" s="211">
        <v>0</v>
      </c>
      <c r="AA514" s="211">
        <v>6.41</v>
      </c>
      <c r="AB514" s="211">
        <v>7.8979999999999997</v>
      </c>
      <c r="AC514" s="211">
        <v>0</v>
      </c>
      <c r="AD514" s="211">
        <v>0</v>
      </c>
      <c r="AE514" s="211">
        <v>0</v>
      </c>
      <c r="AF514" s="211">
        <v>0</v>
      </c>
      <c r="AG514" s="211">
        <v>69.209000000000003</v>
      </c>
    </row>
    <row r="515" spans="1:33" x14ac:dyDescent="0.25">
      <c r="A515" s="121"/>
      <c r="B515" s="210" t="s">
        <v>584</v>
      </c>
      <c r="C515" s="211">
        <v>0</v>
      </c>
      <c r="D515" s="211">
        <v>0</v>
      </c>
      <c r="E515" s="211">
        <v>0</v>
      </c>
      <c r="F515" s="211">
        <v>0</v>
      </c>
      <c r="G515" s="211">
        <v>0</v>
      </c>
      <c r="H515" s="211">
        <v>0</v>
      </c>
      <c r="I515" s="211">
        <v>0</v>
      </c>
      <c r="J515" s="211">
        <v>0</v>
      </c>
      <c r="K515" s="211">
        <v>0</v>
      </c>
      <c r="L515" s="211">
        <v>0</v>
      </c>
      <c r="M515" s="211">
        <v>0</v>
      </c>
      <c r="N515" s="211">
        <v>0</v>
      </c>
      <c r="O515" s="211">
        <v>0</v>
      </c>
      <c r="P515" s="211">
        <v>0</v>
      </c>
      <c r="Q515" s="211">
        <v>0</v>
      </c>
      <c r="R515" s="211">
        <v>0</v>
      </c>
      <c r="S515" s="211">
        <v>0</v>
      </c>
      <c r="T515" s="211">
        <v>0</v>
      </c>
      <c r="U515" s="211">
        <v>0</v>
      </c>
      <c r="V515" s="211">
        <v>0</v>
      </c>
      <c r="W515" s="211">
        <v>0</v>
      </c>
      <c r="X515" s="211">
        <v>0</v>
      </c>
      <c r="Y515" s="211">
        <v>0</v>
      </c>
      <c r="Z515" s="211">
        <v>0</v>
      </c>
      <c r="AA515" s="211">
        <v>0</v>
      </c>
      <c r="AB515" s="211">
        <v>0</v>
      </c>
      <c r="AC515" s="211">
        <v>0</v>
      </c>
      <c r="AD515" s="211">
        <v>0</v>
      </c>
      <c r="AE515" s="211">
        <v>0</v>
      </c>
      <c r="AF515" s="211">
        <v>0</v>
      </c>
      <c r="AG515" s="211">
        <v>0</v>
      </c>
    </row>
    <row r="516" spans="1:33" x14ac:dyDescent="0.25">
      <c r="A516" s="207" t="s">
        <v>1174</v>
      </c>
      <c r="B516" s="208"/>
      <c r="C516" s="209"/>
      <c r="D516" s="209"/>
      <c r="E516" s="209"/>
      <c r="F516" s="209"/>
      <c r="G516" s="209"/>
      <c r="H516" s="209"/>
      <c r="I516" s="209"/>
      <c r="J516" s="209"/>
      <c r="K516" s="209"/>
      <c r="L516" s="209"/>
      <c r="M516" s="209"/>
      <c r="N516" s="209"/>
      <c r="O516" s="209"/>
      <c r="P516" s="209"/>
      <c r="Q516" s="209"/>
      <c r="R516" s="209"/>
      <c r="S516" s="209"/>
      <c r="T516" s="209"/>
      <c r="U516" s="209"/>
      <c r="V516" s="209"/>
      <c r="W516" s="209"/>
      <c r="X516" s="209"/>
      <c r="Y516" s="209"/>
      <c r="Z516" s="209"/>
      <c r="AA516" s="209"/>
      <c r="AB516" s="209"/>
      <c r="AC516" s="209"/>
      <c r="AD516" s="209"/>
      <c r="AE516" s="209"/>
      <c r="AF516" s="209"/>
      <c r="AG516" s="209"/>
    </row>
    <row r="517" spans="1:33" x14ac:dyDescent="0.25">
      <c r="A517" s="121"/>
      <c r="B517" s="210" t="s">
        <v>1175</v>
      </c>
      <c r="C517" s="211">
        <v>0</v>
      </c>
      <c r="D517" s="211">
        <v>0</v>
      </c>
      <c r="E517" s="211">
        <v>0</v>
      </c>
      <c r="F517" s="211">
        <v>0</v>
      </c>
      <c r="G517" s="211">
        <v>0</v>
      </c>
      <c r="H517" s="211">
        <v>0</v>
      </c>
      <c r="I517" s="211">
        <v>0</v>
      </c>
      <c r="J517" s="211">
        <v>0</v>
      </c>
      <c r="K517" s="211">
        <v>0</v>
      </c>
      <c r="L517" s="211">
        <v>0</v>
      </c>
      <c r="M517" s="211">
        <v>0</v>
      </c>
      <c r="N517" s="211">
        <v>0</v>
      </c>
      <c r="O517" s="211">
        <v>0</v>
      </c>
      <c r="P517" s="211">
        <v>0</v>
      </c>
      <c r="Q517" s="211">
        <v>0</v>
      </c>
      <c r="R517" s="211">
        <v>0</v>
      </c>
      <c r="S517" s="211">
        <v>0</v>
      </c>
      <c r="T517" s="211">
        <v>0</v>
      </c>
      <c r="U517" s="211">
        <v>0</v>
      </c>
      <c r="V517" s="211">
        <v>0</v>
      </c>
      <c r="W517" s="211">
        <v>0</v>
      </c>
      <c r="X517" s="211">
        <v>0</v>
      </c>
      <c r="Y517" s="211">
        <v>0</v>
      </c>
      <c r="Z517" s="211">
        <v>0</v>
      </c>
      <c r="AA517" s="211">
        <v>0</v>
      </c>
      <c r="AB517" s="211">
        <v>0</v>
      </c>
      <c r="AC517" s="211">
        <v>0</v>
      </c>
      <c r="AD517" s="211">
        <v>0</v>
      </c>
      <c r="AE517" s="211">
        <v>0</v>
      </c>
      <c r="AF517" s="211">
        <v>0</v>
      </c>
      <c r="AG517" s="211">
        <v>0</v>
      </c>
    </row>
    <row r="518" spans="1:33" x14ac:dyDescent="0.25">
      <c r="A518" s="207" t="s">
        <v>585</v>
      </c>
      <c r="B518" s="208"/>
      <c r="C518" s="209"/>
      <c r="D518" s="209"/>
      <c r="E518" s="209"/>
      <c r="F518" s="209"/>
      <c r="G518" s="209"/>
      <c r="H518" s="209"/>
      <c r="I518" s="209"/>
      <c r="J518" s="209"/>
      <c r="K518" s="209"/>
      <c r="L518" s="209"/>
      <c r="M518" s="209"/>
      <c r="N518" s="209"/>
      <c r="O518" s="209"/>
      <c r="P518" s="209"/>
      <c r="Q518" s="209"/>
      <c r="R518" s="209"/>
      <c r="S518" s="209"/>
      <c r="T518" s="209"/>
      <c r="U518" s="209"/>
      <c r="V518" s="209"/>
      <c r="W518" s="209"/>
      <c r="X518" s="209"/>
      <c r="Y518" s="209"/>
      <c r="Z518" s="209"/>
      <c r="AA518" s="209"/>
      <c r="AB518" s="209"/>
      <c r="AC518" s="209"/>
      <c r="AD518" s="209"/>
      <c r="AE518" s="209"/>
      <c r="AF518" s="209"/>
      <c r="AG518" s="209"/>
    </row>
    <row r="519" spans="1:33" x14ac:dyDescent="0.25">
      <c r="A519" s="121"/>
      <c r="B519" s="210" t="s">
        <v>586</v>
      </c>
      <c r="C519" s="211">
        <v>0</v>
      </c>
      <c r="D519" s="211">
        <v>0</v>
      </c>
      <c r="E519" s="211">
        <v>0</v>
      </c>
      <c r="F519" s="211">
        <v>0</v>
      </c>
      <c r="G519" s="211">
        <v>0</v>
      </c>
      <c r="H519" s="211">
        <v>0</v>
      </c>
      <c r="I519" s="211">
        <v>0</v>
      </c>
      <c r="J519" s="211">
        <v>0.34599999999999997</v>
      </c>
      <c r="K519" s="211">
        <v>0</v>
      </c>
      <c r="L519" s="211">
        <v>3.9510000000000001</v>
      </c>
      <c r="M519" s="211">
        <v>0</v>
      </c>
      <c r="N519" s="211">
        <v>0</v>
      </c>
      <c r="O519" s="211">
        <v>0</v>
      </c>
      <c r="P519" s="211">
        <v>4.1859999999999999</v>
      </c>
      <c r="Q519" s="211">
        <v>0</v>
      </c>
      <c r="R519" s="211">
        <v>24.946000000000002</v>
      </c>
      <c r="S519" s="211">
        <v>0</v>
      </c>
      <c r="T519" s="211">
        <v>0</v>
      </c>
      <c r="U519" s="211">
        <v>0</v>
      </c>
      <c r="V519" s="211">
        <v>0</v>
      </c>
      <c r="W519" s="211">
        <v>0.83499999999999996</v>
      </c>
      <c r="X519" s="211">
        <v>0</v>
      </c>
      <c r="Y519" s="211">
        <v>0</v>
      </c>
      <c r="Z519" s="211">
        <v>0</v>
      </c>
      <c r="AA519" s="211">
        <v>0</v>
      </c>
      <c r="AB519" s="211">
        <v>0</v>
      </c>
      <c r="AC519" s="211">
        <v>0</v>
      </c>
      <c r="AD519" s="211">
        <v>0</v>
      </c>
      <c r="AE519" s="211">
        <v>0</v>
      </c>
      <c r="AF519" s="211">
        <v>0</v>
      </c>
      <c r="AG519" s="211">
        <v>34.264000000000003</v>
      </c>
    </row>
    <row r="520" spans="1:33" x14ac:dyDescent="0.25">
      <c r="A520" s="121"/>
      <c r="B520" s="210" t="s">
        <v>587</v>
      </c>
      <c r="C520" s="211">
        <v>0</v>
      </c>
      <c r="D520" s="211">
        <v>0</v>
      </c>
      <c r="E520" s="211">
        <v>0</v>
      </c>
      <c r="F520" s="211">
        <v>0</v>
      </c>
      <c r="G520" s="211">
        <v>0</v>
      </c>
      <c r="H520" s="211">
        <v>0</v>
      </c>
      <c r="I520" s="211">
        <v>0</v>
      </c>
      <c r="J520" s="211">
        <v>0.51300000000000001</v>
      </c>
      <c r="K520" s="211">
        <v>0</v>
      </c>
      <c r="L520" s="211">
        <v>0</v>
      </c>
      <c r="M520" s="211">
        <v>0</v>
      </c>
      <c r="N520" s="211">
        <v>0</v>
      </c>
      <c r="O520" s="211">
        <v>0</v>
      </c>
      <c r="P520" s="211">
        <v>1.24</v>
      </c>
      <c r="Q520" s="211">
        <v>0</v>
      </c>
      <c r="R520" s="211">
        <v>0</v>
      </c>
      <c r="S520" s="211">
        <v>15.426</v>
      </c>
      <c r="T520" s="211">
        <v>0</v>
      </c>
      <c r="U520" s="211">
        <v>0.90900000000000003</v>
      </c>
      <c r="V520" s="211">
        <v>0</v>
      </c>
      <c r="W520" s="211">
        <v>0.54300000000000004</v>
      </c>
      <c r="X520" s="211">
        <v>0</v>
      </c>
      <c r="Y520" s="211">
        <v>0</v>
      </c>
      <c r="Z520" s="211">
        <v>0</v>
      </c>
      <c r="AA520" s="211">
        <v>0</v>
      </c>
      <c r="AB520" s="211">
        <v>0</v>
      </c>
      <c r="AC520" s="211">
        <v>0</v>
      </c>
      <c r="AD520" s="211">
        <v>0</v>
      </c>
      <c r="AE520" s="211">
        <v>0</v>
      </c>
      <c r="AF520" s="211">
        <v>0</v>
      </c>
      <c r="AG520" s="211">
        <v>18.631</v>
      </c>
    </row>
    <row r="521" spans="1:33" x14ac:dyDescent="0.25">
      <c r="A521" s="121"/>
      <c r="B521" s="210" t="s">
        <v>588</v>
      </c>
      <c r="C521" s="211">
        <v>0</v>
      </c>
      <c r="D521" s="211">
        <v>305.02</v>
      </c>
      <c r="E521" s="211">
        <v>0</v>
      </c>
      <c r="F521" s="211">
        <v>0</v>
      </c>
      <c r="G521" s="211">
        <v>0</v>
      </c>
      <c r="H521" s="211">
        <v>0</v>
      </c>
      <c r="I521" s="211">
        <v>1.468</v>
      </c>
      <c r="J521" s="211">
        <v>4.8259999999999996</v>
      </c>
      <c r="K521" s="211">
        <v>0</v>
      </c>
      <c r="L521" s="211">
        <v>4.1100000000000003</v>
      </c>
      <c r="M521" s="211">
        <v>0</v>
      </c>
      <c r="N521" s="211">
        <v>0</v>
      </c>
      <c r="O521" s="211">
        <v>0</v>
      </c>
      <c r="P521" s="211">
        <v>39.429000000000002</v>
      </c>
      <c r="Q521" s="211">
        <v>179.76900000000001</v>
      </c>
      <c r="R521" s="211">
        <v>0</v>
      </c>
      <c r="S521" s="211">
        <v>0</v>
      </c>
      <c r="T521" s="211">
        <v>0</v>
      </c>
      <c r="U521" s="211">
        <v>4.9470000000000001</v>
      </c>
      <c r="V521" s="211">
        <v>0</v>
      </c>
      <c r="W521" s="211">
        <v>17.7393</v>
      </c>
      <c r="X521" s="211">
        <v>0</v>
      </c>
      <c r="Y521" s="211">
        <v>168.76900000000001</v>
      </c>
      <c r="Z521" s="211">
        <v>0</v>
      </c>
      <c r="AA521" s="211">
        <v>0</v>
      </c>
      <c r="AB521" s="211">
        <v>0</v>
      </c>
      <c r="AC521" s="211">
        <v>0</v>
      </c>
      <c r="AD521" s="211">
        <v>0</v>
      </c>
      <c r="AE521" s="211">
        <v>0</v>
      </c>
      <c r="AF521" s="211">
        <v>2.4892699999999999</v>
      </c>
      <c r="AG521" s="211">
        <v>728.56657000000007</v>
      </c>
    </row>
    <row r="522" spans="1:33" x14ac:dyDescent="0.25">
      <c r="A522" s="121"/>
      <c r="B522" s="210" t="s">
        <v>589</v>
      </c>
      <c r="C522" s="211">
        <v>0</v>
      </c>
      <c r="D522" s="211">
        <v>99.366200000000006</v>
      </c>
      <c r="E522" s="211">
        <v>0</v>
      </c>
      <c r="F522" s="211">
        <v>0</v>
      </c>
      <c r="G522" s="211">
        <v>0</v>
      </c>
      <c r="H522" s="211">
        <v>0</v>
      </c>
      <c r="I522" s="211">
        <v>43.911999999999999</v>
      </c>
      <c r="J522" s="211">
        <v>0.81100000000000005</v>
      </c>
      <c r="K522" s="211">
        <v>0</v>
      </c>
      <c r="L522" s="211">
        <v>0.44</v>
      </c>
      <c r="M522" s="211">
        <v>0</v>
      </c>
      <c r="N522" s="211">
        <v>0</v>
      </c>
      <c r="O522" s="211">
        <v>0</v>
      </c>
      <c r="P522" s="211">
        <v>0</v>
      </c>
      <c r="Q522" s="211">
        <v>0</v>
      </c>
      <c r="R522" s="211">
        <v>0</v>
      </c>
      <c r="S522" s="211">
        <v>0</v>
      </c>
      <c r="T522" s="211">
        <v>0</v>
      </c>
      <c r="U522" s="211">
        <v>0</v>
      </c>
      <c r="V522" s="211">
        <v>0</v>
      </c>
      <c r="W522" s="211">
        <v>4.2144899999999996</v>
      </c>
      <c r="X522" s="211">
        <v>0</v>
      </c>
      <c r="Y522" s="211">
        <v>0</v>
      </c>
      <c r="Z522" s="211">
        <v>0</v>
      </c>
      <c r="AA522" s="211">
        <v>0</v>
      </c>
      <c r="AB522" s="211">
        <v>0</v>
      </c>
      <c r="AC522" s="211">
        <v>0</v>
      </c>
      <c r="AD522" s="211">
        <v>0</v>
      </c>
      <c r="AE522" s="211">
        <v>0.77300000000000002</v>
      </c>
      <c r="AF522" s="211">
        <v>0</v>
      </c>
      <c r="AG522" s="211">
        <v>149.51669000000001</v>
      </c>
    </row>
    <row r="523" spans="1:33" x14ac:dyDescent="0.25">
      <c r="A523" s="121"/>
      <c r="B523" s="210" t="s">
        <v>590</v>
      </c>
      <c r="C523" s="211">
        <v>0</v>
      </c>
      <c r="D523" s="211">
        <v>0</v>
      </c>
      <c r="E523" s="211">
        <v>0</v>
      </c>
      <c r="F523" s="211">
        <v>0</v>
      </c>
      <c r="G523" s="211">
        <v>0</v>
      </c>
      <c r="H523" s="211">
        <v>0</v>
      </c>
      <c r="I523" s="211">
        <v>0</v>
      </c>
      <c r="J523" s="211">
        <v>0.86299999999999999</v>
      </c>
      <c r="K523" s="211">
        <v>0</v>
      </c>
      <c r="L523" s="211">
        <v>0</v>
      </c>
      <c r="M523" s="211">
        <v>0</v>
      </c>
      <c r="N523" s="211">
        <v>0</v>
      </c>
      <c r="O523" s="211">
        <v>0</v>
      </c>
      <c r="P523" s="211">
        <v>0</v>
      </c>
      <c r="Q523" s="211">
        <v>0</v>
      </c>
      <c r="R523" s="211">
        <v>0</v>
      </c>
      <c r="S523" s="211">
        <v>0</v>
      </c>
      <c r="T523" s="211">
        <v>0</v>
      </c>
      <c r="U523" s="211">
        <v>0</v>
      </c>
      <c r="V523" s="211">
        <v>0</v>
      </c>
      <c r="W523" s="211">
        <v>0.1</v>
      </c>
      <c r="X523" s="211">
        <v>0</v>
      </c>
      <c r="Y523" s="211">
        <v>8.2100000000000009</v>
      </c>
      <c r="Z523" s="211">
        <v>0</v>
      </c>
      <c r="AA523" s="211">
        <v>0</v>
      </c>
      <c r="AB523" s="211">
        <v>0</v>
      </c>
      <c r="AC523" s="211">
        <v>0</v>
      </c>
      <c r="AD523" s="211">
        <v>0</v>
      </c>
      <c r="AE523" s="211">
        <v>0</v>
      </c>
      <c r="AF523" s="211">
        <v>0</v>
      </c>
      <c r="AG523" s="211">
        <v>9.173</v>
      </c>
    </row>
    <row r="524" spans="1:33" x14ac:dyDescent="0.25">
      <c r="A524" s="207" t="s">
        <v>125</v>
      </c>
      <c r="B524" s="208"/>
      <c r="C524" s="209"/>
      <c r="D524" s="209"/>
      <c r="E524" s="209"/>
      <c r="F524" s="209"/>
      <c r="G524" s="209"/>
      <c r="H524" s="209"/>
      <c r="I524" s="209"/>
      <c r="J524" s="209"/>
      <c r="K524" s="209"/>
      <c r="L524" s="209"/>
      <c r="M524" s="209"/>
      <c r="N524" s="209"/>
      <c r="O524" s="209"/>
      <c r="P524" s="209"/>
      <c r="Q524" s="209"/>
      <c r="R524" s="209"/>
      <c r="S524" s="209"/>
      <c r="T524" s="209"/>
      <c r="U524" s="209"/>
      <c r="V524" s="209"/>
      <c r="W524" s="209"/>
      <c r="X524" s="209"/>
      <c r="Y524" s="209"/>
      <c r="Z524" s="209"/>
      <c r="AA524" s="209"/>
      <c r="AB524" s="209"/>
      <c r="AC524" s="209"/>
      <c r="AD524" s="209"/>
      <c r="AE524" s="209"/>
      <c r="AF524" s="209"/>
      <c r="AG524" s="209"/>
    </row>
    <row r="525" spans="1:33" x14ac:dyDescent="0.25">
      <c r="A525" s="121"/>
      <c r="B525" s="210" t="s">
        <v>1176</v>
      </c>
      <c r="C525" s="211">
        <v>0</v>
      </c>
      <c r="D525" s="211">
        <v>0</v>
      </c>
      <c r="E525" s="211">
        <v>0</v>
      </c>
      <c r="F525" s="211">
        <v>0</v>
      </c>
      <c r="G525" s="211">
        <v>0</v>
      </c>
      <c r="H525" s="211">
        <v>0</v>
      </c>
      <c r="I525" s="211">
        <v>0</v>
      </c>
      <c r="J525" s="211">
        <v>0</v>
      </c>
      <c r="K525" s="211">
        <v>0</v>
      </c>
      <c r="L525" s="211">
        <v>0</v>
      </c>
      <c r="M525" s="211">
        <v>0</v>
      </c>
      <c r="N525" s="211">
        <v>0</v>
      </c>
      <c r="O525" s="211">
        <v>0</v>
      </c>
      <c r="P525" s="211">
        <v>0</v>
      </c>
      <c r="Q525" s="211">
        <v>0</v>
      </c>
      <c r="R525" s="211">
        <v>0</v>
      </c>
      <c r="S525" s="211">
        <v>0</v>
      </c>
      <c r="T525" s="211">
        <v>0</v>
      </c>
      <c r="U525" s="211">
        <v>0</v>
      </c>
      <c r="V525" s="211">
        <v>0</v>
      </c>
      <c r="W525" s="211">
        <v>0</v>
      </c>
      <c r="X525" s="211">
        <v>0</v>
      </c>
      <c r="Y525" s="211">
        <v>0</v>
      </c>
      <c r="Z525" s="211">
        <v>0</v>
      </c>
      <c r="AA525" s="211">
        <v>0</v>
      </c>
      <c r="AB525" s="211">
        <v>0</v>
      </c>
      <c r="AC525" s="211">
        <v>0</v>
      </c>
      <c r="AD525" s="211">
        <v>0</v>
      </c>
      <c r="AE525" s="211">
        <v>0</v>
      </c>
      <c r="AF525" s="211">
        <v>0</v>
      </c>
      <c r="AG525" s="211">
        <v>0</v>
      </c>
    </row>
    <row r="526" spans="1:33" x14ac:dyDescent="0.25">
      <c r="A526" s="121"/>
      <c r="B526" s="210" t="s">
        <v>1177</v>
      </c>
      <c r="C526" s="211">
        <v>0</v>
      </c>
      <c r="D526" s="211">
        <v>0</v>
      </c>
      <c r="E526" s="211">
        <v>0</v>
      </c>
      <c r="F526" s="211">
        <v>0</v>
      </c>
      <c r="G526" s="211">
        <v>0</v>
      </c>
      <c r="H526" s="211">
        <v>0</v>
      </c>
      <c r="I526" s="211">
        <v>0</v>
      </c>
      <c r="J526" s="211">
        <v>0</v>
      </c>
      <c r="K526" s="211">
        <v>0</v>
      </c>
      <c r="L526" s="211">
        <v>0</v>
      </c>
      <c r="M526" s="211">
        <v>0</v>
      </c>
      <c r="N526" s="211">
        <v>0</v>
      </c>
      <c r="O526" s="211">
        <v>0</v>
      </c>
      <c r="P526" s="211">
        <v>0</v>
      </c>
      <c r="Q526" s="211">
        <v>0</v>
      </c>
      <c r="R526" s="211">
        <v>0</v>
      </c>
      <c r="S526" s="211">
        <v>0</v>
      </c>
      <c r="T526" s="211">
        <v>0</v>
      </c>
      <c r="U526" s="211">
        <v>0</v>
      </c>
      <c r="V526" s="211">
        <v>0</v>
      </c>
      <c r="W526" s="211">
        <v>0</v>
      </c>
      <c r="X526" s="211">
        <v>0</v>
      </c>
      <c r="Y526" s="211">
        <v>0</v>
      </c>
      <c r="Z526" s="211">
        <v>0</v>
      </c>
      <c r="AA526" s="211">
        <v>0</v>
      </c>
      <c r="AB526" s="211">
        <v>0</v>
      </c>
      <c r="AC526" s="211">
        <v>0</v>
      </c>
      <c r="AD526" s="211">
        <v>0</v>
      </c>
      <c r="AE526" s="211">
        <v>0</v>
      </c>
      <c r="AF526" s="211">
        <v>0</v>
      </c>
      <c r="AG526" s="211">
        <v>0</v>
      </c>
    </row>
    <row r="527" spans="1:33" x14ac:dyDescent="0.25">
      <c r="A527" s="121"/>
      <c r="B527" s="210" t="s">
        <v>1178</v>
      </c>
      <c r="C527" s="211">
        <v>0</v>
      </c>
      <c r="D527" s="211">
        <v>0</v>
      </c>
      <c r="E527" s="211">
        <v>0</v>
      </c>
      <c r="F527" s="211">
        <v>0</v>
      </c>
      <c r="G527" s="211">
        <v>0</v>
      </c>
      <c r="H527" s="211">
        <v>0</v>
      </c>
      <c r="I527" s="211">
        <v>0</v>
      </c>
      <c r="J527" s="211">
        <v>0</v>
      </c>
      <c r="K527" s="211">
        <v>0</v>
      </c>
      <c r="L527" s="211">
        <v>0</v>
      </c>
      <c r="M527" s="211">
        <v>0</v>
      </c>
      <c r="N527" s="211">
        <v>0</v>
      </c>
      <c r="O527" s="211">
        <v>0</v>
      </c>
      <c r="P527" s="211">
        <v>0</v>
      </c>
      <c r="Q527" s="211">
        <v>0</v>
      </c>
      <c r="R527" s="211">
        <v>0</v>
      </c>
      <c r="S527" s="211">
        <v>0</v>
      </c>
      <c r="T527" s="211">
        <v>0</v>
      </c>
      <c r="U527" s="211">
        <v>0</v>
      </c>
      <c r="V527" s="211">
        <v>0</v>
      </c>
      <c r="W527" s="211">
        <v>0</v>
      </c>
      <c r="X527" s="211">
        <v>0</v>
      </c>
      <c r="Y527" s="211">
        <v>0</v>
      </c>
      <c r="Z527" s="211">
        <v>0</v>
      </c>
      <c r="AA527" s="211">
        <v>0</v>
      </c>
      <c r="AB527" s="211">
        <v>0</v>
      </c>
      <c r="AC527" s="211">
        <v>0</v>
      </c>
      <c r="AD527" s="211">
        <v>0</v>
      </c>
      <c r="AE527" s="211">
        <v>0</v>
      </c>
      <c r="AF527" s="211">
        <v>0</v>
      </c>
      <c r="AG527" s="211">
        <v>0</v>
      </c>
    </row>
    <row r="528" spans="1:33" x14ac:dyDescent="0.25">
      <c r="A528" s="121"/>
      <c r="B528" s="210" t="s">
        <v>127</v>
      </c>
      <c r="C528" s="211">
        <v>0</v>
      </c>
      <c r="D528" s="211">
        <v>0</v>
      </c>
      <c r="E528" s="211">
        <v>0</v>
      </c>
      <c r="F528" s="211">
        <v>0</v>
      </c>
      <c r="G528" s="211">
        <v>0</v>
      </c>
      <c r="H528" s="211">
        <v>0</v>
      </c>
      <c r="I528" s="211">
        <v>0</v>
      </c>
      <c r="J528" s="211">
        <v>0</v>
      </c>
      <c r="K528" s="211">
        <v>0</v>
      </c>
      <c r="L528" s="211">
        <v>0</v>
      </c>
      <c r="M528" s="211">
        <v>0</v>
      </c>
      <c r="N528" s="211">
        <v>0</v>
      </c>
      <c r="O528" s="211">
        <v>0</v>
      </c>
      <c r="P528" s="211">
        <v>0</v>
      </c>
      <c r="Q528" s="211">
        <v>0</v>
      </c>
      <c r="R528" s="211">
        <v>0</v>
      </c>
      <c r="S528" s="211">
        <v>0</v>
      </c>
      <c r="T528" s="211">
        <v>0</v>
      </c>
      <c r="U528" s="211">
        <v>0</v>
      </c>
      <c r="V528" s="211">
        <v>0</v>
      </c>
      <c r="W528" s="211">
        <v>0</v>
      </c>
      <c r="X528" s="211">
        <v>0</v>
      </c>
      <c r="Y528" s="211">
        <v>0</v>
      </c>
      <c r="Z528" s="211">
        <v>0</v>
      </c>
      <c r="AA528" s="211">
        <v>0</v>
      </c>
      <c r="AB528" s="211">
        <v>0</v>
      </c>
      <c r="AC528" s="211">
        <v>0</v>
      </c>
      <c r="AD528" s="211">
        <v>0</v>
      </c>
      <c r="AE528" s="211">
        <v>0</v>
      </c>
      <c r="AF528" s="211">
        <v>0</v>
      </c>
      <c r="AG528" s="211">
        <v>0</v>
      </c>
    </row>
    <row r="529" spans="1:33" x14ac:dyDescent="0.25">
      <c r="A529" s="207" t="s">
        <v>128</v>
      </c>
      <c r="B529" s="208"/>
      <c r="C529" s="209"/>
      <c r="D529" s="209"/>
      <c r="E529" s="209"/>
      <c r="F529" s="209"/>
      <c r="G529" s="209"/>
      <c r="H529" s="209"/>
      <c r="I529" s="209"/>
      <c r="J529" s="209"/>
      <c r="K529" s="209"/>
      <c r="L529" s="209"/>
      <c r="M529" s="209"/>
      <c r="N529" s="209"/>
      <c r="O529" s="209"/>
      <c r="P529" s="209"/>
      <c r="Q529" s="209"/>
      <c r="R529" s="209"/>
      <c r="S529" s="209"/>
      <c r="T529" s="209"/>
      <c r="U529" s="209"/>
      <c r="V529" s="209"/>
      <c r="W529" s="209"/>
      <c r="X529" s="209"/>
      <c r="Y529" s="209"/>
      <c r="Z529" s="209"/>
      <c r="AA529" s="209"/>
      <c r="AB529" s="209"/>
      <c r="AC529" s="209"/>
      <c r="AD529" s="209"/>
      <c r="AE529" s="209"/>
      <c r="AF529" s="209"/>
      <c r="AG529" s="209"/>
    </row>
    <row r="530" spans="1:33" x14ac:dyDescent="0.25">
      <c r="A530" s="121"/>
      <c r="B530" s="210" t="s">
        <v>130</v>
      </c>
      <c r="C530" s="211">
        <v>0</v>
      </c>
      <c r="D530" s="211">
        <v>0</v>
      </c>
      <c r="E530" s="211">
        <v>0</v>
      </c>
      <c r="F530" s="211">
        <v>0</v>
      </c>
      <c r="G530" s="211">
        <v>0</v>
      </c>
      <c r="H530" s="211">
        <v>0</v>
      </c>
      <c r="I530" s="211">
        <v>0</v>
      </c>
      <c r="J530" s="211">
        <v>0</v>
      </c>
      <c r="K530" s="211">
        <v>0</v>
      </c>
      <c r="L530" s="211">
        <v>0</v>
      </c>
      <c r="M530" s="211">
        <v>0</v>
      </c>
      <c r="N530" s="211">
        <v>0</v>
      </c>
      <c r="O530" s="211">
        <v>0</v>
      </c>
      <c r="P530" s="211">
        <v>0</v>
      </c>
      <c r="Q530" s="211">
        <v>0</v>
      </c>
      <c r="R530" s="211">
        <v>0</v>
      </c>
      <c r="S530" s="211">
        <v>0</v>
      </c>
      <c r="T530" s="211">
        <v>0</v>
      </c>
      <c r="U530" s="211">
        <v>0</v>
      </c>
      <c r="V530" s="211">
        <v>0</v>
      </c>
      <c r="W530" s="211">
        <v>0</v>
      </c>
      <c r="X530" s="211">
        <v>0</v>
      </c>
      <c r="Y530" s="211">
        <v>0</v>
      </c>
      <c r="Z530" s="211">
        <v>0</v>
      </c>
      <c r="AA530" s="211">
        <v>0</v>
      </c>
      <c r="AB530" s="211">
        <v>0</v>
      </c>
      <c r="AC530" s="211">
        <v>0</v>
      </c>
      <c r="AD530" s="211">
        <v>0</v>
      </c>
      <c r="AE530" s="211">
        <v>0</v>
      </c>
      <c r="AF530" s="211">
        <v>0</v>
      </c>
      <c r="AG530" s="211">
        <v>0</v>
      </c>
    </row>
    <row r="531" spans="1:33" x14ac:dyDescent="0.25">
      <c r="A531" s="207" t="s">
        <v>591</v>
      </c>
      <c r="B531" s="208"/>
      <c r="C531" s="209"/>
      <c r="D531" s="209"/>
      <c r="E531" s="209"/>
      <c r="F531" s="209"/>
      <c r="G531" s="209"/>
      <c r="H531" s="209"/>
      <c r="I531" s="209"/>
      <c r="J531" s="209"/>
      <c r="K531" s="209"/>
      <c r="L531" s="209"/>
      <c r="M531" s="209"/>
      <c r="N531" s="209"/>
      <c r="O531" s="209"/>
      <c r="P531" s="209"/>
      <c r="Q531" s="209"/>
      <c r="R531" s="209"/>
      <c r="S531" s="209"/>
      <c r="T531" s="209"/>
      <c r="U531" s="209"/>
      <c r="V531" s="209"/>
      <c r="W531" s="209"/>
      <c r="X531" s="209"/>
      <c r="Y531" s="209"/>
      <c r="Z531" s="209"/>
      <c r="AA531" s="209"/>
      <c r="AB531" s="209"/>
      <c r="AC531" s="209"/>
      <c r="AD531" s="209"/>
      <c r="AE531" s="209"/>
      <c r="AF531" s="209"/>
      <c r="AG531" s="209"/>
    </row>
    <row r="532" spans="1:33" x14ac:dyDescent="0.25">
      <c r="A532" s="121"/>
      <c r="B532" s="210" t="s">
        <v>592</v>
      </c>
      <c r="C532" s="211">
        <v>0</v>
      </c>
      <c r="D532" s="211">
        <v>0</v>
      </c>
      <c r="E532" s="211">
        <v>0</v>
      </c>
      <c r="F532" s="211">
        <v>0</v>
      </c>
      <c r="G532" s="211">
        <v>0.35099999999999998</v>
      </c>
      <c r="H532" s="211">
        <v>0</v>
      </c>
      <c r="I532" s="211">
        <v>0</v>
      </c>
      <c r="J532" s="211">
        <v>0.752</v>
      </c>
      <c r="K532" s="211">
        <v>0</v>
      </c>
      <c r="L532" s="211">
        <v>0</v>
      </c>
      <c r="M532" s="211">
        <v>0</v>
      </c>
      <c r="N532" s="211">
        <v>0</v>
      </c>
      <c r="O532" s="211">
        <v>0</v>
      </c>
      <c r="P532" s="211">
        <v>0</v>
      </c>
      <c r="Q532" s="211">
        <v>0</v>
      </c>
      <c r="R532" s="211">
        <v>0</v>
      </c>
      <c r="S532" s="211">
        <v>0</v>
      </c>
      <c r="T532" s="211">
        <v>0</v>
      </c>
      <c r="U532" s="211">
        <v>0</v>
      </c>
      <c r="V532" s="211">
        <v>0</v>
      </c>
      <c r="W532" s="211">
        <v>0.13900000000000001</v>
      </c>
      <c r="X532" s="211">
        <v>0</v>
      </c>
      <c r="Y532" s="211">
        <v>0</v>
      </c>
      <c r="Z532" s="211">
        <v>0</v>
      </c>
      <c r="AA532" s="211">
        <v>0</v>
      </c>
      <c r="AB532" s="211">
        <v>0</v>
      </c>
      <c r="AC532" s="211">
        <v>0</v>
      </c>
      <c r="AD532" s="211">
        <v>1.0009999999999999</v>
      </c>
      <c r="AE532" s="211">
        <v>0</v>
      </c>
      <c r="AF532" s="211">
        <v>11.5624</v>
      </c>
      <c r="AG532" s="211">
        <v>13.805400000000001</v>
      </c>
    </row>
    <row r="533" spans="1:33" x14ac:dyDescent="0.25">
      <c r="A533" s="121"/>
      <c r="B533" s="210" t="s">
        <v>594</v>
      </c>
      <c r="C533" s="211">
        <v>0</v>
      </c>
      <c r="D533" s="211">
        <v>0</v>
      </c>
      <c r="E533" s="211">
        <v>0</v>
      </c>
      <c r="F533" s="211">
        <v>0</v>
      </c>
      <c r="G533" s="211">
        <v>0</v>
      </c>
      <c r="H533" s="211">
        <v>0</v>
      </c>
      <c r="I533" s="211">
        <v>0</v>
      </c>
      <c r="J533" s="211">
        <v>0</v>
      </c>
      <c r="K533" s="211">
        <v>0</v>
      </c>
      <c r="L533" s="211">
        <v>0</v>
      </c>
      <c r="M533" s="211">
        <v>0</v>
      </c>
      <c r="N533" s="211">
        <v>0</v>
      </c>
      <c r="O533" s="211">
        <v>0</v>
      </c>
      <c r="P533" s="211">
        <v>0</v>
      </c>
      <c r="Q533" s="211">
        <v>0</v>
      </c>
      <c r="R533" s="211">
        <v>0</v>
      </c>
      <c r="S533" s="211">
        <v>0</v>
      </c>
      <c r="T533" s="211">
        <v>0</v>
      </c>
      <c r="U533" s="211">
        <v>0</v>
      </c>
      <c r="V533" s="211">
        <v>0</v>
      </c>
      <c r="W533" s="211">
        <v>0</v>
      </c>
      <c r="X533" s="211">
        <v>0</v>
      </c>
      <c r="Y533" s="211">
        <v>0</v>
      </c>
      <c r="Z533" s="211">
        <v>0</v>
      </c>
      <c r="AA533" s="211">
        <v>0</v>
      </c>
      <c r="AB533" s="211">
        <v>0</v>
      </c>
      <c r="AC533" s="211">
        <v>0</v>
      </c>
      <c r="AD533" s="211">
        <v>0</v>
      </c>
      <c r="AE533" s="211">
        <v>0</v>
      </c>
      <c r="AF533" s="211">
        <v>0</v>
      </c>
      <c r="AG533" s="211">
        <v>0</v>
      </c>
    </row>
    <row r="534" spans="1:33" x14ac:dyDescent="0.25">
      <c r="A534" s="121"/>
      <c r="B534" s="210" t="s">
        <v>595</v>
      </c>
      <c r="C534" s="211">
        <v>0</v>
      </c>
      <c r="D534" s="211">
        <v>0</v>
      </c>
      <c r="E534" s="211">
        <v>0</v>
      </c>
      <c r="F534" s="211">
        <v>0</v>
      </c>
      <c r="G534" s="211">
        <v>0</v>
      </c>
      <c r="H534" s="211">
        <v>0</v>
      </c>
      <c r="I534" s="211">
        <v>0</v>
      </c>
      <c r="J534" s="211">
        <v>7.8E-2</v>
      </c>
      <c r="K534" s="211">
        <v>0</v>
      </c>
      <c r="L534" s="211">
        <v>0</v>
      </c>
      <c r="M534" s="211">
        <v>0</v>
      </c>
      <c r="N534" s="211">
        <v>0</v>
      </c>
      <c r="O534" s="211">
        <v>0</v>
      </c>
      <c r="P534" s="211">
        <v>0</v>
      </c>
      <c r="Q534" s="211">
        <v>0</v>
      </c>
      <c r="R534" s="211">
        <v>0</v>
      </c>
      <c r="S534" s="211">
        <v>0</v>
      </c>
      <c r="T534" s="211">
        <v>0</v>
      </c>
      <c r="U534" s="211">
        <v>0</v>
      </c>
      <c r="V534" s="211">
        <v>0</v>
      </c>
      <c r="W534" s="211">
        <v>5.7000000000000002E-2</v>
      </c>
      <c r="X534" s="211">
        <v>0</v>
      </c>
      <c r="Y534" s="211">
        <v>3.968</v>
      </c>
      <c r="Z534" s="211">
        <v>0</v>
      </c>
      <c r="AA534" s="211">
        <v>0</v>
      </c>
      <c r="AB534" s="211">
        <v>0</v>
      </c>
      <c r="AC534" s="211">
        <v>0</v>
      </c>
      <c r="AD534" s="211">
        <v>0</v>
      </c>
      <c r="AE534" s="211">
        <v>0</v>
      </c>
      <c r="AF534" s="211">
        <v>0</v>
      </c>
      <c r="AG534" s="211">
        <v>4.1029999999999998</v>
      </c>
    </row>
    <row r="535" spans="1:33" x14ac:dyDescent="0.25">
      <c r="A535" s="121"/>
      <c r="B535" s="210" t="s">
        <v>597</v>
      </c>
      <c r="C535" s="211">
        <v>0</v>
      </c>
      <c r="D535" s="211">
        <v>0</v>
      </c>
      <c r="E535" s="211">
        <v>0</v>
      </c>
      <c r="F535" s="211">
        <v>24.8842</v>
      </c>
      <c r="G535" s="211">
        <v>0</v>
      </c>
      <c r="H535" s="211">
        <v>0</v>
      </c>
      <c r="I535" s="211">
        <v>0</v>
      </c>
      <c r="J535" s="211">
        <v>0.96546100000000001</v>
      </c>
      <c r="K535" s="211">
        <v>0</v>
      </c>
      <c r="L535" s="211">
        <v>0</v>
      </c>
      <c r="M535" s="211">
        <v>35.121899999999997</v>
      </c>
      <c r="N535" s="211">
        <v>0</v>
      </c>
      <c r="O535" s="211">
        <v>10.664400000000001</v>
      </c>
      <c r="P535" s="211">
        <v>21.395</v>
      </c>
      <c r="Q535" s="211">
        <v>0</v>
      </c>
      <c r="R535" s="211">
        <v>0</v>
      </c>
      <c r="S535" s="211">
        <v>13.989699999999999</v>
      </c>
      <c r="T535" s="211">
        <v>0</v>
      </c>
      <c r="U535" s="211">
        <v>0</v>
      </c>
      <c r="V535" s="211">
        <v>0</v>
      </c>
      <c r="W535" s="211">
        <v>6.2671000000000001</v>
      </c>
      <c r="X535" s="211">
        <v>0</v>
      </c>
      <c r="Y535" s="211">
        <v>27.085000000000001</v>
      </c>
      <c r="Z535" s="211">
        <v>0</v>
      </c>
      <c r="AA535" s="211">
        <v>0</v>
      </c>
      <c r="AB535" s="211">
        <v>0</v>
      </c>
      <c r="AC535" s="211">
        <v>0</v>
      </c>
      <c r="AD535" s="211">
        <v>0</v>
      </c>
      <c r="AE535" s="211">
        <v>0</v>
      </c>
      <c r="AF535" s="211">
        <v>5.8413300000000001</v>
      </c>
      <c r="AG535" s="211">
        <v>146.214091</v>
      </c>
    </row>
    <row r="536" spans="1:33" x14ac:dyDescent="0.25">
      <c r="A536" s="207" t="s">
        <v>598</v>
      </c>
      <c r="B536" s="208"/>
      <c r="C536" s="209"/>
      <c r="D536" s="209"/>
      <c r="E536" s="209"/>
      <c r="F536" s="209"/>
      <c r="G536" s="209"/>
      <c r="H536" s="209"/>
      <c r="I536" s="209"/>
      <c r="J536" s="209"/>
      <c r="K536" s="209"/>
      <c r="L536" s="209"/>
      <c r="M536" s="209"/>
      <c r="N536" s="209"/>
      <c r="O536" s="209"/>
      <c r="P536" s="209"/>
      <c r="Q536" s="209"/>
      <c r="R536" s="209"/>
      <c r="S536" s="209"/>
      <c r="T536" s="209"/>
      <c r="U536" s="209"/>
      <c r="V536" s="209"/>
      <c r="W536" s="209"/>
      <c r="X536" s="209"/>
      <c r="Y536" s="209"/>
      <c r="Z536" s="209"/>
      <c r="AA536" s="209"/>
      <c r="AB536" s="209"/>
      <c r="AC536" s="209"/>
      <c r="AD536" s="209"/>
      <c r="AE536" s="209"/>
      <c r="AF536" s="209"/>
      <c r="AG536" s="209"/>
    </row>
    <row r="537" spans="1:33" x14ac:dyDescent="0.25">
      <c r="A537" s="121"/>
      <c r="B537" s="210" t="s">
        <v>599</v>
      </c>
      <c r="C537" s="211">
        <v>0</v>
      </c>
      <c r="D537" s="211">
        <v>191.08099999999999</v>
      </c>
      <c r="E537" s="211">
        <v>0</v>
      </c>
      <c r="F537" s="211">
        <v>26.953800000000001</v>
      </c>
      <c r="G537" s="211">
        <v>13.082000000000001</v>
      </c>
      <c r="H537" s="211">
        <v>3.19</v>
      </c>
      <c r="I537" s="211">
        <v>0</v>
      </c>
      <c r="J537" s="211">
        <v>3.2195499999999999</v>
      </c>
      <c r="K537" s="211">
        <v>0</v>
      </c>
      <c r="L537" s="211">
        <v>4.0830000000000002</v>
      </c>
      <c r="M537" s="211">
        <v>35.661099999999998</v>
      </c>
      <c r="N537" s="211">
        <v>0</v>
      </c>
      <c r="O537" s="211">
        <v>367.964</v>
      </c>
      <c r="P537" s="211">
        <v>163.19499999999999</v>
      </c>
      <c r="Q537" s="211">
        <v>0</v>
      </c>
      <c r="R537" s="211">
        <v>45.449100000000001</v>
      </c>
      <c r="S537" s="211">
        <v>14.439500000000001</v>
      </c>
      <c r="T537" s="211">
        <v>0</v>
      </c>
      <c r="U537" s="211">
        <v>36.31</v>
      </c>
      <c r="V537" s="211">
        <v>0</v>
      </c>
      <c r="W537" s="211">
        <v>36.723799999999997</v>
      </c>
      <c r="X537" s="211">
        <v>0</v>
      </c>
      <c r="Y537" s="211">
        <v>18.861999999999998</v>
      </c>
      <c r="Z537" s="211">
        <v>0</v>
      </c>
      <c r="AA537" s="211">
        <v>1.413</v>
      </c>
      <c r="AB537" s="211">
        <v>1.554</v>
      </c>
      <c r="AC537" s="211">
        <v>6.5456500000000001E-2</v>
      </c>
      <c r="AD537" s="211">
        <v>0</v>
      </c>
      <c r="AE537" s="211">
        <v>0</v>
      </c>
      <c r="AF537" s="211">
        <v>0</v>
      </c>
      <c r="AG537" s="211">
        <v>963.24630649999972</v>
      </c>
    </row>
    <row r="538" spans="1:33" x14ac:dyDescent="0.25">
      <c r="A538" s="207" t="s">
        <v>600</v>
      </c>
      <c r="B538" s="208"/>
      <c r="C538" s="209"/>
      <c r="D538" s="209"/>
      <c r="E538" s="209"/>
      <c r="F538" s="209"/>
      <c r="G538" s="209"/>
      <c r="H538" s="209"/>
      <c r="I538" s="209"/>
      <c r="J538" s="209"/>
      <c r="K538" s="209"/>
      <c r="L538" s="209"/>
      <c r="M538" s="209"/>
      <c r="N538" s="209"/>
      <c r="O538" s="209"/>
      <c r="P538" s="209"/>
      <c r="Q538" s="209"/>
      <c r="R538" s="209"/>
      <c r="S538" s="209"/>
      <c r="T538" s="209"/>
      <c r="U538" s="209"/>
      <c r="V538" s="209"/>
      <c r="W538" s="209"/>
      <c r="X538" s="209"/>
      <c r="Y538" s="209"/>
      <c r="Z538" s="209"/>
      <c r="AA538" s="209"/>
      <c r="AB538" s="209"/>
      <c r="AC538" s="209"/>
      <c r="AD538" s="209"/>
      <c r="AE538" s="209"/>
      <c r="AF538" s="209"/>
      <c r="AG538" s="209"/>
    </row>
    <row r="539" spans="1:33" x14ac:dyDescent="0.25">
      <c r="A539" s="121"/>
      <c r="B539" s="210" t="s">
        <v>132</v>
      </c>
      <c r="C539" s="211">
        <v>0</v>
      </c>
      <c r="D539" s="211">
        <v>0</v>
      </c>
      <c r="E539" s="211">
        <v>0</v>
      </c>
      <c r="F539" s="211">
        <v>0</v>
      </c>
      <c r="G539" s="211">
        <v>0</v>
      </c>
      <c r="H539" s="211">
        <v>0</v>
      </c>
      <c r="I539" s="211">
        <v>0</v>
      </c>
      <c r="J539" s="211">
        <v>0</v>
      </c>
      <c r="K539" s="211">
        <v>0</v>
      </c>
      <c r="L539" s="211">
        <v>0</v>
      </c>
      <c r="M539" s="211">
        <v>0</v>
      </c>
      <c r="N539" s="211">
        <v>0</v>
      </c>
      <c r="O539" s="211">
        <v>0</v>
      </c>
      <c r="P539" s="211">
        <v>0</v>
      </c>
      <c r="Q539" s="211">
        <v>0</v>
      </c>
      <c r="R539" s="211">
        <v>0</v>
      </c>
      <c r="S539" s="211">
        <v>0</v>
      </c>
      <c r="T539" s="211">
        <v>0</v>
      </c>
      <c r="U539" s="211">
        <v>0</v>
      </c>
      <c r="V539" s="211">
        <v>0</v>
      </c>
      <c r="W539" s="211">
        <v>0</v>
      </c>
      <c r="X539" s="211">
        <v>0</v>
      </c>
      <c r="Y539" s="211">
        <v>0</v>
      </c>
      <c r="Z539" s="211">
        <v>0</v>
      </c>
      <c r="AA539" s="211">
        <v>0</v>
      </c>
      <c r="AB539" s="211">
        <v>0</v>
      </c>
      <c r="AC539" s="211">
        <v>0</v>
      </c>
      <c r="AD539" s="211">
        <v>0</v>
      </c>
      <c r="AE539" s="211">
        <v>0</v>
      </c>
      <c r="AF539" s="211">
        <v>0</v>
      </c>
      <c r="AG539" s="211">
        <v>0</v>
      </c>
    </row>
    <row r="540" spans="1:33" x14ac:dyDescent="0.25">
      <c r="A540" s="207" t="s">
        <v>131</v>
      </c>
      <c r="B540" s="208"/>
      <c r="C540" s="209"/>
      <c r="D540" s="209"/>
      <c r="E540" s="209"/>
      <c r="F540" s="209"/>
      <c r="G540" s="209"/>
      <c r="H540" s="209"/>
      <c r="I540" s="209"/>
      <c r="J540" s="209"/>
      <c r="K540" s="209"/>
      <c r="L540" s="209"/>
      <c r="M540" s="209"/>
      <c r="N540" s="209"/>
      <c r="O540" s="209"/>
      <c r="P540" s="209"/>
      <c r="Q540" s="209"/>
      <c r="R540" s="209"/>
      <c r="S540" s="209"/>
      <c r="T540" s="209"/>
      <c r="U540" s="209"/>
      <c r="V540" s="209"/>
      <c r="W540" s="209"/>
      <c r="X540" s="209"/>
      <c r="Y540" s="209"/>
      <c r="Z540" s="209"/>
      <c r="AA540" s="209"/>
      <c r="AB540" s="209"/>
      <c r="AC540" s="209"/>
      <c r="AD540" s="209"/>
      <c r="AE540" s="209"/>
      <c r="AF540" s="209"/>
      <c r="AG540" s="209"/>
    </row>
    <row r="541" spans="1:33" x14ac:dyDescent="0.25">
      <c r="A541" s="121"/>
      <c r="B541" s="210" t="s">
        <v>133</v>
      </c>
      <c r="C541" s="211">
        <v>0</v>
      </c>
      <c r="D541" s="211">
        <v>0</v>
      </c>
      <c r="E541" s="211">
        <v>0</v>
      </c>
      <c r="F541" s="211">
        <v>0</v>
      </c>
      <c r="G541" s="211">
        <v>0</v>
      </c>
      <c r="H541" s="211">
        <v>0</v>
      </c>
      <c r="I541" s="211">
        <v>0</v>
      </c>
      <c r="J541" s="211">
        <v>0</v>
      </c>
      <c r="K541" s="211">
        <v>0</v>
      </c>
      <c r="L541" s="211">
        <v>0</v>
      </c>
      <c r="M541" s="211">
        <v>0</v>
      </c>
      <c r="N541" s="211">
        <v>0</v>
      </c>
      <c r="O541" s="211">
        <v>0</v>
      </c>
      <c r="P541" s="211">
        <v>0</v>
      </c>
      <c r="Q541" s="211">
        <v>0</v>
      </c>
      <c r="R541" s="211">
        <v>0</v>
      </c>
      <c r="S541" s="211">
        <v>0</v>
      </c>
      <c r="T541" s="211">
        <v>0</v>
      </c>
      <c r="U541" s="211">
        <v>0</v>
      </c>
      <c r="V541" s="211">
        <v>0</v>
      </c>
      <c r="W541" s="211">
        <v>0</v>
      </c>
      <c r="X541" s="211">
        <v>0</v>
      </c>
      <c r="Y541" s="211">
        <v>0</v>
      </c>
      <c r="Z541" s="211">
        <v>0</v>
      </c>
      <c r="AA541" s="211">
        <v>0</v>
      </c>
      <c r="AB541" s="211">
        <v>0</v>
      </c>
      <c r="AC541" s="211">
        <v>0</v>
      </c>
      <c r="AD541" s="211">
        <v>0</v>
      </c>
      <c r="AE541" s="211">
        <v>0</v>
      </c>
      <c r="AF541" s="211">
        <v>0</v>
      </c>
      <c r="AG541" s="211">
        <v>0</v>
      </c>
    </row>
    <row r="542" spans="1:33" x14ac:dyDescent="0.25">
      <c r="A542" s="207" t="s">
        <v>601</v>
      </c>
      <c r="B542" s="208"/>
      <c r="C542" s="209"/>
      <c r="D542" s="209"/>
      <c r="E542" s="209"/>
      <c r="F542" s="209"/>
      <c r="G542" s="209"/>
      <c r="H542" s="209"/>
      <c r="I542" s="209"/>
      <c r="J542" s="209"/>
      <c r="K542" s="209"/>
      <c r="L542" s="209"/>
      <c r="M542" s="209"/>
      <c r="N542" s="209"/>
      <c r="O542" s="209"/>
      <c r="P542" s="209"/>
      <c r="Q542" s="209"/>
      <c r="R542" s="209"/>
      <c r="S542" s="209"/>
      <c r="T542" s="209"/>
      <c r="U542" s="209"/>
      <c r="V542" s="209"/>
      <c r="W542" s="209"/>
      <c r="X542" s="209"/>
      <c r="Y542" s="209"/>
      <c r="Z542" s="209"/>
      <c r="AA542" s="209"/>
      <c r="AB542" s="209"/>
      <c r="AC542" s="209"/>
      <c r="AD542" s="209"/>
      <c r="AE542" s="209"/>
      <c r="AF542" s="209"/>
      <c r="AG542" s="209"/>
    </row>
    <row r="543" spans="1:33" x14ac:dyDescent="0.25">
      <c r="A543" s="121"/>
      <c r="B543" s="210" t="s">
        <v>602</v>
      </c>
      <c r="C543" s="211">
        <v>0</v>
      </c>
      <c r="D543" s="211">
        <v>0</v>
      </c>
      <c r="E543" s="211">
        <v>0</v>
      </c>
      <c r="F543" s="211">
        <v>0</v>
      </c>
      <c r="G543" s="211">
        <v>1.4</v>
      </c>
      <c r="H543" s="211">
        <v>0</v>
      </c>
      <c r="I543" s="211">
        <v>0</v>
      </c>
      <c r="J543" s="211">
        <v>0</v>
      </c>
      <c r="K543" s="211">
        <v>0</v>
      </c>
      <c r="L543" s="211">
        <v>0</v>
      </c>
      <c r="M543" s="211">
        <v>16.2</v>
      </c>
      <c r="N543" s="211">
        <v>0</v>
      </c>
      <c r="O543" s="211">
        <v>0</v>
      </c>
      <c r="P543" s="211">
        <v>0</v>
      </c>
      <c r="Q543" s="211">
        <v>0</v>
      </c>
      <c r="R543" s="211">
        <v>0</v>
      </c>
      <c r="S543" s="211">
        <v>7.0000000000000007E-2</v>
      </c>
      <c r="T543" s="211">
        <v>0</v>
      </c>
      <c r="U543" s="211">
        <v>0</v>
      </c>
      <c r="V543" s="211">
        <v>0</v>
      </c>
      <c r="W543" s="211">
        <v>0.42099999999999999</v>
      </c>
      <c r="X543" s="211">
        <v>0</v>
      </c>
      <c r="Y543" s="211">
        <v>0</v>
      </c>
      <c r="Z543" s="211">
        <v>0</v>
      </c>
      <c r="AA543" s="211">
        <v>0</v>
      </c>
      <c r="AB543" s="211">
        <v>0</v>
      </c>
      <c r="AC543" s="211">
        <v>0</v>
      </c>
      <c r="AD543" s="211">
        <v>0</v>
      </c>
      <c r="AE543" s="211">
        <v>0</v>
      </c>
      <c r="AF543" s="211">
        <v>0</v>
      </c>
      <c r="AG543" s="211">
        <v>18.090999999999998</v>
      </c>
    </row>
    <row r="544" spans="1:33" x14ac:dyDescent="0.25">
      <c r="A544" s="121"/>
      <c r="B544" s="210" t="s">
        <v>603</v>
      </c>
      <c r="C544" s="211">
        <v>0</v>
      </c>
      <c r="D544" s="211">
        <v>0</v>
      </c>
      <c r="E544" s="211">
        <v>0</v>
      </c>
      <c r="F544" s="211">
        <v>0</v>
      </c>
      <c r="G544" s="211">
        <v>2.2665199999999999</v>
      </c>
      <c r="H544" s="211">
        <v>0</v>
      </c>
      <c r="I544" s="211">
        <v>0</v>
      </c>
      <c r="J544" s="211">
        <v>0</v>
      </c>
      <c r="K544" s="211">
        <v>0</v>
      </c>
      <c r="L544" s="211">
        <v>0</v>
      </c>
      <c r="M544" s="211">
        <v>37.381300000000003</v>
      </c>
      <c r="N544" s="211">
        <v>0</v>
      </c>
      <c r="O544" s="211">
        <v>136.29599999999999</v>
      </c>
      <c r="P544" s="211">
        <v>12.1</v>
      </c>
      <c r="Q544" s="211">
        <v>0</v>
      </c>
      <c r="R544" s="211">
        <v>0</v>
      </c>
      <c r="S544" s="211">
        <v>6.06668E-2</v>
      </c>
      <c r="T544" s="211">
        <v>0</v>
      </c>
      <c r="U544" s="211">
        <v>0</v>
      </c>
      <c r="V544" s="211">
        <v>0</v>
      </c>
      <c r="W544" s="211">
        <v>5.3337000000000003</v>
      </c>
      <c r="X544" s="211">
        <v>0</v>
      </c>
      <c r="Y544" s="211">
        <v>8.8000000000000007</v>
      </c>
      <c r="Z544" s="211">
        <v>0</v>
      </c>
      <c r="AA544" s="211">
        <v>0</v>
      </c>
      <c r="AB544" s="211">
        <v>0</v>
      </c>
      <c r="AC544" s="211">
        <v>0</v>
      </c>
      <c r="AD544" s="211">
        <v>0</v>
      </c>
      <c r="AE544" s="211">
        <v>0</v>
      </c>
      <c r="AF544" s="211">
        <v>0</v>
      </c>
      <c r="AG544" s="211">
        <v>202.23818679999999</v>
      </c>
    </row>
    <row r="545" spans="1:33" x14ac:dyDescent="0.25">
      <c r="A545" s="121"/>
      <c r="B545" s="210" t="s">
        <v>604</v>
      </c>
      <c r="C545" s="211">
        <v>0</v>
      </c>
      <c r="D545" s="211">
        <v>0</v>
      </c>
      <c r="E545" s="211">
        <v>0</v>
      </c>
      <c r="F545" s="211">
        <v>0</v>
      </c>
      <c r="G545" s="211">
        <v>0</v>
      </c>
      <c r="H545" s="211">
        <v>0</v>
      </c>
      <c r="I545" s="211">
        <v>0</v>
      </c>
      <c r="J545" s="211">
        <v>0.93</v>
      </c>
      <c r="K545" s="211">
        <v>0</v>
      </c>
      <c r="L545" s="211">
        <v>0</v>
      </c>
      <c r="M545" s="211">
        <v>0</v>
      </c>
      <c r="N545" s="211">
        <v>0</v>
      </c>
      <c r="O545" s="211">
        <v>0</v>
      </c>
      <c r="P545" s="211">
        <v>0</v>
      </c>
      <c r="Q545" s="211">
        <v>0</v>
      </c>
      <c r="R545" s="211">
        <v>0</v>
      </c>
      <c r="S545" s="211">
        <v>0</v>
      </c>
      <c r="T545" s="211">
        <v>0</v>
      </c>
      <c r="U545" s="211">
        <v>0</v>
      </c>
      <c r="V545" s="211">
        <v>0</v>
      </c>
      <c r="W545" s="211">
        <v>3.0000000000000001E-3</v>
      </c>
      <c r="X545" s="211">
        <v>0</v>
      </c>
      <c r="Y545" s="211">
        <v>0</v>
      </c>
      <c r="Z545" s="211">
        <v>0</v>
      </c>
      <c r="AA545" s="211">
        <v>0</v>
      </c>
      <c r="AB545" s="211">
        <v>0</v>
      </c>
      <c r="AC545" s="211">
        <v>0</v>
      </c>
      <c r="AD545" s="211">
        <v>0</v>
      </c>
      <c r="AE545" s="211">
        <v>0</v>
      </c>
      <c r="AF545" s="211">
        <v>24.823499999999999</v>
      </c>
      <c r="AG545" s="211">
        <v>25.756499999999999</v>
      </c>
    </row>
    <row r="546" spans="1:33" x14ac:dyDescent="0.25">
      <c r="A546" s="121"/>
      <c r="B546" s="210" t="s">
        <v>605</v>
      </c>
      <c r="C546" s="211">
        <v>0</v>
      </c>
      <c r="D546" s="211">
        <v>1023.3</v>
      </c>
      <c r="E546" s="211">
        <v>0</v>
      </c>
      <c r="F546" s="211">
        <v>1.2</v>
      </c>
      <c r="G546" s="211">
        <v>0</v>
      </c>
      <c r="H546" s="211">
        <v>0</v>
      </c>
      <c r="I546" s="211">
        <v>0</v>
      </c>
      <c r="J546" s="211">
        <v>8.6</v>
      </c>
      <c r="K546" s="211">
        <v>0</v>
      </c>
      <c r="L546" s="211">
        <v>25.2</v>
      </c>
      <c r="M546" s="211">
        <v>13.5</v>
      </c>
      <c r="N546" s="211">
        <v>0</v>
      </c>
      <c r="O546" s="211">
        <v>150.1</v>
      </c>
      <c r="P546" s="211">
        <v>191.3</v>
      </c>
      <c r="Q546" s="211">
        <v>0</v>
      </c>
      <c r="R546" s="211">
        <v>0</v>
      </c>
      <c r="S546" s="211">
        <v>3.3</v>
      </c>
      <c r="T546" s="211">
        <v>32</v>
      </c>
      <c r="U546" s="211">
        <v>0</v>
      </c>
      <c r="V546" s="211">
        <v>0</v>
      </c>
      <c r="W546" s="211">
        <v>42.9</v>
      </c>
      <c r="X546" s="211">
        <v>0</v>
      </c>
      <c r="Y546" s="211">
        <v>0</v>
      </c>
      <c r="Z546" s="211">
        <v>0</v>
      </c>
      <c r="AA546" s="211">
        <v>0</v>
      </c>
      <c r="AB546" s="211">
        <v>0</v>
      </c>
      <c r="AC546" s="211">
        <v>0</v>
      </c>
      <c r="AD546" s="211">
        <v>28.9</v>
      </c>
      <c r="AE546" s="211">
        <v>0</v>
      </c>
      <c r="AF546" s="211">
        <v>18.5</v>
      </c>
      <c r="AG546" s="211">
        <v>1538.8</v>
      </c>
    </row>
    <row r="547" spans="1:33" x14ac:dyDescent="0.25">
      <c r="A547" s="121"/>
      <c r="B547" s="210" t="s">
        <v>606</v>
      </c>
      <c r="C547" s="211">
        <v>0</v>
      </c>
      <c r="D547" s="211">
        <v>0</v>
      </c>
      <c r="E547" s="211">
        <v>0</v>
      </c>
      <c r="F547" s="211">
        <v>0</v>
      </c>
      <c r="G547" s="211">
        <v>0</v>
      </c>
      <c r="H547" s="211">
        <v>0</v>
      </c>
      <c r="I547" s="211">
        <v>0</v>
      </c>
      <c r="J547" s="211">
        <v>0.6</v>
      </c>
      <c r="K547" s="211">
        <v>0</v>
      </c>
      <c r="L547" s="211">
        <v>3.4117600000000001</v>
      </c>
      <c r="M547" s="211">
        <v>0</v>
      </c>
      <c r="N547" s="211">
        <v>0</v>
      </c>
      <c r="O547" s="211">
        <v>0</v>
      </c>
      <c r="P547" s="211">
        <v>0</v>
      </c>
      <c r="Q547" s="211">
        <v>9.3000000000000007</v>
      </c>
      <c r="R547" s="211">
        <v>0</v>
      </c>
      <c r="S547" s="211">
        <v>0</v>
      </c>
      <c r="T547" s="211">
        <v>0</v>
      </c>
      <c r="U547" s="211">
        <v>0</v>
      </c>
      <c r="V547" s="211">
        <v>0</v>
      </c>
      <c r="W547" s="211">
        <v>0.39</v>
      </c>
      <c r="X547" s="211">
        <v>0</v>
      </c>
      <c r="Y547" s="211">
        <v>0</v>
      </c>
      <c r="Z547" s="211">
        <v>0</v>
      </c>
      <c r="AA547" s="211">
        <v>0</v>
      </c>
      <c r="AB547" s="211">
        <v>0</v>
      </c>
      <c r="AC547" s="211">
        <v>0</v>
      </c>
      <c r="AD547" s="211">
        <v>0</v>
      </c>
      <c r="AE547" s="211">
        <v>0</v>
      </c>
      <c r="AF547" s="211">
        <v>10.235300000000001</v>
      </c>
      <c r="AG547" s="211">
        <v>23.937060000000002</v>
      </c>
    </row>
    <row r="548" spans="1:33" x14ac:dyDescent="0.25">
      <c r="A548" s="121"/>
      <c r="B548" s="210" t="s">
        <v>607</v>
      </c>
      <c r="C548" s="211">
        <v>0</v>
      </c>
      <c r="D548" s="211">
        <v>0</v>
      </c>
      <c r="E548" s="211">
        <v>0</v>
      </c>
      <c r="F548" s="211">
        <v>0</v>
      </c>
      <c r="G548" s="211">
        <v>0</v>
      </c>
      <c r="H548" s="211">
        <v>0</v>
      </c>
      <c r="I548" s="211">
        <v>0</v>
      </c>
      <c r="J548" s="211">
        <v>0.52</v>
      </c>
      <c r="K548" s="211">
        <v>0</v>
      </c>
      <c r="L548" s="211">
        <v>0</v>
      </c>
      <c r="M548" s="211">
        <v>22.6</v>
      </c>
      <c r="N548" s="211">
        <v>0</v>
      </c>
      <c r="O548" s="211">
        <v>0</v>
      </c>
      <c r="P548" s="211">
        <v>5.46</v>
      </c>
      <c r="Q548" s="211">
        <v>0</v>
      </c>
      <c r="R548" s="211">
        <v>0</v>
      </c>
      <c r="S548" s="211">
        <v>0</v>
      </c>
      <c r="T548" s="211">
        <v>0</v>
      </c>
      <c r="U548" s="211">
        <v>0</v>
      </c>
      <c r="V548" s="211">
        <v>0</v>
      </c>
      <c r="W548" s="211">
        <v>0.53900000000000003</v>
      </c>
      <c r="X548" s="211">
        <v>0</v>
      </c>
      <c r="Y548" s="211">
        <v>0</v>
      </c>
      <c r="Z548" s="211">
        <v>0</v>
      </c>
      <c r="AA548" s="211">
        <v>0</v>
      </c>
      <c r="AB548" s="211">
        <v>0</v>
      </c>
      <c r="AC548" s="211">
        <v>0</v>
      </c>
      <c r="AD548" s="211">
        <v>0</v>
      </c>
      <c r="AE548" s="211">
        <v>0</v>
      </c>
      <c r="AF548" s="211">
        <v>5.4705899999999996</v>
      </c>
      <c r="AG548" s="211">
        <v>34.589590000000001</v>
      </c>
    </row>
    <row r="549" spans="1:33" x14ac:dyDescent="0.25">
      <c r="A549" s="207" t="s">
        <v>608</v>
      </c>
      <c r="B549" s="208"/>
      <c r="C549" s="209"/>
      <c r="D549" s="209"/>
      <c r="E549" s="209"/>
      <c r="F549" s="209"/>
      <c r="G549" s="209"/>
      <c r="H549" s="209"/>
      <c r="I549" s="209"/>
      <c r="J549" s="209"/>
      <c r="K549" s="209"/>
      <c r="L549" s="209"/>
      <c r="M549" s="209"/>
      <c r="N549" s="209"/>
      <c r="O549" s="209"/>
      <c r="P549" s="209"/>
      <c r="Q549" s="209"/>
      <c r="R549" s="209"/>
      <c r="S549" s="209"/>
      <c r="T549" s="209"/>
      <c r="U549" s="209"/>
      <c r="V549" s="209"/>
      <c r="W549" s="209"/>
      <c r="X549" s="209"/>
      <c r="Y549" s="209"/>
      <c r="Z549" s="209"/>
      <c r="AA549" s="209"/>
      <c r="AB549" s="209"/>
      <c r="AC549" s="209"/>
      <c r="AD549" s="209"/>
      <c r="AE549" s="209"/>
      <c r="AF549" s="209"/>
      <c r="AG549" s="209"/>
    </row>
    <row r="550" spans="1:33" x14ac:dyDescent="0.25">
      <c r="A550" s="121"/>
      <c r="B550" s="210" t="s">
        <v>609</v>
      </c>
      <c r="C550" s="211">
        <v>0</v>
      </c>
      <c r="D550" s="211">
        <v>0</v>
      </c>
      <c r="E550" s="211">
        <v>0</v>
      </c>
      <c r="F550" s="211">
        <v>0</v>
      </c>
      <c r="G550" s="211">
        <v>6.1669999999999998</v>
      </c>
      <c r="H550" s="211">
        <v>0.98799999999999999</v>
      </c>
      <c r="I550" s="211">
        <v>0</v>
      </c>
      <c r="J550" s="211">
        <v>0</v>
      </c>
      <c r="K550" s="211">
        <v>0</v>
      </c>
      <c r="L550" s="211">
        <v>0</v>
      </c>
      <c r="M550" s="211">
        <v>0</v>
      </c>
      <c r="N550" s="211">
        <v>0</v>
      </c>
      <c r="O550" s="211">
        <v>0</v>
      </c>
      <c r="P550" s="211">
        <v>0</v>
      </c>
      <c r="Q550" s="211">
        <v>31</v>
      </c>
      <c r="R550" s="211">
        <v>0</v>
      </c>
      <c r="S550" s="211">
        <v>0</v>
      </c>
      <c r="T550" s="211">
        <v>0</v>
      </c>
      <c r="U550" s="211">
        <v>0</v>
      </c>
      <c r="V550" s="211">
        <v>0</v>
      </c>
      <c r="W550" s="211">
        <v>2.2999999999999998</v>
      </c>
      <c r="X550" s="211">
        <v>0</v>
      </c>
      <c r="Y550" s="211">
        <v>6.3390000000000004</v>
      </c>
      <c r="Z550" s="211">
        <v>0</v>
      </c>
      <c r="AA550" s="211">
        <v>0</v>
      </c>
      <c r="AB550" s="211">
        <v>0</v>
      </c>
      <c r="AC550" s="211">
        <v>0</v>
      </c>
      <c r="AD550" s="211">
        <v>0</v>
      </c>
      <c r="AE550" s="211">
        <v>0</v>
      </c>
      <c r="AF550" s="211">
        <v>0</v>
      </c>
      <c r="AG550" s="211">
        <v>46.793999999999997</v>
      </c>
    </row>
    <row r="551" spans="1:33" x14ac:dyDescent="0.25">
      <c r="A551" s="121"/>
      <c r="B551" s="210" t="s">
        <v>610</v>
      </c>
      <c r="C551" s="211">
        <v>0</v>
      </c>
      <c r="D551" s="211">
        <v>161.798</v>
      </c>
      <c r="E551" s="211">
        <v>0</v>
      </c>
      <c r="F551" s="211">
        <v>22.665700000000001</v>
      </c>
      <c r="G551" s="211">
        <v>0</v>
      </c>
      <c r="H551" s="211">
        <v>0</v>
      </c>
      <c r="I551" s="211">
        <v>2.67</v>
      </c>
      <c r="J551" s="211">
        <v>2.7640699999999998</v>
      </c>
      <c r="K551" s="211">
        <v>0</v>
      </c>
      <c r="L551" s="211">
        <v>3.4969999999999999</v>
      </c>
      <c r="M551" s="211">
        <v>29.966799999999999</v>
      </c>
      <c r="N551" s="211">
        <v>0</v>
      </c>
      <c r="O551" s="211">
        <v>307.58699999999999</v>
      </c>
      <c r="P551" s="211">
        <v>134.47</v>
      </c>
      <c r="Q551" s="211">
        <v>0</v>
      </c>
      <c r="R551" s="211">
        <v>38.218499999999999</v>
      </c>
      <c r="S551" s="211">
        <v>12.1378</v>
      </c>
      <c r="T551" s="211">
        <v>0</v>
      </c>
      <c r="U551" s="211">
        <v>7.58</v>
      </c>
      <c r="V551" s="211">
        <v>0</v>
      </c>
      <c r="W551" s="211">
        <v>34.326999999999998</v>
      </c>
      <c r="X551" s="211">
        <v>0</v>
      </c>
      <c r="Y551" s="211">
        <v>15.49</v>
      </c>
      <c r="Z551" s="211">
        <v>0</v>
      </c>
      <c r="AA551" s="211">
        <v>0</v>
      </c>
      <c r="AB551" s="211">
        <v>0</v>
      </c>
      <c r="AC551" s="211">
        <v>5.4293599999999997E-2</v>
      </c>
      <c r="AD551" s="211">
        <v>0</v>
      </c>
      <c r="AE551" s="211">
        <v>0</v>
      </c>
      <c r="AF551" s="211">
        <v>0</v>
      </c>
      <c r="AG551" s="211">
        <v>773.22616360000006</v>
      </c>
    </row>
    <row r="552" spans="1:33" x14ac:dyDescent="0.25">
      <c r="A552" s="207" t="s">
        <v>611</v>
      </c>
      <c r="B552" s="208"/>
      <c r="C552" s="209"/>
      <c r="D552" s="209"/>
      <c r="E552" s="209"/>
      <c r="F552" s="209"/>
      <c r="G552" s="209"/>
      <c r="H552" s="209"/>
      <c r="I552" s="209"/>
      <c r="J552" s="209"/>
      <c r="K552" s="209"/>
      <c r="L552" s="209"/>
      <c r="M552" s="209"/>
      <c r="N552" s="209"/>
      <c r="O552" s="209"/>
      <c r="P552" s="209"/>
      <c r="Q552" s="209"/>
      <c r="R552" s="209"/>
      <c r="S552" s="209"/>
      <c r="T552" s="209"/>
      <c r="U552" s="209"/>
      <c r="V552" s="209"/>
      <c r="W552" s="209"/>
      <c r="X552" s="209"/>
      <c r="Y552" s="209"/>
      <c r="Z552" s="209"/>
      <c r="AA552" s="209"/>
      <c r="AB552" s="209"/>
      <c r="AC552" s="209"/>
      <c r="AD552" s="209"/>
      <c r="AE552" s="209"/>
      <c r="AF552" s="209"/>
      <c r="AG552" s="209"/>
    </row>
    <row r="553" spans="1:33" x14ac:dyDescent="0.25">
      <c r="A553" s="121"/>
      <c r="B553" s="210" t="s">
        <v>612</v>
      </c>
      <c r="C553" s="211">
        <v>0</v>
      </c>
      <c r="D553" s="211">
        <v>2.0185700000000001E-2</v>
      </c>
      <c r="E553" s="211">
        <v>0</v>
      </c>
      <c r="F553" s="211">
        <v>0</v>
      </c>
      <c r="G553" s="211">
        <v>0</v>
      </c>
      <c r="H553" s="211">
        <v>0</v>
      </c>
      <c r="I553" s="211">
        <v>0</v>
      </c>
      <c r="J553" s="211">
        <v>0.80351099999999998</v>
      </c>
      <c r="K553" s="211">
        <v>0</v>
      </c>
      <c r="L553" s="211">
        <v>0</v>
      </c>
      <c r="M553" s="211">
        <v>0.95897699999999997</v>
      </c>
      <c r="N553" s="211">
        <v>0</v>
      </c>
      <c r="O553" s="211">
        <v>44.516500000000001</v>
      </c>
      <c r="P553" s="211">
        <v>0</v>
      </c>
      <c r="Q553" s="211">
        <v>0</v>
      </c>
      <c r="R553" s="211">
        <v>0</v>
      </c>
      <c r="S553" s="211">
        <v>0</v>
      </c>
      <c r="T553" s="211">
        <v>0</v>
      </c>
      <c r="U553" s="211">
        <v>0</v>
      </c>
      <c r="V553" s="211">
        <v>0</v>
      </c>
      <c r="W553" s="211">
        <v>1.83806</v>
      </c>
      <c r="X553" s="211">
        <v>0</v>
      </c>
      <c r="Y553" s="211">
        <v>0.63</v>
      </c>
      <c r="Z553" s="211">
        <v>0</v>
      </c>
      <c r="AA553" s="211">
        <v>0</v>
      </c>
      <c r="AB553" s="211">
        <v>0</v>
      </c>
      <c r="AC553" s="211">
        <v>0</v>
      </c>
      <c r="AD553" s="211">
        <v>0</v>
      </c>
      <c r="AE553" s="211">
        <v>13.206300000000001</v>
      </c>
      <c r="AF553" s="211">
        <v>0</v>
      </c>
      <c r="AG553" s="211">
        <v>61.973533699999997</v>
      </c>
    </row>
    <row r="554" spans="1:33" x14ac:dyDescent="0.25">
      <c r="A554" s="207" t="s">
        <v>613</v>
      </c>
      <c r="B554" s="208"/>
      <c r="C554" s="209"/>
      <c r="D554" s="209"/>
      <c r="E554" s="209"/>
      <c r="F554" s="209"/>
      <c r="G554" s="209"/>
      <c r="H554" s="209"/>
      <c r="I554" s="209"/>
      <c r="J554" s="209"/>
      <c r="K554" s="209"/>
      <c r="L554" s="209"/>
      <c r="M554" s="209"/>
      <c r="N554" s="209"/>
      <c r="O554" s="209"/>
      <c r="P554" s="209"/>
      <c r="Q554" s="209"/>
      <c r="R554" s="209"/>
      <c r="S554" s="209"/>
      <c r="T554" s="209"/>
      <c r="U554" s="209"/>
      <c r="V554" s="209"/>
      <c r="W554" s="209"/>
      <c r="X554" s="209"/>
      <c r="Y554" s="209"/>
      <c r="Z554" s="209"/>
      <c r="AA554" s="209"/>
      <c r="AB554" s="209"/>
      <c r="AC554" s="209"/>
      <c r="AD554" s="209"/>
      <c r="AE554" s="209"/>
      <c r="AF554" s="209"/>
      <c r="AG554" s="209"/>
    </row>
    <row r="555" spans="1:33" x14ac:dyDescent="0.25">
      <c r="A555" s="121"/>
      <c r="B555" s="210" t="s">
        <v>614</v>
      </c>
      <c r="C555" s="211">
        <v>0</v>
      </c>
      <c r="D555" s="211">
        <v>0</v>
      </c>
      <c r="E555" s="211">
        <v>0</v>
      </c>
      <c r="F555" s="211">
        <v>0</v>
      </c>
      <c r="G555" s="211">
        <v>0</v>
      </c>
      <c r="H555" s="211">
        <v>0</v>
      </c>
      <c r="I555" s="211">
        <v>0.73499999999999999</v>
      </c>
      <c r="J555" s="211">
        <v>0.38500000000000001</v>
      </c>
      <c r="K555" s="211">
        <v>0</v>
      </c>
      <c r="L555" s="211">
        <v>0</v>
      </c>
      <c r="M555" s="211">
        <v>40.799999999999997</v>
      </c>
      <c r="N555" s="211">
        <v>0</v>
      </c>
      <c r="O555" s="211">
        <v>0</v>
      </c>
      <c r="P555" s="211">
        <v>2.8319999999999999</v>
      </c>
      <c r="Q555" s="211">
        <v>0</v>
      </c>
      <c r="R555" s="211">
        <v>0</v>
      </c>
      <c r="S555" s="211">
        <v>0</v>
      </c>
      <c r="T555" s="211">
        <v>0</v>
      </c>
      <c r="U555" s="211">
        <v>0</v>
      </c>
      <c r="V555" s="211">
        <v>0</v>
      </c>
      <c r="W555" s="211">
        <v>1.3240000000000001</v>
      </c>
      <c r="X555" s="211">
        <v>5.46</v>
      </c>
      <c r="Y555" s="211">
        <v>19.04</v>
      </c>
      <c r="Z555" s="211">
        <v>0</v>
      </c>
      <c r="AA555" s="211">
        <v>0</v>
      </c>
      <c r="AB555" s="211">
        <v>0</v>
      </c>
      <c r="AC555" s="211">
        <v>0</v>
      </c>
      <c r="AD555" s="211">
        <v>0</v>
      </c>
      <c r="AE555" s="211">
        <v>0</v>
      </c>
      <c r="AF555" s="211">
        <v>0</v>
      </c>
      <c r="AG555" s="211">
        <v>70.575999999999993</v>
      </c>
    </row>
    <row r="556" spans="1:33" x14ac:dyDescent="0.25">
      <c r="A556" s="121"/>
      <c r="B556" s="210" t="s">
        <v>615</v>
      </c>
      <c r="C556" s="211">
        <v>0</v>
      </c>
      <c r="D556" s="211">
        <v>0</v>
      </c>
      <c r="E556" s="211">
        <v>0</v>
      </c>
      <c r="F556" s="211">
        <v>0</v>
      </c>
      <c r="G556" s="211">
        <v>0</v>
      </c>
      <c r="H556" s="211">
        <v>0</v>
      </c>
      <c r="I556" s="211">
        <v>0</v>
      </c>
      <c r="J556" s="211">
        <v>0</v>
      </c>
      <c r="K556" s="211">
        <v>0</v>
      </c>
      <c r="L556" s="211">
        <v>0</v>
      </c>
      <c r="M556" s="211">
        <v>0</v>
      </c>
      <c r="N556" s="211">
        <v>0</v>
      </c>
      <c r="O556" s="211">
        <v>0</v>
      </c>
      <c r="P556" s="211">
        <v>0</v>
      </c>
      <c r="Q556" s="211">
        <v>0</v>
      </c>
      <c r="R556" s="211">
        <v>0</v>
      </c>
      <c r="S556" s="211">
        <v>0</v>
      </c>
      <c r="T556" s="211">
        <v>0</v>
      </c>
      <c r="U556" s="211">
        <v>0</v>
      </c>
      <c r="V556" s="211">
        <v>0</v>
      </c>
      <c r="W556" s="211">
        <v>0</v>
      </c>
      <c r="X556" s="211">
        <v>0</v>
      </c>
      <c r="Y556" s="211">
        <v>0</v>
      </c>
      <c r="Z556" s="211">
        <v>0</v>
      </c>
      <c r="AA556" s="211">
        <v>0</v>
      </c>
      <c r="AB556" s="211">
        <v>0</v>
      </c>
      <c r="AC556" s="211">
        <v>0</v>
      </c>
      <c r="AD556" s="211">
        <v>0</v>
      </c>
      <c r="AE556" s="211">
        <v>0</v>
      </c>
      <c r="AF556" s="211">
        <v>0</v>
      </c>
      <c r="AG556" s="211">
        <v>0</v>
      </c>
    </row>
    <row r="557" spans="1:33" x14ac:dyDescent="0.25">
      <c r="A557" s="207" t="s">
        <v>1185</v>
      </c>
      <c r="B557" s="208"/>
      <c r="C557" s="209"/>
      <c r="D557" s="209"/>
      <c r="E557" s="209"/>
      <c r="F557" s="209"/>
      <c r="G557" s="209"/>
      <c r="H557" s="209"/>
      <c r="I557" s="209"/>
      <c r="J557" s="209"/>
      <c r="K557" s="209"/>
      <c r="L557" s="209"/>
      <c r="M557" s="209"/>
      <c r="N557" s="209"/>
      <c r="O557" s="209"/>
      <c r="P557" s="209"/>
      <c r="Q557" s="209"/>
      <c r="R557" s="209"/>
      <c r="S557" s="209"/>
      <c r="T557" s="209"/>
      <c r="U557" s="209"/>
      <c r="V557" s="209"/>
      <c r="W557" s="209"/>
      <c r="X557" s="209"/>
      <c r="Y557" s="209"/>
      <c r="Z557" s="209"/>
      <c r="AA557" s="209"/>
      <c r="AB557" s="209"/>
      <c r="AC557" s="209"/>
      <c r="AD557" s="209"/>
      <c r="AE557" s="209"/>
      <c r="AF557" s="209"/>
      <c r="AG557" s="209"/>
    </row>
    <row r="558" spans="1:33" x14ac:dyDescent="0.25">
      <c r="A558" s="121"/>
      <c r="B558" s="210" t="s">
        <v>1186</v>
      </c>
      <c r="C558" s="211">
        <v>0</v>
      </c>
      <c r="D558" s="211">
        <v>0</v>
      </c>
      <c r="E558" s="211">
        <v>0</v>
      </c>
      <c r="F558" s="211">
        <v>0</v>
      </c>
      <c r="G558" s="211">
        <v>0</v>
      </c>
      <c r="H558" s="211">
        <v>0</v>
      </c>
      <c r="I558" s="211">
        <v>0</v>
      </c>
      <c r="J558" s="211">
        <v>0</v>
      </c>
      <c r="K558" s="211">
        <v>0</v>
      </c>
      <c r="L558" s="211">
        <v>0</v>
      </c>
      <c r="M558" s="211">
        <v>0</v>
      </c>
      <c r="N558" s="211">
        <v>0</v>
      </c>
      <c r="O558" s="211">
        <v>0</v>
      </c>
      <c r="P558" s="211">
        <v>0</v>
      </c>
      <c r="Q558" s="211">
        <v>0</v>
      </c>
      <c r="R558" s="211">
        <v>0</v>
      </c>
      <c r="S558" s="211">
        <v>0</v>
      </c>
      <c r="T558" s="211">
        <v>0</v>
      </c>
      <c r="U558" s="211">
        <v>0</v>
      </c>
      <c r="V558" s="211">
        <v>0</v>
      </c>
      <c r="W558" s="211">
        <v>0</v>
      </c>
      <c r="X558" s="211">
        <v>0</v>
      </c>
      <c r="Y558" s="211">
        <v>0</v>
      </c>
      <c r="Z558" s="211">
        <v>0</v>
      </c>
      <c r="AA558" s="211">
        <v>0</v>
      </c>
      <c r="AB558" s="211">
        <v>0</v>
      </c>
      <c r="AC558" s="211">
        <v>0</v>
      </c>
      <c r="AD558" s="211">
        <v>0</v>
      </c>
      <c r="AE558" s="211">
        <v>0</v>
      </c>
      <c r="AF558" s="211">
        <v>0</v>
      </c>
      <c r="AG558" s="211">
        <v>0</v>
      </c>
    </row>
    <row r="559" spans="1:33" x14ac:dyDescent="0.25">
      <c r="A559" s="207" t="s">
        <v>616</v>
      </c>
      <c r="B559" s="208"/>
      <c r="C559" s="209"/>
      <c r="D559" s="209"/>
      <c r="E559" s="209"/>
      <c r="F559" s="209"/>
      <c r="G559" s="209"/>
      <c r="H559" s="209"/>
      <c r="I559" s="209"/>
      <c r="J559" s="209"/>
      <c r="K559" s="209"/>
      <c r="L559" s="209"/>
      <c r="M559" s="209"/>
      <c r="N559" s="209"/>
      <c r="O559" s="209"/>
      <c r="P559" s="209"/>
      <c r="Q559" s="209"/>
      <c r="R559" s="209"/>
      <c r="S559" s="209"/>
      <c r="T559" s="209"/>
      <c r="U559" s="209"/>
      <c r="V559" s="209"/>
      <c r="W559" s="209"/>
      <c r="X559" s="209"/>
      <c r="Y559" s="209"/>
      <c r="Z559" s="209"/>
      <c r="AA559" s="209"/>
      <c r="AB559" s="209"/>
      <c r="AC559" s="209"/>
      <c r="AD559" s="209"/>
      <c r="AE559" s="209"/>
      <c r="AF559" s="209"/>
      <c r="AG559" s="209"/>
    </row>
    <row r="560" spans="1:33" x14ac:dyDescent="0.25">
      <c r="A560" s="121"/>
      <c r="B560" s="210" t="s">
        <v>616</v>
      </c>
      <c r="C560" s="211">
        <v>0</v>
      </c>
      <c r="D560" s="211">
        <v>0</v>
      </c>
      <c r="E560" s="211">
        <v>0</v>
      </c>
      <c r="F560" s="211">
        <v>0</v>
      </c>
      <c r="G560" s="211">
        <v>1.9E-2</v>
      </c>
      <c r="H560" s="211">
        <v>0</v>
      </c>
      <c r="I560" s="211">
        <v>0</v>
      </c>
      <c r="J560" s="211">
        <v>0.4</v>
      </c>
      <c r="K560" s="211">
        <v>0</v>
      </c>
      <c r="L560" s="211">
        <v>0</v>
      </c>
      <c r="M560" s="211">
        <v>0</v>
      </c>
      <c r="N560" s="211">
        <v>0</v>
      </c>
      <c r="O560" s="211">
        <v>0</v>
      </c>
      <c r="P560" s="211">
        <v>0</v>
      </c>
      <c r="Q560" s="211">
        <v>0</v>
      </c>
      <c r="R560" s="211">
        <v>0</v>
      </c>
      <c r="S560" s="211">
        <v>4.7699999999999996</v>
      </c>
      <c r="T560" s="211">
        <v>0</v>
      </c>
      <c r="U560" s="211">
        <v>0</v>
      </c>
      <c r="V560" s="211">
        <v>0</v>
      </c>
      <c r="W560" s="211">
        <v>7.3499999999999996E-2</v>
      </c>
      <c r="X560" s="211">
        <v>0</v>
      </c>
      <c r="Y560" s="211">
        <v>0</v>
      </c>
      <c r="Z560" s="211">
        <v>0</v>
      </c>
      <c r="AA560" s="211">
        <v>0</v>
      </c>
      <c r="AB560" s="211">
        <v>0</v>
      </c>
      <c r="AC560" s="211">
        <v>0</v>
      </c>
      <c r="AD560" s="211">
        <v>0</v>
      </c>
      <c r="AE560" s="211">
        <v>0</v>
      </c>
      <c r="AF560" s="211">
        <v>0</v>
      </c>
      <c r="AG560" s="211">
        <v>5.2625000000000002</v>
      </c>
    </row>
    <row r="561" spans="1:33" x14ac:dyDescent="0.25">
      <c r="A561" s="207" t="s">
        <v>134</v>
      </c>
      <c r="B561" s="208"/>
      <c r="C561" s="209"/>
      <c r="D561" s="209"/>
      <c r="E561" s="209"/>
      <c r="F561" s="209"/>
      <c r="G561" s="209"/>
      <c r="H561" s="209"/>
      <c r="I561" s="209"/>
      <c r="J561" s="209"/>
      <c r="K561" s="209"/>
      <c r="L561" s="209"/>
      <c r="M561" s="209"/>
      <c r="N561" s="209"/>
      <c r="O561" s="209"/>
      <c r="P561" s="209"/>
      <c r="Q561" s="209"/>
      <c r="R561" s="209"/>
      <c r="S561" s="209"/>
      <c r="T561" s="209"/>
      <c r="U561" s="209"/>
      <c r="V561" s="209"/>
      <c r="W561" s="209"/>
      <c r="X561" s="209"/>
      <c r="Y561" s="209"/>
      <c r="Z561" s="209"/>
      <c r="AA561" s="209"/>
      <c r="AB561" s="209"/>
      <c r="AC561" s="209"/>
      <c r="AD561" s="209"/>
      <c r="AE561" s="209"/>
      <c r="AF561" s="209"/>
      <c r="AG561" s="209"/>
    </row>
    <row r="562" spans="1:33" x14ac:dyDescent="0.25">
      <c r="A562" s="121"/>
      <c r="B562" s="210" t="s">
        <v>136</v>
      </c>
      <c r="C562" s="211">
        <v>0</v>
      </c>
      <c r="D562" s="211">
        <v>0</v>
      </c>
      <c r="E562" s="211">
        <v>0</v>
      </c>
      <c r="F562" s="211">
        <v>0</v>
      </c>
      <c r="G562" s="211">
        <v>0</v>
      </c>
      <c r="H562" s="211">
        <v>0</v>
      </c>
      <c r="I562" s="211">
        <v>0</v>
      </c>
      <c r="J562" s="211">
        <v>0</v>
      </c>
      <c r="K562" s="211">
        <v>0</v>
      </c>
      <c r="L562" s="211">
        <v>0</v>
      </c>
      <c r="M562" s="211">
        <v>0</v>
      </c>
      <c r="N562" s="211">
        <v>0</v>
      </c>
      <c r="O562" s="211">
        <v>0</v>
      </c>
      <c r="P562" s="211">
        <v>0</v>
      </c>
      <c r="Q562" s="211">
        <v>0</v>
      </c>
      <c r="R562" s="211">
        <v>0</v>
      </c>
      <c r="S562" s="211">
        <v>0</v>
      </c>
      <c r="T562" s="211">
        <v>0</v>
      </c>
      <c r="U562" s="211">
        <v>0</v>
      </c>
      <c r="V562" s="211">
        <v>0</v>
      </c>
      <c r="W562" s="211">
        <v>0</v>
      </c>
      <c r="X562" s="211">
        <v>0</v>
      </c>
      <c r="Y562" s="211">
        <v>0</v>
      </c>
      <c r="Z562" s="211">
        <v>0</v>
      </c>
      <c r="AA562" s="211">
        <v>0</v>
      </c>
      <c r="AB562" s="211">
        <v>0</v>
      </c>
      <c r="AC562" s="211">
        <v>0</v>
      </c>
      <c r="AD562" s="211">
        <v>0</v>
      </c>
      <c r="AE562" s="211">
        <v>0</v>
      </c>
      <c r="AF562" s="211">
        <v>0</v>
      </c>
      <c r="AG562" s="211">
        <v>0</v>
      </c>
    </row>
    <row r="563" spans="1:33" x14ac:dyDescent="0.25">
      <c r="A563" s="207" t="s">
        <v>617</v>
      </c>
      <c r="B563" s="208"/>
      <c r="C563" s="209"/>
      <c r="D563" s="209"/>
      <c r="E563" s="209"/>
      <c r="F563" s="209"/>
      <c r="G563" s="209"/>
      <c r="H563" s="209"/>
      <c r="I563" s="209"/>
      <c r="J563" s="209"/>
      <c r="K563" s="209"/>
      <c r="L563" s="209"/>
      <c r="M563" s="209"/>
      <c r="N563" s="209"/>
      <c r="O563" s="209"/>
      <c r="P563" s="209"/>
      <c r="Q563" s="209"/>
      <c r="R563" s="209"/>
      <c r="S563" s="209"/>
      <c r="T563" s="209"/>
      <c r="U563" s="209"/>
      <c r="V563" s="209"/>
      <c r="W563" s="209"/>
      <c r="X563" s="209"/>
      <c r="Y563" s="209"/>
      <c r="Z563" s="209"/>
      <c r="AA563" s="209"/>
      <c r="AB563" s="209"/>
      <c r="AC563" s="209"/>
      <c r="AD563" s="209"/>
      <c r="AE563" s="209"/>
      <c r="AF563" s="209"/>
      <c r="AG563" s="209"/>
    </row>
    <row r="564" spans="1:33" x14ac:dyDescent="0.25">
      <c r="A564" s="121"/>
      <c r="B564" s="210" t="s">
        <v>135</v>
      </c>
      <c r="C564" s="211">
        <v>0</v>
      </c>
      <c r="D564" s="211">
        <v>0</v>
      </c>
      <c r="E564" s="211">
        <v>0</v>
      </c>
      <c r="F564" s="211">
        <v>0</v>
      </c>
      <c r="G564" s="211">
        <v>0</v>
      </c>
      <c r="H564" s="211">
        <v>0</v>
      </c>
      <c r="I564" s="211">
        <v>0</v>
      </c>
      <c r="J564" s="211">
        <v>0</v>
      </c>
      <c r="K564" s="211">
        <v>0</v>
      </c>
      <c r="L564" s="211">
        <v>0</v>
      </c>
      <c r="M564" s="211">
        <v>0</v>
      </c>
      <c r="N564" s="211">
        <v>0</v>
      </c>
      <c r="O564" s="211">
        <v>0</v>
      </c>
      <c r="P564" s="211">
        <v>0</v>
      </c>
      <c r="Q564" s="211">
        <v>0</v>
      </c>
      <c r="R564" s="211">
        <v>0</v>
      </c>
      <c r="S564" s="211">
        <v>0</v>
      </c>
      <c r="T564" s="211">
        <v>0</v>
      </c>
      <c r="U564" s="211">
        <v>0</v>
      </c>
      <c r="V564" s="211">
        <v>0</v>
      </c>
      <c r="W564" s="211">
        <v>0.37064999999999998</v>
      </c>
      <c r="X564" s="211">
        <v>0</v>
      </c>
      <c r="Y564" s="211">
        <v>0</v>
      </c>
      <c r="Z564" s="211">
        <v>0</v>
      </c>
      <c r="AA564" s="211">
        <v>0</v>
      </c>
      <c r="AB564" s="211">
        <v>0</v>
      </c>
      <c r="AC564" s="211">
        <v>0</v>
      </c>
      <c r="AD564" s="211">
        <v>0</v>
      </c>
      <c r="AE564" s="211">
        <v>0</v>
      </c>
      <c r="AF564" s="211">
        <v>17.1111</v>
      </c>
      <c r="AG564" s="211">
        <v>17.481750000000002</v>
      </c>
    </row>
    <row r="565" spans="1:33" x14ac:dyDescent="0.25">
      <c r="A565" s="207" t="s">
        <v>1187</v>
      </c>
      <c r="B565" s="208"/>
      <c r="C565" s="209"/>
      <c r="D565" s="209"/>
      <c r="E565" s="209"/>
      <c r="F565" s="209"/>
      <c r="G565" s="209"/>
      <c r="H565" s="209"/>
      <c r="I565" s="209"/>
      <c r="J565" s="209"/>
      <c r="K565" s="209"/>
      <c r="L565" s="209"/>
      <c r="M565" s="209"/>
      <c r="N565" s="209"/>
      <c r="O565" s="209"/>
      <c r="P565" s="209"/>
      <c r="Q565" s="209"/>
      <c r="R565" s="209"/>
      <c r="S565" s="209"/>
      <c r="T565" s="209"/>
      <c r="U565" s="209"/>
      <c r="V565" s="209"/>
      <c r="W565" s="209"/>
      <c r="X565" s="209"/>
      <c r="Y565" s="209"/>
      <c r="Z565" s="209"/>
      <c r="AA565" s="209"/>
      <c r="AB565" s="209"/>
      <c r="AC565" s="209"/>
      <c r="AD565" s="209"/>
      <c r="AE565" s="209"/>
      <c r="AF565" s="209"/>
      <c r="AG565" s="209"/>
    </row>
    <row r="566" spans="1:33" x14ac:dyDescent="0.25">
      <c r="A566" s="121"/>
      <c r="B566" s="210" t="s">
        <v>1188</v>
      </c>
      <c r="C566" s="211">
        <v>0</v>
      </c>
      <c r="D566" s="211">
        <v>0</v>
      </c>
      <c r="E566" s="211">
        <v>0</v>
      </c>
      <c r="F566" s="211">
        <v>0</v>
      </c>
      <c r="G566" s="211">
        <v>0</v>
      </c>
      <c r="H566" s="211">
        <v>0</v>
      </c>
      <c r="I566" s="211">
        <v>0</v>
      </c>
      <c r="J566" s="211">
        <v>0</v>
      </c>
      <c r="K566" s="211">
        <v>0</v>
      </c>
      <c r="L566" s="211">
        <v>0</v>
      </c>
      <c r="M566" s="211">
        <v>0</v>
      </c>
      <c r="N566" s="211">
        <v>0</v>
      </c>
      <c r="O566" s="211">
        <v>0</v>
      </c>
      <c r="P566" s="211">
        <v>0</v>
      </c>
      <c r="Q566" s="211">
        <v>0</v>
      </c>
      <c r="R566" s="211">
        <v>0</v>
      </c>
      <c r="S566" s="211">
        <v>0</v>
      </c>
      <c r="T566" s="211">
        <v>0</v>
      </c>
      <c r="U566" s="211">
        <v>0</v>
      </c>
      <c r="V566" s="211">
        <v>0</v>
      </c>
      <c r="W566" s="211">
        <v>0</v>
      </c>
      <c r="X566" s="211">
        <v>0</v>
      </c>
      <c r="Y566" s="211">
        <v>0</v>
      </c>
      <c r="Z566" s="211">
        <v>0</v>
      </c>
      <c r="AA566" s="211">
        <v>0</v>
      </c>
      <c r="AB566" s="211">
        <v>0</v>
      </c>
      <c r="AC566" s="211">
        <v>0</v>
      </c>
      <c r="AD566" s="211">
        <v>0</v>
      </c>
      <c r="AE566" s="211">
        <v>0</v>
      </c>
      <c r="AF566" s="211">
        <v>0</v>
      </c>
      <c r="AG566" s="211">
        <v>0</v>
      </c>
    </row>
    <row r="567" spans="1:33" x14ac:dyDescent="0.25">
      <c r="A567" s="207" t="s">
        <v>618</v>
      </c>
      <c r="B567" s="208"/>
      <c r="C567" s="209"/>
      <c r="D567" s="209"/>
      <c r="E567" s="209"/>
      <c r="F567" s="209"/>
      <c r="G567" s="209"/>
      <c r="H567" s="209"/>
      <c r="I567" s="209"/>
      <c r="J567" s="209"/>
      <c r="K567" s="209"/>
      <c r="L567" s="209"/>
      <c r="M567" s="209"/>
      <c r="N567" s="209"/>
      <c r="O567" s="209"/>
      <c r="P567" s="209"/>
      <c r="Q567" s="209"/>
      <c r="R567" s="209"/>
      <c r="S567" s="209"/>
      <c r="T567" s="209"/>
      <c r="U567" s="209"/>
      <c r="V567" s="209"/>
      <c r="W567" s="209"/>
      <c r="X567" s="209"/>
      <c r="Y567" s="209"/>
      <c r="Z567" s="209"/>
      <c r="AA567" s="209"/>
      <c r="AB567" s="209"/>
      <c r="AC567" s="209"/>
      <c r="AD567" s="209"/>
      <c r="AE567" s="209"/>
      <c r="AF567" s="209"/>
      <c r="AG567" s="209"/>
    </row>
    <row r="568" spans="1:33" x14ac:dyDescent="0.25">
      <c r="A568" s="121"/>
      <c r="B568" s="210" t="s">
        <v>619</v>
      </c>
      <c r="C568" s="211">
        <v>0</v>
      </c>
      <c r="D568" s="211">
        <v>0</v>
      </c>
      <c r="E568" s="211">
        <v>0</v>
      </c>
      <c r="F568" s="211">
        <v>25.576499999999999</v>
      </c>
      <c r="G568" s="211">
        <v>0</v>
      </c>
      <c r="H568" s="211">
        <v>0</v>
      </c>
      <c r="I568" s="211">
        <v>0</v>
      </c>
      <c r="J568" s="211">
        <v>1.4910000000000001</v>
      </c>
      <c r="K568" s="211">
        <v>0</v>
      </c>
      <c r="L568" s="211">
        <v>0</v>
      </c>
      <c r="M568" s="211">
        <v>82.337199999999996</v>
      </c>
      <c r="N568" s="211">
        <v>0</v>
      </c>
      <c r="O568" s="211">
        <v>0</v>
      </c>
      <c r="P568" s="211">
        <v>30.24</v>
      </c>
      <c r="Q568" s="211">
        <v>0</v>
      </c>
      <c r="R568" s="211">
        <v>10.3439</v>
      </c>
      <c r="S568" s="211">
        <v>0</v>
      </c>
      <c r="T568" s="211">
        <v>0</v>
      </c>
      <c r="U568" s="211">
        <v>0</v>
      </c>
      <c r="V568" s="211">
        <v>0</v>
      </c>
      <c r="W568" s="211">
        <v>5.5</v>
      </c>
      <c r="X568" s="211">
        <v>0</v>
      </c>
      <c r="Y568" s="211">
        <v>0</v>
      </c>
      <c r="Z568" s="211">
        <v>0</v>
      </c>
      <c r="AA568" s="211">
        <v>0</v>
      </c>
      <c r="AB568" s="211">
        <v>0</v>
      </c>
      <c r="AC568" s="211">
        <v>0</v>
      </c>
      <c r="AD568" s="211">
        <v>0</v>
      </c>
      <c r="AE568" s="211">
        <v>0</v>
      </c>
      <c r="AF568" s="211">
        <v>0</v>
      </c>
      <c r="AG568" s="211">
        <v>155.48859999999999</v>
      </c>
    </row>
    <row r="569" spans="1:33" x14ac:dyDescent="0.25">
      <c r="A569" s="207" t="s">
        <v>621</v>
      </c>
      <c r="B569" s="208"/>
      <c r="C569" s="209"/>
      <c r="D569" s="209"/>
      <c r="E569" s="209"/>
      <c r="F569" s="209"/>
      <c r="G569" s="209"/>
      <c r="H569" s="209"/>
      <c r="I569" s="209"/>
      <c r="J569" s="209"/>
      <c r="K569" s="209"/>
      <c r="L569" s="209"/>
      <c r="M569" s="209"/>
      <c r="N569" s="209"/>
      <c r="O569" s="209"/>
      <c r="P569" s="209"/>
      <c r="Q569" s="209"/>
      <c r="R569" s="209"/>
      <c r="S569" s="209"/>
      <c r="T569" s="209"/>
      <c r="U569" s="209"/>
      <c r="V569" s="209"/>
      <c r="W569" s="209"/>
      <c r="X569" s="209"/>
      <c r="Y569" s="209"/>
      <c r="Z569" s="209"/>
      <c r="AA569" s="209"/>
      <c r="AB569" s="209"/>
      <c r="AC569" s="209"/>
      <c r="AD569" s="209"/>
      <c r="AE569" s="209"/>
      <c r="AF569" s="209"/>
      <c r="AG569" s="209"/>
    </row>
    <row r="570" spans="1:33" x14ac:dyDescent="0.25">
      <c r="A570" s="121"/>
      <c r="B570" s="210" t="s">
        <v>622</v>
      </c>
      <c r="C570" s="211">
        <v>0</v>
      </c>
      <c r="D570" s="211">
        <v>0</v>
      </c>
      <c r="E570" s="211">
        <v>0</v>
      </c>
      <c r="F570" s="211">
        <v>0</v>
      </c>
      <c r="G570" s="211">
        <v>0</v>
      </c>
      <c r="H570" s="211">
        <v>0</v>
      </c>
      <c r="I570" s="211">
        <v>0</v>
      </c>
      <c r="J570" s="211">
        <v>0</v>
      </c>
      <c r="K570" s="211">
        <v>0</v>
      </c>
      <c r="L570" s="211">
        <v>0</v>
      </c>
      <c r="M570" s="211">
        <v>0</v>
      </c>
      <c r="N570" s="211">
        <v>0</v>
      </c>
      <c r="O570" s="211">
        <v>0</v>
      </c>
      <c r="P570" s="211">
        <v>0</v>
      </c>
      <c r="Q570" s="211">
        <v>0</v>
      </c>
      <c r="R570" s="211">
        <v>0</v>
      </c>
      <c r="S570" s="211">
        <v>0</v>
      </c>
      <c r="T570" s="211">
        <v>0</v>
      </c>
      <c r="U570" s="211">
        <v>0</v>
      </c>
      <c r="V570" s="211">
        <v>0</v>
      </c>
      <c r="W570" s="211">
        <v>0</v>
      </c>
      <c r="X570" s="211">
        <v>0</v>
      </c>
      <c r="Y570" s="211">
        <v>0</v>
      </c>
      <c r="Z570" s="211">
        <v>0</v>
      </c>
      <c r="AA570" s="211">
        <v>0</v>
      </c>
      <c r="AB570" s="211">
        <v>0</v>
      </c>
      <c r="AC570" s="211">
        <v>0</v>
      </c>
      <c r="AD570" s="211">
        <v>0</v>
      </c>
      <c r="AE570" s="211">
        <v>0</v>
      </c>
      <c r="AF570" s="211">
        <v>0</v>
      </c>
      <c r="AG570" s="211">
        <v>0</v>
      </c>
    </row>
    <row r="571" spans="1:33" x14ac:dyDescent="0.25">
      <c r="A571" s="207" t="s">
        <v>623</v>
      </c>
      <c r="B571" s="208"/>
      <c r="C571" s="209"/>
      <c r="D571" s="209"/>
      <c r="E571" s="209"/>
      <c r="F571" s="209"/>
      <c r="G571" s="209"/>
      <c r="H571" s="209"/>
      <c r="I571" s="209"/>
      <c r="J571" s="209"/>
      <c r="K571" s="209"/>
      <c r="L571" s="209"/>
      <c r="M571" s="209"/>
      <c r="N571" s="209"/>
      <c r="O571" s="209"/>
      <c r="P571" s="209"/>
      <c r="Q571" s="209"/>
      <c r="R571" s="209"/>
      <c r="S571" s="209"/>
      <c r="T571" s="209"/>
      <c r="U571" s="209"/>
      <c r="V571" s="209"/>
      <c r="W571" s="209"/>
      <c r="X571" s="209"/>
      <c r="Y571" s="209"/>
      <c r="Z571" s="209"/>
      <c r="AA571" s="209"/>
      <c r="AB571" s="209"/>
      <c r="AC571" s="209"/>
      <c r="AD571" s="209"/>
      <c r="AE571" s="209"/>
      <c r="AF571" s="209"/>
      <c r="AG571" s="209"/>
    </row>
    <row r="572" spans="1:33" x14ac:dyDescent="0.25">
      <c r="A572" s="121"/>
      <c r="B572" s="210" t="s">
        <v>624</v>
      </c>
      <c r="C572" s="211">
        <v>0</v>
      </c>
      <c r="D572" s="211">
        <v>0</v>
      </c>
      <c r="E572" s="211">
        <v>0</v>
      </c>
      <c r="F572" s="211">
        <v>0</v>
      </c>
      <c r="G572" s="211">
        <v>42.6</v>
      </c>
      <c r="H572" s="211">
        <v>0</v>
      </c>
      <c r="I572" s="211">
        <v>0</v>
      </c>
      <c r="J572" s="211">
        <v>0.53</v>
      </c>
      <c r="K572" s="211">
        <v>0</v>
      </c>
      <c r="L572" s="211">
        <v>0</v>
      </c>
      <c r="M572" s="211">
        <v>276.041</v>
      </c>
      <c r="N572" s="211">
        <v>0</v>
      </c>
      <c r="O572" s="211">
        <v>0</v>
      </c>
      <c r="P572" s="211">
        <v>48</v>
      </c>
      <c r="Q572" s="211">
        <v>59.1</v>
      </c>
      <c r="R572" s="211">
        <v>0</v>
      </c>
      <c r="S572" s="211">
        <v>0</v>
      </c>
      <c r="T572" s="211">
        <v>0</v>
      </c>
      <c r="U572" s="211">
        <v>0</v>
      </c>
      <c r="V572" s="211">
        <v>0</v>
      </c>
      <c r="W572" s="211">
        <v>6.7520499999999997</v>
      </c>
      <c r="X572" s="211">
        <v>0</v>
      </c>
      <c r="Y572" s="211">
        <v>0</v>
      </c>
      <c r="Z572" s="211">
        <v>0</v>
      </c>
      <c r="AA572" s="211">
        <v>0</v>
      </c>
      <c r="AB572" s="211">
        <v>0</v>
      </c>
      <c r="AC572" s="211">
        <v>0</v>
      </c>
      <c r="AD572" s="211">
        <v>0</v>
      </c>
      <c r="AE572" s="211">
        <v>0</v>
      </c>
      <c r="AF572" s="211">
        <v>0</v>
      </c>
      <c r="AG572" s="211">
        <v>433.02305000000001</v>
      </c>
    </row>
    <row r="573" spans="1:33" x14ac:dyDescent="0.25">
      <c r="A573" s="207" t="s">
        <v>625</v>
      </c>
      <c r="B573" s="208"/>
      <c r="C573" s="209"/>
      <c r="D573" s="209"/>
      <c r="E573" s="209"/>
      <c r="F573" s="209"/>
      <c r="G573" s="209"/>
      <c r="H573" s="209"/>
      <c r="I573" s="209"/>
      <c r="J573" s="209"/>
      <c r="K573" s="209"/>
      <c r="L573" s="209"/>
      <c r="M573" s="209"/>
      <c r="N573" s="209"/>
      <c r="O573" s="209"/>
      <c r="P573" s="209"/>
      <c r="Q573" s="209"/>
      <c r="R573" s="209"/>
      <c r="S573" s="209"/>
      <c r="T573" s="209"/>
      <c r="U573" s="209"/>
      <c r="V573" s="209"/>
      <c r="W573" s="209"/>
      <c r="X573" s="209"/>
      <c r="Y573" s="209"/>
      <c r="Z573" s="209"/>
      <c r="AA573" s="209"/>
      <c r="AB573" s="209"/>
      <c r="AC573" s="209"/>
      <c r="AD573" s="209"/>
      <c r="AE573" s="209"/>
      <c r="AF573" s="209"/>
      <c r="AG573" s="209"/>
    </row>
    <row r="574" spans="1:33" x14ac:dyDescent="0.25">
      <c r="A574" s="121"/>
      <c r="B574" s="210" t="s">
        <v>626</v>
      </c>
      <c r="C574" s="211">
        <v>0</v>
      </c>
      <c r="D574" s="211">
        <v>0</v>
      </c>
      <c r="E574" s="211">
        <v>0</v>
      </c>
      <c r="F574" s="211">
        <v>0</v>
      </c>
      <c r="G574" s="211">
        <v>6.7000000000000004E-2</v>
      </c>
      <c r="H574" s="211">
        <v>0</v>
      </c>
      <c r="I574" s="211">
        <v>0</v>
      </c>
      <c r="J574" s="211">
        <v>0</v>
      </c>
      <c r="K574" s="211">
        <v>0</v>
      </c>
      <c r="L574" s="211">
        <v>0</v>
      </c>
      <c r="M574" s="211">
        <v>0</v>
      </c>
      <c r="N574" s="211">
        <v>0</v>
      </c>
      <c r="O574" s="211">
        <v>0</v>
      </c>
      <c r="P574" s="211">
        <v>0</v>
      </c>
      <c r="Q574" s="211">
        <v>0</v>
      </c>
      <c r="R574" s="211">
        <v>0</v>
      </c>
      <c r="S574" s="211">
        <v>0</v>
      </c>
      <c r="T574" s="211">
        <v>0</v>
      </c>
      <c r="U574" s="211">
        <v>0</v>
      </c>
      <c r="V574" s="211">
        <v>0</v>
      </c>
      <c r="W574" s="211">
        <v>9.887E-2</v>
      </c>
      <c r="X574" s="211">
        <v>0</v>
      </c>
      <c r="Y574" s="211">
        <v>5.4180000000000001</v>
      </c>
      <c r="Z574" s="211">
        <v>0</v>
      </c>
      <c r="AA574" s="211">
        <v>0</v>
      </c>
      <c r="AB574" s="211">
        <v>0</v>
      </c>
      <c r="AC574" s="211">
        <v>0</v>
      </c>
      <c r="AD574" s="211">
        <v>0</v>
      </c>
      <c r="AE574" s="211">
        <v>0</v>
      </c>
      <c r="AF574" s="211">
        <v>0</v>
      </c>
      <c r="AG574" s="211">
        <v>5.5838700000000001</v>
      </c>
    </row>
    <row r="575" spans="1:33" x14ac:dyDescent="0.25">
      <c r="A575" s="121"/>
      <c r="B575" s="210" t="s">
        <v>627</v>
      </c>
      <c r="C575" s="211">
        <v>0</v>
      </c>
      <c r="D575" s="211">
        <v>0</v>
      </c>
      <c r="E575" s="211">
        <v>0</v>
      </c>
      <c r="F575" s="211">
        <v>0</v>
      </c>
      <c r="G575" s="211">
        <v>0.28100000000000003</v>
      </c>
      <c r="H575" s="211">
        <v>0</v>
      </c>
      <c r="I575" s="211">
        <v>0</v>
      </c>
      <c r="J575" s="211">
        <v>0</v>
      </c>
      <c r="K575" s="211">
        <v>0</v>
      </c>
      <c r="L575" s="211">
        <v>0</v>
      </c>
      <c r="M575" s="211">
        <v>0</v>
      </c>
      <c r="N575" s="211">
        <v>0</v>
      </c>
      <c r="O575" s="211">
        <v>0</v>
      </c>
      <c r="P575" s="211">
        <v>0</v>
      </c>
      <c r="Q575" s="211">
        <v>0</v>
      </c>
      <c r="R575" s="211">
        <v>0</v>
      </c>
      <c r="S575" s="211">
        <v>2.593</v>
      </c>
      <c r="T575" s="211">
        <v>0</v>
      </c>
      <c r="U575" s="211">
        <v>0</v>
      </c>
      <c r="V575" s="211">
        <v>0</v>
      </c>
      <c r="W575" s="211">
        <v>0.14000000000000001</v>
      </c>
      <c r="X575" s="211">
        <v>0</v>
      </c>
      <c r="Y575" s="211">
        <v>6.3680000000000003</v>
      </c>
      <c r="Z575" s="211">
        <v>0</v>
      </c>
      <c r="AA575" s="211">
        <v>0</v>
      </c>
      <c r="AB575" s="211">
        <v>0</v>
      </c>
      <c r="AC575" s="211">
        <v>0</v>
      </c>
      <c r="AD575" s="211">
        <v>0</v>
      </c>
      <c r="AE575" s="211">
        <v>0</v>
      </c>
      <c r="AF575" s="211">
        <v>0</v>
      </c>
      <c r="AG575" s="211">
        <v>9.3820000000000014</v>
      </c>
    </row>
    <row r="576" spans="1:33" x14ac:dyDescent="0.25">
      <c r="A576" s="121"/>
      <c r="B576" s="210" t="s">
        <v>628</v>
      </c>
      <c r="C576" s="211">
        <v>0</v>
      </c>
      <c r="D576" s="211">
        <v>170.178</v>
      </c>
      <c r="E576" s="211">
        <v>0</v>
      </c>
      <c r="F576" s="211">
        <v>0</v>
      </c>
      <c r="G576" s="211">
        <v>1.4239999999999999</v>
      </c>
      <c r="H576" s="211">
        <v>0</v>
      </c>
      <c r="I576" s="211">
        <v>0</v>
      </c>
      <c r="J576" s="211">
        <v>0.60908300000000004</v>
      </c>
      <c r="K576" s="211">
        <v>0</v>
      </c>
      <c r="L576" s="211">
        <v>0</v>
      </c>
      <c r="M576" s="211">
        <v>0</v>
      </c>
      <c r="N576" s="211">
        <v>0</v>
      </c>
      <c r="O576" s="211">
        <v>19.2532</v>
      </c>
      <c r="P576" s="211">
        <v>60.545999999999999</v>
      </c>
      <c r="Q576" s="211">
        <v>0</v>
      </c>
      <c r="R576" s="211">
        <v>0</v>
      </c>
      <c r="S576" s="211">
        <v>50.084000000000003</v>
      </c>
      <c r="T576" s="211">
        <v>0</v>
      </c>
      <c r="U576" s="211">
        <v>0</v>
      </c>
      <c r="V576" s="211">
        <v>31.010999999999999</v>
      </c>
      <c r="W576" s="211">
        <v>11.280799999999999</v>
      </c>
      <c r="X576" s="211">
        <v>0</v>
      </c>
      <c r="Y576" s="211">
        <v>0</v>
      </c>
      <c r="Z576" s="211">
        <v>0</v>
      </c>
      <c r="AA576" s="211">
        <v>0</v>
      </c>
      <c r="AB576" s="211">
        <v>0</v>
      </c>
      <c r="AC576" s="211">
        <v>0</v>
      </c>
      <c r="AD576" s="211">
        <v>0</v>
      </c>
      <c r="AE576" s="211">
        <v>0.97643599999999997</v>
      </c>
      <c r="AF576" s="211">
        <v>0</v>
      </c>
      <c r="AG576" s="211">
        <v>345.36251900000002</v>
      </c>
    </row>
    <row r="577" spans="1:33" x14ac:dyDescent="0.25">
      <c r="A577" s="207" t="s">
        <v>629</v>
      </c>
      <c r="B577" s="208"/>
      <c r="C577" s="209"/>
      <c r="D577" s="209"/>
      <c r="E577" s="209"/>
      <c r="F577" s="209"/>
      <c r="G577" s="209"/>
      <c r="H577" s="209"/>
      <c r="I577" s="209"/>
      <c r="J577" s="209"/>
      <c r="K577" s="209"/>
      <c r="L577" s="209"/>
      <c r="M577" s="209"/>
      <c r="N577" s="209"/>
      <c r="O577" s="209"/>
      <c r="P577" s="209"/>
      <c r="Q577" s="209"/>
      <c r="R577" s="209"/>
      <c r="S577" s="209"/>
      <c r="T577" s="209"/>
      <c r="U577" s="209"/>
      <c r="V577" s="209"/>
      <c r="W577" s="209"/>
      <c r="X577" s="209"/>
      <c r="Y577" s="209"/>
      <c r="Z577" s="209"/>
      <c r="AA577" s="209"/>
      <c r="AB577" s="209"/>
      <c r="AC577" s="209"/>
      <c r="AD577" s="209"/>
      <c r="AE577" s="209"/>
      <c r="AF577" s="209"/>
      <c r="AG577" s="209"/>
    </row>
    <row r="578" spans="1:33" x14ac:dyDescent="0.25">
      <c r="A578" s="121"/>
      <c r="B578" s="210" t="s">
        <v>630</v>
      </c>
      <c r="C578" s="211">
        <v>0</v>
      </c>
      <c r="D578" s="211">
        <v>0</v>
      </c>
      <c r="E578" s="211">
        <v>0</v>
      </c>
      <c r="F578" s="211">
        <v>0</v>
      </c>
      <c r="G578" s="211">
        <v>0</v>
      </c>
      <c r="H578" s="211">
        <v>0</v>
      </c>
      <c r="I578" s="211">
        <v>0</v>
      </c>
      <c r="J578" s="211">
        <v>0.1022</v>
      </c>
      <c r="K578" s="211">
        <v>0</v>
      </c>
      <c r="L578" s="211">
        <v>0</v>
      </c>
      <c r="M578" s="211">
        <v>0</v>
      </c>
      <c r="N578" s="211">
        <v>0</v>
      </c>
      <c r="O578" s="211">
        <v>0</v>
      </c>
      <c r="P578" s="211">
        <v>0</v>
      </c>
      <c r="Q578" s="211">
        <v>0</v>
      </c>
      <c r="R578" s="211">
        <v>0</v>
      </c>
      <c r="S578" s="211">
        <v>0</v>
      </c>
      <c r="T578" s="211">
        <v>0</v>
      </c>
      <c r="U578" s="211">
        <v>0</v>
      </c>
      <c r="V578" s="211">
        <v>0</v>
      </c>
      <c r="W578" s="211">
        <v>3.4269000000000001E-2</v>
      </c>
      <c r="X578" s="211">
        <v>0</v>
      </c>
      <c r="Y578" s="211">
        <v>2.7225999999999999</v>
      </c>
      <c r="Z578" s="211">
        <v>0</v>
      </c>
      <c r="AA578" s="211">
        <v>0</v>
      </c>
      <c r="AB578" s="211">
        <v>0</v>
      </c>
      <c r="AC578" s="211">
        <v>0</v>
      </c>
      <c r="AD578" s="211">
        <v>0</v>
      </c>
      <c r="AE578" s="211">
        <v>0</v>
      </c>
      <c r="AF578" s="211">
        <v>0</v>
      </c>
      <c r="AG578" s="211">
        <v>2.8590689999999999</v>
      </c>
    </row>
    <row r="579" spans="1:33" x14ac:dyDescent="0.25">
      <c r="A579" s="121"/>
      <c r="B579" s="210" t="s">
        <v>631</v>
      </c>
      <c r="C579" s="211">
        <v>0</v>
      </c>
      <c r="D579" s="211">
        <v>0</v>
      </c>
      <c r="E579" s="211">
        <v>0</v>
      </c>
      <c r="F579" s="211">
        <v>0</v>
      </c>
      <c r="G579" s="211">
        <v>0</v>
      </c>
      <c r="H579" s="211">
        <v>0</v>
      </c>
      <c r="I579" s="211">
        <v>2.5000000000000001E-4</v>
      </c>
      <c r="J579" s="211">
        <v>0</v>
      </c>
      <c r="K579" s="211">
        <v>0</v>
      </c>
      <c r="L579" s="211">
        <v>0</v>
      </c>
      <c r="M579" s="211">
        <v>0</v>
      </c>
      <c r="N579" s="211">
        <v>0</v>
      </c>
      <c r="O579" s="211">
        <v>0</v>
      </c>
      <c r="P579" s="211">
        <v>0</v>
      </c>
      <c r="Q579" s="211">
        <v>0</v>
      </c>
      <c r="R579" s="211">
        <v>0</v>
      </c>
      <c r="S579" s="211">
        <v>0</v>
      </c>
      <c r="T579" s="211">
        <v>0</v>
      </c>
      <c r="U579" s="211">
        <v>0</v>
      </c>
      <c r="V579" s="211">
        <v>0</v>
      </c>
      <c r="W579" s="211">
        <v>1.2663000000000001E-2</v>
      </c>
      <c r="X579" s="211">
        <v>0</v>
      </c>
      <c r="Y579" s="211">
        <v>1.1273200000000001</v>
      </c>
      <c r="Z579" s="211">
        <v>0</v>
      </c>
      <c r="AA579" s="211">
        <v>0</v>
      </c>
      <c r="AB579" s="211">
        <v>0</v>
      </c>
      <c r="AC579" s="211">
        <v>0</v>
      </c>
      <c r="AD579" s="211">
        <v>0</v>
      </c>
      <c r="AE579" s="211">
        <v>0</v>
      </c>
      <c r="AF579" s="211">
        <v>0</v>
      </c>
      <c r="AG579" s="211">
        <v>1.1402330000000001</v>
      </c>
    </row>
    <row r="580" spans="1:33" x14ac:dyDescent="0.25">
      <c r="A580" s="121"/>
      <c r="B580" s="210" t="s">
        <v>632</v>
      </c>
      <c r="C580" s="211">
        <v>0</v>
      </c>
      <c r="D580" s="211">
        <v>0</v>
      </c>
      <c r="E580" s="211">
        <v>0</v>
      </c>
      <c r="F580" s="211">
        <v>0</v>
      </c>
      <c r="G580" s="211">
        <v>0</v>
      </c>
      <c r="H580" s="211">
        <v>0</v>
      </c>
      <c r="I580" s="211">
        <v>0</v>
      </c>
      <c r="J580" s="211">
        <v>0.46333299999999999</v>
      </c>
      <c r="K580" s="211">
        <v>0</v>
      </c>
      <c r="L580" s="211">
        <v>0</v>
      </c>
      <c r="M580" s="211">
        <v>0</v>
      </c>
      <c r="N580" s="211">
        <v>0</v>
      </c>
      <c r="O580" s="211">
        <v>0</v>
      </c>
      <c r="P580" s="211">
        <v>0</v>
      </c>
      <c r="Q580" s="211">
        <v>30.916</v>
      </c>
      <c r="R580" s="211">
        <v>0</v>
      </c>
      <c r="S580" s="211">
        <v>0</v>
      </c>
      <c r="T580" s="211">
        <v>0</v>
      </c>
      <c r="U580" s="211">
        <v>0</v>
      </c>
      <c r="V580" s="211">
        <v>0</v>
      </c>
      <c r="W580" s="211">
        <v>0.57499999999999996</v>
      </c>
      <c r="X580" s="211">
        <v>0</v>
      </c>
      <c r="Y580" s="211">
        <v>3.0930200000000001</v>
      </c>
      <c r="Z580" s="211">
        <v>0</v>
      </c>
      <c r="AA580" s="211">
        <v>0</v>
      </c>
      <c r="AB580" s="211">
        <v>0</v>
      </c>
      <c r="AC580" s="211">
        <v>0</v>
      </c>
      <c r="AD580" s="211">
        <v>0</v>
      </c>
      <c r="AE580" s="211">
        <v>0</v>
      </c>
      <c r="AF580" s="211">
        <v>24.874400000000001</v>
      </c>
      <c r="AG580" s="211">
        <v>59.921753000000002</v>
      </c>
    </row>
    <row r="581" spans="1:33" x14ac:dyDescent="0.25">
      <c r="A581" s="207" t="s">
        <v>633</v>
      </c>
      <c r="B581" s="208"/>
      <c r="C581" s="209"/>
      <c r="D581" s="209"/>
      <c r="E581" s="209"/>
      <c r="F581" s="209"/>
      <c r="G581" s="209"/>
      <c r="H581" s="209"/>
      <c r="I581" s="209"/>
      <c r="J581" s="209"/>
      <c r="K581" s="209"/>
      <c r="L581" s="209"/>
      <c r="M581" s="209"/>
      <c r="N581" s="209"/>
      <c r="O581" s="209"/>
      <c r="P581" s="209"/>
      <c r="Q581" s="209"/>
      <c r="R581" s="209"/>
      <c r="S581" s="209"/>
      <c r="T581" s="209"/>
      <c r="U581" s="209"/>
      <c r="V581" s="209"/>
      <c r="W581" s="209"/>
      <c r="X581" s="209"/>
      <c r="Y581" s="209"/>
      <c r="Z581" s="209"/>
      <c r="AA581" s="209"/>
      <c r="AB581" s="209"/>
      <c r="AC581" s="209"/>
      <c r="AD581" s="209"/>
      <c r="AE581" s="209"/>
      <c r="AF581" s="209"/>
      <c r="AG581" s="209"/>
    </row>
    <row r="582" spans="1:33" x14ac:dyDescent="0.25">
      <c r="A582" s="121"/>
      <c r="B582" s="210" t="s">
        <v>634</v>
      </c>
      <c r="C582" s="211">
        <v>0</v>
      </c>
      <c r="D582" s="211">
        <v>0</v>
      </c>
      <c r="E582" s="211">
        <v>0</v>
      </c>
      <c r="F582" s="211">
        <v>0</v>
      </c>
      <c r="G582" s="211">
        <v>0</v>
      </c>
      <c r="H582" s="211">
        <v>0</v>
      </c>
      <c r="I582" s="211">
        <v>0</v>
      </c>
      <c r="J582" s="211">
        <v>1.62</v>
      </c>
      <c r="K582" s="211">
        <v>0</v>
      </c>
      <c r="L582" s="211">
        <v>0</v>
      </c>
      <c r="M582" s="211">
        <v>0</v>
      </c>
      <c r="N582" s="211">
        <v>0</v>
      </c>
      <c r="O582" s="211">
        <v>0</v>
      </c>
      <c r="P582" s="211">
        <v>0</v>
      </c>
      <c r="Q582" s="211">
        <v>0</v>
      </c>
      <c r="R582" s="211">
        <v>0</v>
      </c>
      <c r="S582" s="211">
        <v>0</v>
      </c>
      <c r="T582" s="211">
        <v>0</v>
      </c>
      <c r="U582" s="211">
        <v>0</v>
      </c>
      <c r="V582" s="211">
        <v>0</v>
      </c>
      <c r="W582" s="211">
        <v>0.16600000000000001</v>
      </c>
      <c r="X582" s="211">
        <v>0</v>
      </c>
      <c r="Y582" s="211">
        <v>7.4729999999999999</v>
      </c>
      <c r="Z582" s="211">
        <v>0</v>
      </c>
      <c r="AA582" s="211">
        <v>0</v>
      </c>
      <c r="AB582" s="211">
        <v>0</v>
      </c>
      <c r="AC582" s="211">
        <v>0</v>
      </c>
      <c r="AD582" s="211">
        <v>0</v>
      </c>
      <c r="AE582" s="211">
        <v>0</v>
      </c>
      <c r="AF582" s="211">
        <v>0</v>
      </c>
      <c r="AG582" s="211">
        <v>9.2590000000000003</v>
      </c>
    </row>
    <row r="583" spans="1:33" x14ac:dyDescent="0.25">
      <c r="A583" s="121"/>
      <c r="B583" s="210" t="s">
        <v>635</v>
      </c>
      <c r="C583" s="211">
        <v>0</v>
      </c>
      <c r="D583" s="211">
        <v>0</v>
      </c>
      <c r="E583" s="211">
        <v>0</v>
      </c>
      <c r="F583" s="211">
        <v>0</v>
      </c>
      <c r="G583" s="211">
        <v>0</v>
      </c>
      <c r="H583" s="211">
        <v>0</v>
      </c>
      <c r="I583" s="211">
        <v>0</v>
      </c>
      <c r="J583" s="211">
        <v>0.03</v>
      </c>
      <c r="K583" s="211">
        <v>0</v>
      </c>
      <c r="L583" s="211">
        <v>0</v>
      </c>
      <c r="M583" s="211">
        <v>0</v>
      </c>
      <c r="N583" s="211">
        <v>0</v>
      </c>
      <c r="O583" s="211">
        <v>0</v>
      </c>
      <c r="P583" s="211">
        <v>0</v>
      </c>
      <c r="Q583" s="211">
        <v>0</v>
      </c>
      <c r="R583" s="211">
        <v>0</v>
      </c>
      <c r="S583" s="211">
        <v>0</v>
      </c>
      <c r="T583" s="211">
        <v>0</v>
      </c>
      <c r="U583" s="211">
        <v>0</v>
      </c>
      <c r="V583" s="211">
        <v>0</v>
      </c>
      <c r="W583" s="211">
        <v>0.29699999999999999</v>
      </c>
      <c r="X583" s="211">
        <v>0</v>
      </c>
      <c r="Y583" s="211">
        <v>10.32</v>
      </c>
      <c r="Z583" s="211">
        <v>0</v>
      </c>
      <c r="AA583" s="211">
        <v>0</v>
      </c>
      <c r="AB583" s="211">
        <v>0</v>
      </c>
      <c r="AC583" s="211">
        <v>0</v>
      </c>
      <c r="AD583" s="211">
        <v>0</v>
      </c>
      <c r="AE583" s="211">
        <v>0</v>
      </c>
      <c r="AF583" s="211">
        <v>0</v>
      </c>
      <c r="AG583" s="211">
        <v>10.647</v>
      </c>
    </row>
    <row r="584" spans="1:33" x14ac:dyDescent="0.25">
      <c r="A584" s="121"/>
      <c r="B584" s="210" t="s">
        <v>636</v>
      </c>
      <c r="C584" s="211">
        <v>0</v>
      </c>
      <c r="D584" s="211">
        <v>0</v>
      </c>
      <c r="E584" s="211">
        <v>0</v>
      </c>
      <c r="F584" s="211">
        <v>0</v>
      </c>
      <c r="G584" s="211">
        <v>0</v>
      </c>
      <c r="H584" s="211">
        <v>0</v>
      </c>
      <c r="I584" s="211">
        <v>0</v>
      </c>
      <c r="J584" s="211">
        <v>0.39</v>
      </c>
      <c r="K584" s="211">
        <v>0</v>
      </c>
      <c r="L584" s="211">
        <v>0</v>
      </c>
      <c r="M584" s="211">
        <v>0</v>
      </c>
      <c r="N584" s="211">
        <v>0</v>
      </c>
      <c r="O584" s="211">
        <v>0</v>
      </c>
      <c r="P584" s="211">
        <v>0</v>
      </c>
      <c r="Q584" s="211">
        <v>0</v>
      </c>
      <c r="R584" s="211">
        <v>0</v>
      </c>
      <c r="S584" s="211">
        <v>0</v>
      </c>
      <c r="T584" s="211">
        <v>0</v>
      </c>
      <c r="U584" s="211">
        <v>0</v>
      </c>
      <c r="V584" s="211">
        <v>0</v>
      </c>
      <c r="W584" s="211">
        <v>3.4000000000000002E-2</v>
      </c>
      <c r="X584" s="211">
        <v>0</v>
      </c>
      <c r="Y584" s="211">
        <v>0</v>
      </c>
      <c r="Z584" s="211">
        <v>0</v>
      </c>
      <c r="AA584" s="211">
        <v>0</v>
      </c>
      <c r="AB584" s="211">
        <v>0</v>
      </c>
      <c r="AC584" s="211">
        <v>0</v>
      </c>
      <c r="AD584" s="211">
        <v>0</v>
      </c>
      <c r="AE584" s="211">
        <v>0</v>
      </c>
      <c r="AF584" s="211">
        <v>10.676500000000001</v>
      </c>
      <c r="AG584" s="211">
        <v>11.1005</v>
      </c>
    </row>
    <row r="585" spans="1:33" x14ac:dyDescent="0.25">
      <c r="A585" s="121"/>
      <c r="B585" s="210" t="s">
        <v>637</v>
      </c>
      <c r="C585" s="211">
        <v>0.46117599999999997</v>
      </c>
      <c r="D585" s="211">
        <v>254.3</v>
      </c>
      <c r="E585" s="211">
        <v>0</v>
      </c>
      <c r="F585" s="211">
        <v>115.86</v>
      </c>
      <c r="G585" s="211">
        <v>5.899</v>
      </c>
      <c r="H585" s="211">
        <v>0</v>
      </c>
      <c r="I585" s="211">
        <v>8.83</v>
      </c>
      <c r="J585" s="211">
        <v>32.049999999999997</v>
      </c>
      <c r="K585" s="211">
        <v>0</v>
      </c>
      <c r="L585" s="211">
        <v>0</v>
      </c>
      <c r="M585" s="211">
        <v>1.9</v>
      </c>
      <c r="N585" s="211">
        <v>0</v>
      </c>
      <c r="O585" s="211">
        <v>90.942999999999998</v>
      </c>
      <c r="P585" s="211">
        <v>168.2</v>
      </c>
      <c r="Q585" s="211">
        <v>0</v>
      </c>
      <c r="R585" s="211">
        <v>48.7</v>
      </c>
      <c r="S585" s="211">
        <v>81.599999999999994</v>
      </c>
      <c r="T585" s="211">
        <v>0</v>
      </c>
      <c r="U585" s="211">
        <v>0</v>
      </c>
      <c r="V585" s="211">
        <v>39.5</v>
      </c>
      <c r="W585" s="211">
        <v>34.232700000000001</v>
      </c>
      <c r="X585" s="211">
        <v>0</v>
      </c>
      <c r="Y585" s="211">
        <v>12.33</v>
      </c>
      <c r="Z585" s="211">
        <v>0</v>
      </c>
      <c r="AA585" s="211">
        <v>16.350000000000001</v>
      </c>
      <c r="AB585" s="211">
        <v>30.8811</v>
      </c>
      <c r="AC585" s="211">
        <v>0</v>
      </c>
      <c r="AD585" s="211">
        <v>0</v>
      </c>
      <c r="AE585" s="211">
        <v>0</v>
      </c>
      <c r="AF585" s="211">
        <v>28.5</v>
      </c>
      <c r="AG585" s="211">
        <v>970.5369760000001</v>
      </c>
    </row>
    <row r="586" spans="1:33" x14ac:dyDescent="0.25">
      <c r="A586" s="207" t="s">
        <v>638</v>
      </c>
      <c r="B586" s="208"/>
      <c r="C586" s="209"/>
      <c r="D586" s="209"/>
      <c r="E586" s="209"/>
      <c r="F586" s="209"/>
      <c r="G586" s="209"/>
      <c r="H586" s="209"/>
      <c r="I586" s="209"/>
      <c r="J586" s="209"/>
      <c r="K586" s="209"/>
      <c r="L586" s="209"/>
      <c r="M586" s="209"/>
      <c r="N586" s="209"/>
      <c r="O586" s="209"/>
      <c r="P586" s="209"/>
      <c r="Q586" s="209"/>
      <c r="R586" s="209"/>
      <c r="S586" s="209"/>
      <c r="T586" s="209"/>
      <c r="U586" s="209"/>
      <c r="V586" s="209"/>
      <c r="W586" s="209"/>
      <c r="X586" s="209"/>
      <c r="Y586" s="209"/>
      <c r="Z586" s="209"/>
      <c r="AA586" s="209"/>
      <c r="AB586" s="209"/>
      <c r="AC586" s="209"/>
      <c r="AD586" s="209"/>
      <c r="AE586" s="209"/>
      <c r="AF586" s="209"/>
      <c r="AG586" s="209"/>
    </row>
    <row r="587" spans="1:33" x14ac:dyDescent="0.25">
      <c r="A587" s="121"/>
      <c r="B587" s="210" t="s">
        <v>639</v>
      </c>
      <c r="C587" s="211">
        <v>0</v>
      </c>
      <c r="D587" s="211">
        <v>0</v>
      </c>
      <c r="E587" s="211">
        <v>0</v>
      </c>
      <c r="F587" s="211">
        <v>0.53</v>
      </c>
      <c r="G587" s="211">
        <v>0</v>
      </c>
      <c r="H587" s="211">
        <v>0</v>
      </c>
      <c r="I587" s="211">
        <v>0</v>
      </c>
      <c r="J587" s="211">
        <v>0.87</v>
      </c>
      <c r="K587" s="211">
        <v>0</v>
      </c>
      <c r="L587" s="211">
        <v>0</v>
      </c>
      <c r="M587" s="211">
        <v>7.0170000000000003</v>
      </c>
      <c r="N587" s="211">
        <v>0</v>
      </c>
      <c r="O587" s="211">
        <v>0</v>
      </c>
      <c r="P587" s="211">
        <v>1.7330000000000001</v>
      </c>
      <c r="Q587" s="211">
        <v>0</v>
      </c>
      <c r="R587" s="211">
        <v>0</v>
      </c>
      <c r="S587" s="211">
        <v>2.6440000000000001</v>
      </c>
      <c r="T587" s="211">
        <v>0</v>
      </c>
      <c r="U587" s="211">
        <v>0</v>
      </c>
      <c r="V587" s="211">
        <v>0.9</v>
      </c>
      <c r="W587" s="211">
        <v>0.56699999999999995</v>
      </c>
      <c r="X587" s="211">
        <v>0</v>
      </c>
      <c r="Y587" s="211">
        <v>10.63</v>
      </c>
      <c r="Z587" s="211">
        <v>0</v>
      </c>
      <c r="AA587" s="211">
        <v>0</v>
      </c>
      <c r="AB587" s="211">
        <v>0</v>
      </c>
      <c r="AC587" s="211">
        <v>0</v>
      </c>
      <c r="AD587" s="211">
        <v>0</v>
      </c>
      <c r="AE587" s="211">
        <v>0</v>
      </c>
      <c r="AF587" s="211">
        <v>5.78</v>
      </c>
      <c r="AG587" s="211">
        <v>30.671000000000003</v>
      </c>
    </row>
    <row r="588" spans="1:33" x14ac:dyDescent="0.25">
      <c r="A588" s="121"/>
      <c r="B588" s="210" t="s">
        <v>641</v>
      </c>
      <c r="C588" s="211">
        <v>0</v>
      </c>
      <c r="D588" s="211">
        <v>0</v>
      </c>
      <c r="E588" s="211">
        <v>0</v>
      </c>
      <c r="F588" s="211">
        <v>0.56100000000000005</v>
      </c>
      <c r="G588" s="211">
        <v>0</v>
      </c>
      <c r="H588" s="211">
        <v>0</v>
      </c>
      <c r="I588" s="211">
        <v>0</v>
      </c>
      <c r="J588" s="211">
        <v>0.45200000000000001</v>
      </c>
      <c r="K588" s="211">
        <v>0</v>
      </c>
      <c r="L588" s="211">
        <v>0</v>
      </c>
      <c r="M588" s="211">
        <v>16.212</v>
      </c>
      <c r="N588" s="211">
        <v>0</v>
      </c>
      <c r="O588" s="211">
        <v>0</v>
      </c>
      <c r="P588" s="211">
        <v>4.1379999999999999</v>
      </c>
      <c r="Q588" s="211">
        <v>0</v>
      </c>
      <c r="R588" s="211">
        <v>0</v>
      </c>
      <c r="S588" s="211">
        <v>7.423</v>
      </c>
      <c r="T588" s="211">
        <v>0</v>
      </c>
      <c r="U588" s="211">
        <v>0</v>
      </c>
      <c r="V588" s="211">
        <v>0.98499999999999999</v>
      </c>
      <c r="W588" s="211">
        <v>0.86799999999999999</v>
      </c>
      <c r="X588" s="211">
        <v>0</v>
      </c>
      <c r="Y588" s="211">
        <v>0</v>
      </c>
      <c r="Z588" s="211">
        <v>0</v>
      </c>
      <c r="AA588" s="211">
        <v>0</v>
      </c>
      <c r="AB588" s="211">
        <v>0</v>
      </c>
      <c r="AC588" s="211">
        <v>0</v>
      </c>
      <c r="AD588" s="211">
        <v>0</v>
      </c>
      <c r="AE588" s="211">
        <v>0</v>
      </c>
      <c r="AF588" s="211">
        <v>9.8330000000000002</v>
      </c>
      <c r="AG588" s="211">
        <v>40.472000000000001</v>
      </c>
    </row>
    <row r="589" spans="1:33" x14ac:dyDescent="0.25">
      <c r="A589" s="207" t="s">
        <v>643</v>
      </c>
      <c r="B589" s="208"/>
      <c r="C589" s="209"/>
      <c r="D589" s="209"/>
      <c r="E589" s="209"/>
      <c r="F589" s="209"/>
      <c r="G589" s="209"/>
      <c r="H589" s="209"/>
      <c r="I589" s="209"/>
      <c r="J589" s="209"/>
      <c r="K589" s="209"/>
      <c r="L589" s="209"/>
      <c r="M589" s="209"/>
      <c r="N589" s="209"/>
      <c r="O589" s="209"/>
      <c r="P589" s="209"/>
      <c r="Q589" s="209"/>
      <c r="R589" s="209"/>
      <c r="S589" s="209"/>
      <c r="T589" s="209"/>
      <c r="U589" s="209"/>
      <c r="V589" s="209"/>
      <c r="W589" s="209"/>
      <c r="X589" s="209"/>
      <c r="Y589" s="209"/>
      <c r="Z589" s="209"/>
      <c r="AA589" s="209"/>
      <c r="AB589" s="209"/>
      <c r="AC589" s="209"/>
      <c r="AD589" s="209"/>
      <c r="AE589" s="209"/>
      <c r="AF589" s="209"/>
      <c r="AG589" s="209"/>
    </row>
    <row r="590" spans="1:33" x14ac:dyDescent="0.25">
      <c r="A590" s="121"/>
      <c r="B590" s="210" t="s">
        <v>644</v>
      </c>
      <c r="C590" s="211">
        <v>0</v>
      </c>
      <c r="D590" s="211">
        <v>0</v>
      </c>
      <c r="E590" s="211">
        <v>0</v>
      </c>
      <c r="F590" s="211">
        <v>6.73</v>
      </c>
      <c r="G590" s="211">
        <v>0</v>
      </c>
      <c r="H590" s="211">
        <v>0</v>
      </c>
      <c r="I590" s="211">
        <v>0</v>
      </c>
      <c r="J590" s="211">
        <v>7.0000000000000001E-3</v>
      </c>
      <c r="K590" s="211">
        <v>0</v>
      </c>
      <c r="L590" s="211">
        <v>0</v>
      </c>
      <c r="M590" s="211">
        <v>9.0519999999999996</v>
      </c>
      <c r="N590" s="211">
        <v>0</v>
      </c>
      <c r="O590" s="211">
        <v>0</v>
      </c>
      <c r="P590" s="211">
        <v>0</v>
      </c>
      <c r="Q590" s="211">
        <v>0</v>
      </c>
      <c r="R590" s="211">
        <v>6.1429999999999998</v>
      </c>
      <c r="S590" s="211">
        <v>16.548999999999999</v>
      </c>
      <c r="T590" s="211">
        <v>0</v>
      </c>
      <c r="U590" s="211">
        <v>0</v>
      </c>
      <c r="V590" s="211">
        <v>0</v>
      </c>
      <c r="W590" s="211">
        <v>0.54900000000000004</v>
      </c>
      <c r="X590" s="211">
        <v>0</v>
      </c>
      <c r="Y590" s="211">
        <v>0</v>
      </c>
      <c r="Z590" s="211">
        <v>0</v>
      </c>
      <c r="AA590" s="211">
        <v>0</v>
      </c>
      <c r="AB590" s="211">
        <v>0</v>
      </c>
      <c r="AC590" s="211">
        <v>0</v>
      </c>
      <c r="AD590" s="211">
        <v>0</v>
      </c>
      <c r="AE590" s="211">
        <v>0</v>
      </c>
      <c r="AF590" s="211">
        <v>5.8988199999999997</v>
      </c>
      <c r="AG590" s="211">
        <v>44.928819999999995</v>
      </c>
    </row>
    <row r="591" spans="1:33" x14ac:dyDescent="0.25">
      <c r="A591" s="207" t="s">
        <v>645</v>
      </c>
      <c r="B591" s="208"/>
      <c r="C591" s="209"/>
      <c r="D591" s="209"/>
      <c r="E591" s="209"/>
      <c r="F591" s="209"/>
      <c r="G591" s="209"/>
      <c r="H591" s="209"/>
      <c r="I591" s="209"/>
      <c r="J591" s="209"/>
      <c r="K591" s="209"/>
      <c r="L591" s="209"/>
      <c r="M591" s="209"/>
      <c r="N591" s="209"/>
      <c r="O591" s="209"/>
      <c r="P591" s="209"/>
      <c r="Q591" s="209"/>
      <c r="R591" s="209"/>
      <c r="S591" s="209"/>
      <c r="T591" s="209"/>
      <c r="U591" s="209"/>
      <c r="V591" s="209"/>
      <c r="W591" s="209"/>
      <c r="X591" s="209"/>
      <c r="Y591" s="209"/>
      <c r="Z591" s="209"/>
      <c r="AA591" s="209"/>
      <c r="AB591" s="209"/>
      <c r="AC591" s="209"/>
      <c r="AD591" s="209"/>
      <c r="AE591" s="209"/>
      <c r="AF591" s="209"/>
      <c r="AG591" s="209"/>
    </row>
    <row r="592" spans="1:33" x14ac:dyDescent="0.25">
      <c r="A592" s="121"/>
      <c r="B592" s="210" t="s">
        <v>646</v>
      </c>
      <c r="C592" s="211">
        <v>0</v>
      </c>
      <c r="D592" s="211">
        <v>0</v>
      </c>
      <c r="E592" s="211">
        <v>0</v>
      </c>
      <c r="F592" s="211">
        <v>0</v>
      </c>
      <c r="G592" s="211">
        <v>0</v>
      </c>
      <c r="H592" s="211">
        <v>0</v>
      </c>
      <c r="I592" s="211">
        <v>0</v>
      </c>
      <c r="J592" s="211">
        <v>0.126</v>
      </c>
      <c r="K592" s="211">
        <v>0</v>
      </c>
      <c r="L592" s="211">
        <v>0</v>
      </c>
      <c r="M592" s="211">
        <v>0</v>
      </c>
      <c r="N592" s="211">
        <v>0</v>
      </c>
      <c r="O592" s="211">
        <v>0</v>
      </c>
      <c r="P592" s="211">
        <v>0</v>
      </c>
      <c r="Q592" s="211">
        <v>0</v>
      </c>
      <c r="R592" s="211">
        <v>0</v>
      </c>
      <c r="S592" s="211">
        <v>0</v>
      </c>
      <c r="T592" s="211">
        <v>0</v>
      </c>
      <c r="U592" s="211">
        <v>0</v>
      </c>
      <c r="V592" s="211">
        <v>0</v>
      </c>
      <c r="W592" s="211">
        <v>9.4E-2</v>
      </c>
      <c r="X592" s="211">
        <v>0</v>
      </c>
      <c r="Y592" s="211">
        <v>6.6369999999999996</v>
      </c>
      <c r="Z592" s="211">
        <v>0</v>
      </c>
      <c r="AA592" s="211">
        <v>0</v>
      </c>
      <c r="AB592" s="211">
        <v>0</v>
      </c>
      <c r="AC592" s="211">
        <v>0</v>
      </c>
      <c r="AD592" s="211">
        <v>0</v>
      </c>
      <c r="AE592" s="211">
        <v>0</v>
      </c>
      <c r="AF592" s="211">
        <v>0</v>
      </c>
      <c r="AG592" s="211">
        <v>6.8569999999999993</v>
      </c>
    </row>
    <row r="593" spans="1:33" x14ac:dyDescent="0.25">
      <c r="A593" s="121"/>
      <c r="B593" s="210" t="s">
        <v>647</v>
      </c>
      <c r="C593" s="211">
        <v>0</v>
      </c>
      <c r="D593" s="211">
        <v>0</v>
      </c>
      <c r="E593" s="211">
        <v>0</v>
      </c>
      <c r="F593" s="211">
        <v>10.786</v>
      </c>
      <c r="G593" s="211">
        <v>0.82599999999999996</v>
      </c>
      <c r="H593" s="211">
        <v>2.415</v>
      </c>
      <c r="I593" s="211">
        <v>0</v>
      </c>
      <c r="J593" s="211">
        <v>0</v>
      </c>
      <c r="K593" s="211">
        <v>0</v>
      </c>
      <c r="L593" s="211">
        <v>0</v>
      </c>
      <c r="M593" s="211">
        <v>0</v>
      </c>
      <c r="N593" s="211">
        <v>0</v>
      </c>
      <c r="O593" s="211">
        <v>0</v>
      </c>
      <c r="P593" s="211">
        <v>0</v>
      </c>
      <c r="Q593" s="211">
        <v>147.672</v>
      </c>
      <c r="R593" s="211">
        <v>0</v>
      </c>
      <c r="S593" s="211">
        <v>21.295999999999999</v>
      </c>
      <c r="T593" s="211">
        <v>0</v>
      </c>
      <c r="U593" s="211">
        <v>4.7058799999999996</v>
      </c>
      <c r="V593" s="211">
        <v>0</v>
      </c>
      <c r="W593" s="211">
        <v>1.4</v>
      </c>
      <c r="X593" s="211">
        <v>0</v>
      </c>
      <c r="Y593" s="211">
        <v>0</v>
      </c>
      <c r="Z593" s="211">
        <v>0</v>
      </c>
      <c r="AA593" s="211">
        <v>0</v>
      </c>
      <c r="AB593" s="211">
        <v>0</v>
      </c>
      <c r="AC593" s="211">
        <v>0</v>
      </c>
      <c r="AD593" s="211">
        <v>0</v>
      </c>
      <c r="AE593" s="211">
        <v>0</v>
      </c>
      <c r="AF593" s="211">
        <v>0</v>
      </c>
      <c r="AG593" s="211">
        <v>189.10088000000002</v>
      </c>
    </row>
    <row r="594" spans="1:33" x14ac:dyDescent="0.25">
      <c r="A594" s="121"/>
      <c r="B594" s="210" t="s">
        <v>648</v>
      </c>
      <c r="C594" s="211">
        <v>0</v>
      </c>
      <c r="D594" s="211">
        <v>0</v>
      </c>
      <c r="E594" s="211">
        <v>0</v>
      </c>
      <c r="F594" s="211">
        <v>0</v>
      </c>
      <c r="G594" s="211">
        <v>0</v>
      </c>
      <c r="H594" s="211">
        <v>0</v>
      </c>
      <c r="I594" s="211">
        <v>0</v>
      </c>
      <c r="J594" s="211">
        <v>0.95799999999999996</v>
      </c>
      <c r="K594" s="211">
        <v>0</v>
      </c>
      <c r="L594" s="211">
        <v>0</v>
      </c>
      <c r="M594" s="211">
        <v>0</v>
      </c>
      <c r="N594" s="211">
        <v>0</v>
      </c>
      <c r="O594" s="211">
        <v>0</v>
      </c>
      <c r="P594" s="211">
        <v>0</v>
      </c>
      <c r="Q594" s="211">
        <v>0</v>
      </c>
      <c r="R594" s="211">
        <v>0</v>
      </c>
      <c r="S594" s="211">
        <v>0</v>
      </c>
      <c r="T594" s="211">
        <v>0</v>
      </c>
      <c r="U594" s="211">
        <v>0</v>
      </c>
      <c r="V594" s="211">
        <v>0</v>
      </c>
      <c r="W594" s="211">
        <v>8.1000000000000003E-2</v>
      </c>
      <c r="X594" s="211">
        <v>4.4219999999999997</v>
      </c>
      <c r="Y594" s="211">
        <v>0</v>
      </c>
      <c r="Z594" s="211">
        <v>0</v>
      </c>
      <c r="AA594" s="211">
        <v>0</v>
      </c>
      <c r="AB594" s="211">
        <v>0</v>
      </c>
      <c r="AC594" s="211">
        <v>0</v>
      </c>
      <c r="AD594" s="211">
        <v>0</v>
      </c>
      <c r="AE594" s="211">
        <v>0</v>
      </c>
      <c r="AF594" s="211">
        <v>0</v>
      </c>
      <c r="AG594" s="211">
        <v>5.4609999999999994</v>
      </c>
    </row>
    <row r="595" spans="1:33" x14ac:dyDescent="0.25">
      <c r="A595" s="207" t="s">
        <v>649</v>
      </c>
      <c r="B595" s="208"/>
      <c r="C595" s="209"/>
      <c r="D595" s="209"/>
      <c r="E595" s="209"/>
      <c r="F595" s="209"/>
      <c r="G595" s="209"/>
      <c r="H595" s="209"/>
      <c r="I595" s="209"/>
      <c r="J595" s="209"/>
      <c r="K595" s="209"/>
      <c r="L595" s="209"/>
      <c r="M595" s="209"/>
      <c r="N595" s="209"/>
      <c r="O595" s="209"/>
      <c r="P595" s="209"/>
      <c r="Q595" s="209"/>
      <c r="R595" s="209"/>
      <c r="S595" s="209"/>
      <c r="T595" s="209"/>
      <c r="U595" s="209"/>
      <c r="V595" s="209"/>
      <c r="W595" s="209"/>
      <c r="X595" s="209"/>
      <c r="Y595" s="209"/>
      <c r="Z595" s="209"/>
      <c r="AA595" s="209"/>
      <c r="AB595" s="209"/>
      <c r="AC595" s="209"/>
      <c r="AD595" s="209"/>
      <c r="AE595" s="209"/>
      <c r="AF595" s="209"/>
      <c r="AG595" s="209"/>
    </row>
    <row r="596" spans="1:33" x14ac:dyDescent="0.25">
      <c r="A596" s="121"/>
      <c r="B596" s="210" t="s">
        <v>650</v>
      </c>
      <c r="C596" s="211">
        <v>0</v>
      </c>
      <c r="D596" s="211">
        <v>0</v>
      </c>
      <c r="E596" s="211">
        <v>0</v>
      </c>
      <c r="F596" s="211">
        <v>5.6</v>
      </c>
      <c r="G596" s="211">
        <v>0</v>
      </c>
      <c r="H596" s="211">
        <v>0</v>
      </c>
      <c r="I596" s="211">
        <v>0</v>
      </c>
      <c r="J596" s="211">
        <v>0.16300000000000001</v>
      </c>
      <c r="K596" s="211">
        <v>0</v>
      </c>
      <c r="L596" s="211">
        <v>0</v>
      </c>
      <c r="M596" s="211">
        <v>0</v>
      </c>
      <c r="N596" s="211">
        <v>0</v>
      </c>
      <c r="O596" s="211">
        <v>0</v>
      </c>
      <c r="P596" s="211">
        <v>2.427</v>
      </c>
      <c r="Q596" s="211">
        <v>0</v>
      </c>
      <c r="R596" s="211">
        <v>0</v>
      </c>
      <c r="S596" s="211">
        <v>13.5</v>
      </c>
      <c r="T596" s="211">
        <v>0</v>
      </c>
      <c r="U596" s="211">
        <v>0</v>
      </c>
      <c r="V596" s="211">
        <v>0</v>
      </c>
      <c r="W596" s="211">
        <v>0.50600000000000001</v>
      </c>
      <c r="X596" s="211">
        <v>0</v>
      </c>
      <c r="Y596" s="211">
        <v>0</v>
      </c>
      <c r="Z596" s="211">
        <v>0</v>
      </c>
      <c r="AA596" s="211">
        <v>0</v>
      </c>
      <c r="AB596" s="211">
        <v>0</v>
      </c>
      <c r="AC596" s="211">
        <v>3.5082399999999998</v>
      </c>
      <c r="AD596" s="211">
        <v>0</v>
      </c>
      <c r="AE596" s="211">
        <v>0</v>
      </c>
      <c r="AF596" s="211">
        <v>0</v>
      </c>
      <c r="AG596" s="211">
        <v>25.704239999999999</v>
      </c>
    </row>
    <row r="597" spans="1:33" x14ac:dyDescent="0.25">
      <c r="A597" s="121"/>
      <c r="B597" s="210" t="s">
        <v>651</v>
      </c>
      <c r="C597" s="211">
        <v>0</v>
      </c>
      <c r="D597" s="211">
        <v>0</v>
      </c>
      <c r="E597" s="211">
        <v>0</v>
      </c>
      <c r="F597" s="211">
        <v>0</v>
      </c>
      <c r="G597" s="211">
        <v>0</v>
      </c>
      <c r="H597" s="211">
        <v>0</v>
      </c>
      <c r="I597" s="211">
        <v>0</v>
      </c>
      <c r="J597" s="211">
        <v>0.35299999999999998</v>
      </c>
      <c r="K597" s="211">
        <v>0</v>
      </c>
      <c r="L597" s="211">
        <v>0</v>
      </c>
      <c r="M597" s="211">
        <v>0</v>
      </c>
      <c r="N597" s="211">
        <v>0</v>
      </c>
      <c r="O597" s="211">
        <v>0</v>
      </c>
      <c r="P597" s="211">
        <v>0</v>
      </c>
      <c r="Q597" s="211">
        <v>0</v>
      </c>
      <c r="R597" s="211">
        <v>0</v>
      </c>
      <c r="S597" s="211">
        <v>10.005000000000001</v>
      </c>
      <c r="T597" s="211">
        <v>0</v>
      </c>
      <c r="U597" s="211">
        <v>0</v>
      </c>
      <c r="V597" s="211">
        <v>0</v>
      </c>
      <c r="W597" s="211">
        <v>0.127</v>
      </c>
      <c r="X597" s="211">
        <v>0</v>
      </c>
      <c r="Y597" s="211">
        <v>0</v>
      </c>
      <c r="Z597" s="211">
        <v>0</v>
      </c>
      <c r="AA597" s="211">
        <v>0</v>
      </c>
      <c r="AB597" s="211">
        <v>0</v>
      </c>
      <c r="AC597" s="211">
        <v>0</v>
      </c>
      <c r="AD597" s="211">
        <v>0</v>
      </c>
      <c r="AE597" s="211">
        <v>0</v>
      </c>
      <c r="AF597" s="211">
        <v>35.176499999999997</v>
      </c>
      <c r="AG597" s="211">
        <v>45.661499999999997</v>
      </c>
    </row>
    <row r="598" spans="1:33" x14ac:dyDescent="0.25">
      <c r="A598" s="121"/>
      <c r="B598" s="210" t="s">
        <v>652</v>
      </c>
      <c r="C598" s="211">
        <v>0</v>
      </c>
      <c r="D598" s="211">
        <v>0</v>
      </c>
      <c r="E598" s="211">
        <v>0</v>
      </c>
      <c r="F598" s="211">
        <v>62.540999999999997</v>
      </c>
      <c r="G598" s="211">
        <v>0</v>
      </c>
      <c r="H598" s="211">
        <v>0</v>
      </c>
      <c r="I598" s="211">
        <v>0</v>
      </c>
      <c r="J598" s="211">
        <v>3.8</v>
      </c>
      <c r="K598" s="211">
        <v>0</v>
      </c>
      <c r="L598" s="211">
        <v>0</v>
      </c>
      <c r="M598" s="211">
        <v>2.4039999999999999</v>
      </c>
      <c r="N598" s="211">
        <v>0</v>
      </c>
      <c r="O598" s="211">
        <v>0</v>
      </c>
      <c r="P598" s="211">
        <v>10.6</v>
      </c>
      <c r="Q598" s="211">
        <v>0</v>
      </c>
      <c r="R598" s="211">
        <v>0</v>
      </c>
      <c r="S598" s="211">
        <v>20.155999999999999</v>
      </c>
      <c r="T598" s="211">
        <v>0</v>
      </c>
      <c r="U598" s="211">
        <v>0</v>
      </c>
      <c r="V598" s="211">
        <v>0</v>
      </c>
      <c r="W598" s="211">
        <v>3.6</v>
      </c>
      <c r="X598" s="211">
        <v>0</v>
      </c>
      <c r="Y598" s="211">
        <v>0</v>
      </c>
      <c r="Z598" s="211">
        <v>0</v>
      </c>
      <c r="AA598" s="211">
        <v>0</v>
      </c>
      <c r="AB598" s="211">
        <v>0</v>
      </c>
      <c r="AC598" s="211">
        <v>0</v>
      </c>
      <c r="AD598" s="211">
        <v>0</v>
      </c>
      <c r="AE598" s="211">
        <v>0</v>
      </c>
      <c r="AF598" s="211">
        <v>42.761000000000003</v>
      </c>
      <c r="AG598" s="211">
        <v>145.86199999999997</v>
      </c>
    </row>
    <row r="599" spans="1:33" x14ac:dyDescent="0.25">
      <c r="A599" s="121"/>
      <c r="B599" s="210" t="s">
        <v>653</v>
      </c>
      <c r="C599" s="211">
        <v>0</v>
      </c>
      <c r="D599" s="211">
        <v>0</v>
      </c>
      <c r="E599" s="211">
        <v>0</v>
      </c>
      <c r="F599" s="211">
        <v>0</v>
      </c>
      <c r="G599" s="211">
        <v>0</v>
      </c>
      <c r="H599" s="211">
        <v>0</v>
      </c>
      <c r="I599" s="211">
        <v>0</v>
      </c>
      <c r="J599" s="211">
        <v>2E-3</v>
      </c>
      <c r="K599" s="211">
        <v>0</v>
      </c>
      <c r="L599" s="211">
        <v>0</v>
      </c>
      <c r="M599" s="211">
        <v>0</v>
      </c>
      <c r="N599" s="211">
        <v>0</v>
      </c>
      <c r="O599" s="211">
        <v>0</v>
      </c>
      <c r="P599" s="211">
        <v>0</v>
      </c>
      <c r="Q599" s="211">
        <v>0</v>
      </c>
      <c r="R599" s="211">
        <v>0</v>
      </c>
      <c r="S599" s="211">
        <v>0</v>
      </c>
      <c r="T599" s="211">
        <v>0</v>
      </c>
      <c r="U599" s="211">
        <v>0</v>
      </c>
      <c r="V599" s="211">
        <v>0</v>
      </c>
      <c r="W599" s="211">
        <v>4.3999999999999997E-2</v>
      </c>
      <c r="X599" s="211">
        <v>0</v>
      </c>
      <c r="Y599" s="211">
        <v>2.754</v>
      </c>
      <c r="Z599" s="211">
        <v>0</v>
      </c>
      <c r="AA599" s="211">
        <v>0</v>
      </c>
      <c r="AB599" s="211">
        <v>0</v>
      </c>
      <c r="AC599" s="211">
        <v>0</v>
      </c>
      <c r="AD599" s="211">
        <v>0</v>
      </c>
      <c r="AE599" s="211">
        <v>0</v>
      </c>
      <c r="AF599" s="211">
        <v>0</v>
      </c>
      <c r="AG599" s="211">
        <v>2.8</v>
      </c>
    </row>
    <row r="600" spans="1:33" x14ac:dyDescent="0.25">
      <c r="A600" s="121"/>
      <c r="B600" s="210" t="s">
        <v>138</v>
      </c>
      <c r="C600" s="211">
        <v>0</v>
      </c>
      <c r="D600" s="211">
        <v>0</v>
      </c>
      <c r="E600" s="211">
        <v>0</v>
      </c>
      <c r="F600" s="211">
        <v>0</v>
      </c>
      <c r="G600" s="211">
        <v>0</v>
      </c>
      <c r="H600" s="211">
        <v>0</v>
      </c>
      <c r="I600" s="211">
        <v>0</v>
      </c>
      <c r="J600" s="211">
        <v>0.1</v>
      </c>
      <c r="K600" s="211">
        <v>0</v>
      </c>
      <c r="L600" s="211">
        <v>0</v>
      </c>
      <c r="M600" s="211">
        <v>0</v>
      </c>
      <c r="N600" s="211">
        <v>0</v>
      </c>
      <c r="O600" s="211">
        <v>0</v>
      </c>
      <c r="P600" s="211">
        <v>1.1930000000000001</v>
      </c>
      <c r="Q600" s="211">
        <v>0</v>
      </c>
      <c r="R600" s="211">
        <v>0</v>
      </c>
      <c r="S600" s="211">
        <v>18.8</v>
      </c>
      <c r="T600" s="211">
        <v>0</v>
      </c>
      <c r="U600" s="211">
        <v>0</v>
      </c>
      <c r="V600" s="211">
        <v>0</v>
      </c>
      <c r="W600" s="211">
        <v>0.35</v>
      </c>
      <c r="X600" s="211">
        <v>0</v>
      </c>
      <c r="Y600" s="211">
        <v>0</v>
      </c>
      <c r="Z600" s="211">
        <v>0</v>
      </c>
      <c r="AA600" s="211">
        <v>0</v>
      </c>
      <c r="AB600" s="211">
        <v>0</v>
      </c>
      <c r="AC600" s="211">
        <v>0</v>
      </c>
      <c r="AD600" s="211">
        <v>0</v>
      </c>
      <c r="AE600" s="211">
        <v>0</v>
      </c>
      <c r="AF600" s="211">
        <v>0</v>
      </c>
      <c r="AG600" s="211">
        <v>20.443000000000001</v>
      </c>
    </row>
    <row r="601" spans="1:33" x14ac:dyDescent="0.25">
      <c r="A601" s="207" t="s">
        <v>654</v>
      </c>
      <c r="B601" s="208"/>
      <c r="C601" s="209"/>
      <c r="D601" s="209"/>
      <c r="E601" s="209"/>
      <c r="F601" s="209"/>
      <c r="G601" s="209"/>
      <c r="H601" s="209"/>
      <c r="I601" s="209"/>
      <c r="J601" s="209"/>
      <c r="K601" s="209"/>
      <c r="L601" s="209"/>
      <c r="M601" s="209"/>
      <c r="N601" s="209"/>
      <c r="O601" s="209"/>
      <c r="P601" s="209"/>
      <c r="Q601" s="209"/>
      <c r="R601" s="209"/>
      <c r="S601" s="209"/>
      <c r="T601" s="209"/>
      <c r="U601" s="209"/>
      <c r="V601" s="209"/>
      <c r="W601" s="209"/>
      <c r="X601" s="209"/>
      <c r="Y601" s="209"/>
      <c r="Z601" s="209"/>
      <c r="AA601" s="209"/>
      <c r="AB601" s="209"/>
      <c r="AC601" s="209"/>
      <c r="AD601" s="209"/>
      <c r="AE601" s="209"/>
      <c r="AF601" s="209"/>
      <c r="AG601" s="209"/>
    </row>
    <row r="602" spans="1:33" x14ac:dyDescent="0.25">
      <c r="A602" s="121"/>
      <c r="B602" s="210" t="s">
        <v>655</v>
      </c>
      <c r="C602" s="211">
        <v>0</v>
      </c>
      <c r="D602" s="211">
        <v>0</v>
      </c>
      <c r="E602" s="211">
        <v>0</v>
      </c>
      <c r="F602" s="211">
        <v>11.95</v>
      </c>
      <c r="G602" s="211">
        <v>0</v>
      </c>
      <c r="H602" s="211">
        <v>0</v>
      </c>
      <c r="I602" s="211">
        <v>0</v>
      </c>
      <c r="J602" s="211">
        <v>0.627</v>
      </c>
      <c r="K602" s="211">
        <v>0</v>
      </c>
      <c r="L602" s="211">
        <v>0</v>
      </c>
      <c r="M602" s="211">
        <v>0</v>
      </c>
      <c r="N602" s="211">
        <v>0</v>
      </c>
      <c r="O602" s="211">
        <v>0</v>
      </c>
      <c r="P602" s="211">
        <v>3.95</v>
      </c>
      <c r="Q602" s="211">
        <v>0</v>
      </c>
      <c r="R602" s="211">
        <v>0</v>
      </c>
      <c r="S602" s="211">
        <v>7.81</v>
      </c>
      <c r="T602" s="211">
        <v>0</v>
      </c>
      <c r="U602" s="211">
        <v>0</v>
      </c>
      <c r="V602" s="211">
        <v>0</v>
      </c>
      <c r="W602" s="211">
        <v>0.65300000000000002</v>
      </c>
      <c r="X602" s="211">
        <v>0</v>
      </c>
      <c r="Y602" s="211">
        <v>0</v>
      </c>
      <c r="Z602" s="211">
        <v>0</v>
      </c>
      <c r="AA602" s="211">
        <v>0</v>
      </c>
      <c r="AB602" s="211">
        <v>0</v>
      </c>
      <c r="AC602" s="211">
        <v>0</v>
      </c>
      <c r="AD602" s="211">
        <v>0</v>
      </c>
      <c r="AE602" s="211">
        <v>0</v>
      </c>
      <c r="AF602" s="211">
        <v>0</v>
      </c>
      <c r="AG602" s="211">
        <v>24.99</v>
      </c>
    </row>
    <row r="603" spans="1:33" x14ac:dyDescent="0.25">
      <c r="A603" s="121"/>
      <c r="B603" s="210" t="s">
        <v>656</v>
      </c>
      <c r="C603" s="211">
        <v>0</v>
      </c>
      <c r="D603" s="211">
        <v>0</v>
      </c>
      <c r="E603" s="211">
        <v>0</v>
      </c>
      <c r="F603" s="211">
        <v>0</v>
      </c>
      <c r="G603" s="211">
        <v>20.160699999999999</v>
      </c>
      <c r="H603" s="211">
        <v>0</v>
      </c>
      <c r="I603" s="211">
        <v>0</v>
      </c>
      <c r="J603" s="211">
        <v>0</v>
      </c>
      <c r="K603" s="211">
        <v>0</v>
      </c>
      <c r="L603" s="211">
        <v>0</v>
      </c>
      <c r="M603" s="211">
        <v>0</v>
      </c>
      <c r="N603" s="211">
        <v>0</v>
      </c>
      <c r="O603" s="211">
        <v>333.97699999999998</v>
      </c>
      <c r="P603" s="211">
        <v>49.4</v>
      </c>
      <c r="Q603" s="211">
        <v>4.2439999999999998</v>
      </c>
      <c r="R603" s="211">
        <v>0</v>
      </c>
      <c r="S603" s="211">
        <v>4.1975100000000003</v>
      </c>
      <c r="T603" s="211">
        <v>0</v>
      </c>
      <c r="U603" s="211">
        <v>0</v>
      </c>
      <c r="V603" s="211">
        <v>0</v>
      </c>
      <c r="W603" s="211">
        <v>23.020499999999998</v>
      </c>
      <c r="X603" s="211">
        <v>152.47999999999999</v>
      </c>
      <c r="Y603" s="211">
        <v>0</v>
      </c>
      <c r="Z603" s="211">
        <v>0</v>
      </c>
      <c r="AA603" s="211">
        <v>0</v>
      </c>
      <c r="AB603" s="211">
        <v>0</v>
      </c>
      <c r="AC603" s="211">
        <v>0</v>
      </c>
      <c r="AD603" s="211">
        <v>0</v>
      </c>
      <c r="AE603" s="211">
        <v>0</v>
      </c>
      <c r="AF603" s="211">
        <v>0</v>
      </c>
      <c r="AG603" s="211">
        <v>587.47971000000007</v>
      </c>
    </row>
    <row r="604" spans="1:33" x14ac:dyDescent="0.25">
      <c r="A604" s="121"/>
      <c r="B604" s="210" t="s">
        <v>657</v>
      </c>
      <c r="C604" s="211">
        <v>0</v>
      </c>
      <c r="D604" s="211">
        <v>0</v>
      </c>
      <c r="E604" s="211">
        <v>0</v>
      </c>
      <c r="F604" s="211">
        <v>0</v>
      </c>
      <c r="G604" s="211">
        <v>21.5</v>
      </c>
      <c r="H604" s="211">
        <v>10.8</v>
      </c>
      <c r="I604" s="211">
        <v>0</v>
      </c>
      <c r="J604" s="211">
        <v>1.2E-2</v>
      </c>
      <c r="K604" s="211">
        <v>0</v>
      </c>
      <c r="L604" s="211">
        <v>0</v>
      </c>
      <c r="M604" s="211">
        <v>0</v>
      </c>
      <c r="N604" s="211">
        <v>0</v>
      </c>
      <c r="O604" s="211">
        <v>0</v>
      </c>
      <c r="P604" s="211">
        <v>6.67</v>
      </c>
      <c r="Q604" s="211">
        <v>0</v>
      </c>
      <c r="R604" s="211">
        <v>0</v>
      </c>
      <c r="S604" s="211">
        <v>40.74</v>
      </c>
      <c r="T604" s="211">
        <v>0</v>
      </c>
      <c r="U604" s="211">
        <v>0</v>
      </c>
      <c r="V604" s="211">
        <v>0</v>
      </c>
      <c r="W604" s="211">
        <v>1.6</v>
      </c>
      <c r="X604" s="211">
        <v>0</v>
      </c>
      <c r="Y604" s="211">
        <v>2.8</v>
      </c>
      <c r="Z604" s="211">
        <v>0</v>
      </c>
      <c r="AA604" s="211">
        <v>0</v>
      </c>
      <c r="AB604" s="211">
        <v>0</v>
      </c>
      <c r="AC604" s="211">
        <v>0</v>
      </c>
      <c r="AD604" s="211">
        <v>0</v>
      </c>
      <c r="AE604" s="211">
        <v>3.43</v>
      </c>
      <c r="AF604" s="211">
        <v>0</v>
      </c>
      <c r="AG604" s="211">
        <v>87.552000000000007</v>
      </c>
    </row>
    <row r="605" spans="1:33" x14ac:dyDescent="0.25">
      <c r="A605" s="121"/>
      <c r="B605" s="210" t="s">
        <v>658</v>
      </c>
      <c r="C605" s="211">
        <v>0</v>
      </c>
      <c r="D605" s="211">
        <v>0</v>
      </c>
      <c r="E605" s="211">
        <v>0</v>
      </c>
      <c r="F605" s="211">
        <v>38.819499999999998</v>
      </c>
      <c r="G605" s="211">
        <v>0</v>
      </c>
      <c r="H605" s="211">
        <v>0</v>
      </c>
      <c r="I605" s="211">
        <v>0</v>
      </c>
      <c r="J605" s="211">
        <v>1.74</v>
      </c>
      <c r="K605" s="211">
        <v>0</v>
      </c>
      <c r="L605" s="211">
        <v>3.27</v>
      </c>
      <c r="M605" s="211">
        <v>86.721100000000007</v>
      </c>
      <c r="N605" s="211">
        <v>0</v>
      </c>
      <c r="O605" s="211">
        <v>0</v>
      </c>
      <c r="P605" s="211">
        <v>36.22</v>
      </c>
      <c r="Q605" s="211">
        <v>0</v>
      </c>
      <c r="R605" s="211">
        <v>35.628300000000003</v>
      </c>
      <c r="S605" s="211">
        <v>2.8781699999999999</v>
      </c>
      <c r="T605" s="211">
        <v>0</v>
      </c>
      <c r="U605" s="211">
        <v>0</v>
      </c>
      <c r="V605" s="211">
        <v>0</v>
      </c>
      <c r="W605" s="211">
        <v>6.8137699999999999</v>
      </c>
      <c r="X605" s="211">
        <v>0</v>
      </c>
      <c r="Y605" s="211">
        <v>0</v>
      </c>
      <c r="Z605" s="211">
        <v>0</v>
      </c>
      <c r="AA605" s="211">
        <v>0</v>
      </c>
      <c r="AB605" s="211">
        <v>0</v>
      </c>
      <c r="AC605" s="211">
        <v>0</v>
      </c>
      <c r="AD605" s="211">
        <v>0</v>
      </c>
      <c r="AE605" s="211">
        <v>0</v>
      </c>
      <c r="AF605" s="211">
        <v>0</v>
      </c>
      <c r="AG605" s="211">
        <v>212.09084000000001</v>
      </c>
    </row>
    <row r="606" spans="1:33" x14ac:dyDescent="0.25">
      <c r="A606" s="121"/>
      <c r="B606" s="210" t="s">
        <v>659</v>
      </c>
      <c r="C606" s="211">
        <v>0</v>
      </c>
      <c r="D606" s="211">
        <v>1.1037300000000001</v>
      </c>
      <c r="E606" s="211">
        <v>0</v>
      </c>
      <c r="F606" s="211">
        <v>0</v>
      </c>
      <c r="G606" s="211">
        <v>0</v>
      </c>
      <c r="H606" s="211">
        <v>1.05657</v>
      </c>
      <c r="I606" s="211">
        <v>0.40100000000000002</v>
      </c>
      <c r="J606" s="211">
        <v>0</v>
      </c>
      <c r="K606" s="211">
        <v>8.1038300000000003</v>
      </c>
      <c r="L606" s="211">
        <v>0</v>
      </c>
      <c r="M606" s="211">
        <v>56.042099999999998</v>
      </c>
      <c r="N606" s="211">
        <v>0</v>
      </c>
      <c r="O606" s="211">
        <v>191.565</v>
      </c>
      <c r="P606" s="211">
        <v>51.639000000000003</v>
      </c>
      <c r="Q606" s="211">
        <v>0</v>
      </c>
      <c r="R606" s="211">
        <v>0</v>
      </c>
      <c r="S606" s="211">
        <v>0</v>
      </c>
      <c r="T606" s="211">
        <v>0</v>
      </c>
      <c r="U606" s="211">
        <v>0</v>
      </c>
      <c r="V606" s="211">
        <v>0</v>
      </c>
      <c r="W606" s="211">
        <v>11.2697</v>
      </c>
      <c r="X606" s="211">
        <v>0</v>
      </c>
      <c r="Y606" s="211">
        <v>0</v>
      </c>
      <c r="Z606" s="211">
        <v>0</v>
      </c>
      <c r="AA606" s="211">
        <v>0</v>
      </c>
      <c r="AB606" s="211">
        <v>0</v>
      </c>
      <c r="AC606" s="211">
        <v>0</v>
      </c>
      <c r="AD606" s="211">
        <v>0</v>
      </c>
      <c r="AE606" s="211">
        <v>0</v>
      </c>
      <c r="AF606" s="211">
        <v>0</v>
      </c>
      <c r="AG606" s="211">
        <v>321.18092999999999</v>
      </c>
    </row>
    <row r="607" spans="1:33" x14ac:dyDescent="0.25">
      <c r="A607" s="121"/>
      <c r="B607" s="210" t="s">
        <v>660</v>
      </c>
      <c r="C607" s="211">
        <v>0</v>
      </c>
      <c r="D607" s="211">
        <v>0</v>
      </c>
      <c r="E607" s="211">
        <v>0</v>
      </c>
      <c r="F607" s="211">
        <v>0</v>
      </c>
      <c r="G607" s="211">
        <v>29.53</v>
      </c>
      <c r="H607" s="211">
        <v>0</v>
      </c>
      <c r="I607" s="211">
        <v>0</v>
      </c>
      <c r="J607" s="211">
        <v>0</v>
      </c>
      <c r="K607" s="211">
        <v>0</v>
      </c>
      <c r="L607" s="211">
        <v>0</v>
      </c>
      <c r="M607" s="211">
        <v>0</v>
      </c>
      <c r="N607" s="211">
        <v>0</v>
      </c>
      <c r="O607" s="211">
        <v>0</v>
      </c>
      <c r="P607" s="211">
        <v>0</v>
      </c>
      <c r="Q607" s="211">
        <v>0</v>
      </c>
      <c r="R607" s="211">
        <v>0</v>
      </c>
      <c r="S607" s="211">
        <v>0</v>
      </c>
      <c r="T607" s="211">
        <v>0</v>
      </c>
      <c r="U607" s="211">
        <v>0</v>
      </c>
      <c r="V607" s="211">
        <v>0</v>
      </c>
      <c r="W607" s="211">
        <v>0.51800000000000002</v>
      </c>
      <c r="X607" s="211">
        <v>0</v>
      </c>
      <c r="Y607" s="211">
        <v>0</v>
      </c>
      <c r="Z607" s="211">
        <v>0</v>
      </c>
      <c r="AA607" s="211">
        <v>0</v>
      </c>
      <c r="AB607" s="211">
        <v>0</v>
      </c>
      <c r="AC607" s="211">
        <v>0</v>
      </c>
      <c r="AD607" s="211">
        <v>0</v>
      </c>
      <c r="AE607" s="211">
        <v>0</v>
      </c>
      <c r="AF607" s="211">
        <v>0</v>
      </c>
      <c r="AG607" s="211">
        <v>30.048000000000002</v>
      </c>
    </row>
    <row r="608" spans="1:33" x14ac:dyDescent="0.25">
      <c r="A608" s="121"/>
      <c r="B608" s="210" t="s">
        <v>661</v>
      </c>
      <c r="C608" s="211">
        <v>0</v>
      </c>
      <c r="D608" s="211">
        <v>0</v>
      </c>
      <c r="E608" s="211">
        <v>0</v>
      </c>
      <c r="F608" s="211">
        <v>0</v>
      </c>
      <c r="G608" s="211">
        <v>0</v>
      </c>
      <c r="H608" s="211">
        <v>0</v>
      </c>
      <c r="I608" s="211">
        <v>0</v>
      </c>
      <c r="J608" s="211">
        <v>0.216</v>
      </c>
      <c r="K608" s="211">
        <v>0</v>
      </c>
      <c r="L608" s="211">
        <v>0</v>
      </c>
      <c r="M608" s="211">
        <v>0</v>
      </c>
      <c r="N608" s="211">
        <v>0</v>
      </c>
      <c r="O608" s="211">
        <v>0</v>
      </c>
      <c r="P608" s="211">
        <v>0</v>
      </c>
      <c r="Q608" s="211">
        <v>0</v>
      </c>
      <c r="R608" s="211">
        <v>0</v>
      </c>
      <c r="S608" s="211">
        <v>0</v>
      </c>
      <c r="T608" s="211">
        <v>0</v>
      </c>
      <c r="U608" s="211">
        <v>0</v>
      </c>
      <c r="V608" s="211">
        <v>0</v>
      </c>
      <c r="W608" s="211">
        <v>0.2</v>
      </c>
      <c r="X608" s="211">
        <v>0</v>
      </c>
      <c r="Y608" s="211">
        <v>23.7</v>
      </c>
      <c r="Z608" s="211">
        <v>0</v>
      </c>
      <c r="AA608" s="211">
        <v>0</v>
      </c>
      <c r="AB608" s="211">
        <v>0</v>
      </c>
      <c r="AC608" s="211">
        <v>0</v>
      </c>
      <c r="AD608" s="211">
        <v>0</v>
      </c>
      <c r="AE608" s="211">
        <v>0</v>
      </c>
      <c r="AF608" s="211">
        <v>0</v>
      </c>
      <c r="AG608" s="211">
        <v>24.116</v>
      </c>
    </row>
    <row r="609" spans="1:33" x14ac:dyDescent="0.25">
      <c r="A609" s="121"/>
      <c r="B609" s="210" t="s">
        <v>662</v>
      </c>
      <c r="C609" s="211">
        <v>0</v>
      </c>
      <c r="D609" s="211">
        <v>996.47299999999996</v>
      </c>
      <c r="E609" s="211">
        <v>0</v>
      </c>
      <c r="F609" s="211">
        <v>0</v>
      </c>
      <c r="G609" s="211">
        <v>54.5</v>
      </c>
      <c r="H609" s="211">
        <v>0</v>
      </c>
      <c r="I609" s="211">
        <v>28.6</v>
      </c>
      <c r="J609" s="211">
        <v>23.627600000000001</v>
      </c>
      <c r="K609" s="211">
        <v>0</v>
      </c>
      <c r="L609" s="211">
        <v>28.5944</v>
      </c>
      <c r="M609" s="211">
        <v>0</v>
      </c>
      <c r="N609" s="211">
        <v>0</v>
      </c>
      <c r="O609" s="211">
        <v>0</v>
      </c>
      <c r="P609" s="211">
        <v>139.9</v>
      </c>
      <c r="Q609" s="211">
        <v>0</v>
      </c>
      <c r="R609" s="211">
        <v>0</v>
      </c>
      <c r="S609" s="211">
        <v>0</v>
      </c>
      <c r="T609" s="211">
        <v>0</v>
      </c>
      <c r="U609" s="211">
        <v>0</v>
      </c>
      <c r="V609" s="211">
        <v>367.07100000000003</v>
      </c>
      <c r="W609" s="211">
        <v>74.273899999999998</v>
      </c>
      <c r="X609" s="211">
        <v>0</v>
      </c>
      <c r="Y609" s="211">
        <v>53.887799999999999</v>
      </c>
      <c r="Z609" s="211">
        <v>0</v>
      </c>
      <c r="AA609" s="211">
        <v>15.2</v>
      </c>
      <c r="AB609" s="211">
        <v>59.2</v>
      </c>
      <c r="AC609" s="211">
        <v>0</v>
      </c>
      <c r="AD609" s="211">
        <v>0</v>
      </c>
      <c r="AE609" s="211">
        <v>0</v>
      </c>
      <c r="AF609" s="211">
        <v>0.102233</v>
      </c>
      <c r="AG609" s="211">
        <v>1841.4299330000001</v>
      </c>
    </row>
    <row r="610" spans="1:33" x14ac:dyDescent="0.25">
      <c r="A610" s="121"/>
      <c r="B610" s="210" t="s">
        <v>663</v>
      </c>
      <c r="C610" s="211">
        <v>0</v>
      </c>
      <c r="D610" s="211">
        <v>0</v>
      </c>
      <c r="E610" s="211">
        <v>0</v>
      </c>
      <c r="F610" s="211">
        <v>0</v>
      </c>
      <c r="G610" s="211">
        <v>28.6</v>
      </c>
      <c r="H610" s="211">
        <v>0</v>
      </c>
      <c r="I610" s="211">
        <v>0</v>
      </c>
      <c r="J610" s="211">
        <v>0.1</v>
      </c>
      <c r="K610" s="211">
        <v>0</v>
      </c>
      <c r="L610" s="211">
        <v>0</v>
      </c>
      <c r="M610" s="211">
        <v>0</v>
      </c>
      <c r="N610" s="211">
        <v>0</v>
      </c>
      <c r="O610" s="211">
        <v>0</v>
      </c>
      <c r="P610" s="211">
        <v>0</v>
      </c>
      <c r="Q610" s="211">
        <v>124.8</v>
      </c>
      <c r="R610" s="211">
        <v>0</v>
      </c>
      <c r="S610" s="211">
        <v>0</v>
      </c>
      <c r="T610" s="211">
        <v>0</v>
      </c>
      <c r="U610" s="211">
        <v>0</v>
      </c>
      <c r="V610" s="211">
        <v>0</v>
      </c>
      <c r="W610" s="211">
        <v>1.1000000000000001</v>
      </c>
      <c r="X610" s="211">
        <v>0</v>
      </c>
      <c r="Y610" s="211">
        <v>0</v>
      </c>
      <c r="Z610" s="211">
        <v>0</v>
      </c>
      <c r="AA610" s="211">
        <v>0</v>
      </c>
      <c r="AB610" s="211">
        <v>0</v>
      </c>
      <c r="AC610" s="211">
        <v>0</v>
      </c>
      <c r="AD610" s="211">
        <v>0</v>
      </c>
      <c r="AE610" s="211">
        <v>0</v>
      </c>
      <c r="AF610" s="211">
        <v>0</v>
      </c>
      <c r="AG610" s="211">
        <v>154.6</v>
      </c>
    </row>
    <row r="611" spans="1:33" x14ac:dyDescent="0.25">
      <c r="A611" s="121"/>
      <c r="B611" s="210" t="s">
        <v>11</v>
      </c>
      <c r="C611" s="211">
        <v>0</v>
      </c>
      <c r="D611" s="211">
        <v>0</v>
      </c>
      <c r="E611" s="211">
        <v>0</v>
      </c>
      <c r="F611" s="211">
        <v>10.89</v>
      </c>
      <c r="G611" s="211">
        <v>0</v>
      </c>
      <c r="H611" s="211">
        <v>0</v>
      </c>
      <c r="I611" s="211">
        <v>0</v>
      </c>
      <c r="J611" s="211">
        <v>2.84</v>
      </c>
      <c r="K611" s="211">
        <v>0</v>
      </c>
      <c r="L611" s="211">
        <v>0</v>
      </c>
      <c r="M611" s="211">
        <v>56.34</v>
      </c>
      <c r="N611" s="211">
        <v>0</v>
      </c>
      <c r="O611" s="211">
        <v>0</v>
      </c>
      <c r="P611" s="211">
        <v>0</v>
      </c>
      <c r="Q611" s="211">
        <v>0</v>
      </c>
      <c r="R611" s="211">
        <v>0</v>
      </c>
      <c r="S611" s="211">
        <v>9.86</v>
      </c>
      <c r="T611" s="211">
        <v>0</v>
      </c>
      <c r="U611" s="211">
        <v>0</v>
      </c>
      <c r="V611" s="211">
        <v>0</v>
      </c>
      <c r="W611" s="211">
        <v>2.1</v>
      </c>
      <c r="X611" s="211">
        <v>0</v>
      </c>
      <c r="Y611" s="211">
        <v>0</v>
      </c>
      <c r="Z611" s="211">
        <v>0</v>
      </c>
      <c r="AA611" s="211">
        <v>0</v>
      </c>
      <c r="AB611" s="211">
        <v>0</v>
      </c>
      <c r="AC611" s="211">
        <v>0</v>
      </c>
      <c r="AD611" s="211">
        <v>0</v>
      </c>
      <c r="AE611" s="211">
        <v>0</v>
      </c>
      <c r="AF611" s="211">
        <v>0</v>
      </c>
      <c r="AG611" s="211">
        <v>82.03</v>
      </c>
    </row>
    <row r="612" spans="1:33" x14ac:dyDescent="0.25">
      <c r="A612" s="207" t="s">
        <v>7</v>
      </c>
      <c r="B612" s="208"/>
      <c r="C612" s="209"/>
      <c r="D612" s="209"/>
      <c r="E612" s="209"/>
      <c r="F612" s="209"/>
      <c r="G612" s="209"/>
      <c r="H612" s="209"/>
      <c r="I612" s="209"/>
      <c r="J612" s="209"/>
      <c r="K612" s="209"/>
      <c r="L612" s="209"/>
      <c r="M612" s="209"/>
      <c r="N612" s="209"/>
      <c r="O612" s="209"/>
      <c r="P612" s="209"/>
      <c r="Q612" s="209"/>
      <c r="R612" s="209"/>
      <c r="S612" s="209"/>
      <c r="T612" s="209"/>
      <c r="U612" s="209"/>
      <c r="V612" s="209"/>
      <c r="W612" s="209"/>
      <c r="X612" s="209"/>
      <c r="Y612" s="209"/>
      <c r="Z612" s="209"/>
      <c r="AA612" s="209"/>
      <c r="AB612" s="209"/>
      <c r="AC612" s="209"/>
      <c r="AD612" s="209"/>
      <c r="AE612" s="209"/>
      <c r="AF612" s="209"/>
      <c r="AG612" s="209"/>
    </row>
    <row r="613" spans="1:33" x14ac:dyDescent="0.25">
      <c r="A613" s="121"/>
      <c r="B613" s="210" t="s">
        <v>664</v>
      </c>
      <c r="C613" s="211">
        <v>0</v>
      </c>
      <c r="D613" s="211">
        <v>0</v>
      </c>
      <c r="E613" s="211">
        <v>0</v>
      </c>
      <c r="F613" s="211">
        <v>0</v>
      </c>
      <c r="G613" s="211">
        <v>0</v>
      </c>
      <c r="H613" s="211">
        <v>0</v>
      </c>
      <c r="I613" s="211">
        <v>0</v>
      </c>
      <c r="J613" s="211">
        <v>0.62</v>
      </c>
      <c r="K613" s="211">
        <v>0</v>
      </c>
      <c r="L613" s="211">
        <v>0</v>
      </c>
      <c r="M613" s="211">
        <v>0</v>
      </c>
      <c r="N613" s="211">
        <v>0</v>
      </c>
      <c r="O613" s="211">
        <v>0</v>
      </c>
      <c r="P613" s="211">
        <v>0</v>
      </c>
      <c r="Q613" s="211">
        <v>0</v>
      </c>
      <c r="R613" s="211">
        <v>0</v>
      </c>
      <c r="S613" s="211">
        <v>0</v>
      </c>
      <c r="T613" s="211">
        <v>0</v>
      </c>
      <c r="U613" s="211">
        <v>0</v>
      </c>
      <c r="V613" s="211">
        <v>0</v>
      </c>
      <c r="W613" s="211">
        <v>0.1</v>
      </c>
      <c r="X613" s="211">
        <v>0</v>
      </c>
      <c r="Y613" s="211">
        <v>7.44</v>
      </c>
      <c r="Z613" s="211">
        <v>0</v>
      </c>
      <c r="AA613" s="211">
        <v>0</v>
      </c>
      <c r="AB613" s="211">
        <v>0</v>
      </c>
      <c r="AC613" s="211">
        <v>0</v>
      </c>
      <c r="AD613" s="211">
        <v>0</v>
      </c>
      <c r="AE613" s="211">
        <v>0</v>
      </c>
      <c r="AF613" s="211">
        <v>0</v>
      </c>
      <c r="AG613" s="211">
        <v>8.16</v>
      </c>
    </row>
    <row r="614" spans="1:33" x14ac:dyDescent="0.25">
      <c r="A614" s="121"/>
      <c r="B614" s="137" t="s">
        <v>8</v>
      </c>
      <c r="C614" s="211">
        <v>0</v>
      </c>
      <c r="D614" s="211">
        <v>0</v>
      </c>
      <c r="E614" s="211">
        <v>0</v>
      </c>
      <c r="F614" s="211">
        <v>0</v>
      </c>
      <c r="G614" s="211">
        <v>0</v>
      </c>
      <c r="H614" s="211">
        <v>0</v>
      </c>
      <c r="I614" s="211">
        <v>0</v>
      </c>
      <c r="J614" s="211">
        <v>0</v>
      </c>
      <c r="K614" s="211">
        <v>0</v>
      </c>
      <c r="L614" s="211">
        <v>0</v>
      </c>
      <c r="M614" s="211">
        <v>0</v>
      </c>
      <c r="N614" s="211">
        <v>0</v>
      </c>
      <c r="O614" s="211">
        <v>0</v>
      </c>
      <c r="P614" s="211">
        <v>0</v>
      </c>
      <c r="Q614" s="211">
        <v>0</v>
      </c>
      <c r="R614" s="211">
        <v>0</v>
      </c>
      <c r="S614" s="211">
        <v>0</v>
      </c>
      <c r="T614" s="211">
        <v>0</v>
      </c>
      <c r="U614" s="211">
        <v>0</v>
      </c>
      <c r="V614" s="211">
        <v>0</v>
      </c>
      <c r="W614" s="211">
        <v>9.9000000000000005E-2</v>
      </c>
      <c r="X614" s="211">
        <v>0</v>
      </c>
      <c r="Y614" s="211">
        <v>0</v>
      </c>
      <c r="Z614" s="211">
        <v>0</v>
      </c>
      <c r="AA614" s="211">
        <v>0</v>
      </c>
      <c r="AB614" s="211">
        <v>0</v>
      </c>
      <c r="AC614" s="211">
        <v>0</v>
      </c>
      <c r="AD614" s="211">
        <v>0</v>
      </c>
      <c r="AE614" s="211">
        <v>0</v>
      </c>
      <c r="AF614" s="211">
        <v>0</v>
      </c>
      <c r="AG614" s="211">
        <v>9.9000000000000005E-2</v>
      </c>
    </row>
    <row r="615" spans="1:33" x14ac:dyDescent="0.25">
      <c r="A615" s="207" t="s">
        <v>665</v>
      </c>
      <c r="B615" s="208"/>
      <c r="C615" s="209"/>
      <c r="D615" s="209"/>
      <c r="E615" s="209"/>
      <c r="F615" s="209"/>
      <c r="G615" s="209"/>
      <c r="H615" s="209"/>
      <c r="I615" s="209"/>
      <c r="J615" s="209"/>
      <c r="K615" s="209"/>
      <c r="L615" s="209"/>
      <c r="M615" s="209"/>
      <c r="N615" s="209"/>
      <c r="O615" s="209"/>
      <c r="P615" s="209"/>
      <c r="Q615" s="209"/>
      <c r="R615" s="209"/>
      <c r="S615" s="209"/>
      <c r="T615" s="209"/>
      <c r="U615" s="209"/>
      <c r="V615" s="209"/>
      <c r="W615" s="209"/>
      <c r="X615" s="209"/>
      <c r="Y615" s="209"/>
      <c r="Z615" s="209"/>
      <c r="AA615" s="209"/>
      <c r="AB615" s="209"/>
      <c r="AC615" s="209"/>
      <c r="AD615" s="209"/>
      <c r="AE615" s="209"/>
      <c r="AF615" s="209"/>
      <c r="AG615" s="209"/>
    </row>
    <row r="616" spans="1:33" x14ac:dyDescent="0.25">
      <c r="A616" s="121"/>
      <c r="B616" s="210" t="s">
        <v>666</v>
      </c>
      <c r="C616" s="211">
        <v>0</v>
      </c>
      <c r="D616" s="211">
        <v>0</v>
      </c>
      <c r="E616" s="211">
        <v>0</v>
      </c>
      <c r="F616" s="211">
        <v>0</v>
      </c>
      <c r="G616" s="211">
        <v>0</v>
      </c>
      <c r="H616" s="211">
        <v>0</v>
      </c>
      <c r="I616" s="211">
        <v>0</v>
      </c>
      <c r="J616" s="211">
        <v>0</v>
      </c>
      <c r="K616" s="211">
        <v>0</v>
      </c>
      <c r="L616" s="211">
        <v>0</v>
      </c>
      <c r="M616" s="211">
        <v>0</v>
      </c>
      <c r="N616" s="211">
        <v>0</v>
      </c>
      <c r="O616" s="211">
        <v>0</v>
      </c>
      <c r="P616" s="211">
        <v>0</v>
      </c>
      <c r="Q616" s="211">
        <v>0</v>
      </c>
      <c r="R616" s="211">
        <v>0</v>
      </c>
      <c r="S616" s="211">
        <v>0</v>
      </c>
      <c r="T616" s="211">
        <v>0</v>
      </c>
      <c r="U616" s="211">
        <v>0</v>
      </c>
      <c r="V616" s="211">
        <v>0</v>
      </c>
      <c r="W616" s="211">
        <v>0.13569000000000001</v>
      </c>
      <c r="X616" s="211">
        <v>0</v>
      </c>
      <c r="Y616" s="211">
        <v>0</v>
      </c>
      <c r="Z616" s="211">
        <v>0</v>
      </c>
      <c r="AA616" s="211">
        <v>0</v>
      </c>
      <c r="AB616" s="211">
        <v>0</v>
      </c>
      <c r="AC616" s="211">
        <v>0</v>
      </c>
      <c r="AD616" s="211">
        <v>0</v>
      </c>
      <c r="AE616" s="211">
        <v>0</v>
      </c>
      <c r="AF616" s="211">
        <v>6.33908</v>
      </c>
      <c r="AG616" s="211">
        <v>6.4747700000000004</v>
      </c>
    </row>
    <row r="617" spans="1:33" x14ac:dyDescent="0.25">
      <c r="A617" s="121"/>
      <c r="B617" s="210" t="s">
        <v>667</v>
      </c>
      <c r="C617" s="211">
        <v>0</v>
      </c>
      <c r="D617" s="211">
        <v>0</v>
      </c>
      <c r="E617" s="211">
        <v>0</v>
      </c>
      <c r="F617" s="211">
        <v>0</v>
      </c>
      <c r="G617" s="211">
        <v>0.4</v>
      </c>
      <c r="H617" s="211">
        <v>0</v>
      </c>
      <c r="I617" s="211">
        <v>0</v>
      </c>
      <c r="J617" s="211">
        <v>0</v>
      </c>
      <c r="K617" s="211">
        <v>0</v>
      </c>
      <c r="L617" s="211">
        <v>0</v>
      </c>
      <c r="M617" s="211">
        <v>0</v>
      </c>
      <c r="N617" s="211">
        <v>0</v>
      </c>
      <c r="O617" s="211">
        <v>0</v>
      </c>
      <c r="P617" s="211">
        <v>0</v>
      </c>
      <c r="Q617" s="211">
        <v>0</v>
      </c>
      <c r="R617" s="211">
        <v>0</v>
      </c>
      <c r="S617" s="211">
        <v>0.45</v>
      </c>
      <c r="T617" s="211">
        <v>0</v>
      </c>
      <c r="U617" s="211">
        <v>0</v>
      </c>
      <c r="V617" s="211">
        <v>0</v>
      </c>
      <c r="W617" s="211">
        <v>0.106</v>
      </c>
      <c r="X617" s="211">
        <v>0</v>
      </c>
      <c r="Y617" s="211">
        <v>0</v>
      </c>
      <c r="Z617" s="211">
        <v>0</v>
      </c>
      <c r="AA617" s="211">
        <v>0</v>
      </c>
      <c r="AB617" s="211">
        <v>0</v>
      </c>
      <c r="AC617" s="211">
        <v>0</v>
      </c>
      <c r="AD617" s="211">
        <v>0</v>
      </c>
      <c r="AE617" s="211">
        <v>0</v>
      </c>
      <c r="AF617" s="211">
        <v>5.18</v>
      </c>
      <c r="AG617" s="211">
        <v>6.1360000000000001</v>
      </c>
    </row>
    <row r="618" spans="1:33" x14ac:dyDescent="0.25">
      <c r="A618" s="121"/>
      <c r="B618" s="210" t="s">
        <v>668</v>
      </c>
      <c r="C618" s="211">
        <v>0</v>
      </c>
      <c r="D618" s="211">
        <v>0</v>
      </c>
      <c r="E618" s="211">
        <v>0</v>
      </c>
      <c r="F618" s="211">
        <v>0</v>
      </c>
      <c r="G618" s="211">
        <v>0.25</v>
      </c>
      <c r="H618" s="211">
        <v>0</v>
      </c>
      <c r="I618" s="211">
        <v>0</v>
      </c>
      <c r="J618" s="211">
        <v>0</v>
      </c>
      <c r="K618" s="211">
        <v>0</v>
      </c>
      <c r="L618" s="211">
        <v>0</v>
      </c>
      <c r="M618" s="211">
        <v>0</v>
      </c>
      <c r="N618" s="211">
        <v>0</v>
      </c>
      <c r="O618" s="211">
        <v>0</v>
      </c>
      <c r="P618" s="211">
        <v>0</v>
      </c>
      <c r="Q618" s="211">
        <v>0</v>
      </c>
      <c r="R618" s="211">
        <v>0</v>
      </c>
      <c r="S618" s="211">
        <v>0</v>
      </c>
      <c r="T618" s="211">
        <v>0</v>
      </c>
      <c r="U618" s="211">
        <v>0</v>
      </c>
      <c r="V618" s="211">
        <v>0</v>
      </c>
      <c r="W618" s="211">
        <v>0.154</v>
      </c>
      <c r="X618" s="211">
        <v>0</v>
      </c>
      <c r="Y618" s="211">
        <v>0</v>
      </c>
      <c r="Z618" s="211">
        <v>0</v>
      </c>
      <c r="AA618" s="211">
        <v>0</v>
      </c>
      <c r="AB618" s="211">
        <v>0</v>
      </c>
      <c r="AC618" s="211">
        <v>0</v>
      </c>
      <c r="AD618" s="211">
        <v>0</v>
      </c>
      <c r="AE618" s="211">
        <v>0</v>
      </c>
      <c r="AF618" s="211">
        <v>9.89</v>
      </c>
      <c r="AG618" s="211">
        <v>10.294</v>
      </c>
    </row>
    <row r="619" spans="1:33" x14ac:dyDescent="0.25">
      <c r="A619" s="121"/>
      <c r="B619" s="210" t="s">
        <v>669</v>
      </c>
      <c r="C619" s="211">
        <v>0</v>
      </c>
      <c r="D619" s="211">
        <v>0</v>
      </c>
      <c r="E619" s="211">
        <v>0</v>
      </c>
      <c r="F619" s="211">
        <v>0</v>
      </c>
      <c r="G619" s="211">
        <v>0.77</v>
      </c>
      <c r="H619" s="211">
        <v>0</v>
      </c>
      <c r="I619" s="211">
        <v>0</v>
      </c>
      <c r="J619" s="211">
        <v>0</v>
      </c>
      <c r="K619" s="211">
        <v>0</v>
      </c>
      <c r="L619" s="211">
        <v>0</v>
      </c>
      <c r="M619" s="211">
        <v>0</v>
      </c>
      <c r="N619" s="211">
        <v>0</v>
      </c>
      <c r="O619" s="211">
        <v>0</v>
      </c>
      <c r="P619" s="211">
        <v>0</v>
      </c>
      <c r="Q619" s="211">
        <v>0</v>
      </c>
      <c r="R619" s="211">
        <v>0</v>
      </c>
      <c r="S619" s="211">
        <v>0</v>
      </c>
      <c r="T619" s="211">
        <v>0</v>
      </c>
      <c r="U619" s="211">
        <v>0</v>
      </c>
      <c r="V619" s="211">
        <v>0</v>
      </c>
      <c r="W619" s="211">
        <v>0.22700000000000001</v>
      </c>
      <c r="X619" s="211">
        <v>0</v>
      </c>
      <c r="Y619" s="211">
        <v>0</v>
      </c>
      <c r="Z619" s="211">
        <v>0</v>
      </c>
      <c r="AA619" s="211">
        <v>0</v>
      </c>
      <c r="AB619" s="211">
        <v>0</v>
      </c>
      <c r="AC619" s="211">
        <v>0</v>
      </c>
      <c r="AD619" s="211">
        <v>0</v>
      </c>
      <c r="AE619" s="211">
        <v>0</v>
      </c>
      <c r="AF619" s="211">
        <v>15.43</v>
      </c>
      <c r="AG619" s="211">
        <v>16.427</v>
      </c>
    </row>
    <row r="620" spans="1:33" x14ac:dyDescent="0.25">
      <c r="A620" s="121"/>
      <c r="B620" s="210" t="s">
        <v>670</v>
      </c>
      <c r="C620" s="211">
        <v>0</v>
      </c>
      <c r="D620" s="211">
        <v>0</v>
      </c>
      <c r="E620" s="211">
        <v>0</v>
      </c>
      <c r="F620" s="211">
        <v>46.768700000000003</v>
      </c>
      <c r="G620" s="211">
        <v>0.77</v>
      </c>
      <c r="H620" s="211">
        <v>3.7</v>
      </c>
      <c r="I620" s="211">
        <v>0</v>
      </c>
      <c r="J620" s="211">
        <v>0.69599999999999995</v>
      </c>
      <c r="K620" s="211">
        <v>4.2000000000000003E-2</v>
      </c>
      <c r="L620" s="211">
        <v>0</v>
      </c>
      <c r="M620" s="211">
        <v>49.662599999999998</v>
      </c>
      <c r="N620" s="211">
        <v>0</v>
      </c>
      <c r="O620" s="211">
        <v>0</v>
      </c>
      <c r="P620" s="211">
        <v>16.149999999999999</v>
      </c>
      <c r="Q620" s="211">
        <v>0</v>
      </c>
      <c r="R620" s="211">
        <v>0</v>
      </c>
      <c r="S620" s="211">
        <v>1.5</v>
      </c>
      <c r="T620" s="211">
        <v>0</v>
      </c>
      <c r="U620" s="211">
        <v>0</v>
      </c>
      <c r="V620" s="211">
        <v>0</v>
      </c>
      <c r="W620" s="211">
        <v>1.10554</v>
      </c>
      <c r="X620" s="211">
        <v>0</v>
      </c>
      <c r="Y620" s="211">
        <v>0</v>
      </c>
      <c r="Z620" s="211">
        <v>0</v>
      </c>
      <c r="AA620" s="211">
        <v>0</v>
      </c>
      <c r="AB620" s="211">
        <v>0</v>
      </c>
      <c r="AC620" s="211">
        <v>0</v>
      </c>
      <c r="AD620" s="211">
        <v>0</v>
      </c>
      <c r="AE620" s="211">
        <v>0</v>
      </c>
      <c r="AF620" s="211">
        <v>5.6942699999999999E-2</v>
      </c>
      <c r="AG620" s="211">
        <v>120.4517827</v>
      </c>
    </row>
    <row r="621" spans="1:33" x14ac:dyDescent="0.25">
      <c r="A621" s="207" t="s">
        <v>671</v>
      </c>
      <c r="B621" s="208"/>
      <c r="C621" s="209"/>
      <c r="D621" s="209"/>
      <c r="E621" s="209"/>
      <c r="F621" s="209"/>
      <c r="G621" s="209"/>
      <c r="H621" s="209"/>
      <c r="I621" s="209"/>
      <c r="J621" s="209"/>
      <c r="K621" s="209"/>
      <c r="L621" s="209"/>
      <c r="M621" s="209"/>
      <c r="N621" s="209"/>
      <c r="O621" s="209"/>
      <c r="P621" s="209"/>
      <c r="Q621" s="209"/>
      <c r="R621" s="209"/>
      <c r="S621" s="209"/>
      <c r="T621" s="209"/>
      <c r="U621" s="209"/>
      <c r="V621" s="209"/>
      <c r="W621" s="209"/>
      <c r="X621" s="209"/>
      <c r="Y621" s="209"/>
      <c r="Z621" s="209"/>
      <c r="AA621" s="209"/>
      <c r="AB621" s="209"/>
      <c r="AC621" s="209"/>
      <c r="AD621" s="209"/>
      <c r="AE621" s="209"/>
      <c r="AF621" s="209"/>
      <c r="AG621" s="209"/>
    </row>
    <row r="622" spans="1:33" x14ac:dyDescent="0.25">
      <c r="A622" s="121"/>
      <c r="B622" s="210" t="s">
        <v>672</v>
      </c>
      <c r="C622" s="211">
        <v>0</v>
      </c>
      <c r="D622" s="211">
        <v>0</v>
      </c>
      <c r="E622" s="211">
        <v>0</v>
      </c>
      <c r="F622" s="211">
        <v>0</v>
      </c>
      <c r="G622" s="211">
        <v>0</v>
      </c>
      <c r="H622" s="211">
        <v>0</v>
      </c>
      <c r="I622" s="211">
        <v>0</v>
      </c>
      <c r="J622" s="211">
        <v>2.4E-2</v>
      </c>
      <c r="K622" s="211">
        <v>0</v>
      </c>
      <c r="L622" s="211">
        <v>0</v>
      </c>
      <c r="M622" s="211">
        <v>0</v>
      </c>
      <c r="N622" s="211">
        <v>0</v>
      </c>
      <c r="O622" s="211">
        <v>0</v>
      </c>
      <c r="P622" s="211">
        <v>0</v>
      </c>
      <c r="Q622" s="211">
        <v>0</v>
      </c>
      <c r="R622" s="211">
        <v>0</v>
      </c>
      <c r="S622" s="211">
        <v>0</v>
      </c>
      <c r="T622" s="211">
        <v>0</v>
      </c>
      <c r="U622" s="211">
        <v>0</v>
      </c>
      <c r="V622" s="211">
        <v>0</v>
      </c>
      <c r="W622" s="211">
        <v>5.28E-2</v>
      </c>
      <c r="X622" s="211">
        <v>2.65</v>
      </c>
      <c r="Y622" s="211">
        <v>0.10299999999999999</v>
      </c>
      <c r="Z622" s="211">
        <v>0</v>
      </c>
      <c r="AA622" s="211">
        <v>0</v>
      </c>
      <c r="AB622" s="211">
        <v>0</v>
      </c>
      <c r="AC622" s="211">
        <v>0</v>
      </c>
      <c r="AD622" s="211">
        <v>0</v>
      </c>
      <c r="AE622" s="211">
        <v>0</v>
      </c>
      <c r="AF622" s="211">
        <v>0</v>
      </c>
      <c r="AG622" s="211">
        <v>2.8298000000000001</v>
      </c>
    </row>
    <row r="623" spans="1:33" x14ac:dyDescent="0.25">
      <c r="A623" s="121"/>
      <c r="B623" s="210" t="s">
        <v>673</v>
      </c>
      <c r="C623" s="211">
        <v>0</v>
      </c>
      <c r="D623" s="211">
        <v>0</v>
      </c>
      <c r="E623" s="211">
        <v>0</v>
      </c>
      <c r="F623" s="211">
        <v>0</v>
      </c>
      <c r="G623" s="211">
        <v>0</v>
      </c>
      <c r="H623" s="211">
        <v>0</v>
      </c>
      <c r="I623" s="211">
        <v>0</v>
      </c>
      <c r="J623" s="211">
        <v>3.7726299999999999</v>
      </c>
      <c r="K623" s="211">
        <v>0</v>
      </c>
      <c r="L623" s="211">
        <v>0</v>
      </c>
      <c r="M623" s="211">
        <v>0</v>
      </c>
      <c r="N623" s="211">
        <v>0</v>
      </c>
      <c r="O623" s="211">
        <v>103.583</v>
      </c>
      <c r="P623" s="211">
        <v>28</v>
      </c>
      <c r="Q623" s="211">
        <v>0.40600000000000003</v>
      </c>
      <c r="R623" s="211">
        <v>0</v>
      </c>
      <c r="S623" s="211">
        <v>0</v>
      </c>
      <c r="T623" s="211">
        <v>0</v>
      </c>
      <c r="U623" s="211">
        <v>0</v>
      </c>
      <c r="V623" s="211">
        <v>0</v>
      </c>
      <c r="W623" s="211">
        <v>2.2601200000000001</v>
      </c>
      <c r="X623" s="211">
        <v>0</v>
      </c>
      <c r="Y623" s="211">
        <v>0</v>
      </c>
      <c r="Z623" s="211">
        <v>0</v>
      </c>
      <c r="AA623" s="211">
        <v>0</v>
      </c>
      <c r="AB623" s="211">
        <v>0</v>
      </c>
      <c r="AC623" s="211">
        <v>0</v>
      </c>
      <c r="AD623" s="211">
        <v>0</v>
      </c>
      <c r="AE623" s="211">
        <v>0</v>
      </c>
      <c r="AF623" s="211">
        <v>0</v>
      </c>
      <c r="AG623" s="211">
        <v>138.02175000000003</v>
      </c>
    </row>
    <row r="624" spans="1:33" x14ac:dyDescent="0.25">
      <c r="A624" s="121"/>
      <c r="B624" s="210" t="s">
        <v>674</v>
      </c>
      <c r="C624" s="211">
        <v>0</v>
      </c>
      <c r="D624" s="211">
        <v>0</v>
      </c>
      <c r="E624" s="211">
        <v>0</v>
      </c>
      <c r="F624" s="211">
        <v>0</v>
      </c>
      <c r="G624" s="211">
        <v>0</v>
      </c>
      <c r="H624" s="211">
        <v>0</v>
      </c>
      <c r="I624" s="211">
        <v>0</v>
      </c>
      <c r="J624" s="211">
        <v>0.08</v>
      </c>
      <c r="K624" s="211">
        <v>0</v>
      </c>
      <c r="L624" s="211">
        <v>0</v>
      </c>
      <c r="M624" s="211">
        <v>0</v>
      </c>
      <c r="N624" s="211">
        <v>0</v>
      </c>
      <c r="O624" s="211">
        <v>0</v>
      </c>
      <c r="P624" s="211">
        <v>1.5720000000000001</v>
      </c>
      <c r="Q624" s="211">
        <v>0</v>
      </c>
      <c r="R624" s="211">
        <v>17.414999999999999</v>
      </c>
      <c r="S624" s="211">
        <v>11.061999999999999</v>
      </c>
      <c r="T624" s="211">
        <v>0</v>
      </c>
      <c r="U624" s="211">
        <v>0</v>
      </c>
      <c r="V624" s="211">
        <v>0</v>
      </c>
      <c r="W624" s="211">
        <v>0.6</v>
      </c>
      <c r="X624" s="211">
        <v>1.581</v>
      </c>
      <c r="Y624" s="211">
        <v>0</v>
      </c>
      <c r="Z624" s="211">
        <v>0</v>
      </c>
      <c r="AA624" s="211">
        <v>0</v>
      </c>
      <c r="AB624" s="211">
        <v>0</v>
      </c>
      <c r="AC624" s="211">
        <v>0</v>
      </c>
      <c r="AD624" s="211">
        <v>0</v>
      </c>
      <c r="AE624" s="211">
        <v>0</v>
      </c>
      <c r="AF624" s="211">
        <v>0</v>
      </c>
      <c r="AG624" s="211">
        <v>32.31</v>
      </c>
    </row>
    <row r="625" spans="1:33" x14ac:dyDescent="0.25">
      <c r="A625" s="207" t="s">
        <v>52</v>
      </c>
      <c r="B625" s="208"/>
      <c r="C625" s="209"/>
      <c r="D625" s="209"/>
      <c r="E625" s="209"/>
      <c r="F625" s="209"/>
      <c r="G625" s="209"/>
      <c r="H625" s="209"/>
      <c r="I625" s="209"/>
      <c r="J625" s="209"/>
      <c r="K625" s="209"/>
      <c r="L625" s="209"/>
      <c r="M625" s="209"/>
      <c r="N625" s="209"/>
      <c r="O625" s="209"/>
      <c r="P625" s="209"/>
      <c r="Q625" s="209"/>
      <c r="R625" s="209"/>
      <c r="S625" s="209"/>
      <c r="T625" s="209"/>
      <c r="U625" s="209"/>
      <c r="V625" s="209"/>
      <c r="W625" s="209"/>
      <c r="X625" s="209"/>
      <c r="Y625" s="209"/>
      <c r="Z625" s="209"/>
      <c r="AA625" s="209"/>
      <c r="AB625" s="209"/>
      <c r="AC625" s="209"/>
      <c r="AD625" s="209"/>
      <c r="AE625" s="209"/>
      <c r="AF625" s="209"/>
      <c r="AG625" s="209"/>
    </row>
    <row r="626" spans="1:33" x14ac:dyDescent="0.25">
      <c r="A626" s="121"/>
      <c r="B626" s="210" t="s">
        <v>675</v>
      </c>
      <c r="C626" s="211">
        <v>0</v>
      </c>
      <c r="D626" s="211">
        <v>181.98099999999999</v>
      </c>
      <c r="E626" s="211">
        <v>0</v>
      </c>
      <c r="F626" s="211">
        <v>0</v>
      </c>
      <c r="G626" s="211">
        <v>0</v>
      </c>
      <c r="H626" s="211">
        <v>0</v>
      </c>
      <c r="I626" s="211">
        <v>0</v>
      </c>
      <c r="J626" s="211">
        <v>10.045</v>
      </c>
      <c r="K626" s="211">
        <v>17.312999999999999</v>
      </c>
      <c r="L626" s="211">
        <v>0</v>
      </c>
      <c r="M626" s="211">
        <v>0</v>
      </c>
      <c r="N626" s="211">
        <v>0</v>
      </c>
      <c r="O626" s="211">
        <v>0</v>
      </c>
      <c r="P626" s="211">
        <v>13.66</v>
      </c>
      <c r="Q626" s="211">
        <v>24.94</v>
      </c>
      <c r="R626" s="211">
        <v>28.706</v>
      </c>
      <c r="S626" s="211">
        <v>0</v>
      </c>
      <c r="T626" s="211">
        <v>0</v>
      </c>
      <c r="U626" s="211">
        <v>0</v>
      </c>
      <c r="V626" s="211">
        <v>0</v>
      </c>
      <c r="W626" s="211">
        <v>8.6880000000000006</v>
      </c>
      <c r="X626" s="211">
        <v>0</v>
      </c>
      <c r="Y626" s="211">
        <v>0.16</v>
      </c>
      <c r="Z626" s="211">
        <v>0</v>
      </c>
      <c r="AA626" s="211">
        <v>0</v>
      </c>
      <c r="AB626" s="211">
        <v>0</v>
      </c>
      <c r="AC626" s="211">
        <v>0</v>
      </c>
      <c r="AD626" s="211">
        <v>0</v>
      </c>
      <c r="AE626" s="211">
        <v>0</v>
      </c>
      <c r="AF626" s="211">
        <v>7.1870599999999998</v>
      </c>
      <c r="AG626" s="211">
        <v>292.68005999999997</v>
      </c>
    </row>
    <row r="627" spans="1:33" x14ac:dyDescent="0.25">
      <c r="A627" s="121"/>
      <c r="B627" s="210" t="s">
        <v>676</v>
      </c>
      <c r="C627" s="211">
        <v>0</v>
      </c>
      <c r="D627" s="211">
        <v>0</v>
      </c>
      <c r="E627" s="211">
        <v>0</v>
      </c>
      <c r="F627" s="211">
        <v>0</v>
      </c>
      <c r="G627" s="211">
        <v>0</v>
      </c>
      <c r="H627" s="211">
        <v>0</v>
      </c>
      <c r="I627" s="211">
        <v>0</v>
      </c>
      <c r="J627" s="211">
        <v>0.67300000000000004</v>
      </c>
      <c r="K627" s="211">
        <v>0</v>
      </c>
      <c r="L627" s="211">
        <v>0</v>
      </c>
      <c r="M627" s="211">
        <v>0</v>
      </c>
      <c r="N627" s="211">
        <v>0</v>
      </c>
      <c r="O627" s="211">
        <v>0</v>
      </c>
      <c r="P627" s="211">
        <v>2.6389999999999998</v>
      </c>
      <c r="Q627" s="211">
        <v>0</v>
      </c>
      <c r="R627" s="211">
        <v>15.845000000000001</v>
      </c>
      <c r="S627" s="211">
        <v>0</v>
      </c>
      <c r="T627" s="211">
        <v>0</v>
      </c>
      <c r="U627" s="211">
        <v>0</v>
      </c>
      <c r="V627" s="211">
        <v>0</v>
      </c>
      <c r="W627" s="211">
        <v>0.44400000000000001</v>
      </c>
      <c r="X627" s="211">
        <v>0</v>
      </c>
      <c r="Y627" s="211">
        <v>0</v>
      </c>
      <c r="Z627" s="211">
        <v>0</v>
      </c>
      <c r="AA627" s="211">
        <v>0</v>
      </c>
      <c r="AB627" s="211">
        <v>0</v>
      </c>
      <c r="AC627" s="211">
        <v>0</v>
      </c>
      <c r="AD627" s="211">
        <v>0</v>
      </c>
      <c r="AE627" s="211">
        <v>0</v>
      </c>
      <c r="AF627" s="211">
        <v>0</v>
      </c>
      <c r="AG627" s="211">
        <v>19.600999999999999</v>
      </c>
    </row>
    <row r="628" spans="1:33" x14ac:dyDescent="0.25">
      <c r="A628" s="121"/>
      <c r="B628" s="210" t="s">
        <v>677</v>
      </c>
      <c r="C628" s="211">
        <v>0</v>
      </c>
      <c r="D628" s="211">
        <v>0</v>
      </c>
      <c r="E628" s="211">
        <v>0</v>
      </c>
      <c r="F628" s="211">
        <v>0</v>
      </c>
      <c r="G628" s="211">
        <v>0</v>
      </c>
      <c r="H628" s="211">
        <v>0</v>
      </c>
      <c r="I628" s="211">
        <v>0</v>
      </c>
      <c r="J628" s="211">
        <v>4.4939999999999998</v>
      </c>
      <c r="K628" s="211">
        <v>0.36853900000000001</v>
      </c>
      <c r="L628" s="211">
        <v>0</v>
      </c>
      <c r="M628" s="211">
        <v>0</v>
      </c>
      <c r="N628" s="211">
        <v>0</v>
      </c>
      <c r="O628" s="211">
        <v>0</v>
      </c>
      <c r="P628" s="211">
        <v>0</v>
      </c>
      <c r="Q628" s="211">
        <v>23.283999999999999</v>
      </c>
      <c r="R628" s="211">
        <v>0</v>
      </c>
      <c r="S628" s="211">
        <v>0</v>
      </c>
      <c r="T628" s="211">
        <v>0</v>
      </c>
      <c r="U628" s="211">
        <v>0</v>
      </c>
      <c r="V628" s="211">
        <v>0</v>
      </c>
      <c r="W628" s="211">
        <v>8.7999999999999995E-2</v>
      </c>
      <c r="X628" s="211">
        <v>0</v>
      </c>
      <c r="Y628" s="211">
        <v>0</v>
      </c>
      <c r="Z628" s="211">
        <v>0</v>
      </c>
      <c r="AA628" s="211">
        <v>0</v>
      </c>
      <c r="AB628" s="211">
        <v>0</v>
      </c>
      <c r="AC628" s="211">
        <v>0</v>
      </c>
      <c r="AD628" s="211">
        <v>0</v>
      </c>
      <c r="AE628" s="211">
        <v>0</v>
      </c>
      <c r="AF628" s="211">
        <v>0.74157300000000004</v>
      </c>
      <c r="AG628" s="211">
        <v>28.976111999999997</v>
      </c>
    </row>
    <row r="629" spans="1:33" x14ac:dyDescent="0.25">
      <c r="A629" s="121"/>
      <c r="B629" s="210" t="s">
        <v>678</v>
      </c>
      <c r="C629" s="211">
        <v>0</v>
      </c>
      <c r="D629" s="211">
        <v>0</v>
      </c>
      <c r="E629" s="211">
        <v>0</v>
      </c>
      <c r="F629" s="211">
        <v>0</v>
      </c>
      <c r="G629" s="211">
        <v>0</v>
      </c>
      <c r="H629" s="211">
        <v>0</v>
      </c>
      <c r="I629" s="211">
        <v>0</v>
      </c>
      <c r="J629" s="211">
        <v>0.316</v>
      </c>
      <c r="K629" s="211">
        <v>0</v>
      </c>
      <c r="L629" s="211">
        <v>0</v>
      </c>
      <c r="M629" s="211">
        <v>0</v>
      </c>
      <c r="N629" s="211">
        <v>0</v>
      </c>
      <c r="O629" s="211">
        <v>0</v>
      </c>
      <c r="P629" s="211">
        <v>0</v>
      </c>
      <c r="Q629" s="211">
        <v>0</v>
      </c>
      <c r="R629" s="211">
        <v>0</v>
      </c>
      <c r="S629" s="211">
        <v>0</v>
      </c>
      <c r="T629" s="211">
        <v>0</v>
      </c>
      <c r="U629" s="211">
        <v>0</v>
      </c>
      <c r="V629" s="211">
        <v>0</v>
      </c>
      <c r="W629" s="211">
        <v>0.125</v>
      </c>
      <c r="X629" s="211">
        <v>7.12</v>
      </c>
      <c r="Y629" s="211">
        <v>0</v>
      </c>
      <c r="Z629" s="211">
        <v>0</v>
      </c>
      <c r="AA629" s="211">
        <v>0</v>
      </c>
      <c r="AB629" s="211">
        <v>0</v>
      </c>
      <c r="AC629" s="211">
        <v>0</v>
      </c>
      <c r="AD629" s="211">
        <v>0</v>
      </c>
      <c r="AE629" s="211">
        <v>0</v>
      </c>
      <c r="AF629" s="211">
        <v>0</v>
      </c>
      <c r="AG629" s="211">
        <v>7.5609999999999999</v>
      </c>
    </row>
    <row r="630" spans="1:33" x14ac:dyDescent="0.25">
      <c r="A630" s="121"/>
      <c r="B630" s="210" t="s">
        <v>679</v>
      </c>
      <c r="C630" s="211">
        <v>0</v>
      </c>
      <c r="D630" s="211">
        <v>0</v>
      </c>
      <c r="E630" s="211">
        <v>0</v>
      </c>
      <c r="F630" s="211">
        <v>0</v>
      </c>
      <c r="G630" s="211">
        <v>0</v>
      </c>
      <c r="H630" s="211">
        <v>0</v>
      </c>
      <c r="I630" s="211">
        <v>0</v>
      </c>
      <c r="J630" s="211">
        <v>0</v>
      </c>
      <c r="K630" s="211">
        <v>0</v>
      </c>
      <c r="L630" s="211">
        <v>3.0247999999999999</v>
      </c>
      <c r="M630" s="211">
        <v>0</v>
      </c>
      <c r="N630" s="211">
        <v>0</v>
      </c>
      <c r="O630" s="211">
        <v>0</v>
      </c>
      <c r="P630" s="211">
        <v>6.3579999999999997</v>
      </c>
      <c r="Q630" s="211">
        <v>35.323</v>
      </c>
      <c r="R630" s="211">
        <v>43.165900000000001</v>
      </c>
      <c r="S630" s="211">
        <v>17.516200000000001</v>
      </c>
      <c r="T630" s="211">
        <v>0</v>
      </c>
      <c r="U630" s="211">
        <v>0</v>
      </c>
      <c r="V630" s="211">
        <v>0</v>
      </c>
      <c r="W630" s="211">
        <v>2.1694900000000001</v>
      </c>
      <c r="X630" s="211">
        <v>0</v>
      </c>
      <c r="Y630" s="211">
        <v>0</v>
      </c>
      <c r="Z630" s="211">
        <v>0</v>
      </c>
      <c r="AA630" s="211">
        <v>0</v>
      </c>
      <c r="AB630" s="211">
        <v>0</v>
      </c>
      <c r="AC630" s="211">
        <v>0</v>
      </c>
      <c r="AD630" s="211">
        <v>0</v>
      </c>
      <c r="AE630" s="211">
        <v>0</v>
      </c>
      <c r="AF630" s="211">
        <v>6.9790900000000002</v>
      </c>
      <c r="AG630" s="211">
        <v>114.53648</v>
      </c>
    </row>
    <row r="631" spans="1:33" x14ac:dyDescent="0.25">
      <c r="A631" s="121"/>
      <c r="B631" s="210" t="s">
        <v>680</v>
      </c>
      <c r="C631" s="211">
        <v>0</v>
      </c>
      <c r="D631" s="211">
        <v>0</v>
      </c>
      <c r="E631" s="211">
        <v>0</v>
      </c>
      <c r="F631" s="211">
        <v>58.6646</v>
      </c>
      <c r="G631" s="211">
        <v>0</v>
      </c>
      <c r="H631" s="211">
        <v>2.5488400000000002</v>
      </c>
      <c r="I631" s="211">
        <v>0</v>
      </c>
      <c r="J631" s="211">
        <v>0.37</v>
      </c>
      <c r="K631" s="211">
        <v>0</v>
      </c>
      <c r="L631" s="211">
        <v>0</v>
      </c>
      <c r="M631" s="211">
        <v>0.47092200000000001</v>
      </c>
      <c r="N631" s="211">
        <v>0</v>
      </c>
      <c r="O631" s="211">
        <v>0.652092</v>
      </c>
      <c r="P631" s="211">
        <v>36.97</v>
      </c>
      <c r="Q631" s="211">
        <v>0</v>
      </c>
      <c r="R631" s="211">
        <v>29.447399999999998</v>
      </c>
      <c r="S631" s="211">
        <v>3.3047199999999999E-2</v>
      </c>
      <c r="T631" s="211">
        <v>0</v>
      </c>
      <c r="U631" s="211">
        <v>6.1870000000000003</v>
      </c>
      <c r="V631" s="211">
        <v>0</v>
      </c>
      <c r="W631" s="211">
        <v>3.4624199999999998</v>
      </c>
      <c r="X631" s="211">
        <v>0</v>
      </c>
      <c r="Y631" s="211">
        <v>0</v>
      </c>
      <c r="Z631" s="211">
        <v>0</v>
      </c>
      <c r="AA631" s="211">
        <v>0</v>
      </c>
      <c r="AB631" s="211">
        <v>0</v>
      </c>
      <c r="AC631" s="211">
        <v>0</v>
      </c>
      <c r="AD631" s="211">
        <v>0</v>
      </c>
      <c r="AE631" s="211">
        <v>0</v>
      </c>
      <c r="AF631" s="211">
        <v>10.266999999999999</v>
      </c>
      <c r="AG631" s="211">
        <v>149.07332120000001</v>
      </c>
    </row>
    <row r="632" spans="1:33" x14ac:dyDescent="0.25">
      <c r="A632" s="121"/>
      <c r="B632" s="210" t="s">
        <v>681</v>
      </c>
      <c r="C632" s="211">
        <v>0</v>
      </c>
      <c r="D632" s="211">
        <v>0</v>
      </c>
      <c r="E632" s="211">
        <v>0</v>
      </c>
      <c r="F632" s="211">
        <v>12.379</v>
      </c>
      <c r="G632" s="211">
        <v>0</v>
      </c>
      <c r="H632" s="211">
        <v>0</v>
      </c>
      <c r="I632" s="211">
        <v>0</v>
      </c>
      <c r="J632" s="211">
        <v>0.14599999999999999</v>
      </c>
      <c r="K632" s="211">
        <v>0</v>
      </c>
      <c r="L632" s="211">
        <v>0</v>
      </c>
      <c r="M632" s="211">
        <v>10.077</v>
      </c>
      <c r="N632" s="211">
        <v>0</v>
      </c>
      <c r="O632" s="211">
        <v>0</v>
      </c>
      <c r="P632" s="211">
        <v>7.8280000000000003</v>
      </c>
      <c r="Q632" s="211">
        <v>6.8879999999999999</v>
      </c>
      <c r="R632" s="211">
        <v>0</v>
      </c>
      <c r="S632" s="211">
        <v>9.3350000000000009</v>
      </c>
      <c r="T632" s="211">
        <v>0</v>
      </c>
      <c r="U632" s="211">
        <v>0</v>
      </c>
      <c r="V632" s="211">
        <v>0</v>
      </c>
      <c r="W632" s="211">
        <v>0.95699999999999996</v>
      </c>
      <c r="X632" s="211">
        <v>0</v>
      </c>
      <c r="Y632" s="211">
        <v>0</v>
      </c>
      <c r="Z632" s="211">
        <v>0</v>
      </c>
      <c r="AA632" s="211">
        <v>0</v>
      </c>
      <c r="AB632" s="211">
        <v>0</v>
      </c>
      <c r="AC632" s="211">
        <v>0</v>
      </c>
      <c r="AD632" s="211">
        <v>0</v>
      </c>
      <c r="AE632" s="211">
        <v>0</v>
      </c>
      <c r="AF632" s="211">
        <v>0</v>
      </c>
      <c r="AG632" s="211">
        <v>47.61</v>
      </c>
    </row>
    <row r="633" spans="1:33" x14ac:dyDescent="0.25">
      <c r="A633" s="121"/>
      <c r="B633" s="210" t="s">
        <v>682</v>
      </c>
      <c r="C633" s="211">
        <v>0</v>
      </c>
      <c r="D633" s="211">
        <v>0</v>
      </c>
      <c r="E633" s="211">
        <v>0</v>
      </c>
      <c r="F633" s="211">
        <v>0</v>
      </c>
      <c r="G633" s="211">
        <v>0</v>
      </c>
      <c r="H633" s="211">
        <v>0</v>
      </c>
      <c r="I633" s="211">
        <v>0</v>
      </c>
      <c r="J633" s="211">
        <v>0.27100000000000002</v>
      </c>
      <c r="K633" s="211">
        <v>0</v>
      </c>
      <c r="L633" s="211">
        <v>0.70470600000000005</v>
      </c>
      <c r="M633" s="211">
        <v>0</v>
      </c>
      <c r="N633" s="211">
        <v>0</v>
      </c>
      <c r="O633" s="211">
        <v>0</v>
      </c>
      <c r="P633" s="211">
        <v>0</v>
      </c>
      <c r="Q633" s="211">
        <v>11.834</v>
      </c>
      <c r="R633" s="211">
        <v>0</v>
      </c>
      <c r="S633" s="211">
        <v>0</v>
      </c>
      <c r="T633" s="211">
        <v>0</v>
      </c>
      <c r="U633" s="211">
        <v>0</v>
      </c>
      <c r="V633" s="211">
        <v>0</v>
      </c>
      <c r="W633" s="211">
        <v>4.5999999999999999E-2</v>
      </c>
      <c r="X633" s="211">
        <v>0</v>
      </c>
      <c r="Y633" s="211">
        <v>0</v>
      </c>
      <c r="Z633" s="211">
        <v>0</v>
      </c>
      <c r="AA633" s="211">
        <v>0</v>
      </c>
      <c r="AB633" s="211">
        <v>0</v>
      </c>
      <c r="AC633" s="211">
        <v>0</v>
      </c>
      <c r="AD633" s="211">
        <v>0</v>
      </c>
      <c r="AE633" s="211">
        <v>0</v>
      </c>
      <c r="AF633" s="211">
        <v>6.0341199999999997</v>
      </c>
      <c r="AG633" s="211">
        <v>18.889825999999999</v>
      </c>
    </row>
    <row r="634" spans="1:33" x14ac:dyDescent="0.25">
      <c r="A634" s="121"/>
      <c r="B634" s="210" t="s">
        <v>683</v>
      </c>
      <c r="C634" s="211">
        <v>0</v>
      </c>
      <c r="D634" s="211">
        <v>0</v>
      </c>
      <c r="E634" s="211">
        <v>0</v>
      </c>
      <c r="F634" s="211">
        <v>0</v>
      </c>
      <c r="G634" s="211">
        <v>0</v>
      </c>
      <c r="H634" s="211">
        <v>0</v>
      </c>
      <c r="I634" s="211">
        <v>0</v>
      </c>
      <c r="J634" s="211">
        <v>0.41299999999999998</v>
      </c>
      <c r="K634" s="211">
        <v>0</v>
      </c>
      <c r="L634" s="211">
        <v>0</v>
      </c>
      <c r="M634" s="211">
        <v>0</v>
      </c>
      <c r="N634" s="211">
        <v>0</v>
      </c>
      <c r="O634" s="211">
        <v>0</v>
      </c>
      <c r="P634" s="211">
        <v>0</v>
      </c>
      <c r="Q634" s="211">
        <v>0</v>
      </c>
      <c r="R634" s="211">
        <v>0</v>
      </c>
      <c r="S634" s="211">
        <v>2.419</v>
      </c>
      <c r="T634" s="211">
        <v>0</v>
      </c>
      <c r="U634" s="211">
        <v>0</v>
      </c>
      <c r="V634" s="211">
        <v>0</v>
      </c>
      <c r="W634" s="211">
        <v>0.33500000000000002</v>
      </c>
      <c r="X634" s="211">
        <v>0.56899999999999995</v>
      </c>
      <c r="Y634" s="211">
        <v>0</v>
      </c>
      <c r="Z634" s="211">
        <v>0</v>
      </c>
      <c r="AA634" s="211">
        <v>0</v>
      </c>
      <c r="AB634" s="211">
        <v>0</v>
      </c>
      <c r="AC634" s="211">
        <v>0</v>
      </c>
      <c r="AD634" s="211">
        <v>0</v>
      </c>
      <c r="AE634" s="211">
        <v>0</v>
      </c>
      <c r="AF634" s="211">
        <v>11.605</v>
      </c>
      <c r="AG634" s="211">
        <v>15.341000000000001</v>
      </c>
    </row>
    <row r="635" spans="1:33" x14ac:dyDescent="0.25">
      <c r="A635" s="121"/>
      <c r="B635" s="210" t="s">
        <v>684</v>
      </c>
      <c r="C635" s="211">
        <v>0</v>
      </c>
      <c r="D635" s="211">
        <v>0</v>
      </c>
      <c r="E635" s="211">
        <v>0</v>
      </c>
      <c r="F635" s="211">
        <v>51.36</v>
      </c>
      <c r="G635" s="211">
        <v>0</v>
      </c>
      <c r="H635" s="211">
        <v>0</v>
      </c>
      <c r="I635" s="211">
        <v>0</v>
      </c>
      <c r="J635" s="211">
        <v>1.4119999999999999</v>
      </c>
      <c r="K635" s="211">
        <v>0</v>
      </c>
      <c r="L635" s="211">
        <v>0</v>
      </c>
      <c r="M635" s="211">
        <v>40.195999999999998</v>
      </c>
      <c r="N635" s="211">
        <v>0</v>
      </c>
      <c r="O635" s="211">
        <v>0</v>
      </c>
      <c r="P635" s="211">
        <v>0</v>
      </c>
      <c r="Q635" s="211">
        <v>0</v>
      </c>
      <c r="R635" s="211">
        <v>0</v>
      </c>
      <c r="S635" s="211">
        <v>8.7550000000000008</v>
      </c>
      <c r="T635" s="211">
        <v>0</v>
      </c>
      <c r="U635" s="211">
        <v>0</v>
      </c>
      <c r="V635" s="211">
        <v>0</v>
      </c>
      <c r="W635" s="211">
        <v>2.5230000000000001</v>
      </c>
      <c r="X635" s="211">
        <v>0</v>
      </c>
      <c r="Y635" s="211">
        <v>0</v>
      </c>
      <c r="Z635" s="211">
        <v>0</v>
      </c>
      <c r="AA635" s="211">
        <v>0</v>
      </c>
      <c r="AB635" s="211">
        <v>0</v>
      </c>
      <c r="AC635" s="211">
        <v>0</v>
      </c>
      <c r="AD635" s="211">
        <v>0</v>
      </c>
      <c r="AE635" s="211">
        <v>0</v>
      </c>
      <c r="AF635" s="211">
        <v>0</v>
      </c>
      <c r="AG635" s="211">
        <v>104.24599999999998</v>
      </c>
    </row>
    <row r="636" spans="1:33" x14ac:dyDescent="0.25">
      <c r="A636" s="121"/>
      <c r="B636" s="210" t="s">
        <v>685</v>
      </c>
      <c r="C636" s="211">
        <v>0</v>
      </c>
      <c r="D636" s="211">
        <v>8.6739200000000007</v>
      </c>
      <c r="E636" s="211">
        <v>0</v>
      </c>
      <c r="F636" s="211">
        <v>0</v>
      </c>
      <c r="G636" s="211">
        <v>0</v>
      </c>
      <c r="H636" s="211">
        <v>0</v>
      </c>
      <c r="I636" s="211">
        <v>14.81</v>
      </c>
      <c r="J636" s="211">
        <v>1.35971</v>
      </c>
      <c r="K636" s="211">
        <v>0</v>
      </c>
      <c r="L636" s="211">
        <v>10.8201</v>
      </c>
      <c r="M636" s="211">
        <v>18.459099999999999</v>
      </c>
      <c r="N636" s="211">
        <v>0</v>
      </c>
      <c r="O636" s="211">
        <v>134.31200000000001</v>
      </c>
      <c r="P636" s="211">
        <v>23.391999999999999</v>
      </c>
      <c r="Q636" s="211">
        <v>28.494</v>
      </c>
      <c r="R636" s="211">
        <v>0</v>
      </c>
      <c r="S636" s="211">
        <v>7.3144099999999996</v>
      </c>
      <c r="T636" s="211">
        <v>0</v>
      </c>
      <c r="U636" s="211">
        <v>0</v>
      </c>
      <c r="V636" s="211">
        <v>0</v>
      </c>
      <c r="W636" s="211">
        <v>6.9077799999999998</v>
      </c>
      <c r="X636" s="211">
        <v>0</v>
      </c>
      <c r="Y636" s="211">
        <v>0</v>
      </c>
      <c r="Z636" s="211">
        <v>0</v>
      </c>
      <c r="AA636" s="211">
        <v>0</v>
      </c>
      <c r="AB636" s="211">
        <v>0</v>
      </c>
      <c r="AC636" s="211">
        <v>0</v>
      </c>
      <c r="AD636" s="211">
        <v>0</v>
      </c>
      <c r="AE636" s="211">
        <v>0</v>
      </c>
      <c r="AF636" s="211">
        <v>0</v>
      </c>
      <c r="AG636" s="211">
        <v>254.54302000000001</v>
      </c>
    </row>
    <row r="637" spans="1:33" x14ac:dyDescent="0.25">
      <c r="A637" s="121"/>
      <c r="B637" s="210" t="s">
        <v>686</v>
      </c>
      <c r="C637" s="211">
        <v>0</v>
      </c>
      <c r="D637" s="211">
        <v>0</v>
      </c>
      <c r="E637" s="211">
        <v>0</v>
      </c>
      <c r="F637" s="211">
        <v>0</v>
      </c>
      <c r="G637" s="211">
        <v>0</v>
      </c>
      <c r="H637" s="211">
        <v>0</v>
      </c>
      <c r="I637" s="211">
        <v>0</v>
      </c>
      <c r="J637" s="211">
        <v>8.9999999999999993E-3</v>
      </c>
      <c r="K637" s="211">
        <v>0</v>
      </c>
      <c r="L637" s="211">
        <v>0</v>
      </c>
      <c r="M637" s="211">
        <v>0</v>
      </c>
      <c r="N637" s="211">
        <v>0</v>
      </c>
      <c r="O637" s="211">
        <v>0</v>
      </c>
      <c r="P637" s="211">
        <v>0</v>
      </c>
      <c r="Q637" s="211">
        <v>0</v>
      </c>
      <c r="R637" s="211">
        <v>0</v>
      </c>
      <c r="S637" s="211">
        <v>0</v>
      </c>
      <c r="T637" s="211">
        <v>0</v>
      </c>
      <c r="U637" s="211">
        <v>0</v>
      </c>
      <c r="V637" s="211">
        <v>0</v>
      </c>
      <c r="W637" s="211">
        <v>0.06</v>
      </c>
      <c r="X637" s="211">
        <v>2.577</v>
      </c>
      <c r="Y637" s="211">
        <v>0</v>
      </c>
      <c r="Z637" s="211">
        <v>0</v>
      </c>
      <c r="AA637" s="211">
        <v>0</v>
      </c>
      <c r="AB637" s="211">
        <v>0</v>
      </c>
      <c r="AC637" s="211">
        <v>0</v>
      </c>
      <c r="AD637" s="211">
        <v>0</v>
      </c>
      <c r="AE637" s="211">
        <v>0</v>
      </c>
      <c r="AF637" s="211">
        <v>0</v>
      </c>
      <c r="AG637" s="211">
        <v>2.6459999999999999</v>
      </c>
    </row>
    <row r="638" spans="1:33" x14ac:dyDescent="0.25">
      <c r="A638" s="121"/>
      <c r="B638" s="210" t="s">
        <v>687</v>
      </c>
      <c r="C638" s="211">
        <v>0</v>
      </c>
      <c r="D638" s="211">
        <v>0</v>
      </c>
      <c r="E638" s="211">
        <v>0</v>
      </c>
      <c r="F638" s="211">
        <v>0</v>
      </c>
      <c r="G638" s="211">
        <v>0</v>
      </c>
      <c r="H638" s="211">
        <v>0</v>
      </c>
      <c r="I638" s="211">
        <v>0</v>
      </c>
      <c r="J638" s="211">
        <v>0.59599999999999997</v>
      </c>
      <c r="K638" s="211">
        <v>3.468</v>
      </c>
      <c r="L638" s="211">
        <v>0</v>
      </c>
      <c r="M638" s="211">
        <v>0</v>
      </c>
      <c r="N638" s="211">
        <v>0</v>
      </c>
      <c r="O638" s="211">
        <v>0</v>
      </c>
      <c r="P638" s="211">
        <v>0</v>
      </c>
      <c r="Q638" s="211">
        <v>20.366</v>
      </c>
      <c r="R638" s="211">
        <v>0</v>
      </c>
      <c r="S638" s="211">
        <v>0</v>
      </c>
      <c r="T638" s="211">
        <v>0</v>
      </c>
      <c r="U638" s="211">
        <v>0</v>
      </c>
      <c r="V638" s="211">
        <v>0</v>
      </c>
      <c r="W638" s="211">
        <v>0.70699999999999996</v>
      </c>
      <c r="X638" s="211">
        <v>0</v>
      </c>
      <c r="Y638" s="211">
        <v>33.186999999999998</v>
      </c>
      <c r="Z638" s="211">
        <v>0</v>
      </c>
      <c r="AA638" s="211">
        <v>0</v>
      </c>
      <c r="AB638" s="211">
        <v>0</v>
      </c>
      <c r="AC638" s="211">
        <v>0</v>
      </c>
      <c r="AD638" s="211">
        <v>0</v>
      </c>
      <c r="AE638" s="211">
        <v>0</v>
      </c>
      <c r="AF638" s="211">
        <v>0</v>
      </c>
      <c r="AG638" s="211">
        <v>58.323999999999998</v>
      </c>
    </row>
    <row r="639" spans="1:33" x14ac:dyDescent="0.25">
      <c r="A639" s="121"/>
      <c r="B639" s="210" t="s">
        <v>688</v>
      </c>
      <c r="C639" s="211">
        <v>0</v>
      </c>
      <c r="D639" s="211">
        <v>0</v>
      </c>
      <c r="E639" s="211">
        <v>0</v>
      </c>
      <c r="F639" s="211">
        <v>0</v>
      </c>
      <c r="G639" s="211">
        <v>0</v>
      </c>
      <c r="H639" s="211">
        <v>0</v>
      </c>
      <c r="I639" s="211">
        <v>0</v>
      </c>
      <c r="J639" s="211">
        <v>0.48799999999999999</v>
      </c>
      <c r="K639" s="211">
        <v>0</v>
      </c>
      <c r="L639" s="211">
        <v>0</v>
      </c>
      <c r="M639" s="211">
        <v>0</v>
      </c>
      <c r="N639" s="211">
        <v>0</v>
      </c>
      <c r="O639" s="211">
        <v>0</v>
      </c>
      <c r="P639" s="211">
        <v>0</v>
      </c>
      <c r="Q639" s="211">
        <v>0</v>
      </c>
      <c r="R639" s="211">
        <v>0.95799999999999996</v>
      </c>
      <c r="S639" s="211">
        <v>1.92</v>
      </c>
      <c r="T639" s="211">
        <v>0</v>
      </c>
      <c r="U639" s="211">
        <v>0</v>
      </c>
      <c r="V639" s="211">
        <v>0</v>
      </c>
      <c r="W639" s="211">
        <v>0.1</v>
      </c>
      <c r="X639" s="211">
        <v>0</v>
      </c>
      <c r="Y639" s="211">
        <v>0</v>
      </c>
      <c r="Z639" s="211">
        <v>0</v>
      </c>
      <c r="AA639" s="211">
        <v>0</v>
      </c>
      <c r="AB639" s="211">
        <v>0</v>
      </c>
      <c r="AC639" s="211">
        <v>0</v>
      </c>
      <c r="AD639" s="211">
        <v>0</v>
      </c>
      <c r="AE639" s="211">
        <v>0</v>
      </c>
      <c r="AF639" s="211">
        <v>3.41</v>
      </c>
      <c r="AG639" s="211">
        <v>6.8759999999999994</v>
      </c>
    </row>
    <row r="640" spans="1:33" x14ac:dyDescent="0.25">
      <c r="A640" s="121"/>
      <c r="B640" s="210" t="s">
        <v>689</v>
      </c>
      <c r="C640" s="211">
        <v>0</v>
      </c>
      <c r="D640" s="211">
        <v>0</v>
      </c>
      <c r="E640" s="211">
        <v>0</v>
      </c>
      <c r="F640" s="211">
        <v>0</v>
      </c>
      <c r="G640" s="211">
        <v>0</v>
      </c>
      <c r="H640" s="211">
        <v>0</v>
      </c>
      <c r="I640" s="211">
        <v>0</v>
      </c>
      <c r="J640" s="211">
        <v>1.891</v>
      </c>
      <c r="K640" s="211">
        <v>0</v>
      </c>
      <c r="L640" s="211">
        <v>0</v>
      </c>
      <c r="M640" s="211">
        <v>0</v>
      </c>
      <c r="N640" s="211">
        <v>0</v>
      </c>
      <c r="O640" s="211">
        <v>0</v>
      </c>
      <c r="P640" s="211">
        <v>15.262</v>
      </c>
      <c r="Q640" s="211">
        <v>0</v>
      </c>
      <c r="R640" s="211">
        <v>0</v>
      </c>
      <c r="S640" s="211">
        <v>0</v>
      </c>
      <c r="T640" s="211">
        <v>0</v>
      </c>
      <c r="U640" s="211">
        <v>0</v>
      </c>
      <c r="V640" s="211">
        <v>0</v>
      </c>
      <c r="W640" s="211">
        <v>3.1E-2</v>
      </c>
      <c r="X640" s="211">
        <v>0</v>
      </c>
      <c r="Y640" s="211">
        <v>0</v>
      </c>
      <c r="Z640" s="211">
        <v>0</v>
      </c>
      <c r="AA640" s="211">
        <v>0</v>
      </c>
      <c r="AB640" s="211">
        <v>0</v>
      </c>
      <c r="AC640" s="211">
        <v>0</v>
      </c>
      <c r="AD640" s="211">
        <v>0</v>
      </c>
      <c r="AE640" s="211">
        <v>0</v>
      </c>
      <c r="AF640" s="211">
        <v>88.082999999999998</v>
      </c>
      <c r="AG640" s="211">
        <v>105.267</v>
      </c>
    </row>
    <row r="641" spans="1:33" x14ac:dyDescent="0.25">
      <c r="A641" s="121"/>
      <c r="B641" s="210" t="s">
        <v>690</v>
      </c>
      <c r="C641" s="211">
        <v>0</v>
      </c>
      <c r="D641" s="211">
        <v>0</v>
      </c>
      <c r="E641" s="211">
        <v>0</v>
      </c>
      <c r="F641" s="211">
        <v>0</v>
      </c>
      <c r="G641" s="211">
        <v>0</v>
      </c>
      <c r="H641" s="211">
        <v>0</v>
      </c>
      <c r="I641" s="211">
        <v>0</v>
      </c>
      <c r="J641" s="211">
        <v>0</v>
      </c>
      <c r="K641" s="211">
        <v>0</v>
      </c>
      <c r="L641" s="211">
        <v>0</v>
      </c>
      <c r="M641" s="211">
        <v>0</v>
      </c>
      <c r="N641" s="211">
        <v>0</v>
      </c>
      <c r="O641" s="211">
        <v>0</v>
      </c>
      <c r="P641" s="211">
        <v>0</v>
      </c>
      <c r="Q641" s="211">
        <v>0</v>
      </c>
      <c r="R641" s="211">
        <v>0</v>
      </c>
      <c r="S641" s="211">
        <v>0</v>
      </c>
      <c r="T641" s="211">
        <v>0</v>
      </c>
      <c r="U641" s="211">
        <v>0</v>
      </c>
      <c r="V641" s="211">
        <v>0</v>
      </c>
      <c r="W641" s="211">
        <v>0</v>
      </c>
      <c r="X641" s="211">
        <v>0</v>
      </c>
      <c r="Y641" s="211">
        <v>0</v>
      </c>
      <c r="Z641" s="211">
        <v>0</v>
      </c>
      <c r="AA641" s="211">
        <v>0</v>
      </c>
      <c r="AB641" s="211">
        <v>0</v>
      </c>
      <c r="AC641" s="211">
        <v>0</v>
      </c>
      <c r="AD641" s="211">
        <v>0</v>
      </c>
      <c r="AE641" s="211">
        <v>0</v>
      </c>
      <c r="AF641" s="211">
        <v>0</v>
      </c>
      <c r="AG641" s="211">
        <v>0</v>
      </c>
    </row>
    <row r="642" spans="1:33" x14ac:dyDescent="0.25">
      <c r="A642" s="207" t="s">
        <v>691</v>
      </c>
      <c r="B642" s="208"/>
      <c r="C642" s="209"/>
      <c r="D642" s="209"/>
      <c r="E642" s="209"/>
      <c r="F642" s="209"/>
      <c r="G642" s="209"/>
      <c r="H642" s="209"/>
      <c r="I642" s="209"/>
      <c r="J642" s="209"/>
      <c r="K642" s="209"/>
      <c r="L642" s="209"/>
      <c r="M642" s="209"/>
      <c r="N642" s="209"/>
      <c r="O642" s="209"/>
      <c r="P642" s="209"/>
      <c r="Q642" s="209"/>
      <c r="R642" s="209"/>
      <c r="S642" s="209"/>
      <c r="T642" s="209"/>
      <c r="U642" s="209"/>
      <c r="V642" s="209"/>
      <c r="W642" s="209"/>
      <c r="X642" s="209"/>
      <c r="Y642" s="209"/>
      <c r="Z642" s="209"/>
      <c r="AA642" s="209"/>
      <c r="AB642" s="209"/>
      <c r="AC642" s="209"/>
      <c r="AD642" s="209"/>
      <c r="AE642" s="209"/>
      <c r="AF642" s="209"/>
      <c r="AG642" s="209"/>
    </row>
    <row r="643" spans="1:33" x14ac:dyDescent="0.25">
      <c r="A643" s="121"/>
      <c r="B643" s="210" t="s">
        <v>692</v>
      </c>
      <c r="C643" s="211">
        <v>0</v>
      </c>
      <c r="D643" s="211">
        <v>0</v>
      </c>
      <c r="E643" s="211">
        <v>0</v>
      </c>
      <c r="F643" s="211">
        <v>0</v>
      </c>
      <c r="G643" s="211">
        <v>0</v>
      </c>
      <c r="H643" s="211">
        <v>0</v>
      </c>
      <c r="I643" s="211">
        <v>0</v>
      </c>
      <c r="J643" s="211">
        <v>0.14899999999999999</v>
      </c>
      <c r="K643" s="211">
        <v>0</v>
      </c>
      <c r="L643" s="211">
        <v>0</v>
      </c>
      <c r="M643" s="211">
        <v>0</v>
      </c>
      <c r="N643" s="211">
        <v>0</v>
      </c>
      <c r="O643" s="211">
        <v>0</v>
      </c>
      <c r="P643" s="211">
        <v>0</v>
      </c>
      <c r="Q643" s="211">
        <v>0</v>
      </c>
      <c r="R643" s="211">
        <v>0</v>
      </c>
      <c r="S643" s="211">
        <v>0</v>
      </c>
      <c r="T643" s="211">
        <v>0</v>
      </c>
      <c r="U643" s="211">
        <v>0</v>
      </c>
      <c r="V643" s="211">
        <v>0</v>
      </c>
      <c r="W643" s="211">
        <v>1.4460000000000001E-2</v>
      </c>
      <c r="X643" s="211">
        <v>0</v>
      </c>
      <c r="Y643" s="211">
        <v>0.52400000000000002</v>
      </c>
      <c r="Z643" s="211">
        <v>0</v>
      </c>
      <c r="AA643" s="211">
        <v>0</v>
      </c>
      <c r="AB643" s="211">
        <v>0</v>
      </c>
      <c r="AC643" s="211">
        <v>0</v>
      </c>
      <c r="AD643" s="211">
        <v>0</v>
      </c>
      <c r="AE643" s="211">
        <v>0</v>
      </c>
      <c r="AF643" s="211">
        <v>0</v>
      </c>
      <c r="AG643" s="211">
        <v>0.68745999999999996</v>
      </c>
    </row>
    <row r="644" spans="1:33" x14ac:dyDescent="0.25">
      <c r="A644" s="121"/>
      <c r="B644" s="210" t="s">
        <v>693</v>
      </c>
      <c r="C644" s="211">
        <v>0</v>
      </c>
      <c r="D644" s="211">
        <v>0</v>
      </c>
      <c r="E644" s="211">
        <v>0</v>
      </c>
      <c r="F644" s="211">
        <v>0</v>
      </c>
      <c r="G644" s="211">
        <v>0</v>
      </c>
      <c r="H644" s="211">
        <v>0</v>
      </c>
      <c r="I644" s="211">
        <v>0</v>
      </c>
      <c r="J644" s="211">
        <v>0</v>
      </c>
      <c r="K644" s="211">
        <v>0</v>
      </c>
      <c r="L644" s="211">
        <v>0</v>
      </c>
      <c r="M644" s="211">
        <v>0</v>
      </c>
      <c r="N644" s="211">
        <v>0</v>
      </c>
      <c r="O644" s="211">
        <v>0</v>
      </c>
      <c r="P644" s="211">
        <v>0</v>
      </c>
      <c r="Q644" s="211">
        <v>0</v>
      </c>
      <c r="R644" s="211">
        <v>0</v>
      </c>
      <c r="S644" s="211">
        <v>0</v>
      </c>
      <c r="T644" s="211">
        <v>0</v>
      </c>
      <c r="U644" s="211">
        <v>0</v>
      </c>
      <c r="V644" s="211">
        <v>0</v>
      </c>
      <c r="W644" s="211">
        <v>0</v>
      </c>
      <c r="X644" s="211">
        <v>0</v>
      </c>
      <c r="Y644" s="211">
        <v>0</v>
      </c>
      <c r="Z644" s="211">
        <v>0</v>
      </c>
      <c r="AA644" s="211">
        <v>0</v>
      </c>
      <c r="AB644" s="211">
        <v>0</v>
      </c>
      <c r="AC644" s="211">
        <v>0</v>
      </c>
      <c r="AD644" s="211">
        <v>0</v>
      </c>
      <c r="AE644" s="211">
        <v>0</v>
      </c>
      <c r="AF644" s="211">
        <v>0</v>
      </c>
      <c r="AG644" s="211">
        <v>0</v>
      </c>
    </row>
    <row r="645" spans="1:33" x14ac:dyDescent="0.25">
      <c r="A645" s="121"/>
      <c r="B645" s="210" t="s">
        <v>694</v>
      </c>
      <c r="C645" s="211">
        <v>0</v>
      </c>
      <c r="D645" s="211">
        <v>0</v>
      </c>
      <c r="E645" s="211">
        <v>0</v>
      </c>
      <c r="F645" s="211">
        <v>0</v>
      </c>
      <c r="G645" s="211">
        <v>0</v>
      </c>
      <c r="H645" s="211">
        <v>0</v>
      </c>
      <c r="I645" s="211">
        <v>0</v>
      </c>
      <c r="J645" s="211">
        <v>0</v>
      </c>
      <c r="K645" s="211">
        <v>0</v>
      </c>
      <c r="L645" s="211">
        <v>0</v>
      </c>
      <c r="M645" s="211">
        <v>0</v>
      </c>
      <c r="N645" s="211">
        <v>0</v>
      </c>
      <c r="O645" s="211">
        <v>0</v>
      </c>
      <c r="P645" s="211">
        <v>0</v>
      </c>
      <c r="Q645" s="211">
        <v>0</v>
      </c>
      <c r="R645" s="211">
        <v>0</v>
      </c>
      <c r="S645" s="211">
        <v>0</v>
      </c>
      <c r="T645" s="211">
        <v>0</v>
      </c>
      <c r="U645" s="211">
        <v>0</v>
      </c>
      <c r="V645" s="211">
        <v>0</v>
      </c>
      <c r="W645" s="211">
        <v>0</v>
      </c>
      <c r="X645" s="211">
        <v>0</v>
      </c>
      <c r="Y645" s="211">
        <v>0</v>
      </c>
      <c r="Z645" s="211">
        <v>0</v>
      </c>
      <c r="AA645" s="211">
        <v>0</v>
      </c>
      <c r="AB645" s="211">
        <v>0</v>
      </c>
      <c r="AC645" s="211">
        <v>0</v>
      </c>
      <c r="AD645" s="211">
        <v>0</v>
      </c>
      <c r="AE645" s="211">
        <v>0</v>
      </c>
      <c r="AF645" s="211">
        <v>0</v>
      </c>
      <c r="AG645" s="211">
        <v>0</v>
      </c>
    </row>
    <row r="646" spans="1:33" x14ac:dyDescent="0.25">
      <c r="A646" s="121"/>
      <c r="B646" s="210" t="s">
        <v>695</v>
      </c>
      <c r="C646" s="211">
        <v>0</v>
      </c>
      <c r="D646" s="211">
        <v>0</v>
      </c>
      <c r="E646" s="211">
        <v>0</v>
      </c>
      <c r="F646" s="211">
        <v>0</v>
      </c>
      <c r="G646" s="211">
        <v>0</v>
      </c>
      <c r="H646" s="211">
        <v>0</v>
      </c>
      <c r="I646" s="211">
        <v>0</v>
      </c>
      <c r="J646" s="211">
        <v>0</v>
      </c>
      <c r="K646" s="211">
        <v>0</v>
      </c>
      <c r="L646" s="211">
        <v>0</v>
      </c>
      <c r="M646" s="211">
        <v>0</v>
      </c>
      <c r="N646" s="211">
        <v>0</v>
      </c>
      <c r="O646" s="211">
        <v>0</v>
      </c>
      <c r="P646" s="211">
        <v>0</v>
      </c>
      <c r="Q646" s="211">
        <v>0</v>
      </c>
      <c r="R646" s="211">
        <v>0</v>
      </c>
      <c r="S646" s="211">
        <v>0</v>
      </c>
      <c r="T646" s="211">
        <v>0</v>
      </c>
      <c r="U646" s="211">
        <v>0</v>
      </c>
      <c r="V646" s="211">
        <v>0</v>
      </c>
      <c r="W646" s="211">
        <v>2.1389999999999999E-2</v>
      </c>
      <c r="X646" s="211">
        <v>0</v>
      </c>
      <c r="Y646" s="211">
        <v>0.78600000000000003</v>
      </c>
      <c r="Z646" s="211">
        <v>0</v>
      </c>
      <c r="AA646" s="211">
        <v>0</v>
      </c>
      <c r="AB646" s="211">
        <v>0</v>
      </c>
      <c r="AC646" s="211">
        <v>0</v>
      </c>
      <c r="AD646" s="211">
        <v>0</v>
      </c>
      <c r="AE646" s="211">
        <v>0</v>
      </c>
      <c r="AF646" s="211">
        <v>0</v>
      </c>
      <c r="AG646" s="211">
        <v>0.80739000000000005</v>
      </c>
    </row>
    <row r="647" spans="1:33" x14ac:dyDescent="0.25">
      <c r="A647" s="121"/>
      <c r="B647" s="210" t="s">
        <v>696</v>
      </c>
      <c r="C647" s="211">
        <v>0</v>
      </c>
      <c r="D647" s="211">
        <v>0</v>
      </c>
      <c r="E647" s="211">
        <v>0</v>
      </c>
      <c r="F647" s="211">
        <v>0</v>
      </c>
      <c r="G647" s="211">
        <v>0</v>
      </c>
      <c r="H647" s="211">
        <v>0</v>
      </c>
      <c r="I647" s="211">
        <v>0</v>
      </c>
      <c r="J647" s="211">
        <v>8.5999999999999993E-2</v>
      </c>
      <c r="K647" s="211">
        <v>0</v>
      </c>
      <c r="L647" s="211">
        <v>0</v>
      </c>
      <c r="M647" s="211">
        <v>0</v>
      </c>
      <c r="N647" s="211">
        <v>0</v>
      </c>
      <c r="O647" s="211">
        <v>0</v>
      </c>
      <c r="P647" s="211">
        <v>0</v>
      </c>
      <c r="Q647" s="211">
        <v>0</v>
      </c>
      <c r="R647" s="211">
        <v>0</v>
      </c>
      <c r="S647" s="211">
        <v>0</v>
      </c>
      <c r="T647" s="211">
        <v>0</v>
      </c>
      <c r="U647" s="211">
        <v>0</v>
      </c>
      <c r="V647" s="211">
        <v>0</v>
      </c>
      <c r="W647" s="211">
        <v>0.28797</v>
      </c>
      <c r="X647" s="211">
        <v>0</v>
      </c>
      <c r="Y647" s="211">
        <v>0</v>
      </c>
      <c r="Z647" s="211">
        <v>0</v>
      </c>
      <c r="AA647" s="211">
        <v>0</v>
      </c>
      <c r="AB647" s="211">
        <v>0</v>
      </c>
      <c r="AC647" s="211">
        <v>0</v>
      </c>
      <c r="AD647" s="211">
        <v>0</v>
      </c>
      <c r="AE647" s="211">
        <v>0</v>
      </c>
      <c r="AF647" s="211">
        <v>13.6859</v>
      </c>
      <c r="AG647" s="211">
        <v>14.05987</v>
      </c>
    </row>
    <row r="648" spans="1:33" x14ac:dyDescent="0.25">
      <c r="A648" s="121"/>
      <c r="B648" s="210" t="s">
        <v>697</v>
      </c>
      <c r="C648" s="211">
        <v>0</v>
      </c>
      <c r="D648" s="211">
        <v>0</v>
      </c>
      <c r="E648" s="211">
        <v>0</v>
      </c>
      <c r="F648" s="211">
        <v>52.700400000000002</v>
      </c>
      <c r="G648" s="211">
        <v>12.273</v>
      </c>
      <c r="H648" s="211">
        <v>0.89900000000000002</v>
      </c>
      <c r="I648" s="211">
        <v>0</v>
      </c>
      <c r="J648" s="211">
        <v>6.0699999999999997E-2</v>
      </c>
      <c r="K648" s="211">
        <v>0</v>
      </c>
      <c r="L648" s="211">
        <v>0</v>
      </c>
      <c r="M648" s="211">
        <v>57.755899999999997</v>
      </c>
      <c r="N648" s="211">
        <v>0</v>
      </c>
      <c r="O648" s="211">
        <v>0</v>
      </c>
      <c r="P648" s="211">
        <v>34.587000000000003</v>
      </c>
      <c r="Q648" s="211">
        <v>0.24</v>
      </c>
      <c r="R648" s="211">
        <v>0</v>
      </c>
      <c r="S648" s="211">
        <v>21.2895</v>
      </c>
      <c r="T648" s="211">
        <v>0</v>
      </c>
      <c r="U648" s="211">
        <v>0</v>
      </c>
      <c r="V648" s="211">
        <v>0</v>
      </c>
      <c r="W648" s="211">
        <v>4.3228799999999996</v>
      </c>
      <c r="X648" s="211">
        <v>0</v>
      </c>
      <c r="Y648" s="211">
        <v>0</v>
      </c>
      <c r="Z648" s="211">
        <v>0</v>
      </c>
      <c r="AA648" s="211">
        <v>0</v>
      </c>
      <c r="AB648" s="211">
        <v>0</v>
      </c>
      <c r="AC648" s="211">
        <v>0</v>
      </c>
      <c r="AD648" s="211">
        <v>2.5859999999999999</v>
      </c>
      <c r="AE648" s="211">
        <v>0</v>
      </c>
      <c r="AF648" s="211">
        <v>0</v>
      </c>
      <c r="AG648" s="211">
        <v>186.71438000000003</v>
      </c>
    </row>
    <row r="649" spans="1:33" x14ac:dyDescent="0.25">
      <c r="A649" s="207" t="s">
        <v>698</v>
      </c>
      <c r="B649" s="208"/>
      <c r="C649" s="209"/>
      <c r="D649" s="209"/>
      <c r="E649" s="209"/>
      <c r="F649" s="209"/>
      <c r="G649" s="209"/>
      <c r="H649" s="209"/>
      <c r="I649" s="209"/>
      <c r="J649" s="209"/>
      <c r="K649" s="209"/>
      <c r="L649" s="209"/>
      <c r="M649" s="209"/>
      <c r="N649" s="209"/>
      <c r="O649" s="209"/>
      <c r="P649" s="209"/>
      <c r="Q649" s="209"/>
      <c r="R649" s="209"/>
      <c r="S649" s="209"/>
      <c r="T649" s="209"/>
      <c r="U649" s="209"/>
      <c r="V649" s="209"/>
      <c r="W649" s="209"/>
      <c r="X649" s="209"/>
      <c r="Y649" s="209"/>
      <c r="Z649" s="209"/>
      <c r="AA649" s="209"/>
      <c r="AB649" s="209"/>
      <c r="AC649" s="209"/>
      <c r="AD649" s="209"/>
      <c r="AE649" s="209"/>
      <c r="AF649" s="209"/>
      <c r="AG649" s="209"/>
    </row>
    <row r="650" spans="1:33" x14ac:dyDescent="0.25">
      <c r="A650" s="121"/>
      <c r="B650" s="210" t="s">
        <v>699</v>
      </c>
      <c r="C650" s="211">
        <v>0</v>
      </c>
      <c r="D650" s="211">
        <v>0</v>
      </c>
      <c r="E650" s="211">
        <v>0</v>
      </c>
      <c r="F650" s="211">
        <v>6.1379999999999999</v>
      </c>
      <c r="G650" s="211">
        <v>7.2069999999999999</v>
      </c>
      <c r="H650" s="211">
        <v>0</v>
      </c>
      <c r="I650" s="211">
        <v>0</v>
      </c>
      <c r="J650" s="211">
        <v>9.4E-2</v>
      </c>
      <c r="K650" s="211">
        <v>0</v>
      </c>
      <c r="L650" s="211">
        <v>0</v>
      </c>
      <c r="M650" s="211">
        <v>34.72</v>
      </c>
      <c r="N650" s="211">
        <v>0</v>
      </c>
      <c r="O650" s="211">
        <v>0</v>
      </c>
      <c r="P650" s="211">
        <v>15.9</v>
      </c>
      <c r="Q650" s="211">
        <v>5.0670000000000002</v>
      </c>
      <c r="R650" s="211">
        <v>14.253</v>
      </c>
      <c r="S650" s="211">
        <v>27.561</v>
      </c>
      <c r="T650" s="211">
        <v>0</v>
      </c>
      <c r="U650" s="211">
        <v>0</v>
      </c>
      <c r="V650" s="211">
        <v>4.7380000000000004</v>
      </c>
      <c r="W650" s="211">
        <v>3.343</v>
      </c>
      <c r="X650" s="211">
        <v>0</v>
      </c>
      <c r="Y650" s="211">
        <v>0</v>
      </c>
      <c r="Z650" s="211">
        <v>0</v>
      </c>
      <c r="AA650" s="211">
        <v>1.1970000000000001</v>
      </c>
      <c r="AB650" s="211">
        <v>8.2330000000000005</v>
      </c>
      <c r="AC650" s="211">
        <v>0</v>
      </c>
      <c r="AD650" s="211">
        <v>0</v>
      </c>
      <c r="AE650" s="211">
        <v>0</v>
      </c>
      <c r="AF650" s="211">
        <v>0</v>
      </c>
      <c r="AG650" s="211">
        <v>128.45099999999999</v>
      </c>
    </row>
    <row r="651" spans="1:33" x14ac:dyDescent="0.25">
      <c r="A651" s="121"/>
      <c r="B651" s="210" t="s">
        <v>700</v>
      </c>
      <c r="C651" s="211">
        <v>0</v>
      </c>
      <c r="D651" s="211">
        <v>0</v>
      </c>
      <c r="E651" s="211">
        <v>0</v>
      </c>
      <c r="F651" s="211">
        <v>0</v>
      </c>
      <c r="G651" s="211">
        <v>1.1034999999999999</v>
      </c>
      <c r="H651" s="211">
        <v>0</v>
      </c>
      <c r="I651" s="211">
        <v>1.72E-2</v>
      </c>
      <c r="J651" s="211">
        <v>0</v>
      </c>
      <c r="K651" s="211">
        <v>0</v>
      </c>
      <c r="L651" s="211">
        <v>0</v>
      </c>
      <c r="M651" s="211">
        <v>0</v>
      </c>
      <c r="N651" s="211">
        <v>0</v>
      </c>
      <c r="O651" s="211">
        <v>0</v>
      </c>
      <c r="P651" s="211">
        <v>0</v>
      </c>
      <c r="Q651" s="211">
        <v>0</v>
      </c>
      <c r="R651" s="211">
        <v>0</v>
      </c>
      <c r="S651" s="211">
        <v>13.401</v>
      </c>
      <c r="T651" s="211">
        <v>0</v>
      </c>
      <c r="U651" s="211">
        <v>0</v>
      </c>
      <c r="V651" s="211">
        <v>0</v>
      </c>
      <c r="W651" s="211">
        <v>0.371</v>
      </c>
      <c r="X651" s="211">
        <v>0</v>
      </c>
      <c r="Y651" s="211">
        <v>0</v>
      </c>
      <c r="Z651" s="211">
        <v>0</v>
      </c>
      <c r="AA651" s="211">
        <v>0</v>
      </c>
      <c r="AB651" s="211">
        <v>0</v>
      </c>
      <c r="AC651" s="211">
        <v>0</v>
      </c>
      <c r="AD651" s="211">
        <v>0</v>
      </c>
      <c r="AE651" s="211">
        <v>0</v>
      </c>
      <c r="AF651" s="211">
        <v>0</v>
      </c>
      <c r="AG651" s="211">
        <v>14.8927</v>
      </c>
    </row>
    <row r="652" spans="1:33" x14ac:dyDescent="0.25">
      <c r="A652" s="121"/>
      <c r="B652" s="210" t="s">
        <v>701</v>
      </c>
      <c r="C652" s="211">
        <v>0</v>
      </c>
      <c r="D652" s="211">
        <v>0</v>
      </c>
      <c r="E652" s="211">
        <v>0</v>
      </c>
      <c r="F652" s="211">
        <v>9.0370000000000008</v>
      </c>
      <c r="G652" s="211">
        <v>10.776</v>
      </c>
      <c r="H652" s="211">
        <v>0</v>
      </c>
      <c r="I652" s="211">
        <v>3.0000000000000001E-3</v>
      </c>
      <c r="J652" s="211">
        <v>2.5579999999999998</v>
      </c>
      <c r="K652" s="211">
        <v>0</v>
      </c>
      <c r="L652" s="211">
        <v>0</v>
      </c>
      <c r="M652" s="211">
        <v>1.6679999999999999</v>
      </c>
      <c r="N652" s="211">
        <v>0</v>
      </c>
      <c r="O652" s="211">
        <v>77.911000000000001</v>
      </c>
      <c r="P652" s="211">
        <v>15.694000000000001</v>
      </c>
      <c r="Q652" s="211">
        <v>1.349</v>
      </c>
      <c r="R652" s="211">
        <v>1.514</v>
      </c>
      <c r="S652" s="211">
        <v>6.58</v>
      </c>
      <c r="T652" s="211">
        <v>0</v>
      </c>
      <c r="U652" s="211">
        <v>0</v>
      </c>
      <c r="V652" s="211">
        <v>0</v>
      </c>
      <c r="W652" s="211">
        <v>4.0830000000000002</v>
      </c>
      <c r="X652" s="211">
        <v>0</v>
      </c>
      <c r="Y652" s="211">
        <v>0</v>
      </c>
      <c r="Z652" s="211">
        <v>0</v>
      </c>
      <c r="AA652" s="211">
        <v>0</v>
      </c>
      <c r="AB652" s="211">
        <v>0</v>
      </c>
      <c r="AC652" s="211">
        <v>0</v>
      </c>
      <c r="AD652" s="211">
        <v>0</v>
      </c>
      <c r="AE652" s="211">
        <v>0</v>
      </c>
      <c r="AF652" s="211">
        <v>0</v>
      </c>
      <c r="AG652" s="211">
        <v>131.173</v>
      </c>
    </row>
    <row r="653" spans="1:33" x14ac:dyDescent="0.25">
      <c r="A653" s="121"/>
      <c r="B653" s="210" t="s">
        <v>702</v>
      </c>
      <c r="C653" s="211">
        <v>0</v>
      </c>
      <c r="D653" s="211">
        <v>0</v>
      </c>
      <c r="E653" s="211">
        <v>0</v>
      </c>
      <c r="F653" s="211">
        <v>0</v>
      </c>
      <c r="G653" s="211">
        <v>0</v>
      </c>
      <c r="H653" s="211">
        <v>0</v>
      </c>
      <c r="I653" s="211">
        <v>0</v>
      </c>
      <c r="J653" s="211">
        <v>0.409111</v>
      </c>
      <c r="K653" s="211">
        <v>0</v>
      </c>
      <c r="L653" s="211">
        <v>0</v>
      </c>
      <c r="M653" s="211">
        <v>0</v>
      </c>
      <c r="N653" s="211">
        <v>0</v>
      </c>
      <c r="O653" s="211">
        <v>0</v>
      </c>
      <c r="P653" s="211">
        <v>0</v>
      </c>
      <c r="Q653" s="211">
        <v>18.989000000000001</v>
      </c>
      <c r="R653" s="211">
        <v>0</v>
      </c>
      <c r="S653" s="211">
        <v>0</v>
      </c>
      <c r="T653" s="211">
        <v>0</v>
      </c>
      <c r="U653" s="211">
        <v>0</v>
      </c>
      <c r="V653" s="211">
        <v>0</v>
      </c>
      <c r="W653" s="211">
        <v>8.6999999999999994E-2</v>
      </c>
      <c r="X653" s="211">
        <v>0</v>
      </c>
      <c r="Y653" s="211">
        <v>1.5755600000000001</v>
      </c>
      <c r="Z653" s="211">
        <v>0</v>
      </c>
      <c r="AA653" s="211">
        <v>0</v>
      </c>
      <c r="AB653" s="211">
        <v>0</v>
      </c>
      <c r="AC653" s="211">
        <v>0</v>
      </c>
      <c r="AD653" s="211">
        <v>0</v>
      </c>
      <c r="AE653" s="211">
        <v>0</v>
      </c>
      <c r="AF653" s="211">
        <v>0</v>
      </c>
      <c r="AG653" s="211">
        <v>21.060670999999999</v>
      </c>
    </row>
    <row r="654" spans="1:33" x14ac:dyDescent="0.25">
      <c r="A654" s="207" t="s">
        <v>703</v>
      </c>
      <c r="B654" s="208"/>
      <c r="C654" s="209"/>
      <c r="D654" s="209"/>
      <c r="E654" s="209"/>
      <c r="F654" s="209"/>
      <c r="G654" s="209"/>
      <c r="H654" s="209"/>
      <c r="I654" s="209"/>
      <c r="J654" s="209"/>
      <c r="K654" s="209"/>
      <c r="L654" s="209"/>
      <c r="M654" s="209"/>
      <c r="N654" s="209"/>
      <c r="O654" s="209"/>
      <c r="P654" s="209"/>
      <c r="Q654" s="209"/>
      <c r="R654" s="209"/>
      <c r="S654" s="209"/>
      <c r="T654" s="209"/>
      <c r="U654" s="209"/>
      <c r="V654" s="209"/>
      <c r="W654" s="209"/>
      <c r="X654" s="209"/>
      <c r="Y654" s="209"/>
      <c r="Z654" s="209"/>
      <c r="AA654" s="209"/>
      <c r="AB654" s="209"/>
      <c r="AC654" s="209"/>
      <c r="AD654" s="209"/>
      <c r="AE654" s="209"/>
      <c r="AF654" s="209"/>
      <c r="AG654" s="209"/>
    </row>
    <row r="655" spans="1:33" x14ac:dyDescent="0.25">
      <c r="A655" s="121"/>
      <c r="B655" s="210" t="s">
        <v>704</v>
      </c>
      <c r="C655" s="211">
        <v>0</v>
      </c>
      <c r="D655" s="211">
        <v>0</v>
      </c>
      <c r="E655" s="211">
        <v>0</v>
      </c>
      <c r="F655" s="211">
        <v>0</v>
      </c>
      <c r="G655" s="211">
        <v>0</v>
      </c>
      <c r="H655" s="211">
        <v>0</v>
      </c>
      <c r="I655" s="211">
        <v>0</v>
      </c>
      <c r="J655" s="211">
        <v>0.41</v>
      </c>
      <c r="K655" s="211">
        <v>0</v>
      </c>
      <c r="L655" s="211">
        <v>0</v>
      </c>
      <c r="M655" s="211">
        <v>0</v>
      </c>
      <c r="N655" s="211">
        <v>0</v>
      </c>
      <c r="O655" s="211">
        <v>0</v>
      </c>
      <c r="P655" s="211">
        <v>0</v>
      </c>
      <c r="Q655" s="211">
        <v>0</v>
      </c>
      <c r="R655" s="211">
        <v>0</v>
      </c>
      <c r="S655" s="211">
        <v>10.409000000000001</v>
      </c>
      <c r="T655" s="211">
        <v>0</v>
      </c>
      <c r="U655" s="211">
        <v>0</v>
      </c>
      <c r="V655" s="211">
        <v>0</v>
      </c>
      <c r="W655" s="211">
        <v>0.28999999999999998</v>
      </c>
      <c r="X655" s="211">
        <v>0</v>
      </c>
      <c r="Y655" s="211">
        <v>0</v>
      </c>
      <c r="Z655" s="211">
        <v>0</v>
      </c>
      <c r="AA655" s="211">
        <v>0</v>
      </c>
      <c r="AB655" s="211">
        <v>0</v>
      </c>
      <c r="AC655" s="211">
        <v>0</v>
      </c>
      <c r="AD655" s="211">
        <v>0</v>
      </c>
      <c r="AE655" s="211">
        <v>0</v>
      </c>
      <c r="AF655" s="211">
        <v>0</v>
      </c>
      <c r="AG655" s="211">
        <v>11.109</v>
      </c>
    </row>
    <row r="656" spans="1:33" x14ac:dyDescent="0.25">
      <c r="A656" s="121"/>
      <c r="B656" s="210" t="s">
        <v>705</v>
      </c>
      <c r="C656" s="211">
        <v>0</v>
      </c>
      <c r="D656" s="211">
        <v>0</v>
      </c>
      <c r="E656" s="211">
        <v>0</v>
      </c>
      <c r="F656" s="211">
        <v>0</v>
      </c>
      <c r="G656" s="211">
        <v>0</v>
      </c>
      <c r="H656" s="211">
        <v>0</v>
      </c>
      <c r="I656" s="211">
        <v>0</v>
      </c>
      <c r="J656" s="211">
        <v>4.68</v>
      </c>
      <c r="K656" s="211">
        <v>0</v>
      </c>
      <c r="L656" s="211">
        <v>0</v>
      </c>
      <c r="M656" s="211">
        <v>15.7</v>
      </c>
      <c r="N656" s="211">
        <v>0</v>
      </c>
      <c r="O656" s="211">
        <v>0</v>
      </c>
      <c r="P656" s="211">
        <v>0</v>
      </c>
      <c r="Q656" s="211">
        <v>0</v>
      </c>
      <c r="R656" s="211">
        <v>0</v>
      </c>
      <c r="S656" s="211">
        <v>16.38</v>
      </c>
      <c r="T656" s="211">
        <v>0</v>
      </c>
      <c r="U656" s="211">
        <v>0</v>
      </c>
      <c r="V656" s="211">
        <v>0</v>
      </c>
      <c r="W656" s="211">
        <v>0.872</v>
      </c>
      <c r="X656" s="211">
        <v>0</v>
      </c>
      <c r="Y656" s="211">
        <v>0</v>
      </c>
      <c r="Z656" s="211">
        <v>0</v>
      </c>
      <c r="AA656" s="211">
        <v>0</v>
      </c>
      <c r="AB656" s="211">
        <v>0</v>
      </c>
      <c r="AC656" s="211">
        <v>0</v>
      </c>
      <c r="AD656" s="211">
        <v>0</v>
      </c>
      <c r="AE656" s="211">
        <v>0</v>
      </c>
      <c r="AF656" s="211">
        <v>0</v>
      </c>
      <c r="AG656" s="211">
        <v>37.631999999999998</v>
      </c>
    </row>
    <row r="657" spans="1:33" x14ac:dyDescent="0.25">
      <c r="A657" s="121"/>
      <c r="B657" s="210" t="s">
        <v>706</v>
      </c>
      <c r="C657" s="211">
        <v>0</v>
      </c>
      <c r="D657" s="211">
        <v>177.626</v>
      </c>
      <c r="E657" s="211">
        <v>0</v>
      </c>
      <c r="F657" s="211">
        <v>0</v>
      </c>
      <c r="G657" s="211">
        <v>0</v>
      </c>
      <c r="H657" s="211">
        <v>0</v>
      </c>
      <c r="I657" s="211">
        <v>0</v>
      </c>
      <c r="J657" s="211">
        <v>4.4561099999999998</v>
      </c>
      <c r="K657" s="211">
        <v>0</v>
      </c>
      <c r="L657" s="211">
        <v>0</v>
      </c>
      <c r="M657" s="211">
        <v>60.61</v>
      </c>
      <c r="N657" s="211">
        <v>0</v>
      </c>
      <c r="O657" s="211">
        <v>0</v>
      </c>
      <c r="P657" s="211">
        <v>10.87</v>
      </c>
      <c r="Q657" s="211">
        <v>0</v>
      </c>
      <c r="R657" s="211">
        <v>0</v>
      </c>
      <c r="S657" s="211">
        <v>27.056000000000001</v>
      </c>
      <c r="T657" s="211">
        <v>0</v>
      </c>
      <c r="U657" s="211">
        <v>0</v>
      </c>
      <c r="V657" s="211">
        <v>0</v>
      </c>
      <c r="W657" s="211">
        <v>10.130800000000001</v>
      </c>
      <c r="X657" s="211">
        <v>0</v>
      </c>
      <c r="Y657" s="211">
        <v>0</v>
      </c>
      <c r="Z657" s="211">
        <v>0</v>
      </c>
      <c r="AA657" s="211">
        <v>0</v>
      </c>
      <c r="AB657" s="211">
        <v>0</v>
      </c>
      <c r="AC657" s="211">
        <v>0</v>
      </c>
      <c r="AD657" s="211">
        <v>0</v>
      </c>
      <c r="AE657" s="211">
        <v>0</v>
      </c>
      <c r="AF657" s="211">
        <v>0</v>
      </c>
      <c r="AG657" s="211">
        <v>290.74891000000002</v>
      </c>
    </row>
    <row r="658" spans="1:33" x14ac:dyDescent="0.25">
      <c r="A658" s="207" t="s">
        <v>707</v>
      </c>
      <c r="B658" s="208"/>
      <c r="C658" s="209"/>
      <c r="D658" s="209"/>
      <c r="E658" s="209"/>
      <c r="F658" s="209"/>
      <c r="G658" s="209"/>
      <c r="H658" s="209"/>
      <c r="I658" s="209"/>
      <c r="J658" s="209"/>
      <c r="K658" s="209"/>
      <c r="L658" s="209"/>
      <c r="M658" s="209"/>
      <c r="N658" s="209"/>
      <c r="O658" s="209"/>
      <c r="P658" s="209"/>
      <c r="Q658" s="209"/>
      <c r="R658" s="209"/>
      <c r="S658" s="209"/>
      <c r="T658" s="209"/>
      <c r="U658" s="209"/>
      <c r="V658" s="209"/>
      <c r="W658" s="209"/>
      <c r="X658" s="209"/>
      <c r="Y658" s="209"/>
      <c r="Z658" s="209"/>
      <c r="AA658" s="209"/>
      <c r="AB658" s="209"/>
      <c r="AC658" s="209"/>
      <c r="AD658" s="209"/>
      <c r="AE658" s="209"/>
      <c r="AF658" s="209"/>
      <c r="AG658" s="209"/>
    </row>
    <row r="659" spans="1:33" x14ac:dyDescent="0.25">
      <c r="A659" s="121"/>
      <c r="B659" s="210" t="s">
        <v>708</v>
      </c>
      <c r="C659" s="211">
        <v>0</v>
      </c>
      <c r="D659" s="211">
        <v>71.764700000000005</v>
      </c>
      <c r="E659" s="211">
        <v>0</v>
      </c>
      <c r="F659" s="211">
        <v>1</v>
      </c>
      <c r="G659" s="211">
        <v>8.3000000000000007</v>
      </c>
      <c r="H659" s="211">
        <v>0</v>
      </c>
      <c r="I659" s="211">
        <v>0</v>
      </c>
      <c r="J659" s="211">
        <v>0</v>
      </c>
      <c r="K659" s="211">
        <v>0</v>
      </c>
      <c r="L659" s="211">
        <v>0</v>
      </c>
      <c r="M659" s="211">
        <v>29</v>
      </c>
      <c r="N659" s="211">
        <v>0</v>
      </c>
      <c r="O659" s="211">
        <v>0</v>
      </c>
      <c r="P659" s="211">
        <v>12</v>
      </c>
      <c r="Q659" s="211">
        <v>162</v>
      </c>
      <c r="R659" s="211">
        <v>1</v>
      </c>
      <c r="S659" s="211">
        <v>38</v>
      </c>
      <c r="T659" s="211">
        <v>0</v>
      </c>
      <c r="U659" s="211">
        <v>0</v>
      </c>
      <c r="V659" s="211">
        <v>0</v>
      </c>
      <c r="W659" s="211">
        <v>3.9</v>
      </c>
      <c r="X659" s="211">
        <v>0</v>
      </c>
      <c r="Y659" s="211">
        <v>32.200000000000003</v>
      </c>
      <c r="Z659" s="211">
        <v>0</v>
      </c>
      <c r="AA659" s="211">
        <v>0</v>
      </c>
      <c r="AB659" s="211">
        <v>0</v>
      </c>
      <c r="AC659" s="211">
        <v>0</v>
      </c>
      <c r="AD659" s="211">
        <v>0</v>
      </c>
      <c r="AE659" s="211">
        <v>0</v>
      </c>
      <c r="AF659" s="211">
        <v>4</v>
      </c>
      <c r="AG659" s="211">
        <v>363.16469999999998</v>
      </c>
    </row>
    <row r="660" spans="1:33" x14ac:dyDescent="0.25">
      <c r="A660" s="121"/>
      <c r="B660" s="210" t="s">
        <v>709</v>
      </c>
      <c r="C660" s="211">
        <v>0</v>
      </c>
      <c r="D660" s="211">
        <v>0</v>
      </c>
      <c r="E660" s="211">
        <v>0</v>
      </c>
      <c r="F660" s="211">
        <v>0</v>
      </c>
      <c r="G660" s="211">
        <v>0</v>
      </c>
      <c r="H660" s="211">
        <v>0</v>
      </c>
      <c r="I660" s="211">
        <v>0</v>
      </c>
      <c r="J660" s="211">
        <v>0</v>
      </c>
      <c r="K660" s="211">
        <v>0</v>
      </c>
      <c r="L660" s="211">
        <v>0</v>
      </c>
      <c r="M660" s="211">
        <v>0</v>
      </c>
      <c r="N660" s="211">
        <v>0</v>
      </c>
      <c r="O660" s="211">
        <v>0</v>
      </c>
      <c r="P660" s="211">
        <v>0</v>
      </c>
      <c r="Q660" s="211">
        <v>0</v>
      </c>
      <c r="R660" s="211">
        <v>0</v>
      </c>
      <c r="S660" s="211">
        <v>0</v>
      </c>
      <c r="T660" s="211">
        <v>0</v>
      </c>
      <c r="U660" s="211">
        <v>0</v>
      </c>
      <c r="V660" s="211">
        <v>0</v>
      </c>
      <c r="W660" s="211">
        <v>0</v>
      </c>
      <c r="X660" s="211">
        <v>0</v>
      </c>
      <c r="Y660" s="211">
        <v>0</v>
      </c>
      <c r="Z660" s="211">
        <v>0</v>
      </c>
      <c r="AA660" s="211">
        <v>0</v>
      </c>
      <c r="AB660" s="211">
        <v>0</v>
      </c>
      <c r="AC660" s="211">
        <v>0</v>
      </c>
      <c r="AD660" s="211">
        <v>0</v>
      </c>
      <c r="AE660" s="211">
        <v>0</v>
      </c>
      <c r="AF660" s="211">
        <v>0</v>
      </c>
      <c r="AG660" s="211">
        <v>0</v>
      </c>
    </row>
    <row r="661" spans="1:33" x14ac:dyDescent="0.25">
      <c r="A661" s="121"/>
      <c r="B661" s="210" t="s">
        <v>710</v>
      </c>
      <c r="C661" s="211">
        <v>0</v>
      </c>
      <c r="D661" s="211">
        <v>0</v>
      </c>
      <c r="E661" s="211">
        <v>0</v>
      </c>
      <c r="F661" s="211">
        <v>0</v>
      </c>
      <c r="G661" s="211">
        <v>0.6</v>
      </c>
      <c r="H661" s="211">
        <v>0</v>
      </c>
      <c r="I661" s="211">
        <v>0</v>
      </c>
      <c r="J661" s="211">
        <v>0</v>
      </c>
      <c r="K661" s="211">
        <v>0</v>
      </c>
      <c r="L661" s="211">
        <v>0</v>
      </c>
      <c r="M661" s="211">
        <v>0</v>
      </c>
      <c r="N661" s="211">
        <v>0</v>
      </c>
      <c r="O661" s="211">
        <v>0</v>
      </c>
      <c r="P661" s="211">
        <v>0</v>
      </c>
      <c r="Q661" s="211">
        <v>0</v>
      </c>
      <c r="R661" s="211">
        <v>0</v>
      </c>
      <c r="S661" s="211">
        <v>0</v>
      </c>
      <c r="T661" s="211">
        <v>0</v>
      </c>
      <c r="U661" s="211">
        <v>0</v>
      </c>
      <c r="V661" s="211">
        <v>0</v>
      </c>
      <c r="W661" s="211">
        <v>0.04</v>
      </c>
      <c r="X661" s="211">
        <v>0</v>
      </c>
      <c r="Y661" s="211">
        <v>16.3</v>
      </c>
      <c r="Z661" s="211">
        <v>0</v>
      </c>
      <c r="AA661" s="211">
        <v>0</v>
      </c>
      <c r="AB661" s="211">
        <v>0</v>
      </c>
      <c r="AC661" s="211">
        <v>0</v>
      </c>
      <c r="AD661" s="211">
        <v>0</v>
      </c>
      <c r="AE661" s="211">
        <v>0</v>
      </c>
      <c r="AF661" s="211">
        <v>0</v>
      </c>
      <c r="AG661" s="211">
        <v>16.940000000000001</v>
      </c>
    </row>
    <row r="662" spans="1:33" x14ac:dyDescent="0.25">
      <c r="A662" s="121"/>
      <c r="B662" s="210" t="s">
        <v>711</v>
      </c>
      <c r="C662" s="211">
        <v>0</v>
      </c>
      <c r="D662" s="211">
        <v>0</v>
      </c>
      <c r="E662" s="211">
        <v>0</v>
      </c>
      <c r="F662" s="211">
        <v>0</v>
      </c>
      <c r="G662" s="211">
        <v>0</v>
      </c>
      <c r="H662" s="211">
        <v>0</v>
      </c>
      <c r="I662" s="211">
        <v>0</v>
      </c>
      <c r="J662" s="211">
        <v>0</v>
      </c>
      <c r="K662" s="211">
        <v>0</v>
      </c>
      <c r="L662" s="211">
        <v>0</v>
      </c>
      <c r="M662" s="211">
        <v>0</v>
      </c>
      <c r="N662" s="211">
        <v>0</v>
      </c>
      <c r="O662" s="211">
        <v>0</v>
      </c>
      <c r="P662" s="211">
        <v>0</v>
      </c>
      <c r="Q662" s="211">
        <v>0</v>
      </c>
      <c r="R662" s="211">
        <v>0</v>
      </c>
      <c r="S662" s="211">
        <v>0</v>
      </c>
      <c r="T662" s="211">
        <v>0</v>
      </c>
      <c r="U662" s="211">
        <v>0</v>
      </c>
      <c r="V662" s="211">
        <v>0</v>
      </c>
      <c r="W662" s="211">
        <v>0</v>
      </c>
      <c r="X662" s="211">
        <v>0</v>
      </c>
      <c r="Y662" s="211">
        <v>0</v>
      </c>
      <c r="Z662" s="211">
        <v>0</v>
      </c>
      <c r="AA662" s="211">
        <v>0</v>
      </c>
      <c r="AB662" s="211">
        <v>0</v>
      </c>
      <c r="AC662" s="211">
        <v>0</v>
      </c>
      <c r="AD662" s="211">
        <v>0</v>
      </c>
      <c r="AE662" s="211">
        <v>0</v>
      </c>
      <c r="AF662" s="211">
        <v>0</v>
      </c>
      <c r="AG662" s="211">
        <v>0</v>
      </c>
    </row>
    <row r="663" spans="1:33" x14ac:dyDescent="0.25">
      <c r="A663" s="207" t="s">
        <v>712</v>
      </c>
      <c r="B663" s="208"/>
      <c r="C663" s="209"/>
      <c r="D663" s="209"/>
      <c r="E663" s="209"/>
      <c r="F663" s="209"/>
      <c r="G663" s="209"/>
      <c r="H663" s="209"/>
      <c r="I663" s="209"/>
      <c r="J663" s="209"/>
      <c r="K663" s="209"/>
      <c r="L663" s="209"/>
      <c r="M663" s="209"/>
      <c r="N663" s="209"/>
      <c r="O663" s="209"/>
      <c r="P663" s="209"/>
      <c r="Q663" s="209"/>
      <c r="R663" s="209"/>
      <c r="S663" s="209"/>
      <c r="T663" s="209"/>
      <c r="U663" s="209"/>
      <c r="V663" s="209"/>
      <c r="W663" s="209"/>
      <c r="X663" s="209"/>
      <c r="Y663" s="209"/>
      <c r="Z663" s="209"/>
      <c r="AA663" s="209"/>
      <c r="AB663" s="209"/>
      <c r="AC663" s="209"/>
      <c r="AD663" s="209"/>
      <c r="AE663" s="209"/>
      <c r="AF663" s="209"/>
      <c r="AG663" s="209"/>
    </row>
    <row r="664" spans="1:33" x14ac:dyDescent="0.25">
      <c r="A664" s="121"/>
      <c r="B664" s="210" t="s">
        <v>713</v>
      </c>
      <c r="C664" s="211">
        <v>0</v>
      </c>
      <c r="D664" s="211">
        <v>0</v>
      </c>
      <c r="E664" s="211">
        <v>0</v>
      </c>
      <c r="F664" s="211">
        <v>0</v>
      </c>
      <c r="G664" s="211">
        <v>0.94699999999999995</v>
      </c>
      <c r="H664" s="211">
        <v>0</v>
      </c>
      <c r="I664" s="211">
        <v>0</v>
      </c>
      <c r="J664" s="211">
        <v>0</v>
      </c>
      <c r="K664" s="211">
        <v>0</v>
      </c>
      <c r="L664" s="211">
        <v>0</v>
      </c>
      <c r="M664" s="211">
        <v>0</v>
      </c>
      <c r="N664" s="211">
        <v>0</v>
      </c>
      <c r="O664" s="211">
        <v>0</v>
      </c>
      <c r="P664" s="211">
        <v>0</v>
      </c>
      <c r="Q664" s="211">
        <v>0</v>
      </c>
      <c r="R664" s="211">
        <v>0</v>
      </c>
      <c r="S664" s="211">
        <v>14.672000000000001</v>
      </c>
      <c r="T664" s="211">
        <v>0</v>
      </c>
      <c r="U664" s="211">
        <v>0</v>
      </c>
      <c r="V664" s="211">
        <v>0</v>
      </c>
      <c r="W664" s="211">
        <v>0.27</v>
      </c>
      <c r="X664" s="211">
        <v>0</v>
      </c>
      <c r="Y664" s="211">
        <v>4.3650000000000002</v>
      </c>
      <c r="Z664" s="211">
        <v>0</v>
      </c>
      <c r="AA664" s="211">
        <v>0</v>
      </c>
      <c r="AB664" s="211">
        <v>0</v>
      </c>
      <c r="AC664" s="211">
        <v>0</v>
      </c>
      <c r="AD664" s="211">
        <v>0</v>
      </c>
      <c r="AE664" s="211">
        <v>0</v>
      </c>
      <c r="AF664" s="211">
        <v>0</v>
      </c>
      <c r="AG664" s="211">
        <v>20.253999999999998</v>
      </c>
    </row>
    <row r="665" spans="1:33" x14ac:dyDescent="0.25">
      <c r="A665" s="121"/>
      <c r="B665" s="210" t="s">
        <v>714</v>
      </c>
      <c r="C665" s="211">
        <v>0</v>
      </c>
      <c r="D665" s="211">
        <v>0</v>
      </c>
      <c r="E665" s="211">
        <v>0</v>
      </c>
      <c r="F665" s="211">
        <v>0</v>
      </c>
      <c r="G665" s="211">
        <v>1.2290000000000001</v>
      </c>
      <c r="H665" s="211">
        <v>0</v>
      </c>
      <c r="I665" s="211">
        <v>0</v>
      </c>
      <c r="J665" s="211">
        <v>0</v>
      </c>
      <c r="K665" s="211">
        <v>0</v>
      </c>
      <c r="L665" s="211">
        <v>0</v>
      </c>
      <c r="M665" s="211">
        <v>0</v>
      </c>
      <c r="N665" s="211">
        <v>0</v>
      </c>
      <c r="O665" s="211">
        <v>0</v>
      </c>
      <c r="P665" s="211">
        <v>0</v>
      </c>
      <c r="Q665" s="211">
        <v>0</v>
      </c>
      <c r="R665" s="211">
        <v>0</v>
      </c>
      <c r="S665" s="211">
        <v>5.5110000000000001</v>
      </c>
      <c r="T665" s="211">
        <v>0</v>
      </c>
      <c r="U665" s="211">
        <v>0</v>
      </c>
      <c r="V665" s="211">
        <v>0</v>
      </c>
      <c r="W665" s="211">
        <v>0.159</v>
      </c>
      <c r="X665" s="211">
        <v>0</v>
      </c>
      <c r="Y665" s="211">
        <v>4.2549999999999999</v>
      </c>
      <c r="Z665" s="211">
        <v>0</v>
      </c>
      <c r="AA665" s="211">
        <v>0</v>
      </c>
      <c r="AB665" s="211">
        <v>0</v>
      </c>
      <c r="AC665" s="211">
        <v>0</v>
      </c>
      <c r="AD665" s="211">
        <v>0</v>
      </c>
      <c r="AE665" s="211">
        <v>0</v>
      </c>
      <c r="AF665" s="211">
        <v>0</v>
      </c>
      <c r="AG665" s="211">
        <v>11.154</v>
      </c>
    </row>
    <row r="666" spans="1:33" x14ac:dyDescent="0.25">
      <c r="A666" s="121"/>
      <c r="B666" s="210" t="s">
        <v>715</v>
      </c>
      <c r="C666" s="211">
        <v>0</v>
      </c>
      <c r="D666" s="211">
        <v>0</v>
      </c>
      <c r="E666" s="211">
        <v>0</v>
      </c>
      <c r="F666" s="211">
        <v>0</v>
      </c>
      <c r="G666" s="211">
        <v>1.5209999999999999</v>
      </c>
      <c r="H666" s="211">
        <v>0</v>
      </c>
      <c r="I666" s="211">
        <v>0</v>
      </c>
      <c r="J666" s="211">
        <v>0</v>
      </c>
      <c r="K666" s="211">
        <v>0</v>
      </c>
      <c r="L666" s="211">
        <v>0</v>
      </c>
      <c r="M666" s="211">
        <v>0</v>
      </c>
      <c r="N666" s="211">
        <v>0</v>
      </c>
      <c r="O666" s="211">
        <v>0</v>
      </c>
      <c r="P666" s="211">
        <v>0</v>
      </c>
      <c r="Q666" s="211">
        <v>0</v>
      </c>
      <c r="R666" s="211">
        <v>0</v>
      </c>
      <c r="S666" s="211">
        <v>12.664</v>
      </c>
      <c r="T666" s="211">
        <v>0</v>
      </c>
      <c r="U666" s="211">
        <v>0</v>
      </c>
      <c r="V666" s="211">
        <v>0</v>
      </c>
      <c r="W666" s="211">
        <v>0.214</v>
      </c>
      <c r="X666" s="211">
        <v>0</v>
      </c>
      <c r="Y666" s="211">
        <v>0</v>
      </c>
      <c r="Z666" s="211">
        <v>0</v>
      </c>
      <c r="AA666" s="211">
        <v>0</v>
      </c>
      <c r="AB666" s="211">
        <v>0</v>
      </c>
      <c r="AC666" s="211">
        <v>0</v>
      </c>
      <c r="AD666" s="211">
        <v>0</v>
      </c>
      <c r="AE666" s="211">
        <v>0</v>
      </c>
      <c r="AF666" s="211">
        <v>0</v>
      </c>
      <c r="AG666" s="211">
        <v>14.398999999999999</v>
      </c>
    </row>
    <row r="667" spans="1:33" x14ac:dyDescent="0.25">
      <c r="A667" s="121"/>
      <c r="B667" s="210" t="s">
        <v>716</v>
      </c>
      <c r="C667" s="211">
        <v>0</v>
      </c>
      <c r="D667" s="211">
        <v>0</v>
      </c>
      <c r="E667" s="211">
        <v>0</v>
      </c>
      <c r="F667" s="211">
        <v>0</v>
      </c>
      <c r="G667" s="211">
        <v>0</v>
      </c>
      <c r="H667" s="211">
        <v>0</v>
      </c>
      <c r="I667" s="211">
        <v>0</v>
      </c>
      <c r="J667" s="211">
        <v>0</v>
      </c>
      <c r="K667" s="211">
        <v>0</v>
      </c>
      <c r="L667" s="211">
        <v>0</v>
      </c>
      <c r="M667" s="211">
        <v>0</v>
      </c>
      <c r="N667" s="211">
        <v>0</v>
      </c>
      <c r="O667" s="211">
        <v>0</v>
      </c>
      <c r="P667" s="211">
        <v>0</v>
      </c>
      <c r="Q667" s="211">
        <v>0</v>
      </c>
      <c r="R667" s="211">
        <v>0</v>
      </c>
      <c r="S667" s="211">
        <v>12.4</v>
      </c>
      <c r="T667" s="211">
        <v>0</v>
      </c>
      <c r="U667" s="211">
        <v>0</v>
      </c>
      <c r="V667" s="211">
        <v>0</v>
      </c>
      <c r="W667" s="211">
        <v>2.1</v>
      </c>
      <c r="X667" s="211">
        <v>0</v>
      </c>
      <c r="Y667" s="211">
        <v>0</v>
      </c>
      <c r="Z667" s="211">
        <v>0</v>
      </c>
      <c r="AA667" s="211">
        <v>0</v>
      </c>
      <c r="AB667" s="211">
        <v>0</v>
      </c>
      <c r="AC667" s="211">
        <v>0</v>
      </c>
      <c r="AD667" s="211">
        <v>0</v>
      </c>
      <c r="AE667" s="211">
        <v>0</v>
      </c>
      <c r="AF667" s="211">
        <v>0</v>
      </c>
      <c r="AG667" s="211">
        <v>14.5</v>
      </c>
    </row>
    <row r="668" spans="1:33" x14ac:dyDescent="0.25">
      <c r="A668" s="121"/>
      <c r="B668" s="210" t="s">
        <v>717</v>
      </c>
      <c r="C668" s="211">
        <v>0</v>
      </c>
      <c r="D668" s="211">
        <v>0</v>
      </c>
      <c r="E668" s="211">
        <v>0</v>
      </c>
      <c r="F668" s="211">
        <v>50.283799999999999</v>
      </c>
      <c r="G668" s="211">
        <v>4.3</v>
      </c>
      <c r="H668" s="211">
        <v>0</v>
      </c>
      <c r="I668" s="211">
        <v>0</v>
      </c>
      <c r="J668" s="211">
        <v>1.34968</v>
      </c>
      <c r="K668" s="211">
        <v>0</v>
      </c>
      <c r="L668" s="211">
        <v>0.5</v>
      </c>
      <c r="M668" s="211">
        <v>228.33699999999999</v>
      </c>
      <c r="N668" s="211">
        <v>0</v>
      </c>
      <c r="O668" s="211">
        <v>27.262899999999998</v>
      </c>
      <c r="P668" s="211">
        <v>66.599999999999994</v>
      </c>
      <c r="Q668" s="211">
        <v>0.5</v>
      </c>
      <c r="R668" s="211">
        <v>54.764099999999999</v>
      </c>
      <c r="S668" s="211">
        <v>43.010399999999997</v>
      </c>
      <c r="T668" s="211">
        <v>0</v>
      </c>
      <c r="U668" s="211">
        <v>0</v>
      </c>
      <c r="V668" s="211">
        <v>30.272400000000001</v>
      </c>
      <c r="W668" s="211">
        <v>14.4039</v>
      </c>
      <c r="X668" s="211">
        <v>0</v>
      </c>
      <c r="Y668" s="211">
        <v>0</v>
      </c>
      <c r="Z668" s="211">
        <v>0</v>
      </c>
      <c r="AA668" s="211">
        <v>0</v>
      </c>
      <c r="AB668" s="211">
        <v>0</v>
      </c>
      <c r="AC668" s="211">
        <v>0</v>
      </c>
      <c r="AD668" s="211">
        <v>0</v>
      </c>
      <c r="AE668" s="211">
        <v>0</v>
      </c>
      <c r="AF668" s="211">
        <v>0</v>
      </c>
      <c r="AG668" s="211">
        <v>521.58417999999995</v>
      </c>
    </row>
    <row r="669" spans="1:33" x14ac:dyDescent="0.25">
      <c r="A669" s="121"/>
      <c r="B669" s="210" t="s">
        <v>718</v>
      </c>
      <c r="C669" s="211">
        <v>0</v>
      </c>
      <c r="D669" s="211">
        <v>0</v>
      </c>
      <c r="E669" s="211">
        <v>0</v>
      </c>
      <c r="F669" s="211">
        <v>0</v>
      </c>
      <c r="G669" s="211">
        <v>0</v>
      </c>
      <c r="H669" s="211">
        <v>0</v>
      </c>
      <c r="I669" s="211">
        <v>0</v>
      </c>
      <c r="J669" s="211">
        <v>0</v>
      </c>
      <c r="K669" s="211">
        <v>0</v>
      </c>
      <c r="L669" s="211">
        <v>0</v>
      </c>
      <c r="M669" s="211">
        <v>0</v>
      </c>
      <c r="N669" s="211">
        <v>0</v>
      </c>
      <c r="O669" s="211">
        <v>0</v>
      </c>
      <c r="P669" s="211">
        <v>0</v>
      </c>
      <c r="Q669" s="211">
        <v>0</v>
      </c>
      <c r="R669" s="211">
        <v>0</v>
      </c>
      <c r="S669" s="211">
        <v>0</v>
      </c>
      <c r="T669" s="211">
        <v>0</v>
      </c>
      <c r="U669" s="211">
        <v>0</v>
      </c>
      <c r="V669" s="211">
        <v>0</v>
      </c>
      <c r="W669" s="211">
        <v>0</v>
      </c>
      <c r="X669" s="211">
        <v>0</v>
      </c>
      <c r="Y669" s="211">
        <v>0</v>
      </c>
      <c r="Z669" s="211">
        <v>0</v>
      </c>
      <c r="AA669" s="211">
        <v>0</v>
      </c>
      <c r="AB669" s="211">
        <v>0</v>
      </c>
      <c r="AC669" s="211">
        <v>0</v>
      </c>
      <c r="AD669" s="211">
        <v>0</v>
      </c>
      <c r="AE669" s="211">
        <v>0</v>
      </c>
      <c r="AF669" s="211">
        <v>0</v>
      </c>
      <c r="AG669" s="211">
        <v>0</v>
      </c>
    </row>
    <row r="670" spans="1:33" x14ac:dyDescent="0.25">
      <c r="A670" s="207" t="s">
        <v>1189</v>
      </c>
      <c r="B670" s="208"/>
      <c r="C670" s="209"/>
      <c r="D670" s="209"/>
      <c r="E670" s="209"/>
      <c r="F670" s="209"/>
      <c r="G670" s="209"/>
      <c r="H670" s="209"/>
      <c r="I670" s="209"/>
      <c r="J670" s="209"/>
      <c r="K670" s="209"/>
      <c r="L670" s="209"/>
      <c r="M670" s="209"/>
      <c r="N670" s="209"/>
      <c r="O670" s="209"/>
      <c r="P670" s="209"/>
      <c r="Q670" s="209"/>
      <c r="R670" s="209"/>
      <c r="S670" s="209"/>
      <c r="T670" s="209"/>
      <c r="U670" s="209"/>
      <c r="V670" s="209"/>
      <c r="W670" s="209"/>
      <c r="X670" s="209"/>
      <c r="Y670" s="209"/>
      <c r="Z670" s="209"/>
      <c r="AA670" s="209"/>
      <c r="AB670" s="209"/>
      <c r="AC670" s="209"/>
      <c r="AD670" s="209"/>
      <c r="AE670" s="209"/>
      <c r="AF670" s="209"/>
      <c r="AG670" s="209"/>
    </row>
    <row r="671" spans="1:33" x14ac:dyDescent="0.25">
      <c r="A671" s="121"/>
      <c r="B671" s="210" t="s">
        <v>1190</v>
      </c>
      <c r="C671" s="211">
        <v>0</v>
      </c>
      <c r="D671" s="211">
        <v>0</v>
      </c>
      <c r="E671" s="211">
        <v>0</v>
      </c>
      <c r="F671" s="211">
        <v>0</v>
      </c>
      <c r="G671" s="211">
        <v>0</v>
      </c>
      <c r="H671" s="211">
        <v>0</v>
      </c>
      <c r="I671" s="211">
        <v>0</v>
      </c>
      <c r="J671" s="211">
        <v>0</v>
      </c>
      <c r="K671" s="211">
        <v>0</v>
      </c>
      <c r="L671" s="211">
        <v>0</v>
      </c>
      <c r="M671" s="211">
        <v>0</v>
      </c>
      <c r="N671" s="211">
        <v>0</v>
      </c>
      <c r="O671" s="211">
        <v>0</v>
      </c>
      <c r="P671" s="211">
        <v>0</v>
      </c>
      <c r="Q671" s="211">
        <v>0</v>
      </c>
      <c r="R671" s="211">
        <v>0</v>
      </c>
      <c r="S671" s="211">
        <v>0</v>
      </c>
      <c r="T671" s="211">
        <v>0</v>
      </c>
      <c r="U671" s="211">
        <v>0</v>
      </c>
      <c r="V671" s="211">
        <v>0</v>
      </c>
      <c r="W671" s="211">
        <v>0</v>
      </c>
      <c r="X671" s="211">
        <v>0</v>
      </c>
      <c r="Y671" s="211">
        <v>0</v>
      </c>
      <c r="Z671" s="211">
        <v>0</v>
      </c>
      <c r="AA671" s="211">
        <v>0</v>
      </c>
      <c r="AB671" s="211">
        <v>0</v>
      </c>
      <c r="AC671" s="211">
        <v>0</v>
      </c>
      <c r="AD671" s="211">
        <v>0</v>
      </c>
      <c r="AE671" s="211">
        <v>0</v>
      </c>
      <c r="AF671" s="211">
        <v>0</v>
      </c>
      <c r="AG671" s="211">
        <v>0</v>
      </c>
    </row>
    <row r="672" spans="1:33" x14ac:dyDescent="0.25">
      <c r="A672" s="207" t="s">
        <v>719</v>
      </c>
      <c r="B672" s="208"/>
      <c r="C672" s="209"/>
      <c r="D672" s="209"/>
      <c r="E672" s="209"/>
      <c r="F672" s="209"/>
      <c r="G672" s="209"/>
      <c r="H672" s="209"/>
      <c r="I672" s="209"/>
      <c r="J672" s="209"/>
      <c r="K672" s="209"/>
      <c r="L672" s="209"/>
      <c r="M672" s="209"/>
      <c r="N672" s="209"/>
      <c r="O672" s="209"/>
      <c r="P672" s="209"/>
      <c r="Q672" s="209"/>
      <c r="R672" s="209"/>
      <c r="S672" s="209"/>
      <c r="T672" s="209"/>
      <c r="U672" s="209"/>
      <c r="V672" s="209"/>
      <c r="W672" s="209"/>
      <c r="X672" s="209"/>
      <c r="Y672" s="209"/>
      <c r="Z672" s="209"/>
      <c r="AA672" s="209"/>
      <c r="AB672" s="209"/>
      <c r="AC672" s="209"/>
      <c r="AD672" s="209"/>
      <c r="AE672" s="209"/>
      <c r="AF672" s="209"/>
      <c r="AG672" s="209"/>
    </row>
    <row r="673" spans="1:33" x14ac:dyDescent="0.25">
      <c r="A673" s="121"/>
      <c r="B673" s="210" t="s">
        <v>720</v>
      </c>
      <c r="C673" s="211">
        <v>0</v>
      </c>
      <c r="D673" s="211">
        <v>0</v>
      </c>
      <c r="E673" s="211">
        <v>0</v>
      </c>
      <c r="F673" s="211">
        <v>11.917</v>
      </c>
      <c r="G673" s="211">
        <v>9.5389999999999997</v>
      </c>
      <c r="H673" s="211">
        <v>3.746</v>
      </c>
      <c r="I673" s="211">
        <v>0</v>
      </c>
      <c r="J673" s="211">
        <v>10.287000000000001</v>
      </c>
      <c r="K673" s="211">
        <v>0</v>
      </c>
      <c r="L673" s="211">
        <v>0</v>
      </c>
      <c r="M673" s="211">
        <v>81.489999999999995</v>
      </c>
      <c r="N673" s="211">
        <v>0</v>
      </c>
      <c r="O673" s="211">
        <v>20.693999999999999</v>
      </c>
      <c r="P673" s="211">
        <v>19.948</v>
      </c>
      <c r="Q673" s="211">
        <v>0</v>
      </c>
      <c r="R673" s="211">
        <v>5.57</v>
      </c>
      <c r="S673" s="211">
        <v>0.64800000000000002</v>
      </c>
      <c r="T673" s="211">
        <v>0</v>
      </c>
      <c r="U673" s="211">
        <v>0</v>
      </c>
      <c r="V673" s="211">
        <v>0</v>
      </c>
      <c r="W673" s="211">
        <v>3.6030000000000002</v>
      </c>
      <c r="X673" s="211">
        <v>0.76500000000000001</v>
      </c>
      <c r="Y673" s="211">
        <v>14.532</v>
      </c>
      <c r="Z673" s="211">
        <v>0</v>
      </c>
      <c r="AA673" s="211">
        <v>0</v>
      </c>
      <c r="AB673" s="211">
        <v>0</v>
      </c>
      <c r="AC673" s="211">
        <v>0</v>
      </c>
      <c r="AD673" s="211">
        <v>0</v>
      </c>
      <c r="AE673" s="211">
        <v>0</v>
      </c>
      <c r="AF673" s="211">
        <v>6.6743300000000003</v>
      </c>
      <c r="AG673" s="211">
        <v>189.41332999999997</v>
      </c>
    </row>
    <row r="674" spans="1:33" x14ac:dyDescent="0.25">
      <c r="A674" s="207" t="s">
        <v>721</v>
      </c>
      <c r="B674" s="208"/>
      <c r="C674" s="209"/>
      <c r="D674" s="209"/>
      <c r="E674" s="209"/>
      <c r="F674" s="209"/>
      <c r="G674" s="209"/>
      <c r="H674" s="209"/>
      <c r="I674" s="209"/>
      <c r="J674" s="209"/>
      <c r="K674" s="209"/>
      <c r="L674" s="209"/>
      <c r="M674" s="209"/>
      <c r="N674" s="209"/>
      <c r="O674" s="209"/>
      <c r="P674" s="209"/>
      <c r="Q674" s="209"/>
      <c r="R674" s="209"/>
      <c r="S674" s="209"/>
      <c r="T674" s="209"/>
      <c r="U674" s="209"/>
      <c r="V674" s="209"/>
      <c r="W674" s="209"/>
      <c r="X674" s="209"/>
      <c r="Y674" s="209"/>
      <c r="Z674" s="209"/>
      <c r="AA674" s="209"/>
      <c r="AB674" s="209"/>
      <c r="AC674" s="209"/>
      <c r="AD674" s="209"/>
      <c r="AE674" s="209"/>
      <c r="AF674" s="209"/>
      <c r="AG674" s="209"/>
    </row>
    <row r="675" spans="1:33" x14ac:dyDescent="0.25">
      <c r="A675" s="121"/>
      <c r="B675" s="210" t="s">
        <v>722</v>
      </c>
      <c r="C675" s="211">
        <v>0</v>
      </c>
      <c r="D675" s="211">
        <v>0</v>
      </c>
      <c r="E675" s="211">
        <v>0</v>
      </c>
      <c r="F675" s="211">
        <v>0</v>
      </c>
      <c r="G675" s="211">
        <v>0</v>
      </c>
      <c r="H675" s="211">
        <v>0</v>
      </c>
      <c r="I675" s="211">
        <v>0</v>
      </c>
      <c r="J675" s="211">
        <v>0.32</v>
      </c>
      <c r="K675" s="211">
        <v>0</v>
      </c>
      <c r="L675" s="211">
        <v>0</v>
      </c>
      <c r="M675" s="211">
        <v>0</v>
      </c>
      <c r="N675" s="211">
        <v>0</v>
      </c>
      <c r="O675" s="211">
        <v>0</v>
      </c>
      <c r="P675" s="211">
        <v>0</v>
      </c>
      <c r="Q675" s="211">
        <v>0</v>
      </c>
      <c r="R675" s="211">
        <v>0</v>
      </c>
      <c r="S675" s="211">
        <v>0</v>
      </c>
      <c r="T675" s="211">
        <v>0</v>
      </c>
      <c r="U675" s="211">
        <v>0</v>
      </c>
      <c r="V675" s="211">
        <v>0</v>
      </c>
      <c r="W675" s="211">
        <v>0.13</v>
      </c>
      <c r="X675" s="211">
        <v>0</v>
      </c>
      <c r="Y675" s="211">
        <v>8.01</v>
      </c>
      <c r="Z675" s="211">
        <v>0</v>
      </c>
      <c r="AA675" s="211">
        <v>0</v>
      </c>
      <c r="AB675" s="211">
        <v>0</v>
      </c>
      <c r="AC675" s="211">
        <v>0</v>
      </c>
      <c r="AD675" s="211">
        <v>0</v>
      </c>
      <c r="AE675" s="211">
        <v>0</v>
      </c>
      <c r="AF675" s="211">
        <v>0</v>
      </c>
      <c r="AG675" s="211">
        <v>8.4599999999999991</v>
      </c>
    </row>
    <row r="676" spans="1:33" x14ac:dyDescent="0.25">
      <c r="A676" s="121"/>
      <c r="B676" s="210" t="s">
        <v>723</v>
      </c>
      <c r="C676" s="211">
        <v>0</v>
      </c>
      <c r="D676" s="211">
        <v>0</v>
      </c>
      <c r="E676" s="211">
        <v>0</v>
      </c>
      <c r="F676" s="211">
        <v>0.93500000000000005</v>
      </c>
      <c r="G676" s="211">
        <v>0</v>
      </c>
      <c r="H676" s="211">
        <v>0</v>
      </c>
      <c r="I676" s="211">
        <v>0</v>
      </c>
      <c r="J676" s="211">
        <v>0.308</v>
      </c>
      <c r="K676" s="211">
        <v>0</v>
      </c>
      <c r="L676" s="211">
        <v>0</v>
      </c>
      <c r="M676" s="211">
        <v>0</v>
      </c>
      <c r="N676" s="211">
        <v>0</v>
      </c>
      <c r="O676" s="211">
        <v>0</v>
      </c>
      <c r="P676" s="211">
        <v>0.33700000000000002</v>
      </c>
      <c r="Q676" s="211">
        <v>18.183</v>
      </c>
      <c r="R676" s="211">
        <v>0</v>
      </c>
      <c r="S676" s="211">
        <v>6.3819999999999997</v>
      </c>
      <c r="T676" s="211">
        <v>0</v>
      </c>
      <c r="U676" s="211">
        <v>0</v>
      </c>
      <c r="V676" s="211">
        <v>0</v>
      </c>
      <c r="W676" s="211">
        <v>0.52500000000000002</v>
      </c>
      <c r="X676" s="211">
        <v>0</v>
      </c>
      <c r="Y676" s="211">
        <v>1.6439999999999999</v>
      </c>
      <c r="Z676" s="211">
        <v>0</v>
      </c>
      <c r="AA676" s="211">
        <v>0</v>
      </c>
      <c r="AB676" s="211">
        <v>0</v>
      </c>
      <c r="AC676" s="211">
        <v>0</v>
      </c>
      <c r="AD676" s="211">
        <v>0</v>
      </c>
      <c r="AE676" s="211">
        <v>0</v>
      </c>
      <c r="AF676" s="211">
        <v>1.4910000000000001</v>
      </c>
      <c r="AG676" s="211">
        <v>29.804999999999993</v>
      </c>
    </row>
    <row r="677" spans="1:33" x14ac:dyDescent="0.25">
      <c r="A677" s="207" t="s">
        <v>140</v>
      </c>
      <c r="B677" s="208"/>
      <c r="C677" s="209"/>
      <c r="D677" s="209"/>
      <c r="E677" s="209"/>
      <c r="F677" s="209"/>
      <c r="G677" s="209"/>
      <c r="H677" s="209"/>
      <c r="I677" s="209"/>
      <c r="J677" s="209"/>
      <c r="K677" s="209"/>
      <c r="L677" s="209"/>
      <c r="M677" s="209"/>
      <c r="N677" s="209"/>
      <c r="O677" s="209"/>
      <c r="P677" s="209"/>
      <c r="Q677" s="209"/>
      <c r="R677" s="209"/>
      <c r="S677" s="209"/>
      <c r="T677" s="209"/>
      <c r="U677" s="209"/>
      <c r="V677" s="209"/>
      <c r="W677" s="209"/>
      <c r="X677" s="209"/>
      <c r="Y677" s="209"/>
      <c r="Z677" s="209"/>
      <c r="AA677" s="209"/>
      <c r="AB677" s="209"/>
      <c r="AC677" s="209"/>
      <c r="AD677" s="209"/>
      <c r="AE677" s="209"/>
      <c r="AF677" s="209"/>
      <c r="AG677" s="209"/>
    </row>
    <row r="678" spans="1:33" x14ac:dyDescent="0.25">
      <c r="A678" s="121"/>
      <c r="B678" s="210" t="s">
        <v>142</v>
      </c>
      <c r="C678" s="211">
        <v>0</v>
      </c>
      <c r="D678" s="211">
        <v>0</v>
      </c>
      <c r="E678" s="211">
        <v>0</v>
      </c>
      <c r="F678" s="211">
        <v>0</v>
      </c>
      <c r="G678" s="211">
        <v>0</v>
      </c>
      <c r="H678" s="211">
        <v>0</v>
      </c>
      <c r="I678" s="211">
        <v>0</v>
      </c>
      <c r="J678" s="211">
        <v>0</v>
      </c>
      <c r="K678" s="211">
        <v>0</v>
      </c>
      <c r="L678" s="211">
        <v>0</v>
      </c>
      <c r="M678" s="211">
        <v>0</v>
      </c>
      <c r="N678" s="211">
        <v>0</v>
      </c>
      <c r="O678" s="211">
        <v>0</v>
      </c>
      <c r="P678" s="211">
        <v>0</v>
      </c>
      <c r="Q678" s="211">
        <v>0</v>
      </c>
      <c r="R678" s="211">
        <v>0</v>
      </c>
      <c r="S678" s="211">
        <v>0</v>
      </c>
      <c r="T678" s="211">
        <v>0</v>
      </c>
      <c r="U678" s="211">
        <v>0</v>
      </c>
      <c r="V678" s="211">
        <v>0</v>
      </c>
      <c r="W678" s="211">
        <v>0</v>
      </c>
      <c r="X678" s="211">
        <v>0</v>
      </c>
      <c r="Y678" s="211">
        <v>0</v>
      </c>
      <c r="Z678" s="211">
        <v>0</v>
      </c>
      <c r="AA678" s="211">
        <v>0</v>
      </c>
      <c r="AB678" s="211">
        <v>0</v>
      </c>
      <c r="AC678" s="211">
        <v>0</v>
      </c>
      <c r="AD678" s="211">
        <v>0</v>
      </c>
      <c r="AE678" s="211">
        <v>0</v>
      </c>
      <c r="AF678" s="211">
        <v>0</v>
      </c>
      <c r="AG678" s="211">
        <v>0</v>
      </c>
    </row>
    <row r="679" spans="1:33" x14ac:dyDescent="0.25">
      <c r="A679" s="207" t="s">
        <v>724</v>
      </c>
      <c r="B679" s="208"/>
      <c r="C679" s="209"/>
      <c r="D679" s="209"/>
      <c r="E679" s="209"/>
      <c r="F679" s="209"/>
      <c r="G679" s="209"/>
      <c r="H679" s="209"/>
      <c r="I679" s="209"/>
      <c r="J679" s="209"/>
      <c r="K679" s="209"/>
      <c r="L679" s="209"/>
      <c r="M679" s="209"/>
      <c r="N679" s="209"/>
      <c r="O679" s="209"/>
      <c r="P679" s="209"/>
      <c r="Q679" s="209"/>
      <c r="R679" s="209"/>
      <c r="S679" s="209"/>
      <c r="T679" s="209"/>
      <c r="U679" s="209"/>
      <c r="V679" s="209"/>
      <c r="W679" s="209"/>
      <c r="X679" s="209"/>
      <c r="Y679" s="209"/>
      <c r="Z679" s="209"/>
      <c r="AA679" s="209"/>
      <c r="AB679" s="209"/>
      <c r="AC679" s="209"/>
      <c r="AD679" s="209"/>
      <c r="AE679" s="209"/>
      <c r="AF679" s="209"/>
      <c r="AG679" s="209"/>
    </row>
    <row r="680" spans="1:33" x14ac:dyDescent="0.25">
      <c r="A680" s="121"/>
      <c r="B680" s="210" t="s">
        <v>141</v>
      </c>
      <c r="C680" s="211">
        <v>0</v>
      </c>
      <c r="D680" s="211">
        <v>0</v>
      </c>
      <c r="E680" s="211">
        <v>0</v>
      </c>
      <c r="F680" s="211">
        <v>0</v>
      </c>
      <c r="G680" s="211">
        <v>0</v>
      </c>
      <c r="H680" s="211">
        <v>0</v>
      </c>
      <c r="I680" s="211">
        <v>0</v>
      </c>
      <c r="J680" s="211">
        <v>0</v>
      </c>
      <c r="K680" s="211">
        <v>0</v>
      </c>
      <c r="L680" s="211">
        <v>0</v>
      </c>
      <c r="M680" s="211">
        <v>0</v>
      </c>
      <c r="N680" s="211">
        <v>0</v>
      </c>
      <c r="O680" s="211">
        <v>0</v>
      </c>
      <c r="P680" s="211">
        <v>0</v>
      </c>
      <c r="Q680" s="211">
        <v>0</v>
      </c>
      <c r="R680" s="211">
        <v>0</v>
      </c>
      <c r="S680" s="211">
        <v>0</v>
      </c>
      <c r="T680" s="211">
        <v>0</v>
      </c>
      <c r="U680" s="211">
        <v>0</v>
      </c>
      <c r="V680" s="211">
        <v>0</v>
      </c>
      <c r="W680" s="211">
        <v>0</v>
      </c>
      <c r="X680" s="211">
        <v>0</v>
      </c>
      <c r="Y680" s="211">
        <v>0</v>
      </c>
      <c r="Z680" s="211">
        <v>0</v>
      </c>
      <c r="AA680" s="211">
        <v>0</v>
      </c>
      <c r="AB680" s="211">
        <v>0</v>
      </c>
      <c r="AC680" s="211">
        <v>0</v>
      </c>
      <c r="AD680" s="211">
        <v>0</v>
      </c>
      <c r="AE680" s="211">
        <v>0</v>
      </c>
      <c r="AF680" s="211">
        <v>0</v>
      </c>
      <c r="AG680" s="211">
        <v>0</v>
      </c>
    </row>
    <row r="681" spans="1:33" x14ac:dyDescent="0.25">
      <c r="A681" s="207" t="s">
        <v>1191</v>
      </c>
      <c r="B681" s="208"/>
      <c r="C681" s="209"/>
      <c r="D681" s="209"/>
      <c r="E681" s="209"/>
      <c r="F681" s="209"/>
      <c r="G681" s="209"/>
      <c r="H681" s="209"/>
      <c r="I681" s="209"/>
      <c r="J681" s="209"/>
      <c r="K681" s="209"/>
      <c r="L681" s="209"/>
      <c r="M681" s="209"/>
      <c r="N681" s="209"/>
      <c r="O681" s="209"/>
      <c r="P681" s="209"/>
      <c r="Q681" s="209"/>
      <c r="R681" s="209"/>
      <c r="S681" s="209"/>
      <c r="T681" s="209"/>
      <c r="U681" s="209"/>
      <c r="V681" s="209"/>
      <c r="W681" s="209"/>
      <c r="X681" s="209"/>
      <c r="Y681" s="209"/>
      <c r="Z681" s="209"/>
      <c r="AA681" s="209"/>
      <c r="AB681" s="209"/>
      <c r="AC681" s="209"/>
      <c r="AD681" s="209"/>
      <c r="AE681" s="209"/>
      <c r="AF681" s="209"/>
      <c r="AG681" s="209"/>
    </row>
    <row r="682" spans="1:33" x14ac:dyDescent="0.25">
      <c r="A682" s="121"/>
      <c r="B682" s="210" t="s">
        <v>144</v>
      </c>
      <c r="C682" s="211">
        <v>0</v>
      </c>
      <c r="D682" s="211">
        <v>0</v>
      </c>
      <c r="E682" s="211">
        <v>0</v>
      </c>
      <c r="F682" s="211">
        <v>0</v>
      </c>
      <c r="G682" s="211">
        <v>0</v>
      </c>
      <c r="H682" s="211">
        <v>0</v>
      </c>
      <c r="I682" s="211">
        <v>0</v>
      </c>
      <c r="J682" s="211">
        <v>0</v>
      </c>
      <c r="K682" s="211">
        <v>0</v>
      </c>
      <c r="L682" s="211">
        <v>0</v>
      </c>
      <c r="M682" s="211">
        <v>0</v>
      </c>
      <c r="N682" s="211">
        <v>0</v>
      </c>
      <c r="O682" s="211">
        <v>0</v>
      </c>
      <c r="P682" s="211">
        <v>0</v>
      </c>
      <c r="Q682" s="211">
        <v>0</v>
      </c>
      <c r="R682" s="211">
        <v>0</v>
      </c>
      <c r="S682" s="211">
        <v>0</v>
      </c>
      <c r="T682" s="211">
        <v>0</v>
      </c>
      <c r="U682" s="211">
        <v>0</v>
      </c>
      <c r="V682" s="211">
        <v>0</v>
      </c>
      <c r="W682" s="211">
        <v>0</v>
      </c>
      <c r="X682" s="211">
        <v>0</v>
      </c>
      <c r="Y682" s="211">
        <v>0</v>
      </c>
      <c r="Z682" s="211">
        <v>0</v>
      </c>
      <c r="AA682" s="211">
        <v>0</v>
      </c>
      <c r="AB682" s="211">
        <v>0</v>
      </c>
      <c r="AC682" s="211">
        <v>0</v>
      </c>
      <c r="AD682" s="211">
        <v>0</v>
      </c>
      <c r="AE682" s="211">
        <v>0</v>
      </c>
      <c r="AF682" s="211">
        <v>0</v>
      </c>
      <c r="AG682" s="211">
        <v>0</v>
      </c>
    </row>
    <row r="683" spans="1:33" x14ac:dyDescent="0.25">
      <c r="A683" s="207" t="s">
        <v>143</v>
      </c>
      <c r="B683" s="208"/>
      <c r="C683" s="209"/>
      <c r="D683" s="209"/>
      <c r="E683" s="209"/>
      <c r="F683" s="209"/>
      <c r="G683" s="209"/>
      <c r="H683" s="209"/>
      <c r="I683" s="209"/>
      <c r="J683" s="209"/>
      <c r="K683" s="209"/>
      <c r="L683" s="209"/>
      <c r="M683" s="209"/>
      <c r="N683" s="209"/>
      <c r="O683" s="209"/>
      <c r="P683" s="209"/>
      <c r="Q683" s="209"/>
      <c r="R683" s="209"/>
      <c r="S683" s="209"/>
      <c r="T683" s="209"/>
      <c r="U683" s="209"/>
      <c r="V683" s="209"/>
      <c r="W683" s="209"/>
      <c r="X683" s="209"/>
      <c r="Y683" s="209"/>
      <c r="Z683" s="209"/>
      <c r="AA683" s="209"/>
      <c r="AB683" s="209"/>
      <c r="AC683" s="209"/>
      <c r="AD683" s="209"/>
      <c r="AE683" s="209"/>
      <c r="AF683" s="209"/>
      <c r="AG683" s="209"/>
    </row>
    <row r="684" spans="1:33" x14ac:dyDescent="0.25">
      <c r="A684" s="121"/>
      <c r="B684" s="210" t="s">
        <v>145</v>
      </c>
      <c r="C684" s="211">
        <v>0</v>
      </c>
      <c r="D684" s="211">
        <v>0</v>
      </c>
      <c r="E684" s="211">
        <v>0</v>
      </c>
      <c r="F684" s="211">
        <v>0</v>
      </c>
      <c r="G684" s="211">
        <v>0</v>
      </c>
      <c r="H684" s="211">
        <v>0</v>
      </c>
      <c r="I684" s="211">
        <v>0</v>
      </c>
      <c r="J684" s="211">
        <v>0</v>
      </c>
      <c r="K684" s="211">
        <v>0</v>
      </c>
      <c r="L684" s="211">
        <v>0</v>
      </c>
      <c r="M684" s="211">
        <v>0</v>
      </c>
      <c r="N684" s="211">
        <v>0</v>
      </c>
      <c r="O684" s="211">
        <v>0</v>
      </c>
      <c r="P684" s="211">
        <v>0</v>
      </c>
      <c r="Q684" s="211">
        <v>0</v>
      </c>
      <c r="R684" s="211">
        <v>0</v>
      </c>
      <c r="S684" s="211">
        <v>0</v>
      </c>
      <c r="T684" s="211">
        <v>0</v>
      </c>
      <c r="U684" s="211">
        <v>0</v>
      </c>
      <c r="V684" s="211">
        <v>0</v>
      </c>
      <c r="W684" s="211">
        <v>0</v>
      </c>
      <c r="X684" s="211">
        <v>0</v>
      </c>
      <c r="Y684" s="211">
        <v>0</v>
      </c>
      <c r="Z684" s="211">
        <v>0</v>
      </c>
      <c r="AA684" s="211">
        <v>0</v>
      </c>
      <c r="AB684" s="211">
        <v>0</v>
      </c>
      <c r="AC684" s="211">
        <v>0</v>
      </c>
      <c r="AD684" s="211">
        <v>0</v>
      </c>
      <c r="AE684" s="211">
        <v>0</v>
      </c>
      <c r="AF684" s="211">
        <v>0</v>
      </c>
      <c r="AG684" s="211">
        <v>0</v>
      </c>
    </row>
    <row r="685" spans="1:33" x14ac:dyDescent="0.25">
      <c r="A685" s="207" t="s">
        <v>725</v>
      </c>
      <c r="B685" s="208"/>
      <c r="C685" s="209"/>
      <c r="D685" s="209"/>
      <c r="E685" s="209"/>
      <c r="F685" s="209"/>
      <c r="G685" s="209"/>
      <c r="H685" s="209"/>
      <c r="I685" s="209"/>
      <c r="J685" s="209"/>
      <c r="K685" s="209"/>
      <c r="L685" s="209"/>
      <c r="M685" s="209"/>
      <c r="N685" s="209"/>
      <c r="O685" s="209"/>
      <c r="P685" s="209"/>
      <c r="Q685" s="209"/>
      <c r="R685" s="209"/>
      <c r="S685" s="209"/>
      <c r="T685" s="209"/>
      <c r="U685" s="209"/>
      <c r="V685" s="209"/>
      <c r="W685" s="209"/>
      <c r="X685" s="209"/>
      <c r="Y685" s="209"/>
      <c r="Z685" s="209"/>
      <c r="AA685" s="209"/>
      <c r="AB685" s="209"/>
      <c r="AC685" s="209"/>
      <c r="AD685" s="209"/>
      <c r="AE685" s="209"/>
      <c r="AF685" s="209"/>
      <c r="AG685" s="209"/>
    </row>
    <row r="686" spans="1:33" x14ac:dyDescent="0.25">
      <c r="A686" s="121"/>
      <c r="B686" s="210" t="s">
        <v>726</v>
      </c>
      <c r="C686" s="211">
        <v>0</v>
      </c>
      <c r="D686" s="211">
        <v>246.7</v>
      </c>
      <c r="E686" s="211">
        <v>0</v>
      </c>
      <c r="F686" s="211">
        <v>0</v>
      </c>
      <c r="G686" s="211">
        <v>0.62880800000000003</v>
      </c>
      <c r="H686" s="211">
        <v>8.0941200000000002</v>
      </c>
      <c r="I686" s="211">
        <v>0</v>
      </c>
      <c r="J686" s="211">
        <v>1.0069999999999999</v>
      </c>
      <c r="K686" s="211">
        <v>0</v>
      </c>
      <c r="L686" s="211">
        <v>5.5540000000000003</v>
      </c>
      <c r="M686" s="211">
        <v>0</v>
      </c>
      <c r="N686" s="211">
        <v>0</v>
      </c>
      <c r="O686" s="211">
        <v>0</v>
      </c>
      <c r="P686" s="211">
        <v>108.1</v>
      </c>
      <c r="Q686" s="211">
        <v>413.65499999999997</v>
      </c>
      <c r="R686" s="211">
        <v>0</v>
      </c>
      <c r="S686" s="211">
        <v>0</v>
      </c>
      <c r="T686" s="211">
        <v>0</v>
      </c>
      <c r="U686" s="211">
        <v>0</v>
      </c>
      <c r="V686" s="211">
        <v>0</v>
      </c>
      <c r="W686" s="211">
        <v>22.085899999999999</v>
      </c>
      <c r="X686" s="211">
        <v>0</v>
      </c>
      <c r="Y686" s="211">
        <v>229.7</v>
      </c>
      <c r="Z686" s="211">
        <v>0</v>
      </c>
      <c r="AA686" s="211">
        <v>18.471</v>
      </c>
      <c r="AB686" s="211">
        <v>40.462000000000003</v>
      </c>
      <c r="AC686" s="211">
        <v>0</v>
      </c>
      <c r="AD686" s="211">
        <v>0</v>
      </c>
      <c r="AE686" s="211">
        <v>0</v>
      </c>
      <c r="AF686" s="211">
        <v>0</v>
      </c>
      <c r="AG686" s="211">
        <v>1094.4578279999998</v>
      </c>
    </row>
    <row r="687" spans="1:33" x14ac:dyDescent="0.25">
      <c r="A687" s="121"/>
      <c r="B687" s="210" t="s">
        <v>727</v>
      </c>
      <c r="C687" s="211">
        <v>0</v>
      </c>
      <c r="D687" s="211">
        <v>0</v>
      </c>
      <c r="E687" s="211">
        <v>0</v>
      </c>
      <c r="F687" s="211">
        <v>0</v>
      </c>
      <c r="G687" s="211">
        <v>0</v>
      </c>
      <c r="H687" s="211">
        <v>0</v>
      </c>
      <c r="I687" s="211">
        <v>0</v>
      </c>
      <c r="J687" s="211">
        <v>1.4999999999999999E-2</v>
      </c>
      <c r="K687" s="211">
        <v>0</v>
      </c>
      <c r="L687" s="211">
        <v>0</v>
      </c>
      <c r="M687" s="211">
        <v>0</v>
      </c>
      <c r="N687" s="211">
        <v>0</v>
      </c>
      <c r="O687" s="211">
        <v>0</v>
      </c>
      <c r="P687" s="211">
        <v>0</v>
      </c>
      <c r="Q687" s="211">
        <v>0</v>
      </c>
      <c r="R687" s="211">
        <v>0</v>
      </c>
      <c r="S687" s="211">
        <v>0</v>
      </c>
      <c r="T687" s="211">
        <v>0</v>
      </c>
      <c r="U687" s="211">
        <v>0</v>
      </c>
      <c r="V687" s="211">
        <v>0</v>
      </c>
      <c r="W687" s="211">
        <v>4.3400000000000001E-2</v>
      </c>
      <c r="X687" s="211">
        <v>0</v>
      </c>
      <c r="Y687" s="211">
        <v>2.19</v>
      </c>
      <c r="Z687" s="211">
        <v>0</v>
      </c>
      <c r="AA687" s="211">
        <v>0</v>
      </c>
      <c r="AB687" s="211">
        <v>0</v>
      </c>
      <c r="AC687" s="211">
        <v>0</v>
      </c>
      <c r="AD687" s="211">
        <v>0</v>
      </c>
      <c r="AE687" s="211">
        <v>0</v>
      </c>
      <c r="AF687" s="211">
        <v>0</v>
      </c>
      <c r="AG687" s="211">
        <v>2.2483999999999997</v>
      </c>
    </row>
    <row r="688" spans="1:33" x14ac:dyDescent="0.25">
      <c r="A688" s="121"/>
      <c r="B688" s="210" t="s">
        <v>728</v>
      </c>
      <c r="C688" s="211">
        <v>0</v>
      </c>
      <c r="D688" s="211">
        <v>0</v>
      </c>
      <c r="E688" s="211">
        <v>0</v>
      </c>
      <c r="F688" s="211">
        <v>0</v>
      </c>
      <c r="G688" s="211">
        <v>0</v>
      </c>
      <c r="H688" s="211">
        <v>0</v>
      </c>
      <c r="I688" s="211">
        <v>0</v>
      </c>
      <c r="J688" s="211">
        <v>3.8800000000000001E-2</v>
      </c>
      <c r="K688" s="211">
        <v>0</v>
      </c>
      <c r="L688" s="211">
        <v>0</v>
      </c>
      <c r="M688" s="211">
        <v>0</v>
      </c>
      <c r="N688" s="211">
        <v>0</v>
      </c>
      <c r="O688" s="211">
        <v>0</v>
      </c>
      <c r="P688" s="211">
        <v>0</v>
      </c>
      <c r="Q688" s="211">
        <v>0</v>
      </c>
      <c r="R688" s="211">
        <v>0</v>
      </c>
      <c r="S688" s="211">
        <v>0</v>
      </c>
      <c r="T688" s="211">
        <v>0</v>
      </c>
      <c r="U688" s="211">
        <v>0</v>
      </c>
      <c r="V688" s="211">
        <v>0</v>
      </c>
      <c r="W688" s="211">
        <v>0.16700000000000001</v>
      </c>
      <c r="X688" s="211">
        <v>0</v>
      </c>
      <c r="Y688" s="211">
        <v>13.19</v>
      </c>
      <c r="Z688" s="211">
        <v>0</v>
      </c>
      <c r="AA688" s="211">
        <v>0</v>
      </c>
      <c r="AB688" s="211">
        <v>0</v>
      </c>
      <c r="AC688" s="211">
        <v>0</v>
      </c>
      <c r="AD688" s="211">
        <v>0</v>
      </c>
      <c r="AE688" s="211">
        <v>0</v>
      </c>
      <c r="AF688" s="211">
        <v>0</v>
      </c>
      <c r="AG688" s="211">
        <v>13.395799999999999</v>
      </c>
    </row>
    <row r="689" spans="1:33" x14ac:dyDescent="0.25">
      <c r="A689" s="121"/>
      <c r="B689" s="210" t="s">
        <v>729</v>
      </c>
      <c r="C689" s="211">
        <v>0</v>
      </c>
      <c r="D689" s="211">
        <v>0.38</v>
      </c>
      <c r="E689" s="211">
        <v>0</v>
      </c>
      <c r="F689" s="211">
        <v>0</v>
      </c>
      <c r="G689" s="211">
        <v>0</v>
      </c>
      <c r="H689" s="211">
        <v>0.94941200000000003</v>
      </c>
      <c r="I689" s="211">
        <v>0</v>
      </c>
      <c r="J689" s="211">
        <v>1.35</v>
      </c>
      <c r="K689" s="211">
        <v>0</v>
      </c>
      <c r="L689" s="211">
        <v>0</v>
      </c>
      <c r="M689" s="211">
        <v>0</v>
      </c>
      <c r="N689" s="211">
        <v>0</v>
      </c>
      <c r="O689" s="211">
        <v>208.399</v>
      </c>
      <c r="P689" s="211">
        <v>0</v>
      </c>
      <c r="Q689" s="211">
        <v>0.318</v>
      </c>
      <c r="R689" s="211">
        <v>0</v>
      </c>
      <c r="S689" s="211">
        <v>11.259</v>
      </c>
      <c r="T689" s="211">
        <v>0</v>
      </c>
      <c r="U689" s="211">
        <v>0</v>
      </c>
      <c r="V689" s="211">
        <v>0</v>
      </c>
      <c r="W689" s="211">
        <v>8.6820000000000004</v>
      </c>
      <c r="X689" s="211">
        <v>0</v>
      </c>
      <c r="Y689" s="211">
        <v>0</v>
      </c>
      <c r="Z689" s="211">
        <v>0</v>
      </c>
      <c r="AA689" s="211">
        <v>0</v>
      </c>
      <c r="AB689" s="211">
        <v>0</v>
      </c>
      <c r="AC689" s="211">
        <v>0</v>
      </c>
      <c r="AD689" s="211">
        <v>0</v>
      </c>
      <c r="AE689" s="211">
        <v>0</v>
      </c>
      <c r="AF689" s="211">
        <v>4.0270000000000001</v>
      </c>
      <c r="AG689" s="211">
        <v>235.36441199999999</v>
      </c>
    </row>
    <row r="690" spans="1:33" x14ac:dyDescent="0.25">
      <c r="A690" s="207" t="s">
        <v>730</v>
      </c>
      <c r="B690" s="208"/>
      <c r="C690" s="209"/>
      <c r="D690" s="209"/>
      <c r="E690" s="209"/>
      <c r="F690" s="209"/>
      <c r="G690" s="209"/>
      <c r="H690" s="209"/>
      <c r="I690" s="209"/>
      <c r="J690" s="209"/>
      <c r="K690" s="209"/>
      <c r="L690" s="209"/>
      <c r="M690" s="209"/>
      <c r="N690" s="209"/>
      <c r="O690" s="209"/>
      <c r="P690" s="209"/>
      <c r="Q690" s="209"/>
      <c r="R690" s="209"/>
      <c r="S690" s="209"/>
      <c r="T690" s="209"/>
      <c r="U690" s="209"/>
      <c r="V690" s="209"/>
      <c r="W690" s="209"/>
      <c r="X690" s="209"/>
      <c r="Y690" s="209"/>
      <c r="Z690" s="209"/>
      <c r="AA690" s="209"/>
      <c r="AB690" s="209"/>
      <c r="AC690" s="209"/>
      <c r="AD690" s="209"/>
      <c r="AE690" s="209"/>
      <c r="AF690" s="209"/>
      <c r="AG690" s="209"/>
    </row>
    <row r="691" spans="1:33" x14ac:dyDescent="0.25">
      <c r="A691" s="121"/>
      <c r="B691" s="210" t="s">
        <v>731</v>
      </c>
      <c r="C691" s="211">
        <v>0</v>
      </c>
      <c r="D691" s="211">
        <v>0</v>
      </c>
      <c r="E691" s="211">
        <v>0</v>
      </c>
      <c r="F691" s="211">
        <v>0</v>
      </c>
      <c r="G691" s="211">
        <v>0</v>
      </c>
      <c r="H691" s="211">
        <v>0</v>
      </c>
      <c r="I691" s="211">
        <v>0</v>
      </c>
      <c r="J691" s="211">
        <v>0.1</v>
      </c>
      <c r="K691" s="211">
        <v>0</v>
      </c>
      <c r="L691" s="211">
        <v>0</v>
      </c>
      <c r="M691" s="211">
        <v>33.719000000000001</v>
      </c>
      <c r="N691" s="211">
        <v>0</v>
      </c>
      <c r="O691" s="211">
        <v>0</v>
      </c>
      <c r="P691" s="211">
        <v>4.0999999999999996</v>
      </c>
      <c r="Q691" s="211">
        <v>0</v>
      </c>
      <c r="R691" s="211">
        <v>0</v>
      </c>
      <c r="S691" s="211">
        <v>0</v>
      </c>
      <c r="T691" s="211">
        <v>0</v>
      </c>
      <c r="U691" s="211">
        <v>0</v>
      </c>
      <c r="V691" s="211">
        <v>0</v>
      </c>
      <c r="W691" s="211">
        <v>0.81599999999999995</v>
      </c>
      <c r="X691" s="211">
        <v>0</v>
      </c>
      <c r="Y691" s="211">
        <v>0</v>
      </c>
      <c r="Z691" s="211">
        <v>0</v>
      </c>
      <c r="AA691" s="211">
        <v>0</v>
      </c>
      <c r="AB691" s="211">
        <v>0</v>
      </c>
      <c r="AC691" s="211">
        <v>0</v>
      </c>
      <c r="AD691" s="211">
        <v>0</v>
      </c>
      <c r="AE691" s="211">
        <v>0</v>
      </c>
      <c r="AF691" s="211">
        <v>0</v>
      </c>
      <c r="AG691" s="211">
        <v>38.735000000000007</v>
      </c>
    </row>
    <row r="692" spans="1:33" x14ac:dyDescent="0.25">
      <c r="A692" s="207" t="s">
        <v>732</v>
      </c>
      <c r="B692" s="208"/>
      <c r="C692" s="209"/>
      <c r="D692" s="209"/>
      <c r="E692" s="209"/>
      <c r="F692" s="209"/>
      <c r="G692" s="209"/>
      <c r="H692" s="209"/>
      <c r="I692" s="209"/>
      <c r="J692" s="209"/>
      <c r="K692" s="209"/>
      <c r="L692" s="209"/>
      <c r="M692" s="209"/>
      <c r="N692" s="209"/>
      <c r="O692" s="209"/>
      <c r="P692" s="209"/>
      <c r="Q692" s="209"/>
      <c r="R692" s="209"/>
      <c r="S692" s="209"/>
      <c r="T692" s="209"/>
      <c r="U692" s="209"/>
      <c r="V692" s="209"/>
      <c r="W692" s="209"/>
      <c r="X692" s="209"/>
      <c r="Y692" s="209"/>
      <c r="Z692" s="209"/>
      <c r="AA692" s="209"/>
      <c r="AB692" s="209"/>
      <c r="AC692" s="209"/>
      <c r="AD692" s="209"/>
      <c r="AE692" s="209"/>
      <c r="AF692" s="209"/>
      <c r="AG692" s="209"/>
    </row>
    <row r="693" spans="1:33" x14ac:dyDescent="0.25">
      <c r="A693" s="121"/>
      <c r="B693" s="210" t="s">
        <v>733</v>
      </c>
      <c r="C693" s="211">
        <v>0</v>
      </c>
      <c r="D693" s="211">
        <v>0</v>
      </c>
      <c r="E693" s="211">
        <v>0</v>
      </c>
      <c r="F693" s="211">
        <v>0</v>
      </c>
      <c r="G693" s="211">
        <v>0</v>
      </c>
      <c r="H693" s="211">
        <v>0</v>
      </c>
      <c r="I693" s="211">
        <v>0</v>
      </c>
      <c r="J693" s="211">
        <v>3</v>
      </c>
      <c r="K693" s="211">
        <v>0</v>
      </c>
      <c r="L693" s="211">
        <v>0</v>
      </c>
      <c r="M693" s="211">
        <v>0</v>
      </c>
      <c r="N693" s="211">
        <v>0</v>
      </c>
      <c r="O693" s="211">
        <v>0</v>
      </c>
      <c r="P693" s="211">
        <v>0</v>
      </c>
      <c r="Q693" s="211">
        <v>0</v>
      </c>
      <c r="R693" s="211">
        <v>0</v>
      </c>
      <c r="S693" s="211">
        <v>0</v>
      </c>
      <c r="T693" s="211">
        <v>0</v>
      </c>
      <c r="U693" s="211">
        <v>0</v>
      </c>
      <c r="V693" s="211">
        <v>0</v>
      </c>
      <c r="W693" s="211">
        <v>2</v>
      </c>
      <c r="X693" s="211">
        <v>0</v>
      </c>
      <c r="Y693" s="211">
        <v>0</v>
      </c>
      <c r="Z693" s="211">
        <v>0</v>
      </c>
      <c r="AA693" s="211">
        <v>0</v>
      </c>
      <c r="AB693" s="211">
        <v>0</v>
      </c>
      <c r="AC693" s="211">
        <v>0</v>
      </c>
      <c r="AD693" s="211">
        <v>0</v>
      </c>
      <c r="AE693" s="211">
        <v>0</v>
      </c>
      <c r="AF693" s="211">
        <v>53.4</v>
      </c>
      <c r="AG693" s="211">
        <v>58.4</v>
      </c>
    </row>
    <row r="694" spans="1:33" x14ac:dyDescent="0.25">
      <c r="A694" s="207" t="s">
        <v>1192</v>
      </c>
      <c r="B694" s="208"/>
      <c r="C694" s="209"/>
      <c r="D694" s="209"/>
      <c r="E694" s="209"/>
      <c r="F694" s="209"/>
      <c r="G694" s="209"/>
      <c r="H694" s="209"/>
      <c r="I694" s="209"/>
      <c r="J694" s="209"/>
      <c r="K694" s="209"/>
      <c r="L694" s="209"/>
      <c r="M694" s="209"/>
      <c r="N694" s="209"/>
      <c r="O694" s="209"/>
      <c r="P694" s="209"/>
      <c r="Q694" s="209"/>
      <c r="R694" s="209"/>
      <c r="S694" s="209"/>
      <c r="T694" s="209"/>
      <c r="U694" s="209"/>
      <c r="V694" s="209"/>
      <c r="W694" s="209"/>
      <c r="X694" s="209"/>
      <c r="Y694" s="209"/>
      <c r="Z694" s="209"/>
      <c r="AA694" s="209"/>
      <c r="AB694" s="209"/>
      <c r="AC694" s="209"/>
      <c r="AD694" s="209"/>
      <c r="AE694" s="209"/>
      <c r="AF694" s="209"/>
      <c r="AG694" s="209"/>
    </row>
    <row r="695" spans="1:33" x14ac:dyDescent="0.25">
      <c r="A695" s="121"/>
      <c r="B695" s="210" t="s">
        <v>147</v>
      </c>
      <c r="C695" s="211">
        <v>0</v>
      </c>
      <c r="D695" s="211">
        <v>0</v>
      </c>
      <c r="E695" s="211">
        <v>0</v>
      </c>
      <c r="F695" s="211">
        <v>0</v>
      </c>
      <c r="G695" s="211">
        <v>0</v>
      </c>
      <c r="H695" s="211">
        <v>0</v>
      </c>
      <c r="I695" s="211">
        <v>0</v>
      </c>
      <c r="J695" s="211">
        <v>0</v>
      </c>
      <c r="K695" s="211">
        <v>0</v>
      </c>
      <c r="L695" s="211">
        <v>0</v>
      </c>
      <c r="M695" s="211">
        <v>0</v>
      </c>
      <c r="N695" s="211">
        <v>0</v>
      </c>
      <c r="O695" s="211">
        <v>0</v>
      </c>
      <c r="P695" s="211">
        <v>0</v>
      </c>
      <c r="Q695" s="211">
        <v>0</v>
      </c>
      <c r="R695" s="211">
        <v>0</v>
      </c>
      <c r="S695" s="211">
        <v>0</v>
      </c>
      <c r="T695" s="211">
        <v>0</v>
      </c>
      <c r="U695" s="211">
        <v>0</v>
      </c>
      <c r="V695" s="211">
        <v>0</v>
      </c>
      <c r="W695" s="211">
        <v>0</v>
      </c>
      <c r="X695" s="211">
        <v>0</v>
      </c>
      <c r="Y695" s="211">
        <v>0</v>
      </c>
      <c r="Z695" s="211">
        <v>0</v>
      </c>
      <c r="AA695" s="211">
        <v>0</v>
      </c>
      <c r="AB695" s="211">
        <v>0</v>
      </c>
      <c r="AC695" s="211">
        <v>0</v>
      </c>
      <c r="AD695" s="211">
        <v>0</v>
      </c>
      <c r="AE695" s="211">
        <v>0</v>
      </c>
      <c r="AF695" s="211">
        <v>0</v>
      </c>
      <c r="AG695" s="211">
        <v>0</v>
      </c>
    </row>
    <row r="696" spans="1:33" x14ac:dyDescent="0.25">
      <c r="A696" s="207" t="s">
        <v>146</v>
      </c>
      <c r="B696" s="208"/>
      <c r="C696" s="209"/>
      <c r="D696" s="209"/>
      <c r="E696" s="209"/>
      <c r="F696" s="209"/>
      <c r="G696" s="209"/>
      <c r="H696" s="209"/>
      <c r="I696" s="209"/>
      <c r="J696" s="209"/>
      <c r="K696" s="209"/>
      <c r="L696" s="209"/>
      <c r="M696" s="209"/>
      <c r="N696" s="209"/>
      <c r="O696" s="209"/>
      <c r="P696" s="209"/>
      <c r="Q696" s="209"/>
      <c r="R696" s="209"/>
      <c r="S696" s="209"/>
      <c r="T696" s="209"/>
      <c r="U696" s="209"/>
      <c r="V696" s="209"/>
      <c r="W696" s="209"/>
      <c r="X696" s="209"/>
      <c r="Y696" s="209"/>
      <c r="Z696" s="209"/>
      <c r="AA696" s="209"/>
      <c r="AB696" s="209"/>
      <c r="AC696" s="209"/>
      <c r="AD696" s="209"/>
      <c r="AE696" s="209"/>
      <c r="AF696" s="209"/>
      <c r="AG696" s="209"/>
    </row>
    <row r="697" spans="1:33" x14ac:dyDescent="0.25">
      <c r="A697" s="121"/>
      <c r="B697" s="210" t="s">
        <v>148</v>
      </c>
      <c r="C697" s="211">
        <v>0</v>
      </c>
      <c r="D697" s="211">
        <v>0</v>
      </c>
      <c r="E697" s="211">
        <v>0</v>
      </c>
      <c r="F697" s="211">
        <v>0</v>
      </c>
      <c r="G697" s="211">
        <v>0</v>
      </c>
      <c r="H697" s="211">
        <v>0</v>
      </c>
      <c r="I697" s="211">
        <v>0</v>
      </c>
      <c r="J697" s="211">
        <v>0</v>
      </c>
      <c r="K697" s="211">
        <v>0</v>
      </c>
      <c r="L697" s="211">
        <v>0</v>
      </c>
      <c r="M697" s="211">
        <v>0</v>
      </c>
      <c r="N697" s="211">
        <v>0</v>
      </c>
      <c r="O697" s="211">
        <v>0</v>
      </c>
      <c r="P697" s="211">
        <v>0</v>
      </c>
      <c r="Q697" s="211">
        <v>0</v>
      </c>
      <c r="R697" s="211">
        <v>0</v>
      </c>
      <c r="S697" s="211">
        <v>0</v>
      </c>
      <c r="T697" s="211">
        <v>0</v>
      </c>
      <c r="U697" s="211">
        <v>0</v>
      </c>
      <c r="V697" s="211">
        <v>0</v>
      </c>
      <c r="W697" s="211">
        <v>0</v>
      </c>
      <c r="X697" s="211">
        <v>0</v>
      </c>
      <c r="Y697" s="211">
        <v>0</v>
      </c>
      <c r="Z697" s="211">
        <v>0</v>
      </c>
      <c r="AA697" s="211">
        <v>0</v>
      </c>
      <c r="AB697" s="211">
        <v>0</v>
      </c>
      <c r="AC697" s="211">
        <v>0</v>
      </c>
      <c r="AD697" s="211">
        <v>0</v>
      </c>
      <c r="AE697" s="211">
        <v>0</v>
      </c>
      <c r="AF697" s="211">
        <v>0</v>
      </c>
      <c r="AG697" s="211">
        <v>0</v>
      </c>
    </row>
    <row r="698" spans="1:33" x14ac:dyDescent="0.25">
      <c r="A698" s="207" t="s">
        <v>149</v>
      </c>
      <c r="B698" s="208"/>
      <c r="C698" s="209"/>
      <c r="D698" s="209"/>
      <c r="E698" s="209"/>
      <c r="F698" s="209"/>
      <c r="G698" s="209"/>
      <c r="H698" s="209"/>
      <c r="I698" s="209"/>
      <c r="J698" s="209"/>
      <c r="K698" s="209"/>
      <c r="L698" s="209"/>
      <c r="M698" s="209"/>
      <c r="N698" s="209"/>
      <c r="O698" s="209"/>
      <c r="P698" s="209"/>
      <c r="Q698" s="209"/>
      <c r="R698" s="209"/>
      <c r="S698" s="209"/>
      <c r="T698" s="209"/>
      <c r="U698" s="209"/>
      <c r="V698" s="209"/>
      <c r="W698" s="209"/>
      <c r="X698" s="209"/>
      <c r="Y698" s="209"/>
      <c r="Z698" s="209"/>
      <c r="AA698" s="209"/>
      <c r="AB698" s="209"/>
      <c r="AC698" s="209"/>
      <c r="AD698" s="209"/>
      <c r="AE698" s="209"/>
      <c r="AF698" s="209"/>
      <c r="AG698" s="209"/>
    </row>
    <row r="699" spans="1:33" x14ac:dyDescent="0.25">
      <c r="A699" s="121"/>
      <c r="B699" s="210" t="s">
        <v>150</v>
      </c>
      <c r="C699" s="211">
        <v>0</v>
      </c>
      <c r="D699" s="211">
        <v>0</v>
      </c>
      <c r="E699" s="211">
        <v>0</v>
      </c>
      <c r="F699" s="211">
        <v>0</v>
      </c>
      <c r="G699" s="211">
        <v>0</v>
      </c>
      <c r="H699" s="211">
        <v>0</v>
      </c>
      <c r="I699" s="211">
        <v>0</v>
      </c>
      <c r="J699" s="211">
        <v>0</v>
      </c>
      <c r="K699" s="211">
        <v>0</v>
      </c>
      <c r="L699" s="211">
        <v>0</v>
      </c>
      <c r="M699" s="211">
        <v>0</v>
      </c>
      <c r="N699" s="211">
        <v>0</v>
      </c>
      <c r="O699" s="211">
        <v>0</v>
      </c>
      <c r="P699" s="211">
        <v>0</v>
      </c>
      <c r="Q699" s="211">
        <v>0</v>
      </c>
      <c r="R699" s="211">
        <v>0</v>
      </c>
      <c r="S699" s="211">
        <v>0</v>
      </c>
      <c r="T699" s="211">
        <v>0</v>
      </c>
      <c r="U699" s="211">
        <v>0</v>
      </c>
      <c r="V699" s="211">
        <v>0</v>
      </c>
      <c r="W699" s="211">
        <v>0</v>
      </c>
      <c r="X699" s="211">
        <v>0</v>
      </c>
      <c r="Y699" s="211">
        <v>0</v>
      </c>
      <c r="Z699" s="211">
        <v>0</v>
      </c>
      <c r="AA699" s="211">
        <v>0</v>
      </c>
      <c r="AB699" s="211">
        <v>0</v>
      </c>
      <c r="AC699" s="211">
        <v>0</v>
      </c>
      <c r="AD699" s="211">
        <v>0</v>
      </c>
      <c r="AE699" s="211">
        <v>0</v>
      </c>
      <c r="AF699" s="211">
        <v>0</v>
      </c>
      <c r="AG699" s="211">
        <v>0</v>
      </c>
    </row>
    <row r="700" spans="1:33" x14ac:dyDescent="0.25">
      <c r="A700" s="207" t="s">
        <v>12</v>
      </c>
      <c r="B700" s="208"/>
      <c r="C700" s="209"/>
      <c r="D700" s="209"/>
      <c r="E700" s="209"/>
      <c r="F700" s="209"/>
      <c r="G700" s="209"/>
      <c r="H700" s="209"/>
      <c r="I700" s="209"/>
      <c r="J700" s="209"/>
      <c r="K700" s="209"/>
      <c r="L700" s="209"/>
      <c r="M700" s="209"/>
      <c r="N700" s="209"/>
      <c r="O700" s="209"/>
      <c r="P700" s="209"/>
      <c r="Q700" s="209"/>
      <c r="R700" s="209"/>
      <c r="S700" s="209"/>
      <c r="T700" s="209"/>
      <c r="U700" s="209"/>
      <c r="V700" s="209"/>
      <c r="W700" s="209"/>
      <c r="X700" s="209"/>
      <c r="Y700" s="209"/>
      <c r="Z700" s="209"/>
      <c r="AA700" s="209"/>
      <c r="AB700" s="209"/>
      <c r="AC700" s="209"/>
      <c r="AD700" s="209"/>
      <c r="AE700" s="209"/>
      <c r="AF700" s="209"/>
      <c r="AG700" s="209"/>
    </row>
    <row r="701" spans="1:33" x14ac:dyDescent="0.25">
      <c r="A701" s="121"/>
      <c r="B701" s="210" t="s">
        <v>14</v>
      </c>
      <c r="C701" s="211">
        <v>0</v>
      </c>
      <c r="D701" s="211">
        <v>0</v>
      </c>
      <c r="E701" s="211">
        <v>0</v>
      </c>
      <c r="F701" s="211">
        <v>0</v>
      </c>
      <c r="G701" s="211">
        <v>0</v>
      </c>
      <c r="H701" s="211">
        <v>0</v>
      </c>
      <c r="I701" s="211">
        <v>0</v>
      </c>
      <c r="J701" s="211">
        <v>0</v>
      </c>
      <c r="K701" s="211">
        <v>0</v>
      </c>
      <c r="L701" s="211">
        <v>0</v>
      </c>
      <c r="M701" s="211">
        <v>0</v>
      </c>
      <c r="N701" s="211">
        <v>0</v>
      </c>
      <c r="O701" s="211">
        <v>0</v>
      </c>
      <c r="P701" s="211">
        <v>0</v>
      </c>
      <c r="Q701" s="211">
        <v>0</v>
      </c>
      <c r="R701" s="211">
        <v>0</v>
      </c>
      <c r="S701" s="211">
        <v>0</v>
      </c>
      <c r="T701" s="211">
        <v>0</v>
      </c>
      <c r="U701" s="211">
        <v>0</v>
      </c>
      <c r="V701" s="211">
        <v>0</v>
      </c>
      <c r="W701" s="211">
        <v>0</v>
      </c>
      <c r="X701" s="211">
        <v>0</v>
      </c>
      <c r="Y701" s="211">
        <v>0</v>
      </c>
      <c r="Z701" s="211">
        <v>0</v>
      </c>
      <c r="AA701" s="211">
        <v>0</v>
      </c>
      <c r="AB701" s="211">
        <v>0</v>
      </c>
      <c r="AC701" s="211">
        <v>0</v>
      </c>
      <c r="AD701" s="211">
        <v>0</v>
      </c>
      <c r="AE701" s="211">
        <v>0</v>
      </c>
      <c r="AF701" s="211">
        <v>0</v>
      </c>
      <c r="AG701" s="211">
        <v>0</v>
      </c>
    </row>
    <row r="702" spans="1:33" x14ac:dyDescent="0.25">
      <c r="A702" s="207" t="s">
        <v>734</v>
      </c>
      <c r="B702" s="208"/>
      <c r="C702" s="209"/>
      <c r="D702" s="209"/>
      <c r="E702" s="209"/>
      <c r="F702" s="209"/>
      <c r="G702" s="209"/>
      <c r="H702" s="209"/>
      <c r="I702" s="209"/>
      <c r="J702" s="209"/>
      <c r="K702" s="209"/>
      <c r="L702" s="209"/>
      <c r="M702" s="209"/>
      <c r="N702" s="209"/>
      <c r="O702" s="209"/>
      <c r="P702" s="209"/>
      <c r="Q702" s="209"/>
      <c r="R702" s="209"/>
      <c r="S702" s="209"/>
      <c r="T702" s="209"/>
      <c r="U702" s="209"/>
      <c r="V702" s="209"/>
      <c r="W702" s="209"/>
      <c r="X702" s="209"/>
      <c r="Y702" s="209"/>
      <c r="Z702" s="209"/>
      <c r="AA702" s="209"/>
      <c r="AB702" s="209"/>
      <c r="AC702" s="209"/>
      <c r="AD702" s="209"/>
      <c r="AE702" s="209"/>
      <c r="AF702" s="209"/>
      <c r="AG702" s="209"/>
    </row>
    <row r="703" spans="1:33" x14ac:dyDescent="0.25">
      <c r="A703" s="121"/>
      <c r="B703" s="210" t="s">
        <v>735</v>
      </c>
      <c r="C703" s="211">
        <v>0</v>
      </c>
      <c r="D703" s="211">
        <v>0</v>
      </c>
      <c r="E703" s="211">
        <v>0</v>
      </c>
      <c r="F703" s="211">
        <v>0</v>
      </c>
      <c r="G703" s="211">
        <v>2.4249999999999998</v>
      </c>
      <c r="H703" s="211">
        <v>0</v>
      </c>
      <c r="I703" s="211">
        <v>0.38500000000000001</v>
      </c>
      <c r="J703" s="211">
        <v>4.9000000000000002E-2</v>
      </c>
      <c r="K703" s="211">
        <v>0</v>
      </c>
      <c r="L703" s="211">
        <v>0</v>
      </c>
      <c r="M703" s="211">
        <v>0</v>
      </c>
      <c r="N703" s="211">
        <v>0</v>
      </c>
      <c r="O703" s="211">
        <v>0</v>
      </c>
      <c r="P703" s="211">
        <v>0</v>
      </c>
      <c r="Q703" s="211">
        <v>0</v>
      </c>
      <c r="R703" s="211">
        <v>0</v>
      </c>
      <c r="S703" s="211">
        <v>7.399</v>
      </c>
      <c r="T703" s="211">
        <v>0</v>
      </c>
      <c r="U703" s="211">
        <v>0</v>
      </c>
      <c r="V703" s="211">
        <v>0</v>
      </c>
      <c r="W703" s="211">
        <v>0.30463000000000001</v>
      </c>
      <c r="X703" s="211">
        <v>0</v>
      </c>
      <c r="Y703" s="211">
        <v>0</v>
      </c>
      <c r="Z703" s="211">
        <v>0</v>
      </c>
      <c r="AA703" s="211">
        <v>0</v>
      </c>
      <c r="AB703" s="211">
        <v>0</v>
      </c>
      <c r="AC703" s="211">
        <v>0</v>
      </c>
      <c r="AD703" s="211">
        <v>0</v>
      </c>
      <c r="AE703" s="211">
        <v>0</v>
      </c>
      <c r="AF703" s="211">
        <v>0</v>
      </c>
      <c r="AG703" s="211">
        <v>10.562629999999999</v>
      </c>
    </row>
    <row r="704" spans="1:33" x14ac:dyDescent="0.25">
      <c r="A704" s="121"/>
      <c r="B704" s="210" t="s">
        <v>736</v>
      </c>
      <c r="C704" s="211">
        <v>0</v>
      </c>
      <c r="D704" s="211">
        <v>0</v>
      </c>
      <c r="E704" s="211">
        <v>0</v>
      </c>
      <c r="F704" s="211">
        <v>0</v>
      </c>
      <c r="G704" s="211">
        <v>1.1816199999999999</v>
      </c>
      <c r="H704" s="211">
        <v>0</v>
      </c>
      <c r="I704" s="211">
        <v>1.3621300000000001</v>
      </c>
      <c r="J704" s="211">
        <v>1.34E-3</v>
      </c>
      <c r="K704" s="211">
        <v>0</v>
      </c>
      <c r="L704" s="211">
        <v>0</v>
      </c>
      <c r="M704" s="211">
        <v>0</v>
      </c>
      <c r="N704" s="211">
        <v>0</v>
      </c>
      <c r="O704" s="211">
        <v>0</v>
      </c>
      <c r="P704" s="211">
        <v>0</v>
      </c>
      <c r="Q704" s="211">
        <v>0</v>
      </c>
      <c r="R704" s="211">
        <v>0</v>
      </c>
      <c r="S704" s="211">
        <v>4.9874700000000001</v>
      </c>
      <c r="T704" s="211">
        <v>0</v>
      </c>
      <c r="U704" s="211">
        <v>0</v>
      </c>
      <c r="V704" s="211">
        <v>0</v>
      </c>
      <c r="W704" s="211">
        <v>0.1686</v>
      </c>
      <c r="X704" s="211">
        <v>0</v>
      </c>
      <c r="Y704" s="211">
        <v>0</v>
      </c>
      <c r="Z704" s="211">
        <v>0</v>
      </c>
      <c r="AA704" s="211">
        <v>0</v>
      </c>
      <c r="AB704" s="211">
        <v>0</v>
      </c>
      <c r="AC704" s="211">
        <v>0</v>
      </c>
      <c r="AD704" s="211">
        <v>0</v>
      </c>
      <c r="AE704" s="211">
        <v>0</v>
      </c>
      <c r="AF704" s="211">
        <v>0</v>
      </c>
      <c r="AG704" s="211">
        <v>7.7011599999999998</v>
      </c>
    </row>
    <row r="705" spans="1:33" x14ac:dyDescent="0.25">
      <c r="A705" s="121"/>
      <c r="B705" s="210" t="s">
        <v>737</v>
      </c>
      <c r="C705" s="211">
        <v>0</v>
      </c>
      <c r="D705" s="211">
        <v>0</v>
      </c>
      <c r="E705" s="211">
        <v>0</v>
      </c>
      <c r="F705" s="211">
        <v>0</v>
      </c>
      <c r="G705" s="211">
        <v>0</v>
      </c>
      <c r="H705" s="211">
        <v>0</v>
      </c>
      <c r="I705" s="211">
        <v>0</v>
      </c>
      <c r="J705" s="211">
        <v>0.40877000000000002</v>
      </c>
      <c r="K705" s="211">
        <v>0</v>
      </c>
      <c r="L705" s="211">
        <v>0</v>
      </c>
      <c r="M705" s="211">
        <v>0</v>
      </c>
      <c r="N705" s="211">
        <v>0</v>
      </c>
      <c r="O705" s="211">
        <v>0</v>
      </c>
      <c r="P705" s="211">
        <v>0</v>
      </c>
      <c r="Q705" s="211">
        <v>6.2039</v>
      </c>
      <c r="R705" s="211">
        <v>0</v>
      </c>
      <c r="S705" s="211">
        <v>0</v>
      </c>
      <c r="T705" s="211">
        <v>0</v>
      </c>
      <c r="U705" s="211">
        <v>0</v>
      </c>
      <c r="V705" s="211">
        <v>0</v>
      </c>
      <c r="W705" s="211">
        <v>0.20399999999999999</v>
      </c>
      <c r="X705" s="211">
        <v>0</v>
      </c>
      <c r="Y705" s="211">
        <v>0</v>
      </c>
      <c r="Z705" s="211">
        <v>0</v>
      </c>
      <c r="AA705" s="211">
        <v>0</v>
      </c>
      <c r="AB705" s="211">
        <v>0</v>
      </c>
      <c r="AC705" s="211">
        <v>0</v>
      </c>
      <c r="AD705" s="211">
        <v>0</v>
      </c>
      <c r="AE705" s="211">
        <v>0</v>
      </c>
      <c r="AF705" s="211">
        <v>2.2929400000000002</v>
      </c>
      <c r="AG705" s="211">
        <v>9.10961</v>
      </c>
    </row>
    <row r="706" spans="1:33" x14ac:dyDescent="0.25">
      <c r="A706" s="121"/>
      <c r="B706" s="210" t="s">
        <v>738</v>
      </c>
      <c r="C706" s="211">
        <v>0</v>
      </c>
      <c r="D706" s="211">
        <v>0</v>
      </c>
      <c r="E706" s="211">
        <v>0</v>
      </c>
      <c r="F706" s="211">
        <v>0</v>
      </c>
      <c r="G706" s="211">
        <v>0</v>
      </c>
      <c r="H706" s="211">
        <v>0</v>
      </c>
      <c r="I706" s="211">
        <v>0</v>
      </c>
      <c r="J706" s="211">
        <v>5.3699999999999998E-3</v>
      </c>
      <c r="K706" s="211">
        <v>0</v>
      </c>
      <c r="L706" s="211">
        <v>0</v>
      </c>
      <c r="M706" s="211">
        <v>0</v>
      </c>
      <c r="N706" s="211">
        <v>0</v>
      </c>
      <c r="O706" s="211">
        <v>0</v>
      </c>
      <c r="P706" s="211">
        <v>0</v>
      </c>
      <c r="Q706" s="211">
        <v>0</v>
      </c>
      <c r="R706" s="211">
        <v>0</v>
      </c>
      <c r="S706" s="211">
        <v>0</v>
      </c>
      <c r="T706" s="211">
        <v>0</v>
      </c>
      <c r="U706" s="211">
        <v>0</v>
      </c>
      <c r="V706" s="211">
        <v>0</v>
      </c>
      <c r="W706" s="211">
        <v>2.3300000000000001E-2</v>
      </c>
      <c r="X706" s="211">
        <v>0</v>
      </c>
      <c r="Y706" s="211">
        <v>0.71719999999999995</v>
      </c>
      <c r="Z706" s="211">
        <v>0</v>
      </c>
      <c r="AA706" s="211">
        <v>0</v>
      </c>
      <c r="AB706" s="211">
        <v>0</v>
      </c>
      <c r="AC706" s="211">
        <v>0</v>
      </c>
      <c r="AD706" s="211">
        <v>0</v>
      </c>
      <c r="AE706" s="211">
        <v>0</v>
      </c>
      <c r="AF706" s="211">
        <v>0</v>
      </c>
      <c r="AG706" s="211">
        <v>0.74586999999999992</v>
      </c>
    </row>
    <row r="707" spans="1:33" x14ac:dyDescent="0.25">
      <c r="A707" s="121"/>
      <c r="B707" s="210" t="s">
        <v>739</v>
      </c>
      <c r="C707" s="211">
        <v>0</v>
      </c>
      <c r="D707" s="211">
        <v>0</v>
      </c>
      <c r="E707" s="211">
        <v>0</v>
      </c>
      <c r="F707" s="211">
        <v>115.14100000000001</v>
      </c>
      <c r="G707" s="211">
        <v>0</v>
      </c>
      <c r="H707" s="211">
        <v>4.4244500000000002</v>
      </c>
      <c r="I707" s="211">
        <v>0</v>
      </c>
      <c r="J707" s="211">
        <v>9.6077999999999992</v>
      </c>
      <c r="K707" s="211">
        <v>0</v>
      </c>
      <c r="L707" s="211">
        <v>4.5744899999999999</v>
      </c>
      <c r="M707" s="211">
        <v>9.4079599999999992</v>
      </c>
      <c r="N707" s="211">
        <v>0</v>
      </c>
      <c r="O707" s="211">
        <v>0</v>
      </c>
      <c r="P707" s="211">
        <v>0</v>
      </c>
      <c r="Q707" s="211">
        <v>0</v>
      </c>
      <c r="R707" s="211">
        <v>45.821199999999997</v>
      </c>
      <c r="S707" s="211">
        <v>32.734900000000003</v>
      </c>
      <c r="T707" s="211">
        <v>0</v>
      </c>
      <c r="U707" s="211">
        <v>0</v>
      </c>
      <c r="V707" s="211">
        <v>39.361499999999999</v>
      </c>
      <c r="W707" s="211">
        <v>9.2359500000000008</v>
      </c>
      <c r="X707" s="211">
        <v>0</v>
      </c>
      <c r="Y707" s="211">
        <v>0</v>
      </c>
      <c r="Z707" s="211">
        <v>0</v>
      </c>
      <c r="AA707" s="211">
        <v>0</v>
      </c>
      <c r="AB707" s="211">
        <v>0</v>
      </c>
      <c r="AC707" s="211">
        <v>0</v>
      </c>
      <c r="AD707" s="211">
        <v>0</v>
      </c>
      <c r="AE707" s="211">
        <v>0</v>
      </c>
      <c r="AF707" s="211">
        <v>0</v>
      </c>
      <c r="AG707" s="211">
        <v>270.30925000000002</v>
      </c>
    </row>
    <row r="708" spans="1:33" x14ac:dyDescent="0.25">
      <c r="A708" s="121"/>
      <c r="B708" s="210" t="s">
        <v>740</v>
      </c>
      <c r="C708" s="211">
        <v>0</v>
      </c>
      <c r="D708" s="211">
        <v>0</v>
      </c>
      <c r="E708" s="211">
        <v>0</v>
      </c>
      <c r="F708" s="211">
        <v>62.471299999999999</v>
      </c>
      <c r="G708" s="211">
        <v>11.022</v>
      </c>
      <c r="H708" s="211">
        <v>2.67638</v>
      </c>
      <c r="I708" s="211">
        <v>1.0069999999999999</v>
      </c>
      <c r="J708" s="211">
        <v>0.63500000000000001</v>
      </c>
      <c r="K708" s="211">
        <v>0</v>
      </c>
      <c r="L708" s="211">
        <v>0.101992</v>
      </c>
      <c r="M708" s="211">
        <v>3.9522699999999999</v>
      </c>
      <c r="N708" s="211">
        <v>0</v>
      </c>
      <c r="O708" s="211">
        <v>0</v>
      </c>
      <c r="P708" s="211">
        <v>75.570999999999998</v>
      </c>
      <c r="Q708" s="211">
        <v>0</v>
      </c>
      <c r="R708" s="211">
        <v>23.974699999999999</v>
      </c>
      <c r="S708" s="211">
        <v>18.327200000000001</v>
      </c>
      <c r="T708" s="211">
        <v>0</v>
      </c>
      <c r="U708" s="211">
        <v>0</v>
      </c>
      <c r="V708" s="211">
        <v>22.1587</v>
      </c>
      <c r="W708" s="211">
        <v>6.3315900000000003</v>
      </c>
      <c r="X708" s="211">
        <v>0</v>
      </c>
      <c r="Y708" s="211">
        <v>0</v>
      </c>
      <c r="Z708" s="211">
        <v>0</v>
      </c>
      <c r="AA708" s="211">
        <v>0</v>
      </c>
      <c r="AB708" s="211">
        <v>0</v>
      </c>
      <c r="AC708" s="211">
        <v>0</v>
      </c>
      <c r="AD708" s="211">
        <v>0</v>
      </c>
      <c r="AE708" s="211">
        <v>0</v>
      </c>
      <c r="AF708" s="211">
        <v>0</v>
      </c>
      <c r="AG708" s="211">
        <v>228.22913199999999</v>
      </c>
    </row>
    <row r="709" spans="1:33" x14ac:dyDescent="0.25">
      <c r="A709" s="214" t="s">
        <v>1343</v>
      </c>
      <c r="B709" s="215"/>
      <c r="C709" s="216">
        <v>0.46117599999999997</v>
      </c>
      <c r="D709" s="216">
        <v>12085.0117357</v>
      </c>
      <c r="E709" s="216">
        <v>739.5</v>
      </c>
      <c r="F709" s="216">
        <v>2331.5358699999997</v>
      </c>
      <c r="G709" s="216">
        <v>1035.1268909999999</v>
      </c>
      <c r="H709" s="216">
        <v>294.41454999999991</v>
      </c>
      <c r="I709" s="216">
        <v>189.88235600000002</v>
      </c>
      <c r="J709" s="216">
        <v>478.47779900000012</v>
      </c>
      <c r="K709" s="216">
        <v>47.240929000000008</v>
      </c>
      <c r="L709" s="216">
        <v>370.92636300000009</v>
      </c>
      <c r="M709" s="216">
        <v>6081.7415789999995</v>
      </c>
      <c r="N709" s="216">
        <v>960.7890000000001</v>
      </c>
      <c r="O709" s="216">
        <v>3908.6731559999998</v>
      </c>
      <c r="P709" s="216">
        <v>5974.9467500000037</v>
      </c>
      <c r="Q709" s="216">
        <v>4550.9746000000014</v>
      </c>
      <c r="R709" s="216">
        <v>1439.6261300000003</v>
      </c>
      <c r="S709" s="216">
        <v>3471.0634689999993</v>
      </c>
      <c r="T709" s="216">
        <v>841.27177000000006</v>
      </c>
      <c r="U709" s="216">
        <v>273.34514899999999</v>
      </c>
      <c r="V709" s="216">
        <v>1195.58403</v>
      </c>
      <c r="W709" s="216">
        <v>1630.3464770000003</v>
      </c>
      <c r="X709" s="216">
        <v>416.74656499999998</v>
      </c>
      <c r="Y709" s="216">
        <v>2357.9577639999998</v>
      </c>
      <c r="Z709" s="216">
        <v>314.98934000000003</v>
      </c>
      <c r="AA709" s="216">
        <v>1087.74343</v>
      </c>
      <c r="AB709" s="216">
        <v>2284.4011100000002</v>
      </c>
      <c r="AC709" s="216">
        <v>69.127720099999991</v>
      </c>
      <c r="AD709" s="216">
        <v>45.311999999999998</v>
      </c>
      <c r="AE709" s="216">
        <v>73.143216000000024</v>
      </c>
      <c r="AF709" s="216">
        <v>2381.7363686999984</v>
      </c>
      <c r="AG709" s="216">
        <v>56932.097293500032</v>
      </c>
    </row>
  </sheetData>
  <conditionalFormatting sqref="B614">
    <cfRule type="duplicateValues" dxfId="14" priority="2"/>
  </conditionalFormatting>
  <conditionalFormatting sqref="B1:B1048576">
    <cfRule type="duplicateValues" dxfId="13" priority="1"/>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CA419"/>
  <sheetViews>
    <sheetView topLeftCell="A305" workbookViewId="0">
      <pane xSplit="1" topLeftCell="S1" activePane="topRight" state="frozen"/>
      <selection activeCell="A148" sqref="A148"/>
      <selection pane="topRight" activeCell="A346" sqref="A346"/>
    </sheetView>
  </sheetViews>
  <sheetFormatPr defaultRowHeight="15" x14ac:dyDescent="0.25"/>
  <cols>
    <col min="1" max="1" width="36.140625" bestFit="1" customWidth="1"/>
    <col min="2" max="2" width="48" bestFit="1" customWidth="1"/>
    <col min="38" max="38" width="9.85546875" bestFit="1" customWidth="1"/>
  </cols>
  <sheetData>
    <row r="1" spans="1:79" ht="120" x14ac:dyDescent="0.25">
      <c r="A1" s="122" t="s">
        <v>151</v>
      </c>
      <c r="B1" s="122" t="s">
        <v>2</v>
      </c>
      <c r="C1" s="122" t="s">
        <v>1256</v>
      </c>
      <c r="D1" s="122" t="s">
        <v>791</v>
      </c>
      <c r="E1" s="122" t="s">
        <v>1328</v>
      </c>
      <c r="F1" s="122" t="s">
        <v>783</v>
      </c>
      <c r="G1" s="122" t="s">
        <v>748</v>
      </c>
      <c r="H1" s="122" t="s">
        <v>1340</v>
      </c>
      <c r="I1" s="122" t="s">
        <v>747</v>
      </c>
      <c r="J1" s="123" t="s">
        <v>772</v>
      </c>
      <c r="K1" s="217" t="s">
        <v>1325</v>
      </c>
      <c r="L1" s="122" t="s">
        <v>1271</v>
      </c>
      <c r="M1" s="122" t="s">
        <v>1326</v>
      </c>
      <c r="N1" s="122" t="s">
        <v>1329</v>
      </c>
      <c r="O1" s="122" t="s">
        <v>1330</v>
      </c>
      <c r="P1" s="122" t="s">
        <v>1331</v>
      </c>
      <c r="Q1" s="122" t="s">
        <v>1342</v>
      </c>
      <c r="R1" s="122" t="s">
        <v>1335</v>
      </c>
      <c r="S1" s="122" t="s">
        <v>1334</v>
      </c>
      <c r="T1" s="122" t="s">
        <v>1336</v>
      </c>
      <c r="U1" s="122" t="s">
        <v>1341</v>
      </c>
      <c r="V1" s="122" t="s">
        <v>834</v>
      </c>
      <c r="W1" s="122" t="s">
        <v>845</v>
      </c>
      <c r="X1" s="122" t="s">
        <v>1339</v>
      </c>
      <c r="Y1" s="122" t="s">
        <v>1332</v>
      </c>
      <c r="Z1" s="122" t="s">
        <v>1327</v>
      </c>
      <c r="AA1" s="122" t="s">
        <v>1337</v>
      </c>
      <c r="AB1" s="122" t="s">
        <v>1338</v>
      </c>
      <c r="AC1" s="122" t="s">
        <v>1254</v>
      </c>
      <c r="AD1" s="217" t="s">
        <v>807</v>
      </c>
      <c r="AE1" s="122" t="s">
        <v>1265</v>
      </c>
      <c r="AF1" s="123" t="s">
        <v>1333</v>
      </c>
      <c r="AG1" s="124" t="s">
        <v>1344</v>
      </c>
      <c r="AH1" s="125" t="s">
        <v>39</v>
      </c>
      <c r="AI1" s="218" t="s">
        <v>1345</v>
      </c>
      <c r="AJ1" s="218" t="s">
        <v>1346</v>
      </c>
      <c r="AK1" s="219" t="s">
        <v>1347</v>
      </c>
      <c r="AL1" s="220" t="s">
        <v>1348</v>
      </c>
      <c r="AM1" s="220" t="s">
        <v>1349</v>
      </c>
      <c r="AN1" s="218" t="s">
        <v>1350</v>
      </c>
      <c r="AO1" s="221" t="s">
        <v>1351</v>
      </c>
      <c r="AP1" s="222" t="s">
        <v>1236</v>
      </c>
      <c r="AQ1" s="223" t="s">
        <v>1352</v>
      </c>
      <c r="AT1" s="19" t="s">
        <v>1353</v>
      </c>
      <c r="AU1" s="20" t="s">
        <v>1354</v>
      </c>
      <c r="AV1" s="21" t="s">
        <v>780</v>
      </c>
      <c r="AW1" s="21" t="s">
        <v>769</v>
      </c>
      <c r="AX1" s="21" t="s">
        <v>1355</v>
      </c>
      <c r="AY1" s="21"/>
      <c r="AZ1" s="22" t="s">
        <v>1356</v>
      </c>
      <c r="BC1" t="s">
        <v>1357</v>
      </c>
      <c r="BD1" t="s">
        <v>1358</v>
      </c>
      <c r="BE1" t="s">
        <v>1359</v>
      </c>
      <c r="BF1" t="s">
        <v>1360</v>
      </c>
      <c r="BG1" s="23" t="s">
        <v>805</v>
      </c>
      <c r="BH1" s="24" t="s">
        <v>1361</v>
      </c>
      <c r="BI1" s="24" t="s">
        <v>1362</v>
      </c>
      <c r="BJ1" s="24" t="s">
        <v>1363</v>
      </c>
      <c r="BK1" s="25" t="s">
        <v>1364</v>
      </c>
      <c r="BL1" s="23" t="s">
        <v>1318</v>
      </c>
      <c r="BO1" s="14" t="s">
        <v>1365</v>
      </c>
      <c r="BP1" s="14" t="s">
        <v>1366</v>
      </c>
      <c r="BQ1" s="14" t="s">
        <v>1367</v>
      </c>
      <c r="BR1" s="14" t="s">
        <v>1368</v>
      </c>
      <c r="BS1" s="14"/>
      <c r="BT1" s="14" t="s">
        <v>1316</v>
      </c>
      <c r="BW1" s="26" t="s">
        <v>1369</v>
      </c>
      <c r="BZ1" s="14" t="s">
        <v>1370</v>
      </c>
      <c r="CA1" s="14" t="s">
        <v>1371</v>
      </c>
    </row>
    <row r="2" spans="1:79" x14ac:dyDescent="0.25">
      <c r="A2" s="224" t="s">
        <v>15</v>
      </c>
      <c r="B2" s="210" t="s">
        <v>16</v>
      </c>
      <c r="C2" s="121">
        <f>VLOOKUP($B2,'Tillförd energi'!$B$1:$AI$720,MATCH(C$1,'Tillförd energi'!$B$1:$AQ$1,0),FALSE)</f>
        <v>0</v>
      </c>
      <c r="D2" s="121">
        <f>VLOOKUP($B2,'Tillförd energi'!$B$1:$AI$720,MATCH(D$1,'Tillförd energi'!$B$1:$AQ$1,0),FALSE)</f>
        <v>0</v>
      </c>
      <c r="E2" s="121">
        <f>VLOOKUP($B2,'Tillförd energi'!$B$1:$AI$720,MATCH(E$1,'Tillförd energi'!$B$1:$AQ$1,0),FALSE)</f>
        <v>0</v>
      </c>
      <c r="F2" s="121">
        <f>VLOOKUP($B2,'Tillförd energi'!$B$1:$AI$720,MATCH(F$1,'Tillförd energi'!$B$1:$AQ$1,0),FALSE)</f>
        <v>0</v>
      </c>
      <c r="G2" s="121">
        <f>VLOOKUP($B2,'Tillförd energi'!$B$1:$AI$720,MATCH(G$1,'Tillförd energi'!$B$1:$AQ$1,0),FALSE)</f>
        <v>0</v>
      </c>
      <c r="H2" s="121">
        <f>VLOOKUP($B2,'Tillförd energi'!$B$1:$AI$720,MATCH(H$1,'Tillförd energi'!$B$1:$AQ$1,0),FALSE)</f>
        <v>0</v>
      </c>
      <c r="I2" s="121">
        <f>VLOOKUP($B2,'Tillförd energi'!$B$1:$AI$720,MATCH(I$1,'Tillförd energi'!$B$1:$AQ$1,0),FALSE)</f>
        <v>0</v>
      </c>
      <c r="J2" s="121">
        <f>VLOOKUP($B2,'Tillförd energi'!$B$1:$AI$720,MATCH(J$1,'Tillförd energi'!$B$1:$AQ$1,0),FALSE)</f>
        <v>0.3</v>
      </c>
      <c r="K2" s="121">
        <f>VLOOKUP($B2,'Tillförd energi'!$B$1:$AI$720,MATCH(K$1,'Tillförd energi'!$B$1:$AQ$1,0),FALSE)</f>
        <v>0</v>
      </c>
      <c r="L2" s="121">
        <f>VLOOKUP($B2,'Tillförd energi'!$B$1:$AI$720,MATCH(L$1,'Tillförd energi'!$B$1:$AQ$1,0),FALSE)</f>
        <v>0</v>
      </c>
      <c r="M2" s="121">
        <f>VLOOKUP($B2,'Tillförd energi'!$B$1:$AI$720,MATCH(M$1,'Tillförd energi'!$B$1:$AQ$1,0),FALSE)</f>
        <v>0</v>
      </c>
      <c r="N2" s="121">
        <f>VLOOKUP($B2,'Tillförd energi'!$B$1:$AI$720,MATCH(N$1,'Tillförd energi'!$B$1:$AQ$1,0),FALSE)</f>
        <v>0</v>
      </c>
      <c r="O2" s="121">
        <f>VLOOKUP($B2,'Tillförd energi'!$B$1:$AI$720,MATCH(O$1,'Tillförd energi'!$B$1:$AQ$1,0),FALSE)</f>
        <v>0</v>
      </c>
      <c r="P2" s="121">
        <f>VLOOKUP($B2,'Tillförd energi'!$B$1:$AI$720,MATCH(P$1,'Tillförd energi'!$B$1:$AQ$1,0),FALSE)</f>
        <v>0</v>
      </c>
      <c r="Q2" s="121">
        <f>VLOOKUP($B2,'Tillförd energi'!$B$1:$AI$720,MATCH(Q$1,'Tillförd energi'!$B$1:$AQ$1,0),FALSE)</f>
        <v>0</v>
      </c>
      <c r="R2" s="121">
        <f>VLOOKUP($B2,'Tillförd energi'!$B$1:$AI$720,MATCH(R$1,'Tillförd energi'!$B$1:$AQ$1,0),FALSE)</f>
        <v>8.6</v>
      </c>
      <c r="S2" s="121">
        <f>VLOOKUP($B2,'Tillförd energi'!$B$1:$AI$720,MATCH(S$1,'Tillförd energi'!$B$1:$AQ$1,0),FALSE)</f>
        <v>0</v>
      </c>
      <c r="T2" s="121">
        <f>VLOOKUP($B2,'Tillförd energi'!$B$1:$AI$720,MATCH(T$1,'Tillförd energi'!$B$1:$AQ$1,0),FALSE)</f>
        <v>0</v>
      </c>
      <c r="U2" s="121">
        <f>VLOOKUP($B2,'Tillförd energi'!$B$1:$AI$720,MATCH(U$1,'Tillförd energi'!$B$1:$AQ$1,0),FALSE)</f>
        <v>0</v>
      </c>
      <c r="V2" s="121">
        <f>VLOOKUP($B2,'Tillförd energi'!$B$1:$AI$720,MATCH(V$1,'Tillförd energi'!$B$1:$AQ$1,0),FALSE)</f>
        <v>0</v>
      </c>
      <c r="W2" s="121">
        <f>VLOOKUP($B2,'Tillförd energi'!$B$1:$AI$720,MATCH(W$1,'Tillförd energi'!$B$1:$AQ$1,0),FALSE)</f>
        <v>0</v>
      </c>
      <c r="X2" s="121">
        <f>VLOOKUP($B2,'Tillförd energi'!$B$1:$AI$720,MATCH(X$1,'Tillförd energi'!$B$1:$AQ$1,0),FALSE)</f>
        <v>0</v>
      </c>
      <c r="Y2" s="121">
        <f>VLOOKUP($B2,'Tillförd energi'!$B$1:$AI$720,MATCH(Y$1,'Tillförd energi'!$B$1:$AQ$1,0),FALSE)</f>
        <v>0</v>
      </c>
      <c r="Z2" s="121">
        <f>VLOOKUP($B2,'Tillförd energi'!$B$1:$AI$720,MATCH(Z$1,'Tillförd energi'!$B$1:$AQ$1,0),FALSE)</f>
        <v>0</v>
      </c>
      <c r="AA2" s="121">
        <f>VLOOKUP($B2,'Tillförd energi'!$B$1:$AI$720,MATCH(AA$1,'Tillförd energi'!$B$1:$AQ$1,0),FALSE)</f>
        <v>0</v>
      </c>
      <c r="AB2" s="121">
        <f>VLOOKUP($B2,'Tillförd energi'!$B$1:$AI$720,MATCH(AB$1,'Tillförd energi'!$B$1:$AQ$1,0),FALSE)</f>
        <v>0</v>
      </c>
      <c r="AC2" s="121">
        <f>VLOOKUP($B2,'Tillförd energi'!$B$1:$AI$720,MATCH(AC$1,'Tillförd energi'!$B$1:$AQ$1,0),FALSE)</f>
        <v>0</v>
      </c>
      <c r="AD2" s="121">
        <f>VLOOKUP($B2,'Tillförd energi'!$B$1:$AI$720,MATCH(AD$1,'Tillförd energi'!$B$1:$AQ$1,0),FALSE)</f>
        <v>0</v>
      </c>
      <c r="AE2" s="121">
        <f>VLOOKUP($B2,'Tillförd energi'!$B$1:$AI$720,MATCH(AE$1,'Tillförd energi'!$B$1:$AQ$1,0),FALSE)</f>
        <v>0</v>
      </c>
      <c r="AF2" s="121">
        <f>VLOOKUP($B2,'Tillförd energi'!$B$1:$AI$720,MATCH(AF$1,'Tillförd energi'!$B$1:$AQ$1,0),FALSE)</f>
        <v>0.1</v>
      </c>
      <c r="AG2" s="121">
        <f>IFERROR(VLOOKUP(B2,Miljö!$B$1:$AC$550,MATCH("Köpt mängd produktionsspecifik fjärrvärme:",Miljö!$B$1:$AC$1,0),FALSE)/1,0)</f>
        <v>0</v>
      </c>
      <c r="AH2" s="121"/>
      <c r="AI2" s="121">
        <f>SUM(C2:AF2)</f>
        <v>9</v>
      </c>
      <c r="AJ2" s="121">
        <f>SUM(C2:AG2)</f>
        <v>9</v>
      </c>
      <c r="AK2" s="121">
        <f>IF(ISERROR(1/VLOOKUP($B2,Leveranser!$B$1:$S$499,MATCH("såld värme (gwh)",Leveranser!$B$1:$S$1,0),FALSE)),"",VLOOKUP($B2,Leveranser!$B$1:$S$499,MATCH("såld värme (gwh)",Leveranser!$B$1:$S$1,0),FALSE))</f>
        <v>7.4930000000000003</v>
      </c>
      <c r="AL2" s="121">
        <f>VLOOKUP($B2,Leveranser!$B$1:$Y$499,MATCH("Totalt såld fjärrvärme till andra fjärrvärmeföretag",Leveranser!$B$1:$AA$1,0),FALSE)</f>
        <v>0</v>
      </c>
      <c r="AM2" s="121">
        <f>IF(ISERROR(1/VLOOKUP($B2,Miljö!$B$1:$S$500,MATCH("Såld mängd produktionsspecifik fjärrvärme (GWh)",Miljö!$B$1:$R$1,0),FALSE)),0,VLOOKUP($B2,Miljö!$B$1:$S$500,MATCH("Såld mängd produktionsspecifik fjärrvärme (GWh)",Miljö!$B$1:$R$1,0),FALSE))</f>
        <v>0</v>
      </c>
      <c r="AN2" s="172">
        <f>IFERROR(AK2/AJ2,"")</f>
        <v>0.8325555555555556</v>
      </c>
      <c r="AO2" s="121"/>
      <c r="AP2" s="121" t="str">
        <f>IFERROR(VLOOKUP($B2,Miljövärden!$B$2:$H$550,7,FALSE),"Nej, saknas")</f>
        <v>Ja</v>
      </c>
      <c r="AQ2" s="121" t="str">
        <f>IFERROR(VLOOKUP($B2,Miljövärden!$B$2:$H$550,6,FALSE),"Nej, saknas")</f>
        <v>Nej</v>
      </c>
      <c r="AU2">
        <f>Z2+AA2+AF2</f>
        <v>0.1</v>
      </c>
      <c r="AV2">
        <f>X2</f>
        <v>0</v>
      </c>
      <c r="AW2">
        <f>M2+N2+O2+P2+Q2</f>
        <v>0</v>
      </c>
      <c r="AX2">
        <f>R2+S2+T2+U2</f>
        <v>8.6</v>
      </c>
      <c r="AZ2">
        <f>L2+M2+N2+O2+P2+Q2+R2+S2+T2+U2+V2+W2+X2</f>
        <v>8.6</v>
      </c>
      <c r="BC2">
        <f>C2+D2+E2+F2+G2+H2+AE2</f>
        <v>0</v>
      </c>
      <c r="BD2">
        <f>Y2</f>
        <v>0</v>
      </c>
      <c r="BE2">
        <f>M2+N2+O2+P2+Q2+R2+S2+T2+U2+V2+W2+X2</f>
        <v>8.6</v>
      </c>
      <c r="BF2">
        <f>I2+J2+K2+L2+AB2+AC2+AD2</f>
        <v>0.3</v>
      </c>
      <c r="BG2">
        <f>Z2+AA2+AF2</f>
        <v>0.1</v>
      </c>
      <c r="BH2">
        <f>VLOOKUP(B2,Miljö!$B$1:$BX$482,MATCH("Fossilandel för ursprungspecificerad el ()",Miljö!$B$1:$I$1,0),FALSE)</f>
        <v>0</v>
      </c>
      <c r="BI2">
        <f>VLOOKUP(B2,Miljö!$B$1:$BX$482,MATCH("Kärnkraftsandel för ursprungsspecificerad el ()",Miljö!$B$1:$O$1,0),FALSE)</f>
        <v>0</v>
      </c>
      <c r="BJ2">
        <f>AG2</f>
        <v>0</v>
      </c>
      <c r="BK2" t="str">
        <f>VLOOKUP(B2,Miljö!$B$1:$O$482,MATCH("Fossil andel i procent (%)",Miljö!$B$1:$O$1,0),FALSE)</f>
        <v>ET</v>
      </c>
      <c r="BL2">
        <f>SUM(BC2:BG2,BJ2)</f>
        <v>9</v>
      </c>
      <c r="BO2" s="18">
        <f>IF(AP2="ja",(BC2+IFERROR(BG2*BH2,0)+IFERROR(BJ2*BK2/100,0))/$BL2,"")</f>
        <v>0</v>
      </c>
      <c r="BP2" s="18">
        <f>IF(AP2="ja",(BD2+IFERROR(BG2*BI2,0)+IFERROR(BJ2*(1-BK2/100),0))/$BL2,"")</f>
        <v>0</v>
      </c>
      <c r="BQ2" s="18">
        <f>IF(AP2="ja",(BE2+IFERROR(BG2*(1-BH2-BI2),0))/$BL2,"")</f>
        <v>0.96666666666666656</v>
      </c>
      <c r="BR2" s="18">
        <f>IF(AP2="ja",BF2/$BL2,"")</f>
        <v>3.3333333333333333E-2</v>
      </c>
      <c r="BT2" s="27">
        <f>SUM(BO2:BR2)</f>
        <v>0.99999999999999989</v>
      </c>
      <c r="BW2" s="18">
        <f>IF(AP2="ja",VLOOKUP(B2,Miljövärden!$B$2:$H$550,MATCH("Total andel fossilt",Miljövärden!$B$2:$H$2,0),FALSE),"")</f>
        <v>0</v>
      </c>
      <c r="BZ2" s="28">
        <f>IFERROR(BW2-BO2,"")</f>
        <v>0</v>
      </c>
      <c r="CA2" s="28">
        <f>IFERROR(ROUND(BW2,3)-ROUND(BO2,3),"")</f>
        <v>0</v>
      </c>
    </row>
    <row r="3" spans="1:79" x14ac:dyDescent="0.25">
      <c r="A3" s="224" t="s">
        <v>15</v>
      </c>
      <c r="B3" s="210" t="s">
        <v>18</v>
      </c>
      <c r="C3" s="121">
        <f>VLOOKUP($B3,'Tillförd energi'!$B$1:$AI$720,MATCH(C$1,'Tillförd energi'!$B$1:$AQ$1,0),FALSE)</f>
        <v>0</v>
      </c>
      <c r="D3" s="121">
        <f>VLOOKUP($B3,'Tillförd energi'!$B$1:$AI$720,MATCH(D$1,'Tillförd energi'!$B$1:$AQ$1,0),FALSE)</f>
        <v>3.7999999999999999E-2</v>
      </c>
      <c r="E3" s="121">
        <f>VLOOKUP($B3,'Tillförd energi'!$B$1:$AI$720,MATCH(E$1,'Tillförd energi'!$B$1:$AQ$1,0),FALSE)</f>
        <v>0</v>
      </c>
      <c r="F3" s="121">
        <f>VLOOKUP($B3,'Tillförd energi'!$B$1:$AI$720,MATCH(F$1,'Tillförd energi'!$B$1:$AQ$1,0),FALSE)</f>
        <v>0</v>
      </c>
      <c r="G3" s="121">
        <f>VLOOKUP($B3,'Tillförd energi'!$B$1:$AI$720,MATCH(G$1,'Tillförd energi'!$B$1:$AQ$1,0),FALSE)</f>
        <v>0</v>
      </c>
      <c r="H3" s="121">
        <f>VLOOKUP($B3,'Tillförd energi'!$B$1:$AI$720,MATCH(H$1,'Tillförd energi'!$B$1:$AQ$1,0),FALSE)</f>
        <v>0</v>
      </c>
      <c r="I3" s="121">
        <f>VLOOKUP($B3,'Tillförd energi'!$B$1:$AI$720,MATCH(I$1,'Tillförd energi'!$B$1:$AQ$1,0),FALSE)</f>
        <v>0</v>
      </c>
      <c r="J3" s="121">
        <f>VLOOKUP($B3,'Tillförd energi'!$B$1:$AI$720,MATCH(J$1,'Tillförd energi'!$B$1:$AQ$1,0),FALSE)</f>
        <v>0</v>
      </c>
      <c r="K3" s="121">
        <f>VLOOKUP($B3,'Tillförd energi'!$B$1:$AI$720,MATCH(K$1,'Tillförd energi'!$B$1:$AQ$1,0),FALSE)</f>
        <v>0</v>
      </c>
      <c r="L3" s="121">
        <f>VLOOKUP($B3,'Tillförd energi'!$B$1:$AI$720,MATCH(L$1,'Tillförd energi'!$B$1:$AQ$1,0),FALSE)</f>
        <v>0</v>
      </c>
      <c r="M3" s="121">
        <f>VLOOKUP($B3,'Tillförd energi'!$B$1:$AI$720,MATCH(M$1,'Tillförd energi'!$B$1:$AQ$1,0),FALSE)</f>
        <v>0</v>
      </c>
      <c r="N3" s="121">
        <f>VLOOKUP($B3,'Tillförd energi'!$B$1:$AI$720,MATCH(N$1,'Tillförd energi'!$B$1:$AQ$1,0),FALSE)</f>
        <v>0</v>
      </c>
      <c r="O3" s="121">
        <f>VLOOKUP($B3,'Tillförd energi'!$B$1:$AI$720,MATCH(O$1,'Tillförd energi'!$B$1:$AQ$1,0),FALSE)</f>
        <v>0</v>
      </c>
      <c r="P3" s="121">
        <f>VLOOKUP($B3,'Tillförd energi'!$B$1:$AI$720,MATCH(P$1,'Tillförd energi'!$B$1:$AQ$1,0),FALSE)</f>
        <v>0</v>
      </c>
      <c r="Q3" s="121">
        <f>VLOOKUP($B3,'Tillförd energi'!$B$1:$AI$720,MATCH(Q$1,'Tillförd energi'!$B$1:$AQ$1,0),FALSE)</f>
        <v>21.7</v>
      </c>
      <c r="R3" s="121">
        <f>VLOOKUP($B3,'Tillförd energi'!$B$1:$AI$720,MATCH(R$1,'Tillförd energi'!$B$1:$AQ$1,0),FALSE)</f>
        <v>0</v>
      </c>
      <c r="S3" s="121">
        <f>VLOOKUP($B3,'Tillförd energi'!$B$1:$AI$720,MATCH(S$1,'Tillförd energi'!$B$1:$AQ$1,0),FALSE)</f>
        <v>0</v>
      </c>
      <c r="T3" s="121">
        <f>VLOOKUP($B3,'Tillförd energi'!$B$1:$AI$720,MATCH(T$1,'Tillförd energi'!$B$1:$AQ$1,0),FALSE)</f>
        <v>0</v>
      </c>
      <c r="U3" s="121">
        <f>VLOOKUP($B3,'Tillförd energi'!$B$1:$AI$720,MATCH(U$1,'Tillförd energi'!$B$1:$AQ$1,0),FALSE)</f>
        <v>0</v>
      </c>
      <c r="V3" s="121">
        <f>VLOOKUP($B3,'Tillförd energi'!$B$1:$AI$720,MATCH(V$1,'Tillförd energi'!$B$1:$AQ$1,0),FALSE)</f>
        <v>0</v>
      </c>
      <c r="W3" s="121">
        <f>VLOOKUP($B3,'Tillförd energi'!$B$1:$AI$720,MATCH(W$1,'Tillförd energi'!$B$1:$AQ$1,0),FALSE)</f>
        <v>0</v>
      </c>
      <c r="X3" s="121">
        <f>VLOOKUP($B3,'Tillförd energi'!$B$1:$AI$720,MATCH(X$1,'Tillförd energi'!$B$1:$AQ$1,0),FALSE)</f>
        <v>0</v>
      </c>
      <c r="Y3" s="121">
        <f>VLOOKUP($B3,'Tillförd energi'!$B$1:$AI$720,MATCH(Y$1,'Tillförd energi'!$B$1:$AQ$1,0),FALSE)</f>
        <v>0</v>
      </c>
      <c r="Z3" s="121">
        <f>VLOOKUP($B3,'Tillförd energi'!$B$1:$AI$720,MATCH(Z$1,'Tillförd energi'!$B$1:$AQ$1,0),FALSE)</f>
        <v>0</v>
      </c>
      <c r="AA3" s="121">
        <f>VLOOKUP($B3,'Tillförd energi'!$B$1:$AI$720,MATCH(AA$1,'Tillförd energi'!$B$1:$AQ$1,0),FALSE)</f>
        <v>0</v>
      </c>
      <c r="AB3" s="121">
        <f>VLOOKUP($B3,'Tillförd energi'!$B$1:$AI$720,MATCH(AB$1,'Tillförd energi'!$B$1:$AQ$1,0),FALSE)</f>
        <v>0</v>
      </c>
      <c r="AC3" s="121">
        <f>VLOOKUP($B3,'Tillförd energi'!$B$1:$AI$720,MATCH(AC$1,'Tillförd energi'!$B$1:$AQ$1,0),FALSE)</f>
        <v>0</v>
      </c>
      <c r="AD3" s="121">
        <f>VLOOKUP($B3,'Tillförd energi'!$B$1:$AI$720,MATCH(AD$1,'Tillförd energi'!$B$1:$AQ$1,0),FALSE)</f>
        <v>0</v>
      </c>
      <c r="AE3" s="121">
        <f>VLOOKUP($B3,'Tillförd energi'!$B$1:$AI$720,MATCH(AE$1,'Tillförd energi'!$B$1:$AQ$1,0),FALSE)</f>
        <v>0</v>
      </c>
      <c r="AF3" s="121">
        <f>VLOOKUP($B3,'Tillförd energi'!$B$1:$AI$720,MATCH(AF$1,'Tillförd energi'!$B$1:$AQ$1,0),FALSE)</f>
        <v>0.6</v>
      </c>
      <c r="AG3" s="121">
        <f>IFERROR(VLOOKUP(B3,Miljö!$B$1:$AC$550,MATCH("Köpt mängd produktionsspecifik fjärrvärme:",Miljö!$B$1:$AC$1,0),FALSE)/1,0)</f>
        <v>0</v>
      </c>
      <c r="AH3" s="121"/>
      <c r="AI3" s="121">
        <f t="shared" ref="AI3:AI50" si="0">SUM(C3:AF3)</f>
        <v>22.338000000000001</v>
      </c>
      <c r="AJ3" s="121">
        <f t="shared" ref="AJ3:AJ50" si="1">SUM(C3:AG3)</f>
        <v>22.338000000000001</v>
      </c>
      <c r="AK3" s="121">
        <f>IF(ISERROR(1/VLOOKUP($B3,Leveranser!$B$1:$S$499,MATCH("såld värme (gwh)",Leveranser!$B$1:$S$1,0),FALSE)),"",VLOOKUP($B3,Leveranser!$B$1:$S$499,MATCH("såld värme (gwh)",Leveranser!$B$1:$S$1,0),FALSE))</f>
        <v>16.2</v>
      </c>
      <c r="AL3" s="121">
        <f>VLOOKUP($B3,Leveranser!$B$1:$Y$499,MATCH("Totalt såld fjärrvärme till andra fjärrvärmeföretag",Leveranser!$B$1:$AA$1,0),FALSE)</f>
        <v>0</v>
      </c>
      <c r="AM3" s="121">
        <f>IF(ISERROR(1/VLOOKUP($B3,Miljö!$B$1:$S$500,MATCH("Såld mängd produktionsspecifik fjärrvärme (GWh)",Miljö!$B$1:$R$1,0),FALSE)),0,VLOOKUP($B3,Miljö!$B$1:$S$500,MATCH("Såld mängd produktionsspecifik fjärrvärme (GWh)",Miljö!$B$1:$R$1,0),FALSE))</f>
        <v>0</v>
      </c>
      <c r="AN3" s="172">
        <f t="shared" ref="AN3:AN50" si="2">IFERROR(AK3/AJ3,"")</f>
        <v>0.72522159548750997</v>
      </c>
      <c r="AO3" s="121"/>
      <c r="AP3" s="121" t="str">
        <f>IFERROR(VLOOKUP($B3,Miljövärden!$B$2:$H$550,7,FALSE),"Nej, saknas")</f>
        <v>Ja</v>
      </c>
      <c r="AQ3" s="121" t="str">
        <f>IFERROR(VLOOKUP($B3,Miljövärden!$B$2:$H$550,6,FALSE),"Nej, saknas")</f>
        <v>Nej</v>
      </c>
      <c r="AU3">
        <f t="shared" ref="AU3:AU50" si="3">Z3+AA3+AF3</f>
        <v>0.6</v>
      </c>
      <c r="AV3">
        <f t="shared" ref="AV3:AV50" si="4">X3</f>
        <v>0</v>
      </c>
      <c r="AW3">
        <f t="shared" ref="AW3:AW50" si="5">M3+N3+O3+P3+Q3</f>
        <v>21.7</v>
      </c>
      <c r="AX3">
        <f t="shared" ref="AX3:AX50" si="6">R3+S3+T3+U3</f>
        <v>0</v>
      </c>
      <c r="AZ3">
        <f t="shared" ref="AZ3:AZ50" si="7">L3+M3+N3+O3+P3+Q3+R3+S3+T3+U3+V3+W3+X3</f>
        <v>21.7</v>
      </c>
      <c r="BC3">
        <f t="shared" ref="BC3:BC50" si="8">C3+D3+E3+F3+G3+H3+AE3</f>
        <v>3.7999999999999999E-2</v>
      </c>
      <c r="BD3">
        <f t="shared" ref="BD3:BD50" si="9">Y3</f>
        <v>0</v>
      </c>
      <c r="BE3">
        <f t="shared" ref="BE3:BE50" si="10">M3+N3+O3+P3+Q3+R3+S3+T3+U3+V3+W3+X3</f>
        <v>21.7</v>
      </c>
      <c r="BF3">
        <f t="shared" ref="BF3:BF50" si="11">I3+J3+K3+L3+AB3+AC3+AD3</f>
        <v>0</v>
      </c>
      <c r="BG3">
        <f t="shared" ref="BG3:BG50" si="12">Z3+AA3+AF3</f>
        <v>0.6</v>
      </c>
      <c r="BH3">
        <f>VLOOKUP(B3,Miljö!$B$1:$BX$482,MATCH("Fossilandel för ursprungspecificerad el ()",Miljö!$B$1:$I$1,0),FALSE)</f>
        <v>0</v>
      </c>
      <c r="BI3">
        <f>VLOOKUP(B3,Miljö!$B$1:$BX$482,MATCH("Kärnkraftsandel för ursprungsspecificerad el ()",Miljö!$B$1:$O$1,0),FALSE)</f>
        <v>0</v>
      </c>
      <c r="BJ3">
        <f t="shared" ref="BJ3:BJ50" si="13">AG3</f>
        <v>0</v>
      </c>
      <c r="BK3" t="str">
        <f>VLOOKUP(B3,Miljö!$B$1:$O$482,MATCH("Fossil andel i procent (%)",Miljö!$B$1:$O$1,0),FALSE)</f>
        <v>ET</v>
      </c>
      <c r="BL3">
        <f t="shared" ref="BL3:BL50" si="14">SUM(BC3:BG3,BJ3)</f>
        <v>22.338000000000001</v>
      </c>
      <c r="BO3" s="18">
        <f t="shared" ref="BO3:BO50" si="15">IF(AP3="ja",(BC3+IFERROR(BG3*BH3,0)+IFERROR(BJ3*BK3/100,0))/$BL3,"")</f>
        <v>1.7011370758349001E-3</v>
      </c>
      <c r="BP3" s="18">
        <f t="shared" ref="BP3:BP50" si="16">IF(AP3="ja",(BD3+IFERROR(BG3*BI3,0)+IFERROR(BJ3*(1-BK3/100),0))/$BL3,"")</f>
        <v>0</v>
      </c>
      <c r="BQ3" s="18">
        <f t="shared" ref="BQ3:BQ50" si="17">IF(AP3="ja",(BE3+IFERROR(BG3*(1-BH3-BI3),0))/$BL3,"")</f>
        <v>0.99829886292416514</v>
      </c>
      <c r="BR3" s="18">
        <f t="shared" ref="BR3:BR50" si="18">IF(AP3="ja",BF3/$BL3,"")</f>
        <v>0</v>
      </c>
      <c r="BT3" s="27">
        <f t="shared" ref="BT3:BT50" si="19">SUM(BO3:BR3)</f>
        <v>1</v>
      </c>
      <c r="BW3" s="18">
        <f>IF(AP3="ja",VLOOKUP(B3,Miljövärden!$B$2:$H$550,MATCH("Total andel fossilt",Miljövärden!$B$2:$H$2,0),FALSE),"")</f>
        <v>1.7011400000000001E-3</v>
      </c>
      <c r="BZ3" s="28">
        <f t="shared" ref="BZ3:BZ50" si="20">IFERROR(BW3-BO3,"")</f>
        <v>2.9241650999472374E-9</v>
      </c>
      <c r="CA3" s="28">
        <f t="shared" ref="CA3:CA50" si="21">IFERROR(ROUND(BW3,3)-ROUND(BO3,3),"")</f>
        <v>0</v>
      </c>
    </row>
    <row r="4" spans="1:79" x14ac:dyDescent="0.25">
      <c r="A4" s="224" t="s">
        <v>15</v>
      </c>
      <c r="B4" s="210" t="s">
        <v>20</v>
      </c>
      <c r="C4" s="121">
        <f>VLOOKUP($B4,'Tillförd energi'!$B$1:$AI$720,MATCH(C$1,'Tillförd energi'!$B$1:$AQ$1,0),FALSE)</f>
        <v>0</v>
      </c>
      <c r="D4" s="121">
        <f>VLOOKUP($B4,'Tillförd energi'!$B$1:$AI$720,MATCH(D$1,'Tillförd energi'!$B$1:$AQ$1,0),FALSE)</f>
        <v>0.84899999999999998</v>
      </c>
      <c r="E4" s="121">
        <f>VLOOKUP($B4,'Tillförd energi'!$B$1:$AI$720,MATCH(E$1,'Tillförd energi'!$B$1:$AQ$1,0),FALSE)</f>
        <v>0</v>
      </c>
      <c r="F4" s="121">
        <f>VLOOKUP($B4,'Tillförd energi'!$B$1:$AI$720,MATCH(F$1,'Tillförd energi'!$B$1:$AQ$1,0),FALSE)</f>
        <v>0</v>
      </c>
      <c r="G4" s="121">
        <f>VLOOKUP($B4,'Tillförd energi'!$B$1:$AI$720,MATCH(G$1,'Tillförd energi'!$B$1:$AQ$1,0),FALSE)</f>
        <v>0</v>
      </c>
      <c r="H4" s="121">
        <f>VLOOKUP($B4,'Tillförd energi'!$B$1:$AI$720,MATCH(H$1,'Tillförd energi'!$B$1:$AQ$1,0),FALSE)</f>
        <v>0</v>
      </c>
      <c r="I4" s="121">
        <f>VLOOKUP($B4,'Tillförd energi'!$B$1:$AI$720,MATCH(I$1,'Tillförd energi'!$B$1:$AQ$1,0),FALSE)</f>
        <v>63.664000000000001</v>
      </c>
      <c r="J4" s="121">
        <f>VLOOKUP($B4,'Tillförd energi'!$B$1:$AI$720,MATCH(J$1,'Tillförd energi'!$B$1:$AQ$1,0),FALSE)</f>
        <v>0</v>
      </c>
      <c r="K4" s="121">
        <f>VLOOKUP($B4,'Tillförd energi'!$B$1:$AI$720,MATCH(K$1,'Tillförd energi'!$B$1:$AQ$1,0),FALSE)</f>
        <v>0</v>
      </c>
      <c r="L4" s="121">
        <f>VLOOKUP($B4,'Tillförd energi'!$B$1:$AI$720,MATCH(L$1,'Tillförd energi'!$B$1:$AQ$1,0),FALSE)</f>
        <v>0</v>
      </c>
      <c r="M4" s="121">
        <f>VLOOKUP($B4,'Tillförd energi'!$B$1:$AI$720,MATCH(M$1,'Tillförd energi'!$B$1:$AQ$1,0),FALSE)</f>
        <v>0</v>
      </c>
      <c r="N4" s="121">
        <f>VLOOKUP($B4,'Tillförd energi'!$B$1:$AI$720,MATCH(N$1,'Tillförd energi'!$B$1:$AQ$1,0),FALSE)</f>
        <v>0</v>
      </c>
      <c r="O4" s="121">
        <f>VLOOKUP($B4,'Tillförd energi'!$B$1:$AI$720,MATCH(O$1,'Tillförd energi'!$B$1:$AQ$1,0),FALSE)</f>
        <v>0</v>
      </c>
      <c r="P4" s="121">
        <f>VLOOKUP($B4,'Tillförd energi'!$B$1:$AI$720,MATCH(P$1,'Tillförd energi'!$B$1:$AQ$1,0),FALSE)</f>
        <v>0</v>
      </c>
      <c r="Q4" s="121">
        <f>VLOOKUP($B4,'Tillförd energi'!$B$1:$AI$720,MATCH(Q$1,'Tillförd energi'!$B$1:$AQ$1,0),FALSE)</f>
        <v>68.141000000000005</v>
      </c>
      <c r="R4" s="121">
        <f>VLOOKUP($B4,'Tillförd energi'!$B$1:$AI$720,MATCH(R$1,'Tillförd energi'!$B$1:$AQ$1,0),FALSE)</f>
        <v>0</v>
      </c>
      <c r="S4" s="121">
        <f>VLOOKUP($B4,'Tillförd energi'!$B$1:$AI$720,MATCH(S$1,'Tillförd energi'!$B$1:$AQ$1,0),FALSE)</f>
        <v>0</v>
      </c>
      <c r="T4" s="121">
        <f>VLOOKUP($B4,'Tillförd energi'!$B$1:$AI$720,MATCH(T$1,'Tillförd energi'!$B$1:$AQ$1,0),FALSE)</f>
        <v>0</v>
      </c>
      <c r="U4" s="121">
        <f>VLOOKUP($B4,'Tillförd energi'!$B$1:$AI$720,MATCH(U$1,'Tillförd energi'!$B$1:$AQ$1,0),FALSE)</f>
        <v>0</v>
      </c>
      <c r="V4" s="121">
        <f>VLOOKUP($B4,'Tillförd energi'!$B$1:$AI$720,MATCH(V$1,'Tillförd energi'!$B$1:$AQ$1,0),FALSE)</f>
        <v>0</v>
      </c>
      <c r="W4" s="121">
        <f>VLOOKUP($B4,'Tillförd energi'!$B$1:$AI$720,MATCH(W$1,'Tillförd energi'!$B$1:$AQ$1,0),FALSE)</f>
        <v>0</v>
      </c>
      <c r="X4" s="121">
        <f>VLOOKUP($B4,'Tillförd energi'!$B$1:$AI$720,MATCH(X$1,'Tillförd energi'!$B$1:$AQ$1,0),FALSE)</f>
        <v>0</v>
      </c>
      <c r="Y4" s="121">
        <f>VLOOKUP($B4,'Tillförd energi'!$B$1:$AI$720,MATCH(Y$1,'Tillförd energi'!$B$1:$AQ$1,0),FALSE)</f>
        <v>0</v>
      </c>
      <c r="Z4" s="121">
        <f>VLOOKUP($B4,'Tillförd energi'!$B$1:$AI$720,MATCH(Z$1,'Tillförd energi'!$B$1:$AQ$1,0),FALSE)</f>
        <v>0</v>
      </c>
      <c r="AA4" s="121">
        <f>VLOOKUP($B4,'Tillförd energi'!$B$1:$AI$720,MATCH(AA$1,'Tillförd energi'!$B$1:$AQ$1,0),FALSE)</f>
        <v>0</v>
      </c>
      <c r="AB4" s="121">
        <f>VLOOKUP($B4,'Tillförd energi'!$B$1:$AI$720,MATCH(AB$1,'Tillförd energi'!$B$1:$AQ$1,0),FALSE)</f>
        <v>0</v>
      </c>
      <c r="AC4" s="121">
        <f>VLOOKUP($B4,'Tillförd energi'!$B$1:$AI$720,MATCH(AC$1,'Tillförd energi'!$B$1:$AQ$1,0),FALSE)</f>
        <v>11.101000000000001</v>
      </c>
      <c r="AD4" s="121">
        <f>VLOOKUP($B4,'Tillförd energi'!$B$1:$AI$720,MATCH(AD$1,'Tillförd energi'!$B$1:$AQ$1,0),FALSE)</f>
        <v>1.8</v>
      </c>
      <c r="AE4" s="121">
        <f>VLOOKUP($B4,'Tillförd energi'!$B$1:$AI$720,MATCH(AE$1,'Tillförd energi'!$B$1:$AQ$1,0),FALSE)</f>
        <v>0</v>
      </c>
      <c r="AF4" s="121">
        <f>VLOOKUP($B4,'Tillförd energi'!$B$1:$AI$720,MATCH(AF$1,'Tillförd energi'!$B$1:$AQ$1,0),FALSE)</f>
        <v>4.4000000000000004</v>
      </c>
      <c r="AG4" s="121">
        <f>IFERROR(VLOOKUP(B4,Miljö!$B$1:$AC$550,MATCH("Köpt mängd produktionsspecifik fjärrvärme:",Miljö!$B$1:$AC$1,0),FALSE)/1,0)</f>
        <v>0</v>
      </c>
      <c r="AH4" s="121"/>
      <c r="AI4" s="121">
        <f t="shared" si="0"/>
        <v>149.95500000000001</v>
      </c>
      <c r="AJ4" s="121">
        <f t="shared" si="1"/>
        <v>149.95500000000001</v>
      </c>
      <c r="AK4" s="121">
        <f>IF(ISERROR(1/VLOOKUP($B4,Leveranser!$B$1:$S$499,MATCH("såld värme (gwh)",Leveranser!$B$1:$S$1,0),FALSE)),"",VLOOKUP($B4,Leveranser!$B$1:$S$499,MATCH("såld värme (gwh)",Leveranser!$B$1:$S$1,0),FALSE))</f>
        <v>107.4</v>
      </c>
      <c r="AL4" s="121">
        <f>VLOOKUP($B4,Leveranser!$B$1:$Y$499,MATCH("Totalt såld fjärrvärme till andra fjärrvärmeföretag",Leveranser!$B$1:$AA$1,0),FALSE)</f>
        <v>0</v>
      </c>
      <c r="AM4" s="121">
        <f>IF(ISERROR(1/VLOOKUP($B4,Miljö!$B$1:$S$500,MATCH("Såld mängd produktionsspecifik fjärrvärme (GWh)",Miljö!$B$1:$R$1,0),FALSE)),0,VLOOKUP($B4,Miljö!$B$1:$S$500,MATCH("Såld mängd produktionsspecifik fjärrvärme (GWh)",Miljö!$B$1:$R$1,0),FALSE))</f>
        <v>0</v>
      </c>
      <c r="AN4" s="172">
        <f t="shared" si="2"/>
        <v>0.7162148644593378</v>
      </c>
      <c r="AO4" s="121"/>
      <c r="AP4" s="121" t="str">
        <f>IFERROR(VLOOKUP($B4,Miljövärden!$B$2:$H$550,7,FALSE),"Nej, saknas")</f>
        <v>Ja</v>
      </c>
      <c r="AQ4" s="121" t="str">
        <f>IFERROR(VLOOKUP($B4,Miljövärden!$B$2:$H$550,6,FALSE),"Nej, saknas")</f>
        <v>Nej</v>
      </c>
      <c r="AU4">
        <f t="shared" si="3"/>
        <v>4.4000000000000004</v>
      </c>
      <c r="AV4">
        <f t="shared" si="4"/>
        <v>0</v>
      </c>
      <c r="AW4">
        <f t="shared" si="5"/>
        <v>68.141000000000005</v>
      </c>
      <c r="AX4">
        <f t="shared" si="6"/>
        <v>0</v>
      </c>
      <c r="AZ4">
        <f t="shared" si="7"/>
        <v>68.141000000000005</v>
      </c>
      <c r="BC4">
        <f t="shared" si="8"/>
        <v>0.84899999999999998</v>
      </c>
      <c r="BD4">
        <f t="shared" si="9"/>
        <v>0</v>
      </c>
      <c r="BE4">
        <f t="shared" si="10"/>
        <v>68.141000000000005</v>
      </c>
      <c r="BF4">
        <f t="shared" si="11"/>
        <v>76.564999999999998</v>
      </c>
      <c r="BG4">
        <f t="shared" si="12"/>
        <v>4.4000000000000004</v>
      </c>
      <c r="BH4">
        <f>VLOOKUP(B4,Miljö!$B$1:$BX$482,MATCH("Fossilandel för ursprungspecificerad el ()",Miljö!$B$1:$I$1,0),FALSE)</f>
        <v>0</v>
      </c>
      <c r="BI4">
        <f>VLOOKUP(B4,Miljö!$B$1:$BX$482,MATCH("Kärnkraftsandel för ursprungsspecificerad el ()",Miljö!$B$1:$O$1,0),FALSE)</f>
        <v>0</v>
      </c>
      <c r="BJ4">
        <f t="shared" si="13"/>
        <v>0</v>
      </c>
      <c r="BK4" t="str">
        <f>VLOOKUP(B4,Miljö!$B$1:$O$482,MATCH("Fossil andel i procent (%)",Miljö!$B$1:$O$1,0),FALSE)</f>
        <v>ET</v>
      </c>
      <c r="BL4">
        <f t="shared" si="14"/>
        <v>149.95500000000001</v>
      </c>
      <c r="BO4" s="18">
        <f t="shared" si="15"/>
        <v>5.6616985095528649E-3</v>
      </c>
      <c r="BP4" s="18">
        <f t="shared" si="16"/>
        <v>0</v>
      </c>
      <c r="BQ4" s="18">
        <f t="shared" si="17"/>
        <v>0.48375179220432801</v>
      </c>
      <c r="BR4" s="18">
        <f t="shared" si="18"/>
        <v>0.51058650928611915</v>
      </c>
      <c r="BT4" s="27">
        <f t="shared" si="19"/>
        <v>1</v>
      </c>
      <c r="BW4" s="18">
        <f>IF(AP4="ja",VLOOKUP(B4,Miljövärden!$B$2:$H$550,MATCH("Total andel fossilt",Miljövärden!$B$2:$H$2,0),FALSE),"")</f>
        <v>5.6617000000000004E-3</v>
      </c>
      <c r="BZ4" s="28">
        <f t="shared" si="20"/>
        <v>1.4904471355020599E-9</v>
      </c>
      <c r="CA4" s="28">
        <f t="shared" si="21"/>
        <v>0</v>
      </c>
    </row>
    <row r="5" spans="1:79" x14ac:dyDescent="0.25">
      <c r="A5" s="224" t="s">
        <v>15</v>
      </c>
      <c r="B5" s="210" t="s">
        <v>22</v>
      </c>
      <c r="C5" s="121">
        <f>VLOOKUP($B5,'Tillförd energi'!$B$1:$AI$720,MATCH(C$1,'Tillförd energi'!$B$1:$AQ$1,0),FALSE)</f>
        <v>0</v>
      </c>
      <c r="D5" s="121">
        <f>VLOOKUP($B5,'Tillförd energi'!$B$1:$AI$720,MATCH(D$1,'Tillförd energi'!$B$1:$AQ$1,0),FALSE)</f>
        <v>0.06</v>
      </c>
      <c r="E5" s="121">
        <f>VLOOKUP($B5,'Tillförd energi'!$B$1:$AI$720,MATCH(E$1,'Tillförd energi'!$B$1:$AQ$1,0),FALSE)</f>
        <v>0</v>
      </c>
      <c r="F5" s="121">
        <f>VLOOKUP($B5,'Tillförd energi'!$B$1:$AI$720,MATCH(F$1,'Tillförd energi'!$B$1:$AQ$1,0),FALSE)</f>
        <v>0</v>
      </c>
      <c r="G5" s="121">
        <f>VLOOKUP($B5,'Tillförd energi'!$B$1:$AI$720,MATCH(G$1,'Tillförd energi'!$B$1:$AQ$1,0),FALSE)</f>
        <v>0</v>
      </c>
      <c r="H5" s="121">
        <f>VLOOKUP($B5,'Tillförd energi'!$B$1:$AI$720,MATCH(H$1,'Tillförd energi'!$B$1:$AQ$1,0),FALSE)</f>
        <v>0</v>
      </c>
      <c r="I5" s="121">
        <f>VLOOKUP($B5,'Tillförd energi'!$B$1:$AI$720,MATCH(I$1,'Tillförd energi'!$B$1:$AQ$1,0),FALSE)</f>
        <v>0</v>
      </c>
      <c r="J5" s="121">
        <f>VLOOKUP($B5,'Tillförd energi'!$B$1:$AI$720,MATCH(J$1,'Tillförd energi'!$B$1:$AQ$1,0),FALSE)</f>
        <v>0</v>
      </c>
      <c r="K5" s="121">
        <f>VLOOKUP($B5,'Tillförd energi'!$B$1:$AI$720,MATCH(K$1,'Tillförd energi'!$B$1:$AQ$1,0),FALSE)</f>
        <v>0</v>
      </c>
      <c r="L5" s="121">
        <f>VLOOKUP($B5,'Tillförd energi'!$B$1:$AI$720,MATCH(L$1,'Tillförd energi'!$B$1:$AQ$1,0),FALSE)</f>
        <v>0</v>
      </c>
      <c r="M5" s="121">
        <f>VLOOKUP($B5,'Tillförd energi'!$B$1:$AI$720,MATCH(M$1,'Tillförd energi'!$B$1:$AQ$1,0),FALSE)</f>
        <v>0</v>
      </c>
      <c r="N5" s="121">
        <f>VLOOKUP($B5,'Tillförd energi'!$B$1:$AI$720,MATCH(N$1,'Tillförd energi'!$B$1:$AQ$1,0),FALSE)</f>
        <v>0</v>
      </c>
      <c r="O5" s="121">
        <f>VLOOKUP($B5,'Tillförd energi'!$B$1:$AI$720,MATCH(O$1,'Tillförd energi'!$B$1:$AQ$1,0),FALSE)</f>
        <v>0</v>
      </c>
      <c r="P5" s="121">
        <f>VLOOKUP($B5,'Tillförd energi'!$B$1:$AI$720,MATCH(P$1,'Tillförd energi'!$B$1:$AQ$1,0),FALSE)</f>
        <v>0</v>
      </c>
      <c r="Q5" s="121">
        <f>VLOOKUP($B5,'Tillförd energi'!$B$1:$AI$720,MATCH(Q$1,'Tillförd energi'!$B$1:$AQ$1,0),FALSE)</f>
        <v>27.9</v>
      </c>
      <c r="R5" s="121">
        <f>VLOOKUP($B5,'Tillförd energi'!$B$1:$AI$720,MATCH(R$1,'Tillförd energi'!$B$1:$AQ$1,0),FALSE)</f>
        <v>0</v>
      </c>
      <c r="S5" s="121">
        <f>VLOOKUP($B5,'Tillförd energi'!$B$1:$AI$720,MATCH(S$1,'Tillförd energi'!$B$1:$AQ$1,0),FALSE)</f>
        <v>0</v>
      </c>
      <c r="T5" s="121">
        <f>VLOOKUP($B5,'Tillförd energi'!$B$1:$AI$720,MATCH(T$1,'Tillförd energi'!$B$1:$AQ$1,0),FALSE)</f>
        <v>0</v>
      </c>
      <c r="U5" s="121">
        <f>VLOOKUP($B5,'Tillförd energi'!$B$1:$AI$720,MATCH(U$1,'Tillförd energi'!$B$1:$AQ$1,0),FALSE)</f>
        <v>0</v>
      </c>
      <c r="V5" s="121">
        <f>VLOOKUP($B5,'Tillförd energi'!$B$1:$AI$720,MATCH(V$1,'Tillförd energi'!$B$1:$AQ$1,0),FALSE)</f>
        <v>0</v>
      </c>
      <c r="W5" s="121">
        <f>VLOOKUP($B5,'Tillförd energi'!$B$1:$AI$720,MATCH(W$1,'Tillförd energi'!$B$1:$AQ$1,0),FALSE)</f>
        <v>0</v>
      </c>
      <c r="X5" s="121">
        <f>VLOOKUP($B5,'Tillförd energi'!$B$1:$AI$720,MATCH(X$1,'Tillförd energi'!$B$1:$AQ$1,0),FALSE)</f>
        <v>0</v>
      </c>
      <c r="Y5" s="121">
        <f>VLOOKUP($B5,'Tillförd energi'!$B$1:$AI$720,MATCH(Y$1,'Tillförd energi'!$B$1:$AQ$1,0),FALSE)</f>
        <v>0</v>
      </c>
      <c r="Z5" s="121">
        <f>VLOOKUP($B5,'Tillförd energi'!$B$1:$AI$720,MATCH(Z$1,'Tillförd energi'!$B$1:$AQ$1,0),FALSE)</f>
        <v>0</v>
      </c>
      <c r="AA5" s="121">
        <f>VLOOKUP($B5,'Tillförd energi'!$B$1:$AI$720,MATCH(AA$1,'Tillförd energi'!$B$1:$AQ$1,0),FALSE)</f>
        <v>0</v>
      </c>
      <c r="AB5" s="121">
        <f>VLOOKUP($B5,'Tillförd energi'!$B$1:$AI$720,MATCH(AB$1,'Tillförd energi'!$B$1:$AQ$1,0),FALSE)</f>
        <v>0</v>
      </c>
      <c r="AC5" s="121">
        <f>VLOOKUP($B5,'Tillförd energi'!$B$1:$AI$720,MATCH(AC$1,'Tillförd energi'!$B$1:$AQ$1,0),FALSE)</f>
        <v>3.3</v>
      </c>
      <c r="AD5" s="121">
        <f>VLOOKUP($B5,'Tillförd energi'!$B$1:$AI$720,MATCH(AD$1,'Tillförd energi'!$B$1:$AQ$1,0),FALSE)</f>
        <v>0</v>
      </c>
      <c r="AE5" s="121">
        <f>VLOOKUP($B5,'Tillförd energi'!$B$1:$AI$720,MATCH(AE$1,'Tillförd energi'!$B$1:$AQ$1,0),FALSE)</f>
        <v>0</v>
      </c>
      <c r="AF5" s="121">
        <f>VLOOKUP($B5,'Tillförd energi'!$B$1:$AI$720,MATCH(AF$1,'Tillförd energi'!$B$1:$AQ$1,0),FALSE)</f>
        <v>0.5</v>
      </c>
      <c r="AG5" s="121">
        <f>IFERROR(VLOOKUP(B5,Miljö!$B$1:$AC$550,MATCH("Köpt mängd produktionsspecifik fjärrvärme:",Miljö!$B$1:$AC$1,0),FALSE)/1,0)</f>
        <v>0</v>
      </c>
      <c r="AH5" s="121"/>
      <c r="AI5" s="121">
        <f t="shared" si="0"/>
        <v>31.759999999999998</v>
      </c>
      <c r="AJ5" s="121">
        <f t="shared" si="1"/>
        <v>31.759999999999998</v>
      </c>
      <c r="AK5" s="121">
        <f>IF(ISERROR(1/VLOOKUP($B5,Leveranser!$B$1:$S$499,MATCH("såld värme (gwh)",Leveranser!$B$1:$S$1,0),FALSE)),"",VLOOKUP($B5,Leveranser!$B$1:$S$499,MATCH("såld värme (gwh)",Leveranser!$B$1:$S$1,0),FALSE))</f>
        <v>22.3</v>
      </c>
      <c r="AL5" s="121">
        <f>VLOOKUP($B5,Leveranser!$B$1:$Y$499,MATCH("Totalt såld fjärrvärme till andra fjärrvärmeföretag",Leveranser!$B$1:$AA$1,0),FALSE)</f>
        <v>0</v>
      </c>
      <c r="AM5" s="121">
        <f>IF(ISERROR(1/VLOOKUP($B5,Miljö!$B$1:$S$500,MATCH("Såld mängd produktionsspecifik fjärrvärme (GWh)",Miljö!$B$1:$R$1,0),FALSE)),0,VLOOKUP($B5,Miljö!$B$1:$S$500,MATCH("Såld mängd produktionsspecifik fjärrvärme (GWh)",Miljö!$B$1:$R$1,0),FALSE))</f>
        <v>0</v>
      </c>
      <c r="AN5" s="172">
        <f t="shared" si="2"/>
        <v>0.70214105793450887</v>
      </c>
      <c r="AO5" s="121"/>
      <c r="AP5" s="121" t="str">
        <f>IFERROR(VLOOKUP($B5,Miljövärden!$B$2:$H$550,7,FALSE),"Nej, saknas")</f>
        <v>Ja</v>
      </c>
      <c r="AQ5" s="121" t="str">
        <f>IFERROR(VLOOKUP($B5,Miljövärden!$B$2:$H$550,6,FALSE),"Nej, saknas")</f>
        <v>Nej</v>
      </c>
      <c r="AU5">
        <f t="shared" si="3"/>
        <v>0.5</v>
      </c>
      <c r="AV5">
        <f t="shared" si="4"/>
        <v>0</v>
      </c>
      <c r="AW5">
        <f t="shared" si="5"/>
        <v>27.9</v>
      </c>
      <c r="AX5">
        <f t="shared" si="6"/>
        <v>0</v>
      </c>
      <c r="AZ5">
        <f t="shared" si="7"/>
        <v>27.9</v>
      </c>
      <c r="BC5">
        <f t="shared" si="8"/>
        <v>0.06</v>
      </c>
      <c r="BD5">
        <f t="shared" si="9"/>
        <v>0</v>
      </c>
      <c r="BE5">
        <f t="shared" si="10"/>
        <v>27.9</v>
      </c>
      <c r="BF5">
        <f t="shared" si="11"/>
        <v>3.3</v>
      </c>
      <c r="BG5">
        <f t="shared" si="12"/>
        <v>0.5</v>
      </c>
      <c r="BH5">
        <f>VLOOKUP(B5,Miljö!$B$1:$BX$482,MATCH("Fossilandel för ursprungspecificerad el ()",Miljö!$B$1:$I$1,0),FALSE)</f>
        <v>0</v>
      </c>
      <c r="BI5">
        <f>VLOOKUP(B5,Miljö!$B$1:$BX$482,MATCH("Kärnkraftsandel för ursprungsspecificerad el ()",Miljö!$B$1:$O$1,0),FALSE)</f>
        <v>0</v>
      </c>
      <c r="BJ5">
        <f t="shared" si="13"/>
        <v>0</v>
      </c>
      <c r="BK5" t="str">
        <f>VLOOKUP(B5,Miljö!$B$1:$O$482,MATCH("Fossil andel i procent (%)",Miljö!$B$1:$O$1,0),FALSE)</f>
        <v>ET</v>
      </c>
      <c r="BL5">
        <f t="shared" si="14"/>
        <v>31.759999999999998</v>
      </c>
      <c r="BO5" s="18">
        <f t="shared" si="15"/>
        <v>1.889168765743073E-3</v>
      </c>
      <c r="BP5" s="18">
        <f t="shared" si="16"/>
        <v>0</v>
      </c>
      <c r="BQ5" s="18">
        <f t="shared" si="17"/>
        <v>0.89420654911838793</v>
      </c>
      <c r="BR5" s="18">
        <f t="shared" si="18"/>
        <v>0.10390428211586902</v>
      </c>
      <c r="BT5" s="27">
        <f t="shared" si="19"/>
        <v>1</v>
      </c>
      <c r="BW5" s="18">
        <f>IF(AP5="ja",VLOOKUP(B5,Miljövärden!$B$2:$H$550,MATCH("Total andel fossilt",Miljövärden!$B$2:$H$2,0),FALSE),"")</f>
        <v>1.8891699999999999E-3</v>
      </c>
      <c r="BZ5" s="28">
        <f t="shared" si="20"/>
        <v>1.2342569269147702E-9</v>
      </c>
      <c r="CA5" s="28">
        <f t="shared" si="21"/>
        <v>0</v>
      </c>
    </row>
    <row r="6" spans="1:79" x14ac:dyDescent="0.25">
      <c r="A6" s="224" t="s">
        <v>15</v>
      </c>
      <c r="B6" s="210" t="s">
        <v>24</v>
      </c>
      <c r="C6" s="121">
        <f>VLOOKUP($B6,'Tillförd energi'!$B$1:$AI$720,MATCH(C$1,'Tillförd energi'!$B$1:$AQ$1,0),FALSE)</f>
        <v>0</v>
      </c>
      <c r="D6" s="121">
        <f>VLOOKUP($B6,'Tillförd energi'!$B$1:$AI$720,MATCH(D$1,'Tillförd energi'!$B$1:$AQ$1,0),FALSE)</f>
        <v>1.1739999999999999</v>
      </c>
      <c r="E6" s="121">
        <f>VLOOKUP($B6,'Tillförd energi'!$B$1:$AI$720,MATCH(E$1,'Tillförd energi'!$B$1:$AQ$1,0),FALSE)</f>
        <v>0</v>
      </c>
      <c r="F6" s="121">
        <f>VLOOKUP($B6,'Tillförd energi'!$B$1:$AI$720,MATCH(F$1,'Tillförd energi'!$B$1:$AQ$1,0),FALSE)</f>
        <v>0</v>
      </c>
      <c r="G6" s="121">
        <f>VLOOKUP($B6,'Tillförd energi'!$B$1:$AI$720,MATCH(G$1,'Tillförd energi'!$B$1:$AQ$1,0),FALSE)</f>
        <v>0</v>
      </c>
      <c r="H6" s="121">
        <f>VLOOKUP($B6,'Tillförd energi'!$B$1:$AI$720,MATCH(H$1,'Tillförd energi'!$B$1:$AQ$1,0),FALSE)</f>
        <v>0</v>
      </c>
      <c r="I6" s="121">
        <f>VLOOKUP($B6,'Tillförd energi'!$B$1:$AI$720,MATCH(I$1,'Tillförd energi'!$B$1:$AQ$1,0),FALSE)</f>
        <v>0</v>
      </c>
      <c r="J6" s="121">
        <f>VLOOKUP($B6,'Tillförd energi'!$B$1:$AI$720,MATCH(J$1,'Tillförd energi'!$B$1:$AQ$1,0),FALSE)</f>
        <v>0</v>
      </c>
      <c r="K6" s="121">
        <f>VLOOKUP($B6,'Tillförd energi'!$B$1:$AI$720,MATCH(K$1,'Tillförd energi'!$B$1:$AQ$1,0),FALSE)</f>
        <v>0</v>
      </c>
      <c r="L6" s="121">
        <f>VLOOKUP($B6,'Tillförd energi'!$B$1:$AI$720,MATCH(L$1,'Tillförd energi'!$B$1:$AQ$1,0),FALSE)</f>
        <v>0</v>
      </c>
      <c r="M6" s="121">
        <f>VLOOKUP($B6,'Tillförd energi'!$B$1:$AI$720,MATCH(M$1,'Tillförd energi'!$B$1:$AQ$1,0),FALSE)</f>
        <v>0</v>
      </c>
      <c r="N6" s="121">
        <f>VLOOKUP($B6,'Tillförd energi'!$B$1:$AI$720,MATCH(N$1,'Tillförd energi'!$B$1:$AQ$1,0),FALSE)</f>
        <v>0</v>
      </c>
      <c r="O6" s="121">
        <f>VLOOKUP($B6,'Tillförd energi'!$B$1:$AI$720,MATCH(O$1,'Tillförd energi'!$B$1:$AQ$1,0),FALSE)</f>
        <v>0</v>
      </c>
      <c r="P6" s="121">
        <f>VLOOKUP($B6,'Tillförd energi'!$B$1:$AI$720,MATCH(P$1,'Tillförd energi'!$B$1:$AQ$1,0),FALSE)</f>
        <v>0</v>
      </c>
      <c r="Q6" s="121">
        <f>VLOOKUP($B6,'Tillförd energi'!$B$1:$AI$720,MATCH(Q$1,'Tillförd energi'!$B$1:$AQ$1,0),FALSE)</f>
        <v>68.599999999999994</v>
      </c>
      <c r="R6" s="121">
        <f>VLOOKUP($B6,'Tillförd energi'!$B$1:$AI$720,MATCH(R$1,'Tillförd energi'!$B$1:$AQ$1,0),FALSE)</f>
        <v>0</v>
      </c>
      <c r="S6" s="121">
        <f>VLOOKUP($B6,'Tillförd energi'!$B$1:$AI$720,MATCH(S$1,'Tillförd energi'!$B$1:$AQ$1,0),FALSE)</f>
        <v>0</v>
      </c>
      <c r="T6" s="121">
        <f>VLOOKUP($B6,'Tillförd energi'!$B$1:$AI$720,MATCH(T$1,'Tillförd energi'!$B$1:$AQ$1,0),FALSE)</f>
        <v>0</v>
      </c>
      <c r="U6" s="121">
        <f>VLOOKUP($B6,'Tillförd energi'!$B$1:$AI$720,MATCH(U$1,'Tillförd energi'!$B$1:$AQ$1,0),FALSE)</f>
        <v>0</v>
      </c>
      <c r="V6" s="121">
        <f>VLOOKUP($B6,'Tillförd energi'!$B$1:$AI$720,MATCH(V$1,'Tillförd energi'!$B$1:$AQ$1,0),FALSE)</f>
        <v>0</v>
      </c>
      <c r="W6" s="121">
        <f>VLOOKUP($B6,'Tillförd energi'!$B$1:$AI$720,MATCH(W$1,'Tillförd energi'!$B$1:$AQ$1,0),FALSE)</f>
        <v>0</v>
      </c>
      <c r="X6" s="121">
        <f>VLOOKUP($B6,'Tillförd energi'!$B$1:$AI$720,MATCH(X$1,'Tillförd energi'!$B$1:$AQ$1,0),FALSE)</f>
        <v>0</v>
      </c>
      <c r="Y6" s="121">
        <f>VLOOKUP($B6,'Tillförd energi'!$B$1:$AI$720,MATCH(Y$1,'Tillförd energi'!$B$1:$AQ$1,0),FALSE)</f>
        <v>0</v>
      </c>
      <c r="Z6" s="121">
        <f>VLOOKUP($B6,'Tillförd energi'!$B$1:$AI$720,MATCH(Z$1,'Tillförd energi'!$B$1:$AQ$1,0),FALSE)</f>
        <v>0</v>
      </c>
      <c r="AA6" s="121">
        <f>VLOOKUP($B6,'Tillförd energi'!$B$1:$AI$720,MATCH(AA$1,'Tillförd energi'!$B$1:$AQ$1,0),FALSE)</f>
        <v>0</v>
      </c>
      <c r="AB6" s="121">
        <f>VLOOKUP($B6,'Tillförd energi'!$B$1:$AI$720,MATCH(AB$1,'Tillförd energi'!$B$1:$AQ$1,0),FALSE)</f>
        <v>0</v>
      </c>
      <c r="AC6" s="121">
        <f>VLOOKUP($B6,'Tillförd energi'!$B$1:$AI$720,MATCH(AC$1,'Tillförd energi'!$B$1:$AQ$1,0),FALSE)</f>
        <v>9.3759999999999994</v>
      </c>
      <c r="AD6" s="121">
        <f>VLOOKUP($B6,'Tillförd energi'!$B$1:$AI$720,MATCH(AD$1,'Tillförd energi'!$B$1:$AQ$1,0),FALSE)</f>
        <v>0</v>
      </c>
      <c r="AE6" s="121">
        <f>VLOOKUP($B6,'Tillförd energi'!$B$1:$AI$720,MATCH(AE$1,'Tillförd energi'!$B$1:$AQ$1,0),FALSE)</f>
        <v>0</v>
      </c>
      <c r="AF6" s="121">
        <f>VLOOKUP($B6,'Tillförd energi'!$B$1:$AI$720,MATCH(AF$1,'Tillförd energi'!$B$1:$AQ$1,0),FALSE)</f>
        <v>2.5</v>
      </c>
      <c r="AG6" s="121">
        <f>IFERROR(VLOOKUP(B6,Miljö!$B$1:$AC$550,MATCH("Köpt mängd produktionsspecifik fjärrvärme:",Miljö!$B$1:$AC$1,0),FALSE)/1,0)</f>
        <v>0</v>
      </c>
      <c r="AH6" s="121"/>
      <c r="AI6" s="121">
        <f t="shared" si="0"/>
        <v>81.650000000000006</v>
      </c>
      <c r="AJ6" s="121">
        <f t="shared" si="1"/>
        <v>81.650000000000006</v>
      </c>
      <c r="AK6" s="121">
        <f>IF(ISERROR(1/VLOOKUP($B6,Leveranser!$B$1:$S$499,MATCH("såld värme (gwh)",Leveranser!$B$1:$S$1,0),FALSE)),"",VLOOKUP($B6,Leveranser!$B$1:$S$499,MATCH("såld värme (gwh)",Leveranser!$B$1:$S$1,0),FALSE))</f>
        <v>62.1</v>
      </c>
      <c r="AL6" s="121">
        <f>VLOOKUP($B6,Leveranser!$B$1:$Y$499,MATCH("Totalt såld fjärrvärme till andra fjärrvärmeföretag",Leveranser!$B$1:$AA$1,0),FALSE)</f>
        <v>0</v>
      </c>
      <c r="AM6" s="121">
        <f>IF(ISERROR(1/VLOOKUP($B6,Miljö!$B$1:$S$500,MATCH("Såld mängd produktionsspecifik fjärrvärme (GWh)",Miljö!$B$1:$R$1,0),FALSE)),0,VLOOKUP($B6,Miljö!$B$1:$S$500,MATCH("Såld mängd produktionsspecifik fjärrvärme (GWh)",Miljö!$B$1:$R$1,0),FALSE))</f>
        <v>0</v>
      </c>
      <c r="AN6" s="172">
        <f t="shared" si="2"/>
        <v>0.76056338028169013</v>
      </c>
      <c r="AO6" s="121"/>
      <c r="AP6" s="121" t="str">
        <f>IFERROR(VLOOKUP($B6,Miljövärden!$B$2:$H$550,7,FALSE),"Nej, saknas")</f>
        <v>Ja</v>
      </c>
      <c r="AQ6" s="121" t="str">
        <f>IFERROR(VLOOKUP($B6,Miljövärden!$B$2:$H$550,6,FALSE),"Nej, saknas")</f>
        <v>Nej</v>
      </c>
      <c r="AU6">
        <f t="shared" si="3"/>
        <v>2.5</v>
      </c>
      <c r="AV6">
        <f t="shared" si="4"/>
        <v>0</v>
      </c>
      <c r="AW6">
        <f t="shared" si="5"/>
        <v>68.599999999999994</v>
      </c>
      <c r="AX6">
        <f t="shared" si="6"/>
        <v>0</v>
      </c>
      <c r="AZ6">
        <f t="shared" si="7"/>
        <v>68.599999999999994</v>
      </c>
      <c r="BC6">
        <f t="shared" si="8"/>
        <v>1.1739999999999999</v>
      </c>
      <c r="BD6">
        <f t="shared" si="9"/>
        <v>0</v>
      </c>
      <c r="BE6">
        <f t="shared" si="10"/>
        <v>68.599999999999994</v>
      </c>
      <c r="BF6">
        <f t="shared" si="11"/>
        <v>9.3759999999999994</v>
      </c>
      <c r="BG6">
        <f t="shared" si="12"/>
        <v>2.5</v>
      </c>
      <c r="BH6">
        <f>VLOOKUP(B6,Miljö!$B$1:$BX$482,MATCH("Fossilandel för ursprungspecificerad el ()",Miljö!$B$1:$I$1,0),FALSE)</f>
        <v>0</v>
      </c>
      <c r="BI6">
        <f>VLOOKUP(B6,Miljö!$B$1:$BX$482,MATCH("Kärnkraftsandel för ursprungsspecificerad el ()",Miljö!$B$1:$O$1,0),FALSE)</f>
        <v>0</v>
      </c>
      <c r="BJ6">
        <f t="shared" si="13"/>
        <v>0</v>
      </c>
      <c r="BK6" t="str">
        <f>VLOOKUP(B6,Miljö!$B$1:$O$482,MATCH("Fossil andel i procent (%)",Miljö!$B$1:$O$1,0),FALSE)</f>
        <v>ET</v>
      </c>
      <c r="BL6">
        <f t="shared" si="14"/>
        <v>81.650000000000006</v>
      </c>
      <c r="BO6" s="18">
        <f t="shared" si="15"/>
        <v>1.4378444580526636E-2</v>
      </c>
      <c r="BP6" s="18">
        <f t="shared" si="16"/>
        <v>0</v>
      </c>
      <c r="BQ6" s="18">
        <f t="shared" si="17"/>
        <v>0.87078995713410889</v>
      </c>
      <c r="BR6" s="18">
        <f t="shared" si="18"/>
        <v>0.11483159828536435</v>
      </c>
      <c r="BT6" s="27">
        <f t="shared" si="19"/>
        <v>0.99999999999999989</v>
      </c>
      <c r="BW6" s="18">
        <f>IF(AP6="ja",VLOOKUP(B6,Miljövärden!$B$2:$H$550,MATCH("Total andel fossilt",Miljövärden!$B$2:$H$2,0),FALSE),"")</f>
        <v>1.43784E-2</v>
      </c>
      <c r="BZ6" s="28">
        <f t="shared" si="20"/>
        <v>-4.4580526636570084E-8</v>
      </c>
      <c r="CA6" s="28">
        <f t="shared" si="21"/>
        <v>0</v>
      </c>
    </row>
    <row r="7" spans="1:79" x14ac:dyDescent="0.25">
      <c r="A7" s="224" t="s">
        <v>15</v>
      </c>
      <c r="B7" s="210" t="s">
        <v>26</v>
      </c>
      <c r="C7" s="121">
        <f>VLOOKUP($B7,'Tillförd energi'!$B$1:$AI$720,MATCH(C$1,'Tillförd energi'!$B$1:$AQ$1,0),FALSE)</f>
        <v>0</v>
      </c>
      <c r="D7" s="121">
        <f>VLOOKUP($B7,'Tillförd energi'!$B$1:$AI$720,MATCH(D$1,'Tillförd energi'!$B$1:$AQ$1,0),FALSE)</f>
        <v>0</v>
      </c>
      <c r="E7" s="121">
        <f>VLOOKUP($B7,'Tillförd energi'!$B$1:$AI$720,MATCH(E$1,'Tillförd energi'!$B$1:$AQ$1,0),FALSE)</f>
        <v>0</v>
      </c>
      <c r="F7" s="121">
        <f>VLOOKUP($B7,'Tillförd energi'!$B$1:$AI$720,MATCH(F$1,'Tillförd energi'!$B$1:$AQ$1,0),FALSE)</f>
        <v>0</v>
      </c>
      <c r="G7" s="121">
        <f>VLOOKUP($B7,'Tillförd energi'!$B$1:$AI$720,MATCH(G$1,'Tillförd energi'!$B$1:$AQ$1,0),FALSE)</f>
        <v>0</v>
      </c>
      <c r="H7" s="121">
        <f>VLOOKUP($B7,'Tillförd energi'!$B$1:$AI$720,MATCH(H$1,'Tillförd energi'!$B$1:$AQ$1,0),FALSE)</f>
        <v>0</v>
      </c>
      <c r="I7" s="121">
        <f>VLOOKUP($B7,'Tillförd energi'!$B$1:$AI$720,MATCH(I$1,'Tillförd energi'!$B$1:$AQ$1,0),FALSE)</f>
        <v>0</v>
      </c>
      <c r="J7" s="121">
        <f>VLOOKUP($B7,'Tillförd energi'!$B$1:$AI$720,MATCH(J$1,'Tillförd energi'!$B$1:$AQ$1,0),FALSE)</f>
        <v>1.9450000000000001</v>
      </c>
      <c r="K7" s="121">
        <f>VLOOKUP($B7,'Tillförd energi'!$B$1:$AI$720,MATCH(K$1,'Tillförd energi'!$B$1:$AQ$1,0),FALSE)</f>
        <v>0</v>
      </c>
      <c r="L7" s="121">
        <f>VLOOKUP($B7,'Tillförd energi'!$B$1:$AI$720,MATCH(L$1,'Tillförd energi'!$B$1:$AQ$1,0),FALSE)</f>
        <v>0</v>
      </c>
      <c r="M7" s="121">
        <f>VLOOKUP($B7,'Tillförd energi'!$B$1:$AI$720,MATCH(M$1,'Tillförd energi'!$B$1:$AQ$1,0),FALSE)</f>
        <v>0</v>
      </c>
      <c r="N7" s="121">
        <f>VLOOKUP($B7,'Tillförd energi'!$B$1:$AI$720,MATCH(N$1,'Tillförd energi'!$B$1:$AQ$1,0),FALSE)</f>
        <v>0</v>
      </c>
      <c r="O7" s="121">
        <f>VLOOKUP($B7,'Tillförd energi'!$B$1:$AI$720,MATCH(O$1,'Tillförd energi'!$B$1:$AQ$1,0),FALSE)</f>
        <v>0</v>
      </c>
      <c r="P7" s="121">
        <f>VLOOKUP($B7,'Tillförd energi'!$B$1:$AI$720,MATCH(P$1,'Tillförd energi'!$B$1:$AQ$1,0),FALSE)</f>
        <v>0</v>
      </c>
      <c r="Q7" s="121">
        <f>VLOOKUP($B7,'Tillförd energi'!$B$1:$AI$720,MATCH(Q$1,'Tillförd energi'!$B$1:$AQ$1,0),FALSE)</f>
        <v>25.917999999999999</v>
      </c>
      <c r="R7" s="121">
        <f>VLOOKUP($B7,'Tillförd energi'!$B$1:$AI$720,MATCH(R$1,'Tillförd energi'!$B$1:$AQ$1,0),FALSE)</f>
        <v>0</v>
      </c>
      <c r="S7" s="121">
        <f>VLOOKUP($B7,'Tillförd energi'!$B$1:$AI$720,MATCH(S$1,'Tillförd energi'!$B$1:$AQ$1,0),FALSE)</f>
        <v>0</v>
      </c>
      <c r="T7" s="121">
        <f>VLOOKUP($B7,'Tillförd energi'!$B$1:$AI$720,MATCH(T$1,'Tillförd energi'!$B$1:$AQ$1,0),FALSE)</f>
        <v>0</v>
      </c>
      <c r="U7" s="121">
        <f>VLOOKUP($B7,'Tillförd energi'!$B$1:$AI$720,MATCH(U$1,'Tillförd energi'!$B$1:$AQ$1,0),FALSE)</f>
        <v>0</v>
      </c>
      <c r="V7" s="121">
        <f>VLOOKUP($B7,'Tillförd energi'!$B$1:$AI$720,MATCH(V$1,'Tillförd energi'!$B$1:$AQ$1,0),FALSE)</f>
        <v>0</v>
      </c>
      <c r="W7" s="121">
        <f>VLOOKUP($B7,'Tillförd energi'!$B$1:$AI$720,MATCH(W$1,'Tillförd energi'!$B$1:$AQ$1,0),FALSE)</f>
        <v>0</v>
      </c>
      <c r="X7" s="121">
        <f>VLOOKUP($B7,'Tillförd energi'!$B$1:$AI$720,MATCH(X$1,'Tillförd energi'!$B$1:$AQ$1,0),FALSE)</f>
        <v>0</v>
      </c>
      <c r="Y7" s="121">
        <f>VLOOKUP($B7,'Tillförd energi'!$B$1:$AI$720,MATCH(Y$1,'Tillförd energi'!$B$1:$AQ$1,0),FALSE)</f>
        <v>0</v>
      </c>
      <c r="Z7" s="121">
        <f>VLOOKUP($B7,'Tillförd energi'!$B$1:$AI$720,MATCH(Z$1,'Tillförd energi'!$B$1:$AQ$1,0),FALSE)</f>
        <v>0</v>
      </c>
      <c r="AA7" s="121">
        <f>VLOOKUP($B7,'Tillförd energi'!$B$1:$AI$720,MATCH(AA$1,'Tillförd energi'!$B$1:$AQ$1,0),FALSE)</f>
        <v>0</v>
      </c>
      <c r="AB7" s="121">
        <f>VLOOKUP($B7,'Tillförd energi'!$B$1:$AI$720,MATCH(AB$1,'Tillförd energi'!$B$1:$AQ$1,0),FALSE)</f>
        <v>0</v>
      </c>
      <c r="AC7" s="121">
        <f>VLOOKUP($B7,'Tillförd energi'!$B$1:$AI$720,MATCH(AC$1,'Tillförd energi'!$B$1:$AQ$1,0),FALSE)</f>
        <v>3.5590000000000002</v>
      </c>
      <c r="AD7" s="121">
        <f>VLOOKUP($B7,'Tillförd energi'!$B$1:$AI$720,MATCH(AD$1,'Tillförd energi'!$B$1:$AQ$1,0),FALSE)</f>
        <v>0</v>
      </c>
      <c r="AE7" s="121">
        <f>VLOOKUP($B7,'Tillförd energi'!$B$1:$AI$720,MATCH(AE$1,'Tillförd energi'!$B$1:$AQ$1,0),FALSE)</f>
        <v>0</v>
      </c>
      <c r="AF7" s="121">
        <f>VLOOKUP($B7,'Tillförd energi'!$B$1:$AI$720,MATCH(AF$1,'Tillförd energi'!$B$1:$AQ$1,0),FALSE)</f>
        <v>0.9</v>
      </c>
      <c r="AG7" s="121">
        <f>IFERROR(VLOOKUP(B7,Miljö!$B$1:$AC$550,MATCH("Köpt mängd produktionsspecifik fjärrvärme:",Miljö!$B$1:$AC$1,0),FALSE)/1,0)</f>
        <v>0</v>
      </c>
      <c r="AH7" s="121"/>
      <c r="AI7" s="121">
        <f t="shared" si="0"/>
        <v>32.322000000000003</v>
      </c>
      <c r="AJ7" s="121">
        <f t="shared" si="1"/>
        <v>32.322000000000003</v>
      </c>
      <c r="AK7" s="121">
        <f>IF(ISERROR(1/VLOOKUP($B7,Leveranser!$B$1:$S$499,MATCH("såld värme (gwh)",Leveranser!$B$1:$S$1,0),FALSE)),"",VLOOKUP($B7,Leveranser!$B$1:$S$499,MATCH("såld värme (gwh)",Leveranser!$B$1:$S$1,0),FALSE))</f>
        <v>23.9</v>
      </c>
      <c r="AL7" s="121">
        <f>VLOOKUP($B7,Leveranser!$B$1:$Y$499,MATCH("Totalt såld fjärrvärme till andra fjärrvärmeföretag",Leveranser!$B$1:$AA$1,0),FALSE)</f>
        <v>0</v>
      </c>
      <c r="AM7" s="121">
        <f>IF(ISERROR(1/VLOOKUP($B7,Miljö!$B$1:$S$500,MATCH("Såld mängd produktionsspecifik fjärrvärme (GWh)",Miljö!$B$1:$R$1,0),FALSE)),0,VLOOKUP($B7,Miljö!$B$1:$S$500,MATCH("Såld mängd produktionsspecifik fjärrvärme (GWh)",Miljö!$B$1:$R$1,0),FALSE))</f>
        <v>0</v>
      </c>
      <c r="AN7" s="172">
        <f t="shared" si="2"/>
        <v>0.73943444093806066</v>
      </c>
      <c r="AO7" s="121"/>
      <c r="AP7" s="121" t="str">
        <f>IFERROR(VLOOKUP($B7,Miljövärden!$B$2:$H$550,7,FALSE),"Nej, saknas")</f>
        <v>Ja</v>
      </c>
      <c r="AQ7" s="121" t="str">
        <f>IFERROR(VLOOKUP($B7,Miljövärden!$B$2:$H$550,6,FALSE),"Nej, saknas")</f>
        <v>Nej</v>
      </c>
      <c r="AU7">
        <f t="shared" si="3"/>
        <v>0.9</v>
      </c>
      <c r="AV7">
        <f t="shared" si="4"/>
        <v>0</v>
      </c>
      <c r="AW7">
        <f t="shared" si="5"/>
        <v>25.917999999999999</v>
      </c>
      <c r="AX7">
        <f t="shared" si="6"/>
        <v>0</v>
      </c>
      <c r="AZ7">
        <f t="shared" si="7"/>
        <v>25.917999999999999</v>
      </c>
      <c r="BC7">
        <f t="shared" si="8"/>
        <v>0</v>
      </c>
      <c r="BD7">
        <f t="shared" si="9"/>
        <v>0</v>
      </c>
      <c r="BE7">
        <f t="shared" si="10"/>
        <v>25.917999999999999</v>
      </c>
      <c r="BF7">
        <f t="shared" si="11"/>
        <v>5.5040000000000004</v>
      </c>
      <c r="BG7">
        <f t="shared" si="12"/>
        <v>0.9</v>
      </c>
      <c r="BH7">
        <f>VLOOKUP(B7,Miljö!$B$1:$BX$482,MATCH("Fossilandel för ursprungspecificerad el ()",Miljö!$B$1:$I$1,0),FALSE)</f>
        <v>0</v>
      </c>
      <c r="BI7">
        <f>VLOOKUP(B7,Miljö!$B$1:$BX$482,MATCH("Kärnkraftsandel för ursprungsspecificerad el ()",Miljö!$B$1:$O$1,0),FALSE)</f>
        <v>0</v>
      </c>
      <c r="BJ7">
        <f t="shared" si="13"/>
        <v>0</v>
      </c>
      <c r="BK7" t="str">
        <f>VLOOKUP(B7,Miljö!$B$1:$O$482,MATCH("Fossil andel i procent (%)",Miljö!$B$1:$O$1,0),FALSE)</f>
        <v>ET</v>
      </c>
      <c r="BL7">
        <f t="shared" si="14"/>
        <v>32.322000000000003</v>
      </c>
      <c r="BO7" s="18">
        <f t="shared" si="15"/>
        <v>0</v>
      </c>
      <c r="BP7" s="18">
        <f t="shared" si="16"/>
        <v>0</v>
      </c>
      <c r="BQ7" s="18">
        <f t="shared" si="17"/>
        <v>0.82971350782748576</v>
      </c>
      <c r="BR7" s="18">
        <f t="shared" si="18"/>
        <v>0.17028649217251407</v>
      </c>
      <c r="BT7" s="27">
        <f t="shared" si="19"/>
        <v>0.99999999999999978</v>
      </c>
      <c r="BW7" s="18">
        <f>IF(AP7="ja",VLOOKUP(B7,Miljövärden!$B$2:$H$550,MATCH("Total andel fossilt",Miljövärden!$B$2:$H$2,0),FALSE),"")</f>
        <v>0</v>
      </c>
      <c r="BZ7" s="28">
        <f t="shared" si="20"/>
        <v>0</v>
      </c>
      <c r="CA7" s="28">
        <f t="shared" si="21"/>
        <v>0</v>
      </c>
    </row>
    <row r="8" spans="1:79" x14ac:dyDescent="0.25">
      <c r="A8" s="224" t="s">
        <v>15</v>
      </c>
      <c r="B8" s="210" t="s">
        <v>28</v>
      </c>
      <c r="C8" s="121">
        <f>VLOOKUP($B8,'Tillförd energi'!$B$1:$AI$720,MATCH(C$1,'Tillförd energi'!$B$1:$AQ$1,0),FALSE)</f>
        <v>0</v>
      </c>
      <c r="D8" s="121">
        <f>VLOOKUP($B8,'Tillförd energi'!$B$1:$AI$720,MATCH(D$1,'Tillförd energi'!$B$1:$AQ$1,0),FALSE)</f>
        <v>5.8</v>
      </c>
      <c r="E8" s="121">
        <f>VLOOKUP($B8,'Tillförd energi'!$B$1:$AI$720,MATCH(E$1,'Tillförd energi'!$B$1:$AQ$1,0),FALSE)</f>
        <v>0</v>
      </c>
      <c r="F8" s="121">
        <f>VLOOKUP($B8,'Tillförd energi'!$B$1:$AI$720,MATCH(F$1,'Tillförd energi'!$B$1:$AQ$1,0),FALSE)</f>
        <v>0</v>
      </c>
      <c r="G8" s="121">
        <f>VLOOKUP($B8,'Tillförd energi'!$B$1:$AI$720,MATCH(G$1,'Tillförd energi'!$B$1:$AQ$1,0),FALSE)</f>
        <v>0</v>
      </c>
      <c r="H8" s="121">
        <f>VLOOKUP($B8,'Tillförd energi'!$B$1:$AI$720,MATCH(H$1,'Tillförd energi'!$B$1:$AQ$1,0),FALSE)</f>
        <v>0</v>
      </c>
      <c r="I8" s="121">
        <f>VLOOKUP($B8,'Tillförd energi'!$B$1:$AI$720,MATCH(I$1,'Tillförd energi'!$B$1:$AQ$1,0),FALSE)</f>
        <v>0</v>
      </c>
      <c r="J8" s="121">
        <f>VLOOKUP($B8,'Tillförd energi'!$B$1:$AI$720,MATCH(J$1,'Tillförd energi'!$B$1:$AQ$1,0),FALSE)</f>
        <v>0</v>
      </c>
      <c r="K8" s="121">
        <f>VLOOKUP($B8,'Tillförd energi'!$B$1:$AI$720,MATCH(K$1,'Tillförd energi'!$B$1:$AQ$1,0),FALSE)</f>
        <v>0</v>
      </c>
      <c r="L8" s="121">
        <f>VLOOKUP($B8,'Tillförd energi'!$B$1:$AI$720,MATCH(L$1,'Tillförd energi'!$B$1:$AQ$1,0),FALSE)</f>
        <v>0</v>
      </c>
      <c r="M8" s="121">
        <f>VLOOKUP($B8,'Tillförd energi'!$B$1:$AI$720,MATCH(M$1,'Tillförd energi'!$B$1:$AQ$1,0),FALSE)</f>
        <v>0</v>
      </c>
      <c r="N8" s="121">
        <f>VLOOKUP($B8,'Tillförd energi'!$B$1:$AI$720,MATCH(N$1,'Tillförd energi'!$B$1:$AQ$1,0),FALSE)</f>
        <v>0</v>
      </c>
      <c r="O8" s="121">
        <f>VLOOKUP($B8,'Tillförd energi'!$B$1:$AI$720,MATCH(O$1,'Tillförd energi'!$B$1:$AQ$1,0),FALSE)</f>
        <v>0</v>
      </c>
      <c r="P8" s="121">
        <f>VLOOKUP($B8,'Tillförd energi'!$B$1:$AI$720,MATCH(P$1,'Tillförd energi'!$B$1:$AQ$1,0),FALSE)</f>
        <v>0</v>
      </c>
      <c r="Q8" s="121">
        <f>VLOOKUP($B8,'Tillförd energi'!$B$1:$AI$720,MATCH(Q$1,'Tillförd energi'!$B$1:$AQ$1,0),FALSE)</f>
        <v>0</v>
      </c>
      <c r="R8" s="121">
        <f>VLOOKUP($B8,'Tillförd energi'!$B$1:$AI$720,MATCH(R$1,'Tillförd energi'!$B$1:$AQ$1,0),FALSE)</f>
        <v>0</v>
      </c>
      <c r="S8" s="121">
        <f>VLOOKUP($B8,'Tillförd energi'!$B$1:$AI$720,MATCH(S$1,'Tillförd energi'!$B$1:$AQ$1,0),FALSE)</f>
        <v>0</v>
      </c>
      <c r="T8" s="121">
        <f>VLOOKUP($B8,'Tillförd energi'!$B$1:$AI$720,MATCH(T$1,'Tillförd energi'!$B$1:$AQ$1,0),FALSE)</f>
        <v>0</v>
      </c>
      <c r="U8" s="121">
        <f>VLOOKUP($B8,'Tillförd energi'!$B$1:$AI$720,MATCH(U$1,'Tillförd energi'!$B$1:$AQ$1,0),FALSE)</f>
        <v>0</v>
      </c>
      <c r="V8" s="121">
        <f>VLOOKUP($B8,'Tillförd energi'!$B$1:$AI$720,MATCH(V$1,'Tillförd energi'!$B$1:$AQ$1,0),FALSE)</f>
        <v>0</v>
      </c>
      <c r="W8" s="121">
        <f>VLOOKUP($B8,'Tillförd energi'!$B$1:$AI$720,MATCH(W$1,'Tillförd energi'!$B$1:$AQ$1,0),FALSE)</f>
        <v>0</v>
      </c>
      <c r="X8" s="121">
        <f>VLOOKUP($B8,'Tillförd energi'!$B$1:$AI$720,MATCH(X$1,'Tillförd energi'!$B$1:$AQ$1,0),FALSE)</f>
        <v>0</v>
      </c>
      <c r="Y8" s="121">
        <f>VLOOKUP($B8,'Tillförd energi'!$B$1:$AI$720,MATCH(Y$1,'Tillförd energi'!$B$1:$AQ$1,0),FALSE)</f>
        <v>0</v>
      </c>
      <c r="Z8" s="121">
        <f>VLOOKUP($B8,'Tillförd energi'!$B$1:$AI$720,MATCH(Z$1,'Tillförd energi'!$B$1:$AQ$1,0),FALSE)</f>
        <v>0</v>
      </c>
      <c r="AA8" s="121">
        <f>VLOOKUP($B8,'Tillförd energi'!$B$1:$AI$720,MATCH(AA$1,'Tillförd energi'!$B$1:$AQ$1,0),FALSE)</f>
        <v>0</v>
      </c>
      <c r="AB8" s="121">
        <f>VLOOKUP($B8,'Tillförd energi'!$B$1:$AI$720,MATCH(AB$1,'Tillförd energi'!$B$1:$AQ$1,0),FALSE)</f>
        <v>0</v>
      </c>
      <c r="AC8" s="121">
        <f>VLOOKUP($B8,'Tillförd energi'!$B$1:$AI$720,MATCH(AC$1,'Tillförd energi'!$B$1:$AQ$1,0),FALSE)</f>
        <v>0</v>
      </c>
      <c r="AD8" s="121">
        <f>VLOOKUP($B8,'Tillförd energi'!$B$1:$AI$720,MATCH(AD$1,'Tillförd energi'!$B$1:$AQ$1,0),FALSE)</f>
        <v>72.900000000000006</v>
      </c>
      <c r="AE8" s="121">
        <f>VLOOKUP($B8,'Tillförd energi'!$B$1:$AI$720,MATCH(AE$1,'Tillförd energi'!$B$1:$AQ$1,0),FALSE)</f>
        <v>0</v>
      </c>
      <c r="AF8" s="121">
        <f>VLOOKUP($B8,'Tillförd energi'!$B$1:$AI$720,MATCH(AF$1,'Tillförd energi'!$B$1:$AQ$1,0),FALSE)</f>
        <v>1.4</v>
      </c>
      <c r="AG8" s="121">
        <f>IFERROR(VLOOKUP(B8,Miljö!$B$1:$AC$550,MATCH("Köpt mängd produktionsspecifik fjärrvärme:",Miljö!$B$1:$AC$1,0),FALSE)/1,0)</f>
        <v>0</v>
      </c>
      <c r="AH8" s="121"/>
      <c r="AI8" s="121">
        <f t="shared" si="0"/>
        <v>80.100000000000009</v>
      </c>
      <c r="AJ8" s="121">
        <f t="shared" si="1"/>
        <v>80.100000000000009</v>
      </c>
      <c r="AK8" s="121">
        <f>IF(ISERROR(1/VLOOKUP($B8,Leveranser!$B$1:$S$499,MATCH("såld värme (gwh)",Leveranser!$B$1:$S$1,0),FALSE)),"",VLOOKUP($B8,Leveranser!$B$1:$S$499,MATCH("såld värme (gwh)",Leveranser!$B$1:$S$1,0),FALSE))</f>
        <v>71.900000000000006</v>
      </c>
      <c r="AL8" s="121">
        <f>VLOOKUP($B8,Leveranser!$B$1:$Y$499,MATCH("Totalt såld fjärrvärme till andra fjärrvärmeföretag",Leveranser!$B$1:$AA$1,0),FALSE)</f>
        <v>0</v>
      </c>
      <c r="AM8" s="121">
        <f>IF(ISERROR(1/VLOOKUP($B8,Miljö!$B$1:$S$500,MATCH("Såld mängd produktionsspecifik fjärrvärme (GWh)",Miljö!$B$1:$R$1,0),FALSE)),0,VLOOKUP($B8,Miljö!$B$1:$S$500,MATCH("Såld mängd produktionsspecifik fjärrvärme (GWh)",Miljö!$B$1:$R$1,0),FALSE))</f>
        <v>0</v>
      </c>
      <c r="AN8" s="172">
        <f t="shared" si="2"/>
        <v>0.89762796504369535</v>
      </c>
      <c r="AO8" s="121"/>
      <c r="AP8" s="121" t="str">
        <f>IFERROR(VLOOKUP($B8,Miljövärden!$B$2:$H$550,7,FALSE),"Nej, saknas")</f>
        <v>Ja</v>
      </c>
      <c r="AQ8" s="121" t="str">
        <f>IFERROR(VLOOKUP($B8,Miljövärden!$B$2:$H$550,6,FALSE),"Nej, saknas")</f>
        <v>Nej</v>
      </c>
      <c r="AU8">
        <f t="shared" si="3"/>
        <v>1.4</v>
      </c>
      <c r="AV8">
        <f t="shared" si="4"/>
        <v>0</v>
      </c>
      <c r="AW8">
        <f t="shared" si="5"/>
        <v>0</v>
      </c>
      <c r="AX8">
        <f t="shared" si="6"/>
        <v>0</v>
      </c>
      <c r="AZ8">
        <f t="shared" si="7"/>
        <v>0</v>
      </c>
      <c r="BC8">
        <f t="shared" si="8"/>
        <v>5.8</v>
      </c>
      <c r="BD8">
        <f t="shared" si="9"/>
        <v>0</v>
      </c>
      <c r="BE8">
        <f t="shared" si="10"/>
        <v>0</v>
      </c>
      <c r="BF8">
        <f t="shared" si="11"/>
        <v>72.900000000000006</v>
      </c>
      <c r="BG8">
        <f t="shared" si="12"/>
        <v>1.4</v>
      </c>
      <c r="BH8">
        <f>VLOOKUP(B8,Miljö!$B$1:$BX$482,MATCH("Fossilandel för ursprungspecificerad el ()",Miljö!$B$1:$I$1,0),FALSE)</f>
        <v>0</v>
      </c>
      <c r="BI8">
        <f>VLOOKUP(B8,Miljö!$B$1:$BX$482,MATCH("Kärnkraftsandel för ursprungsspecificerad el ()",Miljö!$B$1:$O$1,0),FALSE)</f>
        <v>0</v>
      </c>
      <c r="BJ8">
        <f t="shared" si="13"/>
        <v>0</v>
      </c>
      <c r="BK8" t="str">
        <f>VLOOKUP(B8,Miljö!$B$1:$O$482,MATCH("Fossil andel i procent (%)",Miljö!$B$1:$O$1,0),FALSE)</f>
        <v>ET</v>
      </c>
      <c r="BL8">
        <f t="shared" si="14"/>
        <v>80.100000000000009</v>
      </c>
      <c r="BO8" s="18">
        <f t="shared" si="15"/>
        <v>7.2409488139825215E-2</v>
      </c>
      <c r="BP8" s="18">
        <f t="shared" si="16"/>
        <v>0</v>
      </c>
      <c r="BQ8" s="18">
        <f t="shared" si="17"/>
        <v>1.7478152309612981E-2</v>
      </c>
      <c r="BR8" s="18">
        <f t="shared" si="18"/>
        <v>0.9101123595505618</v>
      </c>
      <c r="BT8" s="27">
        <f t="shared" si="19"/>
        <v>1</v>
      </c>
      <c r="BW8" s="18">
        <f>IF(AP8="ja",VLOOKUP(B8,Miljövärden!$B$2:$H$550,MATCH("Total andel fossilt",Miljövärden!$B$2:$H$2,0),FALSE),"")</f>
        <v>7.2409500000000002E-2</v>
      </c>
      <c r="BZ8" s="28">
        <f t="shared" si="20"/>
        <v>1.1860174786715305E-8</v>
      </c>
      <c r="CA8" s="28">
        <f t="shared" si="21"/>
        <v>0</v>
      </c>
    </row>
    <row r="9" spans="1:79" x14ac:dyDescent="0.25">
      <c r="A9" s="224" t="s">
        <v>15</v>
      </c>
      <c r="B9" s="210" t="s">
        <v>30</v>
      </c>
      <c r="C9" s="121">
        <f>VLOOKUP($B9,'Tillförd energi'!$B$1:$AI$720,MATCH(C$1,'Tillförd energi'!$B$1:$AQ$1,0),FALSE)</f>
        <v>0</v>
      </c>
      <c r="D9" s="121">
        <f>VLOOKUP($B9,'Tillförd energi'!$B$1:$AI$720,MATCH(D$1,'Tillförd energi'!$B$1:$AQ$1,0),FALSE)</f>
        <v>0.6</v>
      </c>
      <c r="E9" s="121">
        <f>VLOOKUP($B9,'Tillförd energi'!$B$1:$AI$720,MATCH(E$1,'Tillförd energi'!$B$1:$AQ$1,0),FALSE)</f>
        <v>0</v>
      </c>
      <c r="F9" s="121">
        <f>VLOOKUP($B9,'Tillförd energi'!$B$1:$AI$720,MATCH(F$1,'Tillförd energi'!$B$1:$AQ$1,0),FALSE)</f>
        <v>0</v>
      </c>
      <c r="G9" s="121">
        <f>VLOOKUP($B9,'Tillförd energi'!$B$1:$AI$720,MATCH(G$1,'Tillförd energi'!$B$1:$AQ$1,0),FALSE)</f>
        <v>0</v>
      </c>
      <c r="H9" s="121">
        <f>VLOOKUP($B9,'Tillförd energi'!$B$1:$AI$720,MATCH(H$1,'Tillförd energi'!$B$1:$AQ$1,0),FALSE)</f>
        <v>0</v>
      </c>
      <c r="I9" s="121">
        <f>VLOOKUP($B9,'Tillförd energi'!$B$1:$AI$720,MATCH(I$1,'Tillförd energi'!$B$1:$AQ$1,0),FALSE)</f>
        <v>0</v>
      </c>
      <c r="J9" s="121">
        <f>VLOOKUP($B9,'Tillförd energi'!$B$1:$AI$720,MATCH(J$1,'Tillförd energi'!$B$1:$AQ$1,0),FALSE)</f>
        <v>0</v>
      </c>
      <c r="K9" s="121">
        <f>VLOOKUP($B9,'Tillförd energi'!$B$1:$AI$720,MATCH(K$1,'Tillförd energi'!$B$1:$AQ$1,0),FALSE)</f>
        <v>0</v>
      </c>
      <c r="L9" s="121">
        <f>VLOOKUP($B9,'Tillförd energi'!$B$1:$AI$720,MATCH(L$1,'Tillförd energi'!$B$1:$AQ$1,0),FALSE)</f>
        <v>0</v>
      </c>
      <c r="M9" s="121">
        <f>VLOOKUP($B9,'Tillförd energi'!$B$1:$AI$720,MATCH(M$1,'Tillförd energi'!$B$1:$AQ$1,0),FALSE)</f>
        <v>0</v>
      </c>
      <c r="N9" s="121">
        <f>VLOOKUP($B9,'Tillförd energi'!$B$1:$AI$720,MATCH(N$1,'Tillförd energi'!$B$1:$AQ$1,0),FALSE)</f>
        <v>0</v>
      </c>
      <c r="O9" s="121">
        <f>VLOOKUP($B9,'Tillförd energi'!$B$1:$AI$720,MATCH(O$1,'Tillförd energi'!$B$1:$AQ$1,0),FALSE)</f>
        <v>0</v>
      </c>
      <c r="P9" s="121">
        <f>VLOOKUP($B9,'Tillförd energi'!$B$1:$AI$720,MATCH(P$1,'Tillförd energi'!$B$1:$AQ$1,0),FALSE)</f>
        <v>0</v>
      </c>
      <c r="Q9" s="121">
        <f>VLOOKUP($B9,'Tillförd energi'!$B$1:$AI$720,MATCH(Q$1,'Tillförd energi'!$B$1:$AQ$1,0),FALSE)</f>
        <v>25.4</v>
      </c>
      <c r="R9" s="121">
        <f>VLOOKUP($B9,'Tillförd energi'!$B$1:$AI$720,MATCH(R$1,'Tillförd energi'!$B$1:$AQ$1,0),FALSE)</f>
        <v>0</v>
      </c>
      <c r="S9" s="121">
        <f>VLOOKUP($B9,'Tillförd energi'!$B$1:$AI$720,MATCH(S$1,'Tillförd energi'!$B$1:$AQ$1,0),FALSE)</f>
        <v>0</v>
      </c>
      <c r="T9" s="121">
        <f>VLOOKUP($B9,'Tillförd energi'!$B$1:$AI$720,MATCH(T$1,'Tillförd energi'!$B$1:$AQ$1,0),FALSE)</f>
        <v>0</v>
      </c>
      <c r="U9" s="121">
        <f>VLOOKUP($B9,'Tillförd energi'!$B$1:$AI$720,MATCH(U$1,'Tillförd energi'!$B$1:$AQ$1,0),FALSE)</f>
        <v>0</v>
      </c>
      <c r="V9" s="121">
        <f>VLOOKUP($B9,'Tillförd energi'!$B$1:$AI$720,MATCH(V$1,'Tillförd energi'!$B$1:$AQ$1,0),FALSE)</f>
        <v>0</v>
      </c>
      <c r="W9" s="121">
        <f>VLOOKUP($B9,'Tillförd energi'!$B$1:$AI$720,MATCH(W$1,'Tillförd energi'!$B$1:$AQ$1,0),FALSE)</f>
        <v>2.8</v>
      </c>
      <c r="X9" s="121">
        <f>VLOOKUP($B9,'Tillförd energi'!$B$1:$AI$720,MATCH(X$1,'Tillförd energi'!$B$1:$AQ$1,0),FALSE)</f>
        <v>0</v>
      </c>
      <c r="Y9" s="121">
        <f>VLOOKUP($B9,'Tillförd energi'!$B$1:$AI$720,MATCH(Y$1,'Tillförd energi'!$B$1:$AQ$1,0),FALSE)</f>
        <v>0</v>
      </c>
      <c r="Z9" s="121">
        <f>VLOOKUP($B9,'Tillförd energi'!$B$1:$AI$720,MATCH(Z$1,'Tillförd energi'!$B$1:$AQ$1,0),FALSE)</f>
        <v>0</v>
      </c>
      <c r="AA9" s="121">
        <f>VLOOKUP($B9,'Tillförd energi'!$B$1:$AI$720,MATCH(AA$1,'Tillförd energi'!$B$1:$AQ$1,0),FALSE)</f>
        <v>0</v>
      </c>
      <c r="AB9" s="121">
        <f>VLOOKUP($B9,'Tillförd energi'!$B$1:$AI$720,MATCH(AB$1,'Tillförd energi'!$B$1:$AQ$1,0),FALSE)</f>
        <v>0</v>
      </c>
      <c r="AC9" s="121">
        <f>VLOOKUP($B9,'Tillförd energi'!$B$1:$AI$720,MATCH(AC$1,'Tillförd energi'!$B$1:$AQ$1,0),FALSE)</f>
        <v>3.6</v>
      </c>
      <c r="AD9" s="121">
        <f>VLOOKUP($B9,'Tillförd energi'!$B$1:$AI$720,MATCH(AD$1,'Tillförd energi'!$B$1:$AQ$1,0),FALSE)</f>
        <v>0</v>
      </c>
      <c r="AE9" s="121">
        <f>VLOOKUP($B9,'Tillförd energi'!$B$1:$AI$720,MATCH(AE$1,'Tillförd energi'!$B$1:$AQ$1,0),FALSE)</f>
        <v>0</v>
      </c>
      <c r="AF9" s="121">
        <f>VLOOKUP($B9,'Tillförd energi'!$B$1:$AI$720,MATCH(AF$1,'Tillförd energi'!$B$1:$AQ$1,0),FALSE)</f>
        <v>0.9</v>
      </c>
      <c r="AG9" s="121">
        <f>IFERROR(VLOOKUP(B9,Miljö!$B$1:$AC$550,MATCH("Köpt mängd produktionsspecifik fjärrvärme:",Miljö!$B$1:$AC$1,0),FALSE)/1,0)</f>
        <v>0</v>
      </c>
      <c r="AH9" s="121"/>
      <c r="AI9" s="121">
        <f t="shared" si="0"/>
        <v>33.299999999999997</v>
      </c>
      <c r="AJ9" s="121">
        <f t="shared" si="1"/>
        <v>33.299999999999997</v>
      </c>
      <c r="AK9" s="121">
        <f>IF(ISERROR(1/VLOOKUP($B9,Leveranser!$B$1:$S$499,MATCH("såld värme (gwh)",Leveranser!$B$1:$S$1,0),FALSE)),"",VLOOKUP($B9,Leveranser!$B$1:$S$499,MATCH("såld värme (gwh)",Leveranser!$B$1:$S$1,0),FALSE))</f>
        <v>23.6</v>
      </c>
      <c r="AL9" s="121">
        <f>VLOOKUP($B9,Leveranser!$B$1:$Y$499,MATCH("Totalt såld fjärrvärme till andra fjärrvärmeföretag",Leveranser!$B$1:$AA$1,0),FALSE)</f>
        <v>0</v>
      </c>
      <c r="AM9" s="121">
        <f>IF(ISERROR(1/VLOOKUP($B9,Miljö!$B$1:$S$500,MATCH("Såld mängd produktionsspecifik fjärrvärme (GWh)",Miljö!$B$1:$R$1,0),FALSE)),0,VLOOKUP($B9,Miljö!$B$1:$S$500,MATCH("Såld mängd produktionsspecifik fjärrvärme (GWh)",Miljö!$B$1:$R$1,0),FALSE))</f>
        <v>0</v>
      </c>
      <c r="AN9" s="172">
        <f t="shared" si="2"/>
        <v>0.70870870870870883</v>
      </c>
      <c r="AO9" s="121"/>
      <c r="AP9" s="121" t="str">
        <f>IFERROR(VLOOKUP($B9,Miljövärden!$B$2:$H$550,7,FALSE),"Nej, saknas")</f>
        <v>Ja</v>
      </c>
      <c r="AQ9" s="121" t="str">
        <f>IFERROR(VLOOKUP($B9,Miljövärden!$B$2:$H$550,6,FALSE),"Nej, saknas")</f>
        <v>Nej</v>
      </c>
      <c r="AU9">
        <f t="shared" si="3"/>
        <v>0.9</v>
      </c>
      <c r="AV9">
        <f t="shared" si="4"/>
        <v>0</v>
      </c>
      <c r="AW9">
        <f t="shared" si="5"/>
        <v>25.4</v>
      </c>
      <c r="AX9">
        <f t="shared" si="6"/>
        <v>0</v>
      </c>
      <c r="AZ9">
        <f t="shared" si="7"/>
        <v>28.2</v>
      </c>
      <c r="BC9">
        <f t="shared" si="8"/>
        <v>0.6</v>
      </c>
      <c r="BD9">
        <f t="shared" si="9"/>
        <v>0</v>
      </c>
      <c r="BE9">
        <f t="shared" si="10"/>
        <v>28.2</v>
      </c>
      <c r="BF9">
        <f t="shared" si="11"/>
        <v>3.6</v>
      </c>
      <c r="BG9">
        <f t="shared" si="12"/>
        <v>0.9</v>
      </c>
      <c r="BH9">
        <f>VLOOKUP(B9,Miljö!$B$1:$BX$482,MATCH("Fossilandel för ursprungspecificerad el ()",Miljö!$B$1:$I$1,0),FALSE)</f>
        <v>0</v>
      </c>
      <c r="BI9">
        <f>VLOOKUP(B9,Miljö!$B$1:$BX$482,MATCH("Kärnkraftsandel för ursprungsspecificerad el ()",Miljö!$B$1:$O$1,0),FALSE)</f>
        <v>0</v>
      </c>
      <c r="BJ9">
        <f t="shared" si="13"/>
        <v>0</v>
      </c>
      <c r="BK9" t="str">
        <f>VLOOKUP(B9,Miljö!$B$1:$O$482,MATCH("Fossil andel i procent (%)",Miljö!$B$1:$O$1,0),FALSE)</f>
        <v>ET</v>
      </c>
      <c r="BL9">
        <f t="shared" si="14"/>
        <v>33.299999999999997</v>
      </c>
      <c r="BO9" s="18">
        <f t="shared" si="15"/>
        <v>1.8018018018018018E-2</v>
      </c>
      <c r="BP9" s="18">
        <f t="shared" si="16"/>
        <v>0</v>
      </c>
      <c r="BQ9" s="18">
        <f t="shared" si="17"/>
        <v>0.87387387387387383</v>
      </c>
      <c r="BR9" s="18">
        <f t="shared" si="18"/>
        <v>0.10810810810810811</v>
      </c>
      <c r="BT9" s="27">
        <f t="shared" si="19"/>
        <v>1</v>
      </c>
      <c r="BW9" s="18">
        <f>IF(AP9="ja",VLOOKUP(B9,Miljövärden!$B$2:$H$550,MATCH("Total andel fossilt",Miljövärden!$B$2:$H$2,0),FALSE),"")</f>
        <v>1.8017999999999999E-2</v>
      </c>
      <c r="BZ9" s="28">
        <f t="shared" si="20"/>
        <v>-1.8018018018567394E-8</v>
      </c>
      <c r="CA9" s="28">
        <f t="shared" si="21"/>
        <v>0</v>
      </c>
    </row>
    <row r="10" spans="1:79" x14ac:dyDescent="0.25">
      <c r="A10" s="224" t="s">
        <v>15</v>
      </c>
      <c r="B10" s="210" t="s">
        <v>32</v>
      </c>
      <c r="C10" s="121">
        <f>VLOOKUP($B10,'Tillförd energi'!$B$1:$AI$720,MATCH(C$1,'Tillförd energi'!$B$1:$AQ$1,0),FALSE)</f>
        <v>0</v>
      </c>
      <c r="D10" s="121">
        <f>VLOOKUP($B10,'Tillförd energi'!$B$1:$AI$720,MATCH(D$1,'Tillförd energi'!$B$1:$AQ$1,0),FALSE)</f>
        <v>0.28899999999999998</v>
      </c>
      <c r="E10" s="121">
        <f>VLOOKUP($B10,'Tillförd energi'!$B$1:$AI$720,MATCH(E$1,'Tillförd energi'!$B$1:$AQ$1,0),FALSE)</f>
        <v>0</v>
      </c>
      <c r="F10" s="121">
        <f>VLOOKUP($B10,'Tillförd energi'!$B$1:$AI$720,MATCH(F$1,'Tillförd energi'!$B$1:$AQ$1,0),FALSE)</f>
        <v>0</v>
      </c>
      <c r="G10" s="121">
        <f>VLOOKUP($B10,'Tillförd energi'!$B$1:$AI$720,MATCH(G$1,'Tillförd energi'!$B$1:$AQ$1,0),FALSE)</f>
        <v>0</v>
      </c>
      <c r="H10" s="121">
        <f>VLOOKUP($B10,'Tillförd energi'!$B$1:$AI$720,MATCH(H$1,'Tillförd energi'!$B$1:$AQ$1,0),FALSE)</f>
        <v>0.223</v>
      </c>
      <c r="I10" s="121">
        <f>VLOOKUP($B10,'Tillförd energi'!$B$1:$AI$720,MATCH(I$1,'Tillförd energi'!$B$1:$AQ$1,0),FALSE)</f>
        <v>0</v>
      </c>
      <c r="J10" s="121">
        <f>VLOOKUP($B10,'Tillförd energi'!$B$1:$AI$720,MATCH(J$1,'Tillförd energi'!$B$1:$AQ$1,0),FALSE)</f>
        <v>0.44600000000000001</v>
      </c>
      <c r="K10" s="121">
        <f>VLOOKUP($B10,'Tillförd energi'!$B$1:$AI$720,MATCH(K$1,'Tillförd energi'!$B$1:$AQ$1,0),FALSE)</f>
        <v>0</v>
      </c>
      <c r="L10" s="121">
        <f>VLOOKUP($B10,'Tillförd energi'!$B$1:$AI$720,MATCH(L$1,'Tillförd energi'!$B$1:$AQ$1,0),FALSE)</f>
        <v>0</v>
      </c>
      <c r="M10" s="121">
        <f>VLOOKUP($B10,'Tillförd energi'!$B$1:$AI$720,MATCH(M$1,'Tillförd energi'!$B$1:$AQ$1,0),FALSE)</f>
        <v>0</v>
      </c>
      <c r="N10" s="121">
        <f>VLOOKUP($B10,'Tillförd energi'!$B$1:$AI$720,MATCH(N$1,'Tillförd energi'!$B$1:$AQ$1,0),FALSE)</f>
        <v>0</v>
      </c>
      <c r="O10" s="121">
        <f>VLOOKUP($B10,'Tillförd energi'!$B$1:$AI$720,MATCH(O$1,'Tillförd energi'!$B$1:$AQ$1,0),FALSE)</f>
        <v>0</v>
      </c>
      <c r="P10" s="121">
        <f>VLOOKUP($B10,'Tillförd energi'!$B$1:$AI$720,MATCH(P$1,'Tillförd energi'!$B$1:$AQ$1,0),FALSE)</f>
        <v>0</v>
      </c>
      <c r="Q10" s="121">
        <f>VLOOKUP($B10,'Tillförd energi'!$B$1:$AI$720,MATCH(Q$1,'Tillförd energi'!$B$1:$AQ$1,0),FALSE)</f>
        <v>59.558</v>
      </c>
      <c r="R10" s="121">
        <f>VLOOKUP($B10,'Tillförd energi'!$B$1:$AI$720,MATCH(R$1,'Tillförd energi'!$B$1:$AQ$1,0),FALSE)</f>
        <v>0</v>
      </c>
      <c r="S10" s="121">
        <f>VLOOKUP($B10,'Tillförd energi'!$B$1:$AI$720,MATCH(S$1,'Tillförd energi'!$B$1:$AQ$1,0),FALSE)</f>
        <v>5.8920000000000003</v>
      </c>
      <c r="T10" s="121">
        <f>VLOOKUP($B10,'Tillförd energi'!$B$1:$AI$720,MATCH(T$1,'Tillförd energi'!$B$1:$AQ$1,0),FALSE)</f>
        <v>0</v>
      </c>
      <c r="U10" s="121">
        <f>VLOOKUP($B10,'Tillförd energi'!$B$1:$AI$720,MATCH(U$1,'Tillförd energi'!$B$1:$AQ$1,0),FALSE)</f>
        <v>0</v>
      </c>
      <c r="V10" s="121">
        <f>VLOOKUP($B10,'Tillförd energi'!$B$1:$AI$720,MATCH(V$1,'Tillförd energi'!$B$1:$AQ$1,0),FALSE)</f>
        <v>0</v>
      </c>
      <c r="W10" s="121">
        <f>VLOOKUP($B10,'Tillförd energi'!$B$1:$AI$720,MATCH(W$1,'Tillförd energi'!$B$1:$AQ$1,0),FALSE)</f>
        <v>2.61</v>
      </c>
      <c r="X10" s="121">
        <f>VLOOKUP($B10,'Tillförd energi'!$B$1:$AI$720,MATCH(X$1,'Tillförd energi'!$B$1:$AQ$1,0),FALSE)</f>
        <v>0</v>
      </c>
      <c r="Y10" s="121">
        <f>VLOOKUP($B10,'Tillförd energi'!$B$1:$AI$720,MATCH(Y$1,'Tillförd energi'!$B$1:$AQ$1,0),FALSE)</f>
        <v>0</v>
      </c>
      <c r="Z10" s="121">
        <f>VLOOKUP($B10,'Tillförd energi'!$B$1:$AI$720,MATCH(Z$1,'Tillförd energi'!$B$1:$AQ$1,0),FALSE)</f>
        <v>0</v>
      </c>
      <c r="AA10" s="121">
        <f>VLOOKUP($B10,'Tillförd energi'!$B$1:$AI$720,MATCH(AA$1,'Tillförd energi'!$B$1:$AQ$1,0),FALSE)</f>
        <v>0</v>
      </c>
      <c r="AB10" s="121">
        <f>VLOOKUP($B10,'Tillförd energi'!$B$1:$AI$720,MATCH(AB$1,'Tillförd energi'!$B$1:$AQ$1,0),FALSE)</f>
        <v>0</v>
      </c>
      <c r="AC10" s="121">
        <f>VLOOKUP($B10,'Tillförd energi'!$B$1:$AI$720,MATCH(AC$1,'Tillförd energi'!$B$1:$AQ$1,0),FALSE)</f>
        <v>13.744</v>
      </c>
      <c r="AD10" s="121">
        <f>VLOOKUP($B10,'Tillförd energi'!$B$1:$AI$720,MATCH(AD$1,'Tillförd energi'!$B$1:$AQ$1,0),FALSE)</f>
        <v>13.49</v>
      </c>
      <c r="AE10" s="121">
        <f>VLOOKUP($B10,'Tillförd energi'!$B$1:$AI$720,MATCH(AE$1,'Tillförd energi'!$B$1:$AQ$1,0),FALSE)</f>
        <v>0</v>
      </c>
      <c r="AF10" s="121">
        <f>VLOOKUP($B10,'Tillförd energi'!$B$1:$AI$720,MATCH(AF$1,'Tillförd energi'!$B$1:$AQ$1,0),FALSE)</f>
        <v>1.7</v>
      </c>
      <c r="AG10" s="121">
        <f>IFERROR(VLOOKUP(B10,Miljö!$B$1:$AC$550,MATCH("Köpt mängd produktionsspecifik fjärrvärme:",Miljö!$B$1:$AC$1,0),FALSE)/1,0)</f>
        <v>0</v>
      </c>
      <c r="AH10" s="121"/>
      <c r="AI10" s="121">
        <f t="shared" si="0"/>
        <v>97.951999999999998</v>
      </c>
      <c r="AJ10" s="121">
        <f t="shared" si="1"/>
        <v>97.951999999999998</v>
      </c>
      <c r="AK10" s="121">
        <f>IF(ISERROR(1/VLOOKUP($B10,Leveranser!$B$1:$S$499,MATCH("såld värme (gwh)",Leveranser!$B$1:$S$1,0),FALSE)),"",VLOOKUP($B10,Leveranser!$B$1:$S$499,MATCH("såld värme (gwh)",Leveranser!$B$1:$S$1,0),FALSE))</f>
        <v>86.6</v>
      </c>
      <c r="AL10" s="121">
        <f>VLOOKUP($B10,Leveranser!$B$1:$Y$499,MATCH("Totalt såld fjärrvärme till andra fjärrvärmeföretag",Leveranser!$B$1:$AA$1,0),FALSE)</f>
        <v>0</v>
      </c>
      <c r="AM10" s="121">
        <f>IF(ISERROR(1/VLOOKUP($B10,Miljö!$B$1:$S$500,MATCH("Såld mängd produktionsspecifik fjärrvärme (GWh)",Miljö!$B$1:$R$1,0),FALSE)),0,VLOOKUP($B10,Miljö!$B$1:$S$500,MATCH("Såld mängd produktionsspecifik fjärrvärme (GWh)",Miljö!$B$1:$R$1,0),FALSE))</f>
        <v>0</v>
      </c>
      <c r="AN10" s="172">
        <f t="shared" si="2"/>
        <v>0.88410650114341716</v>
      </c>
      <c r="AO10" s="121"/>
      <c r="AP10" s="121" t="str">
        <f>IFERROR(VLOOKUP($B10,Miljövärden!$B$2:$H$550,7,FALSE),"Nej, saknas")</f>
        <v>Ja</v>
      </c>
      <c r="AQ10" s="121" t="str">
        <f>IFERROR(VLOOKUP($B10,Miljövärden!$B$2:$H$550,6,FALSE),"Nej, saknas")</f>
        <v>Nej</v>
      </c>
      <c r="AU10">
        <f t="shared" si="3"/>
        <v>1.7</v>
      </c>
      <c r="AV10">
        <f t="shared" si="4"/>
        <v>0</v>
      </c>
      <c r="AW10">
        <f t="shared" si="5"/>
        <v>59.558</v>
      </c>
      <c r="AX10">
        <f t="shared" si="6"/>
        <v>5.8920000000000003</v>
      </c>
      <c r="AZ10">
        <f t="shared" si="7"/>
        <v>68.06</v>
      </c>
      <c r="BC10">
        <f t="shared" si="8"/>
        <v>0.51200000000000001</v>
      </c>
      <c r="BD10">
        <f t="shared" si="9"/>
        <v>0</v>
      </c>
      <c r="BE10">
        <f t="shared" si="10"/>
        <v>68.06</v>
      </c>
      <c r="BF10">
        <f t="shared" si="11"/>
        <v>27.68</v>
      </c>
      <c r="BG10">
        <f t="shared" si="12"/>
        <v>1.7</v>
      </c>
      <c r="BH10">
        <f>VLOOKUP(B10,Miljö!$B$1:$BX$482,MATCH("Fossilandel för ursprungspecificerad el ()",Miljö!$B$1:$I$1,0),FALSE)</f>
        <v>0</v>
      </c>
      <c r="BI10">
        <f>VLOOKUP(B10,Miljö!$B$1:$BX$482,MATCH("Kärnkraftsandel för ursprungsspecificerad el ()",Miljö!$B$1:$O$1,0),FALSE)</f>
        <v>0</v>
      </c>
      <c r="BJ10">
        <f t="shared" si="13"/>
        <v>0</v>
      </c>
      <c r="BK10" t="str">
        <f>VLOOKUP(B10,Miljö!$B$1:$O$482,MATCH("Fossil andel i procent (%)",Miljö!$B$1:$O$1,0),FALSE)</f>
        <v>ET</v>
      </c>
      <c r="BL10">
        <f t="shared" si="14"/>
        <v>97.952000000000012</v>
      </c>
      <c r="BO10" s="18">
        <f t="shared" si="15"/>
        <v>5.2270499836654686E-3</v>
      </c>
      <c r="BP10" s="18">
        <f t="shared" si="16"/>
        <v>0</v>
      </c>
      <c r="BQ10" s="18">
        <f t="shared" si="17"/>
        <v>0.71218556027442004</v>
      </c>
      <c r="BR10" s="18">
        <f t="shared" si="18"/>
        <v>0.28258738974191439</v>
      </c>
      <c r="BT10" s="27">
        <f t="shared" si="19"/>
        <v>1</v>
      </c>
      <c r="BW10" s="18">
        <f>IF(AP10="ja",VLOOKUP(B10,Miljövärden!$B$2:$H$550,MATCH("Total andel fossilt",Miljövärden!$B$2:$H$2,0),FALSE),"")</f>
        <v>5.2270499999999996E-3</v>
      </c>
      <c r="BZ10" s="28">
        <f t="shared" si="20"/>
        <v>1.6334530950068427E-11</v>
      </c>
      <c r="CA10" s="28">
        <f t="shared" si="21"/>
        <v>0</v>
      </c>
    </row>
    <row r="11" spans="1:79" x14ac:dyDescent="0.25">
      <c r="A11" s="224" t="s">
        <v>200</v>
      </c>
      <c r="B11" s="210" t="s">
        <v>201</v>
      </c>
      <c r="C11" s="121">
        <f>VLOOKUP($B11,'Tillförd energi'!$B$1:$AI$720,MATCH(C$1,'Tillförd energi'!$B$1:$AQ$1,0),FALSE)</f>
        <v>0</v>
      </c>
      <c r="D11" s="121">
        <f>VLOOKUP($B11,'Tillförd energi'!$B$1:$AI$720,MATCH(D$1,'Tillförd energi'!$B$1:$AQ$1,0),FALSE)</f>
        <v>0</v>
      </c>
      <c r="E11" s="121">
        <f>VLOOKUP($B11,'Tillförd energi'!$B$1:$AI$720,MATCH(E$1,'Tillförd energi'!$B$1:$AQ$1,0),FALSE)</f>
        <v>0</v>
      </c>
      <c r="F11" s="121">
        <f>VLOOKUP($B11,'Tillförd energi'!$B$1:$AI$720,MATCH(F$1,'Tillförd energi'!$B$1:$AQ$1,0),FALSE)</f>
        <v>0</v>
      </c>
      <c r="G11" s="121">
        <f>VLOOKUP($B11,'Tillförd energi'!$B$1:$AI$720,MATCH(G$1,'Tillförd energi'!$B$1:$AQ$1,0),FALSE)</f>
        <v>0</v>
      </c>
      <c r="H11" s="121">
        <f>VLOOKUP($B11,'Tillförd energi'!$B$1:$AI$720,MATCH(H$1,'Tillförd energi'!$B$1:$AQ$1,0),FALSE)</f>
        <v>0</v>
      </c>
      <c r="I11" s="121">
        <f>VLOOKUP($B11,'Tillförd energi'!$B$1:$AI$720,MATCH(I$1,'Tillförd energi'!$B$1:$AQ$1,0),FALSE)</f>
        <v>0</v>
      </c>
      <c r="J11" s="121">
        <f>VLOOKUP($B11,'Tillförd energi'!$B$1:$AI$720,MATCH(J$1,'Tillförd energi'!$B$1:$AQ$1,0),FALSE)</f>
        <v>0</v>
      </c>
      <c r="K11" s="121">
        <f>VLOOKUP($B11,'Tillförd energi'!$B$1:$AI$720,MATCH(K$1,'Tillförd energi'!$B$1:$AQ$1,0),FALSE)</f>
        <v>0</v>
      </c>
      <c r="L11" s="121">
        <f>VLOOKUP($B11,'Tillförd energi'!$B$1:$AI$720,MATCH(L$1,'Tillförd energi'!$B$1:$AQ$1,0),FALSE)</f>
        <v>0</v>
      </c>
      <c r="M11" s="121">
        <f>VLOOKUP($B11,'Tillförd energi'!$B$1:$AI$720,MATCH(M$1,'Tillförd energi'!$B$1:$AQ$1,0),FALSE)</f>
        <v>0</v>
      </c>
      <c r="N11" s="121">
        <f>VLOOKUP($B11,'Tillförd energi'!$B$1:$AI$720,MATCH(N$1,'Tillförd energi'!$B$1:$AQ$1,0),FALSE)</f>
        <v>0</v>
      </c>
      <c r="O11" s="121">
        <f>VLOOKUP($B11,'Tillförd energi'!$B$1:$AI$720,MATCH(O$1,'Tillförd energi'!$B$1:$AQ$1,0),FALSE)</f>
        <v>0</v>
      </c>
      <c r="P11" s="121">
        <f>VLOOKUP($B11,'Tillförd energi'!$B$1:$AI$720,MATCH(P$1,'Tillförd energi'!$B$1:$AQ$1,0),FALSE)</f>
        <v>0</v>
      </c>
      <c r="Q11" s="121">
        <f>VLOOKUP($B11,'Tillförd energi'!$B$1:$AI$720,MATCH(Q$1,'Tillförd energi'!$B$1:$AQ$1,0),FALSE)</f>
        <v>7.4117600000000001</v>
      </c>
      <c r="R11" s="121">
        <f>VLOOKUP($B11,'Tillförd energi'!$B$1:$AI$720,MATCH(R$1,'Tillförd energi'!$B$1:$AQ$1,0),FALSE)</f>
        <v>0</v>
      </c>
      <c r="S11" s="121">
        <f>VLOOKUP($B11,'Tillförd energi'!$B$1:$AI$720,MATCH(S$1,'Tillförd energi'!$B$1:$AQ$1,0),FALSE)</f>
        <v>0</v>
      </c>
      <c r="T11" s="121">
        <f>VLOOKUP($B11,'Tillförd energi'!$B$1:$AI$720,MATCH(T$1,'Tillförd energi'!$B$1:$AQ$1,0),FALSE)</f>
        <v>0</v>
      </c>
      <c r="U11" s="121">
        <f>VLOOKUP($B11,'Tillförd energi'!$B$1:$AI$720,MATCH(U$1,'Tillförd energi'!$B$1:$AQ$1,0),FALSE)</f>
        <v>0</v>
      </c>
      <c r="V11" s="121">
        <f>VLOOKUP($B11,'Tillförd energi'!$B$1:$AI$720,MATCH(V$1,'Tillförd energi'!$B$1:$AQ$1,0),FALSE)</f>
        <v>0</v>
      </c>
      <c r="W11" s="121">
        <f>VLOOKUP($B11,'Tillförd energi'!$B$1:$AI$720,MATCH(W$1,'Tillförd energi'!$B$1:$AQ$1,0),FALSE)</f>
        <v>0</v>
      </c>
      <c r="X11" s="121">
        <f>VLOOKUP($B11,'Tillförd energi'!$B$1:$AI$720,MATCH(X$1,'Tillförd energi'!$B$1:$AQ$1,0),FALSE)</f>
        <v>0</v>
      </c>
      <c r="Y11" s="121">
        <f>VLOOKUP($B11,'Tillförd energi'!$B$1:$AI$720,MATCH(Y$1,'Tillförd energi'!$B$1:$AQ$1,0),FALSE)</f>
        <v>0</v>
      </c>
      <c r="Z11" s="121">
        <f>VLOOKUP($B11,'Tillförd energi'!$B$1:$AI$720,MATCH(Z$1,'Tillförd energi'!$B$1:$AQ$1,0),FALSE)</f>
        <v>0</v>
      </c>
      <c r="AA11" s="121">
        <f>VLOOKUP($B11,'Tillförd energi'!$B$1:$AI$720,MATCH(AA$1,'Tillförd energi'!$B$1:$AQ$1,0),FALSE)</f>
        <v>0</v>
      </c>
      <c r="AB11" s="121">
        <f>VLOOKUP($B11,'Tillförd energi'!$B$1:$AI$720,MATCH(AB$1,'Tillförd energi'!$B$1:$AQ$1,0),FALSE)</f>
        <v>0</v>
      </c>
      <c r="AC11" s="121">
        <f>VLOOKUP($B11,'Tillförd energi'!$B$1:$AI$720,MATCH(AC$1,'Tillförd energi'!$B$1:$AQ$1,0),FALSE)</f>
        <v>0</v>
      </c>
      <c r="AD11" s="121">
        <f>VLOOKUP($B11,'Tillförd energi'!$B$1:$AI$720,MATCH(AD$1,'Tillförd energi'!$B$1:$AQ$1,0),FALSE)</f>
        <v>0</v>
      </c>
      <c r="AE11" s="121">
        <f>VLOOKUP($B11,'Tillförd energi'!$B$1:$AI$720,MATCH(AE$1,'Tillförd energi'!$B$1:$AQ$1,0),FALSE)</f>
        <v>0</v>
      </c>
      <c r="AF11" s="121">
        <f>VLOOKUP($B11,'Tillförd energi'!$B$1:$AI$720,MATCH(AF$1,'Tillförd energi'!$B$1:$AQ$1,0),FALSE)</f>
        <v>0.159</v>
      </c>
      <c r="AG11" s="121">
        <f>IFERROR(VLOOKUP(B11,Miljö!$B$1:$AC$550,MATCH("Köpt mängd produktionsspecifik fjärrvärme:",Miljö!$B$1:$AC$1,0),FALSE)/1,0)</f>
        <v>0</v>
      </c>
      <c r="AH11" s="121"/>
      <c r="AI11" s="121">
        <f t="shared" si="0"/>
        <v>7.5707599999999999</v>
      </c>
      <c r="AJ11" s="121">
        <f t="shared" si="1"/>
        <v>7.5707599999999999</v>
      </c>
      <c r="AK11" s="121">
        <f>IF(ISERROR(1/VLOOKUP($B11,Leveranser!$B$1:$S$499,MATCH("såld värme (gwh)",Leveranser!$B$1:$S$1,0),FALSE)),"",VLOOKUP($B11,Leveranser!$B$1:$S$499,MATCH("såld värme (gwh)",Leveranser!$B$1:$S$1,0),FALSE))</f>
        <v>5.3</v>
      </c>
      <c r="AL11" s="121">
        <f>VLOOKUP($B11,Leveranser!$B$1:$Y$499,MATCH("Totalt såld fjärrvärme till andra fjärrvärmeföretag",Leveranser!$B$1:$AA$1,0),FALSE)</f>
        <v>0</v>
      </c>
      <c r="AM11" s="121">
        <f>IF(ISERROR(1/VLOOKUP($B11,Miljö!$B$1:$S$500,MATCH("Såld mängd produktionsspecifik fjärrvärme (GWh)",Miljö!$B$1:$R$1,0),FALSE)),0,VLOOKUP($B11,Miljö!$B$1:$S$500,MATCH("Såld mängd produktionsspecifik fjärrvärme (GWh)",Miljö!$B$1:$R$1,0),FALSE))</f>
        <v>0</v>
      </c>
      <c r="AN11" s="172">
        <f t="shared" si="2"/>
        <v>0.70006181677929291</v>
      </c>
      <c r="AO11" s="121"/>
      <c r="AP11" s="121" t="str">
        <f>IFERROR(VLOOKUP($B11,Miljövärden!$B$2:$H$550,7,FALSE),"Nej, saknas")</f>
        <v>Ja</v>
      </c>
      <c r="AQ11" s="121" t="str">
        <f>IFERROR(VLOOKUP($B11,Miljövärden!$B$2:$H$550,6,FALSE),"Nej, saknas")</f>
        <v>Nej</v>
      </c>
      <c r="AU11">
        <f t="shared" si="3"/>
        <v>0.159</v>
      </c>
      <c r="AV11">
        <f t="shared" si="4"/>
        <v>0</v>
      </c>
      <c r="AW11">
        <f t="shared" si="5"/>
        <v>7.4117600000000001</v>
      </c>
      <c r="AX11">
        <f t="shared" si="6"/>
        <v>0</v>
      </c>
      <c r="AZ11">
        <f t="shared" si="7"/>
        <v>7.4117600000000001</v>
      </c>
      <c r="BC11">
        <f t="shared" si="8"/>
        <v>0</v>
      </c>
      <c r="BD11">
        <f t="shared" si="9"/>
        <v>0</v>
      </c>
      <c r="BE11">
        <f t="shared" si="10"/>
        <v>7.4117600000000001</v>
      </c>
      <c r="BF11">
        <f t="shared" si="11"/>
        <v>0</v>
      </c>
      <c r="BG11">
        <f t="shared" si="12"/>
        <v>0.159</v>
      </c>
      <c r="BH11">
        <f>VLOOKUP(B11,Miljö!$B$1:$BX$482,MATCH("Fossilandel för ursprungspecificerad el ()",Miljö!$B$1:$I$1,0),FALSE)</f>
        <v>0</v>
      </c>
      <c r="BI11">
        <f>VLOOKUP(B11,Miljö!$B$1:$BX$482,MATCH("Kärnkraftsandel för ursprungsspecificerad el ()",Miljö!$B$1:$O$1,0),FALSE)</f>
        <v>0</v>
      </c>
      <c r="BJ11">
        <f t="shared" si="13"/>
        <v>0</v>
      </c>
      <c r="BK11" t="str">
        <f>VLOOKUP(B11,Miljö!$B$1:$O$482,MATCH("Fossil andel i procent (%)",Miljö!$B$1:$O$1,0),FALSE)</f>
        <v>ET</v>
      </c>
      <c r="BL11">
        <f t="shared" si="14"/>
        <v>7.5707599999999999</v>
      </c>
      <c r="BO11" s="18">
        <f t="shared" si="15"/>
        <v>0</v>
      </c>
      <c r="BP11" s="18">
        <f t="shared" si="16"/>
        <v>0</v>
      </c>
      <c r="BQ11" s="18">
        <f t="shared" si="17"/>
        <v>1</v>
      </c>
      <c r="BR11" s="18">
        <f t="shared" si="18"/>
        <v>0</v>
      </c>
      <c r="BT11" s="27">
        <f t="shared" si="19"/>
        <v>1</v>
      </c>
      <c r="BW11" s="18">
        <f>IF(AP11="ja",VLOOKUP(B11,Miljövärden!$B$2:$H$550,MATCH("Total andel fossilt",Miljövärden!$B$2:$H$2,0),FALSE),"")</f>
        <v>0</v>
      </c>
      <c r="BZ11" s="28">
        <f t="shared" si="20"/>
        <v>0</v>
      </c>
      <c r="CA11" s="28">
        <f t="shared" si="21"/>
        <v>0</v>
      </c>
    </row>
    <row r="12" spans="1:79" x14ac:dyDescent="0.25">
      <c r="A12" s="224" t="s">
        <v>200</v>
      </c>
      <c r="B12" s="210" t="s">
        <v>202</v>
      </c>
      <c r="C12" s="121">
        <f>VLOOKUP($B12,'Tillförd energi'!$B$1:$AI$720,MATCH(C$1,'Tillförd energi'!$B$1:$AQ$1,0),FALSE)</f>
        <v>0</v>
      </c>
      <c r="D12" s="121">
        <f>VLOOKUP($B12,'Tillförd energi'!$B$1:$AI$720,MATCH(D$1,'Tillförd energi'!$B$1:$AQ$1,0),FALSE)</f>
        <v>0.3</v>
      </c>
      <c r="E12" s="121">
        <f>VLOOKUP($B12,'Tillförd energi'!$B$1:$AI$720,MATCH(E$1,'Tillförd energi'!$B$1:$AQ$1,0),FALSE)</f>
        <v>0</v>
      </c>
      <c r="F12" s="121">
        <f>VLOOKUP($B12,'Tillförd energi'!$B$1:$AI$720,MATCH(F$1,'Tillförd energi'!$B$1:$AQ$1,0),FALSE)</f>
        <v>0</v>
      </c>
      <c r="G12" s="121">
        <f>VLOOKUP($B12,'Tillförd energi'!$B$1:$AI$720,MATCH(G$1,'Tillförd energi'!$B$1:$AQ$1,0),FALSE)</f>
        <v>0</v>
      </c>
      <c r="H12" s="121">
        <f>VLOOKUP($B12,'Tillförd energi'!$B$1:$AI$720,MATCH(H$1,'Tillförd energi'!$B$1:$AQ$1,0),FALSE)</f>
        <v>0</v>
      </c>
      <c r="I12" s="121">
        <f>VLOOKUP($B12,'Tillförd energi'!$B$1:$AI$720,MATCH(I$1,'Tillförd energi'!$B$1:$AQ$1,0),FALSE)</f>
        <v>0</v>
      </c>
      <c r="J12" s="121">
        <f>VLOOKUP($B12,'Tillförd energi'!$B$1:$AI$720,MATCH(J$1,'Tillförd energi'!$B$1:$AQ$1,0),FALSE)</f>
        <v>0</v>
      </c>
      <c r="K12" s="121">
        <f>VLOOKUP($B12,'Tillförd energi'!$B$1:$AI$720,MATCH(K$1,'Tillförd energi'!$B$1:$AQ$1,0),FALSE)</f>
        <v>0</v>
      </c>
      <c r="L12" s="121">
        <f>VLOOKUP($B12,'Tillförd energi'!$B$1:$AI$720,MATCH(L$1,'Tillförd energi'!$B$1:$AQ$1,0),FALSE)</f>
        <v>0</v>
      </c>
      <c r="M12" s="121">
        <f>VLOOKUP($B12,'Tillförd energi'!$B$1:$AI$720,MATCH(M$1,'Tillförd energi'!$B$1:$AQ$1,0),FALSE)</f>
        <v>7</v>
      </c>
      <c r="N12" s="121">
        <f>VLOOKUP($B12,'Tillförd energi'!$B$1:$AI$720,MATCH(N$1,'Tillförd energi'!$B$1:$AQ$1,0),FALSE)</f>
        <v>0</v>
      </c>
      <c r="O12" s="121">
        <f>VLOOKUP($B12,'Tillförd energi'!$B$1:$AI$720,MATCH(O$1,'Tillförd energi'!$B$1:$AQ$1,0),FALSE)</f>
        <v>0</v>
      </c>
      <c r="P12" s="121">
        <f>VLOOKUP($B12,'Tillförd energi'!$B$1:$AI$720,MATCH(P$1,'Tillförd energi'!$B$1:$AQ$1,0),FALSE)</f>
        <v>15</v>
      </c>
      <c r="Q12" s="121">
        <f>VLOOKUP($B12,'Tillförd energi'!$B$1:$AI$720,MATCH(Q$1,'Tillförd energi'!$B$1:$AQ$1,0),FALSE)</f>
        <v>0</v>
      </c>
      <c r="R12" s="121">
        <f>VLOOKUP($B12,'Tillförd energi'!$B$1:$AI$720,MATCH(R$1,'Tillförd energi'!$B$1:$AQ$1,0),FALSE)</f>
        <v>3.8</v>
      </c>
      <c r="S12" s="121">
        <f>VLOOKUP($B12,'Tillförd energi'!$B$1:$AI$720,MATCH(S$1,'Tillförd energi'!$B$1:$AQ$1,0),FALSE)</f>
        <v>0</v>
      </c>
      <c r="T12" s="121">
        <f>VLOOKUP($B12,'Tillförd energi'!$B$1:$AI$720,MATCH(T$1,'Tillförd energi'!$B$1:$AQ$1,0),FALSE)</f>
        <v>0</v>
      </c>
      <c r="U12" s="121">
        <f>VLOOKUP($B12,'Tillförd energi'!$B$1:$AI$720,MATCH(U$1,'Tillförd energi'!$B$1:$AQ$1,0),FALSE)</f>
        <v>0</v>
      </c>
      <c r="V12" s="121">
        <f>VLOOKUP($B12,'Tillförd energi'!$B$1:$AI$720,MATCH(V$1,'Tillförd energi'!$B$1:$AQ$1,0),FALSE)</f>
        <v>0</v>
      </c>
      <c r="W12" s="121">
        <f>VLOOKUP($B12,'Tillförd energi'!$B$1:$AI$720,MATCH(W$1,'Tillförd energi'!$B$1:$AQ$1,0),FALSE)</f>
        <v>0</v>
      </c>
      <c r="X12" s="121">
        <f>VLOOKUP($B12,'Tillförd energi'!$B$1:$AI$720,MATCH(X$1,'Tillförd energi'!$B$1:$AQ$1,0),FALSE)</f>
        <v>0</v>
      </c>
      <c r="Y12" s="121">
        <f>VLOOKUP($B12,'Tillförd energi'!$B$1:$AI$720,MATCH(Y$1,'Tillförd energi'!$B$1:$AQ$1,0),FALSE)</f>
        <v>0</v>
      </c>
      <c r="Z12" s="121">
        <f>VLOOKUP($B12,'Tillförd energi'!$B$1:$AI$720,MATCH(Z$1,'Tillförd energi'!$B$1:$AQ$1,0),FALSE)</f>
        <v>0</v>
      </c>
      <c r="AA12" s="121">
        <f>VLOOKUP($B12,'Tillförd energi'!$B$1:$AI$720,MATCH(AA$1,'Tillförd energi'!$B$1:$AQ$1,0),FALSE)</f>
        <v>0</v>
      </c>
      <c r="AB12" s="121">
        <f>VLOOKUP($B12,'Tillförd energi'!$B$1:$AI$720,MATCH(AB$1,'Tillförd energi'!$B$1:$AQ$1,0),FALSE)</f>
        <v>0</v>
      </c>
      <c r="AC12" s="121">
        <f>VLOOKUP($B12,'Tillförd energi'!$B$1:$AI$720,MATCH(AC$1,'Tillförd energi'!$B$1:$AQ$1,0),FALSE)</f>
        <v>0</v>
      </c>
      <c r="AD12" s="121">
        <f>VLOOKUP($B12,'Tillförd energi'!$B$1:$AI$720,MATCH(AD$1,'Tillförd energi'!$B$1:$AQ$1,0),FALSE)</f>
        <v>0</v>
      </c>
      <c r="AE12" s="121">
        <f>VLOOKUP($B12,'Tillförd energi'!$B$1:$AI$720,MATCH(AE$1,'Tillförd energi'!$B$1:$AQ$1,0),FALSE)</f>
        <v>0</v>
      </c>
      <c r="AF12" s="121">
        <f>VLOOKUP($B12,'Tillförd energi'!$B$1:$AI$720,MATCH(AF$1,'Tillförd energi'!$B$1:$AQ$1,0),FALSE)</f>
        <v>0.4</v>
      </c>
      <c r="AG12" s="121">
        <f>IFERROR(VLOOKUP(B12,Miljö!$B$1:$AC$550,MATCH("Köpt mängd produktionsspecifik fjärrvärme:",Miljö!$B$1:$AC$1,0),FALSE)/1,0)</f>
        <v>0</v>
      </c>
      <c r="AH12" s="121"/>
      <c r="AI12" s="121">
        <f t="shared" si="0"/>
        <v>26.5</v>
      </c>
      <c r="AJ12" s="121">
        <f t="shared" si="1"/>
        <v>26.5</v>
      </c>
      <c r="AK12" s="121">
        <f>IF(ISERROR(1/VLOOKUP($B12,Leveranser!$B$1:$S$499,MATCH("såld värme (gwh)",Leveranser!$B$1:$S$1,0),FALSE)),"",VLOOKUP($B12,Leveranser!$B$1:$S$499,MATCH("såld värme (gwh)",Leveranser!$B$1:$S$1,0),FALSE))</f>
        <v>18.2</v>
      </c>
      <c r="AL12" s="121">
        <f>VLOOKUP($B12,Leveranser!$B$1:$Y$499,MATCH("Totalt såld fjärrvärme till andra fjärrvärmeföretag",Leveranser!$B$1:$AA$1,0),FALSE)</f>
        <v>0</v>
      </c>
      <c r="AM12" s="121">
        <f>IF(ISERROR(1/VLOOKUP($B12,Miljö!$B$1:$S$500,MATCH("Såld mängd produktionsspecifik fjärrvärme (GWh)",Miljö!$B$1:$R$1,0),FALSE)),0,VLOOKUP($B12,Miljö!$B$1:$S$500,MATCH("Såld mängd produktionsspecifik fjärrvärme (GWh)",Miljö!$B$1:$R$1,0),FALSE))</f>
        <v>0</v>
      </c>
      <c r="AN12" s="172">
        <f t="shared" si="2"/>
        <v>0.68679245283018864</v>
      </c>
      <c r="AO12" s="121"/>
      <c r="AP12" s="121" t="str">
        <f>IFERROR(VLOOKUP($B12,Miljövärden!$B$2:$H$550,7,FALSE),"Nej, saknas")</f>
        <v>Ja</v>
      </c>
      <c r="AQ12" s="121" t="str">
        <f>IFERROR(VLOOKUP($B12,Miljövärden!$B$2:$H$550,6,FALSE),"Nej, saknas")</f>
        <v>Ja</v>
      </c>
      <c r="AU12">
        <f t="shared" si="3"/>
        <v>0.4</v>
      </c>
      <c r="AV12">
        <f t="shared" si="4"/>
        <v>0</v>
      </c>
      <c r="AW12">
        <f t="shared" si="5"/>
        <v>22</v>
      </c>
      <c r="AX12">
        <f t="shared" si="6"/>
        <v>3.8</v>
      </c>
      <c r="AZ12">
        <f t="shared" si="7"/>
        <v>25.8</v>
      </c>
      <c r="BC12">
        <f t="shared" si="8"/>
        <v>0.3</v>
      </c>
      <c r="BD12">
        <f t="shared" si="9"/>
        <v>0</v>
      </c>
      <c r="BE12">
        <f t="shared" si="10"/>
        <v>25.8</v>
      </c>
      <c r="BF12">
        <f t="shared" si="11"/>
        <v>0</v>
      </c>
      <c r="BG12">
        <f t="shared" si="12"/>
        <v>0.4</v>
      </c>
      <c r="BH12">
        <f>VLOOKUP(B12,Miljö!$B$1:$BX$482,MATCH("Fossilandel för ursprungspecificerad el ()",Miljö!$B$1:$I$1,0),FALSE)</f>
        <v>0</v>
      </c>
      <c r="BI12">
        <f>VLOOKUP(B12,Miljö!$B$1:$BX$482,MATCH("Kärnkraftsandel för ursprungsspecificerad el ()",Miljö!$B$1:$O$1,0),FALSE)</f>
        <v>0</v>
      </c>
      <c r="BJ12">
        <f t="shared" si="13"/>
        <v>0</v>
      </c>
      <c r="BK12" t="str">
        <f>VLOOKUP(B12,Miljö!$B$1:$O$482,MATCH("Fossil andel i procent (%)",Miljö!$B$1:$O$1,0),FALSE)</f>
        <v>ET</v>
      </c>
      <c r="BL12">
        <f t="shared" si="14"/>
        <v>26.5</v>
      </c>
      <c r="BO12" s="18">
        <f t="shared" si="15"/>
        <v>1.1320754716981131E-2</v>
      </c>
      <c r="BP12" s="18">
        <f t="shared" si="16"/>
        <v>0</v>
      </c>
      <c r="BQ12" s="18">
        <f t="shared" si="17"/>
        <v>0.98867924528301887</v>
      </c>
      <c r="BR12" s="18">
        <f t="shared" si="18"/>
        <v>0</v>
      </c>
      <c r="BT12" s="27">
        <f t="shared" si="19"/>
        <v>1</v>
      </c>
      <c r="BW12" s="18">
        <f>IF(AP12="ja",VLOOKUP(B12,Miljövärden!$B$2:$H$550,MATCH("Total andel fossilt",Miljövärden!$B$2:$H$2,0),FALSE),"")</f>
        <v>1.1320800000000001E-2</v>
      </c>
      <c r="BZ12" s="28">
        <f t="shared" si="20"/>
        <v>4.5283018869357594E-8</v>
      </c>
      <c r="CA12" s="28">
        <f t="shared" si="21"/>
        <v>0</v>
      </c>
    </row>
    <row r="13" spans="1:79" x14ac:dyDescent="0.25">
      <c r="A13" s="224" t="s">
        <v>200</v>
      </c>
      <c r="B13" s="210" t="s">
        <v>203</v>
      </c>
      <c r="C13" s="121">
        <f>VLOOKUP($B13,'Tillförd energi'!$B$1:$AI$720,MATCH(C$1,'Tillförd energi'!$B$1:$AQ$1,0),FALSE)</f>
        <v>0</v>
      </c>
      <c r="D13" s="121">
        <f>VLOOKUP($B13,'Tillförd energi'!$B$1:$AI$720,MATCH(D$1,'Tillförd energi'!$B$1:$AQ$1,0),FALSE)</f>
        <v>0.2</v>
      </c>
      <c r="E13" s="121">
        <f>VLOOKUP($B13,'Tillförd energi'!$B$1:$AI$720,MATCH(E$1,'Tillförd energi'!$B$1:$AQ$1,0),FALSE)</f>
        <v>0</v>
      </c>
      <c r="F13" s="121">
        <f>VLOOKUP($B13,'Tillförd energi'!$B$1:$AI$720,MATCH(F$1,'Tillförd energi'!$B$1:$AQ$1,0),FALSE)</f>
        <v>0</v>
      </c>
      <c r="G13" s="121">
        <f>VLOOKUP($B13,'Tillförd energi'!$B$1:$AI$720,MATCH(G$1,'Tillförd energi'!$B$1:$AQ$1,0),FALSE)</f>
        <v>0</v>
      </c>
      <c r="H13" s="121">
        <f>VLOOKUP($B13,'Tillförd energi'!$B$1:$AI$720,MATCH(H$1,'Tillförd energi'!$B$1:$AQ$1,0),FALSE)</f>
        <v>0</v>
      </c>
      <c r="I13" s="121">
        <f>VLOOKUP($B13,'Tillförd energi'!$B$1:$AI$720,MATCH(I$1,'Tillförd energi'!$B$1:$AQ$1,0),FALSE)</f>
        <v>0</v>
      </c>
      <c r="J13" s="121">
        <f>VLOOKUP($B13,'Tillförd energi'!$B$1:$AI$720,MATCH(J$1,'Tillförd energi'!$B$1:$AQ$1,0),FALSE)</f>
        <v>0</v>
      </c>
      <c r="K13" s="121">
        <f>VLOOKUP($B13,'Tillförd energi'!$B$1:$AI$720,MATCH(K$1,'Tillförd energi'!$B$1:$AQ$1,0),FALSE)</f>
        <v>0</v>
      </c>
      <c r="L13" s="121">
        <f>VLOOKUP($B13,'Tillförd energi'!$B$1:$AI$720,MATCH(L$1,'Tillförd energi'!$B$1:$AQ$1,0),FALSE)</f>
        <v>0</v>
      </c>
      <c r="M13" s="121">
        <f>VLOOKUP($B13,'Tillförd energi'!$B$1:$AI$720,MATCH(M$1,'Tillförd energi'!$B$1:$AQ$1,0),FALSE)</f>
        <v>0</v>
      </c>
      <c r="N13" s="121">
        <f>VLOOKUP($B13,'Tillförd energi'!$B$1:$AI$720,MATCH(N$1,'Tillförd energi'!$B$1:$AQ$1,0),FALSE)</f>
        <v>0</v>
      </c>
      <c r="O13" s="121">
        <f>VLOOKUP($B13,'Tillförd energi'!$B$1:$AI$720,MATCH(O$1,'Tillförd energi'!$B$1:$AQ$1,0),FALSE)</f>
        <v>0</v>
      </c>
      <c r="P13" s="121">
        <f>VLOOKUP($B13,'Tillförd energi'!$B$1:$AI$720,MATCH(P$1,'Tillförd energi'!$B$1:$AQ$1,0),FALSE)</f>
        <v>4.5</v>
      </c>
      <c r="Q13" s="121">
        <f>VLOOKUP($B13,'Tillförd energi'!$B$1:$AI$720,MATCH(Q$1,'Tillförd energi'!$B$1:$AQ$1,0),FALSE)</f>
        <v>0</v>
      </c>
      <c r="R13" s="121">
        <f>VLOOKUP($B13,'Tillförd energi'!$B$1:$AI$720,MATCH(R$1,'Tillförd energi'!$B$1:$AQ$1,0),FALSE)</f>
        <v>0</v>
      </c>
      <c r="S13" s="121">
        <f>VLOOKUP($B13,'Tillförd energi'!$B$1:$AI$720,MATCH(S$1,'Tillförd energi'!$B$1:$AQ$1,0),FALSE)</f>
        <v>0</v>
      </c>
      <c r="T13" s="121">
        <f>VLOOKUP($B13,'Tillförd energi'!$B$1:$AI$720,MATCH(T$1,'Tillförd energi'!$B$1:$AQ$1,0),FALSE)</f>
        <v>0</v>
      </c>
      <c r="U13" s="121">
        <f>VLOOKUP($B13,'Tillförd energi'!$B$1:$AI$720,MATCH(U$1,'Tillförd energi'!$B$1:$AQ$1,0),FALSE)</f>
        <v>0</v>
      </c>
      <c r="V13" s="121">
        <f>VLOOKUP($B13,'Tillförd energi'!$B$1:$AI$720,MATCH(V$1,'Tillförd energi'!$B$1:$AQ$1,0),FALSE)</f>
        <v>0</v>
      </c>
      <c r="W13" s="121">
        <f>VLOOKUP($B13,'Tillförd energi'!$B$1:$AI$720,MATCH(W$1,'Tillförd energi'!$B$1:$AQ$1,0),FALSE)</f>
        <v>0</v>
      </c>
      <c r="X13" s="121">
        <f>VLOOKUP($B13,'Tillförd energi'!$B$1:$AI$720,MATCH(X$1,'Tillförd energi'!$B$1:$AQ$1,0),FALSE)</f>
        <v>0</v>
      </c>
      <c r="Y13" s="121">
        <f>VLOOKUP($B13,'Tillförd energi'!$B$1:$AI$720,MATCH(Y$1,'Tillförd energi'!$B$1:$AQ$1,0),FALSE)</f>
        <v>0</v>
      </c>
      <c r="Z13" s="121">
        <f>VLOOKUP($B13,'Tillförd energi'!$B$1:$AI$720,MATCH(Z$1,'Tillförd energi'!$B$1:$AQ$1,0),FALSE)</f>
        <v>0</v>
      </c>
      <c r="AA13" s="121">
        <f>VLOOKUP($B13,'Tillförd energi'!$B$1:$AI$720,MATCH(AA$1,'Tillförd energi'!$B$1:$AQ$1,0),FALSE)</f>
        <v>0</v>
      </c>
      <c r="AB13" s="121">
        <f>VLOOKUP($B13,'Tillförd energi'!$B$1:$AI$720,MATCH(AB$1,'Tillförd energi'!$B$1:$AQ$1,0),FALSE)</f>
        <v>0</v>
      </c>
      <c r="AC13" s="121">
        <f>VLOOKUP($B13,'Tillförd energi'!$B$1:$AI$720,MATCH(AC$1,'Tillförd energi'!$B$1:$AQ$1,0),FALSE)</f>
        <v>0</v>
      </c>
      <c r="AD13" s="121">
        <f>VLOOKUP($B13,'Tillförd energi'!$B$1:$AI$720,MATCH(AD$1,'Tillförd energi'!$B$1:$AQ$1,0),FALSE)</f>
        <v>0</v>
      </c>
      <c r="AE13" s="121">
        <f>VLOOKUP($B13,'Tillförd energi'!$B$1:$AI$720,MATCH(AE$1,'Tillförd energi'!$B$1:$AQ$1,0),FALSE)</f>
        <v>0</v>
      </c>
      <c r="AF13" s="121">
        <f>VLOOKUP($B13,'Tillförd energi'!$B$1:$AI$720,MATCH(AF$1,'Tillförd energi'!$B$1:$AQ$1,0),FALSE)</f>
        <v>0.01</v>
      </c>
      <c r="AG13" s="121">
        <f>IFERROR(VLOOKUP(B13,Miljö!$B$1:$AC$550,MATCH("Köpt mängd produktionsspecifik fjärrvärme:",Miljö!$B$1:$AC$1,0),FALSE)/1,0)</f>
        <v>0</v>
      </c>
      <c r="AH13" s="121"/>
      <c r="AI13" s="121">
        <f t="shared" si="0"/>
        <v>4.71</v>
      </c>
      <c r="AJ13" s="121">
        <f t="shared" si="1"/>
        <v>4.71</v>
      </c>
      <c r="AK13" s="121">
        <f>IF(ISERROR(1/VLOOKUP($B13,Leveranser!$B$1:$S$499,MATCH("såld värme (gwh)",Leveranser!$B$1:$S$1,0),FALSE)),"",VLOOKUP($B13,Leveranser!$B$1:$S$499,MATCH("såld värme (gwh)",Leveranser!$B$1:$S$1,0),FALSE))</f>
        <v>3.5</v>
      </c>
      <c r="AL13" s="121">
        <f>VLOOKUP($B13,Leveranser!$B$1:$Y$499,MATCH("Totalt såld fjärrvärme till andra fjärrvärmeföretag",Leveranser!$B$1:$AA$1,0),FALSE)</f>
        <v>0</v>
      </c>
      <c r="AM13" s="121">
        <f>IF(ISERROR(1/VLOOKUP($B13,Miljö!$B$1:$S$500,MATCH("Såld mängd produktionsspecifik fjärrvärme (GWh)",Miljö!$B$1:$R$1,0),FALSE)),0,VLOOKUP($B13,Miljö!$B$1:$S$500,MATCH("Såld mängd produktionsspecifik fjärrvärme (GWh)",Miljö!$B$1:$R$1,0),FALSE))</f>
        <v>0</v>
      </c>
      <c r="AN13" s="172">
        <f t="shared" si="2"/>
        <v>0.743099787685775</v>
      </c>
      <c r="AO13" s="121"/>
      <c r="AP13" s="121" t="str">
        <f>IFERROR(VLOOKUP($B13,Miljövärden!$B$2:$H$550,7,FALSE),"Nej, saknas")</f>
        <v>Ja</v>
      </c>
      <c r="AQ13" s="121" t="str">
        <f>IFERROR(VLOOKUP($B13,Miljövärden!$B$2:$H$550,6,FALSE),"Nej, saknas")</f>
        <v>Ja</v>
      </c>
      <c r="AU13">
        <f t="shared" si="3"/>
        <v>0.01</v>
      </c>
      <c r="AV13">
        <f t="shared" si="4"/>
        <v>0</v>
      </c>
      <c r="AW13">
        <f t="shared" si="5"/>
        <v>4.5</v>
      </c>
      <c r="AX13">
        <f t="shared" si="6"/>
        <v>0</v>
      </c>
      <c r="AZ13">
        <f t="shared" si="7"/>
        <v>4.5</v>
      </c>
      <c r="BC13">
        <f t="shared" si="8"/>
        <v>0.2</v>
      </c>
      <c r="BD13">
        <f t="shared" si="9"/>
        <v>0</v>
      </c>
      <c r="BE13">
        <f t="shared" si="10"/>
        <v>4.5</v>
      </c>
      <c r="BF13">
        <f t="shared" si="11"/>
        <v>0</v>
      </c>
      <c r="BG13">
        <f t="shared" si="12"/>
        <v>0.01</v>
      </c>
      <c r="BH13">
        <f>VLOOKUP(B13,Miljö!$B$1:$BX$482,MATCH("Fossilandel för ursprungspecificerad el ()",Miljö!$B$1:$I$1,0),FALSE)</f>
        <v>0</v>
      </c>
      <c r="BI13">
        <f>VLOOKUP(B13,Miljö!$B$1:$BX$482,MATCH("Kärnkraftsandel för ursprungsspecificerad el ()",Miljö!$B$1:$O$1,0),FALSE)</f>
        <v>0</v>
      </c>
      <c r="BJ13">
        <f t="shared" si="13"/>
        <v>0</v>
      </c>
      <c r="BK13" t="str">
        <f>VLOOKUP(B13,Miljö!$B$1:$O$482,MATCH("Fossil andel i procent (%)",Miljö!$B$1:$O$1,0),FALSE)</f>
        <v>ET</v>
      </c>
      <c r="BL13">
        <f t="shared" si="14"/>
        <v>4.71</v>
      </c>
      <c r="BO13" s="18">
        <f t="shared" si="15"/>
        <v>4.2462845010615716E-2</v>
      </c>
      <c r="BP13" s="18">
        <f t="shared" si="16"/>
        <v>0</v>
      </c>
      <c r="BQ13" s="18">
        <f t="shared" si="17"/>
        <v>0.9575371549893843</v>
      </c>
      <c r="BR13" s="18">
        <f t="shared" si="18"/>
        <v>0</v>
      </c>
      <c r="BT13" s="27">
        <f t="shared" si="19"/>
        <v>1</v>
      </c>
      <c r="BW13" s="18">
        <f>IF(AP13="ja",VLOOKUP(B13,Miljövärden!$B$2:$H$550,MATCH("Total andel fossilt",Miljövärden!$B$2:$H$2,0),FALSE),"")</f>
        <v>4.2462800000000002E-2</v>
      </c>
      <c r="BZ13" s="28">
        <f t="shared" si="20"/>
        <v>-4.5010615713769742E-8</v>
      </c>
      <c r="CA13" s="28">
        <f t="shared" si="21"/>
        <v>0</v>
      </c>
    </row>
    <row r="14" spans="1:79" x14ac:dyDescent="0.25">
      <c r="A14" s="224" t="s">
        <v>200</v>
      </c>
      <c r="B14" s="210" t="s">
        <v>204</v>
      </c>
      <c r="C14" s="121">
        <f>VLOOKUP($B14,'Tillförd energi'!$B$1:$AI$720,MATCH(C$1,'Tillförd energi'!$B$1:$AQ$1,0),FALSE)</f>
        <v>0</v>
      </c>
      <c r="D14" s="121">
        <f>VLOOKUP($B14,'Tillförd energi'!$B$1:$AI$720,MATCH(D$1,'Tillförd energi'!$B$1:$AQ$1,0),FALSE)</f>
        <v>0.8</v>
      </c>
      <c r="E14" s="121">
        <f>VLOOKUP($B14,'Tillförd energi'!$B$1:$AI$720,MATCH(E$1,'Tillförd energi'!$B$1:$AQ$1,0),FALSE)</f>
        <v>0</v>
      </c>
      <c r="F14" s="121">
        <f>VLOOKUP($B14,'Tillförd energi'!$B$1:$AI$720,MATCH(F$1,'Tillförd energi'!$B$1:$AQ$1,0),FALSE)</f>
        <v>0</v>
      </c>
      <c r="G14" s="121">
        <f>VLOOKUP($B14,'Tillförd energi'!$B$1:$AI$720,MATCH(G$1,'Tillförd energi'!$B$1:$AQ$1,0),FALSE)</f>
        <v>0</v>
      </c>
      <c r="H14" s="121">
        <f>VLOOKUP($B14,'Tillförd energi'!$B$1:$AI$720,MATCH(H$1,'Tillförd energi'!$B$1:$AQ$1,0),FALSE)</f>
        <v>0</v>
      </c>
      <c r="I14" s="121">
        <f>VLOOKUP($B14,'Tillförd energi'!$B$1:$AI$720,MATCH(I$1,'Tillförd energi'!$B$1:$AQ$1,0),FALSE)</f>
        <v>0</v>
      </c>
      <c r="J14" s="121">
        <f>VLOOKUP($B14,'Tillförd energi'!$B$1:$AI$720,MATCH(J$1,'Tillförd energi'!$B$1:$AQ$1,0),FALSE)</f>
        <v>0</v>
      </c>
      <c r="K14" s="121">
        <f>VLOOKUP($B14,'Tillförd energi'!$B$1:$AI$720,MATCH(K$1,'Tillförd energi'!$B$1:$AQ$1,0),FALSE)</f>
        <v>0</v>
      </c>
      <c r="L14" s="121">
        <f>VLOOKUP($B14,'Tillförd energi'!$B$1:$AI$720,MATCH(L$1,'Tillförd energi'!$B$1:$AQ$1,0),FALSE)</f>
        <v>0</v>
      </c>
      <c r="M14" s="121">
        <f>VLOOKUP($B14,'Tillförd energi'!$B$1:$AI$720,MATCH(M$1,'Tillförd energi'!$B$1:$AQ$1,0),FALSE)</f>
        <v>0</v>
      </c>
      <c r="N14" s="121">
        <f>VLOOKUP($B14,'Tillförd energi'!$B$1:$AI$720,MATCH(N$1,'Tillförd energi'!$B$1:$AQ$1,0),FALSE)</f>
        <v>0</v>
      </c>
      <c r="O14" s="121">
        <f>VLOOKUP($B14,'Tillförd energi'!$B$1:$AI$720,MATCH(O$1,'Tillförd energi'!$B$1:$AQ$1,0),FALSE)</f>
        <v>8.4</v>
      </c>
      <c r="P14" s="121">
        <f>VLOOKUP($B14,'Tillförd energi'!$B$1:$AI$720,MATCH(P$1,'Tillförd energi'!$B$1:$AQ$1,0),FALSE)</f>
        <v>0</v>
      </c>
      <c r="Q14" s="121">
        <f>VLOOKUP($B14,'Tillförd energi'!$B$1:$AI$720,MATCH(Q$1,'Tillförd energi'!$B$1:$AQ$1,0),FALSE)</f>
        <v>0</v>
      </c>
      <c r="R14" s="121">
        <f>VLOOKUP($B14,'Tillförd energi'!$B$1:$AI$720,MATCH(R$1,'Tillförd energi'!$B$1:$AQ$1,0),FALSE)</f>
        <v>0</v>
      </c>
      <c r="S14" s="121">
        <f>VLOOKUP($B14,'Tillförd energi'!$B$1:$AI$720,MATCH(S$1,'Tillförd energi'!$B$1:$AQ$1,0),FALSE)</f>
        <v>0</v>
      </c>
      <c r="T14" s="121">
        <f>VLOOKUP($B14,'Tillförd energi'!$B$1:$AI$720,MATCH(T$1,'Tillförd energi'!$B$1:$AQ$1,0),FALSE)</f>
        <v>0</v>
      </c>
      <c r="U14" s="121">
        <f>VLOOKUP($B14,'Tillförd energi'!$B$1:$AI$720,MATCH(U$1,'Tillförd energi'!$B$1:$AQ$1,0),FALSE)</f>
        <v>0</v>
      </c>
      <c r="V14" s="121">
        <f>VLOOKUP($B14,'Tillförd energi'!$B$1:$AI$720,MATCH(V$1,'Tillförd energi'!$B$1:$AQ$1,0),FALSE)</f>
        <v>0</v>
      </c>
      <c r="W14" s="121">
        <f>VLOOKUP($B14,'Tillförd energi'!$B$1:$AI$720,MATCH(W$1,'Tillförd energi'!$B$1:$AQ$1,0),FALSE)</f>
        <v>0</v>
      </c>
      <c r="X14" s="121">
        <f>VLOOKUP($B14,'Tillförd energi'!$B$1:$AI$720,MATCH(X$1,'Tillförd energi'!$B$1:$AQ$1,0),FALSE)</f>
        <v>0</v>
      </c>
      <c r="Y14" s="121">
        <f>VLOOKUP($B14,'Tillförd energi'!$B$1:$AI$720,MATCH(Y$1,'Tillförd energi'!$B$1:$AQ$1,0),FALSE)</f>
        <v>0</v>
      </c>
      <c r="Z14" s="121">
        <f>VLOOKUP($B14,'Tillförd energi'!$B$1:$AI$720,MATCH(Z$1,'Tillförd energi'!$B$1:$AQ$1,0),FALSE)</f>
        <v>0</v>
      </c>
      <c r="AA14" s="121">
        <f>VLOOKUP($B14,'Tillförd energi'!$B$1:$AI$720,MATCH(AA$1,'Tillförd energi'!$B$1:$AQ$1,0),FALSE)</f>
        <v>0</v>
      </c>
      <c r="AB14" s="121">
        <f>VLOOKUP($B14,'Tillförd energi'!$B$1:$AI$720,MATCH(AB$1,'Tillförd energi'!$B$1:$AQ$1,0),FALSE)</f>
        <v>0</v>
      </c>
      <c r="AC14" s="121">
        <f>VLOOKUP($B14,'Tillförd energi'!$B$1:$AI$720,MATCH(AC$1,'Tillförd energi'!$B$1:$AQ$1,0),FALSE)</f>
        <v>0</v>
      </c>
      <c r="AD14" s="121">
        <f>VLOOKUP($B14,'Tillförd energi'!$B$1:$AI$720,MATCH(AD$1,'Tillförd energi'!$B$1:$AQ$1,0),FALSE)</f>
        <v>0</v>
      </c>
      <c r="AE14" s="121">
        <f>VLOOKUP($B14,'Tillförd energi'!$B$1:$AI$720,MATCH(AE$1,'Tillförd energi'!$B$1:$AQ$1,0),FALSE)</f>
        <v>0</v>
      </c>
      <c r="AF14" s="121">
        <f>VLOOKUP($B14,'Tillförd energi'!$B$1:$AI$720,MATCH(AF$1,'Tillförd energi'!$B$1:$AQ$1,0),FALSE)</f>
        <v>0.1</v>
      </c>
      <c r="AG14" s="121">
        <f>IFERROR(VLOOKUP(B14,Miljö!$B$1:$AC$550,MATCH("Köpt mängd produktionsspecifik fjärrvärme:",Miljö!$B$1:$AC$1,0),FALSE)/1,0)</f>
        <v>0</v>
      </c>
      <c r="AH14" s="121"/>
      <c r="AI14" s="121">
        <f t="shared" si="0"/>
        <v>9.3000000000000007</v>
      </c>
      <c r="AJ14" s="121">
        <f t="shared" si="1"/>
        <v>9.3000000000000007</v>
      </c>
      <c r="AK14" s="121">
        <f>IF(ISERROR(1/VLOOKUP($B14,Leveranser!$B$1:$S$499,MATCH("såld värme (gwh)",Leveranser!$B$1:$S$1,0),FALSE)),"",VLOOKUP($B14,Leveranser!$B$1:$S$499,MATCH("såld värme (gwh)",Leveranser!$B$1:$S$1,0),FALSE))</f>
        <v>5.4</v>
      </c>
      <c r="AL14" s="121">
        <f>VLOOKUP($B14,Leveranser!$B$1:$Y$499,MATCH("Totalt såld fjärrvärme till andra fjärrvärmeföretag",Leveranser!$B$1:$AA$1,0),FALSE)</f>
        <v>0</v>
      </c>
      <c r="AM14" s="121">
        <f>IF(ISERROR(1/VLOOKUP($B14,Miljö!$B$1:$S$500,MATCH("Såld mängd produktionsspecifik fjärrvärme (GWh)",Miljö!$B$1:$R$1,0),FALSE)),0,VLOOKUP($B14,Miljö!$B$1:$S$500,MATCH("Såld mängd produktionsspecifik fjärrvärme (GWh)",Miljö!$B$1:$R$1,0),FALSE))</f>
        <v>0</v>
      </c>
      <c r="AN14" s="172">
        <f t="shared" si="2"/>
        <v>0.58064516129032262</v>
      </c>
      <c r="AO14" s="121"/>
      <c r="AP14" s="121" t="str">
        <f>IFERROR(VLOOKUP($B14,Miljövärden!$B$2:$H$550,7,FALSE),"Nej, saknas")</f>
        <v>Ja</v>
      </c>
      <c r="AQ14" s="121" t="str">
        <f>IFERROR(VLOOKUP($B14,Miljövärden!$B$2:$H$550,6,FALSE),"Nej, saknas")</f>
        <v>Ja</v>
      </c>
      <c r="AU14">
        <f t="shared" si="3"/>
        <v>0.1</v>
      </c>
      <c r="AV14">
        <f t="shared" si="4"/>
        <v>0</v>
      </c>
      <c r="AW14">
        <f t="shared" si="5"/>
        <v>8.4</v>
      </c>
      <c r="AX14">
        <f t="shared" si="6"/>
        <v>0</v>
      </c>
      <c r="AZ14">
        <f t="shared" si="7"/>
        <v>8.4</v>
      </c>
      <c r="BC14">
        <f t="shared" si="8"/>
        <v>0.8</v>
      </c>
      <c r="BD14">
        <f t="shared" si="9"/>
        <v>0</v>
      </c>
      <c r="BE14">
        <f t="shared" si="10"/>
        <v>8.4</v>
      </c>
      <c r="BF14">
        <f t="shared" si="11"/>
        <v>0</v>
      </c>
      <c r="BG14">
        <f t="shared" si="12"/>
        <v>0.1</v>
      </c>
      <c r="BH14">
        <f>VLOOKUP(B14,Miljö!$B$1:$BX$482,MATCH("Fossilandel för ursprungspecificerad el ()",Miljö!$B$1:$I$1,0),FALSE)</f>
        <v>0</v>
      </c>
      <c r="BI14">
        <f>VLOOKUP(B14,Miljö!$B$1:$BX$482,MATCH("Kärnkraftsandel för ursprungsspecificerad el ()",Miljö!$B$1:$O$1,0),FALSE)</f>
        <v>0</v>
      </c>
      <c r="BJ14">
        <f t="shared" si="13"/>
        <v>0</v>
      </c>
      <c r="BK14" t="str">
        <f>VLOOKUP(B14,Miljö!$B$1:$O$482,MATCH("Fossil andel i procent (%)",Miljö!$B$1:$O$1,0),FALSE)</f>
        <v>ET</v>
      </c>
      <c r="BL14">
        <f t="shared" si="14"/>
        <v>9.3000000000000007</v>
      </c>
      <c r="BO14" s="18">
        <f t="shared" si="15"/>
        <v>8.6021505376344079E-2</v>
      </c>
      <c r="BP14" s="18">
        <f t="shared" si="16"/>
        <v>0</v>
      </c>
      <c r="BQ14" s="18">
        <f t="shared" si="17"/>
        <v>0.91397849462365588</v>
      </c>
      <c r="BR14" s="18">
        <f t="shared" si="18"/>
        <v>0</v>
      </c>
      <c r="BT14" s="27">
        <f t="shared" si="19"/>
        <v>1</v>
      </c>
      <c r="BW14" s="18">
        <f>IF(AP14="ja",VLOOKUP(B14,Miljövärden!$B$2:$H$550,MATCH("Total andel fossilt",Miljövärden!$B$2:$H$2,0),FALSE),"")</f>
        <v>8.6021500000000001E-2</v>
      </c>
      <c r="BZ14" s="28">
        <f t="shared" si="20"/>
        <v>-5.3763440782672589E-9</v>
      </c>
      <c r="CA14" s="28">
        <f t="shared" si="21"/>
        <v>0</v>
      </c>
    </row>
    <row r="15" spans="1:79" x14ac:dyDescent="0.25">
      <c r="A15" s="224" t="s">
        <v>200</v>
      </c>
      <c r="B15" s="210" t="s">
        <v>205</v>
      </c>
      <c r="C15" s="121">
        <f>VLOOKUP($B15,'Tillförd energi'!$B$1:$AI$720,MATCH(C$1,'Tillförd energi'!$B$1:$AQ$1,0),FALSE)</f>
        <v>0</v>
      </c>
      <c r="D15" s="121">
        <f>VLOOKUP($B15,'Tillförd energi'!$B$1:$AI$720,MATCH(D$1,'Tillförd energi'!$B$1:$AQ$1,0),FALSE)</f>
        <v>0.2</v>
      </c>
      <c r="E15" s="121">
        <f>VLOOKUP($B15,'Tillförd energi'!$B$1:$AI$720,MATCH(E$1,'Tillförd energi'!$B$1:$AQ$1,0),FALSE)</f>
        <v>0</v>
      </c>
      <c r="F15" s="121">
        <f>VLOOKUP($B15,'Tillförd energi'!$B$1:$AI$720,MATCH(F$1,'Tillförd energi'!$B$1:$AQ$1,0),FALSE)</f>
        <v>0</v>
      </c>
      <c r="G15" s="121">
        <f>VLOOKUP($B15,'Tillförd energi'!$B$1:$AI$720,MATCH(G$1,'Tillförd energi'!$B$1:$AQ$1,0),FALSE)</f>
        <v>0</v>
      </c>
      <c r="H15" s="121">
        <f>VLOOKUP($B15,'Tillförd energi'!$B$1:$AI$720,MATCH(H$1,'Tillförd energi'!$B$1:$AQ$1,0),FALSE)</f>
        <v>0</v>
      </c>
      <c r="I15" s="121">
        <f>VLOOKUP($B15,'Tillförd energi'!$B$1:$AI$720,MATCH(I$1,'Tillförd energi'!$B$1:$AQ$1,0),FALSE)</f>
        <v>0</v>
      </c>
      <c r="J15" s="121">
        <f>VLOOKUP($B15,'Tillförd energi'!$B$1:$AI$720,MATCH(J$1,'Tillförd energi'!$B$1:$AQ$1,0),FALSE)</f>
        <v>0</v>
      </c>
      <c r="K15" s="121">
        <f>VLOOKUP($B15,'Tillförd energi'!$B$1:$AI$720,MATCH(K$1,'Tillförd energi'!$B$1:$AQ$1,0),FALSE)</f>
        <v>0</v>
      </c>
      <c r="L15" s="121">
        <f>VLOOKUP($B15,'Tillförd energi'!$B$1:$AI$720,MATCH(L$1,'Tillförd energi'!$B$1:$AQ$1,0),FALSE)</f>
        <v>0</v>
      </c>
      <c r="M15" s="121">
        <f>VLOOKUP($B15,'Tillförd energi'!$B$1:$AI$720,MATCH(M$1,'Tillförd energi'!$B$1:$AQ$1,0),FALSE)</f>
        <v>5.9</v>
      </c>
      <c r="N15" s="121">
        <f>VLOOKUP($B15,'Tillförd energi'!$B$1:$AI$720,MATCH(N$1,'Tillförd energi'!$B$1:$AQ$1,0),FALSE)</f>
        <v>0</v>
      </c>
      <c r="O15" s="121">
        <f>VLOOKUP($B15,'Tillförd energi'!$B$1:$AI$720,MATCH(O$1,'Tillförd energi'!$B$1:$AQ$1,0),FALSE)</f>
        <v>0</v>
      </c>
      <c r="P15" s="121">
        <f>VLOOKUP($B15,'Tillförd energi'!$B$1:$AI$720,MATCH(P$1,'Tillförd energi'!$B$1:$AQ$1,0),FALSE)</f>
        <v>5.9</v>
      </c>
      <c r="Q15" s="121">
        <f>VLOOKUP($B15,'Tillförd energi'!$B$1:$AI$720,MATCH(Q$1,'Tillförd energi'!$B$1:$AQ$1,0),FALSE)</f>
        <v>0</v>
      </c>
      <c r="R15" s="121">
        <f>VLOOKUP($B15,'Tillförd energi'!$B$1:$AI$720,MATCH(R$1,'Tillförd energi'!$B$1:$AQ$1,0),FALSE)</f>
        <v>0</v>
      </c>
      <c r="S15" s="121">
        <f>VLOOKUP($B15,'Tillförd energi'!$B$1:$AI$720,MATCH(S$1,'Tillförd energi'!$B$1:$AQ$1,0),FALSE)</f>
        <v>0</v>
      </c>
      <c r="T15" s="121">
        <f>VLOOKUP($B15,'Tillförd energi'!$B$1:$AI$720,MATCH(T$1,'Tillförd energi'!$B$1:$AQ$1,0),FALSE)</f>
        <v>0</v>
      </c>
      <c r="U15" s="121">
        <f>VLOOKUP($B15,'Tillförd energi'!$B$1:$AI$720,MATCH(U$1,'Tillförd energi'!$B$1:$AQ$1,0),FALSE)</f>
        <v>0</v>
      </c>
      <c r="V15" s="121">
        <f>VLOOKUP($B15,'Tillförd energi'!$B$1:$AI$720,MATCH(V$1,'Tillförd energi'!$B$1:$AQ$1,0),FALSE)</f>
        <v>0</v>
      </c>
      <c r="W15" s="121">
        <f>VLOOKUP($B15,'Tillförd energi'!$B$1:$AI$720,MATCH(W$1,'Tillförd energi'!$B$1:$AQ$1,0),FALSE)</f>
        <v>0</v>
      </c>
      <c r="X15" s="121">
        <f>VLOOKUP($B15,'Tillförd energi'!$B$1:$AI$720,MATCH(X$1,'Tillförd energi'!$B$1:$AQ$1,0),FALSE)</f>
        <v>0</v>
      </c>
      <c r="Y15" s="121">
        <f>VLOOKUP($B15,'Tillförd energi'!$B$1:$AI$720,MATCH(Y$1,'Tillförd energi'!$B$1:$AQ$1,0),FALSE)</f>
        <v>0</v>
      </c>
      <c r="Z15" s="121">
        <f>VLOOKUP($B15,'Tillförd energi'!$B$1:$AI$720,MATCH(Z$1,'Tillförd energi'!$B$1:$AQ$1,0),FALSE)</f>
        <v>0</v>
      </c>
      <c r="AA15" s="121">
        <f>VLOOKUP($B15,'Tillförd energi'!$B$1:$AI$720,MATCH(AA$1,'Tillförd energi'!$B$1:$AQ$1,0),FALSE)</f>
        <v>0</v>
      </c>
      <c r="AB15" s="121">
        <f>VLOOKUP($B15,'Tillförd energi'!$B$1:$AI$720,MATCH(AB$1,'Tillförd energi'!$B$1:$AQ$1,0),FALSE)</f>
        <v>0</v>
      </c>
      <c r="AC15" s="121">
        <f>VLOOKUP($B15,'Tillförd energi'!$B$1:$AI$720,MATCH(AC$1,'Tillförd energi'!$B$1:$AQ$1,0),FALSE)</f>
        <v>0</v>
      </c>
      <c r="AD15" s="121">
        <f>VLOOKUP($B15,'Tillförd energi'!$B$1:$AI$720,MATCH(AD$1,'Tillförd energi'!$B$1:$AQ$1,0),FALSE)</f>
        <v>0</v>
      </c>
      <c r="AE15" s="121">
        <f>VLOOKUP($B15,'Tillförd energi'!$B$1:$AI$720,MATCH(AE$1,'Tillförd energi'!$B$1:$AQ$1,0),FALSE)</f>
        <v>0</v>
      </c>
      <c r="AF15" s="121">
        <f>VLOOKUP($B15,'Tillförd energi'!$B$1:$AI$720,MATCH(AF$1,'Tillförd energi'!$B$1:$AQ$1,0),FALSE)</f>
        <v>0.1</v>
      </c>
      <c r="AG15" s="121">
        <f>IFERROR(VLOOKUP(B15,Miljö!$B$1:$AC$550,MATCH("Köpt mängd produktionsspecifik fjärrvärme:",Miljö!$B$1:$AC$1,0),FALSE)/1,0)</f>
        <v>0</v>
      </c>
      <c r="AH15" s="121"/>
      <c r="AI15" s="121">
        <f t="shared" si="0"/>
        <v>12.1</v>
      </c>
      <c r="AJ15" s="121">
        <f t="shared" si="1"/>
        <v>12.1</v>
      </c>
      <c r="AK15" s="121">
        <f>IF(ISERROR(1/VLOOKUP($B15,Leveranser!$B$1:$S$499,MATCH("såld värme (gwh)",Leveranser!$B$1:$S$1,0),FALSE)),"",VLOOKUP($B15,Leveranser!$B$1:$S$499,MATCH("såld värme (gwh)",Leveranser!$B$1:$S$1,0),FALSE))</f>
        <v>7.8</v>
      </c>
      <c r="AL15" s="121">
        <f>VLOOKUP($B15,Leveranser!$B$1:$Y$499,MATCH("Totalt såld fjärrvärme till andra fjärrvärmeföretag",Leveranser!$B$1:$AA$1,0),FALSE)</f>
        <v>0</v>
      </c>
      <c r="AM15" s="121">
        <f>IF(ISERROR(1/VLOOKUP($B15,Miljö!$B$1:$S$500,MATCH("Såld mängd produktionsspecifik fjärrvärme (GWh)",Miljö!$B$1:$R$1,0),FALSE)),0,VLOOKUP($B15,Miljö!$B$1:$S$500,MATCH("Såld mängd produktionsspecifik fjärrvärme (GWh)",Miljö!$B$1:$R$1,0),FALSE))</f>
        <v>0</v>
      </c>
      <c r="AN15" s="172">
        <f t="shared" si="2"/>
        <v>0.64462809917355368</v>
      </c>
      <c r="AO15" s="121"/>
      <c r="AP15" s="121" t="str">
        <f>IFERROR(VLOOKUP($B15,Miljövärden!$B$2:$H$550,7,FALSE),"Nej, saknas")</f>
        <v>Ja</v>
      </c>
      <c r="AQ15" s="121" t="str">
        <f>IFERROR(VLOOKUP($B15,Miljövärden!$B$2:$H$550,6,FALSE),"Nej, saknas")</f>
        <v>Ja</v>
      </c>
      <c r="AU15">
        <f t="shared" si="3"/>
        <v>0.1</v>
      </c>
      <c r="AV15">
        <f t="shared" si="4"/>
        <v>0</v>
      </c>
      <c r="AW15">
        <f t="shared" si="5"/>
        <v>11.8</v>
      </c>
      <c r="AX15">
        <f t="shared" si="6"/>
        <v>0</v>
      </c>
      <c r="AZ15">
        <f t="shared" si="7"/>
        <v>11.8</v>
      </c>
      <c r="BC15">
        <f t="shared" si="8"/>
        <v>0.2</v>
      </c>
      <c r="BD15">
        <f t="shared" si="9"/>
        <v>0</v>
      </c>
      <c r="BE15">
        <f t="shared" si="10"/>
        <v>11.8</v>
      </c>
      <c r="BF15">
        <f t="shared" si="11"/>
        <v>0</v>
      </c>
      <c r="BG15">
        <f t="shared" si="12"/>
        <v>0.1</v>
      </c>
      <c r="BH15">
        <f>VLOOKUP(B15,Miljö!$B$1:$BX$482,MATCH("Fossilandel för ursprungspecificerad el ()",Miljö!$B$1:$I$1,0),FALSE)</f>
        <v>0</v>
      </c>
      <c r="BI15">
        <f>VLOOKUP(B15,Miljö!$B$1:$BX$482,MATCH("Kärnkraftsandel för ursprungsspecificerad el ()",Miljö!$B$1:$O$1,0),FALSE)</f>
        <v>0</v>
      </c>
      <c r="BJ15">
        <f t="shared" si="13"/>
        <v>0</v>
      </c>
      <c r="BK15" t="str">
        <f>VLOOKUP(B15,Miljö!$B$1:$O$482,MATCH("Fossil andel i procent (%)",Miljö!$B$1:$O$1,0),FALSE)</f>
        <v>ET</v>
      </c>
      <c r="BL15">
        <f t="shared" si="14"/>
        <v>12.1</v>
      </c>
      <c r="BO15" s="18">
        <f t="shared" si="15"/>
        <v>1.6528925619834711E-2</v>
      </c>
      <c r="BP15" s="18">
        <f t="shared" si="16"/>
        <v>0</v>
      </c>
      <c r="BQ15" s="18">
        <f t="shared" si="17"/>
        <v>0.98347107438016534</v>
      </c>
      <c r="BR15" s="18">
        <f t="shared" si="18"/>
        <v>0</v>
      </c>
      <c r="BT15" s="27">
        <f t="shared" si="19"/>
        <v>1</v>
      </c>
      <c r="BW15" s="18">
        <f>IF(AP15="ja",VLOOKUP(B15,Miljövärden!$B$2:$H$550,MATCH("Total andel fossilt",Miljövärden!$B$2:$H$2,0),FALSE),"")</f>
        <v>1.6528899999999999E-2</v>
      </c>
      <c r="BZ15" s="28">
        <f t="shared" si="20"/>
        <v>-2.5619834712053979E-8</v>
      </c>
      <c r="CA15" s="28">
        <f t="shared" si="21"/>
        <v>0</v>
      </c>
    </row>
    <row r="16" spans="1:79" x14ac:dyDescent="0.25">
      <c r="A16" s="224" t="s">
        <v>200</v>
      </c>
      <c r="B16" s="210" t="s">
        <v>206</v>
      </c>
      <c r="C16" s="121">
        <f>VLOOKUP($B16,'Tillförd energi'!$B$1:$AI$720,MATCH(C$1,'Tillförd energi'!$B$1:$AQ$1,0),FALSE)</f>
        <v>0</v>
      </c>
      <c r="D16" s="121">
        <f>VLOOKUP($B16,'Tillförd energi'!$B$1:$AI$720,MATCH(D$1,'Tillförd energi'!$B$1:$AQ$1,0),FALSE)</f>
        <v>0.22</v>
      </c>
      <c r="E16" s="121">
        <f>VLOOKUP($B16,'Tillförd energi'!$B$1:$AI$720,MATCH(E$1,'Tillförd energi'!$B$1:$AQ$1,0),FALSE)</f>
        <v>0</v>
      </c>
      <c r="F16" s="121">
        <f>VLOOKUP($B16,'Tillförd energi'!$B$1:$AI$720,MATCH(F$1,'Tillförd energi'!$B$1:$AQ$1,0),FALSE)</f>
        <v>0</v>
      </c>
      <c r="G16" s="121">
        <f>VLOOKUP($B16,'Tillförd energi'!$B$1:$AI$720,MATCH(G$1,'Tillförd energi'!$B$1:$AQ$1,0),FALSE)</f>
        <v>0</v>
      </c>
      <c r="H16" s="121">
        <f>VLOOKUP($B16,'Tillförd energi'!$B$1:$AI$720,MATCH(H$1,'Tillförd energi'!$B$1:$AQ$1,0),FALSE)</f>
        <v>0</v>
      </c>
      <c r="I16" s="121">
        <f>VLOOKUP($B16,'Tillförd energi'!$B$1:$AI$720,MATCH(I$1,'Tillförd energi'!$B$1:$AQ$1,0),FALSE)</f>
        <v>0</v>
      </c>
      <c r="J16" s="121">
        <f>VLOOKUP($B16,'Tillförd energi'!$B$1:$AI$720,MATCH(J$1,'Tillförd energi'!$B$1:$AQ$1,0),FALSE)</f>
        <v>0</v>
      </c>
      <c r="K16" s="121">
        <f>VLOOKUP($B16,'Tillförd energi'!$B$1:$AI$720,MATCH(K$1,'Tillförd energi'!$B$1:$AQ$1,0),FALSE)</f>
        <v>0</v>
      </c>
      <c r="L16" s="121">
        <f>VLOOKUP($B16,'Tillförd energi'!$B$1:$AI$720,MATCH(L$1,'Tillförd energi'!$B$1:$AQ$1,0),FALSE)</f>
        <v>0</v>
      </c>
      <c r="M16" s="121">
        <f>VLOOKUP($B16,'Tillförd energi'!$B$1:$AI$720,MATCH(M$1,'Tillförd energi'!$B$1:$AQ$1,0),FALSE)</f>
        <v>17.3</v>
      </c>
      <c r="N16" s="121">
        <f>VLOOKUP($B16,'Tillförd energi'!$B$1:$AI$720,MATCH(N$1,'Tillförd energi'!$B$1:$AQ$1,0),FALSE)</f>
        <v>0</v>
      </c>
      <c r="O16" s="121">
        <f>VLOOKUP($B16,'Tillförd energi'!$B$1:$AI$720,MATCH(O$1,'Tillförd energi'!$B$1:$AQ$1,0),FALSE)</f>
        <v>0</v>
      </c>
      <c r="P16" s="121">
        <f>VLOOKUP($B16,'Tillförd energi'!$B$1:$AI$720,MATCH(P$1,'Tillförd energi'!$B$1:$AQ$1,0),FALSE)</f>
        <v>4.5</v>
      </c>
      <c r="Q16" s="121">
        <f>VLOOKUP($B16,'Tillförd energi'!$B$1:$AI$720,MATCH(Q$1,'Tillförd energi'!$B$1:$AQ$1,0),FALSE)</f>
        <v>0</v>
      </c>
      <c r="R16" s="121">
        <f>VLOOKUP($B16,'Tillförd energi'!$B$1:$AI$720,MATCH(R$1,'Tillförd energi'!$B$1:$AQ$1,0),FALSE)</f>
        <v>0</v>
      </c>
      <c r="S16" s="121">
        <f>VLOOKUP($B16,'Tillförd energi'!$B$1:$AI$720,MATCH(S$1,'Tillförd energi'!$B$1:$AQ$1,0),FALSE)</f>
        <v>0</v>
      </c>
      <c r="T16" s="121">
        <f>VLOOKUP($B16,'Tillförd energi'!$B$1:$AI$720,MATCH(T$1,'Tillförd energi'!$B$1:$AQ$1,0),FALSE)</f>
        <v>0</v>
      </c>
      <c r="U16" s="121">
        <f>VLOOKUP($B16,'Tillförd energi'!$B$1:$AI$720,MATCH(U$1,'Tillförd energi'!$B$1:$AQ$1,0),FALSE)</f>
        <v>0</v>
      </c>
      <c r="V16" s="121">
        <f>VLOOKUP($B16,'Tillförd energi'!$B$1:$AI$720,MATCH(V$1,'Tillförd energi'!$B$1:$AQ$1,0),FALSE)</f>
        <v>0</v>
      </c>
      <c r="W16" s="121">
        <f>VLOOKUP($B16,'Tillförd energi'!$B$1:$AI$720,MATCH(W$1,'Tillförd energi'!$B$1:$AQ$1,0),FALSE)</f>
        <v>0</v>
      </c>
      <c r="X16" s="121">
        <f>VLOOKUP($B16,'Tillförd energi'!$B$1:$AI$720,MATCH(X$1,'Tillförd energi'!$B$1:$AQ$1,0),FALSE)</f>
        <v>0</v>
      </c>
      <c r="Y16" s="121">
        <f>VLOOKUP($B16,'Tillförd energi'!$B$1:$AI$720,MATCH(Y$1,'Tillförd energi'!$B$1:$AQ$1,0),FALSE)</f>
        <v>0</v>
      </c>
      <c r="Z16" s="121">
        <f>VLOOKUP($B16,'Tillförd energi'!$B$1:$AI$720,MATCH(Z$1,'Tillförd energi'!$B$1:$AQ$1,0),FALSE)</f>
        <v>0</v>
      </c>
      <c r="AA16" s="121">
        <f>VLOOKUP($B16,'Tillförd energi'!$B$1:$AI$720,MATCH(AA$1,'Tillförd energi'!$B$1:$AQ$1,0),FALSE)</f>
        <v>0</v>
      </c>
      <c r="AB16" s="121">
        <f>VLOOKUP($B16,'Tillförd energi'!$B$1:$AI$720,MATCH(AB$1,'Tillförd energi'!$B$1:$AQ$1,0),FALSE)</f>
        <v>0</v>
      </c>
      <c r="AC16" s="121">
        <f>VLOOKUP($B16,'Tillförd energi'!$B$1:$AI$720,MATCH(AC$1,'Tillförd energi'!$B$1:$AQ$1,0),FALSE)</f>
        <v>0</v>
      </c>
      <c r="AD16" s="121">
        <f>VLOOKUP($B16,'Tillförd energi'!$B$1:$AI$720,MATCH(AD$1,'Tillförd energi'!$B$1:$AQ$1,0),FALSE)</f>
        <v>0</v>
      </c>
      <c r="AE16" s="121">
        <f>VLOOKUP($B16,'Tillförd energi'!$B$1:$AI$720,MATCH(AE$1,'Tillförd energi'!$B$1:$AQ$1,0),FALSE)</f>
        <v>0</v>
      </c>
      <c r="AF16" s="121">
        <f>VLOOKUP($B16,'Tillförd energi'!$B$1:$AI$720,MATCH(AF$1,'Tillförd energi'!$B$1:$AQ$1,0),FALSE)</f>
        <v>0.4</v>
      </c>
      <c r="AG16" s="121">
        <f>IFERROR(VLOOKUP(B16,Miljö!$B$1:$AC$550,MATCH("Köpt mängd produktionsspecifik fjärrvärme:",Miljö!$B$1:$AC$1,0),FALSE)/1,0)</f>
        <v>0</v>
      </c>
      <c r="AH16" s="121"/>
      <c r="AI16" s="121">
        <f t="shared" si="0"/>
        <v>22.419999999999998</v>
      </c>
      <c r="AJ16" s="121">
        <f t="shared" si="1"/>
        <v>22.419999999999998</v>
      </c>
      <c r="AK16" s="121">
        <f>IF(ISERROR(1/VLOOKUP($B16,Leveranser!$B$1:$S$499,MATCH("såld värme (gwh)",Leveranser!$B$1:$S$1,0),FALSE)),"",VLOOKUP($B16,Leveranser!$B$1:$S$499,MATCH("såld värme (gwh)",Leveranser!$B$1:$S$1,0),FALSE))</f>
        <v>15.7</v>
      </c>
      <c r="AL16" s="121">
        <f>VLOOKUP($B16,Leveranser!$B$1:$Y$499,MATCH("Totalt såld fjärrvärme till andra fjärrvärmeföretag",Leveranser!$B$1:$AA$1,0),FALSE)</f>
        <v>0</v>
      </c>
      <c r="AM16" s="121">
        <f>IF(ISERROR(1/VLOOKUP($B16,Miljö!$B$1:$S$500,MATCH("Såld mängd produktionsspecifik fjärrvärme (GWh)",Miljö!$B$1:$R$1,0),FALSE)),0,VLOOKUP($B16,Miljö!$B$1:$S$500,MATCH("Såld mängd produktionsspecifik fjärrvärme (GWh)",Miljö!$B$1:$R$1,0),FALSE))</f>
        <v>0</v>
      </c>
      <c r="AN16" s="172">
        <f t="shared" si="2"/>
        <v>0.70026761819803751</v>
      </c>
      <c r="AO16" s="121"/>
      <c r="AP16" s="121" t="str">
        <f>IFERROR(VLOOKUP($B16,Miljövärden!$B$2:$H$550,7,FALSE),"Nej, saknas")</f>
        <v>Ja</v>
      </c>
      <c r="AQ16" s="121" t="str">
        <f>IFERROR(VLOOKUP($B16,Miljövärden!$B$2:$H$550,6,FALSE),"Nej, saknas")</f>
        <v>Ja</v>
      </c>
      <c r="AU16">
        <f t="shared" si="3"/>
        <v>0.4</v>
      </c>
      <c r="AV16">
        <f t="shared" si="4"/>
        <v>0</v>
      </c>
      <c r="AW16">
        <f t="shared" si="5"/>
        <v>21.8</v>
      </c>
      <c r="AX16">
        <f t="shared" si="6"/>
        <v>0</v>
      </c>
      <c r="AZ16">
        <f t="shared" si="7"/>
        <v>21.8</v>
      </c>
      <c r="BC16">
        <f t="shared" si="8"/>
        <v>0.22</v>
      </c>
      <c r="BD16">
        <f t="shared" si="9"/>
        <v>0</v>
      </c>
      <c r="BE16">
        <f t="shared" si="10"/>
        <v>21.8</v>
      </c>
      <c r="BF16">
        <f t="shared" si="11"/>
        <v>0</v>
      </c>
      <c r="BG16">
        <f t="shared" si="12"/>
        <v>0.4</v>
      </c>
      <c r="BH16">
        <f>VLOOKUP(B16,Miljö!$B$1:$BX$482,MATCH("Fossilandel för ursprungspecificerad el ()",Miljö!$B$1:$I$1,0),FALSE)</f>
        <v>0</v>
      </c>
      <c r="BI16">
        <f>VLOOKUP(B16,Miljö!$B$1:$BX$482,MATCH("Kärnkraftsandel för ursprungsspecificerad el ()",Miljö!$B$1:$O$1,0),FALSE)</f>
        <v>0</v>
      </c>
      <c r="BJ16">
        <f t="shared" si="13"/>
        <v>0</v>
      </c>
      <c r="BK16" t="str">
        <f>VLOOKUP(B16,Miljö!$B$1:$O$482,MATCH("Fossil andel i procent (%)",Miljö!$B$1:$O$1,0),FALSE)</f>
        <v>ET</v>
      </c>
      <c r="BL16">
        <f t="shared" si="14"/>
        <v>22.419999999999998</v>
      </c>
      <c r="BO16" s="18">
        <f t="shared" si="15"/>
        <v>9.8126672613737739E-3</v>
      </c>
      <c r="BP16" s="18">
        <f t="shared" si="16"/>
        <v>0</v>
      </c>
      <c r="BQ16" s="18">
        <f t="shared" si="17"/>
        <v>0.99018733273862625</v>
      </c>
      <c r="BR16" s="18">
        <f t="shared" si="18"/>
        <v>0</v>
      </c>
      <c r="BT16" s="27">
        <f t="shared" si="19"/>
        <v>1</v>
      </c>
      <c r="BW16" s="18">
        <f>IF(AP16="ja",VLOOKUP(B16,Miljövärden!$B$2:$H$550,MATCH("Total andel fossilt",Miljövärden!$B$2:$H$2,0),FALSE),"")</f>
        <v>9.8126700000000008E-3</v>
      </c>
      <c r="BZ16" s="28">
        <f t="shared" si="20"/>
        <v>2.7386262268364048E-9</v>
      </c>
      <c r="CA16" s="28">
        <f t="shared" si="21"/>
        <v>0</v>
      </c>
    </row>
    <row r="17" spans="1:79" x14ac:dyDescent="0.25">
      <c r="A17" s="224" t="s">
        <v>200</v>
      </c>
      <c r="B17" s="210" t="s">
        <v>207</v>
      </c>
      <c r="C17" s="121">
        <f>VLOOKUP($B17,'Tillförd energi'!$B$1:$AI$720,MATCH(C$1,'Tillförd energi'!$B$1:$AQ$1,0),FALSE)</f>
        <v>0</v>
      </c>
      <c r="D17" s="121">
        <f>VLOOKUP($B17,'Tillförd energi'!$B$1:$AI$720,MATCH(D$1,'Tillförd energi'!$B$1:$AQ$1,0),FALSE)</f>
        <v>0.8</v>
      </c>
      <c r="E17" s="121">
        <f>VLOOKUP($B17,'Tillförd energi'!$B$1:$AI$720,MATCH(E$1,'Tillförd energi'!$B$1:$AQ$1,0),FALSE)</f>
        <v>0</v>
      </c>
      <c r="F17" s="121">
        <f>VLOOKUP($B17,'Tillförd energi'!$B$1:$AI$720,MATCH(F$1,'Tillförd energi'!$B$1:$AQ$1,0),FALSE)</f>
        <v>0</v>
      </c>
      <c r="G17" s="121">
        <f>VLOOKUP($B17,'Tillförd energi'!$B$1:$AI$720,MATCH(G$1,'Tillförd energi'!$B$1:$AQ$1,0),FALSE)</f>
        <v>0</v>
      </c>
      <c r="H17" s="121">
        <f>VLOOKUP($B17,'Tillförd energi'!$B$1:$AI$720,MATCH(H$1,'Tillförd energi'!$B$1:$AQ$1,0),FALSE)</f>
        <v>0</v>
      </c>
      <c r="I17" s="121">
        <f>VLOOKUP($B17,'Tillförd energi'!$B$1:$AI$720,MATCH(I$1,'Tillförd energi'!$B$1:$AQ$1,0),FALSE)</f>
        <v>0</v>
      </c>
      <c r="J17" s="121">
        <f>VLOOKUP($B17,'Tillförd energi'!$B$1:$AI$720,MATCH(J$1,'Tillförd energi'!$B$1:$AQ$1,0),FALSE)</f>
        <v>0</v>
      </c>
      <c r="K17" s="121">
        <f>VLOOKUP($B17,'Tillförd energi'!$B$1:$AI$720,MATCH(K$1,'Tillförd energi'!$B$1:$AQ$1,0),FALSE)</f>
        <v>0</v>
      </c>
      <c r="L17" s="121">
        <f>VLOOKUP($B17,'Tillförd energi'!$B$1:$AI$720,MATCH(L$1,'Tillförd energi'!$B$1:$AQ$1,0),FALSE)</f>
        <v>0</v>
      </c>
      <c r="M17" s="121">
        <f>VLOOKUP($B17,'Tillförd energi'!$B$1:$AI$720,MATCH(M$1,'Tillförd energi'!$B$1:$AQ$1,0),FALSE)</f>
        <v>0</v>
      </c>
      <c r="N17" s="121">
        <f>VLOOKUP($B17,'Tillförd energi'!$B$1:$AI$720,MATCH(N$1,'Tillförd energi'!$B$1:$AQ$1,0),FALSE)</f>
        <v>0</v>
      </c>
      <c r="O17" s="121">
        <f>VLOOKUP($B17,'Tillförd energi'!$B$1:$AI$720,MATCH(O$1,'Tillförd energi'!$B$1:$AQ$1,0),FALSE)</f>
        <v>0</v>
      </c>
      <c r="P17" s="121">
        <f>VLOOKUP($B17,'Tillförd energi'!$B$1:$AI$720,MATCH(P$1,'Tillförd energi'!$B$1:$AQ$1,0),FALSE)</f>
        <v>0</v>
      </c>
      <c r="Q17" s="121">
        <f>VLOOKUP($B17,'Tillförd energi'!$B$1:$AI$720,MATCH(Q$1,'Tillförd energi'!$B$1:$AQ$1,0),FALSE)</f>
        <v>0</v>
      </c>
      <c r="R17" s="121">
        <f>VLOOKUP($B17,'Tillförd energi'!$B$1:$AI$720,MATCH(R$1,'Tillförd energi'!$B$1:$AQ$1,0),FALSE)</f>
        <v>4.2</v>
      </c>
      <c r="S17" s="121">
        <f>VLOOKUP($B17,'Tillförd energi'!$B$1:$AI$720,MATCH(S$1,'Tillförd energi'!$B$1:$AQ$1,0),FALSE)</f>
        <v>0</v>
      </c>
      <c r="T17" s="121">
        <f>VLOOKUP($B17,'Tillförd energi'!$B$1:$AI$720,MATCH(T$1,'Tillförd energi'!$B$1:$AQ$1,0),FALSE)</f>
        <v>0</v>
      </c>
      <c r="U17" s="121">
        <f>VLOOKUP($B17,'Tillförd energi'!$B$1:$AI$720,MATCH(U$1,'Tillförd energi'!$B$1:$AQ$1,0),FALSE)</f>
        <v>0</v>
      </c>
      <c r="V17" s="121">
        <f>VLOOKUP($B17,'Tillförd energi'!$B$1:$AI$720,MATCH(V$1,'Tillförd energi'!$B$1:$AQ$1,0),FALSE)</f>
        <v>0</v>
      </c>
      <c r="W17" s="121">
        <f>VLOOKUP($B17,'Tillförd energi'!$B$1:$AI$720,MATCH(W$1,'Tillförd energi'!$B$1:$AQ$1,0),FALSE)</f>
        <v>0</v>
      </c>
      <c r="X17" s="121">
        <f>VLOOKUP($B17,'Tillförd energi'!$B$1:$AI$720,MATCH(X$1,'Tillförd energi'!$B$1:$AQ$1,0),FALSE)</f>
        <v>0</v>
      </c>
      <c r="Y17" s="121">
        <f>VLOOKUP($B17,'Tillförd energi'!$B$1:$AI$720,MATCH(Y$1,'Tillförd energi'!$B$1:$AQ$1,0),FALSE)</f>
        <v>0</v>
      </c>
      <c r="Z17" s="121">
        <f>VLOOKUP($B17,'Tillförd energi'!$B$1:$AI$720,MATCH(Z$1,'Tillförd energi'!$B$1:$AQ$1,0),FALSE)</f>
        <v>0</v>
      </c>
      <c r="AA17" s="121">
        <f>VLOOKUP($B17,'Tillförd energi'!$B$1:$AI$720,MATCH(AA$1,'Tillförd energi'!$B$1:$AQ$1,0),FALSE)</f>
        <v>0</v>
      </c>
      <c r="AB17" s="121">
        <f>VLOOKUP($B17,'Tillförd energi'!$B$1:$AI$720,MATCH(AB$1,'Tillförd energi'!$B$1:$AQ$1,0),FALSE)</f>
        <v>0</v>
      </c>
      <c r="AC17" s="121">
        <f>VLOOKUP($B17,'Tillförd energi'!$B$1:$AI$720,MATCH(AC$1,'Tillförd energi'!$B$1:$AQ$1,0),FALSE)</f>
        <v>0</v>
      </c>
      <c r="AD17" s="121">
        <f>VLOOKUP($B17,'Tillförd energi'!$B$1:$AI$720,MATCH(AD$1,'Tillförd energi'!$B$1:$AQ$1,0),FALSE)</f>
        <v>0</v>
      </c>
      <c r="AE17" s="121">
        <f>VLOOKUP($B17,'Tillförd energi'!$B$1:$AI$720,MATCH(AE$1,'Tillförd energi'!$B$1:$AQ$1,0),FALSE)</f>
        <v>0</v>
      </c>
      <c r="AF17" s="121">
        <f>VLOOKUP($B17,'Tillförd energi'!$B$1:$AI$720,MATCH(AF$1,'Tillförd energi'!$B$1:$AQ$1,0),FALSE)</f>
        <v>0.1</v>
      </c>
      <c r="AG17" s="121">
        <f>IFERROR(VLOOKUP(B17,Miljö!$B$1:$AC$550,MATCH("Köpt mängd produktionsspecifik fjärrvärme:",Miljö!$B$1:$AC$1,0),FALSE)/1,0)</f>
        <v>0</v>
      </c>
      <c r="AH17" s="121"/>
      <c r="AI17" s="121">
        <f t="shared" si="0"/>
        <v>5.0999999999999996</v>
      </c>
      <c r="AJ17" s="121">
        <f t="shared" si="1"/>
        <v>5.0999999999999996</v>
      </c>
      <c r="AK17" s="121">
        <f>IF(ISERROR(1/VLOOKUP($B17,Leveranser!$B$1:$S$499,MATCH("såld värme (gwh)",Leveranser!$B$1:$S$1,0),FALSE)),"",VLOOKUP($B17,Leveranser!$B$1:$S$499,MATCH("såld värme (gwh)",Leveranser!$B$1:$S$1,0),FALSE))</f>
        <v>4</v>
      </c>
      <c r="AL17" s="121">
        <f>VLOOKUP($B17,Leveranser!$B$1:$Y$499,MATCH("Totalt såld fjärrvärme till andra fjärrvärmeföretag",Leveranser!$B$1:$AA$1,0),FALSE)</f>
        <v>0</v>
      </c>
      <c r="AM17" s="121">
        <f>IF(ISERROR(1/VLOOKUP($B17,Miljö!$B$1:$S$500,MATCH("Såld mängd produktionsspecifik fjärrvärme (GWh)",Miljö!$B$1:$R$1,0),FALSE)),0,VLOOKUP($B17,Miljö!$B$1:$S$500,MATCH("Såld mängd produktionsspecifik fjärrvärme (GWh)",Miljö!$B$1:$R$1,0),FALSE))</f>
        <v>0</v>
      </c>
      <c r="AN17" s="172">
        <f t="shared" si="2"/>
        <v>0.78431372549019618</v>
      </c>
      <c r="AO17" s="121"/>
      <c r="AP17" s="121" t="str">
        <f>IFERROR(VLOOKUP($B17,Miljövärden!$B$2:$H$550,7,FALSE),"Nej, saknas")</f>
        <v>Ja</v>
      </c>
      <c r="AQ17" s="121" t="str">
        <f>IFERROR(VLOOKUP($B17,Miljövärden!$B$2:$H$550,6,FALSE),"Nej, saknas")</f>
        <v>Ja</v>
      </c>
      <c r="AU17">
        <f t="shared" si="3"/>
        <v>0.1</v>
      </c>
      <c r="AV17">
        <f t="shared" si="4"/>
        <v>0</v>
      </c>
      <c r="AW17">
        <f t="shared" si="5"/>
        <v>0</v>
      </c>
      <c r="AX17">
        <f t="shared" si="6"/>
        <v>4.2</v>
      </c>
      <c r="AZ17">
        <f t="shared" si="7"/>
        <v>4.2</v>
      </c>
      <c r="BC17">
        <f t="shared" si="8"/>
        <v>0.8</v>
      </c>
      <c r="BD17">
        <f t="shared" si="9"/>
        <v>0</v>
      </c>
      <c r="BE17">
        <f t="shared" si="10"/>
        <v>4.2</v>
      </c>
      <c r="BF17">
        <f t="shared" si="11"/>
        <v>0</v>
      </c>
      <c r="BG17">
        <f t="shared" si="12"/>
        <v>0.1</v>
      </c>
      <c r="BH17">
        <f>VLOOKUP(B17,Miljö!$B$1:$BX$482,MATCH("Fossilandel för ursprungspecificerad el ()",Miljö!$B$1:$I$1,0),FALSE)</f>
        <v>0</v>
      </c>
      <c r="BI17">
        <f>VLOOKUP(B17,Miljö!$B$1:$BX$482,MATCH("Kärnkraftsandel för ursprungsspecificerad el ()",Miljö!$B$1:$O$1,0),FALSE)</f>
        <v>0</v>
      </c>
      <c r="BJ17">
        <f t="shared" si="13"/>
        <v>0</v>
      </c>
      <c r="BK17" t="str">
        <f>VLOOKUP(B17,Miljö!$B$1:$O$482,MATCH("Fossil andel i procent (%)",Miljö!$B$1:$O$1,0),FALSE)</f>
        <v>ET</v>
      </c>
      <c r="BL17">
        <f t="shared" si="14"/>
        <v>5.0999999999999996</v>
      </c>
      <c r="BO17" s="18">
        <f t="shared" si="15"/>
        <v>0.15686274509803924</v>
      </c>
      <c r="BP17" s="18">
        <f t="shared" si="16"/>
        <v>0</v>
      </c>
      <c r="BQ17" s="18">
        <f t="shared" si="17"/>
        <v>0.84313725490196079</v>
      </c>
      <c r="BR17" s="18">
        <f t="shared" si="18"/>
        <v>0</v>
      </c>
      <c r="BT17" s="27">
        <f t="shared" si="19"/>
        <v>1</v>
      </c>
      <c r="BW17" s="18">
        <f>IF(AP17="ja",VLOOKUP(B17,Miljövärden!$B$2:$H$550,MATCH("Total andel fossilt",Miljövärden!$B$2:$H$2,0),FALSE),"")</f>
        <v>0.156863</v>
      </c>
      <c r="BZ17" s="28">
        <f t="shared" si="20"/>
        <v>2.5490196076116689E-7</v>
      </c>
      <c r="CA17" s="28">
        <f t="shared" si="21"/>
        <v>0</v>
      </c>
    </row>
    <row r="18" spans="1:79" x14ac:dyDescent="0.25">
      <c r="A18" s="224" t="s">
        <v>200</v>
      </c>
      <c r="B18" s="210" t="s">
        <v>208</v>
      </c>
      <c r="C18" s="121">
        <f>VLOOKUP($B18,'Tillförd energi'!$B$1:$AI$720,MATCH(C$1,'Tillförd energi'!$B$1:$AQ$1,0),FALSE)</f>
        <v>0</v>
      </c>
      <c r="D18" s="121">
        <f>VLOOKUP($B18,'Tillförd energi'!$B$1:$AI$720,MATCH(D$1,'Tillförd energi'!$B$1:$AQ$1,0),FALSE)</f>
        <v>0</v>
      </c>
      <c r="E18" s="121">
        <f>VLOOKUP($B18,'Tillförd energi'!$B$1:$AI$720,MATCH(E$1,'Tillförd energi'!$B$1:$AQ$1,0),FALSE)</f>
        <v>0</v>
      </c>
      <c r="F18" s="121">
        <f>VLOOKUP($B18,'Tillförd energi'!$B$1:$AI$720,MATCH(F$1,'Tillförd energi'!$B$1:$AQ$1,0),FALSE)</f>
        <v>0</v>
      </c>
      <c r="G18" s="121">
        <f>VLOOKUP($B18,'Tillförd energi'!$B$1:$AI$720,MATCH(G$1,'Tillförd energi'!$B$1:$AQ$1,0),FALSE)</f>
        <v>0</v>
      </c>
      <c r="H18" s="121">
        <f>VLOOKUP($B18,'Tillförd energi'!$B$1:$AI$720,MATCH(H$1,'Tillförd energi'!$B$1:$AQ$1,0),FALSE)</f>
        <v>0</v>
      </c>
      <c r="I18" s="121">
        <f>VLOOKUP($B18,'Tillförd energi'!$B$1:$AI$720,MATCH(I$1,'Tillförd energi'!$B$1:$AQ$1,0),FALSE)</f>
        <v>0</v>
      </c>
      <c r="J18" s="121">
        <f>VLOOKUP($B18,'Tillförd energi'!$B$1:$AI$720,MATCH(J$1,'Tillförd energi'!$B$1:$AQ$1,0),FALSE)</f>
        <v>0</v>
      </c>
      <c r="K18" s="121">
        <f>VLOOKUP($B18,'Tillförd energi'!$B$1:$AI$720,MATCH(K$1,'Tillförd energi'!$B$1:$AQ$1,0),FALSE)</f>
        <v>0</v>
      </c>
      <c r="L18" s="121">
        <f>VLOOKUP($B18,'Tillförd energi'!$B$1:$AI$720,MATCH(L$1,'Tillförd energi'!$B$1:$AQ$1,0),FALSE)</f>
        <v>0</v>
      </c>
      <c r="M18" s="121">
        <f>VLOOKUP($B18,'Tillförd energi'!$B$1:$AI$720,MATCH(M$1,'Tillförd energi'!$B$1:$AQ$1,0),FALSE)</f>
        <v>0</v>
      </c>
      <c r="N18" s="121">
        <f>VLOOKUP($B18,'Tillförd energi'!$B$1:$AI$720,MATCH(N$1,'Tillförd energi'!$B$1:$AQ$1,0),FALSE)</f>
        <v>0</v>
      </c>
      <c r="O18" s="121">
        <f>VLOOKUP($B18,'Tillförd energi'!$B$1:$AI$720,MATCH(O$1,'Tillförd energi'!$B$1:$AQ$1,0),FALSE)</f>
        <v>0</v>
      </c>
      <c r="P18" s="121">
        <f>VLOOKUP($B18,'Tillförd energi'!$B$1:$AI$720,MATCH(P$1,'Tillförd energi'!$B$1:$AQ$1,0),FALSE)</f>
        <v>0</v>
      </c>
      <c r="Q18" s="121">
        <f>VLOOKUP($B18,'Tillförd energi'!$B$1:$AI$720,MATCH(Q$1,'Tillförd energi'!$B$1:$AQ$1,0),FALSE)</f>
        <v>0</v>
      </c>
      <c r="R18" s="121">
        <f>VLOOKUP($B18,'Tillförd energi'!$B$1:$AI$720,MATCH(R$1,'Tillförd energi'!$B$1:$AQ$1,0),FALSE)</f>
        <v>2.2999999999999998</v>
      </c>
      <c r="S18" s="121">
        <f>VLOOKUP($B18,'Tillförd energi'!$B$1:$AI$720,MATCH(S$1,'Tillförd energi'!$B$1:$AQ$1,0),FALSE)</f>
        <v>0</v>
      </c>
      <c r="T18" s="121">
        <f>VLOOKUP($B18,'Tillförd energi'!$B$1:$AI$720,MATCH(T$1,'Tillförd energi'!$B$1:$AQ$1,0),FALSE)</f>
        <v>0</v>
      </c>
      <c r="U18" s="121">
        <f>VLOOKUP($B18,'Tillförd energi'!$B$1:$AI$720,MATCH(U$1,'Tillförd energi'!$B$1:$AQ$1,0),FALSE)</f>
        <v>0</v>
      </c>
      <c r="V18" s="121">
        <f>VLOOKUP($B18,'Tillförd energi'!$B$1:$AI$720,MATCH(V$1,'Tillförd energi'!$B$1:$AQ$1,0),FALSE)</f>
        <v>0</v>
      </c>
      <c r="W18" s="121">
        <f>VLOOKUP($B18,'Tillförd energi'!$B$1:$AI$720,MATCH(W$1,'Tillförd energi'!$B$1:$AQ$1,0),FALSE)</f>
        <v>0</v>
      </c>
      <c r="X18" s="121">
        <f>VLOOKUP($B18,'Tillförd energi'!$B$1:$AI$720,MATCH(X$1,'Tillförd energi'!$B$1:$AQ$1,0),FALSE)</f>
        <v>0</v>
      </c>
      <c r="Y18" s="121">
        <f>VLOOKUP($B18,'Tillförd energi'!$B$1:$AI$720,MATCH(Y$1,'Tillförd energi'!$B$1:$AQ$1,0),FALSE)</f>
        <v>0</v>
      </c>
      <c r="Z18" s="121">
        <f>VLOOKUP($B18,'Tillförd energi'!$B$1:$AI$720,MATCH(Z$1,'Tillförd energi'!$B$1:$AQ$1,0),FALSE)</f>
        <v>0</v>
      </c>
      <c r="AA18" s="121">
        <f>VLOOKUP($B18,'Tillförd energi'!$B$1:$AI$720,MATCH(AA$1,'Tillförd energi'!$B$1:$AQ$1,0),FALSE)</f>
        <v>0</v>
      </c>
      <c r="AB18" s="121">
        <f>VLOOKUP($B18,'Tillförd energi'!$B$1:$AI$720,MATCH(AB$1,'Tillförd energi'!$B$1:$AQ$1,0),FALSE)</f>
        <v>0</v>
      </c>
      <c r="AC18" s="121">
        <f>VLOOKUP($B18,'Tillförd energi'!$B$1:$AI$720,MATCH(AC$1,'Tillförd energi'!$B$1:$AQ$1,0),FALSE)</f>
        <v>0</v>
      </c>
      <c r="AD18" s="121">
        <f>VLOOKUP($B18,'Tillförd energi'!$B$1:$AI$720,MATCH(AD$1,'Tillförd energi'!$B$1:$AQ$1,0),FALSE)</f>
        <v>0</v>
      </c>
      <c r="AE18" s="121">
        <f>VLOOKUP($B18,'Tillförd energi'!$B$1:$AI$720,MATCH(AE$1,'Tillförd energi'!$B$1:$AQ$1,0),FALSE)</f>
        <v>0</v>
      </c>
      <c r="AF18" s="121">
        <f>VLOOKUP($B18,'Tillförd energi'!$B$1:$AI$720,MATCH(AF$1,'Tillförd energi'!$B$1:$AQ$1,0),FALSE)</f>
        <v>0.03</v>
      </c>
      <c r="AG18" s="121">
        <f>IFERROR(VLOOKUP(B18,Miljö!$B$1:$AC$550,MATCH("Köpt mängd produktionsspecifik fjärrvärme:",Miljö!$B$1:$AC$1,0),FALSE)/1,0)</f>
        <v>0</v>
      </c>
      <c r="AH18" s="121"/>
      <c r="AI18" s="121">
        <f t="shared" si="0"/>
        <v>2.3299999999999996</v>
      </c>
      <c r="AJ18" s="121">
        <f t="shared" si="1"/>
        <v>2.3299999999999996</v>
      </c>
      <c r="AK18" s="121">
        <f>IF(ISERROR(1/VLOOKUP($B18,Leveranser!$B$1:$S$499,MATCH("såld värme (gwh)",Leveranser!$B$1:$S$1,0),FALSE)),"",VLOOKUP($B18,Leveranser!$B$1:$S$499,MATCH("såld värme (gwh)",Leveranser!$B$1:$S$1,0),FALSE))</f>
        <v>1.8</v>
      </c>
      <c r="AL18" s="121">
        <f>VLOOKUP($B18,Leveranser!$B$1:$Y$499,MATCH("Totalt såld fjärrvärme till andra fjärrvärmeföretag",Leveranser!$B$1:$AA$1,0),FALSE)</f>
        <v>0</v>
      </c>
      <c r="AM18" s="121">
        <f>IF(ISERROR(1/VLOOKUP($B18,Miljö!$B$1:$S$500,MATCH("Såld mängd produktionsspecifik fjärrvärme (GWh)",Miljö!$B$1:$R$1,0),FALSE)),0,VLOOKUP($B18,Miljö!$B$1:$S$500,MATCH("Såld mängd produktionsspecifik fjärrvärme (GWh)",Miljö!$B$1:$R$1,0),FALSE))</f>
        <v>0</v>
      </c>
      <c r="AN18" s="172">
        <f t="shared" si="2"/>
        <v>0.77253218884120189</v>
      </c>
      <c r="AO18" s="121"/>
      <c r="AP18" s="121" t="str">
        <f>IFERROR(VLOOKUP($B18,Miljövärden!$B$2:$H$550,7,FALSE),"Nej, saknas")</f>
        <v>Ja</v>
      </c>
      <c r="AQ18" s="121" t="str">
        <f>IFERROR(VLOOKUP($B18,Miljövärden!$B$2:$H$550,6,FALSE),"Nej, saknas")</f>
        <v>Ja</v>
      </c>
      <c r="AU18">
        <f t="shared" si="3"/>
        <v>0.03</v>
      </c>
      <c r="AV18">
        <f t="shared" si="4"/>
        <v>0</v>
      </c>
      <c r="AW18">
        <f t="shared" si="5"/>
        <v>0</v>
      </c>
      <c r="AX18">
        <f t="shared" si="6"/>
        <v>2.2999999999999998</v>
      </c>
      <c r="AZ18">
        <f t="shared" si="7"/>
        <v>2.2999999999999998</v>
      </c>
      <c r="BC18">
        <f t="shared" si="8"/>
        <v>0</v>
      </c>
      <c r="BD18">
        <f t="shared" si="9"/>
        <v>0</v>
      </c>
      <c r="BE18">
        <f t="shared" si="10"/>
        <v>2.2999999999999998</v>
      </c>
      <c r="BF18">
        <f t="shared" si="11"/>
        <v>0</v>
      </c>
      <c r="BG18">
        <f t="shared" si="12"/>
        <v>0.03</v>
      </c>
      <c r="BH18">
        <f>VLOOKUP(B18,Miljö!$B$1:$BX$482,MATCH("Fossilandel för ursprungspecificerad el ()",Miljö!$B$1:$I$1,0),FALSE)</f>
        <v>0</v>
      </c>
      <c r="BI18">
        <f>VLOOKUP(B18,Miljö!$B$1:$BX$482,MATCH("Kärnkraftsandel för ursprungsspecificerad el ()",Miljö!$B$1:$O$1,0),FALSE)</f>
        <v>0</v>
      </c>
      <c r="BJ18">
        <f t="shared" si="13"/>
        <v>0</v>
      </c>
      <c r="BK18" t="str">
        <f>VLOOKUP(B18,Miljö!$B$1:$O$482,MATCH("Fossil andel i procent (%)",Miljö!$B$1:$O$1,0),FALSE)</f>
        <v>ET</v>
      </c>
      <c r="BL18">
        <f t="shared" si="14"/>
        <v>2.3299999999999996</v>
      </c>
      <c r="BO18" s="18">
        <f t="shared" si="15"/>
        <v>0</v>
      </c>
      <c r="BP18" s="18">
        <f t="shared" si="16"/>
        <v>0</v>
      </c>
      <c r="BQ18" s="18">
        <f t="shared" si="17"/>
        <v>1</v>
      </c>
      <c r="BR18" s="18">
        <f t="shared" si="18"/>
        <v>0</v>
      </c>
      <c r="BT18" s="27">
        <f t="shared" si="19"/>
        <v>1</v>
      </c>
      <c r="BW18" s="18">
        <f>IF(AP18="ja",VLOOKUP(B18,Miljövärden!$B$2:$H$550,MATCH("Total andel fossilt",Miljövärden!$B$2:$H$2,0),FALSE),"")</f>
        <v>0</v>
      </c>
      <c r="BZ18" s="28">
        <f t="shared" si="20"/>
        <v>0</v>
      </c>
      <c r="CA18" s="28">
        <f t="shared" si="21"/>
        <v>0</v>
      </c>
    </row>
    <row r="19" spans="1:79" x14ac:dyDescent="0.25">
      <c r="A19" s="224" t="s">
        <v>200</v>
      </c>
      <c r="B19" s="210" t="s">
        <v>209</v>
      </c>
      <c r="C19" s="121">
        <f>VLOOKUP($B19,'Tillförd energi'!$B$1:$AI$720,MATCH(C$1,'Tillförd energi'!$B$1:$AQ$1,0),FALSE)</f>
        <v>0</v>
      </c>
      <c r="D19" s="121">
        <f>VLOOKUP($B19,'Tillförd energi'!$B$1:$AI$720,MATCH(D$1,'Tillförd energi'!$B$1:$AQ$1,0),FALSE)</f>
        <v>0</v>
      </c>
      <c r="E19" s="121">
        <f>VLOOKUP($B19,'Tillförd energi'!$B$1:$AI$720,MATCH(E$1,'Tillförd energi'!$B$1:$AQ$1,0),FALSE)</f>
        <v>0</v>
      </c>
      <c r="F19" s="121">
        <f>VLOOKUP($B19,'Tillförd energi'!$B$1:$AI$720,MATCH(F$1,'Tillförd energi'!$B$1:$AQ$1,0),FALSE)</f>
        <v>0</v>
      </c>
      <c r="G19" s="121">
        <f>VLOOKUP($B19,'Tillförd energi'!$B$1:$AI$720,MATCH(G$1,'Tillförd energi'!$B$1:$AQ$1,0),FALSE)</f>
        <v>0</v>
      </c>
      <c r="H19" s="121">
        <f>VLOOKUP($B19,'Tillförd energi'!$B$1:$AI$720,MATCH(H$1,'Tillförd energi'!$B$1:$AQ$1,0),FALSE)</f>
        <v>0</v>
      </c>
      <c r="I19" s="121">
        <f>VLOOKUP($B19,'Tillförd energi'!$B$1:$AI$720,MATCH(I$1,'Tillförd energi'!$B$1:$AQ$1,0),FALSE)</f>
        <v>0</v>
      </c>
      <c r="J19" s="121">
        <f>VLOOKUP($B19,'Tillförd energi'!$B$1:$AI$720,MATCH(J$1,'Tillförd energi'!$B$1:$AQ$1,0),FALSE)</f>
        <v>0</v>
      </c>
      <c r="K19" s="121">
        <f>VLOOKUP($B19,'Tillförd energi'!$B$1:$AI$720,MATCH(K$1,'Tillförd energi'!$B$1:$AQ$1,0),FALSE)</f>
        <v>0</v>
      </c>
      <c r="L19" s="121">
        <f>VLOOKUP($B19,'Tillförd energi'!$B$1:$AI$720,MATCH(L$1,'Tillförd energi'!$B$1:$AQ$1,0),FALSE)</f>
        <v>0</v>
      </c>
      <c r="M19" s="121">
        <f>VLOOKUP($B19,'Tillförd energi'!$B$1:$AI$720,MATCH(M$1,'Tillförd energi'!$B$1:$AQ$1,0),FALSE)</f>
        <v>2.8</v>
      </c>
      <c r="N19" s="121">
        <f>VLOOKUP($B19,'Tillförd energi'!$B$1:$AI$720,MATCH(N$1,'Tillförd energi'!$B$1:$AQ$1,0),FALSE)</f>
        <v>0</v>
      </c>
      <c r="O19" s="121">
        <f>VLOOKUP($B19,'Tillförd energi'!$B$1:$AI$720,MATCH(O$1,'Tillförd energi'!$B$1:$AQ$1,0),FALSE)</f>
        <v>0</v>
      </c>
      <c r="P19" s="121">
        <f>VLOOKUP($B19,'Tillförd energi'!$B$1:$AI$720,MATCH(P$1,'Tillförd energi'!$B$1:$AQ$1,0),FALSE)</f>
        <v>4.4000000000000004</v>
      </c>
      <c r="Q19" s="121">
        <f>VLOOKUP($B19,'Tillförd energi'!$B$1:$AI$720,MATCH(Q$1,'Tillförd energi'!$B$1:$AQ$1,0),FALSE)</f>
        <v>0</v>
      </c>
      <c r="R19" s="121">
        <f>VLOOKUP($B19,'Tillförd energi'!$B$1:$AI$720,MATCH(R$1,'Tillförd energi'!$B$1:$AQ$1,0),FALSE)</f>
        <v>0.8</v>
      </c>
      <c r="S19" s="121">
        <f>VLOOKUP($B19,'Tillförd energi'!$B$1:$AI$720,MATCH(S$1,'Tillförd energi'!$B$1:$AQ$1,0),FALSE)</f>
        <v>0</v>
      </c>
      <c r="T19" s="121">
        <f>VLOOKUP($B19,'Tillförd energi'!$B$1:$AI$720,MATCH(T$1,'Tillförd energi'!$B$1:$AQ$1,0),FALSE)</f>
        <v>0</v>
      </c>
      <c r="U19" s="121">
        <f>VLOOKUP($B19,'Tillförd energi'!$B$1:$AI$720,MATCH(U$1,'Tillförd energi'!$B$1:$AQ$1,0),FALSE)</f>
        <v>0</v>
      </c>
      <c r="V19" s="121">
        <f>VLOOKUP($B19,'Tillförd energi'!$B$1:$AI$720,MATCH(V$1,'Tillförd energi'!$B$1:$AQ$1,0),FALSE)</f>
        <v>0</v>
      </c>
      <c r="W19" s="121">
        <f>VLOOKUP($B19,'Tillförd energi'!$B$1:$AI$720,MATCH(W$1,'Tillförd energi'!$B$1:$AQ$1,0),FALSE)</f>
        <v>0</v>
      </c>
      <c r="X19" s="121">
        <f>VLOOKUP($B19,'Tillförd energi'!$B$1:$AI$720,MATCH(X$1,'Tillförd energi'!$B$1:$AQ$1,0),FALSE)</f>
        <v>0</v>
      </c>
      <c r="Y19" s="121">
        <f>VLOOKUP($B19,'Tillförd energi'!$B$1:$AI$720,MATCH(Y$1,'Tillförd energi'!$B$1:$AQ$1,0),FALSE)</f>
        <v>0</v>
      </c>
      <c r="Z19" s="121">
        <f>VLOOKUP($B19,'Tillförd energi'!$B$1:$AI$720,MATCH(Z$1,'Tillförd energi'!$B$1:$AQ$1,0),FALSE)</f>
        <v>0</v>
      </c>
      <c r="AA19" s="121">
        <f>VLOOKUP($B19,'Tillförd energi'!$B$1:$AI$720,MATCH(AA$1,'Tillförd energi'!$B$1:$AQ$1,0),FALSE)</f>
        <v>0</v>
      </c>
      <c r="AB19" s="121">
        <f>VLOOKUP($B19,'Tillförd energi'!$B$1:$AI$720,MATCH(AB$1,'Tillförd energi'!$B$1:$AQ$1,0),FALSE)</f>
        <v>0</v>
      </c>
      <c r="AC19" s="121">
        <f>VLOOKUP($B19,'Tillförd energi'!$B$1:$AI$720,MATCH(AC$1,'Tillförd energi'!$B$1:$AQ$1,0),FALSE)</f>
        <v>0</v>
      </c>
      <c r="AD19" s="121">
        <f>VLOOKUP($B19,'Tillförd energi'!$B$1:$AI$720,MATCH(AD$1,'Tillförd energi'!$B$1:$AQ$1,0),FALSE)</f>
        <v>0</v>
      </c>
      <c r="AE19" s="121">
        <f>VLOOKUP($B19,'Tillförd energi'!$B$1:$AI$720,MATCH(AE$1,'Tillförd energi'!$B$1:$AQ$1,0),FALSE)</f>
        <v>0</v>
      </c>
      <c r="AF19" s="121">
        <f>VLOOKUP($B19,'Tillförd energi'!$B$1:$AI$720,MATCH(AF$1,'Tillförd energi'!$B$1:$AQ$1,0),FALSE)</f>
        <v>0.3</v>
      </c>
      <c r="AG19" s="121">
        <f>IFERROR(VLOOKUP(B19,Miljö!$B$1:$AC$550,MATCH("Köpt mängd produktionsspecifik fjärrvärme:",Miljö!$B$1:$AC$1,0),FALSE)/1,0)</f>
        <v>0</v>
      </c>
      <c r="AH19" s="121"/>
      <c r="AI19" s="121">
        <f t="shared" si="0"/>
        <v>8.3000000000000007</v>
      </c>
      <c r="AJ19" s="121">
        <f t="shared" si="1"/>
        <v>8.3000000000000007</v>
      </c>
      <c r="AK19" s="121">
        <f>IF(ISERROR(1/VLOOKUP($B19,Leveranser!$B$1:$S$499,MATCH("såld värme (gwh)",Leveranser!$B$1:$S$1,0),FALSE)),"",VLOOKUP($B19,Leveranser!$B$1:$S$499,MATCH("såld värme (gwh)",Leveranser!$B$1:$S$1,0),FALSE))</f>
        <v>5.5</v>
      </c>
      <c r="AL19" s="121">
        <f>VLOOKUP($B19,Leveranser!$B$1:$Y$499,MATCH("Totalt såld fjärrvärme till andra fjärrvärmeföretag",Leveranser!$B$1:$AA$1,0),FALSE)</f>
        <v>0</v>
      </c>
      <c r="AM19" s="121">
        <f>IF(ISERROR(1/VLOOKUP($B19,Miljö!$B$1:$S$500,MATCH("Såld mängd produktionsspecifik fjärrvärme (GWh)",Miljö!$B$1:$R$1,0),FALSE)),0,VLOOKUP($B19,Miljö!$B$1:$S$500,MATCH("Såld mängd produktionsspecifik fjärrvärme (GWh)",Miljö!$B$1:$R$1,0),FALSE))</f>
        <v>0</v>
      </c>
      <c r="AN19" s="172">
        <f t="shared" si="2"/>
        <v>0.66265060240963847</v>
      </c>
      <c r="AO19" s="121"/>
      <c r="AP19" s="121" t="str">
        <f>IFERROR(VLOOKUP($B19,Miljövärden!$B$2:$H$550,7,FALSE),"Nej, saknas")</f>
        <v>Ja</v>
      </c>
      <c r="AQ19" s="121" t="str">
        <f>IFERROR(VLOOKUP($B19,Miljövärden!$B$2:$H$550,6,FALSE),"Nej, saknas")</f>
        <v>Ja</v>
      </c>
      <c r="AU19">
        <f t="shared" si="3"/>
        <v>0.3</v>
      </c>
      <c r="AV19">
        <f t="shared" si="4"/>
        <v>0</v>
      </c>
      <c r="AW19">
        <f t="shared" si="5"/>
        <v>7.2</v>
      </c>
      <c r="AX19">
        <f t="shared" si="6"/>
        <v>0.8</v>
      </c>
      <c r="AZ19">
        <f t="shared" si="7"/>
        <v>8</v>
      </c>
      <c r="BC19">
        <f t="shared" si="8"/>
        <v>0</v>
      </c>
      <c r="BD19">
        <f t="shared" si="9"/>
        <v>0</v>
      </c>
      <c r="BE19">
        <f t="shared" si="10"/>
        <v>8</v>
      </c>
      <c r="BF19">
        <f t="shared" si="11"/>
        <v>0</v>
      </c>
      <c r="BG19">
        <f t="shared" si="12"/>
        <v>0.3</v>
      </c>
      <c r="BH19">
        <f>VLOOKUP(B19,Miljö!$B$1:$BX$482,MATCH("Fossilandel för ursprungspecificerad el ()",Miljö!$B$1:$I$1,0),FALSE)</f>
        <v>0</v>
      </c>
      <c r="BI19">
        <f>VLOOKUP(B19,Miljö!$B$1:$BX$482,MATCH("Kärnkraftsandel för ursprungsspecificerad el ()",Miljö!$B$1:$O$1,0),FALSE)</f>
        <v>0</v>
      </c>
      <c r="BJ19">
        <f t="shared" si="13"/>
        <v>0</v>
      </c>
      <c r="BK19" t="str">
        <f>VLOOKUP(B19,Miljö!$B$1:$O$482,MATCH("Fossil andel i procent (%)",Miljö!$B$1:$O$1,0),FALSE)</f>
        <v>ET</v>
      </c>
      <c r="BL19">
        <f t="shared" si="14"/>
        <v>8.3000000000000007</v>
      </c>
      <c r="BO19" s="18">
        <f t="shared" si="15"/>
        <v>0</v>
      </c>
      <c r="BP19" s="18">
        <f t="shared" si="16"/>
        <v>0</v>
      </c>
      <c r="BQ19" s="18">
        <f t="shared" si="17"/>
        <v>1</v>
      </c>
      <c r="BR19" s="18">
        <f t="shared" si="18"/>
        <v>0</v>
      </c>
      <c r="BT19" s="27">
        <f t="shared" si="19"/>
        <v>1</v>
      </c>
      <c r="BW19" s="18">
        <f>IF(AP19="ja",VLOOKUP(B19,Miljövärden!$B$2:$H$550,MATCH("Total andel fossilt",Miljövärden!$B$2:$H$2,0),FALSE),"")</f>
        <v>0</v>
      </c>
      <c r="BZ19" s="28">
        <f t="shared" si="20"/>
        <v>0</v>
      </c>
      <c r="CA19" s="28">
        <f t="shared" si="21"/>
        <v>0</v>
      </c>
    </row>
    <row r="20" spans="1:79" x14ac:dyDescent="0.25">
      <c r="A20" s="224" t="s">
        <v>200</v>
      </c>
      <c r="B20" s="210" t="s">
        <v>210</v>
      </c>
      <c r="C20" s="121">
        <f>VLOOKUP($B20,'Tillförd energi'!$B$1:$AI$720,MATCH(C$1,'Tillförd energi'!$B$1:$AQ$1,0),FALSE)</f>
        <v>0</v>
      </c>
      <c r="D20" s="121">
        <f>VLOOKUP($B20,'Tillförd energi'!$B$1:$AI$720,MATCH(D$1,'Tillförd energi'!$B$1:$AQ$1,0),FALSE)</f>
        <v>0.1</v>
      </c>
      <c r="E20" s="121">
        <f>VLOOKUP($B20,'Tillförd energi'!$B$1:$AI$720,MATCH(E$1,'Tillförd energi'!$B$1:$AQ$1,0),FALSE)</f>
        <v>0</v>
      </c>
      <c r="F20" s="121">
        <f>VLOOKUP($B20,'Tillförd energi'!$B$1:$AI$720,MATCH(F$1,'Tillförd energi'!$B$1:$AQ$1,0),FALSE)</f>
        <v>0</v>
      </c>
      <c r="G20" s="121">
        <f>VLOOKUP($B20,'Tillförd energi'!$B$1:$AI$720,MATCH(G$1,'Tillförd energi'!$B$1:$AQ$1,0),FALSE)</f>
        <v>0</v>
      </c>
      <c r="H20" s="121">
        <f>VLOOKUP($B20,'Tillförd energi'!$B$1:$AI$720,MATCH(H$1,'Tillförd energi'!$B$1:$AQ$1,0),FALSE)</f>
        <v>0</v>
      </c>
      <c r="I20" s="121">
        <f>VLOOKUP($B20,'Tillförd energi'!$B$1:$AI$720,MATCH(I$1,'Tillförd energi'!$B$1:$AQ$1,0),FALSE)</f>
        <v>0</v>
      </c>
      <c r="J20" s="121">
        <f>VLOOKUP($B20,'Tillförd energi'!$B$1:$AI$720,MATCH(J$1,'Tillförd energi'!$B$1:$AQ$1,0),FALSE)</f>
        <v>0</v>
      </c>
      <c r="K20" s="121">
        <f>VLOOKUP($B20,'Tillförd energi'!$B$1:$AI$720,MATCH(K$1,'Tillförd energi'!$B$1:$AQ$1,0),FALSE)</f>
        <v>0</v>
      </c>
      <c r="L20" s="121">
        <f>VLOOKUP($B20,'Tillförd energi'!$B$1:$AI$720,MATCH(L$1,'Tillförd energi'!$B$1:$AQ$1,0),FALSE)</f>
        <v>0</v>
      </c>
      <c r="M20" s="121">
        <f>VLOOKUP($B20,'Tillförd energi'!$B$1:$AI$720,MATCH(M$1,'Tillförd energi'!$B$1:$AQ$1,0),FALSE)</f>
        <v>0</v>
      </c>
      <c r="N20" s="121">
        <f>VLOOKUP($B20,'Tillförd energi'!$B$1:$AI$720,MATCH(N$1,'Tillförd energi'!$B$1:$AQ$1,0),FALSE)</f>
        <v>0</v>
      </c>
      <c r="O20" s="121">
        <f>VLOOKUP($B20,'Tillförd energi'!$B$1:$AI$720,MATCH(O$1,'Tillförd energi'!$B$1:$AQ$1,0),FALSE)</f>
        <v>0</v>
      </c>
      <c r="P20" s="121">
        <f>VLOOKUP($B20,'Tillförd energi'!$B$1:$AI$720,MATCH(P$1,'Tillförd energi'!$B$1:$AQ$1,0),FALSE)</f>
        <v>5.3</v>
      </c>
      <c r="Q20" s="121">
        <f>VLOOKUP($B20,'Tillförd energi'!$B$1:$AI$720,MATCH(Q$1,'Tillförd energi'!$B$1:$AQ$1,0),FALSE)</f>
        <v>0</v>
      </c>
      <c r="R20" s="121">
        <f>VLOOKUP($B20,'Tillförd energi'!$B$1:$AI$720,MATCH(R$1,'Tillförd energi'!$B$1:$AQ$1,0),FALSE)</f>
        <v>0</v>
      </c>
      <c r="S20" s="121">
        <f>VLOOKUP($B20,'Tillförd energi'!$B$1:$AI$720,MATCH(S$1,'Tillförd energi'!$B$1:$AQ$1,0),FALSE)</f>
        <v>0</v>
      </c>
      <c r="T20" s="121">
        <f>VLOOKUP($B20,'Tillförd energi'!$B$1:$AI$720,MATCH(T$1,'Tillförd energi'!$B$1:$AQ$1,0),FALSE)</f>
        <v>0</v>
      </c>
      <c r="U20" s="121">
        <f>VLOOKUP($B20,'Tillförd energi'!$B$1:$AI$720,MATCH(U$1,'Tillförd energi'!$B$1:$AQ$1,0),FALSE)</f>
        <v>0</v>
      </c>
      <c r="V20" s="121">
        <f>VLOOKUP($B20,'Tillförd energi'!$B$1:$AI$720,MATCH(V$1,'Tillförd energi'!$B$1:$AQ$1,0),FALSE)</f>
        <v>0</v>
      </c>
      <c r="W20" s="121">
        <f>VLOOKUP($B20,'Tillförd energi'!$B$1:$AI$720,MATCH(W$1,'Tillförd energi'!$B$1:$AQ$1,0),FALSE)</f>
        <v>0</v>
      </c>
      <c r="X20" s="121">
        <f>VLOOKUP($B20,'Tillförd energi'!$B$1:$AI$720,MATCH(X$1,'Tillförd energi'!$B$1:$AQ$1,0),FALSE)</f>
        <v>0</v>
      </c>
      <c r="Y20" s="121">
        <f>VLOOKUP($B20,'Tillförd energi'!$B$1:$AI$720,MATCH(Y$1,'Tillförd energi'!$B$1:$AQ$1,0),FALSE)</f>
        <v>0</v>
      </c>
      <c r="Z20" s="121">
        <f>VLOOKUP($B20,'Tillförd energi'!$B$1:$AI$720,MATCH(Z$1,'Tillförd energi'!$B$1:$AQ$1,0),FALSE)</f>
        <v>0</v>
      </c>
      <c r="AA20" s="121">
        <f>VLOOKUP($B20,'Tillförd energi'!$B$1:$AI$720,MATCH(AA$1,'Tillförd energi'!$B$1:$AQ$1,0),FALSE)</f>
        <v>0</v>
      </c>
      <c r="AB20" s="121">
        <f>VLOOKUP($B20,'Tillförd energi'!$B$1:$AI$720,MATCH(AB$1,'Tillförd energi'!$B$1:$AQ$1,0),FALSE)</f>
        <v>0</v>
      </c>
      <c r="AC20" s="121">
        <f>VLOOKUP($B20,'Tillförd energi'!$B$1:$AI$720,MATCH(AC$1,'Tillförd energi'!$B$1:$AQ$1,0),FALSE)</f>
        <v>0</v>
      </c>
      <c r="AD20" s="121">
        <f>VLOOKUP($B20,'Tillförd energi'!$B$1:$AI$720,MATCH(AD$1,'Tillförd energi'!$B$1:$AQ$1,0),FALSE)</f>
        <v>0</v>
      </c>
      <c r="AE20" s="121">
        <f>VLOOKUP($B20,'Tillförd energi'!$B$1:$AI$720,MATCH(AE$1,'Tillförd energi'!$B$1:$AQ$1,0),FALSE)</f>
        <v>0</v>
      </c>
      <c r="AF20" s="121">
        <f>VLOOKUP($B20,'Tillförd energi'!$B$1:$AI$720,MATCH(AF$1,'Tillförd energi'!$B$1:$AQ$1,0),FALSE)</f>
        <v>0.02</v>
      </c>
      <c r="AG20" s="121">
        <f>IFERROR(VLOOKUP(B20,Miljö!$B$1:$AC$550,MATCH("Köpt mängd produktionsspecifik fjärrvärme:",Miljö!$B$1:$AC$1,0),FALSE)/1,0)</f>
        <v>0</v>
      </c>
      <c r="AH20" s="121"/>
      <c r="AI20" s="121">
        <f t="shared" si="0"/>
        <v>5.419999999999999</v>
      </c>
      <c r="AJ20" s="121">
        <f t="shared" si="1"/>
        <v>5.419999999999999</v>
      </c>
      <c r="AK20" s="121">
        <f>IF(ISERROR(1/VLOOKUP($B20,Leveranser!$B$1:$S$499,MATCH("såld värme (gwh)",Leveranser!$B$1:$S$1,0),FALSE)),"",VLOOKUP($B20,Leveranser!$B$1:$S$499,MATCH("såld värme (gwh)",Leveranser!$B$1:$S$1,0),FALSE))</f>
        <v>3.5</v>
      </c>
      <c r="AL20" s="121">
        <f>VLOOKUP($B20,Leveranser!$B$1:$Y$499,MATCH("Totalt såld fjärrvärme till andra fjärrvärmeföretag",Leveranser!$B$1:$AA$1,0),FALSE)</f>
        <v>0</v>
      </c>
      <c r="AM20" s="121">
        <f>IF(ISERROR(1/VLOOKUP($B20,Miljö!$B$1:$S$500,MATCH("Såld mängd produktionsspecifik fjärrvärme (GWh)",Miljö!$B$1:$R$1,0),FALSE)),0,VLOOKUP($B20,Miljö!$B$1:$S$500,MATCH("Såld mängd produktionsspecifik fjärrvärme (GWh)",Miljö!$B$1:$R$1,0),FALSE))</f>
        <v>0</v>
      </c>
      <c r="AN20" s="172">
        <f t="shared" si="2"/>
        <v>0.64575645756457578</v>
      </c>
      <c r="AO20" s="121"/>
      <c r="AP20" s="121" t="str">
        <f>IFERROR(VLOOKUP($B20,Miljövärden!$B$2:$H$550,7,FALSE),"Nej, saknas")</f>
        <v>Ja</v>
      </c>
      <c r="AQ20" s="121" t="str">
        <f>IFERROR(VLOOKUP($B20,Miljövärden!$B$2:$H$550,6,FALSE),"Nej, saknas")</f>
        <v>Ja</v>
      </c>
      <c r="AU20">
        <f t="shared" si="3"/>
        <v>0.02</v>
      </c>
      <c r="AV20">
        <f t="shared" si="4"/>
        <v>0</v>
      </c>
      <c r="AW20">
        <f t="shared" si="5"/>
        <v>5.3</v>
      </c>
      <c r="AX20">
        <f t="shared" si="6"/>
        <v>0</v>
      </c>
      <c r="AZ20">
        <f t="shared" si="7"/>
        <v>5.3</v>
      </c>
      <c r="BC20">
        <f t="shared" si="8"/>
        <v>0.1</v>
      </c>
      <c r="BD20">
        <f t="shared" si="9"/>
        <v>0</v>
      </c>
      <c r="BE20">
        <f t="shared" si="10"/>
        <v>5.3</v>
      </c>
      <c r="BF20">
        <f t="shared" si="11"/>
        <v>0</v>
      </c>
      <c r="BG20">
        <f t="shared" si="12"/>
        <v>0.02</v>
      </c>
      <c r="BH20">
        <f>VLOOKUP(B20,Miljö!$B$1:$BX$482,MATCH("Fossilandel för ursprungspecificerad el ()",Miljö!$B$1:$I$1,0),FALSE)</f>
        <v>0</v>
      </c>
      <c r="BI20">
        <f>VLOOKUP(B20,Miljö!$B$1:$BX$482,MATCH("Kärnkraftsandel för ursprungsspecificerad el ()",Miljö!$B$1:$O$1,0),FALSE)</f>
        <v>0</v>
      </c>
      <c r="BJ20">
        <f t="shared" si="13"/>
        <v>0</v>
      </c>
      <c r="BK20" t="str">
        <f>VLOOKUP(B20,Miljö!$B$1:$O$482,MATCH("Fossil andel i procent (%)",Miljö!$B$1:$O$1,0),FALSE)</f>
        <v>ET</v>
      </c>
      <c r="BL20">
        <f t="shared" si="14"/>
        <v>5.419999999999999</v>
      </c>
      <c r="BO20" s="18">
        <f t="shared" si="15"/>
        <v>1.8450184501845022E-2</v>
      </c>
      <c r="BP20" s="18">
        <f t="shared" si="16"/>
        <v>0</v>
      </c>
      <c r="BQ20" s="18">
        <f t="shared" si="17"/>
        <v>0.98154981549815501</v>
      </c>
      <c r="BR20" s="18">
        <f t="shared" si="18"/>
        <v>0</v>
      </c>
      <c r="BT20" s="27">
        <f t="shared" si="19"/>
        <v>1</v>
      </c>
      <c r="BW20" s="18">
        <f>IF(AP20="ja",VLOOKUP(B20,Miljövärden!$B$2:$H$550,MATCH("Total andel fossilt",Miljövärden!$B$2:$H$2,0),FALSE),"")</f>
        <v>1.84502E-2</v>
      </c>
      <c r="BZ20" s="28">
        <f t="shared" si="20"/>
        <v>1.5498154978116352E-8</v>
      </c>
      <c r="CA20" s="28">
        <f t="shared" si="21"/>
        <v>0</v>
      </c>
    </row>
    <row r="21" spans="1:79" x14ac:dyDescent="0.25">
      <c r="A21" s="224" t="s">
        <v>211</v>
      </c>
      <c r="B21" s="210" t="s">
        <v>212</v>
      </c>
      <c r="C21" s="121">
        <f>VLOOKUP($B21,'Tillförd energi'!$B$1:$AI$720,MATCH(C$1,'Tillförd energi'!$B$1:$AQ$1,0),FALSE)</f>
        <v>0</v>
      </c>
      <c r="D21" s="121">
        <f>VLOOKUP($B21,'Tillförd energi'!$B$1:$AI$720,MATCH(D$1,'Tillförd energi'!$B$1:$AQ$1,0),FALSE)</f>
        <v>1.7999999999999999E-2</v>
      </c>
      <c r="E21" s="121">
        <f>VLOOKUP($B21,'Tillförd energi'!$B$1:$AI$720,MATCH(E$1,'Tillförd energi'!$B$1:$AQ$1,0),FALSE)</f>
        <v>0</v>
      </c>
      <c r="F21" s="121">
        <f>VLOOKUP($B21,'Tillförd energi'!$B$1:$AI$720,MATCH(F$1,'Tillförd energi'!$B$1:$AQ$1,0),FALSE)</f>
        <v>0</v>
      </c>
      <c r="G21" s="121">
        <f>VLOOKUP($B21,'Tillförd energi'!$B$1:$AI$720,MATCH(G$1,'Tillförd energi'!$B$1:$AQ$1,0),FALSE)</f>
        <v>0</v>
      </c>
      <c r="H21" s="121">
        <f>VLOOKUP($B21,'Tillförd energi'!$B$1:$AI$720,MATCH(H$1,'Tillförd energi'!$B$1:$AQ$1,0),FALSE)</f>
        <v>0</v>
      </c>
      <c r="I21" s="121">
        <f>VLOOKUP($B21,'Tillförd energi'!$B$1:$AI$720,MATCH(I$1,'Tillförd energi'!$B$1:$AQ$1,0),FALSE)</f>
        <v>0</v>
      </c>
      <c r="J21" s="121">
        <f>VLOOKUP($B21,'Tillförd energi'!$B$1:$AI$720,MATCH(J$1,'Tillförd energi'!$B$1:$AQ$1,0),FALSE)</f>
        <v>0</v>
      </c>
      <c r="K21" s="121">
        <f>VLOOKUP($B21,'Tillförd energi'!$B$1:$AI$720,MATCH(K$1,'Tillförd energi'!$B$1:$AQ$1,0),FALSE)</f>
        <v>0</v>
      </c>
      <c r="L21" s="121">
        <f>VLOOKUP($B21,'Tillförd energi'!$B$1:$AI$720,MATCH(L$1,'Tillförd energi'!$B$1:$AQ$1,0),FALSE)</f>
        <v>0</v>
      </c>
      <c r="M21" s="121">
        <f>VLOOKUP($B21,'Tillförd energi'!$B$1:$AI$720,MATCH(M$1,'Tillförd energi'!$B$1:$AQ$1,0),FALSE)</f>
        <v>0</v>
      </c>
      <c r="N21" s="121">
        <f>VLOOKUP($B21,'Tillförd energi'!$B$1:$AI$720,MATCH(N$1,'Tillförd energi'!$B$1:$AQ$1,0),FALSE)</f>
        <v>0</v>
      </c>
      <c r="O21" s="121">
        <f>VLOOKUP($B21,'Tillförd energi'!$B$1:$AI$720,MATCH(O$1,'Tillförd energi'!$B$1:$AQ$1,0),FALSE)</f>
        <v>0</v>
      </c>
      <c r="P21" s="121">
        <f>VLOOKUP($B21,'Tillförd energi'!$B$1:$AI$720,MATCH(P$1,'Tillförd energi'!$B$1:$AQ$1,0),FALSE)</f>
        <v>0</v>
      </c>
      <c r="Q21" s="121">
        <f>VLOOKUP($B21,'Tillförd energi'!$B$1:$AI$720,MATCH(Q$1,'Tillförd energi'!$B$1:$AQ$1,0),FALSE)</f>
        <v>0</v>
      </c>
      <c r="R21" s="121">
        <f>VLOOKUP($B21,'Tillförd energi'!$B$1:$AI$720,MATCH(R$1,'Tillförd energi'!$B$1:$AQ$1,0),FALSE)</f>
        <v>0.56599999999999995</v>
      </c>
      <c r="S21" s="121">
        <f>VLOOKUP($B21,'Tillförd energi'!$B$1:$AI$720,MATCH(S$1,'Tillförd energi'!$B$1:$AQ$1,0),FALSE)</f>
        <v>0</v>
      </c>
      <c r="T21" s="121">
        <f>VLOOKUP($B21,'Tillförd energi'!$B$1:$AI$720,MATCH(T$1,'Tillförd energi'!$B$1:$AQ$1,0),FALSE)</f>
        <v>0</v>
      </c>
      <c r="U21" s="121">
        <f>VLOOKUP($B21,'Tillförd energi'!$B$1:$AI$720,MATCH(U$1,'Tillförd energi'!$B$1:$AQ$1,0),FALSE)</f>
        <v>0</v>
      </c>
      <c r="V21" s="121">
        <f>VLOOKUP($B21,'Tillförd energi'!$B$1:$AI$720,MATCH(V$1,'Tillförd energi'!$B$1:$AQ$1,0),FALSE)</f>
        <v>0</v>
      </c>
      <c r="W21" s="121">
        <f>VLOOKUP($B21,'Tillförd energi'!$B$1:$AI$720,MATCH(W$1,'Tillförd energi'!$B$1:$AQ$1,0),FALSE)</f>
        <v>0</v>
      </c>
      <c r="X21" s="121">
        <f>VLOOKUP($B21,'Tillförd energi'!$B$1:$AI$720,MATCH(X$1,'Tillförd energi'!$B$1:$AQ$1,0),FALSE)</f>
        <v>0</v>
      </c>
      <c r="Y21" s="121">
        <f>VLOOKUP($B21,'Tillförd energi'!$B$1:$AI$720,MATCH(Y$1,'Tillförd energi'!$B$1:$AQ$1,0),FALSE)</f>
        <v>0</v>
      </c>
      <c r="Z21" s="121">
        <f>VLOOKUP($B21,'Tillförd energi'!$B$1:$AI$720,MATCH(Z$1,'Tillförd energi'!$B$1:$AQ$1,0),FALSE)</f>
        <v>0</v>
      </c>
      <c r="AA21" s="121">
        <f>VLOOKUP($B21,'Tillförd energi'!$B$1:$AI$720,MATCH(AA$1,'Tillförd energi'!$B$1:$AQ$1,0),FALSE)</f>
        <v>0</v>
      </c>
      <c r="AB21" s="121">
        <f>VLOOKUP($B21,'Tillförd energi'!$B$1:$AI$720,MATCH(AB$1,'Tillförd energi'!$B$1:$AQ$1,0),FALSE)</f>
        <v>0</v>
      </c>
      <c r="AC21" s="121">
        <f>VLOOKUP($B21,'Tillförd energi'!$B$1:$AI$720,MATCH(AC$1,'Tillförd energi'!$B$1:$AQ$1,0),FALSE)</f>
        <v>0</v>
      </c>
      <c r="AD21" s="121">
        <f>VLOOKUP($B21,'Tillförd energi'!$B$1:$AI$720,MATCH(AD$1,'Tillförd energi'!$B$1:$AQ$1,0),FALSE)</f>
        <v>0</v>
      </c>
      <c r="AE21" s="121">
        <f>VLOOKUP($B21,'Tillförd energi'!$B$1:$AI$720,MATCH(AE$1,'Tillförd energi'!$B$1:$AQ$1,0),FALSE)</f>
        <v>0</v>
      </c>
      <c r="AF21" s="121">
        <f>VLOOKUP($B21,'Tillförd energi'!$B$1:$AI$720,MATCH(AF$1,'Tillförd energi'!$B$1:$AQ$1,0),FALSE)</f>
        <v>1.4E-2</v>
      </c>
      <c r="AG21" s="121">
        <f>IFERROR(VLOOKUP(B21,Miljö!$B$1:$AC$550,MATCH("Köpt mängd produktionsspecifik fjärrvärme:",Miljö!$B$1:$AC$1,0),FALSE)/1,0)</f>
        <v>0</v>
      </c>
      <c r="AH21" s="121"/>
      <c r="AI21" s="121">
        <f t="shared" si="0"/>
        <v>0.59799999999999998</v>
      </c>
      <c r="AJ21" s="121">
        <f t="shared" si="1"/>
        <v>0.59799999999999998</v>
      </c>
      <c r="AK21" s="121">
        <f>IF(ISERROR(1/VLOOKUP($B21,Leveranser!$B$1:$S$499,MATCH("såld värme (gwh)",Leveranser!$B$1:$S$1,0),FALSE)),"",VLOOKUP($B21,Leveranser!$B$1:$S$499,MATCH("såld värme (gwh)",Leveranser!$B$1:$S$1,0),FALSE))</f>
        <v>0.38</v>
      </c>
      <c r="AL21" s="121">
        <f>VLOOKUP($B21,Leveranser!$B$1:$Y$499,MATCH("Totalt såld fjärrvärme till andra fjärrvärmeföretag",Leveranser!$B$1:$AA$1,0),FALSE)</f>
        <v>0</v>
      </c>
      <c r="AM21" s="121">
        <f>IF(ISERROR(1/VLOOKUP($B21,Miljö!$B$1:$S$500,MATCH("Såld mängd produktionsspecifik fjärrvärme (GWh)",Miljö!$B$1:$R$1,0),FALSE)),0,VLOOKUP($B21,Miljö!$B$1:$S$500,MATCH("Såld mängd produktionsspecifik fjärrvärme (GWh)",Miljö!$B$1:$R$1,0),FALSE))</f>
        <v>0</v>
      </c>
      <c r="AN21" s="172">
        <f t="shared" si="2"/>
        <v>0.63545150501672243</v>
      </c>
      <c r="AO21" s="121"/>
      <c r="AP21" s="121" t="str">
        <f>IFERROR(VLOOKUP($B21,Miljövärden!$B$2:$H$550,7,FALSE),"Nej, saknas")</f>
        <v>Ja</v>
      </c>
      <c r="AQ21" s="121" t="str">
        <f>IFERROR(VLOOKUP($B21,Miljövärden!$B$2:$H$550,6,FALSE),"Nej, saknas")</f>
        <v>Ja</v>
      </c>
      <c r="AU21">
        <f t="shared" si="3"/>
        <v>1.4E-2</v>
      </c>
      <c r="AV21">
        <f t="shared" si="4"/>
        <v>0</v>
      </c>
      <c r="AW21">
        <f t="shared" si="5"/>
        <v>0</v>
      </c>
      <c r="AX21">
        <f t="shared" si="6"/>
        <v>0.56599999999999995</v>
      </c>
      <c r="AZ21">
        <f t="shared" si="7"/>
        <v>0.56599999999999995</v>
      </c>
      <c r="BC21">
        <f t="shared" si="8"/>
        <v>1.7999999999999999E-2</v>
      </c>
      <c r="BD21">
        <f t="shared" si="9"/>
        <v>0</v>
      </c>
      <c r="BE21">
        <f t="shared" si="10"/>
        <v>0.56599999999999995</v>
      </c>
      <c r="BF21">
        <f t="shared" si="11"/>
        <v>0</v>
      </c>
      <c r="BG21">
        <f t="shared" si="12"/>
        <v>1.4E-2</v>
      </c>
      <c r="BH21">
        <f>VLOOKUP(B21,Miljö!$B$1:$BX$482,MATCH("Fossilandel för ursprungspecificerad el ()",Miljö!$B$1:$I$1,0),FALSE)</f>
        <v>0</v>
      </c>
      <c r="BI21">
        <f>VLOOKUP(B21,Miljö!$B$1:$BX$482,MATCH("Kärnkraftsandel för ursprungsspecificerad el ()",Miljö!$B$1:$O$1,0),FALSE)</f>
        <v>0</v>
      </c>
      <c r="BJ21">
        <f t="shared" si="13"/>
        <v>0</v>
      </c>
      <c r="BK21" t="str">
        <f>VLOOKUP(B21,Miljö!$B$1:$O$482,MATCH("Fossil andel i procent (%)",Miljö!$B$1:$O$1,0),FALSE)</f>
        <v>ET</v>
      </c>
      <c r="BL21">
        <f t="shared" si="14"/>
        <v>0.59799999999999998</v>
      </c>
      <c r="BO21" s="18">
        <f t="shared" si="15"/>
        <v>3.0100334448160532E-2</v>
      </c>
      <c r="BP21" s="18">
        <f t="shared" si="16"/>
        <v>0</v>
      </c>
      <c r="BQ21" s="18">
        <f t="shared" si="17"/>
        <v>0.96989966555183948</v>
      </c>
      <c r="BR21" s="18">
        <f t="shared" si="18"/>
        <v>0</v>
      </c>
      <c r="BT21" s="27">
        <f t="shared" si="19"/>
        <v>1</v>
      </c>
      <c r="BW21" s="18">
        <f>IF(AP21="ja",VLOOKUP(B21,Miljövärden!$B$2:$H$550,MATCH("Total andel fossilt",Miljövärden!$B$2:$H$2,0),FALSE),"")</f>
        <v>3.01003E-2</v>
      </c>
      <c r="BZ21" s="28">
        <f t="shared" si="20"/>
        <v>-3.444816053244093E-8</v>
      </c>
      <c r="CA21" s="28">
        <f t="shared" si="21"/>
        <v>0</v>
      </c>
    </row>
    <row r="22" spans="1:79" x14ac:dyDescent="0.25">
      <c r="A22" s="224" t="s">
        <v>211</v>
      </c>
      <c r="B22" s="210" t="s">
        <v>213</v>
      </c>
      <c r="C22" s="121">
        <f>VLOOKUP($B22,'Tillförd energi'!$B$1:$AI$720,MATCH(C$1,'Tillförd energi'!$B$1:$AQ$1,0),FALSE)</f>
        <v>0</v>
      </c>
      <c r="D22" s="121">
        <f>VLOOKUP($B22,'Tillförd energi'!$B$1:$AI$720,MATCH(D$1,'Tillförd energi'!$B$1:$AQ$1,0),FALSE)</f>
        <v>4.8000000000000001E-2</v>
      </c>
      <c r="E22" s="121">
        <f>VLOOKUP($B22,'Tillförd energi'!$B$1:$AI$720,MATCH(E$1,'Tillförd energi'!$B$1:$AQ$1,0),FALSE)</f>
        <v>0</v>
      </c>
      <c r="F22" s="121">
        <f>VLOOKUP($B22,'Tillförd energi'!$B$1:$AI$720,MATCH(F$1,'Tillförd energi'!$B$1:$AQ$1,0),FALSE)</f>
        <v>0</v>
      </c>
      <c r="G22" s="121">
        <f>VLOOKUP($B22,'Tillförd energi'!$B$1:$AI$720,MATCH(G$1,'Tillförd energi'!$B$1:$AQ$1,0),FALSE)</f>
        <v>0</v>
      </c>
      <c r="H22" s="121">
        <f>VLOOKUP($B22,'Tillförd energi'!$B$1:$AI$720,MATCH(H$1,'Tillförd energi'!$B$1:$AQ$1,0),FALSE)</f>
        <v>0</v>
      </c>
      <c r="I22" s="121">
        <f>VLOOKUP($B22,'Tillförd energi'!$B$1:$AI$720,MATCH(I$1,'Tillförd energi'!$B$1:$AQ$1,0),FALSE)</f>
        <v>0</v>
      </c>
      <c r="J22" s="121">
        <f>VLOOKUP($B22,'Tillförd energi'!$B$1:$AI$720,MATCH(J$1,'Tillförd energi'!$B$1:$AQ$1,0),FALSE)</f>
        <v>0</v>
      </c>
      <c r="K22" s="121">
        <f>VLOOKUP($B22,'Tillförd energi'!$B$1:$AI$720,MATCH(K$1,'Tillförd energi'!$B$1:$AQ$1,0),FALSE)</f>
        <v>0</v>
      </c>
      <c r="L22" s="121">
        <f>VLOOKUP($B22,'Tillförd energi'!$B$1:$AI$720,MATCH(L$1,'Tillförd energi'!$B$1:$AQ$1,0),FALSE)</f>
        <v>0</v>
      </c>
      <c r="M22" s="121">
        <f>VLOOKUP($B22,'Tillförd energi'!$B$1:$AI$720,MATCH(M$1,'Tillförd energi'!$B$1:$AQ$1,0),FALSE)</f>
        <v>0</v>
      </c>
      <c r="N22" s="121">
        <f>VLOOKUP($B22,'Tillförd energi'!$B$1:$AI$720,MATCH(N$1,'Tillförd energi'!$B$1:$AQ$1,0),FALSE)</f>
        <v>0</v>
      </c>
      <c r="O22" s="121">
        <f>VLOOKUP($B22,'Tillförd energi'!$B$1:$AI$720,MATCH(O$1,'Tillförd energi'!$B$1:$AQ$1,0),FALSE)</f>
        <v>0</v>
      </c>
      <c r="P22" s="121">
        <f>VLOOKUP($B22,'Tillförd energi'!$B$1:$AI$720,MATCH(P$1,'Tillförd energi'!$B$1:$AQ$1,0),FALSE)</f>
        <v>0</v>
      </c>
      <c r="Q22" s="121">
        <f>VLOOKUP($B22,'Tillförd energi'!$B$1:$AI$720,MATCH(Q$1,'Tillförd energi'!$B$1:$AQ$1,0),FALSE)</f>
        <v>0</v>
      </c>
      <c r="R22" s="121">
        <f>VLOOKUP($B22,'Tillförd energi'!$B$1:$AI$720,MATCH(R$1,'Tillförd energi'!$B$1:$AQ$1,0),FALSE)</f>
        <v>6.9210000000000003</v>
      </c>
      <c r="S22" s="121">
        <f>VLOOKUP($B22,'Tillförd energi'!$B$1:$AI$720,MATCH(S$1,'Tillförd energi'!$B$1:$AQ$1,0),FALSE)</f>
        <v>0</v>
      </c>
      <c r="T22" s="121">
        <f>VLOOKUP($B22,'Tillförd energi'!$B$1:$AI$720,MATCH(T$1,'Tillförd energi'!$B$1:$AQ$1,0),FALSE)</f>
        <v>0</v>
      </c>
      <c r="U22" s="121">
        <f>VLOOKUP($B22,'Tillförd energi'!$B$1:$AI$720,MATCH(U$1,'Tillförd energi'!$B$1:$AQ$1,0),FALSE)</f>
        <v>0</v>
      </c>
      <c r="V22" s="121">
        <f>VLOOKUP($B22,'Tillförd energi'!$B$1:$AI$720,MATCH(V$1,'Tillförd energi'!$B$1:$AQ$1,0),FALSE)</f>
        <v>0</v>
      </c>
      <c r="W22" s="121">
        <f>VLOOKUP($B22,'Tillförd energi'!$B$1:$AI$720,MATCH(W$1,'Tillförd energi'!$B$1:$AQ$1,0),FALSE)</f>
        <v>0</v>
      </c>
      <c r="X22" s="121">
        <f>VLOOKUP($B22,'Tillförd energi'!$B$1:$AI$720,MATCH(X$1,'Tillförd energi'!$B$1:$AQ$1,0),FALSE)</f>
        <v>0</v>
      </c>
      <c r="Y22" s="121">
        <f>VLOOKUP($B22,'Tillförd energi'!$B$1:$AI$720,MATCH(Y$1,'Tillförd energi'!$B$1:$AQ$1,0),FALSE)</f>
        <v>0</v>
      </c>
      <c r="Z22" s="121">
        <f>VLOOKUP($B22,'Tillförd energi'!$B$1:$AI$720,MATCH(Z$1,'Tillförd energi'!$B$1:$AQ$1,0),FALSE)</f>
        <v>0</v>
      </c>
      <c r="AA22" s="121">
        <f>VLOOKUP($B22,'Tillförd energi'!$B$1:$AI$720,MATCH(AA$1,'Tillförd energi'!$B$1:$AQ$1,0),FALSE)</f>
        <v>0</v>
      </c>
      <c r="AB22" s="121">
        <f>VLOOKUP($B22,'Tillförd energi'!$B$1:$AI$720,MATCH(AB$1,'Tillförd energi'!$B$1:$AQ$1,0),FALSE)</f>
        <v>0</v>
      </c>
      <c r="AC22" s="121">
        <f>VLOOKUP($B22,'Tillförd energi'!$B$1:$AI$720,MATCH(AC$1,'Tillförd energi'!$B$1:$AQ$1,0),FALSE)</f>
        <v>0</v>
      </c>
      <c r="AD22" s="121">
        <f>VLOOKUP($B22,'Tillförd energi'!$B$1:$AI$720,MATCH(AD$1,'Tillförd energi'!$B$1:$AQ$1,0),FALSE)</f>
        <v>0</v>
      </c>
      <c r="AE22" s="121">
        <f>VLOOKUP($B22,'Tillförd energi'!$B$1:$AI$720,MATCH(AE$1,'Tillförd energi'!$B$1:$AQ$1,0),FALSE)</f>
        <v>0</v>
      </c>
      <c r="AF22" s="121">
        <f>VLOOKUP($B22,'Tillförd energi'!$B$1:$AI$720,MATCH(AF$1,'Tillförd energi'!$B$1:$AQ$1,0),FALSE)</f>
        <v>0.104</v>
      </c>
      <c r="AG22" s="121">
        <f>IFERROR(VLOOKUP(B22,Miljö!$B$1:$AC$550,MATCH("Köpt mängd produktionsspecifik fjärrvärme:",Miljö!$B$1:$AC$1,0),FALSE)/1,0)</f>
        <v>0</v>
      </c>
      <c r="AH22" s="121"/>
      <c r="AI22" s="121">
        <f t="shared" si="0"/>
        <v>7.0730000000000004</v>
      </c>
      <c r="AJ22" s="121">
        <f t="shared" si="1"/>
        <v>7.0730000000000004</v>
      </c>
      <c r="AK22" s="121">
        <f>IF(ISERROR(1/VLOOKUP($B22,Leveranser!$B$1:$S$499,MATCH("såld värme (gwh)",Leveranser!$B$1:$S$1,0),FALSE)),"",VLOOKUP($B22,Leveranser!$B$1:$S$499,MATCH("såld värme (gwh)",Leveranser!$B$1:$S$1,0),FALSE))</f>
        <v>4.95</v>
      </c>
      <c r="AL22" s="121">
        <f>VLOOKUP($B22,Leveranser!$B$1:$Y$499,MATCH("Totalt såld fjärrvärme till andra fjärrvärmeföretag",Leveranser!$B$1:$AA$1,0),FALSE)</f>
        <v>0</v>
      </c>
      <c r="AM22" s="121">
        <f>IF(ISERROR(1/VLOOKUP($B22,Miljö!$B$1:$S$500,MATCH("Såld mängd produktionsspecifik fjärrvärme (GWh)",Miljö!$B$1:$R$1,0),FALSE)),0,VLOOKUP($B22,Miljö!$B$1:$S$500,MATCH("Såld mängd produktionsspecifik fjärrvärme (GWh)",Miljö!$B$1:$R$1,0),FALSE))</f>
        <v>0</v>
      </c>
      <c r="AN22" s="172">
        <f t="shared" si="2"/>
        <v>0.69984447900466562</v>
      </c>
      <c r="AO22" s="121"/>
      <c r="AP22" s="121" t="str">
        <f>IFERROR(VLOOKUP($B22,Miljövärden!$B$2:$H$550,7,FALSE),"Nej, saknas")</f>
        <v>Ja</v>
      </c>
      <c r="AQ22" s="121" t="str">
        <f>IFERROR(VLOOKUP($B22,Miljövärden!$B$2:$H$550,6,FALSE),"Nej, saknas")</f>
        <v>Ja</v>
      </c>
      <c r="AU22">
        <f t="shared" si="3"/>
        <v>0.104</v>
      </c>
      <c r="AV22">
        <f t="shared" si="4"/>
        <v>0</v>
      </c>
      <c r="AW22">
        <f t="shared" si="5"/>
        <v>0</v>
      </c>
      <c r="AX22">
        <f t="shared" si="6"/>
        <v>6.9210000000000003</v>
      </c>
      <c r="AZ22">
        <f t="shared" si="7"/>
        <v>6.9210000000000003</v>
      </c>
      <c r="BC22">
        <f t="shared" si="8"/>
        <v>4.8000000000000001E-2</v>
      </c>
      <c r="BD22">
        <f t="shared" si="9"/>
        <v>0</v>
      </c>
      <c r="BE22">
        <f t="shared" si="10"/>
        <v>6.9210000000000003</v>
      </c>
      <c r="BF22">
        <f t="shared" si="11"/>
        <v>0</v>
      </c>
      <c r="BG22">
        <f t="shared" si="12"/>
        <v>0.104</v>
      </c>
      <c r="BH22">
        <f>VLOOKUP(B22,Miljö!$B$1:$BX$482,MATCH("Fossilandel för ursprungspecificerad el ()",Miljö!$B$1:$I$1,0),FALSE)</f>
        <v>0</v>
      </c>
      <c r="BI22">
        <f>VLOOKUP(B22,Miljö!$B$1:$BX$482,MATCH("Kärnkraftsandel för ursprungsspecificerad el ()",Miljö!$B$1:$O$1,0),FALSE)</f>
        <v>0</v>
      </c>
      <c r="BJ22">
        <f t="shared" si="13"/>
        <v>0</v>
      </c>
      <c r="BK22" t="str">
        <f>VLOOKUP(B22,Miljö!$B$1:$O$482,MATCH("Fossil andel i procent (%)",Miljö!$B$1:$O$1,0),FALSE)</f>
        <v>ET</v>
      </c>
      <c r="BL22">
        <f t="shared" si="14"/>
        <v>7.0730000000000004</v>
      </c>
      <c r="BO22" s="18">
        <f t="shared" si="15"/>
        <v>6.7863707054997878E-3</v>
      </c>
      <c r="BP22" s="18">
        <f t="shared" si="16"/>
        <v>0</v>
      </c>
      <c r="BQ22" s="18">
        <f t="shared" si="17"/>
        <v>0.99321362929450019</v>
      </c>
      <c r="BR22" s="18">
        <f t="shared" si="18"/>
        <v>0</v>
      </c>
      <c r="BT22" s="27">
        <f t="shared" si="19"/>
        <v>1</v>
      </c>
      <c r="BW22" s="18">
        <f>IF(AP22="ja",VLOOKUP(B22,Miljövärden!$B$2:$H$550,MATCH("Total andel fossilt",Miljövärden!$B$2:$H$2,0),FALSE),"")</f>
        <v>6.7863699999999999E-3</v>
      </c>
      <c r="BZ22" s="28">
        <f t="shared" si="20"/>
        <v>-7.0549978792994184E-10</v>
      </c>
      <c r="CA22" s="28">
        <f t="shared" si="21"/>
        <v>0</v>
      </c>
    </row>
    <row r="23" spans="1:79" x14ac:dyDescent="0.25">
      <c r="A23" s="224" t="s">
        <v>211</v>
      </c>
      <c r="B23" s="210" t="s">
        <v>214</v>
      </c>
      <c r="C23" s="121">
        <f>VLOOKUP($B23,'Tillförd energi'!$B$1:$AI$720,MATCH(C$1,'Tillförd energi'!$B$1:$AQ$1,0),FALSE)</f>
        <v>0</v>
      </c>
      <c r="D23" s="121">
        <f>VLOOKUP($B23,'Tillförd energi'!$B$1:$AI$720,MATCH(D$1,'Tillförd energi'!$B$1:$AQ$1,0),FALSE)</f>
        <v>0.37356400000000001</v>
      </c>
      <c r="E23" s="121">
        <f>VLOOKUP($B23,'Tillförd energi'!$B$1:$AI$720,MATCH(E$1,'Tillförd energi'!$B$1:$AQ$1,0),FALSE)</f>
        <v>0</v>
      </c>
      <c r="F23" s="121">
        <f>VLOOKUP($B23,'Tillförd energi'!$B$1:$AI$720,MATCH(F$1,'Tillförd energi'!$B$1:$AQ$1,0),FALSE)</f>
        <v>0</v>
      </c>
      <c r="G23" s="121">
        <f>VLOOKUP($B23,'Tillförd energi'!$B$1:$AI$720,MATCH(G$1,'Tillförd energi'!$B$1:$AQ$1,0),FALSE)</f>
        <v>0</v>
      </c>
      <c r="H23" s="121">
        <f>VLOOKUP($B23,'Tillförd energi'!$B$1:$AI$720,MATCH(H$1,'Tillförd energi'!$B$1:$AQ$1,0),FALSE)</f>
        <v>0</v>
      </c>
      <c r="I23" s="121">
        <f>VLOOKUP($B23,'Tillförd energi'!$B$1:$AI$720,MATCH(I$1,'Tillförd energi'!$B$1:$AQ$1,0),FALSE)</f>
        <v>0</v>
      </c>
      <c r="J23" s="121">
        <f>VLOOKUP($B23,'Tillförd energi'!$B$1:$AI$720,MATCH(J$1,'Tillförd energi'!$B$1:$AQ$1,0),FALSE)</f>
        <v>0</v>
      </c>
      <c r="K23" s="121">
        <f>VLOOKUP($B23,'Tillförd energi'!$B$1:$AI$720,MATCH(K$1,'Tillförd energi'!$B$1:$AQ$1,0),FALSE)</f>
        <v>0</v>
      </c>
      <c r="L23" s="121">
        <f>VLOOKUP($B23,'Tillförd energi'!$B$1:$AI$720,MATCH(L$1,'Tillförd energi'!$B$1:$AQ$1,0),FALSE)</f>
        <v>34.304099999999998</v>
      </c>
      <c r="M23" s="121">
        <f>VLOOKUP($B23,'Tillförd energi'!$B$1:$AI$720,MATCH(M$1,'Tillförd energi'!$B$1:$AQ$1,0),FALSE)</f>
        <v>16.279900000000001</v>
      </c>
      <c r="N23" s="121">
        <f>VLOOKUP($B23,'Tillförd energi'!$B$1:$AI$720,MATCH(N$1,'Tillförd energi'!$B$1:$AQ$1,0),FALSE)</f>
        <v>123.217</v>
      </c>
      <c r="O23" s="121">
        <f>VLOOKUP($B23,'Tillförd energi'!$B$1:$AI$720,MATCH(O$1,'Tillförd energi'!$B$1:$AQ$1,0),FALSE)</f>
        <v>22.534099999999999</v>
      </c>
      <c r="P23" s="121">
        <f>VLOOKUP($B23,'Tillförd energi'!$B$1:$AI$720,MATCH(P$1,'Tillförd energi'!$B$1:$AQ$1,0),FALSE)</f>
        <v>10.9314</v>
      </c>
      <c r="Q23" s="121">
        <f>VLOOKUP($B23,'Tillförd energi'!$B$1:$AI$720,MATCH(Q$1,'Tillförd energi'!$B$1:$AQ$1,0),FALSE)</f>
        <v>6.2052800000000001</v>
      </c>
      <c r="R23" s="121">
        <f>VLOOKUP($B23,'Tillförd energi'!$B$1:$AI$720,MATCH(R$1,'Tillförd energi'!$B$1:$AQ$1,0),FALSE)</f>
        <v>0</v>
      </c>
      <c r="S23" s="121">
        <f>VLOOKUP($B23,'Tillförd energi'!$B$1:$AI$720,MATCH(S$1,'Tillförd energi'!$B$1:$AQ$1,0),FALSE)</f>
        <v>0</v>
      </c>
      <c r="T23" s="121">
        <f>VLOOKUP($B23,'Tillförd energi'!$B$1:$AI$720,MATCH(T$1,'Tillförd energi'!$B$1:$AQ$1,0),FALSE)</f>
        <v>0</v>
      </c>
      <c r="U23" s="121">
        <f>VLOOKUP($B23,'Tillförd energi'!$B$1:$AI$720,MATCH(U$1,'Tillförd energi'!$B$1:$AQ$1,0),FALSE)</f>
        <v>0</v>
      </c>
      <c r="V23" s="121">
        <f>VLOOKUP($B23,'Tillförd energi'!$B$1:$AI$720,MATCH(V$1,'Tillförd energi'!$B$1:$AQ$1,0),FALSE)</f>
        <v>0</v>
      </c>
      <c r="W23" s="121">
        <f>VLOOKUP($B23,'Tillförd energi'!$B$1:$AI$720,MATCH(W$1,'Tillförd energi'!$B$1:$AQ$1,0),FALSE)</f>
        <v>1.2749999999999999</v>
      </c>
      <c r="X23" s="121">
        <f>VLOOKUP($B23,'Tillförd energi'!$B$1:$AI$720,MATCH(X$1,'Tillförd energi'!$B$1:$AQ$1,0),FALSE)</f>
        <v>0</v>
      </c>
      <c r="Y23" s="121">
        <f>VLOOKUP($B23,'Tillförd energi'!$B$1:$AI$720,MATCH(Y$1,'Tillförd energi'!$B$1:$AQ$1,0),FALSE)</f>
        <v>9.2766400000000004</v>
      </c>
      <c r="Z23" s="121">
        <f>VLOOKUP($B23,'Tillförd energi'!$B$1:$AI$720,MATCH(Z$1,'Tillförd energi'!$B$1:$AQ$1,0),FALSE)</f>
        <v>0</v>
      </c>
      <c r="AA23" s="121">
        <f>VLOOKUP($B23,'Tillförd energi'!$B$1:$AI$720,MATCH(AA$1,'Tillförd energi'!$B$1:$AQ$1,0),FALSE)</f>
        <v>0</v>
      </c>
      <c r="AB23" s="121">
        <f>VLOOKUP($B23,'Tillförd energi'!$B$1:$AI$720,MATCH(AB$1,'Tillförd energi'!$B$1:$AQ$1,0),FALSE)</f>
        <v>0</v>
      </c>
      <c r="AC23" s="121">
        <f>VLOOKUP($B23,'Tillförd energi'!$B$1:$AI$720,MATCH(AC$1,'Tillförd energi'!$B$1:$AQ$1,0),FALSE)</f>
        <v>59.843000000000004</v>
      </c>
      <c r="AD23" s="121">
        <f>VLOOKUP($B23,'Tillförd energi'!$B$1:$AI$720,MATCH(AD$1,'Tillförd energi'!$B$1:$AQ$1,0),FALSE)</f>
        <v>0</v>
      </c>
      <c r="AE23" s="121">
        <f>VLOOKUP($B23,'Tillförd energi'!$B$1:$AI$720,MATCH(AE$1,'Tillförd energi'!$B$1:$AQ$1,0),FALSE)</f>
        <v>0</v>
      </c>
      <c r="AF23" s="121">
        <f>VLOOKUP($B23,'Tillförd energi'!$B$1:$AI$720,MATCH(AF$1,'Tillförd energi'!$B$1:$AQ$1,0),FALSE)</f>
        <v>9.6985799999999998</v>
      </c>
      <c r="AG23" s="121">
        <f>IFERROR(VLOOKUP(B23,Miljö!$B$1:$AC$550,MATCH("Köpt mängd produktionsspecifik fjärrvärme:",Miljö!$B$1:$AC$1,0),FALSE)/1,0)</f>
        <v>0</v>
      </c>
      <c r="AH23" s="121"/>
      <c r="AI23" s="121">
        <f t="shared" si="0"/>
        <v>293.93856399999999</v>
      </c>
      <c r="AJ23" s="121">
        <f t="shared" si="1"/>
        <v>293.93856399999999</v>
      </c>
      <c r="AK23" s="121">
        <f>IF(ISERROR(1/VLOOKUP($B23,Leveranser!$B$1:$S$499,MATCH("såld värme (gwh)",Leveranser!$B$1:$S$1,0),FALSE)),"",VLOOKUP($B23,Leveranser!$B$1:$S$499,MATCH("såld värme (gwh)",Leveranser!$B$1:$S$1,0),FALSE))</f>
        <v>243.29599999999999</v>
      </c>
      <c r="AL23" s="121">
        <f>VLOOKUP($B23,Leveranser!$B$1:$Y$499,MATCH("Totalt såld fjärrvärme till andra fjärrvärmeföretag",Leveranser!$B$1:$AA$1,0),FALSE)</f>
        <v>0</v>
      </c>
      <c r="AM23" s="121">
        <f>IF(ISERROR(1/VLOOKUP($B23,Miljö!$B$1:$S$500,MATCH("Såld mängd produktionsspecifik fjärrvärme (GWh)",Miljö!$B$1:$R$1,0),FALSE)),0,VLOOKUP($B23,Miljö!$B$1:$S$500,MATCH("Såld mängd produktionsspecifik fjärrvärme (GWh)",Miljö!$B$1:$R$1,0),FALSE))</f>
        <v>0</v>
      </c>
      <c r="AN23" s="172">
        <f t="shared" si="2"/>
        <v>0.82771037828163307</v>
      </c>
      <c r="AO23" s="121"/>
      <c r="AP23" s="121" t="str">
        <f>IFERROR(VLOOKUP($B23,Miljövärden!$B$2:$H$550,7,FALSE),"Nej, saknas")</f>
        <v>Ja</v>
      </c>
      <c r="AQ23" s="121" t="str">
        <f>IFERROR(VLOOKUP($B23,Miljövärden!$B$2:$H$550,6,FALSE),"Nej, saknas")</f>
        <v>Ja</v>
      </c>
      <c r="AU23">
        <f t="shared" si="3"/>
        <v>9.6985799999999998</v>
      </c>
      <c r="AV23">
        <f t="shared" si="4"/>
        <v>0</v>
      </c>
      <c r="AW23">
        <f t="shared" si="5"/>
        <v>179.16767999999999</v>
      </c>
      <c r="AX23">
        <f t="shared" si="6"/>
        <v>0</v>
      </c>
      <c r="AZ23">
        <f t="shared" si="7"/>
        <v>214.74677999999997</v>
      </c>
      <c r="BC23">
        <f t="shared" si="8"/>
        <v>0.37356400000000001</v>
      </c>
      <c r="BD23">
        <f t="shared" si="9"/>
        <v>9.2766400000000004</v>
      </c>
      <c r="BE23">
        <f t="shared" si="10"/>
        <v>180.44268</v>
      </c>
      <c r="BF23">
        <f t="shared" si="11"/>
        <v>94.147099999999995</v>
      </c>
      <c r="BG23">
        <f t="shared" si="12"/>
        <v>9.6985799999999998</v>
      </c>
      <c r="BH23">
        <f>VLOOKUP(B23,Miljö!$B$1:$BX$482,MATCH("Fossilandel för ursprungspecificerad el ()",Miljö!$B$1:$I$1,0),FALSE)</f>
        <v>0</v>
      </c>
      <c r="BI23">
        <f>VLOOKUP(B23,Miljö!$B$1:$BX$482,MATCH("Kärnkraftsandel för ursprungsspecificerad el ()",Miljö!$B$1:$O$1,0),FALSE)</f>
        <v>0</v>
      </c>
      <c r="BJ23">
        <f t="shared" si="13"/>
        <v>0</v>
      </c>
      <c r="BK23" t="str">
        <f>VLOOKUP(B23,Miljö!$B$1:$O$482,MATCH("Fossil andel i procent (%)",Miljö!$B$1:$O$1,0),FALSE)</f>
        <v>ET</v>
      </c>
      <c r="BL23">
        <f t="shared" si="14"/>
        <v>293.93856399999999</v>
      </c>
      <c r="BO23" s="18">
        <f t="shared" si="15"/>
        <v>1.2708914234200316E-3</v>
      </c>
      <c r="BP23" s="18">
        <f t="shared" si="16"/>
        <v>3.1559792202019467E-2</v>
      </c>
      <c r="BQ23" s="18">
        <f t="shared" si="17"/>
        <v>0.64687415428756057</v>
      </c>
      <c r="BR23" s="18">
        <f t="shared" si="18"/>
        <v>0.32029516208699993</v>
      </c>
      <c r="BT23" s="27">
        <f t="shared" si="19"/>
        <v>1</v>
      </c>
      <c r="BW23" s="18">
        <f>IF(AP23="ja",VLOOKUP(B23,Miljövärden!$B$2:$H$550,MATCH("Total andel fossilt",Miljövärden!$B$2:$H$2,0),FALSE),"")</f>
        <v>1.27089E-3</v>
      </c>
      <c r="BZ23" s="28">
        <f t="shared" si="20"/>
        <v>-1.4234200315828283E-9</v>
      </c>
      <c r="CA23" s="28">
        <f t="shared" si="21"/>
        <v>0</v>
      </c>
    </row>
    <row r="24" spans="1:79" x14ac:dyDescent="0.25">
      <c r="A24" s="224" t="s">
        <v>211</v>
      </c>
      <c r="B24" s="210" t="s">
        <v>215</v>
      </c>
      <c r="C24" s="121">
        <f>VLOOKUP($B24,'Tillförd energi'!$B$1:$AI$720,MATCH(C$1,'Tillförd energi'!$B$1:$AQ$1,0),FALSE)</f>
        <v>0</v>
      </c>
      <c r="D24" s="121">
        <f>VLOOKUP($B24,'Tillförd energi'!$B$1:$AI$720,MATCH(D$1,'Tillförd energi'!$B$1:$AQ$1,0),FALSE)</f>
        <v>0.193</v>
      </c>
      <c r="E24" s="121">
        <f>VLOOKUP($B24,'Tillförd energi'!$B$1:$AI$720,MATCH(E$1,'Tillförd energi'!$B$1:$AQ$1,0),FALSE)</f>
        <v>0</v>
      </c>
      <c r="F24" s="121">
        <f>VLOOKUP($B24,'Tillförd energi'!$B$1:$AI$720,MATCH(F$1,'Tillförd energi'!$B$1:$AQ$1,0),FALSE)</f>
        <v>0</v>
      </c>
      <c r="G24" s="121">
        <f>VLOOKUP($B24,'Tillförd energi'!$B$1:$AI$720,MATCH(G$1,'Tillförd energi'!$B$1:$AQ$1,0),FALSE)</f>
        <v>0</v>
      </c>
      <c r="H24" s="121">
        <f>VLOOKUP($B24,'Tillförd energi'!$B$1:$AI$720,MATCH(H$1,'Tillförd energi'!$B$1:$AQ$1,0),FALSE)</f>
        <v>0</v>
      </c>
      <c r="I24" s="121">
        <f>VLOOKUP($B24,'Tillförd energi'!$B$1:$AI$720,MATCH(I$1,'Tillförd energi'!$B$1:$AQ$1,0),FALSE)</f>
        <v>0</v>
      </c>
      <c r="J24" s="121">
        <f>VLOOKUP($B24,'Tillförd energi'!$B$1:$AI$720,MATCH(J$1,'Tillförd energi'!$B$1:$AQ$1,0),FALSE)</f>
        <v>0</v>
      </c>
      <c r="K24" s="121">
        <f>VLOOKUP($B24,'Tillförd energi'!$B$1:$AI$720,MATCH(K$1,'Tillförd energi'!$B$1:$AQ$1,0),FALSE)</f>
        <v>0</v>
      </c>
      <c r="L24" s="121">
        <f>VLOOKUP($B24,'Tillförd energi'!$B$1:$AI$720,MATCH(L$1,'Tillförd energi'!$B$1:$AQ$1,0),FALSE)</f>
        <v>0</v>
      </c>
      <c r="M24" s="121">
        <f>VLOOKUP($B24,'Tillförd energi'!$B$1:$AI$720,MATCH(M$1,'Tillförd energi'!$B$1:$AQ$1,0),FALSE)</f>
        <v>0</v>
      </c>
      <c r="N24" s="121">
        <f>VLOOKUP($B24,'Tillförd energi'!$B$1:$AI$720,MATCH(N$1,'Tillförd energi'!$B$1:$AQ$1,0),FALSE)</f>
        <v>0</v>
      </c>
      <c r="O24" s="121">
        <f>VLOOKUP($B24,'Tillförd energi'!$B$1:$AI$720,MATCH(O$1,'Tillförd energi'!$B$1:$AQ$1,0),FALSE)</f>
        <v>0</v>
      </c>
      <c r="P24" s="121">
        <f>VLOOKUP($B24,'Tillförd energi'!$B$1:$AI$720,MATCH(P$1,'Tillförd energi'!$B$1:$AQ$1,0),FALSE)</f>
        <v>0</v>
      </c>
      <c r="Q24" s="121">
        <f>VLOOKUP($B24,'Tillförd energi'!$B$1:$AI$720,MATCH(Q$1,'Tillförd energi'!$B$1:$AQ$1,0),FALSE)</f>
        <v>0</v>
      </c>
      <c r="R24" s="121">
        <f>VLOOKUP($B24,'Tillförd energi'!$B$1:$AI$720,MATCH(R$1,'Tillförd energi'!$B$1:$AQ$1,0),FALSE)</f>
        <v>5.6630000000000003</v>
      </c>
      <c r="S24" s="121">
        <f>VLOOKUP($B24,'Tillförd energi'!$B$1:$AI$720,MATCH(S$1,'Tillförd energi'!$B$1:$AQ$1,0),FALSE)</f>
        <v>0</v>
      </c>
      <c r="T24" s="121">
        <f>VLOOKUP($B24,'Tillförd energi'!$B$1:$AI$720,MATCH(T$1,'Tillförd energi'!$B$1:$AQ$1,0),FALSE)</f>
        <v>0</v>
      </c>
      <c r="U24" s="121">
        <f>VLOOKUP($B24,'Tillförd energi'!$B$1:$AI$720,MATCH(U$1,'Tillförd energi'!$B$1:$AQ$1,0),FALSE)</f>
        <v>0</v>
      </c>
      <c r="V24" s="121">
        <f>VLOOKUP($B24,'Tillförd energi'!$B$1:$AI$720,MATCH(V$1,'Tillförd energi'!$B$1:$AQ$1,0),FALSE)</f>
        <v>0</v>
      </c>
      <c r="W24" s="121">
        <f>VLOOKUP($B24,'Tillförd energi'!$B$1:$AI$720,MATCH(W$1,'Tillförd energi'!$B$1:$AQ$1,0),FALSE)</f>
        <v>0</v>
      </c>
      <c r="X24" s="121">
        <f>VLOOKUP($B24,'Tillförd energi'!$B$1:$AI$720,MATCH(X$1,'Tillförd energi'!$B$1:$AQ$1,0),FALSE)</f>
        <v>0</v>
      </c>
      <c r="Y24" s="121">
        <f>VLOOKUP($B24,'Tillförd energi'!$B$1:$AI$720,MATCH(Y$1,'Tillförd energi'!$B$1:$AQ$1,0),FALSE)</f>
        <v>0</v>
      </c>
      <c r="Z24" s="121">
        <f>VLOOKUP($B24,'Tillförd energi'!$B$1:$AI$720,MATCH(Z$1,'Tillförd energi'!$B$1:$AQ$1,0),FALSE)</f>
        <v>0</v>
      </c>
      <c r="AA24" s="121">
        <f>VLOOKUP($B24,'Tillförd energi'!$B$1:$AI$720,MATCH(AA$1,'Tillförd energi'!$B$1:$AQ$1,0),FALSE)</f>
        <v>0</v>
      </c>
      <c r="AB24" s="121">
        <f>VLOOKUP($B24,'Tillförd energi'!$B$1:$AI$720,MATCH(AB$1,'Tillförd energi'!$B$1:$AQ$1,0),FALSE)</f>
        <v>0</v>
      </c>
      <c r="AC24" s="121">
        <f>VLOOKUP($B24,'Tillförd energi'!$B$1:$AI$720,MATCH(AC$1,'Tillförd energi'!$B$1:$AQ$1,0),FALSE)</f>
        <v>0</v>
      </c>
      <c r="AD24" s="121">
        <f>VLOOKUP($B24,'Tillförd energi'!$B$1:$AI$720,MATCH(AD$1,'Tillförd energi'!$B$1:$AQ$1,0),FALSE)</f>
        <v>0</v>
      </c>
      <c r="AE24" s="121">
        <f>VLOOKUP($B24,'Tillförd energi'!$B$1:$AI$720,MATCH(AE$1,'Tillförd energi'!$B$1:$AQ$1,0),FALSE)</f>
        <v>0</v>
      </c>
      <c r="AF24" s="121">
        <f>VLOOKUP($B24,'Tillförd energi'!$B$1:$AI$720,MATCH(AF$1,'Tillförd energi'!$B$1:$AQ$1,0),FALSE)</f>
        <v>0.112</v>
      </c>
      <c r="AG24" s="121">
        <f>IFERROR(VLOOKUP(B24,Miljö!$B$1:$AC$550,MATCH("Köpt mängd produktionsspecifik fjärrvärme:",Miljö!$B$1:$AC$1,0),FALSE)/1,0)</f>
        <v>0</v>
      </c>
      <c r="AH24" s="121"/>
      <c r="AI24" s="121">
        <f t="shared" si="0"/>
        <v>5.968</v>
      </c>
      <c r="AJ24" s="121">
        <f t="shared" si="1"/>
        <v>5.968</v>
      </c>
      <c r="AK24" s="121">
        <f>IF(ISERROR(1/VLOOKUP($B24,Leveranser!$B$1:$S$499,MATCH("såld värme (gwh)",Leveranser!$B$1:$S$1,0),FALSE)),"",VLOOKUP($B24,Leveranser!$B$1:$S$499,MATCH("såld värme (gwh)",Leveranser!$B$1:$S$1,0),FALSE))</f>
        <v>4.0970000000000004</v>
      </c>
      <c r="AL24" s="121">
        <f>VLOOKUP($B24,Leveranser!$B$1:$Y$499,MATCH("Totalt såld fjärrvärme till andra fjärrvärmeföretag",Leveranser!$B$1:$AA$1,0),FALSE)</f>
        <v>0</v>
      </c>
      <c r="AM24" s="121">
        <f>IF(ISERROR(1/VLOOKUP($B24,Miljö!$B$1:$S$500,MATCH("Såld mängd produktionsspecifik fjärrvärme (GWh)",Miljö!$B$1:$R$1,0),FALSE)),0,VLOOKUP($B24,Miljö!$B$1:$S$500,MATCH("Såld mängd produktionsspecifik fjärrvärme (GWh)",Miljö!$B$1:$R$1,0),FALSE))</f>
        <v>0</v>
      </c>
      <c r="AN24" s="172">
        <f t="shared" si="2"/>
        <v>0.68649463806970512</v>
      </c>
      <c r="AO24" s="121"/>
      <c r="AP24" s="121" t="str">
        <f>IFERROR(VLOOKUP($B24,Miljövärden!$B$2:$H$550,7,FALSE),"Nej, saknas")</f>
        <v>Ja</v>
      </c>
      <c r="AQ24" s="121" t="str">
        <f>IFERROR(VLOOKUP($B24,Miljövärden!$B$2:$H$550,6,FALSE),"Nej, saknas")</f>
        <v>Ja</v>
      </c>
      <c r="AU24">
        <f t="shared" si="3"/>
        <v>0.112</v>
      </c>
      <c r="AV24">
        <f t="shared" si="4"/>
        <v>0</v>
      </c>
      <c r="AW24">
        <f t="shared" si="5"/>
        <v>0</v>
      </c>
      <c r="AX24">
        <f t="shared" si="6"/>
        <v>5.6630000000000003</v>
      </c>
      <c r="AZ24">
        <f t="shared" si="7"/>
        <v>5.6630000000000003</v>
      </c>
      <c r="BC24">
        <f t="shared" si="8"/>
        <v>0.193</v>
      </c>
      <c r="BD24">
        <f t="shared" si="9"/>
        <v>0</v>
      </c>
      <c r="BE24">
        <f t="shared" si="10"/>
        <v>5.6630000000000003</v>
      </c>
      <c r="BF24">
        <f t="shared" si="11"/>
        <v>0</v>
      </c>
      <c r="BG24">
        <f t="shared" si="12"/>
        <v>0.112</v>
      </c>
      <c r="BH24">
        <f>VLOOKUP(B24,Miljö!$B$1:$BX$482,MATCH("Fossilandel för ursprungspecificerad el ()",Miljö!$B$1:$I$1,0),FALSE)</f>
        <v>0</v>
      </c>
      <c r="BI24">
        <f>VLOOKUP(B24,Miljö!$B$1:$BX$482,MATCH("Kärnkraftsandel för ursprungsspecificerad el ()",Miljö!$B$1:$O$1,0),FALSE)</f>
        <v>0</v>
      </c>
      <c r="BJ24">
        <f t="shared" si="13"/>
        <v>0</v>
      </c>
      <c r="BK24" t="str">
        <f>VLOOKUP(B24,Miljö!$B$1:$O$482,MATCH("Fossil andel i procent (%)",Miljö!$B$1:$O$1,0),FALSE)</f>
        <v>ET</v>
      </c>
      <c r="BL24">
        <f t="shared" si="14"/>
        <v>5.968</v>
      </c>
      <c r="BO24" s="18">
        <f t="shared" si="15"/>
        <v>3.2339142091152816E-2</v>
      </c>
      <c r="BP24" s="18">
        <f t="shared" si="16"/>
        <v>0</v>
      </c>
      <c r="BQ24" s="18">
        <f t="shared" si="17"/>
        <v>0.96766085790884726</v>
      </c>
      <c r="BR24" s="18">
        <f t="shared" si="18"/>
        <v>0</v>
      </c>
      <c r="BT24" s="27">
        <f t="shared" si="19"/>
        <v>1</v>
      </c>
      <c r="BW24" s="18">
        <f>IF(AP24="ja",VLOOKUP(B24,Miljövärden!$B$2:$H$550,MATCH("Total andel fossilt",Miljövärden!$B$2:$H$2,0),FALSE),"")</f>
        <v>3.2339100000000003E-2</v>
      </c>
      <c r="BZ24" s="28">
        <f t="shared" si="20"/>
        <v>-4.2091152813172883E-8</v>
      </c>
      <c r="CA24" s="28">
        <f t="shared" si="21"/>
        <v>0</v>
      </c>
    </row>
    <row r="25" spans="1:79" x14ac:dyDescent="0.25">
      <c r="A25" s="224" t="s">
        <v>211</v>
      </c>
      <c r="B25" s="210" t="s">
        <v>216</v>
      </c>
      <c r="C25" s="121">
        <f>VLOOKUP($B25,'Tillförd energi'!$B$1:$AI$720,MATCH(C$1,'Tillförd energi'!$B$1:$AQ$1,0),FALSE)</f>
        <v>0</v>
      </c>
      <c r="D25" s="121">
        <f>VLOOKUP($B25,'Tillförd energi'!$B$1:$AI$720,MATCH(D$1,'Tillförd energi'!$B$1:$AQ$1,0),FALSE)</f>
        <v>0.17199999999999999</v>
      </c>
      <c r="E25" s="121">
        <f>VLOOKUP($B25,'Tillförd energi'!$B$1:$AI$720,MATCH(E$1,'Tillförd energi'!$B$1:$AQ$1,0),FALSE)</f>
        <v>0</v>
      </c>
      <c r="F25" s="121">
        <f>VLOOKUP($B25,'Tillförd energi'!$B$1:$AI$720,MATCH(F$1,'Tillförd energi'!$B$1:$AQ$1,0),FALSE)</f>
        <v>0</v>
      </c>
      <c r="G25" s="121">
        <f>VLOOKUP($B25,'Tillförd energi'!$B$1:$AI$720,MATCH(G$1,'Tillförd energi'!$B$1:$AQ$1,0),FALSE)</f>
        <v>0</v>
      </c>
      <c r="H25" s="121">
        <f>VLOOKUP($B25,'Tillförd energi'!$B$1:$AI$720,MATCH(H$1,'Tillförd energi'!$B$1:$AQ$1,0),FALSE)</f>
        <v>0</v>
      </c>
      <c r="I25" s="121">
        <f>VLOOKUP($B25,'Tillförd energi'!$B$1:$AI$720,MATCH(I$1,'Tillförd energi'!$B$1:$AQ$1,0),FALSE)</f>
        <v>0</v>
      </c>
      <c r="J25" s="121">
        <f>VLOOKUP($B25,'Tillförd energi'!$B$1:$AI$720,MATCH(J$1,'Tillförd energi'!$B$1:$AQ$1,0),FALSE)</f>
        <v>0</v>
      </c>
      <c r="K25" s="121">
        <f>VLOOKUP($B25,'Tillförd energi'!$B$1:$AI$720,MATCH(K$1,'Tillförd energi'!$B$1:$AQ$1,0),FALSE)</f>
        <v>0</v>
      </c>
      <c r="L25" s="121">
        <f>VLOOKUP($B25,'Tillförd energi'!$B$1:$AI$720,MATCH(L$1,'Tillförd energi'!$B$1:$AQ$1,0),FALSE)</f>
        <v>0</v>
      </c>
      <c r="M25" s="121">
        <f>VLOOKUP($B25,'Tillförd energi'!$B$1:$AI$720,MATCH(M$1,'Tillförd energi'!$B$1:$AQ$1,0),FALSE)</f>
        <v>0</v>
      </c>
      <c r="N25" s="121">
        <f>VLOOKUP($B25,'Tillförd energi'!$B$1:$AI$720,MATCH(N$1,'Tillförd energi'!$B$1:$AQ$1,0),FALSE)</f>
        <v>0</v>
      </c>
      <c r="O25" s="121">
        <f>VLOOKUP($B25,'Tillförd energi'!$B$1:$AI$720,MATCH(O$1,'Tillförd energi'!$B$1:$AQ$1,0),FALSE)</f>
        <v>0</v>
      </c>
      <c r="P25" s="121">
        <f>VLOOKUP($B25,'Tillförd energi'!$B$1:$AI$720,MATCH(P$1,'Tillförd energi'!$B$1:$AQ$1,0),FALSE)</f>
        <v>0</v>
      </c>
      <c r="Q25" s="121">
        <f>VLOOKUP($B25,'Tillförd energi'!$B$1:$AI$720,MATCH(Q$1,'Tillförd energi'!$B$1:$AQ$1,0),FALSE)</f>
        <v>0</v>
      </c>
      <c r="R25" s="121">
        <f>VLOOKUP($B25,'Tillförd energi'!$B$1:$AI$720,MATCH(R$1,'Tillförd energi'!$B$1:$AQ$1,0),FALSE)</f>
        <v>0.63200000000000001</v>
      </c>
      <c r="S25" s="121">
        <f>VLOOKUP($B25,'Tillförd energi'!$B$1:$AI$720,MATCH(S$1,'Tillförd energi'!$B$1:$AQ$1,0),FALSE)</f>
        <v>0</v>
      </c>
      <c r="T25" s="121">
        <f>VLOOKUP($B25,'Tillförd energi'!$B$1:$AI$720,MATCH(T$1,'Tillförd energi'!$B$1:$AQ$1,0),FALSE)</f>
        <v>0</v>
      </c>
      <c r="U25" s="121">
        <f>VLOOKUP($B25,'Tillförd energi'!$B$1:$AI$720,MATCH(U$1,'Tillförd energi'!$B$1:$AQ$1,0),FALSE)</f>
        <v>0</v>
      </c>
      <c r="V25" s="121">
        <f>VLOOKUP($B25,'Tillförd energi'!$B$1:$AI$720,MATCH(V$1,'Tillförd energi'!$B$1:$AQ$1,0),FALSE)</f>
        <v>0</v>
      </c>
      <c r="W25" s="121">
        <f>VLOOKUP($B25,'Tillförd energi'!$B$1:$AI$720,MATCH(W$1,'Tillförd energi'!$B$1:$AQ$1,0),FALSE)</f>
        <v>0</v>
      </c>
      <c r="X25" s="121">
        <f>VLOOKUP($B25,'Tillförd energi'!$B$1:$AI$720,MATCH(X$1,'Tillförd energi'!$B$1:$AQ$1,0),FALSE)</f>
        <v>0</v>
      </c>
      <c r="Y25" s="121">
        <f>VLOOKUP($B25,'Tillförd energi'!$B$1:$AI$720,MATCH(Y$1,'Tillförd energi'!$B$1:$AQ$1,0),FALSE)</f>
        <v>0</v>
      </c>
      <c r="Z25" s="121">
        <f>VLOOKUP($B25,'Tillförd energi'!$B$1:$AI$720,MATCH(Z$1,'Tillförd energi'!$B$1:$AQ$1,0),FALSE)</f>
        <v>5.2999999999999999E-2</v>
      </c>
      <c r="AA25" s="121">
        <f>VLOOKUP($B25,'Tillförd energi'!$B$1:$AI$720,MATCH(AA$1,'Tillförd energi'!$B$1:$AQ$1,0),FALSE)</f>
        <v>0</v>
      </c>
      <c r="AB25" s="121">
        <f>VLOOKUP($B25,'Tillförd energi'!$B$1:$AI$720,MATCH(AB$1,'Tillförd energi'!$B$1:$AQ$1,0),FALSE)</f>
        <v>0</v>
      </c>
      <c r="AC25" s="121">
        <f>VLOOKUP($B25,'Tillförd energi'!$B$1:$AI$720,MATCH(AC$1,'Tillförd energi'!$B$1:$AQ$1,0),FALSE)</f>
        <v>0</v>
      </c>
      <c r="AD25" s="121">
        <f>VLOOKUP($B25,'Tillförd energi'!$B$1:$AI$720,MATCH(AD$1,'Tillförd energi'!$B$1:$AQ$1,0),FALSE)</f>
        <v>0</v>
      </c>
      <c r="AE25" s="121">
        <f>VLOOKUP($B25,'Tillförd energi'!$B$1:$AI$720,MATCH(AE$1,'Tillförd energi'!$B$1:$AQ$1,0),FALSE)</f>
        <v>0</v>
      </c>
      <c r="AF25" s="121">
        <f>VLOOKUP($B25,'Tillförd energi'!$B$1:$AI$720,MATCH(AF$1,'Tillförd energi'!$B$1:$AQ$1,0),FALSE)</f>
        <v>1.4999999999999999E-2</v>
      </c>
      <c r="AG25" s="121">
        <f>IFERROR(VLOOKUP(B25,Miljö!$B$1:$AC$550,MATCH("Köpt mängd produktionsspecifik fjärrvärme:",Miljö!$B$1:$AC$1,0),FALSE)/1,0)</f>
        <v>0</v>
      </c>
      <c r="AH25" s="121"/>
      <c r="AI25" s="121">
        <f t="shared" si="0"/>
        <v>0.87200000000000011</v>
      </c>
      <c r="AJ25" s="121">
        <f t="shared" si="1"/>
        <v>0.87200000000000011</v>
      </c>
      <c r="AK25" s="121">
        <f>IF(ISERROR(1/VLOOKUP($B25,Leveranser!$B$1:$S$499,MATCH("såld värme (gwh)",Leveranser!$B$1:$S$1,0),FALSE)),"",VLOOKUP($B25,Leveranser!$B$1:$S$499,MATCH("såld värme (gwh)",Leveranser!$B$1:$S$1,0),FALSE))</f>
        <v>0.7</v>
      </c>
      <c r="AL25" s="121">
        <f>VLOOKUP($B25,Leveranser!$B$1:$Y$499,MATCH("Totalt såld fjärrvärme till andra fjärrvärmeföretag",Leveranser!$B$1:$AA$1,0),FALSE)</f>
        <v>0</v>
      </c>
      <c r="AM25" s="121">
        <f>IF(ISERROR(1/VLOOKUP($B25,Miljö!$B$1:$S$500,MATCH("Såld mängd produktionsspecifik fjärrvärme (GWh)",Miljö!$B$1:$R$1,0),FALSE)),0,VLOOKUP($B25,Miljö!$B$1:$S$500,MATCH("Såld mängd produktionsspecifik fjärrvärme (GWh)",Miljö!$B$1:$R$1,0),FALSE))</f>
        <v>0</v>
      </c>
      <c r="AN25" s="172">
        <f t="shared" si="2"/>
        <v>0.8027522935779815</v>
      </c>
      <c r="AO25" s="121"/>
      <c r="AP25" s="121" t="str">
        <f>IFERROR(VLOOKUP($B25,Miljövärden!$B$2:$H$550,7,FALSE),"Nej, saknas")</f>
        <v>Ja</v>
      </c>
      <c r="AQ25" s="121" t="str">
        <f>IFERROR(VLOOKUP($B25,Miljövärden!$B$2:$H$550,6,FALSE),"Nej, saknas")</f>
        <v>Ja</v>
      </c>
      <c r="AU25">
        <f t="shared" si="3"/>
        <v>6.8000000000000005E-2</v>
      </c>
      <c r="AV25">
        <f t="shared" si="4"/>
        <v>0</v>
      </c>
      <c r="AW25">
        <f t="shared" si="5"/>
        <v>0</v>
      </c>
      <c r="AX25">
        <f t="shared" si="6"/>
        <v>0.63200000000000001</v>
      </c>
      <c r="AZ25">
        <f t="shared" si="7"/>
        <v>0.63200000000000001</v>
      </c>
      <c r="BC25">
        <f t="shared" si="8"/>
        <v>0.17199999999999999</v>
      </c>
      <c r="BD25">
        <f t="shared" si="9"/>
        <v>0</v>
      </c>
      <c r="BE25">
        <f t="shared" si="10"/>
        <v>0.63200000000000001</v>
      </c>
      <c r="BF25">
        <f t="shared" si="11"/>
        <v>0</v>
      </c>
      <c r="BG25">
        <f t="shared" si="12"/>
        <v>6.8000000000000005E-2</v>
      </c>
      <c r="BH25">
        <f>VLOOKUP(B25,Miljö!$B$1:$BX$482,MATCH("Fossilandel för ursprungspecificerad el ()",Miljö!$B$1:$I$1,0),FALSE)</f>
        <v>0</v>
      </c>
      <c r="BI25">
        <f>VLOOKUP(B25,Miljö!$B$1:$BX$482,MATCH("Kärnkraftsandel för ursprungsspecificerad el ()",Miljö!$B$1:$O$1,0),FALSE)</f>
        <v>0</v>
      </c>
      <c r="BJ25">
        <f t="shared" si="13"/>
        <v>0</v>
      </c>
      <c r="BK25" t="str">
        <f>VLOOKUP(B25,Miljö!$B$1:$O$482,MATCH("Fossil andel i procent (%)",Miljö!$B$1:$O$1,0),FALSE)</f>
        <v>ET</v>
      </c>
      <c r="BL25">
        <f t="shared" si="14"/>
        <v>0.87200000000000011</v>
      </c>
      <c r="BO25" s="18">
        <f t="shared" si="15"/>
        <v>0.1972477064220183</v>
      </c>
      <c r="BP25" s="18">
        <f t="shared" si="16"/>
        <v>0</v>
      </c>
      <c r="BQ25" s="18">
        <f t="shared" si="17"/>
        <v>0.8027522935779815</v>
      </c>
      <c r="BR25" s="18">
        <f t="shared" si="18"/>
        <v>0</v>
      </c>
      <c r="BT25" s="27">
        <f t="shared" si="19"/>
        <v>0.99999999999999978</v>
      </c>
      <c r="BW25" s="18">
        <f>IF(AP25="ja",VLOOKUP(B25,Miljövärden!$B$2:$H$550,MATCH("Total andel fossilt",Miljövärden!$B$2:$H$2,0),FALSE),"")</f>
        <v>0.19724800000000001</v>
      </c>
      <c r="BZ25" s="28">
        <f t="shared" si="20"/>
        <v>2.9357798170259741E-7</v>
      </c>
      <c r="CA25" s="28">
        <f t="shared" si="21"/>
        <v>0</v>
      </c>
    </row>
    <row r="26" spans="1:79" x14ac:dyDescent="0.25">
      <c r="A26" s="224" t="s">
        <v>217</v>
      </c>
      <c r="B26" s="210" t="s">
        <v>218</v>
      </c>
      <c r="C26" s="121">
        <f>VLOOKUP($B26,'Tillförd energi'!$B$1:$AI$720,MATCH(C$1,'Tillförd energi'!$B$1:$AQ$1,0),FALSE)</f>
        <v>0</v>
      </c>
      <c r="D26" s="121">
        <f>VLOOKUP($B26,'Tillförd energi'!$B$1:$AI$720,MATCH(D$1,'Tillförd energi'!$B$1:$AQ$1,0),FALSE)</f>
        <v>0.06</v>
      </c>
      <c r="E26" s="121">
        <f>VLOOKUP($B26,'Tillförd energi'!$B$1:$AI$720,MATCH(E$1,'Tillförd energi'!$B$1:$AQ$1,0),FALSE)</f>
        <v>0</v>
      </c>
      <c r="F26" s="121">
        <f>VLOOKUP($B26,'Tillförd energi'!$B$1:$AI$720,MATCH(F$1,'Tillförd energi'!$B$1:$AQ$1,0),FALSE)</f>
        <v>0</v>
      </c>
      <c r="G26" s="121">
        <f>VLOOKUP($B26,'Tillförd energi'!$B$1:$AI$720,MATCH(G$1,'Tillförd energi'!$B$1:$AQ$1,0),FALSE)</f>
        <v>0</v>
      </c>
      <c r="H26" s="121">
        <f>VLOOKUP($B26,'Tillförd energi'!$B$1:$AI$720,MATCH(H$1,'Tillförd energi'!$B$1:$AQ$1,0),FALSE)</f>
        <v>0</v>
      </c>
      <c r="I26" s="121">
        <f>VLOOKUP($B26,'Tillförd energi'!$B$1:$AI$720,MATCH(I$1,'Tillförd energi'!$B$1:$AQ$1,0),FALSE)</f>
        <v>0</v>
      </c>
      <c r="J26" s="121">
        <f>VLOOKUP($B26,'Tillförd energi'!$B$1:$AI$720,MATCH(J$1,'Tillförd energi'!$B$1:$AQ$1,0),FALSE)</f>
        <v>1.66</v>
      </c>
      <c r="K26" s="121">
        <f>VLOOKUP($B26,'Tillförd energi'!$B$1:$AI$720,MATCH(K$1,'Tillförd energi'!$B$1:$AQ$1,0),FALSE)</f>
        <v>0</v>
      </c>
      <c r="L26" s="121">
        <f>VLOOKUP($B26,'Tillförd energi'!$B$1:$AI$720,MATCH(L$1,'Tillförd energi'!$B$1:$AQ$1,0),FALSE)</f>
        <v>0</v>
      </c>
      <c r="M26" s="121">
        <f>VLOOKUP($B26,'Tillförd energi'!$B$1:$AI$720,MATCH(M$1,'Tillförd energi'!$B$1:$AQ$1,0),FALSE)</f>
        <v>0</v>
      </c>
      <c r="N26" s="121">
        <f>VLOOKUP($B26,'Tillförd energi'!$B$1:$AI$720,MATCH(N$1,'Tillförd energi'!$B$1:$AQ$1,0),FALSE)</f>
        <v>0</v>
      </c>
      <c r="O26" s="121">
        <f>VLOOKUP($B26,'Tillförd energi'!$B$1:$AI$720,MATCH(O$1,'Tillförd energi'!$B$1:$AQ$1,0),FALSE)</f>
        <v>0</v>
      </c>
      <c r="P26" s="121">
        <f>VLOOKUP($B26,'Tillförd energi'!$B$1:$AI$720,MATCH(P$1,'Tillförd energi'!$B$1:$AQ$1,0),FALSE)</f>
        <v>0</v>
      </c>
      <c r="Q26" s="121">
        <f>VLOOKUP($B26,'Tillförd energi'!$B$1:$AI$720,MATCH(Q$1,'Tillförd energi'!$B$1:$AQ$1,0),FALSE)</f>
        <v>124.85</v>
      </c>
      <c r="R26" s="121">
        <f>VLOOKUP($B26,'Tillförd energi'!$B$1:$AI$720,MATCH(R$1,'Tillförd energi'!$B$1:$AQ$1,0),FALSE)</f>
        <v>0</v>
      </c>
      <c r="S26" s="121">
        <f>VLOOKUP($B26,'Tillförd energi'!$B$1:$AI$720,MATCH(S$1,'Tillförd energi'!$B$1:$AQ$1,0),FALSE)</f>
        <v>0</v>
      </c>
      <c r="T26" s="121">
        <f>VLOOKUP($B26,'Tillförd energi'!$B$1:$AI$720,MATCH(T$1,'Tillförd energi'!$B$1:$AQ$1,0),FALSE)</f>
        <v>0</v>
      </c>
      <c r="U26" s="121">
        <f>VLOOKUP($B26,'Tillförd energi'!$B$1:$AI$720,MATCH(U$1,'Tillförd energi'!$B$1:$AQ$1,0),FALSE)</f>
        <v>0</v>
      </c>
      <c r="V26" s="121">
        <f>VLOOKUP($B26,'Tillförd energi'!$B$1:$AI$720,MATCH(V$1,'Tillförd energi'!$B$1:$AQ$1,0),FALSE)</f>
        <v>0</v>
      </c>
      <c r="W26" s="121">
        <f>VLOOKUP($B26,'Tillförd energi'!$B$1:$AI$720,MATCH(W$1,'Tillförd energi'!$B$1:$AQ$1,0),FALSE)</f>
        <v>1.52</v>
      </c>
      <c r="X26" s="121">
        <f>VLOOKUP($B26,'Tillförd energi'!$B$1:$AI$720,MATCH(X$1,'Tillförd energi'!$B$1:$AQ$1,0),FALSE)</f>
        <v>0</v>
      </c>
      <c r="Y26" s="121">
        <f>VLOOKUP($B26,'Tillförd energi'!$B$1:$AI$720,MATCH(Y$1,'Tillförd energi'!$B$1:$AQ$1,0),FALSE)</f>
        <v>0</v>
      </c>
      <c r="Z26" s="121">
        <f>VLOOKUP($B26,'Tillförd energi'!$B$1:$AI$720,MATCH(Z$1,'Tillförd energi'!$B$1:$AQ$1,0),FALSE)</f>
        <v>0</v>
      </c>
      <c r="AA26" s="121">
        <f>VLOOKUP($B26,'Tillförd energi'!$B$1:$AI$720,MATCH(AA$1,'Tillförd energi'!$B$1:$AQ$1,0),FALSE)</f>
        <v>0</v>
      </c>
      <c r="AB26" s="121">
        <f>VLOOKUP($B26,'Tillförd energi'!$B$1:$AI$720,MATCH(AB$1,'Tillförd energi'!$B$1:$AQ$1,0),FALSE)</f>
        <v>0</v>
      </c>
      <c r="AC26" s="121">
        <f>VLOOKUP($B26,'Tillförd energi'!$B$1:$AI$720,MATCH(AC$1,'Tillförd energi'!$B$1:$AQ$1,0),FALSE)</f>
        <v>31.52</v>
      </c>
      <c r="AD26" s="121">
        <f>VLOOKUP($B26,'Tillförd energi'!$B$1:$AI$720,MATCH(AD$1,'Tillförd energi'!$B$1:$AQ$1,0),FALSE)</f>
        <v>0</v>
      </c>
      <c r="AE26" s="121">
        <f>VLOOKUP($B26,'Tillförd energi'!$B$1:$AI$720,MATCH(AE$1,'Tillförd energi'!$B$1:$AQ$1,0),FALSE)</f>
        <v>0</v>
      </c>
      <c r="AF26" s="121">
        <f>VLOOKUP($B26,'Tillförd energi'!$B$1:$AI$720,MATCH(AF$1,'Tillförd energi'!$B$1:$AQ$1,0),FALSE)</f>
        <v>3.2</v>
      </c>
      <c r="AG26" s="121">
        <f>IFERROR(VLOOKUP(B26,Miljö!$B$1:$AC$550,MATCH("Köpt mängd produktionsspecifik fjärrvärme:",Miljö!$B$1:$AC$1,0),FALSE)/1,0)</f>
        <v>0</v>
      </c>
      <c r="AH26" s="121"/>
      <c r="AI26" s="121">
        <f t="shared" si="0"/>
        <v>162.81</v>
      </c>
      <c r="AJ26" s="121">
        <f t="shared" si="1"/>
        <v>162.81</v>
      </c>
      <c r="AK26" s="121">
        <f>IF(ISERROR(1/VLOOKUP($B26,Leveranser!$B$1:$S$499,MATCH("såld värme (gwh)",Leveranser!$B$1:$S$1,0),FALSE)),"",VLOOKUP($B26,Leveranser!$B$1:$S$499,MATCH("såld värme (gwh)",Leveranser!$B$1:$S$1,0),FALSE))</f>
        <v>121.5</v>
      </c>
      <c r="AL26" s="121">
        <f>VLOOKUP($B26,Leveranser!$B$1:$Y$499,MATCH("Totalt såld fjärrvärme till andra fjärrvärmeföretag",Leveranser!$B$1:$AA$1,0),FALSE)</f>
        <v>0</v>
      </c>
      <c r="AM26" s="121">
        <f>IF(ISERROR(1/VLOOKUP($B26,Miljö!$B$1:$S$500,MATCH("Såld mängd produktionsspecifik fjärrvärme (GWh)",Miljö!$B$1:$R$1,0),FALSE)),0,VLOOKUP($B26,Miljö!$B$1:$S$500,MATCH("Såld mängd produktionsspecifik fjärrvärme (GWh)",Miljö!$B$1:$R$1,0),FALSE))</f>
        <v>0</v>
      </c>
      <c r="AN26" s="172">
        <f t="shared" si="2"/>
        <v>0.74626865671641796</v>
      </c>
      <c r="AO26" s="121"/>
      <c r="AP26" s="121" t="str">
        <f>IFERROR(VLOOKUP($B26,Miljövärden!$B$2:$H$550,7,FALSE),"Nej, saknas")</f>
        <v>Ja</v>
      </c>
      <c r="AQ26" s="121" t="str">
        <f>IFERROR(VLOOKUP($B26,Miljövärden!$B$2:$H$550,6,FALSE),"Nej, saknas")</f>
        <v>Nej</v>
      </c>
      <c r="AU26">
        <f t="shared" si="3"/>
        <v>3.2</v>
      </c>
      <c r="AV26">
        <f t="shared" si="4"/>
        <v>0</v>
      </c>
      <c r="AW26">
        <f t="shared" si="5"/>
        <v>124.85</v>
      </c>
      <c r="AX26">
        <f t="shared" si="6"/>
        <v>0</v>
      </c>
      <c r="AZ26">
        <f t="shared" si="7"/>
        <v>126.36999999999999</v>
      </c>
      <c r="BC26">
        <f t="shared" si="8"/>
        <v>0.06</v>
      </c>
      <c r="BD26">
        <f t="shared" si="9"/>
        <v>0</v>
      </c>
      <c r="BE26">
        <f t="shared" si="10"/>
        <v>126.36999999999999</v>
      </c>
      <c r="BF26">
        <f t="shared" si="11"/>
        <v>33.18</v>
      </c>
      <c r="BG26">
        <f t="shared" si="12"/>
        <v>3.2</v>
      </c>
      <c r="BH26">
        <f>VLOOKUP(B26,Miljö!$B$1:$BX$482,MATCH("Fossilandel för ursprungspecificerad el ()",Miljö!$B$1:$I$1,0),FALSE)</f>
        <v>0</v>
      </c>
      <c r="BI26">
        <f>VLOOKUP(B26,Miljö!$B$1:$BX$482,MATCH("Kärnkraftsandel för ursprungsspecificerad el ()",Miljö!$B$1:$O$1,0),FALSE)</f>
        <v>0</v>
      </c>
      <c r="BJ26">
        <f t="shared" si="13"/>
        <v>0</v>
      </c>
      <c r="BK26" t="str">
        <f>VLOOKUP(B26,Miljö!$B$1:$O$482,MATCH("Fossil andel i procent (%)",Miljö!$B$1:$O$1,0),FALSE)</f>
        <v>ET</v>
      </c>
      <c r="BL26">
        <f t="shared" si="14"/>
        <v>162.80999999999997</v>
      </c>
      <c r="BO26" s="18">
        <f t="shared" si="15"/>
        <v>3.6852773171181137E-4</v>
      </c>
      <c r="BP26" s="18">
        <f t="shared" si="16"/>
        <v>0</v>
      </c>
      <c r="BQ26" s="18">
        <f t="shared" si="17"/>
        <v>0.79583563663165657</v>
      </c>
      <c r="BR26" s="18">
        <f t="shared" si="18"/>
        <v>0.2037958356366317</v>
      </c>
      <c r="BT26" s="27">
        <f t="shared" si="19"/>
        <v>1</v>
      </c>
      <c r="BW26" s="18">
        <f>IF(AP26="ja",VLOOKUP(B26,Miljövärden!$B$2:$H$550,MATCH("Total andel fossilt",Miljövärden!$B$2:$H$2,0),FALSE),"")</f>
        <v>3.6852800000000002E-4</v>
      </c>
      <c r="BZ26" s="28">
        <f t="shared" si="20"/>
        <v>2.6828818864860909E-10</v>
      </c>
      <c r="CA26" s="28">
        <f t="shared" si="21"/>
        <v>0</v>
      </c>
    </row>
    <row r="27" spans="1:79" x14ac:dyDescent="0.25">
      <c r="A27" s="224" t="s">
        <v>220</v>
      </c>
      <c r="B27" s="210" t="s">
        <v>221</v>
      </c>
      <c r="C27" s="121">
        <f>VLOOKUP($B27,'Tillförd energi'!$B$1:$AI$720,MATCH(C$1,'Tillförd energi'!$B$1:$AQ$1,0),FALSE)</f>
        <v>0</v>
      </c>
      <c r="D27" s="121">
        <f>VLOOKUP($B27,'Tillförd energi'!$B$1:$AI$720,MATCH(D$1,'Tillförd energi'!$B$1:$AQ$1,0),FALSE)</f>
        <v>0.3</v>
      </c>
      <c r="E27" s="121">
        <f>VLOOKUP($B27,'Tillförd energi'!$B$1:$AI$720,MATCH(E$1,'Tillförd energi'!$B$1:$AQ$1,0),FALSE)</f>
        <v>0</v>
      </c>
      <c r="F27" s="121">
        <f>VLOOKUP($B27,'Tillförd energi'!$B$1:$AI$720,MATCH(F$1,'Tillförd energi'!$B$1:$AQ$1,0),FALSE)</f>
        <v>0</v>
      </c>
      <c r="G27" s="121">
        <f>VLOOKUP($B27,'Tillförd energi'!$B$1:$AI$720,MATCH(G$1,'Tillförd energi'!$B$1:$AQ$1,0),FALSE)</f>
        <v>0</v>
      </c>
      <c r="H27" s="121">
        <f>VLOOKUP($B27,'Tillförd energi'!$B$1:$AI$720,MATCH(H$1,'Tillförd energi'!$B$1:$AQ$1,0),FALSE)</f>
        <v>0</v>
      </c>
      <c r="I27" s="121">
        <f>VLOOKUP($B27,'Tillförd energi'!$B$1:$AI$720,MATCH(I$1,'Tillförd energi'!$B$1:$AQ$1,0),FALSE)</f>
        <v>0</v>
      </c>
      <c r="J27" s="121">
        <f>VLOOKUP($B27,'Tillförd energi'!$B$1:$AI$720,MATCH(J$1,'Tillförd energi'!$B$1:$AQ$1,0),FALSE)</f>
        <v>0</v>
      </c>
      <c r="K27" s="121">
        <f>VLOOKUP($B27,'Tillförd energi'!$B$1:$AI$720,MATCH(K$1,'Tillförd energi'!$B$1:$AQ$1,0),FALSE)</f>
        <v>0</v>
      </c>
      <c r="L27" s="121">
        <f>VLOOKUP($B27,'Tillförd energi'!$B$1:$AI$720,MATCH(L$1,'Tillförd energi'!$B$1:$AQ$1,0),FALSE)</f>
        <v>0</v>
      </c>
      <c r="M27" s="121">
        <f>VLOOKUP($B27,'Tillförd energi'!$B$1:$AI$720,MATCH(M$1,'Tillförd energi'!$B$1:$AQ$1,0),FALSE)</f>
        <v>0</v>
      </c>
      <c r="N27" s="121">
        <f>VLOOKUP($B27,'Tillförd energi'!$B$1:$AI$720,MATCH(N$1,'Tillförd energi'!$B$1:$AQ$1,0),FALSE)</f>
        <v>0</v>
      </c>
      <c r="O27" s="121">
        <f>VLOOKUP($B27,'Tillförd energi'!$B$1:$AI$720,MATCH(O$1,'Tillförd energi'!$B$1:$AQ$1,0),FALSE)</f>
        <v>0</v>
      </c>
      <c r="P27" s="121">
        <f>VLOOKUP($B27,'Tillförd energi'!$B$1:$AI$720,MATCH(P$1,'Tillförd energi'!$B$1:$AQ$1,0),FALSE)</f>
        <v>0</v>
      </c>
      <c r="Q27" s="121">
        <f>VLOOKUP($B27,'Tillförd energi'!$B$1:$AI$720,MATCH(Q$1,'Tillförd energi'!$B$1:$AQ$1,0),FALSE)</f>
        <v>78</v>
      </c>
      <c r="R27" s="121">
        <f>VLOOKUP($B27,'Tillförd energi'!$B$1:$AI$720,MATCH(R$1,'Tillförd energi'!$B$1:$AQ$1,0),FALSE)</f>
        <v>0</v>
      </c>
      <c r="S27" s="121">
        <f>VLOOKUP($B27,'Tillförd energi'!$B$1:$AI$720,MATCH(S$1,'Tillförd energi'!$B$1:$AQ$1,0),FALSE)</f>
        <v>0</v>
      </c>
      <c r="T27" s="121">
        <f>VLOOKUP($B27,'Tillförd energi'!$B$1:$AI$720,MATCH(T$1,'Tillförd energi'!$B$1:$AQ$1,0),FALSE)</f>
        <v>0</v>
      </c>
      <c r="U27" s="121">
        <f>VLOOKUP($B27,'Tillförd energi'!$B$1:$AI$720,MATCH(U$1,'Tillförd energi'!$B$1:$AQ$1,0),FALSE)</f>
        <v>0</v>
      </c>
      <c r="V27" s="121">
        <f>VLOOKUP($B27,'Tillförd energi'!$B$1:$AI$720,MATCH(V$1,'Tillförd energi'!$B$1:$AQ$1,0),FALSE)</f>
        <v>0</v>
      </c>
      <c r="W27" s="121">
        <f>VLOOKUP($B27,'Tillförd energi'!$B$1:$AI$720,MATCH(W$1,'Tillförd energi'!$B$1:$AQ$1,0),FALSE)</f>
        <v>0</v>
      </c>
      <c r="X27" s="121">
        <f>VLOOKUP($B27,'Tillförd energi'!$B$1:$AI$720,MATCH(X$1,'Tillförd energi'!$B$1:$AQ$1,0),FALSE)</f>
        <v>0</v>
      </c>
      <c r="Y27" s="121">
        <f>VLOOKUP($B27,'Tillförd energi'!$B$1:$AI$720,MATCH(Y$1,'Tillförd energi'!$B$1:$AQ$1,0),FALSE)</f>
        <v>0</v>
      </c>
      <c r="Z27" s="121">
        <f>VLOOKUP($B27,'Tillförd energi'!$B$1:$AI$720,MATCH(Z$1,'Tillförd energi'!$B$1:$AQ$1,0),FALSE)</f>
        <v>0</v>
      </c>
      <c r="AA27" s="121">
        <f>VLOOKUP($B27,'Tillförd energi'!$B$1:$AI$720,MATCH(AA$1,'Tillförd energi'!$B$1:$AQ$1,0),FALSE)</f>
        <v>0</v>
      </c>
      <c r="AB27" s="121">
        <f>VLOOKUP($B27,'Tillförd energi'!$B$1:$AI$720,MATCH(AB$1,'Tillförd energi'!$B$1:$AQ$1,0),FALSE)</f>
        <v>0</v>
      </c>
      <c r="AC27" s="121">
        <f>VLOOKUP($B27,'Tillförd energi'!$B$1:$AI$720,MATCH(AC$1,'Tillförd energi'!$B$1:$AQ$1,0),FALSE)</f>
        <v>0</v>
      </c>
      <c r="AD27" s="121">
        <f>VLOOKUP($B27,'Tillförd energi'!$B$1:$AI$720,MATCH(AD$1,'Tillförd energi'!$B$1:$AQ$1,0),FALSE)</f>
        <v>0</v>
      </c>
      <c r="AE27" s="121">
        <f>VLOOKUP($B27,'Tillförd energi'!$B$1:$AI$720,MATCH(AE$1,'Tillförd energi'!$B$1:$AQ$1,0),FALSE)</f>
        <v>0</v>
      </c>
      <c r="AF27" s="121">
        <f>VLOOKUP($B27,'Tillförd energi'!$B$1:$AI$720,MATCH(AF$1,'Tillförd energi'!$B$1:$AQ$1,0),FALSE)</f>
        <v>1.6791</v>
      </c>
      <c r="AG27" s="121">
        <f>IFERROR(VLOOKUP(B27,Miljö!$B$1:$AC$550,MATCH("Köpt mängd produktionsspecifik fjärrvärme:",Miljö!$B$1:$AC$1,0),FALSE)/1,0)</f>
        <v>0</v>
      </c>
      <c r="AH27" s="121"/>
      <c r="AI27" s="121">
        <f t="shared" si="0"/>
        <v>79.979100000000003</v>
      </c>
      <c r="AJ27" s="121">
        <f t="shared" si="1"/>
        <v>79.979100000000003</v>
      </c>
      <c r="AK27" s="121">
        <f>IF(ISERROR(1/VLOOKUP($B27,Leveranser!$B$1:$S$499,MATCH("såld värme (gwh)",Leveranser!$B$1:$S$1,0),FALSE)),"",VLOOKUP($B27,Leveranser!$B$1:$S$499,MATCH("såld värme (gwh)",Leveranser!$B$1:$S$1,0),FALSE))</f>
        <v>55.97</v>
      </c>
      <c r="AL27" s="121">
        <f>VLOOKUP($B27,Leveranser!$B$1:$Y$499,MATCH("Totalt såld fjärrvärme till andra fjärrvärmeföretag",Leveranser!$B$1:$AA$1,0),FALSE)</f>
        <v>0</v>
      </c>
      <c r="AM27" s="121">
        <f>IF(ISERROR(1/VLOOKUP($B27,Miljö!$B$1:$S$500,MATCH("Såld mängd produktionsspecifik fjärrvärme (GWh)",Miljö!$B$1:$R$1,0),FALSE)),0,VLOOKUP($B27,Miljö!$B$1:$S$500,MATCH("Såld mängd produktionsspecifik fjärrvärme (GWh)",Miljö!$B$1:$R$1,0),FALSE))</f>
        <v>0</v>
      </c>
      <c r="AN27" s="172">
        <f t="shared" si="2"/>
        <v>0.69980782479422743</v>
      </c>
      <c r="AO27" s="121"/>
      <c r="AP27" s="121" t="str">
        <f>IFERROR(VLOOKUP($B27,Miljövärden!$B$2:$H$550,7,FALSE),"Nej, saknas")</f>
        <v>Ja</v>
      </c>
      <c r="AQ27" s="121" t="str">
        <f>IFERROR(VLOOKUP($B27,Miljövärden!$B$2:$H$550,6,FALSE),"Nej, saknas")</f>
        <v>Nej</v>
      </c>
      <c r="AU27">
        <f t="shared" si="3"/>
        <v>1.6791</v>
      </c>
      <c r="AV27">
        <f t="shared" si="4"/>
        <v>0</v>
      </c>
      <c r="AW27">
        <f t="shared" si="5"/>
        <v>78</v>
      </c>
      <c r="AX27">
        <f t="shared" si="6"/>
        <v>0</v>
      </c>
      <c r="AZ27">
        <f t="shared" si="7"/>
        <v>78</v>
      </c>
      <c r="BC27">
        <f t="shared" si="8"/>
        <v>0.3</v>
      </c>
      <c r="BD27">
        <f t="shared" si="9"/>
        <v>0</v>
      </c>
      <c r="BE27">
        <f t="shared" si="10"/>
        <v>78</v>
      </c>
      <c r="BF27">
        <f t="shared" si="11"/>
        <v>0</v>
      </c>
      <c r="BG27">
        <f t="shared" si="12"/>
        <v>1.6791</v>
      </c>
      <c r="BH27">
        <f>VLOOKUP(B27,Miljö!$B$1:$BX$482,MATCH("Fossilandel för ursprungspecificerad el ()",Miljö!$B$1:$I$1,0),FALSE)</f>
        <v>0.42799999999999999</v>
      </c>
      <c r="BI27">
        <f>VLOOKUP(B27,Miljö!$B$1:$BX$482,MATCH("Kärnkraftsandel för ursprungsspecificerad el ()",Miljö!$B$1:$O$1,0),FALSE)</f>
        <v>0.40500000000000003</v>
      </c>
      <c r="BJ27">
        <f t="shared" si="13"/>
        <v>0</v>
      </c>
      <c r="BK27" t="str">
        <f>VLOOKUP(B27,Miljö!$B$1:$O$482,MATCH("Fossil andel i procent (%)",Miljö!$B$1:$O$1,0),FALSE)</f>
        <v>ET</v>
      </c>
      <c r="BL27">
        <f t="shared" si="14"/>
        <v>79.979100000000003</v>
      </c>
      <c r="BO27" s="18">
        <f t="shared" si="15"/>
        <v>1.2736512413868122E-2</v>
      </c>
      <c r="BP27" s="18">
        <f t="shared" si="16"/>
        <v>8.5026650712498632E-3</v>
      </c>
      <c r="BQ27" s="18">
        <f t="shared" si="17"/>
        <v>0.97876082251488206</v>
      </c>
      <c r="BR27" s="18">
        <f t="shared" si="18"/>
        <v>0</v>
      </c>
      <c r="BT27" s="27">
        <f t="shared" si="19"/>
        <v>1</v>
      </c>
      <c r="BW27" s="18">
        <f>IF(AP27="ja",VLOOKUP(B27,Miljövärden!$B$2:$H$550,MATCH("Total andel fossilt",Miljövärden!$B$2:$H$2,0),FALSE),"")</f>
        <v>1.2736600000000001E-2</v>
      </c>
      <c r="BZ27" s="28">
        <f t="shared" si="20"/>
        <v>8.7586131878453211E-8</v>
      </c>
      <c r="CA27" s="28">
        <f t="shared" si="21"/>
        <v>0</v>
      </c>
    </row>
    <row r="28" spans="1:79" x14ac:dyDescent="0.25">
      <c r="A28" s="224" t="s">
        <v>220</v>
      </c>
      <c r="B28" s="210" t="s">
        <v>222</v>
      </c>
      <c r="C28" s="121">
        <f>VLOOKUP($B28,'Tillförd energi'!$B$1:$AI$720,MATCH(C$1,'Tillförd energi'!$B$1:$AQ$1,0),FALSE)</f>
        <v>0</v>
      </c>
      <c r="D28" s="121">
        <f>VLOOKUP($B28,'Tillförd energi'!$B$1:$AI$720,MATCH(D$1,'Tillförd energi'!$B$1:$AQ$1,0),FALSE)</f>
        <v>0.24</v>
      </c>
      <c r="E28" s="121">
        <f>VLOOKUP($B28,'Tillförd energi'!$B$1:$AI$720,MATCH(E$1,'Tillförd energi'!$B$1:$AQ$1,0),FALSE)</f>
        <v>0</v>
      </c>
      <c r="F28" s="121">
        <f>VLOOKUP($B28,'Tillförd energi'!$B$1:$AI$720,MATCH(F$1,'Tillförd energi'!$B$1:$AQ$1,0),FALSE)</f>
        <v>0</v>
      </c>
      <c r="G28" s="121">
        <f>VLOOKUP($B28,'Tillförd energi'!$B$1:$AI$720,MATCH(G$1,'Tillförd energi'!$B$1:$AQ$1,0),FALSE)</f>
        <v>0</v>
      </c>
      <c r="H28" s="121">
        <f>VLOOKUP($B28,'Tillförd energi'!$B$1:$AI$720,MATCH(H$1,'Tillförd energi'!$B$1:$AQ$1,0),FALSE)</f>
        <v>0</v>
      </c>
      <c r="I28" s="121">
        <f>VLOOKUP($B28,'Tillförd energi'!$B$1:$AI$720,MATCH(I$1,'Tillförd energi'!$B$1:$AQ$1,0),FALSE)</f>
        <v>0</v>
      </c>
      <c r="J28" s="121">
        <f>VLOOKUP($B28,'Tillförd energi'!$B$1:$AI$720,MATCH(J$1,'Tillförd energi'!$B$1:$AQ$1,0),FALSE)</f>
        <v>0</v>
      </c>
      <c r="K28" s="121">
        <f>VLOOKUP($B28,'Tillförd energi'!$B$1:$AI$720,MATCH(K$1,'Tillförd energi'!$B$1:$AQ$1,0),FALSE)</f>
        <v>0</v>
      </c>
      <c r="L28" s="121">
        <f>VLOOKUP($B28,'Tillförd energi'!$B$1:$AI$720,MATCH(L$1,'Tillförd energi'!$B$1:$AQ$1,0),FALSE)</f>
        <v>0</v>
      </c>
      <c r="M28" s="121">
        <f>VLOOKUP($B28,'Tillförd energi'!$B$1:$AI$720,MATCH(M$1,'Tillförd energi'!$B$1:$AQ$1,0),FALSE)</f>
        <v>0</v>
      </c>
      <c r="N28" s="121">
        <f>VLOOKUP($B28,'Tillförd energi'!$B$1:$AI$720,MATCH(N$1,'Tillförd energi'!$B$1:$AQ$1,0),FALSE)</f>
        <v>0</v>
      </c>
      <c r="O28" s="121">
        <f>VLOOKUP($B28,'Tillförd energi'!$B$1:$AI$720,MATCH(O$1,'Tillförd energi'!$B$1:$AQ$1,0),FALSE)</f>
        <v>0</v>
      </c>
      <c r="P28" s="121">
        <f>VLOOKUP($B28,'Tillförd energi'!$B$1:$AI$720,MATCH(P$1,'Tillförd energi'!$B$1:$AQ$1,0),FALSE)</f>
        <v>0</v>
      </c>
      <c r="Q28" s="121">
        <f>VLOOKUP($B28,'Tillförd energi'!$B$1:$AI$720,MATCH(Q$1,'Tillförd energi'!$B$1:$AQ$1,0),FALSE)</f>
        <v>15.8</v>
      </c>
      <c r="R28" s="121">
        <f>VLOOKUP($B28,'Tillförd energi'!$B$1:$AI$720,MATCH(R$1,'Tillförd energi'!$B$1:$AQ$1,0),FALSE)</f>
        <v>0</v>
      </c>
      <c r="S28" s="121">
        <f>VLOOKUP($B28,'Tillförd energi'!$B$1:$AI$720,MATCH(S$1,'Tillförd energi'!$B$1:$AQ$1,0),FALSE)</f>
        <v>0</v>
      </c>
      <c r="T28" s="121">
        <f>VLOOKUP($B28,'Tillförd energi'!$B$1:$AI$720,MATCH(T$1,'Tillförd energi'!$B$1:$AQ$1,0),FALSE)</f>
        <v>0</v>
      </c>
      <c r="U28" s="121">
        <f>VLOOKUP($B28,'Tillförd energi'!$B$1:$AI$720,MATCH(U$1,'Tillförd energi'!$B$1:$AQ$1,0),FALSE)</f>
        <v>0</v>
      </c>
      <c r="V28" s="121">
        <f>VLOOKUP($B28,'Tillförd energi'!$B$1:$AI$720,MATCH(V$1,'Tillförd energi'!$B$1:$AQ$1,0),FALSE)</f>
        <v>0</v>
      </c>
      <c r="W28" s="121">
        <f>VLOOKUP($B28,'Tillförd energi'!$B$1:$AI$720,MATCH(W$1,'Tillförd energi'!$B$1:$AQ$1,0),FALSE)</f>
        <v>0</v>
      </c>
      <c r="X28" s="121">
        <f>VLOOKUP($B28,'Tillförd energi'!$B$1:$AI$720,MATCH(X$1,'Tillförd energi'!$B$1:$AQ$1,0),FALSE)</f>
        <v>0</v>
      </c>
      <c r="Y28" s="121">
        <f>VLOOKUP($B28,'Tillförd energi'!$B$1:$AI$720,MATCH(Y$1,'Tillförd energi'!$B$1:$AQ$1,0),FALSE)</f>
        <v>0</v>
      </c>
      <c r="Z28" s="121">
        <f>VLOOKUP($B28,'Tillförd energi'!$B$1:$AI$720,MATCH(Z$1,'Tillförd energi'!$B$1:$AQ$1,0),FALSE)</f>
        <v>0</v>
      </c>
      <c r="AA28" s="121">
        <f>VLOOKUP($B28,'Tillförd energi'!$B$1:$AI$720,MATCH(AA$1,'Tillförd energi'!$B$1:$AQ$1,0),FALSE)</f>
        <v>0</v>
      </c>
      <c r="AB28" s="121">
        <f>VLOOKUP($B28,'Tillförd energi'!$B$1:$AI$720,MATCH(AB$1,'Tillförd energi'!$B$1:$AQ$1,0),FALSE)</f>
        <v>0</v>
      </c>
      <c r="AC28" s="121">
        <f>VLOOKUP($B28,'Tillförd energi'!$B$1:$AI$720,MATCH(AC$1,'Tillförd energi'!$B$1:$AQ$1,0),FALSE)</f>
        <v>0</v>
      </c>
      <c r="AD28" s="121">
        <f>VLOOKUP($B28,'Tillförd energi'!$B$1:$AI$720,MATCH(AD$1,'Tillförd energi'!$B$1:$AQ$1,0),FALSE)</f>
        <v>0</v>
      </c>
      <c r="AE28" s="121">
        <f>VLOOKUP($B28,'Tillförd energi'!$B$1:$AI$720,MATCH(AE$1,'Tillförd energi'!$B$1:$AQ$1,0),FALSE)</f>
        <v>0</v>
      </c>
      <c r="AF28" s="121">
        <f>VLOOKUP($B28,'Tillförd energi'!$B$1:$AI$720,MATCH(AF$1,'Tillförd energi'!$B$1:$AQ$1,0),FALSE)</f>
        <v>0.3201</v>
      </c>
      <c r="AG28" s="121">
        <f>IFERROR(VLOOKUP(B28,Miljö!$B$1:$AC$550,MATCH("Köpt mängd produktionsspecifik fjärrvärme:",Miljö!$B$1:$AC$1,0),FALSE)/1,0)</f>
        <v>0</v>
      </c>
      <c r="AH28" s="121"/>
      <c r="AI28" s="121">
        <f t="shared" si="0"/>
        <v>16.360099999999999</v>
      </c>
      <c r="AJ28" s="121">
        <f t="shared" si="1"/>
        <v>16.360099999999999</v>
      </c>
      <c r="AK28" s="121">
        <f>IF(ISERROR(1/VLOOKUP($B28,Leveranser!$B$1:$S$499,MATCH("såld värme (gwh)",Leveranser!$B$1:$S$1,0),FALSE)),"",VLOOKUP($B28,Leveranser!$B$1:$S$499,MATCH("såld värme (gwh)",Leveranser!$B$1:$S$1,0),FALSE))</f>
        <v>10.67</v>
      </c>
      <c r="AL28" s="121">
        <f>VLOOKUP($B28,Leveranser!$B$1:$Y$499,MATCH("Totalt såld fjärrvärme till andra fjärrvärmeföretag",Leveranser!$B$1:$AA$1,0),FALSE)</f>
        <v>0</v>
      </c>
      <c r="AM28" s="121">
        <f>IF(ISERROR(1/VLOOKUP($B28,Miljö!$B$1:$S$500,MATCH("Såld mängd produktionsspecifik fjärrvärme (GWh)",Miljö!$B$1:$R$1,0),FALSE)),0,VLOOKUP($B28,Miljö!$B$1:$S$500,MATCH("Såld mängd produktionsspecifik fjärrvärme (GWh)",Miljö!$B$1:$R$1,0),FALSE))</f>
        <v>0</v>
      </c>
      <c r="AN28" s="172">
        <f t="shared" si="2"/>
        <v>0.6521965024663664</v>
      </c>
      <c r="AO28" s="121"/>
      <c r="AP28" s="121" t="str">
        <f>IFERROR(VLOOKUP($B28,Miljövärden!$B$2:$H$550,7,FALSE),"Nej, saknas")</f>
        <v>Ja</v>
      </c>
      <c r="AQ28" s="121" t="str">
        <f>IFERROR(VLOOKUP($B28,Miljövärden!$B$2:$H$550,6,FALSE),"Nej, saknas")</f>
        <v>Nej</v>
      </c>
      <c r="AU28">
        <f t="shared" si="3"/>
        <v>0.3201</v>
      </c>
      <c r="AV28">
        <f t="shared" si="4"/>
        <v>0</v>
      </c>
      <c r="AW28">
        <f t="shared" si="5"/>
        <v>15.8</v>
      </c>
      <c r="AX28">
        <f t="shared" si="6"/>
        <v>0</v>
      </c>
      <c r="AZ28">
        <f t="shared" si="7"/>
        <v>15.8</v>
      </c>
      <c r="BC28">
        <f t="shared" si="8"/>
        <v>0.24</v>
      </c>
      <c r="BD28">
        <f t="shared" si="9"/>
        <v>0</v>
      </c>
      <c r="BE28">
        <f t="shared" si="10"/>
        <v>15.8</v>
      </c>
      <c r="BF28">
        <f t="shared" si="11"/>
        <v>0</v>
      </c>
      <c r="BG28">
        <f t="shared" si="12"/>
        <v>0.3201</v>
      </c>
      <c r="BH28">
        <f>VLOOKUP(B28,Miljö!$B$1:$BX$482,MATCH("Fossilandel för ursprungspecificerad el ()",Miljö!$B$1:$I$1,0),FALSE)</f>
        <v>0.42799999999999999</v>
      </c>
      <c r="BI28">
        <f>VLOOKUP(B28,Miljö!$B$1:$BX$482,MATCH("Kärnkraftsandel för ursprungsspecificerad el ()",Miljö!$B$1:$O$1,0),FALSE)</f>
        <v>0.40500000000000003</v>
      </c>
      <c r="BJ28">
        <f t="shared" si="13"/>
        <v>0</v>
      </c>
      <c r="BK28" t="str">
        <f>VLOOKUP(B28,Miljö!$B$1:$O$482,MATCH("Fossil andel i procent (%)",Miljö!$B$1:$O$1,0),FALSE)</f>
        <v>ET</v>
      </c>
      <c r="BL28">
        <f t="shared" si="14"/>
        <v>16.360099999999999</v>
      </c>
      <c r="BO28" s="18">
        <f t="shared" si="15"/>
        <v>2.3044040073104687E-2</v>
      </c>
      <c r="BP28" s="18">
        <f t="shared" si="16"/>
        <v>7.9241875049663527E-3</v>
      </c>
      <c r="BQ28" s="18">
        <f t="shared" si="17"/>
        <v>0.96903177242192906</v>
      </c>
      <c r="BR28" s="18">
        <f t="shared" si="18"/>
        <v>0</v>
      </c>
      <c r="BT28" s="27">
        <f t="shared" si="19"/>
        <v>1</v>
      </c>
      <c r="BW28" s="18">
        <f>IF(AP28="ja",VLOOKUP(B28,Miljövärden!$B$2:$H$550,MATCH("Total andel fossilt",Miljövärden!$B$2:$H$2,0),FALSE),"")</f>
        <v>2.3044100000000001E-2</v>
      </c>
      <c r="BZ28" s="28">
        <f t="shared" si="20"/>
        <v>5.992689531414408E-8</v>
      </c>
      <c r="CA28" s="28">
        <f t="shared" si="21"/>
        <v>0</v>
      </c>
    </row>
    <row r="29" spans="1:79" x14ac:dyDescent="0.25">
      <c r="A29" s="224" t="s">
        <v>220</v>
      </c>
      <c r="B29" s="210" t="s">
        <v>223</v>
      </c>
      <c r="C29" s="121">
        <f>VLOOKUP($B29,'Tillförd energi'!$B$1:$AI$720,MATCH(C$1,'Tillförd energi'!$B$1:$AQ$1,0),FALSE)</f>
        <v>0</v>
      </c>
      <c r="D29" s="121">
        <f>VLOOKUP($B29,'Tillförd energi'!$B$1:$AI$720,MATCH(D$1,'Tillförd energi'!$B$1:$AQ$1,0),FALSE)</f>
        <v>0.06</v>
      </c>
      <c r="E29" s="121">
        <f>VLOOKUP($B29,'Tillförd energi'!$B$1:$AI$720,MATCH(E$1,'Tillförd energi'!$B$1:$AQ$1,0),FALSE)</f>
        <v>0</v>
      </c>
      <c r="F29" s="121">
        <f>VLOOKUP($B29,'Tillförd energi'!$B$1:$AI$720,MATCH(F$1,'Tillförd energi'!$B$1:$AQ$1,0),FALSE)</f>
        <v>0</v>
      </c>
      <c r="G29" s="121">
        <f>VLOOKUP($B29,'Tillförd energi'!$B$1:$AI$720,MATCH(G$1,'Tillförd energi'!$B$1:$AQ$1,0),FALSE)</f>
        <v>0</v>
      </c>
      <c r="H29" s="121">
        <f>VLOOKUP($B29,'Tillförd energi'!$B$1:$AI$720,MATCH(H$1,'Tillförd energi'!$B$1:$AQ$1,0),FALSE)</f>
        <v>0</v>
      </c>
      <c r="I29" s="121">
        <f>VLOOKUP($B29,'Tillförd energi'!$B$1:$AI$720,MATCH(I$1,'Tillförd energi'!$B$1:$AQ$1,0),FALSE)</f>
        <v>0</v>
      </c>
      <c r="J29" s="121">
        <f>VLOOKUP($B29,'Tillförd energi'!$B$1:$AI$720,MATCH(J$1,'Tillförd energi'!$B$1:$AQ$1,0),FALSE)</f>
        <v>0</v>
      </c>
      <c r="K29" s="121">
        <f>VLOOKUP($B29,'Tillförd energi'!$B$1:$AI$720,MATCH(K$1,'Tillförd energi'!$B$1:$AQ$1,0),FALSE)</f>
        <v>0</v>
      </c>
      <c r="L29" s="121">
        <f>VLOOKUP($B29,'Tillförd energi'!$B$1:$AI$720,MATCH(L$1,'Tillförd energi'!$B$1:$AQ$1,0),FALSE)</f>
        <v>0</v>
      </c>
      <c r="M29" s="121">
        <f>VLOOKUP($B29,'Tillförd energi'!$B$1:$AI$720,MATCH(M$1,'Tillförd energi'!$B$1:$AQ$1,0),FALSE)</f>
        <v>0</v>
      </c>
      <c r="N29" s="121">
        <f>VLOOKUP($B29,'Tillförd energi'!$B$1:$AI$720,MATCH(N$1,'Tillförd energi'!$B$1:$AQ$1,0),FALSE)</f>
        <v>0</v>
      </c>
      <c r="O29" s="121">
        <f>VLOOKUP($B29,'Tillförd energi'!$B$1:$AI$720,MATCH(O$1,'Tillförd energi'!$B$1:$AQ$1,0),FALSE)</f>
        <v>0</v>
      </c>
      <c r="P29" s="121">
        <f>VLOOKUP($B29,'Tillförd energi'!$B$1:$AI$720,MATCH(P$1,'Tillförd energi'!$B$1:$AQ$1,0),FALSE)</f>
        <v>0</v>
      </c>
      <c r="Q29" s="121">
        <f>VLOOKUP($B29,'Tillförd energi'!$B$1:$AI$720,MATCH(Q$1,'Tillförd energi'!$B$1:$AQ$1,0),FALSE)</f>
        <v>22.8</v>
      </c>
      <c r="R29" s="121">
        <f>VLOOKUP($B29,'Tillförd energi'!$B$1:$AI$720,MATCH(R$1,'Tillförd energi'!$B$1:$AQ$1,0),FALSE)</f>
        <v>0</v>
      </c>
      <c r="S29" s="121">
        <f>VLOOKUP($B29,'Tillförd energi'!$B$1:$AI$720,MATCH(S$1,'Tillförd energi'!$B$1:$AQ$1,0),FALSE)</f>
        <v>0</v>
      </c>
      <c r="T29" s="121">
        <f>VLOOKUP($B29,'Tillförd energi'!$B$1:$AI$720,MATCH(T$1,'Tillförd energi'!$B$1:$AQ$1,0),FALSE)</f>
        <v>0</v>
      </c>
      <c r="U29" s="121">
        <f>VLOOKUP($B29,'Tillförd energi'!$B$1:$AI$720,MATCH(U$1,'Tillförd energi'!$B$1:$AQ$1,0),FALSE)</f>
        <v>0</v>
      </c>
      <c r="V29" s="121">
        <f>VLOOKUP($B29,'Tillförd energi'!$B$1:$AI$720,MATCH(V$1,'Tillförd energi'!$B$1:$AQ$1,0),FALSE)</f>
        <v>0</v>
      </c>
      <c r="W29" s="121">
        <f>VLOOKUP($B29,'Tillförd energi'!$B$1:$AI$720,MATCH(W$1,'Tillförd energi'!$B$1:$AQ$1,0),FALSE)</f>
        <v>0</v>
      </c>
      <c r="X29" s="121">
        <f>VLOOKUP($B29,'Tillförd energi'!$B$1:$AI$720,MATCH(X$1,'Tillförd energi'!$B$1:$AQ$1,0),FALSE)</f>
        <v>0</v>
      </c>
      <c r="Y29" s="121">
        <f>VLOOKUP($B29,'Tillförd energi'!$B$1:$AI$720,MATCH(Y$1,'Tillförd energi'!$B$1:$AQ$1,0),FALSE)</f>
        <v>0</v>
      </c>
      <c r="Z29" s="121">
        <f>VLOOKUP($B29,'Tillförd energi'!$B$1:$AI$720,MATCH(Z$1,'Tillförd energi'!$B$1:$AQ$1,0),FALSE)</f>
        <v>0</v>
      </c>
      <c r="AA29" s="121">
        <f>VLOOKUP($B29,'Tillförd energi'!$B$1:$AI$720,MATCH(AA$1,'Tillförd energi'!$B$1:$AQ$1,0),FALSE)</f>
        <v>0</v>
      </c>
      <c r="AB29" s="121">
        <f>VLOOKUP($B29,'Tillförd energi'!$B$1:$AI$720,MATCH(AB$1,'Tillförd energi'!$B$1:$AQ$1,0),FALSE)</f>
        <v>0</v>
      </c>
      <c r="AC29" s="121">
        <f>VLOOKUP($B29,'Tillförd energi'!$B$1:$AI$720,MATCH(AC$1,'Tillförd energi'!$B$1:$AQ$1,0),FALSE)</f>
        <v>0</v>
      </c>
      <c r="AD29" s="121">
        <f>VLOOKUP($B29,'Tillförd energi'!$B$1:$AI$720,MATCH(AD$1,'Tillförd energi'!$B$1:$AQ$1,0),FALSE)</f>
        <v>0</v>
      </c>
      <c r="AE29" s="121">
        <f>VLOOKUP($B29,'Tillförd energi'!$B$1:$AI$720,MATCH(AE$1,'Tillförd energi'!$B$1:$AQ$1,0),FALSE)</f>
        <v>0</v>
      </c>
      <c r="AF29" s="121">
        <f>VLOOKUP($B29,'Tillförd energi'!$B$1:$AI$720,MATCH(AF$1,'Tillförd energi'!$B$1:$AQ$1,0),FALSE)</f>
        <v>0.3201</v>
      </c>
      <c r="AG29" s="121">
        <f>IFERROR(VLOOKUP(B29,Miljö!$B$1:$AC$550,MATCH("Köpt mängd produktionsspecifik fjärrvärme:",Miljö!$B$1:$AC$1,0),FALSE)/1,0)</f>
        <v>0</v>
      </c>
      <c r="AH29" s="121"/>
      <c r="AI29" s="121">
        <f t="shared" si="0"/>
        <v>23.180099999999999</v>
      </c>
      <c r="AJ29" s="121">
        <f t="shared" si="1"/>
        <v>23.180099999999999</v>
      </c>
      <c r="AK29" s="121">
        <f>IF(ISERROR(1/VLOOKUP($B29,Leveranser!$B$1:$S$499,MATCH("såld värme (gwh)",Leveranser!$B$1:$S$1,0),FALSE)),"",VLOOKUP($B29,Leveranser!$B$1:$S$499,MATCH("såld värme (gwh)",Leveranser!$B$1:$S$1,0),FALSE))</f>
        <v>10.67</v>
      </c>
      <c r="AL29" s="121">
        <f>VLOOKUP($B29,Leveranser!$B$1:$Y$499,MATCH("Totalt såld fjärrvärme till andra fjärrvärmeföretag",Leveranser!$B$1:$AA$1,0),FALSE)</f>
        <v>0</v>
      </c>
      <c r="AM29" s="121">
        <f>IF(ISERROR(1/VLOOKUP($B29,Miljö!$B$1:$S$500,MATCH("Såld mängd produktionsspecifik fjärrvärme (GWh)",Miljö!$B$1:$R$1,0),FALSE)),0,VLOOKUP($B29,Miljö!$B$1:$S$500,MATCH("Såld mängd produktionsspecifik fjärrvärme (GWh)",Miljö!$B$1:$R$1,0),FALSE))</f>
        <v>0</v>
      </c>
      <c r="AN29" s="172">
        <f t="shared" si="2"/>
        <v>0.46030862679626061</v>
      </c>
      <c r="AO29" s="121"/>
      <c r="AP29" s="121" t="str">
        <f>IFERROR(VLOOKUP($B29,Miljövärden!$B$2:$H$550,7,FALSE),"Nej, saknas")</f>
        <v>Ja</v>
      </c>
      <c r="AQ29" s="121" t="str">
        <f>IFERROR(VLOOKUP($B29,Miljövärden!$B$2:$H$550,6,FALSE),"Nej, saknas")</f>
        <v>Nej</v>
      </c>
      <c r="AU29">
        <f t="shared" si="3"/>
        <v>0.3201</v>
      </c>
      <c r="AV29">
        <f t="shared" si="4"/>
        <v>0</v>
      </c>
      <c r="AW29">
        <f t="shared" si="5"/>
        <v>22.8</v>
      </c>
      <c r="AX29">
        <f t="shared" si="6"/>
        <v>0</v>
      </c>
      <c r="AZ29">
        <f t="shared" si="7"/>
        <v>22.8</v>
      </c>
      <c r="BC29">
        <f t="shared" si="8"/>
        <v>0.06</v>
      </c>
      <c r="BD29">
        <f t="shared" si="9"/>
        <v>0</v>
      </c>
      <c r="BE29">
        <f t="shared" si="10"/>
        <v>22.8</v>
      </c>
      <c r="BF29">
        <f t="shared" si="11"/>
        <v>0</v>
      </c>
      <c r="BG29">
        <f t="shared" si="12"/>
        <v>0.3201</v>
      </c>
      <c r="BH29">
        <f>VLOOKUP(B29,Miljö!$B$1:$BX$482,MATCH("Fossilandel för ursprungspecificerad el ()",Miljö!$B$1:$I$1,0),FALSE)</f>
        <v>0.42799999999999999</v>
      </c>
      <c r="BI29">
        <f>VLOOKUP(B29,Miljö!$B$1:$BX$482,MATCH("Kärnkraftsandel för ursprungsspecificerad el ()",Miljö!$B$1:$O$1,0),FALSE)</f>
        <v>0.40500000000000003</v>
      </c>
      <c r="BJ29">
        <f t="shared" si="13"/>
        <v>0</v>
      </c>
      <c r="BK29" t="str">
        <f>VLOOKUP(B29,Miljö!$B$1:$O$482,MATCH("Fossil andel i procent (%)",Miljö!$B$1:$O$1,0),FALSE)</f>
        <v>ET</v>
      </c>
      <c r="BL29">
        <f t="shared" si="14"/>
        <v>23.180099999999999</v>
      </c>
      <c r="BO29" s="18">
        <f t="shared" si="15"/>
        <v>8.4987899103109998E-3</v>
      </c>
      <c r="BP29" s="18">
        <f t="shared" si="16"/>
        <v>5.5927498155745672E-3</v>
      </c>
      <c r="BQ29" s="18">
        <f t="shared" si="17"/>
        <v>0.98590846027411461</v>
      </c>
      <c r="BR29" s="18">
        <f t="shared" si="18"/>
        <v>0</v>
      </c>
      <c r="BT29" s="27">
        <f t="shared" si="19"/>
        <v>1.0000000000000002</v>
      </c>
      <c r="BW29" s="18">
        <f>IF(AP29="ja",VLOOKUP(B29,Miljövärden!$B$2:$H$550,MATCH("Total andel fossilt",Miljövärden!$B$2:$H$2,0),FALSE),"")</f>
        <v>8.4988000000000008E-3</v>
      </c>
      <c r="BZ29" s="28">
        <f t="shared" si="20"/>
        <v>1.0089689000958302E-8</v>
      </c>
      <c r="CA29" s="28">
        <f t="shared" si="21"/>
        <v>0</v>
      </c>
    </row>
    <row r="30" spans="1:79" x14ac:dyDescent="0.25">
      <c r="A30" s="224" t="s">
        <v>224</v>
      </c>
      <c r="B30" s="210" t="s">
        <v>225</v>
      </c>
      <c r="C30" s="121">
        <f>VLOOKUP($B30,'Tillförd energi'!$B$1:$AI$720,MATCH(C$1,'Tillförd energi'!$B$1:$AQ$1,0),FALSE)</f>
        <v>0</v>
      </c>
      <c r="D30" s="121">
        <f>VLOOKUP($B30,'Tillförd energi'!$B$1:$AI$720,MATCH(D$1,'Tillförd energi'!$B$1:$AQ$1,0),FALSE)</f>
        <v>0</v>
      </c>
      <c r="E30" s="121">
        <f>VLOOKUP($B30,'Tillförd energi'!$B$1:$AI$720,MATCH(E$1,'Tillförd energi'!$B$1:$AQ$1,0),FALSE)</f>
        <v>0</v>
      </c>
      <c r="F30" s="121">
        <f>VLOOKUP($B30,'Tillförd energi'!$B$1:$AI$720,MATCH(F$1,'Tillförd energi'!$B$1:$AQ$1,0),FALSE)</f>
        <v>0</v>
      </c>
      <c r="G30" s="121">
        <f>VLOOKUP($B30,'Tillförd energi'!$B$1:$AI$720,MATCH(G$1,'Tillförd energi'!$B$1:$AQ$1,0),FALSE)</f>
        <v>0</v>
      </c>
      <c r="H30" s="121">
        <f>VLOOKUP($B30,'Tillförd energi'!$B$1:$AI$720,MATCH(H$1,'Tillförd energi'!$B$1:$AQ$1,0),FALSE)</f>
        <v>0</v>
      </c>
      <c r="I30" s="121">
        <f>VLOOKUP($B30,'Tillförd energi'!$B$1:$AI$720,MATCH(I$1,'Tillförd energi'!$B$1:$AQ$1,0),FALSE)</f>
        <v>0</v>
      </c>
      <c r="J30" s="121">
        <f>VLOOKUP($B30,'Tillförd energi'!$B$1:$AI$720,MATCH(J$1,'Tillförd energi'!$B$1:$AQ$1,0),FALSE)</f>
        <v>0</v>
      </c>
      <c r="K30" s="121">
        <f>VLOOKUP($B30,'Tillförd energi'!$B$1:$AI$720,MATCH(K$1,'Tillförd energi'!$B$1:$AQ$1,0),FALSE)</f>
        <v>0</v>
      </c>
      <c r="L30" s="121">
        <f>VLOOKUP($B30,'Tillförd energi'!$B$1:$AI$720,MATCH(L$1,'Tillförd energi'!$B$1:$AQ$1,0),FALSE)</f>
        <v>0</v>
      </c>
      <c r="M30" s="121">
        <f>VLOOKUP($B30,'Tillförd energi'!$B$1:$AI$720,MATCH(M$1,'Tillförd energi'!$B$1:$AQ$1,0),FALSE)</f>
        <v>0</v>
      </c>
      <c r="N30" s="121">
        <f>VLOOKUP($B30,'Tillförd energi'!$B$1:$AI$720,MATCH(N$1,'Tillförd energi'!$B$1:$AQ$1,0),FALSE)</f>
        <v>0</v>
      </c>
      <c r="O30" s="121">
        <f>VLOOKUP($B30,'Tillförd energi'!$B$1:$AI$720,MATCH(O$1,'Tillförd energi'!$B$1:$AQ$1,0),FALSE)</f>
        <v>0</v>
      </c>
      <c r="P30" s="121">
        <f>VLOOKUP($B30,'Tillförd energi'!$B$1:$AI$720,MATCH(P$1,'Tillförd energi'!$B$1:$AQ$1,0),FALSE)</f>
        <v>29.55</v>
      </c>
      <c r="Q30" s="121">
        <f>VLOOKUP($B30,'Tillförd energi'!$B$1:$AI$720,MATCH(Q$1,'Tillförd energi'!$B$1:$AQ$1,0),FALSE)</f>
        <v>0</v>
      </c>
      <c r="R30" s="121">
        <f>VLOOKUP($B30,'Tillförd energi'!$B$1:$AI$720,MATCH(R$1,'Tillförd energi'!$B$1:$AQ$1,0),FALSE)</f>
        <v>6.68</v>
      </c>
      <c r="S30" s="121">
        <f>VLOOKUP($B30,'Tillförd energi'!$B$1:$AI$720,MATCH(S$1,'Tillförd energi'!$B$1:$AQ$1,0),FALSE)</f>
        <v>0</v>
      </c>
      <c r="T30" s="121">
        <f>VLOOKUP($B30,'Tillförd energi'!$B$1:$AI$720,MATCH(T$1,'Tillförd energi'!$B$1:$AQ$1,0),FALSE)</f>
        <v>0</v>
      </c>
      <c r="U30" s="121">
        <f>VLOOKUP($B30,'Tillförd energi'!$B$1:$AI$720,MATCH(U$1,'Tillförd energi'!$B$1:$AQ$1,0),FALSE)</f>
        <v>0</v>
      </c>
      <c r="V30" s="121">
        <f>VLOOKUP($B30,'Tillförd energi'!$B$1:$AI$720,MATCH(V$1,'Tillförd energi'!$B$1:$AQ$1,0),FALSE)</f>
        <v>0</v>
      </c>
      <c r="W30" s="121">
        <f>VLOOKUP($B30,'Tillförd energi'!$B$1:$AI$720,MATCH(W$1,'Tillförd energi'!$B$1:$AQ$1,0),FALSE)</f>
        <v>0</v>
      </c>
      <c r="X30" s="121">
        <f>VLOOKUP($B30,'Tillförd energi'!$B$1:$AI$720,MATCH(X$1,'Tillförd energi'!$B$1:$AQ$1,0),FALSE)</f>
        <v>0</v>
      </c>
      <c r="Y30" s="121">
        <f>VLOOKUP($B30,'Tillförd energi'!$B$1:$AI$720,MATCH(Y$1,'Tillförd energi'!$B$1:$AQ$1,0),FALSE)</f>
        <v>0</v>
      </c>
      <c r="Z30" s="121">
        <f>VLOOKUP($B30,'Tillförd energi'!$B$1:$AI$720,MATCH(Z$1,'Tillförd energi'!$B$1:$AQ$1,0),FALSE)</f>
        <v>0</v>
      </c>
      <c r="AA30" s="121">
        <f>VLOOKUP($B30,'Tillförd energi'!$B$1:$AI$720,MATCH(AA$1,'Tillförd energi'!$B$1:$AQ$1,0),FALSE)</f>
        <v>0</v>
      </c>
      <c r="AB30" s="121">
        <f>VLOOKUP($B30,'Tillförd energi'!$B$1:$AI$720,MATCH(AB$1,'Tillförd energi'!$B$1:$AQ$1,0),FALSE)</f>
        <v>0</v>
      </c>
      <c r="AC30" s="121">
        <f>VLOOKUP($B30,'Tillförd energi'!$B$1:$AI$720,MATCH(AC$1,'Tillförd energi'!$B$1:$AQ$1,0),FALSE)</f>
        <v>0</v>
      </c>
      <c r="AD30" s="121">
        <f>VLOOKUP($B30,'Tillförd energi'!$B$1:$AI$720,MATCH(AD$1,'Tillförd energi'!$B$1:$AQ$1,0),FALSE)</f>
        <v>0</v>
      </c>
      <c r="AE30" s="121">
        <f>VLOOKUP($B30,'Tillförd energi'!$B$1:$AI$720,MATCH(AE$1,'Tillförd energi'!$B$1:$AQ$1,0),FALSE)</f>
        <v>0</v>
      </c>
      <c r="AF30" s="121">
        <f>VLOOKUP($B30,'Tillförd energi'!$B$1:$AI$720,MATCH(AF$1,'Tillförd energi'!$B$1:$AQ$1,0),FALSE)</f>
        <v>0.56999999999999995</v>
      </c>
      <c r="AG30" s="121">
        <f>IFERROR(VLOOKUP(B30,Miljö!$B$1:$AC$550,MATCH("Köpt mängd produktionsspecifik fjärrvärme:",Miljö!$B$1:$AC$1,0),FALSE)/1,0)</f>
        <v>0</v>
      </c>
      <c r="AH30" s="121"/>
      <c r="AI30" s="121">
        <f t="shared" si="0"/>
        <v>36.800000000000004</v>
      </c>
      <c r="AJ30" s="121">
        <f t="shared" si="1"/>
        <v>36.800000000000004</v>
      </c>
      <c r="AK30" s="121">
        <f>IF(ISERROR(1/VLOOKUP($B30,Leveranser!$B$1:$S$499,MATCH("såld värme (gwh)",Leveranser!$B$1:$S$1,0),FALSE)),"",VLOOKUP($B30,Leveranser!$B$1:$S$499,MATCH("såld värme (gwh)",Leveranser!$B$1:$S$1,0),FALSE))</f>
        <v>25.97</v>
      </c>
      <c r="AL30" s="121">
        <f>VLOOKUP($B30,Leveranser!$B$1:$Y$499,MATCH("Totalt såld fjärrvärme till andra fjärrvärmeföretag",Leveranser!$B$1:$AA$1,0),FALSE)</f>
        <v>0</v>
      </c>
      <c r="AM30" s="121">
        <f>IF(ISERROR(1/VLOOKUP($B30,Miljö!$B$1:$S$500,MATCH("Såld mängd produktionsspecifik fjärrvärme (GWh)",Miljö!$B$1:$R$1,0),FALSE)),0,VLOOKUP($B30,Miljö!$B$1:$S$500,MATCH("Såld mängd produktionsspecifik fjärrvärme (GWh)",Miljö!$B$1:$R$1,0),FALSE))</f>
        <v>0</v>
      </c>
      <c r="AN30" s="172">
        <f t="shared" si="2"/>
        <v>0.70570652173913029</v>
      </c>
      <c r="AO30" s="121"/>
      <c r="AP30" s="121" t="str">
        <f>IFERROR(VLOOKUP($B30,Miljövärden!$B$2:$H$550,7,FALSE),"Nej, saknas")</f>
        <v>Ja</v>
      </c>
      <c r="AQ30" s="121" t="str">
        <f>IFERROR(VLOOKUP($B30,Miljövärden!$B$2:$H$550,6,FALSE),"Nej, saknas")</f>
        <v>Ja</v>
      </c>
      <c r="AU30">
        <f t="shared" si="3"/>
        <v>0.56999999999999995</v>
      </c>
      <c r="AV30">
        <f t="shared" si="4"/>
        <v>0</v>
      </c>
      <c r="AW30">
        <f t="shared" si="5"/>
        <v>29.55</v>
      </c>
      <c r="AX30">
        <f t="shared" si="6"/>
        <v>6.68</v>
      </c>
      <c r="AZ30">
        <f t="shared" si="7"/>
        <v>36.230000000000004</v>
      </c>
      <c r="BC30">
        <f t="shared" si="8"/>
        <v>0</v>
      </c>
      <c r="BD30">
        <f t="shared" si="9"/>
        <v>0</v>
      </c>
      <c r="BE30">
        <f t="shared" si="10"/>
        <v>36.230000000000004</v>
      </c>
      <c r="BF30">
        <f t="shared" si="11"/>
        <v>0</v>
      </c>
      <c r="BG30">
        <f t="shared" si="12"/>
        <v>0.56999999999999995</v>
      </c>
      <c r="BH30">
        <f>VLOOKUP(B30,Miljö!$B$1:$BX$482,MATCH("Fossilandel för ursprungspecificerad el ()",Miljö!$B$1:$I$1,0),FALSE)</f>
        <v>0</v>
      </c>
      <c r="BI30">
        <f>VLOOKUP(B30,Miljö!$B$1:$BX$482,MATCH("Kärnkraftsandel för ursprungsspecificerad el ()",Miljö!$B$1:$O$1,0),FALSE)</f>
        <v>0</v>
      </c>
      <c r="BJ30">
        <f t="shared" si="13"/>
        <v>0</v>
      </c>
      <c r="BK30" t="str">
        <f>VLOOKUP(B30,Miljö!$B$1:$O$482,MATCH("Fossil andel i procent (%)",Miljö!$B$1:$O$1,0),FALSE)</f>
        <v>ET</v>
      </c>
      <c r="BL30">
        <f t="shared" si="14"/>
        <v>36.800000000000004</v>
      </c>
      <c r="BO30" s="18">
        <f t="shared" si="15"/>
        <v>0</v>
      </c>
      <c r="BP30" s="18">
        <f t="shared" si="16"/>
        <v>0</v>
      </c>
      <c r="BQ30" s="18">
        <f t="shared" si="17"/>
        <v>1</v>
      </c>
      <c r="BR30" s="18">
        <f t="shared" si="18"/>
        <v>0</v>
      </c>
      <c r="BT30" s="27">
        <f t="shared" si="19"/>
        <v>1</v>
      </c>
      <c r="BW30" s="18">
        <f>IF(AP30="ja",VLOOKUP(B30,Miljövärden!$B$2:$H$550,MATCH("Total andel fossilt",Miljövärden!$B$2:$H$2,0),FALSE),"")</f>
        <v>0</v>
      </c>
      <c r="BZ30" s="28">
        <f t="shared" si="20"/>
        <v>0</v>
      </c>
      <c r="CA30" s="28">
        <f t="shared" si="21"/>
        <v>0</v>
      </c>
    </row>
    <row r="31" spans="1:79" x14ac:dyDescent="0.25">
      <c r="A31" s="224" t="s">
        <v>226</v>
      </c>
      <c r="B31" s="224" t="s">
        <v>227</v>
      </c>
      <c r="C31" s="121">
        <f>VLOOKUP($B31,'Tillförd energi'!$B$1:$AI$720,MATCH(C$1,'Tillförd energi'!$B$1:$AQ$1,0),FALSE)</f>
        <v>0</v>
      </c>
      <c r="D31" s="121">
        <f>VLOOKUP($B31,'Tillförd energi'!$B$1:$AI$720,MATCH(D$1,'Tillförd energi'!$B$1:$AQ$1,0),FALSE)</f>
        <v>1.1599999999999999</v>
      </c>
      <c r="E31" s="121">
        <f>VLOOKUP($B31,'Tillförd energi'!$B$1:$AI$720,MATCH(E$1,'Tillförd energi'!$B$1:$AQ$1,0),FALSE)</f>
        <v>0</v>
      </c>
      <c r="F31" s="121">
        <f>VLOOKUP($B31,'Tillförd energi'!$B$1:$AI$720,MATCH(F$1,'Tillförd energi'!$B$1:$AQ$1,0),FALSE)</f>
        <v>1.38</v>
      </c>
      <c r="G31" s="121">
        <f>VLOOKUP($B31,'Tillförd energi'!$B$1:$AI$720,MATCH(G$1,'Tillförd energi'!$B$1:$AQ$1,0),FALSE)</f>
        <v>0</v>
      </c>
      <c r="H31" s="121">
        <f>VLOOKUP($B31,'Tillförd energi'!$B$1:$AI$720,MATCH(H$1,'Tillförd energi'!$B$1:$AQ$1,0),FALSE)</f>
        <v>0</v>
      </c>
      <c r="I31" s="121">
        <f>VLOOKUP($B31,'Tillförd energi'!$B$1:$AI$720,MATCH(I$1,'Tillförd energi'!$B$1:$AQ$1,0),FALSE)</f>
        <v>0</v>
      </c>
      <c r="J31" s="121">
        <f>VLOOKUP($B31,'Tillförd energi'!$B$1:$AI$720,MATCH(J$1,'Tillförd energi'!$B$1:$AQ$1,0),FALSE)</f>
        <v>0.95</v>
      </c>
      <c r="K31" s="121">
        <f>VLOOKUP($B31,'Tillförd energi'!$B$1:$AI$720,MATCH(K$1,'Tillförd energi'!$B$1:$AQ$1,0),FALSE)</f>
        <v>0</v>
      </c>
      <c r="L31" s="121">
        <f>VLOOKUP($B31,'Tillförd energi'!$B$1:$AI$720,MATCH(L$1,'Tillförd energi'!$B$1:$AQ$1,0),FALSE)</f>
        <v>0</v>
      </c>
      <c r="M31" s="121">
        <f>VLOOKUP($B31,'Tillförd energi'!$B$1:$AI$720,MATCH(M$1,'Tillförd energi'!$B$1:$AQ$1,0),FALSE)</f>
        <v>0</v>
      </c>
      <c r="N31" s="121">
        <f>VLOOKUP($B31,'Tillförd energi'!$B$1:$AI$720,MATCH(N$1,'Tillförd energi'!$B$1:$AQ$1,0),FALSE)</f>
        <v>0</v>
      </c>
      <c r="O31" s="121">
        <f>VLOOKUP($B31,'Tillförd energi'!$B$1:$AI$720,MATCH(O$1,'Tillförd energi'!$B$1:$AQ$1,0),FALSE)</f>
        <v>0</v>
      </c>
      <c r="P31" s="121">
        <f>VLOOKUP($B31,'Tillförd energi'!$B$1:$AI$720,MATCH(P$1,'Tillförd energi'!$B$1:$AQ$1,0),FALSE)</f>
        <v>0</v>
      </c>
      <c r="Q31" s="121">
        <f>VLOOKUP($B31,'Tillförd energi'!$B$1:$AI$720,MATCH(Q$1,'Tillförd energi'!$B$1:$AQ$1,0),FALSE)</f>
        <v>82.9</v>
      </c>
      <c r="R31" s="121">
        <f>VLOOKUP($B31,'Tillförd energi'!$B$1:$AI$720,MATCH(R$1,'Tillförd energi'!$B$1:$AQ$1,0),FALSE)</f>
        <v>17.8</v>
      </c>
      <c r="S31" s="121">
        <f>VLOOKUP($B31,'Tillförd energi'!$B$1:$AI$720,MATCH(S$1,'Tillförd energi'!$B$1:$AQ$1,0),FALSE)</f>
        <v>0</v>
      </c>
      <c r="T31" s="121">
        <f>VLOOKUP($B31,'Tillförd energi'!$B$1:$AI$720,MATCH(T$1,'Tillförd energi'!$B$1:$AQ$1,0),FALSE)</f>
        <v>0</v>
      </c>
      <c r="U31" s="121">
        <f>VLOOKUP($B31,'Tillförd energi'!$B$1:$AI$720,MATCH(U$1,'Tillförd energi'!$B$1:$AQ$1,0),FALSE)</f>
        <v>0</v>
      </c>
      <c r="V31" s="121">
        <f>VLOOKUP($B31,'Tillförd energi'!$B$1:$AI$720,MATCH(V$1,'Tillförd energi'!$B$1:$AQ$1,0),FALSE)</f>
        <v>0</v>
      </c>
      <c r="W31" s="121">
        <f>VLOOKUP($B31,'Tillförd energi'!$B$1:$AI$720,MATCH(W$1,'Tillförd energi'!$B$1:$AQ$1,0),FALSE)</f>
        <v>0</v>
      </c>
      <c r="X31" s="121">
        <f>VLOOKUP($B31,'Tillförd energi'!$B$1:$AI$720,MATCH(X$1,'Tillförd energi'!$B$1:$AQ$1,0),FALSE)</f>
        <v>0</v>
      </c>
      <c r="Y31" s="121">
        <f>VLOOKUP($B31,'Tillförd energi'!$B$1:$AI$720,MATCH(Y$1,'Tillförd energi'!$B$1:$AQ$1,0),FALSE)</f>
        <v>0</v>
      </c>
      <c r="Z31" s="121">
        <f>VLOOKUP($B31,'Tillförd energi'!$B$1:$AI$720,MATCH(Z$1,'Tillförd energi'!$B$1:$AQ$1,0),FALSE)</f>
        <v>0</v>
      </c>
      <c r="AA31" s="121">
        <f>VLOOKUP($B31,'Tillförd energi'!$B$1:$AI$720,MATCH(AA$1,'Tillförd energi'!$B$1:$AQ$1,0),FALSE)</f>
        <v>0</v>
      </c>
      <c r="AB31" s="121">
        <f>VLOOKUP($B31,'Tillförd energi'!$B$1:$AI$720,MATCH(AB$1,'Tillförd energi'!$B$1:$AQ$1,0),FALSE)</f>
        <v>0</v>
      </c>
      <c r="AC31" s="121">
        <f>VLOOKUP($B31,'Tillförd energi'!$B$1:$AI$720,MATCH(AC$1,'Tillförd energi'!$B$1:$AQ$1,0),FALSE)</f>
        <v>19.399999999999999</v>
      </c>
      <c r="AD31" s="121">
        <f>VLOOKUP($B31,'Tillförd energi'!$B$1:$AI$720,MATCH(AD$1,'Tillförd energi'!$B$1:$AQ$1,0),FALSE)</f>
        <v>9.1999999999999993</v>
      </c>
      <c r="AE31" s="121">
        <f>VLOOKUP($B31,'Tillförd energi'!$B$1:$AI$720,MATCH(AE$1,'Tillförd energi'!$B$1:$AQ$1,0),FALSE)</f>
        <v>0</v>
      </c>
      <c r="AF31" s="121">
        <f>VLOOKUP($B31,'Tillförd energi'!$B$1:$AI$720,MATCH(AF$1,'Tillförd energi'!$B$1:$AQ$1,0),FALSE)</f>
        <v>3.44</v>
      </c>
      <c r="AG31" s="121">
        <f>IFERROR(VLOOKUP(B31,Miljö!$B$1:$AC$550,MATCH("Köpt mängd produktionsspecifik fjärrvärme:",Miljö!$B$1:$AC$1,0),FALSE)/1,0)</f>
        <v>0</v>
      </c>
      <c r="AH31" s="121"/>
      <c r="AI31" s="121">
        <f t="shared" si="0"/>
        <v>136.22999999999999</v>
      </c>
      <c r="AJ31" s="121">
        <f t="shared" si="1"/>
        <v>136.22999999999999</v>
      </c>
      <c r="AK31" s="121">
        <f>IF(ISERROR(1/VLOOKUP($B31,Leveranser!$B$1:$S$499,MATCH("såld värme (gwh)",Leveranser!$B$1:$S$1,0),FALSE)),"",VLOOKUP($B31,Leveranser!$B$1:$S$499,MATCH("såld värme (gwh)",Leveranser!$B$1:$S$1,0),FALSE))</f>
        <v>108.3</v>
      </c>
      <c r="AL31" s="121">
        <f>VLOOKUP($B31,Leveranser!$B$1:$Y$499,MATCH("Totalt såld fjärrvärme till andra fjärrvärmeföretag",Leveranser!$B$1:$AA$1,0),FALSE)</f>
        <v>0</v>
      </c>
      <c r="AM31" s="121">
        <f>IF(ISERROR(1/VLOOKUP($B31,Miljö!$B$1:$S$500,MATCH("Såld mängd produktionsspecifik fjärrvärme (GWh)",Miljö!$B$1:$R$1,0),FALSE)),0,VLOOKUP($B31,Miljö!$B$1:$S$500,MATCH("Såld mängd produktionsspecifik fjärrvärme (GWh)",Miljö!$B$1:$R$1,0),FALSE))</f>
        <v>0</v>
      </c>
      <c r="AN31" s="172">
        <f t="shared" si="2"/>
        <v>0.79497907949790803</v>
      </c>
      <c r="AO31" s="121"/>
      <c r="AP31" s="121" t="str">
        <f>IFERROR(VLOOKUP($B31,Miljövärden!$B$2:$H$550,7,FALSE),"Nej, saknas")</f>
        <v>Ja</v>
      </c>
      <c r="AQ31" s="121" t="str">
        <f>IFERROR(VLOOKUP($B31,Miljövärden!$B$2:$H$550,6,FALSE),"Nej, saknas")</f>
        <v>Ja</v>
      </c>
      <c r="AU31">
        <f t="shared" si="3"/>
        <v>3.44</v>
      </c>
      <c r="AV31">
        <f t="shared" si="4"/>
        <v>0</v>
      </c>
      <c r="AW31">
        <f t="shared" si="5"/>
        <v>82.9</v>
      </c>
      <c r="AX31">
        <f t="shared" si="6"/>
        <v>17.8</v>
      </c>
      <c r="AZ31">
        <f t="shared" si="7"/>
        <v>100.7</v>
      </c>
      <c r="BC31">
        <f t="shared" si="8"/>
        <v>2.54</v>
      </c>
      <c r="BD31">
        <f t="shared" si="9"/>
        <v>0</v>
      </c>
      <c r="BE31">
        <f t="shared" si="10"/>
        <v>100.7</v>
      </c>
      <c r="BF31">
        <f t="shared" si="11"/>
        <v>29.549999999999997</v>
      </c>
      <c r="BG31">
        <f t="shared" si="12"/>
        <v>3.44</v>
      </c>
      <c r="BH31">
        <f>VLOOKUP(B31,Miljö!$B$1:$BX$482,MATCH("Fossilandel för ursprungspecificerad el ()",Miljö!$B$1:$I$1,0),FALSE)</f>
        <v>0</v>
      </c>
      <c r="BI31">
        <f>VLOOKUP(B31,Miljö!$B$1:$BX$482,MATCH("Kärnkraftsandel för ursprungsspecificerad el ()",Miljö!$B$1:$O$1,0),FALSE)</f>
        <v>0</v>
      </c>
      <c r="BJ31">
        <f t="shared" si="13"/>
        <v>0</v>
      </c>
      <c r="BK31" t="str">
        <f>VLOOKUP(B31,Miljö!$B$1:$O$482,MATCH("Fossil andel i procent (%)",Miljö!$B$1:$O$1,0),FALSE)</f>
        <v>ET</v>
      </c>
      <c r="BL31">
        <f t="shared" si="14"/>
        <v>136.23000000000002</v>
      </c>
      <c r="BO31" s="18">
        <f t="shared" si="15"/>
        <v>1.8644938706599133E-2</v>
      </c>
      <c r="BP31" s="18">
        <f t="shared" si="16"/>
        <v>0</v>
      </c>
      <c r="BQ31" s="18">
        <f t="shared" si="17"/>
        <v>0.76444248697056438</v>
      </c>
      <c r="BR31" s="18">
        <f t="shared" si="18"/>
        <v>0.21691257432283634</v>
      </c>
      <c r="BT31" s="27">
        <f t="shared" si="19"/>
        <v>0.99999999999999978</v>
      </c>
      <c r="BW31" s="18">
        <f>IF(AP31="ja",VLOOKUP(B31,Miljövärden!$B$2:$H$550,MATCH("Total andel fossilt",Miljövärden!$B$2:$H$2,0),FALSE),"")</f>
        <v>1.8644899999999999E-2</v>
      </c>
      <c r="BZ31" s="28">
        <f t="shared" si="20"/>
        <v>-3.870659913418617E-8</v>
      </c>
      <c r="CA31" s="28">
        <f t="shared" si="21"/>
        <v>0</v>
      </c>
    </row>
    <row r="32" spans="1:79" x14ac:dyDescent="0.25">
      <c r="A32" s="224" t="s">
        <v>228</v>
      </c>
      <c r="B32" s="224" t="s">
        <v>229</v>
      </c>
      <c r="C32" s="121">
        <f>VLOOKUP($B32,'Tillförd energi'!$B$1:$AI$720,MATCH(C$1,'Tillförd energi'!$B$1:$AQ$1,0),FALSE)</f>
        <v>0</v>
      </c>
      <c r="D32" s="121">
        <f>VLOOKUP($B32,'Tillförd energi'!$B$1:$AI$720,MATCH(D$1,'Tillförd energi'!$B$1:$AQ$1,0),FALSE)</f>
        <v>0.1</v>
      </c>
      <c r="E32" s="121">
        <f>VLOOKUP($B32,'Tillförd energi'!$B$1:$AI$720,MATCH(E$1,'Tillförd energi'!$B$1:$AQ$1,0),FALSE)</f>
        <v>0</v>
      </c>
      <c r="F32" s="121">
        <f>VLOOKUP($B32,'Tillförd energi'!$B$1:$AI$720,MATCH(F$1,'Tillförd energi'!$B$1:$AQ$1,0),FALSE)</f>
        <v>0</v>
      </c>
      <c r="G32" s="121">
        <f>VLOOKUP($B32,'Tillförd energi'!$B$1:$AI$720,MATCH(G$1,'Tillförd energi'!$B$1:$AQ$1,0),FALSE)</f>
        <v>0</v>
      </c>
      <c r="H32" s="121">
        <f>VLOOKUP($B32,'Tillförd energi'!$B$1:$AI$720,MATCH(H$1,'Tillförd energi'!$B$1:$AQ$1,0),FALSE)</f>
        <v>0</v>
      </c>
      <c r="I32" s="121">
        <f>VLOOKUP($B32,'Tillförd energi'!$B$1:$AI$720,MATCH(I$1,'Tillförd energi'!$B$1:$AQ$1,0),FALSE)</f>
        <v>0</v>
      </c>
      <c r="J32" s="121">
        <f>VLOOKUP($B32,'Tillförd energi'!$B$1:$AI$720,MATCH(J$1,'Tillförd energi'!$B$1:$AQ$1,0),FALSE)</f>
        <v>0</v>
      </c>
      <c r="K32" s="121">
        <f>VLOOKUP($B32,'Tillförd energi'!$B$1:$AI$720,MATCH(K$1,'Tillförd energi'!$B$1:$AQ$1,0),FALSE)</f>
        <v>0</v>
      </c>
      <c r="L32" s="121">
        <f>VLOOKUP($B32,'Tillförd energi'!$B$1:$AI$720,MATCH(L$1,'Tillförd energi'!$B$1:$AQ$1,0),FALSE)</f>
        <v>0</v>
      </c>
      <c r="M32" s="121">
        <f>VLOOKUP($B32,'Tillförd energi'!$B$1:$AI$720,MATCH(M$1,'Tillförd energi'!$B$1:$AQ$1,0),FALSE)</f>
        <v>0</v>
      </c>
      <c r="N32" s="121">
        <f>VLOOKUP($B32,'Tillförd energi'!$B$1:$AI$720,MATCH(N$1,'Tillförd energi'!$B$1:$AQ$1,0),FALSE)</f>
        <v>0</v>
      </c>
      <c r="O32" s="121">
        <f>VLOOKUP($B32,'Tillförd energi'!$B$1:$AI$720,MATCH(O$1,'Tillförd energi'!$B$1:$AQ$1,0),FALSE)</f>
        <v>0</v>
      </c>
      <c r="P32" s="121">
        <f>VLOOKUP($B32,'Tillförd energi'!$B$1:$AI$720,MATCH(P$1,'Tillförd energi'!$B$1:$AQ$1,0),FALSE)</f>
        <v>0</v>
      </c>
      <c r="Q32" s="121">
        <f>VLOOKUP($B32,'Tillförd energi'!$B$1:$AI$720,MATCH(Q$1,'Tillförd energi'!$B$1:$AQ$1,0),FALSE)</f>
        <v>0</v>
      </c>
      <c r="R32" s="121">
        <f>VLOOKUP($B32,'Tillförd energi'!$B$1:$AI$720,MATCH(R$1,'Tillförd energi'!$B$1:$AQ$1,0),FALSE)</f>
        <v>3.1</v>
      </c>
      <c r="S32" s="121">
        <f>VLOOKUP($B32,'Tillförd energi'!$B$1:$AI$720,MATCH(S$1,'Tillförd energi'!$B$1:$AQ$1,0),FALSE)</f>
        <v>0</v>
      </c>
      <c r="T32" s="121">
        <f>VLOOKUP($B32,'Tillförd energi'!$B$1:$AI$720,MATCH(T$1,'Tillförd energi'!$B$1:$AQ$1,0),FALSE)</f>
        <v>0</v>
      </c>
      <c r="U32" s="121">
        <f>VLOOKUP($B32,'Tillförd energi'!$B$1:$AI$720,MATCH(U$1,'Tillförd energi'!$B$1:$AQ$1,0),FALSE)</f>
        <v>0</v>
      </c>
      <c r="V32" s="121">
        <f>VLOOKUP($B32,'Tillförd energi'!$B$1:$AI$720,MATCH(V$1,'Tillförd energi'!$B$1:$AQ$1,0),FALSE)</f>
        <v>0</v>
      </c>
      <c r="W32" s="121">
        <f>VLOOKUP($B32,'Tillförd energi'!$B$1:$AI$720,MATCH(W$1,'Tillförd energi'!$B$1:$AQ$1,0),FALSE)</f>
        <v>0</v>
      </c>
      <c r="X32" s="121">
        <f>VLOOKUP($B32,'Tillförd energi'!$B$1:$AI$720,MATCH(X$1,'Tillförd energi'!$B$1:$AQ$1,0),FALSE)</f>
        <v>0</v>
      </c>
      <c r="Y32" s="121">
        <f>VLOOKUP($B32,'Tillförd energi'!$B$1:$AI$720,MATCH(Y$1,'Tillförd energi'!$B$1:$AQ$1,0),FALSE)</f>
        <v>0</v>
      </c>
      <c r="Z32" s="121">
        <f>VLOOKUP($B32,'Tillförd energi'!$B$1:$AI$720,MATCH(Z$1,'Tillförd energi'!$B$1:$AQ$1,0),FALSE)</f>
        <v>0</v>
      </c>
      <c r="AA32" s="121">
        <f>VLOOKUP($B32,'Tillförd energi'!$B$1:$AI$720,MATCH(AA$1,'Tillförd energi'!$B$1:$AQ$1,0),FALSE)</f>
        <v>0</v>
      </c>
      <c r="AB32" s="121">
        <f>VLOOKUP($B32,'Tillförd energi'!$B$1:$AI$720,MATCH(AB$1,'Tillförd energi'!$B$1:$AQ$1,0),FALSE)</f>
        <v>0</v>
      </c>
      <c r="AC32" s="121">
        <f>VLOOKUP($B32,'Tillförd energi'!$B$1:$AI$720,MATCH(AC$1,'Tillförd energi'!$B$1:$AQ$1,0),FALSE)</f>
        <v>0</v>
      </c>
      <c r="AD32" s="121">
        <f>VLOOKUP($B32,'Tillförd energi'!$B$1:$AI$720,MATCH(AD$1,'Tillförd energi'!$B$1:$AQ$1,0),FALSE)</f>
        <v>6.2</v>
      </c>
      <c r="AE32" s="121">
        <f>VLOOKUP($B32,'Tillförd energi'!$B$1:$AI$720,MATCH(AE$1,'Tillförd energi'!$B$1:$AQ$1,0),FALSE)</f>
        <v>0</v>
      </c>
      <c r="AF32" s="121">
        <f>VLOOKUP($B32,'Tillförd energi'!$B$1:$AI$720,MATCH(AF$1,'Tillförd energi'!$B$1:$AQ$1,0),FALSE)</f>
        <v>0.06</v>
      </c>
      <c r="AG32" s="121">
        <f>IFERROR(VLOOKUP(B32,Miljö!$B$1:$AC$550,MATCH("Köpt mängd produktionsspecifik fjärrvärme:",Miljö!$B$1:$AC$1,0),FALSE)/1,0)</f>
        <v>0</v>
      </c>
      <c r="AH32" s="121"/>
      <c r="AI32" s="121">
        <f t="shared" si="0"/>
        <v>9.4600000000000009</v>
      </c>
      <c r="AJ32" s="121">
        <f t="shared" si="1"/>
        <v>9.4600000000000009</v>
      </c>
      <c r="AK32" s="121">
        <f>IF(ISERROR(1/VLOOKUP($B32,Leveranser!$B$1:$S$499,MATCH("såld värme (gwh)",Leveranser!$B$1:$S$1,0),FALSE)),"",VLOOKUP($B32,Leveranser!$B$1:$S$499,MATCH("såld värme (gwh)",Leveranser!$B$1:$S$1,0),FALSE))</f>
        <v>8.4</v>
      </c>
      <c r="AL32" s="121">
        <f>VLOOKUP($B32,Leveranser!$B$1:$Y$499,MATCH("Totalt såld fjärrvärme till andra fjärrvärmeföretag",Leveranser!$B$1:$AA$1,0),FALSE)</f>
        <v>0</v>
      </c>
      <c r="AM32" s="121">
        <f>IF(ISERROR(1/VLOOKUP($B32,Miljö!$B$1:$S$500,MATCH("Såld mängd produktionsspecifik fjärrvärme (GWh)",Miljö!$B$1:$R$1,0),FALSE)),0,VLOOKUP($B32,Miljö!$B$1:$S$500,MATCH("Såld mängd produktionsspecifik fjärrvärme (GWh)",Miljö!$B$1:$R$1,0),FALSE))</f>
        <v>0</v>
      </c>
      <c r="AN32" s="172">
        <f t="shared" si="2"/>
        <v>0.88794926004228325</v>
      </c>
      <c r="AO32" s="121"/>
      <c r="AP32" s="121" t="str">
        <f>IFERROR(VLOOKUP($B32,Miljövärden!$B$2:$H$550,7,FALSE),"Nej, saknas")</f>
        <v>Ja</v>
      </c>
      <c r="AQ32" s="121" t="str">
        <f>IFERROR(VLOOKUP($B32,Miljövärden!$B$2:$H$550,6,FALSE),"Nej, saknas")</f>
        <v>Nej</v>
      </c>
      <c r="AU32">
        <f t="shared" si="3"/>
        <v>0.06</v>
      </c>
      <c r="AV32">
        <f t="shared" si="4"/>
        <v>0</v>
      </c>
      <c r="AW32">
        <f t="shared" si="5"/>
        <v>0</v>
      </c>
      <c r="AX32">
        <f t="shared" si="6"/>
        <v>3.1</v>
      </c>
      <c r="AZ32">
        <f t="shared" si="7"/>
        <v>3.1</v>
      </c>
      <c r="BC32">
        <f t="shared" si="8"/>
        <v>0.1</v>
      </c>
      <c r="BD32">
        <f t="shared" si="9"/>
        <v>0</v>
      </c>
      <c r="BE32">
        <f t="shared" si="10"/>
        <v>3.1</v>
      </c>
      <c r="BF32">
        <f t="shared" si="11"/>
        <v>6.2</v>
      </c>
      <c r="BG32">
        <f t="shared" si="12"/>
        <v>0.06</v>
      </c>
      <c r="BH32">
        <f>VLOOKUP(B32,Miljö!$B$1:$BX$482,MATCH("Fossilandel för ursprungspecificerad el ()",Miljö!$B$1:$I$1,0),FALSE)</f>
        <v>0</v>
      </c>
      <c r="BI32">
        <f>VLOOKUP(B32,Miljö!$B$1:$BX$482,MATCH("Kärnkraftsandel för ursprungsspecificerad el ()",Miljö!$B$1:$O$1,0),FALSE)</f>
        <v>0</v>
      </c>
      <c r="BJ32">
        <f t="shared" si="13"/>
        <v>0</v>
      </c>
      <c r="BK32" t="str">
        <f>VLOOKUP(B32,Miljö!$B$1:$O$482,MATCH("Fossil andel i procent (%)",Miljö!$B$1:$O$1,0),FALSE)</f>
        <v>ET</v>
      </c>
      <c r="BL32">
        <f t="shared" si="14"/>
        <v>9.4600000000000009</v>
      </c>
      <c r="BO32" s="18">
        <f t="shared" si="15"/>
        <v>1.0570824524312896E-2</v>
      </c>
      <c r="BP32" s="18">
        <f t="shared" si="16"/>
        <v>0</v>
      </c>
      <c r="BQ32" s="18">
        <f t="shared" si="17"/>
        <v>0.33403805496828753</v>
      </c>
      <c r="BR32" s="18">
        <f t="shared" si="18"/>
        <v>0.65539112050739956</v>
      </c>
      <c r="BT32" s="27">
        <f t="shared" si="19"/>
        <v>1</v>
      </c>
      <c r="BW32" s="18">
        <f>IF(AP32="ja",VLOOKUP(B32,Miljövärden!$B$2:$H$550,MATCH("Total andel fossilt",Miljövärden!$B$2:$H$2,0),FALSE),"")</f>
        <v>1.05708E-2</v>
      </c>
      <c r="BZ32" s="28">
        <f t="shared" si="20"/>
        <v>-2.4524312896428979E-8</v>
      </c>
      <c r="CA32" s="28">
        <f t="shared" si="21"/>
        <v>0</v>
      </c>
    </row>
    <row r="33" spans="1:79" x14ac:dyDescent="0.25">
      <c r="A33" s="224" t="s">
        <v>230</v>
      </c>
      <c r="B33" s="224" t="s">
        <v>66</v>
      </c>
      <c r="C33" s="121">
        <f>VLOOKUP($B33,'Tillförd energi'!$B$1:$AI$720,MATCH(C$1,'Tillförd energi'!$B$1:$AQ$1,0),FALSE)</f>
        <v>0</v>
      </c>
      <c r="D33" s="121">
        <f>VLOOKUP($B33,'Tillförd energi'!$B$1:$AI$720,MATCH(D$1,'Tillförd energi'!$B$1:$AQ$1,0),FALSE)</f>
        <v>3</v>
      </c>
      <c r="E33" s="121">
        <f>VLOOKUP($B33,'Tillförd energi'!$B$1:$AI$720,MATCH(E$1,'Tillförd energi'!$B$1:$AQ$1,0),FALSE)</f>
        <v>0</v>
      </c>
      <c r="F33" s="121">
        <f>VLOOKUP($B33,'Tillförd energi'!$B$1:$AI$720,MATCH(F$1,'Tillförd energi'!$B$1:$AQ$1,0),FALSE)</f>
        <v>12</v>
      </c>
      <c r="G33" s="121">
        <f>VLOOKUP($B33,'Tillförd energi'!$B$1:$AI$720,MATCH(G$1,'Tillförd energi'!$B$1:$AQ$1,0),FALSE)</f>
        <v>0</v>
      </c>
      <c r="H33" s="121">
        <f>VLOOKUP($B33,'Tillförd energi'!$B$1:$AI$720,MATCH(H$1,'Tillförd energi'!$B$1:$AQ$1,0),FALSE)</f>
        <v>0</v>
      </c>
      <c r="I33" s="121">
        <f>VLOOKUP($B33,'Tillförd energi'!$B$1:$AI$720,MATCH(I$1,'Tillförd energi'!$B$1:$AQ$1,0),FALSE)</f>
        <v>250.54300000000001</v>
      </c>
      <c r="J33" s="121">
        <f>VLOOKUP($B33,'Tillförd energi'!$B$1:$AI$720,MATCH(J$1,'Tillförd energi'!$B$1:$AQ$1,0),FALSE)</f>
        <v>2.8717600000000001</v>
      </c>
      <c r="K33" s="121">
        <f>VLOOKUP($B33,'Tillförd energi'!$B$1:$AI$720,MATCH(K$1,'Tillförd energi'!$B$1:$AQ$1,0),FALSE)</f>
        <v>0</v>
      </c>
      <c r="L33" s="121">
        <f>VLOOKUP($B33,'Tillförd energi'!$B$1:$AI$720,MATCH(L$1,'Tillförd energi'!$B$1:$AQ$1,0),FALSE)</f>
        <v>7.8930800000000003</v>
      </c>
      <c r="M33" s="121">
        <f>VLOOKUP($B33,'Tillförd energi'!$B$1:$AI$720,MATCH(M$1,'Tillförd energi'!$B$1:$AQ$1,0),FALSE)</f>
        <v>0</v>
      </c>
      <c r="N33" s="121">
        <f>VLOOKUP($B33,'Tillförd energi'!$B$1:$AI$720,MATCH(N$1,'Tillförd energi'!$B$1:$AQ$1,0),FALSE)</f>
        <v>0</v>
      </c>
      <c r="O33" s="121">
        <f>VLOOKUP($B33,'Tillförd energi'!$B$1:$AI$720,MATCH(O$1,'Tillförd energi'!$B$1:$AQ$1,0),FALSE)</f>
        <v>15</v>
      </c>
      <c r="P33" s="121">
        <f>VLOOKUP($B33,'Tillförd energi'!$B$1:$AI$720,MATCH(P$1,'Tillförd energi'!$B$1:$AQ$1,0),FALSE)</f>
        <v>5</v>
      </c>
      <c r="Q33" s="121">
        <f>VLOOKUP($B33,'Tillförd energi'!$B$1:$AI$720,MATCH(Q$1,'Tillförd energi'!$B$1:$AQ$1,0),FALSE)</f>
        <v>0</v>
      </c>
      <c r="R33" s="121">
        <f>VLOOKUP($B33,'Tillförd energi'!$B$1:$AI$720,MATCH(R$1,'Tillförd energi'!$B$1:$AQ$1,0),FALSE)</f>
        <v>0</v>
      </c>
      <c r="S33" s="121">
        <f>VLOOKUP($B33,'Tillförd energi'!$B$1:$AI$720,MATCH(S$1,'Tillförd energi'!$B$1:$AQ$1,0),FALSE)</f>
        <v>0</v>
      </c>
      <c r="T33" s="121">
        <f>VLOOKUP($B33,'Tillförd energi'!$B$1:$AI$720,MATCH(T$1,'Tillförd energi'!$B$1:$AQ$1,0),FALSE)</f>
        <v>0</v>
      </c>
      <c r="U33" s="121">
        <f>VLOOKUP($B33,'Tillförd energi'!$B$1:$AI$720,MATCH(U$1,'Tillförd energi'!$B$1:$AQ$1,0),FALSE)</f>
        <v>0</v>
      </c>
      <c r="V33" s="121">
        <f>VLOOKUP($B33,'Tillförd energi'!$B$1:$AI$720,MATCH(V$1,'Tillförd energi'!$B$1:$AQ$1,0),FALSE)</f>
        <v>0</v>
      </c>
      <c r="W33" s="121">
        <f>VLOOKUP($B33,'Tillförd energi'!$B$1:$AI$720,MATCH(W$1,'Tillförd energi'!$B$1:$AQ$1,0),FALSE)</f>
        <v>2</v>
      </c>
      <c r="X33" s="121">
        <f>VLOOKUP($B33,'Tillförd energi'!$B$1:$AI$720,MATCH(X$1,'Tillförd energi'!$B$1:$AQ$1,0),FALSE)</f>
        <v>0</v>
      </c>
      <c r="Y33" s="121">
        <f>VLOOKUP($B33,'Tillförd energi'!$B$1:$AI$720,MATCH(Y$1,'Tillförd energi'!$B$1:$AQ$1,0),FALSE)</f>
        <v>12</v>
      </c>
      <c r="Z33" s="121">
        <f>VLOOKUP($B33,'Tillförd energi'!$B$1:$AI$720,MATCH(Z$1,'Tillförd energi'!$B$1:$AQ$1,0),FALSE)</f>
        <v>0</v>
      </c>
      <c r="AA33" s="121">
        <f>VLOOKUP($B33,'Tillförd energi'!$B$1:$AI$720,MATCH(AA$1,'Tillförd energi'!$B$1:$AQ$1,0),FALSE)</f>
        <v>0</v>
      </c>
      <c r="AB33" s="121">
        <f>VLOOKUP($B33,'Tillförd energi'!$B$1:$AI$720,MATCH(AB$1,'Tillförd energi'!$B$1:$AQ$1,0),FALSE)</f>
        <v>0</v>
      </c>
      <c r="AC33" s="121">
        <f>VLOOKUP($B33,'Tillförd energi'!$B$1:$AI$720,MATCH(AC$1,'Tillförd energi'!$B$1:$AQ$1,0),FALSE)</f>
        <v>65</v>
      </c>
      <c r="AD33" s="121">
        <f>VLOOKUP($B33,'Tillförd energi'!$B$1:$AI$720,MATCH(AD$1,'Tillförd energi'!$B$1:$AQ$1,0),FALSE)</f>
        <v>0</v>
      </c>
      <c r="AE33" s="121">
        <f>VLOOKUP($B33,'Tillförd energi'!$B$1:$AI$720,MATCH(AE$1,'Tillförd energi'!$B$1:$AQ$1,0),FALSE)</f>
        <v>0</v>
      </c>
      <c r="AF33" s="121">
        <f>VLOOKUP($B33,'Tillförd energi'!$B$1:$AI$720,MATCH(AF$1,'Tillförd energi'!$B$1:$AQ$1,0),FALSE)</f>
        <v>10.1225</v>
      </c>
      <c r="AG33" s="121">
        <f>IFERROR(VLOOKUP(B33,Miljö!$B$1:$AC$550,MATCH("Köpt mängd produktionsspecifik fjärrvärme:",Miljö!$B$1:$AC$1,0),FALSE)/1,0)</f>
        <v>0</v>
      </c>
      <c r="AH33" s="121"/>
      <c r="AI33" s="121">
        <f t="shared" si="0"/>
        <v>385.43034</v>
      </c>
      <c r="AJ33" s="121">
        <f t="shared" si="1"/>
        <v>385.43034</v>
      </c>
      <c r="AK33" s="121">
        <f>IF(ISERROR(1/VLOOKUP($B33,Leveranser!$B$1:$S$499,MATCH("såld värme (gwh)",Leveranser!$B$1:$S$1,0),FALSE)),"",VLOOKUP($B33,Leveranser!$B$1:$S$499,MATCH("såld värme (gwh)",Leveranser!$B$1:$S$1,0),FALSE))</f>
        <v>273</v>
      </c>
      <c r="AL33" s="121">
        <f>VLOOKUP($B33,Leveranser!$B$1:$Y$499,MATCH("Totalt såld fjärrvärme till andra fjärrvärmeföretag",Leveranser!$B$1:$AA$1,0),FALSE)</f>
        <v>0</v>
      </c>
      <c r="AM33" s="121">
        <f>IF(ISERROR(1/VLOOKUP($B33,Miljö!$B$1:$S$500,MATCH("Såld mängd produktionsspecifik fjärrvärme (GWh)",Miljö!$B$1:$R$1,0),FALSE)),0,VLOOKUP($B33,Miljö!$B$1:$S$500,MATCH("Såld mängd produktionsspecifik fjärrvärme (GWh)",Miljö!$B$1:$R$1,0),FALSE))</f>
        <v>0</v>
      </c>
      <c r="AN33" s="172">
        <f t="shared" si="2"/>
        <v>0.70829919616603099</v>
      </c>
      <c r="AO33" s="121"/>
      <c r="AP33" s="121" t="str">
        <f>IFERROR(VLOOKUP($B33,Miljövärden!$B$2:$H$550,7,FALSE),"Nej, saknas")</f>
        <v>Ja</v>
      </c>
      <c r="AQ33" s="121" t="str">
        <f>IFERROR(VLOOKUP($B33,Miljövärden!$B$2:$H$550,6,FALSE),"Nej, saknas")</f>
        <v>Nej</v>
      </c>
      <c r="AU33">
        <f t="shared" si="3"/>
        <v>10.1225</v>
      </c>
      <c r="AV33">
        <f t="shared" si="4"/>
        <v>0</v>
      </c>
      <c r="AW33">
        <f t="shared" si="5"/>
        <v>20</v>
      </c>
      <c r="AX33">
        <f t="shared" si="6"/>
        <v>0</v>
      </c>
      <c r="AZ33">
        <f t="shared" si="7"/>
        <v>29.893080000000001</v>
      </c>
      <c r="BC33">
        <f t="shared" si="8"/>
        <v>15</v>
      </c>
      <c r="BD33">
        <f t="shared" si="9"/>
        <v>12</v>
      </c>
      <c r="BE33">
        <f t="shared" si="10"/>
        <v>22</v>
      </c>
      <c r="BF33">
        <f t="shared" si="11"/>
        <v>326.30784</v>
      </c>
      <c r="BG33">
        <f t="shared" si="12"/>
        <v>10.1225</v>
      </c>
      <c r="BH33">
        <f>VLOOKUP(B33,Miljö!$B$1:$BX$482,MATCH("Fossilandel för ursprungspecificerad el ()",Miljö!$B$1:$I$1,0),FALSE)</f>
        <v>0.43</v>
      </c>
      <c r="BI33">
        <f>VLOOKUP(B33,Miljö!$B$1:$BX$482,MATCH("Kärnkraftsandel för ursprungsspecificerad el ()",Miljö!$B$1:$O$1,0),FALSE)</f>
        <v>0.40550000000000003</v>
      </c>
      <c r="BJ33">
        <f t="shared" si="13"/>
        <v>0</v>
      </c>
      <c r="BK33" t="str">
        <f>VLOOKUP(B33,Miljö!$B$1:$O$482,MATCH("Fossil andel i procent (%)",Miljö!$B$1:$O$1,0),FALSE)</f>
        <v>ET</v>
      </c>
      <c r="BL33">
        <f t="shared" si="14"/>
        <v>385.43034</v>
      </c>
      <c r="BO33" s="18">
        <f t="shared" si="15"/>
        <v>5.0210564637957672E-2</v>
      </c>
      <c r="BP33" s="18">
        <f t="shared" si="16"/>
        <v>4.1783617112238748E-2</v>
      </c>
      <c r="BQ33" s="18">
        <f t="shared" si="17"/>
        <v>6.1399295265650342E-2</v>
      </c>
      <c r="BR33" s="18">
        <f t="shared" si="18"/>
        <v>0.84660652298415329</v>
      </c>
      <c r="BT33" s="27">
        <f t="shared" si="19"/>
        <v>1</v>
      </c>
      <c r="BW33" s="18">
        <f>IF(AP33="ja",VLOOKUP(B33,Miljövärden!$B$2:$H$550,MATCH("Total andel fossilt",Miljövärden!$B$2:$H$2,0),FALSE),"")</f>
        <v>5.0210699999999997E-2</v>
      </c>
      <c r="BZ33" s="28">
        <f t="shared" si="20"/>
        <v>1.3536204232500459E-7</v>
      </c>
      <c r="CA33" s="28">
        <f t="shared" si="21"/>
        <v>0</v>
      </c>
    </row>
    <row r="34" spans="1:79" x14ac:dyDescent="0.25">
      <c r="A34" s="224" t="s">
        <v>231</v>
      </c>
      <c r="B34" s="210" t="s">
        <v>232</v>
      </c>
      <c r="C34" s="121">
        <f>VLOOKUP($B34,'Tillförd energi'!$B$1:$AI$720,MATCH(C$1,'Tillförd energi'!$B$1:$AQ$1,0),FALSE)</f>
        <v>0</v>
      </c>
      <c r="D34" s="121">
        <f>VLOOKUP($B34,'Tillförd energi'!$B$1:$AI$720,MATCH(D$1,'Tillförd energi'!$B$1:$AQ$1,0),FALSE)</f>
        <v>1.93</v>
      </c>
      <c r="E34" s="121">
        <f>VLOOKUP($B34,'Tillförd energi'!$B$1:$AI$720,MATCH(E$1,'Tillförd energi'!$B$1:$AQ$1,0),FALSE)</f>
        <v>0</v>
      </c>
      <c r="F34" s="121">
        <f>VLOOKUP($B34,'Tillförd energi'!$B$1:$AI$720,MATCH(F$1,'Tillförd energi'!$B$1:$AQ$1,0),FALSE)</f>
        <v>0</v>
      </c>
      <c r="G34" s="121">
        <f>VLOOKUP($B34,'Tillförd energi'!$B$1:$AI$720,MATCH(G$1,'Tillförd energi'!$B$1:$AQ$1,0),FALSE)</f>
        <v>0</v>
      </c>
      <c r="H34" s="121">
        <f>VLOOKUP($B34,'Tillförd energi'!$B$1:$AI$720,MATCH(H$1,'Tillförd energi'!$B$1:$AQ$1,0),FALSE)</f>
        <v>0</v>
      </c>
      <c r="I34" s="121">
        <f>VLOOKUP($B34,'Tillförd energi'!$B$1:$AI$720,MATCH(I$1,'Tillförd energi'!$B$1:$AQ$1,0),FALSE)</f>
        <v>0</v>
      </c>
      <c r="J34" s="121">
        <f>VLOOKUP($B34,'Tillförd energi'!$B$1:$AI$720,MATCH(J$1,'Tillförd energi'!$B$1:$AQ$1,0),FALSE)</f>
        <v>0</v>
      </c>
      <c r="K34" s="121">
        <f>VLOOKUP($B34,'Tillförd energi'!$B$1:$AI$720,MATCH(K$1,'Tillförd energi'!$B$1:$AQ$1,0),FALSE)</f>
        <v>0</v>
      </c>
      <c r="L34" s="121">
        <f>VLOOKUP($B34,'Tillförd energi'!$B$1:$AI$720,MATCH(L$1,'Tillförd energi'!$B$1:$AQ$1,0),FALSE)</f>
        <v>0</v>
      </c>
      <c r="M34" s="121">
        <f>VLOOKUP($B34,'Tillförd energi'!$B$1:$AI$720,MATCH(M$1,'Tillförd energi'!$B$1:$AQ$1,0),FALSE)</f>
        <v>0</v>
      </c>
      <c r="N34" s="121">
        <f>VLOOKUP($B34,'Tillförd energi'!$B$1:$AI$720,MATCH(N$1,'Tillförd energi'!$B$1:$AQ$1,0),FALSE)</f>
        <v>0</v>
      </c>
      <c r="O34" s="121">
        <f>VLOOKUP($B34,'Tillförd energi'!$B$1:$AI$720,MATCH(O$1,'Tillförd energi'!$B$1:$AQ$1,0),FALSE)</f>
        <v>6.54</v>
      </c>
      <c r="P34" s="121">
        <f>VLOOKUP($B34,'Tillförd energi'!$B$1:$AI$720,MATCH(P$1,'Tillförd energi'!$B$1:$AQ$1,0),FALSE)</f>
        <v>13.8</v>
      </c>
      <c r="Q34" s="121">
        <f>VLOOKUP($B34,'Tillförd energi'!$B$1:$AI$720,MATCH(Q$1,'Tillförd energi'!$B$1:$AQ$1,0),FALSE)</f>
        <v>0</v>
      </c>
      <c r="R34" s="121">
        <f>VLOOKUP($B34,'Tillförd energi'!$B$1:$AI$720,MATCH(R$1,'Tillförd energi'!$B$1:$AQ$1,0),FALSE)</f>
        <v>0</v>
      </c>
      <c r="S34" s="121">
        <f>VLOOKUP($B34,'Tillförd energi'!$B$1:$AI$720,MATCH(S$1,'Tillförd energi'!$B$1:$AQ$1,0),FALSE)</f>
        <v>0</v>
      </c>
      <c r="T34" s="121">
        <f>VLOOKUP($B34,'Tillförd energi'!$B$1:$AI$720,MATCH(T$1,'Tillförd energi'!$B$1:$AQ$1,0),FALSE)</f>
        <v>0</v>
      </c>
      <c r="U34" s="121">
        <f>VLOOKUP($B34,'Tillförd energi'!$B$1:$AI$720,MATCH(U$1,'Tillförd energi'!$B$1:$AQ$1,0),FALSE)</f>
        <v>0</v>
      </c>
      <c r="V34" s="121">
        <f>VLOOKUP($B34,'Tillförd energi'!$B$1:$AI$720,MATCH(V$1,'Tillförd energi'!$B$1:$AQ$1,0),FALSE)</f>
        <v>0</v>
      </c>
      <c r="W34" s="121">
        <f>VLOOKUP($B34,'Tillförd energi'!$B$1:$AI$720,MATCH(W$1,'Tillförd energi'!$B$1:$AQ$1,0),FALSE)</f>
        <v>0</v>
      </c>
      <c r="X34" s="121">
        <f>VLOOKUP($B34,'Tillförd energi'!$B$1:$AI$720,MATCH(X$1,'Tillförd energi'!$B$1:$AQ$1,0),FALSE)</f>
        <v>0</v>
      </c>
      <c r="Y34" s="121">
        <f>VLOOKUP($B34,'Tillförd energi'!$B$1:$AI$720,MATCH(Y$1,'Tillförd energi'!$B$1:$AQ$1,0),FALSE)</f>
        <v>0</v>
      </c>
      <c r="Z34" s="121">
        <f>VLOOKUP($B34,'Tillförd energi'!$B$1:$AI$720,MATCH(Z$1,'Tillförd energi'!$B$1:$AQ$1,0),FALSE)</f>
        <v>0</v>
      </c>
      <c r="AA34" s="121">
        <f>VLOOKUP($B34,'Tillförd energi'!$B$1:$AI$720,MATCH(AA$1,'Tillförd energi'!$B$1:$AQ$1,0),FALSE)</f>
        <v>0</v>
      </c>
      <c r="AB34" s="121">
        <f>VLOOKUP($B34,'Tillförd energi'!$B$1:$AI$720,MATCH(AB$1,'Tillförd energi'!$B$1:$AQ$1,0),FALSE)</f>
        <v>0</v>
      </c>
      <c r="AC34" s="121">
        <f>VLOOKUP($B34,'Tillförd energi'!$B$1:$AI$720,MATCH(AC$1,'Tillförd energi'!$B$1:$AQ$1,0),FALSE)</f>
        <v>1.32</v>
      </c>
      <c r="AD34" s="121">
        <f>VLOOKUP($B34,'Tillförd energi'!$B$1:$AI$720,MATCH(AD$1,'Tillförd energi'!$B$1:$AQ$1,0),FALSE)</f>
        <v>0</v>
      </c>
      <c r="AE34" s="121">
        <f>VLOOKUP($B34,'Tillförd energi'!$B$1:$AI$720,MATCH(AE$1,'Tillförd energi'!$B$1:$AQ$1,0),FALSE)</f>
        <v>0</v>
      </c>
      <c r="AF34" s="121">
        <f>VLOOKUP($B34,'Tillförd energi'!$B$1:$AI$720,MATCH(AF$1,'Tillförd energi'!$B$1:$AQ$1,0),FALSE)</f>
        <v>0.33900000000000002</v>
      </c>
      <c r="AG34" s="121">
        <f>IFERROR(VLOOKUP(B34,Miljö!$B$1:$AC$550,MATCH("Köpt mängd produktionsspecifik fjärrvärme:",Miljö!$B$1:$AC$1,0),FALSE)/1,0)</f>
        <v>0</v>
      </c>
      <c r="AH34" s="121"/>
      <c r="AI34" s="121">
        <f t="shared" si="0"/>
        <v>23.929000000000002</v>
      </c>
      <c r="AJ34" s="121">
        <f t="shared" si="1"/>
        <v>23.929000000000002</v>
      </c>
      <c r="AK34" s="121">
        <f>IF(ISERROR(1/VLOOKUP($B34,Leveranser!$B$1:$S$499,MATCH("såld värme (gwh)",Leveranser!$B$1:$S$1,0),FALSE)),"",VLOOKUP($B34,Leveranser!$B$1:$S$499,MATCH("såld värme (gwh)",Leveranser!$B$1:$S$1,0),FALSE))</f>
        <v>17.327999999999999</v>
      </c>
      <c r="AL34" s="121">
        <f>VLOOKUP($B34,Leveranser!$B$1:$Y$499,MATCH("Totalt såld fjärrvärme till andra fjärrvärmeföretag",Leveranser!$B$1:$AA$1,0),FALSE)</f>
        <v>0</v>
      </c>
      <c r="AM34" s="121">
        <f>IF(ISERROR(1/VLOOKUP($B34,Miljö!$B$1:$S$500,MATCH("Såld mängd produktionsspecifik fjärrvärme (GWh)",Miljö!$B$1:$R$1,0),FALSE)),0,VLOOKUP($B34,Miljö!$B$1:$S$500,MATCH("Såld mängd produktionsspecifik fjärrvärme (GWh)",Miljö!$B$1:$R$1,0),FALSE))</f>
        <v>0</v>
      </c>
      <c r="AN34" s="172">
        <f t="shared" si="2"/>
        <v>0.72414225416858202</v>
      </c>
      <c r="AO34" s="121"/>
      <c r="AP34" s="121" t="str">
        <f>IFERROR(VLOOKUP($B34,Miljövärden!$B$2:$H$550,7,FALSE),"Nej, saknas")</f>
        <v>Ja</v>
      </c>
      <c r="AQ34" s="121" t="str">
        <f>IFERROR(VLOOKUP($B34,Miljövärden!$B$2:$H$550,6,FALSE),"Nej, saknas")</f>
        <v>Ja</v>
      </c>
      <c r="AU34">
        <f t="shared" si="3"/>
        <v>0.33900000000000002</v>
      </c>
      <c r="AV34">
        <f t="shared" si="4"/>
        <v>0</v>
      </c>
      <c r="AW34">
        <f t="shared" si="5"/>
        <v>20.34</v>
      </c>
      <c r="AX34">
        <f t="shared" si="6"/>
        <v>0</v>
      </c>
      <c r="AZ34">
        <f t="shared" si="7"/>
        <v>20.34</v>
      </c>
      <c r="BC34">
        <f t="shared" si="8"/>
        <v>1.93</v>
      </c>
      <c r="BD34">
        <f t="shared" si="9"/>
        <v>0</v>
      </c>
      <c r="BE34">
        <f t="shared" si="10"/>
        <v>20.34</v>
      </c>
      <c r="BF34">
        <f t="shared" si="11"/>
        <v>1.32</v>
      </c>
      <c r="BG34">
        <f t="shared" si="12"/>
        <v>0.33900000000000002</v>
      </c>
      <c r="BH34">
        <f>VLOOKUP(B34,Miljö!$B$1:$BX$482,MATCH("Fossilandel för ursprungspecificerad el ()",Miljö!$B$1:$I$1,0),FALSE)</f>
        <v>0</v>
      </c>
      <c r="BI34">
        <f>VLOOKUP(B34,Miljö!$B$1:$BX$482,MATCH("Kärnkraftsandel för ursprungsspecificerad el ()",Miljö!$B$1:$O$1,0),FALSE)</f>
        <v>0</v>
      </c>
      <c r="BJ34">
        <f t="shared" si="13"/>
        <v>0</v>
      </c>
      <c r="BK34" t="str">
        <f>VLOOKUP(B34,Miljö!$B$1:$O$482,MATCH("Fossil andel i procent (%)",Miljö!$B$1:$O$1,0),FALSE)</f>
        <v>ET</v>
      </c>
      <c r="BL34">
        <f t="shared" si="14"/>
        <v>23.928999999999998</v>
      </c>
      <c r="BO34" s="18">
        <f t="shared" si="15"/>
        <v>8.0655271845877397E-2</v>
      </c>
      <c r="BP34" s="18">
        <f t="shared" si="16"/>
        <v>0</v>
      </c>
      <c r="BQ34" s="18">
        <f t="shared" si="17"/>
        <v>0.86418153704709766</v>
      </c>
      <c r="BR34" s="18">
        <f t="shared" si="18"/>
        <v>5.5163191107024952E-2</v>
      </c>
      <c r="BT34" s="27">
        <f t="shared" si="19"/>
        <v>1</v>
      </c>
      <c r="BW34" s="18">
        <f>IF(AP34="ja",VLOOKUP(B34,Miljövärden!$B$2:$H$550,MATCH("Total andel fossilt",Miljövärden!$B$2:$H$2,0),FALSE),"")</f>
        <v>8.0655299999999999E-2</v>
      </c>
      <c r="BZ34" s="28">
        <f t="shared" si="20"/>
        <v>2.815412260270822E-8</v>
      </c>
      <c r="CA34" s="28">
        <f t="shared" si="21"/>
        <v>0</v>
      </c>
    </row>
    <row r="35" spans="1:79" x14ac:dyDescent="0.25">
      <c r="A35" s="224" t="s">
        <v>231</v>
      </c>
      <c r="B35" s="210" t="s">
        <v>233</v>
      </c>
      <c r="C35" s="121">
        <f>VLOOKUP($B35,'Tillförd energi'!$B$1:$AI$720,MATCH(C$1,'Tillförd energi'!$B$1:$AQ$1,0),FALSE)</f>
        <v>0</v>
      </c>
      <c r="D35" s="121">
        <f>VLOOKUP($B35,'Tillförd energi'!$B$1:$AI$720,MATCH(D$1,'Tillförd energi'!$B$1:$AQ$1,0),FALSE)</f>
        <v>1.968</v>
      </c>
      <c r="E35" s="121">
        <f>VLOOKUP($B35,'Tillförd energi'!$B$1:$AI$720,MATCH(E$1,'Tillförd energi'!$B$1:$AQ$1,0),FALSE)</f>
        <v>0</v>
      </c>
      <c r="F35" s="121">
        <f>VLOOKUP($B35,'Tillförd energi'!$B$1:$AI$720,MATCH(F$1,'Tillförd energi'!$B$1:$AQ$1,0),FALSE)</f>
        <v>0</v>
      </c>
      <c r="G35" s="121">
        <f>VLOOKUP($B35,'Tillförd energi'!$B$1:$AI$720,MATCH(G$1,'Tillförd energi'!$B$1:$AQ$1,0),FALSE)</f>
        <v>0</v>
      </c>
      <c r="H35" s="121">
        <f>VLOOKUP($B35,'Tillförd energi'!$B$1:$AI$720,MATCH(H$1,'Tillförd energi'!$B$1:$AQ$1,0),FALSE)</f>
        <v>0</v>
      </c>
      <c r="I35" s="121">
        <f>VLOOKUP($B35,'Tillförd energi'!$B$1:$AI$720,MATCH(I$1,'Tillförd energi'!$B$1:$AQ$1,0),FALSE)</f>
        <v>89.510400000000004</v>
      </c>
      <c r="J35" s="121">
        <f>VLOOKUP($B35,'Tillförd energi'!$B$1:$AI$720,MATCH(J$1,'Tillförd energi'!$B$1:$AQ$1,0),FALSE)</f>
        <v>0</v>
      </c>
      <c r="K35" s="121">
        <f>VLOOKUP($B35,'Tillförd energi'!$B$1:$AI$720,MATCH(K$1,'Tillförd energi'!$B$1:$AQ$1,0),FALSE)</f>
        <v>0</v>
      </c>
      <c r="L35" s="121">
        <f>VLOOKUP($B35,'Tillförd energi'!$B$1:$AI$720,MATCH(L$1,'Tillförd energi'!$B$1:$AQ$1,0),FALSE)</f>
        <v>29.662600000000001</v>
      </c>
      <c r="M35" s="121">
        <f>VLOOKUP($B35,'Tillförd energi'!$B$1:$AI$720,MATCH(M$1,'Tillförd energi'!$B$1:$AQ$1,0),FALSE)</f>
        <v>1.2130099999999999</v>
      </c>
      <c r="N35" s="121">
        <f>VLOOKUP($B35,'Tillförd energi'!$B$1:$AI$720,MATCH(N$1,'Tillförd energi'!$B$1:$AQ$1,0),FALSE)</f>
        <v>0</v>
      </c>
      <c r="O35" s="121">
        <f>VLOOKUP($B35,'Tillförd energi'!$B$1:$AI$720,MATCH(O$1,'Tillförd energi'!$B$1:$AQ$1,0),FALSE)</f>
        <v>1.06</v>
      </c>
      <c r="P35" s="121">
        <f>VLOOKUP($B35,'Tillförd energi'!$B$1:$AI$720,MATCH(P$1,'Tillförd energi'!$B$1:$AQ$1,0),FALSE)</f>
        <v>1.9</v>
      </c>
      <c r="Q35" s="121">
        <f>VLOOKUP($B35,'Tillförd energi'!$B$1:$AI$720,MATCH(Q$1,'Tillförd energi'!$B$1:$AQ$1,0),FALSE)</f>
        <v>0</v>
      </c>
      <c r="R35" s="121">
        <f>VLOOKUP($B35,'Tillförd energi'!$B$1:$AI$720,MATCH(R$1,'Tillförd energi'!$B$1:$AQ$1,0),FALSE)</f>
        <v>0</v>
      </c>
      <c r="S35" s="121">
        <f>VLOOKUP($B35,'Tillförd energi'!$B$1:$AI$720,MATCH(S$1,'Tillförd energi'!$B$1:$AQ$1,0),FALSE)</f>
        <v>0</v>
      </c>
      <c r="T35" s="121">
        <f>VLOOKUP($B35,'Tillförd energi'!$B$1:$AI$720,MATCH(T$1,'Tillförd energi'!$B$1:$AQ$1,0),FALSE)</f>
        <v>0</v>
      </c>
      <c r="U35" s="121">
        <f>VLOOKUP($B35,'Tillförd energi'!$B$1:$AI$720,MATCH(U$1,'Tillförd energi'!$B$1:$AQ$1,0),FALSE)</f>
        <v>0</v>
      </c>
      <c r="V35" s="121">
        <f>VLOOKUP($B35,'Tillförd energi'!$B$1:$AI$720,MATCH(V$1,'Tillförd energi'!$B$1:$AQ$1,0),FALSE)</f>
        <v>0</v>
      </c>
      <c r="W35" s="121">
        <f>VLOOKUP($B35,'Tillförd energi'!$B$1:$AI$720,MATCH(W$1,'Tillförd energi'!$B$1:$AQ$1,0),FALSE)</f>
        <v>0</v>
      </c>
      <c r="X35" s="121">
        <f>VLOOKUP($B35,'Tillförd energi'!$B$1:$AI$720,MATCH(X$1,'Tillförd energi'!$B$1:$AQ$1,0),FALSE)</f>
        <v>0</v>
      </c>
      <c r="Y35" s="121">
        <f>VLOOKUP($B35,'Tillförd energi'!$B$1:$AI$720,MATCH(Y$1,'Tillförd energi'!$B$1:$AQ$1,0),FALSE)</f>
        <v>0</v>
      </c>
      <c r="Z35" s="121">
        <f>VLOOKUP($B35,'Tillförd energi'!$B$1:$AI$720,MATCH(Z$1,'Tillförd energi'!$B$1:$AQ$1,0),FALSE)</f>
        <v>0</v>
      </c>
      <c r="AA35" s="121">
        <f>VLOOKUP($B35,'Tillförd energi'!$B$1:$AI$720,MATCH(AA$1,'Tillförd energi'!$B$1:$AQ$1,0),FALSE)</f>
        <v>0</v>
      </c>
      <c r="AB35" s="121">
        <f>VLOOKUP($B35,'Tillförd energi'!$B$1:$AI$720,MATCH(AB$1,'Tillförd energi'!$B$1:$AQ$1,0),FALSE)</f>
        <v>0</v>
      </c>
      <c r="AC35" s="121">
        <f>VLOOKUP($B35,'Tillförd energi'!$B$1:$AI$720,MATCH(AC$1,'Tillförd energi'!$B$1:$AQ$1,0),FALSE)</f>
        <v>11.55</v>
      </c>
      <c r="AD35" s="121">
        <f>VLOOKUP($B35,'Tillförd energi'!$B$1:$AI$720,MATCH(AD$1,'Tillförd energi'!$B$1:$AQ$1,0),FALSE)</f>
        <v>0</v>
      </c>
      <c r="AE35" s="121">
        <f>VLOOKUP($B35,'Tillförd energi'!$B$1:$AI$720,MATCH(AE$1,'Tillförd energi'!$B$1:$AQ$1,0),FALSE)</f>
        <v>0</v>
      </c>
      <c r="AF35" s="121">
        <f>VLOOKUP($B35,'Tillförd energi'!$B$1:$AI$720,MATCH(AF$1,'Tillförd energi'!$B$1:$AQ$1,0),FALSE)</f>
        <v>6.2804799999999998</v>
      </c>
      <c r="AG35" s="121">
        <f>IFERROR(VLOOKUP(B35,Miljö!$B$1:$AC$550,MATCH("Köpt mängd produktionsspecifik fjärrvärme:",Miljö!$B$1:$AC$1,0),FALSE)/1,0)</f>
        <v>0</v>
      </c>
      <c r="AH35" s="121"/>
      <c r="AI35" s="121">
        <f t="shared" si="0"/>
        <v>143.14449000000002</v>
      </c>
      <c r="AJ35" s="121">
        <f t="shared" si="1"/>
        <v>143.14449000000002</v>
      </c>
      <c r="AK35" s="121">
        <f>IF(ISERROR(1/VLOOKUP($B35,Leveranser!$B$1:$S$499,MATCH("såld värme (gwh)",Leveranser!$B$1:$S$1,0),FALSE)),"",VLOOKUP($B35,Leveranser!$B$1:$S$499,MATCH("såld värme (gwh)",Leveranser!$B$1:$S$1,0),FALSE))</f>
        <v>125.789</v>
      </c>
      <c r="AL35" s="121">
        <f>VLOOKUP($B35,Leveranser!$B$1:$Y$499,MATCH("Totalt såld fjärrvärme till andra fjärrvärmeföretag",Leveranser!$B$1:$AA$1,0),FALSE)</f>
        <v>0</v>
      </c>
      <c r="AM35" s="121">
        <f>IF(ISERROR(1/VLOOKUP($B35,Miljö!$B$1:$S$500,MATCH("Såld mängd produktionsspecifik fjärrvärme (GWh)",Miljö!$B$1:$R$1,0),FALSE)),0,VLOOKUP($B35,Miljö!$B$1:$S$500,MATCH("Såld mängd produktionsspecifik fjärrvärme (GWh)",Miljö!$B$1:$R$1,0),FALSE))</f>
        <v>0</v>
      </c>
      <c r="AN35" s="172">
        <f t="shared" si="2"/>
        <v>0.87875544493539348</v>
      </c>
      <c r="AO35" s="121"/>
      <c r="AP35" s="121" t="str">
        <f>IFERROR(VLOOKUP($B35,Miljövärden!$B$2:$H$550,7,FALSE),"Nej, saknas")</f>
        <v>Ja</v>
      </c>
      <c r="AQ35" s="121" t="str">
        <f>IFERROR(VLOOKUP($B35,Miljövärden!$B$2:$H$550,6,FALSE),"Nej, saknas")</f>
        <v>Ja</v>
      </c>
      <c r="AU35">
        <f t="shared" si="3"/>
        <v>6.2804799999999998</v>
      </c>
      <c r="AV35">
        <f t="shared" si="4"/>
        <v>0</v>
      </c>
      <c r="AW35">
        <f t="shared" si="5"/>
        <v>4.1730099999999997</v>
      </c>
      <c r="AX35">
        <f t="shared" si="6"/>
        <v>0</v>
      </c>
      <c r="AZ35">
        <f t="shared" si="7"/>
        <v>33.835610000000003</v>
      </c>
      <c r="BC35">
        <f t="shared" si="8"/>
        <v>1.968</v>
      </c>
      <c r="BD35">
        <f t="shared" si="9"/>
        <v>0</v>
      </c>
      <c r="BE35">
        <f t="shared" si="10"/>
        <v>4.1730099999999997</v>
      </c>
      <c r="BF35">
        <f t="shared" si="11"/>
        <v>130.72300000000001</v>
      </c>
      <c r="BG35">
        <f t="shared" si="12"/>
        <v>6.2804799999999998</v>
      </c>
      <c r="BH35">
        <f>VLOOKUP(B35,Miljö!$B$1:$BX$482,MATCH("Fossilandel för ursprungspecificerad el ()",Miljö!$B$1:$I$1,0),FALSE)</f>
        <v>0</v>
      </c>
      <c r="BI35">
        <f>VLOOKUP(B35,Miljö!$B$1:$BX$482,MATCH("Kärnkraftsandel för ursprungsspecificerad el ()",Miljö!$B$1:$O$1,0),FALSE)</f>
        <v>0</v>
      </c>
      <c r="BJ35">
        <f t="shared" si="13"/>
        <v>0</v>
      </c>
      <c r="BK35" t="str">
        <f>VLOOKUP(B35,Miljö!$B$1:$O$482,MATCH("Fossil andel i procent (%)",Miljö!$B$1:$O$1,0),FALSE)</f>
        <v>ET</v>
      </c>
      <c r="BL35">
        <f t="shared" si="14"/>
        <v>143.14449000000002</v>
      </c>
      <c r="BO35" s="18">
        <f t="shared" si="15"/>
        <v>1.3748346164075192E-2</v>
      </c>
      <c r="BP35" s="18">
        <f t="shared" si="16"/>
        <v>0</v>
      </c>
      <c r="BQ35" s="18">
        <f t="shared" si="17"/>
        <v>7.3027540214785761E-2</v>
      </c>
      <c r="BR35" s="18">
        <f t="shared" si="18"/>
        <v>0.91322411362113898</v>
      </c>
      <c r="BT35" s="27">
        <f t="shared" si="19"/>
        <v>0.99999999999999989</v>
      </c>
      <c r="BW35" s="18">
        <f>IF(AP35="ja",VLOOKUP(B35,Miljövärden!$B$2:$H$550,MATCH("Total andel fossilt",Miljövärden!$B$2:$H$2,0),FALSE),"")</f>
        <v>1.3748399999999999E-2</v>
      </c>
      <c r="BZ35" s="28">
        <f t="shared" si="20"/>
        <v>5.3835924806663882E-8</v>
      </c>
      <c r="CA35" s="28">
        <f t="shared" si="21"/>
        <v>0</v>
      </c>
    </row>
    <row r="36" spans="1:79" x14ac:dyDescent="0.25">
      <c r="A36" s="224" t="s">
        <v>231</v>
      </c>
      <c r="B36" s="210" t="s">
        <v>234</v>
      </c>
      <c r="C36" s="121">
        <f>VLOOKUP($B36,'Tillförd energi'!$B$1:$AI$720,MATCH(C$1,'Tillförd energi'!$B$1:$AQ$1,0),FALSE)</f>
        <v>0</v>
      </c>
      <c r="D36" s="121">
        <f>VLOOKUP($B36,'Tillförd energi'!$B$1:$AI$720,MATCH(D$1,'Tillförd energi'!$B$1:$AQ$1,0),FALSE)</f>
        <v>0.24</v>
      </c>
      <c r="E36" s="121">
        <f>VLOOKUP($B36,'Tillförd energi'!$B$1:$AI$720,MATCH(E$1,'Tillförd energi'!$B$1:$AQ$1,0),FALSE)</f>
        <v>0</v>
      </c>
      <c r="F36" s="121">
        <f>VLOOKUP($B36,'Tillförd energi'!$B$1:$AI$720,MATCH(F$1,'Tillförd energi'!$B$1:$AQ$1,0),FALSE)</f>
        <v>0</v>
      </c>
      <c r="G36" s="121">
        <f>VLOOKUP($B36,'Tillförd energi'!$B$1:$AI$720,MATCH(G$1,'Tillförd energi'!$B$1:$AQ$1,0),FALSE)</f>
        <v>0</v>
      </c>
      <c r="H36" s="121">
        <f>VLOOKUP($B36,'Tillförd energi'!$B$1:$AI$720,MATCH(H$1,'Tillförd energi'!$B$1:$AQ$1,0),FALSE)</f>
        <v>0</v>
      </c>
      <c r="I36" s="121">
        <f>VLOOKUP($B36,'Tillförd energi'!$B$1:$AI$720,MATCH(I$1,'Tillförd energi'!$B$1:$AQ$1,0),FALSE)</f>
        <v>0</v>
      </c>
      <c r="J36" s="121">
        <f>VLOOKUP($B36,'Tillförd energi'!$B$1:$AI$720,MATCH(J$1,'Tillförd energi'!$B$1:$AQ$1,0),FALSE)</f>
        <v>0</v>
      </c>
      <c r="K36" s="121">
        <f>VLOOKUP($B36,'Tillförd energi'!$B$1:$AI$720,MATCH(K$1,'Tillförd energi'!$B$1:$AQ$1,0),FALSE)</f>
        <v>0</v>
      </c>
      <c r="L36" s="121">
        <f>VLOOKUP($B36,'Tillförd energi'!$B$1:$AI$720,MATCH(L$1,'Tillförd energi'!$B$1:$AQ$1,0),FALSE)</f>
        <v>0</v>
      </c>
      <c r="M36" s="121">
        <f>VLOOKUP($B36,'Tillförd energi'!$B$1:$AI$720,MATCH(M$1,'Tillförd energi'!$B$1:$AQ$1,0),FALSE)</f>
        <v>12</v>
      </c>
      <c r="N36" s="121">
        <f>VLOOKUP($B36,'Tillförd energi'!$B$1:$AI$720,MATCH(N$1,'Tillförd energi'!$B$1:$AQ$1,0),FALSE)</f>
        <v>0</v>
      </c>
      <c r="O36" s="121">
        <f>VLOOKUP($B36,'Tillförd energi'!$B$1:$AI$720,MATCH(O$1,'Tillförd energi'!$B$1:$AQ$1,0),FALSE)</f>
        <v>12.75</v>
      </c>
      <c r="P36" s="121">
        <f>VLOOKUP($B36,'Tillförd energi'!$B$1:$AI$720,MATCH(P$1,'Tillförd energi'!$B$1:$AQ$1,0),FALSE)</f>
        <v>1</v>
      </c>
      <c r="Q36" s="121">
        <f>VLOOKUP($B36,'Tillförd energi'!$B$1:$AI$720,MATCH(Q$1,'Tillförd energi'!$B$1:$AQ$1,0),FALSE)</f>
        <v>0</v>
      </c>
      <c r="R36" s="121">
        <f>VLOOKUP($B36,'Tillförd energi'!$B$1:$AI$720,MATCH(R$1,'Tillförd energi'!$B$1:$AQ$1,0),FALSE)</f>
        <v>0</v>
      </c>
      <c r="S36" s="121">
        <f>VLOOKUP($B36,'Tillförd energi'!$B$1:$AI$720,MATCH(S$1,'Tillförd energi'!$B$1:$AQ$1,0),FALSE)</f>
        <v>0</v>
      </c>
      <c r="T36" s="121">
        <f>VLOOKUP($B36,'Tillförd energi'!$B$1:$AI$720,MATCH(T$1,'Tillförd energi'!$B$1:$AQ$1,0),FALSE)</f>
        <v>0</v>
      </c>
      <c r="U36" s="121">
        <f>VLOOKUP($B36,'Tillförd energi'!$B$1:$AI$720,MATCH(U$1,'Tillförd energi'!$B$1:$AQ$1,0),FALSE)</f>
        <v>0</v>
      </c>
      <c r="V36" s="121">
        <f>VLOOKUP($B36,'Tillförd energi'!$B$1:$AI$720,MATCH(V$1,'Tillförd energi'!$B$1:$AQ$1,0),FALSE)</f>
        <v>0</v>
      </c>
      <c r="W36" s="121">
        <f>VLOOKUP($B36,'Tillförd energi'!$B$1:$AI$720,MATCH(W$1,'Tillförd energi'!$B$1:$AQ$1,0),FALSE)</f>
        <v>0</v>
      </c>
      <c r="X36" s="121">
        <f>VLOOKUP($B36,'Tillförd energi'!$B$1:$AI$720,MATCH(X$1,'Tillförd energi'!$B$1:$AQ$1,0),FALSE)</f>
        <v>0</v>
      </c>
      <c r="Y36" s="121">
        <f>VLOOKUP($B36,'Tillförd energi'!$B$1:$AI$720,MATCH(Y$1,'Tillförd energi'!$B$1:$AQ$1,0),FALSE)</f>
        <v>0</v>
      </c>
      <c r="Z36" s="121">
        <f>VLOOKUP($B36,'Tillförd energi'!$B$1:$AI$720,MATCH(Z$1,'Tillförd energi'!$B$1:$AQ$1,0),FALSE)</f>
        <v>0</v>
      </c>
      <c r="AA36" s="121">
        <f>VLOOKUP($B36,'Tillförd energi'!$B$1:$AI$720,MATCH(AA$1,'Tillförd energi'!$B$1:$AQ$1,0),FALSE)</f>
        <v>0</v>
      </c>
      <c r="AB36" s="121">
        <f>VLOOKUP($B36,'Tillförd energi'!$B$1:$AI$720,MATCH(AB$1,'Tillförd energi'!$B$1:$AQ$1,0),FALSE)</f>
        <v>0</v>
      </c>
      <c r="AC36" s="121">
        <f>VLOOKUP($B36,'Tillförd energi'!$B$1:$AI$720,MATCH(AC$1,'Tillförd energi'!$B$1:$AQ$1,0),FALSE)</f>
        <v>3.33</v>
      </c>
      <c r="AD36" s="121">
        <f>VLOOKUP($B36,'Tillförd energi'!$B$1:$AI$720,MATCH(AD$1,'Tillförd energi'!$B$1:$AQ$1,0),FALSE)</f>
        <v>0</v>
      </c>
      <c r="AE36" s="121">
        <f>VLOOKUP($B36,'Tillförd energi'!$B$1:$AI$720,MATCH(AE$1,'Tillförd energi'!$B$1:$AQ$1,0),FALSE)</f>
        <v>0</v>
      </c>
      <c r="AF36" s="121">
        <f>VLOOKUP($B36,'Tillförd energi'!$B$1:$AI$720,MATCH(AF$1,'Tillförd energi'!$B$1:$AQ$1,0),FALSE)</f>
        <v>0.58399999999999996</v>
      </c>
      <c r="AG36" s="121">
        <f>IFERROR(VLOOKUP(B36,Miljö!$B$1:$AC$550,MATCH("Köpt mängd produktionsspecifik fjärrvärme:",Miljö!$B$1:$AC$1,0),FALSE)/1,0)</f>
        <v>0</v>
      </c>
      <c r="AH36" s="121"/>
      <c r="AI36" s="121">
        <f t="shared" si="0"/>
        <v>29.904</v>
      </c>
      <c r="AJ36" s="121">
        <f t="shared" si="1"/>
        <v>29.904</v>
      </c>
      <c r="AK36" s="121">
        <f>IF(ISERROR(1/VLOOKUP($B36,Leveranser!$B$1:$S$499,MATCH("såld värme (gwh)",Leveranser!$B$1:$S$1,0),FALSE)),"",VLOOKUP($B36,Leveranser!$B$1:$S$499,MATCH("såld värme (gwh)",Leveranser!$B$1:$S$1,0),FALSE))</f>
        <v>22.678999999999998</v>
      </c>
      <c r="AL36" s="121">
        <f>VLOOKUP($B36,Leveranser!$B$1:$Y$499,MATCH("Totalt såld fjärrvärme till andra fjärrvärmeföretag",Leveranser!$B$1:$AA$1,0),FALSE)</f>
        <v>0</v>
      </c>
      <c r="AM36" s="121">
        <f>IF(ISERROR(1/VLOOKUP($B36,Miljö!$B$1:$S$500,MATCH("Såld mängd produktionsspecifik fjärrvärme (GWh)",Miljö!$B$1:$R$1,0),FALSE)),0,VLOOKUP($B36,Miljö!$B$1:$S$500,MATCH("Såld mängd produktionsspecifik fjärrvärme (GWh)",Miljö!$B$1:$R$1,0),FALSE))</f>
        <v>0</v>
      </c>
      <c r="AN36" s="172">
        <f t="shared" si="2"/>
        <v>0.75839352594970566</v>
      </c>
      <c r="AO36" s="121"/>
      <c r="AP36" s="121" t="str">
        <f>IFERROR(VLOOKUP($B36,Miljövärden!$B$2:$H$550,7,FALSE),"Nej, saknas")</f>
        <v>Ja</v>
      </c>
      <c r="AQ36" s="121" t="str">
        <f>IFERROR(VLOOKUP($B36,Miljövärden!$B$2:$H$550,6,FALSE),"Nej, saknas")</f>
        <v>Ja</v>
      </c>
      <c r="AU36">
        <f t="shared" si="3"/>
        <v>0.58399999999999996</v>
      </c>
      <c r="AV36">
        <f t="shared" si="4"/>
        <v>0</v>
      </c>
      <c r="AW36">
        <f t="shared" si="5"/>
        <v>25.75</v>
      </c>
      <c r="AX36">
        <f t="shared" si="6"/>
        <v>0</v>
      </c>
      <c r="AZ36">
        <f t="shared" si="7"/>
        <v>25.75</v>
      </c>
      <c r="BC36">
        <f t="shared" si="8"/>
        <v>0.24</v>
      </c>
      <c r="BD36">
        <f t="shared" si="9"/>
        <v>0</v>
      </c>
      <c r="BE36">
        <f t="shared" si="10"/>
        <v>25.75</v>
      </c>
      <c r="BF36">
        <f t="shared" si="11"/>
        <v>3.33</v>
      </c>
      <c r="BG36">
        <f t="shared" si="12"/>
        <v>0.58399999999999996</v>
      </c>
      <c r="BH36">
        <f>VLOOKUP(B36,Miljö!$B$1:$BX$482,MATCH("Fossilandel för ursprungspecificerad el ()",Miljö!$B$1:$I$1,0),FALSE)</f>
        <v>0</v>
      </c>
      <c r="BI36">
        <f>VLOOKUP(B36,Miljö!$B$1:$BX$482,MATCH("Kärnkraftsandel för ursprungsspecificerad el ()",Miljö!$B$1:$O$1,0),FALSE)</f>
        <v>0</v>
      </c>
      <c r="BJ36">
        <f t="shared" si="13"/>
        <v>0</v>
      </c>
      <c r="BK36" t="str">
        <f>VLOOKUP(B36,Miljö!$B$1:$O$482,MATCH("Fossil andel i procent (%)",Miljö!$B$1:$O$1,0),FALSE)</f>
        <v>ET</v>
      </c>
      <c r="BL36">
        <f t="shared" si="14"/>
        <v>29.904</v>
      </c>
      <c r="BO36" s="18">
        <f t="shared" si="15"/>
        <v>8.0256821829855531E-3</v>
      </c>
      <c r="BP36" s="18">
        <f t="shared" si="16"/>
        <v>0</v>
      </c>
      <c r="BQ36" s="18">
        <f t="shared" si="17"/>
        <v>0.8806179775280899</v>
      </c>
      <c r="BR36" s="18">
        <f t="shared" si="18"/>
        <v>0.11135634028892456</v>
      </c>
      <c r="BT36" s="27">
        <f t="shared" si="19"/>
        <v>1</v>
      </c>
      <c r="BW36" s="18">
        <f>IF(AP36="ja",VLOOKUP(B36,Miljövärden!$B$2:$H$550,MATCH("Total andel fossilt",Miljövärden!$B$2:$H$2,0),FALSE),"")</f>
        <v>8.0256800000000003E-3</v>
      </c>
      <c r="BZ36" s="28">
        <f t="shared" si="20"/>
        <v>-2.1829855527399911E-9</v>
      </c>
      <c r="CA36" s="28">
        <f t="shared" si="21"/>
        <v>0</v>
      </c>
    </row>
    <row r="37" spans="1:79" x14ac:dyDescent="0.25">
      <c r="A37" s="224" t="s">
        <v>235</v>
      </c>
      <c r="B37" s="210" t="s">
        <v>236</v>
      </c>
      <c r="C37" s="121">
        <f>VLOOKUP($B37,'Tillförd energi'!$B$1:$AI$720,MATCH(C$1,'Tillförd energi'!$B$1:$AQ$1,0),FALSE)</f>
        <v>0</v>
      </c>
      <c r="D37" s="121">
        <f>VLOOKUP($B37,'Tillförd energi'!$B$1:$AI$720,MATCH(D$1,'Tillförd energi'!$B$1:$AQ$1,0),FALSE)</f>
        <v>2.5000000000000001E-2</v>
      </c>
      <c r="E37" s="121">
        <f>VLOOKUP($B37,'Tillförd energi'!$B$1:$AI$720,MATCH(E$1,'Tillförd energi'!$B$1:$AQ$1,0),FALSE)</f>
        <v>0</v>
      </c>
      <c r="F37" s="121">
        <f>VLOOKUP($B37,'Tillförd energi'!$B$1:$AI$720,MATCH(F$1,'Tillförd energi'!$B$1:$AQ$1,0),FALSE)</f>
        <v>0</v>
      </c>
      <c r="G37" s="121">
        <f>VLOOKUP($B37,'Tillförd energi'!$B$1:$AI$720,MATCH(G$1,'Tillförd energi'!$B$1:$AQ$1,0),FALSE)</f>
        <v>0</v>
      </c>
      <c r="H37" s="121">
        <f>VLOOKUP($B37,'Tillförd energi'!$B$1:$AI$720,MATCH(H$1,'Tillförd energi'!$B$1:$AQ$1,0),FALSE)</f>
        <v>0</v>
      </c>
      <c r="I37" s="121">
        <f>VLOOKUP($B37,'Tillförd energi'!$B$1:$AI$720,MATCH(I$1,'Tillförd energi'!$B$1:$AQ$1,0),FALSE)</f>
        <v>0</v>
      </c>
      <c r="J37" s="121">
        <f>VLOOKUP($B37,'Tillförd energi'!$B$1:$AI$720,MATCH(J$1,'Tillförd energi'!$B$1:$AQ$1,0),FALSE)</f>
        <v>0</v>
      </c>
      <c r="K37" s="121">
        <f>VLOOKUP($B37,'Tillförd energi'!$B$1:$AI$720,MATCH(K$1,'Tillförd energi'!$B$1:$AQ$1,0),FALSE)</f>
        <v>0</v>
      </c>
      <c r="L37" s="121">
        <f>VLOOKUP($B37,'Tillförd energi'!$B$1:$AI$720,MATCH(L$1,'Tillförd energi'!$B$1:$AQ$1,0),FALSE)</f>
        <v>0</v>
      </c>
      <c r="M37" s="121">
        <f>VLOOKUP($B37,'Tillförd energi'!$B$1:$AI$720,MATCH(M$1,'Tillförd energi'!$B$1:$AQ$1,0),FALSE)</f>
        <v>0</v>
      </c>
      <c r="N37" s="121">
        <f>VLOOKUP($B37,'Tillförd energi'!$B$1:$AI$720,MATCH(N$1,'Tillförd energi'!$B$1:$AQ$1,0),FALSE)</f>
        <v>0</v>
      </c>
      <c r="O37" s="121">
        <f>VLOOKUP($B37,'Tillförd energi'!$B$1:$AI$720,MATCH(O$1,'Tillförd energi'!$B$1:$AQ$1,0),FALSE)</f>
        <v>0</v>
      </c>
      <c r="P37" s="121">
        <f>VLOOKUP($B37,'Tillförd energi'!$B$1:$AI$720,MATCH(P$1,'Tillförd energi'!$B$1:$AQ$1,0),FALSE)</f>
        <v>26.951000000000001</v>
      </c>
      <c r="Q37" s="121">
        <f>VLOOKUP($B37,'Tillförd energi'!$B$1:$AI$720,MATCH(Q$1,'Tillförd energi'!$B$1:$AQ$1,0),FALSE)</f>
        <v>0</v>
      </c>
      <c r="R37" s="121">
        <f>VLOOKUP($B37,'Tillförd energi'!$B$1:$AI$720,MATCH(R$1,'Tillförd energi'!$B$1:$AQ$1,0),FALSE)</f>
        <v>0</v>
      </c>
      <c r="S37" s="121">
        <f>VLOOKUP($B37,'Tillförd energi'!$B$1:$AI$720,MATCH(S$1,'Tillförd energi'!$B$1:$AQ$1,0),FALSE)</f>
        <v>0</v>
      </c>
      <c r="T37" s="121">
        <f>VLOOKUP($B37,'Tillförd energi'!$B$1:$AI$720,MATCH(T$1,'Tillförd energi'!$B$1:$AQ$1,0),FALSE)</f>
        <v>0</v>
      </c>
      <c r="U37" s="121">
        <f>VLOOKUP($B37,'Tillförd energi'!$B$1:$AI$720,MATCH(U$1,'Tillförd energi'!$B$1:$AQ$1,0),FALSE)</f>
        <v>0</v>
      </c>
      <c r="V37" s="121">
        <f>VLOOKUP($B37,'Tillförd energi'!$B$1:$AI$720,MATCH(V$1,'Tillförd energi'!$B$1:$AQ$1,0),FALSE)</f>
        <v>0</v>
      </c>
      <c r="W37" s="121">
        <f>VLOOKUP($B37,'Tillförd energi'!$B$1:$AI$720,MATCH(W$1,'Tillförd energi'!$B$1:$AQ$1,0),FALSE)</f>
        <v>0</v>
      </c>
      <c r="X37" s="121">
        <f>VLOOKUP($B37,'Tillförd energi'!$B$1:$AI$720,MATCH(X$1,'Tillförd energi'!$B$1:$AQ$1,0),FALSE)</f>
        <v>0</v>
      </c>
      <c r="Y37" s="121">
        <f>VLOOKUP($B37,'Tillförd energi'!$B$1:$AI$720,MATCH(Y$1,'Tillförd energi'!$B$1:$AQ$1,0),FALSE)</f>
        <v>0</v>
      </c>
      <c r="Z37" s="121">
        <f>VLOOKUP($B37,'Tillförd energi'!$B$1:$AI$720,MATCH(Z$1,'Tillförd energi'!$B$1:$AQ$1,0),FALSE)</f>
        <v>0</v>
      </c>
      <c r="AA37" s="121">
        <f>VLOOKUP($B37,'Tillförd energi'!$B$1:$AI$720,MATCH(AA$1,'Tillförd energi'!$B$1:$AQ$1,0),FALSE)</f>
        <v>0</v>
      </c>
      <c r="AB37" s="121">
        <f>VLOOKUP($B37,'Tillförd energi'!$B$1:$AI$720,MATCH(AB$1,'Tillförd energi'!$B$1:$AQ$1,0),FALSE)</f>
        <v>0</v>
      </c>
      <c r="AC37" s="121">
        <f>VLOOKUP($B37,'Tillförd energi'!$B$1:$AI$720,MATCH(AC$1,'Tillförd energi'!$B$1:$AQ$1,0),FALSE)</f>
        <v>4.7210000000000001</v>
      </c>
      <c r="AD37" s="121">
        <f>VLOOKUP($B37,'Tillförd energi'!$B$1:$AI$720,MATCH(AD$1,'Tillförd energi'!$B$1:$AQ$1,0),FALSE)</f>
        <v>0</v>
      </c>
      <c r="AE37" s="121">
        <f>VLOOKUP($B37,'Tillförd energi'!$B$1:$AI$720,MATCH(AE$1,'Tillförd energi'!$B$1:$AQ$1,0),FALSE)</f>
        <v>0</v>
      </c>
      <c r="AF37" s="121">
        <f>VLOOKUP($B37,'Tillförd energi'!$B$1:$AI$720,MATCH(AF$1,'Tillförd energi'!$B$1:$AQ$1,0),FALSE)</f>
        <v>0.75185999999999997</v>
      </c>
      <c r="AG37" s="121">
        <f>IFERROR(VLOOKUP(B37,Miljö!$B$1:$AC$550,MATCH("Köpt mängd produktionsspecifik fjärrvärme:",Miljö!$B$1:$AC$1,0),FALSE)/1,0)</f>
        <v>0</v>
      </c>
      <c r="AH37" s="121"/>
      <c r="AI37" s="121">
        <f t="shared" si="0"/>
        <v>32.448859999999996</v>
      </c>
      <c r="AJ37" s="121">
        <f t="shared" si="1"/>
        <v>32.448859999999996</v>
      </c>
      <c r="AK37" s="121">
        <f>IF(ISERROR(1/VLOOKUP($B37,Leveranser!$B$1:$S$499,MATCH("såld värme (gwh)",Leveranser!$B$1:$S$1,0),FALSE)),"",VLOOKUP($B37,Leveranser!$B$1:$S$499,MATCH("såld värme (gwh)",Leveranser!$B$1:$S$1,0),FALSE))</f>
        <v>25.062000000000001</v>
      </c>
      <c r="AL37" s="121">
        <f>VLOOKUP($B37,Leveranser!$B$1:$Y$499,MATCH("Totalt såld fjärrvärme till andra fjärrvärmeföretag",Leveranser!$B$1:$AA$1,0),FALSE)</f>
        <v>0</v>
      </c>
      <c r="AM37" s="121">
        <f>IF(ISERROR(1/VLOOKUP($B37,Miljö!$B$1:$S$500,MATCH("Såld mängd produktionsspecifik fjärrvärme (GWh)",Miljö!$B$1:$R$1,0),FALSE)),0,VLOOKUP($B37,Miljö!$B$1:$S$500,MATCH("Såld mängd produktionsspecifik fjärrvärme (GWh)",Miljö!$B$1:$R$1,0),FALSE))</f>
        <v>0</v>
      </c>
      <c r="AN37" s="172">
        <f t="shared" si="2"/>
        <v>0.77235378993283599</v>
      </c>
      <c r="AO37" s="121"/>
      <c r="AP37" s="121" t="str">
        <f>IFERROR(VLOOKUP($B37,Miljövärden!$B$2:$H$550,7,FALSE),"Nej, saknas")</f>
        <v>Ja</v>
      </c>
      <c r="AQ37" s="121" t="str">
        <f>IFERROR(VLOOKUP($B37,Miljövärden!$B$2:$H$550,6,FALSE),"Nej, saknas")</f>
        <v>Ja</v>
      </c>
      <c r="AU37">
        <f t="shared" si="3"/>
        <v>0.75185999999999997</v>
      </c>
      <c r="AV37">
        <f t="shared" si="4"/>
        <v>0</v>
      </c>
      <c r="AW37">
        <f t="shared" si="5"/>
        <v>26.951000000000001</v>
      </c>
      <c r="AX37">
        <f t="shared" si="6"/>
        <v>0</v>
      </c>
      <c r="AZ37">
        <f t="shared" si="7"/>
        <v>26.951000000000001</v>
      </c>
      <c r="BC37">
        <f t="shared" si="8"/>
        <v>2.5000000000000001E-2</v>
      </c>
      <c r="BD37">
        <f t="shared" si="9"/>
        <v>0</v>
      </c>
      <c r="BE37">
        <f t="shared" si="10"/>
        <v>26.951000000000001</v>
      </c>
      <c r="BF37">
        <f t="shared" si="11"/>
        <v>4.7210000000000001</v>
      </c>
      <c r="BG37">
        <f t="shared" si="12"/>
        <v>0.75185999999999997</v>
      </c>
      <c r="BH37">
        <f>VLOOKUP(B37,Miljö!$B$1:$BX$482,MATCH("Fossilandel för ursprungspecificerad el ()",Miljö!$B$1:$I$1,0),FALSE)</f>
        <v>0.43</v>
      </c>
      <c r="BI37">
        <f>VLOOKUP(B37,Miljö!$B$1:$BX$482,MATCH("Kärnkraftsandel för ursprungsspecificerad el ()",Miljö!$B$1:$O$1,0),FALSE)</f>
        <v>0.40550000000000003</v>
      </c>
      <c r="BJ37">
        <f t="shared" si="13"/>
        <v>0</v>
      </c>
      <c r="BK37" t="str">
        <f>VLOOKUP(B37,Miljö!$B$1:$O$482,MATCH("Fossil andel i procent (%)",Miljö!$B$1:$O$1,0),FALSE)</f>
        <v>ET</v>
      </c>
      <c r="BL37">
        <f t="shared" si="14"/>
        <v>32.448859999999996</v>
      </c>
      <c r="BO37" s="18">
        <f t="shared" si="15"/>
        <v>1.0733806981200572E-2</v>
      </c>
      <c r="BP37" s="18">
        <f t="shared" si="16"/>
        <v>9.3956838545329498E-3</v>
      </c>
      <c r="BQ37" s="18">
        <f t="shared" si="17"/>
        <v>0.83438003584717624</v>
      </c>
      <c r="BR37" s="18">
        <f t="shared" si="18"/>
        <v>0.14549047331709036</v>
      </c>
      <c r="BT37" s="27">
        <f t="shared" si="19"/>
        <v>1.0000000000000002</v>
      </c>
      <c r="BW37" s="18">
        <f>IF(AP37="ja",VLOOKUP(B37,Miljövärden!$B$2:$H$550,MATCH("Total andel fossilt",Miljövärden!$B$2:$H$2,0),FALSE),"")</f>
        <v>1.07338E-2</v>
      </c>
      <c r="BZ37" s="28">
        <f t="shared" si="20"/>
        <v>-6.9812005724922965E-9</v>
      </c>
      <c r="CA37" s="28">
        <f t="shared" si="21"/>
        <v>0</v>
      </c>
    </row>
    <row r="38" spans="1:79" x14ac:dyDescent="0.25">
      <c r="A38" s="224" t="s">
        <v>235</v>
      </c>
      <c r="B38" s="210" t="s">
        <v>237</v>
      </c>
      <c r="C38" s="121">
        <f>VLOOKUP($B38,'Tillförd energi'!$B$1:$AI$720,MATCH(C$1,'Tillförd energi'!$B$1:$AQ$1,0),FALSE)</f>
        <v>0</v>
      </c>
      <c r="D38" s="121">
        <f>VLOOKUP($B38,'Tillförd energi'!$B$1:$AI$720,MATCH(D$1,'Tillförd energi'!$B$1:$AQ$1,0),FALSE)</f>
        <v>9.0999999999999998E-2</v>
      </c>
      <c r="E38" s="121">
        <f>VLOOKUP($B38,'Tillförd energi'!$B$1:$AI$720,MATCH(E$1,'Tillförd energi'!$B$1:$AQ$1,0),FALSE)</f>
        <v>0</v>
      </c>
      <c r="F38" s="121">
        <f>VLOOKUP($B38,'Tillförd energi'!$B$1:$AI$720,MATCH(F$1,'Tillförd energi'!$B$1:$AQ$1,0),FALSE)</f>
        <v>0</v>
      </c>
      <c r="G38" s="121">
        <f>VLOOKUP($B38,'Tillförd energi'!$B$1:$AI$720,MATCH(G$1,'Tillförd energi'!$B$1:$AQ$1,0),FALSE)</f>
        <v>0</v>
      </c>
      <c r="H38" s="121">
        <f>VLOOKUP($B38,'Tillförd energi'!$B$1:$AI$720,MATCH(H$1,'Tillförd energi'!$B$1:$AQ$1,0),FALSE)</f>
        <v>0</v>
      </c>
      <c r="I38" s="121">
        <f>VLOOKUP($B38,'Tillförd energi'!$B$1:$AI$720,MATCH(I$1,'Tillförd energi'!$B$1:$AQ$1,0),FALSE)</f>
        <v>0</v>
      </c>
      <c r="J38" s="121">
        <f>VLOOKUP($B38,'Tillförd energi'!$B$1:$AI$720,MATCH(J$1,'Tillförd energi'!$B$1:$AQ$1,0),FALSE)</f>
        <v>0</v>
      </c>
      <c r="K38" s="121">
        <f>VLOOKUP($B38,'Tillförd energi'!$B$1:$AI$720,MATCH(K$1,'Tillförd energi'!$B$1:$AQ$1,0),FALSE)</f>
        <v>0</v>
      </c>
      <c r="L38" s="121">
        <f>VLOOKUP($B38,'Tillförd energi'!$B$1:$AI$720,MATCH(L$1,'Tillförd energi'!$B$1:$AQ$1,0),FALSE)</f>
        <v>0</v>
      </c>
      <c r="M38" s="121">
        <f>VLOOKUP($B38,'Tillförd energi'!$B$1:$AI$720,MATCH(M$1,'Tillförd energi'!$B$1:$AQ$1,0),FALSE)</f>
        <v>0</v>
      </c>
      <c r="N38" s="121">
        <f>VLOOKUP($B38,'Tillförd energi'!$B$1:$AI$720,MATCH(N$1,'Tillförd energi'!$B$1:$AQ$1,0),FALSE)</f>
        <v>0</v>
      </c>
      <c r="O38" s="121">
        <f>VLOOKUP($B38,'Tillförd energi'!$B$1:$AI$720,MATCH(O$1,'Tillförd energi'!$B$1:$AQ$1,0),FALSE)</f>
        <v>0</v>
      </c>
      <c r="P38" s="121">
        <f>VLOOKUP($B38,'Tillförd energi'!$B$1:$AI$720,MATCH(P$1,'Tillförd energi'!$B$1:$AQ$1,0),FALSE)</f>
        <v>2.774</v>
      </c>
      <c r="Q38" s="121">
        <f>VLOOKUP($B38,'Tillförd energi'!$B$1:$AI$720,MATCH(Q$1,'Tillförd energi'!$B$1:$AQ$1,0),FALSE)</f>
        <v>0</v>
      </c>
      <c r="R38" s="121">
        <f>VLOOKUP($B38,'Tillförd energi'!$B$1:$AI$720,MATCH(R$1,'Tillförd energi'!$B$1:$AQ$1,0),FALSE)</f>
        <v>0</v>
      </c>
      <c r="S38" s="121">
        <f>VLOOKUP($B38,'Tillförd energi'!$B$1:$AI$720,MATCH(S$1,'Tillförd energi'!$B$1:$AQ$1,0),FALSE)</f>
        <v>0</v>
      </c>
      <c r="T38" s="121">
        <f>VLOOKUP($B38,'Tillförd energi'!$B$1:$AI$720,MATCH(T$1,'Tillförd energi'!$B$1:$AQ$1,0),FALSE)</f>
        <v>0</v>
      </c>
      <c r="U38" s="121">
        <f>VLOOKUP($B38,'Tillförd energi'!$B$1:$AI$720,MATCH(U$1,'Tillförd energi'!$B$1:$AQ$1,0),FALSE)</f>
        <v>0</v>
      </c>
      <c r="V38" s="121">
        <f>VLOOKUP($B38,'Tillförd energi'!$B$1:$AI$720,MATCH(V$1,'Tillförd energi'!$B$1:$AQ$1,0),FALSE)</f>
        <v>0</v>
      </c>
      <c r="W38" s="121">
        <f>VLOOKUP($B38,'Tillförd energi'!$B$1:$AI$720,MATCH(W$1,'Tillförd energi'!$B$1:$AQ$1,0),FALSE)</f>
        <v>0</v>
      </c>
      <c r="X38" s="121">
        <f>VLOOKUP($B38,'Tillförd energi'!$B$1:$AI$720,MATCH(X$1,'Tillförd energi'!$B$1:$AQ$1,0),FALSE)</f>
        <v>0</v>
      </c>
      <c r="Y38" s="121">
        <f>VLOOKUP($B38,'Tillförd energi'!$B$1:$AI$720,MATCH(Y$1,'Tillförd energi'!$B$1:$AQ$1,0),FALSE)</f>
        <v>0</v>
      </c>
      <c r="Z38" s="121">
        <f>VLOOKUP($B38,'Tillförd energi'!$B$1:$AI$720,MATCH(Z$1,'Tillförd energi'!$B$1:$AQ$1,0),FALSE)</f>
        <v>0</v>
      </c>
      <c r="AA38" s="121">
        <f>VLOOKUP($B38,'Tillförd energi'!$B$1:$AI$720,MATCH(AA$1,'Tillförd energi'!$B$1:$AQ$1,0),FALSE)</f>
        <v>0</v>
      </c>
      <c r="AB38" s="121">
        <f>VLOOKUP($B38,'Tillförd energi'!$B$1:$AI$720,MATCH(AB$1,'Tillförd energi'!$B$1:$AQ$1,0),FALSE)</f>
        <v>0</v>
      </c>
      <c r="AC38" s="121">
        <f>VLOOKUP($B38,'Tillförd energi'!$B$1:$AI$720,MATCH(AC$1,'Tillförd energi'!$B$1:$AQ$1,0),FALSE)</f>
        <v>0</v>
      </c>
      <c r="AD38" s="121">
        <f>VLOOKUP($B38,'Tillförd energi'!$B$1:$AI$720,MATCH(AD$1,'Tillförd energi'!$B$1:$AQ$1,0),FALSE)</f>
        <v>0</v>
      </c>
      <c r="AE38" s="121">
        <f>VLOOKUP($B38,'Tillförd energi'!$B$1:$AI$720,MATCH(AE$1,'Tillförd energi'!$B$1:$AQ$1,0),FALSE)</f>
        <v>0</v>
      </c>
      <c r="AF38" s="121">
        <f>VLOOKUP($B38,'Tillförd energi'!$B$1:$AI$720,MATCH(AF$1,'Tillförd energi'!$B$1:$AQ$1,0),FALSE)</f>
        <v>6.2969999999999998E-2</v>
      </c>
      <c r="AG38" s="121">
        <f>IFERROR(VLOOKUP(B38,Miljö!$B$1:$AC$550,MATCH("Köpt mängd produktionsspecifik fjärrvärme:",Miljö!$B$1:$AC$1,0),FALSE)/1,0)</f>
        <v>0</v>
      </c>
      <c r="AH38" s="121"/>
      <c r="AI38" s="121">
        <f t="shared" si="0"/>
        <v>2.9279700000000002</v>
      </c>
      <c r="AJ38" s="121">
        <f t="shared" si="1"/>
        <v>2.9279700000000002</v>
      </c>
      <c r="AK38" s="121">
        <f>IF(ISERROR(1/VLOOKUP($B38,Leveranser!$B$1:$S$499,MATCH("såld värme (gwh)",Leveranser!$B$1:$S$1,0),FALSE)),"",VLOOKUP($B38,Leveranser!$B$1:$S$499,MATCH("såld värme (gwh)",Leveranser!$B$1:$S$1,0),FALSE))</f>
        <v>2.0990000000000002</v>
      </c>
      <c r="AL38" s="121">
        <f>VLOOKUP($B38,Leveranser!$B$1:$Y$499,MATCH("Totalt såld fjärrvärme till andra fjärrvärmeföretag",Leveranser!$B$1:$AA$1,0),FALSE)</f>
        <v>0</v>
      </c>
      <c r="AM38" s="121">
        <f>IF(ISERROR(1/VLOOKUP($B38,Miljö!$B$1:$S$500,MATCH("Såld mängd produktionsspecifik fjärrvärme (GWh)",Miljö!$B$1:$R$1,0),FALSE)),0,VLOOKUP($B38,Miljö!$B$1:$S$500,MATCH("Såld mängd produktionsspecifik fjärrvärme (GWh)",Miljö!$B$1:$R$1,0),FALSE))</f>
        <v>0</v>
      </c>
      <c r="AN38" s="172">
        <f t="shared" si="2"/>
        <v>0.71687892977045531</v>
      </c>
      <c r="AO38" s="121"/>
      <c r="AP38" s="121" t="str">
        <f>IFERROR(VLOOKUP($B38,Miljövärden!$B$2:$H$550,7,FALSE),"Nej, saknas")</f>
        <v>Ja</v>
      </c>
      <c r="AQ38" s="121" t="str">
        <f>IFERROR(VLOOKUP($B38,Miljövärden!$B$2:$H$550,6,FALSE),"Nej, saknas")</f>
        <v>Ja</v>
      </c>
      <c r="AU38">
        <f t="shared" si="3"/>
        <v>6.2969999999999998E-2</v>
      </c>
      <c r="AV38">
        <f t="shared" si="4"/>
        <v>0</v>
      </c>
      <c r="AW38">
        <f t="shared" si="5"/>
        <v>2.774</v>
      </c>
      <c r="AX38">
        <f t="shared" si="6"/>
        <v>0</v>
      </c>
      <c r="AZ38">
        <f t="shared" si="7"/>
        <v>2.774</v>
      </c>
      <c r="BC38">
        <f t="shared" si="8"/>
        <v>9.0999999999999998E-2</v>
      </c>
      <c r="BD38">
        <f t="shared" si="9"/>
        <v>0</v>
      </c>
      <c r="BE38">
        <f t="shared" si="10"/>
        <v>2.774</v>
      </c>
      <c r="BF38">
        <f t="shared" si="11"/>
        <v>0</v>
      </c>
      <c r="BG38">
        <f t="shared" si="12"/>
        <v>6.2969999999999998E-2</v>
      </c>
      <c r="BH38">
        <f>VLOOKUP(B38,Miljö!$B$1:$BX$482,MATCH("Fossilandel för ursprungspecificerad el ()",Miljö!$B$1:$I$1,0),FALSE)</f>
        <v>0.43</v>
      </c>
      <c r="BI38">
        <f>VLOOKUP(B38,Miljö!$B$1:$BX$482,MATCH("Kärnkraftsandel för ursprungsspecificerad el ()",Miljö!$B$1:$O$1,0),FALSE)</f>
        <v>0.40550000000000003</v>
      </c>
      <c r="BJ38">
        <f t="shared" si="13"/>
        <v>0</v>
      </c>
      <c r="BK38" t="str">
        <f>VLOOKUP(B38,Miljö!$B$1:$O$482,MATCH("Fossil andel i procent (%)",Miljö!$B$1:$O$1,0),FALSE)</f>
        <v>ET</v>
      </c>
      <c r="BL38">
        <f t="shared" si="14"/>
        <v>2.9279700000000002</v>
      </c>
      <c r="BO38" s="18">
        <f t="shared" si="15"/>
        <v>4.0327291604763706E-2</v>
      </c>
      <c r="BP38" s="18">
        <f t="shared" si="16"/>
        <v>8.7208321806575891E-3</v>
      </c>
      <c r="BQ38" s="18">
        <f t="shared" si="17"/>
        <v>0.95095187621457877</v>
      </c>
      <c r="BR38" s="18">
        <f t="shared" si="18"/>
        <v>0</v>
      </c>
      <c r="BT38" s="27">
        <f t="shared" si="19"/>
        <v>1</v>
      </c>
      <c r="BW38" s="18">
        <f>IF(AP38="ja",VLOOKUP(B38,Miljövärden!$B$2:$H$550,MATCH("Total andel fossilt",Miljövärden!$B$2:$H$2,0),FALSE),"")</f>
        <v>4.0327300000000003E-2</v>
      </c>
      <c r="BZ38" s="28">
        <f t="shared" si="20"/>
        <v>8.3952362978090278E-9</v>
      </c>
      <c r="CA38" s="28">
        <f t="shared" si="21"/>
        <v>0</v>
      </c>
    </row>
    <row r="39" spans="1:79" x14ac:dyDescent="0.25">
      <c r="A39" s="224" t="s">
        <v>238</v>
      </c>
      <c r="B39" s="210" t="s">
        <v>239</v>
      </c>
      <c r="C39" s="121">
        <f>VLOOKUP($B39,'Tillförd energi'!$B$1:$AI$720,MATCH(C$1,'Tillförd energi'!$B$1:$AQ$1,0),FALSE)</f>
        <v>0</v>
      </c>
      <c r="D39" s="121">
        <f>VLOOKUP($B39,'Tillförd energi'!$B$1:$AI$720,MATCH(D$1,'Tillförd energi'!$B$1:$AQ$1,0),FALSE)</f>
        <v>0.47399999999999998</v>
      </c>
      <c r="E39" s="121">
        <f>VLOOKUP($B39,'Tillförd energi'!$B$1:$AI$720,MATCH(E$1,'Tillförd energi'!$B$1:$AQ$1,0),FALSE)</f>
        <v>1.4419999999999999</v>
      </c>
      <c r="F39" s="121">
        <f>VLOOKUP($B39,'Tillförd energi'!$B$1:$AI$720,MATCH(F$1,'Tillförd energi'!$B$1:$AQ$1,0),FALSE)</f>
        <v>0</v>
      </c>
      <c r="G39" s="121">
        <f>VLOOKUP($B39,'Tillförd energi'!$B$1:$AI$720,MATCH(G$1,'Tillförd energi'!$B$1:$AQ$1,0),FALSE)</f>
        <v>0</v>
      </c>
      <c r="H39" s="121">
        <f>VLOOKUP($B39,'Tillförd energi'!$B$1:$AI$720,MATCH(H$1,'Tillförd energi'!$B$1:$AQ$1,0),FALSE)</f>
        <v>0</v>
      </c>
      <c r="I39" s="121">
        <f>VLOOKUP($B39,'Tillförd energi'!$B$1:$AI$720,MATCH(I$1,'Tillförd energi'!$B$1:$AQ$1,0),FALSE)</f>
        <v>202.91399999999999</v>
      </c>
      <c r="J39" s="121">
        <f>VLOOKUP($B39,'Tillförd energi'!$B$1:$AI$720,MATCH(J$1,'Tillförd energi'!$B$1:$AQ$1,0),FALSE)</f>
        <v>2.8620000000000001</v>
      </c>
      <c r="K39" s="121">
        <f>VLOOKUP($B39,'Tillförd energi'!$B$1:$AI$720,MATCH(K$1,'Tillförd energi'!$B$1:$AQ$1,0),FALSE)</f>
        <v>0</v>
      </c>
      <c r="L39" s="121">
        <f>VLOOKUP($B39,'Tillförd energi'!$B$1:$AI$720,MATCH(L$1,'Tillförd energi'!$B$1:$AQ$1,0),FALSE)</f>
        <v>5.2865000000000002</v>
      </c>
      <c r="M39" s="121">
        <f>VLOOKUP($B39,'Tillförd energi'!$B$1:$AI$720,MATCH(M$1,'Tillförd energi'!$B$1:$AQ$1,0),FALSE)</f>
        <v>0</v>
      </c>
      <c r="N39" s="121">
        <f>VLOOKUP($B39,'Tillförd energi'!$B$1:$AI$720,MATCH(N$1,'Tillförd energi'!$B$1:$AQ$1,0),FALSE)</f>
        <v>0</v>
      </c>
      <c r="O39" s="121">
        <f>VLOOKUP($B39,'Tillförd energi'!$B$1:$AI$720,MATCH(O$1,'Tillförd energi'!$B$1:$AQ$1,0),FALSE)</f>
        <v>0</v>
      </c>
      <c r="P39" s="121">
        <f>VLOOKUP($B39,'Tillförd energi'!$B$1:$AI$720,MATCH(P$1,'Tillförd energi'!$B$1:$AQ$1,0),FALSE)</f>
        <v>0</v>
      </c>
      <c r="Q39" s="121">
        <f>VLOOKUP($B39,'Tillförd energi'!$B$1:$AI$720,MATCH(Q$1,'Tillförd energi'!$B$1:$AQ$1,0),FALSE)</f>
        <v>183.07599999999999</v>
      </c>
      <c r="R39" s="121">
        <f>VLOOKUP($B39,'Tillförd energi'!$B$1:$AI$720,MATCH(R$1,'Tillförd energi'!$B$1:$AQ$1,0),FALSE)</f>
        <v>0</v>
      </c>
      <c r="S39" s="121">
        <f>VLOOKUP($B39,'Tillförd energi'!$B$1:$AI$720,MATCH(S$1,'Tillförd energi'!$B$1:$AQ$1,0),FALSE)</f>
        <v>0</v>
      </c>
      <c r="T39" s="121">
        <f>VLOOKUP($B39,'Tillförd energi'!$B$1:$AI$720,MATCH(T$1,'Tillförd energi'!$B$1:$AQ$1,0),FALSE)</f>
        <v>0</v>
      </c>
      <c r="U39" s="121">
        <f>VLOOKUP($B39,'Tillförd energi'!$B$1:$AI$720,MATCH(U$1,'Tillförd energi'!$B$1:$AQ$1,0),FALSE)</f>
        <v>0</v>
      </c>
      <c r="V39" s="121">
        <f>VLOOKUP($B39,'Tillförd energi'!$B$1:$AI$720,MATCH(V$1,'Tillförd energi'!$B$1:$AQ$1,0),FALSE)</f>
        <v>0</v>
      </c>
      <c r="W39" s="121">
        <f>VLOOKUP($B39,'Tillförd energi'!$B$1:$AI$720,MATCH(W$1,'Tillförd energi'!$B$1:$AQ$1,0),FALSE)</f>
        <v>0.133161</v>
      </c>
      <c r="X39" s="121">
        <f>VLOOKUP($B39,'Tillförd energi'!$B$1:$AI$720,MATCH(X$1,'Tillförd energi'!$B$1:$AQ$1,0),FALSE)</f>
        <v>0</v>
      </c>
      <c r="Y39" s="121">
        <f>VLOOKUP($B39,'Tillförd energi'!$B$1:$AI$720,MATCH(Y$1,'Tillförd energi'!$B$1:$AQ$1,0),FALSE)</f>
        <v>0</v>
      </c>
      <c r="Z39" s="121">
        <f>VLOOKUP($B39,'Tillförd energi'!$B$1:$AI$720,MATCH(Z$1,'Tillförd energi'!$B$1:$AQ$1,0),FALSE)</f>
        <v>0</v>
      </c>
      <c r="AA39" s="121">
        <f>VLOOKUP($B39,'Tillförd energi'!$B$1:$AI$720,MATCH(AA$1,'Tillförd energi'!$B$1:$AQ$1,0),FALSE)</f>
        <v>0.27900000000000003</v>
      </c>
      <c r="AB39" s="121">
        <f>VLOOKUP($B39,'Tillförd energi'!$B$1:$AI$720,MATCH(AB$1,'Tillförd energi'!$B$1:$AQ$1,0),FALSE)</f>
        <v>0.55700000000000005</v>
      </c>
      <c r="AC39" s="121">
        <f>VLOOKUP($B39,'Tillförd energi'!$B$1:$AI$720,MATCH(AC$1,'Tillförd energi'!$B$1:$AQ$1,0),FALSE)</f>
        <v>8.5</v>
      </c>
      <c r="AD39" s="121">
        <f>VLOOKUP($B39,'Tillförd energi'!$B$1:$AI$720,MATCH(AD$1,'Tillförd energi'!$B$1:$AQ$1,0),FALSE)</f>
        <v>91.956000000000003</v>
      </c>
      <c r="AE39" s="121">
        <f>VLOOKUP($B39,'Tillförd energi'!$B$1:$AI$720,MATCH(AE$1,'Tillförd energi'!$B$1:$AQ$1,0),FALSE)</f>
        <v>0</v>
      </c>
      <c r="AF39" s="121">
        <f>VLOOKUP($B39,'Tillförd energi'!$B$1:$AI$720,MATCH(AF$1,'Tillförd energi'!$B$1:$AQ$1,0),FALSE)</f>
        <v>8.0960199999999993</v>
      </c>
      <c r="AG39" s="121">
        <f>IFERROR(VLOOKUP(B39,Miljö!$B$1:$AC$550,MATCH("Köpt mängd produktionsspecifik fjärrvärme:",Miljö!$B$1:$AC$1,0),FALSE)/1,0)</f>
        <v>5.8289999999999997</v>
      </c>
      <c r="AH39" s="121"/>
      <c r="AI39" s="121">
        <f t="shared" si="0"/>
        <v>505.57568099999997</v>
      </c>
      <c r="AJ39" s="121">
        <f t="shared" si="1"/>
        <v>511.40468099999998</v>
      </c>
      <c r="AK39" s="121">
        <f>IF(ISERROR(1/VLOOKUP($B39,Leveranser!$B$1:$S$499,MATCH("såld värme (gwh)",Leveranser!$B$1:$S$1,0),FALSE)),"",VLOOKUP($B39,Leveranser!$B$1:$S$499,MATCH("såld värme (gwh)",Leveranser!$B$1:$S$1,0),FALSE))</f>
        <v>445.13299999999998</v>
      </c>
      <c r="AL39" s="121">
        <f>VLOOKUP($B39,Leveranser!$B$1:$Y$499,MATCH("Totalt såld fjärrvärme till andra fjärrvärmeföretag",Leveranser!$B$1:$AA$1,0),FALSE)</f>
        <v>64.605000000000004</v>
      </c>
      <c r="AM39" s="121">
        <f>IF(ISERROR(1/VLOOKUP($B39,Miljö!$B$1:$S$500,MATCH("Såld mängd produktionsspecifik fjärrvärme (GWh)",Miljö!$B$1:$R$1,0),FALSE)),0,VLOOKUP($B39,Miljö!$B$1:$S$500,MATCH("Såld mängd produktionsspecifik fjärrvärme (GWh)",Miljö!$B$1:$R$1,0),FALSE))</f>
        <v>64.605000000000004</v>
      </c>
      <c r="AN39" s="172">
        <f t="shared" si="2"/>
        <v>0.87041244739799317</v>
      </c>
      <c r="AO39" s="121"/>
      <c r="AP39" s="121" t="str">
        <f>IFERROR(VLOOKUP($B39,Miljövärden!$B$2:$H$550,7,FALSE),"Nej, saknas")</f>
        <v>Ja</v>
      </c>
      <c r="AQ39" s="121" t="str">
        <f>IFERROR(VLOOKUP($B39,Miljövärden!$B$2:$H$550,6,FALSE),"Nej, saknas")</f>
        <v>Ja</v>
      </c>
      <c r="AU39">
        <f t="shared" si="3"/>
        <v>8.3750199999999992</v>
      </c>
      <c r="AV39">
        <f t="shared" si="4"/>
        <v>0</v>
      </c>
      <c r="AW39">
        <f t="shared" si="5"/>
        <v>183.07599999999999</v>
      </c>
      <c r="AX39">
        <f t="shared" si="6"/>
        <v>0</v>
      </c>
      <c r="AZ39">
        <f t="shared" si="7"/>
        <v>188.49566099999998</v>
      </c>
      <c r="BC39">
        <f t="shared" si="8"/>
        <v>1.9159999999999999</v>
      </c>
      <c r="BD39">
        <f t="shared" si="9"/>
        <v>0</v>
      </c>
      <c r="BE39">
        <f t="shared" si="10"/>
        <v>183.20916099999999</v>
      </c>
      <c r="BF39">
        <f t="shared" si="11"/>
        <v>312.07549999999998</v>
      </c>
      <c r="BG39">
        <f t="shared" si="12"/>
        <v>8.3750199999999992</v>
      </c>
      <c r="BH39">
        <f>VLOOKUP(B39,Miljö!$B$1:$BX$482,MATCH("Fossilandel för ursprungspecificerad el ()",Miljö!$B$1:$I$1,0),FALSE)</f>
        <v>0</v>
      </c>
      <c r="BI39">
        <f>VLOOKUP(B39,Miljö!$B$1:$BX$482,MATCH("Kärnkraftsandel för ursprungsspecificerad el ()",Miljö!$B$1:$O$1,0),FALSE)</f>
        <v>0</v>
      </c>
      <c r="BJ39">
        <f t="shared" si="13"/>
        <v>5.8289999999999997</v>
      </c>
      <c r="BK39">
        <f>VLOOKUP(B39,Miljö!$B$1:$O$482,MATCH("Fossil andel i procent (%)",Miljö!$B$1:$O$1,0),FALSE)</f>
        <v>0</v>
      </c>
      <c r="BL39">
        <f t="shared" si="14"/>
        <v>511.40468099999998</v>
      </c>
      <c r="BO39" s="18">
        <f t="shared" si="15"/>
        <v>3.7465437278623578E-3</v>
      </c>
      <c r="BP39" s="18">
        <f t="shared" si="16"/>
        <v>1.1398018470620922E-2</v>
      </c>
      <c r="BQ39" s="18">
        <f t="shared" si="17"/>
        <v>0.37462344033569767</v>
      </c>
      <c r="BR39" s="18">
        <f t="shared" si="18"/>
        <v>0.61023199746581902</v>
      </c>
      <c r="BT39" s="27">
        <f t="shared" si="19"/>
        <v>1</v>
      </c>
      <c r="BW39" s="18">
        <f>IF(AP39="ja",VLOOKUP(B39,Miljövärden!$B$2:$H$550,MATCH("Total andel fossilt",Miljövärden!$B$2:$H$2,0),FALSE),"")</f>
        <v>4.2882800000000002E-3</v>
      </c>
      <c r="BZ39" s="28">
        <f t="shared" si="20"/>
        <v>5.4173627213764241E-4</v>
      </c>
      <c r="CA39" s="28">
        <f t="shared" si="21"/>
        <v>0</v>
      </c>
    </row>
    <row r="40" spans="1:79" x14ac:dyDescent="0.25">
      <c r="A40" s="224" t="s">
        <v>238</v>
      </c>
      <c r="B40" s="210" t="s">
        <v>241</v>
      </c>
      <c r="C40" s="121">
        <f>VLOOKUP($B40,'Tillförd energi'!$B$1:$AI$720,MATCH(C$1,'Tillförd energi'!$B$1:$AQ$1,0),FALSE)</f>
        <v>0</v>
      </c>
      <c r="D40" s="121">
        <f>VLOOKUP($B40,'Tillförd energi'!$B$1:$AI$720,MATCH(D$1,'Tillförd energi'!$B$1:$AQ$1,0),FALSE)</f>
        <v>1.1000000000000001E-3</v>
      </c>
      <c r="E40" s="121">
        <f>VLOOKUP($B40,'Tillförd energi'!$B$1:$AI$720,MATCH(E$1,'Tillförd energi'!$B$1:$AQ$1,0),FALSE)</f>
        <v>0</v>
      </c>
      <c r="F40" s="121">
        <f>VLOOKUP($B40,'Tillförd energi'!$B$1:$AI$720,MATCH(F$1,'Tillförd energi'!$B$1:$AQ$1,0),FALSE)</f>
        <v>0</v>
      </c>
      <c r="G40" s="121">
        <f>VLOOKUP($B40,'Tillförd energi'!$B$1:$AI$720,MATCH(G$1,'Tillförd energi'!$B$1:$AQ$1,0),FALSE)</f>
        <v>0</v>
      </c>
      <c r="H40" s="121">
        <f>VLOOKUP($B40,'Tillförd energi'!$B$1:$AI$720,MATCH(H$1,'Tillförd energi'!$B$1:$AQ$1,0),FALSE)</f>
        <v>0</v>
      </c>
      <c r="I40" s="121">
        <f>VLOOKUP($B40,'Tillförd energi'!$B$1:$AI$720,MATCH(I$1,'Tillförd energi'!$B$1:$AQ$1,0),FALSE)</f>
        <v>0</v>
      </c>
      <c r="J40" s="121">
        <f>VLOOKUP($B40,'Tillförd energi'!$B$1:$AI$720,MATCH(J$1,'Tillförd energi'!$B$1:$AQ$1,0),FALSE)</f>
        <v>0</v>
      </c>
      <c r="K40" s="121">
        <f>VLOOKUP($B40,'Tillförd energi'!$B$1:$AI$720,MATCH(K$1,'Tillförd energi'!$B$1:$AQ$1,0),FALSE)</f>
        <v>0</v>
      </c>
      <c r="L40" s="121">
        <f>VLOOKUP($B40,'Tillförd energi'!$B$1:$AI$720,MATCH(L$1,'Tillförd energi'!$B$1:$AQ$1,0),FALSE)</f>
        <v>0</v>
      </c>
      <c r="M40" s="121">
        <f>VLOOKUP($B40,'Tillförd energi'!$B$1:$AI$720,MATCH(M$1,'Tillförd energi'!$B$1:$AQ$1,0),FALSE)</f>
        <v>0</v>
      </c>
      <c r="N40" s="121">
        <f>VLOOKUP($B40,'Tillförd energi'!$B$1:$AI$720,MATCH(N$1,'Tillförd energi'!$B$1:$AQ$1,0),FALSE)</f>
        <v>0</v>
      </c>
      <c r="O40" s="121">
        <f>VLOOKUP($B40,'Tillförd energi'!$B$1:$AI$720,MATCH(O$1,'Tillförd energi'!$B$1:$AQ$1,0),FALSE)</f>
        <v>0</v>
      </c>
      <c r="P40" s="121">
        <f>VLOOKUP($B40,'Tillförd energi'!$B$1:$AI$720,MATCH(P$1,'Tillförd energi'!$B$1:$AQ$1,0),FALSE)</f>
        <v>0</v>
      </c>
      <c r="Q40" s="121">
        <f>VLOOKUP($B40,'Tillförd energi'!$B$1:$AI$720,MATCH(Q$1,'Tillförd energi'!$B$1:$AQ$1,0),FALSE)</f>
        <v>0</v>
      </c>
      <c r="R40" s="121">
        <f>VLOOKUP($B40,'Tillförd energi'!$B$1:$AI$720,MATCH(R$1,'Tillförd energi'!$B$1:$AQ$1,0),FALSE)</f>
        <v>3.016</v>
      </c>
      <c r="S40" s="121">
        <f>VLOOKUP($B40,'Tillförd energi'!$B$1:$AI$720,MATCH(S$1,'Tillförd energi'!$B$1:$AQ$1,0),FALSE)</f>
        <v>0</v>
      </c>
      <c r="T40" s="121">
        <f>VLOOKUP($B40,'Tillförd energi'!$B$1:$AI$720,MATCH(T$1,'Tillförd energi'!$B$1:$AQ$1,0),FALSE)</f>
        <v>0</v>
      </c>
      <c r="U40" s="121">
        <f>VLOOKUP($B40,'Tillförd energi'!$B$1:$AI$720,MATCH(U$1,'Tillförd energi'!$B$1:$AQ$1,0),FALSE)</f>
        <v>0</v>
      </c>
      <c r="V40" s="121">
        <f>VLOOKUP($B40,'Tillförd energi'!$B$1:$AI$720,MATCH(V$1,'Tillförd energi'!$B$1:$AQ$1,0),FALSE)</f>
        <v>0</v>
      </c>
      <c r="W40" s="121">
        <f>VLOOKUP($B40,'Tillförd energi'!$B$1:$AI$720,MATCH(W$1,'Tillförd energi'!$B$1:$AQ$1,0),FALSE)</f>
        <v>0</v>
      </c>
      <c r="X40" s="121">
        <f>VLOOKUP($B40,'Tillförd energi'!$B$1:$AI$720,MATCH(X$1,'Tillförd energi'!$B$1:$AQ$1,0),FALSE)</f>
        <v>0</v>
      </c>
      <c r="Y40" s="121">
        <f>VLOOKUP($B40,'Tillförd energi'!$B$1:$AI$720,MATCH(Y$1,'Tillförd energi'!$B$1:$AQ$1,0),FALSE)</f>
        <v>0</v>
      </c>
      <c r="Z40" s="121">
        <f>VLOOKUP($B40,'Tillförd energi'!$B$1:$AI$720,MATCH(Z$1,'Tillförd energi'!$B$1:$AQ$1,0),FALSE)</f>
        <v>0</v>
      </c>
      <c r="AA40" s="121">
        <f>VLOOKUP($B40,'Tillförd energi'!$B$1:$AI$720,MATCH(AA$1,'Tillförd energi'!$B$1:$AQ$1,0),FALSE)</f>
        <v>0</v>
      </c>
      <c r="AB40" s="121">
        <f>VLOOKUP($B40,'Tillförd energi'!$B$1:$AI$720,MATCH(AB$1,'Tillförd energi'!$B$1:$AQ$1,0),FALSE)</f>
        <v>0</v>
      </c>
      <c r="AC40" s="121">
        <f>VLOOKUP($B40,'Tillförd energi'!$B$1:$AI$720,MATCH(AC$1,'Tillförd energi'!$B$1:$AQ$1,0),FALSE)</f>
        <v>0</v>
      </c>
      <c r="AD40" s="121">
        <f>VLOOKUP($B40,'Tillförd energi'!$B$1:$AI$720,MATCH(AD$1,'Tillförd energi'!$B$1:$AQ$1,0),FALSE)</f>
        <v>0</v>
      </c>
      <c r="AE40" s="121">
        <f>VLOOKUP($B40,'Tillförd energi'!$B$1:$AI$720,MATCH(AE$1,'Tillförd energi'!$B$1:$AQ$1,0),FALSE)</f>
        <v>0</v>
      </c>
      <c r="AF40" s="121">
        <f>VLOOKUP($B40,'Tillförd energi'!$B$1:$AI$720,MATCH(AF$1,'Tillförd energi'!$B$1:$AQ$1,0),FALSE)</f>
        <v>6.4999999999999997E-3</v>
      </c>
      <c r="AG40" s="121">
        <f>IFERROR(VLOOKUP(B40,Miljö!$B$1:$AC$550,MATCH("Köpt mängd produktionsspecifik fjärrvärme:",Miljö!$B$1:$AC$1,0),FALSE)/1,0)</f>
        <v>0</v>
      </c>
      <c r="AH40" s="121"/>
      <c r="AI40" s="121">
        <f t="shared" si="0"/>
        <v>3.0236000000000001</v>
      </c>
      <c r="AJ40" s="121">
        <f t="shared" si="1"/>
        <v>3.0236000000000001</v>
      </c>
      <c r="AK40" s="121">
        <f>IF(ISERROR(1/VLOOKUP($B40,Leveranser!$B$1:$S$499,MATCH("såld värme (gwh)",Leveranser!$B$1:$S$1,0),FALSE)),"",VLOOKUP($B40,Leveranser!$B$1:$S$499,MATCH("såld värme (gwh)",Leveranser!$B$1:$S$1,0),FALSE))</f>
        <v>1.96</v>
      </c>
      <c r="AL40" s="121">
        <f>VLOOKUP($B40,Leveranser!$B$1:$Y$499,MATCH("Totalt såld fjärrvärme till andra fjärrvärmeföretag",Leveranser!$B$1:$AA$1,0),FALSE)</f>
        <v>0</v>
      </c>
      <c r="AM40" s="121">
        <f>IF(ISERROR(1/VLOOKUP($B40,Miljö!$B$1:$S$500,MATCH("Såld mängd produktionsspecifik fjärrvärme (GWh)",Miljö!$B$1:$R$1,0),FALSE)),0,VLOOKUP($B40,Miljö!$B$1:$S$500,MATCH("Såld mängd produktionsspecifik fjärrvärme (GWh)",Miljö!$B$1:$R$1,0),FALSE))</f>
        <v>0</v>
      </c>
      <c r="AN40" s="172">
        <f t="shared" si="2"/>
        <v>0.6482338933721391</v>
      </c>
      <c r="AO40" s="121"/>
      <c r="AP40" s="121" t="str">
        <f>IFERROR(VLOOKUP($B40,Miljövärden!$B$2:$H$550,7,FALSE),"Nej, saknas")</f>
        <v>Ja</v>
      </c>
      <c r="AQ40" s="121" t="str">
        <f>IFERROR(VLOOKUP($B40,Miljövärden!$B$2:$H$550,6,FALSE),"Nej, saknas")</f>
        <v>Ja</v>
      </c>
      <c r="AU40">
        <f t="shared" si="3"/>
        <v>6.4999999999999997E-3</v>
      </c>
      <c r="AV40">
        <f t="shared" si="4"/>
        <v>0</v>
      </c>
      <c r="AW40">
        <f t="shared" si="5"/>
        <v>0</v>
      </c>
      <c r="AX40">
        <f t="shared" si="6"/>
        <v>3.016</v>
      </c>
      <c r="AZ40">
        <f t="shared" si="7"/>
        <v>3.016</v>
      </c>
      <c r="BC40">
        <f t="shared" si="8"/>
        <v>1.1000000000000001E-3</v>
      </c>
      <c r="BD40">
        <f t="shared" si="9"/>
        <v>0</v>
      </c>
      <c r="BE40">
        <f t="shared" si="10"/>
        <v>3.016</v>
      </c>
      <c r="BF40">
        <f t="shared" si="11"/>
        <v>0</v>
      </c>
      <c r="BG40">
        <f t="shared" si="12"/>
        <v>6.4999999999999997E-3</v>
      </c>
      <c r="BH40">
        <f>VLOOKUP(B40,Miljö!$B$1:$BX$482,MATCH("Fossilandel för ursprungspecificerad el ()",Miljö!$B$1:$I$1,0),FALSE)</f>
        <v>0</v>
      </c>
      <c r="BI40">
        <f>VLOOKUP(B40,Miljö!$B$1:$BX$482,MATCH("Kärnkraftsandel för ursprungsspecificerad el ()",Miljö!$B$1:$O$1,0),FALSE)</f>
        <v>0</v>
      </c>
      <c r="BJ40">
        <f t="shared" si="13"/>
        <v>0</v>
      </c>
      <c r="BK40" t="str">
        <f>VLOOKUP(B40,Miljö!$B$1:$O$482,MATCH("Fossil andel i procent (%)",Miljö!$B$1:$O$1,0),FALSE)</f>
        <v>ET</v>
      </c>
      <c r="BL40">
        <f t="shared" si="14"/>
        <v>3.0236000000000001</v>
      </c>
      <c r="BO40" s="18">
        <f t="shared" si="15"/>
        <v>3.6380473607620055E-4</v>
      </c>
      <c r="BP40" s="18">
        <f t="shared" si="16"/>
        <v>0</v>
      </c>
      <c r="BQ40" s="18">
        <f t="shared" si="17"/>
        <v>0.99963619526392378</v>
      </c>
      <c r="BR40" s="18">
        <f t="shared" si="18"/>
        <v>0</v>
      </c>
      <c r="BT40" s="27">
        <f t="shared" si="19"/>
        <v>1</v>
      </c>
      <c r="BW40" s="18">
        <f>IF(AP40="ja",VLOOKUP(B40,Miljövärden!$B$2:$H$550,MATCH("Total andel fossilt",Miljövärden!$B$2:$H$2,0),FALSE),"")</f>
        <v>3.6380499999999998E-4</v>
      </c>
      <c r="BZ40" s="28">
        <f t="shared" si="20"/>
        <v>2.639237994274922E-10</v>
      </c>
      <c r="CA40" s="28">
        <f t="shared" si="21"/>
        <v>0</v>
      </c>
    </row>
    <row r="41" spans="1:79" x14ac:dyDescent="0.25">
      <c r="A41" s="224" t="s">
        <v>238</v>
      </c>
      <c r="B41" s="210" t="s">
        <v>242</v>
      </c>
      <c r="C41" s="121">
        <f>VLOOKUP($B41,'Tillförd energi'!$B$1:$AI$720,MATCH(C$1,'Tillförd energi'!$B$1:$AQ$1,0),FALSE)</f>
        <v>0</v>
      </c>
      <c r="D41" s="121">
        <f>VLOOKUP($B41,'Tillförd energi'!$B$1:$AI$720,MATCH(D$1,'Tillförd energi'!$B$1:$AQ$1,0),FALSE)</f>
        <v>0</v>
      </c>
      <c r="E41" s="121">
        <f>VLOOKUP($B41,'Tillförd energi'!$B$1:$AI$720,MATCH(E$1,'Tillförd energi'!$B$1:$AQ$1,0),FALSE)</f>
        <v>0</v>
      </c>
      <c r="F41" s="121">
        <f>VLOOKUP($B41,'Tillförd energi'!$B$1:$AI$720,MATCH(F$1,'Tillförd energi'!$B$1:$AQ$1,0),FALSE)</f>
        <v>0</v>
      </c>
      <c r="G41" s="121">
        <f>VLOOKUP($B41,'Tillförd energi'!$B$1:$AI$720,MATCH(G$1,'Tillförd energi'!$B$1:$AQ$1,0),FALSE)</f>
        <v>0</v>
      </c>
      <c r="H41" s="121">
        <f>VLOOKUP($B41,'Tillförd energi'!$B$1:$AI$720,MATCH(H$1,'Tillförd energi'!$B$1:$AQ$1,0),FALSE)</f>
        <v>0</v>
      </c>
      <c r="I41" s="121">
        <f>VLOOKUP($B41,'Tillförd energi'!$B$1:$AI$720,MATCH(I$1,'Tillförd energi'!$B$1:$AQ$1,0),FALSE)</f>
        <v>0</v>
      </c>
      <c r="J41" s="121">
        <f>VLOOKUP($B41,'Tillförd energi'!$B$1:$AI$720,MATCH(J$1,'Tillförd energi'!$B$1:$AQ$1,0),FALSE)</f>
        <v>0</v>
      </c>
      <c r="K41" s="121">
        <f>VLOOKUP($B41,'Tillförd energi'!$B$1:$AI$720,MATCH(K$1,'Tillförd energi'!$B$1:$AQ$1,0),FALSE)</f>
        <v>0</v>
      </c>
      <c r="L41" s="121">
        <f>VLOOKUP($B41,'Tillförd energi'!$B$1:$AI$720,MATCH(L$1,'Tillförd energi'!$B$1:$AQ$1,0),FALSE)</f>
        <v>0</v>
      </c>
      <c r="M41" s="121">
        <f>VLOOKUP($B41,'Tillförd energi'!$B$1:$AI$720,MATCH(M$1,'Tillförd energi'!$B$1:$AQ$1,0),FALSE)</f>
        <v>0</v>
      </c>
      <c r="N41" s="121">
        <f>VLOOKUP($B41,'Tillförd energi'!$B$1:$AI$720,MATCH(N$1,'Tillförd energi'!$B$1:$AQ$1,0),FALSE)</f>
        <v>0</v>
      </c>
      <c r="O41" s="121">
        <f>VLOOKUP($B41,'Tillförd energi'!$B$1:$AI$720,MATCH(O$1,'Tillförd energi'!$B$1:$AQ$1,0),FALSE)</f>
        <v>0</v>
      </c>
      <c r="P41" s="121">
        <f>VLOOKUP($B41,'Tillförd energi'!$B$1:$AI$720,MATCH(P$1,'Tillförd energi'!$B$1:$AQ$1,0),FALSE)</f>
        <v>0</v>
      </c>
      <c r="Q41" s="121">
        <f>VLOOKUP($B41,'Tillförd energi'!$B$1:$AI$720,MATCH(Q$1,'Tillförd energi'!$B$1:$AQ$1,0),FALSE)</f>
        <v>0</v>
      </c>
      <c r="R41" s="121">
        <f>VLOOKUP($B41,'Tillförd energi'!$B$1:$AI$720,MATCH(R$1,'Tillförd energi'!$B$1:$AQ$1,0),FALSE)</f>
        <v>5.4710000000000001</v>
      </c>
      <c r="S41" s="121">
        <f>VLOOKUP($B41,'Tillförd energi'!$B$1:$AI$720,MATCH(S$1,'Tillförd energi'!$B$1:$AQ$1,0),FALSE)</f>
        <v>0</v>
      </c>
      <c r="T41" s="121">
        <f>VLOOKUP($B41,'Tillförd energi'!$B$1:$AI$720,MATCH(T$1,'Tillförd energi'!$B$1:$AQ$1,0),FALSE)</f>
        <v>0</v>
      </c>
      <c r="U41" s="121">
        <f>VLOOKUP($B41,'Tillförd energi'!$B$1:$AI$720,MATCH(U$1,'Tillförd energi'!$B$1:$AQ$1,0),FALSE)</f>
        <v>0</v>
      </c>
      <c r="V41" s="121">
        <f>VLOOKUP($B41,'Tillförd energi'!$B$1:$AI$720,MATCH(V$1,'Tillförd energi'!$B$1:$AQ$1,0),FALSE)</f>
        <v>0</v>
      </c>
      <c r="W41" s="121">
        <f>VLOOKUP($B41,'Tillförd energi'!$B$1:$AI$720,MATCH(W$1,'Tillförd energi'!$B$1:$AQ$1,0),FALSE)</f>
        <v>0</v>
      </c>
      <c r="X41" s="121">
        <f>VLOOKUP($B41,'Tillförd energi'!$B$1:$AI$720,MATCH(X$1,'Tillförd energi'!$B$1:$AQ$1,0),FALSE)</f>
        <v>0</v>
      </c>
      <c r="Y41" s="121">
        <f>VLOOKUP($B41,'Tillförd energi'!$B$1:$AI$720,MATCH(Y$1,'Tillförd energi'!$B$1:$AQ$1,0),FALSE)</f>
        <v>0</v>
      </c>
      <c r="Z41" s="121">
        <f>VLOOKUP($B41,'Tillförd energi'!$B$1:$AI$720,MATCH(Z$1,'Tillförd energi'!$B$1:$AQ$1,0),FALSE)</f>
        <v>7.0199999999999999E-2</v>
      </c>
      <c r="AA41" s="121">
        <f>VLOOKUP($B41,'Tillförd energi'!$B$1:$AI$720,MATCH(AA$1,'Tillförd energi'!$B$1:$AQ$1,0),FALSE)</f>
        <v>0</v>
      </c>
      <c r="AB41" s="121">
        <f>VLOOKUP($B41,'Tillförd energi'!$B$1:$AI$720,MATCH(AB$1,'Tillförd energi'!$B$1:$AQ$1,0),FALSE)</f>
        <v>0</v>
      </c>
      <c r="AC41" s="121">
        <f>VLOOKUP($B41,'Tillförd energi'!$B$1:$AI$720,MATCH(AC$1,'Tillförd energi'!$B$1:$AQ$1,0),FALSE)</f>
        <v>0</v>
      </c>
      <c r="AD41" s="121">
        <f>VLOOKUP($B41,'Tillförd energi'!$B$1:$AI$720,MATCH(AD$1,'Tillförd energi'!$B$1:$AQ$1,0),FALSE)</f>
        <v>0</v>
      </c>
      <c r="AE41" s="121">
        <f>VLOOKUP($B41,'Tillförd energi'!$B$1:$AI$720,MATCH(AE$1,'Tillförd energi'!$B$1:$AQ$1,0),FALSE)</f>
        <v>0</v>
      </c>
      <c r="AF41" s="121">
        <f>VLOOKUP($B41,'Tillförd energi'!$B$1:$AI$720,MATCH(AF$1,'Tillförd energi'!$B$1:$AQ$1,0),FALSE)</f>
        <v>9.5000000000000001E-2</v>
      </c>
      <c r="AG41" s="121">
        <f>IFERROR(VLOOKUP(B41,Miljö!$B$1:$AC$550,MATCH("Köpt mängd produktionsspecifik fjärrvärme:",Miljö!$B$1:$AC$1,0),FALSE)/1,0)</f>
        <v>0</v>
      </c>
      <c r="AH41" s="121"/>
      <c r="AI41" s="121">
        <f t="shared" si="0"/>
        <v>5.6361999999999997</v>
      </c>
      <c r="AJ41" s="121">
        <f t="shared" si="1"/>
        <v>5.6361999999999997</v>
      </c>
      <c r="AK41" s="121">
        <f>IF(ISERROR(1/VLOOKUP($B41,Leveranser!$B$1:$S$499,MATCH("såld värme (gwh)",Leveranser!$B$1:$S$1,0),FALSE)),"",VLOOKUP($B41,Leveranser!$B$1:$S$499,MATCH("såld värme (gwh)",Leveranser!$B$1:$S$1,0),FALSE))</f>
        <v>3.133</v>
      </c>
      <c r="AL41" s="121">
        <f>VLOOKUP($B41,Leveranser!$B$1:$Y$499,MATCH("Totalt såld fjärrvärme till andra fjärrvärmeföretag",Leveranser!$B$1:$AA$1,0),FALSE)</f>
        <v>0</v>
      </c>
      <c r="AM41" s="121">
        <f>IF(ISERROR(1/VLOOKUP($B41,Miljö!$B$1:$S$500,MATCH("Såld mängd produktionsspecifik fjärrvärme (GWh)",Miljö!$B$1:$R$1,0),FALSE)),0,VLOOKUP($B41,Miljö!$B$1:$S$500,MATCH("Såld mängd produktionsspecifik fjärrvärme (GWh)",Miljö!$B$1:$R$1,0),FALSE))</f>
        <v>0</v>
      </c>
      <c r="AN41" s="172">
        <f t="shared" si="2"/>
        <v>0.55587097689932941</v>
      </c>
      <c r="AO41" s="121"/>
      <c r="AP41" s="121" t="str">
        <f>IFERROR(VLOOKUP($B41,Miljövärden!$B$2:$H$550,7,FALSE),"Nej, saknas")</f>
        <v>Ja</v>
      </c>
      <c r="AQ41" s="121" t="str">
        <f>IFERROR(VLOOKUP($B41,Miljövärden!$B$2:$H$550,6,FALSE),"Nej, saknas")</f>
        <v>Ja</v>
      </c>
      <c r="AU41">
        <f t="shared" si="3"/>
        <v>0.16520000000000001</v>
      </c>
      <c r="AV41">
        <f t="shared" si="4"/>
        <v>0</v>
      </c>
      <c r="AW41">
        <f t="shared" si="5"/>
        <v>0</v>
      </c>
      <c r="AX41">
        <f t="shared" si="6"/>
        <v>5.4710000000000001</v>
      </c>
      <c r="AZ41">
        <f t="shared" si="7"/>
        <v>5.4710000000000001</v>
      </c>
      <c r="BC41">
        <f t="shared" si="8"/>
        <v>0</v>
      </c>
      <c r="BD41">
        <f t="shared" si="9"/>
        <v>0</v>
      </c>
      <c r="BE41">
        <f t="shared" si="10"/>
        <v>5.4710000000000001</v>
      </c>
      <c r="BF41">
        <f t="shared" si="11"/>
        <v>0</v>
      </c>
      <c r="BG41">
        <f t="shared" si="12"/>
        <v>0.16520000000000001</v>
      </c>
      <c r="BH41">
        <f>VLOOKUP(B41,Miljö!$B$1:$BX$482,MATCH("Fossilandel för ursprungspecificerad el ()",Miljö!$B$1:$I$1,0),FALSE)</f>
        <v>0</v>
      </c>
      <c r="BI41">
        <f>VLOOKUP(B41,Miljö!$B$1:$BX$482,MATCH("Kärnkraftsandel för ursprungsspecificerad el ()",Miljö!$B$1:$O$1,0),FALSE)</f>
        <v>0</v>
      </c>
      <c r="BJ41">
        <f t="shared" si="13"/>
        <v>0</v>
      </c>
      <c r="BK41" t="str">
        <f>VLOOKUP(B41,Miljö!$B$1:$O$482,MATCH("Fossil andel i procent (%)",Miljö!$B$1:$O$1,0),FALSE)</f>
        <v>ET</v>
      </c>
      <c r="BL41">
        <f t="shared" si="14"/>
        <v>5.6362000000000005</v>
      </c>
      <c r="BO41" s="18">
        <f t="shared" si="15"/>
        <v>0</v>
      </c>
      <c r="BP41" s="18">
        <f t="shared" si="16"/>
        <v>0</v>
      </c>
      <c r="BQ41" s="18">
        <f t="shared" si="17"/>
        <v>1</v>
      </c>
      <c r="BR41" s="18">
        <f t="shared" si="18"/>
        <v>0</v>
      </c>
      <c r="BT41" s="27">
        <f t="shared" si="19"/>
        <v>1</v>
      </c>
      <c r="BW41" s="18">
        <f>IF(AP41="ja",VLOOKUP(B41,Miljövärden!$B$2:$H$550,MATCH("Total andel fossilt",Miljövärden!$B$2:$H$2,0),FALSE),"")</f>
        <v>0</v>
      </c>
      <c r="BZ41" s="28">
        <f t="shared" si="20"/>
        <v>0</v>
      </c>
      <c r="CA41" s="28">
        <f t="shared" si="21"/>
        <v>0</v>
      </c>
    </row>
    <row r="42" spans="1:79" x14ac:dyDescent="0.25">
      <c r="A42" s="224" t="s">
        <v>243</v>
      </c>
      <c r="B42" s="210" t="s">
        <v>244</v>
      </c>
      <c r="C42" s="121">
        <f>VLOOKUP($B42,'Tillförd energi'!$B$1:$AI$720,MATCH(C$1,'Tillförd energi'!$B$1:$AQ$1,0),FALSE)</f>
        <v>0</v>
      </c>
      <c r="D42" s="121">
        <f>VLOOKUP($B42,'Tillförd energi'!$B$1:$AI$720,MATCH(D$1,'Tillförd energi'!$B$1:$AQ$1,0),FALSE)</f>
        <v>0.12</v>
      </c>
      <c r="E42" s="121">
        <f>VLOOKUP($B42,'Tillförd energi'!$B$1:$AI$720,MATCH(E$1,'Tillförd energi'!$B$1:$AQ$1,0),FALSE)</f>
        <v>7.39</v>
      </c>
      <c r="F42" s="121">
        <f>VLOOKUP($B42,'Tillförd energi'!$B$1:$AI$720,MATCH(F$1,'Tillförd energi'!$B$1:$AQ$1,0),FALSE)</f>
        <v>0</v>
      </c>
      <c r="G42" s="121">
        <f>VLOOKUP($B42,'Tillförd energi'!$B$1:$AI$720,MATCH(G$1,'Tillförd energi'!$B$1:$AQ$1,0),FALSE)</f>
        <v>0</v>
      </c>
      <c r="H42" s="121">
        <f>VLOOKUP($B42,'Tillförd energi'!$B$1:$AI$720,MATCH(H$1,'Tillförd energi'!$B$1:$AQ$1,0),FALSE)</f>
        <v>6.23</v>
      </c>
      <c r="I42" s="121">
        <f>VLOOKUP($B42,'Tillförd energi'!$B$1:$AI$720,MATCH(I$1,'Tillförd energi'!$B$1:$AQ$1,0),FALSE)</f>
        <v>195.91900000000001</v>
      </c>
      <c r="J42" s="121">
        <f>VLOOKUP($B42,'Tillförd energi'!$B$1:$AI$720,MATCH(J$1,'Tillförd energi'!$B$1:$AQ$1,0),FALSE)</f>
        <v>0</v>
      </c>
      <c r="K42" s="121">
        <f>VLOOKUP($B42,'Tillförd energi'!$B$1:$AI$720,MATCH(K$1,'Tillförd energi'!$B$1:$AQ$1,0),FALSE)</f>
        <v>0</v>
      </c>
      <c r="L42" s="121">
        <f>VLOOKUP($B42,'Tillförd energi'!$B$1:$AI$720,MATCH(L$1,'Tillförd energi'!$B$1:$AQ$1,0),FALSE)</f>
        <v>0</v>
      </c>
      <c r="M42" s="121">
        <f>VLOOKUP($B42,'Tillförd energi'!$B$1:$AI$720,MATCH(M$1,'Tillförd energi'!$B$1:$AQ$1,0),FALSE)</f>
        <v>39.6877</v>
      </c>
      <c r="N42" s="121">
        <f>VLOOKUP($B42,'Tillförd energi'!$B$1:$AI$720,MATCH(N$1,'Tillförd energi'!$B$1:$AQ$1,0),FALSE)</f>
        <v>206.52500000000001</v>
      </c>
      <c r="O42" s="121">
        <f>VLOOKUP($B42,'Tillförd energi'!$B$1:$AI$720,MATCH(O$1,'Tillförd energi'!$B$1:$AQ$1,0),FALSE)</f>
        <v>1.8671599999999999</v>
      </c>
      <c r="P42" s="121">
        <f>VLOOKUP($B42,'Tillförd energi'!$B$1:$AI$720,MATCH(P$1,'Tillförd energi'!$B$1:$AQ$1,0),FALSE)</f>
        <v>0</v>
      </c>
      <c r="Q42" s="121">
        <f>VLOOKUP($B42,'Tillförd energi'!$B$1:$AI$720,MATCH(Q$1,'Tillförd energi'!$B$1:$AQ$1,0),FALSE)</f>
        <v>58.366399999999999</v>
      </c>
      <c r="R42" s="121">
        <f>VLOOKUP($B42,'Tillförd energi'!$B$1:$AI$720,MATCH(R$1,'Tillförd energi'!$B$1:$AQ$1,0),FALSE)</f>
        <v>35.32</v>
      </c>
      <c r="S42" s="121">
        <f>VLOOKUP($B42,'Tillförd energi'!$B$1:$AI$720,MATCH(S$1,'Tillförd energi'!$B$1:$AQ$1,0),FALSE)</f>
        <v>2.6814100000000001</v>
      </c>
      <c r="T42" s="121">
        <f>VLOOKUP($B42,'Tillförd energi'!$B$1:$AI$720,MATCH(T$1,'Tillförd energi'!$B$1:$AQ$1,0),FALSE)</f>
        <v>0</v>
      </c>
      <c r="U42" s="121">
        <f>VLOOKUP($B42,'Tillförd energi'!$B$1:$AI$720,MATCH(U$1,'Tillförd energi'!$B$1:$AQ$1,0),FALSE)</f>
        <v>42.509500000000003</v>
      </c>
      <c r="V42" s="121">
        <f>VLOOKUP($B42,'Tillförd energi'!$B$1:$AI$720,MATCH(V$1,'Tillförd energi'!$B$1:$AQ$1,0),FALSE)</f>
        <v>0</v>
      </c>
      <c r="W42" s="121">
        <f>VLOOKUP($B42,'Tillförd energi'!$B$1:$AI$720,MATCH(W$1,'Tillförd energi'!$B$1:$AQ$1,0),FALSE)</f>
        <v>21.63</v>
      </c>
      <c r="X42" s="121">
        <f>VLOOKUP($B42,'Tillförd energi'!$B$1:$AI$720,MATCH(X$1,'Tillförd energi'!$B$1:$AQ$1,0),FALSE)</f>
        <v>0</v>
      </c>
      <c r="Y42" s="121">
        <f>VLOOKUP($B42,'Tillförd energi'!$B$1:$AI$720,MATCH(Y$1,'Tillförd energi'!$B$1:$AQ$1,0),FALSE)</f>
        <v>0</v>
      </c>
      <c r="Z42" s="121">
        <f>VLOOKUP($B42,'Tillförd energi'!$B$1:$AI$720,MATCH(Z$1,'Tillförd energi'!$B$1:$AQ$1,0),FALSE)</f>
        <v>0.43</v>
      </c>
      <c r="AA42" s="121">
        <f>VLOOKUP($B42,'Tillförd energi'!$B$1:$AI$720,MATCH(AA$1,'Tillförd energi'!$B$1:$AQ$1,0),FALSE)</f>
        <v>4.97</v>
      </c>
      <c r="AB42" s="121">
        <f>VLOOKUP($B42,'Tillförd energi'!$B$1:$AI$720,MATCH(AB$1,'Tillförd energi'!$B$1:$AQ$1,0),FALSE)</f>
        <v>9.23</v>
      </c>
      <c r="AC42" s="121">
        <f>VLOOKUP($B42,'Tillförd energi'!$B$1:$AI$720,MATCH(AC$1,'Tillförd energi'!$B$1:$AQ$1,0),FALSE)</f>
        <v>39.450000000000003</v>
      </c>
      <c r="AD42" s="121">
        <f>VLOOKUP($B42,'Tillförd energi'!$B$1:$AI$720,MATCH(AD$1,'Tillförd energi'!$B$1:$AQ$1,0),FALSE)</f>
        <v>0</v>
      </c>
      <c r="AE42" s="121">
        <f>VLOOKUP($B42,'Tillförd energi'!$B$1:$AI$720,MATCH(AE$1,'Tillförd energi'!$B$1:$AQ$1,0),FALSE)</f>
        <v>0</v>
      </c>
      <c r="AF42" s="121">
        <f>VLOOKUP($B42,'Tillförd energi'!$B$1:$AI$720,MATCH(AF$1,'Tillförd energi'!$B$1:$AQ$1,0),FALSE)</f>
        <v>26.4421</v>
      </c>
      <c r="AG42" s="121">
        <f>IFERROR(VLOOKUP(B42,Miljö!$B$1:$AC$550,MATCH("Köpt mängd produktionsspecifik fjärrvärme:",Miljö!$B$1:$AC$1,0),FALSE)/1,0)</f>
        <v>0</v>
      </c>
      <c r="AH42" s="121"/>
      <c r="AI42" s="121">
        <f t="shared" si="0"/>
        <v>698.76827000000014</v>
      </c>
      <c r="AJ42" s="121">
        <f t="shared" si="1"/>
        <v>698.76827000000014</v>
      </c>
      <c r="AK42" s="121">
        <f>IF(ISERROR(1/VLOOKUP($B42,Leveranser!$B$1:$S$499,MATCH("såld värme (gwh)",Leveranser!$B$1:$S$1,0),FALSE)),"",VLOOKUP($B42,Leveranser!$B$1:$S$499,MATCH("såld värme (gwh)",Leveranser!$B$1:$S$1,0),FALSE))</f>
        <v>598.46799999999996</v>
      </c>
      <c r="AL42" s="121">
        <f>VLOOKUP($B42,Leveranser!$B$1:$Y$499,MATCH("Totalt såld fjärrvärme till andra fjärrvärmeföretag",Leveranser!$B$1:$AA$1,0),FALSE)</f>
        <v>0</v>
      </c>
      <c r="AM42" s="121">
        <f>IF(ISERROR(1/VLOOKUP($B42,Miljö!$B$1:$S$500,MATCH("Såld mängd produktionsspecifik fjärrvärme (GWh)",Miljö!$B$1:$R$1,0),FALSE)),0,VLOOKUP($B42,Miljö!$B$1:$S$500,MATCH("Såld mängd produktionsspecifik fjärrvärme (GWh)",Miljö!$B$1:$R$1,0),FALSE))</f>
        <v>0</v>
      </c>
      <c r="AN42" s="172">
        <f t="shared" si="2"/>
        <v>0.85646132730096614</v>
      </c>
      <c r="AO42" s="121"/>
      <c r="AP42" s="121" t="str">
        <f>IFERROR(VLOOKUP($B42,Miljövärden!$B$2:$H$550,7,FALSE),"Nej, saknas")</f>
        <v>Ja</v>
      </c>
      <c r="AQ42" s="121" t="str">
        <f>IFERROR(VLOOKUP($B42,Miljövärden!$B$2:$H$550,6,FALSE),"Nej, saknas")</f>
        <v>Ja</v>
      </c>
      <c r="AU42">
        <f t="shared" si="3"/>
        <v>31.842099999999999</v>
      </c>
      <c r="AV42">
        <f t="shared" si="4"/>
        <v>0</v>
      </c>
      <c r="AW42">
        <f t="shared" si="5"/>
        <v>306.44626000000005</v>
      </c>
      <c r="AX42">
        <f t="shared" si="6"/>
        <v>80.510909999999996</v>
      </c>
      <c r="AZ42">
        <f t="shared" si="7"/>
        <v>408.58717000000007</v>
      </c>
      <c r="BC42">
        <f t="shared" si="8"/>
        <v>13.74</v>
      </c>
      <c r="BD42">
        <f t="shared" si="9"/>
        <v>0</v>
      </c>
      <c r="BE42">
        <f t="shared" si="10"/>
        <v>408.58717000000007</v>
      </c>
      <c r="BF42">
        <f t="shared" si="11"/>
        <v>244.59899999999999</v>
      </c>
      <c r="BG42">
        <f t="shared" si="12"/>
        <v>31.842099999999999</v>
      </c>
      <c r="BH42">
        <f>VLOOKUP(B42,Miljö!$B$1:$BX$482,MATCH("Fossilandel för ursprungspecificerad el ()",Miljö!$B$1:$I$1,0),FALSE)</f>
        <v>0</v>
      </c>
      <c r="BI42">
        <f>VLOOKUP(B42,Miljö!$B$1:$BX$482,MATCH("Kärnkraftsandel för ursprungsspecificerad el ()",Miljö!$B$1:$O$1,0),FALSE)</f>
        <v>0</v>
      </c>
      <c r="BJ42">
        <f t="shared" si="13"/>
        <v>0</v>
      </c>
      <c r="BK42" t="str">
        <f>VLOOKUP(B42,Miljö!$B$1:$O$482,MATCH("Fossil andel i procent (%)",Miljö!$B$1:$O$1,0),FALSE)</f>
        <v>ET</v>
      </c>
      <c r="BL42">
        <f t="shared" si="14"/>
        <v>698.76827000000003</v>
      </c>
      <c r="BO42" s="18">
        <f t="shared" si="15"/>
        <v>1.9663171025209831E-2</v>
      </c>
      <c r="BP42" s="18">
        <f t="shared" si="16"/>
        <v>0</v>
      </c>
      <c r="BQ42" s="18">
        <f t="shared" si="17"/>
        <v>0.6302937453070101</v>
      </c>
      <c r="BR42" s="18">
        <f t="shared" si="18"/>
        <v>0.35004308366778014</v>
      </c>
      <c r="BT42" s="27">
        <f t="shared" si="19"/>
        <v>1</v>
      </c>
      <c r="BW42" s="18">
        <f>IF(AP42="ja",VLOOKUP(B42,Miljövärden!$B$2:$H$550,MATCH("Total andel fossilt",Miljövärden!$B$2:$H$2,0),FALSE),"")</f>
        <v>1.9663199999999999E-2</v>
      </c>
      <c r="BZ42" s="28">
        <f t="shared" si="20"/>
        <v>2.8974790167862752E-8</v>
      </c>
      <c r="CA42" s="28">
        <f t="shared" si="21"/>
        <v>0</v>
      </c>
    </row>
    <row r="43" spans="1:79" x14ac:dyDescent="0.25">
      <c r="A43" s="224" t="s">
        <v>243</v>
      </c>
      <c r="B43" s="210" t="s">
        <v>245</v>
      </c>
      <c r="C43" s="121">
        <f>VLOOKUP($B43,'Tillförd energi'!$B$1:$AI$720,MATCH(C$1,'Tillförd energi'!$B$1:$AQ$1,0),FALSE)</f>
        <v>0</v>
      </c>
      <c r="D43" s="121">
        <f>VLOOKUP($B43,'Tillförd energi'!$B$1:$AI$720,MATCH(D$1,'Tillförd energi'!$B$1:$AQ$1,0),FALSE)</f>
        <v>2.76</v>
      </c>
      <c r="E43" s="121">
        <f>VLOOKUP($B43,'Tillförd energi'!$B$1:$AI$720,MATCH(E$1,'Tillförd energi'!$B$1:$AQ$1,0),FALSE)</f>
        <v>0</v>
      </c>
      <c r="F43" s="121">
        <f>VLOOKUP($B43,'Tillförd energi'!$B$1:$AI$720,MATCH(F$1,'Tillförd energi'!$B$1:$AQ$1,0),FALSE)</f>
        <v>0</v>
      </c>
      <c r="G43" s="121">
        <f>VLOOKUP($B43,'Tillförd energi'!$B$1:$AI$720,MATCH(G$1,'Tillförd energi'!$B$1:$AQ$1,0),FALSE)</f>
        <v>0</v>
      </c>
      <c r="H43" s="121">
        <f>VLOOKUP($B43,'Tillförd energi'!$B$1:$AI$720,MATCH(H$1,'Tillförd energi'!$B$1:$AQ$1,0),FALSE)</f>
        <v>0</v>
      </c>
      <c r="I43" s="121">
        <f>VLOOKUP($B43,'Tillförd energi'!$B$1:$AI$720,MATCH(I$1,'Tillförd energi'!$B$1:$AQ$1,0),FALSE)</f>
        <v>0</v>
      </c>
      <c r="J43" s="121">
        <f>VLOOKUP($B43,'Tillförd energi'!$B$1:$AI$720,MATCH(J$1,'Tillförd energi'!$B$1:$AQ$1,0),FALSE)</f>
        <v>0</v>
      </c>
      <c r="K43" s="121">
        <f>VLOOKUP($B43,'Tillförd energi'!$B$1:$AI$720,MATCH(K$1,'Tillförd energi'!$B$1:$AQ$1,0),FALSE)</f>
        <v>0</v>
      </c>
      <c r="L43" s="121">
        <f>VLOOKUP($B43,'Tillförd energi'!$B$1:$AI$720,MATCH(L$1,'Tillförd energi'!$B$1:$AQ$1,0),FALSE)</f>
        <v>0</v>
      </c>
      <c r="M43" s="121">
        <f>VLOOKUP($B43,'Tillförd energi'!$B$1:$AI$720,MATCH(M$1,'Tillförd energi'!$B$1:$AQ$1,0),FALSE)</f>
        <v>0</v>
      </c>
      <c r="N43" s="121">
        <f>VLOOKUP($B43,'Tillförd energi'!$B$1:$AI$720,MATCH(N$1,'Tillförd energi'!$B$1:$AQ$1,0),FALSE)</f>
        <v>0</v>
      </c>
      <c r="O43" s="121">
        <f>VLOOKUP($B43,'Tillförd energi'!$B$1:$AI$720,MATCH(O$1,'Tillförd energi'!$B$1:$AQ$1,0),FALSE)</f>
        <v>0</v>
      </c>
      <c r="P43" s="121">
        <f>VLOOKUP($B43,'Tillförd energi'!$B$1:$AI$720,MATCH(P$1,'Tillförd energi'!$B$1:$AQ$1,0),FALSE)</f>
        <v>0</v>
      </c>
      <c r="Q43" s="121">
        <f>VLOOKUP($B43,'Tillförd energi'!$B$1:$AI$720,MATCH(Q$1,'Tillförd energi'!$B$1:$AQ$1,0),FALSE)</f>
        <v>0</v>
      </c>
      <c r="R43" s="121">
        <f>VLOOKUP($B43,'Tillförd energi'!$B$1:$AI$720,MATCH(R$1,'Tillförd energi'!$B$1:$AQ$1,0),FALSE)</f>
        <v>4.7699999999999996</v>
      </c>
      <c r="S43" s="121">
        <f>VLOOKUP($B43,'Tillförd energi'!$B$1:$AI$720,MATCH(S$1,'Tillförd energi'!$B$1:$AQ$1,0),FALSE)</f>
        <v>17.59</v>
      </c>
      <c r="T43" s="121">
        <f>VLOOKUP($B43,'Tillförd energi'!$B$1:$AI$720,MATCH(T$1,'Tillförd energi'!$B$1:$AQ$1,0),FALSE)</f>
        <v>0</v>
      </c>
      <c r="U43" s="121">
        <f>VLOOKUP($B43,'Tillförd energi'!$B$1:$AI$720,MATCH(U$1,'Tillförd energi'!$B$1:$AQ$1,0),FALSE)</f>
        <v>0</v>
      </c>
      <c r="V43" s="121">
        <f>VLOOKUP($B43,'Tillförd energi'!$B$1:$AI$720,MATCH(V$1,'Tillförd energi'!$B$1:$AQ$1,0),FALSE)</f>
        <v>0</v>
      </c>
      <c r="W43" s="121">
        <f>VLOOKUP($B43,'Tillförd energi'!$B$1:$AI$720,MATCH(W$1,'Tillförd energi'!$B$1:$AQ$1,0),FALSE)</f>
        <v>0</v>
      </c>
      <c r="X43" s="121">
        <f>VLOOKUP($B43,'Tillförd energi'!$B$1:$AI$720,MATCH(X$1,'Tillförd energi'!$B$1:$AQ$1,0),FALSE)</f>
        <v>0</v>
      </c>
      <c r="Y43" s="121">
        <f>VLOOKUP($B43,'Tillförd energi'!$B$1:$AI$720,MATCH(Y$1,'Tillförd energi'!$B$1:$AQ$1,0),FALSE)</f>
        <v>0</v>
      </c>
      <c r="Z43" s="121">
        <f>VLOOKUP($B43,'Tillförd energi'!$B$1:$AI$720,MATCH(Z$1,'Tillförd energi'!$B$1:$AQ$1,0),FALSE)</f>
        <v>0</v>
      </c>
      <c r="AA43" s="121">
        <f>VLOOKUP($B43,'Tillförd energi'!$B$1:$AI$720,MATCH(AA$1,'Tillförd energi'!$B$1:$AQ$1,0),FALSE)</f>
        <v>0</v>
      </c>
      <c r="AB43" s="121">
        <f>VLOOKUP($B43,'Tillförd energi'!$B$1:$AI$720,MATCH(AB$1,'Tillförd energi'!$B$1:$AQ$1,0),FALSE)</f>
        <v>0</v>
      </c>
      <c r="AC43" s="121">
        <f>VLOOKUP($B43,'Tillförd energi'!$B$1:$AI$720,MATCH(AC$1,'Tillförd energi'!$B$1:$AQ$1,0),FALSE)</f>
        <v>0</v>
      </c>
      <c r="AD43" s="121">
        <f>VLOOKUP($B43,'Tillförd energi'!$B$1:$AI$720,MATCH(AD$1,'Tillförd energi'!$B$1:$AQ$1,0),FALSE)</f>
        <v>0</v>
      </c>
      <c r="AE43" s="121">
        <f>VLOOKUP($B43,'Tillförd energi'!$B$1:$AI$720,MATCH(AE$1,'Tillförd energi'!$B$1:$AQ$1,0),FALSE)</f>
        <v>0</v>
      </c>
      <c r="AF43" s="121">
        <f>VLOOKUP($B43,'Tillförd energi'!$B$1:$AI$720,MATCH(AF$1,'Tillförd energi'!$B$1:$AQ$1,0),FALSE)</f>
        <v>0.40100000000000002</v>
      </c>
      <c r="AG43" s="121">
        <f>IFERROR(VLOOKUP(B43,Miljö!$B$1:$AC$550,MATCH("Köpt mängd produktionsspecifik fjärrvärme:",Miljö!$B$1:$AC$1,0),FALSE)/1,0)</f>
        <v>0</v>
      </c>
      <c r="AH43" s="121"/>
      <c r="AI43" s="121">
        <f t="shared" si="0"/>
        <v>25.520999999999997</v>
      </c>
      <c r="AJ43" s="121">
        <f t="shared" si="1"/>
        <v>25.520999999999997</v>
      </c>
      <c r="AK43" s="121">
        <f>IF(ISERROR(1/VLOOKUP($B43,Leveranser!$B$1:$S$499,MATCH("såld värme (gwh)",Leveranser!$B$1:$S$1,0),FALSE)),"",VLOOKUP($B43,Leveranser!$B$1:$S$499,MATCH("såld värme (gwh)",Leveranser!$B$1:$S$1,0),FALSE))</f>
        <v>17.98</v>
      </c>
      <c r="AL43" s="121">
        <f>VLOOKUP($B43,Leveranser!$B$1:$Y$499,MATCH("Totalt såld fjärrvärme till andra fjärrvärmeföretag",Leveranser!$B$1:$AA$1,0),FALSE)</f>
        <v>0</v>
      </c>
      <c r="AM43" s="121">
        <f>IF(ISERROR(1/VLOOKUP($B43,Miljö!$B$1:$S$500,MATCH("Såld mängd produktionsspecifik fjärrvärme (GWh)",Miljö!$B$1:$R$1,0),FALSE)),0,VLOOKUP($B43,Miljö!$B$1:$S$500,MATCH("Såld mängd produktionsspecifik fjärrvärme (GWh)",Miljö!$B$1:$R$1,0),FALSE))</f>
        <v>0</v>
      </c>
      <c r="AN43" s="172">
        <f t="shared" si="2"/>
        <v>0.7045178480467067</v>
      </c>
      <c r="AO43" s="121"/>
      <c r="AP43" s="121" t="str">
        <f>IFERROR(VLOOKUP($B43,Miljövärden!$B$2:$H$550,7,FALSE),"Nej, saknas")</f>
        <v>Ja</v>
      </c>
      <c r="AQ43" s="121" t="str">
        <f>IFERROR(VLOOKUP($B43,Miljövärden!$B$2:$H$550,6,FALSE),"Nej, saknas")</f>
        <v>Ja</v>
      </c>
      <c r="AU43">
        <f t="shared" si="3"/>
        <v>0.40100000000000002</v>
      </c>
      <c r="AV43">
        <f t="shared" si="4"/>
        <v>0</v>
      </c>
      <c r="AW43">
        <f t="shared" si="5"/>
        <v>0</v>
      </c>
      <c r="AX43">
        <f t="shared" si="6"/>
        <v>22.36</v>
      </c>
      <c r="AZ43">
        <f t="shared" si="7"/>
        <v>22.36</v>
      </c>
      <c r="BC43">
        <f t="shared" si="8"/>
        <v>2.76</v>
      </c>
      <c r="BD43">
        <f t="shared" si="9"/>
        <v>0</v>
      </c>
      <c r="BE43">
        <f t="shared" si="10"/>
        <v>22.36</v>
      </c>
      <c r="BF43">
        <f t="shared" si="11"/>
        <v>0</v>
      </c>
      <c r="BG43">
        <f t="shared" si="12"/>
        <v>0.40100000000000002</v>
      </c>
      <c r="BH43">
        <f>VLOOKUP(B43,Miljö!$B$1:$BX$482,MATCH("Fossilandel för ursprungspecificerad el ()",Miljö!$B$1:$I$1,0),FALSE)</f>
        <v>0</v>
      </c>
      <c r="BI43">
        <f>VLOOKUP(B43,Miljö!$B$1:$BX$482,MATCH("Kärnkraftsandel för ursprungsspecificerad el ()",Miljö!$B$1:$O$1,0),FALSE)</f>
        <v>0</v>
      </c>
      <c r="BJ43">
        <f t="shared" si="13"/>
        <v>0</v>
      </c>
      <c r="BK43" t="str">
        <f>VLOOKUP(B43,Miljö!$B$1:$O$482,MATCH("Fossil andel i procent (%)",Miljö!$B$1:$O$1,0),FALSE)</f>
        <v>ET</v>
      </c>
      <c r="BL43">
        <f t="shared" si="14"/>
        <v>25.520999999999997</v>
      </c>
      <c r="BO43" s="18">
        <f>IF(AP43="ja",(BC43+IFERROR(BG43*BH43,0)+IFERROR(BJ43*BK43/100,0))/$BL43,"")</f>
        <v>0.10814623251439991</v>
      </c>
      <c r="BP43" s="18">
        <f t="shared" si="16"/>
        <v>0</v>
      </c>
      <c r="BQ43" s="18">
        <f t="shared" si="17"/>
        <v>0.89185376748560019</v>
      </c>
      <c r="BR43" s="18">
        <f t="shared" si="18"/>
        <v>0</v>
      </c>
      <c r="BT43" s="27">
        <f t="shared" si="19"/>
        <v>1</v>
      </c>
      <c r="BW43" s="18">
        <f>IF(AP43="ja",VLOOKUP(B43,Miljövärden!$B$2:$H$550,MATCH("Total andel fossilt",Miljövärden!$B$2:$H$2,0),FALSE),"")</f>
        <v>0.10814600000000001</v>
      </c>
      <c r="BZ43" s="28">
        <f t="shared" si="20"/>
        <v>-2.3251439990046308E-7</v>
      </c>
      <c r="CA43" s="28">
        <f t="shared" si="21"/>
        <v>0</v>
      </c>
    </row>
    <row r="44" spans="1:79" x14ac:dyDescent="0.25">
      <c r="A44" s="224" t="s">
        <v>246</v>
      </c>
      <c r="B44" s="210" t="s">
        <v>247</v>
      </c>
      <c r="C44" s="121">
        <f>VLOOKUP($B44,'Tillförd energi'!$B$1:$AI$720,MATCH(C$1,'Tillförd energi'!$B$1:$AQ$1,0),FALSE)</f>
        <v>0</v>
      </c>
      <c r="D44" s="121">
        <f>VLOOKUP($B44,'Tillförd energi'!$B$1:$AI$720,MATCH(D$1,'Tillförd energi'!$B$1:$AQ$1,0),FALSE)</f>
        <v>0</v>
      </c>
      <c r="E44" s="121">
        <f>VLOOKUP($B44,'Tillförd energi'!$B$1:$AI$720,MATCH(E$1,'Tillförd energi'!$B$1:$AQ$1,0),FALSE)</f>
        <v>0</v>
      </c>
      <c r="F44" s="121">
        <f>VLOOKUP($B44,'Tillförd energi'!$B$1:$AI$720,MATCH(F$1,'Tillförd energi'!$B$1:$AQ$1,0),FALSE)</f>
        <v>0</v>
      </c>
      <c r="G44" s="121">
        <f>VLOOKUP($B44,'Tillförd energi'!$B$1:$AI$720,MATCH(G$1,'Tillförd energi'!$B$1:$AQ$1,0),FALSE)</f>
        <v>0</v>
      </c>
      <c r="H44" s="121">
        <f>VLOOKUP($B44,'Tillförd energi'!$B$1:$AI$720,MATCH(H$1,'Tillförd energi'!$B$1:$AQ$1,0),FALSE)</f>
        <v>0</v>
      </c>
      <c r="I44" s="121">
        <f>VLOOKUP($B44,'Tillförd energi'!$B$1:$AI$720,MATCH(I$1,'Tillförd energi'!$B$1:$AQ$1,0),FALSE)</f>
        <v>0</v>
      </c>
      <c r="J44" s="121">
        <f>VLOOKUP($B44,'Tillförd energi'!$B$1:$AI$720,MATCH(J$1,'Tillförd energi'!$B$1:$AQ$1,0),FALSE)</f>
        <v>0</v>
      </c>
      <c r="K44" s="121">
        <f>VLOOKUP($B44,'Tillförd energi'!$B$1:$AI$720,MATCH(K$1,'Tillförd energi'!$B$1:$AQ$1,0),FALSE)</f>
        <v>0</v>
      </c>
      <c r="L44" s="121">
        <f>VLOOKUP($B44,'Tillförd energi'!$B$1:$AI$720,MATCH(L$1,'Tillförd energi'!$B$1:$AQ$1,0),FALSE)</f>
        <v>0</v>
      </c>
      <c r="M44" s="121">
        <f>VLOOKUP($B44,'Tillförd energi'!$B$1:$AI$720,MATCH(M$1,'Tillförd energi'!$B$1:$AQ$1,0),FALSE)</f>
        <v>0</v>
      </c>
      <c r="N44" s="121">
        <f>VLOOKUP($B44,'Tillförd energi'!$B$1:$AI$720,MATCH(N$1,'Tillförd energi'!$B$1:$AQ$1,0),FALSE)</f>
        <v>0</v>
      </c>
      <c r="O44" s="121">
        <f>VLOOKUP($B44,'Tillförd energi'!$B$1:$AI$720,MATCH(O$1,'Tillförd energi'!$B$1:$AQ$1,0),FALSE)</f>
        <v>0</v>
      </c>
      <c r="P44" s="121">
        <f>VLOOKUP($B44,'Tillförd energi'!$B$1:$AI$720,MATCH(P$1,'Tillförd energi'!$B$1:$AQ$1,0),FALSE)</f>
        <v>0</v>
      </c>
      <c r="Q44" s="121">
        <f>VLOOKUP($B44,'Tillförd energi'!$B$1:$AI$720,MATCH(Q$1,'Tillförd energi'!$B$1:$AQ$1,0),FALSE)</f>
        <v>0</v>
      </c>
      <c r="R44" s="121">
        <f>VLOOKUP($B44,'Tillförd energi'!$B$1:$AI$720,MATCH(R$1,'Tillförd energi'!$B$1:$AQ$1,0),FALSE)</f>
        <v>0</v>
      </c>
      <c r="S44" s="121">
        <f>VLOOKUP($B44,'Tillförd energi'!$B$1:$AI$720,MATCH(S$1,'Tillförd energi'!$B$1:$AQ$1,0),FALSE)</f>
        <v>0</v>
      </c>
      <c r="T44" s="121">
        <f>VLOOKUP($B44,'Tillförd energi'!$B$1:$AI$720,MATCH(T$1,'Tillförd energi'!$B$1:$AQ$1,0),FALSE)</f>
        <v>0</v>
      </c>
      <c r="U44" s="121">
        <f>VLOOKUP($B44,'Tillförd energi'!$B$1:$AI$720,MATCH(U$1,'Tillförd energi'!$B$1:$AQ$1,0),FALSE)</f>
        <v>0</v>
      </c>
      <c r="V44" s="121">
        <f>VLOOKUP($B44,'Tillförd energi'!$B$1:$AI$720,MATCH(V$1,'Tillförd energi'!$B$1:$AQ$1,0),FALSE)</f>
        <v>0</v>
      </c>
      <c r="W44" s="121">
        <f>VLOOKUP($B44,'Tillförd energi'!$B$1:$AI$720,MATCH(W$1,'Tillförd energi'!$B$1:$AQ$1,0),FALSE)</f>
        <v>0</v>
      </c>
      <c r="X44" s="121">
        <f>VLOOKUP($B44,'Tillförd energi'!$B$1:$AI$720,MATCH(X$1,'Tillförd energi'!$B$1:$AQ$1,0),FALSE)</f>
        <v>0</v>
      </c>
      <c r="Y44" s="121">
        <f>VLOOKUP($B44,'Tillförd energi'!$B$1:$AI$720,MATCH(Y$1,'Tillförd energi'!$B$1:$AQ$1,0),FALSE)</f>
        <v>0</v>
      </c>
      <c r="Z44" s="121">
        <f>VLOOKUP($B44,'Tillförd energi'!$B$1:$AI$720,MATCH(Z$1,'Tillförd energi'!$B$1:$AQ$1,0),FALSE)</f>
        <v>0</v>
      </c>
      <c r="AA44" s="121">
        <f>VLOOKUP($B44,'Tillförd energi'!$B$1:$AI$720,MATCH(AA$1,'Tillförd energi'!$B$1:$AQ$1,0),FALSE)</f>
        <v>0</v>
      </c>
      <c r="AB44" s="121">
        <f>VLOOKUP($B44,'Tillförd energi'!$B$1:$AI$720,MATCH(AB$1,'Tillförd energi'!$B$1:$AQ$1,0),FALSE)</f>
        <v>0</v>
      </c>
      <c r="AC44" s="121">
        <f>VLOOKUP($B44,'Tillförd energi'!$B$1:$AI$720,MATCH(AC$1,'Tillförd energi'!$B$1:$AQ$1,0),FALSE)</f>
        <v>0</v>
      </c>
      <c r="AD44" s="121">
        <f>VLOOKUP($B44,'Tillförd energi'!$B$1:$AI$720,MATCH(AD$1,'Tillförd energi'!$B$1:$AQ$1,0),FALSE)</f>
        <v>0</v>
      </c>
      <c r="AE44" s="121">
        <f>VLOOKUP($B44,'Tillförd energi'!$B$1:$AI$720,MATCH(AE$1,'Tillförd energi'!$B$1:$AQ$1,0),FALSE)</f>
        <v>0</v>
      </c>
      <c r="AF44" s="121">
        <f>VLOOKUP($B44,'Tillförd energi'!$B$1:$AI$720,MATCH(AF$1,'Tillförd energi'!$B$1:$AQ$1,0),FALSE)</f>
        <v>0</v>
      </c>
      <c r="AG44" s="121">
        <f>IFERROR(VLOOKUP(B44,Miljö!$B$1:$AC$550,MATCH("Köpt mängd produktionsspecifik fjärrvärme:",Miljö!$B$1:$AC$1,0),FALSE)/1,0)</f>
        <v>0</v>
      </c>
      <c r="AH44" s="121"/>
      <c r="AI44" s="121">
        <f t="shared" si="0"/>
        <v>0</v>
      </c>
      <c r="AJ44" s="121">
        <f t="shared" si="1"/>
        <v>0</v>
      </c>
      <c r="AK44" s="121" t="str">
        <f>IF(ISERROR(1/VLOOKUP($B44,Leveranser!$B$1:$S$499,MATCH("såld värme (gwh)",Leveranser!$B$1:$S$1,0),FALSE)),"",VLOOKUP($B44,Leveranser!$B$1:$S$499,MATCH("såld värme (gwh)",Leveranser!$B$1:$S$1,0),FALSE))</f>
        <v/>
      </c>
      <c r="AL44" s="121">
        <f>VLOOKUP($B44,Leveranser!$B$1:$Y$499,MATCH("Totalt såld fjärrvärme till andra fjärrvärmeföretag",Leveranser!$B$1:$AA$1,0),FALSE)</f>
        <v>0</v>
      </c>
      <c r="AM44" s="121">
        <f>IF(ISERROR(1/VLOOKUP($B44,Miljö!$B$1:$S$500,MATCH("Såld mängd produktionsspecifik fjärrvärme (GWh)",Miljö!$B$1:$R$1,0),FALSE)),0,VLOOKUP($B44,Miljö!$B$1:$S$500,MATCH("Såld mängd produktionsspecifik fjärrvärme (GWh)",Miljö!$B$1:$R$1,0),FALSE))</f>
        <v>0</v>
      </c>
      <c r="AN44" s="172" t="str">
        <f t="shared" si="2"/>
        <v/>
      </c>
      <c r="AO44" s="121"/>
      <c r="AP44" s="121" t="str">
        <f>IFERROR(VLOOKUP($B44,Miljövärden!$B$2:$H$550,7,FALSE),"Nej, saknas")</f>
        <v>Nej</v>
      </c>
      <c r="AQ44" s="121" t="str">
        <f>IFERROR(VLOOKUP($B44,Miljövärden!$B$2:$H$550,6,FALSE),"Nej, saknas")</f>
        <v>Nej</v>
      </c>
      <c r="AU44">
        <f t="shared" si="3"/>
        <v>0</v>
      </c>
      <c r="AV44">
        <f t="shared" si="4"/>
        <v>0</v>
      </c>
      <c r="AW44">
        <f t="shared" si="5"/>
        <v>0</v>
      </c>
      <c r="AX44">
        <f t="shared" si="6"/>
        <v>0</v>
      </c>
      <c r="AZ44">
        <f t="shared" si="7"/>
        <v>0</v>
      </c>
      <c r="BC44">
        <f t="shared" si="8"/>
        <v>0</v>
      </c>
      <c r="BD44">
        <f t="shared" si="9"/>
        <v>0</v>
      </c>
      <c r="BE44">
        <f t="shared" si="10"/>
        <v>0</v>
      </c>
      <c r="BF44">
        <f t="shared" si="11"/>
        <v>0</v>
      </c>
      <c r="BG44">
        <f t="shared" si="12"/>
        <v>0</v>
      </c>
      <c r="BH44" t="str">
        <f>VLOOKUP(B44,Miljö!$B$1:$BX$482,MATCH("Fossilandel för ursprungspecificerad el ()",Miljö!$B$1:$I$1,0),FALSE)</f>
        <v>-</v>
      </c>
      <c r="BI44" t="str">
        <f>VLOOKUP(B44,Miljö!$B$1:$BX$482,MATCH("Kärnkraftsandel för ursprungsspecificerad el ()",Miljö!$B$1:$O$1,0),FALSE)</f>
        <v>-</v>
      </c>
      <c r="BJ44">
        <f t="shared" si="13"/>
        <v>0</v>
      </c>
      <c r="BK44" t="str">
        <f>VLOOKUP(B44,Miljö!$B$1:$O$482,MATCH("Fossil andel i procent (%)",Miljö!$B$1:$O$1,0),FALSE)</f>
        <v>-</v>
      </c>
      <c r="BL44">
        <f t="shared" si="14"/>
        <v>0</v>
      </c>
      <c r="BO44" s="18" t="str">
        <f t="shared" si="15"/>
        <v/>
      </c>
      <c r="BP44" s="18" t="str">
        <f t="shared" si="16"/>
        <v/>
      </c>
      <c r="BQ44" s="18" t="str">
        <f t="shared" si="17"/>
        <v/>
      </c>
      <c r="BR44" s="18" t="str">
        <f t="shared" si="18"/>
        <v/>
      </c>
      <c r="BT44" s="27">
        <f t="shared" si="19"/>
        <v>0</v>
      </c>
      <c r="BW44" s="18" t="str">
        <f>IF(AP44="ja",VLOOKUP(B44,Miljövärden!$B$2:$H$550,MATCH("Total andel fossilt",Miljövärden!$B$2:$H$2,0),FALSE),"")</f>
        <v/>
      </c>
      <c r="BZ44" s="28" t="str">
        <f t="shared" si="20"/>
        <v/>
      </c>
      <c r="CA44" s="28" t="str">
        <f t="shared" si="21"/>
        <v/>
      </c>
    </row>
    <row r="45" spans="1:79" x14ac:dyDescent="0.25">
      <c r="A45" s="224" t="s">
        <v>248</v>
      </c>
      <c r="B45" s="210" t="s">
        <v>69</v>
      </c>
      <c r="C45" s="121">
        <f>VLOOKUP($B45,'Tillförd energi'!$B$1:$AI$720,MATCH(C$1,'Tillförd energi'!$B$1:$AQ$1,0),FALSE)</f>
        <v>0</v>
      </c>
      <c r="D45" s="121">
        <f>VLOOKUP($B45,'Tillförd energi'!$B$1:$AI$720,MATCH(D$1,'Tillförd energi'!$B$1:$AQ$1,0),FALSE)</f>
        <v>0.19600000000000001</v>
      </c>
      <c r="E45" s="121">
        <f>VLOOKUP($B45,'Tillförd energi'!$B$1:$AI$720,MATCH(E$1,'Tillförd energi'!$B$1:$AQ$1,0),FALSE)</f>
        <v>0</v>
      </c>
      <c r="F45" s="121">
        <f>VLOOKUP($B45,'Tillförd energi'!$B$1:$AI$720,MATCH(F$1,'Tillförd energi'!$B$1:$AQ$1,0),FALSE)</f>
        <v>0</v>
      </c>
      <c r="G45" s="121">
        <f>VLOOKUP($B45,'Tillförd energi'!$B$1:$AI$720,MATCH(G$1,'Tillförd energi'!$B$1:$AQ$1,0),FALSE)</f>
        <v>0</v>
      </c>
      <c r="H45" s="121">
        <f>VLOOKUP($B45,'Tillförd energi'!$B$1:$AI$720,MATCH(H$1,'Tillförd energi'!$B$1:$AQ$1,0),FALSE)</f>
        <v>0</v>
      </c>
      <c r="I45" s="121">
        <f>VLOOKUP($B45,'Tillförd energi'!$B$1:$AI$720,MATCH(I$1,'Tillförd energi'!$B$1:$AQ$1,0),FALSE)</f>
        <v>0</v>
      </c>
      <c r="J45" s="121">
        <f>VLOOKUP($B45,'Tillförd energi'!$B$1:$AI$720,MATCH(J$1,'Tillförd energi'!$B$1:$AQ$1,0),FALSE)</f>
        <v>0</v>
      </c>
      <c r="K45" s="121">
        <f>VLOOKUP($B45,'Tillförd energi'!$B$1:$AI$720,MATCH(K$1,'Tillförd energi'!$B$1:$AQ$1,0),FALSE)</f>
        <v>0</v>
      </c>
      <c r="L45" s="121">
        <f>VLOOKUP($B45,'Tillförd energi'!$B$1:$AI$720,MATCH(L$1,'Tillförd energi'!$B$1:$AQ$1,0),FALSE)</f>
        <v>0</v>
      </c>
      <c r="M45" s="121">
        <f>VLOOKUP($B45,'Tillförd energi'!$B$1:$AI$720,MATCH(M$1,'Tillförd energi'!$B$1:$AQ$1,0),FALSE)</f>
        <v>0</v>
      </c>
      <c r="N45" s="121">
        <f>VLOOKUP($B45,'Tillförd energi'!$B$1:$AI$720,MATCH(N$1,'Tillförd energi'!$B$1:$AQ$1,0),FALSE)</f>
        <v>0</v>
      </c>
      <c r="O45" s="121">
        <f>VLOOKUP($B45,'Tillförd energi'!$B$1:$AI$720,MATCH(O$1,'Tillförd energi'!$B$1:$AQ$1,0),FALSE)</f>
        <v>10.72</v>
      </c>
      <c r="P45" s="121">
        <f>VLOOKUP($B45,'Tillförd energi'!$B$1:$AI$720,MATCH(P$1,'Tillförd energi'!$B$1:$AQ$1,0),FALSE)</f>
        <v>2.2770000000000001</v>
      </c>
      <c r="Q45" s="121">
        <f>VLOOKUP($B45,'Tillförd energi'!$B$1:$AI$720,MATCH(Q$1,'Tillförd energi'!$B$1:$AQ$1,0),FALSE)</f>
        <v>0</v>
      </c>
      <c r="R45" s="121">
        <f>VLOOKUP($B45,'Tillförd energi'!$B$1:$AI$720,MATCH(R$1,'Tillförd energi'!$B$1:$AQ$1,0),FALSE)</f>
        <v>0.60199999999999998</v>
      </c>
      <c r="S45" s="121">
        <f>VLOOKUP($B45,'Tillförd energi'!$B$1:$AI$720,MATCH(S$1,'Tillförd energi'!$B$1:$AQ$1,0),FALSE)</f>
        <v>0</v>
      </c>
      <c r="T45" s="121">
        <f>VLOOKUP($B45,'Tillförd energi'!$B$1:$AI$720,MATCH(T$1,'Tillförd energi'!$B$1:$AQ$1,0),FALSE)</f>
        <v>0</v>
      </c>
      <c r="U45" s="121">
        <f>VLOOKUP($B45,'Tillförd energi'!$B$1:$AI$720,MATCH(U$1,'Tillförd energi'!$B$1:$AQ$1,0),FALSE)</f>
        <v>0</v>
      </c>
      <c r="V45" s="121">
        <f>VLOOKUP($B45,'Tillförd energi'!$B$1:$AI$720,MATCH(V$1,'Tillförd energi'!$B$1:$AQ$1,0),FALSE)</f>
        <v>0</v>
      </c>
      <c r="W45" s="121">
        <f>VLOOKUP($B45,'Tillförd energi'!$B$1:$AI$720,MATCH(W$1,'Tillförd energi'!$B$1:$AQ$1,0),FALSE)</f>
        <v>0</v>
      </c>
      <c r="X45" s="121">
        <f>VLOOKUP($B45,'Tillförd energi'!$B$1:$AI$720,MATCH(X$1,'Tillförd energi'!$B$1:$AQ$1,0),FALSE)</f>
        <v>0</v>
      </c>
      <c r="Y45" s="121">
        <f>VLOOKUP($B45,'Tillförd energi'!$B$1:$AI$720,MATCH(Y$1,'Tillförd energi'!$B$1:$AQ$1,0),FALSE)</f>
        <v>0</v>
      </c>
      <c r="Z45" s="121">
        <f>VLOOKUP($B45,'Tillförd energi'!$B$1:$AI$720,MATCH(Z$1,'Tillförd energi'!$B$1:$AQ$1,0),FALSE)</f>
        <v>0.29599999999999999</v>
      </c>
      <c r="AA45" s="121">
        <f>VLOOKUP($B45,'Tillförd energi'!$B$1:$AI$720,MATCH(AA$1,'Tillförd energi'!$B$1:$AQ$1,0),FALSE)</f>
        <v>0</v>
      </c>
      <c r="AB45" s="121">
        <f>VLOOKUP($B45,'Tillförd energi'!$B$1:$AI$720,MATCH(AB$1,'Tillförd energi'!$B$1:$AQ$1,0),FALSE)</f>
        <v>0</v>
      </c>
      <c r="AC45" s="121">
        <f>VLOOKUP($B45,'Tillförd energi'!$B$1:$AI$720,MATCH(AC$1,'Tillförd energi'!$B$1:$AQ$1,0),FALSE)</f>
        <v>0</v>
      </c>
      <c r="AD45" s="121">
        <f>VLOOKUP($B45,'Tillförd energi'!$B$1:$AI$720,MATCH(AD$1,'Tillförd energi'!$B$1:$AQ$1,0),FALSE)</f>
        <v>0</v>
      </c>
      <c r="AE45" s="121">
        <f>VLOOKUP($B45,'Tillförd energi'!$B$1:$AI$720,MATCH(AE$1,'Tillförd energi'!$B$1:$AQ$1,0),FALSE)</f>
        <v>0</v>
      </c>
      <c r="AF45" s="121">
        <f>VLOOKUP($B45,'Tillförd energi'!$B$1:$AI$720,MATCH(AF$1,'Tillförd energi'!$B$1:$AQ$1,0),FALSE)</f>
        <v>0.33578999999999998</v>
      </c>
      <c r="AG45" s="121">
        <f>IFERROR(VLOOKUP(B45,Miljö!$B$1:$AC$550,MATCH("Köpt mängd produktionsspecifik fjärrvärme:",Miljö!$B$1:$AC$1,0),FALSE)/1,0)</f>
        <v>0</v>
      </c>
      <c r="AH45" s="121"/>
      <c r="AI45" s="121">
        <f t="shared" si="0"/>
        <v>14.42679</v>
      </c>
      <c r="AJ45" s="121">
        <f t="shared" si="1"/>
        <v>14.42679</v>
      </c>
      <c r="AK45" s="121">
        <f>IF(ISERROR(1/VLOOKUP($B45,Leveranser!$B$1:$S$499,MATCH("såld värme (gwh)",Leveranser!$B$1:$S$1,0),FALSE)),"",VLOOKUP($B45,Leveranser!$B$1:$S$499,MATCH("såld värme (gwh)",Leveranser!$B$1:$S$1,0),FALSE))</f>
        <v>11.193</v>
      </c>
      <c r="AL45" s="121">
        <f>VLOOKUP($B45,Leveranser!$B$1:$Y$499,MATCH("Totalt såld fjärrvärme till andra fjärrvärmeföretag",Leveranser!$B$1:$AA$1,0),FALSE)</f>
        <v>0</v>
      </c>
      <c r="AM45" s="121">
        <f>IF(ISERROR(1/VLOOKUP($B45,Miljö!$B$1:$S$500,MATCH("Såld mängd produktionsspecifik fjärrvärme (GWh)",Miljö!$B$1:$R$1,0),FALSE)),0,VLOOKUP($B45,Miljö!$B$1:$S$500,MATCH("Såld mängd produktionsspecifik fjärrvärme (GWh)",Miljö!$B$1:$R$1,0),FALSE))</f>
        <v>0</v>
      </c>
      <c r="AN45" s="172">
        <f t="shared" si="2"/>
        <v>0.77584826562249809</v>
      </c>
      <c r="AO45" s="121"/>
      <c r="AP45" s="121" t="str">
        <f>IFERROR(VLOOKUP($B45,Miljövärden!$B$2:$H$550,7,FALSE),"Nej, saknas")</f>
        <v>Ja</v>
      </c>
      <c r="AQ45" s="121" t="str">
        <f>IFERROR(VLOOKUP($B45,Miljövärden!$B$2:$H$550,6,FALSE),"Nej, saknas")</f>
        <v>Nej</v>
      </c>
      <c r="AU45">
        <f t="shared" si="3"/>
        <v>0.63178999999999996</v>
      </c>
      <c r="AV45">
        <f t="shared" si="4"/>
        <v>0</v>
      </c>
      <c r="AW45">
        <f t="shared" si="5"/>
        <v>12.997</v>
      </c>
      <c r="AX45">
        <f t="shared" si="6"/>
        <v>0.60199999999999998</v>
      </c>
      <c r="AZ45">
        <f t="shared" si="7"/>
        <v>13.599</v>
      </c>
      <c r="BC45">
        <f t="shared" si="8"/>
        <v>0.19600000000000001</v>
      </c>
      <c r="BD45">
        <f t="shared" si="9"/>
        <v>0</v>
      </c>
      <c r="BE45">
        <f t="shared" si="10"/>
        <v>13.599</v>
      </c>
      <c r="BF45">
        <f t="shared" si="11"/>
        <v>0</v>
      </c>
      <c r="BG45">
        <f t="shared" si="12"/>
        <v>0.63178999999999996</v>
      </c>
      <c r="BH45">
        <f>VLOOKUP(B45,Miljö!$B$1:$BX$482,MATCH("Fossilandel för ursprungspecificerad el ()",Miljö!$B$1:$I$1,0),FALSE)</f>
        <v>0.43</v>
      </c>
      <c r="BI45">
        <f>VLOOKUP(B45,Miljö!$B$1:$BX$482,MATCH("Kärnkraftsandel för ursprungsspecificerad el ()",Miljö!$B$1:$O$1,0),FALSE)</f>
        <v>0.40550000000000003</v>
      </c>
      <c r="BJ45">
        <f t="shared" si="13"/>
        <v>0</v>
      </c>
      <c r="BK45" t="str">
        <f>VLOOKUP(B45,Miljö!$B$1:$O$482,MATCH("Fossil andel i procent (%)",Miljö!$B$1:$O$1,0),FALSE)</f>
        <v>ET</v>
      </c>
      <c r="BL45">
        <f t="shared" si="14"/>
        <v>14.42679</v>
      </c>
      <c r="BO45" s="18">
        <f>IF(AP45="ja",(BC45+IFERROR(BG45*BH45,0)+IFERROR(BJ45*BK45/100,0))/$BL45,"")</f>
        <v>3.241675383089377E-2</v>
      </c>
      <c r="BP45" s="18">
        <f t="shared" si="16"/>
        <v>1.7757993635451823E-2</v>
      </c>
      <c r="BQ45" s="18">
        <f t="shared" si="17"/>
        <v>0.94982525253365435</v>
      </c>
      <c r="BR45" s="18">
        <f t="shared" si="18"/>
        <v>0</v>
      </c>
      <c r="BT45" s="27">
        <f t="shared" si="19"/>
        <v>1</v>
      </c>
      <c r="BW45" s="18">
        <f>IF(AP45="ja",VLOOKUP(B45,Miljövärden!$B$2:$H$550,MATCH("Total andel fossilt",Miljövärden!$B$2:$H$2,0),FALSE),"")</f>
        <v>3.2416800000000003E-2</v>
      </c>
      <c r="BZ45" s="28">
        <f t="shared" si="20"/>
        <v>4.6169106232563095E-8</v>
      </c>
      <c r="CA45" s="28">
        <f t="shared" si="21"/>
        <v>0</v>
      </c>
    </row>
    <row r="46" spans="1:79" x14ac:dyDescent="0.25">
      <c r="A46" s="224" t="s">
        <v>249</v>
      </c>
      <c r="B46" s="210" t="s">
        <v>250</v>
      </c>
      <c r="C46" s="121">
        <f>VLOOKUP($B46,'Tillförd energi'!$B$1:$AI$720,MATCH(C$1,'Tillförd energi'!$B$1:$AQ$1,0),FALSE)</f>
        <v>0</v>
      </c>
      <c r="D46" s="121">
        <f>VLOOKUP($B46,'Tillförd energi'!$B$1:$AI$720,MATCH(D$1,'Tillförd energi'!$B$1:$AQ$1,0),FALSE)</f>
        <v>7.8409999999999994E-2</v>
      </c>
      <c r="E46" s="121">
        <f>VLOOKUP($B46,'Tillförd energi'!$B$1:$AI$720,MATCH(E$1,'Tillförd energi'!$B$1:$AQ$1,0),FALSE)</f>
        <v>0</v>
      </c>
      <c r="F46" s="121">
        <f>VLOOKUP($B46,'Tillförd energi'!$B$1:$AI$720,MATCH(F$1,'Tillförd energi'!$B$1:$AQ$1,0),FALSE)</f>
        <v>0</v>
      </c>
      <c r="G46" s="121">
        <f>VLOOKUP($B46,'Tillförd energi'!$B$1:$AI$720,MATCH(G$1,'Tillförd energi'!$B$1:$AQ$1,0),FALSE)</f>
        <v>0</v>
      </c>
      <c r="H46" s="121">
        <f>VLOOKUP($B46,'Tillförd energi'!$B$1:$AI$720,MATCH(H$1,'Tillförd energi'!$B$1:$AQ$1,0),FALSE)</f>
        <v>0</v>
      </c>
      <c r="I46" s="121">
        <f>VLOOKUP($B46,'Tillförd energi'!$B$1:$AI$720,MATCH(I$1,'Tillförd energi'!$B$1:$AQ$1,0),FALSE)</f>
        <v>0</v>
      </c>
      <c r="J46" s="121">
        <f>VLOOKUP($B46,'Tillförd energi'!$B$1:$AI$720,MATCH(J$1,'Tillförd energi'!$B$1:$AQ$1,0),FALSE)</f>
        <v>0</v>
      </c>
      <c r="K46" s="121">
        <f>VLOOKUP($B46,'Tillförd energi'!$B$1:$AI$720,MATCH(K$1,'Tillförd energi'!$B$1:$AQ$1,0),FALSE)</f>
        <v>0</v>
      </c>
      <c r="L46" s="121">
        <f>VLOOKUP($B46,'Tillförd energi'!$B$1:$AI$720,MATCH(L$1,'Tillförd energi'!$B$1:$AQ$1,0),FALSE)</f>
        <v>0</v>
      </c>
      <c r="M46" s="121">
        <f>VLOOKUP($B46,'Tillförd energi'!$B$1:$AI$720,MATCH(M$1,'Tillförd energi'!$B$1:$AQ$1,0),FALSE)</f>
        <v>0</v>
      </c>
      <c r="N46" s="121">
        <f>VLOOKUP($B46,'Tillförd energi'!$B$1:$AI$720,MATCH(N$1,'Tillförd energi'!$B$1:$AQ$1,0),FALSE)</f>
        <v>0</v>
      </c>
      <c r="O46" s="121">
        <f>VLOOKUP($B46,'Tillförd energi'!$B$1:$AI$720,MATCH(O$1,'Tillförd energi'!$B$1:$AQ$1,0),FALSE)</f>
        <v>0</v>
      </c>
      <c r="P46" s="121">
        <f>VLOOKUP($B46,'Tillförd energi'!$B$1:$AI$720,MATCH(P$1,'Tillförd energi'!$B$1:$AQ$1,0),FALSE)</f>
        <v>6.1292400000000002</v>
      </c>
      <c r="Q46" s="121">
        <f>VLOOKUP($B46,'Tillförd energi'!$B$1:$AI$720,MATCH(Q$1,'Tillförd energi'!$B$1:$AQ$1,0),FALSE)</f>
        <v>0</v>
      </c>
      <c r="R46" s="121">
        <f>VLOOKUP($B46,'Tillförd energi'!$B$1:$AI$720,MATCH(R$1,'Tillförd energi'!$B$1:$AQ$1,0),FALSE)</f>
        <v>0</v>
      </c>
      <c r="S46" s="121">
        <f>VLOOKUP($B46,'Tillförd energi'!$B$1:$AI$720,MATCH(S$1,'Tillförd energi'!$B$1:$AQ$1,0),FALSE)</f>
        <v>0</v>
      </c>
      <c r="T46" s="121">
        <f>VLOOKUP($B46,'Tillförd energi'!$B$1:$AI$720,MATCH(T$1,'Tillförd energi'!$B$1:$AQ$1,0),FALSE)</f>
        <v>0</v>
      </c>
      <c r="U46" s="121">
        <f>VLOOKUP($B46,'Tillförd energi'!$B$1:$AI$720,MATCH(U$1,'Tillförd energi'!$B$1:$AQ$1,0),FALSE)</f>
        <v>0</v>
      </c>
      <c r="V46" s="121">
        <f>VLOOKUP($B46,'Tillförd energi'!$B$1:$AI$720,MATCH(V$1,'Tillförd energi'!$B$1:$AQ$1,0),FALSE)</f>
        <v>0</v>
      </c>
      <c r="W46" s="121">
        <f>VLOOKUP($B46,'Tillförd energi'!$B$1:$AI$720,MATCH(W$1,'Tillförd energi'!$B$1:$AQ$1,0),FALSE)</f>
        <v>0.99819999999999998</v>
      </c>
      <c r="X46" s="121">
        <f>VLOOKUP($B46,'Tillförd energi'!$B$1:$AI$720,MATCH(X$1,'Tillförd energi'!$B$1:$AQ$1,0),FALSE)</f>
        <v>0</v>
      </c>
      <c r="Y46" s="121">
        <f>VLOOKUP($B46,'Tillförd energi'!$B$1:$AI$720,MATCH(Y$1,'Tillförd energi'!$B$1:$AQ$1,0),FALSE)</f>
        <v>0</v>
      </c>
      <c r="Z46" s="121">
        <f>VLOOKUP($B46,'Tillförd energi'!$B$1:$AI$720,MATCH(Z$1,'Tillförd energi'!$B$1:$AQ$1,0),FALSE)</f>
        <v>0</v>
      </c>
      <c r="AA46" s="121">
        <f>VLOOKUP($B46,'Tillförd energi'!$B$1:$AI$720,MATCH(AA$1,'Tillförd energi'!$B$1:$AQ$1,0),FALSE)</f>
        <v>0</v>
      </c>
      <c r="AB46" s="121">
        <f>VLOOKUP($B46,'Tillförd energi'!$B$1:$AI$720,MATCH(AB$1,'Tillförd energi'!$B$1:$AQ$1,0),FALSE)</f>
        <v>0</v>
      </c>
      <c r="AC46" s="121">
        <f>VLOOKUP($B46,'Tillförd energi'!$B$1:$AI$720,MATCH(AC$1,'Tillförd energi'!$B$1:$AQ$1,0),FALSE)</f>
        <v>0</v>
      </c>
      <c r="AD46" s="121">
        <f>VLOOKUP($B46,'Tillförd energi'!$B$1:$AI$720,MATCH(AD$1,'Tillförd energi'!$B$1:$AQ$1,0),FALSE)</f>
        <v>0</v>
      </c>
      <c r="AE46" s="121">
        <f>VLOOKUP($B46,'Tillförd energi'!$B$1:$AI$720,MATCH(AE$1,'Tillförd energi'!$B$1:$AQ$1,0),FALSE)</f>
        <v>0</v>
      </c>
      <c r="AF46" s="121">
        <f>VLOOKUP($B46,'Tillförd energi'!$B$1:$AI$720,MATCH(AF$1,'Tillförd energi'!$B$1:$AQ$1,0),FALSE)</f>
        <v>0.13700000000000001</v>
      </c>
      <c r="AG46" s="121">
        <f>IFERROR(VLOOKUP(B46,Miljö!$B$1:$AC$550,MATCH("Köpt mängd produktionsspecifik fjärrvärme:",Miljö!$B$1:$AC$1,0),FALSE)/1,0)</f>
        <v>0</v>
      </c>
      <c r="AH46" s="121"/>
      <c r="AI46" s="121">
        <f t="shared" si="0"/>
        <v>7.3428500000000003</v>
      </c>
      <c r="AJ46" s="121">
        <f t="shared" si="1"/>
        <v>7.3428500000000003</v>
      </c>
      <c r="AK46" s="121">
        <f>IF(ISERROR(1/VLOOKUP($B46,Leveranser!$B$1:$S$499,MATCH("såld värme (gwh)",Leveranser!$B$1:$S$1,0),FALSE)),"",VLOOKUP($B46,Leveranser!$B$1:$S$499,MATCH("såld värme (gwh)",Leveranser!$B$1:$S$1,0),FALSE))</f>
        <v>4.5830000000000002</v>
      </c>
      <c r="AL46" s="121">
        <f>VLOOKUP($B46,Leveranser!$B$1:$Y$499,MATCH("Totalt såld fjärrvärme till andra fjärrvärmeföretag",Leveranser!$B$1:$AA$1,0),FALSE)</f>
        <v>0</v>
      </c>
      <c r="AM46" s="121">
        <f>IF(ISERROR(1/VLOOKUP($B46,Miljö!$B$1:$S$500,MATCH("Såld mängd produktionsspecifik fjärrvärme (GWh)",Miljö!$B$1:$R$1,0),FALSE)),0,VLOOKUP($B46,Miljö!$B$1:$S$500,MATCH("Såld mängd produktionsspecifik fjärrvärme (GWh)",Miljö!$B$1:$R$1,0),FALSE))</f>
        <v>0</v>
      </c>
      <c r="AN46" s="172">
        <f t="shared" si="2"/>
        <v>0.6241445760161245</v>
      </c>
      <c r="AO46" s="121"/>
      <c r="AP46" s="121" t="str">
        <f>IFERROR(VLOOKUP($B46,Miljövärden!$B$2:$H$550,7,FALSE),"Nej, saknas")</f>
        <v>Ja</v>
      </c>
      <c r="AQ46" s="121" t="str">
        <f>IFERROR(VLOOKUP($B46,Miljövärden!$B$2:$H$550,6,FALSE),"Nej, saknas")</f>
        <v>Ja</v>
      </c>
      <c r="AU46">
        <f t="shared" si="3"/>
        <v>0.13700000000000001</v>
      </c>
      <c r="AV46">
        <f t="shared" si="4"/>
        <v>0</v>
      </c>
      <c r="AW46">
        <f t="shared" si="5"/>
        <v>6.1292400000000002</v>
      </c>
      <c r="AX46">
        <f t="shared" si="6"/>
        <v>0</v>
      </c>
      <c r="AZ46">
        <f t="shared" si="7"/>
        <v>7.12744</v>
      </c>
      <c r="BC46">
        <f t="shared" si="8"/>
        <v>7.8409999999999994E-2</v>
      </c>
      <c r="BD46">
        <f t="shared" si="9"/>
        <v>0</v>
      </c>
      <c r="BE46">
        <f t="shared" si="10"/>
        <v>7.12744</v>
      </c>
      <c r="BF46">
        <f t="shared" si="11"/>
        <v>0</v>
      </c>
      <c r="BG46">
        <f t="shared" si="12"/>
        <v>0.13700000000000001</v>
      </c>
      <c r="BH46">
        <f>VLOOKUP(B46,Miljö!$B$1:$BX$482,MATCH("Fossilandel för ursprungspecificerad el ()",Miljö!$B$1:$I$1,0),FALSE)</f>
        <v>0</v>
      </c>
      <c r="BI46">
        <f>VLOOKUP(B46,Miljö!$B$1:$BX$482,MATCH("Kärnkraftsandel för ursprungsspecificerad el ()",Miljö!$B$1:$O$1,0),FALSE)</f>
        <v>0</v>
      </c>
      <c r="BJ46">
        <f t="shared" si="13"/>
        <v>0</v>
      </c>
      <c r="BK46" t="str">
        <f>VLOOKUP(B46,Miljö!$B$1:$O$482,MATCH("Fossil andel i procent (%)",Miljö!$B$1:$O$1,0),FALSE)</f>
        <v>ET</v>
      </c>
      <c r="BL46">
        <f t="shared" si="14"/>
        <v>7.3428500000000003</v>
      </c>
      <c r="BO46" s="18">
        <f t="shared" si="15"/>
        <v>1.0678415056823983E-2</v>
      </c>
      <c r="BP46" s="18">
        <f t="shared" si="16"/>
        <v>0</v>
      </c>
      <c r="BQ46" s="18">
        <f t="shared" si="17"/>
        <v>0.98932158494317601</v>
      </c>
      <c r="BR46" s="18">
        <f t="shared" si="18"/>
        <v>0</v>
      </c>
      <c r="BT46" s="27">
        <f t="shared" si="19"/>
        <v>1</v>
      </c>
      <c r="BW46" s="18">
        <f>IF(AP46="ja",VLOOKUP(B46,Miljövärden!$B$2:$H$550,MATCH("Total andel fossilt",Miljövärden!$B$2:$H$2,0),FALSE),"")</f>
        <v>1.0678399999999999E-2</v>
      </c>
      <c r="BZ46" s="28">
        <f t="shared" si="20"/>
        <v>-1.5056823983797263E-8</v>
      </c>
      <c r="CA46" s="28">
        <f t="shared" si="21"/>
        <v>0</v>
      </c>
    </row>
    <row r="47" spans="1:79" x14ac:dyDescent="0.25">
      <c r="A47" s="224" t="s">
        <v>249</v>
      </c>
      <c r="B47" s="210" t="s">
        <v>251</v>
      </c>
      <c r="C47" s="121">
        <f>VLOOKUP($B47,'Tillförd energi'!$B$1:$AI$720,MATCH(C$1,'Tillförd energi'!$B$1:$AQ$1,0),FALSE)</f>
        <v>0</v>
      </c>
      <c r="D47" s="121">
        <f>VLOOKUP($B47,'Tillförd energi'!$B$1:$AI$720,MATCH(D$1,'Tillförd energi'!$B$1:$AQ$1,0),FALSE)</f>
        <v>0.39771699999999999</v>
      </c>
      <c r="E47" s="121">
        <f>VLOOKUP($B47,'Tillförd energi'!$B$1:$AI$720,MATCH(E$1,'Tillförd energi'!$B$1:$AQ$1,0),FALSE)</f>
        <v>0</v>
      </c>
      <c r="F47" s="121">
        <f>VLOOKUP($B47,'Tillförd energi'!$B$1:$AI$720,MATCH(F$1,'Tillförd energi'!$B$1:$AQ$1,0),FALSE)</f>
        <v>0</v>
      </c>
      <c r="G47" s="121">
        <f>VLOOKUP($B47,'Tillförd energi'!$B$1:$AI$720,MATCH(G$1,'Tillförd energi'!$B$1:$AQ$1,0),FALSE)</f>
        <v>0</v>
      </c>
      <c r="H47" s="121">
        <f>VLOOKUP($B47,'Tillförd energi'!$B$1:$AI$720,MATCH(H$1,'Tillförd energi'!$B$1:$AQ$1,0),FALSE)</f>
        <v>0</v>
      </c>
      <c r="I47" s="121">
        <f>VLOOKUP($B47,'Tillförd energi'!$B$1:$AI$720,MATCH(I$1,'Tillförd energi'!$B$1:$AQ$1,0),FALSE)</f>
        <v>0</v>
      </c>
      <c r="J47" s="121">
        <f>VLOOKUP($B47,'Tillförd energi'!$B$1:$AI$720,MATCH(J$1,'Tillförd energi'!$B$1:$AQ$1,0),FALSE)</f>
        <v>17.069600000000001</v>
      </c>
      <c r="K47" s="121">
        <f>VLOOKUP($B47,'Tillförd energi'!$B$1:$AI$720,MATCH(K$1,'Tillförd energi'!$B$1:$AQ$1,0),FALSE)</f>
        <v>0</v>
      </c>
      <c r="L47" s="121">
        <f>VLOOKUP($B47,'Tillförd energi'!$B$1:$AI$720,MATCH(L$1,'Tillförd energi'!$B$1:$AQ$1,0),FALSE)</f>
        <v>0</v>
      </c>
      <c r="M47" s="121">
        <f>VLOOKUP($B47,'Tillförd energi'!$B$1:$AI$720,MATCH(M$1,'Tillförd energi'!$B$1:$AQ$1,0),FALSE)</f>
        <v>15.453099999999999</v>
      </c>
      <c r="N47" s="121">
        <f>VLOOKUP($B47,'Tillförd energi'!$B$1:$AI$720,MATCH(N$1,'Tillförd energi'!$B$1:$AQ$1,0),FALSE)</f>
        <v>210.05099999999999</v>
      </c>
      <c r="O47" s="121">
        <f>VLOOKUP($B47,'Tillförd energi'!$B$1:$AI$720,MATCH(O$1,'Tillförd energi'!$B$1:$AQ$1,0),FALSE)</f>
        <v>0</v>
      </c>
      <c r="P47" s="121">
        <f>VLOOKUP($B47,'Tillförd energi'!$B$1:$AI$720,MATCH(P$1,'Tillförd energi'!$B$1:$AQ$1,0),FALSE)</f>
        <v>42.548900000000003</v>
      </c>
      <c r="Q47" s="121">
        <f>VLOOKUP($B47,'Tillförd energi'!$B$1:$AI$720,MATCH(Q$1,'Tillförd energi'!$B$1:$AQ$1,0),FALSE)</f>
        <v>2.0725899999999999</v>
      </c>
      <c r="R47" s="121">
        <f>VLOOKUP($B47,'Tillförd energi'!$B$1:$AI$720,MATCH(R$1,'Tillförd energi'!$B$1:$AQ$1,0),FALSE)</f>
        <v>0</v>
      </c>
      <c r="S47" s="121">
        <f>VLOOKUP($B47,'Tillförd energi'!$B$1:$AI$720,MATCH(S$1,'Tillförd energi'!$B$1:$AQ$1,0),FALSE)</f>
        <v>0</v>
      </c>
      <c r="T47" s="121">
        <f>VLOOKUP($B47,'Tillförd energi'!$B$1:$AI$720,MATCH(T$1,'Tillförd energi'!$B$1:$AQ$1,0),FALSE)</f>
        <v>0</v>
      </c>
      <c r="U47" s="121">
        <f>VLOOKUP($B47,'Tillförd energi'!$B$1:$AI$720,MATCH(U$1,'Tillförd energi'!$B$1:$AQ$1,0),FALSE)</f>
        <v>0</v>
      </c>
      <c r="V47" s="121">
        <f>VLOOKUP($B47,'Tillförd energi'!$B$1:$AI$720,MATCH(V$1,'Tillförd energi'!$B$1:$AQ$1,0),FALSE)</f>
        <v>0</v>
      </c>
      <c r="W47" s="121">
        <f>VLOOKUP($B47,'Tillförd energi'!$B$1:$AI$720,MATCH(W$1,'Tillförd energi'!$B$1:$AQ$1,0),FALSE)</f>
        <v>28.9895</v>
      </c>
      <c r="X47" s="121">
        <f>VLOOKUP($B47,'Tillförd energi'!$B$1:$AI$720,MATCH(X$1,'Tillförd energi'!$B$1:$AQ$1,0),FALSE)</f>
        <v>0</v>
      </c>
      <c r="Y47" s="121">
        <f>VLOOKUP($B47,'Tillförd energi'!$B$1:$AI$720,MATCH(Y$1,'Tillförd energi'!$B$1:$AQ$1,0),FALSE)</f>
        <v>0</v>
      </c>
      <c r="Z47" s="121">
        <f>VLOOKUP($B47,'Tillförd energi'!$B$1:$AI$720,MATCH(Z$1,'Tillförd energi'!$B$1:$AQ$1,0),FALSE)</f>
        <v>0</v>
      </c>
      <c r="AA47" s="121">
        <f>VLOOKUP($B47,'Tillförd energi'!$B$1:$AI$720,MATCH(AA$1,'Tillförd energi'!$B$1:$AQ$1,0),FALSE)</f>
        <v>0</v>
      </c>
      <c r="AB47" s="121">
        <f>VLOOKUP($B47,'Tillförd energi'!$B$1:$AI$720,MATCH(AB$1,'Tillförd energi'!$B$1:$AQ$1,0),FALSE)</f>
        <v>0</v>
      </c>
      <c r="AC47" s="121">
        <f>VLOOKUP($B47,'Tillförd energi'!$B$1:$AI$720,MATCH(AC$1,'Tillförd energi'!$B$1:$AQ$1,0),FALSE)</f>
        <v>75.911000000000001</v>
      </c>
      <c r="AD47" s="121">
        <f>VLOOKUP($B47,'Tillförd energi'!$B$1:$AI$720,MATCH(AD$1,'Tillförd energi'!$B$1:$AQ$1,0),FALSE)</f>
        <v>0.60899999999999999</v>
      </c>
      <c r="AE47" s="121">
        <f>VLOOKUP($B47,'Tillförd energi'!$B$1:$AI$720,MATCH(AE$1,'Tillförd energi'!$B$1:$AQ$1,0),FALSE)</f>
        <v>0</v>
      </c>
      <c r="AF47" s="121">
        <f>VLOOKUP($B47,'Tillförd energi'!$B$1:$AI$720,MATCH(AF$1,'Tillförd energi'!$B$1:$AQ$1,0),FALSE)</f>
        <v>11.6058</v>
      </c>
      <c r="AG47" s="121">
        <f>IFERROR(VLOOKUP(B47,Miljö!$B$1:$AC$550,MATCH("Köpt mängd produktionsspecifik fjärrvärme:",Miljö!$B$1:$AC$1,0),FALSE)/1,0)</f>
        <v>0</v>
      </c>
      <c r="AH47" s="121"/>
      <c r="AI47" s="121">
        <f t="shared" si="0"/>
        <v>404.70820699999996</v>
      </c>
      <c r="AJ47" s="121">
        <f t="shared" si="1"/>
        <v>404.70820699999996</v>
      </c>
      <c r="AK47" s="121">
        <f>IF(ISERROR(1/VLOOKUP($B47,Leveranser!$B$1:$S$499,MATCH("såld värme (gwh)",Leveranser!$B$1:$S$1,0),FALSE)),"",VLOOKUP($B47,Leveranser!$B$1:$S$499,MATCH("såld värme (gwh)",Leveranser!$B$1:$S$1,0),FALSE))</f>
        <v>355.76600000000002</v>
      </c>
      <c r="AL47" s="121">
        <f>VLOOKUP($B47,Leveranser!$B$1:$Y$499,MATCH("Totalt såld fjärrvärme till andra fjärrvärmeföretag",Leveranser!$B$1:$AA$1,0),FALSE)</f>
        <v>0</v>
      </c>
      <c r="AM47" s="121">
        <f>IF(ISERROR(1/VLOOKUP($B47,Miljö!$B$1:$S$500,MATCH("Såld mängd produktionsspecifik fjärrvärme (GWh)",Miljö!$B$1:$R$1,0),FALSE)),0,VLOOKUP($B47,Miljö!$B$1:$S$500,MATCH("Såld mängd produktionsspecifik fjärrvärme (GWh)",Miljö!$B$1:$R$1,0),FALSE))</f>
        <v>0</v>
      </c>
      <c r="AN47" s="172">
        <f t="shared" si="2"/>
        <v>0.87906791571439535</v>
      </c>
      <c r="AO47" s="121"/>
      <c r="AP47" s="121" t="str">
        <f>IFERROR(VLOOKUP($B47,Miljövärden!$B$2:$H$550,7,FALSE),"Nej, saknas")</f>
        <v>Ja</v>
      </c>
      <c r="AQ47" s="121" t="str">
        <f>IFERROR(VLOOKUP($B47,Miljövärden!$B$2:$H$550,6,FALSE),"Nej, saknas")</f>
        <v>Ja</v>
      </c>
      <c r="AU47">
        <f t="shared" si="3"/>
        <v>11.6058</v>
      </c>
      <c r="AV47">
        <f t="shared" si="4"/>
        <v>0</v>
      </c>
      <c r="AW47">
        <f t="shared" si="5"/>
        <v>270.12558999999999</v>
      </c>
      <c r="AX47">
        <f t="shared" si="6"/>
        <v>0</v>
      </c>
      <c r="AZ47">
        <f t="shared" si="7"/>
        <v>299.11509000000001</v>
      </c>
      <c r="BC47">
        <f t="shared" si="8"/>
        <v>0.39771699999999999</v>
      </c>
      <c r="BD47">
        <f t="shared" si="9"/>
        <v>0</v>
      </c>
      <c r="BE47">
        <f t="shared" si="10"/>
        <v>299.11509000000001</v>
      </c>
      <c r="BF47">
        <f t="shared" si="11"/>
        <v>93.589600000000004</v>
      </c>
      <c r="BG47">
        <f t="shared" si="12"/>
        <v>11.6058</v>
      </c>
      <c r="BH47">
        <f>VLOOKUP(B47,Miljö!$B$1:$BX$482,MATCH("Fossilandel för ursprungspecificerad el ()",Miljö!$B$1:$I$1,0),FALSE)</f>
        <v>0</v>
      </c>
      <c r="BI47">
        <f>VLOOKUP(B47,Miljö!$B$1:$BX$482,MATCH("Kärnkraftsandel för ursprungsspecificerad el ()",Miljö!$B$1:$O$1,0),FALSE)</f>
        <v>0</v>
      </c>
      <c r="BJ47">
        <f t="shared" si="13"/>
        <v>0</v>
      </c>
      <c r="BK47" t="str">
        <f>VLOOKUP(B47,Miljö!$B$1:$O$482,MATCH("Fossil andel i procent (%)",Miljö!$B$1:$O$1,0),FALSE)</f>
        <v>ET</v>
      </c>
      <c r="BL47">
        <f t="shared" si="14"/>
        <v>404.70820700000002</v>
      </c>
      <c r="BO47" s="18">
        <f t="shared" si="15"/>
        <v>9.8272531448812439E-4</v>
      </c>
      <c r="BP47" s="18">
        <f t="shared" si="16"/>
        <v>0</v>
      </c>
      <c r="BQ47" s="18">
        <f t="shared" si="17"/>
        <v>0.76776523091363946</v>
      </c>
      <c r="BR47" s="18">
        <f t="shared" si="18"/>
        <v>0.23125204377187242</v>
      </c>
      <c r="BT47" s="27">
        <f t="shared" si="19"/>
        <v>1</v>
      </c>
      <c r="BW47" s="18">
        <f>IF(AP47="ja",VLOOKUP(B47,Miljövärden!$B$2:$H$550,MATCH("Total andel fossilt",Miljövärden!$B$2:$H$2,0),FALSE),"")</f>
        <v>9.8272599999999996E-4</v>
      </c>
      <c r="BZ47" s="28">
        <f t="shared" si="20"/>
        <v>6.855118755630385E-10</v>
      </c>
      <c r="CA47" s="28">
        <f t="shared" si="21"/>
        <v>0</v>
      </c>
    </row>
    <row r="48" spans="1:79" x14ac:dyDescent="0.25">
      <c r="A48" s="224" t="s">
        <v>253</v>
      </c>
      <c r="B48" s="210" t="s">
        <v>254</v>
      </c>
      <c r="C48" s="121">
        <f>VLOOKUP($B48,'Tillförd energi'!$B$1:$AI$720,MATCH(C$1,'Tillförd energi'!$B$1:$AQ$1,0),FALSE)</f>
        <v>0</v>
      </c>
      <c r="D48" s="121">
        <f>VLOOKUP($B48,'Tillförd energi'!$B$1:$AI$720,MATCH(D$1,'Tillförd energi'!$B$1:$AQ$1,0),FALSE)</f>
        <v>0</v>
      </c>
      <c r="E48" s="121">
        <f>VLOOKUP($B48,'Tillförd energi'!$B$1:$AI$720,MATCH(E$1,'Tillförd energi'!$B$1:$AQ$1,0),FALSE)</f>
        <v>0</v>
      </c>
      <c r="F48" s="121">
        <f>VLOOKUP($B48,'Tillförd energi'!$B$1:$AI$720,MATCH(F$1,'Tillförd energi'!$B$1:$AQ$1,0),FALSE)</f>
        <v>0</v>
      </c>
      <c r="G48" s="121">
        <f>VLOOKUP($B48,'Tillförd energi'!$B$1:$AI$720,MATCH(G$1,'Tillförd energi'!$B$1:$AQ$1,0),FALSE)</f>
        <v>0</v>
      </c>
      <c r="H48" s="121">
        <f>VLOOKUP($B48,'Tillförd energi'!$B$1:$AI$720,MATCH(H$1,'Tillförd energi'!$B$1:$AQ$1,0),FALSE)</f>
        <v>0</v>
      </c>
      <c r="I48" s="121">
        <f>VLOOKUP($B48,'Tillförd energi'!$B$1:$AI$720,MATCH(I$1,'Tillförd energi'!$B$1:$AQ$1,0),FALSE)</f>
        <v>0</v>
      </c>
      <c r="J48" s="121">
        <f>VLOOKUP($B48,'Tillförd energi'!$B$1:$AI$720,MATCH(J$1,'Tillförd energi'!$B$1:$AQ$1,0),FALSE)</f>
        <v>0</v>
      </c>
      <c r="K48" s="121">
        <f>VLOOKUP($B48,'Tillförd energi'!$B$1:$AI$720,MATCH(K$1,'Tillförd energi'!$B$1:$AQ$1,0),FALSE)</f>
        <v>0</v>
      </c>
      <c r="L48" s="121">
        <f>VLOOKUP($B48,'Tillförd energi'!$B$1:$AI$720,MATCH(L$1,'Tillförd energi'!$B$1:$AQ$1,0),FALSE)</f>
        <v>0</v>
      </c>
      <c r="M48" s="121">
        <f>VLOOKUP($B48,'Tillförd energi'!$B$1:$AI$720,MATCH(M$1,'Tillförd energi'!$B$1:$AQ$1,0),FALSE)</f>
        <v>0</v>
      </c>
      <c r="N48" s="121">
        <f>VLOOKUP($B48,'Tillförd energi'!$B$1:$AI$720,MATCH(N$1,'Tillförd energi'!$B$1:$AQ$1,0),FALSE)</f>
        <v>0</v>
      </c>
      <c r="O48" s="121">
        <f>VLOOKUP($B48,'Tillförd energi'!$B$1:$AI$720,MATCH(O$1,'Tillförd energi'!$B$1:$AQ$1,0),FALSE)</f>
        <v>0</v>
      </c>
      <c r="P48" s="121">
        <f>VLOOKUP($B48,'Tillförd energi'!$B$1:$AI$720,MATCH(P$1,'Tillförd energi'!$B$1:$AQ$1,0),FALSE)</f>
        <v>0</v>
      </c>
      <c r="Q48" s="121">
        <f>VLOOKUP($B48,'Tillförd energi'!$B$1:$AI$720,MATCH(Q$1,'Tillförd energi'!$B$1:$AQ$1,0),FALSE)</f>
        <v>13.3451</v>
      </c>
      <c r="R48" s="121">
        <f>VLOOKUP($B48,'Tillförd energi'!$B$1:$AI$720,MATCH(R$1,'Tillförd energi'!$B$1:$AQ$1,0),FALSE)</f>
        <v>0</v>
      </c>
      <c r="S48" s="121">
        <f>VLOOKUP($B48,'Tillförd energi'!$B$1:$AI$720,MATCH(S$1,'Tillförd energi'!$B$1:$AQ$1,0),FALSE)</f>
        <v>0</v>
      </c>
      <c r="T48" s="121">
        <f>VLOOKUP($B48,'Tillförd energi'!$B$1:$AI$720,MATCH(T$1,'Tillförd energi'!$B$1:$AQ$1,0),FALSE)</f>
        <v>0</v>
      </c>
      <c r="U48" s="121">
        <f>VLOOKUP($B48,'Tillförd energi'!$B$1:$AI$720,MATCH(U$1,'Tillförd energi'!$B$1:$AQ$1,0),FALSE)</f>
        <v>0</v>
      </c>
      <c r="V48" s="121">
        <f>VLOOKUP($B48,'Tillförd energi'!$B$1:$AI$720,MATCH(V$1,'Tillförd energi'!$B$1:$AQ$1,0),FALSE)</f>
        <v>0</v>
      </c>
      <c r="W48" s="121">
        <f>VLOOKUP($B48,'Tillförd energi'!$B$1:$AI$720,MATCH(W$1,'Tillförd energi'!$B$1:$AQ$1,0),FALSE)</f>
        <v>0</v>
      </c>
      <c r="X48" s="121">
        <f>VLOOKUP($B48,'Tillförd energi'!$B$1:$AI$720,MATCH(X$1,'Tillförd energi'!$B$1:$AQ$1,0),FALSE)</f>
        <v>0</v>
      </c>
      <c r="Y48" s="121">
        <f>VLOOKUP($B48,'Tillförd energi'!$B$1:$AI$720,MATCH(Y$1,'Tillförd energi'!$B$1:$AQ$1,0),FALSE)</f>
        <v>0</v>
      </c>
      <c r="Z48" s="121">
        <f>VLOOKUP($B48,'Tillförd energi'!$B$1:$AI$720,MATCH(Z$1,'Tillförd energi'!$B$1:$AQ$1,0),FALSE)</f>
        <v>0</v>
      </c>
      <c r="AA48" s="121">
        <f>VLOOKUP($B48,'Tillförd energi'!$B$1:$AI$720,MATCH(AA$1,'Tillförd energi'!$B$1:$AQ$1,0),FALSE)</f>
        <v>0</v>
      </c>
      <c r="AB48" s="121">
        <f>VLOOKUP($B48,'Tillförd energi'!$B$1:$AI$720,MATCH(AB$1,'Tillförd energi'!$B$1:$AQ$1,0),FALSE)</f>
        <v>0</v>
      </c>
      <c r="AC48" s="121">
        <f>VLOOKUP($B48,'Tillförd energi'!$B$1:$AI$720,MATCH(AC$1,'Tillförd energi'!$B$1:$AQ$1,0),FALSE)</f>
        <v>0</v>
      </c>
      <c r="AD48" s="121">
        <f>VLOOKUP($B48,'Tillförd energi'!$B$1:$AI$720,MATCH(AD$1,'Tillförd energi'!$B$1:$AQ$1,0),FALSE)</f>
        <v>0</v>
      </c>
      <c r="AE48" s="121">
        <f>VLOOKUP($B48,'Tillförd energi'!$B$1:$AI$720,MATCH(AE$1,'Tillförd energi'!$B$1:$AQ$1,0),FALSE)</f>
        <v>0</v>
      </c>
      <c r="AF48" s="121">
        <f>VLOOKUP($B48,'Tillförd energi'!$B$1:$AI$720,MATCH(AF$1,'Tillförd energi'!$B$1:$AQ$1,0),FALSE)</f>
        <v>3.1E-2</v>
      </c>
      <c r="AG48" s="121">
        <f>IFERROR(VLOOKUP(B48,Miljö!$B$1:$AC$550,MATCH("Köpt mängd produktionsspecifik fjärrvärme:",Miljö!$B$1:$AC$1,0),FALSE)/1,0)</f>
        <v>0</v>
      </c>
      <c r="AH48" s="121"/>
      <c r="AI48" s="121">
        <f t="shared" si="0"/>
        <v>13.376100000000001</v>
      </c>
      <c r="AJ48" s="121">
        <f t="shared" si="1"/>
        <v>13.376100000000001</v>
      </c>
      <c r="AK48" s="121">
        <f>IF(ISERROR(1/VLOOKUP($B48,Leveranser!$B$1:$S$499,MATCH("såld värme (gwh)",Leveranser!$B$1:$S$1,0),FALSE)),"",VLOOKUP($B48,Leveranser!$B$1:$S$499,MATCH("såld värme (gwh)",Leveranser!$B$1:$S$1,0),FALSE))</f>
        <v>10.673999999999999</v>
      </c>
      <c r="AL48" s="121">
        <f>VLOOKUP($B48,Leveranser!$B$1:$Y$499,MATCH("Totalt såld fjärrvärme till andra fjärrvärmeföretag",Leveranser!$B$1:$AA$1,0),FALSE)</f>
        <v>0</v>
      </c>
      <c r="AM48" s="121">
        <f>IF(ISERROR(1/VLOOKUP($B48,Miljö!$B$1:$S$500,MATCH("Såld mängd produktionsspecifik fjärrvärme (GWh)",Miljö!$B$1:$R$1,0),FALSE)),0,VLOOKUP($B48,Miljö!$B$1:$S$500,MATCH("Såld mängd produktionsspecifik fjärrvärme (GWh)",Miljö!$B$1:$R$1,0),FALSE))</f>
        <v>0</v>
      </c>
      <c r="AN48" s="172">
        <f t="shared" si="2"/>
        <v>0.79799044564559163</v>
      </c>
      <c r="AO48" s="121"/>
      <c r="AP48" s="121" t="str">
        <f>IFERROR(VLOOKUP($B48,Miljövärden!$B$2:$H$550,7,FALSE),"Nej, saknas")</f>
        <v>Ja</v>
      </c>
      <c r="AQ48" s="121" t="str">
        <f>IFERROR(VLOOKUP($B48,Miljövärden!$B$2:$H$550,6,FALSE),"Nej, saknas")</f>
        <v>Ja</v>
      </c>
      <c r="AU48">
        <f t="shared" si="3"/>
        <v>3.1E-2</v>
      </c>
      <c r="AV48">
        <f t="shared" si="4"/>
        <v>0</v>
      </c>
      <c r="AW48">
        <f t="shared" si="5"/>
        <v>13.3451</v>
      </c>
      <c r="AX48">
        <f t="shared" si="6"/>
        <v>0</v>
      </c>
      <c r="AZ48">
        <f t="shared" si="7"/>
        <v>13.3451</v>
      </c>
      <c r="BC48">
        <f t="shared" si="8"/>
        <v>0</v>
      </c>
      <c r="BD48">
        <f t="shared" si="9"/>
        <v>0</v>
      </c>
      <c r="BE48">
        <f t="shared" si="10"/>
        <v>13.3451</v>
      </c>
      <c r="BF48">
        <f t="shared" si="11"/>
        <v>0</v>
      </c>
      <c r="BG48">
        <f t="shared" si="12"/>
        <v>3.1E-2</v>
      </c>
      <c r="BH48">
        <f>VLOOKUP(B48,Miljö!$B$1:$BX$482,MATCH("Fossilandel för ursprungspecificerad el ()",Miljö!$B$1:$I$1,0),FALSE)</f>
        <v>0</v>
      </c>
      <c r="BI48">
        <f>VLOOKUP(B48,Miljö!$B$1:$BX$482,MATCH("Kärnkraftsandel för ursprungsspecificerad el ()",Miljö!$B$1:$O$1,0),FALSE)</f>
        <v>0</v>
      </c>
      <c r="BJ48">
        <f t="shared" si="13"/>
        <v>0</v>
      </c>
      <c r="BK48" t="str">
        <f>VLOOKUP(B48,Miljö!$B$1:$O$482,MATCH("Fossil andel i procent (%)",Miljö!$B$1:$O$1,0),FALSE)</f>
        <v>ET</v>
      </c>
      <c r="BL48">
        <f t="shared" si="14"/>
        <v>13.376100000000001</v>
      </c>
      <c r="BO48" s="18">
        <f t="shared" si="15"/>
        <v>0</v>
      </c>
      <c r="BP48" s="18">
        <f t="shared" si="16"/>
        <v>0</v>
      </c>
      <c r="BQ48" s="18">
        <f t="shared" si="17"/>
        <v>1</v>
      </c>
      <c r="BR48" s="18">
        <f t="shared" si="18"/>
        <v>0</v>
      </c>
      <c r="BT48" s="27">
        <f t="shared" si="19"/>
        <v>1</v>
      </c>
      <c r="BW48" s="18">
        <f>IF(AP48="ja",VLOOKUP(B48,Miljövärden!$B$2:$H$550,MATCH("Total andel fossilt",Miljövärden!$B$2:$H$2,0),FALSE),"")</f>
        <v>0</v>
      </c>
      <c r="BZ48" s="28">
        <f t="shared" si="20"/>
        <v>0</v>
      </c>
      <c r="CA48" s="28">
        <f t="shared" si="21"/>
        <v>0</v>
      </c>
    </row>
    <row r="49" spans="1:79" x14ac:dyDescent="0.25">
      <c r="A49" s="224" t="s">
        <v>253</v>
      </c>
      <c r="B49" s="210" t="s">
        <v>256</v>
      </c>
      <c r="C49" s="121">
        <f>VLOOKUP($B49,'Tillförd energi'!$B$1:$AI$720,MATCH(C$1,'Tillförd energi'!$B$1:$AQ$1,0),FALSE)</f>
        <v>0</v>
      </c>
      <c r="D49" s="121">
        <f>VLOOKUP($B49,'Tillförd energi'!$B$1:$AI$720,MATCH(D$1,'Tillförd energi'!$B$1:$AQ$1,0),FALSE)</f>
        <v>3.4000000000000002E-2</v>
      </c>
      <c r="E49" s="121">
        <f>VLOOKUP($B49,'Tillförd energi'!$B$1:$AI$720,MATCH(E$1,'Tillförd energi'!$B$1:$AQ$1,0),FALSE)</f>
        <v>0</v>
      </c>
      <c r="F49" s="121">
        <f>VLOOKUP($B49,'Tillförd energi'!$B$1:$AI$720,MATCH(F$1,'Tillförd energi'!$B$1:$AQ$1,0),FALSE)</f>
        <v>0</v>
      </c>
      <c r="G49" s="121">
        <f>VLOOKUP($B49,'Tillförd energi'!$B$1:$AI$720,MATCH(G$1,'Tillförd energi'!$B$1:$AQ$1,0),FALSE)</f>
        <v>0</v>
      </c>
      <c r="H49" s="121">
        <f>VLOOKUP($B49,'Tillförd energi'!$B$1:$AI$720,MATCH(H$1,'Tillförd energi'!$B$1:$AQ$1,0),FALSE)</f>
        <v>0</v>
      </c>
      <c r="I49" s="121">
        <f>VLOOKUP($B49,'Tillförd energi'!$B$1:$AI$720,MATCH(I$1,'Tillförd energi'!$B$1:$AQ$1,0),FALSE)</f>
        <v>0</v>
      </c>
      <c r="J49" s="121">
        <f>VLOOKUP($B49,'Tillförd energi'!$B$1:$AI$720,MATCH(J$1,'Tillförd energi'!$B$1:$AQ$1,0),FALSE)</f>
        <v>0</v>
      </c>
      <c r="K49" s="121">
        <f>VLOOKUP($B49,'Tillförd energi'!$B$1:$AI$720,MATCH(K$1,'Tillförd energi'!$B$1:$AQ$1,0),FALSE)</f>
        <v>0</v>
      </c>
      <c r="L49" s="121">
        <f>VLOOKUP($B49,'Tillförd energi'!$B$1:$AI$720,MATCH(L$1,'Tillförd energi'!$B$1:$AQ$1,0),FALSE)</f>
        <v>0</v>
      </c>
      <c r="M49" s="121">
        <f>VLOOKUP($B49,'Tillförd energi'!$B$1:$AI$720,MATCH(M$1,'Tillförd energi'!$B$1:$AQ$1,0),FALSE)</f>
        <v>5.6630000000000003</v>
      </c>
      <c r="N49" s="121">
        <f>VLOOKUP($B49,'Tillförd energi'!$B$1:$AI$720,MATCH(N$1,'Tillförd energi'!$B$1:$AQ$1,0),FALSE)</f>
        <v>25.939</v>
      </c>
      <c r="O49" s="121">
        <f>VLOOKUP($B49,'Tillförd energi'!$B$1:$AI$720,MATCH(O$1,'Tillförd energi'!$B$1:$AQ$1,0),FALSE)</f>
        <v>0</v>
      </c>
      <c r="P49" s="121">
        <f>VLOOKUP($B49,'Tillförd energi'!$B$1:$AI$720,MATCH(P$1,'Tillförd energi'!$B$1:$AQ$1,0),FALSE)</f>
        <v>8.3989999999999991</v>
      </c>
      <c r="Q49" s="121">
        <f>VLOOKUP($B49,'Tillförd energi'!$B$1:$AI$720,MATCH(Q$1,'Tillförd energi'!$B$1:$AQ$1,0),FALSE)</f>
        <v>0</v>
      </c>
      <c r="R49" s="121">
        <f>VLOOKUP($B49,'Tillförd energi'!$B$1:$AI$720,MATCH(R$1,'Tillförd energi'!$B$1:$AQ$1,0),FALSE)</f>
        <v>0</v>
      </c>
      <c r="S49" s="121">
        <f>VLOOKUP($B49,'Tillförd energi'!$B$1:$AI$720,MATCH(S$1,'Tillförd energi'!$B$1:$AQ$1,0),FALSE)</f>
        <v>0</v>
      </c>
      <c r="T49" s="121">
        <f>VLOOKUP($B49,'Tillförd energi'!$B$1:$AI$720,MATCH(T$1,'Tillförd energi'!$B$1:$AQ$1,0),FALSE)</f>
        <v>0</v>
      </c>
      <c r="U49" s="121">
        <f>VLOOKUP($B49,'Tillförd energi'!$B$1:$AI$720,MATCH(U$1,'Tillförd energi'!$B$1:$AQ$1,0),FALSE)</f>
        <v>0</v>
      </c>
      <c r="V49" s="121">
        <f>VLOOKUP($B49,'Tillförd energi'!$B$1:$AI$720,MATCH(V$1,'Tillförd energi'!$B$1:$AQ$1,0),FALSE)</f>
        <v>0</v>
      </c>
      <c r="W49" s="121">
        <f>VLOOKUP($B49,'Tillförd energi'!$B$1:$AI$720,MATCH(W$1,'Tillförd energi'!$B$1:$AQ$1,0),FALSE)</f>
        <v>0</v>
      </c>
      <c r="X49" s="121">
        <f>VLOOKUP($B49,'Tillförd energi'!$B$1:$AI$720,MATCH(X$1,'Tillförd energi'!$B$1:$AQ$1,0),FALSE)</f>
        <v>0</v>
      </c>
      <c r="Y49" s="121">
        <f>VLOOKUP($B49,'Tillförd energi'!$B$1:$AI$720,MATCH(Y$1,'Tillförd energi'!$B$1:$AQ$1,0),FALSE)</f>
        <v>0</v>
      </c>
      <c r="Z49" s="121">
        <f>VLOOKUP($B49,'Tillförd energi'!$B$1:$AI$720,MATCH(Z$1,'Tillförd energi'!$B$1:$AQ$1,0),FALSE)</f>
        <v>0</v>
      </c>
      <c r="AA49" s="121">
        <f>VLOOKUP($B49,'Tillförd energi'!$B$1:$AI$720,MATCH(AA$1,'Tillförd energi'!$B$1:$AQ$1,0),FALSE)</f>
        <v>0</v>
      </c>
      <c r="AB49" s="121">
        <f>VLOOKUP($B49,'Tillförd energi'!$B$1:$AI$720,MATCH(AB$1,'Tillförd energi'!$B$1:$AQ$1,0),FALSE)</f>
        <v>0</v>
      </c>
      <c r="AC49" s="121">
        <f>VLOOKUP($B49,'Tillförd energi'!$B$1:$AI$720,MATCH(AC$1,'Tillförd energi'!$B$1:$AQ$1,0),FALSE)</f>
        <v>5.6029999999999998</v>
      </c>
      <c r="AD49" s="121">
        <f>VLOOKUP($B49,'Tillförd energi'!$B$1:$AI$720,MATCH(AD$1,'Tillförd energi'!$B$1:$AQ$1,0),FALSE)</f>
        <v>0</v>
      </c>
      <c r="AE49" s="121">
        <f>VLOOKUP($B49,'Tillförd energi'!$B$1:$AI$720,MATCH(AE$1,'Tillförd energi'!$B$1:$AQ$1,0),FALSE)</f>
        <v>0</v>
      </c>
      <c r="AF49" s="121">
        <f>VLOOKUP($B49,'Tillförd energi'!$B$1:$AI$720,MATCH(AF$1,'Tillförd energi'!$B$1:$AQ$1,0),FALSE)</f>
        <v>1.173</v>
      </c>
      <c r="AG49" s="121">
        <f>IFERROR(VLOOKUP(B49,Miljö!$B$1:$AC$550,MATCH("Köpt mängd produktionsspecifik fjärrvärme:",Miljö!$B$1:$AC$1,0),FALSE)/1,0)</f>
        <v>0</v>
      </c>
      <c r="AH49" s="121"/>
      <c r="AI49" s="121">
        <f t="shared" si="0"/>
        <v>46.811</v>
      </c>
      <c r="AJ49" s="121">
        <f t="shared" si="1"/>
        <v>46.811</v>
      </c>
      <c r="AK49" s="121">
        <f>IF(ISERROR(1/VLOOKUP($B49,Leveranser!$B$1:$S$499,MATCH("såld värme (gwh)",Leveranser!$B$1:$S$1,0),FALSE)),"",VLOOKUP($B49,Leveranser!$B$1:$S$499,MATCH("såld värme (gwh)",Leveranser!$B$1:$S$1,0),FALSE))</f>
        <v>33.930999999999997</v>
      </c>
      <c r="AL49" s="121">
        <f>VLOOKUP($B49,Leveranser!$B$1:$Y$499,MATCH("Totalt såld fjärrvärme till andra fjärrvärmeföretag",Leveranser!$B$1:$AA$1,0),FALSE)</f>
        <v>0</v>
      </c>
      <c r="AM49" s="121">
        <f>IF(ISERROR(1/VLOOKUP($B49,Miljö!$B$1:$S$500,MATCH("Såld mängd produktionsspecifik fjärrvärme (GWh)",Miljö!$B$1:$R$1,0),FALSE)),0,VLOOKUP($B49,Miljö!$B$1:$S$500,MATCH("Såld mängd produktionsspecifik fjärrvärme (GWh)",Miljö!$B$1:$R$1,0),FALSE))</f>
        <v>0</v>
      </c>
      <c r="AN49" s="172">
        <f t="shared" si="2"/>
        <v>0.72485099656063745</v>
      </c>
      <c r="AO49" s="121"/>
      <c r="AP49" s="121" t="str">
        <f>IFERROR(VLOOKUP($B49,Miljövärden!$B$2:$H$550,7,FALSE),"Nej, saknas")</f>
        <v>Ja</v>
      </c>
      <c r="AQ49" s="121" t="str">
        <f>IFERROR(VLOOKUP($B49,Miljövärden!$B$2:$H$550,6,FALSE),"Nej, saknas")</f>
        <v>Ja</v>
      </c>
      <c r="AU49">
        <f t="shared" si="3"/>
        <v>1.173</v>
      </c>
      <c r="AV49">
        <f t="shared" si="4"/>
        <v>0</v>
      </c>
      <c r="AW49">
        <f t="shared" si="5"/>
        <v>40.000999999999998</v>
      </c>
      <c r="AX49">
        <f t="shared" si="6"/>
        <v>0</v>
      </c>
      <c r="AZ49">
        <f t="shared" si="7"/>
        <v>40.000999999999998</v>
      </c>
      <c r="BC49">
        <f t="shared" si="8"/>
        <v>3.4000000000000002E-2</v>
      </c>
      <c r="BD49">
        <f t="shared" si="9"/>
        <v>0</v>
      </c>
      <c r="BE49">
        <f t="shared" si="10"/>
        <v>40.000999999999998</v>
      </c>
      <c r="BF49">
        <f t="shared" si="11"/>
        <v>5.6029999999999998</v>
      </c>
      <c r="BG49">
        <f t="shared" si="12"/>
        <v>1.173</v>
      </c>
      <c r="BH49">
        <f>VLOOKUP(B49,Miljö!$B$1:$BX$482,MATCH("Fossilandel för ursprungspecificerad el ()",Miljö!$B$1:$I$1,0),FALSE)</f>
        <v>0</v>
      </c>
      <c r="BI49">
        <f>VLOOKUP(B49,Miljö!$B$1:$BX$482,MATCH("Kärnkraftsandel för ursprungsspecificerad el ()",Miljö!$B$1:$O$1,0),FALSE)</f>
        <v>0</v>
      </c>
      <c r="BJ49">
        <f t="shared" si="13"/>
        <v>0</v>
      </c>
      <c r="BK49" t="str">
        <f>VLOOKUP(B49,Miljö!$B$1:$O$482,MATCH("Fossil andel i procent (%)",Miljö!$B$1:$O$1,0),FALSE)</f>
        <v>ET</v>
      </c>
      <c r="BL49">
        <f t="shared" si="14"/>
        <v>46.811</v>
      </c>
      <c r="BO49" s="18">
        <f t="shared" si="15"/>
        <v>7.2632500907906269E-4</v>
      </c>
      <c r="BP49" s="18">
        <f t="shared" si="16"/>
        <v>0</v>
      </c>
      <c r="BQ49" s="18">
        <f t="shared" si="17"/>
        <v>0.87957958599474484</v>
      </c>
      <c r="BR49" s="18">
        <f t="shared" si="18"/>
        <v>0.1196940889961761</v>
      </c>
      <c r="BT49" s="27">
        <f t="shared" si="19"/>
        <v>1</v>
      </c>
      <c r="BW49" s="18">
        <f>IF(AP49="ja",VLOOKUP(B49,Miljövärden!$B$2:$H$550,MATCH("Total andel fossilt",Miljövärden!$B$2:$H$2,0),FALSE),"")</f>
        <v>7.26325E-4</v>
      </c>
      <c r="BZ49" s="28">
        <f t="shared" si="20"/>
        <v>-9.079062696960849E-12</v>
      </c>
      <c r="CA49" s="28">
        <f t="shared" si="21"/>
        <v>0</v>
      </c>
    </row>
    <row r="50" spans="1:79" x14ac:dyDescent="0.25">
      <c r="A50" s="224" t="s">
        <v>258</v>
      </c>
      <c r="B50" s="210" t="s">
        <v>259</v>
      </c>
      <c r="C50" s="121">
        <f>VLOOKUP($B50,'Tillförd energi'!$B$1:$AI$720,MATCH(C$1,'Tillförd energi'!$B$1:$AQ$1,0),FALSE)</f>
        <v>0</v>
      </c>
      <c r="D50" s="121">
        <f>VLOOKUP($B50,'Tillförd energi'!$B$1:$AI$720,MATCH(D$1,'Tillförd energi'!$B$1:$AQ$1,0),FALSE)</f>
        <v>0</v>
      </c>
      <c r="E50" s="121">
        <f>VLOOKUP($B50,'Tillförd energi'!$B$1:$AI$720,MATCH(E$1,'Tillförd energi'!$B$1:$AQ$1,0),FALSE)</f>
        <v>0</v>
      </c>
      <c r="F50" s="121">
        <f>VLOOKUP($B50,'Tillförd energi'!$B$1:$AI$720,MATCH(F$1,'Tillförd energi'!$B$1:$AQ$1,0),FALSE)</f>
        <v>0</v>
      </c>
      <c r="G50" s="121">
        <f>VLOOKUP($B50,'Tillförd energi'!$B$1:$AI$720,MATCH(G$1,'Tillförd energi'!$B$1:$AQ$1,0),FALSE)</f>
        <v>0</v>
      </c>
      <c r="H50" s="121">
        <f>VLOOKUP($B50,'Tillförd energi'!$B$1:$AI$720,MATCH(H$1,'Tillförd energi'!$B$1:$AQ$1,0),FALSE)</f>
        <v>0</v>
      </c>
      <c r="I50" s="121">
        <f>VLOOKUP($B50,'Tillförd energi'!$B$1:$AI$720,MATCH(I$1,'Tillförd energi'!$B$1:$AQ$1,0),FALSE)</f>
        <v>0</v>
      </c>
      <c r="J50" s="121">
        <f>VLOOKUP($B50,'Tillförd energi'!$B$1:$AI$720,MATCH(J$1,'Tillförd energi'!$B$1:$AQ$1,0),FALSE)</f>
        <v>0</v>
      </c>
      <c r="K50" s="121">
        <f>VLOOKUP($B50,'Tillförd energi'!$B$1:$AI$720,MATCH(K$1,'Tillförd energi'!$B$1:$AQ$1,0),FALSE)</f>
        <v>0</v>
      </c>
      <c r="L50" s="121">
        <f>VLOOKUP($B50,'Tillförd energi'!$B$1:$AI$720,MATCH(L$1,'Tillförd energi'!$B$1:$AQ$1,0),FALSE)</f>
        <v>0</v>
      </c>
      <c r="M50" s="121">
        <f>VLOOKUP($B50,'Tillförd energi'!$B$1:$AI$720,MATCH(M$1,'Tillförd energi'!$B$1:$AQ$1,0),FALSE)</f>
        <v>10.935</v>
      </c>
      <c r="N50" s="121">
        <f>VLOOKUP($B50,'Tillförd energi'!$B$1:$AI$720,MATCH(N$1,'Tillförd energi'!$B$1:$AQ$1,0),FALSE)</f>
        <v>7.0060000000000002</v>
      </c>
      <c r="O50" s="121">
        <f>VLOOKUP($B50,'Tillförd energi'!$B$1:$AI$720,MATCH(O$1,'Tillförd energi'!$B$1:$AQ$1,0),FALSE)</f>
        <v>0</v>
      </c>
      <c r="P50" s="121">
        <f>VLOOKUP($B50,'Tillförd energi'!$B$1:$AI$720,MATCH(P$1,'Tillförd energi'!$B$1:$AQ$1,0),FALSE)</f>
        <v>17.831</v>
      </c>
      <c r="Q50" s="121">
        <f>VLOOKUP($B50,'Tillförd energi'!$B$1:$AI$720,MATCH(Q$1,'Tillförd energi'!$B$1:$AQ$1,0),FALSE)</f>
        <v>0</v>
      </c>
      <c r="R50" s="121">
        <f>VLOOKUP($B50,'Tillförd energi'!$B$1:$AI$720,MATCH(R$1,'Tillförd energi'!$B$1:$AQ$1,0),FALSE)</f>
        <v>7.6999999999999999E-2</v>
      </c>
      <c r="S50" s="121">
        <f>VLOOKUP($B50,'Tillförd energi'!$B$1:$AI$720,MATCH(S$1,'Tillförd energi'!$B$1:$AQ$1,0),FALSE)</f>
        <v>8.1959999999999997</v>
      </c>
      <c r="T50" s="121">
        <f>VLOOKUP($B50,'Tillförd energi'!$B$1:$AI$720,MATCH(T$1,'Tillförd energi'!$B$1:$AQ$1,0),FALSE)</f>
        <v>0</v>
      </c>
      <c r="U50" s="121">
        <f>VLOOKUP($B50,'Tillförd energi'!$B$1:$AI$720,MATCH(U$1,'Tillförd energi'!$B$1:$AQ$1,0),FALSE)</f>
        <v>0</v>
      </c>
      <c r="V50" s="121">
        <f>VLOOKUP($B50,'Tillförd energi'!$B$1:$AI$720,MATCH(V$1,'Tillförd energi'!$B$1:$AQ$1,0),FALSE)</f>
        <v>0</v>
      </c>
      <c r="W50" s="121">
        <f>VLOOKUP($B50,'Tillförd energi'!$B$1:$AI$720,MATCH(W$1,'Tillförd energi'!$B$1:$AQ$1,0),FALSE)</f>
        <v>0</v>
      </c>
      <c r="X50" s="121">
        <f>VLOOKUP($B50,'Tillförd energi'!$B$1:$AI$720,MATCH(X$1,'Tillförd energi'!$B$1:$AQ$1,0),FALSE)</f>
        <v>0</v>
      </c>
      <c r="Y50" s="121">
        <f>VLOOKUP($B50,'Tillförd energi'!$B$1:$AI$720,MATCH(Y$1,'Tillförd energi'!$B$1:$AQ$1,0),FALSE)</f>
        <v>0</v>
      </c>
      <c r="Z50" s="121">
        <f>VLOOKUP($B50,'Tillförd energi'!$B$1:$AI$720,MATCH(Z$1,'Tillförd energi'!$B$1:$AQ$1,0),FALSE)</f>
        <v>0</v>
      </c>
      <c r="AA50" s="121">
        <f>VLOOKUP($B50,'Tillförd energi'!$B$1:$AI$720,MATCH(AA$1,'Tillförd energi'!$B$1:$AQ$1,0),FALSE)</f>
        <v>0</v>
      </c>
      <c r="AB50" s="121">
        <f>VLOOKUP($B50,'Tillförd energi'!$B$1:$AI$720,MATCH(AB$1,'Tillförd energi'!$B$1:$AQ$1,0),FALSE)</f>
        <v>0</v>
      </c>
      <c r="AC50" s="121">
        <f>VLOOKUP($B50,'Tillförd energi'!$B$1:$AI$720,MATCH(AC$1,'Tillförd energi'!$B$1:$AQ$1,0),FALSE)</f>
        <v>7.0629999999999997</v>
      </c>
      <c r="AD50" s="121">
        <f>VLOOKUP($B50,'Tillförd energi'!$B$1:$AI$720,MATCH(AD$1,'Tillförd energi'!$B$1:$AQ$1,0),FALSE)</f>
        <v>0</v>
      </c>
      <c r="AE50" s="121">
        <f>VLOOKUP($B50,'Tillförd energi'!$B$1:$AI$720,MATCH(AE$1,'Tillförd energi'!$B$1:$AQ$1,0),FALSE)</f>
        <v>0</v>
      </c>
      <c r="AF50" s="121">
        <f>VLOOKUP($B50,'Tillförd energi'!$B$1:$AI$720,MATCH(AF$1,'Tillförd energi'!$B$1:$AQ$1,0),FALSE)</f>
        <v>0.69099999999999995</v>
      </c>
      <c r="AG50" s="121">
        <f>IFERROR(VLOOKUP(B50,Miljö!$B$1:$AC$550,MATCH("Köpt mängd produktionsspecifik fjärrvärme:",Miljö!$B$1:$AC$1,0),FALSE)/1,0)</f>
        <v>0</v>
      </c>
      <c r="AH50" s="121"/>
      <c r="AI50" s="121">
        <f t="shared" si="0"/>
        <v>51.799000000000007</v>
      </c>
      <c r="AJ50" s="121">
        <f t="shared" si="1"/>
        <v>51.799000000000007</v>
      </c>
      <c r="AK50" s="121">
        <f>IF(ISERROR(1/VLOOKUP($B50,Leveranser!$B$1:$S$499,MATCH("såld värme (gwh)",Leveranser!$B$1:$S$1,0),FALSE)),"",VLOOKUP($B50,Leveranser!$B$1:$S$499,MATCH("såld värme (gwh)",Leveranser!$B$1:$S$1,0),FALSE))</f>
        <v>35.369999999999997</v>
      </c>
      <c r="AL50" s="121">
        <f>VLOOKUP($B50,Leveranser!$B$1:$Y$499,MATCH("Totalt såld fjärrvärme till andra fjärrvärmeföretag",Leveranser!$B$1:$AA$1,0),FALSE)</f>
        <v>0</v>
      </c>
      <c r="AM50" s="121">
        <f>IF(ISERROR(1/VLOOKUP($B50,Miljö!$B$1:$S$500,MATCH("Såld mängd produktionsspecifik fjärrvärme (GWh)",Miljö!$B$1:$R$1,0),FALSE)),0,VLOOKUP($B50,Miljö!$B$1:$S$500,MATCH("Såld mängd produktionsspecifik fjärrvärme (GWh)",Miljö!$B$1:$R$1,0),FALSE))</f>
        <v>0</v>
      </c>
      <c r="AN50" s="172">
        <f t="shared" si="2"/>
        <v>0.6828317148979709</v>
      </c>
      <c r="AO50" s="121"/>
      <c r="AP50" s="121" t="str">
        <f>IFERROR(VLOOKUP($B50,Miljövärden!$B$2:$H$550,7,FALSE),"Nej, saknas")</f>
        <v>Ja</v>
      </c>
      <c r="AQ50" s="121" t="str">
        <f>IFERROR(VLOOKUP($B50,Miljövärden!$B$2:$H$550,6,FALSE),"Nej, saknas")</f>
        <v>Ja</v>
      </c>
      <c r="AU50">
        <f t="shared" si="3"/>
        <v>0.69099999999999995</v>
      </c>
      <c r="AV50">
        <f t="shared" si="4"/>
        <v>0</v>
      </c>
      <c r="AW50">
        <f t="shared" si="5"/>
        <v>35.772000000000006</v>
      </c>
      <c r="AX50">
        <f t="shared" si="6"/>
        <v>8.2729999999999997</v>
      </c>
      <c r="AZ50">
        <f t="shared" si="7"/>
        <v>44.045000000000002</v>
      </c>
      <c r="BC50">
        <f t="shared" si="8"/>
        <v>0</v>
      </c>
      <c r="BD50">
        <f t="shared" si="9"/>
        <v>0</v>
      </c>
      <c r="BE50">
        <f t="shared" si="10"/>
        <v>44.045000000000002</v>
      </c>
      <c r="BF50">
        <f t="shared" si="11"/>
        <v>7.0629999999999997</v>
      </c>
      <c r="BG50">
        <f t="shared" si="12"/>
        <v>0.69099999999999995</v>
      </c>
      <c r="BH50">
        <f>VLOOKUP(B50,Miljö!$B$1:$BX$482,MATCH("Fossilandel för ursprungspecificerad el ()",Miljö!$B$1:$I$1,0),FALSE)</f>
        <v>0</v>
      </c>
      <c r="BI50">
        <f>VLOOKUP(B50,Miljö!$B$1:$BX$482,MATCH("Kärnkraftsandel för ursprungsspecificerad el ()",Miljö!$B$1:$O$1,0),FALSE)</f>
        <v>0</v>
      </c>
      <c r="BJ50">
        <f t="shared" si="13"/>
        <v>0</v>
      </c>
      <c r="BK50" t="str">
        <f>VLOOKUP(B50,Miljö!$B$1:$O$482,MATCH("Fossil andel i procent (%)",Miljö!$B$1:$O$1,0),FALSE)</f>
        <v>ET</v>
      </c>
      <c r="BL50">
        <f t="shared" si="14"/>
        <v>51.799000000000007</v>
      </c>
      <c r="BO50" s="18">
        <f t="shared" si="15"/>
        <v>0</v>
      </c>
      <c r="BP50" s="18">
        <f t="shared" si="16"/>
        <v>0</v>
      </c>
      <c r="BQ50" s="18">
        <f t="shared" si="17"/>
        <v>0.8636460163323616</v>
      </c>
      <c r="BR50" s="18">
        <f t="shared" si="18"/>
        <v>0.13635398366763835</v>
      </c>
      <c r="BT50" s="27">
        <f t="shared" si="19"/>
        <v>1</v>
      </c>
      <c r="BW50" s="18">
        <f>IF(AP50="ja",VLOOKUP(B50,Miljövärden!$B$2:$H$550,MATCH("Total andel fossilt",Miljövärden!$B$2:$H$2,0),FALSE),"")</f>
        <v>0</v>
      </c>
      <c r="BZ50" s="28">
        <f t="shared" si="20"/>
        <v>0</v>
      </c>
      <c r="CA50" s="28">
        <f t="shared" si="21"/>
        <v>0</v>
      </c>
    </row>
    <row r="51" spans="1:79" x14ac:dyDescent="0.25">
      <c r="A51" s="224" t="s">
        <v>258</v>
      </c>
      <c r="B51" s="210" t="s">
        <v>260</v>
      </c>
      <c r="C51" s="121">
        <f>VLOOKUP($B51,'Tillförd energi'!$B$1:$AI$720,MATCH(C$1,'Tillförd energi'!$B$1:$AQ$1,0),FALSE)</f>
        <v>0</v>
      </c>
      <c r="D51" s="121">
        <f>VLOOKUP($B51,'Tillförd energi'!$B$1:$AI$720,MATCH(D$1,'Tillförd energi'!$B$1:$AQ$1,0),FALSE)</f>
        <v>0</v>
      </c>
      <c r="E51" s="121">
        <f>VLOOKUP($B51,'Tillförd energi'!$B$1:$AI$720,MATCH(E$1,'Tillförd energi'!$B$1:$AQ$1,0),FALSE)</f>
        <v>0</v>
      </c>
      <c r="F51" s="121">
        <f>VLOOKUP($B51,'Tillförd energi'!$B$1:$AI$720,MATCH(F$1,'Tillförd energi'!$B$1:$AQ$1,0),FALSE)</f>
        <v>0</v>
      </c>
      <c r="G51" s="121">
        <f>VLOOKUP($B51,'Tillförd energi'!$B$1:$AI$720,MATCH(G$1,'Tillförd energi'!$B$1:$AQ$1,0),FALSE)</f>
        <v>0</v>
      </c>
      <c r="H51" s="121">
        <f>VLOOKUP($B51,'Tillförd energi'!$B$1:$AI$720,MATCH(H$1,'Tillförd energi'!$B$1:$AQ$1,0),FALSE)</f>
        <v>0</v>
      </c>
      <c r="I51" s="121">
        <f>VLOOKUP($B51,'Tillförd energi'!$B$1:$AI$720,MATCH(I$1,'Tillförd energi'!$B$1:$AQ$1,0),FALSE)</f>
        <v>0</v>
      </c>
      <c r="J51" s="121">
        <f>VLOOKUP($B51,'Tillförd energi'!$B$1:$AI$720,MATCH(J$1,'Tillförd energi'!$B$1:$AQ$1,0),FALSE)</f>
        <v>0</v>
      </c>
      <c r="K51" s="121">
        <f>VLOOKUP($B51,'Tillförd energi'!$B$1:$AI$720,MATCH(K$1,'Tillförd energi'!$B$1:$AQ$1,0),FALSE)</f>
        <v>0</v>
      </c>
      <c r="L51" s="121">
        <f>VLOOKUP($B51,'Tillförd energi'!$B$1:$AI$720,MATCH(L$1,'Tillförd energi'!$B$1:$AQ$1,0),FALSE)</f>
        <v>0</v>
      </c>
      <c r="M51" s="121">
        <f>VLOOKUP($B51,'Tillförd energi'!$B$1:$AI$720,MATCH(M$1,'Tillförd energi'!$B$1:$AQ$1,0),FALSE)</f>
        <v>0</v>
      </c>
      <c r="N51" s="121">
        <f>VLOOKUP($B51,'Tillförd energi'!$B$1:$AI$720,MATCH(N$1,'Tillförd energi'!$B$1:$AQ$1,0),FALSE)</f>
        <v>0</v>
      </c>
      <c r="O51" s="121">
        <f>VLOOKUP($B51,'Tillförd energi'!$B$1:$AI$720,MATCH(O$1,'Tillförd energi'!$B$1:$AQ$1,0),FALSE)</f>
        <v>0</v>
      </c>
      <c r="P51" s="121">
        <f>VLOOKUP($B51,'Tillförd energi'!$B$1:$AI$720,MATCH(P$1,'Tillförd energi'!$B$1:$AQ$1,0),FALSE)</f>
        <v>0</v>
      </c>
      <c r="Q51" s="121">
        <f>VLOOKUP($B51,'Tillförd energi'!$B$1:$AI$720,MATCH(Q$1,'Tillförd energi'!$B$1:$AQ$1,0),FALSE)</f>
        <v>0</v>
      </c>
      <c r="R51" s="121">
        <f>VLOOKUP($B51,'Tillförd energi'!$B$1:$AI$720,MATCH(R$1,'Tillförd energi'!$B$1:$AQ$1,0),FALSE)</f>
        <v>0</v>
      </c>
      <c r="S51" s="121">
        <f>VLOOKUP($B51,'Tillförd energi'!$B$1:$AI$720,MATCH(S$1,'Tillförd energi'!$B$1:$AQ$1,0),FALSE)</f>
        <v>0</v>
      </c>
      <c r="T51" s="121">
        <f>VLOOKUP($B51,'Tillförd energi'!$B$1:$AI$720,MATCH(T$1,'Tillförd energi'!$B$1:$AQ$1,0),FALSE)</f>
        <v>0</v>
      </c>
      <c r="U51" s="121">
        <f>VLOOKUP($B51,'Tillförd energi'!$B$1:$AI$720,MATCH(U$1,'Tillförd energi'!$B$1:$AQ$1,0),FALSE)</f>
        <v>0</v>
      </c>
      <c r="V51" s="121">
        <f>VLOOKUP($B51,'Tillförd energi'!$B$1:$AI$720,MATCH(V$1,'Tillförd energi'!$B$1:$AQ$1,0),FALSE)</f>
        <v>0</v>
      </c>
      <c r="W51" s="121">
        <f>VLOOKUP($B51,'Tillförd energi'!$B$1:$AI$720,MATCH(W$1,'Tillförd energi'!$B$1:$AQ$1,0),FALSE)</f>
        <v>0</v>
      </c>
      <c r="X51" s="121">
        <f>VLOOKUP($B51,'Tillförd energi'!$B$1:$AI$720,MATCH(X$1,'Tillförd energi'!$B$1:$AQ$1,0),FALSE)</f>
        <v>0</v>
      </c>
      <c r="Y51" s="121">
        <f>VLOOKUP($B51,'Tillförd energi'!$B$1:$AI$720,MATCH(Y$1,'Tillförd energi'!$B$1:$AQ$1,0),FALSE)</f>
        <v>0</v>
      </c>
      <c r="Z51" s="121">
        <f>VLOOKUP($B51,'Tillförd energi'!$B$1:$AI$720,MATCH(Z$1,'Tillförd energi'!$B$1:$AQ$1,0),FALSE)</f>
        <v>0</v>
      </c>
      <c r="AA51" s="121">
        <f>VLOOKUP($B51,'Tillförd energi'!$B$1:$AI$720,MATCH(AA$1,'Tillförd energi'!$B$1:$AQ$1,0),FALSE)</f>
        <v>0</v>
      </c>
      <c r="AB51" s="121">
        <f>VLOOKUP($B51,'Tillförd energi'!$B$1:$AI$720,MATCH(AB$1,'Tillförd energi'!$B$1:$AQ$1,0),FALSE)</f>
        <v>0</v>
      </c>
      <c r="AC51" s="121">
        <f>VLOOKUP($B51,'Tillförd energi'!$B$1:$AI$720,MATCH(AC$1,'Tillförd energi'!$B$1:$AQ$1,0),FALSE)</f>
        <v>0</v>
      </c>
      <c r="AD51" s="121">
        <f>VLOOKUP($B51,'Tillförd energi'!$B$1:$AI$720,MATCH(AD$1,'Tillförd energi'!$B$1:$AQ$1,0),FALSE)</f>
        <v>0</v>
      </c>
      <c r="AE51" s="121">
        <f>VLOOKUP($B51,'Tillförd energi'!$B$1:$AI$720,MATCH(AE$1,'Tillförd energi'!$B$1:$AQ$1,0),FALSE)</f>
        <v>0</v>
      </c>
      <c r="AF51" s="121">
        <f>VLOOKUP($B51,'Tillförd energi'!$B$1:$AI$720,MATCH(AF$1,'Tillförd energi'!$B$1:$AQ$1,0),FALSE)</f>
        <v>0</v>
      </c>
      <c r="AG51" s="121">
        <f>IFERROR(VLOOKUP(B51,Miljö!$B$1:$AC$550,MATCH("Köpt mängd produktionsspecifik fjärrvärme:",Miljö!$B$1:$AC$1,0),FALSE)/1,0)</f>
        <v>0</v>
      </c>
      <c r="AH51" s="121"/>
      <c r="AI51" s="121">
        <f t="shared" ref="AI51:AI102" si="22">SUM(C51:AF51)</f>
        <v>0</v>
      </c>
      <c r="AJ51" s="121">
        <f t="shared" ref="AJ51:AJ102" si="23">SUM(C51:AG51)</f>
        <v>0</v>
      </c>
      <c r="AK51" s="121" t="str">
        <f>IF(ISERROR(1/VLOOKUP($B51,Leveranser!$B$1:$S$499,MATCH("såld värme (gwh)",Leveranser!$B$1:$S$1,0),FALSE)),"",VLOOKUP($B51,Leveranser!$B$1:$S$499,MATCH("såld värme (gwh)",Leveranser!$B$1:$S$1,0),FALSE))</f>
        <v/>
      </c>
      <c r="AL51" s="121">
        <f>VLOOKUP($B51,Leveranser!$B$1:$Y$499,MATCH("Totalt såld fjärrvärme till andra fjärrvärmeföretag",Leveranser!$B$1:$AA$1,0),FALSE)</f>
        <v>0</v>
      </c>
      <c r="AM51" s="121">
        <f>IF(ISERROR(1/VLOOKUP($B51,Miljö!$B$1:$S$500,MATCH("Såld mängd produktionsspecifik fjärrvärme (GWh)",Miljö!$B$1:$R$1,0),FALSE)),0,VLOOKUP($B51,Miljö!$B$1:$S$500,MATCH("Såld mängd produktionsspecifik fjärrvärme (GWh)",Miljö!$B$1:$R$1,0),FALSE))</f>
        <v>0</v>
      </c>
      <c r="AN51" s="172" t="str">
        <f t="shared" ref="AN51:AN102" si="24">IFERROR(AK51/AJ51,"")</f>
        <v/>
      </c>
      <c r="AO51" s="121"/>
      <c r="AP51" s="121" t="str">
        <f>IFERROR(VLOOKUP($B51,Miljövärden!$B$2:$H$550,7,FALSE),"Nej, saknas")</f>
        <v>Nej</v>
      </c>
      <c r="AQ51" s="121" t="str">
        <f>IFERROR(VLOOKUP($B51,Miljövärden!$B$2:$H$550,6,FALSE),"Nej, saknas")</f>
        <v>Nej</v>
      </c>
      <c r="AU51">
        <f t="shared" ref="AU51:AU102" si="25">Z51+AA51+AF51</f>
        <v>0</v>
      </c>
      <c r="AV51">
        <f t="shared" ref="AV51:AV102" si="26">X51</f>
        <v>0</v>
      </c>
      <c r="AW51">
        <f t="shared" ref="AW51:AW102" si="27">M51+N51+O51+P51+Q51</f>
        <v>0</v>
      </c>
      <c r="AX51">
        <f t="shared" ref="AX51:AX102" si="28">R51+S51+T51+U51</f>
        <v>0</v>
      </c>
      <c r="AZ51">
        <f t="shared" ref="AZ51:AZ102" si="29">L51+M51+N51+O51+P51+Q51+R51+S51+T51+U51+V51+W51+X51</f>
        <v>0</v>
      </c>
      <c r="BC51">
        <f t="shared" ref="BC51:BC102" si="30">C51+D51+E51+F51+G51+H51+AE51</f>
        <v>0</v>
      </c>
      <c r="BD51">
        <f t="shared" ref="BD51:BD102" si="31">Y51</f>
        <v>0</v>
      </c>
      <c r="BE51">
        <f t="shared" ref="BE51:BE102" si="32">M51+N51+O51+P51+Q51+R51+S51+T51+U51+V51+W51+X51</f>
        <v>0</v>
      </c>
      <c r="BF51">
        <f t="shared" ref="BF51:BF102" si="33">I51+J51+K51+L51+AB51+AC51+AD51</f>
        <v>0</v>
      </c>
      <c r="BG51">
        <f t="shared" ref="BG51:BG102" si="34">Z51+AA51+AF51</f>
        <v>0</v>
      </c>
      <c r="BH51" t="str">
        <f>VLOOKUP(B51,Miljö!$B$1:$BX$482,MATCH("Fossilandel för ursprungspecificerad el ()",Miljö!$B$1:$I$1,0),FALSE)</f>
        <v>-</v>
      </c>
      <c r="BI51" t="str">
        <f>VLOOKUP(B51,Miljö!$B$1:$BX$482,MATCH("Kärnkraftsandel för ursprungsspecificerad el ()",Miljö!$B$1:$O$1,0),FALSE)</f>
        <v>-</v>
      </c>
      <c r="BJ51">
        <f t="shared" ref="BJ51:BJ102" si="35">AG51</f>
        <v>0</v>
      </c>
      <c r="BK51" t="str">
        <f>VLOOKUP(B51,Miljö!$B$1:$O$482,MATCH("Fossil andel i procent (%)",Miljö!$B$1:$O$1,0),FALSE)</f>
        <v>-</v>
      </c>
      <c r="BL51">
        <f t="shared" ref="BL51:BL102" si="36">SUM(BC51:BG51,BJ51)</f>
        <v>0</v>
      </c>
      <c r="BO51" s="18" t="str">
        <f t="shared" ref="BO51:BO102" si="37">IF(AP51="ja",(BC51+IFERROR(BG51*BH51,0)+IFERROR(BJ51*BK51/100,0))/$BL51,"")</f>
        <v/>
      </c>
      <c r="BP51" s="18" t="str">
        <f t="shared" ref="BP51:BP102" si="38">IF(AP51="ja",(BD51+IFERROR(BG51*BI51,0)+IFERROR(BJ51*(1-BK51/100),0))/$BL51,"")</f>
        <v/>
      </c>
      <c r="BQ51" s="18" t="str">
        <f t="shared" ref="BQ51:BQ102" si="39">IF(AP51="ja",(BE51+IFERROR(BG51*(1-BH51-BI51),0))/$BL51,"")</f>
        <v/>
      </c>
      <c r="BR51" s="18" t="str">
        <f t="shared" ref="BR51:BR102" si="40">IF(AP51="ja",BF51/$BL51,"")</f>
        <v/>
      </c>
      <c r="BT51" s="27">
        <f t="shared" ref="BT51:BT102" si="41">SUM(BO51:BR51)</f>
        <v>0</v>
      </c>
      <c r="BW51" s="18" t="str">
        <f>IF(AP51="ja",VLOOKUP(B51,Miljövärden!$B$2:$H$550,MATCH("Total andel fossilt",Miljövärden!$B$2:$H$2,0),FALSE),"")</f>
        <v/>
      </c>
      <c r="BZ51" s="28" t="str">
        <f t="shared" ref="BZ51:BZ102" si="42">IFERROR(BW51-BO51,"")</f>
        <v/>
      </c>
      <c r="CA51" s="28" t="str">
        <f t="shared" ref="CA51:CA102" si="43">IFERROR(ROUND(BW51,3)-ROUND(BO51,3),"")</f>
        <v/>
      </c>
    </row>
    <row r="52" spans="1:79" x14ac:dyDescent="0.25">
      <c r="A52" s="224" t="s">
        <v>258</v>
      </c>
      <c r="B52" s="210" t="s">
        <v>261</v>
      </c>
      <c r="C52" s="121">
        <f>VLOOKUP($B52,'Tillförd energi'!$B$1:$AI$720,MATCH(C$1,'Tillförd energi'!$B$1:$AQ$1,0),FALSE)</f>
        <v>0</v>
      </c>
      <c r="D52" s="121">
        <f>VLOOKUP($B52,'Tillförd energi'!$B$1:$AI$720,MATCH(D$1,'Tillförd energi'!$B$1:$AQ$1,0),FALSE)</f>
        <v>1.4999999999999999E-2</v>
      </c>
      <c r="E52" s="121">
        <f>VLOOKUP($B52,'Tillförd energi'!$B$1:$AI$720,MATCH(E$1,'Tillförd energi'!$B$1:$AQ$1,0),FALSE)</f>
        <v>0</v>
      </c>
      <c r="F52" s="121">
        <f>VLOOKUP($B52,'Tillförd energi'!$B$1:$AI$720,MATCH(F$1,'Tillförd energi'!$B$1:$AQ$1,0),FALSE)</f>
        <v>0</v>
      </c>
      <c r="G52" s="121">
        <f>VLOOKUP($B52,'Tillförd energi'!$B$1:$AI$720,MATCH(G$1,'Tillförd energi'!$B$1:$AQ$1,0),FALSE)</f>
        <v>0</v>
      </c>
      <c r="H52" s="121">
        <f>VLOOKUP($B52,'Tillförd energi'!$B$1:$AI$720,MATCH(H$1,'Tillförd energi'!$B$1:$AQ$1,0),FALSE)</f>
        <v>0</v>
      </c>
      <c r="I52" s="121">
        <f>VLOOKUP($B52,'Tillförd energi'!$B$1:$AI$720,MATCH(I$1,'Tillförd energi'!$B$1:$AQ$1,0),FALSE)</f>
        <v>0</v>
      </c>
      <c r="J52" s="121">
        <f>VLOOKUP($B52,'Tillförd energi'!$B$1:$AI$720,MATCH(J$1,'Tillförd energi'!$B$1:$AQ$1,0),FALSE)</f>
        <v>0</v>
      </c>
      <c r="K52" s="121">
        <f>VLOOKUP($B52,'Tillförd energi'!$B$1:$AI$720,MATCH(K$1,'Tillförd energi'!$B$1:$AQ$1,0),FALSE)</f>
        <v>0</v>
      </c>
      <c r="L52" s="121">
        <f>VLOOKUP($B52,'Tillförd energi'!$B$1:$AI$720,MATCH(L$1,'Tillförd energi'!$B$1:$AQ$1,0),FALSE)</f>
        <v>0</v>
      </c>
      <c r="M52" s="121">
        <f>VLOOKUP($B52,'Tillförd energi'!$B$1:$AI$720,MATCH(M$1,'Tillförd energi'!$B$1:$AQ$1,0),FALSE)</f>
        <v>0</v>
      </c>
      <c r="N52" s="121">
        <f>VLOOKUP($B52,'Tillförd energi'!$B$1:$AI$720,MATCH(N$1,'Tillförd energi'!$B$1:$AQ$1,0),FALSE)</f>
        <v>0</v>
      </c>
      <c r="O52" s="121">
        <f>VLOOKUP($B52,'Tillförd energi'!$B$1:$AI$720,MATCH(O$1,'Tillförd energi'!$B$1:$AQ$1,0),FALSE)</f>
        <v>0</v>
      </c>
      <c r="P52" s="121">
        <f>VLOOKUP($B52,'Tillförd energi'!$B$1:$AI$720,MATCH(P$1,'Tillförd energi'!$B$1:$AQ$1,0),FALSE)</f>
        <v>0</v>
      </c>
      <c r="Q52" s="121">
        <f>VLOOKUP($B52,'Tillförd energi'!$B$1:$AI$720,MATCH(Q$1,'Tillförd energi'!$B$1:$AQ$1,0),FALSE)</f>
        <v>0</v>
      </c>
      <c r="R52" s="121">
        <f>VLOOKUP($B52,'Tillförd energi'!$B$1:$AI$720,MATCH(R$1,'Tillförd energi'!$B$1:$AQ$1,0),FALSE)</f>
        <v>1.851</v>
      </c>
      <c r="S52" s="121">
        <f>VLOOKUP($B52,'Tillförd energi'!$B$1:$AI$720,MATCH(S$1,'Tillförd energi'!$B$1:$AQ$1,0),FALSE)</f>
        <v>0</v>
      </c>
      <c r="T52" s="121">
        <f>VLOOKUP($B52,'Tillförd energi'!$B$1:$AI$720,MATCH(T$1,'Tillförd energi'!$B$1:$AQ$1,0),FALSE)</f>
        <v>0</v>
      </c>
      <c r="U52" s="121">
        <f>VLOOKUP($B52,'Tillförd energi'!$B$1:$AI$720,MATCH(U$1,'Tillförd energi'!$B$1:$AQ$1,0),FALSE)</f>
        <v>0</v>
      </c>
      <c r="V52" s="121">
        <f>VLOOKUP($B52,'Tillförd energi'!$B$1:$AI$720,MATCH(V$1,'Tillförd energi'!$B$1:$AQ$1,0),FALSE)</f>
        <v>0</v>
      </c>
      <c r="W52" s="121">
        <f>VLOOKUP($B52,'Tillförd energi'!$B$1:$AI$720,MATCH(W$1,'Tillförd energi'!$B$1:$AQ$1,0),FALSE)</f>
        <v>0</v>
      </c>
      <c r="X52" s="121">
        <f>VLOOKUP($B52,'Tillförd energi'!$B$1:$AI$720,MATCH(X$1,'Tillförd energi'!$B$1:$AQ$1,0),FALSE)</f>
        <v>0</v>
      </c>
      <c r="Y52" s="121">
        <f>VLOOKUP($B52,'Tillförd energi'!$B$1:$AI$720,MATCH(Y$1,'Tillförd energi'!$B$1:$AQ$1,0),FALSE)</f>
        <v>0</v>
      </c>
      <c r="Z52" s="121">
        <f>VLOOKUP($B52,'Tillförd energi'!$B$1:$AI$720,MATCH(Z$1,'Tillförd energi'!$B$1:$AQ$1,0),FALSE)</f>
        <v>0</v>
      </c>
      <c r="AA52" s="121">
        <f>VLOOKUP($B52,'Tillförd energi'!$B$1:$AI$720,MATCH(AA$1,'Tillförd energi'!$B$1:$AQ$1,0),FALSE)</f>
        <v>0</v>
      </c>
      <c r="AB52" s="121">
        <f>VLOOKUP($B52,'Tillförd energi'!$B$1:$AI$720,MATCH(AB$1,'Tillförd energi'!$B$1:$AQ$1,0),FALSE)</f>
        <v>0</v>
      </c>
      <c r="AC52" s="121">
        <f>VLOOKUP($B52,'Tillförd energi'!$B$1:$AI$720,MATCH(AC$1,'Tillförd energi'!$B$1:$AQ$1,0),FALSE)</f>
        <v>0</v>
      </c>
      <c r="AD52" s="121">
        <f>VLOOKUP($B52,'Tillförd energi'!$B$1:$AI$720,MATCH(AD$1,'Tillförd energi'!$B$1:$AQ$1,0),FALSE)</f>
        <v>0</v>
      </c>
      <c r="AE52" s="121">
        <f>VLOOKUP($B52,'Tillförd energi'!$B$1:$AI$720,MATCH(AE$1,'Tillförd energi'!$B$1:$AQ$1,0),FALSE)</f>
        <v>0</v>
      </c>
      <c r="AF52" s="121">
        <f>VLOOKUP($B52,'Tillförd energi'!$B$1:$AI$720,MATCH(AF$1,'Tillförd energi'!$B$1:$AQ$1,0),FALSE)</f>
        <v>4.5999999999999999E-2</v>
      </c>
      <c r="AG52" s="121">
        <f>IFERROR(VLOOKUP(B52,Miljö!$B$1:$AC$550,MATCH("Köpt mängd produktionsspecifik fjärrvärme:",Miljö!$B$1:$AC$1,0),FALSE)/1,0)</f>
        <v>0</v>
      </c>
      <c r="AH52" s="121"/>
      <c r="AI52" s="121">
        <f t="shared" si="22"/>
        <v>1.9119999999999999</v>
      </c>
      <c r="AJ52" s="121">
        <f t="shared" si="23"/>
        <v>1.9119999999999999</v>
      </c>
      <c r="AK52" s="121">
        <f>IF(ISERROR(1/VLOOKUP($B52,Leveranser!$B$1:$S$499,MATCH("såld värme (gwh)",Leveranser!$B$1:$S$1,0),FALSE)),"",VLOOKUP($B52,Leveranser!$B$1:$S$499,MATCH("såld värme (gwh)",Leveranser!$B$1:$S$1,0),FALSE))</f>
        <v>1.78</v>
      </c>
      <c r="AL52" s="121">
        <f>VLOOKUP($B52,Leveranser!$B$1:$Y$499,MATCH("Totalt såld fjärrvärme till andra fjärrvärmeföretag",Leveranser!$B$1:$AA$1,0),FALSE)</f>
        <v>0</v>
      </c>
      <c r="AM52" s="121">
        <f>IF(ISERROR(1/VLOOKUP($B52,Miljö!$B$1:$S$500,MATCH("Såld mängd produktionsspecifik fjärrvärme (GWh)",Miljö!$B$1:$R$1,0),FALSE)),0,VLOOKUP($B52,Miljö!$B$1:$S$500,MATCH("Såld mängd produktionsspecifik fjärrvärme (GWh)",Miljö!$B$1:$R$1,0),FALSE))</f>
        <v>0</v>
      </c>
      <c r="AN52" s="172">
        <f t="shared" si="24"/>
        <v>0.93096234309623438</v>
      </c>
      <c r="AO52" s="121"/>
      <c r="AP52" s="121" t="str">
        <f>IFERROR(VLOOKUP($B52,Miljövärden!$B$2:$H$550,7,FALSE),"Nej, saknas")</f>
        <v>Ja</v>
      </c>
      <c r="AQ52" s="121" t="str">
        <f>IFERROR(VLOOKUP($B52,Miljövärden!$B$2:$H$550,6,FALSE),"Nej, saknas")</f>
        <v>Nej</v>
      </c>
      <c r="AU52">
        <f t="shared" si="25"/>
        <v>4.5999999999999999E-2</v>
      </c>
      <c r="AV52">
        <f t="shared" si="26"/>
        <v>0</v>
      </c>
      <c r="AW52">
        <f t="shared" si="27"/>
        <v>0</v>
      </c>
      <c r="AX52">
        <f t="shared" si="28"/>
        <v>1.851</v>
      </c>
      <c r="AZ52">
        <f t="shared" si="29"/>
        <v>1.851</v>
      </c>
      <c r="BC52">
        <f t="shared" si="30"/>
        <v>1.4999999999999999E-2</v>
      </c>
      <c r="BD52">
        <f t="shared" si="31"/>
        <v>0</v>
      </c>
      <c r="BE52">
        <f t="shared" si="32"/>
        <v>1.851</v>
      </c>
      <c r="BF52">
        <f t="shared" si="33"/>
        <v>0</v>
      </c>
      <c r="BG52">
        <f t="shared" si="34"/>
        <v>4.5999999999999999E-2</v>
      </c>
      <c r="BH52">
        <f>VLOOKUP(B52,Miljö!$B$1:$BX$482,MATCH("Fossilandel för ursprungspecificerad el ()",Miljö!$B$1:$I$1,0),FALSE)</f>
        <v>0</v>
      </c>
      <c r="BI52">
        <f>VLOOKUP(B52,Miljö!$B$1:$BX$482,MATCH("Kärnkraftsandel för ursprungsspecificerad el ()",Miljö!$B$1:$O$1,0),FALSE)</f>
        <v>0</v>
      </c>
      <c r="BJ52">
        <f t="shared" si="35"/>
        <v>0</v>
      </c>
      <c r="BK52" t="str">
        <f>VLOOKUP(B52,Miljö!$B$1:$O$482,MATCH("Fossil andel i procent (%)",Miljö!$B$1:$O$1,0),FALSE)</f>
        <v>ET</v>
      </c>
      <c r="BL52">
        <f t="shared" si="36"/>
        <v>1.9119999999999999</v>
      </c>
      <c r="BO52" s="18">
        <f t="shared" si="37"/>
        <v>7.8451882845188281E-3</v>
      </c>
      <c r="BP52" s="18">
        <f t="shared" si="38"/>
        <v>0</v>
      </c>
      <c r="BQ52" s="18">
        <f t="shared" si="39"/>
        <v>0.99215481171548126</v>
      </c>
      <c r="BR52" s="18">
        <f t="shared" si="40"/>
        <v>0</v>
      </c>
      <c r="BT52" s="27">
        <f t="shared" si="41"/>
        <v>1</v>
      </c>
      <c r="BW52" s="18">
        <f>IF(AP52="ja",VLOOKUP(B52,Miljövärden!$B$2:$H$550,MATCH("Total andel fossilt",Miljövärden!$B$2:$H$2,0),FALSE),"")</f>
        <v>7.8451900000000001E-3</v>
      </c>
      <c r="BZ52" s="28">
        <f t="shared" si="42"/>
        <v>1.7154811720460073E-9</v>
      </c>
      <c r="CA52" s="28">
        <f t="shared" si="43"/>
        <v>0</v>
      </c>
    </row>
    <row r="53" spans="1:79" x14ac:dyDescent="0.25">
      <c r="A53" s="224" t="s">
        <v>258</v>
      </c>
      <c r="B53" s="210" t="s">
        <v>262</v>
      </c>
      <c r="C53" s="121">
        <f>VLOOKUP($B53,'Tillförd energi'!$B$1:$AI$720,MATCH(C$1,'Tillförd energi'!$B$1:$AQ$1,0),FALSE)</f>
        <v>0</v>
      </c>
      <c r="D53" s="121">
        <f>VLOOKUP($B53,'Tillförd energi'!$B$1:$AI$720,MATCH(D$1,'Tillförd energi'!$B$1:$AQ$1,0),FALSE)</f>
        <v>1.17E-2</v>
      </c>
      <c r="E53" s="121">
        <f>VLOOKUP($B53,'Tillförd energi'!$B$1:$AI$720,MATCH(E$1,'Tillförd energi'!$B$1:$AQ$1,0),FALSE)</f>
        <v>0</v>
      </c>
      <c r="F53" s="121">
        <f>VLOOKUP($B53,'Tillförd energi'!$B$1:$AI$720,MATCH(F$1,'Tillförd energi'!$B$1:$AQ$1,0),FALSE)</f>
        <v>0</v>
      </c>
      <c r="G53" s="121">
        <f>VLOOKUP($B53,'Tillförd energi'!$B$1:$AI$720,MATCH(G$1,'Tillförd energi'!$B$1:$AQ$1,0),FALSE)</f>
        <v>0</v>
      </c>
      <c r="H53" s="121">
        <f>VLOOKUP($B53,'Tillförd energi'!$B$1:$AI$720,MATCH(H$1,'Tillförd energi'!$B$1:$AQ$1,0),FALSE)</f>
        <v>0</v>
      </c>
      <c r="I53" s="121">
        <f>VLOOKUP($B53,'Tillförd energi'!$B$1:$AI$720,MATCH(I$1,'Tillförd energi'!$B$1:$AQ$1,0),FALSE)</f>
        <v>0</v>
      </c>
      <c r="J53" s="121">
        <f>VLOOKUP($B53,'Tillförd energi'!$B$1:$AI$720,MATCH(J$1,'Tillförd energi'!$B$1:$AQ$1,0),FALSE)</f>
        <v>0</v>
      </c>
      <c r="K53" s="121">
        <f>VLOOKUP($B53,'Tillförd energi'!$B$1:$AI$720,MATCH(K$1,'Tillförd energi'!$B$1:$AQ$1,0),FALSE)</f>
        <v>0</v>
      </c>
      <c r="L53" s="121">
        <f>VLOOKUP($B53,'Tillförd energi'!$B$1:$AI$720,MATCH(L$1,'Tillförd energi'!$B$1:$AQ$1,0),FALSE)</f>
        <v>0</v>
      </c>
      <c r="M53" s="121">
        <f>VLOOKUP($B53,'Tillförd energi'!$B$1:$AI$720,MATCH(M$1,'Tillförd energi'!$B$1:$AQ$1,0),FALSE)</f>
        <v>0</v>
      </c>
      <c r="N53" s="121">
        <f>VLOOKUP($B53,'Tillförd energi'!$B$1:$AI$720,MATCH(N$1,'Tillförd energi'!$B$1:$AQ$1,0),FALSE)</f>
        <v>0</v>
      </c>
      <c r="O53" s="121">
        <f>VLOOKUP($B53,'Tillförd energi'!$B$1:$AI$720,MATCH(O$1,'Tillförd energi'!$B$1:$AQ$1,0),FALSE)</f>
        <v>0</v>
      </c>
      <c r="P53" s="121">
        <f>VLOOKUP($B53,'Tillförd energi'!$B$1:$AI$720,MATCH(P$1,'Tillförd energi'!$B$1:$AQ$1,0),FALSE)</f>
        <v>0</v>
      </c>
      <c r="Q53" s="121">
        <f>VLOOKUP($B53,'Tillförd energi'!$B$1:$AI$720,MATCH(Q$1,'Tillförd energi'!$B$1:$AQ$1,0),FALSE)</f>
        <v>0</v>
      </c>
      <c r="R53" s="121">
        <f>VLOOKUP($B53,'Tillförd energi'!$B$1:$AI$720,MATCH(R$1,'Tillförd energi'!$B$1:$AQ$1,0),FALSE)</f>
        <v>0.60399999999999998</v>
      </c>
      <c r="S53" s="121">
        <f>VLOOKUP($B53,'Tillförd energi'!$B$1:$AI$720,MATCH(S$1,'Tillförd energi'!$B$1:$AQ$1,0),FALSE)</f>
        <v>0</v>
      </c>
      <c r="T53" s="121">
        <f>VLOOKUP($B53,'Tillförd energi'!$B$1:$AI$720,MATCH(T$1,'Tillförd energi'!$B$1:$AQ$1,0),FALSE)</f>
        <v>0</v>
      </c>
      <c r="U53" s="121">
        <f>VLOOKUP($B53,'Tillförd energi'!$B$1:$AI$720,MATCH(U$1,'Tillförd energi'!$B$1:$AQ$1,0),FALSE)</f>
        <v>0</v>
      </c>
      <c r="V53" s="121">
        <f>VLOOKUP($B53,'Tillförd energi'!$B$1:$AI$720,MATCH(V$1,'Tillförd energi'!$B$1:$AQ$1,0),FALSE)</f>
        <v>0</v>
      </c>
      <c r="W53" s="121">
        <f>VLOOKUP($B53,'Tillförd energi'!$B$1:$AI$720,MATCH(W$1,'Tillförd energi'!$B$1:$AQ$1,0),FALSE)</f>
        <v>0</v>
      </c>
      <c r="X53" s="121">
        <f>VLOOKUP($B53,'Tillförd energi'!$B$1:$AI$720,MATCH(X$1,'Tillförd energi'!$B$1:$AQ$1,0),FALSE)</f>
        <v>0</v>
      </c>
      <c r="Y53" s="121">
        <f>VLOOKUP($B53,'Tillförd energi'!$B$1:$AI$720,MATCH(Y$1,'Tillförd energi'!$B$1:$AQ$1,0),FALSE)</f>
        <v>0</v>
      </c>
      <c r="Z53" s="121">
        <f>VLOOKUP($B53,'Tillförd energi'!$B$1:$AI$720,MATCH(Z$1,'Tillförd energi'!$B$1:$AQ$1,0),FALSE)</f>
        <v>0</v>
      </c>
      <c r="AA53" s="121">
        <f>VLOOKUP($B53,'Tillförd energi'!$B$1:$AI$720,MATCH(AA$1,'Tillförd energi'!$B$1:$AQ$1,0),FALSE)</f>
        <v>0</v>
      </c>
      <c r="AB53" s="121">
        <f>VLOOKUP($B53,'Tillförd energi'!$B$1:$AI$720,MATCH(AB$1,'Tillförd energi'!$B$1:$AQ$1,0),FALSE)</f>
        <v>0</v>
      </c>
      <c r="AC53" s="121">
        <f>VLOOKUP($B53,'Tillförd energi'!$B$1:$AI$720,MATCH(AC$1,'Tillförd energi'!$B$1:$AQ$1,0),FALSE)</f>
        <v>0</v>
      </c>
      <c r="AD53" s="121">
        <f>VLOOKUP($B53,'Tillförd energi'!$B$1:$AI$720,MATCH(AD$1,'Tillförd energi'!$B$1:$AQ$1,0),FALSE)</f>
        <v>0</v>
      </c>
      <c r="AE53" s="121">
        <f>VLOOKUP($B53,'Tillförd energi'!$B$1:$AI$720,MATCH(AE$1,'Tillförd energi'!$B$1:$AQ$1,0),FALSE)</f>
        <v>0</v>
      </c>
      <c r="AF53" s="121">
        <f>VLOOKUP($B53,'Tillförd energi'!$B$1:$AI$720,MATCH(AF$1,'Tillförd energi'!$B$1:$AQ$1,0),FALSE)</f>
        <v>1.6619999999999999E-2</v>
      </c>
      <c r="AG53" s="121">
        <f>IFERROR(VLOOKUP(B53,Miljö!$B$1:$AC$550,MATCH("Köpt mängd produktionsspecifik fjärrvärme:",Miljö!$B$1:$AC$1,0),FALSE)/1,0)</f>
        <v>0</v>
      </c>
      <c r="AH53" s="121"/>
      <c r="AI53" s="121">
        <f t="shared" si="22"/>
        <v>0.63231999999999999</v>
      </c>
      <c r="AJ53" s="121">
        <f t="shared" si="23"/>
        <v>0.63231999999999999</v>
      </c>
      <c r="AK53" s="121">
        <f>IF(ISERROR(1/VLOOKUP($B53,Leveranser!$B$1:$S$499,MATCH("såld värme (gwh)",Leveranser!$B$1:$S$1,0),FALSE)),"",VLOOKUP($B53,Leveranser!$B$1:$S$499,MATCH("såld värme (gwh)",Leveranser!$B$1:$S$1,0),FALSE))</f>
        <v>0.55400000000000005</v>
      </c>
      <c r="AL53" s="121">
        <f>VLOOKUP($B53,Leveranser!$B$1:$Y$499,MATCH("Totalt såld fjärrvärme till andra fjärrvärmeföretag",Leveranser!$B$1:$AA$1,0),FALSE)</f>
        <v>0</v>
      </c>
      <c r="AM53" s="121">
        <f>IF(ISERROR(1/VLOOKUP($B53,Miljö!$B$1:$S$500,MATCH("Såld mängd produktionsspecifik fjärrvärme (GWh)",Miljö!$B$1:$R$1,0),FALSE)),0,VLOOKUP($B53,Miljö!$B$1:$S$500,MATCH("Såld mängd produktionsspecifik fjärrvärme (GWh)",Miljö!$B$1:$R$1,0),FALSE))</f>
        <v>0</v>
      </c>
      <c r="AN53" s="172">
        <f t="shared" si="24"/>
        <v>0.87613866396761142</v>
      </c>
      <c r="AO53" s="121"/>
      <c r="AP53" s="121" t="str">
        <f>IFERROR(VLOOKUP($B53,Miljövärden!$B$2:$H$550,7,FALSE),"Nej, saknas")</f>
        <v>Ja</v>
      </c>
      <c r="AQ53" s="121" t="str">
        <f>IFERROR(VLOOKUP($B53,Miljövärden!$B$2:$H$550,6,FALSE),"Nej, saknas")</f>
        <v>Nej</v>
      </c>
      <c r="AU53">
        <f t="shared" si="25"/>
        <v>1.6619999999999999E-2</v>
      </c>
      <c r="AV53">
        <f t="shared" si="26"/>
        <v>0</v>
      </c>
      <c r="AW53">
        <f t="shared" si="27"/>
        <v>0</v>
      </c>
      <c r="AX53">
        <f t="shared" si="28"/>
        <v>0.60399999999999998</v>
      </c>
      <c r="AZ53">
        <f t="shared" si="29"/>
        <v>0.60399999999999998</v>
      </c>
      <c r="BC53">
        <f t="shared" si="30"/>
        <v>1.17E-2</v>
      </c>
      <c r="BD53">
        <f t="shared" si="31"/>
        <v>0</v>
      </c>
      <c r="BE53">
        <f t="shared" si="32"/>
        <v>0.60399999999999998</v>
      </c>
      <c r="BF53">
        <f t="shared" si="33"/>
        <v>0</v>
      </c>
      <c r="BG53">
        <f t="shared" si="34"/>
        <v>1.6619999999999999E-2</v>
      </c>
      <c r="BH53">
        <f>VLOOKUP(B53,Miljö!$B$1:$BX$482,MATCH("Fossilandel för ursprungspecificerad el ()",Miljö!$B$1:$I$1,0),FALSE)</f>
        <v>0</v>
      </c>
      <c r="BI53">
        <f>VLOOKUP(B53,Miljö!$B$1:$BX$482,MATCH("Kärnkraftsandel för ursprungsspecificerad el ()",Miljö!$B$1:$O$1,0),FALSE)</f>
        <v>0</v>
      </c>
      <c r="BJ53">
        <f t="shared" si="35"/>
        <v>0</v>
      </c>
      <c r="BK53" t="str">
        <f>VLOOKUP(B53,Miljö!$B$1:$O$482,MATCH("Fossil andel i procent (%)",Miljö!$B$1:$O$1,0),FALSE)</f>
        <v>ET</v>
      </c>
      <c r="BL53">
        <f t="shared" si="36"/>
        <v>0.63231999999999999</v>
      </c>
      <c r="BO53" s="18">
        <f t="shared" si="37"/>
        <v>1.8503289473684213E-2</v>
      </c>
      <c r="BP53" s="18">
        <f t="shared" si="38"/>
        <v>0</v>
      </c>
      <c r="BQ53" s="18">
        <f t="shared" si="39"/>
        <v>0.98149671052631571</v>
      </c>
      <c r="BR53" s="18">
        <f t="shared" si="40"/>
        <v>0</v>
      </c>
      <c r="BT53" s="27">
        <f t="shared" si="41"/>
        <v>0.99999999999999989</v>
      </c>
      <c r="BW53" s="18">
        <f>IF(AP53="ja",VLOOKUP(B53,Miljövärden!$B$2:$H$550,MATCH("Total andel fossilt",Miljövärden!$B$2:$H$2,0),FALSE),"")</f>
        <v>1.85033E-2</v>
      </c>
      <c r="BZ53" s="28">
        <f t="shared" si="42"/>
        <v>1.0526315787767748E-8</v>
      </c>
      <c r="CA53" s="28">
        <f t="shared" si="43"/>
        <v>0</v>
      </c>
    </row>
    <row r="54" spans="1:79" x14ac:dyDescent="0.25">
      <c r="A54" s="224" t="s">
        <v>263</v>
      </c>
      <c r="B54" s="210" t="s">
        <v>264</v>
      </c>
      <c r="C54" s="121">
        <f>VLOOKUP($B54,'Tillförd energi'!$B$1:$AI$720,MATCH(C$1,'Tillförd energi'!$B$1:$AQ$1,0),FALSE)</f>
        <v>0</v>
      </c>
      <c r="D54" s="121">
        <f>VLOOKUP($B54,'Tillförd energi'!$B$1:$AI$720,MATCH(D$1,'Tillförd energi'!$B$1:$AQ$1,0),FALSE)</f>
        <v>0</v>
      </c>
      <c r="E54" s="121">
        <f>VLOOKUP($B54,'Tillförd energi'!$B$1:$AI$720,MATCH(E$1,'Tillförd energi'!$B$1:$AQ$1,0),FALSE)</f>
        <v>0</v>
      </c>
      <c r="F54" s="121">
        <f>VLOOKUP($B54,'Tillförd energi'!$B$1:$AI$720,MATCH(F$1,'Tillförd energi'!$B$1:$AQ$1,0),FALSE)</f>
        <v>0</v>
      </c>
      <c r="G54" s="121">
        <f>VLOOKUP($B54,'Tillförd energi'!$B$1:$AI$720,MATCH(G$1,'Tillförd energi'!$B$1:$AQ$1,0),FALSE)</f>
        <v>0</v>
      </c>
      <c r="H54" s="121">
        <f>VLOOKUP($B54,'Tillförd energi'!$B$1:$AI$720,MATCH(H$1,'Tillförd energi'!$B$1:$AQ$1,0),FALSE)</f>
        <v>0</v>
      </c>
      <c r="I54" s="121">
        <f>VLOOKUP($B54,'Tillförd energi'!$B$1:$AI$720,MATCH(I$1,'Tillförd energi'!$B$1:$AQ$1,0),FALSE)</f>
        <v>0</v>
      </c>
      <c r="J54" s="121">
        <f>VLOOKUP($B54,'Tillförd energi'!$B$1:$AI$720,MATCH(J$1,'Tillförd energi'!$B$1:$AQ$1,0),FALSE)</f>
        <v>2.427</v>
      </c>
      <c r="K54" s="121">
        <f>VLOOKUP($B54,'Tillförd energi'!$B$1:$AI$720,MATCH(K$1,'Tillförd energi'!$B$1:$AQ$1,0),FALSE)</f>
        <v>0</v>
      </c>
      <c r="L54" s="121">
        <f>VLOOKUP($B54,'Tillförd energi'!$B$1:$AI$720,MATCH(L$1,'Tillförd energi'!$B$1:$AQ$1,0),FALSE)</f>
        <v>0</v>
      </c>
      <c r="M54" s="121">
        <f>VLOOKUP($B54,'Tillförd energi'!$B$1:$AI$720,MATCH(M$1,'Tillförd energi'!$B$1:$AQ$1,0),FALSE)</f>
        <v>0</v>
      </c>
      <c r="N54" s="121">
        <f>VLOOKUP($B54,'Tillförd energi'!$B$1:$AI$720,MATCH(N$1,'Tillförd energi'!$B$1:$AQ$1,0),FALSE)</f>
        <v>0</v>
      </c>
      <c r="O54" s="121">
        <f>VLOOKUP($B54,'Tillförd energi'!$B$1:$AI$720,MATCH(O$1,'Tillförd energi'!$B$1:$AQ$1,0),FALSE)</f>
        <v>0</v>
      </c>
      <c r="P54" s="121">
        <f>VLOOKUP($B54,'Tillförd energi'!$B$1:$AI$720,MATCH(P$1,'Tillförd energi'!$B$1:$AQ$1,0),FALSE)</f>
        <v>0</v>
      </c>
      <c r="Q54" s="121">
        <f>VLOOKUP($B54,'Tillförd energi'!$B$1:$AI$720,MATCH(Q$1,'Tillförd energi'!$B$1:$AQ$1,0),FALSE)</f>
        <v>0</v>
      </c>
      <c r="R54" s="121">
        <f>VLOOKUP($B54,'Tillförd energi'!$B$1:$AI$720,MATCH(R$1,'Tillförd energi'!$B$1:$AQ$1,0),FALSE)</f>
        <v>0</v>
      </c>
      <c r="S54" s="121">
        <f>VLOOKUP($B54,'Tillförd energi'!$B$1:$AI$720,MATCH(S$1,'Tillförd energi'!$B$1:$AQ$1,0),FALSE)</f>
        <v>0</v>
      </c>
      <c r="T54" s="121">
        <f>VLOOKUP($B54,'Tillförd energi'!$B$1:$AI$720,MATCH(T$1,'Tillförd energi'!$B$1:$AQ$1,0),FALSE)</f>
        <v>0</v>
      </c>
      <c r="U54" s="121">
        <f>VLOOKUP($B54,'Tillförd energi'!$B$1:$AI$720,MATCH(U$1,'Tillförd energi'!$B$1:$AQ$1,0),FALSE)</f>
        <v>0</v>
      </c>
      <c r="V54" s="121">
        <f>VLOOKUP($B54,'Tillförd energi'!$B$1:$AI$720,MATCH(V$1,'Tillförd energi'!$B$1:$AQ$1,0),FALSE)</f>
        <v>0</v>
      </c>
      <c r="W54" s="121">
        <f>VLOOKUP($B54,'Tillförd energi'!$B$1:$AI$720,MATCH(W$1,'Tillförd energi'!$B$1:$AQ$1,0),FALSE)</f>
        <v>2</v>
      </c>
      <c r="X54" s="121">
        <f>VLOOKUP($B54,'Tillförd energi'!$B$1:$AI$720,MATCH(X$1,'Tillförd energi'!$B$1:$AQ$1,0),FALSE)</f>
        <v>0</v>
      </c>
      <c r="Y54" s="121">
        <f>VLOOKUP($B54,'Tillförd energi'!$B$1:$AI$720,MATCH(Y$1,'Tillförd energi'!$B$1:$AQ$1,0),FALSE)</f>
        <v>0</v>
      </c>
      <c r="Z54" s="121">
        <f>VLOOKUP($B54,'Tillförd energi'!$B$1:$AI$720,MATCH(Z$1,'Tillförd energi'!$B$1:$AQ$1,0),FALSE)</f>
        <v>0</v>
      </c>
      <c r="AA54" s="121">
        <f>VLOOKUP($B54,'Tillförd energi'!$B$1:$AI$720,MATCH(AA$1,'Tillförd energi'!$B$1:$AQ$1,0),FALSE)</f>
        <v>0</v>
      </c>
      <c r="AB54" s="121">
        <f>VLOOKUP($B54,'Tillförd energi'!$B$1:$AI$720,MATCH(AB$1,'Tillförd energi'!$B$1:$AQ$1,0),FALSE)</f>
        <v>0</v>
      </c>
      <c r="AC54" s="121">
        <f>VLOOKUP($B54,'Tillförd energi'!$B$1:$AI$720,MATCH(AC$1,'Tillförd energi'!$B$1:$AQ$1,0),FALSE)</f>
        <v>0</v>
      </c>
      <c r="AD54" s="121">
        <f>VLOOKUP($B54,'Tillförd energi'!$B$1:$AI$720,MATCH(AD$1,'Tillförd energi'!$B$1:$AQ$1,0),FALSE)</f>
        <v>0</v>
      </c>
      <c r="AE54" s="121">
        <f>VLOOKUP($B54,'Tillförd energi'!$B$1:$AI$720,MATCH(AE$1,'Tillförd energi'!$B$1:$AQ$1,0),FALSE)</f>
        <v>0</v>
      </c>
      <c r="AF54" s="121">
        <f>VLOOKUP($B54,'Tillförd energi'!$B$1:$AI$720,MATCH(AF$1,'Tillförd energi'!$B$1:$AQ$1,0),FALSE)</f>
        <v>0.93589999999999995</v>
      </c>
      <c r="AG54" s="121">
        <f>IFERROR(VLOOKUP(B54,Miljö!$B$1:$AC$550,MATCH("Köpt mängd produktionsspecifik fjärrvärme:",Miljö!$B$1:$AC$1,0),FALSE)/1,0)</f>
        <v>0</v>
      </c>
      <c r="AH54" s="121"/>
      <c r="AI54" s="121">
        <f t="shared" si="22"/>
        <v>5.3628999999999998</v>
      </c>
      <c r="AJ54" s="121">
        <f t="shared" si="23"/>
        <v>5.3628999999999998</v>
      </c>
      <c r="AK54" s="121">
        <f>IF(ISERROR(1/VLOOKUP($B54,Leveranser!$B$1:$S$499,MATCH("såld värme (gwh)",Leveranser!$B$1:$S$1,0),FALSE)),"",VLOOKUP($B54,Leveranser!$B$1:$S$499,MATCH("såld värme (gwh)",Leveranser!$B$1:$S$1,0),FALSE))</f>
        <v>28.38</v>
      </c>
      <c r="AL54" s="121">
        <f>VLOOKUP($B54,Leveranser!$B$1:$Y$499,MATCH("Totalt såld fjärrvärme till andra fjärrvärmeföretag",Leveranser!$B$1:$AA$1,0),FALSE)</f>
        <v>0</v>
      </c>
      <c r="AM54" s="121">
        <f>IF(ISERROR(1/VLOOKUP($B54,Miljö!$B$1:$S$500,MATCH("Såld mängd produktionsspecifik fjärrvärme (GWh)",Miljö!$B$1:$R$1,0),FALSE)),0,VLOOKUP($B54,Miljö!$B$1:$S$500,MATCH("Såld mängd produktionsspecifik fjärrvärme (GWh)",Miljö!$B$1:$R$1,0),FALSE))</f>
        <v>0</v>
      </c>
      <c r="AN54" s="172">
        <f t="shared" si="24"/>
        <v>5.291912957541629</v>
      </c>
      <c r="AO54" s="225" t="s">
        <v>1372</v>
      </c>
      <c r="AP54" s="121" t="str">
        <f>IFERROR(VLOOKUP($B54,Miljövärden!$B$2:$H$550,7,FALSE),"Nej, saknas")</f>
        <v>Ja</v>
      </c>
      <c r="AQ54" s="121" t="str">
        <f>IFERROR(VLOOKUP($B54,Miljövärden!$B$2:$H$550,6,FALSE),"Nej, saknas")</f>
        <v>Nej</v>
      </c>
      <c r="AU54">
        <f t="shared" si="25"/>
        <v>0.93589999999999995</v>
      </c>
      <c r="AV54">
        <f t="shared" si="26"/>
        <v>0</v>
      </c>
      <c r="AW54">
        <f t="shared" si="27"/>
        <v>0</v>
      </c>
      <c r="AX54">
        <f t="shared" si="28"/>
        <v>0</v>
      </c>
      <c r="AZ54">
        <f t="shared" si="29"/>
        <v>2</v>
      </c>
      <c r="BC54">
        <f t="shared" si="30"/>
        <v>0</v>
      </c>
      <c r="BD54">
        <f t="shared" si="31"/>
        <v>0</v>
      </c>
      <c r="BE54">
        <f t="shared" si="32"/>
        <v>2</v>
      </c>
      <c r="BF54">
        <f t="shared" si="33"/>
        <v>2.427</v>
      </c>
      <c r="BG54">
        <f t="shared" si="34"/>
        <v>0.93589999999999995</v>
      </c>
      <c r="BH54">
        <f>VLOOKUP(B54,Miljö!$B$1:$BX$482,MATCH("Fossilandel för ursprungspecificerad el ()",Miljö!$B$1:$I$1,0),FALSE)</f>
        <v>0.43</v>
      </c>
      <c r="BI54">
        <f>VLOOKUP(B54,Miljö!$B$1:$BX$482,MATCH("Kärnkraftsandel för ursprungsspecificerad el ()",Miljö!$B$1:$O$1,0),FALSE)</f>
        <v>0.40550000000000003</v>
      </c>
      <c r="BJ54">
        <f t="shared" si="35"/>
        <v>0</v>
      </c>
      <c r="BK54" t="str">
        <f>VLOOKUP(B54,Miljö!$B$1:$O$482,MATCH("Fossil andel i procent (%)",Miljö!$B$1:$O$1,0),FALSE)</f>
        <v>ET</v>
      </c>
      <c r="BL54">
        <f t="shared" si="36"/>
        <v>5.3628999999999998</v>
      </c>
      <c r="BO54" s="18">
        <f t="shared" si="37"/>
        <v>7.5040929347927429E-2</v>
      </c>
      <c r="BP54" s="18">
        <f t="shared" si="38"/>
        <v>7.0765341512987384E-2</v>
      </c>
      <c r="BQ54" s="18">
        <f t="shared" si="39"/>
        <v>0.40164007346771341</v>
      </c>
      <c r="BR54" s="18">
        <f t="shared" si="40"/>
        <v>0.45255365567137185</v>
      </c>
      <c r="BT54" s="27">
        <f t="shared" si="41"/>
        <v>1</v>
      </c>
      <c r="BW54" s="18">
        <f>IF(AP54="ja",VLOOKUP(B54,Miljövärden!$B$2:$H$550,MATCH("Total andel fossilt",Miljövärden!$B$2:$H$2,0),FALSE),"")</f>
        <v>7.5040899999999994E-2</v>
      </c>
      <c r="BZ54" s="28">
        <f t="shared" si="42"/>
        <v>-2.9347927435474652E-8</v>
      </c>
      <c r="CA54" s="28">
        <f t="shared" si="43"/>
        <v>0</v>
      </c>
    </row>
    <row r="55" spans="1:79" x14ac:dyDescent="0.25">
      <c r="A55" s="224" t="s">
        <v>263</v>
      </c>
      <c r="B55" s="210" t="s">
        <v>265</v>
      </c>
      <c r="C55" s="121">
        <f>VLOOKUP($B55,'Tillförd energi'!$B$1:$AI$720,MATCH(C$1,'Tillförd energi'!$B$1:$AQ$1,0),FALSE)</f>
        <v>0</v>
      </c>
      <c r="D55" s="121">
        <f>VLOOKUP($B55,'Tillförd energi'!$B$1:$AI$720,MATCH(D$1,'Tillförd energi'!$B$1:$AQ$1,0),FALSE)</f>
        <v>0.7</v>
      </c>
      <c r="E55" s="121">
        <f>VLOOKUP($B55,'Tillförd energi'!$B$1:$AI$720,MATCH(E$1,'Tillförd energi'!$B$1:$AQ$1,0),FALSE)</f>
        <v>0</v>
      </c>
      <c r="F55" s="121">
        <f>VLOOKUP($B55,'Tillförd energi'!$B$1:$AI$720,MATCH(F$1,'Tillförd energi'!$B$1:$AQ$1,0),FALSE)</f>
        <v>0</v>
      </c>
      <c r="G55" s="121">
        <f>VLOOKUP($B55,'Tillförd energi'!$B$1:$AI$720,MATCH(G$1,'Tillförd energi'!$B$1:$AQ$1,0),FALSE)</f>
        <v>0</v>
      </c>
      <c r="H55" s="121">
        <f>VLOOKUP($B55,'Tillförd energi'!$B$1:$AI$720,MATCH(H$1,'Tillförd energi'!$B$1:$AQ$1,0),FALSE)</f>
        <v>0</v>
      </c>
      <c r="I55" s="121">
        <f>VLOOKUP($B55,'Tillförd energi'!$B$1:$AI$720,MATCH(I$1,'Tillförd energi'!$B$1:$AQ$1,0),FALSE)</f>
        <v>0</v>
      </c>
      <c r="J55" s="121">
        <f>VLOOKUP($B55,'Tillförd energi'!$B$1:$AI$720,MATCH(J$1,'Tillförd energi'!$B$1:$AQ$1,0),FALSE)</f>
        <v>0</v>
      </c>
      <c r="K55" s="121">
        <f>VLOOKUP($B55,'Tillförd energi'!$B$1:$AI$720,MATCH(K$1,'Tillförd energi'!$B$1:$AQ$1,0),FALSE)</f>
        <v>0</v>
      </c>
      <c r="L55" s="121">
        <f>VLOOKUP($B55,'Tillförd energi'!$B$1:$AI$720,MATCH(L$1,'Tillförd energi'!$B$1:$AQ$1,0),FALSE)</f>
        <v>0</v>
      </c>
      <c r="M55" s="121">
        <f>VLOOKUP($B55,'Tillförd energi'!$B$1:$AI$720,MATCH(M$1,'Tillförd energi'!$B$1:$AQ$1,0),FALSE)</f>
        <v>0</v>
      </c>
      <c r="N55" s="121">
        <f>VLOOKUP($B55,'Tillförd energi'!$B$1:$AI$720,MATCH(N$1,'Tillförd energi'!$B$1:$AQ$1,0),FALSE)</f>
        <v>0</v>
      </c>
      <c r="O55" s="121">
        <f>VLOOKUP($B55,'Tillförd energi'!$B$1:$AI$720,MATCH(O$1,'Tillförd energi'!$B$1:$AQ$1,0),FALSE)</f>
        <v>0</v>
      </c>
      <c r="P55" s="121">
        <f>VLOOKUP($B55,'Tillförd energi'!$B$1:$AI$720,MATCH(P$1,'Tillförd energi'!$B$1:$AQ$1,0),FALSE)</f>
        <v>24.186</v>
      </c>
      <c r="Q55" s="121">
        <f>VLOOKUP($B55,'Tillförd energi'!$B$1:$AI$720,MATCH(Q$1,'Tillförd energi'!$B$1:$AQ$1,0),FALSE)</f>
        <v>0</v>
      </c>
      <c r="R55" s="121">
        <f>VLOOKUP($B55,'Tillförd energi'!$B$1:$AI$720,MATCH(R$1,'Tillförd energi'!$B$1:$AQ$1,0),FALSE)</f>
        <v>7.9</v>
      </c>
      <c r="S55" s="121">
        <f>VLOOKUP($B55,'Tillförd energi'!$B$1:$AI$720,MATCH(S$1,'Tillförd energi'!$B$1:$AQ$1,0),FALSE)</f>
        <v>0</v>
      </c>
      <c r="T55" s="121">
        <f>VLOOKUP($B55,'Tillförd energi'!$B$1:$AI$720,MATCH(T$1,'Tillförd energi'!$B$1:$AQ$1,0),FALSE)</f>
        <v>0</v>
      </c>
      <c r="U55" s="121">
        <f>VLOOKUP($B55,'Tillförd energi'!$B$1:$AI$720,MATCH(U$1,'Tillförd energi'!$B$1:$AQ$1,0),FALSE)</f>
        <v>0</v>
      </c>
      <c r="V55" s="121">
        <f>VLOOKUP($B55,'Tillförd energi'!$B$1:$AI$720,MATCH(V$1,'Tillförd energi'!$B$1:$AQ$1,0),FALSE)</f>
        <v>0</v>
      </c>
      <c r="W55" s="121">
        <f>VLOOKUP($B55,'Tillförd energi'!$B$1:$AI$720,MATCH(W$1,'Tillförd energi'!$B$1:$AQ$1,0),FALSE)</f>
        <v>1.9</v>
      </c>
      <c r="X55" s="121">
        <f>VLOOKUP($B55,'Tillförd energi'!$B$1:$AI$720,MATCH(X$1,'Tillförd energi'!$B$1:$AQ$1,0),FALSE)</f>
        <v>0</v>
      </c>
      <c r="Y55" s="121">
        <f>VLOOKUP($B55,'Tillförd energi'!$B$1:$AI$720,MATCH(Y$1,'Tillförd energi'!$B$1:$AQ$1,0),FALSE)</f>
        <v>0</v>
      </c>
      <c r="Z55" s="121">
        <f>VLOOKUP($B55,'Tillförd energi'!$B$1:$AI$720,MATCH(Z$1,'Tillförd energi'!$B$1:$AQ$1,0),FALSE)</f>
        <v>0</v>
      </c>
      <c r="AA55" s="121">
        <f>VLOOKUP($B55,'Tillförd energi'!$B$1:$AI$720,MATCH(AA$1,'Tillförd energi'!$B$1:$AQ$1,0),FALSE)</f>
        <v>0</v>
      </c>
      <c r="AB55" s="121">
        <f>VLOOKUP($B55,'Tillförd energi'!$B$1:$AI$720,MATCH(AB$1,'Tillförd energi'!$B$1:$AQ$1,0),FALSE)</f>
        <v>0</v>
      </c>
      <c r="AC55" s="121">
        <f>VLOOKUP($B55,'Tillförd energi'!$B$1:$AI$720,MATCH(AC$1,'Tillförd energi'!$B$1:$AQ$1,0),FALSE)</f>
        <v>0</v>
      </c>
      <c r="AD55" s="121">
        <f>VLOOKUP($B55,'Tillförd energi'!$B$1:$AI$720,MATCH(AD$1,'Tillförd energi'!$B$1:$AQ$1,0),FALSE)</f>
        <v>8</v>
      </c>
      <c r="AE55" s="121">
        <f>VLOOKUP($B55,'Tillförd energi'!$B$1:$AI$720,MATCH(AE$1,'Tillförd energi'!$B$1:$AQ$1,0),FALSE)</f>
        <v>0</v>
      </c>
      <c r="AF55" s="121">
        <f>VLOOKUP($B55,'Tillförd energi'!$B$1:$AI$720,MATCH(AF$1,'Tillförd energi'!$B$1:$AQ$1,0),FALSE)</f>
        <v>0.96699999999999997</v>
      </c>
      <c r="AG55" s="121">
        <f>IFERROR(VLOOKUP(B55,Miljö!$B$1:$AC$550,MATCH("Köpt mängd produktionsspecifik fjärrvärme:",Miljö!$B$1:$AC$1,0),FALSE)/1,0)</f>
        <v>0</v>
      </c>
      <c r="AH55" s="121"/>
      <c r="AI55" s="121">
        <f t="shared" si="22"/>
        <v>43.652999999999999</v>
      </c>
      <c r="AJ55" s="121">
        <f t="shared" si="23"/>
        <v>43.652999999999999</v>
      </c>
      <c r="AK55" s="121">
        <f>IF(ISERROR(1/VLOOKUP($B55,Leveranser!$B$1:$S$499,MATCH("såld värme (gwh)",Leveranser!$B$1:$S$1,0),FALSE)),"",VLOOKUP($B55,Leveranser!$B$1:$S$499,MATCH("såld värme (gwh)",Leveranser!$B$1:$S$1,0),FALSE))</f>
        <v>32.5</v>
      </c>
      <c r="AL55" s="121">
        <f>VLOOKUP($B55,Leveranser!$B$1:$Y$499,MATCH("Totalt såld fjärrvärme till andra fjärrvärmeföretag",Leveranser!$B$1:$AA$1,0),FALSE)</f>
        <v>0</v>
      </c>
      <c r="AM55" s="121">
        <f>IF(ISERROR(1/VLOOKUP($B55,Miljö!$B$1:$S$500,MATCH("Såld mängd produktionsspecifik fjärrvärme (GWh)",Miljö!$B$1:$R$1,0),FALSE)),0,VLOOKUP($B55,Miljö!$B$1:$S$500,MATCH("Såld mängd produktionsspecifik fjärrvärme (GWh)",Miljö!$B$1:$R$1,0),FALSE))</f>
        <v>0</v>
      </c>
      <c r="AN55" s="172">
        <f t="shared" si="24"/>
        <v>0.74450782305912544</v>
      </c>
      <c r="AO55" s="121"/>
      <c r="AP55" s="121" t="str">
        <f>IFERROR(VLOOKUP($B55,Miljövärden!$B$2:$H$550,7,FALSE),"Nej, saknas")</f>
        <v>Ja</v>
      </c>
      <c r="AQ55" s="121" t="str">
        <f>IFERROR(VLOOKUP($B55,Miljövärden!$B$2:$H$550,6,FALSE),"Nej, saknas")</f>
        <v>Nej</v>
      </c>
      <c r="AU55">
        <f t="shared" si="25"/>
        <v>0.96699999999999997</v>
      </c>
      <c r="AV55">
        <f t="shared" si="26"/>
        <v>0</v>
      </c>
      <c r="AW55">
        <f t="shared" si="27"/>
        <v>24.186</v>
      </c>
      <c r="AX55">
        <f t="shared" si="28"/>
        <v>7.9</v>
      </c>
      <c r="AZ55">
        <f t="shared" si="29"/>
        <v>33.985999999999997</v>
      </c>
      <c r="BC55">
        <f t="shared" si="30"/>
        <v>0.7</v>
      </c>
      <c r="BD55">
        <f t="shared" si="31"/>
        <v>0</v>
      </c>
      <c r="BE55">
        <f t="shared" si="32"/>
        <v>33.985999999999997</v>
      </c>
      <c r="BF55">
        <f t="shared" si="33"/>
        <v>8</v>
      </c>
      <c r="BG55">
        <f t="shared" si="34"/>
        <v>0.96699999999999997</v>
      </c>
      <c r="BH55">
        <f>VLOOKUP(B55,Miljö!$B$1:$BX$482,MATCH("Fossilandel för ursprungspecificerad el ()",Miljö!$B$1:$I$1,0),FALSE)</f>
        <v>0.43</v>
      </c>
      <c r="BI55">
        <f>VLOOKUP(B55,Miljö!$B$1:$BX$482,MATCH("Kärnkraftsandel för ursprungsspecificerad el ()",Miljö!$B$1:$O$1,0),FALSE)</f>
        <v>0.40550000000000003</v>
      </c>
      <c r="BJ55">
        <f t="shared" si="35"/>
        <v>0</v>
      </c>
      <c r="BK55" t="str">
        <f>VLOOKUP(B55,Miljö!$B$1:$O$482,MATCH("Fossil andel i procent (%)",Miljö!$B$1:$O$1,0),FALSE)</f>
        <v>ET</v>
      </c>
      <c r="BL55">
        <f t="shared" si="36"/>
        <v>43.652999999999999</v>
      </c>
      <c r="BO55" s="18">
        <f t="shared" si="37"/>
        <v>2.5560900739926236E-2</v>
      </c>
      <c r="BP55" s="18">
        <f t="shared" si="38"/>
        <v>8.9826243328064524E-3</v>
      </c>
      <c r="BQ55" s="18">
        <f t="shared" si="39"/>
        <v>0.78219301078963643</v>
      </c>
      <c r="BR55" s="18">
        <f t="shared" si="40"/>
        <v>0.18326346413763087</v>
      </c>
      <c r="BT55" s="27">
        <f t="shared" si="41"/>
        <v>1</v>
      </c>
      <c r="BW55" s="18">
        <f>IF(AP55="ja",VLOOKUP(B55,Miljövärden!$B$2:$H$550,MATCH("Total andel fossilt",Miljövärden!$B$2:$H$2,0),FALSE),"")</f>
        <v>2.5560900000000001E-2</v>
      </c>
      <c r="BZ55" s="28">
        <f t="shared" si="42"/>
        <v>-7.3992623486618392E-10</v>
      </c>
      <c r="CA55" s="28">
        <f t="shared" si="43"/>
        <v>0</v>
      </c>
    </row>
    <row r="56" spans="1:79" x14ac:dyDescent="0.25">
      <c r="A56" s="224" t="s">
        <v>263</v>
      </c>
      <c r="B56" s="210" t="s">
        <v>266</v>
      </c>
      <c r="C56" s="121">
        <f>VLOOKUP($B56,'Tillförd energi'!$B$1:$AI$720,MATCH(C$1,'Tillförd energi'!$B$1:$AQ$1,0),FALSE)</f>
        <v>0</v>
      </c>
      <c r="D56" s="121">
        <f>VLOOKUP($B56,'Tillförd energi'!$B$1:$AI$720,MATCH(D$1,'Tillförd energi'!$B$1:$AQ$1,0),FALSE)</f>
        <v>0</v>
      </c>
      <c r="E56" s="121">
        <f>VLOOKUP($B56,'Tillförd energi'!$B$1:$AI$720,MATCH(E$1,'Tillförd energi'!$B$1:$AQ$1,0),FALSE)</f>
        <v>0</v>
      </c>
      <c r="F56" s="121">
        <f>VLOOKUP($B56,'Tillförd energi'!$B$1:$AI$720,MATCH(F$1,'Tillförd energi'!$B$1:$AQ$1,0),FALSE)</f>
        <v>0</v>
      </c>
      <c r="G56" s="121">
        <f>VLOOKUP($B56,'Tillförd energi'!$B$1:$AI$720,MATCH(G$1,'Tillförd energi'!$B$1:$AQ$1,0),FALSE)</f>
        <v>0</v>
      </c>
      <c r="H56" s="121">
        <f>VLOOKUP($B56,'Tillförd energi'!$B$1:$AI$720,MATCH(H$1,'Tillförd energi'!$B$1:$AQ$1,0),FALSE)</f>
        <v>0</v>
      </c>
      <c r="I56" s="121">
        <f>VLOOKUP($B56,'Tillförd energi'!$B$1:$AI$720,MATCH(I$1,'Tillförd energi'!$B$1:$AQ$1,0),FALSE)</f>
        <v>0</v>
      </c>
      <c r="J56" s="121">
        <f>VLOOKUP($B56,'Tillförd energi'!$B$1:$AI$720,MATCH(J$1,'Tillförd energi'!$B$1:$AQ$1,0),FALSE)</f>
        <v>0</v>
      </c>
      <c r="K56" s="121">
        <f>VLOOKUP($B56,'Tillförd energi'!$B$1:$AI$720,MATCH(K$1,'Tillförd energi'!$B$1:$AQ$1,0),FALSE)</f>
        <v>0</v>
      </c>
      <c r="L56" s="121">
        <f>VLOOKUP($B56,'Tillförd energi'!$B$1:$AI$720,MATCH(L$1,'Tillförd energi'!$B$1:$AQ$1,0),FALSE)</f>
        <v>0</v>
      </c>
      <c r="M56" s="121">
        <f>VLOOKUP($B56,'Tillförd energi'!$B$1:$AI$720,MATCH(M$1,'Tillförd energi'!$B$1:$AQ$1,0),FALSE)</f>
        <v>0</v>
      </c>
      <c r="N56" s="121">
        <f>VLOOKUP($B56,'Tillförd energi'!$B$1:$AI$720,MATCH(N$1,'Tillförd energi'!$B$1:$AQ$1,0),FALSE)</f>
        <v>0</v>
      </c>
      <c r="O56" s="121">
        <f>VLOOKUP($B56,'Tillförd energi'!$B$1:$AI$720,MATCH(O$1,'Tillförd energi'!$B$1:$AQ$1,0),FALSE)</f>
        <v>0</v>
      </c>
      <c r="P56" s="121">
        <f>VLOOKUP($B56,'Tillförd energi'!$B$1:$AI$720,MATCH(P$1,'Tillförd energi'!$B$1:$AQ$1,0),FALSE)</f>
        <v>21.8</v>
      </c>
      <c r="Q56" s="121">
        <f>VLOOKUP($B56,'Tillförd energi'!$B$1:$AI$720,MATCH(Q$1,'Tillförd energi'!$B$1:$AQ$1,0),FALSE)</f>
        <v>0</v>
      </c>
      <c r="R56" s="121">
        <f>VLOOKUP($B56,'Tillförd energi'!$B$1:$AI$720,MATCH(R$1,'Tillförd energi'!$B$1:$AQ$1,0),FALSE)</f>
        <v>18.600000000000001</v>
      </c>
      <c r="S56" s="121">
        <f>VLOOKUP($B56,'Tillförd energi'!$B$1:$AI$720,MATCH(S$1,'Tillförd energi'!$B$1:$AQ$1,0),FALSE)</f>
        <v>0</v>
      </c>
      <c r="T56" s="121">
        <f>VLOOKUP($B56,'Tillförd energi'!$B$1:$AI$720,MATCH(T$1,'Tillförd energi'!$B$1:$AQ$1,0),FALSE)</f>
        <v>0</v>
      </c>
      <c r="U56" s="121">
        <f>VLOOKUP($B56,'Tillförd energi'!$B$1:$AI$720,MATCH(U$1,'Tillförd energi'!$B$1:$AQ$1,0),FALSE)</f>
        <v>0</v>
      </c>
      <c r="V56" s="121">
        <f>VLOOKUP($B56,'Tillförd energi'!$B$1:$AI$720,MATCH(V$1,'Tillförd energi'!$B$1:$AQ$1,0),FALSE)</f>
        <v>0</v>
      </c>
      <c r="W56" s="121">
        <f>VLOOKUP($B56,'Tillförd energi'!$B$1:$AI$720,MATCH(W$1,'Tillförd energi'!$B$1:$AQ$1,0),FALSE)</f>
        <v>0</v>
      </c>
      <c r="X56" s="121">
        <f>VLOOKUP($B56,'Tillförd energi'!$B$1:$AI$720,MATCH(X$1,'Tillförd energi'!$B$1:$AQ$1,0),FALSE)</f>
        <v>0</v>
      </c>
      <c r="Y56" s="121">
        <f>VLOOKUP($B56,'Tillförd energi'!$B$1:$AI$720,MATCH(Y$1,'Tillförd energi'!$B$1:$AQ$1,0),FALSE)</f>
        <v>0</v>
      </c>
      <c r="Z56" s="121">
        <f>VLOOKUP($B56,'Tillförd energi'!$B$1:$AI$720,MATCH(Z$1,'Tillförd energi'!$B$1:$AQ$1,0),FALSE)</f>
        <v>0</v>
      </c>
      <c r="AA56" s="121">
        <f>VLOOKUP($B56,'Tillförd energi'!$B$1:$AI$720,MATCH(AA$1,'Tillförd energi'!$B$1:$AQ$1,0),FALSE)</f>
        <v>0</v>
      </c>
      <c r="AB56" s="121">
        <f>VLOOKUP($B56,'Tillförd energi'!$B$1:$AI$720,MATCH(AB$1,'Tillförd energi'!$B$1:$AQ$1,0),FALSE)</f>
        <v>0</v>
      </c>
      <c r="AC56" s="121">
        <f>VLOOKUP($B56,'Tillförd energi'!$B$1:$AI$720,MATCH(AC$1,'Tillförd energi'!$B$1:$AQ$1,0),FALSE)</f>
        <v>0</v>
      </c>
      <c r="AD56" s="121">
        <f>VLOOKUP($B56,'Tillförd energi'!$B$1:$AI$720,MATCH(AD$1,'Tillförd energi'!$B$1:$AQ$1,0),FALSE)</f>
        <v>0</v>
      </c>
      <c r="AE56" s="121">
        <f>VLOOKUP($B56,'Tillförd energi'!$B$1:$AI$720,MATCH(AE$1,'Tillförd energi'!$B$1:$AQ$1,0),FALSE)</f>
        <v>0</v>
      </c>
      <c r="AF56" s="121">
        <f>VLOOKUP($B56,'Tillförd energi'!$B$1:$AI$720,MATCH(AF$1,'Tillförd energi'!$B$1:$AQ$1,0),FALSE)</f>
        <v>0.48</v>
      </c>
      <c r="AG56" s="121">
        <f>IFERROR(VLOOKUP(B56,Miljö!$B$1:$AC$550,MATCH("Köpt mängd produktionsspecifik fjärrvärme:",Miljö!$B$1:$AC$1,0),FALSE)/1,0)</f>
        <v>0</v>
      </c>
      <c r="AH56" s="121"/>
      <c r="AI56" s="121">
        <f t="shared" si="22"/>
        <v>40.880000000000003</v>
      </c>
      <c r="AJ56" s="121">
        <f t="shared" si="23"/>
        <v>40.880000000000003</v>
      </c>
      <c r="AK56" s="121">
        <f>IF(ISERROR(1/VLOOKUP($B56,Leveranser!$B$1:$S$499,MATCH("såld värme (gwh)",Leveranser!$B$1:$S$1,0),FALSE)),"",VLOOKUP($B56,Leveranser!$B$1:$S$499,MATCH("såld värme (gwh)",Leveranser!$B$1:$S$1,0),FALSE))</f>
        <v>16</v>
      </c>
      <c r="AL56" s="121">
        <f>VLOOKUP($B56,Leveranser!$B$1:$Y$499,MATCH("Totalt såld fjärrvärme till andra fjärrvärmeföretag",Leveranser!$B$1:$AA$1,0),FALSE)</f>
        <v>0</v>
      </c>
      <c r="AM56" s="121">
        <f>IF(ISERROR(1/VLOOKUP($B56,Miljö!$B$1:$S$500,MATCH("Såld mängd produktionsspecifik fjärrvärme (GWh)",Miljö!$B$1:$R$1,0),FALSE)),0,VLOOKUP($B56,Miljö!$B$1:$S$500,MATCH("Såld mängd produktionsspecifik fjärrvärme (GWh)",Miljö!$B$1:$R$1,0),FALSE))</f>
        <v>0</v>
      </c>
      <c r="AN56" s="172">
        <f t="shared" si="24"/>
        <v>0.39138943248532287</v>
      </c>
      <c r="AO56" s="121"/>
      <c r="AP56" s="121" t="str">
        <f>IFERROR(VLOOKUP($B56,Miljövärden!$B$2:$H$550,7,FALSE),"Nej, saknas")</f>
        <v>Ja</v>
      </c>
      <c r="AQ56" s="121" t="str">
        <f>IFERROR(VLOOKUP($B56,Miljövärden!$B$2:$H$550,6,FALSE),"Nej, saknas")</f>
        <v>Nej</v>
      </c>
      <c r="AU56">
        <f t="shared" si="25"/>
        <v>0.48</v>
      </c>
      <c r="AV56">
        <f t="shared" si="26"/>
        <v>0</v>
      </c>
      <c r="AW56">
        <f t="shared" si="27"/>
        <v>21.8</v>
      </c>
      <c r="AX56">
        <f t="shared" si="28"/>
        <v>18.600000000000001</v>
      </c>
      <c r="AZ56">
        <f t="shared" si="29"/>
        <v>40.400000000000006</v>
      </c>
      <c r="BC56">
        <f t="shared" si="30"/>
        <v>0</v>
      </c>
      <c r="BD56">
        <f t="shared" si="31"/>
        <v>0</v>
      </c>
      <c r="BE56">
        <f t="shared" si="32"/>
        <v>40.400000000000006</v>
      </c>
      <c r="BF56">
        <f t="shared" si="33"/>
        <v>0</v>
      </c>
      <c r="BG56">
        <f t="shared" si="34"/>
        <v>0.48</v>
      </c>
      <c r="BH56">
        <f>VLOOKUP(B56,Miljö!$B$1:$BX$482,MATCH("Fossilandel för ursprungspecificerad el ()",Miljö!$B$1:$I$1,0),FALSE)</f>
        <v>0.43</v>
      </c>
      <c r="BI56">
        <f>VLOOKUP(B56,Miljö!$B$1:$BX$482,MATCH("Kärnkraftsandel för ursprungsspecificerad el ()",Miljö!$B$1:$O$1,0),FALSE)</f>
        <v>0.40550000000000003</v>
      </c>
      <c r="BJ56">
        <f t="shared" si="35"/>
        <v>0</v>
      </c>
      <c r="BK56" t="str">
        <f>VLOOKUP(B56,Miljö!$B$1:$O$482,MATCH("Fossil andel i procent (%)",Miljö!$B$1:$O$1,0),FALSE)</f>
        <v>ET</v>
      </c>
      <c r="BL56">
        <f t="shared" si="36"/>
        <v>40.880000000000003</v>
      </c>
      <c r="BO56" s="18">
        <f t="shared" si="37"/>
        <v>5.0489236790606648E-3</v>
      </c>
      <c r="BP56" s="18">
        <f t="shared" si="38"/>
        <v>4.7612524461839532E-3</v>
      </c>
      <c r="BQ56" s="18">
        <f t="shared" si="39"/>
        <v>0.99018982387475551</v>
      </c>
      <c r="BR56" s="18">
        <f t="shared" si="40"/>
        <v>0</v>
      </c>
      <c r="BT56" s="27">
        <f t="shared" si="41"/>
        <v>1.0000000000000002</v>
      </c>
      <c r="BW56" s="18">
        <f>IF(AP56="ja",VLOOKUP(B56,Miljövärden!$B$2:$H$550,MATCH("Total andel fossilt",Miljövärden!$B$2:$H$2,0),FALSE),"")</f>
        <v>5.0489200000000001E-3</v>
      </c>
      <c r="BZ56" s="28">
        <f t="shared" si="42"/>
        <v>-3.6790606646255886E-9</v>
      </c>
      <c r="CA56" s="28">
        <f t="shared" si="43"/>
        <v>0</v>
      </c>
    </row>
    <row r="57" spans="1:79" x14ac:dyDescent="0.25">
      <c r="A57" s="224" t="s">
        <v>263</v>
      </c>
      <c r="B57" s="210" t="s">
        <v>267</v>
      </c>
      <c r="C57" s="121">
        <f>VLOOKUP($B57,'Tillförd energi'!$B$1:$AI$720,MATCH(C$1,'Tillförd energi'!$B$1:$AQ$1,0),FALSE)</f>
        <v>5.7120100000000003</v>
      </c>
      <c r="D57" s="121">
        <f>VLOOKUP($B57,'Tillförd energi'!$B$1:$AI$720,MATCH(D$1,'Tillförd energi'!$B$1:$AQ$1,0),FALSE)</f>
        <v>0.88691200000000003</v>
      </c>
      <c r="E57" s="121">
        <f>VLOOKUP($B57,'Tillförd energi'!$B$1:$AI$720,MATCH(E$1,'Tillförd energi'!$B$1:$AQ$1,0),FALSE)</f>
        <v>0</v>
      </c>
      <c r="F57" s="121">
        <f>VLOOKUP($B57,'Tillförd energi'!$B$1:$AI$720,MATCH(F$1,'Tillförd energi'!$B$1:$AQ$1,0),FALSE)</f>
        <v>33.912100000000002</v>
      </c>
      <c r="G57" s="121">
        <f>VLOOKUP($B57,'Tillförd energi'!$B$1:$AI$720,MATCH(G$1,'Tillförd energi'!$B$1:$AQ$1,0),FALSE)</f>
        <v>0</v>
      </c>
      <c r="H57" s="121">
        <f>VLOOKUP($B57,'Tillförd energi'!$B$1:$AI$720,MATCH(H$1,'Tillförd energi'!$B$1:$AQ$1,0),FALSE)</f>
        <v>0</v>
      </c>
      <c r="I57" s="121">
        <f>VLOOKUP($B57,'Tillförd energi'!$B$1:$AI$720,MATCH(I$1,'Tillförd energi'!$B$1:$AQ$1,0),FALSE)</f>
        <v>238.82400000000001</v>
      </c>
      <c r="J57" s="121">
        <f>VLOOKUP($B57,'Tillförd energi'!$B$1:$AI$720,MATCH(J$1,'Tillförd energi'!$B$1:$AQ$1,0),FALSE)</f>
        <v>0</v>
      </c>
      <c r="K57" s="121">
        <f>VLOOKUP($B57,'Tillförd energi'!$B$1:$AI$720,MATCH(K$1,'Tillförd energi'!$B$1:$AQ$1,0),FALSE)</f>
        <v>0</v>
      </c>
      <c r="L57" s="121">
        <f>VLOOKUP($B57,'Tillförd energi'!$B$1:$AI$720,MATCH(L$1,'Tillförd energi'!$B$1:$AQ$1,0),FALSE)</f>
        <v>0</v>
      </c>
      <c r="M57" s="121">
        <f>VLOOKUP($B57,'Tillförd energi'!$B$1:$AI$720,MATCH(M$1,'Tillförd energi'!$B$1:$AQ$1,0),FALSE)</f>
        <v>49.821399999999997</v>
      </c>
      <c r="N57" s="121">
        <f>VLOOKUP($B57,'Tillförd energi'!$B$1:$AI$720,MATCH(N$1,'Tillförd energi'!$B$1:$AQ$1,0),FALSE)</f>
        <v>108.55800000000001</v>
      </c>
      <c r="O57" s="121">
        <f>VLOOKUP($B57,'Tillförd energi'!$B$1:$AI$720,MATCH(O$1,'Tillförd energi'!$B$1:$AQ$1,0),FALSE)</f>
        <v>109.083</v>
      </c>
      <c r="P57" s="121">
        <f>VLOOKUP($B57,'Tillförd energi'!$B$1:$AI$720,MATCH(P$1,'Tillförd energi'!$B$1:$AQ$1,0),FALSE)</f>
        <v>122.194</v>
      </c>
      <c r="Q57" s="121">
        <f>VLOOKUP($B57,'Tillförd energi'!$B$1:$AI$720,MATCH(Q$1,'Tillförd energi'!$B$1:$AQ$1,0),FALSE)</f>
        <v>71.847700000000003</v>
      </c>
      <c r="R57" s="121">
        <f>VLOOKUP($B57,'Tillförd energi'!$B$1:$AI$720,MATCH(R$1,'Tillförd energi'!$B$1:$AQ$1,0),FALSE)</f>
        <v>0</v>
      </c>
      <c r="S57" s="121">
        <f>VLOOKUP($B57,'Tillförd energi'!$B$1:$AI$720,MATCH(S$1,'Tillförd energi'!$B$1:$AQ$1,0),FALSE)</f>
        <v>0</v>
      </c>
      <c r="T57" s="121">
        <f>VLOOKUP($B57,'Tillförd energi'!$B$1:$AI$720,MATCH(T$1,'Tillförd energi'!$B$1:$AQ$1,0),FALSE)</f>
        <v>0</v>
      </c>
      <c r="U57" s="121">
        <f>VLOOKUP($B57,'Tillförd energi'!$B$1:$AI$720,MATCH(U$1,'Tillförd energi'!$B$1:$AQ$1,0),FALSE)</f>
        <v>0</v>
      </c>
      <c r="V57" s="121">
        <f>VLOOKUP($B57,'Tillförd energi'!$B$1:$AI$720,MATCH(V$1,'Tillförd energi'!$B$1:$AQ$1,0),FALSE)</f>
        <v>0</v>
      </c>
      <c r="W57" s="121">
        <f>VLOOKUP($B57,'Tillförd energi'!$B$1:$AI$720,MATCH(W$1,'Tillförd energi'!$B$1:$AQ$1,0),FALSE)</f>
        <v>0</v>
      </c>
      <c r="X57" s="121">
        <f>VLOOKUP($B57,'Tillförd energi'!$B$1:$AI$720,MATCH(X$1,'Tillförd energi'!$B$1:$AQ$1,0),FALSE)</f>
        <v>12.7751</v>
      </c>
      <c r="Y57" s="121">
        <f>VLOOKUP($B57,'Tillförd energi'!$B$1:$AI$720,MATCH(Y$1,'Tillförd energi'!$B$1:$AQ$1,0),FALSE)</f>
        <v>88.270200000000003</v>
      </c>
      <c r="Z57" s="121">
        <f>VLOOKUP($B57,'Tillförd energi'!$B$1:$AI$720,MATCH(Z$1,'Tillförd energi'!$B$1:$AQ$1,0),FALSE)</f>
        <v>0.4</v>
      </c>
      <c r="AA57" s="121">
        <f>VLOOKUP($B57,'Tillförd energi'!$B$1:$AI$720,MATCH(AA$1,'Tillförd energi'!$B$1:$AQ$1,0),FALSE)</f>
        <v>17</v>
      </c>
      <c r="AB57" s="121">
        <f>VLOOKUP($B57,'Tillförd energi'!$B$1:$AI$720,MATCH(AB$1,'Tillförd energi'!$B$1:$AQ$1,0),FALSE)</f>
        <v>39</v>
      </c>
      <c r="AC57" s="121">
        <f>VLOOKUP($B57,'Tillförd energi'!$B$1:$AI$720,MATCH(AC$1,'Tillförd energi'!$B$1:$AQ$1,0),FALSE)</f>
        <v>173</v>
      </c>
      <c r="AD57" s="121">
        <f>VLOOKUP($B57,'Tillförd energi'!$B$1:$AI$720,MATCH(AD$1,'Tillförd energi'!$B$1:$AQ$1,0),FALSE)</f>
        <v>71</v>
      </c>
      <c r="AE57" s="121">
        <f>VLOOKUP($B57,'Tillförd energi'!$B$1:$AI$720,MATCH(AE$1,'Tillförd energi'!$B$1:$AQ$1,0),FALSE)</f>
        <v>0</v>
      </c>
      <c r="AF57" s="121">
        <f>VLOOKUP($B57,'Tillförd energi'!$B$1:$AI$720,MATCH(AF$1,'Tillförd energi'!$B$1:$AQ$1,0),FALSE)</f>
        <v>54.915500000000002</v>
      </c>
      <c r="AG57" s="121">
        <f>IFERROR(VLOOKUP(B57,Miljö!$B$1:$AC$550,MATCH("Köpt mängd produktionsspecifik fjärrvärme:",Miljö!$B$1:$AC$1,0),FALSE)/1,0)</f>
        <v>0</v>
      </c>
      <c r="AH57" s="121"/>
      <c r="AI57" s="121">
        <f t="shared" si="22"/>
        <v>1197.199922</v>
      </c>
      <c r="AJ57" s="121">
        <f t="shared" si="23"/>
        <v>1197.199922</v>
      </c>
      <c r="AK57" s="121">
        <f>IF(ISERROR(1/VLOOKUP($B57,Leveranser!$B$1:$S$499,MATCH("såld värme (gwh)",Leveranser!$B$1:$S$1,0),FALSE)),"",VLOOKUP($B57,Leveranser!$B$1:$S$499,MATCH("såld värme (gwh)",Leveranser!$B$1:$S$1,0),FALSE))</f>
        <v>1034</v>
      </c>
      <c r="AL57" s="121">
        <f>VLOOKUP($B57,Leveranser!$B$1:$Y$499,MATCH("Totalt såld fjärrvärme till andra fjärrvärmeföretag",Leveranser!$B$1:$AA$1,0),FALSE)</f>
        <v>0</v>
      </c>
      <c r="AM57" s="121">
        <f>IF(ISERROR(1/VLOOKUP($B57,Miljö!$B$1:$S$500,MATCH("Såld mängd produktionsspecifik fjärrvärme (GWh)",Miljö!$B$1:$R$1,0),FALSE)),0,VLOOKUP($B57,Miljö!$B$1:$S$500,MATCH("Såld mängd produktionsspecifik fjärrvärme (GWh)",Miljö!$B$1:$R$1,0),FALSE))</f>
        <v>0</v>
      </c>
      <c r="AN57" s="172">
        <f t="shared" si="24"/>
        <v>0.8636819807611047</v>
      </c>
      <c r="AO57" s="121"/>
      <c r="AP57" s="121" t="str">
        <f>IFERROR(VLOOKUP($B57,Miljövärden!$B$2:$H$550,7,FALSE),"Nej, saknas")</f>
        <v>Ja</v>
      </c>
      <c r="AQ57" s="121" t="str">
        <f>IFERROR(VLOOKUP($B57,Miljövärden!$B$2:$H$550,6,FALSE),"Nej, saknas")</f>
        <v>Nej</v>
      </c>
      <c r="AU57">
        <f t="shared" si="25"/>
        <v>72.3155</v>
      </c>
      <c r="AV57">
        <f t="shared" si="26"/>
        <v>12.7751</v>
      </c>
      <c r="AW57">
        <f t="shared" si="27"/>
        <v>461.50409999999999</v>
      </c>
      <c r="AX57">
        <f t="shared" si="28"/>
        <v>0</v>
      </c>
      <c r="AZ57">
        <f t="shared" si="29"/>
        <v>474.2792</v>
      </c>
      <c r="BC57">
        <f t="shared" si="30"/>
        <v>40.511022000000004</v>
      </c>
      <c r="BD57">
        <f t="shared" si="31"/>
        <v>88.270200000000003</v>
      </c>
      <c r="BE57">
        <f t="shared" si="32"/>
        <v>474.2792</v>
      </c>
      <c r="BF57">
        <f t="shared" si="33"/>
        <v>521.82400000000007</v>
      </c>
      <c r="BG57">
        <f t="shared" si="34"/>
        <v>72.3155</v>
      </c>
      <c r="BH57">
        <f>VLOOKUP(B57,Miljö!$B$1:$BX$482,MATCH("Fossilandel för ursprungspecificerad el ()",Miljö!$B$1:$I$1,0),FALSE)</f>
        <v>0</v>
      </c>
      <c r="BI57">
        <f>VLOOKUP(B57,Miljö!$B$1:$BX$482,MATCH("Kärnkraftsandel för ursprungsspecificerad el ()",Miljö!$B$1:$O$1,0),FALSE)</f>
        <v>0</v>
      </c>
      <c r="BJ57">
        <f t="shared" si="35"/>
        <v>0</v>
      </c>
      <c r="BK57" t="str">
        <f>VLOOKUP(B57,Miljö!$B$1:$O$482,MATCH("Fossil andel i procent (%)",Miljö!$B$1:$O$1,0),FALSE)</f>
        <v>ET</v>
      </c>
      <c r="BL57">
        <f t="shared" si="36"/>
        <v>1197.199922</v>
      </c>
      <c r="BO57" s="18">
        <f t="shared" si="37"/>
        <v>3.3838142866167015E-2</v>
      </c>
      <c r="BP57" s="18">
        <f t="shared" si="38"/>
        <v>7.3730542725511466E-2</v>
      </c>
      <c r="BQ57" s="18">
        <f t="shared" si="39"/>
        <v>0.4565609218273905</v>
      </c>
      <c r="BR57" s="18">
        <f t="shared" si="40"/>
        <v>0.43587039258093108</v>
      </c>
      <c r="BT57" s="27">
        <f t="shared" si="41"/>
        <v>1</v>
      </c>
      <c r="BW57" s="18">
        <f>IF(AP57="ja",VLOOKUP(B57,Miljövärden!$B$2:$H$550,MATCH("Total andel fossilt",Miljövärden!$B$2:$H$2,0),FALSE),"")</f>
        <v>3.3838100000000003E-2</v>
      </c>
      <c r="BZ57" s="28">
        <f t="shared" si="42"/>
        <v>-4.2866167011823553E-8</v>
      </c>
      <c r="CA57" s="28">
        <f t="shared" si="43"/>
        <v>0</v>
      </c>
    </row>
    <row r="58" spans="1:79" x14ac:dyDescent="0.25">
      <c r="A58" s="224" t="s">
        <v>263</v>
      </c>
      <c r="B58" s="210" t="s">
        <v>269</v>
      </c>
      <c r="C58" s="121">
        <f>VLOOKUP($B58,'Tillförd energi'!$B$1:$AI$720,MATCH(C$1,'Tillförd energi'!$B$1:$AQ$1,0),FALSE)</f>
        <v>0</v>
      </c>
      <c r="D58" s="121">
        <f>VLOOKUP($B58,'Tillförd energi'!$B$1:$AI$720,MATCH(D$1,'Tillförd energi'!$B$1:$AQ$1,0),FALSE)</f>
        <v>0</v>
      </c>
      <c r="E58" s="121">
        <f>VLOOKUP($B58,'Tillförd energi'!$B$1:$AI$720,MATCH(E$1,'Tillförd energi'!$B$1:$AQ$1,0),FALSE)</f>
        <v>0</v>
      </c>
      <c r="F58" s="121">
        <f>VLOOKUP($B58,'Tillförd energi'!$B$1:$AI$720,MATCH(F$1,'Tillförd energi'!$B$1:$AQ$1,0),FALSE)</f>
        <v>0</v>
      </c>
      <c r="G58" s="121">
        <f>VLOOKUP($B58,'Tillförd energi'!$B$1:$AI$720,MATCH(G$1,'Tillförd energi'!$B$1:$AQ$1,0),FALSE)</f>
        <v>0</v>
      </c>
      <c r="H58" s="121">
        <f>VLOOKUP($B58,'Tillförd energi'!$B$1:$AI$720,MATCH(H$1,'Tillförd energi'!$B$1:$AQ$1,0),FALSE)</f>
        <v>0</v>
      </c>
      <c r="I58" s="121">
        <f>VLOOKUP($B58,'Tillförd energi'!$B$1:$AI$720,MATCH(I$1,'Tillförd energi'!$B$1:$AQ$1,0),FALSE)</f>
        <v>0</v>
      </c>
      <c r="J58" s="121">
        <f>VLOOKUP($B58,'Tillförd energi'!$B$1:$AI$720,MATCH(J$1,'Tillförd energi'!$B$1:$AQ$1,0),FALSE)</f>
        <v>0</v>
      </c>
      <c r="K58" s="121">
        <f>VLOOKUP($B58,'Tillförd energi'!$B$1:$AI$720,MATCH(K$1,'Tillförd energi'!$B$1:$AQ$1,0),FALSE)</f>
        <v>0</v>
      </c>
      <c r="L58" s="121">
        <f>VLOOKUP($B58,'Tillförd energi'!$B$1:$AI$720,MATCH(L$1,'Tillförd energi'!$B$1:$AQ$1,0),FALSE)</f>
        <v>0</v>
      </c>
      <c r="M58" s="121">
        <f>VLOOKUP($B58,'Tillförd energi'!$B$1:$AI$720,MATCH(M$1,'Tillförd energi'!$B$1:$AQ$1,0),FALSE)</f>
        <v>0</v>
      </c>
      <c r="N58" s="121">
        <f>VLOOKUP($B58,'Tillförd energi'!$B$1:$AI$720,MATCH(N$1,'Tillförd energi'!$B$1:$AQ$1,0),FALSE)</f>
        <v>0</v>
      </c>
      <c r="O58" s="121">
        <f>VLOOKUP($B58,'Tillförd energi'!$B$1:$AI$720,MATCH(O$1,'Tillförd energi'!$B$1:$AQ$1,0),FALSE)</f>
        <v>0</v>
      </c>
      <c r="P58" s="121">
        <f>VLOOKUP($B58,'Tillförd energi'!$B$1:$AI$720,MATCH(P$1,'Tillförd energi'!$B$1:$AQ$1,0),FALSE)</f>
        <v>0</v>
      </c>
      <c r="Q58" s="121">
        <f>VLOOKUP($B58,'Tillförd energi'!$B$1:$AI$720,MATCH(Q$1,'Tillförd energi'!$B$1:$AQ$1,0),FALSE)</f>
        <v>0</v>
      </c>
      <c r="R58" s="121">
        <f>VLOOKUP($B58,'Tillförd energi'!$B$1:$AI$720,MATCH(R$1,'Tillförd energi'!$B$1:$AQ$1,0),FALSE)</f>
        <v>47</v>
      </c>
      <c r="S58" s="121">
        <f>VLOOKUP($B58,'Tillförd energi'!$B$1:$AI$720,MATCH(S$1,'Tillförd energi'!$B$1:$AQ$1,0),FALSE)</f>
        <v>0</v>
      </c>
      <c r="T58" s="121">
        <f>VLOOKUP($B58,'Tillförd energi'!$B$1:$AI$720,MATCH(T$1,'Tillförd energi'!$B$1:$AQ$1,0),FALSE)</f>
        <v>0</v>
      </c>
      <c r="U58" s="121">
        <f>VLOOKUP($B58,'Tillförd energi'!$B$1:$AI$720,MATCH(U$1,'Tillförd energi'!$B$1:$AQ$1,0),FALSE)</f>
        <v>0</v>
      </c>
      <c r="V58" s="121">
        <f>VLOOKUP($B58,'Tillförd energi'!$B$1:$AI$720,MATCH(V$1,'Tillförd energi'!$B$1:$AQ$1,0),FALSE)</f>
        <v>0</v>
      </c>
      <c r="W58" s="121">
        <f>VLOOKUP($B58,'Tillförd energi'!$B$1:$AI$720,MATCH(W$1,'Tillförd energi'!$B$1:$AQ$1,0),FALSE)</f>
        <v>47</v>
      </c>
      <c r="X58" s="121">
        <f>VLOOKUP($B58,'Tillförd energi'!$B$1:$AI$720,MATCH(X$1,'Tillförd energi'!$B$1:$AQ$1,0),FALSE)</f>
        <v>0</v>
      </c>
      <c r="Y58" s="121">
        <f>VLOOKUP($B58,'Tillförd energi'!$B$1:$AI$720,MATCH(Y$1,'Tillförd energi'!$B$1:$AQ$1,0),FALSE)</f>
        <v>0</v>
      </c>
      <c r="Z58" s="121">
        <f>VLOOKUP($B58,'Tillförd energi'!$B$1:$AI$720,MATCH(Z$1,'Tillförd energi'!$B$1:$AQ$1,0),FALSE)</f>
        <v>0</v>
      </c>
      <c r="AA58" s="121">
        <f>VLOOKUP($B58,'Tillförd energi'!$B$1:$AI$720,MATCH(AA$1,'Tillförd energi'!$B$1:$AQ$1,0),FALSE)</f>
        <v>67</v>
      </c>
      <c r="AB58" s="121">
        <f>VLOOKUP($B58,'Tillförd energi'!$B$1:$AI$720,MATCH(AB$1,'Tillförd energi'!$B$1:$AQ$1,0),FALSE)</f>
        <v>113</v>
      </c>
      <c r="AC58" s="121">
        <f>VLOOKUP($B58,'Tillförd energi'!$B$1:$AI$720,MATCH(AC$1,'Tillförd energi'!$B$1:$AQ$1,0),FALSE)</f>
        <v>0</v>
      </c>
      <c r="AD58" s="121">
        <f>VLOOKUP($B58,'Tillförd energi'!$B$1:$AI$720,MATCH(AD$1,'Tillförd energi'!$B$1:$AQ$1,0),FALSE)</f>
        <v>0</v>
      </c>
      <c r="AE58" s="121">
        <f>VLOOKUP($B58,'Tillförd energi'!$B$1:$AI$720,MATCH(AE$1,'Tillförd energi'!$B$1:$AQ$1,0),FALSE)</f>
        <v>0</v>
      </c>
      <c r="AF58" s="121">
        <f>VLOOKUP($B58,'Tillförd energi'!$B$1:$AI$720,MATCH(AF$1,'Tillförd energi'!$B$1:$AQ$1,0),FALSE)</f>
        <v>4.5999999999999996</v>
      </c>
      <c r="AG58" s="121">
        <f>IFERROR(VLOOKUP(B58,Miljö!$B$1:$AC$550,MATCH("Köpt mängd produktionsspecifik fjärrvärme:",Miljö!$B$1:$AC$1,0),FALSE)/1,0)</f>
        <v>60</v>
      </c>
      <c r="AH58" s="121"/>
      <c r="AI58" s="121">
        <f t="shared" si="22"/>
        <v>278.60000000000002</v>
      </c>
      <c r="AJ58" s="121">
        <f t="shared" si="23"/>
        <v>338.6</v>
      </c>
      <c r="AK58" s="121">
        <f>IF(ISERROR(1/VLOOKUP($B58,Leveranser!$B$1:$S$499,MATCH("såld värme (gwh)",Leveranser!$B$1:$S$1,0),FALSE)),"",VLOOKUP($B58,Leveranser!$B$1:$S$499,MATCH("såld värme (gwh)",Leveranser!$B$1:$S$1,0),FALSE))</f>
        <v>292</v>
      </c>
      <c r="AL58" s="121">
        <f>VLOOKUP($B58,Leveranser!$B$1:$Y$499,MATCH("Totalt såld fjärrvärme till andra fjärrvärmeföretag",Leveranser!$B$1:$AA$1,0),FALSE)</f>
        <v>0</v>
      </c>
      <c r="AM58" s="121">
        <f>IF(ISERROR(1/VLOOKUP($B58,Miljö!$B$1:$S$500,MATCH("Såld mängd produktionsspecifik fjärrvärme (GWh)",Miljö!$B$1:$R$1,0),FALSE)),0,VLOOKUP($B58,Miljö!$B$1:$S$500,MATCH("Såld mängd produktionsspecifik fjärrvärme (GWh)",Miljö!$B$1:$R$1,0),FALSE))</f>
        <v>11</v>
      </c>
      <c r="AN58" s="172">
        <f t="shared" si="24"/>
        <v>0.86237448316597753</v>
      </c>
      <c r="AO58" s="121"/>
      <c r="AP58" s="121" t="str">
        <f>IFERROR(VLOOKUP($B58,Miljövärden!$B$2:$H$550,7,FALSE),"Nej, saknas")</f>
        <v>Nej</v>
      </c>
      <c r="AQ58" s="121" t="str">
        <f>IFERROR(VLOOKUP($B58,Miljövärden!$B$2:$H$550,6,FALSE),"Nej, saknas")</f>
        <v>Nej</v>
      </c>
      <c r="AU58">
        <f t="shared" si="25"/>
        <v>71.599999999999994</v>
      </c>
      <c r="AV58">
        <f t="shared" si="26"/>
        <v>0</v>
      </c>
      <c r="AW58">
        <f t="shared" si="27"/>
        <v>0</v>
      </c>
      <c r="AX58">
        <f t="shared" si="28"/>
        <v>47</v>
      </c>
      <c r="AZ58">
        <f t="shared" si="29"/>
        <v>94</v>
      </c>
      <c r="BC58">
        <f t="shared" si="30"/>
        <v>0</v>
      </c>
      <c r="BD58">
        <f t="shared" si="31"/>
        <v>0</v>
      </c>
      <c r="BE58">
        <f t="shared" si="32"/>
        <v>94</v>
      </c>
      <c r="BF58">
        <f t="shared" si="33"/>
        <v>113</v>
      </c>
      <c r="BG58">
        <f t="shared" si="34"/>
        <v>71.599999999999994</v>
      </c>
      <c r="BH58">
        <f>VLOOKUP(B58,Miljö!$B$1:$BX$482,MATCH("Fossilandel för ursprungspecificerad el ()",Miljö!$B$1:$I$1,0),FALSE)</f>
        <v>0</v>
      </c>
      <c r="BI58">
        <f>VLOOKUP(B58,Miljö!$B$1:$BX$482,MATCH("Kärnkraftsandel för ursprungsspecificerad el ()",Miljö!$B$1:$O$1,0),FALSE)</f>
        <v>0</v>
      </c>
      <c r="BJ58">
        <f t="shared" si="35"/>
        <v>60</v>
      </c>
      <c r="BK58" t="str">
        <f>VLOOKUP(B58,Miljö!$B$1:$O$482,MATCH("Fossil andel i procent (%)",Miljö!$B$1:$O$1,0),FALSE)</f>
        <v>ET</v>
      </c>
      <c r="BL58">
        <f t="shared" si="36"/>
        <v>338.6</v>
      </c>
      <c r="BO58" s="18" t="str">
        <f t="shared" si="37"/>
        <v/>
      </c>
      <c r="BP58" s="18" t="str">
        <f t="shared" si="38"/>
        <v/>
      </c>
      <c r="BQ58" s="18" t="str">
        <f t="shared" si="39"/>
        <v/>
      </c>
      <c r="BR58" s="18" t="str">
        <f t="shared" si="40"/>
        <v/>
      </c>
      <c r="BT58" s="27">
        <f t="shared" si="41"/>
        <v>0</v>
      </c>
      <c r="BW58" s="18" t="str">
        <f>IF(AP58="ja",VLOOKUP(B58,Miljövärden!$B$2:$H$550,MATCH("Total andel fossilt",Miljövärden!$B$2:$H$2,0),FALSE),"")</f>
        <v/>
      </c>
      <c r="BZ58" s="28" t="str">
        <f t="shared" si="42"/>
        <v/>
      </c>
      <c r="CA58" s="28" t="str">
        <f t="shared" si="43"/>
        <v/>
      </c>
    </row>
    <row r="59" spans="1:79" x14ac:dyDescent="0.25">
      <c r="A59" s="224" t="s">
        <v>263</v>
      </c>
      <c r="B59" s="210" t="s">
        <v>270</v>
      </c>
      <c r="C59" s="121">
        <f>VLOOKUP($B59,'Tillförd energi'!$B$1:$AI$720,MATCH(C$1,'Tillförd energi'!$B$1:$AQ$1,0),FALSE)</f>
        <v>0</v>
      </c>
      <c r="D59" s="121">
        <f>VLOOKUP($B59,'Tillförd energi'!$B$1:$AI$720,MATCH(D$1,'Tillförd energi'!$B$1:$AQ$1,0),FALSE)</f>
        <v>0.7</v>
      </c>
      <c r="E59" s="121">
        <f>VLOOKUP($B59,'Tillförd energi'!$B$1:$AI$720,MATCH(E$1,'Tillförd energi'!$B$1:$AQ$1,0),FALSE)</f>
        <v>0</v>
      </c>
      <c r="F59" s="121">
        <f>VLOOKUP($B59,'Tillförd energi'!$B$1:$AI$720,MATCH(F$1,'Tillförd energi'!$B$1:$AQ$1,0),FALSE)</f>
        <v>0</v>
      </c>
      <c r="G59" s="121">
        <f>VLOOKUP($B59,'Tillförd energi'!$B$1:$AI$720,MATCH(G$1,'Tillförd energi'!$B$1:$AQ$1,0),FALSE)</f>
        <v>0</v>
      </c>
      <c r="H59" s="121">
        <f>VLOOKUP($B59,'Tillförd energi'!$B$1:$AI$720,MATCH(H$1,'Tillförd energi'!$B$1:$AQ$1,0),FALSE)</f>
        <v>0</v>
      </c>
      <c r="I59" s="121">
        <f>VLOOKUP($B59,'Tillförd energi'!$B$1:$AI$720,MATCH(I$1,'Tillförd energi'!$B$1:$AQ$1,0),FALSE)</f>
        <v>0</v>
      </c>
      <c r="J59" s="121">
        <f>VLOOKUP($B59,'Tillförd energi'!$B$1:$AI$720,MATCH(J$1,'Tillförd energi'!$B$1:$AQ$1,0),FALSE)</f>
        <v>0</v>
      </c>
      <c r="K59" s="121">
        <f>VLOOKUP($B59,'Tillförd energi'!$B$1:$AI$720,MATCH(K$1,'Tillförd energi'!$B$1:$AQ$1,0),FALSE)</f>
        <v>0</v>
      </c>
      <c r="L59" s="121">
        <f>VLOOKUP($B59,'Tillförd energi'!$B$1:$AI$720,MATCH(L$1,'Tillförd energi'!$B$1:$AQ$1,0),FALSE)</f>
        <v>0</v>
      </c>
      <c r="M59" s="121">
        <f>VLOOKUP($B59,'Tillförd energi'!$B$1:$AI$720,MATCH(M$1,'Tillförd energi'!$B$1:$AQ$1,0),FALSE)</f>
        <v>0</v>
      </c>
      <c r="N59" s="121">
        <f>VLOOKUP($B59,'Tillförd energi'!$B$1:$AI$720,MATCH(N$1,'Tillförd energi'!$B$1:$AQ$1,0),FALSE)</f>
        <v>0</v>
      </c>
      <c r="O59" s="121">
        <f>VLOOKUP($B59,'Tillförd energi'!$B$1:$AI$720,MATCH(O$1,'Tillförd energi'!$B$1:$AQ$1,0),FALSE)</f>
        <v>0</v>
      </c>
      <c r="P59" s="121">
        <f>VLOOKUP($B59,'Tillförd energi'!$B$1:$AI$720,MATCH(P$1,'Tillförd energi'!$B$1:$AQ$1,0),FALSE)</f>
        <v>0</v>
      </c>
      <c r="Q59" s="121">
        <f>VLOOKUP($B59,'Tillförd energi'!$B$1:$AI$720,MATCH(Q$1,'Tillförd energi'!$B$1:$AQ$1,0),FALSE)</f>
        <v>0</v>
      </c>
      <c r="R59" s="121">
        <f>VLOOKUP($B59,'Tillförd energi'!$B$1:$AI$720,MATCH(R$1,'Tillförd energi'!$B$1:$AQ$1,0),FALSE)</f>
        <v>13.9</v>
      </c>
      <c r="S59" s="121">
        <f>VLOOKUP($B59,'Tillförd energi'!$B$1:$AI$720,MATCH(S$1,'Tillförd energi'!$B$1:$AQ$1,0),FALSE)</f>
        <v>24.7</v>
      </c>
      <c r="T59" s="121">
        <f>VLOOKUP($B59,'Tillförd energi'!$B$1:$AI$720,MATCH(T$1,'Tillförd energi'!$B$1:$AQ$1,0),FALSE)</f>
        <v>0</v>
      </c>
      <c r="U59" s="121">
        <f>VLOOKUP($B59,'Tillförd energi'!$B$1:$AI$720,MATCH(U$1,'Tillförd energi'!$B$1:$AQ$1,0),FALSE)</f>
        <v>0</v>
      </c>
      <c r="V59" s="121">
        <f>VLOOKUP($B59,'Tillförd energi'!$B$1:$AI$720,MATCH(V$1,'Tillförd energi'!$B$1:$AQ$1,0),FALSE)</f>
        <v>0</v>
      </c>
      <c r="W59" s="121">
        <f>VLOOKUP($B59,'Tillförd energi'!$B$1:$AI$720,MATCH(W$1,'Tillförd energi'!$B$1:$AQ$1,0),FALSE)</f>
        <v>9.3000000000000007</v>
      </c>
      <c r="X59" s="121">
        <f>VLOOKUP($B59,'Tillförd energi'!$B$1:$AI$720,MATCH(X$1,'Tillförd energi'!$B$1:$AQ$1,0),FALSE)</f>
        <v>0</v>
      </c>
      <c r="Y59" s="121">
        <f>VLOOKUP($B59,'Tillförd energi'!$B$1:$AI$720,MATCH(Y$1,'Tillförd energi'!$B$1:$AQ$1,0),FALSE)</f>
        <v>0</v>
      </c>
      <c r="Z59" s="121">
        <f>VLOOKUP($B59,'Tillförd energi'!$B$1:$AI$720,MATCH(Z$1,'Tillförd energi'!$B$1:$AQ$1,0),FALSE)</f>
        <v>0</v>
      </c>
      <c r="AA59" s="121">
        <f>VLOOKUP($B59,'Tillförd energi'!$B$1:$AI$720,MATCH(AA$1,'Tillförd energi'!$B$1:$AQ$1,0),FALSE)</f>
        <v>8.6999999999999993</v>
      </c>
      <c r="AB59" s="121">
        <f>VLOOKUP($B59,'Tillförd energi'!$B$1:$AI$720,MATCH(AB$1,'Tillförd energi'!$B$1:$AQ$1,0),FALSE)</f>
        <v>8.5</v>
      </c>
      <c r="AC59" s="121">
        <f>VLOOKUP($B59,'Tillförd energi'!$B$1:$AI$720,MATCH(AC$1,'Tillförd energi'!$B$1:$AQ$1,0),FALSE)</f>
        <v>0</v>
      </c>
      <c r="AD59" s="121">
        <f>VLOOKUP($B59,'Tillförd energi'!$B$1:$AI$720,MATCH(AD$1,'Tillförd energi'!$B$1:$AQ$1,0),FALSE)</f>
        <v>0</v>
      </c>
      <c r="AE59" s="121">
        <f>VLOOKUP($B59,'Tillförd energi'!$B$1:$AI$720,MATCH(AE$1,'Tillförd energi'!$B$1:$AQ$1,0),FALSE)</f>
        <v>0</v>
      </c>
      <c r="AF59" s="121">
        <f>VLOOKUP($B59,'Tillförd energi'!$B$1:$AI$720,MATCH(AF$1,'Tillförd energi'!$B$1:$AQ$1,0),FALSE)</f>
        <v>0.5</v>
      </c>
      <c r="AG59" s="121">
        <f>IFERROR(VLOOKUP(B59,Miljö!$B$1:$AC$550,MATCH("Köpt mängd produktionsspecifik fjärrvärme:",Miljö!$B$1:$AC$1,0),FALSE)/1,0)</f>
        <v>0</v>
      </c>
      <c r="AH59" s="121"/>
      <c r="AI59" s="121">
        <f t="shared" si="22"/>
        <v>66.3</v>
      </c>
      <c r="AJ59" s="121">
        <f t="shared" si="23"/>
        <v>66.3</v>
      </c>
      <c r="AK59" s="121">
        <f>IF(ISERROR(1/VLOOKUP($B59,Leveranser!$B$1:$S$499,MATCH("såld värme (gwh)",Leveranser!$B$1:$S$1,0),FALSE)),"",VLOOKUP($B59,Leveranser!$B$1:$S$499,MATCH("såld värme (gwh)",Leveranser!$B$1:$S$1,0),FALSE))</f>
        <v>54.2</v>
      </c>
      <c r="AL59" s="121">
        <f>VLOOKUP($B59,Leveranser!$B$1:$Y$499,MATCH("Totalt såld fjärrvärme till andra fjärrvärmeföretag",Leveranser!$B$1:$AA$1,0),FALSE)</f>
        <v>0</v>
      </c>
      <c r="AM59" s="121">
        <f>IF(ISERROR(1/VLOOKUP($B59,Miljö!$B$1:$S$500,MATCH("Såld mängd produktionsspecifik fjärrvärme (GWh)",Miljö!$B$1:$R$1,0),FALSE)),0,VLOOKUP($B59,Miljö!$B$1:$S$500,MATCH("Såld mängd produktionsspecifik fjärrvärme (GWh)",Miljö!$B$1:$R$1,0),FALSE))</f>
        <v>0</v>
      </c>
      <c r="AN59" s="172">
        <f t="shared" si="24"/>
        <v>0.81749622926093524</v>
      </c>
      <c r="AO59" s="121"/>
      <c r="AP59" s="121" t="str">
        <f>IFERROR(VLOOKUP($B59,Miljövärden!$B$2:$H$550,7,FALSE),"Nej, saknas")</f>
        <v>Ja</v>
      </c>
      <c r="AQ59" s="121" t="str">
        <f>IFERROR(VLOOKUP($B59,Miljövärden!$B$2:$H$550,6,FALSE),"Nej, saknas")</f>
        <v>Nej</v>
      </c>
      <c r="AU59">
        <f t="shared" si="25"/>
        <v>9.1999999999999993</v>
      </c>
      <c r="AV59">
        <f t="shared" si="26"/>
        <v>0</v>
      </c>
      <c r="AW59">
        <f t="shared" si="27"/>
        <v>0</v>
      </c>
      <c r="AX59">
        <f t="shared" si="28"/>
        <v>38.6</v>
      </c>
      <c r="AZ59">
        <f t="shared" si="29"/>
        <v>47.900000000000006</v>
      </c>
      <c r="BC59">
        <f t="shared" si="30"/>
        <v>0.7</v>
      </c>
      <c r="BD59">
        <f t="shared" si="31"/>
        <v>0</v>
      </c>
      <c r="BE59">
        <f t="shared" si="32"/>
        <v>47.900000000000006</v>
      </c>
      <c r="BF59">
        <f t="shared" si="33"/>
        <v>8.5</v>
      </c>
      <c r="BG59">
        <f t="shared" si="34"/>
        <v>9.1999999999999993</v>
      </c>
      <c r="BH59">
        <f>VLOOKUP(B59,Miljö!$B$1:$BX$482,MATCH("Fossilandel för ursprungspecificerad el ()",Miljö!$B$1:$I$1,0),FALSE)</f>
        <v>0.43</v>
      </c>
      <c r="BI59">
        <f>VLOOKUP(B59,Miljö!$B$1:$BX$482,MATCH("Kärnkraftsandel för ursprungsspecificerad el ()",Miljö!$B$1:$O$1,0),FALSE)</f>
        <v>0.40550000000000003</v>
      </c>
      <c r="BJ59">
        <f t="shared" si="35"/>
        <v>0</v>
      </c>
      <c r="BK59" t="str">
        <f>VLOOKUP(B59,Miljö!$B$1:$O$482,MATCH("Fossil andel i procent (%)",Miljö!$B$1:$O$1,0),FALSE)</f>
        <v>ET</v>
      </c>
      <c r="BL59">
        <f t="shared" si="36"/>
        <v>66.300000000000011</v>
      </c>
      <c r="BO59" s="18">
        <f t="shared" si="37"/>
        <v>7.0226244343891381E-2</v>
      </c>
      <c r="BP59" s="18">
        <f t="shared" si="38"/>
        <v>5.626847662141779E-2</v>
      </c>
      <c r="BQ59" s="18">
        <f t="shared" si="39"/>
        <v>0.74530015082956247</v>
      </c>
      <c r="BR59" s="18">
        <f t="shared" si="40"/>
        <v>0.12820512820512819</v>
      </c>
      <c r="BT59" s="27">
        <f t="shared" si="41"/>
        <v>0.99999999999999978</v>
      </c>
      <c r="BW59" s="18">
        <f>IF(AP59="ja",VLOOKUP(B59,Miljövärden!$B$2:$H$550,MATCH("Total andel fossilt",Miljövärden!$B$2:$H$2,0),FALSE),"")</f>
        <v>7.0226200000000003E-2</v>
      </c>
      <c r="BZ59" s="28">
        <f t="shared" si="42"/>
        <v>-4.4343891378306743E-8</v>
      </c>
      <c r="CA59" s="28">
        <f t="shared" si="43"/>
        <v>0</v>
      </c>
    </row>
    <row r="60" spans="1:79" x14ac:dyDescent="0.25">
      <c r="A60" s="224" t="s">
        <v>263</v>
      </c>
      <c r="B60" s="210" t="s">
        <v>272</v>
      </c>
      <c r="C60" s="121">
        <f>VLOOKUP($B60,'Tillförd energi'!$B$1:$AI$720,MATCH(C$1,'Tillförd energi'!$B$1:$AQ$1,0),FALSE)</f>
        <v>0</v>
      </c>
      <c r="D60" s="121">
        <f>VLOOKUP($B60,'Tillförd energi'!$B$1:$AI$720,MATCH(D$1,'Tillförd energi'!$B$1:$AQ$1,0),FALSE)</f>
        <v>0.20644599999999999</v>
      </c>
      <c r="E60" s="121">
        <f>VLOOKUP($B60,'Tillförd energi'!$B$1:$AI$720,MATCH(E$1,'Tillförd energi'!$B$1:$AQ$1,0),FALSE)</f>
        <v>0</v>
      </c>
      <c r="F60" s="121">
        <f>VLOOKUP($B60,'Tillförd energi'!$B$1:$AI$720,MATCH(F$1,'Tillförd energi'!$B$1:$AQ$1,0),FALSE)</f>
        <v>3.3352599999999999</v>
      </c>
      <c r="G60" s="121">
        <f>VLOOKUP($B60,'Tillförd energi'!$B$1:$AI$720,MATCH(G$1,'Tillförd energi'!$B$1:$AQ$1,0),FALSE)</f>
        <v>511.27800000000002</v>
      </c>
      <c r="H60" s="121">
        <f>VLOOKUP($B60,'Tillförd energi'!$B$1:$AI$720,MATCH(H$1,'Tillförd energi'!$B$1:$AQ$1,0),FALSE)</f>
        <v>0</v>
      </c>
      <c r="I60" s="121">
        <f>VLOOKUP($B60,'Tillförd energi'!$B$1:$AI$720,MATCH(I$1,'Tillförd energi'!$B$1:$AQ$1,0),FALSE)</f>
        <v>1019.27</v>
      </c>
      <c r="J60" s="121">
        <f>VLOOKUP($B60,'Tillförd energi'!$B$1:$AI$720,MATCH(J$1,'Tillförd energi'!$B$1:$AQ$1,0),FALSE)</f>
        <v>61.3</v>
      </c>
      <c r="K60" s="121">
        <f>VLOOKUP($B60,'Tillförd energi'!$B$1:$AI$720,MATCH(K$1,'Tillförd energi'!$B$1:$AQ$1,0),FALSE)</f>
        <v>0</v>
      </c>
      <c r="L60" s="121">
        <f>VLOOKUP($B60,'Tillförd energi'!$B$1:$AI$720,MATCH(L$1,'Tillförd energi'!$B$1:$AQ$1,0),FALSE)</f>
        <v>0</v>
      </c>
      <c r="M60" s="121">
        <f>VLOOKUP($B60,'Tillförd energi'!$B$1:$AI$720,MATCH(M$1,'Tillförd energi'!$B$1:$AQ$1,0),FALSE)</f>
        <v>0</v>
      </c>
      <c r="N60" s="121">
        <f>VLOOKUP($B60,'Tillförd energi'!$B$1:$AI$720,MATCH(N$1,'Tillförd energi'!$B$1:$AQ$1,0),FALSE)</f>
        <v>0</v>
      </c>
      <c r="O60" s="121">
        <f>VLOOKUP($B60,'Tillförd energi'!$B$1:$AI$720,MATCH(O$1,'Tillförd energi'!$B$1:$AQ$1,0),FALSE)</f>
        <v>0</v>
      </c>
      <c r="P60" s="121">
        <f>VLOOKUP($B60,'Tillförd energi'!$B$1:$AI$720,MATCH(P$1,'Tillförd energi'!$B$1:$AQ$1,0),FALSE)</f>
        <v>120.9</v>
      </c>
      <c r="Q60" s="121">
        <f>VLOOKUP($B60,'Tillförd energi'!$B$1:$AI$720,MATCH(Q$1,'Tillförd energi'!$B$1:$AQ$1,0),FALSE)</f>
        <v>0</v>
      </c>
      <c r="R60" s="121">
        <f>VLOOKUP($B60,'Tillförd energi'!$B$1:$AI$720,MATCH(R$1,'Tillförd energi'!$B$1:$AQ$1,0),FALSE)</f>
        <v>0</v>
      </c>
      <c r="S60" s="121">
        <f>VLOOKUP($B60,'Tillförd energi'!$B$1:$AI$720,MATCH(S$1,'Tillförd energi'!$B$1:$AQ$1,0),FALSE)</f>
        <v>0</v>
      </c>
      <c r="T60" s="121">
        <f>VLOOKUP($B60,'Tillförd energi'!$B$1:$AI$720,MATCH(T$1,'Tillförd energi'!$B$1:$AQ$1,0),FALSE)</f>
        <v>0</v>
      </c>
      <c r="U60" s="121">
        <f>VLOOKUP($B60,'Tillförd energi'!$B$1:$AI$720,MATCH(U$1,'Tillförd energi'!$B$1:$AQ$1,0),FALSE)</f>
        <v>0</v>
      </c>
      <c r="V60" s="121">
        <f>VLOOKUP($B60,'Tillförd energi'!$B$1:$AI$720,MATCH(V$1,'Tillförd energi'!$B$1:$AQ$1,0),FALSE)</f>
        <v>0</v>
      </c>
      <c r="W60" s="121">
        <f>VLOOKUP($B60,'Tillförd energi'!$B$1:$AI$720,MATCH(W$1,'Tillförd energi'!$B$1:$AQ$1,0),FALSE)</f>
        <v>0</v>
      </c>
      <c r="X60" s="121">
        <f>VLOOKUP($B60,'Tillförd energi'!$B$1:$AI$720,MATCH(X$1,'Tillförd energi'!$B$1:$AQ$1,0),FALSE)</f>
        <v>0</v>
      </c>
      <c r="Y60" s="121">
        <f>VLOOKUP($B60,'Tillförd energi'!$B$1:$AI$720,MATCH(Y$1,'Tillförd energi'!$B$1:$AQ$1,0),FALSE)</f>
        <v>0</v>
      </c>
      <c r="Z60" s="121">
        <f>VLOOKUP($B60,'Tillförd energi'!$B$1:$AI$720,MATCH(Z$1,'Tillförd energi'!$B$1:$AQ$1,0),FALSE)</f>
        <v>0</v>
      </c>
      <c r="AA60" s="121">
        <f>VLOOKUP($B60,'Tillförd energi'!$B$1:$AI$720,MATCH(AA$1,'Tillförd energi'!$B$1:$AQ$1,0),FALSE)</f>
        <v>17.5</v>
      </c>
      <c r="AB60" s="121">
        <f>VLOOKUP($B60,'Tillförd energi'!$B$1:$AI$720,MATCH(AB$1,'Tillförd energi'!$B$1:$AQ$1,0),FALSE)</f>
        <v>39.299999999999997</v>
      </c>
      <c r="AC60" s="121">
        <f>VLOOKUP($B60,'Tillförd energi'!$B$1:$AI$720,MATCH(AC$1,'Tillförd energi'!$B$1:$AQ$1,0),FALSE)</f>
        <v>67</v>
      </c>
      <c r="AD60" s="121">
        <f>VLOOKUP($B60,'Tillförd energi'!$B$1:$AI$720,MATCH(AD$1,'Tillförd energi'!$B$1:$AQ$1,0),FALSE)</f>
        <v>155</v>
      </c>
      <c r="AE60" s="121">
        <f>VLOOKUP($B60,'Tillförd energi'!$B$1:$AI$720,MATCH(AE$1,'Tillförd energi'!$B$1:$AQ$1,0),FALSE)</f>
        <v>0</v>
      </c>
      <c r="AF60" s="121">
        <f>VLOOKUP($B60,'Tillförd energi'!$B$1:$AI$720,MATCH(AF$1,'Tillförd energi'!$B$1:$AQ$1,0),FALSE)</f>
        <v>36.9375</v>
      </c>
      <c r="AG60" s="121">
        <f>IFERROR(VLOOKUP(B60,Miljö!$B$1:$AC$550,MATCH("Köpt mängd produktionsspecifik fjärrvärme:",Miljö!$B$1:$AC$1,0),FALSE)/1,0)</f>
        <v>0</v>
      </c>
      <c r="AH60" s="121"/>
      <c r="AI60" s="121">
        <f t="shared" si="22"/>
        <v>2032.027206</v>
      </c>
      <c r="AJ60" s="121">
        <f t="shared" si="23"/>
        <v>2032.027206</v>
      </c>
      <c r="AK60" s="121">
        <f>IF(ISERROR(1/VLOOKUP($B60,Leveranser!$B$1:$S$499,MATCH("såld värme (gwh)",Leveranser!$B$1:$S$1,0),FALSE)),"",VLOOKUP($B60,Leveranser!$B$1:$S$499,MATCH("såld värme (gwh)",Leveranser!$B$1:$S$1,0),FALSE))</f>
        <v>2074</v>
      </c>
      <c r="AL60" s="121">
        <f>VLOOKUP($B60,Leveranser!$B$1:$Y$499,MATCH("Totalt såld fjärrvärme till andra fjärrvärmeföretag",Leveranser!$B$1:$AA$1,0),FALSE)</f>
        <v>0</v>
      </c>
      <c r="AM60" s="121">
        <f>IF(ISERROR(1/VLOOKUP($B60,Miljö!$B$1:$S$500,MATCH("Såld mängd produktionsspecifik fjärrvärme (GWh)",Miljö!$B$1:$R$1,0),FALSE)),0,VLOOKUP($B60,Miljö!$B$1:$S$500,MATCH("Såld mängd produktionsspecifik fjärrvärme (GWh)",Miljö!$B$1:$R$1,0),FALSE))</f>
        <v>0</v>
      </c>
      <c r="AN60" s="172">
        <f t="shared" si="24"/>
        <v>1.0206556260054325</v>
      </c>
      <c r="AO60" s="121"/>
      <c r="AP60" s="121" t="str">
        <f>IFERROR(VLOOKUP($B60,Miljövärden!$B$2:$H$550,7,FALSE),"Nej, saknas")</f>
        <v>Ja</v>
      </c>
      <c r="AQ60" s="121" t="str">
        <f>IFERROR(VLOOKUP($B60,Miljövärden!$B$2:$H$550,6,FALSE),"Nej, saknas")</f>
        <v>Nej</v>
      </c>
      <c r="AU60">
        <f t="shared" si="25"/>
        <v>54.4375</v>
      </c>
      <c r="AV60">
        <f t="shared" si="26"/>
        <v>0</v>
      </c>
      <c r="AW60">
        <f t="shared" si="27"/>
        <v>120.9</v>
      </c>
      <c r="AX60">
        <f t="shared" si="28"/>
        <v>0</v>
      </c>
      <c r="AZ60">
        <f t="shared" si="29"/>
        <v>120.9</v>
      </c>
      <c r="BC60">
        <f t="shared" si="30"/>
        <v>514.819706</v>
      </c>
      <c r="BD60">
        <f t="shared" si="31"/>
        <v>0</v>
      </c>
      <c r="BE60">
        <f t="shared" si="32"/>
        <v>120.9</v>
      </c>
      <c r="BF60">
        <f t="shared" si="33"/>
        <v>1341.87</v>
      </c>
      <c r="BG60">
        <f t="shared" si="34"/>
        <v>54.4375</v>
      </c>
      <c r="BH60">
        <f>VLOOKUP(B60,Miljö!$B$1:$BX$482,MATCH("Fossilandel för ursprungspecificerad el ()",Miljö!$B$1:$I$1,0),FALSE)</f>
        <v>0</v>
      </c>
      <c r="BI60">
        <f>VLOOKUP(B60,Miljö!$B$1:$BX$482,MATCH("Kärnkraftsandel för ursprungsspecificerad el ()",Miljö!$B$1:$O$1,0),FALSE)</f>
        <v>0</v>
      </c>
      <c r="BJ60">
        <f t="shared" si="35"/>
        <v>0</v>
      </c>
      <c r="BK60" t="str">
        <f>VLOOKUP(B60,Miljö!$B$1:$O$482,MATCH("Fossil andel i procent (%)",Miljö!$B$1:$O$1,0),FALSE)</f>
        <v>ET</v>
      </c>
      <c r="BL60">
        <f t="shared" si="36"/>
        <v>2032.0272059999998</v>
      </c>
      <c r="BO60" s="18">
        <f t="shared" si="37"/>
        <v>0.25335276244328003</v>
      </c>
      <c r="BP60" s="18">
        <f t="shared" si="38"/>
        <v>0</v>
      </c>
      <c r="BQ60" s="18">
        <f t="shared" si="39"/>
        <v>8.6286984486368151E-2</v>
      </c>
      <c r="BR60" s="18">
        <f t="shared" si="40"/>
        <v>0.66036025307035184</v>
      </c>
      <c r="BT60" s="27">
        <f t="shared" si="41"/>
        <v>1</v>
      </c>
      <c r="BW60" s="18">
        <f>IF(AP60="ja",VLOOKUP(B60,Miljövärden!$B$2:$H$550,MATCH("Total andel fossilt",Miljövärden!$B$2:$H$2,0),FALSE),"")</f>
        <v>0.25335299999999999</v>
      </c>
      <c r="BZ60" s="28">
        <f t="shared" si="42"/>
        <v>2.3755671996195105E-7</v>
      </c>
      <c r="CA60" s="28">
        <f t="shared" si="43"/>
        <v>0</v>
      </c>
    </row>
    <row r="61" spans="1:79" x14ac:dyDescent="0.25">
      <c r="A61" s="224" t="s">
        <v>263</v>
      </c>
      <c r="B61" s="210" t="s">
        <v>273</v>
      </c>
      <c r="C61" s="121">
        <f>VLOOKUP($B61,'Tillförd energi'!$B$1:$AI$720,MATCH(C$1,'Tillförd energi'!$B$1:$AQ$1,0),FALSE)</f>
        <v>62.707999999999998</v>
      </c>
      <c r="D61" s="121">
        <f>VLOOKUP($B61,'Tillförd energi'!$B$1:$AI$720,MATCH(D$1,'Tillförd energi'!$B$1:$AQ$1,0),FALSE)</f>
        <v>0.92719300000000004</v>
      </c>
      <c r="E61" s="121">
        <f>VLOOKUP($B61,'Tillförd energi'!$B$1:$AI$720,MATCH(E$1,'Tillförd energi'!$B$1:$AQ$1,0),FALSE)</f>
        <v>0</v>
      </c>
      <c r="F61" s="121">
        <f>VLOOKUP($B61,'Tillförd energi'!$B$1:$AI$720,MATCH(F$1,'Tillförd energi'!$B$1:$AQ$1,0),FALSE)</f>
        <v>3.7</v>
      </c>
      <c r="G61" s="121">
        <f>VLOOKUP($B61,'Tillförd energi'!$B$1:$AI$720,MATCH(G$1,'Tillförd energi'!$B$1:$AQ$1,0),FALSE)</f>
        <v>0</v>
      </c>
      <c r="H61" s="121">
        <f>VLOOKUP($B61,'Tillförd energi'!$B$1:$AI$720,MATCH(H$1,'Tillförd energi'!$B$1:$AQ$1,0),FALSE)</f>
        <v>0</v>
      </c>
      <c r="I61" s="121">
        <f>VLOOKUP($B61,'Tillförd energi'!$B$1:$AI$720,MATCH(I$1,'Tillförd energi'!$B$1:$AQ$1,0),FALSE)</f>
        <v>667.65899999999999</v>
      </c>
      <c r="J61" s="121">
        <f>VLOOKUP($B61,'Tillförd energi'!$B$1:$AI$720,MATCH(J$1,'Tillförd energi'!$B$1:$AQ$1,0),FALSE)</f>
        <v>0</v>
      </c>
      <c r="K61" s="121">
        <f>VLOOKUP($B61,'Tillförd energi'!$B$1:$AI$720,MATCH(K$1,'Tillförd energi'!$B$1:$AQ$1,0),FALSE)</f>
        <v>0</v>
      </c>
      <c r="L61" s="121">
        <f>VLOOKUP($B61,'Tillförd energi'!$B$1:$AI$720,MATCH(L$1,'Tillförd energi'!$B$1:$AQ$1,0),FALSE)</f>
        <v>50.700200000000002</v>
      </c>
      <c r="M61" s="121">
        <f>VLOOKUP($B61,'Tillförd energi'!$B$1:$AI$720,MATCH(M$1,'Tillförd energi'!$B$1:$AQ$1,0),FALSE)</f>
        <v>0</v>
      </c>
      <c r="N61" s="121">
        <f>VLOOKUP($B61,'Tillförd energi'!$B$1:$AI$720,MATCH(N$1,'Tillförd energi'!$B$1:$AQ$1,0),FALSE)</f>
        <v>48.351500000000001</v>
      </c>
      <c r="O61" s="121">
        <f>VLOOKUP($B61,'Tillförd energi'!$B$1:$AI$720,MATCH(O$1,'Tillförd energi'!$B$1:$AQ$1,0),FALSE)</f>
        <v>0</v>
      </c>
      <c r="P61" s="121">
        <f>VLOOKUP($B61,'Tillförd energi'!$B$1:$AI$720,MATCH(P$1,'Tillförd energi'!$B$1:$AQ$1,0),FALSE)</f>
        <v>0</v>
      </c>
      <c r="Q61" s="121">
        <f>VLOOKUP($B61,'Tillförd energi'!$B$1:$AI$720,MATCH(Q$1,'Tillförd energi'!$B$1:$AQ$1,0),FALSE)</f>
        <v>0</v>
      </c>
      <c r="R61" s="121">
        <f>VLOOKUP($B61,'Tillförd energi'!$B$1:$AI$720,MATCH(R$1,'Tillförd energi'!$B$1:$AQ$1,0),FALSE)</f>
        <v>0</v>
      </c>
      <c r="S61" s="121">
        <f>VLOOKUP($B61,'Tillförd energi'!$B$1:$AI$720,MATCH(S$1,'Tillförd energi'!$B$1:$AQ$1,0),FALSE)</f>
        <v>0</v>
      </c>
      <c r="T61" s="121">
        <f>VLOOKUP($B61,'Tillförd energi'!$B$1:$AI$720,MATCH(T$1,'Tillförd energi'!$B$1:$AQ$1,0),FALSE)</f>
        <v>0</v>
      </c>
      <c r="U61" s="121">
        <f>VLOOKUP($B61,'Tillförd energi'!$B$1:$AI$720,MATCH(U$1,'Tillförd energi'!$B$1:$AQ$1,0),FALSE)</f>
        <v>0</v>
      </c>
      <c r="V61" s="121">
        <f>VLOOKUP($B61,'Tillförd energi'!$B$1:$AI$720,MATCH(V$1,'Tillförd energi'!$B$1:$AQ$1,0),FALSE)</f>
        <v>0</v>
      </c>
      <c r="W61" s="121">
        <f>VLOOKUP($B61,'Tillförd energi'!$B$1:$AI$720,MATCH(W$1,'Tillförd energi'!$B$1:$AQ$1,0),FALSE)</f>
        <v>1.1000000000000001</v>
      </c>
      <c r="X61" s="121">
        <f>VLOOKUP($B61,'Tillförd energi'!$B$1:$AI$720,MATCH(X$1,'Tillförd energi'!$B$1:$AQ$1,0),FALSE)</f>
        <v>0</v>
      </c>
      <c r="Y61" s="121">
        <f>VLOOKUP($B61,'Tillförd energi'!$B$1:$AI$720,MATCH(Y$1,'Tillförd energi'!$B$1:$AQ$1,0),FALSE)</f>
        <v>0</v>
      </c>
      <c r="Z61" s="121">
        <f>VLOOKUP($B61,'Tillförd energi'!$B$1:$AI$720,MATCH(Z$1,'Tillförd energi'!$B$1:$AQ$1,0),FALSE)</f>
        <v>0</v>
      </c>
      <c r="AA61" s="121">
        <f>VLOOKUP($B61,'Tillförd energi'!$B$1:$AI$720,MATCH(AA$1,'Tillförd energi'!$B$1:$AQ$1,0),FALSE)</f>
        <v>0</v>
      </c>
      <c r="AB61" s="121">
        <f>VLOOKUP($B61,'Tillförd energi'!$B$1:$AI$720,MATCH(AB$1,'Tillförd energi'!$B$1:$AQ$1,0),FALSE)</f>
        <v>0</v>
      </c>
      <c r="AC61" s="121">
        <f>VLOOKUP($B61,'Tillförd energi'!$B$1:$AI$720,MATCH(AC$1,'Tillförd energi'!$B$1:$AQ$1,0),FALSE)</f>
        <v>71.2</v>
      </c>
      <c r="AD61" s="121">
        <f>VLOOKUP($B61,'Tillförd energi'!$B$1:$AI$720,MATCH(AD$1,'Tillförd energi'!$B$1:$AQ$1,0),FALSE)</f>
        <v>0</v>
      </c>
      <c r="AE61" s="121">
        <f>VLOOKUP($B61,'Tillförd energi'!$B$1:$AI$720,MATCH(AE$1,'Tillförd energi'!$B$1:$AQ$1,0),FALSE)</f>
        <v>0</v>
      </c>
      <c r="AF61" s="121">
        <f>VLOOKUP($B61,'Tillförd energi'!$B$1:$AI$720,MATCH(AF$1,'Tillförd energi'!$B$1:$AQ$1,0),FALSE)</f>
        <v>42.984200000000001</v>
      </c>
      <c r="AG61" s="121">
        <f>IFERROR(VLOOKUP(B61,Miljö!$B$1:$AC$550,MATCH("Köpt mängd produktionsspecifik fjärrvärme:",Miljö!$B$1:$AC$1,0),FALSE)/1,0)</f>
        <v>0</v>
      </c>
      <c r="AH61" s="121"/>
      <c r="AI61" s="121">
        <f t="shared" si="22"/>
        <v>949.33009300000003</v>
      </c>
      <c r="AJ61" s="121">
        <f t="shared" si="23"/>
        <v>949.33009300000003</v>
      </c>
      <c r="AK61" s="121">
        <f>IF(ISERROR(1/VLOOKUP($B61,Leveranser!$B$1:$S$499,MATCH("såld värme (gwh)",Leveranser!$B$1:$S$1,0),FALSE)),"",VLOOKUP($B61,Leveranser!$B$1:$S$499,MATCH("såld värme (gwh)",Leveranser!$B$1:$S$1,0),FALSE))</f>
        <v>901</v>
      </c>
      <c r="AL61" s="121">
        <f>VLOOKUP($B61,Leveranser!$B$1:$Y$499,MATCH("Totalt såld fjärrvärme till andra fjärrvärmeföretag",Leveranser!$B$1:$AA$1,0),FALSE)</f>
        <v>0</v>
      </c>
      <c r="AM61" s="121">
        <f>IF(ISERROR(1/VLOOKUP($B61,Miljö!$B$1:$S$500,MATCH("Såld mängd produktionsspecifik fjärrvärme (GWh)",Miljö!$B$1:$R$1,0),FALSE)),0,VLOOKUP($B61,Miljö!$B$1:$S$500,MATCH("Såld mängd produktionsspecifik fjärrvärme (GWh)",Miljö!$B$1:$R$1,0),FALSE))</f>
        <v>0</v>
      </c>
      <c r="AN61" s="172">
        <f t="shared" si="24"/>
        <v>0.94909031815554168</v>
      </c>
      <c r="AO61" s="121"/>
      <c r="AP61" s="121" t="str">
        <f>IFERROR(VLOOKUP($B61,Miljövärden!$B$2:$H$550,7,FALSE),"Nej, saknas")</f>
        <v>Ja</v>
      </c>
      <c r="AQ61" s="121" t="str">
        <f>IFERROR(VLOOKUP($B61,Miljövärden!$B$2:$H$550,6,FALSE),"Nej, saknas")</f>
        <v>Nej</v>
      </c>
      <c r="AU61">
        <f t="shared" si="25"/>
        <v>42.984200000000001</v>
      </c>
      <c r="AV61">
        <f t="shared" si="26"/>
        <v>0</v>
      </c>
      <c r="AW61">
        <f t="shared" si="27"/>
        <v>48.351500000000001</v>
      </c>
      <c r="AX61">
        <f t="shared" si="28"/>
        <v>0</v>
      </c>
      <c r="AZ61">
        <f t="shared" si="29"/>
        <v>100.15170000000001</v>
      </c>
      <c r="BC61">
        <f t="shared" si="30"/>
        <v>67.335193000000004</v>
      </c>
      <c r="BD61">
        <f t="shared" si="31"/>
        <v>0</v>
      </c>
      <c r="BE61">
        <f t="shared" si="32"/>
        <v>49.451500000000003</v>
      </c>
      <c r="BF61">
        <f t="shared" si="33"/>
        <v>789.55920000000003</v>
      </c>
      <c r="BG61">
        <f t="shared" si="34"/>
        <v>42.984200000000001</v>
      </c>
      <c r="BH61">
        <f>VLOOKUP(B61,Miljö!$B$1:$BX$482,MATCH("Fossilandel för ursprungspecificerad el ()",Miljö!$B$1:$I$1,0),FALSE)</f>
        <v>0</v>
      </c>
      <c r="BI61">
        <f>VLOOKUP(B61,Miljö!$B$1:$BX$482,MATCH("Kärnkraftsandel för ursprungsspecificerad el ()",Miljö!$B$1:$O$1,0),FALSE)</f>
        <v>0</v>
      </c>
      <c r="BJ61">
        <f t="shared" si="35"/>
        <v>0</v>
      </c>
      <c r="BK61" t="str">
        <f>VLOOKUP(B61,Miljö!$B$1:$O$482,MATCH("Fossil andel i procent (%)",Miljö!$B$1:$O$1,0),FALSE)</f>
        <v>ET</v>
      </c>
      <c r="BL61">
        <f t="shared" si="36"/>
        <v>949.33009300000003</v>
      </c>
      <c r="BO61" s="18">
        <f t="shared" si="37"/>
        <v>7.0929167311248403E-2</v>
      </c>
      <c r="BP61" s="18">
        <f t="shared" si="38"/>
        <v>0</v>
      </c>
      <c r="BQ61" s="18">
        <f t="shared" si="39"/>
        <v>9.7369398359522977E-2</v>
      </c>
      <c r="BR61" s="18">
        <f t="shared" si="40"/>
        <v>0.83170143432922861</v>
      </c>
      <c r="BT61" s="27">
        <f t="shared" si="41"/>
        <v>1</v>
      </c>
      <c r="BW61" s="18">
        <f>IF(AP61="ja",VLOOKUP(B61,Miljövärden!$B$2:$H$550,MATCH("Total andel fossilt",Miljövärden!$B$2:$H$2,0),FALSE),"")</f>
        <v>7.0929199999999998E-2</v>
      </c>
      <c r="BZ61" s="28">
        <f t="shared" si="42"/>
        <v>3.2688751594456278E-8</v>
      </c>
      <c r="CA61" s="28">
        <f t="shared" si="43"/>
        <v>0</v>
      </c>
    </row>
    <row r="62" spans="1:79" x14ac:dyDescent="0.25">
      <c r="A62" s="224" t="s">
        <v>263</v>
      </c>
      <c r="B62" s="210" t="s">
        <v>274</v>
      </c>
      <c r="C62" s="121">
        <f>VLOOKUP($B62,'Tillförd energi'!$B$1:$AI$720,MATCH(C$1,'Tillförd energi'!$B$1:$AQ$1,0),FALSE)</f>
        <v>0</v>
      </c>
      <c r="D62" s="121">
        <f>VLOOKUP($B62,'Tillförd energi'!$B$1:$AI$720,MATCH(D$1,'Tillförd energi'!$B$1:$AQ$1,0),FALSE)</f>
        <v>1.3</v>
      </c>
      <c r="E62" s="121">
        <f>VLOOKUP($B62,'Tillförd energi'!$B$1:$AI$720,MATCH(E$1,'Tillförd energi'!$B$1:$AQ$1,0),FALSE)</f>
        <v>0</v>
      </c>
      <c r="F62" s="121">
        <f>VLOOKUP($B62,'Tillförd energi'!$B$1:$AI$720,MATCH(F$1,'Tillförd energi'!$B$1:$AQ$1,0),FALSE)</f>
        <v>0</v>
      </c>
      <c r="G62" s="121">
        <f>VLOOKUP($B62,'Tillförd energi'!$B$1:$AI$720,MATCH(G$1,'Tillförd energi'!$B$1:$AQ$1,0),FALSE)</f>
        <v>0</v>
      </c>
      <c r="H62" s="121">
        <f>VLOOKUP($B62,'Tillförd energi'!$B$1:$AI$720,MATCH(H$1,'Tillförd energi'!$B$1:$AQ$1,0),FALSE)</f>
        <v>0</v>
      </c>
      <c r="I62" s="121">
        <f>VLOOKUP($B62,'Tillförd energi'!$B$1:$AI$720,MATCH(I$1,'Tillförd energi'!$B$1:$AQ$1,0),FALSE)</f>
        <v>0</v>
      </c>
      <c r="J62" s="121">
        <f>VLOOKUP($B62,'Tillförd energi'!$B$1:$AI$720,MATCH(J$1,'Tillförd energi'!$B$1:$AQ$1,0),FALSE)</f>
        <v>0</v>
      </c>
      <c r="K62" s="121">
        <f>VLOOKUP($B62,'Tillförd energi'!$B$1:$AI$720,MATCH(K$1,'Tillförd energi'!$B$1:$AQ$1,0),FALSE)</f>
        <v>0</v>
      </c>
      <c r="L62" s="121">
        <f>VLOOKUP($B62,'Tillförd energi'!$B$1:$AI$720,MATCH(L$1,'Tillförd energi'!$B$1:$AQ$1,0),FALSE)</f>
        <v>0</v>
      </c>
      <c r="M62" s="121">
        <f>VLOOKUP($B62,'Tillförd energi'!$B$1:$AI$720,MATCH(M$1,'Tillförd energi'!$B$1:$AQ$1,0),FALSE)</f>
        <v>0</v>
      </c>
      <c r="N62" s="121">
        <f>VLOOKUP($B62,'Tillförd energi'!$B$1:$AI$720,MATCH(N$1,'Tillförd energi'!$B$1:$AQ$1,0),FALSE)</f>
        <v>0</v>
      </c>
      <c r="O62" s="121">
        <f>VLOOKUP($B62,'Tillförd energi'!$B$1:$AI$720,MATCH(O$1,'Tillförd energi'!$B$1:$AQ$1,0),FALSE)</f>
        <v>0</v>
      </c>
      <c r="P62" s="121">
        <f>VLOOKUP($B62,'Tillförd energi'!$B$1:$AI$720,MATCH(P$1,'Tillförd energi'!$B$1:$AQ$1,0),FALSE)</f>
        <v>74</v>
      </c>
      <c r="Q62" s="121">
        <f>VLOOKUP($B62,'Tillförd energi'!$B$1:$AI$720,MATCH(Q$1,'Tillförd energi'!$B$1:$AQ$1,0),FALSE)</f>
        <v>0</v>
      </c>
      <c r="R62" s="121">
        <f>VLOOKUP($B62,'Tillförd energi'!$B$1:$AI$720,MATCH(R$1,'Tillförd energi'!$B$1:$AQ$1,0),FALSE)</f>
        <v>4.7</v>
      </c>
      <c r="S62" s="121">
        <f>VLOOKUP($B62,'Tillförd energi'!$B$1:$AI$720,MATCH(S$1,'Tillförd energi'!$B$1:$AQ$1,0),FALSE)</f>
        <v>0</v>
      </c>
      <c r="T62" s="121">
        <f>VLOOKUP($B62,'Tillförd energi'!$B$1:$AI$720,MATCH(T$1,'Tillförd energi'!$B$1:$AQ$1,0),FALSE)</f>
        <v>0</v>
      </c>
      <c r="U62" s="121">
        <f>VLOOKUP($B62,'Tillförd energi'!$B$1:$AI$720,MATCH(U$1,'Tillförd energi'!$B$1:$AQ$1,0),FALSE)</f>
        <v>0</v>
      </c>
      <c r="V62" s="121">
        <f>VLOOKUP($B62,'Tillförd energi'!$B$1:$AI$720,MATCH(V$1,'Tillförd energi'!$B$1:$AQ$1,0),FALSE)</f>
        <v>0</v>
      </c>
      <c r="W62" s="121">
        <f>VLOOKUP($B62,'Tillförd energi'!$B$1:$AI$720,MATCH(W$1,'Tillförd energi'!$B$1:$AQ$1,0),FALSE)</f>
        <v>2.1</v>
      </c>
      <c r="X62" s="121">
        <f>VLOOKUP($B62,'Tillförd energi'!$B$1:$AI$720,MATCH(X$1,'Tillförd energi'!$B$1:$AQ$1,0),FALSE)</f>
        <v>0</v>
      </c>
      <c r="Y62" s="121">
        <f>VLOOKUP($B62,'Tillförd energi'!$B$1:$AI$720,MATCH(Y$1,'Tillförd energi'!$B$1:$AQ$1,0),FALSE)</f>
        <v>0</v>
      </c>
      <c r="Z62" s="121">
        <f>VLOOKUP($B62,'Tillförd energi'!$B$1:$AI$720,MATCH(Z$1,'Tillförd energi'!$B$1:$AQ$1,0),FALSE)</f>
        <v>0</v>
      </c>
      <c r="AA62" s="121">
        <f>VLOOKUP($B62,'Tillförd energi'!$B$1:$AI$720,MATCH(AA$1,'Tillförd energi'!$B$1:$AQ$1,0),FALSE)</f>
        <v>0</v>
      </c>
      <c r="AB62" s="121">
        <f>VLOOKUP($B62,'Tillförd energi'!$B$1:$AI$720,MATCH(AB$1,'Tillförd energi'!$B$1:$AQ$1,0),FALSE)</f>
        <v>0</v>
      </c>
      <c r="AC62" s="121">
        <f>VLOOKUP($B62,'Tillförd energi'!$B$1:$AI$720,MATCH(AC$1,'Tillförd energi'!$B$1:$AQ$1,0),FALSE)</f>
        <v>11.7</v>
      </c>
      <c r="AD62" s="121">
        <f>VLOOKUP($B62,'Tillförd energi'!$B$1:$AI$720,MATCH(AD$1,'Tillförd energi'!$B$1:$AQ$1,0),FALSE)</f>
        <v>0</v>
      </c>
      <c r="AE62" s="121">
        <f>VLOOKUP($B62,'Tillförd energi'!$B$1:$AI$720,MATCH(AE$1,'Tillförd energi'!$B$1:$AQ$1,0),FALSE)</f>
        <v>0</v>
      </c>
      <c r="AF62" s="121">
        <f>VLOOKUP($B62,'Tillförd energi'!$B$1:$AI$720,MATCH(AF$1,'Tillförd energi'!$B$1:$AQ$1,0),FALSE)</f>
        <v>2.2999999999999998</v>
      </c>
      <c r="AG62" s="121">
        <f>IFERROR(VLOOKUP(B62,Miljö!$B$1:$AC$550,MATCH("Köpt mängd produktionsspecifik fjärrvärme:",Miljö!$B$1:$AC$1,0),FALSE)/1,0)</f>
        <v>0</v>
      </c>
      <c r="AH62" s="121"/>
      <c r="AI62" s="121">
        <f t="shared" si="22"/>
        <v>96.1</v>
      </c>
      <c r="AJ62" s="121">
        <f t="shared" si="23"/>
        <v>96.1</v>
      </c>
      <c r="AK62" s="121">
        <f>IF(ISERROR(1/VLOOKUP($B62,Leveranser!$B$1:$S$499,MATCH("såld värme (gwh)",Leveranser!$B$1:$S$1,0),FALSE)),"",VLOOKUP($B62,Leveranser!$B$1:$S$499,MATCH("såld värme (gwh)",Leveranser!$B$1:$S$1,0),FALSE))</f>
        <v>72.3</v>
      </c>
      <c r="AL62" s="121">
        <f>VLOOKUP($B62,Leveranser!$B$1:$Y$499,MATCH("Totalt såld fjärrvärme till andra fjärrvärmeföretag",Leveranser!$B$1:$AA$1,0),FALSE)</f>
        <v>0</v>
      </c>
      <c r="AM62" s="121">
        <f>IF(ISERROR(1/VLOOKUP($B62,Miljö!$B$1:$S$500,MATCH("Såld mängd produktionsspecifik fjärrvärme (GWh)",Miljö!$B$1:$R$1,0),FALSE)),0,VLOOKUP($B62,Miljö!$B$1:$S$500,MATCH("Såld mängd produktionsspecifik fjärrvärme (GWh)",Miljö!$B$1:$R$1,0),FALSE))</f>
        <v>0</v>
      </c>
      <c r="AN62" s="172">
        <f t="shared" si="24"/>
        <v>0.75234131113423519</v>
      </c>
      <c r="AO62" s="121"/>
      <c r="AP62" s="121" t="str">
        <f>IFERROR(VLOOKUP($B62,Miljövärden!$B$2:$H$550,7,FALSE),"Nej, saknas")</f>
        <v>Ja</v>
      </c>
      <c r="AQ62" s="121" t="str">
        <f>IFERROR(VLOOKUP($B62,Miljövärden!$B$2:$H$550,6,FALSE),"Nej, saknas")</f>
        <v>Nej</v>
      </c>
      <c r="AU62">
        <f t="shared" si="25"/>
        <v>2.2999999999999998</v>
      </c>
      <c r="AV62">
        <f t="shared" si="26"/>
        <v>0</v>
      </c>
      <c r="AW62">
        <f t="shared" si="27"/>
        <v>74</v>
      </c>
      <c r="AX62">
        <f t="shared" si="28"/>
        <v>4.7</v>
      </c>
      <c r="AZ62">
        <f t="shared" si="29"/>
        <v>80.8</v>
      </c>
      <c r="BC62">
        <f t="shared" si="30"/>
        <v>1.3</v>
      </c>
      <c r="BD62">
        <f t="shared" si="31"/>
        <v>0</v>
      </c>
      <c r="BE62">
        <f t="shared" si="32"/>
        <v>80.8</v>
      </c>
      <c r="BF62">
        <f t="shared" si="33"/>
        <v>11.7</v>
      </c>
      <c r="BG62">
        <f t="shared" si="34"/>
        <v>2.2999999999999998</v>
      </c>
      <c r="BH62">
        <f>VLOOKUP(B62,Miljö!$B$1:$BX$482,MATCH("Fossilandel för ursprungspecificerad el ()",Miljö!$B$1:$I$1,0),FALSE)</f>
        <v>0.43</v>
      </c>
      <c r="BI62">
        <f>VLOOKUP(B62,Miljö!$B$1:$BX$482,MATCH("Kärnkraftsandel för ursprungsspecificerad el ()",Miljö!$B$1:$O$1,0),FALSE)</f>
        <v>0.40550000000000003</v>
      </c>
      <c r="BJ62">
        <f t="shared" si="35"/>
        <v>0</v>
      </c>
      <c r="BK62" t="str">
        <f>VLOOKUP(B62,Miljö!$B$1:$O$482,MATCH("Fossil andel i procent (%)",Miljö!$B$1:$O$1,0),FALSE)</f>
        <v>ET</v>
      </c>
      <c r="BL62">
        <f t="shared" si="36"/>
        <v>96.1</v>
      </c>
      <c r="BO62" s="18">
        <f t="shared" si="37"/>
        <v>2.3818938605619146E-2</v>
      </c>
      <c r="BP62" s="18">
        <f t="shared" si="38"/>
        <v>9.7049947970863689E-3</v>
      </c>
      <c r="BQ62" s="18">
        <f t="shared" si="39"/>
        <v>0.84472788761706552</v>
      </c>
      <c r="BR62" s="18">
        <f t="shared" si="40"/>
        <v>0.12174817898022892</v>
      </c>
      <c r="BT62" s="27">
        <f t="shared" si="41"/>
        <v>1</v>
      </c>
      <c r="BW62" s="18">
        <f>IF(AP62="ja",VLOOKUP(B62,Miljövärden!$B$2:$H$550,MATCH("Total andel fossilt",Miljövärden!$B$2:$H$2,0),FALSE),"")</f>
        <v>2.38189E-2</v>
      </c>
      <c r="BZ62" s="28">
        <f t="shared" si="42"/>
        <v>-3.8605619145926084E-8</v>
      </c>
      <c r="CA62" s="28">
        <f t="shared" si="43"/>
        <v>0</v>
      </c>
    </row>
    <row r="63" spans="1:79" x14ac:dyDescent="0.25">
      <c r="A63" s="224" t="s">
        <v>263</v>
      </c>
      <c r="B63" s="210" t="s">
        <v>275</v>
      </c>
      <c r="C63" s="121">
        <f>VLOOKUP($B63,'Tillförd energi'!$B$1:$AI$720,MATCH(C$1,'Tillförd energi'!$B$1:$AQ$1,0),FALSE)</f>
        <v>0</v>
      </c>
      <c r="D63" s="121">
        <f>VLOOKUP($B63,'Tillförd energi'!$B$1:$AI$720,MATCH(D$1,'Tillförd energi'!$B$1:$AQ$1,0),FALSE)</f>
        <v>0</v>
      </c>
      <c r="E63" s="121">
        <f>VLOOKUP($B63,'Tillförd energi'!$B$1:$AI$720,MATCH(E$1,'Tillförd energi'!$B$1:$AQ$1,0),FALSE)</f>
        <v>0</v>
      </c>
      <c r="F63" s="121">
        <f>VLOOKUP($B63,'Tillförd energi'!$B$1:$AI$720,MATCH(F$1,'Tillförd energi'!$B$1:$AQ$1,0),FALSE)</f>
        <v>0</v>
      </c>
      <c r="G63" s="121">
        <f>VLOOKUP($B63,'Tillförd energi'!$B$1:$AI$720,MATCH(G$1,'Tillförd energi'!$B$1:$AQ$1,0),FALSE)</f>
        <v>0</v>
      </c>
      <c r="H63" s="121">
        <f>VLOOKUP($B63,'Tillförd energi'!$B$1:$AI$720,MATCH(H$1,'Tillförd energi'!$B$1:$AQ$1,0),FALSE)</f>
        <v>0</v>
      </c>
      <c r="I63" s="121">
        <f>VLOOKUP($B63,'Tillförd energi'!$B$1:$AI$720,MATCH(I$1,'Tillförd energi'!$B$1:$AQ$1,0),FALSE)</f>
        <v>0</v>
      </c>
      <c r="J63" s="121">
        <f>VLOOKUP($B63,'Tillförd energi'!$B$1:$AI$720,MATCH(J$1,'Tillförd energi'!$B$1:$AQ$1,0),FALSE)</f>
        <v>0</v>
      </c>
      <c r="K63" s="121">
        <f>VLOOKUP($B63,'Tillförd energi'!$B$1:$AI$720,MATCH(K$1,'Tillförd energi'!$B$1:$AQ$1,0),FALSE)</f>
        <v>0</v>
      </c>
      <c r="L63" s="121">
        <f>VLOOKUP($B63,'Tillförd energi'!$B$1:$AI$720,MATCH(L$1,'Tillförd energi'!$B$1:$AQ$1,0),FALSE)</f>
        <v>0</v>
      </c>
      <c r="M63" s="121">
        <f>VLOOKUP($B63,'Tillförd energi'!$B$1:$AI$720,MATCH(M$1,'Tillförd energi'!$B$1:$AQ$1,0),FALSE)</f>
        <v>0</v>
      </c>
      <c r="N63" s="121">
        <f>VLOOKUP($B63,'Tillförd energi'!$B$1:$AI$720,MATCH(N$1,'Tillförd energi'!$B$1:$AQ$1,0),FALSE)</f>
        <v>0</v>
      </c>
      <c r="O63" s="121">
        <f>VLOOKUP($B63,'Tillförd energi'!$B$1:$AI$720,MATCH(O$1,'Tillförd energi'!$B$1:$AQ$1,0),FALSE)</f>
        <v>0</v>
      </c>
      <c r="P63" s="121">
        <f>VLOOKUP($B63,'Tillförd energi'!$B$1:$AI$720,MATCH(P$1,'Tillförd energi'!$B$1:$AQ$1,0),FALSE)</f>
        <v>37</v>
      </c>
      <c r="Q63" s="121">
        <f>VLOOKUP($B63,'Tillförd energi'!$B$1:$AI$720,MATCH(Q$1,'Tillförd energi'!$B$1:$AQ$1,0),FALSE)</f>
        <v>0</v>
      </c>
      <c r="R63" s="121">
        <f>VLOOKUP($B63,'Tillförd energi'!$B$1:$AI$720,MATCH(R$1,'Tillförd energi'!$B$1:$AQ$1,0),FALSE)</f>
        <v>0</v>
      </c>
      <c r="S63" s="121">
        <f>VLOOKUP($B63,'Tillförd energi'!$B$1:$AI$720,MATCH(S$1,'Tillförd energi'!$B$1:$AQ$1,0),FALSE)</f>
        <v>0</v>
      </c>
      <c r="T63" s="121">
        <f>VLOOKUP($B63,'Tillförd energi'!$B$1:$AI$720,MATCH(T$1,'Tillförd energi'!$B$1:$AQ$1,0),FALSE)</f>
        <v>0</v>
      </c>
      <c r="U63" s="121">
        <f>VLOOKUP($B63,'Tillförd energi'!$B$1:$AI$720,MATCH(U$1,'Tillförd energi'!$B$1:$AQ$1,0),FALSE)</f>
        <v>0</v>
      </c>
      <c r="V63" s="121">
        <f>VLOOKUP($B63,'Tillförd energi'!$B$1:$AI$720,MATCH(V$1,'Tillförd energi'!$B$1:$AQ$1,0),FALSE)</f>
        <v>0</v>
      </c>
      <c r="W63" s="121">
        <f>VLOOKUP($B63,'Tillförd energi'!$B$1:$AI$720,MATCH(W$1,'Tillförd energi'!$B$1:$AQ$1,0),FALSE)</f>
        <v>6.3</v>
      </c>
      <c r="X63" s="121">
        <f>VLOOKUP($B63,'Tillförd energi'!$B$1:$AI$720,MATCH(X$1,'Tillförd energi'!$B$1:$AQ$1,0),FALSE)</f>
        <v>0</v>
      </c>
      <c r="Y63" s="121">
        <f>VLOOKUP($B63,'Tillförd energi'!$B$1:$AI$720,MATCH(Y$1,'Tillförd energi'!$B$1:$AQ$1,0),FALSE)</f>
        <v>0</v>
      </c>
      <c r="Z63" s="121">
        <f>VLOOKUP($B63,'Tillförd energi'!$B$1:$AI$720,MATCH(Z$1,'Tillförd energi'!$B$1:$AQ$1,0),FALSE)</f>
        <v>0</v>
      </c>
      <c r="AA63" s="121">
        <f>VLOOKUP($B63,'Tillförd energi'!$B$1:$AI$720,MATCH(AA$1,'Tillförd energi'!$B$1:$AQ$1,0),FALSE)</f>
        <v>9</v>
      </c>
      <c r="AB63" s="121">
        <f>VLOOKUP($B63,'Tillförd energi'!$B$1:$AI$720,MATCH(AB$1,'Tillförd energi'!$B$1:$AQ$1,0),FALSE)</f>
        <v>17.7</v>
      </c>
      <c r="AC63" s="121">
        <f>VLOOKUP($B63,'Tillförd energi'!$B$1:$AI$720,MATCH(AC$1,'Tillförd energi'!$B$1:$AQ$1,0),FALSE)</f>
        <v>0</v>
      </c>
      <c r="AD63" s="121">
        <f>VLOOKUP($B63,'Tillförd energi'!$B$1:$AI$720,MATCH(AD$1,'Tillförd energi'!$B$1:$AQ$1,0),FALSE)</f>
        <v>0</v>
      </c>
      <c r="AE63" s="121">
        <f>VLOOKUP($B63,'Tillförd energi'!$B$1:$AI$720,MATCH(AE$1,'Tillförd energi'!$B$1:$AQ$1,0),FALSE)</f>
        <v>0</v>
      </c>
      <c r="AF63" s="121">
        <f>VLOOKUP($B63,'Tillförd energi'!$B$1:$AI$720,MATCH(AF$1,'Tillförd energi'!$B$1:$AQ$1,0),FALSE)</f>
        <v>4.7</v>
      </c>
      <c r="AG63" s="121">
        <f>IFERROR(VLOOKUP(B63,Miljö!$B$1:$AC$550,MATCH("Köpt mängd produktionsspecifik fjärrvärme:",Miljö!$B$1:$AC$1,0),FALSE)/1,0)</f>
        <v>0</v>
      </c>
      <c r="AH63" s="121"/>
      <c r="AI63" s="121">
        <f t="shared" si="22"/>
        <v>74.7</v>
      </c>
      <c r="AJ63" s="121">
        <f t="shared" si="23"/>
        <v>74.7</v>
      </c>
      <c r="AK63" s="121">
        <f>IF(ISERROR(1/VLOOKUP($B63,Leveranser!$B$1:$S$499,MATCH("såld värme (gwh)",Leveranser!$B$1:$S$1,0),FALSE)),"",VLOOKUP($B63,Leveranser!$B$1:$S$499,MATCH("såld värme (gwh)",Leveranser!$B$1:$S$1,0),FALSE))</f>
        <v>61</v>
      </c>
      <c r="AL63" s="121">
        <f>VLOOKUP($B63,Leveranser!$B$1:$Y$499,MATCH("Totalt såld fjärrvärme till andra fjärrvärmeföretag",Leveranser!$B$1:$AA$1,0),FALSE)</f>
        <v>0</v>
      </c>
      <c r="AM63" s="121">
        <f>IF(ISERROR(1/VLOOKUP($B63,Miljö!$B$1:$S$500,MATCH("Såld mängd produktionsspecifik fjärrvärme (GWh)",Miljö!$B$1:$R$1,0),FALSE)),0,VLOOKUP($B63,Miljö!$B$1:$S$500,MATCH("Såld mängd produktionsspecifik fjärrvärme (GWh)",Miljö!$B$1:$R$1,0),FALSE))</f>
        <v>0</v>
      </c>
      <c r="AN63" s="172">
        <f t="shared" si="24"/>
        <v>0.8165997322623828</v>
      </c>
      <c r="AO63" s="121"/>
      <c r="AP63" s="121" t="str">
        <f>IFERROR(VLOOKUP($B63,Miljövärden!$B$2:$H$550,7,FALSE),"Nej, saknas")</f>
        <v>Ja</v>
      </c>
      <c r="AQ63" s="121" t="str">
        <f>IFERROR(VLOOKUP($B63,Miljövärden!$B$2:$H$550,6,FALSE),"Nej, saknas")</f>
        <v>Nej</v>
      </c>
      <c r="AU63">
        <f t="shared" si="25"/>
        <v>13.7</v>
      </c>
      <c r="AV63">
        <f t="shared" si="26"/>
        <v>0</v>
      </c>
      <c r="AW63">
        <f t="shared" si="27"/>
        <v>37</v>
      </c>
      <c r="AX63">
        <f t="shared" si="28"/>
        <v>0</v>
      </c>
      <c r="AZ63">
        <f t="shared" si="29"/>
        <v>43.3</v>
      </c>
      <c r="BC63">
        <f t="shared" si="30"/>
        <v>0</v>
      </c>
      <c r="BD63">
        <f t="shared" si="31"/>
        <v>0</v>
      </c>
      <c r="BE63">
        <f t="shared" si="32"/>
        <v>43.3</v>
      </c>
      <c r="BF63">
        <f t="shared" si="33"/>
        <v>17.7</v>
      </c>
      <c r="BG63">
        <f t="shared" si="34"/>
        <v>13.7</v>
      </c>
      <c r="BH63">
        <f>VLOOKUP(B63,Miljö!$B$1:$BX$482,MATCH("Fossilandel för ursprungspecificerad el ()",Miljö!$B$1:$I$1,0),FALSE)</f>
        <v>0.43</v>
      </c>
      <c r="BI63">
        <f>VLOOKUP(B63,Miljö!$B$1:$BX$482,MATCH("Kärnkraftsandel för ursprungsspecificerad el ()",Miljö!$B$1:$O$1,0),FALSE)</f>
        <v>0.40550000000000003</v>
      </c>
      <c r="BJ63">
        <f t="shared" si="35"/>
        <v>0</v>
      </c>
      <c r="BK63" t="str">
        <f>VLOOKUP(B63,Miljö!$B$1:$O$482,MATCH("Fossil andel i procent (%)",Miljö!$B$1:$O$1,0),FALSE)</f>
        <v>ET</v>
      </c>
      <c r="BL63">
        <f t="shared" si="36"/>
        <v>74.7</v>
      </c>
      <c r="BO63" s="18">
        <f t="shared" si="37"/>
        <v>7.8862115127175364E-2</v>
      </c>
      <c r="BP63" s="18">
        <f t="shared" si="38"/>
        <v>7.4368808567603736E-2</v>
      </c>
      <c r="BQ63" s="18">
        <f t="shared" si="39"/>
        <v>0.60982128514056222</v>
      </c>
      <c r="BR63" s="18">
        <f t="shared" si="40"/>
        <v>0.23694779116465861</v>
      </c>
      <c r="BT63" s="27">
        <f t="shared" si="41"/>
        <v>0.99999999999999989</v>
      </c>
      <c r="BW63" s="18">
        <f>IF(AP63="ja",VLOOKUP(B63,Miljövärden!$B$2:$H$550,MATCH("Total andel fossilt",Miljövärden!$B$2:$H$2,0),FALSE),"")</f>
        <v>7.8862100000000004E-2</v>
      </c>
      <c r="BZ63" s="28">
        <f t="shared" si="42"/>
        <v>-1.5127175359563871E-8</v>
      </c>
      <c r="CA63" s="28">
        <f t="shared" si="43"/>
        <v>0</v>
      </c>
    </row>
    <row r="64" spans="1:79" x14ac:dyDescent="0.25">
      <c r="A64" s="224" t="s">
        <v>263</v>
      </c>
      <c r="B64" s="210" t="s">
        <v>276</v>
      </c>
      <c r="C64" s="121">
        <f>VLOOKUP($B64,'Tillförd energi'!$B$1:$AI$720,MATCH(C$1,'Tillförd energi'!$B$1:$AQ$1,0),FALSE)</f>
        <v>0</v>
      </c>
      <c r="D64" s="121">
        <f>VLOOKUP($B64,'Tillförd energi'!$B$1:$AI$720,MATCH(D$1,'Tillförd energi'!$B$1:$AQ$1,0),FALSE)</f>
        <v>0.7</v>
      </c>
      <c r="E64" s="121">
        <f>VLOOKUP($B64,'Tillförd energi'!$B$1:$AI$720,MATCH(E$1,'Tillförd energi'!$B$1:$AQ$1,0),FALSE)</f>
        <v>0</v>
      </c>
      <c r="F64" s="121">
        <f>VLOOKUP($B64,'Tillförd energi'!$B$1:$AI$720,MATCH(F$1,'Tillförd energi'!$B$1:$AQ$1,0),FALSE)</f>
        <v>0</v>
      </c>
      <c r="G64" s="121">
        <f>VLOOKUP($B64,'Tillförd energi'!$B$1:$AI$720,MATCH(G$1,'Tillförd energi'!$B$1:$AQ$1,0),FALSE)</f>
        <v>0</v>
      </c>
      <c r="H64" s="121">
        <f>VLOOKUP($B64,'Tillförd energi'!$B$1:$AI$720,MATCH(H$1,'Tillförd energi'!$B$1:$AQ$1,0),FALSE)</f>
        <v>0</v>
      </c>
      <c r="I64" s="121">
        <f>VLOOKUP($B64,'Tillförd energi'!$B$1:$AI$720,MATCH(I$1,'Tillförd energi'!$B$1:$AQ$1,0),FALSE)</f>
        <v>0</v>
      </c>
      <c r="J64" s="121">
        <f>VLOOKUP($B64,'Tillförd energi'!$B$1:$AI$720,MATCH(J$1,'Tillförd energi'!$B$1:$AQ$1,0),FALSE)</f>
        <v>0</v>
      </c>
      <c r="K64" s="121">
        <f>VLOOKUP($B64,'Tillförd energi'!$B$1:$AI$720,MATCH(K$1,'Tillförd energi'!$B$1:$AQ$1,0),FALSE)</f>
        <v>0</v>
      </c>
      <c r="L64" s="121">
        <f>VLOOKUP($B64,'Tillförd energi'!$B$1:$AI$720,MATCH(L$1,'Tillförd energi'!$B$1:$AQ$1,0),FALSE)</f>
        <v>0</v>
      </c>
      <c r="M64" s="121">
        <f>VLOOKUP($B64,'Tillförd energi'!$B$1:$AI$720,MATCH(M$1,'Tillförd energi'!$B$1:$AQ$1,0),FALSE)</f>
        <v>0</v>
      </c>
      <c r="N64" s="121">
        <f>VLOOKUP($B64,'Tillförd energi'!$B$1:$AI$720,MATCH(N$1,'Tillförd energi'!$B$1:$AQ$1,0),FALSE)</f>
        <v>0</v>
      </c>
      <c r="O64" s="121">
        <f>VLOOKUP($B64,'Tillförd energi'!$B$1:$AI$720,MATCH(O$1,'Tillförd energi'!$B$1:$AQ$1,0),FALSE)</f>
        <v>0</v>
      </c>
      <c r="P64" s="121">
        <f>VLOOKUP($B64,'Tillförd energi'!$B$1:$AI$720,MATCH(P$1,'Tillförd energi'!$B$1:$AQ$1,0),FALSE)</f>
        <v>63</v>
      </c>
      <c r="Q64" s="121">
        <f>VLOOKUP($B64,'Tillförd energi'!$B$1:$AI$720,MATCH(Q$1,'Tillförd energi'!$B$1:$AQ$1,0),FALSE)</f>
        <v>0</v>
      </c>
      <c r="R64" s="121">
        <f>VLOOKUP($B64,'Tillförd energi'!$B$1:$AI$720,MATCH(R$1,'Tillförd energi'!$B$1:$AQ$1,0),FALSE)</f>
        <v>6.8</v>
      </c>
      <c r="S64" s="121">
        <f>VLOOKUP($B64,'Tillförd energi'!$B$1:$AI$720,MATCH(S$1,'Tillförd energi'!$B$1:$AQ$1,0),FALSE)</f>
        <v>0</v>
      </c>
      <c r="T64" s="121">
        <f>VLOOKUP($B64,'Tillförd energi'!$B$1:$AI$720,MATCH(T$1,'Tillförd energi'!$B$1:$AQ$1,0),FALSE)</f>
        <v>0</v>
      </c>
      <c r="U64" s="121">
        <f>VLOOKUP($B64,'Tillförd energi'!$B$1:$AI$720,MATCH(U$1,'Tillförd energi'!$B$1:$AQ$1,0),FALSE)</f>
        <v>0</v>
      </c>
      <c r="V64" s="121">
        <f>VLOOKUP($B64,'Tillförd energi'!$B$1:$AI$720,MATCH(V$1,'Tillförd energi'!$B$1:$AQ$1,0),FALSE)</f>
        <v>0</v>
      </c>
      <c r="W64" s="121">
        <f>VLOOKUP($B64,'Tillförd energi'!$B$1:$AI$720,MATCH(W$1,'Tillförd energi'!$B$1:$AQ$1,0),FALSE)</f>
        <v>4.5</v>
      </c>
      <c r="X64" s="121">
        <f>VLOOKUP($B64,'Tillförd energi'!$B$1:$AI$720,MATCH(X$1,'Tillförd energi'!$B$1:$AQ$1,0),FALSE)</f>
        <v>0</v>
      </c>
      <c r="Y64" s="121">
        <f>VLOOKUP($B64,'Tillförd energi'!$B$1:$AI$720,MATCH(Y$1,'Tillförd energi'!$B$1:$AQ$1,0),FALSE)</f>
        <v>0</v>
      </c>
      <c r="Z64" s="121">
        <f>VLOOKUP($B64,'Tillförd energi'!$B$1:$AI$720,MATCH(Z$1,'Tillförd energi'!$B$1:$AQ$1,0),FALSE)</f>
        <v>0</v>
      </c>
      <c r="AA64" s="121">
        <f>VLOOKUP($B64,'Tillförd energi'!$B$1:$AI$720,MATCH(AA$1,'Tillförd energi'!$B$1:$AQ$1,0),FALSE)</f>
        <v>0</v>
      </c>
      <c r="AB64" s="121">
        <f>VLOOKUP($B64,'Tillförd energi'!$B$1:$AI$720,MATCH(AB$1,'Tillförd energi'!$B$1:$AQ$1,0),FALSE)</f>
        <v>0</v>
      </c>
      <c r="AC64" s="121">
        <f>VLOOKUP($B64,'Tillförd energi'!$B$1:$AI$720,MATCH(AC$1,'Tillförd energi'!$B$1:$AQ$1,0),FALSE)</f>
        <v>12</v>
      </c>
      <c r="AD64" s="121">
        <f>VLOOKUP($B64,'Tillförd energi'!$B$1:$AI$720,MATCH(AD$1,'Tillförd energi'!$B$1:$AQ$1,0),FALSE)</f>
        <v>0</v>
      </c>
      <c r="AE64" s="121">
        <f>VLOOKUP($B64,'Tillförd energi'!$B$1:$AI$720,MATCH(AE$1,'Tillförd energi'!$B$1:$AQ$1,0),FALSE)</f>
        <v>0</v>
      </c>
      <c r="AF64" s="121">
        <f>VLOOKUP($B64,'Tillförd energi'!$B$1:$AI$720,MATCH(AF$1,'Tillförd energi'!$B$1:$AQ$1,0),FALSE)</f>
        <v>1.6</v>
      </c>
      <c r="AG64" s="121">
        <f>IFERROR(VLOOKUP(B64,Miljö!$B$1:$AC$550,MATCH("Köpt mängd produktionsspecifik fjärrvärme:",Miljö!$B$1:$AC$1,0),FALSE)/1,0)</f>
        <v>0</v>
      </c>
      <c r="AH64" s="121"/>
      <c r="AI64" s="121">
        <f t="shared" si="22"/>
        <v>88.6</v>
      </c>
      <c r="AJ64" s="121">
        <f t="shared" si="23"/>
        <v>88.6</v>
      </c>
      <c r="AK64" s="121">
        <f>IF(ISERROR(1/VLOOKUP($B64,Leveranser!$B$1:$S$499,MATCH("såld värme (gwh)",Leveranser!$B$1:$S$1,0),FALSE)),"",VLOOKUP($B64,Leveranser!$B$1:$S$499,MATCH("såld värme (gwh)",Leveranser!$B$1:$S$1,0),FALSE))</f>
        <v>68</v>
      </c>
      <c r="AL64" s="121">
        <f>VLOOKUP($B64,Leveranser!$B$1:$Y$499,MATCH("Totalt såld fjärrvärme till andra fjärrvärmeföretag",Leveranser!$B$1:$AA$1,0),FALSE)</f>
        <v>0</v>
      </c>
      <c r="AM64" s="121">
        <f>IF(ISERROR(1/VLOOKUP($B64,Miljö!$B$1:$S$500,MATCH("Såld mängd produktionsspecifik fjärrvärme (GWh)",Miljö!$B$1:$R$1,0),FALSE)),0,VLOOKUP($B64,Miljö!$B$1:$S$500,MATCH("Såld mängd produktionsspecifik fjärrvärme (GWh)",Miljö!$B$1:$R$1,0),FALSE))</f>
        <v>0</v>
      </c>
      <c r="AN64" s="172">
        <f t="shared" si="24"/>
        <v>0.76749435665914223</v>
      </c>
      <c r="AO64" s="121"/>
      <c r="AP64" s="121" t="str">
        <f>IFERROR(VLOOKUP($B64,Miljövärden!$B$2:$H$550,7,FALSE),"Nej, saknas")</f>
        <v>Ja</v>
      </c>
      <c r="AQ64" s="121" t="str">
        <f>IFERROR(VLOOKUP($B64,Miljövärden!$B$2:$H$550,6,FALSE),"Nej, saknas")</f>
        <v>Nej</v>
      </c>
      <c r="AU64">
        <f t="shared" si="25"/>
        <v>1.6</v>
      </c>
      <c r="AV64">
        <f t="shared" si="26"/>
        <v>0</v>
      </c>
      <c r="AW64">
        <f t="shared" si="27"/>
        <v>63</v>
      </c>
      <c r="AX64">
        <f t="shared" si="28"/>
        <v>6.8</v>
      </c>
      <c r="AZ64">
        <f t="shared" si="29"/>
        <v>74.3</v>
      </c>
      <c r="BC64">
        <f t="shared" si="30"/>
        <v>0.7</v>
      </c>
      <c r="BD64">
        <f t="shared" si="31"/>
        <v>0</v>
      </c>
      <c r="BE64">
        <f t="shared" si="32"/>
        <v>74.3</v>
      </c>
      <c r="BF64">
        <f t="shared" si="33"/>
        <v>12</v>
      </c>
      <c r="BG64">
        <f t="shared" si="34"/>
        <v>1.6</v>
      </c>
      <c r="BH64">
        <f>VLOOKUP(B64,Miljö!$B$1:$BX$482,MATCH("Fossilandel för ursprungspecificerad el ()",Miljö!$B$1:$I$1,0),FALSE)</f>
        <v>0.43</v>
      </c>
      <c r="BI64">
        <f>VLOOKUP(B64,Miljö!$B$1:$BX$482,MATCH("Kärnkraftsandel för ursprungsspecificerad el ()",Miljö!$B$1:$O$1,0),FALSE)</f>
        <v>0.40550000000000003</v>
      </c>
      <c r="BJ64">
        <f t="shared" si="35"/>
        <v>0</v>
      </c>
      <c r="BK64" t="str">
        <f>VLOOKUP(B64,Miljö!$B$1:$O$482,MATCH("Fossil andel i procent (%)",Miljö!$B$1:$O$1,0),FALSE)</f>
        <v>ET</v>
      </c>
      <c r="BL64">
        <f t="shared" si="36"/>
        <v>88.6</v>
      </c>
      <c r="BO64" s="18">
        <f t="shared" si="37"/>
        <v>1.5665914221218963E-2</v>
      </c>
      <c r="BP64" s="18">
        <f t="shared" si="38"/>
        <v>7.3227990970654638E-3</v>
      </c>
      <c r="BQ64" s="18">
        <f t="shared" si="39"/>
        <v>0.84157110609480812</v>
      </c>
      <c r="BR64" s="18">
        <f t="shared" si="40"/>
        <v>0.13544018058690746</v>
      </c>
      <c r="BT64" s="27">
        <f t="shared" si="41"/>
        <v>1</v>
      </c>
      <c r="BW64" s="18">
        <f>IF(AP64="ja",VLOOKUP(B64,Miljövärden!$B$2:$H$550,MATCH("Total andel fossilt",Miljövärden!$B$2:$H$2,0),FALSE),"")</f>
        <v>1.56659E-2</v>
      </c>
      <c r="BZ64" s="28">
        <f t="shared" si="42"/>
        <v>-1.4221218962856552E-8</v>
      </c>
      <c r="CA64" s="28">
        <f t="shared" si="43"/>
        <v>0</v>
      </c>
    </row>
    <row r="65" spans="1:79" x14ac:dyDescent="0.25">
      <c r="A65" s="224" t="s">
        <v>277</v>
      </c>
      <c r="B65" s="210" t="s">
        <v>277</v>
      </c>
      <c r="C65" s="121">
        <f>VLOOKUP($B65,'Tillförd energi'!$B$1:$AI$720,MATCH(C$1,'Tillförd energi'!$B$1:$AQ$1,0),FALSE)</f>
        <v>0</v>
      </c>
      <c r="D65" s="121">
        <f>VLOOKUP($B65,'Tillförd energi'!$B$1:$AI$720,MATCH(D$1,'Tillförd energi'!$B$1:$AQ$1,0),FALSE)</f>
        <v>0</v>
      </c>
      <c r="E65" s="121">
        <f>VLOOKUP($B65,'Tillförd energi'!$B$1:$AI$720,MATCH(E$1,'Tillförd energi'!$B$1:$AQ$1,0),FALSE)</f>
        <v>0</v>
      </c>
      <c r="F65" s="121">
        <f>VLOOKUP($B65,'Tillförd energi'!$B$1:$AI$720,MATCH(F$1,'Tillförd energi'!$B$1:$AQ$1,0),FALSE)</f>
        <v>0</v>
      </c>
      <c r="G65" s="121">
        <f>VLOOKUP($B65,'Tillförd energi'!$B$1:$AI$720,MATCH(G$1,'Tillförd energi'!$B$1:$AQ$1,0),FALSE)</f>
        <v>0</v>
      </c>
      <c r="H65" s="121">
        <f>VLOOKUP($B65,'Tillförd energi'!$B$1:$AI$720,MATCH(H$1,'Tillförd energi'!$B$1:$AQ$1,0),FALSE)</f>
        <v>0</v>
      </c>
      <c r="I65" s="121">
        <f>VLOOKUP($B65,'Tillförd energi'!$B$1:$AI$720,MATCH(I$1,'Tillförd energi'!$B$1:$AQ$1,0),FALSE)</f>
        <v>0</v>
      </c>
      <c r="J65" s="121">
        <f>VLOOKUP($B65,'Tillförd energi'!$B$1:$AI$720,MATCH(J$1,'Tillförd energi'!$B$1:$AQ$1,0),FALSE)</f>
        <v>0</v>
      </c>
      <c r="K65" s="121">
        <f>VLOOKUP($B65,'Tillförd energi'!$B$1:$AI$720,MATCH(K$1,'Tillförd energi'!$B$1:$AQ$1,0),FALSE)</f>
        <v>0</v>
      </c>
      <c r="L65" s="121">
        <f>VLOOKUP($B65,'Tillförd energi'!$B$1:$AI$720,MATCH(L$1,'Tillförd energi'!$B$1:$AQ$1,0),FALSE)</f>
        <v>0</v>
      </c>
      <c r="M65" s="121">
        <f>VLOOKUP($B65,'Tillförd energi'!$B$1:$AI$720,MATCH(M$1,'Tillförd energi'!$B$1:$AQ$1,0),FALSE)</f>
        <v>0</v>
      </c>
      <c r="N65" s="121">
        <f>VLOOKUP($B65,'Tillförd energi'!$B$1:$AI$720,MATCH(N$1,'Tillförd energi'!$B$1:$AQ$1,0),FALSE)</f>
        <v>0</v>
      </c>
      <c r="O65" s="121">
        <f>VLOOKUP($B65,'Tillförd energi'!$B$1:$AI$720,MATCH(O$1,'Tillförd energi'!$B$1:$AQ$1,0),FALSE)</f>
        <v>0</v>
      </c>
      <c r="P65" s="121">
        <f>VLOOKUP($B65,'Tillförd energi'!$B$1:$AI$720,MATCH(P$1,'Tillförd energi'!$B$1:$AQ$1,0),FALSE)</f>
        <v>0</v>
      </c>
      <c r="Q65" s="121">
        <f>VLOOKUP($B65,'Tillförd energi'!$B$1:$AI$720,MATCH(Q$1,'Tillförd energi'!$B$1:$AQ$1,0),FALSE)</f>
        <v>0</v>
      </c>
      <c r="R65" s="121">
        <f>VLOOKUP($B65,'Tillförd energi'!$B$1:$AI$720,MATCH(R$1,'Tillförd energi'!$B$1:$AQ$1,0),FALSE)</f>
        <v>0</v>
      </c>
      <c r="S65" s="121">
        <f>VLOOKUP($B65,'Tillförd energi'!$B$1:$AI$720,MATCH(S$1,'Tillförd energi'!$B$1:$AQ$1,0),FALSE)</f>
        <v>0</v>
      </c>
      <c r="T65" s="121">
        <f>VLOOKUP($B65,'Tillförd energi'!$B$1:$AI$720,MATCH(T$1,'Tillförd energi'!$B$1:$AQ$1,0),FALSE)</f>
        <v>0</v>
      </c>
      <c r="U65" s="121">
        <f>VLOOKUP($B65,'Tillförd energi'!$B$1:$AI$720,MATCH(U$1,'Tillförd energi'!$B$1:$AQ$1,0),FALSE)</f>
        <v>0</v>
      </c>
      <c r="V65" s="121">
        <f>VLOOKUP($B65,'Tillförd energi'!$B$1:$AI$720,MATCH(V$1,'Tillförd energi'!$B$1:$AQ$1,0),FALSE)</f>
        <v>0</v>
      </c>
      <c r="W65" s="121">
        <f>VLOOKUP($B65,'Tillförd energi'!$B$1:$AI$720,MATCH(W$1,'Tillförd energi'!$B$1:$AQ$1,0),FALSE)</f>
        <v>0</v>
      </c>
      <c r="X65" s="121">
        <f>VLOOKUP($B65,'Tillförd energi'!$B$1:$AI$720,MATCH(X$1,'Tillförd energi'!$B$1:$AQ$1,0),FALSE)</f>
        <v>0</v>
      </c>
      <c r="Y65" s="121">
        <f>VLOOKUP($B65,'Tillförd energi'!$B$1:$AI$720,MATCH(Y$1,'Tillförd energi'!$B$1:$AQ$1,0),FALSE)</f>
        <v>0</v>
      </c>
      <c r="Z65" s="121">
        <f>VLOOKUP($B65,'Tillförd energi'!$B$1:$AI$720,MATCH(Z$1,'Tillförd energi'!$B$1:$AQ$1,0),FALSE)</f>
        <v>0</v>
      </c>
      <c r="AA65" s="121">
        <f>VLOOKUP($B65,'Tillförd energi'!$B$1:$AI$720,MATCH(AA$1,'Tillförd energi'!$B$1:$AQ$1,0),FALSE)</f>
        <v>0</v>
      </c>
      <c r="AB65" s="121">
        <f>VLOOKUP($B65,'Tillförd energi'!$B$1:$AI$720,MATCH(AB$1,'Tillförd energi'!$B$1:$AQ$1,0),FALSE)</f>
        <v>0</v>
      </c>
      <c r="AC65" s="121">
        <f>VLOOKUP($B65,'Tillförd energi'!$B$1:$AI$720,MATCH(AC$1,'Tillförd energi'!$B$1:$AQ$1,0),FALSE)</f>
        <v>0</v>
      </c>
      <c r="AD65" s="121">
        <f>VLOOKUP($B65,'Tillförd energi'!$B$1:$AI$720,MATCH(AD$1,'Tillförd energi'!$B$1:$AQ$1,0),FALSE)</f>
        <v>0</v>
      </c>
      <c r="AE65" s="121">
        <f>VLOOKUP($B65,'Tillförd energi'!$B$1:$AI$720,MATCH(AE$1,'Tillförd energi'!$B$1:$AQ$1,0),FALSE)</f>
        <v>0</v>
      </c>
      <c r="AF65" s="121">
        <f>VLOOKUP($B65,'Tillförd energi'!$B$1:$AI$720,MATCH(AF$1,'Tillförd energi'!$B$1:$AQ$1,0),FALSE)</f>
        <v>0</v>
      </c>
      <c r="AG65" s="121">
        <f>IFERROR(VLOOKUP(B65,Miljö!$B$1:$AC$550,MATCH("Köpt mängd produktionsspecifik fjärrvärme:",Miljö!$B$1:$AC$1,0),FALSE)/1,0)</f>
        <v>0</v>
      </c>
      <c r="AH65" s="121"/>
      <c r="AI65" s="121">
        <f t="shared" si="22"/>
        <v>0</v>
      </c>
      <c r="AJ65" s="121">
        <f t="shared" si="23"/>
        <v>0</v>
      </c>
      <c r="AK65" s="121">
        <f>IF(ISERROR(1/VLOOKUP($B65,Leveranser!$B$1:$S$499,MATCH("såld värme (gwh)",Leveranser!$B$1:$S$1,0),FALSE)),"",VLOOKUP($B65,Leveranser!$B$1:$S$499,MATCH("såld värme (gwh)",Leveranser!$B$1:$S$1,0),FALSE))</f>
        <v>7.95</v>
      </c>
      <c r="AL65" s="121">
        <f>VLOOKUP($B65,Leveranser!$B$1:$Y$499,MATCH("Totalt såld fjärrvärme till andra fjärrvärmeföretag",Leveranser!$B$1:$AA$1,0),FALSE)</f>
        <v>0</v>
      </c>
      <c r="AM65" s="121">
        <f>IF(ISERROR(1/VLOOKUP($B65,Miljö!$B$1:$S$500,MATCH("Såld mängd produktionsspecifik fjärrvärme (GWh)",Miljö!$B$1:$R$1,0),FALSE)),0,VLOOKUP($B65,Miljö!$B$1:$S$500,MATCH("Såld mängd produktionsspecifik fjärrvärme (GWh)",Miljö!$B$1:$R$1,0),FALSE))</f>
        <v>0</v>
      </c>
      <c r="AN65" s="172" t="str">
        <f t="shared" si="24"/>
        <v/>
      </c>
      <c r="AO65" s="121"/>
      <c r="AP65" s="121" t="str">
        <f>IFERROR(VLOOKUP($B65,Miljövärden!$B$2:$H$550,7,FALSE),"Nej, saknas")</f>
        <v>Nej</v>
      </c>
      <c r="AQ65" s="121" t="str">
        <f>IFERROR(VLOOKUP($B65,Miljövärden!$B$2:$H$550,6,FALSE),"Nej, saknas")</f>
        <v>Nej</v>
      </c>
      <c r="AU65">
        <f t="shared" si="25"/>
        <v>0</v>
      </c>
      <c r="AV65">
        <f t="shared" si="26"/>
        <v>0</v>
      </c>
      <c r="AW65">
        <f t="shared" si="27"/>
        <v>0</v>
      </c>
      <c r="AX65">
        <f t="shared" si="28"/>
        <v>0</v>
      </c>
      <c r="AZ65">
        <f t="shared" si="29"/>
        <v>0</v>
      </c>
      <c r="BC65">
        <f t="shared" si="30"/>
        <v>0</v>
      </c>
      <c r="BD65">
        <f t="shared" si="31"/>
        <v>0</v>
      </c>
      <c r="BE65">
        <f t="shared" si="32"/>
        <v>0</v>
      </c>
      <c r="BF65">
        <f t="shared" si="33"/>
        <v>0</v>
      </c>
      <c r="BG65">
        <f t="shared" si="34"/>
        <v>0</v>
      </c>
      <c r="BH65" t="str">
        <f>VLOOKUP(B65,Miljö!$B$1:$BX$482,MATCH("Fossilandel för ursprungspecificerad el ()",Miljö!$B$1:$I$1,0),FALSE)</f>
        <v>-</v>
      </c>
      <c r="BI65" t="str">
        <f>VLOOKUP(B65,Miljö!$B$1:$BX$482,MATCH("Kärnkraftsandel för ursprungsspecificerad el ()",Miljö!$B$1:$O$1,0),FALSE)</f>
        <v>-</v>
      </c>
      <c r="BJ65">
        <f t="shared" si="35"/>
        <v>0</v>
      </c>
      <c r="BK65" t="str">
        <f>VLOOKUP(B65,Miljö!$B$1:$O$482,MATCH("Fossil andel i procent (%)",Miljö!$B$1:$O$1,0),FALSE)</f>
        <v>-</v>
      </c>
      <c r="BL65">
        <f t="shared" si="36"/>
        <v>0</v>
      </c>
      <c r="BO65" s="18" t="str">
        <f t="shared" si="37"/>
        <v/>
      </c>
      <c r="BP65" s="18" t="str">
        <f t="shared" si="38"/>
        <v/>
      </c>
      <c r="BQ65" s="18" t="str">
        <f t="shared" si="39"/>
        <v/>
      </c>
      <c r="BR65" s="18" t="str">
        <f t="shared" si="40"/>
        <v/>
      </c>
      <c r="BT65" s="27">
        <f t="shared" si="41"/>
        <v>0</v>
      </c>
      <c r="BW65" s="18" t="str">
        <f>IF(AP65="ja",VLOOKUP(B65,Miljövärden!$B$2:$H$550,MATCH("Total andel fossilt",Miljövärden!$B$2:$H$2,0),FALSE),"")</f>
        <v/>
      </c>
      <c r="BZ65" s="28" t="str">
        <f t="shared" si="42"/>
        <v/>
      </c>
      <c r="CA65" s="28" t="str">
        <f t="shared" si="43"/>
        <v/>
      </c>
    </row>
    <row r="66" spans="1:79" x14ac:dyDescent="0.25">
      <c r="A66" s="224" t="s">
        <v>277</v>
      </c>
      <c r="B66" s="210" t="s">
        <v>278</v>
      </c>
      <c r="C66" s="121">
        <f>VLOOKUP($B66,'Tillförd energi'!$B$1:$AI$720,MATCH(C$1,'Tillförd energi'!$B$1:$AQ$1,0),FALSE)</f>
        <v>0</v>
      </c>
      <c r="D66" s="121">
        <f>VLOOKUP($B66,'Tillförd energi'!$B$1:$AI$720,MATCH(D$1,'Tillförd energi'!$B$1:$AQ$1,0),FALSE)</f>
        <v>0</v>
      </c>
      <c r="E66" s="121">
        <f>VLOOKUP($B66,'Tillförd energi'!$B$1:$AI$720,MATCH(E$1,'Tillförd energi'!$B$1:$AQ$1,0),FALSE)</f>
        <v>0</v>
      </c>
      <c r="F66" s="121">
        <f>VLOOKUP($B66,'Tillförd energi'!$B$1:$AI$720,MATCH(F$1,'Tillförd energi'!$B$1:$AQ$1,0),FALSE)</f>
        <v>0</v>
      </c>
      <c r="G66" s="121">
        <f>VLOOKUP($B66,'Tillförd energi'!$B$1:$AI$720,MATCH(G$1,'Tillförd energi'!$B$1:$AQ$1,0),FALSE)</f>
        <v>0</v>
      </c>
      <c r="H66" s="121">
        <f>VLOOKUP($B66,'Tillförd energi'!$B$1:$AI$720,MATCH(H$1,'Tillförd energi'!$B$1:$AQ$1,0),FALSE)</f>
        <v>0</v>
      </c>
      <c r="I66" s="121">
        <f>VLOOKUP($B66,'Tillförd energi'!$B$1:$AI$720,MATCH(I$1,'Tillförd energi'!$B$1:$AQ$1,0),FALSE)</f>
        <v>0</v>
      </c>
      <c r="J66" s="121">
        <f>VLOOKUP($B66,'Tillförd energi'!$B$1:$AI$720,MATCH(J$1,'Tillförd energi'!$B$1:$AQ$1,0),FALSE)</f>
        <v>0</v>
      </c>
      <c r="K66" s="121">
        <f>VLOOKUP($B66,'Tillförd energi'!$B$1:$AI$720,MATCH(K$1,'Tillförd energi'!$B$1:$AQ$1,0),FALSE)</f>
        <v>0</v>
      </c>
      <c r="L66" s="121">
        <f>VLOOKUP($B66,'Tillförd energi'!$B$1:$AI$720,MATCH(L$1,'Tillförd energi'!$B$1:$AQ$1,0),FALSE)</f>
        <v>0</v>
      </c>
      <c r="M66" s="121">
        <f>VLOOKUP($B66,'Tillförd energi'!$B$1:$AI$720,MATCH(M$1,'Tillförd energi'!$B$1:$AQ$1,0),FALSE)</f>
        <v>0</v>
      </c>
      <c r="N66" s="121">
        <f>VLOOKUP($B66,'Tillförd energi'!$B$1:$AI$720,MATCH(N$1,'Tillförd energi'!$B$1:$AQ$1,0),FALSE)</f>
        <v>0</v>
      </c>
      <c r="O66" s="121">
        <f>VLOOKUP($B66,'Tillförd energi'!$B$1:$AI$720,MATCH(O$1,'Tillförd energi'!$B$1:$AQ$1,0),FALSE)</f>
        <v>0</v>
      </c>
      <c r="P66" s="121">
        <f>VLOOKUP($B66,'Tillförd energi'!$B$1:$AI$720,MATCH(P$1,'Tillförd energi'!$B$1:$AQ$1,0),FALSE)</f>
        <v>0</v>
      </c>
      <c r="Q66" s="121">
        <f>VLOOKUP($B66,'Tillförd energi'!$B$1:$AI$720,MATCH(Q$1,'Tillförd energi'!$B$1:$AQ$1,0),FALSE)</f>
        <v>0</v>
      </c>
      <c r="R66" s="121">
        <f>VLOOKUP($B66,'Tillförd energi'!$B$1:$AI$720,MATCH(R$1,'Tillförd energi'!$B$1:$AQ$1,0),FALSE)</f>
        <v>0</v>
      </c>
      <c r="S66" s="121">
        <f>VLOOKUP($B66,'Tillförd energi'!$B$1:$AI$720,MATCH(S$1,'Tillförd energi'!$B$1:$AQ$1,0),FALSE)</f>
        <v>0</v>
      </c>
      <c r="T66" s="121">
        <f>VLOOKUP($B66,'Tillförd energi'!$B$1:$AI$720,MATCH(T$1,'Tillförd energi'!$B$1:$AQ$1,0),FALSE)</f>
        <v>0</v>
      </c>
      <c r="U66" s="121">
        <f>VLOOKUP($B66,'Tillförd energi'!$B$1:$AI$720,MATCH(U$1,'Tillförd energi'!$B$1:$AQ$1,0),FALSE)</f>
        <v>0</v>
      </c>
      <c r="V66" s="121">
        <f>VLOOKUP($B66,'Tillförd energi'!$B$1:$AI$720,MATCH(V$1,'Tillförd energi'!$B$1:$AQ$1,0),FALSE)</f>
        <v>0</v>
      </c>
      <c r="W66" s="121">
        <f>VLOOKUP($B66,'Tillförd energi'!$B$1:$AI$720,MATCH(W$1,'Tillförd energi'!$B$1:$AQ$1,0),FALSE)</f>
        <v>0</v>
      </c>
      <c r="X66" s="121">
        <f>VLOOKUP($B66,'Tillförd energi'!$B$1:$AI$720,MATCH(X$1,'Tillförd energi'!$B$1:$AQ$1,0),FALSE)</f>
        <v>0</v>
      </c>
      <c r="Y66" s="121">
        <f>VLOOKUP($B66,'Tillförd energi'!$B$1:$AI$720,MATCH(Y$1,'Tillförd energi'!$B$1:$AQ$1,0),FALSE)</f>
        <v>0</v>
      </c>
      <c r="Z66" s="121">
        <f>VLOOKUP($B66,'Tillförd energi'!$B$1:$AI$720,MATCH(Z$1,'Tillförd energi'!$B$1:$AQ$1,0),FALSE)</f>
        <v>0</v>
      </c>
      <c r="AA66" s="121">
        <f>VLOOKUP($B66,'Tillförd energi'!$B$1:$AI$720,MATCH(AA$1,'Tillförd energi'!$B$1:$AQ$1,0),FALSE)</f>
        <v>0</v>
      </c>
      <c r="AB66" s="121">
        <f>VLOOKUP($B66,'Tillförd energi'!$B$1:$AI$720,MATCH(AB$1,'Tillförd energi'!$B$1:$AQ$1,0),FALSE)</f>
        <v>0</v>
      </c>
      <c r="AC66" s="121">
        <f>VLOOKUP($B66,'Tillförd energi'!$B$1:$AI$720,MATCH(AC$1,'Tillförd energi'!$B$1:$AQ$1,0),FALSE)</f>
        <v>0</v>
      </c>
      <c r="AD66" s="121">
        <f>VLOOKUP($B66,'Tillförd energi'!$B$1:$AI$720,MATCH(AD$1,'Tillförd energi'!$B$1:$AQ$1,0),FALSE)</f>
        <v>0</v>
      </c>
      <c r="AE66" s="121">
        <f>VLOOKUP($B66,'Tillförd energi'!$B$1:$AI$720,MATCH(AE$1,'Tillförd energi'!$B$1:$AQ$1,0),FALSE)</f>
        <v>0</v>
      </c>
      <c r="AF66" s="121">
        <f>VLOOKUP($B66,'Tillförd energi'!$B$1:$AI$720,MATCH(AF$1,'Tillförd energi'!$B$1:$AQ$1,0),FALSE)</f>
        <v>0</v>
      </c>
      <c r="AG66" s="121">
        <f>IFERROR(VLOOKUP(B66,Miljö!$B$1:$AC$550,MATCH("Köpt mängd produktionsspecifik fjärrvärme:",Miljö!$B$1:$AC$1,0),FALSE)/1,0)</f>
        <v>0</v>
      </c>
      <c r="AH66" s="121"/>
      <c r="AI66" s="121">
        <f t="shared" si="22"/>
        <v>0</v>
      </c>
      <c r="AJ66" s="121">
        <f t="shared" si="23"/>
        <v>0</v>
      </c>
      <c r="AK66" s="121" t="str">
        <f>IF(ISERROR(1/VLOOKUP($B66,Leveranser!$B$1:$S$499,MATCH("såld värme (gwh)",Leveranser!$B$1:$S$1,0),FALSE)),"",VLOOKUP($B66,Leveranser!$B$1:$S$499,MATCH("såld värme (gwh)",Leveranser!$B$1:$S$1,0),FALSE))</f>
        <v/>
      </c>
      <c r="AL66" s="121">
        <f>VLOOKUP($B66,Leveranser!$B$1:$Y$499,MATCH("Totalt såld fjärrvärme till andra fjärrvärmeföretag",Leveranser!$B$1:$AA$1,0),FALSE)</f>
        <v>0</v>
      </c>
      <c r="AM66" s="121">
        <f>IF(ISERROR(1/VLOOKUP($B66,Miljö!$B$1:$S$500,MATCH("Såld mängd produktionsspecifik fjärrvärme (GWh)",Miljö!$B$1:$R$1,0),FALSE)),0,VLOOKUP($B66,Miljö!$B$1:$S$500,MATCH("Såld mängd produktionsspecifik fjärrvärme (GWh)",Miljö!$B$1:$R$1,0),FALSE))</f>
        <v>0</v>
      </c>
      <c r="AN66" s="172" t="str">
        <f t="shared" si="24"/>
        <v/>
      </c>
      <c r="AO66" s="121"/>
      <c r="AP66" s="121" t="str">
        <f>IFERROR(VLOOKUP($B66,Miljövärden!$B$2:$H$550,7,FALSE),"Nej, saknas")</f>
        <v>Nej</v>
      </c>
      <c r="AQ66" s="121" t="str">
        <f>IFERROR(VLOOKUP($B66,Miljövärden!$B$2:$H$550,6,FALSE),"Nej, saknas")</f>
        <v>Nej</v>
      </c>
      <c r="AU66">
        <f t="shared" si="25"/>
        <v>0</v>
      </c>
      <c r="AV66">
        <f t="shared" si="26"/>
        <v>0</v>
      </c>
      <c r="AW66">
        <f t="shared" si="27"/>
        <v>0</v>
      </c>
      <c r="AX66">
        <f t="shared" si="28"/>
        <v>0</v>
      </c>
      <c r="AZ66">
        <f t="shared" si="29"/>
        <v>0</v>
      </c>
      <c r="BC66">
        <f t="shared" si="30"/>
        <v>0</v>
      </c>
      <c r="BD66">
        <f t="shared" si="31"/>
        <v>0</v>
      </c>
      <c r="BE66">
        <f t="shared" si="32"/>
        <v>0</v>
      </c>
      <c r="BF66">
        <f t="shared" si="33"/>
        <v>0</v>
      </c>
      <c r="BG66">
        <f t="shared" si="34"/>
        <v>0</v>
      </c>
      <c r="BH66" t="str">
        <f>VLOOKUP(B66,Miljö!$B$1:$BX$482,MATCH("Fossilandel för ursprungspecificerad el ()",Miljö!$B$1:$I$1,0),FALSE)</f>
        <v>-</v>
      </c>
      <c r="BI66" t="str">
        <f>VLOOKUP(B66,Miljö!$B$1:$BX$482,MATCH("Kärnkraftsandel för ursprungsspecificerad el ()",Miljö!$B$1:$O$1,0),FALSE)</f>
        <v>-</v>
      </c>
      <c r="BJ66">
        <f t="shared" si="35"/>
        <v>0</v>
      </c>
      <c r="BK66" t="str">
        <f>VLOOKUP(B66,Miljö!$B$1:$O$482,MATCH("Fossil andel i procent (%)",Miljö!$B$1:$O$1,0),FALSE)</f>
        <v>-</v>
      </c>
      <c r="BL66">
        <f t="shared" si="36"/>
        <v>0</v>
      </c>
      <c r="BO66" s="18" t="str">
        <f t="shared" si="37"/>
        <v/>
      </c>
      <c r="BP66" s="18" t="str">
        <f t="shared" si="38"/>
        <v/>
      </c>
      <c r="BQ66" s="18" t="str">
        <f t="shared" si="39"/>
        <v/>
      </c>
      <c r="BR66" s="18" t="str">
        <f t="shared" si="40"/>
        <v/>
      </c>
      <c r="BT66" s="27">
        <f t="shared" si="41"/>
        <v>0</v>
      </c>
      <c r="BW66" s="18" t="str">
        <f>IF(AP66="ja",VLOOKUP(B66,Miljövärden!$B$2:$H$550,MATCH("Total andel fossilt",Miljövärden!$B$2:$H$2,0),FALSE),"")</f>
        <v/>
      </c>
      <c r="BZ66" s="28" t="str">
        <f t="shared" si="42"/>
        <v/>
      </c>
      <c r="CA66" s="28" t="str">
        <f t="shared" si="43"/>
        <v/>
      </c>
    </row>
    <row r="67" spans="1:79" x14ac:dyDescent="0.25">
      <c r="A67" s="224" t="s">
        <v>279</v>
      </c>
      <c r="B67" s="210" t="s">
        <v>280</v>
      </c>
      <c r="C67" s="121">
        <f>VLOOKUP($B67,'Tillförd energi'!$B$1:$AI$720,MATCH(C$1,'Tillförd energi'!$B$1:$AQ$1,0),FALSE)</f>
        <v>0</v>
      </c>
      <c r="D67" s="121">
        <f>VLOOKUP($B67,'Tillförd energi'!$B$1:$AI$720,MATCH(D$1,'Tillförd energi'!$B$1:$AQ$1,0),FALSE)</f>
        <v>9.2999999999999999E-2</v>
      </c>
      <c r="E67" s="121">
        <f>VLOOKUP($B67,'Tillförd energi'!$B$1:$AI$720,MATCH(E$1,'Tillförd energi'!$B$1:$AQ$1,0),FALSE)</f>
        <v>0</v>
      </c>
      <c r="F67" s="121">
        <f>VLOOKUP($B67,'Tillförd energi'!$B$1:$AI$720,MATCH(F$1,'Tillförd energi'!$B$1:$AQ$1,0),FALSE)</f>
        <v>0</v>
      </c>
      <c r="G67" s="121">
        <f>VLOOKUP($B67,'Tillförd energi'!$B$1:$AI$720,MATCH(G$1,'Tillförd energi'!$B$1:$AQ$1,0),FALSE)</f>
        <v>0</v>
      </c>
      <c r="H67" s="121">
        <f>VLOOKUP($B67,'Tillförd energi'!$B$1:$AI$720,MATCH(H$1,'Tillförd energi'!$B$1:$AQ$1,0),FALSE)</f>
        <v>0</v>
      </c>
      <c r="I67" s="121">
        <f>VLOOKUP($B67,'Tillförd energi'!$B$1:$AI$720,MATCH(I$1,'Tillförd energi'!$B$1:$AQ$1,0),FALSE)</f>
        <v>113.18300000000001</v>
      </c>
      <c r="J67" s="121">
        <f>VLOOKUP($B67,'Tillförd energi'!$B$1:$AI$720,MATCH(J$1,'Tillförd energi'!$B$1:$AQ$1,0),FALSE)</f>
        <v>0</v>
      </c>
      <c r="K67" s="121">
        <f>VLOOKUP($B67,'Tillförd energi'!$B$1:$AI$720,MATCH(K$1,'Tillförd energi'!$B$1:$AQ$1,0),FALSE)</f>
        <v>0</v>
      </c>
      <c r="L67" s="121">
        <f>VLOOKUP($B67,'Tillförd energi'!$B$1:$AI$720,MATCH(L$1,'Tillförd energi'!$B$1:$AQ$1,0),FALSE)</f>
        <v>0</v>
      </c>
      <c r="M67" s="121">
        <f>VLOOKUP($B67,'Tillförd energi'!$B$1:$AI$720,MATCH(M$1,'Tillförd energi'!$B$1:$AQ$1,0),FALSE)</f>
        <v>4.3</v>
      </c>
      <c r="N67" s="121">
        <f>VLOOKUP($B67,'Tillförd energi'!$B$1:$AI$720,MATCH(N$1,'Tillförd energi'!$B$1:$AQ$1,0),FALSE)</f>
        <v>0</v>
      </c>
      <c r="O67" s="121">
        <f>VLOOKUP($B67,'Tillförd energi'!$B$1:$AI$720,MATCH(O$1,'Tillförd energi'!$B$1:$AQ$1,0),FALSE)</f>
        <v>4.3</v>
      </c>
      <c r="P67" s="121">
        <f>VLOOKUP($B67,'Tillförd energi'!$B$1:$AI$720,MATCH(P$1,'Tillförd energi'!$B$1:$AQ$1,0),FALSE)</f>
        <v>19</v>
      </c>
      <c r="Q67" s="121">
        <f>VLOOKUP($B67,'Tillförd energi'!$B$1:$AI$720,MATCH(Q$1,'Tillförd energi'!$B$1:$AQ$1,0),FALSE)</f>
        <v>1.9294100000000001</v>
      </c>
      <c r="R67" s="121">
        <f>VLOOKUP($B67,'Tillförd energi'!$B$1:$AI$720,MATCH(R$1,'Tillförd energi'!$B$1:$AQ$1,0),FALSE)</f>
        <v>0</v>
      </c>
      <c r="S67" s="121">
        <f>VLOOKUP($B67,'Tillförd energi'!$B$1:$AI$720,MATCH(S$1,'Tillförd energi'!$B$1:$AQ$1,0),FALSE)</f>
        <v>0</v>
      </c>
      <c r="T67" s="121">
        <f>VLOOKUP($B67,'Tillförd energi'!$B$1:$AI$720,MATCH(T$1,'Tillförd energi'!$B$1:$AQ$1,0),FALSE)</f>
        <v>0</v>
      </c>
      <c r="U67" s="121">
        <f>VLOOKUP($B67,'Tillförd energi'!$B$1:$AI$720,MATCH(U$1,'Tillförd energi'!$B$1:$AQ$1,0),FALSE)</f>
        <v>0</v>
      </c>
      <c r="V67" s="121">
        <f>VLOOKUP($B67,'Tillförd energi'!$B$1:$AI$720,MATCH(V$1,'Tillförd energi'!$B$1:$AQ$1,0),FALSE)</f>
        <v>0</v>
      </c>
      <c r="W67" s="121">
        <f>VLOOKUP($B67,'Tillförd energi'!$B$1:$AI$720,MATCH(W$1,'Tillförd energi'!$B$1:$AQ$1,0),FALSE)</f>
        <v>0.49594500000000002</v>
      </c>
      <c r="X67" s="121">
        <f>VLOOKUP($B67,'Tillförd energi'!$B$1:$AI$720,MATCH(X$1,'Tillförd energi'!$B$1:$AQ$1,0),FALSE)</f>
        <v>0</v>
      </c>
      <c r="Y67" s="121">
        <f>VLOOKUP($B67,'Tillförd energi'!$B$1:$AI$720,MATCH(Y$1,'Tillförd energi'!$B$1:$AQ$1,0),FALSE)</f>
        <v>0</v>
      </c>
      <c r="Z67" s="121">
        <f>VLOOKUP($B67,'Tillförd energi'!$B$1:$AI$720,MATCH(Z$1,'Tillförd energi'!$B$1:$AQ$1,0),FALSE)</f>
        <v>0</v>
      </c>
      <c r="AA67" s="121">
        <f>VLOOKUP($B67,'Tillförd energi'!$B$1:$AI$720,MATCH(AA$1,'Tillförd energi'!$B$1:$AQ$1,0),FALSE)</f>
        <v>0</v>
      </c>
      <c r="AB67" s="121">
        <f>VLOOKUP($B67,'Tillförd energi'!$B$1:$AI$720,MATCH(AB$1,'Tillförd energi'!$B$1:$AQ$1,0),FALSE)</f>
        <v>0</v>
      </c>
      <c r="AC67" s="121">
        <f>VLOOKUP($B67,'Tillförd energi'!$B$1:$AI$720,MATCH(AC$1,'Tillförd energi'!$B$1:$AQ$1,0),FALSE)</f>
        <v>11.5</v>
      </c>
      <c r="AD67" s="121">
        <f>VLOOKUP($B67,'Tillförd energi'!$B$1:$AI$720,MATCH(AD$1,'Tillförd energi'!$B$1:$AQ$1,0),FALSE)</f>
        <v>0</v>
      </c>
      <c r="AE67" s="121">
        <f>VLOOKUP($B67,'Tillförd energi'!$B$1:$AI$720,MATCH(AE$1,'Tillförd energi'!$B$1:$AQ$1,0),FALSE)</f>
        <v>0</v>
      </c>
      <c r="AF67" s="121">
        <f>VLOOKUP($B67,'Tillförd energi'!$B$1:$AI$720,MATCH(AF$1,'Tillförd energi'!$B$1:$AQ$1,0),FALSE)</f>
        <v>5.9959899999999999</v>
      </c>
      <c r="AG67" s="121">
        <f>IFERROR(VLOOKUP(B67,Miljö!$B$1:$AC$550,MATCH("Köpt mängd produktionsspecifik fjärrvärme:",Miljö!$B$1:$AC$1,0),FALSE)/1,0)</f>
        <v>0</v>
      </c>
      <c r="AH67" s="121"/>
      <c r="AI67" s="121">
        <f t="shared" si="22"/>
        <v>160.79734500000001</v>
      </c>
      <c r="AJ67" s="121">
        <f t="shared" si="23"/>
        <v>160.79734500000001</v>
      </c>
      <c r="AK67" s="121">
        <f>IF(ISERROR(1/VLOOKUP($B67,Leveranser!$B$1:$S$499,MATCH("såld värme (gwh)",Leveranser!$B$1:$S$1,0),FALSE)),"",VLOOKUP($B67,Leveranser!$B$1:$S$499,MATCH("såld värme (gwh)",Leveranser!$B$1:$S$1,0),FALSE))</f>
        <v>106.69499999999999</v>
      </c>
      <c r="AL67" s="121">
        <f>VLOOKUP($B67,Leveranser!$B$1:$Y$499,MATCH("Totalt såld fjärrvärme till andra fjärrvärmeföretag",Leveranser!$B$1:$AA$1,0),FALSE)</f>
        <v>0</v>
      </c>
      <c r="AM67" s="121">
        <f>IF(ISERROR(1/VLOOKUP($B67,Miljö!$B$1:$S$500,MATCH("Såld mängd produktionsspecifik fjärrvärme (GWh)",Miljö!$B$1:$R$1,0),FALSE)),0,VLOOKUP($B67,Miljö!$B$1:$S$500,MATCH("Såld mängd produktionsspecifik fjärrvärme (GWh)",Miljö!$B$1:$R$1,0),FALSE))</f>
        <v>0</v>
      </c>
      <c r="AN67" s="172">
        <f t="shared" si="24"/>
        <v>0.66353707519237948</v>
      </c>
      <c r="AO67" s="121"/>
      <c r="AP67" s="121" t="str">
        <f>IFERROR(VLOOKUP($B67,Miljövärden!$B$2:$H$550,7,FALSE),"Nej, saknas")</f>
        <v>Ja</v>
      </c>
      <c r="AQ67" s="121" t="str">
        <f>IFERROR(VLOOKUP($B67,Miljövärden!$B$2:$H$550,6,FALSE),"Nej, saknas")</f>
        <v>Nej</v>
      </c>
      <c r="AU67">
        <f t="shared" si="25"/>
        <v>5.9959899999999999</v>
      </c>
      <c r="AV67">
        <f t="shared" si="26"/>
        <v>0</v>
      </c>
      <c r="AW67">
        <f t="shared" si="27"/>
        <v>29.529410000000002</v>
      </c>
      <c r="AX67">
        <f t="shared" si="28"/>
        <v>0</v>
      </c>
      <c r="AZ67">
        <f t="shared" si="29"/>
        <v>30.025355000000001</v>
      </c>
      <c r="BC67">
        <f t="shared" si="30"/>
        <v>9.2999999999999999E-2</v>
      </c>
      <c r="BD67">
        <f t="shared" si="31"/>
        <v>0</v>
      </c>
      <c r="BE67">
        <f t="shared" si="32"/>
        <v>30.025355000000001</v>
      </c>
      <c r="BF67">
        <f t="shared" si="33"/>
        <v>124.68300000000001</v>
      </c>
      <c r="BG67">
        <f t="shared" si="34"/>
        <v>5.9959899999999999</v>
      </c>
      <c r="BH67">
        <f>VLOOKUP(B67,Miljö!$B$1:$BX$482,MATCH("Fossilandel för ursprungspecificerad el ()",Miljö!$B$1:$I$1,0),FALSE)</f>
        <v>0.43</v>
      </c>
      <c r="BI67">
        <f>VLOOKUP(B67,Miljö!$B$1:$BX$482,MATCH("Kärnkraftsandel för ursprungsspecificerad el ()",Miljö!$B$1:$O$1,0),FALSE)</f>
        <v>0.40550000000000003</v>
      </c>
      <c r="BJ67">
        <f t="shared" si="35"/>
        <v>0</v>
      </c>
      <c r="BK67" t="str">
        <f>VLOOKUP(B67,Miljö!$B$1:$O$482,MATCH("Fossil andel i procent (%)",Miljö!$B$1:$O$1,0),FALSE)</f>
        <v>ET</v>
      </c>
      <c r="BL67">
        <f t="shared" si="36"/>
        <v>160.79734500000001</v>
      </c>
      <c r="BO67" s="18">
        <f t="shared" si="37"/>
        <v>1.6612685364923156E-2</v>
      </c>
      <c r="BP67" s="18">
        <f t="shared" si="38"/>
        <v>1.5120734393966518E-2</v>
      </c>
      <c r="BQ67" s="18">
        <f t="shared" si="39"/>
        <v>0.19286198634063267</v>
      </c>
      <c r="BR67" s="18">
        <f t="shared" si="40"/>
        <v>0.77540459390047767</v>
      </c>
      <c r="BT67" s="27">
        <f t="shared" si="41"/>
        <v>1</v>
      </c>
      <c r="BW67" s="18">
        <f>IF(AP67="ja",VLOOKUP(B67,Miljövärden!$B$2:$H$550,MATCH("Total andel fossilt",Miljövärden!$B$2:$H$2,0),FALSE),"")</f>
        <v>1.6612700000000001E-2</v>
      </c>
      <c r="BZ67" s="28">
        <f t="shared" si="42"/>
        <v>1.4635076844848882E-8</v>
      </c>
      <c r="CA67" s="28">
        <f t="shared" si="43"/>
        <v>0</v>
      </c>
    </row>
    <row r="68" spans="1:79" x14ac:dyDescent="0.25">
      <c r="A68" s="224" t="s">
        <v>279</v>
      </c>
      <c r="B68" s="210" t="s">
        <v>281</v>
      </c>
      <c r="C68" s="121">
        <f>VLOOKUP($B68,'Tillförd energi'!$B$1:$AI$720,MATCH(C$1,'Tillförd energi'!$B$1:$AQ$1,0),FALSE)</f>
        <v>0</v>
      </c>
      <c r="D68" s="121">
        <f>VLOOKUP($B68,'Tillförd energi'!$B$1:$AI$720,MATCH(D$1,'Tillförd energi'!$B$1:$AQ$1,0),FALSE)</f>
        <v>0</v>
      </c>
      <c r="E68" s="121">
        <f>VLOOKUP($B68,'Tillförd energi'!$B$1:$AI$720,MATCH(E$1,'Tillförd energi'!$B$1:$AQ$1,0),FALSE)</f>
        <v>0</v>
      </c>
      <c r="F68" s="121">
        <f>VLOOKUP($B68,'Tillförd energi'!$B$1:$AI$720,MATCH(F$1,'Tillförd energi'!$B$1:$AQ$1,0),FALSE)</f>
        <v>0</v>
      </c>
      <c r="G68" s="121">
        <f>VLOOKUP($B68,'Tillförd energi'!$B$1:$AI$720,MATCH(G$1,'Tillförd energi'!$B$1:$AQ$1,0),FALSE)</f>
        <v>0</v>
      </c>
      <c r="H68" s="121">
        <f>VLOOKUP($B68,'Tillförd energi'!$B$1:$AI$720,MATCH(H$1,'Tillförd energi'!$B$1:$AQ$1,0),FALSE)</f>
        <v>0</v>
      </c>
      <c r="I68" s="121">
        <f>VLOOKUP($B68,'Tillförd energi'!$B$1:$AI$720,MATCH(I$1,'Tillförd energi'!$B$1:$AQ$1,0),FALSE)</f>
        <v>0</v>
      </c>
      <c r="J68" s="121">
        <f>VLOOKUP($B68,'Tillförd energi'!$B$1:$AI$720,MATCH(J$1,'Tillförd energi'!$B$1:$AQ$1,0),FALSE)</f>
        <v>0</v>
      </c>
      <c r="K68" s="121">
        <f>VLOOKUP($B68,'Tillförd energi'!$B$1:$AI$720,MATCH(K$1,'Tillförd energi'!$B$1:$AQ$1,0),FALSE)</f>
        <v>0</v>
      </c>
      <c r="L68" s="121">
        <f>VLOOKUP($B68,'Tillförd energi'!$B$1:$AI$720,MATCH(L$1,'Tillförd energi'!$B$1:$AQ$1,0),FALSE)</f>
        <v>0</v>
      </c>
      <c r="M68" s="121">
        <f>VLOOKUP($B68,'Tillförd energi'!$B$1:$AI$720,MATCH(M$1,'Tillförd energi'!$B$1:$AQ$1,0),FALSE)</f>
        <v>1.49</v>
      </c>
      <c r="N68" s="121">
        <f>VLOOKUP($B68,'Tillförd energi'!$B$1:$AI$720,MATCH(N$1,'Tillförd energi'!$B$1:$AQ$1,0),FALSE)</f>
        <v>0</v>
      </c>
      <c r="O68" s="121">
        <f>VLOOKUP($B68,'Tillförd energi'!$B$1:$AI$720,MATCH(O$1,'Tillförd energi'!$B$1:$AQ$1,0),FALSE)</f>
        <v>1.49</v>
      </c>
      <c r="P68" s="121">
        <f>VLOOKUP($B68,'Tillförd energi'!$B$1:$AI$720,MATCH(P$1,'Tillförd energi'!$B$1:$AQ$1,0),FALSE)</f>
        <v>1.49</v>
      </c>
      <c r="Q68" s="121">
        <f>VLOOKUP($B68,'Tillförd energi'!$B$1:$AI$720,MATCH(Q$1,'Tillförd energi'!$B$1:$AQ$1,0),FALSE)</f>
        <v>0</v>
      </c>
      <c r="R68" s="121">
        <f>VLOOKUP($B68,'Tillförd energi'!$B$1:$AI$720,MATCH(R$1,'Tillförd energi'!$B$1:$AQ$1,0),FALSE)</f>
        <v>0</v>
      </c>
      <c r="S68" s="121">
        <f>VLOOKUP($B68,'Tillförd energi'!$B$1:$AI$720,MATCH(S$1,'Tillförd energi'!$B$1:$AQ$1,0),FALSE)</f>
        <v>0</v>
      </c>
      <c r="T68" s="121">
        <f>VLOOKUP($B68,'Tillförd energi'!$B$1:$AI$720,MATCH(T$1,'Tillförd energi'!$B$1:$AQ$1,0),FALSE)</f>
        <v>0</v>
      </c>
      <c r="U68" s="121">
        <f>VLOOKUP($B68,'Tillförd energi'!$B$1:$AI$720,MATCH(U$1,'Tillförd energi'!$B$1:$AQ$1,0),FALSE)</f>
        <v>0</v>
      </c>
      <c r="V68" s="121">
        <f>VLOOKUP($B68,'Tillförd energi'!$B$1:$AI$720,MATCH(V$1,'Tillförd energi'!$B$1:$AQ$1,0),FALSE)</f>
        <v>0</v>
      </c>
      <c r="W68" s="121">
        <f>VLOOKUP($B68,'Tillförd energi'!$B$1:$AI$720,MATCH(W$1,'Tillförd energi'!$B$1:$AQ$1,0),FALSE)</f>
        <v>0.13</v>
      </c>
      <c r="X68" s="121">
        <f>VLOOKUP($B68,'Tillförd energi'!$B$1:$AI$720,MATCH(X$1,'Tillförd energi'!$B$1:$AQ$1,0),FALSE)</f>
        <v>0</v>
      </c>
      <c r="Y68" s="121">
        <f>VLOOKUP($B68,'Tillförd energi'!$B$1:$AI$720,MATCH(Y$1,'Tillförd energi'!$B$1:$AQ$1,0),FALSE)</f>
        <v>0</v>
      </c>
      <c r="Z68" s="121">
        <f>VLOOKUP($B68,'Tillförd energi'!$B$1:$AI$720,MATCH(Z$1,'Tillförd energi'!$B$1:$AQ$1,0),FALSE)</f>
        <v>0</v>
      </c>
      <c r="AA68" s="121">
        <f>VLOOKUP($B68,'Tillförd energi'!$B$1:$AI$720,MATCH(AA$1,'Tillförd energi'!$B$1:$AQ$1,0),FALSE)</f>
        <v>0</v>
      </c>
      <c r="AB68" s="121">
        <f>VLOOKUP($B68,'Tillförd energi'!$B$1:$AI$720,MATCH(AB$1,'Tillförd energi'!$B$1:$AQ$1,0),FALSE)</f>
        <v>0</v>
      </c>
      <c r="AC68" s="121">
        <f>VLOOKUP($B68,'Tillförd energi'!$B$1:$AI$720,MATCH(AC$1,'Tillförd energi'!$B$1:$AQ$1,0),FALSE)</f>
        <v>0</v>
      </c>
      <c r="AD68" s="121">
        <f>VLOOKUP($B68,'Tillförd energi'!$B$1:$AI$720,MATCH(AD$1,'Tillförd energi'!$B$1:$AQ$1,0),FALSE)</f>
        <v>0</v>
      </c>
      <c r="AE68" s="121">
        <f>VLOOKUP($B68,'Tillförd energi'!$B$1:$AI$720,MATCH(AE$1,'Tillförd energi'!$B$1:$AQ$1,0),FALSE)</f>
        <v>0</v>
      </c>
      <c r="AF68" s="121">
        <f>VLOOKUP($B68,'Tillförd energi'!$B$1:$AI$720,MATCH(AF$1,'Tillförd energi'!$B$1:$AQ$1,0),FALSE)</f>
        <v>0.13</v>
      </c>
      <c r="AG68" s="121">
        <f>IFERROR(VLOOKUP(B68,Miljö!$B$1:$AC$550,MATCH("Köpt mängd produktionsspecifik fjärrvärme:",Miljö!$B$1:$AC$1,0),FALSE)/1,0)</f>
        <v>0</v>
      </c>
      <c r="AH68" s="121"/>
      <c r="AI68" s="121">
        <f t="shared" si="22"/>
        <v>4.7299999999999995</v>
      </c>
      <c r="AJ68" s="121">
        <f t="shared" si="23"/>
        <v>4.7299999999999995</v>
      </c>
      <c r="AK68" s="121">
        <f>IF(ISERROR(1/VLOOKUP($B68,Leveranser!$B$1:$S$499,MATCH("såld värme (gwh)",Leveranser!$B$1:$S$1,0),FALSE)),"",VLOOKUP($B68,Leveranser!$B$1:$S$499,MATCH("såld värme (gwh)",Leveranser!$B$1:$S$1,0),FALSE))</f>
        <v>2.9169999999999998</v>
      </c>
      <c r="AL68" s="121">
        <f>VLOOKUP($B68,Leveranser!$B$1:$Y$499,MATCH("Totalt såld fjärrvärme till andra fjärrvärmeföretag",Leveranser!$B$1:$AA$1,0),FALSE)</f>
        <v>0</v>
      </c>
      <c r="AM68" s="121">
        <f>IF(ISERROR(1/VLOOKUP($B68,Miljö!$B$1:$S$500,MATCH("Såld mängd produktionsspecifik fjärrvärme (GWh)",Miljö!$B$1:$R$1,0),FALSE)),0,VLOOKUP($B68,Miljö!$B$1:$S$500,MATCH("Såld mängd produktionsspecifik fjärrvärme (GWh)",Miljö!$B$1:$R$1,0),FALSE))</f>
        <v>0</v>
      </c>
      <c r="AN68" s="172">
        <f t="shared" si="24"/>
        <v>0.61670190274841441</v>
      </c>
      <c r="AO68" s="121"/>
      <c r="AP68" s="121" t="str">
        <f>IFERROR(VLOOKUP($B68,Miljövärden!$B$2:$H$550,7,FALSE),"Nej, saknas")</f>
        <v>Ja</v>
      </c>
      <c r="AQ68" s="121" t="str">
        <f>IFERROR(VLOOKUP($B68,Miljövärden!$B$2:$H$550,6,FALSE),"Nej, saknas")</f>
        <v>Nej</v>
      </c>
      <c r="AU68">
        <f t="shared" si="25"/>
        <v>0.13</v>
      </c>
      <c r="AV68">
        <f t="shared" si="26"/>
        <v>0</v>
      </c>
      <c r="AW68">
        <f t="shared" si="27"/>
        <v>4.47</v>
      </c>
      <c r="AX68">
        <f t="shared" si="28"/>
        <v>0</v>
      </c>
      <c r="AZ68">
        <f t="shared" si="29"/>
        <v>4.5999999999999996</v>
      </c>
      <c r="BC68">
        <f t="shared" si="30"/>
        <v>0</v>
      </c>
      <c r="BD68">
        <f t="shared" si="31"/>
        <v>0</v>
      </c>
      <c r="BE68">
        <f t="shared" si="32"/>
        <v>4.5999999999999996</v>
      </c>
      <c r="BF68">
        <f t="shared" si="33"/>
        <v>0</v>
      </c>
      <c r="BG68">
        <f t="shared" si="34"/>
        <v>0.13</v>
      </c>
      <c r="BH68">
        <f>VLOOKUP(B68,Miljö!$B$1:$BX$482,MATCH("Fossilandel för ursprungspecificerad el ()",Miljö!$B$1:$I$1,0),FALSE)</f>
        <v>0.43</v>
      </c>
      <c r="BI68">
        <f>VLOOKUP(B68,Miljö!$B$1:$BX$482,MATCH("Kärnkraftsandel för ursprungsspecificerad el ()",Miljö!$B$1:$O$1,0),FALSE)</f>
        <v>0.40550000000000003</v>
      </c>
      <c r="BJ68">
        <f t="shared" si="35"/>
        <v>0</v>
      </c>
      <c r="BK68" t="str">
        <f>VLOOKUP(B68,Miljö!$B$1:$O$482,MATCH("Fossil andel i procent (%)",Miljö!$B$1:$O$1,0),FALSE)</f>
        <v>ET</v>
      </c>
      <c r="BL68">
        <f t="shared" si="36"/>
        <v>4.7299999999999995</v>
      </c>
      <c r="BO68" s="18">
        <f t="shared" si="37"/>
        <v>1.181818181818182E-2</v>
      </c>
      <c r="BP68" s="18">
        <f t="shared" si="38"/>
        <v>1.1144820295983088E-2</v>
      </c>
      <c r="BQ68" s="18">
        <f t="shared" si="39"/>
        <v>0.9770369978858352</v>
      </c>
      <c r="BR68" s="18">
        <f t="shared" si="40"/>
        <v>0</v>
      </c>
      <c r="BT68" s="27">
        <f t="shared" si="41"/>
        <v>1</v>
      </c>
      <c r="BW68" s="18">
        <f>IF(AP68="ja",VLOOKUP(B68,Miljövärden!$B$2:$H$550,MATCH("Total andel fossilt",Miljövärden!$B$2:$H$2,0),FALSE),"")</f>
        <v>1.1818199999999999E-2</v>
      </c>
      <c r="BZ68" s="28">
        <f t="shared" si="42"/>
        <v>1.8181818179502374E-8</v>
      </c>
      <c r="CA68" s="28">
        <f t="shared" si="43"/>
        <v>0</v>
      </c>
    </row>
    <row r="69" spans="1:79" x14ac:dyDescent="0.25">
      <c r="A69" s="224" t="s">
        <v>279</v>
      </c>
      <c r="B69" s="210" t="s">
        <v>282</v>
      </c>
      <c r="C69" s="121">
        <f>VLOOKUP($B69,'Tillförd energi'!$B$1:$AI$720,MATCH(C$1,'Tillförd energi'!$B$1:$AQ$1,0),FALSE)</f>
        <v>0</v>
      </c>
      <c r="D69" s="121">
        <f>VLOOKUP($B69,'Tillförd energi'!$B$1:$AI$720,MATCH(D$1,'Tillförd energi'!$B$1:$AQ$1,0),FALSE)</f>
        <v>0</v>
      </c>
      <c r="E69" s="121">
        <f>VLOOKUP($B69,'Tillförd energi'!$B$1:$AI$720,MATCH(E$1,'Tillförd energi'!$B$1:$AQ$1,0),FALSE)</f>
        <v>0</v>
      </c>
      <c r="F69" s="121">
        <f>VLOOKUP($B69,'Tillförd energi'!$B$1:$AI$720,MATCH(F$1,'Tillförd energi'!$B$1:$AQ$1,0),FALSE)</f>
        <v>0</v>
      </c>
      <c r="G69" s="121">
        <f>VLOOKUP($B69,'Tillförd energi'!$B$1:$AI$720,MATCH(G$1,'Tillförd energi'!$B$1:$AQ$1,0),FALSE)</f>
        <v>0</v>
      </c>
      <c r="H69" s="121">
        <f>VLOOKUP($B69,'Tillförd energi'!$B$1:$AI$720,MATCH(H$1,'Tillförd energi'!$B$1:$AQ$1,0),FALSE)</f>
        <v>0</v>
      </c>
      <c r="I69" s="121">
        <f>VLOOKUP($B69,'Tillförd energi'!$B$1:$AI$720,MATCH(I$1,'Tillförd energi'!$B$1:$AQ$1,0),FALSE)</f>
        <v>0</v>
      </c>
      <c r="J69" s="121">
        <f>VLOOKUP($B69,'Tillförd energi'!$B$1:$AI$720,MATCH(J$1,'Tillförd energi'!$B$1:$AQ$1,0),FALSE)</f>
        <v>0</v>
      </c>
      <c r="K69" s="121">
        <f>VLOOKUP($B69,'Tillförd energi'!$B$1:$AI$720,MATCH(K$1,'Tillförd energi'!$B$1:$AQ$1,0),FALSE)</f>
        <v>0</v>
      </c>
      <c r="L69" s="121">
        <f>VLOOKUP($B69,'Tillförd energi'!$B$1:$AI$720,MATCH(L$1,'Tillförd energi'!$B$1:$AQ$1,0),FALSE)</f>
        <v>0</v>
      </c>
      <c r="M69" s="121">
        <f>VLOOKUP($B69,'Tillförd energi'!$B$1:$AI$720,MATCH(M$1,'Tillförd energi'!$B$1:$AQ$1,0),FALSE)</f>
        <v>7.04</v>
      </c>
      <c r="N69" s="121">
        <f>VLOOKUP($B69,'Tillförd energi'!$B$1:$AI$720,MATCH(N$1,'Tillförd energi'!$B$1:$AQ$1,0),FALSE)</f>
        <v>0</v>
      </c>
      <c r="O69" s="121">
        <f>VLOOKUP($B69,'Tillförd energi'!$B$1:$AI$720,MATCH(O$1,'Tillförd energi'!$B$1:$AQ$1,0),FALSE)</f>
        <v>7.04</v>
      </c>
      <c r="P69" s="121">
        <f>VLOOKUP($B69,'Tillförd energi'!$B$1:$AI$720,MATCH(P$1,'Tillförd energi'!$B$1:$AQ$1,0),FALSE)</f>
        <v>7.04</v>
      </c>
      <c r="Q69" s="121">
        <f>VLOOKUP($B69,'Tillförd energi'!$B$1:$AI$720,MATCH(Q$1,'Tillförd energi'!$B$1:$AQ$1,0),FALSE)</f>
        <v>0</v>
      </c>
      <c r="R69" s="121">
        <f>VLOOKUP($B69,'Tillförd energi'!$B$1:$AI$720,MATCH(R$1,'Tillförd energi'!$B$1:$AQ$1,0),FALSE)</f>
        <v>0</v>
      </c>
      <c r="S69" s="121">
        <f>VLOOKUP($B69,'Tillförd energi'!$B$1:$AI$720,MATCH(S$1,'Tillförd energi'!$B$1:$AQ$1,0),FALSE)</f>
        <v>0</v>
      </c>
      <c r="T69" s="121">
        <f>VLOOKUP($B69,'Tillförd energi'!$B$1:$AI$720,MATCH(T$1,'Tillförd energi'!$B$1:$AQ$1,0),FALSE)</f>
        <v>0</v>
      </c>
      <c r="U69" s="121">
        <f>VLOOKUP($B69,'Tillförd energi'!$B$1:$AI$720,MATCH(U$1,'Tillförd energi'!$B$1:$AQ$1,0),FALSE)</f>
        <v>0</v>
      </c>
      <c r="V69" s="121">
        <f>VLOOKUP($B69,'Tillförd energi'!$B$1:$AI$720,MATCH(V$1,'Tillförd energi'!$B$1:$AQ$1,0),FALSE)</f>
        <v>0</v>
      </c>
      <c r="W69" s="121">
        <f>VLOOKUP($B69,'Tillförd energi'!$B$1:$AI$720,MATCH(W$1,'Tillförd energi'!$B$1:$AQ$1,0),FALSE)</f>
        <v>0.15</v>
      </c>
      <c r="X69" s="121">
        <f>VLOOKUP($B69,'Tillförd energi'!$B$1:$AI$720,MATCH(X$1,'Tillförd energi'!$B$1:$AQ$1,0),FALSE)</f>
        <v>0</v>
      </c>
      <c r="Y69" s="121">
        <f>VLOOKUP($B69,'Tillförd energi'!$B$1:$AI$720,MATCH(Y$1,'Tillförd energi'!$B$1:$AQ$1,0),FALSE)</f>
        <v>0</v>
      </c>
      <c r="Z69" s="121">
        <f>VLOOKUP($B69,'Tillförd energi'!$B$1:$AI$720,MATCH(Z$1,'Tillförd energi'!$B$1:$AQ$1,0),FALSE)</f>
        <v>0</v>
      </c>
      <c r="AA69" s="121">
        <f>VLOOKUP($B69,'Tillförd energi'!$B$1:$AI$720,MATCH(AA$1,'Tillförd energi'!$B$1:$AQ$1,0),FALSE)</f>
        <v>0</v>
      </c>
      <c r="AB69" s="121">
        <f>VLOOKUP($B69,'Tillförd energi'!$B$1:$AI$720,MATCH(AB$1,'Tillförd energi'!$B$1:$AQ$1,0),FALSE)</f>
        <v>0</v>
      </c>
      <c r="AC69" s="121">
        <f>VLOOKUP($B69,'Tillförd energi'!$B$1:$AI$720,MATCH(AC$1,'Tillförd energi'!$B$1:$AQ$1,0),FALSE)</f>
        <v>0</v>
      </c>
      <c r="AD69" s="121">
        <f>VLOOKUP($B69,'Tillförd energi'!$B$1:$AI$720,MATCH(AD$1,'Tillförd energi'!$B$1:$AQ$1,0),FALSE)</f>
        <v>0</v>
      </c>
      <c r="AE69" s="121">
        <f>VLOOKUP($B69,'Tillförd energi'!$B$1:$AI$720,MATCH(AE$1,'Tillförd energi'!$B$1:$AQ$1,0),FALSE)</f>
        <v>0</v>
      </c>
      <c r="AF69" s="121">
        <f>VLOOKUP($B69,'Tillförd energi'!$B$1:$AI$720,MATCH(AF$1,'Tillförd energi'!$B$1:$AQ$1,0),FALSE)</f>
        <v>0.35</v>
      </c>
      <c r="AG69" s="121">
        <f>IFERROR(VLOOKUP(B69,Miljö!$B$1:$AC$550,MATCH("Köpt mängd produktionsspecifik fjärrvärme:",Miljö!$B$1:$AC$1,0),FALSE)/1,0)</f>
        <v>0</v>
      </c>
      <c r="AH69" s="121"/>
      <c r="AI69" s="121">
        <f t="shared" si="22"/>
        <v>21.62</v>
      </c>
      <c r="AJ69" s="121">
        <f t="shared" si="23"/>
        <v>21.62</v>
      </c>
      <c r="AK69" s="121">
        <f>IF(ISERROR(1/VLOOKUP($B69,Leveranser!$B$1:$S$499,MATCH("såld värme (gwh)",Leveranser!$B$1:$S$1,0),FALSE)),"",VLOOKUP($B69,Leveranser!$B$1:$S$499,MATCH("såld värme (gwh)",Leveranser!$B$1:$S$1,0),FALSE))</f>
        <v>14.026</v>
      </c>
      <c r="AL69" s="121">
        <f>VLOOKUP($B69,Leveranser!$B$1:$Y$499,MATCH("Totalt såld fjärrvärme till andra fjärrvärmeföretag",Leveranser!$B$1:$AA$1,0),FALSE)</f>
        <v>0</v>
      </c>
      <c r="AM69" s="121">
        <f>IF(ISERROR(1/VLOOKUP($B69,Miljö!$B$1:$S$500,MATCH("Såld mängd produktionsspecifik fjärrvärme (GWh)",Miljö!$B$1:$R$1,0),FALSE)),0,VLOOKUP($B69,Miljö!$B$1:$S$500,MATCH("Såld mängd produktionsspecifik fjärrvärme (GWh)",Miljö!$B$1:$R$1,0),FALSE))</f>
        <v>0</v>
      </c>
      <c r="AN69" s="172">
        <f t="shared" si="24"/>
        <v>0.6487511563367252</v>
      </c>
      <c r="AO69" s="121"/>
      <c r="AP69" s="121" t="str">
        <f>IFERROR(VLOOKUP($B69,Miljövärden!$B$2:$H$550,7,FALSE),"Nej, saknas")</f>
        <v>Ja</v>
      </c>
      <c r="AQ69" s="121" t="str">
        <f>IFERROR(VLOOKUP($B69,Miljövärden!$B$2:$H$550,6,FALSE),"Nej, saknas")</f>
        <v>Nej</v>
      </c>
      <c r="AU69">
        <f t="shared" si="25"/>
        <v>0.35</v>
      </c>
      <c r="AV69">
        <f t="shared" si="26"/>
        <v>0</v>
      </c>
      <c r="AW69">
        <f t="shared" si="27"/>
        <v>21.12</v>
      </c>
      <c r="AX69">
        <f t="shared" si="28"/>
        <v>0</v>
      </c>
      <c r="AZ69">
        <f t="shared" si="29"/>
        <v>21.27</v>
      </c>
      <c r="BC69">
        <f t="shared" si="30"/>
        <v>0</v>
      </c>
      <c r="BD69">
        <f t="shared" si="31"/>
        <v>0</v>
      </c>
      <c r="BE69">
        <f t="shared" si="32"/>
        <v>21.27</v>
      </c>
      <c r="BF69">
        <f t="shared" si="33"/>
        <v>0</v>
      </c>
      <c r="BG69">
        <f t="shared" si="34"/>
        <v>0.35</v>
      </c>
      <c r="BH69">
        <f>VLOOKUP(B69,Miljö!$B$1:$BX$482,MATCH("Fossilandel för ursprungspecificerad el ()",Miljö!$B$1:$I$1,0),FALSE)</f>
        <v>0.43</v>
      </c>
      <c r="BI69">
        <f>VLOOKUP(B69,Miljö!$B$1:$BX$482,MATCH("Kärnkraftsandel för ursprungsspecificerad el ()",Miljö!$B$1:$O$1,0),FALSE)</f>
        <v>0.40550000000000003</v>
      </c>
      <c r="BJ69">
        <f t="shared" si="35"/>
        <v>0</v>
      </c>
      <c r="BK69" t="str">
        <f>VLOOKUP(B69,Miljö!$B$1:$O$482,MATCH("Fossil andel i procent (%)",Miljö!$B$1:$O$1,0),FALSE)</f>
        <v>ET</v>
      </c>
      <c r="BL69">
        <f t="shared" si="36"/>
        <v>21.62</v>
      </c>
      <c r="BO69" s="18">
        <f t="shared" si="37"/>
        <v>6.9611470860314519E-3</v>
      </c>
      <c r="BP69" s="18">
        <f t="shared" si="38"/>
        <v>6.5645235892691943E-3</v>
      </c>
      <c r="BQ69" s="18">
        <f t="shared" si="39"/>
        <v>0.98647432932469925</v>
      </c>
      <c r="BR69" s="18">
        <f t="shared" si="40"/>
        <v>0</v>
      </c>
      <c r="BT69" s="27">
        <f t="shared" si="41"/>
        <v>0.99999999999999989</v>
      </c>
      <c r="BW69" s="18">
        <f>IF(AP69="ja",VLOOKUP(B69,Miljövärden!$B$2:$H$550,MATCH("Total andel fossilt",Miljövärden!$B$2:$H$2,0),FALSE),"")</f>
        <v>6.9611500000000002E-3</v>
      </c>
      <c r="BZ69" s="28">
        <f t="shared" si="42"/>
        <v>2.913968548227952E-9</v>
      </c>
      <c r="CA69" s="28">
        <f t="shared" si="43"/>
        <v>0</v>
      </c>
    </row>
    <row r="70" spans="1:79" x14ac:dyDescent="0.25">
      <c r="A70" s="224" t="s">
        <v>283</v>
      </c>
      <c r="B70" s="210" t="s">
        <v>284</v>
      </c>
      <c r="C70" s="121">
        <f>VLOOKUP($B70,'Tillförd energi'!$B$1:$AI$720,MATCH(C$1,'Tillförd energi'!$B$1:$AQ$1,0),FALSE)</f>
        <v>0</v>
      </c>
      <c r="D70" s="121">
        <f>VLOOKUP($B70,'Tillförd energi'!$B$1:$AI$720,MATCH(D$1,'Tillförd energi'!$B$1:$AQ$1,0),FALSE)</f>
        <v>0.93</v>
      </c>
      <c r="E70" s="121">
        <f>VLOOKUP($B70,'Tillförd energi'!$B$1:$AI$720,MATCH(E$1,'Tillförd energi'!$B$1:$AQ$1,0),FALSE)</f>
        <v>0</v>
      </c>
      <c r="F70" s="121">
        <f>VLOOKUP($B70,'Tillförd energi'!$B$1:$AI$720,MATCH(F$1,'Tillförd energi'!$B$1:$AQ$1,0),FALSE)</f>
        <v>0</v>
      </c>
      <c r="G70" s="121">
        <f>VLOOKUP($B70,'Tillförd energi'!$B$1:$AI$720,MATCH(G$1,'Tillförd energi'!$B$1:$AQ$1,0),FALSE)</f>
        <v>0</v>
      </c>
      <c r="H70" s="121">
        <f>VLOOKUP($B70,'Tillförd energi'!$B$1:$AI$720,MATCH(H$1,'Tillförd energi'!$B$1:$AQ$1,0),FALSE)</f>
        <v>0</v>
      </c>
      <c r="I70" s="121">
        <f>VLOOKUP($B70,'Tillförd energi'!$B$1:$AI$720,MATCH(I$1,'Tillförd energi'!$B$1:$AQ$1,0),FALSE)</f>
        <v>0</v>
      </c>
      <c r="J70" s="121">
        <f>VLOOKUP($B70,'Tillförd energi'!$B$1:$AI$720,MATCH(J$1,'Tillförd energi'!$B$1:$AQ$1,0),FALSE)</f>
        <v>0</v>
      </c>
      <c r="K70" s="121">
        <f>VLOOKUP($B70,'Tillförd energi'!$B$1:$AI$720,MATCH(K$1,'Tillförd energi'!$B$1:$AQ$1,0),FALSE)</f>
        <v>0</v>
      </c>
      <c r="L70" s="121">
        <f>VLOOKUP($B70,'Tillförd energi'!$B$1:$AI$720,MATCH(L$1,'Tillförd energi'!$B$1:$AQ$1,0),FALSE)</f>
        <v>0</v>
      </c>
      <c r="M70" s="121">
        <f>VLOOKUP($B70,'Tillförd energi'!$B$1:$AI$720,MATCH(M$1,'Tillförd energi'!$B$1:$AQ$1,0),FALSE)</f>
        <v>0</v>
      </c>
      <c r="N70" s="121">
        <f>VLOOKUP($B70,'Tillförd energi'!$B$1:$AI$720,MATCH(N$1,'Tillförd energi'!$B$1:$AQ$1,0),FALSE)</f>
        <v>0</v>
      </c>
      <c r="O70" s="121">
        <f>VLOOKUP($B70,'Tillförd energi'!$B$1:$AI$720,MATCH(O$1,'Tillförd energi'!$B$1:$AQ$1,0),FALSE)</f>
        <v>0</v>
      </c>
      <c r="P70" s="121">
        <f>VLOOKUP($B70,'Tillförd energi'!$B$1:$AI$720,MATCH(P$1,'Tillförd energi'!$B$1:$AQ$1,0),FALSE)</f>
        <v>0</v>
      </c>
      <c r="Q70" s="121">
        <f>VLOOKUP($B70,'Tillförd energi'!$B$1:$AI$720,MATCH(Q$1,'Tillförd energi'!$B$1:$AQ$1,0),FALSE)</f>
        <v>48.6</v>
      </c>
      <c r="R70" s="121">
        <f>VLOOKUP($B70,'Tillförd energi'!$B$1:$AI$720,MATCH(R$1,'Tillförd energi'!$B$1:$AQ$1,0),FALSE)</f>
        <v>4.5</v>
      </c>
      <c r="S70" s="121">
        <f>VLOOKUP($B70,'Tillförd energi'!$B$1:$AI$720,MATCH(S$1,'Tillförd energi'!$B$1:$AQ$1,0),FALSE)</f>
        <v>0</v>
      </c>
      <c r="T70" s="121">
        <f>VLOOKUP($B70,'Tillförd energi'!$B$1:$AI$720,MATCH(T$1,'Tillförd energi'!$B$1:$AQ$1,0),FALSE)</f>
        <v>0</v>
      </c>
      <c r="U70" s="121">
        <f>VLOOKUP($B70,'Tillförd energi'!$B$1:$AI$720,MATCH(U$1,'Tillförd energi'!$B$1:$AQ$1,0),FALSE)</f>
        <v>0</v>
      </c>
      <c r="V70" s="121">
        <f>VLOOKUP($B70,'Tillförd energi'!$B$1:$AI$720,MATCH(V$1,'Tillförd energi'!$B$1:$AQ$1,0),FALSE)</f>
        <v>0</v>
      </c>
      <c r="W70" s="121">
        <f>VLOOKUP($B70,'Tillförd energi'!$B$1:$AI$720,MATCH(W$1,'Tillförd energi'!$B$1:$AQ$1,0),FALSE)</f>
        <v>0</v>
      </c>
      <c r="X70" s="121">
        <f>VLOOKUP($B70,'Tillförd energi'!$B$1:$AI$720,MATCH(X$1,'Tillförd energi'!$B$1:$AQ$1,0),FALSE)</f>
        <v>0</v>
      </c>
      <c r="Y70" s="121">
        <f>VLOOKUP($B70,'Tillförd energi'!$B$1:$AI$720,MATCH(Y$1,'Tillförd energi'!$B$1:$AQ$1,0),FALSE)</f>
        <v>0</v>
      </c>
      <c r="Z70" s="121">
        <f>VLOOKUP($B70,'Tillförd energi'!$B$1:$AI$720,MATCH(Z$1,'Tillförd energi'!$B$1:$AQ$1,0),FALSE)</f>
        <v>0</v>
      </c>
      <c r="AA70" s="121">
        <f>VLOOKUP($B70,'Tillförd energi'!$B$1:$AI$720,MATCH(AA$1,'Tillförd energi'!$B$1:$AQ$1,0),FALSE)</f>
        <v>0</v>
      </c>
      <c r="AB70" s="121">
        <f>VLOOKUP($B70,'Tillförd energi'!$B$1:$AI$720,MATCH(AB$1,'Tillförd energi'!$B$1:$AQ$1,0),FALSE)</f>
        <v>0</v>
      </c>
      <c r="AC70" s="121">
        <f>VLOOKUP($B70,'Tillförd energi'!$B$1:$AI$720,MATCH(AC$1,'Tillförd energi'!$B$1:$AQ$1,0),FALSE)</f>
        <v>8.5</v>
      </c>
      <c r="AD70" s="121">
        <f>VLOOKUP($B70,'Tillförd energi'!$B$1:$AI$720,MATCH(AD$1,'Tillförd energi'!$B$1:$AQ$1,0),FALSE)</f>
        <v>0</v>
      </c>
      <c r="AE70" s="121">
        <f>VLOOKUP($B70,'Tillförd energi'!$B$1:$AI$720,MATCH(AE$1,'Tillförd energi'!$B$1:$AQ$1,0),FALSE)</f>
        <v>0</v>
      </c>
      <c r="AF70" s="121">
        <f>VLOOKUP($B70,'Tillförd energi'!$B$1:$AI$720,MATCH(AF$1,'Tillförd energi'!$B$1:$AQ$1,0),FALSE)</f>
        <v>1.59</v>
      </c>
      <c r="AG70" s="121">
        <f>IFERROR(VLOOKUP(B70,Miljö!$B$1:$AC$550,MATCH("Köpt mängd produktionsspecifik fjärrvärme:",Miljö!$B$1:$AC$1,0),FALSE)/1,0)</f>
        <v>0</v>
      </c>
      <c r="AH70" s="121"/>
      <c r="AI70" s="121">
        <f t="shared" si="22"/>
        <v>64.12</v>
      </c>
      <c r="AJ70" s="121">
        <f t="shared" si="23"/>
        <v>64.12</v>
      </c>
      <c r="AK70" s="121">
        <f>IF(ISERROR(1/VLOOKUP($B70,Leveranser!$B$1:$S$499,MATCH("såld värme (gwh)",Leveranser!$B$1:$S$1,0),FALSE)),"",VLOOKUP($B70,Leveranser!$B$1:$S$499,MATCH("såld värme (gwh)",Leveranser!$B$1:$S$1,0),FALSE))</f>
        <v>46.8</v>
      </c>
      <c r="AL70" s="121">
        <f>VLOOKUP($B70,Leveranser!$B$1:$Y$499,MATCH("Totalt såld fjärrvärme till andra fjärrvärmeföretag",Leveranser!$B$1:$AA$1,0),FALSE)</f>
        <v>0</v>
      </c>
      <c r="AM70" s="121">
        <f>IF(ISERROR(1/VLOOKUP($B70,Miljö!$B$1:$S$500,MATCH("Såld mängd produktionsspecifik fjärrvärme (GWh)",Miljö!$B$1:$R$1,0),FALSE)),0,VLOOKUP($B70,Miljö!$B$1:$S$500,MATCH("Såld mängd produktionsspecifik fjärrvärme (GWh)",Miljö!$B$1:$R$1,0),FALSE))</f>
        <v>0</v>
      </c>
      <c r="AN70" s="172">
        <f t="shared" si="24"/>
        <v>0.7298814722395508</v>
      </c>
      <c r="AO70" s="121"/>
      <c r="AP70" s="121" t="str">
        <f>IFERROR(VLOOKUP($B70,Miljövärden!$B$2:$H$550,7,FALSE),"Nej, saknas")</f>
        <v>Ja</v>
      </c>
      <c r="AQ70" s="121" t="str">
        <f>IFERROR(VLOOKUP($B70,Miljövärden!$B$2:$H$550,6,FALSE),"Nej, saknas")</f>
        <v>Ja</v>
      </c>
      <c r="AU70">
        <f t="shared" si="25"/>
        <v>1.59</v>
      </c>
      <c r="AV70">
        <f t="shared" si="26"/>
        <v>0</v>
      </c>
      <c r="AW70">
        <f t="shared" si="27"/>
        <v>48.6</v>
      </c>
      <c r="AX70">
        <f t="shared" si="28"/>
        <v>4.5</v>
      </c>
      <c r="AZ70">
        <f t="shared" si="29"/>
        <v>53.1</v>
      </c>
      <c r="BC70">
        <f t="shared" si="30"/>
        <v>0.93</v>
      </c>
      <c r="BD70">
        <f t="shared" si="31"/>
        <v>0</v>
      </c>
      <c r="BE70">
        <f t="shared" si="32"/>
        <v>53.1</v>
      </c>
      <c r="BF70">
        <f t="shared" si="33"/>
        <v>8.5</v>
      </c>
      <c r="BG70">
        <f t="shared" si="34"/>
        <v>1.59</v>
      </c>
      <c r="BH70">
        <f>VLOOKUP(B70,Miljö!$B$1:$BX$482,MATCH("Fossilandel för ursprungspecificerad el ()",Miljö!$B$1:$I$1,0),FALSE)</f>
        <v>0</v>
      </c>
      <c r="BI70">
        <f>VLOOKUP(B70,Miljö!$B$1:$BX$482,MATCH("Kärnkraftsandel för ursprungsspecificerad el ()",Miljö!$B$1:$O$1,0),FALSE)</f>
        <v>0</v>
      </c>
      <c r="BJ70">
        <f t="shared" si="35"/>
        <v>0</v>
      </c>
      <c r="BK70" t="str">
        <f>VLOOKUP(B70,Miljö!$B$1:$O$482,MATCH("Fossil andel i procent (%)",Miljö!$B$1:$O$1,0),FALSE)</f>
        <v>ET</v>
      </c>
      <c r="BL70">
        <f t="shared" si="36"/>
        <v>64.12</v>
      </c>
      <c r="BO70" s="18">
        <f t="shared" si="37"/>
        <v>1.4504054897067997E-2</v>
      </c>
      <c r="BP70" s="18">
        <f t="shared" si="38"/>
        <v>0</v>
      </c>
      <c r="BQ70" s="18">
        <f t="shared" si="39"/>
        <v>0.85293200249532131</v>
      </c>
      <c r="BR70" s="18">
        <f t="shared" si="40"/>
        <v>0.13256394260761073</v>
      </c>
      <c r="BT70" s="27">
        <f t="shared" si="41"/>
        <v>1</v>
      </c>
      <c r="BW70" s="18">
        <f>IF(AP70="ja",VLOOKUP(B70,Miljövärden!$B$2:$H$550,MATCH("Total andel fossilt",Miljövärden!$B$2:$H$2,0),FALSE),"")</f>
        <v>1.4504100000000001E-2</v>
      </c>
      <c r="BZ70" s="28">
        <f t="shared" si="42"/>
        <v>4.5102932003798779E-8</v>
      </c>
      <c r="CA70" s="28">
        <f t="shared" si="43"/>
        <v>0</v>
      </c>
    </row>
    <row r="71" spans="1:79" x14ac:dyDescent="0.25">
      <c r="A71" s="224" t="s">
        <v>285</v>
      </c>
      <c r="B71" s="210" t="s">
        <v>286</v>
      </c>
      <c r="C71" s="121">
        <f>VLOOKUP($B71,'Tillförd energi'!$B$1:$AI$720,MATCH(C$1,'Tillförd energi'!$B$1:$AQ$1,0),FALSE)</f>
        <v>0</v>
      </c>
      <c r="D71" s="121">
        <f>VLOOKUP($B71,'Tillförd energi'!$B$1:$AI$720,MATCH(D$1,'Tillförd energi'!$B$1:$AQ$1,0),FALSE)</f>
        <v>1.0649900000000001</v>
      </c>
      <c r="E71" s="121">
        <f>VLOOKUP($B71,'Tillförd energi'!$B$1:$AI$720,MATCH(E$1,'Tillförd energi'!$B$1:$AQ$1,0),FALSE)</f>
        <v>2.5</v>
      </c>
      <c r="F71" s="121">
        <f>VLOOKUP($B71,'Tillförd energi'!$B$1:$AI$720,MATCH(F$1,'Tillförd energi'!$B$1:$AQ$1,0),FALSE)</f>
        <v>0</v>
      </c>
      <c r="G71" s="121">
        <f>VLOOKUP($B71,'Tillförd energi'!$B$1:$AI$720,MATCH(G$1,'Tillförd energi'!$B$1:$AQ$1,0),FALSE)</f>
        <v>0</v>
      </c>
      <c r="H71" s="121">
        <f>VLOOKUP($B71,'Tillförd energi'!$B$1:$AI$720,MATCH(H$1,'Tillförd energi'!$B$1:$AQ$1,0),FALSE)</f>
        <v>0</v>
      </c>
      <c r="I71" s="121">
        <f>VLOOKUP($B71,'Tillförd energi'!$B$1:$AI$720,MATCH(I$1,'Tillförd energi'!$B$1:$AQ$1,0),FALSE)</f>
        <v>0</v>
      </c>
      <c r="J71" s="121">
        <f>VLOOKUP($B71,'Tillförd energi'!$B$1:$AI$720,MATCH(J$1,'Tillförd energi'!$B$1:$AQ$1,0),FALSE)</f>
        <v>2.6</v>
      </c>
      <c r="K71" s="121">
        <f>VLOOKUP($B71,'Tillförd energi'!$B$1:$AI$720,MATCH(K$1,'Tillförd energi'!$B$1:$AQ$1,0),FALSE)</f>
        <v>0</v>
      </c>
      <c r="L71" s="121">
        <f>VLOOKUP($B71,'Tillförd energi'!$B$1:$AI$720,MATCH(L$1,'Tillförd energi'!$B$1:$AQ$1,0),FALSE)</f>
        <v>155.62200000000001</v>
      </c>
      <c r="M71" s="121">
        <f>VLOOKUP($B71,'Tillförd energi'!$B$1:$AI$720,MATCH(M$1,'Tillförd energi'!$B$1:$AQ$1,0),FALSE)</f>
        <v>0</v>
      </c>
      <c r="N71" s="121">
        <f>VLOOKUP($B71,'Tillförd energi'!$B$1:$AI$720,MATCH(N$1,'Tillförd energi'!$B$1:$AQ$1,0),FALSE)</f>
        <v>21.702300000000001</v>
      </c>
      <c r="O71" s="121">
        <f>VLOOKUP($B71,'Tillförd energi'!$B$1:$AI$720,MATCH(O$1,'Tillförd energi'!$B$1:$AQ$1,0),FALSE)</f>
        <v>0</v>
      </c>
      <c r="P71" s="121">
        <f>VLOOKUP($B71,'Tillförd energi'!$B$1:$AI$720,MATCH(P$1,'Tillförd energi'!$B$1:$AQ$1,0),FALSE)</f>
        <v>6.3518999999999997</v>
      </c>
      <c r="Q71" s="121">
        <f>VLOOKUP($B71,'Tillförd energi'!$B$1:$AI$720,MATCH(Q$1,'Tillförd energi'!$B$1:$AQ$1,0),FALSE)</f>
        <v>0</v>
      </c>
      <c r="R71" s="121">
        <f>VLOOKUP($B71,'Tillförd energi'!$B$1:$AI$720,MATCH(R$1,'Tillförd energi'!$B$1:$AQ$1,0),FALSE)</f>
        <v>34</v>
      </c>
      <c r="S71" s="121">
        <f>VLOOKUP($B71,'Tillförd energi'!$B$1:$AI$720,MATCH(S$1,'Tillförd energi'!$B$1:$AQ$1,0),FALSE)</f>
        <v>0</v>
      </c>
      <c r="T71" s="121">
        <f>VLOOKUP($B71,'Tillförd energi'!$B$1:$AI$720,MATCH(T$1,'Tillförd energi'!$B$1:$AQ$1,0),FALSE)</f>
        <v>0</v>
      </c>
      <c r="U71" s="121">
        <f>VLOOKUP($B71,'Tillförd energi'!$B$1:$AI$720,MATCH(U$1,'Tillförd energi'!$B$1:$AQ$1,0),FALSE)</f>
        <v>0</v>
      </c>
      <c r="V71" s="121">
        <f>VLOOKUP($B71,'Tillförd energi'!$B$1:$AI$720,MATCH(V$1,'Tillförd energi'!$B$1:$AQ$1,0),FALSE)</f>
        <v>0</v>
      </c>
      <c r="W71" s="121">
        <f>VLOOKUP($B71,'Tillförd energi'!$B$1:$AI$720,MATCH(W$1,'Tillförd energi'!$B$1:$AQ$1,0),FALSE)</f>
        <v>0</v>
      </c>
      <c r="X71" s="121">
        <f>VLOOKUP($B71,'Tillförd energi'!$B$1:$AI$720,MATCH(X$1,'Tillförd energi'!$B$1:$AQ$1,0),FALSE)</f>
        <v>0</v>
      </c>
      <c r="Y71" s="121">
        <f>VLOOKUP($B71,'Tillförd energi'!$B$1:$AI$720,MATCH(Y$1,'Tillförd energi'!$B$1:$AQ$1,0),FALSE)</f>
        <v>0</v>
      </c>
      <c r="Z71" s="121">
        <f>VLOOKUP($B71,'Tillförd energi'!$B$1:$AI$720,MATCH(Z$1,'Tillförd energi'!$B$1:$AQ$1,0),FALSE)</f>
        <v>4.5</v>
      </c>
      <c r="AA71" s="121">
        <f>VLOOKUP($B71,'Tillförd energi'!$B$1:$AI$720,MATCH(AA$1,'Tillförd energi'!$B$1:$AQ$1,0),FALSE)</f>
        <v>0</v>
      </c>
      <c r="AB71" s="121">
        <f>VLOOKUP($B71,'Tillförd energi'!$B$1:$AI$720,MATCH(AB$1,'Tillförd energi'!$B$1:$AQ$1,0),FALSE)</f>
        <v>0</v>
      </c>
      <c r="AC71" s="121">
        <f>VLOOKUP($B71,'Tillförd energi'!$B$1:$AI$720,MATCH(AC$1,'Tillförd energi'!$B$1:$AQ$1,0),FALSE)</f>
        <v>22.6</v>
      </c>
      <c r="AD71" s="121">
        <f>VLOOKUP($B71,'Tillförd energi'!$B$1:$AI$720,MATCH(AD$1,'Tillförd energi'!$B$1:$AQ$1,0),FALSE)</f>
        <v>0</v>
      </c>
      <c r="AE71" s="121">
        <f>VLOOKUP($B71,'Tillförd energi'!$B$1:$AI$720,MATCH(AE$1,'Tillförd energi'!$B$1:$AQ$1,0),FALSE)</f>
        <v>0</v>
      </c>
      <c r="AF71" s="121">
        <f>VLOOKUP($B71,'Tillförd energi'!$B$1:$AI$720,MATCH(AF$1,'Tillförd energi'!$B$1:$AQ$1,0),FALSE)</f>
        <v>13.784599999999999</v>
      </c>
      <c r="AG71" s="121">
        <f>IFERROR(VLOOKUP(B71,Miljö!$B$1:$AC$550,MATCH("Köpt mängd produktionsspecifik fjärrvärme:",Miljö!$B$1:$AC$1,0),FALSE)/1,0)</f>
        <v>0</v>
      </c>
      <c r="AH71" s="121"/>
      <c r="AI71" s="121">
        <f t="shared" si="22"/>
        <v>264.72579000000002</v>
      </c>
      <c r="AJ71" s="121">
        <f t="shared" si="23"/>
        <v>264.72579000000002</v>
      </c>
      <c r="AK71" s="121">
        <f>IF(ISERROR(1/VLOOKUP($B71,Leveranser!$B$1:$S$499,MATCH("såld värme (gwh)",Leveranser!$B$1:$S$1,0),FALSE)),"",VLOOKUP($B71,Leveranser!$B$1:$S$499,MATCH("såld värme (gwh)",Leveranser!$B$1:$S$1,0),FALSE))</f>
        <v>213</v>
      </c>
      <c r="AL71" s="121">
        <f>VLOOKUP($B71,Leveranser!$B$1:$Y$499,MATCH("Totalt såld fjärrvärme till andra fjärrvärmeföretag",Leveranser!$B$1:$AA$1,0),FALSE)</f>
        <v>0</v>
      </c>
      <c r="AM71" s="121">
        <f>IF(ISERROR(1/VLOOKUP($B71,Miljö!$B$1:$S$500,MATCH("Såld mängd produktionsspecifik fjärrvärme (GWh)",Miljö!$B$1:$R$1,0),FALSE)),0,VLOOKUP($B71,Miljö!$B$1:$S$500,MATCH("Såld mängd produktionsspecifik fjärrvärme (GWh)",Miljö!$B$1:$R$1,0),FALSE))</f>
        <v>0</v>
      </c>
      <c r="AN71" s="172">
        <f t="shared" si="24"/>
        <v>0.80460615491977561</v>
      </c>
      <c r="AO71" s="121"/>
      <c r="AP71" s="121" t="str">
        <f>IFERROR(VLOOKUP($B71,Miljövärden!$B$2:$H$550,7,FALSE),"Nej, saknas")</f>
        <v>Ja</v>
      </c>
      <c r="AQ71" s="121" t="str">
        <f>IFERROR(VLOOKUP($B71,Miljövärden!$B$2:$H$550,6,FALSE),"Nej, saknas")</f>
        <v>Nej</v>
      </c>
      <c r="AU71">
        <f t="shared" si="25"/>
        <v>18.284599999999998</v>
      </c>
      <c r="AV71">
        <f t="shared" si="26"/>
        <v>0</v>
      </c>
      <c r="AW71">
        <f t="shared" si="27"/>
        <v>28.054200000000002</v>
      </c>
      <c r="AX71">
        <f t="shared" si="28"/>
        <v>34</v>
      </c>
      <c r="AZ71">
        <f t="shared" si="29"/>
        <v>217.67620000000002</v>
      </c>
      <c r="BC71">
        <f t="shared" si="30"/>
        <v>3.5649899999999999</v>
      </c>
      <c r="BD71">
        <f t="shared" si="31"/>
        <v>0</v>
      </c>
      <c r="BE71">
        <f t="shared" si="32"/>
        <v>62.054200000000002</v>
      </c>
      <c r="BF71">
        <f t="shared" si="33"/>
        <v>180.822</v>
      </c>
      <c r="BG71">
        <f t="shared" si="34"/>
        <v>18.284599999999998</v>
      </c>
      <c r="BH71">
        <f>VLOOKUP(B71,Miljö!$B$1:$BX$482,MATCH("Fossilandel för ursprungspecificerad el ()",Miljö!$B$1:$I$1,0),FALSE)</f>
        <v>0.5</v>
      </c>
      <c r="BI71">
        <f>VLOOKUP(B71,Miljö!$B$1:$BX$482,MATCH("Kärnkraftsandel för ursprungsspecificerad el ()",Miljö!$B$1:$O$1,0),FALSE)</f>
        <v>0</v>
      </c>
      <c r="BJ71">
        <f t="shared" si="35"/>
        <v>0</v>
      </c>
      <c r="BK71" t="str">
        <f>VLOOKUP(B71,Miljö!$B$1:$O$482,MATCH("Fossil andel i procent (%)",Miljö!$B$1:$O$1,0),FALSE)</f>
        <v>ET</v>
      </c>
      <c r="BL71">
        <f t="shared" si="36"/>
        <v>264.72579000000002</v>
      </c>
      <c r="BO71" s="18">
        <f t="shared" si="37"/>
        <v>4.8001707729345137E-2</v>
      </c>
      <c r="BP71" s="18">
        <f t="shared" si="38"/>
        <v>0</v>
      </c>
      <c r="BQ71" s="18">
        <f t="shared" si="39"/>
        <v>0.26894432914904132</v>
      </c>
      <c r="BR71" s="18">
        <f t="shared" si="40"/>
        <v>0.68305396312161348</v>
      </c>
      <c r="BT71" s="27">
        <f t="shared" si="41"/>
        <v>1</v>
      </c>
      <c r="BW71" s="18">
        <f>IF(AP71="ja",VLOOKUP(B71,Miljövärden!$B$2:$H$550,MATCH("Total andel fossilt",Miljövärden!$B$2:$H$2,0),FALSE),"")</f>
        <v>4.8001700000000001E-2</v>
      </c>
      <c r="BZ71" s="28">
        <f t="shared" si="42"/>
        <v>-7.7293451361537535E-9</v>
      </c>
      <c r="CA71" s="28">
        <f t="shared" si="43"/>
        <v>0</v>
      </c>
    </row>
    <row r="72" spans="1:79" x14ac:dyDescent="0.25">
      <c r="A72" s="224" t="s">
        <v>289</v>
      </c>
      <c r="B72" s="210" t="s">
        <v>290</v>
      </c>
      <c r="C72" s="121">
        <f>VLOOKUP($B72,'Tillförd energi'!$B$1:$AI$720,MATCH(C$1,'Tillförd energi'!$B$1:$AQ$1,0),FALSE)</f>
        <v>0</v>
      </c>
      <c r="D72" s="121">
        <f>VLOOKUP($B72,'Tillförd energi'!$B$1:$AI$720,MATCH(D$1,'Tillförd energi'!$B$1:$AQ$1,0),FALSE)</f>
        <v>1.8466499999999999</v>
      </c>
      <c r="E72" s="121">
        <f>VLOOKUP($B72,'Tillförd energi'!$B$1:$AI$720,MATCH(E$1,'Tillförd energi'!$B$1:$AQ$1,0),FALSE)</f>
        <v>0</v>
      </c>
      <c r="F72" s="121">
        <f>VLOOKUP($B72,'Tillförd energi'!$B$1:$AI$720,MATCH(F$1,'Tillförd energi'!$B$1:$AQ$1,0),FALSE)</f>
        <v>2.629</v>
      </c>
      <c r="G72" s="121">
        <f>VLOOKUP($B72,'Tillförd energi'!$B$1:$AI$720,MATCH(G$1,'Tillförd energi'!$B$1:$AQ$1,0),FALSE)</f>
        <v>0</v>
      </c>
      <c r="H72" s="121">
        <f>VLOOKUP($B72,'Tillförd energi'!$B$1:$AI$720,MATCH(H$1,'Tillförd energi'!$B$1:$AQ$1,0),FALSE)</f>
        <v>0</v>
      </c>
      <c r="I72" s="121">
        <f>VLOOKUP($B72,'Tillförd energi'!$B$1:$AI$720,MATCH(I$1,'Tillförd energi'!$B$1:$AQ$1,0),FALSE)</f>
        <v>0</v>
      </c>
      <c r="J72" s="121">
        <f>VLOOKUP($B72,'Tillförd energi'!$B$1:$AI$720,MATCH(J$1,'Tillförd energi'!$B$1:$AQ$1,0),FALSE)</f>
        <v>0</v>
      </c>
      <c r="K72" s="121">
        <f>VLOOKUP($B72,'Tillförd energi'!$B$1:$AI$720,MATCH(K$1,'Tillförd energi'!$B$1:$AQ$1,0),FALSE)</f>
        <v>0</v>
      </c>
      <c r="L72" s="121">
        <f>VLOOKUP($B72,'Tillförd energi'!$B$1:$AI$720,MATCH(L$1,'Tillförd energi'!$B$1:$AQ$1,0),FALSE)</f>
        <v>0</v>
      </c>
      <c r="M72" s="121">
        <f>VLOOKUP($B72,'Tillförd energi'!$B$1:$AI$720,MATCH(M$1,'Tillförd energi'!$B$1:$AQ$1,0),FALSE)</f>
        <v>159.77099999999999</v>
      </c>
      <c r="N72" s="121">
        <f>VLOOKUP($B72,'Tillförd energi'!$B$1:$AI$720,MATCH(N$1,'Tillförd energi'!$B$1:$AQ$1,0),FALSE)</f>
        <v>389.47</v>
      </c>
      <c r="O72" s="121">
        <f>VLOOKUP($B72,'Tillförd energi'!$B$1:$AI$720,MATCH(O$1,'Tillförd energi'!$B$1:$AQ$1,0),FALSE)</f>
        <v>0</v>
      </c>
      <c r="P72" s="121">
        <f>VLOOKUP($B72,'Tillförd energi'!$B$1:$AI$720,MATCH(P$1,'Tillförd energi'!$B$1:$AQ$1,0),FALSE)</f>
        <v>0</v>
      </c>
      <c r="Q72" s="121">
        <f>VLOOKUP($B72,'Tillförd energi'!$B$1:$AI$720,MATCH(Q$1,'Tillförd energi'!$B$1:$AQ$1,0),FALSE)</f>
        <v>0</v>
      </c>
      <c r="R72" s="121">
        <f>VLOOKUP($B72,'Tillförd energi'!$B$1:$AI$720,MATCH(R$1,'Tillförd energi'!$B$1:$AQ$1,0),FALSE)</f>
        <v>0</v>
      </c>
      <c r="S72" s="121">
        <f>VLOOKUP($B72,'Tillförd energi'!$B$1:$AI$720,MATCH(S$1,'Tillförd energi'!$B$1:$AQ$1,0),FALSE)</f>
        <v>0</v>
      </c>
      <c r="T72" s="121">
        <f>VLOOKUP($B72,'Tillförd energi'!$B$1:$AI$720,MATCH(T$1,'Tillförd energi'!$B$1:$AQ$1,0),FALSE)</f>
        <v>0</v>
      </c>
      <c r="U72" s="121">
        <f>VLOOKUP($B72,'Tillförd energi'!$B$1:$AI$720,MATCH(U$1,'Tillförd energi'!$B$1:$AQ$1,0),FALSE)</f>
        <v>0</v>
      </c>
      <c r="V72" s="121">
        <f>VLOOKUP($B72,'Tillförd energi'!$B$1:$AI$720,MATCH(V$1,'Tillförd energi'!$B$1:$AQ$1,0),FALSE)</f>
        <v>0</v>
      </c>
      <c r="W72" s="121">
        <f>VLOOKUP($B72,'Tillförd energi'!$B$1:$AI$720,MATCH(W$1,'Tillförd energi'!$B$1:$AQ$1,0),FALSE)</f>
        <v>14.686999999999999</v>
      </c>
      <c r="X72" s="121">
        <f>VLOOKUP($B72,'Tillförd energi'!$B$1:$AI$720,MATCH(X$1,'Tillförd energi'!$B$1:$AQ$1,0),FALSE)</f>
        <v>0</v>
      </c>
      <c r="Y72" s="121">
        <f>VLOOKUP($B72,'Tillförd energi'!$B$1:$AI$720,MATCH(Y$1,'Tillförd energi'!$B$1:$AQ$1,0),FALSE)</f>
        <v>0</v>
      </c>
      <c r="Z72" s="121">
        <f>VLOOKUP($B72,'Tillförd energi'!$B$1:$AI$720,MATCH(Z$1,'Tillförd energi'!$B$1:$AQ$1,0),FALSE)</f>
        <v>0</v>
      </c>
      <c r="AA72" s="121">
        <f>VLOOKUP($B72,'Tillförd energi'!$B$1:$AI$720,MATCH(AA$1,'Tillförd energi'!$B$1:$AQ$1,0),FALSE)</f>
        <v>0</v>
      </c>
      <c r="AB72" s="121">
        <f>VLOOKUP($B72,'Tillförd energi'!$B$1:$AI$720,MATCH(AB$1,'Tillförd energi'!$B$1:$AQ$1,0),FALSE)</f>
        <v>0</v>
      </c>
      <c r="AC72" s="121">
        <f>VLOOKUP($B72,'Tillförd energi'!$B$1:$AI$720,MATCH(AC$1,'Tillförd energi'!$B$1:$AQ$1,0),FALSE)</f>
        <v>138.559</v>
      </c>
      <c r="AD72" s="121">
        <f>VLOOKUP($B72,'Tillförd energi'!$B$1:$AI$720,MATCH(AD$1,'Tillförd energi'!$B$1:$AQ$1,0),FALSE)</f>
        <v>0</v>
      </c>
      <c r="AE72" s="121">
        <f>VLOOKUP($B72,'Tillförd energi'!$B$1:$AI$720,MATCH(AE$1,'Tillförd energi'!$B$1:$AQ$1,0),FALSE)</f>
        <v>0</v>
      </c>
      <c r="AF72" s="121">
        <f>VLOOKUP($B72,'Tillförd energi'!$B$1:$AI$720,MATCH(AF$1,'Tillförd energi'!$B$1:$AQ$1,0),FALSE)</f>
        <v>24.9635</v>
      </c>
      <c r="AG72" s="121">
        <f>IFERROR(VLOOKUP(B72,Miljö!$B$1:$AC$550,MATCH("Köpt mängd produktionsspecifik fjärrvärme:",Miljö!$B$1:$AC$1,0),FALSE)/1,0)</f>
        <v>0</v>
      </c>
      <c r="AH72" s="121"/>
      <c r="AI72" s="121">
        <f t="shared" si="22"/>
        <v>731.92615000000001</v>
      </c>
      <c r="AJ72" s="121">
        <f t="shared" si="23"/>
        <v>731.92615000000001</v>
      </c>
      <c r="AK72" s="121">
        <f>IF(ISERROR(1/VLOOKUP($B72,Leveranser!$B$1:$S$499,MATCH("såld värme (gwh)",Leveranser!$B$1:$S$1,0),FALSE)),"",VLOOKUP($B72,Leveranser!$B$1:$S$499,MATCH("såld värme (gwh)",Leveranser!$B$1:$S$1,0),FALSE))</f>
        <v>628.12400000000002</v>
      </c>
      <c r="AL72" s="121">
        <f>VLOOKUP($B72,Leveranser!$B$1:$Y$499,MATCH("Totalt såld fjärrvärme till andra fjärrvärmeföretag",Leveranser!$B$1:$AA$1,0),FALSE)</f>
        <v>0</v>
      </c>
      <c r="AM72" s="121">
        <f>IF(ISERROR(1/VLOOKUP($B72,Miljö!$B$1:$S$500,MATCH("Såld mängd produktionsspecifik fjärrvärme (GWh)",Miljö!$B$1:$R$1,0),FALSE)),0,VLOOKUP($B72,Miljö!$B$1:$S$500,MATCH("Såld mängd produktionsspecifik fjärrvärme (GWh)",Miljö!$B$1:$R$1,0),FALSE))</f>
        <v>0</v>
      </c>
      <c r="AN72" s="172">
        <f t="shared" si="24"/>
        <v>0.85817947616709689</v>
      </c>
      <c r="AO72" s="121"/>
      <c r="AP72" s="121" t="str">
        <f>IFERROR(VLOOKUP($B72,Miljövärden!$B$2:$H$550,7,FALSE),"Nej, saknas")</f>
        <v>Ja</v>
      </c>
      <c r="AQ72" s="121" t="str">
        <f>IFERROR(VLOOKUP($B72,Miljövärden!$B$2:$H$550,6,FALSE),"Nej, saknas")</f>
        <v>Nej</v>
      </c>
      <c r="AU72">
        <f t="shared" si="25"/>
        <v>24.9635</v>
      </c>
      <c r="AV72">
        <f t="shared" si="26"/>
        <v>0</v>
      </c>
      <c r="AW72">
        <f t="shared" si="27"/>
        <v>549.24099999999999</v>
      </c>
      <c r="AX72">
        <f t="shared" si="28"/>
        <v>0</v>
      </c>
      <c r="AZ72">
        <f t="shared" si="29"/>
        <v>563.928</v>
      </c>
      <c r="BC72">
        <f t="shared" si="30"/>
        <v>4.4756499999999999</v>
      </c>
      <c r="BD72">
        <f t="shared" si="31"/>
        <v>0</v>
      </c>
      <c r="BE72">
        <f t="shared" si="32"/>
        <v>563.928</v>
      </c>
      <c r="BF72">
        <f t="shared" si="33"/>
        <v>138.559</v>
      </c>
      <c r="BG72">
        <f t="shared" si="34"/>
        <v>24.9635</v>
      </c>
      <c r="BH72">
        <f>VLOOKUP(B72,Miljö!$B$1:$BX$482,MATCH("Fossilandel för ursprungspecificerad el ()",Miljö!$B$1:$I$1,0),FALSE)</f>
        <v>0</v>
      </c>
      <c r="BI72">
        <f>VLOOKUP(B72,Miljö!$B$1:$BX$482,MATCH("Kärnkraftsandel för ursprungsspecificerad el ()",Miljö!$B$1:$O$1,0),FALSE)</f>
        <v>0</v>
      </c>
      <c r="BJ72">
        <f t="shared" si="35"/>
        <v>0</v>
      </c>
      <c r="BK72" t="str">
        <f>VLOOKUP(B72,Miljö!$B$1:$O$482,MATCH("Fossil andel i procent (%)",Miljö!$B$1:$O$1,0),FALSE)</f>
        <v>ET</v>
      </c>
      <c r="BL72">
        <f t="shared" si="36"/>
        <v>731.92614999999989</v>
      </c>
      <c r="BO72" s="18">
        <f t="shared" si="37"/>
        <v>6.1148928754629142E-3</v>
      </c>
      <c r="BP72" s="18">
        <f t="shared" si="38"/>
        <v>0</v>
      </c>
      <c r="BQ72" s="18">
        <f t="shared" si="39"/>
        <v>0.80457775692260758</v>
      </c>
      <c r="BR72" s="18">
        <f t="shared" si="40"/>
        <v>0.18930735020192954</v>
      </c>
      <c r="BT72" s="27">
        <f t="shared" si="41"/>
        <v>1</v>
      </c>
      <c r="BW72" s="18">
        <f>IF(AP72="ja",VLOOKUP(B72,Miljövärden!$B$2:$H$550,MATCH("Total andel fossilt",Miljövärden!$B$2:$H$2,0),FALSE),"")</f>
        <v>6.1148900000000004E-3</v>
      </c>
      <c r="BZ72" s="28">
        <f t="shared" si="42"/>
        <v>-2.8754629137831E-9</v>
      </c>
      <c r="CA72" s="28">
        <f t="shared" si="43"/>
        <v>0</v>
      </c>
    </row>
    <row r="73" spans="1:79" x14ac:dyDescent="0.25">
      <c r="A73" s="224" t="s">
        <v>289</v>
      </c>
      <c r="B73" s="210" t="s">
        <v>291</v>
      </c>
      <c r="C73" s="121">
        <f>VLOOKUP($B73,'Tillförd energi'!$B$1:$AI$720,MATCH(C$1,'Tillförd energi'!$B$1:$AQ$1,0),FALSE)</f>
        <v>0</v>
      </c>
      <c r="D73" s="121">
        <f>VLOOKUP($B73,'Tillförd energi'!$B$1:$AI$720,MATCH(D$1,'Tillförd energi'!$B$1:$AQ$1,0),FALSE)</f>
        <v>0.14000000000000001</v>
      </c>
      <c r="E73" s="121">
        <f>VLOOKUP($B73,'Tillförd energi'!$B$1:$AI$720,MATCH(E$1,'Tillförd energi'!$B$1:$AQ$1,0),FALSE)</f>
        <v>0</v>
      </c>
      <c r="F73" s="121">
        <f>VLOOKUP($B73,'Tillförd energi'!$B$1:$AI$720,MATCH(F$1,'Tillförd energi'!$B$1:$AQ$1,0),FALSE)</f>
        <v>0</v>
      </c>
      <c r="G73" s="121">
        <f>VLOOKUP($B73,'Tillförd energi'!$B$1:$AI$720,MATCH(G$1,'Tillförd energi'!$B$1:$AQ$1,0),FALSE)</f>
        <v>0</v>
      </c>
      <c r="H73" s="121">
        <f>VLOOKUP($B73,'Tillförd energi'!$B$1:$AI$720,MATCH(H$1,'Tillförd energi'!$B$1:$AQ$1,0),FALSE)</f>
        <v>0</v>
      </c>
      <c r="I73" s="121">
        <f>VLOOKUP($B73,'Tillförd energi'!$B$1:$AI$720,MATCH(I$1,'Tillförd energi'!$B$1:$AQ$1,0),FALSE)</f>
        <v>0</v>
      </c>
      <c r="J73" s="121">
        <f>VLOOKUP($B73,'Tillförd energi'!$B$1:$AI$720,MATCH(J$1,'Tillförd energi'!$B$1:$AQ$1,0),FALSE)</f>
        <v>0</v>
      </c>
      <c r="K73" s="121">
        <f>VLOOKUP($B73,'Tillförd energi'!$B$1:$AI$720,MATCH(K$1,'Tillförd energi'!$B$1:$AQ$1,0),FALSE)</f>
        <v>0</v>
      </c>
      <c r="L73" s="121">
        <f>VLOOKUP($B73,'Tillförd energi'!$B$1:$AI$720,MATCH(L$1,'Tillförd energi'!$B$1:$AQ$1,0),FALSE)</f>
        <v>0</v>
      </c>
      <c r="M73" s="121">
        <f>VLOOKUP($B73,'Tillförd energi'!$B$1:$AI$720,MATCH(M$1,'Tillförd energi'!$B$1:$AQ$1,0),FALSE)</f>
        <v>0</v>
      </c>
      <c r="N73" s="121">
        <f>VLOOKUP($B73,'Tillförd energi'!$B$1:$AI$720,MATCH(N$1,'Tillförd energi'!$B$1:$AQ$1,0),FALSE)</f>
        <v>0</v>
      </c>
      <c r="O73" s="121">
        <f>VLOOKUP($B73,'Tillförd energi'!$B$1:$AI$720,MATCH(O$1,'Tillförd energi'!$B$1:$AQ$1,0),FALSE)</f>
        <v>0</v>
      </c>
      <c r="P73" s="121">
        <f>VLOOKUP($B73,'Tillförd energi'!$B$1:$AI$720,MATCH(P$1,'Tillförd energi'!$B$1:$AQ$1,0),FALSE)</f>
        <v>0</v>
      </c>
      <c r="Q73" s="121">
        <f>VLOOKUP($B73,'Tillförd energi'!$B$1:$AI$720,MATCH(Q$1,'Tillförd energi'!$B$1:$AQ$1,0),FALSE)</f>
        <v>0</v>
      </c>
      <c r="R73" s="121">
        <f>VLOOKUP($B73,'Tillförd energi'!$B$1:$AI$720,MATCH(R$1,'Tillförd energi'!$B$1:$AQ$1,0),FALSE)</f>
        <v>0.85899999999999999</v>
      </c>
      <c r="S73" s="121">
        <f>VLOOKUP($B73,'Tillförd energi'!$B$1:$AI$720,MATCH(S$1,'Tillförd energi'!$B$1:$AQ$1,0),FALSE)</f>
        <v>0</v>
      </c>
      <c r="T73" s="121">
        <f>VLOOKUP($B73,'Tillförd energi'!$B$1:$AI$720,MATCH(T$1,'Tillförd energi'!$B$1:$AQ$1,0),FALSE)</f>
        <v>0</v>
      </c>
      <c r="U73" s="121">
        <f>VLOOKUP($B73,'Tillförd energi'!$B$1:$AI$720,MATCH(U$1,'Tillförd energi'!$B$1:$AQ$1,0),FALSE)</f>
        <v>0</v>
      </c>
      <c r="V73" s="121">
        <f>VLOOKUP($B73,'Tillförd energi'!$B$1:$AI$720,MATCH(V$1,'Tillförd energi'!$B$1:$AQ$1,0),FALSE)</f>
        <v>0</v>
      </c>
      <c r="W73" s="121">
        <f>VLOOKUP($B73,'Tillförd energi'!$B$1:$AI$720,MATCH(W$1,'Tillförd energi'!$B$1:$AQ$1,0),FALSE)</f>
        <v>0</v>
      </c>
      <c r="X73" s="121">
        <f>VLOOKUP($B73,'Tillförd energi'!$B$1:$AI$720,MATCH(X$1,'Tillförd energi'!$B$1:$AQ$1,0),FALSE)</f>
        <v>0</v>
      </c>
      <c r="Y73" s="121">
        <f>VLOOKUP($B73,'Tillförd energi'!$B$1:$AI$720,MATCH(Y$1,'Tillförd energi'!$B$1:$AQ$1,0),FALSE)</f>
        <v>0</v>
      </c>
      <c r="Z73" s="121">
        <f>VLOOKUP($B73,'Tillförd energi'!$B$1:$AI$720,MATCH(Z$1,'Tillförd energi'!$B$1:$AQ$1,0),FALSE)</f>
        <v>0</v>
      </c>
      <c r="AA73" s="121">
        <f>VLOOKUP($B73,'Tillförd energi'!$B$1:$AI$720,MATCH(AA$1,'Tillförd energi'!$B$1:$AQ$1,0),FALSE)</f>
        <v>0</v>
      </c>
      <c r="AB73" s="121">
        <f>VLOOKUP($B73,'Tillförd energi'!$B$1:$AI$720,MATCH(AB$1,'Tillförd energi'!$B$1:$AQ$1,0),FALSE)</f>
        <v>0</v>
      </c>
      <c r="AC73" s="121">
        <f>VLOOKUP($B73,'Tillförd energi'!$B$1:$AI$720,MATCH(AC$1,'Tillförd energi'!$B$1:$AQ$1,0),FALSE)</f>
        <v>0</v>
      </c>
      <c r="AD73" s="121">
        <f>VLOOKUP($B73,'Tillförd energi'!$B$1:$AI$720,MATCH(AD$1,'Tillförd energi'!$B$1:$AQ$1,0),FALSE)</f>
        <v>0</v>
      </c>
      <c r="AE73" s="121">
        <f>VLOOKUP($B73,'Tillförd energi'!$B$1:$AI$720,MATCH(AE$1,'Tillförd energi'!$B$1:$AQ$1,0),FALSE)</f>
        <v>0</v>
      </c>
      <c r="AF73" s="121">
        <f>VLOOKUP($B73,'Tillförd energi'!$B$1:$AI$720,MATCH(AF$1,'Tillförd energi'!$B$1:$AQ$1,0),FALSE)</f>
        <v>1.9E-2</v>
      </c>
      <c r="AG73" s="121">
        <f>IFERROR(VLOOKUP(B73,Miljö!$B$1:$AC$550,MATCH("Köpt mängd produktionsspecifik fjärrvärme:",Miljö!$B$1:$AC$1,0),FALSE)/1,0)</f>
        <v>0</v>
      </c>
      <c r="AH73" s="121"/>
      <c r="AI73" s="121">
        <f t="shared" si="22"/>
        <v>1.018</v>
      </c>
      <c r="AJ73" s="121">
        <f t="shared" si="23"/>
        <v>1.018</v>
      </c>
      <c r="AK73" s="121">
        <f>IF(ISERROR(1/VLOOKUP($B73,Leveranser!$B$1:$S$499,MATCH("såld värme (gwh)",Leveranser!$B$1:$S$1,0),FALSE)),"",VLOOKUP($B73,Leveranser!$B$1:$S$499,MATCH("såld värme (gwh)",Leveranser!$B$1:$S$1,0),FALSE))</f>
        <v>0.76939999999999997</v>
      </c>
      <c r="AL73" s="121">
        <f>VLOOKUP($B73,Leveranser!$B$1:$Y$499,MATCH("Totalt såld fjärrvärme till andra fjärrvärmeföretag",Leveranser!$B$1:$AA$1,0),FALSE)</f>
        <v>0</v>
      </c>
      <c r="AM73" s="121">
        <f>IF(ISERROR(1/VLOOKUP($B73,Miljö!$B$1:$S$500,MATCH("Såld mängd produktionsspecifik fjärrvärme (GWh)",Miljö!$B$1:$R$1,0),FALSE)),0,VLOOKUP($B73,Miljö!$B$1:$S$500,MATCH("Såld mängd produktionsspecifik fjärrvärme (GWh)",Miljö!$B$1:$R$1,0),FALSE))</f>
        <v>0</v>
      </c>
      <c r="AN73" s="172">
        <f t="shared" si="24"/>
        <v>0.75579567779960699</v>
      </c>
      <c r="AO73" s="121"/>
      <c r="AP73" s="121" t="str">
        <f>IFERROR(VLOOKUP($B73,Miljövärden!$B$2:$H$550,7,FALSE),"Nej, saknas")</f>
        <v>Ja</v>
      </c>
      <c r="AQ73" s="121" t="str">
        <f>IFERROR(VLOOKUP($B73,Miljövärden!$B$2:$H$550,6,FALSE),"Nej, saknas")</f>
        <v>Ja</v>
      </c>
      <c r="AU73">
        <f t="shared" si="25"/>
        <v>1.9E-2</v>
      </c>
      <c r="AV73">
        <f t="shared" si="26"/>
        <v>0</v>
      </c>
      <c r="AW73">
        <f t="shared" si="27"/>
        <v>0</v>
      </c>
      <c r="AX73">
        <f t="shared" si="28"/>
        <v>0.85899999999999999</v>
      </c>
      <c r="AZ73">
        <f t="shared" si="29"/>
        <v>0.85899999999999999</v>
      </c>
      <c r="BC73">
        <f t="shared" si="30"/>
        <v>0.14000000000000001</v>
      </c>
      <c r="BD73">
        <f t="shared" si="31"/>
        <v>0</v>
      </c>
      <c r="BE73">
        <f t="shared" si="32"/>
        <v>0.85899999999999999</v>
      </c>
      <c r="BF73">
        <f t="shared" si="33"/>
        <v>0</v>
      </c>
      <c r="BG73">
        <f t="shared" si="34"/>
        <v>1.9E-2</v>
      </c>
      <c r="BH73">
        <f>VLOOKUP(B73,Miljö!$B$1:$BX$482,MATCH("Fossilandel för ursprungspecificerad el ()",Miljö!$B$1:$I$1,0),FALSE)</f>
        <v>0</v>
      </c>
      <c r="BI73">
        <f>VLOOKUP(B73,Miljö!$B$1:$BX$482,MATCH("Kärnkraftsandel för ursprungsspecificerad el ()",Miljö!$B$1:$O$1,0),FALSE)</f>
        <v>0</v>
      </c>
      <c r="BJ73">
        <f t="shared" si="35"/>
        <v>0</v>
      </c>
      <c r="BK73" t="str">
        <f>VLOOKUP(B73,Miljö!$B$1:$O$482,MATCH("Fossil andel i procent (%)",Miljö!$B$1:$O$1,0),FALSE)</f>
        <v>ET</v>
      </c>
      <c r="BL73">
        <f t="shared" si="36"/>
        <v>1.018</v>
      </c>
      <c r="BO73" s="18">
        <f t="shared" si="37"/>
        <v>0.13752455795677801</v>
      </c>
      <c r="BP73" s="18">
        <f t="shared" si="38"/>
        <v>0</v>
      </c>
      <c r="BQ73" s="18">
        <f t="shared" si="39"/>
        <v>0.86247544204322202</v>
      </c>
      <c r="BR73" s="18">
        <f t="shared" si="40"/>
        <v>0</v>
      </c>
      <c r="BT73" s="27">
        <f t="shared" si="41"/>
        <v>1</v>
      </c>
      <c r="BW73" s="18">
        <f>IF(AP73="ja",VLOOKUP(B73,Miljövärden!$B$2:$H$550,MATCH("Total andel fossilt",Miljövärden!$B$2:$H$2,0),FALSE),"")</f>
        <v>0.13752500000000001</v>
      </c>
      <c r="BZ73" s="28">
        <f t="shared" si="42"/>
        <v>4.4204322199870028E-7</v>
      </c>
      <c r="CA73" s="28">
        <f t="shared" si="43"/>
        <v>0</v>
      </c>
    </row>
    <row r="74" spans="1:79" x14ac:dyDescent="0.25">
      <c r="A74" s="224" t="s">
        <v>289</v>
      </c>
      <c r="B74" s="210" t="s">
        <v>292</v>
      </c>
      <c r="C74" s="121">
        <f>VLOOKUP($B74,'Tillförd energi'!$B$1:$AI$720,MATCH(C$1,'Tillförd energi'!$B$1:$AQ$1,0),FALSE)</f>
        <v>0</v>
      </c>
      <c r="D74" s="121">
        <f>VLOOKUP($B74,'Tillförd energi'!$B$1:$AI$720,MATCH(D$1,'Tillförd energi'!$B$1:$AQ$1,0),FALSE)</f>
        <v>0</v>
      </c>
      <c r="E74" s="121">
        <f>VLOOKUP($B74,'Tillförd energi'!$B$1:$AI$720,MATCH(E$1,'Tillförd energi'!$B$1:$AQ$1,0),FALSE)</f>
        <v>0</v>
      </c>
      <c r="F74" s="121">
        <f>VLOOKUP($B74,'Tillförd energi'!$B$1:$AI$720,MATCH(F$1,'Tillförd energi'!$B$1:$AQ$1,0),FALSE)</f>
        <v>0</v>
      </c>
      <c r="G74" s="121">
        <f>VLOOKUP($B74,'Tillförd energi'!$B$1:$AI$720,MATCH(G$1,'Tillförd energi'!$B$1:$AQ$1,0),FALSE)</f>
        <v>0</v>
      </c>
      <c r="H74" s="121">
        <f>VLOOKUP($B74,'Tillförd energi'!$B$1:$AI$720,MATCH(H$1,'Tillförd energi'!$B$1:$AQ$1,0),FALSE)</f>
        <v>0</v>
      </c>
      <c r="I74" s="121">
        <f>VLOOKUP($B74,'Tillförd energi'!$B$1:$AI$720,MATCH(I$1,'Tillförd energi'!$B$1:$AQ$1,0),FALSE)</f>
        <v>0</v>
      </c>
      <c r="J74" s="121">
        <f>VLOOKUP($B74,'Tillförd energi'!$B$1:$AI$720,MATCH(J$1,'Tillförd energi'!$B$1:$AQ$1,0),FALSE)</f>
        <v>0</v>
      </c>
      <c r="K74" s="121">
        <f>VLOOKUP($B74,'Tillförd energi'!$B$1:$AI$720,MATCH(K$1,'Tillförd energi'!$B$1:$AQ$1,0),FALSE)</f>
        <v>0</v>
      </c>
      <c r="L74" s="121">
        <f>VLOOKUP($B74,'Tillförd energi'!$B$1:$AI$720,MATCH(L$1,'Tillförd energi'!$B$1:$AQ$1,0),FALSE)</f>
        <v>0</v>
      </c>
      <c r="M74" s="121">
        <f>VLOOKUP($B74,'Tillförd energi'!$B$1:$AI$720,MATCH(M$1,'Tillförd energi'!$B$1:$AQ$1,0),FALSE)</f>
        <v>0</v>
      </c>
      <c r="N74" s="121">
        <f>VLOOKUP($B74,'Tillförd energi'!$B$1:$AI$720,MATCH(N$1,'Tillförd energi'!$B$1:$AQ$1,0),FALSE)</f>
        <v>0</v>
      </c>
      <c r="O74" s="121">
        <f>VLOOKUP($B74,'Tillförd energi'!$B$1:$AI$720,MATCH(O$1,'Tillförd energi'!$B$1:$AQ$1,0),FALSE)</f>
        <v>0</v>
      </c>
      <c r="P74" s="121">
        <f>VLOOKUP($B74,'Tillförd energi'!$B$1:$AI$720,MATCH(P$1,'Tillförd energi'!$B$1:$AQ$1,0),FALSE)</f>
        <v>0</v>
      </c>
      <c r="Q74" s="121">
        <f>VLOOKUP($B74,'Tillförd energi'!$B$1:$AI$720,MATCH(Q$1,'Tillförd energi'!$B$1:$AQ$1,0),FALSE)</f>
        <v>0</v>
      </c>
      <c r="R74" s="121">
        <f>VLOOKUP($B74,'Tillförd energi'!$B$1:$AI$720,MATCH(R$1,'Tillförd energi'!$B$1:$AQ$1,0),FALSE)</f>
        <v>5.3819999999999997</v>
      </c>
      <c r="S74" s="121">
        <f>VLOOKUP($B74,'Tillförd energi'!$B$1:$AI$720,MATCH(S$1,'Tillförd energi'!$B$1:$AQ$1,0),FALSE)</f>
        <v>0</v>
      </c>
      <c r="T74" s="121">
        <f>VLOOKUP($B74,'Tillförd energi'!$B$1:$AI$720,MATCH(T$1,'Tillförd energi'!$B$1:$AQ$1,0),FALSE)</f>
        <v>0</v>
      </c>
      <c r="U74" s="121">
        <f>VLOOKUP($B74,'Tillförd energi'!$B$1:$AI$720,MATCH(U$1,'Tillförd energi'!$B$1:$AQ$1,0),FALSE)</f>
        <v>0</v>
      </c>
      <c r="V74" s="121">
        <f>VLOOKUP($B74,'Tillförd energi'!$B$1:$AI$720,MATCH(V$1,'Tillförd energi'!$B$1:$AQ$1,0),FALSE)</f>
        <v>0</v>
      </c>
      <c r="W74" s="121">
        <f>VLOOKUP($B74,'Tillförd energi'!$B$1:$AI$720,MATCH(W$1,'Tillförd energi'!$B$1:$AQ$1,0),FALSE)</f>
        <v>3.2450000000000001</v>
      </c>
      <c r="X74" s="121">
        <f>VLOOKUP($B74,'Tillförd energi'!$B$1:$AI$720,MATCH(X$1,'Tillförd energi'!$B$1:$AQ$1,0),FALSE)</f>
        <v>0</v>
      </c>
      <c r="Y74" s="121">
        <f>VLOOKUP($B74,'Tillförd energi'!$B$1:$AI$720,MATCH(Y$1,'Tillförd energi'!$B$1:$AQ$1,0),FALSE)</f>
        <v>0</v>
      </c>
      <c r="Z74" s="121">
        <f>VLOOKUP($B74,'Tillförd energi'!$B$1:$AI$720,MATCH(Z$1,'Tillförd energi'!$B$1:$AQ$1,0),FALSE)</f>
        <v>0</v>
      </c>
      <c r="AA74" s="121">
        <f>VLOOKUP($B74,'Tillförd energi'!$B$1:$AI$720,MATCH(AA$1,'Tillförd energi'!$B$1:$AQ$1,0),FALSE)</f>
        <v>0</v>
      </c>
      <c r="AB74" s="121">
        <f>VLOOKUP($B74,'Tillförd energi'!$B$1:$AI$720,MATCH(AB$1,'Tillförd energi'!$B$1:$AQ$1,0),FALSE)</f>
        <v>0</v>
      </c>
      <c r="AC74" s="121">
        <f>VLOOKUP($B74,'Tillförd energi'!$B$1:$AI$720,MATCH(AC$1,'Tillförd energi'!$B$1:$AQ$1,0),FALSE)</f>
        <v>0</v>
      </c>
      <c r="AD74" s="121">
        <f>VLOOKUP($B74,'Tillförd energi'!$B$1:$AI$720,MATCH(AD$1,'Tillförd energi'!$B$1:$AQ$1,0),FALSE)</f>
        <v>0</v>
      </c>
      <c r="AE74" s="121">
        <f>VLOOKUP($B74,'Tillförd energi'!$B$1:$AI$720,MATCH(AE$1,'Tillförd energi'!$B$1:$AQ$1,0),FALSE)</f>
        <v>0</v>
      </c>
      <c r="AF74" s="121">
        <f>VLOOKUP($B74,'Tillförd energi'!$B$1:$AI$720,MATCH(AF$1,'Tillförd energi'!$B$1:$AQ$1,0),FALSE)</f>
        <v>0.125</v>
      </c>
      <c r="AG74" s="121">
        <f>IFERROR(VLOOKUP(B74,Miljö!$B$1:$AC$550,MATCH("Köpt mängd produktionsspecifik fjärrvärme:",Miljö!$B$1:$AC$1,0),FALSE)/1,0)</f>
        <v>0</v>
      </c>
      <c r="AH74" s="121"/>
      <c r="AI74" s="121">
        <f t="shared" si="22"/>
        <v>8.7519999999999989</v>
      </c>
      <c r="AJ74" s="121">
        <f t="shared" si="23"/>
        <v>8.7519999999999989</v>
      </c>
      <c r="AK74" s="121">
        <f>IF(ISERROR(1/VLOOKUP($B74,Leveranser!$B$1:$S$499,MATCH("såld värme (gwh)",Leveranser!$B$1:$S$1,0),FALSE)),"",VLOOKUP($B74,Leveranser!$B$1:$S$499,MATCH("såld värme (gwh)",Leveranser!$B$1:$S$1,0),FALSE))</f>
        <v>5.8570000000000002</v>
      </c>
      <c r="AL74" s="121">
        <f>VLOOKUP($B74,Leveranser!$B$1:$Y$499,MATCH("Totalt såld fjärrvärme till andra fjärrvärmeföretag",Leveranser!$B$1:$AA$1,0),FALSE)</f>
        <v>0</v>
      </c>
      <c r="AM74" s="121">
        <f>IF(ISERROR(1/VLOOKUP($B74,Miljö!$B$1:$S$500,MATCH("Såld mängd produktionsspecifik fjärrvärme (GWh)",Miljö!$B$1:$R$1,0),FALSE)),0,VLOOKUP($B74,Miljö!$B$1:$S$500,MATCH("Såld mängd produktionsspecifik fjärrvärme (GWh)",Miljö!$B$1:$R$1,0),FALSE))</f>
        <v>0</v>
      </c>
      <c r="AN74" s="172">
        <f t="shared" si="24"/>
        <v>0.66921846435100563</v>
      </c>
      <c r="AO74" s="121"/>
      <c r="AP74" s="121" t="str">
        <f>IFERROR(VLOOKUP($B74,Miljövärden!$B$2:$H$550,7,FALSE),"Nej, saknas")</f>
        <v>Ja</v>
      </c>
      <c r="AQ74" s="121" t="str">
        <f>IFERROR(VLOOKUP($B74,Miljövärden!$B$2:$H$550,6,FALSE),"Nej, saknas")</f>
        <v>Ja</v>
      </c>
      <c r="AU74">
        <f t="shared" si="25"/>
        <v>0.125</v>
      </c>
      <c r="AV74">
        <f t="shared" si="26"/>
        <v>0</v>
      </c>
      <c r="AW74">
        <f t="shared" si="27"/>
        <v>0</v>
      </c>
      <c r="AX74">
        <f t="shared" si="28"/>
        <v>5.3819999999999997</v>
      </c>
      <c r="AZ74">
        <f t="shared" si="29"/>
        <v>8.6269999999999989</v>
      </c>
      <c r="BC74">
        <f t="shared" si="30"/>
        <v>0</v>
      </c>
      <c r="BD74">
        <f t="shared" si="31"/>
        <v>0</v>
      </c>
      <c r="BE74">
        <f t="shared" si="32"/>
        <v>8.6269999999999989</v>
      </c>
      <c r="BF74">
        <f t="shared" si="33"/>
        <v>0</v>
      </c>
      <c r="BG74">
        <f t="shared" si="34"/>
        <v>0.125</v>
      </c>
      <c r="BH74">
        <f>VLOOKUP(B74,Miljö!$B$1:$BX$482,MATCH("Fossilandel för ursprungspecificerad el ()",Miljö!$B$1:$I$1,0),FALSE)</f>
        <v>0</v>
      </c>
      <c r="BI74">
        <f>VLOOKUP(B74,Miljö!$B$1:$BX$482,MATCH("Kärnkraftsandel för ursprungsspecificerad el ()",Miljö!$B$1:$O$1,0),FALSE)</f>
        <v>0</v>
      </c>
      <c r="BJ74">
        <f t="shared" si="35"/>
        <v>0</v>
      </c>
      <c r="BK74" t="str">
        <f>VLOOKUP(B74,Miljö!$B$1:$O$482,MATCH("Fossil andel i procent (%)",Miljö!$B$1:$O$1,0),FALSE)</f>
        <v>ET</v>
      </c>
      <c r="BL74">
        <f t="shared" si="36"/>
        <v>8.7519999999999989</v>
      </c>
      <c r="BO74" s="18">
        <f t="shared" si="37"/>
        <v>0</v>
      </c>
      <c r="BP74" s="18">
        <f t="shared" si="38"/>
        <v>0</v>
      </c>
      <c r="BQ74" s="18">
        <f t="shared" si="39"/>
        <v>1</v>
      </c>
      <c r="BR74" s="18">
        <f t="shared" si="40"/>
        <v>0</v>
      </c>
      <c r="BT74" s="27">
        <f t="shared" si="41"/>
        <v>1</v>
      </c>
      <c r="BW74" s="18">
        <f>IF(AP74="ja",VLOOKUP(B74,Miljövärden!$B$2:$H$550,MATCH("Total andel fossilt",Miljövärden!$B$2:$H$2,0),FALSE),"")</f>
        <v>0</v>
      </c>
      <c r="BZ74" s="28">
        <f t="shared" si="42"/>
        <v>0</v>
      </c>
      <c r="CA74" s="28">
        <f t="shared" si="43"/>
        <v>0</v>
      </c>
    </row>
    <row r="75" spans="1:79" x14ac:dyDescent="0.25">
      <c r="A75" s="224" t="s">
        <v>293</v>
      </c>
      <c r="B75" s="210" t="s">
        <v>294</v>
      </c>
      <c r="C75" s="121">
        <f>VLOOKUP($B75,'Tillförd energi'!$B$1:$AI$720,MATCH(C$1,'Tillförd energi'!$B$1:$AQ$1,0),FALSE)</f>
        <v>0</v>
      </c>
      <c r="D75" s="121">
        <f>VLOOKUP($B75,'Tillförd energi'!$B$1:$AI$720,MATCH(D$1,'Tillförd energi'!$B$1:$AQ$1,0),FALSE)</f>
        <v>0</v>
      </c>
      <c r="E75" s="121">
        <f>VLOOKUP($B75,'Tillförd energi'!$B$1:$AI$720,MATCH(E$1,'Tillförd energi'!$B$1:$AQ$1,0),FALSE)</f>
        <v>0</v>
      </c>
      <c r="F75" s="121">
        <f>VLOOKUP($B75,'Tillförd energi'!$B$1:$AI$720,MATCH(F$1,'Tillförd energi'!$B$1:$AQ$1,0),FALSE)</f>
        <v>0</v>
      </c>
      <c r="G75" s="121">
        <f>VLOOKUP($B75,'Tillförd energi'!$B$1:$AI$720,MATCH(G$1,'Tillförd energi'!$B$1:$AQ$1,0),FALSE)</f>
        <v>0</v>
      </c>
      <c r="H75" s="121">
        <f>VLOOKUP($B75,'Tillförd energi'!$B$1:$AI$720,MATCH(H$1,'Tillförd energi'!$B$1:$AQ$1,0),FALSE)</f>
        <v>0</v>
      </c>
      <c r="I75" s="121">
        <f>VLOOKUP($B75,'Tillförd energi'!$B$1:$AI$720,MATCH(I$1,'Tillförd energi'!$B$1:$AQ$1,0),FALSE)</f>
        <v>0</v>
      </c>
      <c r="J75" s="121">
        <f>VLOOKUP($B75,'Tillförd energi'!$B$1:$AI$720,MATCH(J$1,'Tillförd energi'!$B$1:$AQ$1,0),FALSE)</f>
        <v>0</v>
      </c>
      <c r="K75" s="121">
        <f>VLOOKUP($B75,'Tillförd energi'!$B$1:$AI$720,MATCH(K$1,'Tillförd energi'!$B$1:$AQ$1,0),FALSE)</f>
        <v>0</v>
      </c>
      <c r="L75" s="121">
        <f>VLOOKUP($B75,'Tillförd energi'!$B$1:$AI$720,MATCH(L$1,'Tillförd energi'!$B$1:$AQ$1,0),FALSE)</f>
        <v>0</v>
      </c>
      <c r="M75" s="121">
        <f>VLOOKUP($B75,'Tillförd energi'!$B$1:$AI$720,MATCH(M$1,'Tillförd energi'!$B$1:$AQ$1,0),FALSE)</f>
        <v>6.8791900000000004</v>
      </c>
      <c r="N75" s="121">
        <f>VLOOKUP($B75,'Tillförd energi'!$B$1:$AI$720,MATCH(N$1,'Tillförd energi'!$B$1:$AQ$1,0),FALSE)</f>
        <v>57.925899999999999</v>
      </c>
      <c r="O75" s="121">
        <f>VLOOKUP($B75,'Tillförd energi'!$B$1:$AI$720,MATCH(O$1,'Tillförd energi'!$B$1:$AQ$1,0),FALSE)</f>
        <v>0</v>
      </c>
      <c r="P75" s="121">
        <f>VLOOKUP($B75,'Tillförd energi'!$B$1:$AI$720,MATCH(P$1,'Tillförd energi'!$B$1:$AQ$1,0),FALSE)</f>
        <v>24.233499999999999</v>
      </c>
      <c r="Q75" s="121">
        <f>VLOOKUP($B75,'Tillförd energi'!$B$1:$AI$720,MATCH(Q$1,'Tillförd energi'!$B$1:$AQ$1,0),FALSE)</f>
        <v>12.585800000000001</v>
      </c>
      <c r="R75" s="121">
        <f>VLOOKUP($B75,'Tillförd energi'!$B$1:$AI$720,MATCH(R$1,'Tillförd energi'!$B$1:$AQ$1,0),FALSE)</f>
        <v>0</v>
      </c>
      <c r="S75" s="121">
        <f>VLOOKUP($B75,'Tillförd energi'!$B$1:$AI$720,MATCH(S$1,'Tillförd energi'!$B$1:$AQ$1,0),FALSE)</f>
        <v>7.8</v>
      </c>
      <c r="T75" s="121">
        <f>VLOOKUP($B75,'Tillförd energi'!$B$1:$AI$720,MATCH(T$1,'Tillförd energi'!$B$1:$AQ$1,0),FALSE)</f>
        <v>0</v>
      </c>
      <c r="U75" s="121">
        <f>VLOOKUP($B75,'Tillförd energi'!$B$1:$AI$720,MATCH(U$1,'Tillförd energi'!$B$1:$AQ$1,0),FALSE)</f>
        <v>0</v>
      </c>
      <c r="V75" s="121">
        <f>VLOOKUP($B75,'Tillförd energi'!$B$1:$AI$720,MATCH(V$1,'Tillförd energi'!$B$1:$AQ$1,0),FALSE)</f>
        <v>0</v>
      </c>
      <c r="W75" s="121">
        <f>VLOOKUP($B75,'Tillförd energi'!$B$1:$AI$720,MATCH(W$1,'Tillförd energi'!$B$1:$AQ$1,0),FALSE)</f>
        <v>1.0465599999999999</v>
      </c>
      <c r="X75" s="121">
        <f>VLOOKUP($B75,'Tillförd energi'!$B$1:$AI$720,MATCH(X$1,'Tillförd energi'!$B$1:$AQ$1,0),FALSE)</f>
        <v>0</v>
      </c>
      <c r="Y75" s="121">
        <f>VLOOKUP($B75,'Tillförd energi'!$B$1:$AI$720,MATCH(Y$1,'Tillförd energi'!$B$1:$AQ$1,0),FALSE)</f>
        <v>0</v>
      </c>
      <c r="Z75" s="121">
        <f>VLOOKUP($B75,'Tillförd energi'!$B$1:$AI$720,MATCH(Z$1,'Tillförd energi'!$B$1:$AQ$1,0),FALSE)</f>
        <v>0</v>
      </c>
      <c r="AA75" s="121">
        <f>VLOOKUP($B75,'Tillförd energi'!$B$1:$AI$720,MATCH(AA$1,'Tillförd energi'!$B$1:$AQ$1,0),FALSE)</f>
        <v>0</v>
      </c>
      <c r="AB75" s="121">
        <f>VLOOKUP($B75,'Tillförd energi'!$B$1:$AI$720,MATCH(AB$1,'Tillförd energi'!$B$1:$AQ$1,0),FALSE)</f>
        <v>0</v>
      </c>
      <c r="AC75" s="121">
        <f>VLOOKUP($B75,'Tillförd energi'!$B$1:$AI$720,MATCH(AC$1,'Tillförd energi'!$B$1:$AQ$1,0),FALSE)</f>
        <v>24.3</v>
      </c>
      <c r="AD75" s="121">
        <f>VLOOKUP($B75,'Tillförd energi'!$B$1:$AI$720,MATCH(AD$1,'Tillförd energi'!$B$1:$AQ$1,0),FALSE)</f>
        <v>0</v>
      </c>
      <c r="AE75" s="121">
        <f>VLOOKUP($B75,'Tillförd energi'!$B$1:$AI$720,MATCH(AE$1,'Tillförd energi'!$B$1:$AQ$1,0),FALSE)</f>
        <v>0</v>
      </c>
      <c r="AF75" s="121">
        <f>VLOOKUP($B75,'Tillförd energi'!$B$1:$AI$720,MATCH(AF$1,'Tillförd energi'!$B$1:$AQ$1,0),FALSE)</f>
        <v>3.1210900000000001</v>
      </c>
      <c r="AG75" s="121">
        <f>IFERROR(VLOOKUP(B75,Miljö!$B$1:$AC$550,MATCH("Köpt mängd produktionsspecifik fjärrvärme:",Miljö!$B$1:$AC$1,0),FALSE)/1,0)</f>
        <v>0</v>
      </c>
      <c r="AH75" s="121"/>
      <c r="AI75" s="121">
        <f t="shared" si="22"/>
        <v>137.89204000000001</v>
      </c>
      <c r="AJ75" s="121">
        <f t="shared" si="23"/>
        <v>137.89204000000001</v>
      </c>
      <c r="AK75" s="121">
        <f>IF(ISERROR(1/VLOOKUP($B75,Leveranser!$B$1:$S$499,MATCH("såld värme (gwh)",Leveranser!$B$1:$S$1,0),FALSE)),"",VLOOKUP($B75,Leveranser!$B$1:$S$499,MATCH("såld värme (gwh)",Leveranser!$B$1:$S$1,0),FALSE))</f>
        <v>103.4</v>
      </c>
      <c r="AL75" s="121">
        <f>VLOOKUP($B75,Leveranser!$B$1:$Y$499,MATCH("Totalt såld fjärrvärme till andra fjärrvärmeföretag",Leveranser!$B$1:$AA$1,0),FALSE)</f>
        <v>0</v>
      </c>
      <c r="AM75" s="121">
        <f>IF(ISERROR(1/VLOOKUP($B75,Miljö!$B$1:$S$500,MATCH("Såld mängd produktionsspecifik fjärrvärme (GWh)",Miljö!$B$1:$R$1,0),FALSE)),0,VLOOKUP($B75,Miljö!$B$1:$S$500,MATCH("Såld mängd produktionsspecifik fjärrvärme (GWh)",Miljö!$B$1:$R$1,0),FALSE))</f>
        <v>0</v>
      </c>
      <c r="AN75" s="172">
        <f t="shared" si="24"/>
        <v>0.74986199348417792</v>
      </c>
      <c r="AO75" s="121"/>
      <c r="AP75" s="121" t="str">
        <f>IFERROR(VLOOKUP($B75,Miljövärden!$B$2:$H$550,7,FALSE),"Nej, saknas")</f>
        <v>Ja</v>
      </c>
      <c r="AQ75" s="121" t="str">
        <f>IFERROR(VLOOKUP($B75,Miljövärden!$B$2:$H$550,6,FALSE),"Nej, saknas")</f>
        <v>Ja</v>
      </c>
      <c r="AU75">
        <f t="shared" si="25"/>
        <v>3.1210900000000001</v>
      </c>
      <c r="AV75">
        <f t="shared" si="26"/>
        <v>0</v>
      </c>
      <c r="AW75">
        <f t="shared" si="27"/>
        <v>101.62439000000001</v>
      </c>
      <c r="AX75">
        <f t="shared" si="28"/>
        <v>7.8</v>
      </c>
      <c r="AZ75">
        <f t="shared" si="29"/>
        <v>110.47095</v>
      </c>
      <c r="BC75">
        <f t="shared" si="30"/>
        <v>0</v>
      </c>
      <c r="BD75">
        <f t="shared" si="31"/>
        <v>0</v>
      </c>
      <c r="BE75">
        <f t="shared" si="32"/>
        <v>110.47095</v>
      </c>
      <c r="BF75">
        <f t="shared" si="33"/>
        <v>24.3</v>
      </c>
      <c r="BG75">
        <f t="shared" si="34"/>
        <v>3.1210900000000001</v>
      </c>
      <c r="BH75">
        <f>VLOOKUP(B75,Miljö!$B$1:$BX$482,MATCH("Fossilandel för ursprungspecificerad el ()",Miljö!$B$1:$I$1,0),FALSE)</f>
        <v>0</v>
      </c>
      <c r="BI75">
        <f>VLOOKUP(B75,Miljö!$B$1:$BX$482,MATCH("Kärnkraftsandel för ursprungsspecificerad el ()",Miljö!$B$1:$O$1,0),FALSE)</f>
        <v>0</v>
      </c>
      <c r="BJ75">
        <f t="shared" si="35"/>
        <v>0</v>
      </c>
      <c r="BK75" t="str">
        <f>VLOOKUP(B75,Miljö!$B$1:$O$482,MATCH("Fossil andel i procent (%)",Miljö!$B$1:$O$1,0),FALSE)</f>
        <v>ET</v>
      </c>
      <c r="BL75">
        <f t="shared" si="36"/>
        <v>137.89204000000001</v>
      </c>
      <c r="BO75" s="18">
        <f t="shared" si="37"/>
        <v>0</v>
      </c>
      <c r="BP75" s="18">
        <f t="shared" si="38"/>
        <v>0</v>
      </c>
      <c r="BQ75" s="18">
        <f t="shared" si="39"/>
        <v>0.82377517948099099</v>
      </c>
      <c r="BR75" s="18">
        <f t="shared" si="40"/>
        <v>0.17622482051900892</v>
      </c>
      <c r="BT75" s="27">
        <f t="shared" si="41"/>
        <v>0.99999999999999989</v>
      </c>
      <c r="BW75" s="18">
        <f>IF(AP75="ja",VLOOKUP(B75,Miljövärden!$B$2:$H$550,MATCH("Total andel fossilt",Miljövärden!$B$2:$H$2,0),FALSE),"")</f>
        <v>0</v>
      </c>
      <c r="BZ75" s="28">
        <f t="shared" si="42"/>
        <v>0</v>
      </c>
      <c r="CA75" s="28">
        <f t="shared" si="43"/>
        <v>0</v>
      </c>
    </row>
    <row r="76" spans="1:79" x14ac:dyDescent="0.25">
      <c r="A76" s="224" t="s">
        <v>293</v>
      </c>
      <c r="B76" s="210" t="s">
        <v>295</v>
      </c>
      <c r="C76" s="121">
        <f>VLOOKUP($B76,'Tillförd energi'!$B$1:$AI$720,MATCH(C$1,'Tillförd energi'!$B$1:$AQ$1,0),FALSE)</f>
        <v>0</v>
      </c>
      <c r="D76" s="121">
        <f>VLOOKUP($B76,'Tillförd energi'!$B$1:$AI$720,MATCH(D$1,'Tillförd energi'!$B$1:$AQ$1,0),FALSE)</f>
        <v>0</v>
      </c>
      <c r="E76" s="121">
        <f>VLOOKUP($B76,'Tillförd energi'!$B$1:$AI$720,MATCH(E$1,'Tillförd energi'!$B$1:$AQ$1,0),FALSE)</f>
        <v>0</v>
      </c>
      <c r="F76" s="121">
        <f>VLOOKUP($B76,'Tillförd energi'!$B$1:$AI$720,MATCH(F$1,'Tillförd energi'!$B$1:$AQ$1,0),FALSE)</f>
        <v>0</v>
      </c>
      <c r="G76" s="121">
        <f>VLOOKUP($B76,'Tillförd energi'!$B$1:$AI$720,MATCH(G$1,'Tillförd energi'!$B$1:$AQ$1,0),FALSE)</f>
        <v>0</v>
      </c>
      <c r="H76" s="121">
        <f>VLOOKUP($B76,'Tillförd energi'!$B$1:$AI$720,MATCH(H$1,'Tillförd energi'!$B$1:$AQ$1,0),FALSE)</f>
        <v>0</v>
      </c>
      <c r="I76" s="121">
        <f>VLOOKUP($B76,'Tillförd energi'!$B$1:$AI$720,MATCH(I$1,'Tillförd energi'!$B$1:$AQ$1,0),FALSE)</f>
        <v>0</v>
      </c>
      <c r="J76" s="121">
        <f>VLOOKUP($B76,'Tillförd energi'!$B$1:$AI$720,MATCH(J$1,'Tillförd energi'!$B$1:$AQ$1,0),FALSE)</f>
        <v>0</v>
      </c>
      <c r="K76" s="121">
        <f>VLOOKUP($B76,'Tillförd energi'!$B$1:$AI$720,MATCH(K$1,'Tillförd energi'!$B$1:$AQ$1,0),FALSE)</f>
        <v>0</v>
      </c>
      <c r="L76" s="121">
        <f>VLOOKUP($B76,'Tillförd energi'!$B$1:$AI$720,MATCH(L$1,'Tillförd energi'!$B$1:$AQ$1,0),FALSE)</f>
        <v>0</v>
      </c>
      <c r="M76" s="121">
        <f>VLOOKUP($B76,'Tillförd energi'!$B$1:$AI$720,MATCH(M$1,'Tillförd energi'!$B$1:$AQ$1,0),FALSE)</f>
        <v>0</v>
      </c>
      <c r="N76" s="121">
        <f>VLOOKUP($B76,'Tillförd energi'!$B$1:$AI$720,MATCH(N$1,'Tillförd energi'!$B$1:$AQ$1,0),FALSE)</f>
        <v>0</v>
      </c>
      <c r="O76" s="121">
        <f>VLOOKUP($B76,'Tillförd energi'!$B$1:$AI$720,MATCH(O$1,'Tillförd energi'!$B$1:$AQ$1,0),FALSE)</f>
        <v>0</v>
      </c>
      <c r="P76" s="121">
        <f>VLOOKUP($B76,'Tillförd energi'!$B$1:$AI$720,MATCH(P$1,'Tillförd energi'!$B$1:$AQ$1,0),FALSE)</f>
        <v>0</v>
      </c>
      <c r="Q76" s="121">
        <f>VLOOKUP($B76,'Tillförd energi'!$B$1:$AI$720,MATCH(Q$1,'Tillförd energi'!$B$1:$AQ$1,0),FALSE)</f>
        <v>0</v>
      </c>
      <c r="R76" s="121">
        <f>VLOOKUP($B76,'Tillförd energi'!$B$1:$AI$720,MATCH(R$1,'Tillförd energi'!$B$1:$AQ$1,0),FALSE)</f>
        <v>0</v>
      </c>
      <c r="S76" s="121">
        <f>VLOOKUP($B76,'Tillförd energi'!$B$1:$AI$720,MATCH(S$1,'Tillförd energi'!$B$1:$AQ$1,0),FALSE)</f>
        <v>12.1</v>
      </c>
      <c r="T76" s="121">
        <f>VLOOKUP($B76,'Tillförd energi'!$B$1:$AI$720,MATCH(T$1,'Tillförd energi'!$B$1:$AQ$1,0),FALSE)</f>
        <v>0</v>
      </c>
      <c r="U76" s="121">
        <f>VLOOKUP($B76,'Tillförd energi'!$B$1:$AI$720,MATCH(U$1,'Tillförd energi'!$B$1:$AQ$1,0),FALSE)</f>
        <v>0</v>
      </c>
      <c r="V76" s="121">
        <f>VLOOKUP($B76,'Tillförd energi'!$B$1:$AI$720,MATCH(V$1,'Tillförd energi'!$B$1:$AQ$1,0),FALSE)</f>
        <v>0</v>
      </c>
      <c r="W76" s="121">
        <f>VLOOKUP($B76,'Tillförd energi'!$B$1:$AI$720,MATCH(W$1,'Tillförd energi'!$B$1:$AQ$1,0),FALSE)</f>
        <v>0.18099999999999999</v>
      </c>
      <c r="X76" s="121">
        <f>VLOOKUP($B76,'Tillförd energi'!$B$1:$AI$720,MATCH(X$1,'Tillförd energi'!$B$1:$AQ$1,0),FALSE)</f>
        <v>0</v>
      </c>
      <c r="Y76" s="121">
        <f>VLOOKUP($B76,'Tillförd energi'!$B$1:$AI$720,MATCH(Y$1,'Tillförd energi'!$B$1:$AQ$1,0),FALSE)</f>
        <v>0</v>
      </c>
      <c r="Z76" s="121">
        <f>VLOOKUP($B76,'Tillförd energi'!$B$1:$AI$720,MATCH(Z$1,'Tillförd energi'!$B$1:$AQ$1,0),FALSE)</f>
        <v>0</v>
      </c>
      <c r="AA76" s="121">
        <f>VLOOKUP($B76,'Tillförd energi'!$B$1:$AI$720,MATCH(AA$1,'Tillförd energi'!$B$1:$AQ$1,0),FALSE)</f>
        <v>0</v>
      </c>
      <c r="AB76" s="121">
        <f>VLOOKUP($B76,'Tillförd energi'!$B$1:$AI$720,MATCH(AB$1,'Tillförd energi'!$B$1:$AQ$1,0),FALSE)</f>
        <v>0</v>
      </c>
      <c r="AC76" s="121">
        <f>VLOOKUP($B76,'Tillförd energi'!$B$1:$AI$720,MATCH(AC$1,'Tillförd energi'!$B$1:$AQ$1,0),FALSE)</f>
        <v>0</v>
      </c>
      <c r="AD76" s="121">
        <f>VLOOKUP($B76,'Tillförd energi'!$B$1:$AI$720,MATCH(AD$1,'Tillförd energi'!$B$1:$AQ$1,0),FALSE)</f>
        <v>0</v>
      </c>
      <c r="AE76" s="121">
        <f>VLOOKUP($B76,'Tillförd energi'!$B$1:$AI$720,MATCH(AE$1,'Tillförd energi'!$B$1:$AQ$1,0),FALSE)</f>
        <v>0</v>
      </c>
      <c r="AF76" s="121">
        <f>VLOOKUP($B76,'Tillförd energi'!$B$1:$AI$720,MATCH(AF$1,'Tillförd energi'!$B$1:$AQ$1,0),FALSE)</f>
        <v>0.12</v>
      </c>
      <c r="AG76" s="121">
        <f>IFERROR(VLOOKUP(B76,Miljö!$B$1:$AC$550,MATCH("Köpt mängd produktionsspecifik fjärrvärme:",Miljö!$B$1:$AC$1,0),FALSE)/1,0)</f>
        <v>0</v>
      </c>
      <c r="AH76" s="121"/>
      <c r="AI76" s="121">
        <f t="shared" si="22"/>
        <v>12.400999999999998</v>
      </c>
      <c r="AJ76" s="121">
        <f t="shared" si="23"/>
        <v>12.400999999999998</v>
      </c>
      <c r="AK76" s="121">
        <f>IF(ISERROR(1/VLOOKUP($B76,Leveranser!$B$1:$S$499,MATCH("såld värme (gwh)",Leveranser!$B$1:$S$1,0),FALSE)),"",VLOOKUP($B76,Leveranser!$B$1:$S$499,MATCH("såld värme (gwh)",Leveranser!$B$1:$S$1,0),FALSE))</f>
        <v>10.9</v>
      </c>
      <c r="AL76" s="121">
        <f>VLOOKUP($B76,Leveranser!$B$1:$Y$499,MATCH("Totalt såld fjärrvärme till andra fjärrvärmeföretag",Leveranser!$B$1:$AA$1,0),FALSE)</f>
        <v>0</v>
      </c>
      <c r="AM76" s="121">
        <f>IF(ISERROR(1/VLOOKUP($B76,Miljö!$B$1:$S$500,MATCH("Såld mängd produktionsspecifik fjärrvärme (GWh)",Miljö!$B$1:$R$1,0),FALSE)),0,VLOOKUP($B76,Miljö!$B$1:$S$500,MATCH("Såld mängd produktionsspecifik fjärrvärme (GWh)",Miljö!$B$1:$R$1,0),FALSE))</f>
        <v>0</v>
      </c>
      <c r="AN76" s="172">
        <f t="shared" si="24"/>
        <v>0.87896137408273545</v>
      </c>
      <c r="AO76" s="121"/>
      <c r="AP76" s="121" t="str">
        <f>IFERROR(VLOOKUP($B76,Miljövärden!$B$2:$H$550,7,FALSE),"Nej, saknas")</f>
        <v>Ja</v>
      </c>
      <c r="AQ76" s="121" t="str">
        <f>IFERROR(VLOOKUP($B76,Miljövärden!$B$2:$H$550,6,FALSE),"Nej, saknas")</f>
        <v>Ja</v>
      </c>
      <c r="AU76">
        <f t="shared" si="25"/>
        <v>0.12</v>
      </c>
      <c r="AV76">
        <f t="shared" si="26"/>
        <v>0</v>
      </c>
      <c r="AW76">
        <f t="shared" si="27"/>
        <v>0</v>
      </c>
      <c r="AX76">
        <f t="shared" si="28"/>
        <v>12.1</v>
      </c>
      <c r="AZ76">
        <f t="shared" si="29"/>
        <v>12.280999999999999</v>
      </c>
      <c r="BC76">
        <f t="shared" si="30"/>
        <v>0</v>
      </c>
      <c r="BD76">
        <f t="shared" si="31"/>
        <v>0</v>
      </c>
      <c r="BE76">
        <f t="shared" si="32"/>
        <v>12.280999999999999</v>
      </c>
      <c r="BF76">
        <f t="shared" si="33"/>
        <v>0</v>
      </c>
      <c r="BG76">
        <f t="shared" si="34"/>
        <v>0.12</v>
      </c>
      <c r="BH76">
        <f>VLOOKUP(B76,Miljö!$B$1:$BX$482,MATCH("Fossilandel för ursprungspecificerad el ()",Miljö!$B$1:$I$1,0),FALSE)</f>
        <v>0</v>
      </c>
      <c r="BI76">
        <f>VLOOKUP(B76,Miljö!$B$1:$BX$482,MATCH("Kärnkraftsandel för ursprungsspecificerad el ()",Miljö!$B$1:$O$1,0),FALSE)</f>
        <v>0</v>
      </c>
      <c r="BJ76">
        <f t="shared" si="35"/>
        <v>0</v>
      </c>
      <c r="BK76" t="str">
        <f>VLOOKUP(B76,Miljö!$B$1:$O$482,MATCH("Fossil andel i procent (%)",Miljö!$B$1:$O$1,0),FALSE)</f>
        <v>ET</v>
      </c>
      <c r="BL76">
        <f t="shared" si="36"/>
        <v>12.400999999999998</v>
      </c>
      <c r="BO76" s="18">
        <f t="shared" si="37"/>
        <v>0</v>
      </c>
      <c r="BP76" s="18">
        <f t="shared" si="38"/>
        <v>0</v>
      </c>
      <c r="BQ76" s="18">
        <f t="shared" si="39"/>
        <v>1</v>
      </c>
      <c r="BR76" s="18">
        <f t="shared" si="40"/>
        <v>0</v>
      </c>
      <c r="BT76" s="27">
        <f t="shared" si="41"/>
        <v>1</v>
      </c>
      <c r="BW76" s="18">
        <f>IF(AP76="ja",VLOOKUP(B76,Miljövärden!$B$2:$H$550,MATCH("Total andel fossilt",Miljövärden!$B$2:$H$2,0),FALSE),"")</f>
        <v>0</v>
      </c>
      <c r="BZ76" s="28">
        <f t="shared" si="42"/>
        <v>0</v>
      </c>
      <c r="CA76" s="28">
        <f t="shared" si="43"/>
        <v>0</v>
      </c>
    </row>
    <row r="77" spans="1:79" x14ac:dyDescent="0.25">
      <c r="A77" s="224" t="s">
        <v>293</v>
      </c>
      <c r="B77" s="210" t="s">
        <v>296</v>
      </c>
      <c r="C77" s="121">
        <f>VLOOKUP($B77,'Tillförd energi'!$B$1:$AI$720,MATCH(C$1,'Tillförd energi'!$B$1:$AQ$1,0),FALSE)</f>
        <v>0</v>
      </c>
      <c r="D77" s="121">
        <f>VLOOKUP($B77,'Tillförd energi'!$B$1:$AI$720,MATCH(D$1,'Tillförd energi'!$B$1:$AQ$1,0),FALSE)</f>
        <v>0</v>
      </c>
      <c r="E77" s="121">
        <f>VLOOKUP($B77,'Tillförd energi'!$B$1:$AI$720,MATCH(E$1,'Tillförd energi'!$B$1:$AQ$1,0),FALSE)</f>
        <v>0</v>
      </c>
      <c r="F77" s="121">
        <f>VLOOKUP($B77,'Tillförd energi'!$B$1:$AI$720,MATCH(F$1,'Tillförd energi'!$B$1:$AQ$1,0),FALSE)</f>
        <v>0</v>
      </c>
      <c r="G77" s="121">
        <f>VLOOKUP($B77,'Tillförd energi'!$B$1:$AI$720,MATCH(G$1,'Tillförd energi'!$B$1:$AQ$1,0),FALSE)</f>
        <v>0</v>
      </c>
      <c r="H77" s="121">
        <f>VLOOKUP($B77,'Tillförd energi'!$B$1:$AI$720,MATCH(H$1,'Tillförd energi'!$B$1:$AQ$1,0),FALSE)</f>
        <v>0</v>
      </c>
      <c r="I77" s="121">
        <f>VLOOKUP($B77,'Tillförd energi'!$B$1:$AI$720,MATCH(I$1,'Tillförd energi'!$B$1:$AQ$1,0),FALSE)</f>
        <v>0</v>
      </c>
      <c r="J77" s="121">
        <f>VLOOKUP($B77,'Tillförd energi'!$B$1:$AI$720,MATCH(J$1,'Tillförd energi'!$B$1:$AQ$1,0),FALSE)</f>
        <v>0</v>
      </c>
      <c r="K77" s="121">
        <f>VLOOKUP($B77,'Tillförd energi'!$B$1:$AI$720,MATCH(K$1,'Tillförd energi'!$B$1:$AQ$1,0),FALSE)</f>
        <v>0</v>
      </c>
      <c r="L77" s="121">
        <f>VLOOKUP($B77,'Tillförd energi'!$B$1:$AI$720,MATCH(L$1,'Tillförd energi'!$B$1:$AQ$1,0),FALSE)</f>
        <v>0</v>
      </c>
      <c r="M77" s="121">
        <f>VLOOKUP($B77,'Tillförd energi'!$B$1:$AI$720,MATCH(M$1,'Tillförd energi'!$B$1:$AQ$1,0),FALSE)</f>
        <v>0</v>
      </c>
      <c r="N77" s="121">
        <f>VLOOKUP($B77,'Tillförd energi'!$B$1:$AI$720,MATCH(N$1,'Tillförd energi'!$B$1:$AQ$1,0),FALSE)</f>
        <v>0</v>
      </c>
      <c r="O77" s="121">
        <f>VLOOKUP($B77,'Tillförd energi'!$B$1:$AI$720,MATCH(O$1,'Tillförd energi'!$B$1:$AQ$1,0),FALSE)</f>
        <v>0</v>
      </c>
      <c r="P77" s="121">
        <f>VLOOKUP($B77,'Tillförd energi'!$B$1:$AI$720,MATCH(P$1,'Tillförd energi'!$B$1:$AQ$1,0),FALSE)</f>
        <v>0</v>
      </c>
      <c r="Q77" s="121">
        <f>VLOOKUP($B77,'Tillförd energi'!$B$1:$AI$720,MATCH(Q$1,'Tillförd energi'!$B$1:$AQ$1,0),FALSE)</f>
        <v>0</v>
      </c>
      <c r="R77" s="121">
        <f>VLOOKUP($B77,'Tillförd energi'!$B$1:$AI$720,MATCH(R$1,'Tillförd energi'!$B$1:$AQ$1,0),FALSE)</f>
        <v>4.2270000000000003</v>
      </c>
      <c r="S77" s="121">
        <f>VLOOKUP($B77,'Tillförd energi'!$B$1:$AI$720,MATCH(S$1,'Tillförd energi'!$B$1:$AQ$1,0),FALSE)</f>
        <v>0</v>
      </c>
      <c r="T77" s="121">
        <f>VLOOKUP($B77,'Tillförd energi'!$B$1:$AI$720,MATCH(T$1,'Tillförd energi'!$B$1:$AQ$1,0),FALSE)</f>
        <v>0</v>
      </c>
      <c r="U77" s="121">
        <f>VLOOKUP($B77,'Tillförd energi'!$B$1:$AI$720,MATCH(U$1,'Tillförd energi'!$B$1:$AQ$1,0),FALSE)</f>
        <v>0</v>
      </c>
      <c r="V77" s="121">
        <f>VLOOKUP($B77,'Tillförd energi'!$B$1:$AI$720,MATCH(V$1,'Tillförd energi'!$B$1:$AQ$1,0),FALSE)</f>
        <v>0</v>
      </c>
      <c r="W77" s="121">
        <f>VLOOKUP($B77,'Tillförd energi'!$B$1:$AI$720,MATCH(W$1,'Tillförd energi'!$B$1:$AQ$1,0),FALSE)</f>
        <v>0</v>
      </c>
      <c r="X77" s="121">
        <f>VLOOKUP($B77,'Tillförd energi'!$B$1:$AI$720,MATCH(X$1,'Tillförd energi'!$B$1:$AQ$1,0),FALSE)</f>
        <v>0</v>
      </c>
      <c r="Y77" s="121">
        <f>VLOOKUP($B77,'Tillförd energi'!$B$1:$AI$720,MATCH(Y$1,'Tillförd energi'!$B$1:$AQ$1,0),FALSE)</f>
        <v>0</v>
      </c>
      <c r="Z77" s="121">
        <f>VLOOKUP($B77,'Tillförd energi'!$B$1:$AI$720,MATCH(Z$1,'Tillförd energi'!$B$1:$AQ$1,0),FALSE)</f>
        <v>0.5</v>
      </c>
      <c r="AA77" s="121">
        <f>VLOOKUP($B77,'Tillförd energi'!$B$1:$AI$720,MATCH(AA$1,'Tillförd energi'!$B$1:$AQ$1,0),FALSE)</f>
        <v>0</v>
      </c>
      <c r="AB77" s="121">
        <f>VLOOKUP($B77,'Tillförd energi'!$B$1:$AI$720,MATCH(AB$1,'Tillförd energi'!$B$1:$AQ$1,0),FALSE)</f>
        <v>0</v>
      </c>
      <c r="AC77" s="121">
        <f>VLOOKUP($B77,'Tillförd energi'!$B$1:$AI$720,MATCH(AC$1,'Tillförd energi'!$B$1:$AQ$1,0),FALSE)</f>
        <v>0</v>
      </c>
      <c r="AD77" s="121">
        <f>VLOOKUP($B77,'Tillförd energi'!$B$1:$AI$720,MATCH(AD$1,'Tillförd energi'!$B$1:$AQ$1,0),FALSE)</f>
        <v>0</v>
      </c>
      <c r="AE77" s="121">
        <f>VLOOKUP($B77,'Tillförd energi'!$B$1:$AI$720,MATCH(AE$1,'Tillförd energi'!$B$1:$AQ$1,0),FALSE)</f>
        <v>0</v>
      </c>
      <c r="AF77" s="121">
        <f>VLOOKUP($B77,'Tillförd energi'!$B$1:$AI$720,MATCH(AF$1,'Tillförd energi'!$B$1:$AQ$1,0),FALSE)</f>
        <v>0.56000000000000005</v>
      </c>
      <c r="AG77" s="121">
        <f>IFERROR(VLOOKUP(B77,Miljö!$B$1:$AC$550,MATCH("Köpt mängd produktionsspecifik fjärrvärme:",Miljö!$B$1:$AC$1,0),FALSE)/1,0)</f>
        <v>0</v>
      </c>
      <c r="AH77" s="121"/>
      <c r="AI77" s="121">
        <f t="shared" si="22"/>
        <v>5.2870000000000008</v>
      </c>
      <c r="AJ77" s="121">
        <f t="shared" si="23"/>
        <v>5.2870000000000008</v>
      </c>
      <c r="AK77" s="121">
        <f>IF(ISERROR(1/VLOOKUP($B77,Leveranser!$B$1:$S$499,MATCH("såld värme (gwh)",Leveranser!$B$1:$S$1,0),FALSE)),"",VLOOKUP($B77,Leveranser!$B$1:$S$499,MATCH("såld värme (gwh)",Leveranser!$B$1:$S$1,0),FALSE))</f>
        <v>4.0999999999999996</v>
      </c>
      <c r="AL77" s="121">
        <f>VLOOKUP($B77,Leveranser!$B$1:$Y$499,MATCH("Totalt såld fjärrvärme till andra fjärrvärmeföretag",Leveranser!$B$1:$AA$1,0),FALSE)</f>
        <v>0</v>
      </c>
      <c r="AM77" s="121">
        <f>IF(ISERROR(1/VLOOKUP($B77,Miljö!$B$1:$S$500,MATCH("Såld mängd produktionsspecifik fjärrvärme (GWh)",Miljö!$B$1:$R$1,0),FALSE)),0,VLOOKUP($B77,Miljö!$B$1:$S$500,MATCH("Såld mängd produktionsspecifik fjärrvärme (GWh)",Miljö!$B$1:$R$1,0),FALSE))</f>
        <v>0</v>
      </c>
      <c r="AN77" s="172">
        <f t="shared" si="24"/>
        <v>0.77548704369207466</v>
      </c>
      <c r="AO77" s="121"/>
      <c r="AP77" s="121" t="str">
        <f>IFERROR(VLOOKUP($B77,Miljövärden!$B$2:$H$550,7,FALSE),"Nej, saknas")</f>
        <v>Ja</v>
      </c>
      <c r="AQ77" s="121" t="str">
        <f>IFERROR(VLOOKUP($B77,Miljövärden!$B$2:$H$550,6,FALSE),"Nej, saknas")</f>
        <v>Ja</v>
      </c>
      <c r="AU77">
        <f t="shared" si="25"/>
        <v>1.06</v>
      </c>
      <c r="AV77">
        <f t="shared" si="26"/>
        <v>0</v>
      </c>
      <c r="AW77">
        <f t="shared" si="27"/>
        <v>0</v>
      </c>
      <c r="AX77">
        <f t="shared" si="28"/>
        <v>4.2270000000000003</v>
      </c>
      <c r="AZ77">
        <f t="shared" si="29"/>
        <v>4.2270000000000003</v>
      </c>
      <c r="BC77">
        <f t="shared" si="30"/>
        <v>0</v>
      </c>
      <c r="BD77">
        <f t="shared" si="31"/>
        <v>0</v>
      </c>
      <c r="BE77">
        <f t="shared" si="32"/>
        <v>4.2270000000000003</v>
      </c>
      <c r="BF77">
        <f t="shared" si="33"/>
        <v>0</v>
      </c>
      <c r="BG77">
        <f t="shared" si="34"/>
        <v>1.06</v>
      </c>
      <c r="BH77">
        <f>VLOOKUP(B77,Miljö!$B$1:$BX$482,MATCH("Fossilandel för ursprungspecificerad el ()",Miljö!$B$1:$I$1,0),FALSE)</f>
        <v>0</v>
      </c>
      <c r="BI77">
        <f>VLOOKUP(B77,Miljö!$B$1:$BX$482,MATCH("Kärnkraftsandel för ursprungsspecificerad el ()",Miljö!$B$1:$O$1,0),FALSE)</f>
        <v>0</v>
      </c>
      <c r="BJ77">
        <f t="shared" si="35"/>
        <v>0</v>
      </c>
      <c r="BK77" t="str">
        <f>VLOOKUP(B77,Miljö!$B$1:$O$482,MATCH("Fossil andel i procent (%)",Miljö!$B$1:$O$1,0),FALSE)</f>
        <v>ET</v>
      </c>
      <c r="BL77">
        <f t="shared" si="36"/>
        <v>5.2870000000000008</v>
      </c>
      <c r="BO77" s="18">
        <f t="shared" si="37"/>
        <v>0</v>
      </c>
      <c r="BP77" s="18">
        <f t="shared" si="38"/>
        <v>0</v>
      </c>
      <c r="BQ77" s="18">
        <f t="shared" si="39"/>
        <v>1</v>
      </c>
      <c r="BR77" s="18">
        <f t="shared" si="40"/>
        <v>0</v>
      </c>
      <c r="BT77" s="27">
        <f t="shared" si="41"/>
        <v>1</v>
      </c>
      <c r="BW77" s="18">
        <f>IF(AP77="ja",VLOOKUP(B77,Miljövärden!$B$2:$H$550,MATCH("Total andel fossilt",Miljövärden!$B$2:$H$2,0),FALSE),"")</f>
        <v>0</v>
      </c>
      <c r="BZ77" s="28">
        <f t="shared" si="42"/>
        <v>0</v>
      </c>
      <c r="CA77" s="28">
        <f t="shared" si="43"/>
        <v>0</v>
      </c>
    </row>
    <row r="78" spans="1:79" x14ac:dyDescent="0.25">
      <c r="A78" s="224" t="s">
        <v>297</v>
      </c>
      <c r="B78" s="210" t="s">
        <v>298</v>
      </c>
      <c r="C78" s="121">
        <f>VLOOKUP($B78,'Tillförd energi'!$B$1:$AI$720,MATCH(C$1,'Tillförd energi'!$B$1:$AQ$1,0),FALSE)</f>
        <v>0</v>
      </c>
      <c r="D78" s="121">
        <f>VLOOKUP($B78,'Tillförd energi'!$B$1:$AI$720,MATCH(D$1,'Tillförd energi'!$B$1:$AQ$1,0),FALSE)</f>
        <v>0.56499999999999995</v>
      </c>
      <c r="E78" s="121">
        <f>VLOOKUP($B78,'Tillförd energi'!$B$1:$AI$720,MATCH(E$1,'Tillförd energi'!$B$1:$AQ$1,0),FALSE)</f>
        <v>0</v>
      </c>
      <c r="F78" s="121">
        <f>VLOOKUP($B78,'Tillförd energi'!$B$1:$AI$720,MATCH(F$1,'Tillförd energi'!$B$1:$AQ$1,0),FALSE)</f>
        <v>0</v>
      </c>
      <c r="G78" s="121">
        <f>VLOOKUP($B78,'Tillförd energi'!$B$1:$AI$720,MATCH(G$1,'Tillförd energi'!$B$1:$AQ$1,0),FALSE)</f>
        <v>0</v>
      </c>
      <c r="H78" s="121">
        <f>VLOOKUP($B78,'Tillförd energi'!$B$1:$AI$720,MATCH(H$1,'Tillförd energi'!$B$1:$AQ$1,0),FALSE)</f>
        <v>0</v>
      </c>
      <c r="I78" s="121">
        <f>VLOOKUP($B78,'Tillförd energi'!$B$1:$AI$720,MATCH(I$1,'Tillförd energi'!$B$1:$AQ$1,0),FALSE)</f>
        <v>0</v>
      </c>
      <c r="J78" s="121">
        <f>VLOOKUP($B78,'Tillförd energi'!$B$1:$AI$720,MATCH(J$1,'Tillförd energi'!$B$1:$AQ$1,0),FALSE)</f>
        <v>3.3719999999999999</v>
      </c>
      <c r="K78" s="121">
        <f>VLOOKUP($B78,'Tillförd energi'!$B$1:$AI$720,MATCH(K$1,'Tillförd energi'!$B$1:$AQ$1,0),FALSE)</f>
        <v>0</v>
      </c>
      <c r="L78" s="121">
        <f>VLOOKUP($B78,'Tillförd energi'!$B$1:$AI$720,MATCH(L$1,'Tillförd energi'!$B$1:$AQ$1,0),FALSE)</f>
        <v>0</v>
      </c>
      <c r="M78" s="121">
        <f>VLOOKUP($B78,'Tillförd energi'!$B$1:$AI$720,MATCH(M$1,'Tillförd energi'!$B$1:$AQ$1,0),FALSE)</f>
        <v>0</v>
      </c>
      <c r="N78" s="121">
        <f>VLOOKUP($B78,'Tillförd energi'!$B$1:$AI$720,MATCH(N$1,'Tillförd energi'!$B$1:$AQ$1,0),FALSE)</f>
        <v>50.393999999999998</v>
      </c>
      <c r="O78" s="121">
        <f>VLOOKUP($B78,'Tillförd energi'!$B$1:$AI$720,MATCH(O$1,'Tillförd energi'!$B$1:$AQ$1,0),FALSE)</f>
        <v>0</v>
      </c>
      <c r="P78" s="121">
        <f>VLOOKUP($B78,'Tillförd energi'!$B$1:$AI$720,MATCH(P$1,'Tillförd energi'!$B$1:$AQ$1,0),FALSE)</f>
        <v>21.178000000000001</v>
      </c>
      <c r="Q78" s="121">
        <f>VLOOKUP($B78,'Tillförd energi'!$B$1:$AI$720,MATCH(Q$1,'Tillförd energi'!$B$1:$AQ$1,0),FALSE)</f>
        <v>0</v>
      </c>
      <c r="R78" s="121">
        <f>VLOOKUP($B78,'Tillförd energi'!$B$1:$AI$720,MATCH(R$1,'Tillförd energi'!$B$1:$AQ$1,0),FALSE)</f>
        <v>0</v>
      </c>
      <c r="S78" s="121">
        <f>VLOOKUP($B78,'Tillförd energi'!$B$1:$AI$720,MATCH(S$1,'Tillförd energi'!$B$1:$AQ$1,0),FALSE)</f>
        <v>0</v>
      </c>
      <c r="T78" s="121">
        <f>VLOOKUP($B78,'Tillförd energi'!$B$1:$AI$720,MATCH(T$1,'Tillförd energi'!$B$1:$AQ$1,0),FALSE)</f>
        <v>0</v>
      </c>
      <c r="U78" s="121">
        <f>VLOOKUP($B78,'Tillförd energi'!$B$1:$AI$720,MATCH(U$1,'Tillförd energi'!$B$1:$AQ$1,0),FALSE)</f>
        <v>0</v>
      </c>
      <c r="V78" s="121">
        <f>VLOOKUP($B78,'Tillförd energi'!$B$1:$AI$720,MATCH(V$1,'Tillförd energi'!$B$1:$AQ$1,0),FALSE)</f>
        <v>0</v>
      </c>
      <c r="W78" s="121">
        <f>VLOOKUP($B78,'Tillförd energi'!$B$1:$AI$720,MATCH(W$1,'Tillförd energi'!$B$1:$AQ$1,0),FALSE)</f>
        <v>1.083</v>
      </c>
      <c r="X78" s="121">
        <f>VLOOKUP($B78,'Tillförd energi'!$B$1:$AI$720,MATCH(X$1,'Tillförd energi'!$B$1:$AQ$1,0),FALSE)</f>
        <v>0</v>
      </c>
      <c r="Y78" s="121">
        <f>VLOOKUP($B78,'Tillförd energi'!$B$1:$AI$720,MATCH(Y$1,'Tillförd energi'!$B$1:$AQ$1,0),FALSE)</f>
        <v>0</v>
      </c>
      <c r="Z78" s="121">
        <f>VLOOKUP($B78,'Tillförd energi'!$B$1:$AI$720,MATCH(Z$1,'Tillförd energi'!$B$1:$AQ$1,0),FALSE)</f>
        <v>0</v>
      </c>
      <c r="AA78" s="121">
        <f>VLOOKUP($B78,'Tillförd energi'!$B$1:$AI$720,MATCH(AA$1,'Tillförd energi'!$B$1:$AQ$1,0),FALSE)</f>
        <v>0</v>
      </c>
      <c r="AB78" s="121">
        <f>VLOOKUP($B78,'Tillförd energi'!$B$1:$AI$720,MATCH(AB$1,'Tillförd energi'!$B$1:$AQ$1,0),FALSE)</f>
        <v>0</v>
      </c>
      <c r="AC78" s="121">
        <f>VLOOKUP($B78,'Tillförd energi'!$B$1:$AI$720,MATCH(AC$1,'Tillförd energi'!$B$1:$AQ$1,0),FALSE)</f>
        <v>8.1820000000000004</v>
      </c>
      <c r="AD78" s="121">
        <f>VLOOKUP($B78,'Tillförd energi'!$B$1:$AI$720,MATCH(AD$1,'Tillförd energi'!$B$1:$AQ$1,0),FALSE)</f>
        <v>0</v>
      </c>
      <c r="AE78" s="121">
        <f>VLOOKUP($B78,'Tillförd energi'!$B$1:$AI$720,MATCH(AE$1,'Tillförd energi'!$B$1:$AQ$1,0),FALSE)</f>
        <v>0</v>
      </c>
      <c r="AF78" s="121">
        <f>VLOOKUP($B78,'Tillförd energi'!$B$1:$AI$720,MATCH(AF$1,'Tillförd energi'!$B$1:$AQ$1,0),FALSE)</f>
        <v>1.7230000000000001</v>
      </c>
      <c r="AG78" s="121">
        <f>IFERROR(VLOOKUP(B78,Miljö!$B$1:$AC$550,MATCH("Köpt mängd produktionsspecifik fjärrvärme:",Miljö!$B$1:$AC$1,0),FALSE)/1,0)</f>
        <v>0</v>
      </c>
      <c r="AH78" s="121"/>
      <c r="AI78" s="121">
        <f t="shared" si="22"/>
        <v>86.497</v>
      </c>
      <c r="AJ78" s="121">
        <f t="shared" si="23"/>
        <v>86.497</v>
      </c>
      <c r="AK78" s="121">
        <f>IF(ISERROR(1/VLOOKUP($B78,Leveranser!$B$1:$S$499,MATCH("såld värme (gwh)",Leveranser!$B$1:$S$1,0),FALSE)),"",VLOOKUP($B78,Leveranser!$B$1:$S$499,MATCH("såld värme (gwh)",Leveranser!$B$1:$S$1,0),FALSE))</f>
        <v>63.59</v>
      </c>
      <c r="AL78" s="121">
        <f>VLOOKUP($B78,Leveranser!$B$1:$Y$499,MATCH("Totalt såld fjärrvärme till andra fjärrvärmeföretag",Leveranser!$B$1:$AA$1,0),FALSE)</f>
        <v>0</v>
      </c>
      <c r="AM78" s="121">
        <f>IF(ISERROR(1/VLOOKUP($B78,Miljö!$B$1:$S$500,MATCH("Såld mängd produktionsspecifik fjärrvärme (GWh)",Miljö!$B$1:$R$1,0),FALSE)),0,VLOOKUP($B78,Miljö!$B$1:$S$500,MATCH("Såld mängd produktionsspecifik fjärrvärme (GWh)",Miljö!$B$1:$R$1,0),FALSE))</f>
        <v>0</v>
      </c>
      <c r="AN78" s="172">
        <f t="shared" si="24"/>
        <v>0.73517000589615833</v>
      </c>
      <c r="AO78" s="121"/>
      <c r="AP78" s="121" t="str">
        <f>IFERROR(VLOOKUP($B78,Miljövärden!$B$2:$H$550,7,FALSE),"Nej, saknas")</f>
        <v>Ja</v>
      </c>
      <c r="AQ78" s="121" t="str">
        <f>IFERROR(VLOOKUP($B78,Miljövärden!$B$2:$H$550,6,FALSE),"Nej, saknas")</f>
        <v>Ja</v>
      </c>
      <c r="AU78">
        <f t="shared" si="25"/>
        <v>1.7230000000000001</v>
      </c>
      <c r="AV78">
        <f t="shared" si="26"/>
        <v>0</v>
      </c>
      <c r="AW78">
        <f t="shared" si="27"/>
        <v>71.572000000000003</v>
      </c>
      <c r="AX78">
        <f t="shared" si="28"/>
        <v>0</v>
      </c>
      <c r="AZ78">
        <f t="shared" si="29"/>
        <v>72.655000000000001</v>
      </c>
      <c r="BC78">
        <f t="shared" si="30"/>
        <v>0.56499999999999995</v>
      </c>
      <c r="BD78">
        <f t="shared" si="31"/>
        <v>0</v>
      </c>
      <c r="BE78">
        <f t="shared" si="32"/>
        <v>72.655000000000001</v>
      </c>
      <c r="BF78">
        <f t="shared" si="33"/>
        <v>11.554</v>
      </c>
      <c r="BG78">
        <f t="shared" si="34"/>
        <v>1.7230000000000001</v>
      </c>
      <c r="BH78">
        <f>VLOOKUP(B78,Miljö!$B$1:$BX$482,MATCH("Fossilandel för ursprungspecificerad el ()",Miljö!$B$1:$I$1,0),FALSE)</f>
        <v>0</v>
      </c>
      <c r="BI78">
        <f>VLOOKUP(B78,Miljö!$B$1:$BX$482,MATCH("Kärnkraftsandel för ursprungsspecificerad el ()",Miljö!$B$1:$O$1,0),FALSE)</f>
        <v>0</v>
      </c>
      <c r="BJ78">
        <f t="shared" si="35"/>
        <v>0</v>
      </c>
      <c r="BK78" t="str">
        <f>VLOOKUP(B78,Miljö!$B$1:$O$482,MATCH("Fossil andel i procent (%)",Miljö!$B$1:$O$1,0),FALSE)</f>
        <v>ET</v>
      </c>
      <c r="BL78">
        <f t="shared" si="36"/>
        <v>86.497</v>
      </c>
      <c r="BO78" s="18">
        <f t="shared" si="37"/>
        <v>6.5320184515069877E-3</v>
      </c>
      <c r="BP78" s="18">
        <f t="shared" si="38"/>
        <v>0</v>
      </c>
      <c r="BQ78" s="18">
        <f t="shared" si="39"/>
        <v>0.85989109448882617</v>
      </c>
      <c r="BR78" s="18">
        <f t="shared" si="40"/>
        <v>0.1335768870596668</v>
      </c>
      <c r="BT78" s="27">
        <f t="shared" si="41"/>
        <v>1</v>
      </c>
      <c r="BW78" s="18">
        <f>IF(AP78="ja",VLOOKUP(B78,Miljövärden!$B$2:$H$550,MATCH("Total andel fossilt",Miljövärden!$B$2:$H$2,0),FALSE),"")</f>
        <v>6.5320200000000004E-3</v>
      </c>
      <c r="BZ78" s="28">
        <f t="shared" si="42"/>
        <v>1.5484930126347107E-9</v>
      </c>
      <c r="CA78" s="28">
        <f t="shared" si="43"/>
        <v>0</v>
      </c>
    </row>
    <row r="79" spans="1:79" x14ac:dyDescent="0.25">
      <c r="A79" s="224" t="s">
        <v>297</v>
      </c>
      <c r="B79" s="210" t="s">
        <v>299</v>
      </c>
      <c r="C79" s="121">
        <f>VLOOKUP($B79,'Tillförd energi'!$B$1:$AI$720,MATCH(C$1,'Tillförd energi'!$B$1:$AQ$1,0),FALSE)</f>
        <v>0</v>
      </c>
      <c r="D79" s="121">
        <f>VLOOKUP($B79,'Tillförd energi'!$B$1:$AI$720,MATCH(D$1,'Tillförd energi'!$B$1:$AQ$1,0),FALSE)</f>
        <v>2.8000000000000001E-2</v>
      </c>
      <c r="E79" s="121">
        <f>VLOOKUP($B79,'Tillförd energi'!$B$1:$AI$720,MATCH(E$1,'Tillförd energi'!$B$1:$AQ$1,0),FALSE)</f>
        <v>0</v>
      </c>
      <c r="F79" s="121">
        <f>VLOOKUP($B79,'Tillförd energi'!$B$1:$AI$720,MATCH(F$1,'Tillförd energi'!$B$1:$AQ$1,0),FALSE)</f>
        <v>0</v>
      </c>
      <c r="G79" s="121">
        <f>VLOOKUP($B79,'Tillförd energi'!$B$1:$AI$720,MATCH(G$1,'Tillförd energi'!$B$1:$AQ$1,0),FALSE)</f>
        <v>0</v>
      </c>
      <c r="H79" s="121">
        <f>VLOOKUP($B79,'Tillförd energi'!$B$1:$AI$720,MATCH(H$1,'Tillförd energi'!$B$1:$AQ$1,0),FALSE)</f>
        <v>0</v>
      </c>
      <c r="I79" s="121">
        <f>VLOOKUP($B79,'Tillförd energi'!$B$1:$AI$720,MATCH(I$1,'Tillförd energi'!$B$1:$AQ$1,0),FALSE)</f>
        <v>0</v>
      </c>
      <c r="J79" s="121">
        <f>VLOOKUP($B79,'Tillförd energi'!$B$1:$AI$720,MATCH(J$1,'Tillförd energi'!$B$1:$AQ$1,0),FALSE)</f>
        <v>0</v>
      </c>
      <c r="K79" s="121">
        <f>VLOOKUP($B79,'Tillförd energi'!$B$1:$AI$720,MATCH(K$1,'Tillförd energi'!$B$1:$AQ$1,0),FALSE)</f>
        <v>0</v>
      </c>
      <c r="L79" s="121">
        <f>VLOOKUP($B79,'Tillförd energi'!$B$1:$AI$720,MATCH(L$1,'Tillförd energi'!$B$1:$AQ$1,0),FALSE)</f>
        <v>0</v>
      </c>
      <c r="M79" s="121">
        <f>VLOOKUP($B79,'Tillförd energi'!$B$1:$AI$720,MATCH(M$1,'Tillförd energi'!$B$1:$AQ$1,0),FALSE)</f>
        <v>0</v>
      </c>
      <c r="N79" s="121">
        <f>VLOOKUP($B79,'Tillförd energi'!$B$1:$AI$720,MATCH(N$1,'Tillförd energi'!$B$1:$AQ$1,0),FALSE)</f>
        <v>0</v>
      </c>
      <c r="O79" s="121">
        <f>VLOOKUP($B79,'Tillförd energi'!$B$1:$AI$720,MATCH(O$1,'Tillförd energi'!$B$1:$AQ$1,0),FALSE)</f>
        <v>0</v>
      </c>
      <c r="P79" s="121">
        <f>VLOOKUP($B79,'Tillförd energi'!$B$1:$AI$720,MATCH(P$1,'Tillförd energi'!$B$1:$AQ$1,0),FALSE)</f>
        <v>0</v>
      </c>
      <c r="Q79" s="121">
        <f>VLOOKUP($B79,'Tillförd energi'!$B$1:$AI$720,MATCH(Q$1,'Tillförd energi'!$B$1:$AQ$1,0),FALSE)</f>
        <v>0</v>
      </c>
      <c r="R79" s="121">
        <f>VLOOKUP($B79,'Tillförd energi'!$B$1:$AI$720,MATCH(R$1,'Tillförd energi'!$B$1:$AQ$1,0),FALSE)</f>
        <v>3.0910000000000002</v>
      </c>
      <c r="S79" s="121">
        <f>VLOOKUP($B79,'Tillförd energi'!$B$1:$AI$720,MATCH(S$1,'Tillförd energi'!$B$1:$AQ$1,0),FALSE)</f>
        <v>0</v>
      </c>
      <c r="T79" s="121">
        <f>VLOOKUP($B79,'Tillförd energi'!$B$1:$AI$720,MATCH(T$1,'Tillförd energi'!$B$1:$AQ$1,0),FALSE)</f>
        <v>0</v>
      </c>
      <c r="U79" s="121">
        <f>VLOOKUP($B79,'Tillförd energi'!$B$1:$AI$720,MATCH(U$1,'Tillförd energi'!$B$1:$AQ$1,0),FALSE)</f>
        <v>0</v>
      </c>
      <c r="V79" s="121">
        <f>VLOOKUP($B79,'Tillförd energi'!$B$1:$AI$720,MATCH(V$1,'Tillförd energi'!$B$1:$AQ$1,0),FALSE)</f>
        <v>0</v>
      </c>
      <c r="W79" s="121">
        <f>VLOOKUP($B79,'Tillförd energi'!$B$1:$AI$720,MATCH(W$1,'Tillförd energi'!$B$1:$AQ$1,0),FALSE)</f>
        <v>0</v>
      </c>
      <c r="X79" s="121">
        <f>VLOOKUP($B79,'Tillförd energi'!$B$1:$AI$720,MATCH(X$1,'Tillförd energi'!$B$1:$AQ$1,0),FALSE)</f>
        <v>0</v>
      </c>
      <c r="Y79" s="121">
        <f>VLOOKUP($B79,'Tillförd energi'!$B$1:$AI$720,MATCH(Y$1,'Tillförd energi'!$B$1:$AQ$1,0),FALSE)</f>
        <v>0</v>
      </c>
      <c r="Z79" s="121">
        <f>VLOOKUP($B79,'Tillförd energi'!$B$1:$AI$720,MATCH(Z$1,'Tillförd energi'!$B$1:$AQ$1,0),FALSE)</f>
        <v>0</v>
      </c>
      <c r="AA79" s="121">
        <f>VLOOKUP($B79,'Tillförd energi'!$B$1:$AI$720,MATCH(AA$1,'Tillförd energi'!$B$1:$AQ$1,0),FALSE)</f>
        <v>0</v>
      </c>
      <c r="AB79" s="121">
        <f>VLOOKUP($B79,'Tillförd energi'!$B$1:$AI$720,MATCH(AB$1,'Tillförd energi'!$B$1:$AQ$1,0),FALSE)</f>
        <v>0</v>
      </c>
      <c r="AC79" s="121">
        <f>VLOOKUP($B79,'Tillförd energi'!$B$1:$AI$720,MATCH(AC$1,'Tillförd energi'!$B$1:$AQ$1,0),FALSE)</f>
        <v>0</v>
      </c>
      <c r="AD79" s="121">
        <f>VLOOKUP($B79,'Tillförd energi'!$B$1:$AI$720,MATCH(AD$1,'Tillförd energi'!$B$1:$AQ$1,0),FALSE)</f>
        <v>0</v>
      </c>
      <c r="AE79" s="121">
        <f>VLOOKUP($B79,'Tillförd energi'!$B$1:$AI$720,MATCH(AE$1,'Tillförd energi'!$B$1:$AQ$1,0),FALSE)</f>
        <v>0</v>
      </c>
      <c r="AF79" s="121">
        <f>VLOOKUP($B79,'Tillförd energi'!$B$1:$AI$720,MATCH(AF$1,'Tillförd energi'!$B$1:$AQ$1,0),FALSE)</f>
        <v>5.0999999999999997E-2</v>
      </c>
      <c r="AG79" s="121">
        <f>IFERROR(VLOOKUP(B79,Miljö!$B$1:$AC$550,MATCH("Köpt mängd produktionsspecifik fjärrvärme:",Miljö!$B$1:$AC$1,0),FALSE)/1,0)</f>
        <v>0</v>
      </c>
      <c r="AH79" s="121"/>
      <c r="AI79" s="121">
        <f t="shared" si="22"/>
        <v>3.1700000000000004</v>
      </c>
      <c r="AJ79" s="121">
        <f t="shared" si="23"/>
        <v>3.1700000000000004</v>
      </c>
      <c r="AK79" s="121">
        <f>IF(ISERROR(1/VLOOKUP($B79,Leveranser!$B$1:$S$499,MATCH("såld värme (gwh)",Leveranser!$B$1:$S$1,0),FALSE)),"",VLOOKUP($B79,Leveranser!$B$1:$S$499,MATCH("såld värme (gwh)",Leveranser!$B$1:$S$1,0),FALSE))</f>
        <v>2.4660000000000002</v>
      </c>
      <c r="AL79" s="121">
        <f>VLOOKUP($B79,Leveranser!$B$1:$Y$499,MATCH("Totalt såld fjärrvärme till andra fjärrvärmeföretag",Leveranser!$B$1:$AA$1,0),FALSE)</f>
        <v>0</v>
      </c>
      <c r="AM79" s="121">
        <f>IF(ISERROR(1/VLOOKUP($B79,Miljö!$B$1:$S$500,MATCH("Såld mängd produktionsspecifik fjärrvärme (GWh)",Miljö!$B$1:$R$1,0),FALSE)),0,VLOOKUP($B79,Miljö!$B$1:$S$500,MATCH("Såld mängd produktionsspecifik fjärrvärme (GWh)",Miljö!$B$1:$R$1,0),FALSE))</f>
        <v>0</v>
      </c>
      <c r="AN79" s="172">
        <f t="shared" si="24"/>
        <v>0.77791798107255516</v>
      </c>
      <c r="AO79" s="121"/>
      <c r="AP79" s="121" t="str">
        <f>IFERROR(VLOOKUP($B79,Miljövärden!$B$2:$H$550,7,FALSE),"Nej, saknas")</f>
        <v>Ja</v>
      </c>
      <c r="AQ79" s="121" t="str">
        <f>IFERROR(VLOOKUP($B79,Miljövärden!$B$2:$H$550,6,FALSE),"Nej, saknas")</f>
        <v>Ja</v>
      </c>
      <c r="AU79">
        <f t="shared" si="25"/>
        <v>5.0999999999999997E-2</v>
      </c>
      <c r="AV79">
        <f t="shared" si="26"/>
        <v>0</v>
      </c>
      <c r="AW79">
        <f t="shared" si="27"/>
        <v>0</v>
      </c>
      <c r="AX79">
        <f t="shared" si="28"/>
        <v>3.0910000000000002</v>
      </c>
      <c r="AZ79">
        <f t="shared" si="29"/>
        <v>3.0910000000000002</v>
      </c>
      <c r="BC79">
        <f t="shared" si="30"/>
        <v>2.8000000000000001E-2</v>
      </c>
      <c r="BD79">
        <f t="shared" si="31"/>
        <v>0</v>
      </c>
      <c r="BE79">
        <f t="shared" si="32"/>
        <v>3.0910000000000002</v>
      </c>
      <c r="BF79">
        <f t="shared" si="33"/>
        <v>0</v>
      </c>
      <c r="BG79">
        <f t="shared" si="34"/>
        <v>5.0999999999999997E-2</v>
      </c>
      <c r="BH79">
        <f>VLOOKUP(B79,Miljö!$B$1:$BX$482,MATCH("Fossilandel för ursprungspecificerad el ()",Miljö!$B$1:$I$1,0),FALSE)</f>
        <v>0</v>
      </c>
      <c r="BI79">
        <f>VLOOKUP(B79,Miljö!$B$1:$BX$482,MATCH("Kärnkraftsandel för ursprungsspecificerad el ()",Miljö!$B$1:$O$1,0),FALSE)</f>
        <v>0</v>
      </c>
      <c r="BJ79">
        <f t="shared" si="35"/>
        <v>0</v>
      </c>
      <c r="BK79" t="str">
        <f>VLOOKUP(B79,Miljö!$B$1:$O$482,MATCH("Fossil andel i procent (%)",Miljö!$B$1:$O$1,0),FALSE)</f>
        <v>ET</v>
      </c>
      <c r="BL79">
        <f t="shared" si="36"/>
        <v>3.1700000000000004</v>
      </c>
      <c r="BO79" s="18">
        <f t="shared" si="37"/>
        <v>8.8328075709779175E-3</v>
      </c>
      <c r="BP79" s="18">
        <f t="shared" si="38"/>
        <v>0</v>
      </c>
      <c r="BQ79" s="18">
        <f t="shared" si="39"/>
        <v>0.99116719242902207</v>
      </c>
      <c r="BR79" s="18">
        <f t="shared" si="40"/>
        <v>0</v>
      </c>
      <c r="BT79" s="27">
        <f t="shared" si="41"/>
        <v>1</v>
      </c>
      <c r="BW79" s="18">
        <f>IF(AP79="ja",VLOOKUP(B79,Miljövärden!$B$2:$H$550,MATCH("Total andel fossilt",Miljövärden!$B$2:$H$2,0),FALSE),"")</f>
        <v>8.83281E-3</v>
      </c>
      <c r="BZ79" s="28">
        <f t="shared" si="42"/>
        <v>2.4290220824313424E-9</v>
      </c>
      <c r="CA79" s="28">
        <f t="shared" si="43"/>
        <v>0</v>
      </c>
    </row>
    <row r="80" spans="1:79" x14ac:dyDescent="0.25">
      <c r="A80" s="224" t="s">
        <v>297</v>
      </c>
      <c r="B80" s="210" t="s">
        <v>300</v>
      </c>
      <c r="C80" s="121">
        <f>VLOOKUP($B80,'Tillförd energi'!$B$1:$AI$720,MATCH(C$1,'Tillförd energi'!$B$1:$AQ$1,0),FALSE)</f>
        <v>0</v>
      </c>
      <c r="D80" s="121">
        <f>VLOOKUP($B80,'Tillförd energi'!$B$1:$AI$720,MATCH(D$1,'Tillförd energi'!$B$1:$AQ$1,0),FALSE)</f>
        <v>0.27800000000000002</v>
      </c>
      <c r="E80" s="121">
        <f>VLOOKUP($B80,'Tillförd energi'!$B$1:$AI$720,MATCH(E$1,'Tillförd energi'!$B$1:$AQ$1,0),FALSE)</f>
        <v>0</v>
      </c>
      <c r="F80" s="121">
        <f>VLOOKUP($B80,'Tillförd energi'!$B$1:$AI$720,MATCH(F$1,'Tillförd energi'!$B$1:$AQ$1,0),FALSE)</f>
        <v>0</v>
      </c>
      <c r="G80" s="121">
        <f>VLOOKUP($B80,'Tillförd energi'!$B$1:$AI$720,MATCH(G$1,'Tillförd energi'!$B$1:$AQ$1,0),FALSE)</f>
        <v>0</v>
      </c>
      <c r="H80" s="121">
        <f>VLOOKUP($B80,'Tillförd energi'!$B$1:$AI$720,MATCH(H$1,'Tillförd energi'!$B$1:$AQ$1,0),FALSE)</f>
        <v>0</v>
      </c>
      <c r="I80" s="121">
        <f>VLOOKUP($B80,'Tillförd energi'!$B$1:$AI$720,MATCH(I$1,'Tillförd energi'!$B$1:$AQ$1,0),FALSE)</f>
        <v>0</v>
      </c>
      <c r="J80" s="121">
        <f>VLOOKUP($B80,'Tillförd energi'!$B$1:$AI$720,MATCH(J$1,'Tillförd energi'!$B$1:$AQ$1,0),FALSE)</f>
        <v>0</v>
      </c>
      <c r="K80" s="121">
        <f>VLOOKUP($B80,'Tillförd energi'!$B$1:$AI$720,MATCH(K$1,'Tillförd energi'!$B$1:$AQ$1,0),FALSE)</f>
        <v>0</v>
      </c>
      <c r="L80" s="121">
        <f>VLOOKUP($B80,'Tillförd energi'!$B$1:$AI$720,MATCH(L$1,'Tillförd energi'!$B$1:$AQ$1,0),FALSE)</f>
        <v>0</v>
      </c>
      <c r="M80" s="121">
        <f>VLOOKUP($B80,'Tillförd energi'!$B$1:$AI$720,MATCH(M$1,'Tillförd energi'!$B$1:$AQ$1,0),FALSE)</f>
        <v>0</v>
      </c>
      <c r="N80" s="121">
        <f>VLOOKUP($B80,'Tillförd energi'!$B$1:$AI$720,MATCH(N$1,'Tillförd energi'!$B$1:$AQ$1,0),FALSE)</f>
        <v>0</v>
      </c>
      <c r="O80" s="121">
        <f>VLOOKUP($B80,'Tillförd energi'!$B$1:$AI$720,MATCH(O$1,'Tillförd energi'!$B$1:$AQ$1,0),FALSE)</f>
        <v>0</v>
      </c>
      <c r="P80" s="121">
        <f>VLOOKUP($B80,'Tillförd energi'!$B$1:$AI$720,MATCH(P$1,'Tillförd energi'!$B$1:$AQ$1,0),FALSE)</f>
        <v>0</v>
      </c>
      <c r="Q80" s="121">
        <f>VLOOKUP($B80,'Tillförd energi'!$B$1:$AI$720,MATCH(Q$1,'Tillförd energi'!$B$1:$AQ$1,0),FALSE)</f>
        <v>0</v>
      </c>
      <c r="R80" s="121">
        <f>VLOOKUP($B80,'Tillförd energi'!$B$1:$AI$720,MATCH(R$1,'Tillförd energi'!$B$1:$AQ$1,0),FALSE)</f>
        <v>3.8290000000000002</v>
      </c>
      <c r="S80" s="121">
        <f>VLOOKUP($B80,'Tillförd energi'!$B$1:$AI$720,MATCH(S$1,'Tillförd energi'!$B$1:$AQ$1,0),FALSE)</f>
        <v>0</v>
      </c>
      <c r="T80" s="121">
        <f>VLOOKUP($B80,'Tillförd energi'!$B$1:$AI$720,MATCH(T$1,'Tillförd energi'!$B$1:$AQ$1,0),FALSE)</f>
        <v>0</v>
      </c>
      <c r="U80" s="121">
        <f>VLOOKUP($B80,'Tillförd energi'!$B$1:$AI$720,MATCH(U$1,'Tillförd energi'!$B$1:$AQ$1,0),FALSE)</f>
        <v>0</v>
      </c>
      <c r="V80" s="121">
        <f>VLOOKUP($B80,'Tillförd energi'!$B$1:$AI$720,MATCH(V$1,'Tillförd energi'!$B$1:$AQ$1,0),FALSE)</f>
        <v>0</v>
      </c>
      <c r="W80" s="121">
        <f>VLOOKUP($B80,'Tillförd energi'!$B$1:$AI$720,MATCH(W$1,'Tillförd energi'!$B$1:$AQ$1,0),FALSE)</f>
        <v>0</v>
      </c>
      <c r="X80" s="121">
        <f>VLOOKUP($B80,'Tillförd energi'!$B$1:$AI$720,MATCH(X$1,'Tillförd energi'!$B$1:$AQ$1,0),FALSE)</f>
        <v>0</v>
      </c>
      <c r="Y80" s="121">
        <f>VLOOKUP($B80,'Tillförd energi'!$B$1:$AI$720,MATCH(Y$1,'Tillförd energi'!$B$1:$AQ$1,0),FALSE)</f>
        <v>0</v>
      </c>
      <c r="Z80" s="121">
        <f>VLOOKUP($B80,'Tillförd energi'!$B$1:$AI$720,MATCH(Z$1,'Tillförd energi'!$B$1:$AQ$1,0),FALSE)</f>
        <v>0</v>
      </c>
      <c r="AA80" s="121">
        <f>VLOOKUP($B80,'Tillförd energi'!$B$1:$AI$720,MATCH(AA$1,'Tillförd energi'!$B$1:$AQ$1,0),FALSE)</f>
        <v>0</v>
      </c>
      <c r="AB80" s="121">
        <f>VLOOKUP($B80,'Tillförd energi'!$B$1:$AI$720,MATCH(AB$1,'Tillförd energi'!$B$1:$AQ$1,0),FALSE)</f>
        <v>0</v>
      </c>
      <c r="AC80" s="121">
        <f>VLOOKUP($B80,'Tillförd energi'!$B$1:$AI$720,MATCH(AC$1,'Tillförd energi'!$B$1:$AQ$1,0),FALSE)</f>
        <v>0</v>
      </c>
      <c r="AD80" s="121">
        <f>VLOOKUP($B80,'Tillförd energi'!$B$1:$AI$720,MATCH(AD$1,'Tillförd energi'!$B$1:$AQ$1,0),FALSE)</f>
        <v>0</v>
      </c>
      <c r="AE80" s="121">
        <f>VLOOKUP($B80,'Tillförd energi'!$B$1:$AI$720,MATCH(AE$1,'Tillförd energi'!$B$1:$AQ$1,0),FALSE)</f>
        <v>0</v>
      </c>
      <c r="AF80" s="121">
        <f>VLOOKUP($B80,'Tillförd energi'!$B$1:$AI$720,MATCH(AF$1,'Tillförd energi'!$B$1:$AQ$1,0),FALSE)</f>
        <v>5.5E-2</v>
      </c>
      <c r="AG80" s="121">
        <f>IFERROR(VLOOKUP(B80,Miljö!$B$1:$AC$550,MATCH("Köpt mängd produktionsspecifik fjärrvärme:",Miljö!$B$1:$AC$1,0),FALSE)/1,0)</f>
        <v>0</v>
      </c>
      <c r="AH80" s="121"/>
      <c r="AI80" s="121">
        <f t="shared" si="22"/>
        <v>4.1619999999999999</v>
      </c>
      <c r="AJ80" s="121">
        <f t="shared" si="23"/>
        <v>4.1619999999999999</v>
      </c>
      <c r="AK80" s="121">
        <f>IF(ISERROR(1/VLOOKUP($B80,Leveranser!$B$1:$S$499,MATCH("såld värme (gwh)",Leveranser!$B$1:$S$1,0),FALSE)),"",VLOOKUP($B80,Leveranser!$B$1:$S$499,MATCH("såld värme (gwh)",Leveranser!$B$1:$S$1,0),FALSE))</f>
        <v>3.2919999999999998</v>
      </c>
      <c r="AL80" s="121">
        <f>VLOOKUP($B80,Leveranser!$B$1:$Y$499,MATCH("Totalt såld fjärrvärme till andra fjärrvärmeföretag",Leveranser!$B$1:$AA$1,0),FALSE)</f>
        <v>0</v>
      </c>
      <c r="AM80" s="121">
        <f>IF(ISERROR(1/VLOOKUP($B80,Miljö!$B$1:$S$500,MATCH("Såld mängd produktionsspecifik fjärrvärme (GWh)",Miljö!$B$1:$R$1,0),FALSE)),0,VLOOKUP($B80,Miljö!$B$1:$S$500,MATCH("Såld mängd produktionsspecifik fjärrvärme (GWh)",Miljö!$B$1:$R$1,0),FALSE))</f>
        <v>0</v>
      </c>
      <c r="AN80" s="172">
        <f t="shared" si="24"/>
        <v>0.79096588178760208</v>
      </c>
      <c r="AO80" s="121"/>
      <c r="AP80" s="121" t="str">
        <f>IFERROR(VLOOKUP($B80,Miljövärden!$B$2:$H$550,7,FALSE),"Nej, saknas")</f>
        <v>Ja</v>
      </c>
      <c r="AQ80" s="121" t="str">
        <f>IFERROR(VLOOKUP($B80,Miljövärden!$B$2:$H$550,6,FALSE),"Nej, saknas")</f>
        <v>Ja</v>
      </c>
      <c r="AU80">
        <f t="shared" si="25"/>
        <v>5.5E-2</v>
      </c>
      <c r="AV80">
        <f t="shared" si="26"/>
        <v>0</v>
      </c>
      <c r="AW80">
        <f t="shared" si="27"/>
        <v>0</v>
      </c>
      <c r="AX80">
        <f t="shared" si="28"/>
        <v>3.8290000000000002</v>
      </c>
      <c r="AZ80">
        <f t="shared" si="29"/>
        <v>3.8290000000000002</v>
      </c>
      <c r="BC80">
        <f t="shared" si="30"/>
        <v>0.27800000000000002</v>
      </c>
      <c r="BD80">
        <f t="shared" si="31"/>
        <v>0</v>
      </c>
      <c r="BE80">
        <f t="shared" si="32"/>
        <v>3.8290000000000002</v>
      </c>
      <c r="BF80">
        <f t="shared" si="33"/>
        <v>0</v>
      </c>
      <c r="BG80">
        <f t="shared" si="34"/>
        <v>5.5E-2</v>
      </c>
      <c r="BH80">
        <f>VLOOKUP(B80,Miljö!$B$1:$BX$482,MATCH("Fossilandel för ursprungspecificerad el ()",Miljö!$B$1:$I$1,0),FALSE)</f>
        <v>0.01</v>
      </c>
      <c r="BI80">
        <f>VLOOKUP(B80,Miljö!$B$1:$BX$482,MATCH("Kärnkraftsandel för ursprungsspecificerad el ()",Miljö!$B$1:$O$1,0),FALSE)</f>
        <v>0</v>
      </c>
      <c r="BJ80">
        <f t="shared" si="35"/>
        <v>0</v>
      </c>
      <c r="BK80" t="str">
        <f>VLOOKUP(B80,Miljö!$B$1:$O$482,MATCH("Fossil andel i procent (%)",Miljö!$B$1:$O$1,0),FALSE)</f>
        <v>ET</v>
      </c>
      <c r="BL80">
        <f t="shared" si="36"/>
        <v>4.1619999999999999</v>
      </c>
      <c r="BO80" s="18">
        <f t="shared" si="37"/>
        <v>6.6926958193176359E-2</v>
      </c>
      <c r="BP80" s="18">
        <f t="shared" si="38"/>
        <v>0</v>
      </c>
      <c r="BQ80" s="18">
        <f t="shared" si="39"/>
        <v>0.93307304180682371</v>
      </c>
      <c r="BR80" s="18">
        <f t="shared" si="40"/>
        <v>0</v>
      </c>
      <c r="BT80" s="27">
        <f t="shared" si="41"/>
        <v>1</v>
      </c>
      <c r="BW80" s="18">
        <f>IF(AP80="ja",VLOOKUP(B80,Miljövärden!$B$2:$H$550,MATCH("Total andel fossilt",Miljövärden!$B$2:$H$2,0),FALSE),"")</f>
        <v>6.6927E-2</v>
      </c>
      <c r="BZ80" s="28">
        <f t="shared" si="42"/>
        <v>4.1806823641854507E-8</v>
      </c>
      <c r="CA80" s="28">
        <f t="shared" si="43"/>
        <v>0</v>
      </c>
    </row>
    <row r="81" spans="1:79" x14ac:dyDescent="0.25">
      <c r="A81" s="224" t="s">
        <v>301</v>
      </c>
      <c r="B81" s="210" t="s">
        <v>302</v>
      </c>
      <c r="C81" s="121">
        <f>VLOOKUP($B81,'Tillförd energi'!$B$1:$AI$720,MATCH(C$1,'Tillförd energi'!$B$1:$AQ$1,0),FALSE)</f>
        <v>0</v>
      </c>
      <c r="D81" s="121">
        <f>VLOOKUP($B81,'Tillförd energi'!$B$1:$AI$720,MATCH(D$1,'Tillförd energi'!$B$1:$AQ$1,0),FALSE)</f>
        <v>1.4E-2</v>
      </c>
      <c r="E81" s="121">
        <f>VLOOKUP($B81,'Tillförd energi'!$B$1:$AI$720,MATCH(E$1,'Tillförd energi'!$B$1:$AQ$1,0),FALSE)</f>
        <v>0</v>
      </c>
      <c r="F81" s="121">
        <f>VLOOKUP($B81,'Tillförd energi'!$B$1:$AI$720,MATCH(F$1,'Tillförd energi'!$B$1:$AQ$1,0),FALSE)</f>
        <v>0</v>
      </c>
      <c r="G81" s="121">
        <f>VLOOKUP($B81,'Tillförd energi'!$B$1:$AI$720,MATCH(G$1,'Tillförd energi'!$B$1:$AQ$1,0),FALSE)</f>
        <v>0</v>
      </c>
      <c r="H81" s="121">
        <f>VLOOKUP($B81,'Tillförd energi'!$B$1:$AI$720,MATCH(H$1,'Tillförd energi'!$B$1:$AQ$1,0),FALSE)</f>
        <v>0</v>
      </c>
      <c r="I81" s="121">
        <f>VLOOKUP($B81,'Tillförd energi'!$B$1:$AI$720,MATCH(I$1,'Tillförd energi'!$B$1:$AQ$1,0),FALSE)</f>
        <v>0</v>
      </c>
      <c r="J81" s="121">
        <f>VLOOKUP($B81,'Tillförd energi'!$B$1:$AI$720,MATCH(J$1,'Tillförd energi'!$B$1:$AQ$1,0),FALSE)</f>
        <v>0</v>
      </c>
      <c r="K81" s="121">
        <f>VLOOKUP($B81,'Tillförd energi'!$B$1:$AI$720,MATCH(K$1,'Tillförd energi'!$B$1:$AQ$1,0),FALSE)</f>
        <v>0</v>
      </c>
      <c r="L81" s="121">
        <f>VLOOKUP($B81,'Tillförd energi'!$B$1:$AI$720,MATCH(L$1,'Tillförd energi'!$B$1:$AQ$1,0),FALSE)</f>
        <v>0</v>
      </c>
      <c r="M81" s="121">
        <f>VLOOKUP($B81,'Tillförd energi'!$B$1:$AI$720,MATCH(M$1,'Tillförd energi'!$B$1:$AQ$1,0),FALSE)</f>
        <v>0</v>
      </c>
      <c r="N81" s="121">
        <f>VLOOKUP($B81,'Tillförd energi'!$B$1:$AI$720,MATCH(N$1,'Tillförd energi'!$B$1:$AQ$1,0),FALSE)</f>
        <v>0</v>
      </c>
      <c r="O81" s="121">
        <f>VLOOKUP($B81,'Tillförd energi'!$B$1:$AI$720,MATCH(O$1,'Tillförd energi'!$B$1:$AQ$1,0),FALSE)</f>
        <v>0</v>
      </c>
      <c r="P81" s="121">
        <f>VLOOKUP($B81,'Tillförd energi'!$B$1:$AI$720,MATCH(P$1,'Tillförd energi'!$B$1:$AQ$1,0),FALSE)</f>
        <v>0</v>
      </c>
      <c r="Q81" s="121">
        <f>VLOOKUP($B81,'Tillförd energi'!$B$1:$AI$720,MATCH(Q$1,'Tillförd energi'!$B$1:$AQ$1,0),FALSE)</f>
        <v>0</v>
      </c>
      <c r="R81" s="121">
        <f>VLOOKUP($B81,'Tillförd energi'!$B$1:$AI$720,MATCH(R$1,'Tillförd energi'!$B$1:$AQ$1,0),FALSE)</f>
        <v>5.8</v>
      </c>
      <c r="S81" s="121">
        <f>VLOOKUP($B81,'Tillförd energi'!$B$1:$AI$720,MATCH(S$1,'Tillförd energi'!$B$1:$AQ$1,0),FALSE)</f>
        <v>0</v>
      </c>
      <c r="T81" s="121">
        <f>VLOOKUP($B81,'Tillförd energi'!$B$1:$AI$720,MATCH(T$1,'Tillförd energi'!$B$1:$AQ$1,0),FALSE)</f>
        <v>0</v>
      </c>
      <c r="U81" s="121">
        <f>VLOOKUP($B81,'Tillförd energi'!$B$1:$AI$720,MATCH(U$1,'Tillförd energi'!$B$1:$AQ$1,0),FALSE)</f>
        <v>0</v>
      </c>
      <c r="V81" s="121">
        <f>VLOOKUP($B81,'Tillförd energi'!$B$1:$AI$720,MATCH(V$1,'Tillförd energi'!$B$1:$AQ$1,0),FALSE)</f>
        <v>0</v>
      </c>
      <c r="W81" s="121">
        <f>VLOOKUP($B81,'Tillförd energi'!$B$1:$AI$720,MATCH(W$1,'Tillförd energi'!$B$1:$AQ$1,0),FALSE)</f>
        <v>0</v>
      </c>
      <c r="X81" s="121">
        <f>VLOOKUP($B81,'Tillförd energi'!$B$1:$AI$720,MATCH(X$1,'Tillförd energi'!$B$1:$AQ$1,0),FALSE)</f>
        <v>0</v>
      </c>
      <c r="Y81" s="121">
        <f>VLOOKUP($B81,'Tillförd energi'!$B$1:$AI$720,MATCH(Y$1,'Tillförd energi'!$B$1:$AQ$1,0),FALSE)</f>
        <v>0</v>
      </c>
      <c r="Z81" s="121">
        <f>VLOOKUP($B81,'Tillförd energi'!$B$1:$AI$720,MATCH(Z$1,'Tillförd energi'!$B$1:$AQ$1,0),FALSE)</f>
        <v>0</v>
      </c>
      <c r="AA81" s="121">
        <f>VLOOKUP($B81,'Tillförd energi'!$B$1:$AI$720,MATCH(AA$1,'Tillförd energi'!$B$1:$AQ$1,0),FALSE)</f>
        <v>0</v>
      </c>
      <c r="AB81" s="121">
        <f>VLOOKUP($B81,'Tillförd energi'!$B$1:$AI$720,MATCH(AB$1,'Tillförd energi'!$B$1:$AQ$1,0),FALSE)</f>
        <v>0</v>
      </c>
      <c r="AC81" s="121">
        <f>VLOOKUP($B81,'Tillförd energi'!$B$1:$AI$720,MATCH(AC$1,'Tillförd energi'!$B$1:$AQ$1,0),FALSE)</f>
        <v>0</v>
      </c>
      <c r="AD81" s="121">
        <f>VLOOKUP($B81,'Tillförd energi'!$B$1:$AI$720,MATCH(AD$1,'Tillförd energi'!$B$1:$AQ$1,0),FALSE)</f>
        <v>0</v>
      </c>
      <c r="AE81" s="121">
        <f>VLOOKUP($B81,'Tillförd energi'!$B$1:$AI$720,MATCH(AE$1,'Tillförd energi'!$B$1:$AQ$1,0),FALSE)</f>
        <v>0</v>
      </c>
      <c r="AF81" s="121">
        <f>VLOOKUP($B81,'Tillförd energi'!$B$1:$AI$720,MATCH(AF$1,'Tillförd energi'!$B$1:$AQ$1,0),FALSE)</f>
        <v>0.06</v>
      </c>
      <c r="AG81" s="121">
        <f>IFERROR(VLOOKUP(B81,Miljö!$B$1:$AC$550,MATCH("Köpt mängd produktionsspecifik fjärrvärme:",Miljö!$B$1:$AC$1,0),FALSE)/1,0)</f>
        <v>0</v>
      </c>
      <c r="AH81" s="121"/>
      <c r="AI81" s="121">
        <f t="shared" si="22"/>
        <v>5.8739999999999997</v>
      </c>
      <c r="AJ81" s="121">
        <f t="shared" si="23"/>
        <v>5.8739999999999997</v>
      </c>
      <c r="AK81" s="121">
        <f>IF(ISERROR(1/VLOOKUP($B81,Leveranser!$B$1:$S$499,MATCH("såld värme (gwh)",Leveranser!$B$1:$S$1,0),FALSE)),"",VLOOKUP($B81,Leveranser!$B$1:$S$499,MATCH("såld värme (gwh)",Leveranser!$B$1:$S$1,0),FALSE))</f>
        <v>3.71</v>
      </c>
      <c r="AL81" s="121">
        <f>VLOOKUP($B81,Leveranser!$B$1:$Y$499,MATCH("Totalt såld fjärrvärme till andra fjärrvärmeföretag",Leveranser!$B$1:$AA$1,0),FALSE)</f>
        <v>0</v>
      </c>
      <c r="AM81" s="121">
        <f>IF(ISERROR(1/VLOOKUP($B81,Miljö!$B$1:$S$500,MATCH("Såld mängd produktionsspecifik fjärrvärme (GWh)",Miljö!$B$1:$R$1,0),FALSE)),0,VLOOKUP($B81,Miljö!$B$1:$S$500,MATCH("Såld mängd produktionsspecifik fjärrvärme (GWh)",Miljö!$B$1:$R$1,0),FALSE))</f>
        <v>0</v>
      </c>
      <c r="AN81" s="172">
        <f t="shared" si="24"/>
        <v>0.63159686755192379</v>
      </c>
      <c r="AO81" s="121"/>
      <c r="AP81" s="121" t="str">
        <f>IFERROR(VLOOKUP($B81,Miljövärden!$B$2:$H$550,7,FALSE),"Nej, saknas")</f>
        <v>Ja</v>
      </c>
      <c r="AQ81" s="121" t="str">
        <f>IFERROR(VLOOKUP($B81,Miljövärden!$B$2:$H$550,6,FALSE),"Nej, saknas")</f>
        <v>Ja</v>
      </c>
      <c r="AU81">
        <f t="shared" si="25"/>
        <v>0.06</v>
      </c>
      <c r="AV81">
        <f t="shared" si="26"/>
        <v>0</v>
      </c>
      <c r="AW81">
        <f t="shared" si="27"/>
        <v>0</v>
      </c>
      <c r="AX81">
        <f t="shared" si="28"/>
        <v>5.8</v>
      </c>
      <c r="AZ81">
        <f t="shared" si="29"/>
        <v>5.8</v>
      </c>
      <c r="BC81">
        <f t="shared" si="30"/>
        <v>1.4E-2</v>
      </c>
      <c r="BD81">
        <f t="shared" si="31"/>
        <v>0</v>
      </c>
      <c r="BE81">
        <f t="shared" si="32"/>
        <v>5.8</v>
      </c>
      <c r="BF81">
        <f t="shared" si="33"/>
        <v>0</v>
      </c>
      <c r="BG81">
        <f t="shared" si="34"/>
        <v>0.06</v>
      </c>
      <c r="BH81">
        <f>VLOOKUP(B81,Miljö!$B$1:$BX$482,MATCH("Fossilandel för ursprungspecificerad el ()",Miljö!$B$1:$I$1,0),FALSE)</f>
        <v>0</v>
      </c>
      <c r="BI81">
        <f>VLOOKUP(B81,Miljö!$B$1:$BX$482,MATCH("Kärnkraftsandel för ursprungsspecificerad el ()",Miljö!$B$1:$O$1,0),FALSE)</f>
        <v>0</v>
      </c>
      <c r="BJ81">
        <f t="shared" si="35"/>
        <v>0</v>
      </c>
      <c r="BK81" t="str">
        <f>VLOOKUP(B81,Miljö!$B$1:$O$482,MATCH("Fossil andel i procent (%)",Miljö!$B$1:$O$1,0),FALSE)</f>
        <v>ET</v>
      </c>
      <c r="BL81">
        <f t="shared" si="36"/>
        <v>5.8739999999999997</v>
      </c>
      <c r="BO81" s="18">
        <f t="shared" si="37"/>
        <v>2.3833844058563161E-3</v>
      </c>
      <c r="BP81" s="18">
        <f t="shared" si="38"/>
        <v>0</v>
      </c>
      <c r="BQ81" s="18">
        <f t="shared" si="39"/>
        <v>0.99761661559414361</v>
      </c>
      <c r="BR81" s="18">
        <f t="shared" si="40"/>
        <v>0</v>
      </c>
      <c r="BT81" s="27">
        <f t="shared" si="41"/>
        <v>0.99999999999999989</v>
      </c>
      <c r="BW81" s="18">
        <f>IF(AP81="ja",VLOOKUP(B81,Miljövärden!$B$2:$H$550,MATCH("Total andel fossilt",Miljövärden!$B$2:$H$2,0),FALSE),"")</f>
        <v>2.38338E-3</v>
      </c>
      <c r="BZ81" s="28">
        <f t="shared" si="42"/>
        <v>-4.4058563160656594E-9</v>
      </c>
      <c r="CA81" s="28">
        <f t="shared" si="43"/>
        <v>0</v>
      </c>
    </row>
    <row r="82" spans="1:79" x14ac:dyDescent="0.25">
      <c r="A82" s="224" t="s">
        <v>301</v>
      </c>
      <c r="B82" s="210" t="s">
        <v>303</v>
      </c>
      <c r="C82" s="121">
        <f>VLOOKUP($B82,'Tillförd energi'!$B$1:$AI$720,MATCH(C$1,'Tillförd energi'!$B$1:$AQ$1,0),FALSE)</f>
        <v>0</v>
      </c>
      <c r="D82" s="121">
        <f>VLOOKUP($B82,'Tillförd energi'!$B$1:$AI$720,MATCH(D$1,'Tillförd energi'!$B$1:$AQ$1,0),FALSE)</f>
        <v>3.32</v>
      </c>
      <c r="E82" s="121">
        <f>VLOOKUP($B82,'Tillförd energi'!$B$1:$AI$720,MATCH(E$1,'Tillförd energi'!$B$1:$AQ$1,0),FALSE)</f>
        <v>0</v>
      </c>
      <c r="F82" s="121">
        <f>VLOOKUP($B82,'Tillförd energi'!$B$1:$AI$720,MATCH(F$1,'Tillförd energi'!$B$1:$AQ$1,0),FALSE)</f>
        <v>0</v>
      </c>
      <c r="G82" s="121">
        <f>VLOOKUP($B82,'Tillförd energi'!$B$1:$AI$720,MATCH(G$1,'Tillförd energi'!$B$1:$AQ$1,0),FALSE)</f>
        <v>0</v>
      </c>
      <c r="H82" s="121">
        <f>VLOOKUP($B82,'Tillförd energi'!$B$1:$AI$720,MATCH(H$1,'Tillförd energi'!$B$1:$AQ$1,0),FALSE)</f>
        <v>5.16</v>
      </c>
      <c r="I82" s="121">
        <f>VLOOKUP($B82,'Tillförd energi'!$B$1:$AI$720,MATCH(I$1,'Tillförd energi'!$B$1:$AQ$1,0),FALSE)</f>
        <v>0</v>
      </c>
      <c r="J82" s="121">
        <f>VLOOKUP($B82,'Tillförd energi'!$B$1:$AI$720,MATCH(J$1,'Tillförd energi'!$B$1:$AQ$1,0),FALSE)</f>
        <v>0</v>
      </c>
      <c r="K82" s="121">
        <f>VLOOKUP($B82,'Tillförd energi'!$B$1:$AI$720,MATCH(K$1,'Tillförd energi'!$B$1:$AQ$1,0),FALSE)</f>
        <v>0</v>
      </c>
      <c r="L82" s="121">
        <f>VLOOKUP($B82,'Tillförd energi'!$B$1:$AI$720,MATCH(L$1,'Tillförd energi'!$B$1:$AQ$1,0),FALSE)</f>
        <v>43.390900000000002</v>
      </c>
      <c r="M82" s="121">
        <f>VLOOKUP($B82,'Tillförd energi'!$B$1:$AI$720,MATCH(M$1,'Tillförd energi'!$B$1:$AQ$1,0),FALSE)</f>
        <v>83.492900000000006</v>
      </c>
      <c r="N82" s="121">
        <f>VLOOKUP($B82,'Tillförd energi'!$B$1:$AI$720,MATCH(N$1,'Tillförd energi'!$B$1:$AQ$1,0),FALSE)</f>
        <v>33.812600000000003</v>
      </c>
      <c r="O82" s="121">
        <f>VLOOKUP($B82,'Tillförd energi'!$B$1:$AI$720,MATCH(O$1,'Tillförd energi'!$B$1:$AQ$1,0),FALSE)</f>
        <v>2.30803</v>
      </c>
      <c r="P82" s="121">
        <f>VLOOKUP($B82,'Tillförd energi'!$B$1:$AI$720,MATCH(P$1,'Tillförd energi'!$B$1:$AQ$1,0),FALSE)</f>
        <v>63.7729</v>
      </c>
      <c r="Q82" s="121">
        <f>VLOOKUP($B82,'Tillförd energi'!$B$1:$AI$720,MATCH(Q$1,'Tillförd energi'!$B$1:$AQ$1,0),FALSE)</f>
        <v>20.887599999999999</v>
      </c>
      <c r="R82" s="121">
        <f>VLOOKUP($B82,'Tillförd energi'!$B$1:$AI$720,MATCH(R$1,'Tillförd energi'!$B$1:$AQ$1,0),FALSE)</f>
        <v>0</v>
      </c>
      <c r="S82" s="121">
        <f>VLOOKUP($B82,'Tillförd energi'!$B$1:$AI$720,MATCH(S$1,'Tillförd energi'!$B$1:$AQ$1,0),FALSE)</f>
        <v>0</v>
      </c>
      <c r="T82" s="121">
        <f>VLOOKUP($B82,'Tillförd energi'!$B$1:$AI$720,MATCH(T$1,'Tillförd energi'!$B$1:$AQ$1,0),FALSE)</f>
        <v>0</v>
      </c>
      <c r="U82" s="121">
        <f>VLOOKUP($B82,'Tillförd energi'!$B$1:$AI$720,MATCH(U$1,'Tillförd energi'!$B$1:$AQ$1,0),FALSE)</f>
        <v>0</v>
      </c>
      <c r="V82" s="121">
        <f>VLOOKUP($B82,'Tillförd energi'!$B$1:$AI$720,MATCH(V$1,'Tillförd energi'!$B$1:$AQ$1,0),FALSE)</f>
        <v>0</v>
      </c>
      <c r="W82" s="121">
        <f>VLOOKUP($B82,'Tillförd energi'!$B$1:$AI$720,MATCH(W$1,'Tillförd energi'!$B$1:$AQ$1,0),FALSE)</f>
        <v>0</v>
      </c>
      <c r="X82" s="121">
        <f>VLOOKUP($B82,'Tillförd energi'!$B$1:$AI$720,MATCH(X$1,'Tillförd energi'!$B$1:$AQ$1,0),FALSE)</f>
        <v>0</v>
      </c>
      <c r="Y82" s="121">
        <f>VLOOKUP($B82,'Tillförd energi'!$B$1:$AI$720,MATCH(Y$1,'Tillförd energi'!$B$1:$AQ$1,0),FALSE)</f>
        <v>0</v>
      </c>
      <c r="Z82" s="121">
        <f>VLOOKUP($B82,'Tillförd energi'!$B$1:$AI$720,MATCH(Z$1,'Tillförd energi'!$B$1:$AQ$1,0),FALSE)</f>
        <v>0</v>
      </c>
      <c r="AA82" s="121">
        <f>VLOOKUP($B82,'Tillförd energi'!$B$1:$AI$720,MATCH(AA$1,'Tillförd energi'!$B$1:$AQ$1,0),FALSE)</f>
        <v>0</v>
      </c>
      <c r="AB82" s="121">
        <f>VLOOKUP($B82,'Tillförd energi'!$B$1:$AI$720,MATCH(AB$1,'Tillförd energi'!$B$1:$AQ$1,0),FALSE)</f>
        <v>0</v>
      </c>
      <c r="AC82" s="121">
        <f>VLOOKUP($B82,'Tillförd energi'!$B$1:$AI$720,MATCH(AC$1,'Tillförd energi'!$B$1:$AQ$1,0),FALSE)</f>
        <v>61.44</v>
      </c>
      <c r="AD82" s="121">
        <f>VLOOKUP($B82,'Tillförd energi'!$B$1:$AI$720,MATCH(AD$1,'Tillförd energi'!$B$1:$AQ$1,0),FALSE)</f>
        <v>0.124</v>
      </c>
      <c r="AE82" s="121">
        <f>VLOOKUP($B82,'Tillförd energi'!$B$1:$AI$720,MATCH(AE$1,'Tillförd energi'!$B$1:$AQ$1,0),FALSE)</f>
        <v>0</v>
      </c>
      <c r="AF82" s="121">
        <f>VLOOKUP($B82,'Tillförd energi'!$B$1:$AI$720,MATCH(AF$1,'Tillförd energi'!$B$1:$AQ$1,0),FALSE)</f>
        <v>9.9985700000000008</v>
      </c>
      <c r="AG82" s="121">
        <f>IFERROR(VLOOKUP(B82,Miljö!$B$1:$AC$550,MATCH("Köpt mängd produktionsspecifik fjärrvärme:",Miljö!$B$1:$AC$1,0),FALSE)/1,0)</f>
        <v>64.599999999999994</v>
      </c>
      <c r="AH82" s="121"/>
      <c r="AI82" s="121">
        <f t="shared" si="22"/>
        <v>327.7075000000001</v>
      </c>
      <c r="AJ82" s="121">
        <f t="shared" si="23"/>
        <v>392.30750000000012</v>
      </c>
      <c r="AK82" s="121">
        <f>IF(ISERROR(1/VLOOKUP($B82,Leveranser!$B$1:$S$499,MATCH("såld värme (gwh)",Leveranser!$B$1:$S$1,0),FALSE)),"",VLOOKUP($B82,Leveranser!$B$1:$S$499,MATCH("såld värme (gwh)",Leveranser!$B$1:$S$1,0),FALSE))</f>
        <v>357.8</v>
      </c>
      <c r="AL82" s="121">
        <f>VLOOKUP($B82,Leveranser!$B$1:$Y$499,MATCH("Totalt såld fjärrvärme till andra fjärrvärmeföretag",Leveranser!$B$1:$AA$1,0),FALSE)</f>
        <v>5.82</v>
      </c>
      <c r="AM82" s="121">
        <f>IF(ISERROR(1/VLOOKUP($B82,Miljö!$B$1:$S$500,MATCH("Såld mängd produktionsspecifik fjärrvärme (GWh)",Miljö!$B$1:$R$1,0),FALSE)),0,VLOOKUP($B82,Miljö!$B$1:$S$500,MATCH("Såld mängd produktionsspecifik fjärrvärme (GWh)",Miljö!$B$1:$R$1,0),FALSE))</f>
        <v>5.83</v>
      </c>
      <c r="AN82" s="172">
        <f t="shared" si="24"/>
        <v>0.91203966276454029</v>
      </c>
      <c r="AO82" s="121"/>
      <c r="AP82" s="121" t="str">
        <f>IFERROR(VLOOKUP($B82,Miljövärden!$B$2:$H$550,7,FALSE),"Nej, saknas")</f>
        <v>Ja</v>
      </c>
      <c r="AQ82" s="121" t="str">
        <f>IFERROR(VLOOKUP($B82,Miljövärden!$B$2:$H$550,6,FALSE),"Nej, saknas")</f>
        <v>Ja</v>
      </c>
      <c r="AU82">
        <f t="shared" si="25"/>
        <v>9.9985700000000008</v>
      </c>
      <c r="AV82">
        <f t="shared" si="26"/>
        <v>0</v>
      </c>
      <c r="AW82">
        <f t="shared" si="27"/>
        <v>204.27403000000001</v>
      </c>
      <c r="AX82">
        <f t="shared" si="28"/>
        <v>0</v>
      </c>
      <c r="AZ82">
        <f t="shared" si="29"/>
        <v>247.66493</v>
      </c>
      <c r="BC82">
        <f t="shared" si="30"/>
        <v>8.48</v>
      </c>
      <c r="BD82">
        <f t="shared" si="31"/>
        <v>0</v>
      </c>
      <c r="BE82">
        <f t="shared" si="32"/>
        <v>204.27403000000001</v>
      </c>
      <c r="BF82">
        <f t="shared" si="33"/>
        <v>104.95489999999999</v>
      </c>
      <c r="BG82">
        <f t="shared" si="34"/>
        <v>9.9985700000000008</v>
      </c>
      <c r="BH82">
        <f>VLOOKUP(B82,Miljö!$B$1:$BX$482,MATCH("Fossilandel för ursprungspecificerad el ()",Miljö!$B$1:$I$1,0),FALSE)</f>
        <v>0</v>
      </c>
      <c r="BI82">
        <f>VLOOKUP(B82,Miljö!$B$1:$BX$482,MATCH("Kärnkraftsandel för ursprungsspecificerad el ()",Miljö!$B$1:$O$1,0),FALSE)</f>
        <v>0</v>
      </c>
      <c r="BJ82">
        <f t="shared" si="35"/>
        <v>64.599999999999994</v>
      </c>
      <c r="BK82">
        <f>VLOOKUP(B82,Miljö!$B$1:$O$482,MATCH("Fossil andel i procent (%)",Miljö!$B$1:$O$1,0),FALSE)</f>
        <v>0</v>
      </c>
      <c r="BL82">
        <f t="shared" si="36"/>
        <v>392.3075</v>
      </c>
      <c r="BO82" s="18">
        <f t="shared" si="37"/>
        <v>2.1615696870439644E-2</v>
      </c>
      <c r="BP82" s="18">
        <f t="shared" si="38"/>
        <v>0.16466674738566048</v>
      </c>
      <c r="BQ82" s="18">
        <f t="shared" si="39"/>
        <v>0.54618532656143459</v>
      </c>
      <c r="BR82" s="18">
        <f t="shared" si="40"/>
        <v>0.26753222918246528</v>
      </c>
      <c r="BT82" s="27">
        <f t="shared" si="41"/>
        <v>1</v>
      </c>
      <c r="BW82" s="18">
        <f>IF(AP82="ja",VLOOKUP(B82,Miljövärden!$B$2:$H$550,MATCH("Total andel fossilt",Miljövärden!$B$2:$H$2,0),FALSE),"")</f>
        <v>2.1941800000000001E-2</v>
      </c>
      <c r="BZ82" s="28">
        <f t="shared" si="42"/>
        <v>3.261031295603567E-4</v>
      </c>
      <c r="CA82" s="28">
        <f t="shared" si="43"/>
        <v>0</v>
      </c>
    </row>
    <row r="83" spans="1:79" x14ac:dyDescent="0.25">
      <c r="A83" s="224" t="s">
        <v>301</v>
      </c>
      <c r="B83" s="210" t="s">
        <v>305</v>
      </c>
      <c r="C83" s="121">
        <f>VLOOKUP($B83,'Tillförd energi'!$B$1:$AI$720,MATCH(C$1,'Tillförd energi'!$B$1:$AQ$1,0),FALSE)</f>
        <v>0</v>
      </c>
      <c r="D83" s="121">
        <f>VLOOKUP($B83,'Tillförd energi'!$B$1:$AI$720,MATCH(D$1,'Tillförd energi'!$B$1:$AQ$1,0),FALSE)</f>
        <v>0.09</v>
      </c>
      <c r="E83" s="121">
        <f>VLOOKUP($B83,'Tillförd energi'!$B$1:$AI$720,MATCH(E$1,'Tillförd energi'!$B$1:$AQ$1,0),FALSE)</f>
        <v>0</v>
      </c>
      <c r="F83" s="121">
        <f>VLOOKUP($B83,'Tillförd energi'!$B$1:$AI$720,MATCH(F$1,'Tillförd energi'!$B$1:$AQ$1,0),FALSE)</f>
        <v>0</v>
      </c>
      <c r="G83" s="121">
        <f>VLOOKUP($B83,'Tillförd energi'!$B$1:$AI$720,MATCH(G$1,'Tillförd energi'!$B$1:$AQ$1,0),FALSE)</f>
        <v>0</v>
      </c>
      <c r="H83" s="121">
        <f>VLOOKUP($B83,'Tillförd energi'!$B$1:$AI$720,MATCH(H$1,'Tillförd energi'!$B$1:$AQ$1,0),FALSE)</f>
        <v>0</v>
      </c>
      <c r="I83" s="121">
        <f>VLOOKUP($B83,'Tillförd energi'!$B$1:$AI$720,MATCH(I$1,'Tillförd energi'!$B$1:$AQ$1,0),FALSE)</f>
        <v>0</v>
      </c>
      <c r="J83" s="121">
        <f>VLOOKUP($B83,'Tillförd energi'!$B$1:$AI$720,MATCH(J$1,'Tillförd energi'!$B$1:$AQ$1,0),FALSE)</f>
        <v>0</v>
      </c>
      <c r="K83" s="121">
        <f>VLOOKUP($B83,'Tillförd energi'!$B$1:$AI$720,MATCH(K$1,'Tillförd energi'!$B$1:$AQ$1,0),FALSE)</f>
        <v>0</v>
      </c>
      <c r="L83" s="121">
        <f>VLOOKUP($B83,'Tillförd energi'!$B$1:$AI$720,MATCH(L$1,'Tillförd energi'!$B$1:$AQ$1,0),FALSE)</f>
        <v>0</v>
      </c>
      <c r="M83" s="121">
        <f>VLOOKUP($B83,'Tillförd energi'!$B$1:$AI$720,MATCH(M$1,'Tillförd energi'!$B$1:$AQ$1,0),FALSE)</f>
        <v>0</v>
      </c>
      <c r="N83" s="121">
        <f>VLOOKUP($B83,'Tillförd energi'!$B$1:$AI$720,MATCH(N$1,'Tillförd energi'!$B$1:$AQ$1,0),FALSE)</f>
        <v>0</v>
      </c>
      <c r="O83" s="121">
        <f>VLOOKUP($B83,'Tillförd energi'!$B$1:$AI$720,MATCH(O$1,'Tillförd energi'!$B$1:$AQ$1,0),FALSE)</f>
        <v>0</v>
      </c>
      <c r="P83" s="121">
        <f>VLOOKUP($B83,'Tillförd energi'!$B$1:$AI$720,MATCH(P$1,'Tillförd energi'!$B$1:$AQ$1,0),FALSE)</f>
        <v>0</v>
      </c>
      <c r="Q83" s="121">
        <f>VLOOKUP($B83,'Tillförd energi'!$B$1:$AI$720,MATCH(Q$1,'Tillförd energi'!$B$1:$AQ$1,0),FALSE)</f>
        <v>0</v>
      </c>
      <c r="R83" s="121">
        <f>VLOOKUP($B83,'Tillförd energi'!$B$1:$AI$720,MATCH(R$1,'Tillförd energi'!$B$1:$AQ$1,0),FALSE)</f>
        <v>5</v>
      </c>
      <c r="S83" s="121">
        <f>VLOOKUP($B83,'Tillförd energi'!$B$1:$AI$720,MATCH(S$1,'Tillförd energi'!$B$1:$AQ$1,0),FALSE)</f>
        <v>0</v>
      </c>
      <c r="T83" s="121">
        <f>VLOOKUP($B83,'Tillförd energi'!$B$1:$AI$720,MATCH(T$1,'Tillförd energi'!$B$1:$AQ$1,0),FALSE)</f>
        <v>0</v>
      </c>
      <c r="U83" s="121">
        <f>VLOOKUP($B83,'Tillförd energi'!$B$1:$AI$720,MATCH(U$1,'Tillförd energi'!$B$1:$AQ$1,0),FALSE)</f>
        <v>0</v>
      </c>
      <c r="V83" s="121">
        <f>VLOOKUP($B83,'Tillförd energi'!$B$1:$AI$720,MATCH(V$1,'Tillförd energi'!$B$1:$AQ$1,0),FALSE)</f>
        <v>0</v>
      </c>
      <c r="W83" s="121">
        <f>VLOOKUP($B83,'Tillförd energi'!$B$1:$AI$720,MATCH(W$1,'Tillförd energi'!$B$1:$AQ$1,0),FALSE)</f>
        <v>0</v>
      </c>
      <c r="X83" s="121">
        <f>VLOOKUP($B83,'Tillförd energi'!$B$1:$AI$720,MATCH(X$1,'Tillförd energi'!$B$1:$AQ$1,0),FALSE)</f>
        <v>0</v>
      </c>
      <c r="Y83" s="121">
        <f>VLOOKUP($B83,'Tillförd energi'!$B$1:$AI$720,MATCH(Y$1,'Tillförd energi'!$B$1:$AQ$1,0),FALSE)</f>
        <v>0</v>
      </c>
      <c r="Z83" s="121">
        <f>VLOOKUP($B83,'Tillförd energi'!$B$1:$AI$720,MATCH(Z$1,'Tillförd energi'!$B$1:$AQ$1,0),FALSE)</f>
        <v>0</v>
      </c>
      <c r="AA83" s="121">
        <f>VLOOKUP($B83,'Tillförd energi'!$B$1:$AI$720,MATCH(AA$1,'Tillförd energi'!$B$1:$AQ$1,0),FALSE)</f>
        <v>0</v>
      </c>
      <c r="AB83" s="121">
        <f>VLOOKUP($B83,'Tillförd energi'!$B$1:$AI$720,MATCH(AB$1,'Tillförd energi'!$B$1:$AQ$1,0),FALSE)</f>
        <v>0</v>
      </c>
      <c r="AC83" s="121">
        <f>VLOOKUP($B83,'Tillförd energi'!$B$1:$AI$720,MATCH(AC$1,'Tillförd energi'!$B$1:$AQ$1,0),FALSE)</f>
        <v>0</v>
      </c>
      <c r="AD83" s="121">
        <f>VLOOKUP($B83,'Tillförd energi'!$B$1:$AI$720,MATCH(AD$1,'Tillförd energi'!$B$1:$AQ$1,0),FALSE)</f>
        <v>0</v>
      </c>
      <c r="AE83" s="121">
        <f>VLOOKUP($B83,'Tillförd energi'!$B$1:$AI$720,MATCH(AE$1,'Tillförd energi'!$B$1:$AQ$1,0),FALSE)</f>
        <v>0</v>
      </c>
      <c r="AF83" s="121">
        <f>VLOOKUP($B83,'Tillförd energi'!$B$1:$AI$720,MATCH(AF$1,'Tillförd energi'!$B$1:$AQ$1,0),FALSE)</f>
        <v>5.5E-2</v>
      </c>
      <c r="AG83" s="121">
        <f>IFERROR(VLOOKUP(B83,Miljö!$B$1:$AC$550,MATCH("Köpt mängd produktionsspecifik fjärrvärme:",Miljö!$B$1:$AC$1,0),FALSE)/1,0)</f>
        <v>0</v>
      </c>
      <c r="AH83" s="121"/>
      <c r="AI83" s="121">
        <f t="shared" si="22"/>
        <v>5.1449999999999996</v>
      </c>
      <c r="AJ83" s="121">
        <f t="shared" si="23"/>
        <v>5.1449999999999996</v>
      </c>
      <c r="AK83" s="121">
        <f>IF(ISERROR(1/VLOOKUP($B83,Leveranser!$B$1:$S$499,MATCH("såld värme (gwh)",Leveranser!$B$1:$S$1,0),FALSE)),"",VLOOKUP($B83,Leveranser!$B$1:$S$499,MATCH("såld värme (gwh)",Leveranser!$B$1:$S$1,0),FALSE))</f>
        <v>4.93</v>
      </c>
      <c r="AL83" s="121">
        <f>VLOOKUP($B83,Leveranser!$B$1:$Y$499,MATCH("Totalt såld fjärrvärme till andra fjärrvärmeföretag",Leveranser!$B$1:$AA$1,0),FALSE)</f>
        <v>0</v>
      </c>
      <c r="AM83" s="121">
        <f>IF(ISERROR(1/VLOOKUP($B83,Miljö!$B$1:$S$500,MATCH("Såld mängd produktionsspecifik fjärrvärme (GWh)",Miljö!$B$1:$R$1,0),FALSE)),0,VLOOKUP($B83,Miljö!$B$1:$S$500,MATCH("Såld mängd produktionsspecifik fjärrvärme (GWh)",Miljö!$B$1:$R$1,0),FALSE))</f>
        <v>0</v>
      </c>
      <c r="AN83" s="172">
        <f t="shared" si="24"/>
        <v>0.95821185617103988</v>
      </c>
      <c r="AO83" s="121"/>
      <c r="AP83" s="121" t="str">
        <f>IFERROR(VLOOKUP($B83,Miljövärden!$B$2:$H$550,7,FALSE),"Nej, saknas")</f>
        <v>Ja</v>
      </c>
      <c r="AQ83" s="121" t="str">
        <f>IFERROR(VLOOKUP($B83,Miljövärden!$B$2:$H$550,6,FALSE),"Nej, saknas")</f>
        <v>Ja</v>
      </c>
      <c r="AU83">
        <f t="shared" si="25"/>
        <v>5.5E-2</v>
      </c>
      <c r="AV83">
        <f t="shared" si="26"/>
        <v>0</v>
      </c>
      <c r="AW83">
        <f t="shared" si="27"/>
        <v>0</v>
      </c>
      <c r="AX83">
        <f t="shared" si="28"/>
        <v>5</v>
      </c>
      <c r="AZ83">
        <f t="shared" si="29"/>
        <v>5</v>
      </c>
      <c r="BC83">
        <f t="shared" si="30"/>
        <v>0.09</v>
      </c>
      <c r="BD83">
        <f t="shared" si="31"/>
        <v>0</v>
      </c>
      <c r="BE83">
        <f t="shared" si="32"/>
        <v>5</v>
      </c>
      <c r="BF83">
        <f t="shared" si="33"/>
        <v>0</v>
      </c>
      <c r="BG83">
        <f t="shared" si="34"/>
        <v>5.5E-2</v>
      </c>
      <c r="BH83">
        <f>VLOOKUP(B83,Miljö!$B$1:$BX$482,MATCH("Fossilandel för ursprungspecificerad el ()",Miljö!$B$1:$I$1,0),FALSE)</f>
        <v>0</v>
      </c>
      <c r="BI83">
        <f>VLOOKUP(B83,Miljö!$B$1:$BX$482,MATCH("Kärnkraftsandel för ursprungsspecificerad el ()",Miljö!$B$1:$O$1,0),FALSE)</f>
        <v>0</v>
      </c>
      <c r="BJ83">
        <f t="shared" si="35"/>
        <v>0</v>
      </c>
      <c r="BK83" t="str">
        <f>VLOOKUP(B83,Miljö!$B$1:$O$482,MATCH("Fossil andel i procent (%)",Miljö!$B$1:$O$1,0),FALSE)</f>
        <v>ET</v>
      </c>
      <c r="BL83">
        <f t="shared" si="36"/>
        <v>5.1449999999999996</v>
      </c>
      <c r="BO83" s="18">
        <f t="shared" si="37"/>
        <v>1.7492711370262391E-2</v>
      </c>
      <c r="BP83" s="18">
        <f t="shared" si="38"/>
        <v>0</v>
      </c>
      <c r="BQ83" s="18">
        <f t="shared" si="39"/>
        <v>0.98250728862973769</v>
      </c>
      <c r="BR83" s="18">
        <f t="shared" si="40"/>
        <v>0</v>
      </c>
      <c r="BT83" s="27">
        <f t="shared" si="41"/>
        <v>1</v>
      </c>
      <c r="BW83" s="18">
        <f>IF(AP83="ja",VLOOKUP(B83,Miljövärden!$B$2:$H$550,MATCH("Total andel fossilt",Miljövärden!$B$2:$H$2,0),FALSE),"")</f>
        <v>1.74927E-2</v>
      </c>
      <c r="BZ83" s="28">
        <f t="shared" si="42"/>
        <v>-1.1370262391341424E-8</v>
      </c>
      <c r="CA83" s="28">
        <f t="shared" si="43"/>
        <v>0</v>
      </c>
    </row>
    <row r="84" spans="1:79" x14ac:dyDescent="0.25">
      <c r="A84" s="224" t="s">
        <v>301</v>
      </c>
      <c r="B84" s="210" t="s">
        <v>306</v>
      </c>
      <c r="C84" s="121">
        <f>VLOOKUP($B84,'Tillförd energi'!$B$1:$AI$720,MATCH(C$1,'Tillförd energi'!$B$1:$AQ$1,0),FALSE)</f>
        <v>0</v>
      </c>
      <c r="D84" s="121">
        <f>VLOOKUP($B84,'Tillförd energi'!$B$1:$AI$720,MATCH(D$1,'Tillförd energi'!$B$1:$AQ$1,0),FALSE)</f>
        <v>0.05</v>
      </c>
      <c r="E84" s="121">
        <f>VLOOKUP($B84,'Tillförd energi'!$B$1:$AI$720,MATCH(E$1,'Tillförd energi'!$B$1:$AQ$1,0),FALSE)</f>
        <v>0</v>
      </c>
      <c r="F84" s="121">
        <f>VLOOKUP($B84,'Tillförd energi'!$B$1:$AI$720,MATCH(F$1,'Tillförd energi'!$B$1:$AQ$1,0),FALSE)</f>
        <v>0</v>
      </c>
      <c r="G84" s="121">
        <f>VLOOKUP($B84,'Tillförd energi'!$B$1:$AI$720,MATCH(G$1,'Tillförd energi'!$B$1:$AQ$1,0),FALSE)</f>
        <v>0</v>
      </c>
      <c r="H84" s="121">
        <f>VLOOKUP($B84,'Tillförd energi'!$B$1:$AI$720,MATCH(H$1,'Tillförd energi'!$B$1:$AQ$1,0),FALSE)</f>
        <v>0</v>
      </c>
      <c r="I84" s="121">
        <f>VLOOKUP($B84,'Tillförd energi'!$B$1:$AI$720,MATCH(I$1,'Tillförd energi'!$B$1:$AQ$1,0),FALSE)</f>
        <v>0</v>
      </c>
      <c r="J84" s="121">
        <f>VLOOKUP($B84,'Tillförd energi'!$B$1:$AI$720,MATCH(J$1,'Tillförd energi'!$B$1:$AQ$1,0),FALSE)</f>
        <v>0</v>
      </c>
      <c r="K84" s="121">
        <f>VLOOKUP($B84,'Tillförd energi'!$B$1:$AI$720,MATCH(K$1,'Tillförd energi'!$B$1:$AQ$1,0),FALSE)</f>
        <v>0</v>
      </c>
      <c r="L84" s="121">
        <f>VLOOKUP($B84,'Tillförd energi'!$B$1:$AI$720,MATCH(L$1,'Tillförd energi'!$B$1:$AQ$1,0),FALSE)</f>
        <v>0</v>
      </c>
      <c r="M84" s="121">
        <f>VLOOKUP($B84,'Tillförd energi'!$B$1:$AI$720,MATCH(M$1,'Tillförd energi'!$B$1:$AQ$1,0),FALSE)</f>
        <v>0</v>
      </c>
      <c r="N84" s="121">
        <f>VLOOKUP($B84,'Tillförd energi'!$B$1:$AI$720,MATCH(N$1,'Tillförd energi'!$B$1:$AQ$1,0),FALSE)</f>
        <v>0</v>
      </c>
      <c r="O84" s="121">
        <f>VLOOKUP($B84,'Tillförd energi'!$B$1:$AI$720,MATCH(O$1,'Tillförd energi'!$B$1:$AQ$1,0),FALSE)</f>
        <v>0</v>
      </c>
      <c r="P84" s="121">
        <f>VLOOKUP($B84,'Tillförd energi'!$B$1:$AI$720,MATCH(P$1,'Tillförd energi'!$B$1:$AQ$1,0),FALSE)</f>
        <v>0</v>
      </c>
      <c r="Q84" s="121">
        <f>VLOOKUP($B84,'Tillförd energi'!$B$1:$AI$720,MATCH(Q$1,'Tillförd energi'!$B$1:$AQ$1,0),FALSE)</f>
        <v>0</v>
      </c>
      <c r="R84" s="121">
        <f>VLOOKUP($B84,'Tillförd energi'!$B$1:$AI$720,MATCH(R$1,'Tillförd energi'!$B$1:$AQ$1,0),FALSE)</f>
        <v>5.8</v>
      </c>
      <c r="S84" s="121">
        <f>VLOOKUP($B84,'Tillförd energi'!$B$1:$AI$720,MATCH(S$1,'Tillförd energi'!$B$1:$AQ$1,0),FALSE)</f>
        <v>0</v>
      </c>
      <c r="T84" s="121">
        <f>VLOOKUP($B84,'Tillförd energi'!$B$1:$AI$720,MATCH(T$1,'Tillförd energi'!$B$1:$AQ$1,0),FALSE)</f>
        <v>0</v>
      </c>
      <c r="U84" s="121">
        <f>VLOOKUP($B84,'Tillförd energi'!$B$1:$AI$720,MATCH(U$1,'Tillförd energi'!$B$1:$AQ$1,0),FALSE)</f>
        <v>0</v>
      </c>
      <c r="V84" s="121">
        <f>VLOOKUP($B84,'Tillförd energi'!$B$1:$AI$720,MATCH(V$1,'Tillförd energi'!$B$1:$AQ$1,0),FALSE)</f>
        <v>0</v>
      </c>
      <c r="W84" s="121">
        <f>VLOOKUP($B84,'Tillförd energi'!$B$1:$AI$720,MATCH(W$1,'Tillförd energi'!$B$1:$AQ$1,0),FALSE)</f>
        <v>0</v>
      </c>
      <c r="X84" s="121">
        <f>VLOOKUP($B84,'Tillförd energi'!$B$1:$AI$720,MATCH(X$1,'Tillförd energi'!$B$1:$AQ$1,0),FALSE)</f>
        <v>0</v>
      </c>
      <c r="Y84" s="121">
        <f>VLOOKUP($B84,'Tillförd energi'!$B$1:$AI$720,MATCH(Y$1,'Tillförd energi'!$B$1:$AQ$1,0),FALSE)</f>
        <v>0</v>
      </c>
      <c r="Z84" s="121">
        <f>VLOOKUP($B84,'Tillförd energi'!$B$1:$AI$720,MATCH(Z$1,'Tillförd energi'!$B$1:$AQ$1,0),FALSE)</f>
        <v>0</v>
      </c>
      <c r="AA84" s="121">
        <f>VLOOKUP($B84,'Tillförd energi'!$B$1:$AI$720,MATCH(AA$1,'Tillförd energi'!$B$1:$AQ$1,0),FALSE)</f>
        <v>0</v>
      </c>
      <c r="AB84" s="121">
        <f>VLOOKUP($B84,'Tillförd energi'!$B$1:$AI$720,MATCH(AB$1,'Tillförd energi'!$B$1:$AQ$1,0),FALSE)</f>
        <v>0</v>
      </c>
      <c r="AC84" s="121">
        <f>VLOOKUP($B84,'Tillförd energi'!$B$1:$AI$720,MATCH(AC$1,'Tillförd energi'!$B$1:$AQ$1,0),FALSE)</f>
        <v>0</v>
      </c>
      <c r="AD84" s="121">
        <f>VLOOKUP($B84,'Tillförd energi'!$B$1:$AI$720,MATCH(AD$1,'Tillförd energi'!$B$1:$AQ$1,0),FALSE)</f>
        <v>0</v>
      </c>
      <c r="AE84" s="121">
        <f>VLOOKUP($B84,'Tillförd energi'!$B$1:$AI$720,MATCH(AE$1,'Tillförd energi'!$B$1:$AQ$1,0),FALSE)</f>
        <v>0</v>
      </c>
      <c r="AF84" s="121">
        <f>VLOOKUP($B84,'Tillförd energi'!$B$1:$AI$720,MATCH(AF$1,'Tillförd energi'!$B$1:$AQ$1,0),FALSE)</f>
        <v>0.105</v>
      </c>
      <c r="AG84" s="121">
        <f>IFERROR(VLOOKUP(B84,Miljö!$B$1:$AC$550,MATCH("Köpt mängd produktionsspecifik fjärrvärme:",Miljö!$B$1:$AC$1,0),FALSE)/1,0)</f>
        <v>0</v>
      </c>
      <c r="AH84" s="121"/>
      <c r="AI84" s="121">
        <f t="shared" si="22"/>
        <v>5.9550000000000001</v>
      </c>
      <c r="AJ84" s="121">
        <f t="shared" si="23"/>
        <v>5.9550000000000001</v>
      </c>
      <c r="AK84" s="121">
        <f>IF(ISERROR(1/VLOOKUP($B84,Leveranser!$B$1:$S$499,MATCH("såld värme (gwh)",Leveranser!$B$1:$S$1,0),FALSE)),"",VLOOKUP($B84,Leveranser!$B$1:$S$499,MATCH("såld värme (gwh)",Leveranser!$B$1:$S$1,0),FALSE))</f>
        <v>4.88</v>
      </c>
      <c r="AL84" s="121">
        <f>VLOOKUP($B84,Leveranser!$B$1:$Y$499,MATCH("Totalt såld fjärrvärme till andra fjärrvärmeföretag",Leveranser!$B$1:$AA$1,0),FALSE)</f>
        <v>0</v>
      </c>
      <c r="AM84" s="121">
        <f>IF(ISERROR(1/VLOOKUP($B84,Miljö!$B$1:$S$500,MATCH("Såld mängd produktionsspecifik fjärrvärme (GWh)",Miljö!$B$1:$R$1,0),FALSE)),0,VLOOKUP($B84,Miljö!$B$1:$S$500,MATCH("Såld mängd produktionsspecifik fjärrvärme (GWh)",Miljö!$B$1:$R$1,0),FALSE))</f>
        <v>0</v>
      </c>
      <c r="AN84" s="172">
        <f t="shared" si="24"/>
        <v>0.8194794290512174</v>
      </c>
      <c r="AO84" s="121"/>
      <c r="AP84" s="121" t="str">
        <f>IFERROR(VLOOKUP($B84,Miljövärden!$B$2:$H$550,7,FALSE),"Nej, saknas")</f>
        <v>Ja</v>
      </c>
      <c r="AQ84" s="121" t="str">
        <f>IFERROR(VLOOKUP($B84,Miljövärden!$B$2:$H$550,6,FALSE),"Nej, saknas")</f>
        <v>Ja</v>
      </c>
      <c r="AU84">
        <f t="shared" si="25"/>
        <v>0.105</v>
      </c>
      <c r="AV84">
        <f t="shared" si="26"/>
        <v>0</v>
      </c>
      <c r="AW84">
        <f t="shared" si="27"/>
        <v>0</v>
      </c>
      <c r="AX84">
        <f t="shared" si="28"/>
        <v>5.8</v>
      </c>
      <c r="AZ84">
        <f t="shared" si="29"/>
        <v>5.8</v>
      </c>
      <c r="BC84">
        <f t="shared" si="30"/>
        <v>0.05</v>
      </c>
      <c r="BD84">
        <f t="shared" si="31"/>
        <v>0</v>
      </c>
      <c r="BE84">
        <f t="shared" si="32"/>
        <v>5.8</v>
      </c>
      <c r="BF84">
        <f t="shared" si="33"/>
        <v>0</v>
      </c>
      <c r="BG84">
        <f t="shared" si="34"/>
        <v>0.105</v>
      </c>
      <c r="BH84">
        <f>VLOOKUP(B84,Miljö!$B$1:$BX$482,MATCH("Fossilandel för ursprungspecificerad el ()",Miljö!$B$1:$I$1,0),FALSE)</f>
        <v>0</v>
      </c>
      <c r="BI84">
        <f>VLOOKUP(B84,Miljö!$B$1:$BX$482,MATCH("Kärnkraftsandel för ursprungsspecificerad el ()",Miljö!$B$1:$O$1,0),FALSE)</f>
        <v>0</v>
      </c>
      <c r="BJ84">
        <f t="shared" si="35"/>
        <v>0</v>
      </c>
      <c r="BK84" t="str">
        <f>VLOOKUP(B84,Miljö!$B$1:$O$482,MATCH("Fossil andel i procent (%)",Miljö!$B$1:$O$1,0),FALSE)</f>
        <v>ET</v>
      </c>
      <c r="BL84">
        <f t="shared" si="36"/>
        <v>5.9550000000000001</v>
      </c>
      <c r="BO84" s="18">
        <f t="shared" si="37"/>
        <v>8.3963056255247689E-3</v>
      </c>
      <c r="BP84" s="18">
        <f t="shared" si="38"/>
        <v>0</v>
      </c>
      <c r="BQ84" s="18">
        <f t="shared" si="39"/>
        <v>0.99160369437447526</v>
      </c>
      <c r="BR84" s="18">
        <f t="shared" si="40"/>
        <v>0</v>
      </c>
      <c r="BT84" s="27">
        <f t="shared" si="41"/>
        <v>1</v>
      </c>
      <c r="BW84" s="18">
        <f>IF(AP84="ja",VLOOKUP(B84,Miljövärden!$B$2:$H$550,MATCH("Total andel fossilt",Miljövärden!$B$2:$H$2,0),FALSE),"")</f>
        <v>8.3963100000000006E-3</v>
      </c>
      <c r="BZ84" s="28">
        <f t="shared" si="42"/>
        <v>4.3744752317026458E-9</v>
      </c>
      <c r="CA84" s="28">
        <f t="shared" si="43"/>
        <v>0</v>
      </c>
    </row>
    <row r="85" spans="1:79" x14ac:dyDescent="0.25">
      <c r="A85" s="224" t="s">
        <v>307</v>
      </c>
      <c r="B85" s="210" t="s">
        <v>308</v>
      </c>
      <c r="C85" s="121">
        <f>VLOOKUP($B85,'Tillförd energi'!$B$1:$AI$720,MATCH(C$1,'Tillförd energi'!$B$1:$AQ$1,0),FALSE)</f>
        <v>0</v>
      </c>
      <c r="D85" s="121">
        <f>VLOOKUP($B85,'Tillförd energi'!$B$1:$AI$720,MATCH(D$1,'Tillförd energi'!$B$1:$AQ$1,0),FALSE)</f>
        <v>5</v>
      </c>
      <c r="E85" s="121">
        <f>VLOOKUP($B85,'Tillförd energi'!$B$1:$AI$720,MATCH(E$1,'Tillförd energi'!$B$1:$AQ$1,0),FALSE)</f>
        <v>0</v>
      </c>
      <c r="F85" s="121">
        <f>VLOOKUP($B85,'Tillförd energi'!$B$1:$AI$720,MATCH(F$1,'Tillförd energi'!$B$1:$AQ$1,0),FALSE)</f>
        <v>0</v>
      </c>
      <c r="G85" s="121">
        <f>VLOOKUP($B85,'Tillförd energi'!$B$1:$AI$720,MATCH(G$1,'Tillförd energi'!$B$1:$AQ$1,0),FALSE)</f>
        <v>0</v>
      </c>
      <c r="H85" s="121">
        <f>VLOOKUP($B85,'Tillförd energi'!$B$1:$AI$720,MATCH(H$1,'Tillförd energi'!$B$1:$AQ$1,0),FALSE)</f>
        <v>0</v>
      </c>
      <c r="I85" s="121">
        <f>VLOOKUP($B85,'Tillförd energi'!$B$1:$AI$720,MATCH(I$1,'Tillförd energi'!$B$1:$AQ$1,0),FALSE)</f>
        <v>71.3</v>
      </c>
      <c r="J85" s="121">
        <f>VLOOKUP($B85,'Tillförd energi'!$B$1:$AI$720,MATCH(J$1,'Tillförd energi'!$B$1:$AQ$1,0),FALSE)</f>
        <v>0</v>
      </c>
      <c r="K85" s="121">
        <f>VLOOKUP($B85,'Tillförd energi'!$B$1:$AI$720,MATCH(K$1,'Tillförd energi'!$B$1:$AQ$1,0),FALSE)</f>
        <v>0</v>
      </c>
      <c r="L85" s="121">
        <f>VLOOKUP($B85,'Tillförd energi'!$B$1:$AI$720,MATCH(L$1,'Tillförd energi'!$B$1:$AQ$1,0),FALSE)</f>
        <v>2.7</v>
      </c>
      <c r="M85" s="121">
        <f>VLOOKUP($B85,'Tillförd energi'!$B$1:$AI$720,MATCH(M$1,'Tillförd energi'!$B$1:$AQ$1,0),FALSE)</f>
        <v>0</v>
      </c>
      <c r="N85" s="121">
        <f>VLOOKUP($B85,'Tillförd energi'!$B$1:$AI$720,MATCH(N$1,'Tillförd energi'!$B$1:$AQ$1,0),FALSE)</f>
        <v>38.700000000000003</v>
      </c>
      <c r="O85" s="121">
        <f>VLOOKUP($B85,'Tillförd energi'!$B$1:$AI$720,MATCH(O$1,'Tillförd energi'!$B$1:$AQ$1,0),FALSE)</f>
        <v>0</v>
      </c>
      <c r="P85" s="121">
        <f>VLOOKUP($B85,'Tillförd energi'!$B$1:$AI$720,MATCH(P$1,'Tillförd energi'!$B$1:$AQ$1,0),FALSE)</f>
        <v>0</v>
      </c>
      <c r="Q85" s="121">
        <f>VLOOKUP($B85,'Tillförd energi'!$B$1:$AI$720,MATCH(Q$1,'Tillförd energi'!$B$1:$AQ$1,0),FALSE)</f>
        <v>0</v>
      </c>
      <c r="R85" s="121">
        <f>VLOOKUP($B85,'Tillförd energi'!$B$1:$AI$720,MATCH(R$1,'Tillförd energi'!$B$1:$AQ$1,0),FALSE)</f>
        <v>0</v>
      </c>
      <c r="S85" s="121">
        <f>VLOOKUP($B85,'Tillförd energi'!$B$1:$AI$720,MATCH(S$1,'Tillförd energi'!$B$1:$AQ$1,0),FALSE)</f>
        <v>0</v>
      </c>
      <c r="T85" s="121">
        <f>VLOOKUP($B85,'Tillförd energi'!$B$1:$AI$720,MATCH(T$1,'Tillförd energi'!$B$1:$AQ$1,0),FALSE)</f>
        <v>0</v>
      </c>
      <c r="U85" s="121">
        <f>VLOOKUP($B85,'Tillförd energi'!$B$1:$AI$720,MATCH(U$1,'Tillförd energi'!$B$1:$AQ$1,0),FALSE)</f>
        <v>0</v>
      </c>
      <c r="V85" s="121">
        <f>VLOOKUP($B85,'Tillförd energi'!$B$1:$AI$720,MATCH(V$1,'Tillförd energi'!$B$1:$AQ$1,0),FALSE)</f>
        <v>0</v>
      </c>
      <c r="W85" s="121">
        <f>VLOOKUP($B85,'Tillförd energi'!$B$1:$AI$720,MATCH(W$1,'Tillförd energi'!$B$1:$AQ$1,0),FALSE)</f>
        <v>11.1</v>
      </c>
      <c r="X85" s="121">
        <f>VLOOKUP($B85,'Tillförd energi'!$B$1:$AI$720,MATCH(X$1,'Tillförd energi'!$B$1:$AQ$1,0),FALSE)</f>
        <v>0</v>
      </c>
      <c r="Y85" s="121">
        <f>VLOOKUP($B85,'Tillförd energi'!$B$1:$AI$720,MATCH(Y$1,'Tillförd energi'!$B$1:$AQ$1,0),FALSE)</f>
        <v>0</v>
      </c>
      <c r="Z85" s="121">
        <f>VLOOKUP($B85,'Tillförd energi'!$B$1:$AI$720,MATCH(Z$1,'Tillförd energi'!$B$1:$AQ$1,0),FALSE)</f>
        <v>0</v>
      </c>
      <c r="AA85" s="121">
        <f>VLOOKUP($B85,'Tillförd energi'!$B$1:$AI$720,MATCH(AA$1,'Tillförd energi'!$B$1:$AQ$1,0),FALSE)</f>
        <v>0</v>
      </c>
      <c r="AB85" s="121">
        <f>VLOOKUP($B85,'Tillförd energi'!$B$1:$AI$720,MATCH(AB$1,'Tillförd energi'!$B$1:$AQ$1,0),FALSE)</f>
        <v>0</v>
      </c>
      <c r="AC85" s="121">
        <f>VLOOKUP($B85,'Tillförd energi'!$B$1:$AI$720,MATCH(AC$1,'Tillförd energi'!$B$1:$AQ$1,0),FALSE)</f>
        <v>0</v>
      </c>
      <c r="AD85" s="121">
        <f>VLOOKUP($B85,'Tillförd energi'!$B$1:$AI$720,MATCH(AD$1,'Tillförd energi'!$B$1:$AQ$1,0),FALSE)</f>
        <v>15.4</v>
      </c>
      <c r="AE85" s="121">
        <f>VLOOKUP($B85,'Tillförd energi'!$B$1:$AI$720,MATCH(AE$1,'Tillförd energi'!$B$1:$AQ$1,0),FALSE)</f>
        <v>0</v>
      </c>
      <c r="AF85" s="121">
        <f>VLOOKUP($B85,'Tillförd energi'!$B$1:$AI$720,MATCH(AF$1,'Tillförd energi'!$B$1:$AQ$1,0),FALSE)</f>
        <v>3.9</v>
      </c>
      <c r="AG85" s="121">
        <f>IFERROR(VLOOKUP(B85,Miljö!$B$1:$AC$550,MATCH("Köpt mängd produktionsspecifik fjärrvärme:",Miljö!$B$1:$AC$1,0),FALSE)/1,0)</f>
        <v>0</v>
      </c>
      <c r="AH85" s="121"/>
      <c r="AI85" s="121">
        <f t="shared" si="22"/>
        <v>148.10000000000002</v>
      </c>
      <c r="AJ85" s="121">
        <f t="shared" si="23"/>
        <v>148.10000000000002</v>
      </c>
      <c r="AK85" s="121">
        <f>IF(ISERROR(1/VLOOKUP($B85,Leveranser!$B$1:$S$499,MATCH("såld värme (gwh)",Leveranser!$B$1:$S$1,0),FALSE)),"",VLOOKUP($B85,Leveranser!$B$1:$S$499,MATCH("såld värme (gwh)",Leveranser!$B$1:$S$1,0),FALSE))</f>
        <v>107</v>
      </c>
      <c r="AL85" s="121">
        <f>VLOOKUP($B85,Leveranser!$B$1:$Y$499,MATCH("Totalt såld fjärrvärme till andra fjärrvärmeföretag",Leveranser!$B$1:$AA$1,0),FALSE)</f>
        <v>0</v>
      </c>
      <c r="AM85" s="121">
        <f>IF(ISERROR(1/VLOOKUP($B85,Miljö!$B$1:$S$500,MATCH("Såld mängd produktionsspecifik fjärrvärme (GWh)",Miljö!$B$1:$R$1,0),FALSE)),0,VLOOKUP($B85,Miljö!$B$1:$S$500,MATCH("Såld mängd produktionsspecifik fjärrvärme (GWh)",Miljö!$B$1:$R$1,0),FALSE))</f>
        <v>0</v>
      </c>
      <c r="AN85" s="172">
        <f t="shared" si="24"/>
        <v>0.7224848075624577</v>
      </c>
      <c r="AO85" s="121"/>
      <c r="AP85" s="121" t="str">
        <f>IFERROR(VLOOKUP($B85,Miljövärden!$B$2:$H$550,7,FALSE),"Nej, saknas")</f>
        <v>Ja</v>
      </c>
      <c r="AQ85" s="121" t="str">
        <f>IFERROR(VLOOKUP($B85,Miljövärden!$B$2:$H$550,6,FALSE),"Nej, saknas")</f>
        <v>Nej</v>
      </c>
      <c r="AU85">
        <f t="shared" si="25"/>
        <v>3.9</v>
      </c>
      <c r="AV85">
        <f t="shared" si="26"/>
        <v>0</v>
      </c>
      <c r="AW85">
        <f t="shared" si="27"/>
        <v>38.700000000000003</v>
      </c>
      <c r="AX85">
        <f t="shared" si="28"/>
        <v>0</v>
      </c>
      <c r="AZ85">
        <f t="shared" si="29"/>
        <v>52.500000000000007</v>
      </c>
      <c r="BC85">
        <f t="shared" si="30"/>
        <v>5</v>
      </c>
      <c r="BD85">
        <f t="shared" si="31"/>
        <v>0</v>
      </c>
      <c r="BE85">
        <f t="shared" si="32"/>
        <v>49.800000000000004</v>
      </c>
      <c r="BF85">
        <f t="shared" si="33"/>
        <v>89.4</v>
      </c>
      <c r="BG85">
        <f t="shared" si="34"/>
        <v>3.9</v>
      </c>
      <c r="BH85">
        <f>VLOOKUP(B85,Miljö!$B$1:$BX$482,MATCH("Fossilandel för ursprungspecificerad el ()",Miljö!$B$1:$I$1,0),FALSE)</f>
        <v>0</v>
      </c>
      <c r="BI85">
        <f>VLOOKUP(B85,Miljö!$B$1:$BX$482,MATCH("Kärnkraftsandel för ursprungsspecificerad el ()",Miljö!$B$1:$O$1,0),FALSE)</f>
        <v>0</v>
      </c>
      <c r="BJ85">
        <f t="shared" si="35"/>
        <v>0</v>
      </c>
      <c r="BK85" t="str">
        <f>VLOOKUP(B85,Miljö!$B$1:$O$482,MATCH("Fossil andel i procent (%)",Miljö!$B$1:$O$1,0),FALSE)</f>
        <v>ET</v>
      </c>
      <c r="BL85">
        <f t="shared" si="36"/>
        <v>148.10000000000002</v>
      </c>
      <c r="BO85" s="18">
        <f t="shared" si="37"/>
        <v>3.3760972316002696E-2</v>
      </c>
      <c r="BP85" s="18">
        <f t="shared" si="38"/>
        <v>0</v>
      </c>
      <c r="BQ85" s="18">
        <f t="shared" si="39"/>
        <v>0.36259284267386899</v>
      </c>
      <c r="BR85" s="18">
        <f t="shared" si="40"/>
        <v>0.60364618501012823</v>
      </c>
      <c r="BT85" s="27">
        <f t="shared" si="41"/>
        <v>0.99999999999999989</v>
      </c>
      <c r="BW85" s="18">
        <f>IF(AP85="ja",VLOOKUP(B85,Miljövärden!$B$2:$H$550,MATCH("Total andel fossilt",Miljövärden!$B$2:$H$2,0),FALSE),"")</f>
        <v>3.3760999999999999E-2</v>
      </c>
      <c r="BZ85" s="28">
        <f t="shared" si="42"/>
        <v>2.7683997302907493E-8</v>
      </c>
      <c r="CA85" s="28">
        <f t="shared" si="43"/>
        <v>0</v>
      </c>
    </row>
    <row r="86" spans="1:79" x14ac:dyDescent="0.25">
      <c r="A86" s="224" t="s">
        <v>309</v>
      </c>
      <c r="B86" s="210" t="s">
        <v>310</v>
      </c>
      <c r="C86" s="121">
        <f>VLOOKUP($B86,'Tillförd energi'!$B$1:$AI$720,MATCH(C$1,'Tillförd energi'!$B$1:$AQ$1,0),FALSE)</f>
        <v>0</v>
      </c>
      <c r="D86" s="121">
        <f>VLOOKUP($B86,'Tillförd energi'!$B$1:$AI$720,MATCH(D$1,'Tillförd energi'!$B$1:$AQ$1,0),FALSE)</f>
        <v>0.40100000000000002</v>
      </c>
      <c r="E86" s="121">
        <f>VLOOKUP($B86,'Tillförd energi'!$B$1:$AI$720,MATCH(E$1,'Tillförd energi'!$B$1:$AQ$1,0),FALSE)</f>
        <v>0</v>
      </c>
      <c r="F86" s="121">
        <f>VLOOKUP($B86,'Tillförd energi'!$B$1:$AI$720,MATCH(F$1,'Tillförd energi'!$B$1:$AQ$1,0),FALSE)</f>
        <v>0</v>
      </c>
      <c r="G86" s="121">
        <f>VLOOKUP($B86,'Tillförd energi'!$B$1:$AI$720,MATCH(G$1,'Tillförd energi'!$B$1:$AQ$1,0),FALSE)</f>
        <v>0.26400000000000001</v>
      </c>
      <c r="H86" s="121">
        <f>VLOOKUP($B86,'Tillförd energi'!$B$1:$AI$720,MATCH(H$1,'Tillförd energi'!$B$1:$AQ$1,0),FALSE)</f>
        <v>0</v>
      </c>
      <c r="I86" s="121">
        <f>VLOOKUP($B86,'Tillförd energi'!$B$1:$AI$720,MATCH(I$1,'Tillförd energi'!$B$1:$AQ$1,0),FALSE)</f>
        <v>0</v>
      </c>
      <c r="J86" s="121">
        <f>VLOOKUP($B86,'Tillförd energi'!$B$1:$AI$720,MATCH(J$1,'Tillförd energi'!$B$1:$AQ$1,0),FALSE)</f>
        <v>0</v>
      </c>
      <c r="K86" s="121">
        <f>VLOOKUP($B86,'Tillförd energi'!$B$1:$AI$720,MATCH(K$1,'Tillförd energi'!$B$1:$AQ$1,0),FALSE)</f>
        <v>0</v>
      </c>
      <c r="L86" s="121">
        <f>VLOOKUP($B86,'Tillförd energi'!$B$1:$AI$720,MATCH(L$1,'Tillförd energi'!$B$1:$AQ$1,0),FALSE)</f>
        <v>0</v>
      </c>
      <c r="M86" s="121">
        <f>VLOOKUP($B86,'Tillförd energi'!$B$1:$AI$720,MATCH(M$1,'Tillförd energi'!$B$1:$AQ$1,0),FALSE)</f>
        <v>9</v>
      </c>
      <c r="N86" s="121">
        <f>VLOOKUP($B86,'Tillförd energi'!$B$1:$AI$720,MATCH(N$1,'Tillförd energi'!$B$1:$AQ$1,0),FALSE)</f>
        <v>15</v>
      </c>
      <c r="O86" s="121">
        <f>VLOOKUP($B86,'Tillförd energi'!$B$1:$AI$720,MATCH(O$1,'Tillförd energi'!$B$1:$AQ$1,0),FALSE)</f>
        <v>0</v>
      </c>
      <c r="P86" s="121">
        <f>VLOOKUP($B86,'Tillförd energi'!$B$1:$AI$720,MATCH(P$1,'Tillförd energi'!$B$1:$AQ$1,0),FALSE)</f>
        <v>10.5</v>
      </c>
      <c r="Q86" s="121">
        <f>VLOOKUP($B86,'Tillförd energi'!$B$1:$AI$720,MATCH(Q$1,'Tillförd energi'!$B$1:$AQ$1,0),FALSE)</f>
        <v>0</v>
      </c>
      <c r="R86" s="121">
        <f>VLOOKUP($B86,'Tillförd energi'!$B$1:$AI$720,MATCH(R$1,'Tillförd energi'!$B$1:$AQ$1,0),FALSE)</f>
        <v>2.093</v>
      </c>
      <c r="S86" s="121">
        <f>VLOOKUP($B86,'Tillförd energi'!$B$1:$AI$720,MATCH(S$1,'Tillförd energi'!$B$1:$AQ$1,0),FALSE)</f>
        <v>0</v>
      </c>
      <c r="T86" s="121">
        <f>VLOOKUP($B86,'Tillförd energi'!$B$1:$AI$720,MATCH(T$1,'Tillförd energi'!$B$1:$AQ$1,0),FALSE)</f>
        <v>0</v>
      </c>
      <c r="U86" s="121">
        <f>VLOOKUP($B86,'Tillförd energi'!$B$1:$AI$720,MATCH(U$1,'Tillförd energi'!$B$1:$AQ$1,0),FALSE)</f>
        <v>0</v>
      </c>
      <c r="V86" s="121">
        <f>VLOOKUP($B86,'Tillförd energi'!$B$1:$AI$720,MATCH(V$1,'Tillförd energi'!$B$1:$AQ$1,0),FALSE)</f>
        <v>0</v>
      </c>
      <c r="W86" s="121">
        <f>VLOOKUP($B86,'Tillförd energi'!$B$1:$AI$720,MATCH(W$1,'Tillförd energi'!$B$1:$AQ$1,0),FALSE)</f>
        <v>0</v>
      </c>
      <c r="X86" s="121">
        <f>VLOOKUP($B86,'Tillförd energi'!$B$1:$AI$720,MATCH(X$1,'Tillförd energi'!$B$1:$AQ$1,0),FALSE)</f>
        <v>0</v>
      </c>
      <c r="Y86" s="121">
        <f>VLOOKUP($B86,'Tillförd energi'!$B$1:$AI$720,MATCH(Y$1,'Tillförd energi'!$B$1:$AQ$1,0),FALSE)</f>
        <v>0</v>
      </c>
      <c r="Z86" s="121">
        <f>VLOOKUP($B86,'Tillförd energi'!$B$1:$AI$720,MATCH(Z$1,'Tillförd energi'!$B$1:$AQ$1,0),FALSE)</f>
        <v>0.06</v>
      </c>
      <c r="AA86" s="121">
        <f>VLOOKUP($B86,'Tillförd energi'!$B$1:$AI$720,MATCH(AA$1,'Tillförd energi'!$B$1:$AQ$1,0),FALSE)</f>
        <v>0</v>
      </c>
      <c r="AB86" s="121">
        <f>VLOOKUP($B86,'Tillförd energi'!$B$1:$AI$720,MATCH(AB$1,'Tillförd energi'!$B$1:$AQ$1,0),FALSE)</f>
        <v>0</v>
      </c>
      <c r="AC86" s="121">
        <f>VLOOKUP($B86,'Tillförd energi'!$B$1:$AI$720,MATCH(AC$1,'Tillförd energi'!$B$1:$AQ$1,0),FALSE)</f>
        <v>5.2</v>
      </c>
      <c r="AD86" s="121">
        <f>VLOOKUP($B86,'Tillförd energi'!$B$1:$AI$720,MATCH(AD$1,'Tillförd energi'!$B$1:$AQ$1,0),FALSE)</f>
        <v>0.90300000000000002</v>
      </c>
      <c r="AE86" s="121">
        <f>VLOOKUP($B86,'Tillförd energi'!$B$1:$AI$720,MATCH(AE$1,'Tillförd energi'!$B$1:$AQ$1,0),FALSE)</f>
        <v>0</v>
      </c>
      <c r="AF86" s="121">
        <f>VLOOKUP($B86,'Tillförd energi'!$B$1:$AI$720,MATCH(AF$1,'Tillförd energi'!$B$1:$AQ$1,0),FALSE)</f>
        <v>1.00335</v>
      </c>
      <c r="AG86" s="121">
        <f>IFERROR(VLOOKUP(B86,Miljö!$B$1:$AC$550,MATCH("Köpt mängd produktionsspecifik fjärrvärme:",Miljö!$B$1:$AC$1,0),FALSE)/1,0)</f>
        <v>0</v>
      </c>
      <c r="AH86" s="121"/>
      <c r="AI86" s="121">
        <f t="shared" si="22"/>
        <v>44.424349999999997</v>
      </c>
      <c r="AJ86" s="121">
        <f t="shared" si="23"/>
        <v>44.424349999999997</v>
      </c>
      <c r="AK86" s="121">
        <f>IF(ISERROR(1/VLOOKUP($B86,Leveranser!$B$1:$S$499,MATCH("såld värme (gwh)",Leveranser!$B$1:$S$1,0),FALSE)),"",VLOOKUP($B86,Leveranser!$B$1:$S$499,MATCH("såld värme (gwh)",Leveranser!$B$1:$S$1,0),FALSE))</f>
        <v>33.445</v>
      </c>
      <c r="AL86" s="121">
        <f>VLOOKUP($B86,Leveranser!$B$1:$Y$499,MATCH("Totalt såld fjärrvärme till andra fjärrvärmeföretag",Leveranser!$B$1:$AA$1,0),FALSE)</f>
        <v>0</v>
      </c>
      <c r="AM86" s="121">
        <f>IF(ISERROR(1/VLOOKUP($B86,Miljö!$B$1:$S$500,MATCH("Såld mängd produktionsspecifik fjärrvärme (GWh)",Miljö!$B$1:$R$1,0),FALSE)),0,VLOOKUP($B86,Miljö!$B$1:$S$500,MATCH("Såld mängd produktionsspecifik fjärrvärme (GWh)",Miljö!$B$1:$R$1,0),FALSE))</f>
        <v>0</v>
      </c>
      <c r="AN86" s="172">
        <f t="shared" si="24"/>
        <v>0.75285288361000224</v>
      </c>
      <c r="AO86" s="121"/>
      <c r="AP86" s="121" t="str">
        <f>IFERROR(VLOOKUP($B86,Miljövärden!$B$2:$H$550,7,FALSE),"Nej, saknas")</f>
        <v>Ja</v>
      </c>
      <c r="AQ86" s="121" t="str">
        <f>IFERROR(VLOOKUP($B86,Miljövärden!$B$2:$H$550,6,FALSE),"Nej, saknas")</f>
        <v>Ja</v>
      </c>
      <c r="AU86">
        <f t="shared" si="25"/>
        <v>1.06335</v>
      </c>
      <c r="AV86">
        <f t="shared" si="26"/>
        <v>0</v>
      </c>
      <c r="AW86">
        <f t="shared" si="27"/>
        <v>34.5</v>
      </c>
      <c r="AX86">
        <f t="shared" si="28"/>
        <v>2.093</v>
      </c>
      <c r="AZ86">
        <f t="shared" si="29"/>
        <v>36.593000000000004</v>
      </c>
      <c r="BC86">
        <f t="shared" si="30"/>
        <v>0.66500000000000004</v>
      </c>
      <c r="BD86">
        <f t="shared" si="31"/>
        <v>0</v>
      </c>
      <c r="BE86">
        <f t="shared" si="32"/>
        <v>36.593000000000004</v>
      </c>
      <c r="BF86">
        <f t="shared" si="33"/>
        <v>6.1029999999999998</v>
      </c>
      <c r="BG86">
        <f t="shared" si="34"/>
        <v>1.06335</v>
      </c>
      <c r="BH86">
        <f>VLOOKUP(B86,Miljö!$B$1:$BX$482,MATCH("Fossilandel för ursprungspecificerad el ()",Miljö!$B$1:$I$1,0),FALSE)</f>
        <v>0</v>
      </c>
      <c r="BI86">
        <f>VLOOKUP(B86,Miljö!$B$1:$BX$482,MATCH("Kärnkraftsandel för ursprungsspecificerad el ()",Miljö!$B$1:$O$1,0),FALSE)</f>
        <v>0</v>
      </c>
      <c r="BJ86">
        <f t="shared" si="35"/>
        <v>0</v>
      </c>
      <c r="BK86" t="str">
        <f>VLOOKUP(B86,Miljö!$B$1:$O$482,MATCH("Fossil andel i procent (%)",Miljö!$B$1:$O$1,0),FALSE)</f>
        <v>ET</v>
      </c>
      <c r="BL86">
        <f t="shared" si="36"/>
        <v>44.424350000000004</v>
      </c>
      <c r="BO86" s="18">
        <f t="shared" si="37"/>
        <v>1.4969267980285587E-2</v>
      </c>
      <c r="BP86" s="18">
        <f t="shared" si="38"/>
        <v>0</v>
      </c>
      <c r="BQ86" s="18">
        <f t="shared" si="39"/>
        <v>0.84765111926229642</v>
      </c>
      <c r="BR86" s="18">
        <f t="shared" si="40"/>
        <v>0.13737961275741792</v>
      </c>
      <c r="BT86" s="27">
        <f t="shared" si="41"/>
        <v>1</v>
      </c>
      <c r="BW86" s="18">
        <f>IF(AP86="ja",VLOOKUP(B86,Miljövärden!$B$2:$H$550,MATCH("Total andel fossilt",Miljövärden!$B$2:$H$2,0),FALSE),"")</f>
        <v>1.49693E-2</v>
      </c>
      <c r="BZ86" s="28">
        <f t="shared" si="42"/>
        <v>3.2019714412898082E-8</v>
      </c>
      <c r="CA86" s="28">
        <f t="shared" si="43"/>
        <v>0</v>
      </c>
    </row>
    <row r="87" spans="1:79" x14ac:dyDescent="0.25">
      <c r="A87" s="224" t="s">
        <v>309</v>
      </c>
      <c r="B87" s="210" t="s">
        <v>311</v>
      </c>
      <c r="C87" s="121">
        <f>VLOOKUP($B87,'Tillförd energi'!$B$1:$AI$720,MATCH(C$1,'Tillförd energi'!$B$1:$AQ$1,0),FALSE)</f>
        <v>0</v>
      </c>
      <c r="D87" s="121">
        <f>VLOOKUP($B87,'Tillförd energi'!$B$1:$AI$720,MATCH(D$1,'Tillförd energi'!$B$1:$AQ$1,0),FALSE)</f>
        <v>0</v>
      </c>
      <c r="E87" s="121">
        <f>VLOOKUP($B87,'Tillförd energi'!$B$1:$AI$720,MATCH(E$1,'Tillförd energi'!$B$1:$AQ$1,0),FALSE)</f>
        <v>0</v>
      </c>
      <c r="F87" s="121">
        <f>VLOOKUP($B87,'Tillförd energi'!$B$1:$AI$720,MATCH(F$1,'Tillförd energi'!$B$1:$AQ$1,0),FALSE)</f>
        <v>0</v>
      </c>
      <c r="G87" s="121">
        <f>VLOOKUP($B87,'Tillförd energi'!$B$1:$AI$720,MATCH(G$1,'Tillförd energi'!$B$1:$AQ$1,0),FALSE)</f>
        <v>0</v>
      </c>
      <c r="H87" s="121">
        <f>VLOOKUP($B87,'Tillförd energi'!$B$1:$AI$720,MATCH(H$1,'Tillförd energi'!$B$1:$AQ$1,0),FALSE)</f>
        <v>0</v>
      </c>
      <c r="I87" s="121">
        <f>VLOOKUP($B87,'Tillförd energi'!$B$1:$AI$720,MATCH(I$1,'Tillförd energi'!$B$1:$AQ$1,0),FALSE)</f>
        <v>0</v>
      </c>
      <c r="J87" s="121">
        <f>VLOOKUP($B87,'Tillförd energi'!$B$1:$AI$720,MATCH(J$1,'Tillförd energi'!$B$1:$AQ$1,0),FALSE)</f>
        <v>0</v>
      </c>
      <c r="K87" s="121">
        <f>VLOOKUP($B87,'Tillförd energi'!$B$1:$AI$720,MATCH(K$1,'Tillförd energi'!$B$1:$AQ$1,0),FALSE)</f>
        <v>0</v>
      </c>
      <c r="L87" s="121">
        <f>VLOOKUP($B87,'Tillförd energi'!$B$1:$AI$720,MATCH(L$1,'Tillförd energi'!$B$1:$AQ$1,0),FALSE)</f>
        <v>0</v>
      </c>
      <c r="M87" s="121">
        <f>VLOOKUP($B87,'Tillförd energi'!$B$1:$AI$720,MATCH(M$1,'Tillförd energi'!$B$1:$AQ$1,0),FALSE)</f>
        <v>0</v>
      </c>
      <c r="N87" s="121">
        <f>VLOOKUP($B87,'Tillförd energi'!$B$1:$AI$720,MATCH(N$1,'Tillförd energi'!$B$1:$AQ$1,0),FALSE)</f>
        <v>0</v>
      </c>
      <c r="O87" s="121">
        <f>VLOOKUP($B87,'Tillförd energi'!$B$1:$AI$720,MATCH(O$1,'Tillförd energi'!$B$1:$AQ$1,0),FALSE)</f>
        <v>0</v>
      </c>
      <c r="P87" s="121">
        <f>VLOOKUP($B87,'Tillförd energi'!$B$1:$AI$720,MATCH(P$1,'Tillförd energi'!$B$1:$AQ$1,0),FALSE)</f>
        <v>0</v>
      </c>
      <c r="Q87" s="121">
        <f>VLOOKUP($B87,'Tillförd energi'!$B$1:$AI$720,MATCH(Q$1,'Tillförd energi'!$B$1:$AQ$1,0),FALSE)</f>
        <v>5.91059</v>
      </c>
      <c r="R87" s="121">
        <f>VLOOKUP($B87,'Tillförd energi'!$B$1:$AI$720,MATCH(R$1,'Tillförd energi'!$B$1:$AQ$1,0),FALSE)</f>
        <v>0</v>
      </c>
      <c r="S87" s="121">
        <f>VLOOKUP($B87,'Tillförd energi'!$B$1:$AI$720,MATCH(S$1,'Tillförd energi'!$B$1:$AQ$1,0),FALSE)</f>
        <v>0</v>
      </c>
      <c r="T87" s="121">
        <f>VLOOKUP($B87,'Tillförd energi'!$B$1:$AI$720,MATCH(T$1,'Tillförd energi'!$B$1:$AQ$1,0),FALSE)</f>
        <v>0</v>
      </c>
      <c r="U87" s="121">
        <f>VLOOKUP($B87,'Tillförd energi'!$B$1:$AI$720,MATCH(U$1,'Tillförd energi'!$B$1:$AQ$1,0),FALSE)</f>
        <v>0</v>
      </c>
      <c r="V87" s="121">
        <f>VLOOKUP($B87,'Tillförd energi'!$B$1:$AI$720,MATCH(V$1,'Tillförd energi'!$B$1:$AQ$1,0),FALSE)</f>
        <v>0</v>
      </c>
      <c r="W87" s="121">
        <f>VLOOKUP($B87,'Tillförd energi'!$B$1:$AI$720,MATCH(W$1,'Tillförd energi'!$B$1:$AQ$1,0),FALSE)</f>
        <v>0</v>
      </c>
      <c r="X87" s="121">
        <f>VLOOKUP($B87,'Tillförd energi'!$B$1:$AI$720,MATCH(X$1,'Tillförd energi'!$B$1:$AQ$1,0),FALSE)</f>
        <v>0</v>
      </c>
      <c r="Y87" s="121">
        <f>VLOOKUP($B87,'Tillförd energi'!$B$1:$AI$720,MATCH(Y$1,'Tillförd energi'!$B$1:$AQ$1,0),FALSE)</f>
        <v>0</v>
      </c>
      <c r="Z87" s="121">
        <f>VLOOKUP($B87,'Tillförd energi'!$B$1:$AI$720,MATCH(Z$1,'Tillförd energi'!$B$1:$AQ$1,0),FALSE)</f>
        <v>0</v>
      </c>
      <c r="AA87" s="121">
        <f>VLOOKUP($B87,'Tillförd energi'!$B$1:$AI$720,MATCH(AA$1,'Tillförd energi'!$B$1:$AQ$1,0),FALSE)</f>
        <v>0</v>
      </c>
      <c r="AB87" s="121">
        <f>VLOOKUP($B87,'Tillförd energi'!$B$1:$AI$720,MATCH(AB$1,'Tillförd energi'!$B$1:$AQ$1,0),FALSE)</f>
        <v>0</v>
      </c>
      <c r="AC87" s="121">
        <f>VLOOKUP($B87,'Tillförd energi'!$B$1:$AI$720,MATCH(AC$1,'Tillförd energi'!$B$1:$AQ$1,0),FALSE)</f>
        <v>0</v>
      </c>
      <c r="AD87" s="121">
        <f>VLOOKUP($B87,'Tillförd energi'!$B$1:$AI$720,MATCH(AD$1,'Tillförd energi'!$B$1:$AQ$1,0),FALSE)</f>
        <v>0</v>
      </c>
      <c r="AE87" s="121">
        <f>VLOOKUP($B87,'Tillförd energi'!$B$1:$AI$720,MATCH(AE$1,'Tillförd energi'!$B$1:$AQ$1,0),FALSE)</f>
        <v>0</v>
      </c>
      <c r="AF87" s="121">
        <f>VLOOKUP($B87,'Tillförd energi'!$B$1:$AI$720,MATCH(AF$1,'Tillförd energi'!$B$1:$AQ$1,0),FALSE)</f>
        <v>0.13100999999999999</v>
      </c>
      <c r="AG87" s="121">
        <f>IFERROR(VLOOKUP(B87,Miljö!$B$1:$AC$550,MATCH("Köpt mängd produktionsspecifik fjärrvärme:",Miljö!$B$1:$AC$1,0),FALSE)/1,0)</f>
        <v>0</v>
      </c>
      <c r="AH87" s="121"/>
      <c r="AI87" s="121">
        <f t="shared" si="22"/>
        <v>6.0415999999999999</v>
      </c>
      <c r="AJ87" s="121">
        <f t="shared" si="23"/>
        <v>6.0415999999999999</v>
      </c>
      <c r="AK87" s="121">
        <f>IF(ISERROR(1/VLOOKUP($B87,Leveranser!$B$1:$S$499,MATCH("såld värme (gwh)",Leveranser!$B$1:$S$1,0),FALSE)),"",VLOOKUP($B87,Leveranser!$B$1:$S$499,MATCH("såld värme (gwh)",Leveranser!$B$1:$S$1,0),FALSE))</f>
        <v>4.367</v>
      </c>
      <c r="AL87" s="121">
        <f>VLOOKUP($B87,Leveranser!$B$1:$Y$499,MATCH("Totalt såld fjärrvärme till andra fjärrvärmeföretag",Leveranser!$B$1:$AA$1,0),FALSE)</f>
        <v>0</v>
      </c>
      <c r="AM87" s="121">
        <f>IF(ISERROR(1/VLOOKUP($B87,Miljö!$B$1:$S$500,MATCH("Såld mängd produktionsspecifik fjärrvärme (GWh)",Miljö!$B$1:$R$1,0),FALSE)),0,VLOOKUP($B87,Miljö!$B$1:$S$500,MATCH("Såld mängd produktionsspecifik fjärrvärme (GWh)",Miljö!$B$1:$R$1,0),FALSE))</f>
        <v>0</v>
      </c>
      <c r="AN87" s="172">
        <f t="shared" si="24"/>
        <v>0.7228217690677966</v>
      </c>
      <c r="AO87" s="121"/>
      <c r="AP87" s="121" t="str">
        <f>IFERROR(VLOOKUP($B87,Miljövärden!$B$2:$H$550,7,FALSE),"Nej, saknas")</f>
        <v>Ja</v>
      </c>
      <c r="AQ87" s="121" t="str">
        <f>IFERROR(VLOOKUP($B87,Miljövärden!$B$2:$H$550,6,FALSE),"Nej, saknas")</f>
        <v>Ja</v>
      </c>
      <c r="AU87">
        <f t="shared" si="25"/>
        <v>0.13100999999999999</v>
      </c>
      <c r="AV87">
        <f t="shared" si="26"/>
        <v>0</v>
      </c>
      <c r="AW87">
        <f t="shared" si="27"/>
        <v>5.91059</v>
      </c>
      <c r="AX87">
        <f t="shared" si="28"/>
        <v>0</v>
      </c>
      <c r="AZ87">
        <f t="shared" si="29"/>
        <v>5.91059</v>
      </c>
      <c r="BC87">
        <f t="shared" si="30"/>
        <v>0</v>
      </c>
      <c r="BD87">
        <f t="shared" si="31"/>
        <v>0</v>
      </c>
      <c r="BE87">
        <f t="shared" si="32"/>
        <v>5.91059</v>
      </c>
      <c r="BF87">
        <f t="shared" si="33"/>
        <v>0</v>
      </c>
      <c r="BG87">
        <f t="shared" si="34"/>
        <v>0.13100999999999999</v>
      </c>
      <c r="BH87">
        <f>VLOOKUP(B87,Miljö!$B$1:$BX$482,MATCH("Fossilandel för ursprungspecificerad el ()",Miljö!$B$1:$I$1,0),FALSE)</f>
        <v>0.43</v>
      </c>
      <c r="BI87">
        <f>VLOOKUP(B87,Miljö!$B$1:$BX$482,MATCH("Kärnkraftsandel för ursprungsspecificerad el ()",Miljö!$B$1:$O$1,0),FALSE)</f>
        <v>0.40550000000000003</v>
      </c>
      <c r="BJ87">
        <f t="shared" si="35"/>
        <v>0</v>
      </c>
      <c r="BK87" t="str">
        <f>VLOOKUP(B87,Miljö!$B$1:$O$482,MATCH("Fossil andel i procent (%)",Miljö!$B$1:$O$1,0),FALSE)</f>
        <v>ET</v>
      </c>
      <c r="BL87">
        <f t="shared" si="36"/>
        <v>6.0415999999999999</v>
      </c>
      <c r="BO87" s="18">
        <f t="shared" si="37"/>
        <v>9.3244008209745766E-3</v>
      </c>
      <c r="BP87" s="18">
        <f t="shared" si="38"/>
        <v>8.793126820709745E-3</v>
      </c>
      <c r="BQ87" s="18">
        <f t="shared" si="39"/>
        <v>0.98188247235831572</v>
      </c>
      <c r="BR87" s="18">
        <f t="shared" si="40"/>
        <v>0</v>
      </c>
      <c r="BT87" s="27">
        <f t="shared" si="41"/>
        <v>1</v>
      </c>
      <c r="BW87" s="18">
        <f>IF(AP87="ja",VLOOKUP(B87,Miljövärden!$B$2:$H$550,MATCH("Total andel fossilt",Miljövärden!$B$2:$H$2,0),FALSE),"")</f>
        <v>9.3244E-3</v>
      </c>
      <c r="BZ87" s="28">
        <f t="shared" si="42"/>
        <v>-8.2097457651530981E-10</v>
      </c>
      <c r="CA87" s="28">
        <f t="shared" si="43"/>
        <v>0</v>
      </c>
    </row>
    <row r="88" spans="1:79" x14ac:dyDescent="0.25">
      <c r="A88" s="224" t="s">
        <v>309</v>
      </c>
      <c r="B88" s="210" t="s">
        <v>313</v>
      </c>
      <c r="C88" s="121">
        <f>VLOOKUP($B88,'Tillförd energi'!$B$1:$AI$720,MATCH(C$1,'Tillförd energi'!$B$1:$AQ$1,0),FALSE)</f>
        <v>0</v>
      </c>
      <c r="D88" s="121">
        <f>VLOOKUP($B88,'Tillförd energi'!$B$1:$AI$720,MATCH(D$1,'Tillförd energi'!$B$1:$AQ$1,0),FALSE)</f>
        <v>0</v>
      </c>
      <c r="E88" s="121">
        <f>VLOOKUP($B88,'Tillförd energi'!$B$1:$AI$720,MATCH(E$1,'Tillförd energi'!$B$1:$AQ$1,0),FALSE)</f>
        <v>0</v>
      </c>
      <c r="F88" s="121">
        <f>VLOOKUP($B88,'Tillförd energi'!$B$1:$AI$720,MATCH(F$1,'Tillförd energi'!$B$1:$AQ$1,0),FALSE)</f>
        <v>0</v>
      </c>
      <c r="G88" s="121">
        <f>VLOOKUP($B88,'Tillförd energi'!$B$1:$AI$720,MATCH(G$1,'Tillförd energi'!$B$1:$AQ$1,0),FALSE)</f>
        <v>0</v>
      </c>
      <c r="H88" s="121">
        <f>VLOOKUP($B88,'Tillförd energi'!$B$1:$AI$720,MATCH(H$1,'Tillförd energi'!$B$1:$AQ$1,0),FALSE)</f>
        <v>0</v>
      </c>
      <c r="I88" s="121">
        <f>VLOOKUP($B88,'Tillförd energi'!$B$1:$AI$720,MATCH(I$1,'Tillförd energi'!$B$1:$AQ$1,0),FALSE)</f>
        <v>0</v>
      </c>
      <c r="J88" s="121">
        <f>VLOOKUP($B88,'Tillförd energi'!$B$1:$AI$720,MATCH(J$1,'Tillförd energi'!$B$1:$AQ$1,0),FALSE)</f>
        <v>0</v>
      </c>
      <c r="K88" s="121">
        <f>VLOOKUP($B88,'Tillförd energi'!$B$1:$AI$720,MATCH(K$1,'Tillförd energi'!$B$1:$AQ$1,0),FALSE)</f>
        <v>0</v>
      </c>
      <c r="L88" s="121">
        <f>VLOOKUP($B88,'Tillförd energi'!$B$1:$AI$720,MATCH(L$1,'Tillförd energi'!$B$1:$AQ$1,0),FALSE)</f>
        <v>0</v>
      </c>
      <c r="M88" s="121">
        <f>VLOOKUP($B88,'Tillförd energi'!$B$1:$AI$720,MATCH(M$1,'Tillförd energi'!$B$1:$AQ$1,0),FALSE)</f>
        <v>0</v>
      </c>
      <c r="N88" s="121">
        <f>VLOOKUP($B88,'Tillförd energi'!$B$1:$AI$720,MATCH(N$1,'Tillförd energi'!$B$1:$AQ$1,0),FALSE)</f>
        <v>0</v>
      </c>
      <c r="O88" s="121">
        <f>VLOOKUP($B88,'Tillförd energi'!$B$1:$AI$720,MATCH(O$1,'Tillförd energi'!$B$1:$AQ$1,0),FALSE)</f>
        <v>0</v>
      </c>
      <c r="P88" s="121">
        <f>VLOOKUP($B88,'Tillförd energi'!$B$1:$AI$720,MATCH(P$1,'Tillförd energi'!$B$1:$AQ$1,0),FALSE)</f>
        <v>0</v>
      </c>
      <c r="Q88" s="121">
        <f>VLOOKUP($B88,'Tillförd energi'!$B$1:$AI$720,MATCH(Q$1,'Tillförd energi'!$B$1:$AQ$1,0),FALSE)</f>
        <v>0</v>
      </c>
      <c r="R88" s="121">
        <f>VLOOKUP($B88,'Tillförd energi'!$B$1:$AI$720,MATCH(R$1,'Tillförd energi'!$B$1:$AQ$1,0),FALSE)</f>
        <v>0</v>
      </c>
      <c r="S88" s="121">
        <f>VLOOKUP($B88,'Tillförd energi'!$B$1:$AI$720,MATCH(S$1,'Tillförd energi'!$B$1:$AQ$1,0),FALSE)</f>
        <v>1.986</v>
      </c>
      <c r="T88" s="121">
        <f>VLOOKUP($B88,'Tillförd energi'!$B$1:$AI$720,MATCH(T$1,'Tillförd energi'!$B$1:$AQ$1,0),FALSE)</f>
        <v>0</v>
      </c>
      <c r="U88" s="121">
        <f>VLOOKUP($B88,'Tillförd energi'!$B$1:$AI$720,MATCH(U$1,'Tillförd energi'!$B$1:$AQ$1,0),FALSE)</f>
        <v>0</v>
      </c>
      <c r="V88" s="121">
        <f>VLOOKUP($B88,'Tillförd energi'!$B$1:$AI$720,MATCH(V$1,'Tillförd energi'!$B$1:$AQ$1,0),FALSE)</f>
        <v>0</v>
      </c>
      <c r="W88" s="121">
        <f>VLOOKUP($B88,'Tillförd energi'!$B$1:$AI$720,MATCH(W$1,'Tillförd energi'!$B$1:$AQ$1,0),FALSE)</f>
        <v>0</v>
      </c>
      <c r="X88" s="121">
        <f>VLOOKUP($B88,'Tillförd energi'!$B$1:$AI$720,MATCH(X$1,'Tillförd energi'!$B$1:$AQ$1,0),FALSE)</f>
        <v>0</v>
      </c>
      <c r="Y88" s="121">
        <f>VLOOKUP($B88,'Tillförd energi'!$B$1:$AI$720,MATCH(Y$1,'Tillförd energi'!$B$1:$AQ$1,0),FALSE)</f>
        <v>0</v>
      </c>
      <c r="Z88" s="121">
        <f>VLOOKUP($B88,'Tillförd energi'!$B$1:$AI$720,MATCH(Z$1,'Tillförd energi'!$B$1:$AQ$1,0),FALSE)</f>
        <v>0.497</v>
      </c>
      <c r="AA88" s="121">
        <f>VLOOKUP($B88,'Tillförd energi'!$B$1:$AI$720,MATCH(AA$1,'Tillförd energi'!$B$1:$AQ$1,0),FALSE)</f>
        <v>0</v>
      </c>
      <c r="AB88" s="121">
        <f>VLOOKUP($B88,'Tillförd energi'!$B$1:$AI$720,MATCH(AB$1,'Tillförd energi'!$B$1:$AQ$1,0),FALSE)</f>
        <v>0</v>
      </c>
      <c r="AC88" s="121">
        <f>VLOOKUP($B88,'Tillförd energi'!$B$1:$AI$720,MATCH(AC$1,'Tillförd energi'!$B$1:$AQ$1,0),FALSE)</f>
        <v>0</v>
      </c>
      <c r="AD88" s="121">
        <f>VLOOKUP($B88,'Tillförd energi'!$B$1:$AI$720,MATCH(AD$1,'Tillförd energi'!$B$1:$AQ$1,0),FALSE)</f>
        <v>0</v>
      </c>
      <c r="AE88" s="121">
        <f>VLOOKUP($B88,'Tillförd energi'!$B$1:$AI$720,MATCH(AE$1,'Tillförd energi'!$B$1:$AQ$1,0),FALSE)</f>
        <v>0</v>
      </c>
      <c r="AF88" s="121">
        <f>VLOOKUP($B88,'Tillförd energi'!$B$1:$AI$720,MATCH(AF$1,'Tillförd energi'!$B$1:$AQ$1,0),FALSE)</f>
        <v>6.4649999999999999E-2</v>
      </c>
      <c r="AG88" s="121">
        <f>IFERROR(VLOOKUP(B88,Miljö!$B$1:$AC$550,MATCH("Köpt mängd produktionsspecifik fjärrvärme:",Miljö!$B$1:$AC$1,0),FALSE)/1,0)</f>
        <v>0</v>
      </c>
      <c r="AH88" s="121"/>
      <c r="AI88" s="121">
        <f t="shared" si="22"/>
        <v>2.54765</v>
      </c>
      <c r="AJ88" s="121">
        <f t="shared" si="23"/>
        <v>2.54765</v>
      </c>
      <c r="AK88" s="121">
        <f>IF(ISERROR(1/VLOOKUP($B88,Leveranser!$B$1:$S$499,MATCH("såld värme (gwh)",Leveranser!$B$1:$S$1,0),FALSE)),"",VLOOKUP($B88,Leveranser!$B$1:$S$499,MATCH("såld värme (gwh)",Leveranser!$B$1:$S$1,0),FALSE))</f>
        <v>2.1549999999999998</v>
      </c>
      <c r="AL88" s="121">
        <f>VLOOKUP($B88,Leveranser!$B$1:$Y$499,MATCH("Totalt såld fjärrvärme till andra fjärrvärmeföretag",Leveranser!$B$1:$AA$1,0),FALSE)</f>
        <v>0</v>
      </c>
      <c r="AM88" s="121">
        <f>IF(ISERROR(1/VLOOKUP($B88,Miljö!$B$1:$S$500,MATCH("Såld mängd produktionsspecifik fjärrvärme (GWh)",Miljö!$B$1:$R$1,0),FALSE)),0,VLOOKUP($B88,Miljö!$B$1:$S$500,MATCH("Såld mängd produktionsspecifik fjärrvärme (GWh)",Miljö!$B$1:$R$1,0),FALSE))</f>
        <v>0</v>
      </c>
      <c r="AN88" s="172">
        <f t="shared" si="24"/>
        <v>0.84587757345004211</v>
      </c>
      <c r="AO88" s="121"/>
      <c r="AP88" s="121" t="str">
        <f>IFERROR(VLOOKUP($B88,Miljövärden!$B$2:$H$550,7,FALSE),"Nej, saknas")</f>
        <v>Ja</v>
      </c>
      <c r="AQ88" s="121" t="str">
        <f>IFERROR(VLOOKUP($B88,Miljövärden!$B$2:$H$550,6,FALSE),"Nej, saknas")</f>
        <v>Ja</v>
      </c>
      <c r="AU88">
        <f t="shared" si="25"/>
        <v>0.56164999999999998</v>
      </c>
      <c r="AV88">
        <f t="shared" si="26"/>
        <v>0</v>
      </c>
      <c r="AW88">
        <f t="shared" si="27"/>
        <v>0</v>
      </c>
      <c r="AX88">
        <f t="shared" si="28"/>
        <v>1.986</v>
      </c>
      <c r="AZ88">
        <f t="shared" si="29"/>
        <v>1.986</v>
      </c>
      <c r="BC88">
        <f t="shared" si="30"/>
        <v>0</v>
      </c>
      <c r="BD88">
        <f t="shared" si="31"/>
        <v>0</v>
      </c>
      <c r="BE88">
        <f t="shared" si="32"/>
        <v>1.986</v>
      </c>
      <c r="BF88">
        <f t="shared" si="33"/>
        <v>0</v>
      </c>
      <c r="BG88">
        <f t="shared" si="34"/>
        <v>0.56164999999999998</v>
      </c>
      <c r="BH88">
        <f>VLOOKUP(B88,Miljö!$B$1:$BX$482,MATCH("Fossilandel för ursprungspecificerad el ()",Miljö!$B$1:$I$1,0),FALSE)</f>
        <v>0</v>
      </c>
      <c r="BI88">
        <f>VLOOKUP(B88,Miljö!$B$1:$BX$482,MATCH("Kärnkraftsandel för ursprungsspecificerad el ()",Miljö!$B$1:$O$1,0),FALSE)</f>
        <v>0</v>
      </c>
      <c r="BJ88">
        <f t="shared" si="35"/>
        <v>0</v>
      </c>
      <c r="BK88" t="str">
        <f>VLOOKUP(B88,Miljö!$B$1:$O$482,MATCH("Fossil andel i procent (%)",Miljö!$B$1:$O$1,0),FALSE)</f>
        <v>ET</v>
      </c>
      <c r="BL88">
        <f t="shared" si="36"/>
        <v>2.54765</v>
      </c>
      <c r="BO88" s="18">
        <f t="shared" si="37"/>
        <v>0</v>
      </c>
      <c r="BP88" s="18">
        <f t="shared" si="38"/>
        <v>0</v>
      </c>
      <c r="BQ88" s="18">
        <f t="shared" si="39"/>
        <v>1</v>
      </c>
      <c r="BR88" s="18">
        <f t="shared" si="40"/>
        <v>0</v>
      </c>
      <c r="BT88" s="27">
        <f t="shared" si="41"/>
        <v>1</v>
      </c>
      <c r="BW88" s="18">
        <f>IF(AP88="ja",VLOOKUP(B88,Miljövärden!$B$2:$H$550,MATCH("Total andel fossilt",Miljövärden!$B$2:$H$2,0),FALSE),"")</f>
        <v>0</v>
      </c>
      <c r="BZ88" s="28">
        <f t="shared" si="42"/>
        <v>0</v>
      </c>
      <c r="CA88" s="28">
        <f t="shared" si="43"/>
        <v>0</v>
      </c>
    </row>
    <row r="89" spans="1:79" x14ac:dyDescent="0.25">
      <c r="A89" s="224" t="s">
        <v>315</v>
      </c>
      <c r="B89" s="210" t="s">
        <v>316</v>
      </c>
      <c r="C89" s="121">
        <f>VLOOKUP($B89,'Tillförd energi'!$B$1:$AI$720,MATCH(C$1,'Tillförd energi'!$B$1:$AQ$1,0),FALSE)</f>
        <v>0</v>
      </c>
      <c r="D89" s="121">
        <f>VLOOKUP($B89,'Tillförd energi'!$B$1:$AI$720,MATCH(D$1,'Tillförd energi'!$B$1:$AQ$1,0),FALSE)</f>
        <v>0.316</v>
      </c>
      <c r="E89" s="121">
        <f>VLOOKUP($B89,'Tillförd energi'!$B$1:$AI$720,MATCH(E$1,'Tillförd energi'!$B$1:$AQ$1,0),FALSE)</f>
        <v>0</v>
      </c>
      <c r="F89" s="121">
        <f>VLOOKUP($B89,'Tillförd energi'!$B$1:$AI$720,MATCH(F$1,'Tillförd energi'!$B$1:$AQ$1,0),FALSE)</f>
        <v>0</v>
      </c>
      <c r="G89" s="121">
        <f>VLOOKUP($B89,'Tillförd energi'!$B$1:$AI$720,MATCH(G$1,'Tillförd energi'!$B$1:$AQ$1,0),FALSE)</f>
        <v>0</v>
      </c>
      <c r="H89" s="121">
        <f>VLOOKUP($B89,'Tillförd energi'!$B$1:$AI$720,MATCH(H$1,'Tillförd energi'!$B$1:$AQ$1,0),FALSE)</f>
        <v>0</v>
      </c>
      <c r="I89" s="121">
        <f>VLOOKUP($B89,'Tillförd energi'!$B$1:$AI$720,MATCH(I$1,'Tillförd energi'!$B$1:$AQ$1,0),FALSE)</f>
        <v>0</v>
      </c>
      <c r="J89" s="121">
        <f>VLOOKUP($B89,'Tillförd energi'!$B$1:$AI$720,MATCH(J$1,'Tillförd energi'!$B$1:$AQ$1,0),FALSE)</f>
        <v>0</v>
      </c>
      <c r="K89" s="121">
        <f>VLOOKUP($B89,'Tillförd energi'!$B$1:$AI$720,MATCH(K$1,'Tillförd energi'!$B$1:$AQ$1,0),FALSE)</f>
        <v>0</v>
      </c>
      <c r="L89" s="121">
        <f>VLOOKUP($B89,'Tillförd energi'!$B$1:$AI$720,MATCH(L$1,'Tillförd energi'!$B$1:$AQ$1,0),FALSE)</f>
        <v>0</v>
      </c>
      <c r="M89" s="121">
        <f>VLOOKUP($B89,'Tillförd energi'!$B$1:$AI$720,MATCH(M$1,'Tillförd energi'!$B$1:$AQ$1,0),FALSE)</f>
        <v>0</v>
      </c>
      <c r="N89" s="121">
        <f>VLOOKUP($B89,'Tillförd energi'!$B$1:$AI$720,MATCH(N$1,'Tillförd energi'!$B$1:$AQ$1,0),FALSE)</f>
        <v>13.849</v>
      </c>
      <c r="O89" s="121">
        <f>VLOOKUP($B89,'Tillförd energi'!$B$1:$AI$720,MATCH(O$1,'Tillförd energi'!$B$1:$AQ$1,0),FALSE)</f>
        <v>0</v>
      </c>
      <c r="P89" s="121">
        <f>VLOOKUP($B89,'Tillförd energi'!$B$1:$AI$720,MATCH(P$1,'Tillförd energi'!$B$1:$AQ$1,0),FALSE)</f>
        <v>0</v>
      </c>
      <c r="Q89" s="121">
        <f>VLOOKUP($B89,'Tillförd energi'!$B$1:$AI$720,MATCH(Q$1,'Tillförd energi'!$B$1:$AQ$1,0),FALSE)</f>
        <v>0</v>
      </c>
      <c r="R89" s="121">
        <f>VLOOKUP($B89,'Tillförd energi'!$B$1:$AI$720,MATCH(R$1,'Tillförd energi'!$B$1:$AQ$1,0),FALSE)</f>
        <v>0</v>
      </c>
      <c r="S89" s="121">
        <f>VLOOKUP($B89,'Tillförd energi'!$B$1:$AI$720,MATCH(S$1,'Tillförd energi'!$B$1:$AQ$1,0),FALSE)</f>
        <v>0</v>
      </c>
      <c r="T89" s="121">
        <f>VLOOKUP($B89,'Tillförd energi'!$B$1:$AI$720,MATCH(T$1,'Tillförd energi'!$B$1:$AQ$1,0),FALSE)</f>
        <v>0</v>
      </c>
      <c r="U89" s="121">
        <f>VLOOKUP($B89,'Tillförd energi'!$B$1:$AI$720,MATCH(U$1,'Tillförd energi'!$B$1:$AQ$1,0),FALSE)</f>
        <v>0</v>
      </c>
      <c r="V89" s="121">
        <f>VLOOKUP($B89,'Tillförd energi'!$B$1:$AI$720,MATCH(V$1,'Tillförd energi'!$B$1:$AQ$1,0),FALSE)</f>
        <v>0</v>
      </c>
      <c r="W89" s="121">
        <f>VLOOKUP($B89,'Tillförd energi'!$B$1:$AI$720,MATCH(W$1,'Tillförd energi'!$B$1:$AQ$1,0),FALSE)</f>
        <v>0</v>
      </c>
      <c r="X89" s="121">
        <f>VLOOKUP($B89,'Tillförd energi'!$B$1:$AI$720,MATCH(X$1,'Tillförd energi'!$B$1:$AQ$1,0),FALSE)</f>
        <v>0</v>
      </c>
      <c r="Y89" s="121">
        <f>VLOOKUP($B89,'Tillförd energi'!$B$1:$AI$720,MATCH(Y$1,'Tillförd energi'!$B$1:$AQ$1,0),FALSE)</f>
        <v>0</v>
      </c>
      <c r="Z89" s="121">
        <f>VLOOKUP($B89,'Tillförd energi'!$B$1:$AI$720,MATCH(Z$1,'Tillförd energi'!$B$1:$AQ$1,0),FALSE)</f>
        <v>0</v>
      </c>
      <c r="AA89" s="121">
        <f>VLOOKUP($B89,'Tillförd energi'!$B$1:$AI$720,MATCH(AA$1,'Tillförd energi'!$B$1:$AQ$1,0),FALSE)</f>
        <v>0</v>
      </c>
      <c r="AB89" s="121">
        <f>VLOOKUP($B89,'Tillförd energi'!$B$1:$AI$720,MATCH(AB$1,'Tillförd energi'!$B$1:$AQ$1,0),FALSE)</f>
        <v>0</v>
      </c>
      <c r="AC89" s="121">
        <f>VLOOKUP($B89,'Tillförd energi'!$B$1:$AI$720,MATCH(AC$1,'Tillförd energi'!$B$1:$AQ$1,0),FALSE)</f>
        <v>0</v>
      </c>
      <c r="AD89" s="121">
        <f>VLOOKUP($B89,'Tillförd energi'!$B$1:$AI$720,MATCH(AD$1,'Tillförd energi'!$B$1:$AQ$1,0),FALSE)</f>
        <v>0</v>
      </c>
      <c r="AE89" s="121">
        <f>VLOOKUP($B89,'Tillförd energi'!$B$1:$AI$720,MATCH(AE$1,'Tillförd energi'!$B$1:$AQ$1,0),FALSE)</f>
        <v>0</v>
      </c>
      <c r="AF89" s="121">
        <f>VLOOKUP($B89,'Tillförd energi'!$B$1:$AI$720,MATCH(AF$1,'Tillförd energi'!$B$1:$AQ$1,0),FALSE)</f>
        <v>0.35457</v>
      </c>
      <c r="AG89" s="121">
        <f>IFERROR(VLOOKUP(B89,Miljö!$B$1:$AC$550,MATCH("Köpt mängd produktionsspecifik fjärrvärme:",Miljö!$B$1:$AC$1,0),FALSE)/1,0)</f>
        <v>0</v>
      </c>
      <c r="AH89" s="121"/>
      <c r="AI89" s="121">
        <f t="shared" si="22"/>
        <v>14.519570000000002</v>
      </c>
      <c r="AJ89" s="121">
        <f t="shared" si="23"/>
        <v>14.519570000000002</v>
      </c>
      <c r="AK89" s="121">
        <f>IF(ISERROR(1/VLOOKUP($B89,Leveranser!$B$1:$S$499,MATCH("såld värme (gwh)",Leveranser!$B$1:$S$1,0),FALSE)),"",VLOOKUP($B89,Leveranser!$B$1:$S$499,MATCH("såld värme (gwh)",Leveranser!$B$1:$S$1,0),FALSE))</f>
        <v>11.819000000000001</v>
      </c>
      <c r="AL89" s="121">
        <f>VLOOKUP($B89,Leveranser!$B$1:$Y$499,MATCH("Totalt såld fjärrvärme till andra fjärrvärmeföretag",Leveranser!$B$1:$AA$1,0),FALSE)</f>
        <v>0</v>
      </c>
      <c r="AM89" s="121">
        <f>IF(ISERROR(1/VLOOKUP($B89,Miljö!$B$1:$S$500,MATCH("Såld mängd produktionsspecifik fjärrvärme (GWh)",Miljö!$B$1:$R$1,0),FALSE)),0,VLOOKUP($B89,Miljö!$B$1:$S$500,MATCH("Såld mängd produktionsspecifik fjärrvärme (GWh)",Miljö!$B$1:$R$1,0),FALSE))</f>
        <v>0</v>
      </c>
      <c r="AN89" s="172">
        <f t="shared" si="24"/>
        <v>0.81400482245686334</v>
      </c>
      <c r="AO89" s="121"/>
      <c r="AP89" s="121" t="str">
        <f>IFERROR(VLOOKUP($B89,Miljövärden!$B$2:$H$550,7,FALSE),"Nej, saknas")</f>
        <v>Ja</v>
      </c>
      <c r="AQ89" s="121" t="str">
        <f>IFERROR(VLOOKUP($B89,Miljövärden!$B$2:$H$550,6,FALSE),"Nej, saknas")</f>
        <v>Ja</v>
      </c>
      <c r="AU89">
        <f t="shared" si="25"/>
        <v>0.35457</v>
      </c>
      <c r="AV89">
        <f t="shared" si="26"/>
        <v>0</v>
      </c>
      <c r="AW89">
        <f t="shared" si="27"/>
        <v>13.849</v>
      </c>
      <c r="AX89">
        <f t="shared" si="28"/>
        <v>0</v>
      </c>
      <c r="AZ89">
        <f t="shared" si="29"/>
        <v>13.849</v>
      </c>
      <c r="BC89">
        <f t="shared" si="30"/>
        <v>0.316</v>
      </c>
      <c r="BD89">
        <f t="shared" si="31"/>
        <v>0</v>
      </c>
      <c r="BE89">
        <f t="shared" si="32"/>
        <v>13.849</v>
      </c>
      <c r="BF89">
        <f t="shared" si="33"/>
        <v>0</v>
      </c>
      <c r="BG89">
        <f t="shared" si="34"/>
        <v>0.35457</v>
      </c>
      <c r="BH89">
        <f>VLOOKUP(B89,Miljö!$B$1:$BX$482,MATCH("Fossilandel för ursprungspecificerad el ()",Miljö!$B$1:$I$1,0),FALSE)</f>
        <v>0</v>
      </c>
      <c r="BI89">
        <f>VLOOKUP(B89,Miljö!$B$1:$BX$482,MATCH("Kärnkraftsandel för ursprungsspecificerad el ()",Miljö!$B$1:$O$1,0),FALSE)</f>
        <v>0</v>
      </c>
      <c r="BJ89">
        <f t="shared" si="35"/>
        <v>0</v>
      </c>
      <c r="BK89" t="str">
        <f>VLOOKUP(B89,Miljö!$B$1:$O$482,MATCH("Fossil andel i procent (%)",Miljö!$B$1:$O$1,0),FALSE)</f>
        <v>ET</v>
      </c>
      <c r="BL89">
        <f t="shared" si="36"/>
        <v>14.519570000000002</v>
      </c>
      <c r="BO89" s="18">
        <f t="shared" si="37"/>
        <v>2.1763729917621526E-2</v>
      </c>
      <c r="BP89" s="18">
        <f t="shared" si="38"/>
        <v>0</v>
      </c>
      <c r="BQ89" s="18">
        <f t="shared" si="39"/>
        <v>0.97823627008237846</v>
      </c>
      <c r="BR89" s="18">
        <f t="shared" si="40"/>
        <v>0</v>
      </c>
      <c r="BT89" s="27">
        <f t="shared" si="41"/>
        <v>1</v>
      </c>
      <c r="BW89" s="18">
        <f>IF(AP89="ja",VLOOKUP(B89,Miljövärden!$B$2:$H$550,MATCH("Total andel fossilt",Miljövärden!$B$2:$H$2,0),FALSE),"")</f>
        <v>2.17637E-2</v>
      </c>
      <c r="BZ89" s="28">
        <f t="shared" si="42"/>
        <v>-2.9917621525987759E-8</v>
      </c>
      <c r="CA89" s="28">
        <f t="shared" si="43"/>
        <v>0</v>
      </c>
    </row>
    <row r="90" spans="1:79" x14ac:dyDescent="0.25">
      <c r="A90" s="224" t="s">
        <v>315</v>
      </c>
      <c r="B90" s="210" t="s">
        <v>317</v>
      </c>
      <c r="C90" s="121">
        <f>VLOOKUP($B90,'Tillförd energi'!$B$1:$AI$720,MATCH(C$1,'Tillförd energi'!$B$1:$AQ$1,0),FALSE)</f>
        <v>0</v>
      </c>
      <c r="D90" s="121">
        <f>VLOOKUP($B90,'Tillförd energi'!$B$1:$AI$720,MATCH(D$1,'Tillförd energi'!$B$1:$AQ$1,0),FALSE)</f>
        <v>0.28899999999999998</v>
      </c>
      <c r="E90" s="121">
        <f>VLOOKUP($B90,'Tillförd energi'!$B$1:$AI$720,MATCH(E$1,'Tillförd energi'!$B$1:$AQ$1,0),FALSE)</f>
        <v>0</v>
      </c>
      <c r="F90" s="121">
        <f>VLOOKUP($B90,'Tillförd energi'!$B$1:$AI$720,MATCH(F$1,'Tillförd energi'!$B$1:$AQ$1,0),FALSE)</f>
        <v>0</v>
      </c>
      <c r="G90" s="121">
        <f>VLOOKUP($B90,'Tillförd energi'!$B$1:$AI$720,MATCH(G$1,'Tillförd energi'!$B$1:$AQ$1,0),FALSE)</f>
        <v>0</v>
      </c>
      <c r="H90" s="121">
        <f>VLOOKUP($B90,'Tillförd energi'!$B$1:$AI$720,MATCH(H$1,'Tillförd energi'!$B$1:$AQ$1,0),FALSE)</f>
        <v>0</v>
      </c>
      <c r="I90" s="121">
        <f>VLOOKUP($B90,'Tillförd energi'!$B$1:$AI$720,MATCH(I$1,'Tillförd energi'!$B$1:$AQ$1,0),FALSE)</f>
        <v>0</v>
      </c>
      <c r="J90" s="121">
        <f>VLOOKUP($B90,'Tillförd energi'!$B$1:$AI$720,MATCH(J$1,'Tillförd energi'!$B$1:$AQ$1,0),FALSE)</f>
        <v>0</v>
      </c>
      <c r="K90" s="121">
        <f>VLOOKUP($B90,'Tillförd energi'!$B$1:$AI$720,MATCH(K$1,'Tillförd energi'!$B$1:$AQ$1,0),FALSE)</f>
        <v>0</v>
      </c>
      <c r="L90" s="121">
        <f>VLOOKUP($B90,'Tillförd energi'!$B$1:$AI$720,MATCH(L$1,'Tillförd energi'!$B$1:$AQ$1,0),FALSE)</f>
        <v>0</v>
      </c>
      <c r="M90" s="121">
        <f>VLOOKUP($B90,'Tillförd energi'!$B$1:$AI$720,MATCH(M$1,'Tillförd energi'!$B$1:$AQ$1,0),FALSE)</f>
        <v>0</v>
      </c>
      <c r="N90" s="121">
        <f>VLOOKUP($B90,'Tillförd energi'!$B$1:$AI$720,MATCH(N$1,'Tillförd energi'!$B$1:$AQ$1,0),FALSE)</f>
        <v>0</v>
      </c>
      <c r="O90" s="121">
        <f>VLOOKUP($B90,'Tillförd energi'!$B$1:$AI$720,MATCH(O$1,'Tillförd energi'!$B$1:$AQ$1,0),FALSE)</f>
        <v>0</v>
      </c>
      <c r="P90" s="121">
        <f>VLOOKUP($B90,'Tillförd energi'!$B$1:$AI$720,MATCH(P$1,'Tillförd energi'!$B$1:$AQ$1,0),FALSE)</f>
        <v>0</v>
      </c>
      <c r="Q90" s="121">
        <f>VLOOKUP($B90,'Tillförd energi'!$B$1:$AI$720,MATCH(Q$1,'Tillförd energi'!$B$1:$AQ$1,0),FALSE)</f>
        <v>0</v>
      </c>
      <c r="R90" s="121">
        <f>VLOOKUP($B90,'Tillförd energi'!$B$1:$AI$720,MATCH(R$1,'Tillförd energi'!$B$1:$AQ$1,0),FALSE)</f>
        <v>0</v>
      </c>
      <c r="S90" s="121">
        <f>VLOOKUP($B90,'Tillförd energi'!$B$1:$AI$720,MATCH(S$1,'Tillförd energi'!$B$1:$AQ$1,0),FALSE)</f>
        <v>0</v>
      </c>
      <c r="T90" s="121">
        <f>VLOOKUP($B90,'Tillförd energi'!$B$1:$AI$720,MATCH(T$1,'Tillförd energi'!$B$1:$AQ$1,0),FALSE)</f>
        <v>0</v>
      </c>
      <c r="U90" s="121">
        <f>VLOOKUP($B90,'Tillförd energi'!$B$1:$AI$720,MATCH(U$1,'Tillförd energi'!$B$1:$AQ$1,0),FALSE)</f>
        <v>0</v>
      </c>
      <c r="V90" s="121">
        <f>VLOOKUP($B90,'Tillförd energi'!$B$1:$AI$720,MATCH(V$1,'Tillförd energi'!$B$1:$AQ$1,0),FALSE)</f>
        <v>0</v>
      </c>
      <c r="W90" s="121">
        <f>VLOOKUP($B90,'Tillförd energi'!$B$1:$AI$720,MATCH(W$1,'Tillförd energi'!$B$1:$AQ$1,0),FALSE)</f>
        <v>0</v>
      </c>
      <c r="X90" s="121">
        <f>VLOOKUP($B90,'Tillförd energi'!$B$1:$AI$720,MATCH(X$1,'Tillförd energi'!$B$1:$AQ$1,0),FALSE)</f>
        <v>9.9623500000000007</v>
      </c>
      <c r="Y90" s="121">
        <f>VLOOKUP($B90,'Tillförd energi'!$B$1:$AI$720,MATCH(Y$1,'Tillförd energi'!$B$1:$AQ$1,0),FALSE)</f>
        <v>0</v>
      </c>
      <c r="Z90" s="121">
        <f>VLOOKUP($B90,'Tillförd energi'!$B$1:$AI$720,MATCH(Z$1,'Tillförd energi'!$B$1:$AQ$1,0),FALSE)</f>
        <v>0</v>
      </c>
      <c r="AA90" s="121">
        <f>VLOOKUP($B90,'Tillförd energi'!$B$1:$AI$720,MATCH(AA$1,'Tillförd energi'!$B$1:$AQ$1,0),FALSE)</f>
        <v>0</v>
      </c>
      <c r="AB90" s="121">
        <f>VLOOKUP($B90,'Tillförd energi'!$B$1:$AI$720,MATCH(AB$1,'Tillförd energi'!$B$1:$AQ$1,0),FALSE)</f>
        <v>0</v>
      </c>
      <c r="AC90" s="121">
        <f>VLOOKUP($B90,'Tillförd energi'!$B$1:$AI$720,MATCH(AC$1,'Tillförd energi'!$B$1:$AQ$1,0),FALSE)</f>
        <v>0</v>
      </c>
      <c r="AD90" s="121">
        <f>VLOOKUP($B90,'Tillförd energi'!$B$1:$AI$720,MATCH(AD$1,'Tillförd energi'!$B$1:$AQ$1,0),FALSE)</f>
        <v>0</v>
      </c>
      <c r="AE90" s="121">
        <f>VLOOKUP($B90,'Tillförd energi'!$B$1:$AI$720,MATCH(AE$1,'Tillförd energi'!$B$1:$AQ$1,0),FALSE)</f>
        <v>0</v>
      </c>
      <c r="AF90" s="121">
        <f>VLOOKUP($B90,'Tillförd energi'!$B$1:$AI$720,MATCH(AF$1,'Tillförd energi'!$B$1:$AQ$1,0),FALSE)</f>
        <v>0.21446999999999999</v>
      </c>
      <c r="AG90" s="121">
        <f>IFERROR(VLOOKUP(B90,Miljö!$B$1:$AC$550,MATCH("Köpt mängd produktionsspecifik fjärrvärme:",Miljö!$B$1:$AC$1,0),FALSE)/1,0)</f>
        <v>0</v>
      </c>
      <c r="AH90" s="121"/>
      <c r="AI90" s="121">
        <f t="shared" si="22"/>
        <v>10.465820000000001</v>
      </c>
      <c r="AJ90" s="121">
        <f t="shared" si="23"/>
        <v>10.465820000000001</v>
      </c>
      <c r="AK90" s="121">
        <f>IF(ISERROR(1/VLOOKUP($B90,Leveranser!$B$1:$S$499,MATCH("såld värme (gwh)",Leveranser!$B$1:$S$1,0),FALSE)),"",VLOOKUP($B90,Leveranser!$B$1:$S$499,MATCH("såld värme (gwh)",Leveranser!$B$1:$S$1,0),FALSE))</f>
        <v>7.149</v>
      </c>
      <c r="AL90" s="121">
        <f>VLOOKUP($B90,Leveranser!$B$1:$Y$499,MATCH("Totalt såld fjärrvärme till andra fjärrvärmeföretag",Leveranser!$B$1:$AA$1,0),FALSE)</f>
        <v>0</v>
      </c>
      <c r="AM90" s="121">
        <f>IF(ISERROR(1/VLOOKUP($B90,Miljö!$B$1:$S$500,MATCH("Såld mängd produktionsspecifik fjärrvärme (GWh)",Miljö!$B$1:$R$1,0),FALSE)),0,VLOOKUP($B90,Miljö!$B$1:$S$500,MATCH("Såld mängd produktionsspecifik fjärrvärme (GWh)",Miljö!$B$1:$R$1,0),FALSE))</f>
        <v>0</v>
      </c>
      <c r="AN90" s="172">
        <f t="shared" si="24"/>
        <v>0.68308073328224639</v>
      </c>
      <c r="AO90" s="121"/>
      <c r="AP90" s="121" t="str">
        <f>IFERROR(VLOOKUP($B90,Miljövärden!$B$2:$H$550,7,FALSE),"Nej, saknas")</f>
        <v>Ja</v>
      </c>
      <c r="AQ90" s="121" t="str">
        <f>IFERROR(VLOOKUP($B90,Miljövärden!$B$2:$H$550,6,FALSE),"Nej, saknas")</f>
        <v>Ja</v>
      </c>
      <c r="AU90">
        <f t="shared" si="25"/>
        <v>0.21446999999999999</v>
      </c>
      <c r="AV90">
        <f t="shared" si="26"/>
        <v>9.9623500000000007</v>
      </c>
      <c r="AW90">
        <f t="shared" si="27"/>
        <v>0</v>
      </c>
      <c r="AX90">
        <f t="shared" si="28"/>
        <v>0</v>
      </c>
      <c r="AZ90">
        <f t="shared" si="29"/>
        <v>9.9623500000000007</v>
      </c>
      <c r="BC90">
        <f t="shared" si="30"/>
        <v>0.28899999999999998</v>
      </c>
      <c r="BD90">
        <f t="shared" si="31"/>
        <v>0</v>
      </c>
      <c r="BE90">
        <f t="shared" si="32"/>
        <v>9.9623500000000007</v>
      </c>
      <c r="BF90">
        <f t="shared" si="33"/>
        <v>0</v>
      </c>
      <c r="BG90">
        <f t="shared" si="34"/>
        <v>0.21446999999999999</v>
      </c>
      <c r="BH90">
        <f>VLOOKUP(B90,Miljö!$B$1:$BX$482,MATCH("Fossilandel för ursprungspecificerad el ()",Miljö!$B$1:$I$1,0),FALSE)</f>
        <v>0</v>
      </c>
      <c r="BI90">
        <f>VLOOKUP(B90,Miljö!$B$1:$BX$482,MATCH("Kärnkraftsandel för ursprungsspecificerad el ()",Miljö!$B$1:$O$1,0),FALSE)</f>
        <v>0</v>
      </c>
      <c r="BJ90">
        <f t="shared" si="35"/>
        <v>0</v>
      </c>
      <c r="BK90" t="str">
        <f>VLOOKUP(B90,Miljö!$B$1:$O$482,MATCH("Fossil andel i procent (%)",Miljö!$B$1:$O$1,0),FALSE)</f>
        <v>ET</v>
      </c>
      <c r="BL90">
        <f t="shared" si="36"/>
        <v>10.465820000000001</v>
      </c>
      <c r="BO90" s="18">
        <f t="shared" si="37"/>
        <v>2.7613698687728238E-2</v>
      </c>
      <c r="BP90" s="18">
        <f t="shared" si="38"/>
        <v>0</v>
      </c>
      <c r="BQ90" s="18">
        <f t="shared" si="39"/>
        <v>0.97238630131227177</v>
      </c>
      <c r="BR90" s="18">
        <f t="shared" si="40"/>
        <v>0</v>
      </c>
      <c r="BT90" s="27">
        <f t="shared" si="41"/>
        <v>1</v>
      </c>
      <c r="BW90" s="18">
        <f>IF(AP90="ja",VLOOKUP(B90,Miljövärden!$B$2:$H$550,MATCH("Total andel fossilt",Miljövärden!$B$2:$H$2,0),FALSE),"")</f>
        <v>2.7613800000000001E-2</v>
      </c>
      <c r="BZ90" s="28">
        <f t="shared" si="42"/>
        <v>1.0131227176288227E-7</v>
      </c>
      <c r="CA90" s="28">
        <f t="shared" si="43"/>
        <v>0</v>
      </c>
    </row>
    <row r="91" spans="1:79" x14ac:dyDescent="0.25">
      <c r="A91" s="224" t="s">
        <v>315</v>
      </c>
      <c r="B91" s="210" t="s">
        <v>318</v>
      </c>
      <c r="C91" s="121">
        <f>VLOOKUP($B91,'Tillförd energi'!$B$1:$AI$720,MATCH(C$1,'Tillförd energi'!$B$1:$AQ$1,0),FALSE)</f>
        <v>0</v>
      </c>
      <c r="D91" s="121">
        <f>VLOOKUP($B91,'Tillförd energi'!$B$1:$AI$720,MATCH(D$1,'Tillförd energi'!$B$1:$AQ$1,0),FALSE)</f>
        <v>0.246</v>
      </c>
      <c r="E91" s="121">
        <f>VLOOKUP($B91,'Tillförd energi'!$B$1:$AI$720,MATCH(E$1,'Tillförd energi'!$B$1:$AQ$1,0),FALSE)</f>
        <v>0</v>
      </c>
      <c r="F91" s="121">
        <f>VLOOKUP($B91,'Tillförd energi'!$B$1:$AI$720,MATCH(F$1,'Tillförd energi'!$B$1:$AQ$1,0),FALSE)</f>
        <v>0</v>
      </c>
      <c r="G91" s="121">
        <f>VLOOKUP($B91,'Tillförd energi'!$B$1:$AI$720,MATCH(G$1,'Tillförd energi'!$B$1:$AQ$1,0),FALSE)</f>
        <v>0</v>
      </c>
      <c r="H91" s="121">
        <f>VLOOKUP($B91,'Tillförd energi'!$B$1:$AI$720,MATCH(H$1,'Tillförd energi'!$B$1:$AQ$1,0),FALSE)</f>
        <v>0</v>
      </c>
      <c r="I91" s="121">
        <f>VLOOKUP($B91,'Tillförd energi'!$B$1:$AI$720,MATCH(I$1,'Tillförd energi'!$B$1:$AQ$1,0),FALSE)</f>
        <v>0</v>
      </c>
      <c r="J91" s="121">
        <f>VLOOKUP($B91,'Tillförd energi'!$B$1:$AI$720,MATCH(J$1,'Tillförd energi'!$B$1:$AQ$1,0),FALSE)</f>
        <v>0</v>
      </c>
      <c r="K91" s="121">
        <f>VLOOKUP($B91,'Tillförd energi'!$B$1:$AI$720,MATCH(K$1,'Tillförd energi'!$B$1:$AQ$1,0),FALSE)</f>
        <v>0</v>
      </c>
      <c r="L91" s="121">
        <f>VLOOKUP($B91,'Tillförd energi'!$B$1:$AI$720,MATCH(L$1,'Tillförd energi'!$B$1:$AQ$1,0),FALSE)</f>
        <v>0</v>
      </c>
      <c r="M91" s="121">
        <f>VLOOKUP($B91,'Tillförd energi'!$B$1:$AI$720,MATCH(M$1,'Tillförd energi'!$B$1:$AQ$1,0),FALSE)</f>
        <v>0</v>
      </c>
      <c r="N91" s="121">
        <f>VLOOKUP($B91,'Tillförd energi'!$B$1:$AI$720,MATCH(N$1,'Tillförd energi'!$B$1:$AQ$1,0),FALSE)</f>
        <v>0</v>
      </c>
      <c r="O91" s="121">
        <f>VLOOKUP($B91,'Tillförd energi'!$B$1:$AI$720,MATCH(O$1,'Tillförd energi'!$B$1:$AQ$1,0),FALSE)</f>
        <v>0</v>
      </c>
      <c r="P91" s="121">
        <f>VLOOKUP($B91,'Tillförd energi'!$B$1:$AI$720,MATCH(P$1,'Tillförd energi'!$B$1:$AQ$1,0),FALSE)</f>
        <v>0</v>
      </c>
      <c r="Q91" s="121">
        <f>VLOOKUP($B91,'Tillförd energi'!$B$1:$AI$720,MATCH(Q$1,'Tillförd energi'!$B$1:$AQ$1,0),FALSE)</f>
        <v>0</v>
      </c>
      <c r="R91" s="121">
        <f>VLOOKUP($B91,'Tillförd energi'!$B$1:$AI$720,MATCH(R$1,'Tillförd energi'!$B$1:$AQ$1,0),FALSE)</f>
        <v>0</v>
      </c>
      <c r="S91" s="121">
        <f>VLOOKUP($B91,'Tillförd energi'!$B$1:$AI$720,MATCH(S$1,'Tillförd energi'!$B$1:$AQ$1,0),FALSE)</f>
        <v>0</v>
      </c>
      <c r="T91" s="121">
        <f>VLOOKUP($B91,'Tillförd energi'!$B$1:$AI$720,MATCH(T$1,'Tillförd energi'!$B$1:$AQ$1,0),FALSE)</f>
        <v>0</v>
      </c>
      <c r="U91" s="121">
        <f>VLOOKUP($B91,'Tillförd energi'!$B$1:$AI$720,MATCH(U$1,'Tillförd energi'!$B$1:$AQ$1,0),FALSE)</f>
        <v>0</v>
      </c>
      <c r="V91" s="121">
        <f>VLOOKUP($B91,'Tillförd energi'!$B$1:$AI$720,MATCH(V$1,'Tillförd energi'!$B$1:$AQ$1,0),FALSE)</f>
        <v>0</v>
      </c>
      <c r="W91" s="121">
        <f>VLOOKUP($B91,'Tillförd energi'!$B$1:$AI$720,MATCH(W$1,'Tillförd energi'!$B$1:$AQ$1,0),FALSE)</f>
        <v>2.714</v>
      </c>
      <c r="X91" s="121">
        <f>VLOOKUP($B91,'Tillförd energi'!$B$1:$AI$720,MATCH(X$1,'Tillförd energi'!$B$1:$AQ$1,0),FALSE)</f>
        <v>0</v>
      </c>
      <c r="Y91" s="121">
        <f>VLOOKUP($B91,'Tillförd energi'!$B$1:$AI$720,MATCH(Y$1,'Tillförd energi'!$B$1:$AQ$1,0),FALSE)</f>
        <v>0</v>
      </c>
      <c r="Z91" s="121">
        <f>VLOOKUP($B91,'Tillförd energi'!$B$1:$AI$720,MATCH(Z$1,'Tillförd energi'!$B$1:$AQ$1,0),FALSE)</f>
        <v>0</v>
      </c>
      <c r="AA91" s="121">
        <f>VLOOKUP($B91,'Tillförd energi'!$B$1:$AI$720,MATCH(AA$1,'Tillförd energi'!$B$1:$AQ$1,0),FALSE)</f>
        <v>0</v>
      </c>
      <c r="AB91" s="121">
        <f>VLOOKUP($B91,'Tillförd energi'!$B$1:$AI$720,MATCH(AB$1,'Tillförd energi'!$B$1:$AQ$1,0),FALSE)</f>
        <v>0</v>
      </c>
      <c r="AC91" s="121">
        <f>VLOOKUP($B91,'Tillförd energi'!$B$1:$AI$720,MATCH(AC$1,'Tillförd energi'!$B$1:$AQ$1,0),FALSE)</f>
        <v>0</v>
      </c>
      <c r="AD91" s="121">
        <f>VLOOKUP($B91,'Tillförd energi'!$B$1:$AI$720,MATCH(AD$1,'Tillförd energi'!$B$1:$AQ$1,0),FALSE)</f>
        <v>14.407999999999999</v>
      </c>
      <c r="AE91" s="121">
        <f>VLOOKUP($B91,'Tillförd energi'!$B$1:$AI$720,MATCH(AE$1,'Tillförd energi'!$B$1:$AQ$1,0),FALSE)</f>
        <v>0</v>
      </c>
      <c r="AF91" s="121">
        <f>VLOOKUP($B91,'Tillförd energi'!$B$1:$AI$720,MATCH(AF$1,'Tillförd energi'!$B$1:$AQ$1,0),FALSE)</f>
        <v>0.47181000000000001</v>
      </c>
      <c r="AG91" s="121">
        <f>IFERROR(VLOOKUP(B91,Miljö!$B$1:$AC$550,MATCH("Köpt mängd produktionsspecifik fjärrvärme:",Miljö!$B$1:$AC$1,0),FALSE)/1,0)</f>
        <v>0</v>
      </c>
      <c r="AH91" s="121"/>
      <c r="AI91" s="121">
        <f t="shared" si="22"/>
        <v>17.83981</v>
      </c>
      <c r="AJ91" s="121">
        <f t="shared" si="23"/>
        <v>17.83981</v>
      </c>
      <c r="AK91" s="121">
        <f>IF(ISERROR(1/VLOOKUP($B91,Leveranser!$B$1:$S$499,MATCH("såld värme (gwh)",Leveranser!$B$1:$S$1,0),FALSE)),"",VLOOKUP($B91,Leveranser!$B$1:$S$499,MATCH("såld värme (gwh)",Leveranser!$B$1:$S$1,0),FALSE))</f>
        <v>15.727</v>
      </c>
      <c r="AL91" s="121">
        <f>VLOOKUP($B91,Leveranser!$B$1:$Y$499,MATCH("Totalt såld fjärrvärme till andra fjärrvärmeföretag",Leveranser!$B$1:$AA$1,0),FALSE)</f>
        <v>0</v>
      </c>
      <c r="AM91" s="121">
        <f>IF(ISERROR(1/VLOOKUP($B91,Miljö!$B$1:$S$500,MATCH("Såld mängd produktionsspecifik fjärrvärme (GWh)",Miljö!$B$1:$R$1,0),FALSE)),0,VLOOKUP($B91,Miljö!$B$1:$S$500,MATCH("Såld mängd produktionsspecifik fjärrvärme (GWh)",Miljö!$B$1:$R$1,0),FALSE))</f>
        <v>0</v>
      </c>
      <c r="AN91" s="172">
        <f t="shared" si="24"/>
        <v>0.88156768485763026</v>
      </c>
      <c r="AO91" s="121"/>
      <c r="AP91" s="121" t="str">
        <f>IFERROR(VLOOKUP($B91,Miljövärden!$B$2:$H$550,7,FALSE),"Nej, saknas")</f>
        <v>Ja</v>
      </c>
      <c r="AQ91" s="121" t="str">
        <f>IFERROR(VLOOKUP($B91,Miljövärden!$B$2:$H$550,6,FALSE),"Nej, saknas")</f>
        <v>Ja</v>
      </c>
      <c r="AU91">
        <f t="shared" si="25"/>
        <v>0.47181000000000001</v>
      </c>
      <c r="AV91">
        <f t="shared" si="26"/>
        <v>0</v>
      </c>
      <c r="AW91">
        <f t="shared" si="27"/>
        <v>0</v>
      </c>
      <c r="AX91">
        <f t="shared" si="28"/>
        <v>0</v>
      </c>
      <c r="AZ91">
        <f t="shared" si="29"/>
        <v>2.714</v>
      </c>
      <c r="BC91">
        <f t="shared" si="30"/>
        <v>0.246</v>
      </c>
      <c r="BD91">
        <f t="shared" si="31"/>
        <v>0</v>
      </c>
      <c r="BE91">
        <f t="shared" si="32"/>
        <v>2.714</v>
      </c>
      <c r="BF91">
        <f t="shared" si="33"/>
        <v>14.407999999999999</v>
      </c>
      <c r="BG91">
        <f t="shared" si="34"/>
        <v>0.47181000000000001</v>
      </c>
      <c r="BH91">
        <f>VLOOKUP(B91,Miljö!$B$1:$BX$482,MATCH("Fossilandel för ursprungspecificerad el ()",Miljö!$B$1:$I$1,0),FALSE)</f>
        <v>0</v>
      </c>
      <c r="BI91">
        <f>VLOOKUP(B91,Miljö!$B$1:$BX$482,MATCH("Kärnkraftsandel för ursprungsspecificerad el ()",Miljö!$B$1:$O$1,0),FALSE)</f>
        <v>0</v>
      </c>
      <c r="BJ91">
        <f t="shared" si="35"/>
        <v>0</v>
      </c>
      <c r="BK91" t="str">
        <f>VLOOKUP(B91,Miljö!$B$1:$O$482,MATCH("Fossil andel i procent (%)",Miljö!$B$1:$O$1,0),FALSE)</f>
        <v>ET</v>
      </c>
      <c r="BL91">
        <f t="shared" si="36"/>
        <v>17.83981</v>
      </c>
      <c r="BO91" s="18">
        <f t="shared" si="37"/>
        <v>1.378938452819845E-2</v>
      </c>
      <c r="BP91" s="18">
        <f t="shared" si="38"/>
        <v>0</v>
      </c>
      <c r="BQ91" s="18">
        <f t="shared" si="39"/>
        <v>0.17857869562512158</v>
      </c>
      <c r="BR91" s="18">
        <f t="shared" si="40"/>
        <v>0.80763191984667992</v>
      </c>
      <c r="BT91" s="27">
        <f t="shared" si="41"/>
        <v>1</v>
      </c>
      <c r="BW91" s="18">
        <f>IF(AP91="ja",VLOOKUP(B91,Miljövärden!$B$2:$H$550,MATCH("Total andel fossilt",Miljövärden!$B$2:$H$2,0),FALSE),"")</f>
        <v>1.37894E-2</v>
      </c>
      <c r="BZ91" s="28">
        <f t="shared" si="42"/>
        <v>1.5471801549996056E-8</v>
      </c>
      <c r="CA91" s="28">
        <f t="shared" si="43"/>
        <v>0</v>
      </c>
    </row>
    <row r="92" spans="1:79" x14ac:dyDescent="0.25">
      <c r="A92" s="224" t="s">
        <v>315</v>
      </c>
      <c r="B92" s="210" t="s">
        <v>319</v>
      </c>
      <c r="C92" s="121">
        <f>VLOOKUP($B92,'Tillförd energi'!$B$1:$AI$720,MATCH(C$1,'Tillförd energi'!$B$1:$AQ$1,0),FALSE)</f>
        <v>0</v>
      </c>
      <c r="D92" s="121">
        <f>VLOOKUP($B92,'Tillförd energi'!$B$1:$AI$720,MATCH(D$1,'Tillförd energi'!$B$1:$AQ$1,0),FALSE)</f>
        <v>0</v>
      </c>
      <c r="E92" s="121">
        <f>VLOOKUP($B92,'Tillförd energi'!$B$1:$AI$720,MATCH(E$1,'Tillförd energi'!$B$1:$AQ$1,0),FALSE)</f>
        <v>0</v>
      </c>
      <c r="F92" s="121">
        <f>VLOOKUP($B92,'Tillförd energi'!$B$1:$AI$720,MATCH(F$1,'Tillförd energi'!$B$1:$AQ$1,0),FALSE)</f>
        <v>0</v>
      </c>
      <c r="G92" s="121">
        <f>VLOOKUP($B92,'Tillförd energi'!$B$1:$AI$720,MATCH(G$1,'Tillförd energi'!$B$1:$AQ$1,0),FALSE)</f>
        <v>0</v>
      </c>
      <c r="H92" s="121">
        <f>VLOOKUP($B92,'Tillförd energi'!$B$1:$AI$720,MATCH(H$1,'Tillförd energi'!$B$1:$AQ$1,0),FALSE)</f>
        <v>0</v>
      </c>
      <c r="I92" s="121">
        <f>VLOOKUP($B92,'Tillförd energi'!$B$1:$AI$720,MATCH(I$1,'Tillförd energi'!$B$1:$AQ$1,0),FALSE)</f>
        <v>0</v>
      </c>
      <c r="J92" s="121">
        <f>VLOOKUP($B92,'Tillförd energi'!$B$1:$AI$720,MATCH(J$1,'Tillförd energi'!$B$1:$AQ$1,0),FALSE)</f>
        <v>1.03</v>
      </c>
      <c r="K92" s="121">
        <f>VLOOKUP($B92,'Tillförd energi'!$B$1:$AI$720,MATCH(K$1,'Tillförd energi'!$B$1:$AQ$1,0),FALSE)</f>
        <v>0</v>
      </c>
      <c r="L92" s="121">
        <f>VLOOKUP($B92,'Tillförd energi'!$B$1:$AI$720,MATCH(L$1,'Tillförd energi'!$B$1:$AQ$1,0),FALSE)</f>
        <v>0</v>
      </c>
      <c r="M92" s="121">
        <f>VLOOKUP($B92,'Tillförd energi'!$B$1:$AI$720,MATCH(M$1,'Tillförd energi'!$B$1:$AQ$1,0),FALSE)</f>
        <v>62.027999999999999</v>
      </c>
      <c r="N92" s="121">
        <f>VLOOKUP($B92,'Tillförd energi'!$B$1:$AI$720,MATCH(N$1,'Tillförd energi'!$B$1:$AQ$1,0),FALSE)</f>
        <v>82.260999999999996</v>
      </c>
      <c r="O92" s="121">
        <f>VLOOKUP($B92,'Tillförd energi'!$B$1:$AI$720,MATCH(O$1,'Tillförd energi'!$B$1:$AQ$1,0),FALSE)</f>
        <v>0</v>
      </c>
      <c r="P92" s="121">
        <f>VLOOKUP($B92,'Tillförd energi'!$B$1:$AI$720,MATCH(P$1,'Tillförd energi'!$B$1:$AQ$1,0),FALSE)</f>
        <v>3.3959999999999999</v>
      </c>
      <c r="Q92" s="121">
        <f>VLOOKUP($B92,'Tillförd energi'!$B$1:$AI$720,MATCH(Q$1,'Tillförd energi'!$B$1:$AQ$1,0),FALSE)</f>
        <v>0</v>
      </c>
      <c r="R92" s="121">
        <f>VLOOKUP($B92,'Tillförd energi'!$B$1:$AI$720,MATCH(R$1,'Tillförd energi'!$B$1:$AQ$1,0),FALSE)</f>
        <v>0</v>
      </c>
      <c r="S92" s="121">
        <f>VLOOKUP($B92,'Tillförd energi'!$B$1:$AI$720,MATCH(S$1,'Tillförd energi'!$B$1:$AQ$1,0),FALSE)</f>
        <v>0</v>
      </c>
      <c r="T92" s="121">
        <f>VLOOKUP($B92,'Tillförd energi'!$B$1:$AI$720,MATCH(T$1,'Tillförd energi'!$B$1:$AQ$1,0),FALSE)</f>
        <v>0</v>
      </c>
      <c r="U92" s="121">
        <f>VLOOKUP($B92,'Tillförd energi'!$B$1:$AI$720,MATCH(U$1,'Tillförd energi'!$B$1:$AQ$1,0),FALSE)</f>
        <v>0</v>
      </c>
      <c r="V92" s="121">
        <f>VLOOKUP($B92,'Tillförd energi'!$B$1:$AI$720,MATCH(V$1,'Tillförd energi'!$B$1:$AQ$1,0),FALSE)</f>
        <v>0</v>
      </c>
      <c r="W92" s="121">
        <f>VLOOKUP($B92,'Tillförd energi'!$B$1:$AI$720,MATCH(W$1,'Tillförd energi'!$B$1:$AQ$1,0),FALSE)</f>
        <v>8.907</v>
      </c>
      <c r="X92" s="121">
        <f>VLOOKUP($B92,'Tillförd energi'!$B$1:$AI$720,MATCH(X$1,'Tillförd energi'!$B$1:$AQ$1,0),FALSE)</f>
        <v>0</v>
      </c>
      <c r="Y92" s="121">
        <f>VLOOKUP($B92,'Tillförd energi'!$B$1:$AI$720,MATCH(Y$1,'Tillförd energi'!$B$1:$AQ$1,0),FALSE)</f>
        <v>0</v>
      </c>
      <c r="Z92" s="121">
        <f>VLOOKUP($B92,'Tillförd energi'!$B$1:$AI$720,MATCH(Z$1,'Tillförd energi'!$B$1:$AQ$1,0),FALSE)</f>
        <v>4.5999999999999999E-2</v>
      </c>
      <c r="AA92" s="121">
        <f>VLOOKUP($B92,'Tillförd energi'!$B$1:$AI$720,MATCH(AA$1,'Tillförd energi'!$B$1:$AQ$1,0),FALSE)</f>
        <v>12.922000000000001</v>
      </c>
      <c r="AB92" s="121">
        <f>VLOOKUP($B92,'Tillförd energi'!$B$1:$AI$720,MATCH(AB$1,'Tillförd energi'!$B$1:$AQ$1,0),FALSE)</f>
        <v>19.093</v>
      </c>
      <c r="AC92" s="121">
        <f>VLOOKUP($B92,'Tillförd energi'!$B$1:$AI$720,MATCH(AC$1,'Tillförd energi'!$B$1:$AQ$1,0),FALSE)</f>
        <v>33.462000000000003</v>
      </c>
      <c r="AD92" s="121">
        <f>VLOOKUP($B92,'Tillförd energi'!$B$1:$AI$720,MATCH(AD$1,'Tillförd energi'!$B$1:$AQ$1,0),FALSE)</f>
        <v>0</v>
      </c>
      <c r="AE92" s="121">
        <f>VLOOKUP($B92,'Tillförd energi'!$B$1:$AI$720,MATCH(AE$1,'Tillförd energi'!$B$1:$AQ$1,0),FALSE)</f>
        <v>0</v>
      </c>
      <c r="AF92" s="121">
        <f>VLOOKUP($B92,'Tillförd energi'!$B$1:$AI$720,MATCH(AF$1,'Tillförd energi'!$B$1:$AQ$1,0),FALSE)</f>
        <v>5.1299099999999997</v>
      </c>
      <c r="AG92" s="121">
        <f>IFERROR(VLOOKUP(B92,Miljö!$B$1:$AC$550,MATCH("Köpt mängd produktionsspecifik fjärrvärme:",Miljö!$B$1:$AC$1,0),FALSE)/1,0)</f>
        <v>0</v>
      </c>
      <c r="AH92" s="121"/>
      <c r="AI92" s="121">
        <f t="shared" si="22"/>
        <v>228.27490999999998</v>
      </c>
      <c r="AJ92" s="121">
        <f t="shared" si="23"/>
        <v>228.27490999999998</v>
      </c>
      <c r="AK92" s="121">
        <f>IF(ISERROR(1/VLOOKUP($B92,Leveranser!$B$1:$S$499,MATCH("såld värme (gwh)",Leveranser!$B$1:$S$1,0),FALSE)),"",VLOOKUP($B92,Leveranser!$B$1:$S$499,MATCH("såld värme (gwh)",Leveranser!$B$1:$S$1,0),FALSE))</f>
        <v>170.99700000000001</v>
      </c>
      <c r="AL92" s="121">
        <f>VLOOKUP($B92,Leveranser!$B$1:$Y$499,MATCH("Totalt såld fjärrvärme till andra fjärrvärmeföretag",Leveranser!$B$1:$AA$1,0),FALSE)</f>
        <v>0</v>
      </c>
      <c r="AM92" s="121">
        <f>IF(ISERROR(1/VLOOKUP($B92,Miljö!$B$1:$S$500,MATCH("Såld mängd produktionsspecifik fjärrvärme (GWh)",Miljö!$B$1:$R$1,0),FALSE)),0,VLOOKUP($B92,Miljö!$B$1:$S$500,MATCH("Såld mängd produktionsspecifik fjärrvärme (GWh)",Miljö!$B$1:$R$1,0),FALSE))</f>
        <v>0</v>
      </c>
      <c r="AN92" s="172">
        <f t="shared" si="24"/>
        <v>0.7490836377944472</v>
      </c>
      <c r="AO92" s="121"/>
      <c r="AP92" s="121" t="str">
        <f>IFERROR(VLOOKUP($B92,Miljövärden!$B$2:$H$550,7,FALSE),"Nej, saknas")</f>
        <v>Ja</v>
      </c>
      <c r="AQ92" s="121" t="str">
        <f>IFERROR(VLOOKUP($B92,Miljövärden!$B$2:$H$550,6,FALSE),"Nej, saknas")</f>
        <v>Ja</v>
      </c>
      <c r="AU92">
        <f t="shared" si="25"/>
        <v>18.097909999999999</v>
      </c>
      <c r="AV92">
        <f t="shared" si="26"/>
        <v>0</v>
      </c>
      <c r="AW92">
        <f t="shared" si="27"/>
        <v>147.68499999999997</v>
      </c>
      <c r="AX92">
        <f t="shared" si="28"/>
        <v>0</v>
      </c>
      <c r="AZ92">
        <f t="shared" si="29"/>
        <v>156.59199999999998</v>
      </c>
      <c r="BC92">
        <f t="shared" si="30"/>
        <v>0</v>
      </c>
      <c r="BD92">
        <f t="shared" si="31"/>
        <v>0</v>
      </c>
      <c r="BE92">
        <f t="shared" si="32"/>
        <v>156.59199999999998</v>
      </c>
      <c r="BF92">
        <f t="shared" si="33"/>
        <v>53.585000000000008</v>
      </c>
      <c r="BG92">
        <f t="shared" si="34"/>
        <v>18.097909999999999</v>
      </c>
      <c r="BH92">
        <f>VLOOKUP(B92,Miljö!$B$1:$BX$482,MATCH("Fossilandel för ursprungspecificerad el ()",Miljö!$B$1:$I$1,0),FALSE)</f>
        <v>0</v>
      </c>
      <c r="BI92">
        <f>VLOOKUP(B92,Miljö!$B$1:$BX$482,MATCH("Kärnkraftsandel för ursprungsspecificerad el ()",Miljö!$B$1:$O$1,0),FALSE)</f>
        <v>0</v>
      </c>
      <c r="BJ92">
        <f t="shared" si="35"/>
        <v>0</v>
      </c>
      <c r="BK92" t="str">
        <f>VLOOKUP(B92,Miljö!$B$1:$O$482,MATCH("Fossil andel i procent (%)",Miljö!$B$1:$O$1,0),FALSE)</f>
        <v>ET</v>
      </c>
      <c r="BL92">
        <f t="shared" si="36"/>
        <v>228.27490999999998</v>
      </c>
      <c r="BO92" s="18">
        <f t="shared" si="37"/>
        <v>0</v>
      </c>
      <c r="BP92" s="18">
        <f t="shared" si="38"/>
        <v>0</v>
      </c>
      <c r="BQ92" s="18">
        <f t="shared" si="39"/>
        <v>0.76526110556784366</v>
      </c>
      <c r="BR92" s="18">
        <f t="shared" si="40"/>
        <v>0.23473889443215645</v>
      </c>
      <c r="BT92" s="27">
        <f t="shared" si="41"/>
        <v>1</v>
      </c>
      <c r="BW92" s="18">
        <f>IF(AP92="ja",VLOOKUP(B92,Miljövärden!$B$2:$H$550,MATCH("Total andel fossilt",Miljövärden!$B$2:$H$2,0),FALSE),"")</f>
        <v>0</v>
      </c>
      <c r="BZ92" s="28">
        <f t="shared" si="42"/>
        <v>0</v>
      </c>
      <c r="CA92" s="28">
        <f t="shared" si="43"/>
        <v>0</v>
      </c>
    </row>
    <row r="93" spans="1:79" x14ac:dyDescent="0.25">
      <c r="A93" s="224" t="s">
        <v>320</v>
      </c>
      <c r="B93" s="210" t="s">
        <v>321</v>
      </c>
      <c r="C93" s="121">
        <f>VLOOKUP($B93,'Tillförd energi'!$B$1:$AI$720,MATCH(C$1,'Tillförd energi'!$B$1:$AQ$1,0),FALSE)</f>
        <v>0</v>
      </c>
      <c r="D93" s="121">
        <f>VLOOKUP($B93,'Tillförd energi'!$B$1:$AI$720,MATCH(D$1,'Tillförd energi'!$B$1:$AQ$1,0),FALSE)</f>
        <v>0.4</v>
      </c>
      <c r="E93" s="121">
        <f>VLOOKUP($B93,'Tillförd energi'!$B$1:$AI$720,MATCH(E$1,'Tillförd energi'!$B$1:$AQ$1,0),FALSE)</f>
        <v>0</v>
      </c>
      <c r="F93" s="121">
        <f>VLOOKUP($B93,'Tillförd energi'!$B$1:$AI$720,MATCH(F$1,'Tillförd energi'!$B$1:$AQ$1,0),FALSE)</f>
        <v>1.3</v>
      </c>
      <c r="G93" s="121">
        <f>VLOOKUP($B93,'Tillförd energi'!$B$1:$AI$720,MATCH(G$1,'Tillförd energi'!$B$1:$AQ$1,0),FALSE)</f>
        <v>0</v>
      </c>
      <c r="H93" s="121">
        <f>VLOOKUP($B93,'Tillförd energi'!$B$1:$AI$720,MATCH(H$1,'Tillförd energi'!$B$1:$AQ$1,0),FALSE)</f>
        <v>0</v>
      </c>
      <c r="I93" s="121">
        <f>VLOOKUP($B93,'Tillförd energi'!$B$1:$AI$720,MATCH(I$1,'Tillförd energi'!$B$1:$AQ$1,0),FALSE)</f>
        <v>0</v>
      </c>
      <c r="J93" s="121">
        <f>VLOOKUP($B93,'Tillförd energi'!$B$1:$AI$720,MATCH(J$1,'Tillförd energi'!$B$1:$AQ$1,0),FALSE)</f>
        <v>0</v>
      </c>
      <c r="K93" s="121">
        <f>VLOOKUP($B93,'Tillförd energi'!$B$1:$AI$720,MATCH(K$1,'Tillförd energi'!$B$1:$AQ$1,0),FALSE)</f>
        <v>0</v>
      </c>
      <c r="L93" s="121">
        <f>VLOOKUP($B93,'Tillförd energi'!$B$1:$AI$720,MATCH(L$1,'Tillförd energi'!$B$1:$AQ$1,0),FALSE)</f>
        <v>0</v>
      </c>
      <c r="M93" s="121">
        <f>VLOOKUP($B93,'Tillförd energi'!$B$1:$AI$720,MATCH(M$1,'Tillförd energi'!$B$1:$AQ$1,0),FALSE)</f>
        <v>6.0747</v>
      </c>
      <c r="N93" s="121">
        <f>VLOOKUP($B93,'Tillförd energi'!$B$1:$AI$720,MATCH(N$1,'Tillförd energi'!$B$1:$AQ$1,0),FALSE)</f>
        <v>2.3623799999999999</v>
      </c>
      <c r="O93" s="121">
        <f>VLOOKUP($B93,'Tillförd energi'!$B$1:$AI$720,MATCH(O$1,'Tillförd energi'!$B$1:$AQ$1,0),FALSE)</f>
        <v>51.297499999999999</v>
      </c>
      <c r="P93" s="121">
        <f>VLOOKUP($B93,'Tillförd energi'!$B$1:$AI$720,MATCH(P$1,'Tillförd energi'!$B$1:$AQ$1,0),FALSE)</f>
        <v>21.5989</v>
      </c>
      <c r="Q93" s="121">
        <f>VLOOKUP($B93,'Tillförd energi'!$B$1:$AI$720,MATCH(Q$1,'Tillförd energi'!$B$1:$AQ$1,0),FALSE)</f>
        <v>0</v>
      </c>
      <c r="R93" s="121">
        <f>VLOOKUP($B93,'Tillförd energi'!$B$1:$AI$720,MATCH(R$1,'Tillförd energi'!$B$1:$AQ$1,0),FALSE)</f>
        <v>8.6999999999999993</v>
      </c>
      <c r="S93" s="121">
        <f>VLOOKUP($B93,'Tillförd energi'!$B$1:$AI$720,MATCH(S$1,'Tillförd energi'!$B$1:$AQ$1,0),FALSE)</f>
        <v>0</v>
      </c>
      <c r="T93" s="121">
        <f>VLOOKUP($B93,'Tillförd energi'!$B$1:$AI$720,MATCH(T$1,'Tillförd energi'!$B$1:$AQ$1,0),FALSE)</f>
        <v>0</v>
      </c>
      <c r="U93" s="121">
        <f>VLOOKUP($B93,'Tillförd energi'!$B$1:$AI$720,MATCH(U$1,'Tillförd energi'!$B$1:$AQ$1,0),FALSE)</f>
        <v>0</v>
      </c>
      <c r="V93" s="121">
        <f>VLOOKUP($B93,'Tillförd energi'!$B$1:$AI$720,MATCH(V$1,'Tillförd energi'!$B$1:$AQ$1,0),FALSE)</f>
        <v>0</v>
      </c>
      <c r="W93" s="121">
        <f>VLOOKUP($B93,'Tillförd energi'!$B$1:$AI$720,MATCH(W$1,'Tillförd energi'!$B$1:$AQ$1,0),FALSE)</f>
        <v>0</v>
      </c>
      <c r="X93" s="121">
        <f>VLOOKUP($B93,'Tillförd energi'!$B$1:$AI$720,MATCH(X$1,'Tillförd energi'!$B$1:$AQ$1,0),FALSE)</f>
        <v>0</v>
      </c>
      <c r="Y93" s="121">
        <f>VLOOKUP($B93,'Tillförd energi'!$B$1:$AI$720,MATCH(Y$1,'Tillförd energi'!$B$1:$AQ$1,0),FALSE)</f>
        <v>86.680400000000006</v>
      </c>
      <c r="Z93" s="121">
        <f>VLOOKUP($B93,'Tillförd energi'!$B$1:$AI$720,MATCH(Z$1,'Tillförd energi'!$B$1:$AQ$1,0),FALSE)</f>
        <v>0</v>
      </c>
      <c r="AA93" s="121">
        <f>VLOOKUP($B93,'Tillförd energi'!$B$1:$AI$720,MATCH(AA$1,'Tillförd energi'!$B$1:$AQ$1,0),FALSE)</f>
        <v>0</v>
      </c>
      <c r="AB93" s="121">
        <f>VLOOKUP($B93,'Tillförd energi'!$B$1:$AI$720,MATCH(AB$1,'Tillförd energi'!$B$1:$AQ$1,0),FALSE)</f>
        <v>0</v>
      </c>
      <c r="AC93" s="121">
        <f>VLOOKUP($B93,'Tillförd energi'!$B$1:$AI$720,MATCH(AC$1,'Tillförd energi'!$B$1:$AQ$1,0),FALSE)</f>
        <v>22</v>
      </c>
      <c r="AD93" s="121">
        <f>VLOOKUP($B93,'Tillförd energi'!$B$1:$AI$720,MATCH(AD$1,'Tillförd energi'!$B$1:$AQ$1,0),FALSE)</f>
        <v>0</v>
      </c>
      <c r="AE93" s="121">
        <f>VLOOKUP($B93,'Tillförd energi'!$B$1:$AI$720,MATCH(AE$1,'Tillförd energi'!$B$1:$AQ$1,0),FALSE)</f>
        <v>0</v>
      </c>
      <c r="AF93" s="121">
        <f>VLOOKUP($B93,'Tillförd energi'!$B$1:$AI$720,MATCH(AF$1,'Tillförd energi'!$B$1:$AQ$1,0),FALSE)</f>
        <v>7.0270200000000003</v>
      </c>
      <c r="AG93" s="121">
        <f>IFERROR(VLOOKUP(B93,Miljö!$B$1:$AC$550,MATCH("Köpt mängd produktionsspecifik fjärrvärme:",Miljö!$B$1:$AC$1,0),FALSE)/1,0)</f>
        <v>0</v>
      </c>
      <c r="AH93" s="121"/>
      <c r="AI93" s="121">
        <f t="shared" si="22"/>
        <v>207.4409</v>
      </c>
      <c r="AJ93" s="121">
        <f t="shared" si="23"/>
        <v>207.4409</v>
      </c>
      <c r="AK93" s="121">
        <f>IF(ISERROR(1/VLOOKUP($B93,Leveranser!$B$1:$S$499,MATCH("såld värme (gwh)",Leveranser!$B$1:$S$1,0),FALSE)),"",VLOOKUP($B93,Leveranser!$B$1:$S$499,MATCH("såld värme (gwh)",Leveranser!$B$1:$S$1,0),FALSE))</f>
        <v>162</v>
      </c>
      <c r="AL93" s="121">
        <f>VLOOKUP($B93,Leveranser!$B$1:$Y$499,MATCH("Totalt såld fjärrvärme till andra fjärrvärmeföretag",Leveranser!$B$1:$AA$1,0),FALSE)</f>
        <v>0</v>
      </c>
      <c r="AM93" s="121">
        <f>IF(ISERROR(1/VLOOKUP($B93,Miljö!$B$1:$S$500,MATCH("Såld mängd produktionsspecifik fjärrvärme (GWh)",Miljö!$B$1:$R$1,0),FALSE)),0,VLOOKUP($B93,Miljö!$B$1:$S$500,MATCH("Såld mängd produktionsspecifik fjärrvärme (GWh)",Miljö!$B$1:$R$1,0),FALSE))</f>
        <v>0</v>
      </c>
      <c r="AN93" s="172">
        <f t="shared" si="24"/>
        <v>0.78094531984772531</v>
      </c>
      <c r="AO93" s="121"/>
      <c r="AP93" s="121" t="str">
        <f>IFERROR(VLOOKUP($B93,Miljövärden!$B$2:$H$550,7,FALSE),"Nej, saknas")</f>
        <v>Ja</v>
      </c>
      <c r="AQ93" s="121" t="str">
        <f>IFERROR(VLOOKUP($B93,Miljövärden!$B$2:$H$550,6,FALSE),"Nej, saknas")</f>
        <v>Ja</v>
      </c>
      <c r="AU93">
        <f t="shared" si="25"/>
        <v>7.0270200000000003</v>
      </c>
      <c r="AV93">
        <f t="shared" si="26"/>
        <v>0</v>
      </c>
      <c r="AW93">
        <f t="shared" si="27"/>
        <v>81.333480000000009</v>
      </c>
      <c r="AX93">
        <f t="shared" si="28"/>
        <v>8.6999999999999993</v>
      </c>
      <c r="AZ93">
        <f t="shared" si="29"/>
        <v>90.033480000000012</v>
      </c>
      <c r="BC93">
        <f t="shared" si="30"/>
        <v>1.7000000000000002</v>
      </c>
      <c r="BD93">
        <f t="shared" si="31"/>
        <v>86.680400000000006</v>
      </c>
      <c r="BE93">
        <f t="shared" si="32"/>
        <v>90.033480000000012</v>
      </c>
      <c r="BF93">
        <f t="shared" si="33"/>
        <v>22</v>
      </c>
      <c r="BG93">
        <f t="shared" si="34"/>
        <v>7.0270200000000003</v>
      </c>
      <c r="BH93">
        <f>VLOOKUP(B93,Miljö!$B$1:$BX$482,MATCH("Fossilandel för ursprungspecificerad el ()",Miljö!$B$1:$I$1,0),FALSE)</f>
        <v>0.43</v>
      </c>
      <c r="BI93">
        <f>VLOOKUP(B93,Miljö!$B$1:$BX$482,MATCH("Kärnkraftsandel för ursprungsspecificerad el ()",Miljö!$B$1:$O$1,0),FALSE)</f>
        <v>0.40550000000000003</v>
      </c>
      <c r="BJ93">
        <f t="shared" si="35"/>
        <v>0</v>
      </c>
      <c r="BK93" t="str">
        <f>VLOOKUP(B93,Miljö!$B$1:$O$482,MATCH("Fossil andel i procent (%)",Miljö!$B$1:$O$1,0),FALSE)</f>
        <v>ET</v>
      </c>
      <c r="BL93">
        <f t="shared" si="36"/>
        <v>207.4409</v>
      </c>
      <c r="BO93" s="18">
        <f t="shared" si="37"/>
        <v>2.2761271282567712E-2</v>
      </c>
      <c r="BP93" s="18">
        <f t="shared" si="38"/>
        <v>0.43159211423591015</v>
      </c>
      <c r="BQ93" s="18">
        <f t="shared" si="39"/>
        <v>0.43959231178615221</v>
      </c>
      <c r="BR93" s="18">
        <f t="shared" si="40"/>
        <v>0.1060543026953701</v>
      </c>
      <c r="BT93" s="27">
        <f t="shared" si="41"/>
        <v>1.0000000000000002</v>
      </c>
      <c r="BW93" s="18">
        <f>IF(AP93="ja",VLOOKUP(B93,Miljövärden!$B$2:$H$550,MATCH("Total andel fossilt",Miljövärden!$B$2:$H$2,0),FALSE),"")</f>
        <v>2.2761300000000002E-2</v>
      </c>
      <c r="BZ93" s="28">
        <f t="shared" si="42"/>
        <v>2.8717432289798728E-8</v>
      </c>
      <c r="CA93" s="28">
        <f t="shared" si="43"/>
        <v>0</v>
      </c>
    </row>
    <row r="94" spans="1:79" x14ac:dyDescent="0.25">
      <c r="A94" s="224" t="s">
        <v>322</v>
      </c>
      <c r="B94" s="210" t="s">
        <v>323</v>
      </c>
      <c r="C94" s="121">
        <f>VLOOKUP($B94,'Tillförd energi'!$B$1:$AI$720,MATCH(C$1,'Tillförd energi'!$B$1:$AQ$1,0),FALSE)</f>
        <v>0</v>
      </c>
      <c r="D94" s="121">
        <f>VLOOKUP($B94,'Tillförd energi'!$B$1:$AI$720,MATCH(D$1,'Tillförd energi'!$B$1:$AQ$1,0),FALSE)</f>
        <v>0</v>
      </c>
      <c r="E94" s="121">
        <f>VLOOKUP($B94,'Tillförd energi'!$B$1:$AI$720,MATCH(E$1,'Tillförd energi'!$B$1:$AQ$1,0),FALSE)</f>
        <v>0</v>
      </c>
      <c r="F94" s="121">
        <f>VLOOKUP($B94,'Tillförd energi'!$B$1:$AI$720,MATCH(F$1,'Tillförd energi'!$B$1:$AQ$1,0),FALSE)</f>
        <v>0.168235</v>
      </c>
      <c r="G94" s="121">
        <f>VLOOKUP($B94,'Tillförd energi'!$B$1:$AI$720,MATCH(G$1,'Tillförd energi'!$B$1:$AQ$1,0),FALSE)</f>
        <v>0</v>
      </c>
      <c r="H94" s="121">
        <f>VLOOKUP($B94,'Tillförd energi'!$B$1:$AI$720,MATCH(H$1,'Tillförd energi'!$B$1:$AQ$1,0),FALSE)</f>
        <v>0</v>
      </c>
      <c r="I94" s="121">
        <f>VLOOKUP($B94,'Tillförd energi'!$B$1:$AI$720,MATCH(I$1,'Tillförd energi'!$B$1:$AQ$1,0),FALSE)</f>
        <v>0</v>
      </c>
      <c r="J94" s="121">
        <f>VLOOKUP($B94,'Tillförd energi'!$B$1:$AI$720,MATCH(J$1,'Tillförd energi'!$B$1:$AQ$1,0),FALSE)</f>
        <v>0</v>
      </c>
      <c r="K94" s="121">
        <f>VLOOKUP($B94,'Tillförd energi'!$B$1:$AI$720,MATCH(K$1,'Tillförd energi'!$B$1:$AQ$1,0),FALSE)</f>
        <v>0</v>
      </c>
      <c r="L94" s="121">
        <f>VLOOKUP($B94,'Tillförd energi'!$B$1:$AI$720,MATCH(L$1,'Tillförd energi'!$B$1:$AQ$1,0),FALSE)</f>
        <v>74.868300000000005</v>
      </c>
      <c r="M94" s="121">
        <f>VLOOKUP($B94,'Tillförd energi'!$B$1:$AI$720,MATCH(M$1,'Tillförd energi'!$B$1:$AQ$1,0),FALSE)</f>
        <v>93.888999999999996</v>
      </c>
      <c r="N94" s="121">
        <f>VLOOKUP($B94,'Tillförd energi'!$B$1:$AI$720,MATCH(N$1,'Tillförd energi'!$B$1:$AQ$1,0),FALSE)</f>
        <v>13.781000000000001</v>
      </c>
      <c r="O94" s="121">
        <f>VLOOKUP($B94,'Tillförd energi'!$B$1:$AI$720,MATCH(O$1,'Tillförd energi'!$B$1:$AQ$1,0),FALSE)</f>
        <v>0</v>
      </c>
      <c r="P94" s="121">
        <f>VLOOKUP($B94,'Tillförd energi'!$B$1:$AI$720,MATCH(P$1,'Tillförd energi'!$B$1:$AQ$1,0),FALSE)</f>
        <v>7.8771100000000001</v>
      </c>
      <c r="Q94" s="121">
        <f>VLOOKUP($B94,'Tillförd energi'!$B$1:$AI$720,MATCH(Q$1,'Tillförd energi'!$B$1:$AQ$1,0),FALSE)</f>
        <v>87.988200000000006</v>
      </c>
      <c r="R94" s="121">
        <f>VLOOKUP($B94,'Tillförd energi'!$B$1:$AI$720,MATCH(R$1,'Tillförd energi'!$B$1:$AQ$1,0),FALSE)</f>
        <v>0</v>
      </c>
      <c r="S94" s="121">
        <f>VLOOKUP($B94,'Tillförd energi'!$B$1:$AI$720,MATCH(S$1,'Tillförd energi'!$B$1:$AQ$1,0),FALSE)</f>
        <v>0</v>
      </c>
      <c r="T94" s="121">
        <f>VLOOKUP($B94,'Tillförd energi'!$B$1:$AI$720,MATCH(T$1,'Tillförd energi'!$B$1:$AQ$1,0),FALSE)</f>
        <v>0</v>
      </c>
      <c r="U94" s="121">
        <f>VLOOKUP($B94,'Tillförd energi'!$B$1:$AI$720,MATCH(U$1,'Tillförd energi'!$B$1:$AQ$1,0),FALSE)</f>
        <v>0</v>
      </c>
      <c r="V94" s="121">
        <f>VLOOKUP($B94,'Tillförd energi'!$B$1:$AI$720,MATCH(V$1,'Tillförd energi'!$B$1:$AQ$1,0),FALSE)</f>
        <v>0</v>
      </c>
      <c r="W94" s="121">
        <f>VLOOKUP($B94,'Tillförd energi'!$B$1:$AI$720,MATCH(W$1,'Tillförd energi'!$B$1:$AQ$1,0),FALSE)</f>
        <v>0.88360799999999995</v>
      </c>
      <c r="X94" s="121">
        <f>VLOOKUP($B94,'Tillförd energi'!$B$1:$AI$720,MATCH(X$1,'Tillförd energi'!$B$1:$AQ$1,0),FALSE)</f>
        <v>0</v>
      </c>
      <c r="Y94" s="121">
        <f>VLOOKUP($B94,'Tillförd energi'!$B$1:$AI$720,MATCH(Y$1,'Tillförd energi'!$B$1:$AQ$1,0),FALSE)</f>
        <v>0</v>
      </c>
      <c r="Z94" s="121">
        <f>VLOOKUP($B94,'Tillförd energi'!$B$1:$AI$720,MATCH(Z$1,'Tillförd energi'!$B$1:$AQ$1,0),FALSE)</f>
        <v>0</v>
      </c>
      <c r="AA94" s="121">
        <f>VLOOKUP($B94,'Tillförd energi'!$B$1:$AI$720,MATCH(AA$1,'Tillförd energi'!$B$1:$AQ$1,0),FALSE)</f>
        <v>0</v>
      </c>
      <c r="AB94" s="121">
        <f>VLOOKUP($B94,'Tillförd energi'!$B$1:$AI$720,MATCH(AB$1,'Tillförd energi'!$B$1:$AQ$1,0),FALSE)</f>
        <v>0</v>
      </c>
      <c r="AC94" s="121">
        <f>VLOOKUP($B94,'Tillförd energi'!$B$1:$AI$720,MATCH(AC$1,'Tillförd energi'!$B$1:$AQ$1,0),FALSE)</f>
        <v>84.256</v>
      </c>
      <c r="AD94" s="121">
        <f>VLOOKUP($B94,'Tillförd energi'!$B$1:$AI$720,MATCH(AD$1,'Tillförd energi'!$B$1:$AQ$1,0),FALSE)</f>
        <v>375.12</v>
      </c>
      <c r="AE94" s="121">
        <f>VLOOKUP($B94,'Tillförd energi'!$B$1:$AI$720,MATCH(AE$1,'Tillförd energi'!$B$1:$AQ$1,0),FALSE)</f>
        <v>0</v>
      </c>
      <c r="AF94" s="121">
        <f>VLOOKUP($B94,'Tillförd energi'!$B$1:$AI$720,MATCH(AF$1,'Tillförd energi'!$B$1:$AQ$1,0),FALSE)</f>
        <v>11.3766</v>
      </c>
      <c r="AG94" s="121">
        <f>IFERROR(VLOOKUP(B94,Miljö!$B$1:$AC$550,MATCH("Köpt mängd produktionsspecifik fjärrvärme:",Miljö!$B$1:$AC$1,0),FALSE)/1,0)</f>
        <v>0</v>
      </c>
      <c r="AH94" s="121"/>
      <c r="AI94" s="121">
        <f t="shared" si="22"/>
        <v>750.20805300000006</v>
      </c>
      <c r="AJ94" s="121">
        <f t="shared" si="23"/>
        <v>750.20805300000006</v>
      </c>
      <c r="AK94" s="121">
        <f>IF(ISERROR(1/VLOOKUP($B94,Leveranser!$B$1:$S$499,MATCH("såld värme (gwh)",Leveranser!$B$1:$S$1,0),FALSE)),"",VLOOKUP($B94,Leveranser!$B$1:$S$499,MATCH("såld värme (gwh)",Leveranser!$B$1:$S$1,0),FALSE))</f>
        <v>680</v>
      </c>
      <c r="AL94" s="121">
        <f>VLOOKUP($B94,Leveranser!$B$1:$Y$499,MATCH("Totalt såld fjärrvärme till andra fjärrvärmeföretag",Leveranser!$B$1:$AA$1,0),FALSE)</f>
        <v>0</v>
      </c>
      <c r="AM94" s="121">
        <f>IF(ISERROR(1/VLOOKUP($B94,Miljö!$B$1:$S$500,MATCH("Såld mängd produktionsspecifik fjärrvärme (GWh)",Miljö!$B$1:$R$1,0),FALSE)),0,VLOOKUP($B94,Miljö!$B$1:$S$500,MATCH("Såld mängd produktionsspecifik fjärrvärme (GWh)",Miljö!$B$1:$R$1,0),FALSE))</f>
        <v>0</v>
      </c>
      <c r="AN94" s="172">
        <f t="shared" si="24"/>
        <v>0.90641522345801839</v>
      </c>
      <c r="AO94" s="121"/>
      <c r="AP94" s="121" t="str">
        <f>IFERROR(VLOOKUP($B94,Miljövärden!$B$2:$H$550,7,FALSE),"Nej, saknas")</f>
        <v>Ja</v>
      </c>
      <c r="AQ94" s="121" t="str">
        <f>IFERROR(VLOOKUP($B94,Miljövärden!$B$2:$H$550,6,FALSE),"Nej, saknas")</f>
        <v>Ja</v>
      </c>
      <c r="AU94">
        <f t="shared" si="25"/>
        <v>11.3766</v>
      </c>
      <c r="AV94">
        <f t="shared" si="26"/>
        <v>0</v>
      </c>
      <c r="AW94">
        <f t="shared" si="27"/>
        <v>203.53531000000001</v>
      </c>
      <c r="AX94">
        <f t="shared" si="28"/>
        <v>0</v>
      </c>
      <c r="AZ94">
        <f t="shared" si="29"/>
        <v>279.28721799999994</v>
      </c>
      <c r="BC94">
        <f t="shared" si="30"/>
        <v>0.168235</v>
      </c>
      <c r="BD94">
        <f t="shared" si="31"/>
        <v>0</v>
      </c>
      <c r="BE94">
        <f t="shared" si="32"/>
        <v>204.41891800000002</v>
      </c>
      <c r="BF94">
        <f t="shared" si="33"/>
        <v>534.24430000000007</v>
      </c>
      <c r="BG94">
        <f t="shared" si="34"/>
        <v>11.3766</v>
      </c>
      <c r="BH94">
        <f>VLOOKUP(B94,Miljö!$B$1:$BX$482,MATCH("Fossilandel för ursprungspecificerad el ()",Miljö!$B$1:$I$1,0),FALSE)</f>
        <v>0</v>
      </c>
      <c r="BI94">
        <f>VLOOKUP(B94,Miljö!$B$1:$BX$482,MATCH("Kärnkraftsandel för ursprungsspecificerad el ()",Miljö!$B$1:$O$1,0),FALSE)</f>
        <v>0</v>
      </c>
      <c r="BJ94">
        <f t="shared" si="35"/>
        <v>0</v>
      </c>
      <c r="BK94" t="str">
        <f>VLOOKUP(B94,Miljö!$B$1:$O$482,MATCH("Fossil andel i procent (%)",Miljö!$B$1:$O$1,0),FALSE)</f>
        <v>ET</v>
      </c>
      <c r="BL94">
        <f t="shared" si="36"/>
        <v>750.20805300000018</v>
      </c>
      <c r="BO94" s="18">
        <f t="shared" si="37"/>
        <v>2.2425112517420544E-4</v>
      </c>
      <c r="BP94" s="18">
        <f t="shared" si="38"/>
        <v>0</v>
      </c>
      <c r="BQ94" s="18">
        <f t="shared" si="39"/>
        <v>0.28764756274883652</v>
      </c>
      <c r="BR94" s="18">
        <f t="shared" si="40"/>
        <v>0.71212818612598916</v>
      </c>
      <c r="BT94" s="27">
        <f t="shared" si="41"/>
        <v>0.99999999999999989</v>
      </c>
      <c r="BW94" s="18">
        <f>IF(AP94="ja",VLOOKUP(B94,Miljövärden!$B$2:$H$550,MATCH("Total andel fossilt",Miljövärden!$B$2:$H$2,0),FALSE),"")</f>
        <v>2.2425099999999999E-4</v>
      </c>
      <c r="BZ94" s="28">
        <f t="shared" si="42"/>
        <v>-1.2517420544641729E-10</v>
      </c>
      <c r="CA94" s="28">
        <f t="shared" si="43"/>
        <v>0</v>
      </c>
    </row>
    <row r="95" spans="1:79" x14ac:dyDescent="0.25">
      <c r="A95" s="224" t="s">
        <v>324</v>
      </c>
      <c r="B95" s="210" t="s">
        <v>325</v>
      </c>
      <c r="C95" s="121">
        <f>VLOOKUP($B95,'Tillförd energi'!$B$1:$AI$720,MATCH(C$1,'Tillförd energi'!$B$1:$AQ$1,0),FALSE)</f>
        <v>0</v>
      </c>
      <c r="D95" s="121">
        <f>VLOOKUP($B95,'Tillförd energi'!$B$1:$AI$720,MATCH(D$1,'Tillförd energi'!$B$1:$AQ$1,0),FALSE)</f>
        <v>0</v>
      </c>
      <c r="E95" s="121">
        <f>VLOOKUP($B95,'Tillförd energi'!$B$1:$AI$720,MATCH(E$1,'Tillförd energi'!$B$1:$AQ$1,0),FALSE)</f>
        <v>0</v>
      </c>
      <c r="F95" s="121">
        <f>VLOOKUP($B95,'Tillförd energi'!$B$1:$AI$720,MATCH(F$1,'Tillförd energi'!$B$1:$AQ$1,0),FALSE)</f>
        <v>0</v>
      </c>
      <c r="G95" s="121">
        <f>VLOOKUP($B95,'Tillförd energi'!$B$1:$AI$720,MATCH(G$1,'Tillförd energi'!$B$1:$AQ$1,0),FALSE)</f>
        <v>0</v>
      </c>
      <c r="H95" s="121">
        <f>VLOOKUP($B95,'Tillförd energi'!$B$1:$AI$720,MATCH(H$1,'Tillförd energi'!$B$1:$AQ$1,0),FALSE)</f>
        <v>0</v>
      </c>
      <c r="I95" s="121">
        <f>VLOOKUP($B95,'Tillförd energi'!$B$1:$AI$720,MATCH(I$1,'Tillförd energi'!$B$1:$AQ$1,0),FALSE)</f>
        <v>0</v>
      </c>
      <c r="J95" s="121">
        <f>VLOOKUP($B95,'Tillförd energi'!$B$1:$AI$720,MATCH(J$1,'Tillförd energi'!$B$1:$AQ$1,0),FALSE)</f>
        <v>0</v>
      </c>
      <c r="K95" s="121">
        <f>VLOOKUP($B95,'Tillförd energi'!$B$1:$AI$720,MATCH(K$1,'Tillförd energi'!$B$1:$AQ$1,0),FALSE)</f>
        <v>0</v>
      </c>
      <c r="L95" s="121">
        <f>VLOOKUP($B95,'Tillförd energi'!$B$1:$AI$720,MATCH(L$1,'Tillförd energi'!$B$1:$AQ$1,0),FALSE)</f>
        <v>0</v>
      </c>
      <c r="M95" s="121">
        <f>VLOOKUP($B95,'Tillförd energi'!$B$1:$AI$720,MATCH(M$1,'Tillförd energi'!$B$1:$AQ$1,0),FALSE)</f>
        <v>0</v>
      </c>
      <c r="N95" s="121">
        <f>VLOOKUP($B95,'Tillförd energi'!$B$1:$AI$720,MATCH(N$1,'Tillförd energi'!$B$1:$AQ$1,0),FALSE)</f>
        <v>0</v>
      </c>
      <c r="O95" s="121">
        <f>VLOOKUP($B95,'Tillförd energi'!$B$1:$AI$720,MATCH(O$1,'Tillförd energi'!$B$1:$AQ$1,0),FALSE)</f>
        <v>0</v>
      </c>
      <c r="P95" s="121">
        <f>VLOOKUP($B95,'Tillförd energi'!$B$1:$AI$720,MATCH(P$1,'Tillförd energi'!$B$1:$AQ$1,0),FALSE)</f>
        <v>0</v>
      </c>
      <c r="Q95" s="121">
        <f>VLOOKUP($B95,'Tillförd energi'!$B$1:$AI$720,MATCH(Q$1,'Tillförd energi'!$B$1:$AQ$1,0),FALSE)</f>
        <v>0</v>
      </c>
      <c r="R95" s="121">
        <f>VLOOKUP($B95,'Tillförd energi'!$B$1:$AI$720,MATCH(R$1,'Tillförd energi'!$B$1:$AQ$1,0),FALSE)</f>
        <v>0</v>
      </c>
      <c r="S95" s="121">
        <f>VLOOKUP($B95,'Tillförd energi'!$B$1:$AI$720,MATCH(S$1,'Tillförd energi'!$B$1:$AQ$1,0),FALSE)</f>
        <v>0</v>
      </c>
      <c r="T95" s="121">
        <f>VLOOKUP($B95,'Tillförd energi'!$B$1:$AI$720,MATCH(T$1,'Tillförd energi'!$B$1:$AQ$1,0),FALSE)</f>
        <v>0</v>
      </c>
      <c r="U95" s="121">
        <f>VLOOKUP($B95,'Tillförd energi'!$B$1:$AI$720,MATCH(U$1,'Tillförd energi'!$B$1:$AQ$1,0),FALSE)</f>
        <v>0</v>
      </c>
      <c r="V95" s="121">
        <f>VLOOKUP($B95,'Tillförd energi'!$B$1:$AI$720,MATCH(V$1,'Tillförd energi'!$B$1:$AQ$1,0),FALSE)</f>
        <v>0</v>
      </c>
      <c r="W95" s="121">
        <f>VLOOKUP($B95,'Tillförd energi'!$B$1:$AI$720,MATCH(W$1,'Tillförd energi'!$B$1:$AQ$1,0),FALSE)</f>
        <v>0</v>
      </c>
      <c r="X95" s="121">
        <f>VLOOKUP($B95,'Tillförd energi'!$B$1:$AI$720,MATCH(X$1,'Tillförd energi'!$B$1:$AQ$1,0),FALSE)</f>
        <v>0</v>
      </c>
      <c r="Y95" s="121">
        <f>VLOOKUP($B95,'Tillförd energi'!$B$1:$AI$720,MATCH(Y$1,'Tillförd energi'!$B$1:$AQ$1,0),FALSE)</f>
        <v>0</v>
      </c>
      <c r="Z95" s="121">
        <f>VLOOKUP($B95,'Tillförd energi'!$B$1:$AI$720,MATCH(Z$1,'Tillförd energi'!$B$1:$AQ$1,0),FALSE)</f>
        <v>0</v>
      </c>
      <c r="AA95" s="121">
        <f>VLOOKUP($B95,'Tillförd energi'!$B$1:$AI$720,MATCH(AA$1,'Tillförd energi'!$B$1:$AQ$1,0),FALSE)</f>
        <v>0</v>
      </c>
      <c r="AB95" s="121">
        <f>VLOOKUP($B95,'Tillförd energi'!$B$1:$AI$720,MATCH(AB$1,'Tillförd energi'!$B$1:$AQ$1,0),FALSE)</f>
        <v>0</v>
      </c>
      <c r="AC95" s="121">
        <f>VLOOKUP($B95,'Tillförd energi'!$B$1:$AI$720,MATCH(AC$1,'Tillförd energi'!$B$1:$AQ$1,0),FALSE)</f>
        <v>0</v>
      </c>
      <c r="AD95" s="121">
        <f>VLOOKUP($B95,'Tillförd energi'!$B$1:$AI$720,MATCH(AD$1,'Tillförd energi'!$B$1:$AQ$1,0),FALSE)</f>
        <v>0</v>
      </c>
      <c r="AE95" s="121">
        <f>VLOOKUP($B95,'Tillförd energi'!$B$1:$AI$720,MATCH(AE$1,'Tillförd energi'!$B$1:$AQ$1,0),FALSE)</f>
        <v>0</v>
      </c>
      <c r="AF95" s="121">
        <f>VLOOKUP($B95,'Tillförd energi'!$B$1:$AI$720,MATCH(AF$1,'Tillförd energi'!$B$1:$AQ$1,0),FALSE)</f>
        <v>0</v>
      </c>
      <c r="AG95" s="121">
        <f>IFERROR(VLOOKUP(B95,Miljö!$B$1:$AC$550,MATCH("Köpt mängd produktionsspecifik fjärrvärme:",Miljö!$B$1:$AC$1,0),FALSE)/1,0)</f>
        <v>0</v>
      </c>
      <c r="AH95" s="121"/>
      <c r="AI95" s="121">
        <f t="shared" si="22"/>
        <v>0</v>
      </c>
      <c r="AJ95" s="121">
        <f t="shared" si="23"/>
        <v>0</v>
      </c>
      <c r="AK95" s="121" t="str">
        <f>IF(ISERROR(1/VLOOKUP($B95,Leveranser!$B$1:$S$499,MATCH("såld värme (gwh)",Leveranser!$B$1:$S$1,0),FALSE)),"",VLOOKUP($B95,Leveranser!$B$1:$S$499,MATCH("såld värme (gwh)",Leveranser!$B$1:$S$1,0),FALSE))</f>
        <v/>
      </c>
      <c r="AL95" s="121">
        <f>VLOOKUP($B95,Leveranser!$B$1:$Y$499,MATCH("Totalt såld fjärrvärme till andra fjärrvärmeföretag",Leveranser!$B$1:$AA$1,0),FALSE)</f>
        <v>0</v>
      </c>
      <c r="AM95" s="121">
        <f>IF(ISERROR(1/VLOOKUP($B95,Miljö!$B$1:$S$500,MATCH("Såld mängd produktionsspecifik fjärrvärme (GWh)",Miljö!$B$1:$R$1,0),FALSE)),0,VLOOKUP($B95,Miljö!$B$1:$S$500,MATCH("Såld mängd produktionsspecifik fjärrvärme (GWh)",Miljö!$B$1:$R$1,0),FALSE))</f>
        <v>0</v>
      </c>
      <c r="AN95" s="172" t="str">
        <f t="shared" si="24"/>
        <v/>
      </c>
      <c r="AO95" s="121"/>
      <c r="AP95" s="121" t="str">
        <f>IFERROR(VLOOKUP($B95,Miljövärden!$B$2:$H$550,7,FALSE),"Nej, saknas")</f>
        <v>Nej</v>
      </c>
      <c r="AQ95" s="121" t="str">
        <f>IFERROR(VLOOKUP($B95,Miljövärden!$B$2:$H$550,6,FALSE),"Nej, saknas")</f>
        <v>Nej</v>
      </c>
      <c r="AU95">
        <f t="shared" si="25"/>
        <v>0</v>
      </c>
      <c r="AV95">
        <f t="shared" si="26"/>
        <v>0</v>
      </c>
      <c r="AW95">
        <f t="shared" si="27"/>
        <v>0</v>
      </c>
      <c r="AX95">
        <f t="shared" si="28"/>
        <v>0</v>
      </c>
      <c r="AZ95">
        <f t="shared" si="29"/>
        <v>0</v>
      </c>
      <c r="BC95">
        <f t="shared" si="30"/>
        <v>0</v>
      </c>
      <c r="BD95">
        <f t="shared" si="31"/>
        <v>0</v>
      </c>
      <c r="BE95">
        <f t="shared" si="32"/>
        <v>0</v>
      </c>
      <c r="BF95">
        <f t="shared" si="33"/>
        <v>0</v>
      </c>
      <c r="BG95">
        <f t="shared" si="34"/>
        <v>0</v>
      </c>
      <c r="BH95">
        <f>VLOOKUP(B95,Miljö!$B$1:$BX$482,MATCH("Fossilandel för ursprungspecificerad el ()",Miljö!$B$1:$I$1,0),FALSE)</f>
        <v>0</v>
      </c>
      <c r="BI95">
        <f>VLOOKUP(B95,Miljö!$B$1:$BX$482,MATCH("Kärnkraftsandel för ursprungsspecificerad el ()",Miljö!$B$1:$O$1,0),FALSE)</f>
        <v>0</v>
      </c>
      <c r="BJ95">
        <f t="shared" si="35"/>
        <v>0</v>
      </c>
      <c r="BK95" t="str">
        <f>VLOOKUP(B95,Miljö!$B$1:$O$482,MATCH("Fossil andel i procent (%)",Miljö!$B$1:$O$1,0),FALSE)</f>
        <v>ET</v>
      </c>
      <c r="BL95">
        <f t="shared" si="36"/>
        <v>0</v>
      </c>
      <c r="BO95" s="18" t="str">
        <f t="shared" si="37"/>
        <v/>
      </c>
      <c r="BP95" s="18" t="str">
        <f t="shared" si="38"/>
        <v/>
      </c>
      <c r="BQ95" s="18" t="str">
        <f t="shared" si="39"/>
        <v/>
      </c>
      <c r="BR95" s="18" t="str">
        <f t="shared" si="40"/>
        <v/>
      </c>
      <c r="BT95" s="27">
        <f t="shared" si="41"/>
        <v>0</v>
      </c>
      <c r="BW95" s="18" t="str">
        <f>IF(AP95="ja",VLOOKUP(B95,Miljövärden!$B$2:$H$550,MATCH("Total andel fossilt",Miljövärden!$B$2:$H$2,0),FALSE),"")</f>
        <v/>
      </c>
      <c r="BZ95" s="28" t="str">
        <f t="shared" si="42"/>
        <v/>
      </c>
      <c r="CA95" s="28" t="str">
        <f t="shared" si="43"/>
        <v/>
      </c>
    </row>
    <row r="96" spans="1:79" x14ac:dyDescent="0.25">
      <c r="A96" s="224" t="s">
        <v>324</v>
      </c>
      <c r="B96" s="210" t="s">
        <v>326</v>
      </c>
      <c r="C96" s="121">
        <f>VLOOKUP($B96,'Tillförd energi'!$B$1:$AI$720,MATCH(C$1,'Tillförd energi'!$B$1:$AQ$1,0),FALSE)</f>
        <v>0</v>
      </c>
      <c r="D96" s="121">
        <f>VLOOKUP($B96,'Tillförd energi'!$B$1:$AI$720,MATCH(D$1,'Tillförd energi'!$B$1:$AQ$1,0),FALSE)</f>
        <v>1.383</v>
      </c>
      <c r="E96" s="121">
        <f>VLOOKUP($B96,'Tillförd energi'!$B$1:$AI$720,MATCH(E$1,'Tillförd energi'!$B$1:$AQ$1,0),FALSE)</f>
        <v>0</v>
      </c>
      <c r="F96" s="121">
        <f>VLOOKUP($B96,'Tillförd energi'!$B$1:$AI$720,MATCH(F$1,'Tillförd energi'!$B$1:$AQ$1,0),FALSE)</f>
        <v>4.4450000000000003</v>
      </c>
      <c r="G96" s="121">
        <f>VLOOKUP($B96,'Tillförd energi'!$B$1:$AI$720,MATCH(G$1,'Tillförd energi'!$B$1:$AQ$1,0),FALSE)</f>
        <v>433.72</v>
      </c>
      <c r="H96" s="121">
        <f>VLOOKUP($B96,'Tillförd energi'!$B$1:$AI$720,MATCH(H$1,'Tillförd energi'!$B$1:$AQ$1,0),FALSE)</f>
        <v>0</v>
      </c>
      <c r="I96" s="121">
        <f>VLOOKUP($B96,'Tillförd energi'!$B$1:$AI$720,MATCH(I$1,'Tillförd energi'!$B$1:$AQ$1,0),FALSE)</f>
        <v>875.61599999999999</v>
      </c>
      <c r="J96" s="121">
        <f>VLOOKUP($B96,'Tillförd energi'!$B$1:$AI$720,MATCH(J$1,'Tillförd energi'!$B$1:$AQ$1,0),FALSE)</f>
        <v>67.346999999999994</v>
      </c>
      <c r="K96" s="121">
        <f>VLOOKUP($B96,'Tillförd energi'!$B$1:$AI$720,MATCH(K$1,'Tillförd energi'!$B$1:$AQ$1,0),FALSE)</f>
        <v>0</v>
      </c>
      <c r="L96" s="121">
        <f>VLOOKUP($B96,'Tillförd energi'!$B$1:$AI$720,MATCH(L$1,'Tillförd energi'!$B$1:$AQ$1,0),FALSE)</f>
        <v>0</v>
      </c>
      <c r="M96" s="121">
        <f>VLOOKUP($B96,'Tillförd energi'!$B$1:$AI$720,MATCH(M$1,'Tillförd energi'!$B$1:$AQ$1,0),FALSE)</f>
        <v>28.841000000000001</v>
      </c>
      <c r="N96" s="121">
        <f>VLOOKUP($B96,'Tillförd energi'!$B$1:$AI$720,MATCH(N$1,'Tillförd energi'!$B$1:$AQ$1,0),FALSE)</f>
        <v>56.429000000000002</v>
      </c>
      <c r="O96" s="121">
        <f>VLOOKUP($B96,'Tillförd energi'!$B$1:$AI$720,MATCH(O$1,'Tillförd energi'!$B$1:$AQ$1,0),FALSE)</f>
        <v>0</v>
      </c>
      <c r="P96" s="121">
        <f>VLOOKUP($B96,'Tillförd energi'!$B$1:$AI$720,MATCH(P$1,'Tillförd energi'!$B$1:$AQ$1,0),FALSE)</f>
        <v>22.571000000000002</v>
      </c>
      <c r="Q96" s="121">
        <f>VLOOKUP($B96,'Tillförd energi'!$B$1:$AI$720,MATCH(Q$1,'Tillförd energi'!$B$1:$AQ$1,0),FALSE)</f>
        <v>20.720500000000001</v>
      </c>
      <c r="R96" s="121">
        <f>VLOOKUP($B96,'Tillförd energi'!$B$1:$AI$720,MATCH(R$1,'Tillförd energi'!$B$1:$AQ$1,0),FALSE)</f>
        <v>144.43899999999999</v>
      </c>
      <c r="S96" s="121">
        <f>VLOOKUP($B96,'Tillförd energi'!$B$1:$AI$720,MATCH(S$1,'Tillförd energi'!$B$1:$AQ$1,0),FALSE)</f>
        <v>0</v>
      </c>
      <c r="T96" s="121">
        <f>VLOOKUP($B96,'Tillförd energi'!$B$1:$AI$720,MATCH(T$1,'Tillförd energi'!$B$1:$AQ$1,0),FALSE)</f>
        <v>0</v>
      </c>
      <c r="U96" s="121">
        <f>VLOOKUP($B96,'Tillförd energi'!$B$1:$AI$720,MATCH(U$1,'Tillförd energi'!$B$1:$AQ$1,0),FALSE)</f>
        <v>0</v>
      </c>
      <c r="V96" s="121">
        <f>VLOOKUP($B96,'Tillförd energi'!$B$1:$AI$720,MATCH(V$1,'Tillförd energi'!$B$1:$AQ$1,0),FALSE)</f>
        <v>0</v>
      </c>
      <c r="W96" s="121">
        <f>VLOOKUP($B96,'Tillförd energi'!$B$1:$AI$720,MATCH(W$1,'Tillförd energi'!$B$1:$AQ$1,0),FALSE)</f>
        <v>3.1179999999999999</v>
      </c>
      <c r="X96" s="121">
        <f>VLOOKUP($B96,'Tillförd energi'!$B$1:$AI$720,MATCH(X$1,'Tillförd energi'!$B$1:$AQ$1,0),FALSE)</f>
        <v>0</v>
      </c>
      <c r="Y96" s="121">
        <f>VLOOKUP($B96,'Tillförd energi'!$B$1:$AI$720,MATCH(Y$1,'Tillförd energi'!$B$1:$AQ$1,0),FALSE)</f>
        <v>0</v>
      </c>
      <c r="Z96" s="121">
        <f>VLOOKUP($B96,'Tillförd energi'!$B$1:$AI$720,MATCH(Z$1,'Tillförd energi'!$B$1:$AQ$1,0),FALSE)</f>
        <v>0</v>
      </c>
      <c r="AA96" s="121">
        <f>VLOOKUP($B96,'Tillförd energi'!$B$1:$AI$720,MATCH(AA$1,'Tillförd energi'!$B$1:$AQ$1,0),FALSE)</f>
        <v>121.14400000000001</v>
      </c>
      <c r="AB96" s="121">
        <f>VLOOKUP($B96,'Tillförd energi'!$B$1:$AI$720,MATCH(AB$1,'Tillförd energi'!$B$1:$AQ$1,0),FALSE)</f>
        <v>292.68400000000003</v>
      </c>
      <c r="AC96" s="121">
        <f>VLOOKUP($B96,'Tillförd energi'!$B$1:$AI$720,MATCH(AC$1,'Tillförd energi'!$B$1:$AQ$1,0),FALSE)</f>
        <v>386.97399999999999</v>
      </c>
      <c r="AD96" s="121">
        <f>VLOOKUP($B96,'Tillförd energi'!$B$1:$AI$720,MATCH(AD$1,'Tillförd energi'!$B$1:$AQ$1,0),FALSE)</f>
        <v>1212.21</v>
      </c>
      <c r="AE96" s="121">
        <f>VLOOKUP($B96,'Tillförd energi'!$B$1:$AI$720,MATCH(AE$1,'Tillförd energi'!$B$1:$AQ$1,0),FALSE)</f>
        <v>0</v>
      </c>
      <c r="AF96" s="121">
        <f>VLOOKUP($B96,'Tillförd energi'!$B$1:$AI$720,MATCH(AF$1,'Tillförd energi'!$B$1:$AQ$1,0),FALSE)</f>
        <v>49.591000000000001</v>
      </c>
      <c r="AG96" s="121">
        <f>IFERROR(VLOOKUP(B96,Miljö!$B$1:$AC$550,MATCH("Köpt mängd produktionsspecifik fjärrvärme:",Miljö!$B$1:$AC$1,0),FALSE)/1,0)</f>
        <v>98.918999999999997</v>
      </c>
      <c r="AH96" s="121"/>
      <c r="AI96" s="121">
        <f t="shared" si="22"/>
        <v>3721.2325000000001</v>
      </c>
      <c r="AJ96" s="121">
        <f t="shared" si="23"/>
        <v>3820.1514999999999</v>
      </c>
      <c r="AK96" s="121">
        <f>IF(ISERROR(1/VLOOKUP($B96,Leveranser!$B$1:$S$499,MATCH("såld värme (gwh)",Leveranser!$B$1:$S$1,0),FALSE)),"",VLOOKUP($B96,Leveranser!$B$1:$S$499,MATCH("såld värme (gwh)",Leveranser!$B$1:$S$1,0),FALSE))</f>
        <v>3363.53</v>
      </c>
      <c r="AL96" s="121">
        <f>VLOOKUP($B96,Leveranser!$B$1:$Y$499,MATCH("Totalt såld fjärrvärme till andra fjärrvärmeföretag",Leveranser!$B$1:$AA$1,0),FALSE)</f>
        <v>225.1</v>
      </c>
      <c r="AM96" s="121">
        <f>IF(ISERROR(1/VLOOKUP($B96,Miljö!$B$1:$S$500,MATCH("Såld mängd produktionsspecifik fjärrvärme (GWh)",Miljö!$B$1:$R$1,0),FALSE)),0,VLOOKUP($B96,Miljö!$B$1:$S$500,MATCH("Såld mängd produktionsspecifik fjärrvärme (GWh)",Miljö!$B$1:$R$1,0),FALSE))</f>
        <v>130.49700000000001</v>
      </c>
      <c r="AN96" s="172">
        <f t="shared" si="24"/>
        <v>0.88047031642593243</v>
      </c>
      <c r="AO96" s="121"/>
      <c r="AP96" s="121" t="str">
        <f>IFERROR(VLOOKUP($B96,Miljövärden!$B$2:$H$550,7,FALSE),"Nej, saknas")</f>
        <v>Ja</v>
      </c>
      <c r="AQ96" s="121" t="str">
        <f>IFERROR(VLOOKUP($B96,Miljövärden!$B$2:$H$550,6,FALSE),"Nej, saknas")</f>
        <v>Nej</v>
      </c>
      <c r="AU96">
        <f t="shared" si="25"/>
        <v>170.73500000000001</v>
      </c>
      <c r="AV96">
        <f t="shared" si="26"/>
        <v>0</v>
      </c>
      <c r="AW96">
        <f t="shared" si="27"/>
        <v>128.56150000000002</v>
      </c>
      <c r="AX96">
        <f t="shared" si="28"/>
        <v>144.43899999999999</v>
      </c>
      <c r="AZ96">
        <f t="shared" si="29"/>
        <v>276.11849999999998</v>
      </c>
      <c r="BC96">
        <f t="shared" si="30"/>
        <v>439.548</v>
      </c>
      <c r="BD96">
        <f t="shared" si="31"/>
        <v>0</v>
      </c>
      <c r="BE96">
        <f t="shared" si="32"/>
        <v>276.11849999999998</v>
      </c>
      <c r="BF96">
        <f t="shared" si="33"/>
        <v>2834.8310000000001</v>
      </c>
      <c r="BG96">
        <f t="shared" si="34"/>
        <v>170.73500000000001</v>
      </c>
      <c r="BH96">
        <f>VLOOKUP(B96,Miljö!$B$1:$BX$482,MATCH("Fossilandel för ursprungspecificerad el ()",Miljö!$B$1:$I$1,0),FALSE)</f>
        <v>0</v>
      </c>
      <c r="BI96">
        <f>VLOOKUP(B96,Miljö!$B$1:$BX$482,MATCH("Kärnkraftsandel för ursprungsspecificerad el ()",Miljö!$B$1:$O$1,0),FALSE)</f>
        <v>0</v>
      </c>
      <c r="BJ96">
        <f t="shared" si="35"/>
        <v>98.918999999999997</v>
      </c>
      <c r="BK96">
        <f>VLOOKUP(B96,Miljö!$B$1:$O$482,MATCH("Fossil andel i procent (%)",Miljö!$B$1:$O$1,0),FALSE)</f>
        <v>0</v>
      </c>
      <c r="BL96">
        <f t="shared" si="36"/>
        <v>3820.1515000000004</v>
      </c>
      <c r="BO96" s="18">
        <f t="shared" si="37"/>
        <v>0.11506035820830665</v>
      </c>
      <c r="BP96" s="18">
        <f t="shared" si="38"/>
        <v>2.5893999230135242E-2</v>
      </c>
      <c r="BQ96" s="18">
        <f t="shared" si="39"/>
        <v>0.11697271691973471</v>
      </c>
      <c r="BR96" s="18">
        <f t="shared" si="40"/>
        <v>0.74207292564182337</v>
      </c>
      <c r="BT96" s="27">
        <f t="shared" si="41"/>
        <v>1</v>
      </c>
      <c r="BW96" s="18">
        <f>IF(AP96="ja",VLOOKUP(B96,Miljövärden!$B$2:$H$550,MATCH("Total andel fossilt",Miljövärden!$B$2:$H$2,0),FALSE),"")</f>
        <v>0.115129</v>
      </c>
      <c r="BZ96" s="28">
        <f t="shared" si="42"/>
        <v>6.8641791693344056E-5</v>
      </c>
      <c r="CA96" s="28">
        <f t="shared" si="43"/>
        <v>0</v>
      </c>
    </row>
    <row r="97" spans="1:79" x14ac:dyDescent="0.25">
      <c r="A97" s="224" t="s">
        <v>324</v>
      </c>
      <c r="B97" s="210" t="s">
        <v>328</v>
      </c>
      <c r="C97" s="121">
        <f>VLOOKUP($B97,'Tillförd energi'!$B$1:$AI$720,MATCH(C$1,'Tillförd energi'!$B$1:$AQ$1,0),FALSE)</f>
        <v>0</v>
      </c>
      <c r="D97" s="121">
        <f>VLOOKUP($B97,'Tillförd energi'!$B$1:$AI$720,MATCH(D$1,'Tillförd energi'!$B$1:$AQ$1,0),FALSE)</f>
        <v>0</v>
      </c>
      <c r="E97" s="121">
        <f>VLOOKUP($B97,'Tillförd energi'!$B$1:$AI$720,MATCH(E$1,'Tillförd energi'!$B$1:$AQ$1,0),FALSE)</f>
        <v>0</v>
      </c>
      <c r="F97" s="121">
        <f>VLOOKUP($B97,'Tillförd energi'!$B$1:$AI$720,MATCH(F$1,'Tillförd energi'!$B$1:$AQ$1,0),FALSE)</f>
        <v>0</v>
      </c>
      <c r="G97" s="121">
        <f>VLOOKUP($B97,'Tillförd energi'!$B$1:$AI$720,MATCH(G$1,'Tillförd energi'!$B$1:$AQ$1,0),FALSE)</f>
        <v>0</v>
      </c>
      <c r="H97" s="121">
        <f>VLOOKUP($B97,'Tillförd energi'!$B$1:$AI$720,MATCH(H$1,'Tillförd energi'!$B$1:$AQ$1,0),FALSE)</f>
        <v>0</v>
      </c>
      <c r="I97" s="121">
        <f>VLOOKUP($B97,'Tillförd energi'!$B$1:$AI$720,MATCH(I$1,'Tillförd energi'!$B$1:$AQ$1,0),FALSE)</f>
        <v>0</v>
      </c>
      <c r="J97" s="121">
        <f>VLOOKUP($B97,'Tillförd energi'!$B$1:$AI$720,MATCH(J$1,'Tillförd energi'!$B$1:$AQ$1,0),FALSE)</f>
        <v>0</v>
      </c>
      <c r="K97" s="121">
        <f>VLOOKUP($B97,'Tillförd energi'!$B$1:$AI$720,MATCH(K$1,'Tillförd energi'!$B$1:$AQ$1,0),FALSE)</f>
        <v>0</v>
      </c>
      <c r="L97" s="121">
        <f>VLOOKUP($B97,'Tillförd energi'!$B$1:$AI$720,MATCH(L$1,'Tillförd energi'!$B$1:$AQ$1,0),FALSE)</f>
        <v>0</v>
      </c>
      <c r="M97" s="121">
        <f>VLOOKUP($B97,'Tillförd energi'!$B$1:$AI$720,MATCH(M$1,'Tillförd energi'!$B$1:$AQ$1,0),FALSE)</f>
        <v>31.954999999999998</v>
      </c>
      <c r="N97" s="121">
        <f>VLOOKUP($B97,'Tillförd energi'!$B$1:$AI$720,MATCH(N$1,'Tillförd energi'!$B$1:$AQ$1,0),FALSE)</f>
        <v>62.521999999999998</v>
      </c>
      <c r="O97" s="121">
        <f>VLOOKUP($B97,'Tillförd energi'!$B$1:$AI$720,MATCH(O$1,'Tillförd energi'!$B$1:$AQ$1,0),FALSE)</f>
        <v>0</v>
      </c>
      <c r="P97" s="121">
        <f>VLOOKUP($B97,'Tillförd energi'!$B$1:$AI$720,MATCH(P$1,'Tillförd energi'!$B$1:$AQ$1,0),FALSE)</f>
        <v>25.009</v>
      </c>
      <c r="Q97" s="121">
        <f>VLOOKUP($B97,'Tillförd energi'!$B$1:$AI$720,MATCH(Q$1,'Tillförd energi'!$B$1:$AQ$1,0),FALSE)</f>
        <v>19.451000000000001</v>
      </c>
      <c r="R97" s="121">
        <f>VLOOKUP($B97,'Tillförd energi'!$B$1:$AI$720,MATCH(R$1,'Tillförd energi'!$B$1:$AQ$1,0),FALSE)</f>
        <v>0</v>
      </c>
      <c r="S97" s="121">
        <f>VLOOKUP($B97,'Tillförd energi'!$B$1:$AI$720,MATCH(S$1,'Tillförd energi'!$B$1:$AQ$1,0),FALSE)</f>
        <v>0</v>
      </c>
      <c r="T97" s="121">
        <f>VLOOKUP($B97,'Tillförd energi'!$B$1:$AI$720,MATCH(T$1,'Tillförd energi'!$B$1:$AQ$1,0),FALSE)</f>
        <v>0</v>
      </c>
      <c r="U97" s="121">
        <f>VLOOKUP($B97,'Tillförd energi'!$B$1:$AI$720,MATCH(U$1,'Tillförd energi'!$B$1:$AQ$1,0),FALSE)</f>
        <v>0</v>
      </c>
      <c r="V97" s="121">
        <f>VLOOKUP($B97,'Tillförd energi'!$B$1:$AI$720,MATCH(V$1,'Tillförd energi'!$B$1:$AQ$1,0),FALSE)</f>
        <v>0</v>
      </c>
      <c r="W97" s="121">
        <f>VLOOKUP($B97,'Tillförd energi'!$B$1:$AI$720,MATCH(W$1,'Tillförd energi'!$B$1:$AQ$1,0),FALSE)</f>
        <v>0.550315</v>
      </c>
      <c r="X97" s="121">
        <f>VLOOKUP($B97,'Tillförd energi'!$B$1:$AI$720,MATCH(X$1,'Tillförd energi'!$B$1:$AQ$1,0),FALSE)</f>
        <v>0</v>
      </c>
      <c r="Y97" s="121">
        <f>VLOOKUP($B97,'Tillförd energi'!$B$1:$AI$720,MATCH(Y$1,'Tillförd energi'!$B$1:$AQ$1,0),FALSE)</f>
        <v>0</v>
      </c>
      <c r="Z97" s="121">
        <f>VLOOKUP($B97,'Tillförd energi'!$B$1:$AI$720,MATCH(Z$1,'Tillförd energi'!$B$1:$AQ$1,0),FALSE)</f>
        <v>0</v>
      </c>
      <c r="AA97" s="121">
        <f>VLOOKUP($B97,'Tillförd energi'!$B$1:$AI$720,MATCH(AA$1,'Tillförd energi'!$B$1:$AQ$1,0),FALSE)</f>
        <v>0</v>
      </c>
      <c r="AB97" s="121">
        <f>VLOOKUP($B97,'Tillförd energi'!$B$1:$AI$720,MATCH(AB$1,'Tillförd energi'!$B$1:$AQ$1,0),FALSE)</f>
        <v>0</v>
      </c>
      <c r="AC97" s="121">
        <f>VLOOKUP($B97,'Tillförd energi'!$B$1:$AI$720,MATCH(AC$1,'Tillförd energi'!$B$1:$AQ$1,0),FALSE)</f>
        <v>41.618000000000002</v>
      </c>
      <c r="AD97" s="121">
        <f>VLOOKUP($B97,'Tillförd energi'!$B$1:$AI$720,MATCH(AD$1,'Tillförd energi'!$B$1:$AQ$1,0),FALSE)</f>
        <v>0</v>
      </c>
      <c r="AE97" s="121">
        <f>VLOOKUP($B97,'Tillförd energi'!$B$1:$AI$720,MATCH(AE$1,'Tillförd energi'!$B$1:$AQ$1,0),FALSE)</f>
        <v>0</v>
      </c>
      <c r="AF97" s="121">
        <f>VLOOKUP($B97,'Tillförd energi'!$B$1:$AI$720,MATCH(AF$1,'Tillförd energi'!$B$1:$AQ$1,0),FALSE)</f>
        <v>7.5789999999999997</v>
      </c>
      <c r="AG97" s="121">
        <f>IFERROR(VLOOKUP(B97,Miljö!$B$1:$AC$550,MATCH("Köpt mängd produktionsspecifik fjärrvärme:",Miljö!$B$1:$AC$1,0),FALSE)/1,0)</f>
        <v>0</v>
      </c>
      <c r="AH97" s="121"/>
      <c r="AI97" s="121">
        <f t="shared" si="22"/>
        <v>188.68431500000003</v>
      </c>
      <c r="AJ97" s="121">
        <f t="shared" si="23"/>
        <v>188.68431500000003</v>
      </c>
      <c r="AK97" s="121">
        <f>IF(ISERROR(1/VLOOKUP($B97,Leveranser!$B$1:$S$499,MATCH("såld värme (gwh)",Leveranser!$B$1:$S$1,0),FALSE)),"",VLOOKUP($B97,Leveranser!$B$1:$S$499,MATCH("såld värme (gwh)",Leveranser!$B$1:$S$1,0),FALSE))</f>
        <v>165.02</v>
      </c>
      <c r="AL97" s="121">
        <f>VLOOKUP($B97,Leveranser!$B$1:$Y$499,MATCH("Totalt såld fjärrvärme till andra fjärrvärmeföretag",Leveranser!$B$1:$AA$1,0),FALSE)</f>
        <v>0</v>
      </c>
      <c r="AM97" s="121">
        <f>IF(ISERROR(1/VLOOKUP($B97,Miljö!$B$1:$S$500,MATCH("Såld mängd produktionsspecifik fjärrvärme (GWh)",Miljö!$B$1:$R$1,0),FALSE)),0,VLOOKUP($B97,Miljö!$B$1:$S$500,MATCH("Såld mängd produktionsspecifik fjärrvärme (GWh)",Miljö!$B$1:$R$1,0),FALSE))</f>
        <v>0</v>
      </c>
      <c r="AN97" s="172">
        <f t="shared" si="24"/>
        <v>0.87458250040550534</v>
      </c>
      <c r="AO97" s="121"/>
      <c r="AP97" s="121" t="str">
        <f>IFERROR(VLOOKUP($B97,Miljövärden!$B$2:$H$550,7,FALSE),"Nej, saknas")</f>
        <v>Ja</v>
      </c>
      <c r="AQ97" s="121" t="str">
        <f>IFERROR(VLOOKUP($B97,Miljövärden!$B$2:$H$550,6,FALSE),"Nej, saknas")</f>
        <v>Ja</v>
      </c>
      <c r="AU97">
        <f t="shared" si="25"/>
        <v>7.5789999999999997</v>
      </c>
      <c r="AV97">
        <f t="shared" si="26"/>
        <v>0</v>
      </c>
      <c r="AW97">
        <f t="shared" si="27"/>
        <v>138.93700000000001</v>
      </c>
      <c r="AX97">
        <f t="shared" si="28"/>
        <v>0</v>
      </c>
      <c r="AZ97">
        <f t="shared" si="29"/>
        <v>139.48731500000002</v>
      </c>
      <c r="BC97">
        <f t="shared" si="30"/>
        <v>0</v>
      </c>
      <c r="BD97">
        <f t="shared" si="31"/>
        <v>0</v>
      </c>
      <c r="BE97">
        <f t="shared" si="32"/>
        <v>139.48731500000002</v>
      </c>
      <c r="BF97">
        <f t="shared" si="33"/>
        <v>41.618000000000002</v>
      </c>
      <c r="BG97">
        <f t="shared" si="34"/>
        <v>7.5789999999999997</v>
      </c>
      <c r="BH97">
        <f>VLOOKUP(B97,Miljö!$B$1:$BX$482,MATCH("Fossilandel för ursprungspecificerad el ()",Miljö!$B$1:$I$1,0),FALSE)</f>
        <v>0</v>
      </c>
      <c r="BI97">
        <f>VLOOKUP(B97,Miljö!$B$1:$BX$482,MATCH("Kärnkraftsandel för ursprungsspecificerad el ()",Miljö!$B$1:$O$1,0),FALSE)</f>
        <v>0</v>
      </c>
      <c r="BJ97">
        <f t="shared" si="35"/>
        <v>0</v>
      </c>
      <c r="BK97" t="str">
        <f>VLOOKUP(B97,Miljö!$B$1:$O$482,MATCH("Fossil andel i procent (%)",Miljö!$B$1:$O$1,0),FALSE)</f>
        <v>ET</v>
      </c>
      <c r="BL97">
        <f t="shared" si="36"/>
        <v>188.68431500000003</v>
      </c>
      <c r="BO97" s="18">
        <f t="shared" si="37"/>
        <v>0</v>
      </c>
      <c r="BP97" s="18">
        <f t="shared" si="38"/>
        <v>0</v>
      </c>
      <c r="BQ97" s="18">
        <f t="shared" si="39"/>
        <v>0.77943052659146583</v>
      </c>
      <c r="BR97" s="18">
        <f t="shared" si="40"/>
        <v>0.22056947340853422</v>
      </c>
      <c r="BT97" s="27">
        <f t="shared" si="41"/>
        <v>1</v>
      </c>
      <c r="BW97" s="18">
        <f>IF(AP97="ja",VLOOKUP(B97,Miljövärden!$B$2:$H$550,MATCH("Total andel fossilt",Miljövärden!$B$2:$H$2,0),FALSE),"")</f>
        <v>0</v>
      </c>
      <c r="BZ97" s="28">
        <f t="shared" si="42"/>
        <v>0</v>
      </c>
      <c r="CA97" s="28">
        <f t="shared" si="43"/>
        <v>0</v>
      </c>
    </row>
    <row r="98" spans="1:79" x14ac:dyDescent="0.25">
      <c r="A98" s="224" t="s">
        <v>324</v>
      </c>
      <c r="B98" s="210" t="s">
        <v>324</v>
      </c>
      <c r="C98" s="121">
        <f>VLOOKUP($B98,'Tillförd energi'!$B$1:$AI$720,MATCH(C$1,'Tillförd energi'!$B$1:$AQ$1,0),FALSE)</f>
        <v>0</v>
      </c>
      <c r="D98" s="121">
        <f>VLOOKUP($B98,'Tillförd energi'!$B$1:$AI$720,MATCH(D$1,'Tillförd energi'!$B$1:$AQ$1,0),FALSE)</f>
        <v>0</v>
      </c>
      <c r="E98" s="121">
        <f>VLOOKUP($B98,'Tillförd energi'!$B$1:$AI$720,MATCH(E$1,'Tillförd energi'!$B$1:$AQ$1,0),FALSE)</f>
        <v>0</v>
      </c>
      <c r="F98" s="121">
        <f>VLOOKUP($B98,'Tillförd energi'!$B$1:$AI$720,MATCH(F$1,'Tillförd energi'!$B$1:$AQ$1,0),FALSE)</f>
        <v>0</v>
      </c>
      <c r="G98" s="121">
        <f>VLOOKUP($B98,'Tillförd energi'!$B$1:$AI$720,MATCH(G$1,'Tillförd energi'!$B$1:$AQ$1,0),FALSE)</f>
        <v>0</v>
      </c>
      <c r="H98" s="121">
        <f>VLOOKUP($B98,'Tillförd energi'!$B$1:$AI$720,MATCH(H$1,'Tillförd energi'!$B$1:$AQ$1,0),FALSE)</f>
        <v>0</v>
      </c>
      <c r="I98" s="121">
        <f>VLOOKUP($B98,'Tillförd energi'!$B$1:$AI$720,MATCH(I$1,'Tillförd energi'!$B$1:$AQ$1,0),FALSE)</f>
        <v>0</v>
      </c>
      <c r="J98" s="121">
        <f>VLOOKUP($B98,'Tillförd energi'!$B$1:$AI$720,MATCH(J$1,'Tillförd energi'!$B$1:$AQ$1,0),FALSE)</f>
        <v>0</v>
      </c>
      <c r="K98" s="121">
        <f>VLOOKUP($B98,'Tillförd energi'!$B$1:$AI$720,MATCH(K$1,'Tillförd energi'!$B$1:$AQ$1,0),FALSE)</f>
        <v>0</v>
      </c>
      <c r="L98" s="121">
        <f>VLOOKUP($B98,'Tillförd energi'!$B$1:$AI$720,MATCH(L$1,'Tillförd energi'!$B$1:$AQ$1,0),FALSE)</f>
        <v>0</v>
      </c>
      <c r="M98" s="121">
        <f>VLOOKUP($B98,'Tillförd energi'!$B$1:$AI$720,MATCH(M$1,'Tillförd energi'!$B$1:$AQ$1,0),FALSE)</f>
        <v>0</v>
      </c>
      <c r="N98" s="121">
        <f>VLOOKUP($B98,'Tillförd energi'!$B$1:$AI$720,MATCH(N$1,'Tillförd energi'!$B$1:$AQ$1,0),FALSE)</f>
        <v>0</v>
      </c>
      <c r="O98" s="121">
        <f>VLOOKUP($B98,'Tillförd energi'!$B$1:$AI$720,MATCH(O$1,'Tillförd energi'!$B$1:$AQ$1,0),FALSE)</f>
        <v>0</v>
      </c>
      <c r="P98" s="121">
        <f>VLOOKUP($B98,'Tillförd energi'!$B$1:$AI$720,MATCH(P$1,'Tillförd energi'!$B$1:$AQ$1,0),FALSE)</f>
        <v>0</v>
      </c>
      <c r="Q98" s="121">
        <f>VLOOKUP($B98,'Tillförd energi'!$B$1:$AI$720,MATCH(Q$1,'Tillförd energi'!$B$1:$AQ$1,0),FALSE)</f>
        <v>0</v>
      </c>
      <c r="R98" s="121">
        <f>VLOOKUP($B98,'Tillförd energi'!$B$1:$AI$720,MATCH(R$1,'Tillförd energi'!$B$1:$AQ$1,0),FALSE)</f>
        <v>0</v>
      </c>
      <c r="S98" s="121">
        <f>VLOOKUP($B98,'Tillförd energi'!$B$1:$AI$720,MATCH(S$1,'Tillförd energi'!$B$1:$AQ$1,0),FALSE)</f>
        <v>0</v>
      </c>
      <c r="T98" s="121">
        <f>VLOOKUP($B98,'Tillförd energi'!$B$1:$AI$720,MATCH(T$1,'Tillförd energi'!$B$1:$AQ$1,0),FALSE)</f>
        <v>0</v>
      </c>
      <c r="U98" s="121">
        <f>VLOOKUP($B98,'Tillförd energi'!$B$1:$AI$720,MATCH(U$1,'Tillförd energi'!$B$1:$AQ$1,0),FALSE)</f>
        <v>0</v>
      </c>
      <c r="V98" s="121">
        <f>VLOOKUP($B98,'Tillförd energi'!$B$1:$AI$720,MATCH(V$1,'Tillförd energi'!$B$1:$AQ$1,0),FALSE)</f>
        <v>0</v>
      </c>
      <c r="W98" s="121">
        <f>VLOOKUP($B98,'Tillförd energi'!$B$1:$AI$720,MATCH(W$1,'Tillförd energi'!$B$1:$AQ$1,0),FALSE)</f>
        <v>0</v>
      </c>
      <c r="X98" s="121">
        <f>VLOOKUP($B98,'Tillförd energi'!$B$1:$AI$720,MATCH(X$1,'Tillförd energi'!$B$1:$AQ$1,0),FALSE)</f>
        <v>0</v>
      </c>
      <c r="Y98" s="121">
        <f>VLOOKUP($B98,'Tillförd energi'!$B$1:$AI$720,MATCH(Y$1,'Tillförd energi'!$B$1:$AQ$1,0),FALSE)</f>
        <v>0</v>
      </c>
      <c r="Z98" s="121">
        <f>VLOOKUP($B98,'Tillförd energi'!$B$1:$AI$720,MATCH(Z$1,'Tillförd energi'!$B$1:$AQ$1,0),FALSE)</f>
        <v>0</v>
      </c>
      <c r="AA98" s="121">
        <f>VLOOKUP($B98,'Tillförd energi'!$B$1:$AI$720,MATCH(AA$1,'Tillförd energi'!$B$1:$AQ$1,0),FALSE)</f>
        <v>0</v>
      </c>
      <c r="AB98" s="121">
        <f>VLOOKUP($B98,'Tillförd energi'!$B$1:$AI$720,MATCH(AB$1,'Tillförd energi'!$B$1:$AQ$1,0),FALSE)</f>
        <v>0</v>
      </c>
      <c r="AC98" s="121">
        <f>VLOOKUP($B98,'Tillförd energi'!$B$1:$AI$720,MATCH(AC$1,'Tillförd energi'!$B$1:$AQ$1,0),FALSE)</f>
        <v>0</v>
      </c>
      <c r="AD98" s="121">
        <f>VLOOKUP($B98,'Tillförd energi'!$B$1:$AI$720,MATCH(AD$1,'Tillförd energi'!$B$1:$AQ$1,0),FALSE)</f>
        <v>0</v>
      </c>
      <c r="AE98" s="121">
        <f>VLOOKUP($B98,'Tillförd energi'!$B$1:$AI$720,MATCH(AE$1,'Tillförd energi'!$B$1:$AQ$1,0),FALSE)</f>
        <v>0</v>
      </c>
      <c r="AF98" s="121">
        <f>VLOOKUP($B98,'Tillförd energi'!$B$1:$AI$720,MATCH(AF$1,'Tillförd energi'!$B$1:$AQ$1,0),FALSE)</f>
        <v>0</v>
      </c>
      <c r="AG98" s="121">
        <f>IFERROR(VLOOKUP(B98,Miljö!$B$1:$AC$550,MATCH("Köpt mängd produktionsspecifik fjärrvärme:",Miljö!$B$1:$AC$1,0),FALSE)/1,0)</f>
        <v>0</v>
      </c>
      <c r="AH98" s="121"/>
      <c r="AI98" s="121">
        <f t="shared" si="22"/>
        <v>0</v>
      </c>
      <c r="AJ98" s="121">
        <f t="shared" si="23"/>
        <v>0</v>
      </c>
      <c r="AK98" s="121" t="str">
        <f>IF(ISERROR(1/VLOOKUP($B98,Leveranser!$B$1:$S$499,MATCH("såld värme (gwh)",Leveranser!$B$1:$S$1,0),FALSE)),"",VLOOKUP($B98,Leveranser!$B$1:$S$499,MATCH("såld värme (gwh)",Leveranser!$B$1:$S$1,0),FALSE))</f>
        <v/>
      </c>
      <c r="AL98" s="121">
        <f>VLOOKUP($B98,Leveranser!$B$1:$Y$499,MATCH("Totalt såld fjärrvärme till andra fjärrvärmeföretag",Leveranser!$B$1:$AA$1,0),FALSE)</f>
        <v>0</v>
      </c>
      <c r="AM98" s="121">
        <f>IF(ISERROR(1/VLOOKUP($B98,Miljö!$B$1:$S$500,MATCH("Såld mängd produktionsspecifik fjärrvärme (GWh)",Miljö!$B$1:$R$1,0),FALSE)),0,VLOOKUP($B98,Miljö!$B$1:$S$500,MATCH("Såld mängd produktionsspecifik fjärrvärme (GWh)",Miljö!$B$1:$R$1,0),FALSE))</f>
        <v>0</v>
      </c>
      <c r="AN98" s="172" t="str">
        <f t="shared" si="24"/>
        <v/>
      </c>
      <c r="AO98" s="121"/>
      <c r="AP98" s="121" t="str">
        <f>IFERROR(VLOOKUP($B98,Miljövärden!$B$2:$H$550,7,FALSE),"Nej, saknas")</f>
        <v>Nej</v>
      </c>
      <c r="AQ98" s="121" t="str">
        <f>IFERROR(VLOOKUP($B98,Miljövärden!$B$2:$H$550,6,FALSE),"Nej, saknas")</f>
        <v>Nej</v>
      </c>
      <c r="AU98">
        <f t="shared" si="25"/>
        <v>0</v>
      </c>
      <c r="AV98">
        <f t="shared" si="26"/>
        <v>0</v>
      </c>
      <c r="AW98">
        <f t="shared" si="27"/>
        <v>0</v>
      </c>
      <c r="AX98">
        <f t="shared" si="28"/>
        <v>0</v>
      </c>
      <c r="AZ98">
        <f t="shared" si="29"/>
        <v>0</v>
      </c>
      <c r="BC98">
        <f t="shared" si="30"/>
        <v>0</v>
      </c>
      <c r="BD98">
        <f t="shared" si="31"/>
        <v>0</v>
      </c>
      <c r="BE98">
        <f t="shared" si="32"/>
        <v>0</v>
      </c>
      <c r="BF98">
        <f t="shared" si="33"/>
        <v>0</v>
      </c>
      <c r="BG98">
        <f t="shared" si="34"/>
        <v>0</v>
      </c>
      <c r="BH98">
        <f>VLOOKUP(B98,Miljö!$B$1:$BX$482,MATCH("Fossilandel för ursprungspecificerad el ()",Miljö!$B$1:$I$1,0),FALSE)</f>
        <v>0</v>
      </c>
      <c r="BI98">
        <f>VLOOKUP(B98,Miljö!$B$1:$BX$482,MATCH("Kärnkraftsandel för ursprungsspecificerad el ()",Miljö!$B$1:$O$1,0),FALSE)</f>
        <v>0</v>
      </c>
      <c r="BJ98">
        <f t="shared" si="35"/>
        <v>0</v>
      </c>
      <c r="BK98" t="str">
        <f>VLOOKUP(B98,Miljö!$B$1:$O$482,MATCH("Fossil andel i procent (%)",Miljö!$B$1:$O$1,0),FALSE)</f>
        <v>ET</v>
      </c>
      <c r="BL98">
        <f t="shared" si="36"/>
        <v>0</v>
      </c>
      <c r="BO98" s="18" t="str">
        <f t="shared" si="37"/>
        <v/>
      </c>
      <c r="BP98" s="18" t="str">
        <f t="shared" si="38"/>
        <v/>
      </c>
      <c r="BQ98" s="18" t="str">
        <f t="shared" si="39"/>
        <v/>
      </c>
      <c r="BR98" s="18" t="str">
        <f t="shared" si="40"/>
        <v/>
      </c>
      <c r="BT98" s="27">
        <f t="shared" si="41"/>
        <v>0</v>
      </c>
      <c r="BW98" s="18" t="str">
        <f>IF(AP98="ja",VLOOKUP(B98,Miljövärden!$B$2:$H$550,MATCH("Total andel fossilt",Miljövärden!$B$2:$H$2,0),FALSE),"")</f>
        <v/>
      </c>
      <c r="BZ98" s="28" t="str">
        <f t="shared" si="42"/>
        <v/>
      </c>
      <c r="CA98" s="28" t="str">
        <f t="shared" si="43"/>
        <v/>
      </c>
    </row>
    <row r="99" spans="1:79" x14ac:dyDescent="0.25">
      <c r="A99" s="224" t="s">
        <v>324</v>
      </c>
      <c r="B99" s="210" t="s">
        <v>329</v>
      </c>
      <c r="C99" s="121">
        <f>VLOOKUP($B99,'Tillförd energi'!$B$1:$AI$720,MATCH(C$1,'Tillförd energi'!$B$1:$AQ$1,0),FALSE)</f>
        <v>0</v>
      </c>
      <c r="D99" s="121">
        <f>VLOOKUP($B99,'Tillförd energi'!$B$1:$AI$720,MATCH(D$1,'Tillförd energi'!$B$1:$AQ$1,0),FALSE)</f>
        <v>0</v>
      </c>
      <c r="E99" s="121">
        <f>VLOOKUP($B99,'Tillförd energi'!$B$1:$AI$720,MATCH(E$1,'Tillförd energi'!$B$1:$AQ$1,0),FALSE)</f>
        <v>0</v>
      </c>
      <c r="F99" s="121">
        <f>VLOOKUP($B99,'Tillförd energi'!$B$1:$AI$720,MATCH(F$1,'Tillförd energi'!$B$1:$AQ$1,0),FALSE)</f>
        <v>0</v>
      </c>
      <c r="G99" s="121">
        <f>VLOOKUP($B99,'Tillförd energi'!$B$1:$AI$720,MATCH(G$1,'Tillförd energi'!$B$1:$AQ$1,0),FALSE)</f>
        <v>0</v>
      </c>
      <c r="H99" s="121">
        <f>VLOOKUP($B99,'Tillförd energi'!$B$1:$AI$720,MATCH(H$1,'Tillförd energi'!$B$1:$AQ$1,0),FALSE)</f>
        <v>0</v>
      </c>
      <c r="I99" s="121">
        <f>VLOOKUP($B99,'Tillförd energi'!$B$1:$AI$720,MATCH(I$1,'Tillförd energi'!$B$1:$AQ$1,0),FALSE)</f>
        <v>0</v>
      </c>
      <c r="J99" s="121">
        <f>VLOOKUP($B99,'Tillförd energi'!$B$1:$AI$720,MATCH(J$1,'Tillförd energi'!$B$1:$AQ$1,0),FALSE)</f>
        <v>0</v>
      </c>
      <c r="K99" s="121">
        <f>VLOOKUP($B99,'Tillförd energi'!$B$1:$AI$720,MATCH(K$1,'Tillförd energi'!$B$1:$AQ$1,0),FALSE)</f>
        <v>0</v>
      </c>
      <c r="L99" s="121">
        <f>VLOOKUP($B99,'Tillförd energi'!$B$1:$AI$720,MATCH(L$1,'Tillförd energi'!$B$1:$AQ$1,0),FALSE)</f>
        <v>0</v>
      </c>
      <c r="M99" s="121">
        <f>VLOOKUP($B99,'Tillförd energi'!$B$1:$AI$720,MATCH(M$1,'Tillförd energi'!$B$1:$AQ$1,0),FALSE)</f>
        <v>0</v>
      </c>
      <c r="N99" s="121">
        <f>VLOOKUP($B99,'Tillförd energi'!$B$1:$AI$720,MATCH(N$1,'Tillförd energi'!$B$1:$AQ$1,0),FALSE)</f>
        <v>0</v>
      </c>
      <c r="O99" s="121">
        <f>VLOOKUP($B99,'Tillförd energi'!$B$1:$AI$720,MATCH(O$1,'Tillförd energi'!$B$1:$AQ$1,0),FALSE)</f>
        <v>0</v>
      </c>
      <c r="P99" s="121">
        <f>VLOOKUP($B99,'Tillförd energi'!$B$1:$AI$720,MATCH(P$1,'Tillförd energi'!$B$1:$AQ$1,0),FALSE)</f>
        <v>0</v>
      </c>
      <c r="Q99" s="121">
        <f>VLOOKUP($B99,'Tillförd energi'!$B$1:$AI$720,MATCH(Q$1,'Tillförd energi'!$B$1:$AQ$1,0),FALSE)</f>
        <v>0</v>
      </c>
      <c r="R99" s="121">
        <f>VLOOKUP($B99,'Tillförd energi'!$B$1:$AI$720,MATCH(R$1,'Tillförd energi'!$B$1:$AQ$1,0),FALSE)</f>
        <v>0</v>
      </c>
      <c r="S99" s="121">
        <f>VLOOKUP($B99,'Tillförd energi'!$B$1:$AI$720,MATCH(S$1,'Tillförd energi'!$B$1:$AQ$1,0),FALSE)</f>
        <v>0</v>
      </c>
      <c r="T99" s="121">
        <f>VLOOKUP($B99,'Tillförd energi'!$B$1:$AI$720,MATCH(T$1,'Tillförd energi'!$B$1:$AQ$1,0),FALSE)</f>
        <v>0</v>
      </c>
      <c r="U99" s="121">
        <f>VLOOKUP($B99,'Tillförd energi'!$B$1:$AI$720,MATCH(U$1,'Tillförd energi'!$B$1:$AQ$1,0),FALSE)</f>
        <v>0</v>
      </c>
      <c r="V99" s="121">
        <f>VLOOKUP($B99,'Tillförd energi'!$B$1:$AI$720,MATCH(V$1,'Tillförd energi'!$B$1:$AQ$1,0),FALSE)</f>
        <v>0</v>
      </c>
      <c r="W99" s="121">
        <f>VLOOKUP($B99,'Tillförd energi'!$B$1:$AI$720,MATCH(W$1,'Tillförd energi'!$B$1:$AQ$1,0),FALSE)</f>
        <v>0</v>
      </c>
      <c r="X99" s="121">
        <f>VLOOKUP($B99,'Tillförd energi'!$B$1:$AI$720,MATCH(X$1,'Tillförd energi'!$B$1:$AQ$1,0),FALSE)</f>
        <v>0</v>
      </c>
      <c r="Y99" s="121">
        <f>VLOOKUP($B99,'Tillförd energi'!$B$1:$AI$720,MATCH(Y$1,'Tillförd energi'!$B$1:$AQ$1,0),FALSE)</f>
        <v>0</v>
      </c>
      <c r="Z99" s="121">
        <f>VLOOKUP($B99,'Tillförd energi'!$B$1:$AI$720,MATCH(Z$1,'Tillförd energi'!$B$1:$AQ$1,0),FALSE)</f>
        <v>0</v>
      </c>
      <c r="AA99" s="121">
        <f>VLOOKUP($B99,'Tillförd energi'!$B$1:$AI$720,MATCH(AA$1,'Tillförd energi'!$B$1:$AQ$1,0),FALSE)</f>
        <v>0</v>
      </c>
      <c r="AB99" s="121">
        <f>VLOOKUP($B99,'Tillförd energi'!$B$1:$AI$720,MATCH(AB$1,'Tillförd energi'!$B$1:$AQ$1,0),FALSE)</f>
        <v>0</v>
      </c>
      <c r="AC99" s="121">
        <f>VLOOKUP($B99,'Tillförd energi'!$B$1:$AI$720,MATCH(AC$1,'Tillförd energi'!$B$1:$AQ$1,0),FALSE)</f>
        <v>0</v>
      </c>
      <c r="AD99" s="121">
        <f>VLOOKUP($B99,'Tillförd energi'!$B$1:$AI$720,MATCH(AD$1,'Tillförd energi'!$B$1:$AQ$1,0),FALSE)</f>
        <v>0</v>
      </c>
      <c r="AE99" s="121">
        <f>VLOOKUP($B99,'Tillförd energi'!$B$1:$AI$720,MATCH(AE$1,'Tillförd energi'!$B$1:$AQ$1,0),FALSE)</f>
        <v>0</v>
      </c>
      <c r="AF99" s="121">
        <f>VLOOKUP($B99,'Tillförd energi'!$B$1:$AI$720,MATCH(AF$1,'Tillförd energi'!$B$1:$AQ$1,0),FALSE)</f>
        <v>0</v>
      </c>
      <c r="AG99" s="121">
        <f>IFERROR(VLOOKUP(B99,Miljö!$B$1:$AC$550,MATCH("Köpt mängd produktionsspecifik fjärrvärme:",Miljö!$B$1:$AC$1,0),FALSE)/1,0)</f>
        <v>0</v>
      </c>
      <c r="AH99" s="121"/>
      <c r="AI99" s="121">
        <f t="shared" si="22"/>
        <v>0</v>
      </c>
      <c r="AJ99" s="121">
        <f t="shared" si="23"/>
        <v>0</v>
      </c>
      <c r="AK99" s="121" t="str">
        <f>IF(ISERROR(1/VLOOKUP($B99,Leveranser!$B$1:$S$499,MATCH("såld värme (gwh)",Leveranser!$B$1:$S$1,0),FALSE)),"",VLOOKUP($B99,Leveranser!$B$1:$S$499,MATCH("såld värme (gwh)",Leveranser!$B$1:$S$1,0),FALSE))</f>
        <v/>
      </c>
      <c r="AL99" s="121">
        <f>VLOOKUP($B99,Leveranser!$B$1:$Y$499,MATCH("Totalt såld fjärrvärme till andra fjärrvärmeföretag",Leveranser!$B$1:$AA$1,0),FALSE)</f>
        <v>0</v>
      </c>
      <c r="AM99" s="121">
        <f>IF(ISERROR(1/VLOOKUP($B99,Miljö!$B$1:$S$500,MATCH("Såld mängd produktionsspecifik fjärrvärme (GWh)",Miljö!$B$1:$R$1,0),FALSE)),0,VLOOKUP($B99,Miljö!$B$1:$S$500,MATCH("Såld mängd produktionsspecifik fjärrvärme (GWh)",Miljö!$B$1:$R$1,0),FALSE))</f>
        <v>0</v>
      </c>
      <c r="AN99" s="172" t="str">
        <f t="shared" si="24"/>
        <v/>
      </c>
      <c r="AO99" s="121"/>
      <c r="AP99" s="121" t="str">
        <f>IFERROR(VLOOKUP($B99,Miljövärden!$B$2:$H$550,7,FALSE),"Nej, saknas")</f>
        <v>Nej</v>
      </c>
      <c r="AQ99" s="121" t="str">
        <f>IFERROR(VLOOKUP($B99,Miljövärden!$B$2:$H$550,6,FALSE),"Nej, saknas")</f>
        <v>Nej</v>
      </c>
      <c r="AU99">
        <f t="shared" si="25"/>
        <v>0</v>
      </c>
      <c r="AV99">
        <f t="shared" si="26"/>
        <v>0</v>
      </c>
      <c r="AW99">
        <f t="shared" si="27"/>
        <v>0</v>
      </c>
      <c r="AX99">
        <f t="shared" si="28"/>
        <v>0</v>
      </c>
      <c r="AZ99">
        <f t="shared" si="29"/>
        <v>0</v>
      </c>
      <c r="BC99">
        <f t="shared" si="30"/>
        <v>0</v>
      </c>
      <c r="BD99">
        <f t="shared" si="31"/>
        <v>0</v>
      </c>
      <c r="BE99">
        <f t="shared" si="32"/>
        <v>0</v>
      </c>
      <c r="BF99">
        <f t="shared" si="33"/>
        <v>0</v>
      </c>
      <c r="BG99">
        <f t="shared" si="34"/>
        <v>0</v>
      </c>
      <c r="BH99" t="str">
        <f>VLOOKUP(B99,Miljö!$B$1:$BX$482,MATCH("Fossilandel för ursprungspecificerad el ()",Miljö!$B$1:$I$1,0),FALSE)</f>
        <v>-</v>
      </c>
      <c r="BI99" t="str">
        <f>VLOOKUP(B99,Miljö!$B$1:$BX$482,MATCH("Kärnkraftsandel för ursprungsspecificerad el ()",Miljö!$B$1:$O$1,0),FALSE)</f>
        <v>-</v>
      </c>
      <c r="BJ99">
        <f t="shared" si="35"/>
        <v>0</v>
      </c>
      <c r="BK99" t="str">
        <f>VLOOKUP(B99,Miljö!$B$1:$O$482,MATCH("Fossil andel i procent (%)",Miljö!$B$1:$O$1,0),FALSE)</f>
        <v>-</v>
      </c>
      <c r="BL99">
        <f t="shared" si="36"/>
        <v>0</v>
      </c>
      <c r="BO99" s="18" t="str">
        <f t="shared" si="37"/>
        <v/>
      </c>
      <c r="BP99" s="18" t="str">
        <f t="shared" si="38"/>
        <v/>
      </c>
      <c r="BQ99" s="18" t="str">
        <f t="shared" si="39"/>
        <v/>
      </c>
      <c r="BR99" s="18" t="str">
        <f t="shared" si="40"/>
        <v/>
      </c>
      <c r="BT99" s="27">
        <f t="shared" si="41"/>
        <v>0</v>
      </c>
      <c r="BW99" s="18" t="str">
        <f>IF(AP99="ja",VLOOKUP(B99,Miljövärden!$B$2:$H$550,MATCH("Total andel fossilt",Miljövärden!$B$2:$H$2,0),FALSE),"")</f>
        <v/>
      </c>
      <c r="BZ99" s="28" t="str">
        <f t="shared" si="42"/>
        <v/>
      </c>
      <c r="CA99" s="28" t="str">
        <f t="shared" si="43"/>
        <v/>
      </c>
    </row>
    <row r="100" spans="1:79" x14ac:dyDescent="0.25">
      <c r="A100" s="224" t="s">
        <v>324</v>
      </c>
      <c r="B100" s="210" t="s">
        <v>330</v>
      </c>
      <c r="C100" s="121">
        <f>VLOOKUP($B100,'Tillförd energi'!$B$1:$AI$720,MATCH(C$1,'Tillförd energi'!$B$1:$AQ$1,0),FALSE)</f>
        <v>0</v>
      </c>
      <c r="D100" s="121">
        <f>VLOOKUP($B100,'Tillförd energi'!$B$1:$AI$720,MATCH(D$1,'Tillförd energi'!$B$1:$AQ$1,0),FALSE)</f>
        <v>0</v>
      </c>
      <c r="E100" s="121">
        <f>VLOOKUP($B100,'Tillförd energi'!$B$1:$AI$720,MATCH(E$1,'Tillförd energi'!$B$1:$AQ$1,0),FALSE)</f>
        <v>0</v>
      </c>
      <c r="F100" s="121">
        <f>VLOOKUP($B100,'Tillförd energi'!$B$1:$AI$720,MATCH(F$1,'Tillförd energi'!$B$1:$AQ$1,0),FALSE)</f>
        <v>0</v>
      </c>
      <c r="G100" s="121">
        <f>VLOOKUP($B100,'Tillförd energi'!$B$1:$AI$720,MATCH(G$1,'Tillförd energi'!$B$1:$AQ$1,0),FALSE)</f>
        <v>0</v>
      </c>
      <c r="H100" s="121">
        <f>VLOOKUP($B100,'Tillförd energi'!$B$1:$AI$720,MATCH(H$1,'Tillförd energi'!$B$1:$AQ$1,0),FALSE)</f>
        <v>0</v>
      </c>
      <c r="I100" s="121">
        <f>VLOOKUP($B100,'Tillförd energi'!$B$1:$AI$720,MATCH(I$1,'Tillförd energi'!$B$1:$AQ$1,0),FALSE)</f>
        <v>0</v>
      </c>
      <c r="J100" s="121">
        <f>VLOOKUP($B100,'Tillförd energi'!$B$1:$AI$720,MATCH(J$1,'Tillförd energi'!$B$1:$AQ$1,0),FALSE)</f>
        <v>0</v>
      </c>
      <c r="K100" s="121">
        <f>VLOOKUP($B100,'Tillförd energi'!$B$1:$AI$720,MATCH(K$1,'Tillförd energi'!$B$1:$AQ$1,0),FALSE)</f>
        <v>0</v>
      </c>
      <c r="L100" s="121">
        <f>VLOOKUP($B100,'Tillförd energi'!$B$1:$AI$720,MATCH(L$1,'Tillförd energi'!$B$1:$AQ$1,0),FALSE)</f>
        <v>0</v>
      </c>
      <c r="M100" s="121">
        <f>VLOOKUP($B100,'Tillförd energi'!$B$1:$AI$720,MATCH(M$1,'Tillförd energi'!$B$1:$AQ$1,0),FALSE)</f>
        <v>0</v>
      </c>
      <c r="N100" s="121">
        <f>VLOOKUP($B100,'Tillförd energi'!$B$1:$AI$720,MATCH(N$1,'Tillförd energi'!$B$1:$AQ$1,0),FALSE)</f>
        <v>0</v>
      </c>
      <c r="O100" s="121">
        <f>VLOOKUP($B100,'Tillförd energi'!$B$1:$AI$720,MATCH(O$1,'Tillförd energi'!$B$1:$AQ$1,0),FALSE)</f>
        <v>0</v>
      </c>
      <c r="P100" s="121">
        <f>VLOOKUP($B100,'Tillförd energi'!$B$1:$AI$720,MATCH(P$1,'Tillförd energi'!$B$1:$AQ$1,0),FALSE)</f>
        <v>0</v>
      </c>
      <c r="Q100" s="121">
        <f>VLOOKUP($B100,'Tillförd energi'!$B$1:$AI$720,MATCH(Q$1,'Tillförd energi'!$B$1:$AQ$1,0),FALSE)</f>
        <v>0</v>
      </c>
      <c r="R100" s="121">
        <f>VLOOKUP($B100,'Tillförd energi'!$B$1:$AI$720,MATCH(R$1,'Tillförd energi'!$B$1:$AQ$1,0),FALSE)</f>
        <v>0</v>
      </c>
      <c r="S100" s="121">
        <f>VLOOKUP($B100,'Tillförd energi'!$B$1:$AI$720,MATCH(S$1,'Tillförd energi'!$B$1:$AQ$1,0),FALSE)</f>
        <v>0</v>
      </c>
      <c r="T100" s="121">
        <f>VLOOKUP($B100,'Tillförd energi'!$B$1:$AI$720,MATCH(T$1,'Tillförd energi'!$B$1:$AQ$1,0),FALSE)</f>
        <v>0</v>
      </c>
      <c r="U100" s="121">
        <f>VLOOKUP($B100,'Tillförd energi'!$B$1:$AI$720,MATCH(U$1,'Tillförd energi'!$B$1:$AQ$1,0),FALSE)</f>
        <v>0</v>
      </c>
      <c r="V100" s="121">
        <f>VLOOKUP($B100,'Tillförd energi'!$B$1:$AI$720,MATCH(V$1,'Tillförd energi'!$B$1:$AQ$1,0),FALSE)</f>
        <v>0</v>
      </c>
      <c r="W100" s="121">
        <f>VLOOKUP($B100,'Tillförd energi'!$B$1:$AI$720,MATCH(W$1,'Tillförd energi'!$B$1:$AQ$1,0),FALSE)</f>
        <v>0</v>
      </c>
      <c r="X100" s="121">
        <f>VLOOKUP($B100,'Tillförd energi'!$B$1:$AI$720,MATCH(X$1,'Tillförd energi'!$B$1:$AQ$1,0),FALSE)</f>
        <v>0</v>
      </c>
      <c r="Y100" s="121">
        <f>VLOOKUP($B100,'Tillförd energi'!$B$1:$AI$720,MATCH(Y$1,'Tillförd energi'!$B$1:$AQ$1,0),FALSE)</f>
        <v>0</v>
      </c>
      <c r="Z100" s="121">
        <f>VLOOKUP($B100,'Tillförd energi'!$B$1:$AI$720,MATCH(Z$1,'Tillförd energi'!$B$1:$AQ$1,0),FALSE)</f>
        <v>0</v>
      </c>
      <c r="AA100" s="121">
        <f>VLOOKUP($B100,'Tillförd energi'!$B$1:$AI$720,MATCH(AA$1,'Tillförd energi'!$B$1:$AQ$1,0),FALSE)</f>
        <v>0</v>
      </c>
      <c r="AB100" s="121">
        <f>VLOOKUP($B100,'Tillförd energi'!$B$1:$AI$720,MATCH(AB$1,'Tillförd energi'!$B$1:$AQ$1,0),FALSE)</f>
        <v>0</v>
      </c>
      <c r="AC100" s="121">
        <f>VLOOKUP($B100,'Tillförd energi'!$B$1:$AI$720,MATCH(AC$1,'Tillförd energi'!$B$1:$AQ$1,0),FALSE)</f>
        <v>0</v>
      </c>
      <c r="AD100" s="121">
        <f>VLOOKUP($B100,'Tillförd energi'!$B$1:$AI$720,MATCH(AD$1,'Tillförd energi'!$B$1:$AQ$1,0),FALSE)</f>
        <v>0</v>
      </c>
      <c r="AE100" s="121">
        <f>VLOOKUP($B100,'Tillförd energi'!$B$1:$AI$720,MATCH(AE$1,'Tillförd energi'!$B$1:$AQ$1,0),FALSE)</f>
        <v>0</v>
      </c>
      <c r="AF100" s="121">
        <f>VLOOKUP($B100,'Tillförd energi'!$B$1:$AI$720,MATCH(AF$1,'Tillförd energi'!$B$1:$AQ$1,0),FALSE)</f>
        <v>0</v>
      </c>
      <c r="AG100" s="121">
        <f>IFERROR(VLOOKUP(B100,Miljö!$B$1:$AC$550,MATCH("Köpt mängd produktionsspecifik fjärrvärme:",Miljö!$B$1:$AC$1,0),FALSE)/1,0)</f>
        <v>0</v>
      </c>
      <c r="AH100" s="121"/>
      <c r="AI100" s="121">
        <f t="shared" si="22"/>
        <v>0</v>
      </c>
      <c r="AJ100" s="121">
        <f t="shared" si="23"/>
        <v>0</v>
      </c>
      <c r="AK100" s="121" t="str">
        <f>IF(ISERROR(1/VLOOKUP($B100,Leveranser!$B$1:$S$499,MATCH("såld värme (gwh)",Leveranser!$B$1:$S$1,0),FALSE)),"",VLOOKUP($B100,Leveranser!$B$1:$S$499,MATCH("såld värme (gwh)",Leveranser!$B$1:$S$1,0),FALSE))</f>
        <v/>
      </c>
      <c r="AL100" s="121">
        <f>VLOOKUP($B100,Leveranser!$B$1:$Y$499,MATCH("Totalt såld fjärrvärme till andra fjärrvärmeföretag",Leveranser!$B$1:$AA$1,0),FALSE)</f>
        <v>0</v>
      </c>
      <c r="AM100" s="121">
        <f>IF(ISERROR(1/VLOOKUP($B100,Miljö!$B$1:$S$500,MATCH("Såld mängd produktionsspecifik fjärrvärme (GWh)",Miljö!$B$1:$R$1,0),FALSE)),0,VLOOKUP($B100,Miljö!$B$1:$S$500,MATCH("Såld mängd produktionsspecifik fjärrvärme (GWh)",Miljö!$B$1:$R$1,0),FALSE))</f>
        <v>0</v>
      </c>
      <c r="AN100" s="172" t="str">
        <f t="shared" si="24"/>
        <v/>
      </c>
      <c r="AO100" s="121"/>
      <c r="AP100" s="121" t="str">
        <f>IFERROR(VLOOKUP($B100,Miljövärden!$B$2:$H$550,7,FALSE),"Nej, saknas")</f>
        <v>Nej</v>
      </c>
      <c r="AQ100" s="121" t="str">
        <f>IFERROR(VLOOKUP($B100,Miljövärden!$B$2:$H$550,6,FALSE),"Nej, saknas")</f>
        <v>Nej</v>
      </c>
      <c r="AU100">
        <f t="shared" si="25"/>
        <v>0</v>
      </c>
      <c r="AV100">
        <f t="shared" si="26"/>
        <v>0</v>
      </c>
      <c r="AW100">
        <f t="shared" si="27"/>
        <v>0</v>
      </c>
      <c r="AX100">
        <f t="shared" si="28"/>
        <v>0</v>
      </c>
      <c r="AZ100">
        <f t="shared" si="29"/>
        <v>0</v>
      </c>
      <c r="BC100">
        <f t="shared" si="30"/>
        <v>0</v>
      </c>
      <c r="BD100">
        <f t="shared" si="31"/>
        <v>0</v>
      </c>
      <c r="BE100">
        <f t="shared" si="32"/>
        <v>0</v>
      </c>
      <c r="BF100">
        <f t="shared" si="33"/>
        <v>0</v>
      </c>
      <c r="BG100">
        <f t="shared" si="34"/>
        <v>0</v>
      </c>
      <c r="BH100">
        <f>VLOOKUP(B100,Miljö!$B$1:$BX$482,MATCH("Fossilandel för ursprungspecificerad el ()",Miljö!$B$1:$I$1,0),FALSE)</f>
        <v>0.43</v>
      </c>
      <c r="BI100">
        <f>VLOOKUP(B100,Miljö!$B$1:$BX$482,MATCH("Kärnkraftsandel för ursprungsspecificerad el ()",Miljö!$B$1:$O$1,0),FALSE)</f>
        <v>0.40550000000000003</v>
      </c>
      <c r="BJ100">
        <f t="shared" si="35"/>
        <v>0</v>
      </c>
      <c r="BK100" t="str">
        <f>VLOOKUP(B100,Miljö!$B$1:$O$482,MATCH("Fossil andel i procent (%)",Miljö!$B$1:$O$1,0),FALSE)</f>
        <v>ET</v>
      </c>
      <c r="BL100">
        <f t="shared" si="36"/>
        <v>0</v>
      </c>
      <c r="BO100" s="18" t="str">
        <f t="shared" si="37"/>
        <v/>
      </c>
      <c r="BP100" s="18" t="str">
        <f t="shared" si="38"/>
        <v/>
      </c>
      <c r="BQ100" s="18" t="str">
        <f t="shared" si="39"/>
        <v/>
      </c>
      <c r="BR100" s="18" t="str">
        <f t="shared" si="40"/>
        <v/>
      </c>
      <c r="BT100" s="27">
        <f t="shared" si="41"/>
        <v>0</v>
      </c>
      <c r="BW100" s="18" t="str">
        <f>IF(AP100="ja",VLOOKUP(B100,Miljövärden!$B$2:$H$550,MATCH("Total andel fossilt",Miljövärden!$B$2:$H$2,0),FALSE),"")</f>
        <v/>
      </c>
      <c r="BZ100" s="28" t="str">
        <f t="shared" si="42"/>
        <v/>
      </c>
      <c r="CA100" s="28" t="str">
        <f t="shared" si="43"/>
        <v/>
      </c>
    </row>
    <row r="101" spans="1:79" x14ac:dyDescent="0.25">
      <c r="A101" s="224" t="s">
        <v>324</v>
      </c>
      <c r="B101" s="210" t="s">
        <v>331</v>
      </c>
      <c r="C101" s="121">
        <f>VLOOKUP($B101,'Tillförd energi'!$B$1:$AI$720,MATCH(C$1,'Tillförd energi'!$B$1:$AQ$1,0),FALSE)</f>
        <v>0</v>
      </c>
      <c r="D101" s="121">
        <f>VLOOKUP($B101,'Tillförd energi'!$B$1:$AI$720,MATCH(D$1,'Tillförd energi'!$B$1:$AQ$1,0),FALSE)</f>
        <v>0</v>
      </c>
      <c r="E101" s="121">
        <f>VLOOKUP($B101,'Tillförd energi'!$B$1:$AI$720,MATCH(E$1,'Tillförd energi'!$B$1:$AQ$1,0),FALSE)</f>
        <v>0</v>
      </c>
      <c r="F101" s="121">
        <f>VLOOKUP($B101,'Tillförd energi'!$B$1:$AI$720,MATCH(F$1,'Tillförd energi'!$B$1:$AQ$1,0),FALSE)</f>
        <v>0</v>
      </c>
      <c r="G101" s="121">
        <f>VLOOKUP($B101,'Tillförd energi'!$B$1:$AI$720,MATCH(G$1,'Tillförd energi'!$B$1:$AQ$1,0),FALSE)</f>
        <v>0</v>
      </c>
      <c r="H101" s="121">
        <f>VLOOKUP($B101,'Tillförd energi'!$B$1:$AI$720,MATCH(H$1,'Tillförd energi'!$B$1:$AQ$1,0),FALSE)</f>
        <v>0</v>
      </c>
      <c r="I101" s="121">
        <f>VLOOKUP($B101,'Tillförd energi'!$B$1:$AI$720,MATCH(I$1,'Tillförd energi'!$B$1:$AQ$1,0),FALSE)</f>
        <v>0</v>
      </c>
      <c r="J101" s="121">
        <f>VLOOKUP($B101,'Tillförd energi'!$B$1:$AI$720,MATCH(J$1,'Tillförd energi'!$B$1:$AQ$1,0),FALSE)</f>
        <v>0</v>
      </c>
      <c r="K101" s="121">
        <f>VLOOKUP($B101,'Tillförd energi'!$B$1:$AI$720,MATCH(K$1,'Tillförd energi'!$B$1:$AQ$1,0),FALSE)</f>
        <v>0</v>
      </c>
      <c r="L101" s="121">
        <f>VLOOKUP($B101,'Tillförd energi'!$B$1:$AI$720,MATCH(L$1,'Tillförd energi'!$B$1:$AQ$1,0),FALSE)</f>
        <v>0</v>
      </c>
      <c r="M101" s="121">
        <f>VLOOKUP($B101,'Tillförd energi'!$B$1:$AI$720,MATCH(M$1,'Tillförd energi'!$B$1:$AQ$1,0),FALSE)</f>
        <v>0</v>
      </c>
      <c r="N101" s="121">
        <f>VLOOKUP($B101,'Tillförd energi'!$B$1:$AI$720,MATCH(N$1,'Tillförd energi'!$B$1:$AQ$1,0),FALSE)</f>
        <v>0</v>
      </c>
      <c r="O101" s="121">
        <f>VLOOKUP($B101,'Tillförd energi'!$B$1:$AI$720,MATCH(O$1,'Tillförd energi'!$B$1:$AQ$1,0),FALSE)</f>
        <v>0</v>
      </c>
      <c r="P101" s="121">
        <f>VLOOKUP($B101,'Tillförd energi'!$B$1:$AI$720,MATCH(P$1,'Tillförd energi'!$B$1:$AQ$1,0),FALSE)</f>
        <v>0</v>
      </c>
      <c r="Q101" s="121">
        <f>VLOOKUP($B101,'Tillförd energi'!$B$1:$AI$720,MATCH(Q$1,'Tillförd energi'!$B$1:$AQ$1,0),FALSE)</f>
        <v>0</v>
      </c>
      <c r="R101" s="121">
        <f>VLOOKUP($B101,'Tillförd energi'!$B$1:$AI$720,MATCH(R$1,'Tillförd energi'!$B$1:$AQ$1,0),FALSE)</f>
        <v>0</v>
      </c>
      <c r="S101" s="121">
        <f>VLOOKUP($B101,'Tillförd energi'!$B$1:$AI$720,MATCH(S$1,'Tillförd energi'!$B$1:$AQ$1,0),FALSE)</f>
        <v>0</v>
      </c>
      <c r="T101" s="121">
        <f>VLOOKUP($B101,'Tillförd energi'!$B$1:$AI$720,MATCH(T$1,'Tillförd energi'!$B$1:$AQ$1,0),FALSE)</f>
        <v>0</v>
      </c>
      <c r="U101" s="121">
        <f>VLOOKUP($B101,'Tillförd energi'!$B$1:$AI$720,MATCH(U$1,'Tillförd energi'!$B$1:$AQ$1,0),FALSE)</f>
        <v>0</v>
      </c>
      <c r="V101" s="121">
        <f>VLOOKUP($B101,'Tillförd energi'!$B$1:$AI$720,MATCH(V$1,'Tillförd energi'!$B$1:$AQ$1,0),FALSE)</f>
        <v>0</v>
      </c>
      <c r="W101" s="121">
        <f>VLOOKUP($B101,'Tillförd energi'!$B$1:$AI$720,MATCH(W$1,'Tillförd energi'!$B$1:$AQ$1,0),FALSE)</f>
        <v>0</v>
      </c>
      <c r="X101" s="121">
        <f>VLOOKUP($B101,'Tillförd energi'!$B$1:$AI$720,MATCH(X$1,'Tillförd energi'!$B$1:$AQ$1,0),FALSE)</f>
        <v>0</v>
      </c>
      <c r="Y101" s="121">
        <f>VLOOKUP($B101,'Tillförd energi'!$B$1:$AI$720,MATCH(Y$1,'Tillförd energi'!$B$1:$AQ$1,0),FALSE)</f>
        <v>0</v>
      </c>
      <c r="Z101" s="121">
        <f>VLOOKUP($B101,'Tillförd energi'!$B$1:$AI$720,MATCH(Z$1,'Tillförd energi'!$B$1:$AQ$1,0),FALSE)</f>
        <v>0</v>
      </c>
      <c r="AA101" s="121">
        <f>VLOOKUP($B101,'Tillförd energi'!$B$1:$AI$720,MATCH(AA$1,'Tillförd energi'!$B$1:$AQ$1,0),FALSE)</f>
        <v>0</v>
      </c>
      <c r="AB101" s="121">
        <f>VLOOKUP($B101,'Tillförd energi'!$B$1:$AI$720,MATCH(AB$1,'Tillförd energi'!$B$1:$AQ$1,0),FALSE)</f>
        <v>0</v>
      </c>
      <c r="AC101" s="121">
        <f>VLOOKUP($B101,'Tillförd energi'!$B$1:$AI$720,MATCH(AC$1,'Tillförd energi'!$B$1:$AQ$1,0),FALSE)</f>
        <v>0</v>
      </c>
      <c r="AD101" s="121">
        <f>VLOOKUP($B101,'Tillförd energi'!$B$1:$AI$720,MATCH(AD$1,'Tillförd energi'!$B$1:$AQ$1,0),FALSE)</f>
        <v>0</v>
      </c>
      <c r="AE101" s="121">
        <f>VLOOKUP($B101,'Tillförd energi'!$B$1:$AI$720,MATCH(AE$1,'Tillförd energi'!$B$1:$AQ$1,0),FALSE)</f>
        <v>0</v>
      </c>
      <c r="AF101" s="121">
        <f>VLOOKUP($B101,'Tillförd energi'!$B$1:$AI$720,MATCH(AF$1,'Tillförd energi'!$B$1:$AQ$1,0),FALSE)</f>
        <v>0</v>
      </c>
      <c r="AG101" s="121">
        <f>IFERROR(VLOOKUP(B101,Miljö!$B$1:$AC$550,MATCH("Köpt mängd produktionsspecifik fjärrvärme:",Miljö!$B$1:$AC$1,0),FALSE)/1,0)</f>
        <v>0</v>
      </c>
      <c r="AH101" s="121"/>
      <c r="AI101" s="121">
        <f t="shared" si="22"/>
        <v>0</v>
      </c>
      <c r="AJ101" s="121">
        <f t="shared" si="23"/>
        <v>0</v>
      </c>
      <c r="AK101" s="121" t="str">
        <f>IF(ISERROR(1/VLOOKUP($B101,Leveranser!$B$1:$S$499,MATCH("såld värme (gwh)",Leveranser!$B$1:$S$1,0),FALSE)),"",VLOOKUP($B101,Leveranser!$B$1:$S$499,MATCH("såld värme (gwh)",Leveranser!$B$1:$S$1,0),FALSE))</f>
        <v/>
      </c>
      <c r="AL101" s="121">
        <f>VLOOKUP($B101,Leveranser!$B$1:$Y$499,MATCH("Totalt såld fjärrvärme till andra fjärrvärmeföretag",Leveranser!$B$1:$AA$1,0),FALSE)</f>
        <v>0</v>
      </c>
      <c r="AM101" s="121">
        <f>IF(ISERROR(1/VLOOKUP($B101,Miljö!$B$1:$S$500,MATCH("Såld mängd produktionsspecifik fjärrvärme (GWh)",Miljö!$B$1:$R$1,0),FALSE)),0,VLOOKUP($B101,Miljö!$B$1:$S$500,MATCH("Såld mängd produktionsspecifik fjärrvärme (GWh)",Miljö!$B$1:$R$1,0),FALSE))</f>
        <v>0</v>
      </c>
      <c r="AN101" s="172" t="str">
        <f t="shared" si="24"/>
        <v/>
      </c>
      <c r="AO101" s="121"/>
      <c r="AP101" s="121" t="str">
        <f>IFERROR(VLOOKUP($B101,Miljövärden!$B$2:$H$550,7,FALSE),"Nej, saknas")</f>
        <v>Nej</v>
      </c>
      <c r="AQ101" s="121" t="str">
        <f>IFERROR(VLOOKUP($B101,Miljövärden!$B$2:$H$550,6,FALSE),"Nej, saknas")</f>
        <v>Nej</v>
      </c>
      <c r="AU101">
        <f t="shared" si="25"/>
        <v>0</v>
      </c>
      <c r="AV101">
        <f t="shared" si="26"/>
        <v>0</v>
      </c>
      <c r="AW101">
        <f t="shared" si="27"/>
        <v>0</v>
      </c>
      <c r="AX101">
        <f t="shared" si="28"/>
        <v>0</v>
      </c>
      <c r="AZ101">
        <f t="shared" si="29"/>
        <v>0</v>
      </c>
      <c r="BC101">
        <f t="shared" si="30"/>
        <v>0</v>
      </c>
      <c r="BD101">
        <f t="shared" si="31"/>
        <v>0</v>
      </c>
      <c r="BE101">
        <f t="shared" si="32"/>
        <v>0</v>
      </c>
      <c r="BF101">
        <f t="shared" si="33"/>
        <v>0</v>
      </c>
      <c r="BG101">
        <f t="shared" si="34"/>
        <v>0</v>
      </c>
      <c r="BH101">
        <f>VLOOKUP(B101,Miljö!$B$1:$BX$482,MATCH("Fossilandel för ursprungspecificerad el ()",Miljö!$B$1:$I$1,0),FALSE)</f>
        <v>0</v>
      </c>
      <c r="BI101">
        <f>VLOOKUP(B101,Miljö!$B$1:$BX$482,MATCH("Kärnkraftsandel för ursprungsspecificerad el ()",Miljö!$B$1:$O$1,0),FALSE)</f>
        <v>0</v>
      </c>
      <c r="BJ101">
        <f t="shared" si="35"/>
        <v>0</v>
      </c>
      <c r="BK101" t="str">
        <f>VLOOKUP(B101,Miljö!$B$1:$O$482,MATCH("Fossil andel i procent (%)",Miljö!$B$1:$O$1,0),FALSE)</f>
        <v>ET</v>
      </c>
      <c r="BL101">
        <f t="shared" si="36"/>
        <v>0</v>
      </c>
      <c r="BO101" s="18" t="str">
        <f t="shared" si="37"/>
        <v/>
      </c>
      <c r="BP101" s="18" t="str">
        <f t="shared" si="38"/>
        <v/>
      </c>
      <c r="BQ101" s="18" t="str">
        <f t="shared" si="39"/>
        <v/>
      </c>
      <c r="BR101" s="18" t="str">
        <f t="shared" si="40"/>
        <v/>
      </c>
      <c r="BT101" s="27">
        <f t="shared" si="41"/>
        <v>0</v>
      </c>
      <c r="BW101" s="18" t="str">
        <f>IF(AP101="ja",VLOOKUP(B101,Miljövärden!$B$2:$H$550,MATCH("Total andel fossilt",Miljövärden!$B$2:$H$2,0),FALSE),"")</f>
        <v/>
      </c>
      <c r="BZ101" s="28" t="str">
        <f t="shared" si="42"/>
        <v/>
      </c>
      <c r="CA101" s="28" t="str">
        <f t="shared" si="43"/>
        <v/>
      </c>
    </row>
    <row r="102" spans="1:79" x14ac:dyDescent="0.25">
      <c r="A102" s="224" t="s">
        <v>332</v>
      </c>
      <c r="B102" s="210" t="s">
        <v>333</v>
      </c>
      <c r="C102" s="121">
        <f>VLOOKUP($B102,'Tillförd energi'!$B$1:$AI$720,MATCH(C$1,'Tillförd energi'!$B$1:$AQ$1,0),FALSE)</f>
        <v>0</v>
      </c>
      <c r="D102" s="121">
        <f>VLOOKUP($B102,'Tillförd energi'!$B$1:$AI$720,MATCH(D$1,'Tillförd energi'!$B$1:$AQ$1,0),FALSE)</f>
        <v>4.6630000000000003</v>
      </c>
      <c r="E102" s="121">
        <f>VLOOKUP($B102,'Tillförd energi'!$B$1:$AI$720,MATCH(E$1,'Tillförd energi'!$B$1:$AQ$1,0),FALSE)</f>
        <v>0</v>
      </c>
      <c r="F102" s="121">
        <f>VLOOKUP($B102,'Tillförd energi'!$B$1:$AI$720,MATCH(F$1,'Tillförd energi'!$B$1:$AQ$1,0),FALSE)</f>
        <v>0</v>
      </c>
      <c r="G102" s="121">
        <f>VLOOKUP($B102,'Tillförd energi'!$B$1:$AI$720,MATCH(G$1,'Tillförd energi'!$B$1:$AQ$1,0),FALSE)</f>
        <v>0</v>
      </c>
      <c r="H102" s="121">
        <f>VLOOKUP($B102,'Tillförd energi'!$B$1:$AI$720,MATCH(H$1,'Tillförd energi'!$B$1:$AQ$1,0),FALSE)</f>
        <v>0</v>
      </c>
      <c r="I102" s="121">
        <f>VLOOKUP($B102,'Tillförd energi'!$B$1:$AI$720,MATCH(I$1,'Tillförd energi'!$B$1:$AQ$1,0),FALSE)</f>
        <v>0</v>
      </c>
      <c r="J102" s="121">
        <f>VLOOKUP($B102,'Tillförd energi'!$B$1:$AI$720,MATCH(J$1,'Tillförd energi'!$B$1:$AQ$1,0),FALSE)</f>
        <v>0</v>
      </c>
      <c r="K102" s="121">
        <f>VLOOKUP($B102,'Tillförd energi'!$B$1:$AI$720,MATCH(K$1,'Tillförd energi'!$B$1:$AQ$1,0),FALSE)</f>
        <v>0</v>
      </c>
      <c r="L102" s="121">
        <f>VLOOKUP($B102,'Tillförd energi'!$B$1:$AI$720,MATCH(L$1,'Tillförd energi'!$B$1:$AQ$1,0),FALSE)</f>
        <v>0</v>
      </c>
      <c r="M102" s="121">
        <f>VLOOKUP($B102,'Tillförd energi'!$B$1:$AI$720,MATCH(M$1,'Tillförd energi'!$B$1:$AQ$1,0),FALSE)</f>
        <v>37.591999999999999</v>
      </c>
      <c r="N102" s="121">
        <f>VLOOKUP($B102,'Tillförd energi'!$B$1:$AI$720,MATCH(N$1,'Tillförd energi'!$B$1:$AQ$1,0),FALSE)</f>
        <v>96.972999999999999</v>
      </c>
      <c r="O102" s="121">
        <f>VLOOKUP($B102,'Tillförd energi'!$B$1:$AI$720,MATCH(O$1,'Tillförd energi'!$B$1:$AQ$1,0),FALSE)</f>
        <v>0</v>
      </c>
      <c r="P102" s="121">
        <f>VLOOKUP($B102,'Tillförd energi'!$B$1:$AI$720,MATCH(P$1,'Tillförd energi'!$B$1:$AQ$1,0),FALSE)</f>
        <v>0</v>
      </c>
      <c r="Q102" s="121">
        <f>VLOOKUP($B102,'Tillförd energi'!$B$1:$AI$720,MATCH(Q$1,'Tillförd energi'!$B$1:$AQ$1,0),FALSE)</f>
        <v>0</v>
      </c>
      <c r="R102" s="121">
        <f>VLOOKUP($B102,'Tillförd energi'!$B$1:$AI$720,MATCH(R$1,'Tillförd energi'!$B$1:$AQ$1,0),FALSE)</f>
        <v>0</v>
      </c>
      <c r="S102" s="121">
        <f>VLOOKUP($B102,'Tillförd energi'!$B$1:$AI$720,MATCH(S$1,'Tillförd energi'!$B$1:$AQ$1,0),FALSE)</f>
        <v>0</v>
      </c>
      <c r="T102" s="121">
        <f>VLOOKUP($B102,'Tillförd energi'!$B$1:$AI$720,MATCH(T$1,'Tillförd energi'!$B$1:$AQ$1,0),FALSE)</f>
        <v>0</v>
      </c>
      <c r="U102" s="121">
        <f>VLOOKUP($B102,'Tillförd energi'!$B$1:$AI$720,MATCH(U$1,'Tillförd energi'!$B$1:$AQ$1,0),FALSE)</f>
        <v>0</v>
      </c>
      <c r="V102" s="121">
        <f>VLOOKUP($B102,'Tillförd energi'!$B$1:$AI$720,MATCH(V$1,'Tillförd energi'!$B$1:$AQ$1,0),FALSE)</f>
        <v>0</v>
      </c>
      <c r="W102" s="121">
        <f>VLOOKUP($B102,'Tillförd energi'!$B$1:$AI$720,MATCH(W$1,'Tillförd energi'!$B$1:$AQ$1,0),FALSE)</f>
        <v>0</v>
      </c>
      <c r="X102" s="121">
        <f>VLOOKUP($B102,'Tillförd energi'!$B$1:$AI$720,MATCH(X$1,'Tillförd energi'!$B$1:$AQ$1,0),FALSE)</f>
        <v>0</v>
      </c>
      <c r="Y102" s="121">
        <f>VLOOKUP($B102,'Tillförd energi'!$B$1:$AI$720,MATCH(Y$1,'Tillförd energi'!$B$1:$AQ$1,0),FALSE)</f>
        <v>0</v>
      </c>
      <c r="Z102" s="121">
        <f>VLOOKUP($B102,'Tillförd energi'!$B$1:$AI$720,MATCH(Z$1,'Tillförd energi'!$B$1:$AQ$1,0),FALSE)</f>
        <v>0</v>
      </c>
      <c r="AA102" s="121">
        <f>VLOOKUP($B102,'Tillförd energi'!$B$1:$AI$720,MATCH(AA$1,'Tillförd energi'!$B$1:$AQ$1,0),FALSE)</f>
        <v>0</v>
      </c>
      <c r="AB102" s="121">
        <f>VLOOKUP($B102,'Tillförd energi'!$B$1:$AI$720,MATCH(AB$1,'Tillförd energi'!$B$1:$AQ$1,0),FALSE)</f>
        <v>0</v>
      </c>
      <c r="AC102" s="121">
        <f>VLOOKUP($B102,'Tillförd energi'!$B$1:$AI$720,MATCH(AC$1,'Tillförd energi'!$B$1:$AQ$1,0),FALSE)</f>
        <v>10.898</v>
      </c>
      <c r="AD102" s="121">
        <f>VLOOKUP($B102,'Tillförd energi'!$B$1:$AI$720,MATCH(AD$1,'Tillförd energi'!$B$1:$AQ$1,0),FALSE)</f>
        <v>0</v>
      </c>
      <c r="AE102" s="121">
        <f>VLOOKUP($B102,'Tillförd energi'!$B$1:$AI$720,MATCH(AE$1,'Tillförd energi'!$B$1:$AQ$1,0),FALSE)</f>
        <v>0</v>
      </c>
      <c r="AF102" s="121">
        <f>VLOOKUP($B102,'Tillförd energi'!$B$1:$AI$720,MATCH(AF$1,'Tillförd energi'!$B$1:$AQ$1,0),FALSE)</f>
        <v>3.3780000000000001</v>
      </c>
      <c r="AG102" s="121">
        <f>IFERROR(VLOOKUP(B102,Miljö!$B$1:$AC$550,MATCH("Köpt mängd produktionsspecifik fjärrvärme:",Miljö!$B$1:$AC$1,0),FALSE)/1,0)</f>
        <v>0</v>
      </c>
      <c r="AH102" s="121"/>
      <c r="AI102" s="121">
        <f t="shared" si="22"/>
        <v>153.50400000000002</v>
      </c>
      <c r="AJ102" s="121">
        <f t="shared" si="23"/>
        <v>153.50400000000002</v>
      </c>
      <c r="AK102" s="121">
        <f>IF(ISERROR(1/VLOOKUP($B102,Leveranser!$B$1:$S$499,MATCH("såld värme (gwh)",Leveranser!$B$1:$S$1,0),FALSE)),"",VLOOKUP($B102,Leveranser!$B$1:$S$499,MATCH("såld värme (gwh)",Leveranser!$B$1:$S$1,0),FALSE))</f>
        <v>113.941</v>
      </c>
      <c r="AL102" s="121">
        <f>VLOOKUP($B102,Leveranser!$B$1:$Y$499,MATCH("Totalt såld fjärrvärme till andra fjärrvärmeföretag",Leveranser!$B$1:$AA$1,0),FALSE)</f>
        <v>0</v>
      </c>
      <c r="AM102" s="121">
        <f>IF(ISERROR(1/VLOOKUP($B102,Miljö!$B$1:$S$500,MATCH("Såld mängd produktionsspecifik fjärrvärme (GWh)",Miljö!$B$1:$R$1,0),FALSE)),0,VLOOKUP($B102,Miljö!$B$1:$S$500,MATCH("Såld mängd produktionsspecifik fjärrvärme (GWh)",Miljö!$B$1:$R$1,0),FALSE))</f>
        <v>0</v>
      </c>
      <c r="AN102" s="172">
        <f t="shared" si="24"/>
        <v>0.74226730248071704</v>
      </c>
      <c r="AO102" s="121"/>
      <c r="AP102" s="121" t="str">
        <f>IFERROR(VLOOKUP($B102,Miljövärden!$B$2:$H$550,7,FALSE),"Nej, saknas")</f>
        <v>Ja</v>
      </c>
      <c r="AQ102" s="121" t="str">
        <f>IFERROR(VLOOKUP($B102,Miljövärden!$B$2:$H$550,6,FALSE),"Nej, saknas")</f>
        <v>Ja</v>
      </c>
      <c r="AU102">
        <f t="shared" si="25"/>
        <v>3.3780000000000001</v>
      </c>
      <c r="AV102">
        <f t="shared" si="26"/>
        <v>0</v>
      </c>
      <c r="AW102">
        <f t="shared" si="27"/>
        <v>134.565</v>
      </c>
      <c r="AX102">
        <f t="shared" si="28"/>
        <v>0</v>
      </c>
      <c r="AZ102">
        <f t="shared" si="29"/>
        <v>134.565</v>
      </c>
      <c r="BC102">
        <f t="shared" si="30"/>
        <v>4.6630000000000003</v>
      </c>
      <c r="BD102">
        <f t="shared" si="31"/>
        <v>0</v>
      </c>
      <c r="BE102">
        <f t="shared" si="32"/>
        <v>134.565</v>
      </c>
      <c r="BF102">
        <f t="shared" si="33"/>
        <v>10.898</v>
      </c>
      <c r="BG102">
        <f t="shared" si="34"/>
        <v>3.3780000000000001</v>
      </c>
      <c r="BH102">
        <f>VLOOKUP(B102,Miljö!$B$1:$BX$482,MATCH("Fossilandel för ursprungspecificerad el ()",Miljö!$B$1:$I$1,0),FALSE)</f>
        <v>0</v>
      </c>
      <c r="BI102">
        <f>VLOOKUP(B102,Miljö!$B$1:$BX$482,MATCH("Kärnkraftsandel för ursprungsspecificerad el ()",Miljö!$B$1:$O$1,0),FALSE)</f>
        <v>0</v>
      </c>
      <c r="BJ102">
        <f t="shared" si="35"/>
        <v>0</v>
      </c>
      <c r="BK102" t="str">
        <f>VLOOKUP(B102,Miljö!$B$1:$O$482,MATCH("Fossil andel i procent (%)",Miljö!$B$1:$O$1,0),FALSE)</f>
        <v>ET</v>
      </c>
      <c r="BL102">
        <f t="shared" si="36"/>
        <v>153.50400000000002</v>
      </c>
      <c r="BO102" s="18">
        <f t="shared" si="37"/>
        <v>3.0377058578278087E-2</v>
      </c>
      <c r="BP102" s="18">
        <f t="shared" si="38"/>
        <v>0</v>
      </c>
      <c r="BQ102" s="18">
        <f t="shared" si="39"/>
        <v>0.89862804878048763</v>
      </c>
      <c r="BR102" s="18">
        <f t="shared" si="40"/>
        <v>7.0994892641234097E-2</v>
      </c>
      <c r="BT102" s="27">
        <f t="shared" si="41"/>
        <v>0.99999999999999978</v>
      </c>
      <c r="BW102" s="18">
        <f>IF(AP102="ja",VLOOKUP(B102,Miljövärden!$B$2:$H$550,MATCH("Total andel fossilt",Miljövärden!$B$2:$H$2,0),FALSE),"")</f>
        <v>3.0377100000000001E-2</v>
      </c>
      <c r="BZ102" s="28">
        <f t="shared" si="42"/>
        <v>4.1421721913570408E-8</v>
      </c>
      <c r="CA102" s="28">
        <f t="shared" si="43"/>
        <v>0</v>
      </c>
    </row>
    <row r="103" spans="1:79" x14ac:dyDescent="0.25">
      <c r="A103" s="224" t="s">
        <v>332</v>
      </c>
      <c r="B103" s="210" t="s">
        <v>334</v>
      </c>
      <c r="C103" s="121">
        <f>VLOOKUP($B103,'Tillförd energi'!$B$1:$AI$720,MATCH(C$1,'Tillförd energi'!$B$1:$AQ$1,0),FALSE)</f>
        <v>0</v>
      </c>
      <c r="D103" s="121">
        <f>VLOOKUP($B103,'Tillförd energi'!$B$1:$AI$720,MATCH(D$1,'Tillförd energi'!$B$1:$AQ$1,0),FALSE)</f>
        <v>8.5000000000000006E-2</v>
      </c>
      <c r="E103" s="121">
        <f>VLOOKUP($B103,'Tillförd energi'!$B$1:$AI$720,MATCH(E$1,'Tillförd energi'!$B$1:$AQ$1,0),FALSE)</f>
        <v>0</v>
      </c>
      <c r="F103" s="121">
        <f>VLOOKUP($B103,'Tillförd energi'!$B$1:$AI$720,MATCH(F$1,'Tillförd energi'!$B$1:$AQ$1,0),FALSE)</f>
        <v>0</v>
      </c>
      <c r="G103" s="121">
        <f>VLOOKUP($B103,'Tillförd energi'!$B$1:$AI$720,MATCH(G$1,'Tillförd energi'!$B$1:$AQ$1,0),FALSE)</f>
        <v>0</v>
      </c>
      <c r="H103" s="121">
        <f>VLOOKUP($B103,'Tillförd energi'!$B$1:$AI$720,MATCH(H$1,'Tillförd energi'!$B$1:$AQ$1,0),FALSE)</f>
        <v>0</v>
      </c>
      <c r="I103" s="121">
        <f>VLOOKUP($B103,'Tillförd energi'!$B$1:$AI$720,MATCH(I$1,'Tillförd energi'!$B$1:$AQ$1,0),FALSE)</f>
        <v>0</v>
      </c>
      <c r="J103" s="121">
        <f>VLOOKUP($B103,'Tillförd energi'!$B$1:$AI$720,MATCH(J$1,'Tillförd energi'!$B$1:$AQ$1,0),FALSE)</f>
        <v>0</v>
      </c>
      <c r="K103" s="121">
        <f>VLOOKUP($B103,'Tillförd energi'!$B$1:$AI$720,MATCH(K$1,'Tillförd energi'!$B$1:$AQ$1,0),FALSE)</f>
        <v>0</v>
      </c>
      <c r="L103" s="121">
        <f>VLOOKUP($B103,'Tillförd energi'!$B$1:$AI$720,MATCH(L$1,'Tillförd energi'!$B$1:$AQ$1,0),FALSE)</f>
        <v>0</v>
      </c>
      <c r="M103" s="121">
        <f>VLOOKUP($B103,'Tillförd energi'!$B$1:$AI$720,MATCH(M$1,'Tillförd energi'!$B$1:$AQ$1,0),FALSE)</f>
        <v>0</v>
      </c>
      <c r="N103" s="121">
        <f>VLOOKUP($B103,'Tillförd energi'!$B$1:$AI$720,MATCH(N$1,'Tillförd energi'!$B$1:$AQ$1,0),FALSE)</f>
        <v>0</v>
      </c>
      <c r="O103" s="121">
        <f>VLOOKUP($B103,'Tillförd energi'!$B$1:$AI$720,MATCH(O$1,'Tillförd energi'!$B$1:$AQ$1,0),FALSE)</f>
        <v>0</v>
      </c>
      <c r="P103" s="121">
        <f>VLOOKUP($B103,'Tillförd energi'!$B$1:$AI$720,MATCH(P$1,'Tillförd energi'!$B$1:$AQ$1,0),FALSE)</f>
        <v>0</v>
      </c>
      <c r="Q103" s="121">
        <f>VLOOKUP($B103,'Tillförd energi'!$B$1:$AI$720,MATCH(Q$1,'Tillförd energi'!$B$1:$AQ$1,0),FALSE)</f>
        <v>0</v>
      </c>
      <c r="R103" s="121">
        <f>VLOOKUP($B103,'Tillförd energi'!$B$1:$AI$720,MATCH(R$1,'Tillförd energi'!$B$1:$AQ$1,0),FALSE)</f>
        <v>0.17</v>
      </c>
      <c r="S103" s="121">
        <f>VLOOKUP($B103,'Tillförd energi'!$B$1:$AI$720,MATCH(S$1,'Tillförd energi'!$B$1:$AQ$1,0),FALSE)</f>
        <v>0</v>
      </c>
      <c r="T103" s="121">
        <f>VLOOKUP($B103,'Tillförd energi'!$B$1:$AI$720,MATCH(T$1,'Tillförd energi'!$B$1:$AQ$1,0),FALSE)</f>
        <v>0</v>
      </c>
      <c r="U103" s="121">
        <f>VLOOKUP($B103,'Tillförd energi'!$B$1:$AI$720,MATCH(U$1,'Tillförd energi'!$B$1:$AQ$1,0),FALSE)</f>
        <v>0</v>
      </c>
      <c r="V103" s="121">
        <f>VLOOKUP($B103,'Tillförd energi'!$B$1:$AI$720,MATCH(V$1,'Tillförd energi'!$B$1:$AQ$1,0),FALSE)</f>
        <v>0</v>
      </c>
      <c r="W103" s="121">
        <f>VLOOKUP($B103,'Tillförd energi'!$B$1:$AI$720,MATCH(W$1,'Tillförd energi'!$B$1:$AQ$1,0),FALSE)</f>
        <v>0</v>
      </c>
      <c r="X103" s="121">
        <f>VLOOKUP($B103,'Tillförd energi'!$B$1:$AI$720,MATCH(X$1,'Tillförd energi'!$B$1:$AQ$1,0),FALSE)</f>
        <v>0</v>
      </c>
      <c r="Y103" s="121">
        <f>VLOOKUP($B103,'Tillförd energi'!$B$1:$AI$720,MATCH(Y$1,'Tillförd energi'!$B$1:$AQ$1,0),FALSE)</f>
        <v>0</v>
      </c>
      <c r="Z103" s="121">
        <f>VLOOKUP($B103,'Tillförd energi'!$B$1:$AI$720,MATCH(Z$1,'Tillförd energi'!$B$1:$AQ$1,0),FALSE)</f>
        <v>0</v>
      </c>
      <c r="AA103" s="121">
        <f>VLOOKUP($B103,'Tillförd energi'!$B$1:$AI$720,MATCH(AA$1,'Tillförd energi'!$B$1:$AQ$1,0),FALSE)</f>
        <v>0</v>
      </c>
      <c r="AB103" s="121">
        <f>VLOOKUP($B103,'Tillförd energi'!$B$1:$AI$720,MATCH(AB$1,'Tillförd energi'!$B$1:$AQ$1,0),FALSE)</f>
        <v>0</v>
      </c>
      <c r="AC103" s="121">
        <f>VLOOKUP($B103,'Tillförd energi'!$B$1:$AI$720,MATCH(AC$1,'Tillförd energi'!$B$1:$AQ$1,0),FALSE)</f>
        <v>0</v>
      </c>
      <c r="AD103" s="121">
        <f>VLOOKUP($B103,'Tillförd energi'!$B$1:$AI$720,MATCH(AD$1,'Tillförd energi'!$B$1:$AQ$1,0),FALSE)</f>
        <v>3.0110000000000001</v>
      </c>
      <c r="AE103" s="121">
        <f>VLOOKUP($B103,'Tillförd energi'!$B$1:$AI$720,MATCH(AE$1,'Tillförd energi'!$B$1:$AQ$1,0),FALSE)</f>
        <v>0</v>
      </c>
      <c r="AF103" s="121">
        <f>VLOOKUP($B103,'Tillförd energi'!$B$1:$AI$720,MATCH(AF$1,'Tillförd energi'!$B$1:$AQ$1,0),FALSE)</f>
        <v>7.5689999999999993E-2</v>
      </c>
      <c r="AG103" s="121">
        <f>IFERROR(VLOOKUP(B103,Miljö!$B$1:$AC$550,MATCH("Köpt mängd produktionsspecifik fjärrvärme:",Miljö!$B$1:$AC$1,0),FALSE)/1,0)</f>
        <v>0</v>
      </c>
      <c r="AH103" s="121"/>
      <c r="AI103" s="121">
        <f t="shared" ref="AI103:AI161" si="44">SUM(C103:AF103)</f>
        <v>3.3416899999999998</v>
      </c>
      <c r="AJ103" s="121">
        <f t="shared" ref="AJ103:AJ161" si="45">SUM(C103:AG103)</f>
        <v>3.3416899999999998</v>
      </c>
      <c r="AK103" s="121">
        <f>IF(ISERROR(1/VLOOKUP($B103,Leveranser!$B$1:$S$499,MATCH("såld värme (gwh)",Leveranser!$B$1:$S$1,0),FALSE)),"",VLOOKUP($B103,Leveranser!$B$1:$S$499,MATCH("såld värme (gwh)",Leveranser!$B$1:$S$1,0),FALSE))</f>
        <v>2.5230000000000001</v>
      </c>
      <c r="AL103" s="121">
        <f>VLOOKUP($B103,Leveranser!$B$1:$Y$499,MATCH("Totalt såld fjärrvärme till andra fjärrvärmeföretag",Leveranser!$B$1:$AA$1,0),FALSE)</f>
        <v>0</v>
      </c>
      <c r="AM103" s="121">
        <f>IF(ISERROR(1/VLOOKUP($B103,Miljö!$B$1:$S$500,MATCH("Såld mängd produktionsspecifik fjärrvärme (GWh)",Miljö!$B$1:$R$1,0),FALSE)),0,VLOOKUP($B103,Miljö!$B$1:$S$500,MATCH("Såld mängd produktionsspecifik fjärrvärme (GWh)",Miljö!$B$1:$R$1,0),FALSE))</f>
        <v>0</v>
      </c>
      <c r="AN103" s="172">
        <f t="shared" ref="AN103:AN161" si="46">IFERROR(AK103/AJ103,"")</f>
        <v>0.75500719695722829</v>
      </c>
      <c r="AO103" s="121"/>
      <c r="AP103" s="121" t="str">
        <f>IFERROR(VLOOKUP($B103,Miljövärden!$B$2:$H$550,7,FALSE),"Nej, saknas")</f>
        <v>Ja</v>
      </c>
      <c r="AQ103" s="121" t="str">
        <f>IFERROR(VLOOKUP($B103,Miljövärden!$B$2:$H$550,6,FALSE),"Nej, saknas")</f>
        <v>Ja</v>
      </c>
      <c r="AU103">
        <f t="shared" ref="AU103:AU161" si="47">Z103+AA103+AF103</f>
        <v>7.5689999999999993E-2</v>
      </c>
      <c r="AV103">
        <f t="shared" ref="AV103:AV161" si="48">X103</f>
        <v>0</v>
      </c>
      <c r="AW103">
        <f t="shared" ref="AW103:AW161" si="49">M103+N103+O103+P103+Q103</f>
        <v>0</v>
      </c>
      <c r="AX103">
        <f t="shared" ref="AX103:AX161" si="50">R103+S103+T103+U103</f>
        <v>0.17</v>
      </c>
      <c r="AZ103">
        <f t="shared" ref="AZ103:AZ161" si="51">L103+M103+N103+O103+P103+Q103+R103+S103+T103+U103+V103+W103+X103</f>
        <v>0.17</v>
      </c>
      <c r="BC103">
        <f t="shared" ref="BC103:BC161" si="52">C103+D103+E103+F103+G103+H103+AE103</f>
        <v>8.5000000000000006E-2</v>
      </c>
      <c r="BD103">
        <f t="shared" ref="BD103:BD161" si="53">Y103</f>
        <v>0</v>
      </c>
      <c r="BE103">
        <f t="shared" ref="BE103:BE161" si="54">M103+N103+O103+P103+Q103+R103+S103+T103+U103+V103+W103+X103</f>
        <v>0.17</v>
      </c>
      <c r="BF103">
        <f t="shared" ref="BF103:BF161" si="55">I103+J103+K103+L103+AB103+AC103+AD103</f>
        <v>3.0110000000000001</v>
      </c>
      <c r="BG103">
        <f t="shared" ref="BG103:BG161" si="56">Z103+AA103+AF103</f>
        <v>7.5689999999999993E-2</v>
      </c>
      <c r="BH103">
        <f>VLOOKUP(B103,Miljö!$B$1:$BX$482,MATCH("Fossilandel för ursprungspecificerad el ()",Miljö!$B$1:$I$1,0),FALSE)</f>
        <v>0</v>
      </c>
      <c r="BI103">
        <f>VLOOKUP(B103,Miljö!$B$1:$BX$482,MATCH("Kärnkraftsandel för ursprungsspecificerad el ()",Miljö!$B$1:$O$1,0),FALSE)</f>
        <v>0</v>
      </c>
      <c r="BJ103">
        <f t="shared" ref="BJ103:BJ161" si="57">AG103</f>
        <v>0</v>
      </c>
      <c r="BK103" t="str">
        <f>VLOOKUP(B103,Miljö!$B$1:$O$482,MATCH("Fossil andel i procent (%)",Miljö!$B$1:$O$1,0),FALSE)</f>
        <v>ET</v>
      </c>
      <c r="BL103">
        <f t="shared" ref="BL103:BL161" si="58">SUM(BC103:BG103,BJ103)</f>
        <v>3.3416899999999998</v>
      </c>
      <c r="BO103" s="18">
        <f t="shared" ref="BO103:BO161" si="59">IF(AP103="ja",(BC103+IFERROR(BG103*BH103,0)+IFERROR(BJ103*BK103/100,0))/$BL103,"")</f>
        <v>2.5436231367960527E-2</v>
      </c>
      <c r="BP103" s="18">
        <f t="shared" ref="BP103:BP161" si="60">IF(AP103="ja",(BD103+IFERROR(BG103*BI103,0)+IFERROR(BJ103*(1-BK103/100),0))/$BL103,"")</f>
        <v>0</v>
      </c>
      <c r="BQ103" s="18">
        <f t="shared" ref="BQ103:BQ161" si="61">IF(AP103="ja",(BE103+IFERROR(BG103*(1-BH103-BI103),0))/$BL103,"")</f>
        <v>7.3522678644637907E-2</v>
      </c>
      <c r="BR103" s="18">
        <f t="shared" ref="BR103:BR161" si="62">IF(AP103="ja",BF103/$BL103,"")</f>
        <v>0.90104108998740162</v>
      </c>
      <c r="BT103" s="27">
        <f t="shared" ref="BT103:BT161" si="63">SUM(BO103:BR103)</f>
        <v>1</v>
      </c>
      <c r="BW103" s="18">
        <f>IF(AP103="ja",VLOOKUP(B103,Miljövärden!$B$2:$H$550,MATCH("Total andel fossilt",Miljövärden!$B$2:$H$2,0),FALSE),"")</f>
        <v>2.5436199999999999E-2</v>
      </c>
      <c r="BZ103" s="28">
        <f t="shared" ref="BZ103:BZ161" si="64">IFERROR(BW103-BO103,"")</f>
        <v>-3.1367960527661776E-8</v>
      </c>
      <c r="CA103" s="28">
        <f t="shared" ref="CA103:CA161" si="65">IFERROR(ROUND(BW103,3)-ROUND(BO103,3),"")</f>
        <v>0</v>
      </c>
    </row>
    <row r="104" spans="1:79" x14ac:dyDescent="0.25">
      <c r="A104" s="224" t="s">
        <v>335</v>
      </c>
      <c r="B104" s="210" t="s">
        <v>336</v>
      </c>
      <c r="C104" s="121">
        <f>VLOOKUP($B104,'Tillförd energi'!$B$1:$AI$720,MATCH(C$1,'Tillförd energi'!$B$1:$AQ$1,0),FALSE)</f>
        <v>0</v>
      </c>
      <c r="D104" s="121">
        <f>VLOOKUP($B104,'Tillförd energi'!$B$1:$AI$720,MATCH(D$1,'Tillförd energi'!$B$1:$AQ$1,0),FALSE)</f>
        <v>0</v>
      </c>
      <c r="E104" s="121">
        <f>VLOOKUP($B104,'Tillförd energi'!$B$1:$AI$720,MATCH(E$1,'Tillförd energi'!$B$1:$AQ$1,0),FALSE)</f>
        <v>0</v>
      </c>
      <c r="F104" s="121">
        <f>VLOOKUP($B104,'Tillförd energi'!$B$1:$AI$720,MATCH(F$1,'Tillförd energi'!$B$1:$AQ$1,0),FALSE)</f>
        <v>0</v>
      </c>
      <c r="G104" s="121">
        <f>VLOOKUP($B104,'Tillförd energi'!$B$1:$AI$720,MATCH(G$1,'Tillförd energi'!$B$1:$AQ$1,0),FALSE)</f>
        <v>0</v>
      </c>
      <c r="H104" s="121">
        <f>VLOOKUP($B104,'Tillförd energi'!$B$1:$AI$720,MATCH(H$1,'Tillförd energi'!$B$1:$AQ$1,0),FALSE)</f>
        <v>0</v>
      </c>
      <c r="I104" s="121">
        <f>VLOOKUP($B104,'Tillförd energi'!$B$1:$AI$720,MATCH(I$1,'Tillförd energi'!$B$1:$AQ$1,0),FALSE)</f>
        <v>0</v>
      </c>
      <c r="J104" s="121">
        <f>VLOOKUP($B104,'Tillförd energi'!$B$1:$AI$720,MATCH(J$1,'Tillförd energi'!$B$1:$AQ$1,0),FALSE)</f>
        <v>0</v>
      </c>
      <c r="K104" s="121">
        <f>VLOOKUP($B104,'Tillförd energi'!$B$1:$AI$720,MATCH(K$1,'Tillförd energi'!$B$1:$AQ$1,0),FALSE)</f>
        <v>0</v>
      </c>
      <c r="L104" s="121">
        <f>VLOOKUP($B104,'Tillförd energi'!$B$1:$AI$720,MATCH(L$1,'Tillförd energi'!$B$1:$AQ$1,0),FALSE)</f>
        <v>0</v>
      </c>
      <c r="M104" s="121">
        <f>VLOOKUP($B104,'Tillförd energi'!$B$1:$AI$720,MATCH(M$1,'Tillförd energi'!$B$1:$AQ$1,0),FALSE)</f>
        <v>0</v>
      </c>
      <c r="N104" s="121">
        <f>VLOOKUP($B104,'Tillförd energi'!$B$1:$AI$720,MATCH(N$1,'Tillförd energi'!$B$1:$AQ$1,0),FALSE)</f>
        <v>4.4000000000000004</v>
      </c>
      <c r="O104" s="121">
        <f>VLOOKUP($B104,'Tillförd energi'!$B$1:$AI$720,MATCH(O$1,'Tillförd energi'!$B$1:$AQ$1,0),FALSE)</f>
        <v>0</v>
      </c>
      <c r="P104" s="121">
        <f>VLOOKUP($B104,'Tillförd energi'!$B$1:$AI$720,MATCH(P$1,'Tillförd energi'!$B$1:$AQ$1,0),FALSE)</f>
        <v>27.4</v>
      </c>
      <c r="Q104" s="121">
        <f>VLOOKUP($B104,'Tillförd energi'!$B$1:$AI$720,MATCH(Q$1,'Tillförd energi'!$B$1:$AQ$1,0),FALSE)</f>
        <v>0</v>
      </c>
      <c r="R104" s="121">
        <f>VLOOKUP($B104,'Tillförd energi'!$B$1:$AI$720,MATCH(R$1,'Tillförd energi'!$B$1:$AQ$1,0),FALSE)</f>
        <v>0</v>
      </c>
      <c r="S104" s="121">
        <f>VLOOKUP($B104,'Tillförd energi'!$B$1:$AI$720,MATCH(S$1,'Tillförd energi'!$B$1:$AQ$1,0),FALSE)</f>
        <v>0</v>
      </c>
      <c r="T104" s="121">
        <f>VLOOKUP($B104,'Tillförd energi'!$B$1:$AI$720,MATCH(T$1,'Tillförd energi'!$B$1:$AQ$1,0),FALSE)</f>
        <v>0</v>
      </c>
      <c r="U104" s="121">
        <f>VLOOKUP($B104,'Tillförd energi'!$B$1:$AI$720,MATCH(U$1,'Tillförd energi'!$B$1:$AQ$1,0),FALSE)</f>
        <v>0</v>
      </c>
      <c r="V104" s="121">
        <f>VLOOKUP($B104,'Tillförd energi'!$B$1:$AI$720,MATCH(V$1,'Tillförd energi'!$B$1:$AQ$1,0),FALSE)</f>
        <v>0</v>
      </c>
      <c r="W104" s="121">
        <f>VLOOKUP($B104,'Tillförd energi'!$B$1:$AI$720,MATCH(W$1,'Tillförd energi'!$B$1:$AQ$1,0),FALSE)</f>
        <v>1.3</v>
      </c>
      <c r="X104" s="121">
        <f>VLOOKUP($B104,'Tillförd energi'!$B$1:$AI$720,MATCH(X$1,'Tillförd energi'!$B$1:$AQ$1,0),FALSE)</f>
        <v>0</v>
      </c>
      <c r="Y104" s="121">
        <f>VLOOKUP($B104,'Tillförd energi'!$B$1:$AI$720,MATCH(Y$1,'Tillförd energi'!$B$1:$AQ$1,0),FALSE)</f>
        <v>0</v>
      </c>
      <c r="Z104" s="121">
        <f>VLOOKUP($B104,'Tillförd energi'!$B$1:$AI$720,MATCH(Z$1,'Tillförd energi'!$B$1:$AQ$1,0),FALSE)</f>
        <v>0</v>
      </c>
      <c r="AA104" s="121">
        <f>VLOOKUP($B104,'Tillförd energi'!$B$1:$AI$720,MATCH(AA$1,'Tillförd energi'!$B$1:$AQ$1,0),FALSE)</f>
        <v>0</v>
      </c>
      <c r="AB104" s="121">
        <f>VLOOKUP($B104,'Tillförd energi'!$B$1:$AI$720,MATCH(AB$1,'Tillförd energi'!$B$1:$AQ$1,0),FALSE)</f>
        <v>0</v>
      </c>
      <c r="AC104" s="121">
        <f>VLOOKUP($B104,'Tillförd energi'!$B$1:$AI$720,MATCH(AC$1,'Tillförd energi'!$B$1:$AQ$1,0),FALSE)</f>
        <v>0</v>
      </c>
      <c r="AD104" s="121">
        <f>VLOOKUP($B104,'Tillförd energi'!$B$1:$AI$720,MATCH(AD$1,'Tillförd energi'!$B$1:$AQ$1,0),FALSE)</f>
        <v>0</v>
      </c>
      <c r="AE104" s="121">
        <f>VLOOKUP($B104,'Tillförd energi'!$B$1:$AI$720,MATCH(AE$1,'Tillförd energi'!$B$1:$AQ$1,0),FALSE)</f>
        <v>0</v>
      </c>
      <c r="AF104" s="121">
        <f>VLOOKUP($B104,'Tillförd energi'!$B$1:$AI$720,MATCH(AF$1,'Tillförd energi'!$B$1:$AQ$1,0),FALSE)</f>
        <v>0.27</v>
      </c>
      <c r="AG104" s="121">
        <f>IFERROR(VLOOKUP(B104,Miljö!$B$1:$AC$550,MATCH("Köpt mängd produktionsspecifik fjärrvärme:",Miljö!$B$1:$AC$1,0),FALSE)/1,0)</f>
        <v>0</v>
      </c>
      <c r="AH104" s="121"/>
      <c r="AI104" s="121">
        <f t="shared" si="44"/>
        <v>33.369999999999997</v>
      </c>
      <c r="AJ104" s="121">
        <f t="shared" si="45"/>
        <v>33.369999999999997</v>
      </c>
      <c r="AK104" s="121">
        <f>IF(ISERROR(1/VLOOKUP($B104,Leveranser!$B$1:$S$499,MATCH("såld värme (gwh)",Leveranser!$B$1:$S$1,0),FALSE)),"",VLOOKUP($B104,Leveranser!$B$1:$S$499,MATCH("såld värme (gwh)",Leveranser!$B$1:$S$1,0),FALSE))</f>
        <v>21.3</v>
      </c>
      <c r="AL104" s="121">
        <f>VLOOKUP($B104,Leveranser!$B$1:$Y$499,MATCH("Totalt såld fjärrvärme till andra fjärrvärmeföretag",Leveranser!$B$1:$AA$1,0),FALSE)</f>
        <v>0</v>
      </c>
      <c r="AM104" s="121">
        <f>IF(ISERROR(1/VLOOKUP($B104,Miljö!$B$1:$S$500,MATCH("Såld mängd produktionsspecifik fjärrvärme (GWh)",Miljö!$B$1:$R$1,0),FALSE)),0,VLOOKUP($B104,Miljö!$B$1:$S$500,MATCH("Såld mängd produktionsspecifik fjärrvärme (GWh)",Miljö!$B$1:$R$1,0),FALSE))</f>
        <v>0</v>
      </c>
      <c r="AN104" s="172">
        <f t="shared" si="46"/>
        <v>0.63829787234042556</v>
      </c>
      <c r="AO104" s="121"/>
      <c r="AP104" s="121" t="str">
        <f>IFERROR(VLOOKUP($B104,Miljövärden!$B$2:$H$550,7,FALSE),"Nej, saknas")</f>
        <v>Ja</v>
      </c>
      <c r="AQ104" s="121" t="str">
        <f>IFERROR(VLOOKUP($B104,Miljövärden!$B$2:$H$550,6,FALSE),"Nej, saknas")</f>
        <v>Nej</v>
      </c>
      <c r="AU104">
        <f t="shared" si="47"/>
        <v>0.27</v>
      </c>
      <c r="AV104">
        <f t="shared" si="48"/>
        <v>0</v>
      </c>
      <c r="AW104">
        <f t="shared" si="49"/>
        <v>31.799999999999997</v>
      </c>
      <c r="AX104">
        <f t="shared" si="50"/>
        <v>0</v>
      </c>
      <c r="AZ104">
        <f t="shared" si="51"/>
        <v>33.099999999999994</v>
      </c>
      <c r="BC104">
        <f t="shared" si="52"/>
        <v>0</v>
      </c>
      <c r="BD104">
        <f t="shared" si="53"/>
        <v>0</v>
      </c>
      <c r="BE104">
        <f t="shared" si="54"/>
        <v>33.099999999999994</v>
      </c>
      <c r="BF104">
        <f t="shared" si="55"/>
        <v>0</v>
      </c>
      <c r="BG104">
        <f t="shared" si="56"/>
        <v>0.27</v>
      </c>
      <c r="BH104">
        <f>VLOOKUP(B104,Miljö!$B$1:$BX$482,MATCH("Fossilandel för ursprungspecificerad el ()",Miljö!$B$1:$I$1,0),FALSE)</f>
        <v>0</v>
      </c>
      <c r="BI104">
        <f>VLOOKUP(B104,Miljö!$B$1:$BX$482,MATCH("Kärnkraftsandel för ursprungsspecificerad el ()",Miljö!$B$1:$O$1,0),FALSE)</f>
        <v>0</v>
      </c>
      <c r="BJ104">
        <f t="shared" si="57"/>
        <v>0</v>
      </c>
      <c r="BK104" t="str">
        <f>VLOOKUP(B104,Miljö!$B$1:$O$482,MATCH("Fossil andel i procent (%)",Miljö!$B$1:$O$1,0),FALSE)</f>
        <v>ET</v>
      </c>
      <c r="BL104">
        <f t="shared" si="58"/>
        <v>33.369999999999997</v>
      </c>
      <c r="BO104" s="18">
        <f t="shared" si="59"/>
        <v>0</v>
      </c>
      <c r="BP104" s="18">
        <f t="shared" si="60"/>
        <v>0</v>
      </c>
      <c r="BQ104" s="18">
        <f t="shared" si="61"/>
        <v>1</v>
      </c>
      <c r="BR104" s="18">
        <f t="shared" si="62"/>
        <v>0</v>
      </c>
      <c r="BT104" s="27">
        <f t="shared" si="63"/>
        <v>1</v>
      </c>
      <c r="BW104" s="18">
        <f>IF(AP104="ja",VLOOKUP(B104,Miljövärden!$B$2:$H$550,MATCH("Total andel fossilt",Miljövärden!$B$2:$H$2,0),FALSE),"")</f>
        <v>0</v>
      </c>
      <c r="BZ104" s="28">
        <f t="shared" si="64"/>
        <v>0</v>
      </c>
      <c r="CA104" s="28">
        <f t="shared" si="65"/>
        <v>0</v>
      </c>
    </row>
    <row r="105" spans="1:79" x14ac:dyDescent="0.25">
      <c r="A105" s="224" t="s">
        <v>337</v>
      </c>
      <c r="B105" s="210" t="s">
        <v>338</v>
      </c>
      <c r="C105" s="121">
        <f>VLOOKUP($B105,'Tillförd energi'!$B$1:$AI$720,MATCH(C$1,'Tillförd energi'!$B$1:$AQ$1,0),FALSE)</f>
        <v>0</v>
      </c>
      <c r="D105" s="121">
        <f>VLOOKUP($B105,'Tillförd energi'!$B$1:$AI$720,MATCH(D$1,'Tillförd energi'!$B$1:$AQ$1,0),FALSE)</f>
        <v>0.50900000000000001</v>
      </c>
      <c r="E105" s="121">
        <f>VLOOKUP($B105,'Tillförd energi'!$B$1:$AI$720,MATCH(E$1,'Tillförd energi'!$B$1:$AQ$1,0),FALSE)</f>
        <v>0</v>
      </c>
      <c r="F105" s="121">
        <f>VLOOKUP($B105,'Tillförd energi'!$B$1:$AI$720,MATCH(F$1,'Tillförd energi'!$B$1:$AQ$1,0),FALSE)</f>
        <v>0</v>
      </c>
      <c r="G105" s="121">
        <f>VLOOKUP($B105,'Tillförd energi'!$B$1:$AI$720,MATCH(G$1,'Tillförd energi'!$B$1:$AQ$1,0),FALSE)</f>
        <v>0</v>
      </c>
      <c r="H105" s="121">
        <f>VLOOKUP($B105,'Tillförd energi'!$B$1:$AI$720,MATCH(H$1,'Tillförd energi'!$B$1:$AQ$1,0),FALSE)</f>
        <v>0</v>
      </c>
      <c r="I105" s="121">
        <f>VLOOKUP($B105,'Tillförd energi'!$B$1:$AI$720,MATCH(I$1,'Tillförd energi'!$B$1:$AQ$1,0),FALSE)</f>
        <v>0</v>
      </c>
      <c r="J105" s="121">
        <f>VLOOKUP($B105,'Tillförd energi'!$B$1:$AI$720,MATCH(J$1,'Tillförd energi'!$B$1:$AQ$1,0),FALSE)</f>
        <v>0</v>
      </c>
      <c r="K105" s="121">
        <f>VLOOKUP($B105,'Tillförd energi'!$B$1:$AI$720,MATCH(K$1,'Tillförd energi'!$B$1:$AQ$1,0),FALSE)</f>
        <v>0</v>
      </c>
      <c r="L105" s="121">
        <f>VLOOKUP($B105,'Tillförd energi'!$B$1:$AI$720,MATCH(L$1,'Tillförd energi'!$B$1:$AQ$1,0),FALSE)</f>
        <v>0</v>
      </c>
      <c r="M105" s="121">
        <f>VLOOKUP($B105,'Tillförd energi'!$B$1:$AI$720,MATCH(M$1,'Tillförd energi'!$B$1:$AQ$1,0),FALSE)</f>
        <v>1.62</v>
      </c>
      <c r="N105" s="121">
        <f>VLOOKUP($B105,'Tillförd energi'!$B$1:$AI$720,MATCH(N$1,'Tillförd energi'!$B$1:$AQ$1,0),FALSE)</f>
        <v>4.59</v>
      </c>
      <c r="O105" s="121">
        <f>VLOOKUP($B105,'Tillförd energi'!$B$1:$AI$720,MATCH(O$1,'Tillförd energi'!$B$1:$AQ$1,0),FALSE)</f>
        <v>0</v>
      </c>
      <c r="P105" s="121">
        <f>VLOOKUP($B105,'Tillförd energi'!$B$1:$AI$720,MATCH(P$1,'Tillförd energi'!$B$1:$AQ$1,0),FALSE)</f>
        <v>5.3</v>
      </c>
      <c r="Q105" s="121">
        <f>VLOOKUP($B105,'Tillförd energi'!$B$1:$AI$720,MATCH(Q$1,'Tillförd energi'!$B$1:$AQ$1,0),FALSE)</f>
        <v>4.5999999999999996</v>
      </c>
      <c r="R105" s="121">
        <f>VLOOKUP($B105,'Tillförd energi'!$B$1:$AI$720,MATCH(R$1,'Tillförd energi'!$B$1:$AQ$1,0),FALSE)</f>
        <v>0</v>
      </c>
      <c r="S105" s="121">
        <f>VLOOKUP($B105,'Tillförd energi'!$B$1:$AI$720,MATCH(S$1,'Tillförd energi'!$B$1:$AQ$1,0),FALSE)</f>
        <v>0</v>
      </c>
      <c r="T105" s="121">
        <f>VLOOKUP($B105,'Tillförd energi'!$B$1:$AI$720,MATCH(T$1,'Tillförd energi'!$B$1:$AQ$1,0),FALSE)</f>
        <v>0</v>
      </c>
      <c r="U105" s="121">
        <f>VLOOKUP($B105,'Tillförd energi'!$B$1:$AI$720,MATCH(U$1,'Tillförd energi'!$B$1:$AQ$1,0),FALSE)</f>
        <v>0</v>
      </c>
      <c r="V105" s="121">
        <f>VLOOKUP($B105,'Tillförd energi'!$B$1:$AI$720,MATCH(V$1,'Tillförd energi'!$B$1:$AQ$1,0),FALSE)</f>
        <v>0</v>
      </c>
      <c r="W105" s="121">
        <f>VLOOKUP($B105,'Tillförd energi'!$B$1:$AI$720,MATCH(W$1,'Tillförd energi'!$B$1:$AQ$1,0),FALSE)</f>
        <v>0</v>
      </c>
      <c r="X105" s="121">
        <f>VLOOKUP($B105,'Tillförd energi'!$B$1:$AI$720,MATCH(X$1,'Tillförd energi'!$B$1:$AQ$1,0),FALSE)</f>
        <v>0</v>
      </c>
      <c r="Y105" s="121">
        <f>VLOOKUP($B105,'Tillförd energi'!$B$1:$AI$720,MATCH(Y$1,'Tillförd energi'!$B$1:$AQ$1,0),FALSE)</f>
        <v>0</v>
      </c>
      <c r="Z105" s="121">
        <f>VLOOKUP($B105,'Tillförd energi'!$B$1:$AI$720,MATCH(Z$1,'Tillförd energi'!$B$1:$AQ$1,0),FALSE)</f>
        <v>0</v>
      </c>
      <c r="AA105" s="121">
        <f>VLOOKUP($B105,'Tillförd energi'!$B$1:$AI$720,MATCH(AA$1,'Tillförd energi'!$B$1:$AQ$1,0),FALSE)</f>
        <v>0</v>
      </c>
      <c r="AB105" s="121">
        <f>VLOOKUP($B105,'Tillförd energi'!$B$1:$AI$720,MATCH(AB$1,'Tillförd energi'!$B$1:$AQ$1,0),FALSE)</f>
        <v>0</v>
      </c>
      <c r="AC105" s="121">
        <f>VLOOKUP($B105,'Tillförd energi'!$B$1:$AI$720,MATCH(AC$1,'Tillförd energi'!$B$1:$AQ$1,0),FALSE)</f>
        <v>2.6960000000000002</v>
      </c>
      <c r="AD105" s="121">
        <f>VLOOKUP($B105,'Tillförd energi'!$B$1:$AI$720,MATCH(AD$1,'Tillförd energi'!$B$1:$AQ$1,0),FALSE)</f>
        <v>0</v>
      </c>
      <c r="AE105" s="121">
        <f>VLOOKUP($B105,'Tillförd energi'!$B$1:$AI$720,MATCH(AE$1,'Tillförd energi'!$B$1:$AQ$1,0),FALSE)</f>
        <v>0</v>
      </c>
      <c r="AF105" s="121">
        <f>VLOOKUP($B105,'Tillförd energi'!$B$1:$AI$720,MATCH(AF$1,'Tillförd energi'!$B$1:$AQ$1,0),FALSE)</f>
        <v>0.216</v>
      </c>
      <c r="AG105" s="121">
        <f>IFERROR(VLOOKUP(B105,Miljö!$B$1:$AC$550,MATCH("Köpt mängd produktionsspecifik fjärrvärme:",Miljö!$B$1:$AC$1,0),FALSE)/1,0)</f>
        <v>0</v>
      </c>
      <c r="AH105" s="121"/>
      <c r="AI105" s="121">
        <f t="shared" si="44"/>
        <v>19.531000000000002</v>
      </c>
      <c r="AJ105" s="121">
        <f t="shared" si="45"/>
        <v>19.531000000000002</v>
      </c>
      <c r="AK105" s="121">
        <f>IF(ISERROR(1/VLOOKUP($B105,Leveranser!$B$1:$S$499,MATCH("såld värme (gwh)",Leveranser!$B$1:$S$1,0),FALSE)),"",VLOOKUP($B105,Leveranser!$B$1:$S$499,MATCH("såld värme (gwh)",Leveranser!$B$1:$S$1,0),FALSE))</f>
        <v>11.32</v>
      </c>
      <c r="AL105" s="121">
        <f>VLOOKUP($B105,Leveranser!$B$1:$Y$499,MATCH("Totalt såld fjärrvärme till andra fjärrvärmeföretag",Leveranser!$B$1:$AA$1,0),FALSE)</f>
        <v>0</v>
      </c>
      <c r="AM105" s="121">
        <f>IF(ISERROR(1/VLOOKUP($B105,Miljö!$B$1:$S$500,MATCH("Såld mängd produktionsspecifik fjärrvärme (GWh)",Miljö!$B$1:$R$1,0),FALSE)),0,VLOOKUP($B105,Miljö!$B$1:$S$500,MATCH("Såld mängd produktionsspecifik fjärrvärme (GWh)",Miljö!$B$1:$R$1,0),FALSE))</f>
        <v>0</v>
      </c>
      <c r="AN105" s="172">
        <f t="shared" si="46"/>
        <v>0.57959141877016018</v>
      </c>
      <c r="AO105" s="121"/>
      <c r="AP105" s="121" t="str">
        <f>IFERROR(VLOOKUP($B105,Miljövärden!$B$2:$H$550,7,FALSE),"Nej, saknas")</f>
        <v>Ja</v>
      </c>
      <c r="AQ105" s="121" t="str">
        <f>IFERROR(VLOOKUP($B105,Miljövärden!$B$2:$H$550,6,FALSE),"Nej, saknas")</f>
        <v>Ja</v>
      </c>
      <c r="AU105">
        <f t="shared" si="47"/>
        <v>0.216</v>
      </c>
      <c r="AV105">
        <f t="shared" si="48"/>
        <v>0</v>
      </c>
      <c r="AW105">
        <f t="shared" si="49"/>
        <v>16.11</v>
      </c>
      <c r="AX105">
        <f t="shared" si="50"/>
        <v>0</v>
      </c>
      <c r="AZ105">
        <f t="shared" si="51"/>
        <v>16.11</v>
      </c>
      <c r="BC105">
        <f t="shared" si="52"/>
        <v>0.50900000000000001</v>
      </c>
      <c r="BD105">
        <f t="shared" si="53"/>
        <v>0</v>
      </c>
      <c r="BE105">
        <f t="shared" si="54"/>
        <v>16.11</v>
      </c>
      <c r="BF105">
        <f t="shared" si="55"/>
        <v>2.6960000000000002</v>
      </c>
      <c r="BG105">
        <f t="shared" si="56"/>
        <v>0.216</v>
      </c>
      <c r="BH105">
        <f>VLOOKUP(B105,Miljö!$B$1:$BX$482,MATCH("Fossilandel för ursprungspecificerad el ()",Miljö!$B$1:$I$1,0),FALSE)</f>
        <v>0.43</v>
      </c>
      <c r="BI105">
        <f>VLOOKUP(B105,Miljö!$B$1:$BX$482,MATCH("Kärnkraftsandel för ursprungsspecificerad el ()",Miljö!$B$1:$O$1,0),FALSE)</f>
        <v>0.40550000000000003</v>
      </c>
      <c r="BJ105">
        <f t="shared" si="57"/>
        <v>0</v>
      </c>
      <c r="BK105" t="str">
        <f>VLOOKUP(B105,Miljö!$B$1:$O$482,MATCH("Fossil andel i procent (%)",Miljö!$B$1:$O$1,0),FALSE)</f>
        <v>ET</v>
      </c>
      <c r="BL105">
        <f t="shared" si="58"/>
        <v>19.531000000000002</v>
      </c>
      <c r="BO105" s="18">
        <f t="shared" si="59"/>
        <v>3.0816650453125795E-2</v>
      </c>
      <c r="BP105" s="18">
        <f t="shared" si="60"/>
        <v>4.4845630024064305E-3</v>
      </c>
      <c r="BQ105" s="18">
        <f t="shared" si="61"/>
        <v>0.82666181967129171</v>
      </c>
      <c r="BR105" s="18">
        <f t="shared" si="62"/>
        <v>0.13803696687317596</v>
      </c>
      <c r="BT105" s="27">
        <f t="shared" si="63"/>
        <v>1</v>
      </c>
      <c r="BW105" s="18">
        <f>IF(AP105="ja",VLOOKUP(B105,Miljövärden!$B$2:$H$550,MATCH("Total andel fossilt",Miljövärden!$B$2:$H$2,0),FALSE),"")</f>
        <v>3.0816699999999999E-2</v>
      </c>
      <c r="BZ105" s="28">
        <f t="shared" si="64"/>
        <v>4.954687420413717E-8</v>
      </c>
      <c r="CA105" s="28">
        <f t="shared" si="65"/>
        <v>0</v>
      </c>
    </row>
    <row r="106" spans="1:79" x14ac:dyDescent="0.25">
      <c r="A106" s="224" t="s">
        <v>337</v>
      </c>
      <c r="B106" s="210" t="s">
        <v>339</v>
      </c>
      <c r="C106" s="121">
        <f>VLOOKUP($B106,'Tillförd energi'!$B$1:$AI$720,MATCH(C$1,'Tillförd energi'!$B$1:$AQ$1,0),FALSE)</f>
        <v>0</v>
      </c>
      <c r="D106" s="121">
        <f>VLOOKUP($B106,'Tillförd energi'!$B$1:$AI$720,MATCH(D$1,'Tillförd energi'!$B$1:$AQ$1,0),FALSE)</f>
        <v>0.57799999999999996</v>
      </c>
      <c r="E106" s="121">
        <f>VLOOKUP($B106,'Tillförd energi'!$B$1:$AI$720,MATCH(E$1,'Tillförd energi'!$B$1:$AQ$1,0),FALSE)</f>
        <v>0</v>
      </c>
      <c r="F106" s="121">
        <f>VLOOKUP($B106,'Tillförd energi'!$B$1:$AI$720,MATCH(F$1,'Tillförd energi'!$B$1:$AQ$1,0),FALSE)</f>
        <v>0</v>
      </c>
      <c r="G106" s="121">
        <f>VLOOKUP($B106,'Tillförd energi'!$B$1:$AI$720,MATCH(G$1,'Tillförd energi'!$B$1:$AQ$1,0),FALSE)</f>
        <v>8.6999999999999993</v>
      </c>
      <c r="H106" s="121">
        <f>VLOOKUP($B106,'Tillförd energi'!$B$1:$AI$720,MATCH(H$1,'Tillförd energi'!$B$1:$AQ$1,0),FALSE)</f>
        <v>0</v>
      </c>
      <c r="I106" s="121">
        <f>VLOOKUP($B106,'Tillförd energi'!$B$1:$AI$720,MATCH(I$1,'Tillförd energi'!$B$1:$AQ$1,0),FALSE)</f>
        <v>0</v>
      </c>
      <c r="J106" s="121">
        <f>VLOOKUP($B106,'Tillförd energi'!$B$1:$AI$720,MATCH(J$1,'Tillförd energi'!$B$1:$AQ$1,0),FALSE)</f>
        <v>0</v>
      </c>
      <c r="K106" s="121">
        <f>VLOOKUP($B106,'Tillförd energi'!$B$1:$AI$720,MATCH(K$1,'Tillförd energi'!$B$1:$AQ$1,0),FALSE)</f>
        <v>0</v>
      </c>
      <c r="L106" s="121">
        <f>VLOOKUP($B106,'Tillförd energi'!$B$1:$AI$720,MATCH(L$1,'Tillförd energi'!$B$1:$AQ$1,0),FALSE)</f>
        <v>0</v>
      </c>
      <c r="M106" s="121">
        <f>VLOOKUP($B106,'Tillförd energi'!$B$1:$AI$720,MATCH(M$1,'Tillförd energi'!$B$1:$AQ$1,0),FALSE)</f>
        <v>8.7899999999999991</v>
      </c>
      <c r="N106" s="121">
        <f>VLOOKUP($B106,'Tillförd energi'!$B$1:$AI$720,MATCH(N$1,'Tillförd energi'!$B$1:$AQ$1,0),FALSE)</f>
        <v>14.26</v>
      </c>
      <c r="O106" s="121">
        <f>VLOOKUP($B106,'Tillförd energi'!$B$1:$AI$720,MATCH(O$1,'Tillförd energi'!$B$1:$AQ$1,0),FALSE)</f>
        <v>0</v>
      </c>
      <c r="P106" s="121">
        <f>VLOOKUP($B106,'Tillförd energi'!$B$1:$AI$720,MATCH(P$1,'Tillförd energi'!$B$1:$AQ$1,0),FALSE)</f>
        <v>21.72</v>
      </c>
      <c r="Q106" s="121">
        <f>VLOOKUP($B106,'Tillförd energi'!$B$1:$AI$720,MATCH(Q$1,'Tillförd energi'!$B$1:$AQ$1,0),FALSE)</f>
        <v>7.03</v>
      </c>
      <c r="R106" s="121">
        <f>VLOOKUP($B106,'Tillförd energi'!$B$1:$AI$720,MATCH(R$1,'Tillförd energi'!$B$1:$AQ$1,0),FALSE)</f>
        <v>0</v>
      </c>
      <c r="S106" s="121">
        <f>VLOOKUP($B106,'Tillförd energi'!$B$1:$AI$720,MATCH(S$1,'Tillförd energi'!$B$1:$AQ$1,0),FALSE)</f>
        <v>0</v>
      </c>
      <c r="T106" s="121">
        <f>VLOOKUP($B106,'Tillförd energi'!$B$1:$AI$720,MATCH(T$1,'Tillförd energi'!$B$1:$AQ$1,0),FALSE)</f>
        <v>0</v>
      </c>
      <c r="U106" s="121">
        <f>VLOOKUP($B106,'Tillförd energi'!$B$1:$AI$720,MATCH(U$1,'Tillförd energi'!$B$1:$AQ$1,0),FALSE)</f>
        <v>0</v>
      </c>
      <c r="V106" s="121">
        <f>VLOOKUP($B106,'Tillförd energi'!$B$1:$AI$720,MATCH(V$1,'Tillförd energi'!$B$1:$AQ$1,0),FALSE)</f>
        <v>0</v>
      </c>
      <c r="W106" s="121">
        <f>VLOOKUP($B106,'Tillförd energi'!$B$1:$AI$720,MATCH(W$1,'Tillförd energi'!$B$1:$AQ$1,0),FALSE)</f>
        <v>0</v>
      </c>
      <c r="X106" s="121">
        <f>VLOOKUP($B106,'Tillförd energi'!$B$1:$AI$720,MATCH(X$1,'Tillförd energi'!$B$1:$AQ$1,0),FALSE)</f>
        <v>0</v>
      </c>
      <c r="Y106" s="121">
        <f>VLOOKUP($B106,'Tillförd energi'!$B$1:$AI$720,MATCH(Y$1,'Tillförd energi'!$B$1:$AQ$1,0),FALSE)</f>
        <v>0</v>
      </c>
      <c r="Z106" s="121">
        <f>VLOOKUP($B106,'Tillförd energi'!$B$1:$AI$720,MATCH(Z$1,'Tillförd energi'!$B$1:$AQ$1,0),FALSE)</f>
        <v>0</v>
      </c>
      <c r="AA106" s="121">
        <f>VLOOKUP($B106,'Tillförd energi'!$B$1:$AI$720,MATCH(AA$1,'Tillförd energi'!$B$1:$AQ$1,0),FALSE)</f>
        <v>0</v>
      </c>
      <c r="AB106" s="121">
        <f>VLOOKUP($B106,'Tillförd energi'!$B$1:$AI$720,MATCH(AB$1,'Tillförd energi'!$B$1:$AQ$1,0),FALSE)</f>
        <v>0</v>
      </c>
      <c r="AC106" s="121">
        <f>VLOOKUP($B106,'Tillförd energi'!$B$1:$AI$720,MATCH(AC$1,'Tillförd energi'!$B$1:$AQ$1,0),FALSE)</f>
        <v>6.6</v>
      </c>
      <c r="AD106" s="121">
        <f>VLOOKUP($B106,'Tillförd energi'!$B$1:$AI$720,MATCH(AD$1,'Tillförd energi'!$B$1:$AQ$1,0),FALSE)</f>
        <v>9.9000000000000005E-2</v>
      </c>
      <c r="AE106" s="121">
        <f>VLOOKUP($B106,'Tillförd energi'!$B$1:$AI$720,MATCH(AE$1,'Tillförd energi'!$B$1:$AQ$1,0),FALSE)</f>
        <v>0</v>
      </c>
      <c r="AF106" s="121">
        <f>VLOOKUP($B106,'Tillförd energi'!$B$1:$AI$720,MATCH(AF$1,'Tillförd energi'!$B$1:$AQ$1,0),FALSE)</f>
        <v>0.96299999999999997</v>
      </c>
      <c r="AG106" s="121">
        <f>IFERROR(VLOOKUP(B106,Miljö!$B$1:$AC$550,MATCH("Köpt mängd produktionsspecifik fjärrvärme:",Miljö!$B$1:$AC$1,0),FALSE)/1,0)</f>
        <v>0</v>
      </c>
      <c r="AH106" s="121"/>
      <c r="AI106" s="121">
        <f t="shared" si="44"/>
        <v>68.739999999999995</v>
      </c>
      <c r="AJ106" s="121">
        <f t="shared" si="45"/>
        <v>68.739999999999995</v>
      </c>
      <c r="AK106" s="121">
        <f>IF(ISERROR(1/VLOOKUP($B106,Leveranser!$B$1:$S$499,MATCH("såld värme (gwh)",Leveranser!$B$1:$S$1,0),FALSE)),"",VLOOKUP($B106,Leveranser!$B$1:$S$499,MATCH("såld värme (gwh)",Leveranser!$B$1:$S$1,0),FALSE))</f>
        <v>51.68</v>
      </c>
      <c r="AL106" s="121">
        <f>VLOOKUP($B106,Leveranser!$B$1:$Y$499,MATCH("Totalt såld fjärrvärme till andra fjärrvärmeföretag",Leveranser!$B$1:$AA$1,0),FALSE)</f>
        <v>0</v>
      </c>
      <c r="AM106" s="121">
        <f>IF(ISERROR(1/VLOOKUP($B106,Miljö!$B$1:$S$500,MATCH("Såld mängd produktionsspecifik fjärrvärme (GWh)",Miljö!$B$1:$R$1,0),FALSE)),0,VLOOKUP($B106,Miljö!$B$1:$S$500,MATCH("Såld mängd produktionsspecifik fjärrvärme (GWh)",Miljö!$B$1:$R$1,0),FALSE))</f>
        <v>0</v>
      </c>
      <c r="AN106" s="172">
        <f t="shared" si="46"/>
        <v>0.75181844631946471</v>
      </c>
      <c r="AO106" s="121"/>
      <c r="AP106" s="121" t="str">
        <f>IFERROR(VLOOKUP($B106,Miljövärden!$B$2:$H$550,7,FALSE),"Nej, saknas")</f>
        <v>Ja</v>
      </c>
      <c r="AQ106" s="121" t="str">
        <f>IFERROR(VLOOKUP($B106,Miljövärden!$B$2:$H$550,6,FALSE),"Nej, saknas")</f>
        <v>Ja</v>
      </c>
      <c r="AU106">
        <f t="shared" si="47"/>
        <v>0.96299999999999997</v>
      </c>
      <c r="AV106">
        <f t="shared" si="48"/>
        <v>0</v>
      </c>
      <c r="AW106">
        <f t="shared" si="49"/>
        <v>51.8</v>
      </c>
      <c r="AX106">
        <f t="shared" si="50"/>
        <v>0</v>
      </c>
      <c r="AZ106">
        <f t="shared" si="51"/>
        <v>51.8</v>
      </c>
      <c r="BC106">
        <f t="shared" si="52"/>
        <v>9.2779999999999987</v>
      </c>
      <c r="BD106">
        <f t="shared" si="53"/>
        <v>0</v>
      </c>
      <c r="BE106">
        <f t="shared" si="54"/>
        <v>51.8</v>
      </c>
      <c r="BF106">
        <f t="shared" si="55"/>
        <v>6.6989999999999998</v>
      </c>
      <c r="BG106">
        <f t="shared" si="56"/>
        <v>0.96299999999999997</v>
      </c>
      <c r="BH106">
        <f>VLOOKUP(B106,Miljö!$B$1:$BX$482,MATCH("Fossilandel för ursprungspecificerad el ()",Miljö!$B$1:$I$1,0),FALSE)</f>
        <v>0.43</v>
      </c>
      <c r="BI106">
        <f>VLOOKUP(B106,Miljö!$B$1:$BX$482,MATCH("Kärnkraftsandel för ursprungsspecificerad el ()",Miljö!$B$1:$O$1,0),FALSE)</f>
        <v>0.40550000000000003</v>
      </c>
      <c r="BJ106">
        <f t="shared" si="57"/>
        <v>0</v>
      </c>
      <c r="BK106" t="str">
        <f>VLOOKUP(B106,Miljö!$B$1:$O$482,MATCH("Fossil andel i procent (%)",Miljö!$B$1:$O$1,0),FALSE)</f>
        <v>ET</v>
      </c>
      <c r="BL106">
        <f t="shared" si="58"/>
        <v>68.739999999999995</v>
      </c>
      <c r="BO106" s="18">
        <f t="shared" si="59"/>
        <v>0.14099636310736105</v>
      </c>
      <c r="BP106" s="18">
        <f t="shared" si="60"/>
        <v>5.6807753855106207E-3</v>
      </c>
      <c r="BQ106" s="18">
        <f t="shared" si="61"/>
        <v>0.75586868635437887</v>
      </c>
      <c r="BR106" s="18">
        <f t="shared" si="62"/>
        <v>9.7454175152749498E-2</v>
      </c>
      <c r="BT106" s="27">
        <f t="shared" si="63"/>
        <v>1</v>
      </c>
      <c r="BW106" s="18">
        <f>IF(AP106="ja",VLOOKUP(B106,Miljövärden!$B$2:$H$550,MATCH("Total andel fossilt",Miljövärden!$B$2:$H$2,0),FALSE),"")</f>
        <v>0.14099600000000001</v>
      </c>
      <c r="BZ106" s="28">
        <f t="shared" si="64"/>
        <v>-3.6310736103994934E-7</v>
      </c>
      <c r="CA106" s="28">
        <f t="shared" si="65"/>
        <v>0</v>
      </c>
    </row>
    <row r="107" spans="1:79" x14ac:dyDescent="0.25">
      <c r="A107" s="224" t="s">
        <v>337</v>
      </c>
      <c r="B107" s="210" t="s">
        <v>340</v>
      </c>
      <c r="C107" s="121">
        <f>VLOOKUP($B107,'Tillförd energi'!$B$1:$AI$720,MATCH(C$1,'Tillförd energi'!$B$1:$AQ$1,0),FALSE)</f>
        <v>0</v>
      </c>
      <c r="D107" s="121">
        <f>VLOOKUP($B107,'Tillförd energi'!$B$1:$AI$720,MATCH(D$1,'Tillförd energi'!$B$1:$AQ$1,0),FALSE)</f>
        <v>4.1000000000000002E-2</v>
      </c>
      <c r="E107" s="121">
        <f>VLOOKUP($B107,'Tillförd energi'!$B$1:$AI$720,MATCH(E$1,'Tillförd energi'!$B$1:$AQ$1,0),FALSE)</f>
        <v>0</v>
      </c>
      <c r="F107" s="121">
        <f>VLOOKUP($B107,'Tillförd energi'!$B$1:$AI$720,MATCH(F$1,'Tillförd energi'!$B$1:$AQ$1,0),FALSE)</f>
        <v>0</v>
      </c>
      <c r="G107" s="121">
        <f>VLOOKUP($B107,'Tillförd energi'!$B$1:$AI$720,MATCH(G$1,'Tillförd energi'!$B$1:$AQ$1,0),FALSE)</f>
        <v>0</v>
      </c>
      <c r="H107" s="121">
        <f>VLOOKUP($B107,'Tillförd energi'!$B$1:$AI$720,MATCH(H$1,'Tillförd energi'!$B$1:$AQ$1,0),FALSE)</f>
        <v>0</v>
      </c>
      <c r="I107" s="121">
        <f>VLOOKUP($B107,'Tillförd energi'!$B$1:$AI$720,MATCH(I$1,'Tillförd energi'!$B$1:$AQ$1,0),FALSE)</f>
        <v>0</v>
      </c>
      <c r="J107" s="121">
        <f>VLOOKUP($B107,'Tillförd energi'!$B$1:$AI$720,MATCH(J$1,'Tillförd energi'!$B$1:$AQ$1,0),FALSE)</f>
        <v>0</v>
      </c>
      <c r="K107" s="121">
        <f>VLOOKUP($B107,'Tillförd energi'!$B$1:$AI$720,MATCH(K$1,'Tillförd energi'!$B$1:$AQ$1,0),FALSE)</f>
        <v>0</v>
      </c>
      <c r="L107" s="121">
        <f>VLOOKUP($B107,'Tillförd energi'!$B$1:$AI$720,MATCH(L$1,'Tillförd energi'!$B$1:$AQ$1,0),FALSE)</f>
        <v>0</v>
      </c>
      <c r="M107" s="121">
        <f>VLOOKUP($B107,'Tillförd energi'!$B$1:$AI$720,MATCH(M$1,'Tillförd energi'!$B$1:$AQ$1,0),FALSE)</f>
        <v>0</v>
      </c>
      <c r="N107" s="121">
        <f>VLOOKUP($B107,'Tillförd energi'!$B$1:$AI$720,MATCH(N$1,'Tillförd energi'!$B$1:$AQ$1,0),FALSE)</f>
        <v>0</v>
      </c>
      <c r="O107" s="121">
        <f>VLOOKUP($B107,'Tillförd energi'!$B$1:$AI$720,MATCH(O$1,'Tillförd energi'!$B$1:$AQ$1,0),FALSE)</f>
        <v>0</v>
      </c>
      <c r="P107" s="121">
        <f>VLOOKUP($B107,'Tillförd energi'!$B$1:$AI$720,MATCH(P$1,'Tillförd energi'!$B$1:$AQ$1,0),FALSE)</f>
        <v>0</v>
      </c>
      <c r="Q107" s="121">
        <f>VLOOKUP($B107,'Tillförd energi'!$B$1:$AI$720,MATCH(Q$1,'Tillförd energi'!$B$1:$AQ$1,0),FALSE)</f>
        <v>0</v>
      </c>
      <c r="R107" s="121">
        <f>VLOOKUP($B107,'Tillförd energi'!$B$1:$AI$720,MATCH(R$1,'Tillförd energi'!$B$1:$AQ$1,0),FALSE)</f>
        <v>0.222</v>
      </c>
      <c r="S107" s="121">
        <f>VLOOKUP($B107,'Tillförd energi'!$B$1:$AI$720,MATCH(S$1,'Tillförd energi'!$B$1:$AQ$1,0),FALSE)</f>
        <v>0</v>
      </c>
      <c r="T107" s="121">
        <f>VLOOKUP($B107,'Tillförd energi'!$B$1:$AI$720,MATCH(T$1,'Tillförd energi'!$B$1:$AQ$1,0),FALSE)</f>
        <v>0</v>
      </c>
      <c r="U107" s="121">
        <f>VLOOKUP($B107,'Tillförd energi'!$B$1:$AI$720,MATCH(U$1,'Tillförd energi'!$B$1:$AQ$1,0),FALSE)</f>
        <v>0</v>
      </c>
      <c r="V107" s="121">
        <f>VLOOKUP($B107,'Tillförd energi'!$B$1:$AI$720,MATCH(V$1,'Tillförd energi'!$B$1:$AQ$1,0),FALSE)</f>
        <v>0</v>
      </c>
      <c r="W107" s="121">
        <f>VLOOKUP($B107,'Tillförd energi'!$B$1:$AI$720,MATCH(W$1,'Tillförd energi'!$B$1:$AQ$1,0),FALSE)</f>
        <v>0</v>
      </c>
      <c r="X107" s="121">
        <f>VLOOKUP($B107,'Tillförd energi'!$B$1:$AI$720,MATCH(X$1,'Tillförd energi'!$B$1:$AQ$1,0),FALSE)</f>
        <v>0</v>
      </c>
      <c r="Y107" s="121">
        <f>VLOOKUP($B107,'Tillförd energi'!$B$1:$AI$720,MATCH(Y$1,'Tillförd energi'!$B$1:$AQ$1,0),FALSE)</f>
        <v>0</v>
      </c>
      <c r="Z107" s="121">
        <f>VLOOKUP($B107,'Tillförd energi'!$B$1:$AI$720,MATCH(Z$1,'Tillförd energi'!$B$1:$AQ$1,0),FALSE)</f>
        <v>0</v>
      </c>
      <c r="AA107" s="121">
        <f>VLOOKUP($B107,'Tillförd energi'!$B$1:$AI$720,MATCH(AA$1,'Tillförd energi'!$B$1:$AQ$1,0),FALSE)</f>
        <v>0</v>
      </c>
      <c r="AB107" s="121">
        <f>VLOOKUP($B107,'Tillförd energi'!$B$1:$AI$720,MATCH(AB$1,'Tillförd energi'!$B$1:$AQ$1,0),FALSE)</f>
        <v>0</v>
      </c>
      <c r="AC107" s="121">
        <f>VLOOKUP($B107,'Tillförd energi'!$B$1:$AI$720,MATCH(AC$1,'Tillförd energi'!$B$1:$AQ$1,0),FALSE)</f>
        <v>0</v>
      </c>
      <c r="AD107" s="121">
        <f>VLOOKUP($B107,'Tillförd energi'!$B$1:$AI$720,MATCH(AD$1,'Tillförd energi'!$B$1:$AQ$1,0),FALSE)</f>
        <v>0</v>
      </c>
      <c r="AE107" s="121">
        <f>VLOOKUP($B107,'Tillförd energi'!$B$1:$AI$720,MATCH(AE$1,'Tillförd energi'!$B$1:$AQ$1,0),FALSE)</f>
        <v>0</v>
      </c>
      <c r="AF107" s="121">
        <f>VLOOKUP($B107,'Tillförd energi'!$B$1:$AI$720,MATCH(AF$1,'Tillförd energi'!$B$1:$AQ$1,0),FALSE)</f>
        <v>7.62E-3</v>
      </c>
      <c r="AG107" s="121">
        <f>IFERROR(VLOOKUP(B107,Miljö!$B$1:$AC$550,MATCH("Köpt mängd produktionsspecifik fjärrvärme:",Miljö!$B$1:$AC$1,0),FALSE)/1,0)</f>
        <v>0</v>
      </c>
      <c r="AH107" s="121"/>
      <c r="AI107" s="121">
        <f t="shared" si="44"/>
        <v>0.27062000000000003</v>
      </c>
      <c r="AJ107" s="121">
        <f t="shared" si="45"/>
        <v>0.27062000000000003</v>
      </c>
      <c r="AK107" s="121">
        <f>IF(ISERROR(1/VLOOKUP($B107,Leveranser!$B$1:$S$499,MATCH("såld värme (gwh)",Leveranser!$B$1:$S$1,0),FALSE)),"",VLOOKUP($B107,Leveranser!$B$1:$S$499,MATCH("såld värme (gwh)",Leveranser!$B$1:$S$1,0),FALSE))</f>
        <v>0.254</v>
      </c>
      <c r="AL107" s="121">
        <f>VLOOKUP($B107,Leveranser!$B$1:$Y$499,MATCH("Totalt såld fjärrvärme till andra fjärrvärmeföretag",Leveranser!$B$1:$AA$1,0),FALSE)</f>
        <v>0</v>
      </c>
      <c r="AM107" s="121">
        <f>IF(ISERROR(1/VLOOKUP($B107,Miljö!$B$1:$S$500,MATCH("Såld mängd produktionsspecifik fjärrvärme (GWh)",Miljö!$B$1:$R$1,0),FALSE)),0,VLOOKUP($B107,Miljö!$B$1:$S$500,MATCH("Såld mängd produktionsspecifik fjärrvärme (GWh)",Miljö!$B$1:$R$1,0),FALSE))</f>
        <v>0</v>
      </c>
      <c r="AN107" s="172">
        <f t="shared" si="46"/>
        <v>0.93858547040130058</v>
      </c>
      <c r="AO107" s="121"/>
      <c r="AP107" s="121" t="str">
        <f>IFERROR(VLOOKUP($B107,Miljövärden!$B$2:$H$550,7,FALSE),"Nej, saknas")</f>
        <v>Ja</v>
      </c>
      <c r="AQ107" s="121" t="str">
        <f>IFERROR(VLOOKUP($B107,Miljövärden!$B$2:$H$550,6,FALSE),"Nej, saknas")</f>
        <v>Ja</v>
      </c>
      <c r="AU107">
        <f t="shared" si="47"/>
        <v>7.62E-3</v>
      </c>
      <c r="AV107">
        <f t="shared" si="48"/>
        <v>0</v>
      </c>
      <c r="AW107">
        <f t="shared" si="49"/>
        <v>0</v>
      </c>
      <c r="AX107">
        <f t="shared" si="50"/>
        <v>0.222</v>
      </c>
      <c r="AZ107">
        <f t="shared" si="51"/>
        <v>0.222</v>
      </c>
      <c r="BC107">
        <f t="shared" si="52"/>
        <v>4.1000000000000002E-2</v>
      </c>
      <c r="BD107">
        <f t="shared" si="53"/>
        <v>0</v>
      </c>
      <c r="BE107">
        <f t="shared" si="54"/>
        <v>0.222</v>
      </c>
      <c r="BF107">
        <f t="shared" si="55"/>
        <v>0</v>
      </c>
      <c r="BG107">
        <f t="shared" si="56"/>
        <v>7.62E-3</v>
      </c>
      <c r="BH107">
        <f>VLOOKUP(B107,Miljö!$B$1:$BX$482,MATCH("Fossilandel för ursprungspecificerad el ()",Miljö!$B$1:$I$1,0),FALSE)</f>
        <v>0.43</v>
      </c>
      <c r="BI107">
        <f>VLOOKUP(B107,Miljö!$B$1:$BX$482,MATCH("Kärnkraftsandel för ursprungsspecificerad el ()",Miljö!$B$1:$O$1,0),FALSE)</f>
        <v>0.40550000000000003</v>
      </c>
      <c r="BJ107">
        <f t="shared" si="57"/>
        <v>0</v>
      </c>
      <c r="BK107" t="str">
        <f>VLOOKUP(B107,Miljö!$B$1:$O$482,MATCH("Fossil andel i procent (%)",Miljö!$B$1:$O$1,0),FALSE)</f>
        <v>ET</v>
      </c>
      <c r="BL107">
        <f t="shared" si="58"/>
        <v>0.27062000000000003</v>
      </c>
      <c r="BO107" s="18">
        <f t="shared" si="59"/>
        <v>0.16361170645185127</v>
      </c>
      <c r="BP107" s="18">
        <f t="shared" si="60"/>
        <v>1.1417892247431824E-2</v>
      </c>
      <c r="BQ107" s="18">
        <f t="shared" si="61"/>
        <v>0.82497040130071675</v>
      </c>
      <c r="BR107" s="18">
        <f t="shared" si="62"/>
        <v>0</v>
      </c>
      <c r="BT107" s="27">
        <f t="shared" si="63"/>
        <v>0.99999999999999978</v>
      </c>
      <c r="BW107" s="18">
        <f>IF(AP107="ja",VLOOKUP(B107,Miljövärden!$B$2:$H$550,MATCH("Total andel fossilt",Miljövärden!$B$2:$H$2,0),FALSE),"")</f>
        <v>0.16361200000000001</v>
      </c>
      <c r="BZ107" s="28">
        <f t="shared" si="64"/>
        <v>2.9354814873316926E-7</v>
      </c>
      <c r="CA107" s="28">
        <f t="shared" si="65"/>
        <v>0</v>
      </c>
    </row>
    <row r="108" spans="1:79" x14ac:dyDescent="0.25">
      <c r="A108" s="224" t="s">
        <v>341</v>
      </c>
      <c r="B108" s="210" t="s">
        <v>342</v>
      </c>
      <c r="C108" s="121">
        <f>VLOOKUP($B108,'Tillförd energi'!$B$1:$AI$720,MATCH(C$1,'Tillförd energi'!$B$1:$AQ$1,0),FALSE)</f>
        <v>0</v>
      </c>
      <c r="D108" s="121">
        <f>VLOOKUP($B108,'Tillförd energi'!$B$1:$AI$720,MATCH(D$1,'Tillförd energi'!$B$1:$AQ$1,0),FALSE)</f>
        <v>1</v>
      </c>
      <c r="E108" s="121">
        <f>VLOOKUP($B108,'Tillförd energi'!$B$1:$AI$720,MATCH(E$1,'Tillförd energi'!$B$1:$AQ$1,0),FALSE)</f>
        <v>0</v>
      </c>
      <c r="F108" s="121">
        <f>VLOOKUP($B108,'Tillförd energi'!$B$1:$AI$720,MATCH(F$1,'Tillförd energi'!$B$1:$AQ$1,0),FALSE)</f>
        <v>0</v>
      </c>
      <c r="G108" s="121">
        <f>VLOOKUP($B108,'Tillförd energi'!$B$1:$AI$720,MATCH(G$1,'Tillförd energi'!$B$1:$AQ$1,0),FALSE)</f>
        <v>0</v>
      </c>
      <c r="H108" s="121">
        <f>VLOOKUP($B108,'Tillförd energi'!$B$1:$AI$720,MATCH(H$1,'Tillförd energi'!$B$1:$AQ$1,0),FALSE)</f>
        <v>0</v>
      </c>
      <c r="I108" s="121">
        <f>VLOOKUP($B108,'Tillförd energi'!$B$1:$AI$720,MATCH(I$1,'Tillförd energi'!$B$1:$AQ$1,0),FALSE)</f>
        <v>409.32900000000001</v>
      </c>
      <c r="J108" s="121">
        <f>VLOOKUP($B108,'Tillförd energi'!$B$1:$AI$720,MATCH(J$1,'Tillförd energi'!$B$1:$AQ$1,0),FALSE)</f>
        <v>33.4</v>
      </c>
      <c r="K108" s="121">
        <f>VLOOKUP($B108,'Tillförd energi'!$B$1:$AI$720,MATCH(K$1,'Tillförd energi'!$B$1:$AQ$1,0),FALSE)</f>
        <v>0</v>
      </c>
      <c r="L108" s="121">
        <f>VLOOKUP($B108,'Tillförd energi'!$B$1:$AI$720,MATCH(L$1,'Tillförd energi'!$B$1:$AQ$1,0),FALSE)</f>
        <v>0</v>
      </c>
      <c r="M108" s="121">
        <f>VLOOKUP($B108,'Tillförd energi'!$B$1:$AI$720,MATCH(M$1,'Tillförd energi'!$B$1:$AQ$1,0),FALSE)</f>
        <v>0</v>
      </c>
      <c r="N108" s="121">
        <f>VLOOKUP($B108,'Tillförd energi'!$B$1:$AI$720,MATCH(N$1,'Tillförd energi'!$B$1:$AQ$1,0),FALSE)</f>
        <v>152.58600000000001</v>
      </c>
      <c r="O108" s="121">
        <f>VLOOKUP($B108,'Tillförd energi'!$B$1:$AI$720,MATCH(O$1,'Tillförd energi'!$B$1:$AQ$1,0),FALSE)</f>
        <v>0</v>
      </c>
      <c r="P108" s="121">
        <f>VLOOKUP($B108,'Tillförd energi'!$B$1:$AI$720,MATCH(P$1,'Tillförd energi'!$B$1:$AQ$1,0),FALSE)</f>
        <v>0</v>
      </c>
      <c r="Q108" s="121">
        <f>VLOOKUP($B108,'Tillförd energi'!$B$1:$AI$720,MATCH(Q$1,'Tillförd energi'!$B$1:$AQ$1,0),FALSE)</f>
        <v>0</v>
      </c>
      <c r="R108" s="121">
        <f>VLOOKUP($B108,'Tillförd energi'!$B$1:$AI$720,MATCH(R$1,'Tillförd energi'!$B$1:$AQ$1,0),FALSE)</f>
        <v>0</v>
      </c>
      <c r="S108" s="121">
        <f>VLOOKUP($B108,'Tillförd energi'!$B$1:$AI$720,MATCH(S$1,'Tillförd energi'!$B$1:$AQ$1,0),FALSE)</f>
        <v>0</v>
      </c>
      <c r="T108" s="121">
        <f>VLOOKUP($B108,'Tillförd energi'!$B$1:$AI$720,MATCH(T$1,'Tillförd energi'!$B$1:$AQ$1,0),FALSE)</f>
        <v>0</v>
      </c>
      <c r="U108" s="121">
        <f>VLOOKUP($B108,'Tillförd energi'!$B$1:$AI$720,MATCH(U$1,'Tillförd energi'!$B$1:$AQ$1,0),FALSE)</f>
        <v>0</v>
      </c>
      <c r="V108" s="121">
        <f>VLOOKUP($B108,'Tillförd energi'!$B$1:$AI$720,MATCH(V$1,'Tillförd energi'!$B$1:$AQ$1,0),FALSE)</f>
        <v>0</v>
      </c>
      <c r="W108" s="121">
        <f>VLOOKUP($B108,'Tillförd energi'!$B$1:$AI$720,MATCH(W$1,'Tillförd energi'!$B$1:$AQ$1,0),FALSE)</f>
        <v>0.41199999999999998</v>
      </c>
      <c r="X108" s="121">
        <f>VLOOKUP($B108,'Tillförd energi'!$B$1:$AI$720,MATCH(X$1,'Tillförd energi'!$B$1:$AQ$1,0),FALSE)</f>
        <v>0</v>
      </c>
      <c r="Y108" s="121">
        <f>VLOOKUP($B108,'Tillförd energi'!$B$1:$AI$720,MATCH(Y$1,'Tillförd energi'!$B$1:$AQ$1,0),FALSE)</f>
        <v>0</v>
      </c>
      <c r="Z108" s="121">
        <f>VLOOKUP($B108,'Tillförd energi'!$B$1:$AI$720,MATCH(Z$1,'Tillförd energi'!$B$1:$AQ$1,0),FALSE)</f>
        <v>0</v>
      </c>
      <c r="AA108" s="121">
        <f>VLOOKUP($B108,'Tillförd energi'!$B$1:$AI$720,MATCH(AA$1,'Tillförd energi'!$B$1:$AQ$1,0),FALSE)</f>
        <v>0</v>
      </c>
      <c r="AB108" s="121">
        <f>VLOOKUP($B108,'Tillförd energi'!$B$1:$AI$720,MATCH(AB$1,'Tillförd energi'!$B$1:$AQ$1,0),FALSE)</f>
        <v>0</v>
      </c>
      <c r="AC108" s="121">
        <f>VLOOKUP($B108,'Tillförd energi'!$B$1:$AI$720,MATCH(AC$1,'Tillförd energi'!$B$1:$AQ$1,0),FALSE)</f>
        <v>104.6</v>
      </c>
      <c r="AD108" s="121">
        <f>VLOOKUP($B108,'Tillförd energi'!$B$1:$AI$720,MATCH(AD$1,'Tillförd energi'!$B$1:$AQ$1,0),FALSE)</f>
        <v>13.6</v>
      </c>
      <c r="AE108" s="121">
        <f>VLOOKUP($B108,'Tillförd energi'!$B$1:$AI$720,MATCH(AE$1,'Tillförd energi'!$B$1:$AQ$1,0),FALSE)</f>
        <v>0</v>
      </c>
      <c r="AF108" s="121">
        <f>VLOOKUP($B108,'Tillförd energi'!$B$1:$AI$720,MATCH(AF$1,'Tillförd energi'!$B$1:$AQ$1,0),FALSE)</f>
        <v>22.542200000000001</v>
      </c>
      <c r="AG108" s="121">
        <f>IFERROR(VLOOKUP(B108,Miljö!$B$1:$AC$550,MATCH("Köpt mängd produktionsspecifik fjärrvärme:",Miljö!$B$1:$AC$1,0),FALSE)/1,0)</f>
        <v>0</v>
      </c>
      <c r="AH108" s="121"/>
      <c r="AI108" s="121">
        <f t="shared" si="44"/>
        <v>737.46920000000011</v>
      </c>
      <c r="AJ108" s="121">
        <f t="shared" si="45"/>
        <v>737.46920000000011</v>
      </c>
      <c r="AK108" s="121">
        <f>IF(ISERROR(1/VLOOKUP($B108,Leveranser!$B$1:$S$499,MATCH("såld värme (gwh)",Leveranser!$B$1:$S$1,0),FALSE)),"",VLOOKUP($B108,Leveranser!$B$1:$S$499,MATCH("såld värme (gwh)",Leveranser!$B$1:$S$1,0),FALSE))</f>
        <v>575</v>
      </c>
      <c r="AL108" s="121">
        <f>VLOOKUP($B108,Leveranser!$B$1:$Y$499,MATCH("Totalt såld fjärrvärme till andra fjärrvärmeföretag",Leveranser!$B$1:$AA$1,0),FALSE)</f>
        <v>0</v>
      </c>
      <c r="AM108" s="121">
        <f>IF(ISERROR(1/VLOOKUP($B108,Miljö!$B$1:$S$500,MATCH("Såld mängd produktionsspecifik fjärrvärme (GWh)",Miljö!$B$1:$R$1,0),FALSE)),0,VLOOKUP($B108,Miljö!$B$1:$S$500,MATCH("Såld mängd produktionsspecifik fjärrvärme (GWh)",Miljö!$B$1:$R$1,0),FALSE))</f>
        <v>1.5</v>
      </c>
      <c r="AN108" s="172">
        <f t="shared" si="46"/>
        <v>0.77969357906743753</v>
      </c>
      <c r="AO108" s="121"/>
      <c r="AP108" s="121" t="str">
        <f>IFERROR(VLOOKUP($B108,Miljövärden!$B$2:$H$550,7,FALSE),"Nej, saknas")</f>
        <v>Ja</v>
      </c>
      <c r="AQ108" s="121" t="str">
        <f>IFERROR(VLOOKUP($B108,Miljövärden!$B$2:$H$550,6,FALSE),"Nej, saknas")</f>
        <v>Ja</v>
      </c>
      <c r="AU108">
        <f t="shared" si="47"/>
        <v>22.542200000000001</v>
      </c>
      <c r="AV108">
        <f t="shared" si="48"/>
        <v>0</v>
      </c>
      <c r="AW108">
        <f t="shared" si="49"/>
        <v>152.58600000000001</v>
      </c>
      <c r="AX108">
        <f t="shared" si="50"/>
        <v>0</v>
      </c>
      <c r="AZ108">
        <f t="shared" si="51"/>
        <v>152.99800000000002</v>
      </c>
      <c r="BC108">
        <f t="shared" si="52"/>
        <v>1</v>
      </c>
      <c r="BD108">
        <f t="shared" si="53"/>
        <v>0</v>
      </c>
      <c r="BE108">
        <f t="shared" si="54"/>
        <v>152.99800000000002</v>
      </c>
      <c r="BF108">
        <f t="shared" si="55"/>
        <v>560.92899999999997</v>
      </c>
      <c r="BG108">
        <f t="shared" si="56"/>
        <v>22.542200000000001</v>
      </c>
      <c r="BH108">
        <f>VLOOKUP(B108,Miljö!$B$1:$BX$482,MATCH("Fossilandel för ursprungspecificerad el ()",Miljö!$B$1:$I$1,0),FALSE)</f>
        <v>0</v>
      </c>
      <c r="BI108">
        <f>VLOOKUP(B108,Miljö!$B$1:$BX$482,MATCH("Kärnkraftsandel för ursprungsspecificerad el ()",Miljö!$B$1:$O$1,0),FALSE)</f>
        <v>0</v>
      </c>
      <c r="BJ108">
        <f t="shared" si="57"/>
        <v>0</v>
      </c>
      <c r="BK108" t="str">
        <f>VLOOKUP(B108,Miljö!$B$1:$O$482,MATCH("Fossil andel i procent (%)",Miljö!$B$1:$O$1,0),FALSE)</f>
        <v>ET</v>
      </c>
      <c r="BL108">
        <f t="shared" si="58"/>
        <v>737.4692</v>
      </c>
      <c r="BO108" s="18">
        <f t="shared" si="59"/>
        <v>1.3559888331607611E-3</v>
      </c>
      <c r="BP108" s="18">
        <f t="shared" si="60"/>
        <v>0</v>
      </c>
      <c r="BQ108" s="18">
        <f t="shared" si="61"/>
        <v>0.23803055097080669</v>
      </c>
      <c r="BR108" s="18">
        <f t="shared" si="62"/>
        <v>0.7606134601960326</v>
      </c>
      <c r="BT108" s="27">
        <f t="shared" si="63"/>
        <v>1</v>
      </c>
      <c r="BW108" s="18">
        <f>IF(AP108="ja",VLOOKUP(B108,Miljövärden!$B$2:$H$550,MATCH("Total andel fossilt",Miljövärden!$B$2:$H$2,0),FALSE),"")</f>
        <v>1.3587600000000001E-3</v>
      </c>
      <c r="BZ108" s="28">
        <f t="shared" si="64"/>
        <v>2.7711668392389754E-6</v>
      </c>
      <c r="CA108" s="28">
        <f t="shared" si="65"/>
        <v>0</v>
      </c>
    </row>
    <row r="109" spans="1:79" x14ac:dyDescent="0.25">
      <c r="A109" s="224" t="s">
        <v>343</v>
      </c>
      <c r="B109" s="210" t="s">
        <v>344</v>
      </c>
      <c r="C109" s="121">
        <f>VLOOKUP($B109,'Tillförd energi'!$B$1:$AI$720,MATCH(C$1,'Tillförd energi'!$B$1:$AQ$1,0),FALSE)</f>
        <v>0</v>
      </c>
      <c r="D109" s="121">
        <f>VLOOKUP($B109,'Tillförd energi'!$B$1:$AI$720,MATCH(D$1,'Tillförd energi'!$B$1:$AQ$1,0),FALSE)</f>
        <v>0.14000000000000001</v>
      </c>
      <c r="E109" s="121">
        <f>VLOOKUP($B109,'Tillförd energi'!$B$1:$AI$720,MATCH(E$1,'Tillförd energi'!$B$1:$AQ$1,0),FALSE)</f>
        <v>0</v>
      </c>
      <c r="F109" s="121">
        <f>VLOOKUP($B109,'Tillförd energi'!$B$1:$AI$720,MATCH(F$1,'Tillförd energi'!$B$1:$AQ$1,0),FALSE)</f>
        <v>0</v>
      </c>
      <c r="G109" s="121">
        <f>VLOOKUP($B109,'Tillförd energi'!$B$1:$AI$720,MATCH(G$1,'Tillförd energi'!$B$1:$AQ$1,0),FALSE)</f>
        <v>0</v>
      </c>
      <c r="H109" s="121">
        <f>VLOOKUP($B109,'Tillförd energi'!$B$1:$AI$720,MATCH(H$1,'Tillförd energi'!$B$1:$AQ$1,0),FALSE)</f>
        <v>0</v>
      </c>
      <c r="I109" s="121">
        <f>VLOOKUP($B109,'Tillförd energi'!$B$1:$AI$720,MATCH(I$1,'Tillförd energi'!$B$1:$AQ$1,0),FALSE)</f>
        <v>0</v>
      </c>
      <c r="J109" s="121">
        <f>VLOOKUP($B109,'Tillförd energi'!$B$1:$AI$720,MATCH(J$1,'Tillförd energi'!$B$1:$AQ$1,0),FALSE)</f>
        <v>0</v>
      </c>
      <c r="K109" s="121">
        <f>VLOOKUP($B109,'Tillförd energi'!$B$1:$AI$720,MATCH(K$1,'Tillförd energi'!$B$1:$AQ$1,0),FALSE)</f>
        <v>0</v>
      </c>
      <c r="L109" s="121">
        <f>VLOOKUP($B109,'Tillförd energi'!$B$1:$AI$720,MATCH(L$1,'Tillförd energi'!$B$1:$AQ$1,0),FALSE)</f>
        <v>0</v>
      </c>
      <c r="M109" s="121">
        <f>VLOOKUP($B109,'Tillförd energi'!$B$1:$AI$720,MATCH(M$1,'Tillförd energi'!$B$1:$AQ$1,0),FALSE)</f>
        <v>0</v>
      </c>
      <c r="N109" s="121">
        <f>VLOOKUP($B109,'Tillförd energi'!$B$1:$AI$720,MATCH(N$1,'Tillförd energi'!$B$1:$AQ$1,0),FALSE)</f>
        <v>0</v>
      </c>
      <c r="O109" s="121">
        <f>VLOOKUP($B109,'Tillförd energi'!$B$1:$AI$720,MATCH(O$1,'Tillförd energi'!$B$1:$AQ$1,0),FALSE)</f>
        <v>0</v>
      </c>
      <c r="P109" s="121">
        <f>VLOOKUP($B109,'Tillförd energi'!$B$1:$AI$720,MATCH(P$1,'Tillförd energi'!$B$1:$AQ$1,0),FALSE)</f>
        <v>0</v>
      </c>
      <c r="Q109" s="121">
        <f>VLOOKUP($B109,'Tillförd energi'!$B$1:$AI$720,MATCH(Q$1,'Tillförd energi'!$B$1:$AQ$1,0),FALSE)</f>
        <v>0</v>
      </c>
      <c r="R109" s="121">
        <f>VLOOKUP($B109,'Tillförd energi'!$B$1:$AI$720,MATCH(R$1,'Tillförd energi'!$B$1:$AQ$1,0),FALSE)</f>
        <v>3.7</v>
      </c>
      <c r="S109" s="121">
        <f>VLOOKUP($B109,'Tillförd energi'!$B$1:$AI$720,MATCH(S$1,'Tillförd energi'!$B$1:$AQ$1,0),FALSE)</f>
        <v>0</v>
      </c>
      <c r="T109" s="121">
        <f>VLOOKUP($B109,'Tillförd energi'!$B$1:$AI$720,MATCH(T$1,'Tillförd energi'!$B$1:$AQ$1,0),FALSE)</f>
        <v>0</v>
      </c>
      <c r="U109" s="121">
        <f>VLOOKUP($B109,'Tillförd energi'!$B$1:$AI$720,MATCH(U$1,'Tillförd energi'!$B$1:$AQ$1,0),FALSE)</f>
        <v>0</v>
      </c>
      <c r="V109" s="121">
        <f>VLOOKUP($B109,'Tillförd energi'!$B$1:$AI$720,MATCH(V$1,'Tillförd energi'!$B$1:$AQ$1,0),FALSE)</f>
        <v>0</v>
      </c>
      <c r="W109" s="121">
        <f>VLOOKUP($B109,'Tillförd energi'!$B$1:$AI$720,MATCH(W$1,'Tillförd energi'!$B$1:$AQ$1,0),FALSE)</f>
        <v>0</v>
      </c>
      <c r="X109" s="121">
        <f>VLOOKUP($B109,'Tillförd energi'!$B$1:$AI$720,MATCH(X$1,'Tillförd energi'!$B$1:$AQ$1,0),FALSE)</f>
        <v>0</v>
      </c>
      <c r="Y109" s="121">
        <f>VLOOKUP($B109,'Tillförd energi'!$B$1:$AI$720,MATCH(Y$1,'Tillförd energi'!$B$1:$AQ$1,0),FALSE)</f>
        <v>0</v>
      </c>
      <c r="Z109" s="121">
        <f>VLOOKUP($B109,'Tillförd energi'!$B$1:$AI$720,MATCH(Z$1,'Tillförd energi'!$B$1:$AQ$1,0),FALSE)</f>
        <v>0</v>
      </c>
      <c r="AA109" s="121">
        <f>VLOOKUP($B109,'Tillförd energi'!$B$1:$AI$720,MATCH(AA$1,'Tillförd energi'!$B$1:$AQ$1,0),FALSE)</f>
        <v>0</v>
      </c>
      <c r="AB109" s="121">
        <f>VLOOKUP($B109,'Tillförd energi'!$B$1:$AI$720,MATCH(AB$1,'Tillförd energi'!$B$1:$AQ$1,0),FALSE)</f>
        <v>0</v>
      </c>
      <c r="AC109" s="121">
        <f>VLOOKUP($B109,'Tillförd energi'!$B$1:$AI$720,MATCH(AC$1,'Tillförd energi'!$B$1:$AQ$1,0),FALSE)</f>
        <v>0</v>
      </c>
      <c r="AD109" s="121">
        <f>VLOOKUP($B109,'Tillförd energi'!$B$1:$AI$720,MATCH(AD$1,'Tillförd energi'!$B$1:$AQ$1,0),FALSE)</f>
        <v>0</v>
      </c>
      <c r="AE109" s="121">
        <f>VLOOKUP($B109,'Tillförd energi'!$B$1:$AI$720,MATCH(AE$1,'Tillförd energi'!$B$1:$AQ$1,0),FALSE)</f>
        <v>0</v>
      </c>
      <c r="AF109" s="121">
        <f>VLOOKUP($B109,'Tillförd energi'!$B$1:$AI$720,MATCH(AF$1,'Tillförd energi'!$B$1:$AQ$1,0),FALSE)</f>
        <v>0.38</v>
      </c>
      <c r="AG109" s="121">
        <f>IFERROR(VLOOKUP(B109,Miljö!$B$1:$AC$550,MATCH("Köpt mängd produktionsspecifik fjärrvärme:",Miljö!$B$1:$AC$1,0),FALSE)/1,0)</f>
        <v>61.5</v>
      </c>
      <c r="AH109" s="121"/>
      <c r="AI109" s="121">
        <f t="shared" si="44"/>
        <v>4.2200000000000006</v>
      </c>
      <c r="AJ109" s="121">
        <f t="shared" si="45"/>
        <v>65.72</v>
      </c>
      <c r="AK109" s="121">
        <f>IF(ISERROR(1/VLOOKUP($B109,Leveranser!$B$1:$S$499,MATCH("såld värme (gwh)",Leveranser!$B$1:$S$1,0),FALSE)),"",VLOOKUP($B109,Leveranser!$B$1:$S$499,MATCH("såld värme (gwh)",Leveranser!$B$1:$S$1,0),FALSE))</f>
        <v>47.3</v>
      </c>
      <c r="AL109" s="121">
        <f>VLOOKUP($B109,Leveranser!$B$1:$Y$499,MATCH("Totalt såld fjärrvärme till andra fjärrvärmeföretag",Leveranser!$B$1:$AA$1,0),FALSE)</f>
        <v>0</v>
      </c>
      <c r="AM109" s="121">
        <f>IF(ISERROR(1/VLOOKUP($B109,Miljö!$B$1:$S$500,MATCH("Såld mängd produktionsspecifik fjärrvärme (GWh)",Miljö!$B$1:$R$1,0),FALSE)),0,VLOOKUP($B109,Miljö!$B$1:$S$500,MATCH("Såld mängd produktionsspecifik fjärrvärme (GWh)",Miljö!$B$1:$R$1,0),FALSE))</f>
        <v>0</v>
      </c>
      <c r="AN109" s="172">
        <f t="shared" si="46"/>
        <v>0.71972002434570903</v>
      </c>
      <c r="AO109" s="121"/>
      <c r="AP109" s="121" t="str">
        <f>IFERROR(VLOOKUP($B109,Miljövärden!$B$2:$H$550,7,FALSE),"Nej, saknas")</f>
        <v>Ja</v>
      </c>
      <c r="AQ109" s="121" t="str">
        <f>IFERROR(VLOOKUP($B109,Miljövärden!$B$2:$H$550,6,FALSE),"Nej, saknas")</f>
        <v>Nej</v>
      </c>
      <c r="AU109">
        <f t="shared" si="47"/>
        <v>0.38</v>
      </c>
      <c r="AV109">
        <f t="shared" si="48"/>
        <v>0</v>
      </c>
      <c r="AW109">
        <f t="shared" si="49"/>
        <v>0</v>
      </c>
      <c r="AX109">
        <f t="shared" si="50"/>
        <v>3.7</v>
      </c>
      <c r="AZ109">
        <f t="shared" si="51"/>
        <v>3.7</v>
      </c>
      <c r="BC109">
        <f t="shared" si="52"/>
        <v>0.14000000000000001</v>
      </c>
      <c r="BD109">
        <f t="shared" si="53"/>
        <v>0</v>
      </c>
      <c r="BE109">
        <f t="shared" si="54"/>
        <v>3.7</v>
      </c>
      <c r="BF109">
        <f t="shared" si="55"/>
        <v>0</v>
      </c>
      <c r="BG109">
        <f t="shared" si="56"/>
        <v>0.38</v>
      </c>
      <c r="BH109">
        <f>VLOOKUP(B109,Miljö!$B$1:$BX$482,MATCH("Fossilandel för ursprungspecificerad el ()",Miljö!$B$1:$I$1,0),FALSE)</f>
        <v>0</v>
      </c>
      <c r="BI109">
        <f>VLOOKUP(B109,Miljö!$B$1:$BX$482,MATCH("Kärnkraftsandel för ursprungsspecificerad el ()",Miljö!$B$1:$O$1,0),FALSE)</f>
        <v>0</v>
      </c>
      <c r="BJ109">
        <f t="shared" si="57"/>
        <v>61.5</v>
      </c>
      <c r="BK109">
        <f>VLOOKUP(B109,Miljö!$B$1:$O$482,MATCH("Fossil andel i procent (%)",Miljö!$B$1:$O$1,0),FALSE)</f>
        <v>1</v>
      </c>
      <c r="BL109">
        <f t="shared" si="58"/>
        <v>65.72</v>
      </c>
      <c r="BO109" s="18">
        <f t="shared" si="59"/>
        <v>1.1488131466828972E-2</v>
      </c>
      <c r="BP109" s="18">
        <f t="shared" si="60"/>
        <v>0.92643031040779056</v>
      </c>
      <c r="BQ109" s="18">
        <f t="shared" si="61"/>
        <v>6.2081558125380402E-2</v>
      </c>
      <c r="BR109" s="18">
        <f t="shared" si="62"/>
        <v>0</v>
      </c>
      <c r="BT109" s="27">
        <f t="shared" si="63"/>
        <v>0.99999999999999989</v>
      </c>
      <c r="BW109" s="18">
        <f>IF(AP109="ja",VLOOKUP(B109,Miljövärden!$B$2:$H$550,MATCH("Total andel fossilt",Miljövärden!$B$2:$H$2,0),FALSE),"")</f>
        <v>1.1488099999999999E-2</v>
      </c>
      <c r="BZ109" s="28">
        <f t="shared" si="64"/>
        <v>-3.1466828972342986E-8</v>
      </c>
      <c r="CA109" s="28">
        <f t="shared" si="65"/>
        <v>0</v>
      </c>
    </row>
    <row r="110" spans="1:79" x14ac:dyDescent="0.25">
      <c r="A110" s="224" t="s">
        <v>345</v>
      </c>
      <c r="B110" s="210" t="s">
        <v>346</v>
      </c>
      <c r="C110" s="121">
        <f>VLOOKUP($B110,'Tillförd energi'!$B$1:$AI$720,MATCH(C$1,'Tillförd energi'!$B$1:$AQ$1,0),FALSE)</f>
        <v>0</v>
      </c>
      <c r="D110" s="121">
        <f>VLOOKUP($B110,'Tillförd energi'!$B$1:$AI$720,MATCH(D$1,'Tillförd energi'!$B$1:$AQ$1,0),FALSE)</f>
        <v>0</v>
      </c>
      <c r="E110" s="121">
        <f>VLOOKUP($B110,'Tillförd energi'!$B$1:$AI$720,MATCH(E$1,'Tillförd energi'!$B$1:$AQ$1,0),FALSE)</f>
        <v>0</v>
      </c>
      <c r="F110" s="121">
        <f>VLOOKUP($B110,'Tillförd energi'!$B$1:$AI$720,MATCH(F$1,'Tillförd energi'!$B$1:$AQ$1,0),FALSE)</f>
        <v>0</v>
      </c>
      <c r="G110" s="121">
        <f>VLOOKUP($B110,'Tillförd energi'!$B$1:$AI$720,MATCH(G$1,'Tillförd energi'!$B$1:$AQ$1,0),FALSE)</f>
        <v>0</v>
      </c>
      <c r="H110" s="121">
        <f>VLOOKUP($B110,'Tillförd energi'!$B$1:$AI$720,MATCH(H$1,'Tillförd energi'!$B$1:$AQ$1,0),FALSE)</f>
        <v>0</v>
      </c>
      <c r="I110" s="121">
        <f>VLOOKUP($B110,'Tillförd energi'!$B$1:$AI$720,MATCH(I$1,'Tillförd energi'!$B$1:$AQ$1,0),FALSE)</f>
        <v>0</v>
      </c>
      <c r="J110" s="121">
        <f>VLOOKUP($B110,'Tillförd energi'!$B$1:$AI$720,MATCH(J$1,'Tillförd energi'!$B$1:$AQ$1,0),FALSE)</f>
        <v>0</v>
      </c>
      <c r="K110" s="121">
        <f>VLOOKUP($B110,'Tillförd energi'!$B$1:$AI$720,MATCH(K$1,'Tillförd energi'!$B$1:$AQ$1,0),FALSE)</f>
        <v>0</v>
      </c>
      <c r="L110" s="121">
        <f>VLOOKUP($B110,'Tillförd energi'!$B$1:$AI$720,MATCH(L$1,'Tillförd energi'!$B$1:$AQ$1,0),FALSE)</f>
        <v>0</v>
      </c>
      <c r="M110" s="121">
        <f>VLOOKUP($B110,'Tillförd energi'!$B$1:$AI$720,MATCH(M$1,'Tillförd energi'!$B$1:$AQ$1,0),FALSE)</f>
        <v>0</v>
      </c>
      <c r="N110" s="121">
        <f>VLOOKUP($B110,'Tillförd energi'!$B$1:$AI$720,MATCH(N$1,'Tillförd energi'!$B$1:$AQ$1,0),FALSE)</f>
        <v>0</v>
      </c>
      <c r="O110" s="121">
        <f>VLOOKUP($B110,'Tillförd energi'!$B$1:$AI$720,MATCH(O$1,'Tillförd energi'!$B$1:$AQ$1,0),FALSE)</f>
        <v>0</v>
      </c>
      <c r="P110" s="121">
        <f>VLOOKUP($B110,'Tillförd energi'!$B$1:$AI$720,MATCH(P$1,'Tillförd energi'!$B$1:$AQ$1,0),FALSE)</f>
        <v>6.3559999999999999</v>
      </c>
      <c r="Q110" s="121">
        <f>VLOOKUP($B110,'Tillförd energi'!$B$1:$AI$720,MATCH(Q$1,'Tillförd energi'!$B$1:$AQ$1,0),FALSE)</f>
        <v>0</v>
      </c>
      <c r="R110" s="121">
        <f>VLOOKUP($B110,'Tillförd energi'!$B$1:$AI$720,MATCH(R$1,'Tillförd energi'!$B$1:$AQ$1,0),FALSE)</f>
        <v>3.4489999999999998</v>
      </c>
      <c r="S110" s="121">
        <f>VLOOKUP($B110,'Tillförd energi'!$B$1:$AI$720,MATCH(S$1,'Tillförd energi'!$B$1:$AQ$1,0),FALSE)</f>
        <v>0</v>
      </c>
      <c r="T110" s="121">
        <f>VLOOKUP($B110,'Tillförd energi'!$B$1:$AI$720,MATCH(T$1,'Tillförd energi'!$B$1:$AQ$1,0),FALSE)</f>
        <v>0</v>
      </c>
      <c r="U110" s="121">
        <f>VLOOKUP($B110,'Tillförd energi'!$B$1:$AI$720,MATCH(U$1,'Tillförd energi'!$B$1:$AQ$1,0),FALSE)</f>
        <v>0</v>
      </c>
      <c r="V110" s="121">
        <f>VLOOKUP($B110,'Tillförd energi'!$B$1:$AI$720,MATCH(V$1,'Tillförd energi'!$B$1:$AQ$1,0),FALSE)</f>
        <v>0</v>
      </c>
      <c r="W110" s="121">
        <f>VLOOKUP($B110,'Tillförd energi'!$B$1:$AI$720,MATCH(W$1,'Tillförd energi'!$B$1:$AQ$1,0),FALSE)</f>
        <v>2.4039999999999999</v>
      </c>
      <c r="X110" s="121">
        <f>VLOOKUP($B110,'Tillförd energi'!$B$1:$AI$720,MATCH(X$1,'Tillförd energi'!$B$1:$AQ$1,0),FALSE)</f>
        <v>1.11111</v>
      </c>
      <c r="Y110" s="121">
        <f>VLOOKUP($B110,'Tillförd energi'!$B$1:$AI$720,MATCH(Y$1,'Tillförd energi'!$B$1:$AQ$1,0),FALSE)</f>
        <v>0</v>
      </c>
      <c r="Z110" s="121">
        <f>VLOOKUP($B110,'Tillförd energi'!$B$1:$AI$720,MATCH(Z$1,'Tillförd energi'!$B$1:$AQ$1,0),FALSE)</f>
        <v>0</v>
      </c>
      <c r="AA110" s="121">
        <f>VLOOKUP($B110,'Tillförd energi'!$B$1:$AI$720,MATCH(AA$1,'Tillförd energi'!$B$1:$AQ$1,0),FALSE)</f>
        <v>0</v>
      </c>
      <c r="AB110" s="121">
        <f>VLOOKUP($B110,'Tillförd energi'!$B$1:$AI$720,MATCH(AB$1,'Tillförd energi'!$B$1:$AQ$1,0),FALSE)</f>
        <v>0</v>
      </c>
      <c r="AC110" s="121">
        <f>VLOOKUP($B110,'Tillförd energi'!$B$1:$AI$720,MATCH(AC$1,'Tillförd energi'!$B$1:$AQ$1,0),FALSE)</f>
        <v>0</v>
      </c>
      <c r="AD110" s="121">
        <f>VLOOKUP($B110,'Tillförd energi'!$B$1:$AI$720,MATCH(AD$1,'Tillförd energi'!$B$1:$AQ$1,0),FALSE)</f>
        <v>0</v>
      </c>
      <c r="AE110" s="121">
        <f>VLOOKUP($B110,'Tillförd energi'!$B$1:$AI$720,MATCH(AE$1,'Tillförd energi'!$B$1:$AQ$1,0),FALSE)</f>
        <v>0</v>
      </c>
      <c r="AF110" s="121">
        <f>VLOOKUP($B110,'Tillförd energi'!$B$1:$AI$720,MATCH(AF$1,'Tillförd energi'!$B$1:$AQ$1,0),FALSE)</f>
        <v>0.09</v>
      </c>
      <c r="AG110" s="121">
        <f>IFERROR(VLOOKUP(B110,Miljö!$B$1:$AC$550,MATCH("Köpt mängd produktionsspecifik fjärrvärme:",Miljö!$B$1:$AC$1,0),FALSE)/1,0)</f>
        <v>0</v>
      </c>
      <c r="AH110" s="121"/>
      <c r="AI110" s="121">
        <f t="shared" si="44"/>
        <v>13.41011</v>
      </c>
      <c r="AJ110" s="121">
        <f t="shared" si="45"/>
        <v>13.41011</v>
      </c>
      <c r="AK110" s="121">
        <f>IF(ISERROR(1/VLOOKUP($B110,Leveranser!$B$1:$S$499,MATCH("såld värme (gwh)",Leveranser!$B$1:$S$1,0),FALSE)),"",VLOOKUP($B110,Leveranser!$B$1:$S$499,MATCH("såld värme (gwh)",Leveranser!$B$1:$S$1,0),FALSE))</f>
        <v>10</v>
      </c>
      <c r="AL110" s="121">
        <f>VLOOKUP($B110,Leveranser!$B$1:$Y$499,MATCH("Totalt såld fjärrvärme till andra fjärrvärmeföretag",Leveranser!$B$1:$AA$1,0),FALSE)</f>
        <v>0</v>
      </c>
      <c r="AM110" s="121">
        <f>IF(ISERROR(1/VLOOKUP($B110,Miljö!$B$1:$S$500,MATCH("Såld mängd produktionsspecifik fjärrvärme (GWh)",Miljö!$B$1:$R$1,0),FALSE)),0,VLOOKUP($B110,Miljö!$B$1:$S$500,MATCH("Såld mängd produktionsspecifik fjärrvärme (GWh)",Miljö!$B$1:$R$1,0),FALSE))</f>
        <v>0</v>
      </c>
      <c r="AN110" s="172">
        <f t="shared" si="46"/>
        <v>0.74570603820550319</v>
      </c>
      <c r="AO110" s="121"/>
      <c r="AP110" s="121" t="str">
        <f>IFERROR(VLOOKUP($B110,Miljövärden!$B$2:$H$550,7,FALSE),"Nej, saknas")</f>
        <v>Ja</v>
      </c>
      <c r="AQ110" s="121" t="str">
        <f>IFERROR(VLOOKUP($B110,Miljövärden!$B$2:$H$550,6,FALSE),"Nej, saknas")</f>
        <v>Nej</v>
      </c>
      <c r="AU110">
        <f t="shared" si="47"/>
        <v>0.09</v>
      </c>
      <c r="AV110">
        <f t="shared" si="48"/>
        <v>1.11111</v>
      </c>
      <c r="AW110">
        <f t="shared" si="49"/>
        <v>6.3559999999999999</v>
      </c>
      <c r="AX110">
        <f t="shared" si="50"/>
        <v>3.4489999999999998</v>
      </c>
      <c r="AZ110">
        <f t="shared" si="51"/>
        <v>13.32011</v>
      </c>
      <c r="BC110">
        <f t="shared" si="52"/>
        <v>0</v>
      </c>
      <c r="BD110">
        <f t="shared" si="53"/>
        <v>0</v>
      </c>
      <c r="BE110">
        <f t="shared" si="54"/>
        <v>13.32011</v>
      </c>
      <c r="BF110">
        <f t="shared" si="55"/>
        <v>0</v>
      </c>
      <c r="BG110">
        <f t="shared" si="56"/>
        <v>0.09</v>
      </c>
      <c r="BH110">
        <f>VLOOKUP(B110,Miljö!$B$1:$BX$482,MATCH("Fossilandel för ursprungspecificerad el ()",Miljö!$B$1:$I$1,0),FALSE)</f>
        <v>0.43</v>
      </c>
      <c r="BI110">
        <f>VLOOKUP(B110,Miljö!$B$1:$BX$482,MATCH("Kärnkraftsandel för ursprungsspecificerad el ()",Miljö!$B$1:$O$1,0),FALSE)</f>
        <v>0.40550000000000003</v>
      </c>
      <c r="BJ110">
        <f t="shared" si="57"/>
        <v>0</v>
      </c>
      <c r="BK110" t="str">
        <f>VLOOKUP(B110,Miljö!$B$1:$O$482,MATCH("Fossil andel i procent (%)",Miljö!$B$1:$O$1,0),FALSE)</f>
        <v>ET</v>
      </c>
      <c r="BL110">
        <f t="shared" si="58"/>
        <v>13.41011</v>
      </c>
      <c r="BO110" s="18">
        <f t="shared" si="59"/>
        <v>2.8858823678552972E-3</v>
      </c>
      <c r="BP110" s="18">
        <f t="shared" si="60"/>
        <v>2.7214541864309838E-3</v>
      </c>
      <c r="BQ110" s="18">
        <f t="shared" si="61"/>
        <v>0.99439266344571375</v>
      </c>
      <c r="BR110" s="18">
        <f t="shared" si="62"/>
        <v>0</v>
      </c>
      <c r="BT110" s="27">
        <f t="shared" si="63"/>
        <v>1</v>
      </c>
      <c r="BW110" s="18">
        <f>IF(AP110="ja",VLOOKUP(B110,Miljövärden!$B$2:$H$550,MATCH("Total andel fossilt",Miljövärden!$B$2:$H$2,0),FALSE),"")</f>
        <v>2.88588E-3</v>
      </c>
      <c r="BZ110" s="28">
        <f t="shared" si="64"/>
        <v>-2.3678552972528077E-9</v>
      </c>
      <c r="CA110" s="28">
        <f t="shared" si="65"/>
        <v>0</v>
      </c>
    </row>
    <row r="111" spans="1:79" x14ac:dyDescent="0.25">
      <c r="A111" s="224" t="s">
        <v>345</v>
      </c>
      <c r="B111" s="210" t="s">
        <v>347</v>
      </c>
      <c r="C111" s="121">
        <f>VLOOKUP($B111,'Tillförd energi'!$B$1:$AI$720,MATCH(C$1,'Tillförd energi'!$B$1:$AQ$1,0),FALSE)</f>
        <v>0</v>
      </c>
      <c r="D111" s="121">
        <f>VLOOKUP($B111,'Tillförd energi'!$B$1:$AI$720,MATCH(D$1,'Tillförd energi'!$B$1:$AQ$1,0),FALSE)</f>
        <v>0.84252899999999997</v>
      </c>
      <c r="E111" s="121">
        <f>VLOOKUP($B111,'Tillförd energi'!$B$1:$AI$720,MATCH(E$1,'Tillförd energi'!$B$1:$AQ$1,0),FALSE)</f>
        <v>0</v>
      </c>
      <c r="F111" s="121">
        <f>VLOOKUP($B111,'Tillförd energi'!$B$1:$AI$720,MATCH(F$1,'Tillförd energi'!$B$1:$AQ$1,0),FALSE)</f>
        <v>0</v>
      </c>
      <c r="G111" s="121">
        <f>VLOOKUP($B111,'Tillförd energi'!$B$1:$AI$720,MATCH(G$1,'Tillförd energi'!$B$1:$AQ$1,0),FALSE)</f>
        <v>0</v>
      </c>
      <c r="H111" s="121">
        <f>VLOOKUP($B111,'Tillförd energi'!$B$1:$AI$720,MATCH(H$1,'Tillförd energi'!$B$1:$AQ$1,0),FALSE)</f>
        <v>0</v>
      </c>
      <c r="I111" s="121">
        <f>VLOOKUP($B111,'Tillförd energi'!$B$1:$AI$720,MATCH(I$1,'Tillförd energi'!$B$1:$AQ$1,0),FALSE)</f>
        <v>0</v>
      </c>
      <c r="J111" s="121">
        <f>VLOOKUP($B111,'Tillförd energi'!$B$1:$AI$720,MATCH(J$1,'Tillförd energi'!$B$1:$AQ$1,0),FALSE)</f>
        <v>0</v>
      </c>
      <c r="K111" s="121">
        <f>VLOOKUP($B111,'Tillförd energi'!$B$1:$AI$720,MATCH(K$1,'Tillförd energi'!$B$1:$AQ$1,0),FALSE)</f>
        <v>0</v>
      </c>
      <c r="L111" s="121">
        <f>VLOOKUP($B111,'Tillförd energi'!$B$1:$AI$720,MATCH(L$1,'Tillförd energi'!$B$1:$AQ$1,0),FALSE)</f>
        <v>0</v>
      </c>
      <c r="M111" s="121">
        <f>VLOOKUP($B111,'Tillförd energi'!$B$1:$AI$720,MATCH(M$1,'Tillförd energi'!$B$1:$AQ$1,0),FALSE)</f>
        <v>0</v>
      </c>
      <c r="N111" s="121">
        <f>VLOOKUP($B111,'Tillförd energi'!$B$1:$AI$720,MATCH(N$1,'Tillförd energi'!$B$1:$AQ$1,0),FALSE)</f>
        <v>0</v>
      </c>
      <c r="O111" s="121">
        <f>VLOOKUP($B111,'Tillförd energi'!$B$1:$AI$720,MATCH(O$1,'Tillförd energi'!$B$1:$AQ$1,0),FALSE)</f>
        <v>0</v>
      </c>
      <c r="P111" s="121">
        <f>VLOOKUP($B111,'Tillförd energi'!$B$1:$AI$720,MATCH(P$1,'Tillförd energi'!$B$1:$AQ$1,0),FALSE)</f>
        <v>0</v>
      </c>
      <c r="Q111" s="121">
        <f>VLOOKUP($B111,'Tillförd energi'!$B$1:$AI$720,MATCH(Q$1,'Tillförd energi'!$B$1:$AQ$1,0),FALSE)</f>
        <v>0</v>
      </c>
      <c r="R111" s="121">
        <f>VLOOKUP($B111,'Tillförd energi'!$B$1:$AI$720,MATCH(R$1,'Tillförd energi'!$B$1:$AQ$1,0),FALSE)</f>
        <v>0</v>
      </c>
      <c r="S111" s="121">
        <f>VLOOKUP($B111,'Tillförd energi'!$B$1:$AI$720,MATCH(S$1,'Tillförd energi'!$B$1:$AQ$1,0),FALSE)</f>
        <v>0</v>
      </c>
      <c r="T111" s="121">
        <f>VLOOKUP($B111,'Tillförd energi'!$B$1:$AI$720,MATCH(T$1,'Tillförd energi'!$B$1:$AQ$1,0),FALSE)</f>
        <v>0</v>
      </c>
      <c r="U111" s="121">
        <f>VLOOKUP($B111,'Tillförd energi'!$B$1:$AI$720,MATCH(U$1,'Tillförd energi'!$B$1:$AQ$1,0),FALSE)</f>
        <v>0</v>
      </c>
      <c r="V111" s="121">
        <f>VLOOKUP($B111,'Tillförd energi'!$B$1:$AI$720,MATCH(V$1,'Tillförd energi'!$B$1:$AQ$1,0),FALSE)</f>
        <v>0</v>
      </c>
      <c r="W111" s="121">
        <f>VLOOKUP($B111,'Tillförd energi'!$B$1:$AI$720,MATCH(W$1,'Tillförd energi'!$B$1:$AQ$1,0),FALSE)</f>
        <v>0</v>
      </c>
      <c r="X111" s="121">
        <f>VLOOKUP($B111,'Tillförd energi'!$B$1:$AI$720,MATCH(X$1,'Tillförd energi'!$B$1:$AQ$1,0),FALSE)</f>
        <v>0</v>
      </c>
      <c r="Y111" s="121">
        <f>VLOOKUP($B111,'Tillförd energi'!$B$1:$AI$720,MATCH(Y$1,'Tillförd energi'!$B$1:$AQ$1,0),FALSE)</f>
        <v>63.435400000000001</v>
      </c>
      <c r="Z111" s="121">
        <f>VLOOKUP($B111,'Tillförd energi'!$B$1:$AI$720,MATCH(Z$1,'Tillförd energi'!$B$1:$AQ$1,0),FALSE)</f>
        <v>0</v>
      </c>
      <c r="AA111" s="121">
        <f>VLOOKUP($B111,'Tillförd energi'!$B$1:$AI$720,MATCH(AA$1,'Tillförd energi'!$B$1:$AQ$1,0),FALSE)</f>
        <v>0</v>
      </c>
      <c r="AB111" s="121">
        <f>VLOOKUP($B111,'Tillförd energi'!$B$1:$AI$720,MATCH(AB$1,'Tillförd energi'!$B$1:$AQ$1,0),FALSE)</f>
        <v>0</v>
      </c>
      <c r="AC111" s="121">
        <f>VLOOKUP($B111,'Tillförd energi'!$B$1:$AI$720,MATCH(AC$1,'Tillförd energi'!$B$1:$AQ$1,0),FALSE)</f>
        <v>0</v>
      </c>
      <c r="AD111" s="121">
        <f>VLOOKUP($B111,'Tillförd energi'!$B$1:$AI$720,MATCH(AD$1,'Tillförd energi'!$B$1:$AQ$1,0),FALSE)</f>
        <v>0</v>
      </c>
      <c r="AE111" s="121">
        <f>VLOOKUP($B111,'Tillförd energi'!$B$1:$AI$720,MATCH(AE$1,'Tillförd energi'!$B$1:$AQ$1,0),FALSE)</f>
        <v>0</v>
      </c>
      <c r="AF111" s="121">
        <f>VLOOKUP($B111,'Tillförd energi'!$B$1:$AI$720,MATCH(AF$1,'Tillförd energi'!$B$1:$AQ$1,0),FALSE)</f>
        <v>0.42399999999999999</v>
      </c>
      <c r="AG111" s="121">
        <f>IFERROR(VLOOKUP(B111,Miljö!$B$1:$AC$550,MATCH("Köpt mängd produktionsspecifik fjärrvärme:",Miljö!$B$1:$AC$1,0),FALSE)/1,0)</f>
        <v>0</v>
      </c>
      <c r="AH111" s="121"/>
      <c r="AI111" s="121">
        <f t="shared" si="44"/>
        <v>64.701929000000007</v>
      </c>
      <c r="AJ111" s="121">
        <f t="shared" si="45"/>
        <v>64.701929000000007</v>
      </c>
      <c r="AK111" s="121">
        <f>IF(ISERROR(1/VLOOKUP($B111,Leveranser!$B$1:$S$499,MATCH("såld värme (gwh)",Leveranser!$B$1:$S$1,0),FALSE)),"",VLOOKUP($B111,Leveranser!$B$1:$S$499,MATCH("såld värme (gwh)",Leveranser!$B$1:$S$1,0),FALSE))</f>
        <v>46</v>
      </c>
      <c r="AL111" s="121">
        <f>VLOOKUP($B111,Leveranser!$B$1:$Y$499,MATCH("Totalt såld fjärrvärme till andra fjärrvärmeföretag",Leveranser!$B$1:$AA$1,0),FALSE)</f>
        <v>0</v>
      </c>
      <c r="AM111" s="121">
        <f>IF(ISERROR(1/VLOOKUP($B111,Miljö!$B$1:$S$500,MATCH("Såld mängd produktionsspecifik fjärrvärme (GWh)",Miljö!$B$1:$R$1,0),FALSE)),0,VLOOKUP($B111,Miljö!$B$1:$S$500,MATCH("Såld mängd produktionsspecifik fjärrvärme (GWh)",Miljö!$B$1:$R$1,0),FALSE))</f>
        <v>0</v>
      </c>
      <c r="AN111" s="172">
        <f t="shared" si="46"/>
        <v>0.71095252816960053</v>
      </c>
      <c r="AO111" s="121"/>
      <c r="AP111" s="121" t="str">
        <f>IFERROR(VLOOKUP($B111,Miljövärden!$B$2:$H$550,7,FALSE),"Nej, saknas")</f>
        <v>Ja</v>
      </c>
      <c r="AQ111" s="121" t="str">
        <f>IFERROR(VLOOKUP($B111,Miljövärden!$B$2:$H$550,6,FALSE),"Nej, saknas")</f>
        <v>Nej</v>
      </c>
      <c r="AU111">
        <f t="shared" si="47"/>
        <v>0.42399999999999999</v>
      </c>
      <c r="AV111">
        <f t="shared" si="48"/>
        <v>0</v>
      </c>
      <c r="AW111">
        <f t="shared" si="49"/>
        <v>0</v>
      </c>
      <c r="AX111">
        <f t="shared" si="50"/>
        <v>0</v>
      </c>
      <c r="AZ111">
        <f t="shared" si="51"/>
        <v>0</v>
      </c>
      <c r="BC111">
        <f t="shared" si="52"/>
        <v>0.84252899999999997</v>
      </c>
      <c r="BD111">
        <f t="shared" si="53"/>
        <v>63.435400000000001</v>
      </c>
      <c r="BE111">
        <f t="shared" si="54"/>
        <v>0</v>
      </c>
      <c r="BF111">
        <f t="shared" si="55"/>
        <v>0</v>
      </c>
      <c r="BG111">
        <f t="shared" si="56"/>
        <v>0.42399999999999999</v>
      </c>
      <c r="BH111">
        <f>VLOOKUP(B111,Miljö!$B$1:$BX$482,MATCH("Fossilandel för ursprungspecificerad el ()",Miljö!$B$1:$I$1,0),FALSE)</f>
        <v>0.43</v>
      </c>
      <c r="BI111">
        <f>VLOOKUP(B111,Miljö!$B$1:$BX$482,MATCH("Kärnkraftsandel för ursprungsspecificerad el ()",Miljö!$B$1:$O$1,0),FALSE)</f>
        <v>0.40550000000000003</v>
      </c>
      <c r="BJ111">
        <f t="shared" si="57"/>
        <v>0</v>
      </c>
      <c r="BK111" t="str">
        <f>VLOOKUP(B111,Miljö!$B$1:$O$482,MATCH("Fossil andel i procent (%)",Miljö!$B$1:$O$1,0),FALSE)</f>
        <v>ET</v>
      </c>
      <c r="BL111">
        <f t="shared" si="58"/>
        <v>64.701929000000007</v>
      </c>
      <c r="BO111" s="18">
        <f t="shared" si="59"/>
        <v>1.5839543207436673E-2</v>
      </c>
      <c r="BP111" s="18">
        <f t="shared" si="60"/>
        <v>0.98308246729398119</v>
      </c>
      <c r="BQ111" s="18">
        <f t="shared" si="61"/>
        <v>1.0779894985820284E-3</v>
      </c>
      <c r="BR111" s="18">
        <f t="shared" si="62"/>
        <v>0</v>
      </c>
      <c r="BT111" s="27">
        <f t="shared" si="63"/>
        <v>0.99999999999999989</v>
      </c>
      <c r="BW111" s="18">
        <f>IF(AP111="ja",VLOOKUP(B111,Miljövärden!$B$2:$H$550,MATCH("Total andel fossilt",Miljövärden!$B$2:$H$2,0),FALSE),"")</f>
        <v>1.5839599999999999E-2</v>
      </c>
      <c r="BZ111" s="28">
        <f t="shared" si="64"/>
        <v>5.6792563325747114E-8</v>
      </c>
      <c r="CA111" s="28">
        <f t="shared" si="65"/>
        <v>0</v>
      </c>
    </row>
    <row r="112" spans="1:79" x14ac:dyDescent="0.25">
      <c r="A112" s="224" t="s">
        <v>348</v>
      </c>
      <c r="B112" s="210" t="s">
        <v>349</v>
      </c>
      <c r="C112" s="121">
        <f>VLOOKUP($B112,'Tillförd energi'!$B$1:$AI$720,MATCH(C$1,'Tillförd energi'!$B$1:$AQ$1,0),FALSE)</f>
        <v>0</v>
      </c>
      <c r="D112" s="121">
        <f>VLOOKUP($B112,'Tillförd energi'!$B$1:$AI$720,MATCH(D$1,'Tillförd energi'!$B$1:$AQ$1,0),FALSE)</f>
        <v>1.7</v>
      </c>
      <c r="E112" s="121">
        <f>VLOOKUP($B112,'Tillförd energi'!$B$1:$AI$720,MATCH(E$1,'Tillförd energi'!$B$1:$AQ$1,0),FALSE)</f>
        <v>0</v>
      </c>
      <c r="F112" s="121">
        <f>VLOOKUP($B112,'Tillförd energi'!$B$1:$AI$720,MATCH(F$1,'Tillförd energi'!$B$1:$AQ$1,0),FALSE)</f>
        <v>0</v>
      </c>
      <c r="G112" s="121">
        <f>VLOOKUP($B112,'Tillförd energi'!$B$1:$AI$720,MATCH(G$1,'Tillförd energi'!$B$1:$AQ$1,0),FALSE)</f>
        <v>0</v>
      </c>
      <c r="H112" s="121">
        <f>VLOOKUP($B112,'Tillförd energi'!$B$1:$AI$720,MATCH(H$1,'Tillförd energi'!$B$1:$AQ$1,0),FALSE)</f>
        <v>0</v>
      </c>
      <c r="I112" s="121">
        <f>VLOOKUP($B112,'Tillförd energi'!$B$1:$AI$720,MATCH(I$1,'Tillförd energi'!$B$1:$AQ$1,0),FALSE)</f>
        <v>0</v>
      </c>
      <c r="J112" s="121">
        <f>VLOOKUP($B112,'Tillförd energi'!$B$1:$AI$720,MATCH(J$1,'Tillförd energi'!$B$1:$AQ$1,0),FALSE)</f>
        <v>0</v>
      </c>
      <c r="K112" s="121">
        <f>VLOOKUP($B112,'Tillförd energi'!$B$1:$AI$720,MATCH(K$1,'Tillförd energi'!$B$1:$AQ$1,0),FALSE)</f>
        <v>0</v>
      </c>
      <c r="L112" s="121">
        <f>VLOOKUP($B112,'Tillförd energi'!$B$1:$AI$720,MATCH(L$1,'Tillförd energi'!$B$1:$AQ$1,0),FALSE)</f>
        <v>0</v>
      </c>
      <c r="M112" s="121">
        <f>VLOOKUP($B112,'Tillförd energi'!$B$1:$AI$720,MATCH(M$1,'Tillförd energi'!$B$1:$AQ$1,0),FALSE)</f>
        <v>11.8001</v>
      </c>
      <c r="N112" s="121">
        <f>VLOOKUP($B112,'Tillförd energi'!$B$1:$AI$720,MATCH(N$1,'Tillförd energi'!$B$1:$AQ$1,0),FALSE)</f>
        <v>11.8001</v>
      </c>
      <c r="O112" s="121">
        <f>VLOOKUP($B112,'Tillförd energi'!$B$1:$AI$720,MATCH(O$1,'Tillförd energi'!$B$1:$AQ$1,0),FALSE)</f>
        <v>11.8001</v>
      </c>
      <c r="P112" s="121">
        <f>VLOOKUP($B112,'Tillförd energi'!$B$1:$AI$720,MATCH(P$1,'Tillförd energi'!$B$1:$AQ$1,0),FALSE)</f>
        <v>11.8001</v>
      </c>
      <c r="Q112" s="121">
        <f>VLOOKUP($B112,'Tillförd energi'!$B$1:$AI$720,MATCH(Q$1,'Tillförd energi'!$B$1:$AQ$1,0),FALSE)</f>
        <v>11.8001</v>
      </c>
      <c r="R112" s="121">
        <f>VLOOKUP($B112,'Tillförd energi'!$B$1:$AI$720,MATCH(R$1,'Tillförd energi'!$B$1:$AQ$1,0),FALSE)</f>
        <v>0</v>
      </c>
      <c r="S112" s="121">
        <f>VLOOKUP($B112,'Tillförd energi'!$B$1:$AI$720,MATCH(S$1,'Tillförd energi'!$B$1:$AQ$1,0),FALSE)</f>
        <v>0</v>
      </c>
      <c r="T112" s="121">
        <f>VLOOKUP($B112,'Tillförd energi'!$B$1:$AI$720,MATCH(T$1,'Tillförd energi'!$B$1:$AQ$1,0),FALSE)</f>
        <v>0</v>
      </c>
      <c r="U112" s="121">
        <f>VLOOKUP($B112,'Tillförd energi'!$B$1:$AI$720,MATCH(U$1,'Tillförd energi'!$B$1:$AQ$1,0),FALSE)</f>
        <v>0</v>
      </c>
      <c r="V112" s="121">
        <f>VLOOKUP($B112,'Tillförd energi'!$B$1:$AI$720,MATCH(V$1,'Tillförd energi'!$B$1:$AQ$1,0),FALSE)</f>
        <v>0</v>
      </c>
      <c r="W112" s="121">
        <f>VLOOKUP($B112,'Tillförd energi'!$B$1:$AI$720,MATCH(W$1,'Tillförd energi'!$B$1:$AQ$1,0),FALSE)</f>
        <v>0</v>
      </c>
      <c r="X112" s="121">
        <f>VLOOKUP($B112,'Tillförd energi'!$B$1:$AI$720,MATCH(X$1,'Tillförd energi'!$B$1:$AQ$1,0),FALSE)</f>
        <v>0</v>
      </c>
      <c r="Y112" s="121">
        <f>VLOOKUP($B112,'Tillförd energi'!$B$1:$AI$720,MATCH(Y$1,'Tillförd energi'!$B$1:$AQ$1,0),FALSE)</f>
        <v>0</v>
      </c>
      <c r="Z112" s="121">
        <f>VLOOKUP($B112,'Tillförd energi'!$B$1:$AI$720,MATCH(Z$1,'Tillförd energi'!$B$1:$AQ$1,0),FALSE)</f>
        <v>0</v>
      </c>
      <c r="AA112" s="121">
        <f>VLOOKUP($B112,'Tillförd energi'!$B$1:$AI$720,MATCH(AA$1,'Tillförd energi'!$B$1:$AQ$1,0),FALSE)</f>
        <v>0</v>
      </c>
      <c r="AB112" s="121">
        <f>VLOOKUP($B112,'Tillförd energi'!$B$1:$AI$720,MATCH(AB$1,'Tillförd energi'!$B$1:$AQ$1,0),FALSE)</f>
        <v>0</v>
      </c>
      <c r="AC112" s="121">
        <f>VLOOKUP($B112,'Tillförd energi'!$B$1:$AI$720,MATCH(AC$1,'Tillförd energi'!$B$1:$AQ$1,0),FALSE)</f>
        <v>10.5</v>
      </c>
      <c r="AD112" s="121">
        <f>VLOOKUP($B112,'Tillförd energi'!$B$1:$AI$720,MATCH(AD$1,'Tillförd energi'!$B$1:$AQ$1,0),FALSE)</f>
        <v>0</v>
      </c>
      <c r="AE112" s="121">
        <f>VLOOKUP($B112,'Tillförd energi'!$B$1:$AI$720,MATCH(AE$1,'Tillförd energi'!$B$1:$AQ$1,0),FALSE)</f>
        <v>0</v>
      </c>
      <c r="AF112" s="121">
        <f>VLOOKUP($B112,'Tillförd energi'!$B$1:$AI$720,MATCH(AF$1,'Tillförd energi'!$B$1:$AQ$1,0),FALSE)</f>
        <v>2.19597</v>
      </c>
      <c r="AG112" s="121">
        <f>IFERROR(VLOOKUP(B112,Miljö!$B$1:$AC$550,MATCH("Köpt mängd produktionsspecifik fjärrvärme:",Miljö!$B$1:$AC$1,0),FALSE)/1,0)</f>
        <v>0</v>
      </c>
      <c r="AH112" s="121"/>
      <c r="AI112" s="121">
        <f t="shared" si="44"/>
        <v>73.396470000000008</v>
      </c>
      <c r="AJ112" s="121">
        <f t="shared" si="45"/>
        <v>73.396470000000008</v>
      </c>
      <c r="AK112" s="121">
        <f>IF(ISERROR(1/VLOOKUP($B112,Leveranser!$B$1:$S$499,MATCH("såld värme (gwh)",Leveranser!$B$1:$S$1,0),FALSE)),"",VLOOKUP($B112,Leveranser!$B$1:$S$499,MATCH("såld värme (gwh)",Leveranser!$B$1:$S$1,0),FALSE))</f>
        <v>56.1</v>
      </c>
      <c r="AL112" s="121">
        <f>VLOOKUP($B112,Leveranser!$B$1:$Y$499,MATCH("Totalt såld fjärrvärme till andra fjärrvärmeföretag",Leveranser!$B$1:$AA$1,0),FALSE)</f>
        <v>0</v>
      </c>
      <c r="AM112" s="121">
        <f>IF(ISERROR(1/VLOOKUP($B112,Miljö!$B$1:$S$500,MATCH("Såld mängd produktionsspecifik fjärrvärme (GWh)",Miljö!$B$1:$R$1,0),FALSE)),0,VLOOKUP($B112,Miljö!$B$1:$S$500,MATCH("Såld mängd produktionsspecifik fjärrvärme (GWh)",Miljö!$B$1:$R$1,0),FALSE))</f>
        <v>0</v>
      </c>
      <c r="AN112" s="172">
        <f t="shared" si="46"/>
        <v>0.7643419363356303</v>
      </c>
      <c r="AO112" s="121"/>
      <c r="AP112" s="121" t="str">
        <f>IFERROR(VLOOKUP($B112,Miljövärden!$B$2:$H$550,7,FALSE),"Nej, saknas")</f>
        <v>Ja</v>
      </c>
      <c r="AQ112" s="121" t="str">
        <f>IFERROR(VLOOKUP($B112,Miljövärden!$B$2:$H$550,6,FALSE),"Nej, saknas")</f>
        <v>Ja</v>
      </c>
      <c r="AU112">
        <f t="shared" si="47"/>
        <v>2.19597</v>
      </c>
      <c r="AV112">
        <f t="shared" si="48"/>
        <v>0</v>
      </c>
      <c r="AW112">
        <f t="shared" si="49"/>
        <v>59.000500000000002</v>
      </c>
      <c r="AX112">
        <f t="shared" si="50"/>
        <v>0</v>
      </c>
      <c r="AZ112">
        <f t="shared" si="51"/>
        <v>59.000500000000002</v>
      </c>
      <c r="BC112">
        <f t="shared" si="52"/>
        <v>1.7</v>
      </c>
      <c r="BD112">
        <f t="shared" si="53"/>
        <v>0</v>
      </c>
      <c r="BE112">
        <f t="shared" si="54"/>
        <v>59.000500000000002</v>
      </c>
      <c r="BF112">
        <f t="shared" si="55"/>
        <v>10.5</v>
      </c>
      <c r="BG112">
        <f t="shared" si="56"/>
        <v>2.19597</v>
      </c>
      <c r="BH112">
        <f>VLOOKUP(B112,Miljö!$B$1:$BX$482,MATCH("Fossilandel för ursprungspecificerad el ()",Miljö!$B$1:$I$1,0),FALSE)</f>
        <v>0.43</v>
      </c>
      <c r="BI112">
        <f>VLOOKUP(B112,Miljö!$B$1:$BX$482,MATCH("Kärnkraftsandel för ursprungsspecificerad el ()",Miljö!$B$1:$O$1,0),FALSE)</f>
        <v>0.40550000000000003</v>
      </c>
      <c r="BJ112">
        <f t="shared" si="57"/>
        <v>0</v>
      </c>
      <c r="BK112" t="str">
        <f>VLOOKUP(B112,Miljö!$B$1:$O$482,MATCH("Fossil andel i procent (%)",Miljö!$B$1:$O$1,0),FALSE)</f>
        <v>ET</v>
      </c>
      <c r="BL112">
        <f t="shared" si="58"/>
        <v>73.396470000000008</v>
      </c>
      <c r="BO112" s="18">
        <f t="shared" si="59"/>
        <v>3.6027169971525871E-2</v>
      </c>
      <c r="BP112" s="18">
        <f t="shared" si="60"/>
        <v>1.2132270598299891E-2</v>
      </c>
      <c r="BQ112" s="18">
        <f t="shared" si="61"/>
        <v>0.80878190824436103</v>
      </c>
      <c r="BR112" s="18">
        <f t="shared" si="62"/>
        <v>0.14305865118581315</v>
      </c>
      <c r="BT112" s="27">
        <f t="shared" si="63"/>
        <v>1</v>
      </c>
      <c r="BW112" s="18">
        <f>IF(AP112="ja",VLOOKUP(B112,Miljövärden!$B$2:$H$550,MATCH("Total andel fossilt",Miljövärden!$B$2:$H$2,0),FALSE),"")</f>
        <v>3.6027200000000002E-2</v>
      </c>
      <c r="BZ112" s="28">
        <f t="shared" si="64"/>
        <v>3.002847413086096E-8</v>
      </c>
      <c r="CA112" s="28">
        <f t="shared" si="65"/>
        <v>0</v>
      </c>
    </row>
    <row r="113" spans="1:79" x14ac:dyDescent="0.25">
      <c r="A113" s="224" t="s">
        <v>348</v>
      </c>
      <c r="B113" s="210" t="s">
        <v>350</v>
      </c>
      <c r="C113" s="121">
        <f>VLOOKUP($B113,'Tillförd energi'!$B$1:$AI$720,MATCH(C$1,'Tillförd energi'!$B$1:$AQ$1,0),FALSE)</f>
        <v>0</v>
      </c>
      <c r="D113" s="121">
        <f>VLOOKUP($B113,'Tillförd energi'!$B$1:$AI$720,MATCH(D$1,'Tillförd energi'!$B$1:$AQ$1,0),FALSE)</f>
        <v>0.16</v>
      </c>
      <c r="E113" s="121">
        <f>VLOOKUP($B113,'Tillförd energi'!$B$1:$AI$720,MATCH(E$1,'Tillförd energi'!$B$1:$AQ$1,0),FALSE)</f>
        <v>0</v>
      </c>
      <c r="F113" s="121">
        <f>VLOOKUP($B113,'Tillförd energi'!$B$1:$AI$720,MATCH(F$1,'Tillförd energi'!$B$1:$AQ$1,0),FALSE)</f>
        <v>0</v>
      </c>
      <c r="G113" s="121">
        <f>VLOOKUP($B113,'Tillförd energi'!$B$1:$AI$720,MATCH(G$1,'Tillförd energi'!$B$1:$AQ$1,0),FALSE)</f>
        <v>0</v>
      </c>
      <c r="H113" s="121">
        <f>VLOOKUP($B113,'Tillförd energi'!$B$1:$AI$720,MATCH(H$1,'Tillförd energi'!$B$1:$AQ$1,0),FALSE)</f>
        <v>0</v>
      </c>
      <c r="I113" s="121">
        <f>VLOOKUP($B113,'Tillförd energi'!$B$1:$AI$720,MATCH(I$1,'Tillförd energi'!$B$1:$AQ$1,0),FALSE)</f>
        <v>0</v>
      </c>
      <c r="J113" s="121">
        <f>VLOOKUP($B113,'Tillförd energi'!$B$1:$AI$720,MATCH(J$1,'Tillförd energi'!$B$1:$AQ$1,0),FALSE)</f>
        <v>0</v>
      </c>
      <c r="K113" s="121">
        <f>VLOOKUP($B113,'Tillförd energi'!$B$1:$AI$720,MATCH(K$1,'Tillförd energi'!$B$1:$AQ$1,0),FALSE)</f>
        <v>0</v>
      </c>
      <c r="L113" s="121">
        <f>VLOOKUP($B113,'Tillförd energi'!$B$1:$AI$720,MATCH(L$1,'Tillförd energi'!$B$1:$AQ$1,0),FALSE)</f>
        <v>0</v>
      </c>
      <c r="M113" s="121">
        <f>VLOOKUP($B113,'Tillförd energi'!$B$1:$AI$720,MATCH(M$1,'Tillförd energi'!$B$1:$AQ$1,0),FALSE)</f>
        <v>0</v>
      </c>
      <c r="N113" s="121">
        <f>VLOOKUP($B113,'Tillförd energi'!$B$1:$AI$720,MATCH(N$1,'Tillförd energi'!$B$1:$AQ$1,0),FALSE)</f>
        <v>0</v>
      </c>
      <c r="O113" s="121">
        <f>VLOOKUP($B113,'Tillförd energi'!$B$1:$AI$720,MATCH(O$1,'Tillförd energi'!$B$1:$AQ$1,0),FALSE)</f>
        <v>0</v>
      </c>
      <c r="P113" s="121">
        <f>VLOOKUP($B113,'Tillförd energi'!$B$1:$AI$720,MATCH(P$1,'Tillförd energi'!$B$1:$AQ$1,0),FALSE)</f>
        <v>8.1999999999999993</v>
      </c>
      <c r="Q113" s="121">
        <f>VLOOKUP($B113,'Tillförd energi'!$B$1:$AI$720,MATCH(Q$1,'Tillförd energi'!$B$1:$AQ$1,0),FALSE)</f>
        <v>0</v>
      </c>
      <c r="R113" s="121">
        <f>VLOOKUP($B113,'Tillförd energi'!$B$1:$AI$720,MATCH(R$1,'Tillförd energi'!$B$1:$AQ$1,0),FALSE)</f>
        <v>0</v>
      </c>
      <c r="S113" s="121">
        <f>VLOOKUP($B113,'Tillförd energi'!$B$1:$AI$720,MATCH(S$1,'Tillförd energi'!$B$1:$AQ$1,0),FALSE)</f>
        <v>0</v>
      </c>
      <c r="T113" s="121">
        <f>VLOOKUP($B113,'Tillförd energi'!$B$1:$AI$720,MATCH(T$1,'Tillförd energi'!$B$1:$AQ$1,0),FALSE)</f>
        <v>0</v>
      </c>
      <c r="U113" s="121">
        <f>VLOOKUP($B113,'Tillförd energi'!$B$1:$AI$720,MATCH(U$1,'Tillförd energi'!$B$1:$AQ$1,0),FALSE)</f>
        <v>0</v>
      </c>
      <c r="V113" s="121">
        <f>VLOOKUP($B113,'Tillförd energi'!$B$1:$AI$720,MATCH(V$1,'Tillförd energi'!$B$1:$AQ$1,0),FALSE)</f>
        <v>0</v>
      </c>
      <c r="W113" s="121">
        <f>VLOOKUP($B113,'Tillförd energi'!$B$1:$AI$720,MATCH(W$1,'Tillförd energi'!$B$1:$AQ$1,0),FALSE)</f>
        <v>0</v>
      </c>
      <c r="X113" s="121">
        <f>VLOOKUP($B113,'Tillförd energi'!$B$1:$AI$720,MATCH(X$1,'Tillförd energi'!$B$1:$AQ$1,0),FALSE)</f>
        <v>0</v>
      </c>
      <c r="Y113" s="121">
        <f>VLOOKUP($B113,'Tillförd energi'!$B$1:$AI$720,MATCH(Y$1,'Tillförd energi'!$B$1:$AQ$1,0),FALSE)</f>
        <v>0</v>
      </c>
      <c r="Z113" s="121">
        <f>VLOOKUP($B113,'Tillförd energi'!$B$1:$AI$720,MATCH(Z$1,'Tillförd energi'!$B$1:$AQ$1,0),FALSE)</f>
        <v>0</v>
      </c>
      <c r="AA113" s="121">
        <f>VLOOKUP($B113,'Tillförd energi'!$B$1:$AI$720,MATCH(AA$1,'Tillförd energi'!$B$1:$AQ$1,0),FALSE)</f>
        <v>0</v>
      </c>
      <c r="AB113" s="121">
        <f>VLOOKUP($B113,'Tillförd energi'!$B$1:$AI$720,MATCH(AB$1,'Tillförd energi'!$B$1:$AQ$1,0),FALSE)</f>
        <v>0</v>
      </c>
      <c r="AC113" s="121">
        <f>VLOOKUP($B113,'Tillförd energi'!$B$1:$AI$720,MATCH(AC$1,'Tillförd energi'!$B$1:$AQ$1,0),FALSE)</f>
        <v>0</v>
      </c>
      <c r="AD113" s="121">
        <f>VLOOKUP($B113,'Tillförd energi'!$B$1:$AI$720,MATCH(AD$1,'Tillförd energi'!$B$1:$AQ$1,0),FALSE)</f>
        <v>0</v>
      </c>
      <c r="AE113" s="121">
        <f>VLOOKUP($B113,'Tillförd energi'!$B$1:$AI$720,MATCH(AE$1,'Tillförd energi'!$B$1:$AQ$1,0),FALSE)</f>
        <v>0</v>
      </c>
      <c r="AF113" s="121">
        <f>VLOOKUP($B113,'Tillförd energi'!$B$1:$AI$720,MATCH(AF$1,'Tillförd energi'!$B$1:$AQ$1,0),FALSE)</f>
        <v>0.18</v>
      </c>
      <c r="AG113" s="121">
        <f>IFERROR(VLOOKUP(B113,Miljö!$B$1:$AC$550,MATCH("Köpt mängd produktionsspecifik fjärrvärme:",Miljö!$B$1:$AC$1,0),FALSE)/1,0)</f>
        <v>0</v>
      </c>
      <c r="AH113" s="121"/>
      <c r="AI113" s="121">
        <f t="shared" si="44"/>
        <v>8.5399999999999991</v>
      </c>
      <c r="AJ113" s="121">
        <f t="shared" si="45"/>
        <v>8.5399999999999991</v>
      </c>
      <c r="AK113" s="121">
        <f>IF(ISERROR(1/VLOOKUP($B113,Leveranser!$B$1:$S$499,MATCH("såld värme (gwh)",Leveranser!$B$1:$S$1,0),FALSE)),"",VLOOKUP($B113,Leveranser!$B$1:$S$499,MATCH("såld värme (gwh)",Leveranser!$B$1:$S$1,0),FALSE))</f>
        <v>6.59</v>
      </c>
      <c r="AL113" s="121">
        <f>VLOOKUP($B113,Leveranser!$B$1:$Y$499,MATCH("Totalt såld fjärrvärme till andra fjärrvärmeföretag",Leveranser!$B$1:$AA$1,0),FALSE)</f>
        <v>0</v>
      </c>
      <c r="AM113" s="121">
        <f>IF(ISERROR(1/VLOOKUP($B113,Miljö!$B$1:$S$500,MATCH("Såld mängd produktionsspecifik fjärrvärme (GWh)",Miljö!$B$1:$R$1,0),FALSE)),0,VLOOKUP($B113,Miljö!$B$1:$S$500,MATCH("Såld mängd produktionsspecifik fjärrvärme (GWh)",Miljö!$B$1:$R$1,0),FALSE))</f>
        <v>0</v>
      </c>
      <c r="AN113" s="172">
        <f t="shared" si="46"/>
        <v>0.77166276346604223</v>
      </c>
      <c r="AO113" s="121"/>
      <c r="AP113" s="121" t="str">
        <f>IFERROR(VLOOKUP($B113,Miljövärden!$B$2:$H$550,7,FALSE),"Nej, saknas")</f>
        <v>Ja</v>
      </c>
      <c r="AQ113" s="121" t="str">
        <f>IFERROR(VLOOKUP($B113,Miljövärden!$B$2:$H$550,6,FALSE),"Nej, saknas")</f>
        <v>Ja</v>
      </c>
      <c r="AU113">
        <f t="shared" si="47"/>
        <v>0.18</v>
      </c>
      <c r="AV113">
        <f t="shared" si="48"/>
        <v>0</v>
      </c>
      <c r="AW113">
        <f t="shared" si="49"/>
        <v>8.1999999999999993</v>
      </c>
      <c r="AX113">
        <f t="shared" si="50"/>
        <v>0</v>
      </c>
      <c r="AZ113">
        <f t="shared" si="51"/>
        <v>8.1999999999999993</v>
      </c>
      <c r="BC113">
        <f t="shared" si="52"/>
        <v>0.16</v>
      </c>
      <c r="BD113">
        <f t="shared" si="53"/>
        <v>0</v>
      </c>
      <c r="BE113">
        <f t="shared" si="54"/>
        <v>8.1999999999999993</v>
      </c>
      <c r="BF113">
        <f t="shared" si="55"/>
        <v>0</v>
      </c>
      <c r="BG113">
        <f t="shared" si="56"/>
        <v>0.18</v>
      </c>
      <c r="BH113">
        <f>VLOOKUP(B113,Miljö!$B$1:$BX$482,MATCH("Fossilandel för ursprungspecificerad el ()",Miljö!$B$1:$I$1,0),FALSE)</f>
        <v>0.43</v>
      </c>
      <c r="BI113">
        <f>VLOOKUP(B113,Miljö!$B$1:$BX$482,MATCH("Kärnkraftsandel för ursprungsspecificerad el ()",Miljö!$B$1:$O$1,0),FALSE)</f>
        <v>0.40550000000000003</v>
      </c>
      <c r="BJ113">
        <f t="shared" si="57"/>
        <v>0</v>
      </c>
      <c r="BK113" t="str">
        <f>VLOOKUP(B113,Miljö!$B$1:$O$482,MATCH("Fossil andel i procent (%)",Miljö!$B$1:$O$1,0),FALSE)</f>
        <v>ET</v>
      </c>
      <c r="BL113">
        <f t="shared" si="58"/>
        <v>8.5399999999999991</v>
      </c>
      <c r="BO113" s="18">
        <f t="shared" si="59"/>
        <v>2.7798594847775179E-2</v>
      </c>
      <c r="BP113" s="18">
        <f t="shared" si="60"/>
        <v>8.5468384074941454E-3</v>
      </c>
      <c r="BQ113" s="18">
        <f t="shared" si="61"/>
        <v>0.96365456674473071</v>
      </c>
      <c r="BR113" s="18">
        <f t="shared" si="62"/>
        <v>0</v>
      </c>
      <c r="BT113" s="27">
        <f t="shared" si="63"/>
        <v>1</v>
      </c>
      <c r="BW113" s="18">
        <f>IF(AP113="ja",VLOOKUP(B113,Miljövärden!$B$2:$H$550,MATCH("Total andel fossilt",Miljövärden!$B$2:$H$2,0),FALSE),"")</f>
        <v>2.77986E-2</v>
      </c>
      <c r="BZ113" s="28">
        <f t="shared" si="64"/>
        <v>5.1522248203927923E-9</v>
      </c>
      <c r="CA113" s="28">
        <f t="shared" si="65"/>
        <v>0</v>
      </c>
    </row>
    <row r="114" spans="1:79" x14ac:dyDescent="0.25">
      <c r="A114" s="224" t="s">
        <v>348</v>
      </c>
      <c r="B114" s="210" t="s">
        <v>351</v>
      </c>
      <c r="C114" s="121">
        <f>VLOOKUP($B114,'Tillförd energi'!$B$1:$AI$720,MATCH(C$1,'Tillförd energi'!$B$1:$AQ$1,0),FALSE)</f>
        <v>0</v>
      </c>
      <c r="D114" s="121">
        <f>VLOOKUP($B114,'Tillförd energi'!$B$1:$AI$720,MATCH(D$1,'Tillförd energi'!$B$1:$AQ$1,0),FALSE)</f>
        <v>0.17</v>
      </c>
      <c r="E114" s="121">
        <f>VLOOKUP($B114,'Tillförd energi'!$B$1:$AI$720,MATCH(E$1,'Tillförd energi'!$B$1:$AQ$1,0),FALSE)</f>
        <v>0</v>
      </c>
      <c r="F114" s="121">
        <f>VLOOKUP($B114,'Tillförd energi'!$B$1:$AI$720,MATCH(F$1,'Tillförd energi'!$B$1:$AQ$1,0),FALSE)</f>
        <v>0</v>
      </c>
      <c r="G114" s="121">
        <f>VLOOKUP($B114,'Tillförd energi'!$B$1:$AI$720,MATCH(G$1,'Tillförd energi'!$B$1:$AQ$1,0),FALSE)</f>
        <v>0</v>
      </c>
      <c r="H114" s="121">
        <f>VLOOKUP($B114,'Tillförd energi'!$B$1:$AI$720,MATCH(H$1,'Tillförd energi'!$B$1:$AQ$1,0),FALSE)</f>
        <v>0</v>
      </c>
      <c r="I114" s="121">
        <f>VLOOKUP($B114,'Tillförd energi'!$B$1:$AI$720,MATCH(I$1,'Tillförd energi'!$B$1:$AQ$1,0),FALSE)</f>
        <v>0</v>
      </c>
      <c r="J114" s="121">
        <f>VLOOKUP($B114,'Tillförd energi'!$B$1:$AI$720,MATCH(J$1,'Tillförd energi'!$B$1:$AQ$1,0),FALSE)</f>
        <v>0</v>
      </c>
      <c r="K114" s="121">
        <f>VLOOKUP($B114,'Tillförd energi'!$B$1:$AI$720,MATCH(K$1,'Tillförd energi'!$B$1:$AQ$1,0),FALSE)</f>
        <v>0</v>
      </c>
      <c r="L114" s="121">
        <f>VLOOKUP($B114,'Tillförd energi'!$B$1:$AI$720,MATCH(L$1,'Tillförd energi'!$B$1:$AQ$1,0),FALSE)</f>
        <v>0</v>
      </c>
      <c r="M114" s="121">
        <f>VLOOKUP($B114,'Tillförd energi'!$B$1:$AI$720,MATCH(M$1,'Tillförd energi'!$B$1:$AQ$1,0),FALSE)</f>
        <v>0</v>
      </c>
      <c r="N114" s="121">
        <f>VLOOKUP($B114,'Tillförd energi'!$B$1:$AI$720,MATCH(N$1,'Tillförd energi'!$B$1:$AQ$1,0),FALSE)</f>
        <v>0</v>
      </c>
      <c r="O114" s="121">
        <f>VLOOKUP($B114,'Tillförd energi'!$B$1:$AI$720,MATCH(O$1,'Tillförd energi'!$B$1:$AQ$1,0),FALSE)</f>
        <v>0</v>
      </c>
      <c r="P114" s="121">
        <f>VLOOKUP($B114,'Tillförd energi'!$B$1:$AI$720,MATCH(P$1,'Tillförd energi'!$B$1:$AQ$1,0),FALSE)</f>
        <v>2.6</v>
      </c>
      <c r="Q114" s="121">
        <f>VLOOKUP($B114,'Tillförd energi'!$B$1:$AI$720,MATCH(Q$1,'Tillförd energi'!$B$1:$AQ$1,0),FALSE)</f>
        <v>0</v>
      </c>
      <c r="R114" s="121">
        <f>VLOOKUP($B114,'Tillförd energi'!$B$1:$AI$720,MATCH(R$1,'Tillförd energi'!$B$1:$AQ$1,0),FALSE)</f>
        <v>0</v>
      </c>
      <c r="S114" s="121">
        <f>VLOOKUP($B114,'Tillförd energi'!$B$1:$AI$720,MATCH(S$1,'Tillförd energi'!$B$1:$AQ$1,0),FALSE)</f>
        <v>0</v>
      </c>
      <c r="T114" s="121">
        <f>VLOOKUP($B114,'Tillförd energi'!$B$1:$AI$720,MATCH(T$1,'Tillförd energi'!$B$1:$AQ$1,0),FALSE)</f>
        <v>0</v>
      </c>
      <c r="U114" s="121">
        <f>VLOOKUP($B114,'Tillförd energi'!$B$1:$AI$720,MATCH(U$1,'Tillförd energi'!$B$1:$AQ$1,0),FALSE)</f>
        <v>0</v>
      </c>
      <c r="V114" s="121">
        <f>VLOOKUP($B114,'Tillförd energi'!$B$1:$AI$720,MATCH(V$1,'Tillförd energi'!$B$1:$AQ$1,0),FALSE)</f>
        <v>0</v>
      </c>
      <c r="W114" s="121">
        <f>VLOOKUP($B114,'Tillförd energi'!$B$1:$AI$720,MATCH(W$1,'Tillförd energi'!$B$1:$AQ$1,0),FALSE)</f>
        <v>0</v>
      </c>
      <c r="X114" s="121">
        <f>VLOOKUP($B114,'Tillförd energi'!$B$1:$AI$720,MATCH(X$1,'Tillförd energi'!$B$1:$AQ$1,0),FALSE)</f>
        <v>0</v>
      </c>
      <c r="Y114" s="121">
        <f>VLOOKUP($B114,'Tillförd energi'!$B$1:$AI$720,MATCH(Y$1,'Tillförd energi'!$B$1:$AQ$1,0),FALSE)</f>
        <v>0</v>
      </c>
      <c r="Z114" s="121">
        <f>VLOOKUP($B114,'Tillförd energi'!$B$1:$AI$720,MATCH(Z$1,'Tillförd energi'!$B$1:$AQ$1,0),FALSE)</f>
        <v>0</v>
      </c>
      <c r="AA114" s="121">
        <f>VLOOKUP($B114,'Tillförd energi'!$B$1:$AI$720,MATCH(AA$1,'Tillförd energi'!$B$1:$AQ$1,0),FALSE)</f>
        <v>0</v>
      </c>
      <c r="AB114" s="121">
        <f>VLOOKUP($B114,'Tillförd energi'!$B$1:$AI$720,MATCH(AB$1,'Tillförd energi'!$B$1:$AQ$1,0),FALSE)</f>
        <v>0</v>
      </c>
      <c r="AC114" s="121">
        <f>VLOOKUP($B114,'Tillförd energi'!$B$1:$AI$720,MATCH(AC$1,'Tillförd energi'!$B$1:$AQ$1,0),FALSE)</f>
        <v>0</v>
      </c>
      <c r="AD114" s="121">
        <f>VLOOKUP($B114,'Tillförd energi'!$B$1:$AI$720,MATCH(AD$1,'Tillförd energi'!$B$1:$AQ$1,0),FALSE)</f>
        <v>0</v>
      </c>
      <c r="AE114" s="121">
        <f>VLOOKUP($B114,'Tillförd energi'!$B$1:$AI$720,MATCH(AE$1,'Tillförd energi'!$B$1:$AQ$1,0),FALSE)</f>
        <v>0</v>
      </c>
      <c r="AF114" s="121">
        <f>VLOOKUP($B114,'Tillförd energi'!$B$1:$AI$720,MATCH(AF$1,'Tillförd energi'!$B$1:$AQ$1,0),FALSE)</f>
        <v>5.3999999999999999E-2</v>
      </c>
      <c r="AG114" s="121">
        <f>IFERROR(VLOOKUP(B114,Miljö!$B$1:$AC$550,MATCH("Köpt mängd produktionsspecifik fjärrvärme:",Miljö!$B$1:$AC$1,0),FALSE)/1,0)</f>
        <v>0</v>
      </c>
      <c r="AH114" s="121"/>
      <c r="AI114" s="121">
        <f t="shared" si="44"/>
        <v>2.8239999999999998</v>
      </c>
      <c r="AJ114" s="121">
        <f t="shared" si="45"/>
        <v>2.8239999999999998</v>
      </c>
      <c r="AK114" s="121">
        <f>IF(ISERROR(1/VLOOKUP($B114,Leveranser!$B$1:$S$499,MATCH("såld värme (gwh)",Leveranser!$B$1:$S$1,0),FALSE)),"",VLOOKUP($B114,Leveranser!$B$1:$S$499,MATCH("såld värme (gwh)",Leveranser!$B$1:$S$1,0),FALSE))</f>
        <v>2.27</v>
      </c>
      <c r="AL114" s="121">
        <f>VLOOKUP($B114,Leveranser!$B$1:$Y$499,MATCH("Totalt såld fjärrvärme till andra fjärrvärmeföretag",Leveranser!$B$1:$AA$1,0),FALSE)</f>
        <v>0</v>
      </c>
      <c r="AM114" s="121">
        <f>IF(ISERROR(1/VLOOKUP($B114,Miljö!$B$1:$S$500,MATCH("Såld mängd produktionsspecifik fjärrvärme (GWh)",Miljö!$B$1:$R$1,0),FALSE)),0,VLOOKUP($B114,Miljö!$B$1:$S$500,MATCH("Såld mängd produktionsspecifik fjärrvärme (GWh)",Miljö!$B$1:$R$1,0),FALSE))</f>
        <v>0</v>
      </c>
      <c r="AN114" s="172">
        <f t="shared" si="46"/>
        <v>0.80382436260623236</v>
      </c>
      <c r="AO114" s="121"/>
      <c r="AP114" s="121" t="str">
        <f>IFERROR(VLOOKUP($B114,Miljövärden!$B$2:$H$550,7,FALSE),"Nej, saknas")</f>
        <v>Ja</v>
      </c>
      <c r="AQ114" s="121" t="str">
        <f>IFERROR(VLOOKUP($B114,Miljövärden!$B$2:$H$550,6,FALSE),"Nej, saknas")</f>
        <v>Ja</v>
      </c>
      <c r="AU114">
        <f t="shared" si="47"/>
        <v>5.3999999999999999E-2</v>
      </c>
      <c r="AV114">
        <f t="shared" si="48"/>
        <v>0</v>
      </c>
      <c r="AW114">
        <f t="shared" si="49"/>
        <v>2.6</v>
      </c>
      <c r="AX114">
        <f t="shared" si="50"/>
        <v>0</v>
      </c>
      <c r="AZ114">
        <f t="shared" si="51"/>
        <v>2.6</v>
      </c>
      <c r="BC114">
        <f t="shared" si="52"/>
        <v>0.17</v>
      </c>
      <c r="BD114">
        <f t="shared" si="53"/>
        <v>0</v>
      </c>
      <c r="BE114">
        <f t="shared" si="54"/>
        <v>2.6</v>
      </c>
      <c r="BF114">
        <f t="shared" si="55"/>
        <v>0</v>
      </c>
      <c r="BG114">
        <f t="shared" si="56"/>
        <v>5.3999999999999999E-2</v>
      </c>
      <c r="BH114">
        <f>VLOOKUP(B114,Miljö!$B$1:$BX$482,MATCH("Fossilandel för ursprungspecificerad el ()",Miljö!$B$1:$I$1,0),FALSE)</f>
        <v>0.43</v>
      </c>
      <c r="BI114">
        <f>VLOOKUP(B114,Miljö!$B$1:$BX$482,MATCH("Kärnkraftsandel för ursprungsspecificerad el ()",Miljö!$B$1:$O$1,0),FALSE)</f>
        <v>0.40550000000000003</v>
      </c>
      <c r="BJ114">
        <f t="shared" si="57"/>
        <v>0</v>
      </c>
      <c r="BK114" t="str">
        <f>VLOOKUP(B114,Miljö!$B$1:$O$482,MATCH("Fossil andel i procent (%)",Miljö!$B$1:$O$1,0),FALSE)</f>
        <v>ET</v>
      </c>
      <c r="BL114">
        <f t="shared" si="58"/>
        <v>2.8239999999999998</v>
      </c>
      <c r="BO114" s="18">
        <f t="shared" si="59"/>
        <v>6.8420679886685556E-2</v>
      </c>
      <c r="BP114" s="18">
        <f t="shared" si="60"/>
        <v>7.7538951841359775E-3</v>
      </c>
      <c r="BQ114" s="18">
        <f t="shared" si="61"/>
        <v>0.92382542492917852</v>
      </c>
      <c r="BR114" s="18">
        <f t="shared" si="62"/>
        <v>0</v>
      </c>
      <c r="BT114" s="27">
        <f t="shared" si="63"/>
        <v>1</v>
      </c>
      <c r="BW114" s="18">
        <f>IF(AP114="ja",VLOOKUP(B114,Miljövärden!$B$2:$H$550,MATCH("Total andel fossilt",Miljövärden!$B$2:$H$2,0),FALSE),"")</f>
        <v>6.8420700000000001E-2</v>
      </c>
      <c r="BZ114" s="28">
        <f t="shared" si="64"/>
        <v>2.0113314444514252E-8</v>
      </c>
      <c r="CA114" s="28">
        <f t="shared" si="65"/>
        <v>0</v>
      </c>
    </row>
    <row r="115" spans="1:79" x14ac:dyDescent="0.25">
      <c r="A115" s="224" t="s">
        <v>348</v>
      </c>
      <c r="B115" s="210" t="s">
        <v>352</v>
      </c>
      <c r="C115" s="121">
        <f>VLOOKUP($B115,'Tillförd energi'!$B$1:$AI$720,MATCH(C$1,'Tillförd energi'!$B$1:$AQ$1,0),FALSE)</f>
        <v>0</v>
      </c>
      <c r="D115" s="121">
        <f>VLOOKUP($B115,'Tillförd energi'!$B$1:$AI$720,MATCH(D$1,'Tillförd energi'!$B$1:$AQ$1,0),FALSE)</f>
        <v>2.2000000000000002</v>
      </c>
      <c r="E115" s="121">
        <f>VLOOKUP($B115,'Tillförd energi'!$B$1:$AI$720,MATCH(E$1,'Tillförd energi'!$B$1:$AQ$1,0),FALSE)</f>
        <v>0</v>
      </c>
      <c r="F115" s="121">
        <f>VLOOKUP($B115,'Tillförd energi'!$B$1:$AI$720,MATCH(F$1,'Tillförd energi'!$B$1:$AQ$1,0),FALSE)</f>
        <v>0</v>
      </c>
      <c r="G115" s="121">
        <f>VLOOKUP($B115,'Tillförd energi'!$B$1:$AI$720,MATCH(G$1,'Tillförd energi'!$B$1:$AQ$1,0),FALSE)</f>
        <v>0</v>
      </c>
      <c r="H115" s="121">
        <f>VLOOKUP($B115,'Tillförd energi'!$B$1:$AI$720,MATCH(H$1,'Tillförd energi'!$B$1:$AQ$1,0),FALSE)</f>
        <v>0</v>
      </c>
      <c r="I115" s="121">
        <f>VLOOKUP($B115,'Tillförd energi'!$B$1:$AI$720,MATCH(I$1,'Tillförd energi'!$B$1:$AQ$1,0),FALSE)</f>
        <v>0</v>
      </c>
      <c r="J115" s="121">
        <f>VLOOKUP($B115,'Tillförd energi'!$B$1:$AI$720,MATCH(J$1,'Tillförd energi'!$B$1:$AQ$1,0),FALSE)</f>
        <v>0</v>
      </c>
      <c r="K115" s="121">
        <f>VLOOKUP($B115,'Tillförd energi'!$B$1:$AI$720,MATCH(K$1,'Tillförd energi'!$B$1:$AQ$1,0),FALSE)</f>
        <v>0</v>
      </c>
      <c r="L115" s="121">
        <f>VLOOKUP($B115,'Tillförd energi'!$B$1:$AI$720,MATCH(L$1,'Tillförd energi'!$B$1:$AQ$1,0),FALSE)</f>
        <v>0</v>
      </c>
      <c r="M115" s="121">
        <f>VLOOKUP($B115,'Tillförd energi'!$B$1:$AI$720,MATCH(M$1,'Tillförd energi'!$B$1:$AQ$1,0),FALSE)</f>
        <v>10.033200000000001</v>
      </c>
      <c r="N115" s="121">
        <f>VLOOKUP($B115,'Tillförd energi'!$B$1:$AI$720,MATCH(N$1,'Tillförd energi'!$B$1:$AQ$1,0),FALSE)</f>
        <v>10.101900000000001</v>
      </c>
      <c r="O115" s="121">
        <f>VLOOKUP($B115,'Tillförd energi'!$B$1:$AI$720,MATCH(O$1,'Tillförd energi'!$B$1:$AQ$1,0),FALSE)</f>
        <v>10.101900000000001</v>
      </c>
      <c r="P115" s="121">
        <f>VLOOKUP($B115,'Tillförd energi'!$B$1:$AI$720,MATCH(P$1,'Tillförd energi'!$B$1:$AQ$1,0),FALSE)</f>
        <v>10.033200000000001</v>
      </c>
      <c r="Q115" s="121">
        <f>VLOOKUP($B115,'Tillförd energi'!$B$1:$AI$720,MATCH(Q$1,'Tillförd energi'!$B$1:$AQ$1,0),FALSE)</f>
        <v>10.101900000000001</v>
      </c>
      <c r="R115" s="121">
        <f>VLOOKUP($B115,'Tillförd energi'!$B$1:$AI$720,MATCH(R$1,'Tillförd energi'!$B$1:$AQ$1,0),FALSE)</f>
        <v>0</v>
      </c>
      <c r="S115" s="121">
        <f>VLOOKUP($B115,'Tillförd energi'!$B$1:$AI$720,MATCH(S$1,'Tillförd energi'!$B$1:$AQ$1,0),FALSE)</f>
        <v>0</v>
      </c>
      <c r="T115" s="121">
        <f>VLOOKUP($B115,'Tillförd energi'!$B$1:$AI$720,MATCH(T$1,'Tillförd energi'!$B$1:$AQ$1,0),FALSE)</f>
        <v>0</v>
      </c>
      <c r="U115" s="121">
        <f>VLOOKUP($B115,'Tillförd energi'!$B$1:$AI$720,MATCH(U$1,'Tillförd energi'!$B$1:$AQ$1,0),FALSE)</f>
        <v>0</v>
      </c>
      <c r="V115" s="121">
        <f>VLOOKUP($B115,'Tillförd energi'!$B$1:$AI$720,MATCH(V$1,'Tillförd energi'!$B$1:$AQ$1,0),FALSE)</f>
        <v>0</v>
      </c>
      <c r="W115" s="121">
        <f>VLOOKUP($B115,'Tillförd energi'!$B$1:$AI$720,MATCH(W$1,'Tillförd energi'!$B$1:$AQ$1,0),FALSE)</f>
        <v>0</v>
      </c>
      <c r="X115" s="121">
        <f>VLOOKUP($B115,'Tillförd energi'!$B$1:$AI$720,MATCH(X$1,'Tillförd energi'!$B$1:$AQ$1,0),FALSE)</f>
        <v>0</v>
      </c>
      <c r="Y115" s="121">
        <f>VLOOKUP($B115,'Tillförd energi'!$B$1:$AI$720,MATCH(Y$1,'Tillförd energi'!$B$1:$AQ$1,0),FALSE)</f>
        <v>0</v>
      </c>
      <c r="Z115" s="121">
        <f>VLOOKUP($B115,'Tillförd energi'!$B$1:$AI$720,MATCH(Z$1,'Tillförd energi'!$B$1:$AQ$1,0),FALSE)</f>
        <v>0</v>
      </c>
      <c r="AA115" s="121">
        <f>VLOOKUP($B115,'Tillförd energi'!$B$1:$AI$720,MATCH(AA$1,'Tillförd energi'!$B$1:$AQ$1,0),FALSE)</f>
        <v>0</v>
      </c>
      <c r="AB115" s="121">
        <f>VLOOKUP($B115,'Tillförd energi'!$B$1:$AI$720,MATCH(AB$1,'Tillförd energi'!$B$1:$AQ$1,0),FALSE)</f>
        <v>0</v>
      </c>
      <c r="AC115" s="121">
        <f>VLOOKUP($B115,'Tillförd energi'!$B$1:$AI$720,MATCH(AC$1,'Tillförd energi'!$B$1:$AQ$1,0),FALSE)</f>
        <v>6.28</v>
      </c>
      <c r="AD115" s="121">
        <f>VLOOKUP($B115,'Tillförd energi'!$B$1:$AI$720,MATCH(AD$1,'Tillförd energi'!$B$1:$AQ$1,0),FALSE)</f>
        <v>0</v>
      </c>
      <c r="AE115" s="121">
        <f>VLOOKUP($B115,'Tillförd energi'!$B$1:$AI$720,MATCH(AE$1,'Tillförd energi'!$B$1:$AQ$1,0),FALSE)</f>
        <v>0</v>
      </c>
      <c r="AF115" s="121">
        <f>VLOOKUP($B115,'Tillförd energi'!$B$1:$AI$720,MATCH(AF$1,'Tillförd energi'!$B$1:$AQ$1,0),FALSE)</f>
        <v>2.1621999999999999</v>
      </c>
      <c r="AG115" s="121">
        <f>IFERROR(VLOOKUP(B115,Miljö!$B$1:$AC$550,MATCH("Köpt mängd produktionsspecifik fjärrvärme:",Miljö!$B$1:$AC$1,0),FALSE)/1,0)</f>
        <v>0</v>
      </c>
      <c r="AH115" s="121"/>
      <c r="AI115" s="121">
        <f t="shared" si="44"/>
        <v>61.014299999999999</v>
      </c>
      <c r="AJ115" s="121">
        <f t="shared" si="45"/>
        <v>61.014299999999999</v>
      </c>
      <c r="AK115" s="121">
        <f>IF(ISERROR(1/VLOOKUP($B115,Leveranser!$B$1:$S$499,MATCH("såld värme (gwh)",Leveranser!$B$1:$S$1,0),FALSE)),"",VLOOKUP($B115,Leveranser!$B$1:$S$499,MATCH("såld värme (gwh)",Leveranser!$B$1:$S$1,0),FALSE))</f>
        <v>50.14</v>
      </c>
      <c r="AL115" s="121">
        <f>VLOOKUP($B115,Leveranser!$B$1:$Y$499,MATCH("Totalt såld fjärrvärme till andra fjärrvärmeföretag",Leveranser!$B$1:$AA$1,0),FALSE)</f>
        <v>0</v>
      </c>
      <c r="AM115" s="121">
        <f>IF(ISERROR(1/VLOOKUP($B115,Miljö!$B$1:$S$500,MATCH("Såld mängd produktionsspecifik fjärrvärme (GWh)",Miljö!$B$1:$R$1,0),FALSE)),0,VLOOKUP($B115,Miljö!$B$1:$S$500,MATCH("Såld mängd produktionsspecifik fjärrvärme (GWh)",Miljö!$B$1:$R$1,0),FALSE))</f>
        <v>0</v>
      </c>
      <c r="AN115" s="172">
        <f t="shared" si="46"/>
        <v>0.82177456760136558</v>
      </c>
      <c r="AO115" s="121"/>
      <c r="AP115" s="121" t="str">
        <f>IFERROR(VLOOKUP($B115,Miljövärden!$B$2:$H$550,7,FALSE),"Nej, saknas")</f>
        <v>Ja</v>
      </c>
      <c r="AQ115" s="121" t="str">
        <f>IFERROR(VLOOKUP($B115,Miljövärden!$B$2:$H$550,6,FALSE),"Nej, saknas")</f>
        <v>Ja</v>
      </c>
      <c r="AU115">
        <f t="shared" si="47"/>
        <v>2.1621999999999999</v>
      </c>
      <c r="AV115">
        <f t="shared" si="48"/>
        <v>0</v>
      </c>
      <c r="AW115">
        <f t="shared" si="49"/>
        <v>50.372100000000003</v>
      </c>
      <c r="AX115">
        <f t="shared" si="50"/>
        <v>0</v>
      </c>
      <c r="AZ115">
        <f t="shared" si="51"/>
        <v>50.372100000000003</v>
      </c>
      <c r="BC115">
        <f t="shared" si="52"/>
        <v>2.2000000000000002</v>
      </c>
      <c r="BD115">
        <f t="shared" si="53"/>
        <v>0</v>
      </c>
      <c r="BE115">
        <f t="shared" si="54"/>
        <v>50.372100000000003</v>
      </c>
      <c r="BF115">
        <f t="shared" si="55"/>
        <v>6.28</v>
      </c>
      <c r="BG115">
        <f t="shared" si="56"/>
        <v>2.1621999999999999</v>
      </c>
      <c r="BH115">
        <f>VLOOKUP(B115,Miljö!$B$1:$BX$482,MATCH("Fossilandel för ursprungspecificerad el ()",Miljö!$B$1:$I$1,0),FALSE)</f>
        <v>0.43</v>
      </c>
      <c r="BI115">
        <f>VLOOKUP(B115,Miljö!$B$1:$BX$482,MATCH("Kärnkraftsandel för ursprungsspecificerad el ()",Miljö!$B$1:$O$1,0),FALSE)</f>
        <v>0.40550000000000003</v>
      </c>
      <c r="BJ115">
        <f t="shared" si="57"/>
        <v>0</v>
      </c>
      <c r="BK115" t="str">
        <f>VLOOKUP(B115,Miljö!$B$1:$O$482,MATCH("Fossil andel i procent (%)",Miljö!$B$1:$O$1,0),FALSE)</f>
        <v>ET</v>
      </c>
      <c r="BL115">
        <f t="shared" si="58"/>
        <v>61.014300000000006</v>
      </c>
      <c r="BO115" s="18">
        <f t="shared" si="59"/>
        <v>5.1295286514800621E-2</v>
      </c>
      <c r="BP115" s="18">
        <f t="shared" si="60"/>
        <v>1.4369944422864803E-2</v>
      </c>
      <c r="BQ115" s="18">
        <f t="shared" si="61"/>
        <v>0.83140807810628004</v>
      </c>
      <c r="BR115" s="18">
        <f t="shared" si="62"/>
        <v>0.10292669095605456</v>
      </c>
      <c r="BT115" s="27">
        <f t="shared" si="63"/>
        <v>1</v>
      </c>
      <c r="BW115" s="18">
        <f>IF(AP115="ja",VLOOKUP(B115,Miljövärden!$B$2:$H$550,MATCH("Total andel fossilt",Miljövärden!$B$2:$H$2,0),FALSE),"")</f>
        <v>5.1295399999999998E-2</v>
      </c>
      <c r="BZ115" s="28">
        <f t="shared" si="64"/>
        <v>1.1348519937670609E-7</v>
      </c>
      <c r="CA115" s="28">
        <f t="shared" si="65"/>
        <v>0</v>
      </c>
    </row>
    <row r="116" spans="1:79" x14ac:dyDescent="0.25">
      <c r="A116" s="224" t="s">
        <v>353</v>
      </c>
      <c r="B116" s="210" t="s">
        <v>78</v>
      </c>
      <c r="C116" s="121">
        <f>VLOOKUP($B116,'Tillförd energi'!$B$1:$AI$720,MATCH(C$1,'Tillförd energi'!$B$1:$AQ$1,0),FALSE)</f>
        <v>0</v>
      </c>
      <c r="D116" s="121">
        <f>VLOOKUP($B116,'Tillförd energi'!$B$1:$AI$720,MATCH(D$1,'Tillförd energi'!$B$1:$AQ$1,0),FALSE)</f>
        <v>0.50346999999999997</v>
      </c>
      <c r="E116" s="121">
        <f>VLOOKUP($B116,'Tillförd energi'!$B$1:$AI$720,MATCH(E$1,'Tillförd energi'!$B$1:$AQ$1,0),FALSE)</f>
        <v>0</v>
      </c>
      <c r="F116" s="121">
        <f>VLOOKUP($B116,'Tillförd energi'!$B$1:$AI$720,MATCH(F$1,'Tillförd energi'!$B$1:$AQ$1,0),FALSE)</f>
        <v>0</v>
      </c>
      <c r="G116" s="121">
        <f>VLOOKUP($B116,'Tillförd energi'!$B$1:$AI$720,MATCH(G$1,'Tillförd energi'!$B$1:$AQ$1,0),FALSE)</f>
        <v>0</v>
      </c>
      <c r="H116" s="121">
        <f>VLOOKUP($B116,'Tillförd energi'!$B$1:$AI$720,MATCH(H$1,'Tillförd energi'!$B$1:$AQ$1,0),FALSE)</f>
        <v>0</v>
      </c>
      <c r="I116" s="121">
        <f>VLOOKUP($B116,'Tillförd energi'!$B$1:$AI$720,MATCH(I$1,'Tillförd energi'!$B$1:$AQ$1,0),FALSE)</f>
        <v>0</v>
      </c>
      <c r="J116" s="121">
        <f>VLOOKUP($B116,'Tillförd energi'!$B$1:$AI$720,MATCH(J$1,'Tillförd energi'!$B$1:$AQ$1,0),FALSE)</f>
        <v>0</v>
      </c>
      <c r="K116" s="121">
        <f>VLOOKUP($B116,'Tillförd energi'!$B$1:$AI$720,MATCH(K$1,'Tillförd energi'!$B$1:$AQ$1,0),FALSE)</f>
        <v>0</v>
      </c>
      <c r="L116" s="121">
        <f>VLOOKUP($B116,'Tillförd energi'!$B$1:$AI$720,MATCH(L$1,'Tillförd energi'!$B$1:$AQ$1,0),FALSE)</f>
        <v>0</v>
      </c>
      <c r="M116" s="121">
        <f>VLOOKUP($B116,'Tillförd energi'!$B$1:$AI$720,MATCH(M$1,'Tillförd energi'!$B$1:$AQ$1,0),FALSE)</f>
        <v>0</v>
      </c>
      <c r="N116" s="121">
        <f>VLOOKUP($B116,'Tillförd energi'!$B$1:$AI$720,MATCH(N$1,'Tillförd energi'!$B$1:$AQ$1,0),FALSE)</f>
        <v>0</v>
      </c>
      <c r="O116" s="121">
        <f>VLOOKUP($B116,'Tillförd energi'!$B$1:$AI$720,MATCH(O$1,'Tillförd energi'!$B$1:$AQ$1,0),FALSE)</f>
        <v>0</v>
      </c>
      <c r="P116" s="121">
        <f>VLOOKUP($B116,'Tillförd energi'!$B$1:$AI$720,MATCH(P$1,'Tillförd energi'!$B$1:$AQ$1,0),FALSE)</f>
        <v>0</v>
      </c>
      <c r="Q116" s="121">
        <f>VLOOKUP($B116,'Tillförd energi'!$B$1:$AI$720,MATCH(Q$1,'Tillförd energi'!$B$1:$AQ$1,0),FALSE)</f>
        <v>26.267099999999999</v>
      </c>
      <c r="R116" s="121">
        <f>VLOOKUP($B116,'Tillförd energi'!$B$1:$AI$720,MATCH(R$1,'Tillförd energi'!$B$1:$AQ$1,0),FALSE)</f>
        <v>0</v>
      </c>
      <c r="S116" s="121">
        <f>VLOOKUP($B116,'Tillförd energi'!$B$1:$AI$720,MATCH(S$1,'Tillförd energi'!$B$1:$AQ$1,0),FALSE)</f>
        <v>0</v>
      </c>
      <c r="T116" s="121">
        <f>VLOOKUP($B116,'Tillförd energi'!$B$1:$AI$720,MATCH(T$1,'Tillförd energi'!$B$1:$AQ$1,0),FALSE)</f>
        <v>0</v>
      </c>
      <c r="U116" s="121">
        <f>VLOOKUP($B116,'Tillförd energi'!$B$1:$AI$720,MATCH(U$1,'Tillförd energi'!$B$1:$AQ$1,0),FALSE)</f>
        <v>0</v>
      </c>
      <c r="V116" s="121">
        <f>VLOOKUP($B116,'Tillförd energi'!$B$1:$AI$720,MATCH(V$1,'Tillförd energi'!$B$1:$AQ$1,0),FALSE)</f>
        <v>0</v>
      </c>
      <c r="W116" s="121">
        <f>VLOOKUP($B116,'Tillförd energi'!$B$1:$AI$720,MATCH(W$1,'Tillförd energi'!$B$1:$AQ$1,0),FALSE)</f>
        <v>0</v>
      </c>
      <c r="X116" s="121">
        <f>VLOOKUP($B116,'Tillförd energi'!$B$1:$AI$720,MATCH(X$1,'Tillförd energi'!$B$1:$AQ$1,0),FALSE)</f>
        <v>0</v>
      </c>
      <c r="Y116" s="121">
        <f>VLOOKUP($B116,'Tillförd energi'!$B$1:$AI$720,MATCH(Y$1,'Tillförd energi'!$B$1:$AQ$1,0),FALSE)</f>
        <v>0</v>
      </c>
      <c r="Z116" s="121">
        <f>VLOOKUP($B116,'Tillförd energi'!$B$1:$AI$720,MATCH(Z$1,'Tillförd energi'!$B$1:$AQ$1,0),FALSE)</f>
        <v>0</v>
      </c>
      <c r="AA116" s="121">
        <f>VLOOKUP($B116,'Tillförd energi'!$B$1:$AI$720,MATCH(AA$1,'Tillförd energi'!$B$1:$AQ$1,0),FALSE)</f>
        <v>0</v>
      </c>
      <c r="AB116" s="121">
        <f>VLOOKUP($B116,'Tillförd energi'!$B$1:$AI$720,MATCH(AB$1,'Tillförd energi'!$B$1:$AQ$1,0),FALSE)</f>
        <v>0</v>
      </c>
      <c r="AC116" s="121">
        <f>VLOOKUP($B116,'Tillförd energi'!$B$1:$AI$720,MATCH(AC$1,'Tillförd energi'!$B$1:$AQ$1,0),FALSE)</f>
        <v>0</v>
      </c>
      <c r="AD116" s="121">
        <f>VLOOKUP($B116,'Tillförd energi'!$B$1:$AI$720,MATCH(AD$1,'Tillförd energi'!$B$1:$AQ$1,0),FALSE)</f>
        <v>0</v>
      </c>
      <c r="AE116" s="121">
        <f>VLOOKUP($B116,'Tillförd energi'!$B$1:$AI$720,MATCH(AE$1,'Tillförd energi'!$B$1:$AQ$1,0),FALSE)</f>
        <v>0</v>
      </c>
      <c r="AF116" s="121">
        <f>VLOOKUP($B116,'Tillförd energi'!$B$1:$AI$720,MATCH(AF$1,'Tillförd energi'!$B$1:$AQ$1,0),FALSE)</f>
        <v>4.752E-2</v>
      </c>
      <c r="AG116" s="121">
        <f>IFERROR(VLOOKUP(B116,Miljö!$B$1:$AC$550,MATCH("Köpt mängd produktionsspecifik fjärrvärme:",Miljö!$B$1:$AC$1,0),FALSE)/1,0)</f>
        <v>0</v>
      </c>
      <c r="AH116" s="121"/>
      <c r="AI116" s="121">
        <f t="shared" si="44"/>
        <v>26.818089999999998</v>
      </c>
      <c r="AJ116" s="121">
        <f t="shared" si="45"/>
        <v>26.818089999999998</v>
      </c>
      <c r="AK116" s="121">
        <f>IF(ISERROR(1/VLOOKUP($B116,Leveranser!$B$1:$S$499,MATCH("såld värme (gwh)",Leveranser!$B$1:$S$1,0),FALSE)),"",VLOOKUP($B116,Leveranser!$B$1:$S$499,MATCH("såld värme (gwh)",Leveranser!$B$1:$S$1,0),FALSE))</f>
        <v>18.896000000000001</v>
      </c>
      <c r="AL116" s="121">
        <f>VLOOKUP($B116,Leveranser!$B$1:$Y$499,MATCH("Totalt såld fjärrvärme till andra fjärrvärmeföretag",Leveranser!$B$1:$AA$1,0),FALSE)</f>
        <v>0</v>
      </c>
      <c r="AM116" s="121">
        <f>IF(ISERROR(1/VLOOKUP($B116,Miljö!$B$1:$S$500,MATCH("Såld mängd produktionsspecifik fjärrvärme (GWh)",Miljö!$B$1:$R$1,0),FALSE)),0,VLOOKUP($B116,Miljö!$B$1:$S$500,MATCH("Såld mängd produktionsspecifik fjärrvärme (GWh)",Miljö!$B$1:$R$1,0),FALSE))</f>
        <v>0</v>
      </c>
      <c r="AN116" s="172">
        <f t="shared" si="46"/>
        <v>0.70459902252546702</v>
      </c>
      <c r="AO116" s="121"/>
      <c r="AP116" s="121" t="str">
        <f>IFERROR(VLOOKUP($B116,Miljövärden!$B$2:$H$550,7,FALSE),"Nej, saknas")</f>
        <v>Ja</v>
      </c>
      <c r="AQ116" s="121" t="str">
        <f>IFERROR(VLOOKUP($B116,Miljövärden!$B$2:$H$550,6,FALSE),"Nej, saknas")</f>
        <v>Nej</v>
      </c>
      <c r="AU116">
        <f t="shared" si="47"/>
        <v>4.752E-2</v>
      </c>
      <c r="AV116">
        <f t="shared" si="48"/>
        <v>0</v>
      </c>
      <c r="AW116">
        <f t="shared" si="49"/>
        <v>26.267099999999999</v>
      </c>
      <c r="AX116">
        <f t="shared" si="50"/>
        <v>0</v>
      </c>
      <c r="AZ116">
        <f t="shared" si="51"/>
        <v>26.267099999999999</v>
      </c>
      <c r="BC116">
        <f t="shared" si="52"/>
        <v>0.50346999999999997</v>
      </c>
      <c r="BD116">
        <f t="shared" si="53"/>
        <v>0</v>
      </c>
      <c r="BE116">
        <f t="shared" si="54"/>
        <v>26.267099999999999</v>
      </c>
      <c r="BF116">
        <f t="shared" si="55"/>
        <v>0</v>
      </c>
      <c r="BG116">
        <f t="shared" si="56"/>
        <v>4.752E-2</v>
      </c>
      <c r="BH116">
        <f>VLOOKUP(B116,Miljö!$B$1:$BX$482,MATCH("Fossilandel för ursprungspecificerad el ()",Miljö!$B$1:$I$1,0),FALSE)</f>
        <v>0.42699999999999999</v>
      </c>
      <c r="BI116">
        <f>VLOOKUP(B116,Miljö!$B$1:$BX$482,MATCH("Kärnkraftsandel för ursprungsspecificerad el ()",Miljö!$B$1:$O$1,0),FALSE)</f>
        <v>0.40600000000000003</v>
      </c>
      <c r="BJ116">
        <f t="shared" si="57"/>
        <v>0</v>
      </c>
      <c r="BK116" t="str">
        <f>VLOOKUP(B116,Miljö!$B$1:$O$482,MATCH("Fossil andel i procent (%)",Miljö!$B$1:$O$1,0),FALSE)</f>
        <v>ET</v>
      </c>
      <c r="BL116">
        <f t="shared" si="58"/>
        <v>26.818089999999998</v>
      </c>
      <c r="BO116" s="18">
        <f t="shared" si="59"/>
        <v>1.9530139543867592E-2</v>
      </c>
      <c r="BP116" s="18">
        <f t="shared" si="60"/>
        <v>7.1940693763053226E-4</v>
      </c>
      <c r="BQ116" s="18">
        <f t="shared" si="61"/>
        <v>0.97975045351850187</v>
      </c>
      <c r="BR116" s="18">
        <f t="shared" si="62"/>
        <v>0</v>
      </c>
      <c r="BT116" s="27">
        <f t="shared" si="63"/>
        <v>1</v>
      </c>
      <c r="BW116" s="18">
        <f>IF(AP116="ja",VLOOKUP(B116,Miljövärden!$B$2:$H$550,MATCH("Total andel fossilt",Miljövärden!$B$2:$H$2,0),FALSE),"")</f>
        <v>1.9530100000000002E-2</v>
      </c>
      <c r="BZ116" s="28">
        <f t="shared" si="64"/>
        <v>-3.9543867590141613E-8</v>
      </c>
      <c r="CA116" s="28">
        <f t="shared" si="65"/>
        <v>0</v>
      </c>
    </row>
    <row r="117" spans="1:79" x14ac:dyDescent="0.25">
      <c r="A117" s="224" t="s">
        <v>354</v>
      </c>
      <c r="B117" s="210" t="s">
        <v>355</v>
      </c>
      <c r="C117" s="121">
        <f>VLOOKUP($B117,'Tillförd energi'!$B$1:$AI$720,MATCH(C$1,'Tillförd energi'!$B$1:$AQ$1,0),FALSE)</f>
        <v>0</v>
      </c>
      <c r="D117" s="121">
        <f>VLOOKUP($B117,'Tillförd energi'!$B$1:$AI$720,MATCH(D$1,'Tillförd energi'!$B$1:$AQ$1,0),FALSE)</f>
        <v>0.3</v>
      </c>
      <c r="E117" s="121">
        <f>VLOOKUP($B117,'Tillförd energi'!$B$1:$AI$720,MATCH(E$1,'Tillförd energi'!$B$1:$AQ$1,0),FALSE)</f>
        <v>0</v>
      </c>
      <c r="F117" s="121">
        <f>VLOOKUP($B117,'Tillförd energi'!$B$1:$AI$720,MATCH(F$1,'Tillförd energi'!$B$1:$AQ$1,0),FALSE)</f>
        <v>0</v>
      </c>
      <c r="G117" s="121">
        <f>VLOOKUP($B117,'Tillförd energi'!$B$1:$AI$720,MATCH(G$1,'Tillförd energi'!$B$1:$AQ$1,0),FALSE)</f>
        <v>0</v>
      </c>
      <c r="H117" s="121">
        <f>VLOOKUP($B117,'Tillförd energi'!$B$1:$AI$720,MATCH(H$1,'Tillförd energi'!$B$1:$AQ$1,0),FALSE)</f>
        <v>0</v>
      </c>
      <c r="I117" s="121">
        <f>VLOOKUP($B117,'Tillförd energi'!$B$1:$AI$720,MATCH(I$1,'Tillförd energi'!$B$1:$AQ$1,0),FALSE)</f>
        <v>0</v>
      </c>
      <c r="J117" s="121">
        <f>VLOOKUP($B117,'Tillförd energi'!$B$1:$AI$720,MATCH(J$1,'Tillförd energi'!$B$1:$AQ$1,0),FALSE)</f>
        <v>0</v>
      </c>
      <c r="K117" s="121">
        <f>VLOOKUP($B117,'Tillförd energi'!$B$1:$AI$720,MATCH(K$1,'Tillförd energi'!$B$1:$AQ$1,0),FALSE)</f>
        <v>0</v>
      </c>
      <c r="L117" s="121">
        <f>VLOOKUP($B117,'Tillförd energi'!$B$1:$AI$720,MATCH(L$1,'Tillförd energi'!$B$1:$AQ$1,0),FALSE)</f>
        <v>0</v>
      </c>
      <c r="M117" s="121">
        <f>VLOOKUP($B117,'Tillförd energi'!$B$1:$AI$720,MATCH(M$1,'Tillförd energi'!$B$1:$AQ$1,0),FALSE)</f>
        <v>0</v>
      </c>
      <c r="N117" s="121">
        <f>VLOOKUP($B117,'Tillförd energi'!$B$1:$AI$720,MATCH(N$1,'Tillförd energi'!$B$1:$AQ$1,0),FALSE)</f>
        <v>40.5</v>
      </c>
      <c r="O117" s="121">
        <f>VLOOKUP($B117,'Tillförd energi'!$B$1:$AI$720,MATCH(O$1,'Tillförd energi'!$B$1:$AQ$1,0),FALSE)</f>
        <v>0</v>
      </c>
      <c r="P117" s="121">
        <f>VLOOKUP($B117,'Tillförd energi'!$B$1:$AI$720,MATCH(P$1,'Tillförd energi'!$B$1:$AQ$1,0),FALSE)</f>
        <v>2.2999999999999998</v>
      </c>
      <c r="Q117" s="121">
        <f>VLOOKUP($B117,'Tillförd energi'!$B$1:$AI$720,MATCH(Q$1,'Tillförd energi'!$B$1:$AQ$1,0),FALSE)</f>
        <v>0</v>
      </c>
      <c r="R117" s="121">
        <f>VLOOKUP($B117,'Tillförd energi'!$B$1:$AI$720,MATCH(R$1,'Tillförd energi'!$B$1:$AQ$1,0),FALSE)</f>
        <v>0</v>
      </c>
      <c r="S117" s="121">
        <f>VLOOKUP($B117,'Tillförd energi'!$B$1:$AI$720,MATCH(S$1,'Tillförd energi'!$B$1:$AQ$1,0),FALSE)</f>
        <v>0</v>
      </c>
      <c r="T117" s="121">
        <f>VLOOKUP($B117,'Tillförd energi'!$B$1:$AI$720,MATCH(T$1,'Tillförd energi'!$B$1:$AQ$1,0),FALSE)</f>
        <v>0</v>
      </c>
      <c r="U117" s="121">
        <f>VLOOKUP($B117,'Tillförd energi'!$B$1:$AI$720,MATCH(U$1,'Tillförd energi'!$B$1:$AQ$1,0),FALSE)</f>
        <v>0</v>
      </c>
      <c r="V117" s="121">
        <f>VLOOKUP($B117,'Tillförd energi'!$B$1:$AI$720,MATCH(V$1,'Tillförd energi'!$B$1:$AQ$1,0),FALSE)</f>
        <v>0</v>
      </c>
      <c r="W117" s="121">
        <f>VLOOKUP($B117,'Tillförd energi'!$B$1:$AI$720,MATCH(W$1,'Tillförd energi'!$B$1:$AQ$1,0),FALSE)</f>
        <v>0</v>
      </c>
      <c r="X117" s="121">
        <f>VLOOKUP($B117,'Tillförd energi'!$B$1:$AI$720,MATCH(X$1,'Tillförd energi'!$B$1:$AQ$1,0),FALSE)</f>
        <v>0</v>
      </c>
      <c r="Y117" s="121">
        <f>VLOOKUP($B117,'Tillförd energi'!$B$1:$AI$720,MATCH(Y$1,'Tillförd energi'!$B$1:$AQ$1,0),FALSE)</f>
        <v>0</v>
      </c>
      <c r="Z117" s="121">
        <f>VLOOKUP($B117,'Tillförd energi'!$B$1:$AI$720,MATCH(Z$1,'Tillförd energi'!$B$1:$AQ$1,0),FALSE)</f>
        <v>0</v>
      </c>
      <c r="AA117" s="121">
        <f>VLOOKUP($B117,'Tillförd energi'!$B$1:$AI$720,MATCH(AA$1,'Tillförd energi'!$B$1:$AQ$1,0),FALSE)</f>
        <v>0</v>
      </c>
      <c r="AB117" s="121">
        <f>VLOOKUP($B117,'Tillförd energi'!$B$1:$AI$720,MATCH(AB$1,'Tillförd energi'!$B$1:$AQ$1,0),FALSE)</f>
        <v>0</v>
      </c>
      <c r="AC117" s="121">
        <f>VLOOKUP($B117,'Tillförd energi'!$B$1:$AI$720,MATCH(AC$1,'Tillförd energi'!$B$1:$AQ$1,0),FALSE)</f>
        <v>6</v>
      </c>
      <c r="AD117" s="121">
        <f>VLOOKUP($B117,'Tillförd energi'!$B$1:$AI$720,MATCH(AD$1,'Tillförd energi'!$B$1:$AQ$1,0),FALSE)</f>
        <v>0</v>
      </c>
      <c r="AE117" s="121">
        <f>VLOOKUP($B117,'Tillförd energi'!$B$1:$AI$720,MATCH(AE$1,'Tillförd energi'!$B$1:$AQ$1,0),FALSE)</f>
        <v>0</v>
      </c>
      <c r="AF117" s="121">
        <f>VLOOKUP($B117,'Tillförd energi'!$B$1:$AI$720,MATCH(AF$1,'Tillförd energi'!$B$1:$AQ$1,0),FALSE)</f>
        <v>0.88300000000000001</v>
      </c>
      <c r="AG117" s="121">
        <f>IFERROR(VLOOKUP(B117,Miljö!$B$1:$AC$550,MATCH("Köpt mängd produktionsspecifik fjärrvärme:",Miljö!$B$1:$AC$1,0),FALSE)/1,0)</f>
        <v>0</v>
      </c>
      <c r="AH117" s="121"/>
      <c r="AI117" s="121">
        <f t="shared" si="44"/>
        <v>49.982999999999997</v>
      </c>
      <c r="AJ117" s="121">
        <f t="shared" si="45"/>
        <v>49.982999999999997</v>
      </c>
      <c r="AK117" s="121">
        <f>IF(ISERROR(1/VLOOKUP($B117,Leveranser!$B$1:$S$499,MATCH("såld värme (gwh)",Leveranser!$B$1:$S$1,0),FALSE)),"",VLOOKUP($B117,Leveranser!$B$1:$S$499,MATCH("såld värme (gwh)",Leveranser!$B$1:$S$1,0),FALSE))</f>
        <v>33.927999999999997</v>
      </c>
      <c r="AL117" s="121">
        <f>VLOOKUP($B117,Leveranser!$B$1:$Y$499,MATCH("Totalt såld fjärrvärme till andra fjärrvärmeföretag",Leveranser!$B$1:$AA$1,0),FALSE)</f>
        <v>0</v>
      </c>
      <c r="AM117" s="121">
        <f>IF(ISERROR(1/VLOOKUP($B117,Miljö!$B$1:$S$500,MATCH("Såld mängd produktionsspecifik fjärrvärme (GWh)",Miljö!$B$1:$R$1,0),FALSE)),0,VLOOKUP($B117,Miljö!$B$1:$S$500,MATCH("Såld mängd produktionsspecifik fjärrvärme (GWh)",Miljö!$B$1:$R$1,0),FALSE))</f>
        <v>0</v>
      </c>
      <c r="AN117" s="172">
        <f t="shared" si="46"/>
        <v>0.6787907888682152</v>
      </c>
      <c r="AO117" s="121"/>
      <c r="AP117" s="121" t="str">
        <f>IFERROR(VLOOKUP($B117,Miljövärden!$B$2:$H$550,7,FALSE),"Nej, saknas")</f>
        <v>Ja</v>
      </c>
      <c r="AQ117" s="121" t="str">
        <f>IFERROR(VLOOKUP($B117,Miljövärden!$B$2:$H$550,6,FALSE),"Nej, saknas")</f>
        <v>Ja</v>
      </c>
      <c r="AU117">
        <f t="shared" si="47"/>
        <v>0.88300000000000001</v>
      </c>
      <c r="AV117">
        <f t="shared" si="48"/>
        <v>0</v>
      </c>
      <c r="AW117">
        <f t="shared" si="49"/>
        <v>42.8</v>
      </c>
      <c r="AX117">
        <f t="shared" si="50"/>
        <v>0</v>
      </c>
      <c r="AZ117">
        <f t="shared" si="51"/>
        <v>42.8</v>
      </c>
      <c r="BC117">
        <f t="shared" si="52"/>
        <v>0.3</v>
      </c>
      <c r="BD117">
        <f t="shared" si="53"/>
        <v>0</v>
      </c>
      <c r="BE117">
        <f t="shared" si="54"/>
        <v>42.8</v>
      </c>
      <c r="BF117">
        <f t="shared" si="55"/>
        <v>6</v>
      </c>
      <c r="BG117">
        <f t="shared" si="56"/>
        <v>0.88300000000000001</v>
      </c>
      <c r="BH117">
        <f>VLOOKUP(B117,Miljö!$B$1:$BX$482,MATCH("Fossilandel för ursprungspecificerad el ()",Miljö!$B$1:$I$1,0),FALSE)</f>
        <v>0</v>
      </c>
      <c r="BI117">
        <f>VLOOKUP(B117,Miljö!$B$1:$BX$482,MATCH("Kärnkraftsandel för ursprungsspecificerad el ()",Miljö!$B$1:$O$1,0),FALSE)</f>
        <v>0</v>
      </c>
      <c r="BJ117">
        <f t="shared" si="57"/>
        <v>0</v>
      </c>
      <c r="BK117" t="str">
        <f>VLOOKUP(B117,Miljö!$B$1:$O$482,MATCH("Fossil andel i procent (%)",Miljö!$B$1:$O$1,0),FALSE)</f>
        <v>ET</v>
      </c>
      <c r="BL117">
        <f t="shared" si="58"/>
        <v>49.982999999999997</v>
      </c>
      <c r="BO117" s="18">
        <f t="shared" si="59"/>
        <v>6.0020406938359047E-3</v>
      </c>
      <c r="BP117" s="18">
        <f t="shared" si="60"/>
        <v>0</v>
      </c>
      <c r="BQ117" s="18">
        <f t="shared" si="61"/>
        <v>0.87395714542944603</v>
      </c>
      <c r="BR117" s="18">
        <f t="shared" si="62"/>
        <v>0.1200408138767181</v>
      </c>
      <c r="BT117" s="27">
        <f t="shared" si="63"/>
        <v>1</v>
      </c>
      <c r="BW117" s="18">
        <f>IF(AP117="ja",VLOOKUP(B117,Miljövärden!$B$2:$H$550,MATCH("Total andel fossilt",Miljövärden!$B$2:$H$2,0),FALSE),"")</f>
        <v>6.0020400000000002E-3</v>
      </c>
      <c r="BZ117" s="28">
        <f t="shared" si="64"/>
        <v>-6.9383590452914978E-10</v>
      </c>
      <c r="CA117" s="28">
        <f t="shared" si="65"/>
        <v>0</v>
      </c>
    </row>
    <row r="118" spans="1:79" x14ac:dyDescent="0.25">
      <c r="A118" s="224" t="s">
        <v>356</v>
      </c>
      <c r="B118" s="210" t="s">
        <v>357</v>
      </c>
      <c r="C118" s="121">
        <f>VLOOKUP($B118,'Tillförd energi'!$B$1:$AI$720,MATCH(C$1,'Tillförd energi'!$B$1:$AQ$1,0),FALSE)</f>
        <v>0</v>
      </c>
      <c r="D118" s="121">
        <f>VLOOKUP($B118,'Tillförd energi'!$B$1:$AI$720,MATCH(D$1,'Tillförd energi'!$B$1:$AQ$1,0),FALSE)</f>
        <v>0</v>
      </c>
      <c r="E118" s="121">
        <f>VLOOKUP($B118,'Tillförd energi'!$B$1:$AI$720,MATCH(E$1,'Tillförd energi'!$B$1:$AQ$1,0),FALSE)</f>
        <v>2.4</v>
      </c>
      <c r="F118" s="121">
        <f>VLOOKUP($B118,'Tillförd energi'!$B$1:$AI$720,MATCH(F$1,'Tillförd energi'!$B$1:$AQ$1,0),FALSE)</f>
        <v>0</v>
      </c>
      <c r="G118" s="121">
        <f>VLOOKUP($B118,'Tillförd energi'!$B$1:$AI$720,MATCH(G$1,'Tillförd energi'!$B$1:$AQ$1,0),FALSE)</f>
        <v>0</v>
      </c>
      <c r="H118" s="121">
        <f>VLOOKUP($B118,'Tillförd energi'!$B$1:$AI$720,MATCH(H$1,'Tillförd energi'!$B$1:$AQ$1,0),FALSE)</f>
        <v>0</v>
      </c>
      <c r="I118" s="121">
        <f>VLOOKUP($B118,'Tillförd energi'!$B$1:$AI$720,MATCH(I$1,'Tillförd energi'!$B$1:$AQ$1,0),FALSE)</f>
        <v>0</v>
      </c>
      <c r="J118" s="121">
        <f>VLOOKUP($B118,'Tillförd energi'!$B$1:$AI$720,MATCH(J$1,'Tillförd energi'!$B$1:$AQ$1,0),FALSE)</f>
        <v>1.6</v>
      </c>
      <c r="K118" s="121">
        <f>VLOOKUP($B118,'Tillförd energi'!$B$1:$AI$720,MATCH(K$1,'Tillförd energi'!$B$1:$AQ$1,0),FALSE)</f>
        <v>0</v>
      </c>
      <c r="L118" s="121">
        <f>VLOOKUP($B118,'Tillförd energi'!$B$1:$AI$720,MATCH(L$1,'Tillförd energi'!$B$1:$AQ$1,0),FALSE)</f>
        <v>0</v>
      </c>
      <c r="M118" s="121">
        <f>VLOOKUP($B118,'Tillförd energi'!$B$1:$AI$720,MATCH(M$1,'Tillförd energi'!$B$1:$AQ$1,0),FALSE)</f>
        <v>36.8249</v>
      </c>
      <c r="N118" s="121">
        <f>VLOOKUP($B118,'Tillförd energi'!$B$1:$AI$720,MATCH(N$1,'Tillförd energi'!$B$1:$AQ$1,0),FALSE)</f>
        <v>13.7949</v>
      </c>
      <c r="O118" s="121">
        <f>VLOOKUP($B118,'Tillförd energi'!$B$1:$AI$720,MATCH(O$1,'Tillförd energi'!$B$1:$AQ$1,0),FALSE)</f>
        <v>1.9416100000000001</v>
      </c>
      <c r="P118" s="121">
        <f>VLOOKUP($B118,'Tillförd energi'!$B$1:$AI$720,MATCH(P$1,'Tillförd energi'!$B$1:$AQ$1,0),FALSE)</f>
        <v>42.334400000000002</v>
      </c>
      <c r="Q118" s="121">
        <f>VLOOKUP($B118,'Tillförd energi'!$B$1:$AI$720,MATCH(Q$1,'Tillförd energi'!$B$1:$AQ$1,0),FALSE)</f>
        <v>0</v>
      </c>
      <c r="R118" s="121">
        <f>VLOOKUP($B118,'Tillförd energi'!$B$1:$AI$720,MATCH(R$1,'Tillförd energi'!$B$1:$AQ$1,0),FALSE)</f>
        <v>5</v>
      </c>
      <c r="S118" s="121">
        <f>VLOOKUP($B118,'Tillförd energi'!$B$1:$AI$720,MATCH(S$1,'Tillförd energi'!$B$1:$AQ$1,0),FALSE)</f>
        <v>0</v>
      </c>
      <c r="T118" s="121">
        <f>VLOOKUP($B118,'Tillförd energi'!$B$1:$AI$720,MATCH(T$1,'Tillförd energi'!$B$1:$AQ$1,0),FALSE)</f>
        <v>0</v>
      </c>
      <c r="U118" s="121">
        <f>VLOOKUP($B118,'Tillförd energi'!$B$1:$AI$720,MATCH(U$1,'Tillförd energi'!$B$1:$AQ$1,0),FALSE)</f>
        <v>0</v>
      </c>
      <c r="V118" s="121">
        <f>VLOOKUP($B118,'Tillförd energi'!$B$1:$AI$720,MATCH(V$1,'Tillförd energi'!$B$1:$AQ$1,0),FALSE)</f>
        <v>0</v>
      </c>
      <c r="W118" s="121">
        <f>VLOOKUP($B118,'Tillförd energi'!$B$1:$AI$720,MATCH(W$1,'Tillförd energi'!$B$1:$AQ$1,0),FALSE)</f>
        <v>0</v>
      </c>
      <c r="X118" s="121">
        <f>VLOOKUP($B118,'Tillförd energi'!$B$1:$AI$720,MATCH(X$1,'Tillförd energi'!$B$1:$AQ$1,0),FALSE)</f>
        <v>0</v>
      </c>
      <c r="Y118" s="121">
        <f>VLOOKUP($B118,'Tillförd energi'!$B$1:$AI$720,MATCH(Y$1,'Tillförd energi'!$B$1:$AQ$1,0),FALSE)</f>
        <v>23.249400000000001</v>
      </c>
      <c r="Z118" s="121">
        <f>VLOOKUP($B118,'Tillförd energi'!$B$1:$AI$720,MATCH(Z$1,'Tillförd energi'!$B$1:$AQ$1,0),FALSE)</f>
        <v>2.7</v>
      </c>
      <c r="AA118" s="121">
        <f>VLOOKUP($B118,'Tillförd energi'!$B$1:$AI$720,MATCH(AA$1,'Tillförd energi'!$B$1:$AQ$1,0),FALSE)</f>
        <v>0</v>
      </c>
      <c r="AB118" s="121">
        <f>VLOOKUP($B118,'Tillförd energi'!$B$1:$AI$720,MATCH(AB$1,'Tillförd energi'!$B$1:$AQ$1,0),FALSE)</f>
        <v>0</v>
      </c>
      <c r="AC118" s="121">
        <f>VLOOKUP($B118,'Tillförd energi'!$B$1:$AI$720,MATCH(AC$1,'Tillförd energi'!$B$1:$AQ$1,0),FALSE)</f>
        <v>34</v>
      </c>
      <c r="AD118" s="121">
        <f>VLOOKUP($B118,'Tillförd energi'!$B$1:$AI$720,MATCH(AD$1,'Tillförd energi'!$B$1:$AQ$1,0),FALSE)</f>
        <v>33.5</v>
      </c>
      <c r="AE118" s="121">
        <f>VLOOKUP($B118,'Tillförd energi'!$B$1:$AI$720,MATCH(AE$1,'Tillförd energi'!$B$1:$AQ$1,0),FALSE)</f>
        <v>0</v>
      </c>
      <c r="AF118" s="121">
        <f>VLOOKUP($B118,'Tillförd energi'!$B$1:$AI$720,MATCH(AF$1,'Tillförd energi'!$B$1:$AQ$1,0),FALSE)</f>
        <v>6.5547899999999997</v>
      </c>
      <c r="AG118" s="121">
        <f>IFERROR(VLOOKUP(B118,Miljö!$B$1:$AC$550,MATCH("Köpt mängd produktionsspecifik fjärrvärme:",Miljö!$B$1:$AC$1,0),FALSE)/1,0)</f>
        <v>0</v>
      </c>
      <c r="AH118" s="121"/>
      <c r="AI118" s="121">
        <f t="shared" si="44"/>
        <v>203.89999999999998</v>
      </c>
      <c r="AJ118" s="121">
        <f t="shared" si="45"/>
        <v>203.89999999999998</v>
      </c>
      <c r="AK118" s="121">
        <f>IF(ISERROR(1/VLOOKUP($B118,Leveranser!$B$1:$S$499,MATCH("såld värme (gwh)",Leveranser!$B$1:$S$1,0),FALSE)),"",VLOOKUP($B118,Leveranser!$B$1:$S$499,MATCH("såld värme (gwh)",Leveranser!$B$1:$S$1,0),FALSE))</f>
        <v>180.9</v>
      </c>
      <c r="AL118" s="121">
        <f>VLOOKUP($B118,Leveranser!$B$1:$Y$499,MATCH("Totalt såld fjärrvärme till andra fjärrvärmeföretag",Leveranser!$B$1:$AA$1,0),FALSE)</f>
        <v>0</v>
      </c>
      <c r="AM118" s="121">
        <f>IF(ISERROR(1/VLOOKUP($B118,Miljö!$B$1:$S$500,MATCH("Såld mängd produktionsspecifik fjärrvärme (GWh)",Miljö!$B$1:$R$1,0),FALSE)),0,VLOOKUP($B118,Miljö!$B$1:$S$500,MATCH("Såld mängd produktionsspecifik fjärrvärme (GWh)",Miljö!$B$1:$R$1,0),FALSE))</f>
        <v>0</v>
      </c>
      <c r="AN118" s="172">
        <f t="shared" si="46"/>
        <v>0.8871996076508093</v>
      </c>
      <c r="AO118" s="121"/>
      <c r="AP118" s="121" t="str">
        <f>IFERROR(VLOOKUP($B118,Miljövärden!$B$2:$H$550,7,FALSE),"Nej, saknas")</f>
        <v>Ja</v>
      </c>
      <c r="AQ118" s="121" t="str">
        <f>IFERROR(VLOOKUP($B118,Miljövärden!$B$2:$H$550,6,FALSE),"Nej, saknas")</f>
        <v>Ja</v>
      </c>
      <c r="AU118">
        <f t="shared" si="47"/>
        <v>9.2547899999999998</v>
      </c>
      <c r="AV118">
        <f t="shared" si="48"/>
        <v>0</v>
      </c>
      <c r="AW118">
        <f t="shared" si="49"/>
        <v>94.895809999999997</v>
      </c>
      <c r="AX118">
        <f t="shared" si="50"/>
        <v>5</v>
      </c>
      <c r="AZ118">
        <f t="shared" si="51"/>
        <v>99.895809999999997</v>
      </c>
      <c r="BC118">
        <f t="shared" si="52"/>
        <v>2.4</v>
      </c>
      <c r="BD118">
        <f t="shared" si="53"/>
        <v>23.249400000000001</v>
      </c>
      <c r="BE118">
        <f t="shared" si="54"/>
        <v>99.895809999999997</v>
      </c>
      <c r="BF118">
        <f t="shared" si="55"/>
        <v>69.099999999999994</v>
      </c>
      <c r="BG118">
        <f t="shared" si="56"/>
        <v>9.2547899999999998</v>
      </c>
      <c r="BH118">
        <f>VLOOKUP(B118,Miljö!$B$1:$BX$482,MATCH("Fossilandel för ursprungspecificerad el ()",Miljö!$B$1:$I$1,0),FALSE)</f>
        <v>0</v>
      </c>
      <c r="BI118">
        <f>VLOOKUP(B118,Miljö!$B$1:$BX$482,MATCH("Kärnkraftsandel för ursprungsspecificerad el ()",Miljö!$B$1:$O$1,0),FALSE)</f>
        <v>0</v>
      </c>
      <c r="BJ118">
        <f t="shared" si="57"/>
        <v>0</v>
      </c>
      <c r="BK118" t="str">
        <f>VLOOKUP(B118,Miljö!$B$1:$O$482,MATCH("Fossil andel i procent (%)",Miljö!$B$1:$O$1,0),FALSE)</f>
        <v>ET</v>
      </c>
      <c r="BL118">
        <f t="shared" si="58"/>
        <v>203.89999999999998</v>
      </c>
      <c r="BO118" s="18">
        <f t="shared" si="59"/>
        <v>1.1770475723393821E-2</v>
      </c>
      <c r="BP118" s="18">
        <f t="shared" si="60"/>
        <v>0.1140235409514468</v>
      </c>
      <c r="BQ118" s="18">
        <f t="shared" si="61"/>
        <v>0.5353143697891124</v>
      </c>
      <c r="BR118" s="18">
        <f t="shared" si="62"/>
        <v>0.33889161353604708</v>
      </c>
      <c r="BT118" s="27">
        <f t="shared" si="63"/>
        <v>1.0000000000000002</v>
      </c>
      <c r="BW118" s="18">
        <f>IF(AP118="ja",VLOOKUP(B118,Miljövärden!$B$2:$H$550,MATCH("Total andel fossilt",Miljövärden!$B$2:$H$2,0),FALSE),"")</f>
        <v>1.17705E-2</v>
      </c>
      <c r="BZ118" s="28">
        <f t="shared" si="64"/>
        <v>2.4276606178444404E-8</v>
      </c>
      <c r="CA118" s="28">
        <f t="shared" si="65"/>
        <v>0</v>
      </c>
    </row>
    <row r="119" spans="1:79" x14ac:dyDescent="0.25">
      <c r="A119" s="224" t="s">
        <v>358</v>
      </c>
      <c r="B119" s="210" t="s">
        <v>359</v>
      </c>
      <c r="C119" s="121">
        <f>VLOOKUP($B119,'Tillförd energi'!$B$1:$AI$720,MATCH(C$1,'Tillförd energi'!$B$1:$AQ$1,0),FALSE)</f>
        <v>0</v>
      </c>
      <c r="D119" s="121">
        <f>VLOOKUP($B119,'Tillförd energi'!$B$1:$AI$720,MATCH(D$1,'Tillförd energi'!$B$1:$AQ$1,0),FALSE)</f>
        <v>1.1268100000000001</v>
      </c>
      <c r="E119" s="121">
        <f>VLOOKUP($B119,'Tillförd energi'!$B$1:$AI$720,MATCH(E$1,'Tillförd energi'!$B$1:$AQ$1,0),FALSE)</f>
        <v>0</v>
      </c>
      <c r="F119" s="121">
        <f>VLOOKUP($B119,'Tillförd energi'!$B$1:$AI$720,MATCH(F$1,'Tillförd energi'!$B$1:$AQ$1,0),FALSE)</f>
        <v>0</v>
      </c>
      <c r="G119" s="121">
        <f>VLOOKUP($B119,'Tillförd energi'!$B$1:$AI$720,MATCH(G$1,'Tillförd energi'!$B$1:$AQ$1,0),FALSE)</f>
        <v>0</v>
      </c>
      <c r="H119" s="121">
        <f>VLOOKUP($B119,'Tillförd energi'!$B$1:$AI$720,MATCH(H$1,'Tillförd energi'!$B$1:$AQ$1,0),FALSE)</f>
        <v>0</v>
      </c>
      <c r="I119" s="121">
        <f>VLOOKUP($B119,'Tillförd energi'!$B$1:$AI$720,MATCH(I$1,'Tillförd energi'!$B$1:$AQ$1,0),FALSE)</f>
        <v>119.027</v>
      </c>
      <c r="J119" s="121">
        <f>VLOOKUP($B119,'Tillförd energi'!$B$1:$AI$720,MATCH(J$1,'Tillförd energi'!$B$1:$AQ$1,0),FALSE)</f>
        <v>0</v>
      </c>
      <c r="K119" s="121">
        <f>VLOOKUP($B119,'Tillförd energi'!$B$1:$AI$720,MATCH(K$1,'Tillförd energi'!$B$1:$AQ$1,0),FALSE)</f>
        <v>0</v>
      </c>
      <c r="L119" s="121">
        <f>VLOOKUP($B119,'Tillförd energi'!$B$1:$AI$720,MATCH(L$1,'Tillförd energi'!$B$1:$AQ$1,0),FALSE)</f>
        <v>0</v>
      </c>
      <c r="M119" s="121">
        <f>VLOOKUP($B119,'Tillförd energi'!$B$1:$AI$720,MATCH(M$1,'Tillförd energi'!$B$1:$AQ$1,0),FALSE)</f>
        <v>0</v>
      </c>
      <c r="N119" s="121">
        <f>VLOOKUP($B119,'Tillförd energi'!$B$1:$AI$720,MATCH(N$1,'Tillförd energi'!$B$1:$AQ$1,0),FALSE)</f>
        <v>0</v>
      </c>
      <c r="O119" s="121">
        <f>VLOOKUP($B119,'Tillförd energi'!$B$1:$AI$720,MATCH(O$1,'Tillförd energi'!$B$1:$AQ$1,0),FALSE)</f>
        <v>0</v>
      </c>
      <c r="P119" s="121">
        <f>VLOOKUP($B119,'Tillförd energi'!$B$1:$AI$720,MATCH(P$1,'Tillförd energi'!$B$1:$AQ$1,0),FALSE)</f>
        <v>95.8</v>
      </c>
      <c r="Q119" s="121">
        <f>VLOOKUP($B119,'Tillförd energi'!$B$1:$AI$720,MATCH(Q$1,'Tillförd energi'!$B$1:$AQ$1,0),FALSE)</f>
        <v>0</v>
      </c>
      <c r="R119" s="121">
        <f>VLOOKUP($B119,'Tillförd energi'!$B$1:$AI$720,MATCH(R$1,'Tillförd energi'!$B$1:$AQ$1,0),FALSE)</f>
        <v>0</v>
      </c>
      <c r="S119" s="121">
        <f>VLOOKUP($B119,'Tillförd energi'!$B$1:$AI$720,MATCH(S$1,'Tillförd energi'!$B$1:$AQ$1,0),FALSE)</f>
        <v>0</v>
      </c>
      <c r="T119" s="121">
        <f>VLOOKUP($B119,'Tillförd energi'!$B$1:$AI$720,MATCH(T$1,'Tillförd energi'!$B$1:$AQ$1,0),FALSE)</f>
        <v>0</v>
      </c>
      <c r="U119" s="121">
        <f>VLOOKUP($B119,'Tillförd energi'!$B$1:$AI$720,MATCH(U$1,'Tillförd energi'!$B$1:$AQ$1,0),FALSE)</f>
        <v>0</v>
      </c>
      <c r="V119" s="121">
        <f>VLOOKUP($B119,'Tillförd energi'!$B$1:$AI$720,MATCH(V$1,'Tillförd energi'!$B$1:$AQ$1,0),FALSE)</f>
        <v>0</v>
      </c>
      <c r="W119" s="121">
        <f>VLOOKUP($B119,'Tillförd energi'!$B$1:$AI$720,MATCH(W$1,'Tillförd energi'!$B$1:$AQ$1,0),FALSE)</f>
        <v>0.37681399999999998</v>
      </c>
      <c r="X119" s="121">
        <f>VLOOKUP($B119,'Tillförd energi'!$B$1:$AI$720,MATCH(X$1,'Tillförd energi'!$B$1:$AQ$1,0),FALSE)</f>
        <v>0</v>
      </c>
      <c r="Y119" s="121">
        <f>VLOOKUP($B119,'Tillförd energi'!$B$1:$AI$720,MATCH(Y$1,'Tillförd energi'!$B$1:$AQ$1,0),FALSE)</f>
        <v>0</v>
      </c>
      <c r="Z119" s="121">
        <f>VLOOKUP($B119,'Tillförd energi'!$B$1:$AI$720,MATCH(Z$1,'Tillförd energi'!$B$1:$AQ$1,0),FALSE)</f>
        <v>0</v>
      </c>
      <c r="AA119" s="121">
        <f>VLOOKUP($B119,'Tillförd energi'!$B$1:$AI$720,MATCH(AA$1,'Tillförd energi'!$B$1:$AQ$1,0),FALSE)</f>
        <v>0</v>
      </c>
      <c r="AB119" s="121">
        <f>VLOOKUP($B119,'Tillförd energi'!$B$1:$AI$720,MATCH(AB$1,'Tillförd energi'!$B$1:$AQ$1,0),FALSE)</f>
        <v>0</v>
      </c>
      <c r="AC119" s="121">
        <f>VLOOKUP($B119,'Tillförd energi'!$B$1:$AI$720,MATCH(AC$1,'Tillförd energi'!$B$1:$AQ$1,0),FALSE)</f>
        <v>15.6</v>
      </c>
      <c r="AD119" s="121">
        <f>VLOOKUP($B119,'Tillförd energi'!$B$1:$AI$720,MATCH(AD$1,'Tillförd energi'!$B$1:$AQ$1,0),FALSE)</f>
        <v>2.08</v>
      </c>
      <c r="AE119" s="121">
        <f>VLOOKUP($B119,'Tillförd energi'!$B$1:$AI$720,MATCH(AE$1,'Tillförd energi'!$B$1:$AQ$1,0),FALSE)</f>
        <v>0</v>
      </c>
      <c r="AF119" s="121">
        <f>VLOOKUP($B119,'Tillförd energi'!$B$1:$AI$720,MATCH(AF$1,'Tillförd energi'!$B$1:$AQ$1,0),FALSE)</f>
        <v>8.1999999999999993</v>
      </c>
      <c r="AG119" s="121">
        <f>IFERROR(VLOOKUP(B119,Miljö!$B$1:$AC$550,MATCH("Köpt mängd produktionsspecifik fjärrvärme:",Miljö!$B$1:$AC$1,0),FALSE)/1,0)</f>
        <v>0</v>
      </c>
      <c r="AH119" s="121"/>
      <c r="AI119" s="121">
        <f t="shared" si="44"/>
        <v>242.210624</v>
      </c>
      <c r="AJ119" s="121">
        <f t="shared" si="45"/>
        <v>242.210624</v>
      </c>
      <c r="AK119" s="121">
        <f>IF(ISERROR(1/VLOOKUP($B119,Leveranser!$B$1:$S$499,MATCH("såld värme (gwh)",Leveranser!$B$1:$S$1,0),FALSE)),"",VLOOKUP($B119,Leveranser!$B$1:$S$499,MATCH("såld värme (gwh)",Leveranser!$B$1:$S$1,0),FALSE))</f>
        <v>179.5</v>
      </c>
      <c r="AL119" s="121">
        <f>VLOOKUP($B119,Leveranser!$B$1:$Y$499,MATCH("Totalt såld fjärrvärme till andra fjärrvärmeföretag",Leveranser!$B$1:$AA$1,0),FALSE)</f>
        <v>0</v>
      </c>
      <c r="AM119" s="121">
        <f>IF(ISERROR(1/VLOOKUP($B119,Miljö!$B$1:$S$500,MATCH("Såld mängd produktionsspecifik fjärrvärme (GWh)",Miljö!$B$1:$R$1,0),FALSE)),0,VLOOKUP($B119,Miljö!$B$1:$S$500,MATCH("Såld mängd produktionsspecifik fjärrvärme (GWh)",Miljö!$B$1:$R$1,0),FALSE))</f>
        <v>0</v>
      </c>
      <c r="AN119" s="172">
        <f t="shared" si="46"/>
        <v>0.74109053118991186</v>
      </c>
      <c r="AO119" s="121"/>
      <c r="AP119" s="121" t="str">
        <f>IFERROR(VLOOKUP($B119,Miljövärden!$B$2:$H$550,7,FALSE),"Nej, saknas")</f>
        <v>Ja</v>
      </c>
      <c r="AQ119" s="121" t="str">
        <f>IFERROR(VLOOKUP($B119,Miljövärden!$B$2:$H$550,6,FALSE),"Nej, saknas")</f>
        <v>Ja</v>
      </c>
      <c r="AU119">
        <f t="shared" si="47"/>
        <v>8.1999999999999993</v>
      </c>
      <c r="AV119">
        <f t="shared" si="48"/>
        <v>0</v>
      </c>
      <c r="AW119">
        <f t="shared" si="49"/>
        <v>95.8</v>
      </c>
      <c r="AX119">
        <f t="shared" si="50"/>
        <v>0</v>
      </c>
      <c r="AZ119">
        <f t="shared" si="51"/>
        <v>96.176813999999993</v>
      </c>
      <c r="BC119">
        <f t="shared" si="52"/>
        <v>1.1268100000000001</v>
      </c>
      <c r="BD119">
        <f t="shared" si="53"/>
        <v>0</v>
      </c>
      <c r="BE119">
        <f t="shared" si="54"/>
        <v>96.176813999999993</v>
      </c>
      <c r="BF119">
        <f t="shared" si="55"/>
        <v>136.70700000000002</v>
      </c>
      <c r="BG119">
        <f t="shared" si="56"/>
        <v>8.1999999999999993</v>
      </c>
      <c r="BH119">
        <f>VLOOKUP(B119,Miljö!$B$1:$BX$482,MATCH("Fossilandel för ursprungspecificerad el ()",Miljö!$B$1:$I$1,0),FALSE)</f>
        <v>0</v>
      </c>
      <c r="BI119">
        <f>VLOOKUP(B119,Miljö!$B$1:$BX$482,MATCH("Kärnkraftsandel för ursprungsspecificerad el ()",Miljö!$B$1:$O$1,0),FALSE)</f>
        <v>0</v>
      </c>
      <c r="BJ119">
        <f t="shared" si="57"/>
        <v>0</v>
      </c>
      <c r="BK119" t="str">
        <f>VLOOKUP(B119,Miljö!$B$1:$O$482,MATCH("Fossil andel i procent (%)",Miljö!$B$1:$O$1,0),FALSE)</f>
        <v>ET</v>
      </c>
      <c r="BL119">
        <f t="shared" si="58"/>
        <v>242.210624</v>
      </c>
      <c r="BO119" s="18">
        <f t="shared" si="59"/>
        <v>4.6521906487471008E-3</v>
      </c>
      <c r="BP119" s="18">
        <f t="shared" si="60"/>
        <v>0</v>
      </c>
      <c r="BQ119" s="18">
        <f t="shared" si="61"/>
        <v>0.43093408652462739</v>
      </c>
      <c r="BR119" s="18">
        <f t="shared" si="62"/>
        <v>0.56441372282662561</v>
      </c>
      <c r="BT119" s="27">
        <f t="shared" si="63"/>
        <v>1</v>
      </c>
      <c r="BW119" s="18">
        <f>IF(AP119="ja",VLOOKUP(B119,Miljövärden!$B$2:$H$550,MATCH("Total andel fossilt",Miljövärden!$B$2:$H$2,0),FALSE),"")</f>
        <v>4.6521799999999997E-3</v>
      </c>
      <c r="BZ119" s="28">
        <f t="shared" si="64"/>
        <v>-1.0648747101119072E-8</v>
      </c>
      <c r="CA119" s="28">
        <f t="shared" si="65"/>
        <v>0</v>
      </c>
    </row>
    <row r="120" spans="1:79" x14ac:dyDescent="0.25">
      <c r="A120" s="224" t="s">
        <v>358</v>
      </c>
      <c r="B120" s="210" t="s">
        <v>360</v>
      </c>
      <c r="C120" s="121">
        <f>VLOOKUP($B120,'Tillförd energi'!$B$1:$AI$720,MATCH(C$1,'Tillförd energi'!$B$1:$AQ$1,0),FALSE)</f>
        <v>0</v>
      </c>
      <c r="D120" s="121">
        <f>VLOOKUP($B120,'Tillförd energi'!$B$1:$AI$720,MATCH(D$1,'Tillförd energi'!$B$1:$AQ$1,0),FALSE)</f>
        <v>0</v>
      </c>
      <c r="E120" s="121">
        <f>VLOOKUP($B120,'Tillförd energi'!$B$1:$AI$720,MATCH(E$1,'Tillförd energi'!$B$1:$AQ$1,0),FALSE)</f>
        <v>0</v>
      </c>
      <c r="F120" s="121">
        <f>VLOOKUP($B120,'Tillförd energi'!$B$1:$AI$720,MATCH(F$1,'Tillförd energi'!$B$1:$AQ$1,0),FALSE)</f>
        <v>0</v>
      </c>
      <c r="G120" s="121">
        <f>VLOOKUP($B120,'Tillförd energi'!$B$1:$AI$720,MATCH(G$1,'Tillförd energi'!$B$1:$AQ$1,0),FALSE)</f>
        <v>0</v>
      </c>
      <c r="H120" s="121">
        <f>VLOOKUP($B120,'Tillförd energi'!$B$1:$AI$720,MATCH(H$1,'Tillförd energi'!$B$1:$AQ$1,0),FALSE)</f>
        <v>0</v>
      </c>
      <c r="I120" s="121">
        <f>VLOOKUP($B120,'Tillförd energi'!$B$1:$AI$720,MATCH(I$1,'Tillförd energi'!$B$1:$AQ$1,0),FALSE)</f>
        <v>0</v>
      </c>
      <c r="J120" s="121">
        <f>VLOOKUP($B120,'Tillförd energi'!$B$1:$AI$720,MATCH(J$1,'Tillförd energi'!$B$1:$AQ$1,0),FALSE)</f>
        <v>0</v>
      </c>
      <c r="K120" s="121">
        <f>VLOOKUP($B120,'Tillförd energi'!$B$1:$AI$720,MATCH(K$1,'Tillförd energi'!$B$1:$AQ$1,0),FALSE)</f>
        <v>0</v>
      </c>
      <c r="L120" s="121">
        <f>VLOOKUP($B120,'Tillförd energi'!$B$1:$AI$720,MATCH(L$1,'Tillförd energi'!$B$1:$AQ$1,0),FALSE)</f>
        <v>0</v>
      </c>
      <c r="M120" s="121">
        <f>VLOOKUP($B120,'Tillförd energi'!$B$1:$AI$720,MATCH(M$1,'Tillförd energi'!$B$1:$AQ$1,0),FALSE)</f>
        <v>0</v>
      </c>
      <c r="N120" s="121">
        <f>VLOOKUP($B120,'Tillförd energi'!$B$1:$AI$720,MATCH(N$1,'Tillförd energi'!$B$1:$AQ$1,0),FALSE)</f>
        <v>0</v>
      </c>
      <c r="O120" s="121">
        <f>VLOOKUP($B120,'Tillförd energi'!$B$1:$AI$720,MATCH(O$1,'Tillförd energi'!$B$1:$AQ$1,0),FALSE)</f>
        <v>0</v>
      </c>
      <c r="P120" s="121">
        <f>VLOOKUP($B120,'Tillförd energi'!$B$1:$AI$720,MATCH(P$1,'Tillförd energi'!$B$1:$AQ$1,0),FALSE)</f>
        <v>24.1</v>
      </c>
      <c r="Q120" s="121">
        <f>VLOOKUP($B120,'Tillförd energi'!$B$1:$AI$720,MATCH(Q$1,'Tillförd energi'!$B$1:$AQ$1,0),FALSE)</f>
        <v>0</v>
      </c>
      <c r="R120" s="121">
        <f>VLOOKUP($B120,'Tillförd energi'!$B$1:$AI$720,MATCH(R$1,'Tillförd energi'!$B$1:$AQ$1,0),FALSE)</f>
        <v>0</v>
      </c>
      <c r="S120" s="121">
        <f>VLOOKUP($B120,'Tillförd energi'!$B$1:$AI$720,MATCH(S$1,'Tillförd energi'!$B$1:$AQ$1,0),FALSE)</f>
        <v>0</v>
      </c>
      <c r="T120" s="121">
        <f>VLOOKUP($B120,'Tillförd energi'!$B$1:$AI$720,MATCH(T$1,'Tillförd energi'!$B$1:$AQ$1,0),FALSE)</f>
        <v>0</v>
      </c>
      <c r="U120" s="121">
        <f>VLOOKUP($B120,'Tillförd energi'!$B$1:$AI$720,MATCH(U$1,'Tillförd energi'!$B$1:$AQ$1,0),FALSE)</f>
        <v>0</v>
      </c>
      <c r="V120" s="121">
        <f>VLOOKUP($B120,'Tillförd energi'!$B$1:$AI$720,MATCH(V$1,'Tillförd energi'!$B$1:$AQ$1,0),FALSE)</f>
        <v>0</v>
      </c>
      <c r="W120" s="121">
        <f>VLOOKUP($B120,'Tillförd energi'!$B$1:$AI$720,MATCH(W$1,'Tillförd energi'!$B$1:$AQ$1,0),FALSE)</f>
        <v>0.33</v>
      </c>
      <c r="X120" s="121">
        <f>VLOOKUP($B120,'Tillförd energi'!$B$1:$AI$720,MATCH(X$1,'Tillförd energi'!$B$1:$AQ$1,0),FALSE)</f>
        <v>0</v>
      </c>
      <c r="Y120" s="121">
        <f>VLOOKUP($B120,'Tillförd energi'!$B$1:$AI$720,MATCH(Y$1,'Tillförd energi'!$B$1:$AQ$1,0),FALSE)</f>
        <v>0</v>
      </c>
      <c r="Z120" s="121">
        <f>VLOOKUP($B120,'Tillförd energi'!$B$1:$AI$720,MATCH(Z$1,'Tillförd energi'!$B$1:$AQ$1,0),FALSE)</f>
        <v>0</v>
      </c>
      <c r="AA120" s="121">
        <f>VLOOKUP($B120,'Tillförd energi'!$B$1:$AI$720,MATCH(AA$1,'Tillförd energi'!$B$1:$AQ$1,0),FALSE)</f>
        <v>0</v>
      </c>
      <c r="AB120" s="121">
        <f>VLOOKUP($B120,'Tillförd energi'!$B$1:$AI$720,MATCH(AB$1,'Tillförd energi'!$B$1:$AQ$1,0),FALSE)</f>
        <v>0</v>
      </c>
      <c r="AC120" s="121">
        <f>VLOOKUP($B120,'Tillförd energi'!$B$1:$AI$720,MATCH(AC$1,'Tillförd energi'!$B$1:$AQ$1,0),FALSE)</f>
        <v>0</v>
      </c>
      <c r="AD120" s="121">
        <f>VLOOKUP($B120,'Tillförd energi'!$B$1:$AI$720,MATCH(AD$1,'Tillförd energi'!$B$1:$AQ$1,0),FALSE)</f>
        <v>0</v>
      </c>
      <c r="AE120" s="121">
        <f>VLOOKUP($B120,'Tillförd energi'!$B$1:$AI$720,MATCH(AE$1,'Tillförd energi'!$B$1:$AQ$1,0),FALSE)</f>
        <v>0</v>
      </c>
      <c r="AF120" s="121">
        <f>VLOOKUP($B120,'Tillförd energi'!$B$1:$AI$720,MATCH(AF$1,'Tillförd energi'!$B$1:$AQ$1,0),FALSE)</f>
        <v>0.52</v>
      </c>
      <c r="AG120" s="121">
        <f>IFERROR(VLOOKUP(B120,Miljö!$B$1:$AC$550,MATCH("Köpt mängd produktionsspecifik fjärrvärme:",Miljö!$B$1:$AC$1,0),FALSE)/1,0)</f>
        <v>0</v>
      </c>
      <c r="AH120" s="121"/>
      <c r="AI120" s="121">
        <f t="shared" si="44"/>
        <v>24.95</v>
      </c>
      <c r="AJ120" s="121">
        <f t="shared" si="45"/>
        <v>24.95</v>
      </c>
      <c r="AK120" s="121">
        <f>IF(ISERROR(1/VLOOKUP($B120,Leveranser!$B$1:$S$499,MATCH("såld värme (gwh)",Leveranser!$B$1:$S$1,0),FALSE)),"",VLOOKUP($B120,Leveranser!$B$1:$S$499,MATCH("såld värme (gwh)",Leveranser!$B$1:$S$1,0),FALSE))</f>
        <v>17</v>
      </c>
      <c r="AL120" s="121">
        <f>VLOOKUP($B120,Leveranser!$B$1:$Y$499,MATCH("Totalt såld fjärrvärme till andra fjärrvärmeföretag",Leveranser!$B$1:$AA$1,0),FALSE)</f>
        <v>0</v>
      </c>
      <c r="AM120" s="121">
        <f>IF(ISERROR(1/VLOOKUP($B120,Miljö!$B$1:$S$500,MATCH("Såld mängd produktionsspecifik fjärrvärme (GWh)",Miljö!$B$1:$R$1,0),FALSE)),0,VLOOKUP($B120,Miljö!$B$1:$S$500,MATCH("Såld mängd produktionsspecifik fjärrvärme (GWh)",Miljö!$B$1:$R$1,0),FALSE))</f>
        <v>0</v>
      </c>
      <c r="AN120" s="172">
        <f t="shared" si="46"/>
        <v>0.68136272545090182</v>
      </c>
      <c r="AO120" s="121"/>
      <c r="AP120" s="121" t="str">
        <f>IFERROR(VLOOKUP($B120,Miljövärden!$B$2:$H$550,7,FALSE),"Nej, saknas")</f>
        <v>Ja</v>
      </c>
      <c r="AQ120" s="121" t="str">
        <f>IFERROR(VLOOKUP($B120,Miljövärden!$B$2:$H$550,6,FALSE),"Nej, saknas")</f>
        <v>Nej</v>
      </c>
      <c r="AU120">
        <f t="shared" si="47"/>
        <v>0.52</v>
      </c>
      <c r="AV120">
        <f t="shared" si="48"/>
        <v>0</v>
      </c>
      <c r="AW120">
        <f t="shared" si="49"/>
        <v>24.1</v>
      </c>
      <c r="AX120">
        <f t="shared" si="50"/>
        <v>0</v>
      </c>
      <c r="AZ120">
        <f t="shared" si="51"/>
        <v>24.43</v>
      </c>
      <c r="BC120">
        <f t="shared" si="52"/>
        <v>0</v>
      </c>
      <c r="BD120">
        <f t="shared" si="53"/>
        <v>0</v>
      </c>
      <c r="BE120">
        <f t="shared" si="54"/>
        <v>24.43</v>
      </c>
      <c r="BF120">
        <f t="shared" si="55"/>
        <v>0</v>
      </c>
      <c r="BG120">
        <f t="shared" si="56"/>
        <v>0.52</v>
      </c>
      <c r="BH120">
        <f>VLOOKUP(B120,Miljö!$B$1:$BX$482,MATCH("Fossilandel för ursprungspecificerad el ()",Miljö!$B$1:$I$1,0),FALSE)</f>
        <v>0</v>
      </c>
      <c r="BI120">
        <f>VLOOKUP(B120,Miljö!$B$1:$BX$482,MATCH("Kärnkraftsandel för ursprungsspecificerad el ()",Miljö!$B$1:$O$1,0),FALSE)</f>
        <v>0</v>
      </c>
      <c r="BJ120">
        <f t="shared" si="57"/>
        <v>0</v>
      </c>
      <c r="BK120" t="str">
        <f>VLOOKUP(B120,Miljö!$B$1:$O$482,MATCH("Fossil andel i procent (%)",Miljö!$B$1:$O$1,0),FALSE)</f>
        <v>ET</v>
      </c>
      <c r="BL120">
        <f t="shared" si="58"/>
        <v>24.95</v>
      </c>
      <c r="BO120" s="18">
        <f t="shared" si="59"/>
        <v>0</v>
      </c>
      <c r="BP120" s="18">
        <f t="shared" si="60"/>
        <v>0</v>
      </c>
      <c r="BQ120" s="18">
        <f t="shared" si="61"/>
        <v>1</v>
      </c>
      <c r="BR120" s="18">
        <f t="shared" si="62"/>
        <v>0</v>
      </c>
      <c r="BT120" s="27">
        <f t="shared" si="63"/>
        <v>1</v>
      </c>
      <c r="BW120" s="18">
        <f>IF(AP120="ja",VLOOKUP(B120,Miljövärden!$B$2:$H$550,MATCH("Total andel fossilt",Miljövärden!$B$2:$H$2,0),FALSE),"")</f>
        <v>0</v>
      </c>
      <c r="BZ120" s="28">
        <f t="shared" si="64"/>
        <v>0</v>
      </c>
      <c r="CA120" s="28">
        <f t="shared" si="65"/>
        <v>0</v>
      </c>
    </row>
    <row r="121" spans="1:79" x14ac:dyDescent="0.25">
      <c r="A121" s="224" t="s">
        <v>362</v>
      </c>
      <c r="B121" s="210" t="s">
        <v>363</v>
      </c>
      <c r="C121" s="121">
        <f>VLOOKUP($B121,'Tillförd energi'!$B$1:$AI$720,MATCH(C$1,'Tillförd energi'!$B$1:$AQ$1,0),FALSE)</f>
        <v>0</v>
      </c>
      <c r="D121" s="121">
        <f>VLOOKUP($B121,'Tillförd energi'!$B$1:$AI$720,MATCH(D$1,'Tillförd energi'!$B$1:$AQ$1,0),FALSE)</f>
        <v>0</v>
      </c>
      <c r="E121" s="121">
        <f>VLOOKUP($B121,'Tillförd energi'!$B$1:$AI$720,MATCH(E$1,'Tillförd energi'!$B$1:$AQ$1,0),FALSE)</f>
        <v>0</v>
      </c>
      <c r="F121" s="121">
        <f>VLOOKUP($B121,'Tillförd energi'!$B$1:$AI$720,MATCH(F$1,'Tillförd energi'!$B$1:$AQ$1,0),FALSE)</f>
        <v>0</v>
      </c>
      <c r="G121" s="121">
        <f>VLOOKUP($B121,'Tillförd energi'!$B$1:$AI$720,MATCH(G$1,'Tillförd energi'!$B$1:$AQ$1,0),FALSE)</f>
        <v>1.4E-2</v>
      </c>
      <c r="H121" s="121">
        <f>VLOOKUP($B121,'Tillförd energi'!$B$1:$AI$720,MATCH(H$1,'Tillförd energi'!$B$1:$AQ$1,0),FALSE)</f>
        <v>0</v>
      </c>
      <c r="I121" s="121">
        <f>VLOOKUP($B121,'Tillförd energi'!$B$1:$AI$720,MATCH(I$1,'Tillförd energi'!$B$1:$AQ$1,0),FALSE)</f>
        <v>0</v>
      </c>
      <c r="J121" s="121">
        <f>VLOOKUP($B121,'Tillförd energi'!$B$1:$AI$720,MATCH(J$1,'Tillförd energi'!$B$1:$AQ$1,0),FALSE)</f>
        <v>0</v>
      </c>
      <c r="K121" s="121">
        <f>VLOOKUP($B121,'Tillförd energi'!$B$1:$AI$720,MATCH(K$1,'Tillförd energi'!$B$1:$AQ$1,0),FALSE)</f>
        <v>0</v>
      </c>
      <c r="L121" s="121">
        <f>VLOOKUP($B121,'Tillförd energi'!$B$1:$AI$720,MATCH(L$1,'Tillförd energi'!$B$1:$AQ$1,0),FALSE)</f>
        <v>0</v>
      </c>
      <c r="M121" s="121">
        <f>VLOOKUP($B121,'Tillförd energi'!$B$1:$AI$720,MATCH(M$1,'Tillförd energi'!$B$1:$AQ$1,0),FALSE)</f>
        <v>0</v>
      </c>
      <c r="N121" s="121">
        <f>VLOOKUP($B121,'Tillförd energi'!$B$1:$AI$720,MATCH(N$1,'Tillförd energi'!$B$1:$AQ$1,0),FALSE)</f>
        <v>0</v>
      </c>
      <c r="O121" s="121">
        <f>VLOOKUP($B121,'Tillförd energi'!$B$1:$AI$720,MATCH(O$1,'Tillförd energi'!$B$1:$AQ$1,0),FALSE)</f>
        <v>0</v>
      </c>
      <c r="P121" s="121">
        <f>VLOOKUP($B121,'Tillförd energi'!$B$1:$AI$720,MATCH(P$1,'Tillförd energi'!$B$1:$AQ$1,0),FALSE)</f>
        <v>0</v>
      </c>
      <c r="Q121" s="121">
        <f>VLOOKUP($B121,'Tillförd energi'!$B$1:$AI$720,MATCH(Q$1,'Tillförd energi'!$B$1:$AQ$1,0),FALSE)</f>
        <v>0</v>
      </c>
      <c r="R121" s="121">
        <f>VLOOKUP($B121,'Tillförd energi'!$B$1:$AI$720,MATCH(R$1,'Tillförd energi'!$B$1:$AQ$1,0),FALSE)</f>
        <v>0</v>
      </c>
      <c r="S121" s="121">
        <f>VLOOKUP($B121,'Tillförd energi'!$B$1:$AI$720,MATCH(S$1,'Tillförd energi'!$B$1:$AQ$1,0),FALSE)</f>
        <v>0</v>
      </c>
      <c r="T121" s="121">
        <f>VLOOKUP($B121,'Tillförd energi'!$B$1:$AI$720,MATCH(T$1,'Tillförd energi'!$B$1:$AQ$1,0),FALSE)</f>
        <v>0</v>
      </c>
      <c r="U121" s="121">
        <f>VLOOKUP($B121,'Tillförd energi'!$B$1:$AI$720,MATCH(U$1,'Tillförd energi'!$B$1:$AQ$1,0),FALSE)</f>
        <v>0</v>
      </c>
      <c r="V121" s="121">
        <f>VLOOKUP($B121,'Tillförd energi'!$B$1:$AI$720,MATCH(V$1,'Tillförd energi'!$B$1:$AQ$1,0),FALSE)</f>
        <v>0</v>
      </c>
      <c r="W121" s="121">
        <f>VLOOKUP($B121,'Tillförd energi'!$B$1:$AI$720,MATCH(W$1,'Tillförd energi'!$B$1:$AQ$1,0),FALSE)</f>
        <v>6.2969999999999997</v>
      </c>
      <c r="X121" s="121">
        <f>VLOOKUP($B121,'Tillförd energi'!$B$1:$AI$720,MATCH(X$1,'Tillförd energi'!$B$1:$AQ$1,0),FALSE)</f>
        <v>0</v>
      </c>
      <c r="Y121" s="121">
        <f>VLOOKUP($B121,'Tillförd energi'!$B$1:$AI$720,MATCH(Y$1,'Tillförd energi'!$B$1:$AQ$1,0),FALSE)</f>
        <v>0</v>
      </c>
      <c r="Z121" s="121">
        <f>VLOOKUP($B121,'Tillförd energi'!$B$1:$AI$720,MATCH(Z$1,'Tillförd energi'!$B$1:$AQ$1,0),FALSE)</f>
        <v>0</v>
      </c>
      <c r="AA121" s="121">
        <f>VLOOKUP($B121,'Tillförd energi'!$B$1:$AI$720,MATCH(AA$1,'Tillförd energi'!$B$1:$AQ$1,0),FALSE)</f>
        <v>0</v>
      </c>
      <c r="AB121" s="121">
        <f>VLOOKUP($B121,'Tillförd energi'!$B$1:$AI$720,MATCH(AB$1,'Tillförd energi'!$B$1:$AQ$1,0),FALSE)</f>
        <v>0</v>
      </c>
      <c r="AC121" s="121">
        <f>VLOOKUP($B121,'Tillförd energi'!$B$1:$AI$720,MATCH(AC$1,'Tillförd energi'!$B$1:$AQ$1,0),FALSE)</f>
        <v>0</v>
      </c>
      <c r="AD121" s="121">
        <f>VLOOKUP($B121,'Tillförd energi'!$B$1:$AI$720,MATCH(AD$1,'Tillförd energi'!$B$1:$AQ$1,0),FALSE)</f>
        <v>42.887999999999998</v>
      </c>
      <c r="AE121" s="121">
        <f>VLOOKUP($B121,'Tillförd energi'!$B$1:$AI$720,MATCH(AE$1,'Tillförd energi'!$B$1:$AQ$1,0),FALSE)</f>
        <v>0</v>
      </c>
      <c r="AF121" s="121">
        <f>VLOOKUP($B121,'Tillförd energi'!$B$1:$AI$720,MATCH(AF$1,'Tillförd energi'!$B$1:$AQ$1,0),FALSE)</f>
        <v>0.37866899999999998</v>
      </c>
      <c r="AG121" s="121">
        <f>IFERROR(VLOOKUP(B121,Miljö!$B$1:$AC$550,MATCH("Köpt mängd produktionsspecifik fjärrvärme:",Miljö!$B$1:$AC$1,0),FALSE)/1,0)</f>
        <v>0</v>
      </c>
      <c r="AH121" s="121"/>
      <c r="AI121" s="121">
        <f t="shared" si="44"/>
        <v>49.577669</v>
      </c>
      <c r="AJ121" s="121">
        <f t="shared" si="45"/>
        <v>49.577669</v>
      </c>
      <c r="AK121" s="121">
        <f>IF(ISERROR(1/VLOOKUP($B121,Leveranser!$B$1:$S$499,MATCH("såld värme (gwh)",Leveranser!$B$1:$S$1,0),FALSE)),"",VLOOKUP($B121,Leveranser!$B$1:$S$499,MATCH("såld värme (gwh)",Leveranser!$B$1:$S$1,0),FALSE))</f>
        <v>42.759</v>
      </c>
      <c r="AL121" s="121">
        <f>VLOOKUP($B121,Leveranser!$B$1:$Y$499,MATCH("Totalt såld fjärrvärme till andra fjärrvärmeföretag",Leveranser!$B$1:$AA$1,0),FALSE)</f>
        <v>0</v>
      </c>
      <c r="AM121" s="121">
        <f>IF(ISERROR(1/VLOOKUP($B121,Miljö!$B$1:$S$500,MATCH("Såld mängd produktionsspecifik fjärrvärme (GWh)",Miljö!$B$1:$R$1,0),FALSE)),0,VLOOKUP($B121,Miljö!$B$1:$S$500,MATCH("Såld mängd produktionsspecifik fjärrvärme (GWh)",Miljö!$B$1:$R$1,0),FALSE))</f>
        <v>0</v>
      </c>
      <c r="AN121" s="172">
        <f t="shared" si="46"/>
        <v>0.8624649133867105</v>
      </c>
      <c r="AO121" s="121"/>
      <c r="AP121" s="121" t="str">
        <f>IFERROR(VLOOKUP($B121,Miljövärden!$B$2:$H$550,7,FALSE),"Nej, saknas")</f>
        <v>Ja</v>
      </c>
      <c r="AQ121" s="121" t="str">
        <f>IFERROR(VLOOKUP($B121,Miljövärden!$B$2:$H$550,6,FALSE),"Nej, saknas")</f>
        <v>Ja</v>
      </c>
      <c r="AU121">
        <f t="shared" si="47"/>
        <v>0.37866899999999998</v>
      </c>
      <c r="AV121">
        <f t="shared" si="48"/>
        <v>0</v>
      </c>
      <c r="AW121">
        <f t="shared" si="49"/>
        <v>0</v>
      </c>
      <c r="AX121">
        <f t="shared" si="50"/>
        <v>0</v>
      </c>
      <c r="AZ121">
        <f t="shared" si="51"/>
        <v>6.2969999999999997</v>
      </c>
      <c r="BC121">
        <f t="shared" si="52"/>
        <v>1.4E-2</v>
      </c>
      <c r="BD121">
        <f t="shared" si="53"/>
        <v>0</v>
      </c>
      <c r="BE121">
        <f t="shared" si="54"/>
        <v>6.2969999999999997</v>
      </c>
      <c r="BF121">
        <f t="shared" si="55"/>
        <v>42.887999999999998</v>
      </c>
      <c r="BG121">
        <f t="shared" si="56"/>
        <v>0.37866899999999998</v>
      </c>
      <c r="BH121">
        <f>VLOOKUP(B121,Miljö!$B$1:$BX$482,MATCH("Fossilandel för ursprungspecificerad el ()",Miljö!$B$1:$I$1,0),FALSE)</f>
        <v>0</v>
      </c>
      <c r="BI121">
        <f>VLOOKUP(B121,Miljö!$B$1:$BX$482,MATCH("Kärnkraftsandel för ursprungsspecificerad el ()",Miljö!$B$1:$O$1,0),FALSE)</f>
        <v>0</v>
      </c>
      <c r="BJ121">
        <f t="shared" si="57"/>
        <v>0</v>
      </c>
      <c r="BK121" t="str">
        <f>VLOOKUP(B121,Miljö!$B$1:$O$482,MATCH("Fossil andel i procent (%)",Miljö!$B$1:$O$1,0),FALSE)</f>
        <v>ET</v>
      </c>
      <c r="BL121">
        <f t="shared" si="58"/>
        <v>49.577669</v>
      </c>
      <c r="BO121" s="18">
        <f t="shared" si="59"/>
        <v>2.8238520048209611E-4</v>
      </c>
      <c r="BP121" s="18">
        <f t="shared" si="60"/>
        <v>0</v>
      </c>
      <c r="BQ121" s="18">
        <f t="shared" si="61"/>
        <v>0.13465072349407955</v>
      </c>
      <c r="BR121" s="18">
        <f t="shared" si="62"/>
        <v>0.86506689130543835</v>
      </c>
      <c r="BT121" s="27">
        <f t="shared" si="63"/>
        <v>1</v>
      </c>
      <c r="BW121" s="18">
        <f>IF(AP121="ja",VLOOKUP(B121,Miljövärden!$B$2:$H$550,MATCH("Total andel fossilt",Miljövärden!$B$2:$H$2,0),FALSE),"")</f>
        <v>2.8238500000000001E-4</v>
      </c>
      <c r="BZ121" s="28">
        <f t="shared" si="64"/>
        <v>-2.0048209609362794E-10</v>
      </c>
      <c r="CA121" s="28">
        <f t="shared" si="65"/>
        <v>0</v>
      </c>
    </row>
    <row r="122" spans="1:79" x14ac:dyDescent="0.25">
      <c r="A122" s="224" t="s">
        <v>364</v>
      </c>
      <c r="B122" s="210" t="s">
        <v>365</v>
      </c>
      <c r="C122" s="121">
        <f>VLOOKUP($B122,'Tillförd energi'!$B$1:$AI$720,MATCH(C$1,'Tillförd energi'!$B$1:$AQ$1,0),FALSE)</f>
        <v>0</v>
      </c>
      <c r="D122" s="121">
        <f>VLOOKUP($B122,'Tillförd energi'!$B$1:$AI$720,MATCH(D$1,'Tillförd energi'!$B$1:$AQ$1,0),FALSE)</f>
        <v>0.3</v>
      </c>
      <c r="E122" s="121">
        <f>VLOOKUP($B122,'Tillförd energi'!$B$1:$AI$720,MATCH(E$1,'Tillförd energi'!$B$1:$AQ$1,0),FALSE)</f>
        <v>0</v>
      </c>
      <c r="F122" s="121">
        <f>VLOOKUP($B122,'Tillförd energi'!$B$1:$AI$720,MATCH(F$1,'Tillförd energi'!$B$1:$AQ$1,0),FALSE)</f>
        <v>0</v>
      </c>
      <c r="G122" s="121">
        <f>VLOOKUP($B122,'Tillförd energi'!$B$1:$AI$720,MATCH(G$1,'Tillförd energi'!$B$1:$AQ$1,0),FALSE)</f>
        <v>0</v>
      </c>
      <c r="H122" s="121">
        <f>VLOOKUP($B122,'Tillförd energi'!$B$1:$AI$720,MATCH(H$1,'Tillförd energi'!$B$1:$AQ$1,0),FALSE)</f>
        <v>0</v>
      </c>
      <c r="I122" s="121">
        <f>VLOOKUP($B122,'Tillförd energi'!$B$1:$AI$720,MATCH(I$1,'Tillförd energi'!$B$1:$AQ$1,0),FALSE)</f>
        <v>0</v>
      </c>
      <c r="J122" s="121">
        <f>VLOOKUP($B122,'Tillförd energi'!$B$1:$AI$720,MATCH(J$1,'Tillförd energi'!$B$1:$AQ$1,0),FALSE)</f>
        <v>0</v>
      </c>
      <c r="K122" s="121">
        <f>VLOOKUP($B122,'Tillförd energi'!$B$1:$AI$720,MATCH(K$1,'Tillförd energi'!$B$1:$AQ$1,0),FALSE)</f>
        <v>0</v>
      </c>
      <c r="L122" s="121">
        <f>VLOOKUP($B122,'Tillförd energi'!$B$1:$AI$720,MATCH(L$1,'Tillförd energi'!$B$1:$AQ$1,0),FALSE)</f>
        <v>0</v>
      </c>
      <c r="M122" s="121">
        <f>VLOOKUP($B122,'Tillförd energi'!$B$1:$AI$720,MATCH(M$1,'Tillförd energi'!$B$1:$AQ$1,0),FALSE)</f>
        <v>0</v>
      </c>
      <c r="N122" s="121">
        <f>VLOOKUP($B122,'Tillförd energi'!$B$1:$AI$720,MATCH(N$1,'Tillförd energi'!$B$1:$AQ$1,0),FALSE)</f>
        <v>0</v>
      </c>
      <c r="O122" s="121">
        <f>VLOOKUP($B122,'Tillförd energi'!$B$1:$AI$720,MATCH(O$1,'Tillförd energi'!$B$1:$AQ$1,0),FALSE)</f>
        <v>0</v>
      </c>
      <c r="P122" s="121">
        <f>VLOOKUP($B122,'Tillförd energi'!$B$1:$AI$720,MATCH(P$1,'Tillförd energi'!$B$1:$AQ$1,0),FALSE)</f>
        <v>39</v>
      </c>
      <c r="Q122" s="121">
        <f>VLOOKUP($B122,'Tillförd energi'!$B$1:$AI$720,MATCH(Q$1,'Tillförd energi'!$B$1:$AQ$1,0),FALSE)</f>
        <v>0</v>
      </c>
      <c r="R122" s="121">
        <f>VLOOKUP($B122,'Tillförd energi'!$B$1:$AI$720,MATCH(R$1,'Tillförd energi'!$B$1:$AQ$1,0),FALSE)</f>
        <v>5</v>
      </c>
      <c r="S122" s="121">
        <f>VLOOKUP($B122,'Tillförd energi'!$B$1:$AI$720,MATCH(S$1,'Tillförd energi'!$B$1:$AQ$1,0),FALSE)</f>
        <v>0</v>
      </c>
      <c r="T122" s="121">
        <f>VLOOKUP($B122,'Tillförd energi'!$B$1:$AI$720,MATCH(T$1,'Tillförd energi'!$B$1:$AQ$1,0),FALSE)</f>
        <v>0</v>
      </c>
      <c r="U122" s="121">
        <f>VLOOKUP($B122,'Tillförd energi'!$B$1:$AI$720,MATCH(U$1,'Tillförd energi'!$B$1:$AQ$1,0),FALSE)</f>
        <v>0</v>
      </c>
      <c r="V122" s="121">
        <f>VLOOKUP($B122,'Tillförd energi'!$B$1:$AI$720,MATCH(V$1,'Tillförd energi'!$B$1:$AQ$1,0),FALSE)</f>
        <v>0</v>
      </c>
      <c r="W122" s="121">
        <f>VLOOKUP($B122,'Tillförd energi'!$B$1:$AI$720,MATCH(W$1,'Tillförd energi'!$B$1:$AQ$1,0),FALSE)</f>
        <v>0</v>
      </c>
      <c r="X122" s="121">
        <f>VLOOKUP($B122,'Tillförd energi'!$B$1:$AI$720,MATCH(X$1,'Tillförd energi'!$B$1:$AQ$1,0),FALSE)</f>
        <v>0</v>
      </c>
      <c r="Y122" s="121">
        <f>VLOOKUP($B122,'Tillförd energi'!$B$1:$AI$720,MATCH(Y$1,'Tillförd energi'!$B$1:$AQ$1,0),FALSE)</f>
        <v>0</v>
      </c>
      <c r="Z122" s="121">
        <f>VLOOKUP($B122,'Tillförd energi'!$B$1:$AI$720,MATCH(Z$1,'Tillförd energi'!$B$1:$AQ$1,0),FALSE)</f>
        <v>0</v>
      </c>
      <c r="AA122" s="121">
        <f>VLOOKUP($B122,'Tillförd energi'!$B$1:$AI$720,MATCH(AA$1,'Tillförd energi'!$B$1:$AQ$1,0),FALSE)</f>
        <v>0</v>
      </c>
      <c r="AB122" s="121">
        <f>VLOOKUP($B122,'Tillförd energi'!$B$1:$AI$720,MATCH(AB$1,'Tillförd energi'!$B$1:$AQ$1,0),FALSE)</f>
        <v>0</v>
      </c>
      <c r="AC122" s="121">
        <f>VLOOKUP($B122,'Tillförd energi'!$B$1:$AI$720,MATCH(AC$1,'Tillförd energi'!$B$1:$AQ$1,0),FALSE)</f>
        <v>6</v>
      </c>
      <c r="AD122" s="121">
        <f>VLOOKUP($B122,'Tillförd energi'!$B$1:$AI$720,MATCH(AD$1,'Tillförd energi'!$B$1:$AQ$1,0),FALSE)</f>
        <v>0</v>
      </c>
      <c r="AE122" s="121">
        <f>VLOOKUP($B122,'Tillförd energi'!$B$1:$AI$720,MATCH(AE$1,'Tillförd energi'!$B$1:$AQ$1,0),FALSE)</f>
        <v>0</v>
      </c>
      <c r="AF122" s="121">
        <f>VLOOKUP($B122,'Tillförd energi'!$B$1:$AI$720,MATCH(AF$1,'Tillförd energi'!$B$1:$AQ$1,0),FALSE)</f>
        <v>1.3</v>
      </c>
      <c r="AG122" s="121">
        <f>IFERROR(VLOOKUP(B122,Miljö!$B$1:$AC$550,MATCH("Köpt mängd produktionsspecifik fjärrvärme:",Miljö!$B$1:$AC$1,0),FALSE)/1,0)</f>
        <v>0</v>
      </c>
      <c r="AH122" s="121"/>
      <c r="AI122" s="121">
        <f t="shared" si="44"/>
        <v>51.599999999999994</v>
      </c>
      <c r="AJ122" s="121">
        <f t="shared" si="45"/>
        <v>51.599999999999994</v>
      </c>
      <c r="AK122" s="121">
        <f>IF(ISERROR(1/VLOOKUP($B122,Leveranser!$B$1:$S$499,MATCH("såld värme (gwh)",Leveranser!$B$1:$S$1,0),FALSE)),"",VLOOKUP($B122,Leveranser!$B$1:$S$499,MATCH("såld värme (gwh)",Leveranser!$B$1:$S$1,0),FALSE))</f>
        <v>34.799999999999997</v>
      </c>
      <c r="AL122" s="121">
        <f>VLOOKUP($B122,Leveranser!$B$1:$Y$499,MATCH("Totalt såld fjärrvärme till andra fjärrvärmeföretag",Leveranser!$B$1:$AA$1,0),FALSE)</f>
        <v>0</v>
      </c>
      <c r="AM122" s="121">
        <f>IF(ISERROR(1/VLOOKUP($B122,Miljö!$B$1:$S$500,MATCH("Såld mängd produktionsspecifik fjärrvärme (GWh)",Miljö!$B$1:$R$1,0),FALSE)),0,VLOOKUP($B122,Miljö!$B$1:$S$500,MATCH("Såld mängd produktionsspecifik fjärrvärme (GWh)",Miljö!$B$1:$R$1,0),FALSE))</f>
        <v>0</v>
      </c>
      <c r="AN122" s="172">
        <f t="shared" si="46"/>
        <v>0.67441860465116277</v>
      </c>
      <c r="AO122" s="121"/>
      <c r="AP122" s="121" t="str">
        <f>IFERROR(VLOOKUP($B122,Miljövärden!$B$2:$H$550,7,FALSE),"Nej, saknas")</f>
        <v>Ja</v>
      </c>
      <c r="AQ122" s="121" t="str">
        <f>IFERROR(VLOOKUP($B122,Miljövärden!$B$2:$H$550,6,FALSE),"Nej, saknas")</f>
        <v>Nej</v>
      </c>
      <c r="AU122">
        <f t="shared" si="47"/>
        <v>1.3</v>
      </c>
      <c r="AV122">
        <f t="shared" si="48"/>
        <v>0</v>
      </c>
      <c r="AW122">
        <f t="shared" si="49"/>
        <v>39</v>
      </c>
      <c r="AX122">
        <f t="shared" si="50"/>
        <v>5</v>
      </c>
      <c r="AZ122">
        <f t="shared" si="51"/>
        <v>44</v>
      </c>
      <c r="BC122">
        <f t="shared" si="52"/>
        <v>0.3</v>
      </c>
      <c r="BD122">
        <f t="shared" si="53"/>
        <v>0</v>
      </c>
      <c r="BE122">
        <f t="shared" si="54"/>
        <v>44</v>
      </c>
      <c r="BF122">
        <f t="shared" si="55"/>
        <v>6</v>
      </c>
      <c r="BG122">
        <f t="shared" si="56"/>
        <v>1.3</v>
      </c>
      <c r="BH122">
        <f>VLOOKUP(B122,Miljö!$B$1:$BX$482,MATCH("Fossilandel för ursprungspecificerad el ()",Miljö!$B$1:$I$1,0),FALSE)</f>
        <v>0.43</v>
      </c>
      <c r="BI122">
        <f>VLOOKUP(B122,Miljö!$B$1:$BX$482,MATCH("Kärnkraftsandel för ursprungsspecificerad el ()",Miljö!$B$1:$O$1,0),FALSE)</f>
        <v>0.40550000000000003</v>
      </c>
      <c r="BJ122">
        <f t="shared" si="57"/>
        <v>0</v>
      </c>
      <c r="BK122" t="str">
        <f>VLOOKUP(B122,Miljö!$B$1:$O$482,MATCH("Fossil andel i procent (%)",Miljö!$B$1:$O$1,0),FALSE)</f>
        <v>ET</v>
      </c>
      <c r="BL122">
        <f t="shared" si="58"/>
        <v>51.599999999999994</v>
      </c>
      <c r="BO122" s="18">
        <f t="shared" si="59"/>
        <v>1.6647286821705427E-2</v>
      </c>
      <c r="BP122" s="18">
        <f t="shared" si="60"/>
        <v>1.0216085271317831E-2</v>
      </c>
      <c r="BQ122" s="18">
        <f t="shared" si="61"/>
        <v>0.85685755813953501</v>
      </c>
      <c r="BR122" s="18">
        <f t="shared" si="62"/>
        <v>0.11627906976744187</v>
      </c>
      <c r="BT122" s="27">
        <f t="shared" si="63"/>
        <v>1.0000000000000002</v>
      </c>
      <c r="BW122" s="18">
        <f>IF(AP122="ja",VLOOKUP(B122,Miljövärden!$B$2:$H$550,MATCH("Total andel fossilt",Miljövärden!$B$2:$H$2,0),FALSE),"")</f>
        <v>1.66473E-2</v>
      </c>
      <c r="BZ122" s="28">
        <f t="shared" si="64"/>
        <v>1.3178294573645832E-8</v>
      </c>
      <c r="CA122" s="28">
        <f t="shared" si="65"/>
        <v>0</v>
      </c>
    </row>
    <row r="123" spans="1:79" x14ac:dyDescent="0.25">
      <c r="A123" s="224" t="s">
        <v>366</v>
      </c>
      <c r="B123" s="210" t="s">
        <v>367</v>
      </c>
      <c r="C123" s="121">
        <f>VLOOKUP($B123,'Tillförd energi'!$B$1:$AI$720,MATCH(C$1,'Tillförd energi'!$B$1:$AQ$1,0),FALSE)</f>
        <v>0</v>
      </c>
      <c r="D123" s="121">
        <f>VLOOKUP($B123,'Tillförd energi'!$B$1:$AI$720,MATCH(D$1,'Tillförd energi'!$B$1:$AQ$1,0),FALSE)</f>
        <v>0</v>
      </c>
      <c r="E123" s="121">
        <f>VLOOKUP($B123,'Tillförd energi'!$B$1:$AI$720,MATCH(E$1,'Tillförd energi'!$B$1:$AQ$1,0),FALSE)</f>
        <v>0</v>
      </c>
      <c r="F123" s="121">
        <f>VLOOKUP($B123,'Tillförd energi'!$B$1:$AI$720,MATCH(F$1,'Tillförd energi'!$B$1:$AQ$1,0),FALSE)</f>
        <v>0</v>
      </c>
      <c r="G123" s="121">
        <f>VLOOKUP($B123,'Tillförd energi'!$B$1:$AI$720,MATCH(G$1,'Tillförd energi'!$B$1:$AQ$1,0),FALSE)</f>
        <v>0</v>
      </c>
      <c r="H123" s="121">
        <f>VLOOKUP($B123,'Tillförd energi'!$B$1:$AI$720,MATCH(H$1,'Tillförd energi'!$B$1:$AQ$1,0),FALSE)</f>
        <v>0</v>
      </c>
      <c r="I123" s="121">
        <f>VLOOKUP($B123,'Tillförd energi'!$B$1:$AI$720,MATCH(I$1,'Tillförd energi'!$B$1:$AQ$1,0),FALSE)</f>
        <v>0</v>
      </c>
      <c r="J123" s="121">
        <f>VLOOKUP($B123,'Tillförd energi'!$B$1:$AI$720,MATCH(J$1,'Tillförd energi'!$B$1:$AQ$1,0),FALSE)</f>
        <v>0</v>
      </c>
      <c r="K123" s="121">
        <f>VLOOKUP($B123,'Tillförd energi'!$B$1:$AI$720,MATCH(K$1,'Tillförd energi'!$B$1:$AQ$1,0),FALSE)</f>
        <v>0</v>
      </c>
      <c r="L123" s="121">
        <f>VLOOKUP($B123,'Tillförd energi'!$B$1:$AI$720,MATCH(L$1,'Tillförd energi'!$B$1:$AQ$1,0),FALSE)</f>
        <v>0</v>
      </c>
      <c r="M123" s="121">
        <f>VLOOKUP($B123,'Tillförd energi'!$B$1:$AI$720,MATCH(M$1,'Tillförd energi'!$B$1:$AQ$1,0),FALSE)</f>
        <v>0</v>
      </c>
      <c r="N123" s="121">
        <f>VLOOKUP($B123,'Tillförd energi'!$B$1:$AI$720,MATCH(N$1,'Tillförd energi'!$B$1:$AQ$1,0),FALSE)</f>
        <v>0</v>
      </c>
      <c r="O123" s="121">
        <f>VLOOKUP($B123,'Tillförd energi'!$B$1:$AI$720,MATCH(O$1,'Tillförd energi'!$B$1:$AQ$1,0),FALSE)</f>
        <v>0</v>
      </c>
      <c r="P123" s="121">
        <f>VLOOKUP($B123,'Tillförd energi'!$B$1:$AI$720,MATCH(P$1,'Tillförd energi'!$B$1:$AQ$1,0),FALSE)</f>
        <v>0</v>
      </c>
      <c r="Q123" s="121">
        <f>VLOOKUP($B123,'Tillförd energi'!$B$1:$AI$720,MATCH(Q$1,'Tillförd energi'!$B$1:$AQ$1,0),FALSE)</f>
        <v>0</v>
      </c>
      <c r="R123" s="121">
        <f>VLOOKUP($B123,'Tillförd energi'!$B$1:$AI$720,MATCH(R$1,'Tillförd energi'!$B$1:$AQ$1,0),FALSE)</f>
        <v>0</v>
      </c>
      <c r="S123" s="121">
        <f>VLOOKUP($B123,'Tillförd energi'!$B$1:$AI$720,MATCH(S$1,'Tillförd energi'!$B$1:$AQ$1,0),FALSE)</f>
        <v>0</v>
      </c>
      <c r="T123" s="121">
        <f>VLOOKUP($B123,'Tillförd energi'!$B$1:$AI$720,MATCH(T$1,'Tillförd energi'!$B$1:$AQ$1,0),FALSE)</f>
        <v>0</v>
      </c>
      <c r="U123" s="121">
        <f>VLOOKUP($B123,'Tillförd energi'!$B$1:$AI$720,MATCH(U$1,'Tillförd energi'!$B$1:$AQ$1,0),FALSE)</f>
        <v>0</v>
      </c>
      <c r="V123" s="121">
        <f>VLOOKUP($B123,'Tillförd energi'!$B$1:$AI$720,MATCH(V$1,'Tillförd energi'!$B$1:$AQ$1,0),FALSE)</f>
        <v>0</v>
      </c>
      <c r="W123" s="121">
        <f>VLOOKUP($B123,'Tillförd energi'!$B$1:$AI$720,MATCH(W$1,'Tillförd energi'!$B$1:$AQ$1,0),FALSE)</f>
        <v>0</v>
      </c>
      <c r="X123" s="121">
        <f>VLOOKUP($B123,'Tillförd energi'!$B$1:$AI$720,MATCH(X$1,'Tillförd energi'!$B$1:$AQ$1,0),FALSE)</f>
        <v>0</v>
      </c>
      <c r="Y123" s="121">
        <f>VLOOKUP($B123,'Tillförd energi'!$B$1:$AI$720,MATCH(Y$1,'Tillförd energi'!$B$1:$AQ$1,0),FALSE)</f>
        <v>0</v>
      </c>
      <c r="Z123" s="121">
        <f>VLOOKUP($B123,'Tillförd energi'!$B$1:$AI$720,MATCH(Z$1,'Tillförd energi'!$B$1:$AQ$1,0),FALSE)</f>
        <v>0</v>
      </c>
      <c r="AA123" s="121">
        <f>VLOOKUP($B123,'Tillförd energi'!$B$1:$AI$720,MATCH(AA$1,'Tillförd energi'!$B$1:$AQ$1,0),FALSE)</f>
        <v>0</v>
      </c>
      <c r="AB123" s="121">
        <f>VLOOKUP($B123,'Tillförd energi'!$B$1:$AI$720,MATCH(AB$1,'Tillförd energi'!$B$1:$AQ$1,0),FALSE)</f>
        <v>0</v>
      </c>
      <c r="AC123" s="121">
        <f>VLOOKUP($B123,'Tillförd energi'!$B$1:$AI$720,MATCH(AC$1,'Tillförd energi'!$B$1:$AQ$1,0),FALSE)</f>
        <v>0</v>
      </c>
      <c r="AD123" s="121">
        <f>VLOOKUP($B123,'Tillförd energi'!$B$1:$AI$720,MATCH(AD$1,'Tillförd energi'!$B$1:$AQ$1,0),FALSE)</f>
        <v>0</v>
      </c>
      <c r="AE123" s="121">
        <f>VLOOKUP($B123,'Tillförd energi'!$B$1:$AI$720,MATCH(AE$1,'Tillförd energi'!$B$1:$AQ$1,0),FALSE)</f>
        <v>0</v>
      </c>
      <c r="AF123" s="121">
        <f>VLOOKUP($B123,'Tillförd energi'!$B$1:$AI$720,MATCH(AF$1,'Tillförd energi'!$B$1:$AQ$1,0),FALSE)</f>
        <v>0</v>
      </c>
      <c r="AG123" s="121">
        <f>IFERROR(VLOOKUP(B123,Miljö!$B$1:$AC$550,MATCH("Köpt mängd produktionsspecifik fjärrvärme:",Miljö!$B$1:$AC$1,0),FALSE)/1,0)</f>
        <v>0</v>
      </c>
      <c r="AH123" s="121"/>
      <c r="AI123" s="121">
        <f t="shared" si="44"/>
        <v>0</v>
      </c>
      <c r="AJ123" s="121">
        <f t="shared" si="45"/>
        <v>0</v>
      </c>
      <c r="AK123" s="121" t="str">
        <f>IF(ISERROR(1/VLOOKUP($B123,Leveranser!$B$1:$S$499,MATCH("såld värme (gwh)",Leveranser!$B$1:$S$1,0),FALSE)),"",VLOOKUP($B123,Leveranser!$B$1:$S$499,MATCH("såld värme (gwh)",Leveranser!$B$1:$S$1,0),FALSE))</f>
        <v/>
      </c>
      <c r="AL123" s="121">
        <f>VLOOKUP($B123,Leveranser!$B$1:$Y$499,MATCH("Totalt såld fjärrvärme till andra fjärrvärmeföretag",Leveranser!$B$1:$AA$1,0),FALSE)</f>
        <v>0</v>
      </c>
      <c r="AM123" s="121">
        <f>IF(ISERROR(1/VLOOKUP($B123,Miljö!$B$1:$S$500,MATCH("Såld mängd produktionsspecifik fjärrvärme (GWh)",Miljö!$B$1:$R$1,0),FALSE)),0,VLOOKUP($B123,Miljö!$B$1:$S$500,MATCH("Såld mängd produktionsspecifik fjärrvärme (GWh)",Miljö!$B$1:$R$1,0),FALSE))</f>
        <v>0</v>
      </c>
      <c r="AN123" s="172" t="str">
        <f t="shared" si="46"/>
        <v/>
      </c>
      <c r="AO123" s="121"/>
      <c r="AP123" s="121" t="str">
        <f>IFERROR(VLOOKUP($B123,Miljövärden!$B$2:$H$550,7,FALSE),"Nej, saknas")</f>
        <v>Nej</v>
      </c>
      <c r="AQ123" s="121" t="str">
        <f>IFERROR(VLOOKUP($B123,Miljövärden!$B$2:$H$550,6,FALSE),"Nej, saknas")</f>
        <v>Ja</v>
      </c>
      <c r="AU123">
        <f t="shared" si="47"/>
        <v>0</v>
      </c>
      <c r="AV123">
        <f t="shared" si="48"/>
        <v>0</v>
      </c>
      <c r="AW123">
        <f t="shared" si="49"/>
        <v>0</v>
      </c>
      <c r="AX123">
        <f t="shared" si="50"/>
        <v>0</v>
      </c>
      <c r="AZ123">
        <f t="shared" si="51"/>
        <v>0</v>
      </c>
      <c r="BC123">
        <f t="shared" si="52"/>
        <v>0</v>
      </c>
      <c r="BD123">
        <f t="shared" si="53"/>
        <v>0</v>
      </c>
      <c r="BE123">
        <f t="shared" si="54"/>
        <v>0</v>
      </c>
      <c r="BF123">
        <f t="shared" si="55"/>
        <v>0</v>
      </c>
      <c r="BG123">
        <f t="shared" si="56"/>
        <v>0</v>
      </c>
      <c r="BH123">
        <f>VLOOKUP(B123,Miljö!$B$1:$BX$482,MATCH("Fossilandel för ursprungspecificerad el ()",Miljö!$B$1:$I$1,0),FALSE)</f>
        <v>0</v>
      </c>
      <c r="BI123">
        <f>VLOOKUP(B123,Miljö!$B$1:$BX$482,MATCH("Kärnkraftsandel för ursprungsspecificerad el ()",Miljö!$B$1:$O$1,0),FALSE)</f>
        <v>0</v>
      </c>
      <c r="BJ123">
        <f t="shared" si="57"/>
        <v>0</v>
      </c>
      <c r="BK123" t="str">
        <f>VLOOKUP(B123,Miljö!$B$1:$O$482,MATCH("Fossil andel i procent (%)",Miljö!$B$1:$O$1,0),FALSE)</f>
        <v>ET</v>
      </c>
      <c r="BL123">
        <f t="shared" si="58"/>
        <v>0</v>
      </c>
      <c r="BO123" s="18" t="str">
        <f t="shared" si="59"/>
        <v/>
      </c>
      <c r="BP123" s="18" t="str">
        <f t="shared" si="60"/>
        <v/>
      </c>
      <c r="BQ123" s="18" t="str">
        <f t="shared" si="61"/>
        <v/>
      </c>
      <c r="BR123" s="18" t="str">
        <f t="shared" si="62"/>
        <v/>
      </c>
      <c r="BT123" s="27">
        <f t="shared" si="63"/>
        <v>0</v>
      </c>
      <c r="BW123" s="18" t="str">
        <f>IF(AP123="ja",VLOOKUP(B123,Miljövärden!$B$2:$H$550,MATCH("Total andel fossilt",Miljövärden!$B$2:$H$2,0),FALSE),"")</f>
        <v/>
      </c>
      <c r="BZ123" s="28" t="str">
        <f t="shared" si="64"/>
        <v/>
      </c>
      <c r="CA123" s="28" t="str">
        <f t="shared" si="65"/>
        <v/>
      </c>
    </row>
    <row r="124" spans="1:79" x14ac:dyDescent="0.25">
      <c r="A124" s="224" t="s">
        <v>366</v>
      </c>
      <c r="B124" s="210" t="s">
        <v>368</v>
      </c>
      <c r="C124" s="121">
        <f>VLOOKUP($B124,'Tillförd energi'!$B$1:$AI$720,MATCH(C$1,'Tillförd energi'!$B$1:$AQ$1,0),FALSE)</f>
        <v>0</v>
      </c>
      <c r="D124" s="121">
        <f>VLOOKUP($B124,'Tillförd energi'!$B$1:$AI$720,MATCH(D$1,'Tillförd energi'!$B$1:$AQ$1,0),FALSE)</f>
        <v>0.3</v>
      </c>
      <c r="E124" s="121">
        <f>VLOOKUP($B124,'Tillförd energi'!$B$1:$AI$720,MATCH(E$1,'Tillförd energi'!$B$1:$AQ$1,0),FALSE)</f>
        <v>0</v>
      </c>
      <c r="F124" s="121">
        <f>VLOOKUP($B124,'Tillförd energi'!$B$1:$AI$720,MATCH(F$1,'Tillförd energi'!$B$1:$AQ$1,0),FALSE)</f>
        <v>0</v>
      </c>
      <c r="G124" s="121">
        <f>VLOOKUP($B124,'Tillförd energi'!$B$1:$AI$720,MATCH(G$1,'Tillförd energi'!$B$1:$AQ$1,0),FALSE)</f>
        <v>0</v>
      </c>
      <c r="H124" s="121">
        <f>VLOOKUP($B124,'Tillförd energi'!$B$1:$AI$720,MATCH(H$1,'Tillförd energi'!$B$1:$AQ$1,0),FALSE)</f>
        <v>0</v>
      </c>
      <c r="I124" s="121">
        <f>VLOOKUP($B124,'Tillförd energi'!$B$1:$AI$720,MATCH(I$1,'Tillförd energi'!$B$1:$AQ$1,0),FALSE)</f>
        <v>0</v>
      </c>
      <c r="J124" s="121">
        <f>VLOOKUP($B124,'Tillförd energi'!$B$1:$AI$720,MATCH(J$1,'Tillförd energi'!$B$1:$AQ$1,0),FALSE)</f>
        <v>0</v>
      </c>
      <c r="K124" s="121">
        <f>VLOOKUP($B124,'Tillförd energi'!$B$1:$AI$720,MATCH(K$1,'Tillförd energi'!$B$1:$AQ$1,0),FALSE)</f>
        <v>0</v>
      </c>
      <c r="L124" s="121">
        <f>VLOOKUP($B124,'Tillförd energi'!$B$1:$AI$720,MATCH(L$1,'Tillförd energi'!$B$1:$AQ$1,0),FALSE)</f>
        <v>0</v>
      </c>
      <c r="M124" s="121">
        <f>VLOOKUP($B124,'Tillförd energi'!$B$1:$AI$720,MATCH(M$1,'Tillförd energi'!$B$1:$AQ$1,0),FALSE)</f>
        <v>0</v>
      </c>
      <c r="N124" s="121">
        <f>VLOOKUP($B124,'Tillförd energi'!$B$1:$AI$720,MATCH(N$1,'Tillförd energi'!$B$1:$AQ$1,0),FALSE)</f>
        <v>0</v>
      </c>
      <c r="O124" s="121">
        <f>VLOOKUP($B124,'Tillförd energi'!$B$1:$AI$720,MATCH(O$1,'Tillförd energi'!$B$1:$AQ$1,0),FALSE)</f>
        <v>0</v>
      </c>
      <c r="P124" s="121">
        <f>VLOOKUP($B124,'Tillförd energi'!$B$1:$AI$720,MATCH(P$1,'Tillförd energi'!$B$1:$AQ$1,0),FALSE)</f>
        <v>0</v>
      </c>
      <c r="Q124" s="121">
        <f>VLOOKUP($B124,'Tillförd energi'!$B$1:$AI$720,MATCH(Q$1,'Tillförd energi'!$B$1:$AQ$1,0),FALSE)</f>
        <v>17.647099999999998</v>
      </c>
      <c r="R124" s="121">
        <f>VLOOKUP($B124,'Tillförd energi'!$B$1:$AI$720,MATCH(R$1,'Tillförd energi'!$B$1:$AQ$1,0),FALSE)</f>
        <v>6.7</v>
      </c>
      <c r="S124" s="121">
        <f>VLOOKUP($B124,'Tillförd energi'!$B$1:$AI$720,MATCH(S$1,'Tillförd energi'!$B$1:$AQ$1,0),FALSE)</f>
        <v>0</v>
      </c>
      <c r="T124" s="121">
        <f>VLOOKUP($B124,'Tillförd energi'!$B$1:$AI$720,MATCH(T$1,'Tillförd energi'!$B$1:$AQ$1,0),FALSE)</f>
        <v>0</v>
      </c>
      <c r="U124" s="121">
        <f>VLOOKUP($B124,'Tillförd energi'!$B$1:$AI$720,MATCH(U$1,'Tillförd energi'!$B$1:$AQ$1,0),FALSE)</f>
        <v>0</v>
      </c>
      <c r="V124" s="121">
        <f>VLOOKUP($B124,'Tillförd energi'!$B$1:$AI$720,MATCH(V$1,'Tillförd energi'!$B$1:$AQ$1,0),FALSE)</f>
        <v>0</v>
      </c>
      <c r="W124" s="121">
        <f>VLOOKUP($B124,'Tillförd energi'!$B$1:$AI$720,MATCH(W$1,'Tillförd energi'!$B$1:$AQ$1,0),FALSE)</f>
        <v>0.1</v>
      </c>
      <c r="X124" s="121">
        <f>VLOOKUP($B124,'Tillförd energi'!$B$1:$AI$720,MATCH(X$1,'Tillförd energi'!$B$1:$AQ$1,0),FALSE)</f>
        <v>0</v>
      </c>
      <c r="Y124" s="121">
        <f>VLOOKUP($B124,'Tillförd energi'!$B$1:$AI$720,MATCH(Y$1,'Tillförd energi'!$B$1:$AQ$1,0),FALSE)</f>
        <v>0</v>
      </c>
      <c r="Z124" s="121">
        <f>VLOOKUP($B124,'Tillförd energi'!$B$1:$AI$720,MATCH(Z$1,'Tillförd energi'!$B$1:$AQ$1,0),FALSE)</f>
        <v>0.7</v>
      </c>
      <c r="AA124" s="121">
        <f>VLOOKUP($B124,'Tillförd energi'!$B$1:$AI$720,MATCH(AA$1,'Tillförd energi'!$B$1:$AQ$1,0),FALSE)</f>
        <v>0</v>
      </c>
      <c r="AB124" s="121">
        <f>VLOOKUP($B124,'Tillförd energi'!$B$1:$AI$720,MATCH(AB$1,'Tillförd energi'!$B$1:$AQ$1,0),FALSE)</f>
        <v>0</v>
      </c>
      <c r="AC124" s="121">
        <f>VLOOKUP($B124,'Tillförd energi'!$B$1:$AI$720,MATCH(AC$1,'Tillförd energi'!$B$1:$AQ$1,0),FALSE)</f>
        <v>0</v>
      </c>
      <c r="AD124" s="121">
        <f>VLOOKUP($B124,'Tillförd energi'!$B$1:$AI$720,MATCH(AD$1,'Tillförd energi'!$B$1:$AQ$1,0),FALSE)</f>
        <v>0</v>
      </c>
      <c r="AE124" s="121">
        <f>VLOOKUP($B124,'Tillförd energi'!$B$1:$AI$720,MATCH(AE$1,'Tillförd energi'!$B$1:$AQ$1,0),FALSE)</f>
        <v>0</v>
      </c>
      <c r="AF124" s="121">
        <f>VLOOKUP($B124,'Tillförd energi'!$B$1:$AI$720,MATCH(AF$1,'Tillförd energi'!$B$1:$AQ$1,0),FALSE)</f>
        <v>0.55889999999999995</v>
      </c>
      <c r="AG124" s="121">
        <f>IFERROR(VLOOKUP(B124,Miljö!$B$1:$AC$550,MATCH("Köpt mängd produktionsspecifik fjärrvärme:",Miljö!$B$1:$AC$1,0),FALSE)/1,0)</f>
        <v>0</v>
      </c>
      <c r="AH124" s="121"/>
      <c r="AI124" s="121">
        <f t="shared" si="44"/>
        <v>26.006</v>
      </c>
      <c r="AJ124" s="121">
        <f t="shared" si="45"/>
        <v>26.006</v>
      </c>
      <c r="AK124" s="121">
        <f>IF(ISERROR(1/VLOOKUP($B124,Leveranser!$B$1:$S$499,MATCH("såld värme (gwh)",Leveranser!$B$1:$S$1,0),FALSE)),"",VLOOKUP($B124,Leveranser!$B$1:$S$499,MATCH("såld värme (gwh)",Leveranser!$B$1:$S$1,0),FALSE))</f>
        <v>18.63</v>
      </c>
      <c r="AL124" s="121">
        <f>VLOOKUP($B124,Leveranser!$B$1:$Y$499,MATCH("Totalt såld fjärrvärme till andra fjärrvärmeföretag",Leveranser!$B$1:$AA$1,0),FALSE)</f>
        <v>0</v>
      </c>
      <c r="AM124" s="121">
        <f>IF(ISERROR(1/VLOOKUP($B124,Miljö!$B$1:$S$500,MATCH("Såld mängd produktionsspecifik fjärrvärme (GWh)",Miljö!$B$1:$R$1,0),FALSE)),0,VLOOKUP($B124,Miljö!$B$1:$S$500,MATCH("Såld mängd produktionsspecifik fjärrvärme (GWh)",Miljö!$B$1:$R$1,0),FALSE))</f>
        <v>0</v>
      </c>
      <c r="AN124" s="172">
        <f t="shared" si="46"/>
        <v>0.71637314465892477</v>
      </c>
      <c r="AO124" s="121"/>
      <c r="AP124" s="121" t="str">
        <f>IFERROR(VLOOKUP($B124,Miljövärden!$B$2:$H$550,7,FALSE),"Nej, saknas")</f>
        <v>Ja</v>
      </c>
      <c r="AQ124" s="121" t="str">
        <f>IFERROR(VLOOKUP($B124,Miljövärden!$B$2:$H$550,6,FALSE),"Nej, saknas")</f>
        <v>Ja</v>
      </c>
      <c r="AU124">
        <f t="shared" si="47"/>
        <v>1.2588999999999999</v>
      </c>
      <c r="AV124">
        <f t="shared" si="48"/>
        <v>0</v>
      </c>
      <c r="AW124">
        <f t="shared" si="49"/>
        <v>17.647099999999998</v>
      </c>
      <c r="AX124">
        <f t="shared" si="50"/>
        <v>6.7</v>
      </c>
      <c r="AZ124">
        <f t="shared" si="51"/>
        <v>24.447099999999999</v>
      </c>
      <c r="BC124">
        <f t="shared" si="52"/>
        <v>0.3</v>
      </c>
      <c r="BD124">
        <f t="shared" si="53"/>
        <v>0</v>
      </c>
      <c r="BE124">
        <f t="shared" si="54"/>
        <v>24.447099999999999</v>
      </c>
      <c r="BF124">
        <f t="shared" si="55"/>
        <v>0</v>
      </c>
      <c r="BG124">
        <f t="shared" si="56"/>
        <v>1.2588999999999999</v>
      </c>
      <c r="BH124">
        <f>VLOOKUP(B124,Miljö!$B$1:$BX$482,MATCH("Fossilandel för ursprungspecificerad el ()",Miljö!$B$1:$I$1,0),FALSE)</f>
        <v>0</v>
      </c>
      <c r="BI124">
        <f>VLOOKUP(B124,Miljö!$B$1:$BX$482,MATCH("Kärnkraftsandel för ursprungsspecificerad el ()",Miljö!$B$1:$O$1,0),FALSE)</f>
        <v>0</v>
      </c>
      <c r="BJ124">
        <f t="shared" si="57"/>
        <v>0</v>
      </c>
      <c r="BK124" t="str">
        <f>VLOOKUP(B124,Miljö!$B$1:$O$482,MATCH("Fossil andel i procent (%)",Miljö!$B$1:$O$1,0),FALSE)</f>
        <v>ET</v>
      </c>
      <c r="BL124">
        <f t="shared" si="58"/>
        <v>26.006</v>
      </c>
      <c r="BO124" s="18">
        <f t="shared" si="59"/>
        <v>1.1535799430900561E-2</v>
      </c>
      <c r="BP124" s="18">
        <f t="shared" si="60"/>
        <v>0</v>
      </c>
      <c r="BQ124" s="18">
        <f t="shared" si="61"/>
        <v>0.98846420056909945</v>
      </c>
      <c r="BR124" s="18">
        <f t="shared" si="62"/>
        <v>0</v>
      </c>
      <c r="BT124" s="27">
        <f t="shared" si="63"/>
        <v>1</v>
      </c>
      <c r="BW124" s="18">
        <f>IF(AP124="ja",VLOOKUP(B124,Miljövärden!$B$2:$H$550,MATCH("Total andel fossilt",Miljövärden!$B$2:$H$2,0),FALSE),"")</f>
        <v>1.1535800000000001E-2</v>
      </c>
      <c r="BZ124" s="28">
        <f t="shared" si="64"/>
        <v>5.6909943944860597E-10</v>
      </c>
      <c r="CA124" s="28">
        <f t="shared" si="65"/>
        <v>0</v>
      </c>
    </row>
    <row r="125" spans="1:79" x14ac:dyDescent="0.25">
      <c r="A125" s="224" t="s">
        <v>366</v>
      </c>
      <c r="B125" s="210" t="s">
        <v>369</v>
      </c>
      <c r="C125" s="121">
        <f>VLOOKUP($B125,'Tillförd energi'!$B$1:$AI$720,MATCH(C$1,'Tillförd energi'!$B$1:$AQ$1,0),FALSE)</f>
        <v>0</v>
      </c>
      <c r="D125" s="121">
        <f>VLOOKUP($B125,'Tillförd energi'!$B$1:$AI$720,MATCH(D$1,'Tillförd energi'!$B$1:$AQ$1,0),FALSE)</f>
        <v>0.3</v>
      </c>
      <c r="E125" s="121">
        <f>VLOOKUP($B125,'Tillförd energi'!$B$1:$AI$720,MATCH(E$1,'Tillförd energi'!$B$1:$AQ$1,0),FALSE)</f>
        <v>0</v>
      </c>
      <c r="F125" s="121">
        <f>VLOOKUP($B125,'Tillförd energi'!$B$1:$AI$720,MATCH(F$1,'Tillförd energi'!$B$1:$AQ$1,0),FALSE)</f>
        <v>0</v>
      </c>
      <c r="G125" s="121">
        <f>VLOOKUP($B125,'Tillförd energi'!$B$1:$AI$720,MATCH(G$1,'Tillförd energi'!$B$1:$AQ$1,0),FALSE)</f>
        <v>0</v>
      </c>
      <c r="H125" s="121">
        <f>VLOOKUP($B125,'Tillförd energi'!$B$1:$AI$720,MATCH(H$1,'Tillförd energi'!$B$1:$AQ$1,0),FALSE)</f>
        <v>0</v>
      </c>
      <c r="I125" s="121">
        <f>VLOOKUP($B125,'Tillförd energi'!$B$1:$AI$720,MATCH(I$1,'Tillförd energi'!$B$1:$AQ$1,0),FALSE)</f>
        <v>0</v>
      </c>
      <c r="J125" s="121">
        <f>VLOOKUP($B125,'Tillförd energi'!$B$1:$AI$720,MATCH(J$1,'Tillförd energi'!$B$1:$AQ$1,0),FALSE)</f>
        <v>0</v>
      </c>
      <c r="K125" s="121">
        <f>VLOOKUP($B125,'Tillförd energi'!$B$1:$AI$720,MATCH(K$1,'Tillförd energi'!$B$1:$AQ$1,0),FALSE)</f>
        <v>0</v>
      </c>
      <c r="L125" s="121">
        <f>VLOOKUP($B125,'Tillförd energi'!$B$1:$AI$720,MATCH(L$1,'Tillförd energi'!$B$1:$AQ$1,0),FALSE)</f>
        <v>0</v>
      </c>
      <c r="M125" s="121">
        <f>VLOOKUP($B125,'Tillförd energi'!$B$1:$AI$720,MATCH(M$1,'Tillförd energi'!$B$1:$AQ$1,0),FALSE)</f>
        <v>0</v>
      </c>
      <c r="N125" s="121">
        <f>VLOOKUP($B125,'Tillförd energi'!$B$1:$AI$720,MATCH(N$1,'Tillförd energi'!$B$1:$AQ$1,0),FALSE)</f>
        <v>0</v>
      </c>
      <c r="O125" s="121">
        <f>VLOOKUP($B125,'Tillförd energi'!$B$1:$AI$720,MATCH(O$1,'Tillförd energi'!$B$1:$AQ$1,0),FALSE)</f>
        <v>0</v>
      </c>
      <c r="P125" s="121">
        <f>VLOOKUP($B125,'Tillförd energi'!$B$1:$AI$720,MATCH(P$1,'Tillförd energi'!$B$1:$AQ$1,0),FALSE)</f>
        <v>59.5</v>
      </c>
      <c r="Q125" s="121">
        <f>VLOOKUP($B125,'Tillförd energi'!$B$1:$AI$720,MATCH(Q$1,'Tillförd energi'!$B$1:$AQ$1,0),FALSE)</f>
        <v>0</v>
      </c>
      <c r="R125" s="121">
        <f>VLOOKUP($B125,'Tillförd energi'!$B$1:$AI$720,MATCH(R$1,'Tillförd energi'!$B$1:$AQ$1,0),FALSE)</f>
        <v>8.5</v>
      </c>
      <c r="S125" s="121">
        <f>VLOOKUP($B125,'Tillförd energi'!$B$1:$AI$720,MATCH(S$1,'Tillförd energi'!$B$1:$AQ$1,0),FALSE)</f>
        <v>0</v>
      </c>
      <c r="T125" s="121">
        <f>VLOOKUP($B125,'Tillförd energi'!$B$1:$AI$720,MATCH(T$1,'Tillförd energi'!$B$1:$AQ$1,0),FALSE)</f>
        <v>0</v>
      </c>
      <c r="U125" s="121">
        <f>VLOOKUP($B125,'Tillförd energi'!$B$1:$AI$720,MATCH(U$1,'Tillförd energi'!$B$1:$AQ$1,0),FALSE)</f>
        <v>0</v>
      </c>
      <c r="V125" s="121">
        <f>VLOOKUP($B125,'Tillförd energi'!$B$1:$AI$720,MATCH(V$1,'Tillförd energi'!$B$1:$AQ$1,0),FALSE)</f>
        <v>0</v>
      </c>
      <c r="W125" s="121">
        <f>VLOOKUP($B125,'Tillförd energi'!$B$1:$AI$720,MATCH(W$1,'Tillförd energi'!$B$1:$AQ$1,0),FALSE)</f>
        <v>6.8</v>
      </c>
      <c r="X125" s="121">
        <f>VLOOKUP($B125,'Tillförd energi'!$B$1:$AI$720,MATCH(X$1,'Tillförd energi'!$B$1:$AQ$1,0),FALSE)</f>
        <v>0</v>
      </c>
      <c r="Y125" s="121">
        <f>VLOOKUP($B125,'Tillförd energi'!$B$1:$AI$720,MATCH(Y$1,'Tillförd energi'!$B$1:$AQ$1,0),FALSE)</f>
        <v>0</v>
      </c>
      <c r="Z125" s="121">
        <f>VLOOKUP($B125,'Tillförd energi'!$B$1:$AI$720,MATCH(Z$1,'Tillförd energi'!$B$1:$AQ$1,0),FALSE)</f>
        <v>0.4</v>
      </c>
      <c r="AA125" s="121">
        <f>VLOOKUP($B125,'Tillförd energi'!$B$1:$AI$720,MATCH(AA$1,'Tillförd energi'!$B$1:$AQ$1,0),FALSE)</f>
        <v>0</v>
      </c>
      <c r="AB125" s="121">
        <f>VLOOKUP($B125,'Tillförd energi'!$B$1:$AI$720,MATCH(AB$1,'Tillförd energi'!$B$1:$AQ$1,0),FALSE)</f>
        <v>0</v>
      </c>
      <c r="AC125" s="121">
        <f>VLOOKUP($B125,'Tillförd energi'!$B$1:$AI$720,MATCH(AC$1,'Tillförd energi'!$B$1:$AQ$1,0),FALSE)</f>
        <v>4.8</v>
      </c>
      <c r="AD125" s="121">
        <f>VLOOKUP($B125,'Tillförd energi'!$B$1:$AI$720,MATCH(AD$1,'Tillförd energi'!$B$1:$AQ$1,0),FALSE)</f>
        <v>0</v>
      </c>
      <c r="AE125" s="121">
        <f>VLOOKUP($B125,'Tillförd energi'!$B$1:$AI$720,MATCH(AE$1,'Tillförd energi'!$B$1:$AQ$1,0),FALSE)</f>
        <v>0</v>
      </c>
      <c r="AF125" s="121">
        <f>VLOOKUP($B125,'Tillförd energi'!$B$1:$AI$720,MATCH(AF$1,'Tillförd energi'!$B$1:$AQ$1,0),FALSE)</f>
        <v>1.716</v>
      </c>
      <c r="AG125" s="121">
        <f>IFERROR(VLOOKUP(B125,Miljö!$B$1:$AC$550,MATCH("Köpt mängd produktionsspecifik fjärrvärme:",Miljö!$B$1:$AC$1,0),FALSE)/1,0)</f>
        <v>0</v>
      </c>
      <c r="AH125" s="121"/>
      <c r="AI125" s="121">
        <f t="shared" si="44"/>
        <v>82.015999999999991</v>
      </c>
      <c r="AJ125" s="121">
        <f t="shared" si="45"/>
        <v>82.015999999999991</v>
      </c>
      <c r="AK125" s="121">
        <f>IF(ISERROR(1/VLOOKUP($B125,Leveranser!$B$1:$S$499,MATCH("såld värme (gwh)",Leveranser!$B$1:$S$1,0),FALSE)),"",VLOOKUP($B125,Leveranser!$B$1:$S$499,MATCH("såld värme (gwh)",Leveranser!$B$1:$S$1,0),FALSE))</f>
        <v>57.2</v>
      </c>
      <c r="AL125" s="121">
        <f>VLOOKUP($B125,Leveranser!$B$1:$Y$499,MATCH("Totalt såld fjärrvärme till andra fjärrvärmeföretag",Leveranser!$B$1:$AA$1,0),FALSE)</f>
        <v>0</v>
      </c>
      <c r="AM125" s="121">
        <f>IF(ISERROR(1/VLOOKUP($B125,Miljö!$B$1:$S$500,MATCH("Såld mängd produktionsspecifik fjärrvärme (GWh)",Miljö!$B$1:$R$1,0),FALSE)),0,VLOOKUP($B125,Miljö!$B$1:$S$500,MATCH("Såld mängd produktionsspecifik fjärrvärme (GWh)",Miljö!$B$1:$R$1,0),FALSE))</f>
        <v>0</v>
      </c>
      <c r="AN125" s="172">
        <f t="shared" si="46"/>
        <v>0.69742489270386276</v>
      </c>
      <c r="AO125" s="121"/>
      <c r="AP125" s="121" t="str">
        <f>IFERROR(VLOOKUP($B125,Miljövärden!$B$2:$H$550,7,FALSE),"Nej, saknas")</f>
        <v>Ja</v>
      </c>
      <c r="AQ125" s="121" t="str">
        <f>IFERROR(VLOOKUP($B125,Miljövärden!$B$2:$H$550,6,FALSE),"Nej, saknas")</f>
        <v>Ja</v>
      </c>
      <c r="AU125">
        <f t="shared" si="47"/>
        <v>2.1160000000000001</v>
      </c>
      <c r="AV125">
        <f t="shared" si="48"/>
        <v>0</v>
      </c>
      <c r="AW125">
        <f t="shared" si="49"/>
        <v>59.5</v>
      </c>
      <c r="AX125">
        <f t="shared" si="50"/>
        <v>8.5</v>
      </c>
      <c r="AZ125">
        <f t="shared" si="51"/>
        <v>74.8</v>
      </c>
      <c r="BC125">
        <f t="shared" si="52"/>
        <v>0.3</v>
      </c>
      <c r="BD125">
        <f t="shared" si="53"/>
        <v>0</v>
      </c>
      <c r="BE125">
        <f t="shared" si="54"/>
        <v>74.8</v>
      </c>
      <c r="BF125">
        <f t="shared" si="55"/>
        <v>4.8</v>
      </c>
      <c r="BG125">
        <f t="shared" si="56"/>
        <v>2.1160000000000001</v>
      </c>
      <c r="BH125">
        <f>VLOOKUP(B125,Miljö!$B$1:$BX$482,MATCH("Fossilandel för ursprungspecificerad el ()",Miljö!$B$1:$I$1,0),FALSE)</f>
        <v>0</v>
      </c>
      <c r="BI125">
        <f>VLOOKUP(B125,Miljö!$B$1:$BX$482,MATCH("Kärnkraftsandel för ursprungsspecificerad el ()",Miljö!$B$1:$O$1,0),FALSE)</f>
        <v>0</v>
      </c>
      <c r="BJ125">
        <f t="shared" si="57"/>
        <v>0</v>
      </c>
      <c r="BK125" t="str">
        <f>VLOOKUP(B125,Miljö!$B$1:$O$482,MATCH("Fossil andel i procent (%)",Miljö!$B$1:$O$1,0),FALSE)</f>
        <v>ET</v>
      </c>
      <c r="BL125">
        <f t="shared" si="58"/>
        <v>82.015999999999991</v>
      </c>
      <c r="BO125" s="18">
        <f t="shared" si="59"/>
        <v>3.6578228638314476E-3</v>
      </c>
      <c r="BP125" s="18">
        <f t="shared" si="60"/>
        <v>0</v>
      </c>
      <c r="BQ125" s="18">
        <f t="shared" si="61"/>
        <v>0.9378170113148655</v>
      </c>
      <c r="BR125" s="18">
        <f t="shared" si="62"/>
        <v>5.8525165821303161E-2</v>
      </c>
      <c r="BT125" s="27">
        <f t="shared" si="63"/>
        <v>1</v>
      </c>
      <c r="BW125" s="18">
        <f>IF(AP125="ja",VLOOKUP(B125,Miljövärden!$B$2:$H$550,MATCH("Total andel fossilt",Miljövärden!$B$2:$H$2,0),FALSE),"")</f>
        <v>3.65782E-3</v>
      </c>
      <c r="BZ125" s="28">
        <f t="shared" si="64"/>
        <v>-2.8638314475935844E-9</v>
      </c>
      <c r="CA125" s="28">
        <f t="shared" si="65"/>
        <v>0</v>
      </c>
    </row>
    <row r="126" spans="1:79" x14ac:dyDescent="0.25">
      <c r="A126" s="224" t="s">
        <v>366</v>
      </c>
      <c r="B126" s="210" t="s">
        <v>370</v>
      </c>
      <c r="C126" s="121">
        <f>VLOOKUP($B126,'Tillförd energi'!$B$1:$AI$720,MATCH(C$1,'Tillförd energi'!$B$1:$AQ$1,0),FALSE)</f>
        <v>0</v>
      </c>
      <c r="D126" s="121">
        <f>VLOOKUP($B126,'Tillförd energi'!$B$1:$AI$720,MATCH(D$1,'Tillförd energi'!$B$1:$AQ$1,0),FALSE)</f>
        <v>2.9</v>
      </c>
      <c r="E126" s="121">
        <f>VLOOKUP($B126,'Tillförd energi'!$B$1:$AI$720,MATCH(E$1,'Tillförd energi'!$B$1:$AQ$1,0),FALSE)</f>
        <v>0</v>
      </c>
      <c r="F126" s="121">
        <f>VLOOKUP($B126,'Tillförd energi'!$B$1:$AI$720,MATCH(F$1,'Tillförd energi'!$B$1:$AQ$1,0),FALSE)</f>
        <v>8.1</v>
      </c>
      <c r="G126" s="121">
        <f>VLOOKUP($B126,'Tillförd energi'!$B$1:$AI$720,MATCH(G$1,'Tillförd energi'!$B$1:$AQ$1,0),FALSE)</f>
        <v>0</v>
      </c>
      <c r="H126" s="121">
        <f>VLOOKUP($B126,'Tillförd energi'!$B$1:$AI$720,MATCH(H$1,'Tillförd energi'!$B$1:$AQ$1,0),FALSE)</f>
        <v>0</v>
      </c>
      <c r="I126" s="121">
        <f>VLOOKUP($B126,'Tillförd energi'!$B$1:$AI$720,MATCH(I$1,'Tillförd energi'!$B$1:$AQ$1,0),FALSE)</f>
        <v>0</v>
      </c>
      <c r="J126" s="121">
        <f>VLOOKUP($B126,'Tillförd energi'!$B$1:$AI$720,MATCH(J$1,'Tillförd energi'!$B$1:$AQ$1,0),FALSE)</f>
        <v>0</v>
      </c>
      <c r="K126" s="121">
        <f>VLOOKUP($B126,'Tillförd energi'!$B$1:$AI$720,MATCH(K$1,'Tillförd energi'!$B$1:$AQ$1,0),FALSE)</f>
        <v>0</v>
      </c>
      <c r="L126" s="121">
        <f>VLOOKUP($B126,'Tillförd energi'!$B$1:$AI$720,MATCH(L$1,'Tillförd energi'!$B$1:$AQ$1,0),FALSE)</f>
        <v>66.3078</v>
      </c>
      <c r="M126" s="121">
        <f>VLOOKUP($B126,'Tillförd energi'!$B$1:$AI$720,MATCH(M$1,'Tillförd energi'!$B$1:$AQ$1,0),FALSE)</f>
        <v>77.185400000000001</v>
      </c>
      <c r="N126" s="121">
        <f>VLOOKUP($B126,'Tillförd energi'!$B$1:$AI$720,MATCH(N$1,'Tillförd energi'!$B$1:$AQ$1,0),FALSE)</f>
        <v>19.9954</v>
      </c>
      <c r="O126" s="121">
        <f>VLOOKUP($B126,'Tillförd energi'!$B$1:$AI$720,MATCH(O$1,'Tillförd energi'!$B$1:$AQ$1,0),FALSE)</f>
        <v>71.988600000000005</v>
      </c>
      <c r="P126" s="121">
        <f>VLOOKUP($B126,'Tillförd energi'!$B$1:$AI$720,MATCH(P$1,'Tillförd energi'!$B$1:$AQ$1,0),FALSE)</f>
        <v>130.351</v>
      </c>
      <c r="Q126" s="121">
        <f>VLOOKUP($B126,'Tillförd energi'!$B$1:$AI$720,MATCH(Q$1,'Tillförd energi'!$B$1:$AQ$1,0),FALSE)</f>
        <v>0</v>
      </c>
      <c r="R126" s="121">
        <f>VLOOKUP($B126,'Tillförd energi'!$B$1:$AI$720,MATCH(R$1,'Tillförd energi'!$B$1:$AQ$1,0),FALSE)</f>
        <v>0</v>
      </c>
      <c r="S126" s="121">
        <f>VLOOKUP($B126,'Tillförd energi'!$B$1:$AI$720,MATCH(S$1,'Tillförd energi'!$B$1:$AQ$1,0),FALSE)</f>
        <v>0</v>
      </c>
      <c r="T126" s="121">
        <f>VLOOKUP($B126,'Tillförd energi'!$B$1:$AI$720,MATCH(T$1,'Tillförd energi'!$B$1:$AQ$1,0),FALSE)</f>
        <v>0</v>
      </c>
      <c r="U126" s="121">
        <f>VLOOKUP($B126,'Tillförd energi'!$B$1:$AI$720,MATCH(U$1,'Tillförd energi'!$B$1:$AQ$1,0),FALSE)</f>
        <v>0</v>
      </c>
      <c r="V126" s="121">
        <f>VLOOKUP($B126,'Tillförd energi'!$B$1:$AI$720,MATCH(V$1,'Tillförd energi'!$B$1:$AQ$1,0),FALSE)</f>
        <v>0</v>
      </c>
      <c r="W126" s="121">
        <f>VLOOKUP($B126,'Tillförd energi'!$B$1:$AI$720,MATCH(W$1,'Tillförd energi'!$B$1:$AQ$1,0),FALSE)</f>
        <v>1.2</v>
      </c>
      <c r="X126" s="121">
        <f>VLOOKUP($B126,'Tillförd energi'!$B$1:$AI$720,MATCH(X$1,'Tillförd energi'!$B$1:$AQ$1,0),FALSE)</f>
        <v>0</v>
      </c>
      <c r="Y126" s="121">
        <f>VLOOKUP($B126,'Tillförd energi'!$B$1:$AI$720,MATCH(Y$1,'Tillförd energi'!$B$1:$AQ$1,0),FALSE)</f>
        <v>28.8704</v>
      </c>
      <c r="Z126" s="121">
        <f>VLOOKUP($B126,'Tillförd energi'!$B$1:$AI$720,MATCH(Z$1,'Tillförd energi'!$B$1:$AQ$1,0),FALSE)</f>
        <v>0</v>
      </c>
      <c r="AA126" s="121">
        <f>VLOOKUP($B126,'Tillförd energi'!$B$1:$AI$720,MATCH(AA$1,'Tillförd energi'!$B$1:$AQ$1,0),FALSE)</f>
        <v>0</v>
      </c>
      <c r="AB126" s="121">
        <f>VLOOKUP($B126,'Tillförd energi'!$B$1:$AI$720,MATCH(AB$1,'Tillförd energi'!$B$1:$AQ$1,0),FALSE)</f>
        <v>0</v>
      </c>
      <c r="AC126" s="121">
        <f>VLOOKUP($B126,'Tillförd energi'!$B$1:$AI$720,MATCH(AC$1,'Tillförd energi'!$B$1:$AQ$1,0),FALSE)</f>
        <v>124.3</v>
      </c>
      <c r="AD126" s="121">
        <f>VLOOKUP($B126,'Tillförd energi'!$B$1:$AI$720,MATCH(AD$1,'Tillförd energi'!$B$1:$AQ$1,0),FALSE)</f>
        <v>4.5</v>
      </c>
      <c r="AE126" s="121">
        <f>VLOOKUP($B126,'Tillförd energi'!$B$1:$AI$720,MATCH(AE$1,'Tillförd energi'!$B$1:$AQ$1,0),FALSE)</f>
        <v>0</v>
      </c>
      <c r="AF126" s="121">
        <f>VLOOKUP($B126,'Tillförd energi'!$B$1:$AI$720,MATCH(AF$1,'Tillförd energi'!$B$1:$AQ$1,0),FALSE)</f>
        <v>16.534199999999998</v>
      </c>
      <c r="AG126" s="121">
        <f>IFERROR(VLOOKUP(B126,Miljö!$B$1:$AC$550,MATCH("Köpt mängd produktionsspecifik fjärrvärme:",Miljö!$B$1:$AC$1,0),FALSE)/1,0)</f>
        <v>0</v>
      </c>
      <c r="AH126" s="121"/>
      <c r="AI126" s="121">
        <f t="shared" si="44"/>
        <v>552.2328</v>
      </c>
      <c r="AJ126" s="121">
        <f t="shared" si="45"/>
        <v>552.2328</v>
      </c>
      <c r="AK126" s="121">
        <f>IF(ISERROR(1/VLOOKUP($B126,Leveranser!$B$1:$S$499,MATCH("såld värme (gwh)",Leveranser!$B$1:$S$1,0),FALSE)),"",VLOOKUP($B126,Leveranser!$B$1:$S$499,MATCH("såld värme (gwh)",Leveranser!$B$1:$S$1,0),FALSE))</f>
        <v>551.14</v>
      </c>
      <c r="AL126" s="121">
        <f>VLOOKUP($B126,Leveranser!$B$1:$Y$499,MATCH("Totalt såld fjärrvärme till andra fjärrvärmeföretag",Leveranser!$B$1:$AA$1,0),FALSE)</f>
        <v>0</v>
      </c>
      <c r="AM126" s="121">
        <f>IF(ISERROR(1/VLOOKUP($B126,Miljö!$B$1:$S$500,MATCH("Såld mängd produktionsspecifik fjärrvärme (GWh)",Miljö!$B$1:$R$1,0),FALSE)),0,VLOOKUP($B126,Miljö!$B$1:$S$500,MATCH("Såld mängd produktionsspecifik fjärrvärme (GWh)",Miljö!$B$1:$R$1,0),FALSE))</f>
        <v>1.738</v>
      </c>
      <c r="AN126" s="172">
        <f t="shared" si="46"/>
        <v>0.99802112442433699</v>
      </c>
      <c r="AO126" s="121"/>
      <c r="AP126" s="121" t="str">
        <f>IFERROR(VLOOKUP($B126,Miljövärden!$B$2:$H$550,7,FALSE),"Nej, saknas")</f>
        <v>Ja</v>
      </c>
      <c r="AQ126" s="121" t="str">
        <f>IFERROR(VLOOKUP($B126,Miljövärden!$B$2:$H$550,6,FALSE),"Nej, saknas")</f>
        <v>Ja</v>
      </c>
      <c r="AU126">
        <f t="shared" si="47"/>
        <v>16.534199999999998</v>
      </c>
      <c r="AV126">
        <f t="shared" si="48"/>
        <v>0</v>
      </c>
      <c r="AW126">
        <f t="shared" si="49"/>
        <v>299.5204</v>
      </c>
      <c r="AX126">
        <f t="shared" si="50"/>
        <v>0</v>
      </c>
      <c r="AZ126">
        <f t="shared" si="51"/>
        <v>367.02819999999997</v>
      </c>
      <c r="BC126">
        <f t="shared" si="52"/>
        <v>11</v>
      </c>
      <c r="BD126">
        <f t="shared" si="53"/>
        <v>28.8704</v>
      </c>
      <c r="BE126">
        <f t="shared" si="54"/>
        <v>300.72039999999998</v>
      </c>
      <c r="BF126">
        <f t="shared" si="55"/>
        <v>195.1078</v>
      </c>
      <c r="BG126">
        <f t="shared" si="56"/>
        <v>16.534199999999998</v>
      </c>
      <c r="BH126">
        <f>VLOOKUP(B126,Miljö!$B$1:$BX$482,MATCH("Fossilandel för ursprungspecificerad el ()",Miljö!$B$1:$I$1,0),FALSE)</f>
        <v>0</v>
      </c>
      <c r="BI126">
        <f>VLOOKUP(B126,Miljö!$B$1:$BX$482,MATCH("Kärnkraftsandel för ursprungsspecificerad el ()",Miljö!$B$1:$O$1,0),FALSE)</f>
        <v>0</v>
      </c>
      <c r="BJ126">
        <f t="shared" si="57"/>
        <v>0</v>
      </c>
      <c r="BK126" t="str">
        <f>VLOOKUP(B126,Miljö!$B$1:$O$482,MATCH("Fossil andel i procent (%)",Miljö!$B$1:$O$1,0),FALSE)</f>
        <v>ET</v>
      </c>
      <c r="BL126">
        <f t="shared" si="58"/>
        <v>552.2328</v>
      </c>
      <c r="BO126" s="18">
        <f t="shared" si="59"/>
        <v>1.9919135552976933E-2</v>
      </c>
      <c r="BP126" s="18">
        <f t="shared" si="60"/>
        <v>5.2279401006242295E-2</v>
      </c>
      <c r="BQ126" s="18">
        <f t="shared" si="61"/>
        <v>0.57449430747322505</v>
      </c>
      <c r="BR126" s="18">
        <f t="shared" si="62"/>
        <v>0.35330715596755569</v>
      </c>
      <c r="BT126" s="27">
        <f t="shared" si="63"/>
        <v>1</v>
      </c>
      <c r="BW126" s="18">
        <f>IF(AP126="ja",VLOOKUP(B126,Miljövärden!$B$2:$H$550,MATCH("Total andel fossilt",Miljövärden!$B$2:$H$2,0),FALSE),"")</f>
        <v>1.9982E-2</v>
      </c>
      <c r="BZ126" s="28">
        <f t="shared" si="64"/>
        <v>6.2864447023067149E-5</v>
      </c>
      <c r="CA126" s="28">
        <f t="shared" si="65"/>
        <v>0</v>
      </c>
    </row>
    <row r="127" spans="1:79" x14ac:dyDescent="0.25">
      <c r="A127" s="224" t="s">
        <v>371</v>
      </c>
      <c r="B127" s="210" t="s">
        <v>81</v>
      </c>
      <c r="C127" s="121">
        <f>VLOOKUP($B127,'Tillförd energi'!$B$1:$AI$720,MATCH(C$1,'Tillförd energi'!$B$1:$AQ$1,0),FALSE)</f>
        <v>0</v>
      </c>
      <c r="D127" s="121">
        <f>VLOOKUP($B127,'Tillförd energi'!$B$1:$AI$720,MATCH(D$1,'Tillförd energi'!$B$1:$AQ$1,0),FALSE)</f>
        <v>1</v>
      </c>
      <c r="E127" s="121">
        <f>VLOOKUP($B127,'Tillförd energi'!$B$1:$AI$720,MATCH(E$1,'Tillförd energi'!$B$1:$AQ$1,0),FALSE)</f>
        <v>0</v>
      </c>
      <c r="F127" s="121">
        <f>VLOOKUP($B127,'Tillförd energi'!$B$1:$AI$720,MATCH(F$1,'Tillförd energi'!$B$1:$AQ$1,0),FALSE)</f>
        <v>0</v>
      </c>
      <c r="G127" s="121">
        <f>VLOOKUP($B127,'Tillförd energi'!$B$1:$AI$720,MATCH(G$1,'Tillförd energi'!$B$1:$AQ$1,0),FALSE)</f>
        <v>0</v>
      </c>
      <c r="H127" s="121">
        <f>VLOOKUP($B127,'Tillförd energi'!$B$1:$AI$720,MATCH(H$1,'Tillförd energi'!$B$1:$AQ$1,0),FALSE)</f>
        <v>0</v>
      </c>
      <c r="I127" s="121">
        <f>VLOOKUP($B127,'Tillförd energi'!$B$1:$AI$720,MATCH(I$1,'Tillförd energi'!$B$1:$AQ$1,0),FALSE)</f>
        <v>0</v>
      </c>
      <c r="J127" s="121">
        <f>VLOOKUP($B127,'Tillförd energi'!$B$1:$AI$720,MATCH(J$1,'Tillförd energi'!$B$1:$AQ$1,0),FALSE)</f>
        <v>0</v>
      </c>
      <c r="K127" s="121">
        <f>VLOOKUP($B127,'Tillförd energi'!$B$1:$AI$720,MATCH(K$1,'Tillförd energi'!$B$1:$AQ$1,0),FALSE)</f>
        <v>0</v>
      </c>
      <c r="L127" s="121">
        <f>VLOOKUP($B127,'Tillförd energi'!$B$1:$AI$720,MATCH(L$1,'Tillförd energi'!$B$1:$AQ$1,0),FALSE)</f>
        <v>0</v>
      </c>
      <c r="M127" s="121">
        <f>VLOOKUP($B127,'Tillförd energi'!$B$1:$AI$720,MATCH(M$1,'Tillförd energi'!$B$1:$AQ$1,0),FALSE)</f>
        <v>0</v>
      </c>
      <c r="N127" s="121">
        <f>VLOOKUP($B127,'Tillförd energi'!$B$1:$AI$720,MATCH(N$1,'Tillförd energi'!$B$1:$AQ$1,0),FALSE)</f>
        <v>0</v>
      </c>
      <c r="O127" s="121">
        <f>VLOOKUP($B127,'Tillförd energi'!$B$1:$AI$720,MATCH(O$1,'Tillförd energi'!$B$1:$AQ$1,0),FALSE)</f>
        <v>16.899999999999999</v>
      </c>
      <c r="P127" s="121">
        <f>VLOOKUP($B127,'Tillförd energi'!$B$1:$AI$720,MATCH(P$1,'Tillförd energi'!$B$1:$AQ$1,0),FALSE)</f>
        <v>16.5</v>
      </c>
      <c r="Q127" s="121">
        <f>VLOOKUP($B127,'Tillförd energi'!$B$1:$AI$720,MATCH(Q$1,'Tillförd energi'!$B$1:$AQ$1,0),FALSE)</f>
        <v>30.8</v>
      </c>
      <c r="R127" s="121">
        <f>VLOOKUP($B127,'Tillförd energi'!$B$1:$AI$720,MATCH(R$1,'Tillförd energi'!$B$1:$AQ$1,0),FALSE)</f>
        <v>12</v>
      </c>
      <c r="S127" s="121">
        <f>VLOOKUP($B127,'Tillförd energi'!$B$1:$AI$720,MATCH(S$1,'Tillförd energi'!$B$1:$AQ$1,0),FALSE)</f>
        <v>0</v>
      </c>
      <c r="T127" s="121">
        <f>VLOOKUP($B127,'Tillförd energi'!$B$1:$AI$720,MATCH(T$1,'Tillförd energi'!$B$1:$AQ$1,0),FALSE)</f>
        <v>0</v>
      </c>
      <c r="U127" s="121">
        <f>VLOOKUP($B127,'Tillförd energi'!$B$1:$AI$720,MATCH(U$1,'Tillförd energi'!$B$1:$AQ$1,0),FALSE)</f>
        <v>0</v>
      </c>
      <c r="V127" s="121">
        <f>VLOOKUP($B127,'Tillförd energi'!$B$1:$AI$720,MATCH(V$1,'Tillförd energi'!$B$1:$AQ$1,0),FALSE)</f>
        <v>0</v>
      </c>
      <c r="W127" s="121">
        <f>VLOOKUP($B127,'Tillförd energi'!$B$1:$AI$720,MATCH(W$1,'Tillförd energi'!$B$1:$AQ$1,0),FALSE)</f>
        <v>4.47</v>
      </c>
      <c r="X127" s="121">
        <f>VLOOKUP($B127,'Tillförd energi'!$B$1:$AI$720,MATCH(X$1,'Tillförd energi'!$B$1:$AQ$1,0),FALSE)</f>
        <v>0</v>
      </c>
      <c r="Y127" s="121">
        <f>VLOOKUP($B127,'Tillförd energi'!$B$1:$AI$720,MATCH(Y$1,'Tillförd energi'!$B$1:$AQ$1,0),FALSE)</f>
        <v>0</v>
      </c>
      <c r="Z127" s="121">
        <f>VLOOKUP($B127,'Tillförd energi'!$B$1:$AI$720,MATCH(Z$1,'Tillförd energi'!$B$1:$AQ$1,0),FALSE)</f>
        <v>0</v>
      </c>
      <c r="AA127" s="121">
        <f>VLOOKUP($B127,'Tillförd energi'!$B$1:$AI$720,MATCH(AA$1,'Tillförd energi'!$B$1:$AQ$1,0),FALSE)</f>
        <v>0</v>
      </c>
      <c r="AB127" s="121">
        <f>VLOOKUP($B127,'Tillförd energi'!$B$1:$AI$720,MATCH(AB$1,'Tillförd energi'!$B$1:$AQ$1,0),FALSE)</f>
        <v>0</v>
      </c>
      <c r="AC127" s="121">
        <f>VLOOKUP($B127,'Tillförd energi'!$B$1:$AI$720,MATCH(AC$1,'Tillförd energi'!$B$1:$AQ$1,0),FALSE)</f>
        <v>2.2000000000000002</v>
      </c>
      <c r="AD127" s="121">
        <f>VLOOKUP($B127,'Tillförd energi'!$B$1:$AI$720,MATCH(AD$1,'Tillförd energi'!$B$1:$AQ$1,0),FALSE)</f>
        <v>0</v>
      </c>
      <c r="AE127" s="121">
        <f>VLOOKUP($B127,'Tillförd energi'!$B$1:$AI$720,MATCH(AE$1,'Tillförd energi'!$B$1:$AQ$1,0),FALSE)</f>
        <v>0</v>
      </c>
      <c r="AF127" s="121">
        <f>VLOOKUP($B127,'Tillförd energi'!$B$1:$AI$720,MATCH(AF$1,'Tillförd energi'!$B$1:$AQ$1,0),FALSE)</f>
        <v>1.671</v>
      </c>
      <c r="AG127" s="121">
        <f>IFERROR(VLOOKUP(B127,Miljö!$B$1:$AC$550,MATCH("Köpt mängd produktionsspecifik fjärrvärme:",Miljö!$B$1:$AC$1,0),FALSE)/1,0)</f>
        <v>0</v>
      </c>
      <c r="AH127" s="121"/>
      <c r="AI127" s="121">
        <f t="shared" si="44"/>
        <v>85.541000000000011</v>
      </c>
      <c r="AJ127" s="121">
        <f t="shared" si="45"/>
        <v>85.541000000000011</v>
      </c>
      <c r="AK127" s="121">
        <f>IF(ISERROR(1/VLOOKUP($B127,Leveranser!$B$1:$S$499,MATCH("såld värme (gwh)",Leveranser!$B$1:$S$1,0),FALSE)),"",VLOOKUP($B127,Leveranser!$B$1:$S$499,MATCH("såld värme (gwh)",Leveranser!$B$1:$S$1,0),FALSE))</f>
        <v>55.7</v>
      </c>
      <c r="AL127" s="121">
        <f>VLOOKUP($B127,Leveranser!$B$1:$Y$499,MATCH("Totalt såld fjärrvärme till andra fjärrvärmeföretag",Leveranser!$B$1:$AA$1,0),FALSE)</f>
        <v>0</v>
      </c>
      <c r="AM127" s="121">
        <f>IF(ISERROR(1/VLOOKUP($B127,Miljö!$B$1:$S$500,MATCH("Såld mängd produktionsspecifik fjärrvärme (GWh)",Miljö!$B$1:$R$1,0),FALSE)),0,VLOOKUP($B127,Miljö!$B$1:$S$500,MATCH("Såld mängd produktionsspecifik fjärrvärme (GWh)",Miljö!$B$1:$R$1,0),FALSE))</f>
        <v>0</v>
      </c>
      <c r="AN127" s="172">
        <f t="shared" si="46"/>
        <v>0.65114974105984258</v>
      </c>
      <c r="AO127" s="121"/>
      <c r="AP127" s="121" t="str">
        <f>IFERROR(VLOOKUP($B127,Miljövärden!$B$2:$H$550,7,FALSE),"Nej, saknas")</f>
        <v>Ja</v>
      </c>
      <c r="AQ127" s="121" t="str">
        <f>IFERROR(VLOOKUP($B127,Miljövärden!$B$2:$H$550,6,FALSE),"Nej, saknas")</f>
        <v>Nej</v>
      </c>
      <c r="AU127">
        <f t="shared" si="47"/>
        <v>1.671</v>
      </c>
      <c r="AV127">
        <f t="shared" si="48"/>
        <v>0</v>
      </c>
      <c r="AW127">
        <f t="shared" si="49"/>
        <v>64.2</v>
      </c>
      <c r="AX127">
        <f t="shared" si="50"/>
        <v>12</v>
      </c>
      <c r="AZ127">
        <f t="shared" si="51"/>
        <v>80.67</v>
      </c>
      <c r="BC127">
        <f t="shared" si="52"/>
        <v>1</v>
      </c>
      <c r="BD127">
        <f t="shared" si="53"/>
        <v>0</v>
      </c>
      <c r="BE127">
        <f t="shared" si="54"/>
        <v>80.67</v>
      </c>
      <c r="BF127">
        <f t="shared" si="55"/>
        <v>2.2000000000000002</v>
      </c>
      <c r="BG127">
        <f t="shared" si="56"/>
        <v>1.671</v>
      </c>
      <c r="BH127">
        <f>VLOOKUP(B127,Miljö!$B$1:$BX$482,MATCH("Fossilandel för ursprungspecificerad el ()",Miljö!$B$1:$I$1,0),FALSE)</f>
        <v>0.43</v>
      </c>
      <c r="BI127">
        <f>VLOOKUP(B127,Miljö!$B$1:$BX$482,MATCH("Kärnkraftsandel för ursprungsspecificerad el ()",Miljö!$B$1:$O$1,0),FALSE)</f>
        <v>0.40550000000000003</v>
      </c>
      <c r="BJ127">
        <f t="shared" si="57"/>
        <v>0</v>
      </c>
      <c r="BK127" t="str">
        <f>VLOOKUP(B127,Miljö!$B$1:$O$482,MATCH("Fossil andel i procent (%)",Miljö!$B$1:$O$1,0),FALSE)</f>
        <v>ET</v>
      </c>
      <c r="BL127">
        <f t="shared" si="58"/>
        <v>85.541000000000011</v>
      </c>
      <c r="BO127" s="18">
        <f t="shared" si="59"/>
        <v>2.0090132217299304E-2</v>
      </c>
      <c r="BP127" s="18">
        <f t="shared" si="60"/>
        <v>7.9212365999929858E-3</v>
      </c>
      <c r="BQ127" s="18">
        <f t="shared" si="61"/>
        <v>0.94626996995592738</v>
      </c>
      <c r="BR127" s="18">
        <f t="shared" si="62"/>
        <v>2.571866122678014E-2</v>
      </c>
      <c r="BT127" s="27">
        <f t="shared" si="63"/>
        <v>0.99999999999999978</v>
      </c>
      <c r="BW127" s="18">
        <f>IF(AP127="ja",VLOOKUP(B127,Miljövärden!$B$2:$H$550,MATCH("Total andel fossilt",Miljövärden!$B$2:$H$2,0),FALSE),"")</f>
        <v>2.00901E-2</v>
      </c>
      <c r="BZ127" s="28">
        <f t="shared" si="64"/>
        <v>-3.2217299304054814E-8</v>
      </c>
      <c r="CA127" s="28">
        <f t="shared" si="65"/>
        <v>0</v>
      </c>
    </row>
    <row r="128" spans="1:79" x14ac:dyDescent="0.25">
      <c r="A128" s="224" t="s">
        <v>372</v>
      </c>
      <c r="B128" s="210" t="s">
        <v>373</v>
      </c>
      <c r="C128" s="121">
        <f>VLOOKUP($B128,'Tillförd energi'!$B$1:$AI$720,MATCH(C$1,'Tillförd energi'!$B$1:$AQ$1,0),FALSE)</f>
        <v>0</v>
      </c>
      <c r="D128" s="121">
        <f>VLOOKUP($B128,'Tillförd energi'!$B$1:$AI$720,MATCH(D$1,'Tillförd energi'!$B$1:$AQ$1,0),FALSE)</f>
        <v>0.28000000000000003</v>
      </c>
      <c r="E128" s="121">
        <f>VLOOKUP($B128,'Tillförd energi'!$B$1:$AI$720,MATCH(E$1,'Tillförd energi'!$B$1:$AQ$1,0),FALSE)</f>
        <v>0</v>
      </c>
      <c r="F128" s="121">
        <f>VLOOKUP($B128,'Tillförd energi'!$B$1:$AI$720,MATCH(F$1,'Tillförd energi'!$B$1:$AQ$1,0),FALSE)</f>
        <v>0</v>
      </c>
      <c r="G128" s="121">
        <f>VLOOKUP($B128,'Tillförd energi'!$B$1:$AI$720,MATCH(G$1,'Tillförd energi'!$B$1:$AQ$1,0),FALSE)</f>
        <v>0</v>
      </c>
      <c r="H128" s="121">
        <f>VLOOKUP($B128,'Tillförd energi'!$B$1:$AI$720,MATCH(H$1,'Tillförd energi'!$B$1:$AQ$1,0),FALSE)</f>
        <v>0</v>
      </c>
      <c r="I128" s="121">
        <f>VLOOKUP($B128,'Tillförd energi'!$B$1:$AI$720,MATCH(I$1,'Tillförd energi'!$B$1:$AQ$1,0),FALSE)</f>
        <v>0</v>
      </c>
      <c r="J128" s="121">
        <f>VLOOKUP($B128,'Tillförd energi'!$B$1:$AI$720,MATCH(J$1,'Tillförd energi'!$B$1:$AQ$1,0),FALSE)</f>
        <v>0</v>
      </c>
      <c r="K128" s="121">
        <f>VLOOKUP($B128,'Tillförd energi'!$B$1:$AI$720,MATCH(K$1,'Tillförd energi'!$B$1:$AQ$1,0),FALSE)</f>
        <v>0</v>
      </c>
      <c r="L128" s="121">
        <f>VLOOKUP($B128,'Tillförd energi'!$B$1:$AI$720,MATCH(L$1,'Tillförd energi'!$B$1:$AQ$1,0),FALSE)</f>
        <v>0</v>
      </c>
      <c r="M128" s="121">
        <f>VLOOKUP($B128,'Tillförd energi'!$B$1:$AI$720,MATCH(M$1,'Tillförd energi'!$B$1:$AQ$1,0),FALSE)</f>
        <v>0</v>
      </c>
      <c r="N128" s="121">
        <f>VLOOKUP($B128,'Tillförd energi'!$B$1:$AI$720,MATCH(N$1,'Tillförd energi'!$B$1:$AQ$1,0),FALSE)</f>
        <v>0</v>
      </c>
      <c r="O128" s="121">
        <f>VLOOKUP($B128,'Tillförd energi'!$B$1:$AI$720,MATCH(O$1,'Tillförd energi'!$B$1:$AQ$1,0),FALSE)</f>
        <v>0</v>
      </c>
      <c r="P128" s="121">
        <f>VLOOKUP($B128,'Tillförd energi'!$B$1:$AI$720,MATCH(P$1,'Tillförd energi'!$B$1:$AQ$1,0),FALSE)</f>
        <v>15.32</v>
      </c>
      <c r="Q128" s="121">
        <f>VLOOKUP($B128,'Tillförd energi'!$B$1:$AI$720,MATCH(Q$1,'Tillförd energi'!$B$1:$AQ$1,0),FALSE)</f>
        <v>0</v>
      </c>
      <c r="R128" s="121">
        <f>VLOOKUP($B128,'Tillförd energi'!$B$1:$AI$720,MATCH(R$1,'Tillförd energi'!$B$1:$AQ$1,0),FALSE)</f>
        <v>0</v>
      </c>
      <c r="S128" s="121">
        <f>VLOOKUP($B128,'Tillförd energi'!$B$1:$AI$720,MATCH(S$1,'Tillförd energi'!$B$1:$AQ$1,0),FALSE)</f>
        <v>0</v>
      </c>
      <c r="T128" s="121">
        <f>VLOOKUP($B128,'Tillförd energi'!$B$1:$AI$720,MATCH(T$1,'Tillförd energi'!$B$1:$AQ$1,0),FALSE)</f>
        <v>0</v>
      </c>
      <c r="U128" s="121">
        <f>VLOOKUP($B128,'Tillförd energi'!$B$1:$AI$720,MATCH(U$1,'Tillförd energi'!$B$1:$AQ$1,0),FALSE)</f>
        <v>0</v>
      </c>
      <c r="V128" s="121">
        <f>VLOOKUP($B128,'Tillförd energi'!$B$1:$AI$720,MATCH(V$1,'Tillförd energi'!$B$1:$AQ$1,0),FALSE)</f>
        <v>0</v>
      </c>
      <c r="W128" s="121">
        <f>VLOOKUP($B128,'Tillförd energi'!$B$1:$AI$720,MATCH(W$1,'Tillförd energi'!$B$1:$AQ$1,0),FALSE)</f>
        <v>0</v>
      </c>
      <c r="X128" s="121">
        <f>VLOOKUP($B128,'Tillförd energi'!$B$1:$AI$720,MATCH(X$1,'Tillförd energi'!$B$1:$AQ$1,0),FALSE)</f>
        <v>0</v>
      </c>
      <c r="Y128" s="121">
        <f>VLOOKUP($B128,'Tillförd energi'!$B$1:$AI$720,MATCH(Y$1,'Tillförd energi'!$B$1:$AQ$1,0),FALSE)</f>
        <v>0</v>
      </c>
      <c r="Z128" s="121">
        <f>VLOOKUP($B128,'Tillförd energi'!$B$1:$AI$720,MATCH(Z$1,'Tillförd energi'!$B$1:$AQ$1,0),FALSE)</f>
        <v>0</v>
      </c>
      <c r="AA128" s="121">
        <f>VLOOKUP($B128,'Tillförd energi'!$B$1:$AI$720,MATCH(AA$1,'Tillförd energi'!$B$1:$AQ$1,0),FALSE)</f>
        <v>0</v>
      </c>
      <c r="AB128" s="121">
        <f>VLOOKUP($B128,'Tillförd energi'!$B$1:$AI$720,MATCH(AB$1,'Tillförd energi'!$B$1:$AQ$1,0),FALSE)</f>
        <v>0</v>
      </c>
      <c r="AC128" s="121">
        <f>VLOOKUP($B128,'Tillförd energi'!$B$1:$AI$720,MATCH(AC$1,'Tillförd energi'!$B$1:$AQ$1,0),FALSE)</f>
        <v>2.4300000000000002</v>
      </c>
      <c r="AD128" s="121">
        <f>VLOOKUP($B128,'Tillförd energi'!$B$1:$AI$720,MATCH(AD$1,'Tillförd energi'!$B$1:$AQ$1,0),FALSE)</f>
        <v>0</v>
      </c>
      <c r="AE128" s="121">
        <f>VLOOKUP($B128,'Tillförd energi'!$B$1:$AI$720,MATCH(AE$1,'Tillförd energi'!$B$1:$AQ$1,0),FALSE)</f>
        <v>0</v>
      </c>
      <c r="AF128" s="121">
        <f>VLOOKUP($B128,'Tillförd energi'!$B$1:$AI$720,MATCH(AF$1,'Tillförd energi'!$B$1:$AQ$1,0),FALSE)</f>
        <v>0.49</v>
      </c>
      <c r="AG128" s="121">
        <f>IFERROR(VLOOKUP(B128,Miljö!$B$1:$AC$550,MATCH("Köpt mängd produktionsspecifik fjärrvärme:",Miljö!$B$1:$AC$1,0),FALSE)/1,0)</f>
        <v>0</v>
      </c>
      <c r="AH128" s="121"/>
      <c r="AI128" s="121">
        <f t="shared" si="44"/>
        <v>18.52</v>
      </c>
      <c r="AJ128" s="121">
        <f t="shared" si="45"/>
        <v>18.52</v>
      </c>
      <c r="AK128" s="121">
        <f>IF(ISERROR(1/VLOOKUP($B128,Leveranser!$B$1:$S$499,MATCH("såld värme (gwh)",Leveranser!$B$1:$S$1,0),FALSE)),"",VLOOKUP($B128,Leveranser!$B$1:$S$499,MATCH("såld värme (gwh)",Leveranser!$B$1:$S$1,0),FALSE))</f>
        <v>11.7</v>
      </c>
      <c r="AL128" s="121">
        <f>VLOOKUP($B128,Leveranser!$B$1:$Y$499,MATCH("Totalt såld fjärrvärme till andra fjärrvärmeföretag",Leveranser!$B$1:$AA$1,0),FALSE)</f>
        <v>0</v>
      </c>
      <c r="AM128" s="121">
        <f>IF(ISERROR(1/VLOOKUP($B128,Miljö!$B$1:$S$500,MATCH("Såld mängd produktionsspecifik fjärrvärme (GWh)",Miljö!$B$1:$R$1,0),FALSE)),0,VLOOKUP($B128,Miljö!$B$1:$S$500,MATCH("Såld mängd produktionsspecifik fjärrvärme (GWh)",Miljö!$B$1:$R$1,0),FALSE))</f>
        <v>0</v>
      </c>
      <c r="AN128" s="172">
        <f t="shared" si="46"/>
        <v>0.63174946004319654</v>
      </c>
      <c r="AO128" s="121"/>
      <c r="AP128" s="121" t="str">
        <f>IFERROR(VLOOKUP($B128,Miljövärden!$B$2:$H$550,7,FALSE),"Nej, saknas")</f>
        <v>Ja</v>
      </c>
      <c r="AQ128" s="121" t="str">
        <f>IFERROR(VLOOKUP($B128,Miljövärden!$B$2:$H$550,6,FALSE),"Nej, saknas")</f>
        <v>Nej</v>
      </c>
      <c r="AU128">
        <f t="shared" si="47"/>
        <v>0.49</v>
      </c>
      <c r="AV128">
        <f t="shared" si="48"/>
        <v>0</v>
      </c>
      <c r="AW128">
        <f t="shared" si="49"/>
        <v>15.32</v>
      </c>
      <c r="AX128">
        <f t="shared" si="50"/>
        <v>0</v>
      </c>
      <c r="AZ128">
        <f t="shared" si="51"/>
        <v>15.32</v>
      </c>
      <c r="BC128">
        <f t="shared" si="52"/>
        <v>0.28000000000000003</v>
      </c>
      <c r="BD128">
        <f t="shared" si="53"/>
        <v>0</v>
      </c>
      <c r="BE128">
        <f t="shared" si="54"/>
        <v>15.32</v>
      </c>
      <c r="BF128">
        <f t="shared" si="55"/>
        <v>2.4300000000000002</v>
      </c>
      <c r="BG128">
        <f t="shared" si="56"/>
        <v>0.49</v>
      </c>
      <c r="BH128">
        <f>VLOOKUP(B128,Miljö!$B$1:$BX$482,MATCH("Fossilandel för ursprungspecificerad el ()",Miljö!$B$1:$I$1,0),FALSE)</f>
        <v>0</v>
      </c>
      <c r="BI128">
        <f>VLOOKUP(B128,Miljö!$B$1:$BX$482,MATCH("Kärnkraftsandel för ursprungsspecificerad el ()",Miljö!$B$1:$O$1,0),FALSE)</f>
        <v>0</v>
      </c>
      <c r="BJ128">
        <f t="shared" si="57"/>
        <v>0</v>
      </c>
      <c r="BK128" t="str">
        <f>VLOOKUP(B128,Miljö!$B$1:$O$482,MATCH("Fossil andel i procent (%)",Miljö!$B$1:$O$1,0),FALSE)</f>
        <v>ET</v>
      </c>
      <c r="BL128">
        <f t="shared" si="58"/>
        <v>18.52</v>
      </c>
      <c r="BO128" s="18">
        <f t="shared" si="59"/>
        <v>1.5118790496760261E-2</v>
      </c>
      <c r="BP128" s="18">
        <f t="shared" si="60"/>
        <v>0</v>
      </c>
      <c r="BQ128" s="18">
        <f t="shared" si="61"/>
        <v>0.85367170626349897</v>
      </c>
      <c r="BR128" s="18">
        <f t="shared" si="62"/>
        <v>0.13120950323974084</v>
      </c>
      <c r="BT128" s="27">
        <f t="shared" si="63"/>
        <v>1</v>
      </c>
      <c r="BW128" s="18">
        <f>IF(AP128="ja",VLOOKUP(B128,Miljövärden!$B$2:$H$550,MATCH("Total andel fossilt",Miljövärden!$B$2:$H$2,0),FALSE),"")</f>
        <v>1.51188E-2</v>
      </c>
      <c r="BZ128" s="28">
        <f t="shared" si="64"/>
        <v>9.5032397385425016E-9</v>
      </c>
      <c r="CA128" s="28">
        <f t="shared" si="65"/>
        <v>0</v>
      </c>
    </row>
    <row r="129" spans="1:79" x14ac:dyDescent="0.25">
      <c r="A129" s="224" t="s">
        <v>372</v>
      </c>
      <c r="B129" s="210" t="s">
        <v>374</v>
      </c>
      <c r="C129" s="121">
        <f>VLOOKUP($B129,'Tillförd energi'!$B$1:$AI$720,MATCH(C$1,'Tillförd energi'!$B$1:$AQ$1,0),FALSE)</f>
        <v>0</v>
      </c>
      <c r="D129" s="121">
        <f>VLOOKUP($B129,'Tillförd energi'!$B$1:$AI$720,MATCH(D$1,'Tillförd energi'!$B$1:$AQ$1,0),FALSE)</f>
        <v>2.5331199999999998</v>
      </c>
      <c r="E129" s="121">
        <f>VLOOKUP($B129,'Tillförd energi'!$B$1:$AI$720,MATCH(E$1,'Tillförd energi'!$B$1:$AQ$1,0),FALSE)</f>
        <v>0</v>
      </c>
      <c r="F129" s="121">
        <f>VLOOKUP($B129,'Tillförd energi'!$B$1:$AI$720,MATCH(F$1,'Tillförd energi'!$B$1:$AQ$1,0),FALSE)</f>
        <v>14.96</v>
      </c>
      <c r="G129" s="121">
        <f>VLOOKUP($B129,'Tillförd energi'!$B$1:$AI$720,MATCH(G$1,'Tillförd energi'!$B$1:$AQ$1,0),FALSE)</f>
        <v>0</v>
      </c>
      <c r="H129" s="121">
        <f>VLOOKUP($B129,'Tillförd energi'!$B$1:$AI$720,MATCH(H$1,'Tillförd energi'!$B$1:$AQ$1,0),FALSE)</f>
        <v>0</v>
      </c>
      <c r="I129" s="121">
        <f>VLOOKUP($B129,'Tillförd energi'!$B$1:$AI$720,MATCH(I$1,'Tillförd energi'!$B$1:$AQ$1,0),FALSE)</f>
        <v>247.31700000000001</v>
      </c>
      <c r="J129" s="121">
        <f>VLOOKUP($B129,'Tillförd energi'!$B$1:$AI$720,MATCH(J$1,'Tillförd energi'!$B$1:$AQ$1,0),FALSE)</f>
        <v>0</v>
      </c>
      <c r="K129" s="121">
        <f>VLOOKUP($B129,'Tillförd energi'!$B$1:$AI$720,MATCH(K$1,'Tillförd energi'!$B$1:$AQ$1,0),FALSE)</f>
        <v>0</v>
      </c>
      <c r="L129" s="121">
        <f>VLOOKUP($B129,'Tillförd energi'!$B$1:$AI$720,MATCH(L$1,'Tillförd energi'!$B$1:$AQ$1,0),FALSE)</f>
        <v>0.82783399999999996</v>
      </c>
      <c r="M129" s="121">
        <f>VLOOKUP($B129,'Tillförd energi'!$B$1:$AI$720,MATCH(M$1,'Tillförd energi'!$B$1:$AQ$1,0),FALSE)</f>
        <v>48.540199999999999</v>
      </c>
      <c r="N129" s="121">
        <f>VLOOKUP($B129,'Tillförd energi'!$B$1:$AI$720,MATCH(N$1,'Tillförd energi'!$B$1:$AQ$1,0),FALSE)</f>
        <v>133.01</v>
      </c>
      <c r="O129" s="121">
        <f>VLOOKUP($B129,'Tillförd energi'!$B$1:$AI$720,MATCH(O$1,'Tillförd energi'!$B$1:$AQ$1,0),FALSE)</f>
        <v>12.5633</v>
      </c>
      <c r="P129" s="121">
        <f>VLOOKUP($B129,'Tillförd energi'!$B$1:$AI$720,MATCH(P$1,'Tillförd energi'!$B$1:$AQ$1,0),FALSE)</f>
        <v>18.326899999999998</v>
      </c>
      <c r="Q129" s="121">
        <f>VLOOKUP($B129,'Tillförd energi'!$B$1:$AI$720,MATCH(Q$1,'Tillförd energi'!$B$1:$AQ$1,0),FALSE)</f>
        <v>35.643700000000003</v>
      </c>
      <c r="R129" s="121">
        <f>VLOOKUP($B129,'Tillförd energi'!$B$1:$AI$720,MATCH(R$1,'Tillförd energi'!$B$1:$AQ$1,0),FALSE)</f>
        <v>20.23</v>
      </c>
      <c r="S129" s="121">
        <f>VLOOKUP($B129,'Tillförd energi'!$B$1:$AI$720,MATCH(S$1,'Tillförd energi'!$B$1:$AQ$1,0),FALSE)</f>
        <v>0</v>
      </c>
      <c r="T129" s="121">
        <f>VLOOKUP($B129,'Tillförd energi'!$B$1:$AI$720,MATCH(T$1,'Tillförd energi'!$B$1:$AQ$1,0),FALSE)</f>
        <v>57.21</v>
      </c>
      <c r="U129" s="121">
        <f>VLOOKUP($B129,'Tillförd energi'!$B$1:$AI$720,MATCH(U$1,'Tillförd energi'!$B$1:$AQ$1,0),FALSE)</f>
        <v>0</v>
      </c>
      <c r="V129" s="121">
        <f>VLOOKUP($B129,'Tillförd energi'!$B$1:$AI$720,MATCH(V$1,'Tillförd energi'!$B$1:$AQ$1,0),FALSE)</f>
        <v>0</v>
      </c>
      <c r="W129" s="121">
        <f>VLOOKUP($B129,'Tillförd energi'!$B$1:$AI$720,MATCH(W$1,'Tillförd energi'!$B$1:$AQ$1,0),FALSE)</f>
        <v>0</v>
      </c>
      <c r="X129" s="121">
        <f>VLOOKUP($B129,'Tillförd energi'!$B$1:$AI$720,MATCH(X$1,'Tillförd energi'!$B$1:$AQ$1,0),FALSE)</f>
        <v>0</v>
      </c>
      <c r="Y129" s="121">
        <f>VLOOKUP($B129,'Tillförd energi'!$B$1:$AI$720,MATCH(Y$1,'Tillförd energi'!$B$1:$AQ$1,0),FALSE)</f>
        <v>5.1601100000000004</v>
      </c>
      <c r="Z129" s="121">
        <f>VLOOKUP($B129,'Tillförd energi'!$B$1:$AI$720,MATCH(Z$1,'Tillförd energi'!$B$1:$AQ$1,0),FALSE)</f>
        <v>0</v>
      </c>
      <c r="AA129" s="121">
        <f>VLOOKUP($B129,'Tillförd energi'!$B$1:$AI$720,MATCH(AA$1,'Tillförd energi'!$B$1:$AQ$1,0),FALSE)</f>
        <v>3.19</v>
      </c>
      <c r="AB129" s="121">
        <f>VLOOKUP($B129,'Tillförd energi'!$B$1:$AI$720,MATCH(AB$1,'Tillförd energi'!$B$1:$AQ$1,0),FALSE)</f>
        <v>9.39</v>
      </c>
      <c r="AC129" s="121">
        <f>VLOOKUP($B129,'Tillförd energi'!$B$1:$AI$720,MATCH(AC$1,'Tillförd energi'!$B$1:$AQ$1,0),FALSE)</f>
        <v>125.35</v>
      </c>
      <c r="AD129" s="121">
        <f>VLOOKUP($B129,'Tillförd energi'!$B$1:$AI$720,MATCH(AD$1,'Tillförd energi'!$B$1:$AQ$1,0),FALSE)</f>
        <v>0</v>
      </c>
      <c r="AE129" s="121">
        <f>VLOOKUP($B129,'Tillförd energi'!$B$1:$AI$720,MATCH(AE$1,'Tillförd energi'!$B$1:$AQ$1,0),FALSE)</f>
        <v>0</v>
      </c>
      <c r="AF129" s="121">
        <f>VLOOKUP($B129,'Tillförd energi'!$B$1:$AI$720,MATCH(AF$1,'Tillförd energi'!$B$1:$AQ$1,0),FALSE)</f>
        <v>28.017199999999999</v>
      </c>
      <c r="AG129" s="121">
        <f>IFERROR(VLOOKUP(B129,Miljö!$B$1:$AC$550,MATCH("Köpt mängd produktionsspecifik fjärrvärme:",Miljö!$B$1:$AC$1,0),FALSE)/1,0)</f>
        <v>0</v>
      </c>
      <c r="AH129" s="121"/>
      <c r="AI129" s="121">
        <f t="shared" si="44"/>
        <v>762.26936400000011</v>
      </c>
      <c r="AJ129" s="121">
        <f t="shared" si="45"/>
        <v>762.26936400000011</v>
      </c>
      <c r="AK129" s="121">
        <f>IF(ISERROR(1/VLOOKUP($B129,Leveranser!$B$1:$S$499,MATCH("såld värme (gwh)",Leveranser!$B$1:$S$1,0),FALSE)),"",VLOOKUP($B129,Leveranser!$B$1:$S$499,MATCH("såld värme (gwh)",Leveranser!$B$1:$S$1,0),FALSE))</f>
        <v>710.64</v>
      </c>
      <c r="AL129" s="121">
        <f>VLOOKUP($B129,Leveranser!$B$1:$Y$499,MATCH("Totalt såld fjärrvärme till andra fjärrvärmeföretag",Leveranser!$B$1:$AA$1,0),FALSE)</f>
        <v>0</v>
      </c>
      <c r="AM129" s="121">
        <f>IF(ISERROR(1/VLOOKUP($B129,Miljö!$B$1:$S$500,MATCH("Såld mängd produktionsspecifik fjärrvärme (GWh)",Miljö!$B$1:$R$1,0),FALSE)),0,VLOOKUP($B129,Miljö!$B$1:$S$500,MATCH("Såld mängd produktionsspecifik fjärrvärme (GWh)",Miljö!$B$1:$R$1,0),FALSE))</f>
        <v>9.06</v>
      </c>
      <c r="AN129" s="172">
        <f t="shared" si="46"/>
        <v>0.93226887182101137</v>
      </c>
      <c r="AO129" s="121"/>
      <c r="AP129" s="121" t="str">
        <f>IFERROR(VLOOKUP($B129,Miljövärden!$B$2:$H$550,7,FALSE),"Nej, saknas")</f>
        <v>Ja</v>
      </c>
      <c r="AQ129" s="121" t="str">
        <f>IFERROR(VLOOKUP($B129,Miljövärden!$B$2:$H$550,6,FALSE),"Nej, saknas")</f>
        <v>Ja</v>
      </c>
      <c r="AU129">
        <f t="shared" si="47"/>
        <v>31.2072</v>
      </c>
      <c r="AV129">
        <f t="shared" si="48"/>
        <v>0</v>
      </c>
      <c r="AW129">
        <f t="shared" si="49"/>
        <v>248.08409999999998</v>
      </c>
      <c r="AX129">
        <f t="shared" si="50"/>
        <v>77.44</v>
      </c>
      <c r="AZ129">
        <f t="shared" si="51"/>
        <v>326.35193399999997</v>
      </c>
      <c r="BC129">
        <f t="shared" si="52"/>
        <v>17.493120000000001</v>
      </c>
      <c r="BD129">
        <f t="shared" si="53"/>
        <v>5.1601100000000004</v>
      </c>
      <c r="BE129">
        <f t="shared" si="54"/>
        <v>325.52409999999998</v>
      </c>
      <c r="BF129">
        <f t="shared" si="55"/>
        <v>382.88483399999996</v>
      </c>
      <c r="BG129">
        <f t="shared" si="56"/>
        <v>31.2072</v>
      </c>
      <c r="BH129">
        <f>VLOOKUP(B129,Miljö!$B$1:$BX$482,MATCH("Fossilandel för ursprungspecificerad el ()",Miljö!$B$1:$I$1,0),FALSE)</f>
        <v>0</v>
      </c>
      <c r="BI129">
        <f>VLOOKUP(B129,Miljö!$B$1:$BX$482,MATCH("Kärnkraftsandel för ursprungsspecificerad el ()",Miljö!$B$1:$O$1,0),FALSE)</f>
        <v>0</v>
      </c>
      <c r="BJ129">
        <f t="shared" si="57"/>
        <v>0</v>
      </c>
      <c r="BK129" t="str">
        <f>VLOOKUP(B129,Miljö!$B$1:$O$482,MATCH("Fossil andel i procent (%)",Miljö!$B$1:$O$1,0),FALSE)</f>
        <v>ET</v>
      </c>
      <c r="BL129">
        <f t="shared" si="58"/>
        <v>762.269364</v>
      </c>
      <c r="BO129" s="18">
        <f t="shared" si="59"/>
        <v>2.2948738105129988E-2</v>
      </c>
      <c r="BP129" s="18">
        <f t="shared" si="60"/>
        <v>6.769404942266577E-3</v>
      </c>
      <c r="BQ129" s="18">
        <f t="shared" si="61"/>
        <v>0.46798588116942869</v>
      </c>
      <c r="BR129" s="18">
        <f t="shared" si="62"/>
        <v>0.50229597578317464</v>
      </c>
      <c r="BT129" s="27">
        <f t="shared" si="63"/>
        <v>0.99999999999999989</v>
      </c>
      <c r="BW129" s="18">
        <f>IF(AP129="ja",VLOOKUP(B129,Miljövärden!$B$2:$H$550,MATCH("Total andel fossilt",Miljövärden!$B$2:$H$2,0),FALSE),"")</f>
        <v>2.32248E-2</v>
      </c>
      <c r="BZ129" s="28">
        <f t="shared" si="64"/>
        <v>2.7606189487001248E-4</v>
      </c>
      <c r="CA129" s="28">
        <f t="shared" si="65"/>
        <v>0</v>
      </c>
    </row>
    <row r="130" spans="1:79" x14ac:dyDescent="0.25">
      <c r="A130" s="224" t="s">
        <v>372</v>
      </c>
      <c r="B130" s="210" t="s">
        <v>375</v>
      </c>
      <c r="C130" s="121">
        <f>VLOOKUP($B130,'Tillförd energi'!$B$1:$AI$720,MATCH(C$1,'Tillförd energi'!$B$1:$AQ$1,0),FALSE)</f>
        <v>0</v>
      </c>
      <c r="D130" s="121">
        <f>VLOOKUP($B130,'Tillförd energi'!$B$1:$AI$720,MATCH(D$1,'Tillförd energi'!$B$1:$AQ$1,0),FALSE)</f>
        <v>0.14000000000000001</v>
      </c>
      <c r="E130" s="121">
        <f>VLOOKUP($B130,'Tillförd energi'!$B$1:$AI$720,MATCH(E$1,'Tillförd energi'!$B$1:$AQ$1,0),FALSE)</f>
        <v>0</v>
      </c>
      <c r="F130" s="121">
        <f>VLOOKUP($B130,'Tillförd energi'!$B$1:$AI$720,MATCH(F$1,'Tillförd energi'!$B$1:$AQ$1,0),FALSE)</f>
        <v>0</v>
      </c>
      <c r="G130" s="121">
        <f>VLOOKUP($B130,'Tillförd energi'!$B$1:$AI$720,MATCH(G$1,'Tillförd energi'!$B$1:$AQ$1,0),FALSE)</f>
        <v>0</v>
      </c>
      <c r="H130" s="121">
        <f>VLOOKUP($B130,'Tillförd energi'!$B$1:$AI$720,MATCH(H$1,'Tillförd energi'!$B$1:$AQ$1,0),FALSE)</f>
        <v>0</v>
      </c>
      <c r="I130" s="121">
        <f>VLOOKUP($B130,'Tillförd energi'!$B$1:$AI$720,MATCH(I$1,'Tillförd energi'!$B$1:$AQ$1,0),FALSE)</f>
        <v>0</v>
      </c>
      <c r="J130" s="121">
        <f>VLOOKUP($B130,'Tillförd energi'!$B$1:$AI$720,MATCH(J$1,'Tillförd energi'!$B$1:$AQ$1,0),FALSE)</f>
        <v>0</v>
      </c>
      <c r="K130" s="121">
        <f>VLOOKUP($B130,'Tillförd energi'!$B$1:$AI$720,MATCH(K$1,'Tillförd energi'!$B$1:$AQ$1,0),FALSE)</f>
        <v>0</v>
      </c>
      <c r="L130" s="121">
        <f>VLOOKUP($B130,'Tillförd energi'!$B$1:$AI$720,MATCH(L$1,'Tillförd energi'!$B$1:$AQ$1,0),FALSE)</f>
        <v>0</v>
      </c>
      <c r="M130" s="121">
        <f>VLOOKUP($B130,'Tillförd energi'!$B$1:$AI$720,MATCH(M$1,'Tillförd energi'!$B$1:$AQ$1,0),FALSE)</f>
        <v>0</v>
      </c>
      <c r="N130" s="121">
        <f>VLOOKUP($B130,'Tillförd energi'!$B$1:$AI$720,MATCH(N$1,'Tillförd energi'!$B$1:$AQ$1,0),FALSE)</f>
        <v>0</v>
      </c>
      <c r="O130" s="121">
        <f>VLOOKUP($B130,'Tillförd energi'!$B$1:$AI$720,MATCH(O$1,'Tillförd energi'!$B$1:$AQ$1,0),FALSE)</f>
        <v>0</v>
      </c>
      <c r="P130" s="121">
        <f>VLOOKUP($B130,'Tillförd energi'!$B$1:$AI$720,MATCH(P$1,'Tillförd energi'!$B$1:$AQ$1,0),FALSE)</f>
        <v>0</v>
      </c>
      <c r="Q130" s="121">
        <f>VLOOKUP($B130,'Tillförd energi'!$B$1:$AI$720,MATCH(Q$1,'Tillförd energi'!$B$1:$AQ$1,0),FALSE)</f>
        <v>0</v>
      </c>
      <c r="R130" s="121">
        <f>VLOOKUP($B130,'Tillförd energi'!$B$1:$AI$720,MATCH(R$1,'Tillförd energi'!$B$1:$AQ$1,0),FALSE)</f>
        <v>4.37</v>
      </c>
      <c r="S130" s="121">
        <f>VLOOKUP($B130,'Tillförd energi'!$B$1:$AI$720,MATCH(S$1,'Tillförd energi'!$B$1:$AQ$1,0),FALSE)</f>
        <v>0</v>
      </c>
      <c r="T130" s="121">
        <f>VLOOKUP($B130,'Tillförd energi'!$B$1:$AI$720,MATCH(T$1,'Tillförd energi'!$B$1:$AQ$1,0),FALSE)</f>
        <v>0</v>
      </c>
      <c r="U130" s="121">
        <f>VLOOKUP($B130,'Tillförd energi'!$B$1:$AI$720,MATCH(U$1,'Tillförd energi'!$B$1:$AQ$1,0),FALSE)</f>
        <v>0</v>
      </c>
      <c r="V130" s="121">
        <f>VLOOKUP($B130,'Tillförd energi'!$B$1:$AI$720,MATCH(V$1,'Tillförd energi'!$B$1:$AQ$1,0),FALSE)</f>
        <v>0</v>
      </c>
      <c r="W130" s="121">
        <f>VLOOKUP($B130,'Tillförd energi'!$B$1:$AI$720,MATCH(W$1,'Tillförd energi'!$B$1:$AQ$1,0),FALSE)</f>
        <v>0</v>
      </c>
      <c r="X130" s="121">
        <f>VLOOKUP($B130,'Tillförd energi'!$B$1:$AI$720,MATCH(X$1,'Tillförd energi'!$B$1:$AQ$1,0),FALSE)</f>
        <v>0</v>
      </c>
      <c r="Y130" s="121">
        <f>VLOOKUP($B130,'Tillförd energi'!$B$1:$AI$720,MATCH(Y$1,'Tillförd energi'!$B$1:$AQ$1,0),FALSE)</f>
        <v>0</v>
      </c>
      <c r="Z130" s="121">
        <f>VLOOKUP($B130,'Tillförd energi'!$B$1:$AI$720,MATCH(Z$1,'Tillförd energi'!$B$1:$AQ$1,0),FALSE)</f>
        <v>0</v>
      </c>
      <c r="AA130" s="121">
        <f>VLOOKUP($B130,'Tillförd energi'!$B$1:$AI$720,MATCH(AA$1,'Tillförd energi'!$B$1:$AQ$1,0),FALSE)</f>
        <v>0</v>
      </c>
      <c r="AB130" s="121">
        <f>VLOOKUP($B130,'Tillförd energi'!$B$1:$AI$720,MATCH(AB$1,'Tillförd energi'!$B$1:$AQ$1,0),FALSE)</f>
        <v>0</v>
      </c>
      <c r="AC130" s="121">
        <f>VLOOKUP($B130,'Tillförd energi'!$B$1:$AI$720,MATCH(AC$1,'Tillförd energi'!$B$1:$AQ$1,0),FALSE)</f>
        <v>0</v>
      </c>
      <c r="AD130" s="121">
        <f>VLOOKUP($B130,'Tillförd energi'!$B$1:$AI$720,MATCH(AD$1,'Tillförd energi'!$B$1:$AQ$1,0),FALSE)</f>
        <v>0</v>
      </c>
      <c r="AE130" s="121">
        <f>VLOOKUP($B130,'Tillförd energi'!$B$1:$AI$720,MATCH(AE$1,'Tillförd energi'!$B$1:$AQ$1,0),FALSE)</f>
        <v>0</v>
      </c>
      <c r="AF130" s="121">
        <f>VLOOKUP($B130,'Tillförd energi'!$B$1:$AI$720,MATCH(AF$1,'Tillförd energi'!$B$1:$AQ$1,0),FALSE)</f>
        <v>0.09</v>
      </c>
      <c r="AG130" s="121">
        <f>IFERROR(VLOOKUP(B130,Miljö!$B$1:$AC$550,MATCH("Köpt mängd produktionsspecifik fjärrvärme:",Miljö!$B$1:$AC$1,0),FALSE)/1,0)</f>
        <v>0</v>
      </c>
      <c r="AH130" s="121"/>
      <c r="AI130" s="121">
        <f t="shared" si="44"/>
        <v>4.5999999999999996</v>
      </c>
      <c r="AJ130" s="121">
        <f t="shared" si="45"/>
        <v>4.5999999999999996</v>
      </c>
      <c r="AK130" s="121">
        <f>IF(ISERROR(1/VLOOKUP($B130,Leveranser!$B$1:$S$499,MATCH("såld värme (gwh)",Leveranser!$B$1:$S$1,0),FALSE)),"",VLOOKUP($B130,Leveranser!$B$1:$S$499,MATCH("såld värme (gwh)",Leveranser!$B$1:$S$1,0),FALSE))</f>
        <v>3.14</v>
      </c>
      <c r="AL130" s="121">
        <f>VLOOKUP($B130,Leveranser!$B$1:$Y$499,MATCH("Totalt såld fjärrvärme till andra fjärrvärmeföretag",Leveranser!$B$1:$AA$1,0),FALSE)</f>
        <v>0</v>
      </c>
      <c r="AM130" s="121">
        <f>IF(ISERROR(1/VLOOKUP($B130,Miljö!$B$1:$S$500,MATCH("Såld mängd produktionsspecifik fjärrvärme (GWh)",Miljö!$B$1:$R$1,0),FALSE)),0,VLOOKUP($B130,Miljö!$B$1:$S$500,MATCH("Såld mängd produktionsspecifik fjärrvärme (GWh)",Miljö!$B$1:$R$1,0),FALSE))</f>
        <v>0</v>
      </c>
      <c r="AN130" s="172">
        <f t="shared" si="46"/>
        <v>0.68260869565217397</v>
      </c>
      <c r="AO130" s="121"/>
      <c r="AP130" s="121" t="str">
        <f>IFERROR(VLOOKUP($B130,Miljövärden!$B$2:$H$550,7,FALSE),"Nej, saknas")</f>
        <v>Ja</v>
      </c>
      <c r="AQ130" s="121" t="str">
        <f>IFERROR(VLOOKUP($B130,Miljövärden!$B$2:$H$550,6,FALSE),"Nej, saknas")</f>
        <v>Nej</v>
      </c>
      <c r="AU130">
        <f t="shared" si="47"/>
        <v>0.09</v>
      </c>
      <c r="AV130">
        <f t="shared" si="48"/>
        <v>0</v>
      </c>
      <c r="AW130">
        <f t="shared" si="49"/>
        <v>0</v>
      </c>
      <c r="AX130">
        <f t="shared" si="50"/>
        <v>4.37</v>
      </c>
      <c r="AZ130">
        <f t="shared" si="51"/>
        <v>4.37</v>
      </c>
      <c r="BC130">
        <f t="shared" si="52"/>
        <v>0.14000000000000001</v>
      </c>
      <c r="BD130">
        <f t="shared" si="53"/>
        <v>0</v>
      </c>
      <c r="BE130">
        <f t="shared" si="54"/>
        <v>4.37</v>
      </c>
      <c r="BF130">
        <f t="shared" si="55"/>
        <v>0</v>
      </c>
      <c r="BG130">
        <f t="shared" si="56"/>
        <v>0.09</v>
      </c>
      <c r="BH130">
        <f>VLOOKUP(B130,Miljö!$B$1:$BX$482,MATCH("Fossilandel för ursprungspecificerad el ()",Miljö!$B$1:$I$1,0),FALSE)</f>
        <v>0</v>
      </c>
      <c r="BI130">
        <f>VLOOKUP(B130,Miljö!$B$1:$BX$482,MATCH("Kärnkraftsandel för ursprungsspecificerad el ()",Miljö!$B$1:$O$1,0),FALSE)</f>
        <v>0</v>
      </c>
      <c r="BJ130">
        <f t="shared" si="57"/>
        <v>0</v>
      </c>
      <c r="BK130" t="str">
        <f>VLOOKUP(B130,Miljö!$B$1:$O$482,MATCH("Fossil andel i procent (%)",Miljö!$B$1:$O$1,0),FALSE)</f>
        <v>ET</v>
      </c>
      <c r="BL130">
        <f t="shared" si="58"/>
        <v>4.5999999999999996</v>
      </c>
      <c r="BO130" s="18">
        <f t="shared" si="59"/>
        <v>3.0434782608695657E-2</v>
      </c>
      <c r="BP130" s="18">
        <f t="shared" si="60"/>
        <v>0</v>
      </c>
      <c r="BQ130" s="18">
        <f t="shared" si="61"/>
        <v>0.96956521739130441</v>
      </c>
      <c r="BR130" s="18">
        <f t="shared" si="62"/>
        <v>0</v>
      </c>
      <c r="BT130" s="27">
        <f t="shared" si="63"/>
        <v>1</v>
      </c>
      <c r="BW130" s="18">
        <f>IF(AP130="ja",VLOOKUP(B130,Miljövärden!$B$2:$H$550,MATCH("Total andel fossilt",Miljövärden!$B$2:$H$2,0),FALSE),"")</f>
        <v>3.0434800000000001E-2</v>
      </c>
      <c r="BZ130" s="28">
        <f t="shared" si="64"/>
        <v>1.7391304344555047E-8</v>
      </c>
      <c r="CA130" s="28">
        <f t="shared" si="65"/>
        <v>0</v>
      </c>
    </row>
    <row r="131" spans="1:79" x14ac:dyDescent="0.25">
      <c r="A131" s="224" t="s">
        <v>376</v>
      </c>
      <c r="B131" s="210" t="s">
        <v>377</v>
      </c>
      <c r="C131" s="121">
        <f>VLOOKUP($B131,'Tillförd energi'!$B$1:$AI$720,MATCH(C$1,'Tillförd energi'!$B$1:$AQ$1,0),FALSE)</f>
        <v>0</v>
      </c>
      <c r="D131" s="121">
        <f>VLOOKUP($B131,'Tillförd energi'!$B$1:$AI$720,MATCH(D$1,'Tillförd energi'!$B$1:$AQ$1,0),FALSE)</f>
        <v>0.66</v>
      </c>
      <c r="E131" s="121">
        <f>VLOOKUP($B131,'Tillförd energi'!$B$1:$AI$720,MATCH(E$1,'Tillförd energi'!$B$1:$AQ$1,0),FALSE)</f>
        <v>0</v>
      </c>
      <c r="F131" s="121">
        <f>VLOOKUP($B131,'Tillförd energi'!$B$1:$AI$720,MATCH(F$1,'Tillförd energi'!$B$1:$AQ$1,0),FALSE)</f>
        <v>0.73</v>
      </c>
      <c r="G131" s="121">
        <f>VLOOKUP($B131,'Tillförd energi'!$B$1:$AI$720,MATCH(G$1,'Tillförd energi'!$B$1:$AQ$1,0),FALSE)</f>
        <v>0</v>
      </c>
      <c r="H131" s="121">
        <f>VLOOKUP($B131,'Tillförd energi'!$B$1:$AI$720,MATCH(H$1,'Tillförd energi'!$B$1:$AQ$1,0),FALSE)</f>
        <v>0</v>
      </c>
      <c r="I131" s="121">
        <f>VLOOKUP($B131,'Tillförd energi'!$B$1:$AI$720,MATCH(I$1,'Tillförd energi'!$B$1:$AQ$1,0),FALSE)</f>
        <v>0</v>
      </c>
      <c r="J131" s="121">
        <f>VLOOKUP($B131,'Tillförd energi'!$B$1:$AI$720,MATCH(J$1,'Tillförd energi'!$B$1:$AQ$1,0),FALSE)</f>
        <v>0</v>
      </c>
      <c r="K131" s="121">
        <f>VLOOKUP($B131,'Tillförd energi'!$B$1:$AI$720,MATCH(K$1,'Tillförd energi'!$B$1:$AQ$1,0),FALSE)</f>
        <v>0</v>
      </c>
      <c r="L131" s="121">
        <f>VLOOKUP($B131,'Tillförd energi'!$B$1:$AI$720,MATCH(L$1,'Tillförd energi'!$B$1:$AQ$1,0),FALSE)</f>
        <v>0</v>
      </c>
      <c r="M131" s="121">
        <f>VLOOKUP($B131,'Tillförd energi'!$B$1:$AI$720,MATCH(M$1,'Tillförd energi'!$B$1:$AQ$1,0),FALSE)</f>
        <v>65.518500000000003</v>
      </c>
      <c r="N131" s="121">
        <f>VLOOKUP($B131,'Tillförd energi'!$B$1:$AI$720,MATCH(N$1,'Tillförd energi'!$B$1:$AQ$1,0),FALSE)</f>
        <v>123.318</v>
      </c>
      <c r="O131" s="121">
        <f>VLOOKUP($B131,'Tillförd energi'!$B$1:$AI$720,MATCH(O$1,'Tillförd energi'!$B$1:$AQ$1,0),FALSE)</f>
        <v>25.683599999999998</v>
      </c>
      <c r="P131" s="121">
        <f>VLOOKUP($B131,'Tillförd energi'!$B$1:$AI$720,MATCH(P$1,'Tillförd energi'!$B$1:$AQ$1,0),FALSE)</f>
        <v>0</v>
      </c>
      <c r="Q131" s="121">
        <f>VLOOKUP($B131,'Tillförd energi'!$B$1:$AI$720,MATCH(Q$1,'Tillförd energi'!$B$1:$AQ$1,0),FALSE)</f>
        <v>0</v>
      </c>
      <c r="R131" s="121">
        <f>VLOOKUP($B131,'Tillförd energi'!$B$1:$AI$720,MATCH(R$1,'Tillförd energi'!$B$1:$AQ$1,0),FALSE)</f>
        <v>0</v>
      </c>
      <c r="S131" s="121">
        <f>VLOOKUP($B131,'Tillförd energi'!$B$1:$AI$720,MATCH(S$1,'Tillförd energi'!$B$1:$AQ$1,0),FALSE)</f>
        <v>0</v>
      </c>
      <c r="T131" s="121">
        <f>VLOOKUP($B131,'Tillförd energi'!$B$1:$AI$720,MATCH(T$1,'Tillförd energi'!$B$1:$AQ$1,0),FALSE)</f>
        <v>64</v>
      </c>
      <c r="U131" s="121">
        <f>VLOOKUP($B131,'Tillförd energi'!$B$1:$AI$720,MATCH(U$1,'Tillförd energi'!$B$1:$AQ$1,0),FALSE)</f>
        <v>0</v>
      </c>
      <c r="V131" s="121">
        <f>VLOOKUP($B131,'Tillförd energi'!$B$1:$AI$720,MATCH(V$1,'Tillförd energi'!$B$1:$AQ$1,0),FALSE)</f>
        <v>0</v>
      </c>
      <c r="W131" s="121">
        <f>VLOOKUP($B131,'Tillförd energi'!$B$1:$AI$720,MATCH(W$1,'Tillförd energi'!$B$1:$AQ$1,0),FALSE)</f>
        <v>0</v>
      </c>
      <c r="X131" s="121">
        <f>VLOOKUP($B131,'Tillförd energi'!$B$1:$AI$720,MATCH(X$1,'Tillförd energi'!$B$1:$AQ$1,0),FALSE)</f>
        <v>0</v>
      </c>
      <c r="Y131" s="121">
        <f>VLOOKUP($B131,'Tillförd energi'!$B$1:$AI$720,MATCH(Y$1,'Tillförd energi'!$B$1:$AQ$1,0),FALSE)</f>
        <v>0</v>
      </c>
      <c r="Z131" s="121">
        <f>VLOOKUP($B131,'Tillförd energi'!$B$1:$AI$720,MATCH(Z$1,'Tillförd energi'!$B$1:$AQ$1,0),FALSE)</f>
        <v>0</v>
      </c>
      <c r="AA131" s="121">
        <f>VLOOKUP($B131,'Tillförd energi'!$B$1:$AI$720,MATCH(AA$1,'Tillförd energi'!$B$1:$AQ$1,0),FALSE)</f>
        <v>0</v>
      </c>
      <c r="AB131" s="121">
        <f>VLOOKUP($B131,'Tillförd energi'!$B$1:$AI$720,MATCH(AB$1,'Tillförd energi'!$B$1:$AQ$1,0),FALSE)</f>
        <v>0</v>
      </c>
      <c r="AC131" s="121">
        <f>VLOOKUP($B131,'Tillförd energi'!$B$1:$AI$720,MATCH(AC$1,'Tillförd energi'!$B$1:$AQ$1,0),FALSE)</f>
        <v>89.3</v>
      </c>
      <c r="AD131" s="121">
        <f>VLOOKUP($B131,'Tillförd energi'!$B$1:$AI$720,MATCH(AD$1,'Tillförd energi'!$B$1:$AQ$1,0),FALSE)</f>
        <v>0</v>
      </c>
      <c r="AE131" s="121">
        <f>VLOOKUP($B131,'Tillförd energi'!$B$1:$AI$720,MATCH(AE$1,'Tillförd energi'!$B$1:$AQ$1,0),FALSE)</f>
        <v>0</v>
      </c>
      <c r="AF131" s="121">
        <f>VLOOKUP($B131,'Tillförd energi'!$B$1:$AI$720,MATCH(AF$1,'Tillförd energi'!$B$1:$AQ$1,0),FALSE)</f>
        <v>15.3162</v>
      </c>
      <c r="AG131" s="121">
        <f>IFERROR(VLOOKUP(B131,Miljö!$B$1:$AC$550,MATCH("Köpt mängd produktionsspecifik fjärrvärme:",Miljö!$B$1:$AC$1,0),FALSE)/1,0)</f>
        <v>0</v>
      </c>
      <c r="AH131" s="121"/>
      <c r="AI131" s="121">
        <f t="shared" si="44"/>
        <v>384.52629999999999</v>
      </c>
      <c r="AJ131" s="121">
        <f t="shared" si="45"/>
        <v>384.52629999999999</v>
      </c>
      <c r="AK131" s="121">
        <f>IF(ISERROR(1/VLOOKUP($B131,Leveranser!$B$1:$S$499,MATCH("såld värme (gwh)",Leveranser!$B$1:$S$1,0),FALSE)),"",VLOOKUP($B131,Leveranser!$B$1:$S$499,MATCH("såld värme (gwh)",Leveranser!$B$1:$S$1,0),FALSE))</f>
        <v>368.9</v>
      </c>
      <c r="AL131" s="121">
        <f>VLOOKUP($B131,Leveranser!$B$1:$Y$499,MATCH("Totalt såld fjärrvärme till andra fjärrvärmeföretag",Leveranser!$B$1:$AA$1,0),FALSE)</f>
        <v>0</v>
      </c>
      <c r="AM131" s="121">
        <f>IF(ISERROR(1/VLOOKUP($B131,Miljö!$B$1:$S$500,MATCH("Såld mängd produktionsspecifik fjärrvärme (GWh)",Miljö!$B$1:$R$1,0),FALSE)),0,VLOOKUP($B131,Miljö!$B$1:$S$500,MATCH("Såld mängd produktionsspecifik fjärrvärme (GWh)",Miljö!$B$1:$R$1,0),FALSE))</f>
        <v>0</v>
      </c>
      <c r="AN131" s="172">
        <f t="shared" si="46"/>
        <v>0.95936220747449519</v>
      </c>
      <c r="AO131" s="121"/>
      <c r="AP131" s="121" t="str">
        <f>IFERROR(VLOOKUP($B131,Miljövärden!$B$2:$H$550,7,FALSE),"Nej, saknas")</f>
        <v>Ja</v>
      </c>
      <c r="AQ131" s="121" t="str">
        <f>IFERROR(VLOOKUP($B131,Miljövärden!$B$2:$H$550,6,FALSE),"Nej, saknas")</f>
        <v>Ja</v>
      </c>
      <c r="AU131">
        <f t="shared" si="47"/>
        <v>15.3162</v>
      </c>
      <c r="AV131">
        <f t="shared" si="48"/>
        <v>0</v>
      </c>
      <c r="AW131">
        <f t="shared" si="49"/>
        <v>214.52010000000001</v>
      </c>
      <c r="AX131">
        <f t="shared" si="50"/>
        <v>64</v>
      </c>
      <c r="AZ131">
        <f t="shared" si="51"/>
        <v>278.52010000000001</v>
      </c>
      <c r="BC131">
        <f t="shared" si="52"/>
        <v>1.3900000000000001</v>
      </c>
      <c r="BD131">
        <f t="shared" si="53"/>
        <v>0</v>
      </c>
      <c r="BE131">
        <f t="shared" si="54"/>
        <v>278.52010000000001</v>
      </c>
      <c r="BF131">
        <f t="shared" si="55"/>
        <v>89.3</v>
      </c>
      <c r="BG131">
        <f t="shared" si="56"/>
        <v>15.3162</v>
      </c>
      <c r="BH131">
        <f>VLOOKUP(B131,Miljö!$B$1:$BX$482,MATCH("Fossilandel för ursprungspecificerad el ()",Miljö!$B$1:$I$1,0),FALSE)</f>
        <v>0</v>
      </c>
      <c r="BI131">
        <f>VLOOKUP(B131,Miljö!$B$1:$BX$482,MATCH("Kärnkraftsandel för ursprungsspecificerad el ()",Miljö!$B$1:$O$1,0),FALSE)</f>
        <v>0</v>
      </c>
      <c r="BJ131">
        <f t="shared" si="57"/>
        <v>0</v>
      </c>
      <c r="BK131" t="str">
        <f>VLOOKUP(B131,Miljö!$B$1:$O$482,MATCH("Fossil andel i procent (%)",Miljö!$B$1:$O$1,0),FALSE)</f>
        <v>ET</v>
      </c>
      <c r="BL131">
        <f t="shared" si="58"/>
        <v>384.52629999999999</v>
      </c>
      <c r="BO131" s="18">
        <f t="shared" si="59"/>
        <v>3.6148372686081553E-3</v>
      </c>
      <c r="BP131" s="18">
        <f t="shared" si="60"/>
        <v>0</v>
      </c>
      <c r="BQ131" s="18">
        <f t="shared" si="61"/>
        <v>0.76415137274095424</v>
      </c>
      <c r="BR131" s="18">
        <f t="shared" si="62"/>
        <v>0.23223378999043759</v>
      </c>
      <c r="BT131" s="27">
        <f t="shared" si="63"/>
        <v>1</v>
      </c>
      <c r="BW131" s="18">
        <f>IF(AP131="ja",VLOOKUP(B131,Miljövärden!$B$2:$H$550,MATCH("Total andel fossilt",Miljövärden!$B$2:$H$2,0),FALSE),"")</f>
        <v>3.6148399999999998E-3</v>
      </c>
      <c r="BZ131" s="28">
        <f t="shared" si="64"/>
        <v>2.7313918444724083E-9</v>
      </c>
      <c r="CA131" s="28">
        <f t="shared" si="65"/>
        <v>0</v>
      </c>
    </row>
    <row r="132" spans="1:79" x14ac:dyDescent="0.25">
      <c r="A132" s="224" t="s">
        <v>378</v>
      </c>
      <c r="B132" s="210" t="s">
        <v>84</v>
      </c>
      <c r="C132" s="121">
        <f>VLOOKUP($B132,'Tillförd energi'!$B$1:$AI$720,MATCH(C$1,'Tillförd energi'!$B$1:$AQ$1,0),FALSE)</f>
        <v>0</v>
      </c>
      <c r="D132" s="121">
        <f>VLOOKUP($B132,'Tillförd energi'!$B$1:$AI$720,MATCH(D$1,'Tillförd energi'!$B$1:$AQ$1,0),FALSE)</f>
        <v>0.64200000000000002</v>
      </c>
      <c r="E132" s="121">
        <f>VLOOKUP($B132,'Tillförd energi'!$B$1:$AI$720,MATCH(E$1,'Tillförd energi'!$B$1:$AQ$1,0),FALSE)</f>
        <v>0</v>
      </c>
      <c r="F132" s="121">
        <f>VLOOKUP($B132,'Tillförd energi'!$B$1:$AI$720,MATCH(F$1,'Tillförd energi'!$B$1:$AQ$1,0),FALSE)</f>
        <v>0</v>
      </c>
      <c r="G132" s="121">
        <f>VLOOKUP($B132,'Tillförd energi'!$B$1:$AI$720,MATCH(G$1,'Tillförd energi'!$B$1:$AQ$1,0),FALSE)</f>
        <v>0</v>
      </c>
      <c r="H132" s="121">
        <f>VLOOKUP($B132,'Tillförd energi'!$B$1:$AI$720,MATCH(H$1,'Tillförd energi'!$B$1:$AQ$1,0),FALSE)</f>
        <v>0</v>
      </c>
      <c r="I132" s="121">
        <f>VLOOKUP($B132,'Tillförd energi'!$B$1:$AI$720,MATCH(I$1,'Tillförd energi'!$B$1:$AQ$1,0),FALSE)</f>
        <v>0</v>
      </c>
      <c r="J132" s="121">
        <f>VLOOKUP($B132,'Tillförd energi'!$B$1:$AI$720,MATCH(J$1,'Tillförd energi'!$B$1:$AQ$1,0),FALSE)</f>
        <v>0</v>
      </c>
      <c r="K132" s="121">
        <f>VLOOKUP($B132,'Tillförd energi'!$B$1:$AI$720,MATCH(K$1,'Tillförd energi'!$B$1:$AQ$1,0),FALSE)</f>
        <v>0</v>
      </c>
      <c r="L132" s="121">
        <f>VLOOKUP($B132,'Tillförd energi'!$B$1:$AI$720,MATCH(L$1,'Tillförd energi'!$B$1:$AQ$1,0),FALSE)</f>
        <v>0</v>
      </c>
      <c r="M132" s="121">
        <f>VLOOKUP($B132,'Tillförd energi'!$B$1:$AI$720,MATCH(M$1,'Tillförd energi'!$B$1:$AQ$1,0),FALSE)</f>
        <v>0</v>
      </c>
      <c r="N132" s="121">
        <f>VLOOKUP($B132,'Tillförd energi'!$B$1:$AI$720,MATCH(N$1,'Tillförd energi'!$B$1:$AQ$1,0),FALSE)</f>
        <v>0</v>
      </c>
      <c r="O132" s="121">
        <f>VLOOKUP($B132,'Tillförd energi'!$B$1:$AI$720,MATCH(O$1,'Tillförd energi'!$B$1:$AQ$1,0),FALSE)</f>
        <v>0</v>
      </c>
      <c r="P132" s="121">
        <f>VLOOKUP($B132,'Tillförd energi'!$B$1:$AI$720,MATCH(P$1,'Tillförd energi'!$B$1:$AQ$1,0),FALSE)</f>
        <v>18.353000000000002</v>
      </c>
      <c r="Q132" s="121">
        <f>VLOOKUP($B132,'Tillförd energi'!$B$1:$AI$720,MATCH(Q$1,'Tillförd energi'!$B$1:$AQ$1,0),FALSE)</f>
        <v>0</v>
      </c>
      <c r="R132" s="121">
        <f>VLOOKUP($B132,'Tillförd energi'!$B$1:$AI$720,MATCH(R$1,'Tillförd energi'!$B$1:$AQ$1,0),FALSE)</f>
        <v>0</v>
      </c>
      <c r="S132" s="121">
        <f>VLOOKUP($B132,'Tillförd energi'!$B$1:$AI$720,MATCH(S$1,'Tillförd energi'!$B$1:$AQ$1,0),FALSE)</f>
        <v>0</v>
      </c>
      <c r="T132" s="121">
        <f>VLOOKUP($B132,'Tillförd energi'!$B$1:$AI$720,MATCH(T$1,'Tillförd energi'!$B$1:$AQ$1,0),FALSE)</f>
        <v>0</v>
      </c>
      <c r="U132" s="121">
        <f>VLOOKUP($B132,'Tillförd energi'!$B$1:$AI$720,MATCH(U$1,'Tillförd energi'!$B$1:$AQ$1,0),FALSE)</f>
        <v>0</v>
      </c>
      <c r="V132" s="121">
        <f>VLOOKUP($B132,'Tillförd energi'!$B$1:$AI$720,MATCH(V$1,'Tillförd energi'!$B$1:$AQ$1,0),FALSE)</f>
        <v>0</v>
      </c>
      <c r="W132" s="121">
        <f>VLOOKUP($B132,'Tillförd energi'!$B$1:$AI$720,MATCH(W$1,'Tillförd energi'!$B$1:$AQ$1,0),FALSE)</f>
        <v>0</v>
      </c>
      <c r="X132" s="121">
        <f>VLOOKUP($B132,'Tillförd energi'!$B$1:$AI$720,MATCH(X$1,'Tillförd energi'!$B$1:$AQ$1,0),FALSE)</f>
        <v>0.22352900000000001</v>
      </c>
      <c r="Y132" s="121">
        <f>VLOOKUP($B132,'Tillförd energi'!$B$1:$AI$720,MATCH(Y$1,'Tillförd energi'!$B$1:$AQ$1,0),FALSE)</f>
        <v>0</v>
      </c>
      <c r="Z132" s="121">
        <f>VLOOKUP($B132,'Tillförd energi'!$B$1:$AI$720,MATCH(Z$1,'Tillförd energi'!$B$1:$AQ$1,0),FALSE)</f>
        <v>0</v>
      </c>
      <c r="AA132" s="121">
        <f>VLOOKUP($B132,'Tillförd energi'!$B$1:$AI$720,MATCH(AA$1,'Tillförd energi'!$B$1:$AQ$1,0),FALSE)</f>
        <v>0</v>
      </c>
      <c r="AB132" s="121">
        <f>VLOOKUP($B132,'Tillförd energi'!$B$1:$AI$720,MATCH(AB$1,'Tillförd energi'!$B$1:$AQ$1,0),FALSE)</f>
        <v>0</v>
      </c>
      <c r="AC132" s="121">
        <f>VLOOKUP($B132,'Tillförd energi'!$B$1:$AI$720,MATCH(AC$1,'Tillförd energi'!$B$1:$AQ$1,0),FALSE)</f>
        <v>2.4089999999999998</v>
      </c>
      <c r="AD132" s="121">
        <f>VLOOKUP($B132,'Tillförd energi'!$B$1:$AI$720,MATCH(AD$1,'Tillförd energi'!$B$1:$AQ$1,0),FALSE)</f>
        <v>0</v>
      </c>
      <c r="AE132" s="121">
        <f>VLOOKUP($B132,'Tillförd energi'!$B$1:$AI$720,MATCH(AE$1,'Tillförd energi'!$B$1:$AQ$1,0),FALSE)</f>
        <v>0</v>
      </c>
      <c r="AF132" s="121">
        <f>VLOOKUP($B132,'Tillförd energi'!$B$1:$AI$720,MATCH(AF$1,'Tillförd energi'!$B$1:$AQ$1,0),FALSE)</f>
        <v>0.45300000000000001</v>
      </c>
      <c r="AG132" s="121">
        <f>IFERROR(VLOOKUP(B132,Miljö!$B$1:$AC$550,MATCH("Köpt mängd produktionsspecifik fjärrvärme:",Miljö!$B$1:$AC$1,0),FALSE)/1,0)</f>
        <v>0</v>
      </c>
      <c r="AH132" s="121"/>
      <c r="AI132" s="121">
        <f t="shared" si="44"/>
        <v>22.080528999999999</v>
      </c>
      <c r="AJ132" s="121">
        <f t="shared" si="45"/>
        <v>22.080528999999999</v>
      </c>
      <c r="AK132" s="121">
        <f>IF(ISERROR(1/VLOOKUP($B132,Leveranser!$B$1:$S$499,MATCH("såld värme (gwh)",Leveranser!$B$1:$S$1,0),FALSE)),"",VLOOKUP($B132,Leveranser!$B$1:$S$499,MATCH("såld värme (gwh)",Leveranser!$B$1:$S$1,0),FALSE))</f>
        <v>15.1</v>
      </c>
      <c r="AL132" s="121">
        <f>VLOOKUP($B132,Leveranser!$B$1:$Y$499,MATCH("Totalt såld fjärrvärme till andra fjärrvärmeföretag",Leveranser!$B$1:$AA$1,0),FALSE)</f>
        <v>0</v>
      </c>
      <c r="AM132" s="121">
        <f>IF(ISERROR(1/VLOOKUP($B132,Miljö!$B$1:$S$500,MATCH("Såld mängd produktionsspecifik fjärrvärme (GWh)",Miljö!$B$1:$R$1,0),FALSE)),0,VLOOKUP($B132,Miljö!$B$1:$S$500,MATCH("Såld mängd produktionsspecifik fjärrvärme (GWh)",Miljö!$B$1:$R$1,0),FALSE))</f>
        <v>0</v>
      </c>
      <c r="AN132" s="172">
        <f t="shared" si="46"/>
        <v>0.68386042743812891</v>
      </c>
      <c r="AO132" s="121"/>
      <c r="AP132" s="121" t="str">
        <f>IFERROR(VLOOKUP($B132,Miljövärden!$B$2:$H$550,7,FALSE),"Nej, saknas")</f>
        <v>Ja</v>
      </c>
      <c r="AQ132" s="121" t="str">
        <f>IFERROR(VLOOKUP($B132,Miljövärden!$B$2:$H$550,6,FALSE),"Nej, saknas")</f>
        <v>Nej</v>
      </c>
      <c r="AU132">
        <f t="shared" si="47"/>
        <v>0.45300000000000001</v>
      </c>
      <c r="AV132">
        <f t="shared" si="48"/>
        <v>0.22352900000000001</v>
      </c>
      <c r="AW132">
        <f t="shared" si="49"/>
        <v>18.353000000000002</v>
      </c>
      <c r="AX132">
        <f t="shared" si="50"/>
        <v>0</v>
      </c>
      <c r="AZ132">
        <f t="shared" si="51"/>
        <v>18.576529000000001</v>
      </c>
      <c r="BC132">
        <f t="shared" si="52"/>
        <v>0.64200000000000002</v>
      </c>
      <c r="BD132">
        <f t="shared" si="53"/>
        <v>0</v>
      </c>
      <c r="BE132">
        <f t="shared" si="54"/>
        <v>18.576529000000001</v>
      </c>
      <c r="BF132">
        <f t="shared" si="55"/>
        <v>2.4089999999999998</v>
      </c>
      <c r="BG132">
        <f t="shared" si="56"/>
        <v>0.45300000000000001</v>
      </c>
      <c r="BH132">
        <f>VLOOKUP(B132,Miljö!$B$1:$BX$482,MATCH("Fossilandel för ursprungspecificerad el ()",Miljö!$B$1:$I$1,0),FALSE)</f>
        <v>0.43</v>
      </c>
      <c r="BI132">
        <f>VLOOKUP(B132,Miljö!$B$1:$BX$482,MATCH("Kärnkraftsandel för ursprungsspecificerad el ()",Miljö!$B$1:$O$1,0),FALSE)</f>
        <v>0.40550000000000003</v>
      </c>
      <c r="BJ132">
        <f t="shared" si="57"/>
        <v>0</v>
      </c>
      <c r="BK132" t="str">
        <f>VLOOKUP(B132,Miljö!$B$1:$O$482,MATCH("Fossil andel i procent (%)",Miljö!$B$1:$O$1,0),FALSE)</f>
        <v>ET</v>
      </c>
      <c r="BL132">
        <f t="shared" si="58"/>
        <v>22.080528999999999</v>
      </c>
      <c r="BO132" s="18">
        <f t="shared" si="59"/>
        <v>3.7897189872579597E-2</v>
      </c>
      <c r="BP132" s="18">
        <f t="shared" si="60"/>
        <v>8.3191620997848381E-3</v>
      </c>
      <c r="BQ132" s="18">
        <f t="shared" si="61"/>
        <v>0.84468300102773819</v>
      </c>
      <c r="BR132" s="18">
        <f t="shared" si="62"/>
        <v>0.10910064699989751</v>
      </c>
      <c r="BT132" s="27">
        <f t="shared" si="63"/>
        <v>1</v>
      </c>
      <c r="BW132" s="18">
        <f>IF(AP132="ja",VLOOKUP(B132,Miljövärden!$B$2:$H$550,MATCH("Total andel fossilt",Miljövärden!$B$2:$H$2,0),FALSE),"")</f>
        <v>3.7897199999999999E-2</v>
      </c>
      <c r="BZ132" s="28">
        <f t="shared" si="64"/>
        <v>1.0127420402294973E-8</v>
      </c>
      <c r="CA132" s="28">
        <f t="shared" si="65"/>
        <v>0</v>
      </c>
    </row>
    <row r="133" spans="1:79" x14ac:dyDescent="0.25">
      <c r="A133" s="224" t="s">
        <v>380</v>
      </c>
      <c r="B133" s="210" t="s">
        <v>381</v>
      </c>
      <c r="C133" s="121">
        <f>VLOOKUP($B133,'Tillförd energi'!$B$1:$AI$720,MATCH(C$1,'Tillförd energi'!$B$1:$AQ$1,0),FALSE)</f>
        <v>0</v>
      </c>
      <c r="D133" s="121">
        <f>VLOOKUP($B133,'Tillförd energi'!$B$1:$AI$720,MATCH(D$1,'Tillförd energi'!$B$1:$AQ$1,0),FALSE)</f>
        <v>2.008</v>
      </c>
      <c r="E133" s="121">
        <f>VLOOKUP($B133,'Tillförd energi'!$B$1:$AI$720,MATCH(E$1,'Tillförd energi'!$B$1:$AQ$1,0),FALSE)</f>
        <v>0</v>
      </c>
      <c r="F133" s="121">
        <f>VLOOKUP($B133,'Tillförd energi'!$B$1:$AI$720,MATCH(F$1,'Tillförd energi'!$B$1:$AQ$1,0),FALSE)</f>
        <v>0</v>
      </c>
      <c r="G133" s="121">
        <f>VLOOKUP($B133,'Tillförd energi'!$B$1:$AI$720,MATCH(G$1,'Tillförd energi'!$B$1:$AQ$1,0),FALSE)</f>
        <v>1.1990000000000001</v>
      </c>
      <c r="H133" s="121">
        <f>VLOOKUP($B133,'Tillförd energi'!$B$1:$AI$720,MATCH(H$1,'Tillförd energi'!$B$1:$AQ$1,0),FALSE)</f>
        <v>0</v>
      </c>
      <c r="I133" s="121">
        <f>VLOOKUP($B133,'Tillförd energi'!$B$1:$AI$720,MATCH(I$1,'Tillförd energi'!$B$1:$AQ$1,0),FALSE)</f>
        <v>0</v>
      </c>
      <c r="J133" s="121">
        <f>VLOOKUP($B133,'Tillförd energi'!$B$1:$AI$720,MATCH(J$1,'Tillförd energi'!$B$1:$AQ$1,0),FALSE)</f>
        <v>0</v>
      </c>
      <c r="K133" s="121">
        <f>VLOOKUP($B133,'Tillförd energi'!$B$1:$AI$720,MATCH(K$1,'Tillförd energi'!$B$1:$AQ$1,0),FALSE)</f>
        <v>0</v>
      </c>
      <c r="L133" s="121">
        <f>VLOOKUP($B133,'Tillförd energi'!$B$1:$AI$720,MATCH(L$1,'Tillförd energi'!$B$1:$AQ$1,0),FALSE)</f>
        <v>0</v>
      </c>
      <c r="M133" s="121">
        <f>VLOOKUP($B133,'Tillförd energi'!$B$1:$AI$720,MATCH(M$1,'Tillförd energi'!$B$1:$AQ$1,0),FALSE)</f>
        <v>0</v>
      </c>
      <c r="N133" s="121">
        <f>VLOOKUP($B133,'Tillförd energi'!$B$1:$AI$720,MATCH(N$1,'Tillförd energi'!$B$1:$AQ$1,0),FALSE)</f>
        <v>0</v>
      </c>
      <c r="O133" s="121">
        <f>VLOOKUP($B133,'Tillförd energi'!$B$1:$AI$720,MATCH(O$1,'Tillförd energi'!$B$1:$AQ$1,0),FALSE)</f>
        <v>0</v>
      </c>
      <c r="P133" s="121">
        <f>VLOOKUP($B133,'Tillförd energi'!$B$1:$AI$720,MATCH(P$1,'Tillförd energi'!$B$1:$AQ$1,0),FALSE)</f>
        <v>0</v>
      </c>
      <c r="Q133" s="121">
        <f>VLOOKUP($B133,'Tillförd energi'!$B$1:$AI$720,MATCH(Q$1,'Tillförd energi'!$B$1:$AQ$1,0),FALSE)</f>
        <v>0</v>
      </c>
      <c r="R133" s="121">
        <f>VLOOKUP($B133,'Tillförd energi'!$B$1:$AI$720,MATCH(R$1,'Tillförd energi'!$B$1:$AQ$1,0),FALSE)</f>
        <v>11.427</v>
      </c>
      <c r="S133" s="121">
        <f>VLOOKUP($B133,'Tillförd energi'!$B$1:$AI$720,MATCH(S$1,'Tillförd energi'!$B$1:$AQ$1,0),FALSE)</f>
        <v>0</v>
      </c>
      <c r="T133" s="121">
        <f>VLOOKUP($B133,'Tillförd energi'!$B$1:$AI$720,MATCH(T$1,'Tillförd energi'!$B$1:$AQ$1,0),FALSE)</f>
        <v>0</v>
      </c>
      <c r="U133" s="121">
        <f>VLOOKUP($B133,'Tillförd energi'!$B$1:$AI$720,MATCH(U$1,'Tillförd energi'!$B$1:$AQ$1,0),FALSE)</f>
        <v>0</v>
      </c>
      <c r="V133" s="121">
        <f>VLOOKUP($B133,'Tillförd energi'!$B$1:$AI$720,MATCH(V$1,'Tillförd energi'!$B$1:$AQ$1,0),FALSE)</f>
        <v>0</v>
      </c>
      <c r="W133" s="121">
        <f>VLOOKUP($B133,'Tillförd energi'!$B$1:$AI$720,MATCH(W$1,'Tillförd energi'!$B$1:$AQ$1,0),FALSE)</f>
        <v>0</v>
      </c>
      <c r="X133" s="121">
        <f>VLOOKUP($B133,'Tillförd energi'!$B$1:$AI$720,MATCH(X$1,'Tillförd energi'!$B$1:$AQ$1,0),FALSE)</f>
        <v>0</v>
      </c>
      <c r="Y133" s="121">
        <f>VLOOKUP($B133,'Tillförd energi'!$B$1:$AI$720,MATCH(Y$1,'Tillförd energi'!$B$1:$AQ$1,0),FALSE)</f>
        <v>0</v>
      </c>
      <c r="Z133" s="121">
        <f>VLOOKUP($B133,'Tillförd energi'!$B$1:$AI$720,MATCH(Z$1,'Tillförd energi'!$B$1:$AQ$1,0),FALSE)</f>
        <v>0</v>
      </c>
      <c r="AA133" s="121">
        <f>VLOOKUP($B133,'Tillförd energi'!$B$1:$AI$720,MATCH(AA$1,'Tillförd energi'!$B$1:$AQ$1,0),FALSE)</f>
        <v>0</v>
      </c>
      <c r="AB133" s="121">
        <f>VLOOKUP($B133,'Tillförd energi'!$B$1:$AI$720,MATCH(AB$1,'Tillförd energi'!$B$1:$AQ$1,0),FALSE)</f>
        <v>0</v>
      </c>
      <c r="AC133" s="121">
        <f>VLOOKUP($B133,'Tillförd energi'!$B$1:$AI$720,MATCH(AC$1,'Tillförd energi'!$B$1:$AQ$1,0),FALSE)</f>
        <v>0</v>
      </c>
      <c r="AD133" s="121">
        <f>VLOOKUP($B133,'Tillförd energi'!$B$1:$AI$720,MATCH(AD$1,'Tillförd energi'!$B$1:$AQ$1,0),FALSE)</f>
        <v>176.923</v>
      </c>
      <c r="AE133" s="121">
        <f>VLOOKUP($B133,'Tillförd energi'!$B$1:$AI$720,MATCH(AE$1,'Tillförd energi'!$B$1:$AQ$1,0),FALSE)</f>
        <v>0</v>
      </c>
      <c r="AF133" s="121">
        <f>VLOOKUP($B133,'Tillförd energi'!$B$1:$AI$720,MATCH(AF$1,'Tillförd energi'!$B$1:$AQ$1,0),FALSE)</f>
        <v>5.0346900000000003</v>
      </c>
      <c r="AG133" s="121">
        <f>IFERROR(VLOOKUP(B133,Miljö!$B$1:$AC$550,MATCH("Köpt mängd produktionsspecifik fjärrvärme:",Miljö!$B$1:$AC$1,0),FALSE)/1,0)</f>
        <v>0</v>
      </c>
      <c r="AH133" s="121"/>
      <c r="AI133" s="121">
        <f t="shared" si="44"/>
        <v>196.59169000000003</v>
      </c>
      <c r="AJ133" s="121">
        <f t="shared" si="45"/>
        <v>196.59169000000003</v>
      </c>
      <c r="AK133" s="121">
        <f>IF(ISERROR(1/VLOOKUP($B133,Leveranser!$B$1:$S$499,MATCH("såld värme (gwh)",Leveranser!$B$1:$S$1,0),FALSE)),"",VLOOKUP($B133,Leveranser!$B$1:$S$499,MATCH("såld värme (gwh)",Leveranser!$B$1:$S$1,0),FALSE))</f>
        <v>167.82300000000001</v>
      </c>
      <c r="AL133" s="121">
        <f>VLOOKUP($B133,Leveranser!$B$1:$Y$499,MATCH("Totalt såld fjärrvärme till andra fjärrvärmeföretag",Leveranser!$B$1:$AA$1,0),FALSE)</f>
        <v>0</v>
      </c>
      <c r="AM133" s="121">
        <f>IF(ISERROR(1/VLOOKUP($B133,Miljö!$B$1:$S$500,MATCH("Såld mängd produktionsspecifik fjärrvärme (GWh)",Miljö!$B$1:$R$1,0),FALSE)),0,VLOOKUP($B133,Miljö!$B$1:$S$500,MATCH("Såld mängd produktionsspecifik fjärrvärme (GWh)",Miljö!$B$1:$R$1,0),FALSE))</f>
        <v>0</v>
      </c>
      <c r="AN133" s="172">
        <f t="shared" si="46"/>
        <v>0.85366273620212529</v>
      </c>
      <c r="AO133" s="121"/>
      <c r="AP133" s="121" t="str">
        <f>IFERROR(VLOOKUP($B133,Miljövärden!$B$2:$H$550,7,FALSE),"Nej, saknas")</f>
        <v>Ja</v>
      </c>
      <c r="AQ133" s="121" t="str">
        <f>IFERROR(VLOOKUP($B133,Miljövärden!$B$2:$H$550,6,FALSE),"Nej, saknas")</f>
        <v>Ja</v>
      </c>
      <c r="AU133">
        <f t="shared" si="47"/>
        <v>5.0346900000000003</v>
      </c>
      <c r="AV133">
        <f t="shared" si="48"/>
        <v>0</v>
      </c>
      <c r="AW133">
        <f t="shared" si="49"/>
        <v>0</v>
      </c>
      <c r="AX133">
        <f t="shared" si="50"/>
        <v>11.427</v>
      </c>
      <c r="AZ133">
        <f t="shared" si="51"/>
        <v>11.427</v>
      </c>
      <c r="BC133">
        <f t="shared" si="52"/>
        <v>3.2069999999999999</v>
      </c>
      <c r="BD133">
        <f t="shared" si="53"/>
        <v>0</v>
      </c>
      <c r="BE133">
        <f t="shared" si="54"/>
        <v>11.427</v>
      </c>
      <c r="BF133">
        <f t="shared" si="55"/>
        <v>176.923</v>
      </c>
      <c r="BG133">
        <f t="shared" si="56"/>
        <v>5.0346900000000003</v>
      </c>
      <c r="BH133">
        <f>VLOOKUP(B133,Miljö!$B$1:$BX$482,MATCH("Fossilandel för ursprungspecificerad el ()",Miljö!$B$1:$I$1,0),FALSE)</f>
        <v>0</v>
      </c>
      <c r="BI133">
        <f>VLOOKUP(B133,Miljö!$B$1:$BX$482,MATCH("Kärnkraftsandel för ursprungsspecificerad el ()",Miljö!$B$1:$O$1,0),FALSE)</f>
        <v>0</v>
      </c>
      <c r="BJ133">
        <f t="shared" si="57"/>
        <v>0</v>
      </c>
      <c r="BK133" t="str">
        <f>VLOOKUP(B133,Miljö!$B$1:$O$482,MATCH("Fossil andel i procent (%)",Miljö!$B$1:$O$1,0),FALSE)</f>
        <v>ET</v>
      </c>
      <c r="BL133">
        <f t="shared" si="58"/>
        <v>196.59169000000003</v>
      </c>
      <c r="BO133" s="18">
        <f t="shared" si="59"/>
        <v>1.6312998784434884E-2</v>
      </c>
      <c r="BP133" s="18">
        <f t="shared" si="60"/>
        <v>0</v>
      </c>
      <c r="BQ133" s="18">
        <f t="shared" si="61"/>
        <v>8.373543154341874E-2</v>
      </c>
      <c r="BR133" s="18">
        <f t="shared" si="62"/>
        <v>0.89995156967214629</v>
      </c>
      <c r="BT133" s="27">
        <f t="shared" si="63"/>
        <v>0.99999999999999989</v>
      </c>
      <c r="BW133" s="18">
        <f>IF(AP133="ja",VLOOKUP(B133,Miljövärden!$B$2:$H$550,MATCH("Total andel fossilt",Miljövärden!$B$2:$H$2,0),FALSE),"")</f>
        <v>1.6313000000000001E-2</v>
      </c>
      <c r="BZ133" s="28">
        <f t="shared" si="64"/>
        <v>1.2155651173129112E-9</v>
      </c>
      <c r="CA133" s="28">
        <f t="shared" si="65"/>
        <v>0</v>
      </c>
    </row>
    <row r="134" spans="1:79" x14ac:dyDescent="0.25">
      <c r="A134" s="224" t="s">
        <v>382</v>
      </c>
      <c r="B134" s="210" t="s">
        <v>87</v>
      </c>
      <c r="C134" s="121">
        <f>VLOOKUP($B134,'Tillförd energi'!$B$1:$AI$720,MATCH(C$1,'Tillförd energi'!$B$1:$AQ$1,0),FALSE)</f>
        <v>0</v>
      </c>
      <c r="D134" s="121">
        <f>VLOOKUP($B134,'Tillförd energi'!$B$1:$AI$720,MATCH(D$1,'Tillförd energi'!$B$1:$AQ$1,0),FALSE)</f>
        <v>17.923300000000001</v>
      </c>
      <c r="E134" s="121">
        <f>VLOOKUP($B134,'Tillförd energi'!$B$1:$AI$720,MATCH(E$1,'Tillförd energi'!$B$1:$AQ$1,0),FALSE)</f>
        <v>0</v>
      </c>
      <c r="F134" s="121">
        <f>VLOOKUP($B134,'Tillförd energi'!$B$1:$AI$720,MATCH(F$1,'Tillförd energi'!$B$1:$AQ$1,0),FALSE)</f>
        <v>0</v>
      </c>
      <c r="G134" s="121">
        <f>VLOOKUP($B134,'Tillförd energi'!$B$1:$AI$720,MATCH(G$1,'Tillförd energi'!$B$1:$AQ$1,0),FALSE)</f>
        <v>0</v>
      </c>
      <c r="H134" s="121">
        <f>VLOOKUP($B134,'Tillförd energi'!$B$1:$AI$720,MATCH(H$1,'Tillförd energi'!$B$1:$AQ$1,0),FALSE)</f>
        <v>0</v>
      </c>
      <c r="I134" s="121">
        <f>VLOOKUP($B134,'Tillförd energi'!$B$1:$AI$720,MATCH(I$1,'Tillförd energi'!$B$1:$AQ$1,0),FALSE)</f>
        <v>72.571299999999994</v>
      </c>
      <c r="J134" s="121">
        <f>VLOOKUP($B134,'Tillförd energi'!$B$1:$AI$720,MATCH(J$1,'Tillförd energi'!$B$1:$AQ$1,0),FALSE)</f>
        <v>0</v>
      </c>
      <c r="K134" s="121">
        <f>VLOOKUP($B134,'Tillförd energi'!$B$1:$AI$720,MATCH(K$1,'Tillförd energi'!$B$1:$AQ$1,0),FALSE)</f>
        <v>0</v>
      </c>
      <c r="L134" s="121">
        <f>VLOOKUP($B134,'Tillförd energi'!$B$1:$AI$720,MATCH(L$1,'Tillförd energi'!$B$1:$AQ$1,0),FALSE)</f>
        <v>163.732</v>
      </c>
      <c r="M134" s="121">
        <f>VLOOKUP($B134,'Tillförd energi'!$B$1:$AI$720,MATCH(M$1,'Tillförd energi'!$B$1:$AQ$1,0),FALSE)</f>
        <v>0</v>
      </c>
      <c r="N134" s="121">
        <f>VLOOKUP($B134,'Tillförd energi'!$B$1:$AI$720,MATCH(N$1,'Tillförd energi'!$B$1:$AQ$1,0),FALSE)</f>
        <v>0</v>
      </c>
      <c r="O134" s="121">
        <f>VLOOKUP($B134,'Tillförd energi'!$B$1:$AI$720,MATCH(O$1,'Tillförd energi'!$B$1:$AQ$1,0),FALSE)</f>
        <v>0</v>
      </c>
      <c r="P134" s="121">
        <f>VLOOKUP($B134,'Tillförd energi'!$B$1:$AI$720,MATCH(P$1,'Tillförd energi'!$B$1:$AQ$1,0),FALSE)</f>
        <v>0</v>
      </c>
      <c r="Q134" s="121">
        <f>VLOOKUP($B134,'Tillförd energi'!$B$1:$AI$720,MATCH(Q$1,'Tillförd energi'!$B$1:$AQ$1,0),FALSE)</f>
        <v>0</v>
      </c>
      <c r="R134" s="121">
        <f>VLOOKUP($B134,'Tillförd energi'!$B$1:$AI$720,MATCH(R$1,'Tillförd energi'!$B$1:$AQ$1,0),FALSE)</f>
        <v>0</v>
      </c>
      <c r="S134" s="121">
        <f>VLOOKUP($B134,'Tillförd energi'!$B$1:$AI$720,MATCH(S$1,'Tillförd energi'!$B$1:$AQ$1,0),FALSE)</f>
        <v>0</v>
      </c>
      <c r="T134" s="121">
        <f>VLOOKUP($B134,'Tillförd energi'!$B$1:$AI$720,MATCH(T$1,'Tillförd energi'!$B$1:$AQ$1,0),FALSE)</f>
        <v>0</v>
      </c>
      <c r="U134" s="121">
        <f>VLOOKUP($B134,'Tillförd energi'!$B$1:$AI$720,MATCH(U$1,'Tillförd energi'!$B$1:$AQ$1,0),FALSE)</f>
        <v>6.2479800000000001</v>
      </c>
      <c r="V134" s="121">
        <f>VLOOKUP($B134,'Tillförd energi'!$B$1:$AI$720,MATCH(V$1,'Tillförd energi'!$B$1:$AQ$1,0),FALSE)</f>
        <v>0</v>
      </c>
      <c r="W134" s="121">
        <f>VLOOKUP($B134,'Tillförd energi'!$B$1:$AI$720,MATCH(W$1,'Tillförd energi'!$B$1:$AQ$1,0),FALSE)</f>
        <v>26.384699999999999</v>
      </c>
      <c r="X134" s="121">
        <f>VLOOKUP($B134,'Tillförd energi'!$B$1:$AI$720,MATCH(X$1,'Tillförd energi'!$B$1:$AQ$1,0),FALSE)</f>
        <v>0</v>
      </c>
      <c r="Y134" s="121">
        <f>VLOOKUP($B134,'Tillförd energi'!$B$1:$AI$720,MATCH(Y$1,'Tillförd energi'!$B$1:$AQ$1,0),FALSE)</f>
        <v>52.188899999999997</v>
      </c>
      <c r="Z134" s="121">
        <f>VLOOKUP($B134,'Tillförd energi'!$B$1:$AI$720,MATCH(Z$1,'Tillförd energi'!$B$1:$AQ$1,0),FALSE)</f>
        <v>0</v>
      </c>
      <c r="AA134" s="121">
        <f>VLOOKUP($B134,'Tillförd energi'!$B$1:$AI$720,MATCH(AA$1,'Tillförd energi'!$B$1:$AQ$1,0),FALSE)</f>
        <v>0</v>
      </c>
      <c r="AB134" s="121">
        <f>VLOOKUP($B134,'Tillförd energi'!$B$1:$AI$720,MATCH(AB$1,'Tillförd energi'!$B$1:$AQ$1,0),FALSE)</f>
        <v>0</v>
      </c>
      <c r="AC134" s="121">
        <f>VLOOKUP($B134,'Tillförd energi'!$B$1:$AI$720,MATCH(AC$1,'Tillförd energi'!$B$1:$AQ$1,0),FALSE)</f>
        <v>22.4</v>
      </c>
      <c r="AD134" s="121">
        <f>VLOOKUP($B134,'Tillförd energi'!$B$1:$AI$720,MATCH(AD$1,'Tillförd energi'!$B$1:$AQ$1,0),FALSE)</f>
        <v>0</v>
      </c>
      <c r="AE134" s="121">
        <f>VLOOKUP($B134,'Tillförd energi'!$B$1:$AI$720,MATCH(AE$1,'Tillförd energi'!$B$1:$AQ$1,0),FALSE)</f>
        <v>0</v>
      </c>
      <c r="AF134" s="121">
        <f>VLOOKUP($B134,'Tillförd energi'!$B$1:$AI$720,MATCH(AF$1,'Tillförd energi'!$B$1:$AQ$1,0),FALSE)</f>
        <v>13.027100000000001</v>
      </c>
      <c r="AG134" s="121">
        <f>IFERROR(VLOOKUP(B134,Miljö!$B$1:$AC$550,MATCH("Köpt mängd produktionsspecifik fjärrvärme:",Miljö!$B$1:$AC$1,0),FALSE)/1,0)</f>
        <v>0</v>
      </c>
      <c r="AH134" s="121"/>
      <c r="AI134" s="121">
        <f t="shared" si="44"/>
        <v>374.47528</v>
      </c>
      <c r="AJ134" s="121">
        <f t="shared" si="45"/>
        <v>374.47528</v>
      </c>
      <c r="AK134" s="121">
        <f>IF(ISERROR(1/VLOOKUP($B134,Leveranser!$B$1:$S$499,MATCH("såld värme (gwh)",Leveranser!$B$1:$S$1,0),FALSE)),"",VLOOKUP($B134,Leveranser!$B$1:$S$499,MATCH("såld värme (gwh)",Leveranser!$B$1:$S$1,0),FALSE))</f>
        <v>305.2</v>
      </c>
      <c r="AL134" s="121">
        <f>VLOOKUP($B134,Leveranser!$B$1:$Y$499,MATCH("Totalt såld fjärrvärme till andra fjärrvärmeföretag",Leveranser!$B$1:$AA$1,0),FALSE)</f>
        <v>0</v>
      </c>
      <c r="AM134" s="121">
        <f>IF(ISERROR(1/VLOOKUP($B134,Miljö!$B$1:$S$500,MATCH("Såld mängd produktionsspecifik fjärrvärme (GWh)",Miljö!$B$1:$R$1,0),FALSE)),0,VLOOKUP($B134,Miljö!$B$1:$S$500,MATCH("Såld mängd produktionsspecifik fjärrvärme (GWh)",Miljö!$B$1:$R$1,0),FALSE))</f>
        <v>0</v>
      </c>
      <c r="AN134" s="172">
        <f t="shared" si="46"/>
        <v>0.81500706802328848</v>
      </c>
      <c r="AO134" s="121"/>
      <c r="AP134" s="121" t="str">
        <f>IFERROR(VLOOKUP($B134,Miljövärden!$B$2:$H$550,7,FALSE),"Nej, saknas")</f>
        <v>Ja</v>
      </c>
      <c r="AQ134" s="121" t="str">
        <f>IFERROR(VLOOKUP($B134,Miljövärden!$B$2:$H$550,6,FALSE),"Nej, saknas")</f>
        <v>Ja</v>
      </c>
      <c r="AU134">
        <f t="shared" si="47"/>
        <v>13.027100000000001</v>
      </c>
      <c r="AV134">
        <f t="shared" si="48"/>
        <v>0</v>
      </c>
      <c r="AW134">
        <f t="shared" si="49"/>
        <v>0</v>
      </c>
      <c r="AX134">
        <f t="shared" si="50"/>
        <v>6.2479800000000001</v>
      </c>
      <c r="AZ134">
        <f t="shared" si="51"/>
        <v>196.36468000000002</v>
      </c>
      <c r="BC134">
        <f t="shared" si="52"/>
        <v>17.923300000000001</v>
      </c>
      <c r="BD134">
        <f t="shared" si="53"/>
        <v>52.188899999999997</v>
      </c>
      <c r="BE134">
        <f t="shared" si="54"/>
        <v>32.632680000000001</v>
      </c>
      <c r="BF134">
        <f t="shared" si="55"/>
        <v>258.70329999999996</v>
      </c>
      <c r="BG134">
        <f t="shared" si="56"/>
        <v>13.027100000000001</v>
      </c>
      <c r="BH134">
        <f>VLOOKUP(B134,Miljö!$B$1:$BX$482,MATCH("Fossilandel för ursprungspecificerad el ()",Miljö!$B$1:$I$1,0),FALSE)</f>
        <v>0</v>
      </c>
      <c r="BI134">
        <f>VLOOKUP(B134,Miljö!$B$1:$BX$482,MATCH("Kärnkraftsandel för ursprungsspecificerad el ()",Miljö!$B$1:$O$1,0),FALSE)</f>
        <v>0</v>
      </c>
      <c r="BJ134">
        <f t="shared" si="57"/>
        <v>0</v>
      </c>
      <c r="BK134" t="str">
        <f>VLOOKUP(B134,Miljö!$B$1:$O$482,MATCH("Fossil andel i procent (%)",Miljö!$B$1:$O$1,0),FALSE)</f>
        <v>ET</v>
      </c>
      <c r="BL134">
        <f t="shared" si="58"/>
        <v>374.47528</v>
      </c>
      <c r="BO134" s="18">
        <f t="shared" si="59"/>
        <v>4.7862438343059657E-2</v>
      </c>
      <c r="BP134" s="18">
        <f t="shared" si="60"/>
        <v>0.13936540751101112</v>
      </c>
      <c r="BQ134" s="18">
        <f t="shared" si="61"/>
        <v>0.12193002432630533</v>
      </c>
      <c r="BR134" s="18">
        <f t="shared" si="62"/>
        <v>0.69084212981962378</v>
      </c>
      <c r="BT134" s="27">
        <f t="shared" si="63"/>
        <v>0.99999999999999989</v>
      </c>
      <c r="BW134" s="18">
        <f>IF(AP134="ja",VLOOKUP(B134,Miljövärden!$B$2:$H$550,MATCH("Total andel fossilt",Miljövärden!$B$2:$H$2,0),FALSE),"")</f>
        <v>4.7862500000000002E-2</v>
      </c>
      <c r="BZ134" s="28">
        <f t="shared" si="64"/>
        <v>6.1656940344989586E-8</v>
      </c>
      <c r="CA134" s="28">
        <f t="shared" si="65"/>
        <v>0</v>
      </c>
    </row>
    <row r="135" spans="1:79" x14ac:dyDescent="0.25">
      <c r="A135" s="224" t="s">
        <v>383</v>
      </c>
      <c r="B135" s="210" t="s">
        <v>384</v>
      </c>
      <c r="C135" s="121">
        <f>VLOOKUP($B135,'Tillförd energi'!$B$1:$AI$720,MATCH(C$1,'Tillförd energi'!$B$1:$AQ$1,0),FALSE)</f>
        <v>0</v>
      </c>
      <c r="D135" s="121">
        <f>VLOOKUP($B135,'Tillförd energi'!$B$1:$AI$720,MATCH(D$1,'Tillförd energi'!$B$1:$AQ$1,0),FALSE)</f>
        <v>7.1043900000000004</v>
      </c>
      <c r="E135" s="121">
        <f>VLOOKUP($B135,'Tillförd energi'!$B$1:$AI$720,MATCH(E$1,'Tillförd energi'!$B$1:$AQ$1,0),FALSE)</f>
        <v>0</v>
      </c>
      <c r="F135" s="121">
        <f>VLOOKUP($B135,'Tillförd energi'!$B$1:$AI$720,MATCH(F$1,'Tillförd energi'!$B$1:$AQ$1,0),FALSE)</f>
        <v>1.7035199999999999</v>
      </c>
      <c r="G135" s="121">
        <f>VLOOKUP($B135,'Tillförd energi'!$B$1:$AI$720,MATCH(G$1,'Tillförd energi'!$B$1:$AQ$1,0),FALSE)</f>
        <v>0</v>
      </c>
      <c r="H135" s="121">
        <f>VLOOKUP($B135,'Tillförd energi'!$B$1:$AI$720,MATCH(H$1,'Tillförd energi'!$B$1:$AQ$1,0),FALSE)</f>
        <v>0</v>
      </c>
      <c r="I135" s="121">
        <f>VLOOKUP($B135,'Tillförd energi'!$B$1:$AI$720,MATCH(I$1,'Tillförd energi'!$B$1:$AQ$1,0),FALSE)</f>
        <v>146.11000000000001</v>
      </c>
      <c r="J135" s="121">
        <f>VLOOKUP($B135,'Tillförd energi'!$B$1:$AI$720,MATCH(J$1,'Tillförd energi'!$B$1:$AQ$1,0),FALSE)</f>
        <v>0</v>
      </c>
      <c r="K135" s="121">
        <f>VLOOKUP($B135,'Tillförd energi'!$B$1:$AI$720,MATCH(K$1,'Tillförd energi'!$B$1:$AQ$1,0),FALSE)</f>
        <v>0</v>
      </c>
      <c r="L135" s="121">
        <f>VLOOKUP($B135,'Tillförd energi'!$B$1:$AI$720,MATCH(L$1,'Tillförd energi'!$B$1:$AQ$1,0),FALSE)</f>
        <v>0</v>
      </c>
      <c r="M135" s="121">
        <f>VLOOKUP($B135,'Tillförd energi'!$B$1:$AI$720,MATCH(M$1,'Tillförd energi'!$B$1:$AQ$1,0),FALSE)</f>
        <v>0</v>
      </c>
      <c r="N135" s="121">
        <f>VLOOKUP($B135,'Tillförd energi'!$B$1:$AI$720,MATCH(N$1,'Tillförd energi'!$B$1:$AQ$1,0),FALSE)</f>
        <v>0</v>
      </c>
      <c r="O135" s="121">
        <f>VLOOKUP($B135,'Tillförd energi'!$B$1:$AI$720,MATCH(O$1,'Tillförd energi'!$B$1:$AQ$1,0),FALSE)</f>
        <v>0</v>
      </c>
      <c r="P135" s="121">
        <f>VLOOKUP($B135,'Tillförd energi'!$B$1:$AI$720,MATCH(P$1,'Tillförd energi'!$B$1:$AQ$1,0),FALSE)</f>
        <v>0</v>
      </c>
      <c r="Q135" s="121">
        <f>VLOOKUP($B135,'Tillförd energi'!$B$1:$AI$720,MATCH(Q$1,'Tillförd energi'!$B$1:$AQ$1,0),FALSE)</f>
        <v>340.73</v>
      </c>
      <c r="R135" s="121">
        <f>VLOOKUP($B135,'Tillförd energi'!$B$1:$AI$720,MATCH(R$1,'Tillförd energi'!$B$1:$AQ$1,0),FALSE)</f>
        <v>0</v>
      </c>
      <c r="S135" s="121">
        <f>VLOOKUP($B135,'Tillförd energi'!$B$1:$AI$720,MATCH(S$1,'Tillförd energi'!$B$1:$AQ$1,0),FALSE)</f>
        <v>0</v>
      </c>
      <c r="T135" s="121">
        <f>VLOOKUP($B135,'Tillförd energi'!$B$1:$AI$720,MATCH(T$1,'Tillförd energi'!$B$1:$AQ$1,0),FALSE)</f>
        <v>0</v>
      </c>
      <c r="U135" s="121">
        <f>VLOOKUP($B135,'Tillförd energi'!$B$1:$AI$720,MATCH(U$1,'Tillförd energi'!$B$1:$AQ$1,0),FALSE)</f>
        <v>0</v>
      </c>
      <c r="V135" s="121">
        <f>VLOOKUP($B135,'Tillförd energi'!$B$1:$AI$720,MATCH(V$1,'Tillförd energi'!$B$1:$AQ$1,0),FALSE)</f>
        <v>0</v>
      </c>
      <c r="W135" s="121">
        <f>VLOOKUP($B135,'Tillförd energi'!$B$1:$AI$720,MATCH(W$1,'Tillförd energi'!$B$1:$AQ$1,0),FALSE)</f>
        <v>9.1</v>
      </c>
      <c r="X135" s="121">
        <f>VLOOKUP($B135,'Tillförd energi'!$B$1:$AI$720,MATCH(X$1,'Tillförd energi'!$B$1:$AQ$1,0),FALSE)</f>
        <v>0</v>
      </c>
      <c r="Y135" s="121">
        <f>VLOOKUP($B135,'Tillförd energi'!$B$1:$AI$720,MATCH(Y$1,'Tillförd energi'!$B$1:$AQ$1,0),FALSE)</f>
        <v>0</v>
      </c>
      <c r="Z135" s="121">
        <f>VLOOKUP($B135,'Tillförd energi'!$B$1:$AI$720,MATCH(Z$1,'Tillförd energi'!$B$1:$AQ$1,0),FALSE)</f>
        <v>0</v>
      </c>
      <c r="AA135" s="121">
        <f>VLOOKUP($B135,'Tillförd energi'!$B$1:$AI$720,MATCH(AA$1,'Tillförd energi'!$B$1:$AQ$1,0),FALSE)</f>
        <v>0</v>
      </c>
      <c r="AB135" s="121">
        <f>VLOOKUP($B135,'Tillförd energi'!$B$1:$AI$720,MATCH(AB$1,'Tillförd energi'!$B$1:$AQ$1,0),FALSE)</f>
        <v>0</v>
      </c>
      <c r="AC135" s="121">
        <f>VLOOKUP($B135,'Tillförd energi'!$B$1:$AI$720,MATCH(AC$1,'Tillförd energi'!$B$1:$AQ$1,0),FALSE)</f>
        <v>153.05099999999999</v>
      </c>
      <c r="AD135" s="121">
        <f>VLOOKUP($B135,'Tillförd energi'!$B$1:$AI$720,MATCH(AD$1,'Tillförd energi'!$B$1:$AQ$1,0),FALSE)</f>
        <v>5.0119999999999996</v>
      </c>
      <c r="AE135" s="121">
        <f>VLOOKUP($B135,'Tillförd energi'!$B$1:$AI$720,MATCH(AE$1,'Tillförd energi'!$B$1:$AQ$1,0),FALSE)</f>
        <v>0</v>
      </c>
      <c r="AF135" s="121">
        <f>VLOOKUP($B135,'Tillförd energi'!$B$1:$AI$720,MATCH(AF$1,'Tillförd energi'!$B$1:$AQ$1,0),FALSE)</f>
        <v>27.029199999999999</v>
      </c>
      <c r="AG135" s="121">
        <f>IFERROR(VLOOKUP(B135,Miljö!$B$1:$AC$550,MATCH("Köpt mängd produktionsspecifik fjärrvärme:",Miljö!$B$1:$AC$1,0),FALSE)/1,0)</f>
        <v>0</v>
      </c>
      <c r="AH135" s="121"/>
      <c r="AI135" s="121">
        <f t="shared" si="44"/>
        <v>689.84010999999987</v>
      </c>
      <c r="AJ135" s="121">
        <f t="shared" si="45"/>
        <v>689.84010999999987</v>
      </c>
      <c r="AK135" s="121">
        <f>IF(ISERROR(1/VLOOKUP($B135,Leveranser!$B$1:$S$499,MATCH("såld värme (gwh)",Leveranser!$B$1:$S$1,0),FALSE)),"",VLOOKUP($B135,Leveranser!$B$1:$S$499,MATCH("såld värme (gwh)",Leveranser!$B$1:$S$1,0),FALSE))</f>
        <v>576.79999999999995</v>
      </c>
      <c r="AL135" s="121">
        <f>VLOOKUP($B135,Leveranser!$B$1:$Y$499,MATCH("Totalt såld fjärrvärme till andra fjärrvärmeföretag",Leveranser!$B$1:$AA$1,0),FALSE)</f>
        <v>57.600999999999999</v>
      </c>
      <c r="AM135" s="121">
        <f>IF(ISERROR(1/VLOOKUP($B135,Miljö!$B$1:$S$500,MATCH("Såld mängd produktionsspecifik fjärrvärme (GWh)",Miljö!$B$1:$R$1,0),FALSE)),0,VLOOKUP($B135,Miljö!$B$1:$S$500,MATCH("Såld mängd produktionsspecifik fjärrvärme (GWh)",Miljö!$B$1:$R$1,0),FALSE))</f>
        <v>0</v>
      </c>
      <c r="AN135" s="172">
        <f t="shared" si="46"/>
        <v>0.83613578224670071</v>
      </c>
      <c r="AO135" s="121"/>
      <c r="AP135" s="121" t="str">
        <f>IFERROR(VLOOKUP($B135,Miljövärden!$B$2:$H$550,7,FALSE),"Nej, saknas")</f>
        <v>Ja</v>
      </c>
      <c r="AQ135" s="121" t="str">
        <f>IFERROR(VLOOKUP($B135,Miljövärden!$B$2:$H$550,6,FALSE),"Nej, saknas")</f>
        <v>Ja</v>
      </c>
      <c r="AU135">
        <f t="shared" si="47"/>
        <v>27.029199999999999</v>
      </c>
      <c r="AV135">
        <f t="shared" si="48"/>
        <v>0</v>
      </c>
      <c r="AW135">
        <f t="shared" si="49"/>
        <v>340.73</v>
      </c>
      <c r="AX135">
        <f t="shared" si="50"/>
        <v>0</v>
      </c>
      <c r="AZ135">
        <f t="shared" si="51"/>
        <v>349.83000000000004</v>
      </c>
      <c r="BC135">
        <f t="shared" si="52"/>
        <v>8.8079099999999997</v>
      </c>
      <c r="BD135">
        <f t="shared" si="53"/>
        <v>0</v>
      </c>
      <c r="BE135">
        <f t="shared" si="54"/>
        <v>349.83000000000004</v>
      </c>
      <c r="BF135">
        <f t="shared" si="55"/>
        <v>304.173</v>
      </c>
      <c r="BG135">
        <f t="shared" si="56"/>
        <v>27.029199999999999</v>
      </c>
      <c r="BH135">
        <f>VLOOKUP(B135,Miljö!$B$1:$BX$482,MATCH("Fossilandel för ursprungspecificerad el ()",Miljö!$B$1:$I$1,0),FALSE)</f>
        <v>0</v>
      </c>
      <c r="BI135">
        <f>VLOOKUP(B135,Miljö!$B$1:$BX$482,MATCH("Kärnkraftsandel för ursprungsspecificerad el ()",Miljö!$B$1:$O$1,0),FALSE)</f>
        <v>0</v>
      </c>
      <c r="BJ135">
        <f t="shared" si="57"/>
        <v>0</v>
      </c>
      <c r="BK135" t="str">
        <f>VLOOKUP(B135,Miljö!$B$1:$O$482,MATCH("Fossil andel i procent (%)",Miljö!$B$1:$O$1,0),FALSE)</f>
        <v>ET</v>
      </c>
      <c r="BL135">
        <f t="shared" si="58"/>
        <v>689.84010999999998</v>
      </c>
      <c r="BO135" s="18">
        <f t="shared" si="59"/>
        <v>1.2768045627268614E-2</v>
      </c>
      <c r="BP135" s="18">
        <f t="shared" si="60"/>
        <v>0</v>
      </c>
      <c r="BQ135" s="18">
        <f t="shared" si="61"/>
        <v>0.5462993446408908</v>
      </c>
      <c r="BR135" s="18">
        <f t="shared" si="62"/>
        <v>0.44093260973184062</v>
      </c>
      <c r="BT135" s="27">
        <f t="shared" si="63"/>
        <v>1</v>
      </c>
      <c r="BW135" s="18">
        <f>IF(AP135="ja",VLOOKUP(B135,Miljövärden!$B$2:$H$550,MATCH("Total andel fossilt",Miljövärden!$B$2:$H$2,0),FALSE),"")</f>
        <v>1.2768E-2</v>
      </c>
      <c r="BZ135" s="28">
        <f t="shared" si="64"/>
        <v>-4.5627268614387151E-8</v>
      </c>
      <c r="CA135" s="28">
        <f t="shared" si="65"/>
        <v>0</v>
      </c>
    </row>
    <row r="136" spans="1:79" x14ac:dyDescent="0.25">
      <c r="A136" s="224" t="s">
        <v>385</v>
      </c>
      <c r="B136" s="210" t="s">
        <v>386</v>
      </c>
      <c r="C136" s="121">
        <f>VLOOKUP($B136,'Tillförd energi'!$B$1:$AI$720,MATCH(C$1,'Tillförd energi'!$B$1:$AQ$1,0),FALSE)</f>
        <v>0</v>
      </c>
      <c r="D136" s="121">
        <f>VLOOKUP($B136,'Tillförd energi'!$B$1:$AI$720,MATCH(D$1,'Tillförd energi'!$B$1:$AQ$1,0),FALSE)</f>
        <v>0.6</v>
      </c>
      <c r="E136" s="121">
        <f>VLOOKUP($B136,'Tillförd energi'!$B$1:$AI$720,MATCH(E$1,'Tillförd energi'!$B$1:$AQ$1,0),FALSE)</f>
        <v>0</v>
      </c>
      <c r="F136" s="121">
        <f>VLOOKUP($B136,'Tillförd energi'!$B$1:$AI$720,MATCH(F$1,'Tillförd energi'!$B$1:$AQ$1,0),FALSE)</f>
        <v>0</v>
      </c>
      <c r="G136" s="121">
        <f>VLOOKUP($B136,'Tillförd energi'!$B$1:$AI$720,MATCH(G$1,'Tillförd energi'!$B$1:$AQ$1,0),FALSE)</f>
        <v>0</v>
      </c>
      <c r="H136" s="121">
        <f>VLOOKUP($B136,'Tillförd energi'!$B$1:$AI$720,MATCH(H$1,'Tillförd energi'!$B$1:$AQ$1,0),FALSE)</f>
        <v>0</v>
      </c>
      <c r="I136" s="121">
        <f>VLOOKUP($B136,'Tillförd energi'!$B$1:$AI$720,MATCH(I$1,'Tillförd energi'!$B$1:$AQ$1,0),FALSE)</f>
        <v>0</v>
      </c>
      <c r="J136" s="121">
        <f>VLOOKUP($B136,'Tillförd energi'!$B$1:$AI$720,MATCH(J$1,'Tillförd energi'!$B$1:$AQ$1,0),FALSE)</f>
        <v>0.235294</v>
      </c>
      <c r="K136" s="121">
        <f>VLOOKUP($B136,'Tillförd energi'!$B$1:$AI$720,MATCH(K$1,'Tillförd energi'!$B$1:$AQ$1,0),FALSE)</f>
        <v>0</v>
      </c>
      <c r="L136" s="121">
        <f>VLOOKUP($B136,'Tillförd energi'!$B$1:$AI$720,MATCH(L$1,'Tillförd energi'!$B$1:$AQ$1,0),FALSE)</f>
        <v>42.9</v>
      </c>
      <c r="M136" s="121">
        <f>VLOOKUP($B136,'Tillförd energi'!$B$1:$AI$720,MATCH(M$1,'Tillförd energi'!$B$1:$AQ$1,0),FALSE)</f>
        <v>0</v>
      </c>
      <c r="N136" s="121">
        <f>VLOOKUP($B136,'Tillförd energi'!$B$1:$AI$720,MATCH(N$1,'Tillförd energi'!$B$1:$AQ$1,0),FALSE)</f>
        <v>0</v>
      </c>
      <c r="O136" s="121">
        <f>VLOOKUP($B136,'Tillförd energi'!$B$1:$AI$720,MATCH(O$1,'Tillförd energi'!$B$1:$AQ$1,0),FALSE)</f>
        <v>0</v>
      </c>
      <c r="P136" s="121">
        <f>VLOOKUP($B136,'Tillförd energi'!$B$1:$AI$720,MATCH(P$1,'Tillförd energi'!$B$1:$AQ$1,0),FALSE)</f>
        <v>0</v>
      </c>
      <c r="Q136" s="121">
        <f>VLOOKUP($B136,'Tillförd energi'!$B$1:$AI$720,MATCH(Q$1,'Tillförd energi'!$B$1:$AQ$1,0),FALSE)</f>
        <v>0</v>
      </c>
      <c r="R136" s="121">
        <f>VLOOKUP($B136,'Tillförd energi'!$B$1:$AI$720,MATCH(R$1,'Tillförd energi'!$B$1:$AQ$1,0),FALSE)</f>
        <v>3.2</v>
      </c>
      <c r="S136" s="121">
        <f>VLOOKUP($B136,'Tillförd energi'!$B$1:$AI$720,MATCH(S$1,'Tillförd energi'!$B$1:$AQ$1,0),FALSE)</f>
        <v>0</v>
      </c>
      <c r="T136" s="121">
        <f>VLOOKUP($B136,'Tillförd energi'!$B$1:$AI$720,MATCH(T$1,'Tillförd energi'!$B$1:$AQ$1,0),FALSE)</f>
        <v>0</v>
      </c>
      <c r="U136" s="121">
        <f>VLOOKUP($B136,'Tillförd energi'!$B$1:$AI$720,MATCH(U$1,'Tillförd energi'!$B$1:$AQ$1,0),FALSE)</f>
        <v>0</v>
      </c>
      <c r="V136" s="121">
        <f>VLOOKUP($B136,'Tillförd energi'!$B$1:$AI$720,MATCH(V$1,'Tillförd energi'!$B$1:$AQ$1,0),FALSE)</f>
        <v>0</v>
      </c>
      <c r="W136" s="121">
        <f>VLOOKUP($B136,'Tillförd energi'!$B$1:$AI$720,MATCH(W$1,'Tillförd energi'!$B$1:$AQ$1,0),FALSE)</f>
        <v>0</v>
      </c>
      <c r="X136" s="121">
        <f>VLOOKUP($B136,'Tillförd energi'!$B$1:$AI$720,MATCH(X$1,'Tillförd energi'!$B$1:$AQ$1,0),FALSE)</f>
        <v>0</v>
      </c>
      <c r="Y136" s="121">
        <f>VLOOKUP($B136,'Tillförd energi'!$B$1:$AI$720,MATCH(Y$1,'Tillförd energi'!$B$1:$AQ$1,0),FALSE)</f>
        <v>0</v>
      </c>
      <c r="Z136" s="121">
        <f>VLOOKUP($B136,'Tillförd energi'!$B$1:$AI$720,MATCH(Z$1,'Tillförd energi'!$B$1:$AQ$1,0),FALSE)</f>
        <v>0</v>
      </c>
      <c r="AA136" s="121">
        <f>VLOOKUP($B136,'Tillförd energi'!$B$1:$AI$720,MATCH(AA$1,'Tillförd energi'!$B$1:$AQ$1,0),FALSE)</f>
        <v>0</v>
      </c>
      <c r="AB136" s="121">
        <f>VLOOKUP($B136,'Tillförd energi'!$B$1:$AI$720,MATCH(AB$1,'Tillförd energi'!$B$1:$AQ$1,0),FALSE)</f>
        <v>0</v>
      </c>
      <c r="AC136" s="121">
        <f>VLOOKUP($B136,'Tillförd energi'!$B$1:$AI$720,MATCH(AC$1,'Tillförd energi'!$B$1:$AQ$1,0),FALSE)</f>
        <v>0</v>
      </c>
      <c r="AD136" s="121">
        <f>VLOOKUP($B136,'Tillförd energi'!$B$1:$AI$720,MATCH(AD$1,'Tillförd energi'!$B$1:$AQ$1,0),FALSE)</f>
        <v>0</v>
      </c>
      <c r="AE136" s="121">
        <f>VLOOKUP($B136,'Tillförd energi'!$B$1:$AI$720,MATCH(AE$1,'Tillförd energi'!$B$1:$AQ$1,0),FALSE)</f>
        <v>0</v>
      </c>
      <c r="AF136" s="121">
        <f>VLOOKUP($B136,'Tillförd energi'!$B$1:$AI$720,MATCH(AF$1,'Tillförd energi'!$B$1:$AQ$1,0),FALSE)</f>
        <v>1.9</v>
      </c>
      <c r="AG136" s="121">
        <f>IFERROR(VLOOKUP(B136,Miljö!$B$1:$AC$550,MATCH("Köpt mängd produktionsspecifik fjärrvärme:",Miljö!$B$1:$AC$1,0),FALSE)/1,0)</f>
        <v>0</v>
      </c>
      <c r="AH136" s="121"/>
      <c r="AI136" s="121">
        <f t="shared" si="44"/>
        <v>48.835293999999998</v>
      </c>
      <c r="AJ136" s="121">
        <f t="shared" si="45"/>
        <v>48.835293999999998</v>
      </c>
      <c r="AK136" s="121">
        <f>IF(ISERROR(1/VLOOKUP($B136,Leveranser!$B$1:$S$499,MATCH("såld värme (gwh)",Leveranser!$B$1:$S$1,0),FALSE)),"",VLOOKUP($B136,Leveranser!$B$1:$S$499,MATCH("såld värme (gwh)",Leveranser!$B$1:$S$1,0),FALSE))</f>
        <v>36.6</v>
      </c>
      <c r="AL136" s="121">
        <f>VLOOKUP($B136,Leveranser!$B$1:$Y$499,MATCH("Totalt såld fjärrvärme till andra fjärrvärmeföretag",Leveranser!$B$1:$AA$1,0),FALSE)</f>
        <v>0</v>
      </c>
      <c r="AM136" s="121">
        <f>IF(ISERROR(1/VLOOKUP($B136,Miljö!$B$1:$S$500,MATCH("Såld mängd produktionsspecifik fjärrvärme (GWh)",Miljö!$B$1:$R$1,0),FALSE)),0,VLOOKUP($B136,Miljö!$B$1:$S$500,MATCH("Såld mängd produktionsspecifik fjärrvärme (GWh)",Miljö!$B$1:$R$1,0),FALSE))</f>
        <v>0</v>
      </c>
      <c r="AN136" s="172">
        <f t="shared" si="46"/>
        <v>0.7494579637423705</v>
      </c>
      <c r="AO136" s="121"/>
      <c r="AP136" s="121" t="str">
        <f>IFERROR(VLOOKUP($B136,Miljövärden!$B$2:$H$550,7,FALSE),"Nej, saknas")</f>
        <v>Ja</v>
      </c>
      <c r="AQ136" s="121" t="str">
        <f>IFERROR(VLOOKUP($B136,Miljövärden!$B$2:$H$550,6,FALSE),"Nej, saknas")</f>
        <v>Nej</v>
      </c>
      <c r="AU136">
        <f t="shared" si="47"/>
        <v>1.9</v>
      </c>
      <c r="AV136">
        <f t="shared" si="48"/>
        <v>0</v>
      </c>
      <c r="AW136">
        <f t="shared" si="49"/>
        <v>0</v>
      </c>
      <c r="AX136">
        <f t="shared" si="50"/>
        <v>3.2</v>
      </c>
      <c r="AZ136">
        <f t="shared" si="51"/>
        <v>46.1</v>
      </c>
      <c r="BC136">
        <f t="shared" si="52"/>
        <v>0.6</v>
      </c>
      <c r="BD136">
        <f t="shared" si="53"/>
        <v>0</v>
      </c>
      <c r="BE136">
        <f t="shared" si="54"/>
        <v>3.2</v>
      </c>
      <c r="BF136">
        <f t="shared" si="55"/>
        <v>43.135294000000002</v>
      </c>
      <c r="BG136">
        <f t="shared" si="56"/>
        <v>1.9</v>
      </c>
      <c r="BH136">
        <f>VLOOKUP(B136,Miljö!$B$1:$BX$482,MATCH("Fossilandel för ursprungspecificerad el ()",Miljö!$B$1:$I$1,0),FALSE)</f>
        <v>0</v>
      </c>
      <c r="BI136">
        <f>VLOOKUP(B136,Miljö!$B$1:$BX$482,MATCH("Kärnkraftsandel för ursprungsspecificerad el ()",Miljö!$B$1:$O$1,0),FALSE)</f>
        <v>0</v>
      </c>
      <c r="BJ136">
        <f t="shared" si="57"/>
        <v>0</v>
      </c>
      <c r="BK136" t="str">
        <f>VLOOKUP(B136,Miljö!$B$1:$O$482,MATCH("Fossil andel i procent (%)",Miljö!$B$1:$O$1,0),FALSE)</f>
        <v>ET</v>
      </c>
      <c r="BL136">
        <f t="shared" si="58"/>
        <v>48.835293999999998</v>
      </c>
      <c r="BO136" s="18">
        <f t="shared" si="59"/>
        <v>1.2286196126924106E-2</v>
      </c>
      <c r="BP136" s="18">
        <f t="shared" si="60"/>
        <v>0</v>
      </c>
      <c r="BQ136" s="18">
        <f t="shared" si="61"/>
        <v>0.10443266707885489</v>
      </c>
      <c r="BR136" s="18">
        <f t="shared" si="62"/>
        <v>0.88328113679422104</v>
      </c>
      <c r="BT136" s="27">
        <f t="shared" si="63"/>
        <v>1</v>
      </c>
      <c r="BW136" s="18">
        <f>IF(AP136="ja",VLOOKUP(B136,Miljövärden!$B$2:$H$550,MATCH("Total andel fossilt",Miljövärden!$B$2:$H$2,0),FALSE),"")</f>
        <v>1.2286200000000001E-2</v>
      </c>
      <c r="BZ136" s="28">
        <f t="shared" si="64"/>
        <v>3.8730758947225219E-9</v>
      </c>
      <c r="CA136" s="28">
        <f t="shared" si="65"/>
        <v>0</v>
      </c>
    </row>
    <row r="137" spans="1:79" x14ac:dyDescent="0.25">
      <c r="A137" s="224" t="s">
        <v>387</v>
      </c>
      <c r="B137" s="210" t="s">
        <v>388</v>
      </c>
      <c r="C137" s="121">
        <f>VLOOKUP($B137,'Tillförd energi'!$B$1:$AI$720,MATCH(C$1,'Tillförd energi'!$B$1:$AQ$1,0),FALSE)</f>
        <v>0</v>
      </c>
      <c r="D137" s="121">
        <f>VLOOKUP($B137,'Tillförd energi'!$B$1:$AI$720,MATCH(D$1,'Tillförd energi'!$B$1:$AQ$1,0),FALSE)</f>
        <v>13.426</v>
      </c>
      <c r="E137" s="121">
        <f>VLOOKUP($B137,'Tillförd energi'!$B$1:$AI$720,MATCH(E$1,'Tillförd energi'!$B$1:$AQ$1,0),FALSE)</f>
        <v>0</v>
      </c>
      <c r="F137" s="121">
        <f>VLOOKUP($B137,'Tillförd energi'!$B$1:$AI$720,MATCH(F$1,'Tillförd energi'!$B$1:$AQ$1,0),FALSE)</f>
        <v>0</v>
      </c>
      <c r="G137" s="121">
        <f>VLOOKUP($B137,'Tillförd energi'!$B$1:$AI$720,MATCH(G$1,'Tillförd energi'!$B$1:$AQ$1,0),FALSE)</f>
        <v>0</v>
      </c>
      <c r="H137" s="121">
        <f>VLOOKUP($B137,'Tillförd energi'!$B$1:$AI$720,MATCH(H$1,'Tillförd energi'!$B$1:$AQ$1,0),FALSE)</f>
        <v>0</v>
      </c>
      <c r="I137" s="121">
        <f>VLOOKUP($B137,'Tillförd energi'!$B$1:$AI$720,MATCH(I$1,'Tillförd energi'!$B$1:$AQ$1,0),FALSE)</f>
        <v>127.937</v>
      </c>
      <c r="J137" s="121">
        <f>VLOOKUP($B137,'Tillförd energi'!$B$1:$AI$720,MATCH(J$1,'Tillförd energi'!$B$1:$AQ$1,0),FALSE)</f>
        <v>0</v>
      </c>
      <c r="K137" s="121">
        <f>VLOOKUP($B137,'Tillförd energi'!$B$1:$AI$720,MATCH(K$1,'Tillförd energi'!$B$1:$AQ$1,0),FALSE)</f>
        <v>0</v>
      </c>
      <c r="L137" s="121">
        <f>VLOOKUP($B137,'Tillförd energi'!$B$1:$AI$720,MATCH(L$1,'Tillförd energi'!$B$1:$AQ$1,0),FALSE)</f>
        <v>68.956800000000001</v>
      </c>
      <c r="M137" s="121">
        <f>VLOOKUP($B137,'Tillförd energi'!$B$1:$AI$720,MATCH(M$1,'Tillförd energi'!$B$1:$AQ$1,0),FALSE)</f>
        <v>0</v>
      </c>
      <c r="N137" s="121">
        <f>VLOOKUP($B137,'Tillförd energi'!$B$1:$AI$720,MATCH(N$1,'Tillförd energi'!$B$1:$AQ$1,0),FALSE)</f>
        <v>0</v>
      </c>
      <c r="O137" s="121">
        <f>VLOOKUP($B137,'Tillförd energi'!$B$1:$AI$720,MATCH(O$1,'Tillförd energi'!$B$1:$AQ$1,0),FALSE)</f>
        <v>0</v>
      </c>
      <c r="P137" s="121">
        <f>VLOOKUP($B137,'Tillförd energi'!$B$1:$AI$720,MATCH(P$1,'Tillförd energi'!$B$1:$AQ$1,0),FALSE)</f>
        <v>9.1365999999999996</v>
      </c>
      <c r="Q137" s="121">
        <f>VLOOKUP($B137,'Tillförd energi'!$B$1:$AI$720,MATCH(Q$1,'Tillförd energi'!$B$1:$AQ$1,0),FALSE)</f>
        <v>0</v>
      </c>
      <c r="R137" s="121">
        <f>VLOOKUP($B137,'Tillförd energi'!$B$1:$AI$720,MATCH(R$1,'Tillförd energi'!$B$1:$AQ$1,0),FALSE)</f>
        <v>2.8450000000000002</v>
      </c>
      <c r="S137" s="121">
        <f>VLOOKUP($B137,'Tillförd energi'!$B$1:$AI$720,MATCH(S$1,'Tillförd energi'!$B$1:$AQ$1,0),FALSE)</f>
        <v>0</v>
      </c>
      <c r="T137" s="121">
        <f>VLOOKUP($B137,'Tillförd energi'!$B$1:$AI$720,MATCH(T$1,'Tillförd energi'!$B$1:$AQ$1,0),FALSE)</f>
        <v>0</v>
      </c>
      <c r="U137" s="121">
        <f>VLOOKUP($B137,'Tillförd energi'!$B$1:$AI$720,MATCH(U$1,'Tillförd energi'!$B$1:$AQ$1,0),FALSE)</f>
        <v>0</v>
      </c>
      <c r="V137" s="121">
        <f>VLOOKUP($B137,'Tillförd energi'!$B$1:$AI$720,MATCH(V$1,'Tillförd energi'!$B$1:$AQ$1,0),FALSE)</f>
        <v>0</v>
      </c>
      <c r="W137" s="121">
        <f>VLOOKUP($B137,'Tillförd energi'!$B$1:$AI$720,MATCH(W$1,'Tillförd energi'!$B$1:$AQ$1,0),FALSE)</f>
        <v>12.061</v>
      </c>
      <c r="X137" s="121">
        <f>VLOOKUP($B137,'Tillförd energi'!$B$1:$AI$720,MATCH(X$1,'Tillförd energi'!$B$1:$AQ$1,0),FALSE)</f>
        <v>0</v>
      </c>
      <c r="Y137" s="121">
        <f>VLOOKUP($B137,'Tillförd energi'!$B$1:$AI$720,MATCH(Y$1,'Tillförd energi'!$B$1:$AQ$1,0),FALSE)</f>
        <v>0</v>
      </c>
      <c r="Z137" s="121">
        <f>VLOOKUP($B137,'Tillförd energi'!$B$1:$AI$720,MATCH(Z$1,'Tillförd energi'!$B$1:$AQ$1,0),FALSE)</f>
        <v>4.0380000000000003</v>
      </c>
      <c r="AA137" s="121">
        <f>VLOOKUP($B137,'Tillförd energi'!$B$1:$AI$720,MATCH(AA$1,'Tillförd energi'!$B$1:$AQ$1,0),FALSE)</f>
        <v>0</v>
      </c>
      <c r="AB137" s="121">
        <f>VLOOKUP($B137,'Tillförd energi'!$B$1:$AI$720,MATCH(AB$1,'Tillförd energi'!$B$1:$AQ$1,0),FALSE)</f>
        <v>0</v>
      </c>
      <c r="AC137" s="121">
        <f>VLOOKUP($B137,'Tillförd energi'!$B$1:$AI$720,MATCH(AC$1,'Tillförd energi'!$B$1:$AQ$1,0),FALSE)</f>
        <v>17.306000000000001</v>
      </c>
      <c r="AD137" s="121">
        <f>VLOOKUP($B137,'Tillförd energi'!$B$1:$AI$720,MATCH(AD$1,'Tillförd energi'!$B$1:$AQ$1,0),FALSE)</f>
        <v>27.863</v>
      </c>
      <c r="AE137" s="121">
        <f>VLOOKUP($B137,'Tillförd energi'!$B$1:$AI$720,MATCH(AE$1,'Tillförd energi'!$B$1:$AQ$1,0),FALSE)</f>
        <v>0</v>
      </c>
      <c r="AF137" s="121">
        <f>VLOOKUP($B137,'Tillförd energi'!$B$1:$AI$720,MATCH(AF$1,'Tillförd energi'!$B$1:$AQ$1,0),FALSE)</f>
        <v>9.8164300000000004</v>
      </c>
      <c r="AG137" s="121">
        <f>IFERROR(VLOOKUP(B137,Miljö!$B$1:$AC$550,MATCH("Köpt mängd produktionsspecifik fjärrvärme:",Miljö!$B$1:$AC$1,0),FALSE)/1,0)</f>
        <v>0</v>
      </c>
      <c r="AH137" s="121"/>
      <c r="AI137" s="121">
        <f t="shared" si="44"/>
        <v>293.38583</v>
      </c>
      <c r="AJ137" s="121">
        <f t="shared" si="45"/>
        <v>293.38583</v>
      </c>
      <c r="AK137" s="121">
        <f>IF(ISERROR(1/VLOOKUP($B137,Leveranser!$B$1:$S$499,MATCH("såld värme (gwh)",Leveranser!$B$1:$S$1,0),FALSE)),"",VLOOKUP($B137,Leveranser!$B$1:$S$499,MATCH("såld värme (gwh)",Leveranser!$B$1:$S$1,0),FALSE))</f>
        <v>200.06800000000001</v>
      </c>
      <c r="AL137" s="121">
        <f>VLOOKUP($B137,Leveranser!$B$1:$Y$499,MATCH("Totalt såld fjärrvärme till andra fjärrvärmeföretag",Leveranser!$B$1:$AA$1,0),FALSE)</f>
        <v>0</v>
      </c>
      <c r="AM137" s="121">
        <f>IF(ISERROR(1/VLOOKUP($B137,Miljö!$B$1:$S$500,MATCH("Såld mängd produktionsspecifik fjärrvärme (GWh)",Miljö!$B$1:$R$1,0),FALSE)),0,VLOOKUP($B137,Miljö!$B$1:$S$500,MATCH("Såld mängd produktionsspecifik fjärrvärme (GWh)",Miljö!$B$1:$R$1,0),FALSE))</f>
        <v>0</v>
      </c>
      <c r="AN137" s="172">
        <f t="shared" si="46"/>
        <v>0.68192795814303642</v>
      </c>
      <c r="AO137" s="121"/>
      <c r="AP137" s="121" t="str">
        <f>IFERROR(VLOOKUP($B137,Miljövärden!$B$2:$H$550,7,FALSE),"Nej, saknas")</f>
        <v>Ja</v>
      </c>
      <c r="AQ137" s="121" t="str">
        <f>IFERROR(VLOOKUP($B137,Miljövärden!$B$2:$H$550,6,FALSE),"Nej, saknas")</f>
        <v>Ja</v>
      </c>
      <c r="AU137">
        <f t="shared" si="47"/>
        <v>13.854430000000001</v>
      </c>
      <c r="AV137">
        <f t="shared" si="48"/>
        <v>0</v>
      </c>
      <c r="AW137">
        <f t="shared" si="49"/>
        <v>9.1365999999999996</v>
      </c>
      <c r="AX137">
        <f t="shared" si="50"/>
        <v>2.8450000000000002</v>
      </c>
      <c r="AZ137">
        <f t="shared" si="51"/>
        <v>92.999400000000009</v>
      </c>
      <c r="BC137">
        <f t="shared" si="52"/>
        <v>13.426</v>
      </c>
      <c r="BD137">
        <f t="shared" si="53"/>
        <v>0</v>
      </c>
      <c r="BE137">
        <f t="shared" si="54"/>
        <v>24.0426</v>
      </c>
      <c r="BF137">
        <f t="shared" si="55"/>
        <v>242.06280000000001</v>
      </c>
      <c r="BG137">
        <f t="shared" si="56"/>
        <v>13.854430000000001</v>
      </c>
      <c r="BH137">
        <f>VLOOKUP(B137,Miljö!$B$1:$BX$482,MATCH("Fossilandel för ursprungspecificerad el ()",Miljö!$B$1:$I$1,0),FALSE)</f>
        <v>0.32</v>
      </c>
      <c r="BI137">
        <f>VLOOKUP(B137,Miljö!$B$1:$BX$482,MATCH("Kärnkraftsandel för ursprungsspecificerad el ()",Miljö!$B$1:$O$1,0),FALSE)</f>
        <v>0.3</v>
      </c>
      <c r="BJ137">
        <f t="shared" si="57"/>
        <v>0</v>
      </c>
      <c r="BK137" t="str">
        <f>VLOOKUP(B137,Miljö!$B$1:$O$482,MATCH("Fossil andel i procent (%)",Miljö!$B$1:$O$1,0),FALSE)</f>
        <v>ET</v>
      </c>
      <c r="BL137">
        <f t="shared" si="58"/>
        <v>293.38583</v>
      </c>
      <c r="BO137" s="18">
        <f t="shared" si="59"/>
        <v>6.0873483903431877E-2</v>
      </c>
      <c r="BP137" s="18">
        <f t="shared" si="60"/>
        <v>1.416676804056965E-2</v>
      </c>
      <c r="BQ137" s="18">
        <f t="shared" si="61"/>
        <v>9.9893315910996788E-2</v>
      </c>
      <c r="BR137" s="18">
        <f t="shared" si="62"/>
        <v>0.82506643214500175</v>
      </c>
      <c r="BT137" s="27">
        <f t="shared" si="63"/>
        <v>1</v>
      </c>
      <c r="BW137" s="18">
        <f>IF(AP137="ja",VLOOKUP(B137,Miljövärden!$B$2:$H$550,MATCH("Total andel fossilt",Miljövärden!$B$2:$H$2,0),FALSE),"")</f>
        <v>6.0873400000000001E-2</v>
      </c>
      <c r="BZ137" s="28">
        <f t="shared" si="64"/>
        <v>-8.3903431875864687E-8</v>
      </c>
      <c r="CA137" s="28">
        <f t="shared" si="65"/>
        <v>0</v>
      </c>
    </row>
    <row r="138" spans="1:79" x14ac:dyDescent="0.25">
      <c r="A138" s="224" t="s">
        <v>387</v>
      </c>
      <c r="B138" s="210" t="s">
        <v>389</v>
      </c>
      <c r="C138" s="121">
        <f>VLOOKUP($B138,'Tillförd energi'!$B$1:$AI$720,MATCH(C$1,'Tillförd energi'!$B$1:$AQ$1,0),FALSE)</f>
        <v>0</v>
      </c>
      <c r="D138" s="121">
        <f>VLOOKUP($B138,'Tillförd energi'!$B$1:$AI$720,MATCH(D$1,'Tillförd energi'!$B$1:$AQ$1,0),FALSE)</f>
        <v>1.9470000000000001</v>
      </c>
      <c r="E138" s="121">
        <f>VLOOKUP($B138,'Tillförd energi'!$B$1:$AI$720,MATCH(E$1,'Tillförd energi'!$B$1:$AQ$1,0),FALSE)</f>
        <v>0</v>
      </c>
      <c r="F138" s="121">
        <f>VLOOKUP($B138,'Tillförd energi'!$B$1:$AI$720,MATCH(F$1,'Tillförd energi'!$B$1:$AQ$1,0),FALSE)</f>
        <v>0</v>
      </c>
      <c r="G138" s="121">
        <f>VLOOKUP($B138,'Tillförd energi'!$B$1:$AI$720,MATCH(G$1,'Tillförd energi'!$B$1:$AQ$1,0),FALSE)</f>
        <v>0</v>
      </c>
      <c r="H138" s="121">
        <f>VLOOKUP($B138,'Tillförd energi'!$B$1:$AI$720,MATCH(H$1,'Tillförd energi'!$B$1:$AQ$1,0),FALSE)</f>
        <v>0</v>
      </c>
      <c r="I138" s="121">
        <f>VLOOKUP($B138,'Tillförd energi'!$B$1:$AI$720,MATCH(I$1,'Tillförd energi'!$B$1:$AQ$1,0),FALSE)</f>
        <v>0</v>
      </c>
      <c r="J138" s="121">
        <f>VLOOKUP($B138,'Tillförd energi'!$B$1:$AI$720,MATCH(J$1,'Tillförd energi'!$B$1:$AQ$1,0),FALSE)</f>
        <v>0</v>
      </c>
      <c r="K138" s="121">
        <f>VLOOKUP($B138,'Tillförd energi'!$B$1:$AI$720,MATCH(K$1,'Tillförd energi'!$B$1:$AQ$1,0),FALSE)</f>
        <v>0</v>
      </c>
      <c r="L138" s="121">
        <f>VLOOKUP($B138,'Tillförd energi'!$B$1:$AI$720,MATCH(L$1,'Tillförd energi'!$B$1:$AQ$1,0),FALSE)</f>
        <v>0</v>
      </c>
      <c r="M138" s="121">
        <f>VLOOKUP($B138,'Tillförd energi'!$B$1:$AI$720,MATCH(M$1,'Tillförd energi'!$B$1:$AQ$1,0),FALSE)</f>
        <v>0</v>
      </c>
      <c r="N138" s="121">
        <f>VLOOKUP($B138,'Tillförd energi'!$B$1:$AI$720,MATCH(N$1,'Tillförd energi'!$B$1:$AQ$1,0),FALSE)</f>
        <v>0</v>
      </c>
      <c r="O138" s="121">
        <f>VLOOKUP($B138,'Tillförd energi'!$B$1:$AI$720,MATCH(O$1,'Tillförd energi'!$B$1:$AQ$1,0),FALSE)</f>
        <v>0</v>
      </c>
      <c r="P138" s="121">
        <f>VLOOKUP($B138,'Tillförd energi'!$B$1:$AI$720,MATCH(P$1,'Tillförd energi'!$B$1:$AQ$1,0),FALSE)</f>
        <v>8.6809999999999992</v>
      </c>
      <c r="Q138" s="121">
        <f>VLOOKUP($B138,'Tillförd energi'!$B$1:$AI$720,MATCH(Q$1,'Tillförd energi'!$B$1:$AQ$1,0),FALSE)</f>
        <v>0</v>
      </c>
      <c r="R138" s="121">
        <f>VLOOKUP($B138,'Tillförd energi'!$B$1:$AI$720,MATCH(R$1,'Tillförd energi'!$B$1:$AQ$1,0),FALSE)</f>
        <v>0</v>
      </c>
      <c r="S138" s="121">
        <f>VLOOKUP($B138,'Tillförd energi'!$B$1:$AI$720,MATCH(S$1,'Tillförd energi'!$B$1:$AQ$1,0),FALSE)</f>
        <v>0</v>
      </c>
      <c r="T138" s="121">
        <f>VLOOKUP($B138,'Tillförd energi'!$B$1:$AI$720,MATCH(T$1,'Tillförd energi'!$B$1:$AQ$1,0),FALSE)</f>
        <v>0</v>
      </c>
      <c r="U138" s="121">
        <f>VLOOKUP($B138,'Tillförd energi'!$B$1:$AI$720,MATCH(U$1,'Tillförd energi'!$B$1:$AQ$1,0),FALSE)</f>
        <v>0</v>
      </c>
      <c r="V138" s="121">
        <f>VLOOKUP($B138,'Tillförd energi'!$B$1:$AI$720,MATCH(V$1,'Tillförd energi'!$B$1:$AQ$1,0),FALSE)</f>
        <v>0</v>
      </c>
      <c r="W138" s="121">
        <f>VLOOKUP($B138,'Tillförd energi'!$B$1:$AI$720,MATCH(W$1,'Tillförd energi'!$B$1:$AQ$1,0),FALSE)</f>
        <v>0</v>
      </c>
      <c r="X138" s="121">
        <f>VLOOKUP($B138,'Tillförd energi'!$B$1:$AI$720,MATCH(X$1,'Tillförd energi'!$B$1:$AQ$1,0),FALSE)</f>
        <v>0</v>
      </c>
      <c r="Y138" s="121">
        <f>VLOOKUP($B138,'Tillförd energi'!$B$1:$AI$720,MATCH(Y$1,'Tillförd energi'!$B$1:$AQ$1,0),FALSE)</f>
        <v>0</v>
      </c>
      <c r="Z138" s="121">
        <f>VLOOKUP($B138,'Tillförd energi'!$B$1:$AI$720,MATCH(Z$1,'Tillförd energi'!$B$1:$AQ$1,0),FALSE)</f>
        <v>0.443</v>
      </c>
      <c r="AA138" s="121">
        <f>VLOOKUP($B138,'Tillförd energi'!$B$1:$AI$720,MATCH(AA$1,'Tillförd energi'!$B$1:$AQ$1,0),FALSE)</f>
        <v>0</v>
      </c>
      <c r="AB138" s="121">
        <f>VLOOKUP($B138,'Tillförd energi'!$B$1:$AI$720,MATCH(AB$1,'Tillförd energi'!$B$1:$AQ$1,0),FALSE)</f>
        <v>0</v>
      </c>
      <c r="AC138" s="121">
        <f>VLOOKUP($B138,'Tillförd energi'!$B$1:$AI$720,MATCH(AC$1,'Tillförd energi'!$B$1:$AQ$1,0),FALSE)</f>
        <v>0</v>
      </c>
      <c r="AD138" s="121">
        <f>VLOOKUP($B138,'Tillförd energi'!$B$1:$AI$720,MATCH(AD$1,'Tillförd energi'!$B$1:$AQ$1,0),FALSE)</f>
        <v>0</v>
      </c>
      <c r="AE138" s="121">
        <f>VLOOKUP($B138,'Tillförd energi'!$B$1:$AI$720,MATCH(AE$1,'Tillförd energi'!$B$1:$AQ$1,0),FALSE)</f>
        <v>0</v>
      </c>
      <c r="AF138" s="121">
        <f>VLOOKUP($B138,'Tillförd energi'!$B$1:$AI$720,MATCH(AF$1,'Tillförd energi'!$B$1:$AQ$1,0),FALSE)</f>
        <v>0.154</v>
      </c>
      <c r="AG138" s="121">
        <f>IFERROR(VLOOKUP(B138,Miljö!$B$1:$AC$550,MATCH("Köpt mängd produktionsspecifik fjärrvärme:",Miljö!$B$1:$AC$1,0),FALSE)/1,0)</f>
        <v>0</v>
      </c>
      <c r="AH138" s="121"/>
      <c r="AI138" s="121">
        <f t="shared" si="44"/>
        <v>11.225</v>
      </c>
      <c r="AJ138" s="121">
        <f t="shared" si="45"/>
        <v>11.225</v>
      </c>
      <c r="AK138" s="121">
        <f>IF(ISERROR(1/VLOOKUP($B138,Leveranser!$B$1:$S$499,MATCH("såld värme (gwh)",Leveranser!$B$1:$S$1,0),FALSE)),"",VLOOKUP($B138,Leveranser!$B$1:$S$499,MATCH("såld värme (gwh)",Leveranser!$B$1:$S$1,0),FALSE))</f>
        <v>5.7569999999999997</v>
      </c>
      <c r="AL138" s="121">
        <f>VLOOKUP($B138,Leveranser!$B$1:$Y$499,MATCH("Totalt såld fjärrvärme till andra fjärrvärmeföretag",Leveranser!$B$1:$AA$1,0),FALSE)</f>
        <v>0</v>
      </c>
      <c r="AM138" s="121">
        <f>IF(ISERROR(1/VLOOKUP($B138,Miljö!$B$1:$S$500,MATCH("Såld mängd produktionsspecifik fjärrvärme (GWh)",Miljö!$B$1:$R$1,0),FALSE)),0,VLOOKUP($B138,Miljö!$B$1:$S$500,MATCH("Såld mängd produktionsspecifik fjärrvärme (GWh)",Miljö!$B$1:$R$1,0),FALSE))</f>
        <v>0</v>
      </c>
      <c r="AN138" s="172">
        <f t="shared" si="46"/>
        <v>0.51287305122494431</v>
      </c>
      <c r="AO138" s="121"/>
      <c r="AP138" s="121" t="str">
        <f>IFERROR(VLOOKUP($B138,Miljövärden!$B$2:$H$550,7,FALSE),"Nej, saknas")</f>
        <v>Ja</v>
      </c>
      <c r="AQ138" s="121" t="str">
        <f>IFERROR(VLOOKUP($B138,Miljövärden!$B$2:$H$550,6,FALSE),"Nej, saknas")</f>
        <v>Ja</v>
      </c>
      <c r="AU138">
        <f t="shared" si="47"/>
        <v>0.59699999999999998</v>
      </c>
      <c r="AV138">
        <f t="shared" si="48"/>
        <v>0</v>
      </c>
      <c r="AW138">
        <f t="shared" si="49"/>
        <v>8.6809999999999992</v>
      </c>
      <c r="AX138">
        <f t="shared" si="50"/>
        <v>0</v>
      </c>
      <c r="AZ138">
        <f t="shared" si="51"/>
        <v>8.6809999999999992</v>
      </c>
      <c r="BC138">
        <f t="shared" si="52"/>
        <v>1.9470000000000001</v>
      </c>
      <c r="BD138">
        <f t="shared" si="53"/>
        <v>0</v>
      </c>
      <c r="BE138">
        <f t="shared" si="54"/>
        <v>8.6809999999999992</v>
      </c>
      <c r="BF138">
        <f t="shared" si="55"/>
        <v>0</v>
      </c>
      <c r="BG138">
        <f t="shared" si="56"/>
        <v>0.59699999999999998</v>
      </c>
      <c r="BH138">
        <f>VLOOKUP(B138,Miljö!$B$1:$BX$482,MATCH("Fossilandel för ursprungspecificerad el ()",Miljö!$B$1:$I$1,0),FALSE)</f>
        <v>0.11</v>
      </c>
      <c r="BI138">
        <f>VLOOKUP(B138,Miljö!$B$1:$BX$482,MATCH("Kärnkraftsandel för ursprungsspecificerad el ()",Miljö!$B$1:$O$1,0),FALSE)</f>
        <v>0.1</v>
      </c>
      <c r="BJ138">
        <f t="shared" si="57"/>
        <v>0</v>
      </c>
      <c r="BK138" t="str">
        <f>VLOOKUP(B138,Miljö!$B$1:$O$482,MATCH("Fossil andel i procent (%)",Miljö!$B$1:$O$1,0),FALSE)</f>
        <v>ET</v>
      </c>
      <c r="BL138">
        <f t="shared" si="58"/>
        <v>11.225</v>
      </c>
      <c r="BO138" s="18">
        <f t="shared" si="59"/>
        <v>0.17930244988864144</v>
      </c>
      <c r="BP138" s="18">
        <f t="shared" si="60"/>
        <v>5.3184855233853008E-3</v>
      </c>
      <c r="BQ138" s="18">
        <f t="shared" si="61"/>
        <v>0.81537906458797316</v>
      </c>
      <c r="BR138" s="18">
        <f t="shared" si="62"/>
        <v>0</v>
      </c>
      <c r="BT138" s="27">
        <f t="shared" si="63"/>
        <v>0.99999999999999989</v>
      </c>
      <c r="BW138" s="18">
        <f>IF(AP138="ja",VLOOKUP(B138,Miljövärden!$B$2:$H$550,MATCH("Total andel fossilt",Miljövärden!$B$2:$H$2,0),FALSE),"")</f>
        <v>0.17930199999999999</v>
      </c>
      <c r="BZ138" s="28">
        <f t="shared" si="64"/>
        <v>-4.4988864145167895E-7</v>
      </c>
      <c r="CA138" s="28">
        <f t="shared" si="65"/>
        <v>0</v>
      </c>
    </row>
    <row r="139" spans="1:79" x14ac:dyDescent="0.25">
      <c r="A139" s="224" t="s">
        <v>390</v>
      </c>
      <c r="B139" s="210" t="s">
        <v>391</v>
      </c>
      <c r="C139" s="121">
        <f>VLOOKUP($B139,'Tillförd energi'!$B$1:$AI$720,MATCH(C$1,'Tillförd energi'!$B$1:$AQ$1,0),FALSE)</f>
        <v>0</v>
      </c>
      <c r="D139" s="121">
        <f>VLOOKUP($B139,'Tillförd energi'!$B$1:$AI$720,MATCH(D$1,'Tillförd energi'!$B$1:$AQ$1,0),FALSE)</f>
        <v>0</v>
      </c>
      <c r="E139" s="121">
        <f>VLOOKUP($B139,'Tillförd energi'!$B$1:$AI$720,MATCH(E$1,'Tillförd energi'!$B$1:$AQ$1,0),FALSE)</f>
        <v>0</v>
      </c>
      <c r="F139" s="121">
        <f>VLOOKUP($B139,'Tillförd energi'!$B$1:$AI$720,MATCH(F$1,'Tillförd energi'!$B$1:$AQ$1,0),FALSE)</f>
        <v>0</v>
      </c>
      <c r="G139" s="121">
        <f>VLOOKUP($B139,'Tillförd energi'!$B$1:$AI$720,MATCH(G$1,'Tillförd energi'!$B$1:$AQ$1,0),FALSE)</f>
        <v>0</v>
      </c>
      <c r="H139" s="121">
        <f>VLOOKUP($B139,'Tillförd energi'!$B$1:$AI$720,MATCH(H$1,'Tillförd energi'!$B$1:$AQ$1,0),FALSE)</f>
        <v>0</v>
      </c>
      <c r="I139" s="121">
        <f>VLOOKUP($B139,'Tillförd energi'!$B$1:$AI$720,MATCH(I$1,'Tillförd energi'!$B$1:$AQ$1,0),FALSE)</f>
        <v>0</v>
      </c>
      <c r="J139" s="121">
        <f>VLOOKUP($B139,'Tillförd energi'!$B$1:$AI$720,MATCH(J$1,'Tillförd energi'!$B$1:$AQ$1,0),FALSE)</f>
        <v>26.567</v>
      </c>
      <c r="K139" s="121">
        <f>VLOOKUP($B139,'Tillförd energi'!$B$1:$AI$720,MATCH(K$1,'Tillförd energi'!$B$1:$AQ$1,0),FALSE)</f>
        <v>0</v>
      </c>
      <c r="L139" s="121">
        <f>VLOOKUP($B139,'Tillförd energi'!$B$1:$AI$720,MATCH(L$1,'Tillförd energi'!$B$1:$AQ$1,0),FALSE)</f>
        <v>174.846</v>
      </c>
      <c r="M139" s="121">
        <f>VLOOKUP($B139,'Tillförd energi'!$B$1:$AI$720,MATCH(M$1,'Tillförd energi'!$B$1:$AQ$1,0),FALSE)</f>
        <v>0</v>
      </c>
      <c r="N139" s="121">
        <f>VLOOKUP($B139,'Tillförd energi'!$B$1:$AI$720,MATCH(N$1,'Tillförd energi'!$B$1:$AQ$1,0),FALSE)</f>
        <v>0</v>
      </c>
      <c r="O139" s="121">
        <f>VLOOKUP($B139,'Tillförd energi'!$B$1:$AI$720,MATCH(O$1,'Tillförd energi'!$B$1:$AQ$1,0),FALSE)</f>
        <v>0</v>
      </c>
      <c r="P139" s="121">
        <f>VLOOKUP($B139,'Tillförd energi'!$B$1:$AI$720,MATCH(P$1,'Tillförd energi'!$B$1:$AQ$1,0),FALSE)</f>
        <v>198.958</v>
      </c>
      <c r="Q139" s="121">
        <f>VLOOKUP($B139,'Tillförd energi'!$B$1:$AI$720,MATCH(Q$1,'Tillförd energi'!$B$1:$AQ$1,0),FALSE)</f>
        <v>27.692900000000002</v>
      </c>
      <c r="R139" s="121">
        <f>VLOOKUP($B139,'Tillförd energi'!$B$1:$AI$720,MATCH(R$1,'Tillförd energi'!$B$1:$AQ$1,0),FALSE)</f>
        <v>8.7390000000000008</v>
      </c>
      <c r="S139" s="121">
        <f>VLOOKUP($B139,'Tillförd energi'!$B$1:$AI$720,MATCH(S$1,'Tillförd energi'!$B$1:$AQ$1,0),FALSE)</f>
        <v>0</v>
      </c>
      <c r="T139" s="121">
        <f>VLOOKUP($B139,'Tillförd energi'!$B$1:$AI$720,MATCH(T$1,'Tillförd energi'!$B$1:$AQ$1,0),FALSE)</f>
        <v>0</v>
      </c>
      <c r="U139" s="121">
        <f>VLOOKUP($B139,'Tillförd energi'!$B$1:$AI$720,MATCH(U$1,'Tillförd energi'!$B$1:$AQ$1,0),FALSE)</f>
        <v>0</v>
      </c>
      <c r="V139" s="121">
        <f>VLOOKUP($B139,'Tillförd energi'!$B$1:$AI$720,MATCH(V$1,'Tillförd energi'!$B$1:$AQ$1,0),FALSE)</f>
        <v>0</v>
      </c>
      <c r="W139" s="121">
        <f>VLOOKUP($B139,'Tillförd energi'!$B$1:$AI$720,MATCH(W$1,'Tillförd energi'!$B$1:$AQ$1,0),FALSE)</f>
        <v>72.75</v>
      </c>
      <c r="X139" s="121">
        <f>VLOOKUP($B139,'Tillförd energi'!$B$1:$AI$720,MATCH(X$1,'Tillförd energi'!$B$1:$AQ$1,0),FALSE)</f>
        <v>0</v>
      </c>
      <c r="Y139" s="121">
        <f>VLOOKUP($B139,'Tillförd energi'!$B$1:$AI$720,MATCH(Y$1,'Tillförd energi'!$B$1:$AQ$1,0),FALSE)</f>
        <v>8.9529999999999994</v>
      </c>
      <c r="Z139" s="121">
        <f>VLOOKUP($B139,'Tillförd energi'!$B$1:$AI$720,MATCH(Z$1,'Tillförd energi'!$B$1:$AQ$1,0),FALSE)</f>
        <v>0</v>
      </c>
      <c r="AA139" s="121">
        <f>VLOOKUP($B139,'Tillförd energi'!$B$1:$AI$720,MATCH(AA$1,'Tillförd energi'!$B$1:$AQ$1,0),FALSE)</f>
        <v>67.361999999999995</v>
      </c>
      <c r="AB139" s="121">
        <f>VLOOKUP($B139,'Tillförd energi'!$B$1:$AI$720,MATCH(AB$1,'Tillförd energi'!$B$1:$AQ$1,0),FALSE)</f>
        <v>147.76400000000001</v>
      </c>
      <c r="AC139" s="121">
        <f>VLOOKUP($B139,'Tillförd energi'!$B$1:$AI$720,MATCH(AC$1,'Tillförd energi'!$B$1:$AQ$1,0),FALSE)</f>
        <v>87.361000000000004</v>
      </c>
      <c r="AD139" s="121">
        <f>VLOOKUP($B139,'Tillförd energi'!$B$1:$AI$720,MATCH(AD$1,'Tillförd energi'!$B$1:$AQ$1,0),FALSE)</f>
        <v>21.547999999999998</v>
      </c>
      <c r="AE139" s="121">
        <f>VLOOKUP($B139,'Tillförd energi'!$B$1:$AI$720,MATCH(AE$1,'Tillförd energi'!$B$1:$AQ$1,0),FALSE)</f>
        <v>0</v>
      </c>
      <c r="AF139" s="121">
        <f>VLOOKUP($B139,'Tillförd energi'!$B$1:$AI$720,MATCH(AF$1,'Tillförd energi'!$B$1:$AQ$1,0),FALSE)</f>
        <v>25.08</v>
      </c>
      <c r="AG139" s="121">
        <f>IFERROR(VLOOKUP(B139,Miljö!$B$1:$AC$550,MATCH("Köpt mängd produktionsspecifik fjärrvärme:",Miljö!$B$1:$AC$1,0),FALSE)/1,0)</f>
        <v>155.64599999999999</v>
      </c>
      <c r="AH139" s="121"/>
      <c r="AI139" s="121">
        <f t="shared" si="44"/>
        <v>867.62090000000001</v>
      </c>
      <c r="AJ139" s="121">
        <f t="shared" si="45"/>
        <v>1023.2669</v>
      </c>
      <c r="AK139" s="121">
        <f>IF(ISERROR(1/VLOOKUP($B139,Leveranser!$B$1:$S$499,MATCH("såld värme (gwh)",Leveranser!$B$1:$S$1,0),FALSE)),"",VLOOKUP($B139,Leveranser!$B$1:$S$499,MATCH("såld värme (gwh)",Leveranser!$B$1:$S$1,0),FALSE))</f>
        <v>836</v>
      </c>
      <c r="AL139" s="121">
        <f>VLOOKUP($B139,Leveranser!$B$1:$Y$499,MATCH("Totalt såld fjärrvärme till andra fjärrvärmeföretag",Leveranser!$B$1:$AA$1,0),FALSE)</f>
        <v>10.5</v>
      </c>
      <c r="AM139" s="121">
        <f>IF(ISERROR(1/VLOOKUP($B139,Miljö!$B$1:$S$500,MATCH("Såld mängd produktionsspecifik fjärrvärme (GWh)",Miljö!$B$1:$R$1,0),FALSE)),0,VLOOKUP($B139,Miljö!$B$1:$S$500,MATCH("Såld mängd produktionsspecifik fjärrvärme (GWh)",Miljö!$B$1:$R$1,0),FALSE))</f>
        <v>57.335999999999999</v>
      </c>
      <c r="AN139" s="172">
        <f t="shared" si="46"/>
        <v>0.81699114864362365</v>
      </c>
      <c r="AO139" s="121"/>
      <c r="AP139" s="121" t="str">
        <f>IFERROR(VLOOKUP($B139,Miljövärden!$B$2:$H$550,7,FALSE),"Nej, saknas")</f>
        <v>Ja</v>
      </c>
      <c r="AQ139" s="121" t="str">
        <f>IFERROR(VLOOKUP($B139,Miljövärden!$B$2:$H$550,6,FALSE),"Nej, saknas")</f>
        <v>Nej</v>
      </c>
      <c r="AU139">
        <f t="shared" si="47"/>
        <v>92.441999999999993</v>
      </c>
      <c r="AV139">
        <f t="shared" si="48"/>
        <v>0</v>
      </c>
      <c r="AW139">
        <f t="shared" si="49"/>
        <v>226.65090000000001</v>
      </c>
      <c r="AX139">
        <f t="shared" si="50"/>
        <v>8.7390000000000008</v>
      </c>
      <c r="AZ139">
        <f t="shared" si="51"/>
        <v>482.98589999999996</v>
      </c>
      <c r="BC139">
        <f t="shared" si="52"/>
        <v>0</v>
      </c>
      <c r="BD139">
        <f t="shared" si="53"/>
        <v>8.9529999999999994</v>
      </c>
      <c r="BE139">
        <f t="shared" si="54"/>
        <v>308.13990000000001</v>
      </c>
      <c r="BF139">
        <f t="shared" si="55"/>
        <v>458.08600000000001</v>
      </c>
      <c r="BG139">
        <f t="shared" si="56"/>
        <v>92.441999999999993</v>
      </c>
      <c r="BH139">
        <f>VLOOKUP(B139,Miljö!$B$1:$BX$482,MATCH("Fossilandel för ursprungspecificerad el ()",Miljö!$B$1:$I$1,0),FALSE)</f>
        <v>0</v>
      </c>
      <c r="BI139">
        <f>VLOOKUP(B139,Miljö!$B$1:$BX$482,MATCH("Kärnkraftsandel för ursprungsspecificerad el ()",Miljö!$B$1:$O$1,0),FALSE)</f>
        <v>0</v>
      </c>
      <c r="BJ139">
        <f t="shared" si="57"/>
        <v>155.64599999999999</v>
      </c>
      <c r="BK139">
        <f>VLOOKUP(B139,Miljö!$B$1:$O$482,MATCH("Fossil andel i procent (%)",Miljö!$B$1:$O$1,0),FALSE)</f>
        <v>1.8</v>
      </c>
      <c r="BL139">
        <f t="shared" si="58"/>
        <v>1023.2669</v>
      </c>
      <c r="BO139" s="18">
        <f t="shared" si="59"/>
        <v>2.7379249734355718E-3</v>
      </c>
      <c r="BP139" s="18">
        <f t="shared" si="60"/>
        <v>0.15811844593038238</v>
      </c>
      <c r="BQ139" s="18">
        <f t="shared" si="61"/>
        <v>0.39147352464933638</v>
      </c>
      <c r="BR139" s="18">
        <f t="shared" si="62"/>
        <v>0.44767010444684574</v>
      </c>
      <c r="BT139" s="27">
        <f t="shared" si="63"/>
        <v>1</v>
      </c>
      <c r="BW139" s="18">
        <f>IF(AP139="ja",VLOOKUP(B139,Miljövärden!$B$2:$H$550,MATCH("Total andel fossilt",Miljövärden!$B$2:$H$2,0),FALSE),"")</f>
        <v>2.89318E-3</v>
      </c>
      <c r="BZ139" s="28">
        <f t="shared" si="64"/>
        <v>1.5525502656442815E-4</v>
      </c>
      <c r="CA139" s="28">
        <f t="shared" si="65"/>
        <v>0</v>
      </c>
    </row>
    <row r="140" spans="1:79" x14ac:dyDescent="0.25">
      <c r="A140" s="224" t="s">
        <v>390</v>
      </c>
      <c r="B140" s="210" t="s">
        <v>393</v>
      </c>
      <c r="C140" s="121">
        <f>VLOOKUP($B140,'Tillförd energi'!$B$1:$AI$720,MATCH(C$1,'Tillförd energi'!$B$1:$AQ$1,0),FALSE)</f>
        <v>0</v>
      </c>
      <c r="D140" s="121">
        <f>VLOOKUP($B140,'Tillförd energi'!$B$1:$AI$720,MATCH(D$1,'Tillförd energi'!$B$1:$AQ$1,0),FALSE)</f>
        <v>0</v>
      </c>
      <c r="E140" s="121">
        <f>VLOOKUP($B140,'Tillförd energi'!$B$1:$AI$720,MATCH(E$1,'Tillförd energi'!$B$1:$AQ$1,0),FALSE)</f>
        <v>0</v>
      </c>
      <c r="F140" s="121">
        <f>VLOOKUP($B140,'Tillförd energi'!$B$1:$AI$720,MATCH(F$1,'Tillförd energi'!$B$1:$AQ$1,0),FALSE)</f>
        <v>0</v>
      </c>
      <c r="G140" s="121">
        <f>VLOOKUP($B140,'Tillförd energi'!$B$1:$AI$720,MATCH(G$1,'Tillförd energi'!$B$1:$AQ$1,0),FALSE)</f>
        <v>0</v>
      </c>
      <c r="H140" s="121">
        <f>VLOOKUP($B140,'Tillförd energi'!$B$1:$AI$720,MATCH(H$1,'Tillförd energi'!$B$1:$AQ$1,0),FALSE)</f>
        <v>0</v>
      </c>
      <c r="I140" s="121">
        <f>VLOOKUP($B140,'Tillförd energi'!$B$1:$AI$720,MATCH(I$1,'Tillförd energi'!$B$1:$AQ$1,0),FALSE)</f>
        <v>0</v>
      </c>
      <c r="J140" s="121">
        <f>VLOOKUP($B140,'Tillförd energi'!$B$1:$AI$720,MATCH(J$1,'Tillförd energi'!$B$1:$AQ$1,0),FALSE)</f>
        <v>2.3860000000000001</v>
      </c>
      <c r="K140" s="121">
        <f>VLOOKUP($B140,'Tillförd energi'!$B$1:$AI$720,MATCH(K$1,'Tillförd energi'!$B$1:$AQ$1,0),FALSE)</f>
        <v>0</v>
      </c>
      <c r="L140" s="121">
        <f>VLOOKUP($B140,'Tillförd energi'!$B$1:$AI$720,MATCH(L$1,'Tillförd energi'!$B$1:$AQ$1,0),FALSE)</f>
        <v>0</v>
      </c>
      <c r="M140" s="121">
        <f>VLOOKUP($B140,'Tillförd energi'!$B$1:$AI$720,MATCH(M$1,'Tillförd energi'!$B$1:$AQ$1,0),FALSE)</f>
        <v>0</v>
      </c>
      <c r="N140" s="121">
        <f>VLOOKUP($B140,'Tillförd energi'!$B$1:$AI$720,MATCH(N$1,'Tillförd energi'!$B$1:$AQ$1,0),FALSE)</f>
        <v>0</v>
      </c>
      <c r="O140" s="121">
        <f>VLOOKUP($B140,'Tillförd energi'!$B$1:$AI$720,MATCH(O$1,'Tillförd energi'!$B$1:$AQ$1,0),FALSE)</f>
        <v>0</v>
      </c>
      <c r="P140" s="121">
        <f>VLOOKUP($B140,'Tillförd energi'!$B$1:$AI$720,MATCH(P$1,'Tillförd energi'!$B$1:$AQ$1,0),FALSE)</f>
        <v>44.725999999999999</v>
      </c>
      <c r="Q140" s="121">
        <f>VLOOKUP($B140,'Tillförd energi'!$B$1:$AI$720,MATCH(Q$1,'Tillförd energi'!$B$1:$AQ$1,0),FALSE)</f>
        <v>0</v>
      </c>
      <c r="R140" s="121">
        <f>VLOOKUP($B140,'Tillförd energi'!$B$1:$AI$720,MATCH(R$1,'Tillförd energi'!$B$1:$AQ$1,0),FALSE)</f>
        <v>3.3660000000000001</v>
      </c>
      <c r="S140" s="121">
        <f>VLOOKUP($B140,'Tillförd energi'!$B$1:$AI$720,MATCH(S$1,'Tillförd energi'!$B$1:$AQ$1,0),FALSE)</f>
        <v>13.488</v>
      </c>
      <c r="T140" s="121">
        <f>VLOOKUP($B140,'Tillförd energi'!$B$1:$AI$720,MATCH(T$1,'Tillförd energi'!$B$1:$AQ$1,0),FALSE)</f>
        <v>0</v>
      </c>
      <c r="U140" s="121">
        <f>VLOOKUP($B140,'Tillförd energi'!$B$1:$AI$720,MATCH(U$1,'Tillförd energi'!$B$1:$AQ$1,0),FALSE)</f>
        <v>0</v>
      </c>
      <c r="V140" s="121">
        <f>VLOOKUP($B140,'Tillförd energi'!$B$1:$AI$720,MATCH(V$1,'Tillförd energi'!$B$1:$AQ$1,0),FALSE)</f>
        <v>0</v>
      </c>
      <c r="W140" s="121">
        <f>VLOOKUP($B140,'Tillförd energi'!$B$1:$AI$720,MATCH(W$1,'Tillförd energi'!$B$1:$AQ$1,0),FALSE)</f>
        <v>4.383</v>
      </c>
      <c r="X140" s="121">
        <f>VLOOKUP($B140,'Tillförd energi'!$B$1:$AI$720,MATCH(X$1,'Tillförd energi'!$B$1:$AQ$1,0),FALSE)</f>
        <v>0</v>
      </c>
      <c r="Y140" s="121">
        <f>VLOOKUP($B140,'Tillförd energi'!$B$1:$AI$720,MATCH(Y$1,'Tillförd energi'!$B$1:$AQ$1,0),FALSE)</f>
        <v>0</v>
      </c>
      <c r="Z140" s="121">
        <f>VLOOKUP($B140,'Tillförd energi'!$B$1:$AI$720,MATCH(Z$1,'Tillförd energi'!$B$1:$AQ$1,0),FALSE)</f>
        <v>0.41399999999999998</v>
      </c>
      <c r="AA140" s="121">
        <f>VLOOKUP($B140,'Tillförd energi'!$B$1:$AI$720,MATCH(AA$1,'Tillförd energi'!$B$1:$AQ$1,0),FALSE)</f>
        <v>0</v>
      </c>
      <c r="AB140" s="121">
        <f>VLOOKUP($B140,'Tillförd energi'!$B$1:$AI$720,MATCH(AB$1,'Tillförd energi'!$B$1:$AQ$1,0),FALSE)</f>
        <v>0</v>
      </c>
      <c r="AC140" s="121">
        <f>VLOOKUP($B140,'Tillförd energi'!$B$1:$AI$720,MATCH(AC$1,'Tillförd energi'!$B$1:$AQ$1,0),FALSE)</f>
        <v>2.8889999999999998</v>
      </c>
      <c r="AD140" s="121">
        <f>VLOOKUP($B140,'Tillförd energi'!$B$1:$AI$720,MATCH(AD$1,'Tillförd energi'!$B$1:$AQ$1,0),FALSE)</f>
        <v>0</v>
      </c>
      <c r="AE140" s="121">
        <f>VLOOKUP($B140,'Tillförd energi'!$B$1:$AI$720,MATCH(AE$1,'Tillförd energi'!$B$1:$AQ$1,0),FALSE)</f>
        <v>0</v>
      </c>
      <c r="AF140" s="121">
        <f>VLOOKUP($B140,'Tillförd energi'!$B$1:$AI$720,MATCH(AF$1,'Tillförd energi'!$B$1:$AQ$1,0),FALSE)</f>
        <v>1.59</v>
      </c>
      <c r="AG140" s="121">
        <f>IFERROR(VLOOKUP(B140,Miljö!$B$1:$AC$550,MATCH("Köpt mängd produktionsspecifik fjärrvärme:",Miljö!$B$1:$AC$1,0),FALSE)/1,0)</f>
        <v>0</v>
      </c>
      <c r="AH140" s="121"/>
      <c r="AI140" s="121">
        <f t="shared" si="44"/>
        <v>73.242000000000004</v>
      </c>
      <c r="AJ140" s="121">
        <f t="shared" si="45"/>
        <v>73.242000000000004</v>
      </c>
      <c r="AK140" s="121">
        <f>IF(ISERROR(1/VLOOKUP($B140,Leveranser!$B$1:$S$499,MATCH("såld värme (gwh)",Leveranser!$B$1:$S$1,0),FALSE)),"",VLOOKUP($B140,Leveranser!$B$1:$S$499,MATCH("såld värme (gwh)",Leveranser!$B$1:$S$1,0),FALSE))</f>
        <v>53</v>
      </c>
      <c r="AL140" s="121">
        <f>VLOOKUP($B140,Leveranser!$B$1:$Y$499,MATCH("Totalt såld fjärrvärme till andra fjärrvärmeföretag",Leveranser!$B$1:$AA$1,0),FALSE)</f>
        <v>0</v>
      </c>
      <c r="AM140" s="121">
        <f>IF(ISERROR(1/VLOOKUP($B140,Miljö!$B$1:$S$500,MATCH("Såld mängd produktionsspecifik fjärrvärme (GWh)",Miljö!$B$1:$R$1,0),FALSE)),0,VLOOKUP($B140,Miljö!$B$1:$S$500,MATCH("Såld mängd produktionsspecifik fjärrvärme (GWh)",Miljö!$B$1:$R$1,0),FALSE))</f>
        <v>0</v>
      </c>
      <c r="AN140" s="172">
        <f t="shared" si="46"/>
        <v>0.72362851915567561</v>
      </c>
      <c r="AO140" s="121"/>
      <c r="AP140" s="121" t="str">
        <f>IFERROR(VLOOKUP($B140,Miljövärden!$B$2:$H$550,7,FALSE),"Nej, saknas")</f>
        <v>Ja</v>
      </c>
      <c r="AQ140" s="121" t="str">
        <f>IFERROR(VLOOKUP($B140,Miljövärden!$B$2:$H$550,6,FALSE),"Nej, saknas")</f>
        <v>Ja</v>
      </c>
      <c r="AU140">
        <f t="shared" si="47"/>
        <v>2.004</v>
      </c>
      <c r="AV140">
        <f t="shared" si="48"/>
        <v>0</v>
      </c>
      <c r="AW140">
        <f t="shared" si="49"/>
        <v>44.725999999999999</v>
      </c>
      <c r="AX140">
        <f t="shared" si="50"/>
        <v>16.853999999999999</v>
      </c>
      <c r="AZ140">
        <f t="shared" si="51"/>
        <v>65.962999999999994</v>
      </c>
      <c r="BC140">
        <f t="shared" si="52"/>
        <v>0</v>
      </c>
      <c r="BD140">
        <f t="shared" si="53"/>
        <v>0</v>
      </c>
      <c r="BE140">
        <f t="shared" si="54"/>
        <v>65.962999999999994</v>
      </c>
      <c r="BF140">
        <f t="shared" si="55"/>
        <v>5.2750000000000004</v>
      </c>
      <c r="BG140">
        <f t="shared" si="56"/>
        <v>2.004</v>
      </c>
      <c r="BH140">
        <f>VLOOKUP(B140,Miljö!$B$1:$BX$482,MATCH("Fossilandel för ursprungspecificerad el ()",Miljö!$B$1:$I$1,0),FALSE)</f>
        <v>0</v>
      </c>
      <c r="BI140">
        <f>VLOOKUP(B140,Miljö!$B$1:$BX$482,MATCH("Kärnkraftsandel för ursprungsspecificerad el ()",Miljö!$B$1:$O$1,0),FALSE)</f>
        <v>0</v>
      </c>
      <c r="BJ140">
        <f t="shared" si="57"/>
        <v>0</v>
      </c>
      <c r="BK140" t="str">
        <f>VLOOKUP(B140,Miljö!$B$1:$O$482,MATCH("Fossil andel i procent (%)",Miljö!$B$1:$O$1,0),FALSE)</f>
        <v>ET</v>
      </c>
      <c r="BL140">
        <f t="shared" si="58"/>
        <v>73.242000000000004</v>
      </c>
      <c r="BO140" s="18">
        <f t="shared" si="59"/>
        <v>0</v>
      </c>
      <c r="BP140" s="18">
        <f t="shared" si="60"/>
        <v>0</v>
      </c>
      <c r="BQ140" s="18">
        <f t="shared" si="61"/>
        <v>0.92797848229158131</v>
      </c>
      <c r="BR140" s="18">
        <f t="shared" si="62"/>
        <v>7.2021517708418664E-2</v>
      </c>
      <c r="BT140" s="27">
        <f t="shared" si="63"/>
        <v>1</v>
      </c>
      <c r="BW140" s="18">
        <f>IF(AP140="ja",VLOOKUP(B140,Miljövärden!$B$2:$H$550,MATCH("Total andel fossilt",Miljövärden!$B$2:$H$2,0),FALSE),"")</f>
        <v>0</v>
      </c>
      <c r="BZ140" s="28">
        <f t="shared" si="64"/>
        <v>0</v>
      </c>
      <c r="CA140" s="28">
        <f t="shared" si="65"/>
        <v>0</v>
      </c>
    </row>
    <row r="141" spans="1:79" x14ac:dyDescent="0.25">
      <c r="A141" s="224" t="s">
        <v>394</v>
      </c>
      <c r="B141" s="210" t="s">
        <v>395</v>
      </c>
      <c r="C141" s="121">
        <f>VLOOKUP($B141,'Tillförd energi'!$B$1:$AI$720,MATCH(C$1,'Tillförd energi'!$B$1:$AQ$1,0),FALSE)</f>
        <v>0</v>
      </c>
      <c r="D141" s="121">
        <f>VLOOKUP($B141,'Tillförd energi'!$B$1:$AI$720,MATCH(D$1,'Tillförd energi'!$B$1:$AQ$1,0),FALSE)</f>
        <v>4.8000000000000001E-2</v>
      </c>
      <c r="E141" s="121">
        <f>VLOOKUP($B141,'Tillförd energi'!$B$1:$AI$720,MATCH(E$1,'Tillförd energi'!$B$1:$AQ$1,0),FALSE)</f>
        <v>0</v>
      </c>
      <c r="F141" s="121">
        <f>VLOOKUP($B141,'Tillförd energi'!$B$1:$AI$720,MATCH(F$1,'Tillförd energi'!$B$1:$AQ$1,0),FALSE)</f>
        <v>0</v>
      </c>
      <c r="G141" s="121">
        <f>VLOOKUP($B141,'Tillförd energi'!$B$1:$AI$720,MATCH(G$1,'Tillförd energi'!$B$1:$AQ$1,0),FALSE)</f>
        <v>0</v>
      </c>
      <c r="H141" s="121">
        <f>VLOOKUP($B141,'Tillförd energi'!$B$1:$AI$720,MATCH(H$1,'Tillförd energi'!$B$1:$AQ$1,0),FALSE)</f>
        <v>0</v>
      </c>
      <c r="I141" s="121">
        <f>VLOOKUP($B141,'Tillförd energi'!$B$1:$AI$720,MATCH(I$1,'Tillförd energi'!$B$1:$AQ$1,0),FALSE)</f>
        <v>0</v>
      </c>
      <c r="J141" s="121">
        <f>VLOOKUP($B141,'Tillförd energi'!$B$1:$AI$720,MATCH(J$1,'Tillförd energi'!$B$1:$AQ$1,0),FALSE)</f>
        <v>0</v>
      </c>
      <c r="K141" s="121">
        <f>VLOOKUP($B141,'Tillförd energi'!$B$1:$AI$720,MATCH(K$1,'Tillförd energi'!$B$1:$AQ$1,0),FALSE)</f>
        <v>0</v>
      </c>
      <c r="L141" s="121">
        <f>VLOOKUP($B141,'Tillförd energi'!$B$1:$AI$720,MATCH(L$1,'Tillförd energi'!$B$1:$AQ$1,0),FALSE)</f>
        <v>0</v>
      </c>
      <c r="M141" s="121">
        <f>VLOOKUP($B141,'Tillförd energi'!$B$1:$AI$720,MATCH(M$1,'Tillförd energi'!$B$1:$AQ$1,0),FALSE)</f>
        <v>0</v>
      </c>
      <c r="N141" s="121">
        <f>VLOOKUP($B141,'Tillförd energi'!$B$1:$AI$720,MATCH(N$1,'Tillförd energi'!$B$1:$AQ$1,0),FALSE)</f>
        <v>0</v>
      </c>
      <c r="O141" s="121">
        <f>VLOOKUP($B141,'Tillförd energi'!$B$1:$AI$720,MATCH(O$1,'Tillförd energi'!$B$1:$AQ$1,0),FALSE)</f>
        <v>0</v>
      </c>
      <c r="P141" s="121">
        <f>VLOOKUP($B141,'Tillförd energi'!$B$1:$AI$720,MATCH(P$1,'Tillförd energi'!$B$1:$AQ$1,0),FALSE)</f>
        <v>0</v>
      </c>
      <c r="Q141" s="121">
        <f>VLOOKUP($B141,'Tillförd energi'!$B$1:$AI$720,MATCH(Q$1,'Tillförd energi'!$B$1:$AQ$1,0),FALSE)</f>
        <v>0</v>
      </c>
      <c r="R141" s="121">
        <f>VLOOKUP($B141,'Tillförd energi'!$B$1:$AI$720,MATCH(R$1,'Tillförd energi'!$B$1:$AQ$1,0),FALSE)</f>
        <v>1.31</v>
      </c>
      <c r="S141" s="121">
        <f>VLOOKUP($B141,'Tillförd energi'!$B$1:$AI$720,MATCH(S$1,'Tillförd energi'!$B$1:$AQ$1,0),FALSE)</f>
        <v>0</v>
      </c>
      <c r="T141" s="121">
        <f>VLOOKUP($B141,'Tillförd energi'!$B$1:$AI$720,MATCH(T$1,'Tillförd energi'!$B$1:$AQ$1,0),FALSE)</f>
        <v>0</v>
      </c>
      <c r="U141" s="121">
        <f>VLOOKUP($B141,'Tillförd energi'!$B$1:$AI$720,MATCH(U$1,'Tillförd energi'!$B$1:$AQ$1,0),FALSE)</f>
        <v>0</v>
      </c>
      <c r="V141" s="121">
        <f>VLOOKUP($B141,'Tillförd energi'!$B$1:$AI$720,MATCH(V$1,'Tillförd energi'!$B$1:$AQ$1,0),FALSE)</f>
        <v>0</v>
      </c>
      <c r="W141" s="121">
        <f>VLOOKUP($B141,'Tillförd energi'!$B$1:$AI$720,MATCH(W$1,'Tillförd energi'!$B$1:$AQ$1,0),FALSE)</f>
        <v>0</v>
      </c>
      <c r="X141" s="121">
        <f>VLOOKUP($B141,'Tillförd energi'!$B$1:$AI$720,MATCH(X$1,'Tillförd energi'!$B$1:$AQ$1,0),FALSE)</f>
        <v>0</v>
      </c>
      <c r="Y141" s="121">
        <f>VLOOKUP($B141,'Tillförd energi'!$B$1:$AI$720,MATCH(Y$1,'Tillförd energi'!$B$1:$AQ$1,0),FALSE)</f>
        <v>0</v>
      </c>
      <c r="Z141" s="121">
        <f>VLOOKUP($B141,'Tillförd energi'!$B$1:$AI$720,MATCH(Z$1,'Tillförd energi'!$B$1:$AQ$1,0),FALSE)</f>
        <v>0</v>
      </c>
      <c r="AA141" s="121">
        <f>VLOOKUP($B141,'Tillförd energi'!$B$1:$AI$720,MATCH(AA$1,'Tillförd energi'!$B$1:$AQ$1,0),FALSE)</f>
        <v>0</v>
      </c>
      <c r="AB141" s="121">
        <f>VLOOKUP($B141,'Tillförd energi'!$B$1:$AI$720,MATCH(AB$1,'Tillförd energi'!$B$1:$AQ$1,0),FALSE)</f>
        <v>0</v>
      </c>
      <c r="AC141" s="121">
        <f>VLOOKUP($B141,'Tillförd energi'!$B$1:$AI$720,MATCH(AC$1,'Tillförd energi'!$B$1:$AQ$1,0),FALSE)</f>
        <v>0</v>
      </c>
      <c r="AD141" s="121">
        <f>VLOOKUP($B141,'Tillförd energi'!$B$1:$AI$720,MATCH(AD$1,'Tillförd energi'!$B$1:$AQ$1,0),FALSE)</f>
        <v>0</v>
      </c>
      <c r="AE141" s="121">
        <f>VLOOKUP($B141,'Tillförd energi'!$B$1:$AI$720,MATCH(AE$1,'Tillförd energi'!$B$1:$AQ$1,0),FALSE)</f>
        <v>0</v>
      </c>
      <c r="AF141" s="121">
        <f>VLOOKUP($B141,'Tillförd energi'!$B$1:$AI$720,MATCH(AF$1,'Tillförd energi'!$B$1:$AQ$1,0),FALSE)</f>
        <v>2.8000000000000001E-2</v>
      </c>
      <c r="AG141" s="121">
        <f>IFERROR(VLOOKUP(B141,Miljö!$B$1:$AC$550,MATCH("Köpt mängd produktionsspecifik fjärrvärme:",Miljö!$B$1:$AC$1,0),FALSE)/1,0)</f>
        <v>0</v>
      </c>
      <c r="AH141" s="121"/>
      <c r="AI141" s="121">
        <f t="shared" si="44"/>
        <v>1.3860000000000001</v>
      </c>
      <c r="AJ141" s="121">
        <f t="shared" si="45"/>
        <v>1.3860000000000001</v>
      </c>
      <c r="AK141" s="121">
        <f>IF(ISERROR(1/VLOOKUP($B141,Leveranser!$B$1:$S$499,MATCH("såld värme (gwh)",Leveranser!$B$1:$S$1,0),FALSE)),"",VLOOKUP($B141,Leveranser!$B$1:$S$499,MATCH("såld värme (gwh)",Leveranser!$B$1:$S$1,0),FALSE))</f>
        <v>1.1025</v>
      </c>
      <c r="AL141" s="121">
        <f>VLOOKUP($B141,Leveranser!$B$1:$Y$499,MATCH("Totalt såld fjärrvärme till andra fjärrvärmeföretag",Leveranser!$B$1:$AA$1,0),FALSE)</f>
        <v>0</v>
      </c>
      <c r="AM141" s="121">
        <f>IF(ISERROR(1/VLOOKUP($B141,Miljö!$B$1:$S$500,MATCH("Såld mängd produktionsspecifik fjärrvärme (GWh)",Miljö!$B$1:$R$1,0),FALSE)),0,VLOOKUP($B141,Miljö!$B$1:$S$500,MATCH("Såld mängd produktionsspecifik fjärrvärme (GWh)",Miljö!$B$1:$R$1,0),FALSE))</f>
        <v>0</v>
      </c>
      <c r="AN141" s="172">
        <f t="shared" si="46"/>
        <v>0.79545454545454541</v>
      </c>
      <c r="AO141" s="121"/>
      <c r="AP141" s="121" t="str">
        <f>IFERROR(VLOOKUP($B141,Miljövärden!$B$2:$H$550,7,FALSE),"Nej, saknas")</f>
        <v>Ja</v>
      </c>
      <c r="AQ141" s="121" t="str">
        <f>IFERROR(VLOOKUP($B141,Miljövärden!$B$2:$H$550,6,FALSE),"Nej, saknas")</f>
        <v>Nej</v>
      </c>
      <c r="AU141">
        <f t="shared" si="47"/>
        <v>2.8000000000000001E-2</v>
      </c>
      <c r="AV141">
        <f t="shared" si="48"/>
        <v>0</v>
      </c>
      <c r="AW141">
        <f t="shared" si="49"/>
        <v>0</v>
      </c>
      <c r="AX141">
        <f t="shared" si="50"/>
        <v>1.31</v>
      </c>
      <c r="AZ141">
        <f t="shared" si="51"/>
        <v>1.31</v>
      </c>
      <c r="BC141">
        <f t="shared" si="52"/>
        <v>4.8000000000000001E-2</v>
      </c>
      <c r="BD141">
        <f t="shared" si="53"/>
        <v>0</v>
      </c>
      <c r="BE141">
        <f t="shared" si="54"/>
        <v>1.31</v>
      </c>
      <c r="BF141">
        <f t="shared" si="55"/>
        <v>0</v>
      </c>
      <c r="BG141">
        <f t="shared" si="56"/>
        <v>2.8000000000000001E-2</v>
      </c>
      <c r="BH141">
        <f>VLOOKUP(B141,Miljö!$B$1:$BX$482,MATCH("Fossilandel för ursprungspecificerad el ()",Miljö!$B$1:$I$1,0),FALSE)</f>
        <v>0</v>
      </c>
      <c r="BI141">
        <f>VLOOKUP(B141,Miljö!$B$1:$BX$482,MATCH("Kärnkraftsandel för ursprungsspecificerad el ()",Miljö!$B$1:$O$1,0),FALSE)</f>
        <v>0</v>
      </c>
      <c r="BJ141">
        <f t="shared" si="57"/>
        <v>0</v>
      </c>
      <c r="BK141" t="str">
        <f>VLOOKUP(B141,Miljö!$B$1:$O$482,MATCH("Fossil andel i procent (%)",Miljö!$B$1:$O$1,0),FALSE)</f>
        <v>ET</v>
      </c>
      <c r="BL141">
        <f t="shared" si="58"/>
        <v>1.3860000000000001</v>
      </c>
      <c r="BO141" s="18">
        <f t="shared" si="59"/>
        <v>3.4632034632034632E-2</v>
      </c>
      <c r="BP141" s="18">
        <f t="shared" si="60"/>
        <v>0</v>
      </c>
      <c r="BQ141" s="18">
        <f t="shared" si="61"/>
        <v>0.96536796536796532</v>
      </c>
      <c r="BR141" s="18">
        <f t="shared" si="62"/>
        <v>0</v>
      </c>
      <c r="BT141" s="27">
        <f t="shared" si="63"/>
        <v>1</v>
      </c>
      <c r="BW141" s="18">
        <f>IF(AP141="ja",VLOOKUP(B141,Miljövärden!$B$2:$H$550,MATCH("Total andel fossilt",Miljövärden!$B$2:$H$2,0),FALSE),"")</f>
        <v>3.4632000000000003E-2</v>
      </c>
      <c r="BZ141" s="28">
        <f t="shared" si="64"/>
        <v>-3.4632034628945263E-8</v>
      </c>
      <c r="CA141" s="28">
        <f t="shared" si="65"/>
        <v>0</v>
      </c>
    </row>
    <row r="142" spans="1:79" x14ac:dyDescent="0.25">
      <c r="A142" s="224" t="s">
        <v>394</v>
      </c>
      <c r="B142" s="210" t="s">
        <v>396</v>
      </c>
      <c r="C142" s="121">
        <f>VLOOKUP($B142,'Tillförd energi'!$B$1:$AI$720,MATCH(C$1,'Tillförd energi'!$B$1:$AQ$1,0),FALSE)</f>
        <v>0</v>
      </c>
      <c r="D142" s="121">
        <f>VLOOKUP($B142,'Tillförd energi'!$B$1:$AI$720,MATCH(D$1,'Tillförd energi'!$B$1:$AQ$1,0),FALSE)</f>
        <v>0.02</v>
      </c>
      <c r="E142" s="121">
        <f>VLOOKUP($B142,'Tillförd energi'!$B$1:$AI$720,MATCH(E$1,'Tillförd energi'!$B$1:$AQ$1,0),FALSE)</f>
        <v>0</v>
      </c>
      <c r="F142" s="121">
        <f>VLOOKUP($B142,'Tillförd energi'!$B$1:$AI$720,MATCH(F$1,'Tillförd energi'!$B$1:$AQ$1,0),FALSE)</f>
        <v>0</v>
      </c>
      <c r="G142" s="121">
        <f>VLOOKUP($B142,'Tillförd energi'!$B$1:$AI$720,MATCH(G$1,'Tillförd energi'!$B$1:$AQ$1,0),FALSE)</f>
        <v>0</v>
      </c>
      <c r="H142" s="121">
        <f>VLOOKUP($B142,'Tillförd energi'!$B$1:$AI$720,MATCH(H$1,'Tillförd energi'!$B$1:$AQ$1,0),FALSE)</f>
        <v>0</v>
      </c>
      <c r="I142" s="121">
        <f>VLOOKUP($B142,'Tillförd energi'!$B$1:$AI$720,MATCH(I$1,'Tillförd energi'!$B$1:$AQ$1,0),FALSE)</f>
        <v>0</v>
      </c>
      <c r="J142" s="121">
        <f>VLOOKUP($B142,'Tillförd energi'!$B$1:$AI$720,MATCH(J$1,'Tillförd energi'!$B$1:$AQ$1,0),FALSE)</f>
        <v>0</v>
      </c>
      <c r="K142" s="121">
        <f>VLOOKUP($B142,'Tillförd energi'!$B$1:$AI$720,MATCH(K$1,'Tillförd energi'!$B$1:$AQ$1,0),FALSE)</f>
        <v>0</v>
      </c>
      <c r="L142" s="121">
        <f>VLOOKUP($B142,'Tillförd energi'!$B$1:$AI$720,MATCH(L$1,'Tillförd energi'!$B$1:$AQ$1,0),FALSE)</f>
        <v>0</v>
      </c>
      <c r="M142" s="121">
        <f>VLOOKUP($B142,'Tillförd energi'!$B$1:$AI$720,MATCH(M$1,'Tillförd energi'!$B$1:$AQ$1,0),FALSE)</f>
        <v>0</v>
      </c>
      <c r="N142" s="121">
        <f>VLOOKUP($B142,'Tillförd energi'!$B$1:$AI$720,MATCH(N$1,'Tillförd energi'!$B$1:$AQ$1,0),FALSE)</f>
        <v>0</v>
      </c>
      <c r="O142" s="121">
        <f>VLOOKUP($B142,'Tillförd energi'!$B$1:$AI$720,MATCH(O$1,'Tillförd energi'!$B$1:$AQ$1,0),FALSE)</f>
        <v>0</v>
      </c>
      <c r="P142" s="121">
        <f>VLOOKUP($B142,'Tillförd energi'!$B$1:$AI$720,MATCH(P$1,'Tillförd energi'!$B$1:$AQ$1,0),FALSE)</f>
        <v>0</v>
      </c>
      <c r="Q142" s="121">
        <f>VLOOKUP($B142,'Tillförd energi'!$B$1:$AI$720,MATCH(Q$1,'Tillförd energi'!$B$1:$AQ$1,0),FALSE)</f>
        <v>0</v>
      </c>
      <c r="R142" s="121">
        <f>VLOOKUP($B142,'Tillförd energi'!$B$1:$AI$720,MATCH(R$1,'Tillförd energi'!$B$1:$AQ$1,0),FALSE)</f>
        <v>0.98</v>
      </c>
      <c r="S142" s="121">
        <f>VLOOKUP($B142,'Tillförd energi'!$B$1:$AI$720,MATCH(S$1,'Tillförd energi'!$B$1:$AQ$1,0),FALSE)</f>
        <v>0</v>
      </c>
      <c r="T142" s="121">
        <f>VLOOKUP($B142,'Tillförd energi'!$B$1:$AI$720,MATCH(T$1,'Tillförd energi'!$B$1:$AQ$1,0),FALSE)</f>
        <v>0</v>
      </c>
      <c r="U142" s="121">
        <f>VLOOKUP($B142,'Tillförd energi'!$B$1:$AI$720,MATCH(U$1,'Tillförd energi'!$B$1:$AQ$1,0),FALSE)</f>
        <v>0</v>
      </c>
      <c r="V142" s="121">
        <f>VLOOKUP($B142,'Tillförd energi'!$B$1:$AI$720,MATCH(V$1,'Tillförd energi'!$B$1:$AQ$1,0),FALSE)</f>
        <v>0</v>
      </c>
      <c r="W142" s="121">
        <f>VLOOKUP($B142,'Tillförd energi'!$B$1:$AI$720,MATCH(W$1,'Tillförd energi'!$B$1:$AQ$1,0),FALSE)</f>
        <v>0</v>
      </c>
      <c r="X142" s="121">
        <f>VLOOKUP($B142,'Tillförd energi'!$B$1:$AI$720,MATCH(X$1,'Tillförd energi'!$B$1:$AQ$1,0),FALSE)</f>
        <v>0</v>
      </c>
      <c r="Y142" s="121">
        <f>VLOOKUP($B142,'Tillförd energi'!$B$1:$AI$720,MATCH(Y$1,'Tillförd energi'!$B$1:$AQ$1,0),FALSE)</f>
        <v>0</v>
      </c>
      <c r="Z142" s="121">
        <f>VLOOKUP($B142,'Tillförd energi'!$B$1:$AI$720,MATCH(Z$1,'Tillförd energi'!$B$1:$AQ$1,0),FALSE)</f>
        <v>0</v>
      </c>
      <c r="AA142" s="121">
        <f>VLOOKUP($B142,'Tillförd energi'!$B$1:$AI$720,MATCH(AA$1,'Tillförd energi'!$B$1:$AQ$1,0),FALSE)</f>
        <v>0</v>
      </c>
      <c r="AB142" s="121">
        <f>VLOOKUP($B142,'Tillförd energi'!$B$1:$AI$720,MATCH(AB$1,'Tillförd energi'!$B$1:$AQ$1,0),FALSE)</f>
        <v>0</v>
      </c>
      <c r="AC142" s="121">
        <f>VLOOKUP($B142,'Tillförd energi'!$B$1:$AI$720,MATCH(AC$1,'Tillförd energi'!$B$1:$AQ$1,0),FALSE)</f>
        <v>0</v>
      </c>
      <c r="AD142" s="121">
        <f>VLOOKUP($B142,'Tillförd energi'!$B$1:$AI$720,MATCH(AD$1,'Tillförd energi'!$B$1:$AQ$1,0),FALSE)</f>
        <v>0</v>
      </c>
      <c r="AE142" s="121">
        <f>VLOOKUP($B142,'Tillförd energi'!$B$1:$AI$720,MATCH(AE$1,'Tillförd energi'!$B$1:$AQ$1,0),FALSE)</f>
        <v>0</v>
      </c>
      <c r="AF142" s="121">
        <f>VLOOKUP($B142,'Tillförd energi'!$B$1:$AI$720,MATCH(AF$1,'Tillförd energi'!$B$1:$AQ$1,0),FALSE)</f>
        <v>2.93E-2</v>
      </c>
      <c r="AG142" s="121">
        <f>IFERROR(VLOOKUP(B142,Miljö!$B$1:$AC$550,MATCH("Köpt mängd produktionsspecifik fjärrvärme:",Miljö!$B$1:$AC$1,0),FALSE)/1,0)</f>
        <v>0</v>
      </c>
      <c r="AH142" s="121"/>
      <c r="AI142" s="121">
        <f t="shared" si="44"/>
        <v>1.0293000000000001</v>
      </c>
      <c r="AJ142" s="121">
        <f t="shared" si="45"/>
        <v>1.0293000000000001</v>
      </c>
      <c r="AK142" s="121">
        <f>IF(ISERROR(1/VLOOKUP($B142,Leveranser!$B$1:$S$499,MATCH("såld värme (gwh)",Leveranser!$B$1:$S$1,0),FALSE)),"",VLOOKUP($B142,Leveranser!$B$1:$S$499,MATCH("såld värme (gwh)",Leveranser!$B$1:$S$1,0),FALSE))</f>
        <v>0.81089999999999995</v>
      </c>
      <c r="AL142" s="121">
        <f>VLOOKUP($B142,Leveranser!$B$1:$Y$499,MATCH("Totalt såld fjärrvärme till andra fjärrvärmeföretag",Leveranser!$B$1:$AA$1,0),FALSE)</f>
        <v>0</v>
      </c>
      <c r="AM142" s="121">
        <f>IF(ISERROR(1/VLOOKUP($B142,Miljö!$B$1:$S$500,MATCH("Såld mängd produktionsspecifik fjärrvärme (GWh)",Miljö!$B$1:$R$1,0),FALSE)),0,VLOOKUP($B142,Miljö!$B$1:$S$500,MATCH("Såld mängd produktionsspecifik fjärrvärme (GWh)",Miljö!$B$1:$R$1,0),FALSE))</f>
        <v>0</v>
      </c>
      <c r="AN142" s="172">
        <f t="shared" si="46"/>
        <v>0.7878169629845525</v>
      </c>
      <c r="AO142" s="121"/>
      <c r="AP142" s="121" t="str">
        <f>IFERROR(VLOOKUP($B142,Miljövärden!$B$2:$H$550,7,FALSE),"Nej, saknas")</f>
        <v>Ja</v>
      </c>
      <c r="AQ142" s="121" t="str">
        <f>IFERROR(VLOOKUP($B142,Miljövärden!$B$2:$H$550,6,FALSE),"Nej, saknas")</f>
        <v>Nej</v>
      </c>
      <c r="AU142">
        <f t="shared" si="47"/>
        <v>2.93E-2</v>
      </c>
      <c r="AV142">
        <f t="shared" si="48"/>
        <v>0</v>
      </c>
      <c r="AW142">
        <f t="shared" si="49"/>
        <v>0</v>
      </c>
      <c r="AX142">
        <f t="shared" si="50"/>
        <v>0.98</v>
      </c>
      <c r="AZ142">
        <f t="shared" si="51"/>
        <v>0.98</v>
      </c>
      <c r="BC142">
        <f t="shared" si="52"/>
        <v>0.02</v>
      </c>
      <c r="BD142">
        <f t="shared" si="53"/>
        <v>0</v>
      </c>
      <c r="BE142">
        <f t="shared" si="54"/>
        <v>0.98</v>
      </c>
      <c r="BF142">
        <f t="shared" si="55"/>
        <v>0</v>
      </c>
      <c r="BG142">
        <f t="shared" si="56"/>
        <v>2.93E-2</v>
      </c>
      <c r="BH142">
        <f>VLOOKUP(B142,Miljö!$B$1:$BX$482,MATCH("Fossilandel för ursprungspecificerad el ()",Miljö!$B$1:$I$1,0),FALSE)</f>
        <v>0</v>
      </c>
      <c r="BI142">
        <f>VLOOKUP(B142,Miljö!$B$1:$BX$482,MATCH("Kärnkraftsandel för ursprungsspecificerad el ()",Miljö!$B$1:$O$1,0),FALSE)</f>
        <v>0</v>
      </c>
      <c r="BJ142">
        <f t="shared" si="57"/>
        <v>0</v>
      </c>
      <c r="BK142" t="str">
        <f>VLOOKUP(B142,Miljö!$B$1:$O$482,MATCH("Fossil andel i procent (%)",Miljö!$B$1:$O$1,0),FALSE)</f>
        <v>ET</v>
      </c>
      <c r="BL142">
        <f t="shared" si="58"/>
        <v>1.0293000000000001</v>
      </c>
      <c r="BO142" s="18">
        <f t="shared" si="59"/>
        <v>1.943068104537064E-2</v>
      </c>
      <c r="BP142" s="18">
        <f t="shared" si="60"/>
        <v>0</v>
      </c>
      <c r="BQ142" s="18">
        <f t="shared" si="61"/>
        <v>0.9805693189546294</v>
      </c>
      <c r="BR142" s="18">
        <f t="shared" si="62"/>
        <v>0</v>
      </c>
      <c r="BT142" s="27">
        <f t="shared" si="63"/>
        <v>1</v>
      </c>
      <c r="BW142" s="18">
        <f>IF(AP142="ja",VLOOKUP(B142,Miljövärden!$B$2:$H$550,MATCH("Total andel fossilt",Miljövärden!$B$2:$H$2,0),FALSE),"")</f>
        <v>1.9430699999999999E-2</v>
      </c>
      <c r="BZ142" s="28">
        <f t="shared" si="64"/>
        <v>1.8954629359135833E-8</v>
      </c>
      <c r="CA142" s="28">
        <f t="shared" si="65"/>
        <v>0</v>
      </c>
    </row>
    <row r="143" spans="1:79" x14ac:dyDescent="0.25">
      <c r="A143" s="224" t="s">
        <v>394</v>
      </c>
      <c r="B143" s="210" t="s">
        <v>397</v>
      </c>
      <c r="C143" s="121">
        <f>VLOOKUP($B143,'Tillförd energi'!$B$1:$AI$720,MATCH(C$1,'Tillförd energi'!$B$1:$AQ$1,0),FALSE)</f>
        <v>0</v>
      </c>
      <c r="D143" s="121">
        <f>VLOOKUP($B143,'Tillförd energi'!$B$1:$AI$720,MATCH(D$1,'Tillförd energi'!$B$1:$AQ$1,0),FALSE)</f>
        <v>6.5000000000000002E-2</v>
      </c>
      <c r="E143" s="121">
        <f>VLOOKUP($B143,'Tillförd energi'!$B$1:$AI$720,MATCH(E$1,'Tillförd energi'!$B$1:$AQ$1,0),FALSE)</f>
        <v>0</v>
      </c>
      <c r="F143" s="121">
        <f>VLOOKUP($B143,'Tillförd energi'!$B$1:$AI$720,MATCH(F$1,'Tillförd energi'!$B$1:$AQ$1,0),FALSE)</f>
        <v>0</v>
      </c>
      <c r="G143" s="121">
        <f>VLOOKUP($B143,'Tillförd energi'!$B$1:$AI$720,MATCH(G$1,'Tillförd energi'!$B$1:$AQ$1,0),FALSE)</f>
        <v>0</v>
      </c>
      <c r="H143" s="121">
        <f>VLOOKUP($B143,'Tillförd energi'!$B$1:$AI$720,MATCH(H$1,'Tillförd energi'!$B$1:$AQ$1,0),FALSE)</f>
        <v>0</v>
      </c>
      <c r="I143" s="121">
        <f>VLOOKUP($B143,'Tillförd energi'!$B$1:$AI$720,MATCH(I$1,'Tillförd energi'!$B$1:$AQ$1,0),FALSE)</f>
        <v>0</v>
      </c>
      <c r="J143" s="121">
        <f>VLOOKUP($B143,'Tillförd energi'!$B$1:$AI$720,MATCH(J$1,'Tillförd energi'!$B$1:$AQ$1,0),FALSE)</f>
        <v>0</v>
      </c>
      <c r="K143" s="121">
        <f>VLOOKUP($B143,'Tillförd energi'!$B$1:$AI$720,MATCH(K$1,'Tillförd energi'!$B$1:$AQ$1,0),FALSE)</f>
        <v>0</v>
      </c>
      <c r="L143" s="121">
        <f>VLOOKUP($B143,'Tillförd energi'!$B$1:$AI$720,MATCH(L$1,'Tillförd energi'!$B$1:$AQ$1,0),FALSE)</f>
        <v>0</v>
      </c>
      <c r="M143" s="121">
        <f>VLOOKUP($B143,'Tillförd energi'!$B$1:$AI$720,MATCH(M$1,'Tillförd energi'!$B$1:$AQ$1,0),FALSE)</f>
        <v>0</v>
      </c>
      <c r="N143" s="121">
        <f>VLOOKUP($B143,'Tillförd energi'!$B$1:$AI$720,MATCH(N$1,'Tillförd energi'!$B$1:$AQ$1,0),FALSE)</f>
        <v>0</v>
      </c>
      <c r="O143" s="121">
        <f>VLOOKUP($B143,'Tillförd energi'!$B$1:$AI$720,MATCH(O$1,'Tillförd energi'!$B$1:$AQ$1,0),FALSE)</f>
        <v>0</v>
      </c>
      <c r="P143" s="121">
        <f>VLOOKUP($B143,'Tillförd energi'!$B$1:$AI$720,MATCH(P$1,'Tillförd energi'!$B$1:$AQ$1,0),FALSE)</f>
        <v>0</v>
      </c>
      <c r="Q143" s="121">
        <f>VLOOKUP($B143,'Tillförd energi'!$B$1:$AI$720,MATCH(Q$1,'Tillförd energi'!$B$1:$AQ$1,0),FALSE)</f>
        <v>0</v>
      </c>
      <c r="R143" s="121">
        <f>VLOOKUP($B143,'Tillförd energi'!$B$1:$AI$720,MATCH(R$1,'Tillförd energi'!$B$1:$AQ$1,0),FALSE)</f>
        <v>3.512</v>
      </c>
      <c r="S143" s="121">
        <f>VLOOKUP($B143,'Tillförd energi'!$B$1:$AI$720,MATCH(S$1,'Tillförd energi'!$B$1:$AQ$1,0),FALSE)</f>
        <v>0</v>
      </c>
      <c r="T143" s="121">
        <f>VLOOKUP($B143,'Tillförd energi'!$B$1:$AI$720,MATCH(T$1,'Tillförd energi'!$B$1:$AQ$1,0),FALSE)</f>
        <v>0</v>
      </c>
      <c r="U143" s="121">
        <f>VLOOKUP($B143,'Tillförd energi'!$B$1:$AI$720,MATCH(U$1,'Tillförd energi'!$B$1:$AQ$1,0),FALSE)</f>
        <v>0</v>
      </c>
      <c r="V143" s="121">
        <f>VLOOKUP($B143,'Tillförd energi'!$B$1:$AI$720,MATCH(V$1,'Tillförd energi'!$B$1:$AQ$1,0),FALSE)</f>
        <v>0</v>
      </c>
      <c r="W143" s="121">
        <f>VLOOKUP($B143,'Tillförd energi'!$B$1:$AI$720,MATCH(W$1,'Tillförd energi'!$B$1:$AQ$1,0),FALSE)</f>
        <v>0</v>
      </c>
      <c r="X143" s="121">
        <f>VLOOKUP($B143,'Tillförd energi'!$B$1:$AI$720,MATCH(X$1,'Tillförd energi'!$B$1:$AQ$1,0),FALSE)</f>
        <v>0</v>
      </c>
      <c r="Y143" s="121">
        <f>VLOOKUP($B143,'Tillförd energi'!$B$1:$AI$720,MATCH(Y$1,'Tillförd energi'!$B$1:$AQ$1,0),FALSE)</f>
        <v>0</v>
      </c>
      <c r="Z143" s="121">
        <f>VLOOKUP($B143,'Tillförd energi'!$B$1:$AI$720,MATCH(Z$1,'Tillförd energi'!$B$1:$AQ$1,0),FALSE)</f>
        <v>0</v>
      </c>
      <c r="AA143" s="121">
        <f>VLOOKUP($B143,'Tillförd energi'!$B$1:$AI$720,MATCH(AA$1,'Tillförd energi'!$B$1:$AQ$1,0),FALSE)</f>
        <v>0</v>
      </c>
      <c r="AB143" s="121">
        <f>VLOOKUP($B143,'Tillförd energi'!$B$1:$AI$720,MATCH(AB$1,'Tillförd energi'!$B$1:$AQ$1,0),FALSE)</f>
        <v>0</v>
      </c>
      <c r="AC143" s="121">
        <f>VLOOKUP($B143,'Tillförd energi'!$B$1:$AI$720,MATCH(AC$1,'Tillförd energi'!$B$1:$AQ$1,0),FALSE)</f>
        <v>0</v>
      </c>
      <c r="AD143" s="121">
        <f>VLOOKUP($B143,'Tillförd energi'!$B$1:$AI$720,MATCH(AD$1,'Tillförd energi'!$B$1:$AQ$1,0),FALSE)</f>
        <v>0</v>
      </c>
      <c r="AE143" s="121">
        <f>VLOOKUP($B143,'Tillförd energi'!$B$1:$AI$720,MATCH(AE$1,'Tillförd energi'!$B$1:$AQ$1,0),FALSE)</f>
        <v>0</v>
      </c>
      <c r="AF143" s="121">
        <f>VLOOKUP($B143,'Tillförd energi'!$B$1:$AI$720,MATCH(AF$1,'Tillförd energi'!$B$1:$AQ$1,0),FALSE)</f>
        <v>4.9000000000000002E-2</v>
      </c>
      <c r="AG143" s="121">
        <f>IFERROR(VLOOKUP(B143,Miljö!$B$1:$AC$550,MATCH("Köpt mängd produktionsspecifik fjärrvärme:",Miljö!$B$1:$AC$1,0),FALSE)/1,0)</f>
        <v>0</v>
      </c>
      <c r="AH143" s="121"/>
      <c r="AI143" s="121">
        <f t="shared" si="44"/>
        <v>3.6259999999999999</v>
      </c>
      <c r="AJ143" s="121">
        <f t="shared" si="45"/>
        <v>3.6259999999999999</v>
      </c>
      <c r="AK143" s="121">
        <f>IF(ISERROR(1/VLOOKUP($B143,Leveranser!$B$1:$S$499,MATCH("såld värme (gwh)",Leveranser!$B$1:$S$1,0),FALSE)),"",VLOOKUP($B143,Leveranser!$B$1:$S$499,MATCH("såld värme (gwh)",Leveranser!$B$1:$S$1,0),FALSE))</f>
        <v>3</v>
      </c>
      <c r="AL143" s="121">
        <f>VLOOKUP($B143,Leveranser!$B$1:$Y$499,MATCH("Totalt såld fjärrvärme till andra fjärrvärmeföretag",Leveranser!$B$1:$AA$1,0),FALSE)</f>
        <v>0</v>
      </c>
      <c r="AM143" s="121">
        <f>IF(ISERROR(1/VLOOKUP($B143,Miljö!$B$1:$S$500,MATCH("Såld mängd produktionsspecifik fjärrvärme (GWh)",Miljö!$B$1:$R$1,0),FALSE)),0,VLOOKUP($B143,Miljö!$B$1:$S$500,MATCH("Såld mängd produktionsspecifik fjärrvärme (GWh)",Miljö!$B$1:$R$1,0),FALSE))</f>
        <v>0</v>
      </c>
      <c r="AN143" s="172">
        <f t="shared" si="46"/>
        <v>0.82735797021511315</v>
      </c>
      <c r="AO143" s="121"/>
      <c r="AP143" s="121" t="str">
        <f>IFERROR(VLOOKUP($B143,Miljövärden!$B$2:$H$550,7,FALSE),"Nej, saknas")</f>
        <v>Ja</v>
      </c>
      <c r="AQ143" s="121" t="str">
        <f>IFERROR(VLOOKUP($B143,Miljövärden!$B$2:$H$550,6,FALSE),"Nej, saknas")</f>
        <v>Nej</v>
      </c>
      <c r="AU143">
        <f t="shared" si="47"/>
        <v>4.9000000000000002E-2</v>
      </c>
      <c r="AV143">
        <f t="shared" si="48"/>
        <v>0</v>
      </c>
      <c r="AW143">
        <f t="shared" si="49"/>
        <v>0</v>
      </c>
      <c r="AX143">
        <f t="shared" si="50"/>
        <v>3.512</v>
      </c>
      <c r="AZ143">
        <f t="shared" si="51"/>
        <v>3.512</v>
      </c>
      <c r="BC143">
        <f t="shared" si="52"/>
        <v>6.5000000000000002E-2</v>
      </c>
      <c r="BD143">
        <f t="shared" si="53"/>
        <v>0</v>
      </c>
      <c r="BE143">
        <f t="shared" si="54"/>
        <v>3.512</v>
      </c>
      <c r="BF143">
        <f t="shared" si="55"/>
        <v>0</v>
      </c>
      <c r="BG143">
        <f t="shared" si="56"/>
        <v>4.9000000000000002E-2</v>
      </c>
      <c r="BH143">
        <f>VLOOKUP(B143,Miljö!$B$1:$BX$482,MATCH("Fossilandel för ursprungspecificerad el ()",Miljö!$B$1:$I$1,0),FALSE)</f>
        <v>0</v>
      </c>
      <c r="BI143">
        <f>VLOOKUP(B143,Miljö!$B$1:$BX$482,MATCH("Kärnkraftsandel för ursprungsspecificerad el ()",Miljö!$B$1:$O$1,0),FALSE)</f>
        <v>0</v>
      </c>
      <c r="BJ143">
        <f t="shared" si="57"/>
        <v>0</v>
      </c>
      <c r="BK143" t="str">
        <f>VLOOKUP(B143,Miljö!$B$1:$O$482,MATCH("Fossil andel i procent (%)",Miljö!$B$1:$O$1,0),FALSE)</f>
        <v>ET</v>
      </c>
      <c r="BL143">
        <f t="shared" si="58"/>
        <v>3.6259999999999999</v>
      </c>
      <c r="BO143" s="18">
        <f t="shared" si="59"/>
        <v>1.7926089354660786E-2</v>
      </c>
      <c r="BP143" s="18">
        <f t="shared" si="60"/>
        <v>0</v>
      </c>
      <c r="BQ143" s="18">
        <f t="shared" si="61"/>
        <v>0.98207391064533922</v>
      </c>
      <c r="BR143" s="18">
        <f t="shared" si="62"/>
        <v>0</v>
      </c>
      <c r="BT143" s="27">
        <f t="shared" si="63"/>
        <v>1</v>
      </c>
      <c r="BW143" s="18">
        <f>IF(AP143="ja",VLOOKUP(B143,Miljövärden!$B$2:$H$550,MATCH("Total andel fossilt",Miljövärden!$B$2:$H$2,0),FALSE),"")</f>
        <v>1.79261E-2</v>
      </c>
      <c r="BZ143" s="28">
        <f t="shared" si="64"/>
        <v>1.064533921429911E-8</v>
      </c>
      <c r="CA143" s="28">
        <f t="shared" si="65"/>
        <v>0</v>
      </c>
    </row>
    <row r="144" spans="1:79" x14ac:dyDescent="0.25">
      <c r="A144" s="224" t="s">
        <v>394</v>
      </c>
      <c r="B144" s="210" t="s">
        <v>398</v>
      </c>
      <c r="C144" s="121">
        <f>VLOOKUP($B144,'Tillförd energi'!$B$1:$AI$720,MATCH(C$1,'Tillförd energi'!$B$1:$AQ$1,0),FALSE)</f>
        <v>0</v>
      </c>
      <c r="D144" s="121">
        <f>VLOOKUP($B144,'Tillförd energi'!$B$1:$AI$720,MATCH(D$1,'Tillförd energi'!$B$1:$AQ$1,0),FALSE)</f>
        <v>0</v>
      </c>
      <c r="E144" s="121">
        <f>VLOOKUP($B144,'Tillförd energi'!$B$1:$AI$720,MATCH(E$1,'Tillförd energi'!$B$1:$AQ$1,0),FALSE)</f>
        <v>0</v>
      </c>
      <c r="F144" s="121">
        <f>VLOOKUP($B144,'Tillförd energi'!$B$1:$AI$720,MATCH(F$1,'Tillförd energi'!$B$1:$AQ$1,0),FALSE)</f>
        <v>0</v>
      </c>
      <c r="G144" s="121">
        <f>VLOOKUP($B144,'Tillförd energi'!$B$1:$AI$720,MATCH(G$1,'Tillförd energi'!$B$1:$AQ$1,0),FALSE)</f>
        <v>0</v>
      </c>
      <c r="H144" s="121">
        <f>VLOOKUP($B144,'Tillförd energi'!$B$1:$AI$720,MATCH(H$1,'Tillförd energi'!$B$1:$AQ$1,0),FALSE)</f>
        <v>0</v>
      </c>
      <c r="I144" s="121">
        <f>VLOOKUP($B144,'Tillförd energi'!$B$1:$AI$720,MATCH(I$1,'Tillförd energi'!$B$1:$AQ$1,0),FALSE)</f>
        <v>0</v>
      </c>
      <c r="J144" s="121">
        <f>VLOOKUP($B144,'Tillförd energi'!$B$1:$AI$720,MATCH(J$1,'Tillförd energi'!$B$1:$AQ$1,0),FALSE)</f>
        <v>0</v>
      </c>
      <c r="K144" s="121">
        <f>VLOOKUP($B144,'Tillförd energi'!$B$1:$AI$720,MATCH(K$1,'Tillförd energi'!$B$1:$AQ$1,0),FALSE)</f>
        <v>0</v>
      </c>
      <c r="L144" s="121">
        <f>VLOOKUP($B144,'Tillförd energi'!$B$1:$AI$720,MATCH(L$1,'Tillförd energi'!$B$1:$AQ$1,0),FALSE)</f>
        <v>0</v>
      </c>
      <c r="M144" s="121">
        <f>VLOOKUP($B144,'Tillförd energi'!$B$1:$AI$720,MATCH(M$1,'Tillförd energi'!$B$1:$AQ$1,0),FALSE)</f>
        <v>22.862300000000001</v>
      </c>
      <c r="N144" s="121">
        <f>VLOOKUP($B144,'Tillförd energi'!$B$1:$AI$720,MATCH(N$1,'Tillförd energi'!$B$1:$AQ$1,0),FALSE)</f>
        <v>38.154800000000002</v>
      </c>
      <c r="O144" s="121">
        <f>VLOOKUP($B144,'Tillförd energi'!$B$1:$AI$720,MATCH(O$1,'Tillförd energi'!$B$1:$AQ$1,0),FALSE)</f>
        <v>0</v>
      </c>
      <c r="P144" s="121">
        <f>VLOOKUP($B144,'Tillförd energi'!$B$1:$AI$720,MATCH(P$1,'Tillförd energi'!$B$1:$AQ$1,0),FALSE)</f>
        <v>15.2925</v>
      </c>
      <c r="Q144" s="121">
        <f>VLOOKUP($B144,'Tillförd energi'!$B$1:$AI$720,MATCH(Q$1,'Tillförd energi'!$B$1:$AQ$1,0),FALSE)</f>
        <v>0</v>
      </c>
      <c r="R144" s="121">
        <f>VLOOKUP($B144,'Tillförd energi'!$B$1:$AI$720,MATCH(R$1,'Tillförd energi'!$B$1:$AQ$1,0),FALSE)</f>
        <v>0</v>
      </c>
      <c r="S144" s="121">
        <f>VLOOKUP($B144,'Tillförd energi'!$B$1:$AI$720,MATCH(S$1,'Tillförd energi'!$B$1:$AQ$1,0),FALSE)</f>
        <v>0</v>
      </c>
      <c r="T144" s="121">
        <f>VLOOKUP($B144,'Tillförd energi'!$B$1:$AI$720,MATCH(T$1,'Tillförd energi'!$B$1:$AQ$1,0),FALSE)</f>
        <v>0</v>
      </c>
      <c r="U144" s="121">
        <f>VLOOKUP($B144,'Tillförd energi'!$B$1:$AI$720,MATCH(U$1,'Tillförd energi'!$B$1:$AQ$1,0),FALSE)</f>
        <v>0</v>
      </c>
      <c r="V144" s="121">
        <f>VLOOKUP($B144,'Tillförd energi'!$B$1:$AI$720,MATCH(V$1,'Tillförd energi'!$B$1:$AQ$1,0),FALSE)</f>
        <v>0</v>
      </c>
      <c r="W144" s="121">
        <f>VLOOKUP($B144,'Tillförd energi'!$B$1:$AI$720,MATCH(W$1,'Tillförd energi'!$B$1:$AQ$1,0),FALSE)</f>
        <v>0.48299999999999998</v>
      </c>
      <c r="X144" s="121">
        <f>VLOOKUP($B144,'Tillförd energi'!$B$1:$AI$720,MATCH(X$1,'Tillförd energi'!$B$1:$AQ$1,0),FALSE)</f>
        <v>0</v>
      </c>
      <c r="Y144" s="121">
        <f>VLOOKUP($B144,'Tillförd energi'!$B$1:$AI$720,MATCH(Y$1,'Tillförd energi'!$B$1:$AQ$1,0),FALSE)</f>
        <v>0</v>
      </c>
      <c r="Z144" s="121">
        <f>VLOOKUP($B144,'Tillförd energi'!$B$1:$AI$720,MATCH(Z$1,'Tillförd energi'!$B$1:$AQ$1,0),FALSE)</f>
        <v>0</v>
      </c>
      <c r="AA144" s="121">
        <f>VLOOKUP($B144,'Tillförd energi'!$B$1:$AI$720,MATCH(AA$1,'Tillförd energi'!$B$1:$AQ$1,0),FALSE)</f>
        <v>0</v>
      </c>
      <c r="AB144" s="121">
        <f>VLOOKUP($B144,'Tillförd energi'!$B$1:$AI$720,MATCH(AB$1,'Tillförd energi'!$B$1:$AQ$1,0),FALSE)</f>
        <v>0</v>
      </c>
      <c r="AC144" s="121">
        <f>VLOOKUP($B144,'Tillförd energi'!$B$1:$AI$720,MATCH(AC$1,'Tillförd energi'!$B$1:$AQ$1,0),FALSE)</f>
        <v>26.8</v>
      </c>
      <c r="AD144" s="121">
        <f>VLOOKUP($B144,'Tillförd energi'!$B$1:$AI$720,MATCH(AD$1,'Tillförd energi'!$B$1:$AQ$1,0),FALSE)</f>
        <v>0</v>
      </c>
      <c r="AE144" s="121">
        <f>VLOOKUP($B144,'Tillförd energi'!$B$1:$AI$720,MATCH(AE$1,'Tillförd energi'!$B$1:$AQ$1,0),FALSE)</f>
        <v>0</v>
      </c>
      <c r="AF144" s="121">
        <f>VLOOKUP($B144,'Tillförd energi'!$B$1:$AI$720,MATCH(AF$1,'Tillförd energi'!$B$1:$AQ$1,0),FALSE)</f>
        <v>3.0814400000000002</v>
      </c>
      <c r="AG144" s="121">
        <f>IFERROR(VLOOKUP(B144,Miljö!$B$1:$AC$550,MATCH("Köpt mängd produktionsspecifik fjärrvärme:",Miljö!$B$1:$AC$1,0),FALSE)/1,0)</f>
        <v>32.200000000000003</v>
      </c>
      <c r="AH144" s="121"/>
      <c r="AI144" s="121">
        <f t="shared" si="44"/>
        <v>106.67404000000001</v>
      </c>
      <c r="AJ144" s="121">
        <f t="shared" si="45"/>
        <v>138.87404000000001</v>
      </c>
      <c r="AK144" s="121">
        <f>IF(ISERROR(1/VLOOKUP($B144,Leveranser!$B$1:$S$499,MATCH("såld värme (gwh)",Leveranser!$B$1:$S$1,0),FALSE)),"",VLOOKUP($B144,Leveranser!$B$1:$S$499,MATCH("såld värme (gwh)",Leveranser!$B$1:$S$1,0),FALSE))</f>
        <v>116</v>
      </c>
      <c r="AL144" s="121">
        <f>VLOOKUP($B144,Leveranser!$B$1:$Y$499,MATCH("Totalt såld fjärrvärme till andra fjärrvärmeföretag",Leveranser!$B$1:$AA$1,0),FALSE)</f>
        <v>0</v>
      </c>
      <c r="AM144" s="121">
        <f>IF(ISERROR(1/VLOOKUP($B144,Miljö!$B$1:$S$500,MATCH("Såld mängd produktionsspecifik fjärrvärme (GWh)",Miljö!$B$1:$R$1,0),FALSE)),0,VLOOKUP($B144,Miljö!$B$1:$S$500,MATCH("Såld mängd produktionsspecifik fjärrvärme (GWh)",Miljö!$B$1:$R$1,0),FALSE))</f>
        <v>0</v>
      </c>
      <c r="AN144" s="172">
        <f t="shared" si="46"/>
        <v>0.83528930244990351</v>
      </c>
      <c r="AO144" s="121"/>
      <c r="AP144" s="121" t="str">
        <f>IFERROR(VLOOKUP($B144,Miljövärden!$B$2:$H$550,7,FALSE),"Nej, saknas")</f>
        <v>Ja</v>
      </c>
      <c r="AQ144" s="121" t="str">
        <f>IFERROR(VLOOKUP($B144,Miljövärden!$B$2:$H$550,6,FALSE),"Nej, saknas")</f>
        <v>Ja</v>
      </c>
      <c r="AU144">
        <f t="shared" si="47"/>
        <v>3.0814400000000002</v>
      </c>
      <c r="AV144">
        <f t="shared" si="48"/>
        <v>0</v>
      </c>
      <c r="AW144">
        <f t="shared" si="49"/>
        <v>76.309600000000003</v>
      </c>
      <c r="AX144">
        <f t="shared" si="50"/>
        <v>0</v>
      </c>
      <c r="AZ144">
        <f t="shared" si="51"/>
        <v>76.792600000000007</v>
      </c>
      <c r="BC144">
        <f t="shared" si="52"/>
        <v>0</v>
      </c>
      <c r="BD144">
        <f t="shared" si="53"/>
        <v>0</v>
      </c>
      <c r="BE144">
        <f t="shared" si="54"/>
        <v>76.792600000000007</v>
      </c>
      <c r="BF144">
        <f t="shared" si="55"/>
        <v>26.8</v>
      </c>
      <c r="BG144">
        <f t="shared" si="56"/>
        <v>3.0814400000000002</v>
      </c>
      <c r="BH144">
        <f>VLOOKUP(B144,Miljö!$B$1:$BX$482,MATCH("Fossilandel för ursprungspecificerad el ()",Miljö!$B$1:$I$1,0),FALSE)</f>
        <v>0</v>
      </c>
      <c r="BI144">
        <f>VLOOKUP(B144,Miljö!$B$1:$BX$482,MATCH("Kärnkraftsandel för ursprungsspecificerad el ()",Miljö!$B$1:$O$1,0),FALSE)</f>
        <v>0</v>
      </c>
      <c r="BJ144">
        <f t="shared" si="57"/>
        <v>32.200000000000003</v>
      </c>
      <c r="BK144">
        <f>VLOOKUP(B144,Miljö!$B$1:$O$482,MATCH("Fossil andel i procent (%)",Miljö!$B$1:$O$1,0),FALSE)</f>
        <v>13</v>
      </c>
      <c r="BL144">
        <f t="shared" si="58"/>
        <v>138.87404000000001</v>
      </c>
      <c r="BO144" s="18">
        <f t="shared" si="59"/>
        <v>3.0142422586683586E-2</v>
      </c>
      <c r="BP144" s="18">
        <f t="shared" si="60"/>
        <v>0.20172236654165171</v>
      </c>
      <c r="BQ144" s="18">
        <f t="shared" si="61"/>
        <v>0.57515457892634225</v>
      </c>
      <c r="BR144" s="18">
        <f t="shared" si="62"/>
        <v>0.19298063194532253</v>
      </c>
      <c r="BT144" s="27">
        <f t="shared" si="63"/>
        <v>1</v>
      </c>
      <c r="BW144" s="18">
        <f>IF(AP144="ja",VLOOKUP(B144,Miljövärden!$B$2:$H$550,MATCH("Total andel fossilt",Miljövärden!$B$2:$H$2,0),FALSE),"")</f>
        <v>3.01424E-2</v>
      </c>
      <c r="BZ144" s="28">
        <f t="shared" si="64"/>
        <v>-2.2586683585956724E-8</v>
      </c>
      <c r="CA144" s="28">
        <f t="shared" si="65"/>
        <v>0</v>
      </c>
    </row>
    <row r="145" spans="1:79" x14ac:dyDescent="0.25">
      <c r="A145" s="224" t="s">
        <v>399</v>
      </c>
      <c r="B145" s="210" t="s">
        <v>400</v>
      </c>
      <c r="C145" s="121">
        <f>VLOOKUP($B145,'Tillförd energi'!$B$1:$AI$720,MATCH(C$1,'Tillförd energi'!$B$1:$AQ$1,0),FALSE)</f>
        <v>0</v>
      </c>
      <c r="D145" s="121">
        <f>VLOOKUP($B145,'Tillförd energi'!$B$1:$AI$720,MATCH(D$1,'Tillförd energi'!$B$1:$AQ$1,0),FALSE)</f>
        <v>1.27712</v>
      </c>
      <c r="E145" s="121">
        <f>VLOOKUP($B145,'Tillförd energi'!$B$1:$AI$720,MATCH(E$1,'Tillförd energi'!$B$1:$AQ$1,0),FALSE)</f>
        <v>0</v>
      </c>
      <c r="F145" s="121">
        <f>VLOOKUP($B145,'Tillförd energi'!$B$1:$AI$720,MATCH(F$1,'Tillförd energi'!$B$1:$AQ$1,0),FALSE)</f>
        <v>0</v>
      </c>
      <c r="G145" s="121">
        <f>VLOOKUP($B145,'Tillförd energi'!$B$1:$AI$720,MATCH(G$1,'Tillförd energi'!$B$1:$AQ$1,0),FALSE)</f>
        <v>0.436</v>
      </c>
      <c r="H145" s="121">
        <f>VLOOKUP($B145,'Tillförd energi'!$B$1:$AI$720,MATCH(H$1,'Tillförd energi'!$B$1:$AQ$1,0),FALSE)</f>
        <v>0</v>
      </c>
      <c r="I145" s="121">
        <f>VLOOKUP($B145,'Tillförd energi'!$B$1:$AI$720,MATCH(I$1,'Tillförd energi'!$B$1:$AQ$1,0),FALSE)</f>
        <v>136.16900000000001</v>
      </c>
      <c r="J145" s="121">
        <f>VLOOKUP($B145,'Tillförd energi'!$B$1:$AI$720,MATCH(J$1,'Tillförd energi'!$B$1:$AQ$1,0),FALSE)</f>
        <v>9.6199999999999992</v>
      </c>
      <c r="K145" s="121">
        <f>VLOOKUP($B145,'Tillförd energi'!$B$1:$AI$720,MATCH(K$1,'Tillförd energi'!$B$1:$AQ$1,0),FALSE)</f>
        <v>0</v>
      </c>
      <c r="L145" s="121">
        <f>VLOOKUP($B145,'Tillförd energi'!$B$1:$AI$720,MATCH(L$1,'Tillförd energi'!$B$1:$AQ$1,0),FALSE)</f>
        <v>57.672199999999997</v>
      </c>
      <c r="M145" s="121">
        <f>VLOOKUP($B145,'Tillförd energi'!$B$1:$AI$720,MATCH(M$1,'Tillförd energi'!$B$1:$AQ$1,0),FALSE)</f>
        <v>0</v>
      </c>
      <c r="N145" s="121">
        <f>VLOOKUP($B145,'Tillförd energi'!$B$1:$AI$720,MATCH(N$1,'Tillförd energi'!$B$1:$AQ$1,0),FALSE)</f>
        <v>0</v>
      </c>
      <c r="O145" s="121">
        <f>VLOOKUP($B145,'Tillförd energi'!$B$1:$AI$720,MATCH(O$1,'Tillförd energi'!$B$1:$AQ$1,0),FALSE)</f>
        <v>0</v>
      </c>
      <c r="P145" s="121">
        <f>VLOOKUP($B145,'Tillförd energi'!$B$1:$AI$720,MATCH(P$1,'Tillförd energi'!$B$1:$AQ$1,0),FALSE)</f>
        <v>25.2</v>
      </c>
      <c r="Q145" s="121">
        <f>VLOOKUP($B145,'Tillförd energi'!$B$1:$AI$720,MATCH(Q$1,'Tillförd energi'!$B$1:$AQ$1,0),FALSE)</f>
        <v>0</v>
      </c>
      <c r="R145" s="121">
        <f>VLOOKUP($B145,'Tillförd energi'!$B$1:$AI$720,MATCH(R$1,'Tillförd energi'!$B$1:$AQ$1,0),FALSE)</f>
        <v>0</v>
      </c>
      <c r="S145" s="121">
        <f>VLOOKUP($B145,'Tillförd energi'!$B$1:$AI$720,MATCH(S$1,'Tillförd energi'!$B$1:$AQ$1,0),FALSE)</f>
        <v>0</v>
      </c>
      <c r="T145" s="121">
        <f>VLOOKUP($B145,'Tillförd energi'!$B$1:$AI$720,MATCH(T$1,'Tillförd energi'!$B$1:$AQ$1,0),FALSE)</f>
        <v>0</v>
      </c>
      <c r="U145" s="121">
        <f>VLOOKUP($B145,'Tillförd energi'!$B$1:$AI$720,MATCH(U$1,'Tillförd energi'!$B$1:$AQ$1,0),FALSE)</f>
        <v>0</v>
      </c>
      <c r="V145" s="121">
        <f>VLOOKUP($B145,'Tillförd energi'!$B$1:$AI$720,MATCH(V$1,'Tillförd energi'!$B$1:$AQ$1,0),FALSE)</f>
        <v>0</v>
      </c>
      <c r="W145" s="121">
        <f>VLOOKUP($B145,'Tillförd energi'!$B$1:$AI$720,MATCH(W$1,'Tillförd energi'!$B$1:$AQ$1,0),FALSE)</f>
        <v>0</v>
      </c>
      <c r="X145" s="121">
        <f>VLOOKUP($B145,'Tillförd energi'!$B$1:$AI$720,MATCH(X$1,'Tillförd energi'!$B$1:$AQ$1,0),FALSE)</f>
        <v>0</v>
      </c>
      <c r="Y145" s="121">
        <f>VLOOKUP($B145,'Tillförd energi'!$B$1:$AI$720,MATCH(Y$1,'Tillförd energi'!$B$1:$AQ$1,0),FALSE)</f>
        <v>0</v>
      </c>
      <c r="Z145" s="121">
        <f>VLOOKUP($B145,'Tillförd energi'!$B$1:$AI$720,MATCH(Z$1,'Tillförd energi'!$B$1:$AQ$1,0),FALSE)</f>
        <v>0</v>
      </c>
      <c r="AA145" s="121">
        <f>VLOOKUP($B145,'Tillförd energi'!$B$1:$AI$720,MATCH(AA$1,'Tillförd energi'!$B$1:$AQ$1,0),FALSE)</f>
        <v>0</v>
      </c>
      <c r="AB145" s="121">
        <f>VLOOKUP($B145,'Tillförd energi'!$B$1:$AI$720,MATCH(AB$1,'Tillförd energi'!$B$1:$AQ$1,0),FALSE)</f>
        <v>0</v>
      </c>
      <c r="AC145" s="121">
        <f>VLOOKUP($B145,'Tillförd energi'!$B$1:$AI$720,MATCH(AC$1,'Tillförd energi'!$B$1:$AQ$1,0),FALSE)</f>
        <v>12.797000000000001</v>
      </c>
      <c r="AD145" s="121">
        <f>VLOOKUP($B145,'Tillförd energi'!$B$1:$AI$720,MATCH(AD$1,'Tillförd energi'!$B$1:$AQ$1,0),FALSE)</f>
        <v>66.081000000000003</v>
      </c>
      <c r="AE145" s="121">
        <f>VLOOKUP($B145,'Tillförd energi'!$B$1:$AI$720,MATCH(AE$1,'Tillförd energi'!$B$1:$AQ$1,0),FALSE)</f>
        <v>0</v>
      </c>
      <c r="AF145" s="121">
        <f>VLOOKUP($B145,'Tillförd energi'!$B$1:$AI$720,MATCH(AF$1,'Tillförd energi'!$B$1:$AQ$1,0),FALSE)</f>
        <v>7.0475399999999997</v>
      </c>
      <c r="AG145" s="121">
        <f>IFERROR(VLOOKUP(B145,Miljö!$B$1:$AC$550,MATCH("Köpt mängd produktionsspecifik fjärrvärme:",Miljö!$B$1:$AC$1,0),FALSE)/1,0)</f>
        <v>46.2</v>
      </c>
      <c r="AH145" s="121"/>
      <c r="AI145" s="121">
        <f t="shared" si="44"/>
        <v>316.29986000000002</v>
      </c>
      <c r="AJ145" s="121">
        <f t="shared" si="45"/>
        <v>362.49986000000001</v>
      </c>
      <c r="AK145" s="121">
        <f>IF(ISERROR(1/VLOOKUP($B145,Leveranser!$B$1:$S$499,MATCH("såld värme (gwh)",Leveranser!$B$1:$S$1,0),FALSE)),"",VLOOKUP($B145,Leveranser!$B$1:$S$499,MATCH("såld värme (gwh)",Leveranser!$B$1:$S$1,0),FALSE))</f>
        <v>254.3</v>
      </c>
      <c r="AL145" s="121">
        <f>VLOOKUP($B145,Leveranser!$B$1:$Y$499,MATCH("Totalt såld fjärrvärme till andra fjärrvärmeföretag",Leveranser!$B$1:$AA$1,0),FALSE)</f>
        <v>31.799999999999997</v>
      </c>
      <c r="AM145" s="121">
        <f>IF(ISERROR(1/VLOOKUP($B145,Miljö!$B$1:$S$500,MATCH("Såld mängd produktionsspecifik fjärrvärme (GWh)",Miljö!$B$1:$R$1,0),FALSE)),0,VLOOKUP($B145,Miljö!$B$1:$S$500,MATCH("Såld mängd produktionsspecifik fjärrvärme (GWh)",Miljö!$B$1:$R$1,0),FALSE))</f>
        <v>31.7</v>
      </c>
      <c r="AN145" s="172">
        <f t="shared" si="46"/>
        <v>0.70151751231021164</v>
      </c>
      <c r="AO145" s="121"/>
      <c r="AP145" s="121" t="str">
        <f>IFERROR(VLOOKUP($B145,Miljövärden!$B$2:$H$550,7,FALSE),"Nej, saknas")</f>
        <v>Ja</v>
      </c>
      <c r="AQ145" s="121" t="str">
        <f>IFERROR(VLOOKUP($B145,Miljövärden!$B$2:$H$550,6,FALSE),"Nej, saknas")</f>
        <v>Ja</v>
      </c>
      <c r="AU145">
        <f t="shared" si="47"/>
        <v>7.0475399999999997</v>
      </c>
      <c r="AV145">
        <f t="shared" si="48"/>
        <v>0</v>
      </c>
      <c r="AW145">
        <f t="shared" si="49"/>
        <v>25.2</v>
      </c>
      <c r="AX145">
        <f t="shared" si="50"/>
        <v>0</v>
      </c>
      <c r="AZ145">
        <f t="shared" si="51"/>
        <v>82.872199999999992</v>
      </c>
      <c r="BC145">
        <f t="shared" si="52"/>
        <v>1.71312</v>
      </c>
      <c r="BD145">
        <f t="shared" si="53"/>
        <v>0</v>
      </c>
      <c r="BE145">
        <f t="shared" si="54"/>
        <v>25.2</v>
      </c>
      <c r="BF145">
        <f t="shared" si="55"/>
        <v>282.33920000000001</v>
      </c>
      <c r="BG145">
        <f t="shared" si="56"/>
        <v>7.0475399999999997</v>
      </c>
      <c r="BH145">
        <f>VLOOKUP(B145,Miljö!$B$1:$BX$482,MATCH("Fossilandel för ursprungspecificerad el ()",Miljö!$B$1:$I$1,0),FALSE)</f>
        <v>0</v>
      </c>
      <c r="BI145">
        <f>VLOOKUP(B145,Miljö!$B$1:$BX$482,MATCH("Kärnkraftsandel för ursprungsspecificerad el ()",Miljö!$B$1:$O$1,0),FALSE)</f>
        <v>0</v>
      </c>
      <c r="BJ145">
        <f t="shared" si="57"/>
        <v>46.2</v>
      </c>
      <c r="BK145">
        <f>VLOOKUP(B145,Miljö!$B$1:$O$482,MATCH("Fossil andel i procent (%)",Miljö!$B$1:$O$1,0),FALSE)</f>
        <v>0</v>
      </c>
      <c r="BL145">
        <f t="shared" si="58"/>
        <v>362.49986000000001</v>
      </c>
      <c r="BO145" s="18">
        <f t="shared" si="59"/>
        <v>4.7258501010179702E-3</v>
      </c>
      <c r="BP145" s="18">
        <f t="shared" si="60"/>
        <v>0.12744832508349108</v>
      </c>
      <c r="BQ145" s="18">
        <f t="shared" si="61"/>
        <v>8.8958765390971459E-2</v>
      </c>
      <c r="BR145" s="18">
        <f t="shared" si="62"/>
        <v>0.7788670594245195</v>
      </c>
      <c r="BT145" s="27">
        <f t="shared" si="63"/>
        <v>1</v>
      </c>
      <c r="BW145" s="18">
        <f>IF(AP145="ja",VLOOKUP(B145,Miljövärden!$B$2:$H$550,MATCH("Total andel fossilt",Miljövärden!$B$2:$H$2,0),FALSE),"")</f>
        <v>5.1787100000000004E-3</v>
      </c>
      <c r="BZ145" s="28">
        <f t="shared" si="64"/>
        <v>4.5285989898203021E-4</v>
      </c>
      <c r="CA145" s="28">
        <f t="shared" si="65"/>
        <v>0</v>
      </c>
    </row>
    <row r="146" spans="1:79" x14ac:dyDescent="0.25">
      <c r="A146" s="224" t="s">
        <v>401</v>
      </c>
      <c r="B146" s="210" t="s">
        <v>402</v>
      </c>
      <c r="C146" s="121">
        <f>VLOOKUP($B146,'Tillförd energi'!$B$1:$AI$720,MATCH(C$1,'Tillförd energi'!$B$1:$AQ$1,0),FALSE)</f>
        <v>0</v>
      </c>
      <c r="D146" s="121">
        <f>VLOOKUP($B146,'Tillförd energi'!$B$1:$AI$720,MATCH(D$1,'Tillförd energi'!$B$1:$AQ$1,0),FALSE)</f>
        <v>1.4</v>
      </c>
      <c r="E146" s="121">
        <f>VLOOKUP($B146,'Tillförd energi'!$B$1:$AI$720,MATCH(E$1,'Tillförd energi'!$B$1:$AQ$1,0),FALSE)</f>
        <v>0</v>
      </c>
      <c r="F146" s="121">
        <f>VLOOKUP($B146,'Tillförd energi'!$B$1:$AI$720,MATCH(F$1,'Tillförd energi'!$B$1:$AQ$1,0),FALSE)</f>
        <v>0</v>
      </c>
      <c r="G146" s="121">
        <f>VLOOKUP($B146,'Tillförd energi'!$B$1:$AI$720,MATCH(G$1,'Tillförd energi'!$B$1:$AQ$1,0),FALSE)</f>
        <v>0</v>
      </c>
      <c r="H146" s="121">
        <f>VLOOKUP($B146,'Tillförd energi'!$B$1:$AI$720,MATCH(H$1,'Tillförd energi'!$B$1:$AQ$1,0),FALSE)</f>
        <v>0</v>
      </c>
      <c r="I146" s="121">
        <f>VLOOKUP($B146,'Tillförd energi'!$B$1:$AI$720,MATCH(I$1,'Tillförd energi'!$B$1:$AQ$1,0),FALSE)</f>
        <v>0</v>
      </c>
      <c r="J146" s="121">
        <f>VLOOKUP($B146,'Tillförd energi'!$B$1:$AI$720,MATCH(J$1,'Tillförd energi'!$B$1:$AQ$1,0),FALSE)</f>
        <v>0</v>
      </c>
      <c r="K146" s="121">
        <f>VLOOKUP($B146,'Tillförd energi'!$B$1:$AI$720,MATCH(K$1,'Tillförd energi'!$B$1:$AQ$1,0),FALSE)</f>
        <v>0</v>
      </c>
      <c r="L146" s="121">
        <f>VLOOKUP($B146,'Tillförd energi'!$B$1:$AI$720,MATCH(L$1,'Tillförd energi'!$B$1:$AQ$1,0),FALSE)</f>
        <v>0</v>
      </c>
      <c r="M146" s="121">
        <f>VLOOKUP($B146,'Tillförd energi'!$B$1:$AI$720,MATCH(M$1,'Tillförd energi'!$B$1:$AQ$1,0),FALSE)</f>
        <v>0</v>
      </c>
      <c r="N146" s="121">
        <f>VLOOKUP($B146,'Tillförd energi'!$B$1:$AI$720,MATCH(N$1,'Tillförd energi'!$B$1:$AQ$1,0),FALSE)</f>
        <v>0</v>
      </c>
      <c r="O146" s="121">
        <f>VLOOKUP($B146,'Tillförd energi'!$B$1:$AI$720,MATCH(O$1,'Tillförd energi'!$B$1:$AQ$1,0),FALSE)</f>
        <v>0</v>
      </c>
      <c r="P146" s="121">
        <f>VLOOKUP($B146,'Tillförd energi'!$B$1:$AI$720,MATCH(P$1,'Tillförd energi'!$B$1:$AQ$1,0),FALSE)</f>
        <v>9.77</v>
      </c>
      <c r="Q146" s="121">
        <f>VLOOKUP($B146,'Tillförd energi'!$B$1:$AI$720,MATCH(Q$1,'Tillförd energi'!$B$1:$AQ$1,0),FALSE)</f>
        <v>0</v>
      </c>
      <c r="R146" s="121">
        <f>VLOOKUP($B146,'Tillförd energi'!$B$1:$AI$720,MATCH(R$1,'Tillförd energi'!$B$1:$AQ$1,0),FALSE)</f>
        <v>0.65300000000000002</v>
      </c>
      <c r="S146" s="121">
        <f>VLOOKUP($B146,'Tillförd energi'!$B$1:$AI$720,MATCH(S$1,'Tillförd energi'!$B$1:$AQ$1,0),FALSE)</f>
        <v>0</v>
      </c>
      <c r="T146" s="121">
        <f>VLOOKUP($B146,'Tillförd energi'!$B$1:$AI$720,MATCH(T$1,'Tillförd energi'!$B$1:$AQ$1,0),FALSE)</f>
        <v>0</v>
      </c>
      <c r="U146" s="121">
        <f>VLOOKUP($B146,'Tillförd energi'!$B$1:$AI$720,MATCH(U$1,'Tillförd energi'!$B$1:$AQ$1,0),FALSE)</f>
        <v>0</v>
      </c>
      <c r="V146" s="121">
        <f>VLOOKUP($B146,'Tillförd energi'!$B$1:$AI$720,MATCH(V$1,'Tillförd energi'!$B$1:$AQ$1,0),FALSE)</f>
        <v>0</v>
      </c>
      <c r="W146" s="121">
        <f>VLOOKUP($B146,'Tillförd energi'!$B$1:$AI$720,MATCH(W$1,'Tillförd energi'!$B$1:$AQ$1,0),FALSE)</f>
        <v>0</v>
      </c>
      <c r="X146" s="121">
        <f>VLOOKUP($B146,'Tillförd energi'!$B$1:$AI$720,MATCH(X$1,'Tillförd energi'!$B$1:$AQ$1,0),FALSE)</f>
        <v>0</v>
      </c>
      <c r="Y146" s="121">
        <f>VLOOKUP($B146,'Tillförd energi'!$B$1:$AI$720,MATCH(Y$1,'Tillförd energi'!$B$1:$AQ$1,0),FALSE)</f>
        <v>0</v>
      </c>
      <c r="Z146" s="121">
        <f>VLOOKUP($B146,'Tillförd energi'!$B$1:$AI$720,MATCH(Z$1,'Tillförd energi'!$B$1:$AQ$1,0),FALSE)</f>
        <v>0</v>
      </c>
      <c r="AA146" s="121">
        <f>VLOOKUP($B146,'Tillförd energi'!$B$1:$AI$720,MATCH(AA$1,'Tillförd energi'!$B$1:$AQ$1,0),FALSE)</f>
        <v>0</v>
      </c>
      <c r="AB146" s="121">
        <f>VLOOKUP($B146,'Tillförd energi'!$B$1:$AI$720,MATCH(AB$1,'Tillförd energi'!$B$1:$AQ$1,0),FALSE)</f>
        <v>0</v>
      </c>
      <c r="AC146" s="121">
        <f>VLOOKUP($B146,'Tillförd energi'!$B$1:$AI$720,MATCH(AC$1,'Tillförd energi'!$B$1:$AQ$1,0),FALSE)</f>
        <v>0</v>
      </c>
      <c r="AD146" s="121">
        <f>VLOOKUP($B146,'Tillförd energi'!$B$1:$AI$720,MATCH(AD$1,'Tillförd energi'!$B$1:$AQ$1,0),FALSE)</f>
        <v>0</v>
      </c>
      <c r="AE146" s="121">
        <f>VLOOKUP($B146,'Tillförd energi'!$B$1:$AI$720,MATCH(AE$1,'Tillförd energi'!$B$1:$AQ$1,0),FALSE)</f>
        <v>0</v>
      </c>
      <c r="AF146" s="121">
        <f>VLOOKUP($B146,'Tillförd energi'!$B$1:$AI$720,MATCH(AF$1,'Tillförd energi'!$B$1:$AQ$1,0),FALSE)</f>
        <v>0.17699999999999999</v>
      </c>
      <c r="AG146" s="121">
        <f>IFERROR(VLOOKUP(B146,Miljö!$B$1:$AC$550,MATCH("Köpt mängd produktionsspecifik fjärrvärme:",Miljö!$B$1:$AC$1,0),FALSE)/1,0)</f>
        <v>0</v>
      </c>
      <c r="AH146" s="121"/>
      <c r="AI146" s="121">
        <f t="shared" si="44"/>
        <v>12</v>
      </c>
      <c r="AJ146" s="121">
        <f t="shared" si="45"/>
        <v>12</v>
      </c>
      <c r="AK146" s="121">
        <f>IF(ISERROR(1/VLOOKUP($B146,Leveranser!$B$1:$S$499,MATCH("såld värme (gwh)",Leveranser!$B$1:$S$1,0),FALSE)),"",VLOOKUP($B146,Leveranser!$B$1:$S$499,MATCH("såld värme (gwh)",Leveranser!$B$1:$S$1,0),FALSE))</f>
        <v>8.68</v>
      </c>
      <c r="AL146" s="121">
        <f>VLOOKUP($B146,Leveranser!$B$1:$Y$499,MATCH("Totalt såld fjärrvärme till andra fjärrvärmeföretag",Leveranser!$B$1:$AA$1,0),FALSE)</f>
        <v>0</v>
      </c>
      <c r="AM146" s="121">
        <f>IF(ISERROR(1/VLOOKUP($B146,Miljö!$B$1:$S$500,MATCH("Såld mängd produktionsspecifik fjärrvärme (GWh)",Miljö!$B$1:$R$1,0),FALSE)),0,VLOOKUP($B146,Miljö!$B$1:$S$500,MATCH("Såld mängd produktionsspecifik fjärrvärme (GWh)",Miljö!$B$1:$R$1,0),FALSE))</f>
        <v>0</v>
      </c>
      <c r="AN146" s="172">
        <f t="shared" si="46"/>
        <v>0.72333333333333327</v>
      </c>
      <c r="AO146" s="121"/>
      <c r="AP146" s="121" t="str">
        <f>IFERROR(VLOOKUP($B146,Miljövärden!$B$2:$H$550,7,FALSE),"Nej, saknas")</f>
        <v>Ja</v>
      </c>
      <c r="AQ146" s="121" t="str">
        <f>IFERROR(VLOOKUP($B146,Miljövärden!$B$2:$H$550,6,FALSE),"Nej, saknas")</f>
        <v>Nej</v>
      </c>
      <c r="AU146">
        <f t="shared" si="47"/>
        <v>0.17699999999999999</v>
      </c>
      <c r="AV146">
        <f t="shared" si="48"/>
        <v>0</v>
      </c>
      <c r="AW146">
        <f t="shared" si="49"/>
        <v>9.77</v>
      </c>
      <c r="AX146">
        <f t="shared" si="50"/>
        <v>0.65300000000000002</v>
      </c>
      <c r="AZ146">
        <f t="shared" si="51"/>
        <v>10.423</v>
      </c>
      <c r="BC146">
        <f t="shared" si="52"/>
        <v>1.4</v>
      </c>
      <c r="BD146">
        <f t="shared" si="53"/>
        <v>0</v>
      </c>
      <c r="BE146">
        <f t="shared" si="54"/>
        <v>10.423</v>
      </c>
      <c r="BF146">
        <f t="shared" si="55"/>
        <v>0</v>
      </c>
      <c r="BG146">
        <f t="shared" si="56"/>
        <v>0.17699999999999999</v>
      </c>
      <c r="BH146">
        <f>VLOOKUP(B146,Miljö!$B$1:$BX$482,MATCH("Fossilandel för ursprungspecificerad el ()",Miljö!$B$1:$I$1,0),FALSE)</f>
        <v>0</v>
      </c>
      <c r="BI146">
        <f>VLOOKUP(B146,Miljö!$B$1:$BX$482,MATCH("Kärnkraftsandel för ursprungsspecificerad el ()",Miljö!$B$1:$O$1,0),FALSE)</f>
        <v>0</v>
      </c>
      <c r="BJ146">
        <f t="shared" si="57"/>
        <v>0</v>
      </c>
      <c r="BK146" t="str">
        <f>VLOOKUP(B146,Miljö!$B$1:$O$482,MATCH("Fossil andel i procent (%)",Miljö!$B$1:$O$1,0),FALSE)</f>
        <v>ET</v>
      </c>
      <c r="BL146">
        <f t="shared" si="58"/>
        <v>12</v>
      </c>
      <c r="BO146" s="18">
        <f t="shared" si="59"/>
        <v>0.11666666666666665</v>
      </c>
      <c r="BP146" s="18">
        <f t="shared" si="60"/>
        <v>0</v>
      </c>
      <c r="BQ146" s="18">
        <f t="shared" si="61"/>
        <v>0.8833333333333333</v>
      </c>
      <c r="BR146" s="18">
        <f t="shared" si="62"/>
        <v>0</v>
      </c>
      <c r="BT146" s="27">
        <f t="shared" si="63"/>
        <v>1</v>
      </c>
      <c r="BW146" s="18">
        <f>IF(AP146="ja",VLOOKUP(B146,Miljövärden!$B$2:$H$550,MATCH("Total andel fossilt",Miljövärden!$B$2:$H$2,0),FALSE),"")</f>
        <v>0.11666700000000001</v>
      </c>
      <c r="BZ146" s="28">
        <f t="shared" si="64"/>
        <v>3.3333333335217041E-7</v>
      </c>
      <c r="CA146" s="28">
        <f t="shared" si="65"/>
        <v>0</v>
      </c>
    </row>
    <row r="147" spans="1:79" x14ac:dyDescent="0.25">
      <c r="A147" s="224" t="s">
        <v>401</v>
      </c>
      <c r="B147" s="210" t="s">
        <v>403</v>
      </c>
      <c r="C147" s="121">
        <f>VLOOKUP($B147,'Tillförd energi'!$B$1:$AI$720,MATCH(C$1,'Tillförd energi'!$B$1:$AQ$1,0),FALSE)</f>
        <v>0</v>
      </c>
      <c r="D147" s="121">
        <f>VLOOKUP($B147,'Tillförd energi'!$B$1:$AI$720,MATCH(D$1,'Tillförd energi'!$B$1:$AQ$1,0),FALSE)</f>
        <v>0.79</v>
      </c>
      <c r="E147" s="121">
        <f>VLOOKUP($B147,'Tillförd energi'!$B$1:$AI$720,MATCH(E$1,'Tillförd energi'!$B$1:$AQ$1,0),FALSE)</f>
        <v>0</v>
      </c>
      <c r="F147" s="121">
        <f>VLOOKUP($B147,'Tillförd energi'!$B$1:$AI$720,MATCH(F$1,'Tillförd energi'!$B$1:$AQ$1,0),FALSE)</f>
        <v>0</v>
      </c>
      <c r="G147" s="121">
        <f>VLOOKUP($B147,'Tillförd energi'!$B$1:$AI$720,MATCH(G$1,'Tillförd energi'!$B$1:$AQ$1,0),FALSE)</f>
        <v>0</v>
      </c>
      <c r="H147" s="121">
        <f>VLOOKUP($B147,'Tillförd energi'!$B$1:$AI$720,MATCH(H$1,'Tillförd energi'!$B$1:$AQ$1,0),FALSE)</f>
        <v>0</v>
      </c>
      <c r="I147" s="121">
        <f>VLOOKUP($B147,'Tillförd energi'!$B$1:$AI$720,MATCH(I$1,'Tillförd energi'!$B$1:$AQ$1,0),FALSE)</f>
        <v>0</v>
      </c>
      <c r="J147" s="121">
        <f>VLOOKUP($B147,'Tillförd energi'!$B$1:$AI$720,MATCH(J$1,'Tillförd energi'!$B$1:$AQ$1,0),FALSE)</f>
        <v>0</v>
      </c>
      <c r="K147" s="121">
        <f>VLOOKUP($B147,'Tillförd energi'!$B$1:$AI$720,MATCH(K$1,'Tillförd energi'!$B$1:$AQ$1,0),FALSE)</f>
        <v>0</v>
      </c>
      <c r="L147" s="121">
        <f>VLOOKUP($B147,'Tillförd energi'!$B$1:$AI$720,MATCH(L$1,'Tillförd energi'!$B$1:$AQ$1,0),FALSE)</f>
        <v>0</v>
      </c>
      <c r="M147" s="121">
        <f>VLOOKUP($B147,'Tillförd energi'!$B$1:$AI$720,MATCH(M$1,'Tillförd energi'!$B$1:$AQ$1,0),FALSE)</f>
        <v>0</v>
      </c>
      <c r="N147" s="121">
        <f>VLOOKUP($B147,'Tillförd energi'!$B$1:$AI$720,MATCH(N$1,'Tillförd energi'!$B$1:$AQ$1,0),FALSE)</f>
        <v>0</v>
      </c>
      <c r="O147" s="121">
        <f>VLOOKUP($B147,'Tillförd energi'!$B$1:$AI$720,MATCH(O$1,'Tillförd energi'!$B$1:$AQ$1,0),FALSE)</f>
        <v>0</v>
      </c>
      <c r="P147" s="121">
        <f>VLOOKUP($B147,'Tillförd energi'!$B$1:$AI$720,MATCH(P$1,'Tillförd energi'!$B$1:$AQ$1,0),FALSE)</f>
        <v>9</v>
      </c>
      <c r="Q147" s="121">
        <f>VLOOKUP($B147,'Tillförd energi'!$B$1:$AI$720,MATCH(Q$1,'Tillförd energi'!$B$1:$AQ$1,0),FALSE)</f>
        <v>0</v>
      </c>
      <c r="R147" s="121">
        <f>VLOOKUP($B147,'Tillförd energi'!$B$1:$AI$720,MATCH(R$1,'Tillförd energi'!$B$1:$AQ$1,0),FALSE)</f>
        <v>0</v>
      </c>
      <c r="S147" s="121">
        <f>VLOOKUP($B147,'Tillförd energi'!$B$1:$AI$720,MATCH(S$1,'Tillförd energi'!$B$1:$AQ$1,0),FALSE)</f>
        <v>0</v>
      </c>
      <c r="T147" s="121">
        <f>VLOOKUP($B147,'Tillförd energi'!$B$1:$AI$720,MATCH(T$1,'Tillförd energi'!$B$1:$AQ$1,0),FALSE)</f>
        <v>0</v>
      </c>
      <c r="U147" s="121">
        <f>VLOOKUP($B147,'Tillförd energi'!$B$1:$AI$720,MATCH(U$1,'Tillförd energi'!$B$1:$AQ$1,0),FALSE)</f>
        <v>0</v>
      </c>
      <c r="V147" s="121">
        <f>VLOOKUP($B147,'Tillförd energi'!$B$1:$AI$720,MATCH(V$1,'Tillförd energi'!$B$1:$AQ$1,0),FALSE)</f>
        <v>0</v>
      </c>
      <c r="W147" s="121">
        <f>VLOOKUP($B147,'Tillförd energi'!$B$1:$AI$720,MATCH(W$1,'Tillförd energi'!$B$1:$AQ$1,0),FALSE)</f>
        <v>0</v>
      </c>
      <c r="X147" s="121">
        <f>VLOOKUP($B147,'Tillförd energi'!$B$1:$AI$720,MATCH(X$1,'Tillförd energi'!$B$1:$AQ$1,0),FALSE)</f>
        <v>0</v>
      </c>
      <c r="Y147" s="121">
        <f>VLOOKUP($B147,'Tillförd energi'!$B$1:$AI$720,MATCH(Y$1,'Tillförd energi'!$B$1:$AQ$1,0),FALSE)</f>
        <v>0</v>
      </c>
      <c r="Z147" s="121">
        <f>VLOOKUP($B147,'Tillförd energi'!$B$1:$AI$720,MATCH(Z$1,'Tillförd energi'!$B$1:$AQ$1,0),FALSE)</f>
        <v>0</v>
      </c>
      <c r="AA147" s="121">
        <f>VLOOKUP($B147,'Tillförd energi'!$B$1:$AI$720,MATCH(AA$1,'Tillförd energi'!$B$1:$AQ$1,0),FALSE)</f>
        <v>0</v>
      </c>
      <c r="AB147" s="121">
        <f>VLOOKUP($B147,'Tillförd energi'!$B$1:$AI$720,MATCH(AB$1,'Tillförd energi'!$B$1:$AQ$1,0),FALSE)</f>
        <v>0</v>
      </c>
      <c r="AC147" s="121">
        <f>VLOOKUP($B147,'Tillförd energi'!$B$1:$AI$720,MATCH(AC$1,'Tillförd energi'!$B$1:$AQ$1,0),FALSE)</f>
        <v>0</v>
      </c>
      <c r="AD147" s="121">
        <f>VLOOKUP($B147,'Tillförd energi'!$B$1:$AI$720,MATCH(AD$1,'Tillförd energi'!$B$1:$AQ$1,0),FALSE)</f>
        <v>0</v>
      </c>
      <c r="AE147" s="121">
        <f>VLOOKUP($B147,'Tillförd energi'!$B$1:$AI$720,MATCH(AE$1,'Tillförd energi'!$B$1:$AQ$1,0),FALSE)</f>
        <v>0</v>
      </c>
      <c r="AF147" s="121">
        <f>VLOOKUP($B147,'Tillförd energi'!$B$1:$AI$720,MATCH(AF$1,'Tillförd energi'!$B$1:$AQ$1,0),FALSE)</f>
        <v>8.4000000000000005E-2</v>
      </c>
      <c r="AG147" s="121">
        <f>IFERROR(VLOOKUP(B147,Miljö!$B$1:$AC$550,MATCH("Köpt mängd produktionsspecifik fjärrvärme:",Miljö!$B$1:$AC$1,0),FALSE)/1,0)</f>
        <v>0</v>
      </c>
      <c r="AH147" s="121"/>
      <c r="AI147" s="121">
        <f t="shared" si="44"/>
        <v>9.8739999999999988</v>
      </c>
      <c r="AJ147" s="121">
        <f t="shared" si="45"/>
        <v>9.8739999999999988</v>
      </c>
      <c r="AK147" s="121">
        <f>IF(ISERROR(1/VLOOKUP($B147,Leveranser!$B$1:$S$499,MATCH("såld värme (gwh)",Leveranser!$B$1:$S$1,0),FALSE)),"",VLOOKUP($B147,Leveranser!$B$1:$S$499,MATCH("såld värme (gwh)",Leveranser!$B$1:$S$1,0),FALSE))</f>
        <v>6.98</v>
      </c>
      <c r="AL147" s="121">
        <f>VLOOKUP($B147,Leveranser!$B$1:$Y$499,MATCH("Totalt såld fjärrvärme till andra fjärrvärmeföretag",Leveranser!$B$1:$AA$1,0),FALSE)</f>
        <v>0</v>
      </c>
      <c r="AM147" s="121">
        <f>IF(ISERROR(1/VLOOKUP($B147,Miljö!$B$1:$S$500,MATCH("Såld mängd produktionsspecifik fjärrvärme (GWh)",Miljö!$B$1:$R$1,0),FALSE)),0,VLOOKUP($B147,Miljö!$B$1:$S$500,MATCH("Såld mängd produktionsspecifik fjärrvärme (GWh)",Miljö!$B$1:$R$1,0),FALSE))</f>
        <v>0</v>
      </c>
      <c r="AN147" s="172">
        <f t="shared" si="46"/>
        <v>0.70690702855985432</v>
      </c>
      <c r="AO147" s="121"/>
      <c r="AP147" s="121" t="str">
        <f>IFERROR(VLOOKUP($B147,Miljövärden!$B$2:$H$550,7,FALSE),"Nej, saknas")</f>
        <v>Ja</v>
      </c>
      <c r="AQ147" s="121" t="str">
        <f>IFERROR(VLOOKUP($B147,Miljövärden!$B$2:$H$550,6,FALSE),"Nej, saknas")</f>
        <v>Nej</v>
      </c>
      <c r="AU147">
        <f t="shared" si="47"/>
        <v>8.4000000000000005E-2</v>
      </c>
      <c r="AV147">
        <f t="shared" si="48"/>
        <v>0</v>
      </c>
      <c r="AW147">
        <f t="shared" si="49"/>
        <v>9</v>
      </c>
      <c r="AX147">
        <f t="shared" si="50"/>
        <v>0</v>
      </c>
      <c r="AZ147">
        <f t="shared" si="51"/>
        <v>9</v>
      </c>
      <c r="BC147">
        <f t="shared" si="52"/>
        <v>0.79</v>
      </c>
      <c r="BD147">
        <f t="shared" si="53"/>
        <v>0</v>
      </c>
      <c r="BE147">
        <f t="shared" si="54"/>
        <v>9</v>
      </c>
      <c r="BF147">
        <f t="shared" si="55"/>
        <v>0</v>
      </c>
      <c r="BG147">
        <f t="shared" si="56"/>
        <v>8.4000000000000005E-2</v>
      </c>
      <c r="BH147">
        <f>VLOOKUP(B147,Miljö!$B$1:$BX$482,MATCH("Fossilandel för ursprungspecificerad el ()",Miljö!$B$1:$I$1,0),FALSE)</f>
        <v>0</v>
      </c>
      <c r="BI147">
        <f>VLOOKUP(B147,Miljö!$B$1:$BX$482,MATCH("Kärnkraftsandel för ursprungsspecificerad el ()",Miljö!$B$1:$O$1,0),FALSE)</f>
        <v>0</v>
      </c>
      <c r="BJ147">
        <f t="shared" si="57"/>
        <v>0</v>
      </c>
      <c r="BK147" t="str">
        <f>VLOOKUP(B147,Miljö!$B$1:$O$482,MATCH("Fossil andel i procent (%)",Miljö!$B$1:$O$1,0),FALSE)</f>
        <v>ET</v>
      </c>
      <c r="BL147">
        <f t="shared" si="58"/>
        <v>9.8739999999999988</v>
      </c>
      <c r="BO147" s="18">
        <f t="shared" si="59"/>
        <v>8.0008102086287239E-2</v>
      </c>
      <c r="BP147" s="18">
        <f t="shared" si="60"/>
        <v>0</v>
      </c>
      <c r="BQ147" s="18">
        <f t="shared" si="61"/>
        <v>0.91999189791371283</v>
      </c>
      <c r="BR147" s="18">
        <f t="shared" si="62"/>
        <v>0</v>
      </c>
      <c r="BT147" s="27">
        <f t="shared" si="63"/>
        <v>1</v>
      </c>
      <c r="BW147" s="18">
        <f>IF(AP147="ja",VLOOKUP(B147,Miljövärden!$B$2:$H$550,MATCH("Total andel fossilt",Miljövärden!$B$2:$H$2,0),FALSE),"")</f>
        <v>8.0008099999999999E-2</v>
      </c>
      <c r="BZ147" s="28">
        <f t="shared" si="64"/>
        <v>-2.0862872401883337E-9</v>
      </c>
      <c r="CA147" s="28">
        <f t="shared" si="65"/>
        <v>0</v>
      </c>
    </row>
    <row r="148" spans="1:79" x14ac:dyDescent="0.25">
      <c r="A148" s="224" t="s">
        <v>401</v>
      </c>
      <c r="B148" s="210" t="s">
        <v>404</v>
      </c>
      <c r="C148" s="121">
        <f>VLOOKUP($B148,'Tillförd energi'!$B$1:$AI$720,MATCH(C$1,'Tillförd energi'!$B$1:$AQ$1,0),FALSE)</f>
        <v>0</v>
      </c>
      <c r="D148" s="121">
        <f>VLOOKUP($B148,'Tillförd energi'!$B$1:$AI$720,MATCH(D$1,'Tillförd energi'!$B$1:$AQ$1,0),FALSE)</f>
        <v>0.15</v>
      </c>
      <c r="E148" s="121">
        <f>VLOOKUP($B148,'Tillförd energi'!$B$1:$AI$720,MATCH(E$1,'Tillförd energi'!$B$1:$AQ$1,0),FALSE)</f>
        <v>0</v>
      </c>
      <c r="F148" s="121">
        <f>VLOOKUP($B148,'Tillförd energi'!$B$1:$AI$720,MATCH(F$1,'Tillförd energi'!$B$1:$AQ$1,0),FALSE)</f>
        <v>0</v>
      </c>
      <c r="G148" s="121">
        <f>VLOOKUP($B148,'Tillförd energi'!$B$1:$AI$720,MATCH(G$1,'Tillförd energi'!$B$1:$AQ$1,0),FALSE)</f>
        <v>0</v>
      </c>
      <c r="H148" s="121">
        <f>VLOOKUP($B148,'Tillförd energi'!$B$1:$AI$720,MATCH(H$1,'Tillförd energi'!$B$1:$AQ$1,0),FALSE)</f>
        <v>0</v>
      </c>
      <c r="I148" s="121">
        <f>VLOOKUP($B148,'Tillförd energi'!$B$1:$AI$720,MATCH(I$1,'Tillförd energi'!$B$1:$AQ$1,0),FALSE)</f>
        <v>0</v>
      </c>
      <c r="J148" s="121">
        <f>VLOOKUP($B148,'Tillförd energi'!$B$1:$AI$720,MATCH(J$1,'Tillförd energi'!$B$1:$AQ$1,0),FALSE)</f>
        <v>0</v>
      </c>
      <c r="K148" s="121">
        <f>VLOOKUP($B148,'Tillförd energi'!$B$1:$AI$720,MATCH(K$1,'Tillförd energi'!$B$1:$AQ$1,0),FALSE)</f>
        <v>0</v>
      </c>
      <c r="L148" s="121">
        <f>VLOOKUP($B148,'Tillförd energi'!$B$1:$AI$720,MATCH(L$1,'Tillförd energi'!$B$1:$AQ$1,0),FALSE)</f>
        <v>0</v>
      </c>
      <c r="M148" s="121">
        <f>VLOOKUP($B148,'Tillförd energi'!$B$1:$AI$720,MATCH(M$1,'Tillförd energi'!$B$1:$AQ$1,0),FALSE)</f>
        <v>0</v>
      </c>
      <c r="N148" s="121">
        <f>VLOOKUP($B148,'Tillförd energi'!$B$1:$AI$720,MATCH(N$1,'Tillförd energi'!$B$1:$AQ$1,0),FALSE)</f>
        <v>0</v>
      </c>
      <c r="O148" s="121">
        <f>VLOOKUP($B148,'Tillförd energi'!$B$1:$AI$720,MATCH(O$1,'Tillförd energi'!$B$1:$AQ$1,0),FALSE)</f>
        <v>0</v>
      </c>
      <c r="P148" s="121">
        <f>VLOOKUP($B148,'Tillförd energi'!$B$1:$AI$720,MATCH(P$1,'Tillförd energi'!$B$1:$AQ$1,0),FALSE)</f>
        <v>12.14</v>
      </c>
      <c r="Q148" s="121">
        <f>VLOOKUP($B148,'Tillförd energi'!$B$1:$AI$720,MATCH(Q$1,'Tillförd energi'!$B$1:$AQ$1,0),FALSE)</f>
        <v>0</v>
      </c>
      <c r="R148" s="121">
        <f>VLOOKUP($B148,'Tillförd energi'!$B$1:$AI$720,MATCH(R$1,'Tillförd energi'!$B$1:$AQ$1,0),FALSE)</f>
        <v>0</v>
      </c>
      <c r="S148" s="121">
        <f>VLOOKUP($B148,'Tillförd energi'!$B$1:$AI$720,MATCH(S$1,'Tillförd energi'!$B$1:$AQ$1,0),FALSE)</f>
        <v>0</v>
      </c>
      <c r="T148" s="121">
        <f>VLOOKUP($B148,'Tillförd energi'!$B$1:$AI$720,MATCH(T$1,'Tillförd energi'!$B$1:$AQ$1,0),FALSE)</f>
        <v>0</v>
      </c>
      <c r="U148" s="121">
        <f>VLOOKUP($B148,'Tillförd energi'!$B$1:$AI$720,MATCH(U$1,'Tillförd energi'!$B$1:$AQ$1,0),FALSE)</f>
        <v>0</v>
      </c>
      <c r="V148" s="121">
        <f>VLOOKUP($B148,'Tillförd energi'!$B$1:$AI$720,MATCH(V$1,'Tillförd energi'!$B$1:$AQ$1,0),FALSE)</f>
        <v>0</v>
      </c>
      <c r="W148" s="121">
        <f>VLOOKUP($B148,'Tillförd energi'!$B$1:$AI$720,MATCH(W$1,'Tillförd energi'!$B$1:$AQ$1,0),FALSE)</f>
        <v>0</v>
      </c>
      <c r="X148" s="121">
        <f>VLOOKUP($B148,'Tillförd energi'!$B$1:$AI$720,MATCH(X$1,'Tillförd energi'!$B$1:$AQ$1,0),FALSE)</f>
        <v>3.67</v>
      </c>
      <c r="Y148" s="121">
        <f>VLOOKUP($B148,'Tillförd energi'!$B$1:$AI$720,MATCH(Y$1,'Tillförd energi'!$B$1:$AQ$1,0),FALSE)</f>
        <v>0</v>
      </c>
      <c r="Z148" s="121">
        <f>VLOOKUP($B148,'Tillförd energi'!$B$1:$AI$720,MATCH(Z$1,'Tillförd energi'!$B$1:$AQ$1,0),FALSE)</f>
        <v>0</v>
      </c>
      <c r="AA148" s="121">
        <f>VLOOKUP($B148,'Tillförd energi'!$B$1:$AI$720,MATCH(AA$1,'Tillförd energi'!$B$1:$AQ$1,0),FALSE)</f>
        <v>0</v>
      </c>
      <c r="AB148" s="121">
        <f>VLOOKUP($B148,'Tillförd energi'!$B$1:$AI$720,MATCH(AB$1,'Tillförd energi'!$B$1:$AQ$1,0),FALSE)</f>
        <v>0</v>
      </c>
      <c r="AC148" s="121">
        <f>VLOOKUP($B148,'Tillförd energi'!$B$1:$AI$720,MATCH(AC$1,'Tillförd energi'!$B$1:$AQ$1,0),FALSE)</f>
        <v>0</v>
      </c>
      <c r="AD148" s="121">
        <f>VLOOKUP($B148,'Tillförd energi'!$B$1:$AI$720,MATCH(AD$1,'Tillförd energi'!$B$1:$AQ$1,0),FALSE)</f>
        <v>0</v>
      </c>
      <c r="AE148" s="121">
        <f>VLOOKUP($B148,'Tillförd energi'!$B$1:$AI$720,MATCH(AE$1,'Tillförd energi'!$B$1:$AQ$1,0),FALSE)</f>
        <v>0</v>
      </c>
      <c r="AF148" s="121">
        <f>VLOOKUP($B148,'Tillförd energi'!$B$1:$AI$720,MATCH(AF$1,'Tillförd energi'!$B$1:$AQ$1,0),FALSE)</f>
        <v>0.247</v>
      </c>
      <c r="AG148" s="121">
        <f>IFERROR(VLOOKUP(B148,Miljö!$B$1:$AC$550,MATCH("Köpt mängd produktionsspecifik fjärrvärme:",Miljö!$B$1:$AC$1,0),FALSE)/1,0)</f>
        <v>0</v>
      </c>
      <c r="AH148" s="121"/>
      <c r="AI148" s="121">
        <f t="shared" si="44"/>
        <v>16.207000000000001</v>
      </c>
      <c r="AJ148" s="121">
        <f t="shared" si="45"/>
        <v>16.207000000000001</v>
      </c>
      <c r="AK148" s="121">
        <f>IF(ISERROR(1/VLOOKUP($B148,Leveranser!$B$1:$S$499,MATCH("såld värme (gwh)",Leveranser!$B$1:$S$1,0),FALSE)),"",VLOOKUP($B148,Leveranser!$B$1:$S$499,MATCH("såld värme (gwh)",Leveranser!$B$1:$S$1,0),FALSE))</f>
        <v>10.95</v>
      </c>
      <c r="AL148" s="121">
        <f>VLOOKUP($B148,Leveranser!$B$1:$Y$499,MATCH("Totalt såld fjärrvärme till andra fjärrvärmeföretag",Leveranser!$B$1:$AA$1,0),FALSE)</f>
        <v>0</v>
      </c>
      <c r="AM148" s="121">
        <f>IF(ISERROR(1/VLOOKUP($B148,Miljö!$B$1:$S$500,MATCH("Såld mängd produktionsspecifik fjärrvärme (GWh)",Miljö!$B$1:$R$1,0),FALSE)),0,VLOOKUP($B148,Miljö!$B$1:$S$500,MATCH("Såld mängd produktionsspecifik fjärrvärme (GWh)",Miljö!$B$1:$R$1,0),FALSE))</f>
        <v>0</v>
      </c>
      <c r="AN148" s="172">
        <f t="shared" si="46"/>
        <v>0.67563398531498731</v>
      </c>
      <c r="AO148" s="121"/>
      <c r="AP148" s="121" t="str">
        <f>IFERROR(VLOOKUP($B148,Miljövärden!$B$2:$H$550,7,FALSE),"Nej, saknas")</f>
        <v>Ja</v>
      </c>
      <c r="AQ148" s="121" t="str">
        <f>IFERROR(VLOOKUP($B148,Miljövärden!$B$2:$H$550,6,FALSE),"Nej, saknas")</f>
        <v>Nej</v>
      </c>
      <c r="AU148">
        <f t="shared" si="47"/>
        <v>0.247</v>
      </c>
      <c r="AV148">
        <f t="shared" si="48"/>
        <v>3.67</v>
      </c>
      <c r="AW148">
        <f t="shared" si="49"/>
        <v>12.14</v>
      </c>
      <c r="AX148">
        <f t="shared" si="50"/>
        <v>0</v>
      </c>
      <c r="AZ148">
        <f t="shared" si="51"/>
        <v>15.81</v>
      </c>
      <c r="BC148">
        <f t="shared" si="52"/>
        <v>0.15</v>
      </c>
      <c r="BD148">
        <f t="shared" si="53"/>
        <v>0</v>
      </c>
      <c r="BE148">
        <f t="shared" si="54"/>
        <v>15.81</v>
      </c>
      <c r="BF148">
        <f t="shared" si="55"/>
        <v>0</v>
      </c>
      <c r="BG148">
        <f t="shared" si="56"/>
        <v>0.247</v>
      </c>
      <c r="BH148">
        <f>VLOOKUP(B148,Miljö!$B$1:$BX$482,MATCH("Fossilandel för ursprungspecificerad el ()",Miljö!$B$1:$I$1,0),FALSE)</f>
        <v>0</v>
      </c>
      <c r="BI148">
        <f>VLOOKUP(B148,Miljö!$B$1:$BX$482,MATCH("Kärnkraftsandel för ursprungsspecificerad el ()",Miljö!$B$1:$O$1,0),FALSE)</f>
        <v>0</v>
      </c>
      <c r="BJ148">
        <f t="shared" si="57"/>
        <v>0</v>
      </c>
      <c r="BK148" t="str">
        <f>VLOOKUP(B148,Miljö!$B$1:$O$482,MATCH("Fossil andel i procent (%)",Miljö!$B$1:$O$1,0),FALSE)</f>
        <v>ET</v>
      </c>
      <c r="BL148">
        <f t="shared" si="58"/>
        <v>16.207000000000001</v>
      </c>
      <c r="BO148" s="18">
        <f t="shared" si="59"/>
        <v>9.2552600728080456E-3</v>
      </c>
      <c r="BP148" s="18">
        <f t="shared" si="60"/>
        <v>0</v>
      </c>
      <c r="BQ148" s="18">
        <f t="shared" si="61"/>
        <v>0.99074473992719203</v>
      </c>
      <c r="BR148" s="18">
        <f t="shared" si="62"/>
        <v>0</v>
      </c>
      <c r="BT148" s="27">
        <f t="shared" si="63"/>
        <v>1</v>
      </c>
      <c r="BW148" s="18">
        <f>IF(AP148="ja",VLOOKUP(B148,Miljövärden!$B$2:$H$550,MATCH("Total andel fossilt",Miljövärden!$B$2:$H$2,0),FALSE),"")</f>
        <v>9.2552599999999995E-3</v>
      </c>
      <c r="BZ148" s="28">
        <f t="shared" si="64"/>
        <v>-7.2808046050476527E-11</v>
      </c>
      <c r="CA148" s="28">
        <f t="shared" si="65"/>
        <v>0</v>
      </c>
    </row>
    <row r="149" spans="1:79" x14ac:dyDescent="0.25">
      <c r="A149" s="224" t="s">
        <v>401</v>
      </c>
      <c r="B149" s="210" t="s">
        <v>405</v>
      </c>
      <c r="C149" s="121">
        <f>VLOOKUP($B149,'Tillförd energi'!$B$1:$AI$720,MATCH(C$1,'Tillförd energi'!$B$1:$AQ$1,0),FALSE)</f>
        <v>0</v>
      </c>
      <c r="D149" s="121">
        <f>VLOOKUP($B149,'Tillförd energi'!$B$1:$AI$720,MATCH(D$1,'Tillförd energi'!$B$1:$AQ$1,0),FALSE)</f>
        <v>0.27</v>
      </c>
      <c r="E149" s="121">
        <f>VLOOKUP($B149,'Tillförd energi'!$B$1:$AI$720,MATCH(E$1,'Tillförd energi'!$B$1:$AQ$1,0),FALSE)</f>
        <v>0</v>
      </c>
      <c r="F149" s="121">
        <f>VLOOKUP($B149,'Tillförd energi'!$B$1:$AI$720,MATCH(F$1,'Tillförd energi'!$B$1:$AQ$1,0),FALSE)</f>
        <v>0</v>
      </c>
      <c r="G149" s="121">
        <f>VLOOKUP($B149,'Tillförd energi'!$B$1:$AI$720,MATCH(G$1,'Tillförd energi'!$B$1:$AQ$1,0),FALSE)</f>
        <v>0</v>
      </c>
      <c r="H149" s="121">
        <f>VLOOKUP($B149,'Tillförd energi'!$B$1:$AI$720,MATCH(H$1,'Tillförd energi'!$B$1:$AQ$1,0),FALSE)</f>
        <v>0</v>
      </c>
      <c r="I149" s="121">
        <f>VLOOKUP($B149,'Tillförd energi'!$B$1:$AI$720,MATCH(I$1,'Tillförd energi'!$B$1:$AQ$1,0),FALSE)</f>
        <v>0</v>
      </c>
      <c r="J149" s="121">
        <f>VLOOKUP($B149,'Tillförd energi'!$B$1:$AI$720,MATCH(J$1,'Tillförd energi'!$B$1:$AQ$1,0),FALSE)</f>
        <v>0</v>
      </c>
      <c r="K149" s="121">
        <f>VLOOKUP($B149,'Tillförd energi'!$B$1:$AI$720,MATCH(K$1,'Tillförd energi'!$B$1:$AQ$1,0),FALSE)</f>
        <v>0</v>
      </c>
      <c r="L149" s="121">
        <f>VLOOKUP($B149,'Tillförd energi'!$B$1:$AI$720,MATCH(L$1,'Tillförd energi'!$B$1:$AQ$1,0),FALSE)</f>
        <v>0</v>
      </c>
      <c r="M149" s="121">
        <f>VLOOKUP($B149,'Tillförd energi'!$B$1:$AI$720,MATCH(M$1,'Tillförd energi'!$B$1:$AQ$1,0),FALSE)</f>
        <v>0</v>
      </c>
      <c r="N149" s="121">
        <f>VLOOKUP($B149,'Tillförd energi'!$B$1:$AI$720,MATCH(N$1,'Tillförd energi'!$B$1:$AQ$1,0),FALSE)</f>
        <v>0</v>
      </c>
      <c r="O149" s="121">
        <f>VLOOKUP($B149,'Tillförd energi'!$B$1:$AI$720,MATCH(O$1,'Tillförd energi'!$B$1:$AQ$1,0),FALSE)</f>
        <v>0</v>
      </c>
      <c r="P149" s="121">
        <f>VLOOKUP($B149,'Tillförd energi'!$B$1:$AI$720,MATCH(P$1,'Tillförd energi'!$B$1:$AQ$1,0),FALSE)</f>
        <v>0</v>
      </c>
      <c r="Q149" s="121">
        <f>VLOOKUP($B149,'Tillförd energi'!$B$1:$AI$720,MATCH(Q$1,'Tillförd energi'!$B$1:$AQ$1,0),FALSE)</f>
        <v>0</v>
      </c>
      <c r="R149" s="121">
        <f>VLOOKUP($B149,'Tillförd energi'!$B$1:$AI$720,MATCH(R$1,'Tillförd energi'!$B$1:$AQ$1,0),FALSE)</f>
        <v>0</v>
      </c>
      <c r="S149" s="121">
        <f>VLOOKUP($B149,'Tillförd energi'!$B$1:$AI$720,MATCH(S$1,'Tillförd energi'!$B$1:$AQ$1,0),FALSE)</f>
        <v>7.82</v>
      </c>
      <c r="T149" s="121">
        <f>VLOOKUP($B149,'Tillförd energi'!$B$1:$AI$720,MATCH(T$1,'Tillförd energi'!$B$1:$AQ$1,0),FALSE)</f>
        <v>0</v>
      </c>
      <c r="U149" s="121">
        <f>VLOOKUP($B149,'Tillförd energi'!$B$1:$AI$720,MATCH(U$1,'Tillförd energi'!$B$1:$AQ$1,0),FALSE)</f>
        <v>0</v>
      </c>
      <c r="V149" s="121">
        <f>VLOOKUP($B149,'Tillförd energi'!$B$1:$AI$720,MATCH(V$1,'Tillförd energi'!$B$1:$AQ$1,0),FALSE)</f>
        <v>0</v>
      </c>
      <c r="W149" s="121">
        <f>VLOOKUP($B149,'Tillförd energi'!$B$1:$AI$720,MATCH(W$1,'Tillförd energi'!$B$1:$AQ$1,0),FALSE)</f>
        <v>0</v>
      </c>
      <c r="X149" s="121">
        <f>VLOOKUP($B149,'Tillförd energi'!$B$1:$AI$720,MATCH(X$1,'Tillförd energi'!$B$1:$AQ$1,0),FALSE)</f>
        <v>0</v>
      </c>
      <c r="Y149" s="121">
        <f>VLOOKUP($B149,'Tillförd energi'!$B$1:$AI$720,MATCH(Y$1,'Tillförd energi'!$B$1:$AQ$1,0),FALSE)</f>
        <v>0</v>
      </c>
      <c r="Z149" s="121">
        <f>VLOOKUP($B149,'Tillförd energi'!$B$1:$AI$720,MATCH(Z$1,'Tillförd energi'!$B$1:$AQ$1,0),FALSE)</f>
        <v>0</v>
      </c>
      <c r="AA149" s="121">
        <f>VLOOKUP($B149,'Tillförd energi'!$B$1:$AI$720,MATCH(AA$1,'Tillförd energi'!$B$1:$AQ$1,0),FALSE)</f>
        <v>0</v>
      </c>
      <c r="AB149" s="121">
        <f>VLOOKUP($B149,'Tillförd energi'!$B$1:$AI$720,MATCH(AB$1,'Tillförd energi'!$B$1:$AQ$1,0),FALSE)</f>
        <v>0</v>
      </c>
      <c r="AC149" s="121">
        <f>VLOOKUP($B149,'Tillförd energi'!$B$1:$AI$720,MATCH(AC$1,'Tillförd energi'!$B$1:$AQ$1,0),FALSE)</f>
        <v>0</v>
      </c>
      <c r="AD149" s="121">
        <f>VLOOKUP($B149,'Tillförd energi'!$B$1:$AI$720,MATCH(AD$1,'Tillförd energi'!$B$1:$AQ$1,0),FALSE)</f>
        <v>0</v>
      </c>
      <c r="AE149" s="121">
        <f>VLOOKUP($B149,'Tillförd energi'!$B$1:$AI$720,MATCH(AE$1,'Tillförd energi'!$B$1:$AQ$1,0),FALSE)</f>
        <v>0</v>
      </c>
      <c r="AF149" s="121">
        <f>VLOOKUP($B149,'Tillförd energi'!$B$1:$AI$720,MATCH(AF$1,'Tillförd energi'!$B$1:$AQ$1,0),FALSE)</f>
        <v>0.12</v>
      </c>
      <c r="AG149" s="121">
        <f>IFERROR(VLOOKUP(B149,Miljö!$B$1:$AC$550,MATCH("Köpt mängd produktionsspecifik fjärrvärme:",Miljö!$B$1:$AC$1,0),FALSE)/1,0)</f>
        <v>0</v>
      </c>
      <c r="AH149" s="121"/>
      <c r="AI149" s="121">
        <f t="shared" si="44"/>
        <v>8.2099999999999991</v>
      </c>
      <c r="AJ149" s="121">
        <f t="shared" si="45"/>
        <v>8.2099999999999991</v>
      </c>
      <c r="AK149" s="121">
        <f>IF(ISERROR(1/VLOOKUP($B149,Leveranser!$B$1:$S$499,MATCH("såld värme (gwh)",Leveranser!$B$1:$S$1,0),FALSE)),"",VLOOKUP($B149,Leveranser!$B$1:$S$499,MATCH("såld värme (gwh)",Leveranser!$B$1:$S$1,0),FALSE))</f>
        <v>5.46</v>
      </c>
      <c r="AL149" s="121">
        <f>VLOOKUP($B149,Leveranser!$B$1:$Y$499,MATCH("Totalt såld fjärrvärme till andra fjärrvärmeföretag",Leveranser!$B$1:$AA$1,0),FALSE)</f>
        <v>0</v>
      </c>
      <c r="AM149" s="121">
        <f>IF(ISERROR(1/VLOOKUP($B149,Miljö!$B$1:$S$500,MATCH("Såld mängd produktionsspecifik fjärrvärme (GWh)",Miljö!$B$1:$R$1,0),FALSE)),0,VLOOKUP($B149,Miljö!$B$1:$S$500,MATCH("Såld mängd produktionsspecifik fjärrvärme (GWh)",Miljö!$B$1:$R$1,0),FALSE))</f>
        <v>0</v>
      </c>
      <c r="AN149" s="172">
        <f t="shared" si="46"/>
        <v>0.66504263093788074</v>
      </c>
      <c r="AO149" s="121"/>
      <c r="AP149" s="121" t="str">
        <f>IFERROR(VLOOKUP($B149,Miljövärden!$B$2:$H$550,7,FALSE),"Nej, saknas")</f>
        <v>Ja</v>
      </c>
      <c r="AQ149" s="121" t="str">
        <f>IFERROR(VLOOKUP($B149,Miljövärden!$B$2:$H$550,6,FALSE),"Nej, saknas")</f>
        <v>Nej</v>
      </c>
      <c r="AU149">
        <f t="shared" si="47"/>
        <v>0.12</v>
      </c>
      <c r="AV149">
        <f t="shared" si="48"/>
        <v>0</v>
      </c>
      <c r="AW149">
        <f t="shared" si="49"/>
        <v>0</v>
      </c>
      <c r="AX149">
        <f t="shared" si="50"/>
        <v>7.82</v>
      </c>
      <c r="AZ149">
        <f t="shared" si="51"/>
        <v>7.82</v>
      </c>
      <c r="BC149">
        <f t="shared" si="52"/>
        <v>0.27</v>
      </c>
      <c r="BD149">
        <f t="shared" si="53"/>
        <v>0</v>
      </c>
      <c r="BE149">
        <f t="shared" si="54"/>
        <v>7.82</v>
      </c>
      <c r="BF149">
        <f t="shared" si="55"/>
        <v>0</v>
      </c>
      <c r="BG149">
        <f t="shared" si="56"/>
        <v>0.12</v>
      </c>
      <c r="BH149">
        <f>VLOOKUP(B149,Miljö!$B$1:$BX$482,MATCH("Fossilandel för ursprungspecificerad el ()",Miljö!$B$1:$I$1,0),FALSE)</f>
        <v>0</v>
      </c>
      <c r="BI149">
        <f>VLOOKUP(B149,Miljö!$B$1:$BX$482,MATCH("Kärnkraftsandel för ursprungsspecificerad el ()",Miljö!$B$1:$O$1,0),FALSE)</f>
        <v>0</v>
      </c>
      <c r="BJ149">
        <f t="shared" si="57"/>
        <v>0</v>
      </c>
      <c r="BK149" t="str">
        <f>VLOOKUP(B149,Miljö!$B$1:$O$482,MATCH("Fossil andel i procent (%)",Miljö!$B$1:$O$1,0),FALSE)</f>
        <v>ET</v>
      </c>
      <c r="BL149">
        <f t="shared" si="58"/>
        <v>8.2099999999999991</v>
      </c>
      <c r="BO149" s="18">
        <f t="shared" si="59"/>
        <v>3.288672350791718E-2</v>
      </c>
      <c r="BP149" s="18">
        <f t="shared" si="60"/>
        <v>0</v>
      </c>
      <c r="BQ149" s="18">
        <f t="shared" si="61"/>
        <v>0.96711327649208301</v>
      </c>
      <c r="BR149" s="18">
        <f t="shared" si="62"/>
        <v>0</v>
      </c>
      <c r="BT149" s="27">
        <f t="shared" si="63"/>
        <v>1.0000000000000002</v>
      </c>
      <c r="BW149" s="18">
        <f>IF(AP149="ja",VLOOKUP(B149,Miljövärden!$B$2:$H$550,MATCH("Total andel fossilt",Miljövärden!$B$2:$H$2,0),FALSE),"")</f>
        <v>3.2886699999999998E-2</v>
      </c>
      <c r="BZ149" s="28">
        <f t="shared" si="64"/>
        <v>-2.3507917182308269E-8</v>
      </c>
      <c r="CA149" s="28">
        <f t="shared" si="65"/>
        <v>0</v>
      </c>
    </row>
    <row r="150" spans="1:79" x14ac:dyDescent="0.25">
      <c r="A150" s="224" t="s">
        <v>401</v>
      </c>
      <c r="B150" s="210" t="s">
        <v>406</v>
      </c>
      <c r="C150" s="121">
        <f>VLOOKUP($B150,'Tillförd energi'!$B$1:$AI$720,MATCH(C$1,'Tillförd energi'!$B$1:$AQ$1,0),FALSE)</f>
        <v>0</v>
      </c>
      <c r="D150" s="121">
        <f>VLOOKUP($B150,'Tillförd energi'!$B$1:$AI$720,MATCH(D$1,'Tillförd energi'!$B$1:$AQ$1,0),FALSE)</f>
        <v>4.5999999999999999E-2</v>
      </c>
      <c r="E150" s="121">
        <f>VLOOKUP($B150,'Tillförd energi'!$B$1:$AI$720,MATCH(E$1,'Tillförd energi'!$B$1:$AQ$1,0),FALSE)</f>
        <v>0</v>
      </c>
      <c r="F150" s="121">
        <f>VLOOKUP($B150,'Tillförd energi'!$B$1:$AI$720,MATCH(F$1,'Tillförd energi'!$B$1:$AQ$1,0),FALSE)</f>
        <v>0</v>
      </c>
      <c r="G150" s="121">
        <f>VLOOKUP($B150,'Tillförd energi'!$B$1:$AI$720,MATCH(G$1,'Tillförd energi'!$B$1:$AQ$1,0),FALSE)</f>
        <v>0</v>
      </c>
      <c r="H150" s="121">
        <f>VLOOKUP($B150,'Tillförd energi'!$B$1:$AI$720,MATCH(H$1,'Tillförd energi'!$B$1:$AQ$1,0),FALSE)</f>
        <v>0</v>
      </c>
      <c r="I150" s="121">
        <f>VLOOKUP($B150,'Tillförd energi'!$B$1:$AI$720,MATCH(I$1,'Tillförd energi'!$B$1:$AQ$1,0),FALSE)</f>
        <v>0</v>
      </c>
      <c r="J150" s="121">
        <f>VLOOKUP($B150,'Tillförd energi'!$B$1:$AI$720,MATCH(J$1,'Tillförd energi'!$B$1:$AQ$1,0),FALSE)</f>
        <v>0</v>
      </c>
      <c r="K150" s="121">
        <f>VLOOKUP($B150,'Tillförd energi'!$B$1:$AI$720,MATCH(K$1,'Tillförd energi'!$B$1:$AQ$1,0),FALSE)</f>
        <v>0</v>
      </c>
      <c r="L150" s="121">
        <f>VLOOKUP($B150,'Tillförd energi'!$B$1:$AI$720,MATCH(L$1,'Tillförd energi'!$B$1:$AQ$1,0),FALSE)</f>
        <v>0</v>
      </c>
      <c r="M150" s="121">
        <f>VLOOKUP($B150,'Tillförd energi'!$B$1:$AI$720,MATCH(M$1,'Tillförd energi'!$B$1:$AQ$1,0),FALSE)</f>
        <v>0</v>
      </c>
      <c r="N150" s="121">
        <f>VLOOKUP($B150,'Tillförd energi'!$B$1:$AI$720,MATCH(N$1,'Tillförd energi'!$B$1:$AQ$1,0),FALSE)</f>
        <v>0</v>
      </c>
      <c r="O150" s="121">
        <f>VLOOKUP($B150,'Tillförd energi'!$B$1:$AI$720,MATCH(O$1,'Tillförd energi'!$B$1:$AQ$1,0),FALSE)</f>
        <v>0</v>
      </c>
      <c r="P150" s="121">
        <f>VLOOKUP($B150,'Tillförd energi'!$B$1:$AI$720,MATCH(P$1,'Tillförd energi'!$B$1:$AQ$1,0),FALSE)</f>
        <v>0</v>
      </c>
      <c r="Q150" s="121">
        <f>VLOOKUP($B150,'Tillförd energi'!$B$1:$AI$720,MATCH(Q$1,'Tillförd energi'!$B$1:$AQ$1,0),FALSE)</f>
        <v>0</v>
      </c>
      <c r="R150" s="121">
        <f>VLOOKUP($B150,'Tillförd energi'!$B$1:$AI$720,MATCH(R$1,'Tillförd energi'!$B$1:$AQ$1,0),FALSE)</f>
        <v>0.16</v>
      </c>
      <c r="S150" s="121">
        <f>VLOOKUP($B150,'Tillförd energi'!$B$1:$AI$720,MATCH(S$1,'Tillförd energi'!$B$1:$AQ$1,0),FALSE)</f>
        <v>5.4</v>
      </c>
      <c r="T150" s="121">
        <f>VLOOKUP($B150,'Tillförd energi'!$B$1:$AI$720,MATCH(T$1,'Tillförd energi'!$B$1:$AQ$1,0),FALSE)</f>
        <v>0</v>
      </c>
      <c r="U150" s="121">
        <f>VLOOKUP($B150,'Tillförd energi'!$B$1:$AI$720,MATCH(U$1,'Tillförd energi'!$B$1:$AQ$1,0),FALSE)</f>
        <v>0</v>
      </c>
      <c r="V150" s="121">
        <f>VLOOKUP($B150,'Tillförd energi'!$B$1:$AI$720,MATCH(V$1,'Tillförd energi'!$B$1:$AQ$1,0),FALSE)</f>
        <v>0</v>
      </c>
      <c r="W150" s="121">
        <f>VLOOKUP($B150,'Tillförd energi'!$B$1:$AI$720,MATCH(W$1,'Tillförd energi'!$B$1:$AQ$1,0),FALSE)</f>
        <v>0</v>
      </c>
      <c r="X150" s="121">
        <f>VLOOKUP($B150,'Tillförd energi'!$B$1:$AI$720,MATCH(X$1,'Tillförd energi'!$B$1:$AQ$1,0),FALSE)</f>
        <v>7.5</v>
      </c>
      <c r="Y150" s="121">
        <f>VLOOKUP($B150,'Tillförd energi'!$B$1:$AI$720,MATCH(Y$1,'Tillförd energi'!$B$1:$AQ$1,0),FALSE)</f>
        <v>0</v>
      </c>
      <c r="Z150" s="121">
        <f>VLOOKUP($B150,'Tillförd energi'!$B$1:$AI$720,MATCH(Z$1,'Tillförd energi'!$B$1:$AQ$1,0),FALSE)</f>
        <v>0</v>
      </c>
      <c r="AA150" s="121">
        <f>VLOOKUP($B150,'Tillförd energi'!$B$1:$AI$720,MATCH(AA$1,'Tillförd energi'!$B$1:$AQ$1,0),FALSE)</f>
        <v>0</v>
      </c>
      <c r="AB150" s="121">
        <f>VLOOKUP($B150,'Tillförd energi'!$B$1:$AI$720,MATCH(AB$1,'Tillförd energi'!$B$1:$AQ$1,0),FALSE)</f>
        <v>0</v>
      </c>
      <c r="AC150" s="121">
        <f>VLOOKUP($B150,'Tillförd energi'!$B$1:$AI$720,MATCH(AC$1,'Tillförd energi'!$B$1:$AQ$1,0),FALSE)</f>
        <v>0</v>
      </c>
      <c r="AD150" s="121">
        <f>VLOOKUP($B150,'Tillförd energi'!$B$1:$AI$720,MATCH(AD$1,'Tillförd energi'!$B$1:$AQ$1,0),FALSE)</f>
        <v>0</v>
      </c>
      <c r="AE150" s="121">
        <f>VLOOKUP($B150,'Tillförd energi'!$B$1:$AI$720,MATCH(AE$1,'Tillförd energi'!$B$1:$AQ$1,0),FALSE)</f>
        <v>0</v>
      </c>
      <c r="AF150" s="121">
        <f>VLOOKUP($B150,'Tillförd energi'!$B$1:$AI$720,MATCH(AF$1,'Tillförd energi'!$B$1:$AQ$1,0),FALSE)</f>
        <v>0.27600000000000002</v>
      </c>
      <c r="AG150" s="121">
        <f>IFERROR(VLOOKUP(B150,Miljö!$B$1:$AC$550,MATCH("Köpt mängd produktionsspecifik fjärrvärme:",Miljö!$B$1:$AC$1,0),FALSE)/1,0)</f>
        <v>0</v>
      </c>
      <c r="AH150" s="121"/>
      <c r="AI150" s="121">
        <f t="shared" si="44"/>
        <v>13.382000000000001</v>
      </c>
      <c r="AJ150" s="121">
        <f t="shared" si="45"/>
        <v>13.382000000000001</v>
      </c>
      <c r="AK150" s="121">
        <f>IF(ISERROR(1/VLOOKUP($B150,Leveranser!$B$1:$S$499,MATCH("såld värme (gwh)",Leveranser!$B$1:$S$1,0),FALSE)),"",VLOOKUP($B150,Leveranser!$B$1:$S$499,MATCH("såld värme (gwh)",Leveranser!$B$1:$S$1,0),FALSE))</f>
        <v>11.65</v>
      </c>
      <c r="AL150" s="121">
        <f>VLOOKUP($B150,Leveranser!$B$1:$Y$499,MATCH("Totalt såld fjärrvärme till andra fjärrvärmeföretag",Leveranser!$B$1:$AA$1,0),FALSE)</f>
        <v>0</v>
      </c>
      <c r="AM150" s="121">
        <f>IF(ISERROR(1/VLOOKUP($B150,Miljö!$B$1:$S$500,MATCH("Såld mängd produktionsspecifik fjärrvärme (GWh)",Miljö!$B$1:$R$1,0),FALSE)),0,VLOOKUP($B150,Miljö!$B$1:$S$500,MATCH("Såld mängd produktionsspecifik fjärrvärme (GWh)",Miljö!$B$1:$R$1,0),FALSE))</f>
        <v>0</v>
      </c>
      <c r="AN150" s="172">
        <f t="shared" si="46"/>
        <v>0.87057241070094149</v>
      </c>
      <c r="AO150" s="121"/>
      <c r="AP150" s="121" t="str">
        <f>IFERROR(VLOOKUP($B150,Miljövärden!$B$2:$H$550,7,FALSE),"Nej, saknas")</f>
        <v>Ja</v>
      </c>
      <c r="AQ150" s="121" t="str">
        <f>IFERROR(VLOOKUP($B150,Miljövärden!$B$2:$H$550,6,FALSE),"Nej, saknas")</f>
        <v>Nej</v>
      </c>
      <c r="AU150">
        <f t="shared" si="47"/>
        <v>0.27600000000000002</v>
      </c>
      <c r="AV150">
        <f t="shared" si="48"/>
        <v>7.5</v>
      </c>
      <c r="AW150">
        <f t="shared" si="49"/>
        <v>0</v>
      </c>
      <c r="AX150">
        <f t="shared" si="50"/>
        <v>5.5600000000000005</v>
      </c>
      <c r="AZ150">
        <f t="shared" si="51"/>
        <v>13.06</v>
      </c>
      <c r="BC150">
        <f t="shared" si="52"/>
        <v>4.5999999999999999E-2</v>
      </c>
      <c r="BD150">
        <f t="shared" si="53"/>
        <v>0</v>
      </c>
      <c r="BE150">
        <f t="shared" si="54"/>
        <v>13.06</v>
      </c>
      <c r="BF150">
        <f t="shared" si="55"/>
        <v>0</v>
      </c>
      <c r="BG150">
        <f t="shared" si="56"/>
        <v>0.27600000000000002</v>
      </c>
      <c r="BH150">
        <f>VLOOKUP(B150,Miljö!$B$1:$BX$482,MATCH("Fossilandel för ursprungspecificerad el ()",Miljö!$B$1:$I$1,0),FALSE)</f>
        <v>0</v>
      </c>
      <c r="BI150">
        <f>VLOOKUP(B150,Miljö!$B$1:$BX$482,MATCH("Kärnkraftsandel för ursprungsspecificerad el ()",Miljö!$B$1:$O$1,0),FALSE)</f>
        <v>0</v>
      </c>
      <c r="BJ150">
        <f t="shared" si="57"/>
        <v>0</v>
      </c>
      <c r="BK150" t="str">
        <f>VLOOKUP(B150,Miljö!$B$1:$O$482,MATCH("Fossil andel i procent (%)",Miljö!$B$1:$O$1,0),FALSE)</f>
        <v>ET</v>
      </c>
      <c r="BL150">
        <f t="shared" si="58"/>
        <v>13.382</v>
      </c>
      <c r="BO150" s="18">
        <f t="shared" si="59"/>
        <v>3.4374532954715288E-3</v>
      </c>
      <c r="BP150" s="18">
        <f t="shared" si="60"/>
        <v>0</v>
      </c>
      <c r="BQ150" s="18">
        <f t="shared" si="61"/>
        <v>0.99656254670452848</v>
      </c>
      <c r="BR150" s="18">
        <f t="shared" si="62"/>
        <v>0</v>
      </c>
      <c r="BT150" s="27">
        <f t="shared" si="63"/>
        <v>1</v>
      </c>
      <c r="BW150" s="18">
        <f>IF(AP150="ja",VLOOKUP(B150,Miljövärden!$B$2:$H$550,MATCH("Total andel fossilt",Miljövärden!$B$2:$H$2,0),FALSE),"")</f>
        <v>3.4374499999999999E-3</v>
      </c>
      <c r="BZ150" s="28">
        <f t="shared" si="64"/>
        <v>-3.2954715289100489E-9</v>
      </c>
      <c r="CA150" s="28">
        <f t="shared" si="65"/>
        <v>0</v>
      </c>
    </row>
    <row r="151" spans="1:79" x14ac:dyDescent="0.25">
      <c r="A151" s="224" t="s">
        <v>401</v>
      </c>
      <c r="B151" s="210" t="s">
        <v>407</v>
      </c>
      <c r="C151" s="121">
        <f>VLOOKUP($B151,'Tillförd energi'!$B$1:$AI$720,MATCH(C$1,'Tillförd energi'!$B$1:$AQ$1,0),FALSE)</f>
        <v>0</v>
      </c>
      <c r="D151" s="121">
        <f>VLOOKUP($B151,'Tillförd energi'!$B$1:$AI$720,MATCH(D$1,'Tillförd energi'!$B$1:$AQ$1,0),FALSE)</f>
        <v>2</v>
      </c>
      <c r="E151" s="121">
        <f>VLOOKUP($B151,'Tillförd energi'!$B$1:$AI$720,MATCH(E$1,'Tillförd energi'!$B$1:$AQ$1,0),FALSE)</f>
        <v>0</v>
      </c>
      <c r="F151" s="121">
        <f>VLOOKUP($B151,'Tillförd energi'!$B$1:$AI$720,MATCH(F$1,'Tillförd energi'!$B$1:$AQ$1,0),FALSE)</f>
        <v>0</v>
      </c>
      <c r="G151" s="121">
        <f>VLOOKUP($B151,'Tillförd energi'!$B$1:$AI$720,MATCH(G$1,'Tillförd energi'!$B$1:$AQ$1,0),FALSE)</f>
        <v>0</v>
      </c>
      <c r="H151" s="121">
        <f>VLOOKUP($B151,'Tillförd energi'!$B$1:$AI$720,MATCH(H$1,'Tillförd energi'!$B$1:$AQ$1,0),FALSE)</f>
        <v>0</v>
      </c>
      <c r="I151" s="121">
        <f>VLOOKUP($B151,'Tillförd energi'!$B$1:$AI$720,MATCH(I$1,'Tillförd energi'!$B$1:$AQ$1,0),FALSE)</f>
        <v>0</v>
      </c>
      <c r="J151" s="121">
        <f>VLOOKUP($B151,'Tillförd energi'!$B$1:$AI$720,MATCH(J$1,'Tillförd energi'!$B$1:$AQ$1,0),FALSE)</f>
        <v>0</v>
      </c>
      <c r="K151" s="121">
        <f>VLOOKUP($B151,'Tillförd energi'!$B$1:$AI$720,MATCH(K$1,'Tillförd energi'!$B$1:$AQ$1,0),FALSE)</f>
        <v>0</v>
      </c>
      <c r="L151" s="121">
        <f>VLOOKUP($B151,'Tillförd energi'!$B$1:$AI$720,MATCH(L$1,'Tillförd energi'!$B$1:$AQ$1,0),FALSE)</f>
        <v>0</v>
      </c>
      <c r="M151" s="121">
        <f>VLOOKUP($B151,'Tillförd energi'!$B$1:$AI$720,MATCH(M$1,'Tillförd energi'!$B$1:$AQ$1,0),FALSE)</f>
        <v>0</v>
      </c>
      <c r="N151" s="121">
        <f>VLOOKUP($B151,'Tillförd energi'!$B$1:$AI$720,MATCH(N$1,'Tillförd energi'!$B$1:$AQ$1,0),FALSE)</f>
        <v>0</v>
      </c>
      <c r="O151" s="121">
        <f>VLOOKUP($B151,'Tillförd energi'!$B$1:$AI$720,MATCH(O$1,'Tillförd energi'!$B$1:$AQ$1,0),FALSE)</f>
        <v>0</v>
      </c>
      <c r="P151" s="121">
        <f>VLOOKUP($B151,'Tillförd energi'!$B$1:$AI$720,MATCH(P$1,'Tillförd energi'!$B$1:$AQ$1,0),FALSE)</f>
        <v>11.57</v>
      </c>
      <c r="Q151" s="121">
        <f>VLOOKUP($B151,'Tillförd energi'!$B$1:$AI$720,MATCH(Q$1,'Tillförd energi'!$B$1:$AQ$1,0),FALSE)</f>
        <v>0</v>
      </c>
      <c r="R151" s="121">
        <f>VLOOKUP($B151,'Tillförd energi'!$B$1:$AI$720,MATCH(R$1,'Tillförd energi'!$B$1:$AQ$1,0),FALSE)</f>
        <v>0</v>
      </c>
      <c r="S151" s="121">
        <f>VLOOKUP($B151,'Tillförd energi'!$B$1:$AI$720,MATCH(S$1,'Tillförd energi'!$B$1:$AQ$1,0),FALSE)</f>
        <v>0</v>
      </c>
      <c r="T151" s="121">
        <f>VLOOKUP($B151,'Tillförd energi'!$B$1:$AI$720,MATCH(T$1,'Tillförd energi'!$B$1:$AQ$1,0),FALSE)</f>
        <v>0</v>
      </c>
      <c r="U151" s="121">
        <f>VLOOKUP($B151,'Tillförd energi'!$B$1:$AI$720,MATCH(U$1,'Tillförd energi'!$B$1:$AQ$1,0),FALSE)</f>
        <v>0</v>
      </c>
      <c r="V151" s="121">
        <f>VLOOKUP($B151,'Tillförd energi'!$B$1:$AI$720,MATCH(V$1,'Tillförd energi'!$B$1:$AQ$1,0),FALSE)</f>
        <v>0</v>
      </c>
      <c r="W151" s="121">
        <f>VLOOKUP($B151,'Tillförd energi'!$B$1:$AI$720,MATCH(W$1,'Tillförd energi'!$B$1:$AQ$1,0),FALSE)</f>
        <v>0</v>
      </c>
      <c r="X151" s="121">
        <f>VLOOKUP($B151,'Tillförd energi'!$B$1:$AI$720,MATCH(X$1,'Tillförd energi'!$B$1:$AQ$1,0),FALSE)</f>
        <v>22.54</v>
      </c>
      <c r="Y151" s="121">
        <f>VLOOKUP($B151,'Tillförd energi'!$B$1:$AI$720,MATCH(Y$1,'Tillförd energi'!$B$1:$AQ$1,0),FALSE)</f>
        <v>0</v>
      </c>
      <c r="Z151" s="121">
        <f>VLOOKUP($B151,'Tillförd energi'!$B$1:$AI$720,MATCH(Z$1,'Tillförd energi'!$B$1:$AQ$1,0),FALSE)</f>
        <v>0</v>
      </c>
      <c r="AA151" s="121">
        <f>VLOOKUP($B151,'Tillförd energi'!$B$1:$AI$720,MATCH(AA$1,'Tillförd energi'!$B$1:$AQ$1,0),FALSE)</f>
        <v>0</v>
      </c>
      <c r="AB151" s="121">
        <f>VLOOKUP($B151,'Tillförd energi'!$B$1:$AI$720,MATCH(AB$1,'Tillförd energi'!$B$1:$AQ$1,0),FALSE)</f>
        <v>0</v>
      </c>
      <c r="AC151" s="121">
        <f>VLOOKUP($B151,'Tillförd energi'!$B$1:$AI$720,MATCH(AC$1,'Tillförd energi'!$B$1:$AQ$1,0),FALSE)</f>
        <v>0</v>
      </c>
      <c r="AD151" s="121">
        <f>VLOOKUP($B151,'Tillförd energi'!$B$1:$AI$720,MATCH(AD$1,'Tillförd energi'!$B$1:$AQ$1,0),FALSE)</f>
        <v>0</v>
      </c>
      <c r="AE151" s="121">
        <f>VLOOKUP($B151,'Tillförd energi'!$B$1:$AI$720,MATCH(AE$1,'Tillförd energi'!$B$1:$AQ$1,0),FALSE)</f>
        <v>0</v>
      </c>
      <c r="AF151" s="121">
        <f>VLOOKUP($B151,'Tillförd energi'!$B$1:$AI$720,MATCH(AF$1,'Tillförd energi'!$B$1:$AQ$1,0),FALSE)</f>
        <v>0.52800000000000002</v>
      </c>
      <c r="AG151" s="121">
        <f>IFERROR(VLOOKUP(B151,Miljö!$B$1:$AC$550,MATCH("Köpt mängd produktionsspecifik fjärrvärme:",Miljö!$B$1:$AC$1,0),FALSE)/1,0)</f>
        <v>0</v>
      </c>
      <c r="AH151" s="121"/>
      <c r="AI151" s="121">
        <f t="shared" si="44"/>
        <v>36.637999999999998</v>
      </c>
      <c r="AJ151" s="121">
        <f t="shared" si="45"/>
        <v>36.637999999999998</v>
      </c>
      <c r="AK151" s="121">
        <f>IF(ISERROR(1/VLOOKUP($B151,Leveranser!$B$1:$S$499,MATCH("såld värme (gwh)",Leveranser!$B$1:$S$1,0),FALSE)),"",VLOOKUP($B151,Leveranser!$B$1:$S$499,MATCH("såld värme (gwh)",Leveranser!$B$1:$S$1,0),FALSE))</f>
        <v>28</v>
      </c>
      <c r="AL151" s="121">
        <f>VLOOKUP($B151,Leveranser!$B$1:$Y$499,MATCH("Totalt såld fjärrvärme till andra fjärrvärmeföretag",Leveranser!$B$1:$AA$1,0),FALSE)</f>
        <v>0</v>
      </c>
      <c r="AM151" s="121">
        <f>IF(ISERROR(1/VLOOKUP($B151,Miljö!$B$1:$S$500,MATCH("Såld mängd produktionsspecifik fjärrvärme (GWh)",Miljö!$B$1:$R$1,0),FALSE)),0,VLOOKUP($B151,Miljö!$B$1:$S$500,MATCH("Såld mängd produktionsspecifik fjärrvärme (GWh)",Miljö!$B$1:$R$1,0),FALSE))</f>
        <v>0</v>
      </c>
      <c r="AN151" s="172">
        <f t="shared" si="46"/>
        <v>0.76423385555980139</v>
      </c>
      <c r="AO151" s="121"/>
      <c r="AP151" s="121" t="str">
        <f>IFERROR(VLOOKUP($B151,Miljövärden!$B$2:$H$550,7,FALSE),"Nej, saknas")</f>
        <v>Ja</v>
      </c>
      <c r="AQ151" s="121" t="str">
        <f>IFERROR(VLOOKUP($B151,Miljövärden!$B$2:$H$550,6,FALSE),"Nej, saknas")</f>
        <v>Nej</v>
      </c>
      <c r="AU151">
        <f t="shared" si="47"/>
        <v>0.52800000000000002</v>
      </c>
      <c r="AV151">
        <f t="shared" si="48"/>
        <v>22.54</v>
      </c>
      <c r="AW151">
        <f t="shared" si="49"/>
        <v>11.57</v>
      </c>
      <c r="AX151">
        <f t="shared" si="50"/>
        <v>0</v>
      </c>
      <c r="AZ151">
        <f t="shared" si="51"/>
        <v>34.11</v>
      </c>
      <c r="BC151">
        <f t="shared" si="52"/>
        <v>2</v>
      </c>
      <c r="BD151">
        <f t="shared" si="53"/>
        <v>0</v>
      </c>
      <c r="BE151">
        <f t="shared" si="54"/>
        <v>34.11</v>
      </c>
      <c r="BF151">
        <f t="shared" si="55"/>
        <v>0</v>
      </c>
      <c r="BG151">
        <f t="shared" si="56"/>
        <v>0.52800000000000002</v>
      </c>
      <c r="BH151">
        <f>VLOOKUP(B151,Miljö!$B$1:$BX$482,MATCH("Fossilandel för ursprungspecificerad el ()",Miljö!$B$1:$I$1,0),FALSE)</f>
        <v>0</v>
      </c>
      <c r="BI151">
        <f>VLOOKUP(B151,Miljö!$B$1:$BX$482,MATCH("Kärnkraftsandel för ursprungsspecificerad el ()",Miljö!$B$1:$O$1,0),FALSE)</f>
        <v>0</v>
      </c>
      <c r="BJ151">
        <f t="shared" si="57"/>
        <v>0</v>
      </c>
      <c r="BK151" t="str">
        <f>VLOOKUP(B151,Miljö!$B$1:$O$482,MATCH("Fossil andel i procent (%)",Miljö!$B$1:$O$1,0),FALSE)</f>
        <v>ET</v>
      </c>
      <c r="BL151">
        <f t="shared" si="58"/>
        <v>36.637999999999998</v>
      </c>
      <c r="BO151" s="18">
        <f t="shared" si="59"/>
        <v>5.4588132539985811E-2</v>
      </c>
      <c r="BP151" s="18">
        <f t="shared" si="60"/>
        <v>0</v>
      </c>
      <c r="BQ151" s="18">
        <f t="shared" si="61"/>
        <v>0.94541186746001415</v>
      </c>
      <c r="BR151" s="18">
        <f t="shared" si="62"/>
        <v>0</v>
      </c>
      <c r="BT151" s="27">
        <f t="shared" si="63"/>
        <v>1</v>
      </c>
      <c r="BW151" s="18">
        <f>IF(AP151="ja",VLOOKUP(B151,Miljövärden!$B$2:$H$550,MATCH("Total andel fossilt",Miljövärden!$B$2:$H$2,0),FALSE),"")</f>
        <v>5.4588100000000001E-2</v>
      </c>
      <c r="BZ151" s="28">
        <f t="shared" si="64"/>
        <v>-3.2539985810042804E-8</v>
      </c>
      <c r="CA151" s="28">
        <f t="shared" si="65"/>
        <v>0</v>
      </c>
    </row>
    <row r="152" spans="1:79" x14ac:dyDescent="0.25">
      <c r="A152" s="224" t="s">
        <v>401</v>
      </c>
      <c r="B152" s="210" t="s">
        <v>408</v>
      </c>
      <c r="C152" s="121">
        <f>VLOOKUP($B152,'Tillförd energi'!$B$1:$AI$720,MATCH(C$1,'Tillförd energi'!$B$1:$AQ$1,0),FALSE)</f>
        <v>0</v>
      </c>
      <c r="D152" s="121">
        <f>VLOOKUP($B152,'Tillförd energi'!$B$1:$AI$720,MATCH(D$1,'Tillförd energi'!$B$1:$AQ$1,0),FALSE)</f>
        <v>5.1999999999999998E-2</v>
      </c>
      <c r="E152" s="121">
        <f>VLOOKUP($B152,'Tillförd energi'!$B$1:$AI$720,MATCH(E$1,'Tillförd energi'!$B$1:$AQ$1,0),FALSE)</f>
        <v>0</v>
      </c>
      <c r="F152" s="121">
        <f>VLOOKUP($B152,'Tillförd energi'!$B$1:$AI$720,MATCH(F$1,'Tillförd energi'!$B$1:$AQ$1,0),FALSE)</f>
        <v>0</v>
      </c>
      <c r="G152" s="121">
        <f>VLOOKUP($B152,'Tillförd energi'!$B$1:$AI$720,MATCH(G$1,'Tillförd energi'!$B$1:$AQ$1,0),FALSE)</f>
        <v>0</v>
      </c>
      <c r="H152" s="121">
        <f>VLOOKUP($B152,'Tillförd energi'!$B$1:$AI$720,MATCH(H$1,'Tillförd energi'!$B$1:$AQ$1,0),FALSE)</f>
        <v>0</v>
      </c>
      <c r="I152" s="121">
        <f>VLOOKUP($B152,'Tillförd energi'!$B$1:$AI$720,MATCH(I$1,'Tillförd energi'!$B$1:$AQ$1,0),FALSE)</f>
        <v>0</v>
      </c>
      <c r="J152" s="121">
        <f>VLOOKUP($B152,'Tillförd energi'!$B$1:$AI$720,MATCH(J$1,'Tillförd energi'!$B$1:$AQ$1,0),FALSE)</f>
        <v>0</v>
      </c>
      <c r="K152" s="121">
        <f>VLOOKUP($B152,'Tillförd energi'!$B$1:$AI$720,MATCH(K$1,'Tillförd energi'!$B$1:$AQ$1,0),FALSE)</f>
        <v>0</v>
      </c>
      <c r="L152" s="121">
        <f>VLOOKUP($B152,'Tillförd energi'!$B$1:$AI$720,MATCH(L$1,'Tillförd energi'!$B$1:$AQ$1,0),FALSE)</f>
        <v>0</v>
      </c>
      <c r="M152" s="121">
        <f>VLOOKUP($B152,'Tillförd energi'!$B$1:$AI$720,MATCH(M$1,'Tillförd energi'!$B$1:$AQ$1,0),FALSE)</f>
        <v>0</v>
      </c>
      <c r="N152" s="121">
        <f>VLOOKUP($B152,'Tillförd energi'!$B$1:$AI$720,MATCH(N$1,'Tillförd energi'!$B$1:$AQ$1,0),FALSE)</f>
        <v>0</v>
      </c>
      <c r="O152" s="121">
        <f>VLOOKUP($B152,'Tillförd energi'!$B$1:$AI$720,MATCH(O$1,'Tillförd energi'!$B$1:$AQ$1,0),FALSE)</f>
        <v>0</v>
      </c>
      <c r="P152" s="121">
        <f>VLOOKUP($B152,'Tillförd energi'!$B$1:$AI$720,MATCH(P$1,'Tillförd energi'!$B$1:$AQ$1,0),FALSE)</f>
        <v>12.28</v>
      </c>
      <c r="Q152" s="121">
        <f>VLOOKUP($B152,'Tillförd energi'!$B$1:$AI$720,MATCH(Q$1,'Tillförd energi'!$B$1:$AQ$1,0),FALSE)</f>
        <v>0</v>
      </c>
      <c r="R152" s="121">
        <f>VLOOKUP($B152,'Tillförd energi'!$B$1:$AI$720,MATCH(R$1,'Tillförd energi'!$B$1:$AQ$1,0),FALSE)</f>
        <v>0</v>
      </c>
      <c r="S152" s="121">
        <f>VLOOKUP($B152,'Tillförd energi'!$B$1:$AI$720,MATCH(S$1,'Tillförd energi'!$B$1:$AQ$1,0),FALSE)</f>
        <v>0</v>
      </c>
      <c r="T152" s="121">
        <f>VLOOKUP($B152,'Tillförd energi'!$B$1:$AI$720,MATCH(T$1,'Tillförd energi'!$B$1:$AQ$1,0),FALSE)</f>
        <v>0</v>
      </c>
      <c r="U152" s="121">
        <f>VLOOKUP($B152,'Tillförd energi'!$B$1:$AI$720,MATCH(U$1,'Tillförd energi'!$B$1:$AQ$1,0),FALSE)</f>
        <v>0</v>
      </c>
      <c r="V152" s="121">
        <f>VLOOKUP($B152,'Tillförd energi'!$B$1:$AI$720,MATCH(V$1,'Tillförd energi'!$B$1:$AQ$1,0),FALSE)</f>
        <v>0</v>
      </c>
      <c r="W152" s="121">
        <f>VLOOKUP($B152,'Tillförd energi'!$B$1:$AI$720,MATCH(W$1,'Tillförd energi'!$B$1:$AQ$1,0),FALSE)</f>
        <v>0</v>
      </c>
      <c r="X152" s="121">
        <f>VLOOKUP($B152,'Tillförd energi'!$B$1:$AI$720,MATCH(X$1,'Tillförd energi'!$B$1:$AQ$1,0),FALSE)</f>
        <v>0</v>
      </c>
      <c r="Y152" s="121">
        <f>VLOOKUP($B152,'Tillförd energi'!$B$1:$AI$720,MATCH(Y$1,'Tillförd energi'!$B$1:$AQ$1,0),FALSE)</f>
        <v>0</v>
      </c>
      <c r="Z152" s="121">
        <f>VLOOKUP($B152,'Tillförd energi'!$B$1:$AI$720,MATCH(Z$1,'Tillförd energi'!$B$1:$AQ$1,0),FALSE)</f>
        <v>0</v>
      </c>
      <c r="AA152" s="121">
        <f>VLOOKUP($B152,'Tillförd energi'!$B$1:$AI$720,MATCH(AA$1,'Tillförd energi'!$B$1:$AQ$1,0),FALSE)</f>
        <v>0</v>
      </c>
      <c r="AB152" s="121">
        <f>VLOOKUP($B152,'Tillförd energi'!$B$1:$AI$720,MATCH(AB$1,'Tillförd energi'!$B$1:$AQ$1,0),FALSE)</f>
        <v>0</v>
      </c>
      <c r="AC152" s="121">
        <f>VLOOKUP($B152,'Tillförd energi'!$B$1:$AI$720,MATCH(AC$1,'Tillförd energi'!$B$1:$AQ$1,0),FALSE)</f>
        <v>0</v>
      </c>
      <c r="AD152" s="121">
        <f>VLOOKUP($B152,'Tillförd energi'!$B$1:$AI$720,MATCH(AD$1,'Tillförd energi'!$B$1:$AQ$1,0),FALSE)</f>
        <v>0</v>
      </c>
      <c r="AE152" s="121">
        <f>VLOOKUP($B152,'Tillförd energi'!$B$1:$AI$720,MATCH(AE$1,'Tillförd energi'!$B$1:$AQ$1,0),FALSE)</f>
        <v>0</v>
      </c>
      <c r="AF152" s="121">
        <f>VLOOKUP($B152,'Tillförd energi'!$B$1:$AI$720,MATCH(AF$1,'Tillförd energi'!$B$1:$AQ$1,0),FALSE)</f>
        <v>0.186</v>
      </c>
      <c r="AG152" s="121">
        <f>IFERROR(VLOOKUP(B152,Miljö!$B$1:$AC$550,MATCH("Köpt mängd produktionsspecifik fjärrvärme:",Miljö!$B$1:$AC$1,0),FALSE)/1,0)</f>
        <v>0</v>
      </c>
      <c r="AH152" s="121"/>
      <c r="AI152" s="121">
        <f t="shared" si="44"/>
        <v>12.517999999999999</v>
      </c>
      <c r="AJ152" s="121">
        <f t="shared" si="45"/>
        <v>12.517999999999999</v>
      </c>
      <c r="AK152" s="121">
        <f>IF(ISERROR(1/VLOOKUP($B152,Leveranser!$B$1:$S$499,MATCH("såld värme (gwh)",Leveranser!$B$1:$S$1,0),FALSE)),"",VLOOKUP($B152,Leveranser!$B$1:$S$499,MATCH("såld värme (gwh)",Leveranser!$B$1:$S$1,0),FALSE))</f>
        <v>7.74</v>
      </c>
      <c r="AL152" s="121">
        <f>VLOOKUP($B152,Leveranser!$B$1:$Y$499,MATCH("Totalt såld fjärrvärme till andra fjärrvärmeföretag",Leveranser!$B$1:$AA$1,0),FALSE)</f>
        <v>0</v>
      </c>
      <c r="AM152" s="121">
        <f>IF(ISERROR(1/VLOOKUP($B152,Miljö!$B$1:$S$500,MATCH("Såld mängd produktionsspecifik fjärrvärme (GWh)",Miljö!$B$1:$R$1,0),FALSE)),0,VLOOKUP($B152,Miljö!$B$1:$S$500,MATCH("Såld mängd produktionsspecifik fjärrvärme (GWh)",Miljö!$B$1:$R$1,0),FALSE))</f>
        <v>0</v>
      </c>
      <c r="AN152" s="172">
        <f t="shared" si="46"/>
        <v>0.61830963412685735</v>
      </c>
      <c r="AO152" s="121"/>
      <c r="AP152" s="121" t="str">
        <f>IFERROR(VLOOKUP($B152,Miljövärden!$B$2:$H$550,7,FALSE),"Nej, saknas")</f>
        <v>Ja</v>
      </c>
      <c r="AQ152" s="121" t="str">
        <f>IFERROR(VLOOKUP($B152,Miljövärden!$B$2:$H$550,6,FALSE),"Nej, saknas")</f>
        <v>Nej</v>
      </c>
      <c r="AU152">
        <f t="shared" si="47"/>
        <v>0.186</v>
      </c>
      <c r="AV152">
        <f t="shared" si="48"/>
        <v>0</v>
      </c>
      <c r="AW152">
        <f t="shared" si="49"/>
        <v>12.28</v>
      </c>
      <c r="AX152">
        <f t="shared" si="50"/>
        <v>0</v>
      </c>
      <c r="AZ152">
        <f t="shared" si="51"/>
        <v>12.28</v>
      </c>
      <c r="BC152">
        <f t="shared" si="52"/>
        <v>5.1999999999999998E-2</v>
      </c>
      <c r="BD152">
        <f t="shared" si="53"/>
        <v>0</v>
      </c>
      <c r="BE152">
        <f t="shared" si="54"/>
        <v>12.28</v>
      </c>
      <c r="BF152">
        <f t="shared" si="55"/>
        <v>0</v>
      </c>
      <c r="BG152">
        <f t="shared" si="56"/>
        <v>0.186</v>
      </c>
      <c r="BH152">
        <f>VLOOKUP(B152,Miljö!$B$1:$BX$482,MATCH("Fossilandel för ursprungspecificerad el ()",Miljö!$B$1:$I$1,0),FALSE)</f>
        <v>0</v>
      </c>
      <c r="BI152">
        <f>VLOOKUP(B152,Miljö!$B$1:$BX$482,MATCH("Kärnkraftsandel för ursprungsspecificerad el ()",Miljö!$B$1:$O$1,0),FALSE)</f>
        <v>0</v>
      </c>
      <c r="BJ152">
        <f t="shared" si="57"/>
        <v>0</v>
      </c>
      <c r="BK152" t="str">
        <f>VLOOKUP(B152,Miljö!$B$1:$O$482,MATCH("Fossil andel i procent (%)",Miljö!$B$1:$O$1,0),FALSE)</f>
        <v>ET</v>
      </c>
      <c r="BL152">
        <f t="shared" si="58"/>
        <v>12.517999999999999</v>
      </c>
      <c r="BO152" s="18">
        <f t="shared" si="59"/>
        <v>4.1540182137721681E-3</v>
      </c>
      <c r="BP152" s="18">
        <f t="shared" si="60"/>
        <v>0</v>
      </c>
      <c r="BQ152" s="18">
        <f t="shared" si="61"/>
        <v>0.99584598178622785</v>
      </c>
      <c r="BR152" s="18">
        <f t="shared" si="62"/>
        <v>0</v>
      </c>
      <c r="BT152" s="27">
        <f t="shared" si="63"/>
        <v>1</v>
      </c>
      <c r="BW152" s="18">
        <f>IF(AP152="ja",VLOOKUP(B152,Miljövärden!$B$2:$H$550,MATCH("Total andel fossilt",Miljövärden!$B$2:$H$2,0),FALSE),"")</f>
        <v>4.1540199999999996E-3</v>
      </c>
      <c r="BZ152" s="28">
        <f t="shared" si="64"/>
        <v>1.786227831444831E-9</v>
      </c>
      <c r="CA152" s="28">
        <f t="shared" si="65"/>
        <v>0</v>
      </c>
    </row>
    <row r="153" spans="1:79" x14ac:dyDescent="0.25">
      <c r="A153" s="224" t="s">
        <v>401</v>
      </c>
      <c r="B153" s="210" t="s">
        <v>409</v>
      </c>
      <c r="C153" s="121">
        <f>VLOOKUP($B153,'Tillförd energi'!$B$1:$AI$720,MATCH(C$1,'Tillförd energi'!$B$1:$AQ$1,0),FALSE)</f>
        <v>0</v>
      </c>
      <c r="D153" s="121">
        <f>VLOOKUP($B153,'Tillförd energi'!$B$1:$AI$720,MATCH(D$1,'Tillförd energi'!$B$1:$AQ$1,0),FALSE)</f>
        <v>2.5999999999999999E-2</v>
      </c>
      <c r="E153" s="121">
        <f>VLOOKUP($B153,'Tillförd energi'!$B$1:$AI$720,MATCH(E$1,'Tillförd energi'!$B$1:$AQ$1,0),FALSE)</f>
        <v>0</v>
      </c>
      <c r="F153" s="121">
        <f>VLOOKUP($B153,'Tillförd energi'!$B$1:$AI$720,MATCH(F$1,'Tillförd energi'!$B$1:$AQ$1,0),FALSE)</f>
        <v>0</v>
      </c>
      <c r="G153" s="121">
        <f>VLOOKUP($B153,'Tillförd energi'!$B$1:$AI$720,MATCH(G$1,'Tillförd energi'!$B$1:$AQ$1,0),FALSE)</f>
        <v>0</v>
      </c>
      <c r="H153" s="121">
        <f>VLOOKUP($B153,'Tillförd energi'!$B$1:$AI$720,MATCH(H$1,'Tillförd energi'!$B$1:$AQ$1,0),FALSE)</f>
        <v>0</v>
      </c>
      <c r="I153" s="121">
        <f>VLOOKUP($B153,'Tillförd energi'!$B$1:$AI$720,MATCH(I$1,'Tillförd energi'!$B$1:$AQ$1,0),FALSE)</f>
        <v>0</v>
      </c>
      <c r="J153" s="121">
        <f>VLOOKUP($B153,'Tillförd energi'!$B$1:$AI$720,MATCH(J$1,'Tillförd energi'!$B$1:$AQ$1,0),FALSE)</f>
        <v>0</v>
      </c>
      <c r="K153" s="121">
        <f>VLOOKUP($B153,'Tillförd energi'!$B$1:$AI$720,MATCH(K$1,'Tillförd energi'!$B$1:$AQ$1,0),FALSE)</f>
        <v>0</v>
      </c>
      <c r="L153" s="121">
        <f>VLOOKUP($B153,'Tillförd energi'!$B$1:$AI$720,MATCH(L$1,'Tillförd energi'!$B$1:$AQ$1,0),FALSE)</f>
        <v>0</v>
      </c>
      <c r="M153" s="121">
        <f>VLOOKUP($B153,'Tillförd energi'!$B$1:$AI$720,MATCH(M$1,'Tillförd energi'!$B$1:$AQ$1,0),FALSE)</f>
        <v>0</v>
      </c>
      <c r="N153" s="121">
        <f>VLOOKUP($B153,'Tillförd energi'!$B$1:$AI$720,MATCH(N$1,'Tillförd energi'!$B$1:$AQ$1,0),FALSE)</f>
        <v>0</v>
      </c>
      <c r="O153" s="121">
        <f>VLOOKUP($B153,'Tillförd energi'!$B$1:$AI$720,MATCH(O$1,'Tillförd energi'!$B$1:$AQ$1,0),FALSE)</f>
        <v>0</v>
      </c>
      <c r="P153" s="121">
        <f>VLOOKUP($B153,'Tillförd energi'!$B$1:$AI$720,MATCH(P$1,'Tillförd energi'!$B$1:$AQ$1,0),FALSE)</f>
        <v>16.850000000000001</v>
      </c>
      <c r="Q153" s="121">
        <f>VLOOKUP($B153,'Tillförd energi'!$B$1:$AI$720,MATCH(Q$1,'Tillförd energi'!$B$1:$AQ$1,0),FALSE)</f>
        <v>0</v>
      </c>
      <c r="R153" s="121">
        <f>VLOOKUP($B153,'Tillförd energi'!$B$1:$AI$720,MATCH(R$1,'Tillförd energi'!$B$1:$AQ$1,0),FALSE)</f>
        <v>0</v>
      </c>
      <c r="S153" s="121">
        <f>VLOOKUP($B153,'Tillförd energi'!$B$1:$AI$720,MATCH(S$1,'Tillförd energi'!$B$1:$AQ$1,0),FALSE)</f>
        <v>0</v>
      </c>
      <c r="T153" s="121">
        <f>VLOOKUP($B153,'Tillförd energi'!$B$1:$AI$720,MATCH(T$1,'Tillförd energi'!$B$1:$AQ$1,0),FALSE)</f>
        <v>0</v>
      </c>
      <c r="U153" s="121">
        <f>VLOOKUP($B153,'Tillförd energi'!$B$1:$AI$720,MATCH(U$1,'Tillförd energi'!$B$1:$AQ$1,0),FALSE)</f>
        <v>0</v>
      </c>
      <c r="V153" s="121">
        <f>VLOOKUP($B153,'Tillförd energi'!$B$1:$AI$720,MATCH(V$1,'Tillförd energi'!$B$1:$AQ$1,0),FALSE)</f>
        <v>0</v>
      </c>
      <c r="W153" s="121">
        <f>VLOOKUP($B153,'Tillförd energi'!$B$1:$AI$720,MATCH(W$1,'Tillförd energi'!$B$1:$AQ$1,0),FALSE)</f>
        <v>0</v>
      </c>
      <c r="X153" s="121">
        <f>VLOOKUP($B153,'Tillförd energi'!$B$1:$AI$720,MATCH(X$1,'Tillförd energi'!$B$1:$AQ$1,0),FALSE)</f>
        <v>0</v>
      </c>
      <c r="Y153" s="121">
        <f>VLOOKUP($B153,'Tillförd energi'!$B$1:$AI$720,MATCH(Y$1,'Tillförd energi'!$B$1:$AQ$1,0),FALSE)</f>
        <v>0</v>
      </c>
      <c r="Z153" s="121">
        <f>VLOOKUP($B153,'Tillförd energi'!$B$1:$AI$720,MATCH(Z$1,'Tillförd energi'!$B$1:$AQ$1,0),FALSE)</f>
        <v>0</v>
      </c>
      <c r="AA153" s="121">
        <f>VLOOKUP($B153,'Tillförd energi'!$B$1:$AI$720,MATCH(AA$1,'Tillförd energi'!$B$1:$AQ$1,0),FALSE)</f>
        <v>0</v>
      </c>
      <c r="AB153" s="121">
        <f>VLOOKUP($B153,'Tillförd energi'!$B$1:$AI$720,MATCH(AB$1,'Tillförd energi'!$B$1:$AQ$1,0),FALSE)</f>
        <v>0</v>
      </c>
      <c r="AC153" s="121">
        <f>VLOOKUP($B153,'Tillförd energi'!$B$1:$AI$720,MATCH(AC$1,'Tillförd energi'!$B$1:$AQ$1,0),FALSE)</f>
        <v>0</v>
      </c>
      <c r="AD153" s="121">
        <f>VLOOKUP($B153,'Tillförd energi'!$B$1:$AI$720,MATCH(AD$1,'Tillförd energi'!$B$1:$AQ$1,0),FALSE)</f>
        <v>0</v>
      </c>
      <c r="AE153" s="121">
        <f>VLOOKUP($B153,'Tillförd energi'!$B$1:$AI$720,MATCH(AE$1,'Tillförd energi'!$B$1:$AQ$1,0),FALSE)</f>
        <v>0</v>
      </c>
      <c r="AF153" s="121">
        <f>VLOOKUP($B153,'Tillförd energi'!$B$1:$AI$720,MATCH(AF$1,'Tillförd energi'!$B$1:$AQ$1,0),FALSE)</f>
        <v>0.27500000000000002</v>
      </c>
      <c r="AG153" s="121">
        <f>IFERROR(VLOOKUP(B153,Miljö!$B$1:$AC$550,MATCH("Köpt mängd produktionsspecifik fjärrvärme:",Miljö!$B$1:$AC$1,0),FALSE)/1,0)</f>
        <v>0</v>
      </c>
      <c r="AH153" s="121"/>
      <c r="AI153" s="121">
        <f t="shared" si="44"/>
        <v>17.151</v>
      </c>
      <c r="AJ153" s="121">
        <f t="shared" si="45"/>
        <v>17.151</v>
      </c>
      <c r="AK153" s="121">
        <f>IF(ISERROR(1/VLOOKUP($B153,Leveranser!$B$1:$S$499,MATCH("såld värme (gwh)",Leveranser!$B$1:$S$1,0),FALSE)),"",VLOOKUP($B153,Leveranser!$B$1:$S$499,MATCH("såld värme (gwh)",Leveranser!$B$1:$S$1,0),FALSE))</f>
        <v>11.76</v>
      </c>
      <c r="AL153" s="121">
        <f>VLOOKUP($B153,Leveranser!$B$1:$Y$499,MATCH("Totalt såld fjärrvärme till andra fjärrvärmeföretag",Leveranser!$B$1:$AA$1,0),FALSE)</f>
        <v>0</v>
      </c>
      <c r="AM153" s="121">
        <f>IF(ISERROR(1/VLOOKUP($B153,Miljö!$B$1:$S$500,MATCH("Såld mängd produktionsspecifik fjärrvärme (GWh)",Miljö!$B$1:$R$1,0),FALSE)),0,VLOOKUP($B153,Miljö!$B$1:$S$500,MATCH("Såld mängd produktionsspecifik fjärrvärme (GWh)",Miljö!$B$1:$R$1,0),FALSE))</f>
        <v>0</v>
      </c>
      <c r="AN153" s="172">
        <f t="shared" si="46"/>
        <v>0.68567430470526503</v>
      </c>
      <c r="AO153" s="121"/>
      <c r="AP153" s="121" t="str">
        <f>IFERROR(VLOOKUP($B153,Miljövärden!$B$2:$H$550,7,FALSE),"Nej, saknas")</f>
        <v>Ja</v>
      </c>
      <c r="AQ153" s="121" t="str">
        <f>IFERROR(VLOOKUP($B153,Miljövärden!$B$2:$H$550,6,FALSE),"Nej, saknas")</f>
        <v>Nej</v>
      </c>
      <c r="AU153">
        <f t="shared" si="47"/>
        <v>0.27500000000000002</v>
      </c>
      <c r="AV153">
        <f t="shared" si="48"/>
        <v>0</v>
      </c>
      <c r="AW153">
        <f t="shared" si="49"/>
        <v>16.850000000000001</v>
      </c>
      <c r="AX153">
        <f t="shared" si="50"/>
        <v>0</v>
      </c>
      <c r="AZ153">
        <f t="shared" si="51"/>
        <v>16.850000000000001</v>
      </c>
      <c r="BC153">
        <f t="shared" si="52"/>
        <v>2.5999999999999999E-2</v>
      </c>
      <c r="BD153">
        <f t="shared" si="53"/>
        <v>0</v>
      </c>
      <c r="BE153">
        <f t="shared" si="54"/>
        <v>16.850000000000001</v>
      </c>
      <c r="BF153">
        <f t="shared" si="55"/>
        <v>0</v>
      </c>
      <c r="BG153">
        <f t="shared" si="56"/>
        <v>0.27500000000000002</v>
      </c>
      <c r="BH153">
        <f>VLOOKUP(B153,Miljö!$B$1:$BX$482,MATCH("Fossilandel för ursprungspecificerad el ()",Miljö!$B$1:$I$1,0),FALSE)</f>
        <v>0</v>
      </c>
      <c r="BI153">
        <f>VLOOKUP(B153,Miljö!$B$1:$BX$482,MATCH("Kärnkraftsandel för ursprungsspecificerad el ()",Miljö!$B$1:$O$1,0),FALSE)</f>
        <v>0</v>
      </c>
      <c r="BJ153">
        <f t="shared" si="57"/>
        <v>0</v>
      </c>
      <c r="BK153" t="str">
        <f>VLOOKUP(B153,Miljö!$B$1:$O$482,MATCH("Fossil andel i procent (%)",Miljö!$B$1:$O$1,0),FALSE)</f>
        <v>ET</v>
      </c>
      <c r="BL153">
        <f t="shared" si="58"/>
        <v>17.151</v>
      </c>
      <c r="BO153" s="18">
        <f t="shared" si="59"/>
        <v>1.5159465920354497E-3</v>
      </c>
      <c r="BP153" s="18">
        <f t="shared" si="60"/>
        <v>0</v>
      </c>
      <c r="BQ153" s="18">
        <f t="shared" si="61"/>
        <v>0.99848405340796453</v>
      </c>
      <c r="BR153" s="18">
        <f t="shared" si="62"/>
        <v>0</v>
      </c>
      <c r="BT153" s="27">
        <f t="shared" si="63"/>
        <v>1</v>
      </c>
      <c r="BW153" s="18">
        <f>IF(AP153="ja",VLOOKUP(B153,Miljövärden!$B$2:$H$550,MATCH("Total andel fossilt",Miljövärden!$B$2:$H$2,0),FALSE),"")</f>
        <v>1.5159500000000001E-3</v>
      </c>
      <c r="BZ153" s="28">
        <f t="shared" si="64"/>
        <v>3.4079645503184985E-9</v>
      </c>
      <c r="CA153" s="28">
        <f t="shared" si="65"/>
        <v>0</v>
      </c>
    </row>
    <row r="154" spans="1:79" x14ac:dyDescent="0.25">
      <c r="A154" s="224" t="s">
        <v>401</v>
      </c>
      <c r="B154" s="210" t="s">
        <v>410</v>
      </c>
      <c r="C154" s="121">
        <f>VLOOKUP($B154,'Tillförd energi'!$B$1:$AI$720,MATCH(C$1,'Tillförd energi'!$B$1:$AQ$1,0),FALSE)</f>
        <v>0</v>
      </c>
      <c r="D154" s="121">
        <f>VLOOKUP($B154,'Tillförd energi'!$B$1:$AI$720,MATCH(D$1,'Tillförd energi'!$B$1:$AQ$1,0),FALSE)</f>
        <v>6.3E-2</v>
      </c>
      <c r="E154" s="121">
        <f>VLOOKUP($B154,'Tillförd energi'!$B$1:$AI$720,MATCH(E$1,'Tillförd energi'!$B$1:$AQ$1,0),FALSE)</f>
        <v>0</v>
      </c>
      <c r="F154" s="121">
        <f>VLOOKUP($B154,'Tillförd energi'!$B$1:$AI$720,MATCH(F$1,'Tillförd energi'!$B$1:$AQ$1,0),FALSE)</f>
        <v>0</v>
      </c>
      <c r="G154" s="121">
        <f>VLOOKUP($B154,'Tillförd energi'!$B$1:$AI$720,MATCH(G$1,'Tillförd energi'!$B$1:$AQ$1,0),FALSE)</f>
        <v>0</v>
      </c>
      <c r="H154" s="121">
        <f>VLOOKUP($B154,'Tillförd energi'!$B$1:$AI$720,MATCH(H$1,'Tillförd energi'!$B$1:$AQ$1,0),FALSE)</f>
        <v>0</v>
      </c>
      <c r="I154" s="121">
        <f>VLOOKUP($B154,'Tillförd energi'!$B$1:$AI$720,MATCH(I$1,'Tillförd energi'!$B$1:$AQ$1,0),FALSE)</f>
        <v>0</v>
      </c>
      <c r="J154" s="121">
        <f>VLOOKUP($B154,'Tillförd energi'!$B$1:$AI$720,MATCH(J$1,'Tillförd energi'!$B$1:$AQ$1,0),FALSE)</f>
        <v>0</v>
      </c>
      <c r="K154" s="121">
        <f>VLOOKUP($B154,'Tillförd energi'!$B$1:$AI$720,MATCH(K$1,'Tillförd energi'!$B$1:$AQ$1,0),FALSE)</f>
        <v>0</v>
      </c>
      <c r="L154" s="121">
        <f>VLOOKUP($B154,'Tillförd energi'!$B$1:$AI$720,MATCH(L$1,'Tillförd energi'!$B$1:$AQ$1,0),FALSE)</f>
        <v>0</v>
      </c>
      <c r="M154" s="121">
        <f>VLOOKUP($B154,'Tillförd energi'!$B$1:$AI$720,MATCH(M$1,'Tillförd energi'!$B$1:$AQ$1,0),FALSE)</f>
        <v>0</v>
      </c>
      <c r="N154" s="121">
        <f>VLOOKUP($B154,'Tillförd energi'!$B$1:$AI$720,MATCH(N$1,'Tillförd energi'!$B$1:$AQ$1,0),FALSE)</f>
        <v>0</v>
      </c>
      <c r="O154" s="121">
        <f>VLOOKUP($B154,'Tillförd energi'!$B$1:$AI$720,MATCH(O$1,'Tillförd energi'!$B$1:$AQ$1,0),FALSE)</f>
        <v>0</v>
      </c>
      <c r="P154" s="121">
        <f>VLOOKUP($B154,'Tillförd energi'!$B$1:$AI$720,MATCH(P$1,'Tillförd energi'!$B$1:$AQ$1,0),FALSE)</f>
        <v>7.48</v>
      </c>
      <c r="Q154" s="121">
        <f>VLOOKUP($B154,'Tillförd energi'!$B$1:$AI$720,MATCH(Q$1,'Tillförd energi'!$B$1:$AQ$1,0),FALSE)</f>
        <v>0</v>
      </c>
      <c r="R154" s="121">
        <f>VLOOKUP($B154,'Tillförd energi'!$B$1:$AI$720,MATCH(R$1,'Tillförd energi'!$B$1:$AQ$1,0),FALSE)</f>
        <v>0</v>
      </c>
      <c r="S154" s="121">
        <f>VLOOKUP($B154,'Tillförd energi'!$B$1:$AI$720,MATCH(S$1,'Tillförd energi'!$B$1:$AQ$1,0),FALSE)</f>
        <v>0</v>
      </c>
      <c r="T154" s="121">
        <f>VLOOKUP($B154,'Tillförd energi'!$B$1:$AI$720,MATCH(T$1,'Tillförd energi'!$B$1:$AQ$1,0),FALSE)</f>
        <v>0</v>
      </c>
      <c r="U154" s="121">
        <f>VLOOKUP($B154,'Tillförd energi'!$B$1:$AI$720,MATCH(U$1,'Tillförd energi'!$B$1:$AQ$1,0),FALSE)</f>
        <v>0</v>
      </c>
      <c r="V154" s="121">
        <f>VLOOKUP($B154,'Tillförd energi'!$B$1:$AI$720,MATCH(V$1,'Tillförd energi'!$B$1:$AQ$1,0),FALSE)</f>
        <v>0</v>
      </c>
      <c r="W154" s="121">
        <f>VLOOKUP($B154,'Tillförd energi'!$B$1:$AI$720,MATCH(W$1,'Tillförd energi'!$B$1:$AQ$1,0),FALSE)</f>
        <v>0</v>
      </c>
      <c r="X154" s="121">
        <f>VLOOKUP($B154,'Tillförd energi'!$B$1:$AI$720,MATCH(X$1,'Tillförd energi'!$B$1:$AQ$1,0),FALSE)</f>
        <v>0</v>
      </c>
      <c r="Y154" s="121">
        <f>VLOOKUP($B154,'Tillförd energi'!$B$1:$AI$720,MATCH(Y$1,'Tillförd energi'!$B$1:$AQ$1,0),FALSE)</f>
        <v>0</v>
      </c>
      <c r="Z154" s="121">
        <f>VLOOKUP($B154,'Tillförd energi'!$B$1:$AI$720,MATCH(Z$1,'Tillförd energi'!$B$1:$AQ$1,0),FALSE)</f>
        <v>0</v>
      </c>
      <c r="AA154" s="121">
        <f>VLOOKUP($B154,'Tillförd energi'!$B$1:$AI$720,MATCH(AA$1,'Tillförd energi'!$B$1:$AQ$1,0),FALSE)</f>
        <v>0</v>
      </c>
      <c r="AB154" s="121">
        <f>VLOOKUP($B154,'Tillförd energi'!$B$1:$AI$720,MATCH(AB$1,'Tillförd energi'!$B$1:$AQ$1,0),FALSE)</f>
        <v>0</v>
      </c>
      <c r="AC154" s="121">
        <f>VLOOKUP($B154,'Tillförd energi'!$B$1:$AI$720,MATCH(AC$1,'Tillförd energi'!$B$1:$AQ$1,0),FALSE)</f>
        <v>0</v>
      </c>
      <c r="AD154" s="121">
        <f>VLOOKUP($B154,'Tillförd energi'!$B$1:$AI$720,MATCH(AD$1,'Tillförd energi'!$B$1:$AQ$1,0),FALSE)</f>
        <v>0</v>
      </c>
      <c r="AE154" s="121">
        <f>VLOOKUP($B154,'Tillförd energi'!$B$1:$AI$720,MATCH(AE$1,'Tillförd energi'!$B$1:$AQ$1,0),FALSE)</f>
        <v>0</v>
      </c>
      <c r="AF154" s="121">
        <f>VLOOKUP($B154,'Tillförd energi'!$B$1:$AI$720,MATCH(AF$1,'Tillförd energi'!$B$1:$AQ$1,0),FALSE)</f>
        <v>0.114</v>
      </c>
      <c r="AG154" s="121">
        <f>IFERROR(VLOOKUP(B154,Miljö!$B$1:$AC$550,MATCH("Köpt mängd produktionsspecifik fjärrvärme:",Miljö!$B$1:$AC$1,0),FALSE)/1,0)</f>
        <v>0</v>
      </c>
      <c r="AH154" s="121"/>
      <c r="AI154" s="121">
        <f t="shared" si="44"/>
        <v>7.657</v>
      </c>
      <c r="AJ154" s="121">
        <f t="shared" si="45"/>
        <v>7.657</v>
      </c>
      <c r="AK154" s="121">
        <f>IF(ISERROR(1/VLOOKUP($B154,Leveranser!$B$1:$S$499,MATCH("såld värme (gwh)",Leveranser!$B$1:$S$1,0),FALSE)),"",VLOOKUP($B154,Leveranser!$B$1:$S$499,MATCH("såld värme (gwh)",Leveranser!$B$1:$S$1,0),FALSE))</f>
        <v>5.41</v>
      </c>
      <c r="AL154" s="121">
        <f>VLOOKUP($B154,Leveranser!$B$1:$Y$499,MATCH("Totalt såld fjärrvärme till andra fjärrvärmeföretag",Leveranser!$B$1:$AA$1,0),FALSE)</f>
        <v>0</v>
      </c>
      <c r="AM154" s="121">
        <f>IF(ISERROR(1/VLOOKUP($B154,Miljö!$B$1:$S$500,MATCH("Såld mängd produktionsspecifik fjärrvärme (GWh)",Miljö!$B$1:$R$1,0),FALSE)),0,VLOOKUP($B154,Miljö!$B$1:$S$500,MATCH("Såld mängd produktionsspecifik fjärrvärme (GWh)",Miljö!$B$1:$R$1,0),FALSE))</f>
        <v>0</v>
      </c>
      <c r="AN154" s="172">
        <f t="shared" si="46"/>
        <v>0.70654303251926343</v>
      </c>
      <c r="AO154" s="121"/>
      <c r="AP154" s="121" t="str">
        <f>IFERROR(VLOOKUP($B154,Miljövärden!$B$2:$H$550,7,FALSE),"Nej, saknas")</f>
        <v>Ja</v>
      </c>
      <c r="AQ154" s="121" t="str">
        <f>IFERROR(VLOOKUP($B154,Miljövärden!$B$2:$H$550,6,FALSE),"Nej, saknas")</f>
        <v>Nej</v>
      </c>
      <c r="AU154">
        <f t="shared" si="47"/>
        <v>0.114</v>
      </c>
      <c r="AV154">
        <f t="shared" si="48"/>
        <v>0</v>
      </c>
      <c r="AW154">
        <f t="shared" si="49"/>
        <v>7.48</v>
      </c>
      <c r="AX154">
        <f t="shared" si="50"/>
        <v>0</v>
      </c>
      <c r="AZ154">
        <f t="shared" si="51"/>
        <v>7.48</v>
      </c>
      <c r="BC154">
        <f t="shared" si="52"/>
        <v>6.3E-2</v>
      </c>
      <c r="BD154">
        <f t="shared" si="53"/>
        <v>0</v>
      </c>
      <c r="BE154">
        <f t="shared" si="54"/>
        <v>7.48</v>
      </c>
      <c r="BF154">
        <f t="shared" si="55"/>
        <v>0</v>
      </c>
      <c r="BG154">
        <f t="shared" si="56"/>
        <v>0.114</v>
      </c>
      <c r="BH154">
        <f>VLOOKUP(B154,Miljö!$B$1:$BX$482,MATCH("Fossilandel för ursprungspecificerad el ()",Miljö!$B$1:$I$1,0),FALSE)</f>
        <v>0</v>
      </c>
      <c r="BI154">
        <f>VLOOKUP(B154,Miljö!$B$1:$BX$482,MATCH("Kärnkraftsandel för ursprungsspecificerad el ()",Miljö!$B$1:$O$1,0),FALSE)</f>
        <v>0</v>
      </c>
      <c r="BJ154">
        <f t="shared" si="57"/>
        <v>0</v>
      </c>
      <c r="BK154" t="str">
        <f>VLOOKUP(B154,Miljö!$B$1:$O$482,MATCH("Fossil andel i procent (%)",Miljö!$B$1:$O$1,0),FALSE)</f>
        <v>ET</v>
      </c>
      <c r="BL154">
        <f t="shared" si="58"/>
        <v>7.657</v>
      </c>
      <c r="BO154" s="18">
        <f t="shared" si="59"/>
        <v>8.2277654433851374E-3</v>
      </c>
      <c r="BP154" s="18">
        <f t="shared" si="60"/>
        <v>0</v>
      </c>
      <c r="BQ154" s="18">
        <f t="shared" si="61"/>
        <v>0.9917722345566149</v>
      </c>
      <c r="BR154" s="18">
        <f t="shared" si="62"/>
        <v>0</v>
      </c>
      <c r="BT154" s="27">
        <f t="shared" si="63"/>
        <v>1</v>
      </c>
      <c r="BW154" s="18">
        <f>IF(AP154="ja",VLOOKUP(B154,Miljövärden!$B$2:$H$550,MATCH("Total andel fossilt",Miljövärden!$B$2:$H$2,0),FALSE),"")</f>
        <v>8.2277700000000006E-3</v>
      </c>
      <c r="BZ154" s="28">
        <f t="shared" si="64"/>
        <v>4.5566148632047998E-9</v>
      </c>
      <c r="CA154" s="28">
        <f t="shared" si="65"/>
        <v>0</v>
      </c>
    </row>
    <row r="155" spans="1:79" x14ac:dyDescent="0.25">
      <c r="A155" s="224" t="s">
        <v>411</v>
      </c>
      <c r="B155" s="210" t="s">
        <v>412</v>
      </c>
      <c r="C155" s="121">
        <f>VLOOKUP($B155,'Tillförd energi'!$B$1:$AI$720,MATCH(C$1,'Tillförd energi'!$B$1:$AQ$1,0),FALSE)</f>
        <v>0</v>
      </c>
      <c r="D155" s="121">
        <f>VLOOKUP($B155,'Tillförd energi'!$B$1:$AI$720,MATCH(D$1,'Tillförd energi'!$B$1:$AQ$1,0),FALSE)</f>
        <v>0.39</v>
      </c>
      <c r="E155" s="121">
        <f>VLOOKUP($B155,'Tillförd energi'!$B$1:$AI$720,MATCH(E$1,'Tillförd energi'!$B$1:$AQ$1,0),FALSE)</f>
        <v>0</v>
      </c>
      <c r="F155" s="121">
        <f>VLOOKUP($B155,'Tillförd energi'!$B$1:$AI$720,MATCH(F$1,'Tillförd energi'!$B$1:$AQ$1,0),FALSE)</f>
        <v>0</v>
      </c>
      <c r="G155" s="121">
        <f>VLOOKUP($B155,'Tillförd energi'!$B$1:$AI$720,MATCH(G$1,'Tillförd energi'!$B$1:$AQ$1,0),FALSE)</f>
        <v>0</v>
      </c>
      <c r="H155" s="121">
        <f>VLOOKUP($B155,'Tillförd energi'!$B$1:$AI$720,MATCH(H$1,'Tillförd energi'!$B$1:$AQ$1,0),FALSE)</f>
        <v>0</v>
      </c>
      <c r="I155" s="121">
        <f>VLOOKUP($B155,'Tillförd energi'!$B$1:$AI$720,MATCH(I$1,'Tillförd energi'!$B$1:$AQ$1,0),FALSE)</f>
        <v>0</v>
      </c>
      <c r="J155" s="121">
        <f>VLOOKUP($B155,'Tillförd energi'!$B$1:$AI$720,MATCH(J$1,'Tillförd energi'!$B$1:$AQ$1,0),FALSE)</f>
        <v>0</v>
      </c>
      <c r="K155" s="121">
        <f>VLOOKUP($B155,'Tillförd energi'!$B$1:$AI$720,MATCH(K$1,'Tillförd energi'!$B$1:$AQ$1,0),FALSE)</f>
        <v>0</v>
      </c>
      <c r="L155" s="121">
        <f>VLOOKUP($B155,'Tillförd energi'!$B$1:$AI$720,MATCH(L$1,'Tillförd energi'!$B$1:$AQ$1,0),FALSE)</f>
        <v>0</v>
      </c>
      <c r="M155" s="121">
        <f>VLOOKUP($B155,'Tillförd energi'!$B$1:$AI$720,MATCH(M$1,'Tillförd energi'!$B$1:$AQ$1,0),FALSE)</f>
        <v>0</v>
      </c>
      <c r="N155" s="121">
        <f>VLOOKUP($B155,'Tillförd energi'!$B$1:$AI$720,MATCH(N$1,'Tillförd energi'!$B$1:$AQ$1,0),FALSE)</f>
        <v>0</v>
      </c>
      <c r="O155" s="121">
        <f>VLOOKUP($B155,'Tillförd energi'!$B$1:$AI$720,MATCH(O$1,'Tillförd energi'!$B$1:$AQ$1,0),FALSE)</f>
        <v>0</v>
      </c>
      <c r="P155" s="121">
        <f>VLOOKUP($B155,'Tillförd energi'!$B$1:$AI$720,MATCH(P$1,'Tillförd energi'!$B$1:$AQ$1,0),FALSE)</f>
        <v>0</v>
      </c>
      <c r="Q155" s="121">
        <f>VLOOKUP($B155,'Tillförd energi'!$B$1:$AI$720,MATCH(Q$1,'Tillförd energi'!$B$1:$AQ$1,0),FALSE)</f>
        <v>0</v>
      </c>
      <c r="R155" s="121">
        <f>VLOOKUP($B155,'Tillförd energi'!$B$1:$AI$720,MATCH(R$1,'Tillförd energi'!$B$1:$AQ$1,0),FALSE)</f>
        <v>5.7469999999999999</v>
      </c>
      <c r="S155" s="121">
        <f>VLOOKUP($B155,'Tillförd energi'!$B$1:$AI$720,MATCH(S$1,'Tillförd energi'!$B$1:$AQ$1,0),FALSE)</f>
        <v>31.108000000000001</v>
      </c>
      <c r="T155" s="121">
        <f>VLOOKUP($B155,'Tillförd energi'!$B$1:$AI$720,MATCH(T$1,'Tillförd energi'!$B$1:$AQ$1,0),FALSE)</f>
        <v>0</v>
      </c>
      <c r="U155" s="121">
        <f>VLOOKUP($B155,'Tillförd energi'!$B$1:$AI$720,MATCH(U$1,'Tillförd energi'!$B$1:$AQ$1,0),FALSE)</f>
        <v>0</v>
      </c>
      <c r="V155" s="121">
        <f>VLOOKUP($B155,'Tillförd energi'!$B$1:$AI$720,MATCH(V$1,'Tillförd energi'!$B$1:$AQ$1,0),FALSE)</f>
        <v>0</v>
      </c>
      <c r="W155" s="121">
        <f>VLOOKUP($B155,'Tillförd energi'!$B$1:$AI$720,MATCH(W$1,'Tillförd energi'!$B$1:$AQ$1,0),FALSE)</f>
        <v>0</v>
      </c>
      <c r="X155" s="121">
        <f>VLOOKUP($B155,'Tillförd energi'!$B$1:$AI$720,MATCH(X$1,'Tillförd energi'!$B$1:$AQ$1,0),FALSE)</f>
        <v>0</v>
      </c>
      <c r="Y155" s="121">
        <f>VLOOKUP($B155,'Tillförd energi'!$B$1:$AI$720,MATCH(Y$1,'Tillförd energi'!$B$1:$AQ$1,0),FALSE)</f>
        <v>0</v>
      </c>
      <c r="Z155" s="121">
        <f>VLOOKUP($B155,'Tillförd energi'!$B$1:$AI$720,MATCH(Z$1,'Tillförd energi'!$B$1:$AQ$1,0),FALSE)</f>
        <v>0</v>
      </c>
      <c r="AA155" s="121">
        <f>VLOOKUP($B155,'Tillförd energi'!$B$1:$AI$720,MATCH(AA$1,'Tillförd energi'!$B$1:$AQ$1,0),FALSE)</f>
        <v>0</v>
      </c>
      <c r="AB155" s="121">
        <f>VLOOKUP($B155,'Tillförd energi'!$B$1:$AI$720,MATCH(AB$1,'Tillförd energi'!$B$1:$AQ$1,0),FALSE)</f>
        <v>0</v>
      </c>
      <c r="AC155" s="121">
        <f>VLOOKUP($B155,'Tillförd energi'!$B$1:$AI$720,MATCH(AC$1,'Tillförd energi'!$B$1:$AQ$1,0),FALSE)</f>
        <v>0</v>
      </c>
      <c r="AD155" s="121">
        <f>VLOOKUP($B155,'Tillförd energi'!$B$1:$AI$720,MATCH(AD$1,'Tillförd energi'!$B$1:$AQ$1,0),FALSE)</f>
        <v>0</v>
      </c>
      <c r="AE155" s="121">
        <f>VLOOKUP($B155,'Tillförd energi'!$B$1:$AI$720,MATCH(AE$1,'Tillförd energi'!$B$1:$AQ$1,0),FALSE)</f>
        <v>0</v>
      </c>
      <c r="AF155" s="121">
        <f>VLOOKUP($B155,'Tillförd energi'!$B$1:$AI$720,MATCH(AF$1,'Tillförd energi'!$B$1:$AQ$1,0),FALSE)</f>
        <v>0.47899999999999998</v>
      </c>
      <c r="AG155" s="121">
        <f>IFERROR(VLOOKUP(B155,Miljö!$B$1:$AC$550,MATCH("Köpt mängd produktionsspecifik fjärrvärme:",Miljö!$B$1:$AC$1,0),FALSE)/1,0)</f>
        <v>0</v>
      </c>
      <c r="AH155" s="121"/>
      <c r="AI155" s="121">
        <f t="shared" si="44"/>
        <v>37.723999999999997</v>
      </c>
      <c r="AJ155" s="121">
        <f t="shared" si="45"/>
        <v>37.723999999999997</v>
      </c>
      <c r="AK155" s="121">
        <f>IF(ISERROR(1/VLOOKUP($B155,Leveranser!$B$1:$S$499,MATCH("såld värme (gwh)",Leveranser!$B$1:$S$1,0),FALSE)),"",VLOOKUP($B155,Leveranser!$B$1:$S$499,MATCH("såld värme (gwh)",Leveranser!$B$1:$S$1,0),FALSE))</f>
        <v>29.670999999999999</v>
      </c>
      <c r="AL155" s="121">
        <f>VLOOKUP($B155,Leveranser!$B$1:$Y$499,MATCH("Totalt såld fjärrvärme till andra fjärrvärmeföretag",Leveranser!$B$1:$AA$1,0),FALSE)</f>
        <v>0</v>
      </c>
      <c r="AM155" s="121">
        <f>IF(ISERROR(1/VLOOKUP($B155,Miljö!$B$1:$S$500,MATCH("Såld mängd produktionsspecifik fjärrvärme (GWh)",Miljö!$B$1:$R$1,0),FALSE)),0,VLOOKUP($B155,Miljö!$B$1:$S$500,MATCH("Såld mängd produktionsspecifik fjärrvärme (GWh)",Miljö!$B$1:$R$1,0),FALSE))</f>
        <v>0</v>
      </c>
      <c r="AN155" s="172">
        <f t="shared" si="46"/>
        <v>0.78652846993956105</v>
      </c>
      <c r="AO155" s="121"/>
      <c r="AP155" s="121" t="str">
        <f>IFERROR(VLOOKUP($B155,Miljövärden!$B$2:$H$550,7,FALSE),"Nej, saknas")</f>
        <v>Ja</v>
      </c>
      <c r="AQ155" s="121" t="str">
        <f>IFERROR(VLOOKUP($B155,Miljövärden!$B$2:$H$550,6,FALSE),"Nej, saknas")</f>
        <v>Nej</v>
      </c>
      <c r="AU155">
        <f t="shared" si="47"/>
        <v>0.47899999999999998</v>
      </c>
      <c r="AV155">
        <f t="shared" si="48"/>
        <v>0</v>
      </c>
      <c r="AW155">
        <f t="shared" si="49"/>
        <v>0</v>
      </c>
      <c r="AX155">
        <f t="shared" si="50"/>
        <v>36.855000000000004</v>
      </c>
      <c r="AZ155">
        <f t="shared" si="51"/>
        <v>36.855000000000004</v>
      </c>
      <c r="BC155">
        <f t="shared" si="52"/>
        <v>0.39</v>
      </c>
      <c r="BD155">
        <f t="shared" si="53"/>
        <v>0</v>
      </c>
      <c r="BE155">
        <f t="shared" si="54"/>
        <v>36.855000000000004</v>
      </c>
      <c r="BF155">
        <f t="shared" si="55"/>
        <v>0</v>
      </c>
      <c r="BG155">
        <f t="shared" si="56"/>
        <v>0.47899999999999998</v>
      </c>
      <c r="BH155">
        <f>VLOOKUP(B155,Miljö!$B$1:$BX$482,MATCH("Fossilandel för ursprungspecificerad el ()",Miljö!$B$1:$I$1,0),FALSE)</f>
        <v>0</v>
      </c>
      <c r="BI155">
        <f>VLOOKUP(B155,Miljö!$B$1:$BX$482,MATCH("Kärnkraftsandel för ursprungsspecificerad el ()",Miljö!$B$1:$O$1,0),FALSE)</f>
        <v>0</v>
      </c>
      <c r="BJ155">
        <f t="shared" si="57"/>
        <v>0</v>
      </c>
      <c r="BK155" t="str">
        <f>VLOOKUP(B155,Miljö!$B$1:$O$482,MATCH("Fossil andel i procent (%)",Miljö!$B$1:$O$1,0),FALSE)</f>
        <v>ET</v>
      </c>
      <c r="BL155">
        <f t="shared" si="58"/>
        <v>37.724000000000004</v>
      </c>
      <c r="BO155" s="18">
        <f t="shared" si="59"/>
        <v>1.0338246209309723E-2</v>
      </c>
      <c r="BP155" s="18">
        <f t="shared" si="60"/>
        <v>0</v>
      </c>
      <c r="BQ155" s="18">
        <f t="shared" si="61"/>
        <v>0.98966175379069021</v>
      </c>
      <c r="BR155" s="18">
        <f t="shared" si="62"/>
        <v>0</v>
      </c>
      <c r="BT155" s="27">
        <f t="shared" si="63"/>
        <v>0.99999999999999989</v>
      </c>
      <c r="BW155" s="18">
        <f>IF(AP155="ja",VLOOKUP(B155,Miljövärden!$B$2:$H$550,MATCH("Total andel fossilt",Miljövärden!$B$2:$H$2,0),FALSE),"")</f>
        <v>1.0338200000000001E-2</v>
      </c>
      <c r="BZ155" s="28">
        <f t="shared" si="64"/>
        <v>-4.6209309722405889E-8</v>
      </c>
      <c r="CA155" s="28">
        <f t="shared" si="65"/>
        <v>0</v>
      </c>
    </row>
    <row r="156" spans="1:79" x14ac:dyDescent="0.25">
      <c r="A156" s="224" t="s">
        <v>413</v>
      </c>
      <c r="B156" s="210" t="s">
        <v>93</v>
      </c>
      <c r="C156" s="121">
        <f>VLOOKUP($B156,'Tillförd energi'!$B$1:$AI$720,MATCH(C$1,'Tillförd energi'!$B$1:$AQ$1,0),FALSE)</f>
        <v>0</v>
      </c>
      <c r="D156" s="121">
        <f>VLOOKUP($B156,'Tillförd energi'!$B$1:$AI$720,MATCH(D$1,'Tillförd energi'!$B$1:$AQ$1,0),FALSE)</f>
        <v>0</v>
      </c>
      <c r="E156" s="121">
        <f>VLOOKUP($B156,'Tillförd energi'!$B$1:$AI$720,MATCH(E$1,'Tillförd energi'!$B$1:$AQ$1,0),FALSE)</f>
        <v>0</v>
      </c>
      <c r="F156" s="121">
        <f>VLOOKUP($B156,'Tillförd energi'!$B$1:$AI$720,MATCH(F$1,'Tillförd energi'!$B$1:$AQ$1,0),FALSE)</f>
        <v>0</v>
      </c>
      <c r="G156" s="121">
        <f>VLOOKUP($B156,'Tillförd energi'!$B$1:$AI$720,MATCH(G$1,'Tillförd energi'!$B$1:$AQ$1,0),FALSE)</f>
        <v>0</v>
      </c>
      <c r="H156" s="121">
        <f>VLOOKUP($B156,'Tillförd energi'!$B$1:$AI$720,MATCH(H$1,'Tillförd energi'!$B$1:$AQ$1,0),FALSE)</f>
        <v>0</v>
      </c>
      <c r="I156" s="121">
        <f>VLOOKUP($B156,'Tillförd energi'!$B$1:$AI$720,MATCH(I$1,'Tillförd energi'!$B$1:$AQ$1,0),FALSE)</f>
        <v>0</v>
      </c>
      <c r="J156" s="121">
        <f>VLOOKUP($B156,'Tillförd energi'!$B$1:$AI$720,MATCH(J$1,'Tillförd energi'!$B$1:$AQ$1,0),FALSE)</f>
        <v>0</v>
      </c>
      <c r="K156" s="121">
        <f>VLOOKUP($B156,'Tillförd energi'!$B$1:$AI$720,MATCH(K$1,'Tillförd energi'!$B$1:$AQ$1,0),FALSE)</f>
        <v>0</v>
      </c>
      <c r="L156" s="121">
        <f>VLOOKUP($B156,'Tillförd energi'!$B$1:$AI$720,MATCH(L$1,'Tillförd energi'!$B$1:$AQ$1,0),FALSE)</f>
        <v>0</v>
      </c>
      <c r="M156" s="121">
        <f>VLOOKUP($B156,'Tillförd energi'!$B$1:$AI$720,MATCH(M$1,'Tillförd energi'!$B$1:$AQ$1,0),FALSE)</f>
        <v>0</v>
      </c>
      <c r="N156" s="121">
        <f>VLOOKUP($B156,'Tillförd energi'!$B$1:$AI$720,MATCH(N$1,'Tillförd energi'!$B$1:$AQ$1,0),FALSE)</f>
        <v>0</v>
      </c>
      <c r="O156" s="121">
        <f>VLOOKUP($B156,'Tillförd energi'!$B$1:$AI$720,MATCH(O$1,'Tillförd energi'!$B$1:$AQ$1,0),FALSE)</f>
        <v>0</v>
      </c>
      <c r="P156" s="121">
        <f>VLOOKUP($B156,'Tillförd energi'!$B$1:$AI$720,MATCH(P$1,'Tillförd energi'!$B$1:$AQ$1,0),FALSE)</f>
        <v>0</v>
      </c>
      <c r="Q156" s="121">
        <f>VLOOKUP($B156,'Tillförd energi'!$B$1:$AI$720,MATCH(Q$1,'Tillförd energi'!$B$1:$AQ$1,0),FALSE)</f>
        <v>0</v>
      </c>
      <c r="R156" s="121">
        <f>VLOOKUP($B156,'Tillförd energi'!$B$1:$AI$720,MATCH(R$1,'Tillförd energi'!$B$1:$AQ$1,0),FALSE)</f>
        <v>0</v>
      </c>
      <c r="S156" s="121">
        <f>VLOOKUP($B156,'Tillförd energi'!$B$1:$AI$720,MATCH(S$1,'Tillförd energi'!$B$1:$AQ$1,0),FALSE)</f>
        <v>0</v>
      </c>
      <c r="T156" s="121">
        <f>VLOOKUP($B156,'Tillförd energi'!$B$1:$AI$720,MATCH(T$1,'Tillförd energi'!$B$1:$AQ$1,0),FALSE)</f>
        <v>0</v>
      </c>
      <c r="U156" s="121">
        <f>VLOOKUP($B156,'Tillförd energi'!$B$1:$AI$720,MATCH(U$1,'Tillförd energi'!$B$1:$AQ$1,0),FALSE)</f>
        <v>0</v>
      </c>
      <c r="V156" s="121">
        <f>VLOOKUP($B156,'Tillförd energi'!$B$1:$AI$720,MATCH(V$1,'Tillförd energi'!$B$1:$AQ$1,0),FALSE)</f>
        <v>0</v>
      </c>
      <c r="W156" s="121">
        <f>VLOOKUP($B156,'Tillförd energi'!$B$1:$AI$720,MATCH(W$1,'Tillförd energi'!$B$1:$AQ$1,0),FALSE)</f>
        <v>0</v>
      </c>
      <c r="X156" s="121">
        <f>VLOOKUP($B156,'Tillförd energi'!$B$1:$AI$720,MATCH(X$1,'Tillförd energi'!$B$1:$AQ$1,0),FALSE)</f>
        <v>0</v>
      </c>
      <c r="Y156" s="121">
        <f>VLOOKUP($B156,'Tillförd energi'!$B$1:$AI$720,MATCH(Y$1,'Tillförd energi'!$B$1:$AQ$1,0),FALSE)</f>
        <v>0</v>
      </c>
      <c r="Z156" s="121">
        <f>VLOOKUP($B156,'Tillförd energi'!$B$1:$AI$720,MATCH(Z$1,'Tillförd energi'!$B$1:$AQ$1,0),FALSE)</f>
        <v>0</v>
      </c>
      <c r="AA156" s="121">
        <f>VLOOKUP($B156,'Tillförd energi'!$B$1:$AI$720,MATCH(AA$1,'Tillförd energi'!$B$1:$AQ$1,0),FALSE)</f>
        <v>0</v>
      </c>
      <c r="AB156" s="121">
        <f>VLOOKUP($B156,'Tillförd energi'!$B$1:$AI$720,MATCH(AB$1,'Tillförd energi'!$B$1:$AQ$1,0),FALSE)</f>
        <v>0</v>
      </c>
      <c r="AC156" s="121">
        <f>VLOOKUP($B156,'Tillförd energi'!$B$1:$AI$720,MATCH(AC$1,'Tillförd energi'!$B$1:$AQ$1,0),FALSE)</f>
        <v>0</v>
      </c>
      <c r="AD156" s="121">
        <f>VLOOKUP($B156,'Tillförd energi'!$B$1:$AI$720,MATCH(AD$1,'Tillförd energi'!$B$1:$AQ$1,0),FALSE)</f>
        <v>0</v>
      </c>
      <c r="AE156" s="121">
        <f>VLOOKUP($B156,'Tillförd energi'!$B$1:$AI$720,MATCH(AE$1,'Tillförd energi'!$B$1:$AQ$1,0),FALSE)</f>
        <v>0</v>
      </c>
      <c r="AF156" s="121">
        <f>VLOOKUP($B156,'Tillförd energi'!$B$1:$AI$720,MATCH(AF$1,'Tillförd energi'!$B$1:$AQ$1,0),FALSE)</f>
        <v>0</v>
      </c>
      <c r="AG156" s="121">
        <f>IFERROR(VLOOKUP(B156,Miljö!$B$1:$AC$550,MATCH("Köpt mängd produktionsspecifik fjärrvärme:",Miljö!$B$1:$AC$1,0),FALSE)/1,0)</f>
        <v>0</v>
      </c>
      <c r="AH156" s="121"/>
      <c r="AI156" s="121">
        <f t="shared" si="44"/>
        <v>0</v>
      </c>
      <c r="AJ156" s="121">
        <f t="shared" si="45"/>
        <v>0</v>
      </c>
      <c r="AK156" s="121" t="str">
        <f>IF(ISERROR(1/VLOOKUP($B156,Leveranser!$B$1:$S$499,MATCH("såld värme (gwh)",Leveranser!$B$1:$S$1,0),FALSE)),"",VLOOKUP($B156,Leveranser!$B$1:$S$499,MATCH("såld värme (gwh)",Leveranser!$B$1:$S$1,0),FALSE))</f>
        <v/>
      </c>
      <c r="AL156" s="121">
        <f>VLOOKUP($B156,Leveranser!$B$1:$Y$499,MATCH("Totalt såld fjärrvärme till andra fjärrvärmeföretag",Leveranser!$B$1:$AA$1,0),FALSE)</f>
        <v>0</v>
      </c>
      <c r="AM156" s="121">
        <f>IF(ISERROR(1/VLOOKUP($B156,Miljö!$B$1:$S$500,MATCH("Såld mängd produktionsspecifik fjärrvärme (GWh)",Miljö!$B$1:$R$1,0),FALSE)),0,VLOOKUP($B156,Miljö!$B$1:$S$500,MATCH("Såld mängd produktionsspecifik fjärrvärme (GWh)",Miljö!$B$1:$R$1,0),FALSE))</f>
        <v>0</v>
      </c>
      <c r="AN156" s="172" t="str">
        <f t="shared" si="46"/>
        <v/>
      </c>
      <c r="AO156" s="121"/>
      <c r="AP156" s="121" t="str">
        <f>IFERROR(VLOOKUP($B156,Miljövärden!$B$2:$H$550,7,FALSE),"Nej, saknas")</f>
        <v>Nej</v>
      </c>
      <c r="AQ156" s="121" t="str">
        <f>IFERROR(VLOOKUP($B156,Miljövärden!$B$2:$H$550,6,FALSE),"Nej, saknas")</f>
        <v>Nej</v>
      </c>
      <c r="AU156">
        <f t="shared" si="47"/>
        <v>0</v>
      </c>
      <c r="AV156">
        <f t="shared" si="48"/>
        <v>0</v>
      </c>
      <c r="AW156">
        <f t="shared" si="49"/>
        <v>0</v>
      </c>
      <c r="AX156">
        <f t="shared" si="50"/>
        <v>0</v>
      </c>
      <c r="AZ156">
        <f t="shared" si="51"/>
        <v>0</v>
      </c>
      <c r="BC156">
        <f t="shared" si="52"/>
        <v>0</v>
      </c>
      <c r="BD156">
        <f t="shared" si="53"/>
        <v>0</v>
      </c>
      <c r="BE156">
        <f t="shared" si="54"/>
        <v>0</v>
      </c>
      <c r="BF156">
        <f t="shared" si="55"/>
        <v>0</v>
      </c>
      <c r="BG156">
        <f t="shared" si="56"/>
        <v>0</v>
      </c>
      <c r="BH156" t="str">
        <f>VLOOKUP(B156,Miljö!$B$1:$BX$482,MATCH("Fossilandel för ursprungspecificerad el ()",Miljö!$B$1:$I$1,0),FALSE)</f>
        <v>-</v>
      </c>
      <c r="BI156" t="str">
        <f>VLOOKUP(B156,Miljö!$B$1:$BX$482,MATCH("Kärnkraftsandel för ursprungsspecificerad el ()",Miljö!$B$1:$O$1,0),FALSE)</f>
        <v>-</v>
      </c>
      <c r="BJ156">
        <f t="shared" si="57"/>
        <v>0</v>
      </c>
      <c r="BK156" t="str">
        <f>VLOOKUP(B156,Miljö!$B$1:$O$482,MATCH("Fossil andel i procent (%)",Miljö!$B$1:$O$1,0),FALSE)</f>
        <v>-</v>
      </c>
      <c r="BL156">
        <f t="shared" si="58"/>
        <v>0</v>
      </c>
      <c r="BO156" s="18" t="str">
        <f t="shared" si="59"/>
        <v/>
      </c>
      <c r="BP156" s="18" t="str">
        <f t="shared" si="60"/>
        <v/>
      </c>
      <c r="BQ156" s="18" t="str">
        <f t="shared" si="61"/>
        <v/>
      </c>
      <c r="BR156" s="18" t="str">
        <f t="shared" si="62"/>
        <v/>
      </c>
      <c r="BT156" s="27">
        <f t="shared" si="63"/>
        <v>0</v>
      </c>
      <c r="BW156" s="18" t="str">
        <f>IF(AP156="ja",VLOOKUP(B156,Miljövärden!$B$2:$H$550,MATCH("Total andel fossilt",Miljövärden!$B$2:$H$2,0),FALSE),"")</f>
        <v/>
      </c>
      <c r="BZ156" s="28" t="str">
        <f t="shared" si="64"/>
        <v/>
      </c>
      <c r="CA156" s="28" t="str">
        <f t="shared" si="65"/>
        <v/>
      </c>
    </row>
    <row r="157" spans="1:79" x14ac:dyDescent="0.25">
      <c r="A157" s="224" t="s">
        <v>414</v>
      </c>
      <c r="B157" s="210" t="s">
        <v>415</v>
      </c>
      <c r="C157" s="121">
        <f>VLOOKUP($B157,'Tillförd energi'!$B$1:$AI$720,MATCH(C$1,'Tillförd energi'!$B$1:$AQ$1,0),FALSE)</f>
        <v>0</v>
      </c>
      <c r="D157" s="121">
        <f>VLOOKUP($B157,'Tillförd energi'!$B$1:$AI$720,MATCH(D$1,'Tillförd energi'!$B$1:$AQ$1,0),FALSE)</f>
        <v>0.9</v>
      </c>
      <c r="E157" s="121">
        <f>VLOOKUP($B157,'Tillförd energi'!$B$1:$AI$720,MATCH(E$1,'Tillförd energi'!$B$1:$AQ$1,0),FALSE)</f>
        <v>0</v>
      </c>
      <c r="F157" s="121">
        <f>VLOOKUP($B157,'Tillförd energi'!$B$1:$AI$720,MATCH(F$1,'Tillförd energi'!$B$1:$AQ$1,0),FALSE)</f>
        <v>0</v>
      </c>
      <c r="G157" s="121">
        <f>VLOOKUP($B157,'Tillförd energi'!$B$1:$AI$720,MATCH(G$1,'Tillförd energi'!$B$1:$AQ$1,0),FALSE)</f>
        <v>0</v>
      </c>
      <c r="H157" s="121">
        <f>VLOOKUP($B157,'Tillförd energi'!$B$1:$AI$720,MATCH(H$1,'Tillförd energi'!$B$1:$AQ$1,0),FALSE)</f>
        <v>0</v>
      </c>
      <c r="I157" s="121">
        <f>VLOOKUP($B157,'Tillförd energi'!$B$1:$AI$720,MATCH(I$1,'Tillförd energi'!$B$1:$AQ$1,0),FALSE)</f>
        <v>0</v>
      </c>
      <c r="J157" s="121">
        <f>VLOOKUP($B157,'Tillförd energi'!$B$1:$AI$720,MATCH(J$1,'Tillförd energi'!$B$1:$AQ$1,0),FALSE)</f>
        <v>0</v>
      </c>
      <c r="K157" s="121">
        <f>VLOOKUP($B157,'Tillförd energi'!$B$1:$AI$720,MATCH(K$1,'Tillförd energi'!$B$1:$AQ$1,0),FALSE)</f>
        <v>0</v>
      </c>
      <c r="L157" s="121">
        <f>VLOOKUP($B157,'Tillförd energi'!$B$1:$AI$720,MATCH(L$1,'Tillförd energi'!$B$1:$AQ$1,0),FALSE)</f>
        <v>0</v>
      </c>
      <c r="M157" s="121">
        <f>VLOOKUP($B157,'Tillförd energi'!$B$1:$AI$720,MATCH(M$1,'Tillförd energi'!$B$1:$AQ$1,0),FALSE)</f>
        <v>0</v>
      </c>
      <c r="N157" s="121">
        <f>VLOOKUP($B157,'Tillförd energi'!$B$1:$AI$720,MATCH(N$1,'Tillförd energi'!$B$1:$AQ$1,0),FALSE)</f>
        <v>0</v>
      </c>
      <c r="O157" s="121">
        <f>VLOOKUP($B157,'Tillförd energi'!$B$1:$AI$720,MATCH(O$1,'Tillförd energi'!$B$1:$AQ$1,0),FALSE)</f>
        <v>0</v>
      </c>
      <c r="P157" s="121">
        <f>VLOOKUP($B157,'Tillförd energi'!$B$1:$AI$720,MATCH(P$1,'Tillförd energi'!$B$1:$AQ$1,0),FALSE)</f>
        <v>9</v>
      </c>
      <c r="Q157" s="121">
        <f>VLOOKUP($B157,'Tillförd energi'!$B$1:$AI$720,MATCH(Q$1,'Tillförd energi'!$B$1:$AQ$1,0),FALSE)</f>
        <v>0</v>
      </c>
      <c r="R157" s="121">
        <f>VLOOKUP($B157,'Tillförd energi'!$B$1:$AI$720,MATCH(R$1,'Tillförd energi'!$B$1:$AQ$1,0),FALSE)</f>
        <v>0.1</v>
      </c>
      <c r="S157" s="121">
        <f>VLOOKUP($B157,'Tillförd energi'!$B$1:$AI$720,MATCH(S$1,'Tillförd energi'!$B$1:$AQ$1,0),FALSE)</f>
        <v>0</v>
      </c>
      <c r="T157" s="121">
        <f>VLOOKUP($B157,'Tillförd energi'!$B$1:$AI$720,MATCH(T$1,'Tillförd energi'!$B$1:$AQ$1,0),FALSE)</f>
        <v>0</v>
      </c>
      <c r="U157" s="121">
        <f>VLOOKUP($B157,'Tillförd energi'!$B$1:$AI$720,MATCH(U$1,'Tillförd energi'!$B$1:$AQ$1,0),FALSE)</f>
        <v>0</v>
      </c>
      <c r="V157" s="121">
        <f>VLOOKUP($B157,'Tillförd energi'!$B$1:$AI$720,MATCH(V$1,'Tillförd energi'!$B$1:$AQ$1,0),FALSE)</f>
        <v>0</v>
      </c>
      <c r="W157" s="121">
        <f>VLOOKUP($B157,'Tillförd energi'!$B$1:$AI$720,MATCH(W$1,'Tillförd energi'!$B$1:$AQ$1,0),FALSE)</f>
        <v>0</v>
      </c>
      <c r="X157" s="121">
        <f>VLOOKUP($B157,'Tillförd energi'!$B$1:$AI$720,MATCH(X$1,'Tillförd energi'!$B$1:$AQ$1,0),FALSE)</f>
        <v>0</v>
      </c>
      <c r="Y157" s="121">
        <f>VLOOKUP($B157,'Tillförd energi'!$B$1:$AI$720,MATCH(Y$1,'Tillförd energi'!$B$1:$AQ$1,0),FALSE)</f>
        <v>0</v>
      </c>
      <c r="Z157" s="121">
        <f>VLOOKUP($B157,'Tillförd energi'!$B$1:$AI$720,MATCH(Z$1,'Tillförd energi'!$B$1:$AQ$1,0),FALSE)</f>
        <v>0</v>
      </c>
      <c r="AA157" s="121">
        <f>VLOOKUP($B157,'Tillförd energi'!$B$1:$AI$720,MATCH(AA$1,'Tillförd energi'!$B$1:$AQ$1,0),FALSE)</f>
        <v>0</v>
      </c>
      <c r="AB157" s="121">
        <f>VLOOKUP($B157,'Tillförd energi'!$B$1:$AI$720,MATCH(AB$1,'Tillförd energi'!$B$1:$AQ$1,0),FALSE)</f>
        <v>0</v>
      </c>
      <c r="AC157" s="121">
        <f>VLOOKUP($B157,'Tillförd energi'!$B$1:$AI$720,MATCH(AC$1,'Tillförd energi'!$B$1:$AQ$1,0),FALSE)</f>
        <v>0</v>
      </c>
      <c r="AD157" s="121">
        <f>VLOOKUP($B157,'Tillförd energi'!$B$1:$AI$720,MATCH(AD$1,'Tillförd energi'!$B$1:$AQ$1,0),FALSE)</f>
        <v>0</v>
      </c>
      <c r="AE157" s="121">
        <f>VLOOKUP($B157,'Tillförd energi'!$B$1:$AI$720,MATCH(AE$1,'Tillförd energi'!$B$1:$AQ$1,0),FALSE)</f>
        <v>0</v>
      </c>
      <c r="AF157" s="121">
        <f>VLOOKUP($B157,'Tillförd energi'!$B$1:$AI$720,MATCH(AF$1,'Tillförd energi'!$B$1:$AQ$1,0),FALSE)</f>
        <v>0.216</v>
      </c>
      <c r="AG157" s="121">
        <f>IFERROR(VLOOKUP(B157,Miljö!$B$1:$AC$550,MATCH("Köpt mängd produktionsspecifik fjärrvärme:",Miljö!$B$1:$AC$1,0),FALSE)/1,0)</f>
        <v>0</v>
      </c>
      <c r="AH157" s="121"/>
      <c r="AI157" s="121">
        <f t="shared" si="44"/>
        <v>10.215999999999999</v>
      </c>
      <c r="AJ157" s="121">
        <f t="shared" si="45"/>
        <v>10.215999999999999</v>
      </c>
      <c r="AK157" s="121">
        <f>IF(ISERROR(1/VLOOKUP($B157,Leveranser!$B$1:$S$499,MATCH("såld värme (gwh)",Leveranser!$B$1:$S$1,0),FALSE)),"",VLOOKUP($B157,Leveranser!$B$1:$S$499,MATCH("såld värme (gwh)",Leveranser!$B$1:$S$1,0),FALSE))</f>
        <v>8.3000000000000007</v>
      </c>
      <c r="AL157" s="121">
        <f>VLOOKUP($B157,Leveranser!$B$1:$Y$499,MATCH("Totalt såld fjärrvärme till andra fjärrvärmeföretag",Leveranser!$B$1:$AA$1,0),FALSE)</f>
        <v>0</v>
      </c>
      <c r="AM157" s="121">
        <f>IF(ISERROR(1/VLOOKUP($B157,Miljö!$B$1:$S$500,MATCH("Såld mängd produktionsspecifik fjärrvärme (GWh)",Miljö!$B$1:$R$1,0),FALSE)),0,VLOOKUP($B157,Miljö!$B$1:$S$500,MATCH("Såld mängd produktionsspecifik fjärrvärme (GWh)",Miljö!$B$1:$R$1,0),FALSE))</f>
        <v>0</v>
      </c>
      <c r="AN157" s="172">
        <f t="shared" si="46"/>
        <v>0.81245105716523114</v>
      </c>
      <c r="AO157" s="121"/>
      <c r="AP157" s="121" t="str">
        <f>IFERROR(VLOOKUP($B157,Miljövärden!$B$2:$H$550,7,FALSE),"Nej, saknas")</f>
        <v>Ja</v>
      </c>
      <c r="AQ157" s="121" t="str">
        <f>IFERROR(VLOOKUP($B157,Miljövärden!$B$2:$H$550,6,FALSE),"Nej, saknas")</f>
        <v>Ja</v>
      </c>
      <c r="AU157">
        <f t="shared" si="47"/>
        <v>0.216</v>
      </c>
      <c r="AV157">
        <f t="shared" si="48"/>
        <v>0</v>
      </c>
      <c r="AW157">
        <f t="shared" si="49"/>
        <v>9</v>
      </c>
      <c r="AX157">
        <f t="shared" si="50"/>
        <v>0.1</v>
      </c>
      <c r="AZ157">
        <f t="shared" si="51"/>
        <v>9.1</v>
      </c>
      <c r="BC157">
        <f t="shared" si="52"/>
        <v>0.9</v>
      </c>
      <c r="BD157">
        <f t="shared" si="53"/>
        <v>0</v>
      </c>
      <c r="BE157">
        <f t="shared" si="54"/>
        <v>9.1</v>
      </c>
      <c r="BF157">
        <f t="shared" si="55"/>
        <v>0</v>
      </c>
      <c r="BG157">
        <f t="shared" si="56"/>
        <v>0.216</v>
      </c>
      <c r="BH157">
        <f>VLOOKUP(B157,Miljö!$B$1:$BX$482,MATCH("Fossilandel för ursprungspecificerad el ()",Miljö!$B$1:$I$1,0),FALSE)</f>
        <v>0</v>
      </c>
      <c r="BI157">
        <f>VLOOKUP(B157,Miljö!$B$1:$BX$482,MATCH("Kärnkraftsandel för ursprungsspecificerad el ()",Miljö!$B$1:$O$1,0),FALSE)</f>
        <v>0</v>
      </c>
      <c r="BJ157">
        <f t="shared" si="57"/>
        <v>0</v>
      </c>
      <c r="BK157" t="str">
        <f>VLOOKUP(B157,Miljö!$B$1:$O$482,MATCH("Fossil andel i procent (%)",Miljö!$B$1:$O$1,0),FALSE)</f>
        <v>ET</v>
      </c>
      <c r="BL157">
        <f t="shared" si="58"/>
        <v>10.215999999999999</v>
      </c>
      <c r="BO157" s="18">
        <f t="shared" si="59"/>
        <v>8.8097102584181686E-2</v>
      </c>
      <c r="BP157" s="18">
        <f t="shared" si="60"/>
        <v>0</v>
      </c>
      <c r="BQ157" s="18">
        <f t="shared" si="61"/>
        <v>0.91190289741581831</v>
      </c>
      <c r="BR157" s="18">
        <f t="shared" si="62"/>
        <v>0</v>
      </c>
      <c r="BT157" s="27">
        <f t="shared" si="63"/>
        <v>1</v>
      </c>
      <c r="BW157" s="18">
        <f>IF(AP157="ja",VLOOKUP(B157,Miljövärden!$B$2:$H$550,MATCH("Total andel fossilt",Miljövärden!$B$2:$H$2,0),FALSE),"")</f>
        <v>8.8097099999999998E-2</v>
      </c>
      <c r="BZ157" s="28">
        <f t="shared" si="64"/>
        <v>-2.5841816880811663E-9</v>
      </c>
      <c r="CA157" s="28">
        <f t="shared" si="65"/>
        <v>0</v>
      </c>
    </row>
    <row r="158" spans="1:79" x14ac:dyDescent="0.25">
      <c r="A158" s="224" t="s">
        <v>414</v>
      </c>
      <c r="B158" s="210" t="s">
        <v>416</v>
      </c>
      <c r="C158" s="121">
        <f>VLOOKUP($B158,'Tillförd energi'!$B$1:$AI$720,MATCH(C$1,'Tillförd energi'!$B$1:$AQ$1,0),FALSE)</f>
        <v>0</v>
      </c>
      <c r="D158" s="121">
        <f>VLOOKUP($B158,'Tillförd energi'!$B$1:$AI$720,MATCH(D$1,'Tillförd energi'!$B$1:$AQ$1,0),FALSE)</f>
        <v>0.67600000000000005</v>
      </c>
      <c r="E158" s="121">
        <f>VLOOKUP($B158,'Tillförd energi'!$B$1:$AI$720,MATCH(E$1,'Tillförd energi'!$B$1:$AQ$1,0),FALSE)</f>
        <v>0</v>
      </c>
      <c r="F158" s="121">
        <f>VLOOKUP($B158,'Tillförd energi'!$B$1:$AI$720,MATCH(F$1,'Tillförd energi'!$B$1:$AQ$1,0),FALSE)</f>
        <v>0</v>
      </c>
      <c r="G158" s="121">
        <f>VLOOKUP($B158,'Tillförd energi'!$B$1:$AI$720,MATCH(G$1,'Tillförd energi'!$B$1:$AQ$1,0),FALSE)</f>
        <v>0</v>
      </c>
      <c r="H158" s="121">
        <f>VLOOKUP($B158,'Tillförd energi'!$B$1:$AI$720,MATCH(H$1,'Tillförd energi'!$B$1:$AQ$1,0),FALSE)</f>
        <v>0</v>
      </c>
      <c r="I158" s="121">
        <f>VLOOKUP($B158,'Tillförd energi'!$B$1:$AI$720,MATCH(I$1,'Tillförd energi'!$B$1:$AQ$1,0),FALSE)</f>
        <v>0</v>
      </c>
      <c r="J158" s="121">
        <f>VLOOKUP($B158,'Tillförd energi'!$B$1:$AI$720,MATCH(J$1,'Tillförd energi'!$B$1:$AQ$1,0),FALSE)</f>
        <v>0</v>
      </c>
      <c r="K158" s="121">
        <f>VLOOKUP($B158,'Tillförd energi'!$B$1:$AI$720,MATCH(K$1,'Tillförd energi'!$B$1:$AQ$1,0),FALSE)</f>
        <v>0</v>
      </c>
      <c r="L158" s="121">
        <f>VLOOKUP($B158,'Tillförd energi'!$B$1:$AI$720,MATCH(L$1,'Tillförd energi'!$B$1:$AQ$1,0),FALSE)</f>
        <v>0</v>
      </c>
      <c r="M158" s="121">
        <f>VLOOKUP($B158,'Tillförd energi'!$B$1:$AI$720,MATCH(M$1,'Tillförd energi'!$B$1:$AQ$1,0),FALSE)</f>
        <v>0</v>
      </c>
      <c r="N158" s="121">
        <f>VLOOKUP($B158,'Tillförd energi'!$B$1:$AI$720,MATCH(N$1,'Tillförd energi'!$B$1:$AQ$1,0),FALSE)</f>
        <v>0</v>
      </c>
      <c r="O158" s="121">
        <f>VLOOKUP($B158,'Tillförd energi'!$B$1:$AI$720,MATCH(O$1,'Tillförd energi'!$B$1:$AQ$1,0),FALSE)</f>
        <v>0</v>
      </c>
      <c r="P158" s="121">
        <f>VLOOKUP($B158,'Tillförd energi'!$B$1:$AI$720,MATCH(P$1,'Tillförd energi'!$B$1:$AQ$1,0),FALSE)</f>
        <v>0</v>
      </c>
      <c r="Q158" s="121">
        <f>VLOOKUP($B158,'Tillförd energi'!$B$1:$AI$720,MATCH(Q$1,'Tillförd energi'!$B$1:$AQ$1,0),FALSE)</f>
        <v>0</v>
      </c>
      <c r="R158" s="121">
        <f>VLOOKUP($B158,'Tillförd energi'!$B$1:$AI$720,MATCH(R$1,'Tillförd energi'!$B$1:$AQ$1,0),FALSE)</f>
        <v>2.2999999999999998</v>
      </c>
      <c r="S158" s="121">
        <f>VLOOKUP($B158,'Tillförd energi'!$B$1:$AI$720,MATCH(S$1,'Tillförd energi'!$B$1:$AQ$1,0),FALSE)</f>
        <v>9.1</v>
      </c>
      <c r="T158" s="121">
        <f>VLOOKUP($B158,'Tillförd energi'!$B$1:$AI$720,MATCH(T$1,'Tillförd energi'!$B$1:$AQ$1,0),FALSE)</f>
        <v>0</v>
      </c>
      <c r="U158" s="121">
        <f>VLOOKUP($B158,'Tillförd energi'!$B$1:$AI$720,MATCH(U$1,'Tillförd energi'!$B$1:$AQ$1,0),FALSE)</f>
        <v>0</v>
      </c>
      <c r="V158" s="121">
        <f>VLOOKUP($B158,'Tillförd energi'!$B$1:$AI$720,MATCH(V$1,'Tillförd energi'!$B$1:$AQ$1,0),FALSE)</f>
        <v>0</v>
      </c>
      <c r="W158" s="121">
        <f>VLOOKUP($B158,'Tillförd energi'!$B$1:$AI$720,MATCH(W$1,'Tillförd energi'!$B$1:$AQ$1,0),FALSE)</f>
        <v>0</v>
      </c>
      <c r="X158" s="121">
        <f>VLOOKUP($B158,'Tillförd energi'!$B$1:$AI$720,MATCH(X$1,'Tillförd energi'!$B$1:$AQ$1,0),FALSE)</f>
        <v>0</v>
      </c>
      <c r="Y158" s="121">
        <f>VLOOKUP($B158,'Tillförd energi'!$B$1:$AI$720,MATCH(Y$1,'Tillförd energi'!$B$1:$AQ$1,0),FALSE)</f>
        <v>0</v>
      </c>
      <c r="Z158" s="121">
        <f>VLOOKUP($B158,'Tillförd energi'!$B$1:$AI$720,MATCH(Z$1,'Tillförd energi'!$B$1:$AQ$1,0),FALSE)</f>
        <v>0</v>
      </c>
      <c r="AA158" s="121">
        <f>VLOOKUP($B158,'Tillförd energi'!$B$1:$AI$720,MATCH(AA$1,'Tillförd energi'!$B$1:$AQ$1,0),FALSE)</f>
        <v>0</v>
      </c>
      <c r="AB158" s="121">
        <f>VLOOKUP($B158,'Tillförd energi'!$B$1:$AI$720,MATCH(AB$1,'Tillförd energi'!$B$1:$AQ$1,0),FALSE)</f>
        <v>0</v>
      </c>
      <c r="AC158" s="121">
        <f>VLOOKUP($B158,'Tillförd energi'!$B$1:$AI$720,MATCH(AC$1,'Tillförd energi'!$B$1:$AQ$1,0),FALSE)</f>
        <v>0</v>
      </c>
      <c r="AD158" s="121">
        <f>VLOOKUP($B158,'Tillförd energi'!$B$1:$AI$720,MATCH(AD$1,'Tillförd energi'!$B$1:$AQ$1,0),FALSE)</f>
        <v>0</v>
      </c>
      <c r="AE158" s="121">
        <f>VLOOKUP($B158,'Tillförd energi'!$B$1:$AI$720,MATCH(AE$1,'Tillförd energi'!$B$1:$AQ$1,0),FALSE)</f>
        <v>0</v>
      </c>
      <c r="AF158" s="121">
        <f>VLOOKUP($B158,'Tillförd energi'!$B$1:$AI$720,MATCH(AF$1,'Tillförd energi'!$B$1:$AQ$1,0),FALSE)</f>
        <v>0.23599999999999999</v>
      </c>
      <c r="AG158" s="121">
        <f>IFERROR(VLOOKUP(B158,Miljö!$B$1:$AC$550,MATCH("Köpt mängd produktionsspecifik fjärrvärme:",Miljö!$B$1:$AC$1,0),FALSE)/1,0)</f>
        <v>0</v>
      </c>
      <c r="AH158" s="121"/>
      <c r="AI158" s="121">
        <f t="shared" si="44"/>
        <v>12.312000000000001</v>
      </c>
      <c r="AJ158" s="121">
        <f t="shared" si="45"/>
        <v>12.312000000000001</v>
      </c>
      <c r="AK158" s="121">
        <f>IF(ISERROR(1/VLOOKUP($B158,Leveranser!$B$1:$S$499,MATCH("såld värme (gwh)",Leveranser!$B$1:$S$1,0),FALSE)),"",VLOOKUP($B158,Leveranser!$B$1:$S$499,MATCH("såld värme (gwh)",Leveranser!$B$1:$S$1,0),FALSE))</f>
        <v>10.7</v>
      </c>
      <c r="AL158" s="121">
        <f>VLOOKUP($B158,Leveranser!$B$1:$Y$499,MATCH("Totalt såld fjärrvärme till andra fjärrvärmeföretag",Leveranser!$B$1:$AA$1,0),FALSE)</f>
        <v>0</v>
      </c>
      <c r="AM158" s="121">
        <f>IF(ISERROR(1/VLOOKUP($B158,Miljö!$B$1:$S$500,MATCH("Såld mängd produktionsspecifik fjärrvärme (GWh)",Miljö!$B$1:$R$1,0),FALSE)),0,VLOOKUP($B158,Miljö!$B$1:$S$500,MATCH("Såld mängd produktionsspecifik fjärrvärme (GWh)",Miljö!$B$1:$R$1,0),FALSE))</f>
        <v>0</v>
      </c>
      <c r="AN158" s="172">
        <f t="shared" si="46"/>
        <v>0.86907082521117596</v>
      </c>
      <c r="AO158" s="121"/>
      <c r="AP158" s="121" t="str">
        <f>IFERROR(VLOOKUP($B158,Miljövärden!$B$2:$H$550,7,FALSE),"Nej, saknas")</f>
        <v>Ja</v>
      </c>
      <c r="AQ158" s="121" t="str">
        <f>IFERROR(VLOOKUP($B158,Miljövärden!$B$2:$H$550,6,FALSE),"Nej, saknas")</f>
        <v>Ja</v>
      </c>
      <c r="AU158">
        <f t="shared" si="47"/>
        <v>0.23599999999999999</v>
      </c>
      <c r="AV158">
        <f t="shared" si="48"/>
        <v>0</v>
      </c>
      <c r="AW158">
        <f t="shared" si="49"/>
        <v>0</v>
      </c>
      <c r="AX158">
        <f t="shared" si="50"/>
        <v>11.399999999999999</v>
      </c>
      <c r="AZ158">
        <f t="shared" si="51"/>
        <v>11.399999999999999</v>
      </c>
      <c r="BC158">
        <f t="shared" si="52"/>
        <v>0.67600000000000005</v>
      </c>
      <c r="BD158">
        <f t="shared" si="53"/>
        <v>0</v>
      </c>
      <c r="BE158">
        <f t="shared" si="54"/>
        <v>11.399999999999999</v>
      </c>
      <c r="BF158">
        <f t="shared" si="55"/>
        <v>0</v>
      </c>
      <c r="BG158">
        <f t="shared" si="56"/>
        <v>0.23599999999999999</v>
      </c>
      <c r="BH158">
        <f>VLOOKUP(B158,Miljö!$B$1:$BX$482,MATCH("Fossilandel för ursprungspecificerad el ()",Miljö!$B$1:$I$1,0),FALSE)</f>
        <v>0</v>
      </c>
      <c r="BI158">
        <f>VLOOKUP(B158,Miljö!$B$1:$BX$482,MATCH("Kärnkraftsandel för ursprungsspecificerad el ()",Miljö!$B$1:$O$1,0),FALSE)</f>
        <v>0</v>
      </c>
      <c r="BJ158">
        <f t="shared" si="57"/>
        <v>0</v>
      </c>
      <c r="BK158" t="str">
        <f>VLOOKUP(B158,Miljö!$B$1:$O$482,MATCH("Fossil andel i procent (%)",Miljö!$B$1:$O$1,0),FALSE)</f>
        <v>ET</v>
      </c>
      <c r="BL158">
        <f t="shared" si="58"/>
        <v>12.311999999999999</v>
      </c>
      <c r="BO158" s="18">
        <f t="shared" si="59"/>
        <v>5.4905782975958418E-2</v>
      </c>
      <c r="BP158" s="18">
        <f t="shared" si="60"/>
        <v>0</v>
      </c>
      <c r="BQ158" s="18">
        <f t="shared" si="61"/>
        <v>0.94509421702404162</v>
      </c>
      <c r="BR158" s="18">
        <f t="shared" si="62"/>
        <v>0</v>
      </c>
      <c r="BT158" s="27">
        <f t="shared" si="63"/>
        <v>1</v>
      </c>
      <c r="BW158" s="18">
        <f>IF(AP158="ja",VLOOKUP(B158,Miljövärden!$B$2:$H$550,MATCH("Total andel fossilt",Miljövärden!$B$2:$H$2,0),FALSE),"")</f>
        <v>5.4905799999999998E-2</v>
      </c>
      <c r="BZ158" s="28">
        <f t="shared" si="64"/>
        <v>1.7024041579216664E-8</v>
      </c>
      <c r="CA158" s="28">
        <f t="shared" si="65"/>
        <v>0</v>
      </c>
    </row>
    <row r="159" spans="1:79" x14ac:dyDescent="0.25">
      <c r="A159" s="224" t="s">
        <v>414</v>
      </c>
      <c r="B159" s="210" t="s">
        <v>417</v>
      </c>
      <c r="C159" s="121">
        <f>VLOOKUP($B159,'Tillförd energi'!$B$1:$AI$720,MATCH(C$1,'Tillförd energi'!$B$1:$AQ$1,0),FALSE)</f>
        <v>0</v>
      </c>
      <c r="D159" s="121">
        <f>VLOOKUP($B159,'Tillförd energi'!$B$1:$AI$720,MATCH(D$1,'Tillförd energi'!$B$1:$AQ$1,0),FALSE)</f>
        <v>7.0000000000000007E-2</v>
      </c>
      <c r="E159" s="121">
        <f>VLOOKUP($B159,'Tillförd energi'!$B$1:$AI$720,MATCH(E$1,'Tillförd energi'!$B$1:$AQ$1,0),FALSE)</f>
        <v>0</v>
      </c>
      <c r="F159" s="121">
        <f>VLOOKUP($B159,'Tillförd energi'!$B$1:$AI$720,MATCH(F$1,'Tillförd energi'!$B$1:$AQ$1,0),FALSE)</f>
        <v>0</v>
      </c>
      <c r="G159" s="121">
        <f>VLOOKUP($B159,'Tillförd energi'!$B$1:$AI$720,MATCH(G$1,'Tillförd energi'!$B$1:$AQ$1,0),FALSE)</f>
        <v>0</v>
      </c>
      <c r="H159" s="121">
        <f>VLOOKUP($B159,'Tillförd energi'!$B$1:$AI$720,MATCH(H$1,'Tillförd energi'!$B$1:$AQ$1,0),FALSE)</f>
        <v>0</v>
      </c>
      <c r="I159" s="121">
        <f>VLOOKUP($B159,'Tillförd energi'!$B$1:$AI$720,MATCH(I$1,'Tillförd energi'!$B$1:$AQ$1,0),FALSE)</f>
        <v>0</v>
      </c>
      <c r="J159" s="121">
        <f>VLOOKUP($B159,'Tillförd energi'!$B$1:$AI$720,MATCH(J$1,'Tillförd energi'!$B$1:$AQ$1,0),FALSE)</f>
        <v>0</v>
      </c>
      <c r="K159" s="121">
        <f>VLOOKUP($B159,'Tillförd energi'!$B$1:$AI$720,MATCH(K$1,'Tillförd energi'!$B$1:$AQ$1,0),FALSE)</f>
        <v>0</v>
      </c>
      <c r="L159" s="121">
        <f>VLOOKUP($B159,'Tillförd energi'!$B$1:$AI$720,MATCH(L$1,'Tillförd energi'!$B$1:$AQ$1,0),FALSE)</f>
        <v>0</v>
      </c>
      <c r="M159" s="121">
        <f>VLOOKUP($B159,'Tillförd energi'!$B$1:$AI$720,MATCH(M$1,'Tillförd energi'!$B$1:$AQ$1,0),FALSE)</f>
        <v>0</v>
      </c>
      <c r="N159" s="121">
        <f>VLOOKUP($B159,'Tillförd energi'!$B$1:$AI$720,MATCH(N$1,'Tillförd energi'!$B$1:$AQ$1,0),FALSE)</f>
        <v>0</v>
      </c>
      <c r="O159" s="121">
        <f>VLOOKUP($B159,'Tillförd energi'!$B$1:$AI$720,MATCH(O$1,'Tillförd energi'!$B$1:$AQ$1,0),FALSE)</f>
        <v>0</v>
      </c>
      <c r="P159" s="121">
        <f>VLOOKUP($B159,'Tillförd energi'!$B$1:$AI$720,MATCH(P$1,'Tillförd energi'!$B$1:$AQ$1,0),FALSE)</f>
        <v>16.399999999999999</v>
      </c>
      <c r="Q159" s="121">
        <f>VLOOKUP($B159,'Tillförd energi'!$B$1:$AI$720,MATCH(Q$1,'Tillförd energi'!$B$1:$AQ$1,0),FALSE)</f>
        <v>0</v>
      </c>
      <c r="R159" s="121">
        <f>VLOOKUP($B159,'Tillförd energi'!$B$1:$AI$720,MATCH(R$1,'Tillförd energi'!$B$1:$AQ$1,0),FALSE)</f>
        <v>12.8</v>
      </c>
      <c r="S159" s="121">
        <f>VLOOKUP($B159,'Tillförd energi'!$B$1:$AI$720,MATCH(S$1,'Tillförd energi'!$B$1:$AQ$1,0),FALSE)</f>
        <v>0</v>
      </c>
      <c r="T159" s="121">
        <f>VLOOKUP($B159,'Tillförd energi'!$B$1:$AI$720,MATCH(T$1,'Tillförd energi'!$B$1:$AQ$1,0),FALSE)</f>
        <v>0</v>
      </c>
      <c r="U159" s="121">
        <f>VLOOKUP($B159,'Tillförd energi'!$B$1:$AI$720,MATCH(U$1,'Tillförd energi'!$B$1:$AQ$1,0),FALSE)</f>
        <v>6</v>
      </c>
      <c r="V159" s="121">
        <f>VLOOKUP($B159,'Tillförd energi'!$B$1:$AI$720,MATCH(V$1,'Tillförd energi'!$B$1:$AQ$1,0),FALSE)</f>
        <v>0</v>
      </c>
      <c r="W159" s="121">
        <f>VLOOKUP($B159,'Tillförd energi'!$B$1:$AI$720,MATCH(W$1,'Tillförd energi'!$B$1:$AQ$1,0),FALSE)</f>
        <v>0</v>
      </c>
      <c r="X159" s="121">
        <f>VLOOKUP($B159,'Tillförd energi'!$B$1:$AI$720,MATCH(X$1,'Tillförd energi'!$B$1:$AQ$1,0),FALSE)</f>
        <v>0</v>
      </c>
      <c r="Y159" s="121">
        <f>VLOOKUP($B159,'Tillförd energi'!$B$1:$AI$720,MATCH(Y$1,'Tillförd energi'!$B$1:$AQ$1,0),FALSE)</f>
        <v>0</v>
      </c>
      <c r="Z159" s="121">
        <f>VLOOKUP($B159,'Tillförd energi'!$B$1:$AI$720,MATCH(Z$1,'Tillförd energi'!$B$1:$AQ$1,0),FALSE)</f>
        <v>0</v>
      </c>
      <c r="AA159" s="121">
        <f>VLOOKUP($B159,'Tillförd energi'!$B$1:$AI$720,MATCH(AA$1,'Tillförd energi'!$B$1:$AQ$1,0),FALSE)</f>
        <v>0</v>
      </c>
      <c r="AB159" s="121">
        <f>VLOOKUP($B159,'Tillförd energi'!$B$1:$AI$720,MATCH(AB$1,'Tillförd energi'!$B$1:$AQ$1,0),FALSE)</f>
        <v>0</v>
      </c>
      <c r="AC159" s="121">
        <f>VLOOKUP($B159,'Tillförd energi'!$B$1:$AI$720,MATCH(AC$1,'Tillförd energi'!$B$1:$AQ$1,0),FALSE)</f>
        <v>1.5</v>
      </c>
      <c r="AD159" s="121">
        <f>VLOOKUP($B159,'Tillförd energi'!$B$1:$AI$720,MATCH(AD$1,'Tillförd energi'!$B$1:$AQ$1,0),FALSE)</f>
        <v>0</v>
      </c>
      <c r="AE159" s="121">
        <f>VLOOKUP($B159,'Tillförd energi'!$B$1:$AI$720,MATCH(AE$1,'Tillförd energi'!$B$1:$AQ$1,0),FALSE)</f>
        <v>0</v>
      </c>
      <c r="AF159" s="121">
        <f>VLOOKUP($B159,'Tillförd energi'!$B$1:$AI$720,MATCH(AF$1,'Tillförd energi'!$B$1:$AQ$1,0),FALSE)</f>
        <v>0.55000000000000004</v>
      </c>
      <c r="AG159" s="121">
        <f>IFERROR(VLOOKUP(B159,Miljö!$B$1:$AC$550,MATCH("Köpt mängd produktionsspecifik fjärrvärme:",Miljö!$B$1:$AC$1,0),FALSE)/1,0)</f>
        <v>0</v>
      </c>
      <c r="AH159" s="121"/>
      <c r="AI159" s="121">
        <f t="shared" si="44"/>
        <v>37.319999999999993</v>
      </c>
      <c r="AJ159" s="121">
        <f t="shared" si="45"/>
        <v>37.319999999999993</v>
      </c>
      <c r="AK159" s="121">
        <f>IF(ISERROR(1/VLOOKUP($B159,Leveranser!$B$1:$S$499,MATCH("såld värme (gwh)",Leveranser!$B$1:$S$1,0),FALSE)),"",VLOOKUP($B159,Leveranser!$B$1:$S$499,MATCH("såld värme (gwh)",Leveranser!$B$1:$S$1,0),FALSE))</f>
        <v>29</v>
      </c>
      <c r="AL159" s="121">
        <f>VLOOKUP($B159,Leveranser!$B$1:$Y$499,MATCH("Totalt såld fjärrvärme till andra fjärrvärmeföretag",Leveranser!$B$1:$AA$1,0),FALSE)</f>
        <v>0</v>
      </c>
      <c r="AM159" s="121">
        <f>IF(ISERROR(1/VLOOKUP($B159,Miljö!$B$1:$S$500,MATCH("Såld mängd produktionsspecifik fjärrvärme (GWh)",Miljö!$B$1:$R$1,0),FALSE)),0,VLOOKUP($B159,Miljö!$B$1:$S$500,MATCH("Såld mängd produktionsspecifik fjärrvärme (GWh)",Miljö!$B$1:$R$1,0),FALSE))</f>
        <v>0</v>
      </c>
      <c r="AN159" s="172">
        <f t="shared" si="46"/>
        <v>0.77706323687031098</v>
      </c>
      <c r="AO159" s="121"/>
      <c r="AP159" s="121" t="str">
        <f>IFERROR(VLOOKUP($B159,Miljövärden!$B$2:$H$550,7,FALSE),"Nej, saknas")</f>
        <v>Ja</v>
      </c>
      <c r="AQ159" s="121" t="str">
        <f>IFERROR(VLOOKUP($B159,Miljövärden!$B$2:$H$550,6,FALSE),"Nej, saknas")</f>
        <v>Ja</v>
      </c>
      <c r="AU159">
        <f t="shared" si="47"/>
        <v>0.55000000000000004</v>
      </c>
      <c r="AV159">
        <f t="shared" si="48"/>
        <v>0</v>
      </c>
      <c r="AW159">
        <f t="shared" si="49"/>
        <v>16.399999999999999</v>
      </c>
      <c r="AX159">
        <f t="shared" si="50"/>
        <v>18.8</v>
      </c>
      <c r="AZ159">
        <f t="shared" si="51"/>
        <v>35.200000000000003</v>
      </c>
      <c r="BC159">
        <f t="shared" si="52"/>
        <v>7.0000000000000007E-2</v>
      </c>
      <c r="BD159">
        <f t="shared" si="53"/>
        <v>0</v>
      </c>
      <c r="BE159">
        <f t="shared" si="54"/>
        <v>35.200000000000003</v>
      </c>
      <c r="BF159">
        <f t="shared" si="55"/>
        <v>1.5</v>
      </c>
      <c r="BG159">
        <f t="shared" si="56"/>
        <v>0.55000000000000004</v>
      </c>
      <c r="BH159">
        <f>VLOOKUP(B159,Miljö!$B$1:$BX$482,MATCH("Fossilandel för ursprungspecificerad el ()",Miljö!$B$1:$I$1,0),FALSE)</f>
        <v>0</v>
      </c>
      <c r="BI159">
        <f>VLOOKUP(B159,Miljö!$B$1:$BX$482,MATCH("Kärnkraftsandel för ursprungsspecificerad el ()",Miljö!$B$1:$O$1,0),FALSE)</f>
        <v>0</v>
      </c>
      <c r="BJ159">
        <f t="shared" si="57"/>
        <v>0</v>
      </c>
      <c r="BK159" t="str">
        <f>VLOOKUP(B159,Miljö!$B$1:$O$482,MATCH("Fossil andel i procent (%)",Miljö!$B$1:$O$1,0),FALSE)</f>
        <v>ET</v>
      </c>
      <c r="BL159">
        <f t="shared" si="58"/>
        <v>37.32</v>
      </c>
      <c r="BO159" s="18">
        <f t="shared" si="59"/>
        <v>1.8756698821007505E-3</v>
      </c>
      <c r="BP159" s="18">
        <f t="shared" si="60"/>
        <v>0</v>
      </c>
      <c r="BQ159" s="18">
        <f t="shared" si="61"/>
        <v>0.95793140407288313</v>
      </c>
      <c r="BR159" s="18">
        <f t="shared" si="62"/>
        <v>4.0192926045016078E-2</v>
      </c>
      <c r="BT159" s="27">
        <f t="shared" si="63"/>
        <v>1</v>
      </c>
      <c r="BW159" s="18">
        <f>IF(AP159="ja",VLOOKUP(B159,Miljövärden!$B$2:$H$550,MATCH("Total andel fossilt",Miljövärden!$B$2:$H$2,0),FALSE),"")</f>
        <v>1.8756700000000001E-3</v>
      </c>
      <c r="BZ159" s="28">
        <f t="shared" si="64"/>
        <v>1.1789924960793619E-10</v>
      </c>
      <c r="CA159" s="28">
        <f t="shared" si="65"/>
        <v>0</v>
      </c>
    </row>
    <row r="160" spans="1:79" x14ac:dyDescent="0.25">
      <c r="A160" s="224" t="s">
        <v>414</v>
      </c>
      <c r="B160" s="210" t="s">
        <v>418</v>
      </c>
      <c r="C160" s="121">
        <f>VLOOKUP($B160,'Tillförd energi'!$B$1:$AI$720,MATCH(C$1,'Tillförd energi'!$B$1:$AQ$1,0),FALSE)</f>
        <v>0</v>
      </c>
      <c r="D160" s="121">
        <f>VLOOKUP($B160,'Tillförd energi'!$B$1:$AI$720,MATCH(D$1,'Tillförd energi'!$B$1:$AQ$1,0),FALSE)</f>
        <v>0.124</v>
      </c>
      <c r="E160" s="121">
        <f>VLOOKUP($B160,'Tillförd energi'!$B$1:$AI$720,MATCH(E$1,'Tillförd energi'!$B$1:$AQ$1,0),FALSE)</f>
        <v>0</v>
      </c>
      <c r="F160" s="121">
        <f>VLOOKUP($B160,'Tillförd energi'!$B$1:$AI$720,MATCH(F$1,'Tillförd energi'!$B$1:$AQ$1,0),FALSE)</f>
        <v>0</v>
      </c>
      <c r="G160" s="121">
        <f>VLOOKUP($B160,'Tillförd energi'!$B$1:$AI$720,MATCH(G$1,'Tillförd energi'!$B$1:$AQ$1,0),FALSE)</f>
        <v>0</v>
      </c>
      <c r="H160" s="121">
        <f>VLOOKUP($B160,'Tillförd energi'!$B$1:$AI$720,MATCH(H$1,'Tillförd energi'!$B$1:$AQ$1,0),FALSE)</f>
        <v>0</v>
      </c>
      <c r="I160" s="121">
        <f>VLOOKUP($B160,'Tillförd energi'!$B$1:$AI$720,MATCH(I$1,'Tillförd energi'!$B$1:$AQ$1,0),FALSE)</f>
        <v>0</v>
      </c>
      <c r="J160" s="121">
        <f>VLOOKUP($B160,'Tillförd energi'!$B$1:$AI$720,MATCH(J$1,'Tillförd energi'!$B$1:$AQ$1,0),FALSE)</f>
        <v>0</v>
      </c>
      <c r="K160" s="121">
        <f>VLOOKUP($B160,'Tillförd energi'!$B$1:$AI$720,MATCH(K$1,'Tillförd energi'!$B$1:$AQ$1,0),FALSE)</f>
        <v>0</v>
      </c>
      <c r="L160" s="121">
        <f>VLOOKUP($B160,'Tillförd energi'!$B$1:$AI$720,MATCH(L$1,'Tillförd energi'!$B$1:$AQ$1,0),FALSE)</f>
        <v>0</v>
      </c>
      <c r="M160" s="121">
        <f>VLOOKUP($B160,'Tillförd energi'!$B$1:$AI$720,MATCH(M$1,'Tillförd energi'!$B$1:$AQ$1,0),FALSE)</f>
        <v>0</v>
      </c>
      <c r="N160" s="121">
        <f>VLOOKUP($B160,'Tillförd energi'!$B$1:$AI$720,MATCH(N$1,'Tillförd energi'!$B$1:$AQ$1,0),FALSE)</f>
        <v>0</v>
      </c>
      <c r="O160" s="121">
        <f>VLOOKUP($B160,'Tillförd energi'!$B$1:$AI$720,MATCH(O$1,'Tillförd energi'!$B$1:$AQ$1,0),FALSE)</f>
        <v>0</v>
      </c>
      <c r="P160" s="121">
        <f>VLOOKUP($B160,'Tillförd energi'!$B$1:$AI$720,MATCH(P$1,'Tillförd energi'!$B$1:$AQ$1,0),FALSE)</f>
        <v>0</v>
      </c>
      <c r="Q160" s="121">
        <f>VLOOKUP($B160,'Tillförd energi'!$B$1:$AI$720,MATCH(Q$1,'Tillförd energi'!$B$1:$AQ$1,0),FALSE)</f>
        <v>0</v>
      </c>
      <c r="R160" s="121">
        <f>VLOOKUP($B160,'Tillförd energi'!$B$1:$AI$720,MATCH(R$1,'Tillförd energi'!$B$1:$AQ$1,0),FALSE)</f>
        <v>3.4</v>
      </c>
      <c r="S160" s="121">
        <f>VLOOKUP($B160,'Tillförd energi'!$B$1:$AI$720,MATCH(S$1,'Tillförd energi'!$B$1:$AQ$1,0),FALSE)</f>
        <v>0</v>
      </c>
      <c r="T160" s="121">
        <f>VLOOKUP($B160,'Tillförd energi'!$B$1:$AI$720,MATCH(T$1,'Tillförd energi'!$B$1:$AQ$1,0),FALSE)</f>
        <v>0</v>
      </c>
      <c r="U160" s="121">
        <f>VLOOKUP($B160,'Tillförd energi'!$B$1:$AI$720,MATCH(U$1,'Tillförd energi'!$B$1:$AQ$1,0),FALSE)</f>
        <v>0</v>
      </c>
      <c r="V160" s="121">
        <f>VLOOKUP($B160,'Tillförd energi'!$B$1:$AI$720,MATCH(V$1,'Tillförd energi'!$B$1:$AQ$1,0),FALSE)</f>
        <v>0</v>
      </c>
      <c r="W160" s="121">
        <f>VLOOKUP($B160,'Tillförd energi'!$B$1:$AI$720,MATCH(W$1,'Tillförd energi'!$B$1:$AQ$1,0),FALSE)</f>
        <v>0</v>
      </c>
      <c r="X160" s="121">
        <f>VLOOKUP($B160,'Tillförd energi'!$B$1:$AI$720,MATCH(X$1,'Tillförd energi'!$B$1:$AQ$1,0),FALSE)</f>
        <v>0</v>
      </c>
      <c r="Y160" s="121">
        <f>VLOOKUP($B160,'Tillförd energi'!$B$1:$AI$720,MATCH(Y$1,'Tillförd energi'!$B$1:$AQ$1,0),FALSE)</f>
        <v>0</v>
      </c>
      <c r="Z160" s="121">
        <f>VLOOKUP($B160,'Tillförd energi'!$B$1:$AI$720,MATCH(Z$1,'Tillförd energi'!$B$1:$AQ$1,0),FALSE)</f>
        <v>0</v>
      </c>
      <c r="AA160" s="121">
        <f>VLOOKUP($B160,'Tillförd energi'!$B$1:$AI$720,MATCH(AA$1,'Tillförd energi'!$B$1:$AQ$1,0),FALSE)</f>
        <v>0</v>
      </c>
      <c r="AB160" s="121">
        <f>VLOOKUP($B160,'Tillförd energi'!$B$1:$AI$720,MATCH(AB$1,'Tillförd energi'!$B$1:$AQ$1,0),FALSE)</f>
        <v>0</v>
      </c>
      <c r="AC160" s="121">
        <f>VLOOKUP($B160,'Tillförd energi'!$B$1:$AI$720,MATCH(AC$1,'Tillförd energi'!$B$1:$AQ$1,0),FALSE)</f>
        <v>0</v>
      </c>
      <c r="AD160" s="121">
        <f>VLOOKUP($B160,'Tillförd energi'!$B$1:$AI$720,MATCH(AD$1,'Tillförd energi'!$B$1:$AQ$1,0),FALSE)</f>
        <v>0</v>
      </c>
      <c r="AE160" s="121">
        <f>VLOOKUP($B160,'Tillförd energi'!$B$1:$AI$720,MATCH(AE$1,'Tillförd energi'!$B$1:$AQ$1,0),FALSE)</f>
        <v>0</v>
      </c>
      <c r="AF160" s="121">
        <f>VLOOKUP($B160,'Tillförd energi'!$B$1:$AI$720,MATCH(AF$1,'Tillförd energi'!$B$1:$AQ$1,0),FALSE)</f>
        <v>3.3099999999999997E-2</v>
      </c>
      <c r="AG160" s="121">
        <f>IFERROR(VLOOKUP(B160,Miljö!$B$1:$AC$550,MATCH("Köpt mängd produktionsspecifik fjärrvärme:",Miljö!$B$1:$AC$1,0),FALSE)/1,0)</f>
        <v>0</v>
      </c>
      <c r="AH160" s="121"/>
      <c r="AI160" s="121">
        <f t="shared" si="44"/>
        <v>3.5571000000000002</v>
      </c>
      <c r="AJ160" s="121">
        <f t="shared" si="45"/>
        <v>3.5571000000000002</v>
      </c>
      <c r="AK160" s="121">
        <f>IF(ISERROR(1/VLOOKUP($B160,Leveranser!$B$1:$S$499,MATCH("såld värme (gwh)",Leveranser!$B$1:$S$1,0),FALSE)),"",VLOOKUP($B160,Leveranser!$B$1:$S$499,MATCH("såld värme (gwh)",Leveranser!$B$1:$S$1,0),FALSE))</f>
        <v>3.1</v>
      </c>
      <c r="AL160" s="121">
        <f>VLOOKUP($B160,Leveranser!$B$1:$Y$499,MATCH("Totalt såld fjärrvärme till andra fjärrvärmeföretag",Leveranser!$B$1:$AA$1,0),FALSE)</f>
        <v>0</v>
      </c>
      <c r="AM160" s="121">
        <f>IF(ISERROR(1/VLOOKUP($B160,Miljö!$B$1:$S$500,MATCH("Såld mängd produktionsspecifik fjärrvärme (GWh)",Miljö!$B$1:$R$1,0),FALSE)),0,VLOOKUP($B160,Miljö!$B$1:$S$500,MATCH("Såld mängd produktionsspecifik fjärrvärme (GWh)",Miljö!$B$1:$R$1,0),FALSE))</f>
        <v>0</v>
      </c>
      <c r="AN160" s="172">
        <f t="shared" si="46"/>
        <v>0.87149644373225377</v>
      </c>
      <c r="AO160" s="121"/>
      <c r="AP160" s="121" t="str">
        <f>IFERROR(VLOOKUP($B160,Miljövärden!$B$2:$H$550,7,FALSE),"Nej, saknas")</f>
        <v>Ja</v>
      </c>
      <c r="AQ160" s="121" t="str">
        <f>IFERROR(VLOOKUP($B160,Miljövärden!$B$2:$H$550,6,FALSE),"Nej, saknas")</f>
        <v>Ja</v>
      </c>
      <c r="AU160">
        <f t="shared" si="47"/>
        <v>3.3099999999999997E-2</v>
      </c>
      <c r="AV160">
        <f t="shared" si="48"/>
        <v>0</v>
      </c>
      <c r="AW160">
        <f t="shared" si="49"/>
        <v>0</v>
      </c>
      <c r="AX160">
        <f t="shared" si="50"/>
        <v>3.4</v>
      </c>
      <c r="AZ160">
        <f t="shared" si="51"/>
        <v>3.4</v>
      </c>
      <c r="BC160">
        <f t="shared" si="52"/>
        <v>0.124</v>
      </c>
      <c r="BD160">
        <f t="shared" si="53"/>
        <v>0</v>
      </c>
      <c r="BE160">
        <f t="shared" si="54"/>
        <v>3.4</v>
      </c>
      <c r="BF160">
        <f t="shared" si="55"/>
        <v>0</v>
      </c>
      <c r="BG160">
        <f t="shared" si="56"/>
        <v>3.3099999999999997E-2</v>
      </c>
      <c r="BH160">
        <f>VLOOKUP(B160,Miljö!$B$1:$BX$482,MATCH("Fossilandel för ursprungspecificerad el ()",Miljö!$B$1:$I$1,0),FALSE)</f>
        <v>0</v>
      </c>
      <c r="BI160">
        <f>VLOOKUP(B160,Miljö!$B$1:$BX$482,MATCH("Kärnkraftsandel för ursprungsspecificerad el ()",Miljö!$B$1:$O$1,0),FALSE)</f>
        <v>0</v>
      </c>
      <c r="BJ160">
        <f t="shared" si="57"/>
        <v>0</v>
      </c>
      <c r="BK160" t="str">
        <f>VLOOKUP(B160,Miljö!$B$1:$O$482,MATCH("Fossil andel i procent (%)",Miljö!$B$1:$O$1,0),FALSE)</f>
        <v>ET</v>
      </c>
      <c r="BL160">
        <f t="shared" si="58"/>
        <v>3.5571000000000002</v>
      </c>
      <c r="BO160" s="18">
        <f t="shared" si="59"/>
        <v>3.4859857749290152E-2</v>
      </c>
      <c r="BP160" s="18">
        <f t="shared" si="60"/>
        <v>0</v>
      </c>
      <c r="BQ160" s="18">
        <f t="shared" si="61"/>
        <v>0.96514014225070976</v>
      </c>
      <c r="BR160" s="18">
        <f t="shared" si="62"/>
        <v>0</v>
      </c>
      <c r="BT160" s="27">
        <f t="shared" si="63"/>
        <v>0.99999999999999989</v>
      </c>
      <c r="BW160" s="18">
        <f>IF(AP160="ja",VLOOKUP(B160,Miljövärden!$B$2:$H$550,MATCH("Total andel fossilt",Miljövärden!$B$2:$H$2,0),FALSE),"")</f>
        <v>3.4859899999999999E-2</v>
      </c>
      <c r="BZ160" s="28">
        <f t="shared" si="64"/>
        <v>4.2250709847424517E-8</v>
      </c>
      <c r="CA160" s="28">
        <f t="shared" si="65"/>
        <v>0</v>
      </c>
    </row>
    <row r="161" spans="1:79" x14ac:dyDescent="0.25">
      <c r="A161" s="224" t="s">
        <v>419</v>
      </c>
      <c r="B161" s="210" t="s">
        <v>420</v>
      </c>
      <c r="C161" s="121">
        <f>VLOOKUP($B161,'Tillförd energi'!$B$1:$AI$720,MATCH(C$1,'Tillförd energi'!$B$1:$AQ$1,0),FALSE)</f>
        <v>0</v>
      </c>
      <c r="D161" s="121">
        <f>VLOOKUP($B161,'Tillförd energi'!$B$1:$AI$720,MATCH(D$1,'Tillförd energi'!$B$1:$AQ$1,0),FALSE)</f>
        <v>2.06</v>
      </c>
      <c r="E161" s="121">
        <f>VLOOKUP($B161,'Tillförd energi'!$B$1:$AI$720,MATCH(E$1,'Tillförd energi'!$B$1:$AQ$1,0),FALSE)</f>
        <v>0</v>
      </c>
      <c r="F161" s="121">
        <f>VLOOKUP($B161,'Tillförd energi'!$B$1:$AI$720,MATCH(F$1,'Tillförd energi'!$B$1:$AQ$1,0),FALSE)</f>
        <v>0</v>
      </c>
      <c r="G161" s="121">
        <f>VLOOKUP($B161,'Tillförd energi'!$B$1:$AI$720,MATCH(G$1,'Tillförd energi'!$B$1:$AQ$1,0),FALSE)</f>
        <v>0</v>
      </c>
      <c r="H161" s="121">
        <f>VLOOKUP($B161,'Tillförd energi'!$B$1:$AI$720,MATCH(H$1,'Tillförd energi'!$B$1:$AQ$1,0),FALSE)</f>
        <v>0</v>
      </c>
      <c r="I161" s="121">
        <f>VLOOKUP($B161,'Tillförd energi'!$B$1:$AI$720,MATCH(I$1,'Tillförd energi'!$B$1:$AQ$1,0),FALSE)</f>
        <v>0</v>
      </c>
      <c r="J161" s="121">
        <f>VLOOKUP($B161,'Tillförd energi'!$B$1:$AI$720,MATCH(J$1,'Tillförd energi'!$B$1:$AQ$1,0),FALSE)</f>
        <v>0</v>
      </c>
      <c r="K161" s="121">
        <f>VLOOKUP($B161,'Tillförd energi'!$B$1:$AI$720,MATCH(K$1,'Tillförd energi'!$B$1:$AQ$1,0),FALSE)</f>
        <v>0</v>
      </c>
      <c r="L161" s="121">
        <f>VLOOKUP($B161,'Tillförd energi'!$B$1:$AI$720,MATCH(L$1,'Tillförd energi'!$B$1:$AQ$1,0),FALSE)</f>
        <v>0</v>
      </c>
      <c r="M161" s="121">
        <f>VLOOKUP($B161,'Tillförd energi'!$B$1:$AI$720,MATCH(M$1,'Tillförd energi'!$B$1:$AQ$1,0),FALSE)</f>
        <v>0</v>
      </c>
      <c r="N161" s="121">
        <f>VLOOKUP($B161,'Tillförd energi'!$B$1:$AI$720,MATCH(N$1,'Tillförd energi'!$B$1:$AQ$1,0),FALSE)</f>
        <v>0</v>
      </c>
      <c r="O161" s="121">
        <f>VLOOKUP($B161,'Tillförd energi'!$B$1:$AI$720,MATCH(O$1,'Tillförd energi'!$B$1:$AQ$1,0),FALSE)</f>
        <v>0</v>
      </c>
      <c r="P161" s="121">
        <f>VLOOKUP($B161,'Tillförd energi'!$B$1:$AI$720,MATCH(P$1,'Tillförd energi'!$B$1:$AQ$1,0),FALSE)</f>
        <v>0</v>
      </c>
      <c r="Q161" s="121">
        <f>VLOOKUP($B161,'Tillförd energi'!$B$1:$AI$720,MATCH(Q$1,'Tillförd energi'!$B$1:$AQ$1,0),FALSE)</f>
        <v>0</v>
      </c>
      <c r="R161" s="121">
        <f>VLOOKUP($B161,'Tillförd energi'!$B$1:$AI$720,MATCH(R$1,'Tillförd energi'!$B$1:$AQ$1,0),FALSE)</f>
        <v>0</v>
      </c>
      <c r="S161" s="121">
        <f>VLOOKUP($B161,'Tillförd energi'!$B$1:$AI$720,MATCH(S$1,'Tillförd energi'!$B$1:$AQ$1,0),FALSE)</f>
        <v>0</v>
      </c>
      <c r="T161" s="121">
        <f>VLOOKUP($B161,'Tillförd energi'!$B$1:$AI$720,MATCH(T$1,'Tillförd energi'!$B$1:$AQ$1,0),FALSE)</f>
        <v>0</v>
      </c>
      <c r="U161" s="121">
        <f>VLOOKUP($B161,'Tillförd energi'!$B$1:$AI$720,MATCH(U$1,'Tillförd energi'!$B$1:$AQ$1,0),FALSE)</f>
        <v>0</v>
      </c>
      <c r="V161" s="121">
        <f>VLOOKUP($B161,'Tillförd energi'!$B$1:$AI$720,MATCH(V$1,'Tillförd energi'!$B$1:$AQ$1,0),FALSE)</f>
        <v>0</v>
      </c>
      <c r="W161" s="121">
        <f>VLOOKUP($B161,'Tillförd energi'!$B$1:$AI$720,MATCH(W$1,'Tillförd energi'!$B$1:$AQ$1,0),FALSE)</f>
        <v>0</v>
      </c>
      <c r="X161" s="121">
        <f>VLOOKUP($B161,'Tillförd energi'!$B$1:$AI$720,MATCH(X$1,'Tillförd energi'!$B$1:$AQ$1,0),FALSE)</f>
        <v>0</v>
      </c>
      <c r="Y161" s="121">
        <f>VLOOKUP($B161,'Tillförd energi'!$B$1:$AI$720,MATCH(Y$1,'Tillförd energi'!$B$1:$AQ$1,0),FALSE)</f>
        <v>0</v>
      </c>
      <c r="Z161" s="121">
        <f>VLOOKUP($B161,'Tillförd energi'!$B$1:$AI$720,MATCH(Z$1,'Tillförd energi'!$B$1:$AQ$1,0),FALSE)</f>
        <v>0</v>
      </c>
      <c r="AA161" s="121">
        <f>VLOOKUP($B161,'Tillförd energi'!$B$1:$AI$720,MATCH(AA$1,'Tillförd energi'!$B$1:$AQ$1,0),FALSE)</f>
        <v>0</v>
      </c>
      <c r="AB161" s="121">
        <f>VLOOKUP($B161,'Tillförd energi'!$B$1:$AI$720,MATCH(AB$1,'Tillförd energi'!$B$1:$AQ$1,0),FALSE)</f>
        <v>0</v>
      </c>
      <c r="AC161" s="121">
        <f>VLOOKUP($B161,'Tillförd energi'!$B$1:$AI$720,MATCH(AC$1,'Tillförd energi'!$B$1:$AQ$1,0),FALSE)</f>
        <v>0</v>
      </c>
      <c r="AD161" s="121">
        <f>VLOOKUP($B161,'Tillförd energi'!$B$1:$AI$720,MATCH(AD$1,'Tillförd energi'!$B$1:$AQ$1,0),FALSE)</f>
        <v>55.55</v>
      </c>
      <c r="AE161" s="121">
        <f>VLOOKUP($B161,'Tillförd energi'!$B$1:$AI$720,MATCH(AE$1,'Tillförd energi'!$B$1:$AQ$1,0),FALSE)</f>
        <v>0</v>
      </c>
      <c r="AF161" s="121">
        <f>VLOOKUP($B161,'Tillförd energi'!$B$1:$AI$720,MATCH(AF$1,'Tillförd energi'!$B$1:$AQ$1,0),FALSE)</f>
        <v>1.3312200000000001</v>
      </c>
      <c r="AG161" s="121">
        <f>IFERROR(VLOOKUP(B161,Miljö!$B$1:$AC$550,MATCH("Köpt mängd produktionsspecifik fjärrvärme:",Miljö!$B$1:$AC$1,0),FALSE)/1,0)</f>
        <v>0</v>
      </c>
      <c r="AH161" s="121"/>
      <c r="AI161" s="121">
        <f t="shared" si="44"/>
        <v>58.941220000000001</v>
      </c>
      <c r="AJ161" s="121">
        <f t="shared" si="45"/>
        <v>58.941220000000001</v>
      </c>
      <c r="AK161" s="121">
        <f>IF(ISERROR(1/VLOOKUP($B161,Leveranser!$B$1:$S$499,MATCH("såld värme (gwh)",Leveranser!$B$1:$S$1,0),FALSE)),"",VLOOKUP($B161,Leveranser!$B$1:$S$499,MATCH("såld värme (gwh)",Leveranser!$B$1:$S$1,0),FALSE))</f>
        <v>44.374000000000002</v>
      </c>
      <c r="AL161" s="121">
        <f>VLOOKUP($B161,Leveranser!$B$1:$Y$499,MATCH("Totalt såld fjärrvärme till andra fjärrvärmeföretag",Leveranser!$B$1:$AA$1,0),FALSE)</f>
        <v>0</v>
      </c>
      <c r="AM161" s="121">
        <f>IF(ISERROR(1/VLOOKUP($B161,Miljö!$B$1:$S$500,MATCH("Såld mängd produktionsspecifik fjärrvärme (GWh)",Miljö!$B$1:$R$1,0),FALSE)),0,VLOOKUP($B161,Miljö!$B$1:$S$500,MATCH("Såld mängd produktionsspecifik fjärrvärme (GWh)",Miljö!$B$1:$R$1,0),FALSE))</f>
        <v>0</v>
      </c>
      <c r="AN161" s="172">
        <f t="shared" si="46"/>
        <v>0.75285173941089112</v>
      </c>
      <c r="AO161" s="121"/>
      <c r="AP161" s="121" t="str">
        <f>IFERROR(VLOOKUP($B161,Miljövärden!$B$2:$H$550,7,FALSE),"Nej, saknas")</f>
        <v>Ja</v>
      </c>
      <c r="AQ161" s="121" t="str">
        <f>IFERROR(VLOOKUP($B161,Miljövärden!$B$2:$H$550,6,FALSE),"Nej, saknas")</f>
        <v>Ja</v>
      </c>
      <c r="AU161">
        <f t="shared" si="47"/>
        <v>1.3312200000000001</v>
      </c>
      <c r="AV161">
        <f t="shared" si="48"/>
        <v>0</v>
      </c>
      <c r="AW161">
        <f t="shared" si="49"/>
        <v>0</v>
      </c>
      <c r="AX161">
        <f t="shared" si="50"/>
        <v>0</v>
      </c>
      <c r="AZ161">
        <f t="shared" si="51"/>
        <v>0</v>
      </c>
      <c r="BC161">
        <f t="shared" si="52"/>
        <v>2.06</v>
      </c>
      <c r="BD161">
        <f t="shared" si="53"/>
        <v>0</v>
      </c>
      <c r="BE161">
        <f t="shared" si="54"/>
        <v>0</v>
      </c>
      <c r="BF161">
        <f t="shared" si="55"/>
        <v>55.55</v>
      </c>
      <c r="BG161">
        <f t="shared" si="56"/>
        <v>1.3312200000000001</v>
      </c>
      <c r="BH161">
        <f>VLOOKUP(B161,Miljö!$B$1:$BX$482,MATCH("Fossilandel för ursprungspecificerad el ()",Miljö!$B$1:$I$1,0),FALSE)</f>
        <v>0.43</v>
      </c>
      <c r="BI161">
        <f>VLOOKUP(B161,Miljö!$B$1:$BX$482,MATCH("Kärnkraftsandel för ursprungsspecificerad el ()",Miljö!$B$1:$O$1,0),FALSE)</f>
        <v>0.40550000000000003</v>
      </c>
      <c r="BJ161">
        <f t="shared" si="57"/>
        <v>0</v>
      </c>
      <c r="BK161" t="str">
        <f>VLOOKUP(B161,Miljö!$B$1:$O$482,MATCH("Fossil andel i procent (%)",Miljö!$B$1:$O$1,0),FALSE)</f>
        <v>ET</v>
      </c>
      <c r="BL161">
        <f t="shared" si="58"/>
        <v>58.941220000000001</v>
      </c>
      <c r="BO161" s="18">
        <f t="shared" si="59"/>
        <v>4.4661861427367812E-2</v>
      </c>
      <c r="BP161" s="18">
        <f t="shared" si="60"/>
        <v>9.1584414099334915E-3</v>
      </c>
      <c r="BQ161" s="18">
        <f t="shared" si="61"/>
        <v>3.7153233339927484E-3</v>
      </c>
      <c r="BR161" s="18">
        <f t="shared" si="62"/>
        <v>0.94246437382870585</v>
      </c>
      <c r="BT161" s="27">
        <f t="shared" si="63"/>
        <v>0.99999999999999989</v>
      </c>
      <c r="BW161" s="18">
        <f>IF(AP161="ja",VLOOKUP(B161,Miljövärden!$B$2:$H$550,MATCH("Total andel fossilt",Miljövärden!$B$2:$H$2,0),FALSE),"")</f>
        <v>4.4662E-2</v>
      </c>
      <c r="BZ161" s="28">
        <f t="shared" si="64"/>
        <v>1.385726321884162E-7</v>
      </c>
      <c r="CA161" s="28">
        <f t="shared" si="65"/>
        <v>0</v>
      </c>
    </row>
    <row r="162" spans="1:79" x14ac:dyDescent="0.25">
      <c r="A162" s="224" t="s">
        <v>421</v>
      </c>
      <c r="B162" s="210" t="s">
        <v>422</v>
      </c>
      <c r="C162" s="121">
        <f>VLOOKUP($B162,'Tillförd energi'!$B$1:$AI$720,MATCH(C$1,'Tillförd energi'!$B$1:$AQ$1,0),FALSE)</f>
        <v>0</v>
      </c>
      <c r="D162" s="121">
        <f>VLOOKUP($B162,'Tillförd energi'!$B$1:$AI$720,MATCH(D$1,'Tillförd energi'!$B$1:$AQ$1,0),FALSE)</f>
        <v>0</v>
      </c>
      <c r="E162" s="121">
        <f>VLOOKUP($B162,'Tillförd energi'!$B$1:$AI$720,MATCH(E$1,'Tillförd energi'!$B$1:$AQ$1,0),FALSE)</f>
        <v>0</v>
      </c>
      <c r="F162" s="121">
        <f>VLOOKUP($B162,'Tillförd energi'!$B$1:$AI$720,MATCH(F$1,'Tillförd energi'!$B$1:$AQ$1,0),FALSE)</f>
        <v>0</v>
      </c>
      <c r="G162" s="121">
        <f>VLOOKUP($B162,'Tillförd energi'!$B$1:$AI$720,MATCH(G$1,'Tillförd energi'!$B$1:$AQ$1,0),FALSE)</f>
        <v>0</v>
      </c>
      <c r="H162" s="121">
        <f>VLOOKUP($B162,'Tillförd energi'!$B$1:$AI$720,MATCH(H$1,'Tillförd energi'!$B$1:$AQ$1,0),FALSE)</f>
        <v>0</v>
      </c>
      <c r="I162" s="121">
        <f>VLOOKUP($B162,'Tillförd energi'!$B$1:$AI$720,MATCH(I$1,'Tillförd energi'!$B$1:$AQ$1,0),FALSE)</f>
        <v>55.46</v>
      </c>
      <c r="J162" s="121">
        <f>VLOOKUP($B162,'Tillförd energi'!$B$1:$AI$720,MATCH(J$1,'Tillförd energi'!$B$1:$AQ$1,0),FALSE)</f>
        <v>0</v>
      </c>
      <c r="K162" s="121">
        <f>VLOOKUP($B162,'Tillförd energi'!$B$1:$AI$720,MATCH(K$1,'Tillförd energi'!$B$1:$AQ$1,0),FALSE)</f>
        <v>0</v>
      </c>
      <c r="L162" s="121">
        <f>VLOOKUP($B162,'Tillförd energi'!$B$1:$AI$720,MATCH(L$1,'Tillförd energi'!$B$1:$AQ$1,0),FALSE)</f>
        <v>0</v>
      </c>
      <c r="M162" s="121">
        <f>VLOOKUP($B162,'Tillförd energi'!$B$1:$AI$720,MATCH(M$1,'Tillförd energi'!$B$1:$AQ$1,0),FALSE)</f>
        <v>0</v>
      </c>
      <c r="N162" s="121">
        <f>VLOOKUP($B162,'Tillförd energi'!$B$1:$AI$720,MATCH(N$1,'Tillförd energi'!$B$1:$AQ$1,0),FALSE)</f>
        <v>0</v>
      </c>
      <c r="O162" s="121">
        <f>VLOOKUP($B162,'Tillförd energi'!$B$1:$AI$720,MATCH(O$1,'Tillförd energi'!$B$1:$AQ$1,0),FALSE)</f>
        <v>0</v>
      </c>
      <c r="P162" s="121">
        <f>VLOOKUP($B162,'Tillförd energi'!$B$1:$AI$720,MATCH(P$1,'Tillförd energi'!$B$1:$AQ$1,0),FALSE)</f>
        <v>0</v>
      </c>
      <c r="Q162" s="121">
        <f>VLOOKUP($B162,'Tillförd energi'!$B$1:$AI$720,MATCH(Q$1,'Tillförd energi'!$B$1:$AQ$1,0),FALSE)</f>
        <v>0</v>
      </c>
      <c r="R162" s="121">
        <f>VLOOKUP($B162,'Tillförd energi'!$B$1:$AI$720,MATCH(R$1,'Tillförd energi'!$B$1:$AQ$1,0),FALSE)</f>
        <v>0</v>
      </c>
      <c r="S162" s="121">
        <f>VLOOKUP($B162,'Tillförd energi'!$B$1:$AI$720,MATCH(S$1,'Tillförd energi'!$B$1:$AQ$1,0),FALSE)</f>
        <v>0</v>
      </c>
      <c r="T162" s="121">
        <f>VLOOKUP($B162,'Tillförd energi'!$B$1:$AI$720,MATCH(T$1,'Tillförd energi'!$B$1:$AQ$1,0),FALSE)</f>
        <v>0</v>
      </c>
      <c r="U162" s="121">
        <f>VLOOKUP($B162,'Tillförd energi'!$B$1:$AI$720,MATCH(U$1,'Tillförd energi'!$B$1:$AQ$1,0),FALSE)</f>
        <v>0</v>
      </c>
      <c r="V162" s="121">
        <f>VLOOKUP($B162,'Tillförd energi'!$B$1:$AI$720,MATCH(V$1,'Tillförd energi'!$B$1:$AQ$1,0),FALSE)</f>
        <v>0</v>
      </c>
      <c r="W162" s="121">
        <f>VLOOKUP($B162,'Tillförd energi'!$B$1:$AI$720,MATCH(W$1,'Tillförd energi'!$B$1:$AQ$1,0),FALSE)</f>
        <v>0</v>
      </c>
      <c r="X162" s="121">
        <f>VLOOKUP($B162,'Tillförd energi'!$B$1:$AI$720,MATCH(X$1,'Tillförd energi'!$B$1:$AQ$1,0),FALSE)</f>
        <v>0</v>
      </c>
      <c r="Y162" s="121">
        <f>VLOOKUP($B162,'Tillförd energi'!$B$1:$AI$720,MATCH(Y$1,'Tillförd energi'!$B$1:$AQ$1,0),FALSE)</f>
        <v>0</v>
      </c>
      <c r="Z162" s="121">
        <f>VLOOKUP($B162,'Tillförd energi'!$B$1:$AI$720,MATCH(Z$1,'Tillförd energi'!$B$1:$AQ$1,0),FALSE)</f>
        <v>0</v>
      </c>
      <c r="AA162" s="121">
        <f>VLOOKUP($B162,'Tillförd energi'!$B$1:$AI$720,MATCH(AA$1,'Tillförd energi'!$B$1:$AQ$1,0),FALSE)</f>
        <v>0</v>
      </c>
      <c r="AB162" s="121">
        <f>VLOOKUP($B162,'Tillförd energi'!$B$1:$AI$720,MATCH(AB$1,'Tillförd energi'!$B$1:$AQ$1,0),FALSE)</f>
        <v>0</v>
      </c>
      <c r="AC162" s="121">
        <f>VLOOKUP($B162,'Tillförd energi'!$B$1:$AI$720,MATCH(AC$1,'Tillförd energi'!$B$1:$AQ$1,0),FALSE)</f>
        <v>0</v>
      </c>
      <c r="AD162" s="121">
        <f>VLOOKUP($B162,'Tillförd energi'!$B$1:$AI$720,MATCH(AD$1,'Tillförd energi'!$B$1:$AQ$1,0),FALSE)</f>
        <v>11.773999999999999</v>
      </c>
      <c r="AE162" s="121">
        <f>VLOOKUP($B162,'Tillförd energi'!$B$1:$AI$720,MATCH(AE$1,'Tillförd energi'!$B$1:$AQ$1,0),FALSE)</f>
        <v>0</v>
      </c>
      <c r="AF162" s="121">
        <f>VLOOKUP($B162,'Tillförd energi'!$B$1:$AI$720,MATCH(AF$1,'Tillförd energi'!$B$1:$AQ$1,0),FALSE)</f>
        <v>27.625</v>
      </c>
      <c r="AG162" s="121">
        <f>IFERROR(VLOOKUP(B162,Miljö!$B$1:$AC$550,MATCH("Köpt mängd produktionsspecifik fjärrvärme:",Miljö!$B$1:$AC$1,0),FALSE)/1,0)</f>
        <v>0</v>
      </c>
      <c r="AH162" s="121"/>
      <c r="AI162" s="121">
        <f t="shared" ref="AI162:AI222" si="66">SUM(C162:AF162)</f>
        <v>94.858999999999995</v>
      </c>
      <c r="AJ162" s="121">
        <f t="shared" ref="AJ162:AJ222" si="67">SUM(C162:AG162)</f>
        <v>94.858999999999995</v>
      </c>
      <c r="AK162" s="121">
        <f>IF(ISERROR(1/VLOOKUP($B162,Leveranser!$B$1:$S$499,MATCH("såld värme (gwh)",Leveranser!$B$1:$S$1,0),FALSE)),"",VLOOKUP($B162,Leveranser!$B$1:$S$499,MATCH("såld värme (gwh)",Leveranser!$B$1:$S$1,0),FALSE))</f>
        <v>75.518000000000001</v>
      </c>
      <c r="AL162" s="121">
        <f>VLOOKUP($B162,Leveranser!$B$1:$Y$499,MATCH("Totalt såld fjärrvärme till andra fjärrvärmeföretag",Leveranser!$B$1:$AA$1,0),FALSE)</f>
        <v>0</v>
      </c>
      <c r="AM162" s="121">
        <f>IF(ISERROR(1/VLOOKUP($B162,Miljö!$B$1:$S$500,MATCH("Såld mängd produktionsspecifik fjärrvärme (GWh)",Miljö!$B$1:$R$1,0),FALSE)),0,VLOOKUP($B162,Miljö!$B$1:$S$500,MATCH("Såld mängd produktionsspecifik fjärrvärme (GWh)",Miljö!$B$1:$R$1,0),FALSE))</f>
        <v>0</v>
      </c>
      <c r="AN162" s="172">
        <f t="shared" ref="AN162:AN222" si="68">IFERROR(AK162/AJ162,"")</f>
        <v>0.79610790752590688</v>
      </c>
      <c r="AO162" s="121"/>
      <c r="AP162" s="121" t="str">
        <f>IFERROR(VLOOKUP($B162,Miljövärden!$B$2:$H$550,7,FALSE),"Nej, saknas")</f>
        <v>Ja</v>
      </c>
      <c r="AQ162" s="121" t="str">
        <f>IFERROR(VLOOKUP($B162,Miljövärden!$B$2:$H$550,6,FALSE),"Nej, saknas")</f>
        <v>Ja</v>
      </c>
      <c r="AU162">
        <f t="shared" ref="AU162:AU222" si="69">Z162+AA162+AF162</f>
        <v>27.625</v>
      </c>
      <c r="AV162">
        <f t="shared" ref="AV162:AV222" si="70">X162</f>
        <v>0</v>
      </c>
      <c r="AW162">
        <f t="shared" ref="AW162:AW222" si="71">M162+N162+O162+P162+Q162</f>
        <v>0</v>
      </c>
      <c r="AX162">
        <f t="shared" ref="AX162:AX222" si="72">R162+S162+T162+U162</f>
        <v>0</v>
      </c>
      <c r="AZ162">
        <f t="shared" ref="AZ162:AZ222" si="73">L162+M162+N162+O162+P162+Q162+R162+S162+T162+U162+V162+W162+X162</f>
        <v>0</v>
      </c>
      <c r="BC162">
        <f t="shared" ref="BC162:BC222" si="74">C162+D162+E162+F162+G162+H162+AE162</f>
        <v>0</v>
      </c>
      <c r="BD162">
        <f t="shared" ref="BD162:BD222" si="75">Y162</f>
        <v>0</v>
      </c>
      <c r="BE162">
        <f t="shared" ref="BE162:BE222" si="76">M162+N162+O162+P162+Q162+R162+S162+T162+U162+V162+W162+X162</f>
        <v>0</v>
      </c>
      <c r="BF162">
        <f t="shared" ref="BF162:BF222" si="77">I162+J162+K162+L162+AB162+AC162+AD162</f>
        <v>67.233999999999995</v>
      </c>
      <c r="BG162">
        <f t="shared" ref="BG162:BG222" si="78">Z162+AA162+AF162</f>
        <v>27.625</v>
      </c>
      <c r="BH162">
        <f>VLOOKUP(B162,Miljö!$B$1:$BX$482,MATCH("Fossilandel för ursprungspecificerad el ()",Miljö!$B$1:$I$1,0),FALSE)</f>
        <v>0</v>
      </c>
      <c r="BI162">
        <f>VLOOKUP(B162,Miljö!$B$1:$BX$482,MATCH("Kärnkraftsandel för ursprungsspecificerad el ()",Miljö!$B$1:$O$1,0),FALSE)</f>
        <v>0</v>
      </c>
      <c r="BJ162">
        <f t="shared" ref="BJ162:BJ222" si="79">AG162</f>
        <v>0</v>
      </c>
      <c r="BK162" t="str">
        <f>VLOOKUP(B162,Miljö!$B$1:$O$482,MATCH("Fossil andel i procent (%)",Miljö!$B$1:$O$1,0),FALSE)</f>
        <v>ET</v>
      </c>
      <c r="BL162">
        <f t="shared" ref="BL162:BL222" si="80">SUM(BC162:BG162,BJ162)</f>
        <v>94.858999999999995</v>
      </c>
      <c r="BO162" s="18">
        <f t="shared" ref="BO162:BO222" si="81">IF(AP162="ja",(BC162+IFERROR(BG162*BH162,0)+IFERROR(BJ162*BK162/100,0))/$BL162,"")</f>
        <v>0</v>
      </c>
      <c r="BP162" s="18">
        <f t="shared" ref="BP162:BP222" si="82">IF(AP162="ja",(BD162+IFERROR(BG162*BI162,0)+IFERROR(BJ162*(1-BK162/100),0))/$BL162,"")</f>
        <v>0</v>
      </c>
      <c r="BQ162" s="18">
        <f t="shared" ref="BQ162:BQ222" si="83">IF(AP162="ja",(BE162+IFERROR(BG162*(1-BH162-BI162),0))/$BL162,"")</f>
        <v>0.29122170800872876</v>
      </c>
      <c r="BR162" s="18">
        <f t="shared" ref="BR162:BR222" si="84">IF(AP162="ja",BF162/$BL162,"")</f>
        <v>0.70877829199127129</v>
      </c>
      <c r="BT162" s="27">
        <f t="shared" ref="BT162:BT222" si="85">SUM(BO162:BR162)</f>
        <v>1</v>
      </c>
      <c r="BW162" s="18">
        <f>IF(AP162="ja",VLOOKUP(B162,Miljövärden!$B$2:$H$550,MATCH("Total andel fossilt",Miljövärden!$B$2:$H$2,0),FALSE),"")</f>
        <v>0</v>
      </c>
      <c r="BZ162" s="28">
        <f t="shared" ref="BZ162:BZ222" si="86">IFERROR(BW162-BO162,"")</f>
        <v>0</v>
      </c>
      <c r="CA162" s="28">
        <f t="shared" ref="CA162:CA222" si="87">IFERROR(ROUND(BW162,3)-ROUND(BO162,3),"")</f>
        <v>0</v>
      </c>
    </row>
    <row r="163" spans="1:79" x14ac:dyDescent="0.25">
      <c r="A163" s="224" t="s">
        <v>421</v>
      </c>
      <c r="B163" s="210" t="s">
        <v>423</v>
      </c>
      <c r="C163" s="121">
        <f>VLOOKUP($B163,'Tillförd energi'!$B$1:$AI$720,MATCH(C$1,'Tillförd energi'!$B$1:$AQ$1,0),FALSE)</f>
        <v>0</v>
      </c>
      <c r="D163" s="121">
        <f>VLOOKUP($B163,'Tillförd energi'!$B$1:$AI$720,MATCH(D$1,'Tillförd energi'!$B$1:$AQ$1,0),FALSE)</f>
        <v>3.8860000000000001</v>
      </c>
      <c r="E163" s="121">
        <f>VLOOKUP($B163,'Tillförd energi'!$B$1:$AI$720,MATCH(E$1,'Tillförd energi'!$B$1:$AQ$1,0),FALSE)</f>
        <v>0</v>
      </c>
      <c r="F163" s="121">
        <f>VLOOKUP($B163,'Tillförd energi'!$B$1:$AI$720,MATCH(F$1,'Tillförd energi'!$B$1:$AQ$1,0),FALSE)</f>
        <v>0</v>
      </c>
      <c r="G163" s="121">
        <f>VLOOKUP($B163,'Tillförd energi'!$B$1:$AI$720,MATCH(G$1,'Tillförd energi'!$B$1:$AQ$1,0),FALSE)</f>
        <v>0</v>
      </c>
      <c r="H163" s="121">
        <f>VLOOKUP($B163,'Tillförd energi'!$B$1:$AI$720,MATCH(H$1,'Tillförd energi'!$B$1:$AQ$1,0),FALSE)</f>
        <v>0</v>
      </c>
      <c r="I163" s="121">
        <f>VLOOKUP($B163,'Tillförd energi'!$B$1:$AI$720,MATCH(I$1,'Tillförd energi'!$B$1:$AQ$1,0),FALSE)</f>
        <v>266.88099999999997</v>
      </c>
      <c r="J163" s="121">
        <f>VLOOKUP($B163,'Tillförd energi'!$B$1:$AI$720,MATCH(J$1,'Tillförd energi'!$B$1:$AQ$1,0),FALSE)</f>
        <v>0</v>
      </c>
      <c r="K163" s="121">
        <f>VLOOKUP($B163,'Tillförd energi'!$B$1:$AI$720,MATCH(K$1,'Tillförd energi'!$B$1:$AQ$1,0),FALSE)</f>
        <v>0</v>
      </c>
      <c r="L163" s="121">
        <f>VLOOKUP($B163,'Tillförd energi'!$B$1:$AI$720,MATCH(L$1,'Tillförd energi'!$B$1:$AQ$1,0),FALSE)</f>
        <v>0</v>
      </c>
      <c r="M163" s="121">
        <f>VLOOKUP($B163,'Tillförd energi'!$B$1:$AI$720,MATCH(M$1,'Tillförd energi'!$B$1:$AQ$1,0),FALSE)</f>
        <v>0</v>
      </c>
      <c r="N163" s="121">
        <f>VLOOKUP($B163,'Tillförd energi'!$B$1:$AI$720,MATCH(N$1,'Tillförd energi'!$B$1:$AQ$1,0),FALSE)</f>
        <v>0</v>
      </c>
      <c r="O163" s="121">
        <f>VLOOKUP($B163,'Tillförd energi'!$B$1:$AI$720,MATCH(O$1,'Tillförd energi'!$B$1:$AQ$1,0),FALSE)</f>
        <v>0</v>
      </c>
      <c r="P163" s="121">
        <f>VLOOKUP($B163,'Tillförd energi'!$B$1:$AI$720,MATCH(P$1,'Tillförd energi'!$B$1:$AQ$1,0),FALSE)</f>
        <v>0</v>
      </c>
      <c r="Q163" s="121">
        <f>VLOOKUP($B163,'Tillförd energi'!$B$1:$AI$720,MATCH(Q$1,'Tillförd energi'!$B$1:$AQ$1,0),FALSE)</f>
        <v>0</v>
      </c>
      <c r="R163" s="121">
        <f>VLOOKUP($B163,'Tillförd energi'!$B$1:$AI$720,MATCH(R$1,'Tillförd energi'!$B$1:$AQ$1,0),FALSE)</f>
        <v>0</v>
      </c>
      <c r="S163" s="121">
        <f>VLOOKUP($B163,'Tillförd energi'!$B$1:$AI$720,MATCH(S$1,'Tillförd energi'!$B$1:$AQ$1,0),FALSE)</f>
        <v>0</v>
      </c>
      <c r="T163" s="121">
        <f>VLOOKUP($B163,'Tillförd energi'!$B$1:$AI$720,MATCH(T$1,'Tillförd energi'!$B$1:$AQ$1,0),FALSE)</f>
        <v>0</v>
      </c>
      <c r="U163" s="121">
        <f>VLOOKUP($B163,'Tillförd energi'!$B$1:$AI$720,MATCH(U$1,'Tillförd energi'!$B$1:$AQ$1,0),FALSE)</f>
        <v>0</v>
      </c>
      <c r="V163" s="121">
        <f>VLOOKUP($B163,'Tillförd energi'!$B$1:$AI$720,MATCH(V$1,'Tillförd energi'!$B$1:$AQ$1,0),FALSE)</f>
        <v>0</v>
      </c>
      <c r="W163" s="121">
        <f>VLOOKUP($B163,'Tillförd energi'!$B$1:$AI$720,MATCH(W$1,'Tillförd energi'!$B$1:$AQ$1,0),FALSE)</f>
        <v>4.6749999999999998</v>
      </c>
      <c r="X163" s="121">
        <f>VLOOKUP($B163,'Tillförd energi'!$B$1:$AI$720,MATCH(X$1,'Tillförd energi'!$B$1:$AQ$1,0),FALSE)</f>
        <v>0</v>
      </c>
      <c r="Y163" s="121">
        <f>VLOOKUP($B163,'Tillförd energi'!$B$1:$AI$720,MATCH(Y$1,'Tillförd energi'!$B$1:$AQ$1,0),FALSE)</f>
        <v>0</v>
      </c>
      <c r="Z163" s="121">
        <f>VLOOKUP($B163,'Tillförd energi'!$B$1:$AI$720,MATCH(Z$1,'Tillförd energi'!$B$1:$AQ$1,0),FALSE)</f>
        <v>0</v>
      </c>
      <c r="AA163" s="121">
        <f>VLOOKUP($B163,'Tillförd energi'!$B$1:$AI$720,MATCH(AA$1,'Tillförd energi'!$B$1:$AQ$1,0),FALSE)</f>
        <v>0</v>
      </c>
      <c r="AB163" s="121">
        <f>VLOOKUP($B163,'Tillförd energi'!$B$1:$AI$720,MATCH(AB$1,'Tillförd energi'!$B$1:$AQ$1,0),FALSE)</f>
        <v>0</v>
      </c>
      <c r="AC163" s="121">
        <f>VLOOKUP($B163,'Tillförd energi'!$B$1:$AI$720,MATCH(AC$1,'Tillförd energi'!$B$1:$AQ$1,0),FALSE)</f>
        <v>19.329999999999998</v>
      </c>
      <c r="AD163" s="121">
        <f>VLOOKUP($B163,'Tillförd energi'!$B$1:$AI$720,MATCH(AD$1,'Tillförd energi'!$B$1:$AQ$1,0),FALSE)</f>
        <v>0</v>
      </c>
      <c r="AE163" s="121">
        <f>VLOOKUP($B163,'Tillförd energi'!$B$1:$AI$720,MATCH(AE$1,'Tillförd energi'!$B$1:$AQ$1,0),FALSE)</f>
        <v>0</v>
      </c>
      <c r="AF163" s="121">
        <f>VLOOKUP($B163,'Tillförd energi'!$B$1:$AI$720,MATCH(AF$1,'Tillförd energi'!$B$1:$AQ$1,0),FALSE)</f>
        <v>6.6128999999999998</v>
      </c>
      <c r="AG163" s="121">
        <f>IFERROR(VLOOKUP(B163,Miljö!$B$1:$AC$550,MATCH("Köpt mängd produktionsspecifik fjärrvärme:",Miljö!$B$1:$AC$1,0),FALSE)/1,0)</f>
        <v>0</v>
      </c>
      <c r="AH163" s="121"/>
      <c r="AI163" s="121">
        <f t="shared" si="66"/>
        <v>301.38490000000002</v>
      </c>
      <c r="AJ163" s="121">
        <f t="shared" si="67"/>
        <v>301.38490000000002</v>
      </c>
      <c r="AK163" s="121">
        <f>IF(ISERROR(1/VLOOKUP($B163,Leveranser!$B$1:$S$499,MATCH("såld värme (gwh)",Leveranser!$B$1:$S$1,0),FALSE)),"",VLOOKUP($B163,Leveranser!$B$1:$S$499,MATCH("såld värme (gwh)",Leveranser!$B$1:$S$1,0),FALSE))</f>
        <v>220.43</v>
      </c>
      <c r="AL163" s="121">
        <f>VLOOKUP($B163,Leveranser!$B$1:$Y$499,MATCH("Totalt såld fjärrvärme till andra fjärrvärmeföretag",Leveranser!$B$1:$AA$1,0),FALSE)</f>
        <v>0</v>
      </c>
      <c r="AM163" s="121">
        <f>IF(ISERROR(1/VLOOKUP($B163,Miljö!$B$1:$S$500,MATCH("Såld mängd produktionsspecifik fjärrvärme (GWh)",Miljö!$B$1:$R$1,0),FALSE)),0,VLOOKUP($B163,Miljö!$B$1:$S$500,MATCH("Såld mängd produktionsspecifik fjärrvärme (GWh)",Miljö!$B$1:$R$1,0),FALSE))</f>
        <v>0</v>
      </c>
      <c r="AN163" s="172">
        <f t="shared" si="68"/>
        <v>0.73139032512909574</v>
      </c>
      <c r="AO163" s="121"/>
      <c r="AP163" s="121" t="str">
        <f>IFERROR(VLOOKUP($B163,Miljövärden!$B$2:$H$550,7,FALSE),"Nej, saknas")</f>
        <v>Ja</v>
      </c>
      <c r="AQ163" s="121" t="str">
        <f>IFERROR(VLOOKUP($B163,Miljövärden!$B$2:$H$550,6,FALSE),"Nej, saknas")</f>
        <v>Nej</v>
      </c>
      <c r="AU163">
        <f t="shared" si="69"/>
        <v>6.6128999999999998</v>
      </c>
      <c r="AV163">
        <f t="shared" si="70"/>
        <v>0</v>
      </c>
      <c r="AW163">
        <f t="shared" si="71"/>
        <v>0</v>
      </c>
      <c r="AX163">
        <f t="shared" si="72"/>
        <v>0</v>
      </c>
      <c r="AZ163">
        <f t="shared" si="73"/>
        <v>4.6749999999999998</v>
      </c>
      <c r="BC163">
        <f t="shared" si="74"/>
        <v>3.8860000000000001</v>
      </c>
      <c r="BD163">
        <f t="shared" si="75"/>
        <v>0</v>
      </c>
      <c r="BE163">
        <f t="shared" si="76"/>
        <v>4.6749999999999998</v>
      </c>
      <c r="BF163">
        <f t="shared" si="77"/>
        <v>286.21099999999996</v>
      </c>
      <c r="BG163">
        <f t="shared" si="78"/>
        <v>6.6128999999999998</v>
      </c>
      <c r="BH163">
        <f>VLOOKUP(B163,Miljö!$B$1:$BX$482,MATCH("Fossilandel för ursprungspecificerad el ()",Miljö!$B$1:$I$1,0),FALSE)</f>
        <v>0</v>
      </c>
      <c r="BI163">
        <f>VLOOKUP(B163,Miljö!$B$1:$BX$482,MATCH("Kärnkraftsandel för ursprungsspecificerad el ()",Miljö!$B$1:$O$1,0),FALSE)</f>
        <v>0</v>
      </c>
      <c r="BJ163">
        <f t="shared" si="79"/>
        <v>0</v>
      </c>
      <c r="BK163" t="str">
        <f>VLOOKUP(B163,Miljö!$B$1:$O$482,MATCH("Fossil andel i procent (%)",Miljö!$B$1:$O$1,0),FALSE)</f>
        <v>ET</v>
      </c>
      <c r="BL163">
        <f t="shared" si="80"/>
        <v>301.38489999999996</v>
      </c>
      <c r="BO163" s="18">
        <f t="shared" si="81"/>
        <v>1.2893811202883756E-2</v>
      </c>
      <c r="BP163" s="18">
        <f t="shared" si="82"/>
        <v>0</v>
      </c>
      <c r="BQ163" s="18">
        <f t="shared" si="83"/>
        <v>3.745343578925156E-2</v>
      </c>
      <c r="BR163" s="18">
        <f t="shared" si="84"/>
        <v>0.94965275300786467</v>
      </c>
      <c r="BT163" s="27">
        <f t="shared" si="85"/>
        <v>1</v>
      </c>
      <c r="BW163" s="18">
        <f>IF(AP163="ja",VLOOKUP(B163,Miljövärden!$B$2:$H$550,MATCH("Total andel fossilt",Miljövärden!$B$2:$H$2,0),FALSE),"")</f>
        <v>1.28938E-2</v>
      </c>
      <c r="BZ163" s="28">
        <f t="shared" si="86"/>
        <v>-1.1202883756084026E-8</v>
      </c>
      <c r="CA163" s="28">
        <f t="shared" si="87"/>
        <v>0</v>
      </c>
    </row>
    <row r="164" spans="1:79" x14ac:dyDescent="0.25">
      <c r="A164" s="224" t="s">
        <v>424</v>
      </c>
      <c r="B164" s="210" t="s">
        <v>425</v>
      </c>
      <c r="C164" s="121">
        <f>VLOOKUP($B164,'Tillförd energi'!$B$1:$AI$720,MATCH(C$1,'Tillförd energi'!$B$1:$AQ$1,0),FALSE)</f>
        <v>0</v>
      </c>
      <c r="D164" s="121">
        <f>VLOOKUP($B164,'Tillförd energi'!$B$1:$AI$720,MATCH(D$1,'Tillförd energi'!$B$1:$AQ$1,0),FALSE)</f>
        <v>0.45800000000000002</v>
      </c>
      <c r="E164" s="121">
        <f>VLOOKUP($B164,'Tillförd energi'!$B$1:$AI$720,MATCH(E$1,'Tillförd energi'!$B$1:$AQ$1,0),FALSE)</f>
        <v>0</v>
      </c>
      <c r="F164" s="121">
        <f>VLOOKUP($B164,'Tillförd energi'!$B$1:$AI$720,MATCH(F$1,'Tillförd energi'!$B$1:$AQ$1,0),FALSE)</f>
        <v>0</v>
      </c>
      <c r="G164" s="121">
        <f>VLOOKUP($B164,'Tillförd energi'!$B$1:$AI$720,MATCH(G$1,'Tillförd energi'!$B$1:$AQ$1,0),FALSE)</f>
        <v>0</v>
      </c>
      <c r="H164" s="121">
        <f>VLOOKUP($B164,'Tillförd energi'!$B$1:$AI$720,MATCH(H$1,'Tillförd energi'!$B$1:$AQ$1,0),FALSE)</f>
        <v>0</v>
      </c>
      <c r="I164" s="121">
        <f>VLOOKUP($B164,'Tillförd energi'!$B$1:$AI$720,MATCH(I$1,'Tillförd energi'!$B$1:$AQ$1,0),FALSE)</f>
        <v>0</v>
      </c>
      <c r="J164" s="121">
        <f>VLOOKUP($B164,'Tillförd energi'!$B$1:$AI$720,MATCH(J$1,'Tillförd energi'!$B$1:$AQ$1,0),FALSE)</f>
        <v>0</v>
      </c>
      <c r="K164" s="121">
        <f>VLOOKUP($B164,'Tillförd energi'!$B$1:$AI$720,MATCH(K$1,'Tillförd energi'!$B$1:$AQ$1,0),FALSE)</f>
        <v>0</v>
      </c>
      <c r="L164" s="121">
        <f>VLOOKUP($B164,'Tillförd energi'!$B$1:$AI$720,MATCH(L$1,'Tillförd energi'!$B$1:$AQ$1,0),FALSE)</f>
        <v>0</v>
      </c>
      <c r="M164" s="121">
        <f>VLOOKUP($B164,'Tillförd energi'!$B$1:$AI$720,MATCH(M$1,'Tillförd energi'!$B$1:$AQ$1,0),FALSE)</f>
        <v>0</v>
      </c>
      <c r="N164" s="121">
        <f>VLOOKUP($B164,'Tillförd energi'!$B$1:$AI$720,MATCH(N$1,'Tillförd energi'!$B$1:$AQ$1,0),FALSE)</f>
        <v>0</v>
      </c>
      <c r="O164" s="121">
        <f>VLOOKUP($B164,'Tillförd energi'!$B$1:$AI$720,MATCH(O$1,'Tillförd energi'!$B$1:$AQ$1,0),FALSE)</f>
        <v>0</v>
      </c>
      <c r="P164" s="121">
        <f>VLOOKUP($B164,'Tillförd energi'!$B$1:$AI$720,MATCH(P$1,'Tillförd energi'!$B$1:$AQ$1,0),FALSE)</f>
        <v>0</v>
      </c>
      <c r="Q164" s="121">
        <f>VLOOKUP($B164,'Tillförd energi'!$B$1:$AI$720,MATCH(Q$1,'Tillförd energi'!$B$1:$AQ$1,0),FALSE)</f>
        <v>15.8</v>
      </c>
      <c r="R164" s="121">
        <f>VLOOKUP($B164,'Tillförd energi'!$B$1:$AI$720,MATCH(R$1,'Tillförd energi'!$B$1:$AQ$1,0),FALSE)</f>
        <v>0</v>
      </c>
      <c r="S164" s="121">
        <f>VLOOKUP($B164,'Tillförd energi'!$B$1:$AI$720,MATCH(S$1,'Tillförd energi'!$B$1:$AQ$1,0),FALSE)</f>
        <v>0</v>
      </c>
      <c r="T164" s="121">
        <f>VLOOKUP($B164,'Tillförd energi'!$B$1:$AI$720,MATCH(T$1,'Tillförd energi'!$B$1:$AQ$1,0),FALSE)</f>
        <v>0</v>
      </c>
      <c r="U164" s="121">
        <f>VLOOKUP($B164,'Tillförd energi'!$B$1:$AI$720,MATCH(U$1,'Tillförd energi'!$B$1:$AQ$1,0),FALSE)</f>
        <v>0</v>
      </c>
      <c r="V164" s="121">
        <f>VLOOKUP($B164,'Tillförd energi'!$B$1:$AI$720,MATCH(V$1,'Tillförd energi'!$B$1:$AQ$1,0),FALSE)</f>
        <v>0</v>
      </c>
      <c r="W164" s="121">
        <f>VLOOKUP($B164,'Tillförd energi'!$B$1:$AI$720,MATCH(W$1,'Tillförd energi'!$B$1:$AQ$1,0),FALSE)</f>
        <v>0</v>
      </c>
      <c r="X164" s="121">
        <f>VLOOKUP($B164,'Tillförd energi'!$B$1:$AI$720,MATCH(X$1,'Tillförd energi'!$B$1:$AQ$1,0),FALSE)</f>
        <v>0</v>
      </c>
      <c r="Y164" s="121">
        <f>VLOOKUP($B164,'Tillförd energi'!$B$1:$AI$720,MATCH(Y$1,'Tillförd energi'!$B$1:$AQ$1,0),FALSE)</f>
        <v>0</v>
      </c>
      <c r="Z164" s="121">
        <f>VLOOKUP($B164,'Tillförd energi'!$B$1:$AI$720,MATCH(Z$1,'Tillförd energi'!$B$1:$AQ$1,0),FALSE)</f>
        <v>0</v>
      </c>
      <c r="AA164" s="121">
        <f>VLOOKUP($B164,'Tillförd energi'!$B$1:$AI$720,MATCH(AA$1,'Tillförd energi'!$B$1:$AQ$1,0),FALSE)</f>
        <v>0</v>
      </c>
      <c r="AB164" s="121">
        <f>VLOOKUP($B164,'Tillförd energi'!$B$1:$AI$720,MATCH(AB$1,'Tillförd energi'!$B$1:$AQ$1,0),FALSE)</f>
        <v>0</v>
      </c>
      <c r="AC164" s="121">
        <f>VLOOKUP($B164,'Tillförd energi'!$B$1:$AI$720,MATCH(AC$1,'Tillförd energi'!$B$1:$AQ$1,0),FALSE)</f>
        <v>0</v>
      </c>
      <c r="AD164" s="121">
        <f>VLOOKUP($B164,'Tillförd energi'!$B$1:$AI$720,MATCH(AD$1,'Tillförd energi'!$B$1:$AQ$1,0),FALSE)</f>
        <v>0</v>
      </c>
      <c r="AE164" s="121">
        <f>VLOOKUP($B164,'Tillförd energi'!$B$1:$AI$720,MATCH(AE$1,'Tillförd energi'!$B$1:$AQ$1,0),FALSE)</f>
        <v>0</v>
      </c>
      <c r="AF164" s="121">
        <f>VLOOKUP($B164,'Tillförd energi'!$B$1:$AI$720,MATCH(AF$1,'Tillförd energi'!$B$1:$AQ$1,0),FALSE)</f>
        <v>0.36969000000000002</v>
      </c>
      <c r="AG164" s="121">
        <f>IFERROR(VLOOKUP(B164,Miljö!$B$1:$AC$550,MATCH("Köpt mängd produktionsspecifik fjärrvärme:",Miljö!$B$1:$AC$1,0),FALSE)/1,0)</f>
        <v>0</v>
      </c>
      <c r="AH164" s="121"/>
      <c r="AI164" s="121">
        <f t="shared" si="66"/>
        <v>16.627689999999998</v>
      </c>
      <c r="AJ164" s="121">
        <f t="shared" si="67"/>
        <v>16.627689999999998</v>
      </c>
      <c r="AK164" s="121">
        <f>IF(ISERROR(1/VLOOKUP($B164,Leveranser!$B$1:$S$499,MATCH("såld värme (gwh)",Leveranser!$B$1:$S$1,0),FALSE)),"",VLOOKUP($B164,Leveranser!$B$1:$S$499,MATCH("såld värme (gwh)",Leveranser!$B$1:$S$1,0),FALSE))</f>
        <v>12.323</v>
      </c>
      <c r="AL164" s="121">
        <f>VLOOKUP($B164,Leveranser!$B$1:$Y$499,MATCH("Totalt såld fjärrvärme till andra fjärrvärmeföretag",Leveranser!$B$1:$AA$1,0),FALSE)</f>
        <v>0</v>
      </c>
      <c r="AM164" s="121">
        <f>IF(ISERROR(1/VLOOKUP($B164,Miljö!$B$1:$S$500,MATCH("Såld mängd produktionsspecifik fjärrvärme (GWh)",Miljö!$B$1:$R$1,0),FALSE)),0,VLOOKUP($B164,Miljö!$B$1:$S$500,MATCH("Såld mängd produktionsspecifik fjärrvärme (GWh)",Miljö!$B$1:$R$1,0),FALSE))</f>
        <v>0</v>
      </c>
      <c r="AN164" s="172">
        <f t="shared" si="68"/>
        <v>0.74111316725293785</v>
      </c>
      <c r="AO164" s="121"/>
      <c r="AP164" s="121" t="str">
        <f>IFERROR(VLOOKUP($B164,Miljövärden!$B$2:$H$550,7,FALSE),"Nej, saknas")</f>
        <v>Ja</v>
      </c>
      <c r="AQ164" s="121" t="str">
        <f>IFERROR(VLOOKUP($B164,Miljövärden!$B$2:$H$550,6,FALSE),"Nej, saknas")</f>
        <v>Ja</v>
      </c>
      <c r="AU164">
        <f t="shared" si="69"/>
        <v>0.36969000000000002</v>
      </c>
      <c r="AV164">
        <f t="shared" si="70"/>
        <v>0</v>
      </c>
      <c r="AW164">
        <f t="shared" si="71"/>
        <v>15.8</v>
      </c>
      <c r="AX164">
        <f t="shared" si="72"/>
        <v>0</v>
      </c>
      <c r="AZ164">
        <f t="shared" si="73"/>
        <v>15.8</v>
      </c>
      <c r="BC164">
        <f t="shared" si="74"/>
        <v>0.45800000000000002</v>
      </c>
      <c r="BD164">
        <f t="shared" si="75"/>
        <v>0</v>
      </c>
      <c r="BE164">
        <f t="shared" si="76"/>
        <v>15.8</v>
      </c>
      <c r="BF164">
        <f t="shared" si="77"/>
        <v>0</v>
      </c>
      <c r="BG164">
        <f t="shared" si="78"/>
        <v>0.36969000000000002</v>
      </c>
      <c r="BH164">
        <f>VLOOKUP(B164,Miljö!$B$1:$BX$482,MATCH("Fossilandel för ursprungspecificerad el ()",Miljö!$B$1:$I$1,0),FALSE)</f>
        <v>0.43</v>
      </c>
      <c r="BI164">
        <f>VLOOKUP(B164,Miljö!$B$1:$BX$482,MATCH("Kärnkraftsandel för ursprungsspecificerad el ()",Miljö!$B$1:$O$1,0),FALSE)</f>
        <v>0.40550000000000003</v>
      </c>
      <c r="BJ164">
        <f t="shared" si="79"/>
        <v>0</v>
      </c>
      <c r="BK164" t="str">
        <f>VLOOKUP(B164,Miljö!$B$1:$O$482,MATCH("Fossil andel i procent (%)",Miljö!$B$1:$O$1,0),FALSE)</f>
        <v>ET</v>
      </c>
      <c r="BL164">
        <f t="shared" si="80"/>
        <v>16.627689999999998</v>
      </c>
      <c r="BO164" s="18">
        <f t="shared" si="81"/>
        <v>3.7104775227346683E-2</v>
      </c>
      <c r="BP164" s="18">
        <f t="shared" si="82"/>
        <v>9.0156416796319909E-3</v>
      </c>
      <c r="BQ164" s="18">
        <f t="shared" si="83"/>
        <v>0.95387958309302145</v>
      </c>
      <c r="BR164" s="18">
        <f t="shared" si="84"/>
        <v>0</v>
      </c>
      <c r="BT164" s="27">
        <f t="shared" si="85"/>
        <v>1.0000000000000002</v>
      </c>
      <c r="BW164" s="18">
        <f>IF(AP164="ja",VLOOKUP(B164,Miljövärden!$B$2:$H$550,MATCH("Total andel fossilt",Miljövärden!$B$2:$H$2,0),FALSE),"")</f>
        <v>3.71048E-2</v>
      </c>
      <c r="BZ164" s="28">
        <f t="shared" si="86"/>
        <v>2.4772653317572946E-8</v>
      </c>
      <c r="CA164" s="28">
        <f t="shared" si="87"/>
        <v>0</v>
      </c>
    </row>
    <row r="165" spans="1:79" x14ac:dyDescent="0.25">
      <c r="A165" s="224" t="s">
        <v>426</v>
      </c>
      <c r="B165" s="210" t="s">
        <v>427</v>
      </c>
      <c r="C165" s="121">
        <f>VLOOKUP($B165,'Tillförd energi'!$B$1:$AI$720,MATCH(C$1,'Tillförd energi'!$B$1:$AQ$1,0),FALSE)</f>
        <v>0</v>
      </c>
      <c r="D165" s="121">
        <f>VLOOKUP($B165,'Tillförd energi'!$B$1:$AI$720,MATCH(D$1,'Tillförd energi'!$B$1:$AQ$1,0),FALSE)</f>
        <v>0.56599999999999995</v>
      </c>
      <c r="E165" s="121">
        <f>VLOOKUP($B165,'Tillförd energi'!$B$1:$AI$720,MATCH(E$1,'Tillförd energi'!$B$1:$AQ$1,0),FALSE)</f>
        <v>0</v>
      </c>
      <c r="F165" s="121">
        <f>VLOOKUP($B165,'Tillförd energi'!$B$1:$AI$720,MATCH(F$1,'Tillförd energi'!$B$1:$AQ$1,0),FALSE)</f>
        <v>0</v>
      </c>
      <c r="G165" s="121">
        <f>VLOOKUP($B165,'Tillförd energi'!$B$1:$AI$720,MATCH(G$1,'Tillförd energi'!$B$1:$AQ$1,0),FALSE)</f>
        <v>0</v>
      </c>
      <c r="H165" s="121">
        <f>VLOOKUP($B165,'Tillförd energi'!$B$1:$AI$720,MATCH(H$1,'Tillförd energi'!$B$1:$AQ$1,0),FALSE)</f>
        <v>0</v>
      </c>
      <c r="I165" s="121">
        <f>VLOOKUP($B165,'Tillförd energi'!$B$1:$AI$720,MATCH(I$1,'Tillförd energi'!$B$1:$AQ$1,0),FALSE)</f>
        <v>0</v>
      </c>
      <c r="J165" s="121">
        <f>VLOOKUP($B165,'Tillförd energi'!$B$1:$AI$720,MATCH(J$1,'Tillförd energi'!$B$1:$AQ$1,0),FALSE)</f>
        <v>0</v>
      </c>
      <c r="K165" s="121">
        <f>VLOOKUP($B165,'Tillförd energi'!$B$1:$AI$720,MATCH(K$1,'Tillförd energi'!$B$1:$AQ$1,0),FALSE)</f>
        <v>0</v>
      </c>
      <c r="L165" s="121">
        <f>VLOOKUP($B165,'Tillförd energi'!$B$1:$AI$720,MATCH(L$1,'Tillförd energi'!$B$1:$AQ$1,0),FALSE)</f>
        <v>0</v>
      </c>
      <c r="M165" s="121">
        <f>VLOOKUP($B165,'Tillförd energi'!$B$1:$AI$720,MATCH(M$1,'Tillförd energi'!$B$1:$AQ$1,0),FALSE)</f>
        <v>0</v>
      </c>
      <c r="N165" s="121">
        <f>VLOOKUP($B165,'Tillförd energi'!$B$1:$AI$720,MATCH(N$1,'Tillförd energi'!$B$1:$AQ$1,0),FALSE)</f>
        <v>0</v>
      </c>
      <c r="O165" s="121">
        <f>VLOOKUP($B165,'Tillförd energi'!$B$1:$AI$720,MATCH(O$1,'Tillförd energi'!$B$1:$AQ$1,0),FALSE)</f>
        <v>0</v>
      </c>
      <c r="P165" s="121">
        <f>VLOOKUP($B165,'Tillförd energi'!$B$1:$AI$720,MATCH(P$1,'Tillförd energi'!$B$1:$AQ$1,0),FALSE)</f>
        <v>0</v>
      </c>
      <c r="Q165" s="121">
        <f>VLOOKUP($B165,'Tillförd energi'!$B$1:$AI$720,MATCH(Q$1,'Tillförd energi'!$B$1:$AQ$1,0),FALSE)</f>
        <v>0.28235300000000002</v>
      </c>
      <c r="R165" s="121">
        <f>VLOOKUP($B165,'Tillförd energi'!$B$1:$AI$720,MATCH(R$1,'Tillförd energi'!$B$1:$AQ$1,0),FALSE)</f>
        <v>0</v>
      </c>
      <c r="S165" s="121">
        <f>VLOOKUP($B165,'Tillförd energi'!$B$1:$AI$720,MATCH(S$1,'Tillförd energi'!$B$1:$AQ$1,0),FALSE)</f>
        <v>0</v>
      </c>
      <c r="T165" s="121">
        <f>VLOOKUP($B165,'Tillförd energi'!$B$1:$AI$720,MATCH(T$1,'Tillförd energi'!$B$1:$AQ$1,0),FALSE)</f>
        <v>0</v>
      </c>
      <c r="U165" s="121">
        <f>VLOOKUP($B165,'Tillförd energi'!$B$1:$AI$720,MATCH(U$1,'Tillförd energi'!$B$1:$AQ$1,0),FALSE)</f>
        <v>0</v>
      </c>
      <c r="V165" s="121">
        <f>VLOOKUP($B165,'Tillförd energi'!$B$1:$AI$720,MATCH(V$1,'Tillförd energi'!$B$1:$AQ$1,0),FALSE)</f>
        <v>0</v>
      </c>
      <c r="W165" s="121">
        <f>VLOOKUP($B165,'Tillförd energi'!$B$1:$AI$720,MATCH(W$1,'Tillförd energi'!$B$1:$AQ$1,0),FALSE)</f>
        <v>0</v>
      </c>
      <c r="X165" s="121">
        <f>VLOOKUP($B165,'Tillförd energi'!$B$1:$AI$720,MATCH(X$1,'Tillförd energi'!$B$1:$AQ$1,0),FALSE)</f>
        <v>0</v>
      </c>
      <c r="Y165" s="121">
        <f>VLOOKUP($B165,'Tillförd energi'!$B$1:$AI$720,MATCH(Y$1,'Tillförd energi'!$B$1:$AQ$1,0),FALSE)</f>
        <v>0</v>
      </c>
      <c r="Z165" s="121">
        <f>VLOOKUP($B165,'Tillförd energi'!$B$1:$AI$720,MATCH(Z$1,'Tillförd energi'!$B$1:$AQ$1,0),FALSE)</f>
        <v>0</v>
      </c>
      <c r="AA165" s="121">
        <f>VLOOKUP($B165,'Tillförd energi'!$B$1:$AI$720,MATCH(AA$1,'Tillförd energi'!$B$1:$AQ$1,0),FALSE)</f>
        <v>0</v>
      </c>
      <c r="AB165" s="121">
        <f>VLOOKUP($B165,'Tillförd energi'!$B$1:$AI$720,MATCH(AB$1,'Tillförd energi'!$B$1:$AQ$1,0),FALSE)</f>
        <v>0</v>
      </c>
      <c r="AC165" s="121">
        <f>VLOOKUP($B165,'Tillförd energi'!$B$1:$AI$720,MATCH(AC$1,'Tillförd energi'!$B$1:$AQ$1,0),FALSE)</f>
        <v>0</v>
      </c>
      <c r="AD165" s="121">
        <f>VLOOKUP($B165,'Tillförd energi'!$B$1:$AI$720,MATCH(AD$1,'Tillförd energi'!$B$1:$AQ$1,0),FALSE)</f>
        <v>17.600000000000001</v>
      </c>
      <c r="AE165" s="121">
        <f>VLOOKUP($B165,'Tillförd energi'!$B$1:$AI$720,MATCH(AE$1,'Tillförd energi'!$B$1:$AQ$1,0),FALSE)</f>
        <v>0</v>
      </c>
      <c r="AF165" s="121">
        <f>VLOOKUP($B165,'Tillförd energi'!$B$1:$AI$720,MATCH(AF$1,'Tillförd energi'!$B$1:$AQ$1,0),FALSE)</f>
        <v>8.6999999999999994E-2</v>
      </c>
      <c r="AG165" s="121">
        <f>IFERROR(VLOOKUP(B165,Miljö!$B$1:$AC$550,MATCH("Köpt mängd produktionsspecifik fjärrvärme:",Miljö!$B$1:$AC$1,0),FALSE)/1,0)</f>
        <v>0</v>
      </c>
      <c r="AH165" s="121"/>
      <c r="AI165" s="121">
        <f t="shared" si="66"/>
        <v>18.535353000000001</v>
      </c>
      <c r="AJ165" s="121">
        <f t="shared" si="67"/>
        <v>18.535353000000001</v>
      </c>
      <c r="AK165" s="121">
        <f>IF(ISERROR(1/VLOOKUP($B165,Leveranser!$B$1:$S$499,MATCH("såld värme (gwh)",Leveranser!$B$1:$S$1,0),FALSE)),"",VLOOKUP($B165,Leveranser!$B$1:$S$499,MATCH("såld värme (gwh)",Leveranser!$B$1:$S$1,0),FALSE))</f>
        <v>14.1</v>
      </c>
      <c r="AL165" s="121">
        <f>VLOOKUP($B165,Leveranser!$B$1:$Y$499,MATCH("Totalt såld fjärrvärme till andra fjärrvärmeföretag",Leveranser!$B$1:$AA$1,0),FALSE)</f>
        <v>0</v>
      </c>
      <c r="AM165" s="121">
        <f>IF(ISERROR(1/VLOOKUP($B165,Miljö!$B$1:$S$500,MATCH("Såld mängd produktionsspecifik fjärrvärme (GWh)",Miljö!$B$1:$R$1,0),FALSE)),0,VLOOKUP($B165,Miljö!$B$1:$S$500,MATCH("Såld mängd produktionsspecifik fjärrvärme (GWh)",Miljö!$B$1:$R$1,0),FALSE))</f>
        <v>0</v>
      </c>
      <c r="AN165" s="172">
        <f t="shared" si="68"/>
        <v>0.76070846883790122</v>
      </c>
      <c r="AO165" s="121"/>
      <c r="AP165" s="121" t="str">
        <f>IFERROR(VLOOKUP($B165,Miljövärden!$B$2:$H$550,7,FALSE),"Nej, saknas")</f>
        <v>Ja</v>
      </c>
      <c r="AQ165" s="121" t="str">
        <f>IFERROR(VLOOKUP($B165,Miljövärden!$B$2:$H$550,6,FALSE),"Nej, saknas")</f>
        <v>Ja</v>
      </c>
      <c r="AU165">
        <f t="shared" si="69"/>
        <v>8.6999999999999994E-2</v>
      </c>
      <c r="AV165">
        <f t="shared" si="70"/>
        <v>0</v>
      </c>
      <c r="AW165">
        <f t="shared" si="71"/>
        <v>0.28235300000000002</v>
      </c>
      <c r="AX165">
        <f t="shared" si="72"/>
        <v>0</v>
      </c>
      <c r="AZ165">
        <f t="shared" si="73"/>
        <v>0.28235300000000002</v>
      </c>
      <c r="BC165">
        <f t="shared" si="74"/>
        <v>0.56599999999999995</v>
      </c>
      <c r="BD165">
        <f t="shared" si="75"/>
        <v>0</v>
      </c>
      <c r="BE165">
        <f t="shared" si="76"/>
        <v>0.28235300000000002</v>
      </c>
      <c r="BF165">
        <f t="shared" si="77"/>
        <v>17.600000000000001</v>
      </c>
      <c r="BG165">
        <f t="shared" si="78"/>
        <v>8.6999999999999994E-2</v>
      </c>
      <c r="BH165">
        <f>VLOOKUP(B165,Miljö!$B$1:$BX$482,MATCH("Fossilandel för ursprungspecificerad el ()",Miljö!$B$1:$I$1,0),FALSE)</f>
        <v>0</v>
      </c>
      <c r="BI165">
        <f>VLOOKUP(B165,Miljö!$B$1:$BX$482,MATCH("Kärnkraftsandel för ursprungsspecificerad el ()",Miljö!$B$1:$O$1,0),FALSE)</f>
        <v>0</v>
      </c>
      <c r="BJ165">
        <f t="shared" si="79"/>
        <v>0</v>
      </c>
      <c r="BK165" t="str">
        <f>VLOOKUP(B165,Miljö!$B$1:$O$482,MATCH("Fossil andel i procent (%)",Miljö!$B$1:$O$1,0),FALSE)</f>
        <v>ET</v>
      </c>
      <c r="BL165">
        <f t="shared" si="80"/>
        <v>18.535353000000001</v>
      </c>
      <c r="BO165" s="18">
        <f t="shared" si="81"/>
        <v>3.0536240663989508E-2</v>
      </c>
      <c r="BP165" s="18">
        <f t="shared" si="82"/>
        <v>0</v>
      </c>
      <c r="BQ165" s="18">
        <f t="shared" si="83"/>
        <v>1.9926947169552154E-2</v>
      </c>
      <c r="BR165" s="18">
        <f t="shared" si="84"/>
        <v>0.94953681216645835</v>
      </c>
      <c r="BT165" s="27">
        <f t="shared" si="85"/>
        <v>1</v>
      </c>
      <c r="BW165" s="18">
        <f>IF(AP165="ja",VLOOKUP(B165,Miljövärden!$B$2:$H$550,MATCH("Total andel fossilt",Miljövärden!$B$2:$H$2,0),FALSE),"")</f>
        <v>3.0536199999999999E-2</v>
      </c>
      <c r="BZ165" s="28">
        <f t="shared" si="86"/>
        <v>-4.0663989508971099E-8</v>
      </c>
      <c r="CA165" s="28">
        <f t="shared" si="87"/>
        <v>0</v>
      </c>
    </row>
    <row r="166" spans="1:79" x14ac:dyDescent="0.25">
      <c r="A166" s="224" t="s">
        <v>426</v>
      </c>
      <c r="B166" s="210" t="s">
        <v>428</v>
      </c>
      <c r="C166" s="121">
        <f>VLOOKUP($B166,'Tillförd energi'!$B$1:$AI$720,MATCH(C$1,'Tillförd energi'!$B$1:$AQ$1,0),FALSE)</f>
        <v>0</v>
      </c>
      <c r="D166" s="121">
        <f>VLOOKUP($B166,'Tillförd energi'!$B$1:$AI$720,MATCH(D$1,'Tillförd energi'!$B$1:$AQ$1,0),FALSE)</f>
        <v>0</v>
      </c>
      <c r="E166" s="121">
        <f>VLOOKUP($B166,'Tillförd energi'!$B$1:$AI$720,MATCH(E$1,'Tillförd energi'!$B$1:$AQ$1,0),FALSE)</f>
        <v>0</v>
      </c>
      <c r="F166" s="121">
        <f>VLOOKUP($B166,'Tillförd energi'!$B$1:$AI$720,MATCH(F$1,'Tillförd energi'!$B$1:$AQ$1,0),FALSE)</f>
        <v>0</v>
      </c>
      <c r="G166" s="121">
        <f>VLOOKUP($B166,'Tillförd energi'!$B$1:$AI$720,MATCH(G$1,'Tillförd energi'!$B$1:$AQ$1,0),FALSE)</f>
        <v>0</v>
      </c>
      <c r="H166" s="121">
        <f>VLOOKUP($B166,'Tillförd energi'!$B$1:$AI$720,MATCH(H$1,'Tillförd energi'!$B$1:$AQ$1,0),FALSE)</f>
        <v>0</v>
      </c>
      <c r="I166" s="121">
        <f>VLOOKUP($B166,'Tillförd energi'!$B$1:$AI$720,MATCH(I$1,'Tillförd energi'!$B$1:$AQ$1,0),FALSE)</f>
        <v>0</v>
      </c>
      <c r="J166" s="121">
        <f>VLOOKUP($B166,'Tillförd energi'!$B$1:$AI$720,MATCH(J$1,'Tillförd energi'!$B$1:$AQ$1,0),FALSE)</f>
        <v>0</v>
      </c>
      <c r="K166" s="121">
        <f>VLOOKUP($B166,'Tillförd energi'!$B$1:$AI$720,MATCH(K$1,'Tillförd energi'!$B$1:$AQ$1,0),FALSE)</f>
        <v>0</v>
      </c>
      <c r="L166" s="121">
        <f>VLOOKUP($B166,'Tillförd energi'!$B$1:$AI$720,MATCH(L$1,'Tillförd energi'!$B$1:$AQ$1,0),FALSE)</f>
        <v>0</v>
      </c>
      <c r="M166" s="121">
        <f>VLOOKUP($B166,'Tillförd energi'!$B$1:$AI$720,MATCH(M$1,'Tillförd energi'!$B$1:$AQ$1,0),FALSE)</f>
        <v>0</v>
      </c>
      <c r="N166" s="121">
        <f>VLOOKUP($B166,'Tillförd energi'!$B$1:$AI$720,MATCH(N$1,'Tillförd energi'!$B$1:$AQ$1,0),FALSE)</f>
        <v>0</v>
      </c>
      <c r="O166" s="121">
        <f>VLOOKUP($B166,'Tillförd energi'!$B$1:$AI$720,MATCH(O$1,'Tillförd energi'!$B$1:$AQ$1,0),FALSE)</f>
        <v>0</v>
      </c>
      <c r="P166" s="121">
        <f>VLOOKUP($B166,'Tillförd energi'!$B$1:$AI$720,MATCH(P$1,'Tillförd energi'!$B$1:$AQ$1,0),FALSE)</f>
        <v>0</v>
      </c>
      <c r="Q166" s="121">
        <f>VLOOKUP($B166,'Tillförd energi'!$B$1:$AI$720,MATCH(Q$1,'Tillförd energi'!$B$1:$AQ$1,0),FALSE)</f>
        <v>0</v>
      </c>
      <c r="R166" s="121">
        <f>VLOOKUP($B166,'Tillförd energi'!$B$1:$AI$720,MATCH(R$1,'Tillförd energi'!$B$1:$AQ$1,0),FALSE)</f>
        <v>3.948</v>
      </c>
      <c r="S166" s="121">
        <f>VLOOKUP($B166,'Tillförd energi'!$B$1:$AI$720,MATCH(S$1,'Tillförd energi'!$B$1:$AQ$1,0),FALSE)</f>
        <v>0</v>
      </c>
      <c r="T166" s="121">
        <f>VLOOKUP($B166,'Tillförd energi'!$B$1:$AI$720,MATCH(T$1,'Tillförd energi'!$B$1:$AQ$1,0),FALSE)</f>
        <v>0</v>
      </c>
      <c r="U166" s="121">
        <f>VLOOKUP($B166,'Tillförd energi'!$B$1:$AI$720,MATCH(U$1,'Tillförd energi'!$B$1:$AQ$1,0),FALSE)</f>
        <v>0</v>
      </c>
      <c r="V166" s="121">
        <f>VLOOKUP($B166,'Tillförd energi'!$B$1:$AI$720,MATCH(V$1,'Tillförd energi'!$B$1:$AQ$1,0),FALSE)</f>
        <v>0</v>
      </c>
      <c r="W166" s="121">
        <f>VLOOKUP($B166,'Tillförd energi'!$B$1:$AI$720,MATCH(W$1,'Tillförd energi'!$B$1:$AQ$1,0),FALSE)</f>
        <v>0</v>
      </c>
      <c r="X166" s="121">
        <f>VLOOKUP($B166,'Tillförd energi'!$B$1:$AI$720,MATCH(X$1,'Tillförd energi'!$B$1:$AQ$1,0),FALSE)</f>
        <v>0</v>
      </c>
      <c r="Y166" s="121">
        <f>VLOOKUP($B166,'Tillförd energi'!$B$1:$AI$720,MATCH(Y$1,'Tillförd energi'!$B$1:$AQ$1,0),FALSE)</f>
        <v>0</v>
      </c>
      <c r="Z166" s="121">
        <f>VLOOKUP($B166,'Tillförd energi'!$B$1:$AI$720,MATCH(Z$1,'Tillförd energi'!$B$1:$AQ$1,0),FALSE)</f>
        <v>0.75411799999999996</v>
      </c>
      <c r="AA166" s="121">
        <f>VLOOKUP($B166,'Tillförd energi'!$B$1:$AI$720,MATCH(AA$1,'Tillförd energi'!$B$1:$AQ$1,0),FALSE)</f>
        <v>0</v>
      </c>
      <c r="AB166" s="121">
        <f>VLOOKUP($B166,'Tillförd energi'!$B$1:$AI$720,MATCH(AB$1,'Tillförd energi'!$B$1:$AQ$1,0),FALSE)</f>
        <v>0</v>
      </c>
      <c r="AC166" s="121">
        <f>VLOOKUP($B166,'Tillförd energi'!$B$1:$AI$720,MATCH(AC$1,'Tillförd energi'!$B$1:$AQ$1,0),FALSE)</f>
        <v>0</v>
      </c>
      <c r="AD166" s="121">
        <f>VLOOKUP($B166,'Tillförd energi'!$B$1:$AI$720,MATCH(AD$1,'Tillförd energi'!$B$1:$AQ$1,0),FALSE)</f>
        <v>0.64100000000000001</v>
      </c>
      <c r="AE166" s="121">
        <f>VLOOKUP($B166,'Tillförd energi'!$B$1:$AI$720,MATCH(AE$1,'Tillförd energi'!$B$1:$AQ$1,0),FALSE)</f>
        <v>0</v>
      </c>
      <c r="AF166" s="121">
        <f>VLOOKUP($B166,'Tillförd energi'!$B$1:$AI$720,MATCH(AF$1,'Tillförd energi'!$B$1:$AQ$1,0),FALSE)</f>
        <v>0.23</v>
      </c>
      <c r="AG166" s="121">
        <f>IFERROR(VLOOKUP(B166,Miljö!$B$1:$AC$550,MATCH("Köpt mängd produktionsspecifik fjärrvärme:",Miljö!$B$1:$AC$1,0),FALSE)/1,0)</f>
        <v>0</v>
      </c>
      <c r="AH166" s="121"/>
      <c r="AI166" s="121">
        <f t="shared" si="66"/>
        <v>5.573118</v>
      </c>
      <c r="AJ166" s="121">
        <f t="shared" si="67"/>
        <v>5.573118</v>
      </c>
      <c r="AK166" s="121">
        <f>IF(ISERROR(1/VLOOKUP($B166,Leveranser!$B$1:$S$499,MATCH("såld värme (gwh)",Leveranser!$B$1:$S$1,0),FALSE)),"",VLOOKUP($B166,Leveranser!$B$1:$S$499,MATCH("såld värme (gwh)",Leveranser!$B$1:$S$1,0),FALSE))</f>
        <v>4.4000000000000004</v>
      </c>
      <c r="AL166" s="121">
        <f>VLOOKUP($B166,Leveranser!$B$1:$Y$499,MATCH("Totalt såld fjärrvärme till andra fjärrvärmeföretag",Leveranser!$B$1:$AA$1,0),FALSE)</f>
        <v>0</v>
      </c>
      <c r="AM166" s="121">
        <f>IF(ISERROR(1/VLOOKUP($B166,Miljö!$B$1:$S$500,MATCH("Såld mängd produktionsspecifik fjärrvärme (GWh)",Miljö!$B$1:$R$1,0),FALSE)),0,VLOOKUP($B166,Miljö!$B$1:$S$500,MATCH("Såld mängd produktionsspecifik fjärrvärme (GWh)",Miljö!$B$1:$R$1,0),FALSE))</f>
        <v>0</v>
      </c>
      <c r="AN166" s="172">
        <f t="shared" si="68"/>
        <v>0.78950418778141795</v>
      </c>
      <c r="AO166" s="121"/>
      <c r="AP166" s="121" t="str">
        <f>IFERROR(VLOOKUP($B166,Miljövärden!$B$2:$H$550,7,FALSE),"Nej, saknas")</f>
        <v>Ja</v>
      </c>
      <c r="AQ166" s="121" t="str">
        <f>IFERROR(VLOOKUP($B166,Miljövärden!$B$2:$H$550,6,FALSE),"Nej, saknas")</f>
        <v>Ja</v>
      </c>
      <c r="AU166">
        <f t="shared" si="69"/>
        <v>0.98411799999999994</v>
      </c>
      <c r="AV166">
        <f t="shared" si="70"/>
        <v>0</v>
      </c>
      <c r="AW166">
        <f t="shared" si="71"/>
        <v>0</v>
      </c>
      <c r="AX166">
        <f t="shared" si="72"/>
        <v>3.948</v>
      </c>
      <c r="AZ166">
        <f t="shared" si="73"/>
        <v>3.948</v>
      </c>
      <c r="BC166">
        <f t="shared" si="74"/>
        <v>0</v>
      </c>
      <c r="BD166">
        <f t="shared" si="75"/>
        <v>0</v>
      </c>
      <c r="BE166">
        <f t="shared" si="76"/>
        <v>3.948</v>
      </c>
      <c r="BF166">
        <f t="shared" si="77"/>
        <v>0.64100000000000001</v>
      </c>
      <c r="BG166">
        <f t="shared" si="78"/>
        <v>0.98411799999999994</v>
      </c>
      <c r="BH166">
        <f>VLOOKUP(B166,Miljö!$B$1:$BX$482,MATCH("Fossilandel för ursprungspecificerad el ()",Miljö!$B$1:$I$1,0),FALSE)</f>
        <v>0</v>
      </c>
      <c r="BI166">
        <f>VLOOKUP(B166,Miljö!$B$1:$BX$482,MATCH("Kärnkraftsandel för ursprungsspecificerad el ()",Miljö!$B$1:$O$1,0),FALSE)</f>
        <v>0</v>
      </c>
      <c r="BJ166">
        <f t="shared" si="79"/>
        <v>0</v>
      </c>
      <c r="BK166" t="str">
        <f>VLOOKUP(B166,Miljö!$B$1:$O$482,MATCH("Fossil andel i procent (%)",Miljö!$B$1:$O$1,0),FALSE)</f>
        <v>ET</v>
      </c>
      <c r="BL166">
        <f t="shared" si="80"/>
        <v>5.573118</v>
      </c>
      <c r="BO166" s="18">
        <f t="shared" si="81"/>
        <v>0</v>
      </c>
      <c r="BP166" s="18">
        <f t="shared" si="82"/>
        <v>0</v>
      </c>
      <c r="BQ166" s="18">
        <f t="shared" si="83"/>
        <v>0.88498359446184349</v>
      </c>
      <c r="BR166" s="18">
        <f t="shared" si="84"/>
        <v>0.11501640553815656</v>
      </c>
      <c r="BT166" s="27">
        <f t="shared" si="85"/>
        <v>1</v>
      </c>
      <c r="BW166" s="18">
        <f>IF(AP166="ja",VLOOKUP(B166,Miljövärden!$B$2:$H$550,MATCH("Total andel fossilt",Miljövärden!$B$2:$H$2,0),FALSE),"")</f>
        <v>0</v>
      </c>
      <c r="BZ166" s="28">
        <f t="shared" si="86"/>
        <v>0</v>
      </c>
      <c r="CA166" s="28">
        <f t="shared" si="87"/>
        <v>0</v>
      </c>
    </row>
    <row r="167" spans="1:79" x14ac:dyDescent="0.25">
      <c r="A167" s="224" t="s">
        <v>426</v>
      </c>
      <c r="B167" s="210" t="s">
        <v>429</v>
      </c>
      <c r="C167" s="121">
        <f>VLOOKUP($B167,'Tillförd energi'!$B$1:$AI$720,MATCH(C$1,'Tillförd energi'!$B$1:$AQ$1,0),FALSE)</f>
        <v>0</v>
      </c>
      <c r="D167" s="121">
        <f>VLOOKUP($B167,'Tillförd energi'!$B$1:$AI$720,MATCH(D$1,'Tillförd energi'!$B$1:$AQ$1,0),FALSE)</f>
        <v>0.76200000000000001</v>
      </c>
      <c r="E167" s="121">
        <f>VLOOKUP($B167,'Tillförd energi'!$B$1:$AI$720,MATCH(E$1,'Tillförd energi'!$B$1:$AQ$1,0),FALSE)</f>
        <v>0</v>
      </c>
      <c r="F167" s="121">
        <f>VLOOKUP($B167,'Tillförd energi'!$B$1:$AI$720,MATCH(F$1,'Tillförd energi'!$B$1:$AQ$1,0),FALSE)</f>
        <v>0</v>
      </c>
      <c r="G167" s="121">
        <f>VLOOKUP($B167,'Tillförd energi'!$B$1:$AI$720,MATCH(G$1,'Tillförd energi'!$B$1:$AQ$1,0),FALSE)</f>
        <v>0</v>
      </c>
      <c r="H167" s="121">
        <f>VLOOKUP($B167,'Tillförd energi'!$B$1:$AI$720,MATCH(H$1,'Tillförd energi'!$B$1:$AQ$1,0),FALSE)</f>
        <v>0</v>
      </c>
      <c r="I167" s="121">
        <f>VLOOKUP($B167,'Tillförd energi'!$B$1:$AI$720,MATCH(I$1,'Tillförd energi'!$B$1:$AQ$1,0),FALSE)</f>
        <v>0</v>
      </c>
      <c r="J167" s="121">
        <f>VLOOKUP($B167,'Tillförd energi'!$B$1:$AI$720,MATCH(J$1,'Tillförd energi'!$B$1:$AQ$1,0),FALSE)</f>
        <v>0</v>
      </c>
      <c r="K167" s="121">
        <f>VLOOKUP($B167,'Tillförd energi'!$B$1:$AI$720,MATCH(K$1,'Tillförd energi'!$B$1:$AQ$1,0),FALSE)</f>
        <v>0</v>
      </c>
      <c r="L167" s="121">
        <f>VLOOKUP($B167,'Tillförd energi'!$B$1:$AI$720,MATCH(L$1,'Tillförd energi'!$B$1:$AQ$1,0),FALSE)</f>
        <v>0</v>
      </c>
      <c r="M167" s="121">
        <f>VLOOKUP($B167,'Tillförd energi'!$B$1:$AI$720,MATCH(M$1,'Tillförd energi'!$B$1:$AQ$1,0),FALSE)</f>
        <v>0</v>
      </c>
      <c r="N167" s="121">
        <f>VLOOKUP($B167,'Tillförd energi'!$B$1:$AI$720,MATCH(N$1,'Tillförd energi'!$B$1:$AQ$1,0),FALSE)</f>
        <v>0</v>
      </c>
      <c r="O167" s="121">
        <f>VLOOKUP($B167,'Tillförd energi'!$B$1:$AI$720,MATCH(O$1,'Tillförd energi'!$B$1:$AQ$1,0),FALSE)</f>
        <v>0</v>
      </c>
      <c r="P167" s="121">
        <f>VLOOKUP($B167,'Tillförd energi'!$B$1:$AI$720,MATCH(P$1,'Tillförd energi'!$B$1:$AQ$1,0),FALSE)</f>
        <v>0</v>
      </c>
      <c r="Q167" s="121">
        <f>VLOOKUP($B167,'Tillförd energi'!$B$1:$AI$720,MATCH(Q$1,'Tillförd energi'!$B$1:$AQ$1,0),FALSE)</f>
        <v>6.1176500000000003</v>
      </c>
      <c r="R167" s="121">
        <f>VLOOKUP($B167,'Tillförd energi'!$B$1:$AI$720,MATCH(R$1,'Tillförd energi'!$B$1:$AQ$1,0),FALSE)</f>
        <v>5.0359999999999996</v>
      </c>
      <c r="S167" s="121">
        <f>VLOOKUP($B167,'Tillförd energi'!$B$1:$AI$720,MATCH(S$1,'Tillförd energi'!$B$1:$AQ$1,0),FALSE)</f>
        <v>0</v>
      </c>
      <c r="T167" s="121">
        <f>VLOOKUP($B167,'Tillförd energi'!$B$1:$AI$720,MATCH(T$1,'Tillförd energi'!$B$1:$AQ$1,0),FALSE)</f>
        <v>0</v>
      </c>
      <c r="U167" s="121">
        <f>VLOOKUP($B167,'Tillförd energi'!$B$1:$AI$720,MATCH(U$1,'Tillförd energi'!$B$1:$AQ$1,0),FALSE)</f>
        <v>0</v>
      </c>
      <c r="V167" s="121">
        <f>VLOOKUP($B167,'Tillförd energi'!$B$1:$AI$720,MATCH(V$1,'Tillförd energi'!$B$1:$AQ$1,0),FALSE)</f>
        <v>0</v>
      </c>
      <c r="W167" s="121">
        <f>VLOOKUP($B167,'Tillförd energi'!$B$1:$AI$720,MATCH(W$1,'Tillförd energi'!$B$1:$AQ$1,0),FALSE)</f>
        <v>3.5</v>
      </c>
      <c r="X167" s="121">
        <f>VLOOKUP($B167,'Tillförd energi'!$B$1:$AI$720,MATCH(X$1,'Tillförd energi'!$B$1:$AQ$1,0),FALSE)</f>
        <v>0</v>
      </c>
      <c r="Y167" s="121">
        <f>VLOOKUP($B167,'Tillförd energi'!$B$1:$AI$720,MATCH(Y$1,'Tillförd energi'!$B$1:$AQ$1,0),FALSE)</f>
        <v>0</v>
      </c>
      <c r="Z167" s="121">
        <f>VLOOKUP($B167,'Tillförd energi'!$B$1:$AI$720,MATCH(Z$1,'Tillförd energi'!$B$1:$AQ$1,0),FALSE)</f>
        <v>3.7890000000000001</v>
      </c>
      <c r="AA167" s="121">
        <f>VLOOKUP($B167,'Tillförd energi'!$B$1:$AI$720,MATCH(AA$1,'Tillförd energi'!$B$1:$AQ$1,0),FALSE)</f>
        <v>0</v>
      </c>
      <c r="AB167" s="121">
        <f>VLOOKUP($B167,'Tillförd energi'!$B$1:$AI$720,MATCH(AB$1,'Tillförd energi'!$B$1:$AQ$1,0),FALSE)</f>
        <v>0</v>
      </c>
      <c r="AC167" s="121">
        <f>VLOOKUP($B167,'Tillförd energi'!$B$1:$AI$720,MATCH(AC$1,'Tillförd energi'!$B$1:$AQ$1,0),FALSE)</f>
        <v>0</v>
      </c>
      <c r="AD167" s="121">
        <f>VLOOKUP($B167,'Tillförd energi'!$B$1:$AI$720,MATCH(AD$1,'Tillförd energi'!$B$1:$AQ$1,0),FALSE)</f>
        <v>77.7</v>
      </c>
      <c r="AE167" s="121">
        <f>VLOOKUP($B167,'Tillförd energi'!$B$1:$AI$720,MATCH(AE$1,'Tillförd energi'!$B$1:$AQ$1,0),FALSE)</f>
        <v>0</v>
      </c>
      <c r="AF167" s="121">
        <f>VLOOKUP($B167,'Tillförd energi'!$B$1:$AI$720,MATCH(AF$1,'Tillförd energi'!$B$1:$AQ$1,0),FALSE)</f>
        <v>1.57</v>
      </c>
      <c r="AG167" s="121">
        <f>IFERROR(VLOOKUP(B167,Miljö!$B$1:$AC$550,MATCH("Köpt mängd produktionsspecifik fjärrvärme:",Miljö!$B$1:$AC$1,0),FALSE)/1,0)</f>
        <v>0</v>
      </c>
      <c r="AH167" s="121"/>
      <c r="AI167" s="121">
        <f t="shared" si="66"/>
        <v>98.474649999999997</v>
      </c>
      <c r="AJ167" s="121">
        <f t="shared" si="67"/>
        <v>98.474649999999997</v>
      </c>
      <c r="AK167" s="121">
        <f>IF(ISERROR(1/VLOOKUP($B167,Leveranser!$B$1:$S$499,MATCH("såld värme (gwh)",Leveranser!$B$1:$S$1,0),FALSE)),"",VLOOKUP($B167,Leveranser!$B$1:$S$499,MATCH("såld värme (gwh)",Leveranser!$B$1:$S$1,0),FALSE))</f>
        <v>85</v>
      </c>
      <c r="AL167" s="121">
        <f>VLOOKUP($B167,Leveranser!$B$1:$Y$499,MATCH("Totalt såld fjärrvärme till andra fjärrvärmeföretag",Leveranser!$B$1:$AA$1,0),FALSE)</f>
        <v>0</v>
      </c>
      <c r="AM167" s="121">
        <f>IF(ISERROR(1/VLOOKUP($B167,Miljö!$B$1:$S$500,MATCH("Såld mängd produktionsspecifik fjärrvärme (GWh)",Miljö!$B$1:$R$1,0),FALSE)),0,VLOOKUP($B167,Miljö!$B$1:$S$500,MATCH("Såld mängd produktionsspecifik fjärrvärme (GWh)",Miljö!$B$1:$R$1,0),FALSE))</f>
        <v>0</v>
      </c>
      <c r="AN167" s="172">
        <f t="shared" si="68"/>
        <v>0.8631663072679111</v>
      </c>
      <c r="AO167" s="121"/>
      <c r="AP167" s="121" t="str">
        <f>IFERROR(VLOOKUP($B167,Miljövärden!$B$2:$H$550,7,FALSE),"Nej, saknas")</f>
        <v>Ja</v>
      </c>
      <c r="AQ167" s="121" t="str">
        <f>IFERROR(VLOOKUP($B167,Miljövärden!$B$2:$H$550,6,FALSE),"Nej, saknas")</f>
        <v>Ja</v>
      </c>
      <c r="AU167">
        <f t="shared" si="69"/>
        <v>5.359</v>
      </c>
      <c r="AV167">
        <f t="shared" si="70"/>
        <v>0</v>
      </c>
      <c r="AW167">
        <f t="shared" si="71"/>
        <v>6.1176500000000003</v>
      </c>
      <c r="AX167">
        <f t="shared" si="72"/>
        <v>5.0359999999999996</v>
      </c>
      <c r="AZ167">
        <f t="shared" si="73"/>
        <v>14.653649999999999</v>
      </c>
      <c r="BC167">
        <f t="shared" si="74"/>
        <v>0.76200000000000001</v>
      </c>
      <c r="BD167">
        <f t="shared" si="75"/>
        <v>0</v>
      </c>
      <c r="BE167">
        <f t="shared" si="76"/>
        <v>14.653649999999999</v>
      </c>
      <c r="BF167">
        <f t="shared" si="77"/>
        <v>77.7</v>
      </c>
      <c r="BG167">
        <f t="shared" si="78"/>
        <v>5.359</v>
      </c>
      <c r="BH167">
        <f>VLOOKUP(B167,Miljö!$B$1:$BX$482,MATCH("Fossilandel för ursprungspecificerad el ()",Miljö!$B$1:$I$1,0),FALSE)</f>
        <v>0</v>
      </c>
      <c r="BI167">
        <f>VLOOKUP(B167,Miljö!$B$1:$BX$482,MATCH("Kärnkraftsandel för ursprungsspecificerad el ()",Miljö!$B$1:$O$1,0),FALSE)</f>
        <v>0</v>
      </c>
      <c r="BJ167">
        <f t="shared" si="79"/>
        <v>0</v>
      </c>
      <c r="BK167" t="str">
        <f>VLOOKUP(B167,Miljö!$B$1:$O$482,MATCH("Fossil andel i procent (%)",Miljö!$B$1:$O$1,0),FALSE)</f>
        <v>ET</v>
      </c>
      <c r="BL167">
        <f t="shared" si="80"/>
        <v>98.474649999999997</v>
      </c>
      <c r="BO167" s="18">
        <f t="shared" si="81"/>
        <v>7.7380320722135092E-3</v>
      </c>
      <c r="BP167" s="18">
        <f t="shared" si="82"/>
        <v>0</v>
      </c>
      <c r="BQ167" s="18">
        <f t="shared" si="83"/>
        <v>0.20322641410759015</v>
      </c>
      <c r="BR167" s="18">
        <f t="shared" si="84"/>
        <v>0.78903555382019641</v>
      </c>
      <c r="BT167" s="27">
        <f t="shared" si="85"/>
        <v>1</v>
      </c>
      <c r="BW167" s="18">
        <f>IF(AP167="ja",VLOOKUP(B167,Miljövärden!$B$2:$H$550,MATCH("Total andel fossilt",Miljövärden!$B$2:$H$2,0),FALSE),"")</f>
        <v>7.7380399999999998E-3</v>
      </c>
      <c r="BZ167" s="28">
        <f t="shared" si="86"/>
        <v>7.9277864906482365E-9</v>
      </c>
      <c r="CA167" s="28">
        <f t="shared" si="87"/>
        <v>0</v>
      </c>
    </row>
    <row r="168" spans="1:79" x14ac:dyDescent="0.25">
      <c r="A168" s="224" t="s">
        <v>426</v>
      </c>
      <c r="B168" s="210" t="s">
        <v>430</v>
      </c>
      <c r="C168" s="121">
        <f>VLOOKUP($B168,'Tillförd energi'!$B$1:$AI$720,MATCH(C$1,'Tillförd energi'!$B$1:$AQ$1,0),FALSE)</f>
        <v>0</v>
      </c>
      <c r="D168" s="121">
        <f>VLOOKUP($B168,'Tillförd energi'!$B$1:$AI$720,MATCH(D$1,'Tillförd energi'!$B$1:$AQ$1,0),FALSE)</f>
        <v>0</v>
      </c>
      <c r="E168" s="121">
        <f>VLOOKUP($B168,'Tillförd energi'!$B$1:$AI$720,MATCH(E$1,'Tillförd energi'!$B$1:$AQ$1,0),FALSE)</f>
        <v>0</v>
      </c>
      <c r="F168" s="121">
        <f>VLOOKUP($B168,'Tillförd energi'!$B$1:$AI$720,MATCH(F$1,'Tillförd energi'!$B$1:$AQ$1,0),FALSE)</f>
        <v>0</v>
      </c>
      <c r="G168" s="121">
        <f>VLOOKUP($B168,'Tillförd energi'!$B$1:$AI$720,MATCH(G$1,'Tillförd energi'!$B$1:$AQ$1,0),FALSE)</f>
        <v>0</v>
      </c>
      <c r="H168" s="121">
        <f>VLOOKUP($B168,'Tillförd energi'!$B$1:$AI$720,MATCH(H$1,'Tillförd energi'!$B$1:$AQ$1,0),FALSE)</f>
        <v>0</v>
      </c>
      <c r="I168" s="121">
        <f>VLOOKUP($B168,'Tillförd energi'!$B$1:$AI$720,MATCH(I$1,'Tillförd energi'!$B$1:$AQ$1,0),FALSE)</f>
        <v>0</v>
      </c>
      <c r="J168" s="121">
        <f>VLOOKUP($B168,'Tillförd energi'!$B$1:$AI$720,MATCH(J$1,'Tillförd energi'!$B$1:$AQ$1,0),FALSE)</f>
        <v>0</v>
      </c>
      <c r="K168" s="121">
        <f>VLOOKUP($B168,'Tillförd energi'!$B$1:$AI$720,MATCH(K$1,'Tillförd energi'!$B$1:$AQ$1,0),FALSE)</f>
        <v>0</v>
      </c>
      <c r="L168" s="121">
        <f>VLOOKUP($B168,'Tillförd energi'!$B$1:$AI$720,MATCH(L$1,'Tillförd energi'!$B$1:$AQ$1,0),FALSE)</f>
        <v>0</v>
      </c>
      <c r="M168" s="121">
        <f>VLOOKUP($B168,'Tillförd energi'!$B$1:$AI$720,MATCH(M$1,'Tillförd energi'!$B$1:$AQ$1,0),FALSE)</f>
        <v>0</v>
      </c>
      <c r="N168" s="121">
        <f>VLOOKUP($B168,'Tillförd energi'!$B$1:$AI$720,MATCH(N$1,'Tillförd energi'!$B$1:$AQ$1,0),FALSE)</f>
        <v>0</v>
      </c>
      <c r="O168" s="121">
        <f>VLOOKUP($B168,'Tillförd energi'!$B$1:$AI$720,MATCH(O$1,'Tillförd energi'!$B$1:$AQ$1,0),FALSE)</f>
        <v>0</v>
      </c>
      <c r="P168" s="121">
        <f>VLOOKUP($B168,'Tillförd energi'!$B$1:$AI$720,MATCH(P$1,'Tillförd energi'!$B$1:$AQ$1,0),FALSE)</f>
        <v>0</v>
      </c>
      <c r="Q168" s="121">
        <f>VLOOKUP($B168,'Tillförd energi'!$B$1:$AI$720,MATCH(Q$1,'Tillförd energi'!$B$1:$AQ$1,0),FALSE)</f>
        <v>0</v>
      </c>
      <c r="R168" s="121">
        <f>VLOOKUP($B168,'Tillförd energi'!$B$1:$AI$720,MATCH(R$1,'Tillförd energi'!$B$1:$AQ$1,0),FALSE)</f>
        <v>0</v>
      </c>
      <c r="S168" s="121">
        <f>VLOOKUP($B168,'Tillförd energi'!$B$1:$AI$720,MATCH(S$1,'Tillförd energi'!$B$1:$AQ$1,0),FALSE)</f>
        <v>0</v>
      </c>
      <c r="T168" s="121">
        <f>VLOOKUP($B168,'Tillförd energi'!$B$1:$AI$720,MATCH(T$1,'Tillförd energi'!$B$1:$AQ$1,0),FALSE)</f>
        <v>0</v>
      </c>
      <c r="U168" s="121">
        <f>VLOOKUP($B168,'Tillförd energi'!$B$1:$AI$720,MATCH(U$1,'Tillförd energi'!$B$1:$AQ$1,0),FALSE)</f>
        <v>0</v>
      </c>
      <c r="V168" s="121">
        <f>VLOOKUP($B168,'Tillförd energi'!$B$1:$AI$720,MATCH(V$1,'Tillförd energi'!$B$1:$AQ$1,0),FALSE)</f>
        <v>0</v>
      </c>
      <c r="W168" s="121">
        <f>VLOOKUP($B168,'Tillförd energi'!$B$1:$AI$720,MATCH(W$1,'Tillförd energi'!$B$1:$AQ$1,0),FALSE)</f>
        <v>0</v>
      </c>
      <c r="X168" s="121">
        <f>VLOOKUP($B168,'Tillförd energi'!$B$1:$AI$720,MATCH(X$1,'Tillförd energi'!$B$1:$AQ$1,0),FALSE)</f>
        <v>0</v>
      </c>
      <c r="Y168" s="121">
        <f>VLOOKUP($B168,'Tillförd energi'!$B$1:$AI$720,MATCH(Y$1,'Tillförd energi'!$B$1:$AQ$1,0),FALSE)</f>
        <v>0</v>
      </c>
      <c r="Z168" s="121">
        <f>VLOOKUP($B168,'Tillförd energi'!$B$1:$AI$720,MATCH(Z$1,'Tillförd energi'!$B$1:$AQ$1,0),FALSE)</f>
        <v>0</v>
      </c>
      <c r="AA168" s="121">
        <f>VLOOKUP($B168,'Tillförd energi'!$B$1:$AI$720,MATCH(AA$1,'Tillförd energi'!$B$1:$AQ$1,0),FALSE)</f>
        <v>0</v>
      </c>
      <c r="AB168" s="121">
        <f>VLOOKUP($B168,'Tillförd energi'!$B$1:$AI$720,MATCH(AB$1,'Tillförd energi'!$B$1:$AQ$1,0),FALSE)</f>
        <v>0</v>
      </c>
      <c r="AC168" s="121">
        <f>VLOOKUP($B168,'Tillförd energi'!$B$1:$AI$720,MATCH(AC$1,'Tillförd energi'!$B$1:$AQ$1,0),FALSE)</f>
        <v>0</v>
      </c>
      <c r="AD168" s="121">
        <f>VLOOKUP($B168,'Tillförd energi'!$B$1:$AI$720,MATCH(AD$1,'Tillförd energi'!$B$1:$AQ$1,0),FALSE)</f>
        <v>0</v>
      </c>
      <c r="AE168" s="121">
        <f>VLOOKUP($B168,'Tillförd energi'!$B$1:$AI$720,MATCH(AE$1,'Tillförd energi'!$B$1:$AQ$1,0),FALSE)</f>
        <v>0</v>
      </c>
      <c r="AF168" s="121">
        <f>VLOOKUP($B168,'Tillförd energi'!$B$1:$AI$720,MATCH(AF$1,'Tillförd energi'!$B$1:$AQ$1,0),FALSE)</f>
        <v>0</v>
      </c>
      <c r="AG168" s="121">
        <f>IFERROR(VLOOKUP(B168,Miljö!$B$1:$AC$550,MATCH("Köpt mängd produktionsspecifik fjärrvärme:",Miljö!$B$1:$AC$1,0),FALSE)/1,0)</f>
        <v>0</v>
      </c>
      <c r="AH168" s="121"/>
      <c r="AI168" s="121">
        <f t="shared" si="66"/>
        <v>0</v>
      </c>
      <c r="AJ168" s="121">
        <f t="shared" si="67"/>
        <v>0</v>
      </c>
      <c r="AK168" s="121" t="str">
        <f>IF(ISERROR(1/VLOOKUP($B168,Leveranser!$B$1:$S$499,MATCH("såld värme (gwh)",Leveranser!$B$1:$S$1,0),FALSE)),"",VLOOKUP($B168,Leveranser!$B$1:$S$499,MATCH("såld värme (gwh)",Leveranser!$B$1:$S$1,0),FALSE))</f>
        <v/>
      </c>
      <c r="AL168" s="121">
        <f>VLOOKUP($B168,Leveranser!$B$1:$Y$499,MATCH("Totalt såld fjärrvärme till andra fjärrvärmeföretag",Leveranser!$B$1:$AA$1,0),FALSE)</f>
        <v>0</v>
      </c>
      <c r="AM168" s="121">
        <f>IF(ISERROR(1/VLOOKUP($B168,Miljö!$B$1:$S$500,MATCH("Såld mängd produktionsspecifik fjärrvärme (GWh)",Miljö!$B$1:$R$1,0),FALSE)),0,VLOOKUP($B168,Miljö!$B$1:$S$500,MATCH("Såld mängd produktionsspecifik fjärrvärme (GWh)",Miljö!$B$1:$R$1,0),FALSE))</f>
        <v>0</v>
      </c>
      <c r="AN168" s="172" t="str">
        <f t="shared" si="68"/>
        <v/>
      </c>
      <c r="AO168" s="121"/>
      <c r="AP168" s="121" t="str">
        <f>IFERROR(VLOOKUP($B168,Miljövärden!$B$2:$H$550,7,FALSE),"Nej, saknas")</f>
        <v>Nej</v>
      </c>
      <c r="AQ168" s="121" t="str">
        <f>IFERROR(VLOOKUP($B168,Miljövärden!$B$2:$H$550,6,FALSE),"Nej, saknas")</f>
        <v>Ja</v>
      </c>
      <c r="AU168">
        <f t="shared" si="69"/>
        <v>0</v>
      </c>
      <c r="AV168">
        <f t="shared" si="70"/>
        <v>0</v>
      </c>
      <c r="AW168">
        <f t="shared" si="71"/>
        <v>0</v>
      </c>
      <c r="AX168">
        <f t="shared" si="72"/>
        <v>0</v>
      </c>
      <c r="AZ168">
        <f t="shared" si="73"/>
        <v>0</v>
      </c>
      <c r="BC168">
        <f t="shared" si="74"/>
        <v>0</v>
      </c>
      <c r="BD168">
        <f t="shared" si="75"/>
        <v>0</v>
      </c>
      <c r="BE168">
        <f t="shared" si="76"/>
        <v>0</v>
      </c>
      <c r="BF168">
        <f t="shared" si="77"/>
        <v>0</v>
      </c>
      <c r="BG168">
        <f t="shared" si="78"/>
        <v>0</v>
      </c>
      <c r="BH168">
        <f>VLOOKUP(B168,Miljö!$B$1:$BX$482,MATCH("Fossilandel för ursprungspecificerad el ()",Miljö!$B$1:$I$1,0),FALSE)</f>
        <v>0</v>
      </c>
      <c r="BI168">
        <f>VLOOKUP(B168,Miljö!$B$1:$BX$482,MATCH("Kärnkraftsandel för ursprungsspecificerad el ()",Miljö!$B$1:$O$1,0),FALSE)</f>
        <v>0</v>
      </c>
      <c r="BJ168">
        <f t="shared" si="79"/>
        <v>0</v>
      </c>
      <c r="BK168" t="str">
        <f>VLOOKUP(B168,Miljö!$B$1:$O$482,MATCH("Fossil andel i procent (%)",Miljö!$B$1:$O$1,0),FALSE)</f>
        <v>ET</v>
      </c>
      <c r="BL168">
        <f t="shared" si="80"/>
        <v>0</v>
      </c>
      <c r="BO168" s="18" t="str">
        <f t="shared" si="81"/>
        <v/>
      </c>
      <c r="BP168" s="18" t="str">
        <f t="shared" si="82"/>
        <v/>
      </c>
      <c r="BQ168" s="18" t="str">
        <f t="shared" si="83"/>
        <v/>
      </c>
      <c r="BR168" s="18" t="str">
        <f t="shared" si="84"/>
        <v/>
      </c>
      <c r="BT168" s="27">
        <f t="shared" si="85"/>
        <v>0</v>
      </c>
      <c r="BW168" s="18" t="str">
        <f>IF(AP168="ja",VLOOKUP(B168,Miljövärden!$B$2:$H$550,MATCH("Total andel fossilt",Miljövärden!$B$2:$H$2,0),FALSE),"")</f>
        <v/>
      </c>
      <c r="BZ168" s="28" t="str">
        <f t="shared" si="86"/>
        <v/>
      </c>
      <c r="CA168" s="28" t="str">
        <f t="shared" si="87"/>
        <v/>
      </c>
    </row>
    <row r="169" spans="1:79" x14ac:dyDescent="0.25">
      <c r="A169" s="224" t="s">
        <v>426</v>
      </c>
      <c r="B169" s="210" t="s">
        <v>431</v>
      </c>
      <c r="C169" s="121">
        <f>VLOOKUP($B169,'Tillförd energi'!$B$1:$AI$720,MATCH(C$1,'Tillförd energi'!$B$1:$AQ$1,0),FALSE)</f>
        <v>0</v>
      </c>
      <c r="D169" s="121">
        <f>VLOOKUP($B169,'Tillförd energi'!$B$1:$AI$720,MATCH(D$1,'Tillförd energi'!$B$1:$AQ$1,0),FALSE)</f>
        <v>0.23799999999999999</v>
      </c>
      <c r="E169" s="121">
        <f>VLOOKUP($B169,'Tillförd energi'!$B$1:$AI$720,MATCH(E$1,'Tillförd energi'!$B$1:$AQ$1,0),FALSE)</f>
        <v>0</v>
      </c>
      <c r="F169" s="121">
        <f>VLOOKUP($B169,'Tillförd energi'!$B$1:$AI$720,MATCH(F$1,'Tillförd energi'!$B$1:$AQ$1,0),FALSE)</f>
        <v>0</v>
      </c>
      <c r="G169" s="121">
        <f>VLOOKUP($B169,'Tillförd energi'!$B$1:$AI$720,MATCH(G$1,'Tillförd energi'!$B$1:$AQ$1,0),FALSE)</f>
        <v>0</v>
      </c>
      <c r="H169" s="121">
        <f>VLOOKUP($B169,'Tillförd energi'!$B$1:$AI$720,MATCH(H$1,'Tillförd energi'!$B$1:$AQ$1,0),FALSE)</f>
        <v>0</v>
      </c>
      <c r="I169" s="121">
        <f>VLOOKUP($B169,'Tillförd energi'!$B$1:$AI$720,MATCH(I$1,'Tillförd energi'!$B$1:$AQ$1,0),FALSE)</f>
        <v>0</v>
      </c>
      <c r="J169" s="121">
        <f>VLOOKUP($B169,'Tillförd energi'!$B$1:$AI$720,MATCH(J$1,'Tillförd energi'!$B$1:$AQ$1,0),FALSE)</f>
        <v>0</v>
      </c>
      <c r="K169" s="121">
        <f>VLOOKUP($B169,'Tillförd energi'!$B$1:$AI$720,MATCH(K$1,'Tillförd energi'!$B$1:$AQ$1,0),FALSE)</f>
        <v>0</v>
      </c>
      <c r="L169" s="121">
        <f>VLOOKUP($B169,'Tillförd energi'!$B$1:$AI$720,MATCH(L$1,'Tillförd energi'!$B$1:$AQ$1,0),FALSE)</f>
        <v>0</v>
      </c>
      <c r="M169" s="121">
        <f>VLOOKUP($B169,'Tillförd energi'!$B$1:$AI$720,MATCH(M$1,'Tillförd energi'!$B$1:$AQ$1,0),FALSE)</f>
        <v>0</v>
      </c>
      <c r="N169" s="121">
        <f>VLOOKUP($B169,'Tillförd energi'!$B$1:$AI$720,MATCH(N$1,'Tillförd energi'!$B$1:$AQ$1,0),FALSE)</f>
        <v>0</v>
      </c>
      <c r="O169" s="121">
        <f>VLOOKUP($B169,'Tillförd energi'!$B$1:$AI$720,MATCH(O$1,'Tillförd energi'!$B$1:$AQ$1,0),FALSE)</f>
        <v>0</v>
      </c>
      <c r="P169" s="121">
        <f>VLOOKUP($B169,'Tillförd energi'!$B$1:$AI$720,MATCH(P$1,'Tillförd energi'!$B$1:$AQ$1,0),FALSE)</f>
        <v>0</v>
      </c>
      <c r="Q169" s="121">
        <f>VLOOKUP($B169,'Tillförd energi'!$B$1:$AI$720,MATCH(Q$1,'Tillförd energi'!$B$1:$AQ$1,0),FALSE)</f>
        <v>0.31764700000000001</v>
      </c>
      <c r="R169" s="121">
        <f>VLOOKUP($B169,'Tillförd energi'!$B$1:$AI$720,MATCH(R$1,'Tillförd energi'!$B$1:$AQ$1,0),FALSE)</f>
        <v>0</v>
      </c>
      <c r="S169" s="121">
        <f>VLOOKUP($B169,'Tillförd energi'!$B$1:$AI$720,MATCH(S$1,'Tillförd energi'!$B$1:$AQ$1,0),FALSE)</f>
        <v>0</v>
      </c>
      <c r="T169" s="121">
        <f>VLOOKUP($B169,'Tillförd energi'!$B$1:$AI$720,MATCH(T$1,'Tillförd energi'!$B$1:$AQ$1,0),FALSE)</f>
        <v>0</v>
      </c>
      <c r="U169" s="121">
        <f>VLOOKUP($B169,'Tillförd energi'!$B$1:$AI$720,MATCH(U$1,'Tillförd energi'!$B$1:$AQ$1,0),FALSE)</f>
        <v>0</v>
      </c>
      <c r="V169" s="121">
        <f>VLOOKUP($B169,'Tillförd energi'!$B$1:$AI$720,MATCH(V$1,'Tillförd energi'!$B$1:$AQ$1,0),FALSE)</f>
        <v>0</v>
      </c>
      <c r="W169" s="121">
        <f>VLOOKUP($B169,'Tillförd energi'!$B$1:$AI$720,MATCH(W$1,'Tillförd energi'!$B$1:$AQ$1,0),FALSE)</f>
        <v>0</v>
      </c>
      <c r="X169" s="121">
        <f>VLOOKUP($B169,'Tillförd energi'!$B$1:$AI$720,MATCH(X$1,'Tillförd energi'!$B$1:$AQ$1,0),FALSE)</f>
        <v>0</v>
      </c>
      <c r="Y169" s="121">
        <f>VLOOKUP($B169,'Tillförd energi'!$B$1:$AI$720,MATCH(Y$1,'Tillförd energi'!$B$1:$AQ$1,0),FALSE)</f>
        <v>0</v>
      </c>
      <c r="Z169" s="121">
        <f>VLOOKUP($B169,'Tillförd energi'!$B$1:$AI$720,MATCH(Z$1,'Tillförd energi'!$B$1:$AQ$1,0),FALSE)</f>
        <v>0</v>
      </c>
      <c r="AA169" s="121">
        <f>VLOOKUP($B169,'Tillförd energi'!$B$1:$AI$720,MATCH(AA$1,'Tillförd energi'!$B$1:$AQ$1,0),FALSE)</f>
        <v>0</v>
      </c>
      <c r="AB169" s="121">
        <f>VLOOKUP($B169,'Tillförd energi'!$B$1:$AI$720,MATCH(AB$1,'Tillförd energi'!$B$1:$AQ$1,0),FALSE)</f>
        <v>0</v>
      </c>
      <c r="AC169" s="121">
        <f>VLOOKUP($B169,'Tillförd energi'!$B$1:$AI$720,MATCH(AC$1,'Tillförd energi'!$B$1:$AQ$1,0),FALSE)</f>
        <v>0</v>
      </c>
      <c r="AD169" s="121">
        <f>VLOOKUP($B169,'Tillförd energi'!$B$1:$AI$720,MATCH(AD$1,'Tillförd energi'!$B$1:$AQ$1,0),FALSE)</f>
        <v>4.09</v>
      </c>
      <c r="AE169" s="121">
        <f>VLOOKUP($B169,'Tillförd energi'!$B$1:$AI$720,MATCH(AE$1,'Tillförd energi'!$B$1:$AQ$1,0),FALSE)</f>
        <v>0</v>
      </c>
      <c r="AF169" s="121">
        <f>VLOOKUP($B169,'Tillförd energi'!$B$1:$AI$720,MATCH(AF$1,'Tillförd energi'!$B$1:$AQ$1,0),FALSE)</f>
        <v>2.7E-2</v>
      </c>
      <c r="AG169" s="121">
        <f>IFERROR(VLOOKUP(B169,Miljö!$B$1:$AC$550,MATCH("Köpt mängd produktionsspecifik fjärrvärme:",Miljö!$B$1:$AC$1,0),FALSE)/1,0)</f>
        <v>0</v>
      </c>
      <c r="AH169" s="121"/>
      <c r="AI169" s="121">
        <f t="shared" si="66"/>
        <v>4.6726470000000004</v>
      </c>
      <c r="AJ169" s="121">
        <f t="shared" si="67"/>
        <v>4.6726470000000004</v>
      </c>
      <c r="AK169" s="121">
        <f>IF(ISERROR(1/VLOOKUP($B169,Leveranser!$B$1:$S$499,MATCH("såld värme (gwh)",Leveranser!$B$1:$S$1,0),FALSE)),"",VLOOKUP($B169,Leveranser!$B$1:$S$499,MATCH("såld värme (gwh)",Leveranser!$B$1:$S$1,0),FALSE))</f>
        <v>3.8</v>
      </c>
      <c r="AL169" s="121">
        <f>VLOOKUP($B169,Leveranser!$B$1:$Y$499,MATCH("Totalt såld fjärrvärme till andra fjärrvärmeföretag",Leveranser!$B$1:$AA$1,0),FALSE)</f>
        <v>0</v>
      </c>
      <c r="AM169" s="121">
        <f>IF(ISERROR(1/VLOOKUP($B169,Miljö!$B$1:$S$500,MATCH("Såld mängd produktionsspecifik fjärrvärme (GWh)",Miljö!$B$1:$R$1,0),FALSE)),0,VLOOKUP($B169,Miljö!$B$1:$S$500,MATCH("Såld mängd produktionsspecifik fjärrvärme (GWh)",Miljö!$B$1:$R$1,0),FALSE))</f>
        <v>0</v>
      </c>
      <c r="AN169" s="172">
        <f t="shared" si="68"/>
        <v>0.81324354268576238</v>
      </c>
      <c r="AO169" s="121"/>
      <c r="AP169" s="121" t="str">
        <f>IFERROR(VLOOKUP($B169,Miljövärden!$B$2:$H$550,7,FALSE),"Nej, saknas")</f>
        <v>Ja</v>
      </c>
      <c r="AQ169" s="121" t="str">
        <f>IFERROR(VLOOKUP($B169,Miljövärden!$B$2:$H$550,6,FALSE),"Nej, saknas")</f>
        <v>Ja</v>
      </c>
      <c r="AU169">
        <f t="shared" si="69"/>
        <v>2.7E-2</v>
      </c>
      <c r="AV169">
        <f t="shared" si="70"/>
        <v>0</v>
      </c>
      <c r="AW169">
        <f t="shared" si="71"/>
        <v>0.31764700000000001</v>
      </c>
      <c r="AX169">
        <f t="shared" si="72"/>
        <v>0</v>
      </c>
      <c r="AZ169">
        <f t="shared" si="73"/>
        <v>0.31764700000000001</v>
      </c>
      <c r="BC169">
        <f t="shared" si="74"/>
        <v>0.23799999999999999</v>
      </c>
      <c r="BD169">
        <f t="shared" si="75"/>
        <v>0</v>
      </c>
      <c r="BE169">
        <f t="shared" si="76"/>
        <v>0.31764700000000001</v>
      </c>
      <c r="BF169">
        <f t="shared" si="77"/>
        <v>4.09</v>
      </c>
      <c r="BG169">
        <f t="shared" si="78"/>
        <v>2.7E-2</v>
      </c>
      <c r="BH169">
        <f>VLOOKUP(B169,Miljö!$B$1:$BX$482,MATCH("Fossilandel för ursprungspecificerad el ()",Miljö!$B$1:$I$1,0),FALSE)</f>
        <v>0</v>
      </c>
      <c r="BI169">
        <f>VLOOKUP(B169,Miljö!$B$1:$BX$482,MATCH("Kärnkraftsandel för ursprungsspecificerad el ()",Miljö!$B$1:$O$1,0),FALSE)</f>
        <v>0</v>
      </c>
      <c r="BJ169">
        <f t="shared" si="79"/>
        <v>0</v>
      </c>
      <c r="BK169" t="str">
        <f>VLOOKUP(B169,Miljö!$B$1:$O$482,MATCH("Fossil andel i procent (%)",Miljö!$B$1:$O$1,0),FALSE)</f>
        <v>ET</v>
      </c>
      <c r="BL169">
        <f t="shared" si="80"/>
        <v>4.6726470000000004</v>
      </c>
      <c r="BO169" s="18">
        <f t="shared" si="81"/>
        <v>5.0934727147160908E-2</v>
      </c>
      <c r="BP169" s="18">
        <f t="shared" si="82"/>
        <v>0</v>
      </c>
      <c r="BQ169" s="18">
        <f t="shared" si="83"/>
        <v>7.3758407172636833E-2</v>
      </c>
      <c r="BR169" s="18">
        <f t="shared" si="84"/>
        <v>0.87530686568020211</v>
      </c>
      <c r="BT169" s="27">
        <f t="shared" si="85"/>
        <v>0.99999999999999989</v>
      </c>
      <c r="BW169" s="18">
        <f>IF(AP169="ja",VLOOKUP(B169,Miljövärden!$B$2:$H$550,MATCH("Total andel fossilt",Miljövärden!$B$2:$H$2,0),FALSE),"")</f>
        <v>5.0934699999999999E-2</v>
      </c>
      <c r="BZ169" s="28">
        <f t="shared" si="86"/>
        <v>-2.7147160908125301E-8</v>
      </c>
      <c r="CA169" s="28">
        <f t="shared" si="87"/>
        <v>0</v>
      </c>
    </row>
    <row r="170" spans="1:79" x14ac:dyDescent="0.25">
      <c r="A170" s="224" t="s">
        <v>432</v>
      </c>
      <c r="B170" s="210" t="s">
        <v>433</v>
      </c>
      <c r="C170" s="121">
        <f>VLOOKUP($B170,'Tillförd energi'!$B$1:$AI$720,MATCH(C$1,'Tillförd energi'!$B$1:$AQ$1,0),FALSE)</f>
        <v>0</v>
      </c>
      <c r="D170" s="121">
        <f>VLOOKUP($B170,'Tillförd energi'!$B$1:$AI$720,MATCH(D$1,'Tillförd energi'!$B$1:$AQ$1,0),FALSE)</f>
        <v>2.58</v>
      </c>
      <c r="E170" s="121">
        <f>VLOOKUP($B170,'Tillförd energi'!$B$1:$AI$720,MATCH(E$1,'Tillförd energi'!$B$1:$AQ$1,0),FALSE)</f>
        <v>0</v>
      </c>
      <c r="F170" s="121">
        <f>VLOOKUP($B170,'Tillförd energi'!$B$1:$AI$720,MATCH(F$1,'Tillförd energi'!$B$1:$AQ$1,0),FALSE)</f>
        <v>0</v>
      </c>
      <c r="G170" s="121">
        <f>VLOOKUP($B170,'Tillförd energi'!$B$1:$AI$720,MATCH(G$1,'Tillförd energi'!$B$1:$AQ$1,0),FALSE)</f>
        <v>0</v>
      </c>
      <c r="H170" s="121">
        <f>VLOOKUP($B170,'Tillförd energi'!$B$1:$AI$720,MATCH(H$1,'Tillförd energi'!$B$1:$AQ$1,0),FALSE)</f>
        <v>0</v>
      </c>
      <c r="I170" s="121">
        <f>VLOOKUP($B170,'Tillförd energi'!$B$1:$AI$720,MATCH(I$1,'Tillförd energi'!$B$1:$AQ$1,0),FALSE)</f>
        <v>112.348</v>
      </c>
      <c r="J170" s="121">
        <f>VLOOKUP($B170,'Tillförd energi'!$B$1:$AI$720,MATCH(J$1,'Tillförd energi'!$B$1:$AQ$1,0),FALSE)</f>
        <v>0</v>
      </c>
      <c r="K170" s="121">
        <f>VLOOKUP($B170,'Tillförd energi'!$B$1:$AI$720,MATCH(K$1,'Tillförd energi'!$B$1:$AQ$1,0),FALSE)</f>
        <v>0</v>
      </c>
      <c r="L170" s="121">
        <f>VLOOKUP($B170,'Tillförd energi'!$B$1:$AI$720,MATCH(L$1,'Tillförd energi'!$B$1:$AQ$1,0),FALSE)</f>
        <v>19.059699999999999</v>
      </c>
      <c r="M170" s="121">
        <f>VLOOKUP($B170,'Tillförd energi'!$B$1:$AI$720,MATCH(M$1,'Tillförd energi'!$B$1:$AQ$1,0),FALSE)</f>
        <v>0</v>
      </c>
      <c r="N170" s="121">
        <f>VLOOKUP($B170,'Tillförd energi'!$B$1:$AI$720,MATCH(N$1,'Tillförd energi'!$B$1:$AQ$1,0),FALSE)</f>
        <v>45.082099999999997</v>
      </c>
      <c r="O170" s="121">
        <f>VLOOKUP($B170,'Tillförd energi'!$B$1:$AI$720,MATCH(O$1,'Tillförd energi'!$B$1:$AQ$1,0),FALSE)</f>
        <v>0</v>
      </c>
      <c r="P170" s="121">
        <f>VLOOKUP($B170,'Tillförd energi'!$B$1:$AI$720,MATCH(P$1,'Tillförd energi'!$B$1:$AQ$1,0),FALSE)</f>
        <v>0</v>
      </c>
      <c r="Q170" s="121">
        <f>VLOOKUP($B170,'Tillförd energi'!$B$1:$AI$720,MATCH(Q$1,'Tillförd energi'!$B$1:$AQ$1,0),FALSE)</f>
        <v>0</v>
      </c>
      <c r="R170" s="121">
        <f>VLOOKUP($B170,'Tillförd energi'!$B$1:$AI$720,MATCH(R$1,'Tillförd energi'!$B$1:$AQ$1,0),FALSE)</f>
        <v>10.06</v>
      </c>
      <c r="S170" s="121">
        <f>VLOOKUP($B170,'Tillförd energi'!$B$1:$AI$720,MATCH(S$1,'Tillförd energi'!$B$1:$AQ$1,0),FALSE)</f>
        <v>0</v>
      </c>
      <c r="T170" s="121">
        <f>VLOOKUP($B170,'Tillförd energi'!$B$1:$AI$720,MATCH(T$1,'Tillförd energi'!$B$1:$AQ$1,0),FALSE)</f>
        <v>0</v>
      </c>
      <c r="U170" s="121">
        <f>VLOOKUP($B170,'Tillförd energi'!$B$1:$AI$720,MATCH(U$1,'Tillförd energi'!$B$1:$AQ$1,0),FALSE)</f>
        <v>0</v>
      </c>
      <c r="V170" s="121">
        <f>VLOOKUP($B170,'Tillförd energi'!$B$1:$AI$720,MATCH(V$1,'Tillförd energi'!$B$1:$AQ$1,0),FALSE)</f>
        <v>0</v>
      </c>
      <c r="W170" s="121">
        <f>VLOOKUP($B170,'Tillförd energi'!$B$1:$AI$720,MATCH(W$1,'Tillförd energi'!$B$1:$AQ$1,0),FALSE)</f>
        <v>0</v>
      </c>
      <c r="X170" s="121">
        <f>VLOOKUP($B170,'Tillförd energi'!$B$1:$AI$720,MATCH(X$1,'Tillförd energi'!$B$1:$AQ$1,0),FALSE)</f>
        <v>0</v>
      </c>
      <c r="Y170" s="121">
        <f>VLOOKUP($B170,'Tillförd energi'!$B$1:$AI$720,MATCH(Y$1,'Tillförd energi'!$B$1:$AQ$1,0),FALSE)</f>
        <v>4.2357800000000001</v>
      </c>
      <c r="Z170" s="121">
        <f>VLOOKUP($B170,'Tillförd energi'!$B$1:$AI$720,MATCH(Z$1,'Tillförd energi'!$B$1:$AQ$1,0),FALSE)</f>
        <v>0</v>
      </c>
      <c r="AA170" s="121">
        <f>VLOOKUP($B170,'Tillförd energi'!$B$1:$AI$720,MATCH(AA$1,'Tillförd energi'!$B$1:$AQ$1,0),FALSE)</f>
        <v>0</v>
      </c>
      <c r="AB170" s="121">
        <f>VLOOKUP($B170,'Tillförd energi'!$B$1:$AI$720,MATCH(AB$1,'Tillförd energi'!$B$1:$AQ$1,0),FALSE)</f>
        <v>0</v>
      </c>
      <c r="AC170" s="121">
        <f>VLOOKUP($B170,'Tillförd energi'!$B$1:$AI$720,MATCH(AC$1,'Tillförd energi'!$B$1:$AQ$1,0),FALSE)</f>
        <v>0</v>
      </c>
      <c r="AD170" s="121">
        <f>VLOOKUP($B170,'Tillförd energi'!$B$1:$AI$720,MATCH(AD$1,'Tillförd energi'!$B$1:$AQ$1,0),FALSE)</f>
        <v>0</v>
      </c>
      <c r="AE170" s="121">
        <f>VLOOKUP($B170,'Tillförd energi'!$B$1:$AI$720,MATCH(AE$1,'Tillförd energi'!$B$1:$AQ$1,0),FALSE)</f>
        <v>0</v>
      </c>
      <c r="AF170" s="121">
        <f>VLOOKUP($B170,'Tillförd energi'!$B$1:$AI$720,MATCH(AF$1,'Tillförd energi'!$B$1:$AQ$1,0),FALSE)</f>
        <v>4.2869999999999999</v>
      </c>
      <c r="AG170" s="121">
        <f>IFERROR(VLOOKUP(B170,Miljö!$B$1:$AC$550,MATCH("Köpt mängd produktionsspecifik fjärrvärme:",Miljö!$B$1:$AC$1,0),FALSE)/1,0)</f>
        <v>0</v>
      </c>
      <c r="AH170" s="121"/>
      <c r="AI170" s="121">
        <f t="shared" si="66"/>
        <v>197.65258</v>
      </c>
      <c r="AJ170" s="121">
        <f t="shared" si="67"/>
        <v>197.65258</v>
      </c>
      <c r="AK170" s="121">
        <f>IF(ISERROR(1/VLOOKUP($B170,Leveranser!$B$1:$S$499,MATCH("såld värme (gwh)",Leveranser!$B$1:$S$1,0),FALSE)),"",VLOOKUP($B170,Leveranser!$B$1:$S$499,MATCH("såld värme (gwh)",Leveranser!$B$1:$S$1,0),FALSE))</f>
        <v>142.9</v>
      </c>
      <c r="AL170" s="121">
        <f>VLOOKUP($B170,Leveranser!$B$1:$Y$499,MATCH("Totalt såld fjärrvärme till andra fjärrvärmeföretag",Leveranser!$B$1:$AA$1,0),FALSE)</f>
        <v>3.5</v>
      </c>
      <c r="AM170" s="121">
        <f>IF(ISERROR(1/VLOOKUP($B170,Miljö!$B$1:$S$500,MATCH("Såld mängd produktionsspecifik fjärrvärme (GWh)",Miljö!$B$1:$R$1,0),FALSE)),0,VLOOKUP($B170,Miljö!$B$1:$S$500,MATCH("Såld mängd produktionsspecifik fjärrvärme (GWh)",Miljö!$B$1:$R$1,0),FALSE))</f>
        <v>0</v>
      </c>
      <c r="AN170" s="172">
        <f t="shared" si="68"/>
        <v>0.7229857561181342</v>
      </c>
      <c r="AO170" s="121"/>
      <c r="AP170" s="121" t="str">
        <f>IFERROR(VLOOKUP($B170,Miljövärden!$B$2:$H$550,7,FALSE),"Nej, saknas")</f>
        <v>Ja</v>
      </c>
      <c r="AQ170" s="121" t="str">
        <f>IFERROR(VLOOKUP($B170,Miljövärden!$B$2:$H$550,6,FALSE),"Nej, saknas")</f>
        <v>Nej</v>
      </c>
      <c r="AU170">
        <f t="shared" si="69"/>
        <v>4.2869999999999999</v>
      </c>
      <c r="AV170">
        <f t="shared" si="70"/>
        <v>0</v>
      </c>
      <c r="AW170">
        <f t="shared" si="71"/>
        <v>45.082099999999997</v>
      </c>
      <c r="AX170">
        <f t="shared" si="72"/>
        <v>10.06</v>
      </c>
      <c r="AZ170">
        <f t="shared" si="73"/>
        <v>74.201799999999992</v>
      </c>
      <c r="BC170">
        <f t="shared" si="74"/>
        <v>2.58</v>
      </c>
      <c r="BD170">
        <f t="shared" si="75"/>
        <v>4.2357800000000001</v>
      </c>
      <c r="BE170">
        <f t="shared" si="76"/>
        <v>55.142099999999999</v>
      </c>
      <c r="BF170">
        <f t="shared" si="77"/>
        <v>131.40770000000001</v>
      </c>
      <c r="BG170">
        <f t="shared" si="78"/>
        <v>4.2869999999999999</v>
      </c>
      <c r="BH170">
        <f>VLOOKUP(B170,Miljö!$B$1:$BX$482,MATCH("Fossilandel för ursprungspecificerad el ()",Miljö!$B$1:$I$1,0),FALSE)</f>
        <v>0.14799999999999999</v>
      </c>
      <c r="BI170">
        <f>VLOOKUP(B170,Miljö!$B$1:$BX$482,MATCH("Kärnkraftsandel för ursprungsspecificerad el ()",Miljö!$B$1:$O$1,0),FALSE)</f>
        <v>0.13900000000000001</v>
      </c>
      <c r="BJ170">
        <f t="shared" si="79"/>
        <v>0</v>
      </c>
      <c r="BK170" t="str">
        <f>VLOOKUP(B170,Miljö!$B$1:$O$482,MATCH("Fossil andel i procent (%)",Miljö!$B$1:$O$1,0),FALSE)</f>
        <v>ET</v>
      </c>
      <c r="BL170">
        <f t="shared" si="80"/>
        <v>197.65258000000003</v>
      </c>
      <c r="BO170" s="18">
        <f t="shared" si="81"/>
        <v>1.626326355061998E-2</v>
      </c>
      <c r="BP170" s="18">
        <f t="shared" si="82"/>
        <v>2.4445281716029204E-2</v>
      </c>
      <c r="BQ170" s="18">
        <f t="shared" si="83"/>
        <v>0.2944496398680958</v>
      </c>
      <c r="BR170" s="18">
        <f t="shared" si="84"/>
        <v>0.66484181486525495</v>
      </c>
      <c r="BT170" s="27">
        <f t="shared" si="85"/>
        <v>1</v>
      </c>
      <c r="BW170" s="18">
        <f>IF(AP170="ja",VLOOKUP(B170,Miljövärden!$B$2:$H$550,MATCH("Total andel fossilt",Miljövärden!$B$2:$H$2,0),FALSE),"")</f>
        <v>1.6263199999999998E-2</v>
      </c>
      <c r="BZ170" s="28">
        <f t="shared" si="86"/>
        <v>-6.3550619981700418E-8</v>
      </c>
      <c r="CA170" s="28">
        <f t="shared" si="87"/>
        <v>0</v>
      </c>
    </row>
    <row r="171" spans="1:79" x14ac:dyDescent="0.25">
      <c r="A171" s="224" t="s">
        <v>434</v>
      </c>
      <c r="B171" s="210" t="s">
        <v>435</v>
      </c>
      <c r="C171" s="121">
        <f>VLOOKUP($B171,'Tillförd energi'!$B$1:$AI$720,MATCH(C$1,'Tillförd energi'!$B$1:$AQ$1,0),FALSE)</f>
        <v>0</v>
      </c>
      <c r="D171" s="121">
        <f>VLOOKUP($B171,'Tillförd energi'!$B$1:$AI$720,MATCH(D$1,'Tillförd energi'!$B$1:$AQ$1,0),FALSE)</f>
        <v>0.2</v>
      </c>
      <c r="E171" s="121">
        <f>VLOOKUP($B171,'Tillförd energi'!$B$1:$AI$720,MATCH(E$1,'Tillförd energi'!$B$1:$AQ$1,0),FALSE)</f>
        <v>0</v>
      </c>
      <c r="F171" s="121">
        <f>VLOOKUP($B171,'Tillförd energi'!$B$1:$AI$720,MATCH(F$1,'Tillförd energi'!$B$1:$AQ$1,0),FALSE)</f>
        <v>0</v>
      </c>
      <c r="G171" s="121">
        <f>VLOOKUP($B171,'Tillförd energi'!$B$1:$AI$720,MATCH(G$1,'Tillförd energi'!$B$1:$AQ$1,0),FALSE)</f>
        <v>0</v>
      </c>
      <c r="H171" s="121">
        <f>VLOOKUP($B171,'Tillförd energi'!$B$1:$AI$720,MATCH(H$1,'Tillförd energi'!$B$1:$AQ$1,0),FALSE)</f>
        <v>0</v>
      </c>
      <c r="I171" s="121">
        <f>VLOOKUP($B171,'Tillförd energi'!$B$1:$AI$720,MATCH(I$1,'Tillförd energi'!$B$1:$AQ$1,0),FALSE)</f>
        <v>0</v>
      </c>
      <c r="J171" s="121">
        <f>VLOOKUP($B171,'Tillförd energi'!$B$1:$AI$720,MATCH(J$1,'Tillförd energi'!$B$1:$AQ$1,0),FALSE)</f>
        <v>0</v>
      </c>
      <c r="K171" s="121">
        <f>VLOOKUP($B171,'Tillförd energi'!$B$1:$AI$720,MATCH(K$1,'Tillförd energi'!$B$1:$AQ$1,0),FALSE)</f>
        <v>0</v>
      </c>
      <c r="L171" s="121">
        <f>VLOOKUP($B171,'Tillförd energi'!$B$1:$AI$720,MATCH(L$1,'Tillförd energi'!$B$1:$AQ$1,0),FALSE)</f>
        <v>0</v>
      </c>
      <c r="M171" s="121">
        <f>VLOOKUP($B171,'Tillförd energi'!$B$1:$AI$720,MATCH(M$1,'Tillförd energi'!$B$1:$AQ$1,0),FALSE)</f>
        <v>0</v>
      </c>
      <c r="N171" s="121">
        <f>VLOOKUP($B171,'Tillförd energi'!$B$1:$AI$720,MATCH(N$1,'Tillförd energi'!$B$1:$AQ$1,0),FALSE)</f>
        <v>0</v>
      </c>
      <c r="O171" s="121">
        <f>VLOOKUP($B171,'Tillförd energi'!$B$1:$AI$720,MATCH(O$1,'Tillförd energi'!$B$1:$AQ$1,0),FALSE)</f>
        <v>0</v>
      </c>
      <c r="P171" s="121">
        <f>VLOOKUP($B171,'Tillförd energi'!$B$1:$AI$720,MATCH(P$1,'Tillförd energi'!$B$1:$AQ$1,0),FALSE)</f>
        <v>0</v>
      </c>
      <c r="Q171" s="121">
        <f>VLOOKUP($B171,'Tillförd energi'!$B$1:$AI$720,MATCH(Q$1,'Tillförd energi'!$B$1:$AQ$1,0),FALSE)</f>
        <v>6.8</v>
      </c>
      <c r="R171" s="121">
        <f>VLOOKUP($B171,'Tillförd energi'!$B$1:$AI$720,MATCH(R$1,'Tillförd energi'!$B$1:$AQ$1,0),FALSE)</f>
        <v>1.6</v>
      </c>
      <c r="S171" s="121">
        <f>VLOOKUP($B171,'Tillförd energi'!$B$1:$AI$720,MATCH(S$1,'Tillförd energi'!$B$1:$AQ$1,0),FALSE)</f>
        <v>0</v>
      </c>
      <c r="T171" s="121">
        <f>VLOOKUP($B171,'Tillförd energi'!$B$1:$AI$720,MATCH(T$1,'Tillförd energi'!$B$1:$AQ$1,0),FALSE)</f>
        <v>0</v>
      </c>
      <c r="U171" s="121">
        <f>VLOOKUP($B171,'Tillförd energi'!$B$1:$AI$720,MATCH(U$1,'Tillförd energi'!$B$1:$AQ$1,0),FALSE)</f>
        <v>0</v>
      </c>
      <c r="V171" s="121">
        <f>VLOOKUP($B171,'Tillförd energi'!$B$1:$AI$720,MATCH(V$1,'Tillförd energi'!$B$1:$AQ$1,0),FALSE)</f>
        <v>0</v>
      </c>
      <c r="W171" s="121">
        <f>VLOOKUP($B171,'Tillförd energi'!$B$1:$AI$720,MATCH(W$1,'Tillförd energi'!$B$1:$AQ$1,0),FALSE)</f>
        <v>0</v>
      </c>
      <c r="X171" s="121">
        <f>VLOOKUP($B171,'Tillförd energi'!$B$1:$AI$720,MATCH(X$1,'Tillförd energi'!$B$1:$AQ$1,0),FALSE)</f>
        <v>0</v>
      </c>
      <c r="Y171" s="121">
        <f>VLOOKUP($B171,'Tillförd energi'!$B$1:$AI$720,MATCH(Y$1,'Tillförd energi'!$B$1:$AQ$1,0),FALSE)</f>
        <v>0</v>
      </c>
      <c r="Z171" s="121">
        <f>VLOOKUP($B171,'Tillförd energi'!$B$1:$AI$720,MATCH(Z$1,'Tillförd energi'!$B$1:$AQ$1,0),FALSE)</f>
        <v>0</v>
      </c>
      <c r="AA171" s="121">
        <f>VLOOKUP($B171,'Tillförd energi'!$B$1:$AI$720,MATCH(AA$1,'Tillförd energi'!$B$1:$AQ$1,0),FALSE)</f>
        <v>0</v>
      </c>
      <c r="AB171" s="121">
        <f>VLOOKUP($B171,'Tillförd energi'!$B$1:$AI$720,MATCH(AB$1,'Tillförd energi'!$B$1:$AQ$1,0),FALSE)</f>
        <v>0</v>
      </c>
      <c r="AC171" s="121">
        <f>VLOOKUP($B171,'Tillförd energi'!$B$1:$AI$720,MATCH(AC$1,'Tillförd energi'!$B$1:$AQ$1,0),FALSE)</f>
        <v>0</v>
      </c>
      <c r="AD171" s="121">
        <f>VLOOKUP($B171,'Tillförd energi'!$B$1:$AI$720,MATCH(AD$1,'Tillförd energi'!$B$1:$AQ$1,0),FALSE)</f>
        <v>0</v>
      </c>
      <c r="AE171" s="121">
        <f>VLOOKUP($B171,'Tillförd energi'!$B$1:$AI$720,MATCH(AE$1,'Tillförd energi'!$B$1:$AQ$1,0),FALSE)</f>
        <v>0</v>
      </c>
      <c r="AF171" s="121">
        <f>VLOOKUP($B171,'Tillförd energi'!$B$1:$AI$720,MATCH(AF$1,'Tillförd energi'!$B$1:$AQ$1,0),FALSE)</f>
        <v>0.16400000000000001</v>
      </c>
      <c r="AG171" s="121">
        <f>IFERROR(VLOOKUP(B171,Miljö!$B$1:$AC$550,MATCH("Köpt mängd produktionsspecifik fjärrvärme:",Miljö!$B$1:$AC$1,0),FALSE)/1,0)</f>
        <v>0</v>
      </c>
      <c r="AH171" s="121"/>
      <c r="AI171" s="121">
        <f t="shared" si="66"/>
        <v>8.7639999999999993</v>
      </c>
      <c r="AJ171" s="121">
        <f t="shared" si="67"/>
        <v>8.7639999999999993</v>
      </c>
      <c r="AK171" s="121">
        <f>IF(ISERROR(1/VLOOKUP($B171,Leveranser!$B$1:$S$499,MATCH("såld värme (gwh)",Leveranser!$B$1:$S$1,0),FALSE)),"",VLOOKUP($B171,Leveranser!$B$1:$S$499,MATCH("såld värme (gwh)",Leveranser!$B$1:$S$1,0),FALSE))</f>
        <v>8.1</v>
      </c>
      <c r="AL171" s="121">
        <f>VLOOKUP($B171,Leveranser!$B$1:$Y$499,MATCH("Totalt såld fjärrvärme till andra fjärrvärmeföretag",Leveranser!$B$1:$AA$1,0),FALSE)</f>
        <v>0</v>
      </c>
      <c r="AM171" s="121">
        <f>IF(ISERROR(1/VLOOKUP($B171,Miljö!$B$1:$S$500,MATCH("Såld mängd produktionsspecifik fjärrvärme (GWh)",Miljö!$B$1:$R$1,0),FALSE)),0,VLOOKUP($B171,Miljö!$B$1:$S$500,MATCH("Såld mängd produktionsspecifik fjärrvärme (GWh)",Miljö!$B$1:$R$1,0),FALSE))</f>
        <v>0</v>
      </c>
      <c r="AN171" s="172">
        <f t="shared" si="68"/>
        <v>0.92423550890004569</v>
      </c>
      <c r="AO171" s="121"/>
      <c r="AP171" s="121" t="str">
        <f>IFERROR(VLOOKUP($B171,Miljövärden!$B$2:$H$550,7,FALSE),"Nej, saknas")</f>
        <v>Ja</v>
      </c>
      <c r="AQ171" s="121" t="str">
        <f>IFERROR(VLOOKUP($B171,Miljövärden!$B$2:$H$550,6,FALSE),"Nej, saknas")</f>
        <v>Nej</v>
      </c>
      <c r="AU171">
        <f t="shared" si="69"/>
        <v>0.16400000000000001</v>
      </c>
      <c r="AV171">
        <f t="shared" si="70"/>
        <v>0</v>
      </c>
      <c r="AW171">
        <f t="shared" si="71"/>
        <v>6.8</v>
      </c>
      <c r="AX171">
        <f t="shared" si="72"/>
        <v>1.6</v>
      </c>
      <c r="AZ171">
        <f t="shared" si="73"/>
        <v>8.4</v>
      </c>
      <c r="BC171">
        <f t="shared" si="74"/>
        <v>0.2</v>
      </c>
      <c r="BD171">
        <f t="shared" si="75"/>
        <v>0</v>
      </c>
      <c r="BE171">
        <f t="shared" si="76"/>
        <v>8.4</v>
      </c>
      <c r="BF171">
        <f t="shared" si="77"/>
        <v>0</v>
      </c>
      <c r="BG171">
        <f t="shared" si="78"/>
        <v>0.16400000000000001</v>
      </c>
      <c r="BH171">
        <f>VLOOKUP(B171,Miljö!$B$1:$BX$482,MATCH("Fossilandel för ursprungspecificerad el ()",Miljö!$B$1:$I$1,0),FALSE)</f>
        <v>0</v>
      </c>
      <c r="BI171">
        <f>VLOOKUP(B171,Miljö!$B$1:$BX$482,MATCH("Kärnkraftsandel för ursprungsspecificerad el ()",Miljö!$B$1:$O$1,0),FALSE)</f>
        <v>0</v>
      </c>
      <c r="BJ171">
        <f t="shared" si="79"/>
        <v>0</v>
      </c>
      <c r="BK171" t="str">
        <f>VLOOKUP(B171,Miljö!$B$1:$O$482,MATCH("Fossil andel i procent (%)",Miljö!$B$1:$O$1,0),FALSE)</f>
        <v>ET</v>
      </c>
      <c r="BL171">
        <f t="shared" si="80"/>
        <v>8.7639999999999993</v>
      </c>
      <c r="BO171" s="18">
        <f t="shared" si="81"/>
        <v>2.2820629849383847E-2</v>
      </c>
      <c r="BP171" s="18">
        <f t="shared" si="82"/>
        <v>0</v>
      </c>
      <c r="BQ171" s="18">
        <f t="shared" si="83"/>
        <v>0.97717937015061629</v>
      </c>
      <c r="BR171" s="18">
        <f t="shared" si="84"/>
        <v>0</v>
      </c>
      <c r="BT171" s="27">
        <f t="shared" si="85"/>
        <v>1.0000000000000002</v>
      </c>
      <c r="BW171" s="18">
        <f>IF(AP171="ja",VLOOKUP(B171,Miljövärden!$B$2:$H$550,MATCH("Total andel fossilt",Miljövärden!$B$2:$H$2,0),FALSE),"")</f>
        <v>2.28206E-2</v>
      </c>
      <c r="BZ171" s="28">
        <f t="shared" si="86"/>
        <v>-2.9849383846591859E-8</v>
      </c>
      <c r="CA171" s="28">
        <f t="shared" si="87"/>
        <v>0</v>
      </c>
    </row>
    <row r="172" spans="1:79" x14ac:dyDescent="0.25">
      <c r="A172" s="224" t="s">
        <v>434</v>
      </c>
      <c r="B172" s="210" t="s">
        <v>436</v>
      </c>
      <c r="C172" s="121">
        <f>VLOOKUP($B172,'Tillförd energi'!$B$1:$AI$720,MATCH(C$1,'Tillförd energi'!$B$1:$AQ$1,0),FALSE)</f>
        <v>0</v>
      </c>
      <c r="D172" s="121">
        <f>VLOOKUP($B172,'Tillförd energi'!$B$1:$AI$720,MATCH(D$1,'Tillförd energi'!$B$1:$AQ$1,0),FALSE)</f>
        <v>0.9</v>
      </c>
      <c r="E172" s="121">
        <f>VLOOKUP($B172,'Tillförd energi'!$B$1:$AI$720,MATCH(E$1,'Tillförd energi'!$B$1:$AQ$1,0),FALSE)</f>
        <v>0</v>
      </c>
      <c r="F172" s="121">
        <f>VLOOKUP($B172,'Tillförd energi'!$B$1:$AI$720,MATCH(F$1,'Tillförd energi'!$B$1:$AQ$1,0),FALSE)</f>
        <v>0</v>
      </c>
      <c r="G172" s="121">
        <f>VLOOKUP($B172,'Tillförd energi'!$B$1:$AI$720,MATCH(G$1,'Tillförd energi'!$B$1:$AQ$1,0),FALSE)</f>
        <v>0</v>
      </c>
      <c r="H172" s="121">
        <f>VLOOKUP($B172,'Tillförd energi'!$B$1:$AI$720,MATCH(H$1,'Tillförd energi'!$B$1:$AQ$1,0),FALSE)</f>
        <v>0</v>
      </c>
      <c r="I172" s="121">
        <f>VLOOKUP($B172,'Tillförd energi'!$B$1:$AI$720,MATCH(I$1,'Tillförd energi'!$B$1:$AQ$1,0),FALSE)</f>
        <v>0</v>
      </c>
      <c r="J172" s="121">
        <f>VLOOKUP($B172,'Tillförd energi'!$B$1:$AI$720,MATCH(J$1,'Tillförd energi'!$B$1:$AQ$1,0),FALSE)</f>
        <v>0</v>
      </c>
      <c r="K172" s="121">
        <f>VLOOKUP($B172,'Tillförd energi'!$B$1:$AI$720,MATCH(K$1,'Tillförd energi'!$B$1:$AQ$1,0),FALSE)</f>
        <v>0</v>
      </c>
      <c r="L172" s="121">
        <f>VLOOKUP($B172,'Tillförd energi'!$B$1:$AI$720,MATCH(L$1,'Tillförd energi'!$B$1:$AQ$1,0),FALSE)</f>
        <v>0</v>
      </c>
      <c r="M172" s="121">
        <f>VLOOKUP($B172,'Tillförd energi'!$B$1:$AI$720,MATCH(M$1,'Tillförd energi'!$B$1:$AQ$1,0),FALSE)</f>
        <v>0</v>
      </c>
      <c r="N172" s="121">
        <f>VLOOKUP($B172,'Tillförd energi'!$B$1:$AI$720,MATCH(N$1,'Tillförd energi'!$B$1:$AQ$1,0),FALSE)</f>
        <v>0</v>
      </c>
      <c r="O172" s="121">
        <f>VLOOKUP($B172,'Tillförd energi'!$B$1:$AI$720,MATCH(O$1,'Tillförd energi'!$B$1:$AQ$1,0),FALSE)</f>
        <v>0</v>
      </c>
      <c r="P172" s="121">
        <f>VLOOKUP($B172,'Tillförd energi'!$B$1:$AI$720,MATCH(P$1,'Tillförd energi'!$B$1:$AQ$1,0),FALSE)</f>
        <v>12.8</v>
      </c>
      <c r="Q172" s="121">
        <f>VLOOKUP($B172,'Tillförd energi'!$B$1:$AI$720,MATCH(Q$1,'Tillförd energi'!$B$1:$AQ$1,0),FALSE)</f>
        <v>0</v>
      </c>
      <c r="R172" s="121">
        <f>VLOOKUP($B172,'Tillförd energi'!$B$1:$AI$720,MATCH(R$1,'Tillförd energi'!$B$1:$AQ$1,0),FALSE)</f>
        <v>0</v>
      </c>
      <c r="S172" s="121">
        <f>VLOOKUP($B172,'Tillförd energi'!$B$1:$AI$720,MATCH(S$1,'Tillförd energi'!$B$1:$AQ$1,0),FALSE)</f>
        <v>0</v>
      </c>
      <c r="T172" s="121">
        <f>VLOOKUP($B172,'Tillförd energi'!$B$1:$AI$720,MATCH(T$1,'Tillförd energi'!$B$1:$AQ$1,0),FALSE)</f>
        <v>0</v>
      </c>
      <c r="U172" s="121">
        <f>VLOOKUP($B172,'Tillförd energi'!$B$1:$AI$720,MATCH(U$1,'Tillförd energi'!$B$1:$AQ$1,0),FALSE)</f>
        <v>0</v>
      </c>
      <c r="V172" s="121">
        <f>VLOOKUP($B172,'Tillförd energi'!$B$1:$AI$720,MATCH(V$1,'Tillförd energi'!$B$1:$AQ$1,0),FALSE)</f>
        <v>0</v>
      </c>
      <c r="W172" s="121">
        <f>VLOOKUP($B172,'Tillförd energi'!$B$1:$AI$720,MATCH(W$1,'Tillförd energi'!$B$1:$AQ$1,0),FALSE)</f>
        <v>0</v>
      </c>
      <c r="X172" s="121">
        <f>VLOOKUP($B172,'Tillförd energi'!$B$1:$AI$720,MATCH(X$1,'Tillförd energi'!$B$1:$AQ$1,0),FALSE)</f>
        <v>0</v>
      </c>
      <c r="Y172" s="121">
        <f>VLOOKUP($B172,'Tillförd energi'!$B$1:$AI$720,MATCH(Y$1,'Tillförd energi'!$B$1:$AQ$1,0),FALSE)</f>
        <v>0</v>
      </c>
      <c r="Z172" s="121">
        <f>VLOOKUP($B172,'Tillförd energi'!$B$1:$AI$720,MATCH(Z$1,'Tillförd energi'!$B$1:$AQ$1,0),FALSE)</f>
        <v>0</v>
      </c>
      <c r="AA172" s="121">
        <f>VLOOKUP($B172,'Tillförd energi'!$B$1:$AI$720,MATCH(AA$1,'Tillförd energi'!$B$1:$AQ$1,0),FALSE)</f>
        <v>0</v>
      </c>
      <c r="AB172" s="121">
        <f>VLOOKUP($B172,'Tillförd energi'!$B$1:$AI$720,MATCH(AB$1,'Tillförd energi'!$B$1:$AQ$1,0),FALSE)</f>
        <v>0</v>
      </c>
      <c r="AC172" s="121">
        <f>VLOOKUP($B172,'Tillförd energi'!$B$1:$AI$720,MATCH(AC$1,'Tillförd energi'!$B$1:$AQ$1,0),FALSE)</f>
        <v>1.2</v>
      </c>
      <c r="AD172" s="121">
        <f>VLOOKUP($B172,'Tillförd energi'!$B$1:$AI$720,MATCH(AD$1,'Tillförd energi'!$B$1:$AQ$1,0),FALSE)</f>
        <v>0</v>
      </c>
      <c r="AE172" s="121">
        <f>VLOOKUP($B172,'Tillförd energi'!$B$1:$AI$720,MATCH(AE$1,'Tillförd energi'!$B$1:$AQ$1,0),FALSE)</f>
        <v>0</v>
      </c>
      <c r="AF172" s="121">
        <f>VLOOKUP($B172,'Tillförd energi'!$B$1:$AI$720,MATCH(AF$1,'Tillförd energi'!$B$1:$AQ$1,0),FALSE)</f>
        <v>0.39</v>
      </c>
      <c r="AG172" s="121">
        <f>IFERROR(VLOOKUP(B172,Miljö!$B$1:$AC$550,MATCH("Köpt mängd produktionsspecifik fjärrvärme:",Miljö!$B$1:$AC$1,0),FALSE)/1,0)</f>
        <v>0</v>
      </c>
      <c r="AH172" s="121"/>
      <c r="AI172" s="121">
        <f t="shared" si="66"/>
        <v>15.290000000000001</v>
      </c>
      <c r="AJ172" s="121">
        <f t="shared" si="67"/>
        <v>15.290000000000001</v>
      </c>
      <c r="AK172" s="121">
        <f>IF(ISERROR(1/VLOOKUP($B172,Leveranser!$B$1:$S$499,MATCH("såld värme (gwh)",Leveranser!$B$1:$S$1,0),FALSE)),"",VLOOKUP($B172,Leveranser!$B$1:$S$499,MATCH("såld värme (gwh)",Leveranser!$B$1:$S$1,0),FALSE))</f>
        <v>10.5</v>
      </c>
      <c r="AL172" s="121">
        <f>VLOOKUP($B172,Leveranser!$B$1:$Y$499,MATCH("Totalt såld fjärrvärme till andra fjärrvärmeföretag",Leveranser!$B$1:$AA$1,0),FALSE)</f>
        <v>0</v>
      </c>
      <c r="AM172" s="121">
        <f>IF(ISERROR(1/VLOOKUP($B172,Miljö!$B$1:$S$500,MATCH("Såld mängd produktionsspecifik fjärrvärme (GWh)",Miljö!$B$1:$R$1,0),FALSE)),0,VLOOKUP($B172,Miljö!$B$1:$S$500,MATCH("Såld mängd produktionsspecifik fjärrvärme (GWh)",Miljö!$B$1:$R$1,0),FALSE))</f>
        <v>0</v>
      </c>
      <c r="AN172" s="172">
        <f t="shared" si="68"/>
        <v>0.6867233485938522</v>
      </c>
      <c r="AO172" s="121"/>
      <c r="AP172" s="121" t="str">
        <f>IFERROR(VLOOKUP($B172,Miljövärden!$B$2:$H$550,7,FALSE),"Nej, saknas")</f>
        <v>Ja</v>
      </c>
      <c r="AQ172" s="121" t="str">
        <f>IFERROR(VLOOKUP($B172,Miljövärden!$B$2:$H$550,6,FALSE),"Nej, saknas")</f>
        <v>Nej</v>
      </c>
      <c r="AU172">
        <f t="shared" si="69"/>
        <v>0.39</v>
      </c>
      <c r="AV172">
        <f t="shared" si="70"/>
        <v>0</v>
      </c>
      <c r="AW172">
        <f t="shared" si="71"/>
        <v>12.8</v>
      </c>
      <c r="AX172">
        <f t="shared" si="72"/>
        <v>0</v>
      </c>
      <c r="AZ172">
        <f t="shared" si="73"/>
        <v>12.8</v>
      </c>
      <c r="BC172">
        <f t="shared" si="74"/>
        <v>0.9</v>
      </c>
      <c r="BD172">
        <f t="shared" si="75"/>
        <v>0</v>
      </c>
      <c r="BE172">
        <f t="shared" si="76"/>
        <v>12.8</v>
      </c>
      <c r="BF172">
        <f t="shared" si="77"/>
        <v>1.2</v>
      </c>
      <c r="BG172">
        <f t="shared" si="78"/>
        <v>0.39</v>
      </c>
      <c r="BH172">
        <f>VLOOKUP(B172,Miljö!$B$1:$BX$482,MATCH("Fossilandel för ursprungspecificerad el ()",Miljö!$B$1:$I$1,0),FALSE)</f>
        <v>0</v>
      </c>
      <c r="BI172">
        <f>VLOOKUP(B172,Miljö!$B$1:$BX$482,MATCH("Kärnkraftsandel för ursprungsspecificerad el ()",Miljö!$B$1:$O$1,0),FALSE)</f>
        <v>0</v>
      </c>
      <c r="BJ172">
        <f t="shared" si="79"/>
        <v>0</v>
      </c>
      <c r="BK172" t="str">
        <f>VLOOKUP(B172,Miljö!$B$1:$O$482,MATCH("Fossil andel i procent (%)",Miljö!$B$1:$O$1,0),FALSE)</f>
        <v>ET</v>
      </c>
      <c r="BL172">
        <f t="shared" si="80"/>
        <v>15.290000000000001</v>
      </c>
      <c r="BO172" s="18">
        <f t="shared" si="81"/>
        <v>5.8862001308044469E-2</v>
      </c>
      <c r="BP172" s="18">
        <f t="shared" si="82"/>
        <v>0</v>
      </c>
      <c r="BQ172" s="18">
        <f t="shared" si="83"/>
        <v>0.86265533028122965</v>
      </c>
      <c r="BR172" s="18">
        <f t="shared" si="84"/>
        <v>7.8482668410725959E-2</v>
      </c>
      <c r="BT172" s="27">
        <f t="shared" si="85"/>
        <v>1</v>
      </c>
      <c r="BW172" s="18">
        <f>IF(AP172="ja",VLOOKUP(B172,Miljövärden!$B$2:$H$550,MATCH("Total andel fossilt",Miljövärden!$B$2:$H$2,0),FALSE),"")</f>
        <v>5.8861999999999998E-2</v>
      </c>
      <c r="BZ172" s="28">
        <f t="shared" si="86"/>
        <v>-1.3080444713486905E-9</v>
      </c>
      <c r="CA172" s="28">
        <f t="shared" si="87"/>
        <v>0</v>
      </c>
    </row>
    <row r="173" spans="1:79" x14ac:dyDescent="0.25">
      <c r="A173" s="224" t="s">
        <v>434</v>
      </c>
      <c r="B173" s="210" t="s">
        <v>437</v>
      </c>
      <c r="C173" s="121">
        <f>VLOOKUP($B173,'Tillförd energi'!$B$1:$AI$720,MATCH(C$1,'Tillförd energi'!$B$1:$AQ$1,0),FALSE)</f>
        <v>0</v>
      </c>
      <c r="D173" s="121">
        <f>VLOOKUP($B173,'Tillförd energi'!$B$1:$AI$720,MATCH(D$1,'Tillförd energi'!$B$1:$AQ$1,0),FALSE)</f>
        <v>0.56000000000000005</v>
      </c>
      <c r="E173" s="121">
        <f>VLOOKUP($B173,'Tillförd energi'!$B$1:$AI$720,MATCH(E$1,'Tillförd energi'!$B$1:$AQ$1,0),FALSE)</f>
        <v>0</v>
      </c>
      <c r="F173" s="121">
        <f>VLOOKUP($B173,'Tillförd energi'!$B$1:$AI$720,MATCH(F$1,'Tillförd energi'!$B$1:$AQ$1,0),FALSE)</f>
        <v>0</v>
      </c>
      <c r="G173" s="121">
        <f>VLOOKUP($B173,'Tillförd energi'!$B$1:$AI$720,MATCH(G$1,'Tillförd energi'!$B$1:$AQ$1,0),FALSE)</f>
        <v>0</v>
      </c>
      <c r="H173" s="121">
        <f>VLOOKUP($B173,'Tillförd energi'!$B$1:$AI$720,MATCH(H$1,'Tillförd energi'!$B$1:$AQ$1,0),FALSE)</f>
        <v>0</v>
      </c>
      <c r="I173" s="121">
        <f>VLOOKUP($B173,'Tillförd energi'!$B$1:$AI$720,MATCH(I$1,'Tillförd energi'!$B$1:$AQ$1,0),FALSE)</f>
        <v>0</v>
      </c>
      <c r="J173" s="121">
        <f>VLOOKUP($B173,'Tillförd energi'!$B$1:$AI$720,MATCH(J$1,'Tillförd energi'!$B$1:$AQ$1,0),FALSE)</f>
        <v>0</v>
      </c>
      <c r="K173" s="121">
        <f>VLOOKUP($B173,'Tillförd energi'!$B$1:$AI$720,MATCH(K$1,'Tillförd energi'!$B$1:$AQ$1,0),FALSE)</f>
        <v>0</v>
      </c>
      <c r="L173" s="121">
        <f>VLOOKUP($B173,'Tillförd energi'!$B$1:$AI$720,MATCH(L$1,'Tillförd energi'!$B$1:$AQ$1,0),FALSE)</f>
        <v>0</v>
      </c>
      <c r="M173" s="121">
        <f>VLOOKUP($B173,'Tillförd energi'!$B$1:$AI$720,MATCH(M$1,'Tillförd energi'!$B$1:$AQ$1,0),FALSE)</f>
        <v>7.6</v>
      </c>
      <c r="N173" s="121">
        <f>VLOOKUP($B173,'Tillförd energi'!$B$1:$AI$720,MATCH(N$1,'Tillförd energi'!$B$1:$AQ$1,0),FALSE)</f>
        <v>65.8</v>
      </c>
      <c r="O173" s="121">
        <f>VLOOKUP($B173,'Tillförd energi'!$B$1:$AI$720,MATCH(O$1,'Tillförd energi'!$B$1:$AQ$1,0),FALSE)</f>
        <v>0</v>
      </c>
      <c r="P173" s="121">
        <f>VLOOKUP($B173,'Tillförd energi'!$B$1:$AI$720,MATCH(P$1,'Tillförd energi'!$B$1:$AQ$1,0),FALSE)</f>
        <v>0</v>
      </c>
      <c r="Q173" s="121">
        <f>VLOOKUP($B173,'Tillförd energi'!$B$1:$AI$720,MATCH(Q$1,'Tillförd energi'!$B$1:$AQ$1,0),FALSE)</f>
        <v>0</v>
      </c>
      <c r="R173" s="121">
        <f>VLOOKUP($B173,'Tillförd energi'!$B$1:$AI$720,MATCH(R$1,'Tillförd energi'!$B$1:$AQ$1,0),FALSE)</f>
        <v>0</v>
      </c>
      <c r="S173" s="121">
        <f>VLOOKUP($B173,'Tillförd energi'!$B$1:$AI$720,MATCH(S$1,'Tillförd energi'!$B$1:$AQ$1,0),FALSE)</f>
        <v>0</v>
      </c>
      <c r="T173" s="121">
        <f>VLOOKUP($B173,'Tillförd energi'!$B$1:$AI$720,MATCH(T$1,'Tillförd energi'!$B$1:$AQ$1,0),FALSE)</f>
        <v>0</v>
      </c>
      <c r="U173" s="121">
        <f>VLOOKUP($B173,'Tillförd energi'!$B$1:$AI$720,MATCH(U$1,'Tillförd energi'!$B$1:$AQ$1,0),FALSE)</f>
        <v>0</v>
      </c>
      <c r="V173" s="121">
        <f>VLOOKUP($B173,'Tillförd energi'!$B$1:$AI$720,MATCH(V$1,'Tillförd energi'!$B$1:$AQ$1,0),FALSE)</f>
        <v>0</v>
      </c>
      <c r="W173" s="121">
        <f>VLOOKUP($B173,'Tillförd energi'!$B$1:$AI$720,MATCH(W$1,'Tillförd energi'!$B$1:$AQ$1,0),FALSE)</f>
        <v>0</v>
      </c>
      <c r="X173" s="121">
        <f>VLOOKUP($B173,'Tillförd energi'!$B$1:$AI$720,MATCH(X$1,'Tillförd energi'!$B$1:$AQ$1,0),FALSE)</f>
        <v>0</v>
      </c>
      <c r="Y173" s="121">
        <f>VLOOKUP($B173,'Tillförd energi'!$B$1:$AI$720,MATCH(Y$1,'Tillförd energi'!$B$1:$AQ$1,0),FALSE)</f>
        <v>0</v>
      </c>
      <c r="Z173" s="121">
        <f>VLOOKUP($B173,'Tillförd energi'!$B$1:$AI$720,MATCH(Z$1,'Tillförd energi'!$B$1:$AQ$1,0),FALSE)</f>
        <v>0</v>
      </c>
      <c r="AA173" s="121">
        <f>VLOOKUP($B173,'Tillförd energi'!$B$1:$AI$720,MATCH(AA$1,'Tillförd energi'!$B$1:$AQ$1,0),FALSE)</f>
        <v>0</v>
      </c>
      <c r="AB173" s="121">
        <f>VLOOKUP($B173,'Tillförd energi'!$B$1:$AI$720,MATCH(AB$1,'Tillförd energi'!$B$1:$AQ$1,0),FALSE)</f>
        <v>0</v>
      </c>
      <c r="AC173" s="121">
        <f>VLOOKUP($B173,'Tillförd energi'!$B$1:$AI$720,MATCH(AC$1,'Tillförd energi'!$B$1:$AQ$1,0),FALSE)</f>
        <v>10.8</v>
      </c>
      <c r="AD173" s="121">
        <f>VLOOKUP($B173,'Tillförd energi'!$B$1:$AI$720,MATCH(AD$1,'Tillförd energi'!$B$1:$AQ$1,0),FALSE)</f>
        <v>0</v>
      </c>
      <c r="AE173" s="121">
        <f>VLOOKUP($B173,'Tillförd energi'!$B$1:$AI$720,MATCH(AE$1,'Tillförd energi'!$B$1:$AQ$1,0),FALSE)</f>
        <v>0</v>
      </c>
      <c r="AF173" s="121">
        <f>VLOOKUP($B173,'Tillförd energi'!$B$1:$AI$720,MATCH(AF$1,'Tillförd energi'!$B$1:$AQ$1,0),FALSE)</f>
        <v>2.38</v>
      </c>
      <c r="AG173" s="121">
        <f>IFERROR(VLOOKUP(B173,Miljö!$B$1:$AC$550,MATCH("Köpt mängd produktionsspecifik fjärrvärme:",Miljö!$B$1:$AC$1,0),FALSE)/1,0)</f>
        <v>0</v>
      </c>
      <c r="AH173" s="121"/>
      <c r="AI173" s="121">
        <f t="shared" si="66"/>
        <v>87.139999999999986</v>
      </c>
      <c r="AJ173" s="121">
        <f t="shared" si="67"/>
        <v>87.139999999999986</v>
      </c>
      <c r="AK173" s="121">
        <f>IF(ISERROR(1/VLOOKUP($B173,Leveranser!$B$1:$S$499,MATCH("såld värme (gwh)",Leveranser!$B$1:$S$1,0),FALSE)),"",VLOOKUP($B173,Leveranser!$B$1:$S$499,MATCH("såld värme (gwh)",Leveranser!$B$1:$S$1,0),FALSE))</f>
        <v>63.1</v>
      </c>
      <c r="AL173" s="121">
        <f>VLOOKUP($B173,Leveranser!$B$1:$Y$499,MATCH("Totalt såld fjärrvärme till andra fjärrvärmeföretag",Leveranser!$B$1:$AA$1,0),FALSE)</f>
        <v>0</v>
      </c>
      <c r="AM173" s="121">
        <f>IF(ISERROR(1/VLOOKUP($B173,Miljö!$B$1:$S$500,MATCH("Såld mängd produktionsspecifik fjärrvärme (GWh)",Miljö!$B$1:$R$1,0),FALSE)),0,VLOOKUP($B173,Miljö!$B$1:$S$500,MATCH("Såld mängd produktionsspecifik fjärrvärme (GWh)",Miljö!$B$1:$R$1,0),FALSE))</f>
        <v>0</v>
      </c>
      <c r="AN173" s="172">
        <f t="shared" si="68"/>
        <v>0.72412210236401209</v>
      </c>
      <c r="AO173" s="121"/>
      <c r="AP173" s="121" t="str">
        <f>IFERROR(VLOOKUP($B173,Miljövärden!$B$2:$H$550,7,FALSE),"Nej, saknas")</f>
        <v>Ja</v>
      </c>
      <c r="AQ173" s="121" t="str">
        <f>IFERROR(VLOOKUP($B173,Miljövärden!$B$2:$H$550,6,FALSE),"Nej, saknas")</f>
        <v>Nej</v>
      </c>
      <c r="AU173">
        <f t="shared" si="69"/>
        <v>2.38</v>
      </c>
      <c r="AV173">
        <f t="shared" si="70"/>
        <v>0</v>
      </c>
      <c r="AW173">
        <f t="shared" si="71"/>
        <v>73.399999999999991</v>
      </c>
      <c r="AX173">
        <f t="shared" si="72"/>
        <v>0</v>
      </c>
      <c r="AZ173">
        <f t="shared" si="73"/>
        <v>73.399999999999991</v>
      </c>
      <c r="BC173">
        <f t="shared" si="74"/>
        <v>0.56000000000000005</v>
      </c>
      <c r="BD173">
        <f t="shared" si="75"/>
        <v>0</v>
      </c>
      <c r="BE173">
        <f t="shared" si="76"/>
        <v>73.399999999999991</v>
      </c>
      <c r="BF173">
        <f t="shared" si="77"/>
        <v>10.8</v>
      </c>
      <c r="BG173">
        <f t="shared" si="78"/>
        <v>2.38</v>
      </c>
      <c r="BH173">
        <f>VLOOKUP(B173,Miljö!$B$1:$BX$482,MATCH("Fossilandel för ursprungspecificerad el ()",Miljö!$B$1:$I$1,0),FALSE)</f>
        <v>0</v>
      </c>
      <c r="BI173">
        <f>VLOOKUP(B173,Miljö!$B$1:$BX$482,MATCH("Kärnkraftsandel för ursprungsspecificerad el ()",Miljö!$B$1:$O$1,0),FALSE)</f>
        <v>0</v>
      </c>
      <c r="BJ173">
        <f t="shared" si="79"/>
        <v>0</v>
      </c>
      <c r="BK173" t="str">
        <f>VLOOKUP(B173,Miljö!$B$1:$O$482,MATCH("Fossil andel i procent (%)",Miljö!$B$1:$O$1,0),FALSE)</f>
        <v>ET</v>
      </c>
      <c r="BL173">
        <f t="shared" si="80"/>
        <v>87.139999999999986</v>
      </c>
      <c r="BO173" s="18">
        <f t="shared" si="81"/>
        <v>6.4264402111544657E-3</v>
      </c>
      <c r="BP173" s="18">
        <f t="shared" si="82"/>
        <v>0</v>
      </c>
      <c r="BQ173" s="18">
        <f t="shared" si="83"/>
        <v>0.86963507000229512</v>
      </c>
      <c r="BR173" s="18">
        <f t="shared" si="84"/>
        <v>0.12393848978655041</v>
      </c>
      <c r="BT173" s="27">
        <f t="shared" si="85"/>
        <v>1</v>
      </c>
      <c r="BW173" s="18">
        <f>IF(AP173="ja",VLOOKUP(B173,Miljövärden!$B$2:$H$550,MATCH("Total andel fossilt",Miljövärden!$B$2:$H$2,0),FALSE),"")</f>
        <v>6.4264400000000003E-3</v>
      </c>
      <c r="BZ173" s="28">
        <f t="shared" si="86"/>
        <v>-2.1115446544039962E-10</v>
      </c>
      <c r="CA173" s="28">
        <f t="shared" si="87"/>
        <v>0</v>
      </c>
    </row>
    <row r="174" spans="1:79" x14ac:dyDescent="0.25">
      <c r="A174" s="224" t="s">
        <v>438</v>
      </c>
      <c r="B174" s="210" t="s">
        <v>439</v>
      </c>
      <c r="C174" s="121">
        <f>VLOOKUP($B174,'Tillförd energi'!$B$1:$AI$720,MATCH(C$1,'Tillförd energi'!$B$1:$AQ$1,0),FALSE)</f>
        <v>0</v>
      </c>
      <c r="D174" s="121">
        <f>VLOOKUP($B174,'Tillförd energi'!$B$1:$AI$720,MATCH(D$1,'Tillförd energi'!$B$1:$AQ$1,0),FALSE)</f>
        <v>0.2</v>
      </c>
      <c r="E174" s="121">
        <f>VLOOKUP($B174,'Tillförd energi'!$B$1:$AI$720,MATCH(E$1,'Tillförd energi'!$B$1:$AQ$1,0),FALSE)</f>
        <v>0</v>
      </c>
      <c r="F174" s="121">
        <f>VLOOKUP($B174,'Tillförd energi'!$B$1:$AI$720,MATCH(F$1,'Tillförd energi'!$B$1:$AQ$1,0),FALSE)</f>
        <v>36.299999999999997</v>
      </c>
      <c r="G174" s="121">
        <f>VLOOKUP($B174,'Tillförd energi'!$B$1:$AI$720,MATCH(G$1,'Tillförd energi'!$B$1:$AQ$1,0),FALSE)</f>
        <v>0</v>
      </c>
      <c r="H174" s="121">
        <f>VLOOKUP($B174,'Tillförd energi'!$B$1:$AI$720,MATCH(H$1,'Tillförd energi'!$B$1:$AQ$1,0),FALSE)</f>
        <v>0</v>
      </c>
      <c r="I174" s="121">
        <f>VLOOKUP($B174,'Tillförd energi'!$B$1:$AI$720,MATCH(I$1,'Tillförd energi'!$B$1:$AQ$1,0),FALSE)</f>
        <v>0</v>
      </c>
      <c r="J174" s="121">
        <f>VLOOKUP($B174,'Tillförd energi'!$B$1:$AI$720,MATCH(J$1,'Tillförd energi'!$B$1:$AQ$1,0),FALSE)</f>
        <v>0</v>
      </c>
      <c r="K174" s="121">
        <f>VLOOKUP($B174,'Tillförd energi'!$B$1:$AI$720,MATCH(K$1,'Tillförd energi'!$B$1:$AQ$1,0),FALSE)</f>
        <v>739.5</v>
      </c>
      <c r="L174" s="121">
        <f>VLOOKUP($B174,'Tillförd energi'!$B$1:$AI$720,MATCH(L$1,'Tillförd energi'!$B$1:$AQ$1,0),FALSE)</f>
        <v>0</v>
      </c>
      <c r="M174" s="121">
        <f>VLOOKUP($B174,'Tillförd energi'!$B$1:$AI$720,MATCH(M$1,'Tillförd energi'!$B$1:$AQ$1,0),FALSE)</f>
        <v>0</v>
      </c>
      <c r="N174" s="121">
        <f>VLOOKUP($B174,'Tillförd energi'!$B$1:$AI$720,MATCH(N$1,'Tillförd energi'!$B$1:$AQ$1,0),FALSE)</f>
        <v>0</v>
      </c>
      <c r="O174" s="121">
        <f>VLOOKUP($B174,'Tillförd energi'!$B$1:$AI$720,MATCH(O$1,'Tillförd energi'!$B$1:$AQ$1,0),FALSE)</f>
        <v>0</v>
      </c>
      <c r="P174" s="121">
        <f>VLOOKUP($B174,'Tillförd energi'!$B$1:$AI$720,MATCH(P$1,'Tillförd energi'!$B$1:$AQ$1,0),FALSE)</f>
        <v>0</v>
      </c>
      <c r="Q174" s="121">
        <f>VLOOKUP($B174,'Tillförd energi'!$B$1:$AI$720,MATCH(Q$1,'Tillförd energi'!$B$1:$AQ$1,0),FALSE)</f>
        <v>0</v>
      </c>
      <c r="R174" s="121">
        <f>VLOOKUP($B174,'Tillförd energi'!$B$1:$AI$720,MATCH(R$1,'Tillförd energi'!$B$1:$AQ$1,0),FALSE)</f>
        <v>26.2</v>
      </c>
      <c r="S174" s="121">
        <f>VLOOKUP($B174,'Tillförd energi'!$B$1:$AI$720,MATCH(S$1,'Tillförd energi'!$B$1:$AQ$1,0),FALSE)</f>
        <v>0</v>
      </c>
      <c r="T174" s="121">
        <f>VLOOKUP($B174,'Tillförd energi'!$B$1:$AI$720,MATCH(T$1,'Tillförd energi'!$B$1:$AQ$1,0),FALSE)</f>
        <v>0</v>
      </c>
      <c r="U174" s="121">
        <f>VLOOKUP($B174,'Tillförd energi'!$B$1:$AI$720,MATCH(U$1,'Tillförd energi'!$B$1:$AQ$1,0),FALSE)</f>
        <v>0</v>
      </c>
      <c r="V174" s="121">
        <f>VLOOKUP($B174,'Tillförd energi'!$B$1:$AI$720,MATCH(V$1,'Tillförd energi'!$B$1:$AQ$1,0),FALSE)</f>
        <v>0</v>
      </c>
      <c r="W174" s="121">
        <f>VLOOKUP($B174,'Tillförd energi'!$B$1:$AI$720,MATCH(W$1,'Tillförd energi'!$B$1:$AQ$1,0),FALSE)</f>
        <v>4.7</v>
      </c>
      <c r="X174" s="121">
        <f>VLOOKUP($B174,'Tillförd energi'!$B$1:$AI$720,MATCH(X$1,'Tillförd energi'!$B$1:$AQ$1,0),FALSE)</f>
        <v>0</v>
      </c>
      <c r="Y174" s="121">
        <f>VLOOKUP($B174,'Tillförd energi'!$B$1:$AI$720,MATCH(Y$1,'Tillförd energi'!$B$1:$AQ$1,0),FALSE)</f>
        <v>0</v>
      </c>
      <c r="Z174" s="121">
        <f>VLOOKUP($B174,'Tillförd energi'!$B$1:$AI$720,MATCH(Z$1,'Tillförd energi'!$B$1:$AQ$1,0),FALSE)</f>
        <v>8.1</v>
      </c>
      <c r="AA174" s="121">
        <f>VLOOKUP($B174,'Tillförd energi'!$B$1:$AI$720,MATCH(AA$1,'Tillförd energi'!$B$1:$AQ$1,0),FALSE)</f>
        <v>0</v>
      </c>
      <c r="AB174" s="121">
        <f>VLOOKUP($B174,'Tillförd energi'!$B$1:$AI$720,MATCH(AB$1,'Tillförd energi'!$B$1:$AQ$1,0),FALSE)</f>
        <v>0</v>
      </c>
      <c r="AC174" s="121">
        <f>VLOOKUP($B174,'Tillförd energi'!$B$1:$AI$720,MATCH(AC$1,'Tillförd energi'!$B$1:$AQ$1,0),FALSE)</f>
        <v>0</v>
      </c>
      <c r="AD174" s="121">
        <f>VLOOKUP($B174,'Tillförd energi'!$B$1:$AI$720,MATCH(AD$1,'Tillförd energi'!$B$1:$AQ$1,0),FALSE)</f>
        <v>0</v>
      </c>
      <c r="AE174" s="121">
        <f>VLOOKUP($B174,'Tillförd energi'!$B$1:$AI$720,MATCH(AE$1,'Tillförd energi'!$B$1:$AQ$1,0),FALSE)</f>
        <v>0</v>
      </c>
      <c r="AF174" s="121">
        <f>VLOOKUP($B174,'Tillförd energi'!$B$1:$AI$720,MATCH(AF$1,'Tillförd energi'!$B$1:$AQ$1,0),FALSE)</f>
        <v>25.6</v>
      </c>
      <c r="AG174" s="121">
        <f>IFERROR(VLOOKUP(B174,Miljö!$B$1:$AC$550,MATCH("Köpt mängd produktionsspecifik fjärrvärme:",Miljö!$B$1:$AC$1,0),FALSE)/1,0)</f>
        <v>0</v>
      </c>
      <c r="AH174" s="121"/>
      <c r="AI174" s="121">
        <f t="shared" si="66"/>
        <v>840.60000000000014</v>
      </c>
      <c r="AJ174" s="121">
        <f t="shared" si="67"/>
        <v>840.60000000000014</v>
      </c>
      <c r="AK174" s="121">
        <f>IF(ISERROR(1/VLOOKUP($B174,Leveranser!$B$1:$S$499,MATCH("såld värme (gwh)",Leveranser!$B$1:$S$1,0),FALSE)),"",VLOOKUP($B174,Leveranser!$B$1:$S$499,MATCH("såld värme (gwh)",Leveranser!$B$1:$S$1,0),FALSE))</f>
        <v>789.2</v>
      </c>
      <c r="AL174" s="121">
        <f>VLOOKUP($B174,Leveranser!$B$1:$Y$499,MATCH("Totalt såld fjärrvärme till andra fjärrvärmeföretag",Leveranser!$B$1:$AA$1,0),FALSE)</f>
        <v>0</v>
      </c>
      <c r="AM174" s="121">
        <f>IF(ISERROR(1/VLOOKUP($B174,Miljö!$B$1:$S$500,MATCH("Såld mängd produktionsspecifik fjärrvärme (GWh)",Miljö!$B$1:$R$1,0),FALSE)),0,VLOOKUP($B174,Miljö!$B$1:$S$500,MATCH("Såld mängd produktionsspecifik fjärrvärme (GWh)",Miljö!$B$1:$R$1,0),FALSE))</f>
        <v>0</v>
      </c>
      <c r="AN174" s="172">
        <f t="shared" si="68"/>
        <v>0.93885320009517004</v>
      </c>
      <c r="AO174" s="121"/>
      <c r="AP174" s="121" t="str">
        <f>IFERROR(VLOOKUP($B174,Miljövärden!$B$2:$H$550,7,FALSE),"Nej, saknas")</f>
        <v>Ja</v>
      </c>
      <c r="AQ174" s="121" t="str">
        <f>IFERROR(VLOOKUP($B174,Miljövärden!$B$2:$H$550,6,FALSE),"Nej, saknas")</f>
        <v>Nej</v>
      </c>
      <c r="AU174">
        <f t="shared" si="69"/>
        <v>33.700000000000003</v>
      </c>
      <c r="AV174">
        <f t="shared" si="70"/>
        <v>0</v>
      </c>
      <c r="AW174">
        <f t="shared" si="71"/>
        <v>0</v>
      </c>
      <c r="AX174">
        <f t="shared" si="72"/>
        <v>26.2</v>
      </c>
      <c r="AZ174">
        <f t="shared" si="73"/>
        <v>30.9</v>
      </c>
      <c r="BC174">
        <f t="shared" si="74"/>
        <v>36.5</v>
      </c>
      <c r="BD174">
        <f t="shared" si="75"/>
        <v>0</v>
      </c>
      <c r="BE174">
        <f t="shared" si="76"/>
        <v>30.9</v>
      </c>
      <c r="BF174">
        <f t="shared" si="77"/>
        <v>739.5</v>
      </c>
      <c r="BG174">
        <f t="shared" si="78"/>
        <v>33.700000000000003</v>
      </c>
      <c r="BH174">
        <f>VLOOKUP(B174,Miljö!$B$1:$BX$482,MATCH("Fossilandel för ursprungspecificerad el ()",Miljö!$B$1:$I$1,0),FALSE)</f>
        <v>2.1000000000000001E-2</v>
      </c>
      <c r="BI174">
        <f>VLOOKUP(B174,Miljö!$B$1:$BX$482,MATCH("Kärnkraftsandel för ursprungsspecificerad el ()",Miljö!$B$1:$O$1,0),FALSE)</f>
        <v>0</v>
      </c>
      <c r="BJ174">
        <f t="shared" si="79"/>
        <v>0</v>
      </c>
      <c r="BK174" t="str">
        <f>VLOOKUP(B174,Miljö!$B$1:$O$482,MATCH("Fossil andel i procent (%)",Miljö!$B$1:$O$1,0),FALSE)</f>
        <v>ET</v>
      </c>
      <c r="BL174">
        <f t="shared" si="80"/>
        <v>840.6</v>
      </c>
      <c r="BO174" s="18">
        <f t="shared" si="81"/>
        <v>4.426326433499881E-2</v>
      </c>
      <c r="BP174" s="18">
        <f t="shared" si="82"/>
        <v>0</v>
      </c>
      <c r="BQ174" s="18">
        <f t="shared" si="83"/>
        <v>7.6007970497263849E-2</v>
      </c>
      <c r="BR174" s="18">
        <f t="shared" si="84"/>
        <v>0.87972876516773735</v>
      </c>
      <c r="BT174" s="27">
        <f t="shared" si="85"/>
        <v>1</v>
      </c>
      <c r="BW174" s="18">
        <f>IF(AP174="ja",VLOOKUP(B174,Miljövärden!$B$2:$H$550,MATCH("Total andel fossilt",Miljövärden!$B$2:$H$2,0),FALSE),"")</f>
        <v>4.4263299999999998E-2</v>
      </c>
      <c r="BZ174" s="28">
        <f t="shared" si="86"/>
        <v>3.566500118845628E-8</v>
      </c>
      <c r="CA174" s="28">
        <f t="shared" si="87"/>
        <v>0</v>
      </c>
    </row>
    <row r="175" spans="1:79" x14ac:dyDescent="0.25">
      <c r="A175" s="224" t="s">
        <v>438</v>
      </c>
      <c r="B175" s="210" t="s">
        <v>440</v>
      </c>
      <c r="C175" s="121">
        <f>VLOOKUP($B175,'Tillförd energi'!$B$1:$AI$720,MATCH(C$1,'Tillförd energi'!$B$1:$AQ$1,0),FALSE)</f>
        <v>0</v>
      </c>
      <c r="D175" s="121">
        <f>VLOOKUP($B175,'Tillförd energi'!$B$1:$AI$720,MATCH(D$1,'Tillförd energi'!$B$1:$AQ$1,0),FALSE)</f>
        <v>0</v>
      </c>
      <c r="E175" s="121">
        <f>VLOOKUP($B175,'Tillförd energi'!$B$1:$AI$720,MATCH(E$1,'Tillförd energi'!$B$1:$AQ$1,0),FALSE)</f>
        <v>0</v>
      </c>
      <c r="F175" s="121">
        <f>VLOOKUP($B175,'Tillförd energi'!$B$1:$AI$720,MATCH(F$1,'Tillförd energi'!$B$1:$AQ$1,0),FALSE)</f>
        <v>0</v>
      </c>
      <c r="G175" s="121">
        <f>VLOOKUP($B175,'Tillförd energi'!$B$1:$AI$720,MATCH(G$1,'Tillförd energi'!$B$1:$AQ$1,0),FALSE)</f>
        <v>0</v>
      </c>
      <c r="H175" s="121">
        <f>VLOOKUP($B175,'Tillförd energi'!$B$1:$AI$720,MATCH(H$1,'Tillförd energi'!$B$1:$AQ$1,0),FALSE)</f>
        <v>0</v>
      </c>
      <c r="I175" s="121">
        <f>VLOOKUP($B175,'Tillförd energi'!$B$1:$AI$720,MATCH(I$1,'Tillförd energi'!$B$1:$AQ$1,0),FALSE)</f>
        <v>0</v>
      </c>
      <c r="J175" s="121">
        <f>VLOOKUP($B175,'Tillförd energi'!$B$1:$AI$720,MATCH(J$1,'Tillförd energi'!$B$1:$AQ$1,0),FALSE)</f>
        <v>0</v>
      </c>
      <c r="K175" s="121">
        <f>VLOOKUP($B175,'Tillförd energi'!$B$1:$AI$720,MATCH(K$1,'Tillförd energi'!$B$1:$AQ$1,0),FALSE)</f>
        <v>0</v>
      </c>
      <c r="L175" s="121">
        <f>VLOOKUP($B175,'Tillförd energi'!$B$1:$AI$720,MATCH(L$1,'Tillförd energi'!$B$1:$AQ$1,0),FALSE)</f>
        <v>0</v>
      </c>
      <c r="M175" s="121">
        <f>VLOOKUP($B175,'Tillförd energi'!$B$1:$AI$720,MATCH(M$1,'Tillförd energi'!$B$1:$AQ$1,0),FALSE)</f>
        <v>0</v>
      </c>
      <c r="N175" s="121">
        <f>VLOOKUP($B175,'Tillförd energi'!$B$1:$AI$720,MATCH(N$1,'Tillförd energi'!$B$1:$AQ$1,0),FALSE)</f>
        <v>0</v>
      </c>
      <c r="O175" s="121">
        <f>VLOOKUP($B175,'Tillförd energi'!$B$1:$AI$720,MATCH(O$1,'Tillförd energi'!$B$1:$AQ$1,0),FALSE)</f>
        <v>0</v>
      </c>
      <c r="P175" s="121">
        <f>VLOOKUP($B175,'Tillförd energi'!$B$1:$AI$720,MATCH(P$1,'Tillförd energi'!$B$1:$AQ$1,0),FALSE)</f>
        <v>0</v>
      </c>
      <c r="Q175" s="121">
        <f>VLOOKUP($B175,'Tillförd energi'!$B$1:$AI$720,MATCH(Q$1,'Tillförd energi'!$B$1:$AQ$1,0),FALSE)</f>
        <v>0</v>
      </c>
      <c r="R175" s="121">
        <f>VLOOKUP($B175,'Tillförd energi'!$B$1:$AI$720,MATCH(R$1,'Tillförd energi'!$B$1:$AQ$1,0),FALSE)</f>
        <v>0.25</v>
      </c>
      <c r="S175" s="121">
        <f>VLOOKUP($B175,'Tillförd energi'!$B$1:$AI$720,MATCH(S$1,'Tillförd energi'!$B$1:$AQ$1,0),FALSE)</f>
        <v>0</v>
      </c>
      <c r="T175" s="121">
        <f>VLOOKUP($B175,'Tillförd energi'!$B$1:$AI$720,MATCH(T$1,'Tillförd energi'!$B$1:$AQ$1,0),FALSE)</f>
        <v>0</v>
      </c>
      <c r="U175" s="121">
        <f>VLOOKUP($B175,'Tillförd energi'!$B$1:$AI$720,MATCH(U$1,'Tillförd energi'!$B$1:$AQ$1,0),FALSE)</f>
        <v>0</v>
      </c>
      <c r="V175" s="121">
        <f>VLOOKUP($B175,'Tillförd energi'!$B$1:$AI$720,MATCH(V$1,'Tillförd energi'!$B$1:$AQ$1,0),FALSE)</f>
        <v>0</v>
      </c>
      <c r="W175" s="121">
        <f>VLOOKUP($B175,'Tillförd energi'!$B$1:$AI$720,MATCH(W$1,'Tillförd energi'!$B$1:$AQ$1,0),FALSE)</f>
        <v>0.05</v>
      </c>
      <c r="X175" s="121">
        <f>VLOOKUP($B175,'Tillförd energi'!$B$1:$AI$720,MATCH(X$1,'Tillförd energi'!$B$1:$AQ$1,0),FALSE)</f>
        <v>0</v>
      </c>
      <c r="Y175" s="121">
        <f>VLOOKUP($B175,'Tillförd energi'!$B$1:$AI$720,MATCH(Y$1,'Tillförd energi'!$B$1:$AQ$1,0),FALSE)</f>
        <v>0</v>
      </c>
      <c r="Z175" s="121">
        <f>VLOOKUP($B175,'Tillförd energi'!$B$1:$AI$720,MATCH(Z$1,'Tillförd energi'!$B$1:$AQ$1,0),FALSE)</f>
        <v>7.0000000000000007E-2</v>
      </c>
      <c r="AA175" s="121">
        <f>VLOOKUP($B175,'Tillförd energi'!$B$1:$AI$720,MATCH(AA$1,'Tillförd energi'!$B$1:$AQ$1,0),FALSE)</f>
        <v>0</v>
      </c>
      <c r="AB175" s="121">
        <f>VLOOKUP($B175,'Tillförd energi'!$B$1:$AI$720,MATCH(AB$1,'Tillförd energi'!$B$1:$AQ$1,0),FALSE)</f>
        <v>0</v>
      </c>
      <c r="AC175" s="121">
        <f>VLOOKUP($B175,'Tillförd energi'!$B$1:$AI$720,MATCH(AC$1,'Tillförd energi'!$B$1:$AQ$1,0),FALSE)</f>
        <v>0</v>
      </c>
      <c r="AD175" s="121">
        <f>VLOOKUP($B175,'Tillförd energi'!$B$1:$AI$720,MATCH(AD$1,'Tillförd energi'!$B$1:$AQ$1,0),FALSE)</f>
        <v>6.6</v>
      </c>
      <c r="AE175" s="121">
        <f>VLOOKUP($B175,'Tillförd energi'!$B$1:$AI$720,MATCH(AE$1,'Tillförd energi'!$B$1:$AQ$1,0),FALSE)</f>
        <v>0</v>
      </c>
      <c r="AF175" s="121">
        <f>VLOOKUP($B175,'Tillförd energi'!$B$1:$AI$720,MATCH(AF$1,'Tillförd energi'!$B$1:$AQ$1,0),FALSE)</f>
        <v>0.21</v>
      </c>
      <c r="AG175" s="121">
        <f>IFERROR(VLOOKUP(B175,Miljö!$B$1:$AC$550,MATCH("Köpt mängd produktionsspecifik fjärrvärme:",Miljö!$B$1:$AC$1,0),FALSE)/1,0)</f>
        <v>0</v>
      </c>
      <c r="AH175" s="121"/>
      <c r="AI175" s="121">
        <f t="shared" si="66"/>
        <v>7.18</v>
      </c>
      <c r="AJ175" s="121">
        <f t="shared" si="67"/>
        <v>7.18</v>
      </c>
      <c r="AK175" s="121">
        <f>IF(ISERROR(1/VLOOKUP($B175,Leveranser!$B$1:$S$499,MATCH("såld värme (gwh)",Leveranser!$B$1:$S$1,0),FALSE)),"",VLOOKUP($B175,Leveranser!$B$1:$S$499,MATCH("såld värme (gwh)",Leveranser!$B$1:$S$1,0),FALSE))</f>
        <v>6.14</v>
      </c>
      <c r="AL175" s="121">
        <f>VLOOKUP($B175,Leveranser!$B$1:$Y$499,MATCH("Totalt såld fjärrvärme till andra fjärrvärmeföretag",Leveranser!$B$1:$AA$1,0),FALSE)</f>
        <v>0</v>
      </c>
      <c r="AM175" s="121">
        <f>IF(ISERROR(1/VLOOKUP($B175,Miljö!$B$1:$S$500,MATCH("Såld mängd produktionsspecifik fjärrvärme (GWh)",Miljö!$B$1:$R$1,0),FALSE)),0,VLOOKUP($B175,Miljö!$B$1:$S$500,MATCH("Såld mängd produktionsspecifik fjärrvärme (GWh)",Miljö!$B$1:$R$1,0),FALSE))</f>
        <v>0</v>
      </c>
      <c r="AN175" s="172">
        <f t="shared" si="68"/>
        <v>0.85515320334261835</v>
      </c>
      <c r="AO175" s="121"/>
      <c r="AP175" s="121" t="str">
        <f>IFERROR(VLOOKUP($B175,Miljövärden!$B$2:$H$550,7,FALSE),"Nej, saknas")</f>
        <v>Ja</v>
      </c>
      <c r="AQ175" s="121" t="str">
        <f>IFERROR(VLOOKUP($B175,Miljövärden!$B$2:$H$550,6,FALSE),"Nej, saknas")</f>
        <v>Ja</v>
      </c>
      <c r="AU175">
        <f t="shared" si="69"/>
        <v>0.28000000000000003</v>
      </c>
      <c r="AV175">
        <f t="shared" si="70"/>
        <v>0</v>
      </c>
      <c r="AW175">
        <f t="shared" si="71"/>
        <v>0</v>
      </c>
      <c r="AX175">
        <f t="shared" si="72"/>
        <v>0.25</v>
      </c>
      <c r="AZ175">
        <f t="shared" si="73"/>
        <v>0.3</v>
      </c>
      <c r="BC175">
        <f t="shared" si="74"/>
        <v>0</v>
      </c>
      <c r="BD175">
        <f t="shared" si="75"/>
        <v>0</v>
      </c>
      <c r="BE175">
        <f t="shared" si="76"/>
        <v>0.3</v>
      </c>
      <c r="BF175">
        <f t="shared" si="77"/>
        <v>6.6</v>
      </c>
      <c r="BG175">
        <f t="shared" si="78"/>
        <v>0.28000000000000003</v>
      </c>
      <c r="BH175">
        <f>VLOOKUP(B175,Miljö!$B$1:$BX$482,MATCH("Fossilandel för ursprungspecificerad el ()",Miljö!$B$1:$I$1,0),FALSE)</f>
        <v>0</v>
      </c>
      <c r="BI175">
        <f>VLOOKUP(B175,Miljö!$B$1:$BX$482,MATCH("Kärnkraftsandel för ursprungsspecificerad el ()",Miljö!$B$1:$O$1,0),FALSE)</f>
        <v>0</v>
      </c>
      <c r="BJ175">
        <f t="shared" si="79"/>
        <v>0</v>
      </c>
      <c r="BK175" t="str">
        <f>VLOOKUP(B175,Miljö!$B$1:$O$482,MATCH("Fossil andel i procent (%)",Miljö!$B$1:$O$1,0),FALSE)</f>
        <v>ET</v>
      </c>
      <c r="BL175">
        <f t="shared" si="80"/>
        <v>7.18</v>
      </c>
      <c r="BO175" s="18">
        <f t="shared" si="81"/>
        <v>0</v>
      </c>
      <c r="BP175" s="18">
        <f t="shared" si="82"/>
        <v>0</v>
      </c>
      <c r="BQ175" s="18">
        <f t="shared" si="83"/>
        <v>8.0779944289693609E-2</v>
      </c>
      <c r="BR175" s="18">
        <f t="shared" si="84"/>
        <v>0.91922005571030641</v>
      </c>
      <c r="BT175" s="27">
        <f t="shared" si="85"/>
        <v>1</v>
      </c>
      <c r="BW175" s="18">
        <f>IF(AP175="ja",VLOOKUP(B175,Miljövärden!$B$2:$H$550,MATCH("Total andel fossilt",Miljövärden!$B$2:$H$2,0),FALSE),"")</f>
        <v>0</v>
      </c>
      <c r="BZ175" s="28">
        <f t="shared" si="86"/>
        <v>0</v>
      </c>
      <c r="CA175" s="28">
        <f t="shared" si="87"/>
        <v>0</v>
      </c>
    </row>
    <row r="176" spans="1:79" x14ac:dyDescent="0.25">
      <c r="A176" s="224" t="s">
        <v>438</v>
      </c>
      <c r="B176" s="210" t="s">
        <v>441</v>
      </c>
      <c r="C176" s="121">
        <f>VLOOKUP($B176,'Tillförd energi'!$B$1:$AI$720,MATCH(C$1,'Tillförd energi'!$B$1:$AQ$1,0),FALSE)</f>
        <v>0</v>
      </c>
      <c r="D176" s="121">
        <f>VLOOKUP($B176,'Tillförd energi'!$B$1:$AI$720,MATCH(D$1,'Tillförd energi'!$B$1:$AQ$1,0),FALSE)</f>
        <v>1.4</v>
      </c>
      <c r="E176" s="121">
        <f>VLOOKUP($B176,'Tillförd energi'!$B$1:$AI$720,MATCH(E$1,'Tillförd energi'!$B$1:$AQ$1,0),FALSE)</f>
        <v>0</v>
      </c>
      <c r="F176" s="121">
        <f>VLOOKUP($B176,'Tillförd energi'!$B$1:$AI$720,MATCH(F$1,'Tillförd energi'!$B$1:$AQ$1,0),FALSE)</f>
        <v>0</v>
      </c>
      <c r="G176" s="121">
        <f>VLOOKUP($B176,'Tillförd energi'!$B$1:$AI$720,MATCH(G$1,'Tillförd energi'!$B$1:$AQ$1,0),FALSE)</f>
        <v>0</v>
      </c>
      <c r="H176" s="121">
        <f>VLOOKUP($B176,'Tillförd energi'!$B$1:$AI$720,MATCH(H$1,'Tillförd energi'!$B$1:$AQ$1,0),FALSE)</f>
        <v>0</v>
      </c>
      <c r="I176" s="121">
        <f>VLOOKUP($B176,'Tillförd energi'!$B$1:$AI$720,MATCH(I$1,'Tillförd energi'!$B$1:$AQ$1,0),FALSE)</f>
        <v>0</v>
      </c>
      <c r="J176" s="121">
        <f>VLOOKUP($B176,'Tillförd energi'!$B$1:$AI$720,MATCH(J$1,'Tillförd energi'!$B$1:$AQ$1,0),FALSE)</f>
        <v>0</v>
      </c>
      <c r="K176" s="121">
        <f>VLOOKUP($B176,'Tillförd energi'!$B$1:$AI$720,MATCH(K$1,'Tillförd energi'!$B$1:$AQ$1,0),FALSE)</f>
        <v>0</v>
      </c>
      <c r="L176" s="121">
        <f>VLOOKUP($B176,'Tillförd energi'!$B$1:$AI$720,MATCH(L$1,'Tillförd energi'!$B$1:$AQ$1,0),FALSE)</f>
        <v>0</v>
      </c>
      <c r="M176" s="121">
        <f>VLOOKUP($B176,'Tillförd energi'!$B$1:$AI$720,MATCH(M$1,'Tillförd energi'!$B$1:$AQ$1,0),FALSE)</f>
        <v>0</v>
      </c>
      <c r="N176" s="121">
        <f>VLOOKUP($B176,'Tillförd energi'!$B$1:$AI$720,MATCH(N$1,'Tillförd energi'!$B$1:$AQ$1,0),FALSE)</f>
        <v>0</v>
      </c>
      <c r="O176" s="121">
        <f>VLOOKUP($B176,'Tillförd energi'!$B$1:$AI$720,MATCH(O$1,'Tillförd energi'!$B$1:$AQ$1,0),FALSE)</f>
        <v>0</v>
      </c>
      <c r="P176" s="121">
        <f>VLOOKUP($B176,'Tillförd energi'!$B$1:$AI$720,MATCH(P$1,'Tillförd energi'!$B$1:$AQ$1,0),FALSE)</f>
        <v>12</v>
      </c>
      <c r="Q176" s="121">
        <f>VLOOKUP($B176,'Tillförd energi'!$B$1:$AI$720,MATCH(Q$1,'Tillförd energi'!$B$1:$AQ$1,0),FALSE)</f>
        <v>0</v>
      </c>
      <c r="R176" s="121">
        <f>VLOOKUP($B176,'Tillförd energi'!$B$1:$AI$720,MATCH(R$1,'Tillförd energi'!$B$1:$AQ$1,0),FALSE)</f>
        <v>17.8</v>
      </c>
      <c r="S176" s="121">
        <f>VLOOKUP($B176,'Tillförd energi'!$B$1:$AI$720,MATCH(S$1,'Tillförd energi'!$B$1:$AQ$1,0),FALSE)</f>
        <v>0</v>
      </c>
      <c r="T176" s="121">
        <f>VLOOKUP($B176,'Tillförd energi'!$B$1:$AI$720,MATCH(T$1,'Tillförd energi'!$B$1:$AQ$1,0),FALSE)</f>
        <v>0</v>
      </c>
      <c r="U176" s="121">
        <f>VLOOKUP($B176,'Tillförd energi'!$B$1:$AI$720,MATCH(U$1,'Tillförd energi'!$B$1:$AQ$1,0),FALSE)</f>
        <v>0</v>
      </c>
      <c r="V176" s="121">
        <f>VLOOKUP($B176,'Tillförd energi'!$B$1:$AI$720,MATCH(V$1,'Tillförd energi'!$B$1:$AQ$1,0),FALSE)</f>
        <v>0</v>
      </c>
      <c r="W176" s="121">
        <f>VLOOKUP($B176,'Tillförd energi'!$B$1:$AI$720,MATCH(W$1,'Tillförd energi'!$B$1:$AQ$1,0),FALSE)</f>
        <v>0</v>
      </c>
      <c r="X176" s="121">
        <f>VLOOKUP($B176,'Tillförd energi'!$B$1:$AI$720,MATCH(X$1,'Tillförd energi'!$B$1:$AQ$1,0),FALSE)</f>
        <v>0</v>
      </c>
      <c r="Y176" s="121">
        <f>VLOOKUP($B176,'Tillförd energi'!$B$1:$AI$720,MATCH(Y$1,'Tillförd energi'!$B$1:$AQ$1,0),FALSE)</f>
        <v>0</v>
      </c>
      <c r="Z176" s="121">
        <f>VLOOKUP($B176,'Tillförd energi'!$B$1:$AI$720,MATCH(Z$1,'Tillförd energi'!$B$1:$AQ$1,0),FALSE)</f>
        <v>0</v>
      </c>
      <c r="AA176" s="121">
        <f>VLOOKUP($B176,'Tillförd energi'!$B$1:$AI$720,MATCH(AA$1,'Tillförd energi'!$B$1:$AQ$1,0),FALSE)</f>
        <v>0</v>
      </c>
      <c r="AB176" s="121">
        <f>VLOOKUP($B176,'Tillförd energi'!$B$1:$AI$720,MATCH(AB$1,'Tillförd energi'!$B$1:$AQ$1,0),FALSE)</f>
        <v>0</v>
      </c>
      <c r="AC176" s="121">
        <f>VLOOKUP($B176,'Tillförd energi'!$B$1:$AI$720,MATCH(AC$1,'Tillförd energi'!$B$1:$AQ$1,0),FALSE)</f>
        <v>0</v>
      </c>
      <c r="AD176" s="121">
        <f>VLOOKUP($B176,'Tillförd energi'!$B$1:$AI$720,MATCH(AD$1,'Tillförd energi'!$B$1:$AQ$1,0),FALSE)</f>
        <v>0</v>
      </c>
      <c r="AE176" s="121">
        <f>VLOOKUP($B176,'Tillförd energi'!$B$1:$AI$720,MATCH(AE$1,'Tillförd energi'!$B$1:$AQ$1,0),FALSE)</f>
        <v>0</v>
      </c>
      <c r="AF176" s="121">
        <f>VLOOKUP($B176,'Tillförd energi'!$B$1:$AI$720,MATCH(AF$1,'Tillförd energi'!$B$1:$AQ$1,0),FALSE)</f>
        <v>0.42</v>
      </c>
      <c r="AG176" s="121">
        <f>IFERROR(VLOOKUP(B176,Miljö!$B$1:$AC$550,MATCH("Köpt mängd produktionsspecifik fjärrvärme:",Miljö!$B$1:$AC$1,0),FALSE)/1,0)</f>
        <v>0</v>
      </c>
      <c r="AH176" s="121"/>
      <c r="AI176" s="121">
        <f t="shared" si="66"/>
        <v>31.620000000000005</v>
      </c>
      <c r="AJ176" s="121">
        <f t="shared" si="67"/>
        <v>31.620000000000005</v>
      </c>
      <c r="AK176" s="121">
        <f>IF(ISERROR(1/VLOOKUP($B176,Leveranser!$B$1:$S$499,MATCH("såld värme (gwh)",Leveranser!$B$1:$S$1,0),FALSE)),"",VLOOKUP($B176,Leveranser!$B$1:$S$499,MATCH("såld värme (gwh)",Leveranser!$B$1:$S$1,0),FALSE))</f>
        <v>22.4</v>
      </c>
      <c r="AL176" s="121">
        <f>VLOOKUP($B176,Leveranser!$B$1:$Y$499,MATCH("Totalt såld fjärrvärme till andra fjärrvärmeföretag",Leveranser!$B$1:$AA$1,0),FALSE)</f>
        <v>0</v>
      </c>
      <c r="AM176" s="121">
        <f>IF(ISERROR(1/VLOOKUP($B176,Miljö!$B$1:$S$500,MATCH("Såld mängd produktionsspecifik fjärrvärme (GWh)",Miljö!$B$1:$R$1,0),FALSE)),0,VLOOKUP($B176,Miljö!$B$1:$S$500,MATCH("Såld mängd produktionsspecifik fjärrvärme (GWh)",Miljö!$B$1:$R$1,0),FALSE))</f>
        <v>0</v>
      </c>
      <c r="AN176" s="172">
        <f t="shared" si="68"/>
        <v>0.70841239721695115</v>
      </c>
      <c r="AO176" s="121"/>
      <c r="AP176" s="121" t="str">
        <f>IFERROR(VLOOKUP($B176,Miljövärden!$B$2:$H$550,7,FALSE),"Nej, saknas")</f>
        <v>Ja</v>
      </c>
      <c r="AQ176" s="121" t="str">
        <f>IFERROR(VLOOKUP($B176,Miljövärden!$B$2:$H$550,6,FALSE),"Nej, saknas")</f>
        <v>Ja</v>
      </c>
      <c r="AU176">
        <f t="shared" si="69"/>
        <v>0.42</v>
      </c>
      <c r="AV176">
        <f t="shared" si="70"/>
        <v>0</v>
      </c>
      <c r="AW176">
        <f t="shared" si="71"/>
        <v>12</v>
      </c>
      <c r="AX176">
        <f t="shared" si="72"/>
        <v>17.8</v>
      </c>
      <c r="AZ176">
        <f t="shared" si="73"/>
        <v>29.8</v>
      </c>
      <c r="BC176">
        <f t="shared" si="74"/>
        <v>1.4</v>
      </c>
      <c r="BD176">
        <f t="shared" si="75"/>
        <v>0</v>
      </c>
      <c r="BE176">
        <f t="shared" si="76"/>
        <v>29.8</v>
      </c>
      <c r="BF176">
        <f t="shared" si="77"/>
        <v>0</v>
      </c>
      <c r="BG176">
        <f t="shared" si="78"/>
        <v>0.42</v>
      </c>
      <c r="BH176">
        <f>VLOOKUP(B176,Miljö!$B$1:$BX$482,MATCH("Fossilandel för ursprungspecificerad el ()",Miljö!$B$1:$I$1,0),FALSE)</f>
        <v>0</v>
      </c>
      <c r="BI176">
        <f>VLOOKUP(B176,Miljö!$B$1:$BX$482,MATCH("Kärnkraftsandel för ursprungsspecificerad el ()",Miljö!$B$1:$O$1,0),FALSE)</f>
        <v>0</v>
      </c>
      <c r="BJ176">
        <f t="shared" si="79"/>
        <v>0</v>
      </c>
      <c r="BK176" t="str">
        <f>VLOOKUP(B176,Miljö!$B$1:$O$482,MATCH("Fossil andel i procent (%)",Miljö!$B$1:$O$1,0),FALSE)</f>
        <v>ET</v>
      </c>
      <c r="BL176">
        <f t="shared" si="80"/>
        <v>31.62</v>
      </c>
      <c r="BO176" s="18">
        <f t="shared" si="81"/>
        <v>4.4275774826059454E-2</v>
      </c>
      <c r="BP176" s="18">
        <f t="shared" si="82"/>
        <v>0</v>
      </c>
      <c r="BQ176" s="18">
        <f t="shared" si="83"/>
        <v>0.95572422517394062</v>
      </c>
      <c r="BR176" s="18">
        <f t="shared" si="84"/>
        <v>0</v>
      </c>
      <c r="BT176" s="27">
        <f t="shared" si="85"/>
        <v>1</v>
      </c>
      <c r="BW176" s="18">
        <f>IF(AP176="ja",VLOOKUP(B176,Miljövärden!$B$2:$H$550,MATCH("Total andel fossilt",Miljövärden!$B$2:$H$2,0),FALSE),"")</f>
        <v>4.4275799999999997E-2</v>
      </c>
      <c r="BZ176" s="28">
        <f t="shared" si="86"/>
        <v>2.5173940543243845E-8</v>
      </c>
      <c r="CA176" s="28">
        <f t="shared" si="87"/>
        <v>0</v>
      </c>
    </row>
    <row r="177" spans="1:79" x14ac:dyDescent="0.25">
      <c r="A177" s="224" t="s">
        <v>442</v>
      </c>
      <c r="B177" s="210" t="s">
        <v>443</v>
      </c>
      <c r="C177" s="121">
        <f>VLOOKUP($B177,'Tillförd energi'!$B$1:$AI$720,MATCH(C$1,'Tillförd energi'!$B$1:$AQ$1,0),FALSE)</f>
        <v>0</v>
      </c>
      <c r="D177" s="121">
        <f>VLOOKUP($B177,'Tillförd energi'!$B$1:$AI$720,MATCH(D$1,'Tillförd energi'!$B$1:$AQ$1,0),FALSE)</f>
        <v>0.13</v>
      </c>
      <c r="E177" s="121">
        <f>VLOOKUP($B177,'Tillförd energi'!$B$1:$AI$720,MATCH(E$1,'Tillförd energi'!$B$1:$AQ$1,0),FALSE)</f>
        <v>0</v>
      </c>
      <c r="F177" s="121">
        <f>VLOOKUP($B177,'Tillförd energi'!$B$1:$AI$720,MATCH(F$1,'Tillförd energi'!$B$1:$AQ$1,0),FALSE)</f>
        <v>0</v>
      </c>
      <c r="G177" s="121">
        <f>VLOOKUP($B177,'Tillförd energi'!$B$1:$AI$720,MATCH(G$1,'Tillförd energi'!$B$1:$AQ$1,0),FALSE)</f>
        <v>0</v>
      </c>
      <c r="H177" s="121">
        <f>VLOOKUP($B177,'Tillförd energi'!$B$1:$AI$720,MATCH(H$1,'Tillförd energi'!$B$1:$AQ$1,0),FALSE)</f>
        <v>0</v>
      </c>
      <c r="I177" s="121">
        <f>VLOOKUP($B177,'Tillförd energi'!$B$1:$AI$720,MATCH(I$1,'Tillförd energi'!$B$1:$AQ$1,0),FALSE)</f>
        <v>0</v>
      </c>
      <c r="J177" s="121">
        <f>VLOOKUP($B177,'Tillförd energi'!$B$1:$AI$720,MATCH(J$1,'Tillförd energi'!$B$1:$AQ$1,0),FALSE)</f>
        <v>0</v>
      </c>
      <c r="K177" s="121">
        <f>VLOOKUP($B177,'Tillförd energi'!$B$1:$AI$720,MATCH(K$1,'Tillförd energi'!$B$1:$AQ$1,0),FALSE)</f>
        <v>0</v>
      </c>
      <c r="L177" s="121">
        <f>VLOOKUP($B177,'Tillförd energi'!$B$1:$AI$720,MATCH(L$1,'Tillförd energi'!$B$1:$AQ$1,0),FALSE)</f>
        <v>0</v>
      </c>
      <c r="M177" s="121">
        <f>VLOOKUP($B177,'Tillförd energi'!$B$1:$AI$720,MATCH(M$1,'Tillförd energi'!$B$1:$AQ$1,0),FALSE)</f>
        <v>0</v>
      </c>
      <c r="N177" s="121">
        <f>VLOOKUP($B177,'Tillförd energi'!$B$1:$AI$720,MATCH(N$1,'Tillförd energi'!$B$1:$AQ$1,0),FALSE)</f>
        <v>0</v>
      </c>
      <c r="O177" s="121">
        <f>VLOOKUP($B177,'Tillförd energi'!$B$1:$AI$720,MATCH(O$1,'Tillförd energi'!$B$1:$AQ$1,0),FALSE)</f>
        <v>0</v>
      </c>
      <c r="P177" s="121">
        <f>VLOOKUP($B177,'Tillförd energi'!$B$1:$AI$720,MATCH(P$1,'Tillförd energi'!$B$1:$AQ$1,0),FALSE)</f>
        <v>29.1</v>
      </c>
      <c r="Q177" s="121">
        <f>VLOOKUP($B177,'Tillförd energi'!$B$1:$AI$720,MATCH(Q$1,'Tillförd energi'!$B$1:$AQ$1,0),FALSE)</f>
        <v>0</v>
      </c>
      <c r="R177" s="121">
        <f>VLOOKUP($B177,'Tillförd energi'!$B$1:$AI$720,MATCH(R$1,'Tillförd energi'!$B$1:$AQ$1,0),FALSE)</f>
        <v>0</v>
      </c>
      <c r="S177" s="121">
        <f>VLOOKUP($B177,'Tillförd energi'!$B$1:$AI$720,MATCH(S$1,'Tillförd energi'!$B$1:$AQ$1,0),FALSE)</f>
        <v>0</v>
      </c>
      <c r="T177" s="121">
        <f>VLOOKUP($B177,'Tillförd energi'!$B$1:$AI$720,MATCH(T$1,'Tillförd energi'!$B$1:$AQ$1,0),FALSE)</f>
        <v>0</v>
      </c>
      <c r="U177" s="121">
        <f>VLOOKUP($B177,'Tillförd energi'!$B$1:$AI$720,MATCH(U$1,'Tillförd energi'!$B$1:$AQ$1,0),FALSE)</f>
        <v>0</v>
      </c>
      <c r="V177" s="121">
        <f>VLOOKUP($B177,'Tillförd energi'!$B$1:$AI$720,MATCH(V$1,'Tillförd energi'!$B$1:$AQ$1,0),FALSE)</f>
        <v>0</v>
      </c>
      <c r="W177" s="121">
        <f>VLOOKUP($B177,'Tillförd energi'!$B$1:$AI$720,MATCH(W$1,'Tillförd energi'!$B$1:$AQ$1,0),FALSE)</f>
        <v>0</v>
      </c>
      <c r="X177" s="121">
        <f>VLOOKUP($B177,'Tillförd energi'!$B$1:$AI$720,MATCH(X$1,'Tillförd energi'!$B$1:$AQ$1,0),FALSE)</f>
        <v>0</v>
      </c>
      <c r="Y177" s="121">
        <f>VLOOKUP($B177,'Tillförd energi'!$B$1:$AI$720,MATCH(Y$1,'Tillförd energi'!$B$1:$AQ$1,0),FALSE)</f>
        <v>0</v>
      </c>
      <c r="Z177" s="121">
        <f>VLOOKUP($B177,'Tillförd energi'!$B$1:$AI$720,MATCH(Z$1,'Tillförd energi'!$B$1:$AQ$1,0),FALSE)</f>
        <v>0</v>
      </c>
      <c r="AA177" s="121">
        <f>VLOOKUP($B177,'Tillförd energi'!$B$1:$AI$720,MATCH(AA$1,'Tillförd energi'!$B$1:$AQ$1,0),FALSE)</f>
        <v>0</v>
      </c>
      <c r="AB177" s="121">
        <f>VLOOKUP($B177,'Tillförd energi'!$B$1:$AI$720,MATCH(AB$1,'Tillförd energi'!$B$1:$AQ$1,0),FALSE)</f>
        <v>0</v>
      </c>
      <c r="AC177" s="121">
        <f>VLOOKUP($B177,'Tillförd energi'!$B$1:$AI$720,MATCH(AC$1,'Tillförd energi'!$B$1:$AQ$1,0),FALSE)</f>
        <v>3.8</v>
      </c>
      <c r="AD177" s="121">
        <f>VLOOKUP($B177,'Tillförd energi'!$B$1:$AI$720,MATCH(AD$1,'Tillförd energi'!$B$1:$AQ$1,0),FALSE)</f>
        <v>0</v>
      </c>
      <c r="AE177" s="121">
        <f>VLOOKUP($B177,'Tillförd energi'!$B$1:$AI$720,MATCH(AE$1,'Tillförd energi'!$B$1:$AQ$1,0),FALSE)</f>
        <v>0</v>
      </c>
      <c r="AF177" s="121">
        <f>VLOOKUP($B177,'Tillförd energi'!$B$1:$AI$720,MATCH(AF$1,'Tillförd energi'!$B$1:$AQ$1,0),FALSE)</f>
        <v>0.5</v>
      </c>
      <c r="AG177" s="121">
        <f>IFERROR(VLOOKUP(B177,Miljö!$B$1:$AC$550,MATCH("Köpt mängd produktionsspecifik fjärrvärme:",Miljö!$B$1:$AC$1,0),FALSE)/1,0)</f>
        <v>0</v>
      </c>
      <c r="AH177" s="121"/>
      <c r="AI177" s="121">
        <f t="shared" si="66"/>
        <v>33.53</v>
      </c>
      <c r="AJ177" s="121">
        <f t="shared" si="67"/>
        <v>33.53</v>
      </c>
      <c r="AK177" s="121">
        <f>IF(ISERROR(1/VLOOKUP($B177,Leveranser!$B$1:$S$499,MATCH("såld värme (gwh)",Leveranser!$B$1:$S$1,0),FALSE)),"",VLOOKUP($B177,Leveranser!$B$1:$S$499,MATCH("såld värme (gwh)",Leveranser!$B$1:$S$1,0),FALSE))</f>
        <v>27</v>
      </c>
      <c r="AL177" s="121">
        <f>VLOOKUP($B177,Leveranser!$B$1:$Y$499,MATCH("Totalt såld fjärrvärme till andra fjärrvärmeföretag",Leveranser!$B$1:$AA$1,0),FALSE)</f>
        <v>0</v>
      </c>
      <c r="AM177" s="121">
        <f>IF(ISERROR(1/VLOOKUP($B177,Miljö!$B$1:$S$500,MATCH("Såld mängd produktionsspecifik fjärrvärme (GWh)",Miljö!$B$1:$R$1,0),FALSE)),0,VLOOKUP($B177,Miljö!$B$1:$S$500,MATCH("Såld mängd produktionsspecifik fjärrvärme (GWh)",Miljö!$B$1:$R$1,0),FALSE))</f>
        <v>0</v>
      </c>
      <c r="AN177" s="172">
        <f t="shared" si="68"/>
        <v>0.80524903071875931</v>
      </c>
      <c r="AO177" s="121"/>
      <c r="AP177" s="121" t="str">
        <f>IFERROR(VLOOKUP($B177,Miljövärden!$B$2:$H$550,7,FALSE),"Nej, saknas")</f>
        <v>Ja</v>
      </c>
      <c r="AQ177" s="121" t="str">
        <f>IFERROR(VLOOKUP($B177,Miljövärden!$B$2:$H$550,6,FALSE),"Nej, saknas")</f>
        <v>Ja</v>
      </c>
      <c r="AU177">
        <f t="shared" si="69"/>
        <v>0.5</v>
      </c>
      <c r="AV177">
        <f t="shared" si="70"/>
        <v>0</v>
      </c>
      <c r="AW177">
        <f t="shared" si="71"/>
        <v>29.1</v>
      </c>
      <c r="AX177">
        <f t="shared" si="72"/>
        <v>0</v>
      </c>
      <c r="AZ177">
        <f t="shared" si="73"/>
        <v>29.1</v>
      </c>
      <c r="BC177">
        <f t="shared" si="74"/>
        <v>0.13</v>
      </c>
      <c r="BD177">
        <f t="shared" si="75"/>
        <v>0</v>
      </c>
      <c r="BE177">
        <f t="shared" si="76"/>
        <v>29.1</v>
      </c>
      <c r="BF177">
        <f t="shared" si="77"/>
        <v>3.8</v>
      </c>
      <c r="BG177">
        <f t="shared" si="78"/>
        <v>0.5</v>
      </c>
      <c r="BH177">
        <f>VLOOKUP(B177,Miljö!$B$1:$BX$482,MATCH("Fossilandel för ursprungspecificerad el ()",Miljö!$B$1:$I$1,0),FALSE)</f>
        <v>0</v>
      </c>
      <c r="BI177">
        <f>VLOOKUP(B177,Miljö!$B$1:$BX$482,MATCH("Kärnkraftsandel för ursprungsspecificerad el ()",Miljö!$B$1:$O$1,0),FALSE)</f>
        <v>0</v>
      </c>
      <c r="BJ177">
        <f t="shared" si="79"/>
        <v>0</v>
      </c>
      <c r="BK177" t="str">
        <f>VLOOKUP(B177,Miljö!$B$1:$O$482,MATCH("Fossil andel i procent (%)",Miljö!$B$1:$O$1,0),FALSE)</f>
        <v>ET</v>
      </c>
      <c r="BL177">
        <f t="shared" si="80"/>
        <v>33.53</v>
      </c>
      <c r="BO177" s="18">
        <f t="shared" si="81"/>
        <v>3.8771249627199524E-3</v>
      </c>
      <c r="BP177" s="18">
        <f t="shared" si="82"/>
        <v>0</v>
      </c>
      <c r="BQ177" s="18">
        <f t="shared" si="83"/>
        <v>0.88279152997315835</v>
      </c>
      <c r="BR177" s="18">
        <f t="shared" si="84"/>
        <v>0.11333134506412167</v>
      </c>
      <c r="BT177" s="27">
        <f t="shared" si="85"/>
        <v>1</v>
      </c>
      <c r="BW177" s="18">
        <f>IF(AP177="ja",VLOOKUP(B177,Miljövärden!$B$2:$H$550,MATCH("Total andel fossilt",Miljövärden!$B$2:$H$2,0),FALSE),"")</f>
        <v>3.87712E-3</v>
      </c>
      <c r="BZ177" s="28">
        <f t="shared" si="86"/>
        <v>-4.9627199524317211E-9</v>
      </c>
      <c r="CA177" s="28">
        <f t="shared" si="87"/>
        <v>0</v>
      </c>
    </row>
    <row r="178" spans="1:79" x14ac:dyDescent="0.25">
      <c r="A178" s="224" t="s">
        <v>444</v>
      </c>
      <c r="B178" s="210" t="s">
        <v>445</v>
      </c>
      <c r="C178" s="121">
        <f>VLOOKUP($B178,'Tillförd energi'!$B$1:$AI$720,MATCH(C$1,'Tillförd energi'!$B$1:$AQ$1,0),FALSE)</f>
        <v>0</v>
      </c>
      <c r="D178" s="121">
        <f>VLOOKUP($B178,'Tillförd energi'!$B$1:$AI$720,MATCH(D$1,'Tillförd energi'!$B$1:$AQ$1,0),FALSE)</f>
        <v>0.82699999999999996</v>
      </c>
      <c r="E178" s="121">
        <f>VLOOKUP($B178,'Tillförd energi'!$B$1:$AI$720,MATCH(E$1,'Tillförd energi'!$B$1:$AQ$1,0),FALSE)</f>
        <v>0</v>
      </c>
      <c r="F178" s="121">
        <f>VLOOKUP($B178,'Tillförd energi'!$B$1:$AI$720,MATCH(F$1,'Tillförd energi'!$B$1:$AQ$1,0),FALSE)</f>
        <v>0</v>
      </c>
      <c r="G178" s="121">
        <f>VLOOKUP($B178,'Tillförd energi'!$B$1:$AI$720,MATCH(G$1,'Tillförd energi'!$B$1:$AQ$1,0),FALSE)</f>
        <v>0</v>
      </c>
      <c r="H178" s="121">
        <f>VLOOKUP($B178,'Tillförd energi'!$B$1:$AI$720,MATCH(H$1,'Tillförd energi'!$B$1:$AQ$1,0),FALSE)</f>
        <v>0</v>
      </c>
      <c r="I178" s="121">
        <f>VLOOKUP($B178,'Tillförd energi'!$B$1:$AI$720,MATCH(I$1,'Tillförd energi'!$B$1:$AQ$1,0),FALSE)</f>
        <v>0</v>
      </c>
      <c r="J178" s="121">
        <f>VLOOKUP($B178,'Tillförd energi'!$B$1:$AI$720,MATCH(J$1,'Tillförd energi'!$B$1:$AQ$1,0),FALSE)</f>
        <v>0</v>
      </c>
      <c r="K178" s="121">
        <f>VLOOKUP($B178,'Tillförd energi'!$B$1:$AI$720,MATCH(K$1,'Tillförd energi'!$B$1:$AQ$1,0),FALSE)</f>
        <v>0</v>
      </c>
      <c r="L178" s="121">
        <f>VLOOKUP($B178,'Tillförd energi'!$B$1:$AI$720,MATCH(L$1,'Tillförd energi'!$B$1:$AQ$1,0),FALSE)</f>
        <v>0</v>
      </c>
      <c r="M178" s="121">
        <f>VLOOKUP($B178,'Tillförd energi'!$B$1:$AI$720,MATCH(M$1,'Tillförd energi'!$B$1:$AQ$1,0),FALSE)</f>
        <v>5.6034899999999999</v>
      </c>
      <c r="N178" s="121">
        <f>VLOOKUP($B178,'Tillförd energi'!$B$1:$AI$720,MATCH(N$1,'Tillförd energi'!$B$1:$AQ$1,0),FALSE)</f>
        <v>59.289900000000003</v>
      </c>
      <c r="O178" s="121">
        <f>VLOOKUP($B178,'Tillförd energi'!$B$1:$AI$720,MATCH(O$1,'Tillförd energi'!$B$1:$AQ$1,0),FALSE)</f>
        <v>0</v>
      </c>
      <c r="P178" s="121">
        <f>VLOOKUP($B178,'Tillförd energi'!$B$1:$AI$720,MATCH(P$1,'Tillförd energi'!$B$1:$AQ$1,0),FALSE)</f>
        <v>45.291899999999998</v>
      </c>
      <c r="Q178" s="121">
        <f>VLOOKUP($B178,'Tillförd energi'!$B$1:$AI$720,MATCH(Q$1,'Tillförd energi'!$B$1:$AQ$1,0),FALSE)</f>
        <v>0</v>
      </c>
      <c r="R178" s="121">
        <f>VLOOKUP($B178,'Tillförd energi'!$B$1:$AI$720,MATCH(R$1,'Tillförd energi'!$B$1:$AQ$1,0),FALSE)</f>
        <v>0</v>
      </c>
      <c r="S178" s="121">
        <f>VLOOKUP($B178,'Tillförd energi'!$B$1:$AI$720,MATCH(S$1,'Tillförd energi'!$B$1:$AQ$1,0),FALSE)</f>
        <v>4.71</v>
      </c>
      <c r="T178" s="121">
        <f>VLOOKUP($B178,'Tillförd energi'!$B$1:$AI$720,MATCH(T$1,'Tillförd energi'!$B$1:$AQ$1,0),FALSE)</f>
        <v>0</v>
      </c>
      <c r="U178" s="121">
        <f>VLOOKUP($B178,'Tillförd energi'!$B$1:$AI$720,MATCH(U$1,'Tillförd energi'!$B$1:$AQ$1,0),FALSE)</f>
        <v>0</v>
      </c>
      <c r="V178" s="121">
        <f>VLOOKUP($B178,'Tillförd energi'!$B$1:$AI$720,MATCH(V$1,'Tillförd energi'!$B$1:$AQ$1,0),FALSE)</f>
        <v>0</v>
      </c>
      <c r="W178" s="121">
        <f>VLOOKUP($B178,'Tillförd energi'!$B$1:$AI$720,MATCH(W$1,'Tillförd energi'!$B$1:$AQ$1,0),FALSE)</f>
        <v>0</v>
      </c>
      <c r="X178" s="121">
        <f>VLOOKUP($B178,'Tillförd energi'!$B$1:$AI$720,MATCH(X$1,'Tillförd energi'!$B$1:$AQ$1,0),FALSE)</f>
        <v>0</v>
      </c>
      <c r="Y178" s="121">
        <f>VLOOKUP($B178,'Tillförd energi'!$B$1:$AI$720,MATCH(Y$1,'Tillförd energi'!$B$1:$AQ$1,0),FALSE)</f>
        <v>0</v>
      </c>
      <c r="Z178" s="121">
        <f>VLOOKUP($B178,'Tillförd energi'!$B$1:$AI$720,MATCH(Z$1,'Tillförd energi'!$B$1:$AQ$1,0),FALSE)</f>
        <v>0</v>
      </c>
      <c r="AA178" s="121">
        <f>VLOOKUP($B178,'Tillförd energi'!$B$1:$AI$720,MATCH(AA$1,'Tillförd energi'!$B$1:$AQ$1,0),FALSE)</f>
        <v>0</v>
      </c>
      <c r="AB178" s="121">
        <f>VLOOKUP($B178,'Tillförd energi'!$B$1:$AI$720,MATCH(AB$1,'Tillförd energi'!$B$1:$AQ$1,0),FALSE)</f>
        <v>0</v>
      </c>
      <c r="AC178" s="121">
        <f>VLOOKUP($B178,'Tillförd energi'!$B$1:$AI$720,MATCH(AC$1,'Tillförd energi'!$B$1:$AQ$1,0),FALSE)</f>
        <v>17.79</v>
      </c>
      <c r="AD178" s="121">
        <f>VLOOKUP($B178,'Tillförd energi'!$B$1:$AI$720,MATCH(AD$1,'Tillförd energi'!$B$1:$AQ$1,0),FALSE)</f>
        <v>0</v>
      </c>
      <c r="AE178" s="121">
        <f>VLOOKUP($B178,'Tillförd energi'!$B$1:$AI$720,MATCH(AE$1,'Tillförd energi'!$B$1:$AQ$1,0),FALSE)</f>
        <v>0</v>
      </c>
      <c r="AF178" s="121">
        <f>VLOOKUP($B178,'Tillförd energi'!$B$1:$AI$720,MATCH(AF$1,'Tillförd energi'!$B$1:$AQ$1,0),FALSE)</f>
        <v>3.7203900000000001</v>
      </c>
      <c r="AG178" s="121">
        <f>IFERROR(VLOOKUP(B178,Miljö!$B$1:$AC$550,MATCH("Köpt mängd produktionsspecifik fjärrvärme:",Miljö!$B$1:$AC$1,0),FALSE)/1,0)</f>
        <v>0</v>
      </c>
      <c r="AH178" s="121"/>
      <c r="AI178" s="121">
        <f t="shared" si="66"/>
        <v>137.23268000000002</v>
      </c>
      <c r="AJ178" s="121">
        <f t="shared" si="67"/>
        <v>137.23268000000002</v>
      </c>
      <c r="AK178" s="121">
        <f>IF(ISERROR(1/VLOOKUP($B178,Leveranser!$B$1:$S$499,MATCH("såld värme (gwh)",Leveranser!$B$1:$S$1,0),FALSE)),"",VLOOKUP($B178,Leveranser!$B$1:$S$499,MATCH("såld värme (gwh)",Leveranser!$B$1:$S$1,0),FALSE))</f>
        <v>93.07</v>
      </c>
      <c r="AL178" s="121">
        <f>VLOOKUP($B178,Leveranser!$B$1:$Y$499,MATCH("Totalt såld fjärrvärme till andra fjärrvärmeföretag",Leveranser!$B$1:$AA$1,0),FALSE)</f>
        <v>0</v>
      </c>
      <c r="AM178" s="121">
        <f>IF(ISERROR(1/VLOOKUP($B178,Miljö!$B$1:$S$500,MATCH("Såld mängd produktionsspecifik fjärrvärme (GWh)",Miljö!$B$1:$R$1,0),FALSE)),0,VLOOKUP($B178,Miljö!$B$1:$S$500,MATCH("Såld mängd produktionsspecifik fjärrvärme (GWh)",Miljö!$B$1:$R$1,0),FALSE))</f>
        <v>0</v>
      </c>
      <c r="AN178" s="172">
        <f t="shared" si="68"/>
        <v>0.67819122966920109</v>
      </c>
      <c r="AO178" s="121"/>
      <c r="AP178" s="121" t="str">
        <f>IFERROR(VLOOKUP($B178,Miljövärden!$B$2:$H$550,7,FALSE),"Nej, saknas")</f>
        <v>Ja</v>
      </c>
      <c r="AQ178" s="121" t="str">
        <f>IFERROR(VLOOKUP($B178,Miljövärden!$B$2:$H$550,6,FALSE),"Nej, saknas")</f>
        <v>Ja</v>
      </c>
      <c r="AU178">
        <f t="shared" si="69"/>
        <v>3.7203900000000001</v>
      </c>
      <c r="AV178">
        <f t="shared" si="70"/>
        <v>0</v>
      </c>
      <c r="AW178">
        <f t="shared" si="71"/>
        <v>110.18528999999999</v>
      </c>
      <c r="AX178">
        <f t="shared" si="72"/>
        <v>4.71</v>
      </c>
      <c r="AZ178">
        <f t="shared" si="73"/>
        <v>114.89528999999999</v>
      </c>
      <c r="BC178">
        <f t="shared" si="74"/>
        <v>0.82699999999999996</v>
      </c>
      <c r="BD178">
        <f t="shared" si="75"/>
        <v>0</v>
      </c>
      <c r="BE178">
        <f t="shared" si="76"/>
        <v>114.89528999999999</v>
      </c>
      <c r="BF178">
        <f t="shared" si="77"/>
        <v>17.79</v>
      </c>
      <c r="BG178">
        <f t="shared" si="78"/>
        <v>3.7203900000000001</v>
      </c>
      <c r="BH178">
        <f>VLOOKUP(B178,Miljö!$B$1:$BX$482,MATCH("Fossilandel för ursprungspecificerad el ()",Miljö!$B$1:$I$1,0),FALSE)</f>
        <v>0</v>
      </c>
      <c r="BI178">
        <f>VLOOKUP(B178,Miljö!$B$1:$BX$482,MATCH("Kärnkraftsandel för ursprungsspecificerad el ()",Miljö!$B$1:$O$1,0),FALSE)</f>
        <v>0</v>
      </c>
      <c r="BJ178">
        <f t="shared" si="79"/>
        <v>0</v>
      </c>
      <c r="BK178" t="str">
        <f>VLOOKUP(B178,Miljö!$B$1:$O$482,MATCH("Fossil andel i procent (%)",Miljö!$B$1:$O$1,0),FALSE)</f>
        <v>ET</v>
      </c>
      <c r="BL178">
        <f t="shared" si="80"/>
        <v>137.23267999999999</v>
      </c>
      <c r="BO178" s="18">
        <f t="shared" si="81"/>
        <v>6.026261383221548E-3</v>
      </c>
      <c r="BP178" s="18">
        <f t="shared" si="82"/>
        <v>0</v>
      </c>
      <c r="BQ178" s="18">
        <f t="shared" si="83"/>
        <v>0.86433989338399564</v>
      </c>
      <c r="BR178" s="18">
        <f t="shared" si="84"/>
        <v>0.12963384523278276</v>
      </c>
      <c r="BT178" s="27">
        <f t="shared" si="85"/>
        <v>1</v>
      </c>
      <c r="BW178" s="18">
        <f>IF(AP178="ja",VLOOKUP(B178,Miljövärden!$B$2:$H$550,MATCH("Total andel fossilt",Miljövärden!$B$2:$H$2,0),FALSE),"")</f>
        <v>6.0262500000000004E-3</v>
      </c>
      <c r="BZ178" s="28">
        <f t="shared" si="86"/>
        <v>-1.1383221547658917E-8</v>
      </c>
      <c r="CA178" s="28">
        <f t="shared" si="87"/>
        <v>0</v>
      </c>
    </row>
    <row r="179" spans="1:79" x14ac:dyDescent="0.25">
      <c r="A179" s="224" t="s">
        <v>444</v>
      </c>
      <c r="B179" s="210" t="s">
        <v>446</v>
      </c>
      <c r="C179" s="121">
        <f>VLOOKUP($B179,'Tillförd energi'!$B$1:$AI$720,MATCH(C$1,'Tillförd energi'!$B$1:$AQ$1,0),FALSE)</f>
        <v>0</v>
      </c>
      <c r="D179" s="121">
        <f>VLOOKUP($B179,'Tillförd energi'!$B$1:$AI$720,MATCH(D$1,'Tillförd energi'!$B$1:$AQ$1,0),FALSE)</f>
        <v>8.8999999999999999E-3</v>
      </c>
      <c r="E179" s="121">
        <f>VLOOKUP($B179,'Tillförd energi'!$B$1:$AI$720,MATCH(E$1,'Tillförd energi'!$B$1:$AQ$1,0),FALSE)</f>
        <v>0</v>
      </c>
      <c r="F179" s="121">
        <f>VLOOKUP($B179,'Tillförd energi'!$B$1:$AI$720,MATCH(F$1,'Tillförd energi'!$B$1:$AQ$1,0),FALSE)</f>
        <v>0</v>
      </c>
      <c r="G179" s="121">
        <f>VLOOKUP($B179,'Tillförd energi'!$B$1:$AI$720,MATCH(G$1,'Tillförd energi'!$B$1:$AQ$1,0),FALSE)</f>
        <v>0</v>
      </c>
      <c r="H179" s="121">
        <f>VLOOKUP($B179,'Tillförd energi'!$B$1:$AI$720,MATCH(H$1,'Tillförd energi'!$B$1:$AQ$1,0),FALSE)</f>
        <v>0</v>
      </c>
      <c r="I179" s="121">
        <f>VLOOKUP($B179,'Tillförd energi'!$B$1:$AI$720,MATCH(I$1,'Tillförd energi'!$B$1:$AQ$1,0),FALSE)</f>
        <v>0</v>
      </c>
      <c r="J179" s="121">
        <f>VLOOKUP($B179,'Tillförd energi'!$B$1:$AI$720,MATCH(J$1,'Tillförd energi'!$B$1:$AQ$1,0),FALSE)</f>
        <v>0</v>
      </c>
      <c r="K179" s="121">
        <f>VLOOKUP($B179,'Tillförd energi'!$B$1:$AI$720,MATCH(K$1,'Tillförd energi'!$B$1:$AQ$1,0),FALSE)</f>
        <v>0</v>
      </c>
      <c r="L179" s="121">
        <f>VLOOKUP($B179,'Tillförd energi'!$B$1:$AI$720,MATCH(L$1,'Tillförd energi'!$B$1:$AQ$1,0),FALSE)</f>
        <v>0</v>
      </c>
      <c r="M179" s="121">
        <f>VLOOKUP($B179,'Tillförd energi'!$B$1:$AI$720,MATCH(M$1,'Tillförd energi'!$B$1:$AQ$1,0),FALSE)</f>
        <v>0</v>
      </c>
      <c r="N179" s="121">
        <f>VLOOKUP($B179,'Tillförd energi'!$B$1:$AI$720,MATCH(N$1,'Tillförd energi'!$B$1:$AQ$1,0),FALSE)</f>
        <v>0</v>
      </c>
      <c r="O179" s="121">
        <f>VLOOKUP($B179,'Tillförd energi'!$B$1:$AI$720,MATCH(O$1,'Tillförd energi'!$B$1:$AQ$1,0),FALSE)</f>
        <v>0</v>
      </c>
      <c r="P179" s="121">
        <f>VLOOKUP($B179,'Tillförd energi'!$B$1:$AI$720,MATCH(P$1,'Tillförd energi'!$B$1:$AQ$1,0),FALSE)</f>
        <v>0</v>
      </c>
      <c r="Q179" s="121">
        <f>VLOOKUP($B179,'Tillförd energi'!$B$1:$AI$720,MATCH(Q$1,'Tillförd energi'!$B$1:$AQ$1,0),FALSE)</f>
        <v>0</v>
      </c>
      <c r="R179" s="121">
        <f>VLOOKUP($B179,'Tillförd energi'!$B$1:$AI$720,MATCH(R$1,'Tillförd energi'!$B$1:$AQ$1,0),FALSE)</f>
        <v>0</v>
      </c>
      <c r="S179" s="121">
        <f>VLOOKUP($B179,'Tillförd energi'!$B$1:$AI$720,MATCH(S$1,'Tillförd energi'!$B$1:$AQ$1,0),FALSE)</f>
        <v>1.5169999999999999</v>
      </c>
      <c r="T179" s="121">
        <f>VLOOKUP($B179,'Tillförd energi'!$B$1:$AI$720,MATCH(T$1,'Tillförd energi'!$B$1:$AQ$1,0),FALSE)</f>
        <v>0</v>
      </c>
      <c r="U179" s="121">
        <f>VLOOKUP($B179,'Tillförd energi'!$B$1:$AI$720,MATCH(U$1,'Tillförd energi'!$B$1:$AQ$1,0),FALSE)</f>
        <v>0</v>
      </c>
      <c r="V179" s="121">
        <f>VLOOKUP($B179,'Tillförd energi'!$B$1:$AI$720,MATCH(V$1,'Tillförd energi'!$B$1:$AQ$1,0),FALSE)</f>
        <v>0</v>
      </c>
      <c r="W179" s="121">
        <f>VLOOKUP($B179,'Tillförd energi'!$B$1:$AI$720,MATCH(W$1,'Tillförd energi'!$B$1:$AQ$1,0),FALSE)</f>
        <v>0</v>
      </c>
      <c r="X179" s="121">
        <f>VLOOKUP($B179,'Tillförd energi'!$B$1:$AI$720,MATCH(X$1,'Tillförd energi'!$B$1:$AQ$1,0),FALSE)</f>
        <v>0</v>
      </c>
      <c r="Y179" s="121">
        <f>VLOOKUP($B179,'Tillförd energi'!$B$1:$AI$720,MATCH(Y$1,'Tillförd energi'!$B$1:$AQ$1,0),FALSE)</f>
        <v>0</v>
      </c>
      <c r="Z179" s="121">
        <f>VLOOKUP($B179,'Tillförd energi'!$B$1:$AI$720,MATCH(Z$1,'Tillförd energi'!$B$1:$AQ$1,0),FALSE)</f>
        <v>0</v>
      </c>
      <c r="AA179" s="121">
        <f>VLOOKUP($B179,'Tillförd energi'!$B$1:$AI$720,MATCH(AA$1,'Tillförd energi'!$B$1:$AQ$1,0),FALSE)</f>
        <v>0</v>
      </c>
      <c r="AB179" s="121">
        <f>VLOOKUP($B179,'Tillförd energi'!$B$1:$AI$720,MATCH(AB$1,'Tillförd energi'!$B$1:$AQ$1,0),FALSE)</f>
        <v>0</v>
      </c>
      <c r="AC179" s="121">
        <f>VLOOKUP($B179,'Tillförd energi'!$B$1:$AI$720,MATCH(AC$1,'Tillförd energi'!$B$1:$AQ$1,0),FALSE)</f>
        <v>0</v>
      </c>
      <c r="AD179" s="121">
        <f>VLOOKUP($B179,'Tillförd energi'!$B$1:$AI$720,MATCH(AD$1,'Tillförd energi'!$B$1:$AQ$1,0),FALSE)</f>
        <v>0</v>
      </c>
      <c r="AE179" s="121">
        <f>VLOOKUP($B179,'Tillförd energi'!$B$1:$AI$720,MATCH(AE$1,'Tillförd energi'!$B$1:$AQ$1,0),FALSE)</f>
        <v>0</v>
      </c>
      <c r="AF179" s="121">
        <f>VLOOKUP($B179,'Tillförd energi'!$B$1:$AI$720,MATCH(AF$1,'Tillförd energi'!$B$1:$AQ$1,0),FALSE)</f>
        <v>0.04</v>
      </c>
      <c r="AG179" s="121">
        <f>IFERROR(VLOOKUP(B179,Miljö!$B$1:$AC$550,MATCH("Köpt mängd produktionsspecifik fjärrvärme:",Miljö!$B$1:$AC$1,0),FALSE)/1,0)</f>
        <v>0</v>
      </c>
      <c r="AH179" s="121"/>
      <c r="AI179" s="121">
        <f t="shared" si="66"/>
        <v>1.5658999999999998</v>
      </c>
      <c r="AJ179" s="121">
        <f t="shared" si="67"/>
        <v>1.5658999999999998</v>
      </c>
      <c r="AK179" s="121">
        <f>IF(ISERROR(1/VLOOKUP($B179,Leveranser!$B$1:$S$499,MATCH("såld värme (gwh)",Leveranser!$B$1:$S$1,0),FALSE)),"",VLOOKUP($B179,Leveranser!$B$1:$S$499,MATCH("såld värme (gwh)",Leveranser!$B$1:$S$1,0),FALSE))</f>
        <v>1.226</v>
      </c>
      <c r="AL179" s="121">
        <f>VLOOKUP($B179,Leveranser!$B$1:$Y$499,MATCH("Totalt såld fjärrvärme till andra fjärrvärmeföretag",Leveranser!$B$1:$AA$1,0),FALSE)</f>
        <v>0</v>
      </c>
      <c r="AM179" s="121">
        <f>IF(ISERROR(1/VLOOKUP($B179,Miljö!$B$1:$S$500,MATCH("Såld mängd produktionsspecifik fjärrvärme (GWh)",Miljö!$B$1:$R$1,0),FALSE)),0,VLOOKUP($B179,Miljö!$B$1:$S$500,MATCH("Såld mängd produktionsspecifik fjärrvärme (GWh)",Miljö!$B$1:$R$1,0),FALSE))</f>
        <v>0</v>
      </c>
      <c r="AN179" s="172">
        <f t="shared" si="68"/>
        <v>0.78293633054473477</v>
      </c>
      <c r="AO179" s="121"/>
      <c r="AP179" s="121" t="str">
        <f>IFERROR(VLOOKUP($B179,Miljövärden!$B$2:$H$550,7,FALSE),"Nej, saknas")</f>
        <v>Ja</v>
      </c>
      <c r="AQ179" s="121" t="str">
        <f>IFERROR(VLOOKUP($B179,Miljövärden!$B$2:$H$550,6,FALSE),"Nej, saknas")</f>
        <v>Ja</v>
      </c>
      <c r="AU179">
        <f t="shared" si="69"/>
        <v>0.04</v>
      </c>
      <c r="AV179">
        <f t="shared" si="70"/>
        <v>0</v>
      </c>
      <c r="AW179">
        <f t="shared" si="71"/>
        <v>0</v>
      </c>
      <c r="AX179">
        <f t="shared" si="72"/>
        <v>1.5169999999999999</v>
      </c>
      <c r="AZ179">
        <f t="shared" si="73"/>
        <v>1.5169999999999999</v>
      </c>
      <c r="BC179">
        <f t="shared" si="74"/>
        <v>8.8999999999999999E-3</v>
      </c>
      <c r="BD179">
        <f t="shared" si="75"/>
        <v>0</v>
      </c>
      <c r="BE179">
        <f t="shared" si="76"/>
        <v>1.5169999999999999</v>
      </c>
      <c r="BF179">
        <f t="shared" si="77"/>
        <v>0</v>
      </c>
      <c r="BG179">
        <f t="shared" si="78"/>
        <v>0.04</v>
      </c>
      <c r="BH179">
        <f>VLOOKUP(B179,Miljö!$B$1:$BX$482,MATCH("Fossilandel för ursprungspecificerad el ()",Miljö!$B$1:$I$1,0),FALSE)</f>
        <v>0</v>
      </c>
      <c r="BI179">
        <f>VLOOKUP(B179,Miljö!$B$1:$BX$482,MATCH("Kärnkraftsandel för ursprungsspecificerad el ()",Miljö!$B$1:$O$1,0),FALSE)</f>
        <v>0</v>
      </c>
      <c r="BJ179">
        <f t="shared" si="79"/>
        <v>0</v>
      </c>
      <c r="BK179" t="str">
        <f>VLOOKUP(B179,Miljö!$B$1:$O$482,MATCH("Fossil andel i procent (%)",Miljö!$B$1:$O$1,0),FALSE)</f>
        <v>ET</v>
      </c>
      <c r="BL179">
        <f t="shared" si="80"/>
        <v>1.5658999999999998</v>
      </c>
      <c r="BO179" s="18">
        <f t="shared" si="81"/>
        <v>5.6836324158630828E-3</v>
      </c>
      <c r="BP179" s="18">
        <f t="shared" si="82"/>
        <v>0</v>
      </c>
      <c r="BQ179" s="18">
        <f t="shared" si="83"/>
        <v>0.994316367584137</v>
      </c>
      <c r="BR179" s="18">
        <f t="shared" si="84"/>
        <v>0</v>
      </c>
      <c r="BT179" s="27">
        <f t="shared" si="85"/>
        <v>1</v>
      </c>
      <c r="BW179" s="18">
        <f>IF(AP179="ja",VLOOKUP(B179,Miljövärden!$B$2:$H$550,MATCH("Total andel fossilt",Miljövärden!$B$2:$H$2,0),FALSE),"")</f>
        <v>5.6836300000000003E-3</v>
      </c>
      <c r="BZ179" s="28">
        <f t="shared" si="86"/>
        <v>-2.4158630824999694E-9</v>
      </c>
      <c r="CA179" s="28">
        <f t="shared" si="87"/>
        <v>0</v>
      </c>
    </row>
    <row r="180" spans="1:79" x14ac:dyDescent="0.25">
      <c r="A180" s="224" t="s">
        <v>447</v>
      </c>
      <c r="B180" s="210" t="s">
        <v>448</v>
      </c>
      <c r="C180" s="121">
        <f>VLOOKUP($B180,'Tillförd energi'!$B$1:$AI$720,MATCH(C$1,'Tillförd energi'!$B$1:$AQ$1,0),FALSE)</f>
        <v>0</v>
      </c>
      <c r="D180" s="121">
        <f>VLOOKUP($B180,'Tillförd energi'!$B$1:$AI$720,MATCH(D$1,'Tillförd energi'!$B$1:$AQ$1,0),FALSE)</f>
        <v>0.79581999999999997</v>
      </c>
      <c r="E180" s="121">
        <f>VLOOKUP($B180,'Tillförd energi'!$B$1:$AI$720,MATCH(E$1,'Tillförd energi'!$B$1:$AQ$1,0),FALSE)</f>
        <v>0</v>
      </c>
      <c r="F180" s="121">
        <f>VLOOKUP($B180,'Tillförd energi'!$B$1:$AI$720,MATCH(F$1,'Tillförd energi'!$B$1:$AQ$1,0),FALSE)</f>
        <v>0</v>
      </c>
      <c r="G180" s="121">
        <f>VLOOKUP($B180,'Tillförd energi'!$B$1:$AI$720,MATCH(G$1,'Tillförd energi'!$B$1:$AQ$1,0),FALSE)</f>
        <v>0</v>
      </c>
      <c r="H180" s="121">
        <f>VLOOKUP($B180,'Tillförd energi'!$B$1:$AI$720,MATCH(H$1,'Tillförd energi'!$B$1:$AQ$1,0),FALSE)</f>
        <v>0</v>
      </c>
      <c r="I180" s="121">
        <f>VLOOKUP($B180,'Tillförd energi'!$B$1:$AI$720,MATCH(I$1,'Tillförd energi'!$B$1:$AQ$1,0),FALSE)</f>
        <v>0</v>
      </c>
      <c r="J180" s="121">
        <f>VLOOKUP($B180,'Tillförd energi'!$B$1:$AI$720,MATCH(J$1,'Tillförd energi'!$B$1:$AQ$1,0),FALSE)</f>
        <v>0</v>
      </c>
      <c r="K180" s="121">
        <f>VLOOKUP($B180,'Tillförd energi'!$B$1:$AI$720,MATCH(K$1,'Tillförd energi'!$B$1:$AQ$1,0),FALSE)</f>
        <v>0</v>
      </c>
      <c r="L180" s="121">
        <f>VLOOKUP($B180,'Tillförd energi'!$B$1:$AI$720,MATCH(L$1,'Tillförd energi'!$B$1:$AQ$1,0),FALSE)</f>
        <v>0</v>
      </c>
      <c r="M180" s="121">
        <f>VLOOKUP($B180,'Tillförd energi'!$B$1:$AI$720,MATCH(M$1,'Tillförd energi'!$B$1:$AQ$1,0),FALSE)</f>
        <v>5.3</v>
      </c>
      <c r="N180" s="121">
        <f>VLOOKUP($B180,'Tillförd energi'!$B$1:$AI$720,MATCH(N$1,'Tillförd energi'!$B$1:$AQ$1,0),FALSE)</f>
        <v>102.167</v>
      </c>
      <c r="O180" s="121">
        <f>VLOOKUP($B180,'Tillförd energi'!$B$1:$AI$720,MATCH(O$1,'Tillförd energi'!$B$1:$AQ$1,0),FALSE)</f>
        <v>5.3</v>
      </c>
      <c r="P180" s="121">
        <f>VLOOKUP($B180,'Tillförd energi'!$B$1:$AI$720,MATCH(P$1,'Tillförd energi'!$B$1:$AQ$1,0),FALSE)</f>
        <v>16.1493</v>
      </c>
      <c r="Q180" s="121">
        <f>VLOOKUP($B180,'Tillförd energi'!$B$1:$AI$720,MATCH(Q$1,'Tillförd energi'!$B$1:$AQ$1,0),FALSE)</f>
        <v>9.4117599999999992</v>
      </c>
      <c r="R180" s="121">
        <f>VLOOKUP($B180,'Tillförd energi'!$B$1:$AI$720,MATCH(R$1,'Tillförd energi'!$B$1:$AQ$1,0),FALSE)</f>
        <v>0</v>
      </c>
      <c r="S180" s="121">
        <f>VLOOKUP($B180,'Tillförd energi'!$B$1:$AI$720,MATCH(S$1,'Tillförd energi'!$B$1:$AQ$1,0),FALSE)</f>
        <v>0</v>
      </c>
      <c r="T180" s="121">
        <f>VLOOKUP($B180,'Tillförd energi'!$B$1:$AI$720,MATCH(T$1,'Tillförd energi'!$B$1:$AQ$1,0),FALSE)</f>
        <v>0</v>
      </c>
      <c r="U180" s="121">
        <f>VLOOKUP($B180,'Tillförd energi'!$B$1:$AI$720,MATCH(U$1,'Tillförd energi'!$B$1:$AQ$1,0),FALSE)</f>
        <v>0</v>
      </c>
      <c r="V180" s="121">
        <f>VLOOKUP($B180,'Tillförd energi'!$B$1:$AI$720,MATCH(V$1,'Tillförd energi'!$B$1:$AQ$1,0),FALSE)</f>
        <v>0</v>
      </c>
      <c r="W180" s="121">
        <f>VLOOKUP($B180,'Tillförd energi'!$B$1:$AI$720,MATCH(W$1,'Tillförd energi'!$B$1:$AQ$1,0),FALSE)</f>
        <v>0</v>
      </c>
      <c r="X180" s="121">
        <f>VLOOKUP($B180,'Tillförd energi'!$B$1:$AI$720,MATCH(X$1,'Tillförd energi'!$B$1:$AQ$1,0),FALSE)</f>
        <v>0</v>
      </c>
      <c r="Y180" s="121">
        <f>VLOOKUP($B180,'Tillförd energi'!$B$1:$AI$720,MATCH(Y$1,'Tillförd energi'!$B$1:$AQ$1,0),FALSE)</f>
        <v>0</v>
      </c>
      <c r="Z180" s="121">
        <f>VLOOKUP($B180,'Tillförd energi'!$B$1:$AI$720,MATCH(Z$1,'Tillförd energi'!$B$1:$AQ$1,0),FALSE)</f>
        <v>0</v>
      </c>
      <c r="AA180" s="121">
        <f>VLOOKUP($B180,'Tillförd energi'!$B$1:$AI$720,MATCH(AA$1,'Tillförd energi'!$B$1:$AQ$1,0),FALSE)</f>
        <v>0</v>
      </c>
      <c r="AB180" s="121">
        <f>VLOOKUP($B180,'Tillförd energi'!$B$1:$AI$720,MATCH(AB$1,'Tillförd energi'!$B$1:$AQ$1,0),FALSE)</f>
        <v>0</v>
      </c>
      <c r="AC180" s="121">
        <f>VLOOKUP($B180,'Tillförd energi'!$B$1:$AI$720,MATCH(AC$1,'Tillförd energi'!$B$1:$AQ$1,0),FALSE)</f>
        <v>0</v>
      </c>
      <c r="AD180" s="121">
        <f>VLOOKUP($B180,'Tillförd energi'!$B$1:$AI$720,MATCH(AD$1,'Tillförd energi'!$B$1:$AQ$1,0),FALSE)</f>
        <v>0</v>
      </c>
      <c r="AE180" s="121">
        <f>VLOOKUP($B180,'Tillförd energi'!$B$1:$AI$720,MATCH(AE$1,'Tillförd energi'!$B$1:$AQ$1,0),FALSE)</f>
        <v>0</v>
      </c>
      <c r="AF180" s="121">
        <f>VLOOKUP($B180,'Tillförd energi'!$B$1:$AI$720,MATCH(AF$1,'Tillförd energi'!$B$1:$AQ$1,0),FALSE)</f>
        <v>5.0341699999999996</v>
      </c>
      <c r="AG180" s="121">
        <f>IFERROR(VLOOKUP(B180,Miljö!$B$1:$AC$550,MATCH("Köpt mängd produktionsspecifik fjärrvärme:",Miljö!$B$1:$AC$1,0),FALSE)/1,0)</f>
        <v>68.900000000000006</v>
      </c>
      <c r="AH180" s="121"/>
      <c r="AI180" s="121">
        <f t="shared" si="66"/>
        <v>144.15804999999997</v>
      </c>
      <c r="AJ180" s="121">
        <f t="shared" si="67"/>
        <v>213.05804999999998</v>
      </c>
      <c r="AK180" s="121">
        <f>IF(ISERROR(1/VLOOKUP($B180,Leveranser!$B$1:$S$499,MATCH("såld värme (gwh)",Leveranser!$B$1:$S$1,0),FALSE)),"",VLOOKUP($B180,Leveranser!$B$1:$S$499,MATCH("såld värme (gwh)",Leveranser!$B$1:$S$1,0),FALSE))</f>
        <v>176.1</v>
      </c>
      <c r="AL180" s="121">
        <f>VLOOKUP($B180,Leveranser!$B$1:$Y$499,MATCH("Totalt såld fjärrvärme till andra fjärrvärmeföretag",Leveranser!$B$1:$AA$1,0),FALSE)</f>
        <v>0.22</v>
      </c>
      <c r="AM180" s="121">
        <f>IF(ISERROR(1/VLOOKUP($B180,Miljö!$B$1:$S$500,MATCH("Såld mängd produktionsspecifik fjärrvärme (GWh)",Miljö!$B$1:$R$1,0),FALSE)),0,VLOOKUP($B180,Miljö!$B$1:$S$500,MATCH("Såld mängd produktionsspecifik fjärrvärme (GWh)",Miljö!$B$1:$R$1,0),FALSE))</f>
        <v>0</v>
      </c>
      <c r="AN180" s="172">
        <f t="shared" si="68"/>
        <v>0.82653530340674763</v>
      </c>
      <c r="AO180" s="121"/>
      <c r="AP180" s="121" t="str">
        <f>IFERROR(VLOOKUP($B180,Miljövärden!$B$2:$H$550,7,FALSE),"Nej, saknas")</f>
        <v>Ja</v>
      </c>
      <c r="AQ180" s="121" t="str">
        <f>IFERROR(VLOOKUP($B180,Miljövärden!$B$2:$H$550,6,FALSE),"Nej, saknas")</f>
        <v>Ja</v>
      </c>
      <c r="AU180">
        <f t="shared" si="69"/>
        <v>5.0341699999999996</v>
      </c>
      <c r="AV180">
        <f t="shared" si="70"/>
        <v>0</v>
      </c>
      <c r="AW180">
        <f t="shared" si="71"/>
        <v>138.32805999999999</v>
      </c>
      <c r="AX180">
        <f t="shared" si="72"/>
        <v>0</v>
      </c>
      <c r="AZ180">
        <f t="shared" si="73"/>
        <v>138.32805999999999</v>
      </c>
      <c r="BC180">
        <f t="shared" si="74"/>
        <v>0.79581999999999997</v>
      </c>
      <c r="BD180">
        <f t="shared" si="75"/>
        <v>0</v>
      </c>
      <c r="BE180">
        <f t="shared" si="76"/>
        <v>138.32805999999999</v>
      </c>
      <c r="BF180">
        <f t="shared" si="77"/>
        <v>0</v>
      </c>
      <c r="BG180">
        <f t="shared" si="78"/>
        <v>5.0341699999999996</v>
      </c>
      <c r="BH180">
        <f>VLOOKUP(B180,Miljö!$B$1:$BX$482,MATCH("Fossilandel för ursprungspecificerad el ()",Miljö!$B$1:$I$1,0),FALSE)</f>
        <v>0.08</v>
      </c>
      <c r="BI180">
        <f>VLOOKUP(B180,Miljö!$B$1:$BX$482,MATCH("Kärnkraftsandel för ursprungsspecificerad el ()",Miljö!$B$1:$O$1,0),FALSE)</f>
        <v>0.08</v>
      </c>
      <c r="BJ180">
        <f t="shared" si="79"/>
        <v>68.900000000000006</v>
      </c>
      <c r="BK180">
        <f>VLOOKUP(B180,Miljö!$B$1:$O$482,MATCH("Fossil andel i procent (%)",Miljö!$B$1:$O$1,0),FALSE)</f>
        <v>4.3</v>
      </c>
      <c r="BL180">
        <f t="shared" si="80"/>
        <v>213.05804999999998</v>
      </c>
      <c r="BO180" s="18">
        <f t="shared" si="81"/>
        <v>1.9531078971200575E-2</v>
      </c>
      <c r="BP180" s="18">
        <f t="shared" si="82"/>
        <v>0.31137069732873279</v>
      </c>
      <c r="BQ180" s="18">
        <f t="shared" si="83"/>
        <v>0.66909822370006677</v>
      </c>
      <c r="BR180" s="18">
        <f t="shared" si="84"/>
        <v>0</v>
      </c>
      <c r="BT180" s="27">
        <f t="shared" si="85"/>
        <v>1.0000000000000002</v>
      </c>
      <c r="BW180" s="18">
        <f>IF(AP180="ja",VLOOKUP(B180,Miljövärden!$B$2:$H$550,MATCH("Total andel fossilt",Miljövärden!$B$2:$H$2,0),FALSE),"")</f>
        <v>1.9531099999999999E-2</v>
      </c>
      <c r="BZ180" s="28">
        <f t="shared" si="86"/>
        <v>2.1028799424005484E-8</v>
      </c>
      <c r="CA180" s="28">
        <f t="shared" si="87"/>
        <v>0</v>
      </c>
    </row>
    <row r="181" spans="1:79" x14ac:dyDescent="0.25">
      <c r="A181" s="224" t="s">
        <v>449</v>
      </c>
      <c r="B181" s="210" t="s">
        <v>450</v>
      </c>
      <c r="C181" s="121">
        <f>VLOOKUP($B181,'Tillförd energi'!$B$1:$AI$720,MATCH(C$1,'Tillförd energi'!$B$1:$AQ$1,0),FALSE)</f>
        <v>0</v>
      </c>
      <c r="D181" s="121">
        <f>VLOOKUP($B181,'Tillförd energi'!$B$1:$AI$720,MATCH(D$1,'Tillförd energi'!$B$1:$AQ$1,0),FALSE)</f>
        <v>0</v>
      </c>
      <c r="E181" s="121">
        <f>VLOOKUP($B181,'Tillförd energi'!$B$1:$AI$720,MATCH(E$1,'Tillförd energi'!$B$1:$AQ$1,0),FALSE)</f>
        <v>0</v>
      </c>
      <c r="F181" s="121">
        <f>VLOOKUP($B181,'Tillförd energi'!$B$1:$AI$720,MATCH(F$1,'Tillförd energi'!$B$1:$AQ$1,0),FALSE)</f>
        <v>0</v>
      </c>
      <c r="G181" s="121">
        <f>VLOOKUP($B181,'Tillförd energi'!$B$1:$AI$720,MATCH(G$1,'Tillförd energi'!$B$1:$AQ$1,0),FALSE)</f>
        <v>0</v>
      </c>
      <c r="H181" s="121">
        <f>VLOOKUP($B181,'Tillförd energi'!$B$1:$AI$720,MATCH(H$1,'Tillförd energi'!$B$1:$AQ$1,0),FALSE)</f>
        <v>0</v>
      </c>
      <c r="I181" s="121">
        <f>VLOOKUP($B181,'Tillförd energi'!$B$1:$AI$720,MATCH(I$1,'Tillförd energi'!$B$1:$AQ$1,0),FALSE)</f>
        <v>0</v>
      </c>
      <c r="J181" s="121">
        <f>VLOOKUP($B181,'Tillförd energi'!$B$1:$AI$720,MATCH(J$1,'Tillförd energi'!$B$1:$AQ$1,0),FALSE)</f>
        <v>0</v>
      </c>
      <c r="K181" s="121">
        <f>VLOOKUP($B181,'Tillförd energi'!$B$1:$AI$720,MATCH(K$1,'Tillförd energi'!$B$1:$AQ$1,0),FALSE)</f>
        <v>0</v>
      </c>
      <c r="L181" s="121">
        <f>VLOOKUP($B181,'Tillförd energi'!$B$1:$AI$720,MATCH(L$1,'Tillförd energi'!$B$1:$AQ$1,0),FALSE)</f>
        <v>0</v>
      </c>
      <c r="M181" s="121">
        <f>VLOOKUP($B181,'Tillförd energi'!$B$1:$AI$720,MATCH(M$1,'Tillförd energi'!$B$1:$AQ$1,0),FALSE)</f>
        <v>0</v>
      </c>
      <c r="N181" s="121">
        <f>VLOOKUP($B181,'Tillförd energi'!$B$1:$AI$720,MATCH(N$1,'Tillförd energi'!$B$1:$AQ$1,0),FALSE)</f>
        <v>0</v>
      </c>
      <c r="O181" s="121">
        <f>VLOOKUP($B181,'Tillförd energi'!$B$1:$AI$720,MATCH(O$1,'Tillförd energi'!$B$1:$AQ$1,0),FALSE)</f>
        <v>0</v>
      </c>
      <c r="P181" s="121">
        <f>VLOOKUP($B181,'Tillförd energi'!$B$1:$AI$720,MATCH(P$1,'Tillförd energi'!$B$1:$AQ$1,0),FALSE)</f>
        <v>22.1</v>
      </c>
      <c r="Q181" s="121">
        <f>VLOOKUP($B181,'Tillförd energi'!$B$1:$AI$720,MATCH(Q$1,'Tillförd energi'!$B$1:$AQ$1,0),FALSE)</f>
        <v>0</v>
      </c>
      <c r="R181" s="121">
        <f>VLOOKUP($B181,'Tillförd energi'!$B$1:$AI$720,MATCH(R$1,'Tillförd energi'!$B$1:$AQ$1,0),FALSE)</f>
        <v>4.3</v>
      </c>
      <c r="S181" s="121">
        <f>VLOOKUP($B181,'Tillförd energi'!$B$1:$AI$720,MATCH(S$1,'Tillförd energi'!$B$1:$AQ$1,0),FALSE)</f>
        <v>0</v>
      </c>
      <c r="T181" s="121">
        <f>VLOOKUP($B181,'Tillförd energi'!$B$1:$AI$720,MATCH(T$1,'Tillförd energi'!$B$1:$AQ$1,0),FALSE)</f>
        <v>0</v>
      </c>
      <c r="U181" s="121">
        <f>VLOOKUP($B181,'Tillförd energi'!$B$1:$AI$720,MATCH(U$1,'Tillförd energi'!$B$1:$AQ$1,0),FALSE)</f>
        <v>0</v>
      </c>
      <c r="V181" s="121">
        <f>VLOOKUP($B181,'Tillförd energi'!$B$1:$AI$720,MATCH(V$1,'Tillförd energi'!$B$1:$AQ$1,0),FALSE)</f>
        <v>0</v>
      </c>
      <c r="W181" s="121">
        <f>VLOOKUP($B181,'Tillförd energi'!$B$1:$AI$720,MATCH(W$1,'Tillförd energi'!$B$1:$AQ$1,0),FALSE)</f>
        <v>0</v>
      </c>
      <c r="X181" s="121">
        <f>VLOOKUP($B181,'Tillförd energi'!$B$1:$AI$720,MATCH(X$1,'Tillförd energi'!$B$1:$AQ$1,0),FALSE)</f>
        <v>0</v>
      </c>
      <c r="Y181" s="121">
        <f>VLOOKUP($B181,'Tillförd energi'!$B$1:$AI$720,MATCH(Y$1,'Tillförd energi'!$B$1:$AQ$1,0),FALSE)</f>
        <v>0</v>
      </c>
      <c r="Z181" s="121">
        <f>VLOOKUP($B181,'Tillförd energi'!$B$1:$AI$720,MATCH(Z$1,'Tillförd energi'!$B$1:$AQ$1,0),FALSE)</f>
        <v>0</v>
      </c>
      <c r="AA181" s="121">
        <f>VLOOKUP($B181,'Tillförd energi'!$B$1:$AI$720,MATCH(AA$1,'Tillförd energi'!$B$1:$AQ$1,0),FALSE)</f>
        <v>0</v>
      </c>
      <c r="AB181" s="121">
        <f>VLOOKUP($B181,'Tillförd energi'!$B$1:$AI$720,MATCH(AB$1,'Tillförd energi'!$B$1:$AQ$1,0),FALSE)</f>
        <v>0</v>
      </c>
      <c r="AC181" s="121">
        <f>VLOOKUP($B181,'Tillförd energi'!$B$1:$AI$720,MATCH(AC$1,'Tillförd energi'!$B$1:$AQ$1,0),FALSE)</f>
        <v>0</v>
      </c>
      <c r="AD181" s="121">
        <f>VLOOKUP($B181,'Tillförd energi'!$B$1:$AI$720,MATCH(AD$1,'Tillförd energi'!$B$1:$AQ$1,0),FALSE)</f>
        <v>0</v>
      </c>
      <c r="AE181" s="121">
        <f>VLOOKUP($B181,'Tillförd energi'!$B$1:$AI$720,MATCH(AE$1,'Tillförd energi'!$B$1:$AQ$1,0),FALSE)</f>
        <v>0</v>
      </c>
      <c r="AF181" s="121">
        <f>VLOOKUP($B181,'Tillförd energi'!$B$1:$AI$720,MATCH(AF$1,'Tillförd energi'!$B$1:$AQ$1,0),FALSE)</f>
        <v>0.26</v>
      </c>
      <c r="AG181" s="121">
        <f>IFERROR(VLOOKUP(B181,Miljö!$B$1:$AC$550,MATCH("Köpt mängd produktionsspecifik fjärrvärme:",Miljö!$B$1:$AC$1,0),FALSE)/1,0)</f>
        <v>0</v>
      </c>
      <c r="AH181" s="121"/>
      <c r="AI181" s="121">
        <f t="shared" si="66"/>
        <v>26.660000000000004</v>
      </c>
      <c r="AJ181" s="121">
        <f t="shared" si="67"/>
        <v>26.660000000000004</v>
      </c>
      <c r="AK181" s="121">
        <f>IF(ISERROR(1/VLOOKUP($B181,Leveranser!$B$1:$S$499,MATCH("såld värme (gwh)",Leveranser!$B$1:$S$1,0),FALSE)),"",VLOOKUP($B181,Leveranser!$B$1:$S$499,MATCH("såld värme (gwh)",Leveranser!$B$1:$S$1,0),FALSE))</f>
        <v>17.8</v>
      </c>
      <c r="AL181" s="121">
        <f>VLOOKUP($B181,Leveranser!$B$1:$Y$499,MATCH("Totalt såld fjärrvärme till andra fjärrvärmeföretag",Leveranser!$B$1:$AA$1,0),FALSE)</f>
        <v>0</v>
      </c>
      <c r="AM181" s="121">
        <f>IF(ISERROR(1/VLOOKUP($B181,Miljö!$B$1:$S$500,MATCH("Såld mängd produktionsspecifik fjärrvärme (GWh)",Miljö!$B$1:$R$1,0),FALSE)),0,VLOOKUP($B181,Miljö!$B$1:$S$500,MATCH("Såld mängd produktionsspecifik fjärrvärme (GWh)",Miljö!$B$1:$R$1,0),FALSE))</f>
        <v>0</v>
      </c>
      <c r="AN181" s="172">
        <f t="shared" si="68"/>
        <v>0.66766691672918221</v>
      </c>
      <c r="AO181" s="121"/>
      <c r="AP181" s="121" t="str">
        <f>IFERROR(VLOOKUP($B181,Miljövärden!$B$2:$H$550,7,FALSE),"Nej, saknas")</f>
        <v>Ja</v>
      </c>
      <c r="AQ181" s="121" t="str">
        <f>IFERROR(VLOOKUP($B181,Miljövärden!$B$2:$H$550,6,FALSE),"Nej, saknas")</f>
        <v>Ja</v>
      </c>
      <c r="AU181">
        <f t="shared" si="69"/>
        <v>0.26</v>
      </c>
      <c r="AV181">
        <f t="shared" si="70"/>
        <v>0</v>
      </c>
      <c r="AW181">
        <f t="shared" si="71"/>
        <v>22.1</v>
      </c>
      <c r="AX181">
        <f t="shared" si="72"/>
        <v>4.3</v>
      </c>
      <c r="AZ181">
        <f t="shared" si="73"/>
        <v>26.400000000000002</v>
      </c>
      <c r="BC181">
        <f t="shared" si="74"/>
        <v>0</v>
      </c>
      <c r="BD181">
        <f t="shared" si="75"/>
        <v>0</v>
      </c>
      <c r="BE181">
        <f t="shared" si="76"/>
        <v>26.400000000000002</v>
      </c>
      <c r="BF181">
        <f t="shared" si="77"/>
        <v>0</v>
      </c>
      <c r="BG181">
        <f t="shared" si="78"/>
        <v>0.26</v>
      </c>
      <c r="BH181">
        <f>VLOOKUP(B181,Miljö!$B$1:$BX$482,MATCH("Fossilandel för ursprungspecificerad el ()",Miljö!$B$1:$I$1,0),FALSE)</f>
        <v>0.43</v>
      </c>
      <c r="BI181">
        <f>VLOOKUP(B181,Miljö!$B$1:$BX$482,MATCH("Kärnkraftsandel för ursprungsspecificerad el ()",Miljö!$B$1:$O$1,0),FALSE)</f>
        <v>0.40550000000000003</v>
      </c>
      <c r="BJ181">
        <f t="shared" si="79"/>
        <v>0</v>
      </c>
      <c r="BK181" t="str">
        <f>VLOOKUP(B181,Miljö!$B$1:$O$482,MATCH("Fossil andel i procent (%)",Miljö!$B$1:$O$1,0),FALSE)</f>
        <v>ET</v>
      </c>
      <c r="BL181">
        <f t="shared" si="80"/>
        <v>26.660000000000004</v>
      </c>
      <c r="BO181" s="18">
        <f t="shared" si="81"/>
        <v>4.1935483870967731E-3</v>
      </c>
      <c r="BP181" s="18">
        <f t="shared" si="82"/>
        <v>3.954613653413353E-3</v>
      </c>
      <c r="BQ181" s="18">
        <f t="shared" si="83"/>
        <v>0.99185183795948983</v>
      </c>
      <c r="BR181" s="18">
        <f t="shared" si="84"/>
        <v>0</v>
      </c>
      <c r="BT181" s="27">
        <f t="shared" si="85"/>
        <v>1</v>
      </c>
      <c r="BW181" s="18">
        <f>IF(AP181="ja",VLOOKUP(B181,Miljövärden!$B$2:$H$550,MATCH("Total andel fossilt",Miljövärden!$B$2:$H$2,0),FALSE),"")</f>
        <v>4.1935499999999999E-3</v>
      </c>
      <c r="BZ181" s="28">
        <f t="shared" si="86"/>
        <v>1.6129032267761523E-9</v>
      </c>
      <c r="CA181" s="28">
        <f t="shared" si="87"/>
        <v>0</v>
      </c>
    </row>
    <row r="182" spans="1:79" x14ac:dyDescent="0.25">
      <c r="A182" s="224" t="s">
        <v>451</v>
      </c>
      <c r="B182" s="210" t="s">
        <v>452</v>
      </c>
      <c r="C182" s="121">
        <f>VLOOKUP($B182,'Tillförd energi'!$B$1:$AI$720,MATCH(C$1,'Tillförd energi'!$B$1:$AQ$1,0),FALSE)</f>
        <v>0</v>
      </c>
      <c r="D182" s="121">
        <f>VLOOKUP($B182,'Tillförd energi'!$B$1:$AI$720,MATCH(D$1,'Tillförd energi'!$B$1:$AQ$1,0),FALSE)</f>
        <v>0</v>
      </c>
      <c r="E182" s="121">
        <f>VLOOKUP($B182,'Tillförd energi'!$B$1:$AI$720,MATCH(E$1,'Tillförd energi'!$B$1:$AQ$1,0),FALSE)</f>
        <v>0</v>
      </c>
      <c r="F182" s="121">
        <f>VLOOKUP($B182,'Tillförd energi'!$B$1:$AI$720,MATCH(F$1,'Tillförd energi'!$B$1:$AQ$1,0),FALSE)</f>
        <v>0</v>
      </c>
      <c r="G182" s="121">
        <f>VLOOKUP($B182,'Tillförd energi'!$B$1:$AI$720,MATCH(G$1,'Tillförd energi'!$B$1:$AQ$1,0),FALSE)</f>
        <v>0</v>
      </c>
      <c r="H182" s="121">
        <f>VLOOKUP($B182,'Tillförd energi'!$B$1:$AI$720,MATCH(H$1,'Tillförd energi'!$B$1:$AQ$1,0),FALSE)</f>
        <v>0</v>
      </c>
      <c r="I182" s="121">
        <f>VLOOKUP($B182,'Tillförd energi'!$B$1:$AI$720,MATCH(I$1,'Tillförd energi'!$B$1:$AQ$1,0),FALSE)</f>
        <v>0</v>
      </c>
      <c r="J182" s="121">
        <f>VLOOKUP($B182,'Tillförd energi'!$B$1:$AI$720,MATCH(J$1,'Tillförd energi'!$B$1:$AQ$1,0),FALSE)</f>
        <v>0</v>
      </c>
      <c r="K182" s="121">
        <f>VLOOKUP($B182,'Tillförd energi'!$B$1:$AI$720,MATCH(K$1,'Tillförd energi'!$B$1:$AQ$1,0),FALSE)</f>
        <v>0</v>
      </c>
      <c r="L182" s="121">
        <f>VLOOKUP($B182,'Tillförd energi'!$B$1:$AI$720,MATCH(L$1,'Tillförd energi'!$B$1:$AQ$1,0),FALSE)</f>
        <v>0</v>
      </c>
      <c r="M182" s="121">
        <f>VLOOKUP($B182,'Tillförd energi'!$B$1:$AI$720,MATCH(M$1,'Tillförd energi'!$B$1:$AQ$1,0),FALSE)</f>
        <v>0</v>
      </c>
      <c r="N182" s="121">
        <f>VLOOKUP($B182,'Tillförd energi'!$B$1:$AI$720,MATCH(N$1,'Tillförd energi'!$B$1:$AQ$1,0),FALSE)</f>
        <v>0</v>
      </c>
      <c r="O182" s="121">
        <f>VLOOKUP($B182,'Tillförd energi'!$B$1:$AI$720,MATCH(O$1,'Tillförd energi'!$B$1:$AQ$1,0),FALSE)</f>
        <v>0</v>
      </c>
      <c r="P182" s="121">
        <f>VLOOKUP($B182,'Tillförd energi'!$B$1:$AI$720,MATCH(P$1,'Tillförd energi'!$B$1:$AQ$1,0),FALSE)</f>
        <v>0</v>
      </c>
      <c r="Q182" s="121">
        <f>VLOOKUP($B182,'Tillförd energi'!$B$1:$AI$720,MATCH(Q$1,'Tillförd energi'!$B$1:$AQ$1,0),FALSE)</f>
        <v>0</v>
      </c>
      <c r="R182" s="121">
        <f>VLOOKUP($B182,'Tillförd energi'!$B$1:$AI$720,MATCH(R$1,'Tillförd energi'!$B$1:$AQ$1,0),FALSE)</f>
        <v>0</v>
      </c>
      <c r="S182" s="121">
        <f>VLOOKUP($B182,'Tillförd energi'!$B$1:$AI$720,MATCH(S$1,'Tillförd energi'!$B$1:$AQ$1,0),FALSE)</f>
        <v>0</v>
      </c>
      <c r="T182" s="121">
        <f>VLOOKUP($B182,'Tillförd energi'!$B$1:$AI$720,MATCH(T$1,'Tillförd energi'!$B$1:$AQ$1,0),FALSE)</f>
        <v>0</v>
      </c>
      <c r="U182" s="121">
        <f>VLOOKUP($B182,'Tillförd energi'!$B$1:$AI$720,MATCH(U$1,'Tillförd energi'!$B$1:$AQ$1,0),FALSE)</f>
        <v>0</v>
      </c>
      <c r="V182" s="121">
        <f>VLOOKUP($B182,'Tillförd energi'!$B$1:$AI$720,MATCH(V$1,'Tillförd energi'!$B$1:$AQ$1,0),FALSE)</f>
        <v>0</v>
      </c>
      <c r="W182" s="121">
        <f>VLOOKUP($B182,'Tillförd energi'!$B$1:$AI$720,MATCH(W$1,'Tillförd energi'!$B$1:$AQ$1,0),FALSE)</f>
        <v>0</v>
      </c>
      <c r="X182" s="121">
        <f>VLOOKUP($B182,'Tillförd energi'!$B$1:$AI$720,MATCH(X$1,'Tillförd energi'!$B$1:$AQ$1,0),FALSE)</f>
        <v>0</v>
      </c>
      <c r="Y182" s="121">
        <f>VLOOKUP($B182,'Tillförd energi'!$B$1:$AI$720,MATCH(Y$1,'Tillförd energi'!$B$1:$AQ$1,0),FALSE)</f>
        <v>0</v>
      </c>
      <c r="Z182" s="121">
        <f>VLOOKUP($B182,'Tillförd energi'!$B$1:$AI$720,MATCH(Z$1,'Tillförd energi'!$B$1:$AQ$1,0),FALSE)</f>
        <v>0</v>
      </c>
      <c r="AA182" s="121">
        <f>VLOOKUP($B182,'Tillförd energi'!$B$1:$AI$720,MATCH(AA$1,'Tillförd energi'!$B$1:$AQ$1,0),FALSE)</f>
        <v>0</v>
      </c>
      <c r="AB182" s="121">
        <f>VLOOKUP($B182,'Tillförd energi'!$B$1:$AI$720,MATCH(AB$1,'Tillförd energi'!$B$1:$AQ$1,0),FALSE)</f>
        <v>0</v>
      </c>
      <c r="AC182" s="121">
        <f>VLOOKUP($B182,'Tillförd energi'!$B$1:$AI$720,MATCH(AC$1,'Tillförd energi'!$B$1:$AQ$1,0),FALSE)</f>
        <v>0</v>
      </c>
      <c r="AD182" s="121">
        <f>VLOOKUP($B182,'Tillförd energi'!$B$1:$AI$720,MATCH(AD$1,'Tillförd energi'!$B$1:$AQ$1,0),FALSE)</f>
        <v>0</v>
      </c>
      <c r="AE182" s="121">
        <f>VLOOKUP($B182,'Tillförd energi'!$B$1:$AI$720,MATCH(AE$1,'Tillförd energi'!$B$1:$AQ$1,0),FALSE)</f>
        <v>0</v>
      </c>
      <c r="AF182" s="121">
        <f>VLOOKUP($B182,'Tillförd energi'!$B$1:$AI$720,MATCH(AF$1,'Tillförd energi'!$B$1:$AQ$1,0),FALSE)</f>
        <v>0</v>
      </c>
      <c r="AG182" s="121">
        <f>IFERROR(VLOOKUP(B182,Miljö!$B$1:$AC$550,MATCH("Köpt mängd produktionsspecifik fjärrvärme:",Miljö!$B$1:$AC$1,0),FALSE)/1,0)</f>
        <v>0</v>
      </c>
      <c r="AH182" s="121"/>
      <c r="AI182" s="121">
        <f t="shared" si="66"/>
        <v>0</v>
      </c>
      <c r="AJ182" s="121">
        <f t="shared" si="67"/>
        <v>0</v>
      </c>
      <c r="AK182" s="121" t="str">
        <f>IF(ISERROR(1/VLOOKUP($B182,Leveranser!$B$1:$S$499,MATCH("såld värme (gwh)",Leveranser!$B$1:$S$1,0),FALSE)),"",VLOOKUP($B182,Leveranser!$B$1:$S$499,MATCH("såld värme (gwh)",Leveranser!$B$1:$S$1,0),FALSE))</f>
        <v/>
      </c>
      <c r="AL182" s="121">
        <f>VLOOKUP($B182,Leveranser!$B$1:$Y$499,MATCH("Totalt såld fjärrvärme till andra fjärrvärmeföretag",Leveranser!$B$1:$AA$1,0),FALSE)</f>
        <v>0</v>
      </c>
      <c r="AM182" s="121">
        <f>IF(ISERROR(1/VLOOKUP($B182,Miljö!$B$1:$S$500,MATCH("Såld mängd produktionsspecifik fjärrvärme (GWh)",Miljö!$B$1:$R$1,0),FALSE)),0,VLOOKUP($B182,Miljö!$B$1:$S$500,MATCH("Såld mängd produktionsspecifik fjärrvärme (GWh)",Miljö!$B$1:$R$1,0),FALSE))</f>
        <v>0</v>
      </c>
      <c r="AN182" s="172" t="str">
        <f t="shared" si="68"/>
        <v/>
      </c>
      <c r="AO182" s="121"/>
      <c r="AP182" s="121" t="str">
        <f>IFERROR(VLOOKUP($B182,Miljövärden!$B$2:$H$550,7,FALSE),"Nej, saknas")</f>
        <v>Nej</v>
      </c>
      <c r="AQ182" s="121" t="str">
        <f>IFERROR(VLOOKUP($B182,Miljövärden!$B$2:$H$550,6,FALSE),"Nej, saknas")</f>
        <v>Nej</v>
      </c>
      <c r="AU182">
        <f t="shared" si="69"/>
        <v>0</v>
      </c>
      <c r="AV182">
        <f t="shared" si="70"/>
        <v>0</v>
      </c>
      <c r="AW182">
        <f t="shared" si="71"/>
        <v>0</v>
      </c>
      <c r="AX182">
        <f t="shared" si="72"/>
        <v>0</v>
      </c>
      <c r="AZ182">
        <f t="shared" si="73"/>
        <v>0</v>
      </c>
      <c r="BC182">
        <f t="shared" si="74"/>
        <v>0</v>
      </c>
      <c r="BD182">
        <f t="shared" si="75"/>
        <v>0</v>
      </c>
      <c r="BE182">
        <f t="shared" si="76"/>
        <v>0</v>
      </c>
      <c r="BF182">
        <f t="shared" si="77"/>
        <v>0</v>
      </c>
      <c r="BG182">
        <f t="shared" si="78"/>
        <v>0</v>
      </c>
      <c r="BH182" t="str">
        <f>VLOOKUP(B182,Miljö!$B$1:$BX$482,MATCH("Fossilandel för ursprungspecificerad el ()",Miljö!$B$1:$I$1,0),FALSE)</f>
        <v>-</v>
      </c>
      <c r="BI182" t="str">
        <f>VLOOKUP(B182,Miljö!$B$1:$BX$482,MATCH("Kärnkraftsandel för ursprungsspecificerad el ()",Miljö!$B$1:$O$1,0),FALSE)</f>
        <v>-</v>
      </c>
      <c r="BJ182">
        <f t="shared" si="79"/>
        <v>0</v>
      </c>
      <c r="BK182" t="str">
        <f>VLOOKUP(B182,Miljö!$B$1:$O$482,MATCH("Fossil andel i procent (%)",Miljö!$B$1:$O$1,0),FALSE)</f>
        <v>-</v>
      </c>
      <c r="BL182">
        <f t="shared" si="80"/>
        <v>0</v>
      </c>
      <c r="BO182" s="18" t="str">
        <f t="shared" si="81"/>
        <v/>
      </c>
      <c r="BP182" s="18" t="str">
        <f t="shared" si="82"/>
        <v/>
      </c>
      <c r="BQ182" s="18" t="str">
        <f t="shared" si="83"/>
        <v/>
      </c>
      <c r="BR182" s="18" t="str">
        <f t="shared" si="84"/>
        <v/>
      </c>
      <c r="BT182" s="27">
        <f t="shared" si="85"/>
        <v>0</v>
      </c>
      <c r="BW182" s="18" t="str">
        <f>IF(AP182="ja",VLOOKUP(B182,Miljövärden!$B$2:$H$550,MATCH("Total andel fossilt",Miljövärden!$B$2:$H$2,0),FALSE),"")</f>
        <v/>
      </c>
      <c r="BZ182" s="28" t="str">
        <f t="shared" si="86"/>
        <v/>
      </c>
      <c r="CA182" s="28" t="str">
        <f t="shared" si="87"/>
        <v/>
      </c>
    </row>
    <row r="183" spans="1:79" x14ac:dyDescent="0.25">
      <c r="A183" s="224" t="s">
        <v>453</v>
      </c>
      <c r="B183" s="210" t="s">
        <v>454</v>
      </c>
      <c r="C183" s="121">
        <f>VLOOKUP($B183,'Tillförd energi'!$B$1:$AI$720,MATCH(C$1,'Tillförd energi'!$B$1:$AQ$1,0),FALSE)</f>
        <v>0</v>
      </c>
      <c r="D183" s="121">
        <f>VLOOKUP($B183,'Tillförd energi'!$B$1:$AI$720,MATCH(D$1,'Tillförd energi'!$B$1:$AQ$1,0),FALSE)</f>
        <v>0.92</v>
      </c>
      <c r="E183" s="121">
        <f>VLOOKUP($B183,'Tillförd energi'!$B$1:$AI$720,MATCH(E$1,'Tillförd energi'!$B$1:$AQ$1,0),FALSE)</f>
        <v>0</v>
      </c>
      <c r="F183" s="121">
        <f>VLOOKUP($B183,'Tillförd energi'!$B$1:$AI$720,MATCH(F$1,'Tillförd energi'!$B$1:$AQ$1,0),FALSE)</f>
        <v>0</v>
      </c>
      <c r="G183" s="121">
        <f>VLOOKUP($B183,'Tillförd energi'!$B$1:$AI$720,MATCH(G$1,'Tillförd energi'!$B$1:$AQ$1,0),FALSE)</f>
        <v>0</v>
      </c>
      <c r="H183" s="121">
        <f>VLOOKUP($B183,'Tillförd energi'!$B$1:$AI$720,MATCH(H$1,'Tillförd energi'!$B$1:$AQ$1,0),FALSE)</f>
        <v>0</v>
      </c>
      <c r="I183" s="121">
        <f>VLOOKUP($B183,'Tillförd energi'!$B$1:$AI$720,MATCH(I$1,'Tillförd energi'!$B$1:$AQ$1,0),FALSE)</f>
        <v>0</v>
      </c>
      <c r="J183" s="121">
        <f>VLOOKUP($B183,'Tillförd energi'!$B$1:$AI$720,MATCH(J$1,'Tillförd energi'!$B$1:$AQ$1,0),FALSE)</f>
        <v>0</v>
      </c>
      <c r="K183" s="121">
        <f>VLOOKUP($B183,'Tillförd energi'!$B$1:$AI$720,MATCH(K$1,'Tillförd energi'!$B$1:$AQ$1,0),FALSE)</f>
        <v>0</v>
      </c>
      <c r="L183" s="121">
        <f>VLOOKUP($B183,'Tillförd energi'!$B$1:$AI$720,MATCH(L$1,'Tillförd energi'!$B$1:$AQ$1,0),FALSE)</f>
        <v>24.6</v>
      </c>
      <c r="M183" s="121">
        <f>VLOOKUP($B183,'Tillförd energi'!$B$1:$AI$720,MATCH(M$1,'Tillförd energi'!$B$1:$AQ$1,0),FALSE)</f>
        <v>0</v>
      </c>
      <c r="N183" s="121">
        <f>VLOOKUP($B183,'Tillförd energi'!$B$1:$AI$720,MATCH(N$1,'Tillförd energi'!$B$1:$AQ$1,0),FALSE)</f>
        <v>10.8</v>
      </c>
      <c r="O183" s="121">
        <f>VLOOKUP($B183,'Tillförd energi'!$B$1:$AI$720,MATCH(O$1,'Tillförd energi'!$B$1:$AQ$1,0),FALSE)</f>
        <v>0</v>
      </c>
      <c r="P183" s="121">
        <f>VLOOKUP($B183,'Tillförd energi'!$B$1:$AI$720,MATCH(P$1,'Tillförd energi'!$B$1:$AQ$1,0),FALSE)</f>
        <v>0</v>
      </c>
      <c r="Q183" s="121">
        <f>VLOOKUP($B183,'Tillförd energi'!$B$1:$AI$720,MATCH(Q$1,'Tillförd energi'!$B$1:$AQ$1,0),FALSE)</f>
        <v>0</v>
      </c>
      <c r="R183" s="121">
        <f>VLOOKUP($B183,'Tillförd energi'!$B$1:$AI$720,MATCH(R$1,'Tillförd energi'!$B$1:$AQ$1,0),FALSE)</f>
        <v>10.88</v>
      </c>
      <c r="S183" s="121">
        <f>VLOOKUP($B183,'Tillförd energi'!$B$1:$AI$720,MATCH(S$1,'Tillförd energi'!$B$1:$AQ$1,0),FALSE)</f>
        <v>0</v>
      </c>
      <c r="T183" s="121">
        <f>VLOOKUP($B183,'Tillförd energi'!$B$1:$AI$720,MATCH(T$1,'Tillförd energi'!$B$1:$AQ$1,0),FALSE)</f>
        <v>0</v>
      </c>
      <c r="U183" s="121">
        <f>VLOOKUP($B183,'Tillförd energi'!$B$1:$AI$720,MATCH(U$1,'Tillförd energi'!$B$1:$AQ$1,0),FALSE)</f>
        <v>0</v>
      </c>
      <c r="V183" s="121">
        <f>VLOOKUP($B183,'Tillförd energi'!$B$1:$AI$720,MATCH(V$1,'Tillförd energi'!$B$1:$AQ$1,0),FALSE)</f>
        <v>0</v>
      </c>
      <c r="W183" s="121">
        <f>VLOOKUP($B183,'Tillförd energi'!$B$1:$AI$720,MATCH(W$1,'Tillförd energi'!$B$1:$AQ$1,0),FALSE)</f>
        <v>0</v>
      </c>
      <c r="X183" s="121">
        <f>VLOOKUP($B183,'Tillförd energi'!$B$1:$AI$720,MATCH(X$1,'Tillförd energi'!$B$1:$AQ$1,0),FALSE)</f>
        <v>0</v>
      </c>
      <c r="Y183" s="121">
        <f>VLOOKUP($B183,'Tillförd energi'!$B$1:$AI$720,MATCH(Y$1,'Tillförd energi'!$B$1:$AQ$1,0),FALSE)</f>
        <v>0</v>
      </c>
      <c r="Z183" s="121">
        <f>VLOOKUP($B183,'Tillförd energi'!$B$1:$AI$720,MATCH(Z$1,'Tillförd energi'!$B$1:$AQ$1,0),FALSE)</f>
        <v>0</v>
      </c>
      <c r="AA183" s="121">
        <f>VLOOKUP($B183,'Tillförd energi'!$B$1:$AI$720,MATCH(AA$1,'Tillförd energi'!$B$1:$AQ$1,0),FALSE)</f>
        <v>0</v>
      </c>
      <c r="AB183" s="121">
        <f>VLOOKUP($B183,'Tillförd energi'!$B$1:$AI$720,MATCH(AB$1,'Tillförd energi'!$B$1:$AQ$1,0),FALSE)</f>
        <v>0</v>
      </c>
      <c r="AC183" s="121">
        <f>VLOOKUP($B183,'Tillförd energi'!$B$1:$AI$720,MATCH(AC$1,'Tillförd energi'!$B$1:$AQ$1,0),FALSE)</f>
        <v>3.7</v>
      </c>
      <c r="AD183" s="121">
        <f>VLOOKUP($B183,'Tillförd energi'!$B$1:$AI$720,MATCH(AD$1,'Tillförd energi'!$B$1:$AQ$1,0),FALSE)</f>
        <v>0</v>
      </c>
      <c r="AE183" s="121">
        <f>VLOOKUP($B183,'Tillförd energi'!$B$1:$AI$720,MATCH(AE$1,'Tillförd energi'!$B$1:$AQ$1,0),FALSE)</f>
        <v>0</v>
      </c>
      <c r="AF183" s="121">
        <f>VLOOKUP($B183,'Tillförd energi'!$B$1:$AI$720,MATCH(AF$1,'Tillförd energi'!$B$1:$AQ$1,0),FALSE)</f>
        <v>0.96299999999999997</v>
      </c>
      <c r="AG183" s="121">
        <f>IFERROR(VLOOKUP(B183,Miljö!$B$1:$AC$550,MATCH("Köpt mängd produktionsspecifik fjärrvärme:",Miljö!$B$1:$AC$1,0),FALSE)/1,0)</f>
        <v>0</v>
      </c>
      <c r="AH183" s="121"/>
      <c r="AI183" s="121">
        <f t="shared" si="66"/>
        <v>51.863000000000014</v>
      </c>
      <c r="AJ183" s="121">
        <f t="shared" si="67"/>
        <v>51.863000000000014</v>
      </c>
      <c r="AK183" s="121">
        <f>IF(ISERROR(1/VLOOKUP($B183,Leveranser!$B$1:$S$499,MATCH("såld värme (gwh)",Leveranser!$B$1:$S$1,0),FALSE)),"",VLOOKUP($B183,Leveranser!$B$1:$S$499,MATCH("såld värme (gwh)",Leveranser!$B$1:$S$1,0),FALSE))</f>
        <v>37.799999999999997</v>
      </c>
      <c r="AL183" s="121">
        <f>VLOOKUP($B183,Leveranser!$B$1:$Y$499,MATCH("Totalt såld fjärrvärme till andra fjärrvärmeföretag",Leveranser!$B$1:$AA$1,0),FALSE)</f>
        <v>0</v>
      </c>
      <c r="AM183" s="121">
        <f>IF(ISERROR(1/VLOOKUP($B183,Miljö!$B$1:$S$500,MATCH("Såld mängd produktionsspecifik fjärrvärme (GWh)",Miljö!$B$1:$R$1,0),FALSE)),0,VLOOKUP($B183,Miljö!$B$1:$S$500,MATCH("Såld mängd produktionsspecifik fjärrvärme (GWh)",Miljö!$B$1:$R$1,0),FALSE))</f>
        <v>0</v>
      </c>
      <c r="AN183" s="172">
        <f t="shared" si="68"/>
        <v>0.72884329869078124</v>
      </c>
      <c r="AO183" s="121"/>
      <c r="AP183" s="121" t="str">
        <f>IFERROR(VLOOKUP($B183,Miljövärden!$B$2:$H$550,7,FALSE),"Nej, saknas")</f>
        <v>Ja</v>
      </c>
      <c r="AQ183" s="121" t="str">
        <f>IFERROR(VLOOKUP($B183,Miljövärden!$B$2:$H$550,6,FALSE),"Nej, saknas")</f>
        <v>Ja</v>
      </c>
      <c r="AU183">
        <f t="shared" si="69"/>
        <v>0.96299999999999997</v>
      </c>
      <c r="AV183">
        <f t="shared" si="70"/>
        <v>0</v>
      </c>
      <c r="AW183">
        <f t="shared" si="71"/>
        <v>10.8</v>
      </c>
      <c r="AX183">
        <f t="shared" si="72"/>
        <v>10.88</v>
      </c>
      <c r="AZ183">
        <f t="shared" si="73"/>
        <v>46.280000000000008</v>
      </c>
      <c r="BC183">
        <f t="shared" si="74"/>
        <v>0.92</v>
      </c>
      <c r="BD183">
        <f t="shared" si="75"/>
        <v>0</v>
      </c>
      <c r="BE183">
        <f t="shared" si="76"/>
        <v>21.68</v>
      </c>
      <c r="BF183">
        <f t="shared" si="77"/>
        <v>28.3</v>
      </c>
      <c r="BG183">
        <f t="shared" si="78"/>
        <v>0.96299999999999997</v>
      </c>
      <c r="BH183">
        <f>VLOOKUP(B183,Miljö!$B$1:$BX$482,MATCH("Fossilandel för ursprungspecificerad el ()",Miljö!$B$1:$I$1,0),FALSE)</f>
        <v>0</v>
      </c>
      <c r="BI183">
        <f>VLOOKUP(B183,Miljö!$B$1:$BX$482,MATCH("Kärnkraftsandel för ursprungsspecificerad el ()",Miljö!$B$1:$O$1,0),FALSE)</f>
        <v>0</v>
      </c>
      <c r="BJ183">
        <f t="shared" si="79"/>
        <v>0</v>
      </c>
      <c r="BK183" t="str">
        <f>VLOOKUP(B183,Miljö!$B$1:$O$482,MATCH("Fossil andel i procent (%)",Miljö!$B$1:$O$1,0),FALSE)</f>
        <v>ET</v>
      </c>
      <c r="BL183">
        <f t="shared" si="80"/>
        <v>51.863000000000007</v>
      </c>
      <c r="BO183" s="18">
        <f t="shared" si="81"/>
        <v>1.7739043248558701E-2</v>
      </c>
      <c r="BP183" s="18">
        <f t="shared" si="82"/>
        <v>0</v>
      </c>
      <c r="BQ183" s="18">
        <f t="shared" si="83"/>
        <v>0.43659256117077683</v>
      </c>
      <c r="BR183" s="18">
        <f t="shared" si="84"/>
        <v>0.54566839558066438</v>
      </c>
      <c r="BT183" s="27">
        <f t="shared" si="85"/>
        <v>0.99999999999999989</v>
      </c>
      <c r="BW183" s="18">
        <f>IF(AP183="ja",VLOOKUP(B183,Miljövärden!$B$2:$H$550,MATCH("Total andel fossilt",Miljövärden!$B$2:$H$2,0),FALSE),"")</f>
        <v>1.7739000000000001E-2</v>
      </c>
      <c r="BZ183" s="28">
        <f t="shared" si="86"/>
        <v>-4.3248558699582329E-8</v>
      </c>
      <c r="CA183" s="28">
        <f t="shared" si="87"/>
        <v>0</v>
      </c>
    </row>
    <row r="184" spans="1:79" x14ac:dyDescent="0.25">
      <c r="A184" s="224" t="s">
        <v>453</v>
      </c>
      <c r="B184" s="210" t="s">
        <v>126</v>
      </c>
      <c r="C184" s="121">
        <f>VLOOKUP($B184,'Tillförd energi'!$B$1:$AI$720,MATCH(C$1,'Tillförd energi'!$B$1:$AQ$1,0),FALSE)</f>
        <v>0</v>
      </c>
      <c r="D184" s="121">
        <f>VLOOKUP($B184,'Tillförd energi'!$B$1:$AI$720,MATCH(D$1,'Tillförd energi'!$B$1:$AQ$1,0),FALSE)</f>
        <v>0</v>
      </c>
      <c r="E184" s="121">
        <f>VLOOKUP($B184,'Tillförd energi'!$B$1:$AI$720,MATCH(E$1,'Tillförd energi'!$B$1:$AQ$1,0),FALSE)</f>
        <v>0</v>
      </c>
      <c r="F184" s="121">
        <f>VLOOKUP($B184,'Tillförd energi'!$B$1:$AI$720,MATCH(F$1,'Tillförd energi'!$B$1:$AQ$1,0),FALSE)</f>
        <v>0</v>
      </c>
      <c r="G184" s="121">
        <f>VLOOKUP($B184,'Tillförd energi'!$B$1:$AI$720,MATCH(G$1,'Tillförd energi'!$B$1:$AQ$1,0),FALSE)</f>
        <v>0</v>
      </c>
      <c r="H184" s="121">
        <f>VLOOKUP($B184,'Tillförd energi'!$B$1:$AI$720,MATCH(H$1,'Tillförd energi'!$B$1:$AQ$1,0),FALSE)</f>
        <v>0</v>
      </c>
      <c r="I184" s="121">
        <f>VLOOKUP($B184,'Tillförd energi'!$B$1:$AI$720,MATCH(I$1,'Tillförd energi'!$B$1:$AQ$1,0),FALSE)</f>
        <v>0</v>
      </c>
      <c r="J184" s="121">
        <f>VLOOKUP($B184,'Tillförd energi'!$B$1:$AI$720,MATCH(J$1,'Tillförd energi'!$B$1:$AQ$1,0),FALSE)</f>
        <v>0</v>
      </c>
      <c r="K184" s="121">
        <f>VLOOKUP($B184,'Tillförd energi'!$B$1:$AI$720,MATCH(K$1,'Tillförd energi'!$B$1:$AQ$1,0),FALSE)</f>
        <v>0</v>
      </c>
      <c r="L184" s="121">
        <f>VLOOKUP($B184,'Tillförd energi'!$B$1:$AI$720,MATCH(L$1,'Tillförd energi'!$B$1:$AQ$1,0),FALSE)</f>
        <v>0</v>
      </c>
      <c r="M184" s="121">
        <f>VLOOKUP($B184,'Tillförd energi'!$B$1:$AI$720,MATCH(M$1,'Tillförd energi'!$B$1:$AQ$1,0),FALSE)</f>
        <v>0</v>
      </c>
      <c r="N184" s="121">
        <f>VLOOKUP($B184,'Tillförd energi'!$B$1:$AI$720,MATCH(N$1,'Tillförd energi'!$B$1:$AQ$1,0),FALSE)</f>
        <v>0</v>
      </c>
      <c r="O184" s="121">
        <f>VLOOKUP($B184,'Tillförd energi'!$B$1:$AI$720,MATCH(O$1,'Tillförd energi'!$B$1:$AQ$1,0),FALSE)</f>
        <v>0</v>
      </c>
      <c r="P184" s="121">
        <f>VLOOKUP($B184,'Tillförd energi'!$B$1:$AI$720,MATCH(P$1,'Tillförd energi'!$B$1:$AQ$1,0),FALSE)</f>
        <v>0</v>
      </c>
      <c r="Q184" s="121">
        <f>VLOOKUP($B184,'Tillförd energi'!$B$1:$AI$720,MATCH(Q$1,'Tillförd energi'!$B$1:$AQ$1,0),FALSE)</f>
        <v>0</v>
      </c>
      <c r="R184" s="121">
        <f>VLOOKUP($B184,'Tillförd energi'!$B$1:$AI$720,MATCH(R$1,'Tillförd energi'!$B$1:$AQ$1,0),FALSE)</f>
        <v>0</v>
      </c>
      <c r="S184" s="121">
        <f>VLOOKUP($B184,'Tillförd energi'!$B$1:$AI$720,MATCH(S$1,'Tillförd energi'!$B$1:$AQ$1,0),FALSE)</f>
        <v>0</v>
      </c>
      <c r="T184" s="121">
        <f>VLOOKUP($B184,'Tillförd energi'!$B$1:$AI$720,MATCH(T$1,'Tillförd energi'!$B$1:$AQ$1,0),FALSE)</f>
        <v>0</v>
      </c>
      <c r="U184" s="121">
        <f>VLOOKUP($B184,'Tillförd energi'!$B$1:$AI$720,MATCH(U$1,'Tillförd energi'!$B$1:$AQ$1,0),FALSE)</f>
        <v>0</v>
      </c>
      <c r="V184" s="121">
        <f>VLOOKUP($B184,'Tillförd energi'!$B$1:$AI$720,MATCH(V$1,'Tillförd energi'!$B$1:$AQ$1,0),FALSE)</f>
        <v>0</v>
      </c>
      <c r="W184" s="121">
        <f>VLOOKUP($B184,'Tillförd energi'!$B$1:$AI$720,MATCH(W$1,'Tillförd energi'!$B$1:$AQ$1,0),FALSE)</f>
        <v>0</v>
      </c>
      <c r="X184" s="121">
        <f>VLOOKUP($B184,'Tillförd energi'!$B$1:$AI$720,MATCH(X$1,'Tillförd energi'!$B$1:$AQ$1,0),FALSE)</f>
        <v>0</v>
      </c>
      <c r="Y184" s="121">
        <f>VLOOKUP($B184,'Tillförd energi'!$B$1:$AI$720,MATCH(Y$1,'Tillförd energi'!$B$1:$AQ$1,0),FALSE)</f>
        <v>0</v>
      </c>
      <c r="Z184" s="121">
        <f>VLOOKUP($B184,'Tillförd energi'!$B$1:$AI$720,MATCH(Z$1,'Tillförd energi'!$B$1:$AQ$1,0),FALSE)</f>
        <v>0</v>
      </c>
      <c r="AA184" s="121">
        <f>VLOOKUP($B184,'Tillförd energi'!$B$1:$AI$720,MATCH(AA$1,'Tillförd energi'!$B$1:$AQ$1,0),FALSE)</f>
        <v>0</v>
      </c>
      <c r="AB184" s="121">
        <f>VLOOKUP($B184,'Tillförd energi'!$B$1:$AI$720,MATCH(AB$1,'Tillförd energi'!$B$1:$AQ$1,0),FALSE)</f>
        <v>0</v>
      </c>
      <c r="AC184" s="121">
        <f>VLOOKUP($B184,'Tillförd energi'!$B$1:$AI$720,MATCH(AC$1,'Tillförd energi'!$B$1:$AQ$1,0),FALSE)</f>
        <v>0</v>
      </c>
      <c r="AD184" s="121">
        <f>VLOOKUP($B184,'Tillförd energi'!$B$1:$AI$720,MATCH(AD$1,'Tillförd energi'!$B$1:$AQ$1,0),FALSE)</f>
        <v>0</v>
      </c>
      <c r="AE184" s="121">
        <f>VLOOKUP($B184,'Tillförd energi'!$B$1:$AI$720,MATCH(AE$1,'Tillförd energi'!$B$1:$AQ$1,0),FALSE)</f>
        <v>0</v>
      </c>
      <c r="AF184" s="121">
        <f>VLOOKUP($B184,'Tillförd energi'!$B$1:$AI$720,MATCH(AF$1,'Tillförd energi'!$B$1:$AQ$1,0),FALSE)</f>
        <v>0</v>
      </c>
      <c r="AG184" s="121">
        <f>IFERROR(VLOOKUP(B184,Miljö!$B$1:$AC$550,MATCH("Köpt mängd produktionsspecifik fjärrvärme:",Miljö!$B$1:$AC$1,0),FALSE)/1,0)</f>
        <v>0</v>
      </c>
      <c r="AH184" s="121"/>
      <c r="AI184" s="121">
        <f t="shared" si="66"/>
        <v>0</v>
      </c>
      <c r="AJ184" s="121">
        <f t="shared" si="67"/>
        <v>0</v>
      </c>
      <c r="AK184" s="121" t="str">
        <f>IF(ISERROR(1/VLOOKUP($B184,Leveranser!$B$1:$S$499,MATCH("såld värme (gwh)",Leveranser!$B$1:$S$1,0),FALSE)),"",VLOOKUP($B184,Leveranser!$B$1:$S$499,MATCH("såld värme (gwh)",Leveranser!$B$1:$S$1,0),FALSE))</f>
        <v/>
      </c>
      <c r="AL184" s="121">
        <f>VLOOKUP($B184,Leveranser!$B$1:$Y$499,MATCH("Totalt såld fjärrvärme till andra fjärrvärmeföretag",Leveranser!$B$1:$AA$1,0),FALSE)</f>
        <v>0</v>
      </c>
      <c r="AM184" s="121">
        <f>IF(ISERROR(1/VLOOKUP($B184,Miljö!$B$1:$S$500,MATCH("Såld mängd produktionsspecifik fjärrvärme (GWh)",Miljö!$B$1:$R$1,0),FALSE)),0,VLOOKUP($B184,Miljö!$B$1:$S$500,MATCH("Såld mängd produktionsspecifik fjärrvärme (GWh)",Miljö!$B$1:$R$1,0),FALSE))</f>
        <v>0</v>
      </c>
      <c r="AN184" s="172" t="str">
        <f t="shared" si="68"/>
        <v/>
      </c>
      <c r="AO184" s="121"/>
      <c r="AP184" s="121" t="str">
        <f>IFERROR(VLOOKUP($B184,Miljövärden!$B$2:$H$550,7,FALSE),"Nej, saknas")</f>
        <v>Nej</v>
      </c>
      <c r="AQ184" s="121" t="str">
        <f>IFERROR(VLOOKUP($B184,Miljövärden!$B$2:$H$550,6,FALSE),"Nej, saknas")</f>
        <v>Ja</v>
      </c>
      <c r="AU184">
        <f t="shared" si="69"/>
        <v>0</v>
      </c>
      <c r="AV184">
        <f t="shared" si="70"/>
        <v>0</v>
      </c>
      <c r="AW184">
        <f t="shared" si="71"/>
        <v>0</v>
      </c>
      <c r="AX184">
        <f t="shared" si="72"/>
        <v>0</v>
      </c>
      <c r="AZ184">
        <f t="shared" si="73"/>
        <v>0</v>
      </c>
      <c r="BC184">
        <f t="shared" si="74"/>
        <v>0</v>
      </c>
      <c r="BD184">
        <f t="shared" si="75"/>
        <v>0</v>
      </c>
      <c r="BE184">
        <f t="shared" si="76"/>
        <v>0</v>
      </c>
      <c r="BF184">
        <f t="shared" si="77"/>
        <v>0</v>
      </c>
      <c r="BG184">
        <f t="shared" si="78"/>
        <v>0</v>
      </c>
      <c r="BH184">
        <f>VLOOKUP(B184,Miljö!$B$1:$BX$482,MATCH("Fossilandel för ursprungspecificerad el ()",Miljö!$B$1:$I$1,0),FALSE)</f>
        <v>0.43</v>
      </c>
      <c r="BI184">
        <f>VLOOKUP(B184,Miljö!$B$1:$BX$482,MATCH("Kärnkraftsandel för ursprungsspecificerad el ()",Miljö!$B$1:$O$1,0),FALSE)</f>
        <v>0.40550000000000003</v>
      </c>
      <c r="BJ184">
        <f t="shared" si="79"/>
        <v>0</v>
      </c>
      <c r="BK184" t="str">
        <f>VLOOKUP(B184,Miljö!$B$1:$O$482,MATCH("Fossil andel i procent (%)",Miljö!$B$1:$O$1,0),FALSE)</f>
        <v>ET</v>
      </c>
      <c r="BL184">
        <f t="shared" si="80"/>
        <v>0</v>
      </c>
      <c r="BO184" s="18" t="str">
        <f t="shared" si="81"/>
        <v/>
      </c>
      <c r="BP184" s="18" t="str">
        <f t="shared" si="82"/>
        <v/>
      </c>
      <c r="BQ184" s="18" t="str">
        <f t="shared" si="83"/>
        <v/>
      </c>
      <c r="BR184" s="18" t="str">
        <f t="shared" si="84"/>
        <v/>
      </c>
      <c r="BT184" s="27">
        <f t="shared" si="85"/>
        <v>0</v>
      </c>
      <c r="BW184" s="18" t="str">
        <f>IF(AP184="ja",VLOOKUP(B184,Miljövärden!$B$2:$H$550,MATCH("Total andel fossilt",Miljövärden!$B$2:$H$2,0),FALSE),"")</f>
        <v/>
      </c>
      <c r="BZ184" s="28" t="str">
        <f t="shared" si="86"/>
        <v/>
      </c>
      <c r="CA184" s="28" t="str">
        <f t="shared" si="87"/>
        <v/>
      </c>
    </row>
    <row r="185" spans="1:79" x14ac:dyDescent="0.25">
      <c r="A185" s="224" t="s">
        <v>453</v>
      </c>
      <c r="B185" s="210" t="s">
        <v>455</v>
      </c>
      <c r="C185" s="121">
        <f>VLOOKUP($B185,'Tillförd energi'!$B$1:$AI$720,MATCH(C$1,'Tillförd energi'!$B$1:$AQ$1,0),FALSE)</f>
        <v>100.21</v>
      </c>
      <c r="D185" s="121">
        <f>VLOOKUP($B185,'Tillförd energi'!$B$1:$AI$720,MATCH(D$1,'Tillförd energi'!$B$1:$AQ$1,0),FALSE)</f>
        <v>5.7148000000000003</v>
      </c>
      <c r="E185" s="121">
        <f>VLOOKUP($B185,'Tillförd energi'!$B$1:$AI$720,MATCH(E$1,'Tillförd energi'!$B$1:$AQ$1,0),FALSE)</f>
        <v>0</v>
      </c>
      <c r="F185" s="121">
        <f>VLOOKUP($B185,'Tillförd energi'!$B$1:$AI$720,MATCH(F$1,'Tillförd energi'!$B$1:$AQ$1,0),FALSE)</f>
        <v>2.66</v>
      </c>
      <c r="G185" s="121">
        <f>VLOOKUP($B185,'Tillförd energi'!$B$1:$AI$720,MATCH(G$1,'Tillförd energi'!$B$1:$AQ$1,0),FALSE)</f>
        <v>0</v>
      </c>
      <c r="H185" s="121">
        <f>VLOOKUP($B185,'Tillförd energi'!$B$1:$AI$720,MATCH(H$1,'Tillförd energi'!$B$1:$AQ$1,0),FALSE)</f>
        <v>0</v>
      </c>
      <c r="I185" s="121">
        <f>VLOOKUP($B185,'Tillförd energi'!$B$1:$AI$720,MATCH(I$1,'Tillförd energi'!$B$1:$AQ$1,0),FALSE)</f>
        <v>522.51</v>
      </c>
      <c r="J185" s="121">
        <f>VLOOKUP($B185,'Tillförd energi'!$B$1:$AI$720,MATCH(J$1,'Tillförd energi'!$B$1:$AQ$1,0),FALSE)</f>
        <v>2.57647</v>
      </c>
      <c r="K185" s="121">
        <f>VLOOKUP($B185,'Tillförd energi'!$B$1:$AI$720,MATCH(K$1,'Tillförd energi'!$B$1:$AQ$1,0),FALSE)</f>
        <v>0</v>
      </c>
      <c r="L185" s="121">
        <f>VLOOKUP($B185,'Tillförd energi'!$B$1:$AI$720,MATCH(L$1,'Tillförd energi'!$B$1:$AQ$1,0),FALSE)</f>
        <v>162.83000000000001</v>
      </c>
      <c r="M185" s="121">
        <f>VLOOKUP($B185,'Tillförd energi'!$B$1:$AI$720,MATCH(M$1,'Tillförd energi'!$B$1:$AQ$1,0),FALSE)</f>
        <v>57.048999999999999</v>
      </c>
      <c r="N185" s="121">
        <f>VLOOKUP($B185,'Tillförd energi'!$B$1:$AI$720,MATCH(N$1,'Tillförd energi'!$B$1:$AQ$1,0),FALSE)</f>
        <v>102.7</v>
      </c>
      <c r="O185" s="121">
        <f>VLOOKUP($B185,'Tillförd energi'!$B$1:$AI$720,MATCH(O$1,'Tillförd energi'!$B$1:$AQ$1,0),FALSE)</f>
        <v>102.8</v>
      </c>
      <c r="P185" s="121">
        <f>VLOOKUP($B185,'Tillförd energi'!$B$1:$AI$720,MATCH(P$1,'Tillförd energi'!$B$1:$AQ$1,0),FALSE)</f>
        <v>147.93</v>
      </c>
      <c r="Q185" s="121">
        <f>VLOOKUP($B185,'Tillförd energi'!$B$1:$AI$720,MATCH(Q$1,'Tillförd energi'!$B$1:$AQ$1,0),FALSE)</f>
        <v>0</v>
      </c>
      <c r="R185" s="121">
        <f>VLOOKUP($B185,'Tillförd energi'!$B$1:$AI$720,MATCH(R$1,'Tillförd energi'!$B$1:$AQ$1,0),FALSE)</f>
        <v>0</v>
      </c>
      <c r="S185" s="121">
        <f>VLOOKUP($B185,'Tillförd energi'!$B$1:$AI$720,MATCH(S$1,'Tillförd energi'!$B$1:$AQ$1,0),FALSE)</f>
        <v>0</v>
      </c>
      <c r="T185" s="121">
        <f>VLOOKUP($B185,'Tillförd energi'!$B$1:$AI$720,MATCH(T$1,'Tillförd energi'!$B$1:$AQ$1,0),FALSE)</f>
        <v>0</v>
      </c>
      <c r="U185" s="121">
        <f>VLOOKUP($B185,'Tillförd energi'!$B$1:$AI$720,MATCH(U$1,'Tillförd energi'!$B$1:$AQ$1,0),FALSE)</f>
        <v>0</v>
      </c>
      <c r="V185" s="121">
        <f>VLOOKUP($B185,'Tillförd energi'!$B$1:$AI$720,MATCH(V$1,'Tillförd energi'!$B$1:$AQ$1,0),FALSE)</f>
        <v>9.36</v>
      </c>
      <c r="W185" s="121">
        <f>VLOOKUP($B185,'Tillförd energi'!$B$1:$AI$720,MATCH(W$1,'Tillförd energi'!$B$1:$AQ$1,0),FALSE)</f>
        <v>0</v>
      </c>
      <c r="X185" s="121">
        <f>VLOOKUP($B185,'Tillförd energi'!$B$1:$AI$720,MATCH(X$1,'Tillförd energi'!$B$1:$AQ$1,0),FALSE)</f>
        <v>4.74979</v>
      </c>
      <c r="Y185" s="121">
        <f>VLOOKUP($B185,'Tillförd energi'!$B$1:$AI$720,MATCH(Y$1,'Tillförd energi'!$B$1:$AQ$1,0),FALSE)</f>
        <v>85.002799999999993</v>
      </c>
      <c r="Z185" s="121">
        <f>VLOOKUP($B185,'Tillförd energi'!$B$1:$AI$720,MATCH(Z$1,'Tillförd energi'!$B$1:$AQ$1,0),FALSE)</f>
        <v>7.0000000000000007E-2</v>
      </c>
      <c r="AA185" s="121">
        <f>VLOOKUP($B185,'Tillförd energi'!$B$1:$AI$720,MATCH(AA$1,'Tillförd energi'!$B$1:$AQ$1,0),FALSE)</f>
        <v>4.5199999999999996</v>
      </c>
      <c r="AB185" s="121">
        <f>VLOOKUP($B185,'Tillförd energi'!$B$1:$AI$720,MATCH(AB$1,'Tillförd energi'!$B$1:$AQ$1,0),FALSE)</f>
        <v>8.9499999999999993</v>
      </c>
      <c r="AC185" s="121">
        <f>VLOOKUP($B185,'Tillförd energi'!$B$1:$AI$720,MATCH(AC$1,'Tillförd energi'!$B$1:$AQ$1,0),FALSE)</f>
        <v>196.65</v>
      </c>
      <c r="AD185" s="121">
        <f>VLOOKUP($B185,'Tillförd energi'!$B$1:$AI$720,MATCH(AD$1,'Tillförd energi'!$B$1:$AQ$1,0),FALSE)</f>
        <v>0</v>
      </c>
      <c r="AE185" s="121">
        <f>VLOOKUP($B185,'Tillförd energi'!$B$1:$AI$720,MATCH(AE$1,'Tillförd energi'!$B$1:$AQ$1,0),FALSE)</f>
        <v>0</v>
      </c>
      <c r="AF185" s="121">
        <f>VLOOKUP($B185,'Tillförd energi'!$B$1:$AI$720,MATCH(AF$1,'Tillförd energi'!$B$1:$AQ$1,0),FALSE)</f>
        <v>60.205599999999997</v>
      </c>
      <c r="AG185" s="121">
        <f>IFERROR(VLOOKUP(B185,Miljö!$B$1:$AC$550,MATCH("Köpt mängd produktionsspecifik fjärrvärme:",Miljö!$B$1:$AC$1,0),FALSE)/1,0)</f>
        <v>0</v>
      </c>
      <c r="AH185" s="121"/>
      <c r="AI185" s="121">
        <f t="shared" si="66"/>
        <v>1576.48846</v>
      </c>
      <c r="AJ185" s="121">
        <f t="shared" si="67"/>
        <v>1576.48846</v>
      </c>
      <c r="AK185" s="121">
        <f>IF(ISERROR(1/VLOOKUP($B185,Leveranser!$B$1:$S$499,MATCH("såld värme (gwh)",Leveranser!$B$1:$S$1,0),FALSE)),"",VLOOKUP($B185,Leveranser!$B$1:$S$499,MATCH("såld värme (gwh)",Leveranser!$B$1:$S$1,0),FALSE))</f>
        <v>1419.33</v>
      </c>
      <c r="AL185" s="121">
        <f>VLOOKUP($B185,Leveranser!$B$1:$Y$499,MATCH("Totalt såld fjärrvärme till andra fjärrvärmeföretag",Leveranser!$B$1:$AA$1,0),FALSE)</f>
        <v>0</v>
      </c>
      <c r="AM185" s="121">
        <f>IF(ISERROR(1/VLOOKUP($B185,Miljö!$B$1:$S$500,MATCH("Såld mängd produktionsspecifik fjärrvärme (GWh)",Miljö!$B$1:$R$1,0),FALSE)),0,VLOOKUP($B185,Miljö!$B$1:$S$500,MATCH("Såld mängd produktionsspecifik fjärrvärme (GWh)",Miljö!$B$1:$R$1,0),FALSE))</f>
        <v>0</v>
      </c>
      <c r="AN185" s="172">
        <f t="shared" si="68"/>
        <v>0.90031106221989088</v>
      </c>
      <c r="AO185" s="121"/>
      <c r="AP185" s="121" t="str">
        <f>IFERROR(VLOOKUP($B185,Miljövärden!$B$2:$H$550,7,FALSE),"Nej, saknas")</f>
        <v>ja</v>
      </c>
      <c r="AQ185" s="121" t="str">
        <f>IFERROR(VLOOKUP($B185,Miljövärden!$B$2:$H$550,6,FALSE),"Nej, saknas")</f>
        <v>Ja</v>
      </c>
      <c r="AU185">
        <f t="shared" si="69"/>
        <v>64.795599999999993</v>
      </c>
      <c r="AV185">
        <f t="shared" si="70"/>
        <v>4.74979</v>
      </c>
      <c r="AW185">
        <f t="shared" si="71"/>
        <v>410.47899999999998</v>
      </c>
      <c r="AX185">
        <f t="shared" si="72"/>
        <v>0</v>
      </c>
      <c r="AZ185">
        <f t="shared" si="73"/>
        <v>587.41878999999994</v>
      </c>
      <c r="BC185">
        <f t="shared" si="74"/>
        <v>108.58479999999999</v>
      </c>
      <c r="BD185">
        <f t="shared" si="75"/>
        <v>85.002799999999993</v>
      </c>
      <c r="BE185">
        <f t="shared" si="76"/>
        <v>424.58879000000002</v>
      </c>
      <c r="BF185">
        <f t="shared" si="77"/>
        <v>893.51647000000003</v>
      </c>
      <c r="BG185">
        <f t="shared" si="78"/>
        <v>64.795599999999993</v>
      </c>
      <c r="BH185">
        <f>VLOOKUP(B185,Miljö!$B$1:$BX$482,MATCH("Fossilandel för ursprungspecificerad el ()",Miljö!$B$1:$I$1,0),FALSE)</f>
        <v>0.08</v>
      </c>
      <c r="BI185">
        <f>VLOOKUP(B185,Miljö!$B$1:$BX$482,MATCH("Kärnkraftsandel för ursprungsspecificerad el ()",Miljö!$B$1:$O$1,0),FALSE)</f>
        <v>0</v>
      </c>
      <c r="BJ185">
        <f t="shared" si="79"/>
        <v>0</v>
      </c>
      <c r="BK185" t="str">
        <f>VLOOKUP(B185,Miljö!$B$1:$O$482,MATCH("Fossil andel i procent (%)",Miljö!$B$1:$O$1,0),FALSE)</f>
        <v>ET</v>
      </c>
      <c r="BL185">
        <f t="shared" si="80"/>
        <v>1576.48846</v>
      </c>
      <c r="BO185" s="18">
        <f t="shared" si="81"/>
        <v>7.2165734724122244E-2</v>
      </c>
      <c r="BP185" s="18">
        <f t="shared" si="82"/>
        <v>5.391907530994549E-2</v>
      </c>
      <c r="BQ185" s="18">
        <f t="shared" si="83"/>
        <v>0.30713877981701176</v>
      </c>
      <c r="BR185" s="18">
        <f t="shared" si="84"/>
        <v>0.56677641014892044</v>
      </c>
      <c r="BT185" s="27">
        <f t="shared" si="85"/>
        <v>1</v>
      </c>
      <c r="BW185" s="18">
        <f>IF(AP185="ja",VLOOKUP(B185,Miljövärden!$B$2:$H$550,MATCH("Total andel fossilt",Miljövärden!$B$2:$H$2,0),FALSE),"")</f>
        <v>7.2165400000000005E-2</v>
      </c>
      <c r="BZ185" s="28">
        <f t="shared" si="86"/>
        <v>-3.3472412223900516E-7</v>
      </c>
      <c r="CA185" s="28">
        <f t="shared" si="87"/>
        <v>0</v>
      </c>
    </row>
    <row r="186" spans="1:79" x14ac:dyDescent="0.25">
      <c r="A186" s="224" t="s">
        <v>453</v>
      </c>
      <c r="B186" s="210" t="s">
        <v>456</v>
      </c>
      <c r="C186" s="121">
        <f>VLOOKUP($B186,'Tillförd energi'!$B$1:$AI$720,MATCH(C$1,'Tillförd energi'!$B$1:$AQ$1,0),FALSE)</f>
        <v>1.27176</v>
      </c>
      <c r="D186" s="121">
        <f>VLOOKUP($B186,'Tillförd energi'!$B$1:$AI$720,MATCH(D$1,'Tillförd energi'!$B$1:$AQ$1,0),FALSE)</f>
        <v>7.9533999999999994E-2</v>
      </c>
      <c r="E186" s="121">
        <f>VLOOKUP($B186,'Tillförd energi'!$B$1:$AI$720,MATCH(E$1,'Tillförd energi'!$B$1:$AQ$1,0),FALSE)</f>
        <v>0</v>
      </c>
      <c r="F186" s="121">
        <f>VLOOKUP($B186,'Tillförd energi'!$B$1:$AI$720,MATCH(F$1,'Tillförd energi'!$B$1:$AQ$1,0),FALSE)</f>
        <v>0</v>
      </c>
      <c r="G186" s="121">
        <f>VLOOKUP($B186,'Tillförd energi'!$B$1:$AI$720,MATCH(G$1,'Tillförd energi'!$B$1:$AQ$1,0),FALSE)</f>
        <v>0</v>
      </c>
      <c r="H186" s="121">
        <f>VLOOKUP($B186,'Tillförd energi'!$B$1:$AI$720,MATCH(H$1,'Tillförd energi'!$B$1:$AQ$1,0),FALSE)</f>
        <v>0</v>
      </c>
      <c r="I186" s="121">
        <f>VLOOKUP($B186,'Tillförd energi'!$B$1:$AI$720,MATCH(I$1,'Tillförd energi'!$B$1:$AQ$1,0),FALSE)</f>
        <v>16.145600000000002</v>
      </c>
      <c r="J186" s="121">
        <f>VLOOKUP($B186,'Tillförd energi'!$B$1:$AI$720,MATCH(J$1,'Tillförd energi'!$B$1:$AQ$1,0),FALSE)</f>
        <v>0.10509400000000001</v>
      </c>
      <c r="K186" s="121">
        <f>VLOOKUP($B186,'Tillförd energi'!$B$1:$AI$720,MATCH(K$1,'Tillförd energi'!$B$1:$AQ$1,0),FALSE)</f>
        <v>0</v>
      </c>
      <c r="L186" s="121">
        <f>VLOOKUP($B186,'Tillförd energi'!$B$1:$AI$720,MATCH(L$1,'Tillförd energi'!$B$1:$AQ$1,0),FALSE)</f>
        <v>7.5581500000000004</v>
      </c>
      <c r="M186" s="121">
        <f>VLOOKUP($B186,'Tillförd energi'!$B$1:$AI$720,MATCH(M$1,'Tillförd energi'!$B$1:$AQ$1,0),FALSE)</f>
        <v>2.7926799999999998</v>
      </c>
      <c r="N186" s="121">
        <f>VLOOKUP($B186,'Tillförd energi'!$B$1:$AI$720,MATCH(N$1,'Tillförd energi'!$B$1:$AQ$1,0),FALSE)</f>
        <v>5.0279400000000001</v>
      </c>
      <c r="O186" s="121">
        <f>VLOOKUP($B186,'Tillförd energi'!$B$1:$AI$720,MATCH(O$1,'Tillförd energi'!$B$1:$AQ$1,0),FALSE)</f>
        <v>5.0328099999999996</v>
      </c>
      <c r="P186" s="121">
        <f>VLOOKUP($B186,'Tillförd energi'!$B$1:$AI$720,MATCH(P$1,'Tillförd energi'!$B$1:$AQ$1,0),FALSE)</f>
        <v>7.2512299999999996</v>
      </c>
      <c r="Q186" s="121">
        <f>VLOOKUP($B186,'Tillförd energi'!$B$1:$AI$720,MATCH(Q$1,'Tillförd energi'!$B$1:$AQ$1,0),FALSE)</f>
        <v>0</v>
      </c>
      <c r="R186" s="121">
        <f>VLOOKUP($B186,'Tillförd energi'!$B$1:$AI$720,MATCH(R$1,'Tillförd energi'!$B$1:$AQ$1,0),FALSE)</f>
        <v>0</v>
      </c>
      <c r="S186" s="121">
        <f>VLOOKUP($B186,'Tillförd energi'!$B$1:$AI$720,MATCH(S$1,'Tillförd energi'!$B$1:$AQ$1,0),FALSE)</f>
        <v>0</v>
      </c>
      <c r="T186" s="121">
        <f>VLOOKUP($B186,'Tillförd energi'!$B$1:$AI$720,MATCH(T$1,'Tillförd energi'!$B$1:$AQ$1,0),FALSE)</f>
        <v>0</v>
      </c>
      <c r="U186" s="121">
        <f>VLOOKUP($B186,'Tillförd energi'!$B$1:$AI$720,MATCH(U$1,'Tillförd energi'!$B$1:$AQ$1,0),FALSE)</f>
        <v>0</v>
      </c>
      <c r="V186" s="121">
        <f>VLOOKUP($B186,'Tillförd energi'!$B$1:$AI$720,MATCH(V$1,'Tillförd energi'!$B$1:$AQ$1,0),FALSE)</f>
        <v>0.50226899999999997</v>
      </c>
      <c r="W186" s="121">
        <f>VLOOKUP($B186,'Tillförd energi'!$B$1:$AI$720,MATCH(W$1,'Tillförd energi'!$B$1:$AQ$1,0),FALSE)</f>
        <v>0</v>
      </c>
      <c r="X186" s="121">
        <f>VLOOKUP($B186,'Tillförd energi'!$B$1:$AI$720,MATCH(X$1,'Tillförd energi'!$B$1:$AQ$1,0),FALSE)</f>
        <v>0.21585099999999999</v>
      </c>
      <c r="Y186" s="121">
        <f>VLOOKUP($B186,'Tillförd energi'!$B$1:$AI$720,MATCH(Y$1,'Tillförd energi'!$B$1:$AQ$1,0),FALSE)</f>
        <v>1.0787</v>
      </c>
      <c r="Z186" s="121">
        <f>VLOOKUP($B186,'Tillförd energi'!$B$1:$AI$720,MATCH(Z$1,'Tillförd energi'!$B$1:$AQ$1,0),FALSE)</f>
        <v>8.0999999999999996E-4</v>
      </c>
      <c r="AA186" s="121">
        <f>VLOOKUP($B186,'Tillförd energi'!$B$1:$AI$720,MATCH(AA$1,'Tillförd energi'!$B$1:$AQ$1,0),FALSE)</f>
        <v>0.18043000000000001</v>
      </c>
      <c r="AB186" s="121">
        <f>VLOOKUP($B186,'Tillförd energi'!$B$1:$AI$720,MATCH(AB$1,'Tillförd energi'!$B$1:$AQ$1,0),FALSE)</f>
        <v>0.36501</v>
      </c>
      <c r="AC186" s="121">
        <f>VLOOKUP($B186,'Tillförd energi'!$B$1:$AI$720,MATCH(AC$1,'Tillförd energi'!$B$1:$AQ$1,0),FALSE)</f>
        <v>8.0830500000000001</v>
      </c>
      <c r="AD186" s="121">
        <f>VLOOKUP($B186,'Tillförd energi'!$B$1:$AI$720,MATCH(AD$1,'Tillförd energi'!$B$1:$AQ$1,0),FALSE)</f>
        <v>0</v>
      </c>
      <c r="AE186" s="121">
        <f>VLOOKUP($B186,'Tillförd energi'!$B$1:$AI$720,MATCH(AE$1,'Tillförd energi'!$B$1:$AQ$1,0),FALSE)</f>
        <v>0</v>
      </c>
      <c r="AF186" s="121">
        <f>VLOOKUP($B186,'Tillförd energi'!$B$1:$AI$720,MATCH(AF$1,'Tillförd energi'!$B$1:$AQ$1,0),FALSE)</f>
        <v>2.5283099999999998</v>
      </c>
      <c r="AG186" s="121">
        <f>IFERROR(VLOOKUP(B186,Miljö!$B$1:$AC$550,MATCH("Köpt mängd produktionsspecifik fjärrvärme:",Miljö!$B$1:$AC$1,0),FALSE)/1,0)</f>
        <v>0</v>
      </c>
      <c r="AH186" s="121"/>
      <c r="AI186" s="121">
        <f t="shared" si="66"/>
        <v>58.219227999999994</v>
      </c>
      <c r="AJ186" s="121">
        <f t="shared" si="67"/>
        <v>58.219227999999994</v>
      </c>
      <c r="AK186" s="121">
        <f>IF(ISERROR(1/VLOOKUP($B186,Leveranser!$B$1:$S$499,MATCH("såld värme (gwh)",Leveranser!$B$1:$S$1,0),FALSE)),"",VLOOKUP($B186,Leveranser!$B$1:$S$499,MATCH("såld värme (gwh)",Leveranser!$B$1:$S$1,0),FALSE))</f>
        <v>46.040999999999997</v>
      </c>
      <c r="AL186" s="121">
        <f>VLOOKUP($B186,Leveranser!$B$1:$Y$499,MATCH("Totalt såld fjärrvärme till andra fjärrvärmeföretag",Leveranser!$B$1:$AA$1,0),FALSE)</f>
        <v>0</v>
      </c>
      <c r="AM186" s="121">
        <f>IF(ISERROR(1/VLOOKUP($B186,Miljö!$B$1:$S$500,MATCH("Såld mängd produktionsspecifik fjärrvärme (GWh)",Miljö!$B$1:$R$1,0),FALSE)),0,VLOOKUP($B186,Miljö!$B$1:$S$500,MATCH("Såld mängd produktionsspecifik fjärrvärme (GWh)",Miljö!$B$1:$R$1,0),FALSE))</f>
        <v>0</v>
      </c>
      <c r="AN186" s="172">
        <f t="shared" si="68"/>
        <v>0.79082120429353686</v>
      </c>
      <c r="AO186" s="121"/>
      <c r="AP186" s="121" t="str">
        <f>IFERROR(VLOOKUP($B186,Miljövärden!$B$2:$H$550,7,FALSE),"Nej, saknas")</f>
        <v>ja</v>
      </c>
      <c r="AQ186" s="121" t="str">
        <f>IFERROR(VLOOKUP($B186,Miljövärden!$B$2:$H$550,6,FALSE),"Nej, saknas")</f>
        <v>Ja</v>
      </c>
      <c r="AU186">
        <f t="shared" si="69"/>
        <v>2.7095499999999997</v>
      </c>
      <c r="AV186">
        <f t="shared" si="70"/>
        <v>0.21585099999999999</v>
      </c>
      <c r="AW186">
        <f t="shared" si="71"/>
        <v>20.104659999999999</v>
      </c>
      <c r="AX186">
        <f t="shared" si="72"/>
        <v>0</v>
      </c>
      <c r="AZ186">
        <f t="shared" si="73"/>
        <v>28.380929999999999</v>
      </c>
      <c r="BC186">
        <f t="shared" si="74"/>
        <v>1.351294</v>
      </c>
      <c r="BD186">
        <f t="shared" si="75"/>
        <v>1.0787</v>
      </c>
      <c r="BE186">
        <f t="shared" si="76"/>
        <v>20.822779999999998</v>
      </c>
      <c r="BF186">
        <f t="shared" si="77"/>
        <v>32.256904000000006</v>
      </c>
      <c r="BG186">
        <f t="shared" si="78"/>
        <v>2.7095499999999997</v>
      </c>
      <c r="BH186">
        <f>VLOOKUP(B186,Miljö!$B$1:$BX$482,MATCH("Fossilandel för ursprungspecificerad el ()",Miljö!$B$1:$I$1,0),FALSE)</f>
        <v>0.08</v>
      </c>
      <c r="BI186">
        <f>VLOOKUP(B186,Miljö!$B$1:$BX$482,MATCH("Kärnkraftsandel för ursprungsspecificerad el ()",Miljö!$B$1:$O$1,0),FALSE)</f>
        <v>0.40550000000000003</v>
      </c>
      <c r="BJ186">
        <f t="shared" si="79"/>
        <v>0</v>
      </c>
      <c r="BK186" t="str">
        <f>VLOOKUP(B186,Miljö!$B$1:$O$482,MATCH("Fossil andel i procent (%)",Miljö!$B$1:$O$1,0),FALSE)</f>
        <v>ET</v>
      </c>
      <c r="BL186">
        <f t="shared" si="80"/>
        <v>58.219228000000008</v>
      </c>
      <c r="BO186" s="18">
        <f t="shared" si="81"/>
        <v>2.6933679024393791E-2</v>
      </c>
      <c r="BP186" s="18">
        <f t="shared" si="82"/>
        <v>3.7400401891278939E-2</v>
      </c>
      <c r="BQ186" s="18">
        <f t="shared" si="83"/>
        <v>0.38160663131774941</v>
      </c>
      <c r="BR186" s="18">
        <f t="shared" si="84"/>
        <v>0.55405928776657776</v>
      </c>
      <c r="BT186" s="27">
        <f t="shared" si="85"/>
        <v>0.99999999999999989</v>
      </c>
      <c r="BW186" s="18">
        <f>IF(AP186="ja",VLOOKUP(B186,Miljövärden!$B$2:$H$550,MATCH("Total andel fossilt",Miljövärden!$B$2:$H$2,0),FALSE),"")</f>
        <v>2.6933700000000001E-2</v>
      </c>
      <c r="BZ186" s="28">
        <f t="shared" si="86"/>
        <v>2.0975606210282827E-8</v>
      </c>
      <c r="CA186" s="28">
        <f t="shared" si="87"/>
        <v>0</v>
      </c>
    </row>
    <row r="187" spans="1:79" x14ac:dyDescent="0.25">
      <c r="A187" s="224" t="s">
        <v>457</v>
      </c>
      <c r="B187" s="210" t="s">
        <v>458</v>
      </c>
      <c r="C187" s="121">
        <f>VLOOKUP($B187,'Tillförd energi'!$B$1:$AI$720,MATCH(C$1,'Tillförd energi'!$B$1:$AQ$1,0),FALSE)</f>
        <v>0</v>
      </c>
      <c r="D187" s="121">
        <f>VLOOKUP($B187,'Tillförd energi'!$B$1:$AI$720,MATCH(D$1,'Tillförd energi'!$B$1:$AQ$1,0),FALSE)</f>
        <v>0.65261999999999998</v>
      </c>
      <c r="E187" s="121">
        <f>VLOOKUP($B187,'Tillförd energi'!$B$1:$AI$720,MATCH(E$1,'Tillförd energi'!$B$1:$AQ$1,0),FALSE)</f>
        <v>0</v>
      </c>
      <c r="F187" s="121">
        <f>VLOOKUP($B187,'Tillförd energi'!$B$1:$AI$720,MATCH(F$1,'Tillförd energi'!$B$1:$AQ$1,0),FALSE)</f>
        <v>0</v>
      </c>
      <c r="G187" s="121">
        <f>VLOOKUP($B187,'Tillförd energi'!$B$1:$AI$720,MATCH(G$1,'Tillförd energi'!$B$1:$AQ$1,0),FALSE)</f>
        <v>0</v>
      </c>
      <c r="H187" s="121">
        <f>VLOOKUP($B187,'Tillförd energi'!$B$1:$AI$720,MATCH(H$1,'Tillförd energi'!$B$1:$AQ$1,0),FALSE)</f>
        <v>0</v>
      </c>
      <c r="I187" s="121">
        <f>VLOOKUP($B187,'Tillförd energi'!$B$1:$AI$720,MATCH(I$1,'Tillförd energi'!$B$1:$AQ$1,0),FALSE)</f>
        <v>0</v>
      </c>
      <c r="J187" s="121">
        <f>VLOOKUP($B187,'Tillförd energi'!$B$1:$AI$720,MATCH(J$1,'Tillförd energi'!$B$1:$AQ$1,0),FALSE)</f>
        <v>0</v>
      </c>
      <c r="K187" s="121">
        <f>VLOOKUP($B187,'Tillförd energi'!$B$1:$AI$720,MATCH(K$1,'Tillförd energi'!$B$1:$AQ$1,0),FALSE)</f>
        <v>0</v>
      </c>
      <c r="L187" s="121">
        <f>VLOOKUP($B187,'Tillförd energi'!$B$1:$AI$720,MATCH(L$1,'Tillförd energi'!$B$1:$AQ$1,0),FALSE)</f>
        <v>69.0745</v>
      </c>
      <c r="M187" s="121">
        <f>VLOOKUP($B187,'Tillförd energi'!$B$1:$AI$720,MATCH(M$1,'Tillförd energi'!$B$1:$AQ$1,0),FALSE)</f>
        <v>101.26600000000001</v>
      </c>
      <c r="N187" s="121">
        <f>VLOOKUP($B187,'Tillförd energi'!$B$1:$AI$720,MATCH(N$1,'Tillförd energi'!$B$1:$AQ$1,0),FALSE)</f>
        <v>24.338999999999999</v>
      </c>
      <c r="O187" s="121">
        <f>VLOOKUP($B187,'Tillförd energi'!$B$1:$AI$720,MATCH(O$1,'Tillförd energi'!$B$1:$AQ$1,0),FALSE)</f>
        <v>0</v>
      </c>
      <c r="P187" s="121">
        <f>VLOOKUP($B187,'Tillförd energi'!$B$1:$AI$720,MATCH(P$1,'Tillförd energi'!$B$1:$AQ$1,0),FALSE)</f>
        <v>5.9482299999999997</v>
      </c>
      <c r="Q187" s="121">
        <f>VLOOKUP($B187,'Tillförd energi'!$B$1:$AI$720,MATCH(Q$1,'Tillförd energi'!$B$1:$AQ$1,0),FALSE)</f>
        <v>0</v>
      </c>
      <c r="R187" s="121">
        <f>VLOOKUP($B187,'Tillförd energi'!$B$1:$AI$720,MATCH(R$1,'Tillförd energi'!$B$1:$AQ$1,0),FALSE)</f>
        <v>0</v>
      </c>
      <c r="S187" s="121">
        <f>VLOOKUP($B187,'Tillförd energi'!$B$1:$AI$720,MATCH(S$1,'Tillförd energi'!$B$1:$AQ$1,0),FALSE)</f>
        <v>0</v>
      </c>
      <c r="T187" s="121">
        <f>VLOOKUP($B187,'Tillförd energi'!$B$1:$AI$720,MATCH(T$1,'Tillförd energi'!$B$1:$AQ$1,0),FALSE)</f>
        <v>0</v>
      </c>
      <c r="U187" s="121">
        <f>VLOOKUP($B187,'Tillförd energi'!$B$1:$AI$720,MATCH(U$1,'Tillförd energi'!$B$1:$AQ$1,0),FALSE)</f>
        <v>0</v>
      </c>
      <c r="V187" s="121">
        <f>VLOOKUP($B187,'Tillförd energi'!$B$1:$AI$720,MATCH(V$1,'Tillförd energi'!$B$1:$AQ$1,0),FALSE)</f>
        <v>0</v>
      </c>
      <c r="W187" s="121">
        <f>VLOOKUP($B187,'Tillförd energi'!$B$1:$AI$720,MATCH(W$1,'Tillförd energi'!$B$1:$AQ$1,0),FALSE)</f>
        <v>0</v>
      </c>
      <c r="X187" s="121">
        <f>VLOOKUP($B187,'Tillförd energi'!$B$1:$AI$720,MATCH(X$1,'Tillförd energi'!$B$1:$AQ$1,0),FALSE)</f>
        <v>0</v>
      </c>
      <c r="Y187" s="121">
        <f>VLOOKUP($B187,'Tillförd energi'!$B$1:$AI$720,MATCH(Y$1,'Tillförd energi'!$B$1:$AQ$1,0),FALSE)</f>
        <v>0</v>
      </c>
      <c r="Z187" s="121">
        <f>VLOOKUP($B187,'Tillförd energi'!$B$1:$AI$720,MATCH(Z$1,'Tillförd energi'!$B$1:$AQ$1,0),FALSE)</f>
        <v>0</v>
      </c>
      <c r="AA187" s="121">
        <f>VLOOKUP($B187,'Tillförd energi'!$B$1:$AI$720,MATCH(AA$1,'Tillförd energi'!$B$1:$AQ$1,0),FALSE)</f>
        <v>0</v>
      </c>
      <c r="AB187" s="121">
        <f>VLOOKUP($B187,'Tillförd energi'!$B$1:$AI$720,MATCH(AB$1,'Tillförd energi'!$B$1:$AQ$1,0),FALSE)</f>
        <v>0</v>
      </c>
      <c r="AC187" s="121">
        <f>VLOOKUP($B187,'Tillförd energi'!$B$1:$AI$720,MATCH(AC$1,'Tillförd energi'!$B$1:$AQ$1,0),FALSE)</f>
        <v>99.519199999999998</v>
      </c>
      <c r="AD187" s="121">
        <f>VLOOKUP($B187,'Tillförd energi'!$B$1:$AI$720,MATCH(AD$1,'Tillförd energi'!$B$1:$AQ$1,0),FALSE)</f>
        <v>0</v>
      </c>
      <c r="AE187" s="121">
        <f>VLOOKUP($B187,'Tillförd energi'!$B$1:$AI$720,MATCH(AE$1,'Tillförd energi'!$B$1:$AQ$1,0),FALSE)</f>
        <v>0</v>
      </c>
      <c r="AF187" s="121">
        <f>VLOOKUP($B187,'Tillförd energi'!$B$1:$AI$720,MATCH(AF$1,'Tillförd energi'!$B$1:$AQ$1,0),FALSE)</f>
        <v>9.4852900000000009</v>
      </c>
      <c r="AG187" s="121">
        <f>IFERROR(VLOOKUP(B187,Miljö!$B$1:$AC$550,MATCH("Köpt mängd produktionsspecifik fjärrvärme:",Miljö!$B$1:$AC$1,0),FALSE)/1,0)</f>
        <v>22.7</v>
      </c>
      <c r="AH187" s="121"/>
      <c r="AI187" s="121">
        <f t="shared" si="66"/>
        <v>310.28484000000003</v>
      </c>
      <c r="AJ187" s="121">
        <f t="shared" si="67"/>
        <v>332.98484000000002</v>
      </c>
      <c r="AK187" s="121">
        <f>IF(ISERROR(1/VLOOKUP($B187,Leveranser!$B$1:$S$499,MATCH("såld värme (gwh)",Leveranser!$B$1:$S$1,0),FALSE)),"",VLOOKUP($B187,Leveranser!$B$1:$S$499,MATCH("såld värme (gwh)",Leveranser!$B$1:$S$1,0),FALSE))</f>
        <v>322.29599999999999</v>
      </c>
      <c r="AL187" s="121">
        <f>VLOOKUP($B187,Leveranser!$B$1:$Y$499,MATCH("Totalt såld fjärrvärme till andra fjärrvärmeföretag",Leveranser!$B$1:$AA$1,0),FALSE)</f>
        <v>98.918999999999997</v>
      </c>
      <c r="AM187" s="121">
        <f>IF(ISERROR(1/VLOOKUP($B187,Miljö!$B$1:$S$500,MATCH("Såld mängd produktionsspecifik fjärrvärme (GWh)",Miljö!$B$1:$R$1,0),FALSE)),0,VLOOKUP($B187,Miljö!$B$1:$S$500,MATCH("Såld mängd produktionsspecifik fjärrvärme (GWh)",Miljö!$B$1:$R$1,0),FALSE))</f>
        <v>98.92</v>
      </c>
      <c r="AN187" s="172">
        <f t="shared" si="68"/>
        <v>0.96789992000837022</v>
      </c>
      <c r="AO187" s="121"/>
      <c r="AP187" s="121" t="str">
        <f>IFERROR(VLOOKUP($B187,Miljövärden!$B$2:$H$550,7,FALSE),"Nej, saknas")</f>
        <v>ja</v>
      </c>
      <c r="AQ187" s="121" t="str">
        <f>IFERROR(VLOOKUP($B187,Miljövärden!$B$2:$H$550,6,FALSE),"Nej, saknas")</f>
        <v>Ja</v>
      </c>
      <c r="AU187">
        <f t="shared" si="69"/>
        <v>9.4852900000000009</v>
      </c>
      <c r="AV187">
        <f t="shared" si="70"/>
        <v>0</v>
      </c>
      <c r="AW187">
        <f t="shared" si="71"/>
        <v>131.55323000000001</v>
      </c>
      <c r="AX187">
        <f t="shared" si="72"/>
        <v>0</v>
      </c>
      <c r="AZ187">
        <f t="shared" si="73"/>
        <v>200.62773000000001</v>
      </c>
      <c r="BC187">
        <f t="shared" si="74"/>
        <v>0.65261999999999998</v>
      </c>
      <c r="BD187">
        <f t="shared" si="75"/>
        <v>0</v>
      </c>
      <c r="BE187">
        <f t="shared" si="76"/>
        <v>131.55323000000001</v>
      </c>
      <c r="BF187">
        <f t="shared" si="77"/>
        <v>168.59370000000001</v>
      </c>
      <c r="BG187">
        <f t="shared" si="78"/>
        <v>9.4852900000000009</v>
      </c>
      <c r="BH187">
        <f>VLOOKUP(B187,Miljö!$B$1:$BX$482,MATCH("Fossilandel för ursprungspecificerad el ()",Miljö!$B$1:$I$1,0),FALSE)</f>
        <v>0</v>
      </c>
      <c r="BI187">
        <f>VLOOKUP(B187,Miljö!$B$1:$BX$482,MATCH("Kärnkraftsandel för ursprungsspecificerad el ()",Miljö!$B$1:$O$1,0),FALSE)</f>
        <v>0</v>
      </c>
      <c r="BJ187">
        <f t="shared" si="79"/>
        <v>22.7</v>
      </c>
      <c r="BK187">
        <f>VLOOKUP(B187,Miljö!$B$1:$O$482,MATCH("Fossil andel i procent (%)",Miljö!$B$1:$O$1,0),FALSE)</f>
        <v>0.3</v>
      </c>
      <c r="BL187">
        <f t="shared" si="80"/>
        <v>332.98484000000008</v>
      </c>
      <c r="BO187" s="18">
        <f t="shared" si="81"/>
        <v>2.164422860812522E-3</v>
      </c>
      <c r="BP187" s="18">
        <f t="shared" si="82"/>
        <v>6.7966757886034665E-2</v>
      </c>
      <c r="BQ187" s="18">
        <f t="shared" si="83"/>
        <v>0.42355838181702199</v>
      </c>
      <c r="BR187" s="18">
        <f t="shared" si="84"/>
        <v>0.50631043743613069</v>
      </c>
      <c r="BT187" s="27">
        <f t="shared" si="85"/>
        <v>0.99999999999999989</v>
      </c>
      <c r="BW187" s="18">
        <f>IF(AP187="ja",VLOOKUP(B187,Miljövärden!$B$2:$H$550,MATCH("Total andel fossilt",Miljövärden!$B$2:$H$2,0),FALSE),"")</f>
        <v>3.0791400000000002E-3</v>
      </c>
      <c r="BZ187" s="28">
        <f t="shared" si="86"/>
        <v>9.1471713918747817E-4</v>
      </c>
      <c r="CA187" s="28">
        <f t="shared" si="87"/>
        <v>1E-3</v>
      </c>
    </row>
    <row r="188" spans="1:79" x14ac:dyDescent="0.25">
      <c r="A188" s="224" t="s">
        <v>457</v>
      </c>
      <c r="B188" s="210" t="s">
        <v>459</v>
      </c>
      <c r="C188" s="121">
        <f>VLOOKUP($B188,'Tillförd energi'!$B$1:$AI$720,MATCH(C$1,'Tillförd energi'!$B$1:$AQ$1,0),FALSE)</f>
        <v>0</v>
      </c>
      <c r="D188" s="121">
        <f>VLOOKUP($B188,'Tillförd energi'!$B$1:$AI$720,MATCH(D$1,'Tillförd energi'!$B$1:$AQ$1,0),FALSE)</f>
        <v>0</v>
      </c>
      <c r="E188" s="121">
        <f>VLOOKUP($B188,'Tillförd energi'!$B$1:$AI$720,MATCH(E$1,'Tillförd energi'!$B$1:$AQ$1,0),FALSE)</f>
        <v>0</v>
      </c>
      <c r="F188" s="121">
        <f>VLOOKUP($B188,'Tillförd energi'!$B$1:$AI$720,MATCH(F$1,'Tillförd energi'!$B$1:$AQ$1,0),FALSE)</f>
        <v>0</v>
      </c>
      <c r="G188" s="121">
        <f>VLOOKUP($B188,'Tillförd energi'!$B$1:$AI$720,MATCH(G$1,'Tillförd energi'!$B$1:$AQ$1,0),FALSE)</f>
        <v>0</v>
      </c>
      <c r="H188" s="121">
        <f>VLOOKUP($B188,'Tillförd energi'!$B$1:$AI$720,MATCH(H$1,'Tillförd energi'!$B$1:$AQ$1,0),FALSE)</f>
        <v>0</v>
      </c>
      <c r="I188" s="121">
        <f>VLOOKUP($B188,'Tillförd energi'!$B$1:$AI$720,MATCH(I$1,'Tillförd energi'!$B$1:$AQ$1,0),FALSE)</f>
        <v>0</v>
      </c>
      <c r="J188" s="121">
        <f>VLOOKUP($B188,'Tillförd energi'!$B$1:$AI$720,MATCH(J$1,'Tillförd energi'!$B$1:$AQ$1,0),FALSE)</f>
        <v>0</v>
      </c>
      <c r="K188" s="121">
        <f>VLOOKUP($B188,'Tillförd energi'!$B$1:$AI$720,MATCH(K$1,'Tillförd energi'!$B$1:$AQ$1,0),FALSE)</f>
        <v>0</v>
      </c>
      <c r="L188" s="121">
        <f>VLOOKUP($B188,'Tillförd energi'!$B$1:$AI$720,MATCH(L$1,'Tillförd energi'!$B$1:$AQ$1,0),FALSE)</f>
        <v>0</v>
      </c>
      <c r="M188" s="121">
        <f>VLOOKUP($B188,'Tillförd energi'!$B$1:$AI$720,MATCH(M$1,'Tillförd energi'!$B$1:$AQ$1,0),FALSE)</f>
        <v>0</v>
      </c>
      <c r="N188" s="121">
        <f>VLOOKUP($B188,'Tillförd energi'!$B$1:$AI$720,MATCH(N$1,'Tillförd energi'!$B$1:$AQ$1,0),FALSE)</f>
        <v>30.2178</v>
      </c>
      <c r="O188" s="121">
        <f>VLOOKUP($B188,'Tillförd energi'!$B$1:$AI$720,MATCH(O$1,'Tillförd energi'!$B$1:$AQ$1,0),FALSE)</f>
        <v>0</v>
      </c>
      <c r="P188" s="121">
        <f>VLOOKUP($B188,'Tillförd energi'!$B$1:$AI$720,MATCH(P$1,'Tillförd energi'!$B$1:$AQ$1,0),FALSE)</f>
        <v>0</v>
      </c>
      <c r="Q188" s="121">
        <f>VLOOKUP($B188,'Tillförd energi'!$B$1:$AI$720,MATCH(Q$1,'Tillförd energi'!$B$1:$AQ$1,0),FALSE)</f>
        <v>0</v>
      </c>
      <c r="R188" s="121">
        <f>VLOOKUP($B188,'Tillförd energi'!$B$1:$AI$720,MATCH(R$1,'Tillförd energi'!$B$1:$AQ$1,0),FALSE)</f>
        <v>0</v>
      </c>
      <c r="S188" s="121">
        <f>VLOOKUP($B188,'Tillförd energi'!$B$1:$AI$720,MATCH(S$1,'Tillförd energi'!$B$1:$AQ$1,0),FALSE)</f>
        <v>0</v>
      </c>
      <c r="T188" s="121">
        <f>VLOOKUP($B188,'Tillförd energi'!$B$1:$AI$720,MATCH(T$1,'Tillförd energi'!$B$1:$AQ$1,0),FALSE)</f>
        <v>0</v>
      </c>
      <c r="U188" s="121">
        <f>VLOOKUP($B188,'Tillförd energi'!$B$1:$AI$720,MATCH(U$1,'Tillförd energi'!$B$1:$AQ$1,0),FALSE)</f>
        <v>0</v>
      </c>
      <c r="V188" s="121">
        <f>VLOOKUP($B188,'Tillförd energi'!$B$1:$AI$720,MATCH(V$1,'Tillförd energi'!$B$1:$AQ$1,0),FALSE)</f>
        <v>0</v>
      </c>
      <c r="W188" s="121">
        <f>VLOOKUP($B188,'Tillförd energi'!$B$1:$AI$720,MATCH(W$1,'Tillförd energi'!$B$1:$AQ$1,0),FALSE)</f>
        <v>0</v>
      </c>
      <c r="X188" s="121">
        <f>VLOOKUP($B188,'Tillförd energi'!$B$1:$AI$720,MATCH(X$1,'Tillförd energi'!$B$1:$AQ$1,0),FALSE)</f>
        <v>0</v>
      </c>
      <c r="Y188" s="121">
        <f>VLOOKUP($B188,'Tillförd energi'!$B$1:$AI$720,MATCH(Y$1,'Tillförd energi'!$B$1:$AQ$1,0),FALSE)</f>
        <v>0</v>
      </c>
      <c r="Z188" s="121">
        <f>VLOOKUP($B188,'Tillförd energi'!$B$1:$AI$720,MATCH(Z$1,'Tillförd energi'!$B$1:$AQ$1,0),FALSE)</f>
        <v>0</v>
      </c>
      <c r="AA188" s="121">
        <f>VLOOKUP($B188,'Tillförd energi'!$B$1:$AI$720,MATCH(AA$1,'Tillförd energi'!$B$1:$AQ$1,0),FALSE)</f>
        <v>0</v>
      </c>
      <c r="AB188" s="121">
        <f>VLOOKUP($B188,'Tillförd energi'!$B$1:$AI$720,MATCH(AB$1,'Tillförd energi'!$B$1:$AQ$1,0),FALSE)</f>
        <v>0</v>
      </c>
      <c r="AC188" s="121">
        <f>VLOOKUP($B188,'Tillförd energi'!$B$1:$AI$720,MATCH(AC$1,'Tillförd energi'!$B$1:$AQ$1,0),FALSE)</f>
        <v>16.21</v>
      </c>
      <c r="AD188" s="121">
        <f>VLOOKUP($B188,'Tillförd energi'!$B$1:$AI$720,MATCH(AD$1,'Tillförd energi'!$B$1:$AQ$1,0),FALSE)</f>
        <v>0</v>
      </c>
      <c r="AE188" s="121">
        <f>VLOOKUP($B188,'Tillförd energi'!$B$1:$AI$720,MATCH(AE$1,'Tillförd energi'!$B$1:$AQ$1,0),FALSE)</f>
        <v>0</v>
      </c>
      <c r="AF188" s="121">
        <f>VLOOKUP($B188,'Tillförd energi'!$B$1:$AI$720,MATCH(AF$1,'Tillförd energi'!$B$1:$AQ$1,0),FALSE)</f>
        <v>1.2359100000000001</v>
      </c>
      <c r="AG188" s="121">
        <f>IFERROR(VLOOKUP(B188,Miljö!$B$1:$AC$550,MATCH("Köpt mängd produktionsspecifik fjärrvärme:",Miljö!$B$1:$AC$1,0),FALSE)/1,0)</f>
        <v>0</v>
      </c>
      <c r="AH188" s="121"/>
      <c r="AI188" s="121">
        <f t="shared" si="66"/>
        <v>47.663710000000002</v>
      </c>
      <c r="AJ188" s="121">
        <f t="shared" si="67"/>
        <v>47.663710000000002</v>
      </c>
      <c r="AK188" s="121">
        <f>IF(ISERROR(1/VLOOKUP($B188,Leveranser!$B$1:$S$499,MATCH("såld värme (gwh)",Leveranser!$B$1:$S$1,0),FALSE)),"",VLOOKUP($B188,Leveranser!$B$1:$S$499,MATCH("såld värme (gwh)",Leveranser!$B$1:$S$1,0),FALSE))</f>
        <v>48.192</v>
      </c>
      <c r="AL188" s="121">
        <f>VLOOKUP($B188,Leveranser!$B$1:$Y$499,MATCH("Totalt såld fjärrvärme till andra fjärrvärmeföretag",Leveranser!$B$1:$AA$1,0),FALSE)</f>
        <v>0</v>
      </c>
      <c r="AM188" s="121">
        <f>IF(ISERROR(1/VLOOKUP($B188,Miljö!$B$1:$S$500,MATCH("Såld mängd produktionsspecifik fjärrvärme (GWh)",Miljö!$B$1:$R$1,0),FALSE)),0,VLOOKUP($B188,Miljö!$B$1:$S$500,MATCH("Såld mängd produktionsspecifik fjärrvärme (GWh)",Miljö!$B$1:$R$1,0),FALSE))</f>
        <v>0</v>
      </c>
      <c r="AN188" s="172">
        <f t="shared" si="68"/>
        <v>1.0110836944920989</v>
      </c>
      <c r="AO188" s="121"/>
      <c r="AP188" s="121" t="str">
        <f>IFERROR(VLOOKUP($B188,Miljövärden!$B$2:$H$550,7,FALSE),"Nej, saknas")</f>
        <v>ja</v>
      </c>
      <c r="AQ188" s="121" t="str">
        <f>IFERROR(VLOOKUP($B188,Miljövärden!$B$2:$H$550,6,FALSE),"Nej, saknas")</f>
        <v>Ja</v>
      </c>
      <c r="AU188">
        <f t="shared" si="69"/>
        <v>1.2359100000000001</v>
      </c>
      <c r="AV188">
        <f t="shared" si="70"/>
        <v>0</v>
      </c>
      <c r="AW188">
        <f t="shared" si="71"/>
        <v>30.2178</v>
      </c>
      <c r="AX188">
        <f t="shared" si="72"/>
        <v>0</v>
      </c>
      <c r="AZ188">
        <f t="shared" si="73"/>
        <v>30.2178</v>
      </c>
      <c r="BC188">
        <f t="shared" si="74"/>
        <v>0</v>
      </c>
      <c r="BD188">
        <f t="shared" si="75"/>
        <v>0</v>
      </c>
      <c r="BE188">
        <f t="shared" si="76"/>
        <v>30.2178</v>
      </c>
      <c r="BF188">
        <f t="shared" si="77"/>
        <v>16.21</v>
      </c>
      <c r="BG188">
        <f t="shared" si="78"/>
        <v>1.2359100000000001</v>
      </c>
      <c r="BH188">
        <f>VLOOKUP(B188,Miljö!$B$1:$BX$482,MATCH("Fossilandel för ursprungspecificerad el ()",Miljö!$B$1:$I$1,0),FALSE)</f>
        <v>0</v>
      </c>
      <c r="BI188">
        <f>VLOOKUP(B188,Miljö!$B$1:$BX$482,MATCH("Kärnkraftsandel för ursprungsspecificerad el ()",Miljö!$B$1:$O$1,0),FALSE)</f>
        <v>0</v>
      </c>
      <c r="BJ188">
        <f t="shared" si="79"/>
        <v>0</v>
      </c>
      <c r="BK188" t="str">
        <f>VLOOKUP(B188,Miljö!$B$1:$O$482,MATCH("Fossil andel i procent (%)",Miljö!$B$1:$O$1,0),FALSE)</f>
        <v>ET</v>
      </c>
      <c r="BL188">
        <f t="shared" si="80"/>
        <v>47.663710000000002</v>
      </c>
      <c r="BO188" s="18">
        <f t="shared" si="81"/>
        <v>0</v>
      </c>
      <c r="BP188" s="18">
        <f t="shared" si="82"/>
        <v>0</v>
      </c>
      <c r="BQ188" s="18">
        <f t="shared" si="83"/>
        <v>0.65990897477347021</v>
      </c>
      <c r="BR188" s="18">
        <f t="shared" si="84"/>
        <v>0.34009102522652979</v>
      </c>
      <c r="BT188" s="27">
        <f t="shared" si="85"/>
        <v>1</v>
      </c>
      <c r="BW188" s="18">
        <f>IF(AP188="ja",VLOOKUP(B188,Miljövärden!$B$2:$H$550,MATCH("Total andel fossilt",Miljövärden!$B$2:$H$2,0),FALSE),"")</f>
        <v>0</v>
      </c>
      <c r="BZ188" s="28">
        <f t="shared" si="86"/>
        <v>0</v>
      </c>
      <c r="CA188" s="28">
        <f t="shared" si="87"/>
        <v>0</v>
      </c>
    </row>
    <row r="189" spans="1:79" x14ac:dyDescent="0.25">
      <c r="A189" s="224" t="s">
        <v>457</v>
      </c>
      <c r="B189" s="210" t="s">
        <v>460</v>
      </c>
      <c r="C189" s="121">
        <f>VLOOKUP($B189,'Tillförd energi'!$B$1:$AI$720,MATCH(C$1,'Tillförd energi'!$B$1:$AQ$1,0),FALSE)</f>
        <v>0</v>
      </c>
      <c r="D189" s="121">
        <f>VLOOKUP($B189,'Tillförd energi'!$B$1:$AI$720,MATCH(D$1,'Tillförd energi'!$B$1:$AQ$1,0),FALSE)</f>
        <v>0</v>
      </c>
      <c r="E189" s="121">
        <f>VLOOKUP($B189,'Tillförd energi'!$B$1:$AI$720,MATCH(E$1,'Tillförd energi'!$B$1:$AQ$1,0),FALSE)</f>
        <v>0</v>
      </c>
      <c r="F189" s="121">
        <f>VLOOKUP($B189,'Tillförd energi'!$B$1:$AI$720,MATCH(F$1,'Tillförd energi'!$B$1:$AQ$1,0),FALSE)</f>
        <v>0</v>
      </c>
      <c r="G189" s="121">
        <f>VLOOKUP($B189,'Tillförd energi'!$B$1:$AI$720,MATCH(G$1,'Tillförd energi'!$B$1:$AQ$1,0),FALSE)</f>
        <v>0</v>
      </c>
      <c r="H189" s="121">
        <f>VLOOKUP($B189,'Tillförd energi'!$B$1:$AI$720,MATCH(H$1,'Tillförd energi'!$B$1:$AQ$1,0),FALSE)</f>
        <v>0</v>
      </c>
      <c r="I189" s="121">
        <f>VLOOKUP($B189,'Tillförd energi'!$B$1:$AI$720,MATCH(I$1,'Tillförd energi'!$B$1:$AQ$1,0),FALSE)</f>
        <v>0</v>
      </c>
      <c r="J189" s="121">
        <f>VLOOKUP($B189,'Tillförd energi'!$B$1:$AI$720,MATCH(J$1,'Tillförd energi'!$B$1:$AQ$1,0),FALSE)</f>
        <v>0</v>
      </c>
      <c r="K189" s="121">
        <f>VLOOKUP($B189,'Tillförd energi'!$B$1:$AI$720,MATCH(K$1,'Tillförd energi'!$B$1:$AQ$1,0),FALSE)</f>
        <v>0</v>
      </c>
      <c r="L189" s="121">
        <f>VLOOKUP($B189,'Tillförd energi'!$B$1:$AI$720,MATCH(L$1,'Tillförd energi'!$B$1:$AQ$1,0),FALSE)</f>
        <v>0</v>
      </c>
      <c r="M189" s="121">
        <f>VLOOKUP($B189,'Tillförd energi'!$B$1:$AI$720,MATCH(M$1,'Tillförd energi'!$B$1:$AQ$1,0),FALSE)</f>
        <v>2.5399600000000002</v>
      </c>
      <c r="N189" s="121">
        <f>VLOOKUP($B189,'Tillförd energi'!$B$1:$AI$720,MATCH(N$1,'Tillförd energi'!$B$1:$AQ$1,0),FALSE)</f>
        <v>4.0941099999999997</v>
      </c>
      <c r="O189" s="121">
        <f>VLOOKUP($B189,'Tillförd energi'!$B$1:$AI$720,MATCH(O$1,'Tillförd energi'!$B$1:$AQ$1,0),FALSE)</f>
        <v>0</v>
      </c>
      <c r="P189" s="121">
        <f>VLOOKUP($B189,'Tillförd energi'!$B$1:$AI$720,MATCH(P$1,'Tillförd energi'!$B$1:$AQ$1,0),FALSE)</f>
        <v>0.20297499999999999</v>
      </c>
      <c r="Q189" s="121">
        <f>VLOOKUP($B189,'Tillförd energi'!$B$1:$AI$720,MATCH(Q$1,'Tillförd energi'!$B$1:$AQ$1,0),FALSE)</f>
        <v>0</v>
      </c>
      <c r="R189" s="121">
        <f>VLOOKUP($B189,'Tillförd energi'!$B$1:$AI$720,MATCH(R$1,'Tillförd energi'!$B$1:$AQ$1,0),FALSE)</f>
        <v>0</v>
      </c>
      <c r="S189" s="121">
        <f>VLOOKUP($B189,'Tillförd energi'!$B$1:$AI$720,MATCH(S$1,'Tillförd energi'!$B$1:$AQ$1,0),FALSE)</f>
        <v>0</v>
      </c>
      <c r="T189" s="121">
        <f>VLOOKUP($B189,'Tillförd energi'!$B$1:$AI$720,MATCH(T$1,'Tillförd energi'!$B$1:$AQ$1,0),FALSE)</f>
        <v>0</v>
      </c>
      <c r="U189" s="121">
        <f>VLOOKUP($B189,'Tillförd energi'!$B$1:$AI$720,MATCH(U$1,'Tillförd energi'!$B$1:$AQ$1,0),FALSE)</f>
        <v>0</v>
      </c>
      <c r="V189" s="121">
        <f>VLOOKUP($B189,'Tillförd energi'!$B$1:$AI$720,MATCH(V$1,'Tillförd energi'!$B$1:$AQ$1,0),FALSE)</f>
        <v>0</v>
      </c>
      <c r="W189" s="121">
        <f>VLOOKUP($B189,'Tillförd energi'!$B$1:$AI$720,MATCH(W$1,'Tillförd energi'!$B$1:$AQ$1,0),FALSE)</f>
        <v>0</v>
      </c>
      <c r="X189" s="121">
        <f>VLOOKUP($B189,'Tillförd energi'!$B$1:$AI$720,MATCH(X$1,'Tillförd energi'!$B$1:$AQ$1,0),FALSE)</f>
        <v>0</v>
      </c>
      <c r="Y189" s="121">
        <f>VLOOKUP($B189,'Tillförd energi'!$B$1:$AI$720,MATCH(Y$1,'Tillförd energi'!$B$1:$AQ$1,0),FALSE)</f>
        <v>0</v>
      </c>
      <c r="Z189" s="121">
        <f>VLOOKUP($B189,'Tillförd energi'!$B$1:$AI$720,MATCH(Z$1,'Tillförd energi'!$B$1:$AQ$1,0),FALSE)</f>
        <v>0</v>
      </c>
      <c r="AA189" s="121">
        <f>VLOOKUP($B189,'Tillförd energi'!$B$1:$AI$720,MATCH(AA$1,'Tillförd energi'!$B$1:$AQ$1,0),FALSE)</f>
        <v>0</v>
      </c>
      <c r="AB189" s="121">
        <f>VLOOKUP($B189,'Tillförd energi'!$B$1:$AI$720,MATCH(AB$1,'Tillförd energi'!$B$1:$AQ$1,0),FALSE)</f>
        <v>0</v>
      </c>
      <c r="AC189" s="121">
        <f>VLOOKUP($B189,'Tillförd energi'!$B$1:$AI$720,MATCH(AC$1,'Tillförd energi'!$B$1:$AQ$1,0),FALSE)</f>
        <v>3.6680000000000001</v>
      </c>
      <c r="AD189" s="121">
        <f>VLOOKUP($B189,'Tillförd energi'!$B$1:$AI$720,MATCH(AD$1,'Tillförd energi'!$B$1:$AQ$1,0),FALSE)</f>
        <v>0</v>
      </c>
      <c r="AE189" s="121">
        <f>VLOOKUP($B189,'Tillförd energi'!$B$1:$AI$720,MATCH(AE$1,'Tillförd energi'!$B$1:$AQ$1,0),FALSE)</f>
        <v>0</v>
      </c>
      <c r="AF189" s="121">
        <f>VLOOKUP($B189,'Tillförd energi'!$B$1:$AI$720,MATCH(AF$1,'Tillförd energi'!$B$1:$AQ$1,0),FALSE)</f>
        <v>0.279553</v>
      </c>
      <c r="AG189" s="121">
        <f>IFERROR(VLOOKUP(B189,Miljö!$B$1:$AC$550,MATCH("Köpt mängd produktionsspecifik fjärrvärme:",Miljö!$B$1:$AC$1,0),FALSE)/1,0)</f>
        <v>0</v>
      </c>
      <c r="AH189" s="121"/>
      <c r="AI189" s="121">
        <f t="shared" si="66"/>
        <v>10.784597999999999</v>
      </c>
      <c r="AJ189" s="121">
        <f t="shared" si="67"/>
        <v>10.784597999999999</v>
      </c>
      <c r="AK189" s="121">
        <f>IF(ISERROR(1/VLOOKUP($B189,Leveranser!$B$1:$S$499,MATCH("såld värme (gwh)",Leveranser!$B$1:$S$1,0),FALSE)),"",VLOOKUP($B189,Leveranser!$B$1:$S$499,MATCH("såld värme (gwh)",Leveranser!$B$1:$S$1,0),FALSE))</f>
        <v>10.904</v>
      </c>
      <c r="AL189" s="121">
        <f>VLOOKUP($B189,Leveranser!$B$1:$Y$499,MATCH("Totalt såld fjärrvärme till andra fjärrvärmeföretag",Leveranser!$B$1:$AA$1,0),FALSE)</f>
        <v>0</v>
      </c>
      <c r="AM189" s="121">
        <f>IF(ISERROR(1/VLOOKUP($B189,Miljö!$B$1:$S$500,MATCH("Såld mängd produktionsspecifik fjärrvärme (GWh)",Miljö!$B$1:$R$1,0),FALSE)),0,VLOOKUP($B189,Miljö!$B$1:$S$500,MATCH("Såld mängd produktionsspecifik fjärrvärme (GWh)",Miljö!$B$1:$R$1,0),FALSE))</f>
        <v>0</v>
      </c>
      <c r="AN189" s="172">
        <f t="shared" si="68"/>
        <v>1.0110715299726518</v>
      </c>
      <c r="AO189" s="121"/>
      <c r="AP189" s="121" t="str">
        <f>IFERROR(VLOOKUP($B189,Miljövärden!$B$2:$H$550,7,FALSE),"Nej, saknas")</f>
        <v>ja</v>
      </c>
      <c r="AQ189" s="121" t="str">
        <f>IFERROR(VLOOKUP($B189,Miljövärden!$B$2:$H$550,6,FALSE),"Nej, saknas")</f>
        <v>Ja</v>
      </c>
      <c r="AU189">
        <f t="shared" si="69"/>
        <v>0.279553</v>
      </c>
      <c r="AV189">
        <f t="shared" si="70"/>
        <v>0</v>
      </c>
      <c r="AW189">
        <f t="shared" si="71"/>
        <v>6.8370449999999998</v>
      </c>
      <c r="AX189">
        <f t="shared" si="72"/>
        <v>0</v>
      </c>
      <c r="AZ189">
        <f t="shared" si="73"/>
        <v>6.8370449999999998</v>
      </c>
      <c r="BC189">
        <f t="shared" si="74"/>
        <v>0</v>
      </c>
      <c r="BD189">
        <f t="shared" si="75"/>
        <v>0</v>
      </c>
      <c r="BE189">
        <f t="shared" si="76"/>
        <v>6.8370449999999998</v>
      </c>
      <c r="BF189">
        <f t="shared" si="77"/>
        <v>3.6680000000000001</v>
      </c>
      <c r="BG189">
        <f t="shared" si="78"/>
        <v>0.279553</v>
      </c>
      <c r="BH189">
        <f>VLOOKUP(B189,Miljö!$B$1:$BX$482,MATCH("Fossilandel för ursprungspecificerad el ()",Miljö!$B$1:$I$1,0),FALSE)</f>
        <v>0</v>
      </c>
      <c r="BI189">
        <f>VLOOKUP(B189,Miljö!$B$1:$BX$482,MATCH("Kärnkraftsandel för ursprungsspecificerad el ()",Miljö!$B$1:$O$1,0),FALSE)</f>
        <v>0</v>
      </c>
      <c r="BJ189">
        <f t="shared" si="79"/>
        <v>0</v>
      </c>
      <c r="BK189" t="str">
        <f>VLOOKUP(B189,Miljö!$B$1:$O$482,MATCH("Fossil andel i procent (%)",Miljö!$B$1:$O$1,0),FALSE)</f>
        <v>ET</v>
      </c>
      <c r="BL189">
        <f t="shared" si="80"/>
        <v>10.784597999999999</v>
      </c>
      <c r="BO189" s="18">
        <f t="shared" si="81"/>
        <v>0</v>
      </c>
      <c r="BP189" s="18">
        <f t="shared" si="82"/>
        <v>0</v>
      </c>
      <c r="BQ189" s="18">
        <f t="shared" si="83"/>
        <v>0.6598853290590897</v>
      </c>
      <c r="BR189" s="18">
        <f t="shared" si="84"/>
        <v>0.34011467094091041</v>
      </c>
      <c r="BT189" s="27">
        <f t="shared" si="85"/>
        <v>1</v>
      </c>
      <c r="BW189" s="18">
        <f>IF(AP189="ja",VLOOKUP(B189,Miljövärden!$B$2:$H$550,MATCH("Total andel fossilt",Miljövärden!$B$2:$H$2,0),FALSE),"")</f>
        <v>0</v>
      </c>
      <c r="BZ189" s="28">
        <f t="shared" si="86"/>
        <v>0</v>
      </c>
      <c r="CA189" s="28">
        <f t="shared" si="87"/>
        <v>0</v>
      </c>
    </row>
    <row r="190" spans="1:79" x14ac:dyDescent="0.25">
      <c r="A190" s="224" t="s">
        <v>461</v>
      </c>
      <c r="B190" s="210" t="s">
        <v>462</v>
      </c>
      <c r="C190" s="121">
        <f>VLOOKUP($B190,'Tillförd energi'!$B$1:$AI$720,MATCH(C$1,'Tillförd energi'!$B$1:$AQ$1,0),FALSE)</f>
        <v>0</v>
      </c>
      <c r="D190" s="121">
        <f>VLOOKUP($B190,'Tillförd energi'!$B$1:$AI$720,MATCH(D$1,'Tillförd energi'!$B$1:$AQ$1,0),FALSE)</f>
        <v>0.313</v>
      </c>
      <c r="E190" s="121">
        <f>VLOOKUP($B190,'Tillförd energi'!$B$1:$AI$720,MATCH(E$1,'Tillförd energi'!$B$1:$AQ$1,0),FALSE)</f>
        <v>0</v>
      </c>
      <c r="F190" s="121">
        <f>VLOOKUP($B190,'Tillförd energi'!$B$1:$AI$720,MATCH(F$1,'Tillförd energi'!$B$1:$AQ$1,0),FALSE)</f>
        <v>0</v>
      </c>
      <c r="G190" s="121">
        <f>VLOOKUP($B190,'Tillförd energi'!$B$1:$AI$720,MATCH(G$1,'Tillförd energi'!$B$1:$AQ$1,0),FALSE)</f>
        <v>0</v>
      </c>
      <c r="H190" s="121">
        <f>VLOOKUP($B190,'Tillförd energi'!$B$1:$AI$720,MATCH(H$1,'Tillförd energi'!$B$1:$AQ$1,0),FALSE)</f>
        <v>0</v>
      </c>
      <c r="I190" s="121">
        <f>VLOOKUP($B190,'Tillförd energi'!$B$1:$AI$720,MATCH(I$1,'Tillförd energi'!$B$1:$AQ$1,0),FALSE)</f>
        <v>0</v>
      </c>
      <c r="J190" s="121">
        <f>VLOOKUP($B190,'Tillförd energi'!$B$1:$AI$720,MATCH(J$1,'Tillförd energi'!$B$1:$AQ$1,0),FALSE)</f>
        <v>0</v>
      </c>
      <c r="K190" s="121">
        <f>VLOOKUP($B190,'Tillförd energi'!$B$1:$AI$720,MATCH(K$1,'Tillförd energi'!$B$1:$AQ$1,0),FALSE)</f>
        <v>0</v>
      </c>
      <c r="L190" s="121">
        <f>VLOOKUP($B190,'Tillförd energi'!$B$1:$AI$720,MATCH(L$1,'Tillförd energi'!$B$1:$AQ$1,0),FALSE)</f>
        <v>0</v>
      </c>
      <c r="M190" s="121">
        <f>VLOOKUP($B190,'Tillförd energi'!$B$1:$AI$720,MATCH(M$1,'Tillförd energi'!$B$1:$AQ$1,0),FALSE)</f>
        <v>0</v>
      </c>
      <c r="N190" s="121">
        <f>VLOOKUP($B190,'Tillförd energi'!$B$1:$AI$720,MATCH(N$1,'Tillförd energi'!$B$1:$AQ$1,0),FALSE)</f>
        <v>0</v>
      </c>
      <c r="O190" s="121">
        <f>VLOOKUP($B190,'Tillförd energi'!$B$1:$AI$720,MATCH(O$1,'Tillförd energi'!$B$1:$AQ$1,0),FALSE)</f>
        <v>0</v>
      </c>
      <c r="P190" s="121">
        <f>VLOOKUP($B190,'Tillförd energi'!$B$1:$AI$720,MATCH(P$1,'Tillförd energi'!$B$1:$AQ$1,0),FALSE)</f>
        <v>0</v>
      </c>
      <c r="Q190" s="121">
        <f>VLOOKUP($B190,'Tillförd energi'!$B$1:$AI$720,MATCH(Q$1,'Tillförd energi'!$B$1:$AQ$1,0),FALSE)</f>
        <v>0</v>
      </c>
      <c r="R190" s="121">
        <f>VLOOKUP($B190,'Tillförd energi'!$B$1:$AI$720,MATCH(R$1,'Tillförd energi'!$B$1:$AQ$1,0),FALSE)</f>
        <v>3.484</v>
      </c>
      <c r="S190" s="121">
        <f>VLOOKUP($B190,'Tillförd energi'!$B$1:$AI$720,MATCH(S$1,'Tillförd energi'!$B$1:$AQ$1,0),FALSE)</f>
        <v>0</v>
      </c>
      <c r="T190" s="121">
        <f>VLOOKUP($B190,'Tillförd energi'!$B$1:$AI$720,MATCH(T$1,'Tillförd energi'!$B$1:$AQ$1,0),FALSE)</f>
        <v>0</v>
      </c>
      <c r="U190" s="121">
        <f>VLOOKUP($B190,'Tillförd energi'!$B$1:$AI$720,MATCH(U$1,'Tillförd energi'!$B$1:$AQ$1,0),FALSE)</f>
        <v>0</v>
      </c>
      <c r="V190" s="121">
        <f>VLOOKUP($B190,'Tillförd energi'!$B$1:$AI$720,MATCH(V$1,'Tillförd energi'!$B$1:$AQ$1,0),FALSE)</f>
        <v>0</v>
      </c>
      <c r="W190" s="121">
        <f>VLOOKUP($B190,'Tillförd energi'!$B$1:$AI$720,MATCH(W$1,'Tillförd energi'!$B$1:$AQ$1,0),FALSE)</f>
        <v>0</v>
      </c>
      <c r="X190" s="121">
        <f>VLOOKUP($B190,'Tillförd energi'!$B$1:$AI$720,MATCH(X$1,'Tillförd energi'!$B$1:$AQ$1,0),FALSE)</f>
        <v>0</v>
      </c>
      <c r="Y190" s="121">
        <f>VLOOKUP($B190,'Tillförd energi'!$B$1:$AI$720,MATCH(Y$1,'Tillförd energi'!$B$1:$AQ$1,0),FALSE)</f>
        <v>0</v>
      </c>
      <c r="Z190" s="121">
        <f>VLOOKUP($B190,'Tillförd energi'!$B$1:$AI$720,MATCH(Z$1,'Tillförd energi'!$B$1:$AQ$1,0),FALSE)</f>
        <v>0</v>
      </c>
      <c r="AA190" s="121">
        <f>VLOOKUP($B190,'Tillförd energi'!$B$1:$AI$720,MATCH(AA$1,'Tillförd energi'!$B$1:$AQ$1,0),FALSE)</f>
        <v>0</v>
      </c>
      <c r="AB190" s="121">
        <f>VLOOKUP($B190,'Tillförd energi'!$B$1:$AI$720,MATCH(AB$1,'Tillförd energi'!$B$1:$AQ$1,0),FALSE)</f>
        <v>0</v>
      </c>
      <c r="AC190" s="121">
        <f>VLOOKUP($B190,'Tillförd energi'!$B$1:$AI$720,MATCH(AC$1,'Tillförd energi'!$B$1:$AQ$1,0),FALSE)</f>
        <v>0</v>
      </c>
      <c r="AD190" s="121">
        <f>VLOOKUP($B190,'Tillförd energi'!$B$1:$AI$720,MATCH(AD$1,'Tillförd energi'!$B$1:$AQ$1,0),FALSE)</f>
        <v>0</v>
      </c>
      <c r="AE190" s="121">
        <f>VLOOKUP($B190,'Tillförd energi'!$B$1:$AI$720,MATCH(AE$1,'Tillförd energi'!$B$1:$AQ$1,0),FALSE)</f>
        <v>0</v>
      </c>
      <c r="AF190" s="121">
        <f>VLOOKUP($B190,'Tillförd energi'!$B$1:$AI$720,MATCH(AF$1,'Tillförd energi'!$B$1:$AQ$1,0),FALSE)</f>
        <v>5.1499999999999997E-2</v>
      </c>
      <c r="AG190" s="121">
        <f>IFERROR(VLOOKUP(B190,Miljö!$B$1:$AC$550,MATCH("Köpt mängd produktionsspecifik fjärrvärme:",Miljö!$B$1:$AC$1,0),FALSE)/1,0)</f>
        <v>0</v>
      </c>
      <c r="AH190" s="121"/>
      <c r="AI190" s="121">
        <f t="shared" si="66"/>
        <v>3.8485</v>
      </c>
      <c r="AJ190" s="121">
        <f t="shared" si="67"/>
        <v>3.8485</v>
      </c>
      <c r="AK190" s="121">
        <f>IF(ISERROR(1/VLOOKUP($B190,Leveranser!$B$1:$S$499,MATCH("såld värme (gwh)",Leveranser!$B$1:$S$1,0),FALSE)),"",VLOOKUP($B190,Leveranser!$B$1:$S$499,MATCH("såld värme (gwh)",Leveranser!$B$1:$S$1,0),FALSE))</f>
        <v>3.2170000000000001</v>
      </c>
      <c r="AL190" s="121">
        <f>VLOOKUP($B190,Leveranser!$B$1:$Y$499,MATCH("Totalt såld fjärrvärme till andra fjärrvärmeföretag",Leveranser!$B$1:$AA$1,0),FALSE)</f>
        <v>0</v>
      </c>
      <c r="AM190" s="121">
        <f>IF(ISERROR(1/VLOOKUP($B190,Miljö!$B$1:$S$500,MATCH("Såld mängd produktionsspecifik fjärrvärme (GWh)",Miljö!$B$1:$R$1,0),FALSE)),0,VLOOKUP($B190,Miljö!$B$1:$S$500,MATCH("Såld mängd produktionsspecifik fjärrvärme (GWh)",Miljö!$B$1:$R$1,0),FALSE))</f>
        <v>0</v>
      </c>
      <c r="AN190" s="172">
        <f t="shared" si="68"/>
        <v>0.83591009484214629</v>
      </c>
      <c r="AO190" s="121"/>
      <c r="AP190" s="121" t="str">
        <f>IFERROR(VLOOKUP($B190,Miljövärden!$B$2:$H$550,7,FALSE),"Nej, saknas")</f>
        <v>Ja</v>
      </c>
      <c r="AQ190" s="121" t="str">
        <f>IFERROR(VLOOKUP($B190,Miljövärden!$B$2:$H$550,6,FALSE),"Nej, saknas")</f>
        <v>Ja</v>
      </c>
      <c r="AU190">
        <f t="shared" si="69"/>
        <v>5.1499999999999997E-2</v>
      </c>
      <c r="AV190">
        <f t="shared" si="70"/>
        <v>0</v>
      </c>
      <c r="AW190">
        <f t="shared" si="71"/>
        <v>0</v>
      </c>
      <c r="AX190">
        <f t="shared" si="72"/>
        <v>3.484</v>
      </c>
      <c r="AZ190">
        <f t="shared" si="73"/>
        <v>3.484</v>
      </c>
      <c r="BC190">
        <f t="shared" si="74"/>
        <v>0.313</v>
      </c>
      <c r="BD190">
        <f t="shared" si="75"/>
        <v>0</v>
      </c>
      <c r="BE190">
        <f t="shared" si="76"/>
        <v>3.484</v>
      </c>
      <c r="BF190">
        <f t="shared" si="77"/>
        <v>0</v>
      </c>
      <c r="BG190">
        <f t="shared" si="78"/>
        <v>5.1499999999999997E-2</v>
      </c>
      <c r="BH190">
        <f>VLOOKUP(B190,Miljö!$B$1:$BX$482,MATCH("Fossilandel för ursprungspecificerad el ()",Miljö!$B$1:$I$1,0),FALSE)</f>
        <v>0</v>
      </c>
      <c r="BI190">
        <f>VLOOKUP(B190,Miljö!$B$1:$BX$482,MATCH("Kärnkraftsandel för ursprungsspecificerad el ()",Miljö!$B$1:$O$1,0),FALSE)</f>
        <v>0</v>
      </c>
      <c r="BJ190">
        <f t="shared" si="79"/>
        <v>0</v>
      </c>
      <c r="BK190" t="str">
        <f>VLOOKUP(B190,Miljö!$B$1:$O$482,MATCH("Fossil andel i procent (%)",Miljö!$B$1:$O$1,0),FALSE)</f>
        <v>ET</v>
      </c>
      <c r="BL190">
        <f t="shared" si="80"/>
        <v>3.8485</v>
      </c>
      <c r="BO190" s="18">
        <f t="shared" si="81"/>
        <v>8.1330388463037542E-2</v>
      </c>
      <c r="BP190" s="18">
        <f t="shared" si="82"/>
        <v>0</v>
      </c>
      <c r="BQ190" s="18">
        <f t="shared" si="83"/>
        <v>0.91866961153696236</v>
      </c>
      <c r="BR190" s="18">
        <f t="shared" si="84"/>
        <v>0</v>
      </c>
      <c r="BT190" s="27">
        <f t="shared" si="85"/>
        <v>0.99999999999999989</v>
      </c>
      <c r="BW190" s="18">
        <f>IF(AP190="ja",VLOOKUP(B190,Miljövärden!$B$2:$H$550,MATCH("Total andel fossilt",Miljövärden!$B$2:$H$2,0),FALSE),"")</f>
        <v>8.1330399999999997E-2</v>
      </c>
      <c r="BZ190" s="28">
        <f t="shared" si="86"/>
        <v>1.1536962454816724E-8</v>
      </c>
      <c r="CA190" s="28">
        <f t="shared" si="87"/>
        <v>0</v>
      </c>
    </row>
    <row r="191" spans="1:79" x14ac:dyDescent="0.25">
      <c r="A191" s="224" t="s">
        <v>461</v>
      </c>
      <c r="B191" s="210" t="s">
        <v>464</v>
      </c>
      <c r="C191" s="121">
        <f>VLOOKUP($B191,'Tillförd energi'!$B$1:$AI$720,MATCH(C$1,'Tillförd energi'!$B$1:$AQ$1,0),FALSE)</f>
        <v>0</v>
      </c>
      <c r="D191" s="121">
        <f>VLOOKUP($B191,'Tillförd energi'!$B$1:$AI$720,MATCH(D$1,'Tillförd energi'!$B$1:$AQ$1,0),FALSE)</f>
        <v>0</v>
      </c>
      <c r="E191" s="121">
        <f>VLOOKUP($B191,'Tillförd energi'!$B$1:$AI$720,MATCH(E$1,'Tillförd energi'!$B$1:$AQ$1,0),FALSE)</f>
        <v>0</v>
      </c>
      <c r="F191" s="121">
        <f>VLOOKUP($B191,'Tillförd energi'!$B$1:$AI$720,MATCH(F$1,'Tillförd energi'!$B$1:$AQ$1,0),FALSE)</f>
        <v>0</v>
      </c>
      <c r="G191" s="121">
        <f>VLOOKUP($B191,'Tillförd energi'!$B$1:$AI$720,MATCH(G$1,'Tillförd energi'!$B$1:$AQ$1,0),FALSE)</f>
        <v>2.5979999999999999</v>
      </c>
      <c r="H191" s="121">
        <f>VLOOKUP($B191,'Tillförd energi'!$B$1:$AI$720,MATCH(H$1,'Tillförd energi'!$B$1:$AQ$1,0),FALSE)</f>
        <v>0</v>
      </c>
      <c r="I191" s="121">
        <f>VLOOKUP($B191,'Tillförd energi'!$B$1:$AI$720,MATCH(I$1,'Tillförd energi'!$B$1:$AQ$1,0),FALSE)</f>
        <v>0</v>
      </c>
      <c r="J191" s="121">
        <f>VLOOKUP($B191,'Tillförd energi'!$B$1:$AI$720,MATCH(J$1,'Tillförd energi'!$B$1:$AQ$1,0),FALSE)</f>
        <v>0</v>
      </c>
      <c r="K191" s="121">
        <f>VLOOKUP($B191,'Tillförd energi'!$B$1:$AI$720,MATCH(K$1,'Tillförd energi'!$B$1:$AQ$1,0),FALSE)</f>
        <v>0</v>
      </c>
      <c r="L191" s="121">
        <f>VLOOKUP($B191,'Tillförd energi'!$B$1:$AI$720,MATCH(L$1,'Tillförd energi'!$B$1:$AQ$1,0),FALSE)</f>
        <v>0</v>
      </c>
      <c r="M191" s="121">
        <f>VLOOKUP($B191,'Tillförd energi'!$B$1:$AI$720,MATCH(M$1,'Tillförd energi'!$B$1:$AQ$1,0),FALSE)</f>
        <v>0</v>
      </c>
      <c r="N191" s="121">
        <f>VLOOKUP($B191,'Tillförd energi'!$B$1:$AI$720,MATCH(N$1,'Tillförd energi'!$B$1:$AQ$1,0),FALSE)</f>
        <v>0</v>
      </c>
      <c r="O191" s="121">
        <f>VLOOKUP($B191,'Tillförd energi'!$B$1:$AI$720,MATCH(O$1,'Tillförd energi'!$B$1:$AQ$1,0),FALSE)</f>
        <v>0</v>
      </c>
      <c r="P191" s="121">
        <f>VLOOKUP($B191,'Tillförd energi'!$B$1:$AI$720,MATCH(P$1,'Tillförd energi'!$B$1:$AQ$1,0),FALSE)</f>
        <v>25.164000000000001</v>
      </c>
      <c r="Q191" s="121">
        <f>VLOOKUP($B191,'Tillförd energi'!$B$1:$AI$720,MATCH(Q$1,'Tillförd energi'!$B$1:$AQ$1,0),FALSE)</f>
        <v>0</v>
      </c>
      <c r="R191" s="121">
        <f>VLOOKUP($B191,'Tillförd energi'!$B$1:$AI$720,MATCH(R$1,'Tillförd energi'!$B$1:$AQ$1,0),FALSE)</f>
        <v>0.66200000000000003</v>
      </c>
      <c r="S191" s="121">
        <f>VLOOKUP($B191,'Tillförd energi'!$B$1:$AI$720,MATCH(S$1,'Tillförd energi'!$B$1:$AQ$1,0),FALSE)</f>
        <v>0</v>
      </c>
      <c r="T191" s="121">
        <f>VLOOKUP($B191,'Tillförd energi'!$B$1:$AI$720,MATCH(T$1,'Tillförd energi'!$B$1:$AQ$1,0),FALSE)</f>
        <v>0</v>
      </c>
      <c r="U191" s="121">
        <f>VLOOKUP($B191,'Tillförd energi'!$B$1:$AI$720,MATCH(U$1,'Tillförd energi'!$B$1:$AQ$1,0),FALSE)</f>
        <v>0</v>
      </c>
      <c r="V191" s="121">
        <f>VLOOKUP($B191,'Tillförd energi'!$B$1:$AI$720,MATCH(V$1,'Tillförd energi'!$B$1:$AQ$1,0),FALSE)</f>
        <v>0</v>
      </c>
      <c r="W191" s="121">
        <f>VLOOKUP($B191,'Tillförd energi'!$B$1:$AI$720,MATCH(W$1,'Tillförd energi'!$B$1:$AQ$1,0),FALSE)</f>
        <v>0</v>
      </c>
      <c r="X191" s="121">
        <f>VLOOKUP($B191,'Tillförd energi'!$B$1:$AI$720,MATCH(X$1,'Tillförd energi'!$B$1:$AQ$1,0),FALSE)</f>
        <v>0</v>
      </c>
      <c r="Y191" s="121">
        <f>VLOOKUP($B191,'Tillförd energi'!$B$1:$AI$720,MATCH(Y$1,'Tillförd energi'!$B$1:$AQ$1,0),FALSE)</f>
        <v>0</v>
      </c>
      <c r="Z191" s="121">
        <f>VLOOKUP($B191,'Tillförd energi'!$B$1:$AI$720,MATCH(Z$1,'Tillförd energi'!$B$1:$AQ$1,0),FALSE)</f>
        <v>0</v>
      </c>
      <c r="AA191" s="121">
        <f>VLOOKUP($B191,'Tillförd energi'!$B$1:$AI$720,MATCH(AA$1,'Tillförd energi'!$B$1:$AQ$1,0),FALSE)</f>
        <v>0</v>
      </c>
      <c r="AB191" s="121">
        <f>VLOOKUP($B191,'Tillförd energi'!$B$1:$AI$720,MATCH(AB$1,'Tillförd energi'!$B$1:$AQ$1,0),FALSE)</f>
        <v>0</v>
      </c>
      <c r="AC191" s="121">
        <f>VLOOKUP($B191,'Tillförd energi'!$B$1:$AI$720,MATCH(AC$1,'Tillförd energi'!$B$1:$AQ$1,0),FALSE)</f>
        <v>0</v>
      </c>
      <c r="AD191" s="121">
        <f>VLOOKUP($B191,'Tillförd energi'!$B$1:$AI$720,MATCH(AD$1,'Tillförd energi'!$B$1:$AQ$1,0),FALSE)</f>
        <v>2.375</v>
      </c>
      <c r="AE191" s="121">
        <f>VLOOKUP($B191,'Tillförd energi'!$B$1:$AI$720,MATCH(AE$1,'Tillförd energi'!$B$1:$AQ$1,0),FALSE)</f>
        <v>0</v>
      </c>
      <c r="AF191" s="121">
        <f>VLOOKUP($B191,'Tillförd energi'!$B$1:$AI$720,MATCH(AF$1,'Tillförd energi'!$B$1:$AQ$1,0),FALSE)</f>
        <v>0.69569999999999999</v>
      </c>
      <c r="AG191" s="121">
        <f>IFERROR(VLOOKUP(B191,Miljö!$B$1:$AC$550,MATCH("Köpt mängd produktionsspecifik fjärrvärme:",Miljö!$B$1:$AC$1,0),FALSE)/1,0)</f>
        <v>0</v>
      </c>
      <c r="AH191" s="121"/>
      <c r="AI191" s="121">
        <f t="shared" si="66"/>
        <v>31.494699999999998</v>
      </c>
      <c r="AJ191" s="121">
        <f t="shared" si="67"/>
        <v>31.494699999999998</v>
      </c>
      <c r="AK191" s="121">
        <f>IF(ISERROR(1/VLOOKUP($B191,Leveranser!$B$1:$S$499,MATCH("såld värme (gwh)",Leveranser!$B$1:$S$1,0),FALSE)),"",VLOOKUP($B191,Leveranser!$B$1:$S$499,MATCH("såld värme (gwh)",Leveranser!$B$1:$S$1,0),FALSE))</f>
        <v>22.4</v>
      </c>
      <c r="AL191" s="121">
        <f>VLOOKUP($B191,Leveranser!$B$1:$Y$499,MATCH("Totalt såld fjärrvärme till andra fjärrvärmeföretag",Leveranser!$B$1:$AA$1,0),FALSE)</f>
        <v>0</v>
      </c>
      <c r="AM191" s="121">
        <f>IF(ISERROR(1/VLOOKUP($B191,Miljö!$B$1:$S$500,MATCH("Såld mängd produktionsspecifik fjärrvärme (GWh)",Miljö!$B$1:$R$1,0),FALSE)),0,VLOOKUP($B191,Miljö!$B$1:$S$500,MATCH("Såld mängd produktionsspecifik fjärrvärme (GWh)",Miljö!$B$1:$R$1,0),FALSE))</f>
        <v>0</v>
      </c>
      <c r="AN191" s="172">
        <f t="shared" si="68"/>
        <v>0.71123077851194005</v>
      </c>
      <c r="AO191" s="121"/>
      <c r="AP191" s="121" t="str">
        <f>IFERROR(VLOOKUP($B191,Miljövärden!$B$2:$H$550,7,FALSE),"Nej, saknas")</f>
        <v>Ja</v>
      </c>
      <c r="AQ191" s="121" t="str">
        <f>IFERROR(VLOOKUP($B191,Miljövärden!$B$2:$H$550,6,FALSE),"Nej, saknas")</f>
        <v>Ja</v>
      </c>
      <c r="AU191">
        <f t="shared" si="69"/>
        <v>0.69569999999999999</v>
      </c>
      <c r="AV191">
        <f t="shared" si="70"/>
        <v>0</v>
      </c>
      <c r="AW191">
        <f t="shared" si="71"/>
        <v>25.164000000000001</v>
      </c>
      <c r="AX191">
        <f t="shared" si="72"/>
        <v>0.66200000000000003</v>
      </c>
      <c r="AZ191">
        <f t="shared" si="73"/>
        <v>25.826000000000001</v>
      </c>
      <c r="BC191">
        <f t="shared" si="74"/>
        <v>2.5979999999999999</v>
      </c>
      <c r="BD191">
        <f t="shared" si="75"/>
        <v>0</v>
      </c>
      <c r="BE191">
        <f t="shared" si="76"/>
        <v>25.826000000000001</v>
      </c>
      <c r="BF191">
        <f t="shared" si="77"/>
        <v>2.375</v>
      </c>
      <c r="BG191">
        <f t="shared" si="78"/>
        <v>0.69569999999999999</v>
      </c>
      <c r="BH191">
        <f>VLOOKUP(B191,Miljö!$B$1:$BX$482,MATCH("Fossilandel för ursprungspecificerad el ()",Miljö!$B$1:$I$1,0),FALSE)</f>
        <v>0</v>
      </c>
      <c r="BI191">
        <f>VLOOKUP(B191,Miljö!$B$1:$BX$482,MATCH("Kärnkraftsandel för ursprungsspecificerad el ()",Miljö!$B$1:$O$1,0),FALSE)</f>
        <v>0</v>
      </c>
      <c r="BJ191">
        <f t="shared" si="79"/>
        <v>0</v>
      </c>
      <c r="BK191" t="str">
        <f>VLOOKUP(B191,Miljö!$B$1:$O$482,MATCH("Fossil andel i procent (%)",Miljö!$B$1:$O$1,0),FALSE)</f>
        <v>ET</v>
      </c>
      <c r="BL191">
        <f t="shared" si="80"/>
        <v>31.494699999999998</v>
      </c>
      <c r="BO191" s="18">
        <f t="shared" si="81"/>
        <v>8.2490069757768764E-2</v>
      </c>
      <c r="BP191" s="18">
        <f t="shared" si="82"/>
        <v>0</v>
      </c>
      <c r="BQ191" s="18">
        <f t="shared" si="83"/>
        <v>0.84210041689554116</v>
      </c>
      <c r="BR191" s="18">
        <f t="shared" si="84"/>
        <v>7.5409513346690077E-2</v>
      </c>
      <c r="BT191" s="27">
        <f t="shared" si="85"/>
        <v>1</v>
      </c>
      <c r="BW191" s="18">
        <f>IF(AP191="ja",VLOOKUP(B191,Miljövärden!$B$2:$H$550,MATCH("Total andel fossilt",Miljövärden!$B$2:$H$2,0),FALSE),"")</f>
        <v>8.2490099999999997E-2</v>
      </c>
      <c r="BZ191" s="28">
        <f t="shared" si="86"/>
        <v>3.0242231233157391E-8</v>
      </c>
      <c r="CA191" s="28">
        <f t="shared" si="87"/>
        <v>0</v>
      </c>
    </row>
    <row r="192" spans="1:79" x14ac:dyDescent="0.25">
      <c r="A192" s="224" t="s">
        <v>461</v>
      </c>
      <c r="B192" s="210" t="s">
        <v>465</v>
      </c>
      <c r="C192" s="121">
        <f>VLOOKUP($B192,'Tillförd energi'!$B$1:$AI$720,MATCH(C$1,'Tillförd energi'!$B$1:$AQ$1,0),FALSE)</f>
        <v>0</v>
      </c>
      <c r="D192" s="121">
        <f>VLOOKUP($B192,'Tillförd energi'!$B$1:$AI$720,MATCH(D$1,'Tillförd energi'!$B$1:$AQ$1,0),FALSE)</f>
        <v>2.649</v>
      </c>
      <c r="E192" s="121">
        <f>VLOOKUP($B192,'Tillförd energi'!$B$1:$AI$720,MATCH(E$1,'Tillförd energi'!$B$1:$AQ$1,0),FALSE)</f>
        <v>0</v>
      </c>
      <c r="F192" s="121">
        <f>VLOOKUP($B192,'Tillförd energi'!$B$1:$AI$720,MATCH(F$1,'Tillförd energi'!$B$1:$AQ$1,0),FALSE)</f>
        <v>0</v>
      </c>
      <c r="G192" s="121">
        <f>VLOOKUP($B192,'Tillförd energi'!$B$1:$AI$720,MATCH(G$1,'Tillförd energi'!$B$1:$AQ$1,0),FALSE)</f>
        <v>0</v>
      </c>
      <c r="H192" s="121">
        <f>VLOOKUP($B192,'Tillförd energi'!$B$1:$AI$720,MATCH(H$1,'Tillförd energi'!$B$1:$AQ$1,0),FALSE)</f>
        <v>0</v>
      </c>
      <c r="I192" s="121">
        <f>VLOOKUP($B192,'Tillförd energi'!$B$1:$AI$720,MATCH(I$1,'Tillförd energi'!$B$1:$AQ$1,0),FALSE)</f>
        <v>0</v>
      </c>
      <c r="J192" s="121">
        <f>VLOOKUP($B192,'Tillförd energi'!$B$1:$AI$720,MATCH(J$1,'Tillförd energi'!$B$1:$AQ$1,0),FALSE)</f>
        <v>0</v>
      </c>
      <c r="K192" s="121">
        <f>VLOOKUP($B192,'Tillförd energi'!$B$1:$AI$720,MATCH(K$1,'Tillförd energi'!$B$1:$AQ$1,0),FALSE)</f>
        <v>0</v>
      </c>
      <c r="L192" s="121">
        <f>VLOOKUP($B192,'Tillförd energi'!$B$1:$AI$720,MATCH(L$1,'Tillförd energi'!$B$1:$AQ$1,0),FALSE)</f>
        <v>0</v>
      </c>
      <c r="M192" s="121">
        <f>VLOOKUP($B192,'Tillförd energi'!$B$1:$AI$720,MATCH(M$1,'Tillförd energi'!$B$1:$AQ$1,0),FALSE)</f>
        <v>0</v>
      </c>
      <c r="N192" s="121">
        <f>VLOOKUP($B192,'Tillförd energi'!$B$1:$AI$720,MATCH(N$1,'Tillförd energi'!$B$1:$AQ$1,0),FALSE)</f>
        <v>4.63</v>
      </c>
      <c r="O192" s="121">
        <f>VLOOKUP($B192,'Tillförd energi'!$B$1:$AI$720,MATCH(O$1,'Tillförd energi'!$B$1:$AQ$1,0),FALSE)</f>
        <v>0</v>
      </c>
      <c r="P192" s="121">
        <f>VLOOKUP($B192,'Tillförd energi'!$B$1:$AI$720,MATCH(P$1,'Tillförd energi'!$B$1:$AQ$1,0),FALSE)</f>
        <v>10</v>
      </c>
      <c r="Q192" s="121">
        <f>VLOOKUP($B192,'Tillförd energi'!$B$1:$AI$720,MATCH(Q$1,'Tillförd energi'!$B$1:$AQ$1,0),FALSE)</f>
        <v>0</v>
      </c>
      <c r="R192" s="121">
        <f>VLOOKUP($B192,'Tillförd energi'!$B$1:$AI$720,MATCH(R$1,'Tillförd energi'!$B$1:$AQ$1,0),FALSE)</f>
        <v>0</v>
      </c>
      <c r="S192" s="121">
        <f>VLOOKUP($B192,'Tillförd energi'!$B$1:$AI$720,MATCH(S$1,'Tillförd energi'!$B$1:$AQ$1,0),FALSE)</f>
        <v>0</v>
      </c>
      <c r="T192" s="121">
        <f>VLOOKUP($B192,'Tillförd energi'!$B$1:$AI$720,MATCH(T$1,'Tillförd energi'!$B$1:$AQ$1,0),FALSE)</f>
        <v>0</v>
      </c>
      <c r="U192" s="121">
        <f>VLOOKUP($B192,'Tillförd energi'!$B$1:$AI$720,MATCH(U$1,'Tillförd energi'!$B$1:$AQ$1,0),FALSE)</f>
        <v>0</v>
      </c>
      <c r="V192" s="121">
        <f>VLOOKUP($B192,'Tillförd energi'!$B$1:$AI$720,MATCH(V$1,'Tillförd energi'!$B$1:$AQ$1,0),FALSE)</f>
        <v>0</v>
      </c>
      <c r="W192" s="121">
        <f>VLOOKUP($B192,'Tillförd energi'!$B$1:$AI$720,MATCH(W$1,'Tillförd energi'!$B$1:$AQ$1,0),FALSE)</f>
        <v>0</v>
      </c>
      <c r="X192" s="121">
        <f>VLOOKUP($B192,'Tillförd energi'!$B$1:$AI$720,MATCH(X$1,'Tillförd energi'!$B$1:$AQ$1,0),FALSE)</f>
        <v>0</v>
      </c>
      <c r="Y192" s="121">
        <f>VLOOKUP($B192,'Tillförd energi'!$B$1:$AI$720,MATCH(Y$1,'Tillförd energi'!$B$1:$AQ$1,0),FALSE)</f>
        <v>0</v>
      </c>
      <c r="Z192" s="121">
        <f>VLOOKUP($B192,'Tillförd energi'!$B$1:$AI$720,MATCH(Z$1,'Tillförd energi'!$B$1:$AQ$1,0),FALSE)</f>
        <v>0</v>
      </c>
      <c r="AA192" s="121">
        <f>VLOOKUP($B192,'Tillförd energi'!$B$1:$AI$720,MATCH(AA$1,'Tillförd energi'!$B$1:$AQ$1,0),FALSE)</f>
        <v>0</v>
      </c>
      <c r="AB192" s="121">
        <f>VLOOKUP($B192,'Tillförd energi'!$B$1:$AI$720,MATCH(AB$1,'Tillförd energi'!$B$1:$AQ$1,0),FALSE)</f>
        <v>0</v>
      </c>
      <c r="AC192" s="121">
        <f>VLOOKUP($B192,'Tillförd energi'!$B$1:$AI$720,MATCH(AC$1,'Tillförd energi'!$B$1:$AQ$1,0),FALSE)</f>
        <v>0</v>
      </c>
      <c r="AD192" s="121">
        <f>VLOOKUP($B192,'Tillförd energi'!$B$1:$AI$720,MATCH(AD$1,'Tillförd energi'!$B$1:$AQ$1,0),FALSE)</f>
        <v>0</v>
      </c>
      <c r="AE192" s="121">
        <f>VLOOKUP($B192,'Tillförd energi'!$B$1:$AI$720,MATCH(AE$1,'Tillförd energi'!$B$1:$AQ$1,0),FALSE)</f>
        <v>0</v>
      </c>
      <c r="AF192" s="121">
        <f>VLOOKUP($B192,'Tillförd energi'!$B$1:$AI$720,MATCH(AF$1,'Tillförd energi'!$B$1:$AQ$1,0),FALSE)</f>
        <v>0.245</v>
      </c>
      <c r="AG192" s="121">
        <f>IFERROR(VLOOKUP(B192,Miljö!$B$1:$AC$550,MATCH("Köpt mängd produktionsspecifik fjärrvärme:",Miljö!$B$1:$AC$1,0),FALSE)/1,0)</f>
        <v>0</v>
      </c>
      <c r="AH192" s="121"/>
      <c r="AI192" s="121">
        <f t="shared" si="66"/>
        <v>17.524000000000001</v>
      </c>
      <c r="AJ192" s="121">
        <f t="shared" si="67"/>
        <v>17.524000000000001</v>
      </c>
      <c r="AK192" s="121">
        <f>IF(ISERROR(1/VLOOKUP($B192,Leveranser!$B$1:$S$499,MATCH("såld värme (gwh)",Leveranser!$B$1:$S$1,0),FALSE)),"",VLOOKUP($B192,Leveranser!$B$1:$S$499,MATCH("såld värme (gwh)",Leveranser!$B$1:$S$1,0),FALSE))</f>
        <v>12.478999999999999</v>
      </c>
      <c r="AL192" s="121">
        <f>VLOOKUP($B192,Leveranser!$B$1:$Y$499,MATCH("Totalt såld fjärrvärme till andra fjärrvärmeföretag",Leveranser!$B$1:$AA$1,0),FALSE)</f>
        <v>0</v>
      </c>
      <c r="AM192" s="121">
        <f>IF(ISERROR(1/VLOOKUP($B192,Miljö!$B$1:$S$500,MATCH("Såld mängd produktionsspecifik fjärrvärme (GWh)",Miljö!$B$1:$R$1,0),FALSE)),0,VLOOKUP($B192,Miljö!$B$1:$S$500,MATCH("Såld mängd produktionsspecifik fjärrvärme (GWh)",Miljö!$B$1:$R$1,0),FALSE))</f>
        <v>0</v>
      </c>
      <c r="AN192" s="172">
        <f t="shared" si="68"/>
        <v>0.71210910750970091</v>
      </c>
      <c r="AO192" s="121"/>
      <c r="AP192" s="121" t="str">
        <f>IFERROR(VLOOKUP($B192,Miljövärden!$B$2:$H$550,7,FALSE),"Nej, saknas")</f>
        <v>Ja</v>
      </c>
      <c r="AQ192" s="121" t="str">
        <f>IFERROR(VLOOKUP($B192,Miljövärden!$B$2:$H$550,6,FALSE),"Nej, saknas")</f>
        <v>Ja</v>
      </c>
      <c r="AU192">
        <f t="shared" si="69"/>
        <v>0.245</v>
      </c>
      <c r="AV192">
        <f t="shared" si="70"/>
        <v>0</v>
      </c>
      <c r="AW192">
        <f t="shared" si="71"/>
        <v>14.629999999999999</v>
      </c>
      <c r="AX192">
        <f t="shared" si="72"/>
        <v>0</v>
      </c>
      <c r="AZ192">
        <f t="shared" si="73"/>
        <v>14.629999999999999</v>
      </c>
      <c r="BC192">
        <f t="shared" si="74"/>
        <v>2.649</v>
      </c>
      <c r="BD192">
        <f t="shared" si="75"/>
        <v>0</v>
      </c>
      <c r="BE192">
        <f t="shared" si="76"/>
        <v>14.629999999999999</v>
      </c>
      <c r="BF192">
        <f t="shared" si="77"/>
        <v>0</v>
      </c>
      <c r="BG192">
        <f t="shared" si="78"/>
        <v>0.245</v>
      </c>
      <c r="BH192">
        <f>VLOOKUP(B192,Miljö!$B$1:$BX$482,MATCH("Fossilandel för ursprungspecificerad el ()",Miljö!$B$1:$I$1,0),FALSE)</f>
        <v>0</v>
      </c>
      <c r="BI192">
        <f>VLOOKUP(B192,Miljö!$B$1:$BX$482,MATCH("Kärnkraftsandel för ursprungsspecificerad el ()",Miljö!$B$1:$O$1,0),FALSE)</f>
        <v>0</v>
      </c>
      <c r="BJ192">
        <f t="shared" si="79"/>
        <v>0</v>
      </c>
      <c r="BK192" t="str">
        <f>VLOOKUP(B192,Miljö!$B$1:$O$482,MATCH("Fossil andel i procent (%)",Miljö!$B$1:$O$1,0),FALSE)</f>
        <v>ET</v>
      </c>
      <c r="BL192">
        <f t="shared" si="80"/>
        <v>17.524000000000001</v>
      </c>
      <c r="BO192" s="18">
        <f t="shared" si="81"/>
        <v>0.15116411778132846</v>
      </c>
      <c r="BP192" s="18">
        <f t="shared" si="82"/>
        <v>0</v>
      </c>
      <c r="BQ192" s="18">
        <f t="shared" si="83"/>
        <v>0.84883588221867134</v>
      </c>
      <c r="BR192" s="18">
        <f t="shared" si="84"/>
        <v>0</v>
      </c>
      <c r="BT192" s="27">
        <f t="shared" si="85"/>
        <v>0.99999999999999978</v>
      </c>
      <c r="BW192" s="18">
        <f>IF(AP192="ja",VLOOKUP(B192,Miljövärden!$B$2:$H$550,MATCH("Total andel fossilt",Miljövärden!$B$2:$H$2,0),FALSE),"")</f>
        <v>0.15116399999999999</v>
      </c>
      <c r="BZ192" s="28">
        <f t="shared" si="86"/>
        <v>-1.1778132846806955E-7</v>
      </c>
      <c r="CA192" s="28">
        <f t="shared" si="87"/>
        <v>0</v>
      </c>
    </row>
    <row r="193" spans="1:79" x14ac:dyDescent="0.25">
      <c r="A193" s="224" t="s">
        <v>461</v>
      </c>
      <c r="B193" s="210" t="s">
        <v>101</v>
      </c>
      <c r="C193" s="121">
        <f>VLOOKUP($B193,'Tillförd energi'!$B$1:$AI$720,MATCH(C$1,'Tillförd energi'!$B$1:$AQ$1,0),FALSE)</f>
        <v>0</v>
      </c>
      <c r="D193" s="121">
        <f>VLOOKUP($B193,'Tillförd energi'!$B$1:$AI$720,MATCH(D$1,'Tillförd energi'!$B$1:$AQ$1,0),FALSE)</f>
        <v>0.108</v>
      </c>
      <c r="E193" s="121">
        <f>VLOOKUP($B193,'Tillförd energi'!$B$1:$AI$720,MATCH(E$1,'Tillförd energi'!$B$1:$AQ$1,0),FALSE)</f>
        <v>0</v>
      </c>
      <c r="F193" s="121">
        <f>VLOOKUP($B193,'Tillförd energi'!$B$1:$AI$720,MATCH(F$1,'Tillförd energi'!$B$1:$AQ$1,0),FALSE)</f>
        <v>0</v>
      </c>
      <c r="G193" s="121">
        <f>VLOOKUP($B193,'Tillförd energi'!$B$1:$AI$720,MATCH(G$1,'Tillförd energi'!$B$1:$AQ$1,0),FALSE)</f>
        <v>0</v>
      </c>
      <c r="H193" s="121">
        <f>VLOOKUP($B193,'Tillförd energi'!$B$1:$AI$720,MATCH(H$1,'Tillförd energi'!$B$1:$AQ$1,0),FALSE)</f>
        <v>0</v>
      </c>
      <c r="I193" s="121">
        <f>VLOOKUP($B193,'Tillförd energi'!$B$1:$AI$720,MATCH(I$1,'Tillförd energi'!$B$1:$AQ$1,0),FALSE)</f>
        <v>0</v>
      </c>
      <c r="J193" s="121">
        <f>VLOOKUP($B193,'Tillförd energi'!$B$1:$AI$720,MATCH(J$1,'Tillförd energi'!$B$1:$AQ$1,0),FALSE)</f>
        <v>0</v>
      </c>
      <c r="K193" s="121">
        <f>VLOOKUP($B193,'Tillförd energi'!$B$1:$AI$720,MATCH(K$1,'Tillförd energi'!$B$1:$AQ$1,0),FALSE)</f>
        <v>0</v>
      </c>
      <c r="L193" s="121">
        <f>VLOOKUP($B193,'Tillförd energi'!$B$1:$AI$720,MATCH(L$1,'Tillförd energi'!$B$1:$AQ$1,0),FALSE)</f>
        <v>0</v>
      </c>
      <c r="M193" s="121">
        <f>VLOOKUP($B193,'Tillförd energi'!$B$1:$AI$720,MATCH(M$1,'Tillförd energi'!$B$1:$AQ$1,0),FALSE)</f>
        <v>0</v>
      </c>
      <c r="N193" s="121">
        <f>VLOOKUP($B193,'Tillförd energi'!$B$1:$AI$720,MATCH(N$1,'Tillförd energi'!$B$1:$AQ$1,0),FALSE)</f>
        <v>0</v>
      </c>
      <c r="O193" s="121">
        <f>VLOOKUP($B193,'Tillförd energi'!$B$1:$AI$720,MATCH(O$1,'Tillförd energi'!$B$1:$AQ$1,0),FALSE)</f>
        <v>0</v>
      </c>
      <c r="P193" s="121">
        <f>VLOOKUP($B193,'Tillförd energi'!$B$1:$AI$720,MATCH(P$1,'Tillförd energi'!$B$1:$AQ$1,0),FALSE)</f>
        <v>39.893999999999998</v>
      </c>
      <c r="Q193" s="121">
        <f>VLOOKUP($B193,'Tillförd energi'!$B$1:$AI$720,MATCH(Q$1,'Tillförd energi'!$B$1:$AQ$1,0),FALSE)</f>
        <v>0</v>
      </c>
      <c r="R193" s="121">
        <f>VLOOKUP($B193,'Tillförd energi'!$B$1:$AI$720,MATCH(R$1,'Tillförd energi'!$B$1:$AQ$1,0),FALSE)</f>
        <v>0</v>
      </c>
      <c r="S193" s="121">
        <f>VLOOKUP($B193,'Tillförd energi'!$B$1:$AI$720,MATCH(S$1,'Tillförd energi'!$B$1:$AQ$1,0),FALSE)</f>
        <v>0</v>
      </c>
      <c r="T193" s="121">
        <f>VLOOKUP($B193,'Tillförd energi'!$B$1:$AI$720,MATCH(T$1,'Tillförd energi'!$B$1:$AQ$1,0),FALSE)</f>
        <v>0</v>
      </c>
      <c r="U193" s="121">
        <f>VLOOKUP($B193,'Tillförd energi'!$B$1:$AI$720,MATCH(U$1,'Tillförd energi'!$B$1:$AQ$1,0),FALSE)</f>
        <v>0</v>
      </c>
      <c r="V193" s="121">
        <f>VLOOKUP($B193,'Tillförd energi'!$B$1:$AI$720,MATCH(V$1,'Tillförd energi'!$B$1:$AQ$1,0),FALSE)</f>
        <v>0</v>
      </c>
      <c r="W193" s="121">
        <f>VLOOKUP($B193,'Tillförd energi'!$B$1:$AI$720,MATCH(W$1,'Tillförd energi'!$B$1:$AQ$1,0),FALSE)</f>
        <v>0</v>
      </c>
      <c r="X193" s="121">
        <f>VLOOKUP($B193,'Tillförd energi'!$B$1:$AI$720,MATCH(X$1,'Tillförd energi'!$B$1:$AQ$1,0),FALSE)</f>
        <v>0</v>
      </c>
      <c r="Y193" s="121">
        <f>VLOOKUP($B193,'Tillförd energi'!$B$1:$AI$720,MATCH(Y$1,'Tillförd energi'!$B$1:$AQ$1,0),FALSE)</f>
        <v>0</v>
      </c>
      <c r="Z193" s="121">
        <f>VLOOKUP($B193,'Tillförd energi'!$B$1:$AI$720,MATCH(Z$1,'Tillförd energi'!$B$1:$AQ$1,0),FALSE)</f>
        <v>0</v>
      </c>
      <c r="AA193" s="121">
        <f>VLOOKUP($B193,'Tillförd energi'!$B$1:$AI$720,MATCH(AA$1,'Tillförd energi'!$B$1:$AQ$1,0),FALSE)</f>
        <v>0</v>
      </c>
      <c r="AB193" s="121">
        <f>VLOOKUP($B193,'Tillförd energi'!$B$1:$AI$720,MATCH(AB$1,'Tillförd energi'!$B$1:$AQ$1,0),FALSE)</f>
        <v>0</v>
      </c>
      <c r="AC193" s="121">
        <f>VLOOKUP($B193,'Tillförd energi'!$B$1:$AI$720,MATCH(AC$1,'Tillförd energi'!$B$1:$AQ$1,0),FALSE)</f>
        <v>5.625</v>
      </c>
      <c r="AD193" s="121">
        <f>VLOOKUP($B193,'Tillförd energi'!$B$1:$AI$720,MATCH(AD$1,'Tillförd energi'!$B$1:$AQ$1,0),FALSE)</f>
        <v>0</v>
      </c>
      <c r="AE193" s="121">
        <f>VLOOKUP($B193,'Tillförd energi'!$B$1:$AI$720,MATCH(AE$1,'Tillförd energi'!$B$1:$AQ$1,0),FALSE)</f>
        <v>0</v>
      </c>
      <c r="AF193" s="121">
        <f>VLOOKUP($B193,'Tillförd energi'!$B$1:$AI$720,MATCH(AF$1,'Tillförd energi'!$B$1:$AQ$1,0),FALSE)</f>
        <v>0.85399999999999998</v>
      </c>
      <c r="AG193" s="121">
        <f>IFERROR(VLOOKUP(B193,Miljö!$B$1:$AC$550,MATCH("Köpt mängd produktionsspecifik fjärrvärme:",Miljö!$B$1:$AC$1,0),FALSE)/1,0)</f>
        <v>0</v>
      </c>
      <c r="AH193" s="121"/>
      <c r="AI193" s="121">
        <f t="shared" si="66"/>
        <v>46.480999999999995</v>
      </c>
      <c r="AJ193" s="121">
        <f t="shared" si="67"/>
        <v>46.480999999999995</v>
      </c>
      <c r="AK193" s="121">
        <f>IF(ISERROR(1/VLOOKUP($B193,Leveranser!$B$1:$S$499,MATCH("såld värme (gwh)",Leveranser!$B$1:$S$1,0),FALSE)),"",VLOOKUP($B193,Leveranser!$B$1:$S$499,MATCH("såld värme (gwh)",Leveranser!$B$1:$S$1,0),FALSE))</f>
        <v>32.593000000000004</v>
      </c>
      <c r="AL193" s="121">
        <f>VLOOKUP($B193,Leveranser!$B$1:$Y$499,MATCH("Totalt såld fjärrvärme till andra fjärrvärmeföretag",Leveranser!$B$1:$AA$1,0),FALSE)</f>
        <v>0</v>
      </c>
      <c r="AM193" s="121">
        <f>IF(ISERROR(1/VLOOKUP($B193,Miljö!$B$1:$S$500,MATCH("Såld mängd produktionsspecifik fjärrvärme (GWh)",Miljö!$B$1:$R$1,0),FALSE)),0,VLOOKUP($B193,Miljö!$B$1:$S$500,MATCH("Såld mängd produktionsspecifik fjärrvärme (GWh)",Miljö!$B$1:$R$1,0),FALSE))</f>
        <v>0</v>
      </c>
      <c r="AN193" s="172">
        <f t="shared" si="68"/>
        <v>0.70121124760654907</v>
      </c>
      <c r="AO193" s="121"/>
      <c r="AP193" s="121" t="str">
        <f>IFERROR(VLOOKUP($B193,Miljövärden!$B$2:$H$550,7,FALSE),"Nej, saknas")</f>
        <v>Ja</v>
      </c>
      <c r="AQ193" s="121" t="str">
        <f>IFERROR(VLOOKUP($B193,Miljövärden!$B$2:$H$550,6,FALSE),"Nej, saknas")</f>
        <v>Ja</v>
      </c>
      <c r="AU193">
        <f t="shared" si="69"/>
        <v>0.85399999999999998</v>
      </c>
      <c r="AV193">
        <f t="shared" si="70"/>
        <v>0</v>
      </c>
      <c r="AW193">
        <f t="shared" si="71"/>
        <v>39.893999999999998</v>
      </c>
      <c r="AX193">
        <f t="shared" si="72"/>
        <v>0</v>
      </c>
      <c r="AZ193">
        <f t="shared" si="73"/>
        <v>39.893999999999998</v>
      </c>
      <c r="BC193">
        <f t="shared" si="74"/>
        <v>0.108</v>
      </c>
      <c r="BD193">
        <f t="shared" si="75"/>
        <v>0</v>
      </c>
      <c r="BE193">
        <f t="shared" si="76"/>
        <v>39.893999999999998</v>
      </c>
      <c r="BF193">
        <f t="shared" si="77"/>
        <v>5.625</v>
      </c>
      <c r="BG193">
        <f t="shared" si="78"/>
        <v>0.85399999999999998</v>
      </c>
      <c r="BH193">
        <f>VLOOKUP(B193,Miljö!$B$1:$BX$482,MATCH("Fossilandel för ursprungspecificerad el ()",Miljö!$B$1:$I$1,0),FALSE)</f>
        <v>0</v>
      </c>
      <c r="BI193">
        <f>VLOOKUP(B193,Miljö!$B$1:$BX$482,MATCH("Kärnkraftsandel för ursprungsspecificerad el ()",Miljö!$B$1:$O$1,0),FALSE)</f>
        <v>0</v>
      </c>
      <c r="BJ193">
        <f t="shared" si="79"/>
        <v>0</v>
      </c>
      <c r="BK193" t="str">
        <f>VLOOKUP(B193,Miljö!$B$1:$O$482,MATCH("Fossil andel i procent (%)",Miljö!$B$1:$O$1,0),FALSE)</f>
        <v>ET</v>
      </c>
      <c r="BL193">
        <f t="shared" si="80"/>
        <v>46.480999999999995</v>
      </c>
      <c r="BO193" s="18">
        <f t="shared" si="81"/>
        <v>2.3235300445343262E-3</v>
      </c>
      <c r="BP193" s="18">
        <f t="shared" si="82"/>
        <v>0</v>
      </c>
      <c r="BQ193" s="18">
        <f t="shared" si="83"/>
        <v>0.87665928013596961</v>
      </c>
      <c r="BR193" s="18">
        <f t="shared" si="84"/>
        <v>0.12101718981949615</v>
      </c>
      <c r="BT193" s="27">
        <f t="shared" si="85"/>
        <v>1</v>
      </c>
      <c r="BW193" s="18">
        <f>IF(AP193="ja",VLOOKUP(B193,Miljövärden!$B$2:$H$550,MATCH("Total andel fossilt",Miljövärden!$B$2:$H$2,0),FALSE),"")</f>
        <v>2.3235299999999999E-3</v>
      </c>
      <c r="BZ193" s="28">
        <f t="shared" si="86"/>
        <v>-4.453432631348897E-11</v>
      </c>
      <c r="CA193" s="28">
        <f t="shared" si="87"/>
        <v>0</v>
      </c>
    </row>
    <row r="194" spans="1:79" x14ac:dyDescent="0.25">
      <c r="A194" s="224" t="s">
        <v>461</v>
      </c>
      <c r="B194" s="210" t="s">
        <v>103</v>
      </c>
      <c r="C194" s="121">
        <f>VLOOKUP($B194,'Tillförd energi'!$B$1:$AI$720,MATCH(C$1,'Tillförd energi'!$B$1:$AQ$1,0),FALSE)</f>
        <v>0</v>
      </c>
      <c r="D194" s="121">
        <f>VLOOKUP($B194,'Tillförd energi'!$B$1:$AI$720,MATCH(D$1,'Tillförd energi'!$B$1:$AQ$1,0),FALSE)</f>
        <v>0.82199999999999995</v>
      </c>
      <c r="E194" s="121">
        <f>VLOOKUP($B194,'Tillförd energi'!$B$1:$AI$720,MATCH(E$1,'Tillförd energi'!$B$1:$AQ$1,0),FALSE)</f>
        <v>0</v>
      </c>
      <c r="F194" s="121">
        <f>VLOOKUP($B194,'Tillförd energi'!$B$1:$AI$720,MATCH(F$1,'Tillförd energi'!$B$1:$AQ$1,0),FALSE)</f>
        <v>0</v>
      </c>
      <c r="G194" s="121">
        <f>VLOOKUP($B194,'Tillförd energi'!$B$1:$AI$720,MATCH(G$1,'Tillförd energi'!$B$1:$AQ$1,0),FALSE)</f>
        <v>0</v>
      </c>
      <c r="H194" s="121">
        <f>VLOOKUP($B194,'Tillförd energi'!$B$1:$AI$720,MATCH(H$1,'Tillförd energi'!$B$1:$AQ$1,0),FALSE)</f>
        <v>0</v>
      </c>
      <c r="I194" s="121">
        <f>VLOOKUP($B194,'Tillförd energi'!$B$1:$AI$720,MATCH(I$1,'Tillförd energi'!$B$1:$AQ$1,0),FALSE)</f>
        <v>0</v>
      </c>
      <c r="J194" s="121">
        <f>VLOOKUP($B194,'Tillförd energi'!$B$1:$AI$720,MATCH(J$1,'Tillförd energi'!$B$1:$AQ$1,0),FALSE)</f>
        <v>0</v>
      </c>
      <c r="K194" s="121">
        <f>VLOOKUP($B194,'Tillförd energi'!$B$1:$AI$720,MATCH(K$1,'Tillförd energi'!$B$1:$AQ$1,0),FALSE)</f>
        <v>0</v>
      </c>
      <c r="L194" s="121">
        <f>VLOOKUP($B194,'Tillförd energi'!$B$1:$AI$720,MATCH(L$1,'Tillförd energi'!$B$1:$AQ$1,0),FALSE)</f>
        <v>0</v>
      </c>
      <c r="M194" s="121">
        <f>VLOOKUP($B194,'Tillförd energi'!$B$1:$AI$720,MATCH(M$1,'Tillförd energi'!$B$1:$AQ$1,0),FALSE)</f>
        <v>0</v>
      </c>
      <c r="N194" s="121">
        <f>VLOOKUP($B194,'Tillförd energi'!$B$1:$AI$720,MATCH(N$1,'Tillförd energi'!$B$1:$AQ$1,0),FALSE)</f>
        <v>0</v>
      </c>
      <c r="O194" s="121">
        <f>VLOOKUP($B194,'Tillförd energi'!$B$1:$AI$720,MATCH(O$1,'Tillförd energi'!$B$1:$AQ$1,0),FALSE)</f>
        <v>0</v>
      </c>
      <c r="P194" s="121">
        <f>VLOOKUP($B194,'Tillförd energi'!$B$1:$AI$720,MATCH(P$1,'Tillförd energi'!$B$1:$AQ$1,0),FALSE)</f>
        <v>27.856999999999999</v>
      </c>
      <c r="Q194" s="121">
        <f>VLOOKUP($B194,'Tillförd energi'!$B$1:$AI$720,MATCH(Q$1,'Tillförd energi'!$B$1:$AQ$1,0),FALSE)</f>
        <v>0</v>
      </c>
      <c r="R194" s="121">
        <f>VLOOKUP($B194,'Tillförd energi'!$B$1:$AI$720,MATCH(R$1,'Tillförd energi'!$B$1:$AQ$1,0),FALSE)</f>
        <v>9.0250000000000004</v>
      </c>
      <c r="S194" s="121">
        <f>VLOOKUP($B194,'Tillförd energi'!$B$1:$AI$720,MATCH(S$1,'Tillförd energi'!$B$1:$AQ$1,0),FALSE)</f>
        <v>0</v>
      </c>
      <c r="T194" s="121">
        <f>VLOOKUP($B194,'Tillförd energi'!$B$1:$AI$720,MATCH(T$1,'Tillförd energi'!$B$1:$AQ$1,0),FALSE)</f>
        <v>0</v>
      </c>
      <c r="U194" s="121">
        <f>VLOOKUP($B194,'Tillförd energi'!$B$1:$AI$720,MATCH(U$1,'Tillförd energi'!$B$1:$AQ$1,0),FALSE)</f>
        <v>0</v>
      </c>
      <c r="V194" s="121">
        <f>VLOOKUP($B194,'Tillförd energi'!$B$1:$AI$720,MATCH(V$1,'Tillförd energi'!$B$1:$AQ$1,0),FALSE)</f>
        <v>0</v>
      </c>
      <c r="W194" s="121">
        <f>VLOOKUP($B194,'Tillförd energi'!$B$1:$AI$720,MATCH(W$1,'Tillförd energi'!$B$1:$AQ$1,0),FALSE)</f>
        <v>0</v>
      </c>
      <c r="X194" s="121">
        <f>VLOOKUP($B194,'Tillförd energi'!$B$1:$AI$720,MATCH(X$1,'Tillförd energi'!$B$1:$AQ$1,0),FALSE)</f>
        <v>0</v>
      </c>
      <c r="Y194" s="121">
        <f>VLOOKUP($B194,'Tillförd energi'!$B$1:$AI$720,MATCH(Y$1,'Tillförd energi'!$B$1:$AQ$1,0),FALSE)</f>
        <v>19.849</v>
      </c>
      <c r="Z194" s="121">
        <f>VLOOKUP($B194,'Tillförd energi'!$B$1:$AI$720,MATCH(Z$1,'Tillförd energi'!$B$1:$AQ$1,0),FALSE)</f>
        <v>0</v>
      </c>
      <c r="AA194" s="121">
        <f>VLOOKUP($B194,'Tillförd energi'!$B$1:$AI$720,MATCH(AA$1,'Tillförd energi'!$B$1:$AQ$1,0),FALSE)</f>
        <v>0</v>
      </c>
      <c r="AB194" s="121">
        <f>VLOOKUP($B194,'Tillförd energi'!$B$1:$AI$720,MATCH(AB$1,'Tillförd energi'!$B$1:$AQ$1,0),FALSE)</f>
        <v>0</v>
      </c>
      <c r="AC194" s="121">
        <f>VLOOKUP($B194,'Tillförd energi'!$B$1:$AI$720,MATCH(AC$1,'Tillförd energi'!$B$1:$AQ$1,0),FALSE)</f>
        <v>5.681</v>
      </c>
      <c r="AD194" s="121">
        <f>VLOOKUP($B194,'Tillförd energi'!$B$1:$AI$720,MATCH(AD$1,'Tillförd energi'!$B$1:$AQ$1,0),FALSE)</f>
        <v>0.19500000000000001</v>
      </c>
      <c r="AE194" s="121">
        <f>VLOOKUP($B194,'Tillförd energi'!$B$1:$AI$720,MATCH(AE$1,'Tillförd energi'!$B$1:$AQ$1,0),FALSE)</f>
        <v>0</v>
      </c>
      <c r="AF194" s="121">
        <f>VLOOKUP($B194,'Tillförd energi'!$B$1:$AI$720,MATCH(AF$1,'Tillförd energi'!$B$1:$AQ$1,0),FALSE)</f>
        <v>1.4670000000000001</v>
      </c>
      <c r="AG194" s="121">
        <f>IFERROR(VLOOKUP(B194,Miljö!$B$1:$AC$550,MATCH("Köpt mängd produktionsspecifik fjärrvärme:",Miljö!$B$1:$AC$1,0),FALSE)/1,0)</f>
        <v>0</v>
      </c>
      <c r="AH194" s="121"/>
      <c r="AI194" s="121">
        <f t="shared" si="66"/>
        <v>64.896000000000001</v>
      </c>
      <c r="AJ194" s="121">
        <f t="shared" si="67"/>
        <v>64.896000000000001</v>
      </c>
      <c r="AK194" s="121">
        <f>IF(ISERROR(1/VLOOKUP($B194,Leveranser!$B$1:$S$499,MATCH("såld värme (gwh)",Leveranser!$B$1:$S$1,0),FALSE)),"",VLOOKUP($B194,Leveranser!$B$1:$S$499,MATCH("såld värme (gwh)",Leveranser!$B$1:$S$1,0),FALSE))</f>
        <v>45.156999999999996</v>
      </c>
      <c r="AL194" s="121">
        <f>VLOOKUP($B194,Leveranser!$B$1:$Y$499,MATCH("Totalt såld fjärrvärme till andra fjärrvärmeföretag",Leveranser!$B$1:$AA$1,0),FALSE)</f>
        <v>0</v>
      </c>
      <c r="AM194" s="121">
        <f>IF(ISERROR(1/VLOOKUP($B194,Miljö!$B$1:$S$500,MATCH("Såld mängd produktionsspecifik fjärrvärme (GWh)",Miljö!$B$1:$R$1,0),FALSE)),0,VLOOKUP($B194,Miljö!$B$1:$S$500,MATCH("Såld mängd produktionsspecifik fjärrvärme (GWh)",Miljö!$B$1:$R$1,0),FALSE))</f>
        <v>0</v>
      </c>
      <c r="AN194" s="172">
        <f t="shared" si="68"/>
        <v>0.69583641518737671</v>
      </c>
      <c r="AO194" s="121"/>
      <c r="AP194" s="121" t="str">
        <f>IFERROR(VLOOKUP($B194,Miljövärden!$B$2:$H$550,7,FALSE),"Nej, saknas")</f>
        <v>Ja</v>
      </c>
      <c r="AQ194" s="121" t="str">
        <f>IFERROR(VLOOKUP($B194,Miljövärden!$B$2:$H$550,6,FALSE),"Nej, saknas")</f>
        <v>Ja</v>
      </c>
      <c r="AU194">
        <f t="shared" si="69"/>
        <v>1.4670000000000001</v>
      </c>
      <c r="AV194">
        <f t="shared" si="70"/>
        <v>0</v>
      </c>
      <c r="AW194">
        <f t="shared" si="71"/>
        <v>27.856999999999999</v>
      </c>
      <c r="AX194">
        <f t="shared" si="72"/>
        <v>9.0250000000000004</v>
      </c>
      <c r="AZ194">
        <f t="shared" si="73"/>
        <v>36.881999999999998</v>
      </c>
      <c r="BC194">
        <f t="shared" si="74"/>
        <v>0.82199999999999995</v>
      </c>
      <c r="BD194">
        <f t="shared" si="75"/>
        <v>19.849</v>
      </c>
      <c r="BE194">
        <f t="shared" si="76"/>
        <v>36.881999999999998</v>
      </c>
      <c r="BF194">
        <f t="shared" si="77"/>
        <v>5.8760000000000003</v>
      </c>
      <c r="BG194">
        <f t="shared" si="78"/>
        <v>1.4670000000000001</v>
      </c>
      <c r="BH194">
        <f>VLOOKUP(B194,Miljö!$B$1:$BX$482,MATCH("Fossilandel för ursprungspecificerad el ()",Miljö!$B$1:$I$1,0),FALSE)</f>
        <v>0</v>
      </c>
      <c r="BI194">
        <f>VLOOKUP(B194,Miljö!$B$1:$BX$482,MATCH("Kärnkraftsandel för ursprungsspecificerad el ()",Miljö!$B$1:$O$1,0),FALSE)</f>
        <v>0</v>
      </c>
      <c r="BJ194">
        <f t="shared" si="79"/>
        <v>0</v>
      </c>
      <c r="BK194" t="str">
        <f>VLOOKUP(B194,Miljö!$B$1:$O$482,MATCH("Fossil andel i procent (%)",Miljö!$B$1:$O$1,0),FALSE)</f>
        <v>ET</v>
      </c>
      <c r="BL194">
        <f t="shared" si="80"/>
        <v>64.896000000000001</v>
      </c>
      <c r="BO194" s="18">
        <f t="shared" si="81"/>
        <v>1.2666420118343194E-2</v>
      </c>
      <c r="BP194" s="18">
        <f t="shared" si="82"/>
        <v>0.30585860453648916</v>
      </c>
      <c r="BQ194" s="18">
        <f t="shared" si="83"/>
        <v>0.59093010355029585</v>
      </c>
      <c r="BR194" s="18">
        <f t="shared" si="84"/>
        <v>9.0544871794871792E-2</v>
      </c>
      <c r="BT194" s="27">
        <f t="shared" si="85"/>
        <v>1</v>
      </c>
      <c r="BW194" s="18">
        <f>IF(AP194="ja",VLOOKUP(B194,Miljövärden!$B$2:$H$550,MATCH("Total andel fossilt",Miljövärden!$B$2:$H$2,0),FALSE),"")</f>
        <v>1.26664E-2</v>
      </c>
      <c r="BZ194" s="28">
        <f t="shared" si="86"/>
        <v>-2.0118343194500121E-8</v>
      </c>
      <c r="CA194" s="28">
        <f t="shared" si="87"/>
        <v>0</v>
      </c>
    </row>
    <row r="195" spans="1:79" x14ac:dyDescent="0.25">
      <c r="A195" s="224" t="s">
        <v>461</v>
      </c>
      <c r="B195" s="210" t="s">
        <v>468</v>
      </c>
      <c r="C195" s="121">
        <f>VLOOKUP($B195,'Tillförd energi'!$B$1:$AI$720,MATCH(C$1,'Tillförd energi'!$B$1:$AQ$1,0),FALSE)</f>
        <v>0</v>
      </c>
      <c r="D195" s="121">
        <f>VLOOKUP($B195,'Tillförd energi'!$B$1:$AI$720,MATCH(D$1,'Tillförd energi'!$B$1:$AQ$1,0),FALSE)</f>
        <v>0.23</v>
      </c>
      <c r="E195" s="121">
        <f>VLOOKUP($B195,'Tillförd energi'!$B$1:$AI$720,MATCH(E$1,'Tillförd energi'!$B$1:$AQ$1,0),FALSE)</f>
        <v>0</v>
      </c>
      <c r="F195" s="121">
        <f>VLOOKUP($B195,'Tillförd energi'!$B$1:$AI$720,MATCH(F$1,'Tillförd energi'!$B$1:$AQ$1,0),FALSE)</f>
        <v>0</v>
      </c>
      <c r="G195" s="121">
        <f>VLOOKUP($B195,'Tillförd energi'!$B$1:$AI$720,MATCH(G$1,'Tillförd energi'!$B$1:$AQ$1,0),FALSE)</f>
        <v>0</v>
      </c>
      <c r="H195" s="121">
        <f>VLOOKUP($B195,'Tillförd energi'!$B$1:$AI$720,MATCH(H$1,'Tillförd energi'!$B$1:$AQ$1,0),FALSE)</f>
        <v>0</v>
      </c>
      <c r="I195" s="121">
        <f>VLOOKUP($B195,'Tillförd energi'!$B$1:$AI$720,MATCH(I$1,'Tillförd energi'!$B$1:$AQ$1,0),FALSE)</f>
        <v>0</v>
      </c>
      <c r="J195" s="121">
        <f>VLOOKUP($B195,'Tillförd energi'!$B$1:$AI$720,MATCH(J$1,'Tillförd energi'!$B$1:$AQ$1,0),FALSE)</f>
        <v>0</v>
      </c>
      <c r="K195" s="121">
        <f>VLOOKUP($B195,'Tillförd energi'!$B$1:$AI$720,MATCH(K$1,'Tillförd energi'!$B$1:$AQ$1,0),FALSE)</f>
        <v>0</v>
      </c>
      <c r="L195" s="121">
        <f>VLOOKUP($B195,'Tillförd energi'!$B$1:$AI$720,MATCH(L$1,'Tillförd energi'!$B$1:$AQ$1,0),FALSE)</f>
        <v>0</v>
      </c>
      <c r="M195" s="121">
        <f>VLOOKUP($B195,'Tillförd energi'!$B$1:$AI$720,MATCH(M$1,'Tillförd energi'!$B$1:$AQ$1,0),FALSE)</f>
        <v>0</v>
      </c>
      <c r="N195" s="121">
        <f>VLOOKUP($B195,'Tillförd energi'!$B$1:$AI$720,MATCH(N$1,'Tillförd energi'!$B$1:$AQ$1,0),FALSE)</f>
        <v>0</v>
      </c>
      <c r="O195" s="121">
        <f>VLOOKUP($B195,'Tillförd energi'!$B$1:$AI$720,MATCH(O$1,'Tillförd energi'!$B$1:$AQ$1,0),FALSE)</f>
        <v>0</v>
      </c>
      <c r="P195" s="121">
        <f>VLOOKUP($B195,'Tillförd energi'!$B$1:$AI$720,MATCH(P$1,'Tillförd energi'!$B$1:$AQ$1,0),FALSE)</f>
        <v>0</v>
      </c>
      <c r="Q195" s="121">
        <f>VLOOKUP($B195,'Tillförd energi'!$B$1:$AI$720,MATCH(Q$1,'Tillförd energi'!$B$1:$AQ$1,0),FALSE)</f>
        <v>0</v>
      </c>
      <c r="R195" s="121">
        <f>VLOOKUP($B195,'Tillförd energi'!$B$1:$AI$720,MATCH(R$1,'Tillförd energi'!$B$1:$AQ$1,0),FALSE)</f>
        <v>3.6459999999999999</v>
      </c>
      <c r="S195" s="121">
        <f>VLOOKUP($B195,'Tillförd energi'!$B$1:$AI$720,MATCH(S$1,'Tillförd energi'!$B$1:$AQ$1,0),FALSE)</f>
        <v>0</v>
      </c>
      <c r="T195" s="121">
        <f>VLOOKUP($B195,'Tillförd energi'!$B$1:$AI$720,MATCH(T$1,'Tillförd energi'!$B$1:$AQ$1,0),FALSE)</f>
        <v>0</v>
      </c>
      <c r="U195" s="121">
        <f>VLOOKUP($B195,'Tillförd energi'!$B$1:$AI$720,MATCH(U$1,'Tillförd energi'!$B$1:$AQ$1,0),FALSE)</f>
        <v>0</v>
      </c>
      <c r="V195" s="121">
        <f>VLOOKUP($B195,'Tillförd energi'!$B$1:$AI$720,MATCH(V$1,'Tillförd energi'!$B$1:$AQ$1,0),FALSE)</f>
        <v>0</v>
      </c>
      <c r="W195" s="121">
        <f>VLOOKUP($B195,'Tillförd energi'!$B$1:$AI$720,MATCH(W$1,'Tillförd energi'!$B$1:$AQ$1,0),FALSE)</f>
        <v>0</v>
      </c>
      <c r="X195" s="121">
        <f>VLOOKUP($B195,'Tillförd energi'!$B$1:$AI$720,MATCH(X$1,'Tillförd energi'!$B$1:$AQ$1,0),FALSE)</f>
        <v>0</v>
      </c>
      <c r="Y195" s="121">
        <f>VLOOKUP($B195,'Tillförd energi'!$B$1:$AI$720,MATCH(Y$1,'Tillförd energi'!$B$1:$AQ$1,0),FALSE)</f>
        <v>0</v>
      </c>
      <c r="Z195" s="121">
        <f>VLOOKUP($B195,'Tillförd energi'!$B$1:$AI$720,MATCH(Z$1,'Tillförd energi'!$B$1:$AQ$1,0),FALSE)</f>
        <v>0</v>
      </c>
      <c r="AA195" s="121">
        <f>VLOOKUP($B195,'Tillförd energi'!$B$1:$AI$720,MATCH(AA$1,'Tillförd energi'!$B$1:$AQ$1,0),FALSE)</f>
        <v>0</v>
      </c>
      <c r="AB195" s="121">
        <f>VLOOKUP($B195,'Tillförd energi'!$B$1:$AI$720,MATCH(AB$1,'Tillförd energi'!$B$1:$AQ$1,0),FALSE)</f>
        <v>0</v>
      </c>
      <c r="AC195" s="121">
        <f>VLOOKUP($B195,'Tillförd energi'!$B$1:$AI$720,MATCH(AC$1,'Tillförd energi'!$B$1:$AQ$1,0),FALSE)</f>
        <v>0</v>
      </c>
      <c r="AD195" s="121">
        <f>VLOOKUP($B195,'Tillförd energi'!$B$1:$AI$720,MATCH(AD$1,'Tillförd energi'!$B$1:$AQ$1,0),FALSE)</f>
        <v>0</v>
      </c>
      <c r="AE195" s="121">
        <f>VLOOKUP($B195,'Tillförd energi'!$B$1:$AI$720,MATCH(AE$1,'Tillförd energi'!$B$1:$AQ$1,0),FALSE)</f>
        <v>0</v>
      </c>
      <c r="AF195" s="121">
        <f>VLOOKUP($B195,'Tillförd energi'!$B$1:$AI$720,MATCH(AF$1,'Tillförd energi'!$B$1:$AQ$1,0),FALSE)</f>
        <v>9.1999999999999998E-2</v>
      </c>
      <c r="AG195" s="121">
        <f>IFERROR(VLOOKUP(B195,Miljö!$B$1:$AC$550,MATCH("Köpt mängd produktionsspecifik fjärrvärme:",Miljö!$B$1:$AC$1,0),FALSE)/1,0)</f>
        <v>0</v>
      </c>
      <c r="AH195" s="121"/>
      <c r="AI195" s="121">
        <f t="shared" si="66"/>
        <v>3.968</v>
      </c>
      <c r="AJ195" s="121">
        <f t="shared" si="67"/>
        <v>3.968</v>
      </c>
      <c r="AK195" s="121">
        <f>IF(ISERROR(1/VLOOKUP($B195,Leveranser!$B$1:$S$499,MATCH("såld värme (gwh)",Leveranser!$B$1:$S$1,0),FALSE)),"",VLOOKUP($B195,Leveranser!$B$1:$S$499,MATCH("såld värme (gwh)",Leveranser!$B$1:$S$1,0),FALSE))</f>
        <v>3.0550000000000002</v>
      </c>
      <c r="AL195" s="121">
        <f>VLOOKUP($B195,Leveranser!$B$1:$Y$499,MATCH("Totalt såld fjärrvärme till andra fjärrvärmeföretag",Leveranser!$B$1:$AA$1,0),FALSE)</f>
        <v>0</v>
      </c>
      <c r="AM195" s="121">
        <f>IF(ISERROR(1/VLOOKUP($B195,Miljö!$B$1:$S$500,MATCH("Såld mängd produktionsspecifik fjärrvärme (GWh)",Miljö!$B$1:$R$1,0),FALSE)),0,VLOOKUP($B195,Miljö!$B$1:$S$500,MATCH("Såld mängd produktionsspecifik fjärrvärme (GWh)",Miljö!$B$1:$R$1,0),FALSE))</f>
        <v>0</v>
      </c>
      <c r="AN195" s="172">
        <f t="shared" si="68"/>
        <v>0.76990927419354849</v>
      </c>
      <c r="AO195" s="121"/>
      <c r="AP195" s="121" t="str">
        <f>IFERROR(VLOOKUP($B195,Miljövärden!$B$2:$H$550,7,FALSE),"Nej, saknas")</f>
        <v>Ja</v>
      </c>
      <c r="AQ195" s="121" t="str">
        <f>IFERROR(VLOOKUP($B195,Miljövärden!$B$2:$H$550,6,FALSE),"Nej, saknas")</f>
        <v>Ja</v>
      </c>
      <c r="AU195">
        <f t="shared" si="69"/>
        <v>9.1999999999999998E-2</v>
      </c>
      <c r="AV195">
        <f t="shared" si="70"/>
        <v>0</v>
      </c>
      <c r="AW195">
        <f t="shared" si="71"/>
        <v>0</v>
      </c>
      <c r="AX195">
        <f t="shared" si="72"/>
        <v>3.6459999999999999</v>
      </c>
      <c r="AZ195">
        <f t="shared" si="73"/>
        <v>3.6459999999999999</v>
      </c>
      <c r="BC195">
        <f t="shared" si="74"/>
        <v>0.23</v>
      </c>
      <c r="BD195">
        <f t="shared" si="75"/>
        <v>0</v>
      </c>
      <c r="BE195">
        <f t="shared" si="76"/>
        <v>3.6459999999999999</v>
      </c>
      <c r="BF195">
        <f t="shared" si="77"/>
        <v>0</v>
      </c>
      <c r="BG195">
        <f t="shared" si="78"/>
        <v>9.1999999999999998E-2</v>
      </c>
      <c r="BH195">
        <f>VLOOKUP(B195,Miljö!$B$1:$BX$482,MATCH("Fossilandel för ursprungspecificerad el ()",Miljö!$B$1:$I$1,0),FALSE)</f>
        <v>0</v>
      </c>
      <c r="BI195">
        <f>VLOOKUP(B195,Miljö!$B$1:$BX$482,MATCH("Kärnkraftsandel för ursprungsspecificerad el ()",Miljö!$B$1:$O$1,0),FALSE)</f>
        <v>0</v>
      </c>
      <c r="BJ195">
        <f t="shared" si="79"/>
        <v>0</v>
      </c>
      <c r="BK195" t="str">
        <f>VLOOKUP(B195,Miljö!$B$1:$O$482,MATCH("Fossil andel i procent (%)",Miljö!$B$1:$O$1,0),FALSE)</f>
        <v>ET</v>
      </c>
      <c r="BL195">
        <f t="shared" si="80"/>
        <v>3.968</v>
      </c>
      <c r="BO195" s="18">
        <f t="shared" si="81"/>
        <v>5.7963709677419359E-2</v>
      </c>
      <c r="BP195" s="18">
        <f t="shared" si="82"/>
        <v>0</v>
      </c>
      <c r="BQ195" s="18">
        <f t="shared" si="83"/>
        <v>0.94203629032258063</v>
      </c>
      <c r="BR195" s="18">
        <f t="shared" si="84"/>
        <v>0</v>
      </c>
      <c r="BT195" s="27">
        <f t="shared" si="85"/>
        <v>1</v>
      </c>
      <c r="BW195" s="18">
        <f>IF(AP195="ja",VLOOKUP(B195,Miljövärden!$B$2:$H$550,MATCH("Total andel fossilt",Miljövärden!$B$2:$H$2,0),FALSE),"")</f>
        <v>5.79637E-2</v>
      </c>
      <c r="BZ195" s="28">
        <f t="shared" si="86"/>
        <v>-9.6774193589221902E-9</v>
      </c>
      <c r="CA195" s="28">
        <f t="shared" si="87"/>
        <v>0</v>
      </c>
    </row>
    <row r="196" spans="1:79" x14ac:dyDescent="0.25">
      <c r="A196" s="224" t="s">
        <v>461</v>
      </c>
      <c r="B196" s="210" t="s">
        <v>105</v>
      </c>
      <c r="C196" s="121">
        <f>VLOOKUP($B196,'Tillförd energi'!$B$1:$AI$720,MATCH(C$1,'Tillförd energi'!$B$1:$AQ$1,0),FALSE)</f>
        <v>0</v>
      </c>
      <c r="D196" s="121">
        <f>VLOOKUP($B196,'Tillförd energi'!$B$1:$AI$720,MATCH(D$1,'Tillförd energi'!$B$1:$AQ$1,0),FALSE)</f>
        <v>0.127</v>
      </c>
      <c r="E196" s="121">
        <f>VLOOKUP($B196,'Tillförd energi'!$B$1:$AI$720,MATCH(E$1,'Tillförd energi'!$B$1:$AQ$1,0),FALSE)</f>
        <v>0</v>
      </c>
      <c r="F196" s="121">
        <f>VLOOKUP($B196,'Tillförd energi'!$B$1:$AI$720,MATCH(F$1,'Tillförd energi'!$B$1:$AQ$1,0),FALSE)</f>
        <v>0</v>
      </c>
      <c r="G196" s="121">
        <f>VLOOKUP($B196,'Tillförd energi'!$B$1:$AI$720,MATCH(G$1,'Tillförd energi'!$B$1:$AQ$1,0),FALSE)</f>
        <v>0</v>
      </c>
      <c r="H196" s="121">
        <f>VLOOKUP($B196,'Tillförd energi'!$B$1:$AI$720,MATCH(H$1,'Tillförd energi'!$B$1:$AQ$1,0),FALSE)</f>
        <v>0</v>
      </c>
      <c r="I196" s="121">
        <f>VLOOKUP($B196,'Tillförd energi'!$B$1:$AI$720,MATCH(I$1,'Tillförd energi'!$B$1:$AQ$1,0),FALSE)</f>
        <v>0</v>
      </c>
      <c r="J196" s="121">
        <f>VLOOKUP($B196,'Tillförd energi'!$B$1:$AI$720,MATCH(J$1,'Tillförd energi'!$B$1:$AQ$1,0),FALSE)</f>
        <v>0</v>
      </c>
      <c r="K196" s="121">
        <f>VLOOKUP($B196,'Tillförd energi'!$B$1:$AI$720,MATCH(K$1,'Tillförd energi'!$B$1:$AQ$1,0),FALSE)</f>
        <v>0</v>
      </c>
      <c r="L196" s="121">
        <f>VLOOKUP($B196,'Tillförd energi'!$B$1:$AI$720,MATCH(L$1,'Tillförd energi'!$B$1:$AQ$1,0),FALSE)</f>
        <v>0</v>
      </c>
      <c r="M196" s="121">
        <f>VLOOKUP($B196,'Tillförd energi'!$B$1:$AI$720,MATCH(M$1,'Tillförd energi'!$B$1:$AQ$1,0),FALSE)</f>
        <v>0</v>
      </c>
      <c r="N196" s="121">
        <f>VLOOKUP($B196,'Tillförd energi'!$B$1:$AI$720,MATCH(N$1,'Tillförd energi'!$B$1:$AQ$1,0),FALSE)</f>
        <v>0</v>
      </c>
      <c r="O196" s="121">
        <f>VLOOKUP($B196,'Tillförd energi'!$B$1:$AI$720,MATCH(O$1,'Tillförd energi'!$B$1:$AQ$1,0),FALSE)</f>
        <v>0</v>
      </c>
      <c r="P196" s="121">
        <f>VLOOKUP($B196,'Tillförd energi'!$B$1:$AI$720,MATCH(P$1,'Tillförd energi'!$B$1:$AQ$1,0),FALSE)</f>
        <v>0</v>
      </c>
      <c r="Q196" s="121">
        <f>VLOOKUP($B196,'Tillförd energi'!$B$1:$AI$720,MATCH(Q$1,'Tillförd energi'!$B$1:$AQ$1,0),FALSE)</f>
        <v>0</v>
      </c>
      <c r="R196" s="121">
        <f>VLOOKUP($B196,'Tillförd energi'!$B$1:$AI$720,MATCH(R$1,'Tillförd energi'!$B$1:$AQ$1,0),FALSE)</f>
        <v>9.5340000000000007</v>
      </c>
      <c r="S196" s="121">
        <f>VLOOKUP($B196,'Tillförd energi'!$B$1:$AI$720,MATCH(S$1,'Tillförd energi'!$B$1:$AQ$1,0),FALSE)</f>
        <v>0</v>
      </c>
      <c r="T196" s="121">
        <f>VLOOKUP($B196,'Tillförd energi'!$B$1:$AI$720,MATCH(T$1,'Tillförd energi'!$B$1:$AQ$1,0),FALSE)</f>
        <v>0</v>
      </c>
      <c r="U196" s="121">
        <f>VLOOKUP($B196,'Tillförd energi'!$B$1:$AI$720,MATCH(U$1,'Tillförd energi'!$B$1:$AQ$1,0),FALSE)</f>
        <v>0</v>
      </c>
      <c r="V196" s="121">
        <f>VLOOKUP($B196,'Tillförd energi'!$B$1:$AI$720,MATCH(V$1,'Tillförd energi'!$B$1:$AQ$1,0),FALSE)</f>
        <v>0</v>
      </c>
      <c r="W196" s="121">
        <f>VLOOKUP($B196,'Tillförd energi'!$B$1:$AI$720,MATCH(W$1,'Tillförd energi'!$B$1:$AQ$1,0),FALSE)</f>
        <v>0</v>
      </c>
      <c r="X196" s="121">
        <f>VLOOKUP($B196,'Tillförd energi'!$B$1:$AI$720,MATCH(X$1,'Tillförd energi'!$B$1:$AQ$1,0),FALSE)</f>
        <v>0</v>
      </c>
      <c r="Y196" s="121">
        <f>VLOOKUP($B196,'Tillförd energi'!$B$1:$AI$720,MATCH(Y$1,'Tillförd energi'!$B$1:$AQ$1,0),FALSE)</f>
        <v>0</v>
      </c>
      <c r="Z196" s="121">
        <f>VLOOKUP($B196,'Tillförd energi'!$B$1:$AI$720,MATCH(Z$1,'Tillförd energi'!$B$1:$AQ$1,0),FALSE)</f>
        <v>0</v>
      </c>
      <c r="AA196" s="121">
        <f>VLOOKUP($B196,'Tillförd energi'!$B$1:$AI$720,MATCH(AA$1,'Tillförd energi'!$B$1:$AQ$1,0),FALSE)</f>
        <v>0</v>
      </c>
      <c r="AB196" s="121">
        <f>VLOOKUP($B196,'Tillförd energi'!$B$1:$AI$720,MATCH(AB$1,'Tillförd energi'!$B$1:$AQ$1,0),FALSE)</f>
        <v>0</v>
      </c>
      <c r="AC196" s="121">
        <f>VLOOKUP($B196,'Tillförd energi'!$B$1:$AI$720,MATCH(AC$1,'Tillförd energi'!$B$1:$AQ$1,0),FALSE)</f>
        <v>0</v>
      </c>
      <c r="AD196" s="121">
        <f>VLOOKUP($B196,'Tillförd energi'!$B$1:$AI$720,MATCH(AD$1,'Tillförd energi'!$B$1:$AQ$1,0),FALSE)</f>
        <v>0</v>
      </c>
      <c r="AE196" s="121">
        <f>VLOOKUP($B196,'Tillförd energi'!$B$1:$AI$720,MATCH(AE$1,'Tillförd energi'!$B$1:$AQ$1,0),FALSE)</f>
        <v>0</v>
      </c>
      <c r="AF196" s="121">
        <f>VLOOKUP($B196,'Tillförd energi'!$B$1:$AI$720,MATCH(AF$1,'Tillförd energi'!$B$1:$AQ$1,0),FALSE)</f>
        <v>0.128</v>
      </c>
      <c r="AG196" s="121">
        <f>IFERROR(VLOOKUP(B196,Miljö!$B$1:$AC$550,MATCH("Köpt mängd produktionsspecifik fjärrvärme:",Miljö!$B$1:$AC$1,0),FALSE)/1,0)</f>
        <v>0</v>
      </c>
      <c r="AH196" s="121"/>
      <c r="AI196" s="121">
        <f t="shared" si="66"/>
        <v>9.7890000000000015</v>
      </c>
      <c r="AJ196" s="121">
        <f t="shared" si="67"/>
        <v>9.7890000000000015</v>
      </c>
      <c r="AK196" s="121">
        <f>IF(ISERROR(1/VLOOKUP($B196,Leveranser!$B$1:$S$499,MATCH("såld värme (gwh)",Leveranser!$B$1:$S$1,0),FALSE)),"",VLOOKUP($B196,Leveranser!$B$1:$S$499,MATCH("såld värme (gwh)",Leveranser!$B$1:$S$1,0),FALSE))</f>
        <v>8.5459999999999994</v>
      </c>
      <c r="AL196" s="121">
        <f>VLOOKUP($B196,Leveranser!$B$1:$Y$499,MATCH("Totalt såld fjärrvärme till andra fjärrvärmeföretag",Leveranser!$B$1:$AA$1,0),FALSE)</f>
        <v>0</v>
      </c>
      <c r="AM196" s="121">
        <f>IF(ISERROR(1/VLOOKUP($B196,Miljö!$B$1:$S$500,MATCH("Såld mängd produktionsspecifik fjärrvärme (GWh)",Miljö!$B$1:$R$1,0),FALSE)),0,VLOOKUP($B196,Miljö!$B$1:$S$500,MATCH("Såld mängd produktionsspecifik fjärrvärme (GWh)",Miljö!$B$1:$R$1,0),FALSE))</f>
        <v>0</v>
      </c>
      <c r="AN196" s="172">
        <f t="shared" si="68"/>
        <v>0.87302073756257004</v>
      </c>
      <c r="AO196" s="121"/>
      <c r="AP196" s="121" t="str">
        <f>IFERROR(VLOOKUP($B196,Miljövärden!$B$2:$H$550,7,FALSE),"Nej, saknas")</f>
        <v>Ja</v>
      </c>
      <c r="AQ196" s="121" t="str">
        <f>IFERROR(VLOOKUP($B196,Miljövärden!$B$2:$H$550,6,FALSE),"Nej, saknas")</f>
        <v>Ja</v>
      </c>
      <c r="AU196">
        <f t="shared" si="69"/>
        <v>0.128</v>
      </c>
      <c r="AV196">
        <f t="shared" si="70"/>
        <v>0</v>
      </c>
      <c r="AW196">
        <f t="shared" si="71"/>
        <v>0</v>
      </c>
      <c r="AX196">
        <f t="shared" si="72"/>
        <v>9.5340000000000007</v>
      </c>
      <c r="AZ196">
        <f t="shared" si="73"/>
        <v>9.5340000000000007</v>
      </c>
      <c r="BC196">
        <f t="shared" si="74"/>
        <v>0.127</v>
      </c>
      <c r="BD196">
        <f t="shared" si="75"/>
        <v>0</v>
      </c>
      <c r="BE196">
        <f t="shared" si="76"/>
        <v>9.5340000000000007</v>
      </c>
      <c r="BF196">
        <f t="shared" si="77"/>
        <v>0</v>
      </c>
      <c r="BG196">
        <f t="shared" si="78"/>
        <v>0.128</v>
      </c>
      <c r="BH196">
        <f>VLOOKUP(B196,Miljö!$B$1:$BX$482,MATCH("Fossilandel för ursprungspecificerad el ()",Miljö!$B$1:$I$1,0),FALSE)</f>
        <v>0</v>
      </c>
      <c r="BI196">
        <f>VLOOKUP(B196,Miljö!$B$1:$BX$482,MATCH("Kärnkraftsandel för ursprungsspecificerad el ()",Miljö!$B$1:$O$1,0),FALSE)</f>
        <v>0</v>
      </c>
      <c r="BJ196">
        <f t="shared" si="79"/>
        <v>0</v>
      </c>
      <c r="BK196" t="str">
        <f>VLOOKUP(B196,Miljö!$B$1:$O$482,MATCH("Fossil andel i procent (%)",Miljö!$B$1:$O$1,0),FALSE)</f>
        <v>ET</v>
      </c>
      <c r="BL196">
        <f t="shared" si="80"/>
        <v>9.7890000000000015</v>
      </c>
      <c r="BO196" s="18">
        <f t="shared" si="81"/>
        <v>1.2973746041475123E-2</v>
      </c>
      <c r="BP196" s="18">
        <f t="shared" si="82"/>
        <v>0</v>
      </c>
      <c r="BQ196" s="18">
        <f t="shared" si="83"/>
        <v>0.98702625395852484</v>
      </c>
      <c r="BR196" s="18">
        <f t="shared" si="84"/>
        <v>0</v>
      </c>
      <c r="BT196" s="27">
        <f t="shared" si="85"/>
        <v>1</v>
      </c>
      <c r="BW196" s="18">
        <f>IF(AP196="ja",VLOOKUP(B196,Miljövärden!$B$2:$H$550,MATCH("Total andel fossilt",Miljövärden!$B$2:$H$2,0),FALSE),"")</f>
        <v>1.2973699999999999E-2</v>
      </c>
      <c r="BZ196" s="28">
        <f t="shared" si="86"/>
        <v>-4.6041475123756448E-8</v>
      </c>
      <c r="CA196" s="28">
        <f t="shared" si="87"/>
        <v>0</v>
      </c>
    </row>
    <row r="197" spans="1:79" x14ac:dyDescent="0.25">
      <c r="A197" s="224" t="s">
        <v>461</v>
      </c>
      <c r="B197" s="210" t="s">
        <v>107</v>
      </c>
      <c r="C197" s="121">
        <f>VLOOKUP($B197,'Tillförd energi'!$B$1:$AI$720,MATCH(C$1,'Tillförd energi'!$B$1:$AQ$1,0),FALSE)</f>
        <v>0</v>
      </c>
      <c r="D197" s="121">
        <f>VLOOKUP($B197,'Tillförd energi'!$B$1:$AI$720,MATCH(D$1,'Tillförd energi'!$B$1:$AQ$1,0),FALSE)</f>
        <v>0.311</v>
      </c>
      <c r="E197" s="121">
        <f>VLOOKUP($B197,'Tillförd energi'!$B$1:$AI$720,MATCH(E$1,'Tillförd energi'!$B$1:$AQ$1,0),FALSE)</f>
        <v>0</v>
      </c>
      <c r="F197" s="121">
        <f>VLOOKUP($B197,'Tillförd energi'!$B$1:$AI$720,MATCH(F$1,'Tillförd energi'!$B$1:$AQ$1,0),FALSE)</f>
        <v>0</v>
      </c>
      <c r="G197" s="121">
        <f>VLOOKUP($B197,'Tillförd energi'!$B$1:$AI$720,MATCH(G$1,'Tillförd energi'!$B$1:$AQ$1,0),FALSE)</f>
        <v>0</v>
      </c>
      <c r="H197" s="121">
        <f>VLOOKUP($B197,'Tillförd energi'!$B$1:$AI$720,MATCH(H$1,'Tillförd energi'!$B$1:$AQ$1,0),FALSE)</f>
        <v>0</v>
      </c>
      <c r="I197" s="121">
        <f>VLOOKUP($B197,'Tillförd energi'!$B$1:$AI$720,MATCH(I$1,'Tillförd energi'!$B$1:$AQ$1,0),FALSE)</f>
        <v>0</v>
      </c>
      <c r="J197" s="121">
        <f>VLOOKUP($B197,'Tillförd energi'!$B$1:$AI$720,MATCH(J$1,'Tillförd energi'!$B$1:$AQ$1,0),FALSE)</f>
        <v>0</v>
      </c>
      <c r="K197" s="121">
        <f>VLOOKUP($B197,'Tillförd energi'!$B$1:$AI$720,MATCH(K$1,'Tillförd energi'!$B$1:$AQ$1,0),FALSE)</f>
        <v>0</v>
      </c>
      <c r="L197" s="121">
        <f>VLOOKUP($B197,'Tillförd energi'!$B$1:$AI$720,MATCH(L$1,'Tillförd energi'!$B$1:$AQ$1,0),FALSE)</f>
        <v>0</v>
      </c>
      <c r="M197" s="121">
        <f>VLOOKUP($B197,'Tillförd energi'!$B$1:$AI$720,MATCH(M$1,'Tillförd energi'!$B$1:$AQ$1,0),FALSE)</f>
        <v>0</v>
      </c>
      <c r="N197" s="121">
        <f>VLOOKUP($B197,'Tillförd energi'!$B$1:$AI$720,MATCH(N$1,'Tillförd energi'!$B$1:$AQ$1,0),FALSE)</f>
        <v>0</v>
      </c>
      <c r="O197" s="121">
        <f>VLOOKUP($B197,'Tillförd energi'!$B$1:$AI$720,MATCH(O$1,'Tillförd energi'!$B$1:$AQ$1,0),FALSE)</f>
        <v>52.595999999999997</v>
      </c>
      <c r="P197" s="121">
        <f>VLOOKUP($B197,'Tillförd energi'!$B$1:$AI$720,MATCH(P$1,'Tillförd energi'!$B$1:$AQ$1,0),FALSE)</f>
        <v>0</v>
      </c>
      <c r="Q197" s="121">
        <f>VLOOKUP($B197,'Tillförd energi'!$B$1:$AI$720,MATCH(Q$1,'Tillförd energi'!$B$1:$AQ$1,0),FALSE)</f>
        <v>0</v>
      </c>
      <c r="R197" s="121">
        <f>VLOOKUP($B197,'Tillförd energi'!$B$1:$AI$720,MATCH(R$1,'Tillförd energi'!$B$1:$AQ$1,0),FALSE)</f>
        <v>0</v>
      </c>
      <c r="S197" s="121">
        <f>VLOOKUP($B197,'Tillförd energi'!$B$1:$AI$720,MATCH(S$1,'Tillförd energi'!$B$1:$AQ$1,0),FALSE)</f>
        <v>16.803999999999998</v>
      </c>
      <c r="T197" s="121">
        <f>VLOOKUP($B197,'Tillförd energi'!$B$1:$AI$720,MATCH(T$1,'Tillförd energi'!$B$1:$AQ$1,0),FALSE)</f>
        <v>0</v>
      </c>
      <c r="U197" s="121">
        <f>VLOOKUP($B197,'Tillförd energi'!$B$1:$AI$720,MATCH(U$1,'Tillförd energi'!$B$1:$AQ$1,0),FALSE)</f>
        <v>0</v>
      </c>
      <c r="V197" s="121">
        <f>VLOOKUP($B197,'Tillförd energi'!$B$1:$AI$720,MATCH(V$1,'Tillförd energi'!$B$1:$AQ$1,0),FALSE)</f>
        <v>0</v>
      </c>
      <c r="W197" s="121">
        <f>VLOOKUP($B197,'Tillförd energi'!$B$1:$AI$720,MATCH(W$1,'Tillförd energi'!$B$1:$AQ$1,0),FALSE)</f>
        <v>0</v>
      </c>
      <c r="X197" s="121">
        <f>VLOOKUP($B197,'Tillförd energi'!$B$1:$AI$720,MATCH(X$1,'Tillförd energi'!$B$1:$AQ$1,0),FALSE)</f>
        <v>0</v>
      </c>
      <c r="Y197" s="121">
        <f>VLOOKUP($B197,'Tillförd energi'!$B$1:$AI$720,MATCH(Y$1,'Tillförd energi'!$B$1:$AQ$1,0),FALSE)</f>
        <v>0</v>
      </c>
      <c r="Z197" s="121">
        <f>VLOOKUP($B197,'Tillförd energi'!$B$1:$AI$720,MATCH(Z$1,'Tillförd energi'!$B$1:$AQ$1,0),FALSE)</f>
        <v>0</v>
      </c>
      <c r="AA197" s="121">
        <f>VLOOKUP($B197,'Tillförd energi'!$B$1:$AI$720,MATCH(AA$1,'Tillförd energi'!$B$1:$AQ$1,0),FALSE)</f>
        <v>0</v>
      </c>
      <c r="AB197" s="121">
        <f>VLOOKUP($B197,'Tillförd energi'!$B$1:$AI$720,MATCH(AB$1,'Tillförd energi'!$B$1:$AQ$1,0),FALSE)</f>
        <v>0</v>
      </c>
      <c r="AC197" s="121">
        <f>VLOOKUP($B197,'Tillförd energi'!$B$1:$AI$720,MATCH(AC$1,'Tillförd energi'!$B$1:$AQ$1,0),FALSE)</f>
        <v>0</v>
      </c>
      <c r="AD197" s="121">
        <f>VLOOKUP($B197,'Tillförd energi'!$B$1:$AI$720,MATCH(AD$1,'Tillförd energi'!$B$1:$AQ$1,0),FALSE)</f>
        <v>0</v>
      </c>
      <c r="AE197" s="121">
        <f>VLOOKUP($B197,'Tillförd energi'!$B$1:$AI$720,MATCH(AE$1,'Tillförd energi'!$B$1:$AQ$1,0),FALSE)</f>
        <v>0</v>
      </c>
      <c r="AF197" s="121">
        <f>VLOOKUP($B197,'Tillförd energi'!$B$1:$AI$720,MATCH(AF$1,'Tillförd energi'!$B$1:$AQ$1,0),FALSE)</f>
        <v>1.3109999999999999</v>
      </c>
      <c r="AG197" s="121">
        <f>IFERROR(VLOOKUP(B197,Miljö!$B$1:$AC$550,MATCH("Köpt mängd produktionsspecifik fjärrvärme:",Miljö!$B$1:$AC$1,0),FALSE)/1,0)</f>
        <v>0</v>
      </c>
      <c r="AH197" s="121"/>
      <c r="AI197" s="121">
        <f t="shared" si="66"/>
        <v>71.021999999999991</v>
      </c>
      <c r="AJ197" s="121">
        <f t="shared" si="67"/>
        <v>71.021999999999991</v>
      </c>
      <c r="AK197" s="121">
        <f>IF(ISERROR(1/VLOOKUP($B197,Leveranser!$B$1:$S$499,MATCH("såld värme (gwh)",Leveranser!$B$1:$S$1,0),FALSE)),"",VLOOKUP($B197,Leveranser!$B$1:$S$499,MATCH("såld värme (gwh)",Leveranser!$B$1:$S$1,0),FALSE))</f>
        <v>58.317999999999998</v>
      </c>
      <c r="AL197" s="121">
        <f>VLOOKUP($B197,Leveranser!$B$1:$Y$499,MATCH("Totalt såld fjärrvärme till andra fjärrvärmeföretag",Leveranser!$B$1:$AA$1,0),FALSE)</f>
        <v>39.472999999999999</v>
      </c>
      <c r="AM197" s="121">
        <f>IF(ISERROR(1/VLOOKUP($B197,Miljö!$B$1:$S$500,MATCH("Såld mängd produktionsspecifik fjärrvärme (GWh)",Miljö!$B$1:$R$1,0),FALSE)),0,VLOOKUP($B197,Miljö!$B$1:$S$500,MATCH("Såld mängd produktionsspecifik fjärrvärme (GWh)",Miljö!$B$1:$R$1,0),FALSE))</f>
        <v>0</v>
      </c>
      <c r="AN197" s="172">
        <f t="shared" si="68"/>
        <v>0.82112584832868696</v>
      </c>
      <c r="AO197" s="121"/>
      <c r="AP197" s="121" t="str">
        <f>IFERROR(VLOOKUP($B197,Miljövärden!$B$2:$H$550,7,FALSE),"Nej, saknas")</f>
        <v>Ja</v>
      </c>
      <c r="AQ197" s="121" t="str">
        <f>IFERROR(VLOOKUP($B197,Miljövärden!$B$2:$H$550,6,FALSE),"Nej, saknas")</f>
        <v>Ja</v>
      </c>
      <c r="AU197">
        <f t="shared" si="69"/>
        <v>1.3109999999999999</v>
      </c>
      <c r="AV197">
        <f t="shared" si="70"/>
        <v>0</v>
      </c>
      <c r="AW197">
        <f t="shared" si="71"/>
        <v>52.595999999999997</v>
      </c>
      <c r="AX197">
        <f t="shared" si="72"/>
        <v>16.803999999999998</v>
      </c>
      <c r="AZ197">
        <f t="shared" si="73"/>
        <v>69.399999999999991</v>
      </c>
      <c r="BC197">
        <f t="shared" si="74"/>
        <v>0.311</v>
      </c>
      <c r="BD197">
        <f t="shared" si="75"/>
        <v>0</v>
      </c>
      <c r="BE197">
        <f t="shared" si="76"/>
        <v>69.399999999999991</v>
      </c>
      <c r="BF197">
        <f t="shared" si="77"/>
        <v>0</v>
      </c>
      <c r="BG197">
        <f t="shared" si="78"/>
        <v>1.3109999999999999</v>
      </c>
      <c r="BH197">
        <f>VLOOKUP(B197,Miljö!$B$1:$BX$482,MATCH("Fossilandel för ursprungspecificerad el ()",Miljö!$B$1:$I$1,0),FALSE)</f>
        <v>0</v>
      </c>
      <c r="BI197">
        <f>VLOOKUP(B197,Miljö!$B$1:$BX$482,MATCH("Kärnkraftsandel för ursprungsspecificerad el ()",Miljö!$B$1:$O$1,0),FALSE)</f>
        <v>0</v>
      </c>
      <c r="BJ197">
        <f t="shared" si="79"/>
        <v>0</v>
      </c>
      <c r="BK197" t="str">
        <f>VLOOKUP(B197,Miljö!$B$1:$O$482,MATCH("Fossil andel i procent (%)",Miljö!$B$1:$O$1,0),FALSE)</f>
        <v>ET</v>
      </c>
      <c r="BL197">
        <f t="shared" si="80"/>
        <v>71.021999999999991</v>
      </c>
      <c r="BO197" s="18">
        <f t="shared" si="81"/>
        <v>4.3789248401903636E-3</v>
      </c>
      <c r="BP197" s="18">
        <f t="shared" si="82"/>
        <v>0</v>
      </c>
      <c r="BQ197" s="18">
        <f t="shared" si="83"/>
        <v>0.99562107515980958</v>
      </c>
      <c r="BR197" s="18">
        <f t="shared" si="84"/>
        <v>0</v>
      </c>
      <c r="BT197" s="27">
        <f t="shared" si="85"/>
        <v>0.99999999999999989</v>
      </c>
      <c r="BW197" s="18">
        <f>IF(AP197="ja",VLOOKUP(B197,Miljövärden!$B$2:$H$550,MATCH("Total andel fossilt",Miljövärden!$B$2:$H$2,0),FALSE),"")</f>
        <v>4.3789199999999997E-3</v>
      </c>
      <c r="BZ197" s="28">
        <f t="shared" si="86"/>
        <v>-4.8401903639597177E-9</v>
      </c>
      <c r="CA197" s="28">
        <f t="shared" si="87"/>
        <v>0</v>
      </c>
    </row>
    <row r="198" spans="1:79" x14ac:dyDescent="0.25">
      <c r="A198" s="224" t="s">
        <v>461</v>
      </c>
      <c r="B198" s="210" t="s">
        <v>109</v>
      </c>
      <c r="C198" s="121">
        <f>VLOOKUP($B198,'Tillförd energi'!$B$1:$AI$720,MATCH(C$1,'Tillförd energi'!$B$1:$AQ$1,0),FALSE)</f>
        <v>0</v>
      </c>
      <c r="D198" s="121">
        <f>VLOOKUP($B198,'Tillförd energi'!$B$1:$AI$720,MATCH(D$1,'Tillförd energi'!$B$1:$AQ$1,0),FALSE)</f>
        <v>5.7000000000000002E-2</v>
      </c>
      <c r="E198" s="121">
        <f>VLOOKUP($B198,'Tillförd energi'!$B$1:$AI$720,MATCH(E$1,'Tillförd energi'!$B$1:$AQ$1,0),FALSE)</f>
        <v>0</v>
      </c>
      <c r="F198" s="121">
        <f>VLOOKUP($B198,'Tillförd energi'!$B$1:$AI$720,MATCH(F$1,'Tillförd energi'!$B$1:$AQ$1,0),FALSE)</f>
        <v>0</v>
      </c>
      <c r="G198" s="121">
        <f>VLOOKUP($B198,'Tillförd energi'!$B$1:$AI$720,MATCH(G$1,'Tillförd energi'!$B$1:$AQ$1,0),FALSE)</f>
        <v>0</v>
      </c>
      <c r="H198" s="121">
        <f>VLOOKUP($B198,'Tillförd energi'!$B$1:$AI$720,MATCH(H$1,'Tillförd energi'!$B$1:$AQ$1,0),FALSE)</f>
        <v>0</v>
      </c>
      <c r="I198" s="121">
        <f>VLOOKUP($B198,'Tillförd energi'!$B$1:$AI$720,MATCH(I$1,'Tillförd energi'!$B$1:$AQ$1,0),FALSE)</f>
        <v>0</v>
      </c>
      <c r="J198" s="121">
        <f>VLOOKUP($B198,'Tillförd energi'!$B$1:$AI$720,MATCH(J$1,'Tillförd energi'!$B$1:$AQ$1,0),FALSE)</f>
        <v>0</v>
      </c>
      <c r="K198" s="121">
        <f>VLOOKUP($B198,'Tillförd energi'!$B$1:$AI$720,MATCH(K$1,'Tillförd energi'!$B$1:$AQ$1,0),FALSE)</f>
        <v>0</v>
      </c>
      <c r="L198" s="121">
        <f>VLOOKUP($B198,'Tillförd energi'!$B$1:$AI$720,MATCH(L$1,'Tillförd energi'!$B$1:$AQ$1,0),FALSE)</f>
        <v>0</v>
      </c>
      <c r="M198" s="121">
        <f>VLOOKUP($B198,'Tillförd energi'!$B$1:$AI$720,MATCH(M$1,'Tillförd energi'!$B$1:$AQ$1,0),FALSE)</f>
        <v>0</v>
      </c>
      <c r="N198" s="121">
        <f>VLOOKUP($B198,'Tillförd energi'!$B$1:$AI$720,MATCH(N$1,'Tillförd energi'!$B$1:$AQ$1,0),FALSE)</f>
        <v>0</v>
      </c>
      <c r="O198" s="121">
        <f>VLOOKUP($B198,'Tillförd energi'!$B$1:$AI$720,MATCH(O$1,'Tillförd energi'!$B$1:$AQ$1,0),FALSE)</f>
        <v>0</v>
      </c>
      <c r="P198" s="121">
        <f>VLOOKUP($B198,'Tillförd energi'!$B$1:$AI$720,MATCH(P$1,'Tillförd energi'!$B$1:$AQ$1,0),FALSE)</f>
        <v>3.2040000000000002</v>
      </c>
      <c r="Q198" s="121">
        <f>VLOOKUP($B198,'Tillförd energi'!$B$1:$AI$720,MATCH(Q$1,'Tillförd energi'!$B$1:$AQ$1,0),FALSE)</f>
        <v>0</v>
      </c>
      <c r="R198" s="121">
        <f>VLOOKUP($B198,'Tillförd energi'!$B$1:$AI$720,MATCH(R$1,'Tillförd energi'!$B$1:$AQ$1,0),FALSE)</f>
        <v>0</v>
      </c>
      <c r="S198" s="121">
        <f>VLOOKUP($B198,'Tillförd energi'!$B$1:$AI$720,MATCH(S$1,'Tillförd energi'!$B$1:$AQ$1,0),FALSE)</f>
        <v>13.98</v>
      </c>
      <c r="T198" s="121">
        <f>VLOOKUP($B198,'Tillförd energi'!$B$1:$AI$720,MATCH(T$1,'Tillförd energi'!$B$1:$AQ$1,0),FALSE)</f>
        <v>0</v>
      </c>
      <c r="U198" s="121">
        <f>VLOOKUP($B198,'Tillförd energi'!$B$1:$AI$720,MATCH(U$1,'Tillförd energi'!$B$1:$AQ$1,0),FALSE)</f>
        <v>0</v>
      </c>
      <c r="V198" s="121">
        <f>VLOOKUP($B198,'Tillförd energi'!$B$1:$AI$720,MATCH(V$1,'Tillförd energi'!$B$1:$AQ$1,0),FALSE)</f>
        <v>0</v>
      </c>
      <c r="W198" s="121">
        <f>VLOOKUP($B198,'Tillförd energi'!$B$1:$AI$720,MATCH(W$1,'Tillförd energi'!$B$1:$AQ$1,0),FALSE)</f>
        <v>0</v>
      </c>
      <c r="X198" s="121">
        <f>VLOOKUP($B198,'Tillförd energi'!$B$1:$AI$720,MATCH(X$1,'Tillförd energi'!$B$1:$AQ$1,0),FALSE)</f>
        <v>0</v>
      </c>
      <c r="Y198" s="121">
        <f>VLOOKUP($B198,'Tillförd energi'!$B$1:$AI$720,MATCH(Y$1,'Tillförd energi'!$B$1:$AQ$1,0),FALSE)</f>
        <v>0</v>
      </c>
      <c r="Z198" s="121">
        <f>VLOOKUP($B198,'Tillförd energi'!$B$1:$AI$720,MATCH(Z$1,'Tillförd energi'!$B$1:$AQ$1,0),FALSE)</f>
        <v>0</v>
      </c>
      <c r="AA198" s="121">
        <f>VLOOKUP($B198,'Tillförd energi'!$B$1:$AI$720,MATCH(AA$1,'Tillförd energi'!$B$1:$AQ$1,0),FALSE)</f>
        <v>0</v>
      </c>
      <c r="AB198" s="121">
        <f>VLOOKUP($B198,'Tillförd energi'!$B$1:$AI$720,MATCH(AB$1,'Tillförd energi'!$B$1:$AQ$1,0),FALSE)</f>
        <v>0</v>
      </c>
      <c r="AC198" s="121">
        <f>VLOOKUP($B198,'Tillförd energi'!$B$1:$AI$720,MATCH(AC$1,'Tillförd energi'!$B$1:$AQ$1,0),FALSE)</f>
        <v>0</v>
      </c>
      <c r="AD198" s="121">
        <f>VLOOKUP($B198,'Tillförd energi'!$B$1:$AI$720,MATCH(AD$1,'Tillförd energi'!$B$1:$AQ$1,0),FALSE)</f>
        <v>0</v>
      </c>
      <c r="AE198" s="121">
        <f>VLOOKUP($B198,'Tillförd energi'!$B$1:$AI$720,MATCH(AE$1,'Tillförd energi'!$B$1:$AQ$1,0),FALSE)</f>
        <v>0</v>
      </c>
      <c r="AF198" s="121">
        <f>VLOOKUP($B198,'Tillförd energi'!$B$1:$AI$720,MATCH(AF$1,'Tillförd energi'!$B$1:$AQ$1,0),FALSE)</f>
        <v>0.317</v>
      </c>
      <c r="AG198" s="121">
        <f>IFERROR(VLOOKUP(B198,Miljö!$B$1:$AC$550,MATCH("Köpt mängd produktionsspecifik fjärrvärme:",Miljö!$B$1:$AC$1,0),FALSE)/1,0)</f>
        <v>0</v>
      </c>
      <c r="AH198" s="121"/>
      <c r="AI198" s="121">
        <f t="shared" si="66"/>
        <v>17.558</v>
      </c>
      <c r="AJ198" s="121">
        <f t="shared" si="67"/>
        <v>17.558</v>
      </c>
      <c r="AK198" s="121">
        <f>IF(ISERROR(1/VLOOKUP($B198,Leveranser!$B$1:$S$499,MATCH("såld värme (gwh)",Leveranser!$B$1:$S$1,0),FALSE)),"",VLOOKUP($B198,Leveranser!$B$1:$S$499,MATCH("såld värme (gwh)",Leveranser!$B$1:$S$1,0),FALSE))</f>
        <v>13.42</v>
      </c>
      <c r="AL198" s="121">
        <f>VLOOKUP($B198,Leveranser!$B$1:$Y$499,MATCH("Totalt såld fjärrvärme till andra fjärrvärmeföretag",Leveranser!$B$1:$AA$1,0),FALSE)</f>
        <v>0</v>
      </c>
      <c r="AM198" s="121">
        <f>IF(ISERROR(1/VLOOKUP($B198,Miljö!$B$1:$S$500,MATCH("Såld mängd produktionsspecifik fjärrvärme (GWh)",Miljö!$B$1:$R$1,0),FALSE)),0,VLOOKUP($B198,Miljö!$B$1:$S$500,MATCH("Såld mängd produktionsspecifik fjärrvärme (GWh)",Miljö!$B$1:$R$1,0),FALSE))</f>
        <v>0</v>
      </c>
      <c r="AN198" s="172">
        <f t="shared" si="68"/>
        <v>0.76432395489235672</v>
      </c>
      <c r="AO198" s="121"/>
      <c r="AP198" s="121" t="str">
        <f>IFERROR(VLOOKUP($B198,Miljövärden!$B$2:$H$550,7,FALSE),"Nej, saknas")</f>
        <v>Ja</v>
      </c>
      <c r="AQ198" s="121" t="str">
        <f>IFERROR(VLOOKUP($B198,Miljövärden!$B$2:$H$550,6,FALSE),"Nej, saknas")</f>
        <v>Ja</v>
      </c>
      <c r="AU198">
        <f t="shared" si="69"/>
        <v>0.317</v>
      </c>
      <c r="AV198">
        <f t="shared" si="70"/>
        <v>0</v>
      </c>
      <c r="AW198">
        <f t="shared" si="71"/>
        <v>3.2040000000000002</v>
      </c>
      <c r="AX198">
        <f t="shared" si="72"/>
        <v>13.98</v>
      </c>
      <c r="AZ198">
        <f t="shared" si="73"/>
        <v>17.184000000000001</v>
      </c>
      <c r="BC198">
        <f t="shared" si="74"/>
        <v>5.7000000000000002E-2</v>
      </c>
      <c r="BD198">
        <f t="shared" si="75"/>
        <v>0</v>
      </c>
      <c r="BE198">
        <f t="shared" si="76"/>
        <v>17.184000000000001</v>
      </c>
      <c r="BF198">
        <f t="shared" si="77"/>
        <v>0</v>
      </c>
      <c r="BG198">
        <f t="shared" si="78"/>
        <v>0.317</v>
      </c>
      <c r="BH198">
        <f>VLOOKUP(B198,Miljö!$B$1:$BX$482,MATCH("Fossilandel för ursprungspecificerad el ()",Miljö!$B$1:$I$1,0),FALSE)</f>
        <v>0</v>
      </c>
      <c r="BI198">
        <f>VLOOKUP(B198,Miljö!$B$1:$BX$482,MATCH("Kärnkraftsandel för ursprungsspecificerad el ()",Miljö!$B$1:$O$1,0),FALSE)</f>
        <v>0</v>
      </c>
      <c r="BJ198">
        <f t="shared" si="79"/>
        <v>0</v>
      </c>
      <c r="BK198" t="str">
        <f>VLOOKUP(B198,Miljö!$B$1:$O$482,MATCH("Fossil andel i procent (%)",Miljö!$B$1:$O$1,0),FALSE)</f>
        <v>ET</v>
      </c>
      <c r="BL198">
        <f t="shared" si="80"/>
        <v>17.558</v>
      </c>
      <c r="BO198" s="18">
        <f t="shared" si="81"/>
        <v>3.2463834149675363E-3</v>
      </c>
      <c r="BP198" s="18">
        <f t="shared" si="82"/>
        <v>0</v>
      </c>
      <c r="BQ198" s="18">
        <f t="shared" si="83"/>
        <v>0.99675361658503259</v>
      </c>
      <c r="BR198" s="18">
        <f t="shared" si="84"/>
        <v>0</v>
      </c>
      <c r="BT198" s="27">
        <f t="shared" si="85"/>
        <v>1.0000000000000002</v>
      </c>
      <c r="BW198" s="18">
        <f>IF(AP198="ja",VLOOKUP(B198,Miljövärden!$B$2:$H$550,MATCH("Total andel fossilt",Miljövärden!$B$2:$H$2,0),FALSE),"")</f>
        <v>3.2463800000000001E-3</v>
      </c>
      <c r="BZ198" s="28">
        <f t="shared" si="86"/>
        <v>-3.4149675361833109E-9</v>
      </c>
      <c r="CA198" s="28">
        <f t="shared" si="87"/>
        <v>0</v>
      </c>
    </row>
    <row r="199" spans="1:79" x14ac:dyDescent="0.25">
      <c r="A199" s="224" t="s">
        <v>461</v>
      </c>
      <c r="B199" s="210" t="s">
        <v>111</v>
      </c>
      <c r="C199" s="121">
        <f>VLOOKUP($B199,'Tillförd energi'!$B$1:$AI$720,MATCH(C$1,'Tillförd energi'!$B$1:$AQ$1,0),FALSE)</f>
        <v>0</v>
      </c>
      <c r="D199" s="121">
        <f>VLOOKUP($B199,'Tillförd energi'!$B$1:$AI$720,MATCH(D$1,'Tillförd energi'!$B$1:$AQ$1,0),FALSE)</f>
        <v>2.4247200000000002</v>
      </c>
      <c r="E199" s="121">
        <f>VLOOKUP($B199,'Tillförd energi'!$B$1:$AI$720,MATCH(E$1,'Tillförd energi'!$B$1:$AQ$1,0),FALSE)</f>
        <v>0</v>
      </c>
      <c r="F199" s="121">
        <f>VLOOKUP($B199,'Tillförd energi'!$B$1:$AI$720,MATCH(F$1,'Tillförd energi'!$B$1:$AQ$1,0),FALSE)</f>
        <v>0</v>
      </c>
      <c r="G199" s="121">
        <f>VLOOKUP($B199,'Tillförd energi'!$B$1:$AI$720,MATCH(G$1,'Tillförd energi'!$B$1:$AQ$1,0),FALSE)</f>
        <v>0</v>
      </c>
      <c r="H199" s="121">
        <f>VLOOKUP($B199,'Tillförd energi'!$B$1:$AI$720,MATCH(H$1,'Tillförd energi'!$B$1:$AQ$1,0),FALSE)</f>
        <v>0</v>
      </c>
      <c r="I199" s="121">
        <f>VLOOKUP($B199,'Tillförd energi'!$B$1:$AI$720,MATCH(I$1,'Tillförd energi'!$B$1:$AQ$1,0),FALSE)</f>
        <v>0</v>
      </c>
      <c r="J199" s="121">
        <f>VLOOKUP($B199,'Tillförd energi'!$B$1:$AI$720,MATCH(J$1,'Tillförd energi'!$B$1:$AQ$1,0),FALSE)</f>
        <v>0</v>
      </c>
      <c r="K199" s="121">
        <f>VLOOKUP($B199,'Tillförd energi'!$B$1:$AI$720,MATCH(K$1,'Tillförd energi'!$B$1:$AQ$1,0),FALSE)</f>
        <v>0</v>
      </c>
      <c r="L199" s="121">
        <f>VLOOKUP($B199,'Tillförd energi'!$B$1:$AI$720,MATCH(L$1,'Tillförd energi'!$B$1:$AQ$1,0),FALSE)</f>
        <v>0</v>
      </c>
      <c r="M199" s="121">
        <f>VLOOKUP($B199,'Tillförd energi'!$B$1:$AI$720,MATCH(M$1,'Tillförd energi'!$B$1:$AQ$1,0),FALSE)</f>
        <v>0</v>
      </c>
      <c r="N199" s="121">
        <f>VLOOKUP($B199,'Tillförd energi'!$B$1:$AI$720,MATCH(N$1,'Tillförd energi'!$B$1:$AQ$1,0),FALSE)</f>
        <v>0</v>
      </c>
      <c r="O199" s="121">
        <f>VLOOKUP($B199,'Tillförd energi'!$B$1:$AI$720,MATCH(O$1,'Tillförd energi'!$B$1:$AQ$1,0),FALSE)</f>
        <v>0</v>
      </c>
      <c r="P199" s="121">
        <f>VLOOKUP($B199,'Tillförd energi'!$B$1:$AI$720,MATCH(P$1,'Tillförd energi'!$B$1:$AQ$1,0),FALSE)</f>
        <v>0</v>
      </c>
      <c r="Q199" s="121">
        <f>VLOOKUP($B199,'Tillförd energi'!$B$1:$AI$720,MATCH(Q$1,'Tillförd energi'!$B$1:$AQ$1,0),FALSE)</f>
        <v>14.379799999999999</v>
      </c>
      <c r="R199" s="121">
        <f>VLOOKUP($B199,'Tillförd energi'!$B$1:$AI$720,MATCH(R$1,'Tillförd energi'!$B$1:$AQ$1,0),FALSE)</f>
        <v>5.2850000000000001</v>
      </c>
      <c r="S199" s="121">
        <f>VLOOKUP($B199,'Tillförd energi'!$B$1:$AI$720,MATCH(S$1,'Tillförd energi'!$B$1:$AQ$1,0),FALSE)</f>
        <v>0</v>
      </c>
      <c r="T199" s="121">
        <f>VLOOKUP($B199,'Tillförd energi'!$B$1:$AI$720,MATCH(T$1,'Tillförd energi'!$B$1:$AQ$1,0),FALSE)</f>
        <v>0</v>
      </c>
      <c r="U199" s="121">
        <f>VLOOKUP($B199,'Tillförd energi'!$B$1:$AI$720,MATCH(U$1,'Tillförd energi'!$B$1:$AQ$1,0),FALSE)</f>
        <v>0</v>
      </c>
      <c r="V199" s="121">
        <f>VLOOKUP($B199,'Tillförd energi'!$B$1:$AI$720,MATCH(V$1,'Tillförd energi'!$B$1:$AQ$1,0),FALSE)</f>
        <v>0</v>
      </c>
      <c r="W199" s="121">
        <f>VLOOKUP($B199,'Tillförd energi'!$B$1:$AI$720,MATCH(W$1,'Tillförd energi'!$B$1:$AQ$1,0),FALSE)</f>
        <v>0</v>
      </c>
      <c r="X199" s="121">
        <f>VLOOKUP($B199,'Tillförd energi'!$B$1:$AI$720,MATCH(X$1,'Tillförd energi'!$B$1:$AQ$1,0),FALSE)</f>
        <v>0</v>
      </c>
      <c r="Y199" s="121">
        <f>VLOOKUP($B199,'Tillförd energi'!$B$1:$AI$720,MATCH(Y$1,'Tillförd energi'!$B$1:$AQ$1,0),FALSE)</f>
        <v>0</v>
      </c>
      <c r="Z199" s="121">
        <f>VLOOKUP($B199,'Tillförd energi'!$B$1:$AI$720,MATCH(Z$1,'Tillförd energi'!$B$1:$AQ$1,0),FALSE)</f>
        <v>0</v>
      </c>
      <c r="AA199" s="121">
        <f>VLOOKUP($B199,'Tillförd energi'!$B$1:$AI$720,MATCH(AA$1,'Tillförd energi'!$B$1:$AQ$1,0),FALSE)</f>
        <v>0</v>
      </c>
      <c r="AB199" s="121">
        <f>VLOOKUP($B199,'Tillförd energi'!$B$1:$AI$720,MATCH(AB$1,'Tillförd energi'!$B$1:$AQ$1,0),FALSE)</f>
        <v>0</v>
      </c>
      <c r="AC199" s="121">
        <f>VLOOKUP($B199,'Tillförd energi'!$B$1:$AI$720,MATCH(AC$1,'Tillförd energi'!$B$1:$AQ$1,0),FALSE)</f>
        <v>0</v>
      </c>
      <c r="AD199" s="121">
        <f>VLOOKUP($B199,'Tillförd energi'!$B$1:$AI$720,MATCH(AD$1,'Tillförd energi'!$B$1:$AQ$1,0),FALSE)</f>
        <v>0</v>
      </c>
      <c r="AE199" s="121">
        <f>VLOOKUP($B199,'Tillförd energi'!$B$1:$AI$720,MATCH(AE$1,'Tillförd energi'!$B$1:$AQ$1,0),FALSE)</f>
        <v>0</v>
      </c>
      <c r="AF199" s="121">
        <f>VLOOKUP($B199,'Tillförd energi'!$B$1:$AI$720,MATCH(AF$1,'Tillförd energi'!$B$1:$AQ$1,0),FALSE)</f>
        <v>0.128</v>
      </c>
      <c r="AG199" s="121">
        <f>IFERROR(VLOOKUP(B199,Miljö!$B$1:$AC$550,MATCH("Köpt mängd produktionsspecifik fjärrvärme:",Miljö!$B$1:$AC$1,0),FALSE)/1,0)</f>
        <v>0</v>
      </c>
      <c r="AH199" s="121"/>
      <c r="AI199" s="121">
        <f t="shared" si="66"/>
        <v>22.21752</v>
      </c>
      <c r="AJ199" s="121">
        <f t="shared" si="67"/>
        <v>22.21752</v>
      </c>
      <c r="AK199" s="121">
        <f>IF(ISERROR(1/VLOOKUP($B199,Leveranser!$B$1:$S$499,MATCH("såld värme (gwh)",Leveranser!$B$1:$S$1,0),FALSE)),"",VLOOKUP($B199,Leveranser!$B$1:$S$499,MATCH("såld värme (gwh)",Leveranser!$B$1:$S$1,0),FALSE))</f>
        <v>17.164000000000001</v>
      </c>
      <c r="AL199" s="121">
        <f>VLOOKUP($B199,Leveranser!$B$1:$Y$499,MATCH("Totalt såld fjärrvärme till andra fjärrvärmeföretag",Leveranser!$B$1:$AA$1,0),FALSE)</f>
        <v>0</v>
      </c>
      <c r="AM199" s="121">
        <f>IF(ISERROR(1/VLOOKUP($B199,Miljö!$B$1:$S$500,MATCH("Såld mängd produktionsspecifik fjärrvärme (GWh)",Miljö!$B$1:$R$1,0),FALSE)),0,VLOOKUP($B199,Miljö!$B$1:$S$500,MATCH("Såld mängd produktionsspecifik fjärrvärme (GWh)",Miljö!$B$1:$R$1,0),FALSE))</f>
        <v>0</v>
      </c>
      <c r="AN199" s="172">
        <f t="shared" si="68"/>
        <v>0.77254347019829406</v>
      </c>
      <c r="AO199" s="121"/>
      <c r="AP199" s="121" t="str">
        <f>IFERROR(VLOOKUP($B199,Miljövärden!$B$2:$H$550,7,FALSE),"Nej, saknas")</f>
        <v>Ja</v>
      </c>
      <c r="AQ199" s="121" t="str">
        <f>IFERROR(VLOOKUP($B199,Miljövärden!$B$2:$H$550,6,FALSE),"Nej, saknas")</f>
        <v>Ja</v>
      </c>
      <c r="AU199">
        <f t="shared" si="69"/>
        <v>0.128</v>
      </c>
      <c r="AV199">
        <f t="shared" si="70"/>
        <v>0</v>
      </c>
      <c r="AW199">
        <f t="shared" si="71"/>
        <v>14.379799999999999</v>
      </c>
      <c r="AX199">
        <f t="shared" si="72"/>
        <v>5.2850000000000001</v>
      </c>
      <c r="AZ199">
        <f t="shared" si="73"/>
        <v>19.6648</v>
      </c>
      <c r="BC199">
        <f t="shared" si="74"/>
        <v>2.4247200000000002</v>
      </c>
      <c r="BD199">
        <f t="shared" si="75"/>
        <v>0</v>
      </c>
      <c r="BE199">
        <f t="shared" si="76"/>
        <v>19.6648</v>
      </c>
      <c r="BF199">
        <f t="shared" si="77"/>
        <v>0</v>
      </c>
      <c r="BG199">
        <f t="shared" si="78"/>
        <v>0.128</v>
      </c>
      <c r="BH199">
        <f>VLOOKUP(B199,Miljö!$B$1:$BX$482,MATCH("Fossilandel för ursprungspecificerad el ()",Miljö!$B$1:$I$1,0),FALSE)</f>
        <v>0</v>
      </c>
      <c r="BI199">
        <f>VLOOKUP(B199,Miljö!$B$1:$BX$482,MATCH("Kärnkraftsandel för ursprungsspecificerad el ()",Miljö!$B$1:$O$1,0),FALSE)</f>
        <v>0</v>
      </c>
      <c r="BJ199">
        <f t="shared" si="79"/>
        <v>0</v>
      </c>
      <c r="BK199" t="str">
        <f>VLOOKUP(B199,Miljö!$B$1:$O$482,MATCH("Fossil andel i procent (%)",Miljö!$B$1:$O$1,0),FALSE)</f>
        <v>ET</v>
      </c>
      <c r="BL199">
        <f t="shared" si="80"/>
        <v>22.21752</v>
      </c>
      <c r="BO199" s="18">
        <f t="shared" si="81"/>
        <v>0.10913549307033368</v>
      </c>
      <c r="BP199" s="18">
        <f t="shared" si="82"/>
        <v>0</v>
      </c>
      <c r="BQ199" s="18">
        <f t="shared" si="83"/>
        <v>0.89086450692966634</v>
      </c>
      <c r="BR199" s="18">
        <f t="shared" si="84"/>
        <v>0</v>
      </c>
      <c r="BT199" s="27">
        <f t="shared" si="85"/>
        <v>1</v>
      </c>
      <c r="BW199" s="18">
        <f>IF(AP199="ja",VLOOKUP(B199,Miljövärden!$B$2:$H$550,MATCH("Total andel fossilt",Miljövärden!$B$2:$H$2,0),FALSE),"")</f>
        <v>0.109136</v>
      </c>
      <c r="BZ199" s="28">
        <f t="shared" si="86"/>
        <v>5.0692966631349368E-7</v>
      </c>
      <c r="CA199" s="28">
        <f t="shared" si="87"/>
        <v>0</v>
      </c>
    </row>
    <row r="200" spans="1:79" x14ac:dyDescent="0.25">
      <c r="A200" s="224" t="s">
        <v>461</v>
      </c>
      <c r="B200" s="210" t="s">
        <v>469</v>
      </c>
      <c r="C200" s="121">
        <f>VLOOKUP($B200,'Tillförd energi'!$B$1:$AI$720,MATCH(C$1,'Tillförd energi'!$B$1:$AQ$1,0),FALSE)</f>
        <v>0</v>
      </c>
      <c r="D200" s="121">
        <f>VLOOKUP($B200,'Tillförd energi'!$B$1:$AI$720,MATCH(D$1,'Tillförd energi'!$B$1:$AQ$1,0),FALSE)</f>
        <v>1.823</v>
      </c>
      <c r="E200" s="121">
        <f>VLOOKUP($B200,'Tillförd energi'!$B$1:$AI$720,MATCH(E$1,'Tillförd energi'!$B$1:$AQ$1,0),FALSE)</f>
        <v>0</v>
      </c>
      <c r="F200" s="121">
        <f>VLOOKUP($B200,'Tillförd energi'!$B$1:$AI$720,MATCH(F$1,'Tillförd energi'!$B$1:$AQ$1,0),FALSE)</f>
        <v>0</v>
      </c>
      <c r="G200" s="121">
        <f>VLOOKUP($B200,'Tillförd energi'!$B$1:$AI$720,MATCH(G$1,'Tillförd energi'!$B$1:$AQ$1,0),FALSE)</f>
        <v>0</v>
      </c>
      <c r="H200" s="121">
        <f>VLOOKUP($B200,'Tillförd energi'!$B$1:$AI$720,MATCH(H$1,'Tillförd energi'!$B$1:$AQ$1,0),FALSE)</f>
        <v>0</v>
      </c>
      <c r="I200" s="121">
        <f>VLOOKUP($B200,'Tillförd energi'!$B$1:$AI$720,MATCH(I$1,'Tillförd energi'!$B$1:$AQ$1,0),FALSE)</f>
        <v>0</v>
      </c>
      <c r="J200" s="121">
        <f>VLOOKUP($B200,'Tillförd energi'!$B$1:$AI$720,MATCH(J$1,'Tillförd energi'!$B$1:$AQ$1,0),FALSE)</f>
        <v>0</v>
      </c>
      <c r="K200" s="121">
        <f>VLOOKUP($B200,'Tillförd energi'!$B$1:$AI$720,MATCH(K$1,'Tillförd energi'!$B$1:$AQ$1,0),FALSE)</f>
        <v>0</v>
      </c>
      <c r="L200" s="121">
        <f>VLOOKUP($B200,'Tillförd energi'!$B$1:$AI$720,MATCH(L$1,'Tillförd energi'!$B$1:$AQ$1,0),FALSE)</f>
        <v>0</v>
      </c>
      <c r="M200" s="121">
        <f>VLOOKUP($B200,'Tillförd energi'!$B$1:$AI$720,MATCH(M$1,'Tillförd energi'!$B$1:$AQ$1,0),FALSE)</f>
        <v>0</v>
      </c>
      <c r="N200" s="121">
        <f>VLOOKUP($B200,'Tillförd energi'!$B$1:$AI$720,MATCH(N$1,'Tillförd energi'!$B$1:$AQ$1,0),FALSE)</f>
        <v>0</v>
      </c>
      <c r="O200" s="121">
        <f>VLOOKUP($B200,'Tillförd energi'!$B$1:$AI$720,MATCH(O$1,'Tillförd energi'!$B$1:$AQ$1,0),FALSE)</f>
        <v>0</v>
      </c>
      <c r="P200" s="121">
        <f>VLOOKUP($B200,'Tillförd energi'!$B$1:$AI$720,MATCH(P$1,'Tillförd energi'!$B$1:$AQ$1,0),FALSE)</f>
        <v>29.163</v>
      </c>
      <c r="Q200" s="121">
        <f>VLOOKUP($B200,'Tillförd energi'!$B$1:$AI$720,MATCH(Q$1,'Tillförd energi'!$B$1:$AQ$1,0),FALSE)</f>
        <v>0</v>
      </c>
      <c r="R200" s="121">
        <f>VLOOKUP($B200,'Tillförd energi'!$B$1:$AI$720,MATCH(R$1,'Tillförd energi'!$B$1:$AQ$1,0),FALSE)</f>
        <v>0</v>
      </c>
      <c r="S200" s="121">
        <f>VLOOKUP($B200,'Tillförd energi'!$B$1:$AI$720,MATCH(S$1,'Tillförd energi'!$B$1:$AQ$1,0),FALSE)</f>
        <v>0</v>
      </c>
      <c r="T200" s="121">
        <f>VLOOKUP($B200,'Tillförd energi'!$B$1:$AI$720,MATCH(T$1,'Tillförd energi'!$B$1:$AQ$1,0),FALSE)</f>
        <v>0</v>
      </c>
      <c r="U200" s="121">
        <f>VLOOKUP($B200,'Tillförd energi'!$B$1:$AI$720,MATCH(U$1,'Tillförd energi'!$B$1:$AQ$1,0),FALSE)</f>
        <v>0</v>
      </c>
      <c r="V200" s="121">
        <f>VLOOKUP($B200,'Tillförd energi'!$B$1:$AI$720,MATCH(V$1,'Tillförd energi'!$B$1:$AQ$1,0),FALSE)</f>
        <v>0</v>
      </c>
      <c r="W200" s="121">
        <f>VLOOKUP($B200,'Tillförd energi'!$B$1:$AI$720,MATCH(W$1,'Tillförd energi'!$B$1:$AQ$1,0),FALSE)</f>
        <v>0</v>
      </c>
      <c r="X200" s="121">
        <f>VLOOKUP($B200,'Tillförd energi'!$B$1:$AI$720,MATCH(X$1,'Tillförd energi'!$B$1:$AQ$1,0),FALSE)</f>
        <v>0</v>
      </c>
      <c r="Y200" s="121">
        <f>VLOOKUP($B200,'Tillförd energi'!$B$1:$AI$720,MATCH(Y$1,'Tillförd energi'!$B$1:$AQ$1,0),FALSE)</f>
        <v>0</v>
      </c>
      <c r="Z200" s="121">
        <f>VLOOKUP($B200,'Tillförd energi'!$B$1:$AI$720,MATCH(Z$1,'Tillförd energi'!$B$1:$AQ$1,0),FALSE)</f>
        <v>0</v>
      </c>
      <c r="AA200" s="121">
        <f>VLOOKUP($B200,'Tillförd energi'!$B$1:$AI$720,MATCH(AA$1,'Tillförd energi'!$B$1:$AQ$1,0),FALSE)</f>
        <v>0</v>
      </c>
      <c r="AB200" s="121">
        <f>VLOOKUP($B200,'Tillförd energi'!$B$1:$AI$720,MATCH(AB$1,'Tillförd energi'!$B$1:$AQ$1,0),FALSE)</f>
        <v>0</v>
      </c>
      <c r="AC200" s="121">
        <f>VLOOKUP($B200,'Tillförd energi'!$B$1:$AI$720,MATCH(AC$1,'Tillförd energi'!$B$1:$AQ$1,0),FALSE)</f>
        <v>3.4750000000000001</v>
      </c>
      <c r="AD200" s="121">
        <f>VLOOKUP($B200,'Tillförd energi'!$B$1:$AI$720,MATCH(AD$1,'Tillförd energi'!$B$1:$AQ$1,0),FALSE)</f>
        <v>0</v>
      </c>
      <c r="AE200" s="121">
        <f>VLOOKUP($B200,'Tillförd energi'!$B$1:$AI$720,MATCH(AE$1,'Tillförd energi'!$B$1:$AQ$1,0),FALSE)</f>
        <v>0</v>
      </c>
      <c r="AF200" s="121">
        <f>VLOOKUP($B200,'Tillförd energi'!$B$1:$AI$720,MATCH(AF$1,'Tillförd energi'!$B$1:$AQ$1,0),FALSE)</f>
        <v>0.65600000000000003</v>
      </c>
      <c r="AG200" s="121">
        <f>IFERROR(VLOOKUP(B200,Miljö!$B$1:$AC$550,MATCH("Köpt mängd produktionsspecifik fjärrvärme:",Miljö!$B$1:$AC$1,0),FALSE)/1,0)</f>
        <v>0</v>
      </c>
      <c r="AH200" s="121"/>
      <c r="AI200" s="121">
        <f t="shared" si="66"/>
        <v>35.116999999999997</v>
      </c>
      <c r="AJ200" s="121">
        <f t="shared" si="67"/>
        <v>35.116999999999997</v>
      </c>
      <c r="AK200" s="121">
        <f>IF(ISERROR(1/VLOOKUP($B200,Leveranser!$B$1:$S$499,MATCH("såld värme (gwh)",Leveranser!$B$1:$S$1,0),FALSE)),"",VLOOKUP($B200,Leveranser!$B$1:$S$499,MATCH("såld värme (gwh)",Leveranser!$B$1:$S$1,0),FALSE))</f>
        <v>24.768000000000001</v>
      </c>
      <c r="AL200" s="121">
        <f>VLOOKUP($B200,Leveranser!$B$1:$Y$499,MATCH("Totalt såld fjärrvärme till andra fjärrvärmeföretag",Leveranser!$B$1:$AA$1,0),FALSE)</f>
        <v>0</v>
      </c>
      <c r="AM200" s="121">
        <f>IF(ISERROR(1/VLOOKUP($B200,Miljö!$B$1:$S$500,MATCH("Såld mängd produktionsspecifik fjärrvärme (GWh)",Miljö!$B$1:$R$1,0),FALSE)),0,VLOOKUP($B200,Miljö!$B$1:$S$500,MATCH("Såld mängd produktionsspecifik fjärrvärme (GWh)",Miljö!$B$1:$R$1,0),FALSE))</f>
        <v>0</v>
      </c>
      <c r="AN200" s="172">
        <f t="shared" si="68"/>
        <v>0.70529942762764475</v>
      </c>
      <c r="AO200" s="121"/>
      <c r="AP200" s="121" t="str">
        <f>IFERROR(VLOOKUP($B200,Miljövärden!$B$2:$H$550,7,FALSE),"Nej, saknas")</f>
        <v>Ja</v>
      </c>
      <c r="AQ200" s="121" t="str">
        <f>IFERROR(VLOOKUP($B200,Miljövärden!$B$2:$H$550,6,FALSE),"Nej, saknas")</f>
        <v>Ja</v>
      </c>
      <c r="AU200">
        <f t="shared" si="69"/>
        <v>0.65600000000000003</v>
      </c>
      <c r="AV200">
        <f t="shared" si="70"/>
        <v>0</v>
      </c>
      <c r="AW200">
        <f t="shared" si="71"/>
        <v>29.163</v>
      </c>
      <c r="AX200">
        <f t="shared" si="72"/>
        <v>0</v>
      </c>
      <c r="AZ200">
        <f t="shared" si="73"/>
        <v>29.163</v>
      </c>
      <c r="BC200">
        <f t="shared" si="74"/>
        <v>1.823</v>
      </c>
      <c r="BD200">
        <f t="shared" si="75"/>
        <v>0</v>
      </c>
      <c r="BE200">
        <f t="shared" si="76"/>
        <v>29.163</v>
      </c>
      <c r="BF200">
        <f t="shared" si="77"/>
        <v>3.4750000000000001</v>
      </c>
      <c r="BG200">
        <f t="shared" si="78"/>
        <v>0.65600000000000003</v>
      </c>
      <c r="BH200">
        <f>VLOOKUP(B200,Miljö!$B$1:$BX$482,MATCH("Fossilandel för ursprungspecificerad el ()",Miljö!$B$1:$I$1,0),FALSE)</f>
        <v>0</v>
      </c>
      <c r="BI200">
        <f>VLOOKUP(B200,Miljö!$B$1:$BX$482,MATCH("Kärnkraftsandel för ursprungsspecificerad el ()",Miljö!$B$1:$O$1,0),FALSE)</f>
        <v>0</v>
      </c>
      <c r="BJ200">
        <f t="shared" si="79"/>
        <v>0</v>
      </c>
      <c r="BK200" t="str">
        <f>VLOOKUP(B200,Miljö!$B$1:$O$482,MATCH("Fossil andel i procent (%)",Miljö!$B$1:$O$1,0),FALSE)</f>
        <v>ET</v>
      </c>
      <c r="BL200">
        <f t="shared" si="80"/>
        <v>35.116999999999997</v>
      </c>
      <c r="BO200" s="18">
        <f t="shared" si="81"/>
        <v>5.1912179286385515E-2</v>
      </c>
      <c r="BP200" s="18">
        <f t="shared" si="82"/>
        <v>0</v>
      </c>
      <c r="BQ200" s="18">
        <f t="shared" si="83"/>
        <v>0.84913289859612162</v>
      </c>
      <c r="BR200" s="18">
        <f t="shared" si="84"/>
        <v>9.8954922117492961E-2</v>
      </c>
      <c r="BT200" s="27">
        <f t="shared" si="85"/>
        <v>1</v>
      </c>
      <c r="BW200" s="18">
        <f>IF(AP200="ja",VLOOKUP(B200,Miljövärden!$B$2:$H$550,MATCH("Total andel fossilt",Miljövärden!$B$2:$H$2,0),FALSE),"")</f>
        <v>5.1912199999999999E-2</v>
      </c>
      <c r="BZ200" s="28">
        <f t="shared" si="86"/>
        <v>2.0713614483358622E-8</v>
      </c>
      <c r="CA200" s="28">
        <f t="shared" si="87"/>
        <v>0</v>
      </c>
    </row>
    <row r="201" spans="1:79" x14ac:dyDescent="0.25">
      <c r="A201" s="224" t="s">
        <v>461</v>
      </c>
      <c r="B201" s="210" t="s">
        <v>470</v>
      </c>
      <c r="C201" s="121">
        <f>VLOOKUP($B201,'Tillförd energi'!$B$1:$AI$720,MATCH(C$1,'Tillförd energi'!$B$1:$AQ$1,0),FALSE)</f>
        <v>0</v>
      </c>
      <c r="D201" s="121">
        <f>VLOOKUP($B201,'Tillförd energi'!$B$1:$AI$720,MATCH(D$1,'Tillförd energi'!$B$1:$AQ$1,0),FALSE)</f>
        <v>0.57299999999999995</v>
      </c>
      <c r="E201" s="121">
        <f>VLOOKUP($B201,'Tillförd energi'!$B$1:$AI$720,MATCH(E$1,'Tillförd energi'!$B$1:$AQ$1,0),FALSE)</f>
        <v>0</v>
      </c>
      <c r="F201" s="121">
        <f>VLOOKUP($B201,'Tillförd energi'!$B$1:$AI$720,MATCH(F$1,'Tillförd energi'!$B$1:$AQ$1,0),FALSE)</f>
        <v>0</v>
      </c>
      <c r="G201" s="121">
        <f>VLOOKUP($B201,'Tillförd energi'!$B$1:$AI$720,MATCH(G$1,'Tillförd energi'!$B$1:$AQ$1,0),FALSE)</f>
        <v>0</v>
      </c>
      <c r="H201" s="121">
        <f>VLOOKUP($B201,'Tillförd energi'!$B$1:$AI$720,MATCH(H$1,'Tillförd energi'!$B$1:$AQ$1,0),FALSE)</f>
        <v>0</v>
      </c>
      <c r="I201" s="121">
        <f>VLOOKUP($B201,'Tillförd energi'!$B$1:$AI$720,MATCH(I$1,'Tillförd energi'!$B$1:$AQ$1,0),FALSE)</f>
        <v>0</v>
      </c>
      <c r="J201" s="121">
        <f>VLOOKUP($B201,'Tillförd energi'!$B$1:$AI$720,MATCH(J$1,'Tillförd energi'!$B$1:$AQ$1,0),FALSE)</f>
        <v>0</v>
      </c>
      <c r="K201" s="121">
        <f>VLOOKUP($B201,'Tillförd energi'!$B$1:$AI$720,MATCH(K$1,'Tillförd energi'!$B$1:$AQ$1,0),FALSE)</f>
        <v>0</v>
      </c>
      <c r="L201" s="121">
        <f>VLOOKUP($B201,'Tillförd energi'!$B$1:$AI$720,MATCH(L$1,'Tillförd energi'!$B$1:$AQ$1,0),FALSE)</f>
        <v>0</v>
      </c>
      <c r="M201" s="121">
        <f>VLOOKUP($B201,'Tillförd energi'!$B$1:$AI$720,MATCH(M$1,'Tillförd energi'!$B$1:$AQ$1,0),FALSE)</f>
        <v>0</v>
      </c>
      <c r="N201" s="121">
        <f>VLOOKUP($B201,'Tillförd energi'!$B$1:$AI$720,MATCH(N$1,'Tillförd energi'!$B$1:$AQ$1,0),FALSE)</f>
        <v>0</v>
      </c>
      <c r="O201" s="121">
        <f>VLOOKUP($B201,'Tillförd energi'!$B$1:$AI$720,MATCH(O$1,'Tillförd energi'!$B$1:$AQ$1,0),FALSE)</f>
        <v>0</v>
      </c>
      <c r="P201" s="121">
        <f>VLOOKUP($B201,'Tillförd energi'!$B$1:$AI$720,MATCH(P$1,'Tillförd energi'!$B$1:$AQ$1,0),FALSE)</f>
        <v>9.9540000000000006</v>
      </c>
      <c r="Q201" s="121">
        <f>VLOOKUP($B201,'Tillförd energi'!$B$1:$AI$720,MATCH(Q$1,'Tillförd energi'!$B$1:$AQ$1,0),FALSE)</f>
        <v>0</v>
      </c>
      <c r="R201" s="121">
        <f>VLOOKUP($B201,'Tillförd energi'!$B$1:$AI$720,MATCH(R$1,'Tillförd energi'!$B$1:$AQ$1,0),FALSE)</f>
        <v>0</v>
      </c>
      <c r="S201" s="121">
        <f>VLOOKUP($B201,'Tillförd energi'!$B$1:$AI$720,MATCH(S$1,'Tillförd energi'!$B$1:$AQ$1,0),FALSE)</f>
        <v>0</v>
      </c>
      <c r="T201" s="121">
        <f>VLOOKUP($B201,'Tillförd energi'!$B$1:$AI$720,MATCH(T$1,'Tillförd energi'!$B$1:$AQ$1,0),FALSE)</f>
        <v>0</v>
      </c>
      <c r="U201" s="121">
        <f>VLOOKUP($B201,'Tillförd energi'!$B$1:$AI$720,MATCH(U$1,'Tillförd energi'!$B$1:$AQ$1,0),FALSE)</f>
        <v>0</v>
      </c>
      <c r="V201" s="121">
        <f>VLOOKUP($B201,'Tillförd energi'!$B$1:$AI$720,MATCH(V$1,'Tillförd energi'!$B$1:$AQ$1,0),FALSE)</f>
        <v>0</v>
      </c>
      <c r="W201" s="121">
        <f>VLOOKUP($B201,'Tillförd energi'!$B$1:$AI$720,MATCH(W$1,'Tillförd energi'!$B$1:$AQ$1,0),FALSE)</f>
        <v>0</v>
      </c>
      <c r="X201" s="121">
        <f>VLOOKUP($B201,'Tillförd energi'!$B$1:$AI$720,MATCH(X$1,'Tillförd energi'!$B$1:$AQ$1,0),FALSE)</f>
        <v>0</v>
      </c>
      <c r="Y201" s="121">
        <f>VLOOKUP($B201,'Tillförd energi'!$B$1:$AI$720,MATCH(Y$1,'Tillförd energi'!$B$1:$AQ$1,0),FALSE)</f>
        <v>0</v>
      </c>
      <c r="Z201" s="121">
        <f>VLOOKUP($B201,'Tillförd energi'!$B$1:$AI$720,MATCH(Z$1,'Tillförd energi'!$B$1:$AQ$1,0),FALSE)</f>
        <v>0</v>
      </c>
      <c r="AA201" s="121">
        <f>VLOOKUP($B201,'Tillförd energi'!$B$1:$AI$720,MATCH(AA$1,'Tillförd energi'!$B$1:$AQ$1,0),FALSE)</f>
        <v>0</v>
      </c>
      <c r="AB201" s="121">
        <f>VLOOKUP($B201,'Tillförd energi'!$B$1:$AI$720,MATCH(AB$1,'Tillförd energi'!$B$1:$AQ$1,0),FALSE)</f>
        <v>0</v>
      </c>
      <c r="AC201" s="121">
        <f>VLOOKUP($B201,'Tillförd energi'!$B$1:$AI$720,MATCH(AC$1,'Tillförd energi'!$B$1:$AQ$1,0),FALSE)</f>
        <v>0</v>
      </c>
      <c r="AD201" s="121">
        <f>VLOOKUP($B201,'Tillförd energi'!$B$1:$AI$720,MATCH(AD$1,'Tillförd energi'!$B$1:$AQ$1,0),FALSE)</f>
        <v>0</v>
      </c>
      <c r="AE201" s="121">
        <f>VLOOKUP($B201,'Tillförd energi'!$B$1:$AI$720,MATCH(AE$1,'Tillförd energi'!$B$1:$AQ$1,0),FALSE)</f>
        <v>0</v>
      </c>
      <c r="AF201" s="121">
        <f>VLOOKUP($B201,'Tillförd energi'!$B$1:$AI$720,MATCH(AF$1,'Tillförd energi'!$B$1:$AQ$1,0),FALSE)</f>
        <v>0.22800000000000001</v>
      </c>
      <c r="AG201" s="121">
        <f>IFERROR(VLOOKUP(B201,Miljö!$B$1:$AC$550,MATCH("Köpt mängd produktionsspecifik fjärrvärme:",Miljö!$B$1:$AC$1,0),FALSE)/1,0)</f>
        <v>0</v>
      </c>
      <c r="AH201" s="121"/>
      <c r="AI201" s="121">
        <f t="shared" si="66"/>
        <v>10.755000000000001</v>
      </c>
      <c r="AJ201" s="121">
        <f t="shared" si="67"/>
        <v>10.755000000000001</v>
      </c>
      <c r="AK201" s="121">
        <f>IF(ISERROR(1/VLOOKUP($B201,Leveranser!$B$1:$S$499,MATCH("såld värme (gwh)",Leveranser!$B$1:$S$1,0),FALSE)),"",VLOOKUP($B201,Leveranser!$B$1:$S$499,MATCH("såld värme (gwh)",Leveranser!$B$1:$S$1,0),FALSE))</f>
        <v>7.3010000000000002</v>
      </c>
      <c r="AL201" s="121">
        <f>VLOOKUP($B201,Leveranser!$B$1:$Y$499,MATCH("Totalt såld fjärrvärme till andra fjärrvärmeföretag",Leveranser!$B$1:$AA$1,0),FALSE)</f>
        <v>0</v>
      </c>
      <c r="AM201" s="121">
        <f>IF(ISERROR(1/VLOOKUP($B201,Miljö!$B$1:$S$500,MATCH("Såld mängd produktionsspecifik fjärrvärme (GWh)",Miljö!$B$1:$R$1,0),FALSE)),0,VLOOKUP($B201,Miljö!$B$1:$S$500,MATCH("Såld mängd produktionsspecifik fjärrvärme (GWh)",Miljö!$B$1:$R$1,0),FALSE))</f>
        <v>0</v>
      </c>
      <c r="AN201" s="172">
        <f t="shared" si="68"/>
        <v>0.67884704788470474</v>
      </c>
      <c r="AO201" s="121"/>
      <c r="AP201" s="121" t="str">
        <f>IFERROR(VLOOKUP($B201,Miljövärden!$B$2:$H$550,7,FALSE),"Nej, saknas")</f>
        <v>Ja</v>
      </c>
      <c r="AQ201" s="121" t="str">
        <f>IFERROR(VLOOKUP($B201,Miljövärden!$B$2:$H$550,6,FALSE),"Nej, saknas")</f>
        <v>Ja</v>
      </c>
      <c r="AU201">
        <f t="shared" si="69"/>
        <v>0.22800000000000001</v>
      </c>
      <c r="AV201">
        <f t="shared" si="70"/>
        <v>0</v>
      </c>
      <c r="AW201">
        <f t="shared" si="71"/>
        <v>9.9540000000000006</v>
      </c>
      <c r="AX201">
        <f t="shared" si="72"/>
        <v>0</v>
      </c>
      <c r="AZ201">
        <f t="shared" si="73"/>
        <v>9.9540000000000006</v>
      </c>
      <c r="BC201">
        <f t="shared" si="74"/>
        <v>0.57299999999999995</v>
      </c>
      <c r="BD201">
        <f t="shared" si="75"/>
        <v>0</v>
      </c>
      <c r="BE201">
        <f t="shared" si="76"/>
        <v>9.9540000000000006</v>
      </c>
      <c r="BF201">
        <f t="shared" si="77"/>
        <v>0</v>
      </c>
      <c r="BG201">
        <f t="shared" si="78"/>
        <v>0.22800000000000001</v>
      </c>
      <c r="BH201">
        <f>VLOOKUP(B201,Miljö!$B$1:$BX$482,MATCH("Fossilandel för ursprungspecificerad el ()",Miljö!$B$1:$I$1,0),FALSE)</f>
        <v>0</v>
      </c>
      <c r="BI201">
        <f>VLOOKUP(B201,Miljö!$B$1:$BX$482,MATCH("Kärnkraftsandel för ursprungsspecificerad el ()",Miljö!$B$1:$O$1,0),FALSE)</f>
        <v>0</v>
      </c>
      <c r="BJ201">
        <f t="shared" si="79"/>
        <v>0</v>
      </c>
      <c r="BK201" t="str">
        <f>VLOOKUP(B201,Miljö!$B$1:$O$482,MATCH("Fossil andel i procent (%)",Miljö!$B$1:$O$1,0),FALSE)</f>
        <v>ET</v>
      </c>
      <c r="BL201">
        <f t="shared" si="80"/>
        <v>10.755000000000001</v>
      </c>
      <c r="BO201" s="18">
        <f t="shared" si="81"/>
        <v>5.3277545327754527E-2</v>
      </c>
      <c r="BP201" s="18">
        <f t="shared" si="82"/>
        <v>0</v>
      </c>
      <c r="BQ201" s="18">
        <f t="shared" si="83"/>
        <v>0.94672245467224547</v>
      </c>
      <c r="BR201" s="18">
        <f t="shared" si="84"/>
        <v>0</v>
      </c>
      <c r="BT201" s="27">
        <f t="shared" si="85"/>
        <v>1</v>
      </c>
      <c r="BW201" s="18">
        <f>IF(AP201="ja",VLOOKUP(B201,Miljövärden!$B$2:$H$550,MATCH("Total andel fossilt",Miljövärden!$B$2:$H$2,0),FALSE),"")</f>
        <v>5.3277499999999998E-2</v>
      </c>
      <c r="BZ201" s="28">
        <f t="shared" si="86"/>
        <v>-4.5327754528978748E-8</v>
      </c>
      <c r="CA201" s="28">
        <f t="shared" si="87"/>
        <v>0</v>
      </c>
    </row>
    <row r="202" spans="1:79" x14ac:dyDescent="0.25">
      <c r="A202" s="224" t="s">
        <v>461</v>
      </c>
      <c r="B202" s="210" t="s">
        <v>113</v>
      </c>
      <c r="C202" s="121">
        <f>VLOOKUP($B202,'Tillförd energi'!$B$1:$AI$720,MATCH(C$1,'Tillförd energi'!$B$1:$AQ$1,0),FALSE)</f>
        <v>0</v>
      </c>
      <c r="D202" s="121">
        <f>VLOOKUP($B202,'Tillförd energi'!$B$1:$AI$720,MATCH(D$1,'Tillförd energi'!$B$1:$AQ$1,0),FALSE)</f>
        <v>0.223</v>
      </c>
      <c r="E202" s="121">
        <f>VLOOKUP($B202,'Tillförd energi'!$B$1:$AI$720,MATCH(E$1,'Tillförd energi'!$B$1:$AQ$1,0),FALSE)</f>
        <v>0</v>
      </c>
      <c r="F202" s="121">
        <f>VLOOKUP($B202,'Tillförd energi'!$B$1:$AI$720,MATCH(F$1,'Tillförd energi'!$B$1:$AQ$1,0),FALSE)</f>
        <v>0</v>
      </c>
      <c r="G202" s="121">
        <f>VLOOKUP($B202,'Tillförd energi'!$B$1:$AI$720,MATCH(G$1,'Tillförd energi'!$B$1:$AQ$1,0),FALSE)</f>
        <v>0</v>
      </c>
      <c r="H202" s="121">
        <f>VLOOKUP($B202,'Tillförd energi'!$B$1:$AI$720,MATCH(H$1,'Tillförd energi'!$B$1:$AQ$1,0),FALSE)</f>
        <v>0</v>
      </c>
      <c r="I202" s="121">
        <f>VLOOKUP($B202,'Tillförd energi'!$B$1:$AI$720,MATCH(I$1,'Tillförd energi'!$B$1:$AQ$1,0),FALSE)</f>
        <v>0</v>
      </c>
      <c r="J202" s="121">
        <f>VLOOKUP($B202,'Tillförd energi'!$B$1:$AI$720,MATCH(J$1,'Tillförd energi'!$B$1:$AQ$1,0),FALSE)</f>
        <v>0</v>
      </c>
      <c r="K202" s="121">
        <f>VLOOKUP($B202,'Tillförd energi'!$B$1:$AI$720,MATCH(K$1,'Tillförd energi'!$B$1:$AQ$1,0),FALSE)</f>
        <v>0</v>
      </c>
      <c r="L202" s="121">
        <f>VLOOKUP($B202,'Tillförd energi'!$B$1:$AI$720,MATCH(L$1,'Tillförd energi'!$B$1:$AQ$1,0),FALSE)</f>
        <v>0</v>
      </c>
      <c r="M202" s="121">
        <f>VLOOKUP($B202,'Tillförd energi'!$B$1:$AI$720,MATCH(M$1,'Tillförd energi'!$B$1:$AQ$1,0),FALSE)</f>
        <v>0</v>
      </c>
      <c r="N202" s="121">
        <f>VLOOKUP($B202,'Tillförd energi'!$B$1:$AI$720,MATCH(N$1,'Tillförd energi'!$B$1:$AQ$1,0),FALSE)</f>
        <v>0</v>
      </c>
      <c r="O202" s="121">
        <f>VLOOKUP($B202,'Tillförd energi'!$B$1:$AI$720,MATCH(O$1,'Tillförd energi'!$B$1:$AQ$1,0),FALSE)</f>
        <v>0</v>
      </c>
      <c r="P202" s="121">
        <f>VLOOKUP($B202,'Tillförd energi'!$B$1:$AI$720,MATCH(P$1,'Tillförd energi'!$B$1:$AQ$1,0),FALSE)</f>
        <v>0</v>
      </c>
      <c r="Q202" s="121">
        <f>VLOOKUP($B202,'Tillförd energi'!$B$1:$AI$720,MATCH(Q$1,'Tillförd energi'!$B$1:$AQ$1,0),FALSE)</f>
        <v>0</v>
      </c>
      <c r="R202" s="121">
        <f>VLOOKUP($B202,'Tillförd energi'!$B$1:$AI$720,MATCH(R$1,'Tillförd energi'!$B$1:$AQ$1,0),FALSE)</f>
        <v>5.7930000000000001</v>
      </c>
      <c r="S202" s="121">
        <f>VLOOKUP($B202,'Tillförd energi'!$B$1:$AI$720,MATCH(S$1,'Tillförd energi'!$B$1:$AQ$1,0),FALSE)</f>
        <v>0</v>
      </c>
      <c r="T202" s="121">
        <f>VLOOKUP($B202,'Tillförd energi'!$B$1:$AI$720,MATCH(T$1,'Tillförd energi'!$B$1:$AQ$1,0),FALSE)</f>
        <v>0</v>
      </c>
      <c r="U202" s="121">
        <f>VLOOKUP($B202,'Tillförd energi'!$B$1:$AI$720,MATCH(U$1,'Tillförd energi'!$B$1:$AQ$1,0),FALSE)</f>
        <v>0</v>
      </c>
      <c r="V202" s="121">
        <f>VLOOKUP($B202,'Tillförd energi'!$B$1:$AI$720,MATCH(V$1,'Tillförd energi'!$B$1:$AQ$1,0),FALSE)</f>
        <v>0</v>
      </c>
      <c r="W202" s="121">
        <f>VLOOKUP($B202,'Tillförd energi'!$B$1:$AI$720,MATCH(W$1,'Tillförd energi'!$B$1:$AQ$1,0),FALSE)</f>
        <v>0</v>
      </c>
      <c r="X202" s="121">
        <f>VLOOKUP($B202,'Tillförd energi'!$B$1:$AI$720,MATCH(X$1,'Tillförd energi'!$B$1:$AQ$1,0),FALSE)</f>
        <v>0</v>
      </c>
      <c r="Y202" s="121">
        <f>VLOOKUP($B202,'Tillförd energi'!$B$1:$AI$720,MATCH(Y$1,'Tillförd energi'!$B$1:$AQ$1,0),FALSE)</f>
        <v>0</v>
      </c>
      <c r="Z202" s="121">
        <f>VLOOKUP($B202,'Tillförd energi'!$B$1:$AI$720,MATCH(Z$1,'Tillförd energi'!$B$1:$AQ$1,0),FALSE)</f>
        <v>0</v>
      </c>
      <c r="AA202" s="121">
        <f>VLOOKUP($B202,'Tillförd energi'!$B$1:$AI$720,MATCH(AA$1,'Tillförd energi'!$B$1:$AQ$1,0),FALSE)</f>
        <v>0</v>
      </c>
      <c r="AB202" s="121">
        <f>VLOOKUP($B202,'Tillförd energi'!$B$1:$AI$720,MATCH(AB$1,'Tillförd energi'!$B$1:$AQ$1,0),FALSE)</f>
        <v>0</v>
      </c>
      <c r="AC202" s="121">
        <f>VLOOKUP($B202,'Tillförd energi'!$B$1:$AI$720,MATCH(AC$1,'Tillförd energi'!$B$1:$AQ$1,0),FALSE)</f>
        <v>0</v>
      </c>
      <c r="AD202" s="121">
        <f>VLOOKUP($B202,'Tillförd energi'!$B$1:$AI$720,MATCH(AD$1,'Tillförd energi'!$B$1:$AQ$1,0),FALSE)</f>
        <v>0</v>
      </c>
      <c r="AE202" s="121">
        <f>VLOOKUP($B202,'Tillförd energi'!$B$1:$AI$720,MATCH(AE$1,'Tillförd energi'!$B$1:$AQ$1,0),FALSE)</f>
        <v>0</v>
      </c>
      <c r="AF202" s="121">
        <f>VLOOKUP($B202,'Tillförd energi'!$B$1:$AI$720,MATCH(AF$1,'Tillförd energi'!$B$1:$AQ$1,0),FALSE)</f>
        <v>8.8999999999999996E-2</v>
      </c>
      <c r="AG202" s="121">
        <f>IFERROR(VLOOKUP(B202,Miljö!$B$1:$AC$550,MATCH("Köpt mängd produktionsspecifik fjärrvärme:",Miljö!$B$1:$AC$1,0),FALSE)/1,0)</f>
        <v>0</v>
      </c>
      <c r="AH202" s="121"/>
      <c r="AI202" s="121">
        <f t="shared" si="66"/>
        <v>6.1050000000000004</v>
      </c>
      <c r="AJ202" s="121">
        <f t="shared" si="67"/>
        <v>6.1050000000000004</v>
      </c>
      <c r="AK202" s="121">
        <f>IF(ISERROR(1/VLOOKUP($B202,Leveranser!$B$1:$S$499,MATCH("såld värme (gwh)",Leveranser!$B$1:$S$1,0),FALSE)),"",VLOOKUP($B202,Leveranser!$B$1:$S$499,MATCH("såld värme (gwh)",Leveranser!$B$1:$S$1,0),FALSE))</f>
        <v>4.7910000000000004</v>
      </c>
      <c r="AL202" s="121">
        <f>VLOOKUP($B202,Leveranser!$B$1:$Y$499,MATCH("Totalt såld fjärrvärme till andra fjärrvärmeföretag",Leveranser!$B$1:$AA$1,0),FALSE)</f>
        <v>0</v>
      </c>
      <c r="AM202" s="121">
        <f>IF(ISERROR(1/VLOOKUP($B202,Miljö!$B$1:$S$500,MATCH("Såld mängd produktionsspecifik fjärrvärme (GWh)",Miljö!$B$1:$R$1,0),FALSE)),0,VLOOKUP($B202,Miljö!$B$1:$S$500,MATCH("Såld mängd produktionsspecifik fjärrvärme (GWh)",Miljö!$B$1:$R$1,0),FALSE))</f>
        <v>0</v>
      </c>
      <c r="AN202" s="172">
        <f t="shared" si="68"/>
        <v>0.78476658476658478</v>
      </c>
      <c r="AO202" s="121"/>
      <c r="AP202" s="121" t="str">
        <f>IFERROR(VLOOKUP($B202,Miljövärden!$B$2:$H$550,7,FALSE),"Nej, saknas")</f>
        <v>Ja</v>
      </c>
      <c r="AQ202" s="121" t="str">
        <f>IFERROR(VLOOKUP($B202,Miljövärden!$B$2:$H$550,6,FALSE),"Nej, saknas")</f>
        <v>Ja</v>
      </c>
      <c r="AU202">
        <f t="shared" si="69"/>
        <v>8.8999999999999996E-2</v>
      </c>
      <c r="AV202">
        <f t="shared" si="70"/>
        <v>0</v>
      </c>
      <c r="AW202">
        <f t="shared" si="71"/>
        <v>0</v>
      </c>
      <c r="AX202">
        <f t="shared" si="72"/>
        <v>5.7930000000000001</v>
      </c>
      <c r="AZ202">
        <f t="shared" si="73"/>
        <v>5.7930000000000001</v>
      </c>
      <c r="BC202">
        <f t="shared" si="74"/>
        <v>0.223</v>
      </c>
      <c r="BD202">
        <f t="shared" si="75"/>
        <v>0</v>
      </c>
      <c r="BE202">
        <f t="shared" si="76"/>
        <v>5.7930000000000001</v>
      </c>
      <c r="BF202">
        <f t="shared" si="77"/>
        <v>0</v>
      </c>
      <c r="BG202">
        <f t="shared" si="78"/>
        <v>8.8999999999999996E-2</v>
      </c>
      <c r="BH202">
        <f>VLOOKUP(B202,Miljö!$B$1:$BX$482,MATCH("Fossilandel för ursprungspecificerad el ()",Miljö!$B$1:$I$1,0),FALSE)</f>
        <v>0</v>
      </c>
      <c r="BI202">
        <f>VLOOKUP(B202,Miljö!$B$1:$BX$482,MATCH("Kärnkraftsandel för ursprungsspecificerad el ()",Miljö!$B$1:$O$1,0),FALSE)</f>
        <v>0</v>
      </c>
      <c r="BJ202">
        <f t="shared" si="79"/>
        <v>0</v>
      </c>
      <c r="BK202" t="str">
        <f>VLOOKUP(B202,Miljö!$B$1:$O$482,MATCH("Fossil andel i procent (%)",Miljö!$B$1:$O$1,0),FALSE)</f>
        <v>ET</v>
      </c>
      <c r="BL202">
        <f t="shared" si="80"/>
        <v>6.1050000000000004</v>
      </c>
      <c r="BO202" s="18">
        <f t="shared" si="81"/>
        <v>3.6527436527436528E-2</v>
      </c>
      <c r="BP202" s="18">
        <f t="shared" si="82"/>
        <v>0</v>
      </c>
      <c r="BQ202" s="18">
        <f t="shared" si="83"/>
        <v>0.96347256347256349</v>
      </c>
      <c r="BR202" s="18">
        <f t="shared" si="84"/>
        <v>0</v>
      </c>
      <c r="BT202" s="27">
        <f t="shared" si="85"/>
        <v>1</v>
      </c>
      <c r="BW202" s="18">
        <f>IF(AP202="ja",VLOOKUP(B202,Miljövärden!$B$2:$H$550,MATCH("Total andel fossilt",Miljövärden!$B$2:$H$2,0),FALSE),"")</f>
        <v>3.6527400000000002E-2</v>
      </c>
      <c r="BZ202" s="28">
        <f t="shared" si="86"/>
        <v>-3.6527436526878621E-8</v>
      </c>
      <c r="CA202" s="28">
        <f t="shared" si="87"/>
        <v>0</v>
      </c>
    </row>
    <row r="203" spans="1:79" x14ac:dyDescent="0.25">
      <c r="A203" s="224" t="s">
        <v>474</v>
      </c>
      <c r="B203" s="210" t="s">
        <v>475</v>
      </c>
      <c r="C203" s="121">
        <f>VLOOKUP($B203,'Tillförd energi'!$B$1:$AI$720,MATCH(C$1,'Tillförd energi'!$B$1:$AQ$1,0),FALSE)</f>
        <v>0</v>
      </c>
      <c r="D203" s="121">
        <f>VLOOKUP($B203,'Tillförd energi'!$B$1:$AI$720,MATCH(D$1,'Tillförd energi'!$B$1:$AQ$1,0),FALSE)</f>
        <v>0</v>
      </c>
      <c r="E203" s="121">
        <f>VLOOKUP($B203,'Tillförd energi'!$B$1:$AI$720,MATCH(E$1,'Tillförd energi'!$B$1:$AQ$1,0),FALSE)</f>
        <v>0</v>
      </c>
      <c r="F203" s="121">
        <f>VLOOKUP($B203,'Tillförd energi'!$B$1:$AI$720,MATCH(F$1,'Tillförd energi'!$B$1:$AQ$1,0),FALSE)</f>
        <v>0</v>
      </c>
      <c r="G203" s="121">
        <f>VLOOKUP($B203,'Tillförd energi'!$B$1:$AI$720,MATCH(G$1,'Tillförd energi'!$B$1:$AQ$1,0),FALSE)</f>
        <v>0</v>
      </c>
      <c r="H203" s="121">
        <f>VLOOKUP($B203,'Tillförd energi'!$B$1:$AI$720,MATCH(H$1,'Tillförd energi'!$B$1:$AQ$1,0),FALSE)</f>
        <v>0</v>
      </c>
      <c r="I203" s="121">
        <f>VLOOKUP($B203,'Tillförd energi'!$B$1:$AI$720,MATCH(I$1,'Tillförd energi'!$B$1:$AQ$1,0),FALSE)</f>
        <v>0</v>
      </c>
      <c r="J203" s="121">
        <f>VLOOKUP($B203,'Tillförd energi'!$B$1:$AI$720,MATCH(J$1,'Tillförd energi'!$B$1:$AQ$1,0),FALSE)</f>
        <v>0</v>
      </c>
      <c r="K203" s="121">
        <f>VLOOKUP($B203,'Tillförd energi'!$B$1:$AI$720,MATCH(K$1,'Tillförd energi'!$B$1:$AQ$1,0),FALSE)</f>
        <v>0</v>
      </c>
      <c r="L203" s="121">
        <f>VLOOKUP($B203,'Tillförd energi'!$B$1:$AI$720,MATCH(L$1,'Tillförd energi'!$B$1:$AQ$1,0),FALSE)</f>
        <v>0</v>
      </c>
      <c r="M203" s="121">
        <f>VLOOKUP($B203,'Tillförd energi'!$B$1:$AI$720,MATCH(M$1,'Tillförd energi'!$B$1:$AQ$1,0),FALSE)</f>
        <v>0</v>
      </c>
      <c r="N203" s="121">
        <f>VLOOKUP($B203,'Tillförd energi'!$B$1:$AI$720,MATCH(N$1,'Tillförd energi'!$B$1:$AQ$1,0),FALSE)</f>
        <v>0</v>
      </c>
      <c r="O203" s="121">
        <f>VLOOKUP($B203,'Tillförd energi'!$B$1:$AI$720,MATCH(O$1,'Tillförd energi'!$B$1:$AQ$1,0),FALSE)</f>
        <v>0</v>
      </c>
      <c r="P203" s="121">
        <f>VLOOKUP($B203,'Tillförd energi'!$B$1:$AI$720,MATCH(P$1,'Tillförd energi'!$B$1:$AQ$1,0),FALSE)</f>
        <v>0</v>
      </c>
      <c r="Q203" s="121">
        <f>VLOOKUP($B203,'Tillförd energi'!$B$1:$AI$720,MATCH(Q$1,'Tillförd energi'!$B$1:$AQ$1,0),FALSE)</f>
        <v>5.53294</v>
      </c>
      <c r="R203" s="121">
        <f>VLOOKUP($B203,'Tillförd energi'!$B$1:$AI$720,MATCH(R$1,'Tillförd energi'!$B$1:$AQ$1,0),FALSE)</f>
        <v>0</v>
      </c>
      <c r="S203" s="121">
        <f>VLOOKUP($B203,'Tillförd energi'!$B$1:$AI$720,MATCH(S$1,'Tillförd energi'!$B$1:$AQ$1,0),FALSE)</f>
        <v>0</v>
      </c>
      <c r="T203" s="121">
        <f>VLOOKUP($B203,'Tillförd energi'!$B$1:$AI$720,MATCH(T$1,'Tillförd energi'!$B$1:$AQ$1,0),FALSE)</f>
        <v>0</v>
      </c>
      <c r="U203" s="121">
        <f>VLOOKUP($B203,'Tillförd energi'!$B$1:$AI$720,MATCH(U$1,'Tillförd energi'!$B$1:$AQ$1,0),FALSE)</f>
        <v>0</v>
      </c>
      <c r="V203" s="121">
        <f>VLOOKUP($B203,'Tillförd energi'!$B$1:$AI$720,MATCH(V$1,'Tillförd energi'!$B$1:$AQ$1,0),FALSE)</f>
        <v>0</v>
      </c>
      <c r="W203" s="121">
        <f>VLOOKUP($B203,'Tillförd energi'!$B$1:$AI$720,MATCH(W$1,'Tillförd energi'!$B$1:$AQ$1,0),FALSE)</f>
        <v>0</v>
      </c>
      <c r="X203" s="121">
        <f>VLOOKUP($B203,'Tillförd energi'!$B$1:$AI$720,MATCH(X$1,'Tillförd energi'!$B$1:$AQ$1,0),FALSE)</f>
        <v>0</v>
      </c>
      <c r="Y203" s="121">
        <f>VLOOKUP($B203,'Tillförd energi'!$B$1:$AI$720,MATCH(Y$1,'Tillförd energi'!$B$1:$AQ$1,0),FALSE)</f>
        <v>0</v>
      </c>
      <c r="Z203" s="121">
        <f>VLOOKUP($B203,'Tillförd energi'!$B$1:$AI$720,MATCH(Z$1,'Tillförd energi'!$B$1:$AQ$1,0),FALSE)</f>
        <v>0</v>
      </c>
      <c r="AA203" s="121">
        <f>VLOOKUP($B203,'Tillförd energi'!$B$1:$AI$720,MATCH(AA$1,'Tillförd energi'!$B$1:$AQ$1,0),FALSE)</f>
        <v>0</v>
      </c>
      <c r="AB203" s="121">
        <f>VLOOKUP($B203,'Tillförd energi'!$B$1:$AI$720,MATCH(AB$1,'Tillförd energi'!$B$1:$AQ$1,0),FALSE)</f>
        <v>0</v>
      </c>
      <c r="AC203" s="121">
        <f>VLOOKUP($B203,'Tillförd energi'!$B$1:$AI$720,MATCH(AC$1,'Tillförd energi'!$B$1:$AQ$1,0),FALSE)</f>
        <v>0</v>
      </c>
      <c r="AD203" s="121">
        <f>VLOOKUP($B203,'Tillförd energi'!$B$1:$AI$720,MATCH(AD$1,'Tillförd energi'!$B$1:$AQ$1,0),FALSE)</f>
        <v>0</v>
      </c>
      <c r="AE203" s="121">
        <f>VLOOKUP($B203,'Tillförd energi'!$B$1:$AI$720,MATCH(AE$1,'Tillförd energi'!$B$1:$AQ$1,0),FALSE)</f>
        <v>0</v>
      </c>
      <c r="AF203" s="121">
        <f>VLOOKUP($B203,'Tillförd energi'!$B$1:$AI$720,MATCH(AF$1,'Tillförd energi'!$B$1:$AQ$1,0),FALSE)</f>
        <v>0.11193</v>
      </c>
      <c r="AG203" s="121">
        <f>IFERROR(VLOOKUP(B203,Miljö!$B$1:$AC$550,MATCH("Köpt mängd produktionsspecifik fjärrvärme:",Miljö!$B$1:$AC$1,0),FALSE)/1,0)</f>
        <v>0</v>
      </c>
      <c r="AH203" s="121"/>
      <c r="AI203" s="121">
        <f t="shared" si="66"/>
        <v>5.6448700000000001</v>
      </c>
      <c r="AJ203" s="121">
        <f t="shared" si="67"/>
        <v>5.6448700000000001</v>
      </c>
      <c r="AK203" s="121">
        <f>IF(ISERROR(1/VLOOKUP($B203,Leveranser!$B$1:$S$499,MATCH("såld värme (gwh)",Leveranser!$B$1:$S$1,0),FALSE)),"",VLOOKUP($B203,Leveranser!$B$1:$S$499,MATCH("såld värme (gwh)",Leveranser!$B$1:$S$1,0),FALSE))</f>
        <v>3.7309999999999999</v>
      </c>
      <c r="AL203" s="121">
        <f>VLOOKUP($B203,Leveranser!$B$1:$Y$499,MATCH("Totalt såld fjärrvärme till andra fjärrvärmeföretag",Leveranser!$B$1:$AA$1,0),FALSE)</f>
        <v>0</v>
      </c>
      <c r="AM203" s="121">
        <f>IF(ISERROR(1/VLOOKUP($B203,Miljö!$B$1:$S$500,MATCH("Såld mängd produktionsspecifik fjärrvärme (GWh)",Miljö!$B$1:$R$1,0),FALSE)),0,VLOOKUP($B203,Miljö!$B$1:$S$500,MATCH("Såld mängd produktionsspecifik fjärrvärme (GWh)",Miljö!$B$1:$R$1,0),FALSE))</f>
        <v>0</v>
      </c>
      <c r="AN203" s="172">
        <f t="shared" si="68"/>
        <v>0.66095410523182996</v>
      </c>
      <c r="AO203" s="121"/>
      <c r="AP203" s="121" t="str">
        <f>IFERROR(VLOOKUP($B203,Miljövärden!$B$2:$H$550,7,FALSE),"Nej, saknas")</f>
        <v>Ja</v>
      </c>
      <c r="AQ203" s="121" t="str">
        <f>IFERROR(VLOOKUP($B203,Miljövärden!$B$2:$H$550,6,FALSE),"Nej, saknas")</f>
        <v>Ja</v>
      </c>
      <c r="AU203">
        <f t="shared" si="69"/>
        <v>0.11193</v>
      </c>
      <c r="AV203">
        <f t="shared" si="70"/>
        <v>0</v>
      </c>
      <c r="AW203">
        <f t="shared" si="71"/>
        <v>5.53294</v>
      </c>
      <c r="AX203">
        <f t="shared" si="72"/>
        <v>0</v>
      </c>
      <c r="AZ203">
        <f t="shared" si="73"/>
        <v>5.53294</v>
      </c>
      <c r="BC203">
        <f t="shared" si="74"/>
        <v>0</v>
      </c>
      <c r="BD203">
        <f t="shared" si="75"/>
        <v>0</v>
      </c>
      <c r="BE203">
        <f t="shared" si="76"/>
        <v>5.53294</v>
      </c>
      <c r="BF203">
        <f t="shared" si="77"/>
        <v>0</v>
      </c>
      <c r="BG203">
        <f t="shared" si="78"/>
        <v>0.11193</v>
      </c>
      <c r="BH203">
        <f>VLOOKUP(B203,Miljö!$B$1:$BX$482,MATCH("Fossilandel för ursprungspecificerad el ()",Miljö!$B$1:$I$1,0),FALSE)</f>
        <v>0.43</v>
      </c>
      <c r="BI203">
        <f>VLOOKUP(B203,Miljö!$B$1:$BX$482,MATCH("Kärnkraftsandel för ursprungsspecificerad el ()",Miljö!$B$1:$O$1,0),FALSE)</f>
        <v>0.40550000000000003</v>
      </c>
      <c r="BJ203">
        <f t="shared" si="79"/>
        <v>0</v>
      </c>
      <c r="BK203" t="str">
        <f>VLOOKUP(B203,Miljö!$B$1:$O$482,MATCH("Fossil andel i procent (%)",Miljö!$B$1:$O$1,0),FALSE)</f>
        <v>ET</v>
      </c>
      <c r="BL203">
        <f t="shared" si="80"/>
        <v>5.6448700000000001</v>
      </c>
      <c r="BO203" s="18">
        <f t="shared" si="81"/>
        <v>8.5263079574906062E-3</v>
      </c>
      <c r="BP203" s="18">
        <f t="shared" si="82"/>
        <v>8.0405066901452129E-3</v>
      </c>
      <c r="BQ203" s="18">
        <f t="shared" si="83"/>
        <v>0.98343318535236413</v>
      </c>
      <c r="BR203" s="18">
        <f t="shared" si="84"/>
        <v>0</v>
      </c>
      <c r="BT203" s="27">
        <f t="shared" si="85"/>
        <v>1</v>
      </c>
      <c r="BW203" s="18">
        <f>IF(AP203="ja",VLOOKUP(B203,Miljövärden!$B$2:$H$550,MATCH("Total andel fossilt",Miljövärden!$B$2:$H$2,0),FALSE),"")</f>
        <v>8.5263100000000005E-3</v>
      </c>
      <c r="BZ203" s="28">
        <f t="shared" si="86"/>
        <v>2.042509394256653E-9</v>
      </c>
      <c r="CA203" s="28">
        <f t="shared" si="87"/>
        <v>0</v>
      </c>
    </row>
    <row r="204" spans="1:79" x14ac:dyDescent="0.25">
      <c r="A204" s="224" t="s">
        <v>474</v>
      </c>
      <c r="B204" s="210" t="s">
        <v>476</v>
      </c>
      <c r="C204" s="121">
        <f>VLOOKUP($B204,'Tillförd energi'!$B$1:$AI$720,MATCH(C$1,'Tillförd energi'!$B$1:$AQ$1,0),FALSE)</f>
        <v>0</v>
      </c>
      <c r="D204" s="121">
        <f>VLOOKUP($B204,'Tillförd energi'!$B$1:$AI$720,MATCH(D$1,'Tillförd energi'!$B$1:$AQ$1,0),FALSE)</f>
        <v>0.44500000000000001</v>
      </c>
      <c r="E204" s="121">
        <f>VLOOKUP($B204,'Tillförd energi'!$B$1:$AI$720,MATCH(E$1,'Tillförd energi'!$B$1:$AQ$1,0),FALSE)</f>
        <v>0</v>
      </c>
      <c r="F204" s="121">
        <f>VLOOKUP($B204,'Tillförd energi'!$B$1:$AI$720,MATCH(F$1,'Tillförd energi'!$B$1:$AQ$1,0),FALSE)</f>
        <v>0</v>
      </c>
      <c r="G204" s="121">
        <f>VLOOKUP($B204,'Tillförd energi'!$B$1:$AI$720,MATCH(G$1,'Tillförd energi'!$B$1:$AQ$1,0),FALSE)</f>
        <v>0</v>
      </c>
      <c r="H204" s="121">
        <f>VLOOKUP($B204,'Tillförd energi'!$B$1:$AI$720,MATCH(H$1,'Tillförd energi'!$B$1:$AQ$1,0),FALSE)</f>
        <v>0</v>
      </c>
      <c r="I204" s="121">
        <f>VLOOKUP($B204,'Tillförd energi'!$B$1:$AI$720,MATCH(I$1,'Tillförd energi'!$B$1:$AQ$1,0),FALSE)</f>
        <v>0</v>
      </c>
      <c r="J204" s="121">
        <f>VLOOKUP($B204,'Tillförd energi'!$B$1:$AI$720,MATCH(J$1,'Tillförd energi'!$B$1:$AQ$1,0),FALSE)</f>
        <v>0</v>
      </c>
      <c r="K204" s="121">
        <f>VLOOKUP($B204,'Tillförd energi'!$B$1:$AI$720,MATCH(K$1,'Tillförd energi'!$B$1:$AQ$1,0),FALSE)</f>
        <v>0</v>
      </c>
      <c r="L204" s="121">
        <f>VLOOKUP($B204,'Tillförd energi'!$B$1:$AI$720,MATCH(L$1,'Tillförd energi'!$B$1:$AQ$1,0),FALSE)</f>
        <v>0</v>
      </c>
      <c r="M204" s="121">
        <f>VLOOKUP($B204,'Tillförd energi'!$B$1:$AI$720,MATCH(M$1,'Tillförd energi'!$B$1:$AQ$1,0),FALSE)</f>
        <v>0</v>
      </c>
      <c r="N204" s="121">
        <f>VLOOKUP($B204,'Tillförd energi'!$B$1:$AI$720,MATCH(N$1,'Tillförd energi'!$B$1:$AQ$1,0),FALSE)</f>
        <v>57.481000000000002</v>
      </c>
      <c r="O204" s="121">
        <f>VLOOKUP($B204,'Tillförd energi'!$B$1:$AI$720,MATCH(O$1,'Tillförd energi'!$B$1:$AQ$1,0),FALSE)</f>
        <v>0</v>
      </c>
      <c r="P204" s="121">
        <f>VLOOKUP($B204,'Tillförd energi'!$B$1:$AI$720,MATCH(P$1,'Tillförd energi'!$B$1:$AQ$1,0),FALSE)</f>
        <v>0</v>
      </c>
      <c r="Q204" s="121">
        <f>VLOOKUP($B204,'Tillförd energi'!$B$1:$AI$720,MATCH(Q$1,'Tillförd energi'!$B$1:$AQ$1,0),FALSE)</f>
        <v>0</v>
      </c>
      <c r="R204" s="121">
        <f>VLOOKUP($B204,'Tillförd energi'!$B$1:$AI$720,MATCH(R$1,'Tillförd energi'!$B$1:$AQ$1,0),FALSE)</f>
        <v>0.996</v>
      </c>
      <c r="S204" s="121">
        <f>VLOOKUP($B204,'Tillförd energi'!$B$1:$AI$720,MATCH(S$1,'Tillförd energi'!$B$1:$AQ$1,0),FALSE)</f>
        <v>0</v>
      </c>
      <c r="T204" s="121">
        <f>VLOOKUP($B204,'Tillförd energi'!$B$1:$AI$720,MATCH(T$1,'Tillförd energi'!$B$1:$AQ$1,0),FALSE)</f>
        <v>0</v>
      </c>
      <c r="U204" s="121">
        <f>VLOOKUP($B204,'Tillförd energi'!$B$1:$AI$720,MATCH(U$1,'Tillförd energi'!$B$1:$AQ$1,0),FALSE)</f>
        <v>0</v>
      </c>
      <c r="V204" s="121">
        <f>VLOOKUP($B204,'Tillförd energi'!$B$1:$AI$720,MATCH(V$1,'Tillförd energi'!$B$1:$AQ$1,0),FALSE)</f>
        <v>0</v>
      </c>
      <c r="W204" s="121">
        <f>VLOOKUP($B204,'Tillförd energi'!$B$1:$AI$720,MATCH(W$1,'Tillförd energi'!$B$1:$AQ$1,0),FALSE)</f>
        <v>0</v>
      </c>
      <c r="X204" s="121">
        <f>VLOOKUP($B204,'Tillförd energi'!$B$1:$AI$720,MATCH(X$1,'Tillförd energi'!$B$1:$AQ$1,0),FALSE)</f>
        <v>0</v>
      </c>
      <c r="Y204" s="121">
        <f>VLOOKUP($B204,'Tillförd energi'!$B$1:$AI$720,MATCH(Y$1,'Tillförd energi'!$B$1:$AQ$1,0),FALSE)</f>
        <v>0</v>
      </c>
      <c r="Z204" s="121">
        <f>VLOOKUP($B204,'Tillförd energi'!$B$1:$AI$720,MATCH(Z$1,'Tillförd energi'!$B$1:$AQ$1,0),FALSE)</f>
        <v>0</v>
      </c>
      <c r="AA204" s="121">
        <f>VLOOKUP($B204,'Tillförd energi'!$B$1:$AI$720,MATCH(AA$1,'Tillförd energi'!$B$1:$AQ$1,0),FALSE)</f>
        <v>0</v>
      </c>
      <c r="AB204" s="121">
        <f>VLOOKUP($B204,'Tillförd energi'!$B$1:$AI$720,MATCH(AB$1,'Tillförd energi'!$B$1:$AQ$1,0),FALSE)</f>
        <v>0</v>
      </c>
      <c r="AC204" s="121">
        <f>VLOOKUP($B204,'Tillförd energi'!$B$1:$AI$720,MATCH(AC$1,'Tillförd energi'!$B$1:$AQ$1,0),FALSE)</f>
        <v>0</v>
      </c>
      <c r="AD204" s="121">
        <f>VLOOKUP($B204,'Tillförd energi'!$B$1:$AI$720,MATCH(AD$1,'Tillförd energi'!$B$1:$AQ$1,0),FALSE)</f>
        <v>0</v>
      </c>
      <c r="AE204" s="121">
        <f>VLOOKUP($B204,'Tillförd energi'!$B$1:$AI$720,MATCH(AE$1,'Tillförd energi'!$B$1:$AQ$1,0),FALSE)</f>
        <v>0</v>
      </c>
      <c r="AF204" s="121">
        <f>VLOOKUP($B204,'Tillförd energi'!$B$1:$AI$720,MATCH(AF$1,'Tillförd energi'!$B$1:$AQ$1,0),FALSE)</f>
        <v>1.32843</v>
      </c>
      <c r="AG204" s="121">
        <f>IFERROR(VLOOKUP(B204,Miljö!$B$1:$AC$550,MATCH("Köpt mängd produktionsspecifik fjärrvärme:",Miljö!$B$1:$AC$1,0),FALSE)/1,0)</f>
        <v>0</v>
      </c>
      <c r="AH204" s="121"/>
      <c r="AI204" s="121">
        <f t="shared" si="66"/>
        <v>60.250430000000001</v>
      </c>
      <c r="AJ204" s="121">
        <f t="shared" si="67"/>
        <v>60.250430000000001</v>
      </c>
      <c r="AK204" s="121">
        <f>IF(ISERROR(1/VLOOKUP($B204,Leveranser!$B$1:$S$499,MATCH("såld värme (gwh)",Leveranser!$B$1:$S$1,0),FALSE)),"",VLOOKUP($B204,Leveranser!$B$1:$S$499,MATCH("såld värme (gwh)",Leveranser!$B$1:$S$1,0),FALSE))</f>
        <v>44.280999999999999</v>
      </c>
      <c r="AL204" s="121">
        <f>VLOOKUP($B204,Leveranser!$B$1:$Y$499,MATCH("Totalt såld fjärrvärme till andra fjärrvärmeföretag",Leveranser!$B$1:$AA$1,0),FALSE)</f>
        <v>0</v>
      </c>
      <c r="AM204" s="121">
        <f>IF(ISERROR(1/VLOOKUP($B204,Miljö!$B$1:$S$500,MATCH("Såld mängd produktionsspecifik fjärrvärme (GWh)",Miljö!$B$1:$R$1,0),FALSE)),0,VLOOKUP($B204,Miljö!$B$1:$S$500,MATCH("Såld mängd produktionsspecifik fjärrvärme (GWh)",Miljö!$B$1:$R$1,0),FALSE))</f>
        <v>0</v>
      </c>
      <c r="AN204" s="172">
        <f t="shared" si="68"/>
        <v>0.73494911156650666</v>
      </c>
      <c r="AO204" s="121"/>
      <c r="AP204" s="121" t="str">
        <f>IFERROR(VLOOKUP($B204,Miljövärden!$B$2:$H$550,7,FALSE),"Nej, saknas")</f>
        <v>Ja</v>
      </c>
      <c r="AQ204" s="121" t="str">
        <f>IFERROR(VLOOKUP($B204,Miljövärden!$B$2:$H$550,6,FALSE),"Nej, saknas")</f>
        <v>Ja</v>
      </c>
      <c r="AU204">
        <f t="shared" si="69"/>
        <v>1.32843</v>
      </c>
      <c r="AV204">
        <f t="shared" si="70"/>
        <v>0</v>
      </c>
      <c r="AW204">
        <f t="shared" si="71"/>
        <v>57.481000000000002</v>
      </c>
      <c r="AX204">
        <f t="shared" si="72"/>
        <v>0.996</v>
      </c>
      <c r="AZ204">
        <f t="shared" si="73"/>
        <v>58.477000000000004</v>
      </c>
      <c r="BC204">
        <f t="shared" si="74"/>
        <v>0.44500000000000001</v>
      </c>
      <c r="BD204">
        <f t="shared" si="75"/>
        <v>0</v>
      </c>
      <c r="BE204">
        <f t="shared" si="76"/>
        <v>58.477000000000004</v>
      </c>
      <c r="BF204">
        <f t="shared" si="77"/>
        <v>0</v>
      </c>
      <c r="BG204">
        <f t="shared" si="78"/>
        <v>1.32843</v>
      </c>
      <c r="BH204">
        <f>VLOOKUP(B204,Miljö!$B$1:$BX$482,MATCH("Fossilandel för ursprungspecificerad el ()",Miljö!$B$1:$I$1,0),FALSE)</f>
        <v>0.43</v>
      </c>
      <c r="BI204">
        <f>VLOOKUP(B204,Miljö!$B$1:$BX$482,MATCH("Kärnkraftsandel för ursprungsspecificerad el ()",Miljö!$B$1:$O$1,0),FALSE)</f>
        <v>0.40550000000000003</v>
      </c>
      <c r="BJ204">
        <f t="shared" si="79"/>
        <v>0</v>
      </c>
      <c r="BK204" t="str">
        <f>VLOOKUP(B204,Miljö!$B$1:$O$482,MATCH("Fossil andel i procent (%)",Miljö!$B$1:$O$1,0),FALSE)</f>
        <v>ET</v>
      </c>
      <c r="BL204">
        <f t="shared" si="80"/>
        <v>60.250430000000001</v>
      </c>
      <c r="BO204" s="18">
        <f t="shared" si="81"/>
        <v>1.6866682943175677E-2</v>
      </c>
      <c r="BP204" s="18">
        <f t="shared" si="82"/>
        <v>8.9406559422065528E-3</v>
      </c>
      <c r="BQ204" s="18">
        <f t="shared" si="83"/>
        <v>0.97419266111461778</v>
      </c>
      <c r="BR204" s="18">
        <f t="shared" si="84"/>
        <v>0</v>
      </c>
      <c r="BT204" s="27">
        <f t="shared" si="85"/>
        <v>1</v>
      </c>
      <c r="BW204" s="18">
        <f>IF(AP204="ja",VLOOKUP(B204,Miljövärden!$B$2:$H$550,MATCH("Total andel fossilt",Miljövärden!$B$2:$H$2,0),FALSE),"")</f>
        <v>1.6866599999999999E-2</v>
      </c>
      <c r="BZ204" s="28">
        <f t="shared" si="86"/>
        <v>-8.2943175678390491E-8</v>
      </c>
      <c r="CA204" s="28">
        <f t="shared" si="87"/>
        <v>0</v>
      </c>
    </row>
    <row r="205" spans="1:79" x14ac:dyDescent="0.25">
      <c r="A205" s="224" t="s">
        <v>477</v>
      </c>
      <c r="B205" s="210" t="s">
        <v>478</v>
      </c>
      <c r="C205" s="121">
        <f>VLOOKUP($B205,'Tillförd energi'!$B$1:$AI$720,MATCH(C$1,'Tillförd energi'!$B$1:$AQ$1,0),FALSE)</f>
        <v>0</v>
      </c>
      <c r="D205" s="121">
        <f>VLOOKUP($B205,'Tillförd energi'!$B$1:$AI$720,MATCH(D$1,'Tillförd energi'!$B$1:$AQ$1,0),FALSE)</f>
        <v>0.3</v>
      </c>
      <c r="E205" s="121">
        <f>VLOOKUP($B205,'Tillförd energi'!$B$1:$AI$720,MATCH(E$1,'Tillförd energi'!$B$1:$AQ$1,0),FALSE)</f>
        <v>0</v>
      </c>
      <c r="F205" s="121">
        <f>VLOOKUP($B205,'Tillförd energi'!$B$1:$AI$720,MATCH(F$1,'Tillförd energi'!$B$1:$AQ$1,0),FALSE)</f>
        <v>0</v>
      </c>
      <c r="G205" s="121">
        <f>VLOOKUP($B205,'Tillförd energi'!$B$1:$AI$720,MATCH(G$1,'Tillförd energi'!$B$1:$AQ$1,0),FALSE)</f>
        <v>0</v>
      </c>
      <c r="H205" s="121">
        <f>VLOOKUP($B205,'Tillförd energi'!$B$1:$AI$720,MATCH(H$1,'Tillförd energi'!$B$1:$AQ$1,0),FALSE)</f>
        <v>0</v>
      </c>
      <c r="I205" s="121">
        <f>VLOOKUP($B205,'Tillförd energi'!$B$1:$AI$720,MATCH(I$1,'Tillförd energi'!$B$1:$AQ$1,0),FALSE)</f>
        <v>0</v>
      </c>
      <c r="J205" s="121">
        <f>VLOOKUP($B205,'Tillförd energi'!$B$1:$AI$720,MATCH(J$1,'Tillförd energi'!$B$1:$AQ$1,0),FALSE)</f>
        <v>0</v>
      </c>
      <c r="K205" s="121">
        <f>VLOOKUP($B205,'Tillförd energi'!$B$1:$AI$720,MATCH(K$1,'Tillförd energi'!$B$1:$AQ$1,0),FALSE)</f>
        <v>0</v>
      </c>
      <c r="L205" s="121">
        <f>VLOOKUP($B205,'Tillförd energi'!$B$1:$AI$720,MATCH(L$1,'Tillförd energi'!$B$1:$AQ$1,0),FALSE)</f>
        <v>0</v>
      </c>
      <c r="M205" s="121">
        <f>VLOOKUP($B205,'Tillförd energi'!$B$1:$AI$720,MATCH(M$1,'Tillförd energi'!$B$1:$AQ$1,0),FALSE)</f>
        <v>0</v>
      </c>
      <c r="N205" s="121">
        <f>VLOOKUP($B205,'Tillförd energi'!$B$1:$AI$720,MATCH(N$1,'Tillförd energi'!$B$1:$AQ$1,0),FALSE)</f>
        <v>0</v>
      </c>
      <c r="O205" s="121">
        <f>VLOOKUP($B205,'Tillförd energi'!$B$1:$AI$720,MATCH(O$1,'Tillförd energi'!$B$1:$AQ$1,0),FALSE)</f>
        <v>0</v>
      </c>
      <c r="P205" s="121">
        <f>VLOOKUP($B205,'Tillförd energi'!$B$1:$AI$720,MATCH(P$1,'Tillförd energi'!$B$1:$AQ$1,0),FALSE)</f>
        <v>6.1</v>
      </c>
      <c r="Q205" s="121">
        <f>VLOOKUP($B205,'Tillförd energi'!$B$1:$AI$720,MATCH(Q$1,'Tillförd energi'!$B$1:$AQ$1,0),FALSE)</f>
        <v>0</v>
      </c>
      <c r="R205" s="121">
        <f>VLOOKUP($B205,'Tillförd energi'!$B$1:$AI$720,MATCH(R$1,'Tillförd energi'!$B$1:$AQ$1,0),FALSE)</f>
        <v>0</v>
      </c>
      <c r="S205" s="121">
        <f>VLOOKUP($B205,'Tillförd energi'!$B$1:$AI$720,MATCH(S$1,'Tillförd energi'!$B$1:$AQ$1,0),FALSE)</f>
        <v>0</v>
      </c>
      <c r="T205" s="121">
        <f>VLOOKUP($B205,'Tillförd energi'!$B$1:$AI$720,MATCH(T$1,'Tillförd energi'!$B$1:$AQ$1,0),FALSE)</f>
        <v>0</v>
      </c>
      <c r="U205" s="121">
        <f>VLOOKUP($B205,'Tillförd energi'!$B$1:$AI$720,MATCH(U$1,'Tillförd energi'!$B$1:$AQ$1,0),FALSE)</f>
        <v>0</v>
      </c>
      <c r="V205" s="121">
        <f>VLOOKUP($B205,'Tillförd energi'!$B$1:$AI$720,MATCH(V$1,'Tillförd energi'!$B$1:$AQ$1,0),FALSE)</f>
        <v>0</v>
      </c>
      <c r="W205" s="121">
        <f>VLOOKUP($B205,'Tillförd energi'!$B$1:$AI$720,MATCH(W$1,'Tillförd energi'!$B$1:$AQ$1,0),FALSE)</f>
        <v>0</v>
      </c>
      <c r="X205" s="121">
        <f>VLOOKUP($B205,'Tillförd energi'!$B$1:$AI$720,MATCH(X$1,'Tillförd energi'!$B$1:$AQ$1,0),FALSE)</f>
        <v>0</v>
      </c>
      <c r="Y205" s="121">
        <f>VLOOKUP($B205,'Tillförd energi'!$B$1:$AI$720,MATCH(Y$1,'Tillförd energi'!$B$1:$AQ$1,0),FALSE)</f>
        <v>0</v>
      </c>
      <c r="Z205" s="121">
        <f>VLOOKUP($B205,'Tillförd energi'!$B$1:$AI$720,MATCH(Z$1,'Tillförd energi'!$B$1:$AQ$1,0),FALSE)</f>
        <v>0</v>
      </c>
      <c r="AA205" s="121">
        <f>VLOOKUP($B205,'Tillförd energi'!$B$1:$AI$720,MATCH(AA$1,'Tillförd energi'!$B$1:$AQ$1,0),FALSE)</f>
        <v>0</v>
      </c>
      <c r="AB205" s="121">
        <f>VLOOKUP($B205,'Tillförd energi'!$B$1:$AI$720,MATCH(AB$1,'Tillförd energi'!$B$1:$AQ$1,0),FALSE)</f>
        <v>0</v>
      </c>
      <c r="AC205" s="121">
        <f>VLOOKUP($B205,'Tillförd energi'!$B$1:$AI$720,MATCH(AC$1,'Tillförd energi'!$B$1:$AQ$1,0),FALSE)</f>
        <v>0</v>
      </c>
      <c r="AD205" s="121">
        <f>VLOOKUP($B205,'Tillförd energi'!$B$1:$AI$720,MATCH(AD$1,'Tillförd energi'!$B$1:$AQ$1,0),FALSE)</f>
        <v>0</v>
      </c>
      <c r="AE205" s="121">
        <f>VLOOKUP($B205,'Tillförd energi'!$B$1:$AI$720,MATCH(AE$1,'Tillförd energi'!$B$1:$AQ$1,0),FALSE)</f>
        <v>0</v>
      </c>
      <c r="AF205" s="121">
        <f>VLOOKUP($B205,'Tillförd energi'!$B$1:$AI$720,MATCH(AF$1,'Tillförd energi'!$B$1:$AQ$1,0),FALSE)</f>
        <v>0.126</v>
      </c>
      <c r="AG205" s="121">
        <f>IFERROR(VLOOKUP(B205,Miljö!$B$1:$AC$550,MATCH("Köpt mängd produktionsspecifik fjärrvärme:",Miljö!$B$1:$AC$1,0),FALSE)/1,0)</f>
        <v>0</v>
      </c>
      <c r="AH205" s="121"/>
      <c r="AI205" s="121">
        <f t="shared" si="66"/>
        <v>6.5259999999999998</v>
      </c>
      <c r="AJ205" s="121">
        <f t="shared" si="67"/>
        <v>6.5259999999999998</v>
      </c>
      <c r="AK205" s="121">
        <f>IF(ISERROR(1/VLOOKUP($B205,Leveranser!$B$1:$S$499,MATCH("såld värme (gwh)",Leveranser!$B$1:$S$1,0),FALSE)),"",VLOOKUP($B205,Leveranser!$B$1:$S$499,MATCH("såld värme (gwh)",Leveranser!$B$1:$S$1,0),FALSE))</f>
        <v>4.2</v>
      </c>
      <c r="AL205" s="121">
        <f>VLOOKUP($B205,Leveranser!$B$1:$Y$499,MATCH("Totalt såld fjärrvärme till andra fjärrvärmeföretag",Leveranser!$B$1:$AA$1,0),FALSE)</f>
        <v>0</v>
      </c>
      <c r="AM205" s="121">
        <f>IF(ISERROR(1/VLOOKUP($B205,Miljö!$B$1:$S$500,MATCH("Såld mängd produktionsspecifik fjärrvärme (GWh)",Miljö!$B$1:$R$1,0),FALSE)),0,VLOOKUP($B205,Miljö!$B$1:$S$500,MATCH("Såld mängd produktionsspecifik fjärrvärme (GWh)",Miljö!$B$1:$R$1,0),FALSE))</f>
        <v>0</v>
      </c>
      <c r="AN205" s="172">
        <f t="shared" si="68"/>
        <v>0.64357952804167951</v>
      </c>
      <c r="AO205" s="121"/>
      <c r="AP205" s="121" t="str">
        <f>IFERROR(VLOOKUP($B205,Miljövärden!$B$2:$H$550,7,FALSE),"Nej, saknas")</f>
        <v>Ja</v>
      </c>
      <c r="AQ205" s="121" t="str">
        <f>IFERROR(VLOOKUP($B205,Miljövärden!$B$2:$H$550,6,FALSE),"Nej, saknas")</f>
        <v>Ja</v>
      </c>
      <c r="AU205">
        <f t="shared" si="69"/>
        <v>0.126</v>
      </c>
      <c r="AV205">
        <f t="shared" si="70"/>
        <v>0</v>
      </c>
      <c r="AW205">
        <f t="shared" si="71"/>
        <v>6.1</v>
      </c>
      <c r="AX205">
        <f t="shared" si="72"/>
        <v>0</v>
      </c>
      <c r="AZ205">
        <f t="shared" si="73"/>
        <v>6.1</v>
      </c>
      <c r="BC205">
        <f t="shared" si="74"/>
        <v>0.3</v>
      </c>
      <c r="BD205">
        <f t="shared" si="75"/>
        <v>0</v>
      </c>
      <c r="BE205">
        <f t="shared" si="76"/>
        <v>6.1</v>
      </c>
      <c r="BF205">
        <f t="shared" si="77"/>
        <v>0</v>
      </c>
      <c r="BG205">
        <f t="shared" si="78"/>
        <v>0.126</v>
      </c>
      <c r="BH205">
        <f>VLOOKUP(B205,Miljö!$B$1:$BX$482,MATCH("Fossilandel för ursprungspecificerad el ()",Miljö!$B$1:$I$1,0),FALSE)</f>
        <v>0.43</v>
      </c>
      <c r="BI205">
        <f>VLOOKUP(B205,Miljö!$B$1:$BX$482,MATCH("Kärnkraftsandel för ursprungsspecificerad el ()",Miljö!$B$1:$O$1,0),FALSE)</f>
        <v>0.40550000000000003</v>
      </c>
      <c r="BJ205">
        <f t="shared" si="79"/>
        <v>0</v>
      </c>
      <c r="BK205" t="str">
        <f>VLOOKUP(B205,Miljö!$B$1:$O$482,MATCH("Fossil andel i procent (%)",Miljö!$B$1:$O$1,0),FALSE)</f>
        <v>ET</v>
      </c>
      <c r="BL205">
        <f t="shared" si="80"/>
        <v>6.5259999999999998</v>
      </c>
      <c r="BO205" s="18">
        <f t="shared" si="81"/>
        <v>5.4272142200429051E-2</v>
      </c>
      <c r="BP205" s="18">
        <f t="shared" si="82"/>
        <v>7.8291449586270316E-3</v>
      </c>
      <c r="BQ205" s="18">
        <f t="shared" si="83"/>
        <v>0.93789871284094384</v>
      </c>
      <c r="BR205" s="18">
        <f t="shared" si="84"/>
        <v>0</v>
      </c>
      <c r="BT205" s="27">
        <f t="shared" si="85"/>
        <v>0.99999999999999989</v>
      </c>
      <c r="BW205" s="18">
        <f>IF(AP205="ja",VLOOKUP(B205,Miljövärden!$B$2:$H$550,MATCH("Total andel fossilt",Miljövärden!$B$2:$H$2,0),FALSE),"")</f>
        <v>5.4272099999999997E-2</v>
      </c>
      <c r="BZ205" s="28">
        <f t="shared" si="86"/>
        <v>-4.2200429054006783E-8</v>
      </c>
      <c r="CA205" s="28">
        <f t="shared" si="87"/>
        <v>0</v>
      </c>
    </row>
    <row r="206" spans="1:79" x14ac:dyDescent="0.25">
      <c r="A206" s="224" t="s">
        <v>477</v>
      </c>
      <c r="B206" s="210" t="s">
        <v>479</v>
      </c>
      <c r="C206" s="121">
        <f>VLOOKUP($B206,'Tillförd energi'!$B$1:$AI$720,MATCH(C$1,'Tillförd energi'!$B$1:$AQ$1,0),FALSE)</f>
        <v>0</v>
      </c>
      <c r="D206" s="121">
        <f>VLOOKUP($B206,'Tillförd energi'!$B$1:$AI$720,MATCH(D$1,'Tillförd energi'!$B$1:$AQ$1,0),FALSE)</f>
        <v>2.6439699999999999</v>
      </c>
      <c r="E206" s="121">
        <f>VLOOKUP($B206,'Tillförd energi'!$B$1:$AI$720,MATCH(E$1,'Tillförd energi'!$B$1:$AQ$1,0),FALSE)</f>
        <v>0</v>
      </c>
      <c r="F206" s="121">
        <f>VLOOKUP($B206,'Tillförd energi'!$B$1:$AI$720,MATCH(F$1,'Tillförd energi'!$B$1:$AQ$1,0),FALSE)</f>
        <v>0</v>
      </c>
      <c r="G206" s="121">
        <f>VLOOKUP($B206,'Tillförd energi'!$B$1:$AI$720,MATCH(G$1,'Tillförd energi'!$B$1:$AQ$1,0),FALSE)</f>
        <v>0</v>
      </c>
      <c r="H206" s="121">
        <f>VLOOKUP($B206,'Tillförd energi'!$B$1:$AI$720,MATCH(H$1,'Tillförd energi'!$B$1:$AQ$1,0),FALSE)</f>
        <v>0</v>
      </c>
      <c r="I206" s="121">
        <f>VLOOKUP($B206,'Tillförd energi'!$B$1:$AI$720,MATCH(I$1,'Tillförd energi'!$B$1:$AQ$1,0),FALSE)</f>
        <v>0</v>
      </c>
      <c r="J206" s="121">
        <f>VLOOKUP($B206,'Tillförd energi'!$B$1:$AI$720,MATCH(J$1,'Tillförd energi'!$B$1:$AQ$1,0),FALSE)</f>
        <v>1</v>
      </c>
      <c r="K206" s="121">
        <f>VLOOKUP($B206,'Tillförd energi'!$B$1:$AI$720,MATCH(K$1,'Tillförd energi'!$B$1:$AQ$1,0),FALSE)</f>
        <v>0</v>
      </c>
      <c r="L206" s="121">
        <f>VLOOKUP($B206,'Tillförd energi'!$B$1:$AI$720,MATCH(L$1,'Tillförd energi'!$B$1:$AQ$1,0),FALSE)</f>
        <v>80.486400000000003</v>
      </c>
      <c r="M206" s="121">
        <f>VLOOKUP($B206,'Tillförd energi'!$B$1:$AI$720,MATCH(M$1,'Tillförd energi'!$B$1:$AQ$1,0),FALSE)</f>
        <v>10.063000000000001</v>
      </c>
      <c r="N206" s="121">
        <f>VLOOKUP($B206,'Tillförd energi'!$B$1:$AI$720,MATCH(N$1,'Tillförd energi'!$B$1:$AQ$1,0),FALSE)</f>
        <v>24.062999999999999</v>
      </c>
      <c r="O206" s="121">
        <f>VLOOKUP($B206,'Tillförd energi'!$B$1:$AI$720,MATCH(O$1,'Tillförd energi'!$B$1:$AQ$1,0),FALSE)</f>
        <v>0</v>
      </c>
      <c r="P206" s="121">
        <f>VLOOKUP($B206,'Tillförd energi'!$B$1:$AI$720,MATCH(P$1,'Tillförd energi'!$B$1:$AQ$1,0),FALSE)</f>
        <v>30.880400000000002</v>
      </c>
      <c r="Q206" s="121">
        <f>VLOOKUP($B206,'Tillförd energi'!$B$1:$AI$720,MATCH(Q$1,'Tillförd energi'!$B$1:$AQ$1,0),FALSE)</f>
        <v>2.4705900000000001</v>
      </c>
      <c r="R206" s="121">
        <f>VLOOKUP($B206,'Tillförd energi'!$B$1:$AI$720,MATCH(R$1,'Tillförd energi'!$B$1:$AQ$1,0),FALSE)</f>
        <v>0</v>
      </c>
      <c r="S206" s="121">
        <f>VLOOKUP($B206,'Tillförd energi'!$B$1:$AI$720,MATCH(S$1,'Tillförd energi'!$B$1:$AQ$1,0),FALSE)</f>
        <v>0</v>
      </c>
      <c r="T206" s="121">
        <f>VLOOKUP($B206,'Tillförd energi'!$B$1:$AI$720,MATCH(T$1,'Tillförd energi'!$B$1:$AQ$1,0),FALSE)</f>
        <v>0</v>
      </c>
      <c r="U206" s="121">
        <f>VLOOKUP($B206,'Tillförd energi'!$B$1:$AI$720,MATCH(U$1,'Tillförd energi'!$B$1:$AQ$1,0),FALSE)</f>
        <v>0</v>
      </c>
      <c r="V206" s="121">
        <f>VLOOKUP($B206,'Tillförd energi'!$B$1:$AI$720,MATCH(V$1,'Tillförd energi'!$B$1:$AQ$1,0),FALSE)</f>
        <v>0</v>
      </c>
      <c r="W206" s="121">
        <f>VLOOKUP($B206,'Tillförd energi'!$B$1:$AI$720,MATCH(W$1,'Tillförd energi'!$B$1:$AQ$1,0),FALSE)</f>
        <v>0</v>
      </c>
      <c r="X206" s="121">
        <f>VLOOKUP($B206,'Tillförd energi'!$B$1:$AI$720,MATCH(X$1,'Tillförd energi'!$B$1:$AQ$1,0),FALSE)</f>
        <v>0</v>
      </c>
      <c r="Y206" s="121">
        <f>VLOOKUP($B206,'Tillförd energi'!$B$1:$AI$720,MATCH(Y$1,'Tillförd energi'!$B$1:$AQ$1,0),FALSE)</f>
        <v>0</v>
      </c>
      <c r="Z206" s="121">
        <f>VLOOKUP($B206,'Tillförd energi'!$B$1:$AI$720,MATCH(Z$1,'Tillförd energi'!$B$1:$AQ$1,0),FALSE)</f>
        <v>0</v>
      </c>
      <c r="AA206" s="121">
        <f>VLOOKUP($B206,'Tillförd energi'!$B$1:$AI$720,MATCH(AA$1,'Tillförd energi'!$B$1:$AQ$1,0),FALSE)</f>
        <v>0</v>
      </c>
      <c r="AB206" s="121">
        <f>VLOOKUP($B206,'Tillförd energi'!$B$1:$AI$720,MATCH(AB$1,'Tillförd energi'!$B$1:$AQ$1,0),FALSE)</f>
        <v>0</v>
      </c>
      <c r="AC206" s="121">
        <f>VLOOKUP($B206,'Tillförd energi'!$B$1:$AI$720,MATCH(AC$1,'Tillförd energi'!$B$1:$AQ$1,0),FALSE)</f>
        <v>20.6</v>
      </c>
      <c r="AD206" s="121">
        <f>VLOOKUP($B206,'Tillförd energi'!$B$1:$AI$720,MATCH(AD$1,'Tillförd energi'!$B$1:$AQ$1,0),FALSE)</f>
        <v>0</v>
      </c>
      <c r="AE206" s="121">
        <f>VLOOKUP($B206,'Tillförd energi'!$B$1:$AI$720,MATCH(AE$1,'Tillförd energi'!$B$1:$AQ$1,0),FALSE)</f>
        <v>0</v>
      </c>
      <c r="AF206" s="121">
        <f>VLOOKUP($B206,'Tillförd energi'!$B$1:$AI$720,MATCH(AF$1,'Tillförd energi'!$B$1:$AQ$1,0),FALSE)</f>
        <v>3.8340000000000001</v>
      </c>
      <c r="AG206" s="121">
        <f>IFERROR(VLOOKUP(B206,Miljö!$B$1:$AC$550,MATCH("Köpt mängd produktionsspecifik fjärrvärme:",Miljö!$B$1:$AC$1,0),FALSE)/1,0)</f>
        <v>0</v>
      </c>
      <c r="AH206" s="121"/>
      <c r="AI206" s="121">
        <f t="shared" si="66"/>
        <v>176.04136</v>
      </c>
      <c r="AJ206" s="121">
        <f t="shared" si="67"/>
        <v>176.04136</v>
      </c>
      <c r="AK206" s="121">
        <f>IF(ISERROR(1/VLOOKUP($B206,Leveranser!$B$1:$S$499,MATCH("såld värme (gwh)",Leveranser!$B$1:$S$1,0),FALSE)),"",VLOOKUP($B206,Leveranser!$B$1:$S$499,MATCH("såld värme (gwh)",Leveranser!$B$1:$S$1,0),FALSE))</f>
        <v>127.8</v>
      </c>
      <c r="AL206" s="121">
        <f>VLOOKUP($B206,Leveranser!$B$1:$Y$499,MATCH("Totalt såld fjärrvärme till andra fjärrvärmeföretag",Leveranser!$B$1:$AA$1,0),FALSE)</f>
        <v>0</v>
      </c>
      <c r="AM206" s="121">
        <f>IF(ISERROR(1/VLOOKUP($B206,Miljö!$B$1:$S$500,MATCH("Såld mängd produktionsspecifik fjärrvärme (GWh)",Miljö!$B$1:$R$1,0),FALSE)),0,VLOOKUP($B206,Miljö!$B$1:$S$500,MATCH("Såld mängd produktionsspecifik fjärrvärme (GWh)",Miljö!$B$1:$R$1,0),FALSE))</f>
        <v>0</v>
      </c>
      <c r="AN206" s="172">
        <f t="shared" si="68"/>
        <v>0.72596576168236826</v>
      </c>
      <c r="AO206" s="121"/>
      <c r="AP206" s="121" t="str">
        <f>IFERROR(VLOOKUP($B206,Miljövärden!$B$2:$H$550,7,FALSE),"Nej, saknas")</f>
        <v>Ja</v>
      </c>
      <c r="AQ206" s="121" t="str">
        <f>IFERROR(VLOOKUP($B206,Miljövärden!$B$2:$H$550,6,FALSE),"Nej, saknas")</f>
        <v>Nej</v>
      </c>
      <c r="AU206">
        <f t="shared" si="69"/>
        <v>3.8340000000000001</v>
      </c>
      <c r="AV206">
        <f t="shared" si="70"/>
        <v>0</v>
      </c>
      <c r="AW206">
        <f t="shared" si="71"/>
        <v>67.476990000000001</v>
      </c>
      <c r="AX206">
        <f t="shared" si="72"/>
        <v>0</v>
      </c>
      <c r="AZ206">
        <f t="shared" si="73"/>
        <v>147.96339</v>
      </c>
      <c r="BC206">
        <f t="shared" si="74"/>
        <v>2.6439699999999999</v>
      </c>
      <c r="BD206">
        <f t="shared" si="75"/>
        <v>0</v>
      </c>
      <c r="BE206">
        <f t="shared" si="76"/>
        <v>67.476990000000001</v>
      </c>
      <c r="BF206">
        <f t="shared" si="77"/>
        <v>102.0864</v>
      </c>
      <c r="BG206">
        <f t="shared" si="78"/>
        <v>3.8340000000000001</v>
      </c>
      <c r="BH206">
        <f>VLOOKUP(B206,Miljö!$B$1:$BX$482,MATCH("Fossilandel för ursprungspecificerad el ()",Miljö!$B$1:$I$1,0),FALSE)</f>
        <v>0.43</v>
      </c>
      <c r="BI206">
        <f>VLOOKUP(B206,Miljö!$B$1:$BX$482,MATCH("Kärnkraftsandel för ursprungsspecificerad el ()",Miljö!$B$1:$O$1,0),FALSE)</f>
        <v>0.40550000000000003</v>
      </c>
      <c r="BJ206">
        <f t="shared" si="79"/>
        <v>0</v>
      </c>
      <c r="BK206" t="str">
        <f>VLOOKUP(B206,Miljö!$B$1:$O$482,MATCH("Fossil andel i procent (%)",Miljö!$B$1:$O$1,0),FALSE)</f>
        <v>ET</v>
      </c>
      <c r="BL206">
        <f t="shared" si="80"/>
        <v>176.04136</v>
      </c>
      <c r="BO206" s="18">
        <f t="shared" si="81"/>
        <v>2.4383985672457881E-2</v>
      </c>
      <c r="BP206" s="18">
        <f t="shared" si="82"/>
        <v>8.831373490866011E-3</v>
      </c>
      <c r="BQ206" s="18">
        <f t="shared" si="83"/>
        <v>0.38688455372078467</v>
      </c>
      <c r="BR206" s="18">
        <f t="shared" si="84"/>
        <v>0.57990008711589136</v>
      </c>
      <c r="BT206" s="27">
        <f t="shared" si="85"/>
        <v>1</v>
      </c>
      <c r="BW206" s="18">
        <f>IF(AP206="ja",VLOOKUP(B206,Miljövärden!$B$2:$H$550,MATCH("Total andel fossilt",Miljövärden!$B$2:$H$2,0),FALSE),"")</f>
        <v>2.4383999999999999E-2</v>
      </c>
      <c r="BZ206" s="28">
        <f t="shared" si="86"/>
        <v>1.4327542117997805E-8</v>
      </c>
      <c r="CA206" s="28">
        <f t="shared" si="87"/>
        <v>0</v>
      </c>
    </row>
    <row r="207" spans="1:79" x14ac:dyDescent="0.25">
      <c r="A207" s="224" t="s">
        <v>480</v>
      </c>
      <c r="B207" s="210" t="s">
        <v>481</v>
      </c>
      <c r="C207" s="121">
        <f>VLOOKUP($B207,'Tillförd energi'!$B$1:$AI$720,MATCH(C$1,'Tillförd energi'!$B$1:$AQ$1,0),FALSE)</f>
        <v>0</v>
      </c>
      <c r="D207" s="121">
        <f>VLOOKUP($B207,'Tillförd energi'!$B$1:$AI$720,MATCH(D$1,'Tillförd energi'!$B$1:$AQ$1,0),FALSE)</f>
        <v>0</v>
      </c>
      <c r="E207" s="121">
        <f>VLOOKUP($B207,'Tillförd energi'!$B$1:$AI$720,MATCH(E$1,'Tillförd energi'!$B$1:$AQ$1,0),FALSE)</f>
        <v>0</v>
      </c>
      <c r="F207" s="121">
        <f>VLOOKUP($B207,'Tillförd energi'!$B$1:$AI$720,MATCH(F$1,'Tillförd energi'!$B$1:$AQ$1,0),FALSE)</f>
        <v>0</v>
      </c>
      <c r="G207" s="121">
        <f>VLOOKUP($B207,'Tillförd energi'!$B$1:$AI$720,MATCH(G$1,'Tillförd energi'!$B$1:$AQ$1,0),FALSE)</f>
        <v>0</v>
      </c>
      <c r="H207" s="121">
        <f>VLOOKUP($B207,'Tillförd energi'!$B$1:$AI$720,MATCH(H$1,'Tillförd energi'!$B$1:$AQ$1,0),FALSE)</f>
        <v>0</v>
      </c>
      <c r="I207" s="121">
        <f>VLOOKUP($B207,'Tillförd energi'!$B$1:$AI$720,MATCH(I$1,'Tillförd energi'!$B$1:$AQ$1,0),FALSE)</f>
        <v>0</v>
      </c>
      <c r="J207" s="121">
        <f>VLOOKUP($B207,'Tillförd energi'!$B$1:$AI$720,MATCH(J$1,'Tillförd energi'!$B$1:$AQ$1,0),FALSE)</f>
        <v>0</v>
      </c>
      <c r="K207" s="121">
        <f>VLOOKUP($B207,'Tillförd energi'!$B$1:$AI$720,MATCH(K$1,'Tillförd energi'!$B$1:$AQ$1,0),FALSE)</f>
        <v>0</v>
      </c>
      <c r="L207" s="121">
        <f>VLOOKUP($B207,'Tillförd energi'!$B$1:$AI$720,MATCH(L$1,'Tillförd energi'!$B$1:$AQ$1,0),FALSE)</f>
        <v>0</v>
      </c>
      <c r="M207" s="121">
        <f>VLOOKUP($B207,'Tillförd energi'!$B$1:$AI$720,MATCH(M$1,'Tillförd energi'!$B$1:$AQ$1,0),FALSE)</f>
        <v>0</v>
      </c>
      <c r="N207" s="121">
        <f>VLOOKUP($B207,'Tillförd energi'!$B$1:$AI$720,MATCH(N$1,'Tillförd energi'!$B$1:$AQ$1,0),FALSE)</f>
        <v>0</v>
      </c>
      <c r="O207" s="121">
        <f>VLOOKUP($B207,'Tillförd energi'!$B$1:$AI$720,MATCH(O$1,'Tillförd energi'!$B$1:$AQ$1,0),FALSE)</f>
        <v>0</v>
      </c>
      <c r="P207" s="121">
        <f>VLOOKUP($B207,'Tillförd energi'!$B$1:$AI$720,MATCH(P$1,'Tillförd energi'!$B$1:$AQ$1,0),FALSE)</f>
        <v>0</v>
      </c>
      <c r="Q207" s="121">
        <f>VLOOKUP($B207,'Tillförd energi'!$B$1:$AI$720,MATCH(Q$1,'Tillförd energi'!$B$1:$AQ$1,0),FALSE)</f>
        <v>0</v>
      </c>
      <c r="R207" s="121">
        <f>VLOOKUP($B207,'Tillförd energi'!$B$1:$AI$720,MATCH(R$1,'Tillförd energi'!$B$1:$AQ$1,0),FALSE)</f>
        <v>0</v>
      </c>
      <c r="S207" s="121">
        <f>VLOOKUP($B207,'Tillförd energi'!$B$1:$AI$720,MATCH(S$1,'Tillförd energi'!$B$1:$AQ$1,0),FALSE)</f>
        <v>0</v>
      </c>
      <c r="T207" s="121">
        <f>VLOOKUP($B207,'Tillförd energi'!$B$1:$AI$720,MATCH(T$1,'Tillförd energi'!$B$1:$AQ$1,0),FALSE)</f>
        <v>0</v>
      </c>
      <c r="U207" s="121">
        <f>VLOOKUP($B207,'Tillförd energi'!$B$1:$AI$720,MATCH(U$1,'Tillförd energi'!$B$1:$AQ$1,0),FALSE)</f>
        <v>0</v>
      </c>
      <c r="V207" s="121">
        <f>VLOOKUP($B207,'Tillförd energi'!$B$1:$AI$720,MATCH(V$1,'Tillförd energi'!$B$1:$AQ$1,0),FALSE)</f>
        <v>0</v>
      </c>
      <c r="W207" s="121">
        <f>VLOOKUP($B207,'Tillförd energi'!$B$1:$AI$720,MATCH(W$1,'Tillförd energi'!$B$1:$AQ$1,0),FALSE)</f>
        <v>0</v>
      </c>
      <c r="X207" s="121">
        <f>VLOOKUP($B207,'Tillförd energi'!$B$1:$AI$720,MATCH(X$1,'Tillförd energi'!$B$1:$AQ$1,0),FALSE)</f>
        <v>0</v>
      </c>
      <c r="Y207" s="121">
        <f>VLOOKUP($B207,'Tillförd energi'!$B$1:$AI$720,MATCH(Y$1,'Tillförd energi'!$B$1:$AQ$1,0),FALSE)</f>
        <v>0</v>
      </c>
      <c r="Z207" s="121">
        <f>VLOOKUP($B207,'Tillförd energi'!$B$1:$AI$720,MATCH(Z$1,'Tillförd energi'!$B$1:$AQ$1,0),FALSE)</f>
        <v>0</v>
      </c>
      <c r="AA207" s="121">
        <f>VLOOKUP($B207,'Tillförd energi'!$B$1:$AI$720,MATCH(AA$1,'Tillförd energi'!$B$1:$AQ$1,0),FALSE)</f>
        <v>0</v>
      </c>
      <c r="AB207" s="121">
        <f>VLOOKUP($B207,'Tillförd energi'!$B$1:$AI$720,MATCH(AB$1,'Tillförd energi'!$B$1:$AQ$1,0),FALSE)</f>
        <v>0</v>
      </c>
      <c r="AC207" s="121">
        <f>VLOOKUP($B207,'Tillförd energi'!$B$1:$AI$720,MATCH(AC$1,'Tillförd energi'!$B$1:$AQ$1,0),FALSE)</f>
        <v>0</v>
      </c>
      <c r="AD207" s="121">
        <f>VLOOKUP($B207,'Tillförd energi'!$B$1:$AI$720,MATCH(AD$1,'Tillförd energi'!$B$1:$AQ$1,0),FALSE)</f>
        <v>0</v>
      </c>
      <c r="AE207" s="121">
        <f>VLOOKUP($B207,'Tillförd energi'!$B$1:$AI$720,MATCH(AE$1,'Tillförd energi'!$B$1:$AQ$1,0),FALSE)</f>
        <v>0</v>
      </c>
      <c r="AF207" s="121">
        <f>VLOOKUP($B207,'Tillförd energi'!$B$1:$AI$720,MATCH(AF$1,'Tillförd energi'!$B$1:$AQ$1,0),FALSE)</f>
        <v>0</v>
      </c>
      <c r="AG207" s="121">
        <f>IFERROR(VLOOKUP(B207,Miljö!$B$1:$AC$550,MATCH("Köpt mängd produktionsspecifik fjärrvärme:",Miljö!$B$1:$AC$1,0),FALSE)/1,0)</f>
        <v>0</v>
      </c>
      <c r="AH207" s="121"/>
      <c r="AI207" s="121">
        <f t="shared" si="66"/>
        <v>0</v>
      </c>
      <c r="AJ207" s="121">
        <f t="shared" si="67"/>
        <v>0</v>
      </c>
      <c r="AK207" s="121" t="str">
        <f>IF(ISERROR(1/VLOOKUP($B207,Leveranser!$B$1:$S$499,MATCH("såld värme (gwh)",Leveranser!$B$1:$S$1,0),FALSE)),"",VLOOKUP($B207,Leveranser!$B$1:$S$499,MATCH("såld värme (gwh)",Leveranser!$B$1:$S$1,0),FALSE))</f>
        <v/>
      </c>
      <c r="AL207" s="121">
        <f>VLOOKUP($B207,Leveranser!$B$1:$Y$499,MATCH("Totalt såld fjärrvärme till andra fjärrvärmeföretag",Leveranser!$B$1:$AA$1,0),FALSE)</f>
        <v>0</v>
      </c>
      <c r="AM207" s="121">
        <f>IF(ISERROR(1/VLOOKUP($B207,Miljö!$B$1:$S$500,MATCH("Såld mängd produktionsspecifik fjärrvärme (GWh)",Miljö!$B$1:$R$1,0),FALSE)),0,VLOOKUP($B207,Miljö!$B$1:$S$500,MATCH("Såld mängd produktionsspecifik fjärrvärme (GWh)",Miljö!$B$1:$R$1,0),FALSE))</f>
        <v>0</v>
      </c>
      <c r="AN207" s="172" t="str">
        <f t="shared" si="68"/>
        <v/>
      </c>
      <c r="AO207" s="121"/>
      <c r="AP207" s="121" t="str">
        <f>IFERROR(VLOOKUP($B207,Miljövärden!$B$2:$H$550,7,FALSE),"Nej, saknas")</f>
        <v>Nej</v>
      </c>
      <c r="AQ207" s="121" t="str">
        <f>IFERROR(VLOOKUP($B207,Miljövärden!$B$2:$H$550,6,FALSE),"Nej, saknas")</f>
        <v>Nej</v>
      </c>
      <c r="AU207">
        <f t="shared" si="69"/>
        <v>0</v>
      </c>
      <c r="AV207">
        <f t="shared" si="70"/>
        <v>0</v>
      </c>
      <c r="AW207">
        <f t="shared" si="71"/>
        <v>0</v>
      </c>
      <c r="AX207">
        <f t="shared" si="72"/>
        <v>0</v>
      </c>
      <c r="AZ207">
        <f t="shared" si="73"/>
        <v>0</v>
      </c>
      <c r="BC207">
        <f t="shared" si="74"/>
        <v>0</v>
      </c>
      <c r="BD207">
        <f t="shared" si="75"/>
        <v>0</v>
      </c>
      <c r="BE207">
        <f t="shared" si="76"/>
        <v>0</v>
      </c>
      <c r="BF207">
        <f t="shared" si="77"/>
        <v>0</v>
      </c>
      <c r="BG207">
        <f t="shared" si="78"/>
        <v>0</v>
      </c>
      <c r="BH207" t="str">
        <f>VLOOKUP(B207,Miljö!$B$1:$BX$482,MATCH("Fossilandel för ursprungspecificerad el ()",Miljö!$B$1:$I$1,0),FALSE)</f>
        <v>-</v>
      </c>
      <c r="BI207" t="str">
        <f>VLOOKUP(B207,Miljö!$B$1:$BX$482,MATCH("Kärnkraftsandel för ursprungsspecificerad el ()",Miljö!$B$1:$O$1,0),FALSE)</f>
        <v>-</v>
      </c>
      <c r="BJ207">
        <f t="shared" si="79"/>
        <v>0</v>
      </c>
      <c r="BK207" t="str">
        <f>VLOOKUP(B207,Miljö!$B$1:$O$482,MATCH("Fossil andel i procent (%)",Miljö!$B$1:$O$1,0),FALSE)</f>
        <v>-</v>
      </c>
      <c r="BL207">
        <f t="shared" si="80"/>
        <v>0</v>
      </c>
      <c r="BO207" s="18" t="str">
        <f t="shared" si="81"/>
        <v/>
      </c>
      <c r="BP207" s="18" t="str">
        <f t="shared" si="82"/>
        <v/>
      </c>
      <c r="BQ207" s="18" t="str">
        <f t="shared" si="83"/>
        <v/>
      </c>
      <c r="BR207" s="18" t="str">
        <f t="shared" si="84"/>
        <v/>
      </c>
      <c r="BT207" s="27">
        <f t="shared" si="85"/>
        <v>0</v>
      </c>
      <c r="BW207" s="18" t="str">
        <f>IF(AP207="ja",VLOOKUP(B207,Miljövärden!$B$2:$H$550,MATCH("Total andel fossilt",Miljövärden!$B$2:$H$2,0),FALSE),"")</f>
        <v/>
      </c>
      <c r="BZ207" s="28" t="str">
        <f t="shared" si="86"/>
        <v/>
      </c>
      <c r="CA207" s="28" t="str">
        <f t="shared" si="87"/>
        <v/>
      </c>
    </row>
    <row r="208" spans="1:79" x14ac:dyDescent="0.25">
      <c r="A208" s="224" t="s">
        <v>115</v>
      </c>
      <c r="B208" s="210" t="s">
        <v>482</v>
      </c>
      <c r="C208" s="121">
        <f>VLOOKUP($B208,'Tillförd energi'!$B$1:$AI$720,MATCH(C$1,'Tillförd energi'!$B$1:$AQ$1,0),FALSE)</f>
        <v>0</v>
      </c>
      <c r="D208" s="121">
        <f>VLOOKUP($B208,'Tillförd energi'!$B$1:$AI$720,MATCH(D$1,'Tillförd energi'!$B$1:$AQ$1,0),FALSE)</f>
        <v>2.5499999999999998</v>
      </c>
      <c r="E208" s="121">
        <f>VLOOKUP($B208,'Tillförd energi'!$B$1:$AI$720,MATCH(E$1,'Tillförd energi'!$B$1:$AQ$1,0),FALSE)</f>
        <v>0</v>
      </c>
      <c r="F208" s="121">
        <f>VLOOKUP($B208,'Tillförd energi'!$B$1:$AI$720,MATCH(F$1,'Tillförd energi'!$B$1:$AQ$1,0),FALSE)</f>
        <v>5.54</v>
      </c>
      <c r="G208" s="121">
        <f>VLOOKUP($B208,'Tillförd energi'!$B$1:$AI$720,MATCH(G$1,'Tillförd energi'!$B$1:$AQ$1,0),FALSE)</f>
        <v>0</v>
      </c>
      <c r="H208" s="121">
        <f>VLOOKUP($B208,'Tillförd energi'!$B$1:$AI$720,MATCH(H$1,'Tillförd energi'!$B$1:$AQ$1,0),FALSE)</f>
        <v>0</v>
      </c>
      <c r="I208" s="121">
        <f>VLOOKUP($B208,'Tillförd energi'!$B$1:$AI$720,MATCH(I$1,'Tillförd energi'!$B$1:$AQ$1,0),FALSE)</f>
        <v>0</v>
      </c>
      <c r="J208" s="121">
        <f>VLOOKUP($B208,'Tillförd energi'!$B$1:$AI$720,MATCH(J$1,'Tillförd energi'!$B$1:$AQ$1,0),FALSE)</f>
        <v>0</v>
      </c>
      <c r="K208" s="121">
        <f>VLOOKUP($B208,'Tillförd energi'!$B$1:$AI$720,MATCH(K$1,'Tillförd energi'!$B$1:$AQ$1,0),FALSE)</f>
        <v>0</v>
      </c>
      <c r="L208" s="121">
        <f>VLOOKUP($B208,'Tillförd energi'!$B$1:$AI$720,MATCH(L$1,'Tillförd energi'!$B$1:$AQ$1,0),FALSE)</f>
        <v>0</v>
      </c>
      <c r="M208" s="121">
        <f>VLOOKUP($B208,'Tillförd energi'!$B$1:$AI$720,MATCH(M$1,'Tillförd energi'!$B$1:$AQ$1,0),FALSE)</f>
        <v>0</v>
      </c>
      <c r="N208" s="121">
        <f>VLOOKUP($B208,'Tillförd energi'!$B$1:$AI$720,MATCH(N$1,'Tillförd energi'!$B$1:$AQ$1,0),FALSE)</f>
        <v>0</v>
      </c>
      <c r="O208" s="121">
        <f>VLOOKUP($B208,'Tillförd energi'!$B$1:$AI$720,MATCH(O$1,'Tillförd energi'!$B$1:$AQ$1,0),FALSE)</f>
        <v>0</v>
      </c>
      <c r="P208" s="121">
        <f>VLOOKUP($B208,'Tillförd energi'!$B$1:$AI$720,MATCH(P$1,'Tillförd energi'!$B$1:$AQ$1,0),FALSE)</f>
        <v>0</v>
      </c>
      <c r="Q208" s="121">
        <f>VLOOKUP($B208,'Tillförd energi'!$B$1:$AI$720,MATCH(Q$1,'Tillförd energi'!$B$1:$AQ$1,0),FALSE)</f>
        <v>0</v>
      </c>
      <c r="R208" s="121">
        <f>VLOOKUP($B208,'Tillförd energi'!$B$1:$AI$720,MATCH(R$1,'Tillförd energi'!$B$1:$AQ$1,0),FALSE)</f>
        <v>0</v>
      </c>
      <c r="S208" s="121">
        <f>VLOOKUP($B208,'Tillförd energi'!$B$1:$AI$720,MATCH(S$1,'Tillförd energi'!$B$1:$AQ$1,0),FALSE)</f>
        <v>0</v>
      </c>
      <c r="T208" s="121">
        <f>VLOOKUP($B208,'Tillförd energi'!$B$1:$AI$720,MATCH(T$1,'Tillförd energi'!$B$1:$AQ$1,0),FALSE)</f>
        <v>192.54</v>
      </c>
      <c r="U208" s="121">
        <f>VLOOKUP($B208,'Tillförd energi'!$B$1:$AI$720,MATCH(U$1,'Tillförd energi'!$B$1:$AQ$1,0),FALSE)</f>
        <v>0</v>
      </c>
      <c r="V208" s="121">
        <f>VLOOKUP($B208,'Tillförd energi'!$B$1:$AI$720,MATCH(V$1,'Tillförd energi'!$B$1:$AQ$1,0),FALSE)</f>
        <v>5.15</v>
      </c>
      <c r="W208" s="121">
        <f>VLOOKUP($B208,'Tillförd energi'!$B$1:$AI$720,MATCH(W$1,'Tillförd energi'!$B$1:$AQ$1,0),FALSE)</f>
        <v>2.58</v>
      </c>
      <c r="X208" s="121">
        <f>VLOOKUP($B208,'Tillförd energi'!$B$1:$AI$720,MATCH(X$1,'Tillförd energi'!$B$1:$AQ$1,0),FALSE)</f>
        <v>0</v>
      </c>
      <c r="Y208" s="121">
        <f>VLOOKUP($B208,'Tillförd energi'!$B$1:$AI$720,MATCH(Y$1,'Tillförd energi'!$B$1:$AQ$1,0),FALSE)</f>
        <v>0</v>
      </c>
      <c r="Z208" s="121">
        <f>VLOOKUP($B208,'Tillförd energi'!$B$1:$AI$720,MATCH(Z$1,'Tillförd energi'!$B$1:$AQ$1,0),FALSE)</f>
        <v>0</v>
      </c>
      <c r="AA208" s="121">
        <f>VLOOKUP($B208,'Tillförd energi'!$B$1:$AI$720,MATCH(AA$1,'Tillförd energi'!$B$1:$AQ$1,0),FALSE)</f>
        <v>147.62</v>
      </c>
      <c r="AB208" s="121">
        <f>VLOOKUP($B208,'Tillförd energi'!$B$1:$AI$720,MATCH(AB$1,'Tillförd energi'!$B$1:$AQ$1,0),FALSE)</f>
        <v>282.79000000000002</v>
      </c>
      <c r="AC208" s="121">
        <f>VLOOKUP($B208,'Tillförd energi'!$B$1:$AI$720,MATCH(AC$1,'Tillförd energi'!$B$1:$AQ$1,0),FALSE)</f>
        <v>0</v>
      </c>
      <c r="AD208" s="121">
        <f>VLOOKUP($B208,'Tillförd energi'!$B$1:$AI$720,MATCH(AD$1,'Tillförd energi'!$B$1:$AQ$1,0),FALSE)</f>
        <v>0.13500000000000001</v>
      </c>
      <c r="AE208" s="121">
        <f>VLOOKUP($B208,'Tillförd energi'!$B$1:$AI$720,MATCH(AE$1,'Tillförd energi'!$B$1:$AQ$1,0),FALSE)</f>
        <v>0</v>
      </c>
      <c r="AF208" s="121">
        <f>VLOOKUP($B208,'Tillförd energi'!$B$1:$AI$720,MATCH(AF$1,'Tillförd energi'!$B$1:$AQ$1,0),FALSE)</f>
        <v>15.398</v>
      </c>
      <c r="AG208" s="121">
        <f>IFERROR(VLOOKUP(B208,Miljö!$B$1:$AC$550,MATCH("Köpt mängd produktionsspecifik fjärrvärme:",Miljö!$B$1:$AC$1,0),FALSE)/1,0)</f>
        <v>443.57</v>
      </c>
      <c r="AH208" s="121"/>
      <c r="AI208" s="121">
        <f t="shared" si="66"/>
        <v>654.303</v>
      </c>
      <c r="AJ208" s="121">
        <f t="shared" si="67"/>
        <v>1097.873</v>
      </c>
      <c r="AK208" s="121">
        <f>IF(ISERROR(1/VLOOKUP($B208,Leveranser!$B$1:$S$499,MATCH("såld värme (gwh)",Leveranser!$B$1:$S$1,0),FALSE)),"",VLOOKUP($B208,Leveranser!$B$1:$S$499,MATCH("såld värme (gwh)",Leveranser!$B$1:$S$1,0),FALSE))</f>
        <v>1002</v>
      </c>
      <c r="AL208" s="121">
        <f>VLOOKUP($B208,Leveranser!$B$1:$Y$499,MATCH("Totalt såld fjärrvärme till andra fjärrvärmeföretag",Leveranser!$B$1:$AA$1,0),FALSE)</f>
        <v>0.90700000000000003</v>
      </c>
      <c r="AM208" s="121">
        <f>IF(ISERROR(1/VLOOKUP($B208,Miljö!$B$1:$S$500,MATCH("Såld mängd produktionsspecifik fjärrvärme (GWh)",Miljö!$B$1:$R$1,0),FALSE)),0,VLOOKUP($B208,Miljö!$B$1:$S$500,MATCH("Såld mängd produktionsspecifik fjärrvärme (GWh)",Miljö!$B$1:$R$1,0),FALSE))</f>
        <v>4.5709999999999997</v>
      </c>
      <c r="AN208" s="172">
        <f t="shared" si="68"/>
        <v>0.91267387029282987</v>
      </c>
      <c r="AO208" s="121"/>
      <c r="AP208" s="121" t="str">
        <f>IFERROR(VLOOKUP($B208,Miljövärden!$B$2:$H$550,7,FALSE),"Nej, saknas")</f>
        <v>Ja</v>
      </c>
      <c r="AQ208" s="121" t="str">
        <f>IFERROR(VLOOKUP($B208,Miljövärden!$B$2:$H$550,6,FALSE),"Nej, saknas")</f>
        <v>Ja</v>
      </c>
      <c r="AU208">
        <f t="shared" si="69"/>
        <v>163.018</v>
      </c>
      <c r="AV208">
        <f t="shared" si="70"/>
        <v>0</v>
      </c>
      <c r="AW208">
        <f t="shared" si="71"/>
        <v>0</v>
      </c>
      <c r="AX208">
        <f t="shared" si="72"/>
        <v>192.54</v>
      </c>
      <c r="AZ208">
        <f t="shared" si="73"/>
        <v>200.27</v>
      </c>
      <c r="BC208">
        <f t="shared" si="74"/>
        <v>8.09</v>
      </c>
      <c r="BD208">
        <f t="shared" si="75"/>
        <v>0</v>
      </c>
      <c r="BE208">
        <f t="shared" si="76"/>
        <v>200.27</v>
      </c>
      <c r="BF208">
        <f t="shared" si="77"/>
        <v>282.92500000000001</v>
      </c>
      <c r="BG208">
        <f t="shared" si="78"/>
        <v>163.018</v>
      </c>
      <c r="BH208">
        <f>VLOOKUP(B208,Miljö!$B$1:$BX$482,MATCH("Fossilandel för ursprungspecificerad el ()",Miljö!$B$1:$I$1,0),FALSE)</f>
        <v>0</v>
      </c>
      <c r="BI208">
        <f>VLOOKUP(B208,Miljö!$B$1:$BX$482,MATCH("Kärnkraftsandel för ursprungsspecificerad el ()",Miljö!$B$1:$O$1,0),FALSE)</f>
        <v>0</v>
      </c>
      <c r="BJ208">
        <f t="shared" si="79"/>
        <v>443.57</v>
      </c>
      <c r="BK208">
        <f>VLOOKUP(B208,Miljö!$B$1:$O$482,MATCH("Fossil andel i procent (%)",Miljö!$B$1:$O$1,0),FALSE)</f>
        <v>0</v>
      </c>
      <c r="BL208">
        <f t="shared" si="80"/>
        <v>1097.873</v>
      </c>
      <c r="BO208" s="18">
        <f t="shared" si="81"/>
        <v>7.3687940226237455E-3</v>
      </c>
      <c r="BP208" s="18">
        <f t="shared" si="82"/>
        <v>0.40402669525527996</v>
      </c>
      <c r="BQ208" s="18">
        <f t="shared" si="83"/>
        <v>0.33090166166760637</v>
      </c>
      <c r="BR208" s="18">
        <f t="shared" si="84"/>
        <v>0.25770284905448992</v>
      </c>
      <c r="BT208" s="27">
        <f t="shared" si="85"/>
        <v>1</v>
      </c>
      <c r="BW208" s="18">
        <f>IF(AP208="ja",VLOOKUP(B208,Miljövärden!$B$2:$H$550,MATCH("Total andel fossilt",Miljövärden!$B$2:$H$2,0),FALSE),"")</f>
        <v>7.39962E-3</v>
      </c>
      <c r="BZ208" s="28">
        <f t="shared" si="86"/>
        <v>3.0825977376254532E-5</v>
      </c>
      <c r="CA208" s="28">
        <f t="shared" si="87"/>
        <v>0</v>
      </c>
    </row>
    <row r="209" spans="1:79" x14ac:dyDescent="0.25">
      <c r="A209" s="224" t="s">
        <v>483</v>
      </c>
      <c r="B209" s="210" t="s">
        <v>484</v>
      </c>
      <c r="C209" s="121">
        <f>VLOOKUP($B209,'Tillförd energi'!$B$1:$AI$720,MATCH(C$1,'Tillförd energi'!$B$1:$AQ$1,0),FALSE)</f>
        <v>0</v>
      </c>
      <c r="D209" s="121">
        <f>VLOOKUP($B209,'Tillförd energi'!$B$1:$AI$720,MATCH(D$1,'Tillförd energi'!$B$1:$AQ$1,0),FALSE)</f>
        <v>1E-3</v>
      </c>
      <c r="E209" s="121">
        <f>VLOOKUP($B209,'Tillförd energi'!$B$1:$AI$720,MATCH(E$1,'Tillförd energi'!$B$1:$AQ$1,0),FALSE)</f>
        <v>0</v>
      </c>
      <c r="F209" s="121">
        <f>VLOOKUP($B209,'Tillförd energi'!$B$1:$AI$720,MATCH(F$1,'Tillförd energi'!$B$1:$AQ$1,0),FALSE)</f>
        <v>0</v>
      </c>
      <c r="G209" s="121">
        <f>VLOOKUP($B209,'Tillförd energi'!$B$1:$AI$720,MATCH(G$1,'Tillförd energi'!$B$1:$AQ$1,0),FALSE)</f>
        <v>0</v>
      </c>
      <c r="H209" s="121">
        <f>VLOOKUP($B209,'Tillförd energi'!$B$1:$AI$720,MATCH(H$1,'Tillförd energi'!$B$1:$AQ$1,0),FALSE)</f>
        <v>0</v>
      </c>
      <c r="I209" s="121">
        <f>VLOOKUP($B209,'Tillförd energi'!$B$1:$AI$720,MATCH(I$1,'Tillförd energi'!$B$1:$AQ$1,0),FALSE)</f>
        <v>0</v>
      </c>
      <c r="J209" s="121">
        <f>VLOOKUP($B209,'Tillförd energi'!$B$1:$AI$720,MATCH(J$1,'Tillförd energi'!$B$1:$AQ$1,0),FALSE)</f>
        <v>0</v>
      </c>
      <c r="K209" s="121">
        <f>VLOOKUP($B209,'Tillförd energi'!$B$1:$AI$720,MATCH(K$1,'Tillförd energi'!$B$1:$AQ$1,0),FALSE)</f>
        <v>0</v>
      </c>
      <c r="L209" s="121">
        <f>VLOOKUP($B209,'Tillförd energi'!$B$1:$AI$720,MATCH(L$1,'Tillförd energi'!$B$1:$AQ$1,0),FALSE)</f>
        <v>0</v>
      </c>
      <c r="M209" s="121">
        <f>VLOOKUP($B209,'Tillförd energi'!$B$1:$AI$720,MATCH(M$1,'Tillförd energi'!$B$1:$AQ$1,0),FALSE)</f>
        <v>0</v>
      </c>
      <c r="N209" s="121">
        <f>VLOOKUP($B209,'Tillförd energi'!$B$1:$AI$720,MATCH(N$1,'Tillförd energi'!$B$1:$AQ$1,0),FALSE)</f>
        <v>0</v>
      </c>
      <c r="O209" s="121">
        <f>VLOOKUP($B209,'Tillförd energi'!$B$1:$AI$720,MATCH(O$1,'Tillförd energi'!$B$1:$AQ$1,0),FALSE)</f>
        <v>0</v>
      </c>
      <c r="P209" s="121">
        <f>VLOOKUP($B209,'Tillförd energi'!$B$1:$AI$720,MATCH(P$1,'Tillförd energi'!$B$1:$AQ$1,0),FALSE)</f>
        <v>0</v>
      </c>
      <c r="Q209" s="121">
        <f>VLOOKUP($B209,'Tillförd energi'!$B$1:$AI$720,MATCH(Q$1,'Tillförd energi'!$B$1:$AQ$1,0),FALSE)</f>
        <v>0</v>
      </c>
      <c r="R209" s="121">
        <f>VLOOKUP($B209,'Tillförd energi'!$B$1:$AI$720,MATCH(R$1,'Tillförd energi'!$B$1:$AQ$1,0),FALSE)</f>
        <v>15.46</v>
      </c>
      <c r="S209" s="121">
        <f>VLOOKUP($B209,'Tillförd energi'!$B$1:$AI$720,MATCH(S$1,'Tillförd energi'!$B$1:$AQ$1,0),FALSE)</f>
        <v>0</v>
      </c>
      <c r="T209" s="121">
        <f>VLOOKUP($B209,'Tillförd energi'!$B$1:$AI$720,MATCH(T$1,'Tillförd energi'!$B$1:$AQ$1,0),FALSE)</f>
        <v>0</v>
      </c>
      <c r="U209" s="121">
        <f>VLOOKUP($B209,'Tillförd energi'!$B$1:$AI$720,MATCH(U$1,'Tillförd energi'!$B$1:$AQ$1,0),FALSE)</f>
        <v>0</v>
      </c>
      <c r="V209" s="121">
        <f>VLOOKUP($B209,'Tillförd energi'!$B$1:$AI$720,MATCH(V$1,'Tillförd energi'!$B$1:$AQ$1,0),FALSE)</f>
        <v>0</v>
      </c>
      <c r="W209" s="121">
        <f>VLOOKUP($B209,'Tillförd energi'!$B$1:$AI$720,MATCH(W$1,'Tillförd energi'!$B$1:$AQ$1,0),FALSE)</f>
        <v>0</v>
      </c>
      <c r="X209" s="121">
        <f>VLOOKUP($B209,'Tillförd energi'!$B$1:$AI$720,MATCH(X$1,'Tillförd energi'!$B$1:$AQ$1,0),FALSE)</f>
        <v>0</v>
      </c>
      <c r="Y209" s="121">
        <f>VLOOKUP($B209,'Tillförd energi'!$B$1:$AI$720,MATCH(Y$1,'Tillförd energi'!$B$1:$AQ$1,0),FALSE)</f>
        <v>0</v>
      </c>
      <c r="Z209" s="121">
        <f>VLOOKUP($B209,'Tillförd energi'!$B$1:$AI$720,MATCH(Z$1,'Tillförd energi'!$B$1:$AQ$1,0),FALSE)</f>
        <v>0</v>
      </c>
      <c r="AA209" s="121">
        <f>VLOOKUP($B209,'Tillförd energi'!$B$1:$AI$720,MATCH(AA$1,'Tillförd energi'!$B$1:$AQ$1,0),FALSE)</f>
        <v>0</v>
      </c>
      <c r="AB209" s="121">
        <f>VLOOKUP($B209,'Tillförd energi'!$B$1:$AI$720,MATCH(AB$1,'Tillförd energi'!$B$1:$AQ$1,0),FALSE)</f>
        <v>0</v>
      </c>
      <c r="AC209" s="121">
        <f>VLOOKUP($B209,'Tillförd energi'!$B$1:$AI$720,MATCH(AC$1,'Tillförd energi'!$B$1:$AQ$1,0),FALSE)</f>
        <v>0</v>
      </c>
      <c r="AD209" s="121">
        <f>VLOOKUP($B209,'Tillförd energi'!$B$1:$AI$720,MATCH(AD$1,'Tillförd energi'!$B$1:$AQ$1,0),FALSE)</f>
        <v>4.5979999999999999</v>
      </c>
      <c r="AE209" s="121">
        <f>VLOOKUP($B209,'Tillförd energi'!$B$1:$AI$720,MATCH(AE$1,'Tillförd energi'!$B$1:$AQ$1,0),FALSE)</f>
        <v>0</v>
      </c>
      <c r="AF209" s="121">
        <f>VLOOKUP($B209,'Tillförd energi'!$B$1:$AI$720,MATCH(AF$1,'Tillförd energi'!$B$1:$AQ$1,0),FALSE)</f>
        <v>0.499</v>
      </c>
      <c r="AG209" s="121">
        <f>IFERROR(VLOOKUP(B209,Miljö!$B$1:$AC$550,MATCH("Köpt mängd produktionsspecifik fjärrvärme:",Miljö!$B$1:$AC$1,0),FALSE)/1,0)</f>
        <v>0</v>
      </c>
      <c r="AH209" s="121"/>
      <c r="AI209" s="121">
        <f t="shared" si="66"/>
        <v>20.558</v>
      </c>
      <c r="AJ209" s="121">
        <f t="shared" si="67"/>
        <v>20.558</v>
      </c>
      <c r="AK209" s="121">
        <f>IF(ISERROR(1/VLOOKUP($B209,Leveranser!$B$1:$S$499,MATCH("såld värme (gwh)",Leveranser!$B$1:$S$1,0),FALSE)),"",VLOOKUP($B209,Leveranser!$B$1:$S$499,MATCH("såld värme (gwh)",Leveranser!$B$1:$S$1,0),FALSE))</f>
        <v>16.640999999999998</v>
      </c>
      <c r="AL209" s="121">
        <f>VLOOKUP($B209,Leveranser!$B$1:$Y$499,MATCH("Totalt såld fjärrvärme till andra fjärrvärmeföretag",Leveranser!$B$1:$AA$1,0),FALSE)</f>
        <v>0</v>
      </c>
      <c r="AM209" s="121">
        <f>IF(ISERROR(1/VLOOKUP($B209,Miljö!$B$1:$S$500,MATCH("Såld mängd produktionsspecifik fjärrvärme (GWh)",Miljö!$B$1:$R$1,0),FALSE)),0,VLOOKUP($B209,Miljö!$B$1:$S$500,MATCH("Såld mängd produktionsspecifik fjärrvärme (GWh)",Miljö!$B$1:$R$1,0),FALSE))</f>
        <v>0</v>
      </c>
      <c r="AN209" s="172">
        <f t="shared" si="68"/>
        <v>0.80946590135227159</v>
      </c>
      <c r="AO209" s="121"/>
      <c r="AP209" s="121" t="str">
        <f>IFERROR(VLOOKUP($B209,Miljövärden!$B$2:$H$550,7,FALSE),"Nej, saknas")</f>
        <v>Ja</v>
      </c>
      <c r="AQ209" s="121" t="str">
        <f>IFERROR(VLOOKUP($B209,Miljövärden!$B$2:$H$550,6,FALSE),"Nej, saknas")</f>
        <v>Ja</v>
      </c>
      <c r="AU209">
        <f t="shared" si="69"/>
        <v>0.499</v>
      </c>
      <c r="AV209">
        <f t="shared" si="70"/>
        <v>0</v>
      </c>
      <c r="AW209">
        <f t="shared" si="71"/>
        <v>0</v>
      </c>
      <c r="AX209">
        <f t="shared" si="72"/>
        <v>15.46</v>
      </c>
      <c r="AZ209">
        <f t="shared" si="73"/>
        <v>15.46</v>
      </c>
      <c r="BC209">
        <f t="shared" si="74"/>
        <v>1E-3</v>
      </c>
      <c r="BD209">
        <f t="shared" si="75"/>
        <v>0</v>
      </c>
      <c r="BE209">
        <f t="shared" si="76"/>
        <v>15.46</v>
      </c>
      <c r="BF209">
        <f t="shared" si="77"/>
        <v>4.5979999999999999</v>
      </c>
      <c r="BG209">
        <f t="shared" si="78"/>
        <v>0.499</v>
      </c>
      <c r="BH209">
        <f>VLOOKUP(B209,Miljö!$B$1:$BX$482,MATCH("Fossilandel för ursprungspecificerad el ()",Miljö!$B$1:$I$1,0),FALSE)</f>
        <v>0</v>
      </c>
      <c r="BI209">
        <f>VLOOKUP(B209,Miljö!$B$1:$BX$482,MATCH("Kärnkraftsandel för ursprungsspecificerad el ()",Miljö!$B$1:$O$1,0),FALSE)</f>
        <v>0</v>
      </c>
      <c r="BJ209">
        <f t="shared" si="79"/>
        <v>0</v>
      </c>
      <c r="BK209" t="str">
        <f>VLOOKUP(B209,Miljö!$B$1:$O$482,MATCH("Fossil andel i procent (%)",Miljö!$B$1:$O$1,0),FALSE)</f>
        <v>ET</v>
      </c>
      <c r="BL209">
        <f t="shared" si="80"/>
        <v>20.558</v>
      </c>
      <c r="BO209" s="18">
        <f t="shared" si="81"/>
        <v>4.8642864091837727E-5</v>
      </c>
      <c r="BP209" s="18">
        <f t="shared" si="82"/>
        <v>0</v>
      </c>
      <c r="BQ209" s="18">
        <f t="shared" si="83"/>
        <v>0.7762914680416384</v>
      </c>
      <c r="BR209" s="18">
        <f t="shared" si="84"/>
        <v>0.22365988909426987</v>
      </c>
      <c r="BT209" s="27">
        <f t="shared" si="85"/>
        <v>1</v>
      </c>
      <c r="BW209" s="18">
        <f>IF(AP209="ja",VLOOKUP(B209,Miljövärden!$B$2:$H$550,MATCH("Total andel fossilt",Miljövärden!$B$2:$H$2,0),FALSE),"")</f>
        <v>4.8642900000000001E-5</v>
      </c>
      <c r="BZ209" s="28">
        <f t="shared" si="86"/>
        <v>3.5908162273961489E-11</v>
      </c>
      <c r="CA209" s="28">
        <f t="shared" si="87"/>
        <v>0</v>
      </c>
    </row>
    <row r="210" spans="1:79" x14ac:dyDescent="0.25">
      <c r="A210" s="224" t="s">
        <v>483</v>
      </c>
      <c r="B210" s="210" t="s">
        <v>485</v>
      </c>
      <c r="C210" s="121">
        <f>VLOOKUP($B210,'Tillförd energi'!$B$1:$AI$720,MATCH(C$1,'Tillförd energi'!$B$1:$AQ$1,0),FALSE)</f>
        <v>0</v>
      </c>
      <c r="D210" s="121">
        <f>VLOOKUP($B210,'Tillförd energi'!$B$1:$AI$720,MATCH(D$1,'Tillförd energi'!$B$1:$AQ$1,0),FALSE)</f>
        <v>0.55300000000000005</v>
      </c>
      <c r="E210" s="121">
        <f>VLOOKUP($B210,'Tillförd energi'!$B$1:$AI$720,MATCH(E$1,'Tillförd energi'!$B$1:$AQ$1,0),FALSE)</f>
        <v>0</v>
      </c>
      <c r="F210" s="121">
        <f>VLOOKUP($B210,'Tillförd energi'!$B$1:$AI$720,MATCH(F$1,'Tillförd energi'!$B$1:$AQ$1,0),FALSE)</f>
        <v>0</v>
      </c>
      <c r="G210" s="121">
        <f>VLOOKUP($B210,'Tillförd energi'!$B$1:$AI$720,MATCH(G$1,'Tillförd energi'!$B$1:$AQ$1,0),FALSE)</f>
        <v>0</v>
      </c>
      <c r="H210" s="121">
        <f>VLOOKUP($B210,'Tillförd energi'!$B$1:$AI$720,MATCH(H$1,'Tillförd energi'!$B$1:$AQ$1,0),FALSE)</f>
        <v>0</v>
      </c>
      <c r="I210" s="121">
        <f>VLOOKUP($B210,'Tillförd energi'!$B$1:$AI$720,MATCH(I$1,'Tillförd energi'!$B$1:$AQ$1,0),FALSE)</f>
        <v>0</v>
      </c>
      <c r="J210" s="121">
        <f>VLOOKUP($B210,'Tillförd energi'!$B$1:$AI$720,MATCH(J$1,'Tillförd energi'!$B$1:$AQ$1,0),FALSE)</f>
        <v>0</v>
      </c>
      <c r="K210" s="121">
        <f>VLOOKUP($B210,'Tillförd energi'!$B$1:$AI$720,MATCH(K$1,'Tillförd energi'!$B$1:$AQ$1,0),FALSE)</f>
        <v>0</v>
      </c>
      <c r="L210" s="121">
        <f>VLOOKUP($B210,'Tillförd energi'!$B$1:$AI$720,MATCH(L$1,'Tillförd energi'!$B$1:$AQ$1,0),FALSE)</f>
        <v>0</v>
      </c>
      <c r="M210" s="121">
        <f>VLOOKUP($B210,'Tillförd energi'!$B$1:$AI$720,MATCH(M$1,'Tillförd energi'!$B$1:$AQ$1,0),FALSE)</f>
        <v>0</v>
      </c>
      <c r="N210" s="121">
        <f>VLOOKUP($B210,'Tillförd energi'!$B$1:$AI$720,MATCH(N$1,'Tillförd energi'!$B$1:$AQ$1,0),FALSE)</f>
        <v>111.05500000000001</v>
      </c>
      <c r="O210" s="121">
        <f>VLOOKUP($B210,'Tillförd energi'!$B$1:$AI$720,MATCH(O$1,'Tillförd energi'!$B$1:$AQ$1,0),FALSE)</f>
        <v>0</v>
      </c>
      <c r="P210" s="121">
        <f>VLOOKUP($B210,'Tillförd energi'!$B$1:$AI$720,MATCH(P$1,'Tillförd energi'!$B$1:$AQ$1,0),FALSE)</f>
        <v>13.176600000000001</v>
      </c>
      <c r="Q210" s="121">
        <f>VLOOKUP($B210,'Tillförd energi'!$B$1:$AI$720,MATCH(Q$1,'Tillförd energi'!$B$1:$AQ$1,0),FALSE)</f>
        <v>0</v>
      </c>
      <c r="R210" s="121">
        <f>VLOOKUP($B210,'Tillförd energi'!$B$1:$AI$720,MATCH(R$1,'Tillförd energi'!$B$1:$AQ$1,0),FALSE)</f>
        <v>0</v>
      </c>
      <c r="S210" s="121">
        <f>VLOOKUP($B210,'Tillförd energi'!$B$1:$AI$720,MATCH(S$1,'Tillförd energi'!$B$1:$AQ$1,0),FALSE)</f>
        <v>0</v>
      </c>
      <c r="T210" s="121">
        <f>VLOOKUP($B210,'Tillförd energi'!$B$1:$AI$720,MATCH(T$1,'Tillförd energi'!$B$1:$AQ$1,0),FALSE)</f>
        <v>0</v>
      </c>
      <c r="U210" s="121">
        <f>VLOOKUP($B210,'Tillförd energi'!$B$1:$AI$720,MATCH(U$1,'Tillförd energi'!$B$1:$AQ$1,0),FALSE)</f>
        <v>0</v>
      </c>
      <c r="V210" s="121">
        <f>VLOOKUP($B210,'Tillförd energi'!$B$1:$AI$720,MATCH(V$1,'Tillförd energi'!$B$1:$AQ$1,0),FALSE)</f>
        <v>0</v>
      </c>
      <c r="W210" s="121">
        <f>VLOOKUP($B210,'Tillförd energi'!$B$1:$AI$720,MATCH(W$1,'Tillförd energi'!$B$1:$AQ$1,0),FALSE)</f>
        <v>0</v>
      </c>
      <c r="X210" s="121">
        <f>VLOOKUP($B210,'Tillförd energi'!$B$1:$AI$720,MATCH(X$1,'Tillförd energi'!$B$1:$AQ$1,0),FALSE)</f>
        <v>0</v>
      </c>
      <c r="Y210" s="121">
        <f>VLOOKUP($B210,'Tillförd energi'!$B$1:$AI$720,MATCH(Y$1,'Tillförd energi'!$B$1:$AQ$1,0),FALSE)</f>
        <v>0</v>
      </c>
      <c r="Z210" s="121">
        <f>VLOOKUP($B210,'Tillförd energi'!$B$1:$AI$720,MATCH(Z$1,'Tillförd energi'!$B$1:$AQ$1,0),FALSE)</f>
        <v>0.88</v>
      </c>
      <c r="AA210" s="121">
        <f>VLOOKUP($B210,'Tillförd energi'!$B$1:$AI$720,MATCH(AA$1,'Tillförd energi'!$B$1:$AQ$1,0),FALSE)</f>
        <v>0</v>
      </c>
      <c r="AB210" s="121">
        <f>VLOOKUP($B210,'Tillförd energi'!$B$1:$AI$720,MATCH(AB$1,'Tillförd energi'!$B$1:$AQ$1,0),FALSE)</f>
        <v>0</v>
      </c>
      <c r="AC210" s="121">
        <f>VLOOKUP($B210,'Tillförd energi'!$B$1:$AI$720,MATCH(AC$1,'Tillförd energi'!$B$1:$AQ$1,0),FALSE)</f>
        <v>28.37</v>
      </c>
      <c r="AD210" s="121">
        <f>VLOOKUP($B210,'Tillförd energi'!$B$1:$AI$720,MATCH(AD$1,'Tillförd energi'!$B$1:$AQ$1,0),FALSE)</f>
        <v>0</v>
      </c>
      <c r="AE210" s="121">
        <f>VLOOKUP($B210,'Tillförd energi'!$B$1:$AI$720,MATCH(AE$1,'Tillförd energi'!$B$1:$AQ$1,0),FALSE)</f>
        <v>0</v>
      </c>
      <c r="AF210" s="121">
        <f>VLOOKUP($B210,'Tillförd energi'!$B$1:$AI$720,MATCH(AF$1,'Tillförd energi'!$B$1:$AQ$1,0),FALSE)</f>
        <v>4.5635599999999998</v>
      </c>
      <c r="AG210" s="121">
        <f>IFERROR(VLOOKUP(B210,Miljö!$B$1:$AC$550,MATCH("Köpt mängd produktionsspecifik fjärrvärme:",Miljö!$B$1:$AC$1,0),FALSE)/1,0)</f>
        <v>0</v>
      </c>
      <c r="AH210" s="121"/>
      <c r="AI210" s="121">
        <f t="shared" si="66"/>
        <v>158.59816000000001</v>
      </c>
      <c r="AJ210" s="121">
        <f t="shared" si="67"/>
        <v>158.59816000000001</v>
      </c>
      <c r="AK210" s="121">
        <f>IF(ISERROR(1/VLOOKUP($B210,Leveranser!$B$1:$S$499,MATCH("såld värme (gwh)",Leveranser!$B$1:$S$1,0),FALSE)),"",VLOOKUP($B210,Leveranser!$B$1:$S$499,MATCH("såld värme (gwh)",Leveranser!$B$1:$S$1,0),FALSE))</f>
        <v>123.922</v>
      </c>
      <c r="AL210" s="121">
        <f>VLOOKUP($B210,Leveranser!$B$1:$Y$499,MATCH("Totalt såld fjärrvärme till andra fjärrvärmeföretag",Leveranser!$B$1:$AA$1,0),FALSE)</f>
        <v>0</v>
      </c>
      <c r="AM210" s="121">
        <f>IF(ISERROR(1/VLOOKUP($B210,Miljö!$B$1:$S$500,MATCH("Såld mängd produktionsspecifik fjärrvärme (GWh)",Miljö!$B$1:$R$1,0),FALSE)),0,VLOOKUP($B210,Miljö!$B$1:$S$500,MATCH("Såld mängd produktionsspecifik fjärrvärme (GWh)",Miljö!$B$1:$R$1,0),FALSE))</f>
        <v>0</v>
      </c>
      <c r="AN210" s="172">
        <f t="shared" si="68"/>
        <v>0.78135837137076491</v>
      </c>
      <c r="AO210" s="121"/>
      <c r="AP210" s="121" t="str">
        <f>IFERROR(VLOOKUP($B210,Miljövärden!$B$2:$H$550,7,FALSE),"Nej, saknas")</f>
        <v>Ja</v>
      </c>
      <c r="AQ210" s="121" t="str">
        <f>IFERROR(VLOOKUP($B210,Miljövärden!$B$2:$H$550,6,FALSE),"Nej, saknas")</f>
        <v>Ja</v>
      </c>
      <c r="AU210">
        <f t="shared" si="69"/>
        <v>5.4435599999999997</v>
      </c>
      <c r="AV210">
        <f t="shared" si="70"/>
        <v>0</v>
      </c>
      <c r="AW210">
        <f t="shared" si="71"/>
        <v>124.23160000000001</v>
      </c>
      <c r="AX210">
        <f t="shared" si="72"/>
        <v>0</v>
      </c>
      <c r="AZ210">
        <f t="shared" si="73"/>
        <v>124.23160000000001</v>
      </c>
      <c r="BC210">
        <f t="shared" si="74"/>
        <v>0.55300000000000005</v>
      </c>
      <c r="BD210">
        <f t="shared" si="75"/>
        <v>0</v>
      </c>
      <c r="BE210">
        <f t="shared" si="76"/>
        <v>124.23160000000001</v>
      </c>
      <c r="BF210">
        <f t="shared" si="77"/>
        <v>28.37</v>
      </c>
      <c r="BG210">
        <f t="shared" si="78"/>
        <v>5.4435599999999997</v>
      </c>
      <c r="BH210">
        <f>VLOOKUP(B210,Miljö!$B$1:$BX$482,MATCH("Fossilandel för ursprungspecificerad el ()",Miljö!$B$1:$I$1,0),FALSE)</f>
        <v>0</v>
      </c>
      <c r="BI210">
        <f>VLOOKUP(B210,Miljö!$B$1:$BX$482,MATCH("Kärnkraftsandel för ursprungsspecificerad el ()",Miljö!$B$1:$O$1,0),FALSE)</f>
        <v>0</v>
      </c>
      <c r="BJ210">
        <f t="shared" si="79"/>
        <v>0</v>
      </c>
      <c r="BK210" t="str">
        <f>VLOOKUP(B210,Miljö!$B$1:$O$482,MATCH("Fossil andel i procent (%)",Miljö!$B$1:$O$1,0),FALSE)</f>
        <v>ET</v>
      </c>
      <c r="BL210">
        <f t="shared" si="80"/>
        <v>158.59816000000001</v>
      </c>
      <c r="BO210" s="18">
        <f t="shared" si="81"/>
        <v>3.4867995946485132E-3</v>
      </c>
      <c r="BP210" s="18">
        <f t="shared" si="82"/>
        <v>0</v>
      </c>
      <c r="BQ210" s="18">
        <f t="shared" si="83"/>
        <v>0.81763344543215377</v>
      </c>
      <c r="BR210" s="18">
        <f t="shared" si="84"/>
        <v>0.17887975497319766</v>
      </c>
      <c r="BT210" s="27">
        <f t="shared" si="85"/>
        <v>0.99999999999999989</v>
      </c>
      <c r="BW210" s="18">
        <f>IF(AP210="ja",VLOOKUP(B210,Miljövärden!$B$2:$H$550,MATCH("Total andel fossilt",Miljövärden!$B$2:$H$2,0),FALSE),"")</f>
        <v>3.4868E-3</v>
      </c>
      <c r="BZ210" s="28">
        <f t="shared" si="86"/>
        <v>4.0535148675135968E-10</v>
      </c>
      <c r="CA210" s="28">
        <f t="shared" si="87"/>
        <v>0</v>
      </c>
    </row>
    <row r="211" spans="1:79" x14ac:dyDescent="0.25">
      <c r="A211" s="224" t="s">
        <v>483</v>
      </c>
      <c r="B211" s="210" t="s">
        <v>486</v>
      </c>
      <c r="C211" s="121">
        <f>VLOOKUP($B211,'Tillförd energi'!$B$1:$AI$720,MATCH(C$1,'Tillförd energi'!$B$1:$AQ$1,0),FALSE)</f>
        <v>0</v>
      </c>
      <c r="D211" s="121">
        <f>VLOOKUP($B211,'Tillförd energi'!$B$1:$AI$720,MATCH(D$1,'Tillförd energi'!$B$1:$AQ$1,0),FALSE)</f>
        <v>1.3009999999999999</v>
      </c>
      <c r="E211" s="121">
        <f>VLOOKUP($B211,'Tillförd energi'!$B$1:$AI$720,MATCH(E$1,'Tillförd energi'!$B$1:$AQ$1,0),FALSE)</f>
        <v>0</v>
      </c>
      <c r="F211" s="121">
        <f>VLOOKUP($B211,'Tillförd energi'!$B$1:$AI$720,MATCH(F$1,'Tillförd energi'!$B$1:$AQ$1,0),FALSE)</f>
        <v>0</v>
      </c>
      <c r="G211" s="121">
        <f>VLOOKUP($B211,'Tillförd energi'!$B$1:$AI$720,MATCH(G$1,'Tillförd energi'!$B$1:$AQ$1,0),FALSE)</f>
        <v>0</v>
      </c>
      <c r="H211" s="121">
        <f>VLOOKUP($B211,'Tillförd energi'!$B$1:$AI$720,MATCH(H$1,'Tillförd energi'!$B$1:$AQ$1,0),FALSE)</f>
        <v>0</v>
      </c>
      <c r="I211" s="121">
        <f>VLOOKUP($B211,'Tillförd energi'!$B$1:$AI$720,MATCH(I$1,'Tillförd energi'!$B$1:$AQ$1,0),FALSE)</f>
        <v>0</v>
      </c>
      <c r="J211" s="121">
        <f>VLOOKUP($B211,'Tillförd energi'!$B$1:$AI$720,MATCH(J$1,'Tillförd energi'!$B$1:$AQ$1,0),FALSE)</f>
        <v>0</v>
      </c>
      <c r="K211" s="121">
        <f>VLOOKUP($B211,'Tillförd energi'!$B$1:$AI$720,MATCH(K$1,'Tillförd energi'!$B$1:$AQ$1,0),FALSE)</f>
        <v>0</v>
      </c>
      <c r="L211" s="121">
        <f>VLOOKUP($B211,'Tillförd energi'!$B$1:$AI$720,MATCH(L$1,'Tillförd energi'!$B$1:$AQ$1,0),FALSE)</f>
        <v>0</v>
      </c>
      <c r="M211" s="121">
        <f>VLOOKUP($B211,'Tillförd energi'!$B$1:$AI$720,MATCH(M$1,'Tillförd energi'!$B$1:$AQ$1,0),FALSE)</f>
        <v>0</v>
      </c>
      <c r="N211" s="121">
        <f>VLOOKUP($B211,'Tillförd energi'!$B$1:$AI$720,MATCH(N$1,'Tillförd energi'!$B$1:$AQ$1,0),FALSE)</f>
        <v>0</v>
      </c>
      <c r="O211" s="121">
        <f>VLOOKUP($B211,'Tillförd energi'!$B$1:$AI$720,MATCH(O$1,'Tillförd energi'!$B$1:$AQ$1,0),FALSE)</f>
        <v>0</v>
      </c>
      <c r="P211" s="121">
        <f>VLOOKUP($B211,'Tillförd energi'!$B$1:$AI$720,MATCH(P$1,'Tillförd energi'!$B$1:$AQ$1,0),FALSE)</f>
        <v>19.702000000000002</v>
      </c>
      <c r="Q211" s="121">
        <f>VLOOKUP($B211,'Tillförd energi'!$B$1:$AI$720,MATCH(Q$1,'Tillförd energi'!$B$1:$AQ$1,0),FALSE)</f>
        <v>0</v>
      </c>
      <c r="R211" s="121">
        <f>VLOOKUP($B211,'Tillförd energi'!$B$1:$AI$720,MATCH(R$1,'Tillförd energi'!$B$1:$AQ$1,0),FALSE)</f>
        <v>0</v>
      </c>
      <c r="S211" s="121">
        <f>VLOOKUP($B211,'Tillförd energi'!$B$1:$AI$720,MATCH(S$1,'Tillförd energi'!$B$1:$AQ$1,0),FALSE)</f>
        <v>0</v>
      </c>
      <c r="T211" s="121">
        <f>VLOOKUP($B211,'Tillförd energi'!$B$1:$AI$720,MATCH(T$1,'Tillförd energi'!$B$1:$AQ$1,0),FALSE)</f>
        <v>0</v>
      </c>
      <c r="U211" s="121">
        <f>VLOOKUP($B211,'Tillförd energi'!$B$1:$AI$720,MATCH(U$1,'Tillförd energi'!$B$1:$AQ$1,0),FALSE)</f>
        <v>0</v>
      </c>
      <c r="V211" s="121">
        <f>VLOOKUP($B211,'Tillförd energi'!$B$1:$AI$720,MATCH(V$1,'Tillförd energi'!$B$1:$AQ$1,0),FALSE)</f>
        <v>0</v>
      </c>
      <c r="W211" s="121">
        <f>VLOOKUP($B211,'Tillförd energi'!$B$1:$AI$720,MATCH(W$1,'Tillförd energi'!$B$1:$AQ$1,0),FALSE)</f>
        <v>0</v>
      </c>
      <c r="X211" s="121">
        <f>VLOOKUP($B211,'Tillförd energi'!$B$1:$AI$720,MATCH(X$1,'Tillförd energi'!$B$1:$AQ$1,0),FALSE)</f>
        <v>0</v>
      </c>
      <c r="Y211" s="121">
        <f>VLOOKUP($B211,'Tillförd energi'!$B$1:$AI$720,MATCH(Y$1,'Tillförd energi'!$B$1:$AQ$1,0),FALSE)</f>
        <v>0</v>
      </c>
      <c r="Z211" s="121">
        <f>VLOOKUP($B211,'Tillförd energi'!$B$1:$AI$720,MATCH(Z$1,'Tillförd energi'!$B$1:$AQ$1,0),FALSE)</f>
        <v>1.4159999999999999</v>
      </c>
      <c r="AA211" s="121">
        <f>VLOOKUP($B211,'Tillförd energi'!$B$1:$AI$720,MATCH(AA$1,'Tillförd energi'!$B$1:$AQ$1,0),FALSE)</f>
        <v>0</v>
      </c>
      <c r="AB211" s="121">
        <f>VLOOKUP($B211,'Tillförd energi'!$B$1:$AI$720,MATCH(AB$1,'Tillförd energi'!$B$1:$AQ$1,0),FALSE)</f>
        <v>0</v>
      </c>
      <c r="AC211" s="121">
        <f>VLOOKUP($B211,'Tillförd energi'!$B$1:$AI$720,MATCH(AC$1,'Tillförd energi'!$B$1:$AQ$1,0),FALSE)</f>
        <v>2.0960000000000001</v>
      </c>
      <c r="AD211" s="121">
        <f>VLOOKUP($B211,'Tillförd energi'!$B$1:$AI$720,MATCH(AD$1,'Tillförd energi'!$B$1:$AQ$1,0),FALSE)</f>
        <v>0</v>
      </c>
      <c r="AE211" s="121">
        <f>VLOOKUP($B211,'Tillförd energi'!$B$1:$AI$720,MATCH(AE$1,'Tillförd energi'!$B$1:$AQ$1,0),FALSE)</f>
        <v>0</v>
      </c>
      <c r="AF211" s="121">
        <f>VLOOKUP($B211,'Tillförd energi'!$B$1:$AI$720,MATCH(AF$1,'Tillförd energi'!$B$1:$AQ$1,0),FALSE)</f>
        <v>0.51800000000000002</v>
      </c>
      <c r="AG211" s="121">
        <f>IFERROR(VLOOKUP(B211,Miljö!$B$1:$AC$550,MATCH("Köpt mängd produktionsspecifik fjärrvärme:",Miljö!$B$1:$AC$1,0),FALSE)/1,0)</f>
        <v>0</v>
      </c>
      <c r="AH211" s="121"/>
      <c r="AI211" s="121">
        <f t="shared" si="66"/>
        <v>25.033000000000001</v>
      </c>
      <c r="AJ211" s="121">
        <f t="shared" si="67"/>
        <v>25.033000000000001</v>
      </c>
      <c r="AK211" s="121">
        <f>IF(ISERROR(1/VLOOKUP($B211,Leveranser!$B$1:$S$499,MATCH("såld värme (gwh)",Leveranser!$B$1:$S$1,0),FALSE)),"",VLOOKUP($B211,Leveranser!$B$1:$S$499,MATCH("såld värme (gwh)",Leveranser!$B$1:$S$1,0),FALSE))</f>
        <v>17.280999999999999</v>
      </c>
      <c r="AL211" s="121">
        <f>VLOOKUP($B211,Leveranser!$B$1:$Y$499,MATCH("Totalt såld fjärrvärme till andra fjärrvärmeföretag",Leveranser!$B$1:$AA$1,0),FALSE)</f>
        <v>0</v>
      </c>
      <c r="AM211" s="121">
        <f>IF(ISERROR(1/VLOOKUP($B211,Miljö!$B$1:$S$500,MATCH("Såld mängd produktionsspecifik fjärrvärme (GWh)",Miljö!$B$1:$R$1,0),FALSE)),0,VLOOKUP($B211,Miljö!$B$1:$S$500,MATCH("Såld mängd produktionsspecifik fjärrvärme (GWh)",Miljö!$B$1:$R$1,0),FALSE))</f>
        <v>0</v>
      </c>
      <c r="AN211" s="172">
        <f t="shared" si="68"/>
        <v>0.69032876602884186</v>
      </c>
      <c r="AO211" s="121"/>
      <c r="AP211" s="121" t="str">
        <f>IFERROR(VLOOKUP($B211,Miljövärden!$B$2:$H$550,7,FALSE),"Nej, saknas")</f>
        <v>Ja</v>
      </c>
      <c r="AQ211" s="121" t="str">
        <f>IFERROR(VLOOKUP($B211,Miljövärden!$B$2:$H$550,6,FALSE),"Nej, saknas")</f>
        <v>Ja</v>
      </c>
      <c r="AU211">
        <f t="shared" si="69"/>
        <v>1.9339999999999999</v>
      </c>
      <c r="AV211">
        <f t="shared" si="70"/>
        <v>0</v>
      </c>
      <c r="AW211">
        <f t="shared" si="71"/>
        <v>19.702000000000002</v>
      </c>
      <c r="AX211">
        <f t="shared" si="72"/>
        <v>0</v>
      </c>
      <c r="AZ211">
        <f t="shared" si="73"/>
        <v>19.702000000000002</v>
      </c>
      <c r="BC211">
        <f t="shared" si="74"/>
        <v>1.3009999999999999</v>
      </c>
      <c r="BD211">
        <f t="shared" si="75"/>
        <v>0</v>
      </c>
      <c r="BE211">
        <f t="shared" si="76"/>
        <v>19.702000000000002</v>
      </c>
      <c r="BF211">
        <f t="shared" si="77"/>
        <v>2.0960000000000001</v>
      </c>
      <c r="BG211">
        <f t="shared" si="78"/>
        <v>1.9339999999999999</v>
      </c>
      <c r="BH211">
        <f>VLOOKUP(B211,Miljö!$B$1:$BX$482,MATCH("Fossilandel för ursprungspecificerad el ()",Miljö!$B$1:$I$1,0),FALSE)</f>
        <v>0</v>
      </c>
      <c r="BI211">
        <f>VLOOKUP(B211,Miljö!$B$1:$BX$482,MATCH("Kärnkraftsandel för ursprungsspecificerad el ()",Miljö!$B$1:$O$1,0),FALSE)</f>
        <v>0</v>
      </c>
      <c r="BJ211">
        <f t="shared" si="79"/>
        <v>0</v>
      </c>
      <c r="BK211" t="str">
        <f>VLOOKUP(B211,Miljö!$B$1:$O$482,MATCH("Fossil andel i procent (%)",Miljö!$B$1:$O$1,0),FALSE)</f>
        <v>ET</v>
      </c>
      <c r="BL211">
        <f t="shared" si="80"/>
        <v>25.033000000000001</v>
      </c>
      <c r="BO211" s="18">
        <f t="shared" si="81"/>
        <v>5.1971397754963441E-2</v>
      </c>
      <c r="BP211" s="18">
        <f t="shared" si="82"/>
        <v>0</v>
      </c>
      <c r="BQ211" s="18">
        <f t="shared" si="83"/>
        <v>0.86429912515479579</v>
      </c>
      <c r="BR211" s="18">
        <f t="shared" si="84"/>
        <v>8.3729477090240881E-2</v>
      </c>
      <c r="BT211" s="27">
        <f t="shared" si="85"/>
        <v>1</v>
      </c>
      <c r="BW211" s="18">
        <f>IF(AP211="ja",VLOOKUP(B211,Miljövärden!$B$2:$H$550,MATCH("Total andel fossilt",Miljövärden!$B$2:$H$2,0),FALSE),"")</f>
        <v>5.1971400000000001E-2</v>
      </c>
      <c r="BZ211" s="28">
        <f t="shared" si="86"/>
        <v>2.2450365594339772E-9</v>
      </c>
      <c r="CA211" s="28">
        <f t="shared" si="87"/>
        <v>0</v>
      </c>
    </row>
    <row r="212" spans="1:79" x14ac:dyDescent="0.25">
      <c r="A212" s="224" t="s">
        <v>487</v>
      </c>
      <c r="B212" s="210" t="s">
        <v>488</v>
      </c>
      <c r="C212" s="121">
        <f>VLOOKUP($B212,'Tillförd energi'!$B$1:$AI$720,MATCH(C$1,'Tillförd energi'!$B$1:$AQ$1,0),FALSE)</f>
        <v>0</v>
      </c>
      <c r="D212" s="121">
        <f>VLOOKUP($B212,'Tillförd energi'!$B$1:$AI$720,MATCH(D$1,'Tillförd energi'!$B$1:$AQ$1,0),FALSE)</f>
        <v>0</v>
      </c>
      <c r="E212" s="121">
        <f>VLOOKUP($B212,'Tillförd energi'!$B$1:$AI$720,MATCH(E$1,'Tillförd energi'!$B$1:$AQ$1,0),FALSE)</f>
        <v>0</v>
      </c>
      <c r="F212" s="121">
        <f>VLOOKUP($B212,'Tillförd energi'!$B$1:$AI$720,MATCH(F$1,'Tillförd energi'!$B$1:$AQ$1,0),FALSE)</f>
        <v>0</v>
      </c>
      <c r="G212" s="121">
        <f>VLOOKUP($B212,'Tillförd energi'!$B$1:$AI$720,MATCH(G$1,'Tillförd energi'!$B$1:$AQ$1,0),FALSE)</f>
        <v>0</v>
      </c>
      <c r="H212" s="121">
        <f>VLOOKUP($B212,'Tillförd energi'!$B$1:$AI$720,MATCH(H$1,'Tillförd energi'!$B$1:$AQ$1,0),FALSE)</f>
        <v>0</v>
      </c>
      <c r="I212" s="121">
        <f>VLOOKUP($B212,'Tillförd energi'!$B$1:$AI$720,MATCH(I$1,'Tillförd energi'!$B$1:$AQ$1,0),FALSE)</f>
        <v>0</v>
      </c>
      <c r="J212" s="121">
        <f>VLOOKUP($B212,'Tillförd energi'!$B$1:$AI$720,MATCH(J$1,'Tillförd energi'!$B$1:$AQ$1,0),FALSE)</f>
        <v>0</v>
      </c>
      <c r="K212" s="121">
        <f>VLOOKUP($B212,'Tillförd energi'!$B$1:$AI$720,MATCH(K$1,'Tillförd energi'!$B$1:$AQ$1,0),FALSE)</f>
        <v>0</v>
      </c>
      <c r="L212" s="121">
        <f>VLOOKUP($B212,'Tillförd energi'!$B$1:$AI$720,MATCH(L$1,'Tillförd energi'!$B$1:$AQ$1,0),FALSE)</f>
        <v>0</v>
      </c>
      <c r="M212" s="121">
        <f>VLOOKUP($B212,'Tillförd energi'!$B$1:$AI$720,MATCH(M$1,'Tillförd energi'!$B$1:$AQ$1,0),FALSE)</f>
        <v>0</v>
      </c>
      <c r="N212" s="121">
        <f>VLOOKUP($B212,'Tillförd energi'!$B$1:$AI$720,MATCH(N$1,'Tillförd energi'!$B$1:$AQ$1,0),FALSE)</f>
        <v>0</v>
      </c>
      <c r="O212" s="121">
        <f>VLOOKUP($B212,'Tillförd energi'!$B$1:$AI$720,MATCH(O$1,'Tillförd energi'!$B$1:$AQ$1,0),FALSE)</f>
        <v>0</v>
      </c>
      <c r="P212" s="121">
        <f>VLOOKUP($B212,'Tillförd energi'!$B$1:$AI$720,MATCH(P$1,'Tillförd energi'!$B$1:$AQ$1,0),FALSE)</f>
        <v>10.6</v>
      </c>
      <c r="Q212" s="121">
        <f>VLOOKUP($B212,'Tillförd energi'!$B$1:$AI$720,MATCH(Q$1,'Tillförd energi'!$B$1:$AQ$1,0),FALSE)</f>
        <v>0</v>
      </c>
      <c r="R212" s="121">
        <f>VLOOKUP($B212,'Tillförd energi'!$B$1:$AI$720,MATCH(R$1,'Tillförd energi'!$B$1:$AQ$1,0),FALSE)</f>
        <v>0.1</v>
      </c>
      <c r="S212" s="121">
        <f>VLOOKUP($B212,'Tillförd energi'!$B$1:$AI$720,MATCH(S$1,'Tillförd energi'!$B$1:$AQ$1,0),FALSE)</f>
        <v>0</v>
      </c>
      <c r="T212" s="121">
        <f>VLOOKUP($B212,'Tillförd energi'!$B$1:$AI$720,MATCH(T$1,'Tillförd energi'!$B$1:$AQ$1,0),FALSE)</f>
        <v>0</v>
      </c>
      <c r="U212" s="121">
        <f>VLOOKUP($B212,'Tillförd energi'!$B$1:$AI$720,MATCH(U$1,'Tillförd energi'!$B$1:$AQ$1,0),FALSE)</f>
        <v>0</v>
      </c>
      <c r="V212" s="121">
        <f>VLOOKUP($B212,'Tillförd energi'!$B$1:$AI$720,MATCH(V$1,'Tillförd energi'!$B$1:$AQ$1,0),FALSE)</f>
        <v>0</v>
      </c>
      <c r="W212" s="121">
        <f>VLOOKUP($B212,'Tillförd energi'!$B$1:$AI$720,MATCH(W$1,'Tillförd energi'!$B$1:$AQ$1,0),FALSE)</f>
        <v>0</v>
      </c>
      <c r="X212" s="121">
        <f>VLOOKUP($B212,'Tillförd energi'!$B$1:$AI$720,MATCH(X$1,'Tillförd energi'!$B$1:$AQ$1,0),FALSE)</f>
        <v>0</v>
      </c>
      <c r="Y212" s="121">
        <f>VLOOKUP($B212,'Tillförd energi'!$B$1:$AI$720,MATCH(Y$1,'Tillförd energi'!$B$1:$AQ$1,0),FALSE)</f>
        <v>0</v>
      </c>
      <c r="Z212" s="121">
        <f>VLOOKUP($B212,'Tillförd energi'!$B$1:$AI$720,MATCH(Z$1,'Tillförd energi'!$B$1:$AQ$1,0),FALSE)</f>
        <v>0</v>
      </c>
      <c r="AA212" s="121">
        <f>VLOOKUP($B212,'Tillförd energi'!$B$1:$AI$720,MATCH(AA$1,'Tillförd energi'!$B$1:$AQ$1,0),FALSE)</f>
        <v>0</v>
      </c>
      <c r="AB212" s="121">
        <f>VLOOKUP($B212,'Tillförd energi'!$B$1:$AI$720,MATCH(AB$1,'Tillförd energi'!$B$1:$AQ$1,0),FALSE)</f>
        <v>0</v>
      </c>
      <c r="AC212" s="121">
        <f>VLOOKUP($B212,'Tillförd energi'!$B$1:$AI$720,MATCH(AC$1,'Tillförd energi'!$B$1:$AQ$1,0),FALSE)</f>
        <v>0</v>
      </c>
      <c r="AD212" s="121">
        <f>VLOOKUP($B212,'Tillförd energi'!$B$1:$AI$720,MATCH(AD$1,'Tillförd energi'!$B$1:$AQ$1,0),FALSE)</f>
        <v>0</v>
      </c>
      <c r="AE212" s="121">
        <f>VLOOKUP($B212,'Tillförd energi'!$B$1:$AI$720,MATCH(AE$1,'Tillförd energi'!$B$1:$AQ$1,0),FALSE)</f>
        <v>0</v>
      </c>
      <c r="AF212" s="121">
        <f>VLOOKUP($B212,'Tillförd energi'!$B$1:$AI$720,MATCH(AF$1,'Tillförd energi'!$B$1:$AQ$1,0),FALSE)</f>
        <v>0.15</v>
      </c>
      <c r="AG212" s="121">
        <f>IFERROR(VLOOKUP(B212,Miljö!$B$1:$AC$550,MATCH("Köpt mängd produktionsspecifik fjärrvärme:",Miljö!$B$1:$AC$1,0),FALSE)/1,0)</f>
        <v>0</v>
      </c>
      <c r="AH212" s="121"/>
      <c r="AI212" s="121">
        <f t="shared" si="66"/>
        <v>10.85</v>
      </c>
      <c r="AJ212" s="121">
        <f t="shared" si="67"/>
        <v>10.85</v>
      </c>
      <c r="AK212" s="121">
        <f>IF(ISERROR(1/VLOOKUP($B212,Leveranser!$B$1:$S$499,MATCH("såld värme (gwh)",Leveranser!$B$1:$S$1,0),FALSE)),"",VLOOKUP($B212,Leveranser!$B$1:$S$499,MATCH("såld värme (gwh)",Leveranser!$B$1:$S$1,0),FALSE))</f>
        <v>7</v>
      </c>
      <c r="AL212" s="121">
        <f>VLOOKUP($B212,Leveranser!$B$1:$Y$499,MATCH("Totalt såld fjärrvärme till andra fjärrvärmeföretag",Leveranser!$B$1:$AA$1,0),FALSE)</f>
        <v>0</v>
      </c>
      <c r="AM212" s="121">
        <f>IF(ISERROR(1/VLOOKUP($B212,Miljö!$B$1:$S$500,MATCH("Såld mängd produktionsspecifik fjärrvärme (GWh)",Miljö!$B$1:$R$1,0),FALSE)),0,VLOOKUP($B212,Miljö!$B$1:$S$500,MATCH("Såld mängd produktionsspecifik fjärrvärme (GWh)",Miljö!$B$1:$R$1,0),FALSE))</f>
        <v>0</v>
      </c>
      <c r="AN212" s="172">
        <f t="shared" si="68"/>
        <v>0.64516129032258063</v>
      </c>
      <c r="AO212" s="121"/>
      <c r="AP212" s="121" t="str">
        <f>IFERROR(VLOOKUP($B212,Miljövärden!$B$2:$H$550,7,FALSE),"Nej, saknas")</f>
        <v>Ja</v>
      </c>
      <c r="AQ212" s="121" t="str">
        <f>IFERROR(VLOOKUP($B212,Miljövärden!$B$2:$H$550,6,FALSE),"Nej, saknas")</f>
        <v>Nej</v>
      </c>
      <c r="AU212">
        <f t="shared" si="69"/>
        <v>0.15</v>
      </c>
      <c r="AV212">
        <f t="shared" si="70"/>
        <v>0</v>
      </c>
      <c r="AW212">
        <f t="shared" si="71"/>
        <v>10.6</v>
      </c>
      <c r="AX212">
        <f t="shared" si="72"/>
        <v>0.1</v>
      </c>
      <c r="AZ212">
        <f t="shared" si="73"/>
        <v>10.7</v>
      </c>
      <c r="BC212">
        <f t="shared" si="74"/>
        <v>0</v>
      </c>
      <c r="BD212">
        <f t="shared" si="75"/>
        <v>0</v>
      </c>
      <c r="BE212">
        <f t="shared" si="76"/>
        <v>10.7</v>
      </c>
      <c r="BF212">
        <f t="shared" si="77"/>
        <v>0</v>
      </c>
      <c r="BG212">
        <f t="shared" si="78"/>
        <v>0.15</v>
      </c>
      <c r="BH212">
        <f>VLOOKUP(B212,Miljö!$B$1:$BX$482,MATCH("Fossilandel för ursprungspecificerad el ()",Miljö!$B$1:$I$1,0),FALSE)</f>
        <v>0</v>
      </c>
      <c r="BI212">
        <f>VLOOKUP(B212,Miljö!$B$1:$BX$482,MATCH("Kärnkraftsandel för ursprungsspecificerad el ()",Miljö!$B$1:$O$1,0),FALSE)</f>
        <v>0</v>
      </c>
      <c r="BJ212">
        <f t="shared" si="79"/>
        <v>0</v>
      </c>
      <c r="BK212" t="str">
        <f>VLOOKUP(B212,Miljö!$B$1:$O$482,MATCH("Fossil andel i procent (%)",Miljö!$B$1:$O$1,0),FALSE)</f>
        <v>ET</v>
      </c>
      <c r="BL212">
        <f t="shared" si="80"/>
        <v>10.85</v>
      </c>
      <c r="BO212" s="18">
        <f t="shared" si="81"/>
        <v>0</v>
      </c>
      <c r="BP212" s="18">
        <f t="shared" si="82"/>
        <v>0</v>
      </c>
      <c r="BQ212" s="18">
        <f t="shared" si="83"/>
        <v>1</v>
      </c>
      <c r="BR212" s="18">
        <f t="shared" si="84"/>
        <v>0</v>
      </c>
      <c r="BT212" s="27">
        <f t="shared" si="85"/>
        <v>1</v>
      </c>
      <c r="BW212" s="18">
        <f>IF(AP212="ja",VLOOKUP(B212,Miljövärden!$B$2:$H$550,MATCH("Total andel fossilt",Miljövärden!$B$2:$H$2,0),FALSE),"")</f>
        <v>0</v>
      </c>
      <c r="BZ212" s="28">
        <f t="shared" si="86"/>
        <v>0</v>
      </c>
      <c r="CA212" s="28">
        <f t="shared" si="87"/>
        <v>0</v>
      </c>
    </row>
    <row r="213" spans="1:79" x14ac:dyDescent="0.25">
      <c r="A213" s="224" t="s">
        <v>489</v>
      </c>
      <c r="B213" s="210" t="s">
        <v>490</v>
      </c>
      <c r="C213" s="121">
        <f>VLOOKUP($B213,'Tillförd energi'!$B$1:$AI$720,MATCH(C$1,'Tillförd energi'!$B$1:$AQ$1,0),FALSE)</f>
        <v>0</v>
      </c>
      <c r="D213" s="121">
        <f>VLOOKUP($B213,'Tillförd energi'!$B$1:$AI$720,MATCH(D$1,'Tillförd energi'!$B$1:$AQ$1,0),FALSE)</f>
        <v>2.3240400000000001</v>
      </c>
      <c r="E213" s="121">
        <f>VLOOKUP($B213,'Tillförd energi'!$B$1:$AI$720,MATCH(E$1,'Tillförd energi'!$B$1:$AQ$1,0),FALSE)</f>
        <v>0</v>
      </c>
      <c r="F213" s="121">
        <f>VLOOKUP($B213,'Tillförd energi'!$B$1:$AI$720,MATCH(F$1,'Tillförd energi'!$B$1:$AQ$1,0),FALSE)</f>
        <v>0</v>
      </c>
      <c r="G213" s="121">
        <f>VLOOKUP($B213,'Tillförd energi'!$B$1:$AI$720,MATCH(G$1,'Tillförd energi'!$B$1:$AQ$1,0),FALSE)</f>
        <v>0</v>
      </c>
      <c r="H213" s="121">
        <f>VLOOKUP($B213,'Tillförd energi'!$B$1:$AI$720,MATCH(H$1,'Tillförd energi'!$B$1:$AQ$1,0),FALSE)</f>
        <v>0</v>
      </c>
      <c r="I213" s="121">
        <f>VLOOKUP($B213,'Tillförd energi'!$B$1:$AI$720,MATCH(I$1,'Tillförd energi'!$B$1:$AQ$1,0),FALSE)</f>
        <v>99.592699999999994</v>
      </c>
      <c r="J213" s="121">
        <f>VLOOKUP($B213,'Tillförd energi'!$B$1:$AI$720,MATCH(J$1,'Tillförd energi'!$B$1:$AQ$1,0),FALSE)</f>
        <v>0</v>
      </c>
      <c r="K213" s="121">
        <f>VLOOKUP($B213,'Tillförd energi'!$B$1:$AI$720,MATCH(K$1,'Tillförd energi'!$B$1:$AQ$1,0),FALSE)</f>
        <v>0</v>
      </c>
      <c r="L213" s="121">
        <f>VLOOKUP($B213,'Tillförd energi'!$B$1:$AI$720,MATCH(L$1,'Tillförd energi'!$B$1:$AQ$1,0),FALSE)</f>
        <v>0</v>
      </c>
      <c r="M213" s="121">
        <f>VLOOKUP($B213,'Tillförd energi'!$B$1:$AI$720,MATCH(M$1,'Tillförd energi'!$B$1:$AQ$1,0),FALSE)</f>
        <v>0</v>
      </c>
      <c r="N213" s="121">
        <f>VLOOKUP($B213,'Tillförd energi'!$B$1:$AI$720,MATCH(N$1,'Tillförd energi'!$B$1:$AQ$1,0),FALSE)</f>
        <v>0</v>
      </c>
      <c r="O213" s="121">
        <f>VLOOKUP($B213,'Tillförd energi'!$B$1:$AI$720,MATCH(O$1,'Tillförd energi'!$B$1:$AQ$1,0),FALSE)</f>
        <v>47.295299999999997</v>
      </c>
      <c r="P213" s="121">
        <f>VLOOKUP($B213,'Tillförd energi'!$B$1:$AI$720,MATCH(P$1,'Tillförd energi'!$B$1:$AQ$1,0),FALSE)</f>
        <v>0</v>
      </c>
      <c r="Q213" s="121">
        <f>VLOOKUP($B213,'Tillförd energi'!$B$1:$AI$720,MATCH(Q$1,'Tillförd energi'!$B$1:$AQ$1,0),FALSE)</f>
        <v>0</v>
      </c>
      <c r="R213" s="121">
        <f>VLOOKUP($B213,'Tillförd energi'!$B$1:$AI$720,MATCH(R$1,'Tillförd energi'!$B$1:$AQ$1,0),FALSE)</f>
        <v>0</v>
      </c>
      <c r="S213" s="121">
        <f>VLOOKUP($B213,'Tillförd energi'!$B$1:$AI$720,MATCH(S$1,'Tillförd energi'!$B$1:$AQ$1,0),FALSE)</f>
        <v>0</v>
      </c>
      <c r="T213" s="121">
        <f>VLOOKUP($B213,'Tillförd energi'!$B$1:$AI$720,MATCH(T$1,'Tillförd energi'!$B$1:$AQ$1,0),FALSE)</f>
        <v>0</v>
      </c>
      <c r="U213" s="121">
        <f>VLOOKUP($B213,'Tillförd energi'!$B$1:$AI$720,MATCH(U$1,'Tillförd energi'!$B$1:$AQ$1,0),FALSE)</f>
        <v>0</v>
      </c>
      <c r="V213" s="121">
        <f>VLOOKUP($B213,'Tillförd energi'!$B$1:$AI$720,MATCH(V$1,'Tillförd energi'!$B$1:$AQ$1,0),FALSE)</f>
        <v>0</v>
      </c>
      <c r="W213" s="121">
        <f>VLOOKUP($B213,'Tillförd energi'!$B$1:$AI$720,MATCH(W$1,'Tillförd energi'!$B$1:$AQ$1,0),FALSE)</f>
        <v>0</v>
      </c>
      <c r="X213" s="121">
        <f>VLOOKUP($B213,'Tillförd energi'!$B$1:$AI$720,MATCH(X$1,'Tillförd energi'!$B$1:$AQ$1,0),FALSE)</f>
        <v>0</v>
      </c>
      <c r="Y213" s="121">
        <f>VLOOKUP($B213,'Tillförd energi'!$B$1:$AI$720,MATCH(Y$1,'Tillförd energi'!$B$1:$AQ$1,0),FALSE)</f>
        <v>0</v>
      </c>
      <c r="Z213" s="121">
        <f>VLOOKUP($B213,'Tillförd energi'!$B$1:$AI$720,MATCH(Z$1,'Tillförd energi'!$B$1:$AQ$1,0),FALSE)</f>
        <v>0</v>
      </c>
      <c r="AA213" s="121">
        <f>VLOOKUP($B213,'Tillförd energi'!$B$1:$AI$720,MATCH(AA$1,'Tillförd energi'!$B$1:$AQ$1,0),FALSE)</f>
        <v>0</v>
      </c>
      <c r="AB213" s="121">
        <f>VLOOKUP($B213,'Tillförd energi'!$B$1:$AI$720,MATCH(AB$1,'Tillförd energi'!$B$1:$AQ$1,0),FALSE)</f>
        <v>0</v>
      </c>
      <c r="AC213" s="121">
        <f>VLOOKUP($B213,'Tillförd energi'!$B$1:$AI$720,MATCH(AC$1,'Tillförd energi'!$B$1:$AQ$1,0),FALSE)</f>
        <v>0</v>
      </c>
      <c r="AD213" s="121">
        <f>VLOOKUP($B213,'Tillförd energi'!$B$1:$AI$720,MATCH(AD$1,'Tillförd energi'!$B$1:$AQ$1,0),FALSE)</f>
        <v>0</v>
      </c>
      <c r="AE213" s="121">
        <f>VLOOKUP($B213,'Tillförd energi'!$B$1:$AI$720,MATCH(AE$1,'Tillförd energi'!$B$1:$AQ$1,0),FALSE)</f>
        <v>0</v>
      </c>
      <c r="AF213" s="121">
        <f>VLOOKUP($B213,'Tillförd energi'!$B$1:$AI$720,MATCH(AF$1,'Tillförd energi'!$B$1:$AQ$1,0),FALSE)</f>
        <v>6.4656099999999999</v>
      </c>
      <c r="AG213" s="121">
        <f>IFERROR(VLOOKUP(B213,Miljö!$B$1:$AC$550,MATCH("Köpt mängd produktionsspecifik fjärrvärme:",Miljö!$B$1:$AC$1,0),FALSE)/1,0)</f>
        <v>0</v>
      </c>
      <c r="AH213" s="121"/>
      <c r="AI213" s="121">
        <f t="shared" si="66"/>
        <v>155.67765</v>
      </c>
      <c r="AJ213" s="121">
        <f t="shared" si="67"/>
        <v>155.67765</v>
      </c>
      <c r="AK213" s="121">
        <f>IF(ISERROR(1/VLOOKUP($B213,Leveranser!$B$1:$S$499,MATCH("såld värme (gwh)",Leveranser!$B$1:$S$1,0),FALSE)),"",VLOOKUP($B213,Leveranser!$B$1:$S$499,MATCH("såld värme (gwh)",Leveranser!$B$1:$S$1,0),FALSE))</f>
        <v>144</v>
      </c>
      <c r="AL213" s="121">
        <f>VLOOKUP($B213,Leveranser!$B$1:$Y$499,MATCH("Totalt såld fjärrvärme till andra fjärrvärmeföretag",Leveranser!$B$1:$AA$1,0),FALSE)</f>
        <v>0</v>
      </c>
      <c r="AM213" s="121">
        <f>IF(ISERROR(1/VLOOKUP($B213,Miljö!$B$1:$S$500,MATCH("Såld mängd produktionsspecifik fjärrvärme (GWh)",Miljö!$B$1:$R$1,0),FALSE)),0,VLOOKUP($B213,Miljö!$B$1:$S$500,MATCH("Såld mängd produktionsspecifik fjärrvärme (GWh)",Miljö!$B$1:$R$1,0),FALSE))</f>
        <v>0</v>
      </c>
      <c r="AN213" s="172">
        <f t="shared" si="68"/>
        <v>0.9249882690289839</v>
      </c>
      <c r="AO213" s="121"/>
      <c r="AP213" s="121" t="str">
        <f>IFERROR(VLOOKUP($B213,Miljövärden!$B$2:$H$550,7,FALSE),"Nej, saknas")</f>
        <v>Ja</v>
      </c>
      <c r="AQ213" s="121" t="str">
        <f>IFERROR(VLOOKUP($B213,Miljövärden!$B$2:$H$550,6,FALSE),"Nej, saknas")</f>
        <v>Ja</v>
      </c>
      <c r="AU213">
        <f t="shared" si="69"/>
        <v>6.4656099999999999</v>
      </c>
      <c r="AV213">
        <f t="shared" si="70"/>
        <v>0</v>
      </c>
      <c r="AW213">
        <f t="shared" si="71"/>
        <v>47.295299999999997</v>
      </c>
      <c r="AX213">
        <f t="shared" si="72"/>
        <v>0</v>
      </c>
      <c r="AZ213">
        <f t="shared" si="73"/>
        <v>47.295299999999997</v>
      </c>
      <c r="BC213">
        <f t="shared" si="74"/>
        <v>2.3240400000000001</v>
      </c>
      <c r="BD213">
        <f t="shared" si="75"/>
        <v>0</v>
      </c>
      <c r="BE213">
        <f t="shared" si="76"/>
        <v>47.295299999999997</v>
      </c>
      <c r="BF213">
        <f t="shared" si="77"/>
        <v>99.592699999999994</v>
      </c>
      <c r="BG213">
        <f t="shared" si="78"/>
        <v>6.4656099999999999</v>
      </c>
      <c r="BH213">
        <f>VLOOKUP(B213,Miljö!$B$1:$BX$482,MATCH("Fossilandel för ursprungspecificerad el ()",Miljö!$B$1:$I$1,0),FALSE)</f>
        <v>0</v>
      </c>
      <c r="BI213">
        <f>VLOOKUP(B213,Miljö!$B$1:$BX$482,MATCH("Kärnkraftsandel för ursprungsspecificerad el ()",Miljö!$B$1:$O$1,0),FALSE)</f>
        <v>0</v>
      </c>
      <c r="BJ213">
        <f t="shared" si="79"/>
        <v>0</v>
      </c>
      <c r="BK213" t="str">
        <f>VLOOKUP(B213,Miljö!$B$1:$O$482,MATCH("Fossil andel i procent (%)",Miljö!$B$1:$O$1,0),FALSE)</f>
        <v>ET</v>
      </c>
      <c r="BL213">
        <f t="shared" si="80"/>
        <v>155.67765</v>
      </c>
      <c r="BO213" s="18">
        <f t="shared" si="81"/>
        <v>1.4928539838570277E-2</v>
      </c>
      <c r="BP213" s="18">
        <f t="shared" si="82"/>
        <v>0</v>
      </c>
      <c r="BQ213" s="18">
        <f t="shared" si="83"/>
        <v>0.34533479918279852</v>
      </c>
      <c r="BR213" s="18">
        <f t="shared" si="84"/>
        <v>0.63973666097863113</v>
      </c>
      <c r="BT213" s="27">
        <f t="shared" si="85"/>
        <v>1</v>
      </c>
      <c r="BW213" s="18">
        <f>IF(AP213="ja",VLOOKUP(B213,Miljövärden!$B$2:$H$550,MATCH("Total andel fossilt",Miljövärden!$B$2:$H$2,0),FALSE),"")</f>
        <v>1.4928500000000001E-2</v>
      </c>
      <c r="BZ213" s="28">
        <f t="shared" si="86"/>
        <v>-3.9838570276007346E-8</v>
      </c>
      <c r="CA213" s="28">
        <f t="shared" si="87"/>
        <v>0</v>
      </c>
    </row>
    <row r="214" spans="1:79" x14ac:dyDescent="0.25">
      <c r="A214" s="224" t="s">
        <v>491</v>
      </c>
      <c r="B214" s="210" t="s">
        <v>492</v>
      </c>
      <c r="C214" s="121">
        <f>VLOOKUP($B214,'Tillförd energi'!$B$1:$AI$720,MATCH(C$1,'Tillförd energi'!$B$1:$AQ$1,0),FALSE)</f>
        <v>0</v>
      </c>
      <c r="D214" s="121">
        <f>VLOOKUP($B214,'Tillförd energi'!$B$1:$AI$720,MATCH(D$1,'Tillförd energi'!$B$1:$AQ$1,0),FALSE)</f>
        <v>6.8000000000000005E-2</v>
      </c>
      <c r="E214" s="121">
        <f>VLOOKUP($B214,'Tillförd energi'!$B$1:$AI$720,MATCH(E$1,'Tillförd energi'!$B$1:$AQ$1,0),FALSE)</f>
        <v>0</v>
      </c>
      <c r="F214" s="121">
        <f>VLOOKUP($B214,'Tillförd energi'!$B$1:$AI$720,MATCH(F$1,'Tillförd energi'!$B$1:$AQ$1,0),FALSE)</f>
        <v>0</v>
      </c>
      <c r="G214" s="121">
        <f>VLOOKUP($B214,'Tillförd energi'!$B$1:$AI$720,MATCH(G$1,'Tillförd energi'!$B$1:$AQ$1,0),FALSE)</f>
        <v>0</v>
      </c>
      <c r="H214" s="121">
        <f>VLOOKUP($B214,'Tillförd energi'!$B$1:$AI$720,MATCH(H$1,'Tillförd energi'!$B$1:$AQ$1,0),FALSE)</f>
        <v>0</v>
      </c>
      <c r="I214" s="121">
        <f>VLOOKUP($B214,'Tillförd energi'!$B$1:$AI$720,MATCH(I$1,'Tillförd energi'!$B$1:$AQ$1,0),FALSE)</f>
        <v>0</v>
      </c>
      <c r="J214" s="121">
        <f>VLOOKUP($B214,'Tillförd energi'!$B$1:$AI$720,MATCH(J$1,'Tillförd energi'!$B$1:$AQ$1,0),FALSE)</f>
        <v>0</v>
      </c>
      <c r="K214" s="121">
        <f>VLOOKUP($B214,'Tillförd energi'!$B$1:$AI$720,MATCH(K$1,'Tillförd energi'!$B$1:$AQ$1,0),FALSE)</f>
        <v>0</v>
      </c>
      <c r="L214" s="121">
        <f>VLOOKUP($B214,'Tillförd energi'!$B$1:$AI$720,MATCH(L$1,'Tillförd energi'!$B$1:$AQ$1,0),FALSE)</f>
        <v>0</v>
      </c>
      <c r="M214" s="121">
        <f>VLOOKUP($B214,'Tillförd energi'!$B$1:$AI$720,MATCH(M$1,'Tillförd energi'!$B$1:$AQ$1,0),FALSE)</f>
        <v>0</v>
      </c>
      <c r="N214" s="121">
        <f>VLOOKUP($B214,'Tillförd energi'!$B$1:$AI$720,MATCH(N$1,'Tillförd energi'!$B$1:$AQ$1,0),FALSE)</f>
        <v>0</v>
      </c>
      <c r="O214" s="121">
        <f>VLOOKUP($B214,'Tillförd energi'!$B$1:$AI$720,MATCH(O$1,'Tillförd energi'!$B$1:$AQ$1,0),FALSE)</f>
        <v>0</v>
      </c>
      <c r="P214" s="121">
        <f>VLOOKUP($B214,'Tillförd energi'!$B$1:$AI$720,MATCH(P$1,'Tillförd energi'!$B$1:$AQ$1,0),FALSE)</f>
        <v>0</v>
      </c>
      <c r="Q214" s="121">
        <f>VLOOKUP($B214,'Tillförd energi'!$B$1:$AI$720,MATCH(Q$1,'Tillförd energi'!$B$1:$AQ$1,0),FALSE)</f>
        <v>0</v>
      </c>
      <c r="R214" s="121">
        <f>VLOOKUP($B214,'Tillförd energi'!$B$1:$AI$720,MATCH(R$1,'Tillförd energi'!$B$1:$AQ$1,0),FALSE)</f>
        <v>2.0419999999999998</v>
      </c>
      <c r="S214" s="121">
        <f>VLOOKUP($B214,'Tillförd energi'!$B$1:$AI$720,MATCH(S$1,'Tillförd energi'!$B$1:$AQ$1,0),FALSE)</f>
        <v>0</v>
      </c>
      <c r="T214" s="121">
        <f>VLOOKUP($B214,'Tillförd energi'!$B$1:$AI$720,MATCH(T$1,'Tillförd energi'!$B$1:$AQ$1,0),FALSE)</f>
        <v>0</v>
      </c>
      <c r="U214" s="121">
        <f>VLOOKUP($B214,'Tillförd energi'!$B$1:$AI$720,MATCH(U$1,'Tillförd energi'!$B$1:$AQ$1,0),FALSE)</f>
        <v>0</v>
      </c>
      <c r="V214" s="121">
        <f>VLOOKUP($B214,'Tillförd energi'!$B$1:$AI$720,MATCH(V$1,'Tillförd energi'!$B$1:$AQ$1,0),FALSE)</f>
        <v>0</v>
      </c>
      <c r="W214" s="121">
        <f>VLOOKUP($B214,'Tillförd energi'!$B$1:$AI$720,MATCH(W$1,'Tillförd energi'!$B$1:$AQ$1,0),FALSE)</f>
        <v>0</v>
      </c>
      <c r="X214" s="121">
        <f>VLOOKUP($B214,'Tillförd energi'!$B$1:$AI$720,MATCH(X$1,'Tillförd energi'!$B$1:$AQ$1,0),FALSE)</f>
        <v>0</v>
      </c>
      <c r="Y214" s="121">
        <f>VLOOKUP($B214,'Tillförd energi'!$B$1:$AI$720,MATCH(Y$1,'Tillförd energi'!$B$1:$AQ$1,0),FALSE)</f>
        <v>0</v>
      </c>
      <c r="Z214" s="121">
        <f>VLOOKUP($B214,'Tillförd energi'!$B$1:$AI$720,MATCH(Z$1,'Tillförd energi'!$B$1:$AQ$1,0),FALSE)</f>
        <v>0</v>
      </c>
      <c r="AA214" s="121">
        <f>VLOOKUP($B214,'Tillförd energi'!$B$1:$AI$720,MATCH(AA$1,'Tillförd energi'!$B$1:$AQ$1,0),FALSE)</f>
        <v>0</v>
      </c>
      <c r="AB214" s="121">
        <f>VLOOKUP($B214,'Tillförd energi'!$B$1:$AI$720,MATCH(AB$1,'Tillförd energi'!$B$1:$AQ$1,0),FALSE)</f>
        <v>0</v>
      </c>
      <c r="AC214" s="121">
        <f>VLOOKUP($B214,'Tillförd energi'!$B$1:$AI$720,MATCH(AC$1,'Tillförd energi'!$B$1:$AQ$1,0),FALSE)</f>
        <v>0</v>
      </c>
      <c r="AD214" s="121">
        <f>VLOOKUP($B214,'Tillförd energi'!$B$1:$AI$720,MATCH(AD$1,'Tillförd energi'!$B$1:$AQ$1,0),FALSE)</f>
        <v>0</v>
      </c>
      <c r="AE214" s="121">
        <f>VLOOKUP($B214,'Tillförd energi'!$B$1:$AI$720,MATCH(AE$1,'Tillförd energi'!$B$1:$AQ$1,0),FALSE)</f>
        <v>0</v>
      </c>
      <c r="AF214" s="121">
        <f>VLOOKUP($B214,'Tillförd energi'!$B$1:$AI$720,MATCH(AF$1,'Tillförd energi'!$B$1:$AQ$1,0),FALSE)</f>
        <v>3.5000000000000003E-2</v>
      </c>
      <c r="AG214" s="121">
        <f>IFERROR(VLOOKUP(B214,Miljö!$B$1:$AC$550,MATCH("Köpt mängd produktionsspecifik fjärrvärme:",Miljö!$B$1:$AC$1,0),FALSE)/1,0)</f>
        <v>0</v>
      </c>
      <c r="AH214" s="121"/>
      <c r="AI214" s="121">
        <f t="shared" si="66"/>
        <v>2.145</v>
      </c>
      <c r="AJ214" s="121">
        <f t="shared" si="67"/>
        <v>2.145</v>
      </c>
      <c r="AK214" s="121">
        <f>IF(ISERROR(1/VLOOKUP($B214,Leveranser!$B$1:$S$499,MATCH("såld värme (gwh)",Leveranser!$B$1:$S$1,0),FALSE)),"",VLOOKUP($B214,Leveranser!$B$1:$S$499,MATCH("såld värme (gwh)",Leveranser!$B$1:$S$1,0),FALSE))</f>
        <v>1.72</v>
      </c>
      <c r="AL214" s="121">
        <f>VLOOKUP($B214,Leveranser!$B$1:$Y$499,MATCH("Totalt såld fjärrvärme till andra fjärrvärmeföretag",Leveranser!$B$1:$AA$1,0),FALSE)</f>
        <v>0</v>
      </c>
      <c r="AM214" s="121">
        <f>IF(ISERROR(1/VLOOKUP($B214,Miljö!$B$1:$S$500,MATCH("Såld mängd produktionsspecifik fjärrvärme (GWh)",Miljö!$B$1:$R$1,0),FALSE)),0,VLOOKUP($B214,Miljö!$B$1:$S$500,MATCH("Såld mängd produktionsspecifik fjärrvärme (GWh)",Miljö!$B$1:$R$1,0),FALSE))</f>
        <v>0</v>
      </c>
      <c r="AN214" s="172">
        <f t="shared" si="68"/>
        <v>0.8018648018648018</v>
      </c>
      <c r="AO214" s="121"/>
      <c r="AP214" s="121" t="str">
        <f>IFERROR(VLOOKUP($B214,Miljövärden!$B$2:$H$550,7,FALSE),"Nej, saknas")</f>
        <v>Ja</v>
      </c>
      <c r="AQ214" s="121" t="str">
        <f>IFERROR(VLOOKUP($B214,Miljövärden!$B$2:$H$550,6,FALSE),"Nej, saknas")</f>
        <v>Ja</v>
      </c>
      <c r="AU214">
        <f t="shared" si="69"/>
        <v>3.5000000000000003E-2</v>
      </c>
      <c r="AV214">
        <f t="shared" si="70"/>
        <v>0</v>
      </c>
      <c r="AW214">
        <f t="shared" si="71"/>
        <v>0</v>
      </c>
      <c r="AX214">
        <f t="shared" si="72"/>
        <v>2.0419999999999998</v>
      </c>
      <c r="AZ214">
        <f t="shared" si="73"/>
        <v>2.0419999999999998</v>
      </c>
      <c r="BC214">
        <f t="shared" si="74"/>
        <v>6.8000000000000005E-2</v>
      </c>
      <c r="BD214">
        <f t="shared" si="75"/>
        <v>0</v>
      </c>
      <c r="BE214">
        <f t="shared" si="76"/>
        <v>2.0419999999999998</v>
      </c>
      <c r="BF214">
        <f t="shared" si="77"/>
        <v>0</v>
      </c>
      <c r="BG214">
        <f t="shared" si="78"/>
        <v>3.5000000000000003E-2</v>
      </c>
      <c r="BH214">
        <f>VLOOKUP(B214,Miljö!$B$1:$BX$482,MATCH("Fossilandel för ursprungspecificerad el ()",Miljö!$B$1:$I$1,0),FALSE)</f>
        <v>0</v>
      </c>
      <c r="BI214">
        <f>VLOOKUP(B214,Miljö!$B$1:$BX$482,MATCH("Kärnkraftsandel för ursprungsspecificerad el ()",Miljö!$B$1:$O$1,0),FALSE)</f>
        <v>0</v>
      </c>
      <c r="BJ214">
        <f t="shared" si="79"/>
        <v>0</v>
      </c>
      <c r="BK214" t="str">
        <f>VLOOKUP(B214,Miljö!$B$1:$O$482,MATCH("Fossil andel i procent (%)",Miljö!$B$1:$O$1,0),FALSE)</f>
        <v>ET</v>
      </c>
      <c r="BL214">
        <f t="shared" si="80"/>
        <v>2.145</v>
      </c>
      <c r="BO214" s="18">
        <f t="shared" si="81"/>
        <v>3.1701631701631705E-2</v>
      </c>
      <c r="BP214" s="18">
        <f t="shared" si="82"/>
        <v>0</v>
      </c>
      <c r="BQ214" s="18">
        <f t="shared" si="83"/>
        <v>0.96829836829836824</v>
      </c>
      <c r="BR214" s="18">
        <f t="shared" si="84"/>
        <v>0</v>
      </c>
      <c r="BT214" s="27">
        <f t="shared" si="85"/>
        <v>1</v>
      </c>
      <c r="BW214" s="18">
        <f>IF(AP214="ja",VLOOKUP(B214,Miljövärden!$B$2:$H$550,MATCH("Total andel fossilt",Miljövärden!$B$2:$H$2,0),FALSE),"")</f>
        <v>3.1701600000000003E-2</v>
      </c>
      <c r="BZ214" s="28">
        <f t="shared" si="86"/>
        <v>-3.170163170168605E-8</v>
      </c>
      <c r="CA214" s="28">
        <f t="shared" si="87"/>
        <v>0</v>
      </c>
    </row>
    <row r="215" spans="1:79" x14ac:dyDescent="0.25">
      <c r="A215" s="224" t="s">
        <v>491</v>
      </c>
      <c r="B215" s="210" t="s">
        <v>493</v>
      </c>
      <c r="C215" s="121">
        <f>VLOOKUP($B215,'Tillförd energi'!$B$1:$AI$720,MATCH(C$1,'Tillförd energi'!$B$1:$AQ$1,0),FALSE)</f>
        <v>0</v>
      </c>
      <c r="D215" s="121">
        <f>VLOOKUP($B215,'Tillförd energi'!$B$1:$AI$720,MATCH(D$1,'Tillförd energi'!$B$1:$AQ$1,0),FALSE)</f>
        <v>0.42799999999999999</v>
      </c>
      <c r="E215" s="121">
        <f>VLOOKUP($B215,'Tillförd energi'!$B$1:$AI$720,MATCH(E$1,'Tillförd energi'!$B$1:$AQ$1,0),FALSE)</f>
        <v>0</v>
      </c>
      <c r="F215" s="121">
        <f>VLOOKUP($B215,'Tillförd energi'!$B$1:$AI$720,MATCH(F$1,'Tillförd energi'!$B$1:$AQ$1,0),FALSE)</f>
        <v>0</v>
      </c>
      <c r="G215" s="121">
        <f>VLOOKUP($B215,'Tillförd energi'!$B$1:$AI$720,MATCH(G$1,'Tillförd energi'!$B$1:$AQ$1,0),FALSE)</f>
        <v>0</v>
      </c>
      <c r="H215" s="121">
        <f>VLOOKUP($B215,'Tillförd energi'!$B$1:$AI$720,MATCH(H$1,'Tillförd energi'!$B$1:$AQ$1,0),FALSE)</f>
        <v>0</v>
      </c>
      <c r="I215" s="121">
        <f>VLOOKUP($B215,'Tillförd energi'!$B$1:$AI$720,MATCH(I$1,'Tillförd energi'!$B$1:$AQ$1,0),FALSE)</f>
        <v>0</v>
      </c>
      <c r="J215" s="121">
        <f>VLOOKUP($B215,'Tillförd energi'!$B$1:$AI$720,MATCH(J$1,'Tillförd energi'!$B$1:$AQ$1,0),FALSE)</f>
        <v>0</v>
      </c>
      <c r="K215" s="121">
        <f>VLOOKUP($B215,'Tillförd energi'!$B$1:$AI$720,MATCH(K$1,'Tillförd energi'!$B$1:$AQ$1,0),FALSE)</f>
        <v>0</v>
      </c>
      <c r="L215" s="121">
        <f>VLOOKUP($B215,'Tillförd energi'!$B$1:$AI$720,MATCH(L$1,'Tillförd energi'!$B$1:$AQ$1,0),FALSE)</f>
        <v>0</v>
      </c>
      <c r="M215" s="121">
        <f>VLOOKUP($B215,'Tillförd energi'!$B$1:$AI$720,MATCH(M$1,'Tillförd energi'!$B$1:$AQ$1,0),FALSE)</f>
        <v>0</v>
      </c>
      <c r="N215" s="121">
        <f>VLOOKUP($B215,'Tillförd energi'!$B$1:$AI$720,MATCH(N$1,'Tillförd energi'!$B$1:$AQ$1,0),FALSE)</f>
        <v>0</v>
      </c>
      <c r="O215" s="121">
        <f>VLOOKUP($B215,'Tillförd energi'!$B$1:$AI$720,MATCH(O$1,'Tillförd energi'!$B$1:$AQ$1,0),FALSE)</f>
        <v>0</v>
      </c>
      <c r="P215" s="121">
        <f>VLOOKUP($B215,'Tillförd energi'!$B$1:$AI$720,MATCH(P$1,'Tillförd energi'!$B$1:$AQ$1,0),FALSE)</f>
        <v>10.91</v>
      </c>
      <c r="Q215" s="121">
        <f>VLOOKUP($B215,'Tillförd energi'!$B$1:$AI$720,MATCH(Q$1,'Tillförd energi'!$B$1:$AQ$1,0),FALSE)</f>
        <v>0</v>
      </c>
      <c r="R215" s="121">
        <f>VLOOKUP($B215,'Tillförd energi'!$B$1:$AI$720,MATCH(R$1,'Tillförd energi'!$B$1:$AQ$1,0),FALSE)</f>
        <v>0</v>
      </c>
      <c r="S215" s="121">
        <f>VLOOKUP($B215,'Tillförd energi'!$B$1:$AI$720,MATCH(S$1,'Tillförd energi'!$B$1:$AQ$1,0),FALSE)</f>
        <v>0</v>
      </c>
      <c r="T215" s="121">
        <f>VLOOKUP($B215,'Tillförd energi'!$B$1:$AI$720,MATCH(T$1,'Tillförd energi'!$B$1:$AQ$1,0),FALSE)</f>
        <v>0</v>
      </c>
      <c r="U215" s="121">
        <f>VLOOKUP($B215,'Tillförd energi'!$B$1:$AI$720,MATCH(U$1,'Tillförd energi'!$B$1:$AQ$1,0),FALSE)</f>
        <v>0</v>
      </c>
      <c r="V215" s="121">
        <f>VLOOKUP($B215,'Tillförd energi'!$B$1:$AI$720,MATCH(V$1,'Tillförd energi'!$B$1:$AQ$1,0),FALSE)</f>
        <v>0</v>
      </c>
      <c r="W215" s="121">
        <f>VLOOKUP($B215,'Tillförd energi'!$B$1:$AI$720,MATCH(W$1,'Tillförd energi'!$B$1:$AQ$1,0),FALSE)</f>
        <v>0.75</v>
      </c>
      <c r="X215" s="121">
        <f>VLOOKUP($B215,'Tillförd energi'!$B$1:$AI$720,MATCH(X$1,'Tillförd energi'!$B$1:$AQ$1,0),FALSE)</f>
        <v>0</v>
      </c>
      <c r="Y215" s="121">
        <f>VLOOKUP($B215,'Tillförd energi'!$B$1:$AI$720,MATCH(Y$1,'Tillförd energi'!$B$1:$AQ$1,0),FALSE)</f>
        <v>0</v>
      </c>
      <c r="Z215" s="121">
        <f>VLOOKUP($B215,'Tillförd energi'!$B$1:$AI$720,MATCH(Z$1,'Tillförd energi'!$B$1:$AQ$1,0),FALSE)</f>
        <v>0</v>
      </c>
      <c r="AA215" s="121">
        <f>VLOOKUP($B215,'Tillförd energi'!$B$1:$AI$720,MATCH(AA$1,'Tillförd energi'!$B$1:$AQ$1,0),FALSE)</f>
        <v>0</v>
      </c>
      <c r="AB215" s="121">
        <f>VLOOKUP($B215,'Tillförd energi'!$B$1:$AI$720,MATCH(AB$1,'Tillförd energi'!$B$1:$AQ$1,0),FALSE)</f>
        <v>0</v>
      </c>
      <c r="AC215" s="121">
        <f>VLOOKUP($B215,'Tillförd energi'!$B$1:$AI$720,MATCH(AC$1,'Tillförd energi'!$B$1:$AQ$1,0),FALSE)</f>
        <v>1.22</v>
      </c>
      <c r="AD215" s="121">
        <f>VLOOKUP($B215,'Tillförd energi'!$B$1:$AI$720,MATCH(AD$1,'Tillförd energi'!$B$1:$AQ$1,0),FALSE)</f>
        <v>0</v>
      </c>
      <c r="AE215" s="121">
        <f>VLOOKUP($B215,'Tillförd energi'!$B$1:$AI$720,MATCH(AE$1,'Tillförd energi'!$B$1:$AQ$1,0),FALSE)</f>
        <v>0</v>
      </c>
      <c r="AF215" s="121">
        <f>VLOOKUP($B215,'Tillförd energi'!$B$1:$AI$720,MATCH(AF$1,'Tillförd energi'!$B$1:$AQ$1,0),FALSE)</f>
        <v>0.29499999999999998</v>
      </c>
      <c r="AG215" s="121">
        <f>IFERROR(VLOOKUP(B215,Miljö!$B$1:$AC$550,MATCH("Köpt mängd produktionsspecifik fjärrvärme:",Miljö!$B$1:$AC$1,0),FALSE)/1,0)</f>
        <v>0</v>
      </c>
      <c r="AH215" s="121"/>
      <c r="AI215" s="121">
        <f t="shared" si="66"/>
        <v>13.603000000000002</v>
      </c>
      <c r="AJ215" s="121">
        <f t="shared" si="67"/>
        <v>13.603000000000002</v>
      </c>
      <c r="AK215" s="121">
        <f>IF(ISERROR(1/VLOOKUP($B215,Leveranser!$B$1:$S$499,MATCH("såld värme (gwh)",Leveranser!$B$1:$S$1,0),FALSE)),"",VLOOKUP($B215,Leveranser!$B$1:$S$499,MATCH("såld värme (gwh)",Leveranser!$B$1:$S$1,0),FALSE))</f>
        <v>10.56</v>
      </c>
      <c r="AL215" s="121">
        <f>VLOOKUP($B215,Leveranser!$B$1:$Y$499,MATCH("Totalt såld fjärrvärme till andra fjärrvärmeföretag",Leveranser!$B$1:$AA$1,0),FALSE)</f>
        <v>0</v>
      </c>
      <c r="AM215" s="121">
        <f>IF(ISERROR(1/VLOOKUP($B215,Miljö!$B$1:$S$500,MATCH("Såld mängd produktionsspecifik fjärrvärme (GWh)",Miljö!$B$1:$R$1,0),FALSE)),0,VLOOKUP($B215,Miljö!$B$1:$S$500,MATCH("Såld mängd produktionsspecifik fjärrvärme (GWh)",Miljö!$B$1:$R$1,0),FALSE))</f>
        <v>0</v>
      </c>
      <c r="AN215" s="172">
        <f t="shared" si="68"/>
        <v>0.77629934573255899</v>
      </c>
      <c r="AO215" s="121"/>
      <c r="AP215" s="121" t="str">
        <f>IFERROR(VLOOKUP($B215,Miljövärden!$B$2:$H$550,7,FALSE),"Nej, saknas")</f>
        <v>Ja</v>
      </c>
      <c r="AQ215" s="121" t="str">
        <f>IFERROR(VLOOKUP($B215,Miljövärden!$B$2:$H$550,6,FALSE),"Nej, saknas")</f>
        <v>Ja</v>
      </c>
      <c r="AU215">
        <f t="shared" si="69"/>
        <v>0.29499999999999998</v>
      </c>
      <c r="AV215">
        <f t="shared" si="70"/>
        <v>0</v>
      </c>
      <c r="AW215">
        <f t="shared" si="71"/>
        <v>10.91</v>
      </c>
      <c r="AX215">
        <f t="shared" si="72"/>
        <v>0</v>
      </c>
      <c r="AZ215">
        <f t="shared" si="73"/>
        <v>11.66</v>
      </c>
      <c r="BC215">
        <f t="shared" si="74"/>
        <v>0.42799999999999999</v>
      </c>
      <c r="BD215">
        <f t="shared" si="75"/>
        <v>0</v>
      </c>
      <c r="BE215">
        <f t="shared" si="76"/>
        <v>11.66</v>
      </c>
      <c r="BF215">
        <f t="shared" si="77"/>
        <v>1.22</v>
      </c>
      <c r="BG215">
        <f t="shared" si="78"/>
        <v>0.29499999999999998</v>
      </c>
      <c r="BH215">
        <f>VLOOKUP(B215,Miljö!$B$1:$BX$482,MATCH("Fossilandel för ursprungspecificerad el ()",Miljö!$B$1:$I$1,0),FALSE)</f>
        <v>0</v>
      </c>
      <c r="BI215">
        <f>VLOOKUP(B215,Miljö!$B$1:$BX$482,MATCH("Kärnkraftsandel för ursprungsspecificerad el ()",Miljö!$B$1:$O$1,0),FALSE)</f>
        <v>0</v>
      </c>
      <c r="BJ215">
        <f t="shared" si="79"/>
        <v>0</v>
      </c>
      <c r="BK215" t="str">
        <f>VLOOKUP(B215,Miljö!$B$1:$O$482,MATCH("Fossil andel i procent (%)",Miljö!$B$1:$O$1,0),FALSE)</f>
        <v>ET</v>
      </c>
      <c r="BL215">
        <f t="shared" si="80"/>
        <v>13.603000000000002</v>
      </c>
      <c r="BO215" s="18">
        <f t="shared" si="81"/>
        <v>3.1463647724766591E-2</v>
      </c>
      <c r="BP215" s="18">
        <f t="shared" si="82"/>
        <v>0</v>
      </c>
      <c r="BQ215" s="18">
        <f t="shared" si="83"/>
        <v>0.87885025362052482</v>
      </c>
      <c r="BR215" s="18">
        <f t="shared" si="84"/>
        <v>8.9686098654708502E-2</v>
      </c>
      <c r="BT215" s="27">
        <f t="shared" si="85"/>
        <v>1</v>
      </c>
      <c r="BW215" s="18">
        <f>IF(AP215="ja",VLOOKUP(B215,Miljövärden!$B$2:$H$550,MATCH("Total andel fossilt",Miljövärden!$B$2:$H$2,0),FALSE),"")</f>
        <v>3.1463600000000001E-2</v>
      </c>
      <c r="BZ215" s="28">
        <f t="shared" si="86"/>
        <v>-4.7724766590040435E-8</v>
      </c>
      <c r="CA215" s="28">
        <f t="shared" si="87"/>
        <v>0</v>
      </c>
    </row>
    <row r="216" spans="1:79" x14ac:dyDescent="0.25">
      <c r="A216" s="224" t="s">
        <v>491</v>
      </c>
      <c r="B216" s="210" t="s">
        <v>494</v>
      </c>
      <c r="C216" s="121">
        <f>VLOOKUP($B216,'Tillförd energi'!$B$1:$AI$720,MATCH(C$1,'Tillförd energi'!$B$1:$AQ$1,0),FALSE)</f>
        <v>0</v>
      </c>
      <c r="D216" s="121">
        <f>VLOOKUP($B216,'Tillförd energi'!$B$1:$AI$720,MATCH(D$1,'Tillförd energi'!$B$1:$AQ$1,0),FALSE)</f>
        <v>3.2450000000000001</v>
      </c>
      <c r="E216" s="121">
        <f>VLOOKUP($B216,'Tillförd energi'!$B$1:$AI$720,MATCH(E$1,'Tillförd energi'!$B$1:$AQ$1,0),FALSE)</f>
        <v>3.5649999999999999</v>
      </c>
      <c r="F216" s="121">
        <f>VLOOKUP($B216,'Tillförd energi'!$B$1:$AI$720,MATCH(F$1,'Tillförd energi'!$B$1:$AQ$1,0),FALSE)</f>
        <v>0</v>
      </c>
      <c r="G216" s="121">
        <f>VLOOKUP($B216,'Tillförd energi'!$B$1:$AI$720,MATCH(G$1,'Tillförd energi'!$B$1:$AQ$1,0),FALSE)</f>
        <v>0</v>
      </c>
      <c r="H216" s="121">
        <f>VLOOKUP($B216,'Tillförd energi'!$B$1:$AI$720,MATCH(H$1,'Tillförd energi'!$B$1:$AQ$1,0),FALSE)</f>
        <v>0</v>
      </c>
      <c r="I216" s="121">
        <f>VLOOKUP($B216,'Tillförd energi'!$B$1:$AI$720,MATCH(I$1,'Tillförd energi'!$B$1:$AQ$1,0),FALSE)</f>
        <v>0</v>
      </c>
      <c r="J216" s="121">
        <f>VLOOKUP($B216,'Tillförd energi'!$B$1:$AI$720,MATCH(J$1,'Tillförd energi'!$B$1:$AQ$1,0),FALSE)</f>
        <v>0</v>
      </c>
      <c r="K216" s="121">
        <f>VLOOKUP($B216,'Tillförd energi'!$B$1:$AI$720,MATCH(K$1,'Tillförd energi'!$B$1:$AQ$1,0),FALSE)</f>
        <v>0</v>
      </c>
      <c r="L216" s="121">
        <f>VLOOKUP($B216,'Tillförd energi'!$B$1:$AI$720,MATCH(L$1,'Tillförd energi'!$B$1:$AQ$1,0),FALSE)</f>
        <v>0</v>
      </c>
      <c r="M216" s="121">
        <f>VLOOKUP($B216,'Tillförd energi'!$B$1:$AI$720,MATCH(M$1,'Tillförd energi'!$B$1:$AQ$1,0),FALSE)</f>
        <v>0</v>
      </c>
      <c r="N216" s="121">
        <f>VLOOKUP($B216,'Tillförd energi'!$B$1:$AI$720,MATCH(N$1,'Tillförd energi'!$B$1:$AQ$1,0),FALSE)</f>
        <v>129.58099999999999</v>
      </c>
      <c r="O216" s="121">
        <f>VLOOKUP($B216,'Tillförd energi'!$B$1:$AI$720,MATCH(O$1,'Tillförd energi'!$B$1:$AQ$1,0),FALSE)</f>
        <v>0</v>
      </c>
      <c r="P216" s="121">
        <f>VLOOKUP($B216,'Tillförd energi'!$B$1:$AI$720,MATCH(P$1,'Tillförd energi'!$B$1:$AQ$1,0),FALSE)</f>
        <v>0</v>
      </c>
      <c r="Q216" s="121">
        <f>VLOOKUP($B216,'Tillförd energi'!$B$1:$AI$720,MATCH(Q$1,'Tillförd energi'!$B$1:$AQ$1,0),FALSE)</f>
        <v>0</v>
      </c>
      <c r="R216" s="121">
        <f>VLOOKUP($B216,'Tillförd energi'!$B$1:$AI$720,MATCH(R$1,'Tillförd energi'!$B$1:$AQ$1,0),FALSE)</f>
        <v>0</v>
      </c>
      <c r="S216" s="121">
        <f>VLOOKUP($B216,'Tillförd energi'!$B$1:$AI$720,MATCH(S$1,'Tillförd energi'!$B$1:$AQ$1,0),FALSE)</f>
        <v>0</v>
      </c>
      <c r="T216" s="121">
        <f>VLOOKUP($B216,'Tillförd energi'!$B$1:$AI$720,MATCH(T$1,'Tillförd energi'!$B$1:$AQ$1,0),FALSE)</f>
        <v>0</v>
      </c>
      <c r="U216" s="121">
        <f>VLOOKUP($B216,'Tillförd energi'!$B$1:$AI$720,MATCH(U$1,'Tillförd energi'!$B$1:$AQ$1,0),FALSE)</f>
        <v>0</v>
      </c>
      <c r="V216" s="121">
        <f>VLOOKUP($B216,'Tillförd energi'!$B$1:$AI$720,MATCH(V$1,'Tillförd energi'!$B$1:$AQ$1,0),FALSE)</f>
        <v>0</v>
      </c>
      <c r="W216" s="121">
        <f>VLOOKUP($B216,'Tillförd energi'!$B$1:$AI$720,MATCH(W$1,'Tillförd energi'!$B$1:$AQ$1,0),FALSE)</f>
        <v>0</v>
      </c>
      <c r="X216" s="121">
        <f>VLOOKUP($B216,'Tillförd energi'!$B$1:$AI$720,MATCH(X$1,'Tillförd energi'!$B$1:$AQ$1,0),FALSE)</f>
        <v>0</v>
      </c>
      <c r="Y216" s="121">
        <f>VLOOKUP($B216,'Tillförd energi'!$B$1:$AI$720,MATCH(Y$1,'Tillförd energi'!$B$1:$AQ$1,0),FALSE)</f>
        <v>0</v>
      </c>
      <c r="Z216" s="121">
        <f>VLOOKUP($B216,'Tillförd energi'!$B$1:$AI$720,MATCH(Z$1,'Tillförd energi'!$B$1:$AQ$1,0),FALSE)</f>
        <v>0</v>
      </c>
      <c r="AA216" s="121">
        <f>VLOOKUP($B216,'Tillförd energi'!$B$1:$AI$720,MATCH(AA$1,'Tillförd energi'!$B$1:$AQ$1,0),FALSE)</f>
        <v>0</v>
      </c>
      <c r="AB216" s="121">
        <f>VLOOKUP($B216,'Tillförd energi'!$B$1:$AI$720,MATCH(AB$1,'Tillförd energi'!$B$1:$AQ$1,0),FALSE)</f>
        <v>0</v>
      </c>
      <c r="AC216" s="121">
        <f>VLOOKUP($B216,'Tillförd energi'!$B$1:$AI$720,MATCH(AC$1,'Tillförd energi'!$B$1:$AQ$1,0),FALSE)</f>
        <v>30.09</v>
      </c>
      <c r="AD216" s="121">
        <f>VLOOKUP($B216,'Tillförd energi'!$B$1:$AI$720,MATCH(AD$1,'Tillförd energi'!$B$1:$AQ$1,0),FALSE)</f>
        <v>0</v>
      </c>
      <c r="AE216" s="121">
        <f>VLOOKUP($B216,'Tillförd energi'!$B$1:$AI$720,MATCH(AE$1,'Tillförd energi'!$B$1:$AQ$1,0),FALSE)</f>
        <v>0</v>
      </c>
      <c r="AF216" s="121">
        <f>VLOOKUP($B216,'Tillförd energi'!$B$1:$AI$720,MATCH(AF$1,'Tillförd energi'!$B$1:$AQ$1,0),FALSE)</f>
        <v>2.8884400000000001</v>
      </c>
      <c r="AG216" s="121">
        <f>IFERROR(VLOOKUP(B216,Miljö!$B$1:$AC$550,MATCH("Köpt mängd produktionsspecifik fjärrvärme:",Miljö!$B$1:$AC$1,0),FALSE)/1,0)</f>
        <v>0</v>
      </c>
      <c r="AH216" s="121"/>
      <c r="AI216" s="121">
        <f t="shared" si="66"/>
        <v>169.36944</v>
      </c>
      <c r="AJ216" s="121">
        <f t="shared" si="67"/>
        <v>169.36944</v>
      </c>
      <c r="AK216" s="121">
        <f>IF(ISERROR(1/VLOOKUP($B216,Leveranser!$B$1:$S$499,MATCH("såld värme (gwh)",Leveranser!$B$1:$S$1,0),FALSE)),"",VLOOKUP($B216,Leveranser!$B$1:$S$499,MATCH("såld värme (gwh)",Leveranser!$B$1:$S$1,0),FALSE))</f>
        <v>150.80000000000001</v>
      </c>
      <c r="AL216" s="121">
        <f>VLOOKUP($B216,Leveranser!$B$1:$Y$499,MATCH("Totalt såld fjärrvärme till andra fjärrvärmeföretag",Leveranser!$B$1:$AA$1,0),FALSE)</f>
        <v>0</v>
      </c>
      <c r="AM216" s="121">
        <f>IF(ISERROR(1/VLOOKUP($B216,Miljö!$B$1:$S$500,MATCH("Såld mängd produktionsspecifik fjärrvärme (GWh)",Miljö!$B$1:$R$1,0),FALSE)),0,VLOOKUP($B216,Miljö!$B$1:$S$500,MATCH("Såld mängd produktionsspecifik fjärrvärme (GWh)",Miljö!$B$1:$R$1,0),FALSE))</f>
        <v>0</v>
      </c>
      <c r="AN216" s="172">
        <f t="shared" si="68"/>
        <v>0.89036133082804081</v>
      </c>
      <c r="AO216" s="121"/>
      <c r="AP216" s="121" t="str">
        <f>IFERROR(VLOOKUP($B216,Miljövärden!$B$2:$H$550,7,FALSE),"Nej, saknas")</f>
        <v>Ja</v>
      </c>
      <c r="AQ216" s="121" t="str">
        <f>IFERROR(VLOOKUP($B216,Miljövärden!$B$2:$H$550,6,FALSE),"Nej, saknas")</f>
        <v>Ja</v>
      </c>
      <c r="AU216">
        <f t="shared" si="69"/>
        <v>2.8884400000000001</v>
      </c>
      <c r="AV216">
        <f t="shared" si="70"/>
        <v>0</v>
      </c>
      <c r="AW216">
        <f t="shared" si="71"/>
        <v>129.58099999999999</v>
      </c>
      <c r="AX216">
        <f t="shared" si="72"/>
        <v>0</v>
      </c>
      <c r="AZ216">
        <f t="shared" si="73"/>
        <v>129.58099999999999</v>
      </c>
      <c r="BC216">
        <f t="shared" si="74"/>
        <v>6.8100000000000005</v>
      </c>
      <c r="BD216">
        <f t="shared" si="75"/>
        <v>0</v>
      </c>
      <c r="BE216">
        <f t="shared" si="76"/>
        <v>129.58099999999999</v>
      </c>
      <c r="BF216">
        <f t="shared" si="77"/>
        <v>30.09</v>
      </c>
      <c r="BG216">
        <f t="shared" si="78"/>
        <v>2.8884400000000001</v>
      </c>
      <c r="BH216">
        <f>VLOOKUP(B216,Miljö!$B$1:$BX$482,MATCH("Fossilandel för ursprungspecificerad el ()",Miljö!$B$1:$I$1,0),FALSE)</f>
        <v>0</v>
      </c>
      <c r="BI216">
        <f>VLOOKUP(B216,Miljö!$B$1:$BX$482,MATCH("Kärnkraftsandel för ursprungsspecificerad el ()",Miljö!$B$1:$O$1,0),FALSE)</f>
        <v>0</v>
      </c>
      <c r="BJ216">
        <f t="shared" si="79"/>
        <v>0</v>
      </c>
      <c r="BK216" t="str">
        <f>VLOOKUP(B216,Miljö!$B$1:$O$482,MATCH("Fossil andel i procent (%)",Miljö!$B$1:$O$1,0),FALSE)</f>
        <v>ET</v>
      </c>
      <c r="BL216">
        <f t="shared" si="80"/>
        <v>169.36944</v>
      </c>
      <c r="BO216" s="18">
        <f t="shared" si="81"/>
        <v>4.0207961955828632E-2</v>
      </c>
      <c r="BP216" s="18">
        <f t="shared" si="82"/>
        <v>0</v>
      </c>
      <c r="BQ216" s="18">
        <f t="shared" si="83"/>
        <v>0.78213306957854967</v>
      </c>
      <c r="BR216" s="18">
        <f t="shared" si="84"/>
        <v>0.17765896846562165</v>
      </c>
      <c r="BT216" s="27">
        <f t="shared" si="85"/>
        <v>1</v>
      </c>
      <c r="BW216" s="18">
        <f>IF(AP216="ja",VLOOKUP(B216,Miljövärden!$B$2:$H$550,MATCH("Total andel fossilt",Miljövärden!$B$2:$H$2,0),FALSE),"")</f>
        <v>4.0208099999999997E-2</v>
      </c>
      <c r="BZ216" s="28">
        <f t="shared" si="86"/>
        <v>1.3804417136470404E-7</v>
      </c>
      <c r="CA216" s="28">
        <f t="shared" si="87"/>
        <v>0</v>
      </c>
    </row>
    <row r="217" spans="1:79" x14ac:dyDescent="0.25">
      <c r="A217" s="224" t="s">
        <v>495</v>
      </c>
      <c r="B217" s="210" t="s">
        <v>496</v>
      </c>
      <c r="C217" s="121">
        <f>VLOOKUP($B217,'Tillförd energi'!$B$1:$AI$720,MATCH(C$1,'Tillförd energi'!$B$1:$AQ$1,0),FALSE)</f>
        <v>0</v>
      </c>
      <c r="D217" s="121">
        <f>VLOOKUP($B217,'Tillförd energi'!$B$1:$AI$720,MATCH(D$1,'Tillförd energi'!$B$1:$AQ$1,0),FALSE)</f>
        <v>0</v>
      </c>
      <c r="E217" s="121">
        <f>VLOOKUP($B217,'Tillförd energi'!$B$1:$AI$720,MATCH(E$1,'Tillförd energi'!$B$1:$AQ$1,0),FALSE)</f>
        <v>0</v>
      </c>
      <c r="F217" s="121">
        <f>VLOOKUP($B217,'Tillförd energi'!$B$1:$AI$720,MATCH(F$1,'Tillförd energi'!$B$1:$AQ$1,0),FALSE)</f>
        <v>0</v>
      </c>
      <c r="G217" s="121">
        <f>VLOOKUP($B217,'Tillförd energi'!$B$1:$AI$720,MATCH(G$1,'Tillförd energi'!$B$1:$AQ$1,0),FALSE)</f>
        <v>0</v>
      </c>
      <c r="H217" s="121">
        <f>VLOOKUP($B217,'Tillförd energi'!$B$1:$AI$720,MATCH(H$1,'Tillförd energi'!$B$1:$AQ$1,0),FALSE)</f>
        <v>0</v>
      </c>
      <c r="I217" s="121">
        <f>VLOOKUP($B217,'Tillförd energi'!$B$1:$AI$720,MATCH(I$1,'Tillförd energi'!$B$1:$AQ$1,0),FALSE)</f>
        <v>0</v>
      </c>
      <c r="J217" s="121">
        <f>VLOOKUP($B217,'Tillförd energi'!$B$1:$AI$720,MATCH(J$1,'Tillförd energi'!$B$1:$AQ$1,0),FALSE)</f>
        <v>0</v>
      </c>
      <c r="K217" s="121">
        <f>VLOOKUP($B217,'Tillförd energi'!$B$1:$AI$720,MATCH(K$1,'Tillförd energi'!$B$1:$AQ$1,0),FALSE)</f>
        <v>0</v>
      </c>
      <c r="L217" s="121">
        <f>VLOOKUP($B217,'Tillförd energi'!$B$1:$AI$720,MATCH(L$1,'Tillförd energi'!$B$1:$AQ$1,0),FALSE)</f>
        <v>0</v>
      </c>
      <c r="M217" s="121">
        <f>VLOOKUP($B217,'Tillförd energi'!$B$1:$AI$720,MATCH(M$1,'Tillförd energi'!$B$1:$AQ$1,0),FALSE)</f>
        <v>1.34</v>
      </c>
      <c r="N217" s="121">
        <f>VLOOKUP($B217,'Tillförd energi'!$B$1:$AI$720,MATCH(N$1,'Tillförd energi'!$B$1:$AQ$1,0),FALSE)</f>
        <v>35.619999999999997</v>
      </c>
      <c r="O217" s="121">
        <f>VLOOKUP($B217,'Tillförd energi'!$B$1:$AI$720,MATCH(O$1,'Tillförd energi'!$B$1:$AQ$1,0),FALSE)</f>
        <v>0</v>
      </c>
      <c r="P217" s="121">
        <f>VLOOKUP($B217,'Tillförd energi'!$B$1:$AI$720,MATCH(P$1,'Tillförd energi'!$B$1:$AQ$1,0),FALSE)</f>
        <v>0</v>
      </c>
      <c r="Q217" s="121">
        <f>VLOOKUP($B217,'Tillförd energi'!$B$1:$AI$720,MATCH(Q$1,'Tillförd energi'!$B$1:$AQ$1,0),FALSE)</f>
        <v>0</v>
      </c>
      <c r="R217" s="121">
        <f>VLOOKUP($B217,'Tillförd energi'!$B$1:$AI$720,MATCH(R$1,'Tillförd energi'!$B$1:$AQ$1,0),FALSE)</f>
        <v>7.37</v>
      </c>
      <c r="S217" s="121">
        <f>VLOOKUP($B217,'Tillförd energi'!$B$1:$AI$720,MATCH(S$1,'Tillförd energi'!$B$1:$AQ$1,0),FALSE)</f>
        <v>0</v>
      </c>
      <c r="T217" s="121">
        <f>VLOOKUP($B217,'Tillförd energi'!$B$1:$AI$720,MATCH(T$1,'Tillförd energi'!$B$1:$AQ$1,0),FALSE)</f>
        <v>0</v>
      </c>
      <c r="U217" s="121">
        <f>VLOOKUP($B217,'Tillförd energi'!$B$1:$AI$720,MATCH(U$1,'Tillförd energi'!$B$1:$AQ$1,0),FALSE)</f>
        <v>0</v>
      </c>
      <c r="V217" s="121">
        <f>VLOOKUP($B217,'Tillförd energi'!$B$1:$AI$720,MATCH(V$1,'Tillförd energi'!$B$1:$AQ$1,0),FALSE)</f>
        <v>0</v>
      </c>
      <c r="W217" s="121">
        <f>VLOOKUP($B217,'Tillförd energi'!$B$1:$AI$720,MATCH(W$1,'Tillförd energi'!$B$1:$AQ$1,0),FALSE)</f>
        <v>1.7</v>
      </c>
      <c r="X217" s="121">
        <f>VLOOKUP($B217,'Tillförd energi'!$B$1:$AI$720,MATCH(X$1,'Tillförd energi'!$B$1:$AQ$1,0),FALSE)</f>
        <v>0</v>
      </c>
      <c r="Y217" s="121">
        <f>VLOOKUP($B217,'Tillförd energi'!$B$1:$AI$720,MATCH(Y$1,'Tillförd energi'!$B$1:$AQ$1,0),FALSE)</f>
        <v>0</v>
      </c>
      <c r="Z217" s="121">
        <f>VLOOKUP($B217,'Tillförd energi'!$B$1:$AI$720,MATCH(Z$1,'Tillförd energi'!$B$1:$AQ$1,0),FALSE)</f>
        <v>0.78</v>
      </c>
      <c r="AA217" s="121">
        <f>VLOOKUP($B217,'Tillförd energi'!$B$1:$AI$720,MATCH(AA$1,'Tillförd energi'!$B$1:$AQ$1,0),FALSE)</f>
        <v>0</v>
      </c>
      <c r="AB217" s="121">
        <f>VLOOKUP($B217,'Tillförd energi'!$B$1:$AI$720,MATCH(AB$1,'Tillförd energi'!$B$1:$AQ$1,0),FALSE)</f>
        <v>0</v>
      </c>
      <c r="AC217" s="121">
        <f>VLOOKUP($B217,'Tillförd energi'!$B$1:$AI$720,MATCH(AC$1,'Tillförd energi'!$B$1:$AQ$1,0),FALSE)</f>
        <v>0</v>
      </c>
      <c r="AD217" s="121">
        <f>VLOOKUP($B217,'Tillförd energi'!$B$1:$AI$720,MATCH(AD$1,'Tillförd energi'!$B$1:$AQ$1,0),FALSE)</f>
        <v>0</v>
      </c>
      <c r="AE217" s="121">
        <f>VLOOKUP($B217,'Tillförd energi'!$B$1:$AI$720,MATCH(AE$1,'Tillförd energi'!$B$1:$AQ$1,0),FALSE)</f>
        <v>0</v>
      </c>
      <c r="AF217" s="121">
        <f>VLOOKUP($B217,'Tillförd energi'!$B$1:$AI$720,MATCH(AF$1,'Tillförd energi'!$B$1:$AQ$1,0),FALSE)</f>
        <v>1.1870000000000001</v>
      </c>
      <c r="AG217" s="121">
        <f>IFERROR(VLOOKUP(B217,Miljö!$B$1:$AC$550,MATCH("Köpt mängd produktionsspecifik fjärrvärme:",Miljö!$B$1:$AC$1,0),FALSE)/1,0)</f>
        <v>0</v>
      </c>
      <c r="AH217" s="121"/>
      <c r="AI217" s="121">
        <f t="shared" si="66"/>
        <v>47.997</v>
      </c>
      <c r="AJ217" s="121">
        <f t="shared" si="67"/>
        <v>47.997</v>
      </c>
      <c r="AK217" s="121">
        <f>IF(ISERROR(1/VLOOKUP($B217,Leveranser!$B$1:$S$499,MATCH("såld värme (gwh)",Leveranser!$B$1:$S$1,0),FALSE)),"",VLOOKUP($B217,Leveranser!$B$1:$S$499,MATCH("såld värme (gwh)",Leveranser!$B$1:$S$1,0),FALSE))</f>
        <v>49</v>
      </c>
      <c r="AL217" s="121">
        <f>VLOOKUP($B217,Leveranser!$B$1:$Y$499,MATCH("Totalt såld fjärrvärme till andra fjärrvärmeföretag",Leveranser!$B$1:$AA$1,0),FALSE)</f>
        <v>0</v>
      </c>
      <c r="AM217" s="121">
        <f>IF(ISERROR(1/VLOOKUP($B217,Miljö!$B$1:$S$500,MATCH("Såld mängd produktionsspecifik fjärrvärme (GWh)",Miljö!$B$1:$R$1,0),FALSE)),0,VLOOKUP($B217,Miljö!$B$1:$S$500,MATCH("Såld mängd produktionsspecifik fjärrvärme (GWh)",Miljö!$B$1:$R$1,0),FALSE))</f>
        <v>0</v>
      </c>
      <c r="AN217" s="172">
        <f t="shared" si="68"/>
        <v>1.0208971394045461</v>
      </c>
      <c r="AO217" s="121"/>
      <c r="AP217" s="121" t="str">
        <f>IFERROR(VLOOKUP($B217,Miljövärden!$B$2:$H$550,7,FALSE),"Nej, saknas")</f>
        <v>Ja</v>
      </c>
      <c r="AQ217" s="121" t="str">
        <f>IFERROR(VLOOKUP($B217,Miljövärden!$B$2:$H$550,6,FALSE),"Nej, saknas")</f>
        <v>Nej</v>
      </c>
      <c r="AU217">
        <f t="shared" si="69"/>
        <v>1.9670000000000001</v>
      </c>
      <c r="AV217">
        <f t="shared" si="70"/>
        <v>0</v>
      </c>
      <c r="AW217">
        <f t="shared" si="71"/>
        <v>36.96</v>
      </c>
      <c r="AX217">
        <f t="shared" si="72"/>
        <v>7.37</v>
      </c>
      <c r="AZ217">
        <f t="shared" si="73"/>
        <v>46.03</v>
      </c>
      <c r="BC217">
        <f t="shared" si="74"/>
        <v>0</v>
      </c>
      <c r="BD217">
        <f t="shared" si="75"/>
        <v>0</v>
      </c>
      <c r="BE217">
        <f t="shared" si="76"/>
        <v>46.03</v>
      </c>
      <c r="BF217">
        <f t="shared" si="77"/>
        <v>0</v>
      </c>
      <c r="BG217">
        <f t="shared" si="78"/>
        <v>1.9670000000000001</v>
      </c>
      <c r="BH217">
        <f>VLOOKUP(B217,Miljö!$B$1:$BX$482,MATCH("Fossilandel för ursprungspecificerad el ()",Miljö!$B$1:$I$1,0),FALSE)</f>
        <v>0</v>
      </c>
      <c r="BI217">
        <f>VLOOKUP(B217,Miljö!$B$1:$BX$482,MATCH("Kärnkraftsandel för ursprungsspecificerad el ()",Miljö!$B$1:$O$1,0),FALSE)</f>
        <v>0</v>
      </c>
      <c r="BJ217">
        <f t="shared" si="79"/>
        <v>0</v>
      </c>
      <c r="BK217" t="str">
        <f>VLOOKUP(B217,Miljö!$B$1:$O$482,MATCH("Fossil andel i procent (%)",Miljö!$B$1:$O$1,0),FALSE)</f>
        <v>ET</v>
      </c>
      <c r="BL217">
        <f t="shared" si="80"/>
        <v>47.997</v>
      </c>
      <c r="BO217" s="18">
        <f t="shared" si="81"/>
        <v>0</v>
      </c>
      <c r="BP217" s="18">
        <f t="shared" si="82"/>
        <v>0</v>
      </c>
      <c r="BQ217" s="18">
        <f t="shared" si="83"/>
        <v>1</v>
      </c>
      <c r="BR217" s="18">
        <f t="shared" si="84"/>
        <v>0</v>
      </c>
      <c r="BT217" s="27">
        <f t="shared" si="85"/>
        <v>1</v>
      </c>
      <c r="BW217" s="18">
        <f>IF(AP217="ja",VLOOKUP(B217,Miljövärden!$B$2:$H$550,MATCH("Total andel fossilt",Miljövärden!$B$2:$H$2,0),FALSE),"")</f>
        <v>0</v>
      </c>
      <c r="BZ217" s="28">
        <f t="shared" si="86"/>
        <v>0</v>
      </c>
      <c r="CA217" s="28">
        <f t="shared" si="87"/>
        <v>0</v>
      </c>
    </row>
    <row r="218" spans="1:79" x14ac:dyDescent="0.25">
      <c r="A218" s="224" t="s">
        <v>498</v>
      </c>
      <c r="B218" s="210" t="s">
        <v>499</v>
      </c>
      <c r="C218" s="121">
        <f>VLOOKUP($B218,'Tillförd energi'!$B$1:$AI$720,MATCH(C$1,'Tillförd energi'!$B$1:$AQ$1,0),FALSE)</f>
        <v>0</v>
      </c>
      <c r="D218" s="121">
        <f>VLOOKUP($B218,'Tillförd energi'!$B$1:$AI$720,MATCH(D$1,'Tillförd energi'!$B$1:$AQ$1,0),FALSE)</f>
        <v>0</v>
      </c>
      <c r="E218" s="121">
        <f>VLOOKUP($B218,'Tillförd energi'!$B$1:$AI$720,MATCH(E$1,'Tillförd energi'!$B$1:$AQ$1,0),FALSE)</f>
        <v>0</v>
      </c>
      <c r="F218" s="121">
        <f>VLOOKUP($B218,'Tillförd energi'!$B$1:$AI$720,MATCH(F$1,'Tillförd energi'!$B$1:$AQ$1,0),FALSE)</f>
        <v>0</v>
      </c>
      <c r="G218" s="121">
        <f>VLOOKUP($B218,'Tillförd energi'!$B$1:$AI$720,MATCH(G$1,'Tillförd energi'!$B$1:$AQ$1,0),FALSE)</f>
        <v>0</v>
      </c>
      <c r="H218" s="121">
        <f>VLOOKUP($B218,'Tillförd energi'!$B$1:$AI$720,MATCH(H$1,'Tillförd energi'!$B$1:$AQ$1,0),FALSE)</f>
        <v>0</v>
      </c>
      <c r="I218" s="121">
        <f>VLOOKUP($B218,'Tillförd energi'!$B$1:$AI$720,MATCH(I$1,'Tillförd energi'!$B$1:$AQ$1,0),FALSE)</f>
        <v>0</v>
      </c>
      <c r="J218" s="121">
        <f>VLOOKUP($B218,'Tillförd energi'!$B$1:$AI$720,MATCH(J$1,'Tillförd energi'!$B$1:$AQ$1,0),FALSE)</f>
        <v>0</v>
      </c>
      <c r="K218" s="121">
        <f>VLOOKUP($B218,'Tillförd energi'!$B$1:$AI$720,MATCH(K$1,'Tillförd energi'!$B$1:$AQ$1,0),FALSE)</f>
        <v>0</v>
      </c>
      <c r="L218" s="121">
        <f>VLOOKUP($B218,'Tillförd energi'!$B$1:$AI$720,MATCH(L$1,'Tillförd energi'!$B$1:$AQ$1,0),FALSE)</f>
        <v>0</v>
      </c>
      <c r="M218" s="121">
        <f>VLOOKUP($B218,'Tillförd energi'!$B$1:$AI$720,MATCH(M$1,'Tillförd energi'!$B$1:$AQ$1,0),FALSE)</f>
        <v>0</v>
      </c>
      <c r="N218" s="121">
        <f>VLOOKUP($B218,'Tillförd energi'!$B$1:$AI$720,MATCH(N$1,'Tillförd energi'!$B$1:$AQ$1,0),FALSE)</f>
        <v>0</v>
      </c>
      <c r="O218" s="121">
        <f>VLOOKUP($B218,'Tillförd energi'!$B$1:$AI$720,MATCH(O$1,'Tillförd energi'!$B$1:$AQ$1,0),FALSE)</f>
        <v>0</v>
      </c>
      <c r="P218" s="121">
        <f>VLOOKUP($B218,'Tillförd energi'!$B$1:$AI$720,MATCH(P$1,'Tillförd energi'!$B$1:$AQ$1,0),FALSE)</f>
        <v>0</v>
      </c>
      <c r="Q218" s="121">
        <f>VLOOKUP($B218,'Tillförd energi'!$B$1:$AI$720,MATCH(Q$1,'Tillförd energi'!$B$1:$AQ$1,0),FALSE)</f>
        <v>0</v>
      </c>
      <c r="R218" s="121">
        <f>VLOOKUP($B218,'Tillförd energi'!$B$1:$AI$720,MATCH(R$1,'Tillförd energi'!$B$1:$AQ$1,0),FALSE)</f>
        <v>0</v>
      </c>
      <c r="S218" s="121">
        <f>VLOOKUP($B218,'Tillförd energi'!$B$1:$AI$720,MATCH(S$1,'Tillförd energi'!$B$1:$AQ$1,0),FALSE)</f>
        <v>0</v>
      </c>
      <c r="T218" s="121">
        <f>VLOOKUP($B218,'Tillförd energi'!$B$1:$AI$720,MATCH(T$1,'Tillförd energi'!$B$1:$AQ$1,0),FALSE)</f>
        <v>0</v>
      </c>
      <c r="U218" s="121">
        <f>VLOOKUP($B218,'Tillförd energi'!$B$1:$AI$720,MATCH(U$1,'Tillförd energi'!$B$1:$AQ$1,0),FALSE)</f>
        <v>0</v>
      </c>
      <c r="V218" s="121">
        <f>VLOOKUP($B218,'Tillförd energi'!$B$1:$AI$720,MATCH(V$1,'Tillförd energi'!$B$1:$AQ$1,0),FALSE)</f>
        <v>0</v>
      </c>
      <c r="W218" s="121">
        <f>VLOOKUP($B218,'Tillförd energi'!$B$1:$AI$720,MATCH(W$1,'Tillförd energi'!$B$1:$AQ$1,0),FALSE)</f>
        <v>0</v>
      </c>
      <c r="X218" s="121">
        <f>VLOOKUP($B218,'Tillförd energi'!$B$1:$AI$720,MATCH(X$1,'Tillförd energi'!$B$1:$AQ$1,0),FALSE)</f>
        <v>0</v>
      </c>
      <c r="Y218" s="121">
        <f>VLOOKUP($B218,'Tillförd energi'!$B$1:$AI$720,MATCH(Y$1,'Tillförd energi'!$B$1:$AQ$1,0),FALSE)</f>
        <v>0</v>
      </c>
      <c r="Z218" s="121">
        <f>VLOOKUP($B218,'Tillförd energi'!$B$1:$AI$720,MATCH(Z$1,'Tillförd energi'!$B$1:$AQ$1,0),FALSE)</f>
        <v>0</v>
      </c>
      <c r="AA218" s="121">
        <f>VLOOKUP($B218,'Tillförd energi'!$B$1:$AI$720,MATCH(AA$1,'Tillförd energi'!$B$1:$AQ$1,0),FALSE)</f>
        <v>0</v>
      </c>
      <c r="AB218" s="121">
        <f>VLOOKUP($B218,'Tillförd energi'!$B$1:$AI$720,MATCH(AB$1,'Tillförd energi'!$B$1:$AQ$1,0),FALSE)</f>
        <v>0</v>
      </c>
      <c r="AC218" s="121">
        <f>VLOOKUP($B218,'Tillförd energi'!$B$1:$AI$720,MATCH(AC$1,'Tillförd energi'!$B$1:$AQ$1,0),FALSE)</f>
        <v>0</v>
      </c>
      <c r="AD218" s="121">
        <f>VLOOKUP($B218,'Tillförd energi'!$B$1:$AI$720,MATCH(AD$1,'Tillförd energi'!$B$1:$AQ$1,0),FALSE)</f>
        <v>0</v>
      </c>
      <c r="AE218" s="121">
        <f>VLOOKUP($B218,'Tillförd energi'!$B$1:$AI$720,MATCH(AE$1,'Tillförd energi'!$B$1:$AQ$1,0),FALSE)</f>
        <v>0</v>
      </c>
      <c r="AF218" s="121">
        <f>VLOOKUP($B218,'Tillförd energi'!$B$1:$AI$720,MATCH(AF$1,'Tillförd energi'!$B$1:$AQ$1,0),FALSE)</f>
        <v>0</v>
      </c>
      <c r="AG218" s="121">
        <f>IFERROR(VLOOKUP(B218,Miljö!$B$1:$AC$550,MATCH("Köpt mängd produktionsspecifik fjärrvärme:",Miljö!$B$1:$AC$1,0),FALSE)/1,0)</f>
        <v>0</v>
      </c>
      <c r="AH218" s="121"/>
      <c r="AI218" s="121">
        <f t="shared" si="66"/>
        <v>0</v>
      </c>
      <c r="AJ218" s="121">
        <f t="shared" si="67"/>
        <v>0</v>
      </c>
      <c r="AK218" s="121" t="str">
        <f>IF(ISERROR(1/VLOOKUP($B218,Leveranser!$B$1:$S$499,MATCH("såld värme (gwh)",Leveranser!$B$1:$S$1,0),FALSE)),"",VLOOKUP($B218,Leveranser!$B$1:$S$499,MATCH("såld värme (gwh)",Leveranser!$B$1:$S$1,0),FALSE))</f>
        <v/>
      </c>
      <c r="AL218" s="121">
        <f>VLOOKUP($B218,Leveranser!$B$1:$Y$499,MATCH("Totalt såld fjärrvärme till andra fjärrvärmeföretag",Leveranser!$B$1:$AA$1,0),FALSE)</f>
        <v>0</v>
      </c>
      <c r="AM218" s="121">
        <f>IF(ISERROR(1/VLOOKUP($B218,Miljö!$B$1:$S$500,MATCH("Såld mängd produktionsspecifik fjärrvärme (GWh)",Miljö!$B$1:$R$1,0),FALSE)),0,VLOOKUP($B218,Miljö!$B$1:$S$500,MATCH("Såld mängd produktionsspecifik fjärrvärme (GWh)",Miljö!$B$1:$R$1,0),FALSE))</f>
        <v>0</v>
      </c>
      <c r="AN218" s="172" t="str">
        <f t="shared" si="68"/>
        <v/>
      </c>
      <c r="AO218" s="121"/>
      <c r="AP218" s="121" t="str">
        <f>IFERROR(VLOOKUP($B218,Miljövärden!$B$2:$H$550,7,FALSE),"Nej, saknas")</f>
        <v>Nej</v>
      </c>
      <c r="AQ218" s="121" t="str">
        <f>IFERROR(VLOOKUP($B218,Miljövärden!$B$2:$H$550,6,FALSE),"Nej, saknas")</f>
        <v>Nej</v>
      </c>
      <c r="AU218">
        <f t="shared" si="69"/>
        <v>0</v>
      </c>
      <c r="AV218">
        <f t="shared" si="70"/>
        <v>0</v>
      </c>
      <c r="AW218">
        <f t="shared" si="71"/>
        <v>0</v>
      </c>
      <c r="AX218">
        <f t="shared" si="72"/>
        <v>0</v>
      </c>
      <c r="AZ218">
        <f t="shared" si="73"/>
        <v>0</v>
      </c>
      <c r="BC218">
        <f t="shared" si="74"/>
        <v>0</v>
      </c>
      <c r="BD218">
        <f t="shared" si="75"/>
        <v>0</v>
      </c>
      <c r="BE218">
        <f t="shared" si="76"/>
        <v>0</v>
      </c>
      <c r="BF218">
        <f t="shared" si="77"/>
        <v>0</v>
      </c>
      <c r="BG218">
        <f t="shared" si="78"/>
        <v>0</v>
      </c>
      <c r="BH218" t="str">
        <f>VLOOKUP(B218,Miljö!$B$1:$BX$482,MATCH("Fossilandel för ursprungspecificerad el ()",Miljö!$B$1:$I$1,0),FALSE)</f>
        <v>-</v>
      </c>
      <c r="BI218" t="str">
        <f>VLOOKUP(B218,Miljö!$B$1:$BX$482,MATCH("Kärnkraftsandel för ursprungsspecificerad el ()",Miljö!$B$1:$O$1,0),FALSE)</f>
        <v>-</v>
      </c>
      <c r="BJ218">
        <f t="shared" si="79"/>
        <v>0</v>
      </c>
      <c r="BK218" t="str">
        <f>VLOOKUP(B218,Miljö!$B$1:$O$482,MATCH("Fossil andel i procent (%)",Miljö!$B$1:$O$1,0),FALSE)</f>
        <v>-</v>
      </c>
      <c r="BL218">
        <f t="shared" si="80"/>
        <v>0</v>
      </c>
      <c r="BO218" s="18" t="str">
        <f t="shared" si="81"/>
        <v/>
      </c>
      <c r="BP218" s="18" t="str">
        <f t="shared" si="82"/>
        <v/>
      </c>
      <c r="BQ218" s="18" t="str">
        <f t="shared" si="83"/>
        <v/>
      </c>
      <c r="BR218" s="18" t="str">
        <f t="shared" si="84"/>
        <v/>
      </c>
      <c r="BT218" s="27">
        <f t="shared" si="85"/>
        <v>0</v>
      </c>
      <c r="BW218" s="18" t="str">
        <f>IF(AP218="ja",VLOOKUP(B218,Miljövärden!$B$2:$H$550,MATCH("Total andel fossilt",Miljövärden!$B$2:$H$2,0),FALSE),"")</f>
        <v/>
      </c>
      <c r="BZ218" s="28" t="str">
        <f t="shared" si="86"/>
        <v/>
      </c>
      <c r="CA218" s="28" t="str">
        <f t="shared" si="87"/>
        <v/>
      </c>
    </row>
    <row r="219" spans="1:79" x14ac:dyDescent="0.25">
      <c r="A219" s="224" t="s">
        <v>498</v>
      </c>
      <c r="B219" s="210" t="s">
        <v>500</v>
      </c>
      <c r="C219" s="121">
        <f>VLOOKUP($B219,'Tillförd energi'!$B$1:$AI$720,MATCH(C$1,'Tillförd energi'!$B$1:$AQ$1,0),FALSE)</f>
        <v>0</v>
      </c>
      <c r="D219" s="121">
        <f>VLOOKUP($B219,'Tillförd energi'!$B$1:$AI$720,MATCH(D$1,'Tillförd energi'!$B$1:$AQ$1,0),FALSE)</f>
        <v>0</v>
      </c>
      <c r="E219" s="121">
        <f>VLOOKUP($B219,'Tillförd energi'!$B$1:$AI$720,MATCH(E$1,'Tillförd energi'!$B$1:$AQ$1,0),FALSE)</f>
        <v>0</v>
      </c>
      <c r="F219" s="121">
        <f>VLOOKUP($B219,'Tillförd energi'!$B$1:$AI$720,MATCH(F$1,'Tillförd energi'!$B$1:$AQ$1,0),FALSE)</f>
        <v>0</v>
      </c>
      <c r="G219" s="121">
        <f>VLOOKUP($B219,'Tillförd energi'!$B$1:$AI$720,MATCH(G$1,'Tillförd energi'!$B$1:$AQ$1,0),FALSE)</f>
        <v>0</v>
      </c>
      <c r="H219" s="121">
        <f>VLOOKUP($B219,'Tillförd energi'!$B$1:$AI$720,MATCH(H$1,'Tillförd energi'!$B$1:$AQ$1,0),FALSE)</f>
        <v>0</v>
      </c>
      <c r="I219" s="121">
        <f>VLOOKUP($B219,'Tillförd energi'!$B$1:$AI$720,MATCH(I$1,'Tillförd energi'!$B$1:$AQ$1,0),FALSE)</f>
        <v>0</v>
      </c>
      <c r="J219" s="121">
        <f>VLOOKUP($B219,'Tillförd energi'!$B$1:$AI$720,MATCH(J$1,'Tillförd energi'!$B$1:$AQ$1,0),FALSE)</f>
        <v>0</v>
      </c>
      <c r="K219" s="121">
        <f>VLOOKUP($B219,'Tillförd energi'!$B$1:$AI$720,MATCH(K$1,'Tillförd energi'!$B$1:$AQ$1,0),FALSE)</f>
        <v>0</v>
      </c>
      <c r="L219" s="121">
        <f>VLOOKUP($B219,'Tillförd energi'!$B$1:$AI$720,MATCH(L$1,'Tillförd energi'!$B$1:$AQ$1,0),FALSE)</f>
        <v>0</v>
      </c>
      <c r="M219" s="121">
        <f>VLOOKUP($B219,'Tillförd energi'!$B$1:$AI$720,MATCH(M$1,'Tillförd energi'!$B$1:$AQ$1,0),FALSE)</f>
        <v>0</v>
      </c>
      <c r="N219" s="121">
        <f>VLOOKUP($B219,'Tillförd energi'!$B$1:$AI$720,MATCH(N$1,'Tillförd energi'!$B$1:$AQ$1,0),FALSE)</f>
        <v>0</v>
      </c>
      <c r="O219" s="121">
        <f>VLOOKUP($B219,'Tillförd energi'!$B$1:$AI$720,MATCH(O$1,'Tillförd energi'!$B$1:$AQ$1,0),FALSE)</f>
        <v>0</v>
      </c>
      <c r="P219" s="121">
        <f>VLOOKUP($B219,'Tillförd energi'!$B$1:$AI$720,MATCH(P$1,'Tillförd energi'!$B$1:$AQ$1,0),FALSE)</f>
        <v>0</v>
      </c>
      <c r="Q219" s="121">
        <f>VLOOKUP($B219,'Tillförd energi'!$B$1:$AI$720,MATCH(Q$1,'Tillförd energi'!$B$1:$AQ$1,0),FALSE)</f>
        <v>0</v>
      </c>
      <c r="R219" s="121">
        <f>VLOOKUP($B219,'Tillförd energi'!$B$1:$AI$720,MATCH(R$1,'Tillförd energi'!$B$1:$AQ$1,0),FALSE)</f>
        <v>0</v>
      </c>
      <c r="S219" s="121">
        <f>VLOOKUP($B219,'Tillförd energi'!$B$1:$AI$720,MATCH(S$1,'Tillförd energi'!$B$1:$AQ$1,0),FALSE)</f>
        <v>0</v>
      </c>
      <c r="T219" s="121">
        <f>VLOOKUP($B219,'Tillförd energi'!$B$1:$AI$720,MATCH(T$1,'Tillförd energi'!$B$1:$AQ$1,0),FALSE)</f>
        <v>0</v>
      </c>
      <c r="U219" s="121">
        <f>VLOOKUP($B219,'Tillförd energi'!$B$1:$AI$720,MATCH(U$1,'Tillförd energi'!$B$1:$AQ$1,0),FALSE)</f>
        <v>0</v>
      </c>
      <c r="V219" s="121">
        <f>VLOOKUP($B219,'Tillförd energi'!$B$1:$AI$720,MATCH(V$1,'Tillförd energi'!$B$1:$AQ$1,0),FALSE)</f>
        <v>0</v>
      </c>
      <c r="W219" s="121">
        <f>VLOOKUP($B219,'Tillförd energi'!$B$1:$AI$720,MATCH(W$1,'Tillförd energi'!$B$1:$AQ$1,0),FALSE)</f>
        <v>0</v>
      </c>
      <c r="X219" s="121">
        <f>VLOOKUP($B219,'Tillförd energi'!$B$1:$AI$720,MATCH(X$1,'Tillförd energi'!$B$1:$AQ$1,0),FALSE)</f>
        <v>0</v>
      </c>
      <c r="Y219" s="121">
        <f>VLOOKUP($B219,'Tillförd energi'!$B$1:$AI$720,MATCH(Y$1,'Tillförd energi'!$B$1:$AQ$1,0),FALSE)</f>
        <v>0</v>
      </c>
      <c r="Z219" s="121">
        <f>VLOOKUP($B219,'Tillförd energi'!$B$1:$AI$720,MATCH(Z$1,'Tillförd energi'!$B$1:$AQ$1,0),FALSE)</f>
        <v>0</v>
      </c>
      <c r="AA219" s="121">
        <f>VLOOKUP($B219,'Tillförd energi'!$B$1:$AI$720,MATCH(AA$1,'Tillförd energi'!$B$1:$AQ$1,0),FALSE)</f>
        <v>0</v>
      </c>
      <c r="AB219" s="121">
        <f>VLOOKUP($B219,'Tillförd energi'!$B$1:$AI$720,MATCH(AB$1,'Tillförd energi'!$B$1:$AQ$1,0),FALSE)</f>
        <v>0</v>
      </c>
      <c r="AC219" s="121">
        <f>VLOOKUP($B219,'Tillförd energi'!$B$1:$AI$720,MATCH(AC$1,'Tillförd energi'!$B$1:$AQ$1,0),FALSE)</f>
        <v>0</v>
      </c>
      <c r="AD219" s="121">
        <f>VLOOKUP($B219,'Tillförd energi'!$B$1:$AI$720,MATCH(AD$1,'Tillförd energi'!$B$1:$AQ$1,0),FALSE)</f>
        <v>0</v>
      </c>
      <c r="AE219" s="121">
        <f>VLOOKUP($B219,'Tillförd energi'!$B$1:$AI$720,MATCH(AE$1,'Tillförd energi'!$B$1:$AQ$1,0),FALSE)</f>
        <v>0</v>
      </c>
      <c r="AF219" s="121">
        <f>VLOOKUP($B219,'Tillförd energi'!$B$1:$AI$720,MATCH(AF$1,'Tillförd energi'!$B$1:$AQ$1,0),FALSE)</f>
        <v>0</v>
      </c>
      <c r="AG219" s="121">
        <f>IFERROR(VLOOKUP(B219,Miljö!$B$1:$AC$550,MATCH("Köpt mängd produktionsspecifik fjärrvärme:",Miljö!$B$1:$AC$1,0),FALSE)/1,0)</f>
        <v>0</v>
      </c>
      <c r="AH219" s="121"/>
      <c r="AI219" s="121">
        <f t="shared" si="66"/>
        <v>0</v>
      </c>
      <c r="AJ219" s="121">
        <f t="shared" si="67"/>
        <v>0</v>
      </c>
      <c r="AK219" s="121" t="str">
        <f>IF(ISERROR(1/VLOOKUP($B219,Leveranser!$B$1:$S$499,MATCH("såld värme (gwh)",Leveranser!$B$1:$S$1,0),FALSE)),"",VLOOKUP($B219,Leveranser!$B$1:$S$499,MATCH("såld värme (gwh)",Leveranser!$B$1:$S$1,0),FALSE))</f>
        <v/>
      </c>
      <c r="AL219" s="121">
        <f>VLOOKUP($B219,Leveranser!$B$1:$Y$499,MATCH("Totalt såld fjärrvärme till andra fjärrvärmeföretag",Leveranser!$B$1:$AA$1,0),FALSE)</f>
        <v>0</v>
      </c>
      <c r="AM219" s="121">
        <f>IF(ISERROR(1/VLOOKUP($B219,Miljö!$B$1:$S$500,MATCH("Såld mängd produktionsspecifik fjärrvärme (GWh)",Miljö!$B$1:$R$1,0),FALSE)),0,VLOOKUP($B219,Miljö!$B$1:$S$500,MATCH("Såld mängd produktionsspecifik fjärrvärme (GWh)",Miljö!$B$1:$R$1,0),FALSE))</f>
        <v>0</v>
      </c>
      <c r="AN219" s="172" t="str">
        <f t="shared" si="68"/>
        <v/>
      </c>
      <c r="AO219" s="121"/>
      <c r="AP219" s="121" t="str">
        <f>IFERROR(VLOOKUP($B219,Miljövärden!$B$2:$H$550,7,FALSE),"Nej, saknas")</f>
        <v>Nej</v>
      </c>
      <c r="AQ219" s="121" t="str">
        <f>IFERROR(VLOOKUP($B219,Miljövärden!$B$2:$H$550,6,FALSE),"Nej, saknas")</f>
        <v>Nej</v>
      </c>
      <c r="AU219">
        <f t="shared" si="69"/>
        <v>0</v>
      </c>
      <c r="AV219">
        <f t="shared" si="70"/>
        <v>0</v>
      </c>
      <c r="AW219">
        <f t="shared" si="71"/>
        <v>0</v>
      </c>
      <c r="AX219">
        <f t="shared" si="72"/>
        <v>0</v>
      </c>
      <c r="AZ219">
        <f t="shared" si="73"/>
        <v>0</v>
      </c>
      <c r="BC219">
        <f t="shared" si="74"/>
        <v>0</v>
      </c>
      <c r="BD219">
        <f t="shared" si="75"/>
        <v>0</v>
      </c>
      <c r="BE219">
        <f t="shared" si="76"/>
        <v>0</v>
      </c>
      <c r="BF219">
        <f t="shared" si="77"/>
        <v>0</v>
      </c>
      <c r="BG219">
        <f t="shared" si="78"/>
        <v>0</v>
      </c>
      <c r="BH219" t="str">
        <f>VLOOKUP(B219,Miljö!$B$1:$BX$482,MATCH("Fossilandel för ursprungspecificerad el ()",Miljö!$B$1:$I$1,0),FALSE)</f>
        <v>-</v>
      </c>
      <c r="BI219" t="str">
        <f>VLOOKUP(B219,Miljö!$B$1:$BX$482,MATCH("Kärnkraftsandel för ursprungsspecificerad el ()",Miljö!$B$1:$O$1,0),FALSE)</f>
        <v>-</v>
      </c>
      <c r="BJ219">
        <f t="shared" si="79"/>
        <v>0</v>
      </c>
      <c r="BK219" t="str">
        <f>VLOOKUP(B219,Miljö!$B$1:$O$482,MATCH("Fossil andel i procent (%)",Miljö!$B$1:$O$1,0),FALSE)</f>
        <v>-</v>
      </c>
      <c r="BL219">
        <f t="shared" si="80"/>
        <v>0</v>
      </c>
      <c r="BO219" s="18" t="str">
        <f t="shared" si="81"/>
        <v/>
      </c>
      <c r="BP219" s="18" t="str">
        <f t="shared" si="82"/>
        <v/>
      </c>
      <c r="BQ219" s="18" t="str">
        <f t="shared" si="83"/>
        <v/>
      </c>
      <c r="BR219" s="18" t="str">
        <f t="shared" si="84"/>
        <v/>
      </c>
      <c r="BT219" s="27">
        <f t="shared" si="85"/>
        <v>0</v>
      </c>
      <c r="BW219" s="18" t="str">
        <f>IF(AP219="ja",VLOOKUP(B219,Miljövärden!$B$2:$H$550,MATCH("Total andel fossilt",Miljövärden!$B$2:$H$2,0),FALSE),"")</f>
        <v/>
      </c>
      <c r="BZ219" s="28" t="str">
        <f t="shared" si="86"/>
        <v/>
      </c>
      <c r="CA219" s="28" t="str">
        <f t="shared" si="87"/>
        <v/>
      </c>
    </row>
    <row r="220" spans="1:79" x14ac:dyDescent="0.25">
      <c r="A220" s="224" t="s">
        <v>501</v>
      </c>
      <c r="B220" s="210" t="s">
        <v>502</v>
      </c>
      <c r="C220" s="121">
        <f>VLOOKUP($B220,'Tillförd energi'!$B$1:$AI$720,MATCH(C$1,'Tillförd energi'!$B$1:$AQ$1,0),FALSE)</f>
        <v>0</v>
      </c>
      <c r="D220" s="121">
        <f>VLOOKUP($B220,'Tillförd energi'!$B$1:$AI$720,MATCH(D$1,'Tillförd energi'!$B$1:$AQ$1,0),FALSE)</f>
        <v>0.3</v>
      </c>
      <c r="E220" s="121">
        <f>VLOOKUP($B220,'Tillförd energi'!$B$1:$AI$720,MATCH(E$1,'Tillförd energi'!$B$1:$AQ$1,0),FALSE)</f>
        <v>0</v>
      </c>
      <c r="F220" s="121">
        <f>VLOOKUP($B220,'Tillförd energi'!$B$1:$AI$720,MATCH(F$1,'Tillförd energi'!$B$1:$AQ$1,0),FALSE)</f>
        <v>0</v>
      </c>
      <c r="G220" s="121">
        <f>VLOOKUP($B220,'Tillförd energi'!$B$1:$AI$720,MATCH(G$1,'Tillförd energi'!$B$1:$AQ$1,0),FALSE)</f>
        <v>0</v>
      </c>
      <c r="H220" s="121">
        <f>VLOOKUP($B220,'Tillförd energi'!$B$1:$AI$720,MATCH(H$1,'Tillförd energi'!$B$1:$AQ$1,0),FALSE)</f>
        <v>0</v>
      </c>
      <c r="I220" s="121">
        <f>VLOOKUP($B220,'Tillförd energi'!$B$1:$AI$720,MATCH(I$1,'Tillförd energi'!$B$1:$AQ$1,0),FALSE)</f>
        <v>0</v>
      </c>
      <c r="J220" s="121">
        <f>VLOOKUP($B220,'Tillförd energi'!$B$1:$AI$720,MATCH(J$1,'Tillförd energi'!$B$1:$AQ$1,0),FALSE)</f>
        <v>0</v>
      </c>
      <c r="K220" s="121">
        <f>VLOOKUP($B220,'Tillförd energi'!$B$1:$AI$720,MATCH(K$1,'Tillförd energi'!$B$1:$AQ$1,0),FALSE)</f>
        <v>0</v>
      </c>
      <c r="L220" s="121">
        <f>VLOOKUP($B220,'Tillförd energi'!$B$1:$AI$720,MATCH(L$1,'Tillförd energi'!$B$1:$AQ$1,0),FALSE)</f>
        <v>0</v>
      </c>
      <c r="M220" s="121">
        <f>VLOOKUP($B220,'Tillförd energi'!$B$1:$AI$720,MATCH(M$1,'Tillförd energi'!$B$1:$AQ$1,0),FALSE)</f>
        <v>54.978499999999997</v>
      </c>
      <c r="N220" s="121">
        <f>VLOOKUP($B220,'Tillförd energi'!$B$1:$AI$720,MATCH(N$1,'Tillförd energi'!$B$1:$AQ$1,0),FALSE)</f>
        <v>32.752600000000001</v>
      </c>
      <c r="O220" s="121">
        <f>VLOOKUP($B220,'Tillförd energi'!$B$1:$AI$720,MATCH(O$1,'Tillförd energi'!$B$1:$AQ$1,0),FALSE)</f>
        <v>12.021599999999999</v>
      </c>
      <c r="P220" s="121">
        <f>VLOOKUP($B220,'Tillförd energi'!$B$1:$AI$720,MATCH(P$1,'Tillförd energi'!$B$1:$AQ$1,0),FALSE)</f>
        <v>32.514000000000003</v>
      </c>
      <c r="Q220" s="121">
        <f>VLOOKUP($B220,'Tillförd energi'!$B$1:$AI$720,MATCH(Q$1,'Tillförd energi'!$B$1:$AQ$1,0),FALSE)</f>
        <v>0</v>
      </c>
      <c r="R220" s="121">
        <f>VLOOKUP($B220,'Tillförd energi'!$B$1:$AI$720,MATCH(R$1,'Tillförd energi'!$B$1:$AQ$1,0),FALSE)</f>
        <v>10.3</v>
      </c>
      <c r="S220" s="121">
        <f>VLOOKUP($B220,'Tillförd energi'!$B$1:$AI$720,MATCH(S$1,'Tillförd energi'!$B$1:$AQ$1,0),FALSE)</f>
        <v>0</v>
      </c>
      <c r="T220" s="121">
        <f>VLOOKUP($B220,'Tillförd energi'!$B$1:$AI$720,MATCH(T$1,'Tillförd energi'!$B$1:$AQ$1,0),FALSE)</f>
        <v>0</v>
      </c>
      <c r="U220" s="121">
        <f>VLOOKUP($B220,'Tillförd energi'!$B$1:$AI$720,MATCH(U$1,'Tillförd energi'!$B$1:$AQ$1,0),FALSE)</f>
        <v>0</v>
      </c>
      <c r="V220" s="121">
        <f>VLOOKUP($B220,'Tillförd energi'!$B$1:$AI$720,MATCH(V$1,'Tillförd energi'!$B$1:$AQ$1,0),FALSE)</f>
        <v>0</v>
      </c>
      <c r="W220" s="121">
        <f>VLOOKUP($B220,'Tillförd energi'!$B$1:$AI$720,MATCH(W$1,'Tillförd energi'!$B$1:$AQ$1,0),FALSE)</f>
        <v>5.6</v>
      </c>
      <c r="X220" s="121">
        <f>VLOOKUP($B220,'Tillförd energi'!$B$1:$AI$720,MATCH(X$1,'Tillförd energi'!$B$1:$AQ$1,0),FALSE)</f>
        <v>0</v>
      </c>
      <c r="Y220" s="121">
        <f>VLOOKUP($B220,'Tillförd energi'!$B$1:$AI$720,MATCH(Y$1,'Tillförd energi'!$B$1:$AQ$1,0),FALSE)</f>
        <v>0</v>
      </c>
      <c r="Z220" s="121">
        <f>VLOOKUP($B220,'Tillförd energi'!$B$1:$AI$720,MATCH(Z$1,'Tillförd energi'!$B$1:$AQ$1,0),FALSE)</f>
        <v>0</v>
      </c>
      <c r="AA220" s="121">
        <f>VLOOKUP($B220,'Tillförd energi'!$B$1:$AI$720,MATCH(AA$1,'Tillförd energi'!$B$1:$AQ$1,0),FALSE)</f>
        <v>0.6</v>
      </c>
      <c r="AB220" s="121">
        <f>VLOOKUP($B220,'Tillförd energi'!$B$1:$AI$720,MATCH(AB$1,'Tillförd energi'!$B$1:$AQ$1,0),FALSE)</f>
        <v>0.6</v>
      </c>
      <c r="AC220" s="121">
        <f>VLOOKUP($B220,'Tillförd energi'!$B$1:$AI$720,MATCH(AC$1,'Tillförd energi'!$B$1:$AQ$1,0),FALSE)</f>
        <v>28.9</v>
      </c>
      <c r="AD220" s="121">
        <f>VLOOKUP($B220,'Tillförd energi'!$B$1:$AI$720,MATCH(AD$1,'Tillförd energi'!$B$1:$AQ$1,0),FALSE)</f>
        <v>0.4</v>
      </c>
      <c r="AE220" s="121">
        <f>VLOOKUP($B220,'Tillförd energi'!$B$1:$AI$720,MATCH(AE$1,'Tillförd energi'!$B$1:$AQ$1,0),FALSE)</f>
        <v>0</v>
      </c>
      <c r="AF220" s="121">
        <f>VLOOKUP($B220,'Tillförd energi'!$B$1:$AI$720,MATCH(AF$1,'Tillförd energi'!$B$1:$AQ$1,0),FALSE)</f>
        <v>3.6985700000000001</v>
      </c>
      <c r="AG220" s="121">
        <f>IFERROR(VLOOKUP(B220,Miljö!$B$1:$AC$550,MATCH("Köpt mängd produktionsspecifik fjärrvärme:",Miljö!$B$1:$AC$1,0),FALSE)/1,0)</f>
        <v>0</v>
      </c>
      <c r="AH220" s="121"/>
      <c r="AI220" s="121">
        <f t="shared" si="66"/>
        <v>182.66526999999999</v>
      </c>
      <c r="AJ220" s="121">
        <f t="shared" si="67"/>
        <v>182.66526999999999</v>
      </c>
      <c r="AK220" s="121">
        <f>IF(ISERROR(1/VLOOKUP($B220,Leveranser!$B$1:$S$499,MATCH("såld värme (gwh)",Leveranser!$B$1:$S$1,0),FALSE)),"",VLOOKUP($B220,Leveranser!$B$1:$S$499,MATCH("såld värme (gwh)",Leveranser!$B$1:$S$1,0),FALSE))</f>
        <v>148.6</v>
      </c>
      <c r="AL220" s="121">
        <f>VLOOKUP($B220,Leveranser!$B$1:$Y$499,MATCH("Totalt såld fjärrvärme till andra fjärrvärmeföretag",Leveranser!$B$1:$AA$1,0),FALSE)</f>
        <v>0</v>
      </c>
      <c r="AM220" s="121">
        <f>IF(ISERROR(1/VLOOKUP($B220,Miljö!$B$1:$S$500,MATCH("Såld mängd produktionsspecifik fjärrvärme (GWh)",Miljö!$B$1:$R$1,0),FALSE)),0,VLOOKUP($B220,Miljö!$B$1:$S$500,MATCH("Såld mängd produktionsspecifik fjärrvärme (GWh)",Miljö!$B$1:$R$1,0),FALSE))</f>
        <v>0</v>
      </c>
      <c r="AN220" s="172">
        <f t="shared" si="68"/>
        <v>0.81350986971962436</v>
      </c>
      <c r="AO220" s="121"/>
      <c r="AP220" s="121" t="str">
        <f>IFERROR(VLOOKUP($B220,Miljövärden!$B$2:$H$550,7,FALSE),"Nej, saknas")</f>
        <v>Ja</v>
      </c>
      <c r="AQ220" s="121" t="str">
        <f>IFERROR(VLOOKUP($B220,Miljövärden!$B$2:$H$550,6,FALSE),"Nej, saknas")</f>
        <v>Nej</v>
      </c>
      <c r="AU220">
        <f t="shared" si="69"/>
        <v>4.2985699999999998</v>
      </c>
      <c r="AV220">
        <f t="shared" si="70"/>
        <v>0</v>
      </c>
      <c r="AW220">
        <f t="shared" si="71"/>
        <v>132.26670000000001</v>
      </c>
      <c r="AX220">
        <f t="shared" si="72"/>
        <v>10.3</v>
      </c>
      <c r="AZ220">
        <f t="shared" si="73"/>
        <v>148.16670000000002</v>
      </c>
      <c r="BC220">
        <f t="shared" si="74"/>
        <v>0.3</v>
      </c>
      <c r="BD220">
        <f t="shared" si="75"/>
        <v>0</v>
      </c>
      <c r="BE220">
        <f t="shared" si="76"/>
        <v>148.16670000000002</v>
      </c>
      <c r="BF220">
        <f t="shared" si="77"/>
        <v>29.9</v>
      </c>
      <c r="BG220">
        <f t="shared" si="78"/>
        <v>4.2985699999999998</v>
      </c>
      <c r="BH220">
        <f>VLOOKUP(B220,Miljö!$B$1:$BX$482,MATCH("Fossilandel för ursprungspecificerad el ()",Miljö!$B$1:$I$1,0),FALSE)</f>
        <v>0</v>
      </c>
      <c r="BI220">
        <f>VLOOKUP(B220,Miljö!$B$1:$BX$482,MATCH("Kärnkraftsandel för ursprungsspecificerad el ()",Miljö!$B$1:$O$1,0),FALSE)</f>
        <v>0.5</v>
      </c>
      <c r="BJ220">
        <f t="shared" si="79"/>
        <v>0</v>
      </c>
      <c r="BK220" t="str">
        <f>VLOOKUP(B220,Miljö!$B$1:$O$482,MATCH("Fossil andel i procent (%)",Miljö!$B$1:$O$1,0),FALSE)</f>
        <v>ET</v>
      </c>
      <c r="BL220">
        <f t="shared" si="80"/>
        <v>182.66527000000005</v>
      </c>
      <c r="BO220" s="18">
        <f t="shared" si="81"/>
        <v>1.642348323794665E-3</v>
      </c>
      <c r="BP220" s="18">
        <f t="shared" si="82"/>
        <v>1.1766248723690056E-2</v>
      </c>
      <c r="BQ220" s="18">
        <f t="shared" si="83"/>
        <v>0.82290402001431351</v>
      </c>
      <c r="BR220" s="18">
        <f t="shared" si="84"/>
        <v>0.16368738293820162</v>
      </c>
      <c r="BT220" s="27">
        <f t="shared" si="85"/>
        <v>0.99999999999999989</v>
      </c>
      <c r="BW220" s="18">
        <f>IF(AP220="ja",VLOOKUP(B220,Miljövärden!$B$2:$H$550,MATCH("Total andel fossilt",Miljövärden!$B$2:$H$2,0),FALSE),"")</f>
        <v>1.6423500000000001E-3</v>
      </c>
      <c r="BZ220" s="28">
        <f t="shared" si="86"/>
        <v>1.6762053351229711E-9</v>
      </c>
      <c r="CA220" s="28">
        <f t="shared" si="87"/>
        <v>0</v>
      </c>
    </row>
    <row r="221" spans="1:79" x14ac:dyDescent="0.25">
      <c r="A221" s="224" t="s">
        <v>503</v>
      </c>
      <c r="B221" s="210" t="s">
        <v>504</v>
      </c>
      <c r="C221" s="121">
        <f>VLOOKUP($B221,'Tillförd energi'!$B$1:$AI$720,MATCH(C$1,'Tillförd energi'!$B$1:$AQ$1,0),FALSE)</f>
        <v>0</v>
      </c>
      <c r="D221" s="121">
        <f>VLOOKUP($B221,'Tillförd energi'!$B$1:$AI$720,MATCH(D$1,'Tillförd energi'!$B$1:$AQ$1,0),FALSE)</f>
        <v>0.70299999999999996</v>
      </c>
      <c r="E221" s="121">
        <f>VLOOKUP($B221,'Tillförd energi'!$B$1:$AI$720,MATCH(E$1,'Tillförd energi'!$B$1:$AQ$1,0),FALSE)</f>
        <v>0</v>
      </c>
      <c r="F221" s="121">
        <f>VLOOKUP($B221,'Tillförd energi'!$B$1:$AI$720,MATCH(F$1,'Tillförd energi'!$B$1:$AQ$1,0),FALSE)</f>
        <v>0</v>
      </c>
      <c r="G221" s="121">
        <f>VLOOKUP($B221,'Tillförd energi'!$B$1:$AI$720,MATCH(G$1,'Tillförd energi'!$B$1:$AQ$1,0),FALSE)</f>
        <v>0</v>
      </c>
      <c r="H221" s="121">
        <f>VLOOKUP($B221,'Tillförd energi'!$B$1:$AI$720,MATCH(H$1,'Tillförd energi'!$B$1:$AQ$1,0),FALSE)</f>
        <v>0</v>
      </c>
      <c r="I221" s="121">
        <f>VLOOKUP($B221,'Tillförd energi'!$B$1:$AI$720,MATCH(I$1,'Tillförd energi'!$B$1:$AQ$1,0),FALSE)</f>
        <v>0</v>
      </c>
      <c r="J221" s="121">
        <f>VLOOKUP($B221,'Tillförd energi'!$B$1:$AI$720,MATCH(J$1,'Tillförd energi'!$B$1:$AQ$1,0),FALSE)</f>
        <v>0</v>
      </c>
      <c r="K221" s="121">
        <f>VLOOKUP($B221,'Tillförd energi'!$B$1:$AI$720,MATCH(K$1,'Tillförd energi'!$B$1:$AQ$1,0),FALSE)</f>
        <v>0</v>
      </c>
      <c r="L221" s="121">
        <f>VLOOKUP($B221,'Tillförd energi'!$B$1:$AI$720,MATCH(L$1,'Tillförd energi'!$B$1:$AQ$1,0),FALSE)</f>
        <v>0</v>
      </c>
      <c r="M221" s="121">
        <f>VLOOKUP($B221,'Tillförd energi'!$B$1:$AI$720,MATCH(M$1,'Tillförd energi'!$B$1:$AQ$1,0),FALSE)</f>
        <v>0</v>
      </c>
      <c r="N221" s="121">
        <f>VLOOKUP($B221,'Tillförd energi'!$B$1:$AI$720,MATCH(N$1,'Tillförd energi'!$B$1:$AQ$1,0),FALSE)</f>
        <v>0</v>
      </c>
      <c r="O221" s="121">
        <f>VLOOKUP($B221,'Tillförd energi'!$B$1:$AI$720,MATCH(O$1,'Tillförd energi'!$B$1:$AQ$1,0),FALSE)</f>
        <v>0</v>
      </c>
      <c r="P221" s="121">
        <f>VLOOKUP($B221,'Tillförd energi'!$B$1:$AI$720,MATCH(P$1,'Tillförd energi'!$B$1:$AQ$1,0),FALSE)</f>
        <v>0</v>
      </c>
      <c r="Q221" s="121">
        <f>VLOOKUP($B221,'Tillförd energi'!$B$1:$AI$720,MATCH(Q$1,'Tillförd energi'!$B$1:$AQ$1,0),FALSE)</f>
        <v>0</v>
      </c>
      <c r="R221" s="121">
        <f>VLOOKUP($B221,'Tillförd energi'!$B$1:$AI$720,MATCH(R$1,'Tillförd energi'!$B$1:$AQ$1,0),FALSE)</f>
        <v>0</v>
      </c>
      <c r="S221" s="121">
        <f>VLOOKUP($B221,'Tillförd energi'!$B$1:$AI$720,MATCH(S$1,'Tillförd energi'!$B$1:$AQ$1,0),FALSE)</f>
        <v>0</v>
      </c>
      <c r="T221" s="121">
        <f>VLOOKUP($B221,'Tillförd energi'!$B$1:$AI$720,MATCH(T$1,'Tillförd energi'!$B$1:$AQ$1,0),FALSE)</f>
        <v>0</v>
      </c>
      <c r="U221" s="121">
        <f>VLOOKUP($B221,'Tillförd energi'!$B$1:$AI$720,MATCH(U$1,'Tillförd energi'!$B$1:$AQ$1,0),FALSE)</f>
        <v>0</v>
      </c>
      <c r="V221" s="121">
        <f>VLOOKUP($B221,'Tillförd energi'!$B$1:$AI$720,MATCH(V$1,'Tillförd energi'!$B$1:$AQ$1,0),FALSE)</f>
        <v>0</v>
      </c>
      <c r="W221" s="121">
        <f>VLOOKUP($B221,'Tillförd energi'!$B$1:$AI$720,MATCH(W$1,'Tillförd energi'!$B$1:$AQ$1,0),FALSE)</f>
        <v>0</v>
      </c>
      <c r="X221" s="121">
        <f>VLOOKUP($B221,'Tillförd energi'!$B$1:$AI$720,MATCH(X$1,'Tillförd energi'!$B$1:$AQ$1,0),FALSE)</f>
        <v>0</v>
      </c>
      <c r="Y221" s="121">
        <f>VLOOKUP($B221,'Tillförd energi'!$B$1:$AI$720,MATCH(Y$1,'Tillförd energi'!$B$1:$AQ$1,0),FALSE)</f>
        <v>0</v>
      </c>
      <c r="Z221" s="121">
        <f>VLOOKUP($B221,'Tillförd energi'!$B$1:$AI$720,MATCH(Z$1,'Tillförd energi'!$B$1:$AQ$1,0),FALSE)</f>
        <v>0</v>
      </c>
      <c r="AA221" s="121">
        <f>VLOOKUP($B221,'Tillförd energi'!$B$1:$AI$720,MATCH(AA$1,'Tillförd energi'!$B$1:$AQ$1,0),FALSE)</f>
        <v>0</v>
      </c>
      <c r="AB221" s="121">
        <f>VLOOKUP($B221,'Tillförd energi'!$B$1:$AI$720,MATCH(AB$1,'Tillförd energi'!$B$1:$AQ$1,0),FALSE)</f>
        <v>0</v>
      </c>
      <c r="AC221" s="121">
        <f>VLOOKUP($B221,'Tillförd energi'!$B$1:$AI$720,MATCH(AC$1,'Tillförd energi'!$B$1:$AQ$1,0),FALSE)</f>
        <v>0</v>
      </c>
      <c r="AD221" s="121">
        <f>VLOOKUP($B221,'Tillförd energi'!$B$1:$AI$720,MATCH(AD$1,'Tillförd energi'!$B$1:$AQ$1,0),FALSE)</f>
        <v>98.9</v>
      </c>
      <c r="AE221" s="121">
        <f>VLOOKUP($B221,'Tillförd energi'!$B$1:$AI$720,MATCH(AE$1,'Tillförd energi'!$B$1:$AQ$1,0),FALSE)</f>
        <v>0</v>
      </c>
      <c r="AF221" s="121">
        <f>VLOOKUP($B221,'Tillförd energi'!$B$1:$AI$720,MATCH(AF$1,'Tillförd energi'!$B$1:$AQ$1,0),FALSE)</f>
        <v>2.4870000000000001</v>
      </c>
      <c r="AG221" s="121">
        <f>IFERROR(VLOOKUP(B221,Miljö!$B$1:$AC$550,MATCH("Köpt mängd produktionsspecifik fjärrvärme:",Miljö!$B$1:$AC$1,0),FALSE)/1,0)</f>
        <v>0</v>
      </c>
      <c r="AH221" s="121"/>
      <c r="AI221" s="121">
        <f t="shared" si="66"/>
        <v>102.09</v>
      </c>
      <c r="AJ221" s="121">
        <f t="shared" si="67"/>
        <v>102.09</v>
      </c>
      <c r="AK221" s="121">
        <f>IF(ISERROR(1/VLOOKUP($B221,Leveranser!$B$1:$S$499,MATCH("såld värme (gwh)",Leveranser!$B$1:$S$1,0),FALSE)),"",VLOOKUP($B221,Leveranser!$B$1:$S$499,MATCH("såld värme (gwh)",Leveranser!$B$1:$S$1,0),FALSE))</f>
        <v>82.9</v>
      </c>
      <c r="AL221" s="121">
        <f>VLOOKUP($B221,Leveranser!$B$1:$Y$499,MATCH("Totalt såld fjärrvärme till andra fjärrvärmeföretag",Leveranser!$B$1:$AA$1,0),FALSE)</f>
        <v>0</v>
      </c>
      <c r="AM221" s="121">
        <f>IF(ISERROR(1/VLOOKUP($B221,Miljö!$B$1:$S$500,MATCH("Såld mängd produktionsspecifik fjärrvärme (GWh)",Miljö!$B$1:$R$1,0),FALSE)),0,VLOOKUP($B221,Miljö!$B$1:$S$500,MATCH("Såld mängd produktionsspecifik fjärrvärme (GWh)",Miljö!$B$1:$R$1,0),FALSE))</f>
        <v>0</v>
      </c>
      <c r="AN221" s="172">
        <f t="shared" si="68"/>
        <v>0.81202860221373296</v>
      </c>
      <c r="AO221" s="121"/>
      <c r="AP221" s="121" t="str">
        <f>IFERROR(VLOOKUP($B221,Miljövärden!$B$2:$H$550,7,FALSE),"Nej, saknas")</f>
        <v>Ja</v>
      </c>
      <c r="AQ221" s="121" t="str">
        <f>IFERROR(VLOOKUP($B221,Miljövärden!$B$2:$H$550,6,FALSE),"Nej, saknas")</f>
        <v>Nej</v>
      </c>
      <c r="AU221">
        <f t="shared" si="69"/>
        <v>2.4870000000000001</v>
      </c>
      <c r="AV221">
        <f t="shared" si="70"/>
        <v>0</v>
      </c>
      <c r="AW221">
        <f t="shared" si="71"/>
        <v>0</v>
      </c>
      <c r="AX221">
        <f t="shared" si="72"/>
        <v>0</v>
      </c>
      <c r="AZ221">
        <f t="shared" si="73"/>
        <v>0</v>
      </c>
      <c r="BC221">
        <f t="shared" si="74"/>
        <v>0.70299999999999996</v>
      </c>
      <c r="BD221">
        <f t="shared" si="75"/>
        <v>0</v>
      </c>
      <c r="BE221">
        <f t="shared" si="76"/>
        <v>0</v>
      </c>
      <c r="BF221">
        <f t="shared" si="77"/>
        <v>98.9</v>
      </c>
      <c r="BG221">
        <f t="shared" si="78"/>
        <v>2.4870000000000001</v>
      </c>
      <c r="BH221">
        <f>VLOOKUP(B221,Miljö!$B$1:$BX$482,MATCH("Fossilandel för ursprungspecificerad el ()",Miljö!$B$1:$I$1,0),FALSE)</f>
        <v>0.43</v>
      </c>
      <c r="BI221">
        <f>VLOOKUP(B221,Miljö!$B$1:$BX$482,MATCH("Kärnkraftsandel för ursprungsspecificerad el ()",Miljö!$B$1:$O$1,0),FALSE)</f>
        <v>0.40550000000000003</v>
      </c>
      <c r="BJ221">
        <f t="shared" si="79"/>
        <v>0</v>
      </c>
      <c r="BK221" t="str">
        <f>VLOOKUP(B221,Miljö!$B$1:$O$482,MATCH("Fossil andel i procent (%)",Miljö!$B$1:$O$1,0),FALSE)</f>
        <v>ET</v>
      </c>
      <c r="BL221">
        <f t="shared" si="80"/>
        <v>102.09</v>
      </c>
      <c r="BO221" s="18">
        <f t="shared" si="81"/>
        <v>1.7361249877559014E-2</v>
      </c>
      <c r="BP221" s="18">
        <f t="shared" si="82"/>
        <v>9.8783279459300627E-3</v>
      </c>
      <c r="BQ221" s="18">
        <f t="shared" si="83"/>
        <v>4.0073611519247732E-3</v>
      </c>
      <c r="BR221" s="18">
        <f t="shared" si="84"/>
        <v>0.96875306102458614</v>
      </c>
      <c r="BT221" s="27">
        <f t="shared" si="85"/>
        <v>1</v>
      </c>
      <c r="BW221" s="18">
        <f>IF(AP221="ja",VLOOKUP(B221,Miljövärden!$B$2:$H$550,MATCH("Total andel fossilt",Miljövärden!$B$2:$H$2,0),FALSE),"")</f>
        <v>1.73612E-2</v>
      </c>
      <c r="BZ221" s="28">
        <f t="shared" si="86"/>
        <v>-4.9877559013533634E-8</v>
      </c>
      <c r="CA221" s="28">
        <f t="shared" si="87"/>
        <v>0</v>
      </c>
    </row>
    <row r="222" spans="1:79" x14ac:dyDescent="0.25">
      <c r="A222" s="224" t="s">
        <v>505</v>
      </c>
      <c r="B222" s="210" t="s">
        <v>119</v>
      </c>
      <c r="C222" s="121">
        <f>VLOOKUP($B222,'Tillförd energi'!$B$1:$AI$720,MATCH(C$1,'Tillförd energi'!$B$1:$AQ$1,0),FALSE)</f>
        <v>0</v>
      </c>
      <c r="D222" s="121">
        <f>VLOOKUP($B222,'Tillförd energi'!$B$1:$AI$720,MATCH(D$1,'Tillförd energi'!$B$1:$AQ$1,0),FALSE)</f>
        <v>0</v>
      </c>
      <c r="E222" s="121">
        <f>VLOOKUP($B222,'Tillförd energi'!$B$1:$AI$720,MATCH(E$1,'Tillförd energi'!$B$1:$AQ$1,0),FALSE)</f>
        <v>0</v>
      </c>
      <c r="F222" s="121">
        <f>VLOOKUP($B222,'Tillförd energi'!$B$1:$AI$720,MATCH(F$1,'Tillförd energi'!$B$1:$AQ$1,0),FALSE)</f>
        <v>0</v>
      </c>
      <c r="G222" s="121">
        <f>VLOOKUP($B222,'Tillförd energi'!$B$1:$AI$720,MATCH(G$1,'Tillförd energi'!$B$1:$AQ$1,0),FALSE)</f>
        <v>0</v>
      </c>
      <c r="H222" s="121">
        <f>VLOOKUP($B222,'Tillförd energi'!$B$1:$AI$720,MATCH(H$1,'Tillförd energi'!$B$1:$AQ$1,0),FALSE)</f>
        <v>0</v>
      </c>
      <c r="I222" s="121">
        <f>VLOOKUP($B222,'Tillförd energi'!$B$1:$AI$720,MATCH(I$1,'Tillförd energi'!$B$1:$AQ$1,0),FALSE)</f>
        <v>0</v>
      </c>
      <c r="J222" s="121">
        <f>VLOOKUP($B222,'Tillförd energi'!$B$1:$AI$720,MATCH(J$1,'Tillförd energi'!$B$1:$AQ$1,0),FALSE)</f>
        <v>0</v>
      </c>
      <c r="K222" s="121">
        <f>VLOOKUP($B222,'Tillförd energi'!$B$1:$AI$720,MATCH(K$1,'Tillförd energi'!$B$1:$AQ$1,0),FALSE)</f>
        <v>0</v>
      </c>
      <c r="L222" s="121">
        <f>VLOOKUP($B222,'Tillförd energi'!$B$1:$AI$720,MATCH(L$1,'Tillförd energi'!$B$1:$AQ$1,0),FALSE)</f>
        <v>0</v>
      </c>
      <c r="M222" s="121">
        <f>VLOOKUP($B222,'Tillförd energi'!$B$1:$AI$720,MATCH(M$1,'Tillförd energi'!$B$1:$AQ$1,0),FALSE)</f>
        <v>0</v>
      </c>
      <c r="N222" s="121">
        <f>VLOOKUP($B222,'Tillförd energi'!$B$1:$AI$720,MATCH(N$1,'Tillförd energi'!$B$1:$AQ$1,0),FALSE)</f>
        <v>0</v>
      </c>
      <c r="O222" s="121">
        <f>VLOOKUP($B222,'Tillförd energi'!$B$1:$AI$720,MATCH(O$1,'Tillförd energi'!$B$1:$AQ$1,0),FALSE)</f>
        <v>0</v>
      </c>
      <c r="P222" s="121">
        <f>VLOOKUP($B222,'Tillförd energi'!$B$1:$AI$720,MATCH(P$1,'Tillförd energi'!$B$1:$AQ$1,0),FALSE)</f>
        <v>0</v>
      </c>
      <c r="Q222" s="121">
        <f>VLOOKUP($B222,'Tillförd energi'!$B$1:$AI$720,MATCH(Q$1,'Tillförd energi'!$B$1:$AQ$1,0),FALSE)</f>
        <v>0</v>
      </c>
      <c r="R222" s="121">
        <f>VLOOKUP($B222,'Tillförd energi'!$B$1:$AI$720,MATCH(R$1,'Tillförd energi'!$B$1:$AQ$1,0),FALSE)</f>
        <v>0</v>
      </c>
      <c r="S222" s="121">
        <f>VLOOKUP($B222,'Tillförd energi'!$B$1:$AI$720,MATCH(S$1,'Tillförd energi'!$B$1:$AQ$1,0),FALSE)</f>
        <v>0</v>
      </c>
      <c r="T222" s="121">
        <f>VLOOKUP($B222,'Tillförd energi'!$B$1:$AI$720,MATCH(T$1,'Tillförd energi'!$B$1:$AQ$1,0),FALSE)</f>
        <v>0</v>
      </c>
      <c r="U222" s="121">
        <f>VLOOKUP($B222,'Tillförd energi'!$B$1:$AI$720,MATCH(U$1,'Tillförd energi'!$B$1:$AQ$1,0),FALSE)</f>
        <v>0</v>
      </c>
      <c r="V222" s="121">
        <f>VLOOKUP($B222,'Tillförd energi'!$B$1:$AI$720,MATCH(V$1,'Tillförd energi'!$B$1:$AQ$1,0),FALSE)</f>
        <v>0</v>
      </c>
      <c r="W222" s="121">
        <f>VLOOKUP($B222,'Tillförd energi'!$B$1:$AI$720,MATCH(W$1,'Tillförd energi'!$B$1:$AQ$1,0),FALSE)</f>
        <v>0</v>
      </c>
      <c r="X222" s="121">
        <f>VLOOKUP($B222,'Tillförd energi'!$B$1:$AI$720,MATCH(X$1,'Tillförd energi'!$B$1:$AQ$1,0),FALSE)</f>
        <v>0</v>
      </c>
      <c r="Y222" s="121">
        <f>VLOOKUP($B222,'Tillförd energi'!$B$1:$AI$720,MATCH(Y$1,'Tillförd energi'!$B$1:$AQ$1,0),FALSE)</f>
        <v>0</v>
      </c>
      <c r="Z222" s="121">
        <f>VLOOKUP($B222,'Tillförd energi'!$B$1:$AI$720,MATCH(Z$1,'Tillförd energi'!$B$1:$AQ$1,0),FALSE)</f>
        <v>0</v>
      </c>
      <c r="AA222" s="121">
        <f>VLOOKUP($B222,'Tillförd energi'!$B$1:$AI$720,MATCH(AA$1,'Tillförd energi'!$B$1:$AQ$1,0),FALSE)</f>
        <v>0</v>
      </c>
      <c r="AB222" s="121">
        <f>VLOOKUP($B222,'Tillförd energi'!$B$1:$AI$720,MATCH(AB$1,'Tillförd energi'!$B$1:$AQ$1,0),FALSE)</f>
        <v>0</v>
      </c>
      <c r="AC222" s="121">
        <f>VLOOKUP($B222,'Tillförd energi'!$B$1:$AI$720,MATCH(AC$1,'Tillförd energi'!$B$1:$AQ$1,0),FALSE)</f>
        <v>0</v>
      </c>
      <c r="AD222" s="121">
        <f>VLOOKUP($B222,'Tillförd energi'!$B$1:$AI$720,MATCH(AD$1,'Tillförd energi'!$B$1:$AQ$1,0),FALSE)</f>
        <v>0</v>
      </c>
      <c r="AE222" s="121">
        <f>VLOOKUP($B222,'Tillförd energi'!$B$1:$AI$720,MATCH(AE$1,'Tillförd energi'!$B$1:$AQ$1,0),FALSE)</f>
        <v>0</v>
      </c>
      <c r="AF222" s="121">
        <f>VLOOKUP($B222,'Tillförd energi'!$B$1:$AI$720,MATCH(AF$1,'Tillförd energi'!$B$1:$AQ$1,0),FALSE)</f>
        <v>0</v>
      </c>
      <c r="AG222" s="121">
        <f>IFERROR(VLOOKUP(B222,Miljö!$B$1:$AC$550,MATCH("Köpt mängd produktionsspecifik fjärrvärme:",Miljö!$B$1:$AC$1,0),FALSE)/1,0)</f>
        <v>0</v>
      </c>
      <c r="AH222" s="121"/>
      <c r="AI222" s="121">
        <f t="shared" si="66"/>
        <v>0</v>
      </c>
      <c r="AJ222" s="121">
        <f t="shared" si="67"/>
        <v>0</v>
      </c>
      <c r="AK222" s="121" t="str">
        <f>IF(ISERROR(1/VLOOKUP($B222,Leveranser!$B$1:$S$499,MATCH("såld värme (gwh)",Leveranser!$B$1:$S$1,0),FALSE)),"",VLOOKUP($B222,Leveranser!$B$1:$S$499,MATCH("såld värme (gwh)",Leveranser!$B$1:$S$1,0),FALSE))</f>
        <v/>
      </c>
      <c r="AL222" s="121">
        <f>VLOOKUP($B222,Leveranser!$B$1:$Y$499,MATCH("Totalt såld fjärrvärme till andra fjärrvärmeföretag",Leveranser!$B$1:$AA$1,0),FALSE)</f>
        <v>0</v>
      </c>
      <c r="AM222" s="121">
        <f>IF(ISERROR(1/VLOOKUP($B222,Miljö!$B$1:$S$500,MATCH("Såld mängd produktionsspecifik fjärrvärme (GWh)",Miljö!$B$1:$R$1,0),FALSE)),0,VLOOKUP($B222,Miljö!$B$1:$S$500,MATCH("Såld mängd produktionsspecifik fjärrvärme (GWh)",Miljö!$B$1:$R$1,0),FALSE))</f>
        <v>0</v>
      </c>
      <c r="AN222" s="172" t="str">
        <f t="shared" si="68"/>
        <v/>
      </c>
      <c r="AO222" s="121"/>
      <c r="AP222" s="121" t="str">
        <f>IFERROR(VLOOKUP($B222,Miljövärden!$B$2:$H$550,7,FALSE),"Nej, saknas")</f>
        <v>Nej</v>
      </c>
      <c r="AQ222" s="121" t="str">
        <f>IFERROR(VLOOKUP($B222,Miljövärden!$B$2:$H$550,6,FALSE),"Nej, saknas")</f>
        <v>Nej</v>
      </c>
      <c r="AU222">
        <f t="shared" si="69"/>
        <v>0</v>
      </c>
      <c r="AV222">
        <f t="shared" si="70"/>
        <v>0</v>
      </c>
      <c r="AW222">
        <f t="shared" si="71"/>
        <v>0</v>
      </c>
      <c r="AX222">
        <f t="shared" si="72"/>
        <v>0</v>
      </c>
      <c r="AZ222">
        <f t="shared" si="73"/>
        <v>0</v>
      </c>
      <c r="BC222">
        <f t="shared" si="74"/>
        <v>0</v>
      </c>
      <c r="BD222">
        <f t="shared" si="75"/>
        <v>0</v>
      </c>
      <c r="BE222">
        <f t="shared" si="76"/>
        <v>0</v>
      </c>
      <c r="BF222">
        <f t="shared" si="77"/>
        <v>0</v>
      </c>
      <c r="BG222">
        <f t="shared" si="78"/>
        <v>0</v>
      </c>
      <c r="BH222" t="str">
        <f>VLOOKUP(B222,Miljö!$B$1:$BX$482,MATCH("Fossilandel för ursprungspecificerad el ()",Miljö!$B$1:$I$1,0),FALSE)</f>
        <v>-</v>
      </c>
      <c r="BI222" t="str">
        <f>VLOOKUP(B222,Miljö!$B$1:$BX$482,MATCH("Kärnkraftsandel för ursprungsspecificerad el ()",Miljö!$B$1:$O$1,0),FALSE)</f>
        <v>-</v>
      </c>
      <c r="BJ222">
        <f t="shared" si="79"/>
        <v>0</v>
      </c>
      <c r="BK222" t="str">
        <f>VLOOKUP(B222,Miljö!$B$1:$O$482,MATCH("Fossil andel i procent (%)",Miljö!$B$1:$O$1,0),FALSE)</f>
        <v>-</v>
      </c>
      <c r="BL222">
        <f t="shared" si="80"/>
        <v>0</v>
      </c>
      <c r="BO222" s="18" t="str">
        <f t="shared" si="81"/>
        <v/>
      </c>
      <c r="BP222" s="18" t="str">
        <f t="shared" si="82"/>
        <v/>
      </c>
      <c r="BQ222" s="18" t="str">
        <f t="shared" si="83"/>
        <v/>
      </c>
      <c r="BR222" s="18" t="str">
        <f t="shared" si="84"/>
        <v/>
      </c>
      <c r="BT222" s="27">
        <f t="shared" si="85"/>
        <v>0</v>
      </c>
      <c r="BW222" s="18" t="str">
        <f>IF(AP222="ja",VLOOKUP(B222,Miljövärden!$B$2:$H$550,MATCH("Total andel fossilt",Miljövärden!$B$2:$H$2,0),FALSE),"")</f>
        <v/>
      </c>
      <c r="BZ222" s="28" t="str">
        <f t="shared" si="86"/>
        <v/>
      </c>
      <c r="CA222" s="28" t="str">
        <f t="shared" si="87"/>
        <v/>
      </c>
    </row>
    <row r="223" spans="1:79" x14ac:dyDescent="0.25">
      <c r="A223" s="224" t="s">
        <v>506</v>
      </c>
      <c r="B223" s="210" t="s">
        <v>507</v>
      </c>
      <c r="C223" s="121">
        <f>VLOOKUP($B223,'Tillförd energi'!$B$1:$AI$720,MATCH(C$1,'Tillförd energi'!$B$1:$AQ$1,0),FALSE)</f>
        <v>0</v>
      </c>
      <c r="D223" s="121">
        <f>VLOOKUP($B223,'Tillförd energi'!$B$1:$AI$720,MATCH(D$1,'Tillförd energi'!$B$1:$AQ$1,0),FALSE)</f>
        <v>0</v>
      </c>
      <c r="E223" s="121">
        <f>VLOOKUP($B223,'Tillförd energi'!$B$1:$AI$720,MATCH(E$1,'Tillförd energi'!$B$1:$AQ$1,0),FALSE)</f>
        <v>0</v>
      </c>
      <c r="F223" s="121">
        <f>VLOOKUP($B223,'Tillförd energi'!$B$1:$AI$720,MATCH(F$1,'Tillförd energi'!$B$1:$AQ$1,0),FALSE)</f>
        <v>0</v>
      </c>
      <c r="G223" s="121">
        <f>VLOOKUP($B223,'Tillförd energi'!$B$1:$AI$720,MATCH(G$1,'Tillförd energi'!$B$1:$AQ$1,0),FALSE)</f>
        <v>0</v>
      </c>
      <c r="H223" s="121">
        <f>VLOOKUP($B223,'Tillförd energi'!$B$1:$AI$720,MATCH(H$1,'Tillförd energi'!$B$1:$AQ$1,0),FALSE)</f>
        <v>0</v>
      </c>
      <c r="I223" s="121">
        <f>VLOOKUP($B223,'Tillförd energi'!$B$1:$AI$720,MATCH(I$1,'Tillförd energi'!$B$1:$AQ$1,0),FALSE)</f>
        <v>0</v>
      </c>
      <c r="J223" s="121">
        <f>VLOOKUP($B223,'Tillförd energi'!$B$1:$AI$720,MATCH(J$1,'Tillförd energi'!$B$1:$AQ$1,0),FALSE)</f>
        <v>0</v>
      </c>
      <c r="K223" s="121">
        <f>VLOOKUP($B223,'Tillförd energi'!$B$1:$AI$720,MATCH(K$1,'Tillförd energi'!$B$1:$AQ$1,0),FALSE)</f>
        <v>0</v>
      </c>
      <c r="L223" s="121">
        <f>VLOOKUP($B223,'Tillförd energi'!$B$1:$AI$720,MATCH(L$1,'Tillförd energi'!$B$1:$AQ$1,0),FALSE)</f>
        <v>0</v>
      </c>
      <c r="M223" s="121">
        <f>VLOOKUP($B223,'Tillförd energi'!$B$1:$AI$720,MATCH(M$1,'Tillförd energi'!$B$1:$AQ$1,0),FALSE)</f>
        <v>0</v>
      </c>
      <c r="N223" s="121">
        <f>VLOOKUP($B223,'Tillförd energi'!$B$1:$AI$720,MATCH(N$1,'Tillförd energi'!$B$1:$AQ$1,0),FALSE)</f>
        <v>0</v>
      </c>
      <c r="O223" s="121">
        <f>VLOOKUP($B223,'Tillförd energi'!$B$1:$AI$720,MATCH(O$1,'Tillförd energi'!$B$1:$AQ$1,0),FALSE)</f>
        <v>0</v>
      </c>
      <c r="P223" s="121">
        <f>VLOOKUP($B223,'Tillförd energi'!$B$1:$AI$720,MATCH(P$1,'Tillförd energi'!$B$1:$AQ$1,0),FALSE)</f>
        <v>0</v>
      </c>
      <c r="Q223" s="121">
        <f>VLOOKUP($B223,'Tillförd energi'!$B$1:$AI$720,MATCH(Q$1,'Tillförd energi'!$B$1:$AQ$1,0),FALSE)</f>
        <v>0</v>
      </c>
      <c r="R223" s="121">
        <f>VLOOKUP($B223,'Tillförd energi'!$B$1:$AI$720,MATCH(R$1,'Tillförd energi'!$B$1:$AQ$1,0),FALSE)</f>
        <v>0</v>
      </c>
      <c r="S223" s="121">
        <f>VLOOKUP($B223,'Tillförd energi'!$B$1:$AI$720,MATCH(S$1,'Tillförd energi'!$B$1:$AQ$1,0),FALSE)</f>
        <v>0</v>
      </c>
      <c r="T223" s="121">
        <f>VLOOKUP($B223,'Tillförd energi'!$B$1:$AI$720,MATCH(T$1,'Tillförd energi'!$B$1:$AQ$1,0),FALSE)</f>
        <v>0</v>
      </c>
      <c r="U223" s="121">
        <f>VLOOKUP($B223,'Tillförd energi'!$B$1:$AI$720,MATCH(U$1,'Tillförd energi'!$B$1:$AQ$1,0),FALSE)</f>
        <v>0</v>
      </c>
      <c r="V223" s="121">
        <f>VLOOKUP($B223,'Tillförd energi'!$B$1:$AI$720,MATCH(V$1,'Tillförd energi'!$B$1:$AQ$1,0),FALSE)</f>
        <v>0</v>
      </c>
      <c r="W223" s="121">
        <f>VLOOKUP($B223,'Tillförd energi'!$B$1:$AI$720,MATCH(W$1,'Tillförd energi'!$B$1:$AQ$1,0),FALSE)</f>
        <v>0</v>
      </c>
      <c r="X223" s="121">
        <f>VLOOKUP($B223,'Tillförd energi'!$B$1:$AI$720,MATCH(X$1,'Tillförd energi'!$B$1:$AQ$1,0),FALSE)</f>
        <v>0</v>
      </c>
      <c r="Y223" s="121">
        <f>VLOOKUP($B223,'Tillförd energi'!$B$1:$AI$720,MATCH(Y$1,'Tillförd energi'!$B$1:$AQ$1,0),FALSE)</f>
        <v>0</v>
      </c>
      <c r="Z223" s="121">
        <f>VLOOKUP($B223,'Tillförd energi'!$B$1:$AI$720,MATCH(Z$1,'Tillförd energi'!$B$1:$AQ$1,0),FALSE)</f>
        <v>0</v>
      </c>
      <c r="AA223" s="121">
        <f>VLOOKUP($B223,'Tillförd energi'!$B$1:$AI$720,MATCH(AA$1,'Tillförd energi'!$B$1:$AQ$1,0),FALSE)</f>
        <v>0</v>
      </c>
      <c r="AB223" s="121">
        <f>VLOOKUP($B223,'Tillförd energi'!$B$1:$AI$720,MATCH(AB$1,'Tillförd energi'!$B$1:$AQ$1,0),FALSE)</f>
        <v>0</v>
      </c>
      <c r="AC223" s="121">
        <f>VLOOKUP($B223,'Tillförd energi'!$B$1:$AI$720,MATCH(AC$1,'Tillförd energi'!$B$1:$AQ$1,0),FALSE)</f>
        <v>0</v>
      </c>
      <c r="AD223" s="121">
        <f>VLOOKUP($B223,'Tillförd energi'!$B$1:$AI$720,MATCH(AD$1,'Tillförd energi'!$B$1:$AQ$1,0),FALSE)</f>
        <v>0</v>
      </c>
      <c r="AE223" s="121">
        <f>VLOOKUP($B223,'Tillförd energi'!$B$1:$AI$720,MATCH(AE$1,'Tillförd energi'!$B$1:$AQ$1,0),FALSE)</f>
        <v>0</v>
      </c>
      <c r="AF223" s="121">
        <f>VLOOKUP($B223,'Tillförd energi'!$B$1:$AI$720,MATCH(AF$1,'Tillförd energi'!$B$1:$AQ$1,0),FALSE)</f>
        <v>9.9999999999999995E-7</v>
      </c>
      <c r="AG223" s="121">
        <f>IFERROR(VLOOKUP(B223,Miljö!$B$1:$AC$550,MATCH("Köpt mängd produktionsspecifik fjärrvärme:",Miljö!$B$1:$AC$1,0),FALSE)/1,0)</f>
        <v>171</v>
      </c>
      <c r="AH223" s="121"/>
      <c r="AI223" s="121">
        <f t="shared" ref="AI223:AI264" si="88">SUM(C223:AF223)</f>
        <v>9.9999999999999995E-7</v>
      </c>
      <c r="AJ223" s="121">
        <f t="shared" ref="AJ223:AJ264" si="89">SUM(C223:AG223)</f>
        <v>171.000001</v>
      </c>
      <c r="AK223" s="121">
        <f>IF(ISERROR(1/VLOOKUP($B223,Leveranser!$B$1:$S$499,MATCH("såld värme (gwh)",Leveranser!$B$1:$S$1,0),FALSE)),"",VLOOKUP($B223,Leveranser!$B$1:$S$499,MATCH("såld värme (gwh)",Leveranser!$B$1:$S$1,0),FALSE))</f>
        <v>158</v>
      </c>
      <c r="AL223" s="121">
        <f>VLOOKUP($B223,Leveranser!$B$1:$Y$499,MATCH("Totalt såld fjärrvärme till andra fjärrvärmeföretag",Leveranser!$B$1:$AA$1,0),FALSE)</f>
        <v>0</v>
      </c>
      <c r="AM223" s="121">
        <f>IF(ISERROR(1/VLOOKUP($B223,Miljö!$B$1:$S$500,MATCH("Såld mängd produktionsspecifik fjärrvärme (GWh)",Miljö!$B$1:$R$1,0),FALSE)),0,VLOOKUP($B223,Miljö!$B$1:$S$500,MATCH("Såld mängd produktionsspecifik fjärrvärme (GWh)",Miljö!$B$1:$R$1,0),FALSE))</f>
        <v>0</v>
      </c>
      <c r="AN223" s="172">
        <f t="shared" ref="AN223:AN264" si="90">IFERROR(AK223/AJ223,"")</f>
        <v>0.92397660278376259</v>
      </c>
      <c r="AO223" s="121"/>
      <c r="AP223" s="121" t="str">
        <f>IFERROR(VLOOKUP($B223,Miljövärden!$B$2:$H$550,7,FALSE),"Nej, saknas")</f>
        <v>Ja</v>
      </c>
      <c r="AQ223" s="121" t="str">
        <f>IFERROR(VLOOKUP($B223,Miljövärden!$B$2:$H$550,6,FALSE),"Nej, saknas")</f>
        <v>Ja</v>
      </c>
      <c r="AU223">
        <f t="shared" ref="AU223:AU264" si="91">Z223+AA223+AF223</f>
        <v>9.9999999999999995E-7</v>
      </c>
      <c r="AV223">
        <f t="shared" ref="AV223:AV264" si="92">X223</f>
        <v>0</v>
      </c>
      <c r="AW223">
        <f t="shared" ref="AW223:AW264" si="93">M223+N223+O223+P223+Q223</f>
        <v>0</v>
      </c>
      <c r="AX223">
        <f t="shared" ref="AX223:AX264" si="94">R223+S223+T223+U223</f>
        <v>0</v>
      </c>
      <c r="AZ223">
        <f t="shared" ref="AZ223:AZ264" si="95">L223+M223+N223+O223+P223+Q223+R223+S223+T223+U223+V223+W223+X223</f>
        <v>0</v>
      </c>
      <c r="BC223">
        <f t="shared" ref="BC223:BC264" si="96">C223+D223+E223+F223+G223+H223+AE223</f>
        <v>0</v>
      </c>
      <c r="BD223">
        <f t="shared" ref="BD223:BD264" si="97">Y223</f>
        <v>0</v>
      </c>
      <c r="BE223">
        <f t="shared" ref="BE223:BE264" si="98">M223+N223+O223+P223+Q223+R223+S223+T223+U223+V223+W223+X223</f>
        <v>0</v>
      </c>
      <c r="BF223">
        <f t="shared" ref="BF223:BF264" si="99">I223+J223+K223+L223+AB223+AC223+AD223</f>
        <v>0</v>
      </c>
      <c r="BG223">
        <f t="shared" ref="BG223:BG264" si="100">Z223+AA223+AF223</f>
        <v>9.9999999999999995E-7</v>
      </c>
      <c r="BH223">
        <f>VLOOKUP(B223,Miljö!$B$1:$BX$482,MATCH("Fossilandel för ursprungspecificerad el ()",Miljö!$B$1:$I$1,0),FALSE)</f>
        <v>0</v>
      </c>
      <c r="BI223">
        <f>VLOOKUP(B223,Miljö!$B$1:$BX$482,MATCH("Kärnkraftsandel för ursprungsspecificerad el ()",Miljö!$B$1:$O$1,0),FALSE)</f>
        <v>0</v>
      </c>
      <c r="BJ223">
        <f t="shared" ref="BJ223:BJ264" si="101">AG223</f>
        <v>171</v>
      </c>
      <c r="BK223">
        <f>VLOOKUP(B223,Miljö!$B$1:$O$482,MATCH("Fossil andel i procent (%)",Miljö!$B$1:$O$1,0),FALSE)</f>
        <v>12</v>
      </c>
      <c r="BL223">
        <f t="shared" ref="BL223:BL264" si="102">SUM(BC223:BG223,BJ223)</f>
        <v>171.000001</v>
      </c>
      <c r="BO223" s="18">
        <f t="shared" ref="BO223:BO264" si="103">IF(AP223="ja",(BC223+IFERROR(BG223*BH223,0)+IFERROR(BJ223*BK223/100,0))/$BL223,"")</f>
        <v>0.11999999929824562</v>
      </c>
      <c r="BP223" s="18">
        <f t="shared" ref="BP223:BP264" si="104">IF(AP223="ja",(BD223+IFERROR(BG223*BI223,0)+IFERROR(BJ223*(1-BK223/100),0))/$BL223,"")</f>
        <v>0.8799999948538012</v>
      </c>
      <c r="BQ223" s="18">
        <f t="shared" ref="BQ223:BQ264" si="105">IF(AP223="ja",(BE223+IFERROR(BG223*(1-BH223-BI223),0))/$BL223,"")</f>
        <v>5.8479531821757124E-9</v>
      </c>
      <c r="BR223" s="18">
        <f t="shared" ref="BR223:BR264" si="106">IF(AP223="ja",BF223/$BL223,"")</f>
        <v>0</v>
      </c>
      <c r="BT223" s="27">
        <f t="shared" ref="BT223:BT264" si="107">SUM(BO223:BR223)</f>
        <v>1</v>
      </c>
      <c r="BW223" s="18">
        <f>IF(AP223="ja",VLOOKUP(B223,Miljövärden!$B$2:$H$550,MATCH("Total andel fossilt",Miljövärden!$B$2:$H$2,0),FALSE),"")</f>
        <v>0.12</v>
      </c>
      <c r="BZ223" s="28">
        <f t="shared" ref="BZ223:BZ264" si="108">IFERROR(BW223-BO223,"")</f>
        <v>7.0175437683062114E-10</v>
      </c>
      <c r="CA223" s="28">
        <f t="shared" ref="CA223:CA264" si="109">IFERROR(ROUND(BW223,3)-ROUND(BO223,3),"")</f>
        <v>0</v>
      </c>
    </row>
    <row r="224" spans="1:79" x14ac:dyDescent="0.25">
      <c r="A224" s="224" t="s">
        <v>4</v>
      </c>
      <c r="B224" s="210" t="s">
        <v>508</v>
      </c>
      <c r="C224" s="121">
        <f>VLOOKUP($B224,'Tillförd energi'!$B$1:$AI$720,MATCH(C$1,'Tillförd energi'!$B$1:$AQ$1,0),FALSE)</f>
        <v>0</v>
      </c>
      <c r="D224" s="121">
        <f>VLOOKUP($B224,'Tillförd energi'!$B$1:$AI$720,MATCH(D$1,'Tillförd energi'!$B$1:$AQ$1,0),FALSE)</f>
        <v>0</v>
      </c>
      <c r="E224" s="121">
        <f>VLOOKUP($B224,'Tillförd energi'!$B$1:$AI$720,MATCH(E$1,'Tillförd energi'!$B$1:$AQ$1,0),FALSE)</f>
        <v>0</v>
      </c>
      <c r="F224" s="121">
        <f>VLOOKUP($B224,'Tillförd energi'!$B$1:$AI$720,MATCH(F$1,'Tillförd energi'!$B$1:$AQ$1,0),FALSE)</f>
        <v>0</v>
      </c>
      <c r="G224" s="121">
        <f>VLOOKUP($B224,'Tillförd energi'!$B$1:$AI$720,MATCH(G$1,'Tillförd energi'!$B$1:$AQ$1,0),FALSE)</f>
        <v>0</v>
      </c>
      <c r="H224" s="121">
        <f>VLOOKUP($B224,'Tillförd energi'!$B$1:$AI$720,MATCH(H$1,'Tillförd energi'!$B$1:$AQ$1,0),FALSE)</f>
        <v>0</v>
      </c>
      <c r="I224" s="121">
        <f>VLOOKUP($B224,'Tillförd energi'!$B$1:$AI$720,MATCH(I$1,'Tillförd energi'!$B$1:$AQ$1,0),FALSE)</f>
        <v>0</v>
      </c>
      <c r="J224" s="121">
        <f>VLOOKUP($B224,'Tillförd energi'!$B$1:$AI$720,MATCH(J$1,'Tillförd energi'!$B$1:$AQ$1,0),FALSE)</f>
        <v>0</v>
      </c>
      <c r="K224" s="121">
        <f>VLOOKUP($B224,'Tillförd energi'!$B$1:$AI$720,MATCH(K$1,'Tillförd energi'!$B$1:$AQ$1,0),FALSE)</f>
        <v>0</v>
      </c>
      <c r="L224" s="121">
        <f>VLOOKUP($B224,'Tillförd energi'!$B$1:$AI$720,MATCH(L$1,'Tillförd energi'!$B$1:$AQ$1,0),FALSE)</f>
        <v>0</v>
      </c>
      <c r="M224" s="121">
        <f>VLOOKUP($B224,'Tillförd energi'!$B$1:$AI$720,MATCH(M$1,'Tillförd energi'!$B$1:$AQ$1,0),FALSE)</f>
        <v>0</v>
      </c>
      <c r="N224" s="121">
        <f>VLOOKUP($B224,'Tillförd energi'!$B$1:$AI$720,MATCH(N$1,'Tillförd energi'!$B$1:$AQ$1,0),FALSE)</f>
        <v>0</v>
      </c>
      <c r="O224" s="121">
        <f>VLOOKUP($B224,'Tillförd energi'!$B$1:$AI$720,MATCH(O$1,'Tillförd energi'!$B$1:$AQ$1,0),FALSE)</f>
        <v>0</v>
      </c>
      <c r="P224" s="121">
        <f>VLOOKUP($B224,'Tillförd energi'!$B$1:$AI$720,MATCH(P$1,'Tillförd energi'!$B$1:$AQ$1,0),FALSE)</f>
        <v>0</v>
      </c>
      <c r="Q224" s="121">
        <f>VLOOKUP($B224,'Tillförd energi'!$B$1:$AI$720,MATCH(Q$1,'Tillförd energi'!$B$1:$AQ$1,0),FALSE)</f>
        <v>0</v>
      </c>
      <c r="R224" s="121">
        <f>VLOOKUP($B224,'Tillförd energi'!$B$1:$AI$720,MATCH(R$1,'Tillförd energi'!$B$1:$AQ$1,0),FALSE)</f>
        <v>0</v>
      </c>
      <c r="S224" s="121">
        <f>VLOOKUP($B224,'Tillförd energi'!$B$1:$AI$720,MATCH(S$1,'Tillförd energi'!$B$1:$AQ$1,0),FALSE)</f>
        <v>0</v>
      </c>
      <c r="T224" s="121">
        <f>VLOOKUP($B224,'Tillförd energi'!$B$1:$AI$720,MATCH(T$1,'Tillförd energi'!$B$1:$AQ$1,0),FALSE)</f>
        <v>0</v>
      </c>
      <c r="U224" s="121">
        <f>VLOOKUP($B224,'Tillförd energi'!$B$1:$AI$720,MATCH(U$1,'Tillförd energi'!$B$1:$AQ$1,0),FALSE)</f>
        <v>0</v>
      </c>
      <c r="V224" s="121">
        <f>VLOOKUP($B224,'Tillförd energi'!$B$1:$AI$720,MATCH(V$1,'Tillförd energi'!$B$1:$AQ$1,0),FALSE)</f>
        <v>0</v>
      </c>
      <c r="W224" s="121">
        <f>VLOOKUP($B224,'Tillförd energi'!$B$1:$AI$720,MATCH(W$1,'Tillförd energi'!$B$1:$AQ$1,0),FALSE)</f>
        <v>0</v>
      </c>
      <c r="X224" s="121">
        <f>VLOOKUP($B224,'Tillförd energi'!$B$1:$AI$720,MATCH(X$1,'Tillförd energi'!$B$1:$AQ$1,0),FALSE)</f>
        <v>0</v>
      </c>
      <c r="Y224" s="121">
        <f>VLOOKUP($B224,'Tillförd energi'!$B$1:$AI$720,MATCH(Y$1,'Tillförd energi'!$B$1:$AQ$1,0),FALSE)</f>
        <v>0</v>
      </c>
      <c r="Z224" s="121">
        <f>VLOOKUP($B224,'Tillförd energi'!$B$1:$AI$720,MATCH(Z$1,'Tillförd energi'!$B$1:$AQ$1,0),FALSE)</f>
        <v>0</v>
      </c>
      <c r="AA224" s="121">
        <f>VLOOKUP($B224,'Tillförd energi'!$B$1:$AI$720,MATCH(AA$1,'Tillförd energi'!$B$1:$AQ$1,0),FALSE)</f>
        <v>0</v>
      </c>
      <c r="AB224" s="121">
        <f>VLOOKUP($B224,'Tillförd energi'!$B$1:$AI$720,MATCH(AB$1,'Tillförd energi'!$B$1:$AQ$1,0),FALSE)</f>
        <v>0</v>
      </c>
      <c r="AC224" s="121">
        <f>VLOOKUP($B224,'Tillförd energi'!$B$1:$AI$720,MATCH(AC$1,'Tillförd energi'!$B$1:$AQ$1,0),FALSE)</f>
        <v>0</v>
      </c>
      <c r="AD224" s="121">
        <f>VLOOKUP($B224,'Tillförd energi'!$B$1:$AI$720,MATCH(AD$1,'Tillförd energi'!$B$1:$AQ$1,0),FALSE)</f>
        <v>0</v>
      </c>
      <c r="AE224" s="121">
        <f>VLOOKUP($B224,'Tillförd energi'!$B$1:$AI$720,MATCH(AE$1,'Tillförd energi'!$B$1:$AQ$1,0),FALSE)</f>
        <v>0</v>
      </c>
      <c r="AF224" s="121">
        <f>VLOOKUP($B224,'Tillförd energi'!$B$1:$AI$720,MATCH(AF$1,'Tillförd energi'!$B$1:$AQ$1,0),FALSE)</f>
        <v>0</v>
      </c>
      <c r="AG224" s="121">
        <f>IFERROR(VLOOKUP(B224,Miljö!$B$1:$AC$550,MATCH("Köpt mängd produktionsspecifik fjärrvärme:",Miljö!$B$1:$AC$1,0),FALSE)/1,0)</f>
        <v>0</v>
      </c>
      <c r="AH224" s="121"/>
      <c r="AI224" s="121">
        <f t="shared" si="88"/>
        <v>0</v>
      </c>
      <c r="AJ224" s="121">
        <f t="shared" si="89"/>
        <v>0</v>
      </c>
      <c r="AK224" s="121" t="str">
        <f>IF(ISERROR(1/VLOOKUP($B224,Leveranser!$B$1:$S$499,MATCH("såld värme (gwh)",Leveranser!$B$1:$S$1,0),FALSE)),"",VLOOKUP($B224,Leveranser!$B$1:$S$499,MATCH("såld värme (gwh)",Leveranser!$B$1:$S$1,0),FALSE))</f>
        <v/>
      </c>
      <c r="AL224" s="121">
        <f>VLOOKUP($B224,Leveranser!$B$1:$Y$499,MATCH("Totalt såld fjärrvärme till andra fjärrvärmeföretag",Leveranser!$B$1:$AA$1,0),FALSE)</f>
        <v>0</v>
      </c>
      <c r="AM224" s="121">
        <f>IF(ISERROR(1/VLOOKUP($B224,Miljö!$B$1:$S$500,MATCH("Såld mängd produktionsspecifik fjärrvärme (GWh)",Miljö!$B$1:$R$1,0),FALSE)),0,VLOOKUP($B224,Miljö!$B$1:$S$500,MATCH("Såld mängd produktionsspecifik fjärrvärme (GWh)",Miljö!$B$1:$R$1,0),FALSE))</f>
        <v>0</v>
      </c>
      <c r="AN224" s="172" t="str">
        <f t="shared" si="90"/>
        <v/>
      </c>
      <c r="AO224" s="121"/>
      <c r="AP224" s="121" t="str">
        <f>IFERROR(VLOOKUP($B224,Miljövärden!$B$2:$H$550,7,FALSE),"Nej, saknas")</f>
        <v>Nej</v>
      </c>
      <c r="AQ224" s="121" t="str">
        <f>IFERROR(VLOOKUP($B224,Miljövärden!$B$2:$H$550,6,FALSE),"Nej, saknas")</f>
        <v>Nej</v>
      </c>
      <c r="AU224">
        <f t="shared" si="91"/>
        <v>0</v>
      </c>
      <c r="AV224">
        <f t="shared" si="92"/>
        <v>0</v>
      </c>
      <c r="AW224">
        <f t="shared" si="93"/>
        <v>0</v>
      </c>
      <c r="AX224">
        <f t="shared" si="94"/>
        <v>0</v>
      </c>
      <c r="AZ224">
        <f t="shared" si="95"/>
        <v>0</v>
      </c>
      <c r="BC224">
        <f t="shared" si="96"/>
        <v>0</v>
      </c>
      <c r="BD224">
        <f t="shared" si="97"/>
        <v>0</v>
      </c>
      <c r="BE224">
        <f t="shared" si="98"/>
        <v>0</v>
      </c>
      <c r="BF224">
        <f t="shared" si="99"/>
        <v>0</v>
      </c>
      <c r="BG224">
        <f t="shared" si="100"/>
        <v>0</v>
      </c>
      <c r="BH224" t="str">
        <f>VLOOKUP(B224,Miljö!$B$1:$BX$482,MATCH("Fossilandel för ursprungspecificerad el ()",Miljö!$B$1:$I$1,0),FALSE)</f>
        <v>-</v>
      </c>
      <c r="BI224" t="str">
        <f>VLOOKUP(B224,Miljö!$B$1:$BX$482,MATCH("Kärnkraftsandel för ursprungsspecificerad el ()",Miljö!$B$1:$O$1,0),FALSE)</f>
        <v>-</v>
      </c>
      <c r="BJ224">
        <f t="shared" si="101"/>
        <v>0</v>
      </c>
      <c r="BK224" t="str">
        <f>VLOOKUP(B224,Miljö!$B$1:$O$482,MATCH("Fossil andel i procent (%)",Miljö!$B$1:$O$1,0),FALSE)</f>
        <v>-</v>
      </c>
      <c r="BL224">
        <f t="shared" si="102"/>
        <v>0</v>
      </c>
      <c r="BO224" s="18" t="str">
        <f t="shared" si="103"/>
        <v/>
      </c>
      <c r="BP224" s="18" t="str">
        <f t="shared" si="104"/>
        <v/>
      </c>
      <c r="BQ224" s="18" t="str">
        <f t="shared" si="105"/>
        <v/>
      </c>
      <c r="BR224" s="18" t="str">
        <f t="shared" si="106"/>
        <v/>
      </c>
      <c r="BT224" s="27">
        <f t="shared" si="107"/>
        <v>0</v>
      </c>
      <c r="BW224" s="18" t="str">
        <f>IF(AP224="ja",VLOOKUP(B224,Miljövärden!$B$2:$H$550,MATCH("Total andel fossilt",Miljövärden!$B$2:$H$2,0),FALSE),"")</f>
        <v/>
      </c>
      <c r="BZ224" s="28" t="str">
        <f t="shared" si="108"/>
        <v/>
      </c>
      <c r="CA224" s="28" t="str">
        <f t="shared" si="109"/>
        <v/>
      </c>
    </row>
    <row r="225" spans="1:79" x14ac:dyDescent="0.25">
      <c r="A225" s="224" t="s">
        <v>4</v>
      </c>
      <c r="B225" s="210" t="s">
        <v>509</v>
      </c>
      <c r="C225" s="121">
        <f>VLOOKUP($B225,'Tillförd energi'!$B$1:$AI$720,MATCH(C$1,'Tillförd energi'!$B$1:$AQ$1,0),FALSE)</f>
        <v>0</v>
      </c>
      <c r="D225" s="121">
        <f>VLOOKUP($B225,'Tillförd energi'!$B$1:$AI$720,MATCH(D$1,'Tillförd energi'!$B$1:$AQ$1,0),FALSE)</f>
        <v>0</v>
      </c>
      <c r="E225" s="121">
        <f>VLOOKUP($B225,'Tillförd energi'!$B$1:$AI$720,MATCH(E$1,'Tillförd energi'!$B$1:$AQ$1,0),FALSE)</f>
        <v>0</v>
      </c>
      <c r="F225" s="121">
        <f>VLOOKUP($B225,'Tillförd energi'!$B$1:$AI$720,MATCH(F$1,'Tillförd energi'!$B$1:$AQ$1,0),FALSE)</f>
        <v>0</v>
      </c>
      <c r="G225" s="121">
        <f>VLOOKUP($B225,'Tillförd energi'!$B$1:$AI$720,MATCH(G$1,'Tillförd energi'!$B$1:$AQ$1,0),FALSE)</f>
        <v>0</v>
      </c>
      <c r="H225" s="121">
        <f>VLOOKUP($B225,'Tillförd energi'!$B$1:$AI$720,MATCH(H$1,'Tillförd energi'!$B$1:$AQ$1,0),FALSE)</f>
        <v>0</v>
      </c>
      <c r="I225" s="121">
        <f>VLOOKUP($B225,'Tillförd energi'!$B$1:$AI$720,MATCH(I$1,'Tillförd energi'!$B$1:$AQ$1,0),FALSE)</f>
        <v>0</v>
      </c>
      <c r="J225" s="121">
        <f>VLOOKUP($B225,'Tillförd energi'!$B$1:$AI$720,MATCH(J$1,'Tillförd energi'!$B$1:$AQ$1,0),FALSE)</f>
        <v>0</v>
      </c>
      <c r="K225" s="121">
        <f>VLOOKUP($B225,'Tillförd energi'!$B$1:$AI$720,MATCH(K$1,'Tillförd energi'!$B$1:$AQ$1,0),FALSE)</f>
        <v>0</v>
      </c>
      <c r="L225" s="121">
        <f>VLOOKUP($B225,'Tillförd energi'!$B$1:$AI$720,MATCH(L$1,'Tillförd energi'!$B$1:$AQ$1,0),FALSE)</f>
        <v>0</v>
      </c>
      <c r="M225" s="121">
        <f>VLOOKUP($B225,'Tillförd energi'!$B$1:$AI$720,MATCH(M$1,'Tillförd energi'!$B$1:$AQ$1,0),FALSE)</f>
        <v>0</v>
      </c>
      <c r="N225" s="121">
        <f>VLOOKUP($B225,'Tillförd energi'!$B$1:$AI$720,MATCH(N$1,'Tillförd energi'!$B$1:$AQ$1,0),FALSE)</f>
        <v>0</v>
      </c>
      <c r="O225" s="121">
        <f>VLOOKUP($B225,'Tillförd energi'!$B$1:$AI$720,MATCH(O$1,'Tillförd energi'!$B$1:$AQ$1,0),FALSE)</f>
        <v>0</v>
      </c>
      <c r="P225" s="121">
        <f>VLOOKUP($B225,'Tillförd energi'!$B$1:$AI$720,MATCH(P$1,'Tillförd energi'!$B$1:$AQ$1,0),FALSE)</f>
        <v>0</v>
      </c>
      <c r="Q225" s="121">
        <f>VLOOKUP($B225,'Tillförd energi'!$B$1:$AI$720,MATCH(Q$1,'Tillförd energi'!$B$1:$AQ$1,0),FALSE)</f>
        <v>0</v>
      </c>
      <c r="R225" s="121">
        <f>VLOOKUP($B225,'Tillförd energi'!$B$1:$AI$720,MATCH(R$1,'Tillförd energi'!$B$1:$AQ$1,0),FALSE)</f>
        <v>0</v>
      </c>
      <c r="S225" s="121">
        <f>VLOOKUP($B225,'Tillförd energi'!$B$1:$AI$720,MATCH(S$1,'Tillförd energi'!$B$1:$AQ$1,0),FALSE)</f>
        <v>0</v>
      </c>
      <c r="T225" s="121">
        <f>VLOOKUP($B225,'Tillförd energi'!$B$1:$AI$720,MATCH(T$1,'Tillförd energi'!$B$1:$AQ$1,0),FALSE)</f>
        <v>0</v>
      </c>
      <c r="U225" s="121">
        <f>VLOOKUP($B225,'Tillförd energi'!$B$1:$AI$720,MATCH(U$1,'Tillförd energi'!$B$1:$AQ$1,0),FALSE)</f>
        <v>0</v>
      </c>
      <c r="V225" s="121">
        <f>VLOOKUP($B225,'Tillförd energi'!$B$1:$AI$720,MATCH(V$1,'Tillförd energi'!$B$1:$AQ$1,0),FALSE)</f>
        <v>0</v>
      </c>
      <c r="W225" s="121">
        <f>VLOOKUP($B225,'Tillförd energi'!$B$1:$AI$720,MATCH(W$1,'Tillförd energi'!$B$1:$AQ$1,0),FALSE)</f>
        <v>0</v>
      </c>
      <c r="X225" s="121">
        <f>VLOOKUP($B225,'Tillförd energi'!$B$1:$AI$720,MATCH(X$1,'Tillförd energi'!$B$1:$AQ$1,0),FALSE)</f>
        <v>0</v>
      </c>
      <c r="Y225" s="121">
        <f>VLOOKUP($B225,'Tillförd energi'!$B$1:$AI$720,MATCH(Y$1,'Tillförd energi'!$B$1:$AQ$1,0),FALSE)</f>
        <v>0</v>
      </c>
      <c r="Z225" s="121">
        <f>VLOOKUP($B225,'Tillförd energi'!$B$1:$AI$720,MATCH(Z$1,'Tillförd energi'!$B$1:$AQ$1,0),FALSE)</f>
        <v>0</v>
      </c>
      <c r="AA225" s="121">
        <f>VLOOKUP($B225,'Tillförd energi'!$B$1:$AI$720,MATCH(AA$1,'Tillförd energi'!$B$1:$AQ$1,0),FALSE)</f>
        <v>0</v>
      </c>
      <c r="AB225" s="121">
        <f>VLOOKUP($B225,'Tillförd energi'!$B$1:$AI$720,MATCH(AB$1,'Tillförd energi'!$B$1:$AQ$1,0),FALSE)</f>
        <v>0</v>
      </c>
      <c r="AC225" s="121">
        <f>VLOOKUP($B225,'Tillförd energi'!$B$1:$AI$720,MATCH(AC$1,'Tillförd energi'!$B$1:$AQ$1,0),FALSE)</f>
        <v>0</v>
      </c>
      <c r="AD225" s="121">
        <f>VLOOKUP($B225,'Tillförd energi'!$B$1:$AI$720,MATCH(AD$1,'Tillförd energi'!$B$1:$AQ$1,0),FALSE)</f>
        <v>0</v>
      </c>
      <c r="AE225" s="121">
        <f>VLOOKUP($B225,'Tillförd energi'!$B$1:$AI$720,MATCH(AE$1,'Tillförd energi'!$B$1:$AQ$1,0),FALSE)</f>
        <v>0</v>
      </c>
      <c r="AF225" s="121">
        <f>VLOOKUP($B225,'Tillförd energi'!$B$1:$AI$720,MATCH(AF$1,'Tillförd energi'!$B$1:$AQ$1,0),FALSE)</f>
        <v>0</v>
      </c>
      <c r="AG225" s="121">
        <f>IFERROR(VLOOKUP(B225,Miljö!$B$1:$AC$550,MATCH("Köpt mängd produktionsspecifik fjärrvärme:",Miljö!$B$1:$AC$1,0),FALSE)/1,0)</f>
        <v>0</v>
      </c>
      <c r="AH225" s="121"/>
      <c r="AI225" s="121">
        <f t="shared" si="88"/>
        <v>0</v>
      </c>
      <c r="AJ225" s="121">
        <f t="shared" si="89"/>
        <v>0</v>
      </c>
      <c r="AK225" s="121" t="str">
        <f>IF(ISERROR(1/VLOOKUP($B225,Leveranser!$B$1:$S$499,MATCH("såld värme (gwh)",Leveranser!$B$1:$S$1,0),FALSE)),"",VLOOKUP($B225,Leveranser!$B$1:$S$499,MATCH("såld värme (gwh)",Leveranser!$B$1:$S$1,0),FALSE))</f>
        <v/>
      </c>
      <c r="AL225" s="121">
        <f>VLOOKUP($B225,Leveranser!$B$1:$Y$499,MATCH("Totalt såld fjärrvärme till andra fjärrvärmeföretag",Leveranser!$B$1:$AA$1,0),FALSE)</f>
        <v>0</v>
      </c>
      <c r="AM225" s="121">
        <f>IF(ISERROR(1/VLOOKUP($B225,Miljö!$B$1:$S$500,MATCH("Såld mängd produktionsspecifik fjärrvärme (GWh)",Miljö!$B$1:$R$1,0),FALSE)),0,VLOOKUP($B225,Miljö!$B$1:$S$500,MATCH("Såld mängd produktionsspecifik fjärrvärme (GWh)",Miljö!$B$1:$R$1,0),FALSE))</f>
        <v>0</v>
      </c>
      <c r="AN225" s="172" t="str">
        <f t="shared" si="90"/>
        <v/>
      </c>
      <c r="AO225" s="121"/>
      <c r="AP225" s="121" t="str">
        <f>IFERROR(VLOOKUP($B225,Miljövärden!$B$2:$H$550,7,FALSE),"Nej, saknas")</f>
        <v>Nej</v>
      </c>
      <c r="AQ225" s="121" t="str">
        <f>IFERROR(VLOOKUP($B225,Miljövärden!$B$2:$H$550,6,FALSE),"Nej, saknas")</f>
        <v>Nej</v>
      </c>
      <c r="AU225">
        <f t="shared" si="91"/>
        <v>0</v>
      </c>
      <c r="AV225">
        <f t="shared" si="92"/>
        <v>0</v>
      </c>
      <c r="AW225">
        <f t="shared" si="93"/>
        <v>0</v>
      </c>
      <c r="AX225">
        <f t="shared" si="94"/>
        <v>0</v>
      </c>
      <c r="AZ225">
        <f t="shared" si="95"/>
        <v>0</v>
      </c>
      <c r="BC225">
        <f t="shared" si="96"/>
        <v>0</v>
      </c>
      <c r="BD225">
        <f t="shared" si="97"/>
        <v>0</v>
      </c>
      <c r="BE225">
        <f t="shared" si="98"/>
        <v>0</v>
      </c>
      <c r="BF225">
        <f t="shared" si="99"/>
        <v>0</v>
      </c>
      <c r="BG225">
        <f t="shared" si="100"/>
        <v>0</v>
      </c>
      <c r="BH225" t="str">
        <f>VLOOKUP(B225,Miljö!$B$1:$BX$482,MATCH("Fossilandel för ursprungspecificerad el ()",Miljö!$B$1:$I$1,0),FALSE)</f>
        <v>-</v>
      </c>
      <c r="BI225" t="str">
        <f>VLOOKUP(B225,Miljö!$B$1:$BX$482,MATCH("Kärnkraftsandel för ursprungsspecificerad el ()",Miljö!$B$1:$O$1,0),FALSE)</f>
        <v>-</v>
      </c>
      <c r="BJ225">
        <f t="shared" si="101"/>
        <v>0</v>
      </c>
      <c r="BK225" t="str">
        <f>VLOOKUP(B225,Miljö!$B$1:$O$482,MATCH("Fossil andel i procent (%)",Miljö!$B$1:$O$1,0),FALSE)</f>
        <v>-</v>
      </c>
      <c r="BL225">
        <f t="shared" si="102"/>
        <v>0</v>
      </c>
      <c r="BO225" s="18" t="str">
        <f t="shared" si="103"/>
        <v/>
      </c>
      <c r="BP225" s="18" t="str">
        <f t="shared" si="104"/>
        <v/>
      </c>
      <c r="BQ225" s="18" t="str">
        <f t="shared" si="105"/>
        <v/>
      </c>
      <c r="BR225" s="18" t="str">
        <f t="shared" si="106"/>
        <v/>
      </c>
      <c r="BT225" s="27">
        <f t="shared" si="107"/>
        <v>0</v>
      </c>
      <c r="BW225" s="18" t="str">
        <f>IF(AP225="ja",VLOOKUP(B225,Miljövärden!$B$2:$H$550,MATCH("Total andel fossilt",Miljövärden!$B$2:$H$2,0),FALSE),"")</f>
        <v/>
      </c>
      <c r="BZ225" s="28" t="str">
        <f t="shared" si="108"/>
        <v/>
      </c>
      <c r="CA225" s="28" t="str">
        <f t="shared" si="109"/>
        <v/>
      </c>
    </row>
    <row r="226" spans="1:79" x14ac:dyDescent="0.25">
      <c r="A226" s="224" t="s">
        <v>510</v>
      </c>
      <c r="B226" s="210" t="s">
        <v>511</v>
      </c>
      <c r="C226" s="121">
        <f>VLOOKUP($B226,'Tillförd energi'!$B$1:$AI$720,MATCH(C$1,'Tillförd energi'!$B$1:$AQ$1,0),FALSE)</f>
        <v>0</v>
      </c>
      <c r="D226" s="121">
        <f>VLOOKUP($B226,'Tillförd energi'!$B$1:$AI$720,MATCH(D$1,'Tillförd energi'!$B$1:$AQ$1,0),FALSE)</f>
        <v>0.01</v>
      </c>
      <c r="E226" s="121">
        <f>VLOOKUP($B226,'Tillförd energi'!$B$1:$AI$720,MATCH(E$1,'Tillförd energi'!$B$1:$AQ$1,0),FALSE)</f>
        <v>0</v>
      </c>
      <c r="F226" s="121">
        <f>VLOOKUP($B226,'Tillförd energi'!$B$1:$AI$720,MATCH(F$1,'Tillförd energi'!$B$1:$AQ$1,0),FALSE)</f>
        <v>0</v>
      </c>
      <c r="G226" s="121">
        <f>VLOOKUP($B226,'Tillförd energi'!$B$1:$AI$720,MATCH(G$1,'Tillförd energi'!$B$1:$AQ$1,0),FALSE)</f>
        <v>0</v>
      </c>
      <c r="H226" s="121">
        <f>VLOOKUP($B226,'Tillförd energi'!$B$1:$AI$720,MATCH(H$1,'Tillförd energi'!$B$1:$AQ$1,0),FALSE)</f>
        <v>0</v>
      </c>
      <c r="I226" s="121">
        <f>VLOOKUP($B226,'Tillförd energi'!$B$1:$AI$720,MATCH(I$1,'Tillförd energi'!$B$1:$AQ$1,0),FALSE)</f>
        <v>0</v>
      </c>
      <c r="J226" s="121">
        <f>VLOOKUP($B226,'Tillförd energi'!$B$1:$AI$720,MATCH(J$1,'Tillförd energi'!$B$1:$AQ$1,0),FALSE)</f>
        <v>0</v>
      </c>
      <c r="K226" s="121">
        <f>VLOOKUP($B226,'Tillförd energi'!$B$1:$AI$720,MATCH(K$1,'Tillförd energi'!$B$1:$AQ$1,0),FALSE)</f>
        <v>0</v>
      </c>
      <c r="L226" s="121">
        <f>VLOOKUP($B226,'Tillförd energi'!$B$1:$AI$720,MATCH(L$1,'Tillförd energi'!$B$1:$AQ$1,0),FALSE)</f>
        <v>0</v>
      </c>
      <c r="M226" s="121">
        <f>VLOOKUP($B226,'Tillförd energi'!$B$1:$AI$720,MATCH(M$1,'Tillförd energi'!$B$1:$AQ$1,0),FALSE)</f>
        <v>17.399000000000001</v>
      </c>
      <c r="N226" s="121">
        <f>VLOOKUP($B226,'Tillförd energi'!$B$1:$AI$720,MATCH(N$1,'Tillförd energi'!$B$1:$AQ$1,0),FALSE)</f>
        <v>5.2969999999999997</v>
      </c>
      <c r="O226" s="121">
        <f>VLOOKUP($B226,'Tillförd energi'!$B$1:$AI$720,MATCH(O$1,'Tillförd energi'!$B$1:$AQ$1,0),FALSE)</f>
        <v>6.1909999999999998</v>
      </c>
      <c r="P226" s="121">
        <f>VLOOKUP($B226,'Tillförd energi'!$B$1:$AI$720,MATCH(P$1,'Tillförd energi'!$B$1:$AQ$1,0),FALSE)</f>
        <v>4.2489999999999997</v>
      </c>
      <c r="Q226" s="121">
        <f>VLOOKUP($B226,'Tillförd energi'!$B$1:$AI$720,MATCH(Q$1,'Tillförd energi'!$B$1:$AQ$1,0),FALSE)</f>
        <v>14.853999999999999</v>
      </c>
      <c r="R226" s="121">
        <f>VLOOKUP($B226,'Tillförd energi'!$B$1:$AI$720,MATCH(R$1,'Tillförd energi'!$B$1:$AQ$1,0),FALSE)</f>
        <v>0</v>
      </c>
      <c r="S226" s="121">
        <f>VLOOKUP($B226,'Tillförd energi'!$B$1:$AI$720,MATCH(S$1,'Tillförd energi'!$B$1:$AQ$1,0),FALSE)</f>
        <v>0</v>
      </c>
      <c r="T226" s="121">
        <f>VLOOKUP($B226,'Tillförd energi'!$B$1:$AI$720,MATCH(T$1,'Tillförd energi'!$B$1:$AQ$1,0),FALSE)</f>
        <v>0</v>
      </c>
      <c r="U226" s="121">
        <f>VLOOKUP($B226,'Tillförd energi'!$B$1:$AI$720,MATCH(U$1,'Tillförd energi'!$B$1:$AQ$1,0),FALSE)</f>
        <v>0</v>
      </c>
      <c r="V226" s="121">
        <f>VLOOKUP($B226,'Tillförd energi'!$B$1:$AI$720,MATCH(V$1,'Tillförd energi'!$B$1:$AQ$1,0),FALSE)</f>
        <v>0</v>
      </c>
      <c r="W226" s="121">
        <f>VLOOKUP($B226,'Tillförd energi'!$B$1:$AI$720,MATCH(W$1,'Tillförd energi'!$B$1:$AQ$1,0),FALSE)</f>
        <v>0</v>
      </c>
      <c r="X226" s="121">
        <f>VLOOKUP($B226,'Tillförd energi'!$B$1:$AI$720,MATCH(X$1,'Tillförd energi'!$B$1:$AQ$1,0),FALSE)</f>
        <v>2.7519999999999998</v>
      </c>
      <c r="Y226" s="121">
        <f>VLOOKUP($B226,'Tillförd energi'!$B$1:$AI$720,MATCH(Y$1,'Tillförd energi'!$B$1:$AQ$1,0),FALSE)</f>
        <v>0</v>
      </c>
      <c r="Z226" s="121">
        <f>VLOOKUP($B226,'Tillförd energi'!$B$1:$AI$720,MATCH(Z$1,'Tillförd energi'!$B$1:$AQ$1,0),FALSE)</f>
        <v>0</v>
      </c>
      <c r="AA226" s="121">
        <f>VLOOKUP($B226,'Tillförd energi'!$B$1:$AI$720,MATCH(AA$1,'Tillförd energi'!$B$1:$AQ$1,0),FALSE)</f>
        <v>0</v>
      </c>
      <c r="AB226" s="121">
        <f>VLOOKUP($B226,'Tillförd energi'!$B$1:$AI$720,MATCH(AB$1,'Tillförd energi'!$B$1:$AQ$1,0),FALSE)</f>
        <v>0</v>
      </c>
      <c r="AC226" s="121">
        <f>VLOOKUP($B226,'Tillförd energi'!$B$1:$AI$720,MATCH(AC$1,'Tillförd energi'!$B$1:$AQ$1,0),FALSE)</f>
        <v>8.8209999999999997</v>
      </c>
      <c r="AD226" s="121">
        <f>VLOOKUP($B226,'Tillförd energi'!$B$1:$AI$720,MATCH(AD$1,'Tillförd energi'!$B$1:$AQ$1,0),FALSE)</f>
        <v>0.45300000000000001</v>
      </c>
      <c r="AE226" s="121">
        <f>VLOOKUP($B226,'Tillförd energi'!$B$1:$AI$720,MATCH(AE$1,'Tillförd energi'!$B$1:$AQ$1,0),FALSE)</f>
        <v>0</v>
      </c>
      <c r="AF226" s="121">
        <f>VLOOKUP($B226,'Tillförd energi'!$B$1:$AI$720,MATCH(AF$1,'Tillförd energi'!$B$1:$AQ$1,0),FALSE)</f>
        <v>0.96899999999999997</v>
      </c>
      <c r="AG226" s="121">
        <f>IFERROR(VLOOKUP(B226,Miljö!$B$1:$AC$550,MATCH("Köpt mängd produktionsspecifik fjärrvärme:",Miljö!$B$1:$AC$1,0),FALSE)/1,0)</f>
        <v>0</v>
      </c>
      <c r="AH226" s="121"/>
      <c r="AI226" s="121">
        <f t="shared" si="88"/>
        <v>60.995000000000005</v>
      </c>
      <c r="AJ226" s="121">
        <f t="shared" si="89"/>
        <v>60.995000000000005</v>
      </c>
      <c r="AK226" s="121">
        <f>IF(ISERROR(1/VLOOKUP($B226,Leveranser!$B$1:$S$499,MATCH("såld värme (gwh)",Leveranser!$B$1:$S$1,0),FALSE)),"",VLOOKUP($B226,Leveranser!$B$1:$S$499,MATCH("såld värme (gwh)",Leveranser!$B$1:$S$1,0),FALSE))</f>
        <v>45.8</v>
      </c>
      <c r="AL226" s="121">
        <f>VLOOKUP($B226,Leveranser!$B$1:$Y$499,MATCH("Totalt såld fjärrvärme till andra fjärrvärmeföretag",Leveranser!$B$1:$AA$1,0),FALSE)</f>
        <v>0</v>
      </c>
      <c r="AM226" s="121">
        <f>IF(ISERROR(1/VLOOKUP($B226,Miljö!$B$1:$S$500,MATCH("Såld mängd produktionsspecifik fjärrvärme (GWh)",Miljö!$B$1:$R$1,0),FALSE)),0,VLOOKUP($B226,Miljö!$B$1:$S$500,MATCH("Såld mängd produktionsspecifik fjärrvärme (GWh)",Miljö!$B$1:$R$1,0),FALSE))</f>
        <v>0</v>
      </c>
      <c r="AN226" s="172">
        <f t="shared" si="90"/>
        <v>0.75088121977211242</v>
      </c>
      <c r="AO226" s="121"/>
      <c r="AP226" s="121" t="str">
        <f>IFERROR(VLOOKUP($B226,Miljövärden!$B$2:$H$550,7,FALSE),"Nej, saknas")</f>
        <v>Ja</v>
      </c>
      <c r="AQ226" s="121" t="str">
        <f>IFERROR(VLOOKUP($B226,Miljövärden!$B$2:$H$550,6,FALSE),"Nej, saknas")</f>
        <v>Ja</v>
      </c>
      <c r="AU226">
        <f t="shared" si="91"/>
        <v>0.96899999999999997</v>
      </c>
      <c r="AV226">
        <f t="shared" si="92"/>
        <v>2.7519999999999998</v>
      </c>
      <c r="AW226">
        <f t="shared" si="93"/>
        <v>47.99</v>
      </c>
      <c r="AX226">
        <f t="shared" si="94"/>
        <v>0</v>
      </c>
      <c r="AZ226">
        <f t="shared" si="95"/>
        <v>50.742000000000004</v>
      </c>
      <c r="BC226">
        <f t="shared" si="96"/>
        <v>0.01</v>
      </c>
      <c r="BD226">
        <f t="shared" si="97"/>
        <v>0</v>
      </c>
      <c r="BE226">
        <f t="shared" si="98"/>
        <v>50.742000000000004</v>
      </c>
      <c r="BF226">
        <f t="shared" si="99"/>
        <v>9.2739999999999991</v>
      </c>
      <c r="BG226">
        <f t="shared" si="100"/>
        <v>0.96899999999999997</v>
      </c>
      <c r="BH226">
        <f>VLOOKUP(B226,Miljö!$B$1:$BX$482,MATCH("Fossilandel för ursprungspecificerad el ()",Miljö!$B$1:$I$1,0),FALSE)</f>
        <v>0</v>
      </c>
      <c r="BI226">
        <f>VLOOKUP(B226,Miljö!$B$1:$BX$482,MATCH("Kärnkraftsandel för ursprungsspecificerad el ()",Miljö!$B$1:$O$1,0),FALSE)</f>
        <v>0</v>
      </c>
      <c r="BJ226">
        <f t="shared" si="101"/>
        <v>0</v>
      </c>
      <c r="BK226" t="str">
        <f>VLOOKUP(B226,Miljö!$B$1:$O$482,MATCH("Fossil andel i procent (%)",Miljö!$B$1:$O$1,0),FALSE)</f>
        <v>ET</v>
      </c>
      <c r="BL226">
        <f t="shared" si="102"/>
        <v>60.995000000000005</v>
      </c>
      <c r="BO226" s="18">
        <f t="shared" si="103"/>
        <v>1.6394786457906384E-4</v>
      </c>
      <c r="BP226" s="18">
        <f t="shared" si="104"/>
        <v>0</v>
      </c>
      <c r="BQ226" s="18">
        <f t="shared" si="105"/>
        <v>0.8477908025247971</v>
      </c>
      <c r="BR226" s="18">
        <f t="shared" si="106"/>
        <v>0.15204524961062379</v>
      </c>
      <c r="BT226" s="27">
        <f t="shared" si="107"/>
        <v>1</v>
      </c>
      <c r="BW226" s="18">
        <f>IF(AP226="ja",VLOOKUP(B226,Miljövärden!$B$2:$H$550,MATCH("Total andel fossilt",Miljövärden!$B$2:$H$2,0),FALSE),"")</f>
        <v>1.63948E-4</v>
      </c>
      <c r="BZ226" s="28">
        <f t="shared" si="108"/>
        <v>1.3542093615643951E-10</v>
      </c>
      <c r="CA226" s="28">
        <f t="shared" si="109"/>
        <v>0</v>
      </c>
    </row>
    <row r="227" spans="1:79" x14ac:dyDescent="0.25">
      <c r="A227" s="224" t="s">
        <v>513</v>
      </c>
      <c r="B227" s="210" t="s">
        <v>514</v>
      </c>
      <c r="C227" s="121">
        <f>VLOOKUP($B227,'Tillförd energi'!$B$1:$AI$720,MATCH(C$1,'Tillförd energi'!$B$1:$AQ$1,0),FALSE)</f>
        <v>0</v>
      </c>
      <c r="D227" s="121">
        <f>VLOOKUP($B227,'Tillförd energi'!$B$1:$AI$720,MATCH(D$1,'Tillförd energi'!$B$1:$AQ$1,0),FALSE)</f>
        <v>3.8E-3</v>
      </c>
      <c r="E227" s="121">
        <f>VLOOKUP($B227,'Tillförd energi'!$B$1:$AI$720,MATCH(E$1,'Tillförd energi'!$B$1:$AQ$1,0),FALSE)</f>
        <v>0</v>
      </c>
      <c r="F227" s="121">
        <f>VLOOKUP($B227,'Tillförd energi'!$B$1:$AI$720,MATCH(F$1,'Tillförd energi'!$B$1:$AQ$1,0),FALSE)</f>
        <v>0</v>
      </c>
      <c r="G227" s="121">
        <f>VLOOKUP($B227,'Tillförd energi'!$B$1:$AI$720,MATCH(G$1,'Tillförd energi'!$B$1:$AQ$1,0),FALSE)</f>
        <v>0</v>
      </c>
      <c r="H227" s="121">
        <f>VLOOKUP($B227,'Tillförd energi'!$B$1:$AI$720,MATCH(H$1,'Tillförd energi'!$B$1:$AQ$1,0),FALSE)</f>
        <v>0</v>
      </c>
      <c r="I227" s="121">
        <f>VLOOKUP($B227,'Tillförd energi'!$B$1:$AI$720,MATCH(I$1,'Tillförd energi'!$B$1:$AQ$1,0),FALSE)</f>
        <v>0</v>
      </c>
      <c r="J227" s="121">
        <f>VLOOKUP($B227,'Tillförd energi'!$B$1:$AI$720,MATCH(J$1,'Tillförd energi'!$B$1:$AQ$1,0),FALSE)</f>
        <v>0</v>
      </c>
      <c r="K227" s="121">
        <f>VLOOKUP($B227,'Tillförd energi'!$B$1:$AI$720,MATCH(K$1,'Tillförd energi'!$B$1:$AQ$1,0),FALSE)</f>
        <v>0</v>
      </c>
      <c r="L227" s="121">
        <f>VLOOKUP($B227,'Tillförd energi'!$B$1:$AI$720,MATCH(L$1,'Tillförd energi'!$B$1:$AQ$1,0),FALSE)</f>
        <v>0</v>
      </c>
      <c r="M227" s="121">
        <f>VLOOKUP($B227,'Tillförd energi'!$B$1:$AI$720,MATCH(M$1,'Tillförd energi'!$B$1:$AQ$1,0),FALSE)</f>
        <v>0</v>
      </c>
      <c r="N227" s="121">
        <f>VLOOKUP($B227,'Tillförd energi'!$B$1:$AI$720,MATCH(N$1,'Tillförd energi'!$B$1:$AQ$1,0),FALSE)</f>
        <v>0</v>
      </c>
      <c r="O227" s="121">
        <f>VLOOKUP($B227,'Tillförd energi'!$B$1:$AI$720,MATCH(O$1,'Tillförd energi'!$B$1:$AQ$1,0),FALSE)</f>
        <v>0</v>
      </c>
      <c r="P227" s="121">
        <f>VLOOKUP($B227,'Tillförd energi'!$B$1:$AI$720,MATCH(P$1,'Tillförd energi'!$B$1:$AQ$1,0),FALSE)</f>
        <v>0</v>
      </c>
      <c r="Q227" s="121">
        <f>VLOOKUP($B227,'Tillförd energi'!$B$1:$AI$720,MATCH(Q$1,'Tillförd energi'!$B$1:$AQ$1,0),FALSE)</f>
        <v>0</v>
      </c>
      <c r="R227" s="121">
        <f>VLOOKUP($B227,'Tillförd energi'!$B$1:$AI$720,MATCH(R$1,'Tillförd energi'!$B$1:$AQ$1,0),FALSE)</f>
        <v>7.3</v>
      </c>
      <c r="S227" s="121">
        <f>VLOOKUP($B227,'Tillförd energi'!$B$1:$AI$720,MATCH(S$1,'Tillförd energi'!$B$1:$AQ$1,0),FALSE)</f>
        <v>0</v>
      </c>
      <c r="T227" s="121">
        <f>VLOOKUP($B227,'Tillförd energi'!$B$1:$AI$720,MATCH(T$1,'Tillförd energi'!$B$1:$AQ$1,0),FALSE)</f>
        <v>0</v>
      </c>
      <c r="U227" s="121">
        <f>VLOOKUP($B227,'Tillförd energi'!$B$1:$AI$720,MATCH(U$1,'Tillförd energi'!$B$1:$AQ$1,0),FALSE)</f>
        <v>0</v>
      </c>
      <c r="V227" s="121">
        <f>VLOOKUP($B227,'Tillförd energi'!$B$1:$AI$720,MATCH(V$1,'Tillförd energi'!$B$1:$AQ$1,0),FALSE)</f>
        <v>0</v>
      </c>
      <c r="W227" s="121">
        <f>VLOOKUP($B227,'Tillförd energi'!$B$1:$AI$720,MATCH(W$1,'Tillförd energi'!$B$1:$AQ$1,0),FALSE)</f>
        <v>0</v>
      </c>
      <c r="X227" s="121">
        <f>VLOOKUP($B227,'Tillförd energi'!$B$1:$AI$720,MATCH(X$1,'Tillförd energi'!$B$1:$AQ$1,0),FALSE)</f>
        <v>0</v>
      </c>
      <c r="Y227" s="121">
        <f>VLOOKUP($B227,'Tillförd energi'!$B$1:$AI$720,MATCH(Y$1,'Tillförd energi'!$B$1:$AQ$1,0),FALSE)</f>
        <v>0</v>
      </c>
      <c r="Z227" s="121">
        <f>VLOOKUP($B227,'Tillförd energi'!$B$1:$AI$720,MATCH(Z$1,'Tillförd energi'!$B$1:$AQ$1,0),FALSE)</f>
        <v>0.20100000000000001</v>
      </c>
      <c r="AA227" s="121">
        <f>VLOOKUP($B227,'Tillförd energi'!$B$1:$AI$720,MATCH(AA$1,'Tillförd energi'!$B$1:$AQ$1,0),FALSE)</f>
        <v>0</v>
      </c>
      <c r="AB227" s="121">
        <f>VLOOKUP($B227,'Tillförd energi'!$B$1:$AI$720,MATCH(AB$1,'Tillförd energi'!$B$1:$AQ$1,0),FALSE)</f>
        <v>0</v>
      </c>
      <c r="AC227" s="121">
        <f>VLOOKUP($B227,'Tillförd energi'!$B$1:$AI$720,MATCH(AC$1,'Tillförd energi'!$B$1:$AQ$1,0),FALSE)</f>
        <v>0</v>
      </c>
      <c r="AD227" s="121">
        <f>VLOOKUP($B227,'Tillförd energi'!$B$1:$AI$720,MATCH(AD$1,'Tillförd energi'!$B$1:$AQ$1,0),FALSE)</f>
        <v>0</v>
      </c>
      <c r="AE227" s="121">
        <f>VLOOKUP($B227,'Tillförd energi'!$B$1:$AI$720,MATCH(AE$1,'Tillförd energi'!$B$1:$AQ$1,0),FALSE)</f>
        <v>0</v>
      </c>
      <c r="AF227" s="121">
        <f>VLOOKUP($B227,'Tillförd energi'!$B$1:$AI$720,MATCH(AF$1,'Tillförd energi'!$B$1:$AQ$1,0),FALSE)</f>
        <v>0.6</v>
      </c>
      <c r="AG227" s="121">
        <f>IFERROR(VLOOKUP(B227,Miljö!$B$1:$AC$550,MATCH("Köpt mängd produktionsspecifik fjärrvärme:",Miljö!$B$1:$AC$1,0),FALSE)/1,0)</f>
        <v>0</v>
      </c>
      <c r="AH227" s="121"/>
      <c r="AI227" s="121">
        <f t="shared" si="88"/>
        <v>8.1047999999999991</v>
      </c>
      <c r="AJ227" s="121">
        <f t="shared" si="89"/>
        <v>8.1047999999999991</v>
      </c>
      <c r="AK227" s="121">
        <f>IF(ISERROR(1/VLOOKUP($B227,Leveranser!$B$1:$S$499,MATCH("såld värme (gwh)",Leveranser!$B$1:$S$1,0),FALSE)),"",VLOOKUP($B227,Leveranser!$B$1:$S$499,MATCH("såld värme (gwh)",Leveranser!$B$1:$S$1,0),FALSE))</f>
        <v>6.06</v>
      </c>
      <c r="AL227" s="121">
        <f>VLOOKUP($B227,Leveranser!$B$1:$Y$499,MATCH("Totalt såld fjärrvärme till andra fjärrvärmeföretag",Leveranser!$B$1:$AA$1,0),FALSE)</f>
        <v>0</v>
      </c>
      <c r="AM227" s="121">
        <f>IF(ISERROR(1/VLOOKUP($B227,Miljö!$B$1:$S$500,MATCH("Såld mängd produktionsspecifik fjärrvärme (GWh)",Miljö!$B$1:$R$1,0),FALSE)),0,VLOOKUP($B227,Miljö!$B$1:$S$500,MATCH("Såld mängd produktionsspecifik fjärrvärme (GWh)",Miljö!$B$1:$R$1,0),FALSE))</f>
        <v>0</v>
      </c>
      <c r="AN227" s="172">
        <f t="shared" si="90"/>
        <v>0.74770506366597578</v>
      </c>
      <c r="AO227" s="121"/>
      <c r="AP227" s="121" t="str">
        <f>IFERROR(VLOOKUP($B227,Miljövärden!$B$2:$H$550,7,FALSE),"Nej, saknas")</f>
        <v>Ja</v>
      </c>
      <c r="AQ227" s="121" t="str">
        <f>IFERROR(VLOOKUP($B227,Miljövärden!$B$2:$H$550,6,FALSE),"Nej, saknas")</f>
        <v>Ja</v>
      </c>
      <c r="AU227">
        <f t="shared" si="91"/>
        <v>0.80099999999999993</v>
      </c>
      <c r="AV227">
        <f t="shared" si="92"/>
        <v>0</v>
      </c>
      <c r="AW227">
        <f t="shared" si="93"/>
        <v>0</v>
      </c>
      <c r="AX227">
        <f t="shared" si="94"/>
        <v>7.3</v>
      </c>
      <c r="AZ227">
        <f t="shared" si="95"/>
        <v>7.3</v>
      </c>
      <c r="BC227">
        <f t="shared" si="96"/>
        <v>3.8E-3</v>
      </c>
      <c r="BD227">
        <f t="shared" si="97"/>
        <v>0</v>
      </c>
      <c r="BE227">
        <f t="shared" si="98"/>
        <v>7.3</v>
      </c>
      <c r="BF227">
        <f t="shared" si="99"/>
        <v>0</v>
      </c>
      <c r="BG227">
        <f t="shared" si="100"/>
        <v>0.80099999999999993</v>
      </c>
      <c r="BH227">
        <f>VLOOKUP(B227,Miljö!$B$1:$BX$482,MATCH("Fossilandel för ursprungspecificerad el ()",Miljö!$B$1:$I$1,0),FALSE)</f>
        <v>0</v>
      </c>
      <c r="BI227">
        <f>VLOOKUP(B227,Miljö!$B$1:$BX$482,MATCH("Kärnkraftsandel för ursprungsspecificerad el ()",Miljö!$B$1:$O$1,0),FALSE)</f>
        <v>0</v>
      </c>
      <c r="BJ227">
        <f t="shared" si="101"/>
        <v>0</v>
      </c>
      <c r="BK227" t="str">
        <f>VLOOKUP(B227,Miljö!$B$1:$O$482,MATCH("Fossil andel i procent (%)",Miljö!$B$1:$O$1,0),FALSE)</f>
        <v>ET</v>
      </c>
      <c r="BL227">
        <f t="shared" si="102"/>
        <v>8.1047999999999991</v>
      </c>
      <c r="BO227" s="18">
        <f t="shared" si="103"/>
        <v>4.6885796071463831E-4</v>
      </c>
      <c r="BP227" s="18">
        <f t="shared" si="104"/>
        <v>0</v>
      </c>
      <c r="BQ227" s="18">
        <f t="shared" si="105"/>
        <v>0.99953114203928539</v>
      </c>
      <c r="BR227" s="18">
        <f t="shared" si="106"/>
        <v>0</v>
      </c>
      <c r="BT227" s="27">
        <f t="shared" si="107"/>
        <v>1</v>
      </c>
      <c r="BW227" s="18">
        <f>IF(AP227="ja",VLOOKUP(B227,Miljövärden!$B$2:$H$550,MATCH("Total andel fossilt",Miljövärden!$B$2:$H$2,0),FALSE),"")</f>
        <v>4.68858E-4</v>
      </c>
      <c r="BZ227" s="28">
        <f t="shared" si="108"/>
        <v>3.928536169333155E-11</v>
      </c>
      <c r="CA227" s="28">
        <f t="shared" si="109"/>
        <v>0</v>
      </c>
    </row>
    <row r="228" spans="1:79" x14ac:dyDescent="0.25">
      <c r="A228" s="224" t="s">
        <v>513</v>
      </c>
      <c r="B228" s="210" t="s">
        <v>515</v>
      </c>
      <c r="C228" s="121">
        <f>VLOOKUP($B228,'Tillförd energi'!$B$1:$AI$720,MATCH(C$1,'Tillförd energi'!$B$1:$AQ$1,0),FALSE)</f>
        <v>0</v>
      </c>
      <c r="D228" s="121">
        <f>VLOOKUP($B228,'Tillförd energi'!$B$1:$AI$720,MATCH(D$1,'Tillförd energi'!$B$1:$AQ$1,0),FALSE)</f>
        <v>0.66600000000000004</v>
      </c>
      <c r="E228" s="121">
        <f>VLOOKUP($B228,'Tillförd energi'!$B$1:$AI$720,MATCH(E$1,'Tillförd energi'!$B$1:$AQ$1,0),FALSE)</f>
        <v>0</v>
      </c>
      <c r="F228" s="121">
        <f>VLOOKUP($B228,'Tillförd energi'!$B$1:$AI$720,MATCH(F$1,'Tillförd energi'!$B$1:$AQ$1,0),FALSE)</f>
        <v>0</v>
      </c>
      <c r="G228" s="121">
        <f>VLOOKUP($B228,'Tillförd energi'!$B$1:$AI$720,MATCH(G$1,'Tillförd energi'!$B$1:$AQ$1,0),FALSE)</f>
        <v>0</v>
      </c>
      <c r="H228" s="121">
        <f>VLOOKUP($B228,'Tillförd energi'!$B$1:$AI$720,MATCH(H$1,'Tillförd energi'!$B$1:$AQ$1,0),FALSE)</f>
        <v>0.11799999999999999</v>
      </c>
      <c r="I228" s="121">
        <f>VLOOKUP($B228,'Tillförd energi'!$B$1:$AI$720,MATCH(I$1,'Tillförd energi'!$B$1:$AQ$1,0),FALSE)</f>
        <v>0</v>
      </c>
      <c r="J228" s="121">
        <f>VLOOKUP($B228,'Tillförd energi'!$B$1:$AI$720,MATCH(J$1,'Tillförd energi'!$B$1:$AQ$1,0),FALSE)</f>
        <v>0</v>
      </c>
      <c r="K228" s="121">
        <f>VLOOKUP($B228,'Tillförd energi'!$B$1:$AI$720,MATCH(K$1,'Tillförd energi'!$B$1:$AQ$1,0),FALSE)</f>
        <v>0</v>
      </c>
      <c r="L228" s="121">
        <f>VLOOKUP($B228,'Tillförd energi'!$B$1:$AI$720,MATCH(L$1,'Tillförd energi'!$B$1:$AQ$1,0),FALSE)</f>
        <v>0</v>
      </c>
      <c r="M228" s="121">
        <f>VLOOKUP($B228,'Tillförd energi'!$B$1:$AI$720,MATCH(M$1,'Tillförd energi'!$B$1:$AQ$1,0),FALSE)</f>
        <v>0</v>
      </c>
      <c r="N228" s="121">
        <f>VLOOKUP($B228,'Tillförd energi'!$B$1:$AI$720,MATCH(N$1,'Tillförd energi'!$B$1:$AQ$1,0),FALSE)</f>
        <v>0</v>
      </c>
      <c r="O228" s="121">
        <f>VLOOKUP($B228,'Tillförd energi'!$B$1:$AI$720,MATCH(O$1,'Tillförd energi'!$B$1:$AQ$1,0),FALSE)</f>
        <v>0</v>
      </c>
      <c r="P228" s="121">
        <f>VLOOKUP($B228,'Tillförd energi'!$B$1:$AI$720,MATCH(P$1,'Tillförd energi'!$B$1:$AQ$1,0),FALSE)</f>
        <v>0</v>
      </c>
      <c r="Q228" s="121">
        <f>VLOOKUP($B228,'Tillförd energi'!$B$1:$AI$720,MATCH(Q$1,'Tillförd energi'!$B$1:$AQ$1,0),FALSE)</f>
        <v>0</v>
      </c>
      <c r="R228" s="121">
        <f>VLOOKUP($B228,'Tillförd energi'!$B$1:$AI$720,MATCH(R$1,'Tillförd energi'!$B$1:$AQ$1,0),FALSE)</f>
        <v>0</v>
      </c>
      <c r="S228" s="121">
        <f>VLOOKUP($B228,'Tillförd energi'!$B$1:$AI$720,MATCH(S$1,'Tillförd energi'!$B$1:$AQ$1,0),FALSE)</f>
        <v>0</v>
      </c>
      <c r="T228" s="121">
        <f>VLOOKUP($B228,'Tillförd energi'!$B$1:$AI$720,MATCH(T$1,'Tillförd energi'!$B$1:$AQ$1,0),FALSE)</f>
        <v>0</v>
      </c>
      <c r="U228" s="121">
        <f>VLOOKUP($B228,'Tillförd energi'!$B$1:$AI$720,MATCH(U$1,'Tillförd energi'!$B$1:$AQ$1,0),FALSE)</f>
        <v>0</v>
      </c>
      <c r="V228" s="121">
        <f>VLOOKUP($B228,'Tillförd energi'!$B$1:$AI$720,MATCH(V$1,'Tillförd energi'!$B$1:$AQ$1,0),FALSE)</f>
        <v>0</v>
      </c>
      <c r="W228" s="121">
        <f>VLOOKUP($B228,'Tillförd energi'!$B$1:$AI$720,MATCH(W$1,'Tillförd energi'!$B$1:$AQ$1,0),FALSE)</f>
        <v>0</v>
      </c>
      <c r="X228" s="121">
        <f>VLOOKUP($B228,'Tillförd energi'!$B$1:$AI$720,MATCH(X$1,'Tillförd energi'!$B$1:$AQ$1,0),FALSE)</f>
        <v>0</v>
      </c>
      <c r="Y228" s="121">
        <f>VLOOKUP($B228,'Tillförd energi'!$B$1:$AI$720,MATCH(Y$1,'Tillförd energi'!$B$1:$AQ$1,0),FALSE)</f>
        <v>0</v>
      </c>
      <c r="Z228" s="121">
        <f>VLOOKUP($B228,'Tillförd energi'!$B$1:$AI$720,MATCH(Z$1,'Tillförd energi'!$B$1:$AQ$1,0),FALSE)</f>
        <v>0</v>
      </c>
      <c r="AA228" s="121">
        <f>VLOOKUP($B228,'Tillförd energi'!$B$1:$AI$720,MATCH(AA$1,'Tillförd energi'!$B$1:$AQ$1,0),FALSE)</f>
        <v>0</v>
      </c>
      <c r="AB228" s="121">
        <f>VLOOKUP($B228,'Tillförd energi'!$B$1:$AI$720,MATCH(AB$1,'Tillförd energi'!$B$1:$AQ$1,0),FALSE)</f>
        <v>0</v>
      </c>
      <c r="AC228" s="121">
        <f>VLOOKUP($B228,'Tillförd energi'!$B$1:$AI$720,MATCH(AC$1,'Tillförd energi'!$B$1:$AQ$1,0),FALSE)</f>
        <v>0</v>
      </c>
      <c r="AD228" s="121">
        <f>VLOOKUP($B228,'Tillförd energi'!$B$1:$AI$720,MATCH(AD$1,'Tillförd energi'!$B$1:$AQ$1,0),FALSE)</f>
        <v>293.226</v>
      </c>
      <c r="AE228" s="121">
        <f>VLOOKUP($B228,'Tillförd energi'!$B$1:$AI$720,MATCH(AE$1,'Tillförd energi'!$B$1:$AQ$1,0),FALSE)</f>
        <v>0</v>
      </c>
      <c r="AF228" s="121">
        <f>VLOOKUP($B228,'Tillförd energi'!$B$1:$AI$720,MATCH(AF$1,'Tillförd energi'!$B$1:$AQ$1,0),FALSE)</f>
        <v>2</v>
      </c>
      <c r="AG228" s="121">
        <f>IFERROR(VLOOKUP(B228,Miljö!$B$1:$AC$550,MATCH("Köpt mängd produktionsspecifik fjärrvärme:",Miljö!$B$1:$AC$1,0),FALSE)/1,0)</f>
        <v>0</v>
      </c>
      <c r="AH228" s="121"/>
      <c r="AI228" s="121">
        <f t="shared" si="88"/>
        <v>296.01</v>
      </c>
      <c r="AJ228" s="121">
        <f t="shared" si="89"/>
        <v>296.01</v>
      </c>
      <c r="AK228" s="121">
        <f>IF(ISERROR(1/VLOOKUP($B228,Leveranser!$B$1:$S$499,MATCH("såld värme (gwh)",Leveranser!$B$1:$S$1,0),FALSE)),"",VLOOKUP($B228,Leveranser!$B$1:$S$499,MATCH("såld värme (gwh)",Leveranser!$B$1:$S$1,0),FALSE))</f>
        <v>246.8</v>
      </c>
      <c r="AL228" s="121">
        <f>VLOOKUP($B228,Leveranser!$B$1:$Y$499,MATCH("Totalt såld fjärrvärme till andra fjärrvärmeföretag",Leveranser!$B$1:$AA$1,0),FALSE)</f>
        <v>0</v>
      </c>
      <c r="AM228" s="121">
        <f>IF(ISERROR(1/VLOOKUP($B228,Miljö!$B$1:$S$500,MATCH("Såld mängd produktionsspecifik fjärrvärme (GWh)",Miljö!$B$1:$R$1,0),FALSE)),0,VLOOKUP($B228,Miljö!$B$1:$S$500,MATCH("Såld mängd produktionsspecifik fjärrvärme (GWh)",Miljö!$B$1:$R$1,0),FALSE))</f>
        <v>0</v>
      </c>
      <c r="AN228" s="172">
        <f t="shared" si="90"/>
        <v>0.83375561636431206</v>
      </c>
      <c r="AO228" s="121"/>
      <c r="AP228" s="121" t="str">
        <f>IFERROR(VLOOKUP($B228,Miljövärden!$B$2:$H$550,7,FALSE),"Nej, saknas")</f>
        <v>Ja</v>
      </c>
      <c r="AQ228" s="121" t="str">
        <f>IFERROR(VLOOKUP($B228,Miljövärden!$B$2:$H$550,6,FALSE),"Nej, saknas")</f>
        <v>Ja</v>
      </c>
      <c r="AU228">
        <f t="shared" si="91"/>
        <v>2</v>
      </c>
      <c r="AV228">
        <f t="shared" si="92"/>
        <v>0</v>
      </c>
      <c r="AW228">
        <f t="shared" si="93"/>
        <v>0</v>
      </c>
      <c r="AX228">
        <f t="shared" si="94"/>
        <v>0</v>
      </c>
      <c r="AZ228">
        <f t="shared" si="95"/>
        <v>0</v>
      </c>
      <c r="BC228">
        <f t="shared" si="96"/>
        <v>0.78400000000000003</v>
      </c>
      <c r="BD228">
        <f t="shared" si="97"/>
        <v>0</v>
      </c>
      <c r="BE228">
        <f t="shared" si="98"/>
        <v>0</v>
      </c>
      <c r="BF228">
        <f t="shared" si="99"/>
        <v>293.226</v>
      </c>
      <c r="BG228">
        <f t="shared" si="100"/>
        <v>2</v>
      </c>
      <c r="BH228">
        <f>VLOOKUP(B228,Miljö!$B$1:$BX$482,MATCH("Fossilandel för ursprungspecificerad el ()",Miljö!$B$1:$I$1,0),FALSE)</f>
        <v>0</v>
      </c>
      <c r="BI228">
        <f>VLOOKUP(B228,Miljö!$B$1:$BX$482,MATCH("Kärnkraftsandel för ursprungsspecificerad el ()",Miljö!$B$1:$O$1,0),FALSE)</f>
        <v>0</v>
      </c>
      <c r="BJ228">
        <f t="shared" si="101"/>
        <v>0</v>
      </c>
      <c r="BK228" t="str">
        <f>VLOOKUP(B228,Miljö!$B$1:$O$482,MATCH("Fossil andel i procent (%)",Miljö!$B$1:$O$1,0),FALSE)</f>
        <v>ET</v>
      </c>
      <c r="BL228">
        <f t="shared" si="102"/>
        <v>296.01</v>
      </c>
      <c r="BO228" s="18">
        <f t="shared" si="103"/>
        <v>2.6485591702983011E-3</v>
      </c>
      <c r="BP228" s="18">
        <f t="shared" si="104"/>
        <v>0</v>
      </c>
      <c r="BQ228" s="18">
        <f t="shared" si="105"/>
        <v>6.7565284956589309E-3</v>
      </c>
      <c r="BR228" s="18">
        <f t="shared" si="106"/>
        <v>0.99059491233404284</v>
      </c>
      <c r="BT228" s="27">
        <f t="shared" si="107"/>
        <v>1</v>
      </c>
      <c r="BW228" s="18">
        <f>IF(AP228="ja",VLOOKUP(B228,Miljövärden!$B$2:$H$550,MATCH("Total andel fossilt",Miljövärden!$B$2:$H$2,0),FALSE),"")</f>
        <v>2.6485599999999999E-3</v>
      </c>
      <c r="BZ228" s="28">
        <f t="shared" si="108"/>
        <v>8.2970169883872513E-10</v>
      </c>
      <c r="CA228" s="28">
        <f t="shared" si="109"/>
        <v>0</v>
      </c>
    </row>
    <row r="229" spans="1:79" x14ac:dyDescent="0.25">
      <c r="A229" s="224" t="s">
        <v>513</v>
      </c>
      <c r="B229" s="210" t="s">
        <v>517</v>
      </c>
      <c r="C229" s="121">
        <f>VLOOKUP($B229,'Tillförd energi'!$B$1:$AI$720,MATCH(C$1,'Tillförd energi'!$B$1:$AQ$1,0),FALSE)</f>
        <v>0</v>
      </c>
      <c r="D229" s="121">
        <f>VLOOKUP($B229,'Tillförd energi'!$B$1:$AI$720,MATCH(D$1,'Tillförd energi'!$B$1:$AQ$1,0),FALSE)</f>
        <v>0</v>
      </c>
      <c r="E229" s="121">
        <f>VLOOKUP($B229,'Tillförd energi'!$B$1:$AI$720,MATCH(E$1,'Tillförd energi'!$B$1:$AQ$1,0),FALSE)</f>
        <v>0</v>
      </c>
      <c r="F229" s="121">
        <f>VLOOKUP($B229,'Tillförd energi'!$B$1:$AI$720,MATCH(F$1,'Tillförd energi'!$B$1:$AQ$1,0),FALSE)</f>
        <v>0</v>
      </c>
      <c r="G229" s="121">
        <f>VLOOKUP($B229,'Tillförd energi'!$B$1:$AI$720,MATCH(G$1,'Tillförd energi'!$B$1:$AQ$1,0),FALSE)</f>
        <v>0</v>
      </c>
      <c r="H229" s="121">
        <f>VLOOKUP($B229,'Tillförd energi'!$B$1:$AI$720,MATCH(H$1,'Tillförd energi'!$B$1:$AQ$1,0),FALSE)</f>
        <v>0</v>
      </c>
      <c r="I229" s="121">
        <f>VLOOKUP($B229,'Tillförd energi'!$B$1:$AI$720,MATCH(I$1,'Tillförd energi'!$B$1:$AQ$1,0),FALSE)</f>
        <v>0</v>
      </c>
      <c r="J229" s="121">
        <f>VLOOKUP($B229,'Tillförd energi'!$B$1:$AI$720,MATCH(J$1,'Tillförd energi'!$B$1:$AQ$1,0),FALSE)</f>
        <v>0</v>
      </c>
      <c r="K229" s="121">
        <f>VLOOKUP($B229,'Tillförd energi'!$B$1:$AI$720,MATCH(K$1,'Tillförd energi'!$B$1:$AQ$1,0),FALSE)</f>
        <v>0</v>
      </c>
      <c r="L229" s="121">
        <f>VLOOKUP($B229,'Tillförd energi'!$B$1:$AI$720,MATCH(L$1,'Tillförd energi'!$B$1:$AQ$1,0),FALSE)</f>
        <v>0</v>
      </c>
      <c r="M229" s="121">
        <f>VLOOKUP($B229,'Tillförd energi'!$B$1:$AI$720,MATCH(M$1,'Tillförd energi'!$B$1:$AQ$1,0),FALSE)</f>
        <v>0</v>
      </c>
      <c r="N229" s="121">
        <f>VLOOKUP($B229,'Tillförd energi'!$B$1:$AI$720,MATCH(N$1,'Tillförd energi'!$B$1:$AQ$1,0),FALSE)</f>
        <v>0</v>
      </c>
      <c r="O229" s="121">
        <f>VLOOKUP($B229,'Tillförd energi'!$B$1:$AI$720,MATCH(O$1,'Tillförd energi'!$B$1:$AQ$1,0),FALSE)</f>
        <v>0</v>
      </c>
      <c r="P229" s="121">
        <f>VLOOKUP($B229,'Tillförd energi'!$B$1:$AI$720,MATCH(P$1,'Tillförd energi'!$B$1:$AQ$1,0),FALSE)</f>
        <v>0</v>
      </c>
      <c r="Q229" s="121">
        <f>VLOOKUP($B229,'Tillförd energi'!$B$1:$AI$720,MATCH(Q$1,'Tillförd energi'!$B$1:$AQ$1,0),FALSE)</f>
        <v>2.0352899999999998</v>
      </c>
      <c r="R229" s="121">
        <f>VLOOKUP($B229,'Tillförd energi'!$B$1:$AI$720,MATCH(R$1,'Tillförd energi'!$B$1:$AQ$1,0),FALSE)</f>
        <v>0</v>
      </c>
      <c r="S229" s="121">
        <f>VLOOKUP($B229,'Tillförd energi'!$B$1:$AI$720,MATCH(S$1,'Tillförd energi'!$B$1:$AQ$1,0),FALSE)</f>
        <v>0</v>
      </c>
      <c r="T229" s="121">
        <f>VLOOKUP($B229,'Tillförd energi'!$B$1:$AI$720,MATCH(T$1,'Tillförd energi'!$B$1:$AQ$1,0),FALSE)</f>
        <v>0</v>
      </c>
      <c r="U229" s="121">
        <f>VLOOKUP($B229,'Tillförd energi'!$B$1:$AI$720,MATCH(U$1,'Tillförd energi'!$B$1:$AQ$1,0),FALSE)</f>
        <v>0</v>
      </c>
      <c r="V229" s="121">
        <f>VLOOKUP($B229,'Tillförd energi'!$B$1:$AI$720,MATCH(V$1,'Tillförd energi'!$B$1:$AQ$1,0),FALSE)</f>
        <v>0</v>
      </c>
      <c r="W229" s="121">
        <f>VLOOKUP($B229,'Tillförd energi'!$B$1:$AI$720,MATCH(W$1,'Tillförd energi'!$B$1:$AQ$1,0),FALSE)</f>
        <v>0</v>
      </c>
      <c r="X229" s="121">
        <f>VLOOKUP($B229,'Tillförd energi'!$B$1:$AI$720,MATCH(X$1,'Tillförd energi'!$B$1:$AQ$1,0),FALSE)</f>
        <v>0</v>
      </c>
      <c r="Y229" s="121">
        <f>VLOOKUP($B229,'Tillförd energi'!$B$1:$AI$720,MATCH(Y$1,'Tillförd energi'!$B$1:$AQ$1,0),FALSE)</f>
        <v>0</v>
      </c>
      <c r="Z229" s="121">
        <f>VLOOKUP($B229,'Tillförd energi'!$B$1:$AI$720,MATCH(Z$1,'Tillförd energi'!$B$1:$AQ$1,0),FALSE)</f>
        <v>0</v>
      </c>
      <c r="AA229" s="121">
        <f>VLOOKUP($B229,'Tillförd energi'!$B$1:$AI$720,MATCH(AA$1,'Tillförd energi'!$B$1:$AQ$1,0),FALSE)</f>
        <v>0</v>
      </c>
      <c r="AB229" s="121">
        <f>VLOOKUP($B229,'Tillförd energi'!$B$1:$AI$720,MATCH(AB$1,'Tillförd energi'!$B$1:$AQ$1,0),FALSE)</f>
        <v>0</v>
      </c>
      <c r="AC229" s="121">
        <f>VLOOKUP($B229,'Tillförd energi'!$B$1:$AI$720,MATCH(AC$1,'Tillförd energi'!$B$1:$AQ$1,0),FALSE)</f>
        <v>0</v>
      </c>
      <c r="AD229" s="121">
        <f>VLOOKUP($B229,'Tillförd energi'!$B$1:$AI$720,MATCH(AD$1,'Tillförd energi'!$B$1:$AQ$1,0),FALSE)</f>
        <v>0</v>
      </c>
      <c r="AE229" s="121">
        <f>VLOOKUP($B229,'Tillförd energi'!$B$1:$AI$720,MATCH(AE$1,'Tillförd energi'!$B$1:$AQ$1,0),FALSE)</f>
        <v>0</v>
      </c>
      <c r="AF229" s="121">
        <f>VLOOKUP($B229,'Tillförd energi'!$B$1:$AI$720,MATCH(AF$1,'Tillförd energi'!$B$1:$AQ$1,0),FALSE)</f>
        <v>4.4040000000000003E-2</v>
      </c>
      <c r="AG229" s="121">
        <f>IFERROR(VLOOKUP(B229,Miljö!$B$1:$AC$550,MATCH("Köpt mängd produktionsspecifik fjärrvärme:",Miljö!$B$1:$AC$1,0),FALSE)/1,0)</f>
        <v>0</v>
      </c>
      <c r="AH229" s="121"/>
      <c r="AI229" s="121">
        <f t="shared" si="88"/>
        <v>2.0793299999999997</v>
      </c>
      <c r="AJ229" s="121">
        <f t="shared" si="89"/>
        <v>2.0793299999999997</v>
      </c>
      <c r="AK229" s="121">
        <f>IF(ISERROR(1/VLOOKUP($B229,Leveranser!$B$1:$S$499,MATCH("såld värme (gwh)",Leveranser!$B$1:$S$1,0),FALSE)),"",VLOOKUP($B229,Leveranser!$B$1:$S$499,MATCH("såld värme (gwh)",Leveranser!$B$1:$S$1,0),FALSE))</f>
        <v>1.468</v>
      </c>
      <c r="AL229" s="121">
        <f>VLOOKUP($B229,Leveranser!$B$1:$Y$499,MATCH("Totalt såld fjärrvärme till andra fjärrvärmeföretag",Leveranser!$B$1:$AA$1,0),FALSE)</f>
        <v>0</v>
      </c>
      <c r="AM229" s="121">
        <f>IF(ISERROR(1/VLOOKUP($B229,Miljö!$B$1:$S$500,MATCH("Såld mängd produktionsspecifik fjärrvärme (GWh)",Miljö!$B$1:$R$1,0),FALSE)),0,VLOOKUP($B229,Miljö!$B$1:$S$500,MATCH("Såld mängd produktionsspecifik fjärrvärme (GWh)",Miljö!$B$1:$R$1,0),FALSE))</f>
        <v>0</v>
      </c>
      <c r="AN229" s="172">
        <f t="shared" si="90"/>
        <v>0.70599664314947608</v>
      </c>
      <c r="AO229" s="121"/>
      <c r="AP229" s="121" t="str">
        <f>IFERROR(VLOOKUP($B229,Miljövärden!$B$2:$H$550,7,FALSE),"Nej, saknas")</f>
        <v>Ja</v>
      </c>
      <c r="AQ229" s="121" t="str">
        <f>IFERROR(VLOOKUP($B229,Miljövärden!$B$2:$H$550,6,FALSE),"Nej, saknas")</f>
        <v>Ja</v>
      </c>
      <c r="AU229">
        <f t="shared" si="91"/>
        <v>4.4040000000000003E-2</v>
      </c>
      <c r="AV229">
        <f t="shared" si="92"/>
        <v>0</v>
      </c>
      <c r="AW229">
        <f t="shared" si="93"/>
        <v>2.0352899999999998</v>
      </c>
      <c r="AX229">
        <f t="shared" si="94"/>
        <v>0</v>
      </c>
      <c r="AZ229">
        <f t="shared" si="95"/>
        <v>2.0352899999999998</v>
      </c>
      <c r="BC229">
        <f t="shared" si="96"/>
        <v>0</v>
      </c>
      <c r="BD229">
        <f t="shared" si="97"/>
        <v>0</v>
      </c>
      <c r="BE229">
        <f t="shared" si="98"/>
        <v>2.0352899999999998</v>
      </c>
      <c r="BF229">
        <f t="shared" si="99"/>
        <v>0</v>
      </c>
      <c r="BG229">
        <f t="shared" si="100"/>
        <v>4.4040000000000003E-2</v>
      </c>
      <c r="BH229">
        <f>VLOOKUP(B229,Miljö!$B$1:$BX$482,MATCH("Fossilandel för ursprungspecificerad el ()",Miljö!$B$1:$I$1,0),FALSE)</f>
        <v>0</v>
      </c>
      <c r="BI229">
        <f>VLOOKUP(B229,Miljö!$B$1:$BX$482,MATCH("Kärnkraftsandel för ursprungsspecificerad el ()",Miljö!$B$1:$O$1,0),FALSE)</f>
        <v>0</v>
      </c>
      <c r="BJ229">
        <f t="shared" si="101"/>
        <v>0</v>
      </c>
      <c r="BK229" t="str">
        <f>VLOOKUP(B229,Miljö!$B$1:$O$482,MATCH("Fossil andel i procent (%)",Miljö!$B$1:$O$1,0),FALSE)</f>
        <v>ET</v>
      </c>
      <c r="BL229">
        <f t="shared" si="102"/>
        <v>2.0793299999999997</v>
      </c>
      <c r="BO229" s="18">
        <f t="shared" si="103"/>
        <v>0</v>
      </c>
      <c r="BP229" s="18">
        <f t="shared" si="104"/>
        <v>0</v>
      </c>
      <c r="BQ229" s="18">
        <f t="shared" si="105"/>
        <v>1</v>
      </c>
      <c r="BR229" s="18">
        <f t="shared" si="106"/>
        <v>0</v>
      </c>
      <c r="BT229" s="27">
        <f t="shared" si="107"/>
        <v>1</v>
      </c>
      <c r="BW229" s="18">
        <f>IF(AP229="ja",VLOOKUP(B229,Miljövärden!$B$2:$H$550,MATCH("Total andel fossilt",Miljövärden!$B$2:$H$2,0),FALSE),"")</f>
        <v>0</v>
      </c>
      <c r="BZ229" s="28">
        <f t="shared" si="108"/>
        <v>0</v>
      </c>
      <c r="CA229" s="28">
        <f t="shared" si="109"/>
        <v>0</v>
      </c>
    </row>
    <row r="230" spans="1:79" x14ac:dyDescent="0.25">
      <c r="A230" s="224" t="s">
        <v>513</v>
      </c>
      <c r="B230" s="210" t="s">
        <v>518</v>
      </c>
      <c r="C230" s="121">
        <f>VLOOKUP($B230,'Tillförd energi'!$B$1:$AI$720,MATCH(C$1,'Tillförd energi'!$B$1:$AQ$1,0),FALSE)</f>
        <v>0</v>
      </c>
      <c r="D230" s="121">
        <f>VLOOKUP($B230,'Tillförd energi'!$B$1:$AI$720,MATCH(D$1,'Tillförd energi'!$B$1:$AQ$1,0),FALSE)</f>
        <v>7.6999999999999999E-2</v>
      </c>
      <c r="E230" s="121">
        <f>VLOOKUP($B230,'Tillförd energi'!$B$1:$AI$720,MATCH(E$1,'Tillförd energi'!$B$1:$AQ$1,0),FALSE)</f>
        <v>0</v>
      </c>
      <c r="F230" s="121">
        <f>VLOOKUP($B230,'Tillförd energi'!$B$1:$AI$720,MATCH(F$1,'Tillförd energi'!$B$1:$AQ$1,0),FALSE)</f>
        <v>0</v>
      </c>
      <c r="G230" s="121">
        <f>VLOOKUP($B230,'Tillförd energi'!$B$1:$AI$720,MATCH(G$1,'Tillförd energi'!$B$1:$AQ$1,0),FALSE)</f>
        <v>0</v>
      </c>
      <c r="H230" s="121">
        <f>VLOOKUP($B230,'Tillförd energi'!$B$1:$AI$720,MATCH(H$1,'Tillförd energi'!$B$1:$AQ$1,0),FALSE)</f>
        <v>0</v>
      </c>
      <c r="I230" s="121">
        <f>VLOOKUP($B230,'Tillförd energi'!$B$1:$AI$720,MATCH(I$1,'Tillförd energi'!$B$1:$AQ$1,0),FALSE)</f>
        <v>0</v>
      </c>
      <c r="J230" s="121">
        <f>VLOOKUP($B230,'Tillförd energi'!$B$1:$AI$720,MATCH(J$1,'Tillförd energi'!$B$1:$AQ$1,0),FALSE)</f>
        <v>0</v>
      </c>
      <c r="K230" s="121">
        <f>VLOOKUP($B230,'Tillförd energi'!$B$1:$AI$720,MATCH(K$1,'Tillförd energi'!$B$1:$AQ$1,0),FALSE)</f>
        <v>0</v>
      </c>
      <c r="L230" s="121">
        <f>VLOOKUP($B230,'Tillförd energi'!$B$1:$AI$720,MATCH(L$1,'Tillförd energi'!$B$1:$AQ$1,0),FALSE)</f>
        <v>0</v>
      </c>
      <c r="M230" s="121">
        <f>VLOOKUP($B230,'Tillförd energi'!$B$1:$AI$720,MATCH(M$1,'Tillförd energi'!$B$1:$AQ$1,0),FALSE)</f>
        <v>0</v>
      </c>
      <c r="N230" s="121">
        <f>VLOOKUP($B230,'Tillförd energi'!$B$1:$AI$720,MATCH(N$1,'Tillförd energi'!$B$1:$AQ$1,0),FALSE)</f>
        <v>0</v>
      </c>
      <c r="O230" s="121">
        <f>VLOOKUP($B230,'Tillförd energi'!$B$1:$AI$720,MATCH(O$1,'Tillförd energi'!$B$1:$AQ$1,0),FALSE)</f>
        <v>0</v>
      </c>
      <c r="P230" s="121">
        <f>VLOOKUP($B230,'Tillförd energi'!$B$1:$AI$720,MATCH(P$1,'Tillförd energi'!$B$1:$AQ$1,0),FALSE)</f>
        <v>0</v>
      </c>
      <c r="Q230" s="121">
        <f>VLOOKUP($B230,'Tillförd energi'!$B$1:$AI$720,MATCH(Q$1,'Tillförd energi'!$B$1:$AQ$1,0),FALSE)</f>
        <v>0</v>
      </c>
      <c r="R230" s="121">
        <f>VLOOKUP($B230,'Tillförd energi'!$B$1:$AI$720,MATCH(R$1,'Tillförd energi'!$B$1:$AQ$1,0),FALSE)</f>
        <v>2.367</v>
      </c>
      <c r="S230" s="121">
        <f>VLOOKUP($B230,'Tillförd energi'!$B$1:$AI$720,MATCH(S$1,'Tillförd energi'!$B$1:$AQ$1,0),FALSE)</f>
        <v>0</v>
      </c>
      <c r="T230" s="121">
        <f>VLOOKUP($B230,'Tillförd energi'!$B$1:$AI$720,MATCH(T$1,'Tillförd energi'!$B$1:$AQ$1,0),FALSE)</f>
        <v>0</v>
      </c>
      <c r="U230" s="121">
        <f>VLOOKUP($B230,'Tillförd energi'!$B$1:$AI$720,MATCH(U$1,'Tillförd energi'!$B$1:$AQ$1,0),FALSE)</f>
        <v>0</v>
      </c>
      <c r="V230" s="121">
        <f>VLOOKUP($B230,'Tillförd energi'!$B$1:$AI$720,MATCH(V$1,'Tillförd energi'!$B$1:$AQ$1,0),FALSE)</f>
        <v>0</v>
      </c>
      <c r="W230" s="121">
        <f>VLOOKUP($B230,'Tillförd energi'!$B$1:$AI$720,MATCH(W$1,'Tillförd energi'!$B$1:$AQ$1,0),FALSE)</f>
        <v>0</v>
      </c>
      <c r="X230" s="121">
        <f>VLOOKUP($B230,'Tillförd energi'!$B$1:$AI$720,MATCH(X$1,'Tillförd energi'!$B$1:$AQ$1,0),FALSE)</f>
        <v>0</v>
      </c>
      <c r="Y230" s="121">
        <f>VLOOKUP($B230,'Tillförd energi'!$B$1:$AI$720,MATCH(Y$1,'Tillförd energi'!$B$1:$AQ$1,0),FALSE)</f>
        <v>0</v>
      </c>
      <c r="Z230" s="121">
        <f>VLOOKUP($B230,'Tillförd energi'!$B$1:$AI$720,MATCH(Z$1,'Tillförd energi'!$B$1:$AQ$1,0),FALSE)</f>
        <v>4.1799999999999997E-2</v>
      </c>
      <c r="AA230" s="121">
        <f>VLOOKUP($B230,'Tillförd energi'!$B$1:$AI$720,MATCH(AA$1,'Tillförd energi'!$B$1:$AQ$1,0),FALSE)</f>
        <v>0</v>
      </c>
      <c r="AB230" s="121">
        <f>VLOOKUP($B230,'Tillförd energi'!$B$1:$AI$720,MATCH(AB$1,'Tillförd energi'!$B$1:$AQ$1,0),FALSE)</f>
        <v>0</v>
      </c>
      <c r="AC230" s="121">
        <f>VLOOKUP($B230,'Tillförd energi'!$B$1:$AI$720,MATCH(AC$1,'Tillförd energi'!$B$1:$AQ$1,0),FALSE)</f>
        <v>0</v>
      </c>
      <c r="AD230" s="121">
        <f>VLOOKUP($B230,'Tillförd energi'!$B$1:$AI$720,MATCH(AD$1,'Tillförd energi'!$B$1:$AQ$1,0),FALSE)</f>
        <v>0</v>
      </c>
      <c r="AE230" s="121">
        <f>VLOOKUP($B230,'Tillförd energi'!$B$1:$AI$720,MATCH(AE$1,'Tillförd energi'!$B$1:$AQ$1,0),FALSE)</f>
        <v>0</v>
      </c>
      <c r="AF230" s="121">
        <f>VLOOKUP($B230,'Tillförd energi'!$B$1:$AI$720,MATCH(AF$1,'Tillförd energi'!$B$1:$AQ$1,0),FALSE)</f>
        <v>0.3</v>
      </c>
      <c r="AG230" s="121">
        <f>IFERROR(VLOOKUP(B230,Miljö!$B$1:$AC$550,MATCH("Köpt mängd produktionsspecifik fjärrvärme:",Miljö!$B$1:$AC$1,0),FALSE)/1,0)</f>
        <v>0</v>
      </c>
      <c r="AH230" s="121"/>
      <c r="AI230" s="121">
        <f t="shared" si="88"/>
        <v>2.7857999999999996</v>
      </c>
      <c r="AJ230" s="121">
        <f t="shared" si="89"/>
        <v>2.7857999999999996</v>
      </c>
      <c r="AK230" s="121">
        <f>IF(ISERROR(1/VLOOKUP($B230,Leveranser!$B$1:$S$499,MATCH("såld värme (gwh)",Leveranser!$B$1:$S$1,0),FALSE)),"",VLOOKUP($B230,Leveranser!$B$1:$S$499,MATCH("såld värme (gwh)",Leveranser!$B$1:$S$1,0),FALSE))</f>
        <v>2.09</v>
      </c>
      <c r="AL230" s="121">
        <f>VLOOKUP($B230,Leveranser!$B$1:$Y$499,MATCH("Totalt såld fjärrvärme till andra fjärrvärmeföretag",Leveranser!$B$1:$AA$1,0),FALSE)</f>
        <v>0</v>
      </c>
      <c r="AM230" s="121">
        <f>IF(ISERROR(1/VLOOKUP($B230,Miljö!$B$1:$S$500,MATCH("Såld mängd produktionsspecifik fjärrvärme (GWh)",Miljö!$B$1:$R$1,0),FALSE)),0,VLOOKUP($B230,Miljö!$B$1:$S$500,MATCH("Såld mängd produktionsspecifik fjärrvärme (GWh)",Miljö!$B$1:$R$1,0),FALSE))</f>
        <v>0</v>
      </c>
      <c r="AN230" s="172">
        <f t="shared" si="90"/>
        <v>0.75023332615406713</v>
      </c>
      <c r="AO230" s="121"/>
      <c r="AP230" s="121" t="str">
        <f>IFERROR(VLOOKUP($B230,Miljövärden!$B$2:$H$550,7,FALSE),"Nej, saknas")</f>
        <v>Ja</v>
      </c>
      <c r="AQ230" s="121" t="str">
        <f>IFERROR(VLOOKUP($B230,Miljövärden!$B$2:$H$550,6,FALSE),"Nej, saknas")</f>
        <v>Ja</v>
      </c>
      <c r="AU230">
        <f t="shared" si="91"/>
        <v>0.34179999999999999</v>
      </c>
      <c r="AV230">
        <f t="shared" si="92"/>
        <v>0</v>
      </c>
      <c r="AW230">
        <f t="shared" si="93"/>
        <v>0</v>
      </c>
      <c r="AX230">
        <f t="shared" si="94"/>
        <v>2.367</v>
      </c>
      <c r="AZ230">
        <f t="shared" si="95"/>
        <v>2.367</v>
      </c>
      <c r="BC230">
        <f t="shared" si="96"/>
        <v>7.6999999999999999E-2</v>
      </c>
      <c r="BD230">
        <f t="shared" si="97"/>
        <v>0</v>
      </c>
      <c r="BE230">
        <f t="shared" si="98"/>
        <v>2.367</v>
      </c>
      <c r="BF230">
        <f t="shared" si="99"/>
        <v>0</v>
      </c>
      <c r="BG230">
        <f t="shared" si="100"/>
        <v>0.34179999999999999</v>
      </c>
      <c r="BH230">
        <f>VLOOKUP(B230,Miljö!$B$1:$BX$482,MATCH("Fossilandel för ursprungspecificerad el ()",Miljö!$B$1:$I$1,0),FALSE)</f>
        <v>0</v>
      </c>
      <c r="BI230">
        <f>VLOOKUP(B230,Miljö!$B$1:$BX$482,MATCH("Kärnkraftsandel för ursprungsspecificerad el ()",Miljö!$B$1:$O$1,0),FALSE)</f>
        <v>0</v>
      </c>
      <c r="BJ230">
        <f t="shared" si="101"/>
        <v>0</v>
      </c>
      <c r="BK230" t="str">
        <f>VLOOKUP(B230,Miljö!$B$1:$O$482,MATCH("Fossil andel i procent (%)",Miljö!$B$1:$O$1,0),FALSE)</f>
        <v>ET</v>
      </c>
      <c r="BL230">
        <f t="shared" si="102"/>
        <v>2.7858000000000001</v>
      </c>
      <c r="BO230" s="18">
        <f t="shared" si="103"/>
        <v>2.7640175174097205E-2</v>
      </c>
      <c r="BP230" s="18">
        <f t="shared" si="104"/>
        <v>0</v>
      </c>
      <c r="BQ230" s="18">
        <f t="shared" si="105"/>
        <v>0.97235982482590277</v>
      </c>
      <c r="BR230" s="18">
        <f t="shared" si="106"/>
        <v>0</v>
      </c>
      <c r="BT230" s="27">
        <f t="shared" si="107"/>
        <v>1</v>
      </c>
      <c r="BW230" s="18">
        <f>IF(AP230="ja",VLOOKUP(B230,Miljövärden!$B$2:$H$550,MATCH("Total andel fossilt",Miljövärden!$B$2:$H$2,0),FALSE),"")</f>
        <v>2.76402E-2</v>
      </c>
      <c r="BZ230" s="28">
        <f t="shared" si="108"/>
        <v>2.4825902795316823E-8</v>
      </c>
      <c r="CA230" s="28">
        <f t="shared" si="109"/>
        <v>0</v>
      </c>
    </row>
    <row r="231" spans="1:79" x14ac:dyDescent="0.25">
      <c r="A231" s="224" t="s">
        <v>519</v>
      </c>
      <c r="B231" s="210" t="s">
        <v>520</v>
      </c>
      <c r="C231" s="121">
        <f>VLOOKUP($B231,'Tillförd energi'!$B$1:$AI$720,MATCH(C$1,'Tillförd energi'!$B$1:$AQ$1,0),FALSE)</f>
        <v>0</v>
      </c>
      <c r="D231" s="121">
        <f>VLOOKUP($B231,'Tillförd energi'!$B$1:$AI$720,MATCH(D$1,'Tillförd energi'!$B$1:$AQ$1,0),FALSE)</f>
        <v>0</v>
      </c>
      <c r="E231" s="121">
        <f>VLOOKUP($B231,'Tillförd energi'!$B$1:$AI$720,MATCH(E$1,'Tillförd energi'!$B$1:$AQ$1,0),FALSE)</f>
        <v>0</v>
      </c>
      <c r="F231" s="121">
        <f>VLOOKUP($B231,'Tillförd energi'!$B$1:$AI$720,MATCH(F$1,'Tillförd energi'!$B$1:$AQ$1,0),FALSE)</f>
        <v>0</v>
      </c>
      <c r="G231" s="121">
        <f>VLOOKUP($B231,'Tillförd energi'!$B$1:$AI$720,MATCH(G$1,'Tillförd energi'!$B$1:$AQ$1,0),FALSE)</f>
        <v>0</v>
      </c>
      <c r="H231" s="121">
        <f>VLOOKUP($B231,'Tillförd energi'!$B$1:$AI$720,MATCH(H$1,'Tillförd energi'!$B$1:$AQ$1,0),FALSE)</f>
        <v>0</v>
      </c>
      <c r="I231" s="121">
        <f>VLOOKUP($B231,'Tillförd energi'!$B$1:$AI$720,MATCH(I$1,'Tillförd energi'!$B$1:$AQ$1,0),FALSE)</f>
        <v>0</v>
      </c>
      <c r="J231" s="121">
        <f>VLOOKUP($B231,'Tillförd energi'!$B$1:$AI$720,MATCH(J$1,'Tillförd energi'!$B$1:$AQ$1,0),FALSE)</f>
        <v>0</v>
      </c>
      <c r="K231" s="121">
        <f>VLOOKUP($B231,'Tillförd energi'!$B$1:$AI$720,MATCH(K$1,'Tillförd energi'!$B$1:$AQ$1,0),FALSE)</f>
        <v>0</v>
      </c>
      <c r="L231" s="121">
        <f>VLOOKUP($B231,'Tillförd energi'!$B$1:$AI$720,MATCH(L$1,'Tillförd energi'!$B$1:$AQ$1,0),FALSE)</f>
        <v>0</v>
      </c>
      <c r="M231" s="121">
        <f>VLOOKUP($B231,'Tillförd energi'!$B$1:$AI$720,MATCH(M$1,'Tillförd energi'!$B$1:$AQ$1,0),FALSE)</f>
        <v>0</v>
      </c>
      <c r="N231" s="121">
        <f>VLOOKUP($B231,'Tillförd energi'!$B$1:$AI$720,MATCH(N$1,'Tillförd energi'!$B$1:$AQ$1,0),FALSE)</f>
        <v>0</v>
      </c>
      <c r="O231" s="121">
        <f>VLOOKUP($B231,'Tillförd energi'!$B$1:$AI$720,MATCH(O$1,'Tillförd energi'!$B$1:$AQ$1,0),FALSE)</f>
        <v>0</v>
      </c>
      <c r="P231" s="121">
        <f>VLOOKUP($B231,'Tillförd energi'!$B$1:$AI$720,MATCH(P$1,'Tillförd energi'!$B$1:$AQ$1,0),FALSE)</f>
        <v>0</v>
      </c>
      <c r="Q231" s="121">
        <f>VLOOKUP($B231,'Tillförd energi'!$B$1:$AI$720,MATCH(Q$1,'Tillförd energi'!$B$1:$AQ$1,0),FALSE)</f>
        <v>0</v>
      </c>
      <c r="R231" s="121">
        <f>VLOOKUP($B231,'Tillförd energi'!$B$1:$AI$720,MATCH(R$1,'Tillförd energi'!$B$1:$AQ$1,0),FALSE)</f>
        <v>0</v>
      </c>
      <c r="S231" s="121">
        <f>VLOOKUP($B231,'Tillförd energi'!$B$1:$AI$720,MATCH(S$1,'Tillförd energi'!$B$1:$AQ$1,0),FALSE)</f>
        <v>0</v>
      </c>
      <c r="T231" s="121">
        <f>VLOOKUP($B231,'Tillförd energi'!$B$1:$AI$720,MATCH(T$1,'Tillförd energi'!$B$1:$AQ$1,0),FALSE)</f>
        <v>0</v>
      </c>
      <c r="U231" s="121">
        <f>VLOOKUP($B231,'Tillförd energi'!$B$1:$AI$720,MATCH(U$1,'Tillförd energi'!$B$1:$AQ$1,0),FALSE)</f>
        <v>0</v>
      </c>
      <c r="V231" s="121">
        <f>VLOOKUP($B231,'Tillförd energi'!$B$1:$AI$720,MATCH(V$1,'Tillförd energi'!$B$1:$AQ$1,0),FALSE)</f>
        <v>0</v>
      </c>
      <c r="W231" s="121">
        <f>VLOOKUP($B231,'Tillförd energi'!$B$1:$AI$720,MATCH(W$1,'Tillförd energi'!$B$1:$AQ$1,0),FALSE)</f>
        <v>0</v>
      </c>
      <c r="X231" s="121">
        <f>VLOOKUP($B231,'Tillförd energi'!$B$1:$AI$720,MATCH(X$1,'Tillförd energi'!$B$1:$AQ$1,0),FALSE)</f>
        <v>0</v>
      </c>
      <c r="Y231" s="121">
        <f>VLOOKUP($B231,'Tillförd energi'!$B$1:$AI$720,MATCH(Y$1,'Tillförd energi'!$B$1:$AQ$1,0),FALSE)</f>
        <v>0</v>
      </c>
      <c r="Z231" s="121">
        <f>VLOOKUP($B231,'Tillförd energi'!$B$1:$AI$720,MATCH(Z$1,'Tillförd energi'!$B$1:$AQ$1,0),FALSE)</f>
        <v>0</v>
      </c>
      <c r="AA231" s="121">
        <f>VLOOKUP($B231,'Tillförd energi'!$B$1:$AI$720,MATCH(AA$1,'Tillförd energi'!$B$1:$AQ$1,0),FALSE)</f>
        <v>0</v>
      </c>
      <c r="AB231" s="121">
        <f>VLOOKUP($B231,'Tillförd energi'!$B$1:$AI$720,MATCH(AB$1,'Tillförd energi'!$B$1:$AQ$1,0),FALSE)</f>
        <v>0</v>
      </c>
      <c r="AC231" s="121">
        <f>VLOOKUP($B231,'Tillförd energi'!$B$1:$AI$720,MATCH(AC$1,'Tillförd energi'!$B$1:$AQ$1,0),FALSE)</f>
        <v>0</v>
      </c>
      <c r="AD231" s="121">
        <f>VLOOKUP($B231,'Tillförd energi'!$B$1:$AI$720,MATCH(AD$1,'Tillförd energi'!$B$1:$AQ$1,0),FALSE)</f>
        <v>0</v>
      </c>
      <c r="AE231" s="121">
        <f>VLOOKUP($B231,'Tillförd energi'!$B$1:$AI$720,MATCH(AE$1,'Tillförd energi'!$B$1:$AQ$1,0),FALSE)</f>
        <v>0</v>
      </c>
      <c r="AF231" s="121">
        <f>VLOOKUP($B231,'Tillförd energi'!$B$1:$AI$720,MATCH(AF$1,'Tillförd energi'!$B$1:$AQ$1,0),FALSE)</f>
        <v>0</v>
      </c>
      <c r="AG231" s="121">
        <f>IFERROR(VLOOKUP(B231,Miljö!$B$1:$AC$550,MATCH("Köpt mängd produktionsspecifik fjärrvärme:",Miljö!$B$1:$AC$1,0),FALSE)/1,0)</f>
        <v>0</v>
      </c>
      <c r="AH231" s="121"/>
      <c r="AI231" s="121">
        <f t="shared" si="88"/>
        <v>0</v>
      </c>
      <c r="AJ231" s="121">
        <f t="shared" si="89"/>
        <v>0</v>
      </c>
      <c r="AK231" s="121" t="str">
        <f>IF(ISERROR(1/VLOOKUP($B231,Leveranser!$B$1:$S$499,MATCH("såld värme (gwh)",Leveranser!$B$1:$S$1,0),FALSE)),"",VLOOKUP($B231,Leveranser!$B$1:$S$499,MATCH("såld värme (gwh)",Leveranser!$B$1:$S$1,0),FALSE))</f>
        <v/>
      </c>
      <c r="AL231" s="121">
        <f>VLOOKUP($B231,Leveranser!$B$1:$Y$499,MATCH("Totalt såld fjärrvärme till andra fjärrvärmeföretag",Leveranser!$B$1:$AA$1,0),FALSE)</f>
        <v>0</v>
      </c>
      <c r="AM231" s="121">
        <f>IF(ISERROR(1/VLOOKUP($B231,Miljö!$B$1:$S$500,MATCH("Såld mängd produktionsspecifik fjärrvärme (GWh)",Miljö!$B$1:$R$1,0),FALSE)),0,VLOOKUP($B231,Miljö!$B$1:$S$500,MATCH("Såld mängd produktionsspecifik fjärrvärme (GWh)",Miljö!$B$1:$R$1,0),FALSE))</f>
        <v>0</v>
      </c>
      <c r="AN231" s="172" t="str">
        <f t="shared" si="90"/>
        <v/>
      </c>
      <c r="AO231" s="121"/>
      <c r="AP231" s="121" t="str">
        <f>IFERROR(VLOOKUP($B231,Miljövärden!$B$2:$H$550,7,FALSE),"Nej, saknas")</f>
        <v>Nej</v>
      </c>
      <c r="AQ231" s="121" t="str">
        <f>IFERROR(VLOOKUP($B231,Miljövärden!$B$2:$H$550,6,FALSE),"Nej, saknas")</f>
        <v>Nej</v>
      </c>
      <c r="AU231">
        <f t="shared" si="91"/>
        <v>0</v>
      </c>
      <c r="AV231">
        <f t="shared" si="92"/>
        <v>0</v>
      </c>
      <c r="AW231">
        <f t="shared" si="93"/>
        <v>0</v>
      </c>
      <c r="AX231">
        <f t="shared" si="94"/>
        <v>0</v>
      </c>
      <c r="AZ231">
        <f t="shared" si="95"/>
        <v>0</v>
      </c>
      <c r="BC231">
        <f t="shared" si="96"/>
        <v>0</v>
      </c>
      <c r="BD231">
        <f t="shared" si="97"/>
        <v>0</v>
      </c>
      <c r="BE231">
        <f t="shared" si="98"/>
        <v>0</v>
      </c>
      <c r="BF231">
        <f t="shared" si="99"/>
        <v>0</v>
      </c>
      <c r="BG231">
        <f t="shared" si="100"/>
        <v>0</v>
      </c>
      <c r="BH231" t="str">
        <f>VLOOKUP(B231,Miljö!$B$1:$BX$482,MATCH("Fossilandel för ursprungspecificerad el ()",Miljö!$B$1:$I$1,0),FALSE)</f>
        <v>-</v>
      </c>
      <c r="BI231" t="str">
        <f>VLOOKUP(B231,Miljö!$B$1:$BX$482,MATCH("Kärnkraftsandel för ursprungsspecificerad el ()",Miljö!$B$1:$O$1,0),FALSE)</f>
        <v>-</v>
      </c>
      <c r="BJ231">
        <f t="shared" si="101"/>
        <v>0</v>
      </c>
      <c r="BK231" t="str">
        <f>VLOOKUP(B231,Miljö!$B$1:$O$482,MATCH("Fossil andel i procent (%)",Miljö!$B$1:$O$1,0),FALSE)</f>
        <v>-</v>
      </c>
      <c r="BL231">
        <f t="shared" si="102"/>
        <v>0</v>
      </c>
      <c r="BO231" s="18" t="str">
        <f t="shared" si="103"/>
        <v/>
      </c>
      <c r="BP231" s="18" t="str">
        <f t="shared" si="104"/>
        <v/>
      </c>
      <c r="BQ231" s="18" t="str">
        <f t="shared" si="105"/>
        <v/>
      </c>
      <c r="BR231" s="18" t="str">
        <f t="shared" si="106"/>
        <v/>
      </c>
      <c r="BT231" s="27">
        <f t="shared" si="107"/>
        <v>0</v>
      </c>
      <c r="BW231" s="18" t="str">
        <f>IF(AP231="ja",VLOOKUP(B231,Miljövärden!$B$2:$H$550,MATCH("Total andel fossilt",Miljövärden!$B$2:$H$2,0),FALSE),"")</f>
        <v/>
      </c>
      <c r="BZ231" s="28" t="str">
        <f t="shared" si="108"/>
        <v/>
      </c>
      <c r="CA231" s="28" t="str">
        <f t="shared" si="109"/>
        <v/>
      </c>
    </row>
    <row r="232" spans="1:79" x14ac:dyDescent="0.25">
      <c r="A232" s="224" t="s">
        <v>1145</v>
      </c>
      <c r="B232" s="210" t="s">
        <v>5</v>
      </c>
      <c r="C232" s="121">
        <f>VLOOKUP($B232,'Tillförd energi'!$B$1:$AI$720,MATCH(C$1,'Tillförd energi'!$B$1:$AQ$1,0),FALSE)</f>
        <v>0</v>
      </c>
      <c r="D232" s="121">
        <f>VLOOKUP($B232,'Tillförd energi'!$B$1:$AI$720,MATCH(D$1,'Tillförd energi'!$B$1:$AQ$1,0),FALSE)</f>
        <v>0</v>
      </c>
      <c r="E232" s="121">
        <f>VLOOKUP($B232,'Tillförd energi'!$B$1:$AI$720,MATCH(E$1,'Tillförd energi'!$B$1:$AQ$1,0),FALSE)</f>
        <v>0</v>
      </c>
      <c r="F232" s="121">
        <f>VLOOKUP($B232,'Tillförd energi'!$B$1:$AI$720,MATCH(F$1,'Tillförd energi'!$B$1:$AQ$1,0),FALSE)</f>
        <v>0</v>
      </c>
      <c r="G232" s="121">
        <f>VLOOKUP($B232,'Tillförd energi'!$B$1:$AI$720,MATCH(G$1,'Tillförd energi'!$B$1:$AQ$1,0),FALSE)</f>
        <v>0</v>
      </c>
      <c r="H232" s="121">
        <f>VLOOKUP($B232,'Tillförd energi'!$B$1:$AI$720,MATCH(H$1,'Tillförd energi'!$B$1:$AQ$1,0),FALSE)</f>
        <v>0</v>
      </c>
      <c r="I232" s="121">
        <f>VLOOKUP($B232,'Tillförd energi'!$B$1:$AI$720,MATCH(I$1,'Tillförd energi'!$B$1:$AQ$1,0),FALSE)</f>
        <v>0</v>
      </c>
      <c r="J232" s="121">
        <f>VLOOKUP($B232,'Tillförd energi'!$B$1:$AI$720,MATCH(J$1,'Tillförd energi'!$B$1:$AQ$1,0),FALSE)</f>
        <v>0</v>
      </c>
      <c r="K232" s="121">
        <f>VLOOKUP($B232,'Tillförd energi'!$B$1:$AI$720,MATCH(K$1,'Tillförd energi'!$B$1:$AQ$1,0),FALSE)</f>
        <v>0</v>
      </c>
      <c r="L232" s="121">
        <f>VLOOKUP($B232,'Tillförd energi'!$B$1:$AI$720,MATCH(L$1,'Tillförd energi'!$B$1:$AQ$1,0),FALSE)</f>
        <v>0</v>
      </c>
      <c r="M232" s="121">
        <f>VLOOKUP($B232,'Tillförd energi'!$B$1:$AI$720,MATCH(M$1,'Tillförd energi'!$B$1:$AQ$1,0),FALSE)</f>
        <v>0</v>
      </c>
      <c r="N232" s="121">
        <f>VLOOKUP($B232,'Tillförd energi'!$B$1:$AI$720,MATCH(N$1,'Tillförd energi'!$B$1:$AQ$1,0),FALSE)</f>
        <v>0</v>
      </c>
      <c r="O232" s="121">
        <f>VLOOKUP($B232,'Tillförd energi'!$B$1:$AI$720,MATCH(O$1,'Tillförd energi'!$B$1:$AQ$1,0),FALSE)</f>
        <v>0</v>
      </c>
      <c r="P232" s="121">
        <f>VLOOKUP($B232,'Tillförd energi'!$B$1:$AI$720,MATCH(P$1,'Tillförd energi'!$B$1:$AQ$1,0),FALSE)</f>
        <v>0</v>
      </c>
      <c r="Q232" s="121">
        <f>VLOOKUP($B232,'Tillförd energi'!$B$1:$AI$720,MATCH(Q$1,'Tillförd energi'!$B$1:$AQ$1,0),FALSE)</f>
        <v>0</v>
      </c>
      <c r="R232" s="121">
        <f>VLOOKUP($B232,'Tillförd energi'!$B$1:$AI$720,MATCH(R$1,'Tillförd energi'!$B$1:$AQ$1,0),FALSE)</f>
        <v>0</v>
      </c>
      <c r="S232" s="121">
        <f>VLOOKUP($B232,'Tillförd energi'!$B$1:$AI$720,MATCH(S$1,'Tillförd energi'!$B$1:$AQ$1,0),FALSE)</f>
        <v>0</v>
      </c>
      <c r="T232" s="121">
        <f>VLOOKUP($B232,'Tillförd energi'!$B$1:$AI$720,MATCH(T$1,'Tillförd energi'!$B$1:$AQ$1,0),FALSE)</f>
        <v>0</v>
      </c>
      <c r="U232" s="121">
        <f>VLOOKUP($B232,'Tillförd energi'!$B$1:$AI$720,MATCH(U$1,'Tillförd energi'!$B$1:$AQ$1,0),FALSE)</f>
        <v>0</v>
      </c>
      <c r="V232" s="121">
        <f>VLOOKUP($B232,'Tillförd energi'!$B$1:$AI$720,MATCH(V$1,'Tillförd energi'!$B$1:$AQ$1,0),FALSE)</f>
        <v>0</v>
      </c>
      <c r="W232" s="121">
        <f>VLOOKUP($B232,'Tillförd energi'!$B$1:$AI$720,MATCH(W$1,'Tillförd energi'!$B$1:$AQ$1,0),FALSE)</f>
        <v>0</v>
      </c>
      <c r="X232" s="121">
        <f>VLOOKUP($B232,'Tillförd energi'!$B$1:$AI$720,MATCH(X$1,'Tillförd energi'!$B$1:$AQ$1,0),FALSE)</f>
        <v>0</v>
      </c>
      <c r="Y232" s="121">
        <f>VLOOKUP($B232,'Tillförd energi'!$B$1:$AI$720,MATCH(Y$1,'Tillförd energi'!$B$1:$AQ$1,0),FALSE)</f>
        <v>0</v>
      </c>
      <c r="Z232" s="121">
        <f>VLOOKUP($B232,'Tillförd energi'!$B$1:$AI$720,MATCH(Z$1,'Tillförd energi'!$B$1:$AQ$1,0),FALSE)</f>
        <v>0</v>
      </c>
      <c r="AA232" s="121">
        <f>VLOOKUP($B232,'Tillförd energi'!$B$1:$AI$720,MATCH(AA$1,'Tillförd energi'!$B$1:$AQ$1,0),FALSE)</f>
        <v>0</v>
      </c>
      <c r="AB232" s="121">
        <f>VLOOKUP($B232,'Tillförd energi'!$B$1:$AI$720,MATCH(AB$1,'Tillförd energi'!$B$1:$AQ$1,0),FALSE)</f>
        <v>0</v>
      </c>
      <c r="AC232" s="121">
        <f>VLOOKUP($B232,'Tillförd energi'!$B$1:$AI$720,MATCH(AC$1,'Tillförd energi'!$B$1:$AQ$1,0),FALSE)</f>
        <v>0</v>
      </c>
      <c r="AD232" s="121">
        <f>VLOOKUP($B232,'Tillförd energi'!$B$1:$AI$720,MATCH(AD$1,'Tillförd energi'!$B$1:$AQ$1,0),FALSE)</f>
        <v>0</v>
      </c>
      <c r="AE232" s="121">
        <f>VLOOKUP($B232,'Tillförd energi'!$B$1:$AI$720,MATCH(AE$1,'Tillförd energi'!$B$1:$AQ$1,0),FALSE)</f>
        <v>0</v>
      </c>
      <c r="AF232" s="121">
        <f>VLOOKUP($B232,'Tillförd energi'!$B$1:$AI$720,MATCH(AF$1,'Tillförd energi'!$B$1:$AQ$1,0),FALSE)</f>
        <v>0</v>
      </c>
      <c r="AG232" s="121">
        <f>IFERROR(VLOOKUP(B232,Miljö!$B$1:$AC$550,MATCH("Köpt mängd produktionsspecifik fjärrvärme:",Miljö!$B$1:$AC$1,0),FALSE)/1,0)</f>
        <v>0</v>
      </c>
      <c r="AH232" s="121"/>
      <c r="AI232" s="121">
        <f t="shared" si="88"/>
        <v>0</v>
      </c>
      <c r="AJ232" s="121">
        <f t="shared" si="89"/>
        <v>0</v>
      </c>
      <c r="AK232" s="121" t="str">
        <f>IF(ISERROR(1/VLOOKUP($B232,Leveranser!$B$1:$S$499,MATCH("såld värme (gwh)",Leveranser!$B$1:$S$1,0),FALSE)),"",VLOOKUP($B232,Leveranser!$B$1:$S$499,MATCH("såld värme (gwh)",Leveranser!$B$1:$S$1,0),FALSE))</f>
        <v/>
      </c>
      <c r="AL232" s="121">
        <f>VLOOKUP($B232,Leveranser!$B$1:$Y$499,MATCH("Totalt såld fjärrvärme till andra fjärrvärmeföretag",Leveranser!$B$1:$AA$1,0),FALSE)</f>
        <v>0</v>
      </c>
      <c r="AM232" s="121">
        <f>IF(ISERROR(1/VLOOKUP($B232,Miljö!$B$1:$S$500,MATCH("Såld mängd produktionsspecifik fjärrvärme (GWh)",Miljö!$B$1:$R$1,0),FALSE)),0,VLOOKUP($B232,Miljö!$B$1:$S$500,MATCH("Såld mängd produktionsspecifik fjärrvärme (GWh)",Miljö!$B$1:$R$1,0),FALSE))</f>
        <v>0</v>
      </c>
      <c r="AN232" s="172" t="str">
        <f t="shared" si="90"/>
        <v/>
      </c>
      <c r="AO232" s="121"/>
      <c r="AP232" s="121" t="str">
        <f>IFERROR(VLOOKUP($B232,Miljövärden!$B$2:$H$550,7,FALSE),"Nej, saknas")</f>
        <v>Nej</v>
      </c>
      <c r="AQ232" s="121" t="str">
        <f>IFERROR(VLOOKUP($B232,Miljövärden!$B$2:$H$550,6,FALSE),"Nej, saknas")</f>
        <v>Nej</v>
      </c>
      <c r="AU232">
        <f t="shared" si="91"/>
        <v>0</v>
      </c>
      <c r="AV232">
        <f t="shared" si="92"/>
        <v>0</v>
      </c>
      <c r="AW232">
        <f t="shared" si="93"/>
        <v>0</v>
      </c>
      <c r="AX232">
        <f t="shared" si="94"/>
        <v>0</v>
      </c>
      <c r="AZ232">
        <f t="shared" si="95"/>
        <v>0</v>
      </c>
      <c r="BC232">
        <f t="shared" si="96"/>
        <v>0</v>
      </c>
      <c r="BD232">
        <f t="shared" si="97"/>
        <v>0</v>
      </c>
      <c r="BE232">
        <f t="shared" si="98"/>
        <v>0</v>
      </c>
      <c r="BF232">
        <f t="shared" si="99"/>
        <v>0</v>
      </c>
      <c r="BG232">
        <f t="shared" si="100"/>
        <v>0</v>
      </c>
      <c r="BH232" t="str">
        <f>VLOOKUP(B232,Miljö!$B$1:$BX$482,MATCH("Fossilandel för ursprungspecificerad el ()",Miljö!$B$1:$I$1,0),FALSE)</f>
        <v>-</v>
      </c>
      <c r="BI232" t="str">
        <f>VLOOKUP(B232,Miljö!$B$1:$BX$482,MATCH("Kärnkraftsandel för ursprungsspecificerad el ()",Miljö!$B$1:$O$1,0),FALSE)</f>
        <v>-</v>
      </c>
      <c r="BJ232">
        <f t="shared" si="101"/>
        <v>0</v>
      </c>
      <c r="BK232" t="str">
        <f>VLOOKUP(B232,Miljö!$B$1:$O$482,MATCH("Fossil andel i procent (%)",Miljö!$B$1:$O$1,0),FALSE)</f>
        <v>-</v>
      </c>
      <c r="BL232">
        <f t="shared" si="102"/>
        <v>0</v>
      </c>
      <c r="BO232" s="18" t="str">
        <f t="shared" si="103"/>
        <v/>
      </c>
      <c r="BP232" s="18" t="str">
        <f t="shared" si="104"/>
        <v/>
      </c>
      <c r="BQ232" s="18" t="str">
        <f t="shared" si="105"/>
        <v/>
      </c>
      <c r="BR232" s="18" t="str">
        <f t="shared" si="106"/>
        <v/>
      </c>
      <c r="BT232" s="27">
        <f t="shared" si="107"/>
        <v>0</v>
      </c>
      <c r="BW232" s="18" t="str">
        <f>IF(AP232="ja",VLOOKUP(B232,Miljövärden!$B$2:$H$550,MATCH("Total andel fossilt",Miljövärden!$B$2:$H$2,0),FALSE),"")</f>
        <v/>
      </c>
      <c r="BZ232" s="28" t="str">
        <f t="shared" si="108"/>
        <v/>
      </c>
      <c r="CA232" s="28" t="str">
        <f t="shared" si="109"/>
        <v/>
      </c>
    </row>
    <row r="233" spans="1:79" x14ac:dyDescent="0.25">
      <c r="A233" s="224" t="s">
        <v>521</v>
      </c>
      <c r="B233" s="210" t="s">
        <v>522</v>
      </c>
      <c r="C233" s="121">
        <f>VLOOKUP($B233,'Tillförd energi'!$B$1:$AI$720,MATCH(C$1,'Tillförd energi'!$B$1:$AQ$1,0),FALSE)</f>
        <v>0</v>
      </c>
      <c r="D233" s="121">
        <f>VLOOKUP($B233,'Tillförd energi'!$B$1:$AI$720,MATCH(D$1,'Tillförd energi'!$B$1:$AQ$1,0),FALSE)</f>
        <v>0.18</v>
      </c>
      <c r="E233" s="121">
        <f>VLOOKUP($B233,'Tillförd energi'!$B$1:$AI$720,MATCH(E$1,'Tillförd energi'!$B$1:$AQ$1,0),FALSE)</f>
        <v>0</v>
      </c>
      <c r="F233" s="121">
        <f>VLOOKUP($B233,'Tillförd energi'!$B$1:$AI$720,MATCH(F$1,'Tillförd energi'!$B$1:$AQ$1,0),FALSE)</f>
        <v>0</v>
      </c>
      <c r="G233" s="121">
        <f>VLOOKUP($B233,'Tillförd energi'!$B$1:$AI$720,MATCH(G$1,'Tillförd energi'!$B$1:$AQ$1,0),FALSE)</f>
        <v>0</v>
      </c>
      <c r="H233" s="121">
        <f>VLOOKUP($B233,'Tillförd energi'!$B$1:$AI$720,MATCH(H$1,'Tillförd energi'!$B$1:$AQ$1,0),FALSE)</f>
        <v>0</v>
      </c>
      <c r="I233" s="121">
        <f>VLOOKUP($B233,'Tillförd energi'!$B$1:$AI$720,MATCH(I$1,'Tillförd energi'!$B$1:$AQ$1,0),FALSE)</f>
        <v>0</v>
      </c>
      <c r="J233" s="121">
        <f>VLOOKUP($B233,'Tillförd energi'!$B$1:$AI$720,MATCH(J$1,'Tillförd energi'!$B$1:$AQ$1,0),FALSE)</f>
        <v>0</v>
      </c>
      <c r="K233" s="121">
        <f>VLOOKUP($B233,'Tillförd energi'!$B$1:$AI$720,MATCH(K$1,'Tillförd energi'!$B$1:$AQ$1,0),FALSE)</f>
        <v>0</v>
      </c>
      <c r="L233" s="121">
        <f>VLOOKUP($B233,'Tillförd energi'!$B$1:$AI$720,MATCH(L$1,'Tillförd energi'!$B$1:$AQ$1,0),FALSE)</f>
        <v>0</v>
      </c>
      <c r="M233" s="121">
        <f>VLOOKUP($B233,'Tillförd energi'!$B$1:$AI$720,MATCH(M$1,'Tillförd energi'!$B$1:$AQ$1,0),FALSE)</f>
        <v>7.25441</v>
      </c>
      <c r="N233" s="121">
        <f>VLOOKUP($B233,'Tillförd energi'!$B$1:$AI$720,MATCH(N$1,'Tillförd energi'!$B$1:$AQ$1,0),FALSE)</f>
        <v>7.25441</v>
      </c>
      <c r="O233" s="121">
        <f>VLOOKUP($B233,'Tillförd energi'!$B$1:$AI$720,MATCH(O$1,'Tillförd energi'!$B$1:$AQ$1,0),FALSE)</f>
        <v>2.2879999999999998</v>
      </c>
      <c r="P233" s="121">
        <f>VLOOKUP($B233,'Tillförd energi'!$B$1:$AI$720,MATCH(P$1,'Tillförd energi'!$B$1:$AQ$1,0),FALSE)</f>
        <v>7.3544099999999997</v>
      </c>
      <c r="Q233" s="121">
        <f>VLOOKUP($B233,'Tillförd energi'!$B$1:$AI$720,MATCH(Q$1,'Tillförd energi'!$B$1:$AQ$1,0),FALSE)</f>
        <v>0</v>
      </c>
      <c r="R233" s="121">
        <f>VLOOKUP($B233,'Tillförd energi'!$B$1:$AI$720,MATCH(R$1,'Tillförd energi'!$B$1:$AQ$1,0),FALSE)</f>
        <v>2.2000000000000002</v>
      </c>
      <c r="S233" s="121">
        <f>VLOOKUP($B233,'Tillförd energi'!$B$1:$AI$720,MATCH(S$1,'Tillförd energi'!$B$1:$AQ$1,0),FALSE)</f>
        <v>0</v>
      </c>
      <c r="T233" s="121">
        <f>VLOOKUP($B233,'Tillförd energi'!$B$1:$AI$720,MATCH(T$1,'Tillförd energi'!$B$1:$AQ$1,0),FALSE)</f>
        <v>0</v>
      </c>
      <c r="U233" s="121">
        <f>VLOOKUP($B233,'Tillförd energi'!$B$1:$AI$720,MATCH(U$1,'Tillförd energi'!$B$1:$AQ$1,0),FALSE)</f>
        <v>0</v>
      </c>
      <c r="V233" s="121">
        <f>VLOOKUP($B233,'Tillförd energi'!$B$1:$AI$720,MATCH(V$1,'Tillförd energi'!$B$1:$AQ$1,0),FALSE)</f>
        <v>0</v>
      </c>
      <c r="W233" s="121">
        <f>VLOOKUP($B233,'Tillförd energi'!$B$1:$AI$720,MATCH(W$1,'Tillförd energi'!$B$1:$AQ$1,0),FALSE)</f>
        <v>0</v>
      </c>
      <c r="X233" s="121">
        <f>VLOOKUP($B233,'Tillförd energi'!$B$1:$AI$720,MATCH(X$1,'Tillförd energi'!$B$1:$AQ$1,0),FALSE)</f>
        <v>0</v>
      </c>
      <c r="Y233" s="121">
        <f>VLOOKUP($B233,'Tillförd energi'!$B$1:$AI$720,MATCH(Y$1,'Tillförd energi'!$B$1:$AQ$1,0),FALSE)</f>
        <v>0</v>
      </c>
      <c r="Z233" s="121">
        <f>VLOOKUP($B233,'Tillförd energi'!$B$1:$AI$720,MATCH(Z$1,'Tillförd energi'!$B$1:$AQ$1,0),FALSE)</f>
        <v>0</v>
      </c>
      <c r="AA233" s="121">
        <f>VLOOKUP($B233,'Tillförd energi'!$B$1:$AI$720,MATCH(AA$1,'Tillförd energi'!$B$1:$AQ$1,0),FALSE)</f>
        <v>0</v>
      </c>
      <c r="AB233" s="121">
        <f>VLOOKUP($B233,'Tillförd energi'!$B$1:$AI$720,MATCH(AB$1,'Tillförd energi'!$B$1:$AQ$1,0),FALSE)</f>
        <v>0</v>
      </c>
      <c r="AC233" s="121">
        <f>VLOOKUP($B233,'Tillförd energi'!$B$1:$AI$720,MATCH(AC$1,'Tillförd energi'!$B$1:$AQ$1,0),FALSE)</f>
        <v>0</v>
      </c>
      <c r="AD233" s="121">
        <f>VLOOKUP($B233,'Tillförd energi'!$B$1:$AI$720,MATCH(AD$1,'Tillförd energi'!$B$1:$AQ$1,0),FALSE)</f>
        <v>0</v>
      </c>
      <c r="AE233" s="121">
        <f>VLOOKUP($B233,'Tillförd energi'!$B$1:$AI$720,MATCH(AE$1,'Tillförd energi'!$B$1:$AQ$1,0),FALSE)</f>
        <v>0</v>
      </c>
      <c r="AF233" s="121">
        <f>VLOOKUP($B233,'Tillförd energi'!$B$1:$AI$720,MATCH(AF$1,'Tillförd energi'!$B$1:$AQ$1,0),FALSE)</f>
        <v>0.301952</v>
      </c>
      <c r="AG233" s="121">
        <f>IFERROR(VLOOKUP(B233,Miljö!$B$1:$AC$550,MATCH("Köpt mängd produktionsspecifik fjärrvärme:",Miljö!$B$1:$AC$1,0),FALSE)/1,0)</f>
        <v>0</v>
      </c>
      <c r="AH233" s="121"/>
      <c r="AI233" s="121">
        <f t="shared" si="88"/>
        <v>26.833181999999997</v>
      </c>
      <c r="AJ233" s="121">
        <f t="shared" si="89"/>
        <v>26.833181999999997</v>
      </c>
      <c r="AK233" s="121">
        <f>IF(ISERROR(1/VLOOKUP($B233,Leveranser!$B$1:$S$499,MATCH("såld värme (gwh)",Leveranser!$B$1:$S$1,0),FALSE)),"",VLOOKUP($B233,Leveranser!$B$1:$S$499,MATCH("såld värme (gwh)",Leveranser!$B$1:$S$1,0),FALSE))</f>
        <v>14.6</v>
      </c>
      <c r="AL233" s="121">
        <f>VLOOKUP($B233,Leveranser!$B$1:$Y$499,MATCH("Totalt såld fjärrvärme till andra fjärrvärmeföretag",Leveranser!$B$1:$AA$1,0),FALSE)</f>
        <v>0</v>
      </c>
      <c r="AM233" s="121">
        <f>IF(ISERROR(1/VLOOKUP($B233,Miljö!$B$1:$S$500,MATCH("Såld mängd produktionsspecifik fjärrvärme (GWh)",Miljö!$B$1:$R$1,0),FALSE)),0,VLOOKUP($B233,Miljö!$B$1:$S$500,MATCH("Såld mängd produktionsspecifik fjärrvärme (GWh)",Miljö!$B$1:$R$1,0),FALSE))</f>
        <v>0</v>
      </c>
      <c r="AN233" s="172">
        <f t="shared" si="90"/>
        <v>0.54410244748461067</v>
      </c>
      <c r="AO233" s="121"/>
      <c r="AP233" s="121" t="str">
        <f>IFERROR(VLOOKUP($B233,Miljövärden!$B$2:$H$550,7,FALSE),"Nej, saknas")</f>
        <v>Ja</v>
      </c>
      <c r="AQ233" s="121" t="str">
        <f>IFERROR(VLOOKUP($B233,Miljövärden!$B$2:$H$550,6,FALSE),"Nej, saknas")</f>
        <v>Ja</v>
      </c>
      <c r="AU233">
        <f t="shared" si="91"/>
        <v>0.301952</v>
      </c>
      <c r="AV233">
        <f t="shared" si="92"/>
        <v>0</v>
      </c>
      <c r="AW233">
        <f t="shared" si="93"/>
        <v>24.151229999999998</v>
      </c>
      <c r="AX233">
        <f t="shared" si="94"/>
        <v>2.2000000000000002</v>
      </c>
      <c r="AZ233">
        <f t="shared" si="95"/>
        <v>26.351229999999997</v>
      </c>
      <c r="BC233">
        <f t="shared" si="96"/>
        <v>0.18</v>
      </c>
      <c r="BD233">
        <f t="shared" si="97"/>
        <v>0</v>
      </c>
      <c r="BE233">
        <f t="shared" si="98"/>
        <v>26.351229999999997</v>
      </c>
      <c r="BF233">
        <f t="shared" si="99"/>
        <v>0</v>
      </c>
      <c r="BG233">
        <f t="shared" si="100"/>
        <v>0.301952</v>
      </c>
      <c r="BH233">
        <f>VLOOKUP(B233,Miljö!$B$1:$BX$482,MATCH("Fossilandel för ursprungspecificerad el ()",Miljö!$B$1:$I$1,0),FALSE)</f>
        <v>0</v>
      </c>
      <c r="BI233">
        <f>VLOOKUP(B233,Miljö!$B$1:$BX$482,MATCH("Kärnkraftsandel för ursprungsspecificerad el ()",Miljö!$B$1:$O$1,0),FALSE)</f>
        <v>0</v>
      </c>
      <c r="BJ233">
        <f t="shared" si="101"/>
        <v>0</v>
      </c>
      <c r="BK233" t="str">
        <f>VLOOKUP(B233,Miljö!$B$1:$O$482,MATCH("Fossil andel i procent (%)",Miljö!$B$1:$O$1,0),FALSE)</f>
        <v>ET</v>
      </c>
      <c r="BL233">
        <f t="shared" si="102"/>
        <v>26.833181999999997</v>
      </c>
      <c r="BO233" s="18">
        <f t="shared" si="103"/>
        <v>6.7081123662486248E-3</v>
      </c>
      <c r="BP233" s="18">
        <f t="shared" si="104"/>
        <v>0</v>
      </c>
      <c r="BQ233" s="18">
        <f t="shared" si="105"/>
        <v>0.99329188763375142</v>
      </c>
      <c r="BR233" s="18">
        <f t="shared" si="106"/>
        <v>0</v>
      </c>
      <c r="BT233" s="27">
        <f t="shared" si="107"/>
        <v>1</v>
      </c>
      <c r="BW233" s="18">
        <f>IF(AP233="ja",VLOOKUP(B233,Miljövärden!$B$2:$H$550,MATCH("Total andel fossilt",Miljövärden!$B$2:$H$2,0),FALSE),"")</f>
        <v>6.7081099999999998E-3</v>
      </c>
      <c r="BZ233" s="28">
        <f t="shared" si="108"/>
        <v>-2.3662486249922954E-9</v>
      </c>
      <c r="CA233" s="28">
        <f t="shared" si="109"/>
        <v>0</v>
      </c>
    </row>
    <row r="234" spans="1:79" x14ac:dyDescent="0.25">
      <c r="A234" s="224" t="s">
        <v>521</v>
      </c>
      <c r="B234" s="210" t="s">
        <v>523</v>
      </c>
      <c r="C234" s="121">
        <f>VLOOKUP($B234,'Tillförd energi'!$B$1:$AI$720,MATCH(C$1,'Tillförd energi'!$B$1:$AQ$1,0),FALSE)</f>
        <v>0</v>
      </c>
      <c r="D234" s="121">
        <f>VLOOKUP($B234,'Tillförd energi'!$B$1:$AI$720,MATCH(D$1,'Tillförd energi'!$B$1:$AQ$1,0),FALSE)</f>
        <v>3</v>
      </c>
      <c r="E234" s="121">
        <f>VLOOKUP($B234,'Tillförd energi'!$B$1:$AI$720,MATCH(E$1,'Tillförd energi'!$B$1:$AQ$1,0),FALSE)</f>
        <v>0</v>
      </c>
      <c r="F234" s="121">
        <f>VLOOKUP($B234,'Tillförd energi'!$B$1:$AI$720,MATCH(F$1,'Tillförd energi'!$B$1:$AQ$1,0),FALSE)</f>
        <v>0</v>
      </c>
      <c r="G234" s="121">
        <f>VLOOKUP($B234,'Tillförd energi'!$B$1:$AI$720,MATCH(G$1,'Tillförd energi'!$B$1:$AQ$1,0),FALSE)</f>
        <v>0</v>
      </c>
      <c r="H234" s="121">
        <f>VLOOKUP($B234,'Tillförd energi'!$B$1:$AI$720,MATCH(H$1,'Tillförd energi'!$B$1:$AQ$1,0),FALSE)</f>
        <v>0</v>
      </c>
      <c r="I234" s="121">
        <f>VLOOKUP($B234,'Tillförd energi'!$B$1:$AI$720,MATCH(I$1,'Tillförd energi'!$B$1:$AQ$1,0),FALSE)</f>
        <v>0</v>
      </c>
      <c r="J234" s="121">
        <f>VLOOKUP($B234,'Tillförd energi'!$B$1:$AI$720,MATCH(J$1,'Tillförd energi'!$B$1:$AQ$1,0),FALSE)</f>
        <v>0</v>
      </c>
      <c r="K234" s="121">
        <f>VLOOKUP($B234,'Tillförd energi'!$B$1:$AI$720,MATCH(K$1,'Tillförd energi'!$B$1:$AQ$1,0),FALSE)</f>
        <v>0</v>
      </c>
      <c r="L234" s="121">
        <f>VLOOKUP($B234,'Tillförd energi'!$B$1:$AI$720,MATCH(L$1,'Tillförd energi'!$B$1:$AQ$1,0),FALSE)</f>
        <v>0</v>
      </c>
      <c r="M234" s="121">
        <f>VLOOKUP($B234,'Tillförd energi'!$B$1:$AI$720,MATCH(M$1,'Tillförd energi'!$B$1:$AQ$1,0),FALSE)</f>
        <v>26.246400000000001</v>
      </c>
      <c r="N234" s="121">
        <f>VLOOKUP($B234,'Tillförd energi'!$B$1:$AI$720,MATCH(N$1,'Tillförd energi'!$B$1:$AQ$1,0),FALSE)</f>
        <v>26.246400000000001</v>
      </c>
      <c r="O234" s="121">
        <f>VLOOKUP($B234,'Tillförd energi'!$B$1:$AI$720,MATCH(O$1,'Tillförd energi'!$B$1:$AQ$1,0),FALSE)</f>
        <v>8.7444600000000001</v>
      </c>
      <c r="P234" s="121">
        <f>VLOOKUP($B234,'Tillförd energi'!$B$1:$AI$720,MATCH(P$1,'Tillförd energi'!$B$1:$AQ$1,0),FALSE)</f>
        <v>26.246400000000001</v>
      </c>
      <c r="Q234" s="121">
        <f>VLOOKUP($B234,'Tillförd energi'!$B$1:$AI$720,MATCH(Q$1,'Tillförd energi'!$B$1:$AQ$1,0),FALSE)</f>
        <v>0</v>
      </c>
      <c r="R234" s="121">
        <f>VLOOKUP($B234,'Tillförd energi'!$B$1:$AI$720,MATCH(R$1,'Tillförd energi'!$B$1:$AQ$1,0),FALSE)</f>
        <v>3</v>
      </c>
      <c r="S234" s="121">
        <f>VLOOKUP($B234,'Tillförd energi'!$B$1:$AI$720,MATCH(S$1,'Tillförd energi'!$B$1:$AQ$1,0),FALSE)</f>
        <v>41</v>
      </c>
      <c r="T234" s="121">
        <f>VLOOKUP($B234,'Tillförd energi'!$B$1:$AI$720,MATCH(T$1,'Tillförd energi'!$B$1:$AQ$1,0),FALSE)</f>
        <v>0</v>
      </c>
      <c r="U234" s="121">
        <f>VLOOKUP($B234,'Tillförd energi'!$B$1:$AI$720,MATCH(U$1,'Tillförd energi'!$B$1:$AQ$1,0),FALSE)</f>
        <v>0</v>
      </c>
      <c r="V234" s="121">
        <f>VLOOKUP($B234,'Tillförd energi'!$B$1:$AI$720,MATCH(V$1,'Tillförd energi'!$B$1:$AQ$1,0),FALSE)</f>
        <v>0</v>
      </c>
      <c r="W234" s="121">
        <f>VLOOKUP($B234,'Tillförd energi'!$B$1:$AI$720,MATCH(W$1,'Tillförd energi'!$B$1:$AQ$1,0),FALSE)</f>
        <v>0</v>
      </c>
      <c r="X234" s="121">
        <f>VLOOKUP($B234,'Tillförd energi'!$B$1:$AI$720,MATCH(X$1,'Tillförd energi'!$B$1:$AQ$1,0),FALSE)</f>
        <v>0</v>
      </c>
      <c r="Y234" s="121">
        <f>VLOOKUP($B234,'Tillförd energi'!$B$1:$AI$720,MATCH(Y$1,'Tillförd energi'!$B$1:$AQ$1,0),FALSE)</f>
        <v>0</v>
      </c>
      <c r="Z234" s="121">
        <f>VLOOKUP($B234,'Tillförd energi'!$B$1:$AI$720,MATCH(Z$1,'Tillförd energi'!$B$1:$AQ$1,0),FALSE)</f>
        <v>0</v>
      </c>
      <c r="AA234" s="121">
        <f>VLOOKUP($B234,'Tillförd energi'!$B$1:$AI$720,MATCH(AA$1,'Tillförd energi'!$B$1:$AQ$1,0),FALSE)</f>
        <v>0</v>
      </c>
      <c r="AB234" s="121">
        <f>VLOOKUP($B234,'Tillförd energi'!$B$1:$AI$720,MATCH(AB$1,'Tillförd energi'!$B$1:$AQ$1,0),FALSE)</f>
        <v>0</v>
      </c>
      <c r="AC234" s="121">
        <f>VLOOKUP($B234,'Tillförd energi'!$B$1:$AI$720,MATCH(AC$1,'Tillförd energi'!$B$1:$AQ$1,0),FALSE)</f>
        <v>0</v>
      </c>
      <c r="AD234" s="121">
        <f>VLOOKUP($B234,'Tillförd energi'!$B$1:$AI$720,MATCH(AD$1,'Tillförd energi'!$B$1:$AQ$1,0),FALSE)</f>
        <v>0</v>
      </c>
      <c r="AE234" s="121">
        <f>VLOOKUP($B234,'Tillförd energi'!$B$1:$AI$720,MATCH(AE$1,'Tillförd energi'!$B$1:$AQ$1,0),FALSE)</f>
        <v>0</v>
      </c>
      <c r="AF234" s="121">
        <f>VLOOKUP($B234,'Tillförd energi'!$B$1:$AI$720,MATCH(AF$1,'Tillförd energi'!$B$1:$AQ$1,0),FALSE)</f>
        <v>2.1304599999999998</v>
      </c>
      <c r="AG234" s="121">
        <f>IFERROR(VLOOKUP(B234,Miljö!$B$1:$AC$550,MATCH("Köpt mängd produktionsspecifik fjärrvärme:",Miljö!$B$1:$AC$1,0),FALSE)/1,0)</f>
        <v>0</v>
      </c>
      <c r="AH234" s="121"/>
      <c r="AI234" s="121">
        <f t="shared" si="88"/>
        <v>136.61412000000001</v>
      </c>
      <c r="AJ234" s="121">
        <f t="shared" si="89"/>
        <v>136.61412000000001</v>
      </c>
      <c r="AK234" s="121">
        <f>IF(ISERROR(1/VLOOKUP($B234,Leveranser!$B$1:$S$499,MATCH("såld värme (gwh)",Leveranser!$B$1:$S$1,0),FALSE)),"",VLOOKUP($B234,Leveranser!$B$1:$S$499,MATCH("såld värme (gwh)",Leveranser!$B$1:$S$1,0),FALSE))</f>
        <v>106.9</v>
      </c>
      <c r="AL234" s="121">
        <f>VLOOKUP($B234,Leveranser!$B$1:$Y$499,MATCH("Totalt såld fjärrvärme till andra fjärrvärmeföretag",Leveranser!$B$1:$AA$1,0),FALSE)</f>
        <v>0</v>
      </c>
      <c r="AM234" s="121">
        <f>IF(ISERROR(1/VLOOKUP($B234,Miljö!$B$1:$S$500,MATCH("Såld mängd produktionsspecifik fjärrvärme (GWh)",Miljö!$B$1:$R$1,0),FALSE)),0,VLOOKUP($B234,Miljö!$B$1:$S$500,MATCH("Såld mängd produktionsspecifik fjärrvärme (GWh)",Miljö!$B$1:$R$1,0),FALSE))</f>
        <v>0</v>
      </c>
      <c r="AN234" s="172">
        <f t="shared" si="90"/>
        <v>0.7824959821137083</v>
      </c>
      <c r="AO234" s="121"/>
      <c r="AP234" s="121" t="str">
        <f>IFERROR(VLOOKUP($B234,Miljövärden!$B$2:$H$550,7,FALSE),"Nej, saknas")</f>
        <v>Ja</v>
      </c>
      <c r="AQ234" s="121" t="str">
        <f>IFERROR(VLOOKUP($B234,Miljövärden!$B$2:$H$550,6,FALSE),"Nej, saknas")</f>
        <v>Ja</v>
      </c>
      <c r="AU234">
        <f t="shared" si="91"/>
        <v>2.1304599999999998</v>
      </c>
      <c r="AV234">
        <f t="shared" si="92"/>
        <v>0</v>
      </c>
      <c r="AW234">
        <f t="shared" si="93"/>
        <v>87.483660000000015</v>
      </c>
      <c r="AX234">
        <f t="shared" si="94"/>
        <v>44</v>
      </c>
      <c r="AZ234">
        <f t="shared" si="95"/>
        <v>131.48366000000001</v>
      </c>
      <c r="BC234">
        <f t="shared" si="96"/>
        <v>3</v>
      </c>
      <c r="BD234">
        <f t="shared" si="97"/>
        <v>0</v>
      </c>
      <c r="BE234">
        <f t="shared" si="98"/>
        <v>131.48366000000001</v>
      </c>
      <c r="BF234">
        <f t="shared" si="99"/>
        <v>0</v>
      </c>
      <c r="BG234">
        <f t="shared" si="100"/>
        <v>2.1304599999999998</v>
      </c>
      <c r="BH234">
        <f>VLOOKUP(B234,Miljö!$B$1:$BX$482,MATCH("Fossilandel för ursprungspecificerad el ()",Miljö!$B$1:$I$1,0),FALSE)</f>
        <v>0</v>
      </c>
      <c r="BI234">
        <f>VLOOKUP(B234,Miljö!$B$1:$BX$482,MATCH("Kärnkraftsandel för ursprungsspecificerad el ()",Miljö!$B$1:$O$1,0),FALSE)</f>
        <v>0</v>
      </c>
      <c r="BJ234">
        <f t="shared" si="101"/>
        <v>0</v>
      </c>
      <c r="BK234" t="str">
        <f>VLOOKUP(B234,Miljö!$B$1:$O$482,MATCH("Fossil andel i procent (%)",Miljö!$B$1:$O$1,0),FALSE)</f>
        <v>ET</v>
      </c>
      <c r="BL234">
        <f t="shared" si="102"/>
        <v>136.61412000000001</v>
      </c>
      <c r="BO234" s="18">
        <f t="shared" si="103"/>
        <v>2.1959662734715852E-2</v>
      </c>
      <c r="BP234" s="18">
        <f t="shared" si="104"/>
        <v>0</v>
      </c>
      <c r="BQ234" s="18">
        <f t="shared" si="105"/>
        <v>0.97804033726528417</v>
      </c>
      <c r="BR234" s="18">
        <f t="shared" si="106"/>
        <v>0</v>
      </c>
      <c r="BT234" s="27">
        <f t="shared" si="107"/>
        <v>1</v>
      </c>
      <c r="BW234" s="18">
        <f>IF(AP234="ja",VLOOKUP(B234,Miljövärden!$B$2:$H$550,MATCH("Total andel fossilt",Miljövärden!$B$2:$H$2,0),FALSE),"")</f>
        <v>2.1959699999999999E-2</v>
      </c>
      <c r="BZ234" s="28">
        <f t="shared" si="108"/>
        <v>3.726528414668695E-8</v>
      </c>
      <c r="CA234" s="28">
        <f t="shared" si="109"/>
        <v>0</v>
      </c>
    </row>
    <row r="235" spans="1:79" x14ac:dyDescent="0.25">
      <c r="A235" s="224" t="s">
        <v>524</v>
      </c>
      <c r="B235" s="210" t="s">
        <v>525</v>
      </c>
      <c r="C235" s="121">
        <f>VLOOKUP($B235,'Tillförd energi'!$B$1:$AI$720,MATCH(C$1,'Tillförd energi'!$B$1:$AQ$1,0),FALSE)</f>
        <v>0</v>
      </c>
      <c r="D235" s="121">
        <f>VLOOKUP($B235,'Tillförd energi'!$B$1:$AI$720,MATCH(D$1,'Tillförd energi'!$B$1:$AQ$1,0),FALSE)</f>
        <v>0</v>
      </c>
      <c r="E235" s="121">
        <f>VLOOKUP($B235,'Tillförd energi'!$B$1:$AI$720,MATCH(E$1,'Tillförd energi'!$B$1:$AQ$1,0),FALSE)</f>
        <v>0</v>
      </c>
      <c r="F235" s="121">
        <f>VLOOKUP($B235,'Tillförd energi'!$B$1:$AI$720,MATCH(F$1,'Tillförd energi'!$B$1:$AQ$1,0),FALSE)</f>
        <v>0</v>
      </c>
      <c r="G235" s="121">
        <f>VLOOKUP($B235,'Tillförd energi'!$B$1:$AI$720,MATCH(G$1,'Tillförd energi'!$B$1:$AQ$1,0),FALSE)</f>
        <v>0</v>
      </c>
      <c r="H235" s="121">
        <f>VLOOKUP($B235,'Tillförd energi'!$B$1:$AI$720,MATCH(H$1,'Tillförd energi'!$B$1:$AQ$1,0),FALSE)</f>
        <v>0</v>
      </c>
      <c r="I235" s="121">
        <f>VLOOKUP($B235,'Tillförd energi'!$B$1:$AI$720,MATCH(I$1,'Tillförd energi'!$B$1:$AQ$1,0),FALSE)</f>
        <v>0</v>
      </c>
      <c r="J235" s="121">
        <f>VLOOKUP($B235,'Tillförd energi'!$B$1:$AI$720,MATCH(J$1,'Tillförd energi'!$B$1:$AQ$1,0),FALSE)</f>
        <v>3.3255599999999998</v>
      </c>
      <c r="K235" s="121">
        <f>VLOOKUP($B235,'Tillförd energi'!$B$1:$AI$720,MATCH(K$1,'Tillförd energi'!$B$1:$AQ$1,0),FALSE)</f>
        <v>0</v>
      </c>
      <c r="L235" s="121">
        <f>VLOOKUP($B235,'Tillförd energi'!$B$1:$AI$720,MATCH(L$1,'Tillförd energi'!$B$1:$AQ$1,0),FALSE)</f>
        <v>0</v>
      </c>
      <c r="M235" s="121">
        <f>VLOOKUP($B235,'Tillförd energi'!$B$1:$AI$720,MATCH(M$1,'Tillförd energi'!$B$1:$AQ$1,0),FALSE)</f>
        <v>0</v>
      </c>
      <c r="N235" s="121">
        <f>VLOOKUP($B235,'Tillförd energi'!$B$1:$AI$720,MATCH(N$1,'Tillförd energi'!$B$1:$AQ$1,0),FALSE)</f>
        <v>29.2563</v>
      </c>
      <c r="O235" s="121">
        <f>VLOOKUP($B235,'Tillförd energi'!$B$1:$AI$720,MATCH(O$1,'Tillförd energi'!$B$1:$AQ$1,0),FALSE)</f>
        <v>14.3447</v>
      </c>
      <c r="P235" s="121">
        <f>VLOOKUP($B235,'Tillförd energi'!$B$1:$AI$720,MATCH(P$1,'Tillförd energi'!$B$1:$AQ$1,0),FALSE)</f>
        <v>48.900599999999997</v>
      </c>
      <c r="Q235" s="121">
        <f>VLOOKUP($B235,'Tillförd energi'!$B$1:$AI$720,MATCH(Q$1,'Tillförd energi'!$B$1:$AQ$1,0),FALSE)</f>
        <v>15.125</v>
      </c>
      <c r="R235" s="121">
        <f>VLOOKUP($B235,'Tillförd energi'!$B$1:$AI$720,MATCH(R$1,'Tillförd energi'!$B$1:$AQ$1,0),FALSE)</f>
        <v>40.401200000000003</v>
      </c>
      <c r="S235" s="121">
        <f>VLOOKUP($B235,'Tillförd energi'!$B$1:$AI$720,MATCH(S$1,'Tillförd energi'!$B$1:$AQ$1,0),FALSE)</f>
        <v>0</v>
      </c>
      <c r="T235" s="121">
        <f>VLOOKUP($B235,'Tillförd energi'!$B$1:$AI$720,MATCH(T$1,'Tillförd energi'!$B$1:$AQ$1,0),FALSE)</f>
        <v>0</v>
      </c>
      <c r="U235" s="121">
        <f>VLOOKUP($B235,'Tillförd energi'!$B$1:$AI$720,MATCH(U$1,'Tillförd energi'!$B$1:$AQ$1,0),FALSE)</f>
        <v>0</v>
      </c>
      <c r="V235" s="121">
        <f>VLOOKUP($B235,'Tillförd energi'!$B$1:$AI$720,MATCH(V$1,'Tillförd energi'!$B$1:$AQ$1,0),FALSE)</f>
        <v>0</v>
      </c>
      <c r="W235" s="121">
        <f>VLOOKUP($B235,'Tillförd energi'!$B$1:$AI$720,MATCH(W$1,'Tillförd energi'!$B$1:$AQ$1,0),FALSE)</f>
        <v>5.58094</v>
      </c>
      <c r="X235" s="121">
        <f>VLOOKUP($B235,'Tillförd energi'!$B$1:$AI$720,MATCH(X$1,'Tillförd energi'!$B$1:$AQ$1,0),FALSE)</f>
        <v>0</v>
      </c>
      <c r="Y235" s="121">
        <f>VLOOKUP($B235,'Tillförd energi'!$B$1:$AI$720,MATCH(Y$1,'Tillförd energi'!$B$1:$AQ$1,0),FALSE)</f>
        <v>0</v>
      </c>
      <c r="Z235" s="121">
        <f>VLOOKUP($B235,'Tillförd energi'!$B$1:$AI$720,MATCH(Z$1,'Tillförd energi'!$B$1:$AQ$1,0),FALSE)</f>
        <v>3.8462000000000003E-2</v>
      </c>
      <c r="AA235" s="121">
        <f>VLOOKUP($B235,'Tillförd energi'!$B$1:$AI$720,MATCH(AA$1,'Tillförd energi'!$B$1:$AQ$1,0),FALSE)</f>
        <v>0</v>
      </c>
      <c r="AB235" s="121">
        <f>VLOOKUP($B235,'Tillförd energi'!$B$1:$AI$720,MATCH(AB$1,'Tillförd energi'!$B$1:$AQ$1,0),FALSE)</f>
        <v>0</v>
      </c>
      <c r="AC235" s="121">
        <f>VLOOKUP($B235,'Tillförd energi'!$B$1:$AI$720,MATCH(AC$1,'Tillförd energi'!$B$1:$AQ$1,0),FALSE)</f>
        <v>15.55</v>
      </c>
      <c r="AD235" s="121">
        <f>VLOOKUP($B235,'Tillförd energi'!$B$1:$AI$720,MATCH(AD$1,'Tillförd energi'!$B$1:$AQ$1,0),FALSE)</f>
        <v>0</v>
      </c>
      <c r="AE235" s="121">
        <f>VLOOKUP($B235,'Tillförd energi'!$B$1:$AI$720,MATCH(AE$1,'Tillförd energi'!$B$1:$AQ$1,0),FALSE)</f>
        <v>0</v>
      </c>
      <c r="AF235" s="121">
        <f>VLOOKUP($B235,'Tillförd energi'!$B$1:$AI$720,MATCH(AF$1,'Tillförd energi'!$B$1:$AQ$1,0),FALSE)</f>
        <v>3.1807599999999998</v>
      </c>
      <c r="AG235" s="121">
        <f>IFERROR(VLOOKUP(B235,Miljö!$B$1:$AC$550,MATCH("Köpt mängd produktionsspecifik fjärrvärme:",Miljö!$B$1:$AC$1,0),FALSE)/1,0)</f>
        <v>0</v>
      </c>
      <c r="AH235" s="121"/>
      <c r="AI235" s="121">
        <f t="shared" si="88"/>
        <v>175.70352200000002</v>
      </c>
      <c r="AJ235" s="121">
        <f t="shared" si="89"/>
        <v>175.70352200000002</v>
      </c>
      <c r="AK235" s="121">
        <f>IF(ISERROR(1/VLOOKUP($B235,Leveranser!$B$1:$S$499,MATCH("såld värme (gwh)",Leveranser!$B$1:$S$1,0),FALSE)),"",VLOOKUP($B235,Leveranser!$B$1:$S$499,MATCH("såld värme (gwh)",Leveranser!$B$1:$S$1,0),FALSE))</f>
        <v>146.04</v>
      </c>
      <c r="AL235" s="121">
        <f>VLOOKUP($B235,Leveranser!$B$1:$Y$499,MATCH("Totalt såld fjärrvärme till andra fjärrvärmeföretag",Leveranser!$B$1:$AA$1,0),FALSE)</f>
        <v>0</v>
      </c>
      <c r="AM235" s="121">
        <f>IF(ISERROR(1/VLOOKUP($B235,Miljö!$B$1:$S$500,MATCH("Såld mängd produktionsspecifik fjärrvärme (GWh)",Miljö!$B$1:$R$1,0),FALSE)),0,VLOOKUP($B235,Miljö!$B$1:$S$500,MATCH("Såld mängd produktionsspecifik fjärrvärme (GWh)",Miljö!$B$1:$R$1,0),FALSE))</f>
        <v>0</v>
      </c>
      <c r="AN235" s="172">
        <f t="shared" si="90"/>
        <v>0.8311728663014506</v>
      </c>
      <c r="AO235" s="121"/>
      <c r="AP235" s="121" t="str">
        <f>IFERROR(VLOOKUP($B235,Miljövärden!$B$2:$H$550,7,FALSE),"Nej, saknas")</f>
        <v>Ja</v>
      </c>
      <c r="AQ235" s="121" t="str">
        <f>IFERROR(VLOOKUP($B235,Miljövärden!$B$2:$H$550,6,FALSE),"Nej, saknas")</f>
        <v>Nej</v>
      </c>
      <c r="AU235">
        <f t="shared" si="91"/>
        <v>3.2192219999999998</v>
      </c>
      <c r="AV235">
        <f t="shared" si="92"/>
        <v>0</v>
      </c>
      <c r="AW235">
        <f t="shared" si="93"/>
        <v>107.6266</v>
      </c>
      <c r="AX235">
        <f t="shared" si="94"/>
        <v>40.401200000000003</v>
      </c>
      <c r="AZ235">
        <f t="shared" si="95"/>
        <v>153.60874000000001</v>
      </c>
      <c r="BC235">
        <f t="shared" si="96"/>
        <v>0</v>
      </c>
      <c r="BD235">
        <f t="shared" si="97"/>
        <v>0</v>
      </c>
      <c r="BE235">
        <f t="shared" si="98"/>
        <v>153.60874000000001</v>
      </c>
      <c r="BF235">
        <f t="shared" si="99"/>
        <v>18.87556</v>
      </c>
      <c r="BG235">
        <f t="shared" si="100"/>
        <v>3.2192219999999998</v>
      </c>
      <c r="BH235">
        <f>VLOOKUP(B235,Miljö!$B$1:$BX$482,MATCH("Fossilandel för ursprungspecificerad el ()",Miljö!$B$1:$I$1,0),FALSE)</f>
        <v>0</v>
      </c>
      <c r="BI235">
        <f>VLOOKUP(B235,Miljö!$B$1:$BX$482,MATCH("Kärnkraftsandel för ursprungsspecificerad el ()",Miljö!$B$1:$O$1,0),FALSE)</f>
        <v>0</v>
      </c>
      <c r="BJ235">
        <f t="shared" si="101"/>
        <v>0</v>
      </c>
      <c r="BK235" t="str">
        <f>VLOOKUP(B235,Miljö!$B$1:$O$482,MATCH("Fossil andel i procent (%)",Miljö!$B$1:$O$1,0),FALSE)</f>
        <v>ET</v>
      </c>
      <c r="BL235">
        <f t="shared" si="102"/>
        <v>175.70352200000002</v>
      </c>
      <c r="BO235" s="18">
        <f t="shared" si="103"/>
        <v>0</v>
      </c>
      <c r="BP235" s="18">
        <f t="shared" si="104"/>
        <v>0</v>
      </c>
      <c r="BQ235" s="18">
        <f t="shared" si="105"/>
        <v>0.89257153308514781</v>
      </c>
      <c r="BR235" s="18">
        <f t="shared" si="106"/>
        <v>0.10742846691485215</v>
      </c>
      <c r="BT235" s="27">
        <f t="shared" si="107"/>
        <v>1</v>
      </c>
      <c r="BW235" s="18">
        <f>IF(AP235="ja",VLOOKUP(B235,Miljövärden!$B$2:$H$550,MATCH("Total andel fossilt",Miljövärden!$B$2:$H$2,0),FALSE),"")</f>
        <v>0</v>
      </c>
      <c r="BZ235" s="28">
        <f t="shared" si="108"/>
        <v>0</v>
      </c>
      <c r="CA235" s="28">
        <f t="shared" si="109"/>
        <v>0</v>
      </c>
    </row>
    <row r="236" spans="1:79" x14ac:dyDescent="0.25">
      <c r="A236" s="224" t="s">
        <v>526</v>
      </c>
      <c r="B236" s="210" t="s">
        <v>527</v>
      </c>
      <c r="C236" s="121">
        <f>VLOOKUP($B236,'Tillförd energi'!$B$1:$AI$720,MATCH(C$1,'Tillförd energi'!$B$1:$AQ$1,0),FALSE)</f>
        <v>0</v>
      </c>
      <c r="D236" s="121">
        <f>VLOOKUP($B236,'Tillförd energi'!$B$1:$AI$720,MATCH(D$1,'Tillförd energi'!$B$1:$AQ$1,0),FALSE)</f>
        <v>1.08</v>
      </c>
      <c r="E236" s="121">
        <f>VLOOKUP($B236,'Tillförd energi'!$B$1:$AI$720,MATCH(E$1,'Tillförd energi'!$B$1:$AQ$1,0),FALSE)</f>
        <v>0</v>
      </c>
      <c r="F236" s="121">
        <f>VLOOKUP($B236,'Tillförd energi'!$B$1:$AI$720,MATCH(F$1,'Tillförd energi'!$B$1:$AQ$1,0),FALSE)</f>
        <v>0</v>
      </c>
      <c r="G236" s="121">
        <f>VLOOKUP($B236,'Tillförd energi'!$B$1:$AI$720,MATCH(G$1,'Tillförd energi'!$B$1:$AQ$1,0),FALSE)</f>
        <v>0</v>
      </c>
      <c r="H236" s="121">
        <f>VLOOKUP($B236,'Tillförd energi'!$B$1:$AI$720,MATCH(H$1,'Tillförd energi'!$B$1:$AQ$1,0),FALSE)</f>
        <v>1.0940000000000001</v>
      </c>
      <c r="I236" s="121">
        <f>VLOOKUP($B236,'Tillförd energi'!$B$1:$AI$720,MATCH(I$1,'Tillförd energi'!$B$1:$AQ$1,0),FALSE)</f>
        <v>0</v>
      </c>
      <c r="J236" s="121">
        <f>VLOOKUP($B236,'Tillförd energi'!$B$1:$AI$720,MATCH(J$1,'Tillförd energi'!$B$1:$AQ$1,0),FALSE)</f>
        <v>0</v>
      </c>
      <c r="K236" s="121">
        <f>VLOOKUP($B236,'Tillförd energi'!$B$1:$AI$720,MATCH(K$1,'Tillförd energi'!$B$1:$AQ$1,0),FALSE)</f>
        <v>0</v>
      </c>
      <c r="L236" s="121">
        <f>VLOOKUP($B236,'Tillförd energi'!$B$1:$AI$720,MATCH(L$1,'Tillförd energi'!$B$1:$AQ$1,0),FALSE)</f>
        <v>35.375</v>
      </c>
      <c r="M236" s="121">
        <f>VLOOKUP($B236,'Tillförd energi'!$B$1:$AI$720,MATCH(M$1,'Tillförd energi'!$B$1:$AQ$1,0),FALSE)</f>
        <v>0</v>
      </c>
      <c r="N236" s="121">
        <f>VLOOKUP($B236,'Tillförd energi'!$B$1:$AI$720,MATCH(N$1,'Tillförd energi'!$B$1:$AQ$1,0),FALSE)</f>
        <v>0</v>
      </c>
      <c r="O236" s="121">
        <f>VLOOKUP($B236,'Tillförd energi'!$B$1:$AI$720,MATCH(O$1,'Tillförd energi'!$B$1:$AQ$1,0),FALSE)</f>
        <v>55.508000000000003</v>
      </c>
      <c r="P236" s="121">
        <f>VLOOKUP($B236,'Tillförd energi'!$B$1:$AI$720,MATCH(P$1,'Tillförd energi'!$B$1:$AQ$1,0),FALSE)</f>
        <v>0</v>
      </c>
      <c r="Q236" s="121">
        <f>VLOOKUP($B236,'Tillförd energi'!$B$1:$AI$720,MATCH(Q$1,'Tillförd energi'!$B$1:$AQ$1,0),FALSE)</f>
        <v>0.59899999999999998</v>
      </c>
      <c r="R236" s="121">
        <f>VLOOKUP($B236,'Tillförd energi'!$B$1:$AI$720,MATCH(R$1,'Tillförd energi'!$B$1:$AQ$1,0),FALSE)</f>
        <v>68</v>
      </c>
      <c r="S236" s="121">
        <f>VLOOKUP($B236,'Tillförd energi'!$B$1:$AI$720,MATCH(S$1,'Tillförd energi'!$B$1:$AQ$1,0),FALSE)</f>
        <v>0</v>
      </c>
      <c r="T236" s="121">
        <f>VLOOKUP($B236,'Tillförd energi'!$B$1:$AI$720,MATCH(T$1,'Tillförd energi'!$B$1:$AQ$1,0),FALSE)</f>
        <v>0</v>
      </c>
      <c r="U236" s="121">
        <f>VLOOKUP($B236,'Tillförd energi'!$B$1:$AI$720,MATCH(U$1,'Tillförd energi'!$B$1:$AQ$1,0),FALSE)</f>
        <v>0</v>
      </c>
      <c r="V236" s="121">
        <f>VLOOKUP($B236,'Tillförd energi'!$B$1:$AI$720,MATCH(V$1,'Tillförd energi'!$B$1:$AQ$1,0),FALSE)</f>
        <v>0</v>
      </c>
      <c r="W236" s="121">
        <f>VLOOKUP($B236,'Tillförd energi'!$B$1:$AI$720,MATCH(W$1,'Tillförd energi'!$B$1:$AQ$1,0),FALSE)</f>
        <v>0</v>
      </c>
      <c r="X236" s="121">
        <f>VLOOKUP($B236,'Tillförd energi'!$B$1:$AI$720,MATCH(X$1,'Tillförd energi'!$B$1:$AQ$1,0),FALSE)</f>
        <v>0</v>
      </c>
      <c r="Y236" s="121">
        <f>VLOOKUP($B236,'Tillförd energi'!$B$1:$AI$720,MATCH(Y$1,'Tillförd energi'!$B$1:$AQ$1,0),FALSE)</f>
        <v>112.46899999999999</v>
      </c>
      <c r="Z236" s="121">
        <f>VLOOKUP($B236,'Tillförd energi'!$B$1:$AI$720,MATCH(Z$1,'Tillförd energi'!$B$1:$AQ$1,0),FALSE)</f>
        <v>0</v>
      </c>
      <c r="AA236" s="121">
        <f>VLOOKUP($B236,'Tillförd energi'!$B$1:$AI$720,MATCH(AA$1,'Tillförd energi'!$B$1:$AQ$1,0),FALSE)</f>
        <v>0</v>
      </c>
      <c r="AB236" s="121">
        <f>VLOOKUP($B236,'Tillförd energi'!$B$1:$AI$720,MATCH(AB$1,'Tillförd energi'!$B$1:$AQ$1,0),FALSE)</f>
        <v>0</v>
      </c>
      <c r="AC236" s="121">
        <f>VLOOKUP($B236,'Tillförd energi'!$B$1:$AI$720,MATCH(AC$1,'Tillförd energi'!$B$1:$AQ$1,0),FALSE)</f>
        <v>28.713000000000001</v>
      </c>
      <c r="AD236" s="121">
        <f>VLOOKUP($B236,'Tillförd energi'!$B$1:$AI$720,MATCH(AD$1,'Tillförd energi'!$B$1:$AQ$1,0),FALSE)</f>
        <v>0</v>
      </c>
      <c r="AE236" s="121">
        <f>VLOOKUP($B236,'Tillförd energi'!$B$1:$AI$720,MATCH(AE$1,'Tillförd energi'!$B$1:$AQ$1,0),FALSE)</f>
        <v>0</v>
      </c>
      <c r="AF236" s="121">
        <f>VLOOKUP($B236,'Tillförd energi'!$B$1:$AI$720,MATCH(AF$1,'Tillförd energi'!$B$1:$AQ$1,0),FALSE)</f>
        <v>8.67</v>
      </c>
      <c r="AG236" s="121">
        <f>IFERROR(VLOOKUP(B236,Miljö!$B$1:$AC$550,MATCH("Köpt mängd produktionsspecifik fjärrvärme:",Miljö!$B$1:$AC$1,0),FALSE)/1,0)</f>
        <v>0</v>
      </c>
      <c r="AH236" s="121"/>
      <c r="AI236" s="121">
        <f t="shared" si="88"/>
        <v>311.50800000000004</v>
      </c>
      <c r="AJ236" s="121">
        <f t="shared" si="89"/>
        <v>311.50800000000004</v>
      </c>
      <c r="AK236" s="121">
        <f>IF(ISERROR(1/VLOOKUP($B236,Leveranser!$B$1:$S$499,MATCH("såld värme (gwh)",Leveranser!$B$1:$S$1,0),FALSE)),"",VLOOKUP($B236,Leveranser!$B$1:$S$499,MATCH("såld värme (gwh)",Leveranser!$B$1:$S$1,0),FALSE))</f>
        <v>215</v>
      </c>
      <c r="AL236" s="121">
        <f>VLOOKUP($B236,Leveranser!$B$1:$Y$499,MATCH("Totalt såld fjärrvärme till andra fjärrvärmeföretag",Leveranser!$B$1:$AA$1,0),FALSE)</f>
        <v>0</v>
      </c>
      <c r="AM236" s="121">
        <f>IF(ISERROR(1/VLOOKUP($B236,Miljö!$B$1:$S$500,MATCH("Såld mängd produktionsspecifik fjärrvärme (GWh)",Miljö!$B$1:$R$1,0),FALSE)),0,VLOOKUP($B236,Miljö!$B$1:$S$500,MATCH("Såld mängd produktionsspecifik fjärrvärme (GWh)",Miljö!$B$1:$R$1,0),FALSE))</f>
        <v>0</v>
      </c>
      <c r="AN236" s="172">
        <f t="shared" si="90"/>
        <v>0.69019094212668686</v>
      </c>
      <c r="AO236" s="121"/>
      <c r="AP236" s="121" t="str">
        <f>IFERROR(VLOOKUP($B236,Miljövärden!$B$2:$H$550,7,FALSE),"Nej, saknas")</f>
        <v>Ja</v>
      </c>
      <c r="AQ236" s="121" t="str">
        <f>IFERROR(VLOOKUP($B236,Miljövärden!$B$2:$H$550,6,FALSE),"Nej, saknas")</f>
        <v>Nej</v>
      </c>
      <c r="AU236">
        <f t="shared" si="91"/>
        <v>8.67</v>
      </c>
      <c r="AV236">
        <f t="shared" si="92"/>
        <v>0</v>
      </c>
      <c r="AW236">
        <f t="shared" si="93"/>
        <v>56.106999999999999</v>
      </c>
      <c r="AX236">
        <f t="shared" si="94"/>
        <v>68</v>
      </c>
      <c r="AZ236">
        <f t="shared" si="95"/>
        <v>159.48200000000003</v>
      </c>
      <c r="BC236">
        <f t="shared" si="96"/>
        <v>2.1740000000000004</v>
      </c>
      <c r="BD236">
        <f t="shared" si="97"/>
        <v>112.46899999999999</v>
      </c>
      <c r="BE236">
        <f t="shared" si="98"/>
        <v>124.107</v>
      </c>
      <c r="BF236">
        <f t="shared" si="99"/>
        <v>64.087999999999994</v>
      </c>
      <c r="BG236">
        <f t="shared" si="100"/>
        <v>8.67</v>
      </c>
      <c r="BH236">
        <f>VLOOKUP(B236,Miljö!$B$1:$BX$482,MATCH("Fossilandel för ursprungspecificerad el ()",Miljö!$B$1:$I$1,0),FALSE)</f>
        <v>0.43</v>
      </c>
      <c r="BI236">
        <f>VLOOKUP(B236,Miljö!$B$1:$BX$482,MATCH("Kärnkraftsandel för ursprungsspecificerad el ()",Miljö!$B$1:$O$1,0),FALSE)</f>
        <v>0.40550000000000003</v>
      </c>
      <c r="BJ236">
        <f t="shared" si="101"/>
        <v>0</v>
      </c>
      <c r="BK236" t="str">
        <f>VLOOKUP(B236,Miljö!$B$1:$O$482,MATCH("Fossil andel i procent (%)",Miljö!$B$1:$O$1,0),FALSE)</f>
        <v>ET</v>
      </c>
      <c r="BL236">
        <f t="shared" si="102"/>
        <v>311.50799999999998</v>
      </c>
      <c r="BO236" s="18">
        <f t="shared" si="103"/>
        <v>1.8946864928027534E-2</v>
      </c>
      <c r="BP236" s="18">
        <f t="shared" si="104"/>
        <v>0.37233292563914894</v>
      </c>
      <c r="BQ236" s="18">
        <f t="shared" si="105"/>
        <v>0.40298552525135795</v>
      </c>
      <c r="BR236" s="18">
        <f t="shared" si="106"/>
        <v>0.20573468418146565</v>
      </c>
      <c r="BT236" s="27">
        <f t="shared" si="107"/>
        <v>1</v>
      </c>
      <c r="BW236" s="18">
        <f>IF(AP236="ja",VLOOKUP(B236,Miljövärden!$B$2:$H$550,MATCH("Total andel fossilt",Miljövärden!$B$2:$H$2,0),FALSE),"")</f>
        <v>1.8946899999999999E-2</v>
      </c>
      <c r="BZ236" s="28">
        <f t="shared" si="108"/>
        <v>3.5071972465106072E-8</v>
      </c>
      <c r="CA236" s="28">
        <f t="shared" si="109"/>
        <v>0</v>
      </c>
    </row>
    <row r="237" spans="1:79" x14ac:dyDescent="0.25">
      <c r="A237" s="224" t="s">
        <v>528</v>
      </c>
      <c r="B237" s="210" t="s">
        <v>529</v>
      </c>
      <c r="C237" s="121">
        <f>VLOOKUP($B237,'Tillförd energi'!$B$1:$AI$720,MATCH(C$1,'Tillförd energi'!$B$1:$AQ$1,0),FALSE)</f>
        <v>0</v>
      </c>
      <c r="D237" s="121">
        <f>VLOOKUP($B237,'Tillförd energi'!$B$1:$AI$720,MATCH(D$1,'Tillförd energi'!$B$1:$AQ$1,0),FALSE)</f>
        <v>10.308999999999999</v>
      </c>
      <c r="E237" s="121">
        <f>VLOOKUP($B237,'Tillförd energi'!$B$1:$AI$720,MATCH(E$1,'Tillförd energi'!$B$1:$AQ$1,0),FALSE)</f>
        <v>0</v>
      </c>
      <c r="F237" s="121">
        <f>VLOOKUP($B237,'Tillförd energi'!$B$1:$AI$720,MATCH(F$1,'Tillförd energi'!$B$1:$AQ$1,0),FALSE)</f>
        <v>0</v>
      </c>
      <c r="G237" s="121">
        <f>VLOOKUP($B237,'Tillförd energi'!$B$1:$AI$720,MATCH(G$1,'Tillförd energi'!$B$1:$AQ$1,0),FALSE)</f>
        <v>0</v>
      </c>
      <c r="H237" s="121">
        <f>VLOOKUP($B237,'Tillförd energi'!$B$1:$AI$720,MATCH(H$1,'Tillförd energi'!$B$1:$AQ$1,0),FALSE)</f>
        <v>0</v>
      </c>
      <c r="I237" s="121">
        <f>VLOOKUP($B237,'Tillförd energi'!$B$1:$AI$720,MATCH(I$1,'Tillförd energi'!$B$1:$AQ$1,0),FALSE)</f>
        <v>0</v>
      </c>
      <c r="J237" s="121">
        <f>VLOOKUP($B237,'Tillförd energi'!$B$1:$AI$720,MATCH(J$1,'Tillförd energi'!$B$1:$AQ$1,0),FALSE)</f>
        <v>0</v>
      </c>
      <c r="K237" s="121">
        <f>VLOOKUP($B237,'Tillförd energi'!$B$1:$AI$720,MATCH(K$1,'Tillförd energi'!$B$1:$AQ$1,0),FALSE)</f>
        <v>0</v>
      </c>
      <c r="L237" s="121">
        <f>VLOOKUP($B237,'Tillförd energi'!$B$1:$AI$720,MATCH(L$1,'Tillförd energi'!$B$1:$AQ$1,0),FALSE)</f>
        <v>115.462</v>
      </c>
      <c r="M237" s="121">
        <f>VLOOKUP($B237,'Tillförd energi'!$B$1:$AI$720,MATCH(M$1,'Tillförd energi'!$B$1:$AQ$1,0),FALSE)</f>
        <v>6.5518700000000001</v>
      </c>
      <c r="N237" s="121">
        <f>VLOOKUP($B237,'Tillförd energi'!$B$1:$AI$720,MATCH(N$1,'Tillförd energi'!$B$1:$AQ$1,0),FALSE)</f>
        <v>1.63361</v>
      </c>
      <c r="O237" s="121">
        <f>VLOOKUP($B237,'Tillförd energi'!$B$1:$AI$720,MATCH(O$1,'Tillförd energi'!$B$1:$AQ$1,0),FALSE)</f>
        <v>0</v>
      </c>
      <c r="P237" s="121">
        <f>VLOOKUP($B237,'Tillförd energi'!$B$1:$AI$720,MATCH(P$1,'Tillförd energi'!$B$1:$AQ$1,0),FALSE)</f>
        <v>0</v>
      </c>
      <c r="Q237" s="121">
        <f>VLOOKUP($B237,'Tillförd energi'!$B$1:$AI$720,MATCH(Q$1,'Tillförd energi'!$B$1:$AQ$1,0),FALSE)</f>
        <v>13.024699999999999</v>
      </c>
      <c r="R237" s="121">
        <f>VLOOKUP($B237,'Tillförd energi'!$B$1:$AI$720,MATCH(R$1,'Tillförd energi'!$B$1:$AQ$1,0),FALSE)</f>
        <v>24.922000000000001</v>
      </c>
      <c r="S237" s="121">
        <f>VLOOKUP($B237,'Tillförd energi'!$B$1:$AI$720,MATCH(S$1,'Tillförd energi'!$B$1:$AQ$1,0),FALSE)</f>
        <v>0</v>
      </c>
      <c r="T237" s="121">
        <f>VLOOKUP($B237,'Tillförd energi'!$B$1:$AI$720,MATCH(T$1,'Tillförd energi'!$B$1:$AQ$1,0),FALSE)</f>
        <v>0</v>
      </c>
      <c r="U237" s="121">
        <f>VLOOKUP($B237,'Tillförd energi'!$B$1:$AI$720,MATCH(U$1,'Tillförd energi'!$B$1:$AQ$1,0),FALSE)</f>
        <v>0</v>
      </c>
      <c r="V237" s="121">
        <f>VLOOKUP($B237,'Tillförd energi'!$B$1:$AI$720,MATCH(V$1,'Tillförd energi'!$B$1:$AQ$1,0),FALSE)</f>
        <v>0</v>
      </c>
      <c r="W237" s="121">
        <f>VLOOKUP($B237,'Tillförd energi'!$B$1:$AI$720,MATCH(W$1,'Tillförd energi'!$B$1:$AQ$1,0),FALSE)</f>
        <v>0</v>
      </c>
      <c r="X237" s="121">
        <f>VLOOKUP($B237,'Tillförd energi'!$B$1:$AI$720,MATCH(X$1,'Tillförd energi'!$B$1:$AQ$1,0),FALSE)</f>
        <v>0</v>
      </c>
      <c r="Y237" s="121">
        <f>VLOOKUP($B237,'Tillförd energi'!$B$1:$AI$720,MATCH(Y$1,'Tillförd energi'!$B$1:$AQ$1,0),FALSE)</f>
        <v>0</v>
      </c>
      <c r="Z237" s="121">
        <f>VLOOKUP($B237,'Tillförd energi'!$B$1:$AI$720,MATCH(Z$1,'Tillförd energi'!$B$1:$AQ$1,0),FALSE)</f>
        <v>0</v>
      </c>
      <c r="AA237" s="121">
        <f>VLOOKUP($B237,'Tillförd energi'!$B$1:$AI$720,MATCH(AA$1,'Tillförd energi'!$B$1:$AQ$1,0),FALSE)</f>
        <v>0</v>
      </c>
      <c r="AB237" s="121">
        <f>VLOOKUP($B237,'Tillförd energi'!$B$1:$AI$720,MATCH(AB$1,'Tillförd energi'!$B$1:$AQ$1,0),FALSE)</f>
        <v>0</v>
      </c>
      <c r="AC237" s="121">
        <f>VLOOKUP($B237,'Tillförd energi'!$B$1:$AI$720,MATCH(AC$1,'Tillförd energi'!$B$1:$AQ$1,0),FALSE)</f>
        <v>17.63</v>
      </c>
      <c r="AD237" s="121">
        <f>VLOOKUP($B237,'Tillförd energi'!$B$1:$AI$720,MATCH(AD$1,'Tillförd energi'!$B$1:$AQ$1,0),FALSE)</f>
        <v>0</v>
      </c>
      <c r="AE237" s="121">
        <f>VLOOKUP($B237,'Tillförd energi'!$B$1:$AI$720,MATCH(AE$1,'Tillförd energi'!$B$1:$AQ$1,0),FALSE)</f>
        <v>0</v>
      </c>
      <c r="AF237" s="121">
        <f>VLOOKUP($B237,'Tillförd energi'!$B$1:$AI$720,MATCH(AF$1,'Tillförd energi'!$B$1:$AQ$1,0),FALSE)</f>
        <v>4.4977999999999998</v>
      </c>
      <c r="AG237" s="121">
        <f>IFERROR(VLOOKUP(B237,Miljö!$B$1:$AC$550,MATCH("Köpt mängd produktionsspecifik fjärrvärme:",Miljö!$B$1:$AC$1,0),FALSE)/1,0)</f>
        <v>0</v>
      </c>
      <c r="AH237" s="121"/>
      <c r="AI237" s="121">
        <f t="shared" si="88"/>
        <v>194.03098</v>
      </c>
      <c r="AJ237" s="121">
        <f t="shared" si="89"/>
        <v>194.03098</v>
      </c>
      <c r="AK237" s="121">
        <f>IF(ISERROR(1/VLOOKUP($B237,Leveranser!$B$1:$S$499,MATCH("såld värme (gwh)",Leveranser!$B$1:$S$1,0),FALSE)),"",VLOOKUP($B237,Leveranser!$B$1:$S$499,MATCH("såld värme (gwh)",Leveranser!$B$1:$S$1,0),FALSE))</f>
        <v>149.37200000000001</v>
      </c>
      <c r="AL237" s="121">
        <f>VLOOKUP($B237,Leveranser!$B$1:$Y$499,MATCH("Totalt såld fjärrvärme till andra fjärrvärmeföretag",Leveranser!$B$1:$AA$1,0),FALSE)</f>
        <v>0</v>
      </c>
      <c r="AM237" s="121">
        <f>IF(ISERROR(1/VLOOKUP($B237,Miljö!$B$1:$S$500,MATCH("Såld mängd produktionsspecifik fjärrvärme (GWh)",Miljö!$B$1:$R$1,0),FALSE)),0,VLOOKUP($B237,Miljö!$B$1:$S$500,MATCH("Såld mängd produktionsspecifik fjärrvärme (GWh)",Miljö!$B$1:$R$1,0),FALSE))</f>
        <v>0</v>
      </c>
      <c r="AN237" s="172">
        <f t="shared" si="90"/>
        <v>0.7698358272477932</v>
      </c>
      <c r="AO237" s="121"/>
      <c r="AP237" s="121" t="str">
        <f>IFERROR(VLOOKUP($B237,Miljövärden!$B$2:$H$550,7,FALSE),"Nej, saknas")</f>
        <v>Ja</v>
      </c>
      <c r="AQ237" s="121" t="str">
        <f>IFERROR(VLOOKUP($B237,Miljövärden!$B$2:$H$550,6,FALSE),"Nej, saknas")</f>
        <v>Ja</v>
      </c>
      <c r="AU237">
        <f t="shared" si="91"/>
        <v>4.4977999999999998</v>
      </c>
      <c r="AV237">
        <f t="shared" si="92"/>
        <v>0</v>
      </c>
      <c r="AW237">
        <f t="shared" si="93"/>
        <v>21.210180000000001</v>
      </c>
      <c r="AX237">
        <f t="shared" si="94"/>
        <v>24.922000000000001</v>
      </c>
      <c r="AZ237">
        <f t="shared" si="95"/>
        <v>161.59417999999999</v>
      </c>
      <c r="BC237">
        <f t="shared" si="96"/>
        <v>10.308999999999999</v>
      </c>
      <c r="BD237">
        <f t="shared" si="97"/>
        <v>0</v>
      </c>
      <c r="BE237">
        <f t="shared" si="98"/>
        <v>46.132180000000005</v>
      </c>
      <c r="BF237">
        <f t="shared" si="99"/>
        <v>133.09200000000001</v>
      </c>
      <c r="BG237">
        <f t="shared" si="100"/>
        <v>4.4977999999999998</v>
      </c>
      <c r="BH237">
        <f>VLOOKUP(B237,Miljö!$B$1:$BX$482,MATCH("Fossilandel för ursprungspecificerad el ()",Miljö!$B$1:$I$1,0),FALSE)</f>
        <v>0</v>
      </c>
      <c r="BI237">
        <f>VLOOKUP(B237,Miljö!$B$1:$BX$482,MATCH("Kärnkraftsandel för ursprungsspecificerad el ()",Miljö!$B$1:$O$1,0),FALSE)</f>
        <v>0</v>
      </c>
      <c r="BJ237">
        <f t="shared" si="101"/>
        <v>0</v>
      </c>
      <c r="BK237" t="str">
        <f>VLOOKUP(B237,Miljö!$B$1:$O$482,MATCH("Fossil andel i procent (%)",Miljö!$B$1:$O$1,0),FALSE)</f>
        <v>ET</v>
      </c>
      <c r="BL237">
        <f t="shared" si="102"/>
        <v>194.03098000000003</v>
      </c>
      <c r="BO237" s="18">
        <f t="shared" si="103"/>
        <v>5.3130690779379652E-2</v>
      </c>
      <c r="BP237" s="18">
        <f t="shared" si="104"/>
        <v>0</v>
      </c>
      <c r="BQ237" s="18">
        <f t="shared" si="105"/>
        <v>0.26093760903542307</v>
      </c>
      <c r="BR237" s="18">
        <f t="shared" si="106"/>
        <v>0.68593170018519722</v>
      </c>
      <c r="BT237" s="27">
        <f t="shared" si="107"/>
        <v>1</v>
      </c>
      <c r="BW237" s="18">
        <f>IF(AP237="ja",VLOOKUP(B237,Miljövärden!$B$2:$H$550,MATCH("Total andel fossilt",Miljövärden!$B$2:$H$2,0),FALSE),"")</f>
        <v>5.3130700000000003E-2</v>
      </c>
      <c r="BZ237" s="28">
        <f t="shared" si="108"/>
        <v>9.2206203505806883E-9</v>
      </c>
      <c r="CA237" s="28">
        <f t="shared" si="109"/>
        <v>0</v>
      </c>
    </row>
    <row r="238" spans="1:79" x14ac:dyDescent="0.25">
      <c r="A238" s="224" t="s">
        <v>530</v>
      </c>
      <c r="B238" s="210" t="s">
        <v>531</v>
      </c>
      <c r="C238" s="121">
        <f>VLOOKUP($B238,'Tillförd energi'!$B$1:$AI$720,MATCH(C$1,'Tillförd energi'!$B$1:$AQ$1,0),FALSE)</f>
        <v>0</v>
      </c>
      <c r="D238" s="121">
        <f>VLOOKUP($B238,'Tillförd energi'!$B$1:$AI$720,MATCH(D$1,'Tillförd energi'!$B$1:$AQ$1,0),FALSE)</f>
        <v>0.6</v>
      </c>
      <c r="E238" s="121">
        <f>VLOOKUP($B238,'Tillförd energi'!$B$1:$AI$720,MATCH(E$1,'Tillförd energi'!$B$1:$AQ$1,0),FALSE)</f>
        <v>0</v>
      </c>
      <c r="F238" s="121">
        <f>VLOOKUP($B238,'Tillförd energi'!$B$1:$AI$720,MATCH(F$1,'Tillförd energi'!$B$1:$AQ$1,0),FALSE)</f>
        <v>0</v>
      </c>
      <c r="G238" s="121">
        <f>VLOOKUP($B238,'Tillförd energi'!$B$1:$AI$720,MATCH(G$1,'Tillförd energi'!$B$1:$AQ$1,0),FALSE)</f>
        <v>0</v>
      </c>
      <c r="H238" s="121">
        <f>VLOOKUP($B238,'Tillförd energi'!$B$1:$AI$720,MATCH(H$1,'Tillförd energi'!$B$1:$AQ$1,0),FALSE)</f>
        <v>0</v>
      </c>
      <c r="I238" s="121">
        <f>VLOOKUP($B238,'Tillförd energi'!$B$1:$AI$720,MATCH(I$1,'Tillförd energi'!$B$1:$AQ$1,0),FALSE)</f>
        <v>0</v>
      </c>
      <c r="J238" s="121">
        <f>VLOOKUP($B238,'Tillförd energi'!$B$1:$AI$720,MATCH(J$1,'Tillförd energi'!$B$1:$AQ$1,0),FALSE)</f>
        <v>0</v>
      </c>
      <c r="K238" s="121">
        <f>VLOOKUP($B238,'Tillförd energi'!$B$1:$AI$720,MATCH(K$1,'Tillförd energi'!$B$1:$AQ$1,0),FALSE)</f>
        <v>0</v>
      </c>
      <c r="L238" s="121">
        <f>VLOOKUP($B238,'Tillförd energi'!$B$1:$AI$720,MATCH(L$1,'Tillförd energi'!$B$1:$AQ$1,0),FALSE)</f>
        <v>0</v>
      </c>
      <c r="M238" s="121">
        <f>VLOOKUP($B238,'Tillförd energi'!$B$1:$AI$720,MATCH(M$1,'Tillförd energi'!$B$1:$AQ$1,0),FALSE)</f>
        <v>22.1</v>
      </c>
      <c r="N238" s="121">
        <f>VLOOKUP($B238,'Tillförd energi'!$B$1:$AI$720,MATCH(N$1,'Tillförd energi'!$B$1:$AQ$1,0),FALSE)</f>
        <v>69.8</v>
      </c>
      <c r="O238" s="121">
        <f>VLOOKUP($B238,'Tillförd energi'!$B$1:$AI$720,MATCH(O$1,'Tillförd energi'!$B$1:$AQ$1,0),FALSE)</f>
        <v>0</v>
      </c>
      <c r="P238" s="121">
        <f>VLOOKUP($B238,'Tillförd energi'!$B$1:$AI$720,MATCH(P$1,'Tillförd energi'!$B$1:$AQ$1,0),FALSE)</f>
        <v>1.1000000000000001</v>
      </c>
      <c r="Q238" s="121">
        <f>VLOOKUP($B238,'Tillförd energi'!$B$1:$AI$720,MATCH(Q$1,'Tillförd energi'!$B$1:$AQ$1,0),FALSE)</f>
        <v>0</v>
      </c>
      <c r="R238" s="121">
        <f>VLOOKUP($B238,'Tillförd energi'!$B$1:$AI$720,MATCH(R$1,'Tillförd energi'!$B$1:$AQ$1,0),FALSE)</f>
        <v>0</v>
      </c>
      <c r="S238" s="121">
        <f>VLOOKUP($B238,'Tillförd energi'!$B$1:$AI$720,MATCH(S$1,'Tillförd energi'!$B$1:$AQ$1,0),FALSE)</f>
        <v>0</v>
      </c>
      <c r="T238" s="121">
        <f>VLOOKUP($B238,'Tillförd energi'!$B$1:$AI$720,MATCH(T$1,'Tillförd energi'!$B$1:$AQ$1,0),FALSE)</f>
        <v>0</v>
      </c>
      <c r="U238" s="121">
        <f>VLOOKUP($B238,'Tillförd energi'!$B$1:$AI$720,MATCH(U$1,'Tillförd energi'!$B$1:$AQ$1,0),FALSE)</f>
        <v>0</v>
      </c>
      <c r="V238" s="121">
        <f>VLOOKUP($B238,'Tillförd energi'!$B$1:$AI$720,MATCH(V$1,'Tillförd energi'!$B$1:$AQ$1,0),FALSE)</f>
        <v>0</v>
      </c>
      <c r="W238" s="121">
        <f>VLOOKUP($B238,'Tillförd energi'!$B$1:$AI$720,MATCH(W$1,'Tillförd energi'!$B$1:$AQ$1,0),FALSE)</f>
        <v>0</v>
      </c>
      <c r="X238" s="121">
        <f>VLOOKUP($B238,'Tillförd energi'!$B$1:$AI$720,MATCH(X$1,'Tillförd energi'!$B$1:$AQ$1,0),FALSE)</f>
        <v>0</v>
      </c>
      <c r="Y238" s="121">
        <f>VLOOKUP($B238,'Tillförd energi'!$B$1:$AI$720,MATCH(Y$1,'Tillförd energi'!$B$1:$AQ$1,0),FALSE)</f>
        <v>0</v>
      </c>
      <c r="Z238" s="121">
        <f>VLOOKUP($B238,'Tillförd energi'!$B$1:$AI$720,MATCH(Z$1,'Tillförd energi'!$B$1:$AQ$1,0),FALSE)</f>
        <v>0</v>
      </c>
      <c r="AA238" s="121">
        <f>VLOOKUP($B238,'Tillförd energi'!$B$1:$AI$720,MATCH(AA$1,'Tillförd energi'!$B$1:$AQ$1,0),FALSE)</f>
        <v>0</v>
      </c>
      <c r="AB238" s="121">
        <f>VLOOKUP($B238,'Tillförd energi'!$B$1:$AI$720,MATCH(AB$1,'Tillförd energi'!$B$1:$AQ$1,0),FALSE)</f>
        <v>0</v>
      </c>
      <c r="AC238" s="121">
        <f>VLOOKUP($B238,'Tillförd energi'!$B$1:$AI$720,MATCH(AC$1,'Tillförd energi'!$B$1:$AQ$1,0),FALSE)</f>
        <v>14.3</v>
      </c>
      <c r="AD238" s="121">
        <f>VLOOKUP($B238,'Tillförd energi'!$B$1:$AI$720,MATCH(AD$1,'Tillförd energi'!$B$1:$AQ$1,0),FALSE)</f>
        <v>0</v>
      </c>
      <c r="AE238" s="121">
        <f>VLOOKUP($B238,'Tillförd energi'!$B$1:$AI$720,MATCH(AE$1,'Tillförd energi'!$B$1:$AQ$1,0),FALSE)</f>
        <v>0</v>
      </c>
      <c r="AF238" s="121">
        <f>VLOOKUP($B238,'Tillförd energi'!$B$1:$AI$720,MATCH(AF$1,'Tillförd energi'!$B$1:$AQ$1,0),FALSE)</f>
        <v>1.94</v>
      </c>
      <c r="AG238" s="121">
        <f>IFERROR(VLOOKUP(B238,Miljö!$B$1:$AC$550,MATCH("Köpt mängd produktionsspecifik fjärrvärme:",Miljö!$B$1:$AC$1,0),FALSE)/1,0)</f>
        <v>0</v>
      </c>
      <c r="AH238" s="121"/>
      <c r="AI238" s="121">
        <f t="shared" si="88"/>
        <v>109.83999999999999</v>
      </c>
      <c r="AJ238" s="121">
        <f t="shared" si="89"/>
        <v>109.83999999999999</v>
      </c>
      <c r="AK238" s="121">
        <f>IF(ISERROR(1/VLOOKUP($B238,Leveranser!$B$1:$S$499,MATCH("såld värme (gwh)",Leveranser!$B$1:$S$1,0),FALSE)),"",VLOOKUP($B238,Leveranser!$B$1:$S$499,MATCH("såld värme (gwh)",Leveranser!$B$1:$S$1,0),FALSE))</f>
        <v>88.4</v>
      </c>
      <c r="AL238" s="121">
        <f>VLOOKUP($B238,Leveranser!$B$1:$Y$499,MATCH("Totalt såld fjärrvärme till andra fjärrvärmeföretag",Leveranser!$B$1:$AA$1,0),FALSE)</f>
        <v>0</v>
      </c>
      <c r="AM238" s="121">
        <f>IF(ISERROR(1/VLOOKUP($B238,Miljö!$B$1:$S$500,MATCH("Såld mängd produktionsspecifik fjärrvärme (GWh)",Miljö!$B$1:$R$1,0),FALSE)),0,VLOOKUP($B238,Miljö!$B$1:$S$500,MATCH("Såld mängd produktionsspecifik fjärrvärme (GWh)",Miljö!$B$1:$R$1,0),FALSE))</f>
        <v>0</v>
      </c>
      <c r="AN238" s="172">
        <f t="shared" si="90"/>
        <v>0.80480699198834682</v>
      </c>
      <c r="AO238" s="121"/>
      <c r="AP238" s="121" t="str">
        <f>IFERROR(VLOOKUP($B238,Miljövärden!$B$2:$H$550,7,FALSE),"Nej, saknas")</f>
        <v>Ja</v>
      </c>
      <c r="AQ238" s="121" t="str">
        <f>IFERROR(VLOOKUP($B238,Miljövärden!$B$2:$H$550,6,FALSE),"Nej, saknas")</f>
        <v>Nej</v>
      </c>
      <c r="AU238">
        <f t="shared" si="91"/>
        <v>1.94</v>
      </c>
      <c r="AV238">
        <f t="shared" si="92"/>
        <v>0</v>
      </c>
      <c r="AW238">
        <f t="shared" si="93"/>
        <v>93</v>
      </c>
      <c r="AX238">
        <f t="shared" si="94"/>
        <v>0</v>
      </c>
      <c r="AZ238">
        <f t="shared" si="95"/>
        <v>93</v>
      </c>
      <c r="BC238">
        <f t="shared" si="96"/>
        <v>0.6</v>
      </c>
      <c r="BD238">
        <f t="shared" si="97"/>
        <v>0</v>
      </c>
      <c r="BE238">
        <f t="shared" si="98"/>
        <v>93</v>
      </c>
      <c r="BF238">
        <f t="shared" si="99"/>
        <v>14.3</v>
      </c>
      <c r="BG238">
        <f t="shared" si="100"/>
        <v>1.94</v>
      </c>
      <c r="BH238">
        <f>VLOOKUP(B238,Miljö!$B$1:$BX$482,MATCH("Fossilandel för ursprungspecificerad el ()",Miljö!$B$1:$I$1,0),FALSE)</f>
        <v>0.43</v>
      </c>
      <c r="BI238">
        <f>VLOOKUP(B238,Miljö!$B$1:$BX$482,MATCH("Kärnkraftsandel för ursprungsspecificerad el ()",Miljö!$B$1:$O$1,0),FALSE)</f>
        <v>0.40550000000000003</v>
      </c>
      <c r="BJ238">
        <f t="shared" si="101"/>
        <v>0</v>
      </c>
      <c r="BK238" t="str">
        <f>VLOOKUP(B238,Miljö!$B$1:$O$482,MATCH("Fossil andel i procent (%)",Miljö!$B$1:$O$1,0),FALSE)</f>
        <v>ET</v>
      </c>
      <c r="BL238">
        <f t="shared" si="102"/>
        <v>109.83999999999999</v>
      </c>
      <c r="BO238" s="18">
        <f t="shared" si="103"/>
        <v>1.3057174071376548E-2</v>
      </c>
      <c r="BP238" s="18">
        <f t="shared" si="104"/>
        <v>7.1619628550619084E-3</v>
      </c>
      <c r="BQ238" s="18">
        <f t="shared" si="105"/>
        <v>0.84959149672250556</v>
      </c>
      <c r="BR238" s="18">
        <f t="shared" si="106"/>
        <v>0.1301893663510561</v>
      </c>
      <c r="BT238" s="27">
        <f t="shared" si="107"/>
        <v>1.0000000000000002</v>
      </c>
      <c r="BW238" s="18">
        <f>IF(AP238="ja",VLOOKUP(B238,Miljövärden!$B$2:$H$550,MATCH("Total andel fossilt",Miljövärden!$B$2:$H$2,0),FALSE),"")</f>
        <v>1.30572E-2</v>
      </c>
      <c r="BZ238" s="28">
        <f t="shared" si="108"/>
        <v>2.5928623451423882E-8</v>
      </c>
      <c r="CA238" s="28">
        <f t="shared" si="109"/>
        <v>0</v>
      </c>
    </row>
    <row r="239" spans="1:79" x14ac:dyDescent="0.25">
      <c r="A239" s="224" t="s">
        <v>532</v>
      </c>
      <c r="B239" s="210" t="s">
        <v>533</v>
      </c>
      <c r="C239" s="121">
        <f>VLOOKUP($B239,'Tillförd energi'!$B$1:$AI$720,MATCH(C$1,'Tillförd energi'!$B$1:$AQ$1,0),FALSE)</f>
        <v>0</v>
      </c>
      <c r="D239" s="121">
        <f>VLOOKUP($B239,'Tillförd energi'!$B$1:$AI$720,MATCH(D$1,'Tillförd energi'!$B$1:$AQ$1,0),FALSE)</f>
        <v>0.16500000000000001</v>
      </c>
      <c r="E239" s="121">
        <f>VLOOKUP($B239,'Tillförd energi'!$B$1:$AI$720,MATCH(E$1,'Tillförd energi'!$B$1:$AQ$1,0),FALSE)</f>
        <v>0</v>
      </c>
      <c r="F239" s="121">
        <f>VLOOKUP($B239,'Tillförd energi'!$B$1:$AI$720,MATCH(F$1,'Tillförd energi'!$B$1:$AQ$1,0),FALSE)</f>
        <v>0</v>
      </c>
      <c r="G239" s="121">
        <f>VLOOKUP($B239,'Tillförd energi'!$B$1:$AI$720,MATCH(G$1,'Tillförd energi'!$B$1:$AQ$1,0),FALSE)</f>
        <v>0</v>
      </c>
      <c r="H239" s="121">
        <f>VLOOKUP($B239,'Tillförd energi'!$B$1:$AI$720,MATCH(H$1,'Tillförd energi'!$B$1:$AQ$1,0),FALSE)</f>
        <v>0</v>
      </c>
      <c r="I239" s="121">
        <f>VLOOKUP($B239,'Tillförd energi'!$B$1:$AI$720,MATCH(I$1,'Tillförd energi'!$B$1:$AQ$1,0),FALSE)</f>
        <v>0</v>
      </c>
      <c r="J239" s="121">
        <f>VLOOKUP($B239,'Tillförd energi'!$B$1:$AI$720,MATCH(J$1,'Tillförd energi'!$B$1:$AQ$1,0),FALSE)</f>
        <v>0</v>
      </c>
      <c r="K239" s="121">
        <f>VLOOKUP($B239,'Tillförd energi'!$B$1:$AI$720,MATCH(K$1,'Tillförd energi'!$B$1:$AQ$1,0),FALSE)</f>
        <v>0</v>
      </c>
      <c r="L239" s="121">
        <f>VLOOKUP($B239,'Tillförd energi'!$B$1:$AI$720,MATCH(L$1,'Tillförd energi'!$B$1:$AQ$1,0),FALSE)</f>
        <v>0</v>
      </c>
      <c r="M239" s="121">
        <f>VLOOKUP($B239,'Tillförd energi'!$B$1:$AI$720,MATCH(M$1,'Tillförd energi'!$B$1:$AQ$1,0),FALSE)</f>
        <v>0</v>
      </c>
      <c r="N239" s="121">
        <f>VLOOKUP($B239,'Tillförd energi'!$B$1:$AI$720,MATCH(N$1,'Tillförd energi'!$B$1:$AQ$1,0),FALSE)</f>
        <v>0</v>
      </c>
      <c r="O239" s="121">
        <f>VLOOKUP($B239,'Tillförd energi'!$B$1:$AI$720,MATCH(O$1,'Tillförd energi'!$B$1:$AQ$1,0),FALSE)</f>
        <v>0</v>
      </c>
      <c r="P239" s="121">
        <f>VLOOKUP($B239,'Tillförd energi'!$B$1:$AI$720,MATCH(P$1,'Tillförd energi'!$B$1:$AQ$1,0),FALSE)</f>
        <v>0</v>
      </c>
      <c r="Q239" s="121">
        <f>VLOOKUP($B239,'Tillförd energi'!$B$1:$AI$720,MATCH(Q$1,'Tillförd energi'!$B$1:$AQ$1,0),FALSE)</f>
        <v>0</v>
      </c>
      <c r="R239" s="121">
        <f>VLOOKUP($B239,'Tillförd energi'!$B$1:$AI$720,MATCH(R$1,'Tillförd energi'!$B$1:$AQ$1,0),FALSE)</f>
        <v>9.6039999999999992</v>
      </c>
      <c r="S239" s="121">
        <f>VLOOKUP($B239,'Tillförd energi'!$B$1:$AI$720,MATCH(S$1,'Tillförd energi'!$B$1:$AQ$1,0),FALSE)</f>
        <v>0</v>
      </c>
      <c r="T239" s="121">
        <f>VLOOKUP($B239,'Tillförd energi'!$B$1:$AI$720,MATCH(T$1,'Tillförd energi'!$B$1:$AQ$1,0),FALSE)</f>
        <v>0</v>
      </c>
      <c r="U239" s="121">
        <f>VLOOKUP($B239,'Tillförd energi'!$B$1:$AI$720,MATCH(U$1,'Tillförd energi'!$B$1:$AQ$1,0),FALSE)</f>
        <v>0</v>
      </c>
      <c r="V239" s="121">
        <f>VLOOKUP($B239,'Tillförd energi'!$B$1:$AI$720,MATCH(V$1,'Tillförd energi'!$B$1:$AQ$1,0),FALSE)</f>
        <v>0</v>
      </c>
      <c r="W239" s="121">
        <f>VLOOKUP($B239,'Tillförd energi'!$B$1:$AI$720,MATCH(W$1,'Tillförd energi'!$B$1:$AQ$1,0),FALSE)</f>
        <v>0</v>
      </c>
      <c r="X239" s="121">
        <f>VLOOKUP($B239,'Tillförd energi'!$B$1:$AI$720,MATCH(X$1,'Tillförd energi'!$B$1:$AQ$1,0),FALSE)</f>
        <v>0</v>
      </c>
      <c r="Y239" s="121">
        <f>VLOOKUP($B239,'Tillförd energi'!$B$1:$AI$720,MATCH(Y$1,'Tillförd energi'!$B$1:$AQ$1,0),FALSE)</f>
        <v>0</v>
      </c>
      <c r="Z239" s="121">
        <f>VLOOKUP($B239,'Tillförd energi'!$B$1:$AI$720,MATCH(Z$1,'Tillförd energi'!$B$1:$AQ$1,0),FALSE)</f>
        <v>3.0000000000000001E-3</v>
      </c>
      <c r="AA239" s="121">
        <f>VLOOKUP($B239,'Tillförd energi'!$B$1:$AI$720,MATCH(AA$1,'Tillförd energi'!$B$1:$AQ$1,0),FALSE)</f>
        <v>0</v>
      </c>
      <c r="AB239" s="121">
        <f>VLOOKUP($B239,'Tillförd energi'!$B$1:$AI$720,MATCH(AB$1,'Tillförd energi'!$B$1:$AQ$1,0),FALSE)</f>
        <v>0</v>
      </c>
      <c r="AC239" s="121">
        <f>VLOOKUP($B239,'Tillförd energi'!$B$1:$AI$720,MATCH(AC$1,'Tillförd energi'!$B$1:$AQ$1,0),FALSE)</f>
        <v>0</v>
      </c>
      <c r="AD239" s="121">
        <f>VLOOKUP($B239,'Tillförd energi'!$B$1:$AI$720,MATCH(AD$1,'Tillförd energi'!$B$1:$AQ$1,0),FALSE)</f>
        <v>0</v>
      </c>
      <c r="AE239" s="121">
        <f>VLOOKUP($B239,'Tillförd energi'!$B$1:$AI$720,MATCH(AE$1,'Tillförd energi'!$B$1:$AQ$1,0),FALSE)</f>
        <v>0</v>
      </c>
      <c r="AF239" s="121">
        <f>VLOOKUP($B239,'Tillförd energi'!$B$1:$AI$720,MATCH(AF$1,'Tillförd energi'!$B$1:$AQ$1,0),FALSE)</f>
        <v>0.13100000000000001</v>
      </c>
      <c r="AG239" s="121">
        <f>IFERROR(VLOOKUP(B239,Miljö!$B$1:$AC$550,MATCH("Köpt mängd produktionsspecifik fjärrvärme:",Miljö!$B$1:$AC$1,0),FALSE)/1,0)</f>
        <v>0</v>
      </c>
      <c r="AH239" s="121"/>
      <c r="AI239" s="121">
        <f t="shared" si="88"/>
        <v>9.9029999999999987</v>
      </c>
      <c r="AJ239" s="121">
        <f t="shared" si="89"/>
        <v>9.9029999999999987</v>
      </c>
      <c r="AK239" s="121">
        <f>IF(ISERROR(1/VLOOKUP($B239,Leveranser!$B$1:$S$499,MATCH("såld värme (gwh)",Leveranser!$B$1:$S$1,0),FALSE)),"",VLOOKUP($B239,Leveranser!$B$1:$S$499,MATCH("såld värme (gwh)",Leveranser!$B$1:$S$1,0),FALSE))</f>
        <v>7.9029999999999996</v>
      </c>
      <c r="AL239" s="121">
        <f>VLOOKUP($B239,Leveranser!$B$1:$Y$499,MATCH("Totalt såld fjärrvärme till andra fjärrvärmeföretag",Leveranser!$B$1:$AA$1,0),FALSE)</f>
        <v>0</v>
      </c>
      <c r="AM239" s="121">
        <f>IF(ISERROR(1/VLOOKUP($B239,Miljö!$B$1:$S$500,MATCH("Såld mängd produktionsspecifik fjärrvärme (GWh)",Miljö!$B$1:$R$1,0),FALSE)),0,VLOOKUP($B239,Miljö!$B$1:$S$500,MATCH("Såld mängd produktionsspecifik fjärrvärme (GWh)",Miljö!$B$1:$R$1,0),FALSE))</f>
        <v>0</v>
      </c>
      <c r="AN239" s="172">
        <f t="shared" si="90"/>
        <v>0.7980409976774715</v>
      </c>
      <c r="AO239" s="121"/>
      <c r="AP239" s="121" t="str">
        <f>IFERROR(VLOOKUP($B239,Miljövärden!$B$2:$H$550,7,FALSE),"Nej, saknas")</f>
        <v>Ja</v>
      </c>
      <c r="AQ239" s="121" t="str">
        <f>IFERROR(VLOOKUP($B239,Miljövärden!$B$2:$H$550,6,FALSE),"Nej, saknas")</f>
        <v>Ja</v>
      </c>
      <c r="AU239">
        <f t="shared" si="91"/>
        <v>0.13400000000000001</v>
      </c>
      <c r="AV239">
        <f t="shared" si="92"/>
        <v>0</v>
      </c>
      <c r="AW239">
        <f t="shared" si="93"/>
        <v>0</v>
      </c>
      <c r="AX239">
        <f t="shared" si="94"/>
        <v>9.6039999999999992</v>
      </c>
      <c r="AZ239">
        <f t="shared" si="95"/>
        <v>9.6039999999999992</v>
      </c>
      <c r="BC239">
        <f t="shared" si="96"/>
        <v>0.16500000000000001</v>
      </c>
      <c r="BD239">
        <f t="shared" si="97"/>
        <v>0</v>
      </c>
      <c r="BE239">
        <f t="shared" si="98"/>
        <v>9.6039999999999992</v>
      </c>
      <c r="BF239">
        <f t="shared" si="99"/>
        <v>0</v>
      </c>
      <c r="BG239">
        <f t="shared" si="100"/>
        <v>0.13400000000000001</v>
      </c>
      <c r="BH239">
        <f>VLOOKUP(B239,Miljö!$B$1:$BX$482,MATCH("Fossilandel för ursprungspecificerad el ()",Miljö!$B$1:$I$1,0),FALSE)</f>
        <v>0</v>
      </c>
      <c r="BI239">
        <f>VLOOKUP(B239,Miljö!$B$1:$BX$482,MATCH("Kärnkraftsandel för ursprungsspecificerad el ()",Miljö!$B$1:$O$1,0),FALSE)</f>
        <v>0</v>
      </c>
      <c r="BJ239">
        <f t="shared" si="101"/>
        <v>0</v>
      </c>
      <c r="BK239" t="str">
        <f>VLOOKUP(B239,Miljö!$B$1:$O$482,MATCH("Fossil andel i procent (%)",Miljö!$B$1:$O$1,0),FALSE)</f>
        <v>ET</v>
      </c>
      <c r="BL239">
        <f t="shared" si="102"/>
        <v>9.9029999999999987</v>
      </c>
      <c r="BO239" s="18">
        <f t="shared" si="103"/>
        <v>1.6661617691608607E-2</v>
      </c>
      <c r="BP239" s="18">
        <f t="shared" si="104"/>
        <v>0</v>
      </c>
      <c r="BQ239" s="18">
        <f t="shared" si="105"/>
        <v>0.98333838230839143</v>
      </c>
      <c r="BR239" s="18">
        <f t="shared" si="106"/>
        <v>0</v>
      </c>
      <c r="BT239" s="27">
        <f t="shared" si="107"/>
        <v>1</v>
      </c>
      <c r="BW239" s="18">
        <f>IF(AP239="ja",VLOOKUP(B239,Miljövärden!$B$2:$H$550,MATCH("Total andel fossilt",Miljövärden!$B$2:$H$2,0),FALSE),"")</f>
        <v>1.6661599999999999E-2</v>
      </c>
      <c r="BZ239" s="28">
        <f t="shared" si="108"/>
        <v>-1.7691608608649823E-8</v>
      </c>
      <c r="CA239" s="28">
        <f t="shared" si="109"/>
        <v>0</v>
      </c>
    </row>
    <row r="240" spans="1:79" x14ac:dyDescent="0.25">
      <c r="A240" s="224" t="s">
        <v>532</v>
      </c>
      <c r="B240" s="210" t="s">
        <v>534</v>
      </c>
      <c r="C240" s="121">
        <f>VLOOKUP($B240,'Tillförd energi'!$B$1:$AI$720,MATCH(C$1,'Tillförd energi'!$B$1:$AQ$1,0),FALSE)</f>
        <v>0</v>
      </c>
      <c r="D240" s="121">
        <f>VLOOKUP($B240,'Tillförd energi'!$B$1:$AI$720,MATCH(D$1,'Tillförd energi'!$B$1:$AQ$1,0),FALSE)</f>
        <v>6.3E-2</v>
      </c>
      <c r="E240" s="121">
        <f>VLOOKUP($B240,'Tillförd energi'!$B$1:$AI$720,MATCH(E$1,'Tillförd energi'!$B$1:$AQ$1,0),FALSE)</f>
        <v>0</v>
      </c>
      <c r="F240" s="121">
        <f>VLOOKUP($B240,'Tillförd energi'!$B$1:$AI$720,MATCH(F$1,'Tillförd energi'!$B$1:$AQ$1,0),FALSE)</f>
        <v>0</v>
      </c>
      <c r="G240" s="121">
        <f>VLOOKUP($B240,'Tillförd energi'!$B$1:$AI$720,MATCH(G$1,'Tillförd energi'!$B$1:$AQ$1,0),FALSE)</f>
        <v>0</v>
      </c>
      <c r="H240" s="121">
        <f>VLOOKUP($B240,'Tillförd energi'!$B$1:$AI$720,MATCH(H$1,'Tillförd energi'!$B$1:$AQ$1,0),FALSE)</f>
        <v>0</v>
      </c>
      <c r="I240" s="121">
        <f>VLOOKUP($B240,'Tillförd energi'!$B$1:$AI$720,MATCH(I$1,'Tillförd energi'!$B$1:$AQ$1,0),FALSE)</f>
        <v>0</v>
      </c>
      <c r="J240" s="121">
        <f>VLOOKUP($B240,'Tillförd energi'!$B$1:$AI$720,MATCH(J$1,'Tillförd energi'!$B$1:$AQ$1,0),FALSE)</f>
        <v>0</v>
      </c>
      <c r="K240" s="121">
        <f>VLOOKUP($B240,'Tillförd energi'!$B$1:$AI$720,MATCH(K$1,'Tillförd energi'!$B$1:$AQ$1,0),FALSE)</f>
        <v>0</v>
      </c>
      <c r="L240" s="121">
        <f>VLOOKUP($B240,'Tillförd energi'!$B$1:$AI$720,MATCH(L$1,'Tillförd energi'!$B$1:$AQ$1,0),FALSE)</f>
        <v>0</v>
      </c>
      <c r="M240" s="121">
        <f>VLOOKUP($B240,'Tillförd energi'!$B$1:$AI$720,MATCH(M$1,'Tillförd energi'!$B$1:$AQ$1,0),FALSE)</f>
        <v>0</v>
      </c>
      <c r="N240" s="121">
        <f>VLOOKUP($B240,'Tillförd energi'!$B$1:$AI$720,MATCH(N$1,'Tillförd energi'!$B$1:$AQ$1,0),FALSE)</f>
        <v>0</v>
      </c>
      <c r="O240" s="121">
        <f>VLOOKUP($B240,'Tillförd energi'!$B$1:$AI$720,MATCH(O$1,'Tillförd energi'!$B$1:$AQ$1,0),FALSE)</f>
        <v>0</v>
      </c>
      <c r="P240" s="121">
        <f>VLOOKUP($B240,'Tillförd energi'!$B$1:$AI$720,MATCH(P$1,'Tillförd energi'!$B$1:$AQ$1,0),FALSE)</f>
        <v>0</v>
      </c>
      <c r="Q240" s="121">
        <f>VLOOKUP($B240,'Tillförd energi'!$B$1:$AI$720,MATCH(Q$1,'Tillförd energi'!$B$1:$AQ$1,0),FALSE)</f>
        <v>0</v>
      </c>
      <c r="R240" s="121">
        <f>VLOOKUP($B240,'Tillförd energi'!$B$1:$AI$720,MATCH(R$1,'Tillförd energi'!$B$1:$AQ$1,0),FALSE)</f>
        <v>10.4</v>
      </c>
      <c r="S240" s="121">
        <f>VLOOKUP($B240,'Tillförd energi'!$B$1:$AI$720,MATCH(S$1,'Tillförd energi'!$B$1:$AQ$1,0),FALSE)</f>
        <v>0</v>
      </c>
      <c r="T240" s="121">
        <f>VLOOKUP($B240,'Tillförd energi'!$B$1:$AI$720,MATCH(T$1,'Tillförd energi'!$B$1:$AQ$1,0),FALSE)</f>
        <v>0</v>
      </c>
      <c r="U240" s="121">
        <f>VLOOKUP($B240,'Tillförd energi'!$B$1:$AI$720,MATCH(U$1,'Tillförd energi'!$B$1:$AQ$1,0),FALSE)</f>
        <v>0</v>
      </c>
      <c r="V240" s="121">
        <f>VLOOKUP($B240,'Tillförd energi'!$B$1:$AI$720,MATCH(V$1,'Tillförd energi'!$B$1:$AQ$1,0),FALSE)</f>
        <v>0</v>
      </c>
      <c r="W240" s="121">
        <f>VLOOKUP($B240,'Tillförd energi'!$B$1:$AI$720,MATCH(W$1,'Tillförd energi'!$B$1:$AQ$1,0),FALSE)</f>
        <v>0</v>
      </c>
      <c r="X240" s="121">
        <f>VLOOKUP($B240,'Tillförd energi'!$B$1:$AI$720,MATCH(X$1,'Tillförd energi'!$B$1:$AQ$1,0),FALSE)</f>
        <v>0</v>
      </c>
      <c r="Y240" s="121">
        <f>VLOOKUP($B240,'Tillförd energi'!$B$1:$AI$720,MATCH(Y$1,'Tillförd energi'!$B$1:$AQ$1,0),FALSE)</f>
        <v>0</v>
      </c>
      <c r="Z240" s="121">
        <f>VLOOKUP($B240,'Tillförd energi'!$B$1:$AI$720,MATCH(Z$1,'Tillförd energi'!$B$1:$AQ$1,0),FALSE)</f>
        <v>0</v>
      </c>
      <c r="AA240" s="121">
        <f>VLOOKUP($B240,'Tillförd energi'!$B$1:$AI$720,MATCH(AA$1,'Tillförd energi'!$B$1:$AQ$1,0),FALSE)</f>
        <v>0</v>
      </c>
      <c r="AB240" s="121">
        <f>VLOOKUP($B240,'Tillförd energi'!$B$1:$AI$720,MATCH(AB$1,'Tillförd energi'!$B$1:$AQ$1,0),FALSE)</f>
        <v>0</v>
      </c>
      <c r="AC240" s="121">
        <f>VLOOKUP($B240,'Tillförd energi'!$B$1:$AI$720,MATCH(AC$1,'Tillförd energi'!$B$1:$AQ$1,0),FALSE)</f>
        <v>0</v>
      </c>
      <c r="AD240" s="121">
        <f>VLOOKUP($B240,'Tillförd energi'!$B$1:$AI$720,MATCH(AD$1,'Tillförd energi'!$B$1:$AQ$1,0),FALSE)</f>
        <v>0</v>
      </c>
      <c r="AE240" s="121">
        <f>VLOOKUP($B240,'Tillförd energi'!$B$1:$AI$720,MATCH(AE$1,'Tillförd energi'!$B$1:$AQ$1,0),FALSE)</f>
        <v>0</v>
      </c>
      <c r="AF240" s="121">
        <f>VLOOKUP($B240,'Tillförd energi'!$B$1:$AI$720,MATCH(AF$1,'Tillförd energi'!$B$1:$AQ$1,0),FALSE)</f>
        <v>0.104</v>
      </c>
      <c r="AG240" s="121">
        <f>IFERROR(VLOOKUP(B240,Miljö!$B$1:$AC$550,MATCH("Köpt mängd produktionsspecifik fjärrvärme:",Miljö!$B$1:$AC$1,0),FALSE)/1,0)</f>
        <v>0</v>
      </c>
      <c r="AH240" s="121"/>
      <c r="AI240" s="121">
        <f t="shared" si="88"/>
        <v>10.567</v>
      </c>
      <c r="AJ240" s="121">
        <f t="shared" si="89"/>
        <v>10.567</v>
      </c>
      <c r="AK240" s="121">
        <f>IF(ISERROR(1/VLOOKUP($B240,Leveranser!$B$1:$S$499,MATCH("såld värme (gwh)",Leveranser!$B$1:$S$1,0),FALSE)),"",VLOOKUP($B240,Leveranser!$B$1:$S$499,MATCH("såld värme (gwh)",Leveranser!$B$1:$S$1,0),FALSE))</f>
        <v>7.8559999999999999</v>
      </c>
      <c r="AL240" s="121">
        <f>VLOOKUP($B240,Leveranser!$B$1:$Y$499,MATCH("Totalt såld fjärrvärme till andra fjärrvärmeföretag",Leveranser!$B$1:$AA$1,0),FALSE)</f>
        <v>0</v>
      </c>
      <c r="AM240" s="121">
        <f>IF(ISERROR(1/VLOOKUP($B240,Miljö!$B$1:$S$500,MATCH("Såld mängd produktionsspecifik fjärrvärme (GWh)",Miljö!$B$1:$R$1,0),FALSE)),0,VLOOKUP($B240,Miljö!$B$1:$S$500,MATCH("Såld mängd produktionsspecifik fjärrvärme (GWh)",Miljö!$B$1:$R$1,0),FALSE))</f>
        <v>0</v>
      </c>
      <c r="AN240" s="172">
        <f t="shared" si="90"/>
        <v>0.74344657897227218</v>
      </c>
      <c r="AO240" s="121"/>
      <c r="AP240" s="121" t="str">
        <f>IFERROR(VLOOKUP($B240,Miljövärden!$B$2:$H$550,7,FALSE),"Nej, saknas")</f>
        <v>Ja</v>
      </c>
      <c r="AQ240" s="121" t="str">
        <f>IFERROR(VLOOKUP($B240,Miljövärden!$B$2:$H$550,6,FALSE),"Nej, saknas")</f>
        <v>Ja</v>
      </c>
      <c r="AU240">
        <f t="shared" si="91"/>
        <v>0.104</v>
      </c>
      <c r="AV240">
        <f t="shared" si="92"/>
        <v>0</v>
      </c>
      <c r="AW240">
        <f t="shared" si="93"/>
        <v>0</v>
      </c>
      <c r="AX240">
        <f t="shared" si="94"/>
        <v>10.4</v>
      </c>
      <c r="AZ240">
        <f t="shared" si="95"/>
        <v>10.4</v>
      </c>
      <c r="BC240">
        <f t="shared" si="96"/>
        <v>6.3E-2</v>
      </c>
      <c r="BD240">
        <f t="shared" si="97"/>
        <v>0</v>
      </c>
      <c r="BE240">
        <f t="shared" si="98"/>
        <v>10.4</v>
      </c>
      <c r="BF240">
        <f t="shared" si="99"/>
        <v>0</v>
      </c>
      <c r="BG240">
        <f t="shared" si="100"/>
        <v>0.104</v>
      </c>
      <c r="BH240">
        <f>VLOOKUP(B240,Miljö!$B$1:$BX$482,MATCH("Fossilandel för ursprungspecificerad el ()",Miljö!$B$1:$I$1,0),FALSE)</f>
        <v>0</v>
      </c>
      <c r="BI240">
        <f>VLOOKUP(B240,Miljö!$B$1:$BX$482,MATCH("Kärnkraftsandel för ursprungsspecificerad el ()",Miljö!$B$1:$O$1,0),FALSE)</f>
        <v>0</v>
      </c>
      <c r="BJ240">
        <f t="shared" si="101"/>
        <v>0</v>
      </c>
      <c r="BK240" t="str">
        <f>VLOOKUP(B240,Miljö!$B$1:$O$482,MATCH("Fossil andel i procent (%)",Miljö!$B$1:$O$1,0),FALSE)</f>
        <v>ET</v>
      </c>
      <c r="BL240">
        <f t="shared" si="102"/>
        <v>10.567</v>
      </c>
      <c r="BO240" s="18">
        <f t="shared" si="103"/>
        <v>5.9619570360556449E-3</v>
      </c>
      <c r="BP240" s="18">
        <f t="shared" si="104"/>
        <v>0</v>
      </c>
      <c r="BQ240" s="18">
        <f t="shared" si="105"/>
        <v>0.99403804296394427</v>
      </c>
      <c r="BR240" s="18">
        <f t="shared" si="106"/>
        <v>0</v>
      </c>
      <c r="BT240" s="27">
        <f t="shared" si="107"/>
        <v>0.99999999999999989</v>
      </c>
      <c r="BW240" s="18">
        <f>IF(AP240="ja",VLOOKUP(B240,Miljövärden!$B$2:$H$550,MATCH("Total andel fossilt",Miljövärden!$B$2:$H$2,0),FALSE),"")</f>
        <v>5.9619599999999997E-3</v>
      </c>
      <c r="BZ240" s="28">
        <f t="shared" si="108"/>
        <v>2.9639443547072042E-9</v>
      </c>
      <c r="CA240" s="28">
        <f t="shared" si="109"/>
        <v>0</v>
      </c>
    </row>
    <row r="241" spans="1:79" x14ac:dyDescent="0.25">
      <c r="A241" s="224" t="s">
        <v>532</v>
      </c>
      <c r="B241" s="210" t="s">
        <v>536</v>
      </c>
      <c r="C241" s="121">
        <f>VLOOKUP($B241,'Tillförd energi'!$B$1:$AI$720,MATCH(C$1,'Tillförd energi'!$B$1:$AQ$1,0),FALSE)</f>
        <v>0</v>
      </c>
      <c r="D241" s="121">
        <f>VLOOKUP($B241,'Tillförd energi'!$B$1:$AI$720,MATCH(D$1,'Tillförd energi'!$B$1:$AQ$1,0),FALSE)</f>
        <v>0.499</v>
      </c>
      <c r="E241" s="121">
        <f>VLOOKUP($B241,'Tillförd energi'!$B$1:$AI$720,MATCH(E$1,'Tillförd energi'!$B$1:$AQ$1,0),FALSE)</f>
        <v>0</v>
      </c>
      <c r="F241" s="121">
        <f>VLOOKUP($B241,'Tillförd energi'!$B$1:$AI$720,MATCH(F$1,'Tillförd energi'!$B$1:$AQ$1,0),FALSE)</f>
        <v>0</v>
      </c>
      <c r="G241" s="121">
        <f>VLOOKUP($B241,'Tillförd energi'!$B$1:$AI$720,MATCH(G$1,'Tillförd energi'!$B$1:$AQ$1,0),FALSE)</f>
        <v>0</v>
      </c>
      <c r="H241" s="121">
        <f>VLOOKUP($B241,'Tillförd energi'!$B$1:$AI$720,MATCH(H$1,'Tillförd energi'!$B$1:$AQ$1,0),FALSE)</f>
        <v>0</v>
      </c>
      <c r="I241" s="121">
        <f>VLOOKUP($B241,'Tillförd energi'!$B$1:$AI$720,MATCH(I$1,'Tillförd energi'!$B$1:$AQ$1,0),FALSE)</f>
        <v>0</v>
      </c>
      <c r="J241" s="121">
        <f>VLOOKUP($B241,'Tillförd energi'!$B$1:$AI$720,MATCH(J$1,'Tillförd energi'!$B$1:$AQ$1,0),FALSE)</f>
        <v>0</v>
      </c>
      <c r="K241" s="121">
        <f>VLOOKUP($B241,'Tillförd energi'!$B$1:$AI$720,MATCH(K$1,'Tillförd energi'!$B$1:$AQ$1,0),FALSE)</f>
        <v>0</v>
      </c>
      <c r="L241" s="121">
        <f>VLOOKUP($B241,'Tillförd energi'!$B$1:$AI$720,MATCH(L$1,'Tillförd energi'!$B$1:$AQ$1,0),FALSE)</f>
        <v>0</v>
      </c>
      <c r="M241" s="121">
        <f>VLOOKUP($B241,'Tillförd energi'!$B$1:$AI$720,MATCH(M$1,'Tillförd energi'!$B$1:$AQ$1,0),FALSE)</f>
        <v>5.35466</v>
      </c>
      <c r="N241" s="121">
        <f>VLOOKUP($B241,'Tillförd energi'!$B$1:$AI$720,MATCH(N$1,'Tillförd energi'!$B$1:$AQ$1,0),FALSE)</f>
        <v>0</v>
      </c>
      <c r="O241" s="121">
        <f>VLOOKUP($B241,'Tillförd energi'!$B$1:$AI$720,MATCH(O$1,'Tillförd energi'!$B$1:$AQ$1,0),FALSE)</f>
        <v>5.35466</v>
      </c>
      <c r="P241" s="121">
        <f>VLOOKUP($B241,'Tillförd energi'!$B$1:$AI$720,MATCH(P$1,'Tillförd energi'!$B$1:$AQ$1,0),FALSE)</f>
        <v>0</v>
      </c>
      <c r="Q241" s="121">
        <f>VLOOKUP($B241,'Tillförd energi'!$B$1:$AI$720,MATCH(Q$1,'Tillförd energi'!$B$1:$AQ$1,0),FALSE)</f>
        <v>0</v>
      </c>
      <c r="R241" s="121">
        <f>VLOOKUP($B241,'Tillförd energi'!$B$1:$AI$720,MATCH(R$1,'Tillförd energi'!$B$1:$AQ$1,0),FALSE)</f>
        <v>10.071999999999999</v>
      </c>
      <c r="S241" s="121">
        <f>VLOOKUP($B241,'Tillförd energi'!$B$1:$AI$720,MATCH(S$1,'Tillförd energi'!$B$1:$AQ$1,0),FALSE)</f>
        <v>0</v>
      </c>
      <c r="T241" s="121">
        <f>VLOOKUP($B241,'Tillförd energi'!$B$1:$AI$720,MATCH(T$1,'Tillförd energi'!$B$1:$AQ$1,0),FALSE)</f>
        <v>0</v>
      </c>
      <c r="U241" s="121">
        <f>VLOOKUP($B241,'Tillförd energi'!$B$1:$AI$720,MATCH(U$1,'Tillförd energi'!$B$1:$AQ$1,0),FALSE)</f>
        <v>0</v>
      </c>
      <c r="V241" s="121">
        <f>VLOOKUP($B241,'Tillförd energi'!$B$1:$AI$720,MATCH(V$1,'Tillförd energi'!$B$1:$AQ$1,0),FALSE)</f>
        <v>0</v>
      </c>
      <c r="W241" s="121">
        <f>VLOOKUP($B241,'Tillförd energi'!$B$1:$AI$720,MATCH(W$1,'Tillförd energi'!$B$1:$AQ$1,0),FALSE)</f>
        <v>0</v>
      </c>
      <c r="X241" s="121">
        <f>VLOOKUP($B241,'Tillförd energi'!$B$1:$AI$720,MATCH(X$1,'Tillförd energi'!$B$1:$AQ$1,0),FALSE)</f>
        <v>0</v>
      </c>
      <c r="Y241" s="121">
        <f>VLOOKUP($B241,'Tillförd energi'!$B$1:$AI$720,MATCH(Y$1,'Tillförd energi'!$B$1:$AQ$1,0),FALSE)</f>
        <v>0</v>
      </c>
      <c r="Z241" s="121">
        <f>VLOOKUP($B241,'Tillförd energi'!$B$1:$AI$720,MATCH(Z$1,'Tillförd energi'!$B$1:$AQ$1,0),FALSE)</f>
        <v>5.0000000000000001E-3</v>
      </c>
      <c r="AA241" s="121">
        <f>VLOOKUP($B241,'Tillförd energi'!$B$1:$AI$720,MATCH(AA$1,'Tillförd energi'!$B$1:$AQ$1,0),FALSE)</f>
        <v>0</v>
      </c>
      <c r="AB241" s="121">
        <f>VLOOKUP($B241,'Tillförd energi'!$B$1:$AI$720,MATCH(AB$1,'Tillförd energi'!$B$1:$AQ$1,0),FALSE)</f>
        <v>0</v>
      </c>
      <c r="AC241" s="121">
        <f>VLOOKUP($B241,'Tillförd energi'!$B$1:$AI$720,MATCH(AC$1,'Tillförd energi'!$B$1:$AQ$1,0),FALSE)</f>
        <v>0</v>
      </c>
      <c r="AD241" s="121">
        <f>VLOOKUP($B241,'Tillförd energi'!$B$1:$AI$720,MATCH(AD$1,'Tillförd energi'!$B$1:$AQ$1,0),FALSE)</f>
        <v>0</v>
      </c>
      <c r="AE241" s="121">
        <f>VLOOKUP($B241,'Tillförd energi'!$B$1:$AI$720,MATCH(AE$1,'Tillförd energi'!$B$1:$AQ$1,0),FALSE)</f>
        <v>0</v>
      </c>
      <c r="AF241" s="121">
        <f>VLOOKUP($B241,'Tillförd energi'!$B$1:$AI$720,MATCH(AF$1,'Tillförd energi'!$B$1:$AQ$1,0),FALSE)</f>
        <v>0.29199999999999998</v>
      </c>
      <c r="AG241" s="121">
        <f>IFERROR(VLOOKUP(B241,Miljö!$B$1:$AC$550,MATCH("Köpt mängd produktionsspecifik fjärrvärme:",Miljö!$B$1:$AC$1,0),FALSE)/1,0)</f>
        <v>0</v>
      </c>
      <c r="AH241" s="121"/>
      <c r="AI241" s="121">
        <f t="shared" si="88"/>
        <v>21.57732</v>
      </c>
      <c r="AJ241" s="121">
        <f t="shared" si="89"/>
        <v>21.57732</v>
      </c>
      <c r="AK241" s="121">
        <f>IF(ISERROR(1/VLOOKUP($B241,Leveranser!$B$1:$S$499,MATCH("såld värme (gwh)",Leveranser!$B$1:$S$1,0),FALSE)),"",VLOOKUP($B241,Leveranser!$B$1:$S$499,MATCH("såld värme (gwh)",Leveranser!$B$1:$S$1,0),FALSE))</f>
        <v>15.5</v>
      </c>
      <c r="AL241" s="121">
        <f>VLOOKUP($B241,Leveranser!$B$1:$Y$499,MATCH("Totalt såld fjärrvärme till andra fjärrvärmeföretag",Leveranser!$B$1:$AA$1,0),FALSE)</f>
        <v>0</v>
      </c>
      <c r="AM241" s="121">
        <f>IF(ISERROR(1/VLOOKUP($B241,Miljö!$B$1:$S$500,MATCH("Såld mängd produktionsspecifik fjärrvärme (GWh)",Miljö!$B$1:$R$1,0),FALSE)),0,VLOOKUP($B241,Miljö!$B$1:$S$500,MATCH("Såld mängd produktionsspecifik fjärrvärme (GWh)",Miljö!$B$1:$R$1,0),FALSE))</f>
        <v>0</v>
      </c>
      <c r="AN241" s="172">
        <f t="shared" si="90"/>
        <v>0.71834685679222443</v>
      </c>
      <c r="AO241" s="121"/>
      <c r="AP241" s="121" t="str">
        <f>IFERROR(VLOOKUP($B241,Miljövärden!$B$2:$H$550,7,FALSE),"Nej, saknas")</f>
        <v>Ja</v>
      </c>
      <c r="AQ241" s="121" t="str">
        <f>IFERROR(VLOOKUP($B241,Miljövärden!$B$2:$H$550,6,FALSE),"Nej, saknas")</f>
        <v>Ja</v>
      </c>
      <c r="AU241">
        <f t="shared" si="91"/>
        <v>0.29699999999999999</v>
      </c>
      <c r="AV241">
        <f t="shared" si="92"/>
        <v>0</v>
      </c>
      <c r="AW241">
        <f t="shared" si="93"/>
        <v>10.70932</v>
      </c>
      <c r="AX241">
        <f t="shared" si="94"/>
        <v>10.071999999999999</v>
      </c>
      <c r="AZ241">
        <f t="shared" si="95"/>
        <v>20.781320000000001</v>
      </c>
      <c r="BC241">
        <f t="shared" si="96"/>
        <v>0.499</v>
      </c>
      <c r="BD241">
        <f t="shared" si="97"/>
        <v>0</v>
      </c>
      <c r="BE241">
        <f t="shared" si="98"/>
        <v>20.781320000000001</v>
      </c>
      <c r="BF241">
        <f t="shared" si="99"/>
        <v>0</v>
      </c>
      <c r="BG241">
        <f t="shared" si="100"/>
        <v>0.29699999999999999</v>
      </c>
      <c r="BH241">
        <f>VLOOKUP(B241,Miljö!$B$1:$BX$482,MATCH("Fossilandel för ursprungspecificerad el ()",Miljö!$B$1:$I$1,0),FALSE)</f>
        <v>0</v>
      </c>
      <c r="BI241">
        <f>VLOOKUP(B241,Miljö!$B$1:$BX$482,MATCH("Kärnkraftsandel för ursprungsspecificerad el ()",Miljö!$B$1:$O$1,0),FALSE)</f>
        <v>0</v>
      </c>
      <c r="BJ241">
        <f t="shared" si="101"/>
        <v>0</v>
      </c>
      <c r="BK241" t="str">
        <f>VLOOKUP(B241,Miljö!$B$1:$O$482,MATCH("Fossil andel i procent (%)",Miljö!$B$1:$O$1,0),FALSE)</f>
        <v>ET</v>
      </c>
      <c r="BL241">
        <f t="shared" si="102"/>
        <v>21.57732</v>
      </c>
      <c r="BO241" s="18">
        <f t="shared" si="103"/>
        <v>2.3126134292859354E-2</v>
      </c>
      <c r="BP241" s="18">
        <f t="shared" si="104"/>
        <v>0</v>
      </c>
      <c r="BQ241" s="18">
        <f t="shared" si="105"/>
        <v>0.97687386570714074</v>
      </c>
      <c r="BR241" s="18">
        <f t="shared" si="106"/>
        <v>0</v>
      </c>
      <c r="BT241" s="27">
        <f t="shared" si="107"/>
        <v>1</v>
      </c>
      <c r="BW241" s="18">
        <f>IF(AP241="ja",VLOOKUP(B241,Miljövärden!$B$2:$H$550,MATCH("Total andel fossilt",Miljövärden!$B$2:$H$2,0),FALSE),"")</f>
        <v>2.31262E-2</v>
      </c>
      <c r="BZ241" s="28">
        <f t="shared" si="108"/>
        <v>6.5707140645132611E-8</v>
      </c>
      <c r="CA241" s="28">
        <f t="shared" si="109"/>
        <v>0</v>
      </c>
    </row>
    <row r="242" spans="1:79" x14ac:dyDescent="0.25">
      <c r="A242" s="224" t="s">
        <v>532</v>
      </c>
      <c r="B242" s="210" t="s">
        <v>537</v>
      </c>
      <c r="C242" s="121">
        <f>VLOOKUP($B242,'Tillförd energi'!$B$1:$AI$720,MATCH(C$1,'Tillförd energi'!$B$1:$AQ$1,0),FALSE)</f>
        <v>0</v>
      </c>
      <c r="D242" s="121">
        <f>VLOOKUP($B242,'Tillförd energi'!$B$1:$AI$720,MATCH(D$1,'Tillförd energi'!$B$1:$AQ$1,0),FALSE)</f>
        <v>0.16400000000000001</v>
      </c>
      <c r="E242" s="121">
        <f>VLOOKUP($B242,'Tillförd energi'!$B$1:$AI$720,MATCH(E$1,'Tillförd energi'!$B$1:$AQ$1,0),FALSE)</f>
        <v>0</v>
      </c>
      <c r="F242" s="121">
        <f>VLOOKUP($B242,'Tillförd energi'!$B$1:$AI$720,MATCH(F$1,'Tillförd energi'!$B$1:$AQ$1,0),FALSE)</f>
        <v>0</v>
      </c>
      <c r="G242" s="121">
        <f>VLOOKUP($B242,'Tillförd energi'!$B$1:$AI$720,MATCH(G$1,'Tillförd energi'!$B$1:$AQ$1,0),FALSE)</f>
        <v>0</v>
      </c>
      <c r="H242" s="121">
        <f>VLOOKUP($B242,'Tillförd energi'!$B$1:$AI$720,MATCH(H$1,'Tillförd energi'!$B$1:$AQ$1,0),FALSE)</f>
        <v>0</v>
      </c>
      <c r="I242" s="121">
        <f>VLOOKUP($B242,'Tillförd energi'!$B$1:$AI$720,MATCH(I$1,'Tillförd energi'!$B$1:$AQ$1,0),FALSE)</f>
        <v>0</v>
      </c>
      <c r="J242" s="121">
        <f>VLOOKUP($B242,'Tillförd energi'!$B$1:$AI$720,MATCH(J$1,'Tillförd energi'!$B$1:$AQ$1,0),FALSE)</f>
        <v>0</v>
      </c>
      <c r="K242" s="121">
        <f>VLOOKUP($B242,'Tillförd energi'!$B$1:$AI$720,MATCH(K$1,'Tillförd energi'!$B$1:$AQ$1,0),FALSE)</f>
        <v>0</v>
      </c>
      <c r="L242" s="121">
        <f>VLOOKUP($B242,'Tillförd energi'!$B$1:$AI$720,MATCH(L$1,'Tillförd energi'!$B$1:$AQ$1,0),FALSE)</f>
        <v>0</v>
      </c>
      <c r="M242" s="121">
        <f>VLOOKUP($B242,'Tillförd energi'!$B$1:$AI$720,MATCH(M$1,'Tillförd energi'!$B$1:$AQ$1,0),FALSE)</f>
        <v>0</v>
      </c>
      <c r="N242" s="121">
        <f>VLOOKUP($B242,'Tillförd energi'!$B$1:$AI$720,MATCH(N$1,'Tillförd energi'!$B$1:$AQ$1,0),FALSE)</f>
        <v>0</v>
      </c>
      <c r="O242" s="121">
        <f>VLOOKUP($B242,'Tillförd energi'!$B$1:$AI$720,MATCH(O$1,'Tillförd energi'!$B$1:$AQ$1,0),FALSE)</f>
        <v>0</v>
      </c>
      <c r="P242" s="121">
        <f>VLOOKUP($B242,'Tillförd energi'!$B$1:$AI$720,MATCH(P$1,'Tillförd energi'!$B$1:$AQ$1,0),FALSE)</f>
        <v>0</v>
      </c>
      <c r="Q242" s="121">
        <f>VLOOKUP($B242,'Tillförd energi'!$B$1:$AI$720,MATCH(Q$1,'Tillförd energi'!$B$1:$AQ$1,0),FALSE)</f>
        <v>0</v>
      </c>
      <c r="R242" s="121">
        <f>VLOOKUP($B242,'Tillförd energi'!$B$1:$AI$720,MATCH(R$1,'Tillförd energi'!$B$1:$AQ$1,0),FALSE)</f>
        <v>13.191000000000001</v>
      </c>
      <c r="S242" s="121">
        <f>VLOOKUP($B242,'Tillförd energi'!$B$1:$AI$720,MATCH(S$1,'Tillförd energi'!$B$1:$AQ$1,0),FALSE)</f>
        <v>0</v>
      </c>
      <c r="T242" s="121">
        <f>VLOOKUP($B242,'Tillförd energi'!$B$1:$AI$720,MATCH(T$1,'Tillförd energi'!$B$1:$AQ$1,0),FALSE)</f>
        <v>0</v>
      </c>
      <c r="U242" s="121">
        <f>VLOOKUP($B242,'Tillförd energi'!$B$1:$AI$720,MATCH(U$1,'Tillförd energi'!$B$1:$AQ$1,0),FALSE)</f>
        <v>0</v>
      </c>
      <c r="V242" s="121">
        <f>VLOOKUP($B242,'Tillförd energi'!$B$1:$AI$720,MATCH(V$1,'Tillförd energi'!$B$1:$AQ$1,0),FALSE)</f>
        <v>0</v>
      </c>
      <c r="W242" s="121">
        <f>VLOOKUP($B242,'Tillförd energi'!$B$1:$AI$720,MATCH(W$1,'Tillförd energi'!$B$1:$AQ$1,0),FALSE)</f>
        <v>0</v>
      </c>
      <c r="X242" s="121">
        <f>VLOOKUP($B242,'Tillförd energi'!$B$1:$AI$720,MATCH(X$1,'Tillförd energi'!$B$1:$AQ$1,0),FALSE)</f>
        <v>0</v>
      </c>
      <c r="Y242" s="121">
        <f>VLOOKUP($B242,'Tillförd energi'!$B$1:$AI$720,MATCH(Y$1,'Tillförd energi'!$B$1:$AQ$1,0),FALSE)</f>
        <v>0</v>
      </c>
      <c r="Z242" s="121">
        <f>VLOOKUP($B242,'Tillförd energi'!$B$1:$AI$720,MATCH(Z$1,'Tillförd energi'!$B$1:$AQ$1,0),FALSE)</f>
        <v>0</v>
      </c>
      <c r="AA242" s="121">
        <f>VLOOKUP($B242,'Tillförd energi'!$B$1:$AI$720,MATCH(AA$1,'Tillförd energi'!$B$1:$AQ$1,0),FALSE)</f>
        <v>0</v>
      </c>
      <c r="AB242" s="121">
        <f>VLOOKUP($B242,'Tillförd energi'!$B$1:$AI$720,MATCH(AB$1,'Tillförd energi'!$B$1:$AQ$1,0),FALSE)</f>
        <v>0</v>
      </c>
      <c r="AC242" s="121">
        <f>VLOOKUP($B242,'Tillförd energi'!$B$1:$AI$720,MATCH(AC$1,'Tillförd energi'!$B$1:$AQ$1,0),FALSE)</f>
        <v>0</v>
      </c>
      <c r="AD242" s="121">
        <f>VLOOKUP($B242,'Tillförd energi'!$B$1:$AI$720,MATCH(AD$1,'Tillförd energi'!$B$1:$AQ$1,0),FALSE)</f>
        <v>0</v>
      </c>
      <c r="AE242" s="121">
        <f>VLOOKUP($B242,'Tillförd energi'!$B$1:$AI$720,MATCH(AE$1,'Tillförd energi'!$B$1:$AQ$1,0),FALSE)</f>
        <v>0</v>
      </c>
      <c r="AF242" s="121">
        <f>VLOOKUP($B242,'Tillförd energi'!$B$1:$AI$720,MATCH(AF$1,'Tillförd energi'!$B$1:$AQ$1,0),FALSE)</f>
        <v>0.11</v>
      </c>
      <c r="AG242" s="121">
        <f>IFERROR(VLOOKUP(B242,Miljö!$B$1:$AC$550,MATCH("Köpt mängd produktionsspecifik fjärrvärme:",Miljö!$B$1:$AC$1,0),FALSE)/1,0)</f>
        <v>0</v>
      </c>
      <c r="AH242" s="121"/>
      <c r="AI242" s="121">
        <f t="shared" si="88"/>
        <v>13.465</v>
      </c>
      <c r="AJ242" s="121">
        <f t="shared" si="89"/>
        <v>13.465</v>
      </c>
      <c r="AK242" s="121">
        <f>IF(ISERROR(1/VLOOKUP($B242,Leveranser!$B$1:$S$499,MATCH("såld värme (gwh)",Leveranser!$B$1:$S$1,0),FALSE)),"",VLOOKUP($B242,Leveranser!$B$1:$S$499,MATCH("såld värme (gwh)",Leveranser!$B$1:$S$1,0),FALSE))</f>
        <v>10.94</v>
      </c>
      <c r="AL242" s="121">
        <f>VLOOKUP($B242,Leveranser!$B$1:$Y$499,MATCH("Totalt såld fjärrvärme till andra fjärrvärmeföretag",Leveranser!$B$1:$AA$1,0),FALSE)</f>
        <v>0</v>
      </c>
      <c r="AM242" s="121">
        <f>IF(ISERROR(1/VLOOKUP($B242,Miljö!$B$1:$S$500,MATCH("Såld mängd produktionsspecifik fjärrvärme (GWh)",Miljö!$B$1:$R$1,0),FALSE)),0,VLOOKUP($B242,Miljö!$B$1:$S$500,MATCH("Såld mängd produktionsspecifik fjärrvärme (GWh)",Miljö!$B$1:$R$1,0),FALSE))</f>
        <v>0</v>
      </c>
      <c r="AN242" s="172">
        <f t="shared" si="90"/>
        <v>0.81247679168213882</v>
      </c>
      <c r="AO242" s="121"/>
      <c r="AP242" s="121" t="str">
        <f>IFERROR(VLOOKUP($B242,Miljövärden!$B$2:$H$550,7,FALSE),"Nej, saknas")</f>
        <v>Ja</v>
      </c>
      <c r="AQ242" s="121" t="str">
        <f>IFERROR(VLOOKUP($B242,Miljövärden!$B$2:$H$550,6,FALSE),"Nej, saknas")</f>
        <v>Ja</v>
      </c>
      <c r="AU242">
        <f t="shared" si="91"/>
        <v>0.11</v>
      </c>
      <c r="AV242">
        <f t="shared" si="92"/>
        <v>0</v>
      </c>
      <c r="AW242">
        <f t="shared" si="93"/>
        <v>0</v>
      </c>
      <c r="AX242">
        <f t="shared" si="94"/>
        <v>13.191000000000001</v>
      </c>
      <c r="AZ242">
        <f t="shared" si="95"/>
        <v>13.191000000000001</v>
      </c>
      <c r="BC242">
        <f t="shared" si="96"/>
        <v>0.16400000000000001</v>
      </c>
      <c r="BD242">
        <f t="shared" si="97"/>
        <v>0</v>
      </c>
      <c r="BE242">
        <f t="shared" si="98"/>
        <v>13.191000000000001</v>
      </c>
      <c r="BF242">
        <f t="shared" si="99"/>
        <v>0</v>
      </c>
      <c r="BG242">
        <f t="shared" si="100"/>
        <v>0.11</v>
      </c>
      <c r="BH242">
        <f>VLOOKUP(B242,Miljö!$B$1:$BX$482,MATCH("Fossilandel för ursprungspecificerad el ()",Miljö!$B$1:$I$1,0),FALSE)</f>
        <v>0</v>
      </c>
      <c r="BI242">
        <f>VLOOKUP(B242,Miljö!$B$1:$BX$482,MATCH("Kärnkraftsandel för ursprungsspecificerad el ()",Miljö!$B$1:$O$1,0),FALSE)</f>
        <v>0</v>
      </c>
      <c r="BJ242">
        <f t="shared" si="101"/>
        <v>0</v>
      </c>
      <c r="BK242" t="str">
        <f>VLOOKUP(B242,Miljö!$B$1:$O$482,MATCH("Fossil andel i procent (%)",Miljö!$B$1:$O$1,0),FALSE)</f>
        <v>ET</v>
      </c>
      <c r="BL242">
        <f t="shared" si="102"/>
        <v>13.465</v>
      </c>
      <c r="BO242" s="18">
        <f t="shared" si="103"/>
        <v>1.2179725213516525E-2</v>
      </c>
      <c r="BP242" s="18">
        <f t="shared" si="104"/>
        <v>0</v>
      </c>
      <c r="BQ242" s="18">
        <f t="shared" si="105"/>
        <v>0.98782027478648349</v>
      </c>
      <c r="BR242" s="18">
        <f t="shared" si="106"/>
        <v>0</v>
      </c>
      <c r="BT242" s="27">
        <f t="shared" si="107"/>
        <v>1</v>
      </c>
      <c r="BW242" s="18">
        <f>IF(AP242="ja",VLOOKUP(B242,Miljövärden!$B$2:$H$550,MATCH("Total andel fossilt",Miljövärden!$B$2:$H$2,0),FALSE),"")</f>
        <v>1.21797E-2</v>
      </c>
      <c r="BZ242" s="28">
        <f t="shared" si="108"/>
        <v>-2.5213516524624779E-8</v>
      </c>
      <c r="CA242" s="28">
        <f t="shared" si="109"/>
        <v>0</v>
      </c>
    </row>
    <row r="243" spans="1:79" x14ac:dyDescent="0.25">
      <c r="A243" s="224" t="s">
        <v>532</v>
      </c>
      <c r="B243" s="210" t="s">
        <v>538</v>
      </c>
      <c r="C243" s="121">
        <f>VLOOKUP($B243,'Tillförd energi'!$B$1:$AI$720,MATCH(C$1,'Tillförd energi'!$B$1:$AQ$1,0),FALSE)</f>
        <v>0</v>
      </c>
      <c r="D243" s="121">
        <f>VLOOKUP($B243,'Tillförd energi'!$B$1:$AI$720,MATCH(D$1,'Tillförd energi'!$B$1:$AQ$1,0),FALSE)</f>
        <v>5.0999999999999997E-2</v>
      </c>
      <c r="E243" s="121">
        <f>VLOOKUP($B243,'Tillförd energi'!$B$1:$AI$720,MATCH(E$1,'Tillförd energi'!$B$1:$AQ$1,0),FALSE)</f>
        <v>0</v>
      </c>
      <c r="F243" s="121">
        <f>VLOOKUP($B243,'Tillförd energi'!$B$1:$AI$720,MATCH(F$1,'Tillförd energi'!$B$1:$AQ$1,0),FALSE)</f>
        <v>0</v>
      </c>
      <c r="G243" s="121">
        <f>VLOOKUP($B243,'Tillförd energi'!$B$1:$AI$720,MATCH(G$1,'Tillförd energi'!$B$1:$AQ$1,0),FALSE)</f>
        <v>0</v>
      </c>
      <c r="H243" s="121">
        <f>VLOOKUP($B243,'Tillförd energi'!$B$1:$AI$720,MATCH(H$1,'Tillförd energi'!$B$1:$AQ$1,0),FALSE)</f>
        <v>0</v>
      </c>
      <c r="I243" s="121">
        <f>VLOOKUP($B243,'Tillförd energi'!$B$1:$AI$720,MATCH(I$1,'Tillförd energi'!$B$1:$AQ$1,0),FALSE)</f>
        <v>0</v>
      </c>
      <c r="J243" s="121">
        <f>VLOOKUP($B243,'Tillförd energi'!$B$1:$AI$720,MATCH(J$1,'Tillförd energi'!$B$1:$AQ$1,0),FALSE)</f>
        <v>0</v>
      </c>
      <c r="K243" s="121">
        <f>VLOOKUP($B243,'Tillförd energi'!$B$1:$AI$720,MATCH(K$1,'Tillförd energi'!$B$1:$AQ$1,0),FALSE)</f>
        <v>0</v>
      </c>
      <c r="L243" s="121">
        <f>VLOOKUP($B243,'Tillförd energi'!$B$1:$AI$720,MATCH(L$1,'Tillförd energi'!$B$1:$AQ$1,0),FALSE)</f>
        <v>0</v>
      </c>
      <c r="M243" s="121">
        <f>VLOOKUP($B243,'Tillförd energi'!$B$1:$AI$720,MATCH(M$1,'Tillförd energi'!$B$1:$AQ$1,0),FALSE)</f>
        <v>0</v>
      </c>
      <c r="N243" s="121">
        <f>VLOOKUP($B243,'Tillförd energi'!$B$1:$AI$720,MATCH(N$1,'Tillförd energi'!$B$1:$AQ$1,0),FALSE)</f>
        <v>0</v>
      </c>
      <c r="O243" s="121">
        <f>VLOOKUP($B243,'Tillförd energi'!$B$1:$AI$720,MATCH(O$1,'Tillförd energi'!$B$1:$AQ$1,0),FALSE)</f>
        <v>0</v>
      </c>
      <c r="P243" s="121">
        <f>VLOOKUP($B243,'Tillförd energi'!$B$1:$AI$720,MATCH(P$1,'Tillförd energi'!$B$1:$AQ$1,0),FALSE)</f>
        <v>0</v>
      </c>
      <c r="Q243" s="121">
        <f>VLOOKUP($B243,'Tillförd energi'!$B$1:$AI$720,MATCH(Q$1,'Tillförd energi'!$B$1:$AQ$1,0),FALSE)</f>
        <v>0</v>
      </c>
      <c r="R243" s="121">
        <f>VLOOKUP($B243,'Tillförd energi'!$B$1:$AI$720,MATCH(R$1,'Tillförd energi'!$B$1:$AQ$1,0),FALSE)</f>
        <v>8.7859999999999996</v>
      </c>
      <c r="S243" s="121">
        <f>VLOOKUP($B243,'Tillförd energi'!$B$1:$AI$720,MATCH(S$1,'Tillförd energi'!$B$1:$AQ$1,0),FALSE)</f>
        <v>0</v>
      </c>
      <c r="T243" s="121">
        <f>VLOOKUP($B243,'Tillförd energi'!$B$1:$AI$720,MATCH(T$1,'Tillförd energi'!$B$1:$AQ$1,0),FALSE)</f>
        <v>0</v>
      </c>
      <c r="U243" s="121">
        <f>VLOOKUP($B243,'Tillförd energi'!$B$1:$AI$720,MATCH(U$1,'Tillförd energi'!$B$1:$AQ$1,0),FALSE)</f>
        <v>0</v>
      </c>
      <c r="V243" s="121">
        <f>VLOOKUP($B243,'Tillförd energi'!$B$1:$AI$720,MATCH(V$1,'Tillförd energi'!$B$1:$AQ$1,0),FALSE)</f>
        <v>0</v>
      </c>
      <c r="W243" s="121">
        <f>VLOOKUP($B243,'Tillförd energi'!$B$1:$AI$720,MATCH(W$1,'Tillförd energi'!$B$1:$AQ$1,0),FALSE)</f>
        <v>0</v>
      </c>
      <c r="X243" s="121">
        <f>VLOOKUP($B243,'Tillförd energi'!$B$1:$AI$720,MATCH(X$1,'Tillförd energi'!$B$1:$AQ$1,0),FALSE)</f>
        <v>0</v>
      </c>
      <c r="Y243" s="121">
        <f>VLOOKUP($B243,'Tillförd energi'!$B$1:$AI$720,MATCH(Y$1,'Tillförd energi'!$B$1:$AQ$1,0),FALSE)</f>
        <v>0</v>
      </c>
      <c r="Z243" s="121">
        <f>VLOOKUP($B243,'Tillförd energi'!$B$1:$AI$720,MATCH(Z$1,'Tillförd energi'!$B$1:$AQ$1,0),FALSE)</f>
        <v>0</v>
      </c>
      <c r="AA243" s="121">
        <f>VLOOKUP($B243,'Tillförd energi'!$B$1:$AI$720,MATCH(AA$1,'Tillförd energi'!$B$1:$AQ$1,0),FALSE)</f>
        <v>0</v>
      </c>
      <c r="AB243" s="121">
        <f>VLOOKUP($B243,'Tillförd energi'!$B$1:$AI$720,MATCH(AB$1,'Tillförd energi'!$B$1:$AQ$1,0),FALSE)</f>
        <v>0</v>
      </c>
      <c r="AC243" s="121">
        <f>VLOOKUP($B243,'Tillförd energi'!$B$1:$AI$720,MATCH(AC$1,'Tillförd energi'!$B$1:$AQ$1,0),FALSE)</f>
        <v>0</v>
      </c>
      <c r="AD243" s="121">
        <f>VLOOKUP($B243,'Tillförd energi'!$B$1:$AI$720,MATCH(AD$1,'Tillförd energi'!$B$1:$AQ$1,0),FALSE)</f>
        <v>0</v>
      </c>
      <c r="AE243" s="121">
        <f>VLOOKUP($B243,'Tillförd energi'!$B$1:$AI$720,MATCH(AE$1,'Tillförd energi'!$B$1:$AQ$1,0),FALSE)</f>
        <v>0</v>
      </c>
      <c r="AF243" s="121">
        <f>VLOOKUP($B243,'Tillförd energi'!$B$1:$AI$720,MATCH(AF$1,'Tillförd energi'!$B$1:$AQ$1,0),FALSE)</f>
        <v>0.14099999999999999</v>
      </c>
      <c r="AG243" s="121">
        <f>IFERROR(VLOOKUP(B243,Miljö!$B$1:$AC$550,MATCH("Köpt mängd produktionsspecifik fjärrvärme:",Miljö!$B$1:$AC$1,0),FALSE)/1,0)</f>
        <v>0</v>
      </c>
      <c r="AH243" s="121"/>
      <c r="AI243" s="121">
        <f t="shared" si="88"/>
        <v>8.9779999999999998</v>
      </c>
      <c r="AJ243" s="121">
        <f t="shared" si="89"/>
        <v>8.9779999999999998</v>
      </c>
      <c r="AK243" s="121">
        <f>IF(ISERROR(1/VLOOKUP($B243,Leveranser!$B$1:$S$499,MATCH("såld värme (gwh)",Leveranser!$B$1:$S$1,0),FALSE)),"",VLOOKUP($B243,Leveranser!$B$1:$S$499,MATCH("såld värme (gwh)",Leveranser!$B$1:$S$1,0),FALSE))</f>
        <v>6.87</v>
      </c>
      <c r="AL243" s="121">
        <f>VLOOKUP($B243,Leveranser!$B$1:$Y$499,MATCH("Totalt såld fjärrvärme till andra fjärrvärmeföretag",Leveranser!$B$1:$AA$1,0),FALSE)</f>
        <v>0</v>
      </c>
      <c r="AM243" s="121">
        <f>IF(ISERROR(1/VLOOKUP($B243,Miljö!$B$1:$S$500,MATCH("Såld mängd produktionsspecifik fjärrvärme (GWh)",Miljö!$B$1:$R$1,0),FALSE)),0,VLOOKUP($B243,Miljö!$B$1:$S$500,MATCH("Såld mängd produktionsspecifik fjärrvärme (GWh)",Miljö!$B$1:$R$1,0),FALSE))</f>
        <v>0</v>
      </c>
      <c r="AN243" s="172">
        <f t="shared" si="90"/>
        <v>0.76520383158832705</v>
      </c>
      <c r="AO243" s="121"/>
      <c r="AP243" s="121" t="str">
        <f>IFERROR(VLOOKUP($B243,Miljövärden!$B$2:$H$550,7,FALSE),"Nej, saknas")</f>
        <v>Ja</v>
      </c>
      <c r="AQ243" s="121" t="str">
        <f>IFERROR(VLOOKUP($B243,Miljövärden!$B$2:$H$550,6,FALSE),"Nej, saknas")</f>
        <v>Ja</v>
      </c>
      <c r="AU243">
        <f t="shared" si="91"/>
        <v>0.14099999999999999</v>
      </c>
      <c r="AV243">
        <f t="shared" si="92"/>
        <v>0</v>
      </c>
      <c r="AW243">
        <f t="shared" si="93"/>
        <v>0</v>
      </c>
      <c r="AX243">
        <f t="shared" si="94"/>
        <v>8.7859999999999996</v>
      </c>
      <c r="AZ243">
        <f t="shared" si="95"/>
        <v>8.7859999999999996</v>
      </c>
      <c r="BC243">
        <f t="shared" si="96"/>
        <v>5.0999999999999997E-2</v>
      </c>
      <c r="BD243">
        <f t="shared" si="97"/>
        <v>0</v>
      </c>
      <c r="BE243">
        <f t="shared" si="98"/>
        <v>8.7859999999999996</v>
      </c>
      <c r="BF243">
        <f t="shared" si="99"/>
        <v>0</v>
      </c>
      <c r="BG243">
        <f t="shared" si="100"/>
        <v>0.14099999999999999</v>
      </c>
      <c r="BH243">
        <f>VLOOKUP(B243,Miljö!$B$1:$BX$482,MATCH("Fossilandel för ursprungspecificerad el ()",Miljö!$B$1:$I$1,0),FALSE)</f>
        <v>0</v>
      </c>
      <c r="BI243">
        <f>VLOOKUP(B243,Miljö!$B$1:$BX$482,MATCH("Kärnkraftsandel för ursprungsspecificerad el ()",Miljö!$B$1:$O$1,0),FALSE)</f>
        <v>0</v>
      </c>
      <c r="BJ243">
        <f t="shared" si="101"/>
        <v>0</v>
      </c>
      <c r="BK243" t="str">
        <f>VLOOKUP(B243,Miljö!$B$1:$O$482,MATCH("Fossil andel i procent (%)",Miljö!$B$1:$O$1,0),FALSE)</f>
        <v>ET</v>
      </c>
      <c r="BL243">
        <f t="shared" si="102"/>
        <v>8.9779999999999998</v>
      </c>
      <c r="BO243" s="18">
        <f t="shared" si="103"/>
        <v>5.6805524615727333E-3</v>
      </c>
      <c r="BP243" s="18">
        <f t="shared" si="104"/>
        <v>0</v>
      </c>
      <c r="BQ243" s="18">
        <f t="shared" si="105"/>
        <v>0.99431944753842727</v>
      </c>
      <c r="BR243" s="18">
        <f t="shared" si="106"/>
        <v>0</v>
      </c>
      <c r="BT243" s="27">
        <f t="shared" si="107"/>
        <v>1</v>
      </c>
      <c r="BW243" s="18">
        <f>IF(AP243="ja",VLOOKUP(B243,Miljövärden!$B$2:$H$550,MATCH("Total andel fossilt",Miljövärden!$B$2:$H$2,0),FALSE),"")</f>
        <v>5.6805500000000004E-3</v>
      </c>
      <c r="BZ243" s="28">
        <f t="shared" si="108"/>
        <v>-2.4615727329743708E-9</v>
      </c>
      <c r="CA243" s="28">
        <f t="shared" si="109"/>
        <v>0</v>
      </c>
    </row>
    <row r="244" spans="1:79" x14ac:dyDescent="0.25">
      <c r="A244" s="224" t="s">
        <v>532</v>
      </c>
      <c r="B244" s="210" t="s">
        <v>539</v>
      </c>
      <c r="C244" s="121">
        <f>VLOOKUP($B244,'Tillförd energi'!$B$1:$AI$720,MATCH(C$1,'Tillförd energi'!$B$1:$AQ$1,0),FALSE)</f>
        <v>0</v>
      </c>
      <c r="D244" s="121">
        <f>VLOOKUP($B244,'Tillförd energi'!$B$1:$AI$720,MATCH(D$1,'Tillförd energi'!$B$1:$AQ$1,0),FALSE)</f>
        <v>0</v>
      </c>
      <c r="E244" s="121">
        <f>VLOOKUP($B244,'Tillförd energi'!$B$1:$AI$720,MATCH(E$1,'Tillförd energi'!$B$1:$AQ$1,0),FALSE)</f>
        <v>0</v>
      </c>
      <c r="F244" s="121">
        <f>VLOOKUP($B244,'Tillförd energi'!$B$1:$AI$720,MATCH(F$1,'Tillförd energi'!$B$1:$AQ$1,0),FALSE)</f>
        <v>0</v>
      </c>
      <c r="G244" s="121">
        <f>VLOOKUP($B244,'Tillförd energi'!$B$1:$AI$720,MATCH(G$1,'Tillförd energi'!$B$1:$AQ$1,0),FALSE)</f>
        <v>0</v>
      </c>
      <c r="H244" s="121">
        <f>VLOOKUP($B244,'Tillförd energi'!$B$1:$AI$720,MATCH(H$1,'Tillförd energi'!$B$1:$AQ$1,0),FALSE)</f>
        <v>0</v>
      </c>
      <c r="I244" s="121">
        <f>VLOOKUP($B244,'Tillförd energi'!$B$1:$AI$720,MATCH(I$1,'Tillförd energi'!$B$1:$AQ$1,0),FALSE)</f>
        <v>0</v>
      </c>
      <c r="J244" s="121">
        <f>VLOOKUP($B244,'Tillförd energi'!$B$1:$AI$720,MATCH(J$1,'Tillförd energi'!$B$1:$AQ$1,0),FALSE)</f>
        <v>0</v>
      </c>
      <c r="K244" s="121">
        <f>VLOOKUP($B244,'Tillförd energi'!$B$1:$AI$720,MATCH(K$1,'Tillförd energi'!$B$1:$AQ$1,0),FALSE)</f>
        <v>0</v>
      </c>
      <c r="L244" s="121">
        <f>VLOOKUP($B244,'Tillförd energi'!$B$1:$AI$720,MATCH(L$1,'Tillförd energi'!$B$1:$AQ$1,0),FALSE)</f>
        <v>0</v>
      </c>
      <c r="M244" s="121">
        <f>VLOOKUP($B244,'Tillförd energi'!$B$1:$AI$720,MATCH(M$1,'Tillförd energi'!$B$1:$AQ$1,0),FALSE)</f>
        <v>0</v>
      </c>
      <c r="N244" s="121">
        <f>VLOOKUP($B244,'Tillförd energi'!$B$1:$AI$720,MATCH(N$1,'Tillförd energi'!$B$1:$AQ$1,0),FALSE)</f>
        <v>0</v>
      </c>
      <c r="O244" s="121">
        <f>VLOOKUP($B244,'Tillförd energi'!$B$1:$AI$720,MATCH(O$1,'Tillförd energi'!$B$1:$AQ$1,0),FALSE)</f>
        <v>0</v>
      </c>
      <c r="P244" s="121">
        <f>VLOOKUP($B244,'Tillförd energi'!$B$1:$AI$720,MATCH(P$1,'Tillförd energi'!$B$1:$AQ$1,0),FALSE)</f>
        <v>0</v>
      </c>
      <c r="Q244" s="121">
        <f>VLOOKUP($B244,'Tillförd energi'!$B$1:$AI$720,MATCH(Q$1,'Tillförd energi'!$B$1:$AQ$1,0),FALSE)</f>
        <v>0</v>
      </c>
      <c r="R244" s="121">
        <f>VLOOKUP($B244,'Tillförd energi'!$B$1:$AI$720,MATCH(R$1,'Tillförd energi'!$B$1:$AQ$1,0),FALSE)</f>
        <v>0</v>
      </c>
      <c r="S244" s="121">
        <f>VLOOKUP($B244,'Tillförd energi'!$B$1:$AI$720,MATCH(S$1,'Tillförd energi'!$B$1:$AQ$1,0),FALSE)</f>
        <v>0</v>
      </c>
      <c r="T244" s="121">
        <f>VLOOKUP($B244,'Tillförd energi'!$B$1:$AI$720,MATCH(T$1,'Tillförd energi'!$B$1:$AQ$1,0),FALSE)</f>
        <v>0</v>
      </c>
      <c r="U244" s="121">
        <f>VLOOKUP($B244,'Tillförd energi'!$B$1:$AI$720,MATCH(U$1,'Tillförd energi'!$B$1:$AQ$1,0),FALSE)</f>
        <v>0</v>
      </c>
      <c r="V244" s="121">
        <f>VLOOKUP($B244,'Tillförd energi'!$B$1:$AI$720,MATCH(V$1,'Tillförd energi'!$B$1:$AQ$1,0),FALSE)</f>
        <v>0</v>
      </c>
      <c r="W244" s="121">
        <f>VLOOKUP($B244,'Tillförd energi'!$B$1:$AI$720,MATCH(W$1,'Tillförd energi'!$B$1:$AQ$1,0),FALSE)</f>
        <v>0</v>
      </c>
      <c r="X244" s="121">
        <f>VLOOKUP($B244,'Tillförd energi'!$B$1:$AI$720,MATCH(X$1,'Tillförd energi'!$B$1:$AQ$1,0),FALSE)</f>
        <v>0</v>
      </c>
      <c r="Y244" s="121">
        <f>VLOOKUP($B244,'Tillförd energi'!$B$1:$AI$720,MATCH(Y$1,'Tillförd energi'!$B$1:$AQ$1,0),FALSE)</f>
        <v>0</v>
      </c>
      <c r="Z244" s="121">
        <f>VLOOKUP($B244,'Tillförd energi'!$B$1:$AI$720,MATCH(Z$1,'Tillförd energi'!$B$1:$AQ$1,0),FALSE)</f>
        <v>0</v>
      </c>
      <c r="AA244" s="121">
        <f>VLOOKUP($B244,'Tillförd energi'!$B$1:$AI$720,MATCH(AA$1,'Tillförd energi'!$B$1:$AQ$1,0),FALSE)</f>
        <v>0</v>
      </c>
      <c r="AB244" s="121">
        <f>VLOOKUP($B244,'Tillförd energi'!$B$1:$AI$720,MATCH(AB$1,'Tillförd energi'!$B$1:$AQ$1,0),FALSE)</f>
        <v>0</v>
      </c>
      <c r="AC244" s="121">
        <f>VLOOKUP($B244,'Tillförd energi'!$B$1:$AI$720,MATCH(AC$1,'Tillförd energi'!$B$1:$AQ$1,0),FALSE)</f>
        <v>0</v>
      </c>
      <c r="AD244" s="121">
        <f>VLOOKUP($B244,'Tillförd energi'!$B$1:$AI$720,MATCH(AD$1,'Tillförd energi'!$B$1:$AQ$1,0),FALSE)</f>
        <v>0</v>
      </c>
      <c r="AE244" s="121">
        <f>VLOOKUP($B244,'Tillförd energi'!$B$1:$AI$720,MATCH(AE$1,'Tillförd energi'!$B$1:$AQ$1,0),FALSE)</f>
        <v>0</v>
      </c>
      <c r="AF244" s="121">
        <f>VLOOKUP($B244,'Tillförd energi'!$B$1:$AI$720,MATCH(AF$1,'Tillförd energi'!$B$1:$AQ$1,0),FALSE)</f>
        <v>0</v>
      </c>
      <c r="AG244" s="121">
        <f>IFERROR(VLOOKUP(B244,Miljö!$B$1:$AC$550,MATCH("Köpt mängd produktionsspecifik fjärrvärme:",Miljö!$B$1:$AC$1,0),FALSE)/1,0)</f>
        <v>0</v>
      </c>
      <c r="AH244" s="121"/>
      <c r="AI244" s="121">
        <f t="shared" si="88"/>
        <v>0</v>
      </c>
      <c r="AJ244" s="121">
        <f t="shared" si="89"/>
        <v>0</v>
      </c>
      <c r="AK244" s="121" t="str">
        <f>IF(ISERROR(1/VLOOKUP($B244,Leveranser!$B$1:$S$499,MATCH("såld värme (gwh)",Leveranser!$B$1:$S$1,0),FALSE)),"",VLOOKUP($B244,Leveranser!$B$1:$S$499,MATCH("såld värme (gwh)",Leveranser!$B$1:$S$1,0),FALSE))</f>
        <v/>
      </c>
      <c r="AL244" s="121">
        <f>VLOOKUP($B244,Leveranser!$B$1:$Y$499,MATCH("Totalt såld fjärrvärme till andra fjärrvärmeföretag",Leveranser!$B$1:$AA$1,0),FALSE)</f>
        <v>0</v>
      </c>
      <c r="AM244" s="121">
        <f>IF(ISERROR(1/VLOOKUP($B244,Miljö!$B$1:$S$500,MATCH("Såld mängd produktionsspecifik fjärrvärme (GWh)",Miljö!$B$1:$R$1,0),FALSE)),0,VLOOKUP($B244,Miljö!$B$1:$S$500,MATCH("Såld mängd produktionsspecifik fjärrvärme (GWh)",Miljö!$B$1:$R$1,0),FALSE))</f>
        <v>0</v>
      </c>
      <c r="AN244" s="172" t="str">
        <f t="shared" si="90"/>
        <v/>
      </c>
      <c r="AO244" s="121"/>
      <c r="AP244" s="121" t="str">
        <f>IFERROR(VLOOKUP($B244,Miljövärden!$B$2:$H$550,7,FALSE),"Nej, saknas")</f>
        <v>Nej</v>
      </c>
      <c r="AQ244" s="121" t="str">
        <f>IFERROR(VLOOKUP($B244,Miljövärden!$B$2:$H$550,6,FALSE),"Nej, saknas")</f>
        <v>Nej</v>
      </c>
      <c r="AU244">
        <f t="shared" si="91"/>
        <v>0</v>
      </c>
      <c r="AV244">
        <f t="shared" si="92"/>
        <v>0</v>
      </c>
      <c r="AW244">
        <f t="shared" si="93"/>
        <v>0</v>
      </c>
      <c r="AX244">
        <f t="shared" si="94"/>
        <v>0</v>
      </c>
      <c r="AZ244">
        <f t="shared" si="95"/>
        <v>0</v>
      </c>
      <c r="BC244">
        <f t="shared" si="96"/>
        <v>0</v>
      </c>
      <c r="BD244">
        <f t="shared" si="97"/>
        <v>0</v>
      </c>
      <c r="BE244">
        <f t="shared" si="98"/>
        <v>0</v>
      </c>
      <c r="BF244">
        <f t="shared" si="99"/>
        <v>0</v>
      </c>
      <c r="BG244">
        <f t="shared" si="100"/>
        <v>0</v>
      </c>
      <c r="BH244">
        <f>VLOOKUP(B244,Miljö!$B$1:$BX$482,MATCH("Fossilandel för ursprungspecificerad el ()",Miljö!$B$1:$I$1,0),FALSE)</f>
        <v>0.43</v>
      </c>
      <c r="BI244">
        <f>VLOOKUP(B244,Miljö!$B$1:$BX$482,MATCH("Kärnkraftsandel för ursprungsspecificerad el ()",Miljö!$B$1:$O$1,0),FALSE)</f>
        <v>0.40550000000000003</v>
      </c>
      <c r="BJ244">
        <f t="shared" si="101"/>
        <v>0</v>
      </c>
      <c r="BK244" t="str">
        <f>VLOOKUP(B244,Miljö!$B$1:$O$482,MATCH("Fossil andel i procent (%)",Miljö!$B$1:$O$1,0),FALSE)</f>
        <v>ET</v>
      </c>
      <c r="BL244">
        <f t="shared" si="102"/>
        <v>0</v>
      </c>
      <c r="BO244" s="18" t="str">
        <f t="shared" si="103"/>
        <v/>
      </c>
      <c r="BP244" s="18" t="str">
        <f t="shared" si="104"/>
        <v/>
      </c>
      <c r="BQ244" s="18" t="str">
        <f t="shared" si="105"/>
        <v/>
      </c>
      <c r="BR244" s="18" t="str">
        <f t="shared" si="106"/>
        <v/>
      </c>
      <c r="BT244" s="27">
        <f t="shared" si="107"/>
        <v>0</v>
      </c>
      <c r="BW244" s="18" t="str">
        <f>IF(AP244="ja",VLOOKUP(B244,Miljövärden!$B$2:$H$550,MATCH("Total andel fossilt",Miljövärden!$B$2:$H$2,0),FALSE),"")</f>
        <v/>
      </c>
      <c r="BZ244" s="28" t="str">
        <f t="shared" si="108"/>
        <v/>
      </c>
      <c r="CA244" s="28" t="str">
        <f t="shared" si="109"/>
        <v/>
      </c>
    </row>
    <row r="245" spans="1:79" x14ac:dyDescent="0.25">
      <c r="A245" s="224" t="s">
        <v>532</v>
      </c>
      <c r="B245" s="210" t="s">
        <v>540</v>
      </c>
      <c r="C245" s="121">
        <f>VLOOKUP($B245,'Tillförd energi'!$B$1:$AI$720,MATCH(C$1,'Tillförd energi'!$B$1:$AQ$1,0),FALSE)</f>
        <v>0</v>
      </c>
      <c r="D245" s="121">
        <f>VLOOKUP($B245,'Tillförd energi'!$B$1:$AI$720,MATCH(D$1,'Tillförd energi'!$B$1:$AQ$1,0),FALSE)</f>
        <v>2.1999999999999999E-2</v>
      </c>
      <c r="E245" s="121">
        <f>VLOOKUP($B245,'Tillförd energi'!$B$1:$AI$720,MATCH(E$1,'Tillförd energi'!$B$1:$AQ$1,0),FALSE)</f>
        <v>0</v>
      </c>
      <c r="F245" s="121">
        <f>VLOOKUP($B245,'Tillförd energi'!$B$1:$AI$720,MATCH(F$1,'Tillförd energi'!$B$1:$AQ$1,0),FALSE)</f>
        <v>0</v>
      </c>
      <c r="G245" s="121">
        <f>VLOOKUP($B245,'Tillförd energi'!$B$1:$AI$720,MATCH(G$1,'Tillförd energi'!$B$1:$AQ$1,0),FALSE)</f>
        <v>0</v>
      </c>
      <c r="H245" s="121">
        <f>VLOOKUP($B245,'Tillförd energi'!$B$1:$AI$720,MATCH(H$1,'Tillförd energi'!$B$1:$AQ$1,0),FALSE)</f>
        <v>0</v>
      </c>
      <c r="I245" s="121">
        <f>VLOOKUP($B245,'Tillförd energi'!$B$1:$AI$720,MATCH(I$1,'Tillförd energi'!$B$1:$AQ$1,0),FALSE)</f>
        <v>0</v>
      </c>
      <c r="J245" s="121">
        <f>VLOOKUP($B245,'Tillförd energi'!$B$1:$AI$720,MATCH(J$1,'Tillförd energi'!$B$1:$AQ$1,0),FALSE)</f>
        <v>0</v>
      </c>
      <c r="K245" s="121">
        <f>VLOOKUP($B245,'Tillförd energi'!$B$1:$AI$720,MATCH(K$1,'Tillförd energi'!$B$1:$AQ$1,0),FALSE)</f>
        <v>0</v>
      </c>
      <c r="L245" s="121">
        <f>VLOOKUP($B245,'Tillförd energi'!$B$1:$AI$720,MATCH(L$1,'Tillförd energi'!$B$1:$AQ$1,0),FALSE)</f>
        <v>0</v>
      </c>
      <c r="M245" s="121">
        <f>VLOOKUP($B245,'Tillförd energi'!$B$1:$AI$720,MATCH(M$1,'Tillförd energi'!$B$1:$AQ$1,0),FALSE)</f>
        <v>0</v>
      </c>
      <c r="N245" s="121">
        <f>VLOOKUP($B245,'Tillförd energi'!$B$1:$AI$720,MATCH(N$1,'Tillförd energi'!$B$1:$AQ$1,0),FALSE)</f>
        <v>0</v>
      </c>
      <c r="O245" s="121">
        <f>VLOOKUP($B245,'Tillförd energi'!$B$1:$AI$720,MATCH(O$1,'Tillförd energi'!$B$1:$AQ$1,0),FALSE)</f>
        <v>0</v>
      </c>
      <c r="P245" s="121">
        <f>VLOOKUP($B245,'Tillförd energi'!$B$1:$AI$720,MATCH(P$1,'Tillförd energi'!$B$1:$AQ$1,0),FALSE)</f>
        <v>0</v>
      </c>
      <c r="Q245" s="121">
        <f>VLOOKUP($B245,'Tillförd energi'!$B$1:$AI$720,MATCH(Q$1,'Tillförd energi'!$B$1:$AQ$1,0),FALSE)</f>
        <v>0</v>
      </c>
      <c r="R245" s="121">
        <f>VLOOKUP($B245,'Tillförd energi'!$B$1:$AI$720,MATCH(R$1,'Tillförd energi'!$B$1:$AQ$1,0),FALSE)</f>
        <v>6.9969999999999999</v>
      </c>
      <c r="S245" s="121">
        <f>VLOOKUP($B245,'Tillförd energi'!$B$1:$AI$720,MATCH(S$1,'Tillförd energi'!$B$1:$AQ$1,0),FALSE)</f>
        <v>0</v>
      </c>
      <c r="T245" s="121">
        <f>VLOOKUP($B245,'Tillförd energi'!$B$1:$AI$720,MATCH(T$1,'Tillförd energi'!$B$1:$AQ$1,0),FALSE)</f>
        <v>0</v>
      </c>
      <c r="U245" s="121">
        <f>VLOOKUP($B245,'Tillförd energi'!$B$1:$AI$720,MATCH(U$1,'Tillförd energi'!$B$1:$AQ$1,0),FALSE)</f>
        <v>0</v>
      </c>
      <c r="V245" s="121">
        <f>VLOOKUP($B245,'Tillförd energi'!$B$1:$AI$720,MATCH(V$1,'Tillförd energi'!$B$1:$AQ$1,0),FALSE)</f>
        <v>0</v>
      </c>
      <c r="W245" s="121">
        <f>VLOOKUP($B245,'Tillförd energi'!$B$1:$AI$720,MATCH(W$1,'Tillförd energi'!$B$1:$AQ$1,0),FALSE)</f>
        <v>0</v>
      </c>
      <c r="X245" s="121">
        <f>VLOOKUP($B245,'Tillförd energi'!$B$1:$AI$720,MATCH(X$1,'Tillförd energi'!$B$1:$AQ$1,0),FALSE)</f>
        <v>0</v>
      </c>
      <c r="Y245" s="121">
        <f>VLOOKUP($B245,'Tillförd energi'!$B$1:$AI$720,MATCH(Y$1,'Tillförd energi'!$B$1:$AQ$1,0),FALSE)</f>
        <v>0</v>
      </c>
      <c r="Z245" s="121">
        <f>VLOOKUP($B245,'Tillförd energi'!$B$1:$AI$720,MATCH(Z$1,'Tillförd energi'!$B$1:$AQ$1,0),FALSE)</f>
        <v>7.8E-2</v>
      </c>
      <c r="AA245" s="121">
        <f>VLOOKUP($B245,'Tillförd energi'!$B$1:$AI$720,MATCH(AA$1,'Tillförd energi'!$B$1:$AQ$1,0),FALSE)</f>
        <v>0</v>
      </c>
      <c r="AB245" s="121">
        <f>VLOOKUP($B245,'Tillförd energi'!$B$1:$AI$720,MATCH(AB$1,'Tillförd energi'!$B$1:$AQ$1,0),FALSE)</f>
        <v>0</v>
      </c>
      <c r="AC245" s="121">
        <f>VLOOKUP($B245,'Tillförd energi'!$B$1:$AI$720,MATCH(AC$1,'Tillförd energi'!$B$1:$AQ$1,0),FALSE)</f>
        <v>0</v>
      </c>
      <c r="AD245" s="121">
        <f>VLOOKUP($B245,'Tillförd energi'!$B$1:$AI$720,MATCH(AD$1,'Tillförd energi'!$B$1:$AQ$1,0),FALSE)</f>
        <v>0</v>
      </c>
      <c r="AE245" s="121">
        <f>VLOOKUP($B245,'Tillförd energi'!$B$1:$AI$720,MATCH(AE$1,'Tillförd energi'!$B$1:$AQ$1,0),FALSE)</f>
        <v>0</v>
      </c>
      <c r="AF245" s="121">
        <f>VLOOKUP($B245,'Tillförd energi'!$B$1:$AI$720,MATCH(AF$1,'Tillförd energi'!$B$1:$AQ$1,0),FALSE)</f>
        <v>6.9000000000000006E-2</v>
      </c>
      <c r="AG245" s="121">
        <f>IFERROR(VLOOKUP(B245,Miljö!$B$1:$AC$550,MATCH("Köpt mängd produktionsspecifik fjärrvärme:",Miljö!$B$1:$AC$1,0),FALSE)/1,0)</f>
        <v>0</v>
      </c>
      <c r="AH245" s="121"/>
      <c r="AI245" s="121">
        <f t="shared" si="88"/>
        <v>7.1660000000000004</v>
      </c>
      <c r="AJ245" s="121">
        <f t="shared" si="89"/>
        <v>7.1660000000000004</v>
      </c>
      <c r="AK245" s="121">
        <f>IF(ISERROR(1/VLOOKUP($B245,Leveranser!$B$1:$S$499,MATCH("såld värme (gwh)",Leveranser!$B$1:$S$1,0),FALSE)),"",VLOOKUP($B245,Leveranser!$B$1:$S$499,MATCH("såld värme (gwh)",Leveranser!$B$1:$S$1,0),FALSE))</f>
        <v>5.27</v>
      </c>
      <c r="AL245" s="121">
        <f>VLOOKUP($B245,Leveranser!$B$1:$Y$499,MATCH("Totalt såld fjärrvärme till andra fjärrvärmeföretag",Leveranser!$B$1:$AA$1,0),FALSE)</f>
        <v>0</v>
      </c>
      <c r="AM245" s="121">
        <f>IF(ISERROR(1/VLOOKUP($B245,Miljö!$B$1:$S$500,MATCH("Såld mängd produktionsspecifik fjärrvärme (GWh)",Miljö!$B$1:$R$1,0),FALSE)),0,VLOOKUP($B245,Miljö!$B$1:$S$500,MATCH("Såld mängd produktionsspecifik fjärrvärme (GWh)",Miljö!$B$1:$R$1,0),FALSE))</f>
        <v>0</v>
      </c>
      <c r="AN245" s="172">
        <f t="shared" si="90"/>
        <v>0.73541724811610376</v>
      </c>
      <c r="AO245" s="121"/>
      <c r="AP245" s="121" t="str">
        <f>IFERROR(VLOOKUP($B245,Miljövärden!$B$2:$H$550,7,FALSE),"Nej, saknas")</f>
        <v>Ja</v>
      </c>
      <c r="AQ245" s="121" t="str">
        <f>IFERROR(VLOOKUP($B245,Miljövärden!$B$2:$H$550,6,FALSE),"Nej, saknas")</f>
        <v>Ja</v>
      </c>
      <c r="AU245">
        <f t="shared" si="91"/>
        <v>0.14700000000000002</v>
      </c>
      <c r="AV245">
        <f t="shared" si="92"/>
        <v>0</v>
      </c>
      <c r="AW245">
        <f t="shared" si="93"/>
        <v>0</v>
      </c>
      <c r="AX245">
        <f t="shared" si="94"/>
        <v>6.9969999999999999</v>
      </c>
      <c r="AZ245">
        <f t="shared" si="95"/>
        <v>6.9969999999999999</v>
      </c>
      <c r="BC245">
        <f t="shared" si="96"/>
        <v>2.1999999999999999E-2</v>
      </c>
      <c r="BD245">
        <f t="shared" si="97"/>
        <v>0</v>
      </c>
      <c r="BE245">
        <f t="shared" si="98"/>
        <v>6.9969999999999999</v>
      </c>
      <c r="BF245">
        <f t="shared" si="99"/>
        <v>0</v>
      </c>
      <c r="BG245">
        <f t="shared" si="100"/>
        <v>0.14700000000000002</v>
      </c>
      <c r="BH245">
        <f>VLOOKUP(B245,Miljö!$B$1:$BX$482,MATCH("Fossilandel för ursprungspecificerad el ()",Miljö!$B$1:$I$1,0),FALSE)</f>
        <v>0</v>
      </c>
      <c r="BI245">
        <f>VLOOKUP(B245,Miljö!$B$1:$BX$482,MATCH("Kärnkraftsandel för ursprungsspecificerad el ()",Miljö!$B$1:$O$1,0),FALSE)</f>
        <v>0</v>
      </c>
      <c r="BJ245">
        <f t="shared" si="101"/>
        <v>0</v>
      </c>
      <c r="BK245" t="str">
        <f>VLOOKUP(B245,Miljö!$B$1:$O$482,MATCH("Fossil andel i procent (%)",Miljö!$B$1:$O$1,0),FALSE)</f>
        <v>ET</v>
      </c>
      <c r="BL245">
        <f t="shared" si="102"/>
        <v>7.1660000000000004</v>
      </c>
      <c r="BO245" s="18">
        <f t="shared" si="103"/>
        <v>3.0700530281886685E-3</v>
      </c>
      <c r="BP245" s="18">
        <f t="shared" si="104"/>
        <v>0</v>
      </c>
      <c r="BQ245" s="18">
        <f t="shared" si="105"/>
        <v>0.99692994697181125</v>
      </c>
      <c r="BR245" s="18">
        <f t="shared" si="106"/>
        <v>0</v>
      </c>
      <c r="BT245" s="27">
        <f t="shared" si="107"/>
        <v>0.99999999999999989</v>
      </c>
      <c r="BW245" s="18">
        <f>IF(AP245="ja",VLOOKUP(B245,Miljövärden!$B$2:$H$550,MATCH("Total andel fossilt",Miljövärden!$B$2:$H$2,0),FALSE),"")</f>
        <v>3.0700499999999999E-3</v>
      </c>
      <c r="BZ245" s="28">
        <f t="shared" si="108"/>
        <v>-3.0281886685690207E-9</v>
      </c>
      <c r="CA245" s="28">
        <f t="shared" si="109"/>
        <v>0</v>
      </c>
    </row>
    <row r="246" spans="1:79" x14ac:dyDescent="0.25">
      <c r="A246" s="224" t="s">
        <v>532</v>
      </c>
      <c r="B246" s="210" t="s">
        <v>541</v>
      </c>
      <c r="C246" s="121">
        <f>VLOOKUP($B246,'Tillförd energi'!$B$1:$AI$720,MATCH(C$1,'Tillförd energi'!$B$1:$AQ$1,0),FALSE)</f>
        <v>0</v>
      </c>
      <c r="D246" s="121">
        <f>VLOOKUP($B246,'Tillförd energi'!$B$1:$AI$720,MATCH(D$1,'Tillförd energi'!$B$1:$AQ$1,0),FALSE)</f>
        <v>5.3999999999999999E-2</v>
      </c>
      <c r="E246" s="121">
        <f>VLOOKUP($B246,'Tillförd energi'!$B$1:$AI$720,MATCH(E$1,'Tillförd energi'!$B$1:$AQ$1,0),FALSE)</f>
        <v>0</v>
      </c>
      <c r="F246" s="121">
        <f>VLOOKUP($B246,'Tillförd energi'!$B$1:$AI$720,MATCH(F$1,'Tillförd energi'!$B$1:$AQ$1,0),FALSE)</f>
        <v>0</v>
      </c>
      <c r="G246" s="121">
        <f>VLOOKUP($B246,'Tillförd energi'!$B$1:$AI$720,MATCH(G$1,'Tillförd energi'!$B$1:$AQ$1,0),FALSE)</f>
        <v>0</v>
      </c>
      <c r="H246" s="121">
        <f>VLOOKUP($B246,'Tillförd energi'!$B$1:$AI$720,MATCH(H$1,'Tillförd energi'!$B$1:$AQ$1,0),FALSE)</f>
        <v>0</v>
      </c>
      <c r="I246" s="121">
        <f>VLOOKUP($B246,'Tillförd energi'!$B$1:$AI$720,MATCH(I$1,'Tillförd energi'!$B$1:$AQ$1,0),FALSE)</f>
        <v>0</v>
      </c>
      <c r="J246" s="121">
        <f>VLOOKUP($B246,'Tillförd energi'!$B$1:$AI$720,MATCH(J$1,'Tillförd energi'!$B$1:$AQ$1,0),FALSE)</f>
        <v>0</v>
      </c>
      <c r="K246" s="121">
        <f>VLOOKUP($B246,'Tillförd energi'!$B$1:$AI$720,MATCH(K$1,'Tillförd energi'!$B$1:$AQ$1,0),FALSE)</f>
        <v>0</v>
      </c>
      <c r="L246" s="121">
        <f>VLOOKUP($B246,'Tillförd energi'!$B$1:$AI$720,MATCH(L$1,'Tillförd energi'!$B$1:$AQ$1,0),FALSE)</f>
        <v>0</v>
      </c>
      <c r="M246" s="121">
        <f>VLOOKUP($B246,'Tillförd energi'!$B$1:$AI$720,MATCH(M$1,'Tillförd energi'!$B$1:$AQ$1,0),FALSE)</f>
        <v>0</v>
      </c>
      <c r="N246" s="121">
        <f>VLOOKUP($B246,'Tillförd energi'!$B$1:$AI$720,MATCH(N$1,'Tillförd energi'!$B$1:$AQ$1,0),FALSE)</f>
        <v>0</v>
      </c>
      <c r="O246" s="121">
        <f>VLOOKUP($B246,'Tillförd energi'!$B$1:$AI$720,MATCH(O$1,'Tillförd energi'!$B$1:$AQ$1,0),FALSE)</f>
        <v>0</v>
      </c>
      <c r="P246" s="121">
        <f>VLOOKUP($B246,'Tillförd energi'!$B$1:$AI$720,MATCH(P$1,'Tillförd energi'!$B$1:$AQ$1,0),FALSE)</f>
        <v>0</v>
      </c>
      <c r="Q246" s="121">
        <f>VLOOKUP($B246,'Tillförd energi'!$B$1:$AI$720,MATCH(Q$1,'Tillförd energi'!$B$1:$AQ$1,0),FALSE)</f>
        <v>0</v>
      </c>
      <c r="R246" s="121">
        <f>VLOOKUP($B246,'Tillförd energi'!$B$1:$AI$720,MATCH(R$1,'Tillförd energi'!$B$1:$AQ$1,0),FALSE)</f>
        <v>3.5680000000000001</v>
      </c>
      <c r="S246" s="121">
        <f>VLOOKUP($B246,'Tillförd energi'!$B$1:$AI$720,MATCH(S$1,'Tillförd energi'!$B$1:$AQ$1,0),FALSE)</f>
        <v>0</v>
      </c>
      <c r="T246" s="121">
        <f>VLOOKUP($B246,'Tillförd energi'!$B$1:$AI$720,MATCH(T$1,'Tillförd energi'!$B$1:$AQ$1,0),FALSE)</f>
        <v>0</v>
      </c>
      <c r="U246" s="121">
        <f>VLOOKUP($B246,'Tillförd energi'!$B$1:$AI$720,MATCH(U$1,'Tillförd energi'!$B$1:$AQ$1,0),FALSE)</f>
        <v>0</v>
      </c>
      <c r="V246" s="121">
        <f>VLOOKUP($B246,'Tillförd energi'!$B$1:$AI$720,MATCH(V$1,'Tillförd energi'!$B$1:$AQ$1,0),FALSE)</f>
        <v>0</v>
      </c>
      <c r="W246" s="121">
        <f>VLOOKUP($B246,'Tillförd energi'!$B$1:$AI$720,MATCH(W$1,'Tillförd energi'!$B$1:$AQ$1,0),FALSE)</f>
        <v>0</v>
      </c>
      <c r="X246" s="121">
        <f>VLOOKUP($B246,'Tillförd energi'!$B$1:$AI$720,MATCH(X$1,'Tillförd energi'!$B$1:$AQ$1,0),FALSE)</f>
        <v>0</v>
      </c>
      <c r="Y246" s="121">
        <f>VLOOKUP($B246,'Tillförd energi'!$B$1:$AI$720,MATCH(Y$1,'Tillförd energi'!$B$1:$AQ$1,0),FALSE)</f>
        <v>0</v>
      </c>
      <c r="Z246" s="121">
        <f>VLOOKUP($B246,'Tillförd energi'!$B$1:$AI$720,MATCH(Z$1,'Tillförd energi'!$B$1:$AQ$1,0),FALSE)</f>
        <v>0</v>
      </c>
      <c r="AA246" s="121">
        <f>VLOOKUP($B246,'Tillförd energi'!$B$1:$AI$720,MATCH(AA$1,'Tillförd energi'!$B$1:$AQ$1,0),FALSE)</f>
        <v>0</v>
      </c>
      <c r="AB246" s="121">
        <f>VLOOKUP($B246,'Tillförd energi'!$B$1:$AI$720,MATCH(AB$1,'Tillförd energi'!$B$1:$AQ$1,0),FALSE)</f>
        <v>0</v>
      </c>
      <c r="AC246" s="121">
        <f>VLOOKUP($B246,'Tillförd energi'!$B$1:$AI$720,MATCH(AC$1,'Tillförd energi'!$B$1:$AQ$1,0),FALSE)</f>
        <v>0</v>
      </c>
      <c r="AD246" s="121">
        <f>VLOOKUP($B246,'Tillförd energi'!$B$1:$AI$720,MATCH(AD$1,'Tillförd energi'!$B$1:$AQ$1,0),FALSE)</f>
        <v>0</v>
      </c>
      <c r="AE246" s="121">
        <f>VLOOKUP($B246,'Tillförd energi'!$B$1:$AI$720,MATCH(AE$1,'Tillförd energi'!$B$1:$AQ$1,0),FALSE)</f>
        <v>0</v>
      </c>
      <c r="AF246" s="121">
        <f>VLOOKUP($B246,'Tillförd energi'!$B$1:$AI$720,MATCH(AF$1,'Tillförd energi'!$B$1:$AQ$1,0),FALSE)</f>
        <v>3.2000000000000001E-2</v>
      </c>
      <c r="AG246" s="121">
        <f>IFERROR(VLOOKUP(B246,Miljö!$B$1:$AC$550,MATCH("Köpt mängd produktionsspecifik fjärrvärme:",Miljö!$B$1:$AC$1,0),FALSE)/1,0)</f>
        <v>0</v>
      </c>
      <c r="AH246" s="121"/>
      <c r="AI246" s="121">
        <f t="shared" si="88"/>
        <v>3.6539999999999999</v>
      </c>
      <c r="AJ246" s="121">
        <f t="shared" si="89"/>
        <v>3.6539999999999999</v>
      </c>
      <c r="AK246" s="121">
        <f>IF(ISERROR(1/VLOOKUP($B246,Leveranser!$B$1:$S$499,MATCH("såld värme (gwh)",Leveranser!$B$1:$S$1,0),FALSE)),"",VLOOKUP($B246,Leveranser!$B$1:$S$499,MATCH("såld värme (gwh)",Leveranser!$B$1:$S$1,0),FALSE))</f>
        <v>2.855</v>
      </c>
      <c r="AL246" s="121">
        <f>VLOOKUP($B246,Leveranser!$B$1:$Y$499,MATCH("Totalt såld fjärrvärme till andra fjärrvärmeföretag",Leveranser!$B$1:$AA$1,0),FALSE)</f>
        <v>0</v>
      </c>
      <c r="AM246" s="121">
        <f>IF(ISERROR(1/VLOOKUP($B246,Miljö!$B$1:$S$500,MATCH("Såld mängd produktionsspecifik fjärrvärme (GWh)",Miljö!$B$1:$R$1,0),FALSE)),0,VLOOKUP($B246,Miljö!$B$1:$S$500,MATCH("Såld mängd produktionsspecifik fjärrvärme (GWh)",Miljö!$B$1:$R$1,0),FALSE))</f>
        <v>0</v>
      </c>
      <c r="AN246" s="172">
        <f t="shared" si="90"/>
        <v>0.78133552271483309</v>
      </c>
      <c r="AO246" s="121"/>
      <c r="AP246" s="121" t="str">
        <f>IFERROR(VLOOKUP($B246,Miljövärden!$B$2:$H$550,7,FALSE),"Nej, saknas")</f>
        <v>Ja</v>
      </c>
      <c r="AQ246" s="121" t="str">
        <f>IFERROR(VLOOKUP($B246,Miljövärden!$B$2:$H$550,6,FALSE),"Nej, saknas")</f>
        <v>Ja</v>
      </c>
      <c r="AU246">
        <f t="shared" si="91"/>
        <v>3.2000000000000001E-2</v>
      </c>
      <c r="AV246">
        <f t="shared" si="92"/>
        <v>0</v>
      </c>
      <c r="AW246">
        <f t="shared" si="93"/>
        <v>0</v>
      </c>
      <c r="AX246">
        <f t="shared" si="94"/>
        <v>3.5680000000000001</v>
      </c>
      <c r="AZ246">
        <f t="shared" si="95"/>
        <v>3.5680000000000001</v>
      </c>
      <c r="BC246">
        <f t="shared" si="96"/>
        <v>5.3999999999999999E-2</v>
      </c>
      <c r="BD246">
        <f t="shared" si="97"/>
        <v>0</v>
      </c>
      <c r="BE246">
        <f t="shared" si="98"/>
        <v>3.5680000000000001</v>
      </c>
      <c r="BF246">
        <f t="shared" si="99"/>
        <v>0</v>
      </c>
      <c r="BG246">
        <f t="shared" si="100"/>
        <v>3.2000000000000001E-2</v>
      </c>
      <c r="BH246">
        <f>VLOOKUP(B246,Miljö!$B$1:$BX$482,MATCH("Fossilandel för ursprungspecificerad el ()",Miljö!$B$1:$I$1,0),FALSE)</f>
        <v>0</v>
      </c>
      <c r="BI246">
        <f>VLOOKUP(B246,Miljö!$B$1:$BX$482,MATCH("Kärnkraftsandel för ursprungsspecificerad el ()",Miljö!$B$1:$O$1,0),FALSE)</f>
        <v>0</v>
      </c>
      <c r="BJ246">
        <f t="shared" si="101"/>
        <v>0</v>
      </c>
      <c r="BK246" t="str">
        <f>VLOOKUP(B246,Miljö!$B$1:$O$482,MATCH("Fossil andel i procent (%)",Miljö!$B$1:$O$1,0),FALSE)</f>
        <v>ET</v>
      </c>
      <c r="BL246">
        <f t="shared" si="102"/>
        <v>3.6539999999999999</v>
      </c>
      <c r="BO246" s="18">
        <f t="shared" si="103"/>
        <v>1.477832512315271E-2</v>
      </c>
      <c r="BP246" s="18">
        <f t="shared" si="104"/>
        <v>0</v>
      </c>
      <c r="BQ246" s="18">
        <f t="shared" si="105"/>
        <v>0.98522167487684731</v>
      </c>
      <c r="BR246" s="18">
        <f t="shared" si="106"/>
        <v>0</v>
      </c>
      <c r="BT246" s="27">
        <f t="shared" si="107"/>
        <v>1</v>
      </c>
      <c r="BW246" s="18">
        <f>IF(AP246="ja",VLOOKUP(B246,Miljövärden!$B$2:$H$550,MATCH("Total andel fossilt",Miljövärden!$B$2:$H$2,0),FALSE),"")</f>
        <v>1.4778299999999999E-2</v>
      </c>
      <c r="BZ246" s="28">
        <f t="shared" si="108"/>
        <v>-2.5123152710970764E-8</v>
      </c>
      <c r="CA246" s="28">
        <f t="shared" si="109"/>
        <v>0</v>
      </c>
    </row>
    <row r="247" spans="1:79" x14ac:dyDescent="0.25">
      <c r="A247" s="224" t="s">
        <v>532</v>
      </c>
      <c r="B247" s="210" t="s">
        <v>542</v>
      </c>
      <c r="C247" s="121">
        <f>VLOOKUP($B247,'Tillförd energi'!$B$1:$AI$720,MATCH(C$1,'Tillförd energi'!$B$1:$AQ$1,0),FALSE)</f>
        <v>0</v>
      </c>
      <c r="D247" s="121">
        <f>VLOOKUP($B247,'Tillförd energi'!$B$1:$AI$720,MATCH(D$1,'Tillförd energi'!$B$1:$AQ$1,0),FALSE)</f>
        <v>0.39076499999999997</v>
      </c>
      <c r="E247" s="121">
        <f>VLOOKUP($B247,'Tillförd energi'!$B$1:$AI$720,MATCH(E$1,'Tillförd energi'!$B$1:$AQ$1,0),FALSE)</f>
        <v>7.8560000000000005E-2</v>
      </c>
      <c r="F247" s="121">
        <f>VLOOKUP($B247,'Tillförd energi'!$B$1:$AI$720,MATCH(F$1,'Tillförd energi'!$B$1:$AQ$1,0),FALSE)</f>
        <v>0</v>
      </c>
      <c r="G247" s="121">
        <f>VLOOKUP($B247,'Tillförd energi'!$B$1:$AI$720,MATCH(G$1,'Tillförd energi'!$B$1:$AQ$1,0),FALSE)</f>
        <v>0</v>
      </c>
      <c r="H247" s="121">
        <f>VLOOKUP($B247,'Tillförd energi'!$B$1:$AI$720,MATCH(H$1,'Tillförd energi'!$B$1:$AQ$1,0),FALSE)</f>
        <v>0</v>
      </c>
      <c r="I247" s="121">
        <f>VLOOKUP($B247,'Tillförd energi'!$B$1:$AI$720,MATCH(I$1,'Tillförd energi'!$B$1:$AQ$1,0),FALSE)</f>
        <v>0</v>
      </c>
      <c r="J247" s="121">
        <f>VLOOKUP($B247,'Tillförd energi'!$B$1:$AI$720,MATCH(J$1,'Tillförd energi'!$B$1:$AQ$1,0),FALSE)</f>
        <v>0</v>
      </c>
      <c r="K247" s="121">
        <f>VLOOKUP($B247,'Tillförd energi'!$B$1:$AI$720,MATCH(K$1,'Tillförd energi'!$B$1:$AQ$1,0),FALSE)</f>
        <v>0</v>
      </c>
      <c r="L247" s="121">
        <f>VLOOKUP($B247,'Tillförd energi'!$B$1:$AI$720,MATCH(L$1,'Tillförd energi'!$B$1:$AQ$1,0),FALSE)</f>
        <v>0</v>
      </c>
      <c r="M247" s="121">
        <f>VLOOKUP($B247,'Tillförd energi'!$B$1:$AI$720,MATCH(M$1,'Tillförd energi'!$B$1:$AQ$1,0),FALSE)</f>
        <v>28.398700000000002</v>
      </c>
      <c r="N247" s="121">
        <f>VLOOKUP($B247,'Tillförd energi'!$B$1:$AI$720,MATCH(N$1,'Tillförd energi'!$B$1:$AQ$1,0),FALSE)</f>
        <v>11.1166</v>
      </c>
      <c r="O247" s="121">
        <f>VLOOKUP($B247,'Tillförd energi'!$B$1:$AI$720,MATCH(O$1,'Tillförd energi'!$B$1:$AQ$1,0),FALSE)</f>
        <v>36.831499999999998</v>
      </c>
      <c r="P247" s="121">
        <f>VLOOKUP($B247,'Tillförd energi'!$B$1:$AI$720,MATCH(P$1,'Tillförd energi'!$B$1:$AQ$1,0),FALSE)</f>
        <v>0</v>
      </c>
      <c r="Q247" s="121">
        <f>VLOOKUP($B247,'Tillförd energi'!$B$1:$AI$720,MATCH(Q$1,'Tillförd energi'!$B$1:$AQ$1,0),FALSE)</f>
        <v>6.5667499999999999</v>
      </c>
      <c r="R247" s="121">
        <f>VLOOKUP($B247,'Tillförd energi'!$B$1:$AI$720,MATCH(R$1,'Tillförd energi'!$B$1:$AQ$1,0),FALSE)</f>
        <v>0.38326399999999999</v>
      </c>
      <c r="S247" s="121">
        <f>VLOOKUP($B247,'Tillförd energi'!$B$1:$AI$720,MATCH(S$1,'Tillförd energi'!$B$1:$AQ$1,0),FALSE)</f>
        <v>0.153306</v>
      </c>
      <c r="T247" s="121">
        <f>VLOOKUP($B247,'Tillförd energi'!$B$1:$AI$720,MATCH(T$1,'Tillförd energi'!$B$1:$AQ$1,0),FALSE)</f>
        <v>0</v>
      </c>
      <c r="U247" s="121">
        <f>VLOOKUP($B247,'Tillförd energi'!$B$1:$AI$720,MATCH(U$1,'Tillförd energi'!$B$1:$AQ$1,0),FALSE)</f>
        <v>0</v>
      </c>
      <c r="V247" s="121">
        <f>VLOOKUP($B247,'Tillförd energi'!$B$1:$AI$720,MATCH(V$1,'Tillförd energi'!$B$1:$AQ$1,0),FALSE)</f>
        <v>0</v>
      </c>
      <c r="W247" s="121">
        <f>VLOOKUP($B247,'Tillförd energi'!$B$1:$AI$720,MATCH(W$1,'Tillförd energi'!$B$1:$AQ$1,0),FALSE)</f>
        <v>0</v>
      </c>
      <c r="X247" s="121">
        <f>VLOOKUP($B247,'Tillförd energi'!$B$1:$AI$720,MATCH(X$1,'Tillförd energi'!$B$1:$AQ$1,0),FALSE)</f>
        <v>0</v>
      </c>
      <c r="Y247" s="121">
        <f>VLOOKUP($B247,'Tillförd energi'!$B$1:$AI$720,MATCH(Y$1,'Tillförd energi'!$B$1:$AQ$1,0),FALSE)</f>
        <v>21.415400000000002</v>
      </c>
      <c r="Z247" s="121">
        <f>VLOOKUP($B247,'Tillförd energi'!$B$1:$AI$720,MATCH(Z$1,'Tillförd energi'!$B$1:$AQ$1,0),FALSE)</f>
        <v>1.4016000000000001E-2</v>
      </c>
      <c r="AA247" s="121">
        <f>VLOOKUP($B247,'Tillförd energi'!$B$1:$AI$720,MATCH(AA$1,'Tillförd energi'!$B$1:$AQ$1,0),FALSE)</f>
        <v>0</v>
      </c>
      <c r="AB247" s="121">
        <f>VLOOKUP($B247,'Tillförd energi'!$B$1:$AI$720,MATCH(AB$1,'Tillförd energi'!$B$1:$AQ$1,0),FALSE)</f>
        <v>0</v>
      </c>
      <c r="AC247" s="121">
        <f>VLOOKUP($B247,'Tillförd energi'!$B$1:$AI$720,MATCH(AC$1,'Tillförd energi'!$B$1:$AQ$1,0),FALSE)</f>
        <v>0</v>
      </c>
      <c r="AD247" s="121">
        <f>VLOOKUP($B247,'Tillförd energi'!$B$1:$AI$720,MATCH(AD$1,'Tillförd energi'!$B$1:$AQ$1,0),FALSE)</f>
        <v>0</v>
      </c>
      <c r="AE247" s="121">
        <f>VLOOKUP($B247,'Tillförd energi'!$B$1:$AI$720,MATCH(AE$1,'Tillförd energi'!$B$1:$AQ$1,0),FALSE)</f>
        <v>0</v>
      </c>
      <c r="AF247" s="121">
        <f>VLOOKUP($B247,'Tillförd energi'!$B$1:$AI$720,MATCH(AF$1,'Tillförd energi'!$B$1:$AQ$1,0),FALSE)</f>
        <v>4.0981800000000002</v>
      </c>
      <c r="AG247" s="121">
        <f>IFERROR(VLOOKUP(B247,Miljö!$B$1:$AC$550,MATCH("Köpt mängd produktionsspecifik fjärrvärme:",Miljö!$B$1:$AC$1,0),FALSE)/1,0)</f>
        <v>0</v>
      </c>
      <c r="AH247" s="121"/>
      <c r="AI247" s="121">
        <f t="shared" si="88"/>
        <v>109.447041</v>
      </c>
      <c r="AJ247" s="121">
        <f t="shared" si="89"/>
        <v>109.447041</v>
      </c>
      <c r="AK247" s="121">
        <f>IF(ISERROR(1/VLOOKUP($B247,Leveranser!$B$1:$S$499,MATCH("såld värme (gwh)",Leveranser!$B$1:$S$1,0),FALSE)),"",VLOOKUP($B247,Leveranser!$B$1:$S$499,MATCH("såld värme (gwh)",Leveranser!$B$1:$S$1,0),FALSE))</f>
        <v>105.599</v>
      </c>
      <c r="AL247" s="121">
        <f>VLOOKUP($B247,Leveranser!$B$1:$Y$499,MATCH("Totalt såld fjärrvärme till andra fjärrvärmeföretag",Leveranser!$B$1:$AA$1,0),FALSE)</f>
        <v>0</v>
      </c>
      <c r="AM247" s="121">
        <f>IF(ISERROR(1/VLOOKUP($B247,Miljö!$B$1:$S$500,MATCH("Såld mängd produktionsspecifik fjärrvärme (GWh)",Miljö!$B$1:$R$1,0),FALSE)),0,VLOOKUP($B247,Miljö!$B$1:$S$500,MATCH("Såld mängd produktionsspecifik fjärrvärme (GWh)",Miljö!$B$1:$R$1,0),FALSE))</f>
        <v>0</v>
      </c>
      <c r="AN247" s="172">
        <f t="shared" si="90"/>
        <v>0.96484106865895081</v>
      </c>
      <c r="AO247" s="121"/>
      <c r="AP247" s="121" t="str">
        <f>IFERROR(VLOOKUP($B247,Miljövärden!$B$2:$H$550,7,FALSE),"Nej, saknas")</f>
        <v>Ja</v>
      </c>
      <c r="AQ247" s="121" t="str">
        <f>IFERROR(VLOOKUP($B247,Miljövärden!$B$2:$H$550,6,FALSE),"Nej, saknas")</f>
        <v>Ja</v>
      </c>
      <c r="AU247">
        <f t="shared" si="91"/>
        <v>4.112196</v>
      </c>
      <c r="AV247">
        <f t="shared" si="92"/>
        <v>0</v>
      </c>
      <c r="AW247">
        <f t="shared" si="93"/>
        <v>82.913550000000001</v>
      </c>
      <c r="AX247">
        <f t="shared" si="94"/>
        <v>0.53656999999999999</v>
      </c>
      <c r="AZ247">
        <f t="shared" si="95"/>
        <v>83.450119999999998</v>
      </c>
      <c r="BC247">
        <f t="shared" si="96"/>
        <v>0.46932499999999999</v>
      </c>
      <c r="BD247">
        <f t="shared" si="97"/>
        <v>21.415400000000002</v>
      </c>
      <c r="BE247">
        <f t="shared" si="98"/>
        <v>83.450119999999998</v>
      </c>
      <c r="BF247">
        <f t="shared" si="99"/>
        <v>0</v>
      </c>
      <c r="BG247">
        <f t="shared" si="100"/>
        <v>4.112196</v>
      </c>
      <c r="BH247">
        <f>VLOOKUP(B247,Miljö!$B$1:$BX$482,MATCH("Fossilandel för ursprungspecificerad el ()",Miljö!$B$1:$I$1,0),FALSE)</f>
        <v>0</v>
      </c>
      <c r="BI247">
        <f>VLOOKUP(B247,Miljö!$B$1:$BX$482,MATCH("Kärnkraftsandel för ursprungsspecificerad el ()",Miljö!$B$1:$O$1,0),FALSE)</f>
        <v>0</v>
      </c>
      <c r="BJ247">
        <f t="shared" si="101"/>
        <v>0</v>
      </c>
      <c r="BK247" t="str">
        <f>VLOOKUP(B247,Miljö!$B$1:$O$482,MATCH("Fossil andel i procent (%)",Miljö!$B$1:$O$1,0),FALSE)</f>
        <v>ET</v>
      </c>
      <c r="BL247">
        <f t="shared" si="102"/>
        <v>109.447041</v>
      </c>
      <c r="BO247" s="18">
        <f t="shared" si="103"/>
        <v>4.2881469952211863E-3</v>
      </c>
      <c r="BP247" s="18">
        <f t="shared" si="104"/>
        <v>0.19566906336005924</v>
      </c>
      <c r="BQ247" s="18">
        <f t="shared" si="105"/>
        <v>0.80004278964471953</v>
      </c>
      <c r="BR247" s="18">
        <f t="shared" si="106"/>
        <v>0</v>
      </c>
      <c r="BT247" s="27">
        <f t="shared" si="107"/>
        <v>1</v>
      </c>
      <c r="BW247" s="18">
        <f>IF(AP247="ja",VLOOKUP(B247,Miljövärden!$B$2:$H$550,MATCH("Total andel fossilt",Miljövärden!$B$2:$H$2,0),FALSE),"")</f>
        <v>4.2881500000000001E-3</v>
      </c>
      <c r="BZ247" s="28">
        <f t="shared" si="108"/>
        <v>3.0047788137851916E-9</v>
      </c>
      <c r="CA247" s="28">
        <f t="shared" si="109"/>
        <v>0</v>
      </c>
    </row>
    <row r="248" spans="1:79" x14ac:dyDescent="0.25">
      <c r="A248" s="224" t="s">
        <v>532</v>
      </c>
      <c r="B248" s="210" t="s">
        <v>543</v>
      </c>
      <c r="C248" s="121">
        <f>VLOOKUP($B248,'Tillförd energi'!$B$1:$AI$720,MATCH(C$1,'Tillförd energi'!$B$1:$AQ$1,0),FALSE)</f>
        <v>0</v>
      </c>
      <c r="D248" s="121">
        <f>VLOOKUP($B248,'Tillförd energi'!$B$1:$AI$720,MATCH(D$1,'Tillförd energi'!$B$1:$AQ$1,0),FALSE)</f>
        <v>2.1999999999999999E-2</v>
      </c>
      <c r="E248" s="121">
        <f>VLOOKUP($B248,'Tillförd energi'!$B$1:$AI$720,MATCH(E$1,'Tillförd energi'!$B$1:$AQ$1,0),FALSE)</f>
        <v>0</v>
      </c>
      <c r="F248" s="121">
        <f>VLOOKUP($B248,'Tillförd energi'!$B$1:$AI$720,MATCH(F$1,'Tillförd energi'!$B$1:$AQ$1,0),FALSE)</f>
        <v>0</v>
      </c>
      <c r="G248" s="121">
        <f>VLOOKUP($B248,'Tillförd energi'!$B$1:$AI$720,MATCH(G$1,'Tillförd energi'!$B$1:$AQ$1,0),FALSE)</f>
        <v>0</v>
      </c>
      <c r="H248" s="121">
        <f>VLOOKUP($B248,'Tillförd energi'!$B$1:$AI$720,MATCH(H$1,'Tillförd energi'!$B$1:$AQ$1,0),FALSE)</f>
        <v>0</v>
      </c>
      <c r="I248" s="121">
        <f>VLOOKUP($B248,'Tillförd energi'!$B$1:$AI$720,MATCH(I$1,'Tillförd energi'!$B$1:$AQ$1,0),FALSE)</f>
        <v>0</v>
      </c>
      <c r="J248" s="121">
        <f>VLOOKUP($B248,'Tillförd energi'!$B$1:$AI$720,MATCH(J$1,'Tillförd energi'!$B$1:$AQ$1,0),FALSE)</f>
        <v>0</v>
      </c>
      <c r="K248" s="121">
        <f>VLOOKUP($B248,'Tillförd energi'!$B$1:$AI$720,MATCH(K$1,'Tillförd energi'!$B$1:$AQ$1,0),FALSE)</f>
        <v>0</v>
      </c>
      <c r="L248" s="121">
        <f>VLOOKUP($B248,'Tillförd energi'!$B$1:$AI$720,MATCH(L$1,'Tillförd energi'!$B$1:$AQ$1,0),FALSE)</f>
        <v>0</v>
      </c>
      <c r="M248" s="121">
        <f>VLOOKUP($B248,'Tillförd energi'!$B$1:$AI$720,MATCH(M$1,'Tillförd energi'!$B$1:$AQ$1,0),FALSE)</f>
        <v>0</v>
      </c>
      <c r="N248" s="121">
        <f>VLOOKUP($B248,'Tillförd energi'!$B$1:$AI$720,MATCH(N$1,'Tillförd energi'!$B$1:$AQ$1,0),FALSE)</f>
        <v>0</v>
      </c>
      <c r="O248" s="121">
        <f>VLOOKUP($B248,'Tillförd energi'!$B$1:$AI$720,MATCH(O$1,'Tillförd energi'!$B$1:$AQ$1,0),FALSE)</f>
        <v>0</v>
      </c>
      <c r="P248" s="121">
        <f>VLOOKUP($B248,'Tillförd energi'!$B$1:$AI$720,MATCH(P$1,'Tillförd energi'!$B$1:$AQ$1,0),FALSE)</f>
        <v>0</v>
      </c>
      <c r="Q248" s="121">
        <f>VLOOKUP($B248,'Tillförd energi'!$B$1:$AI$720,MATCH(Q$1,'Tillförd energi'!$B$1:$AQ$1,0),FALSE)</f>
        <v>0</v>
      </c>
      <c r="R248" s="121">
        <f>VLOOKUP($B248,'Tillförd energi'!$B$1:$AI$720,MATCH(R$1,'Tillförd energi'!$B$1:$AQ$1,0),FALSE)</f>
        <v>4.1239999999999997</v>
      </c>
      <c r="S248" s="121">
        <f>VLOOKUP($B248,'Tillförd energi'!$B$1:$AI$720,MATCH(S$1,'Tillförd energi'!$B$1:$AQ$1,0),FALSE)</f>
        <v>0</v>
      </c>
      <c r="T248" s="121">
        <f>VLOOKUP($B248,'Tillförd energi'!$B$1:$AI$720,MATCH(T$1,'Tillförd energi'!$B$1:$AQ$1,0),FALSE)</f>
        <v>0</v>
      </c>
      <c r="U248" s="121">
        <f>VLOOKUP($B248,'Tillförd energi'!$B$1:$AI$720,MATCH(U$1,'Tillförd energi'!$B$1:$AQ$1,0),FALSE)</f>
        <v>0</v>
      </c>
      <c r="V248" s="121">
        <f>VLOOKUP($B248,'Tillförd energi'!$B$1:$AI$720,MATCH(V$1,'Tillförd energi'!$B$1:$AQ$1,0),FALSE)</f>
        <v>0</v>
      </c>
      <c r="W248" s="121">
        <f>VLOOKUP($B248,'Tillförd energi'!$B$1:$AI$720,MATCH(W$1,'Tillförd energi'!$B$1:$AQ$1,0),FALSE)</f>
        <v>0</v>
      </c>
      <c r="X248" s="121">
        <f>VLOOKUP($B248,'Tillförd energi'!$B$1:$AI$720,MATCH(X$1,'Tillförd energi'!$B$1:$AQ$1,0),FALSE)</f>
        <v>0</v>
      </c>
      <c r="Y248" s="121">
        <f>VLOOKUP($B248,'Tillförd energi'!$B$1:$AI$720,MATCH(Y$1,'Tillförd energi'!$B$1:$AQ$1,0),FALSE)</f>
        <v>0</v>
      </c>
      <c r="Z248" s="121">
        <f>VLOOKUP($B248,'Tillförd energi'!$B$1:$AI$720,MATCH(Z$1,'Tillförd energi'!$B$1:$AQ$1,0),FALSE)</f>
        <v>0</v>
      </c>
      <c r="AA248" s="121">
        <f>VLOOKUP($B248,'Tillförd energi'!$B$1:$AI$720,MATCH(AA$1,'Tillförd energi'!$B$1:$AQ$1,0),FALSE)</f>
        <v>0</v>
      </c>
      <c r="AB248" s="121">
        <f>VLOOKUP($B248,'Tillförd energi'!$B$1:$AI$720,MATCH(AB$1,'Tillförd energi'!$B$1:$AQ$1,0),FALSE)</f>
        <v>0</v>
      </c>
      <c r="AC248" s="121">
        <f>VLOOKUP($B248,'Tillförd energi'!$B$1:$AI$720,MATCH(AC$1,'Tillförd energi'!$B$1:$AQ$1,0),FALSE)</f>
        <v>0</v>
      </c>
      <c r="AD248" s="121">
        <f>VLOOKUP($B248,'Tillförd energi'!$B$1:$AI$720,MATCH(AD$1,'Tillförd energi'!$B$1:$AQ$1,0),FALSE)</f>
        <v>0</v>
      </c>
      <c r="AE248" s="121">
        <f>VLOOKUP($B248,'Tillförd energi'!$B$1:$AI$720,MATCH(AE$1,'Tillförd energi'!$B$1:$AQ$1,0),FALSE)</f>
        <v>0</v>
      </c>
      <c r="AF248" s="121">
        <f>VLOOKUP($B248,'Tillförd energi'!$B$1:$AI$720,MATCH(AF$1,'Tillförd energi'!$B$1:$AQ$1,0),FALSE)</f>
        <v>4.7E-2</v>
      </c>
      <c r="AG248" s="121">
        <f>IFERROR(VLOOKUP(B248,Miljö!$B$1:$AC$550,MATCH("Köpt mängd produktionsspecifik fjärrvärme:",Miljö!$B$1:$AC$1,0),FALSE)/1,0)</f>
        <v>0</v>
      </c>
      <c r="AH248" s="121"/>
      <c r="AI248" s="121">
        <f t="shared" si="88"/>
        <v>4.1929999999999996</v>
      </c>
      <c r="AJ248" s="121">
        <f t="shared" si="89"/>
        <v>4.1929999999999996</v>
      </c>
      <c r="AK248" s="121">
        <f>IF(ISERROR(1/VLOOKUP($B248,Leveranser!$B$1:$S$499,MATCH("såld värme (gwh)",Leveranser!$B$1:$S$1,0),FALSE)),"",VLOOKUP($B248,Leveranser!$B$1:$S$499,MATCH("såld värme (gwh)",Leveranser!$B$1:$S$1,0),FALSE))</f>
        <v>3.2170000000000001</v>
      </c>
      <c r="AL248" s="121">
        <f>VLOOKUP($B248,Leveranser!$B$1:$Y$499,MATCH("Totalt såld fjärrvärme till andra fjärrvärmeföretag",Leveranser!$B$1:$AA$1,0),FALSE)</f>
        <v>0</v>
      </c>
      <c r="AM248" s="121">
        <f>IF(ISERROR(1/VLOOKUP($B248,Miljö!$B$1:$S$500,MATCH("Såld mängd produktionsspecifik fjärrvärme (GWh)",Miljö!$B$1:$R$1,0),FALSE)),0,VLOOKUP($B248,Miljö!$B$1:$S$500,MATCH("Såld mängd produktionsspecifik fjärrvärme (GWh)",Miljö!$B$1:$R$1,0),FALSE))</f>
        <v>0</v>
      </c>
      <c r="AN248" s="172">
        <f t="shared" si="90"/>
        <v>0.76723109945146684</v>
      </c>
      <c r="AO248" s="121"/>
      <c r="AP248" s="121" t="str">
        <f>IFERROR(VLOOKUP($B248,Miljövärden!$B$2:$H$550,7,FALSE),"Nej, saknas")</f>
        <v>Ja</v>
      </c>
      <c r="AQ248" s="121" t="str">
        <f>IFERROR(VLOOKUP($B248,Miljövärden!$B$2:$H$550,6,FALSE),"Nej, saknas")</f>
        <v>Ja</v>
      </c>
      <c r="AU248">
        <f t="shared" si="91"/>
        <v>4.7E-2</v>
      </c>
      <c r="AV248">
        <f t="shared" si="92"/>
        <v>0</v>
      </c>
      <c r="AW248">
        <f t="shared" si="93"/>
        <v>0</v>
      </c>
      <c r="AX248">
        <f t="shared" si="94"/>
        <v>4.1239999999999997</v>
      </c>
      <c r="AZ248">
        <f t="shared" si="95"/>
        <v>4.1239999999999997</v>
      </c>
      <c r="BC248">
        <f t="shared" si="96"/>
        <v>2.1999999999999999E-2</v>
      </c>
      <c r="BD248">
        <f t="shared" si="97"/>
        <v>0</v>
      </c>
      <c r="BE248">
        <f t="shared" si="98"/>
        <v>4.1239999999999997</v>
      </c>
      <c r="BF248">
        <f t="shared" si="99"/>
        <v>0</v>
      </c>
      <c r="BG248">
        <f t="shared" si="100"/>
        <v>4.7E-2</v>
      </c>
      <c r="BH248">
        <f>VLOOKUP(B248,Miljö!$B$1:$BX$482,MATCH("Fossilandel för ursprungspecificerad el ()",Miljö!$B$1:$I$1,0),FALSE)</f>
        <v>0</v>
      </c>
      <c r="BI248">
        <f>VLOOKUP(B248,Miljö!$B$1:$BX$482,MATCH("Kärnkraftsandel för ursprungsspecificerad el ()",Miljö!$B$1:$O$1,0),FALSE)</f>
        <v>0</v>
      </c>
      <c r="BJ248">
        <f t="shared" si="101"/>
        <v>0</v>
      </c>
      <c r="BK248" t="str">
        <f>VLOOKUP(B248,Miljö!$B$1:$O$482,MATCH("Fossil andel i procent (%)",Miljö!$B$1:$O$1,0),FALSE)</f>
        <v>ET</v>
      </c>
      <c r="BL248">
        <f t="shared" si="102"/>
        <v>4.1929999999999996</v>
      </c>
      <c r="BO248" s="18">
        <f t="shared" si="103"/>
        <v>5.246839971380873E-3</v>
      </c>
      <c r="BP248" s="18">
        <f t="shared" si="104"/>
        <v>0</v>
      </c>
      <c r="BQ248" s="18">
        <f t="shared" si="105"/>
        <v>0.99475316002861902</v>
      </c>
      <c r="BR248" s="18">
        <f t="shared" si="106"/>
        <v>0</v>
      </c>
      <c r="BT248" s="27">
        <f t="shared" si="107"/>
        <v>0.99999999999999989</v>
      </c>
      <c r="BW248" s="18">
        <f>IF(AP248="ja",VLOOKUP(B248,Miljövärden!$B$2:$H$550,MATCH("Total andel fossilt",Miljövärden!$B$2:$H$2,0),FALSE),"")</f>
        <v>5.24684E-3</v>
      </c>
      <c r="BZ248" s="28">
        <f t="shared" si="108"/>
        <v>2.8619127033502334E-11</v>
      </c>
      <c r="CA248" s="28">
        <f t="shared" si="109"/>
        <v>0</v>
      </c>
    </row>
    <row r="249" spans="1:79" x14ac:dyDescent="0.25">
      <c r="A249" s="224" t="s">
        <v>532</v>
      </c>
      <c r="B249" s="210" t="s">
        <v>544</v>
      </c>
      <c r="C249" s="121">
        <f>VLOOKUP($B249,'Tillförd energi'!$B$1:$AI$720,MATCH(C$1,'Tillförd energi'!$B$1:$AQ$1,0),FALSE)</f>
        <v>0</v>
      </c>
      <c r="D249" s="121">
        <f>VLOOKUP($B249,'Tillförd energi'!$B$1:$AI$720,MATCH(D$1,'Tillförd energi'!$B$1:$AQ$1,0),FALSE)</f>
        <v>1.5982700000000001</v>
      </c>
      <c r="E249" s="121">
        <f>VLOOKUP($B249,'Tillförd energi'!$B$1:$AI$720,MATCH(E$1,'Tillförd energi'!$B$1:$AQ$1,0),FALSE)</f>
        <v>0</v>
      </c>
      <c r="F249" s="121">
        <f>VLOOKUP($B249,'Tillförd energi'!$B$1:$AI$720,MATCH(F$1,'Tillförd energi'!$B$1:$AQ$1,0),FALSE)</f>
        <v>0</v>
      </c>
      <c r="G249" s="121">
        <f>VLOOKUP($B249,'Tillförd energi'!$B$1:$AI$720,MATCH(G$1,'Tillförd energi'!$B$1:$AQ$1,0),FALSE)</f>
        <v>0</v>
      </c>
      <c r="H249" s="121">
        <f>VLOOKUP($B249,'Tillförd energi'!$B$1:$AI$720,MATCH(H$1,'Tillförd energi'!$B$1:$AQ$1,0),FALSE)</f>
        <v>0</v>
      </c>
      <c r="I249" s="121">
        <f>VLOOKUP($B249,'Tillförd energi'!$B$1:$AI$720,MATCH(I$1,'Tillförd energi'!$B$1:$AQ$1,0),FALSE)</f>
        <v>0</v>
      </c>
      <c r="J249" s="121">
        <f>VLOOKUP($B249,'Tillförd energi'!$B$1:$AI$720,MATCH(J$1,'Tillförd energi'!$B$1:$AQ$1,0),FALSE)</f>
        <v>0</v>
      </c>
      <c r="K249" s="121">
        <f>VLOOKUP($B249,'Tillförd energi'!$B$1:$AI$720,MATCH(K$1,'Tillförd energi'!$B$1:$AQ$1,0),FALSE)</f>
        <v>0</v>
      </c>
      <c r="L249" s="121">
        <f>VLOOKUP($B249,'Tillförd energi'!$B$1:$AI$720,MATCH(L$1,'Tillförd energi'!$B$1:$AQ$1,0),FALSE)</f>
        <v>0</v>
      </c>
      <c r="M249" s="121">
        <f>VLOOKUP($B249,'Tillförd energi'!$B$1:$AI$720,MATCH(M$1,'Tillförd energi'!$B$1:$AQ$1,0),FALSE)</f>
        <v>23.3186</v>
      </c>
      <c r="N249" s="121">
        <f>VLOOKUP($B249,'Tillförd energi'!$B$1:$AI$720,MATCH(N$1,'Tillförd energi'!$B$1:$AQ$1,0),FALSE)</f>
        <v>0</v>
      </c>
      <c r="O249" s="121">
        <f>VLOOKUP($B249,'Tillförd energi'!$B$1:$AI$720,MATCH(O$1,'Tillförd energi'!$B$1:$AQ$1,0),FALSE)</f>
        <v>43.305999999999997</v>
      </c>
      <c r="P249" s="121">
        <f>VLOOKUP($B249,'Tillförd energi'!$B$1:$AI$720,MATCH(P$1,'Tillförd energi'!$B$1:$AQ$1,0),FALSE)</f>
        <v>0</v>
      </c>
      <c r="Q249" s="121">
        <f>VLOOKUP($B249,'Tillförd energi'!$B$1:$AI$720,MATCH(Q$1,'Tillförd energi'!$B$1:$AQ$1,0),FALSE)</f>
        <v>0</v>
      </c>
      <c r="R249" s="121">
        <f>VLOOKUP($B249,'Tillförd energi'!$B$1:$AI$720,MATCH(R$1,'Tillförd energi'!$B$1:$AQ$1,0),FALSE)</f>
        <v>11.963800000000001</v>
      </c>
      <c r="S249" s="121">
        <f>VLOOKUP($B249,'Tillförd energi'!$B$1:$AI$720,MATCH(S$1,'Tillförd energi'!$B$1:$AQ$1,0),FALSE)</f>
        <v>0</v>
      </c>
      <c r="T249" s="121">
        <f>VLOOKUP($B249,'Tillförd energi'!$B$1:$AI$720,MATCH(T$1,'Tillförd energi'!$B$1:$AQ$1,0),FALSE)</f>
        <v>0</v>
      </c>
      <c r="U249" s="121">
        <f>VLOOKUP($B249,'Tillförd energi'!$B$1:$AI$720,MATCH(U$1,'Tillförd energi'!$B$1:$AQ$1,0),FALSE)</f>
        <v>0</v>
      </c>
      <c r="V249" s="121">
        <f>VLOOKUP($B249,'Tillförd energi'!$B$1:$AI$720,MATCH(V$1,'Tillförd energi'!$B$1:$AQ$1,0),FALSE)</f>
        <v>0</v>
      </c>
      <c r="W249" s="121">
        <f>VLOOKUP($B249,'Tillförd energi'!$B$1:$AI$720,MATCH(W$1,'Tillförd energi'!$B$1:$AQ$1,0),FALSE)</f>
        <v>0</v>
      </c>
      <c r="X249" s="121">
        <f>VLOOKUP($B249,'Tillförd energi'!$B$1:$AI$720,MATCH(X$1,'Tillförd energi'!$B$1:$AQ$1,0),FALSE)</f>
        <v>0</v>
      </c>
      <c r="Y249" s="121">
        <f>VLOOKUP($B249,'Tillförd energi'!$B$1:$AI$720,MATCH(Y$1,'Tillförd energi'!$B$1:$AQ$1,0),FALSE)</f>
        <v>0</v>
      </c>
      <c r="Z249" s="121">
        <f>VLOOKUP($B249,'Tillförd energi'!$B$1:$AI$720,MATCH(Z$1,'Tillförd energi'!$B$1:$AQ$1,0),FALSE)</f>
        <v>0.16236999999999999</v>
      </c>
      <c r="AA249" s="121">
        <f>VLOOKUP($B249,'Tillförd energi'!$B$1:$AI$720,MATCH(AA$1,'Tillförd energi'!$B$1:$AQ$1,0),FALSE)</f>
        <v>0</v>
      </c>
      <c r="AB249" s="121">
        <f>VLOOKUP($B249,'Tillförd energi'!$B$1:$AI$720,MATCH(AB$1,'Tillförd energi'!$B$1:$AQ$1,0),FALSE)</f>
        <v>0</v>
      </c>
      <c r="AC249" s="121">
        <f>VLOOKUP($B249,'Tillförd energi'!$B$1:$AI$720,MATCH(AC$1,'Tillförd energi'!$B$1:$AQ$1,0),FALSE)</f>
        <v>0</v>
      </c>
      <c r="AD249" s="121">
        <f>VLOOKUP($B249,'Tillförd energi'!$B$1:$AI$720,MATCH(AD$1,'Tillförd energi'!$B$1:$AQ$1,0),FALSE)</f>
        <v>0</v>
      </c>
      <c r="AE249" s="121">
        <f>VLOOKUP($B249,'Tillförd energi'!$B$1:$AI$720,MATCH(AE$1,'Tillförd energi'!$B$1:$AQ$1,0),FALSE)</f>
        <v>0</v>
      </c>
      <c r="AF249" s="121">
        <f>VLOOKUP($B249,'Tillförd energi'!$B$1:$AI$720,MATCH(AF$1,'Tillförd energi'!$B$1:$AQ$1,0),FALSE)</f>
        <v>2.9267599999999998</v>
      </c>
      <c r="AG249" s="121">
        <f>IFERROR(VLOOKUP(B249,Miljö!$B$1:$AC$550,MATCH("Köpt mängd produktionsspecifik fjärrvärme:",Miljö!$B$1:$AC$1,0),FALSE)/1,0)</f>
        <v>0</v>
      </c>
      <c r="AH249" s="121"/>
      <c r="AI249" s="121">
        <f t="shared" si="88"/>
        <v>83.275800000000004</v>
      </c>
      <c r="AJ249" s="121">
        <f t="shared" si="89"/>
        <v>83.275800000000004</v>
      </c>
      <c r="AK249" s="121">
        <f>IF(ISERROR(1/VLOOKUP($B249,Leveranser!$B$1:$S$499,MATCH("såld värme (gwh)",Leveranser!$B$1:$S$1,0),FALSE)),"",VLOOKUP($B249,Leveranser!$B$1:$S$499,MATCH("såld värme (gwh)",Leveranser!$B$1:$S$1,0),FALSE))</f>
        <v>87.786000000000001</v>
      </c>
      <c r="AL249" s="121">
        <f>VLOOKUP($B249,Leveranser!$B$1:$Y$499,MATCH("Totalt såld fjärrvärme till andra fjärrvärmeföretag",Leveranser!$B$1:$AA$1,0),FALSE)</f>
        <v>0</v>
      </c>
      <c r="AM249" s="121">
        <f>IF(ISERROR(1/VLOOKUP($B249,Miljö!$B$1:$S$500,MATCH("Såld mängd produktionsspecifik fjärrvärme (GWh)",Miljö!$B$1:$R$1,0),FALSE)),0,VLOOKUP($B249,Miljö!$B$1:$S$500,MATCH("Såld mängd produktionsspecifik fjärrvärme (GWh)",Miljö!$B$1:$R$1,0),FALSE))</f>
        <v>0</v>
      </c>
      <c r="AN249" s="172">
        <f t="shared" si="90"/>
        <v>1.0541597919203418</v>
      </c>
      <c r="AO249" s="121"/>
      <c r="AP249" s="121" t="str">
        <f>IFERROR(VLOOKUP($B249,Miljövärden!$B$2:$H$550,7,FALSE),"Nej, saknas")</f>
        <v>Ja</v>
      </c>
      <c r="AQ249" s="121" t="str">
        <f>IFERROR(VLOOKUP($B249,Miljövärden!$B$2:$H$550,6,FALSE),"Nej, saknas")</f>
        <v>Ja</v>
      </c>
      <c r="AU249">
        <f t="shared" si="91"/>
        <v>3.0891299999999999</v>
      </c>
      <c r="AV249">
        <f t="shared" si="92"/>
        <v>0</v>
      </c>
      <c r="AW249">
        <f t="shared" si="93"/>
        <v>66.624600000000001</v>
      </c>
      <c r="AX249">
        <f t="shared" si="94"/>
        <v>11.963800000000001</v>
      </c>
      <c r="AZ249">
        <f t="shared" si="95"/>
        <v>78.588400000000007</v>
      </c>
      <c r="BC249">
        <f t="shared" si="96"/>
        <v>1.5982700000000001</v>
      </c>
      <c r="BD249">
        <f t="shared" si="97"/>
        <v>0</v>
      </c>
      <c r="BE249">
        <f t="shared" si="98"/>
        <v>78.588400000000007</v>
      </c>
      <c r="BF249">
        <f t="shared" si="99"/>
        <v>0</v>
      </c>
      <c r="BG249">
        <f t="shared" si="100"/>
        <v>3.0891299999999999</v>
      </c>
      <c r="BH249">
        <f>VLOOKUP(B249,Miljö!$B$1:$BX$482,MATCH("Fossilandel för ursprungspecificerad el ()",Miljö!$B$1:$I$1,0),FALSE)</f>
        <v>0</v>
      </c>
      <c r="BI249">
        <f>VLOOKUP(B249,Miljö!$B$1:$BX$482,MATCH("Kärnkraftsandel för ursprungsspecificerad el ()",Miljö!$B$1:$O$1,0),FALSE)</f>
        <v>0</v>
      </c>
      <c r="BJ249">
        <f t="shared" si="101"/>
        <v>0</v>
      </c>
      <c r="BK249" t="str">
        <f>VLOOKUP(B249,Miljö!$B$1:$O$482,MATCH("Fossil andel i procent (%)",Miljö!$B$1:$O$1,0),FALSE)</f>
        <v>ET</v>
      </c>
      <c r="BL249">
        <f t="shared" si="102"/>
        <v>83.275800000000004</v>
      </c>
      <c r="BO249" s="18">
        <f t="shared" si="103"/>
        <v>1.9192490495438051E-2</v>
      </c>
      <c r="BP249" s="18">
        <f t="shared" si="104"/>
        <v>0</v>
      </c>
      <c r="BQ249" s="18">
        <f t="shared" si="105"/>
        <v>0.98080750950456197</v>
      </c>
      <c r="BR249" s="18">
        <f t="shared" si="106"/>
        <v>0</v>
      </c>
      <c r="BT249" s="27">
        <f t="shared" si="107"/>
        <v>1</v>
      </c>
      <c r="BW249" s="18">
        <f>IF(AP249="ja",VLOOKUP(B249,Miljövärden!$B$2:$H$550,MATCH("Total andel fossilt",Miljövärden!$B$2:$H$2,0),FALSE),"")</f>
        <v>1.9192500000000001E-2</v>
      </c>
      <c r="BZ249" s="28">
        <f t="shared" si="108"/>
        <v>9.5045619499800615E-9</v>
      </c>
      <c r="CA249" s="28">
        <f t="shared" si="109"/>
        <v>0</v>
      </c>
    </row>
    <row r="250" spans="1:79" x14ac:dyDescent="0.25">
      <c r="A250" s="224" t="s">
        <v>532</v>
      </c>
      <c r="B250" s="210" t="s">
        <v>545</v>
      </c>
      <c r="C250" s="121">
        <f>VLOOKUP($B250,'Tillförd energi'!$B$1:$AI$720,MATCH(C$1,'Tillförd energi'!$B$1:$AQ$1,0),FALSE)</f>
        <v>0</v>
      </c>
      <c r="D250" s="121">
        <f>VLOOKUP($B250,'Tillförd energi'!$B$1:$AI$720,MATCH(D$1,'Tillförd energi'!$B$1:$AQ$1,0),FALSE)</f>
        <v>0.31900000000000001</v>
      </c>
      <c r="E250" s="121">
        <f>VLOOKUP($B250,'Tillförd energi'!$B$1:$AI$720,MATCH(E$1,'Tillförd energi'!$B$1:$AQ$1,0),FALSE)</f>
        <v>0</v>
      </c>
      <c r="F250" s="121">
        <f>VLOOKUP($B250,'Tillförd energi'!$B$1:$AI$720,MATCH(F$1,'Tillförd energi'!$B$1:$AQ$1,0),FALSE)</f>
        <v>0</v>
      </c>
      <c r="G250" s="121">
        <f>VLOOKUP($B250,'Tillförd energi'!$B$1:$AI$720,MATCH(G$1,'Tillförd energi'!$B$1:$AQ$1,0),FALSE)</f>
        <v>0</v>
      </c>
      <c r="H250" s="121">
        <f>VLOOKUP($B250,'Tillförd energi'!$B$1:$AI$720,MATCH(H$1,'Tillförd energi'!$B$1:$AQ$1,0),FALSE)</f>
        <v>0</v>
      </c>
      <c r="I250" s="121">
        <f>VLOOKUP($B250,'Tillförd energi'!$B$1:$AI$720,MATCH(I$1,'Tillförd energi'!$B$1:$AQ$1,0),FALSE)</f>
        <v>0</v>
      </c>
      <c r="J250" s="121">
        <f>VLOOKUP($B250,'Tillförd energi'!$B$1:$AI$720,MATCH(J$1,'Tillförd energi'!$B$1:$AQ$1,0),FALSE)</f>
        <v>0</v>
      </c>
      <c r="K250" s="121">
        <f>VLOOKUP($B250,'Tillförd energi'!$B$1:$AI$720,MATCH(K$1,'Tillförd energi'!$B$1:$AQ$1,0),FALSE)</f>
        <v>0</v>
      </c>
      <c r="L250" s="121">
        <f>VLOOKUP($B250,'Tillförd energi'!$B$1:$AI$720,MATCH(L$1,'Tillförd energi'!$B$1:$AQ$1,0),FALSE)</f>
        <v>0</v>
      </c>
      <c r="M250" s="121">
        <f>VLOOKUP($B250,'Tillförd energi'!$B$1:$AI$720,MATCH(M$1,'Tillförd energi'!$B$1:$AQ$1,0),FALSE)</f>
        <v>0</v>
      </c>
      <c r="N250" s="121">
        <f>VLOOKUP($B250,'Tillförd energi'!$B$1:$AI$720,MATCH(N$1,'Tillförd energi'!$B$1:$AQ$1,0),FALSE)</f>
        <v>0</v>
      </c>
      <c r="O250" s="121">
        <f>VLOOKUP($B250,'Tillförd energi'!$B$1:$AI$720,MATCH(O$1,'Tillförd energi'!$B$1:$AQ$1,0),FALSE)</f>
        <v>0</v>
      </c>
      <c r="P250" s="121">
        <f>VLOOKUP($B250,'Tillförd energi'!$B$1:$AI$720,MATCH(P$1,'Tillförd energi'!$B$1:$AQ$1,0),FALSE)</f>
        <v>0</v>
      </c>
      <c r="Q250" s="121">
        <f>VLOOKUP($B250,'Tillförd energi'!$B$1:$AI$720,MATCH(Q$1,'Tillförd energi'!$B$1:$AQ$1,0),FALSE)</f>
        <v>0</v>
      </c>
      <c r="R250" s="121">
        <f>VLOOKUP($B250,'Tillförd energi'!$B$1:$AI$720,MATCH(R$1,'Tillförd energi'!$B$1:$AQ$1,0),FALSE)</f>
        <v>10.474</v>
      </c>
      <c r="S250" s="121">
        <f>VLOOKUP($B250,'Tillförd energi'!$B$1:$AI$720,MATCH(S$1,'Tillförd energi'!$B$1:$AQ$1,0),FALSE)</f>
        <v>0</v>
      </c>
      <c r="T250" s="121">
        <f>VLOOKUP($B250,'Tillförd energi'!$B$1:$AI$720,MATCH(T$1,'Tillförd energi'!$B$1:$AQ$1,0),FALSE)</f>
        <v>0</v>
      </c>
      <c r="U250" s="121">
        <f>VLOOKUP($B250,'Tillförd energi'!$B$1:$AI$720,MATCH(U$1,'Tillförd energi'!$B$1:$AQ$1,0),FALSE)</f>
        <v>0</v>
      </c>
      <c r="V250" s="121">
        <f>VLOOKUP($B250,'Tillförd energi'!$B$1:$AI$720,MATCH(V$1,'Tillförd energi'!$B$1:$AQ$1,0),FALSE)</f>
        <v>0</v>
      </c>
      <c r="W250" s="121">
        <f>VLOOKUP($B250,'Tillförd energi'!$B$1:$AI$720,MATCH(W$1,'Tillförd energi'!$B$1:$AQ$1,0),FALSE)</f>
        <v>0</v>
      </c>
      <c r="X250" s="121">
        <f>VLOOKUP($B250,'Tillförd energi'!$B$1:$AI$720,MATCH(X$1,'Tillförd energi'!$B$1:$AQ$1,0),FALSE)</f>
        <v>0</v>
      </c>
      <c r="Y250" s="121">
        <f>VLOOKUP($B250,'Tillförd energi'!$B$1:$AI$720,MATCH(Y$1,'Tillförd energi'!$B$1:$AQ$1,0),FALSE)</f>
        <v>0</v>
      </c>
      <c r="Z250" s="121">
        <f>VLOOKUP($B250,'Tillförd energi'!$B$1:$AI$720,MATCH(Z$1,'Tillförd energi'!$B$1:$AQ$1,0),FALSE)</f>
        <v>0.27100000000000002</v>
      </c>
      <c r="AA250" s="121">
        <f>VLOOKUP($B250,'Tillförd energi'!$B$1:$AI$720,MATCH(AA$1,'Tillförd energi'!$B$1:$AQ$1,0),FALSE)</f>
        <v>0</v>
      </c>
      <c r="AB250" s="121">
        <f>VLOOKUP($B250,'Tillförd energi'!$B$1:$AI$720,MATCH(AB$1,'Tillförd energi'!$B$1:$AQ$1,0),FALSE)</f>
        <v>0</v>
      </c>
      <c r="AC250" s="121">
        <f>VLOOKUP($B250,'Tillförd energi'!$B$1:$AI$720,MATCH(AC$1,'Tillförd energi'!$B$1:$AQ$1,0),FALSE)</f>
        <v>0</v>
      </c>
      <c r="AD250" s="121">
        <f>VLOOKUP($B250,'Tillförd energi'!$B$1:$AI$720,MATCH(AD$1,'Tillförd energi'!$B$1:$AQ$1,0),FALSE)</f>
        <v>5.5780000000000003</v>
      </c>
      <c r="AE250" s="121">
        <f>VLOOKUP($B250,'Tillförd energi'!$B$1:$AI$720,MATCH(AE$1,'Tillförd energi'!$B$1:$AQ$1,0),FALSE)</f>
        <v>0</v>
      </c>
      <c r="AF250" s="121">
        <f>VLOOKUP($B250,'Tillförd energi'!$B$1:$AI$720,MATCH(AF$1,'Tillförd energi'!$B$1:$AQ$1,0),FALSE)</f>
        <v>0.14699999999999999</v>
      </c>
      <c r="AG250" s="121">
        <f>IFERROR(VLOOKUP(B250,Miljö!$B$1:$AC$550,MATCH("Köpt mängd produktionsspecifik fjärrvärme:",Miljö!$B$1:$AC$1,0),FALSE)/1,0)</f>
        <v>0</v>
      </c>
      <c r="AH250" s="121"/>
      <c r="AI250" s="121">
        <f t="shared" si="88"/>
        <v>16.789000000000001</v>
      </c>
      <c r="AJ250" s="121">
        <f t="shared" si="89"/>
        <v>16.789000000000001</v>
      </c>
      <c r="AK250" s="121">
        <f>IF(ISERROR(1/VLOOKUP($B250,Leveranser!$B$1:$S$499,MATCH("såld värme (gwh)",Leveranser!$B$1:$S$1,0),FALSE)),"",VLOOKUP($B250,Leveranser!$B$1:$S$499,MATCH("såld värme (gwh)",Leveranser!$B$1:$S$1,0),FALSE))</f>
        <v>13.169</v>
      </c>
      <c r="AL250" s="121">
        <f>VLOOKUP($B250,Leveranser!$B$1:$Y$499,MATCH("Totalt såld fjärrvärme till andra fjärrvärmeföretag",Leveranser!$B$1:$AA$1,0),FALSE)</f>
        <v>0</v>
      </c>
      <c r="AM250" s="121">
        <f>IF(ISERROR(1/VLOOKUP($B250,Miljö!$B$1:$S$500,MATCH("Såld mängd produktionsspecifik fjärrvärme (GWh)",Miljö!$B$1:$R$1,0),FALSE)),0,VLOOKUP($B250,Miljö!$B$1:$S$500,MATCH("Såld mängd produktionsspecifik fjärrvärme (GWh)",Miljö!$B$1:$R$1,0),FALSE))</f>
        <v>0</v>
      </c>
      <c r="AN250" s="172">
        <f t="shared" si="90"/>
        <v>0.78438263148490084</v>
      </c>
      <c r="AO250" s="121"/>
      <c r="AP250" s="121" t="str">
        <f>IFERROR(VLOOKUP($B250,Miljövärden!$B$2:$H$550,7,FALSE),"Nej, saknas")</f>
        <v>Ja</v>
      </c>
      <c r="AQ250" s="121" t="str">
        <f>IFERROR(VLOOKUP($B250,Miljövärden!$B$2:$H$550,6,FALSE),"Nej, saknas")</f>
        <v>Ja</v>
      </c>
      <c r="AU250">
        <f t="shared" si="91"/>
        <v>0.41800000000000004</v>
      </c>
      <c r="AV250">
        <f t="shared" si="92"/>
        <v>0</v>
      </c>
      <c r="AW250">
        <f t="shared" si="93"/>
        <v>0</v>
      </c>
      <c r="AX250">
        <f t="shared" si="94"/>
        <v>10.474</v>
      </c>
      <c r="AZ250">
        <f t="shared" si="95"/>
        <v>10.474</v>
      </c>
      <c r="BC250">
        <f t="shared" si="96"/>
        <v>0.31900000000000001</v>
      </c>
      <c r="BD250">
        <f t="shared" si="97"/>
        <v>0</v>
      </c>
      <c r="BE250">
        <f t="shared" si="98"/>
        <v>10.474</v>
      </c>
      <c r="BF250">
        <f t="shared" si="99"/>
        <v>5.5780000000000003</v>
      </c>
      <c r="BG250">
        <f t="shared" si="100"/>
        <v>0.41800000000000004</v>
      </c>
      <c r="BH250">
        <f>VLOOKUP(B250,Miljö!$B$1:$BX$482,MATCH("Fossilandel för ursprungspecificerad el ()",Miljö!$B$1:$I$1,0),FALSE)</f>
        <v>0</v>
      </c>
      <c r="BI250">
        <f>VLOOKUP(B250,Miljö!$B$1:$BX$482,MATCH("Kärnkraftsandel för ursprungsspecificerad el ()",Miljö!$B$1:$O$1,0),FALSE)</f>
        <v>0</v>
      </c>
      <c r="BJ250">
        <f t="shared" si="101"/>
        <v>0</v>
      </c>
      <c r="BK250" t="str">
        <f>VLOOKUP(B250,Miljö!$B$1:$O$482,MATCH("Fossil andel i procent (%)",Miljö!$B$1:$O$1,0),FALSE)</f>
        <v>ET</v>
      </c>
      <c r="BL250">
        <f t="shared" si="102"/>
        <v>16.789000000000001</v>
      </c>
      <c r="BO250" s="18">
        <f t="shared" si="103"/>
        <v>1.9000536065280838E-2</v>
      </c>
      <c r="BP250" s="18">
        <f t="shared" si="104"/>
        <v>0</v>
      </c>
      <c r="BQ250" s="18">
        <f t="shared" si="105"/>
        <v>0.64875811543272377</v>
      </c>
      <c r="BR250" s="18">
        <f t="shared" si="106"/>
        <v>0.33224134850199533</v>
      </c>
      <c r="BT250" s="27">
        <f t="shared" si="107"/>
        <v>1</v>
      </c>
      <c r="BW250" s="18">
        <f>IF(AP250="ja",VLOOKUP(B250,Miljövärden!$B$2:$H$550,MATCH("Total andel fossilt",Miljövärden!$B$2:$H$2,0),FALSE),"")</f>
        <v>1.90005E-2</v>
      </c>
      <c r="BZ250" s="28">
        <f t="shared" si="108"/>
        <v>-3.6065280838160074E-8</v>
      </c>
      <c r="CA250" s="28">
        <f t="shared" si="109"/>
        <v>0</v>
      </c>
    </row>
    <row r="251" spans="1:79" x14ac:dyDescent="0.25">
      <c r="A251" s="224" t="s">
        <v>532</v>
      </c>
      <c r="B251" s="210" t="s">
        <v>546</v>
      </c>
      <c r="C251" s="121">
        <f>VLOOKUP($B251,'Tillförd energi'!$B$1:$AI$720,MATCH(C$1,'Tillförd energi'!$B$1:$AQ$1,0),FALSE)</f>
        <v>0</v>
      </c>
      <c r="D251" s="121">
        <f>VLOOKUP($B251,'Tillförd energi'!$B$1:$AI$720,MATCH(D$1,'Tillförd energi'!$B$1:$AQ$1,0),FALSE)</f>
        <v>9.1999999999999998E-2</v>
      </c>
      <c r="E251" s="121">
        <f>VLOOKUP($B251,'Tillförd energi'!$B$1:$AI$720,MATCH(E$1,'Tillförd energi'!$B$1:$AQ$1,0),FALSE)</f>
        <v>0</v>
      </c>
      <c r="F251" s="121">
        <f>VLOOKUP($B251,'Tillförd energi'!$B$1:$AI$720,MATCH(F$1,'Tillförd energi'!$B$1:$AQ$1,0),FALSE)</f>
        <v>0</v>
      </c>
      <c r="G251" s="121">
        <f>VLOOKUP($B251,'Tillförd energi'!$B$1:$AI$720,MATCH(G$1,'Tillförd energi'!$B$1:$AQ$1,0),FALSE)</f>
        <v>0</v>
      </c>
      <c r="H251" s="121">
        <f>VLOOKUP($B251,'Tillförd energi'!$B$1:$AI$720,MATCH(H$1,'Tillförd energi'!$B$1:$AQ$1,0),FALSE)</f>
        <v>0</v>
      </c>
      <c r="I251" s="121">
        <f>VLOOKUP($B251,'Tillförd energi'!$B$1:$AI$720,MATCH(I$1,'Tillförd energi'!$B$1:$AQ$1,0),FALSE)</f>
        <v>0</v>
      </c>
      <c r="J251" s="121">
        <f>VLOOKUP($B251,'Tillförd energi'!$B$1:$AI$720,MATCH(J$1,'Tillförd energi'!$B$1:$AQ$1,0),FALSE)</f>
        <v>0</v>
      </c>
      <c r="K251" s="121">
        <f>VLOOKUP($B251,'Tillförd energi'!$B$1:$AI$720,MATCH(K$1,'Tillförd energi'!$B$1:$AQ$1,0),FALSE)</f>
        <v>0</v>
      </c>
      <c r="L251" s="121">
        <f>VLOOKUP($B251,'Tillförd energi'!$B$1:$AI$720,MATCH(L$1,'Tillförd energi'!$B$1:$AQ$1,0),FALSE)</f>
        <v>0</v>
      </c>
      <c r="M251" s="121">
        <f>VLOOKUP($B251,'Tillförd energi'!$B$1:$AI$720,MATCH(M$1,'Tillförd energi'!$B$1:$AQ$1,0),FALSE)</f>
        <v>0</v>
      </c>
      <c r="N251" s="121">
        <f>VLOOKUP($B251,'Tillförd energi'!$B$1:$AI$720,MATCH(N$1,'Tillförd energi'!$B$1:$AQ$1,0),FALSE)</f>
        <v>0</v>
      </c>
      <c r="O251" s="121">
        <f>VLOOKUP($B251,'Tillförd energi'!$B$1:$AI$720,MATCH(O$1,'Tillförd energi'!$B$1:$AQ$1,0),FALSE)</f>
        <v>0</v>
      </c>
      <c r="P251" s="121">
        <f>VLOOKUP($B251,'Tillförd energi'!$B$1:$AI$720,MATCH(P$1,'Tillförd energi'!$B$1:$AQ$1,0),FALSE)</f>
        <v>0</v>
      </c>
      <c r="Q251" s="121">
        <f>VLOOKUP($B251,'Tillförd energi'!$B$1:$AI$720,MATCH(Q$1,'Tillförd energi'!$B$1:$AQ$1,0),FALSE)</f>
        <v>0</v>
      </c>
      <c r="R251" s="121">
        <f>VLOOKUP($B251,'Tillförd energi'!$B$1:$AI$720,MATCH(R$1,'Tillförd energi'!$B$1:$AQ$1,0),FALSE)</f>
        <v>12.67</v>
      </c>
      <c r="S251" s="121">
        <f>VLOOKUP($B251,'Tillförd energi'!$B$1:$AI$720,MATCH(S$1,'Tillförd energi'!$B$1:$AQ$1,0),FALSE)</f>
        <v>0</v>
      </c>
      <c r="T251" s="121">
        <f>VLOOKUP($B251,'Tillförd energi'!$B$1:$AI$720,MATCH(T$1,'Tillförd energi'!$B$1:$AQ$1,0),FALSE)</f>
        <v>0</v>
      </c>
      <c r="U251" s="121">
        <f>VLOOKUP($B251,'Tillförd energi'!$B$1:$AI$720,MATCH(U$1,'Tillförd energi'!$B$1:$AQ$1,0),FALSE)</f>
        <v>0</v>
      </c>
      <c r="V251" s="121">
        <f>VLOOKUP($B251,'Tillförd energi'!$B$1:$AI$720,MATCH(V$1,'Tillförd energi'!$B$1:$AQ$1,0),FALSE)</f>
        <v>0</v>
      </c>
      <c r="W251" s="121">
        <f>VLOOKUP($B251,'Tillförd energi'!$B$1:$AI$720,MATCH(W$1,'Tillförd energi'!$B$1:$AQ$1,0),FALSE)</f>
        <v>0</v>
      </c>
      <c r="X251" s="121">
        <f>VLOOKUP($B251,'Tillförd energi'!$B$1:$AI$720,MATCH(X$1,'Tillförd energi'!$B$1:$AQ$1,0),FALSE)</f>
        <v>0</v>
      </c>
      <c r="Y251" s="121">
        <f>VLOOKUP($B251,'Tillförd energi'!$B$1:$AI$720,MATCH(Y$1,'Tillförd energi'!$B$1:$AQ$1,0),FALSE)</f>
        <v>0</v>
      </c>
      <c r="Z251" s="121">
        <f>VLOOKUP($B251,'Tillförd energi'!$B$1:$AI$720,MATCH(Z$1,'Tillförd energi'!$B$1:$AQ$1,0),FALSE)</f>
        <v>0</v>
      </c>
      <c r="AA251" s="121">
        <f>VLOOKUP($B251,'Tillförd energi'!$B$1:$AI$720,MATCH(AA$1,'Tillförd energi'!$B$1:$AQ$1,0),FALSE)</f>
        <v>0</v>
      </c>
      <c r="AB251" s="121">
        <f>VLOOKUP($B251,'Tillförd energi'!$B$1:$AI$720,MATCH(AB$1,'Tillförd energi'!$B$1:$AQ$1,0),FALSE)</f>
        <v>0</v>
      </c>
      <c r="AC251" s="121">
        <f>VLOOKUP($B251,'Tillförd energi'!$B$1:$AI$720,MATCH(AC$1,'Tillförd energi'!$B$1:$AQ$1,0),FALSE)</f>
        <v>0</v>
      </c>
      <c r="AD251" s="121">
        <f>VLOOKUP($B251,'Tillförd energi'!$B$1:$AI$720,MATCH(AD$1,'Tillförd energi'!$B$1:$AQ$1,0),FALSE)</f>
        <v>0</v>
      </c>
      <c r="AE251" s="121">
        <f>VLOOKUP($B251,'Tillförd energi'!$B$1:$AI$720,MATCH(AE$1,'Tillförd energi'!$B$1:$AQ$1,0),FALSE)</f>
        <v>0</v>
      </c>
      <c r="AF251" s="121">
        <f>VLOOKUP($B251,'Tillförd energi'!$B$1:$AI$720,MATCH(AF$1,'Tillförd energi'!$B$1:$AQ$1,0),FALSE)</f>
        <v>0.114</v>
      </c>
      <c r="AG251" s="121">
        <f>IFERROR(VLOOKUP(B251,Miljö!$B$1:$AC$550,MATCH("Köpt mängd produktionsspecifik fjärrvärme:",Miljö!$B$1:$AC$1,0),FALSE)/1,0)</f>
        <v>0</v>
      </c>
      <c r="AH251" s="121"/>
      <c r="AI251" s="121">
        <f t="shared" si="88"/>
        <v>12.876000000000001</v>
      </c>
      <c r="AJ251" s="121">
        <f t="shared" si="89"/>
        <v>12.876000000000001</v>
      </c>
      <c r="AK251" s="121">
        <f>IF(ISERROR(1/VLOOKUP($B251,Leveranser!$B$1:$S$499,MATCH("såld värme (gwh)",Leveranser!$B$1:$S$1,0),FALSE)),"",VLOOKUP($B251,Leveranser!$B$1:$S$499,MATCH("såld värme (gwh)",Leveranser!$B$1:$S$1,0),FALSE))</f>
        <v>9.8339999999999996</v>
      </c>
      <c r="AL251" s="121">
        <f>VLOOKUP($B251,Leveranser!$B$1:$Y$499,MATCH("Totalt såld fjärrvärme till andra fjärrvärmeföretag",Leveranser!$B$1:$AA$1,0),FALSE)</f>
        <v>0</v>
      </c>
      <c r="AM251" s="121">
        <f>IF(ISERROR(1/VLOOKUP($B251,Miljö!$B$1:$S$500,MATCH("Såld mängd produktionsspecifik fjärrvärme (GWh)",Miljö!$B$1:$R$1,0),FALSE)),0,VLOOKUP($B251,Miljö!$B$1:$S$500,MATCH("Såld mängd produktionsspecifik fjärrvärme (GWh)",Miljö!$B$1:$R$1,0),FALSE))</f>
        <v>0</v>
      </c>
      <c r="AN251" s="172">
        <f t="shared" si="90"/>
        <v>0.76374650512581532</v>
      </c>
      <c r="AO251" s="121"/>
      <c r="AP251" s="121" t="str">
        <f>IFERROR(VLOOKUP($B251,Miljövärden!$B$2:$H$550,7,FALSE),"Nej, saknas")</f>
        <v>Ja</v>
      </c>
      <c r="AQ251" s="121" t="str">
        <f>IFERROR(VLOOKUP($B251,Miljövärden!$B$2:$H$550,6,FALSE),"Nej, saknas")</f>
        <v>Ja</v>
      </c>
      <c r="AU251">
        <f t="shared" si="91"/>
        <v>0.114</v>
      </c>
      <c r="AV251">
        <f t="shared" si="92"/>
        <v>0</v>
      </c>
      <c r="AW251">
        <f t="shared" si="93"/>
        <v>0</v>
      </c>
      <c r="AX251">
        <f t="shared" si="94"/>
        <v>12.67</v>
      </c>
      <c r="AZ251">
        <f t="shared" si="95"/>
        <v>12.67</v>
      </c>
      <c r="BC251">
        <f t="shared" si="96"/>
        <v>9.1999999999999998E-2</v>
      </c>
      <c r="BD251">
        <f t="shared" si="97"/>
        <v>0</v>
      </c>
      <c r="BE251">
        <f t="shared" si="98"/>
        <v>12.67</v>
      </c>
      <c r="BF251">
        <f t="shared" si="99"/>
        <v>0</v>
      </c>
      <c r="BG251">
        <f t="shared" si="100"/>
        <v>0.114</v>
      </c>
      <c r="BH251">
        <f>VLOOKUP(B251,Miljö!$B$1:$BX$482,MATCH("Fossilandel för ursprungspecificerad el ()",Miljö!$B$1:$I$1,0),FALSE)</f>
        <v>0</v>
      </c>
      <c r="BI251">
        <f>VLOOKUP(B251,Miljö!$B$1:$BX$482,MATCH("Kärnkraftsandel för ursprungsspecificerad el ()",Miljö!$B$1:$O$1,0),FALSE)</f>
        <v>0</v>
      </c>
      <c r="BJ251">
        <f t="shared" si="101"/>
        <v>0</v>
      </c>
      <c r="BK251" t="str">
        <f>VLOOKUP(B251,Miljö!$B$1:$O$482,MATCH("Fossil andel i procent (%)",Miljö!$B$1:$O$1,0),FALSE)</f>
        <v>ET</v>
      </c>
      <c r="BL251">
        <f t="shared" si="102"/>
        <v>12.876000000000001</v>
      </c>
      <c r="BO251" s="18">
        <f t="shared" si="103"/>
        <v>7.1450761105933515E-3</v>
      </c>
      <c r="BP251" s="18">
        <f t="shared" si="104"/>
        <v>0</v>
      </c>
      <c r="BQ251" s="18">
        <f t="shared" si="105"/>
        <v>0.99285492388940666</v>
      </c>
      <c r="BR251" s="18">
        <f t="shared" si="106"/>
        <v>0</v>
      </c>
      <c r="BT251" s="27">
        <f t="shared" si="107"/>
        <v>1</v>
      </c>
      <c r="BW251" s="18">
        <f>IF(AP251="ja",VLOOKUP(B251,Miljövärden!$B$2:$H$550,MATCH("Total andel fossilt",Miljövärden!$B$2:$H$2,0),FALSE),"")</f>
        <v>7.1450799999999998E-3</v>
      </c>
      <c r="BZ251" s="28">
        <f t="shared" si="108"/>
        <v>3.8894066483122214E-9</v>
      </c>
      <c r="CA251" s="28">
        <f t="shared" si="109"/>
        <v>0</v>
      </c>
    </row>
    <row r="252" spans="1:79" x14ac:dyDescent="0.25">
      <c r="A252" s="224" t="s">
        <v>532</v>
      </c>
      <c r="B252" s="210" t="s">
        <v>547</v>
      </c>
      <c r="C252" s="121">
        <f>VLOOKUP($B252,'Tillförd energi'!$B$1:$AI$720,MATCH(C$1,'Tillförd energi'!$B$1:$AQ$1,0),FALSE)</f>
        <v>0</v>
      </c>
      <c r="D252" s="121">
        <f>VLOOKUP($B252,'Tillförd energi'!$B$1:$AI$720,MATCH(D$1,'Tillförd energi'!$B$1:$AQ$1,0),FALSE)</f>
        <v>5.87317</v>
      </c>
      <c r="E252" s="121">
        <f>VLOOKUP($B252,'Tillförd energi'!$B$1:$AI$720,MATCH(E$1,'Tillförd energi'!$B$1:$AQ$1,0),FALSE)</f>
        <v>0</v>
      </c>
      <c r="F252" s="121">
        <f>VLOOKUP($B252,'Tillförd energi'!$B$1:$AI$720,MATCH(F$1,'Tillförd energi'!$B$1:$AQ$1,0),FALSE)</f>
        <v>0</v>
      </c>
      <c r="G252" s="121">
        <f>VLOOKUP($B252,'Tillförd energi'!$B$1:$AI$720,MATCH(G$1,'Tillförd energi'!$B$1:$AQ$1,0),FALSE)</f>
        <v>0</v>
      </c>
      <c r="H252" s="121">
        <f>VLOOKUP($B252,'Tillförd energi'!$B$1:$AI$720,MATCH(H$1,'Tillförd energi'!$B$1:$AQ$1,0),FALSE)</f>
        <v>0</v>
      </c>
      <c r="I252" s="121">
        <f>VLOOKUP($B252,'Tillförd energi'!$B$1:$AI$720,MATCH(I$1,'Tillförd energi'!$B$1:$AQ$1,0),FALSE)</f>
        <v>0</v>
      </c>
      <c r="J252" s="121">
        <f>VLOOKUP($B252,'Tillförd energi'!$B$1:$AI$720,MATCH(J$1,'Tillförd energi'!$B$1:$AQ$1,0),FALSE)</f>
        <v>0</v>
      </c>
      <c r="K252" s="121">
        <f>VLOOKUP($B252,'Tillförd energi'!$B$1:$AI$720,MATCH(K$1,'Tillförd energi'!$B$1:$AQ$1,0),FALSE)</f>
        <v>0</v>
      </c>
      <c r="L252" s="121">
        <f>VLOOKUP($B252,'Tillförd energi'!$B$1:$AI$720,MATCH(L$1,'Tillförd energi'!$B$1:$AQ$1,0),FALSE)</f>
        <v>0</v>
      </c>
      <c r="M252" s="121">
        <f>VLOOKUP($B252,'Tillförd energi'!$B$1:$AI$720,MATCH(M$1,'Tillförd energi'!$B$1:$AQ$1,0),FALSE)</f>
        <v>63.855600000000003</v>
      </c>
      <c r="N252" s="121">
        <f>VLOOKUP($B252,'Tillförd energi'!$B$1:$AI$720,MATCH(N$1,'Tillförd energi'!$B$1:$AQ$1,0),FALSE)</f>
        <v>42.200800000000001</v>
      </c>
      <c r="O252" s="121">
        <f>VLOOKUP($B252,'Tillförd energi'!$B$1:$AI$720,MATCH(O$1,'Tillförd energi'!$B$1:$AQ$1,0),FALSE)</f>
        <v>64.730099999999993</v>
      </c>
      <c r="P252" s="121">
        <f>VLOOKUP($B252,'Tillförd energi'!$B$1:$AI$720,MATCH(P$1,'Tillförd energi'!$B$1:$AQ$1,0),FALSE)</f>
        <v>13.551399999999999</v>
      </c>
      <c r="Q252" s="121">
        <f>VLOOKUP($B252,'Tillförd energi'!$B$1:$AI$720,MATCH(Q$1,'Tillförd energi'!$B$1:$AQ$1,0),FALSE)</f>
        <v>28.550999999999998</v>
      </c>
      <c r="R252" s="121">
        <f>VLOOKUP($B252,'Tillförd energi'!$B$1:$AI$720,MATCH(R$1,'Tillförd energi'!$B$1:$AQ$1,0),FALSE)</f>
        <v>0</v>
      </c>
      <c r="S252" s="121">
        <f>VLOOKUP($B252,'Tillförd energi'!$B$1:$AI$720,MATCH(S$1,'Tillförd energi'!$B$1:$AQ$1,0),FALSE)</f>
        <v>0.49684899999999999</v>
      </c>
      <c r="T252" s="121">
        <f>VLOOKUP($B252,'Tillförd energi'!$B$1:$AI$720,MATCH(T$1,'Tillförd energi'!$B$1:$AQ$1,0),FALSE)</f>
        <v>1.2393400000000001</v>
      </c>
      <c r="U252" s="121">
        <f>VLOOKUP($B252,'Tillförd energi'!$B$1:$AI$720,MATCH(U$1,'Tillförd energi'!$B$1:$AQ$1,0),FALSE)</f>
        <v>0</v>
      </c>
      <c r="V252" s="121">
        <f>VLOOKUP($B252,'Tillförd energi'!$B$1:$AI$720,MATCH(V$1,'Tillförd energi'!$B$1:$AQ$1,0),FALSE)</f>
        <v>0</v>
      </c>
      <c r="W252" s="121">
        <f>VLOOKUP($B252,'Tillförd energi'!$B$1:$AI$720,MATCH(W$1,'Tillförd energi'!$B$1:$AQ$1,0),FALSE)</f>
        <v>0</v>
      </c>
      <c r="X252" s="121">
        <f>VLOOKUP($B252,'Tillförd energi'!$B$1:$AI$720,MATCH(X$1,'Tillförd energi'!$B$1:$AQ$1,0),FALSE)</f>
        <v>0</v>
      </c>
      <c r="Y252" s="121">
        <f>VLOOKUP($B252,'Tillförd energi'!$B$1:$AI$720,MATCH(Y$1,'Tillförd energi'!$B$1:$AQ$1,0),FALSE)</f>
        <v>37.451300000000003</v>
      </c>
      <c r="Z252" s="121">
        <f>VLOOKUP($B252,'Tillförd energi'!$B$1:$AI$720,MATCH(Z$1,'Tillförd energi'!$B$1:$AQ$1,0),FALSE)</f>
        <v>0</v>
      </c>
      <c r="AA252" s="121">
        <f>VLOOKUP($B252,'Tillförd energi'!$B$1:$AI$720,MATCH(AA$1,'Tillförd energi'!$B$1:$AQ$1,0),FALSE)</f>
        <v>0</v>
      </c>
      <c r="AB252" s="121">
        <f>VLOOKUP($B252,'Tillförd energi'!$B$1:$AI$720,MATCH(AB$1,'Tillförd energi'!$B$1:$AQ$1,0),FALSE)</f>
        <v>0</v>
      </c>
      <c r="AC252" s="121">
        <f>VLOOKUP($B252,'Tillförd energi'!$B$1:$AI$720,MATCH(AC$1,'Tillförd energi'!$B$1:$AQ$1,0),FALSE)</f>
        <v>67.151499999999999</v>
      </c>
      <c r="AD252" s="121">
        <f>VLOOKUP($B252,'Tillförd energi'!$B$1:$AI$720,MATCH(AD$1,'Tillförd energi'!$B$1:$AQ$1,0),FALSE)</f>
        <v>0</v>
      </c>
      <c r="AE252" s="121">
        <f>VLOOKUP($B252,'Tillförd energi'!$B$1:$AI$720,MATCH(AE$1,'Tillförd energi'!$B$1:$AQ$1,0),FALSE)</f>
        <v>0</v>
      </c>
      <c r="AF252" s="121">
        <f>VLOOKUP($B252,'Tillförd energi'!$B$1:$AI$720,MATCH(AF$1,'Tillförd energi'!$B$1:$AQ$1,0),FALSE)</f>
        <v>13.6165</v>
      </c>
      <c r="AG252" s="121">
        <f>IFERROR(VLOOKUP(B252,Miljö!$B$1:$AC$550,MATCH("Köpt mängd produktionsspecifik fjärrvärme:",Miljö!$B$1:$AC$1,0),FALSE)/1,0)</f>
        <v>0</v>
      </c>
      <c r="AH252" s="121"/>
      <c r="AI252" s="121">
        <f t="shared" si="88"/>
        <v>338.71755899999999</v>
      </c>
      <c r="AJ252" s="121">
        <f t="shared" si="89"/>
        <v>338.71755899999999</v>
      </c>
      <c r="AK252" s="121">
        <f>IF(ISERROR(1/VLOOKUP($B252,Leveranser!$B$1:$S$499,MATCH("såld värme (gwh)",Leveranser!$B$1:$S$1,0),FALSE)),"",VLOOKUP($B252,Leveranser!$B$1:$S$499,MATCH("såld värme (gwh)",Leveranser!$B$1:$S$1,0),FALSE))</f>
        <v>323.15499999999997</v>
      </c>
      <c r="AL252" s="121">
        <f>VLOOKUP($B252,Leveranser!$B$1:$Y$499,MATCH("Totalt såld fjärrvärme till andra fjärrvärmeföretag",Leveranser!$B$1:$AA$1,0),FALSE)</f>
        <v>0</v>
      </c>
      <c r="AM252" s="121">
        <f>IF(ISERROR(1/VLOOKUP($B252,Miljö!$B$1:$S$500,MATCH("Såld mängd produktionsspecifik fjärrvärme (GWh)",Miljö!$B$1:$R$1,0),FALSE)),0,VLOOKUP($B252,Miljö!$B$1:$S$500,MATCH("Såld mängd produktionsspecifik fjärrvärme (GWh)",Miljö!$B$1:$R$1,0),FALSE))</f>
        <v>0</v>
      </c>
      <c r="AN252" s="172">
        <f t="shared" si="90"/>
        <v>0.95405446636440827</v>
      </c>
      <c r="AO252" s="121"/>
      <c r="AP252" s="121" t="str">
        <f>IFERROR(VLOOKUP($B252,Miljövärden!$B$2:$H$550,7,FALSE),"Nej, saknas")</f>
        <v>Ja</v>
      </c>
      <c r="AQ252" s="121" t="str">
        <f>IFERROR(VLOOKUP($B252,Miljövärden!$B$2:$H$550,6,FALSE),"Nej, saknas")</f>
        <v>Ja</v>
      </c>
      <c r="AU252">
        <f t="shared" si="91"/>
        <v>13.6165</v>
      </c>
      <c r="AV252">
        <f t="shared" si="92"/>
        <v>0</v>
      </c>
      <c r="AW252">
        <f t="shared" si="93"/>
        <v>212.88889999999998</v>
      </c>
      <c r="AX252">
        <f t="shared" si="94"/>
        <v>1.736189</v>
      </c>
      <c r="AZ252">
        <f t="shared" si="95"/>
        <v>214.62508899999997</v>
      </c>
      <c r="BC252">
        <f t="shared" si="96"/>
        <v>5.87317</v>
      </c>
      <c r="BD252">
        <f t="shared" si="97"/>
        <v>37.451300000000003</v>
      </c>
      <c r="BE252">
        <f t="shared" si="98"/>
        <v>214.62508899999997</v>
      </c>
      <c r="BF252">
        <f t="shared" si="99"/>
        <v>67.151499999999999</v>
      </c>
      <c r="BG252">
        <f t="shared" si="100"/>
        <v>13.6165</v>
      </c>
      <c r="BH252">
        <f>VLOOKUP(B252,Miljö!$B$1:$BX$482,MATCH("Fossilandel för ursprungspecificerad el ()",Miljö!$B$1:$I$1,0),FALSE)</f>
        <v>0</v>
      </c>
      <c r="BI252">
        <f>VLOOKUP(B252,Miljö!$B$1:$BX$482,MATCH("Kärnkraftsandel för ursprungsspecificerad el ()",Miljö!$B$1:$O$1,0),FALSE)</f>
        <v>0</v>
      </c>
      <c r="BJ252">
        <f t="shared" si="101"/>
        <v>0</v>
      </c>
      <c r="BK252" t="str">
        <f>VLOOKUP(B252,Miljö!$B$1:$O$482,MATCH("Fossil andel i procent (%)",Miljö!$B$1:$O$1,0),FALSE)</f>
        <v>ET</v>
      </c>
      <c r="BL252">
        <f t="shared" si="102"/>
        <v>338.71755899999994</v>
      </c>
      <c r="BO252" s="18">
        <f t="shared" si="103"/>
        <v>1.7339431759426448E-2</v>
      </c>
      <c r="BP252" s="18">
        <f t="shared" si="104"/>
        <v>0.11056793190931094</v>
      </c>
      <c r="BQ252" s="18">
        <f t="shared" si="105"/>
        <v>0.67384044002277432</v>
      </c>
      <c r="BR252" s="18">
        <f t="shared" si="106"/>
        <v>0.19825219630848842</v>
      </c>
      <c r="BT252" s="27">
        <f t="shared" si="107"/>
        <v>1.0000000000000002</v>
      </c>
      <c r="BW252" s="18">
        <f>IF(AP252="ja",VLOOKUP(B252,Miljövärden!$B$2:$H$550,MATCH("Total andel fossilt",Miljövärden!$B$2:$H$2,0),FALSE),"")</f>
        <v>1.7339400000000001E-2</v>
      </c>
      <c r="BZ252" s="28">
        <f t="shared" si="108"/>
        <v>-3.1759426446370531E-8</v>
      </c>
      <c r="CA252" s="28">
        <f t="shared" si="109"/>
        <v>0</v>
      </c>
    </row>
    <row r="253" spans="1:79" x14ac:dyDescent="0.25">
      <c r="A253" s="224" t="s">
        <v>532</v>
      </c>
      <c r="B253" s="210" t="s">
        <v>548</v>
      </c>
      <c r="C253" s="121">
        <f>VLOOKUP($B253,'Tillförd energi'!$B$1:$AI$720,MATCH(C$1,'Tillförd energi'!$B$1:$AQ$1,0),FALSE)</f>
        <v>0</v>
      </c>
      <c r="D253" s="121">
        <f>VLOOKUP($B253,'Tillförd energi'!$B$1:$AI$720,MATCH(D$1,'Tillförd energi'!$B$1:$AQ$1,0),FALSE)</f>
        <v>1.3169999999999999</v>
      </c>
      <c r="E253" s="121">
        <f>VLOOKUP($B253,'Tillförd energi'!$B$1:$AI$720,MATCH(E$1,'Tillförd energi'!$B$1:$AQ$1,0),FALSE)</f>
        <v>0</v>
      </c>
      <c r="F253" s="121">
        <f>VLOOKUP($B253,'Tillförd energi'!$B$1:$AI$720,MATCH(F$1,'Tillförd energi'!$B$1:$AQ$1,0),FALSE)</f>
        <v>0</v>
      </c>
      <c r="G253" s="121">
        <f>VLOOKUP($B253,'Tillförd energi'!$B$1:$AI$720,MATCH(G$1,'Tillförd energi'!$B$1:$AQ$1,0),FALSE)</f>
        <v>0</v>
      </c>
      <c r="H253" s="121">
        <f>VLOOKUP($B253,'Tillförd energi'!$B$1:$AI$720,MATCH(H$1,'Tillförd energi'!$B$1:$AQ$1,0),FALSE)</f>
        <v>0</v>
      </c>
      <c r="I253" s="121">
        <f>VLOOKUP($B253,'Tillförd energi'!$B$1:$AI$720,MATCH(I$1,'Tillförd energi'!$B$1:$AQ$1,0),FALSE)</f>
        <v>0</v>
      </c>
      <c r="J253" s="121">
        <f>VLOOKUP($B253,'Tillförd energi'!$B$1:$AI$720,MATCH(J$1,'Tillförd energi'!$B$1:$AQ$1,0),FALSE)</f>
        <v>0</v>
      </c>
      <c r="K253" s="121">
        <f>VLOOKUP($B253,'Tillförd energi'!$B$1:$AI$720,MATCH(K$1,'Tillförd energi'!$B$1:$AQ$1,0),FALSE)</f>
        <v>0</v>
      </c>
      <c r="L253" s="121">
        <f>VLOOKUP($B253,'Tillförd energi'!$B$1:$AI$720,MATCH(L$1,'Tillförd energi'!$B$1:$AQ$1,0),FALSE)</f>
        <v>0</v>
      </c>
      <c r="M253" s="121">
        <f>VLOOKUP($B253,'Tillförd energi'!$B$1:$AI$720,MATCH(M$1,'Tillförd energi'!$B$1:$AQ$1,0),FALSE)</f>
        <v>0</v>
      </c>
      <c r="N253" s="121">
        <f>VLOOKUP($B253,'Tillförd energi'!$B$1:$AI$720,MATCH(N$1,'Tillförd energi'!$B$1:$AQ$1,0),FALSE)</f>
        <v>0</v>
      </c>
      <c r="O253" s="121">
        <f>VLOOKUP($B253,'Tillförd energi'!$B$1:$AI$720,MATCH(O$1,'Tillförd energi'!$B$1:$AQ$1,0),FALSE)</f>
        <v>0</v>
      </c>
      <c r="P253" s="121">
        <f>VLOOKUP($B253,'Tillförd energi'!$B$1:$AI$720,MATCH(P$1,'Tillförd energi'!$B$1:$AQ$1,0),FALSE)</f>
        <v>0</v>
      </c>
      <c r="Q253" s="121">
        <f>VLOOKUP($B253,'Tillförd energi'!$B$1:$AI$720,MATCH(Q$1,'Tillförd energi'!$B$1:$AQ$1,0),FALSE)</f>
        <v>0</v>
      </c>
      <c r="R253" s="121">
        <f>VLOOKUP($B253,'Tillförd energi'!$B$1:$AI$720,MATCH(R$1,'Tillförd energi'!$B$1:$AQ$1,0),FALSE)</f>
        <v>43.628999999999998</v>
      </c>
      <c r="S253" s="121">
        <f>VLOOKUP($B253,'Tillförd energi'!$B$1:$AI$720,MATCH(S$1,'Tillförd energi'!$B$1:$AQ$1,0),FALSE)</f>
        <v>0</v>
      </c>
      <c r="T253" s="121">
        <f>VLOOKUP($B253,'Tillförd energi'!$B$1:$AI$720,MATCH(T$1,'Tillförd energi'!$B$1:$AQ$1,0),FALSE)</f>
        <v>0</v>
      </c>
      <c r="U253" s="121">
        <f>VLOOKUP($B253,'Tillförd energi'!$B$1:$AI$720,MATCH(U$1,'Tillförd energi'!$B$1:$AQ$1,0),FALSE)</f>
        <v>0</v>
      </c>
      <c r="V253" s="121">
        <f>VLOOKUP($B253,'Tillförd energi'!$B$1:$AI$720,MATCH(V$1,'Tillförd energi'!$B$1:$AQ$1,0),FALSE)</f>
        <v>0</v>
      </c>
      <c r="W253" s="121">
        <f>VLOOKUP($B253,'Tillförd energi'!$B$1:$AI$720,MATCH(W$1,'Tillförd energi'!$B$1:$AQ$1,0),FALSE)</f>
        <v>0</v>
      </c>
      <c r="X253" s="121">
        <f>VLOOKUP($B253,'Tillförd energi'!$B$1:$AI$720,MATCH(X$1,'Tillförd energi'!$B$1:$AQ$1,0),FALSE)</f>
        <v>0</v>
      </c>
      <c r="Y253" s="121">
        <f>VLOOKUP($B253,'Tillförd energi'!$B$1:$AI$720,MATCH(Y$1,'Tillförd energi'!$B$1:$AQ$1,0),FALSE)</f>
        <v>0</v>
      </c>
      <c r="Z253" s="121">
        <f>VLOOKUP($B253,'Tillförd energi'!$B$1:$AI$720,MATCH(Z$1,'Tillförd energi'!$B$1:$AQ$1,0),FALSE)</f>
        <v>0</v>
      </c>
      <c r="AA253" s="121">
        <f>VLOOKUP($B253,'Tillförd energi'!$B$1:$AI$720,MATCH(AA$1,'Tillförd energi'!$B$1:$AQ$1,0),FALSE)</f>
        <v>0</v>
      </c>
      <c r="AB253" s="121">
        <f>VLOOKUP($B253,'Tillförd energi'!$B$1:$AI$720,MATCH(AB$1,'Tillförd energi'!$B$1:$AQ$1,0),FALSE)</f>
        <v>0</v>
      </c>
      <c r="AC253" s="121">
        <f>VLOOKUP($B253,'Tillförd energi'!$B$1:$AI$720,MATCH(AC$1,'Tillförd energi'!$B$1:$AQ$1,0),FALSE)</f>
        <v>0</v>
      </c>
      <c r="AD253" s="121">
        <f>VLOOKUP($B253,'Tillförd energi'!$B$1:$AI$720,MATCH(AD$1,'Tillförd energi'!$B$1:$AQ$1,0),FALSE)</f>
        <v>0</v>
      </c>
      <c r="AE253" s="121">
        <f>VLOOKUP($B253,'Tillförd energi'!$B$1:$AI$720,MATCH(AE$1,'Tillförd energi'!$B$1:$AQ$1,0),FALSE)</f>
        <v>0</v>
      </c>
      <c r="AF253" s="121">
        <f>VLOOKUP($B253,'Tillförd energi'!$B$1:$AI$720,MATCH(AF$1,'Tillförd energi'!$B$1:$AQ$1,0),FALSE)</f>
        <v>0.69899999999999995</v>
      </c>
      <c r="AG253" s="121">
        <f>IFERROR(VLOOKUP(B253,Miljö!$B$1:$AC$550,MATCH("Köpt mängd produktionsspecifik fjärrvärme:",Miljö!$B$1:$AC$1,0),FALSE)/1,0)</f>
        <v>0</v>
      </c>
      <c r="AH253" s="121"/>
      <c r="AI253" s="121">
        <f t="shared" si="88"/>
        <v>45.644999999999996</v>
      </c>
      <c r="AJ253" s="121">
        <f t="shared" si="89"/>
        <v>45.644999999999996</v>
      </c>
      <c r="AK253" s="121">
        <f>IF(ISERROR(1/VLOOKUP($B253,Leveranser!$B$1:$S$499,MATCH("såld värme (gwh)",Leveranser!$B$1:$S$1,0),FALSE)),"",VLOOKUP($B253,Leveranser!$B$1:$S$499,MATCH("såld värme (gwh)",Leveranser!$B$1:$S$1,0),FALSE))</f>
        <v>30.885999999999999</v>
      </c>
      <c r="AL253" s="121">
        <f>VLOOKUP($B253,Leveranser!$B$1:$Y$499,MATCH("Totalt såld fjärrvärme till andra fjärrvärmeföretag",Leveranser!$B$1:$AA$1,0),FALSE)</f>
        <v>0</v>
      </c>
      <c r="AM253" s="121">
        <f>IF(ISERROR(1/VLOOKUP($B253,Miljö!$B$1:$S$500,MATCH("Såld mängd produktionsspecifik fjärrvärme (GWh)",Miljö!$B$1:$R$1,0),FALSE)),0,VLOOKUP($B253,Miljö!$B$1:$S$500,MATCH("Såld mängd produktionsspecifik fjärrvärme (GWh)",Miljö!$B$1:$R$1,0),FALSE))</f>
        <v>0</v>
      </c>
      <c r="AN253" s="172">
        <f t="shared" si="90"/>
        <v>0.67665680797458649</v>
      </c>
      <c r="AO253" s="121"/>
      <c r="AP253" s="121" t="str">
        <f>IFERROR(VLOOKUP($B253,Miljövärden!$B$2:$H$550,7,FALSE),"Nej, saknas")</f>
        <v>Ja</v>
      </c>
      <c r="AQ253" s="121" t="str">
        <f>IFERROR(VLOOKUP($B253,Miljövärden!$B$2:$H$550,6,FALSE),"Nej, saknas")</f>
        <v>Ja</v>
      </c>
      <c r="AU253">
        <f t="shared" si="91"/>
        <v>0.69899999999999995</v>
      </c>
      <c r="AV253">
        <f t="shared" si="92"/>
        <v>0</v>
      </c>
      <c r="AW253">
        <f t="shared" si="93"/>
        <v>0</v>
      </c>
      <c r="AX253">
        <f t="shared" si="94"/>
        <v>43.628999999999998</v>
      </c>
      <c r="AZ253">
        <f t="shared" si="95"/>
        <v>43.628999999999998</v>
      </c>
      <c r="BC253">
        <f t="shared" si="96"/>
        <v>1.3169999999999999</v>
      </c>
      <c r="BD253">
        <f t="shared" si="97"/>
        <v>0</v>
      </c>
      <c r="BE253">
        <f t="shared" si="98"/>
        <v>43.628999999999998</v>
      </c>
      <c r="BF253">
        <f t="shared" si="99"/>
        <v>0</v>
      </c>
      <c r="BG253">
        <f t="shared" si="100"/>
        <v>0.69899999999999995</v>
      </c>
      <c r="BH253">
        <f>VLOOKUP(B253,Miljö!$B$1:$BX$482,MATCH("Fossilandel för ursprungspecificerad el ()",Miljö!$B$1:$I$1,0),FALSE)</f>
        <v>0</v>
      </c>
      <c r="BI253">
        <f>VLOOKUP(B253,Miljö!$B$1:$BX$482,MATCH("Kärnkraftsandel för ursprungsspecificerad el ()",Miljö!$B$1:$O$1,0),FALSE)</f>
        <v>0</v>
      </c>
      <c r="BJ253">
        <f t="shared" si="101"/>
        <v>0</v>
      </c>
      <c r="BK253" t="str">
        <f>VLOOKUP(B253,Miljö!$B$1:$O$482,MATCH("Fossil andel i procent (%)",Miljö!$B$1:$O$1,0),FALSE)</f>
        <v>ET</v>
      </c>
      <c r="BL253">
        <f t="shared" si="102"/>
        <v>45.644999999999996</v>
      </c>
      <c r="BO253" s="18">
        <f t="shared" si="103"/>
        <v>2.8853105488005258E-2</v>
      </c>
      <c r="BP253" s="18">
        <f t="shared" si="104"/>
        <v>0</v>
      </c>
      <c r="BQ253" s="18">
        <f t="shared" si="105"/>
        <v>0.97114689451199476</v>
      </c>
      <c r="BR253" s="18">
        <f t="shared" si="106"/>
        <v>0</v>
      </c>
      <c r="BT253" s="27">
        <f t="shared" si="107"/>
        <v>1</v>
      </c>
      <c r="BW253" s="18">
        <f>IF(AP253="ja",VLOOKUP(B253,Miljövärden!$B$2:$H$550,MATCH("Total andel fossilt",Miljövärden!$B$2:$H$2,0),FALSE),"")</f>
        <v>2.88531E-2</v>
      </c>
      <c r="BZ253" s="28">
        <f t="shared" si="108"/>
        <v>-5.4880052585692951E-9</v>
      </c>
      <c r="CA253" s="28">
        <f t="shared" si="109"/>
        <v>0</v>
      </c>
    </row>
    <row r="254" spans="1:79" x14ac:dyDescent="0.25">
      <c r="A254" s="224" t="s">
        <v>532</v>
      </c>
      <c r="B254" s="210" t="s">
        <v>549</v>
      </c>
      <c r="C254" s="121">
        <f>VLOOKUP($B254,'Tillförd energi'!$B$1:$AI$720,MATCH(C$1,'Tillförd energi'!$B$1:$AQ$1,0),FALSE)</f>
        <v>0</v>
      </c>
      <c r="D254" s="121">
        <f>VLOOKUP($B254,'Tillförd energi'!$B$1:$AI$720,MATCH(D$1,'Tillförd energi'!$B$1:$AQ$1,0),FALSE)</f>
        <v>0</v>
      </c>
      <c r="E254" s="121">
        <f>VLOOKUP($B254,'Tillförd energi'!$B$1:$AI$720,MATCH(E$1,'Tillförd energi'!$B$1:$AQ$1,0),FALSE)</f>
        <v>0</v>
      </c>
      <c r="F254" s="121">
        <f>VLOOKUP($B254,'Tillförd energi'!$B$1:$AI$720,MATCH(F$1,'Tillförd energi'!$B$1:$AQ$1,0),FALSE)</f>
        <v>0</v>
      </c>
      <c r="G254" s="121">
        <f>VLOOKUP($B254,'Tillförd energi'!$B$1:$AI$720,MATCH(G$1,'Tillförd energi'!$B$1:$AQ$1,0),FALSE)</f>
        <v>0</v>
      </c>
      <c r="H254" s="121">
        <f>VLOOKUP($B254,'Tillförd energi'!$B$1:$AI$720,MATCH(H$1,'Tillförd energi'!$B$1:$AQ$1,0),FALSE)</f>
        <v>0</v>
      </c>
      <c r="I254" s="121">
        <f>VLOOKUP($B254,'Tillförd energi'!$B$1:$AI$720,MATCH(I$1,'Tillförd energi'!$B$1:$AQ$1,0),FALSE)</f>
        <v>0</v>
      </c>
      <c r="J254" s="121">
        <f>VLOOKUP($B254,'Tillförd energi'!$B$1:$AI$720,MATCH(J$1,'Tillförd energi'!$B$1:$AQ$1,0),FALSE)</f>
        <v>0</v>
      </c>
      <c r="K254" s="121">
        <f>VLOOKUP($B254,'Tillförd energi'!$B$1:$AI$720,MATCH(K$1,'Tillförd energi'!$B$1:$AQ$1,0),FALSE)</f>
        <v>0</v>
      </c>
      <c r="L254" s="121">
        <f>VLOOKUP($B254,'Tillförd energi'!$B$1:$AI$720,MATCH(L$1,'Tillförd energi'!$B$1:$AQ$1,0),FALSE)</f>
        <v>0</v>
      </c>
      <c r="M254" s="121">
        <f>VLOOKUP($B254,'Tillförd energi'!$B$1:$AI$720,MATCH(M$1,'Tillförd energi'!$B$1:$AQ$1,0),FALSE)</f>
        <v>0</v>
      </c>
      <c r="N254" s="121">
        <f>VLOOKUP($B254,'Tillförd energi'!$B$1:$AI$720,MATCH(N$1,'Tillförd energi'!$B$1:$AQ$1,0),FALSE)</f>
        <v>0</v>
      </c>
      <c r="O254" s="121">
        <f>VLOOKUP($B254,'Tillförd energi'!$B$1:$AI$720,MATCH(O$1,'Tillförd energi'!$B$1:$AQ$1,0),FALSE)</f>
        <v>0</v>
      </c>
      <c r="P254" s="121">
        <f>VLOOKUP($B254,'Tillförd energi'!$B$1:$AI$720,MATCH(P$1,'Tillförd energi'!$B$1:$AQ$1,0),FALSE)</f>
        <v>0</v>
      </c>
      <c r="Q254" s="121">
        <f>VLOOKUP($B254,'Tillförd energi'!$B$1:$AI$720,MATCH(Q$1,'Tillförd energi'!$B$1:$AQ$1,0),FALSE)</f>
        <v>0</v>
      </c>
      <c r="R254" s="121">
        <f>VLOOKUP($B254,'Tillförd energi'!$B$1:$AI$720,MATCH(R$1,'Tillförd energi'!$B$1:$AQ$1,0),FALSE)</f>
        <v>0</v>
      </c>
      <c r="S254" s="121">
        <f>VLOOKUP($B254,'Tillförd energi'!$B$1:$AI$720,MATCH(S$1,'Tillförd energi'!$B$1:$AQ$1,0),FALSE)</f>
        <v>0</v>
      </c>
      <c r="T254" s="121">
        <f>VLOOKUP($B254,'Tillförd energi'!$B$1:$AI$720,MATCH(T$1,'Tillförd energi'!$B$1:$AQ$1,0),FALSE)</f>
        <v>0</v>
      </c>
      <c r="U254" s="121">
        <f>VLOOKUP($B254,'Tillförd energi'!$B$1:$AI$720,MATCH(U$1,'Tillförd energi'!$B$1:$AQ$1,0),FALSE)</f>
        <v>0</v>
      </c>
      <c r="V254" s="121">
        <f>VLOOKUP($B254,'Tillförd energi'!$B$1:$AI$720,MATCH(V$1,'Tillförd energi'!$B$1:$AQ$1,0),FALSE)</f>
        <v>0</v>
      </c>
      <c r="W254" s="121">
        <f>VLOOKUP($B254,'Tillförd energi'!$B$1:$AI$720,MATCH(W$1,'Tillförd energi'!$B$1:$AQ$1,0),FALSE)</f>
        <v>0</v>
      </c>
      <c r="X254" s="121">
        <f>VLOOKUP($B254,'Tillförd energi'!$B$1:$AI$720,MATCH(X$1,'Tillförd energi'!$B$1:$AQ$1,0),FALSE)</f>
        <v>0</v>
      </c>
      <c r="Y254" s="121">
        <f>VLOOKUP($B254,'Tillförd energi'!$B$1:$AI$720,MATCH(Y$1,'Tillförd energi'!$B$1:$AQ$1,0),FALSE)</f>
        <v>0</v>
      </c>
      <c r="Z254" s="121">
        <f>VLOOKUP($B254,'Tillförd energi'!$B$1:$AI$720,MATCH(Z$1,'Tillförd energi'!$B$1:$AQ$1,0),FALSE)</f>
        <v>0</v>
      </c>
      <c r="AA254" s="121">
        <f>VLOOKUP($B254,'Tillförd energi'!$B$1:$AI$720,MATCH(AA$1,'Tillförd energi'!$B$1:$AQ$1,0),FALSE)</f>
        <v>0</v>
      </c>
      <c r="AB254" s="121">
        <f>VLOOKUP($B254,'Tillförd energi'!$B$1:$AI$720,MATCH(AB$1,'Tillförd energi'!$B$1:$AQ$1,0),FALSE)</f>
        <v>0</v>
      </c>
      <c r="AC254" s="121">
        <f>VLOOKUP($B254,'Tillförd energi'!$B$1:$AI$720,MATCH(AC$1,'Tillförd energi'!$B$1:$AQ$1,0),FALSE)</f>
        <v>0</v>
      </c>
      <c r="AD254" s="121">
        <f>VLOOKUP($B254,'Tillförd energi'!$B$1:$AI$720,MATCH(AD$1,'Tillförd energi'!$B$1:$AQ$1,0),FALSE)</f>
        <v>39.201700000000002</v>
      </c>
      <c r="AE254" s="121">
        <f>VLOOKUP($B254,'Tillförd energi'!$B$1:$AI$720,MATCH(AE$1,'Tillförd energi'!$B$1:$AQ$1,0),FALSE)</f>
        <v>0</v>
      </c>
      <c r="AF254" s="121">
        <f>VLOOKUP($B254,'Tillförd energi'!$B$1:$AI$720,MATCH(AF$1,'Tillförd energi'!$B$1:$AQ$1,0),FALSE)</f>
        <v>1.0999999999999999E-2</v>
      </c>
      <c r="AG254" s="121">
        <f>IFERROR(VLOOKUP(B254,Miljö!$B$1:$AC$550,MATCH("Köpt mängd produktionsspecifik fjärrvärme:",Miljö!$B$1:$AC$1,0),FALSE)/1,0)</f>
        <v>0</v>
      </c>
      <c r="AH254" s="121"/>
      <c r="AI254" s="121">
        <f t="shared" si="88"/>
        <v>39.212700000000005</v>
      </c>
      <c r="AJ254" s="121">
        <f t="shared" si="89"/>
        <v>39.212700000000005</v>
      </c>
      <c r="AK254" s="121">
        <f>IF(ISERROR(1/VLOOKUP($B254,Leveranser!$B$1:$S$499,MATCH("såld värme (gwh)",Leveranser!$B$1:$S$1,0),FALSE)),"",VLOOKUP($B254,Leveranser!$B$1:$S$499,MATCH("såld värme (gwh)",Leveranser!$B$1:$S$1,0),FALSE))</f>
        <v>30.95</v>
      </c>
      <c r="AL254" s="121">
        <f>VLOOKUP($B254,Leveranser!$B$1:$Y$499,MATCH("Totalt såld fjärrvärme till andra fjärrvärmeföretag",Leveranser!$B$1:$AA$1,0),FALSE)</f>
        <v>0</v>
      </c>
      <c r="AM254" s="121">
        <f>IF(ISERROR(1/VLOOKUP($B254,Miljö!$B$1:$S$500,MATCH("Såld mängd produktionsspecifik fjärrvärme (GWh)",Miljö!$B$1:$R$1,0),FALSE)),0,VLOOKUP($B254,Miljö!$B$1:$S$500,MATCH("Såld mängd produktionsspecifik fjärrvärme (GWh)",Miljö!$B$1:$R$1,0),FALSE))</f>
        <v>0</v>
      </c>
      <c r="AN254" s="172">
        <f t="shared" si="90"/>
        <v>0.78928510406067409</v>
      </c>
      <c r="AO254" s="121"/>
      <c r="AP254" s="121" t="str">
        <f>IFERROR(VLOOKUP($B254,Miljövärden!$B$2:$H$550,7,FALSE),"Nej, saknas")</f>
        <v>Ja</v>
      </c>
      <c r="AQ254" s="121" t="str">
        <f>IFERROR(VLOOKUP($B254,Miljövärden!$B$2:$H$550,6,FALSE),"Nej, saknas")</f>
        <v>Ja</v>
      </c>
      <c r="AU254">
        <f t="shared" si="91"/>
        <v>1.0999999999999999E-2</v>
      </c>
      <c r="AV254">
        <f t="shared" si="92"/>
        <v>0</v>
      </c>
      <c r="AW254">
        <f t="shared" si="93"/>
        <v>0</v>
      </c>
      <c r="AX254">
        <f t="shared" si="94"/>
        <v>0</v>
      </c>
      <c r="AZ254">
        <f t="shared" si="95"/>
        <v>0</v>
      </c>
      <c r="BC254">
        <f t="shared" si="96"/>
        <v>0</v>
      </c>
      <c r="BD254">
        <f t="shared" si="97"/>
        <v>0</v>
      </c>
      <c r="BE254">
        <f t="shared" si="98"/>
        <v>0</v>
      </c>
      <c r="BF254">
        <f t="shared" si="99"/>
        <v>39.201700000000002</v>
      </c>
      <c r="BG254">
        <f t="shared" si="100"/>
        <v>1.0999999999999999E-2</v>
      </c>
      <c r="BH254">
        <f>VLOOKUP(B254,Miljö!$B$1:$BX$482,MATCH("Fossilandel för ursprungspecificerad el ()",Miljö!$B$1:$I$1,0),FALSE)</f>
        <v>0</v>
      </c>
      <c r="BI254">
        <f>VLOOKUP(B254,Miljö!$B$1:$BX$482,MATCH("Kärnkraftsandel för ursprungsspecificerad el ()",Miljö!$B$1:$O$1,0),FALSE)</f>
        <v>0</v>
      </c>
      <c r="BJ254">
        <f t="shared" si="101"/>
        <v>0</v>
      </c>
      <c r="BK254" t="str">
        <f>VLOOKUP(B254,Miljö!$B$1:$O$482,MATCH("Fossil andel i procent (%)",Miljö!$B$1:$O$1,0),FALSE)</f>
        <v>ET</v>
      </c>
      <c r="BL254">
        <f t="shared" si="102"/>
        <v>39.212700000000005</v>
      </c>
      <c r="BO254" s="18">
        <f t="shared" si="103"/>
        <v>0</v>
      </c>
      <c r="BP254" s="18">
        <f t="shared" si="104"/>
        <v>0</v>
      </c>
      <c r="BQ254" s="18">
        <f t="shared" si="105"/>
        <v>2.8052136170169355E-4</v>
      </c>
      <c r="BR254" s="18">
        <f t="shared" si="106"/>
        <v>0.99971947863829824</v>
      </c>
      <c r="BT254" s="27">
        <f t="shared" si="107"/>
        <v>0.99999999999999989</v>
      </c>
      <c r="BW254" s="18">
        <f>IF(AP254="ja",VLOOKUP(B254,Miljövärden!$B$2:$H$550,MATCH("Total andel fossilt",Miljövärden!$B$2:$H$2,0),FALSE),"")</f>
        <v>0</v>
      </c>
      <c r="BZ254" s="28">
        <f t="shared" si="108"/>
        <v>0</v>
      </c>
      <c r="CA254" s="28">
        <f t="shared" si="109"/>
        <v>0</v>
      </c>
    </row>
    <row r="255" spans="1:79" x14ac:dyDescent="0.25">
      <c r="A255" s="224" t="s">
        <v>532</v>
      </c>
      <c r="B255" s="210" t="s">
        <v>550</v>
      </c>
      <c r="C255" s="121">
        <f>VLOOKUP($B255,'Tillförd energi'!$B$1:$AI$720,MATCH(C$1,'Tillförd energi'!$B$1:$AQ$1,0),FALSE)</f>
        <v>0</v>
      </c>
      <c r="D255" s="121">
        <f>VLOOKUP($B255,'Tillförd energi'!$B$1:$AI$720,MATCH(D$1,'Tillförd energi'!$B$1:$AQ$1,0),FALSE)</f>
        <v>0.75700000000000001</v>
      </c>
      <c r="E255" s="121">
        <f>VLOOKUP($B255,'Tillförd energi'!$B$1:$AI$720,MATCH(E$1,'Tillförd energi'!$B$1:$AQ$1,0),FALSE)</f>
        <v>0</v>
      </c>
      <c r="F255" s="121">
        <f>VLOOKUP($B255,'Tillförd energi'!$B$1:$AI$720,MATCH(F$1,'Tillförd energi'!$B$1:$AQ$1,0),FALSE)</f>
        <v>0</v>
      </c>
      <c r="G255" s="121">
        <f>VLOOKUP($B255,'Tillförd energi'!$B$1:$AI$720,MATCH(G$1,'Tillförd energi'!$B$1:$AQ$1,0),FALSE)</f>
        <v>0</v>
      </c>
      <c r="H255" s="121">
        <f>VLOOKUP($B255,'Tillförd energi'!$B$1:$AI$720,MATCH(H$1,'Tillförd energi'!$B$1:$AQ$1,0),FALSE)</f>
        <v>0</v>
      </c>
      <c r="I255" s="121">
        <f>VLOOKUP($B255,'Tillförd energi'!$B$1:$AI$720,MATCH(I$1,'Tillförd energi'!$B$1:$AQ$1,0),FALSE)</f>
        <v>0</v>
      </c>
      <c r="J255" s="121">
        <f>VLOOKUP($B255,'Tillförd energi'!$B$1:$AI$720,MATCH(J$1,'Tillförd energi'!$B$1:$AQ$1,0),FALSE)</f>
        <v>0</v>
      </c>
      <c r="K255" s="121">
        <f>VLOOKUP($B255,'Tillförd energi'!$B$1:$AI$720,MATCH(K$1,'Tillförd energi'!$B$1:$AQ$1,0),FALSE)</f>
        <v>0</v>
      </c>
      <c r="L255" s="121">
        <f>VLOOKUP($B255,'Tillförd energi'!$B$1:$AI$720,MATCH(L$1,'Tillförd energi'!$B$1:$AQ$1,0),FALSE)</f>
        <v>0</v>
      </c>
      <c r="M255" s="121">
        <f>VLOOKUP($B255,'Tillförd energi'!$B$1:$AI$720,MATCH(M$1,'Tillförd energi'!$B$1:$AQ$1,0),FALSE)</f>
        <v>0</v>
      </c>
      <c r="N255" s="121">
        <f>VLOOKUP($B255,'Tillförd energi'!$B$1:$AI$720,MATCH(N$1,'Tillförd energi'!$B$1:$AQ$1,0),FALSE)</f>
        <v>0</v>
      </c>
      <c r="O255" s="121">
        <f>VLOOKUP($B255,'Tillförd energi'!$B$1:$AI$720,MATCH(O$1,'Tillförd energi'!$B$1:$AQ$1,0),FALSE)</f>
        <v>0</v>
      </c>
      <c r="P255" s="121">
        <f>VLOOKUP($B255,'Tillförd energi'!$B$1:$AI$720,MATCH(P$1,'Tillförd energi'!$B$1:$AQ$1,0),FALSE)</f>
        <v>0</v>
      </c>
      <c r="Q255" s="121">
        <f>VLOOKUP($B255,'Tillförd energi'!$B$1:$AI$720,MATCH(Q$1,'Tillförd energi'!$B$1:$AQ$1,0),FALSE)</f>
        <v>0</v>
      </c>
      <c r="R255" s="121">
        <f>VLOOKUP($B255,'Tillförd energi'!$B$1:$AI$720,MATCH(R$1,'Tillförd energi'!$B$1:$AQ$1,0),FALSE)</f>
        <v>16.245000000000001</v>
      </c>
      <c r="S255" s="121">
        <f>VLOOKUP($B255,'Tillförd energi'!$B$1:$AI$720,MATCH(S$1,'Tillförd energi'!$B$1:$AQ$1,0),FALSE)</f>
        <v>0</v>
      </c>
      <c r="T255" s="121">
        <f>VLOOKUP($B255,'Tillförd energi'!$B$1:$AI$720,MATCH(T$1,'Tillförd energi'!$B$1:$AQ$1,0),FALSE)</f>
        <v>0</v>
      </c>
      <c r="U255" s="121">
        <f>VLOOKUP($B255,'Tillförd energi'!$B$1:$AI$720,MATCH(U$1,'Tillförd energi'!$B$1:$AQ$1,0),FALSE)</f>
        <v>0</v>
      </c>
      <c r="V255" s="121">
        <f>VLOOKUP($B255,'Tillförd energi'!$B$1:$AI$720,MATCH(V$1,'Tillförd energi'!$B$1:$AQ$1,0),FALSE)</f>
        <v>0</v>
      </c>
      <c r="W255" s="121">
        <f>VLOOKUP($B255,'Tillförd energi'!$B$1:$AI$720,MATCH(W$1,'Tillförd energi'!$B$1:$AQ$1,0),FALSE)</f>
        <v>0</v>
      </c>
      <c r="X255" s="121">
        <f>VLOOKUP($B255,'Tillförd energi'!$B$1:$AI$720,MATCH(X$1,'Tillförd energi'!$B$1:$AQ$1,0),FALSE)</f>
        <v>0</v>
      </c>
      <c r="Y255" s="121">
        <f>VLOOKUP($B255,'Tillförd energi'!$B$1:$AI$720,MATCH(Y$1,'Tillförd energi'!$B$1:$AQ$1,0),FALSE)</f>
        <v>0</v>
      </c>
      <c r="Z255" s="121">
        <f>VLOOKUP($B255,'Tillförd energi'!$B$1:$AI$720,MATCH(Z$1,'Tillförd energi'!$B$1:$AQ$1,0),FALSE)</f>
        <v>0</v>
      </c>
      <c r="AA255" s="121">
        <f>VLOOKUP($B255,'Tillförd energi'!$B$1:$AI$720,MATCH(AA$1,'Tillförd energi'!$B$1:$AQ$1,0),FALSE)</f>
        <v>0</v>
      </c>
      <c r="AB255" s="121">
        <f>VLOOKUP($B255,'Tillförd energi'!$B$1:$AI$720,MATCH(AB$1,'Tillförd energi'!$B$1:$AQ$1,0),FALSE)</f>
        <v>0</v>
      </c>
      <c r="AC255" s="121">
        <f>VLOOKUP($B255,'Tillförd energi'!$B$1:$AI$720,MATCH(AC$1,'Tillförd energi'!$B$1:$AQ$1,0),FALSE)</f>
        <v>0</v>
      </c>
      <c r="AD255" s="121">
        <f>VLOOKUP($B255,'Tillförd energi'!$B$1:$AI$720,MATCH(AD$1,'Tillförd energi'!$B$1:$AQ$1,0),FALSE)</f>
        <v>0</v>
      </c>
      <c r="AE255" s="121">
        <f>VLOOKUP($B255,'Tillförd energi'!$B$1:$AI$720,MATCH(AE$1,'Tillförd energi'!$B$1:$AQ$1,0),FALSE)</f>
        <v>0</v>
      </c>
      <c r="AF255" s="121">
        <f>VLOOKUP($B255,'Tillförd energi'!$B$1:$AI$720,MATCH(AF$1,'Tillförd energi'!$B$1:$AQ$1,0),FALSE)</f>
        <v>0.161</v>
      </c>
      <c r="AG255" s="121">
        <f>IFERROR(VLOOKUP(B255,Miljö!$B$1:$AC$550,MATCH("Köpt mängd produktionsspecifik fjärrvärme:",Miljö!$B$1:$AC$1,0),FALSE)/1,0)</f>
        <v>0</v>
      </c>
      <c r="AH255" s="121"/>
      <c r="AI255" s="121">
        <f t="shared" si="88"/>
        <v>17.163000000000004</v>
      </c>
      <c r="AJ255" s="121">
        <f t="shared" si="89"/>
        <v>17.163000000000004</v>
      </c>
      <c r="AK255" s="121">
        <f>IF(ISERROR(1/VLOOKUP($B255,Leveranser!$B$1:$S$499,MATCH("såld värme (gwh)",Leveranser!$B$1:$S$1,0),FALSE)),"",VLOOKUP($B255,Leveranser!$B$1:$S$499,MATCH("såld värme (gwh)",Leveranser!$B$1:$S$1,0),FALSE))</f>
        <v>13.664</v>
      </c>
      <c r="AL255" s="121">
        <f>VLOOKUP($B255,Leveranser!$B$1:$Y$499,MATCH("Totalt såld fjärrvärme till andra fjärrvärmeföretag",Leveranser!$B$1:$AA$1,0),FALSE)</f>
        <v>0</v>
      </c>
      <c r="AM255" s="121">
        <f>IF(ISERROR(1/VLOOKUP($B255,Miljö!$B$1:$S$500,MATCH("Såld mängd produktionsspecifik fjärrvärme (GWh)",Miljö!$B$1:$R$1,0),FALSE)),0,VLOOKUP($B255,Miljö!$B$1:$S$500,MATCH("Såld mängd produktionsspecifik fjärrvärme (GWh)",Miljö!$B$1:$R$1,0),FALSE))</f>
        <v>0</v>
      </c>
      <c r="AN255" s="172">
        <f t="shared" si="90"/>
        <v>0.79613121249198837</v>
      </c>
      <c r="AO255" s="121"/>
      <c r="AP255" s="121" t="str">
        <f>IFERROR(VLOOKUP($B255,Miljövärden!$B$2:$H$550,7,FALSE),"Nej, saknas")</f>
        <v>Ja</v>
      </c>
      <c r="AQ255" s="121" t="str">
        <f>IFERROR(VLOOKUP($B255,Miljövärden!$B$2:$H$550,6,FALSE),"Nej, saknas")</f>
        <v>Ja</v>
      </c>
      <c r="AU255">
        <f t="shared" si="91"/>
        <v>0.161</v>
      </c>
      <c r="AV255">
        <f t="shared" si="92"/>
        <v>0</v>
      </c>
      <c r="AW255">
        <f t="shared" si="93"/>
        <v>0</v>
      </c>
      <c r="AX255">
        <f t="shared" si="94"/>
        <v>16.245000000000001</v>
      </c>
      <c r="AZ255">
        <f t="shared" si="95"/>
        <v>16.245000000000001</v>
      </c>
      <c r="BC255">
        <f t="shared" si="96"/>
        <v>0.75700000000000001</v>
      </c>
      <c r="BD255">
        <f t="shared" si="97"/>
        <v>0</v>
      </c>
      <c r="BE255">
        <f t="shared" si="98"/>
        <v>16.245000000000001</v>
      </c>
      <c r="BF255">
        <f t="shared" si="99"/>
        <v>0</v>
      </c>
      <c r="BG255">
        <f t="shared" si="100"/>
        <v>0.161</v>
      </c>
      <c r="BH255">
        <f>VLOOKUP(B255,Miljö!$B$1:$BX$482,MATCH("Fossilandel för ursprungspecificerad el ()",Miljö!$B$1:$I$1,0),FALSE)</f>
        <v>0</v>
      </c>
      <c r="BI255">
        <f>VLOOKUP(B255,Miljö!$B$1:$BX$482,MATCH("Kärnkraftsandel för ursprungsspecificerad el ()",Miljö!$B$1:$O$1,0),FALSE)</f>
        <v>0</v>
      </c>
      <c r="BJ255">
        <f t="shared" si="101"/>
        <v>0</v>
      </c>
      <c r="BK255" t="str">
        <f>VLOOKUP(B255,Miljö!$B$1:$O$482,MATCH("Fossil andel i procent (%)",Miljö!$B$1:$O$1,0),FALSE)</f>
        <v>ET</v>
      </c>
      <c r="BL255">
        <f t="shared" si="102"/>
        <v>17.163000000000004</v>
      </c>
      <c r="BO255" s="18">
        <f t="shared" si="103"/>
        <v>4.4106508186214519E-2</v>
      </c>
      <c r="BP255" s="18">
        <f t="shared" si="104"/>
        <v>0</v>
      </c>
      <c r="BQ255" s="18">
        <f t="shared" si="105"/>
        <v>0.95589349181378536</v>
      </c>
      <c r="BR255" s="18">
        <f t="shared" si="106"/>
        <v>0</v>
      </c>
      <c r="BT255" s="27">
        <f t="shared" si="107"/>
        <v>0.99999999999999989</v>
      </c>
      <c r="BW255" s="18">
        <f>IF(AP255="ja",VLOOKUP(B255,Miljövärden!$B$2:$H$550,MATCH("Total andel fossilt",Miljövärden!$B$2:$H$2,0),FALSE),"")</f>
        <v>4.41065E-2</v>
      </c>
      <c r="BZ255" s="28">
        <f t="shared" si="108"/>
        <v>-8.1862145187572288E-9</v>
      </c>
      <c r="CA255" s="28">
        <f t="shared" si="109"/>
        <v>0</v>
      </c>
    </row>
    <row r="256" spans="1:79" x14ac:dyDescent="0.25">
      <c r="A256" s="224" t="s">
        <v>532</v>
      </c>
      <c r="B256" s="210" t="s">
        <v>551</v>
      </c>
      <c r="C256" s="121">
        <f>VLOOKUP($B256,'Tillförd energi'!$B$1:$AI$720,MATCH(C$1,'Tillförd energi'!$B$1:$AQ$1,0),FALSE)</f>
        <v>0</v>
      </c>
      <c r="D256" s="121">
        <f>VLOOKUP($B256,'Tillförd energi'!$B$1:$AI$720,MATCH(D$1,'Tillförd energi'!$B$1:$AQ$1,0),FALSE)</f>
        <v>2.5999999999999999E-2</v>
      </c>
      <c r="E256" s="121">
        <f>VLOOKUP($B256,'Tillförd energi'!$B$1:$AI$720,MATCH(E$1,'Tillförd energi'!$B$1:$AQ$1,0),FALSE)</f>
        <v>0</v>
      </c>
      <c r="F256" s="121">
        <f>VLOOKUP($B256,'Tillförd energi'!$B$1:$AI$720,MATCH(F$1,'Tillförd energi'!$B$1:$AQ$1,0),FALSE)</f>
        <v>0</v>
      </c>
      <c r="G256" s="121">
        <f>VLOOKUP($B256,'Tillförd energi'!$B$1:$AI$720,MATCH(G$1,'Tillförd energi'!$B$1:$AQ$1,0),FALSE)</f>
        <v>0</v>
      </c>
      <c r="H256" s="121">
        <f>VLOOKUP($B256,'Tillförd energi'!$B$1:$AI$720,MATCH(H$1,'Tillförd energi'!$B$1:$AQ$1,0),FALSE)</f>
        <v>0</v>
      </c>
      <c r="I256" s="121">
        <f>VLOOKUP($B256,'Tillförd energi'!$B$1:$AI$720,MATCH(I$1,'Tillförd energi'!$B$1:$AQ$1,0),FALSE)</f>
        <v>0</v>
      </c>
      <c r="J256" s="121">
        <f>VLOOKUP($B256,'Tillförd energi'!$B$1:$AI$720,MATCH(J$1,'Tillförd energi'!$B$1:$AQ$1,0),FALSE)</f>
        <v>0</v>
      </c>
      <c r="K256" s="121">
        <f>VLOOKUP($B256,'Tillförd energi'!$B$1:$AI$720,MATCH(K$1,'Tillförd energi'!$B$1:$AQ$1,0),FALSE)</f>
        <v>0</v>
      </c>
      <c r="L256" s="121">
        <f>VLOOKUP($B256,'Tillförd energi'!$B$1:$AI$720,MATCH(L$1,'Tillförd energi'!$B$1:$AQ$1,0),FALSE)</f>
        <v>0</v>
      </c>
      <c r="M256" s="121">
        <f>VLOOKUP($B256,'Tillförd energi'!$B$1:$AI$720,MATCH(M$1,'Tillförd energi'!$B$1:$AQ$1,0),FALSE)</f>
        <v>0</v>
      </c>
      <c r="N256" s="121">
        <f>VLOOKUP($B256,'Tillförd energi'!$B$1:$AI$720,MATCH(N$1,'Tillförd energi'!$B$1:$AQ$1,0),FALSE)</f>
        <v>0</v>
      </c>
      <c r="O256" s="121">
        <f>VLOOKUP($B256,'Tillförd energi'!$B$1:$AI$720,MATCH(O$1,'Tillförd energi'!$B$1:$AQ$1,0),FALSE)</f>
        <v>0</v>
      </c>
      <c r="P256" s="121">
        <f>VLOOKUP($B256,'Tillförd energi'!$B$1:$AI$720,MATCH(P$1,'Tillförd energi'!$B$1:$AQ$1,0),FALSE)</f>
        <v>0</v>
      </c>
      <c r="Q256" s="121">
        <f>VLOOKUP($B256,'Tillförd energi'!$B$1:$AI$720,MATCH(Q$1,'Tillförd energi'!$B$1:$AQ$1,0),FALSE)</f>
        <v>0</v>
      </c>
      <c r="R256" s="121">
        <f>VLOOKUP($B256,'Tillförd energi'!$B$1:$AI$720,MATCH(R$1,'Tillförd energi'!$B$1:$AQ$1,0),FALSE)</f>
        <v>3.6989999999999998</v>
      </c>
      <c r="S256" s="121">
        <f>VLOOKUP($B256,'Tillförd energi'!$B$1:$AI$720,MATCH(S$1,'Tillförd energi'!$B$1:$AQ$1,0),FALSE)</f>
        <v>0</v>
      </c>
      <c r="T256" s="121">
        <f>VLOOKUP($B256,'Tillförd energi'!$B$1:$AI$720,MATCH(T$1,'Tillförd energi'!$B$1:$AQ$1,0),FALSE)</f>
        <v>0</v>
      </c>
      <c r="U256" s="121">
        <f>VLOOKUP($B256,'Tillförd energi'!$B$1:$AI$720,MATCH(U$1,'Tillförd energi'!$B$1:$AQ$1,0),FALSE)</f>
        <v>0</v>
      </c>
      <c r="V256" s="121">
        <f>VLOOKUP($B256,'Tillförd energi'!$B$1:$AI$720,MATCH(V$1,'Tillförd energi'!$B$1:$AQ$1,0),FALSE)</f>
        <v>0</v>
      </c>
      <c r="W256" s="121">
        <f>VLOOKUP($B256,'Tillförd energi'!$B$1:$AI$720,MATCH(W$1,'Tillförd energi'!$B$1:$AQ$1,0),FALSE)</f>
        <v>0</v>
      </c>
      <c r="X256" s="121">
        <f>VLOOKUP($B256,'Tillförd energi'!$B$1:$AI$720,MATCH(X$1,'Tillförd energi'!$B$1:$AQ$1,0),FALSE)</f>
        <v>0</v>
      </c>
      <c r="Y256" s="121">
        <f>VLOOKUP($B256,'Tillförd energi'!$B$1:$AI$720,MATCH(Y$1,'Tillförd energi'!$B$1:$AQ$1,0),FALSE)</f>
        <v>0</v>
      </c>
      <c r="Z256" s="121">
        <f>VLOOKUP($B256,'Tillförd energi'!$B$1:$AI$720,MATCH(Z$1,'Tillförd energi'!$B$1:$AQ$1,0),FALSE)</f>
        <v>0</v>
      </c>
      <c r="AA256" s="121">
        <f>VLOOKUP($B256,'Tillförd energi'!$B$1:$AI$720,MATCH(AA$1,'Tillförd energi'!$B$1:$AQ$1,0),FALSE)</f>
        <v>0</v>
      </c>
      <c r="AB256" s="121">
        <f>VLOOKUP($B256,'Tillförd energi'!$B$1:$AI$720,MATCH(AB$1,'Tillförd energi'!$B$1:$AQ$1,0),FALSE)</f>
        <v>0</v>
      </c>
      <c r="AC256" s="121">
        <f>VLOOKUP($B256,'Tillförd energi'!$B$1:$AI$720,MATCH(AC$1,'Tillförd energi'!$B$1:$AQ$1,0),FALSE)</f>
        <v>0</v>
      </c>
      <c r="AD256" s="121">
        <f>VLOOKUP($B256,'Tillförd energi'!$B$1:$AI$720,MATCH(AD$1,'Tillförd energi'!$B$1:$AQ$1,0),FALSE)</f>
        <v>0</v>
      </c>
      <c r="AE256" s="121">
        <f>VLOOKUP($B256,'Tillförd energi'!$B$1:$AI$720,MATCH(AE$1,'Tillförd energi'!$B$1:$AQ$1,0),FALSE)</f>
        <v>0</v>
      </c>
      <c r="AF256" s="121">
        <f>VLOOKUP($B256,'Tillförd energi'!$B$1:$AI$720,MATCH(AF$1,'Tillförd energi'!$B$1:$AQ$1,0),FALSE)</f>
        <v>5.5E-2</v>
      </c>
      <c r="AG256" s="121">
        <f>IFERROR(VLOOKUP(B256,Miljö!$B$1:$AC$550,MATCH("Köpt mängd produktionsspecifik fjärrvärme:",Miljö!$B$1:$AC$1,0),FALSE)/1,0)</f>
        <v>0</v>
      </c>
      <c r="AH256" s="121"/>
      <c r="AI256" s="121">
        <f t="shared" si="88"/>
        <v>3.78</v>
      </c>
      <c r="AJ256" s="121">
        <f t="shared" si="89"/>
        <v>3.78</v>
      </c>
      <c r="AK256" s="121">
        <f>IF(ISERROR(1/VLOOKUP($B256,Leveranser!$B$1:$S$499,MATCH("såld värme (gwh)",Leveranser!$B$1:$S$1,0),FALSE)),"",VLOOKUP($B256,Leveranser!$B$1:$S$499,MATCH("såld värme (gwh)",Leveranser!$B$1:$S$1,0),FALSE))</f>
        <v>2.7559999999999998</v>
      </c>
      <c r="AL256" s="121">
        <f>VLOOKUP($B256,Leveranser!$B$1:$Y$499,MATCH("Totalt såld fjärrvärme till andra fjärrvärmeföretag",Leveranser!$B$1:$AA$1,0),FALSE)</f>
        <v>0</v>
      </c>
      <c r="AM256" s="121">
        <f>IF(ISERROR(1/VLOOKUP($B256,Miljö!$B$1:$S$500,MATCH("Såld mängd produktionsspecifik fjärrvärme (GWh)",Miljö!$B$1:$R$1,0),FALSE)),0,VLOOKUP($B256,Miljö!$B$1:$S$500,MATCH("Såld mängd produktionsspecifik fjärrvärme (GWh)",Miljö!$B$1:$R$1,0),FALSE))</f>
        <v>0</v>
      </c>
      <c r="AN256" s="172">
        <f t="shared" si="90"/>
        <v>0.72910052910052903</v>
      </c>
      <c r="AO256" s="121"/>
      <c r="AP256" s="121" t="str">
        <f>IFERROR(VLOOKUP($B256,Miljövärden!$B$2:$H$550,7,FALSE),"Nej, saknas")</f>
        <v>Ja</v>
      </c>
      <c r="AQ256" s="121" t="str">
        <f>IFERROR(VLOOKUP($B256,Miljövärden!$B$2:$H$550,6,FALSE),"Nej, saknas")</f>
        <v>Ja</v>
      </c>
      <c r="AU256">
        <f t="shared" si="91"/>
        <v>5.5E-2</v>
      </c>
      <c r="AV256">
        <f t="shared" si="92"/>
        <v>0</v>
      </c>
      <c r="AW256">
        <f t="shared" si="93"/>
        <v>0</v>
      </c>
      <c r="AX256">
        <f t="shared" si="94"/>
        <v>3.6989999999999998</v>
      </c>
      <c r="AZ256">
        <f t="shared" si="95"/>
        <v>3.6989999999999998</v>
      </c>
      <c r="BC256">
        <f t="shared" si="96"/>
        <v>2.5999999999999999E-2</v>
      </c>
      <c r="BD256">
        <f t="shared" si="97"/>
        <v>0</v>
      </c>
      <c r="BE256">
        <f t="shared" si="98"/>
        <v>3.6989999999999998</v>
      </c>
      <c r="BF256">
        <f t="shared" si="99"/>
        <v>0</v>
      </c>
      <c r="BG256">
        <f t="shared" si="100"/>
        <v>5.5E-2</v>
      </c>
      <c r="BH256">
        <f>VLOOKUP(B256,Miljö!$B$1:$BX$482,MATCH("Fossilandel för ursprungspecificerad el ()",Miljö!$B$1:$I$1,0),FALSE)</f>
        <v>0</v>
      </c>
      <c r="BI256">
        <f>VLOOKUP(B256,Miljö!$B$1:$BX$482,MATCH("Kärnkraftsandel för ursprungsspecificerad el ()",Miljö!$B$1:$O$1,0),FALSE)</f>
        <v>0</v>
      </c>
      <c r="BJ256">
        <f t="shared" si="101"/>
        <v>0</v>
      </c>
      <c r="BK256" t="str">
        <f>VLOOKUP(B256,Miljö!$B$1:$O$482,MATCH("Fossil andel i procent (%)",Miljö!$B$1:$O$1,0),FALSE)</f>
        <v>ET</v>
      </c>
      <c r="BL256">
        <f t="shared" si="102"/>
        <v>3.78</v>
      </c>
      <c r="BO256" s="18">
        <f t="shared" si="103"/>
        <v>6.8783068783068784E-3</v>
      </c>
      <c r="BP256" s="18">
        <f t="shared" si="104"/>
        <v>0</v>
      </c>
      <c r="BQ256" s="18">
        <f t="shared" si="105"/>
        <v>0.99312169312169318</v>
      </c>
      <c r="BR256" s="18">
        <f t="shared" si="106"/>
        <v>0</v>
      </c>
      <c r="BT256" s="27">
        <f t="shared" si="107"/>
        <v>1</v>
      </c>
      <c r="BW256" s="18">
        <f>IF(AP256="ja",VLOOKUP(B256,Miljövärden!$B$2:$H$550,MATCH("Total andel fossilt",Miljövärden!$B$2:$H$2,0),FALSE),"")</f>
        <v>6.8783100000000003E-3</v>
      </c>
      <c r="BZ256" s="28">
        <f t="shared" si="108"/>
        <v>3.1216931218810973E-9</v>
      </c>
      <c r="CA256" s="28">
        <f t="shared" si="109"/>
        <v>0</v>
      </c>
    </row>
    <row r="257" spans="1:79" x14ac:dyDescent="0.25">
      <c r="A257" s="224" t="s">
        <v>552</v>
      </c>
      <c r="B257" s="210" t="s">
        <v>553</v>
      </c>
      <c r="C257" s="121">
        <f>VLOOKUP($B257,'Tillförd energi'!$B$1:$AI$720,MATCH(C$1,'Tillförd energi'!$B$1:$AQ$1,0),FALSE)</f>
        <v>0</v>
      </c>
      <c r="D257" s="121">
        <f>VLOOKUP($B257,'Tillförd energi'!$B$1:$AI$720,MATCH(D$1,'Tillförd energi'!$B$1:$AQ$1,0),FALSE)</f>
        <v>0.06</v>
      </c>
      <c r="E257" s="121">
        <f>VLOOKUP($B257,'Tillförd energi'!$B$1:$AI$720,MATCH(E$1,'Tillförd energi'!$B$1:$AQ$1,0),FALSE)</f>
        <v>0</v>
      </c>
      <c r="F257" s="121">
        <f>VLOOKUP($B257,'Tillförd energi'!$B$1:$AI$720,MATCH(F$1,'Tillförd energi'!$B$1:$AQ$1,0),FALSE)</f>
        <v>0</v>
      </c>
      <c r="G257" s="121">
        <f>VLOOKUP($B257,'Tillförd energi'!$B$1:$AI$720,MATCH(G$1,'Tillförd energi'!$B$1:$AQ$1,0),FALSE)</f>
        <v>0</v>
      </c>
      <c r="H257" s="121">
        <f>VLOOKUP($B257,'Tillförd energi'!$B$1:$AI$720,MATCH(H$1,'Tillförd energi'!$B$1:$AQ$1,0),FALSE)</f>
        <v>0</v>
      </c>
      <c r="I257" s="121">
        <f>VLOOKUP($B257,'Tillförd energi'!$B$1:$AI$720,MATCH(I$1,'Tillförd energi'!$B$1:$AQ$1,0),FALSE)</f>
        <v>0</v>
      </c>
      <c r="J257" s="121">
        <f>VLOOKUP($B257,'Tillförd energi'!$B$1:$AI$720,MATCH(J$1,'Tillförd energi'!$B$1:$AQ$1,0),FALSE)</f>
        <v>0</v>
      </c>
      <c r="K257" s="121">
        <f>VLOOKUP($B257,'Tillförd energi'!$B$1:$AI$720,MATCH(K$1,'Tillförd energi'!$B$1:$AQ$1,0),FALSE)</f>
        <v>0</v>
      </c>
      <c r="L257" s="121">
        <f>VLOOKUP($B257,'Tillförd energi'!$B$1:$AI$720,MATCH(L$1,'Tillförd energi'!$B$1:$AQ$1,0),FALSE)</f>
        <v>0</v>
      </c>
      <c r="M257" s="121">
        <f>VLOOKUP($B257,'Tillförd energi'!$B$1:$AI$720,MATCH(M$1,'Tillförd energi'!$B$1:$AQ$1,0),FALSE)</f>
        <v>0</v>
      </c>
      <c r="N257" s="121">
        <f>VLOOKUP($B257,'Tillförd energi'!$B$1:$AI$720,MATCH(N$1,'Tillförd energi'!$B$1:$AQ$1,0),FALSE)</f>
        <v>0</v>
      </c>
      <c r="O257" s="121">
        <f>VLOOKUP($B257,'Tillförd energi'!$B$1:$AI$720,MATCH(O$1,'Tillförd energi'!$B$1:$AQ$1,0),FALSE)</f>
        <v>0</v>
      </c>
      <c r="P257" s="121">
        <f>VLOOKUP($B257,'Tillförd energi'!$B$1:$AI$720,MATCH(P$1,'Tillförd energi'!$B$1:$AQ$1,0),FALSE)</f>
        <v>0</v>
      </c>
      <c r="Q257" s="121">
        <f>VLOOKUP($B257,'Tillförd energi'!$B$1:$AI$720,MATCH(Q$1,'Tillförd energi'!$B$1:$AQ$1,0),FALSE)</f>
        <v>0</v>
      </c>
      <c r="R257" s="121">
        <f>VLOOKUP($B257,'Tillförd energi'!$B$1:$AI$720,MATCH(R$1,'Tillförd energi'!$B$1:$AQ$1,0),FALSE)</f>
        <v>0</v>
      </c>
      <c r="S257" s="121">
        <f>VLOOKUP($B257,'Tillförd energi'!$B$1:$AI$720,MATCH(S$1,'Tillförd energi'!$B$1:$AQ$1,0),FALSE)</f>
        <v>12.6</v>
      </c>
      <c r="T257" s="121">
        <f>VLOOKUP($B257,'Tillförd energi'!$B$1:$AI$720,MATCH(T$1,'Tillförd energi'!$B$1:$AQ$1,0),FALSE)</f>
        <v>0</v>
      </c>
      <c r="U257" s="121">
        <f>VLOOKUP($B257,'Tillförd energi'!$B$1:$AI$720,MATCH(U$1,'Tillförd energi'!$B$1:$AQ$1,0),FALSE)</f>
        <v>0</v>
      </c>
      <c r="V257" s="121">
        <f>VLOOKUP($B257,'Tillförd energi'!$B$1:$AI$720,MATCH(V$1,'Tillförd energi'!$B$1:$AQ$1,0),FALSE)</f>
        <v>0</v>
      </c>
      <c r="W257" s="121">
        <f>VLOOKUP($B257,'Tillförd energi'!$B$1:$AI$720,MATCH(W$1,'Tillförd energi'!$B$1:$AQ$1,0),FALSE)</f>
        <v>0</v>
      </c>
      <c r="X257" s="121">
        <f>VLOOKUP($B257,'Tillförd energi'!$B$1:$AI$720,MATCH(X$1,'Tillförd energi'!$B$1:$AQ$1,0),FALSE)</f>
        <v>0</v>
      </c>
      <c r="Y257" s="121">
        <f>VLOOKUP($B257,'Tillförd energi'!$B$1:$AI$720,MATCH(Y$1,'Tillförd energi'!$B$1:$AQ$1,0),FALSE)</f>
        <v>0</v>
      </c>
      <c r="Z257" s="121">
        <f>VLOOKUP($B257,'Tillförd energi'!$B$1:$AI$720,MATCH(Z$1,'Tillförd energi'!$B$1:$AQ$1,0),FALSE)</f>
        <v>0</v>
      </c>
      <c r="AA257" s="121">
        <f>VLOOKUP($B257,'Tillförd energi'!$B$1:$AI$720,MATCH(AA$1,'Tillförd energi'!$B$1:$AQ$1,0),FALSE)</f>
        <v>0</v>
      </c>
      <c r="AB257" s="121">
        <f>VLOOKUP($B257,'Tillförd energi'!$B$1:$AI$720,MATCH(AB$1,'Tillförd energi'!$B$1:$AQ$1,0),FALSE)</f>
        <v>0</v>
      </c>
      <c r="AC257" s="121">
        <f>VLOOKUP($B257,'Tillförd energi'!$B$1:$AI$720,MATCH(AC$1,'Tillförd energi'!$B$1:$AQ$1,0),FALSE)</f>
        <v>0</v>
      </c>
      <c r="AD257" s="121">
        <f>VLOOKUP($B257,'Tillförd energi'!$B$1:$AI$720,MATCH(AD$1,'Tillförd energi'!$B$1:$AQ$1,0),FALSE)</f>
        <v>0</v>
      </c>
      <c r="AE257" s="121">
        <f>VLOOKUP($B257,'Tillförd energi'!$B$1:$AI$720,MATCH(AE$1,'Tillförd energi'!$B$1:$AQ$1,0),FALSE)</f>
        <v>0</v>
      </c>
      <c r="AF257" s="121">
        <f>VLOOKUP($B257,'Tillförd energi'!$B$1:$AI$720,MATCH(AF$1,'Tillförd energi'!$B$1:$AQ$1,0),FALSE)</f>
        <v>0.1</v>
      </c>
      <c r="AG257" s="121">
        <f>IFERROR(VLOOKUP(B257,Miljö!$B$1:$AC$550,MATCH("Köpt mängd produktionsspecifik fjärrvärme:",Miljö!$B$1:$AC$1,0),FALSE)/1,0)</f>
        <v>0</v>
      </c>
      <c r="AH257" s="121"/>
      <c r="AI257" s="121">
        <f t="shared" si="88"/>
        <v>12.76</v>
      </c>
      <c r="AJ257" s="121">
        <f t="shared" si="89"/>
        <v>12.76</v>
      </c>
      <c r="AK257" s="121">
        <f>IF(ISERROR(1/VLOOKUP($B257,Leveranser!$B$1:$S$499,MATCH("såld värme (gwh)",Leveranser!$B$1:$S$1,0),FALSE)),"",VLOOKUP($B257,Leveranser!$B$1:$S$499,MATCH("såld värme (gwh)",Leveranser!$B$1:$S$1,0),FALSE))</f>
        <v>9.7629999999999999</v>
      </c>
      <c r="AL257" s="121">
        <f>VLOOKUP($B257,Leveranser!$B$1:$Y$499,MATCH("Totalt såld fjärrvärme till andra fjärrvärmeföretag",Leveranser!$B$1:$AA$1,0),FALSE)</f>
        <v>0</v>
      </c>
      <c r="AM257" s="121">
        <f>IF(ISERROR(1/VLOOKUP($B257,Miljö!$B$1:$S$500,MATCH("Såld mängd produktionsspecifik fjärrvärme (GWh)",Miljö!$B$1:$R$1,0),FALSE)),0,VLOOKUP($B257,Miljö!$B$1:$S$500,MATCH("Såld mängd produktionsspecifik fjärrvärme (GWh)",Miljö!$B$1:$R$1,0),FALSE))</f>
        <v>0</v>
      </c>
      <c r="AN257" s="172">
        <f t="shared" si="90"/>
        <v>0.76512539184952977</v>
      </c>
      <c r="AO257" s="121"/>
      <c r="AP257" s="121" t="str">
        <f>IFERROR(VLOOKUP($B257,Miljövärden!$B$2:$H$550,7,FALSE),"Nej, saknas")</f>
        <v>Ja</v>
      </c>
      <c r="AQ257" s="121" t="str">
        <f>IFERROR(VLOOKUP($B257,Miljövärden!$B$2:$H$550,6,FALSE),"Nej, saknas")</f>
        <v>Ja</v>
      </c>
      <c r="AU257">
        <f t="shared" si="91"/>
        <v>0.1</v>
      </c>
      <c r="AV257">
        <f t="shared" si="92"/>
        <v>0</v>
      </c>
      <c r="AW257">
        <f t="shared" si="93"/>
        <v>0</v>
      </c>
      <c r="AX257">
        <f t="shared" si="94"/>
        <v>12.6</v>
      </c>
      <c r="AZ257">
        <f t="shared" si="95"/>
        <v>12.6</v>
      </c>
      <c r="BC257">
        <f t="shared" si="96"/>
        <v>0.06</v>
      </c>
      <c r="BD257">
        <f t="shared" si="97"/>
        <v>0</v>
      </c>
      <c r="BE257">
        <f t="shared" si="98"/>
        <v>12.6</v>
      </c>
      <c r="BF257">
        <f t="shared" si="99"/>
        <v>0</v>
      </c>
      <c r="BG257">
        <f t="shared" si="100"/>
        <v>0.1</v>
      </c>
      <c r="BH257">
        <f>VLOOKUP(B257,Miljö!$B$1:$BX$482,MATCH("Fossilandel för ursprungspecificerad el ()",Miljö!$B$1:$I$1,0),FALSE)</f>
        <v>0</v>
      </c>
      <c r="BI257">
        <f>VLOOKUP(B257,Miljö!$B$1:$BX$482,MATCH("Kärnkraftsandel för ursprungsspecificerad el ()",Miljö!$B$1:$O$1,0),FALSE)</f>
        <v>0</v>
      </c>
      <c r="BJ257">
        <f t="shared" si="101"/>
        <v>0</v>
      </c>
      <c r="BK257" t="str">
        <f>VLOOKUP(B257,Miljö!$B$1:$O$482,MATCH("Fossil andel i procent (%)",Miljö!$B$1:$O$1,0),FALSE)</f>
        <v>ET</v>
      </c>
      <c r="BL257">
        <f t="shared" si="102"/>
        <v>12.76</v>
      </c>
      <c r="BO257" s="18">
        <f t="shared" si="103"/>
        <v>4.7021943573667714E-3</v>
      </c>
      <c r="BP257" s="18">
        <f t="shared" si="104"/>
        <v>0</v>
      </c>
      <c r="BQ257" s="18">
        <f t="shared" si="105"/>
        <v>0.99529780564263315</v>
      </c>
      <c r="BR257" s="18">
        <f t="shared" si="106"/>
        <v>0</v>
      </c>
      <c r="BT257" s="27">
        <f t="shared" si="107"/>
        <v>0.99999999999999989</v>
      </c>
      <c r="BW257" s="18">
        <f>IF(AP257="ja",VLOOKUP(B257,Miljövärden!$B$2:$H$550,MATCH("Total andel fossilt",Miljövärden!$B$2:$H$2,0),FALSE),"")</f>
        <v>4.7021900000000002E-3</v>
      </c>
      <c r="BZ257" s="28">
        <f t="shared" si="108"/>
        <v>-4.3573667712210051E-9</v>
      </c>
      <c r="CA257" s="28">
        <f t="shared" si="109"/>
        <v>0</v>
      </c>
    </row>
    <row r="258" spans="1:79" x14ac:dyDescent="0.25">
      <c r="A258" s="224" t="s">
        <v>552</v>
      </c>
      <c r="B258" s="210" t="s">
        <v>554</v>
      </c>
      <c r="C258" s="121">
        <f>VLOOKUP($B258,'Tillförd energi'!$B$1:$AI$720,MATCH(C$1,'Tillförd energi'!$B$1:$AQ$1,0),FALSE)</f>
        <v>0</v>
      </c>
      <c r="D258" s="121">
        <f>VLOOKUP($B258,'Tillförd energi'!$B$1:$AI$720,MATCH(D$1,'Tillförd energi'!$B$1:$AQ$1,0),FALSE)</f>
        <v>1.7941400000000001</v>
      </c>
      <c r="E258" s="121">
        <f>VLOOKUP($B258,'Tillförd energi'!$B$1:$AI$720,MATCH(E$1,'Tillförd energi'!$B$1:$AQ$1,0),FALSE)</f>
        <v>0.56999999999999995</v>
      </c>
      <c r="F258" s="121">
        <f>VLOOKUP($B258,'Tillförd energi'!$B$1:$AI$720,MATCH(F$1,'Tillförd energi'!$B$1:$AQ$1,0),FALSE)</f>
        <v>0</v>
      </c>
      <c r="G258" s="121">
        <f>VLOOKUP($B258,'Tillförd energi'!$B$1:$AI$720,MATCH(G$1,'Tillförd energi'!$B$1:$AQ$1,0),FALSE)</f>
        <v>0</v>
      </c>
      <c r="H258" s="121">
        <f>VLOOKUP($B258,'Tillförd energi'!$B$1:$AI$720,MATCH(H$1,'Tillförd energi'!$B$1:$AQ$1,0),FALSE)</f>
        <v>0</v>
      </c>
      <c r="I258" s="121">
        <f>VLOOKUP($B258,'Tillförd energi'!$B$1:$AI$720,MATCH(I$1,'Tillförd energi'!$B$1:$AQ$1,0),FALSE)</f>
        <v>129.846</v>
      </c>
      <c r="J258" s="121">
        <f>VLOOKUP($B258,'Tillförd energi'!$B$1:$AI$720,MATCH(J$1,'Tillförd energi'!$B$1:$AQ$1,0),FALSE)</f>
        <v>0</v>
      </c>
      <c r="K258" s="121">
        <f>VLOOKUP($B258,'Tillförd energi'!$B$1:$AI$720,MATCH(K$1,'Tillförd energi'!$B$1:$AQ$1,0),FALSE)</f>
        <v>0</v>
      </c>
      <c r="L258" s="121">
        <f>VLOOKUP($B258,'Tillförd energi'!$B$1:$AI$720,MATCH(L$1,'Tillförd energi'!$B$1:$AQ$1,0),FALSE)</f>
        <v>0</v>
      </c>
      <c r="M258" s="121">
        <f>VLOOKUP($B258,'Tillförd energi'!$B$1:$AI$720,MATCH(M$1,'Tillförd energi'!$B$1:$AQ$1,0),FALSE)</f>
        <v>0</v>
      </c>
      <c r="N258" s="121">
        <f>VLOOKUP($B258,'Tillförd energi'!$B$1:$AI$720,MATCH(N$1,'Tillförd energi'!$B$1:$AQ$1,0),FALSE)</f>
        <v>134.203</v>
      </c>
      <c r="O258" s="121">
        <f>VLOOKUP($B258,'Tillförd energi'!$B$1:$AI$720,MATCH(O$1,'Tillförd energi'!$B$1:$AQ$1,0),FALSE)</f>
        <v>0</v>
      </c>
      <c r="P258" s="121">
        <f>VLOOKUP($B258,'Tillförd energi'!$B$1:$AI$720,MATCH(P$1,'Tillförd energi'!$B$1:$AQ$1,0),FALSE)</f>
        <v>110.845</v>
      </c>
      <c r="Q258" s="121">
        <f>VLOOKUP($B258,'Tillförd energi'!$B$1:$AI$720,MATCH(Q$1,'Tillförd energi'!$B$1:$AQ$1,0),FALSE)</f>
        <v>0</v>
      </c>
      <c r="R258" s="121">
        <f>VLOOKUP($B258,'Tillförd energi'!$B$1:$AI$720,MATCH(R$1,'Tillförd energi'!$B$1:$AQ$1,0),FALSE)</f>
        <v>0</v>
      </c>
      <c r="S258" s="121">
        <f>VLOOKUP($B258,'Tillförd energi'!$B$1:$AI$720,MATCH(S$1,'Tillförd energi'!$B$1:$AQ$1,0),FALSE)</f>
        <v>0</v>
      </c>
      <c r="T258" s="121">
        <f>VLOOKUP($B258,'Tillförd energi'!$B$1:$AI$720,MATCH(T$1,'Tillförd energi'!$B$1:$AQ$1,0),FALSE)</f>
        <v>0</v>
      </c>
      <c r="U258" s="121">
        <f>VLOOKUP($B258,'Tillförd energi'!$B$1:$AI$720,MATCH(U$1,'Tillförd energi'!$B$1:$AQ$1,0),FALSE)</f>
        <v>0</v>
      </c>
      <c r="V258" s="121">
        <f>VLOOKUP($B258,'Tillförd energi'!$B$1:$AI$720,MATCH(V$1,'Tillförd energi'!$B$1:$AQ$1,0),FALSE)</f>
        <v>0</v>
      </c>
      <c r="W258" s="121">
        <f>VLOOKUP($B258,'Tillförd energi'!$B$1:$AI$720,MATCH(W$1,'Tillförd energi'!$B$1:$AQ$1,0),FALSE)</f>
        <v>6.1820000000000004</v>
      </c>
      <c r="X258" s="121">
        <f>VLOOKUP($B258,'Tillförd energi'!$B$1:$AI$720,MATCH(X$1,'Tillförd energi'!$B$1:$AQ$1,0),FALSE)</f>
        <v>0</v>
      </c>
      <c r="Y258" s="121">
        <f>VLOOKUP($B258,'Tillförd energi'!$B$1:$AI$720,MATCH(Y$1,'Tillförd energi'!$B$1:$AQ$1,0),FALSE)</f>
        <v>0</v>
      </c>
      <c r="Z258" s="121">
        <f>VLOOKUP($B258,'Tillförd energi'!$B$1:$AI$720,MATCH(Z$1,'Tillförd energi'!$B$1:$AQ$1,0),FALSE)</f>
        <v>0</v>
      </c>
      <c r="AA258" s="121">
        <f>VLOOKUP($B258,'Tillförd energi'!$B$1:$AI$720,MATCH(AA$1,'Tillförd energi'!$B$1:$AQ$1,0),FALSE)</f>
        <v>0</v>
      </c>
      <c r="AB258" s="121">
        <f>VLOOKUP($B258,'Tillförd energi'!$B$1:$AI$720,MATCH(AB$1,'Tillförd energi'!$B$1:$AQ$1,0),FALSE)</f>
        <v>0</v>
      </c>
      <c r="AC258" s="121">
        <f>VLOOKUP($B258,'Tillförd energi'!$B$1:$AI$720,MATCH(AC$1,'Tillförd energi'!$B$1:$AQ$1,0),FALSE)</f>
        <v>62.973999999999997</v>
      </c>
      <c r="AD258" s="121">
        <f>VLOOKUP($B258,'Tillförd energi'!$B$1:$AI$720,MATCH(AD$1,'Tillförd energi'!$B$1:$AQ$1,0),FALSE)</f>
        <v>5.3940000000000001</v>
      </c>
      <c r="AE258" s="121">
        <f>VLOOKUP($B258,'Tillförd energi'!$B$1:$AI$720,MATCH(AE$1,'Tillförd energi'!$B$1:$AQ$1,0),FALSE)</f>
        <v>0</v>
      </c>
      <c r="AF258" s="121">
        <f>VLOOKUP($B258,'Tillförd energi'!$B$1:$AI$720,MATCH(AF$1,'Tillförd energi'!$B$1:$AQ$1,0),FALSE)</f>
        <v>12.8391</v>
      </c>
      <c r="AG258" s="121">
        <f>IFERROR(VLOOKUP(B258,Miljö!$B$1:$AC$550,MATCH("Köpt mängd produktionsspecifik fjärrvärme:",Miljö!$B$1:$AC$1,0),FALSE)/1,0)</f>
        <v>0</v>
      </c>
      <c r="AH258" s="121"/>
      <c r="AI258" s="121">
        <f t="shared" si="88"/>
        <v>464.64724000000001</v>
      </c>
      <c r="AJ258" s="121">
        <f t="shared" si="89"/>
        <v>464.64724000000001</v>
      </c>
      <c r="AK258" s="121">
        <f>IF(ISERROR(1/VLOOKUP($B258,Leveranser!$B$1:$S$499,MATCH("såld värme (gwh)",Leveranser!$B$1:$S$1,0),FALSE)),"",VLOOKUP($B258,Leveranser!$B$1:$S$499,MATCH("såld värme (gwh)",Leveranser!$B$1:$S$1,0),FALSE))</f>
        <v>359.29</v>
      </c>
      <c r="AL258" s="121">
        <f>VLOOKUP($B258,Leveranser!$B$1:$Y$499,MATCH("Totalt såld fjärrvärme till andra fjärrvärmeföretag",Leveranser!$B$1:$AA$1,0),FALSE)</f>
        <v>0</v>
      </c>
      <c r="AM258" s="121">
        <f>IF(ISERROR(1/VLOOKUP($B258,Miljö!$B$1:$S$500,MATCH("Såld mängd produktionsspecifik fjärrvärme (GWh)",Miljö!$B$1:$R$1,0),FALSE)),0,VLOOKUP($B258,Miljö!$B$1:$S$500,MATCH("Såld mängd produktionsspecifik fjärrvärme (GWh)",Miljö!$B$1:$R$1,0),FALSE))</f>
        <v>1.1919999999999999</v>
      </c>
      <c r="AN258" s="172">
        <f t="shared" si="90"/>
        <v>0.77325327489301354</v>
      </c>
      <c r="AO258" s="121"/>
      <c r="AP258" s="121" t="str">
        <f>IFERROR(VLOOKUP($B258,Miljövärden!$B$2:$H$550,7,FALSE),"Nej, saknas")</f>
        <v>Ja</v>
      </c>
      <c r="AQ258" s="121" t="str">
        <f>IFERROR(VLOOKUP($B258,Miljövärden!$B$2:$H$550,6,FALSE),"Nej, saknas")</f>
        <v>Ja</v>
      </c>
      <c r="AU258">
        <f t="shared" si="91"/>
        <v>12.8391</v>
      </c>
      <c r="AV258">
        <f t="shared" si="92"/>
        <v>0</v>
      </c>
      <c r="AW258">
        <f t="shared" si="93"/>
        <v>245.048</v>
      </c>
      <c r="AX258">
        <f t="shared" si="94"/>
        <v>0</v>
      </c>
      <c r="AZ258">
        <f t="shared" si="95"/>
        <v>251.23</v>
      </c>
      <c r="BC258">
        <f t="shared" si="96"/>
        <v>2.3641399999999999</v>
      </c>
      <c r="BD258">
        <f t="shared" si="97"/>
        <v>0</v>
      </c>
      <c r="BE258">
        <f t="shared" si="98"/>
        <v>251.23</v>
      </c>
      <c r="BF258">
        <f t="shared" si="99"/>
        <v>198.214</v>
      </c>
      <c r="BG258">
        <f t="shared" si="100"/>
        <v>12.8391</v>
      </c>
      <c r="BH258">
        <f>VLOOKUP(B258,Miljö!$B$1:$BX$482,MATCH("Fossilandel för ursprungspecificerad el ()",Miljö!$B$1:$I$1,0),FALSE)</f>
        <v>0</v>
      </c>
      <c r="BI258">
        <f>VLOOKUP(B258,Miljö!$B$1:$BX$482,MATCH("Kärnkraftsandel för ursprungsspecificerad el ()",Miljö!$B$1:$O$1,0),FALSE)</f>
        <v>0</v>
      </c>
      <c r="BJ258">
        <f t="shared" si="101"/>
        <v>0</v>
      </c>
      <c r="BK258" t="str">
        <f>VLOOKUP(B258,Miljö!$B$1:$O$482,MATCH("Fossil andel i procent (%)",Miljö!$B$1:$O$1,0),FALSE)</f>
        <v>ET</v>
      </c>
      <c r="BL258">
        <f t="shared" si="102"/>
        <v>464.64723999999995</v>
      </c>
      <c r="BO258" s="18">
        <f t="shared" si="103"/>
        <v>5.088031944405825E-3</v>
      </c>
      <c r="BP258" s="18">
        <f t="shared" si="104"/>
        <v>0</v>
      </c>
      <c r="BQ258" s="18">
        <f t="shared" si="105"/>
        <v>0.5683216799049533</v>
      </c>
      <c r="BR258" s="18">
        <f t="shared" si="106"/>
        <v>0.42659028815064093</v>
      </c>
      <c r="BT258" s="27">
        <f t="shared" si="107"/>
        <v>1</v>
      </c>
      <c r="BW258" s="18">
        <f>IF(AP258="ja",VLOOKUP(B258,Miljövärden!$B$2:$H$550,MATCH("Total andel fossilt",Miljövärden!$B$2:$H$2,0),FALSE),"")</f>
        <v>5.1011199999999998E-3</v>
      </c>
      <c r="BZ258" s="28">
        <f t="shared" si="108"/>
        <v>1.3088055594174738E-5</v>
      </c>
      <c r="CA258" s="28">
        <f t="shared" si="109"/>
        <v>0</v>
      </c>
    </row>
    <row r="259" spans="1:79" x14ac:dyDescent="0.25">
      <c r="A259" s="224" t="s">
        <v>552</v>
      </c>
      <c r="B259" s="210" t="s">
        <v>555</v>
      </c>
      <c r="C259" s="121">
        <f>VLOOKUP($B259,'Tillförd energi'!$B$1:$AI$720,MATCH(C$1,'Tillförd energi'!$B$1:$AQ$1,0),FALSE)</f>
        <v>0</v>
      </c>
      <c r="D259" s="121">
        <f>VLOOKUP($B259,'Tillförd energi'!$B$1:$AI$720,MATCH(D$1,'Tillförd energi'!$B$1:$AQ$1,0),FALSE)</f>
        <v>0.185</v>
      </c>
      <c r="E259" s="121">
        <f>VLOOKUP($B259,'Tillförd energi'!$B$1:$AI$720,MATCH(E$1,'Tillförd energi'!$B$1:$AQ$1,0),FALSE)</f>
        <v>0</v>
      </c>
      <c r="F259" s="121">
        <f>VLOOKUP($B259,'Tillförd energi'!$B$1:$AI$720,MATCH(F$1,'Tillförd energi'!$B$1:$AQ$1,0),FALSE)</f>
        <v>0</v>
      </c>
      <c r="G259" s="121">
        <f>VLOOKUP($B259,'Tillförd energi'!$B$1:$AI$720,MATCH(G$1,'Tillförd energi'!$B$1:$AQ$1,0),FALSE)</f>
        <v>0</v>
      </c>
      <c r="H259" s="121">
        <f>VLOOKUP($B259,'Tillförd energi'!$B$1:$AI$720,MATCH(H$1,'Tillförd energi'!$B$1:$AQ$1,0),FALSE)</f>
        <v>0</v>
      </c>
      <c r="I259" s="121">
        <f>VLOOKUP($B259,'Tillförd energi'!$B$1:$AI$720,MATCH(I$1,'Tillförd energi'!$B$1:$AQ$1,0),FALSE)</f>
        <v>0</v>
      </c>
      <c r="J259" s="121">
        <f>VLOOKUP($B259,'Tillförd energi'!$B$1:$AI$720,MATCH(J$1,'Tillförd energi'!$B$1:$AQ$1,0),FALSE)</f>
        <v>0</v>
      </c>
      <c r="K259" s="121">
        <f>VLOOKUP($B259,'Tillförd energi'!$B$1:$AI$720,MATCH(K$1,'Tillförd energi'!$B$1:$AQ$1,0),FALSE)</f>
        <v>0</v>
      </c>
      <c r="L259" s="121">
        <f>VLOOKUP($B259,'Tillförd energi'!$B$1:$AI$720,MATCH(L$1,'Tillförd energi'!$B$1:$AQ$1,0),FALSE)</f>
        <v>0</v>
      </c>
      <c r="M259" s="121">
        <f>VLOOKUP($B259,'Tillförd energi'!$B$1:$AI$720,MATCH(M$1,'Tillförd energi'!$B$1:$AQ$1,0),FALSE)</f>
        <v>0</v>
      </c>
      <c r="N259" s="121">
        <f>VLOOKUP($B259,'Tillförd energi'!$B$1:$AI$720,MATCH(N$1,'Tillförd energi'!$B$1:$AQ$1,0),FALSE)</f>
        <v>0</v>
      </c>
      <c r="O259" s="121">
        <f>VLOOKUP($B259,'Tillförd energi'!$B$1:$AI$720,MATCH(O$1,'Tillförd energi'!$B$1:$AQ$1,0),FALSE)</f>
        <v>0</v>
      </c>
      <c r="P259" s="121">
        <f>VLOOKUP($B259,'Tillförd energi'!$B$1:$AI$720,MATCH(P$1,'Tillförd energi'!$B$1:$AQ$1,0),FALSE)</f>
        <v>0</v>
      </c>
      <c r="Q259" s="121">
        <f>VLOOKUP($B259,'Tillförd energi'!$B$1:$AI$720,MATCH(Q$1,'Tillförd energi'!$B$1:$AQ$1,0),FALSE)</f>
        <v>0</v>
      </c>
      <c r="R259" s="121">
        <f>VLOOKUP($B259,'Tillförd energi'!$B$1:$AI$720,MATCH(R$1,'Tillförd energi'!$B$1:$AQ$1,0),FALSE)</f>
        <v>5.34</v>
      </c>
      <c r="S259" s="121">
        <f>VLOOKUP($B259,'Tillförd energi'!$B$1:$AI$720,MATCH(S$1,'Tillförd energi'!$B$1:$AQ$1,0),FALSE)</f>
        <v>0</v>
      </c>
      <c r="T259" s="121">
        <f>VLOOKUP($B259,'Tillförd energi'!$B$1:$AI$720,MATCH(T$1,'Tillförd energi'!$B$1:$AQ$1,0),FALSE)</f>
        <v>0</v>
      </c>
      <c r="U259" s="121">
        <f>VLOOKUP($B259,'Tillförd energi'!$B$1:$AI$720,MATCH(U$1,'Tillförd energi'!$B$1:$AQ$1,0),FALSE)</f>
        <v>0</v>
      </c>
      <c r="V259" s="121">
        <f>VLOOKUP($B259,'Tillförd energi'!$B$1:$AI$720,MATCH(V$1,'Tillförd energi'!$B$1:$AQ$1,0),FALSE)</f>
        <v>0</v>
      </c>
      <c r="W259" s="121">
        <f>VLOOKUP($B259,'Tillförd energi'!$B$1:$AI$720,MATCH(W$1,'Tillförd energi'!$B$1:$AQ$1,0),FALSE)</f>
        <v>0</v>
      </c>
      <c r="X259" s="121">
        <f>VLOOKUP($B259,'Tillförd energi'!$B$1:$AI$720,MATCH(X$1,'Tillförd energi'!$B$1:$AQ$1,0),FALSE)</f>
        <v>0</v>
      </c>
      <c r="Y259" s="121">
        <f>VLOOKUP($B259,'Tillförd energi'!$B$1:$AI$720,MATCH(Y$1,'Tillförd energi'!$B$1:$AQ$1,0),FALSE)</f>
        <v>0</v>
      </c>
      <c r="Z259" s="121">
        <f>VLOOKUP($B259,'Tillförd energi'!$B$1:$AI$720,MATCH(Z$1,'Tillförd energi'!$B$1:$AQ$1,0),FALSE)</f>
        <v>0</v>
      </c>
      <c r="AA259" s="121">
        <f>VLOOKUP($B259,'Tillförd energi'!$B$1:$AI$720,MATCH(AA$1,'Tillförd energi'!$B$1:$AQ$1,0),FALSE)</f>
        <v>0</v>
      </c>
      <c r="AB259" s="121">
        <f>VLOOKUP($B259,'Tillförd energi'!$B$1:$AI$720,MATCH(AB$1,'Tillförd energi'!$B$1:$AQ$1,0),FALSE)</f>
        <v>0</v>
      </c>
      <c r="AC259" s="121">
        <f>VLOOKUP($B259,'Tillförd energi'!$B$1:$AI$720,MATCH(AC$1,'Tillförd energi'!$B$1:$AQ$1,0),FALSE)</f>
        <v>0</v>
      </c>
      <c r="AD259" s="121">
        <f>VLOOKUP($B259,'Tillförd energi'!$B$1:$AI$720,MATCH(AD$1,'Tillförd energi'!$B$1:$AQ$1,0),FALSE)</f>
        <v>0</v>
      </c>
      <c r="AE259" s="121">
        <f>VLOOKUP($B259,'Tillförd energi'!$B$1:$AI$720,MATCH(AE$1,'Tillförd energi'!$B$1:$AQ$1,0),FALSE)</f>
        <v>0</v>
      </c>
      <c r="AF259" s="121">
        <f>VLOOKUP($B259,'Tillförd energi'!$B$1:$AI$720,MATCH(AF$1,'Tillförd energi'!$B$1:$AQ$1,0),FALSE)</f>
        <v>0.06</v>
      </c>
      <c r="AG259" s="121">
        <f>IFERROR(VLOOKUP(B259,Miljö!$B$1:$AC$550,MATCH("Köpt mängd produktionsspecifik fjärrvärme:",Miljö!$B$1:$AC$1,0),FALSE)/1,0)</f>
        <v>0</v>
      </c>
      <c r="AH259" s="121"/>
      <c r="AI259" s="121">
        <f t="shared" si="88"/>
        <v>5.5849999999999991</v>
      </c>
      <c r="AJ259" s="121">
        <f t="shared" si="89"/>
        <v>5.5849999999999991</v>
      </c>
      <c r="AK259" s="121">
        <f>IF(ISERROR(1/VLOOKUP($B259,Leveranser!$B$1:$S$499,MATCH("såld värme (gwh)",Leveranser!$B$1:$S$1,0),FALSE)),"",VLOOKUP($B259,Leveranser!$B$1:$S$499,MATCH("såld värme (gwh)",Leveranser!$B$1:$S$1,0),FALSE))</f>
        <v>4.4852100000000004</v>
      </c>
      <c r="AL259" s="121">
        <f>VLOOKUP($B259,Leveranser!$B$1:$Y$499,MATCH("Totalt såld fjärrvärme till andra fjärrvärmeföretag",Leveranser!$B$1:$AA$1,0),FALSE)</f>
        <v>0</v>
      </c>
      <c r="AM259" s="121">
        <f>IF(ISERROR(1/VLOOKUP($B259,Miljö!$B$1:$S$500,MATCH("Såld mängd produktionsspecifik fjärrvärme (GWh)",Miljö!$B$1:$R$1,0),FALSE)),0,VLOOKUP($B259,Miljö!$B$1:$S$500,MATCH("Såld mängd produktionsspecifik fjärrvärme (GWh)",Miljö!$B$1:$R$1,0),FALSE))</f>
        <v>0</v>
      </c>
      <c r="AN259" s="172">
        <f t="shared" si="90"/>
        <v>0.80308146821844251</v>
      </c>
      <c r="AO259" s="121"/>
      <c r="AP259" s="121" t="str">
        <f>IFERROR(VLOOKUP($B259,Miljövärden!$B$2:$H$550,7,FALSE),"Nej, saknas")</f>
        <v>Ja</v>
      </c>
      <c r="AQ259" s="121" t="str">
        <f>IFERROR(VLOOKUP($B259,Miljövärden!$B$2:$H$550,6,FALSE),"Nej, saknas")</f>
        <v>Ja</v>
      </c>
      <c r="AU259">
        <f t="shared" si="91"/>
        <v>0.06</v>
      </c>
      <c r="AV259">
        <f t="shared" si="92"/>
        <v>0</v>
      </c>
      <c r="AW259">
        <f t="shared" si="93"/>
        <v>0</v>
      </c>
      <c r="AX259">
        <f t="shared" si="94"/>
        <v>5.34</v>
      </c>
      <c r="AZ259">
        <f t="shared" si="95"/>
        <v>5.34</v>
      </c>
      <c r="BC259">
        <f t="shared" si="96"/>
        <v>0.185</v>
      </c>
      <c r="BD259">
        <f t="shared" si="97"/>
        <v>0</v>
      </c>
      <c r="BE259">
        <f t="shared" si="98"/>
        <v>5.34</v>
      </c>
      <c r="BF259">
        <f t="shared" si="99"/>
        <v>0</v>
      </c>
      <c r="BG259">
        <f t="shared" si="100"/>
        <v>0.06</v>
      </c>
      <c r="BH259">
        <f>VLOOKUP(B259,Miljö!$B$1:$BX$482,MATCH("Fossilandel för ursprungspecificerad el ()",Miljö!$B$1:$I$1,0),FALSE)</f>
        <v>0</v>
      </c>
      <c r="BI259">
        <f>VLOOKUP(B259,Miljö!$B$1:$BX$482,MATCH("Kärnkraftsandel för ursprungsspecificerad el ()",Miljö!$B$1:$O$1,0),FALSE)</f>
        <v>0</v>
      </c>
      <c r="BJ259">
        <f t="shared" si="101"/>
        <v>0</v>
      </c>
      <c r="BK259" t="str">
        <f>VLOOKUP(B259,Miljö!$B$1:$O$482,MATCH("Fossil andel i procent (%)",Miljö!$B$1:$O$1,0),FALSE)</f>
        <v>ET</v>
      </c>
      <c r="BL259">
        <f t="shared" si="102"/>
        <v>5.5849999999999991</v>
      </c>
      <c r="BO259" s="18">
        <f t="shared" si="103"/>
        <v>3.312444046553268E-2</v>
      </c>
      <c r="BP259" s="18">
        <f t="shared" si="104"/>
        <v>0</v>
      </c>
      <c r="BQ259" s="18">
        <f t="shared" si="105"/>
        <v>0.96687555953446735</v>
      </c>
      <c r="BR259" s="18">
        <f t="shared" si="106"/>
        <v>0</v>
      </c>
      <c r="BT259" s="27">
        <f t="shared" si="107"/>
        <v>1</v>
      </c>
      <c r="BW259" s="18">
        <f>IF(AP259="ja",VLOOKUP(B259,Miljövärden!$B$2:$H$550,MATCH("Total andel fossilt",Miljövärden!$B$2:$H$2,0),FALSE),"")</f>
        <v>3.3124399999999998E-2</v>
      </c>
      <c r="BZ259" s="28">
        <f t="shared" si="108"/>
        <v>-4.0465532681610572E-8</v>
      </c>
      <c r="CA259" s="28">
        <f t="shared" si="109"/>
        <v>0</v>
      </c>
    </row>
    <row r="260" spans="1:79" x14ac:dyDescent="0.25">
      <c r="A260" s="224" t="s">
        <v>552</v>
      </c>
      <c r="B260" s="210" t="s">
        <v>556</v>
      </c>
      <c r="C260" s="121">
        <f>VLOOKUP($B260,'Tillförd energi'!$B$1:$AI$720,MATCH(C$1,'Tillförd energi'!$B$1:$AQ$1,0),FALSE)</f>
        <v>0</v>
      </c>
      <c r="D260" s="121">
        <f>VLOOKUP($B260,'Tillförd energi'!$B$1:$AI$720,MATCH(D$1,'Tillförd energi'!$B$1:$AQ$1,0),FALSE)</f>
        <v>4.5999999999999999E-2</v>
      </c>
      <c r="E260" s="121">
        <f>VLOOKUP($B260,'Tillförd energi'!$B$1:$AI$720,MATCH(E$1,'Tillförd energi'!$B$1:$AQ$1,0),FALSE)</f>
        <v>0</v>
      </c>
      <c r="F260" s="121">
        <f>VLOOKUP($B260,'Tillförd energi'!$B$1:$AI$720,MATCH(F$1,'Tillförd energi'!$B$1:$AQ$1,0),FALSE)</f>
        <v>0</v>
      </c>
      <c r="G260" s="121">
        <f>VLOOKUP($B260,'Tillförd energi'!$B$1:$AI$720,MATCH(G$1,'Tillförd energi'!$B$1:$AQ$1,0),FALSE)</f>
        <v>0</v>
      </c>
      <c r="H260" s="121">
        <f>VLOOKUP($B260,'Tillförd energi'!$B$1:$AI$720,MATCH(H$1,'Tillförd energi'!$B$1:$AQ$1,0),FALSE)</f>
        <v>0</v>
      </c>
      <c r="I260" s="121">
        <f>VLOOKUP($B260,'Tillförd energi'!$B$1:$AI$720,MATCH(I$1,'Tillförd energi'!$B$1:$AQ$1,0),FALSE)</f>
        <v>0</v>
      </c>
      <c r="J260" s="121">
        <f>VLOOKUP($B260,'Tillförd energi'!$B$1:$AI$720,MATCH(J$1,'Tillförd energi'!$B$1:$AQ$1,0),FALSE)</f>
        <v>0</v>
      </c>
      <c r="K260" s="121">
        <f>VLOOKUP($B260,'Tillförd energi'!$B$1:$AI$720,MATCH(K$1,'Tillförd energi'!$B$1:$AQ$1,0),FALSE)</f>
        <v>0</v>
      </c>
      <c r="L260" s="121">
        <f>VLOOKUP($B260,'Tillförd energi'!$B$1:$AI$720,MATCH(L$1,'Tillförd energi'!$B$1:$AQ$1,0),FALSE)</f>
        <v>0</v>
      </c>
      <c r="M260" s="121">
        <f>VLOOKUP($B260,'Tillförd energi'!$B$1:$AI$720,MATCH(M$1,'Tillförd energi'!$B$1:$AQ$1,0),FALSE)</f>
        <v>0</v>
      </c>
      <c r="N260" s="121">
        <f>VLOOKUP($B260,'Tillförd energi'!$B$1:$AI$720,MATCH(N$1,'Tillförd energi'!$B$1:$AQ$1,0),FALSE)</f>
        <v>0</v>
      </c>
      <c r="O260" s="121">
        <f>VLOOKUP($B260,'Tillförd energi'!$B$1:$AI$720,MATCH(O$1,'Tillförd energi'!$B$1:$AQ$1,0),FALSE)</f>
        <v>0</v>
      </c>
      <c r="P260" s="121">
        <f>VLOOKUP($B260,'Tillförd energi'!$B$1:$AI$720,MATCH(P$1,'Tillförd energi'!$B$1:$AQ$1,0),FALSE)</f>
        <v>0</v>
      </c>
      <c r="Q260" s="121">
        <f>VLOOKUP($B260,'Tillförd energi'!$B$1:$AI$720,MATCH(Q$1,'Tillförd energi'!$B$1:$AQ$1,0),FALSE)</f>
        <v>0</v>
      </c>
      <c r="R260" s="121">
        <f>VLOOKUP($B260,'Tillförd energi'!$B$1:$AI$720,MATCH(R$1,'Tillförd energi'!$B$1:$AQ$1,0),FALSE)</f>
        <v>2.58</v>
      </c>
      <c r="S260" s="121">
        <f>VLOOKUP($B260,'Tillförd energi'!$B$1:$AI$720,MATCH(S$1,'Tillförd energi'!$B$1:$AQ$1,0),FALSE)</f>
        <v>0</v>
      </c>
      <c r="T260" s="121">
        <f>VLOOKUP($B260,'Tillförd energi'!$B$1:$AI$720,MATCH(T$1,'Tillförd energi'!$B$1:$AQ$1,0),FALSE)</f>
        <v>0</v>
      </c>
      <c r="U260" s="121">
        <f>VLOOKUP($B260,'Tillförd energi'!$B$1:$AI$720,MATCH(U$1,'Tillförd energi'!$B$1:$AQ$1,0),FALSE)</f>
        <v>0</v>
      </c>
      <c r="V260" s="121">
        <f>VLOOKUP($B260,'Tillförd energi'!$B$1:$AI$720,MATCH(V$1,'Tillförd energi'!$B$1:$AQ$1,0),FALSE)</f>
        <v>0</v>
      </c>
      <c r="W260" s="121">
        <f>VLOOKUP($B260,'Tillförd energi'!$B$1:$AI$720,MATCH(W$1,'Tillförd energi'!$B$1:$AQ$1,0),FALSE)</f>
        <v>0</v>
      </c>
      <c r="X260" s="121">
        <f>VLOOKUP($B260,'Tillförd energi'!$B$1:$AI$720,MATCH(X$1,'Tillförd energi'!$B$1:$AQ$1,0),FALSE)</f>
        <v>0</v>
      </c>
      <c r="Y260" s="121">
        <f>VLOOKUP($B260,'Tillförd energi'!$B$1:$AI$720,MATCH(Y$1,'Tillförd energi'!$B$1:$AQ$1,0),FALSE)</f>
        <v>0</v>
      </c>
      <c r="Z260" s="121">
        <f>VLOOKUP($B260,'Tillförd energi'!$B$1:$AI$720,MATCH(Z$1,'Tillförd energi'!$B$1:$AQ$1,0),FALSE)</f>
        <v>0</v>
      </c>
      <c r="AA260" s="121">
        <f>VLOOKUP($B260,'Tillförd energi'!$B$1:$AI$720,MATCH(AA$1,'Tillförd energi'!$B$1:$AQ$1,0),FALSE)</f>
        <v>0</v>
      </c>
      <c r="AB260" s="121">
        <f>VLOOKUP($B260,'Tillförd energi'!$B$1:$AI$720,MATCH(AB$1,'Tillförd energi'!$B$1:$AQ$1,0),FALSE)</f>
        <v>0</v>
      </c>
      <c r="AC260" s="121">
        <f>VLOOKUP($B260,'Tillförd energi'!$B$1:$AI$720,MATCH(AC$1,'Tillförd energi'!$B$1:$AQ$1,0),FALSE)</f>
        <v>0</v>
      </c>
      <c r="AD260" s="121">
        <f>VLOOKUP($B260,'Tillförd energi'!$B$1:$AI$720,MATCH(AD$1,'Tillförd energi'!$B$1:$AQ$1,0),FALSE)</f>
        <v>0</v>
      </c>
      <c r="AE260" s="121">
        <f>VLOOKUP($B260,'Tillförd energi'!$B$1:$AI$720,MATCH(AE$1,'Tillförd energi'!$B$1:$AQ$1,0),FALSE)</f>
        <v>0</v>
      </c>
      <c r="AF260" s="121">
        <f>VLOOKUP($B260,'Tillförd energi'!$B$1:$AI$720,MATCH(AF$1,'Tillförd energi'!$B$1:$AQ$1,0),FALSE)</f>
        <v>2.4E-2</v>
      </c>
      <c r="AG260" s="121">
        <f>IFERROR(VLOOKUP(B260,Miljö!$B$1:$AC$550,MATCH("Köpt mängd produktionsspecifik fjärrvärme:",Miljö!$B$1:$AC$1,0),FALSE)/1,0)</f>
        <v>0</v>
      </c>
      <c r="AH260" s="121"/>
      <c r="AI260" s="121">
        <f t="shared" si="88"/>
        <v>2.65</v>
      </c>
      <c r="AJ260" s="121">
        <f t="shared" si="89"/>
        <v>2.65</v>
      </c>
      <c r="AK260" s="121">
        <f>IF(ISERROR(1/VLOOKUP($B260,Leveranser!$B$1:$S$499,MATCH("såld värme (gwh)",Leveranser!$B$1:$S$1,0),FALSE)),"",VLOOKUP($B260,Leveranser!$B$1:$S$499,MATCH("såld värme (gwh)",Leveranser!$B$1:$S$1,0),FALSE))</f>
        <v>2.0739999999999998</v>
      </c>
      <c r="AL260" s="121">
        <f>VLOOKUP($B260,Leveranser!$B$1:$Y$499,MATCH("Totalt såld fjärrvärme till andra fjärrvärmeföretag",Leveranser!$B$1:$AA$1,0),FALSE)</f>
        <v>0</v>
      </c>
      <c r="AM260" s="121">
        <f>IF(ISERROR(1/VLOOKUP($B260,Miljö!$B$1:$S$500,MATCH("Såld mängd produktionsspecifik fjärrvärme (GWh)",Miljö!$B$1:$R$1,0),FALSE)),0,VLOOKUP($B260,Miljö!$B$1:$S$500,MATCH("Såld mängd produktionsspecifik fjärrvärme (GWh)",Miljö!$B$1:$R$1,0),FALSE))</f>
        <v>0</v>
      </c>
      <c r="AN260" s="172">
        <f t="shared" si="90"/>
        <v>0.78264150943396227</v>
      </c>
      <c r="AO260" s="121"/>
      <c r="AP260" s="121" t="str">
        <f>IFERROR(VLOOKUP($B260,Miljövärden!$B$2:$H$550,7,FALSE),"Nej, saknas")</f>
        <v>Ja</v>
      </c>
      <c r="AQ260" s="121" t="str">
        <f>IFERROR(VLOOKUP($B260,Miljövärden!$B$2:$H$550,6,FALSE),"Nej, saknas")</f>
        <v>Ja</v>
      </c>
      <c r="AU260">
        <f t="shared" si="91"/>
        <v>2.4E-2</v>
      </c>
      <c r="AV260">
        <f t="shared" si="92"/>
        <v>0</v>
      </c>
      <c r="AW260">
        <f t="shared" si="93"/>
        <v>0</v>
      </c>
      <c r="AX260">
        <f t="shared" si="94"/>
        <v>2.58</v>
      </c>
      <c r="AZ260">
        <f t="shared" si="95"/>
        <v>2.58</v>
      </c>
      <c r="BC260">
        <f t="shared" si="96"/>
        <v>4.5999999999999999E-2</v>
      </c>
      <c r="BD260">
        <f t="shared" si="97"/>
        <v>0</v>
      </c>
      <c r="BE260">
        <f t="shared" si="98"/>
        <v>2.58</v>
      </c>
      <c r="BF260">
        <f t="shared" si="99"/>
        <v>0</v>
      </c>
      <c r="BG260">
        <f t="shared" si="100"/>
        <v>2.4E-2</v>
      </c>
      <c r="BH260">
        <f>VLOOKUP(B260,Miljö!$B$1:$BX$482,MATCH("Fossilandel för ursprungspecificerad el ()",Miljö!$B$1:$I$1,0),FALSE)</f>
        <v>0</v>
      </c>
      <c r="BI260">
        <f>VLOOKUP(B260,Miljö!$B$1:$BX$482,MATCH("Kärnkraftsandel för ursprungsspecificerad el ()",Miljö!$B$1:$O$1,0),FALSE)</f>
        <v>0</v>
      </c>
      <c r="BJ260">
        <f t="shared" si="101"/>
        <v>0</v>
      </c>
      <c r="BK260" t="str">
        <f>VLOOKUP(B260,Miljö!$B$1:$O$482,MATCH("Fossil andel i procent (%)",Miljö!$B$1:$O$1,0),FALSE)</f>
        <v>ET</v>
      </c>
      <c r="BL260">
        <f t="shared" si="102"/>
        <v>2.65</v>
      </c>
      <c r="BO260" s="18">
        <f t="shared" si="103"/>
        <v>1.7358490566037735E-2</v>
      </c>
      <c r="BP260" s="18">
        <f t="shared" si="104"/>
        <v>0</v>
      </c>
      <c r="BQ260" s="18">
        <f t="shared" si="105"/>
        <v>0.98264150943396233</v>
      </c>
      <c r="BR260" s="18">
        <f t="shared" si="106"/>
        <v>0</v>
      </c>
      <c r="BT260" s="27">
        <f t="shared" si="107"/>
        <v>1</v>
      </c>
      <c r="BW260" s="18">
        <f>IF(AP260="ja",VLOOKUP(B260,Miljövärden!$B$2:$H$550,MATCH("Total andel fossilt",Miljövärden!$B$2:$H$2,0),FALSE),"")</f>
        <v>1.7358499999999999E-2</v>
      </c>
      <c r="BZ260" s="28">
        <f t="shared" si="108"/>
        <v>9.4339622641603782E-9</v>
      </c>
      <c r="CA260" s="28">
        <f t="shared" si="109"/>
        <v>0</v>
      </c>
    </row>
    <row r="261" spans="1:79" x14ac:dyDescent="0.25">
      <c r="A261" s="224" t="s">
        <v>552</v>
      </c>
      <c r="B261" s="210" t="s">
        <v>557</v>
      </c>
      <c r="C261" s="121">
        <f>VLOOKUP($B261,'Tillförd energi'!$B$1:$AI$720,MATCH(C$1,'Tillförd energi'!$B$1:$AQ$1,0),FALSE)</f>
        <v>0</v>
      </c>
      <c r="D261" s="121">
        <f>VLOOKUP($B261,'Tillförd energi'!$B$1:$AI$720,MATCH(D$1,'Tillförd energi'!$B$1:$AQ$1,0),FALSE)</f>
        <v>5.2999999999999999E-2</v>
      </c>
      <c r="E261" s="121">
        <f>VLOOKUP($B261,'Tillförd energi'!$B$1:$AI$720,MATCH(E$1,'Tillförd energi'!$B$1:$AQ$1,0),FALSE)</f>
        <v>0</v>
      </c>
      <c r="F261" s="121">
        <f>VLOOKUP($B261,'Tillförd energi'!$B$1:$AI$720,MATCH(F$1,'Tillförd energi'!$B$1:$AQ$1,0),FALSE)</f>
        <v>0</v>
      </c>
      <c r="G261" s="121">
        <f>VLOOKUP($B261,'Tillförd energi'!$B$1:$AI$720,MATCH(G$1,'Tillförd energi'!$B$1:$AQ$1,0),FALSE)</f>
        <v>0</v>
      </c>
      <c r="H261" s="121">
        <f>VLOOKUP($B261,'Tillförd energi'!$B$1:$AI$720,MATCH(H$1,'Tillförd energi'!$B$1:$AQ$1,0),FALSE)</f>
        <v>0</v>
      </c>
      <c r="I261" s="121">
        <f>VLOOKUP($B261,'Tillförd energi'!$B$1:$AI$720,MATCH(I$1,'Tillförd energi'!$B$1:$AQ$1,0),FALSE)</f>
        <v>0</v>
      </c>
      <c r="J261" s="121">
        <f>VLOOKUP($B261,'Tillförd energi'!$B$1:$AI$720,MATCH(J$1,'Tillförd energi'!$B$1:$AQ$1,0),FALSE)</f>
        <v>0</v>
      </c>
      <c r="K261" s="121">
        <f>VLOOKUP($B261,'Tillförd energi'!$B$1:$AI$720,MATCH(K$1,'Tillförd energi'!$B$1:$AQ$1,0),FALSE)</f>
        <v>0</v>
      </c>
      <c r="L261" s="121">
        <f>VLOOKUP($B261,'Tillförd energi'!$B$1:$AI$720,MATCH(L$1,'Tillförd energi'!$B$1:$AQ$1,0),FALSE)</f>
        <v>0</v>
      </c>
      <c r="M261" s="121">
        <f>VLOOKUP($B261,'Tillförd energi'!$B$1:$AI$720,MATCH(M$1,'Tillförd energi'!$B$1:$AQ$1,0),FALSE)</f>
        <v>0</v>
      </c>
      <c r="N261" s="121">
        <f>VLOOKUP($B261,'Tillförd energi'!$B$1:$AI$720,MATCH(N$1,'Tillförd energi'!$B$1:$AQ$1,0),FALSE)</f>
        <v>0</v>
      </c>
      <c r="O261" s="121">
        <f>VLOOKUP($B261,'Tillförd energi'!$B$1:$AI$720,MATCH(O$1,'Tillförd energi'!$B$1:$AQ$1,0),FALSE)</f>
        <v>0</v>
      </c>
      <c r="P261" s="121">
        <f>VLOOKUP($B261,'Tillförd energi'!$B$1:$AI$720,MATCH(P$1,'Tillförd energi'!$B$1:$AQ$1,0),FALSE)</f>
        <v>0</v>
      </c>
      <c r="Q261" s="121">
        <f>VLOOKUP($B261,'Tillförd energi'!$B$1:$AI$720,MATCH(Q$1,'Tillförd energi'!$B$1:$AQ$1,0),FALSE)</f>
        <v>0</v>
      </c>
      <c r="R261" s="121">
        <f>VLOOKUP($B261,'Tillförd energi'!$B$1:$AI$720,MATCH(R$1,'Tillförd energi'!$B$1:$AQ$1,0),FALSE)</f>
        <v>3.9510000000000001</v>
      </c>
      <c r="S261" s="121">
        <f>VLOOKUP($B261,'Tillförd energi'!$B$1:$AI$720,MATCH(S$1,'Tillförd energi'!$B$1:$AQ$1,0),FALSE)</f>
        <v>0</v>
      </c>
      <c r="T261" s="121">
        <f>VLOOKUP($B261,'Tillförd energi'!$B$1:$AI$720,MATCH(T$1,'Tillförd energi'!$B$1:$AQ$1,0),FALSE)</f>
        <v>0</v>
      </c>
      <c r="U261" s="121">
        <f>VLOOKUP($B261,'Tillförd energi'!$B$1:$AI$720,MATCH(U$1,'Tillförd energi'!$B$1:$AQ$1,0),FALSE)</f>
        <v>0</v>
      </c>
      <c r="V261" s="121">
        <f>VLOOKUP($B261,'Tillförd energi'!$B$1:$AI$720,MATCH(V$1,'Tillförd energi'!$B$1:$AQ$1,0),FALSE)</f>
        <v>0</v>
      </c>
      <c r="W261" s="121">
        <f>VLOOKUP($B261,'Tillförd energi'!$B$1:$AI$720,MATCH(W$1,'Tillförd energi'!$B$1:$AQ$1,0),FALSE)</f>
        <v>0</v>
      </c>
      <c r="X261" s="121">
        <f>VLOOKUP($B261,'Tillförd energi'!$B$1:$AI$720,MATCH(X$1,'Tillförd energi'!$B$1:$AQ$1,0),FALSE)</f>
        <v>0</v>
      </c>
      <c r="Y261" s="121">
        <f>VLOOKUP($B261,'Tillförd energi'!$B$1:$AI$720,MATCH(Y$1,'Tillförd energi'!$B$1:$AQ$1,0),FALSE)</f>
        <v>0</v>
      </c>
      <c r="Z261" s="121">
        <f>VLOOKUP($B261,'Tillförd energi'!$B$1:$AI$720,MATCH(Z$1,'Tillförd energi'!$B$1:$AQ$1,0),FALSE)</f>
        <v>0</v>
      </c>
      <c r="AA261" s="121">
        <f>VLOOKUP($B261,'Tillförd energi'!$B$1:$AI$720,MATCH(AA$1,'Tillförd energi'!$B$1:$AQ$1,0),FALSE)</f>
        <v>0</v>
      </c>
      <c r="AB261" s="121">
        <f>VLOOKUP($B261,'Tillförd energi'!$B$1:$AI$720,MATCH(AB$1,'Tillförd energi'!$B$1:$AQ$1,0),FALSE)</f>
        <v>0</v>
      </c>
      <c r="AC261" s="121">
        <f>VLOOKUP($B261,'Tillförd energi'!$B$1:$AI$720,MATCH(AC$1,'Tillförd energi'!$B$1:$AQ$1,0),FALSE)</f>
        <v>0</v>
      </c>
      <c r="AD261" s="121">
        <f>VLOOKUP($B261,'Tillförd energi'!$B$1:$AI$720,MATCH(AD$1,'Tillförd energi'!$B$1:$AQ$1,0),FALSE)</f>
        <v>0</v>
      </c>
      <c r="AE261" s="121">
        <f>VLOOKUP($B261,'Tillförd energi'!$B$1:$AI$720,MATCH(AE$1,'Tillförd energi'!$B$1:$AQ$1,0),FALSE)</f>
        <v>0</v>
      </c>
      <c r="AF261" s="121">
        <f>VLOOKUP($B261,'Tillförd energi'!$B$1:$AI$720,MATCH(AF$1,'Tillförd energi'!$B$1:$AQ$1,0),FALSE)</f>
        <v>5.1999999999999998E-2</v>
      </c>
      <c r="AG261" s="121">
        <f>IFERROR(VLOOKUP(B261,Miljö!$B$1:$AC$550,MATCH("Köpt mängd produktionsspecifik fjärrvärme:",Miljö!$B$1:$AC$1,0),FALSE)/1,0)</f>
        <v>0</v>
      </c>
      <c r="AH261" s="121"/>
      <c r="AI261" s="121">
        <f t="shared" si="88"/>
        <v>4.056</v>
      </c>
      <c r="AJ261" s="121">
        <f t="shared" si="89"/>
        <v>4.056</v>
      </c>
      <c r="AK261" s="121">
        <f>IF(ISERROR(1/VLOOKUP($B261,Leveranser!$B$1:$S$499,MATCH("såld värme (gwh)",Leveranser!$B$1:$S$1,0),FALSE)),"",VLOOKUP($B261,Leveranser!$B$1:$S$499,MATCH("såld värme (gwh)",Leveranser!$B$1:$S$1,0),FALSE))</f>
        <v>3.2269999999999999</v>
      </c>
      <c r="AL261" s="121">
        <f>VLOOKUP($B261,Leveranser!$B$1:$Y$499,MATCH("Totalt såld fjärrvärme till andra fjärrvärmeföretag",Leveranser!$B$1:$AA$1,0),FALSE)</f>
        <v>0</v>
      </c>
      <c r="AM261" s="121">
        <f>IF(ISERROR(1/VLOOKUP($B261,Miljö!$B$1:$S$500,MATCH("Såld mängd produktionsspecifik fjärrvärme (GWh)",Miljö!$B$1:$R$1,0),FALSE)),0,VLOOKUP($B261,Miljö!$B$1:$S$500,MATCH("Såld mängd produktionsspecifik fjärrvärme (GWh)",Miljö!$B$1:$R$1,0),FALSE))</f>
        <v>0</v>
      </c>
      <c r="AN261" s="172">
        <f t="shared" si="90"/>
        <v>0.79561143984220906</v>
      </c>
      <c r="AO261" s="121"/>
      <c r="AP261" s="121" t="str">
        <f>IFERROR(VLOOKUP($B261,Miljövärden!$B$2:$H$550,7,FALSE),"Nej, saknas")</f>
        <v>Ja</v>
      </c>
      <c r="AQ261" s="121" t="str">
        <f>IFERROR(VLOOKUP($B261,Miljövärden!$B$2:$H$550,6,FALSE),"Nej, saknas")</f>
        <v>Ja</v>
      </c>
      <c r="AU261">
        <f t="shared" si="91"/>
        <v>5.1999999999999998E-2</v>
      </c>
      <c r="AV261">
        <f t="shared" si="92"/>
        <v>0</v>
      </c>
      <c r="AW261">
        <f t="shared" si="93"/>
        <v>0</v>
      </c>
      <c r="AX261">
        <f t="shared" si="94"/>
        <v>3.9510000000000001</v>
      </c>
      <c r="AZ261">
        <f t="shared" si="95"/>
        <v>3.9510000000000001</v>
      </c>
      <c r="BC261">
        <f t="shared" si="96"/>
        <v>5.2999999999999999E-2</v>
      </c>
      <c r="BD261">
        <f t="shared" si="97"/>
        <v>0</v>
      </c>
      <c r="BE261">
        <f t="shared" si="98"/>
        <v>3.9510000000000001</v>
      </c>
      <c r="BF261">
        <f t="shared" si="99"/>
        <v>0</v>
      </c>
      <c r="BG261">
        <f t="shared" si="100"/>
        <v>5.1999999999999998E-2</v>
      </c>
      <c r="BH261">
        <f>VLOOKUP(B261,Miljö!$B$1:$BX$482,MATCH("Fossilandel för ursprungspecificerad el ()",Miljö!$B$1:$I$1,0),FALSE)</f>
        <v>0</v>
      </c>
      <c r="BI261">
        <f>VLOOKUP(B261,Miljö!$B$1:$BX$482,MATCH("Kärnkraftsandel för ursprungsspecificerad el ()",Miljö!$B$1:$O$1,0),FALSE)</f>
        <v>0</v>
      </c>
      <c r="BJ261">
        <f t="shared" si="101"/>
        <v>0</v>
      </c>
      <c r="BK261" t="str">
        <f>VLOOKUP(B261,Miljö!$B$1:$O$482,MATCH("Fossil andel i procent (%)",Miljö!$B$1:$O$1,0),FALSE)</f>
        <v>ET</v>
      </c>
      <c r="BL261">
        <f t="shared" si="102"/>
        <v>4.056</v>
      </c>
      <c r="BO261" s="18">
        <f t="shared" si="103"/>
        <v>1.306706114398422E-2</v>
      </c>
      <c r="BP261" s="18">
        <f t="shared" si="104"/>
        <v>0</v>
      </c>
      <c r="BQ261" s="18">
        <f t="shared" si="105"/>
        <v>0.98693293885601574</v>
      </c>
      <c r="BR261" s="18">
        <f t="shared" si="106"/>
        <v>0</v>
      </c>
      <c r="BT261" s="27">
        <f t="shared" si="107"/>
        <v>1</v>
      </c>
      <c r="BW261" s="18">
        <f>IF(AP261="ja",VLOOKUP(B261,Miljövärden!$B$2:$H$550,MATCH("Total andel fossilt",Miljövärden!$B$2:$H$2,0),FALSE),"")</f>
        <v>1.30671E-2</v>
      </c>
      <c r="BZ261" s="28">
        <f t="shared" si="108"/>
        <v>3.8856015779908937E-8</v>
      </c>
      <c r="CA261" s="28">
        <f t="shared" si="109"/>
        <v>0</v>
      </c>
    </row>
    <row r="262" spans="1:79" x14ac:dyDescent="0.25">
      <c r="A262" s="224" t="s">
        <v>558</v>
      </c>
      <c r="B262" s="210" t="s">
        <v>559</v>
      </c>
      <c r="C262" s="121">
        <f>VLOOKUP($B262,'Tillförd energi'!$B$1:$AI$720,MATCH(C$1,'Tillförd energi'!$B$1:$AQ$1,0),FALSE)</f>
        <v>0</v>
      </c>
      <c r="D262" s="121">
        <f>VLOOKUP($B262,'Tillförd energi'!$B$1:$AI$720,MATCH(D$1,'Tillförd energi'!$B$1:$AQ$1,0),FALSE)</f>
        <v>0.40799999999999997</v>
      </c>
      <c r="E262" s="121">
        <f>VLOOKUP($B262,'Tillförd energi'!$B$1:$AI$720,MATCH(E$1,'Tillförd energi'!$B$1:$AQ$1,0),FALSE)</f>
        <v>0</v>
      </c>
      <c r="F262" s="121">
        <f>VLOOKUP($B262,'Tillförd energi'!$B$1:$AI$720,MATCH(F$1,'Tillförd energi'!$B$1:$AQ$1,0),FALSE)</f>
        <v>0</v>
      </c>
      <c r="G262" s="121">
        <f>VLOOKUP($B262,'Tillförd energi'!$B$1:$AI$720,MATCH(G$1,'Tillförd energi'!$B$1:$AQ$1,0),FALSE)</f>
        <v>0</v>
      </c>
      <c r="H262" s="121">
        <f>VLOOKUP($B262,'Tillförd energi'!$B$1:$AI$720,MATCH(H$1,'Tillförd energi'!$B$1:$AQ$1,0),FALSE)</f>
        <v>0</v>
      </c>
      <c r="I262" s="121">
        <f>VLOOKUP($B262,'Tillförd energi'!$B$1:$AI$720,MATCH(I$1,'Tillförd energi'!$B$1:$AQ$1,0),FALSE)</f>
        <v>0</v>
      </c>
      <c r="J262" s="121">
        <f>VLOOKUP($B262,'Tillförd energi'!$B$1:$AI$720,MATCH(J$1,'Tillförd energi'!$B$1:$AQ$1,0),FALSE)</f>
        <v>0</v>
      </c>
      <c r="K262" s="121">
        <f>VLOOKUP($B262,'Tillförd energi'!$B$1:$AI$720,MATCH(K$1,'Tillförd energi'!$B$1:$AQ$1,0),FALSE)</f>
        <v>0</v>
      </c>
      <c r="L262" s="121">
        <f>VLOOKUP($B262,'Tillförd energi'!$B$1:$AI$720,MATCH(L$1,'Tillförd energi'!$B$1:$AQ$1,0),FALSE)</f>
        <v>0</v>
      </c>
      <c r="M262" s="121">
        <f>VLOOKUP($B262,'Tillförd energi'!$B$1:$AI$720,MATCH(M$1,'Tillförd energi'!$B$1:$AQ$1,0),FALSE)</f>
        <v>0</v>
      </c>
      <c r="N262" s="121">
        <f>VLOOKUP($B262,'Tillförd energi'!$B$1:$AI$720,MATCH(N$1,'Tillförd energi'!$B$1:$AQ$1,0),FALSE)</f>
        <v>0</v>
      </c>
      <c r="O262" s="121">
        <f>VLOOKUP($B262,'Tillförd energi'!$B$1:$AI$720,MATCH(O$1,'Tillförd energi'!$B$1:$AQ$1,0),FALSE)</f>
        <v>0</v>
      </c>
      <c r="P262" s="121">
        <f>VLOOKUP($B262,'Tillförd energi'!$B$1:$AI$720,MATCH(P$1,'Tillförd energi'!$B$1:$AQ$1,0),FALSE)</f>
        <v>0</v>
      </c>
      <c r="Q262" s="121">
        <f>VLOOKUP($B262,'Tillförd energi'!$B$1:$AI$720,MATCH(Q$1,'Tillförd energi'!$B$1:$AQ$1,0),FALSE)</f>
        <v>0</v>
      </c>
      <c r="R262" s="121">
        <f>VLOOKUP($B262,'Tillförd energi'!$B$1:$AI$720,MATCH(R$1,'Tillförd energi'!$B$1:$AQ$1,0),FALSE)</f>
        <v>19.085999999999999</v>
      </c>
      <c r="S262" s="121">
        <f>VLOOKUP($B262,'Tillförd energi'!$B$1:$AI$720,MATCH(S$1,'Tillförd energi'!$B$1:$AQ$1,0),FALSE)</f>
        <v>0</v>
      </c>
      <c r="T262" s="121">
        <f>VLOOKUP($B262,'Tillförd energi'!$B$1:$AI$720,MATCH(T$1,'Tillförd energi'!$B$1:$AQ$1,0),FALSE)</f>
        <v>0</v>
      </c>
      <c r="U262" s="121">
        <f>VLOOKUP($B262,'Tillförd energi'!$B$1:$AI$720,MATCH(U$1,'Tillförd energi'!$B$1:$AQ$1,0),FALSE)</f>
        <v>0</v>
      </c>
      <c r="V262" s="121">
        <f>VLOOKUP($B262,'Tillförd energi'!$B$1:$AI$720,MATCH(V$1,'Tillförd energi'!$B$1:$AQ$1,0),FALSE)</f>
        <v>0</v>
      </c>
      <c r="W262" s="121">
        <f>VLOOKUP($B262,'Tillförd energi'!$B$1:$AI$720,MATCH(W$1,'Tillförd energi'!$B$1:$AQ$1,0),FALSE)</f>
        <v>0</v>
      </c>
      <c r="X262" s="121">
        <f>VLOOKUP($B262,'Tillförd energi'!$B$1:$AI$720,MATCH(X$1,'Tillförd energi'!$B$1:$AQ$1,0),FALSE)</f>
        <v>0</v>
      </c>
      <c r="Y262" s="121">
        <f>VLOOKUP($B262,'Tillförd energi'!$B$1:$AI$720,MATCH(Y$1,'Tillförd energi'!$B$1:$AQ$1,0),FALSE)</f>
        <v>0</v>
      </c>
      <c r="Z262" s="121">
        <f>VLOOKUP($B262,'Tillförd energi'!$B$1:$AI$720,MATCH(Z$1,'Tillförd energi'!$B$1:$AQ$1,0),FALSE)</f>
        <v>2.1120000000000001</v>
      </c>
      <c r="AA262" s="121">
        <f>VLOOKUP($B262,'Tillförd energi'!$B$1:$AI$720,MATCH(AA$1,'Tillförd energi'!$B$1:$AQ$1,0),FALSE)</f>
        <v>0</v>
      </c>
      <c r="AB262" s="121">
        <f>VLOOKUP($B262,'Tillförd energi'!$B$1:$AI$720,MATCH(AB$1,'Tillförd energi'!$B$1:$AQ$1,0),FALSE)</f>
        <v>0</v>
      </c>
      <c r="AC262" s="121">
        <f>VLOOKUP($B262,'Tillförd energi'!$B$1:$AI$720,MATCH(AC$1,'Tillförd energi'!$B$1:$AQ$1,0),FALSE)</f>
        <v>0</v>
      </c>
      <c r="AD262" s="121">
        <f>VLOOKUP($B262,'Tillförd energi'!$B$1:$AI$720,MATCH(AD$1,'Tillförd energi'!$B$1:$AQ$1,0),FALSE)</f>
        <v>26.698</v>
      </c>
      <c r="AE262" s="121">
        <f>VLOOKUP($B262,'Tillförd energi'!$B$1:$AI$720,MATCH(AE$1,'Tillförd energi'!$B$1:$AQ$1,0),FALSE)</f>
        <v>0</v>
      </c>
      <c r="AF262" s="121">
        <f>VLOOKUP($B262,'Tillförd energi'!$B$1:$AI$720,MATCH(AF$1,'Tillförd energi'!$B$1:$AQ$1,0),FALSE)</f>
        <v>0.9</v>
      </c>
      <c r="AG262" s="121">
        <f>IFERROR(VLOOKUP(B262,Miljö!$B$1:$AC$550,MATCH("Köpt mängd produktionsspecifik fjärrvärme:",Miljö!$B$1:$AC$1,0),FALSE)/1,0)</f>
        <v>0</v>
      </c>
      <c r="AH262" s="121"/>
      <c r="AI262" s="121">
        <f t="shared" si="88"/>
        <v>49.204000000000001</v>
      </c>
      <c r="AJ262" s="121">
        <f t="shared" si="89"/>
        <v>49.204000000000001</v>
      </c>
      <c r="AK262" s="121">
        <f>IF(ISERROR(1/VLOOKUP($B262,Leveranser!$B$1:$S$499,MATCH("såld värme (gwh)",Leveranser!$B$1:$S$1,0),FALSE)),"",VLOOKUP($B262,Leveranser!$B$1:$S$499,MATCH("såld värme (gwh)",Leveranser!$B$1:$S$1,0),FALSE))</f>
        <v>43.204000000000001</v>
      </c>
      <c r="AL262" s="121">
        <f>VLOOKUP($B262,Leveranser!$B$1:$Y$499,MATCH("Totalt såld fjärrvärme till andra fjärrvärmeföretag",Leveranser!$B$1:$AA$1,0),FALSE)</f>
        <v>0</v>
      </c>
      <c r="AM262" s="121">
        <f>IF(ISERROR(1/VLOOKUP($B262,Miljö!$B$1:$S$500,MATCH("Såld mängd produktionsspecifik fjärrvärme (GWh)",Miljö!$B$1:$R$1,0),FALSE)),0,VLOOKUP($B262,Miljö!$B$1:$S$500,MATCH("Såld mängd produktionsspecifik fjärrvärme (GWh)",Miljö!$B$1:$R$1,0),FALSE))</f>
        <v>0</v>
      </c>
      <c r="AN262" s="172">
        <f t="shared" si="90"/>
        <v>0.87805869441508821</v>
      </c>
      <c r="AO262" s="121"/>
      <c r="AP262" s="121" t="str">
        <f>IFERROR(VLOOKUP($B262,Miljövärden!$B$2:$H$550,7,FALSE),"Nej, saknas")</f>
        <v>Ja</v>
      </c>
      <c r="AQ262" s="121" t="str">
        <f>IFERROR(VLOOKUP($B262,Miljövärden!$B$2:$H$550,6,FALSE),"Nej, saknas")</f>
        <v>Ja</v>
      </c>
      <c r="AU262">
        <f t="shared" si="91"/>
        <v>3.012</v>
      </c>
      <c r="AV262">
        <f t="shared" si="92"/>
        <v>0</v>
      </c>
      <c r="AW262">
        <f t="shared" si="93"/>
        <v>0</v>
      </c>
      <c r="AX262">
        <f t="shared" si="94"/>
        <v>19.085999999999999</v>
      </c>
      <c r="AZ262">
        <f t="shared" si="95"/>
        <v>19.085999999999999</v>
      </c>
      <c r="BC262">
        <f t="shared" si="96"/>
        <v>0.40799999999999997</v>
      </c>
      <c r="BD262">
        <f t="shared" si="97"/>
        <v>0</v>
      </c>
      <c r="BE262">
        <f t="shared" si="98"/>
        <v>19.085999999999999</v>
      </c>
      <c r="BF262">
        <f t="shared" si="99"/>
        <v>26.698</v>
      </c>
      <c r="BG262">
        <f t="shared" si="100"/>
        <v>3.012</v>
      </c>
      <c r="BH262">
        <f>VLOOKUP(B262,Miljö!$B$1:$BX$482,MATCH("Fossilandel för ursprungspecificerad el ()",Miljö!$B$1:$I$1,0),FALSE)</f>
        <v>0.43</v>
      </c>
      <c r="BI262">
        <f>VLOOKUP(B262,Miljö!$B$1:$BX$482,MATCH("Kärnkraftsandel för ursprungsspecificerad el ()",Miljö!$B$1:$O$1,0),FALSE)</f>
        <v>0.40550000000000003</v>
      </c>
      <c r="BJ262">
        <f t="shared" si="101"/>
        <v>0</v>
      </c>
      <c r="BK262" t="str">
        <f>VLOOKUP(B262,Miljö!$B$1:$O$482,MATCH("Fossil andel i procent (%)",Miljö!$B$1:$O$1,0),FALSE)</f>
        <v>ET</v>
      </c>
      <c r="BL262">
        <f t="shared" si="102"/>
        <v>49.204000000000001</v>
      </c>
      <c r="BO262" s="18">
        <f t="shared" si="103"/>
        <v>3.4614259003333064E-2</v>
      </c>
      <c r="BP262" s="18">
        <f t="shared" si="104"/>
        <v>2.4822494106170233E-2</v>
      </c>
      <c r="BQ262" s="18">
        <f t="shared" si="105"/>
        <v>0.39796508413950082</v>
      </c>
      <c r="BR262" s="18">
        <f t="shared" si="106"/>
        <v>0.54259816275099582</v>
      </c>
      <c r="BT262" s="27">
        <f t="shared" si="107"/>
        <v>1</v>
      </c>
      <c r="BW262" s="18">
        <f>IF(AP262="ja",VLOOKUP(B262,Miljövärden!$B$2:$H$550,MATCH("Total andel fossilt",Miljövärden!$B$2:$H$2,0),FALSE),"")</f>
        <v>3.4614300000000001E-2</v>
      </c>
      <c r="BZ262" s="28">
        <f t="shared" si="108"/>
        <v>4.099666693624382E-8</v>
      </c>
      <c r="CA262" s="28">
        <f t="shared" si="109"/>
        <v>0</v>
      </c>
    </row>
    <row r="263" spans="1:79" x14ac:dyDescent="0.25">
      <c r="A263" s="224" t="s">
        <v>558</v>
      </c>
      <c r="B263" s="210" t="s">
        <v>560</v>
      </c>
      <c r="C263" s="121">
        <f>VLOOKUP($B263,'Tillförd energi'!$B$1:$AI$720,MATCH(C$1,'Tillförd energi'!$B$1:$AQ$1,0),FALSE)</f>
        <v>0</v>
      </c>
      <c r="D263" s="121">
        <f>VLOOKUP($B263,'Tillförd energi'!$B$1:$AI$720,MATCH(D$1,'Tillförd energi'!$B$1:$AQ$1,0),FALSE)</f>
        <v>9.6000000000000002E-2</v>
      </c>
      <c r="E263" s="121">
        <f>VLOOKUP($B263,'Tillförd energi'!$B$1:$AI$720,MATCH(E$1,'Tillförd energi'!$B$1:$AQ$1,0),FALSE)</f>
        <v>0</v>
      </c>
      <c r="F263" s="121">
        <f>VLOOKUP($B263,'Tillförd energi'!$B$1:$AI$720,MATCH(F$1,'Tillförd energi'!$B$1:$AQ$1,0),FALSE)</f>
        <v>0</v>
      </c>
      <c r="G263" s="121">
        <f>VLOOKUP($B263,'Tillförd energi'!$B$1:$AI$720,MATCH(G$1,'Tillförd energi'!$B$1:$AQ$1,0),FALSE)</f>
        <v>0</v>
      </c>
      <c r="H263" s="121">
        <f>VLOOKUP($B263,'Tillförd energi'!$B$1:$AI$720,MATCH(H$1,'Tillförd energi'!$B$1:$AQ$1,0),FALSE)</f>
        <v>0</v>
      </c>
      <c r="I263" s="121">
        <f>VLOOKUP($B263,'Tillförd energi'!$B$1:$AI$720,MATCH(I$1,'Tillförd energi'!$B$1:$AQ$1,0),FALSE)</f>
        <v>0</v>
      </c>
      <c r="J263" s="121">
        <f>VLOOKUP($B263,'Tillförd energi'!$B$1:$AI$720,MATCH(J$1,'Tillförd energi'!$B$1:$AQ$1,0),FALSE)</f>
        <v>0</v>
      </c>
      <c r="K263" s="121">
        <f>VLOOKUP($B263,'Tillförd energi'!$B$1:$AI$720,MATCH(K$1,'Tillförd energi'!$B$1:$AQ$1,0),FALSE)</f>
        <v>0</v>
      </c>
      <c r="L263" s="121">
        <f>VLOOKUP($B263,'Tillförd energi'!$B$1:$AI$720,MATCH(L$1,'Tillförd energi'!$B$1:$AQ$1,0),FALSE)</f>
        <v>0</v>
      </c>
      <c r="M263" s="121">
        <f>VLOOKUP($B263,'Tillförd energi'!$B$1:$AI$720,MATCH(M$1,'Tillförd energi'!$B$1:$AQ$1,0),FALSE)</f>
        <v>0</v>
      </c>
      <c r="N263" s="121">
        <f>VLOOKUP($B263,'Tillförd energi'!$B$1:$AI$720,MATCH(N$1,'Tillförd energi'!$B$1:$AQ$1,0),FALSE)</f>
        <v>0</v>
      </c>
      <c r="O263" s="121">
        <f>VLOOKUP($B263,'Tillförd energi'!$B$1:$AI$720,MATCH(O$1,'Tillförd energi'!$B$1:$AQ$1,0),FALSE)</f>
        <v>0</v>
      </c>
      <c r="P263" s="121">
        <f>VLOOKUP($B263,'Tillförd energi'!$B$1:$AI$720,MATCH(P$1,'Tillförd energi'!$B$1:$AQ$1,0),FALSE)</f>
        <v>0</v>
      </c>
      <c r="Q263" s="121">
        <f>VLOOKUP($B263,'Tillförd energi'!$B$1:$AI$720,MATCH(Q$1,'Tillförd energi'!$B$1:$AQ$1,0),FALSE)</f>
        <v>5.4411800000000001</v>
      </c>
      <c r="R263" s="121">
        <f>VLOOKUP($B263,'Tillförd energi'!$B$1:$AI$720,MATCH(R$1,'Tillförd energi'!$B$1:$AQ$1,0),FALSE)</f>
        <v>0</v>
      </c>
      <c r="S263" s="121">
        <f>VLOOKUP($B263,'Tillförd energi'!$B$1:$AI$720,MATCH(S$1,'Tillförd energi'!$B$1:$AQ$1,0),FALSE)</f>
        <v>0</v>
      </c>
      <c r="T263" s="121">
        <f>VLOOKUP($B263,'Tillförd energi'!$B$1:$AI$720,MATCH(T$1,'Tillförd energi'!$B$1:$AQ$1,0),FALSE)</f>
        <v>0</v>
      </c>
      <c r="U263" s="121">
        <f>VLOOKUP($B263,'Tillförd energi'!$B$1:$AI$720,MATCH(U$1,'Tillförd energi'!$B$1:$AQ$1,0),FALSE)</f>
        <v>0</v>
      </c>
      <c r="V263" s="121">
        <f>VLOOKUP($B263,'Tillförd energi'!$B$1:$AI$720,MATCH(V$1,'Tillförd energi'!$B$1:$AQ$1,0),FALSE)</f>
        <v>0</v>
      </c>
      <c r="W263" s="121">
        <f>VLOOKUP($B263,'Tillförd energi'!$B$1:$AI$720,MATCH(W$1,'Tillförd energi'!$B$1:$AQ$1,0),FALSE)</f>
        <v>0</v>
      </c>
      <c r="X263" s="121">
        <f>VLOOKUP($B263,'Tillförd energi'!$B$1:$AI$720,MATCH(X$1,'Tillförd energi'!$B$1:$AQ$1,0),FALSE)</f>
        <v>0</v>
      </c>
      <c r="Y263" s="121">
        <f>VLOOKUP($B263,'Tillförd energi'!$B$1:$AI$720,MATCH(Y$1,'Tillförd energi'!$B$1:$AQ$1,0),FALSE)</f>
        <v>0</v>
      </c>
      <c r="Z263" s="121">
        <f>VLOOKUP($B263,'Tillförd energi'!$B$1:$AI$720,MATCH(Z$1,'Tillförd energi'!$B$1:$AQ$1,0),FALSE)</f>
        <v>0</v>
      </c>
      <c r="AA263" s="121">
        <f>VLOOKUP($B263,'Tillförd energi'!$B$1:$AI$720,MATCH(AA$1,'Tillförd energi'!$B$1:$AQ$1,0),FALSE)</f>
        <v>0</v>
      </c>
      <c r="AB263" s="121">
        <f>VLOOKUP($B263,'Tillförd energi'!$B$1:$AI$720,MATCH(AB$1,'Tillförd energi'!$B$1:$AQ$1,0),FALSE)</f>
        <v>0</v>
      </c>
      <c r="AC263" s="121">
        <f>VLOOKUP($B263,'Tillförd energi'!$B$1:$AI$720,MATCH(AC$1,'Tillförd energi'!$B$1:$AQ$1,0),FALSE)</f>
        <v>0</v>
      </c>
      <c r="AD263" s="121">
        <f>VLOOKUP($B263,'Tillförd energi'!$B$1:$AI$720,MATCH(AD$1,'Tillförd energi'!$B$1:$AQ$1,0),FALSE)</f>
        <v>0</v>
      </c>
      <c r="AE263" s="121">
        <f>VLOOKUP($B263,'Tillförd energi'!$B$1:$AI$720,MATCH(AE$1,'Tillförd energi'!$B$1:$AQ$1,0),FALSE)</f>
        <v>0</v>
      </c>
      <c r="AF263" s="121">
        <f>VLOOKUP($B263,'Tillförd energi'!$B$1:$AI$720,MATCH(AF$1,'Tillförd energi'!$B$1:$AQ$1,0),FALSE)</f>
        <v>0.1</v>
      </c>
      <c r="AG263" s="121">
        <f>IFERROR(VLOOKUP(B263,Miljö!$B$1:$AC$550,MATCH("Köpt mängd produktionsspecifik fjärrvärme:",Miljö!$B$1:$AC$1,0),FALSE)/1,0)</f>
        <v>0</v>
      </c>
      <c r="AH263" s="121"/>
      <c r="AI263" s="121">
        <f t="shared" si="88"/>
        <v>5.6371799999999999</v>
      </c>
      <c r="AJ263" s="121">
        <f t="shared" si="89"/>
        <v>5.6371799999999999</v>
      </c>
      <c r="AK263" s="121">
        <f>IF(ISERROR(1/VLOOKUP($B263,Leveranser!$B$1:$S$499,MATCH("såld värme (gwh)",Leveranser!$B$1:$S$1,0),FALSE)),"",VLOOKUP($B263,Leveranser!$B$1:$S$499,MATCH("såld värme (gwh)",Leveranser!$B$1:$S$1,0),FALSE))</f>
        <v>4.7210000000000001</v>
      </c>
      <c r="AL263" s="121">
        <f>VLOOKUP($B263,Leveranser!$B$1:$Y$499,MATCH("Totalt såld fjärrvärme till andra fjärrvärmeföretag",Leveranser!$B$1:$AA$1,0),FALSE)</f>
        <v>0</v>
      </c>
      <c r="AM263" s="121">
        <f>IF(ISERROR(1/VLOOKUP($B263,Miljö!$B$1:$S$500,MATCH("Såld mängd produktionsspecifik fjärrvärme (GWh)",Miljö!$B$1:$R$1,0),FALSE)),0,VLOOKUP($B263,Miljö!$B$1:$S$500,MATCH("Såld mängd produktionsspecifik fjärrvärme (GWh)",Miljö!$B$1:$R$1,0),FALSE))</f>
        <v>0</v>
      </c>
      <c r="AN263" s="172">
        <f t="shared" si="90"/>
        <v>0.83747547532631572</v>
      </c>
      <c r="AO263" s="121"/>
      <c r="AP263" s="121" t="str">
        <f>IFERROR(VLOOKUP($B263,Miljövärden!$B$2:$H$550,7,FALSE),"Nej, saknas")</f>
        <v>Ja</v>
      </c>
      <c r="AQ263" s="121" t="str">
        <f>IFERROR(VLOOKUP($B263,Miljövärden!$B$2:$H$550,6,FALSE),"Nej, saknas")</f>
        <v>Ja</v>
      </c>
      <c r="AU263">
        <f t="shared" si="91"/>
        <v>0.1</v>
      </c>
      <c r="AV263">
        <f t="shared" si="92"/>
        <v>0</v>
      </c>
      <c r="AW263">
        <f t="shared" si="93"/>
        <v>5.4411800000000001</v>
      </c>
      <c r="AX263">
        <f t="shared" si="94"/>
        <v>0</v>
      </c>
      <c r="AZ263">
        <f t="shared" si="95"/>
        <v>5.4411800000000001</v>
      </c>
      <c r="BC263">
        <f t="shared" si="96"/>
        <v>9.6000000000000002E-2</v>
      </c>
      <c r="BD263">
        <f t="shared" si="97"/>
        <v>0</v>
      </c>
      <c r="BE263">
        <f t="shared" si="98"/>
        <v>5.4411800000000001</v>
      </c>
      <c r="BF263">
        <f t="shared" si="99"/>
        <v>0</v>
      </c>
      <c r="BG263">
        <f t="shared" si="100"/>
        <v>0.1</v>
      </c>
      <c r="BH263">
        <f>VLOOKUP(B263,Miljö!$B$1:$BX$482,MATCH("Fossilandel för ursprungspecificerad el ()",Miljö!$B$1:$I$1,0),FALSE)</f>
        <v>0.43</v>
      </c>
      <c r="BI263">
        <f>VLOOKUP(B263,Miljö!$B$1:$BX$482,MATCH("Kärnkraftsandel för ursprungsspecificerad el ()",Miljö!$B$1:$O$1,0),FALSE)</f>
        <v>0.40550000000000003</v>
      </c>
      <c r="BJ263">
        <f t="shared" si="101"/>
        <v>0</v>
      </c>
      <c r="BK263" t="str">
        <f>VLOOKUP(B263,Miljö!$B$1:$O$482,MATCH("Fossil andel i procent (%)",Miljö!$B$1:$O$1,0),FALSE)</f>
        <v>ET</v>
      </c>
      <c r="BL263">
        <f t="shared" si="102"/>
        <v>5.6371799999999999</v>
      </c>
      <c r="BO263" s="18">
        <f t="shared" si="103"/>
        <v>2.4657718930387183E-2</v>
      </c>
      <c r="BP263" s="18">
        <f t="shared" si="104"/>
        <v>7.193312968541009E-3</v>
      </c>
      <c r="BQ263" s="18">
        <f t="shared" si="105"/>
        <v>0.96814896810107187</v>
      </c>
      <c r="BR263" s="18">
        <f t="shared" si="106"/>
        <v>0</v>
      </c>
      <c r="BT263" s="27">
        <f t="shared" si="107"/>
        <v>1</v>
      </c>
      <c r="BW263" s="18">
        <f>IF(AP263="ja",VLOOKUP(B263,Miljövärden!$B$2:$H$550,MATCH("Total andel fossilt",Miljövärden!$B$2:$H$2,0),FALSE),"")</f>
        <v>2.4657700000000001E-2</v>
      </c>
      <c r="BZ263" s="28">
        <f t="shared" si="108"/>
        <v>-1.8930387181426145E-8</v>
      </c>
      <c r="CA263" s="28">
        <f t="shared" si="109"/>
        <v>0</v>
      </c>
    </row>
    <row r="264" spans="1:79" x14ac:dyDescent="0.25">
      <c r="A264" s="224" t="s">
        <v>561</v>
      </c>
      <c r="B264" s="210" t="s">
        <v>562</v>
      </c>
      <c r="C264" s="121">
        <f>VLOOKUP($B264,'Tillförd energi'!$B$1:$AI$720,MATCH(C$1,'Tillförd energi'!$B$1:$AQ$1,0),FALSE)</f>
        <v>0</v>
      </c>
      <c r="D264" s="121">
        <f>VLOOKUP($B264,'Tillförd energi'!$B$1:$AI$720,MATCH(D$1,'Tillförd energi'!$B$1:$AQ$1,0),FALSE)</f>
        <v>0</v>
      </c>
      <c r="E264" s="121">
        <f>VLOOKUP($B264,'Tillförd energi'!$B$1:$AI$720,MATCH(E$1,'Tillförd energi'!$B$1:$AQ$1,0),FALSE)</f>
        <v>0</v>
      </c>
      <c r="F264" s="121">
        <f>VLOOKUP($B264,'Tillförd energi'!$B$1:$AI$720,MATCH(F$1,'Tillförd energi'!$B$1:$AQ$1,0),FALSE)</f>
        <v>0</v>
      </c>
      <c r="G264" s="121">
        <f>VLOOKUP($B264,'Tillförd energi'!$B$1:$AI$720,MATCH(G$1,'Tillförd energi'!$B$1:$AQ$1,0),FALSE)</f>
        <v>0</v>
      </c>
      <c r="H264" s="121">
        <f>VLOOKUP($B264,'Tillförd energi'!$B$1:$AI$720,MATCH(H$1,'Tillförd energi'!$B$1:$AQ$1,0),FALSE)</f>
        <v>0</v>
      </c>
      <c r="I264" s="121">
        <f>VLOOKUP($B264,'Tillförd energi'!$B$1:$AI$720,MATCH(I$1,'Tillförd energi'!$B$1:$AQ$1,0),FALSE)</f>
        <v>0</v>
      </c>
      <c r="J264" s="121">
        <f>VLOOKUP($B264,'Tillförd energi'!$B$1:$AI$720,MATCH(J$1,'Tillförd energi'!$B$1:$AQ$1,0),FALSE)</f>
        <v>0</v>
      </c>
      <c r="K264" s="121">
        <f>VLOOKUP($B264,'Tillförd energi'!$B$1:$AI$720,MATCH(K$1,'Tillförd energi'!$B$1:$AQ$1,0),FALSE)</f>
        <v>0</v>
      </c>
      <c r="L264" s="121">
        <f>VLOOKUP($B264,'Tillförd energi'!$B$1:$AI$720,MATCH(L$1,'Tillförd energi'!$B$1:$AQ$1,0),FALSE)</f>
        <v>0</v>
      </c>
      <c r="M264" s="121">
        <f>VLOOKUP($B264,'Tillförd energi'!$B$1:$AI$720,MATCH(M$1,'Tillförd energi'!$B$1:$AQ$1,0),FALSE)</f>
        <v>0</v>
      </c>
      <c r="N264" s="121">
        <f>VLOOKUP($B264,'Tillförd energi'!$B$1:$AI$720,MATCH(N$1,'Tillförd energi'!$B$1:$AQ$1,0),FALSE)</f>
        <v>0</v>
      </c>
      <c r="O264" s="121">
        <f>VLOOKUP($B264,'Tillförd energi'!$B$1:$AI$720,MATCH(O$1,'Tillförd energi'!$B$1:$AQ$1,0),FALSE)</f>
        <v>0</v>
      </c>
      <c r="P264" s="121">
        <f>VLOOKUP($B264,'Tillförd energi'!$B$1:$AI$720,MATCH(P$1,'Tillförd energi'!$B$1:$AQ$1,0),FALSE)</f>
        <v>0</v>
      </c>
      <c r="Q264" s="121">
        <f>VLOOKUP($B264,'Tillförd energi'!$B$1:$AI$720,MATCH(Q$1,'Tillförd energi'!$B$1:$AQ$1,0),FALSE)</f>
        <v>0</v>
      </c>
      <c r="R264" s="121">
        <f>VLOOKUP($B264,'Tillförd energi'!$B$1:$AI$720,MATCH(R$1,'Tillförd energi'!$B$1:$AQ$1,0),FALSE)</f>
        <v>0</v>
      </c>
      <c r="S264" s="121">
        <f>VLOOKUP($B264,'Tillförd energi'!$B$1:$AI$720,MATCH(S$1,'Tillförd energi'!$B$1:$AQ$1,0),FALSE)</f>
        <v>0</v>
      </c>
      <c r="T264" s="121">
        <f>VLOOKUP($B264,'Tillförd energi'!$B$1:$AI$720,MATCH(T$1,'Tillförd energi'!$B$1:$AQ$1,0),FALSE)</f>
        <v>0</v>
      </c>
      <c r="U264" s="121">
        <f>VLOOKUP($B264,'Tillförd energi'!$B$1:$AI$720,MATCH(U$1,'Tillförd energi'!$B$1:$AQ$1,0),FALSE)</f>
        <v>0</v>
      </c>
      <c r="V264" s="121">
        <f>VLOOKUP($B264,'Tillförd energi'!$B$1:$AI$720,MATCH(V$1,'Tillförd energi'!$B$1:$AQ$1,0),FALSE)</f>
        <v>0</v>
      </c>
      <c r="W264" s="121">
        <f>VLOOKUP($B264,'Tillförd energi'!$B$1:$AI$720,MATCH(W$1,'Tillförd energi'!$B$1:$AQ$1,0),FALSE)</f>
        <v>0</v>
      </c>
      <c r="X264" s="121">
        <f>VLOOKUP($B264,'Tillförd energi'!$B$1:$AI$720,MATCH(X$1,'Tillförd energi'!$B$1:$AQ$1,0),FALSE)</f>
        <v>0</v>
      </c>
      <c r="Y264" s="121">
        <f>VLOOKUP($B264,'Tillförd energi'!$B$1:$AI$720,MATCH(Y$1,'Tillförd energi'!$B$1:$AQ$1,0),FALSE)</f>
        <v>0</v>
      </c>
      <c r="Z264" s="121">
        <f>VLOOKUP($B264,'Tillförd energi'!$B$1:$AI$720,MATCH(Z$1,'Tillförd energi'!$B$1:$AQ$1,0),FALSE)</f>
        <v>0</v>
      </c>
      <c r="AA264" s="121">
        <f>VLOOKUP($B264,'Tillförd energi'!$B$1:$AI$720,MATCH(AA$1,'Tillförd energi'!$B$1:$AQ$1,0),FALSE)</f>
        <v>0</v>
      </c>
      <c r="AB264" s="121">
        <f>VLOOKUP($B264,'Tillförd energi'!$B$1:$AI$720,MATCH(AB$1,'Tillförd energi'!$B$1:$AQ$1,0),FALSE)</f>
        <v>0</v>
      </c>
      <c r="AC264" s="121">
        <f>VLOOKUP($B264,'Tillförd energi'!$B$1:$AI$720,MATCH(AC$1,'Tillförd energi'!$B$1:$AQ$1,0),FALSE)</f>
        <v>0</v>
      </c>
      <c r="AD264" s="121">
        <f>VLOOKUP($B264,'Tillförd energi'!$B$1:$AI$720,MATCH(AD$1,'Tillförd energi'!$B$1:$AQ$1,0),FALSE)</f>
        <v>0</v>
      </c>
      <c r="AE264" s="121">
        <f>VLOOKUP($B264,'Tillförd energi'!$B$1:$AI$720,MATCH(AE$1,'Tillförd energi'!$B$1:$AQ$1,0),FALSE)</f>
        <v>0</v>
      </c>
      <c r="AF264" s="121">
        <f>VLOOKUP($B264,'Tillförd energi'!$B$1:$AI$720,MATCH(AF$1,'Tillförd energi'!$B$1:$AQ$1,0),FALSE)</f>
        <v>9.06</v>
      </c>
      <c r="AG264" s="121">
        <f>IFERROR(VLOOKUP(B264,Miljö!$B$1:$AC$550,MATCH("Köpt mängd produktionsspecifik fjärrvärme:",Miljö!$B$1:$AC$1,0),FALSE)/1,0)</f>
        <v>342.49700000000001</v>
      </c>
      <c r="AH264" s="121"/>
      <c r="AI264" s="121">
        <f t="shared" si="88"/>
        <v>9.06</v>
      </c>
      <c r="AJ264" s="121">
        <f t="shared" si="89"/>
        <v>351.55700000000002</v>
      </c>
      <c r="AK264" s="121">
        <f>IF(ISERROR(1/VLOOKUP($B264,Leveranser!$B$1:$S$499,MATCH("såld värme (gwh)",Leveranser!$B$1:$S$1,0),FALSE)),"",VLOOKUP($B264,Leveranser!$B$1:$S$499,MATCH("såld värme (gwh)",Leveranser!$B$1:$S$1,0),FALSE))</f>
        <v>302</v>
      </c>
      <c r="AL264" s="121">
        <f>VLOOKUP($B264,Leveranser!$B$1:$Y$499,MATCH("Totalt såld fjärrvärme till andra fjärrvärmeföretag",Leveranser!$B$1:$AA$1,0),FALSE)</f>
        <v>0</v>
      </c>
      <c r="AM264" s="121">
        <f>IF(ISERROR(1/VLOOKUP($B264,Miljö!$B$1:$S$500,MATCH("Såld mängd produktionsspecifik fjärrvärme (GWh)",Miljö!$B$1:$R$1,0),FALSE)),0,VLOOKUP($B264,Miljö!$B$1:$S$500,MATCH("Såld mängd produktionsspecifik fjärrvärme (GWh)",Miljö!$B$1:$R$1,0),FALSE))</f>
        <v>0</v>
      </c>
      <c r="AN264" s="172">
        <f t="shared" si="90"/>
        <v>0.8590356613579021</v>
      </c>
      <c r="AO264" s="121"/>
      <c r="AP264" s="121" t="str">
        <f>IFERROR(VLOOKUP($B264,Miljövärden!$B$2:$H$550,7,FALSE),"Nej, saknas")</f>
        <v>Ja</v>
      </c>
      <c r="AQ264" s="121" t="str">
        <f>IFERROR(VLOOKUP($B264,Miljövärden!$B$2:$H$550,6,FALSE),"Nej, saknas")</f>
        <v>Ja</v>
      </c>
      <c r="AU264">
        <f t="shared" si="91"/>
        <v>9.06</v>
      </c>
      <c r="AV264">
        <f t="shared" si="92"/>
        <v>0</v>
      </c>
      <c r="AW264">
        <f t="shared" si="93"/>
        <v>0</v>
      </c>
      <c r="AX264">
        <f t="shared" si="94"/>
        <v>0</v>
      </c>
      <c r="AZ264">
        <f t="shared" si="95"/>
        <v>0</v>
      </c>
      <c r="BC264">
        <f t="shared" si="96"/>
        <v>0</v>
      </c>
      <c r="BD264">
        <f t="shared" si="97"/>
        <v>0</v>
      </c>
      <c r="BE264">
        <f t="shared" si="98"/>
        <v>0</v>
      </c>
      <c r="BF264">
        <f t="shared" si="99"/>
        <v>0</v>
      </c>
      <c r="BG264">
        <f t="shared" si="100"/>
        <v>9.06</v>
      </c>
      <c r="BH264">
        <f>VLOOKUP(B264,Miljö!$B$1:$BX$482,MATCH("Fossilandel för ursprungspecificerad el ()",Miljö!$B$1:$I$1,0),FALSE)</f>
        <v>0</v>
      </c>
      <c r="BI264">
        <f>VLOOKUP(B264,Miljö!$B$1:$BX$482,MATCH("Kärnkraftsandel för ursprungsspecificerad el ()",Miljö!$B$1:$O$1,0),FALSE)</f>
        <v>0</v>
      </c>
      <c r="BJ264">
        <f t="shared" si="101"/>
        <v>342.49700000000001</v>
      </c>
      <c r="BK264">
        <f>VLOOKUP(B264,Miljö!$B$1:$O$482,MATCH("Fossil andel i procent (%)",Miljö!$B$1:$O$1,0),FALSE)</f>
        <v>0</v>
      </c>
      <c r="BL264">
        <f t="shared" si="102"/>
        <v>351.55700000000002</v>
      </c>
      <c r="BO264" s="18">
        <f t="shared" si="103"/>
        <v>0</v>
      </c>
      <c r="BP264" s="18">
        <f t="shared" si="104"/>
        <v>0.97422893015926293</v>
      </c>
      <c r="BQ264" s="18">
        <f t="shared" si="105"/>
        <v>2.5771069840737064E-2</v>
      </c>
      <c r="BR264" s="18">
        <f t="shared" si="106"/>
        <v>0</v>
      </c>
      <c r="BT264" s="27">
        <f t="shared" si="107"/>
        <v>1</v>
      </c>
      <c r="BW264" s="18">
        <f>IF(AP264="ja",VLOOKUP(B264,Miljövärden!$B$2:$H$550,MATCH("Total andel fossilt",Miljövärden!$B$2:$H$2,0),FALSE),"")</f>
        <v>0</v>
      </c>
      <c r="BZ264" s="28">
        <f t="shared" si="108"/>
        <v>0</v>
      </c>
      <c r="CA264" s="28">
        <f t="shared" si="109"/>
        <v>0</v>
      </c>
    </row>
    <row r="265" spans="1:79" x14ac:dyDescent="0.25">
      <c r="A265" s="224" t="s">
        <v>563</v>
      </c>
      <c r="B265" s="210" t="s">
        <v>564</v>
      </c>
      <c r="C265" s="121">
        <f>VLOOKUP($B265,'Tillförd energi'!$B$1:$AI$720,MATCH(C$1,'Tillförd energi'!$B$1:$AQ$1,0),FALSE)</f>
        <v>0</v>
      </c>
      <c r="D265" s="121">
        <f>VLOOKUP($B265,'Tillförd energi'!$B$1:$AI$720,MATCH(D$1,'Tillförd energi'!$B$1:$AQ$1,0),FALSE)</f>
        <v>0</v>
      </c>
      <c r="E265" s="121">
        <f>VLOOKUP($B265,'Tillförd energi'!$B$1:$AI$720,MATCH(E$1,'Tillförd energi'!$B$1:$AQ$1,0),FALSE)</f>
        <v>0</v>
      </c>
      <c r="F265" s="121">
        <f>VLOOKUP($B265,'Tillförd energi'!$B$1:$AI$720,MATCH(F$1,'Tillförd energi'!$B$1:$AQ$1,0),FALSE)</f>
        <v>0</v>
      </c>
      <c r="G265" s="121">
        <f>VLOOKUP($B265,'Tillförd energi'!$B$1:$AI$720,MATCH(G$1,'Tillförd energi'!$B$1:$AQ$1,0),FALSE)</f>
        <v>0</v>
      </c>
      <c r="H265" s="121">
        <f>VLOOKUP($B265,'Tillförd energi'!$B$1:$AI$720,MATCH(H$1,'Tillförd energi'!$B$1:$AQ$1,0),FALSE)</f>
        <v>0</v>
      </c>
      <c r="I265" s="121">
        <f>VLOOKUP($B265,'Tillförd energi'!$B$1:$AI$720,MATCH(I$1,'Tillförd energi'!$B$1:$AQ$1,0),FALSE)</f>
        <v>0</v>
      </c>
      <c r="J265" s="121">
        <f>VLOOKUP($B265,'Tillförd energi'!$B$1:$AI$720,MATCH(J$1,'Tillförd energi'!$B$1:$AQ$1,0),FALSE)</f>
        <v>0</v>
      </c>
      <c r="K265" s="121">
        <f>VLOOKUP($B265,'Tillförd energi'!$B$1:$AI$720,MATCH(K$1,'Tillförd energi'!$B$1:$AQ$1,0),FALSE)</f>
        <v>0</v>
      </c>
      <c r="L265" s="121">
        <f>VLOOKUP($B265,'Tillförd energi'!$B$1:$AI$720,MATCH(L$1,'Tillförd energi'!$B$1:$AQ$1,0),FALSE)</f>
        <v>0</v>
      </c>
      <c r="M265" s="121">
        <f>VLOOKUP($B265,'Tillförd energi'!$B$1:$AI$720,MATCH(M$1,'Tillförd energi'!$B$1:$AQ$1,0),FALSE)</f>
        <v>0</v>
      </c>
      <c r="N265" s="121">
        <f>VLOOKUP($B265,'Tillförd energi'!$B$1:$AI$720,MATCH(N$1,'Tillförd energi'!$B$1:$AQ$1,0),FALSE)</f>
        <v>0</v>
      </c>
      <c r="O265" s="121">
        <f>VLOOKUP($B265,'Tillförd energi'!$B$1:$AI$720,MATCH(O$1,'Tillförd energi'!$B$1:$AQ$1,0),FALSE)</f>
        <v>0</v>
      </c>
      <c r="P265" s="121">
        <f>VLOOKUP($B265,'Tillförd energi'!$B$1:$AI$720,MATCH(P$1,'Tillförd energi'!$B$1:$AQ$1,0),FALSE)</f>
        <v>0</v>
      </c>
      <c r="Q265" s="121">
        <f>VLOOKUP($B265,'Tillförd energi'!$B$1:$AI$720,MATCH(Q$1,'Tillförd energi'!$B$1:$AQ$1,0),FALSE)</f>
        <v>0</v>
      </c>
      <c r="R265" s="121">
        <f>VLOOKUP($B265,'Tillförd energi'!$B$1:$AI$720,MATCH(R$1,'Tillförd energi'!$B$1:$AQ$1,0),FALSE)</f>
        <v>0</v>
      </c>
      <c r="S265" s="121">
        <f>VLOOKUP($B265,'Tillförd energi'!$B$1:$AI$720,MATCH(S$1,'Tillförd energi'!$B$1:$AQ$1,0),FALSE)</f>
        <v>0</v>
      </c>
      <c r="T265" s="121">
        <f>VLOOKUP($B265,'Tillförd energi'!$B$1:$AI$720,MATCH(T$1,'Tillförd energi'!$B$1:$AQ$1,0),FALSE)</f>
        <v>0</v>
      </c>
      <c r="U265" s="121">
        <f>VLOOKUP($B265,'Tillförd energi'!$B$1:$AI$720,MATCH(U$1,'Tillförd energi'!$B$1:$AQ$1,0),FALSE)</f>
        <v>0</v>
      </c>
      <c r="V265" s="121">
        <f>VLOOKUP($B265,'Tillförd energi'!$B$1:$AI$720,MATCH(V$1,'Tillförd energi'!$B$1:$AQ$1,0),FALSE)</f>
        <v>0</v>
      </c>
      <c r="W265" s="121">
        <f>VLOOKUP($B265,'Tillförd energi'!$B$1:$AI$720,MATCH(W$1,'Tillförd energi'!$B$1:$AQ$1,0),FALSE)</f>
        <v>0</v>
      </c>
      <c r="X265" s="121">
        <f>VLOOKUP($B265,'Tillförd energi'!$B$1:$AI$720,MATCH(X$1,'Tillförd energi'!$B$1:$AQ$1,0),FALSE)</f>
        <v>0</v>
      </c>
      <c r="Y265" s="121">
        <f>VLOOKUP($B265,'Tillförd energi'!$B$1:$AI$720,MATCH(Y$1,'Tillförd energi'!$B$1:$AQ$1,0),FALSE)</f>
        <v>0</v>
      </c>
      <c r="Z265" s="121">
        <f>VLOOKUP($B265,'Tillförd energi'!$B$1:$AI$720,MATCH(Z$1,'Tillförd energi'!$B$1:$AQ$1,0),FALSE)</f>
        <v>0</v>
      </c>
      <c r="AA265" s="121">
        <f>VLOOKUP($B265,'Tillförd energi'!$B$1:$AI$720,MATCH(AA$1,'Tillförd energi'!$B$1:$AQ$1,0),FALSE)</f>
        <v>0</v>
      </c>
      <c r="AB265" s="121">
        <f>VLOOKUP($B265,'Tillförd energi'!$B$1:$AI$720,MATCH(AB$1,'Tillförd energi'!$B$1:$AQ$1,0),FALSE)</f>
        <v>0</v>
      </c>
      <c r="AC265" s="121">
        <f>VLOOKUP($B265,'Tillförd energi'!$B$1:$AI$720,MATCH(AC$1,'Tillförd energi'!$B$1:$AQ$1,0),FALSE)</f>
        <v>0</v>
      </c>
      <c r="AD265" s="121">
        <f>VLOOKUP($B265,'Tillförd energi'!$B$1:$AI$720,MATCH(AD$1,'Tillförd energi'!$B$1:$AQ$1,0),FALSE)</f>
        <v>0</v>
      </c>
      <c r="AE265" s="121">
        <f>VLOOKUP($B265,'Tillförd energi'!$B$1:$AI$720,MATCH(AE$1,'Tillförd energi'!$B$1:$AQ$1,0),FALSE)</f>
        <v>0</v>
      </c>
      <c r="AF265" s="121">
        <f>VLOOKUP($B265,'Tillförd energi'!$B$1:$AI$720,MATCH(AF$1,'Tillförd energi'!$B$1:$AQ$1,0),FALSE)</f>
        <v>0</v>
      </c>
      <c r="AG265" s="121">
        <f>IFERROR(VLOOKUP(B265,Miljö!$B$1:$AC$550,MATCH("Köpt mängd produktionsspecifik fjärrvärme:",Miljö!$B$1:$AC$1,0),FALSE)/1,0)</f>
        <v>0</v>
      </c>
      <c r="AH265" s="121"/>
      <c r="AI265" s="121">
        <f t="shared" ref="AI265:AI313" si="110">SUM(C265:AF265)</f>
        <v>0</v>
      </c>
      <c r="AJ265" s="121">
        <f t="shared" ref="AJ265:AJ313" si="111">SUM(C265:AG265)</f>
        <v>0</v>
      </c>
      <c r="AK265" s="121" t="str">
        <f>IF(ISERROR(1/VLOOKUP($B265,Leveranser!$B$1:$S$499,MATCH("såld värme (gwh)",Leveranser!$B$1:$S$1,0),FALSE)),"",VLOOKUP($B265,Leveranser!$B$1:$S$499,MATCH("såld värme (gwh)",Leveranser!$B$1:$S$1,0),FALSE))</f>
        <v/>
      </c>
      <c r="AL265" s="121">
        <f>VLOOKUP($B265,Leveranser!$B$1:$Y$499,MATCH("Totalt såld fjärrvärme till andra fjärrvärmeföretag",Leveranser!$B$1:$AA$1,0),FALSE)</f>
        <v>0</v>
      </c>
      <c r="AM265" s="121">
        <f>IF(ISERROR(1/VLOOKUP($B265,Miljö!$B$1:$S$500,MATCH("Såld mängd produktionsspecifik fjärrvärme (GWh)",Miljö!$B$1:$R$1,0),FALSE)),0,VLOOKUP($B265,Miljö!$B$1:$S$500,MATCH("Såld mängd produktionsspecifik fjärrvärme (GWh)",Miljö!$B$1:$R$1,0),FALSE))</f>
        <v>0</v>
      </c>
      <c r="AN265" s="172" t="str">
        <f t="shared" ref="AN265:AN313" si="112">IFERROR(AK265/AJ265,"")</f>
        <v/>
      </c>
      <c r="AO265" s="121"/>
      <c r="AP265" s="121" t="str">
        <f>IFERROR(VLOOKUP($B265,Miljövärden!$B$2:$H$550,7,FALSE),"Nej, saknas")</f>
        <v>Nej</v>
      </c>
      <c r="AQ265" s="121" t="str">
        <f>IFERROR(VLOOKUP($B265,Miljövärden!$B$2:$H$550,6,FALSE),"Nej, saknas")</f>
        <v>Nej</v>
      </c>
      <c r="AU265">
        <f t="shared" ref="AU265:AU313" si="113">Z265+AA265+AF265</f>
        <v>0</v>
      </c>
      <c r="AV265">
        <f t="shared" ref="AV265:AV313" si="114">X265</f>
        <v>0</v>
      </c>
      <c r="AW265">
        <f t="shared" ref="AW265:AW313" si="115">M265+N265+O265+P265+Q265</f>
        <v>0</v>
      </c>
      <c r="AX265">
        <f t="shared" ref="AX265:AX313" si="116">R265+S265+T265+U265</f>
        <v>0</v>
      </c>
      <c r="AZ265">
        <f t="shared" ref="AZ265:AZ313" si="117">L265+M265+N265+O265+P265+Q265+R265+S265+T265+U265+V265+W265+X265</f>
        <v>0</v>
      </c>
      <c r="BC265">
        <f t="shared" ref="BC265:BC313" si="118">C265+D265+E265+F265+G265+H265+AE265</f>
        <v>0</v>
      </c>
      <c r="BD265">
        <f t="shared" ref="BD265:BD313" si="119">Y265</f>
        <v>0</v>
      </c>
      <c r="BE265">
        <f t="shared" ref="BE265:BE313" si="120">M265+N265+O265+P265+Q265+R265+S265+T265+U265+V265+W265+X265</f>
        <v>0</v>
      </c>
      <c r="BF265">
        <f t="shared" ref="BF265:BF313" si="121">I265+J265+K265+L265+AB265+AC265+AD265</f>
        <v>0</v>
      </c>
      <c r="BG265">
        <f t="shared" ref="BG265:BG313" si="122">Z265+AA265+AF265</f>
        <v>0</v>
      </c>
      <c r="BH265" t="str">
        <f>VLOOKUP(B265,Miljö!$B$1:$BX$482,MATCH("Fossilandel för ursprungspecificerad el ()",Miljö!$B$1:$I$1,0),FALSE)</f>
        <v>-</v>
      </c>
      <c r="BI265" t="str">
        <f>VLOOKUP(B265,Miljö!$B$1:$BX$482,MATCH("Kärnkraftsandel för ursprungsspecificerad el ()",Miljö!$B$1:$O$1,0),FALSE)</f>
        <v>-</v>
      </c>
      <c r="BJ265">
        <f t="shared" ref="BJ265:BJ313" si="123">AG265</f>
        <v>0</v>
      </c>
      <c r="BK265" t="str">
        <f>VLOOKUP(B265,Miljö!$B$1:$O$482,MATCH("Fossil andel i procent (%)",Miljö!$B$1:$O$1,0),FALSE)</f>
        <v>-</v>
      </c>
      <c r="BL265">
        <f t="shared" ref="BL265:BL313" si="124">SUM(BC265:BG265,BJ265)</f>
        <v>0</v>
      </c>
      <c r="BO265" s="18" t="str">
        <f t="shared" ref="BO265:BO313" si="125">IF(AP265="ja",(BC265+IFERROR(BG265*BH265,0)+IFERROR(BJ265*BK265/100,0))/$BL265,"")</f>
        <v/>
      </c>
      <c r="BP265" s="18" t="str">
        <f t="shared" ref="BP265:BP313" si="126">IF(AP265="ja",(BD265+IFERROR(BG265*BI265,0)+IFERROR(BJ265*(1-BK265/100),0))/$BL265,"")</f>
        <v/>
      </c>
      <c r="BQ265" s="18" t="str">
        <f t="shared" ref="BQ265:BQ313" si="127">IF(AP265="ja",(BE265+IFERROR(BG265*(1-BH265-BI265),0))/$BL265,"")</f>
        <v/>
      </c>
      <c r="BR265" s="18" t="str">
        <f t="shared" ref="BR265:BR313" si="128">IF(AP265="ja",BF265/$BL265,"")</f>
        <v/>
      </c>
      <c r="BT265" s="27">
        <f t="shared" ref="BT265:BT313" si="129">SUM(BO265:BR265)</f>
        <v>0</v>
      </c>
      <c r="BW265" s="18" t="str">
        <f>IF(AP265="ja",VLOOKUP(B265,Miljövärden!$B$2:$H$550,MATCH("Total andel fossilt",Miljövärden!$B$2:$H$2,0),FALSE),"")</f>
        <v/>
      </c>
      <c r="BZ265" s="28" t="str">
        <f t="shared" ref="BZ265:BZ313" si="130">IFERROR(BW265-BO265,"")</f>
        <v/>
      </c>
      <c r="CA265" s="28" t="str">
        <f t="shared" ref="CA265:CA313" si="131">IFERROR(ROUND(BW265,3)-ROUND(BO265,3),"")</f>
        <v/>
      </c>
    </row>
    <row r="266" spans="1:79" x14ac:dyDescent="0.25">
      <c r="A266" s="224" t="s">
        <v>565</v>
      </c>
      <c r="B266" s="210" t="s">
        <v>566</v>
      </c>
      <c r="C266" s="121">
        <f>VLOOKUP($B266,'Tillförd energi'!$B$1:$AI$720,MATCH(C$1,'Tillförd energi'!$B$1:$AQ$1,0),FALSE)</f>
        <v>0</v>
      </c>
      <c r="D266" s="121">
        <f>VLOOKUP($B266,'Tillförd energi'!$B$1:$AI$720,MATCH(D$1,'Tillförd energi'!$B$1:$AQ$1,0),FALSE)</f>
        <v>0</v>
      </c>
      <c r="E266" s="121">
        <f>VLOOKUP($B266,'Tillförd energi'!$B$1:$AI$720,MATCH(E$1,'Tillförd energi'!$B$1:$AQ$1,0),FALSE)</f>
        <v>0</v>
      </c>
      <c r="F266" s="121">
        <f>VLOOKUP($B266,'Tillförd energi'!$B$1:$AI$720,MATCH(F$1,'Tillförd energi'!$B$1:$AQ$1,0),FALSE)</f>
        <v>0</v>
      </c>
      <c r="G266" s="121">
        <f>VLOOKUP($B266,'Tillförd energi'!$B$1:$AI$720,MATCH(G$1,'Tillförd energi'!$B$1:$AQ$1,0),FALSE)</f>
        <v>0</v>
      </c>
      <c r="H266" s="121">
        <f>VLOOKUP($B266,'Tillförd energi'!$B$1:$AI$720,MATCH(H$1,'Tillförd energi'!$B$1:$AQ$1,0),FALSE)</f>
        <v>0</v>
      </c>
      <c r="I266" s="121">
        <f>VLOOKUP($B266,'Tillförd energi'!$B$1:$AI$720,MATCH(I$1,'Tillförd energi'!$B$1:$AQ$1,0),FALSE)</f>
        <v>0</v>
      </c>
      <c r="J266" s="121">
        <f>VLOOKUP($B266,'Tillförd energi'!$B$1:$AI$720,MATCH(J$1,'Tillförd energi'!$B$1:$AQ$1,0),FALSE)</f>
        <v>0</v>
      </c>
      <c r="K266" s="121">
        <f>VLOOKUP($B266,'Tillförd energi'!$B$1:$AI$720,MATCH(K$1,'Tillförd energi'!$B$1:$AQ$1,0),FALSE)</f>
        <v>0</v>
      </c>
      <c r="L266" s="121">
        <f>VLOOKUP($B266,'Tillförd energi'!$B$1:$AI$720,MATCH(L$1,'Tillförd energi'!$B$1:$AQ$1,0),FALSE)</f>
        <v>0</v>
      </c>
      <c r="M266" s="121">
        <f>VLOOKUP($B266,'Tillförd energi'!$B$1:$AI$720,MATCH(M$1,'Tillförd energi'!$B$1:$AQ$1,0),FALSE)</f>
        <v>20.96</v>
      </c>
      <c r="N266" s="121">
        <f>VLOOKUP($B266,'Tillförd energi'!$B$1:$AI$720,MATCH(N$1,'Tillförd energi'!$B$1:$AQ$1,0),FALSE)</f>
        <v>8.26</v>
      </c>
      <c r="O266" s="121">
        <f>VLOOKUP($B266,'Tillförd energi'!$B$1:$AI$720,MATCH(O$1,'Tillförd energi'!$B$1:$AQ$1,0),FALSE)</f>
        <v>73.040000000000006</v>
      </c>
      <c r="P266" s="121">
        <f>VLOOKUP($B266,'Tillförd energi'!$B$1:$AI$720,MATCH(P$1,'Tillförd energi'!$B$1:$AQ$1,0),FALSE)</f>
        <v>24.77</v>
      </c>
      <c r="Q266" s="121">
        <f>VLOOKUP($B266,'Tillförd energi'!$B$1:$AI$720,MATCH(Q$1,'Tillförd energi'!$B$1:$AQ$1,0),FALSE)</f>
        <v>0</v>
      </c>
      <c r="R266" s="121">
        <f>VLOOKUP($B266,'Tillförd energi'!$B$1:$AI$720,MATCH(R$1,'Tillförd energi'!$B$1:$AQ$1,0),FALSE)</f>
        <v>0</v>
      </c>
      <c r="S266" s="121">
        <f>VLOOKUP($B266,'Tillförd energi'!$B$1:$AI$720,MATCH(S$1,'Tillförd energi'!$B$1:$AQ$1,0),FALSE)</f>
        <v>0</v>
      </c>
      <c r="T266" s="121">
        <f>VLOOKUP($B266,'Tillförd energi'!$B$1:$AI$720,MATCH(T$1,'Tillförd energi'!$B$1:$AQ$1,0),FALSE)</f>
        <v>0</v>
      </c>
      <c r="U266" s="121">
        <f>VLOOKUP($B266,'Tillförd energi'!$B$1:$AI$720,MATCH(U$1,'Tillförd energi'!$B$1:$AQ$1,0),FALSE)</f>
        <v>0</v>
      </c>
      <c r="V266" s="121">
        <f>VLOOKUP($B266,'Tillförd energi'!$B$1:$AI$720,MATCH(V$1,'Tillförd energi'!$B$1:$AQ$1,0),FALSE)</f>
        <v>0</v>
      </c>
      <c r="W266" s="121">
        <f>VLOOKUP($B266,'Tillförd energi'!$B$1:$AI$720,MATCH(W$1,'Tillförd energi'!$B$1:$AQ$1,0),FALSE)</f>
        <v>3.24</v>
      </c>
      <c r="X266" s="121">
        <f>VLOOKUP($B266,'Tillförd energi'!$B$1:$AI$720,MATCH(X$1,'Tillförd energi'!$B$1:$AQ$1,0),FALSE)</f>
        <v>0</v>
      </c>
      <c r="Y266" s="121">
        <f>VLOOKUP($B266,'Tillförd energi'!$B$1:$AI$720,MATCH(Y$1,'Tillförd energi'!$B$1:$AQ$1,0),FALSE)</f>
        <v>0</v>
      </c>
      <c r="Z266" s="121">
        <f>VLOOKUP($B266,'Tillförd energi'!$B$1:$AI$720,MATCH(Z$1,'Tillförd energi'!$B$1:$AQ$1,0),FALSE)</f>
        <v>0</v>
      </c>
      <c r="AA266" s="121">
        <f>VLOOKUP($B266,'Tillförd energi'!$B$1:$AI$720,MATCH(AA$1,'Tillförd energi'!$B$1:$AQ$1,0),FALSE)</f>
        <v>0</v>
      </c>
      <c r="AB266" s="121">
        <f>VLOOKUP($B266,'Tillförd energi'!$B$1:$AI$720,MATCH(AB$1,'Tillförd energi'!$B$1:$AQ$1,0),FALSE)</f>
        <v>0</v>
      </c>
      <c r="AC266" s="121">
        <f>VLOOKUP($B266,'Tillförd energi'!$B$1:$AI$720,MATCH(AC$1,'Tillförd energi'!$B$1:$AQ$1,0),FALSE)</f>
        <v>29.63</v>
      </c>
      <c r="AD266" s="121">
        <f>VLOOKUP($B266,'Tillförd energi'!$B$1:$AI$720,MATCH(AD$1,'Tillförd energi'!$B$1:$AQ$1,0),FALSE)</f>
        <v>0</v>
      </c>
      <c r="AE266" s="121">
        <f>VLOOKUP($B266,'Tillförd energi'!$B$1:$AI$720,MATCH(AE$1,'Tillförd energi'!$B$1:$AQ$1,0),FALSE)</f>
        <v>0</v>
      </c>
      <c r="AF266" s="121">
        <f>VLOOKUP($B266,'Tillförd energi'!$B$1:$AI$720,MATCH(AF$1,'Tillförd energi'!$B$1:$AQ$1,0),FALSE)</f>
        <v>4</v>
      </c>
      <c r="AG266" s="121">
        <f>IFERROR(VLOOKUP(B266,Miljö!$B$1:$AC$550,MATCH("Köpt mängd produktionsspecifik fjärrvärme:",Miljö!$B$1:$AC$1,0),FALSE)/1,0)</f>
        <v>0</v>
      </c>
      <c r="AH266" s="121"/>
      <c r="AI266" s="121">
        <f t="shared" si="110"/>
        <v>163.9</v>
      </c>
      <c r="AJ266" s="121">
        <f t="shared" si="111"/>
        <v>163.9</v>
      </c>
      <c r="AK266" s="121">
        <f>IF(ISERROR(1/VLOOKUP($B266,Leveranser!$B$1:$S$499,MATCH("såld värme (gwh)",Leveranser!$B$1:$S$1,0),FALSE)),"",VLOOKUP($B266,Leveranser!$B$1:$S$499,MATCH("såld värme (gwh)",Leveranser!$B$1:$S$1,0),FALSE))</f>
        <v>121.45</v>
      </c>
      <c r="AL266" s="121">
        <f>VLOOKUP($B266,Leveranser!$B$1:$Y$499,MATCH("Totalt såld fjärrvärme till andra fjärrvärmeföretag",Leveranser!$B$1:$AA$1,0),FALSE)</f>
        <v>0</v>
      </c>
      <c r="AM266" s="121">
        <f>IF(ISERROR(1/VLOOKUP($B266,Miljö!$B$1:$S$500,MATCH("Såld mängd produktionsspecifik fjärrvärme (GWh)",Miljö!$B$1:$R$1,0),FALSE)),0,VLOOKUP($B266,Miljö!$B$1:$S$500,MATCH("Såld mängd produktionsspecifik fjärrvärme (GWh)",Miljö!$B$1:$R$1,0),FALSE))</f>
        <v>0</v>
      </c>
      <c r="AN266" s="172">
        <f t="shared" si="112"/>
        <v>0.7410006101281269</v>
      </c>
      <c r="AO266" s="121"/>
      <c r="AP266" s="121" t="str">
        <f>IFERROR(VLOOKUP($B266,Miljövärden!$B$2:$H$550,7,FALSE),"Nej, saknas")</f>
        <v>Ja</v>
      </c>
      <c r="AQ266" s="121" t="str">
        <f>IFERROR(VLOOKUP($B266,Miljövärden!$B$2:$H$550,6,FALSE),"Nej, saknas")</f>
        <v>Nej</v>
      </c>
      <c r="AU266">
        <f t="shared" si="113"/>
        <v>4</v>
      </c>
      <c r="AV266">
        <f t="shared" si="114"/>
        <v>0</v>
      </c>
      <c r="AW266">
        <f t="shared" si="115"/>
        <v>127.03</v>
      </c>
      <c r="AX266">
        <f t="shared" si="116"/>
        <v>0</v>
      </c>
      <c r="AZ266">
        <f t="shared" si="117"/>
        <v>130.27000000000001</v>
      </c>
      <c r="BC266">
        <f t="shared" si="118"/>
        <v>0</v>
      </c>
      <c r="BD266">
        <f t="shared" si="119"/>
        <v>0</v>
      </c>
      <c r="BE266">
        <f t="shared" si="120"/>
        <v>130.27000000000001</v>
      </c>
      <c r="BF266">
        <f t="shared" si="121"/>
        <v>29.63</v>
      </c>
      <c r="BG266">
        <f t="shared" si="122"/>
        <v>4</v>
      </c>
      <c r="BH266">
        <f>VLOOKUP(B266,Miljö!$B$1:$BX$482,MATCH("Fossilandel för ursprungspecificerad el ()",Miljö!$B$1:$I$1,0),FALSE)</f>
        <v>0</v>
      </c>
      <c r="BI266">
        <f>VLOOKUP(B266,Miljö!$B$1:$BX$482,MATCH("Kärnkraftsandel för ursprungsspecificerad el ()",Miljö!$B$1:$O$1,0),FALSE)</f>
        <v>0</v>
      </c>
      <c r="BJ266">
        <f t="shared" si="123"/>
        <v>0</v>
      </c>
      <c r="BK266" t="str">
        <f>VLOOKUP(B266,Miljö!$B$1:$O$482,MATCH("Fossil andel i procent (%)",Miljö!$B$1:$O$1,0),FALSE)</f>
        <v>ET</v>
      </c>
      <c r="BL266">
        <f t="shared" si="124"/>
        <v>163.9</v>
      </c>
      <c r="BO266" s="18">
        <f t="shared" si="125"/>
        <v>0</v>
      </c>
      <c r="BP266" s="18">
        <f t="shared" si="126"/>
        <v>0</v>
      </c>
      <c r="BQ266" s="18">
        <f t="shared" si="127"/>
        <v>0.81921903599755952</v>
      </c>
      <c r="BR266" s="18">
        <f t="shared" si="128"/>
        <v>0.18078096400244051</v>
      </c>
      <c r="BT266" s="27">
        <f t="shared" si="129"/>
        <v>1</v>
      </c>
      <c r="BW266" s="18">
        <f>IF(AP266="ja",VLOOKUP(B266,Miljövärden!$B$2:$H$550,MATCH("Total andel fossilt",Miljövärden!$B$2:$H$2,0),FALSE),"")</f>
        <v>0</v>
      </c>
      <c r="BZ266" s="28">
        <f t="shared" si="130"/>
        <v>0</v>
      </c>
      <c r="CA266" s="28">
        <f t="shared" si="131"/>
        <v>0</v>
      </c>
    </row>
    <row r="267" spans="1:79" x14ac:dyDescent="0.25">
      <c r="A267" s="224" t="s">
        <v>565</v>
      </c>
      <c r="B267" s="210" t="s">
        <v>567</v>
      </c>
      <c r="C267" s="121">
        <f>VLOOKUP($B267,'Tillförd energi'!$B$1:$AI$720,MATCH(C$1,'Tillförd energi'!$B$1:$AQ$1,0),FALSE)</f>
        <v>0</v>
      </c>
      <c r="D267" s="121">
        <f>VLOOKUP($B267,'Tillförd energi'!$B$1:$AI$720,MATCH(D$1,'Tillförd energi'!$B$1:$AQ$1,0),FALSE)</f>
        <v>0</v>
      </c>
      <c r="E267" s="121">
        <f>VLOOKUP($B267,'Tillförd energi'!$B$1:$AI$720,MATCH(E$1,'Tillförd energi'!$B$1:$AQ$1,0),FALSE)</f>
        <v>0</v>
      </c>
      <c r="F267" s="121">
        <f>VLOOKUP($B267,'Tillförd energi'!$B$1:$AI$720,MATCH(F$1,'Tillförd energi'!$B$1:$AQ$1,0),FALSE)</f>
        <v>0</v>
      </c>
      <c r="G267" s="121">
        <f>VLOOKUP($B267,'Tillförd energi'!$B$1:$AI$720,MATCH(G$1,'Tillförd energi'!$B$1:$AQ$1,0),FALSE)</f>
        <v>0</v>
      </c>
      <c r="H267" s="121">
        <f>VLOOKUP($B267,'Tillförd energi'!$B$1:$AI$720,MATCH(H$1,'Tillförd energi'!$B$1:$AQ$1,0),FALSE)</f>
        <v>0</v>
      </c>
      <c r="I267" s="121">
        <f>VLOOKUP($B267,'Tillförd energi'!$B$1:$AI$720,MATCH(I$1,'Tillförd energi'!$B$1:$AQ$1,0),FALSE)</f>
        <v>0</v>
      </c>
      <c r="J267" s="121">
        <f>VLOOKUP($B267,'Tillförd energi'!$B$1:$AI$720,MATCH(J$1,'Tillförd energi'!$B$1:$AQ$1,0),FALSE)</f>
        <v>0</v>
      </c>
      <c r="K267" s="121">
        <f>VLOOKUP($B267,'Tillförd energi'!$B$1:$AI$720,MATCH(K$1,'Tillförd energi'!$B$1:$AQ$1,0),FALSE)</f>
        <v>0</v>
      </c>
      <c r="L267" s="121">
        <f>VLOOKUP($B267,'Tillförd energi'!$B$1:$AI$720,MATCH(L$1,'Tillförd energi'!$B$1:$AQ$1,0),FALSE)</f>
        <v>0</v>
      </c>
      <c r="M267" s="121">
        <f>VLOOKUP($B267,'Tillförd energi'!$B$1:$AI$720,MATCH(M$1,'Tillförd energi'!$B$1:$AQ$1,0),FALSE)</f>
        <v>6.57</v>
      </c>
      <c r="N267" s="121">
        <f>VLOOKUP($B267,'Tillförd energi'!$B$1:$AI$720,MATCH(N$1,'Tillförd energi'!$B$1:$AQ$1,0),FALSE)</f>
        <v>11.27</v>
      </c>
      <c r="O267" s="121">
        <f>VLOOKUP($B267,'Tillförd energi'!$B$1:$AI$720,MATCH(O$1,'Tillförd energi'!$B$1:$AQ$1,0),FALSE)</f>
        <v>4.46</v>
      </c>
      <c r="P267" s="121">
        <f>VLOOKUP($B267,'Tillförd energi'!$B$1:$AI$720,MATCH(P$1,'Tillförd energi'!$B$1:$AQ$1,0),FALSE)</f>
        <v>1.17</v>
      </c>
      <c r="Q267" s="121">
        <f>VLOOKUP($B267,'Tillförd energi'!$B$1:$AI$720,MATCH(Q$1,'Tillförd energi'!$B$1:$AQ$1,0),FALSE)</f>
        <v>0</v>
      </c>
      <c r="R267" s="121">
        <f>VLOOKUP($B267,'Tillförd energi'!$B$1:$AI$720,MATCH(R$1,'Tillförd energi'!$B$1:$AQ$1,0),FALSE)</f>
        <v>0</v>
      </c>
      <c r="S267" s="121">
        <f>VLOOKUP($B267,'Tillförd energi'!$B$1:$AI$720,MATCH(S$1,'Tillförd energi'!$B$1:$AQ$1,0),FALSE)</f>
        <v>0</v>
      </c>
      <c r="T267" s="121">
        <f>VLOOKUP($B267,'Tillförd energi'!$B$1:$AI$720,MATCH(T$1,'Tillförd energi'!$B$1:$AQ$1,0),FALSE)</f>
        <v>0</v>
      </c>
      <c r="U267" s="121">
        <f>VLOOKUP($B267,'Tillförd energi'!$B$1:$AI$720,MATCH(U$1,'Tillförd energi'!$B$1:$AQ$1,0),FALSE)</f>
        <v>0</v>
      </c>
      <c r="V267" s="121">
        <f>VLOOKUP($B267,'Tillförd energi'!$B$1:$AI$720,MATCH(V$1,'Tillförd energi'!$B$1:$AQ$1,0),FALSE)</f>
        <v>0</v>
      </c>
      <c r="W267" s="121">
        <f>VLOOKUP($B267,'Tillförd energi'!$B$1:$AI$720,MATCH(W$1,'Tillförd energi'!$B$1:$AQ$1,0),FALSE)</f>
        <v>0.81</v>
      </c>
      <c r="X267" s="121">
        <f>VLOOKUP($B267,'Tillförd energi'!$B$1:$AI$720,MATCH(X$1,'Tillförd energi'!$B$1:$AQ$1,0),FALSE)</f>
        <v>0</v>
      </c>
      <c r="Y267" s="121">
        <f>VLOOKUP($B267,'Tillförd energi'!$B$1:$AI$720,MATCH(Y$1,'Tillförd energi'!$B$1:$AQ$1,0),FALSE)</f>
        <v>0</v>
      </c>
      <c r="Z267" s="121">
        <f>VLOOKUP($B267,'Tillförd energi'!$B$1:$AI$720,MATCH(Z$1,'Tillförd energi'!$B$1:$AQ$1,0),FALSE)</f>
        <v>0</v>
      </c>
      <c r="AA267" s="121">
        <f>VLOOKUP($B267,'Tillförd energi'!$B$1:$AI$720,MATCH(AA$1,'Tillförd energi'!$B$1:$AQ$1,0),FALSE)</f>
        <v>0</v>
      </c>
      <c r="AB267" s="121">
        <f>VLOOKUP($B267,'Tillförd energi'!$B$1:$AI$720,MATCH(AB$1,'Tillförd energi'!$B$1:$AQ$1,0),FALSE)</f>
        <v>0</v>
      </c>
      <c r="AC267" s="121">
        <f>VLOOKUP($B267,'Tillförd energi'!$B$1:$AI$720,MATCH(AC$1,'Tillförd energi'!$B$1:$AQ$1,0),FALSE)</f>
        <v>5</v>
      </c>
      <c r="AD267" s="121">
        <f>VLOOKUP($B267,'Tillförd energi'!$B$1:$AI$720,MATCH(AD$1,'Tillförd energi'!$B$1:$AQ$1,0),FALSE)</f>
        <v>0</v>
      </c>
      <c r="AE267" s="121">
        <f>VLOOKUP($B267,'Tillförd energi'!$B$1:$AI$720,MATCH(AE$1,'Tillförd energi'!$B$1:$AQ$1,0),FALSE)</f>
        <v>0</v>
      </c>
      <c r="AF267" s="121">
        <f>VLOOKUP($B267,'Tillförd energi'!$B$1:$AI$720,MATCH(AF$1,'Tillförd energi'!$B$1:$AQ$1,0),FALSE)</f>
        <v>0.83</v>
      </c>
      <c r="AG267" s="121">
        <f>IFERROR(VLOOKUP(B267,Miljö!$B$1:$AC$550,MATCH("Köpt mängd produktionsspecifik fjärrvärme:",Miljö!$B$1:$AC$1,0),FALSE)/1,0)</f>
        <v>0</v>
      </c>
      <c r="AH267" s="121"/>
      <c r="AI267" s="121">
        <f t="shared" si="110"/>
        <v>30.109999999999996</v>
      </c>
      <c r="AJ267" s="121">
        <f t="shared" si="111"/>
        <v>30.109999999999996</v>
      </c>
      <c r="AK267" s="121">
        <f>IF(ISERROR(1/VLOOKUP($B267,Leveranser!$B$1:$S$499,MATCH("såld värme (gwh)",Leveranser!$B$1:$S$1,0),FALSE)),"",VLOOKUP($B267,Leveranser!$B$1:$S$499,MATCH("såld värme (gwh)",Leveranser!$B$1:$S$1,0),FALSE))</f>
        <v>21.95</v>
      </c>
      <c r="AL267" s="121">
        <f>VLOOKUP($B267,Leveranser!$B$1:$Y$499,MATCH("Totalt såld fjärrvärme till andra fjärrvärmeföretag",Leveranser!$B$1:$AA$1,0),FALSE)</f>
        <v>0</v>
      </c>
      <c r="AM267" s="121">
        <f>IF(ISERROR(1/VLOOKUP($B267,Miljö!$B$1:$S$500,MATCH("Såld mängd produktionsspecifik fjärrvärme (GWh)",Miljö!$B$1:$R$1,0),FALSE)),0,VLOOKUP($B267,Miljö!$B$1:$S$500,MATCH("Såld mängd produktionsspecifik fjärrvärme (GWh)",Miljö!$B$1:$R$1,0),FALSE))</f>
        <v>0</v>
      </c>
      <c r="AN267" s="172">
        <f t="shared" si="112"/>
        <v>0.72899368980405188</v>
      </c>
      <c r="AO267" s="121"/>
      <c r="AP267" s="121" t="str">
        <f>IFERROR(VLOOKUP($B267,Miljövärden!$B$2:$H$550,7,FALSE),"Nej, saknas")</f>
        <v>Ja</v>
      </c>
      <c r="AQ267" s="121" t="str">
        <f>IFERROR(VLOOKUP($B267,Miljövärden!$B$2:$H$550,6,FALSE),"Nej, saknas")</f>
        <v>Nej</v>
      </c>
      <c r="AU267">
        <f t="shared" si="113"/>
        <v>0.83</v>
      </c>
      <c r="AV267">
        <f t="shared" si="114"/>
        <v>0</v>
      </c>
      <c r="AW267">
        <f t="shared" si="115"/>
        <v>23.47</v>
      </c>
      <c r="AX267">
        <f t="shared" si="116"/>
        <v>0</v>
      </c>
      <c r="AZ267">
        <f t="shared" si="117"/>
        <v>24.279999999999998</v>
      </c>
      <c r="BC267">
        <f t="shared" si="118"/>
        <v>0</v>
      </c>
      <c r="BD267">
        <f t="shared" si="119"/>
        <v>0</v>
      </c>
      <c r="BE267">
        <f t="shared" si="120"/>
        <v>24.279999999999998</v>
      </c>
      <c r="BF267">
        <f t="shared" si="121"/>
        <v>5</v>
      </c>
      <c r="BG267">
        <f t="shared" si="122"/>
        <v>0.83</v>
      </c>
      <c r="BH267">
        <f>VLOOKUP(B267,Miljö!$B$1:$BX$482,MATCH("Fossilandel för ursprungspecificerad el ()",Miljö!$B$1:$I$1,0),FALSE)</f>
        <v>0</v>
      </c>
      <c r="BI267">
        <f>VLOOKUP(B267,Miljö!$B$1:$BX$482,MATCH("Kärnkraftsandel för ursprungsspecificerad el ()",Miljö!$B$1:$O$1,0),FALSE)</f>
        <v>0</v>
      </c>
      <c r="BJ267">
        <f t="shared" si="123"/>
        <v>0</v>
      </c>
      <c r="BK267" t="str">
        <f>VLOOKUP(B267,Miljö!$B$1:$O$482,MATCH("Fossil andel i procent (%)",Miljö!$B$1:$O$1,0),FALSE)</f>
        <v>ET</v>
      </c>
      <c r="BL267">
        <f t="shared" si="124"/>
        <v>30.109999999999996</v>
      </c>
      <c r="BO267" s="18">
        <f t="shared" si="125"/>
        <v>0</v>
      </c>
      <c r="BP267" s="18">
        <f t="shared" si="126"/>
        <v>0</v>
      </c>
      <c r="BQ267" s="18">
        <f t="shared" si="127"/>
        <v>0.83394221188973761</v>
      </c>
      <c r="BR267" s="18">
        <f t="shared" si="128"/>
        <v>0.16605778811026239</v>
      </c>
      <c r="BT267" s="27">
        <f t="shared" si="129"/>
        <v>1</v>
      </c>
      <c r="BW267" s="18">
        <f>IF(AP267="ja",VLOOKUP(B267,Miljövärden!$B$2:$H$550,MATCH("Total andel fossilt",Miljövärden!$B$2:$H$2,0),FALSE),"")</f>
        <v>0</v>
      </c>
      <c r="BZ267" s="28">
        <f t="shared" si="130"/>
        <v>0</v>
      </c>
      <c r="CA267" s="28">
        <f t="shared" si="131"/>
        <v>0</v>
      </c>
    </row>
    <row r="268" spans="1:79" x14ac:dyDescent="0.25">
      <c r="A268" s="224" t="s">
        <v>565</v>
      </c>
      <c r="B268" s="210" t="s">
        <v>568</v>
      </c>
      <c r="C268" s="121">
        <f>VLOOKUP($B268,'Tillförd energi'!$B$1:$AI$720,MATCH(C$1,'Tillförd energi'!$B$1:$AQ$1,0),FALSE)</f>
        <v>0</v>
      </c>
      <c r="D268" s="121">
        <f>VLOOKUP($B268,'Tillförd energi'!$B$1:$AI$720,MATCH(D$1,'Tillförd energi'!$B$1:$AQ$1,0),FALSE)</f>
        <v>0.31</v>
      </c>
      <c r="E268" s="121">
        <f>VLOOKUP($B268,'Tillförd energi'!$B$1:$AI$720,MATCH(E$1,'Tillförd energi'!$B$1:$AQ$1,0),FALSE)</f>
        <v>0</v>
      </c>
      <c r="F268" s="121">
        <f>VLOOKUP($B268,'Tillförd energi'!$B$1:$AI$720,MATCH(F$1,'Tillförd energi'!$B$1:$AQ$1,0),FALSE)</f>
        <v>0</v>
      </c>
      <c r="G268" s="121">
        <f>VLOOKUP($B268,'Tillförd energi'!$B$1:$AI$720,MATCH(G$1,'Tillförd energi'!$B$1:$AQ$1,0),FALSE)</f>
        <v>0</v>
      </c>
      <c r="H268" s="121">
        <f>VLOOKUP($B268,'Tillförd energi'!$B$1:$AI$720,MATCH(H$1,'Tillförd energi'!$B$1:$AQ$1,0),FALSE)</f>
        <v>0</v>
      </c>
      <c r="I268" s="121">
        <f>VLOOKUP($B268,'Tillförd energi'!$B$1:$AI$720,MATCH(I$1,'Tillförd energi'!$B$1:$AQ$1,0),FALSE)</f>
        <v>0</v>
      </c>
      <c r="J268" s="121">
        <f>VLOOKUP($B268,'Tillförd energi'!$B$1:$AI$720,MATCH(J$1,'Tillförd energi'!$B$1:$AQ$1,0),FALSE)</f>
        <v>0</v>
      </c>
      <c r="K268" s="121">
        <f>VLOOKUP($B268,'Tillförd energi'!$B$1:$AI$720,MATCH(K$1,'Tillförd energi'!$B$1:$AQ$1,0),FALSE)</f>
        <v>0</v>
      </c>
      <c r="L268" s="121">
        <f>VLOOKUP($B268,'Tillförd energi'!$B$1:$AI$720,MATCH(L$1,'Tillförd energi'!$B$1:$AQ$1,0),FALSE)</f>
        <v>0</v>
      </c>
      <c r="M268" s="121">
        <f>VLOOKUP($B268,'Tillförd energi'!$B$1:$AI$720,MATCH(M$1,'Tillförd energi'!$B$1:$AQ$1,0),FALSE)</f>
        <v>0</v>
      </c>
      <c r="N268" s="121">
        <f>VLOOKUP($B268,'Tillförd energi'!$B$1:$AI$720,MATCH(N$1,'Tillförd energi'!$B$1:$AQ$1,0),FALSE)</f>
        <v>4.03</v>
      </c>
      <c r="O268" s="121">
        <f>VLOOKUP($B268,'Tillförd energi'!$B$1:$AI$720,MATCH(O$1,'Tillförd energi'!$B$1:$AQ$1,0),FALSE)</f>
        <v>0</v>
      </c>
      <c r="P268" s="121">
        <f>VLOOKUP($B268,'Tillförd energi'!$B$1:$AI$720,MATCH(P$1,'Tillförd energi'!$B$1:$AQ$1,0),FALSE)</f>
        <v>6.57</v>
      </c>
      <c r="Q268" s="121">
        <f>VLOOKUP($B268,'Tillförd energi'!$B$1:$AI$720,MATCH(Q$1,'Tillförd energi'!$B$1:$AQ$1,0),FALSE)</f>
        <v>0</v>
      </c>
      <c r="R268" s="121">
        <f>VLOOKUP($B268,'Tillförd energi'!$B$1:$AI$720,MATCH(R$1,'Tillförd energi'!$B$1:$AQ$1,0),FALSE)</f>
        <v>0</v>
      </c>
      <c r="S268" s="121">
        <f>VLOOKUP($B268,'Tillförd energi'!$B$1:$AI$720,MATCH(S$1,'Tillförd energi'!$B$1:$AQ$1,0),FALSE)</f>
        <v>0</v>
      </c>
      <c r="T268" s="121">
        <f>VLOOKUP($B268,'Tillförd energi'!$B$1:$AI$720,MATCH(T$1,'Tillförd energi'!$B$1:$AQ$1,0),FALSE)</f>
        <v>0</v>
      </c>
      <c r="U268" s="121">
        <f>VLOOKUP($B268,'Tillförd energi'!$B$1:$AI$720,MATCH(U$1,'Tillförd energi'!$B$1:$AQ$1,0),FALSE)</f>
        <v>0</v>
      </c>
      <c r="V268" s="121">
        <f>VLOOKUP($B268,'Tillförd energi'!$B$1:$AI$720,MATCH(V$1,'Tillförd energi'!$B$1:$AQ$1,0),FALSE)</f>
        <v>0</v>
      </c>
      <c r="W268" s="121">
        <f>VLOOKUP($B268,'Tillförd energi'!$B$1:$AI$720,MATCH(W$1,'Tillförd energi'!$B$1:$AQ$1,0),FALSE)</f>
        <v>0.47</v>
      </c>
      <c r="X268" s="121">
        <f>VLOOKUP($B268,'Tillförd energi'!$B$1:$AI$720,MATCH(X$1,'Tillförd energi'!$B$1:$AQ$1,0),FALSE)</f>
        <v>0</v>
      </c>
      <c r="Y268" s="121">
        <f>VLOOKUP($B268,'Tillförd energi'!$B$1:$AI$720,MATCH(Y$1,'Tillförd energi'!$B$1:$AQ$1,0),FALSE)</f>
        <v>0</v>
      </c>
      <c r="Z268" s="121">
        <f>VLOOKUP($B268,'Tillförd energi'!$B$1:$AI$720,MATCH(Z$1,'Tillförd energi'!$B$1:$AQ$1,0),FALSE)</f>
        <v>0</v>
      </c>
      <c r="AA268" s="121">
        <f>VLOOKUP($B268,'Tillförd energi'!$B$1:$AI$720,MATCH(AA$1,'Tillförd energi'!$B$1:$AQ$1,0),FALSE)</f>
        <v>0</v>
      </c>
      <c r="AB268" s="121">
        <f>VLOOKUP($B268,'Tillförd energi'!$B$1:$AI$720,MATCH(AB$1,'Tillförd energi'!$B$1:$AQ$1,0),FALSE)</f>
        <v>0</v>
      </c>
      <c r="AC268" s="121">
        <f>VLOOKUP($B268,'Tillförd energi'!$B$1:$AI$720,MATCH(AC$1,'Tillförd energi'!$B$1:$AQ$1,0),FALSE)</f>
        <v>1.39</v>
      </c>
      <c r="AD268" s="121">
        <f>VLOOKUP($B268,'Tillförd energi'!$B$1:$AI$720,MATCH(AD$1,'Tillförd energi'!$B$1:$AQ$1,0),FALSE)</f>
        <v>0</v>
      </c>
      <c r="AE268" s="121">
        <f>VLOOKUP($B268,'Tillförd energi'!$B$1:$AI$720,MATCH(AE$1,'Tillförd energi'!$B$1:$AQ$1,0),FALSE)</f>
        <v>0</v>
      </c>
      <c r="AF268" s="121">
        <f>VLOOKUP($B268,'Tillförd energi'!$B$1:$AI$720,MATCH(AF$1,'Tillförd energi'!$B$1:$AQ$1,0),FALSE)</f>
        <v>0.24</v>
      </c>
      <c r="AG268" s="121">
        <f>IFERROR(VLOOKUP(B268,Miljö!$B$1:$AC$550,MATCH("Köpt mängd produktionsspecifik fjärrvärme:",Miljö!$B$1:$AC$1,0),FALSE)/1,0)</f>
        <v>0</v>
      </c>
      <c r="AH268" s="121"/>
      <c r="AI268" s="121">
        <f t="shared" si="110"/>
        <v>13.010000000000002</v>
      </c>
      <c r="AJ268" s="121">
        <f t="shared" si="111"/>
        <v>13.010000000000002</v>
      </c>
      <c r="AK268" s="121">
        <f>IF(ISERROR(1/VLOOKUP($B268,Leveranser!$B$1:$S$499,MATCH("såld värme (gwh)",Leveranser!$B$1:$S$1,0),FALSE)),"",VLOOKUP($B268,Leveranser!$B$1:$S$499,MATCH("såld värme (gwh)",Leveranser!$B$1:$S$1,0),FALSE))</f>
        <v>9.2100000000000009</v>
      </c>
      <c r="AL268" s="121">
        <f>VLOOKUP($B268,Leveranser!$B$1:$Y$499,MATCH("Totalt såld fjärrvärme till andra fjärrvärmeföretag",Leveranser!$B$1:$AA$1,0),FALSE)</f>
        <v>0</v>
      </c>
      <c r="AM268" s="121">
        <f>IF(ISERROR(1/VLOOKUP($B268,Miljö!$B$1:$S$500,MATCH("Såld mängd produktionsspecifik fjärrvärme (GWh)",Miljö!$B$1:$R$1,0),FALSE)),0,VLOOKUP($B268,Miljö!$B$1:$S$500,MATCH("Såld mängd produktionsspecifik fjärrvärme (GWh)",Miljö!$B$1:$R$1,0),FALSE))</f>
        <v>0</v>
      </c>
      <c r="AN268" s="172">
        <f t="shared" si="112"/>
        <v>0.70791698693312832</v>
      </c>
      <c r="AO268" s="121"/>
      <c r="AP268" s="121" t="str">
        <f>IFERROR(VLOOKUP($B268,Miljövärden!$B$2:$H$550,7,FALSE),"Nej, saknas")</f>
        <v>Ja</v>
      </c>
      <c r="AQ268" s="121" t="str">
        <f>IFERROR(VLOOKUP($B268,Miljövärden!$B$2:$H$550,6,FALSE),"Nej, saknas")</f>
        <v>Nej</v>
      </c>
      <c r="AU268">
        <f t="shared" si="113"/>
        <v>0.24</v>
      </c>
      <c r="AV268">
        <f t="shared" si="114"/>
        <v>0</v>
      </c>
      <c r="AW268">
        <f t="shared" si="115"/>
        <v>10.600000000000001</v>
      </c>
      <c r="AX268">
        <f t="shared" si="116"/>
        <v>0</v>
      </c>
      <c r="AZ268">
        <f t="shared" si="117"/>
        <v>11.070000000000002</v>
      </c>
      <c r="BC268">
        <f t="shared" si="118"/>
        <v>0.31</v>
      </c>
      <c r="BD268">
        <f t="shared" si="119"/>
        <v>0</v>
      </c>
      <c r="BE268">
        <f t="shared" si="120"/>
        <v>11.070000000000002</v>
      </c>
      <c r="BF268">
        <f t="shared" si="121"/>
        <v>1.39</v>
      </c>
      <c r="BG268">
        <f t="shared" si="122"/>
        <v>0.24</v>
      </c>
      <c r="BH268">
        <f>VLOOKUP(B268,Miljö!$B$1:$BX$482,MATCH("Fossilandel för ursprungspecificerad el ()",Miljö!$B$1:$I$1,0),FALSE)</f>
        <v>0</v>
      </c>
      <c r="BI268">
        <f>VLOOKUP(B268,Miljö!$B$1:$BX$482,MATCH("Kärnkraftsandel för ursprungsspecificerad el ()",Miljö!$B$1:$O$1,0),FALSE)</f>
        <v>0</v>
      </c>
      <c r="BJ268">
        <f t="shared" si="123"/>
        <v>0</v>
      </c>
      <c r="BK268" t="str">
        <f>VLOOKUP(B268,Miljö!$B$1:$O$482,MATCH("Fossil andel i procent (%)",Miljö!$B$1:$O$1,0),FALSE)</f>
        <v>ET</v>
      </c>
      <c r="BL268">
        <f t="shared" si="124"/>
        <v>13.010000000000003</v>
      </c>
      <c r="BO268" s="18">
        <f t="shared" si="125"/>
        <v>2.3827824750192152E-2</v>
      </c>
      <c r="BP268" s="18">
        <f t="shared" si="126"/>
        <v>0</v>
      </c>
      <c r="BQ268" s="18">
        <f t="shared" si="127"/>
        <v>0.8693312836279784</v>
      </c>
      <c r="BR268" s="18">
        <f t="shared" si="128"/>
        <v>0.10684089162182933</v>
      </c>
      <c r="BT268" s="27">
        <f t="shared" si="129"/>
        <v>0.99999999999999989</v>
      </c>
      <c r="BW268" s="18">
        <f>IF(AP268="ja",VLOOKUP(B268,Miljövärden!$B$2:$H$550,MATCH("Total andel fossilt",Miljövärden!$B$2:$H$2,0),FALSE),"")</f>
        <v>2.38278E-2</v>
      </c>
      <c r="BZ268" s="28">
        <f t="shared" si="130"/>
        <v>-2.4750192152700468E-8</v>
      </c>
      <c r="CA268" s="28">
        <f t="shared" si="131"/>
        <v>0</v>
      </c>
    </row>
    <row r="269" spans="1:79" x14ac:dyDescent="0.25">
      <c r="A269" s="224" t="s">
        <v>565</v>
      </c>
      <c r="B269" s="210" t="s">
        <v>569</v>
      </c>
      <c r="C269" s="121">
        <f>VLOOKUP($B269,'Tillförd energi'!$B$1:$AI$720,MATCH(C$1,'Tillförd energi'!$B$1:$AQ$1,0),FALSE)</f>
        <v>0</v>
      </c>
      <c r="D269" s="121">
        <f>VLOOKUP($B269,'Tillförd energi'!$B$1:$AI$720,MATCH(D$1,'Tillförd energi'!$B$1:$AQ$1,0),FALSE)</f>
        <v>6.3E-2</v>
      </c>
      <c r="E269" s="121">
        <f>VLOOKUP($B269,'Tillförd energi'!$B$1:$AI$720,MATCH(E$1,'Tillförd energi'!$B$1:$AQ$1,0),FALSE)</f>
        <v>0</v>
      </c>
      <c r="F269" s="121">
        <f>VLOOKUP($B269,'Tillförd energi'!$B$1:$AI$720,MATCH(F$1,'Tillförd energi'!$B$1:$AQ$1,0),FALSE)</f>
        <v>0</v>
      </c>
      <c r="G269" s="121">
        <f>VLOOKUP($B269,'Tillförd energi'!$B$1:$AI$720,MATCH(G$1,'Tillförd energi'!$B$1:$AQ$1,0),FALSE)</f>
        <v>0</v>
      </c>
      <c r="H269" s="121">
        <f>VLOOKUP($B269,'Tillförd energi'!$B$1:$AI$720,MATCH(H$1,'Tillförd energi'!$B$1:$AQ$1,0),FALSE)</f>
        <v>0</v>
      </c>
      <c r="I269" s="121">
        <f>VLOOKUP($B269,'Tillförd energi'!$B$1:$AI$720,MATCH(I$1,'Tillförd energi'!$B$1:$AQ$1,0),FALSE)</f>
        <v>0</v>
      </c>
      <c r="J269" s="121">
        <f>VLOOKUP($B269,'Tillförd energi'!$B$1:$AI$720,MATCH(J$1,'Tillförd energi'!$B$1:$AQ$1,0),FALSE)</f>
        <v>0</v>
      </c>
      <c r="K269" s="121">
        <f>VLOOKUP($B269,'Tillförd energi'!$B$1:$AI$720,MATCH(K$1,'Tillförd energi'!$B$1:$AQ$1,0),FALSE)</f>
        <v>0</v>
      </c>
      <c r="L269" s="121">
        <f>VLOOKUP($B269,'Tillförd energi'!$B$1:$AI$720,MATCH(L$1,'Tillförd energi'!$B$1:$AQ$1,0),FALSE)</f>
        <v>0</v>
      </c>
      <c r="M269" s="121">
        <f>VLOOKUP($B269,'Tillförd energi'!$B$1:$AI$720,MATCH(M$1,'Tillförd energi'!$B$1:$AQ$1,0),FALSE)</f>
        <v>11.07</v>
      </c>
      <c r="N269" s="121">
        <f>VLOOKUP($B269,'Tillförd energi'!$B$1:$AI$720,MATCH(N$1,'Tillförd energi'!$B$1:$AQ$1,0),FALSE)</f>
        <v>3.41</v>
      </c>
      <c r="O269" s="121">
        <f>VLOOKUP($B269,'Tillförd energi'!$B$1:$AI$720,MATCH(O$1,'Tillförd energi'!$B$1:$AQ$1,0),FALSE)</f>
        <v>2.5499999999999998</v>
      </c>
      <c r="P269" s="121">
        <f>VLOOKUP($B269,'Tillförd energi'!$B$1:$AI$720,MATCH(P$1,'Tillförd energi'!$B$1:$AQ$1,0),FALSE)</f>
        <v>25.54</v>
      </c>
      <c r="Q269" s="121">
        <f>VLOOKUP($B269,'Tillförd energi'!$B$1:$AI$720,MATCH(Q$1,'Tillförd energi'!$B$1:$AQ$1,0),FALSE)</f>
        <v>0</v>
      </c>
      <c r="R269" s="121">
        <f>VLOOKUP($B269,'Tillförd energi'!$B$1:$AI$720,MATCH(R$1,'Tillförd energi'!$B$1:$AQ$1,0),FALSE)</f>
        <v>0</v>
      </c>
      <c r="S269" s="121">
        <f>VLOOKUP($B269,'Tillförd energi'!$B$1:$AI$720,MATCH(S$1,'Tillförd energi'!$B$1:$AQ$1,0),FALSE)</f>
        <v>0</v>
      </c>
      <c r="T269" s="121">
        <f>VLOOKUP($B269,'Tillförd energi'!$B$1:$AI$720,MATCH(T$1,'Tillförd energi'!$B$1:$AQ$1,0),FALSE)</f>
        <v>0</v>
      </c>
      <c r="U269" s="121">
        <f>VLOOKUP($B269,'Tillförd energi'!$B$1:$AI$720,MATCH(U$1,'Tillförd energi'!$B$1:$AQ$1,0),FALSE)</f>
        <v>0</v>
      </c>
      <c r="V269" s="121">
        <f>VLOOKUP($B269,'Tillförd energi'!$B$1:$AI$720,MATCH(V$1,'Tillförd energi'!$B$1:$AQ$1,0),FALSE)</f>
        <v>0</v>
      </c>
      <c r="W269" s="121">
        <f>VLOOKUP($B269,'Tillförd energi'!$B$1:$AI$720,MATCH(W$1,'Tillförd energi'!$B$1:$AQ$1,0),FALSE)</f>
        <v>3.55</v>
      </c>
      <c r="X269" s="121">
        <f>VLOOKUP($B269,'Tillförd energi'!$B$1:$AI$720,MATCH(X$1,'Tillförd energi'!$B$1:$AQ$1,0),FALSE)</f>
        <v>0</v>
      </c>
      <c r="Y269" s="121">
        <f>VLOOKUP($B269,'Tillförd energi'!$B$1:$AI$720,MATCH(Y$1,'Tillförd energi'!$B$1:$AQ$1,0),FALSE)</f>
        <v>0</v>
      </c>
      <c r="Z269" s="121">
        <f>VLOOKUP($B269,'Tillförd energi'!$B$1:$AI$720,MATCH(Z$1,'Tillförd energi'!$B$1:$AQ$1,0),FALSE)</f>
        <v>0</v>
      </c>
      <c r="AA269" s="121">
        <f>VLOOKUP($B269,'Tillförd energi'!$B$1:$AI$720,MATCH(AA$1,'Tillförd energi'!$B$1:$AQ$1,0),FALSE)</f>
        <v>0</v>
      </c>
      <c r="AB269" s="121">
        <f>VLOOKUP($B269,'Tillförd energi'!$B$1:$AI$720,MATCH(AB$1,'Tillförd energi'!$B$1:$AQ$1,0),FALSE)</f>
        <v>0</v>
      </c>
      <c r="AC269" s="121">
        <f>VLOOKUP($B269,'Tillförd energi'!$B$1:$AI$720,MATCH(AC$1,'Tillförd energi'!$B$1:$AQ$1,0),FALSE)</f>
        <v>6.54</v>
      </c>
      <c r="AD269" s="121">
        <f>VLOOKUP($B269,'Tillförd energi'!$B$1:$AI$720,MATCH(AD$1,'Tillförd energi'!$B$1:$AQ$1,0),FALSE)</f>
        <v>0</v>
      </c>
      <c r="AE269" s="121">
        <f>VLOOKUP($B269,'Tillförd energi'!$B$1:$AI$720,MATCH(AE$1,'Tillförd energi'!$B$1:$AQ$1,0),FALSE)</f>
        <v>0</v>
      </c>
      <c r="AF269" s="121">
        <f>VLOOKUP($B269,'Tillförd energi'!$B$1:$AI$720,MATCH(AF$1,'Tillförd energi'!$B$1:$AQ$1,0),FALSE)</f>
        <v>1.06</v>
      </c>
      <c r="AG269" s="121">
        <f>IFERROR(VLOOKUP(B269,Miljö!$B$1:$AC$550,MATCH("Köpt mängd produktionsspecifik fjärrvärme:",Miljö!$B$1:$AC$1,0),FALSE)/1,0)</f>
        <v>0</v>
      </c>
      <c r="AH269" s="121"/>
      <c r="AI269" s="121">
        <f t="shared" si="110"/>
        <v>53.782999999999994</v>
      </c>
      <c r="AJ269" s="121">
        <f t="shared" si="111"/>
        <v>53.782999999999994</v>
      </c>
      <c r="AK269" s="121">
        <f>IF(ISERROR(1/VLOOKUP($B269,Leveranser!$B$1:$S$499,MATCH("såld värme (gwh)",Leveranser!$B$1:$S$1,0),FALSE)),"",VLOOKUP($B269,Leveranser!$B$1:$S$499,MATCH("såld värme (gwh)",Leveranser!$B$1:$S$1,0),FALSE))</f>
        <v>42.33</v>
      </c>
      <c r="AL269" s="121">
        <f>VLOOKUP($B269,Leveranser!$B$1:$Y$499,MATCH("Totalt såld fjärrvärme till andra fjärrvärmeföretag",Leveranser!$B$1:$AA$1,0),FALSE)</f>
        <v>0</v>
      </c>
      <c r="AM269" s="121">
        <f>IF(ISERROR(1/VLOOKUP($B269,Miljö!$B$1:$S$500,MATCH("Såld mängd produktionsspecifik fjärrvärme (GWh)",Miljö!$B$1:$R$1,0),FALSE)),0,VLOOKUP($B269,Miljö!$B$1:$S$500,MATCH("Såld mängd produktionsspecifik fjärrvärme (GWh)",Miljö!$B$1:$R$1,0),FALSE))</f>
        <v>0</v>
      </c>
      <c r="AN269" s="172">
        <f t="shared" si="112"/>
        <v>0.78705167060223491</v>
      </c>
      <c r="AO269" s="121"/>
      <c r="AP269" s="121" t="str">
        <f>IFERROR(VLOOKUP($B269,Miljövärden!$B$2:$H$550,7,FALSE),"Nej, saknas")</f>
        <v>Ja</v>
      </c>
      <c r="AQ269" s="121" t="str">
        <f>IFERROR(VLOOKUP($B269,Miljövärden!$B$2:$H$550,6,FALSE),"Nej, saknas")</f>
        <v>Nej</v>
      </c>
      <c r="AU269">
        <f t="shared" si="113"/>
        <v>1.06</v>
      </c>
      <c r="AV269">
        <f t="shared" si="114"/>
        <v>0</v>
      </c>
      <c r="AW269">
        <f t="shared" si="115"/>
        <v>42.57</v>
      </c>
      <c r="AX269">
        <f t="shared" si="116"/>
        <v>0</v>
      </c>
      <c r="AZ269">
        <f t="shared" si="117"/>
        <v>46.12</v>
      </c>
      <c r="BC269">
        <f t="shared" si="118"/>
        <v>6.3E-2</v>
      </c>
      <c r="BD269">
        <f t="shared" si="119"/>
        <v>0</v>
      </c>
      <c r="BE269">
        <f t="shared" si="120"/>
        <v>46.12</v>
      </c>
      <c r="BF269">
        <f t="shared" si="121"/>
        <v>6.54</v>
      </c>
      <c r="BG269">
        <f t="shared" si="122"/>
        <v>1.06</v>
      </c>
      <c r="BH269">
        <f>VLOOKUP(B269,Miljö!$B$1:$BX$482,MATCH("Fossilandel för ursprungspecificerad el ()",Miljö!$B$1:$I$1,0),FALSE)</f>
        <v>0</v>
      </c>
      <c r="BI269">
        <f>VLOOKUP(B269,Miljö!$B$1:$BX$482,MATCH("Kärnkraftsandel för ursprungsspecificerad el ()",Miljö!$B$1:$O$1,0),FALSE)</f>
        <v>0</v>
      </c>
      <c r="BJ269">
        <f t="shared" si="123"/>
        <v>0</v>
      </c>
      <c r="BK269" t="str">
        <f>VLOOKUP(B269,Miljö!$B$1:$O$482,MATCH("Fossil andel i procent (%)",Miljö!$B$1:$O$1,0),FALSE)</f>
        <v>ET</v>
      </c>
      <c r="BL269">
        <f t="shared" si="124"/>
        <v>53.783000000000001</v>
      </c>
      <c r="BO269" s="18">
        <f t="shared" si="125"/>
        <v>1.1713738541918449E-3</v>
      </c>
      <c r="BP269" s="18">
        <f t="shared" si="126"/>
        <v>0</v>
      </c>
      <c r="BQ269" s="18">
        <f t="shared" si="127"/>
        <v>0.87722886413922607</v>
      </c>
      <c r="BR269" s="18">
        <f t="shared" si="128"/>
        <v>0.121599762006582</v>
      </c>
      <c r="BT269" s="27">
        <f t="shared" si="129"/>
        <v>0.99999999999999989</v>
      </c>
      <c r="BW269" s="18">
        <f>IF(AP269="ja",VLOOKUP(B269,Miljövärden!$B$2:$H$550,MATCH("Total andel fossilt",Miljövärden!$B$2:$H$2,0),FALSE),"")</f>
        <v>1.1713699999999999E-3</v>
      </c>
      <c r="BZ269" s="28">
        <f t="shared" si="130"/>
        <v>-3.854191845016619E-9</v>
      </c>
      <c r="CA269" s="28">
        <f t="shared" si="131"/>
        <v>0</v>
      </c>
    </row>
    <row r="270" spans="1:79" x14ac:dyDescent="0.25">
      <c r="A270" s="224" t="s">
        <v>570</v>
      </c>
      <c r="B270" s="210" t="s">
        <v>571</v>
      </c>
      <c r="C270" s="121">
        <f>VLOOKUP($B270,'Tillförd energi'!$B$1:$AI$720,MATCH(C$1,'Tillförd energi'!$B$1:$AQ$1,0),FALSE)</f>
        <v>0</v>
      </c>
      <c r="D270" s="121">
        <f>VLOOKUP($B270,'Tillförd energi'!$B$1:$AI$720,MATCH(D$1,'Tillförd energi'!$B$1:$AQ$1,0),FALSE)</f>
        <v>3.0000000000000001E-3</v>
      </c>
      <c r="E270" s="121">
        <f>VLOOKUP($B270,'Tillförd energi'!$B$1:$AI$720,MATCH(E$1,'Tillförd energi'!$B$1:$AQ$1,0),FALSE)</f>
        <v>0</v>
      </c>
      <c r="F270" s="121">
        <f>VLOOKUP($B270,'Tillförd energi'!$B$1:$AI$720,MATCH(F$1,'Tillförd energi'!$B$1:$AQ$1,0),FALSE)</f>
        <v>0</v>
      </c>
      <c r="G270" s="121">
        <f>VLOOKUP($B270,'Tillförd energi'!$B$1:$AI$720,MATCH(G$1,'Tillförd energi'!$B$1:$AQ$1,0),FALSE)</f>
        <v>2.58</v>
      </c>
      <c r="H270" s="121">
        <f>VLOOKUP($B270,'Tillförd energi'!$B$1:$AI$720,MATCH(H$1,'Tillförd energi'!$B$1:$AQ$1,0),FALSE)</f>
        <v>0</v>
      </c>
      <c r="I270" s="121">
        <f>VLOOKUP($B270,'Tillförd energi'!$B$1:$AI$720,MATCH(I$1,'Tillförd energi'!$B$1:$AQ$1,0),FALSE)</f>
        <v>0</v>
      </c>
      <c r="J270" s="121">
        <f>VLOOKUP($B270,'Tillförd energi'!$B$1:$AI$720,MATCH(J$1,'Tillförd energi'!$B$1:$AQ$1,0),FALSE)</f>
        <v>1.931</v>
      </c>
      <c r="K270" s="121">
        <f>VLOOKUP($B270,'Tillförd energi'!$B$1:$AI$720,MATCH(K$1,'Tillförd energi'!$B$1:$AQ$1,0),FALSE)</f>
        <v>0</v>
      </c>
      <c r="L270" s="121">
        <f>VLOOKUP($B270,'Tillförd energi'!$B$1:$AI$720,MATCH(L$1,'Tillförd energi'!$B$1:$AQ$1,0),FALSE)</f>
        <v>0</v>
      </c>
      <c r="M270" s="121">
        <f>VLOOKUP($B270,'Tillförd energi'!$B$1:$AI$720,MATCH(M$1,'Tillförd energi'!$B$1:$AQ$1,0),FALSE)</f>
        <v>0</v>
      </c>
      <c r="N270" s="121">
        <f>VLOOKUP($B270,'Tillförd energi'!$B$1:$AI$720,MATCH(N$1,'Tillförd energi'!$B$1:$AQ$1,0),FALSE)</f>
        <v>0</v>
      </c>
      <c r="O270" s="121">
        <f>VLOOKUP($B270,'Tillförd energi'!$B$1:$AI$720,MATCH(O$1,'Tillförd energi'!$B$1:$AQ$1,0),FALSE)</f>
        <v>0</v>
      </c>
      <c r="P270" s="121">
        <f>VLOOKUP($B270,'Tillförd energi'!$B$1:$AI$720,MATCH(P$1,'Tillförd energi'!$B$1:$AQ$1,0),FALSE)</f>
        <v>0</v>
      </c>
      <c r="Q270" s="121">
        <f>VLOOKUP($B270,'Tillförd energi'!$B$1:$AI$720,MATCH(Q$1,'Tillförd energi'!$B$1:$AQ$1,0),FALSE)</f>
        <v>0</v>
      </c>
      <c r="R270" s="121">
        <f>VLOOKUP($B270,'Tillförd energi'!$B$1:$AI$720,MATCH(R$1,'Tillförd energi'!$B$1:$AQ$1,0),FALSE)</f>
        <v>0</v>
      </c>
      <c r="S270" s="121">
        <f>VLOOKUP($B270,'Tillförd energi'!$B$1:$AI$720,MATCH(S$1,'Tillförd energi'!$B$1:$AQ$1,0),FALSE)</f>
        <v>0</v>
      </c>
      <c r="T270" s="121">
        <f>VLOOKUP($B270,'Tillförd energi'!$B$1:$AI$720,MATCH(T$1,'Tillförd energi'!$B$1:$AQ$1,0),FALSE)</f>
        <v>0</v>
      </c>
      <c r="U270" s="121">
        <f>VLOOKUP($B270,'Tillförd energi'!$B$1:$AI$720,MATCH(U$1,'Tillförd energi'!$B$1:$AQ$1,0),FALSE)</f>
        <v>0</v>
      </c>
      <c r="V270" s="121">
        <f>VLOOKUP($B270,'Tillförd energi'!$B$1:$AI$720,MATCH(V$1,'Tillförd energi'!$B$1:$AQ$1,0),FALSE)</f>
        <v>0</v>
      </c>
      <c r="W270" s="121">
        <f>VLOOKUP($B270,'Tillförd energi'!$B$1:$AI$720,MATCH(W$1,'Tillförd energi'!$B$1:$AQ$1,0),FALSE)</f>
        <v>0</v>
      </c>
      <c r="X270" s="121">
        <f>VLOOKUP($B270,'Tillförd energi'!$B$1:$AI$720,MATCH(X$1,'Tillförd energi'!$B$1:$AQ$1,0),FALSE)</f>
        <v>0</v>
      </c>
      <c r="Y270" s="121">
        <f>VLOOKUP($B270,'Tillförd energi'!$B$1:$AI$720,MATCH(Y$1,'Tillförd energi'!$B$1:$AQ$1,0),FALSE)</f>
        <v>0</v>
      </c>
      <c r="Z270" s="121">
        <f>VLOOKUP($B270,'Tillförd energi'!$B$1:$AI$720,MATCH(Z$1,'Tillförd energi'!$B$1:$AQ$1,0),FALSE)</f>
        <v>0</v>
      </c>
      <c r="AA270" s="121">
        <f>VLOOKUP($B270,'Tillförd energi'!$B$1:$AI$720,MATCH(AA$1,'Tillförd energi'!$B$1:$AQ$1,0),FALSE)</f>
        <v>0</v>
      </c>
      <c r="AB270" s="121">
        <f>VLOOKUP($B270,'Tillförd energi'!$B$1:$AI$720,MATCH(AB$1,'Tillförd energi'!$B$1:$AQ$1,0),FALSE)</f>
        <v>0</v>
      </c>
      <c r="AC270" s="121">
        <f>VLOOKUP($B270,'Tillförd energi'!$B$1:$AI$720,MATCH(AC$1,'Tillförd energi'!$B$1:$AQ$1,0),FALSE)</f>
        <v>0</v>
      </c>
      <c r="AD270" s="121">
        <f>VLOOKUP($B270,'Tillförd energi'!$B$1:$AI$720,MATCH(AD$1,'Tillförd energi'!$B$1:$AQ$1,0),FALSE)</f>
        <v>89.6</v>
      </c>
      <c r="AE270" s="121">
        <f>VLOOKUP($B270,'Tillförd energi'!$B$1:$AI$720,MATCH(AE$1,'Tillförd energi'!$B$1:$AQ$1,0),FALSE)</f>
        <v>0</v>
      </c>
      <c r="AF270" s="121">
        <f>VLOOKUP($B270,'Tillförd energi'!$B$1:$AI$720,MATCH(AF$1,'Tillförd energi'!$B$1:$AQ$1,0),FALSE)</f>
        <v>1</v>
      </c>
      <c r="AG270" s="121">
        <f>IFERROR(VLOOKUP(B270,Miljö!$B$1:$AC$550,MATCH("Köpt mängd produktionsspecifik fjärrvärme:",Miljö!$B$1:$AC$1,0),FALSE)/1,0)</f>
        <v>0</v>
      </c>
      <c r="AH270" s="121"/>
      <c r="AI270" s="121">
        <f t="shared" si="110"/>
        <v>95.11399999999999</v>
      </c>
      <c r="AJ270" s="121">
        <f t="shared" si="111"/>
        <v>95.11399999999999</v>
      </c>
      <c r="AK270" s="121">
        <f>IF(ISERROR(1/VLOOKUP($B270,Leveranser!$B$1:$S$499,MATCH("såld värme (gwh)",Leveranser!$B$1:$S$1,0),FALSE)),"",VLOOKUP($B270,Leveranser!$B$1:$S$499,MATCH("såld värme (gwh)",Leveranser!$B$1:$S$1,0),FALSE))</f>
        <v>77.3</v>
      </c>
      <c r="AL270" s="121">
        <f>VLOOKUP($B270,Leveranser!$B$1:$Y$499,MATCH("Totalt såld fjärrvärme till andra fjärrvärmeföretag",Leveranser!$B$1:$AA$1,0),FALSE)</f>
        <v>0</v>
      </c>
      <c r="AM270" s="121">
        <f>IF(ISERROR(1/VLOOKUP($B270,Miljö!$B$1:$S$500,MATCH("Såld mängd produktionsspecifik fjärrvärme (GWh)",Miljö!$B$1:$R$1,0),FALSE)),0,VLOOKUP($B270,Miljö!$B$1:$S$500,MATCH("Såld mängd produktionsspecifik fjärrvärme (GWh)",Miljö!$B$1:$R$1,0),FALSE))</f>
        <v>0</v>
      </c>
      <c r="AN270" s="172">
        <f t="shared" si="112"/>
        <v>0.81270895977458635</v>
      </c>
      <c r="AO270" s="121"/>
      <c r="AP270" s="121" t="str">
        <f>IFERROR(VLOOKUP($B270,Miljövärden!$B$2:$H$550,7,FALSE),"Nej, saknas")</f>
        <v>Ja</v>
      </c>
      <c r="AQ270" s="121" t="str">
        <f>IFERROR(VLOOKUP($B270,Miljövärden!$B$2:$H$550,6,FALSE),"Nej, saknas")</f>
        <v>Ja</v>
      </c>
      <c r="AU270">
        <f t="shared" si="113"/>
        <v>1</v>
      </c>
      <c r="AV270">
        <f t="shared" si="114"/>
        <v>0</v>
      </c>
      <c r="AW270">
        <f t="shared" si="115"/>
        <v>0</v>
      </c>
      <c r="AX270">
        <f t="shared" si="116"/>
        <v>0</v>
      </c>
      <c r="AZ270">
        <f t="shared" si="117"/>
        <v>0</v>
      </c>
      <c r="BC270">
        <f t="shared" si="118"/>
        <v>2.5830000000000002</v>
      </c>
      <c r="BD270">
        <f t="shared" si="119"/>
        <v>0</v>
      </c>
      <c r="BE270">
        <f t="shared" si="120"/>
        <v>0</v>
      </c>
      <c r="BF270">
        <f t="shared" si="121"/>
        <v>91.530999999999992</v>
      </c>
      <c r="BG270">
        <f t="shared" si="122"/>
        <v>1</v>
      </c>
      <c r="BH270">
        <f>VLOOKUP(B270,Miljö!$B$1:$BX$482,MATCH("Fossilandel för ursprungspecificerad el ()",Miljö!$B$1:$I$1,0),FALSE)</f>
        <v>0</v>
      </c>
      <c r="BI270">
        <f>VLOOKUP(B270,Miljö!$B$1:$BX$482,MATCH("Kärnkraftsandel för ursprungsspecificerad el ()",Miljö!$B$1:$O$1,0),FALSE)</f>
        <v>0</v>
      </c>
      <c r="BJ270">
        <f t="shared" si="123"/>
        <v>0</v>
      </c>
      <c r="BK270" t="str">
        <f>VLOOKUP(B270,Miljö!$B$1:$O$482,MATCH("Fossil andel i procent (%)",Miljö!$B$1:$O$1,0),FALSE)</f>
        <v>ET</v>
      </c>
      <c r="BL270">
        <f t="shared" si="124"/>
        <v>95.11399999999999</v>
      </c>
      <c r="BO270" s="18">
        <f t="shared" si="125"/>
        <v>2.7156885421704486E-2</v>
      </c>
      <c r="BP270" s="18">
        <f t="shared" si="126"/>
        <v>0</v>
      </c>
      <c r="BQ270" s="18">
        <f t="shared" si="127"/>
        <v>1.0513699350253381E-2</v>
      </c>
      <c r="BR270" s="18">
        <f t="shared" si="128"/>
        <v>0.96232941522804216</v>
      </c>
      <c r="BT270" s="27">
        <f t="shared" si="129"/>
        <v>1</v>
      </c>
      <c r="BW270" s="18">
        <f>IF(AP270="ja",VLOOKUP(B270,Miljövärden!$B$2:$H$550,MATCH("Total andel fossilt",Miljövärden!$B$2:$H$2,0),FALSE),"")</f>
        <v>2.7156900000000001E-2</v>
      </c>
      <c r="BZ270" s="28">
        <f t="shared" si="130"/>
        <v>1.4578295515210726E-8</v>
      </c>
      <c r="CA270" s="28">
        <f t="shared" si="131"/>
        <v>0</v>
      </c>
    </row>
    <row r="271" spans="1:79" x14ac:dyDescent="0.25">
      <c r="A271" s="224" t="s">
        <v>570</v>
      </c>
      <c r="B271" s="210" t="s">
        <v>572</v>
      </c>
      <c r="C271" s="121">
        <f>VLOOKUP($B271,'Tillförd energi'!$B$1:$AI$720,MATCH(C$1,'Tillförd energi'!$B$1:$AQ$1,0),FALSE)</f>
        <v>0</v>
      </c>
      <c r="D271" s="121">
        <f>VLOOKUP($B271,'Tillförd energi'!$B$1:$AI$720,MATCH(D$1,'Tillförd energi'!$B$1:$AQ$1,0),FALSE)</f>
        <v>1.0999999999999999E-2</v>
      </c>
      <c r="E271" s="121">
        <f>VLOOKUP($B271,'Tillförd energi'!$B$1:$AI$720,MATCH(E$1,'Tillförd energi'!$B$1:$AQ$1,0),FALSE)</f>
        <v>0</v>
      </c>
      <c r="F271" s="121">
        <f>VLOOKUP($B271,'Tillförd energi'!$B$1:$AI$720,MATCH(F$1,'Tillförd energi'!$B$1:$AQ$1,0),FALSE)</f>
        <v>0</v>
      </c>
      <c r="G271" s="121">
        <f>VLOOKUP($B271,'Tillförd energi'!$B$1:$AI$720,MATCH(G$1,'Tillförd energi'!$B$1:$AQ$1,0),FALSE)</f>
        <v>0</v>
      </c>
      <c r="H271" s="121">
        <f>VLOOKUP($B271,'Tillförd energi'!$B$1:$AI$720,MATCH(H$1,'Tillförd energi'!$B$1:$AQ$1,0),FALSE)</f>
        <v>0</v>
      </c>
      <c r="I271" s="121">
        <f>VLOOKUP($B271,'Tillförd energi'!$B$1:$AI$720,MATCH(I$1,'Tillförd energi'!$B$1:$AQ$1,0),FALSE)</f>
        <v>0</v>
      </c>
      <c r="J271" s="121">
        <f>VLOOKUP($B271,'Tillförd energi'!$B$1:$AI$720,MATCH(J$1,'Tillförd energi'!$B$1:$AQ$1,0),FALSE)</f>
        <v>0</v>
      </c>
      <c r="K271" s="121">
        <f>VLOOKUP($B271,'Tillförd energi'!$B$1:$AI$720,MATCH(K$1,'Tillförd energi'!$B$1:$AQ$1,0),FALSE)</f>
        <v>0</v>
      </c>
      <c r="L271" s="121">
        <f>VLOOKUP($B271,'Tillförd energi'!$B$1:$AI$720,MATCH(L$1,'Tillförd energi'!$B$1:$AQ$1,0),FALSE)</f>
        <v>0</v>
      </c>
      <c r="M271" s="121">
        <f>VLOOKUP($B271,'Tillförd energi'!$B$1:$AI$720,MATCH(M$1,'Tillförd energi'!$B$1:$AQ$1,0),FALSE)</f>
        <v>0</v>
      </c>
      <c r="N271" s="121">
        <f>VLOOKUP($B271,'Tillförd energi'!$B$1:$AI$720,MATCH(N$1,'Tillförd energi'!$B$1:$AQ$1,0),FALSE)</f>
        <v>0</v>
      </c>
      <c r="O271" s="121">
        <f>VLOOKUP($B271,'Tillförd energi'!$B$1:$AI$720,MATCH(O$1,'Tillförd energi'!$B$1:$AQ$1,0),FALSE)</f>
        <v>0</v>
      </c>
      <c r="P271" s="121">
        <f>VLOOKUP($B271,'Tillförd energi'!$B$1:$AI$720,MATCH(P$1,'Tillförd energi'!$B$1:$AQ$1,0),FALSE)</f>
        <v>0</v>
      </c>
      <c r="Q271" s="121">
        <f>VLOOKUP($B271,'Tillförd energi'!$B$1:$AI$720,MATCH(Q$1,'Tillförd energi'!$B$1:$AQ$1,0),FALSE)</f>
        <v>0</v>
      </c>
      <c r="R271" s="121">
        <f>VLOOKUP($B271,'Tillförd energi'!$B$1:$AI$720,MATCH(R$1,'Tillförd energi'!$B$1:$AQ$1,0),FALSE)</f>
        <v>0.86</v>
      </c>
      <c r="S271" s="121">
        <f>VLOOKUP($B271,'Tillförd energi'!$B$1:$AI$720,MATCH(S$1,'Tillförd energi'!$B$1:$AQ$1,0),FALSE)</f>
        <v>0</v>
      </c>
      <c r="T271" s="121">
        <f>VLOOKUP($B271,'Tillförd energi'!$B$1:$AI$720,MATCH(T$1,'Tillförd energi'!$B$1:$AQ$1,0),FALSE)</f>
        <v>0</v>
      </c>
      <c r="U271" s="121">
        <f>VLOOKUP($B271,'Tillförd energi'!$B$1:$AI$720,MATCH(U$1,'Tillförd energi'!$B$1:$AQ$1,0),FALSE)</f>
        <v>0</v>
      </c>
      <c r="V271" s="121">
        <f>VLOOKUP($B271,'Tillförd energi'!$B$1:$AI$720,MATCH(V$1,'Tillförd energi'!$B$1:$AQ$1,0),FALSE)</f>
        <v>0</v>
      </c>
      <c r="W271" s="121">
        <f>VLOOKUP($B271,'Tillförd energi'!$B$1:$AI$720,MATCH(W$1,'Tillförd energi'!$B$1:$AQ$1,0),FALSE)</f>
        <v>0</v>
      </c>
      <c r="X271" s="121">
        <f>VLOOKUP($B271,'Tillförd energi'!$B$1:$AI$720,MATCH(X$1,'Tillförd energi'!$B$1:$AQ$1,0),FALSE)</f>
        <v>0</v>
      </c>
      <c r="Y271" s="121">
        <f>VLOOKUP($B271,'Tillförd energi'!$B$1:$AI$720,MATCH(Y$1,'Tillförd energi'!$B$1:$AQ$1,0),FALSE)</f>
        <v>0</v>
      </c>
      <c r="Z271" s="121">
        <f>VLOOKUP($B271,'Tillförd energi'!$B$1:$AI$720,MATCH(Z$1,'Tillförd energi'!$B$1:$AQ$1,0),FALSE)</f>
        <v>0</v>
      </c>
      <c r="AA271" s="121">
        <f>VLOOKUP($B271,'Tillförd energi'!$B$1:$AI$720,MATCH(AA$1,'Tillförd energi'!$B$1:$AQ$1,0),FALSE)</f>
        <v>0</v>
      </c>
      <c r="AB271" s="121">
        <f>VLOOKUP($B271,'Tillförd energi'!$B$1:$AI$720,MATCH(AB$1,'Tillförd energi'!$B$1:$AQ$1,0),FALSE)</f>
        <v>0</v>
      </c>
      <c r="AC271" s="121">
        <f>VLOOKUP($B271,'Tillförd energi'!$B$1:$AI$720,MATCH(AC$1,'Tillförd energi'!$B$1:$AQ$1,0),FALSE)</f>
        <v>0</v>
      </c>
      <c r="AD271" s="121">
        <f>VLOOKUP($B271,'Tillförd energi'!$B$1:$AI$720,MATCH(AD$1,'Tillförd energi'!$B$1:$AQ$1,0),FALSE)</f>
        <v>0</v>
      </c>
      <c r="AE271" s="121">
        <f>VLOOKUP($B271,'Tillförd energi'!$B$1:$AI$720,MATCH(AE$1,'Tillförd energi'!$B$1:$AQ$1,0),FALSE)</f>
        <v>0</v>
      </c>
      <c r="AF271" s="121">
        <f>VLOOKUP($B271,'Tillförd energi'!$B$1:$AI$720,MATCH(AF$1,'Tillförd energi'!$B$1:$AQ$1,0),FALSE)</f>
        <v>2.1000000000000001E-2</v>
      </c>
      <c r="AG271" s="121">
        <f>IFERROR(VLOOKUP(B271,Miljö!$B$1:$AC$550,MATCH("Köpt mängd produktionsspecifik fjärrvärme:",Miljö!$B$1:$AC$1,0),FALSE)/1,0)</f>
        <v>0</v>
      </c>
      <c r="AH271" s="121"/>
      <c r="AI271" s="121">
        <f t="shared" si="110"/>
        <v>0.89200000000000002</v>
      </c>
      <c r="AJ271" s="121">
        <f t="shared" si="111"/>
        <v>0.89200000000000002</v>
      </c>
      <c r="AK271" s="121">
        <f>IF(ISERROR(1/VLOOKUP($B271,Leveranser!$B$1:$S$499,MATCH("såld värme (gwh)",Leveranser!$B$1:$S$1,0),FALSE)),"",VLOOKUP($B271,Leveranser!$B$1:$S$499,MATCH("såld värme (gwh)",Leveranser!$B$1:$S$1,0),FALSE))</f>
        <v>0.872</v>
      </c>
      <c r="AL271" s="121">
        <f>VLOOKUP($B271,Leveranser!$B$1:$Y$499,MATCH("Totalt såld fjärrvärme till andra fjärrvärmeföretag",Leveranser!$B$1:$AA$1,0),FALSE)</f>
        <v>0</v>
      </c>
      <c r="AM271" s="121">
        <f>IF(ISERROR(1/VLOOKUP($B271,Miljö!$B$1:$S$500,MATCH("Såld mängd produktionsspecifik fjärrvärme (GWh)",Miljö!$B$1:$R$1,0),FALSE)),0,VLOOKUP($B271,Miljö!$B$1:$S$500,MATCH("Såld mängd produktionsspecifik fjärrvärme (GWh)",Miljö!$B$1:$R$1,0),FALSE))</f>
        <v>0</v>
      </c>
      <c r="AN271" s="172">
        <f t="shared" si="112"/>
        <v>0.97757847533632281</v>
      </c>
      <c r="AO271" s="121"/>
      <c r="AP271" s="121" t="str">
        <f>IFERROR(VLOOKUP($B271,Miljövärden!$B$2:$H$550,7,FALSE),"Nej, saknas")</f>
        <v>Ja</v>
      </c>
      <c r="AQ271" s="121" t="str">
        <f>IFERROR(VLOOKUP($B271,Miljövärden!$B$2:$H$550,6,FALSE),"Nej, saknas")</f>
        <v>Ja</v>
      </c>
      <c r="AU271">
        <f t="shared" si="113"/>
        <v>2.1000000000000001E-2</v>
      </c>
      <c r="AV271">
        <f t="shared" si="114"/>
        <v>0</v>
      </c>
      <c r="AW271">
        <f t="shared" si="115"/>
        <v>0</v>
      </c>
      <c r="AX271">
        <f t="shared" si="116"/>
        <v>0.86</v>
      </c>
      <c r="AZ271">
        <f t="shared" si="117"/>
        <v>0.86</v>
      </c>
      <c r="BC271">
        <f t="shared" si="118"/>
        <v>1.0999999999999999E-2</v>
      </c>
      <c r="BD271">
        <f t="shared" si="119"/>
        <v>0</v>
      </c>
      <c r="BE271">
        <f t="shared" si="120"/>
        <v>0.86</v>
      </c>
      <c r="BF271">
        <f t="shared" si="121"/>
        <v>0</v>
      </c>
      <c r="BG271">
        <f t="shared" si="122"/>
        <v>2.1000000000000001E-2</v>
      </c>
      <c r="BH271">
        <f>VLOOKUP(B271,Miljö!$B$1:$BX$482,MATCH("Fossilandel för ursprungspecificerad el ()",Miljö!$B$1:$I$1,0),FALSE)</f>
        <v>0</v>
      </c>
      <c r="BI271">
        <f>VLOOKUP(B271,Miljö!$B$1:$BX$482,MATCH("Kärnkraftsandel för ursprungsspecificerad el ()",Miljö!$B$1:$O$1,0),FALSE)</f>
        <v>0</v>
      </c>
      <c r="BJ271">
        <f t="shared" si="123"/>
        <v>0</v>
      </c>
      <c r="BK271" t="str">
        <f>VLOOKUP(B271,Miljö!$B$1:$O$482,MATCH("Fossil andel i procent (%)",Miljö!$B$1:$O$1,0),FALSE)</f>
        <v>ET</v>
      </c>
      <c r="BL271">
        <f t="shared" si="124"/>
        <v>0.89200000000000002</v>
      </c>
      <c r="BO271" s="18">
        <f t="shared" si="125"/>
        <v>1.2331838565022421E-2</v>
      </c>
      <c r="BP271" s="18">
        <f t="shared" si="126"/>
        <v>0</v>
      </c>
      <c r="BQ271" s="18">
        <f t="shared" si="127"/>
        <v>0.9876681614349776</v>
      </c>
      <c r="BR271" s="18">
        <f t="shared" si="128"/>
        <v>0</v>
      </c>
      <c r="BT271" s="27">
        <f t="shared" si="129"/>
        <v>1</v>
      </c>
      <c r="BW271" s="18">
        <f>IF(AP271="ja",VLOOKUP(B271,Miljövärden!$B$2:$H$550,MATCH("Total andel fossilt",Miljövärden!$B$2:$H$2,0),FALSE),"")</f>
        <v>1.23318E-2</v>
      </c>
      <c r="BZ271" s="28">
        <f t="shared" si="130"/>
        <v>-3.8565022420292139E-8</v>
      </c>
      <c r="CA271" s="28">
        <f t="shared" si="131"/>
        <v>0</v>
      </c>
    </row>
    <row r="272" spans="1:79" x14ac:dyDescent="0.25">
      <c r="A272" s="224" t="s">
        <v>573</v>
      </c>
      <c r="B272" s="210" t="s">
        <v>574</v>
      </c>
      <c r="C272" s="121">
        <f>VLOOKUP($B272,'Tillförd energi'!$B$1:$AI$720,MATCH(C$1,'Tillförd energi'!$B$1:$AQ$1,0),FALSE)</f>
        <v>0</v>
      </c>
      <c r="D272" s="121">
        <f>VLOOKUP($B272,'Tillförd energi'!$B$1:$AI$720,MATCH(D$1,'Tillförd energi'!$B$1:$AQ$1,0),FALSE)</f>
        <v>0</v>
      </c>
      <c r="E272" s="121">
        <f>VLOOKUP($B272,'Tillförd energi'!$B$1:$AI$720,MATCH(E$1,'Tillförd energi'!$B$1:$AQ$1,0),FALSE)</f>
        <v>0</v>
      </c>
      <c r="F272" s="121">
        <f>VLOOKUP($B272,'Tillförd energi'!$B$1:$AI$720,MATCH(F$1,'Tillförd energi'!$B$1:$AQ$1,0),FALSE)</f>
        <v>0</v>
      </c>
      <c r="G272" s="121">
        <f>VLOOKUP($B272,'Tillförd energi'!$B$1:$AI$720,MATCH(G$1,'Tillförd energi'!$B$1:$AQ$1,0),FALSE)</f>
        <v>0</v>
      </c>
      <c r="H272" s="121">
        <f>VLOOKUP($B272,'Tillförd energi'!$B$1:$AI$720,MATCH(H$1,'Tillförd energi'!$B$1:$AQ$1,0),FALSE)</f>
        <v>0</v>
      </c>
      <c r="I272" s="121">
        <f>VLOOKUP($B272,'Tillförd energi'!$B$1:$AI$720,MATCH(I$1,'Tillförd energi'!$B$1:$AQ$1,0),FALSE)</f>
        <v>0</v>
      </c>
      <c r="J272" s="121">
        <f>VLOOKUP($B272,'Tillförd energi'!$B$1:$AI$720,MATCH(J$1,'Tillförd energi'!$B$1:$AQ$1,0),FALSE)</f>
        <v>0</v>
      </c>
      <c r="K272" s="121">
        <f>VLOOKUP($B272,'Tillförd energi'!$B$1:$AI$720,MATCH(K$1,'Tillförd energi'!$B$1:$AQ$1,0),FALSE)</f>
        <v>0</v>
      </c>
      <c r="L272" s="121">
        <f>VLOOKUP($B272,'Tillförd energi'!$B$1:$AI$720,MATCH(L$1,'Tillförd energi'!$B$1:$AQ$1,0),FALSE)</f>
        <v>0</v>
      </c>
      <c r="M272" s="121">
        <f>VLOOKUP($B272,'Tillförd energi'!$B$1:$AI$720,MATCH(M$1,'Tillförd energi'!$B$1:$AQ$1,0),FALSE)</f>
        <v>0</v>
      </c>
      <c r="N272" s="121">
        <f>VLOOKUP($B272,'Tillförd energi'!$B$1:$AI$720,MATCH(N$1,'Tillförd energi'!$B$1:$AQ$1,0),FALSE)</f>
        <v>0</v>
      </c>
      <c r="O272" s="121">
        <f>VLOOKUP($B272,'Tillförd energi'!$B$1:$AI$720,MATCH(O$1,'Tillförd energi'!$B$1:$AQ$1,0),FALSE)</f>
        <v>0</v>
      </c>
      <c r="P272" s="121">
        <f>VLOOKUP($B272,'Tillförd energi'!$B$1:$AI$720,MATCH(P$1,'Tillförd energi'!$B$1:$AQ$1,0),FALSE)</f>
        <v>0</v>
      </c>
      <c r="Q272" s="121">
        <f>VLOOKUP($B272,'Tillförd energi'!$B$1:$AI$720,MATCH(Q$1,'Tillförd energi'!$B$1:$AQ$1,0),FALSE)</f>
        <v>0</v>
      </c>
      <c r="R272" s="121">
        <f>VLOOKUP($B272,'Tillförd energi'!$B$1:$AI$720,MATCH(R$1,'Tillförd energi'!$B$1:$AQ$1,0),FALSE)</f>
        <v>0</v>
      </c>
      <c r="S272" s="121">
        <f>VLOOKUP($B272,'Tillförd energi'!$B$1:$AI$720,MATCH(S$1,'Tillförd energi'!$B$1:$AQ$1,0),FALSE)</f>
        <v>0</v>
      </c>
      <c r="T272" s="121">
        <f>VLOOKUP($B272,'Tillförd energi'!$B$1:$AI$720,MATCH(T$1,'Tillförd energi'!$B$1:$AQ$1,0),FALSE)</f>
        <v>0</v>
      </c>
      <c r="U272" s="121">
        <f>VLOOKUP($B272,'Tillförd energi'!$B$1:$AI$720,MATCH(U$1,'Tillförd energi'!$B$1:$AQ$1,0),FALSE)</f>
        <v>0</v>
      </c>
      <c r="V272" s="121">
        <f>VLOOKUP($B272,'Tillförd energi'!$B$1:$AI$720,MATCH(V$1,'Tillförd energi'!$B$1:$AQ$1,0),FALSE)</f>
        <v>0</v>
      </c>
      <c r="W272" s="121">
        <f>VLOOKUP($B272,'Tillförd energi'!$B$1:$AI$720,MATCH(W$1,'Tillförd energi'!$B$1:$AQ$1,0),FALSE)</f>
        <v>0</v>
      </c>
      <c r="X272" s="121">
        <f>VLOOKUP($B272,'Tillförd energi'!$B$1:$AI$720,MATCH(X$1,'Tillförd energi'!$B$1:$AQ$1,0),FALSE)</f>
        <v>0</v>
      </c>
      <c r="Y272" s="121">
        <f>VLOOKUP($B272,'Tillförd energi'!$B$1:$AI$720,MATCH(Y$1,'Tillförd energi'!$B$1:$AQ$1,0),FALSE)</f>
        <v>0</v>
      </c>
      <c r="Z272" s="121">
        <f>VLOOKUP($B272,'Tillförd energi'!$B$1:$AI$720,MATCH(Z$1,'Tillförd energi'!$B$1:$AQ$1,0),FALSE)</f>
        <v>0</v>
      </c>
      <c r="AA272" s="121">
        <f>VLOOKUP($B272,'Tillförd energi'!$B$1:$AI$720,MATCH(AA$1,'Tillförd energi'!$B$1:$AQ$1,0),FALSE)</f>
        <v>0</v>
      </c>
      <c r="AB272" s="121">
        <f>VLOOKUP($B272,'Tillförd energi'!$B$1:$AI$720,MATCH(AB$1,'Tillförd energi'!$B$1:$AQ$1,0),FALSE)</f>
        <v>0</v>
      </c>
      <c r="AC272" s="121">
        <f>VLOOKUP($B272,'Tillförd energi'!$B$1:$AI$720,MATCH(AC$1,'Tillförd energi'!$B$1:$AQ$1,0),FALSE)</f>
        <v>0</v>
      </c>
      <c r="AD272" s="121">
        <f>VLOOKUP($B272,'Tillförd energi'!$B$1:$AI$720,MATCH(AD$1,'Tillförd energi'!$B$1:$AQ$1,0),FALSE)</f>
        <v>0</v>
      </c>
      <c r="AE272" s="121">
        <f>VLOOKUP($B272,'Tillförd energi'!$B$1:$AI$720,MATCH(AE$1,'Tillförd energi'!$B$1:$AQ$1,0),FALSE)</f>
        <v>0</v>
      </c>
      <c r="AF272" s="121">
        <f>VLOOKUP($B272,'Tillförd energi'!$B$1:$AI$720,MATCH(AF$1,'Tillförd energi'!$B$1:$AQ$1,0),FALSE)</f>
        <v>0</v>
      </c>
      <c r="AG272" s="121">
        <f>IFERROR(VLOOKUP(B272,Miljö!$B$1:$AC$550,MATCH("Köpt mängd produktionsspecifik fjärrvärme:",Miljö!$B$1:$AC$1,0),FALSE)/1,0)</f>
        <v>0</v>
      </c>
      <c r="AH272" s="121"/>
      <c r="AI272" s="121">
        <f t="shared" si="110"/>
        <v>0</v>
      </c>
      <c r="AJ272" s="121">
        <f t="shared" si="111"/>
        <v>0</v>
      </c>
      <c r="AK272" s="121" t="str">
        <f>IF(ISERROR(1/VLOOKUP($B272,Leveranser!$B$1:$S$499,MATCH("såld värme (gwh)",Leveranser!$B$1:$S$1,0),FALSE)),"",VLOOKUP($B272,Leveranser!$B$1:$S$499,MATCH("såld värme (gwh)",Leveranser!$B$1:$S$1,0),FALSE))</f>
        <v/>
      </c>
      <c r="AL272" s="121">
        <f>VLOOKUP($B272,Leveranser!$B$1:$Y$499,MATCH("Totalt såld fjärrvärme till andra fjärrvärmeföretag",Leveranser!$B$1:$AA$1,0),FALSE)</f>
        <v>0</v>
      </c>
      <c r="AM272" s="121">
        <f>IF(ISERROR(1/VLOOKUP($B272,Miljö!$B$1:$S$500,MATCH("Såld mängd produktionsspecifik fjärrvärme (GWh)",Miljö!$B$1:$R$1,0),FALSE)),0,VLOOKUP($B272,Miljö!$B$1:$S$500,MATCH("Såld mängd produktionsspecifik fjärrvärme (GWh)",Miljö!$B$1:$R$1,0),FALSE))</f>
        <v>0</v>
      </c>
      <c r="AN272" s="172" t="str">
        <f t="shared" si="112"/>
        <v/>
      </c>
      <c r="AO272" s="121"/>
      <c r="AP272" s="121" t="str">
        <f>IFERROR(VLOOKUP($B272,Miljövärden!$B$2:$H$550,7,FALSE),"Nej, saknas")</f>
        <v>Nej</v>
      </c>
      <c r="AQ272" s="121" t="str">
        <f>IFERROR(VLOOKUP($B272,Miljövärden!$B$2:$H$550,6,FALSE),"Nej, saknas")</f>
        <v>Nej</v>
      </c>
      <c r="AU272">
        <f t="shared" si="113"/>
        <v>0</v>
      </c>
      <c r="AV272">
        <f t="shared" si="114"/>
        <v>0</v>
      </c>
      <c r="AW272">
        <f t="shared" si="115"/>
        <v>0</v>
      </c>
      <c r="AX272">
        <f t="shared" si="116"/>
        <v>0</v>
      </c>
      <c r="AZ272">
        <f t="shared" si="117"/>
        <v>0</v>
      </c>
      <c r="BC272">
        <f t="shared" si="118"/>
        <v>0</v>
      </c>
      <c r="BD272">
        <f t="shared" si="119"/>
        <v>0</v>
      </c>
      <c r="BE272">
        <f t="shared" si="120"/>
        <v>0</v>
      </c>
      <c r="BF272">
        <f t="shared" si="121"/>
        <v>0</v>
      </c>
      <c r="BG272">
        <f t="shared" si="122"/>
        <v>0</v>
      </c>
      <c r="BH272" t="str">
        <f>VLOOKUP(B272,Miljö!$B$1:$BX$482,MATCH("Fossilandel för ursprungspecificerad el ()",Miljö!$B$1:$I$1,0),FALSE)</f>
        <v>-</v>
      </c>
      <c r="BI272" t="str">
        <f>VLOOKUP(B272,Miljö!$B$1:$BX$482,MATCH("Kärnkraftsandel för ursprungsspecificerad el ()",Miljö!$B$1:$O$1,0),FALSE)</f>
        <v>-</v>
      </c>
      <c r="BJ272">
        <f t="shared" si="123"/>
        <v>0</v>
      </c>
      <c r="BK272" t="str">
        <f>VLOOKUP(B272,Miljö!$B$1:$O$482,MATCH("Fossil andel i procent (%)",Miljö!$B$1:$O$1,0),FALSE)</f>
        <v>-</v>
      </c>
      <c r="BL272">
        <f t="shared" si="124"/>
        <v>0</v>
      </c>
      <c r="BO272" s="18" t="str">
        <f t="shared" si="125"/>
        <v/>
      </c>
      <c r="BP272" s="18" t="str">
        <f t="shared" si="126"/>
        <v/>
      </c>
      <c r="BQ272" s="18" t="str">
        <f t="shared" si="127"/>
        <v/>
      </c>
      <c r="BR272" s="18" t="str">
        <f t="shared" si="128"/>
        <v/>
      </c>
      <c r="BT272" s="27">
        <f t="shared" si="129"/>
        <v>0</v>
      </c>
      <c r="BW272" s="18" t="str">
        <f>IF(AP272="ja",VLOOKUP(B272,Miljövärden!$B$2:$H$550,MATCH("Total andel fossilt",Miljövärden!$B$2:$H$2,0),FALSE),"")</f>
        <v/>
      </c>
      <c r="BZ272" s="28" t="str">
        <f t="shared" si="130"/>
        <v/>
      </c>
      <c r="CA272" s="28" t="str">
        <f t="shared" si="131"/>
        <v/>
      </c>
    </row>
    <row r="273" spans="1:79" x14ac:dyDescent="0.25">
      <c r="A273" s="224" t="s">
        <v>573</v>
      </c>
      <c r="B273" s="210" t="s">
        <v>575</v>
      </c>
      <c r="C273" s="121">
        <f>VLOOKUP($B273,'Tillförd energi'!$B$1:$AI$720,MATCH(C$1,'Tillförd energi'!$B$1:$AQ$1,0),FALSE)</f>
        <v>0</v>
      </c>
      <c r="D273" s="121">
        <f>VLOOKUP($B273,'Tillförd energi'!$B$1:$AI$720,MATCH(D$1,'Tillförd energi'!$B$1:$AQ$1,0),FALSE)</f>
        <v>0</v>
      </c>
      <c r="E273" s="121">
        <f>VLOOKUP($B273,'Tillförd energi'!$B$1:$AI$720,MATCH(E$1,'Tillförd energi'!$B$1:$AQ$1,0),FALSE)</f>
        <v>0</v>
      </c>
      <c r="F273" s="121">
        <f>VLOOKUP($B273,'Tillförd energi'!$B$1:$AI$720,MATCH(F$1,'Tillförd energi'!$B$1:$AQ$1,0),FALSE)</f>
        <v>0</v>
      </c>
      <c r="G273" s="121">
        <f>VLOOKUP($B273,'Tillförd energi'!$B$1:$AI$720,MATCH(G$1,'Tillförd energi'!$B$1:$AQ$1,0),FALSE)</f>
        <v>0</v>
      </c>
      <c r="H273" s="121">
        <f>VLOOKUP($B273,'Tillförd energi'!$B$1:$AI$720,MATCH(H$1,'Tillförd energi'!$B$1:$AQ$1,0),FALSE)</f>
        <v>0</v>
      </c>
      <c r="I273" s="121">
        <f>VLOOKUP($B273,'Tillförd energi'!$B$1:$AI$720,MATCH(I$1,'Tillförd energi'!$B$1:$AQ$1,0),FALSE)</f>
        <v>0</v>
      </c>
      <c r="J273" s="121">
        <f>VLOOKUP($B273,'Tillförd energi'!$B$1:$AI$720,MATCH(J$1,'Tillförd energi'!$B$1:$AQ$1,0),FALSE)</f>
        <v>0</v>
      </c>
      <c r="K273" s="121">
        <f>VLOOKUP($B273,'Tillförd energi'!$B$1:$AI$720,MATCH(K$1,'Tillförd energi'!$B$1:$AQ$1,0),FALSE)</f>
        <v>0</v>
      </c>
      <c r="L273" s="121">
        <f>VLOOKUP($B273,'Tillförd energi'!$B$1:$AI$720,MATCH(L$1,'Tillförd energi'!$B$1:$AQ$1,0),FALSE)</f>
        <v>0</v>
      </c>
      <c r="M273" s="121">
        <f>VLOOKUP($B273,'Tillförd energi'!$B$1:$AI$720,MATCH(M$1,'Tillförd energi'!$B$1:$AQ$1,0),FALSE)</f>
        <v>0</v>
      </c>
      <c r="N273" s="121">
        <f>VLOOKUP($B273,'Tillförd energi'!$B$1:$AI$720,MATCH(N$1,'Tillförd energi'!$B$1:$AQ$1,0),FALSE)</f>
        <v>0</v>
      </c>
      <c r="O273" s="121">
        <f>VLOOKUP($B273,'Tillförd energi'!$B$1:$AI$720,MATCH(O$1,'Tillförd energi'!$B$1:$AQ$1,0),FALSE)</f>
        <v>0</v>
      </c>
      <c r="P273" s="121">
        <f>VLOOKUP($B273,'Tillförd energi'!$B$1:$AI$720,MATCH(P$1,'Tillförd energi'!$B$1:$AQ$1,0),FALSE)</f>
        <v>0</v>
      </c>
      <c r="Q273" s="121">
        <f>VLOOKUP($B273,'Tillförd energi'!$B$1:$AI$720,MATCH(Q$1,'Tillförd energi'!$B$1:$AQ$1,0),FALSE)</f>
        <v>0</v>
      </c>
      <c r="R273" s="121">
        <f>VLOOKUP($B273,'Tillförd energi'!$B$1:$AI$720,MATCH(R$1,'Tillförd energi'!$B$1:$AQ$1,0),FALSE)</f>
        <v>0</v>
      </c>
      <c r="S273" s="121">
        <f>VLOOKUP($B273,'Tillförd energi'!$B$1:$AI$720,MATCH(S$1,'Tillförd energi'!$B$1:$AQ$1,0),FALSE)</f>
        <v>0</v>
      </c>
      <c r="T273" s="121">
        <f>VLOOKUP($B273,'Tillförd energi'!$B$1:$AI$720,MATCH(T$1,'Tillförd energi'!$B$1:$AQ$1,0),FALSE)</f>
        <v>0</v>
      </c>
      <c r="U273" s="121">
        <f>VLOOKUP($B273,'Tillförd energi'!$B$1:$AI$720,MATCH(U$1,'Tillförd energi'!$B$1:$AQ$1,0),FALSE)</f>
        <v>0</v>
      </c>
      <c r="V273" s="121">
        <f>VLOOKUP($B273,'Tillförd energi'!$B$1:$AI$720,MATCH(V$1,'Tillförd energi'!$B$1:$AQ$1,0),FALSE)</f>
        <v>0</v>
      </c>
      <c r="W273" s="121">
        <f>VLOOKUP($B273,'Tillförd energi'!$B$1:$AI$720,MATCH(W$1,'Tillförd energi'!$B$1:$AQ$1,0),FALSE)</f>
        <v>0</v>
      </c>
      <c r="X273" s="121">
        <f>VLOOKUP($B273,'Tillförd energi'!$B$1:$AI$720,MATCH(X$1,'Tillförd energi'!$B$1:$AQ$1,0),FALSE)</f>
        <v>0</v>
      </c>
      <c r="Y273" s="121">
        <f>VLOOKUP($B273,'Tillförd energi'!$B$1:$AI$720,MATCH(Y$1,'Tillförd energi'!$B$1:$AQ$1,0),FALSE)</f>
        <v>0</v>
      </c>
      <c r="Z273" s="121">
        <f>VLOOKUP($B273,'Tillförd energi'!$B$1:$AI$720,MATCH(Z$1,'Tillförd energi'!$B$1:$AQ$1,0),FALSE)</f>
        <v>0</v>
      </c>
      <c r="AA273" s="121">
        <f>VLOOKUP($B273,'Tillförd energi'!$B$1:$AI$720,MATCH(AA$1,'Tillförd energi'!$B$1:$AQ$1,0),FALSE)</f>
        <v>0</v>
      </c>
      <c r="AB273" s="121">
        <f>VLOOKUP($B273,'Tillförd energi'!$B$1:$AI$720,MATCH(AB$1,'Tillförd energi'!$B$1:$AQ$1,0),FALSE)</f>
        <v>0</v>
      </c>
      <c r="AC273" s="121">
        <f>VLOOKUP($B273,'Tillförd energi'!$B$1:$AI$720,MATCH(AC$1,'Tillförd energi'!$B$1:$AQ$1,0),FALSE)</f>
        <v>0</v>
      </c>
      <c r="AD273" s="121">
        <f>VLOOKUP($B273,'Tillförd energi'!$B$1:$AI$720,MATCH(AD$1,'Tillförd energi'!$B$1:$AQ$1,0),FALSE)</f>
        <v>0</v>
      </c>
      <c r="AE273" s="121">
        <f>VLOOKUP($B273,'Tillförd energi'!$B$1:$AI$720,MATCH(AE$1,'Tillförd energi'!$B$1:$AQ$1,0),FALSE)</f>
        <v>0</v>
      </c>
      <c r="AF273" s="121">
        <f>VLOOKUP($B273,'Tillförd energi'!$B$1:$AI$720,MATCH(AF$1,'Tillförd energi'!$B$1:$AQ$1,0),FALSE)</f>
        <v>0</v>
      </c>
      <c r="AG273" s="121">
        <f>IFERROR(VLOOKUP(B273,Miljö!$B$1:$AC$550,MATCH("Köpt mängd produktionsspecifik fjärrvärme:",Miljö!$B$1:$AC$1,0),FALSE)/1,0)</f>
        <v>0</v>
      </c>
      <c r="AH273" s="121"/>
      <c r="AI273" s="121">
        <f t="shared" si="110"/>
        <v>0</v>
      </c>
      <c r="AJ273" s="121">
        <f t="shared" si="111"/>
        <v>0</v>
      </c>
      <c r="AK273" s="121" t="str">
        <f>IF(ISERROR(1/VLOOKUP($B273,Leveranser!$B$1:$S$499,MATCH("såld värme (gwh)",Leveranser!$B$1:$S$1,0),FALSE)),"",VLOOKUP($B273,Leveranser!$B$1:$S$499,MATCH("såld värme (gwh)",Leveranser!$B$1:$S$1,0),FALSE))</f>
        <v/>
      </c>
      <c r="AL273" s="121">
        <f>VLOOKUP($B273,Leveranser!$B$1:$Y$499,MATCH("Totalt såld fjärrvärme till andra fjärrvärmeföretag",Leveranser!$B$1:$AA$1,0),FALSE)</f>
        <v>0</v>
      </c>
      <c r="AM273" s="121">
        <f>IF(ISERROR(1/VLOOKUP($B273,Miljö!$B$1:$S$500,MATCH("Såld mängd produktionsspecifik fjärrvärme (GWh)",Miljö!$B$1:$R$1,0),FALSE)),0,VLOOKUP($B273,Miljö!$B$1:$S$500,MATCH("Såld mängd produktionsspecifik fjärrvärme (GWh)",Miljö!$B$1:$R$1,0),FALSE))</f>
        <v>0</v>
      </c>
      <c r="AN273" s="172" t="str">
        <f t="shared" si="112"/>
        <v/>
      </c>
      <c r="AO273" s="121"/>
      <c r="AP273" s="121" t="str">
        <f>IFERROR(VLOOKUP($B273,Miljövärden!$B$2:$H$550,7,FALSE),"Nej, saknas")</f>
        <v>Nej</v>
      </c>
      <c r="AQ273" s="121" t="str">
        <f>IFERROR(VLOOKUP($B273,Miljövärden!$B$2:$H$550,6,FALSE),"Nej, saknas")</f>
        <v>Nej</v>
      </c>
      <c r="AU273">
        <f t="shared" si="113"/>
        <v>0</v>
      </c>
      <c r="AV273">
        <f t="shared" si="114"/>
        <v>0</v>
      </c>
      <c r="AW273">
        <f t="shared" si="115"/>
        <v>0</v>
      </c>
      <c r="AX273">
        <f t="shared" si="116"/>
        <v>0</v>
      </c>
      <c r="AZ273">
        <f t="shared" si="117"/>
        <v>0</v>
      </c>
      <c r="BC273">
        <f t="shared" si="118"/>
        <v>0</v>
      </c>
      <c r="BD273">
        <f t="shared" si="119"/>
        <v>0</v>
      </c>
      <c r="BE273">
        <f t="shared" si="120"/>
        <v>0</v>
      </c>
      <c r="BF273">
        <f t="shared" si="121"/>
        <v>0</v>
      </c>
      <c r="BG273">
        <f t="shared" si="122"/>
        <v>0</v>
      </c>
      <c r="BH273" t="str">
        <f>VLOOKUP(B273,Miljö!$B$1:$BX$482,MATCH("Fossilandel för ursprungspecificerad el ()",Miljö!$B$1:$I$1,0),FALSE)</f>
        <v>-</v>
      </c>
      <c r="BI273" t="str">
        <f>VLOOKUP(B273,Miljö!$B$1:$BX$482,MATCH("Kärnkraftsandel för ursprungsspecificerad el ()",Miljö!$B$1:$O$1,0),FALSE)</f>
        <v>-</v>
      </c>
      <c r="BJ273">
        <f t="shared" si="123"/>
        <v>0</v>
      </c>
      <c r="BK273" t="str">
        <f>VLOOKUP(B273,Miljö!$B$1:$O$482,MATCH("Fossil andel i procent (%)",Miljö!$B$1:$O$1,0),FALSE)</f>
        <v>-</v>
      </c>
      <c r="BL273">
        <f t="shared" si="124"/>
        <v>0</v>
      </c>
      <c r="BO273" s="18" t="str">
        <f t="shared" si="125"/>
        <v/>
      </c>
      <c r="BP273" s="18" t="str">
        <f t="shared" si="126"/>
        <v/>
      </c>
      <c r="BQ273" s="18" t="str">
        <f t="shared" si="127"/>
        <v/>
      </c>
      <c r="BR273" s="18" t="str">
        <f t="shared" si="128"/>
        <v/>
      </c>
      <c r="BT273" s="27">
        <f t="shared" si="129"/>
        <v>0</v>
      </c>
      <c r="BW273" s="18" t="str">
        <f>IF(AP273="ja",VLOOKUP(B273,Miljövärden!$B$2:$H$550,MATCH("Total andel fossilt",Miljövärden!$B$2:$H$2,0),FALSE),"")</f>
        <v/>
      </c>
      <c r="BZ273" s="28" t="str">
        <f t="shared" si="130"/>
        <v/>
      </c>
      <c r="CA273" s="28" t="str">
        <f t="shared" si="131"/>
        <v/>
      </c>
    </row>
    <row r="274" spans="1:79" x14ac:dyDescent="0.25">
      <c r="A274" s="224" t="s">
        <v>573</v>
      </c>
      <c r="B274" s="210" t="s">
        <v>576</v>
      </c>
      <c r="C274" s="121">
        <f>VLOOKUP($B274,'Tillförd energi'!$B$1:$AI$720,MATCH(C$1,'Tillförd energi'!$B$1:$AQ$1,0),FALSE)</f>
        <v>0</v>
      </c>
      <c r="D274" s="121">
        <f>VLOOKUP($B274,'Tillförd energi'!$B$1:$AI$720,MATCH(D$1,'Tillförd energi'!$B$1:$AQ$1,0),FALSE)</f>
        <v>0</v>
      </c>
      <c r="E274" s="121">
        <f>VLOOKUP($B274,'Tillförd energi'!$B$1:$AI$720,MATCH(E$1,'Tillförd energi'!$B$1:$AQ$1,0),FALSE)</f>
        <v>0</v>
      </c>
      <c r="F274" s="121">
        <f>VLOOKUP($B274,'Tillförd energi'!$B$1:$AI$720,MATCH(F$1,'Tillförd energi'!$B$1:$AQ$1,0),FALSE)</f>
        <v>0</v>
      </c>
      <c r="G274" s="121">
        <f>VLOOKUP($B274,'Tillförd energi'!$B$1:$AI$720,MATCH(G$1,'Tillförd energi'!$B$1:$AQ$1,0),FALSE)</f>
        <v>0</v>
      </c>
      <c r="H274" s="121">
        <f>VLOOKUP($B274,'Tillförd energi'!$B$1:$AI$720,MATCH(H$1,'Tillförd energi'!$B$1:$AQ$1,0),FALSE)</f>
        <v>0</v>
      </c>
      <c r="I274" s="121">
        <f>VLOOKUP($B274,'Tillförd energi'!$B$1:$AI$720,MATCH(I$1,'Tillförd energi'!$B$1:$AQ$1,0),FALSE)</f>
        <v>0</v>
      </c>
      <c r="J274" s="121">
        <f>VLOOKUP($B274,'Tillförd energi'!$B$1:$AI$720,MATCH(J$1,'Tillförd energi'!$B$1:$AQ$1,0),FALSE)</f>
        <v>0</v>
      </c>
      <c r="K274" s="121">
        <f>VLOOKUP($B274,'Tillförd energi'!$B$1:$AI$720,MATCH(K$1,'Tillförd energi'!$B$1:$AQ$1,0),FALSE)</f>
        <v>0</v>
      </c>
      <c r="L274" s="121">
        <f>VLOOKUP($B274,'Tillförd energi'!$B$1:$AI$720,MATCH(L$1,'Tillförd energi'!$B$1:$AQ$1,0),FALSE)</f>
        <v>0</v>
      </c>
      <c r="M274" s="121">
        <f>VLOOKUP($B274,'Tillförd energi'!$B$1:$AI$720,MATCH(M$1,'Tillförd energi'!$B$1:$AQ$1,0),FALSE)</f>
        <v>0</v>
      </c>
      <c r="N274" s="121">
        <f>VLOOKUP($B274,'Tillförd energi'!$B$1:$AI$720,MATCH(N$1,'Tillförd energi'!$B$1:$AQ$1,0),FALSE)</f>
        <v>0</v>
      </c>
      <c r="O274" s="121">
        <f>VLOOKUP($B274,'Tillförd energi'!$B$1:$AI$720,MATCH(O$1,'Tillförd energi'!$B$1:$AQ$1,0),FALSE)</f>
        <v>0</v>
      </c>
      <c r="P274" s="121">
        <f>VLOOKUP($B274,'Tillförd energi'!$B$1:$AI$720,MATCH(P$1,'Tillförd energi'!$B$1:$AQ$1,0),FALSE)</f>
        <v>0</v>
      </c>
      <c r="Q274" s="121">
        <f>VLOOKUP($B274,'Tillförd energi'!$B$1:$AI$720,MATCH(Q$1,'Tillförd energi'!$B$1:$AQ$1,0),FALSE)</f>
        <v>0</v>
      </c>
      <c r="R274" s="121">
        <f>VLOOKUP($B274,'Tillförd energi'!$B$1:$AI$720,MATCH(R$1,'Tillförd energi'!$B$1:$AQ$1,0),FALSE)</f>
        <v>0</v>
      </c>
      <c r="S274" s="121">
        <f>VLOOKUP($B274,'Tillförd energi'!$B$1:$AI$720,MATCH(S$1,'Tillförd energi'!$B$1:$AQ$1,0),FALSE)</f>
        <v>0</v>
      </c>
      <c r="T274" s="121">
        <f>VLOOKUP($B274,'Tillförd energi'!$B$1:$AI$720,MATCH(T$1,'Tillförd energi'!$B$1:$AQ$1,0),FALSE)</f>
        <v>0</v>
      </c>
      <c r="U274" s="121">
        <f>VLOOKUP($B274,'Tillförd energi'!$B$1:$AI$720,MATCH(U$1,'Tillförd energi'!$B$1:$AQ$1,0),FALSE)</f>
        <v>0</v>
      </c>
      <c r="V274" s="121">
        <f>VLOOKUP($B274,'Tillförd energi'!$B$1:$AI$720,MATCH(V$1,'Tillförd energi'!$B$1:$AQ$1,0),FALSE)</f>
        <v>0</v>
      </c>
      <c r="W274" s="121">
        <f>VLOOKUP($B274,'Tillförd energi'!$B$1:$AI$720,MATCH(W$1,'Tillförd energi'!$B$1:$AQ$1,0),FALSE)</f>
        <v>0</v>
      </c>
      <c r="X274" s="121">
        <f>VLOOKUP($B274,'Tillförd energi'!$B$1:$AI$720,MATCH(X$1,'Tillförd energi'!$B$1:$AQ$1,0),FALSE)</f>
        <v>0</v>
      </c>
      <c r="Y274" s="121">
        <f>VLOOKUP($B274,'Tillförd energi'!$B$1:$AI$720,MATCH(Y$1,'Tillförd energi'!$B$1:$AQ$1,0),FALSE)</f>
        <v>0</v>
      </c>
      <c r="Z274" s="121">
        <f>VLOOKUP($B274,'Tillförd energi'!$B$1:$AI$720,MATCH(Z$1,'Tillförd energi'!$B$1:$AQ$1,0),FALSE)</f>
        <v>0</v>
      </c>
      <c r="AA274" s="121">
        <f>VLOOKUP($B274,'Tillförd energi'!$B$1:$AI$720,MATCH(AA$1,'Tillförd energi'!$B$1:$AQ$1,0),FALSE)</f>
        <v>0</v>
      </c>
      <c r="AB274" s="121">
        <f>VLOOKUP($B274,'Tillförd energi'!$B$1:$AI$720,MATCH(AB$1,'Tillförd energi'!$B$1:$AQ$1,0),FALSE)</f>
        <v>0</v>
      </c>
      <c r="AC274" s="121">
        <f>VLOOKUP($B274,'Tillförd energi'!$B$1:$AI$720,MATCH(AC$1,'Tillförd energi'!$B$1:$AQ$1,0),FALSE)</f>
        <v>0</v>
      </c>
      <c r="AD274" s="121">
        <f>VLOOKUP($B274,'Tillförd energi'!$B$1:$AI$720,MATCH(AD$1,'Tillförd energi'!$B$1:$AQ$1,0),FALSE)</f>
        <v>0</v>
      </c>
      <c r="AE274" s="121">
        <f>VLOOKUP($B274,'Tillförd energi'!$B$1:$AI$720,MATCH(AE$1,'Tillförd energi'!$B$1:$AQ$1,0),FALSE)</f>
        <v>0</v>
      </c>
      <c r="AF274" s="121">
        <f>VLOOKUP($B274,'Tillförd energi'!$B$1:$AI$720,MATCH(AF$1,'Tillförd energi'!$B$1:$AQ$1,0),FALSE)</f>
        <v>0</v>
      </c>
      <c r="AG274" s="121">
        <f>IFERROR(VLOOKUP(B274,Miljö!$B$1:$AC$550,MATCH("Köpt mängd produktionsspecifik fjärrvärme:",Miljö!$B$1:$AC$1,0),FALSE)/1,0)</f>
        <v>0</v>
      </c>
      <c r="AH274" s="121"/>
      <c r="AI274" s="121">
        <f t="shared" si="110"/>
        <v>0</v>
      </c>
      <c r="AJ274" s="121">
        <f t="shared" si="111"/>
        <v>0</v>
      </c>
      <c r="AK274" s="121" t="str">
        <f>IF(ISERROR(1/VLOOKUP($B274,Leveranser!$B$1:$S$499,MATCH("såld värme (gwh)",Leveranser!$B$1:$S$1,0),FALSE)),"",VLOOKUP($B274,Leveranser!$B$1:$S$499,MATCH("såld värme (gwh)",Leveranser!$B$1:$S$1,0),FALSE))</f>
        <v/>
      </c>
      <c r="AL274" s="121">
        <f>VLOOKUP($B274,Leveranser!$B$1:$Y$499,MATCH("Totalt såld fjärrvärme till andra fjärrvärmeföretag",Leveranser!$B$1:$AA$1,0),FALSE)</f>
        <v>0</v>
      </c>
      <c r="AM274" s="121">
        <f>IF(ISERROR(1/VLOOKUP($B274,Miljö!$B$1:$S$500,MATCH("Såld mängd produktionsspecifik fjärrvärme (GWh)",Miljö!$B$1:$R$1,0),FALSE)),0,VLOOKUP($B274,Miljö!$B$1:$S$500,MATCH("Såld mängd produktionsspecifik fjärrvärme (GWh)",Miljö!$B$1:$R$1,0),FALSE))</f>
        <v>0</v>
      </c>
      <c r="AN274" s="172" t="str">
        <f t="shared" si="112"/>
        <v/>
      </c>
      <c r="AO274" s="121"/>
      <c r="AP274" s="121" t="str">
        <f>IFERROR(VLOOKUP($B274,Miljövärden!$B$2:$H$550,7,FALSE),"Nej, saknas")</f>
        <v>Nej</v>
      </c>
      <c r="AQ274" s="121" t="str">
        <f>IFERROR(VLOOKUP($B274,Miljövärden!$B$2:$H$550,6,FALSE),"Nej, saknas")</f>
        <v>Nej</v>
      </c>
      <c r="AU274">
        <f t="shared" si="113"/>
        <v>0</v>
      </c>
      <c r="AV274">
        <f t="shared" si="114"/>
        <v>0</v>
      </c>
      <c r="AW274">
        <f t="shared" si="115"/>
        <v>0</v>
      </c>
      <c r="AX274">
        <f t="shared" si="116"/>
        <v>0</v>
      </c>
      <c r="AZ274">
        <f t="shared" si="117"/>
        <v>0</v>
      </c>
      <c r="BC274">
        <f t="shared" si="118"/>
        <v>0</v>
      </c>
      <c r="BD274">
        <f t="shared" si="119"/>
        <v>0</v>
      </c>
      <c r="BE274">
        <f t="shared" si="120"/>
        <v>0</v>
      </c>
      <c r="BF274">
        <f t="shared" si="121"/>
        <v>0</v>
      </c>
      <c r="BG274">
        <f t="shared" si="122"/>
        <v>0</v>
      </c>
      <c r="BH274" t="str">
        <f>VLOOKUP(B274,Miljö!$B$1:$BX$482,MATCH("Fossilandel för ursprungspecificerad el ()",Miljö!$B$1:$I$1,0),FALSE)</f>
        <v>-</v>
      </c>
      <c r="BI274" t="str">
        <f>VLOOKUP(B274,Miljö!$B$1:$BX$482,MATCH("Kärnkraftsandel för ursprungsspecificerad el ()",Miljö!$B$1:$O$1,0),FALSE)</f>
        <v>-</v>
      </c>
      <c r="BJ274">
        <f t="shared" si="123"/>
        <v>0</v>
      </c>
      <c r="BK274" t="str">
        <f>VLOOKUP(B274,Miljö!$B$1:$O$482,MATCH("Fossil andel i procent (%)",Miljö!$B$1:$O$1,0),FALSE)</f>
        <v>-</v>
      </c>
      <c r="BL274">
        <f t="shared" si="124"/>
        <v>0</v>
      </c>
      <c r="BO274" s="18" t="str">
        <f t="shared" si="125"/>
        <v/>
      </c>
      <c r="BP274" s="18" t="str">
        <f t="shared" si="126"/>
        <v/>
      </c>
      <c r="BQ274" s="18" t="str">
        <f t="shared" si="127"/>
        <v/>
      </c>
      <c r="BR274" s="18" t="str">
        <f t="shared" si="128"/>
        <v/>
      </c>
      <c r="BT274" s="27">
        <f t="shared" si="129"/>
        <v>0</v>
      </c>
      <c r="BW274" s="18" t="str">
        <f>IF(AP274="ja",VLOOKUP(B274,Miljövärden!$B$2:$H$550,MATCH("Total andel fossilt",Miljövärden!$B$2:$H$2,0),FALSE),"")</f>
        <v/>
      </c>
      <c r="BZ274" s="28" t="str">
        <f t="shared" si="130"/>
        <v/>
      </c>
      <c r="CA274" s="28" t="str">
        <f t="shared" si="131"/>
        <v/>
      </c>
    </row>
    <row r="275" spans="1:79" x14ac:dyDescent="0.25">
      <c r="A275" s="224" t="s">
        <v>573</v>
      </c>
      <c r="B275" s="210" t="s">
        <v>116</v>
      </c>
      <c r="C275" s="121">
        <f>VLOOKUP($B275,'Tillförd energi'!$B$1:$AI$720,MATCH(C$1,'Tillförd energi'!$B$1:$AQ$1,0),FALSE)</f>
        <v>639.37</v>
      </c>
      <c r="D275" s="121">
        <f>VLOOKUP($B275,'Tillförd energi'!$B$1:$AI$720,MATCH(D$1,'Tillförd energi'!$B$1:$AQ$1,0),FALSE)</f>
        <v>109.10899999999999</v>
      </c>
      <c r="E275" s="121">
        <f>VLOOKUP($B275,'Tillförd energi'!$B$1:$AI$720,MATCH(E$1,'Tillförd energi'!$B$1:$AQ$1,0),FALSE)</f>
        <v>0</v>
      </c>
      <c r="F275" s="121">
        <f>VLOOKUP($B275,'Tillförd energi'!$B$1:$AI$720,MATCH(F$1,'Tillförd energi'!$B$1:$AQ$1,0),FALSE)</f>
        <v>136.226</v>
      </c>
      <c r="G275" s="121">
        <f>VLOOKUP($B275,'Tillförd energi'!$B$1:$AI$720,MATCH(G$1,'Tillförd energi'!$B$1:$AQ$1,0),FALSE)</f>
        <v>0</v>
      </c>
      <c r="H275" s="121">
        <f>VLOOKUP($B275,'Tillförd energi'!$B$1:$AI$720,MATCH(H$1,'Tillförd energi'!$B$1:$AQ$1,0),FALSE)</f>
        <v>0</v>
      </c>
      <c r="I275" s="121">
        <f>VLOOKUP($B275,'Tillförd energi'!$B$1:$AI$720,MATCH(I$1,'Tillförd energi'!$B$1:$AQ$1,0),FALSE)</f>
        <v>1945.6</v>
      </c>
      <c r="J275" s="121">
        <f>VLOOKUP($B275,'Tillförd energi'!$B$1:$AI$720,MATCH(J$1,'Tillförd energi'!$B$1:$AQ$1,0),FALSE)</f>
        <v>0</v>
      </c>
      <c r="K275" s="121">
        <f>VLOOKUP($B275,'Tillförd energi'!$B$1:$AI$720,MATCH(K$1,'Tillförd energi'!$B$1:$AQ$1,0),FALSE)</f>
        <v>0</v>
      </c>
      <c r="L275" s="121">
        <f>VLOOKUP($B275,'Tillförd energi'!$B$1:$AI$720,MATCH(L$1,'Tillförd energi'!$B$1:$AQ$1,0),FALSE)</f>
        <v>188.87700000000001</v>
      </c>
      <c r="M275" s="121">
        <f>VLOOKUP($B275,'Tillförd energi'!$B$1:$AI$720,MATCH(M$1,'Tillförd energi'!$B$1:$AQ$1,0),FALSE)</f>
        <v>0</v>
      </c>
      <c r="N275" s="121">
        <f>VLOOKUP($B275,'Tillförd energi'!$B$1:$AI$720,MATCH(N$1,'Tillförd energi'!$B$1:$AQ$1,0),FALSE)</f>
        <v>1150.24</v>
      </c>
      <c r="O275" s="121">
        <f>VLOOKUP($B275,'Tillförd energi'!$B$1:$AI$720,MATCH(O$1,'Tillförd energi'!$B$1:$AQ$1,0),FALSE)</f>
        <v>0</v>
      </c>
      <c r="P275" s="121">
        <f>VLOOKUP($B275,'Tillförd energi'!$B$1:$AI$720,MATCH(P$1,'Tillförd energi'!$B$1:$AQ$1,0),FALSE)</f>
        <v>0</v>
      </c>
      <c r="Q275" s="121">
        <f>VLOOKUP($B275,'Tillförd energi'!$B$1:$AI$720,MATCH(Q$1,'Tillförd energi'!$B$1:$AQ$1,0),FALSE)</f>
        <v>23.739000000000001</v>
      </c>
      <c r="R275" s="121">
        <f>VLOOKUP($B275,'Tillförd energi'!$B$1:$AI$720,MATCH(R$1,'Tillförd energi'!$B$1:$AQ$1,0),FALSE)</f>
        <v>474.09800000000001</v>
      </c>
      <c r="S275" s="121">
        <f>VLOOKUP($B275,'Tillförd energi'!$B$1:$AI$720,MATCH(S$1,'Tillförd energi'!$B$1:$AQ$1,0),FALSE)</f>
        <v>0</v>
      </c>
      <c r="T275" s="121">
        <f>VLOOKUP($B275,'Tillförd energi'!$B$1:$AI$720,MATCH(T$1,'Tillförd energi'!$B$1:$AQ$1,0),FALSE)</f>
        <v>0</v>
      </c>
      <c r="U275" s="121">
        <f>VLOOKUP($B275,'Tillförd energi'!$B$1:$AI$720,MATCH(U$1,'Tillförd energi'!$B$1:$AQ$1,0),FALSE)</f>
        <v>0</v>
      </c>
      <c r="V275" s="121">
        <f>VLOOKUP($B275,'Tillförd energi'!$B$1:$AI$720,MATCH(V$1,'Tillförd energi'!$B$1:$AQ$1,0),FALSE)</f>
        <v>197.69399999999999</v>
      </c>
      <c r="W275" s="121">
        <f>VLOOKUP($B275,'Tillförd energi'!$B$1:$AI$720,MATCH(W$1,'Tillförd energi'!$B$1:$AQ$1,0),FALSE)</f>
        <v>323.77300000000002</v>
      </c>
      <c r="X275" s="121">
        <f>VLOOKUP($B275,'Tillförd energi'!$B$1:$AI$720,MATCH(X$1,'Tillförd energi'!$B$1:$AQ$1,0),FALSE)</f>
        <v>0</v>
      </c>
      <c r="Y275" s="121">
        <f>VLOOKUP($B275,'Tillförd energi'!$B$1:$AI$720,MATCH(Y$1,'Tillförd energi'!$B$1:$AQ$1,0),FALSE)</f>
        <v>0</v>
      </c>
      <c r="Z275" s="121">
        <f>VLOOKUP($B275,'Tillförd energi'!$B$1:$AI$720,MATCH(Z$1,'Tillförd energi'!$B$1:$AQ$1,0),FALSE)</f>
        <v>45.783000000000001</v>
      </c>
      <c r="AA275" s="121">
        <f>VLOOKUP($B275,'Tillförd energi'!$B$1:$AI$720,MATCH(AA$1,'Tillförd energi'!$B$1:$AQ$1,0),FALSE)</f>
        <v>546.71500000000003</v>
      </c>
      <c r="AB275" s="121">
        <f>VLOOKUP($B275,'Tillförd energi'!$B$1:$AI$720,MATCH(AB$1,'Tillförd energi'!$B$1:$AQ$1,0),FALSE)</f>
        <v>1147.25</v>
      </c>
      <c r="AC275" s="121">
        <f>VLOOKUP($B275,'Tillförd energi'!$B$1:$AI$720,MATCH(AC$1,'Tillförd energi'!$B$1:$AQ$1,0),FALSE)</f>
        <v>1064.99</v>
      </c>
      <c r="AD275" s="121">
        <f>VLOOKUP($B275,'Tillförd energi'!$B$1:$AI$720,MATCH(AD$1,'Tillförd energi'!$B$1:$AQ$1,0),FALSE)</f>
        <v>0</v>
      </c>
      <c r="AE275" s="121">
        <f>VLOOKUP($B275,'Tillförd energi'!$B$1:$AI$720,MATCH(AE$1,'Tillförd energi'!$B$1:$AQ$1,0),FALSE)</f>
        <v>0</v>
      </c>
      <c r="AF275" s="121">
        <f>VLOOKUP($B275,'Tillförd energi'!$B$1:$AI$720,MATCH(AF$1,'Tillförd energi'!$B$1:$AQ$1,0),FALSE)</f>
        <v>255.345</v>
      </c>
      <c r="AG275" s="121">
        <f>IFERROR(VLOOKUP(B275,Miljö!$B$1:$AC$550,MATCH("Köpt mängd produktionsspecifik fjärrvärme:",Miljö!$B$1:$AC$1,0),FALSE)/1,0)</f>
        <v>0</v>
      </c>
      <c r="AH275" s="121"/>
      <c r="AI275" s="121">
        <f t="shared" si="110"/>
        <v>8248.8089999999993</v>
      </c>
      <c r="AJ275" s="121">
        <f t="shared" si="111"/>
        <v>8248.8089999999993</v>
      </c>
      <c r="AK275" s="121">
        <f>IF(ISERROR(1/VLOOKUP($B275,Leveranser!$B$1:$S$499,MATCH("såld värme (gwh)",Leveranser!$B$1:$S$1,0),FALSE)),"",VLOOKUP($B275,Leveranser!$B$1:$S$499,MATCH("såld värme (gwh)",Leveranser!$B$1:$S$1,0),FALSE))</f>
        <v>8113.0209999999997</v>
      </c>
      <c r="AL275" s="121">
        <f>VLOOKUP($B275,Leveranser!$B$1:$Y$499,MATCH("Totalt såld fjärrvärme till andra fjärrvärmeföretag",Leveranser!$B$1:$AA$1,0),FALSE)</f>
        <v>947.23399999999992</v>
      </c>
      <c r="AM275" s="121">
        <f>IF(ISERROR(1/VLOOKUP($B275,Miljö!$B$1:$S$500,MATCH("Såld mängd produktionsspecifik fjärrvärme (GWh)",Miljö!$B$1:$R$1,0),FALSE)),0,VLOOKUP($B275,Miljö!$B$1:$S$500,MATCH("Såld mängd produktionsspecifik fjärrvärme (GWh)",Miljö!$B$1:$R$1,0),FALSE))</f>
        <v>3642.2</v>
      </c>
      <c r="AN275" s="172">
        <f t="shared" si="112"/>
        <v>0.98353847203881195</v>
      </c>
      <c r="AO275" s="121"/>
      <c r="AP275" s="121" t="str">
        <f>IFERROR(VLOOKUP($B275,Miljövärden!$B$2:$H$550,7,FALSE),"Nej, saknas")</f>
        <v>Ja</v>
      </c>
      <c r="AQ275" s="121" t="str">
        <f>IFERROR(VLOOKUP($B275,Miljövärden!$B$2:$H$550,6,FALSE),"Nej, saknas")</f>
        <v>Ja</v>
      </c>
      <c r="AU275">
        <f t="shared" si="113"/>
        <v>847.84300000000007</v>
      </c>
      <c r="AV275">
        <f t="shared" si="114"/>
        <v>0</v>
      </c>
      <c r="AW275">
        <f t="shared" si="115"/>
        <v>1173.979</v>
      </c>
      <c r="AX275">
        <f t="shared" si="116"/>
        <v>474.09800000000001</v>
      </c>
      <c r="AZ275">
        <f t="shared" si="117"/>
        <v>2358.4209999999998</v>
      </c>
      <c r="BC275">
        <f t="shared" si="118"/>
        <v>884.70500000000004</v>
      </c>
      <c r="BD275">
        <f t="shared" si="119"/>
        <v>0</v>
      </c>
      <c r="BE275">
        <f t="shared" si="120"/>
        <v>2169.5439999999999</v>
      </c>
      <c r="BF275">
        <f t="shared" si="121"/>
        <v>4346.7169999999996</v>
      </c>
      <c r="BG275">
        <f t="shared" si="122"/>
        <v>847.84300000000007</v>
      </c>
      <c r="BH275">
        <f>VLOOKUP(B275,Miljö!$B$1:$BX$482,MATCH("Fossilandel för ursprungspecificerad el ()",Miljö!$B$1:$I$1,0),FALSE)</f>
        <v>0</v>
      </c>
      <c r="BI275">
        <f>VLOOKUP(B275,Miljö!$B$1:$BX$482,MATCH("Kärnkraftsandel för ursprungsspecificerad el ()",Miljö!$B$1:$O$1,0),FALSE)</f>
        <v>0</v>
      </c>
      <c r="BJ275">
        <f t="shared" si="123"/>
        <v>0</v>
      </c>
      <c r="BK275">
        <f>VLOOKUP(B275,Miljö!$B$1:$O$482,MATCH("Fossil andel i procent (%)",Miljö!$B$1:$O$1,0),FALSE)</f>
        <v>0</v>
      </c>
      <c r="BL275">
        <f t="shared" si="124"/>
        <v>8248.8089999999993</v>
      </c>
      <c r="BO275" s="18">
        <f t="shared" si="125"/>
        <v>0.10725245305110109</v>
      </c>
      <c r="BP275" s="18">
        <f t="shared" si="126"/>
        <v>0</v>
      </c>
      <c r="BQ275" s="18">
        <f t="shared" si="127"/>
        <v>0.36579668652771569</v>
      </c>
      <c r="BR275" s="18">
        <f t="shared" si="128"/>
        <v>0.52695086042118322</v>
      </c>
      <c r="BT275" s="27">
        <f t="shared" si="129"/>
        <v>1</v>
      </c>
      <c r="BW275" s="18">
        <f>IF(AP275="ja",VLOOKUP(B275,Miljövärden!$B$2:$H$550,MATCH("Total andel fossilt",Miljövärden!$B$2:$H$2,0),FALSE),"")</f>
        <v>0.115923</v>
      </c>
      <c r="BZ275" s="28">
        <f t="shared" si="130"/>
        <v>8.6705469488989051E-3</v>
      </c>
      <c r="CA275" s="28">
        <f t="shared" si="131"/>
        <v>9.000000000000008E-3</v>
      </c>
    </row>
    <row r="276" spans="1:79" x14ac:dyDescent="0.25">
      <c r="A276" s="224" t="s">
        <v>573</v>
      </c>
      <c r="B276" s="210" t="s">
        <v>577</v>
      </c>
      <c r="C276" s="121">
        <f>VLOOKUP($B276,'Tillförd energi'!$B$1:$AI$720,MATCH(C$1,'Tillförd energi'!$B$1:$AQ$1,0),FALSE)</f>
        <v>0</v>
      </c>
      <c r="D276" s="121">
        <f>VLOOKUP($B276,'Tillförd energi'!$B$1:$AI$720,MATCH(D$1,'Tillförd energi'!$B$1:$AQ$1,0),FALSE)</f>
        <v>0</v>
      </c>
      <c r="E276" s="121">
        <f>VLOOKUP($B276,'Tillförd energi'!$B$1:$AI$720,MATCH(E$1,'Tillförd energi'!$B$1:$AQ$1,0),FALSE)</f>
        <v>0</v>
      </c>
      <c r="F276" s="121">
        <f>VLOOKUP($B276,'Tillförd energi'!$B$1:$AI$720,MATCH(F$1,'Tillförd energi'!$B$1:$AQ$1,0),FALSE)</f>
        <v>0</v>
      </c>
      <c r="G276" s="121">
        <f>VLOOKUP($B276,'Tillförd energi'!$B$1:$AI$720,MATCH(G$1,'Tillförd energi'!$B$1:$AQ$1,0),FALSE)</f>
        <v>0</v>
      </c>
      <c r="H276" s="121">
        <f>VLOOKUP($B276,'Tillförd energi'!$B$1:$AI$720,MATCH(H$1,'Tillförd energi'!$B$1:$AQ$1,0),FALSE)</f>
        <v>0</v>
      </c>
      <c r="I276" s="121">
        <f>VLOOKUP($B276,'Tillförd energi'!$B$1:$AI$720,MATCH(I$1,'Tillförd energi'!$B$1:$AQ$1,0),FALSE)</f>
        <v>0</v>
      </c>
      <c r="J276" s="121">
        <f>VLOOKUP($B276,'Tillförd energi'!$B$1:$AI$720,MATCH(J$1,'Tillförd energi'!$B$1:$AQ$1,0),FALSE)</f>
        <v>0</v>
      </c>
      <c r="K276" s="121">
        <f>VLOOKUP($B276,'Tillförd energi'!$B$1:$AI$720,MATCH(K$1,'Tillförd energi'!$B$1:$AQ$1,0),FALSE)</f>
        <v>0</v>
      </c>
      <c r="L276" s="121">
        <f>VLOOKUP($B276,'Tillförd energi'!$B$1:$AI$720,MATCH(L$1,'Tillförd energi'!$B$1:$AQ$1,0),FALSE)</f>
        <v>0</v>
      </c>
      <c r="M276" s="121">
        <f>VLOOKUP($B276,'Tillförd energi'!$B$1:$AI$720,MATCH(M$1,'Tillförd energi'!$B$1:$AQ$1,0),FALSE)</f>
        <v>0</v>
      </c>
      <c r="N276" s="121">
        <f>VLOOKUP($B276,'Tillförd energi'!$B$1:$AI$720,MATCH(N$1,'Tillförd energi'!$B$1:$AQ$1,0),FALSE)</f>
        <v>0</v>
      </c>
      <c r="O276" s="121">
        <f>VLOOKUP($B276,'Tillförd energi'!$B$1:$AI$720,MATCH(O$1,'Tillförd energi'!$B$1:$AQ$1,0),FALSE)</f>
        <v>0</v>
      </c>
      <c r="P276" s="121">
        <f>VLOOKUP($B276,'Tillförd energi'!$B$1:$AI$720,MATCH(P$1,'Tillförd energi'!$B$1:$AQ$1,0),FALSE)</f>
        <v>0</v>
      </c>
      <c r="Q276" s="121">
        <f>VLOOKUP($B276,'Tillförd energi'!$B$1:$AI$720,MATCH(Q$1,'Tillförd energi'!$B$1:$AQ$1,0),FALSE)</f>
        <v>0</v>
      </c>
      <c r="R276" s="121">
        <f>VLOOKUP($B276,'Tillförd energi'!$B$1:$AI$720,MATCH(R$1,'Tillförd energi'!$B$1:$AQ$1,0),FALSE)</f>
        <v>0</v>
      </c>
      <c r="S276" s="121">
        <f>VLOOKUP($B276,'Tillförd energi'!$B$1:$AI$720,MATCH(S$1,'Tillförd energi'!$B$1:$AQ$1,0),FALSE)</f>
        <v>0</v>
      </c>
      <c r="T276" s="121">
        <f>VLOOKUP($B276,'Tillförd energi'!$B$1:$AI$720,MATCH(T$1,'Tillförd energi'!$B$1:$AQ$1,0),FALSE)</f>
        <v>0</v>
      </c>
      <c r="U276" s="121">
        <f>VLOOKUP($B276,'Tillförd energi'!$B$1:$AI$720,MATCH(U$1,'Tillförd energi'!$B$1:$AQ$1,0),FALSE)</f>
        <v>0</v>
      </c>
      <c r="V276" s="121">
        <f>VLOOKUP($B276,'Tillförd energi'!$B$1:$AI$720,MATCH(V$1,'Tillförd energi'!$B$1:$AQ$1,0),FALSE)</f>
        <v>0</v>
      </c>
      <c r="W276" s="121">
        <f>VLOOKUP($B276,'Tillförd energi'!$B$1:$AI$720,MATCH(W$1,'Tillförd energi'!$B$1:$AQ$1,0),FALSE)</f>
        <v>0</v>
      </c>
      <c r="X276" s="121">
        <f>VLOOKUP($B276,'Tillförd energi'!$B$1:$AI$720,MATCH(X$1,'Tillförd energi'!$B$1:$AQ$1,0),FALSE)</f>
        <v>0</v>
      </c>
      <c r="Y276" s="121">
        <f>VLOOKUP($B276,'Tillförd energi'!$B$1:$AI$720,MATCH(Y$1,'Tillförd energi'!$B$1:$AQ$1,0),FALSE)</f>
        <v>0</v>
      </c>
      <c r="Z276" s="121">
        <f>VLOOKUP($B276,'Tillförd energi'!$B$1:$AI$720,MATCH(Z$1,'Tillförd energi'!$B$1:$AQ$1,0),FALSE)</f>
        <v>0</v>
      </c>
      <c r="AA276" s="121">
        <f>VLOOKUP($B276,'Tillförd energi'!$B$1:$AI$720,MATCH(AA$1,'Tillförd energi'!$B$1:$AQ$1,0),FALSE)</f>
        <v>0</v>
      </c>
      <c r="AB276" s="121">
        <f>VLOOKUP($B276,'Tillförd energi'!$B$1:$AI$720,MATCH(AB$1,'Tillförd energi'!$B$1:$AQ$1,0),FALSE)</f>
        <v>0</v>
      </c>
      <c r="AC276" s="121">
        <f>VLOOKUP($B276,'Tillförd energi'!$B$1:$AI$720,MATCH(AC$1,'Tillförd energi'!$B$1:$AQ$1,0),FALSE)</f>
        <v>0</v>
      </c>
      <c r="AD276" s="121">
        <f>VLOOKUP($B276,'Tillförd energi'!$B$1:$AI$720,MATCH(AD$1,'Tillförd energi'!$B$1:$AQ$1,0),FALSE)</f>
        <v>0</v>
      </c>
      <c r="AE276" s="121">
        <f>VLOOKUP($B276,'Tillförd energi'!$B$1:$AI$720,MATCH(AE$1,'Tillförd energi'!$B$1:$AQ$1,0),FALSE)</f>
        <v>0</v>
      </c>
      <c r="AF276" s="121">
        <f>VLOOKUP($B276,'Tillförd energi'!$B$1:$AI$720,MATCH(AF$1,'Tillförd energi'!$B$1:$AQ$1,0),FALSE)</f>
        <v>0</v>
      </c>
      <c r="AG276" s="121">
        <f>IFERROR(VLOOKUP(B276,Miljö!$B$1:$AC$550,MATCH("Köpt mängd produktionsspecifik fjärrvärme:",Miljö!$B$1:$AC$1,0),FALSE)/1,0)</f>
        <v>0</v>
      </c>
      <c r="AH276" s="121"/>
      <c r="AI276" s="121">
        <f t="shared" si="110"/>
        <v>0</v>
      </c>
      <c r="AJ276" s="121">
        <f t="shared" si="111"/>
        <v>0</v>
      </c>
      <c r="AK276" s="121" t="str">
        <f>IF(ISERROR(1/VLOOKUP($B276,Leveranser!$B$1:$S$499,MATCH("såld värme (gwh)",Leveranser!$B$1:$S$1,0),FALSE)),"",VLOOKUP($B276,Leveranser!$B$1:$S$499,MATCH("såld värme (gwh)",Leveranser!$B$1:$S$1,0),FALSE))</f>
        <v/>
      </c>
      <c r="AL276" s="121">
        <f>VLOOKUP($B276,Leveranser!$B$1:$Y$499,MATCH("Totalt såld fjärrvärme till andra fjärrvärmeföretag",Leveranser!$B$1:$AA$1,0),FALSE)</f>
        <v>0</v>
      </c>
      <c r="AM276" s="121">
        <f>IF(ISERROR(1/VLOOKUP($B276,Miljö!$B$1:$S$500,MATCH("Såld mängd produktionsspecifik fjärrvärme (GWh)",Miljö!$B$1:$R$1,0),FALSE)),0,VLOOKUP($B276,Miljö!$B$1:$S$500,MATCH("Såld mängd produktionsspecifik fjärrvärme (GWh)",Miljö!$B$1:$R$1,0),FALSE))</f>
        <v>0</v>
      </c>
      <c r="AN276" s="172" t="str">
        <f t="shared" si="112"/>
        <v/>
      </c>
      <c r="AO276" s="121"/>
      <c r="AP276" s="121" t="str">
        <f>IFERROR(VLOOKUP($B276,Miljövärden!$B$2:$H$550,7,FALSE),"Nej, saknas")</f>
        <v>Nej</v>
      </c>
      <c r="AQ276" s="121" t="str">
        <f>IFERROR(VLOOKUP($B276,Miljövärden!$B$2:$H$550,6,FALSE),"Nej, saknas")</f>
        <v>Nej</v>
      </c>
      <c r="AU276">
        <f t="shared" si="113"/>
        <v>0</v>
      </c>
      <c r="AV276">
        <f t="shared" si="114"/>
        <v>0</v>
      </c>
      <c r="AW276">
        <f t="shared" si="115"/>
        <v>0</v>
      </c>
      <c r="AX276">
        <f t="shared" si="116"/>
        <v>0</v>
      </c>
      <c r="AZ276">
        <f t="shared" si="117"/>
        <v>0</v>
      </c>
      <c r="BC276">
        <f t="shared" si="118"/>
        <v>0</v>
      </c>
      <c r="BD276">
        <f t="shared" si="119"/>
        <v>0</v>
      </c>
      <c r="BE276">
        <f t="shared" si="120"/>
        <v>0</v>
      </c>
      <c r="BF276">
        <f t="shared" si="121"/>
        <v>0</v>
      </c>
      <c r="BG276">
        <f t="shared" si="122"/>
        <v>0</v>
      </c>
      <c r="BH276" t="str">
        <f>VLOOKUP(B276,Miljö!$B$1:$BX$482,MATCH("Fossilandel för ursprungspecificerad el ()",Miljö!$B$1:$I$1,0),FALSE)</f>
        <v>-</v>
      </c>
      <c r="BI276" t="str">
        <f>VLOOKUP(B276,Miljö!$B$1:$BX$482,MATCH("Kärnkraftsandel för ursprungsspecificerad el ()",Miljö!$B$1:$O$1,0),FALSE)</f>
        <v>-</v>
      </c>
      <c r="BJ276">
        <f t="shared" si="123"/>
        <v>0</v>
      </c>
      <c r="BK276" t="str">
        <f>VLOOKUP(B276,Miljö!$B$1:$O$482,MATCH("Fossil andel i procent (%)",Miljö!$B$1:$O$1,0),FALSE)</f>
        <v>-</v>
      </c>
      <c r="BL276">
        <f t="shared" si="124"/>
        <v>0</v>
      </c>
      <c r="BO276" s="18" t="str">
        <f t="shared" si="125"/>
        <v/>
      </c>
      <c r="BP276" s="18" t="str">
        <f t="shared" si="126"/>
        <v/>
      </c>
      <c r="BQ276" s="18" t="str">
        <f t="shared" si="127"/>
        <v/>
      </c>
      <c r="BR276" s="18" t="str">
        <f t="shared" si="128"/>
        <v/>
      </c>
      <c r="BT276" s="27">
        <f t="shared" si="129"/>
        <v>0</v>
      </c>
      <c r="BW276" s="18" t="str">
        <f>IF(AP276="ja",VLOOKUP(B276,Miljövärden!$B$2:$H$550,MATCH("Total andel fossilt",Miljövärden!$B$2:$H$2,0),FALSE),"")</f>
        <v/>
      </c>
      <c r="BZ276" s="28" t="str">
        <f t="shared" si="130"/>
        <v/>
      </c>
      <c r="CA276" s="28" t="str">
        <f t="shared" si="131"/>
        <v/>
      </c>
    </row>
    <row r="277" spans="1:79" x14ac:dyDescent="0.25">
      <c r="A277" s="224" t="s">
        <v>573</v>
      </c>
      <c r="B277" s="210" t="s">
        <v>578</v>
      </c>
      <c r="C277" s="121">
        <f>VLOOKUP($B277,'Tillförd energi'!$B$1:$AI$720,MATCH(C$1,'Tillförd energi'!$B$1:$AQ$1,0),FALSE)</f>
        <v>0</v>
      </c>
      <c r="D277" s="121">
        <f>VLOOKUP($B277,'Tillförd energi'!$B$1:$AI$720,MATCH(D$1,'Tillförd energi'!$B$1:$AQ$1,0),FALSE)</f>
        <v>0</v>
      </c>
      <c r="E277" s="121">
        <f>VLOOKUP($B277,'Tillförd energi'!$B$1:$AI$720,MATCH(E$1,'Tillförd energi'!$B$1:$AQ$1,0),FALSE)</f>
        <v>0</v>
      </c>
      <c r="F277" s="121">
        <f>VLOOKUP($B277,'Tillförd energi'!$B$1:$AI$720,MATCH(F$1,'Tillförd energi'!$B$1:$AQ$1,0),FALSE)</f>
        <v>0</v>
      </c>
      <c r="G277" s="121">
        <f>VLOOKUP($B277,'Tillförd energi'!$B$1:$AI$720,MATCH(G$1,'Tillförd energi'!$B$1:$AQ$1,0),FALSE)</f>
        <v>0</v>
      </c>
      <c r="H277" s="121">
        <f>VLOOKUP($B277,'Tillförd energi'!$B$1:$AI$720,MATCH(H$1,'Tillförd energi'!$B$1:$AQ$1,0),FALSE)</f>
        <v>0</v>
      </c>
      <c r="I277" s="121">
        <f>VLOOKUP($B277,'Tillförd energi'!$B$1:$AI$720,MATCH(I$1,'Tillförd energi'!$B$1:$AQ$1,0),FALSE)</f>
        <v>0</v>
      </c>
      <c r="J277" s="121">
        <f>VLOOKUP($B277,'Tillförd energi'!$B$1:$AI$720,MATCH(J$1,'Tillförd energi'!$B$1:$AQ$1,0),FALSE)</f>
        <v>0</v>
      </c>
      <c r="K277" s="121">
        <f>VLOOKUP($B277,'Tillförd energi'!$B$1:$AI$720,MATCH(K$1,'Tillförd energi'!$B$1:$AQ$1,0),FALSE)</f>
        <v>0</v>
      </c>
      <c r="L277" s="121">
        <f>VLOOKUP($B277,'Tillförd energi'!$B$1:$AI$720,MATCH(L$1,'Tillförd energi'!$B$1:$AQ$1,0),FALSE)</f>
        <v>0</v>
      </c>
      <c r="M277" s="121">
        <f>VLOOKUP($B277,'Tillförd energi'!$B$1:$AI$720,MATCH(M$1,'Tillförd energi'!$B$1:$AQ$1,0),FALSE)</f>
        <v>0</v>
      </c>
      <c r="N277" s="121">
        <f>VLOOKUP($B277,'Tillförd energi'!$B$1:$AI$720,MATCH(N$1,'Tillförd energi'!$B$1:$AQ$1,0),FALSE)</f>
        <v>0</v>
      </c>
      <c r="O277" s="121">
        <f>VLOOKUP($B277,'Tillförd energi'!$B$1:$AI$720,MATCH(O$1,'Tillförd energi'!$B$1:$AQ$1,0),FALSE)</f>
        <v>0</v>
      </c>
      <c r="P277" s="121">
        <f>VLOOKUP($B277,'Tillförd energi'!$B$1:$AI$720,MATCH(P$1,'Tillförd energi'!$B$1:$AQ$1,0),FALSE)</f>
        <v>0</v>
      </c>
      <c r="Q277" s="121">
        <f>VLOOKUP($B277,'Tillförd energi'!$B$1:$AI$720,MATCH(Q$1,'Tillförd energi'!$B$1:$AQ$1,0),FALSE)</f>
        <v>0</v>
      </c>
      <c r="R277" s="121">
        <f>VLOOKUP($B277,'Tillförd energi'!$B$1:$AI$720,MATCH(R$1,'Tillförd energi'!$B$1:$AQ$1,0),FALSE)</f>
        <v>0</v>
      </c>
      <c r="S277" s="121">
        <f>VLOOKUP($B277,'Tillförd energi'!$B$1:$AI$720,MATCH(S$1,'Tillförd energi'!$B$1:$AQ$1,0),FALSE)</f>
        <v>0</v>
      </c>
      <c r="T277" s="121">
        <f>VLOOKUP($B277,'Tillförd energi'!$B$1:$AI$720,MATCH(T$1,'Tillförd energi'!$B$1:$AQ$1,0),FALSE)</f>
        <v>0</v>
      </c>
      <c r="U277" s="121">
        <f>VLOOKUP($B277,'Tillförd energi'!$B$1:$AI$720,MATCH(U$1,'Tillförd energi'!$B$1:$AQ$1,0),FALSE)</f>
        <v>0</v>
      </c>
      <c r="V277" s="121">
        <f>VLOOKUP($B277,'Tillförd energi'!$B$1:$AI$720,MATCH(V$1,'Tillförd energi'!$B$1:$AQ$1,0),FALSE)</f>
        <v>0</v>
      </c>
      <c r="W277" s="121">
        <f>VLOOKUP($B277,'Tillförd energi'!$B$1:$AI$720,MATCH(W$1,'Tillförd energi'!$B$1:$AQ$1,0),FALSE)</f>
        <v>0</v>
      </c>
      <c r="X277" s="121">
        <f>VLOOKUP($B277,'Tillförd energi'!$B$1:$AI$720,MATCH(X$1,'Tillförd energi'!$B$1:$AQ$1,0),FALSE)</f>
        <v>0</v>
      </c>
      <c r="Y277" s="121">
        <f>VLOOKUP($B277,'Tillförd energi'!$B$1:$AI$720,MATCH(Y$1,'Tillförd energi'!$B$1:$AQ$1,0),FALSE)</f>
        <v>0</v>
      </c>
      <c r="Z277" s="121">
        <f>VLOOKUP($B277,'Tillförd energi'!$B$1:$AI$720,MATCH(Z$1,'Tillförd energi'!$B$1:$AQ$1,0),FALSE)</f>
        <v>0</v>
      </c>
      <c r="AA277" s="121">
        <f>VLOOKUP($B277,'Tillförd energi'!$B$1:$AI$720,MATCH(AA$1,'Tillförd energi'!$B$1:$AQ$1,0),FALSE)</f>
        <v>0</v>
      </c>
      <c r="AB277" s="121">
        <f>VLOOKUP($B277,'Tillförd energi'!$B$1:$AI$720,MATCH(AB$1,'Tillförd energi'!$B$1:$AQ$1,0),FALSE)</f>
        <v>0</v>
      </c>
      <c r="AC277" s="121">
        <f>VLOOKUP($B277,'Tillförd energi'!$B$1:$AI$720,MATCH(AC$1,'Tillförd energi'!$B$1:$AQ$1,0),FALSE)</f>
        <v>0</v>
      </c>
      <c r="AD277" s="121">
        <f>VLOOKUP($B277,'Tillförd energi'!$B$1:$AI$720,MATCH(AD$1,'Tillförd energi'!$B$1:$AQ$1,0),FALSE)</f>
        <v>0</v>
      </c>
      <c r="AE277" s="121">
        <f>VLOOKUP($B277,'Tillförd energi'!$B$1:$AI$720,MATCH(AE$1,'Tillförd energi'!$B$1:$AQ$1,0),FALSE)</f>
        <v>0</v>
      </c>
      <c r="AF277" s="121">
        <f>VLOOKUP($B277,'Tillförd energi'!$B$1:$AI$720,MATCH(AF$1,'Tillförd energi'!$B$1:$AQ$1,0),FALSE)</f>
        <v>0</v>
      </c>
      <c r="AG277" s="121">
        <f>IFERROR(VLOOKUP(B277,Miljö!$B$1:$AC$550,MATCH("Köpt mängd produktionsspecifik fjärrvärme:",Miljö!$B$1:$AC$1,0),FALSE)/1,0)</f>
        <v>0</v>
      </c>
      <c r="AH277" s="121"/>
      <c r="AI277" s="121">
        <f t="shared" si="110"/>
        <v>0</v>
      </c>
      <c r="AJ277" s="121">
        <f t="shared" si="111"/>
        <v>0</v>
      </c>
      <c r="AK277" s="121" t="str">
        <f>IF(ISERROR(1/VLOOKUP($B277,Leveranser!$B$1:$S$499,MATCH("såld värme (gwh)",Leveranser!$B$1:$S$1,0),FALSE)),"",VLOOKUP($B277,Leveranser!$B$1:$S$499,MATCH("såld värme (gwh)",Leveranser!$B$1:$S$1,0),FALSE))</f>
        <v/>
      </c>
      <c r="AL277" s="121">
        <f>VLOOKUP($B277,Leveranser!$B$1:$Y$499,MATCH("Totalt såld fjärrvärme till andra fjärrvärmeföretag",Leveranser!$B$1:$AA$1,0),FALSE)</f>
        <v>0</v>
      </c>
      <c r="AM277" s="121">
        <f>IF(ISERROR(1/VLOOKUP($B277,Miljö!$B$1:$S$500,MATCH("Såld mängd produktionsspecifik fjärrvärme (GWh)",Miljö!$B$1:$R$1,0),FALSE)),0,VLOOKUP($B277,Miljö!$B$1:$S$500,MATCH("Såld mängd produktionsspecifik fjärrvärme (GWh)",Miljö!$B$1:$R$1,0),FALSE))</f>
        <v>0</v>
      </c>
      <c r="AN277" s="172" t="str">
        <f t="shared" si="112"/>
        <v/>
      </c>
      <c r="AO277" s="121"/>
      <c r="AP277" s="121" t="str">
        <f>IFERROR(VLOOKUP($B277,Miljövärden!$B$2:$H$550,7,FALSE),"Nej, saknas")</f>
        <v>Nej</v>
      </c>
      <c r="AQ277" s="121" t="str">
        <f>IFERROR(VLOOKUP($B277,Miljövärden!$B$2:$H$550,6,FALSE),"Nej, saknas")</f>
        <v>Nej</v>
      </c>
      <c r="AU277">
        <f t="shared" si="113"/>
        <v>0</v>
      </c>
      <c r="AV277">
        <f t="shared" si="114"/>
        <v>0</v>
      </c>
      <c r="AW277">
        <f t="shared" si="115"/>
        <v>0</v>
      </c>
      <c r="AX277">
        <f t="shared" si="116"/>
        <v>0</v>
      </c>
      <c r="AZ277">
        <f t="shared" si="117"/>
        <v>0</v>
      </c>
      <c r="BC277">
        <f t="shared" si="118"/>
        <v>0</v>
      </c>
      <c r="BD277">
        <f t="shared" si="119"/>
        <v>0</v>
      </c>
      <c r="BE277">
        <f t="shared" si="120"/>
        <v>0</v>
      </c>
      <c r="BF277">
        <f t="shared" si="121"/>
        <v>0</v>
      </c>
      <c r="BG277">
        <f t="shared" si="122"/>
        <v>0</v>
      </c>
      <c r="BH277" t="str">
        <f>VLOOKUP(B277,Miljö!$B$1:$BX$482,MATCH("Fossilandel för ursprungspecificerad el ()",Miljö!$B$1:$I$1,0),FALSE)</f>
        <v>-</v>
      </c>
      <c r="BI277" t="str">
        <f>VLOOKUP(B277,Miljö!$B$1:$BX$482,MATCH("Kärnkraftsandel för ursprungsspecificerad el ()",Miljö!$B$1:$O$1,0),FALSE)</f>
        <v>-</v>
      </c>
      <c r="BJ277">
        <f t="shared" si="123"/>
        <v>0</v>
      </c>
      <c r="BK277" t="str">
        <f>VLOOKUP(B277,Miljö!$B$1:$O$482,MATCH("Fossil andel i procent (%)",Miljö!$B$1:$O$1,0),FALSE)</f>
        <v>-</v>
      </c>
      <c r="BL277">
        <f t="shared" si="124"/>
        <v>0</v>
      </c>
      <c r="BO277" s="18" t="str">
        <f t="shared" si="125"/>
        <v/>
      </c>
      <c r="BP277" s="18" t="str">
        <f t="shared" si="126"/>
        <v/>
      </c>
      <c r="BQ277" s="18" t="str">
        <f t="shared" si="127"/>
        <v/>
      </c>
      <c r="BR277" s="18" t="str">
        <f t="shared" si="128"/>
        <v/>
      </c>
      <c r="BT277" s="27">
        <f t="shared" si="129"/>
        <v>0</v>
      </c>
      <c r="BW277" s="18" t="str">
        <f>IF(AP277="ja",VLOOKUP(B277,Miljövärden!$B$2:$H$550,MATCH("Total andel fossilt",Miljövärden!$B$2:$H$2,0),FALSE),"")</f>
        <v/>
      </c>
      <c r="BZ277" s="28" t="str">
        <f t="shared" si="130"/>
        <v/>
      </c>
      <c r="CA277" s="28" t="str">
        <f t="shared" si="131"/>
        <v/>
      </c>
    </row>
    <row r="278" spans="1:79" x14ac:dyDescent="0.25">
      <c r="A278" s="224" t="s">
        <v>573</v>
      </c>
      <c r="B278" s="210" t="s">
        <v>579</v>
      </c>
      <c r="C278" s="121">
        <f>VLOOKUP($B278,'Tillförd energi'!$B$1:$AI$720,MATCH(C$1,'Tillförd energi'!$B$1:$AQ$1,0),FALSE)</f>
        <v>0</v>
      </c>
      <c r="D278" s="121">
        <f>VLOOKUP($B278,'Tillförd energi'!$B$1:$AI$720,MATCH(D$1,'Tillförd energi'!$B$1:$AQ$1,0),FALSE)</f>
        <v>0</v>
      </c>
      <c r="E278" s="121">
        <f>VLOOKUP($B278,'Tillförd energi'!$B$1:$AI$720,MATCH(E$1,'Tillförd energi'!$B$1:$AQ$1,0),FALSE)</f>
        <v>0</v>
      </c>
      <c r="F278" s="121">
        <f>VLOOKUP($B278,'Tillförd energi'!$B$1:$AI$720,MATCH(F$1,'Tillförd energi'!$B$1:$AQ$1,0),FALSE)</f>
        <v>0</v>
      </c>
      <c r="G278" s="121">
        <f>VLOOKUP($B278,'Tillförd energi'!$B$1:$AI$720,MATCH(G$1,'Tillförd energi'!$B$1:$AQ$1,0),FALSE)</f>
        <v>0</v>
      </c>
      <c r="H278" s="121">
        <f>VLOOKUP($B278,'Tillförd energi'!$B$1:$AI$720,MATCH(H$1,'Tillförd energi'!$B$1:$AQ$1,0),FALSE)</f>
        <v>0</v>
      </c>
      <c r="I278" s="121">
        <f>VLOOKUP($B278,'Tillförd energi'!$B$1:$AI$720,MATCH(I$1,'Tillförd energi'!$B$1:$AQ$1,0),FALSE)</f>
        <v>0</v>
      </c>
      <c r="J278" s="121">
        <f>VLOOKUP($B278,'Tillförd energi'!$B$1:$AI$720,MATCH(J$1,'Tillförd energi'!$B$1:$AQ$1,0),FALSE)</f>
        <v>0</v>
      </c>
      <c r="K278" s="121">
        <f>VLOOKUP($B278,'Tillförd energi'!$B$1:$AI$720,MATCH(K$1,'Tillförd energi'!$B$1:$AQ$1,0),FALSE)</f>
        <v>0</v>
      </c>
      <c r="L278" s="121">
        <f>VLOOKUP($B278,'Tillförd energi'!$B$1:$AI$720,MATCH(L$1,'Tillförd energi'!$B$1:$AQ$1,0),FALSE)</f>
        <v>0</v>
      </c>
      <c r="M278" s="121">
        <f>VLOOKUP($B278,'Tillförd energi'!$B$1:$AI$720,MATCH(M$1,'Tillförd energi'!$B$1:$AQ$1,0),FALSE)</f>
        <v>0</v>
      </c>
      <c r="N278" s="121">
        <f>VLOOKUP($B278,'Tillförd energi'!$B$1:$AI$720,MATCH(N$1,'Tillförd energi'!$B$1:$AQ$1,0),FALSE)</f>
        <v>0</v>
      </c>
      <c r="O278" s="121">
        <f>VLOOKUP($B278,'Tillförd energi'!$B$1:$AI$720,MATCH(O$1,'Tillförd energi'!$B$1:$AQ$1,0),FALSE)</f>
        <v>0</v>
      </c>
      <c r="P278" s="121">
        <f>VLOOKUP($B278,'Tillförd energi'!$B$1:$AI$720,MATCH(P$1,'Tillförd energi'!$B$1:$AQ$1,0),FALSE)</f>
        <v>0</v>
      </c>
      <c r="Q278" s="121">
        <f>VLOOKUP($B278,'Tillförd energi'!$B$1:$AI$720,MATCH(Q$1,'Tillförd energi'!$B$1:$AQ$1,0),FALSE)</f>
        <v>0</v>
      </c>
      <c r="R278" s="121">
        <f>VLOOKUP($B278,'Tillförd energi'!$B$1:$AI$720,MATCH(R$1,'Tillförd energi'!$B$1:$AQ$1,0),FALSE)</f>
        <v>0</v>
      </c>
      <c r="S278" s="121">
        <f>VLOOKUP($B278,'Tillförd energi'!$B$1:$AI$720,MATCH(S$1,'Tillförd energi'!$B$1:$AQ$1,0),FALSE)</f>
        <v>0</v>
      </c>
      <c r="T278" s="121">
        <f>VLOOKUP($B278,'Tillförd energi'!$B$1:$AI$720,MATCH(T$1,'Tillförd energi'!$B$1:$AQ$1,0),FALSE)</f>
        <v>0</v>
      </c>
      <c r="U278" s="121">
        <f>VLOOKUP($B278,'Tillförd energi'!$B$1:$AI$720,MATCH(U$1,'Tillförd energi'!$B$1:$AQ$1,0),FALSE)</f>
        <v>0</v>
      </c>
      <c r="V278" s="121">
        <f>VLOOKUP($B278,'Tillförd energi'!$B$1:$AI$720,MATCH(V$1,'Tillförd energi'!$B$1:$AQ$1,0),FALSE)</f>
        <v>0</v>
      </c>
      <c r="W278" s="121">
        <f>VLOOKUP($B278,'Tillförd energi'!$B$1:$AI$720,MATCH(W$1,'Tillförd energi'!$B$1:$AQ$1,0),FALSE)</f>
        <v>0</v>
      </c>
      <c r="X278" s="121">
        <f>VLOOKUP($B278,'Tillförd energi'!$B$1:$AI$720,MATCH(X$1,'Tillförd energi'!$B$1:$AQ$1,0),FALSE)</f>
        <v>0</v>
      </c>
      <c r="Y278" s="121">
        <f>VLOOKUP($B278,'Tillförd energi'!$B$1:$AI$720,MATCH(Y$1,'Tillförd energi'!$B$1:$AQ$1,0),FALSE)</f>
        <v>0</v>
      </c>
      <c r="Z278" s="121">
        <f>VLOOKUP($B278,'Tillförd energi'!$B$1:$AI$720,MATCH(Z$1,'Tillförd energi'!$B$1:$AQ$1,0),FALSE)</f>
        <v>0</v>
      </c>
      <c r="AA278" s="121">
        <f>VLOOKUP($B278,'Tillförd energi'!$B$1:$AI$720,MATCH(AA$1,'Tillförd energi'!$B$1:$AQ$1,0),FALSE)</f>
        <v>0</v>
      </c>
      <c r="AB278" s="121">
        <f>VLOOKUP($B278,'Tillförd energi'!$B$1:$AI$720,MATCH(AB$1,'Tillförd energi'!$B$1:$AQ$1,0),FALSE)</f>
        <v>0</v>
      </c>
      <c r="AC278" s="121">
        <f>VLOOKUP($B278,'Tillförd energi'!$B$1:$AI$720,MATCH(AC$1,'Tillförd energi'!$B$1:$AQ$1,0),FALSE)</f>
        <v>0</v>
      </c>
      <c r="AD278" s="121">
        <f>VLOOKUP($B278,'Tillförd energi'!$B$1:$AI$720,MATCH(AD$1,'Tillförd energi'!$B$1:$AQ$1,0),FALSE)</f>
        <v>0</v>
      </c>
      <c r="AE278" s="121">
        <f>VLOOKUP($B278,'Tillförd energi'!$B$1:$AI$720,MATCH(AE$1,'Tillförd energi'!$B$1:$AQ$1,0),FALSE)</f>
        <v>0</v>
      </c>
      <c r="AF278" s="121">
        <f>VLOOKUP($B278,'Tillförd energi'!$B$1:$AI$720,MATCH(AF$1,'Tillförd energi'!$B$1:$AQ$1,0),FALSE)</f>
        <v>0</v>
      </c>
      <c r="AG278" s="121">
        <f>IFERROR(VLOOKUP(B278,Miljö!$B$1:$AC$550,MATCH("Köpt mängd produktionsspecifik fjärrvärme:",Miljö!$B$1:$AC$1,0),FALSE)/1,0)</f>
        <v>0</v>
      </c>
      <c r="AH278" s="121"/>
      <c r="AI278" s="121">
        <f t="shared" si="110"/>
        <v>0</v>
      </c>
      <c r="AJ278" s="121">
        <f t="shared" si="111"/>
        <v>0</v>
      </c>
      <c r="AK278" s="121" t="str">
        <f>IF(ISERROR(1/VLOOKUP($B278,Leveranser!$B$1:$S$499,MATCH("såld värme (gwh)",Leveranser!$B$1:$S$1,0),FALSE)),"",VLOOKUP($B278,Leveranser!$B$1:$S$499,MATCH("såld värme (gwh)",Leveranser!$B$1:$S$1,0),FALSE))</f>
        <v/>
      </c>
      <c r="AL278" s="121">
        <f>VLOOKUP($B278,Leveranser!$B$1:$Y$499,MATCH("Totalt såld fjärrvärme till andra fjärrvärmeföretag",Leveranser!$B$1:$AA$1,0),FALSE)</f>
        <v>0</v>
      </c>
      <c r="AM278" s="121">
        <f>IF(ISERROR(1/VLOOKUP($B278,Miljö!$B$1:$S$500,MATCH("Såld mängd produktionsspecifik fjärrvärme (GWh)",Miljö!$B$1:$R$1,0),FALSE)),0,VLOOKUP($B278,Miljö!$B$1:$S$500,MATCH("Såld mängd produktionsspecifik fjärrvärme (GWh)",Miljö!$B$1:$R$1,0),FALSE))</f>
        <v>0</v>
      </c>
      <c r="AN278" s="172" t="str">
        <f t="shared" si="112"/>
        <v/>
      </c>
      <c r="AO278" s="121"/>
      <c r="AP278" s="121" t="str">
        <f>IFERROR(VLOOKUP($B278,Miljövärden!$B$2:$H$550,7,FALSE),"Nej, saknas")</f>
        <v>Nej</v>
      </c>
      <c r="AQ278" s="121" t="str">
        <f>IFERROR(VLOOKUP($B278,Miljövärden!$B$2:$H$550,6,FALSE),"Nej, saknas")</f>
        <v>Nej</v>
      </c>
      <c r="AU278">
        <f t="shared" si="113"/>
        <v>0</v>
      </c>
      <c r="AV278">
        <f t="shared" si="114"/>
        <v>0</v>
      </c>
      <c r="AW278">
        <f t="shared" si="115"/>
        <v>0</v>
      </c>
      <c r="AX278">
        <f t="shared" si="116"/>
        <v>0</v>
      </c>
      <c r="AZ278">
        <f t="shared" si="117"/>
        <v>0</v>
      </c>
      <c r="BC278">
        <f t="shared" si="118"/>
        <v>0</v>
      </c>
      <c r="BD278">
        <f t="shared" si="119"/>
        <v>0</v>
      </c>
      <c r="BE278">
        <f t="shared" si="120"/>
        <v>0</v>
      </c>
      <c r="BF278">
        <f t="shared" si="121"/>
        <v>0</v>
      </c>
      <c r="BG278">
        <f t="shared" si="122"/>
        <v>0</v>
      </c>
      <c r="BH278" t="str">
        <f>VLOOKUP(B278,Miljö!$B$1:$BX$482,MATCH("Fossilandel för ursprungspecificerad el ()",Miljö!$B$1:$I$1,0),FALSE)</f>
        <v>-</v>
      </c>
      <c r="BI278" t="str">
        <f>VLOOKUP(B278,Miljö!$B$1:$BX$482,MATCH("Kärnkraftsandel för ursprungsspecificerad el ()",Miljö!$B$1:$O$1,0),FALSE)</f>
        <v>-</v>
      </c>
      <c r="BJ278">
        <f t="shared" si="123"/>
        <v>0</v>
      </c>
      <c r="BK278" t="str">
        <f>VLOOKUP(B278,Miljö!$B$1:$O$482,MATCH("Fossil andel i procent (%)",Miljö!$B$1:$O$1,0),FALSE)</f>
        <v>-</v>
      </c>
      <c r="BL278">
        <f t="shared" si="124"/>
        <v>0</v>
      </c>
      <c r="BO278" s="18" t="str">
        <f t="shared" si="125"/>
        <v/>
      </c>
      <c r="BP278" s="18" t="str">
        <f t="shared" si="126"/>
        <v/>
      </c>
      <c r="BQ278" s="18" t="str">
        <f t="shared" si="127"/>
        <v/>
      </c>
      <c r="BR278" s="18" t="str">
        <f t="shared" si="128"/>
        <v/>
      </c>
      <c r="BT278" s="27">
        <f t="shared" si="129"/>
        <v>0</v>
      </c>
      <c r="BW278" s="18" t="str">
        <f>IF(AP278="ja",VLOOKUP(B278,Miljövärden!$B$2:$H$550,MATCH("Total andel fossilt",Miljövärden!$B$2:$H$2,0),FALSE),"")</f>
        <v/>
      </c>
      <c r="BZ278" s="28" t="str">
        <f t="shared" si="130"/>
        <v/>
      </c>
      <c r="CA278" s="28" t="str">
        <f t="shared" si="131"/>
        <v/>
      </c>
    </row>
    <row r="279" spans="1:79" x14ac:dyDescent="0.25">
      <c r="A279" s="224" t="s">
        <v>573</v>
      </c>
      <c r="B279" s="210" t="s">
        <v>580</v>
      </c>
      <c r="C279" s="121">
        <f>VLOOKUP($B279,'Tillförd energi'!$B$1:$AI$720,MATCH(C$1,'Tillförd energi'!$B$1:$AQ$1,0),FALSE)</f>
        <v>0</v>
      </c>
      <c r="D279" s="121">
        <f>VLOOKUP($B279,'Tillförd energi'!$B$1:$AI$720,MATCH(D$1,'Tillförd energi'!$B$1:$AQ$1,0),FALSE)</f>
        <v>0</v>
      </c>
      <c r="E279" s="121">
        <f>VLOOKUP($B279,'Tillförd energi'!$B$1:$AI$720,MATCH(E$1,'Tillförd energi'!$B$1:$AQ$1,0),FALSE)</f>
        <v>0</v>
      </c>
      <c r="F279" s="121">
        <f>VLOOKUP($B279,'Tillförd energi'!$B$1:$AI$720,MATCH(F$1,'Tillförd energi'!$B$1:$AQ$1,0),FALSE)</f>
        <v>0</v>
      </c>
      <c r="G279" s="121">
        <f>VLOOKUP($B279,'Tillförd energi'!$B$1:$AI$720,MATCH(G$1,'Tillförd energi'!$B$1:$AQ$1,0),FALSE)</f>
        <v>0</v>
      </c>
      <c r="H279" s="121">
        <f>VLOOKUP($B279,'Tillförd energi'!$B$1:$AI$720,MATCH(H$1,'Tillförd energi'!$B$1:$AQ$1,0),FALSE)</f>
        <v>0</v>
      </c>
      <c r="I279" s="121">
        <f>VLOOKUP($B279,'Tillförd energi'!$B$1:$AI$720,MATCH(I$1,'Tillförd energi'!$B$1:$AQ$1,0),FALSE)</f>
        <v>0</v>
      </c>
      <c r="J279" s="121">
        <f>VLOOKUP($B279,'Tillförd energi'!$B$1:$AI$720,MATCH(J$1,'Tillförd energi'!$B$1:$AQ$1,0),FALSE)</f>
        <v>0</v>
      </c>
      <c r="K279" s="121">
        <f>VLOOKUP($B279,'Tillförd energi'!$B$1:$AI$720,MATCH(K$1,'Tillförd energi'!$B$1:$AQ$1,0),FALSE)</f>
        <v>0</v>
      </c>
      <c r="L279" s="121">
        <f>VLOOKUP($B279,'Tillförd energi'!$B$1:$AI$720,MATCH(L$1,'Tillförd energi'!$B$1:$AQ$1,0),FALSE)</f>
        <v>0</v>
      </c>
      <c r="M279" s="121">
        <f>VLOOKUP($B279,'Tillförd energi'!$B$1:$AI$720,MATCH(M$1,'Tillförd energi'!$B$1:$AQ$1,0),FALSE)</f>
        <v>0</v>
      </c>
      <c r="N279" s="121">
        <f>VLOOKUP($B279,'Tillförd energi'!$B$1:$AI$720,MATCH(N$1,'Tillförd energi'!$B$1:$AQ$1,0),FALSE)</f>
        <v>0</v>
      </c>
      <c r="O279" s="121">
        <f>VLOOKUP($B279,'Tillförd energi'!$B$1:$AI$720,MATCH(O$1,'Tillförd energi'!$B$1:$AQ$1,0),FALSE)</f>
        <v>0</v>
      </c>
      <c r="P279" s="121">
        <f>VLOOKUP($B279,'Tillförd energi'!$B$1:$AI$720,MATCH(P$1,'Tillförd energi'!$B$1:$AQ$1,0),FALSE)</f>
        <v>0</v>
      </c>
      <c r="Q279" s="121">
        <f>VLOOKUP($B279,'Tillförd energi'!$B$1:$AI$720,MATCH(Q$1,'Tillförd energi'!$B$1:$AQ$1,0),FALSE)</f>
        <v>0</v>
      </c>
      <c r="R279" s="121">
        <f>VLOOKUP($B279,'Tillförd energi'!$B$1:$AI$720,MATCH(R$1,'Tillförd energi'!$B$1:$AQ$1,0),FALSE)</f>
        <v>0</v>
      </c>
      <c r="S279" s="121">
        <f>VLOOKUP($B279,'Tillförd energi'!$B$1:$AI$720,MATCH(S$1,'Tillförd energi'!$B$1:$AQ$1,0),FALSE)</f>
        <v>0</v>
      </c>
      <c r="T279" s="121">
        <f>VLOOKUP($B279,'Tillförd energi'!$B$1:$AI$720,MATCH(T$1,'Tillförd energi'!$B$1:$AQ$1,0),FALSE)</f>
        <v>0</v>
      </c>
      <c r="U279" s="121">
        <f>VLOOKUP($B279,'Tillförd energi'!$B$1:$AI$720,MATCH(U$1,'Tillförd energi'!$B$1:$AQ$1,0),FALSE)</f>
        <v>0</v>
      </c>
      <c r="V279" s="121">
        <f>VLOOKUP($B279,'Tillförd energi'!$B$1:$AI$720,MATCH(V$1,'Tillförd energi'!$B$1:$AQ$1,0),FALSE)</f>
        <v>0</v>
      </c>
      <c r="W279" s="121">
        <f>VLOOKUP($B279,'Tillförd energi'!$B$1:$AI$720,MATCH(W$1,'Tillförd energi'!$B$1:$AQ$1,0),FALSE)</f>
        <v>0</v>
      </c>
      <c r="X279" s="121">
        <f>VLOOKUP($B279,'Tillförd energi'!$B$1:$AI$720,MATCH(X$1,'Tillförd energi'!$B$1:$AQ$1,0),FALSE)</f>
        <v>0</v>
      </c>
      <c r="Y279" s="121">
        <f>VLOOKUP($B279,'Tillförd energi'!$B$1:$AI$720,MATCH(Y$1,'Tillförd energi'!$B$1:$AQ$1,0),FALSE)</f>
        <v>0</v>
      </c>
      <c r="Z279" s="121">
        <f>VLOOKUP($B279,'Tillförd energi'!$B$1:$AI$720,MATCH(Z$1,'Tillförd energi'!$B$1:$AQ$1,0),FALSE)</f>
        <v>0</v>
      </c>
      <c r="AA279" s="121">
        <f>VLOOKUP($B279,'Tillförd energi'!$B$1:$AI$720,MATCH(AA$1,'Tillförd energi'!$B$1:$AQ$1,0),FALSE)</f>
        <v>0</v>
      </c>
      <c r="AB279" s="121">
        <f>VLOOKUP($B279,'Tillförd energi'!$B$1:$AI$720,MATCH(AB$1,'Tillförd energi'!$B$1:$AQ$1,0),FALSE)</f>
        <v>0</v>
      </c>
      <c r="AC279" s="121">
        <f>VLOOKUP($B279,'Tillförd energi'!$B$1:$AI$720,MATCH(AC$1,'Tillförd energi'!$B$1:$AQ$1,0),FALSE)</f>
        <v>0</v>
      </c>
      <c r="AD279" s="121">
        <f>VLOOKUP($B279,'Tillförd energi'!$B$1:$AI$720,MATCH(AD$1,'Tillförd energi'!$B$1:$AQ$1,0),FALSE)</f>
        <v>0</v>
      </c>
      <c r="AE279" s="121">
        <f>VLOOKUP($B279,'Tillförd energi'!$B$1:$AI$720,MATCH(AE$1,'Tillförd energi'!$B$1:$AQ$1,0),FALSE)</f>
        <v>0</v>
      </c>
      <c r="AF279" s="121">
        <f>VLOOKUP($B279,'Tillförd energi'!$B$1:$AI$720,MATCH(AF$1,'Tillförd energi'!$B$1:$AQ$1,0),FALSE)</f>
        <v>0</v>
      </c>
      <c r="AG279" s="121">
        <f>IFERROR(VLOOKUP(B279,Miljö!$B$1:$AC$550,MATCH("Köpt mängd produktionsspecifik fjärrvärme:",Miljö!$B$1:$AC$1,0),FALSE)/1,0)</f>
        <v>0</v>
      </c>
      <c r="AH279" s="121"/>
      <c r="AI279" s="121">
        <f t="shared" si="110"/>
        <v>0</v>
      </c>
      <c r="AJ279" s="121">
        <f t="shared" si="111"/>
        <v>0</v>
      </c>
      <c r="AK279" s="121" t="str">
        <f>IF(ISERROR(1/VLOOKUP($B279,Leveranser!$B$1:$S$499,MATCH("såld värme (gwh)",Leveranser!$B$1:$S$1,0),FALSE)),"",VLOOKUP($B279,Leveranser!$B$1:$S$499,MATCH("såld värme (gwh)",Leveranser!$B$1:$S$1,0),FALSE))</f>
        <v/>
      </c>
      <c r="AL279" s="121">
        <f>VLOOKUP($B279,Leveranser!$B$1:$Y$499,MATCH("Totalt såld fjärrvärme till andra fjärrvärmeföretag",Leveranser!$B$1:$AA$1,0),FALSE)</f>
        <v>0</v>
      </c>
      <c r="AM279" s="121">
        <f>IF(ISERROR(1/VLOOKUP($B279,Miljö!$B$1:$S$500,MATCH("Såld mängd produktionsspecifik fjärrvärme (GWh)",Miljö!$B$1:$R$1,0),FALSE)),0,VLOOKUP($B279,Miljö!$B$1:$S$500,MATCH("Såld mängd produktionsspecifik fjärrvärme (GWh)",Miljö!$B$1:$R$1,0),FALSE))</f>
        <v>0</v>
      </c>
      <c r="AN279" s="172" t="str">
        <f t="shared" si="112"/>
        <v/>
      </c>
      <c r="AO279" s="121"/>
      <c r="AP279" s="121" t="str">
        <f>IFERROR(VLOOKUP($B279,Miljövärden!$B$2:$H$550,7,FALSE),"Nej, saknas")</f>
        <v>Nej</v>
      </c>
      <c r="AQ279" s="121" t="str">
        <f>IFERROR(VLOOKUP($B279,Miljövärden!$B$2:$H$550,6,FALSE),"Nej, saknas")</f>
        <v>Nej</v>
      </c>
      <c r="AU279">
        <f t="shared" si="113"/>
        <v>0</v>
      </c>
      <c r="AV279">
        <f t="shared" si="114"/>
        <v>0</v>
      </c>
      <c r="AW279">
        <f t="shared" si="115"/>
        <v>0</v>
      </c>
      <c r="AX279">
        <f t="shared" si="116"/>
        <v>0</v>
      </c>
      <c r="AZ279">
        <f t="shared" si="117"/>
        <v>0</v>
      </c>
      <c r="BC279">
        <f t="shared" si="118"/>
        <v>0</v>
      </c>
      <c r="BD279">
        <f t="shared" si="119"/>
        <v>0</v>
      </c>
      <c r="BE279">
        <f t="shared" si="120"/>
        <v>0</v>
      </c>
      <c r="BF279">
        <f t="shared" si="121"/>
        <v>0</v>
      </c>
      <c r="BG279">
        <f t="shared" si="122"/>
        <v>0</v>
      </c>
      <c r="BH279" t="str">
        <f>VLOOKUP(B279,Miljö!$B$1:$BX$482,MATCH("Fossilandel för ursprungspecificerad el ()",Miljö!$B$1:$I$1,0),FALSE)</f>
        <v>-</v>
      </c>
      <c r="BI279" t="str">
        <f>VLOOKUP(B279,Miljö!$B$1:$BX$482,MATCH("Kärnkraftsandel för ursprungsspecificerad el ()",Miljö!$B$1:$O$1,0),FALSE)</f>
        <v>-</v>
      </c>
      <c r="BJ279">
        <f t="shared" si="123"/>
        <v>0</v>
      </c>
      <c r="BK279" t="str">
        <f>VLOOKUP(B279,Miljö!$B$1:$O$482,MATCH("Fossil andel i procent (%)",Miljö!$B$1:$O$1,0),FALSE)</f>
        <v>-</v>
      </c>
      <c r="BL279">
        <f t="shared" si="124"/>
        <v>0</v>
      </c>
      <c r="BO279" s="18" t="str">
        <f t="shared" si="125"/>
        <v/>
      </c>
      <c r="BP279" s="18" t="str">
        <f t="shared" si="126"/>
        <v/>
      </c>
      <c r="BQ279" s="18" t="str">
        <f t="shared" si="127"/>
        <v/>
      </c>
      <c r="BR279" s="18" t="str">
        <f t="shared" si="128"/>
        <v/>
      </c>
      <c r="BT279" s="27">
        <f t="shared" si="129"/>
        <v>0</v>
      </c>
      <c r="BW279" s="18" t="str">
        <f>IF(AP279="ja",VLOOKUP(B279,Miljövärden!$B$2:$H$550,MATCH("Total andel fossilt",Miljövärden!$B$2:$H$2,0),FALSE),"")</f>
        <v/>
      </c>
      <c r="BZ279" s="28" t="str">
        <f t="shared" si="130"/>
        <v/>
      </c>
      <c r="CA279" s="28" t="str">
        <f t="shared" si="131"/>
        <v/>
      </c>
    </row>
    <row r="280" spans="1:79" x14ac:dyDescent="0.25">
      <c r="A280" s="224" t="s">
        <v>573</v>
      </c>
      <c r="B280" s="210" t="s">
        <v>581</v>
      </c>
      <c r="C280" s="121">
        <f>VLOOKUP($B280,'Tillförd energi'!$B$1:$AI$720,MATCH(C$1,'Tillförd energi'!$B$1:$AQ$1,0),FALSE)</f>
        <v>0</v>
      </c>
      <c r="D280" s="121">
        <f>VLOOKUP($B280,'Tillförd energi'!$B$1:$AI$720,MATCH(D$1,'Tillförd energi'!$B$1:$AQ$1,0),FALSE)</f>
        <v>0</v>
      </c>
      <c r="E280" s="121">
        <f>VLOOKUP($B280,'Tillförd energi'!$B$1:$AI$720,MATCH(E$1,'Tillförd energi'!$B$1:$AQ$1,0),FALSE)</f>
        <v>0</v>
      </c>
      <c r="F280" s="121">
        <f>VLOOKUP($B280,'Tillförd energi'!$B$1:$AI$720,MATCH(F$1,'Tillförd energi'!$B$1:$AQ$1,0),FALSE)</f>
        <v>0</v>
      </c>
      <c r="G280" s="121">
        <f>VLOOKUP($B280,'Tillförd energi'!$B$1:$AI$720,MATCH(G$1,'Tillförd energi'!$B$1:$AQ$1,0),FALSE)</f>
        <v>0</v>
      </c>
      <c r="H280" s="121">
        <f>VLOOKUP($B280,'Tillförd energi'!$B$1:$AI$720,MATCH(H$1,'Tillförd energi'!$B$1:$AQ$1,0),FALSE)</f>
        <v>0</v>
      </c>
      <c r="I280" s="121">
        <f>VLOOKUP($B280,'Tillförd energi'!$B$1:$AI$720,MATCH(I$1,'Tillförd energi'!$B$1:$AQ$1,0),FALSE)</f>
        <v>0</v>
      </c>
      <c r="J280" s="121">
        <f>VLOOKUP($B280,'Tillförd energi'!$B$1:$AI$720,MATCH(J$1,'Tillförd energi'!$B$1:$AQ$1,0),FALSE)</f>
        <v>0</v>
      </c>
      <c r="K280" s="121">
        <f>VLOOKUP($B280,'Tillförd energi'!$B$1:$AI$720,MATCH(K$1,'Tillförd energi'!$B$1:$AQ$1,0),FALSE)</f>
        <v>0</v>
      </c>
      <c r="L280" s="121">
        <f>VLOOKUP($B280,'Tillförd energi'!$B$1:$AI$720,MATCH(L$1,'Tillförd energi'!$B$1:$AQ$1,0),FALSE)</f>
        <v>0</v>
      </c>
      <c r="M280" s="121">
        <f>VLOOKUP($B280,'Tillförd energi'!$B$1:$AI$720,MATCH(M$1,'Tillförd energi'!$B$1:$AQ$1,0),FALSE)</f>
        <v>0</v>
      </c>
      <c r="N280" s="121">
        <f>VLOOKUP($B280,'Tillförd energi'!$B$1:$AI$720,MATCH(N$1,'Tillförd energi'!$B$1:$AQ$1,0),FALSE)</f>
        <v>0</v>
      </c>
      <c r="O280" s="121">
        <f>VLOOKUP($B280,'Tillförd energi'!$B$1:$AI$720,MATCH(O$1,'Tillförd energi'!$B$1:$AQ$1,0),FALSE)</f>
        <v>0</v>
      </c>
      <c r="P280" s="121">
        <f>VLOOKUP($B280,'Tillförd energi'!$B$1:$AI$720,MATCH(P$1,'Tillförd energi'!$B$1:$AQ$1,0),FALSE)</f>
        <v>0</v>
      </c>
      <c r="Q280" s="121">
        <f>VLOOKUP($B280,'Tillförd energi'!$B$1:$AI$720,MATCH(Q$1,'Tillförd energi'!$B$1:$AQ$1,0),FALSE)</f>
        <v>0</v>
      </c>
      <c r="R280" s="121">
        <f>VLOOKUP($B280,'Tillförd energi'!$B$1:$AI$720,MATCH(R$1,'Tillförd energi'!$B$1:$AQ$1,0),FALSE)</f>
        <v>0</v>
      </c>
      <c r="S280" s="121">
        <f>VLOOKUP($B280,'Tillförd energi'!$B$1:$AI$720,MATCH(S$1,'Tillförd energi'!$B$1:$AQ$1,0),FALSE)</f>
        <v>0</v>
      </c>
      <c r="T280" s="121">
        <f>VLOOKUP($B280,'Tillförd energi'!$B$1:$AI$720,MATCH(T$1,'Tillförd energi'!$B$1:$AQ$1,0),FALSE)</f>
        <v>0</v>
      </c>
      <c r="U280" s="121">
        <f>VLOOKUP($B280,'Tillförd energi'!$B$1:$AI$720,MATCH(U$1,'Tillförd energi'!$B$1:$AQ$1,0),FALSE)</f>
        <v>0</v>
      </c>
      <c r="V280" s="121">
        <f>VLOOKUP($B280,'Tillförd energi'!$B$1:$AI$720,MATCH(V$1,'Tillförd energi'!$B$1:$AQ$1,0),FALSE)</f>
        <v>0</v>
      </c>
      <c r="W280" s="121">
        <f>VLOOKUP($B280,'Tillförd energi'!$B$1:$AI$720,MATCH(W$1,'Tillförd energi'!$B$1:$AQ$1,0),FALSE)</f>
        <v>0</v>
      </c>
      <c r="X280" s="121">
        <f>VLOOKUP($B280,'Tillförd energi'!$B$1:$AI$720,MATCH(X$1,'Tillförd energi'!$B$1:$AQ$1,0),FALSE)</f>
        <v>0</v>
      </c>
      <c r="Y280" s="121">
        <f>VLOOKUP($B280,'Tillförd energi'!$B$1:$AI$720,MATCH(Y$1,'Tillförd energi'!$B$1:$AQ$1,0),FALSE)</f>
        <v>0</v>
      </c>
      <c r="Z280" s="121">
        <f>VLOOKUP($B280,'Tillförd energi'!$B$1:$AI$720,MATCH(Z$1,'Tillförd energi'!$B$1:$AQ$1,0),FALSE)</f>
        <v>0</v>
      </c>
      <c r="AA280" s="121">
        <f>VLOOKUP($B280,'Tillförd energi'!$B$1:$AI$720,MATCH(AA$1,'Tillförd energi'!$B$1:$AQ$1,0),FALSE)</f>
        <v>0</v>
      </c>
      <c r="AB280" s="121">
        <f>VLOOKUP($B280,'Tillförd energi'!$B$1:$AI$720,MATCH(AB$1,'Tillförd energi'!$B$1:$AQ$1,0),FALSE)</f>
        <v>0</v>
      </c>
      <c r="AC280" s="121">
        <f>VLOOKUP($B280,'Tillförd energi'!$B$1:$AI$720,MATCH(AC$1,'Tillförd energi'!$B$1:$AQ$1,0),FALSE)</f>
        <v>0</v>
      </c>
      <c r="AD280" s="121">
        <f>VLOOKUP($B280,'Tillförd energi'!$B$1:$AI$720,MATCH(AD$1,'Tillförd energi'!$B$1:$AQ$1,0),FALSE)</f>
        <v>0</v>
      </c>
      <c r="AE280" s="121">
        <f>VLOOKUP($B280,'Tillförd energi'!$B$1:$AI$720,MATCH(AE$1,'Tillförd energi'!$B$1:$AQ$1,0),FALSE)</f>
        <v>0</v>
      </c>
      <c r="AF280" s="121">
        <f>VLOOKUP($B280,'Tillförd energi'!$B$1:$AI$720,MATCH(AF$1,'Tillförd energi'!$B$1:$AQ$1,0),FALSE)</f>
        <v>0</v>
      </c>
      <c r="AG280" s="121">
        <f>IFERROR(VLOOKUP(B280,Miljö!$B$1:$AC$550,MATCH("Köpt mängd produktionsspecifik fjärrvärme:",Miljö!$B$1:$AC$1,0),FALSE)/1,0)</f>
        <v>0</v>
      </c>
      <c r="AH280" s="121"/>
      <c r="AI280" s="121">
        <f t="shared" si="110"/>
        <v>0</v>
      </c>
      <c r="AJ280" s="121">
        <f t="shared" si="111"/>
        <v>0</v>
      </c>
      <c r="AK280" s="121" t="str">
        <f>IF(ISERROR(1/VLOOKUP($B280,Leveranser!$B$1:$S$499,MATCH("såld värme (gwh)",Leveranser!$B$1:$S$1,0),FALSE)),"",VLOOKUP($B280,Leveranser!$B$1:$S$499,MATCH("såld värme (gwh)",Leveranser!$B$1:$S$1,0),FALSE))</f>
        <v/>
      </c>
      <c r="AL280" s="121">
        <f>VLOOKUP($B280,Leveranser!$B$1:$Y$499,MATCH("Totalt såld fjärrvärme till andra fjärrvärmeföretag",Leveranser!$B$1:$AA$1,0),FALSE)</f>
        <v>0</v>
      </c>
      <c r="AM280" s="121">
        <f>IF(ISERROR(1/VLOOKUP($B280,Miljö!$B$1:$S$500,MATCH("Såld mängd produktionsspecifik fjärrvärme (GWh)",Miljö!$B$1:$R$1,0),FALSE)),0,VLOOKUP($B280,Miljö!$B$1:$S$500,MATCH("Såld mängd produktionsspecifik fjärrvärme (GWh)",Miljö!$B$1:$R$1,0),FALSE))</f>
        <v>0</v>
      </c>
      <c r="AN280" s="172" t="str">
        <f t="shared" si="112"/>
        <v/>
      </c>
      <c r="AO280" s="121"/>
      <c r="AP280" s="121" t="str">
        <f>IFERROR(VLOOKUP($B280,Miljövärden!$B$2:$H$550,7,FALSE),"Nej, saknas")</f>
        <v>Nej</v>
      </c>
      <c r="AQ280" s="121" t="str">
        <f>IFERROR(VLOOKUP($B280,Miljövärden!$B$2:$H$550,6,FALSE),"Nej, saknas")</f>
        <v>Nej</v>
      </c>
      <c r="AU280">
        <f t="shared" si="113"/>
        <v>0</v>
      </c>
      <c r="AV280">
        <f t="shared" si="114"/>
        <v>0</v>
      </c>
      <c r="AW280">
        <f t="shared" si="115"/>
        <v>0</v>
      </c>
      <c r="AX280">
        <f t="shared" si="116"/>
        <v>0</v>
      </c>
      <c r="AZ280">
        <f t="shared" si="117"/>
        <v>0</v>
      </c>
      <c r="BC280">
        <f t="shared" si="118"/>
        <v>0</v>
      </c>
      <c r="BD280">
        <f t="shared" si="119"/>
        <v>0</v>
      </c>
      <c r="BE280">
        <f t="shared" si="120"/>
        <v>0</v>
      </c>
      <c r="BF280">
        <f t="shared" si="121"/>
        <v>0</v>
      </c>
      <c r="BG280">
        <f t="shared" si="122"/>
        <v>0</v>
      </c>
      <c r="BH280" t="str">
        <f>VLOOKUP(B280,Miljö!$B$1:$BX$482,MATCH("Fossilandel för ursprungspecificerad el ()",Miljö!$B$1:$I$1,0),FALSE)</f>
        <v>-</v>
      </c>
      <c r="BI280" t="str">
        <f>VLOOKUP(B280,Miljö!$B$1:$BX$482,MATCH("Kärnkraftsandel för ursprungsspecificerad el ()",Miljö!$B$1:$O$1,0),FALSE)</f>
        <v>-</v>
      </c>
      <c r="BJ280">
        <f t="shared" si="123"/>
        <v>0</v>
      </c>
      <c r="BK280" t="str">
        <f>VLOOKUP(B280,Miljö!$B$1:$O$482,MATCH("Fossil andel i procent (%)",Miljö!$B$1:$O$1,0),FALSE)</f>
        <v>-</v>
      </c>
      <c r="BL280">
        <f t="shared" si="124"/>
        <v>0</v>
      </c>
      <c r="BO280" s="18" t="str">
        <f t="shared" si="125"/>
        <v/>
      </c>
      <c r="BP280" s="18" t="str">
        <f t="shared" si="126"/>
        <v/>
      </c>
      <c r="BQ280" s="18" t="str">
        <f t="shared" si="127"/>
        <v/>
      </c>
      <c r="BR280" s="18" t="str">
        <f t="shared" si="128"/>
        <v/>
      </c>
      <c r="BT280" s="27">
        <f t="shared" si="129"/>
        <v>0</v>
      </c>
      <c r="BW280" s="18" t="str">
        <f>IF(AP280="ja",VLOOKUP(B280,Miljövärden!$B$2:$H$550,MATCH("Total andel fossilt",Miljövärden!$B$2:$H$2,0),FALSE),"")</f>
        <v/>
      </c>
      <c r="BZ280" s="28" t="str">
        <f t="shared" si="130"/>
        <v/>
      </c>
      <c r="CA280" s="28" t="str">
        <f t="shared" si="131"/>
        <v/>
      </c>
    </row>
    <row r="281" spans="1:79" x14ac:dyDescent="0.25">
      <c r="A281" s="224" t="s">
        <v>573</v>
      </c>
      <c r="B281" s="210" t="s">
        <v>582</v>
      </c>
      <c r="C281" s="121">
        <f>VLOOKUP($B281,'Tillförd energi'!$B$1:$AI$720,MATCH(C$1,'Tillförd energi'!$B$1:$AQ$1,0),FALSE)</f>
        <v>0</v>
      </c>
      <c r="D281" s="121">
        <f>VLOOKUP($B281,'Tillförd energi'!$B$1:$AI$720,MATCH(D$1,'Tillförd energi'!$B$1:$AQ$1,0),FALSE)</f>
        <v>0</v>
      </c>
      <c r="E281" s="121">
        <f>VLOOKUP($B281,'Tillförd energi'!$B$1:$AI$720,MATCH(E$1,'Tillförd energi'!$B$1:$AQ$1,0),FALSE)</f>
        <v>0</v>
      </c>
      <c r="F281" s="121">
        <f>VLOOKUP($B281,'Tillförd energi'!$B$1:$AI$720,MATCH(F$1,'Tillförd energi'!$B$1:$AQ$1,0),FALSE)</f>
        <v>0</v>
      </c>
      <c r="G281" s="121">
        <f>VLOOKUP($B281,'Tillförd energi'!$B$1:$AI$720,MATCH(G$1,'Tillförd energi'!$B$1:$AQ$1,0),FALSE)</f>
        <v>0</v>
      </c>
      <c r="H281" s="121">
        <f>VLOOKUP($B281,'Tillförd energi'!$B$1:$AI$720,MATCH(H$1,'Tillförd energi'!$B$1:$AQ$1,0),FALSE)</f>
        <v>0</v>
      </c>
      <c r="I281" s="121">
        <f>VLOOKUP($B281,'Tillförd energi'!$B$1:$AI$720,MATCH(I$1,'Tillförd energi'!$B$1:$AQ$1,0),FALSE)</f>
        <v>0</v>
      </c>
      <c r="J281" s="121">
        <f>VLOOKUP($B281,'Tillförd energi'!$B$1:$AI$720,MATCH(J$1,'Tillförd energi'!$B$1:$AQ$1,0),FALSE)</f>
        <v>0</v>
      </c>
      <c r="K281" s="121">
        <f>VLOOKUP($B281,'Tillförd energi'!$B$1:$AI$720,MATCH(K$1,'Tillförd energi'!$B$1:$AQ$1,0),FALSE)</f>
        <v>0</v>
      </c>
      <c r="L281" s="121">
        <f>VLOOKUP($B281,'Tillförd energi'!$B$1:$AI$720,MATCH(L$1,'Tillförd energi'!$B$1:$AQ$1,0),FALSE)</f>
        <v>0</v>
      </c>
      <c r="M281" s="121">
        <f>VLOOKUP($B281,'Tillförd energi'!$B$1:$AI$720,MATCH(M$1,'Tillförd energi'!$B$1:$AQ$1,0),FALSE)</f>
        <v>0</v>
      </c>
      <c r="N281" s="121">
        <f>VLOOKUP($B281,'Tillförd energi'!$B$1:$AI$720,MATCH(N$1,'Tillförd energi'!$B$1:$AQ$1,0),FALSE)</f>
        <v>0</v>
      </c>
      <c r="O281" s="121">
        <f>VLOOKUP($B281,'Tillförd energi'!$B$1:$AI$720,MATCH(O$1,'Tillförd energi'!$B$1:$AQ$1,0),FALSE)</f>
        <v>0</v>
      </c>
      <c r="P281" s="121">
        <f>VLOOKUP($B281,'Tillförd energi'!$B$1:$AI$720,MATCH(P$1,'Tillförd energi'!$B$1:$AQ$1,0),FALSE)</f>
        <v>0</v>
      </c>
      <c r="Q281" s="121">
        <f>VLOOKUP($B281,'Tillförd energi'!$B$1:$AI$720,MATCH(Q$1,'Tillförd energi'!$B$1:$AQ$1,0),FALSE)</f>
        <v>0</v>
      </c>
      <c r="R281" s="121">
        <f>VLOOKUP($B281,'Tillförd energi'!$B$1:$AI$720,MATCH(R$1,'Tillförd energi'!$B$1:$AQ$1,0),FALSE)</f>
        <v>0</v>
      </c>
      <c r="S281" s="121">
        <f>VLOOKUP($B281,'Tillförd energi'!$B$1:$AI$720,MATCH(S$1,'Tillförd energi'!$B$1:$AQ$1,0),FALSE)</f>
        <v>0</v>
      </c>
      <c r="T281" s="121">
        <f>VLOOKUP($B281,'Tillförd energi'!$B$1:$AI$720,MATCH(T$1,'Tillförd energi'!$B$1:$AQ$1,0),FALSE)</f>
        <v>0</v>
      </c>
      <c r="U281" s="121">
        <f>VLOOKUP($B281,'Tillförd energi'!$B$1:$AI$720,MATCH(U$1,'Tillförd energi'!$B$1:$AQ$1,0),FALSE)</f>
        <v>0</v>
      </c>
      <c r="V281" s="121">
        <f>VLOOKUP($B281,'Tillförd energi'!$B$1:$AI$720,MATCH(V$1,'Tillförd energi'!$B$1:$AQ$1,0),FALSE)</f>
        <v>0</v>
      </c>
      <c r="W281" s="121">
        <f>VLOOKUP($B281,'Tillförd energi'!$B$1:$AI$720,MATCH(W$1,'Tillförd energi'!$B$1:$AQ$1,0),FALSE)</f>
        <v>0</v>
      </c>
      <c r="X281" s="121">
        <f>VLOOKUP($B281,'Tillförd energi'!$B$1:$AI$720,MATCH(X$1,'Tillförd energi'!$B$1:$AQ$1,0),FALSE)</f>
        <v>0</v>
      </c>
      <c r="Y281" s="121">
        <f>VLOOKUP($B281,'Tillförd energi'!$B$1:$AI$720,MATCH(Y$1,'Tillförd energi'!$B$1:$AQ$1,0),FALSE)</f>
        <v>0</v>
      </c>
      <c r="Z281" s="121">
        <f>VLOOKUP($B281,'Tillförd energi'!$B$1:$AI$720,MATCH(Z$1,'Tillförd energi'!$B$1:$AQ$1,0),FALSE)</f>
        <v>0</v>
      </c>
      <c r="AA281" s="121">
        <f>VLOOKUP($B281,'Tillförd energi'!$B$1:$AI$720,MATCH(AA$1,'Tillförd energi'!$B$1:$AQ$1,0),FALSE)</f>
        <v>0</v>
      </c>
      <c r="AB281" s="121">
        <f>VLOOKUP($B281,'Tillförd energi'!$B$1:$AI$720,MATCH(AB$1,'Tillförd energi'!$B$1:$AQ$1,0),FALSE)</f>
        <v>0</v>
      </c>
      <c r="AC281" s="121">
        <f>VLOOKUP($B281,'Tillförd energi'!$B$1:$AI$720,MATCH(AC$1,'Tillförd energi'!$B$1:$AQ$1,0),FALSE)</f>
        <v>0</v>
      </c>
      <c r="AD281" s="121">
        <f>VLOOKUP($B281,'Tillförd energi'!$B$1:$AI$720,MATCH(AD$1,'Tillförd energi'!$B$1:$AQ$1,0),FALSE)</f>
        <v>0</v>
      </c>
      <c r="AE281" s="121">
        <f>VLOOKUP($B281,'Tillförd energi'!$B$1:$AI$720,MATCH(AE$1,'Tillförd energi'!$B$1:$AQ$1,0),FALSE)</f>
        <v>0</v>
      </c>
      <c r="AF281" s="121">
        <f>VLOOKUP($B281,'Tillförd energi'!$B$1:$AI$720,MATCH(AF$1,'Tillförd energi'!$B$1:$AQ$1,0),FALSE)</f>
        <v>0</v>
      </c>
      <c r="AG281" s="121">
        <f>IFERROR(VLOOKUP(B281,Miljö!$B$1:$AC$550,MATCH("Köpt mängd produktionsspecifik fjärrvärme:",Miljö!$B$1:$AC$1,0),FALSE)/1,0)</f>
        <v>0</v>
      </c>
      <c r="AH281" s="121"/>
      <c r="AI281" s="121">
        <f t="shared" si="110"/>
        <v>0</v>
      </c>
      <c r="AJ281" s="121">
        <f t="shared" si="111"/>
        <v>0</v>
      </c>
      <c r="AK281" s="121" t="str">
        <f>IF(ISERROR(1/VLOOKUP($B281,Leveranser!$B$1:$S$499,MATCH("såld värme (gwh)",Leveranser!$B$1:$S$1,0),FALSE)),"",VLOOKUP($B281,Leveranser!$B$1:$S$499,MATCH("såld värme (gwh)",Leveranser!$B$1:$S$1,0),FALSE))</f>
        <v/>
      </c>
      <c r="AL281" s="121">
        <f>VLOOKUP($B281,Leveranser!$B$1:$Y$499,MATCH("Totalt såld fjärrvärme till andra fjärrvärmeföretag",Leveranser!$B$1:$AA$1,0),FALSE)</f>
        <v>0</v>
      </c>
      <c r="AM281" s="121">
        <f>IF(ISERROR(1/VLOOKUP($B281,Miljö!$B$1:$S$500,MATCH("Såld mängd produktionsspecifik fjärrvärme (GWh)",Miljö!$B$1:$R$1,0),FALSE)),0,VLOOKUP($B281,Miljö!$B$1:$S$500,MATCH("Såld mängd produktionsspecifik fjärrvärme (GWh)",Miljö!$B$1:$R$1,0),FALSE))</f>
        <v>0</v>
      </c>
      <c r="AN281" s="172" t="str">
        <f t="shared" si="112"/>
        <v/>
      </c>
      <c r="AO281" s="121"/>
      <c r="AP281" s="121" t="str">
        <f>IFERROR(VLOOKUP($B281,Miljövärden!$B$2:$H$550,7,FALSE),"Nej, saknas")</f>
        <v>Nej</v>
      </c>
      <c r="AQ281" s="121" t="str">
        <f>IFERROR(VLOOKUP($B281,Miljövärden!$B$2:$H$550,6,FALSE),"Nej, saknas")</f>
        <v>Nej</v>
      </c>
      <c r="AU281">
        <f t="shared" si="113"/>
        <v>0</v>
      </c>
      <c r="AV281">
        <f t="shared" si="114"/>
        <v>0</v>
      </c>
      <c r="AW281">
        <f t="shared" si="115"/>
        <v>0</v>
      </c>
      <c r="AX281">
        <f t="shared" si="116"/>
        <v>0</v>
      </c>
      <c r="AZ281">
        <f t="shared" si="117"/>
        <v>0</v>
      </c>
      <c r="BC281">
        <f t="shared" si="118"/>
        <v>0</v>
      </c>
      <c r="BD281">
        <f t="shared" si="119"/>
        <v>0</v>
      </c>
      <c r="BE281">
        <f t="shared" si="120"/>
        <v>0</v>
      </c>
      <c r="BF281">
        <f t="shared" si="121"/>
        <v>0</v>
      </c>
      <c r="BG281">
        <f t="shared" si="122"/>
        <v>0</v>
      </c>
      <c r="BH281" t="str">
        <f>VLOOKUP(B281,Miljö!$B$1:$BX$482,MATCH("Fossilandel för ursprungspecificerad el ()",Miljö!$B$1:$I$1,0),FALSE)</f>
        <v>-</v>
      </c>
      <c r="BI281" t="str">
        <f>VLOOKUP(B281,Miljö!$B$1:$BX$482,MATCH("Kärnkraftsandel för ursprungsspecificerad el ()",Miljö!$B$1:$O$1,0),FALSE)</f>
        <v>-</v>
      </c>
      <c r="BJ281">
        <f t="shared" si="123"/>
        <v>0</v>
      </c>
      <c r="BK281" t="str">
        <f>VLOOKUP(B281,Miljö!$B$1:$O$482,MATCH("Fossil andel i procent (%)",Miljö!$B$1:$O$1,0),FALSE)</f>
        <v>-</v>
      </c>
      <c r="BL281">
        <f t="shared" si="124"/>
        <v>0</v>
      </c>
      <c r="BO281" s="18" t="str">
        <f t="shared" si="125"/>
        <v/>
      </c>
      <c r="BP281" s="18" t="str">
        <f t="shared" si="126"/>
        <v/>
      </c>
      <c r="BQ281" s="18" t="str">
        <f t="shared" si="127"/>
        <v/>
      </c>
      <c r="BR281" s="18" t="str">
        <f t="shared" si="128"/>
        <v/>
      </c>
      <c r="BT281" s="27">
        <f t="shared" si="129"/>
        <v>0</v>
      </c>
      <c r="BW281" s="18" t="str">
        <f>IF(AP281="ja",VLOOKUP(B281,Miljövärden!$B$2:$H$550,MATCH("Total andel fossilt",Miljövärden!$B$2:$H$2,0),FALSE),"")</f>
        <v/>
      </c>
      <c r="BZ281" s="28" t="str">
        <f t="shared" si="130"/>
        <v/>
      </c>
      <c r="CA281" s="28" t="str">
        <f t="shared" si="131"/>
        <v/>
      </c>
    </row>
    <row r="282" spans="1:79" x14ac:dyDescent="0.25">
      <c r="A282" s="224" t="s">
        <v>573</v>
      </c>
      <c r="B282" s="210" t="s">
        <v>583</v>
      </c>
      <c r="C282" s="121">
        <f>VLOOKUP($B282,'Tillförd energi'!$B$1:$AI$720,MATCH(C$1,'Tillförd energi'!$B$1:$AQ$1,0),FALSE)</f>
        <v>0</v>
      </c>
      <c r="D282" s="121">
        <f>VLOOKUP($B282,'Tillförd energi'!$B$1:$AI$720,MATCH(D$1,'Tillförd energi'!$B$1:$AQ$1,0),FALSE)</f>
        <v>0</v>
      </c>
      <c r="E282" s="121">
        <f>VLOOKUP($B282,'Tillförd energi'!$B$1:$AI$720,MATCH(E$1,'Tillförd energi'!$B$1:$AQ$1,0),FALSE)</f>
        <v>0</v>
      </c>
      <c r="F282" s="121">
        <f>VLOOKUP($B282,'Tillförd energi'!$B$1:$AI$720,MATCH(F$1,'Tillförd energi'!$B$1:$AQ$1,0),FALSE)</f>
        <v>0</v>
      </c>
      <c r="G282" s="121">
        <f>VLOOKUP($B282,'Tillförd energi'!$B$1:$AI$720,MATCH(G$1,'Tillförd energi'!$B$1:$AQ$1,0),FALSE)</f>
        <v>0</v>
      </c>
      <c r="H282" s="121">
        <f>VLOOKUP($B282,'Tillförd energi'!$B$1:$AI$720,MATCH(H$1,'Tillförd energi'!$B$1:$AQ$1,0),FALSE)</f>
        <v>0</v>
      </c>
      <c r="I282" s="121">
        <f>VLOOKUP($B282,'Tillförd energi'!$B$1:$AI$720,MATCH(I$1,'Tillförd energi'!$B$1:$AQ$1,0),FALSE)</f>
        <v>0</v>
      </c>
      <c r="J282" s="121">
        <f>VLOOKUP($B282,'Tillförd energi'!$B$1:$AI$720,MATCH(J$1,'Tillförd energi'!$B$1:$AQ$1,0),FALSE)</f>
        <v>0</v>
      </c>
      <c r="K282" s="121">
        <f>VLOOKUP($B282,'Tillförd energi'!$B$1:$AI$720,MATCH(K$1,'Tillförd energi'!$B$1:$AQ$1,0),FALSE)</f>
        <v>0</v>
      </c>
      <c r="L282" s="121">
        <f>VLOOKUP($B282,'Tillförd energi'!$B$1:$AI$720,MATCH(L$1,'Tillförd energi'!$B$1:$AQ$1,0),FALSE)</f>
        <v>0</v>
      </c>
      <c r="M282" s="121">
        <f>VLOOKUP($B282,'Tillförd energi'!$B$1:$AI$720,MATCH(M$1,'Tillförd energi'!$B$1:$AQ$1,0),FALSE)</f>
        <v>0</v>
      </c>
      <c r="N282" s="121">
        <f>VLOOKUP($B282,'Tillförd energi'!$B$1:$AI$720,MATCH(N$1,'Tillförd energi'!$B$1:$AQ$1,0),FALSE)</f>
        <v>0</v>
      </c>
      <c r="O282" s="121">
        <f>VLOOKUP($B282,'Tillförd energi'!$B$1:$AI$720,MATCH(O$1,'Tillförd energi'!$B$1:$AQ$1,0),FALSE)</f>
        <v>0</v>
      </c>
      <c r="P282" s="121">
        <f>VLOOKUP($B282,'Tillförd energi'!$B$1:$AI$720,MATCH(P$1,'Tillförd energi'!$B$1:$AQ$1,0),FALSE)</f>
        <v>0</v>
      </c>
      <c r="Q282" s="121">
        <f>VLOOKUP($B282,'Tillförd energi'!$B$1:$AI$720,MATCH(Q$1,'Tillförd energi'!$B$1:$AQ$1,0),FALSE)</f>
        <v>0</v>
      </c>
      <c r="R282" s="121">
        <f>VLOOKUP($B282,'Tillförd energi'!$B$1:$AI$720,MATCH(R$1,'Tillförd energi'!$B$1:$AQ$1,0),FALSE)</f>
        <v>17.670000000000002</v>
      </c>
      <c r="S282" s="121">
        <f>VLOOKUP($B282,'Tillförd energi'!$B$1:$AI$720,MATCH(S$1,'Tillförd energi'!$B$1:$AQ$1,0),FALSE)</f>
        <v>0</v>
      </c>
      <c r="T282" s="121">
        <f>VLOOKUP($B282,'Tillförd energi'!$B$1:$AI$720,MATCH(T$1,'Tillförd energi'!$B$1:$AQ$1,0),FALSE)</f>
        <v>0</v>
      </c>
      <c r="U282" s="121">
        <f>VLOOKUP($B282,'Tillförd energi'!$B$1:$AI$720,MATCH(U$1,'Tillförd energi'!$B$1:$AQ$1,0),FALSE)</f>
        <v>0</v>
      </c>
      <c r="V282" s="121">
        <f>VLOOKUP($B282,'Tillförd energi'!$B$1:$AI$720,MATCH(V$1,'Tillförd energi'!$B$1:$AQ$1,0),FALSE)</f>
        <v>0</v>
      </c>
      <c r="W282" s="121">
        <f>VLOOKUP($B282,'Tillförd energi'!$B$1:$AI$720,MATCH(W$1,'Tillförd energi'!$B$1:$AQ$1,0),FALSE)</f>
        <v>30.751000000000001</v>
      </c>
      <c r="X282" s="121">
        <f>VLOOKUP($B282,'Tillförd energi'!$B$1:$AI$720,MATCH(X$1,'Tillförd energi'!$B$1:$AQ$1,0),FALSE)</f>
        <v>0</v>
      </c>
      <c r="Y282" s="121">
        <f>VLOOKUP($B282,'Tillförd energi'!$B$1:$AI$720,MATCH(Y$1,'Tillförd energi'!$B$1:$AQ$1,0),FALSE)</f>
        <v>0</v>
      </c>
      <c r="Z282" s="121">
        <f>VLOOKUP($B282,'Tillförd energi'!$B$1:$AI$720,MATCH(Z$1,'Tillförd energi'!$B$1:$AQ$1,0),FALSE)</f>
        <v>5.5650000000000004</v>
      </c>
      <c r="AA282" s="121">
        <f>VLOOKUP($B282,'Tillförd energi'!$B$1:$AI$720,MATCH(AA$1,'Tillförd energi'!$B$1:$AQ$1,0),FALSE)</f>
        <v>6.41</v>
      </c>
      <c r="AB282" s="121">
        <f>VLOOKUP($B282,'Tillförd energi'!$B$1:$AI$720,MATCH(AB$1,'Tillförd energi'!$B$1:$AQ$1,0),FALSE)</f>
        <v>7.8979999999999997</v>
      </c>
      <c r="AC282" s="121">
        <f>VLOOKUP($B282,'Tillförd energi'!$B$1:$AI$720,MATCH(AC$1,'Tillförd energi'!$B$1:$AQ$1,0),FALSE)</f>
        <v>0</v>
      </c>
      <c r="AD282" s="121">
        <f>VLOOKUP($B282,'Tillförd energi'!$B$1:$AI$720,MATCH(AD$1,'Tillförd energi'!$B$1:$AQ$1,0),FALSE)</f>
        <v>0</v>
      </c>
      <c r="AE282" s="121">
        <f>VLOOKUP($B282,'Tillförd energi'!$B$1:$AI$720,MATCH(AE$1,'Tillförd energi'!$B$1:$AQ$1,0),FALSE)</f>
        <v>0</v>
      </c>
      <c r="AF282" s="121">
        <f>VLOOKUP($B282,'Tillförd energi'!$B$1:$AI$720,MATCH(AF$1,'Tillförd energi'!$B$1:$AQ$1,0),FALSE)</f>
        <v>0.91500000000000004</v>
      </c>
      <c r="AG282" s="121">
        <f>IFERROR(VLOOKUP(B282,Miljö!$B$1:$AC$550,MATCH("Köpt mängd produktionsspecifik fjärrvärme:",Miljö!$B$1:$AC$1,0),FALSE)/1,0)</f>
        <v>0</v>
      </c>
      <c r="AH282" s="121"/>
      <c r="AI282" s="121">
        <f t="shared" si="110"/>
        <v>69.209000000000003</v>
      </c>
      <c r="AJ282" s="121">
        <f t="shared" si="111"/>
        <v>69.209000000000003</v>
      </c>
      <c r="AK282" s="121">
        <f>IF(ISERROR(1/VLOOKUP($B282,Leveranser!$B$1:$S$499,MATCH("såld värme (gwh)",Leveranser!$B$1:$S$1,0),FALSE)),"",VLOOKUP($B282,Leveranser!$B$1:$S$499,MATCH("såld värme (gwh)",Leveranser!$B$1:$S$1,0),FALSE))</f>
        <v>62.732999999999997</v>
      </c>
      <c r="AL282" s="121">
        <f>VLOOKUP($B282,Leveranser!$B$1:$Y$499,MATCH("Totalt såld fjärrvärme till andra fjärrvärmeföretag",Leveranser!$B$1:$AA$1,0),FALSE)</f>
        <v>0</v>
      </c>
      <c r="AM282" s="121">
        <f>IF(ISERROR(1/VLOOKUP($B282,Miljö!$B$1:$S$500,MATCH("Såld mängd produktionsspecifik fjärrvärme (GWh)",Miljö!$B$1:$R$1,0),FALSE)),0,VLOOKUP($B282,Miljö!$B$1:$S$500,MATCH("Såld mängd produktionsspecifik fjärrvärme (GWh)",Miljö!$B$1:$R$1,0),FALSE))</f>
        <v>0</v>
      </c>
      <c r="AN282" s="172">
        <f t="shared" si="112"/>
        <v>0.9064283546937536</v>
      </c>
      <c r="AO282" s="121"/>
      <c r="AP282" s="121" t="str">
        <f>IFERROR(VLOOKUP($B282,Miljövärden!$B$2:$H$550,7,FALSE),"Nej, saknas")</f>
        <v>Ja</v>
      </c>
      <c r="AQ282" s="121" t="str">
        <f>IFERROR(VLOOKUP($B282,Miljövärden!$B$2:$H$550,6,FALSE),"Nej, saknas")</f>
        <v>Ja</v>
      </c>
      <c r="AU282">
        <f t="shared" si="113"/>
        <v>12.89</v>
      </c>
      <c r="AV282">
        <f t="shared" si="114"/>
        <v>0</v>
      </c>
      <c r="AW282">
        <f t="shared" si="115"/>
        <v>0</v>
      </c>
      <c r="AX282">
        <f t="shared" si="116"/>
        <v>17.670000000000002</v>
      </c>
      <c r="AZ282">
        <f t="shared" si="117"/>
        <v>48.421000000000006</v>
      </c>
      <c r="BC282">
        <f t="shared" si="118"/>
        <v>0</v>
      </c>
      <c r="BD282">
        <f t="shared" si="119"/>
        <v>0</v>
      </c>
      <c r="BE282">
        <f t="shared" si="120"/>
        <v>48.421000000000006</v>
      </c>
      <c r="BF282">
        <f t="shared" si="121"/>
        <v>7.8979999999999997</v>
      </c>
      <c r="BG282">
        <f t="shared" si="122"/>
        <v>12.89</v>
      </c>
      <c r="BH282">
        <f>VLOOKUP(B282,Miljö!$B$1:$BX$482,MATCH("Fossilandel för ursprungspecificerad el ()",Miljö!$B$1:$I$1,0),FALSE)</f>
        <v>0.42770000000000002</v>
      </c>
      <c r="BI282">
        <f>VLOOKUP(B282,Miljö!$B$1:$BX$482,MATCH("Kärnkraftsandel för ursprungsspecificerad el ()",Miljö!$B$1:$O$1,0),FALSE)</f>
        <v>0.40550000000000003</v>
      </c>
      <c r="BJ282">
        <f t="shared" si="123"/>
        <v>0</v>
      </c>
      <c r="BK282" t="str">
        <f>VLOOKUP(B282,Miljö!$B$1:$O$482,MATCH("Fossil andel i procent (%)",Miljö!$B$1:$O$1,0),FALSE)</f>
        <v>ET</v>
      </c>
      <c r="BL282">
        <f t="shared" si="124"/>
        <v>69.209000000000003</v>
      </c>
      <c r="BO282" s="18">
        <f t="shared" si="125"/>
        <v>7.9658035804591881E-2</v>
      </c>
      <c r="BP282" s="18">
        <f t="shared" si="126"/>
        <v>7.5523342339869098E-2</v>
      </c>
      <c r="BQ282" s="18">
        <f t="shared" si="127"/>
        <v>0.7307005158288663</v>
      </c>
      <c r="BR282" s="18">
        <f t="shared" si="128"/>
        <v>0.11411810602667283</v>
      </c>
      <c r="BT282" s="27">
        <f t="shared" si="129"/>
        <v>1</v>
      </c>
      <c r="BW282" s="18">
        <f>IF(AP282="ja",VLOOKUP(B282,Miljövärden!$B$2:$H$550,MATCH("Total andel fossilt",Miljövärden!$B$2:$H$2,0),FALSE),"")</f>
        <v>7.9658099999999996E-2</v>
      </c>
      <c r="BZ282" s="28">
        <f t="shared" si="130"/>
        <v>6.4195408114309238E-8</v>
      </c>
      <c r="CA282" s="28">
        <f t="shared" si="131"/>
        <v>0</v>
      </c>
    </row>
    <row r="283" spans="1:79" x14ac:dyDescent="0.25">
      <c r="A283" s="224" t="s">
        <v>573</v>
      </c>
      <c r="B283" s="210" t="s">
        <v>584</v>
      </c>
      <c r="C283" s="121">
        <f>VLOOKUP($B283,'Tillförd energi'!$B$1:$AI$720,MATCH(C$1,'Tillförd energi'!$B$1:$AQ$1,0),FALSE)</f>
        <v>0</v>
      </c>
      <c r="D283" s="121">
        <f>VLOOKUP($B283,'Tillförd energi'!$B$1:$AI$720,MATCH(D$1,'Tillförd energi'!$B$1:$AQ$1,0),FALSE)</f>
        <v>0</v>
      </c>
      <c r="E283" s="121">
        <f>VLOOKUP($B283,'Tillförd energi'!$B$1:$AI$720,MATCH(E$1,'Tillförd energi'!$B$1:$AQ$1,0),FALSE)</f>
        <v>0</v>
      </c>
      <c r="F283" s="121">
        <f>VLOOKUP($B283,'Tillförd energi'!$B$1:$AI$720,MATCH(F$1,'Tillförd energi'!$B$1:$AQ$1,0),FALSE)</f>
        <v>0</v>
      </c>
      <c r="G283" s="121">
        <f>VLOOKUP($B283,'Tillförd energi'!$B$1:$AI$720,MATCH(G$1,'Tillförd energi'!$B$1:$AQ$1,0),FALSE)</f>
        <v>0</v>
      </c>
      <c r="H283" s="121">
        <f>VLOOKUP($B283,'Tillförd energi'!$B$1:$AI$720,MATCH(H$1,'Tillförd energi'!$B$1:$AQ$1,0),FALSE)</f>
        <v>0</v>
      </c>
      <c r="I283" s="121">
        <f>VLOOKUP($B283,'Tillförd energi'!$B$1:$AI$720,MATCH(I$1,'Tillförd energi'!$B$1:$AQ$1,0),FALSE)</f>
        <v>0</v>
      </c>
      <c r="J283" s="121">
        <f>VLOOKUP($B283,'Tillförd energi'!$B$1:$AI$720,MATCH(J$1,'Tillförd energi'!$B$1:$AQ$1,0),FALSE)</f>
        <v>0</v>
      </c>
      <c r="K283" s="121">
        <f>VLOOKUP($B283,'Tillförd energi'!$B$1:$AI$720,MATCH(K$1,'Tillförd energi'!$B$1:$AQ$1,0),FALSE)</f>
        <v>0</v>
      </c>
      <c r="L283" s="121">
        <f>VLOOKUP($B283,'Tillförd energi'!$B$1:$AI$720,MATCH(L$1,'Tillförd energi'!$B$1:$AQ$1,0),FALSE)</f>
        <v>0</v>
      </c>
      <c r="M283" s="121">
        <f>VLOOKUP($B283,'Tillförd energi'!$B$1:$AI$720,MATCH(M$1,'Tillförd energi'!$B$1:$AQ$1,0),FALSE)</f>
        <v>0</v>
      </c>
      <c r="N283" s="121">
        <f>VLOOKUP($B283,'Tillförd energi'!$B$1:$AI$720,MATCH(N$1,'Tillförd energi'!$B$1:$AQ$1,0),FALSE)</f>
        <v>0</v>
      </c>
      <c r="O283" s="121">
        <f>VLOOKUP($B283,'Tillförd energi'!$B$1:$AI$720,MATCH(O$1,'Tillförd energi'!$B$1:$AQ$1,0),FALSE)</f>
        <v>0</v>
      </c>
      <c r="P283" s="121">
        <f>VLOOKUP($B283,'Tillförd energi'!$B$1:$AI$720,MATCH(P$1,'Tillförd energi'!$B$1:$AQ$1,0),FALSE)</f>
        <v>0</v>
      </c>
      <c r="Q283" s="121">
        <f>VLOOKUP($B283,'Tillförd energi'!$B$1:$AI$720,MATCH(Q$1,'Tillförd energi'!$B$1:$AQ$1,0),FALSE)</f>
        <v>0</v>
      </c>
      <c r="R283" s="121">
        <f>VLOOKUP($B283,'Tillförd energi'!$B$1:$AI$720,MATCH(R$1,'Tillförd energi'!$B$1:$AQ$1,0),FALSE)</f>
        <v>0</v>
      </c>
      <c r="S283" s="121">
        <f>VLOOKUP($B283,'Tillförd energi'!$B$1:$AI$720,MATCH(S$1,'Tillförd energi'!$B$1:$AQ$1,0),FALSE)</f>
        <v>0</v>
      </c>
      <c r="T283" s="121">
        <f>VLOOKUP($B283,'Tillförd energi'!$B$1:$AI$720,MATCH(T$1,'Tillförd energi'!$B$1:$AQ$1,0),FALSE)</f>
        <v>0</v>
      </c>
      <c r="U283" s="121">
        <f>VLOOKUP($B283,'Tillförd energi'!$B$1:$AI$720,MATCH(U$1,'Tillförd energi'!$B$1:$AQ$1,0),FALSE)</f>
        <v>0</v>
      </c>
      <c r="V283" s="121">
        <f>VLOOKUP($B283,'Tillförd energi'!$B$1:$AI$720,MATCH(V$1,'Tillförd energi'!$B$1:$AQ$1,0),FALSE)</f>
        <v>0</v>
      </c>
      <c r="W283" s="121">
        <f>VLOOKUP($B283,'Tillförd energi'!$B$1:$AI$720,MATCH(W$1,'Tillförd energi'!$B$1:$AQ$1,0),FALSE)</f>
        <v>0</v>
      </c>
      <c r="X283" s="121">
        <f>VLOOKUP($B283,'Tillförd energi'!$B$1:$AI$720,MATCH(X$1,'Tillförd energi'!$B$1:$AQ$1,0),FALSE)</f>
        <v>0</v>
      </c>
      <c r="Y283" s="121">
        <f>VLOOKUP($B283,'Tillförd energi'!$B$1:$AI$720,MATCH(Y$1,'Tillförd energi'!$B$1:$AQ$1,0),FALSE)</f>
        <v>0</v>
      </c>
      <c r="Z283" s="121">
        <f>VLOOKUP($B283,'Tillförd energi'!$B$1:$AI$720,MATCH(Z$1,'Tillförd energi'!$B$1:$AQ$1,0),FALSE)</f>
        <v>0</v>
      </c>
      <c r="AA283" s="121">
        <f>VLOOKUP($B283,'Tillförd energi'!$B$1:$AI$720,MATCH(AA$1,'Tillförd energi'!$B$1:$AQ$1,0),FALSE)</f>
        <v>0</v>
      </c>
      <c r="AB283" s="121">
        <f>VLOOKUP($B283,'Tillförd energi'!$B$1:$AI$720,MATCH(AB$1,'Tillförd energi'!$B$1:$AQ$1,0),FALSE)</f>
        <v>0</v>
      </c>
      <c r="AC283" s="121">
        <f>VLOOKUP($B283,'Tillförd energi'!$B$1:$AI$720,MATCH(AC$1,'Tillförd energi'!$B$1:$AQ$1,0),FALSE)</f>
        <v>0</v>
      </c>
      <c r="AD283" s="121">
        <f>VLOOKUP($B283,'Tillförd energi'!$B$1:$AI$720,MATCH(AD$1,'Tillförd energi'!$B$1:$AQ$1,0),FALSE)</f>
        <v>0</v>
      </c>
      <c r="AE283" s="121">
        <f>VLOOKUP($B283,'Tillförd energi'!$B$1:$AI$720,MATCH(AE$1,'Tillförd energi'!$B$1:$AQ$1,0),FALSE)</f>
        <v>0</v>
      </c>
      <c r="AF283" s="121">
        <f>VLOOKUP($B283,'Tillförd energi'!$B$1:$AI$720,MATCH(AF$1,'Tillförd energi'!$B$1:$AQ$1,0),FALSE)</f>
        <v>0</v>
      </c>
      <c r="AG283" s="121">
        <f>IFERROR(VLOOKUP(B283,Miljö!$B$1:$AC$550,MATCH("Köpt mängd produktionsspecifik fjärrvärme:",Miljö!$B$1:$AC$1,0),FALSE)/1,0)</f>
        <v>0</v>
      </c>
      <c r="AH283" s="121"/>
      <c r="AI283" s="121">
        <f t="shared" si="110"/>
        <v>0</v>
      </c>
      <c r="AJ283" s="121">
        <f t="shared" si="111"/>
        <v>0</v>
      </c>
      <c r="AK283" s="121" t="str">
        <f>IF(ISERROR(1/VLOOKUP($B283,Leveranser!$B$1:$S$499,MATCH("såld värme (gwh)",Leveranser!$B$1:$S$1,0),FALSE)),"",VLOOKUP($B283,Leveranser!$B$1:$S$499,MATCH("såld värme (gwh)",Leveranser!$B$1:$S$1,0),FALSE))</f>
        <v/>
      </c>
      <c r="AL283" s="121">
        <f>VLOOKUP($B283,Leveranser!$B$1:$Y$499,MATCH("Totalt såld fjärrvärme till andra fjärrvärmeföretag",Leveranser!$B$1:$AA$1,0),FALSE)</f>
        <v>0</v>
      </c>
      <c r="AM283" s="121">
        <f>IF(ISERROR(1/VLOOKUP($B283,Miljö!$B$1:$S$500,MATCH("Såld mängd produktionsspecifik fjärrvärme (GWh)",Miljö!$B$1:$R$1,0),FALSE)),0,VLOOKUP($B283,Miljö!$B$1:$S$500,MATCH("Såld mängd produktionsspecifik fjärrvärme (GWh)",Miljö!$B$1:$R$1,0),FALSE))</f>
        <v>0</v>
      </c>
      <c r="AN283" s="172" t="str">
        <f t="shared" si="112"/>
        <v/>
      </c>
      <c r="AO283" s="121"/>
      <c r="AP283" s="121" t="str">
        <f>IFERROR(VLOOKUP($B283,Miljövärden!$B$2:$H$550,7,FALSE),"Nej, saknas")</f>
        <v>Nej</v>
      </c>
      <c r="AQ283" s="121" t="str">
        <f>IFERROR(VLOOKUP($B283,Miljövärden!$B$2:$H$550,6,FALSE),"Nej, saknas")</f>
        <v>Nej</v>
      </c>
      <c r="AU283">
        <f t="shared" si="113"/>
        <v>0</v>
      </c>
      <c r="AV283">
        <f t="shared" si="114"/>
        <v>0</v>
      </c>
      <c r="AW283">
        <f t="shared" si="115"/>
        <v>0</v>
      </c>
      <c r="AX283">
        <f t="shared" si="116"/>
        <v>0</v>
      </c>
      <c r="AZ283">
        <f t="shared" si="117"/>
        <v>0</v>
      </c>
      <c r="BC283">
        <f t="shared" si="118"/>
        <v>0</v>
      </c>
      <c r="BD283">
        <f t="shared" si="119"/>
        <v>0</v>
      </c>
      <c r="BE283">
        <f t="shared" si="120"/>
        <v>0</v>
      </c>
      <c r="BF283">
        <f t="shared" si="121"/>
        <v>0</v>
      </c>
      <c r="BG283">
        <f t="shared" si="122"/>
        <v>0</v>
      </c>
      <c r="BH283" t="str">
        <f>VLOOKUP(B283,Miljö!$B$1:$BX$482,MATCH("Fossilandel för ursprungspecificerad el ()",Miljö!$B$1:$I$1,0),FALSE)</f>
        <v>-</v>
      </c>
      <c r="BI283" t="str">
        <f>VLOOKUP(B283,Miljö!$B$1:$BX$482,MATCH("Kärnkraftsandel för ursprungsspecificerad el ()",Miljö!$B$1:$O$1,0),FALSE)</f>
        <v>-</v>
      </c>
      <c r="BJ283">
        <f t="shared" si="123"/>
        <v>0</v>
      </c>
      <c r="BK283" t="str">
        <f>VLOOKUP(B283,Miljö!$B$1:$O$482,MATCH("Fossil andel i procent (%)",Miljö!$B$1:$O$1,0),FALSE)</f>
        <v>-</v>
      </c>
      <c r="BL283">
        <f t="shared" si="124"/>
        <v>0</v>
      </c>
      <c r="BO283" s="18" t="str">
        <f t="shared" si="125"/>
        <v/>
      </c>
      <c r="BP283" s="18" t="str">
        <f t="shared" si="126"/>
        <v/>
      </c>
      <c r="BQ283" s="18" t="str">
        <f t="shared" si="127"/>
        <v/>
      </c>
      <c r="BR283" s="18" t="str">
        <f t="shared" si="128"/>
        <v/>
      </c>
      <c r="BT283" s="27">
        <f t="shared" si="129"/>
        <v>0</v>
      </c>
      <c r="BW283" s="18" t="str">
        <f>IF(AP283="ja",VLOOKUP(B283,Miljövärden!$B$2:$H$550,MATCH("Total andel fossilt",Miljövärden!$B$2:$H$2,0),FALSE),"")</f>
        <v/>
      </c>
      <c r="BZ283" s="28" t="str">
        <f t="shared" si="130"/>
        <v/>
      </c>
      <c r="CA283" s="28" t="str">
        <f t="shared" si="131"/>
        <v/>
      </c>
    </row>
    <row r="284" spans="1:79" x14ac:dyDescent="0.25">
      <c r="A284" s="224" t="s">
        <v>585</v>
      </c>
      <c r="B284" s="210" t="s">
        <v>586</v>
      </c>
      <c r="C284" s="121">
        <f>VLOOKUP($B284,'Tillförd energi'!$B$1:$AI$720,MATCH(C$1,'Tillförd energi'!$B$1:$AQ$1,0),FALSE)</f>
        <v>0</v>
      </c>
      <c r="D284" s="121">
        <f>VLOOKUP($B284,'Tillförd energi'!$B$1:$AI$720,MATCH(D$1,'Tillförd energi'!$B$1:$AQ$1,0),FALSE)</f>
        <v>0.34599999999999997</v>
      </c>
      <c r="E284" s="121">
        <f>VLOOKUP($B284,'Tillförd energi'!$B$1:$AI$720,MATCH(E$1,'Tillförd energi'!$B$1:$AQ$1,0),FALSE)</f>
        <v>0</v>
      </c>
      <c r="F284" s="121">
        <f>VLOOKUP($B284,'Tillförd energi'!$B$1:$AI$720,MATCH(F$1,'Tillförd energi'!$B$1:$AQ$1,0),FALSE)</f>
        <v>3.9510000000000001</v>
      </c>
      <c r="G284" s="121">
        <f>VLOOKUP($B284,'Tillförd energi'!$B$1:$AI$720,MATCH(G$1,'Tillförd energi'!$B$1:$AQ$1,0),FALSE)</f>
        <v>0</v>
      </c>
      <c r="H284" s="121">
        <f>VLOOKUP($B284,'Tillförd energi'!$B$1:$AI$720,MATCH(H$1,'Tillförd energi'!$B$1:$AQ$1,0),FALSE)</f>
        <v>0</v>
      </c>
      <c r="I284" s="121">
        <f>VLOOKUP($B284,'Tillförd energi'!$B$1:$AI$720,MATCH(I$1,'Tillförd energi'!$B$1:$AQ$1,0),FALSE)</f>
        <v>0</v>
      </c>
      <c r="J284" s="121">
        <f>VLOOKUP($B284,'Tillförd energi'!$B$1:$AI$720,MATCH(J$1,'Tillförd energi'!$B$1:$AQ$1,0),FALSE)</f>
        <v>0</v>
      </c>
      <c r="K284" s="121">
        <f>VLOOKUP($B284,'Tillförd energi'!$B$1:$AI$720,MATCH(K$1,'Tillförd energi'!$B$1:$AQ$1,0),FALSE)</f>
        <v>0</v>
      </c>
      <c r="L284" s="121">
        <f>VLOOKUP($B284,'Tillförd energi'!$B$1:$AI$720,MATCH(L$1,'Tillförd energi'!$B$1:$AQ$1,0),FALSE)</f>
        <v>0</v>
      </c>
      <c r="M284" s="121">
        <f>VLOOKUP($B284,'Tillförd energi'!$B$1:$AI$720,MATCH(M$1,'Tillförd energi'!$B$1:$AQ$1,0),FALSE)</f>
        <v>0</v>
      </c>
      <c r="N284" s="121">
        <f>VLOOKUP($B284,'Tillförd energi'!$B$1:$AI$720,MATCH(N$1,'Tillförd energi'!$B$1:$AQ$1,0),FALSE)</f>
        <v>0</v>
      </c>
      <c r="O284" s="121">
        <f>VLOOKUP($B284,'Tillförd energi'!$B$1:$AI$720,MATCH(O$1,'Tillförd energi'!$B$1:$AQ$1,0),FALSE)</f>
        <v>24.946000000000002</v>
      </c>
      <c r="P284" s="121">
        <f>VLOOKUP($B284,'Tillförd energi'!$B$1:$AI$720,MATCH(P$1,'Tillförd energi'!$B$1:$AQ$1,0),FALSE)</f>
        <v>0</v>
      </c>
      <c r="Q284" s="121">
        <f>VLOOKUP($B284,'Tillförd energi'!$B$1:$AI$720,MATCH(Q$1,'Tillförd energi'!$B$1:$AQ$1,0),FALSE)</f>
        <v>0</v>
      </c>
      <c r="R284" s="121">
        <f>VLOOKUP($B284,'Tillförd energi'!$B$1:$AI$720,MATCH(R$1,'Tillförd energi'!$B$1:$AQ$1,0),FALSE)</f>
        <v>0</v>
      </c>
      <c r="S284" s="121">
        <f>VLOOKUP($B284,'Tillförd energi'!$B$1:$AI$720,MATCH(S$1,'Tillförd energi'!$B$1:$AQ$1,0),FALSE)</f>
        <v>0</v>
      </c>
      <c r="T284" s="121">
        <f>VLOOKUP($B284,'Tillförd energi'!$B$1:$AI$720,MATCH(T$1,'Tillförd energi'!$B$1:$AQ$1,0),FALSE)</f>
        <v>0</v>
      </c>
      <c r="U284" s="121">
        <f>VLOOKUP($B284,'Tillförd energi'!$B$1:$AI$720,MATCH(U$1,'Tillförd energi'!$B$1:$AQ$1,0),FALSE)</f>
        <v>0</v>
      </c>
      <c r="V284" s="121">
        <f>VLOOKUP($B284,'Tillförd energi'!$B$1:$AI$720,MATCH(V$1,'Tillförd energi'!$B$1:$AQ$1,0),FALSE)</f>
        <v>0</v>
      </c>
      <c r="W284" s="121">
        <f>VLOOKUP($B284,'Tillförd energi'!$B$1:$AI$720,MATCH(W$1,'Tillförd energi'!$B$1:$AQ$1,0),FALSE)</f>
        <v>0</v>
      </c>
      <c r="X284" s="121">
        <f>VLOOKUP($B284,'Tillförd energi'!$B$1:$AI$720,MATCH(X$1,'Tillförd energi'!$B$1:$AQ$1,0),FALSE)</f>
        <v>0</v>
      </c>
      <c r="Y284" s="121">
        <f>VLOOKUP($B284,'Tillförd energi'!$B$1:$AI$720,MATCH(Y$1,'Tillförd energi'!$B$1:$AQ$1,0),FALSE)</f>
        <v>0</v>
      </c>
      <c r="Z284" s="121">
        <f>VLOOKUP($B284,'Tillförd energi'!$B$1:$AI$720,MATCH(Z$1,'Tillförd energi'!$B$1:$AQ$1,0),FALSE)</f>
        <v>0</v>
      </c>
      <c r="AA284" s="121">
        <f>VLOOKUP($B284,'Tillförd energi'!$B$1:$AI$720,MATCH(AA$1,'Tillförd energi'!$B$1:$AQ$1,0),FALSE)</f>
        <v>0</v>
      </c>
      <c r="AB284" s="121">
        <f>VLOOKUP($B284,'Tillförd energi'!$B$1:$AI$720,MATCH(AB$1,'Tillförd energi'!$B$1:$AQ$1,0),FALSE)</f>
        <v>0</v>
      </c>
      <c r="AC284" s="121">
        <f>VLOOKUP($B284,'Tillförd energi'!$B$1:$AI$720,MATCH(AC$1,'Tillförd energi'!$B$1:$AQ$1,0),FALSE)</f>
        <v>4.1859999999999999</v>
      </c>
      <c r="AD284" s="121">
        <f>VLOOKUP($B284,'Tillförd energi'!$B$1:$AI$720,MATCH(AD$1,'Tillförd energi'!$B$1:$AQ$1,0),FALSE)</f>
        <v>0</v>
      </c>
      <c r="AE284" s="121">
        <f>VLOOKUP($B284,'Tillförd energi'!$B$1:$AI$720,MATCH(AE$1,'Tillförd energi'!$B$1:$AQ$1,0),FALSE)</f>
        <v>0</v>
      </c>
      <c r="AF284" s="121">
        <f>VLOOKUP($B284,'Tillförd energi'!$B$1:$AI$720,MATCH(AF$1,'Tillförd energi'!$B$1:$AQ$1,0),FALSE)</f>
        <v>0.83499999999999996</v>
      </c>
      <c r="AG284" s="121">
        <f>IFERROR(VLOOKUP(B284,Miljö!$B$1:$AC$550,MATCH("Köpt mängd produktionsspecifik fjärrvärme:",Miljö!$B$1:$AC$1,0),FALSE)/1,0)</f>
        <v>0</v>
      </c>
      <c r="AH284" s="121"/>
      <c r="AI284" s="121">
        <f t="shared" si="110"/>
        <v>34.264000000000003</v>
      </c>
      <c r="AJ284" s="121">
        <f t="shared" si="111"/>
        <v>34.264000000000003</v>
      </c>
      <c r="AK284" s="121">
        <f>IF(ISERROR(1/VLOOKUP($B284,Leveranser!$B$1:$S$499,MATCH("såld värme (gwh)",Leveranser!$B$1:$S$1,0),FALSE)),"",VLOOKUP($B284,Leveranser!$B$1:$S$499,MATCH("såld värme (gwh)",Leveranser!$B$1:$S$1,0),FALSE))</f>
        <v>22.38</v>
      </c>
      <c r="AL284" s="121">
        <f>VLOOKUP($B284,Leveranser!$B$1:$Y$499,MATCH("Totalt såld fjärrvärme till andra fjärrvärmeföretag",Leveranser!$B$1:$AA$1,0),FALSE)</f>
        <v>0</v>
      </c>
      <c r="AM284" s="121">
        <f>IF(ISERROR(1/VLOOKUP($B284,Miljö!$B$1:$S$500,MATCH("Såld mängd produktionsspecifik fjärrvärme (GWh)",Miljö!$B$1:$R$1,0),FALSE)),0,VLOOKUP($B284,Miljö!$B$1:$S$500,MATCH("Såld mängd produktionsspecifik fjärrvärme (GWh)",Miljö!$B$1:$R$1,0),FALSE))</f>
        <v>0</v>
      </c>
      <c r="AN284" s="172">
        <f t="shared" si="112"/>
        <v>0.65316367032453881</v>
      </c>
      <c r="AO284" s="121"/>
      <c r="AP284" s="121" t="str">
        <f>IFERROR(VLOOKUP($B284,Miljövärden!$B$2:$H$550,7,FALSE),"Nej, saknas")</f>
        <v>Ja</v>
      </c>
      <c r="AQ284" s="121" t="str">
        <f>IFERROR(VLOOKUP($B284,Miljövärden!$B$2:$H$550,6,FALSE),"Nej, saknas")</f>
        <v>Nej</v>
      </c>
      <c r="AU284">
        <f t="shared" si="113"/>
        <v>0.83499999999999996</v>
      </c>
      <c r="AV284">
        <f t="shared" si="114"/>
        <v>0</v>
      </c>
      <c r="AW284">
        <f t="shared" si="115"/>
        <v>24.946000000000002</v>
      </c>
      <c r="AX284">
        <f t="shared" si="116"/>
        <v>0</v>
      </c>
      <c r="AZ284">
        <f t="shared" si="117"/>
        <v>24.946000000000002</v>
      </c>
      <c r="BC284">
        <f t="shared" si="118"/>
        <v>4.2969999999999997</v>
      </c>
      <c r="BD284">
        <f t="shared" si="119"/>
        <v>0</v>
      </c>
      <c r="BE284">
        <f t="shared" si="120"/>
        <v>24.946000000000002</v>
      </c>
      <c r="BF284">
        <f t="shared" si="121"/>
        <v>4.1859999999999999</v>
      </c>
      <c r="BG284">
        <f t="shared" si="122"/>
        <v>0.83499999999999996</v>
      </c>
      <c r="BH284">
        <f>VLOOKUP(B284,Miljö!$B$1:$BX$482,MATCH("Fossilandel för ursprungspecificerad el ()",Miljö!$B$1:$I$1,0),FALSE)</f>
        <v>0.43</v>
      </c>
      <c r="BI284">
        <f>VLOOKUP(B284,Miljö!$B$1:$BX$482,MATCH("Kärnkraftsandel för ursprungsspecificerad el ()",Miljö!$B$1:$O$1,0),FALSE)</f>
        <v>0.40550000000000003</v>
      </c>
      <c r="BJ284">
        <f t="shared" si="123"/>
        <v>0</v>
      </c>
      <c r="BK284" t="str">
        <f>VLOOKUP(B284,Miljö!$B$1:$O$482,MATCH("Fossil andel i procent (%)",Miljö!$B$1:$O$1,0),FALSE)</f>
        <v>ET</v>
      </c>
      <c r="BL284">
        <f t="shared" si="124"/>
        <v>34.264000000000003</v>
      </c>
      <c r="BO284" s="18">
        <f t="shared" si="125"/>
        <v>0.13588752042960539</v>
      </c>
      <c r="BP284" s="18">
        <f t="shared" si="126"/>
        <v>9.8818731029652104E-3</v>
      </c>
      <c r="BQ284" s="18">
        <f t="shared" si="127"/>
        <v>0.73206156607518091</v>
      </c>
      <c r="BR284" s="18">
        <f t="shared" si="128"/>
        <v>0.12216904039224841</v>
      </c>
      <c r="BT284" s="27">
        <f t="shared" si="129"/>
        <v>0.99999999999999989</v>
      </c>
      <c r="BW284" s="18">
        <f>IF(AP284="ja",VLOOKUP(B284,Miljövärden!$B$2:$H$550,MATCH("Total andel fossilt",Miljövärden!$B$2:$H$2,0),FALSE),"")</f>
        <v>0.13588800000000001</v>
      </c>
      <c r="BZ284" s="28">
        <f t="shared" si="130"/>
        <v>4.7957039461810069E-7</v>
      </c>
      <c r="CA284" s="28">
        <f t="shared" si="131"/>
        <v>0</v>
      </c>
    </row>
    <row r="285" spans="1:79" x14ac:dyDescent="0.25">
      <c r="A285" s="224" t="s">
        <v>585</v>
      </c>
      <c r="B285" s="210" t="s">
        <v>587</v>
      </c>
      <c r="C285" s="121">
        <f>VLOOKUP($B285,'Tillförd energi'!$B$1:$AI$720,MATCH(C$1,'Tillförd energi'!$B$1:$AQ$1,0),FALSE)</f>
        <v>0</v>
      </c>
      <c r="D285" s="121">
        <f>VLOOKUP($B285,'Tillförd energi'!$B$1:$AI$720,MATCH(D$1,'Tillförd energi'!$B$1:$AQ$1,0),FALSE)</f>
        <v>0.51300000000000001</v>
      </c>
      <c r="E285" s="121">
        <f>VLOOKUP($B285,'Tillförd energi'!$B$1:$AI$720,MATCH(E$1,'Tillförd energi'!$B$1:$AQ$1,0),FALSE)</f>
        <v>0</v>
      </c>
      <c r="F285" s="121">
        <f>VLOOKUP($B285,'Tillförd energi'!$B$1:$AI$720,MATCH(F$1,'Tillförd energi'!$B$1:$AQ$1,0),FALSE)</f>
        <v>0</v>
      </c>
      <c r="G285" s="121">
        <f>VLOOKUP($B285,'Tillförd energi'!$B$1:$AI$720,MATCH(G$1,'Tillförd energi'!$B$1:$AQ$1,0),FALSE)</f>
        <v>0</v>
      </c>
      <c r="H285" s="121">
        <f>VLOOKUP($B285,'Tillförd energi'!$B$1:$AI$720,MATCH(H$1,'Tillförd energi'!$B$1:$AQ$1,0),FALSE)</f>
        <v>0</v>
      </c>
      <c r="I285" s="121">
        <f>VLOOKUP($B285,'Tillförd energi'!$B$1:$AI$720,MATCH(I$1,'Tillförd energi'!$B$1:$AQ$1,0),FALSE)</f>
        <v>0</v>
      </c>
      <c r="J285" s="121">
        <f>VLOOKUP($B285,'Tillförd energi'!$B$1:$AI$720,MATCH(J$1,'Tillförd energi'!$B$1:$AQ$1,0),FALSE)</f>
        <v>0</v>
      </c>
      <c r="K285" s="121">
        <f>VLOOKUP($B285,'Tillförd energi'!$B$1:$AI$720,MATCH(K$1,'Tillförd energi'!$B$1:$AQ$1,0),FALSE)</f>
        <v>0</v>
      </c>
      <c r="L285" s="121">
        <f>VLOOKUP($B285,'Tillförd energi'!$B$1:$AI$720,MATCH(L$1,'Tillförd energi'!$B$1:$AQ$1,0),FALSE)</f>
        <v>0</v>
      </c>
      <c r="M285" s="121">
        <f>VLOOKUP($B285,'Tillförd energi'!$B$1:$AI$720,MATCH(M$1,'Tillförd energi'!$B$1:$AQ$1,0),FALSE)</f>
        <v>0</v>
      </c>
      <c r="N285" s="121">
        <f>VLOOKUP($B285,'Tillförd energi'!$B$1:$AI$720,MATCH(N$1,'Tillförd energi'!$B$1:$AQ$1,0),FALSE)</f>
        <v>0</v>
      </c>
      <c r="O285" s="121">
        <f>VLOOKUP($B285,'Tillförd energi'!$B$1:$AI$720,MATCH(O$1,'Tillförd energi'!$B$1:$AQ$1,0),FALSE)</f>
        <v>0</v>
      </c>
      <c r="P285" s="121">
        <f>VLOOKUP($B285,'Tillförd energi'!$B$1:$AI$720,MATCH(P$1,'Tillförd energi'!$B$1:$AQ$1,0),FALSE)</f>
        <v>15.426</v>
      </c>
      <c r="Q285" s="121">
        <f>VLOOKUP($B285,'Tillförd energi'!$B$1:$AI$720,MATCH(Q$1,'Tillförd energi'!$B$1:$AQ$1,0),FALSE)</f>
        <v>0</v>
      </c>
      <c r="R285" s="121">
        <f>VLOOKUP($B285,'Tillförd energi'!$B$1:$AI$720,MATCH(R$1,'Tillförd energi'!$B$1:$AQ$1,0),FALSE)</f>
        <v>0</v>
      </c>
      <c r="S285" s="121">
        <f>VLOOKUP($B285,'Tillförd energi'!$B$1:$AI$720,MATCH(S$1,'Tillförd energi'!$B$1:$AQ$1,0),FALSE)</f>
        <v>0</v>
      </c>
      <c r="T285" s="121">
        <f>VLOOKUP($B285,'Tillförd energi'!$B$1:$AI$720,MATCH(T$1,'Tillförd energi'!$B$1:$AQ$1,0),FALSE)</f>
        <v>0</v>
      </c>
      <c r="U285" s="121">
        <f>VLOOKUP($B285,'Tillförd energi'!$B$1:$AI$720,MATCH(U$1,'Tillförd energi'!$B$1:$AQ$1,0),FALSE)</f>
        <v>0</v>
      </c>
      <c r="V285" s="121">
        <f>VLOOKUP($B285,'Tillförd energi'!$B$1:$AI$720,MATCH(V$1,'Tillförd energi'!$B$1:$AQ$1,0),FALSE)</f>
        <v>0.90900000000000003</v>
      </c>
      <c r="W285" s="121">
        <f>VLOOKUP($B285,'Tillförd energi'!$B$1:$AI$720,MATCH(W$1,'Tillförd energi'!$B$1:$AQ$1,0),FALSE)</f>
        <v>0</v>
      </c>
      <c r="X285" s="121">
        <f>VLOOKUP($B285,'Tillförd energi'!$B$1:$AI$720,MATCH(X$1,'Tillförd energi'!$B$1:$AQ$1,0),FALSE)</f>
        <v>0</v>
      </c>
      <c r="Y285" s="121">
        <f>VLOOKUP($B285,'Tillförd energi'!$B$1:$AI$720,MATCH(Y$1,'Tillförd energi'!$B$1:$AQ$1,0),FALSE)</f>
        <v>0</v>
      </c>
      <c r="Z285" s="121">
        <f>VLOOKUP($B285,'Tillförd energi'!$B$1:$AI$720,MATCH(Z$1,'Tillförd energi'!$B$1:$AQ$1,0),FALSE)</f>
        <v>0</v>
      </c>
      <c r="AA285" s="121">
        <f>VLOOKUP($B285,'Tillförd energi'!$B$1:$AI$720,MATCH(AA$1,'Tillförd energi'!$B$1:$AQ$1,0),FALSE)</f>
        <v>0</v>
      </c>
      <c r="AB285" s="121">
        <f>VLOOKUP($B285,'Tillförd energi'!$B$1:$AI$720,MATCH(AB$1,'Tillförd energi'!$B$1:$AQ$1,0),FALSE)</f>
        <v>0</v>
      </c>
      <c r="AC285" s="121">
        <f>VLOOKUP($B285,'Tillförd energi'!$B$1:$AI$720,MATCH(AC$1,'Tillförd energi'!$B$1:$AQ$1,0),FALSE)</f>
        <v>1.24</v>
      </c>
      <c r="AD285" s="121">
        <f>VLOOKUP($B285,'Tillförd energi'!$B$1:$AI$720,MATCH(AD$1,'Tillförd energi'!$B$1:$AQ$1,0),FALSE)</f>
        <v>0</v>
      </c>
      <c r="AE285" s="121">
        <f>VLOOKUP($B285,'Tillförd energi'!$B$1:$AI$720,MATCH(AE$1,'Tillförd energi'!$B$1:$AQ$1,0),FALSE)</f>
        <v>0</v>
      </c>
      <c r="AF285" s="121">
        <f>VLOOKUP($B285,'Tillförd energi'!$B$1:$AI$720,MATCH(AF$1,'Tillförd energi'!$B$1:$AQ$1,0),FALSE)</f>
        <v>0.54300000000000004</v>
      </c>
      <c r="AG285" s="121">
        <f>IFERROR(VLOOKUP(B285,Miljö!$B$1:$AC$550,MATCH("Köpt mängd produktionsspecifik fjärrvärme:",Miljö!$B$1:$AC$1,0),FALSE)/1,0)</f>
        <v>0</v>
      </c>
      <c r="AH285" s="121"/>
      <c r="AI285" s="121">
        <f t="shared" si="110"/>
        <v>18.630999999999997</v>
      </c>
      <c r="AJ285" s="121">
        <f t="shared" si="111"/>
        <v>18.630999999999997</v>
      </c>
      <c r="AK285" s="121">
        <f>IF(ISERROR(1/VLOOKUP($B285,Leveranser!$B$1:$S$499,MATCH("såld värme (gwh)",Leveranser!$B$1:$S$1,0),FALSE)),"",VLOOKUP($B285,Leveranser!$B$1:$S$499,MATCH("såld värme (gwh)",Leveranser!$B$1:$S$1,0),FALSE))</f>
        <v>15.986000000000001</v>
      </c>
      <c r="AL285" s="121">
        <f>VLOOKUP($B285,Leveranser!$B$1:$Y$499,MATCH("Totalt såld fjärrvärme till andra fjärrvärmeföretag",Leveranser!$B$1:$AA$1,0),FALSE)</f>
        <v>0</v>
      </c>
      <c r="AM285" s="121">
        <f>IF(ISERROR(1/VLOOKUP($B285,Miljö!$B$1:$S$500,MATCH("Såld mängd produktionsspecifik fjärrvärme (GWh)",Miljö!$B$1:$R$1,0),FALSE)),0,VLOOKUP($B285,Miljö!$B$1:$S$500,MATCH("Såld mängd produktionsspecifik fjärrvärme (GWh)",Miljö!$B$1:$R$1,0),FALSE))</f>
        <v>0</v>
      </c>
      <c r="AN285" s="172">
        <f t="shared" si="112"/>
        <v>0.85803231173850059</v>
      </c>
      <c r="AO285" s="121"/>
      <c r="AP285" s="121" t="str">
        <f>IFERROR(VLOOKUP($B285,Miljövärden!$B$2:$H$550,7,FALSE),"Nej, saknas")</f>
        <v>Ja</v>
      </c>
      <c r="AQ285" s="121" t="str">
        <f>IFERROR(VLOOKUP($B285,Miljövärden!$B$2:$H$550,6,FALSE),"Nej, saknas")</f>
        <v>Nej</v>
      </c>
      <c r="AU285">
        <f t="shared" si="113"/>
        <v>0.54300000000000004</v>
      </c>
      <c r="AV285">
        <f t="shared" si="114"/>
        <v>0</v>
      </c>
      <c r="AW285">
        <f t="shared" si="115"/>
        <v>15.426</v>
      </c>
      <c r="AX285">
        <f t="shared" si="116"/>
        <v>0</v>
      </c>
      <c r="AZ285">
        <f t="shared" si="117"/>
        <v>16.335000000000001</v>
      </c>
      <c r="BC285">
        <f t="shared" si="118"/>
        <v>0.51300000000000001</v>
      </c>
      <c r="BD285">
        <f t="shared" si="119"/>
        <v>0</v>
      </c>
      <c r="BE285">
        <f t="shared" si="120"/>
        <v>16.335000000000001</v>
      </c>
      <c r="BF285">
        <f t="shared" si="121"/>
        <v>1.24</v>
      </c>
      <c r="BG285">
        <f t="shared" si="122"/>
        <v>0.54300000000000004</v>
      </c>
      <c r="BH285">
        <f>VLOOKUP(B285,Miljö!$B$1:$BX$482,MATCH("Fossilandel för ursprungspecificerad el ()",Miljö!$B$1:$I$1,0),FALSE)</f>
        <v>0.43</v>
      </c>
      <c r="BI285">
        <f>VLOOKUP(B285,Miljö!$B$1:$BX$482,MATCH("Kärnkraftsandel för ursprungsspecificerad el ()",Miljö!$B$1:$O$1,0),FALSE)</f>
        <v>0.40550000000000003</v>
      </c>
      <c r="BJ285">
        <f t="shared" si="123"/>
        <v>0</v>
      </c>
      <c r="BK285" t="str">
        <f>VLOOKUP(B285,Miljö!$B$1:$O$482,MATCH("Fossil andel i procent (%)",Miljö!$B$1:$O$1,0),FALSE)</f>
        <v>ET</v>
      </c>
      <c r="BL285">
        <f t="shared" si="124"/>
        <v>18.631</v>
      </c>
      <c r="BO285" s="18">
        <f t="shared" si="125"/>
        <v>4.0067092480274812E-2</v>
      </c>
      <c r="BP285" s="18">
        <f t="shared" si="126"/>
        <v>1.1818286726423705E-2</v>
      </c>
      <c r="BQ285" s="18">
        <f t="shared" si="127"/>
        <v>0.88155888036068919</v>
      </c>
      <c r="BR285" s="18">
        <f t="shared" si="128"/>
        <v>6.6555740432612309E-2</v>
      </c>
      <c r="BT285" s="27">
        <f t="shared" si="129"/>
        <v>1</v>
      </c>
      <c r="BW285" s="18">
        <f>IF(AP285="ja",VLOOKUP(B285,Miljövärden!$B$2:$H$550,MATCH("Total andel fossilt",Miljövärden!$B$2:$H$2,0),FALSE),"")</f>
        <v>4.0067100000000001E-2</v>
      </c>
      <c r="BZ285" s="28">
        <f t="shared" si="130"/>
        <v>7.5197251897529682E-9</v>
      </c>
      <c r="CA285" s="28">
        <f t="shared" si="131"/>
        <v>0</v>
      </c>
    </row>
    <row r="286" spans="1:79" x14ac:dyDescent="0.25">
      <c r="A286" s="224" t="s">
        <v>585</v>
      </c>
      <c r="B286" s="210" t="s">
        <v>588</v>
      </c>
      <c r="C286" s="121">
        <f>VLOOKUP($B286,'Tillförd energi'!$B$1:$AI$720,MATCH(C$1,'Tillförd energi'!$B$1:$AQ$1,0),FALSE)</f>
        <v>0</v>
      </c>
      <c r="D286" s="121">
        <f>VLOOKUP($B286,'Tillförd energi'!$B$1:$AI$720,MATCH(D$1,'Tillförd energi'!$B$1:$AQ$1,0),FALSE)</f>
        <v>4.8259999999999996</v>
      </c>
      <c r="E286" s="121">
        <f>VLOOKUP($B286,'Tillförd energi'!$B$1:$AI$720,MATCH(E$1,'Tillförd energi'!$B$1:$AQ$1,0),FALSE)</f>
        <v>0</v>
      </c>
      <c r="F286" s="121">
        <f>VLOOKUP($B286,'Tillförd energi'!$B$1:$AI$720,MATCH(F$1,'Tillförd energi'!$B$1:$AQ$1,0),FALSE)</f>
        <v>4.1100000000000003</v>
      </c>
      <c r="G286" s="121">
        <f>VLOOKUP($B286,'Tillförd energi'!$B$1:$AI$720,MATCH(G$1,'Tillförd energi'!$B$1:$AQ$1,0),FALSE)</f>
        <v>0</v>
      </c>
      <c r="H286" s="121">
        <f>VLOOKUP($B286,'Tillförd energi'!$B$1:$AI$720,MATCH(H$1,'Tillförd energi'!$B$1:$AQ$1,0),FALSE)</f>
        <v>0</v>
      </c>
      <c r="I286" s="121">
        <f>VLOOKUP($B286,'Tillförd energi'!$B$1:$AI$720,MATCH(I$1,'Tillförd energi'!$B$1:$AQ$1,0),FALSE)</f>
        <v>305.02</v>
      </c>
      <c r="J286" s="121">
        <f>VLOOKUP($B286,'Tillförd energi'!$B$1:$AI$720,MATCH(J$1,'Tillförd energi'!$B$1:$AQ$1,0),FALSE)</f>
        <v>0</v>
      </c>
      <c r="K286" s="121">
        <f>VLOOKUP($B286,'Tillförd energi'!$B$1:$AI$720,MATCH(K$1,'Tillförd energi'!$B$1:$AQ$1,0),FALSE)</f>
        <v>0</v>
      </c>
      <c r="L286" s="121">
        <f>VLOOKUP($B286,'Tillförd energi'!$B$1:$AI$720,MATCH(L$1,'Tillförd energi'!$B$1:$AQ$1,0),FALSE)</f>
        <v>0</v>
      </c>
      <c r="M286" s="121">
        <f>VLOOKUP($B286,'Tillförd energi'!$B$1:$AI$720,MATCH(M$1,'Tillförd energi'!$B$1:$AQ$1,0),FALSE)</f>
        <v>0</v>
      </c>
      <c r="N286" s="121">
        <f>VLOOKUP($B286,'Tillförd energi'!$B$1:$AI$720,MATCH(N$1,'Tillförd energi'!$B$1:$AQ$1,0),FALSE)</f>
        <v>0</v>
      </c>
      <c r="O286" s="121">
        <f>VLOOKUP($B286,'Tillförd energi'!$B$1:$AI$720,MATCH(O$1,'Tillförd energi'!$B$1:$AQ$1,0),FALSE)</f>
        <v>0</v>
      </c>
      <c r="P286" s="121">
        <f>VLOOKUP($B286,'Tillförd energi'!$B$1:$AI$720,MATCH(P$1,'Tillförd energi'!$B$1:$AQ$1,0),FALSE)</f>
        <v>0</v>
      </c>
      <c r="Q286" s="121">
        <f>VLOOKUP($B286,'Tillförd energi'!$B$1:$AI$720,MATCH(Q$1,'Tillförd energi'!$B$1:$AQ$1,0),FALSE)</f>
        <v>2.4892699999999999</v>
      </c>
      <c r="R286" s="121">
        <f>VLOOKUP($B286,'Tillförd energi'!$B$1:$AI$720,MATCH(R$1,'Tillförd energi'!$B$1:$AQ$1,0),FALSE)</f>
        <v>168.76900000000001</v>
      </c>
      <c r="S286" s="121">
        <f>VLOOKUP($B286,'Tillförd energi'!$B$1:$AI$720,MATCH(S$1,'Tillförd energi'!$B$1:$AQ$1,0),FALSE)</f>
        <v>0</v>
      </c>
      <c r="T286" s="121">
        <f>VLOOKUP($B286,'Tillförd energi'!$B$1:$AI$720,MATCH(T$1,'Tillförd energi'!$B$1:$AQ$1,0),FALSE)</f>
        <v>0</v>
      </c>
      <c r="U286" s="121">
        <f>VLOOKUP($B286,'Tillförd energi'!$B$1:$AI$720,MATCH(U$1,'Tillförd energi'!$B$1:$AQ$1,0),FALSE)</f>
        <v>0</v>
      </c>
      <c r="V286" s="121">
        <f>VLOOKUP($B286,'Tillförd energi'!$B$1:$AI$720,MATCH(V$1,'Tillförd energi'!$B$1:$AQ$1,0),FALSE)</f>
        <v>4.9470000000000001</v>
      </c>
      <c r="W286" s="121">
        <f>VLOOKUP($B286,'Tillförd energi'!$B$1:$AI$720,MATCH(W$1,'Tillförd energi'!$B$1:$AQ$1,0),FALSE)</f>
        <v>0</v>
      </c>
      <c r="X286" s="121">
        <f>VLOOKUP($B286,'Tillförd energi'!$B$1:$AI$720,MATCH(X$1,'Tillförd energi'!$B$1:$AQ$1,0),FALSE)</f>
        <v>0</v>
      </c>
      <c r="Y286" s="121">
        <f>VLOOKUP($B286,'Tillförd energi'!$B$1:$AI$720,MATCH(Y$1,'Tillförd energi'!$B$1:$AQ$1,0),FALSE)</f>
        <v>0</v>
      </c>
      <c r="Z286" s="121">
        <f>VLOOKUP($B286,'Tillförd energi'!$B$1:$AI$720,MATCH(Z$1,'Tillförd energi'!$B$1:$AQ$1,0),FALSE)</f>
        <v>1.468</v>
      </c>
      <c r="AA286" s="121">
        <f>VLOOKUP($B286,'Tillförd energi'!$B$1:$AI$720,MATCH(AA$1,'Tillförd energi'!$B$1:$AQ$1,0),FALSE)</f>
        <v>0</v>
      </c>
      <c r="AB286" s="121">
        <f>VLOOKUP($B286,'Tillförd energi'!$B$1:$AI$720,MATCH(AB$1,'Tillförd energi'!$B$1:$AQ$1,0),FALSE)</f>
        <v>0</v>
      </c>
      <c r="AC286" s="121">
        <f>VLOOKUP($B286,'Tillförd energi'!$B$1:$AI$720,MATCH(AC$1,'Tillförd energi'!$B$1:$AQ$1,0),FALSE)</f>
        <v>39.429000000000002</v>
      </c>
      <c r="AD286" s="121">
        <f>VLOOKUP($B286,'Tillförd energi'!$B$1:$AI$720,MATCH(AD$1,'Tillförd energi'!$B$1:$AQ$1,0),FALSE)</f>
        <v>179.76900000000001</v>
      </c>
      <c r="AE286" s="121">
        <f>VLOOKUP($B286,'Tillförd energi'!$B$1:$AI$720,MATCH(AE$1,'Tillförd energi'!$B$1:$AQ$1,0),FALSE)</f>
        <v>0</v>
      </c>
      <c r="AF286" s="121">
        <f>VLOOKUP($B286,'Tillförd energi'!$B$1:$AI$720,MATCH(AF$1,'Tillförd energi'!$B$1:$AQ$1,0),FALSE)</f>
        <v>17.7393</v>
      </c>
      <c r="AG286" s="121">
        <f>IFERROR(VLOOKUP(B286,Miljö!$B$1:$AC$550,MATCH("Köpt mängd produktionsspecifik fjärrvärme:",Miljö!$B$1:$AC$1,0),FALSE)/1,0)</f>
        <v>0</v>
      </c>
      <c r="AH286" s="121"/>
      <c r="AI286" s="121">
        <f t="shared" si="110"/>
        <v>728.56656999999996</v>
      </c>
      <c r="AJ286" s="121">
        <f t="shared" si="111"/>
        <v>728.56656999999996</v>
      </c>
      <c r="AK286" s="121">
        <f>IF(ISERROR(1/VLOOKUP($B286,Leveranser!$B$1:$S$499,MATCH("såld värme (gwh)",Leveranser!$B$1:$S$1,0),FALSE)),"",VLOOKUP($B286,Leveranser!$B$1:$S$499,MATCH("såld värme (gwh)",Leveranser!$B$1:$S$1,0),FALSE))</f>
        <v>549.02499999999998</v>
      </c>
      <c r="AL286" s="121">
        <f>VLOOKUP($B286,Leveranser!$B$1:$Y$499,MATCH("Totalt såld fjärrvärme till andra fjärrvärmeföretag",Leveranser!$B$1:$AA$1,0),FALSE)</f>
        <v>0</v>
      </c>
      <c r="AM286" s="121">
        <f>IF(ISERROR(1/VLOOKUP($B286,Miljö!$B$1:$S$500,MATCH("Såld mängd produktionsspecifik fjärrvärme (GWh)",Miljö!$B$1:$R$1,0),FALSE)),0,VLOOKUP($B286,Miljö!$B$1:$S$500,MATCH("Såld mängd produktionsspecifik fjärrvärme (GWh)",Miljö!$B$1:$R$1,0),FALSE))</f>
        <v>76.2</v>
      </c>
      <c r="AN286" s="172">
        <f t="shared" si="112"/>
        <v>0.75356875075945362</v>
      </c>
      <c r="AO286" s="121"/>
      <c r="AP286" s="121" t="str">
        <f>IFERROR(VLOOKUP($B286,Miljövärden!$B$2:$H$550,7,FALSE),"Nej, saknas")</f>
        <v>Ja</v>
      </c>
      <c r="AQ286" s="121" t="str">
        <f>IFERROR(VLOOKUP($B286,Miljövärden!$B$2:$H$550,6,FALSE),"Nej, saknas")</f>
        <v>Nej</v>
      </c>
      <c r="AU286">
        <f t="shared" si="113"/>
        <v>19.2073</v>
      </c>
      <c r="AV286">
        <f t="shared" si="114"/>
        <v>0</v>
      </c>
      <c r="AW286">
        <f t="shared" si="115"/>
        <v>2.4892699999999999</v>
      </c>
      <c r="AX286">
        <f t="shared" si="116"/>
        <v>168.76900000000001</v>
      </c>
      <c r="AZ286">
        <f t="shared" si="117"/>
        <v>176.20527000000001</v>
      </c>
      <c r="BC286">
        <f t="shared" si="118"/>
        <v>8.9359999999999999</v>
      </c>
      <c r="BD286">
        <f t="shared" si="119"/>
        <v>0</v>
      </c>
      <c r="BE286">
        <f t="shared" si="120"/>
        <v>176.20527000000001</v>
      </c>
      <c r="BF286">
        <f t="shared" si="121"/>
        <v>524.21799999999996</v>
      </c>
      <c r="BG286">
        <f t="shared" si="122"/>
        <v>19.2073</v>
      </c>
      <c r="BH286">
        <f>VLOOKUP(B286,Miljö!$B$1:$BX$482,MATCH("Fossilandel för ursprungspecificerad el ()",Miljö!$B$1:$I$1,0),FALSE)</f>
        <v>0.43</v>
      </c>
      <c r="BI286">
        <f>VLOOKUP(B286,Miljö!$B$1:$BX$482,MATCH("Kärnkraftsandel för ursprungsspecificerad el ()",Miljö!$B$1:$O$1,0),FALSE)</f>
        <v>0.40550000000000003</v>
      </c>
      <c r="BJ286">
        <f t="shared" si="123"/>
        <v>0</v>
      </c>
      <c r="BK286" t="str">
        <f>VLOOKUP(B286,Miljö!$B$1:$O$482,MATCH("Fossil andel i procent (%)",Miljö!$B$1:$O$1,0),FALSE)</f>
        <v>ET</v>
      </c>
      <c r="BL286">
        <f t="shared" si="124"/>
        <v>728.56656999999996</v>
      </c>
      <c r="BO286" s="18">
        <f t="shared" si="125"/>
        <v>2.3601328564938132E-2</v>
      </c>
      <c r="BP286" s="18">
        <f t="shared" si="126"/>
        <v>1.0690251887346411E-2</v>
      </c>
      <c r="BQ286" s="18">
        <f t="shared" si="127"/>
        <v>0.2461887193781071</v>
      </c>
      <c r="BR286" s="18">
        <f t="shared" si="128"/>
        <v>0.71951970016960842</v>
      </c>
      <c r="BT286" s="27">
        <f t="shared" si="129"/>
        <v>1</v>
      </c>
      <c r="BW286" s="18">
        <f>IF(AP286="ja",VLOOKUP(B286,Miljövärden!$B$2:$H$550,MATCH("Total andel fossilt",Miljövärden!$B$2:$H$2,0),FALSE),"")</f>
        <v>2.6358099999999999E-2</v>
      </c>
      <c r="BZ286" s="28">
        <f t="shared" si="130"/>
        <v>2.7567714350618666E-3</v>
      </c>
      <c r="CA286" s="28">
        <f t="shared" si="131"/>
        <v>1.9999999999999983E-3</v>
      </c>
    </row>
    <row r="287" spans="1:79" x14ac:dyDescent="0.25">
      <c r="A287" s="224" t="s">
        <v>585</v>
      </c>
      <c r="B287" s="210" t="s">
        <v>589</v>
      </c>
      <c r="C287" s="121">
        <f>VLOOKUP($B287,'Tillförd energi'!$B$1:$AI$720,MATCH(C$1,'Tillförd energi'!$B$1:$AQ$1,0),FALSE)</f>
        <v>0</v>
      </c>
      <c r="D287" s="121">
        <f>VLOOKUP($B287,'Tillförd energi'!$B$1:$AI$720,MATCH(D$1,'Tillförd energi'!$B$1:$AQ$1,0),FALSE)</f>
        <v>0.81100000000000005</v>
      </c>
      <c r="E287" s="121">
        <f>VLOOKUP($B287,'Tillförd energi'!$B$1:$AI$720,MATCH(E$1,'Tillförd energi'!$B$1:$AQ$1,0),FALSE)</f>
        <v>0</v>
      </c>
      <c r="F287" s="121">
        <f>VLOOKUP($B287,'Tillförd energi'!$B$1:$AI$720,MATCH(F$1,'Tillförd energi'!$B$1:$AQ$1,0),FALSE)</f>
        <v>0.44</v>
      </c>
      <c r="G287" s="121">
        <f>VLOOKUP($B287,'Tillförd energi'!$B$1:$AI$720,MATCH(G$1,'Tillförd energi'!$B$1:$AQ$1,0),FALSE)</f>
        <v>0</v>
      </c>
      <c r="H287" s="121">
        <f>VLOOKUP($B287,'Tillförd energi'!$B$1:$AI$720,MATCH(H$1,'Tillförd energi'!$B$1:$AQ$1,0),FALSE)</f>
        <v>0</v>
      </c>
      <c r="I287" s="121">
        <f>VLOOKUP($B287,'Tillförd energi'!$B$1:$AI$720,MATCH(I$1,'Tillförd energi'!$B$1:$AQ$1,0),FALSE)</f>
        <v>99.366200000000006</v>
      </c>
      <c r="J287" s="121">
        <f>VLOOKUP($B287,'Tillförd energi'!$B$1:$AI$720,MATCH(J$1,'Tillförd energi'!$B$1:$AQ$1,0),FALSE)</f>
        <v>0</v>
      </c>
      <c r="K287" s="121">
        <f>VLOOKUP($B287,'Tillförd energi'!$B$1:$AI$720,MATCH(K$1,'Tillförd energi'!$B$1:$AQ$1,0),FALSE)</f>
        <v>0</v>
      </c>
      <c r="L287" s="121">
        <f>VLOOKUP($B287,'Tillförd energi'!$B$1:$AI$720,MATCH(L$1,'Tillförd energi'!$B$1:$AQ$1,0),FALSE)</f>
        <v>0</v>
      </c>
      <c r="M287" s="121">
        <f>VLOOKUP($B287,'Tillförd energi'!$B$1:$AI$720,MATCH(M$1,'Tillförd energi'!$B$1:$AQ$1,0),FALSE)</f>
        <v>0</v>
      </c>
      <c r="N287" s="121">
        <f>VLOOKUP($B287,'Tillförd energi'!$B$1:$AI$720,MATCH(N$1,'Tillförd energi'!$B$1:$AQ$1,0),FALSE)</f>
        <v>0</v>
      </c>
      <c r="O287" s="121">
        <f>VLOOKUP($B287,'Tillförd energi'!$B$1:$AI$720,MATCH(O$1,'Tillförd energi'!$B$1:$AQ$1,0),FALSE)</f>
        <v>0</v>
      </c>
      <c r="P287" s="121">
        <f>VLOOKUP($B287,'Tillförd energi'!$B$1:$AI$720,MATCH(P$1,'Tillförd energi'!$B$1:$AQ$1,0),FALSE)</f>
        <v>0</v>
      </c>
      <c r="Q287" s="121">
        <f>VLOOKUP($B287,'Tillförd energi'!$B$1:$AI$720,MATCH(Q$1,'Tillförd energi'!$B$1:$AQ$1,0),FALSE)</f>
        <v>0</v>
      </c>
      <c r="R287" s="121">
        <f>VLOOKUP($B287,'Tillförd energi'!$B$1:$AI$720,MATCH(R$1,'Tillförd energi'!$B$1:$AQ$1,0),FALSE)</f>
        <v>0</v>
      </c>
      <c r="S287" s="121">
        <f>VLOOKUP($B287,'Tillförd energi'!$B$1:$AI$720,MATCH(S$1,'Tillförd energi'!$B$1:$AQ$1,0),FALSE)</f>
        <v>0</v>
      </c>
      <c r="T287" s="121">
        <f>VLOOKUP($B287,'Tillförd energi'!$B$1:$AI$720,MATCH(T$1,'Tillförd energi'!$B$1:$AQ$1,0),FALSE)</f>
        <v>0</v>
      </c>
      <c r="U287" s="121">
        <f>VLOOKUP($B287,'Tillförd energi'!$B$1:$AI$720,MATCH(U$1,'Tillförd energi'!$B$1:$AQ$1,0),FALSE)</f>
        <v>0.77300000000000002</v>
      </c>
      <c r="V287" s="121">
        <f>VLOOKUP($B287,'Tillförd energi'!$B$1:$AI$720,MATCH(V$1,'Tillförd energi'!$B$1:$AQ$1,0),FALSE)</f>
        <v>0</v>
      </c>
      <c r="W287" s="121">
        <f>VLOOKUP($B287,'Tillförd energi'!$B$1:$AI$720,MATCH(W$1,'Tillförd energi'!$B$1:$AQ$1,0),FALSE)</f>
        <v>0</v>
      </c>
      <c r="X287" s="121">
        <f>VLOOKUP($B287,'Tillförd energi'!$B$1:$AI$720,MATCH(X$1,'Tillförd energi'!$B$1:$AQ$1,0),FALSE)</f>
        <v>0</v>
      </c>
      <c r="Y287" s="121">
        <f>VLOOKUP($B287,'Tillförd energi'!$B$1:$AI$720,MATCH(Y$1,'Tillförd energi'!$B$1:$AQ$1,0),FALSE)</f>
        <v>0</v>
      </c>
      <c r="Z287" s="121">
        <f>VLOOKUP($B287,'Tillförd energi'!$B$1:$AI$720,MATCH(Z$1,'Tillförd energi'!$B$1:$AQ$1,0),FALSE)</f>
        <v>43.911999999999999</v>
      </c>
      <c r="AA287" s="121">
        <f>VLOOKUP($B287,'Tillförd energi'!$B$1:$AI$720,MATCH(AA$1,'Tillförd energi'!$B$1:$AQ$1,0),FALSE)</f>
        <v>0</v>
      </c>
      <c r="AB287" s="121">
        <f>VLOOKUP($B287,'Tillförd energi'!$B$1:$AI$720,MATCH(AB$1,'Tillförd energi'!$B$1:$AQ$1,0),FALSE)</f>
        <v>0</v>
      </c>
      <c r="AC287" s="121">
        <f>VLOOKUP($B287,'Tillförd energi'!$B$1:$AI$720,MATCH(AC$1,'Tillförd energi'!$B$1:$AQ$1,0),FALSE)</f>
        <v>0</v>
      </c>
      <c r="AD287" s="121">
        <f>VLOOKUP($B287,'Tillförd energi'!$B$1:$AI$720,MATCH(AD$1,'Tillförd energi'!$B$1:$AQ$1,0),FALSE)</f>
        <v>0</v>
      </c>
      <c r="AE287" s="121">
        <f>VLOOKUP($B287,'Tillförd energi'!$B$1:$AI$720,MATCH(AE$1,'Tillförd energi'!$B$1:$AQ$1,0),FALSE)</f>
        <v>0</v>
      </c>
      <c r="AF287" s="121">
        <f>VLOOKUP($B287,'Tillförd energi'!$B$1:$AI$720,MATCH(AF$1,'Tillförd energi'!$B$1:$AQ$1,0),FALSE)</f>
        <v>4.2144899999999996</v>
      </c>
      <c r="AG287" s="121">
        <f>IFERROR(VLOOKUP(B287,Miljö!$B$1:$AC$550,MATCH("Köpt mängd produktionsspecifik fjärrvärme:",Miljö!$B$1:$AC$1,0),FALSE)/1,0)</f>
        <v>0</v>
      </c>
      <c r="AH287" s="121"/>
      <c r="AI287" s="121">
        <f t="shared" si="110"/>
        <v>149.51669000000001</v>
      </c>
      <c r="AJ287" s="121">
        <f t="shared" si="111"/>
        <v>149.51669000000001</v>
      </c>
      <c r="AK287" s="121">
        <f>IF(ISERROR(1/VLOOKUP($B287,Leveranser!$B$1:$S$499,MATCH("såld värme (gwh)",Leveranser!$B$1:$S$1,0),FALSE)),"",VLOOKUP($B287,Leveranser!$B$1:$S$499,MATCH("såld värme (gwh)",Leveranser!$B$1:$S$1,0),FALSE))</f>
        <v>129.91300000000001</v>
      </c>
      <c r="AL287" s="121">
        <f>VLOOKUP($B287,Leveranser!$B$1:$Y$499,MATCH("Totalt såld fjärrvärme till andra fjärrvärmeföretag",Leveranser!$B$1:$AA$1,0),FALSE)</f>
        <v>0</v>
      </c>
      <c r="AM287" s="121">
        <f>IF(ISERROR(1/VLOOKUP($B287,Miljö!$B$1:$S$500,MATCH("Såld mängd produktionsspecifik fjärrvärme (GWh)",Miljö!$B$1:$R$1,0),FALSE)),0,VLOOKUP($B287,Miljö!$B$1:$S$500,MATCH("Såld mängd produktionsspecifik fjärrvärme (GWh)",Miljö!$B$1:$R$1,0),FALSE))</f>
        <v>0</v>
      </c>
      <c r="AN287" s="172">
        <f t="shared" si="112"/>
        <v>0.86888627617425185</v>
      </c>
      <c r="AO287" s="121"/>
      <c r="AP287" s="121" t="str">
        <f>IFERROR(VLOOKUP($B287,Miljövärden!$B$2:$H$550,7,FALSE),"Nej, saknas")</f>
        <v>Ja</v>
      </c>
      <c r="AQ287" s="121" t="str">
        <f>IFERROR(VLOOKUP($B287,Miljövärden!$B$2:$H$550,6,FALSE),"Nej, saknas")</f>
        <v>Nej</v>
      </c>
      <c r="AU287">
        <f t="shared" si="113"/>
        <v>48.126489999999997</v>
      </c>
      <c r="AV287">
        <f t="shared" si="114"/>
        <v>0</v>
      </c>
      <c r="AW287">
        <f t="shared" si="115"/>
        <v>0</v>
      </c>
      <c r="AX287">
        <f t="shared" si="116"/>
        <v>0.77300000000000002</v>
      </c>
      <c r="AZ287">
        <f t="shared" si="117"/>
        <v>0.77300000000000002</v>
      </c>
      <c r="BC287">
        <f t="shared" si="118"/>
        <v>1.2510000000000001</v>
      </c>
      <c r="BD287">
        <f t="shared" si="119"/>
        <v>0</v>
      </c>
      <c r="BE287">
        <f t="shared" si="120"/>
        <v>0.77300000000000002</v>
      </c>
      <c r="BF287">
        <f t="shared" si="121"/>
        <v>99.366200000000006</v>
      </c>
      <c r="BG287">
        <f t="shared" si="122"/>
        <v>48.126489999999997</v>
      </c>
      <c r="BH287">
        <f>VLOOKUP(B287,Miljö!$B$1:$BX$482,MATCH("Fossilandel för ursprungspecificerad el ()",Miljö!$B$1:$I$1,0),FALSE)</f>
        <v>0.43</v>
      </c>
      <c r="BI287">
        <f>VLOOKUP(B287,Miljö!$B$1:$BX$482,MATCH("Kärnkraftsandel för ursprungsspecificerad el ()",Miljö!$B$1:$O$1,0),FALSE)</f>
        <v>0.40550000000000003</v>
      </c>
      <c r="BJ287">
        <f t="shared" si="123"/>
        <v>0</v>
      </c>
      <c r="BK287" t="str">
        <f>VLOOKUP(B287,Miljö!$B$1:$O$482,MATCH("Fossil andel i procent (%)",Miljö!$B$1:$O$1,0),FALSE)</f>
        <v>ET</v>
      </c>
      <c r="BL287">
        <f t="shared" si="124"/>
        <v>149.51669000000001</v>
      </c>
      <c r="BO287" s="18">
        <f t="shared" si="125"/>
        <v>0.14677552519387635</v>
      </c>
      <c r="BP287" s="18">
        <f t="shared" si="126"/>
        <v>0.1305224968195858</v>
      </c>
      <c r="BQ287" s="18">
        <f t="shared" si="127"/>
        <v>5.8119315007575417E-2</v>
      </c>
      <c r="BR287" s="18">
        <f t="shared" si="128"/>
        <v>0.6645826629789624</v>
      </c>
      <c r="BT287" s="27">
        <f t="shared" si="129"/>
        <v>1</v>
      </c>
      <c r="BW287" s="18">
        <f>IF(AP287="ja",VLOOKUP(B287,Miljövärden!$B$2:$H$550,MATCH("Total andel fossilt",Miljövärden!$B$2:$H$2,0),FALSE),"")</f>
        <v>0.14677499999999999</v>
      </c>
      <c r="BZ287" s="28">
        <f t="shared" si="130"/>
        <v>-5.2519387636063009E-7</v>
      </c>
      <c r="CA287" s="28">
        <f t="shared" si="131"/>
        <v>0</v>
      </c>
    </row>
    <row r="288" spans="1:79" x14ac:dyDescent="0.25">
      <c r="A288" s="224" t="s">
        <v>585</v>
      </c>
      <c r="B288" s="210" t="s">
        <v>590</v>
      </c>
      <c r="C288" s="121">
        <f>VLOOKUP($B288,'Tillförd energi'!$B$1:$AI$720,MATCH(C$1,'Tillförd energi'!$B$1:$AQ$1,0),FALSE)</f>
        <v>0</v>
      </c>
      <c r="D288" s="121">
        <f>VLOOKUP($B288,'Tillförd energi'!$B$1:$AI$720,MATCH(D$1,'Tillförd energi'!$B$1:$AQ$1,0),FALSE)</f>
        <v>0.86299999999999999</v>
      </c>
      <c r="E288" s="121">
        <f>VLOOKUP($B288,'Tillförd energi'!$B$1:$AI$720,MATCH(E$1,'Tillförd energi'!$B$1:$AQ$1,0),FALSE)</f>
        <v>0</v>
      </c>
      <c r="F288" s="121">
        <f>VLOOKUP($B288,'Tillförd energi'!$B$1:$AI$720,MATCH(F$1,'Tillförd energi'!$B$1:$AQ$1,0),FALSE)</f>
        <v>0</v>
      </c>
      <c r="G288" s="121">
        <f>VLOOKUP($B288,'Tillförd energi'!$B$1:$AI$720,MATCH(G$1,'Tillförd energi'!$B$1:$AQ$1,0),FALSE)</f>
        <v>0</v>
      </c>
      <c r="H288" s="121">
        <f>VLOOKUP($B288,'Tillförd energi'!$B$1:$AI$720,MATCH(H$1,'Tillförd energi'!$B$1:$AQ$1,0),FALSE)</f>
        <v>0</v>
      </c>
      <c r="I288" s="121">
        <f>VLOOKUP($B288,'Tillförd energi'!$B$1:$AI$720,MATCH(I$1,'Tillförd energi'!$B$1:$AQ$1,0),FALSE)</f>
        <v>0</v>
      </c>
      <c r="J288" s="121">
        <f>VLOOKUP($B288,'Tillförd energi'!$B$1:$AI$720,MATCH(J$1,'Tillförd energi'!$B$1:$AQ$1,0),FALSE)</f>
        <v>0</v>
      </c>
      <c r="K288" s="121">
        <f>VLOOKUP($B288,'Tillförd energi'!$B$1:$AI$720,MATCH(K$1,'Tillförd energi'!$B$1:$AQ$1,0),FALSE)</f>
        <v>0</v>
      </c>
      <c r="L288" s="121">
        <f>VLOOKUP($B288,'Tillförd energi'!$B$1:$AI$720,MATCH(L$1,'Tillförd energi'!$B$1:$AQ$1,0),FALSE)</f>
        <v>0</v>
      </c>
      <c r="M288" s="121">
        <f>VLOOKUP($B288,'Tillförd energi'!$B$1:$AI$720,MATCH(M$1,'Tillförd energi'!$B$1:$AQ$1,0),FALSE)</f>
        <v>0</v>
      </c>
      <c r="N288" s="121">
        <f>VLOOKUP($B288,'Tillförd energi'!$B$1:$AI$720,MATCH(N$1,'Tillförd energi'!$B$1:$AQ$1,0),FALSE)</f>
        <v>0</v>
      </c>
      <c r="O288" s="121">
        <f>VLOOKUP($B288,'Tillförd energi'!$B$1:$AI$720,MATCH(O$1,'Tillförd energi'!$B$1:$AQ$1,0),FALSE)</f>
        <v>0</v>
      </c>
      <c r="P288" s="121">
        <f>VLOOKUP($B288,'Tillförd energi'!$B$1:$AI$720,MATCH(P$1,'Tillförd energi'!$B$1:$AQ$1,0),FALSE)</f>
        <v>0</v>
      </c>
      <c r="Q288" s="121">
        <f>VLOOKUP($B288,'Tillförd energi'!$B$1:$AI$720,MATCH(Q$1,'Tillförd energi'!$B$1:$AQ$1,0),FALSE)</f>
        <v>0</v>
      </c>
      <c r="R288" s="121">
        <f>VLOOKUP($B288,'Tillförd energi'!$B$1:$AI$720,MATCH(R$1,'Tillförd energi'!$B$1:$AQ$1,0),FALSE)</f>
        <v>8.2100000000000009</v>
      </c>
      <c r="S288" s="121">
        <f>VLOOKUP($B288,'Tillförd energi'!$B$1:$AI$720,MATCH(S$1,'Tillförd energi'!$B$1:$AQ$1,0),FALSE)</f>
        <v>0</v>
      </c>
      <c r="T288" s="121">
        <f>VLOOKUP($B288,'Tillförd energi'!$B$1:$AI$720,MATCH(T$1,'Tillförd energi'!$B$1:$AQ$1,0),FALSE)</f>
        <v>0</v>
      </c>
      <c r="U288" s="121">
        <f>VLOOKUP($B288,'Tillförd energi'!$B$1:$AI$720,MATCH(U$1,'Tillförd energi'!$B$1:$AQ$1,0),FALSE)</f>
        <v>0</v>
      </c>
      <c r="V288" s="121">
        <f>VLOOKUP($B288,'Tillförd energi'!$B$1:$AI$720,MATCH(V$1,'Tillförd energi'!$B$1:$AQ$1,0),FALSE)</f>
        <v>0</v>
      </c>
      <c r="W288" s="121">
        <f>VLOOKUP($B288,'Tillförd energi'!$B$1:$AI$720,MATCH(W$1,'Tillförd energi'!$B$1:$AQ$1,0),FALSE)</f>
        <v>0</v>
      </c>
      <c r="X288" s="121">
        <f>VLOOKUP($B288,'Tillförd energi'!$B$1:$AI$720,MATCH(X$1,'Tillförd energi'!$B$1:$AQ$1,0),FALSE)</f>
        <v>0</v>
      </c>
      <c r="Y288" s="121">
        <f>VLOOKUP($B288,'Tillförd energi'!$B$1:$AI$720,MATCH(Y$1,'Tillförd energi'!$B$1:$AQ$1,0),FALSE)</f>
        <v>0</v>
      </c>
      <c r="Z288" s="121">
        <f>VLOOKUP($B288,'Tillförd energi'!$B$1:$AI$720,MATCH(Z$1,'Tillförd energi'!$B$1:$AQ$1,0),FALSE)</f>
        <v>0</v>
      </c>
      <c r="AA288" s="121">
        <f>VLOOKUP($B288,'Tillförd energi'!$B$1:$AI$720,MATCH(AA$1,'Tillförd energi'!$B$1:$AQ$1,0),FALSE)</f>
        <v>0</v>
      </c>
      <c r="AB288" s="121">
        <f>VLOOKUP($B288,'Tillförd energi'!$B$1:$AI$720,MATCH(AB$1,'Tillförd energi'!$B$1:$AQ$1,0),FALSE)</f>
        <v>0</v>
      </c>
      <c r="AC288" s="121">
        <f>VLOOKUP($B288,'Tillförd energi'!$B$1:$AI$720,MATCH(AC$1,'Tillförd energi'!$B$1:$AQ$1,0),FALSE)</f>
        <v>0</v>
      </c>
      <c r="AD288" s="121">
        <f>VLOOKUP($B288,'Tillförd energi'!$B$1:$AI$720,MATCH(AD$1,'Tillförd energi'!$B$1:$AQ$1,0),FALSE)</f>
        <v>0</v>
      </c>
      <c r="AE288" s="121">
        <f>VLOOKUP($B288,'Tillförd energi'!$B$1:$AI$720,MATCH(AE$1,'Tillförd energi'!$B$1:$AQ$1,0),FALSE)</f>
        <v>0</v>
      </c>
      <c r="AF288" s="121">
        <f>VLOOKUP($B288,'Tillförd energi'!$B$1:$AI$720,MATCH(AF$1,'Tillförd energi'!$B$1:$AQ$1,0),FALSE)</f>
        <v>0.1</v>
      </c>
      <c r="AG288" s="121">
        <f>IFERROR(VLOOKUP(B288,Miljö!$B$1:$AC$550,MATCH("Köpt mängd produktionsspecifik fjärrvärme:",Miljö!$B$1:$AC$1,0),FALSE)/1,0)</f>
        <v>0</v>
      </c>
      <c r="AH288" s="121"/>
      <c r="AI288" s="121">
        <f t="shared" si="110"/>
        <v>9.173</v>
      </c>
      <c r="AJ288" s="121">
        <f t="shared" si="111"/>
        <v>9.173</v>
      </c>
      <c r="AK288" s="121">
        <f>IF(ISERROR(1/VLOOKUP($B288,Leveranser!$B$1:$S$499,MATCH("såld värme (gwh)",Leveranser!$B$1:$S$1,0),FALSE)),"",VLOOKUP($B288,Leveranser!$B$1:$S$499,MATCH("såld värme (gwh)",Leveranser!$B$1:$S$1,0),FALSE))</f>
        <v>6.6349999999999998</v>
      </c>
      <c r="AL288" s="121">
        <f>VLOOKUP($B288,Leveranser!$B$1:$Y$499,MATCH("Totalt såld fjärrvärme till andra fjärrvärmeföretag",Leveranser!$B$1:$AA$1,0),FALSE)</f>
        <v>0</v>
      </c>
      <c r="AM288" s="121">
        <f>IF(ISERROR(1/VLOOKUP($B288,Miljö!$B$1:$S$500,MATCH("Såld mängd produktionsspecifik fjärrvärme (GWh)",Miljö!$B$1:$R$1,0),FALSE)),0,VLOOKUP($B288,Miljö!$B$1:$S$500,MATCH("Såld mängd produktionsspecifik fjärrvärme (GWh)",Miljö!$B$1:$R$1,0),FALSE))</f>
        <v>0</v>
      </c>
      <c r="AN288" s="172">
        <f t="shared" si="112"/>
        <v>0.72331843453613864</v>
      </c>
      <c r="AO288" s="121"/>
      <c r="AP288" s="121" t="str">
        <f>IFERROR(VLOOKUP($B288,Miljövärden!$B$2:$H$550,7,FALSE),"Nej, saknas")</f>
        <v>Ja</v>
      </c>
      <c r="AQ288" s="121" t="str">
        <f>IFERROR(VLOOKUP($B288,Miljövärden!$B$2:$H$550,6,FALSE),"Nej, saknas")</f>
        <v>Nej</v>
      </c>
      <c r="AU288">
        <f t="shared" si="113"/>
        <v>0.1</v>
      </c>
      <c r="AV288">
        <f t="shared" si="114"/>
        <v>0</v>
      </c>
      <c r="AW288">
        <f t="shared" si="115"/>
        <v>0</v>
      </c>
      <c r="AX288">
        <f t="shared" si="116"/>
        <v>8.2100000000000009</v>
      </c>
      <c r="AZ288">
        <f t="shared" si="117"/>
        <v>8.2100000000000009</v>
      </c>
      <c r="BC288">
        <f t="shared" si="118"/>
        <v>0.86299999999999999</v>
      </c>
      <c r="BD288">
        <f t="shared" si="119"/>
        <v>0</v>
      </c>
      <c r="BE288">
        <f t="shared" si="120"/>
        <v>8.2100000000000009</v>
      </c>
      <c r="BF288">
        <f t="shared" si="121"/>
        <v>0</v>
      </c>
      <c r="BG288">
        <f t="shared" si="122"/>
        <v>0.1</v>
      </c>
      <c r="BH288">
        <f>VLOOKUP(B288,Miljö!$B$1:$BX$482,MATCH("Fossilandel för ursprungspecificerad el ()",Miljö!$B$1:$I$1,0),FALSE)</f>
        <v>0</v>
      </c>
      <c r="BI288">
        <f>VLOOKUP(B288,Miljö!$B$1:$BX$482,MATCH("Kärnkraftsandel för ursprungsspecificerad el ()",Miljö!$B$1:$O$1,0),FALSE)</f>
        <v>0</v>
      </c>
      <c r="BJ288">
        <f t="shared" si="123"/>
        <v>0</v>
      </c>
      <c r="BK288" t="str">
        <f>VLOOKUP(B288,Miljö!$B$1:$O$482,MATCH("Fossil andel i procent (%)",Miljö!$B$1:$O$1,0),FALSE)</f>
        <v>ET</v>
      </c>
      <c r="BL288">
        <f t="shared" si="124"/>
        <v>9.173</v>
      </c>
      <c r="BO288" s="18">
        <f t="shared" si="125"/>
        <v>9.4080453504851197E-2</v>
      </c>
      <c r="BP288" s="18">
        <f t="shared" si="126"/>
        <v>0</v>
      </c>
      <c r="BQ288" s="18">
        <f t="shared" si="127"/>
        <v>0.90591954649514883</v>
      </c>
      <c r="BR288" s="18">
        <f t="shared" si="128"/>
        <v>0</v>
      </c>
      <c r="BT288" s="27">
        <f t="shared" si="129"/>
        <v>1</v>
      </c>
      <c r="BW288" s="18">
        <f>IF(AP288="ja",VLOOKUP(B288,Miljövärden!$B$2:$H$550,MATCH("Total andel fossilt",Miljövärden!$B$2:$H$2,0),FALSE),"")</f>
        <v>9.4080499999999997E-2</v>
      </c>
      <c r="BZ288" s="28">
        <f t="shared" si="130"/>
        <v>4.6495148800507202E-8</v>
      </c>
      <c r="CA288" s="28">
        <f t="shared" si="131"/>
        <v>0</v>
      </c>
    </row>
    <row r="289" spans="1:79" x14ac:dyDescent="0.25">
      <c r="A289" s="224" t="s">
        <v>591</v>
      </c>
      <c r="B289" s="210" t="s">
        <v>592</v>
      </c>
      <c r="C289" s="121">
        <f>VLOOKUP($B289,'Tillförd energi'!$B$1:$AI$720,MATCH(C$1,'Tillförd energi'!$B$1:$AQ$1,0),FALSE)</f>
        <v>0</v>
      </c>
      <c r="D289" s="121">
        <f>VLOOKUP($B289,'Tillförd energi'!$B$1:$AI$720,MATCH(D$1,'Tillförd energi'!$B$1:$AQ$1,0),FALSE)</f>
        <v>0.752</v>
      </c>
      <c r="E289" s="121">
        <f>VLOOKUP($B289,'Tillförd energi'!$B$1:$AI$720,MATCH(E$1,'Tillförd energi'!$B$1:$AQ$1,0),FALSE)</f>
        <v>0</v>
      </c>
      <c r="F289" s="121">
        <f>VLOOKUP($B289,'Tillförd energi'!$B$1:$AI$720,MATCH(F$1,'Tillförd energi'!$B$1:$AQ$1,0),FALSE)</f>
        <v>0</v>
      </c>
      <c r="G289" s="121">
        <f>VLOOKUP($B289,'Tillförd energi'!$B$1:$AI$720,MATCH(G$1,'Tillförd energi'!$B$1:$AQ$1,0),FALSE)</f>
        <v>0</v>
      </c>
      <c r="H289" s="121">
        <f>VLOOKUP($B289,'Tillförd energi'!$B$1:$AI$720,MATCH(H$1,'Tillförd energi'!$B$1:$AQ$1,0),FALSE)</f>
        <v>1.0009999999999999</v>
      </c>
      <c r="I289" s="121">
        <f>VLOOKUP($B289,'Tillförd energi'!$B$1:$AI$720,MATCH(I$1,'Tillförd energi'!$B$1:$AQ$1,0),FALSE)</f>
        <v>0</v>
      </c>
      <c r="J289" s="121">
        <f>VLOOKUP($B289,'Tillförd energi'!$B$1:$AI$720,MATCH(J$1,'Tillförd energi'!$B$1:$AQ$1,0),FALSE)</f>
        <v>0</v>
      </c>
      <c r="K289" s="121">
        <f>VLOOKUP($B289,'Tillförd energi'!$B$1:$AI$720,MATCH(K$1,'Tillförd energi'!$B$1:$AQ$1,0),FALSE)</f>
        <v>0</v>
      </c>
      <c r="L289" s="121">
        <f>VLOOKUP($B289,'Tillförd energi'!$B$1:$AI$720,MATCH(L$1,'Tillförd energi'!$B$1:$AQ$1,0),FALSE)</f>
        <v>0</v>
      </c>
      <c r="M289" s="121">
        <f>VLOOKUP($B289,'Tillförd energi'!$B$1:$AI$720,MATCH(M$1,'Tillförd energi'!$B$1:$AQ$1,0),FALSE)</f>
        <v>0</v>
      </c>
      <c r="N289" s="121">
        <f>VLOOKUP($B289,'Tillförd energi'!$B$1:$AI$720,MATCH(N$1,'Tillförd energi'!$B$1:$AQ$1,0),FALSE)</f>
        <v>0</v>
      </c>
      <c r="O289" s="121">
        <f>VLOOKUP($B289,'Tillförd energi'!$B$1:$AI$720,MATCH(O$1,'Tillförd energi'!$B$1:$AQ$1,0),FALSE)</f>
        <v>0</v>
      </c>
      <c r="P289" s="121">
        <f>VLOOKUP($B289,'Tillförd energi'!$B$1:$AI$720,MATCH(P$1,'Tillförd energi'!$B$1:$AQ$1,0),FALSE)</f>
        <v>0</v>
      </c>
      <c r="Q289" s="121">
        <f>VLOOKUP($B289,'Tillförd energi'!$B$1:$AI$720,MATCH(Q$1,'Tillförd energi'!$B$1:$AQ$1,0),FALSE)</f>
        <v>11.5624</v>
      </c>
      <c r="R289" s="121">
        <f>VLOOKUP($B289,'Tillförd energi'!$B$1:$AI$720,MATCH(R$1,'Tillförd energi'!$B$1:$AQ$1,0),FALSE)</f>
        <v>0</v>
      </c>
      <c r="S289" s="121">
        <f>VLOOKUP($B289,'Tillförd energi'!$B$1:$AI$720,MATCH(S$1,'Tillförd energi'!$B$1:$AQ$1,0),FALSE)</f>
        <v>0</v>
      </c>
      <c r="T289" s="121">
        <f>VLOOKUP($B289,'Tillförd energi'!$B$1:$AI$720,MATCH(T$1,'Tillförd energi'!$B$1:$AQ$1,0),FALSE)</f>
        <v>0</v>
      </c>
      <c r="U289" s="121">
        <f>VLOOKUP($B289,'Tillförd energi'!$B$1:$AI$720,MATCH(U$1,'Tillförd energi'!$B$1:$AQ$1,0),FALSE)</f>
        <v>0</v>
      </c>
      <c r="V289" s="121">
        <f>VLOOKUP($B289,'Tillförd energi'!$B$1:$AI$720,MATCH(V$1,'Tillförd energi'!$B$1:$AQ$1,0),FALSE)</f>
        <v>0</v>
      </c>
      <c r="W289" s="121">
        <f>VLOOKUP($B289,'Tillförd energi'!$B$1:$AI$720,MATCH(W$1,'Tillförd energi'!$B$1:$AQ$1,0),FALSE)</f>
        <v>0.35099999999999998</v>
      </c>
      <c r="X289" s="121">
        <f>VLOOKUP($B289,'Tillförd energi'!$B$1:$AI$720,MATCH(X$1,'Tillförd energi'!$B$1:$AQ$1,0),FALSE)</f>
        <v>0</v>
      </c>
      <c r="Y289" s="121">
        <f>VLOOKUP($B289,'Tillförd energi'!$B$1:$AI$720,MATCH(Y$1,'Tillförd energi'!$B$1:$AQ$1,0),FALSE)</f>
        <v>0</v>
      </c>
      <c r="Z289" s="121">
        <f>VLOOKUP($B289,'Tillförd energi'!$B$1:$AI$720,MATCH(Z$1,'Tillförd energi'!$B$1:$AQ$1,0),FALSE)</f>
        <v>0</v>
      </c>
      <c r="AA289" s="121">
        <f>VLOOKUP($B289,'Tillförd energi'!$B$1:$AI$720,MATCH(AA$1,'Tillförd energi'!$B$1:$AQ$1,0),FALSE)</f>
        <v>0</v>
      </c>
      <c r="AB289" s="121">
        <f>VLOOKUP($B289,'Tillförd energi'!$B$1:$AI$720,MATCH(AB$1,'Tillförd energi'!$B$1:$AQ$1,0),FALSE)</f>
        <v>0</v>
      </c>
      <c r="AC289" s="121">
        <f>VLOOKUP($B289,'Tillförd energi'!$B$1:$AI$720,MATCH(AC$1,'Tillförd energi'!$B$1:$AQ$1,0),FALSE)</f>
        <v>0</v>
      </c>
      <c r="AD289" s="121">
        <f>VLOOKUP($B289,'Tillförd energi'!$B$1:$AI$720,MATCH(AD$1,'Tillförd energi'!$B$1:$AQ$1,0),FALSE)</f>
        <v>0</v>
      </c>
      <c r="AE289" s="121">
        <f>VLOOKUP($B289,'Tillförd energi'!$B$1:$AI$720,MATCH(AE$1,'Tillförd energi'!$B$1:$AQ$1,0),FALSE)</f>
        <v>0</v>
      </c>
      <c r="AF289" s="121">
        <f>VLOOKUP($B289,'Tillförd energi'!$B$1:$AI$720,MATCH(AF$1,'Tillförd energi'!$B$1:$AQ$1,0),FALSE)</f>
        <v>0.13900000000000001</v>
      </c>
      <c r="AG289" s="121">
        <f>IFERROR(VLOOKUP(B289,Miljö!$B$1:$AC$550,MATCH("Köpt mängd produktionsspecifik fjärrvärme:",Miljö!$B$1:$AC$1,0),FALSE)/1,0)</f>
        <v>0</v>
      </c>
      <c r="AH289" s="121"/>
      <c r="AI289" s="121">
        <f t="shared" si="110"/>
        <v>13.805399999999999</v>
      </c>
      <c r="AJ289" s="121">
        <f t="shared" si="111"/>
        <v>13.805399999999999</v>
      </c>
      <c r="AK289" s="121">
        <f>IF(ISERROR(1/VLOOKUP($B289,Leveranser!$B$1:$S$499,MATCH("såld värme (gwh)",Leveranser!$B$1:$S$1,0),FALSE)),"",VLOOKUP($B289,Leveranser!$B$1:$S$499,MATCH("såld värme (gwh)",Leveranser!$B$1:$S$1,0),FALSE))</f>
        <v>9.4990000000000006</v>
      </c>
      <c r="AL289" s="121">
        <f>VLOOKUP($B289,Leveranser!$B$1:$Y$499,MATCH("Totalt såld fjärrvärme till andra fjärrvärmeföretag",Leveranser!$B$1:$AA$1,0),FALSE)</f>
        <v>0</v>
      </c>
      <c r="AM289" s="121">
        <f>IF(ISERROR(1/VLOOKUP($B289,Miljö!$B$1:$S$500,MATCH("Såld mängd produktionsspecifik fjärrvärme (GWh)",Miljö!$B$1:$R$1,0),FALSE)),0,VLOOKUP($B289,Miljö!$B$1:$S$500,MATCH("Såld mängd produktionsspecifik fjärrvärme (GWh)",Miljö!$B$1:$R$1,0),FALSE))</f>
        <v>0</v>
      </c>
      <c r="AN289" s="172">
        <f t="shared" si="112"/>
        <v>0.68806409086299569</v>
      </c>
      <c r="AO289" s="121"/>
      <c r="AP289" s="121" t="str">
        <f>IFERROR(VLOOKUP($B289,Miljövärden!$B$2:$H$550,7,FALSE),"Nej, saknas")</f>
        <v>Ja</v>
      </c>
      <c r="AQ289" s="121" t="str">
        <f>IFERROR(VLOOKUP($B289,Miljövärden!$B$2:$H$550,6,FALSE),"Nej, saknas")</f>
        <v>Ja</v>
      </c>
      <c r="AU289">
        <f t="shared" si="113"/>
        <v>0.13900000000000001</v>
      </c>
      <c r="AV289">
        <f t="shared" si="114"/>
        <v>0</v>
      </c>
      <c r="AW289">
        <f t="shared" si="115"/>
        <v>11.5624</v>
      </c>
      <c r="AX289">
        <f t="shared" si="116"/>
        <v>0</v>
      </c>
      <c r="AZ289">
        <f t="shared" si="117"/>
        <v>11.913399999999999</v>
      </c>
      <c r="BC289">
        <f t="shared" si="118"/>
        <v>1.7529999999999999</v>
      </c>
      <c r="BD289">
        <f t="shared" si="119"/>
        <v>0</v>
      </c>
      <c r="BE289">
        <f t="shared" si="120"/>
        <v>11.913399999999999</v>
      </c>
      <c r="BF289">
        <f t="shared" si="121"/>
        <v>0</v>
      </c>
      <c r="BG289">
        <f t="shared" si="122"/>
        <v>0.13900000000000001</v>
      </c>
      <c r="BH289">
        <f>VLOOKUP(B289,Miljö!$B$1:$BX$482,MATCH("Fossilandel för ursprungspecificerad el ()",Miljö!$B$1:$I$1,0),FALSE)</f>
        <v>0</v>
      </c>
      <c r="BI289">
        <f>VLOOKUP(B289,Miljö!$B$1:$BX$482,MATCH("Kärnkraftsandel för ursprungsspecificerad el ()",Miljö!$B$1:$O$1,0),FALSE)</f>
        <v>0</v>
      </c>
      <c r="BJ289">
        <f t="shared" si="123"/>
        <v>0</v>
      </c>
      <c r="BK289" t="str">
        <f>VLOOKUP(B289,Miljö!$B$1:$O$482,MATCH("Fossil andel i procent (%)",Miljö!$B$1:$O$1,0),FALSE)</f>
        <v>ET</v>
      </c>
      <c r="BL289">
        <f t="shared" si="124"/>
        <v>13.805399999999999</v>
      </c>
      <c r="BO289" s="18">
        <f t="shared" si="125"/>
        <v>0.12697929795587234</v>
      </c>
      <c r="BP289" s="18">
        <f t="shared" si="126"/>
        <v>0</v>
      </c>
      <c r="BQ289" s="18">
        <f t="shared" si="127"/>
        <v>0.87302070204412763</v>
      </c>
      <c r="BR289" s="18">
        <f t="shared" si="128"/>
        <v>0</v>
      </c>
      <c r="BT289" s="27">
        <f t="shared" si="129"/>
        <v>1</v>
      </c>
      <c r="BW289" s="18">
        <f>IF(AP289="ja",VLOOKUP(B289,Miljövärden!$B$2:$H$550,MATCH("Total andel fossilt",Miljövärden!$B$2:$H$2,0),FALSE),"")</f>
        <v>0.12697900000000001</v>
      </c>
      <c r="BZ289" s="28">
        <f t="shared" si="130"/>
        <v>-2.9795587233594212E-7</v>
      </c>
      <c r="CA289" s="28">
        <f t="shared" si="131"/>
        <v>0</v>
      </c>
    </row>
    <row r="290" spans="1:79" x14ac:dyDescent="0.25">
      <c r="A290" s="224" t="s">
        <v>591</v>
      </c>
      <c r="B290" s="210" t="s">
        <v>594</v>
      </c>
      <c r="C290" s="121">
        <f>VLOOKUP($B290,'Tillförd energi'!$B$1:$AI$720,MATCH(C$1,'Tillförd energi'!$B$1:$AQ$1,0),FALSE)</f>
        <v>0</v>
      </c>
      <c r="D290" s="121">
        <f>VLOOKUP($B290,'Tillförd energi'!$B$1:$AI$720,MATCH(D$1,'Tillförd energi'!$B$1:$AQ$1,0),FALSE)</f>
        <v>0</v>
      </c>
      <c r="E290" s="121">
        <f>VLOOKUP($B290,'Tillförd energi'!$B$1:$AI$720,MATCH(E$1,'Tillförd energi'!$B$1:$AQ$1,0),FALSE)</f>
        <v>0</v>
      </c>
      <c r="F290" s="121">
        <f>VLOOKUP($B290,'Tillförd energi'!$B$1:$AI$720,MATCH(F$1,'Tillförd energi'!$B$1:$AQ$1,0),FALSE)</f>
        <v>0</v>
      </c>
      <c r="G290" s="121">
        <f>VLOOKUP($B290,'Tillförd energi'!$B$1:$AI$720,MATCH(G$1,'Tillförd energi'!$B$1:$AQ$1,0),FALSE)</f>
        <v>0</v>
      </c>
      <c r="H290" s="121">
        <f>VLOOKUP($B290,'Tillförd energi'!$B$1:$AI$720,MATCH(H$1,'Tillförd energi'!$B$1:$AQ$1,0),FALSE)</f>
        <v>0</v>
      </c>
      <c r="I290" s="121">
        <f>VLOOKUP($B290,'Tillförd energi'!$B$1:$AI$720,MATCH(I$1,'Tillförd energi'!$B$1:$AQ$1,0),FALSE)</f>
        <v>0</v>
      </c>
      <c r="J290" s="121">
        <f>VLOOKUP($B290,'Tillförd energi'!$B$1:$AI$720,MATCH(J$1,'Tillförd energi'!$B$1:$AQ$1,0),FALSE)</f>
        <v>0</v>
      </c>
      <c r="K290" s="121">
        <f>VLOOKUP($B290,'Tillförd energi'!$B$1:$AI$720,MATCH(K$1,'Tillförd energi'!$B$1:$AQ$1,0),FALSE)</f>
        <v>0</v>
      </c>
      <c r="L290" s="121">
        <f>VLOOKUP($B290,'Tillförd energi'!$B$1:$AI$720,MATCH(L$1,'Tillförd energi'!$B$1:$AQ$1,0),FALSE)</f>
        <v>0</v>
      </c>
      <c r="M290" s="121">
        <f>VLOOKUP($B290,'Tillförd energi'!$B$1:$AI$720,MATCH(M$1,'Tillförd energi'!$B$1:$AQ$1,0),FALSE)</f>
        <v>0</v>
      </c>
      <c r="N290" s="121">
        <f>VLOOKUP($B290,'Tillförd energi'!$B$1:$AI$720,MATCH(N$1,'Tillförd energi'!$B$1:$AQ$1,0),FALSE)</f>
        <v>0</v>
      </c>
      <c r="O290" s="121">
        <f>VLOOKUP($B290,'Tillförd energi'!$B$1:$AI$720,MATCH(O$1,'Tillförd energi'!$B$1:$AQ$1,0),FALSE)</f>
        <v>0</v>
      </c>
      <c r="P290" s="121">
        <f>VLOOKUP($B290,'Tillförd energi'!$B$1:$AI$720,MATCH(P$1,'Tillförd energi'!$B$1:$AQ$1,0),FALSE)</f>
        <v>0</v>
      </c>
      <c r="Q290" s="121">
        <f>VLOOKUP($B290,'Tillförd energi'!$B$1:$AI$720,MATCH(Q$1,'Tillförd energi'!$B$1:$AQ$1,0),FALSE)</f>
        <v>0</v>
      </c>
      <c r="R290" s="121">
        <f>VLOOKUP($B290,'Tillförd energi'!$B$1:$AI$720,MATCH(R$1,'Tillförd energi'!$B$1:$AQ$1,0),FALSE)</f>
        <v>0</v>
      </c>
      <c r="S290" s="121">
        <f>VLOOKUP($B290,'Tillförd energi'!$B$1:$AI$720,MATCH(S$1,'Tillförd energi'!$B$1:$AQ$1,0),FALSE)</f>
        <v>0</v>
      </c>
      <c r="T290" s="121">
        <f>VLOOKUP($B290,'Tillförd energi'!$B$1:$AI$720,MATCH(T$1,'Tillförd energi'!$B$1:$AQ$1,0),FALSE)</f>
        <v>0</v>
      </c>
      <c r="U290" s="121">
        <f>VLOOKUP($B290,'Tillförd energi'!$B$1:$AI$720,MATCH(U$1,'Tillförd energi'!$B$1:$AQ$1,0),FALSE)</f>
        <v>0</v>
      </c>
      <c r="V290" s="121">
        <f>VLOOKUP($B290,'Tillförd energi'!$B$1:$AI$720,MATCH(V$1,'Tillförd energi'!$B$1:$AQ$1,0),FALSE)</f>
        <v>0</v>
      </c>
      <c r="W290" s="121">
        <f>VLOOKUP($B290,'Tillförd energi'!$B$1:$AI$720,MATCH(W$1,'Tillförd energi'!$B$1:$AQ$1,0),FALSE)</f>
        <v>0</v>
      </c>
      <c r="X290" s="121">
        <f>VLOOKUP($B290,'Tillförd energi'!$B$1:$AI$720,MATCH(X$1,'Tillförd energi'!$B$1:$AQ$1,0),FALSE)</f>
        <v>0</v>
      </c>
      <c r="Y290" s="121">
        <f>VLOOKUP($B290,'Tillförd energi'!$B$1:$AI$720,MATCH(Y$1,'Tillförd energi'!$B$1:$AQ$1,0),FALSE)</f>
        <v>0</v>
      </c>
      <c r="Z290" s="121">
        <f>VLOOKUP($B290,'Tillförd energi'!$B$1:$AI$720,MATCH(Z$1,'Tillförd energi'!$B$1:$AQ$1,0),FALSE)</f>
        <v>0</v>
      </c>
      <c r="AA290" s="121">
        <f>VLOOKUP($B290,'Tillförd energi'!$B$1:$AI$720,MATCH(AA$1,'Tillförd energi'!$B$1:$AQ$1,0),FALSE)</f>
        <v>0</v>
      </c>
      <c r="AB290" s="121">
        <f>VLOOKUP($B290,'Tillförd energi'!$B$1:$AI$720,MATCH(AB$1,'Tillförd energi'!$B$1:$AQ$1,0),FALSE)</f>
        <v>0</v>
      </c>
      <c r="AC290" s="121">
        <f>VLOOKUP($B290,'Tillförd energi'!$B$1:$AI$720,MATCH(AC$1,'Tillförd energi'!$B$1:$AQ$1,0),FALSE)</f>
        <v>0</v>
      </c>
      <c r="AD290" s="121">
        <f>VLOOKUP($B290,'Tillförd energi'!$B$1:$AI$720,MATCH(AD$1,'Tillförd energi'!$B$1:$AQ$1,0),FALSE)</f>
        <v>0</v>
      </c>
      <c r="AE290" s="121">
        <f>VLOOKUP($B290,'Tillförd energi'!$B$1:$AI$720,MATCH(AE$1,'Tillförd energi'!$B$1:$AQ$1,0),FALSE)</f>
        <v>0</v>
      </c>
      <c r="AF290" s="121">
        <f>VLOOKUP($B290,'Tillförd energi'!$B$1:$AI$720,MATCH(AF$1,'Tillförd energi'!$B$1:$AQ$1,0),FALSE)</f>
        <v>0</v>
      </c>
      <c r="AG290" s="121">
        <f>IFERROR(VLOOKUP(B290,Miljö!$B$1:$AC$550,MATCH("Köpt mängd produktionsspecifik fjärrvärme:",Miljö!$B$1:$AC$1,0),FALSE)/1,0)</f>
        <v>0</v>
      </c>
      <c r="AH290" s="121"/>
      <c r="AI290" s="121">
        <f t="shared" si="110"/>
        <v>0</v>
      </c>
      <c r="AJ290" s="121">
        <f t="shared" si="111"/>
        <v>0</v>
      </c>
      <c r="AK290" s="121" t="str">
        <f>IF(ISERROR(1/VLOOKUP($B290,Leveranser!$B$1:$S$499,MATCH("såld värme (gwh)",Leveranser!$B$1:$S$1,0),FALSE)),"",VLOOKUP($B290,Leveranser!$B$1:$S$499,MATCH("såld värme (gwh)",Leveranser!$B$1:$S$1,0),FALSE))</f>
        <v/>
      </c>
      <c r="AL290" s="121">
        <f>VLOOKUP($B290,Leveranser!$B$1:$Y$499,MATCH("Totalt såld fjärrvärme till andra fjärrvärmeföretag",Leveranser!$B$1:$AA$1,0),FALSE)</f>
        <v>0</v>
      </c>
      <c r="AM290" s="121">
        <f>IF(ISERROR(1/VLOOKUP($B290,Miljö!$B$1:$S$500,MATCH("Såld mängd produktionsspecifik fjärrvärme (GWh)",Miljö!$B$1:$R$1,0),FALSE)),0,VLOOKUP($B290,Miljö!$B$1:$S$500,MATCH("Såld mängd produktionsspecifik fjärrvärme (GWh)",Miljö!$B$1:$R$1,0),FALSE))</f>
        <v>0</v>
      </c>
      <c r="AN290" s="172" t="str">
        <f t="shared" si="112"/>
        <v/>
      </c>
      <c r="AO290" s="121"/>
      <c r="AP290" s="121" t="str">
        <f>IFERROR(VLOOKUP($B290,Miljövärden!$B$2:$H$550,7,FALSE),"Nej, saknas")</f>
        <v>Nej</v>
      </c>
      <c r="AQ290" s="121" t="str">
        <f>IFERROR(VLOOKUP($B290,Miljövärden!$B$2:$H$550,6,FALSE),"Nej, saknas")</f>
        <v>Ja</v>
      </c>
      <c r="AU290">
        <f t="shared" si="113"/>
        <v>0</v>
      </c>
      <c r="AV290">
        <f t="shared" si="114"/>
        <v>0</v>
      </c>
      <c r="AW290">
        <f t="shared" si="115"/>
        <v>0</v>
      </c>
      <c r="AX290">
        <f t="shared" si="116"/>
        <v>0</v>
      </c>
      <c r="AZ290">
        <f t="shared" si="117"/>
        <v>0</v>
      </c>
      <c r="BC290">
        <f t="shared" si="118"/>
        <v>0</v>
      </c>
      <c r="BD290">
        <f t="shared" si="119"/>
        <v>0</v>
      </c>
      <c r="BE290">
        <f t="shared" si="120"/>
        <v>0</v>
      </c>
      <c r="BF290">
        <f t="shared" si="121"/>
        <v>0</v>
      </c>
      <c r="BG290">
        <f t="shared" si="122"/>
        <v>0</v>
      </c>
      <c r="BH290">
        <f>VLOOKUP(B290,Miljö!$B$1:$BX$482,MATCH("Fossilandel för ursprungspecificerad el ()",Miljö!$B$1:$I$1,0),FALSE)</f>
        <v>0.43</v>
      </c>
      <c r="BI290">
        <f>VLOOKUP(B290,Miljö!$B$1:$BX$482,MATCH("Kärnkraftsandel för ursprungsspecificerad el ()",Miljö!$B$1:$O$1,0),FALSE)</f>
        <v>0.40550000000000003</v>
      </c>
      <c r="BJ290">
        <f t="shared" si="123"/>
        <v>0</v>
      </c>
      <c r="BK290" t="str">
        <f>VLOOKUP(B290,Miljö!$B$1:$O$482,MATCH("Fossil andel i procent (%)",Miljö!$B$1:$O$1,0),FALSE)</f>
        <v>ET</v>
      </c>
      <c r="BL290">
        <f t="shared" si="124"/>
        <v>0</v>
      </c>
      <c r="BO290" s="18" t="str">
        <f t="shared" si="125"/>
        <v/>
      </c>
      <c r="BP290" s="18" t="str">
        <f t="shared" si="126"/>
        <v/>
      </c>
      <c r="BQ290" s="18" t="str">
        <f t="shared" si="127"/>
        <v/>
      </c>
      <c r="BR290" s="18" t="str">
        <f t="shared" si="128"/>
        <v/>
      </c>
      <c r="BT290" s="27">
        <f t="shared" si="129"/>
        <v>0</v>
      </c>
      <c r="BW290" s="18" t="str">
        <f>IF(AP290="ja",VLOOKUP(B290,Miljövärden!$B$2:$H$550,MATCH("Total andel fossilt",Miljövärden!$B$2:$H$2,0),FALSE),"")</f>
        <v/>
      </c>
      <c r="BZ290" s="28" t="str">
        <f t="shared" si="130"/>
        <v/>
      </c>
      <c r="CA290" s="28" t="str">
        <f t="shared" si="131"/>
        <v/>
      </c>
    </row>
    <row r="291" spans="1:79" x14ac:dyDescent="0.25">
      <c r="A291" s="224" t="s">
        <v>591</v>
      </c>
      <c r="B291" s="210" t="s">
        <v>595</v>
      </c>
      <c r="C291" s="121">
        <f>VLOOKUP($B291,'Tillförd energi'!$B$1:$AI$720,MATCH(C$1,'Tillförd energi'!$B$1:$AQ$1,0),FALSE)</f>
        <v>0</v>
      </c>
      <c r="D291" s="121">
        <f>VLOOKUP($B291,'Tillförd energi'!$B$1:$AI$720,MATCH(D$1,'Tillförd energi'!$B$1:$AQ$1,0),FALSE)</f>
        <v>7.8E-2</v>
      </c>
      <c r="E291" s="121">
        <f>VLOOKUP($B291,'Tillförd energi'!$B$1:$AI$720,MATCH(E$1,'Tillförd energi'!$B$1:$AQ$1,0),FALSE)</f>
        <v>0</v>
      </c>
      <c r="F291" s="121">
        <f>VLOOKUP($B291,'Tillförd energi'!$B$1:$AI$720,MATCH(F$1,'Tillförd energi'!$B$1:$AQ$1,0),FALSE)</f>
        <v>0</v>
      </c>
      <c r="G291" s="121">
        <f>VLOOKUP($B291,'Tillförd energi'!$B$1:$AI$720,MATCH(G$1,'Tillförd energi'!$B$1:$AQ$1,0),FALSE)</f>
        <v>0</v>
      </c>
      <c r="H291" s="121">
        <f>VLOOKUP($B291,'Tillförd energi'!$B$1:$AI$720,MATCH(H$1,'Tillförd energi'!$B$1:$AQ$1,0),FALSE)</f>
        <v>0</v>
      </c>
      <c r="I291" s="121">
        <f>VLOOKUP($B291,'Tillförd energi'!$B$1:$AI$720,MATCH(I$1,'Tillförd energi'!$B$1:$AQ$1,0),FALSE)</f>
        <v>0</v>
      </c>
      <c r="J291" s="121">
        <f>VLOOKUP($B291,'Tillförd energi'!$B$1:$AI$720,MATCH(J$1,'Tillförd energi'!$B$1:$AQ$1,0),FALSE)</f>
        <v>0</v>
      </c>
      <c r="K291" s="121">
        <f>VLOOKUP($B291,'Tillförd energi'!$B$1:$AI$720,MATCH(K$1,'Tillförd energi'!$B$1:$AQ$1,0),FALSE)</f>
        <v>0</v>
      </c>
      <c r="L291" s="121">
        <f>VLOOKUP($B291,'Tillförd energi'!$B$1:$AI$720,MATCH(L$1,'Tillförd energi'!$B$1:$AQ$1,0),FALSE)</f>
        <v>0</v>
      </c>
      <c r="M291" s="121">
        <f>VLOOKUP($B291,'Tillförd energi'!$B$1:$AI$720,MATCH(M$1,'Tillförd energi'!$B$1:$AQ$1,0),FALSE)</f>
        <v>0</v>
      </c>
      <c r="N291" s="121">
        <f>VLOOKUP($B291,'Tillförd energi'!$B$1:$AI$720,MATCH(N$1,'Tillförd energi'!$B$1:$AQ$1,0),FALSE)</f>
        <v>0</v>
      </c>
      <c r="O291" s="121">
        <f>VLOOKUP($B291,'Tillförd energi'!$B$1:$AI$720,MATCH(O$1,'Tillförd energi'!$B$1:$AQ$1,0),FALSE)</f>
        <v>0</v>
      </c>
      <c r="P291" s="121">
        <f>VLOOKUP($B291,'Tillförd energi'!$B$1:$AI$720,MATCH(P$1,'Tillförd energi'!$B$1:$AQ$1,0),FALSE)</f>
        <v>0</v>
      </c>
      <c r="Q291" s="121">
        <f>VLOOKUP($B291,'Tillförd energi'!$B$1:$AI$720,MATCH(Q$1,'Tillförd energi'!$B$1:$AQ$1,0),FALSE)</f>
        <v>0</v>
      </c>
      <c r="R291" s="121">
        <f>VLOOKUP($B291,'Tillförd energi'!$B$1:$AI$720,MATCH(R$1,'Tillförd energi'!$B$1:$AQ$1,0),FALSE)</f>
        <v>3.968</v>
      </c>
      <c r="S291" s="121">
        <f>VLOOKUP($B291,'Tillförd energi'!$B$1:$AI$720,MATCH(S$1,'Tillförd energi'!$B$1:$AQ$1,0),FALSE)</f>
        <v>0</v>
      </c>
      <c r="T291" s="121">
        <f>VLOOKUP($B291,'Tillförd energi'!$B$1:$AI$720,MATCH(T$1,'Tillförd energi'!$B$1:$AQ$1,0),FALSE)</f>
        <v>0</v>
      </c>
      <c r="U291" s="121">
        <f>VLOOKUP($B291,'Tillförd energi'!$B$1:$AI$720,MATCH(U$1,'Tillförd energi'!$B$1:$AQ$1,0),FALSE)</f>
        <v>0</v>
      </c>
      <c r="V291" s="121">
        <f>VLOOKUP($B291,'Tillförd energi'!$B$1:$AI$720,MATCH(V$1,'Tillförd energi'!$B$1:$AQ$1,0),FALSE)</f>
        <v>0</v>
      </c>
      <c r="W291" s="121">
        <f>VLOOKUP($B291,'Tillförd energi'!$B$1:$AI$720,MATCH(W$1,'Tillförd energi'!$B$1:$AQ$1,0),FALSE)</f>
        <v>0</v>
      </c>
      <c r="X291" s="121">
        <f>VLOOKUP($B291,'Tillförd energi'!$B$1:$AI$720,MATCH(X$1,'Tillförd energi'!$B$1:$AQ$1,0),FALSE)</f>
        <v>0</v>
      </c>
      <c r="Y291" s="121">
        <f>VLOOKUP($B291,'Tillförd energi'!$B$1:$AI$720,MATCH(Y$1,'Tillförd energi'!$B$1:$AQ$1,0),FALSE)</f>
        <v>0</v>
      </c>
      <c r="Z291" s="121">
        <f>VLOOKUP($B291,'Tillförd energi'!$B$1:$AI$720,MATCH(Z$1,'Tillförd energi'!$B$1:$AQ$1,0),FALSE)</f>
        <v>0</v>
      </c>
      <c r="AA291" s="121">
        <f>VLOOKUP($B291,'Tillförd energi'!$B$1:$AI$720,MATCH(AA$1,'Tillförd energi'!$B$1:$AQ$1,0),FALSE)</f>
        <v>0</v>
      </c>
      <c r="AB291" s="121">
        <f>VLOOKUP($B291,'Tillförd energi'!$B$1:$AI$720,MATCH(AB$1,'Tillförd energi'!$B$1:$AQ$1,0),FALSE)</f>
        <v>0</v>
      </c>
      <c r="AC291" s="121">
        <f>VLOOKUP($B291,'Tillförd energi'!$B$1:$AI$720,MATCH(AC$1,'Tillförd energi'!$B$1:$AQ$1,0),FALSE)</f>
        <v>0</v>
      </c>
      <c r="AD291" s="121">
        <f>VLOOKUP($B291,'Tillförd energi'!$B$1:$AI$720,MATCH(AD$1,'Tillförd energi'!$B$1:$AQ$1,0),FALSE)</f>
        <v>0</v>
      </c>
      <c r="AE291" s="121">
        <f>VLOOKUP($B291,'Tillförd energi'!$B$1:$AI$720,MATCH(AE$1,'Tillförd energi'!$B$1:$AQ$1,0),FALSE)</f>
        <v>0</v>
      </c>
      <c r="AF291" s="121">
        <f>VLOOKUP($B291,'Tillförd energi'!$B$1:$AI$720,MATCH(AF$1,'Tillförd energi'!$B$1:$AQ$1,0),FALSE)</f>
        <v>5.7000000000000002E-2</v>
      </c>
      <c r="AG291" s="121">
        <f>IFERROR(VLOOKUP(B291,Miljö!$B$1:$AC$550,MATCH("Köpt mängd produktionsspecifik fjärrvärme:",Miljö!$B$1:$AC$1,0),FALSE)/1,0)</f>
        <v>0</v>
      </c>
      <c r="AH291" s="121"/>
      <c r="AI291" s="121">
        <f t="shared" si="110"/>
        <v>4.1030000000000006</v>
      </c>
      <c r="AJ291" s="121">
        <f t="shared" si="111"/>
        <v>4.1030000000000006</v>
      </c>
      <c r="AK291" s="121">
        <f>IF(ISERROR(1/VLOOKUP($B291,Leveranser!$B$1:$S$499,MATCH("såld värme (gwh)",Leveranser!$B$1:$S$1,0),FALSE)),"",VLOOKUP($B291,Leveranser!$B$1:$S$499,MATCH("såld värme (gwh)",Leveranser!$B$1:$S$1,0),FALSE))</f>
        <v>3.149</v>
      </c>
      <c r="AL291" s="121">
        <f>VLOOKUP($B291,Leveranser!$B$1:$Y$499,MATCH("Totalt såld fjärrvärme till andra fjärrvärmeföretag",Leveranser!$B$1:$AA$1,0),FALSE)</f>
        <v>0</v>
      </c>
      <c r="AM291" s="121">
        <f>IF(ISERROR(1/VLOOKUP($B291,Miljö!$B$1:$S$500,MATCH("Såld mängd produktionsspecifik fjärrvärme (GWh)",Miljö!$B$1:$R$1,0),FALSE)),0,VLOOKUP($B291,Miljö!$B$1:$S$500,MATCH("Såld mängd produktionsspecifik fjärrvärme (GWh)",Miljö!$B$1:$R$1,0),FALSE))</f>
        <v>0</v>
      </c>
      <c r="AN291" s="172">
        <f t="shared" si="112"/>
        <v>0.76748720448452346</v>
      </c>
      <c r="AO291" s="121"/>
      <c r="AP291" s="121" t="str">
        <f>IFERROR(VLOOKUP($B291,Miljövärden!$B$2:$H$550,7,FALSE),"Nej, saknas")</f>
        <v>Ja</v>
      </c>
      <c r="AQ291" s="121" t="str">
        <f>IFERROR(VLOOKUP($B291,Miljövärden!$B$2:$H$550,6,FALSE),"Nej, saknas")</f>
        <v>Ja</v>
      </c>
      <c r="AU291">
        <f t="shared" si="113"/>
        <v>5.7000000000000002E-2</v>
      </c>
      <c r="AV291">
        <f t="shared" si="114"/>
        <v>0</v>
      </c>
      <c r="AW291">
        <f t="shared" si="115"/>
        <v>0</v>
      </c>
      <c r="AX291">
        <f t="shared" si="116"/>
        <v>3.968</v>
      </c>
      <c r="AZ291">
        <f t="shared" si="117"/>
        <v>3.968</v>
      </c>
      <c r="BC291">
        <f t="shared" si="118"/>
        <v>7.8E-2</v>
      </c>
      <c r="BD291">
        <f t="shared" si="119"/>
        <v>0</v>
      </c>
      <c r="BE291">
        <f t="shared" si="120"/>
        <v>3.968</v>
      </c>
      <c r="BF291">
        <f t="shared" si="121"/>
        <v>0</v>
      </c>
      <c r="BG291">
        <f t="shared" si="122"/>
        <v>5.7000000000000002E-2</v>
      </c>
      <c r="BH291">
        <f>VLOOKUP(B291,Miljö!$B$1:$BX$482,MATCH("Fossilandel för ursprungspecificerad el ()",Miljö!$B$1:$I$1,0),FALSE)</f>
        <v>0</v>
      </c>
      <c r="BI291">
        <f>VLOOKUP(B291,Miljö!$B$1:$BX$482,MATCH("Kärnkraftsandel för ursprungsspecificerad el ()",Miljö!$B$1:$O$1,0),FALSE)</f>
        <v>0</v>
      </c>
      <c r="BJ291">
        <f t="shared" si="123"/>
        <v>0</v>
      </c>
      <c r="BK291" t="str">
        <f>VLOOKUP(B291,Miljö!$B$1:$O$482,MATCH("Fossil andel i procent (%)",Miljö!$B$1:$O$1,0),FALSE)</f>
        <v>ET</v>
      </c>
      <c r="BL291">
        <f t="shared" si="124"/>
        <v>4.1030000000000006</v>
      </c>
      <c r="BO291" s="18">
        <f t="shared" si="125"/>
        <v>1.9010480136485496E-2</v>
      </c>
      <c r="BP291" s="18">
        <f t="shared" si="126"/>
        <v>0</v>
      </c>
      <c r="BQ291" s="18">
        <f t="shared" si="127"/>
        <v>0.98098951986351446</v>
      </c>
      <c r="BR291" s="18">
        <f t="shared" si="128"/>
        <v>0</v>
      </c>
      <c r="BT291" s="27">
        <f t="shared" si="129"/>
        <v>1</v>
      </c>
      <c r="BW291" s="18">
        <f>IF(AP291="ja",VLOOKUP(B291,Miljövärden!$B$2:$H$550,MATCH("Total andel fossilt",Miljövärden!$B$2:$H$2,0),FALSE),"")</f>
        <v>1.90105E-2</v>
      </c>
      <c r="BZ291" s="28">
        <f t="shared" si="130"/>
        <v>1.9863514503365431E-8</v>
      </c>
      <c r="CA291" s="28">
        <f t="shared" si="131"/>
        <v>0</v>
      </c>
    </row>
    <row r="292" spans="1:79" x14ac:dyDescent="0.25">
      <c r="A292" s="224" t="s">
        <v>591</v>
      </c>
      <c r="B292" s="210" t="s">
        <v>597</v>
      </c>
      <c r="C292" s="121">
        <f>VLOOKUP($B292,'Tillförd energi'!$B$1:$AI$720,MATCH(C$1,'Tillförd energi'!$B$1:$AQ$1,0),FALSE)</f>
        <v>0</v>
      </c>
      <c r="D292" s="121">
        <f>VLOOKUP($B292,'Tillförd energi'!$B$1:$AI$720,MATCH(D$1,'Tillförd energi'!$B$1:$AQ$1,0),FALSE)</f>
        <v>0.96546100000000001</v>
      </c>
      <c r="E292" s="121">
        <f>VLOOKUP($B292,'Tillförd energi'!$B$1:$AI$720,MATCH(E$1,'Tillförd energi'!$B$1:$AQ$1,0),FALSE)</f>
        <v>0</v>
      </c>
      <c r="F292" s="121">
        <f>VLOOKUP($B292,'Tillförd energi'!$B$1:$AI$720,MATCH(F$1,'Tillförd energi'!$B$1:$AQ$1,0),FALSE)</f>
        <v>0</v>
      </c>
      <c r="G292" s="121">
        <f>VLOOKUP($B292,'Tillförd energi'!$B$1:$AI$720,MATCH(G$1,'Tillförd energi'!$B$1:$AQ$1,0),FALSE)</f>
        <v>0</v>
      </c>
      <c r="H292" s="121">
        <f>VLOOKUP($B292,'Tillförd energi'!$B$1:$AI$720,MATCH(H$1,'Tillförd energi'!$B$1:$AQ$1,0),FALSE)</f>
        <v>0</v>
      </c>
      <c r="I292" s="121">
        <f>VLOOKUP($B292,'Tillförd energi'!$B$1:$AI$720,MATCH(I$1,'Tillförd energi'!$B$1:$AQ$1,0),FALSE)</f>
        <v>0</v>
      </c>
      <c r="J292" s="121">
        <f>VLOOKUP($B292,'Tillförd energi'!$B$1:$AI$720,MATCH(J$1,'Tillförd energi'!$B$1:$AQ$1,0),FALSE)</f>
        <v>0</v>
      </c>
      <c r="K292" s="121">
        <f>VLOOKUP($B292,'Tillförd energi'!$B$1:$AI$720,MATCH(K$1,'Tillförd energi'!$B$1:$AQ$1,0),FALSE)</f>
        <v>0</v>
      </c>
      <c r="L292" s="121">
        <f>VLOOKUP($B292,'Tillförd energi'!$B$1:$AI$720,MATCH(L$1,'Tillförd energi'!$B$1:$AQ$1,0),FALSE)</f>
        <v>10.664400000000001</v>
      </c>
      <c r="M292" s="121">
        <f>VLOOKUP($B292,'Tillförd energi'!$B$1:$AI$720,MATCH(M$1,'Tillförd energi'!$B$1:$AQ$1,0),FALSE)</f>
        <v>24.8842</v>
      </c>
      <c r="N292" s="121">
        <f>VLOOKUP($B292,'Tillförd energi'!$B$1:$AI$720,MATCH(N$1,'Tillförd energi'!$B$1:$AQ$1,0),FALSE)</f>
        <v>35.121899999999997</v>
      </c>
      <c r="O292" s="121">
        <f>VLOOKUP($B292,'Tillförd energi'!$B$1:$AI$720,MATCH(O$1,'Tillförd energi'!$B$1:$AQ$1,0),FALSE)</f>
        <v>0</v>
      </c>
      <c r="P292" s="121">
        <f>VLOOKUP($B292,'Tillförd energi'!$B$1:$AI$720,MATCH(P$1,'Tillförd energi'!$B$1:$AQ$1,0),FALSE)</f>
        <v>13.989699999999999</v>
      </c>
      <c r="Q292" s="121">
        <f>VLOOKUP($B292,'Tillförd energi'!$B$1:$AI$720,MATCH(Q$1,'Tillförd energi'!$B$1:$AQ$1,0),FALSE)</f>
        <v>5.8413300000000001</v>
      </c>
      <c r="R292" s="121">
        <f>VLOOKUP($B292,'Tillförd energi'!$B$1:$AI$720,MATCH(R$1,'Tillförd energi'!$B$1:$AQ$1,0),FALSE)</f>
        <v>27.085000000000001</v>
      </c>
      <c r="S292" s="121">
        <f>VLOOKUP($B292,'Tillförd energi'!$B$1:$AI$720,MATCH(S$1,'Tillförd energi'!$B$1:$AQ$1,0),FALSE)</f>
        <v>0</v>
      </c>
      <c r="T292" s="121">
        <f>VLOOKUP($B292,'Tillförd energi'!$B$1:$AI$720,MATCH(T$1,'Tillförd energi'!$B$1:$AQ$1,0),FALSE)</f>
        <v>0</v>
      </c>
      <c r="U292" s="121">
        <f>VLOOKUP($B292,'Tillförd energi'!$B$1:$AI$720,MATCH(U$1,'Tillförd energi'!$B$1:$AQ$1,0),FALSE)</f>
        <v>0</v>
      </c>
      <c r="V292" s="121">
        <f>VLOOKUP($B292,'Tillförd energi'!$B$1:$AI$720,MATCH(V$1,'Tillförd energi'!$B$1:$AQ$1,0),FALSE)</f>
        <v>0</v>
      </c>
      <c r="W292" s="121">
        <f>VLOOKUP($B292,'Tillförd energi'!$B$1:$AI$720,MATCH(W$1,'Tillförd energi'!$B$1:$AQ$1,0),FALSE)</f>
        <v>0</v>
      </c>
      <c r="X292" s="121">
        <f>VLOOKUP($B292,'Tillförd energi'!$B$1:$AI$720,MATCH(X$1,'Tillförd energi'!$B$1:$AQ$1,0),FALSE)</f>
        <v>0</v>
      </c>
      <c r="Y292" s="121">
        <f>VLOOKUP($B292,'Tillförd energi'!$B$1:$AI$720,MATCH(Y$1,'Tillförd energi'!$B$1:$AQ$1,0),FALSE)</f>
        <v>0</v>
      </c>
      <c r="Z292" s="121">
        <f>VLOOKUP($B292,'Tillförd energi'!$B$1:$AI$720,MATCH(Z$1,'Tillförd energi'!$B$1:$AQ$1,0),FALSE)</f>
        <v>0</v>
      </c>
      <c r="AA292" s="121">
        <f>VLOOKUP($B292,'Tillförd energi'!$B$1:$AI$720,MATCH(AA$1,'Tillförd energi'!$B$1:$AQ$1,0),FALSE)</f>
        <v>0</v>
      </c>
      <c r="AB292" s="121">
        <f>VLOOKUP($B292,'Tillförd energi'!$B$1:$AI$720,MATCH(AB$1,'Tillförd energi'!$B$1:$AQ$1,0),FALSE)</f>
        <v>0</v>
      </c>
      <c r="AC292" s="121">
        <f>VLOOKUP($B292,'Tillförd energi'!$B$1:$AI$720,MATCH(AC$1,'Tillförd energi'!$B$1:$AQ$1,0),FALSE)</f>
        <v>21.395</v>
      </c>
      <c r="AD292" s="121">
        <f>VLOOKUP($B292,'Tillförd energi'!$B$1:$AI$720,MATCH(AD$1,'Tillförd energi'!$B$1:$AQ$1,0),FALSE)</f>
        <v>0</v>
      </c>
      <c r="AE292" s="121">
        <f>VLOOKUP($B292,'Tillförd energi'!$B$1:$AI$720,MATCH(AE$1,'Tillförd energi'!$B$1:$AQ$1,0),FALSE)</f>
        <v>0</v>
      </c>
      <c r="AF292" s="121">
        <f>VLOOKUP($B292,'Tillförd energi'!$B$1:$AI$720,MATCH(AF$1,'Tillförd energi'!$B$1:$AQ$1,0),FALSE)</f>
        <v>6.2671000000000001</v>
      </c>
      <c r="AG292" s="121">
        <f>IFERROR(VLOOKUP(B292,Miljö!$B$1:$AC$550,MATCH("Köpt mängd produktionsspecifik fjärrvärme:",Miljö!$B$1:$AC$1,0),FALSE)/1,0)</f>
        <v>0</v>
      </c>
      <c r="AH292" s="121"/>
      <c r="AI292" s="121">
        <f t="shared" si="110"/>
        <v>146.214091</v>
      </c>
      <c r="AJ292" s="121">
        <f t="shared" si="111"/>
        <v>146.214091</v>
      </c>
      <c r="AK292" s="121">
        <f>IF(ISERROR(1/VLOOKUP($B292,Leveranser!$B$1:$S$499,MATCH("såld värme (gwh)",Leveranser!$B$1:$S$1,0),FALSE)),"",VLOOKUP($B292,Leveranser!$B$1:$S$499,MATCH("såld värme (gwh)",Leveranser!$B$1:$S$1,0),FALSE))</f>
        <v>125.73699999999999</v>
      </c>
      <c r="AL292" s="121">
        <f>VLOOKUP($B292,Leveranser!$B$1:$Y$499,MATCH("Totalt såld fjärrvärme till andra fjärrvärmeföretag",Leveranser!$B$1:$AA$1,0),FALSE)</f>
        <v>0</v>
      </c>
      <c r="AM292" s="121">
        <f>IF(ISERROR(1/VLOOKUP($B292,Miljö!$B$1:$S$500,MATCH("Såld mängd produktionsspecifik fjärrvärme (GWh)",Miljö!$B$1:$R$1,0),FALSE)),0,VLOOKUP($B292,Miljö!$B$1:$S$500,MATCH("Såld mängd produktionsspecifik fjärrvärme (GWh)",Miljö!$B$1:$R$1,0),FALSE))</f>
        <v>0</v>
      </c>
      <c r="AN292" s="172">
        <f t="shared" si="112"/>
        <v>0.85995131618333553</v>
      </c>
      <c r="AO292" s="121"/>
      <c r="AP292" s="121" t="str">
        <f>IFERROR(VLOOKUP($B292,Miljövärden!$B$2:$H$550,7,FALSE),"Nej, saknas")</f>
        <v>Ja</v>
      </c>
      <c r="AQ292" s="121" t="str">
        <f>IFERROR(VLOOKUP($B292,Miljövärden!$B$2:$H$550,6,FALSE),"Nej, saknas")</f>
        <v>Ja</v>
      </c>
      <c r="AU292">
        <f t="shared" si="113"/>
        <v>6.2671000000000001</v>
      </c>
      <c r="AV292">
        <f t="shared" si="114"/>
        <v>0</v>
      </c>
      <c r="AW292">
        <f t="shared" si="115"/>
        <v>79.837130000000002</v>
      </c>
      <c r="AX292">
        <f t="shared" si="116"/>
        <v>27.085000000000001</v>
      </c>
      <c r="AZ292">
        <f t="shared" si="117"/>
        <v>117.58653000000001</v>
      </c>
      <c r="BC292">
        <f t="shared" si="118"/>
        <v>0.96546100000000001</v>
      </c>
      <c r="BD292">
        <f t="shared" si="119"/>
        <v>0</v>
      </c>
      <c r="BE292">
        <f t="shared" si="120"/>
        <v>106.92213000000001</v>
      </c>
      <c r="BF292">
        <f t="shared" si="121"/>
        <v>32.059399999999997</v>
      </c>
      <c r="BG292">
        <f t="shared" si="122"/>
        <v>6.2671000000000001</v>
      </c>
      <c r="BH292">
        <f>VLOOKUP(B292,Miljö!$B$1:$BX$482,MATCH("Fossilandel för ursprungspecificerad el ()",Miljö!$B$1:$I$1,0),FALSE)</f>
        <v>0</v>
      </c>
      <c r="BI292">
        <f>VLOOKUP(B292,Miljö!$B$1:$BX$482,MATCH("Kärnkraftsandel för ursprungsspecificerad el ()",Miljö!$B$1:$O$1,0),FALSE)</f>
        <v>0</v>
      </c>
      <c r="BJ292">
        <f t="shared" si="123"/>
        <v>0</v>
      </c>
      <c r="BK292" t="str">
        <f>VLOOKUP(B292,Miljö!$B$1:$O$482,MATCH("Fossil andel i procent (%)",Miljö!$B$1:$O$1,0),FALSE)</f>
        <v>ET</v>
      </c>
      <c r="BL292">
        <f t="shared" si="124"/>
        <v>146.21409100000002</v>
      </c>
      <c r="BO292" s="18">
        <f t="shared" si="125"/>
        <v>6.6030639960686132E-3</v>
      </c>
      <c r="BP292" s="18">
        <f t="shared" si="126"/>
        <v>0</v>
      </c>
      <c r="BQ292" s="18">
        <f t="shared" si="127"/>
        <v>0.77413352725353946</v>
      </c>
      <c r="BR292" s="18">
        <f t="shared" si="128"/>
        <v>0.21926340875039185</v>
      </c>
      <c r="BT292" s="27">
        <f t="shared" si="129"/>
        <v>0.99999999999999989</v>
      </c>
      <c r="BW292" s="18">
        <f>IF(AP292="ja",VLOOKUP(B292,Miljövärden!$B$2:$H$550,MATCH("Total andel fossilt",Miljövärden!$B$2:$H$2,0),FALSE),"")</f>
        <v>6.6030699999999999E-3</v>
      </c>
      <c r="BZ292" s="28">
        <f t="shared" si="130"/>
        <v>6.0039313867776833E-9</v>
      </c>
      <c r="CA292" s="28">
        <f t="shared" si="131"/>
        <v>0</v>
      </c>
    </row>
    <row r="293" spans="1:79" x14ac:dyDescent="0.25">
      <c r="A293" s="224" t="s">
        <v>598</v>
      </c>
      <c r="B293" s="210" t="s">
        <v>599</v>
      </c>
      <c r="C293" s="121">
        <f>VLOOKUP($B293,'Tillförd energi'!$B$1:$AI$720,MATCH(C$1,'Tillförd energi'!$B$1:$AQ$1,0),FALSE)</f>
        <v>0</v>
      </c>
      <c r="D293" s="121">
        <f>VLOOKUP($B293,'Tillförd energi'!$B$1:$AI$720,MATCH(D$1,'Tillförd energi'!$B$1:$AQ$1,0),FALSE)</f>
        <v>3.2195499999999999</v>
      </c>
      <c r="E293" s="121">
        <f>VLOOKUP($B293,'Tillförd energi'!$B$1:$AI$720,MATCH(E$1,'Tillförd energi'!$B$1:$AQ$1,0),FALSE)</f>
        <v>0</v>
      </c>
      <c r="F293" s="121">
        <f>VLOOKUP($B293,'Tillförd energi'!$B$1:$AI$720,MATCH(F$1,'Tillförd energi'!$B$1:$AQ$1,0),FALSE)</f>
        <v>4.0830000000000002</v>
      </c>
      <c r="G293" s="121">
        <f>VLOOKUP($B293,'Tillförd energi'!$B$1:$AI$720,MATCH(G$1,'Tillförd energi'!$B$1:$AQ$1,0),FALSE)</f>
        <v>0</v>
      </c>
      <c r="H293" s="121">
        <f>VLOOKUP($B293,'Tillförd energi'!$B$1:$AI$720,MATCH(H$1,'Tillförd energi'!$B$1:$AQ$1,0),FALSE)</f>
        <v>0</v>
      </c>
      <c r="I293" s="121">
        <f>VLOOKUP($B293,'Tillförd energi'!$B$1:$AI$720,MATCH(I$1,'Tillförd energi'!$B$1:$AQ$1,0),FALSE)</f>
        <v>191.08099999999999</v>
      </c>
      <c r="J293" s="121">
        <f>VLOOKUP($B293,'Tillförd energi'!$B$1:$AI$720,MATCH(J$1,'Tillförd energi'!$B$1:$AQ$1,0),FALSE)</f>
        <v>3.19</v>
      </c>
      <c r="K293" s="121">
        <f>VLOOKUP($B293,'Tillförd energi'!$B$1:$AI$720,MATCH(K$1,'Tillförd energi'!$B$1:$AQ$1,0),FALSE)</f>
        <v>0</v>
      </c>
      <c r="L293" s="121">
        <f>VLOOKUP($B293,'Tillförd energi'!$B$1:$AI$720,MATCH(L$1,'Tillförd energi'!$B$1:$AQ$1,0),FALSE)</f>
        <v>367.964</v>
      </c>
      <c r="M293" s="121">
        <f>VLOOKUP($B293,'Tillförd energi'!$B$1:$AI$720,MATCH(M$1,'Tillförd energi'!$B$1:$AQ$1,0),FALSE)</f>
        <v>26.953800000000001</v>
      </c>
      <c r="N293" s="121">
        <f>VLOOKUP($B293,'Tillförd energi'!$B$1:$AI$720,MATCH(N$1,'Tillförd energi'!$B$1:$AQ$1,0),FALSE)</f>
        <v>35.661099999999998</v>
      </c>
      <c r="O293" s="121">
        <f>VLOOKUP($B293,'Tillförd energi'!$B$1:$AI$720,MATCH(O$1,'Tillförd energi'!$B$1:$AQ$1,0),FALSE)</f>
        <v>45.449100000000001</v>
      </c>
      <c r="P293" s="121">
        <f>VLOOKUP($B293,'Tillförd energi'!$B$1:$AI$720,MATCH(P$1,'Tillförd energi'!$B$1:$AQ$1,0),FALSE)</f>
        <v>14.439500000000001</v>
      </c>
      <c r="Q293" s="121">
        <f>VLOOKUP($B293,'Tillförd energi'!$B$1:$AI$720,MATCH(Q$1,'Tillförd energi'!$B$1:$AQ$1,0),FALSE)</f>
        <v>0</v>
      </c>
      <c r="R293" s="121">
        <f>VLOOKUP($B293,'Tillförd energi'!$B$1:$AI$720,MATCH(R$1,'Tillförd energi'!$B$1:$AQ$1,0),FALSE)</f>
        <v>18.861999999999998</v>
      </c>
      <c r="S293" s="121">
        <f>VLOOKUP($B293,'Tillförd energi'!$B$1:$AI$720,MATCH(S$1,'Tillförd energi'!$B$1:$AQ$1,0),FALSE)</f>
        <v>0</v>
      </c>
      <c r="T293" s="121">
        <f>VLOOKUP($B293,'Tillförd energi'!$B$1:$AI$720,MATCH(T$1,'Tillförd energi'!$B$1:$AQ$1,0),FALSE)</f>
        <v>0</v>
      </c>
      <c r="U293" s="121">
        <f>VLOOKUP($B293,'Tillförd energi'!$B$1:$AI$720,MATCH(U$1,'Tillförd energi'!$B$1:$AQ$1,0),FALSE)</f>
        <v>0</v>
      </c>
      <c r="V293" s="121">
        <f>VLOOKUP($B293,'Tillförd energi'!$B$1:$AI$720,MATCH(V$1,'Tillförd energi'!$B$1:$AQ$1,0),FALSE)</f>
        <v>36.31</v>
      </c>
      <c r="W293" s="121">
        <f>VLOOKUP($B293,'Tillförd energi'!$B$1:$AI$720,MATCH(W$1,'Tillförd energi'!$B$1:$AQ$1,0),FALSE)</f>
        <v>13.082000000000001</v>
      </c>
      <c r="X293" s="121">
        <f>VLOOKUP($B293,'Tillförd energi'!$B$1:$AI$720,MATCH(X$1,'Tillförd energi'!$B$1:$AQ$1,0),FALSE)</f>
        <v>6.5456500000000001E-2</v>
      </c>
      <c r="Y293" s="121">
        <f>VLOOKUP($B293,'Tillförd energi'!$B$1:$AI$720,MATCH(Y$1,'Tillförd energi'!$B$1:$AQ$1,0),FALSE)</f>
        <v>0</v>
      </c>
      <c r="Z293" s="121">
        <f>VLOOKUP($B293,'Tillförd energi'!$B$1:$AI$720,MATCH(Z$1,'Tillförd energi'!$B$1:$AQ$1,0),FALSE)</f>
        <v>0</v>
      </c>
      <c r="AA293" s="121">
        <f>VLOOKUP($B293,'Tillförd energi'!$B$1:$AI$720,MATCH(AA$1,'Tillförd energi'!$B$1:$AQ$1,0),FALSE)</f>
        <v>1.413</v>
      </c>
      <c r="AB293" s="121">
        <f>VLOOKUP($B293,'Tillförd energi'!$B$1:$AI$720,MATCH(AB$1,'Tillförd energi'!$B$1:$AQ$1,0),FALSE)</f>
        <v>1.554</v>
      </c>
      <c r="AC293" s="121">
        <f>VLOOKUP($B293,'Tillförd energi'!$B$1:$AI$720,MATCH(AC$1,'Tillförd energi'!$B$1:$AQ$1,0),FALSE)</f>
        <v>163.19499999999999</v>
      </c>
      <c r="AD293" s="121">
        <f>VLOOKUP($B293,'Tillförd energi'!$B$1:$AI$720,MATCH(AD$1,'Tillförd energi'!$B$1:$AQ$1,0),FALSE)</f>
        <v>0</v>
      </c>
      <c r="AE293" s="121">
        <f>VLOOKUP($B293,'Tillförd energi'!$B$1:$AI$720,MATCH(AE$1,'Tillförd energi'!$B$1:$AQ$1,0),FALSE)</f>
        <v>0</v>
      </c>
      <c r="AF293" s="121">
        <f>VLOOKUP($B293,'Tillförd energi'!$B$1:$AI$720,MATCH(AF$1,'Tillförd energi'!$B$1:$AQ$1,0),FALSE)</f>
        <v>36.723799999999997</v>
      </c>
      <c r="AG293" s="121">
        <f>IFERROR(VLOOKUP(B293,Miljö!$B$1:$AC$550,MATCH("Köpt mängd produktionsspecifik fjärrvärme:",Miljö!$B$1:$AC$1,0),FALSE)/1,0)</f>
        <v>89.191999999999993</v>
      </c>
      <c r="AH293" s="121"/>
      <c r="AI293" s="121">
        <f t="shared" si="110"/>
        <v>963.24630649999995</v>
      </c>
      <c r="AJ293" s="121">
        <f t="shared" si="111"/>
        <v>1052.4383065</v>
      </c>
      <c r="AK293" s="121">
        <f>IF(ISERROR(1/VLOOKUP($B293,Leveranser!$B$1:$S$499,MATCH("såld värme (gwh)",Leveranser!$B$1:$S$1,0),FALSE)),"",VLOOKUP($B293,Leveranser!$B$1:$S$499,MATCH("såld värme (gwh)",Leveranser!$B$1:$S$1,0),FALSE))</f>
        <v>978.07899999999995</v>
      </c>
      <c r="AL293" s="121">
        <f>VLOOKUP($B293,Leveranser!$B$1:$Y$499,MATCH("Totalt såld fjärrvärme till andra fjärrvärmeföretag",Leveranser!$B$1:$AA$1,0),FALSE)</f>
        <v>0</v>
      </c>
      <c r="AM293" s="121">
        <f>IF(ISERROR(1/VLOOKUP($B293,Miljö!$B$1:$S$500,MATCH("Såld mängd produktionsspecifik fjärrvärme (GWh)",Miljö!$B$1:$R$1,0),FALSE)),0,VLOOKUP($B293,Miljö!$B$1:$S$500,MATCH("Såld mängd produktionsspecifik fjärrvärme (GWh)",Miljö!$B$1:$R$1,0),FALSE))</f>
        <v>0</v>
      </c>
      <c r="AN293" s="172">
        <f t="shared" si="112"/>
        <v>0.92934568606943802</v>
      </c>
      <c r="AO293" s="121"/>
      <c r="AP293" s="121" t="str">
        <f>IFERROR(VLOOKUP($B293,Miljövärden!$B$2:$H$550,7,FALSE),"Nej, saknas")</f>
        <v>Ja</v>
      </c>
      <c r="AQ293" s="121" t="str">
        <f>IFERROR(VLOOKUP($B293,Miljövärden!$B$2:$H$550,6,FALSE),"Nej, saknas")</f>
        <v>Ja</v>
      </c>
      <c r="AU293">
        <f t="shared" si="113"/>
        <v>38.136799999999994</v>
      </c>
      <c r="AV293">
        <f t="shared" si="114"/>
        <v>6.5456500000000001E-2</v>
      </c>
      <c r="AW293">
        <f t="shared" si="115"/>
        <v>122.50349999999999</v>
      </c>
      <c r="AX293">
        <f t="shared" si="116"/>
        <v>18.861999999999998</v>
      </c>
      <c r="AZ293">
        <f t="shared" si="117"/>
        <v>558.78695649999997</v>
      </c>
      <c r="BC293">
        <f t="shared" si="118"/>
        <v>7.3025500000000001</v>
      </c>
      <c r="BD293">
        <f t="shared" si="119"/>
        <v>0</v>
      </c>
      <c r="BE293">
        <f t="shared" si="120"/>
        <v>190.8229565</v>
      </c>
      <c r="BF293">
        <f t="shared" si="121"/>
        <v>726.98399999999992</v>
      </c>
      <c r="BG293">
        <f t="shared" si="122"/>
        <v>38.136799999999994</v>
      </c>
      <c r="BH293">
        <f>VLOOKUP(B293,Miljö!$B$1:$BX$482,MATCH("Fossilandel för ursprungspecificerad el ()",Miljö!$B$1:$I$1,0),FALSE)</f>
        <v>0</v>
      </c>
      <c r="BI293">
        <f>VLOOKUP(B293,Miljö!$B$1:$BX$482,MATCH("Kärnkraftsandel för ursprungsspecificerad el ()",Miljö!$B$1:$O$1,0),FALSE)</f>
        <v>0</v>
      </c>
      <c r="BJ293">
        <f t="shared" si="123"/>
        <v>89.191999999999993</v>
      </c>
      <c r="BK293">
        <f>VLOOKUP(B293,Miljö!$B$1:$O$482,MATCH("Fossil andel i procent (%)",Miljö!$B$1:$O$1,0),FALSE)</f>
        <v>12.1</v>
      </c>
      <c r="BL293">
        <f t="shared" si="124"/>
        <v>1052.4383065</v>
      </c>
      <c r="BO293" s="18">
        <f t="shared" si="125"/>
        <v>1.7193199723199167E-2</v>
      </c>
      <c r="BP293" s="18">
        <f t="shared" si="126"/>
        <v>7.4493457256156984E-2</v>
      </c>
      <c r="BQ293" s="18">
        <f t="shared" si="127"/>
        <v>0.21755171308941709</v>
      </c>
      <c r="BR293" s="18">
        <f t="shared" si="128"/>
        <v>0.69076162993122669</v>
      </c>
      <c r="BT293" s="27">
        <f t="shared" si="129"/>
        <v>1</v>
      </c>
      <c r="BW293" s="18">
        <f>IF(AP293="ja",VLOOKUP(B293,Miljövärden!$B$2:$H$550,MATCH("Total andel fossilt",Miljövärden!$B$2:$H$2,0),FALSE),"")</f>
        <v>1.7193199999999999E-2</v>
      </c>
      <c r="BZ293" s="28">
        <f t="shared" si="130"/>
        <v>2.7680083225511964E-10</v>
      </c>
      <c r="CA293" s="28">
        <f t="shared" si="131"/>
        <v>0</v>
      </c>
    </row>
    <row r="294" spans="1:79" x14ac:dyDescent="0.25">
      <c r="A294" s="224" t="s">
        <v>600</v>
      </c>
      <c r="B294" s="210" t="s">
        <v>132</v>
      </c>
      <c r="C294" s="121">
        <f>VLOOKUP($B294,'Tillförd energi'!$B$1:$AI$720,MATCH(C$1,'Tillförd energi'!$B$1:$AQ$1,0),FALSE)</f>
        <v>0</v>
      </c>
      <c r="D294" s="121">
        <f>VLOOKUP($B294,'Tillförd energi'!$B$1:$AI$720,MATCH(D$1,'Tillförd energi'!$B$1:$AQ$1,0),FALSE)</f>
        <v>0</v>
      </c>
      <c r="E294" s="121">
        <f>VLOOKUP($B294,'Tillförd energi'!$B$1:$AI$720,MATCH(E$1,'Tillförd energi'!$B$1:$AQ$1,0),FALSE)</f>
        <v>0</v>
      </c>
      <c r="F294" s="121">
        <f>VLOOKUP($B294,'Tillförd energi'!$B$1:$AI$720,MATCH(F$1,'Tillförd energi'!$B$1:$AQ$1,0),FALSE)</f>
        <v>0</v>
      </c>
      <c r="G294" s="121">
        <f>VLOOKUP($B294,'Tillförd energi'!$B$1:$AI$720,MATCH(G$1,'Tillförd energi'!$B$1:$AQ$1,0),FALSE)</f>
        <v>0</v>
      </c>
      <c r="H294" s="121">
        <f>VLOOKUP($B294,'Tillförd energi'!$B$1:$AI$720,MATCH(H$1,'Tillförd energi'!$B$1:$AQ$1,0),FALSE)</f>
        <v>0</v>
      </c>
      <c r="I294" s="121">
        <f>VLOOKUP($B294,'Tillförd energi'!$B$1:$AI$720,MATCH(I$1,'Tillförd energi'!$B$1:$AQ$1,0),FALSE)</f>
        <v>0</v>
      </c>
      <c r="J294" s="121">
        <f>VLOOKUP($B294,'Tillförd energi'!$B$1:$AI$720,MATCH(J$1,'Tillförd energi'!$B$1:$AQ$1,0),FALSE)</f>
        <v>0</v>
      </c>
      <c r="K294" s="121">
        <f>VLOOKUP($B294,'Tillförd energi'!$B$1:$AI$720,MATCH(K$1,'Tillförd energi'!$B$1:$AQ$1,0),FALSE)</f>
        <v>0</v>
      </c>
      <c r="L294" s="121">
        <f>VLOOKUP($B294,'Tillförd energi'!$B$1:$AI$720,MATCH(L$1,'Tillförd energi'!$B$1:$AQ$1,0),FALSE)</f>
        <v>0</v>
      </c>
      <c r="M294" s="121">
        <f>VLOOKUP($B294,'Tillförd energi'!$B$1:$AI$720,MATCH(M$1,'Tillförd energi'!$B$1:$AQ$1,0),FALSE)</f>
        <v>0</v>
      </c>
      <c r="N294" s="121">
        <f>VLOOKUP($B294,'Tillförd energi'!$B$1:$AI$720,MATCH(N$1,'Tillförd energi'!$B$1:$AQ$1,0),FALSE)</f>
        <v>0</v>
      </c>
      <c r="O294" s="121">
        <f>VLOOKUP($B294,'Tillförd energi'!$B$1:$AI$720,MATCH(O$1,'Tillförd energi'!$B$1:$AQ$1,0),FALSE)</f>
        <v>0</v>
      </c>
      <c r="P294" s="121">
        <f>VLOOKUP($B294,'Tillförd energi'!$B$1:$AI$720,MATCH(P$1,'Tillförd energi'!$B$1:$AQ$1,0),FALSE)</f>
        <v>0</v>
      </c>
      <c r="Q294" s="121">
        <f>VLOOKUP($B294,'Tillförd energi'!$B$1:$AI$720,MATCH(Q$1,'Tillförd energi'!$B$1:$AQ$1,0),FALSE)</f>
        <v>0</v>
      </c>
      <c r="R294" s="121">
        <f>VLOOKUP($B294,'Tillförd energi'!$B$1:$AI$720,MATCH(R$1,'Tillförd energi'!$B$1:$AQ$1,0),FALSE)</f>
        <v>0</v>
      </c>
      <c r="S294" s="121">
        <f>VLOOKUP($B294,'Tillförd energi'!$B$1:$AI$720,MATCH(S$1,'Tillförd energi'!$B$1:$AQ$1,0),FALSE)</f>
        <v>0</v>
      </c>
      <c r="T294" s="121">
        <f>VLOOKUP($B294,'Tillförd energi'!$B$1:$AI$720,MATCH(T$1,'Tillförd energi'!$B$1:$AQ$1,0),FALSE)</f>
        <v>0</v>
      </c>
      <c r="U294" s="121">
        <f>VLOOKUP($B294,'Tillförd energi'!$B$1:$AI$720,MATCH(U$1,'Tillförd energi'!$B$1:$AQ$1,0),FALSE)</f>
        <v>0</v>
      </c>
      <c r="V294" s="121">
        <f>VLOOKUP($B294,'Tillförd energi'!$B$1:$AI$720,MATCH(V$1,'Tillförd energi'!$B$1:$AQ$1,0),FALSE)</f>
        <v>0</v>
      </c>
      <c r="W294" s="121">
        <f>VLOOKUP($B294,'Tillförd energi'!$B$1:$AI$720,MATCH(W$1,'Tillförd energi'!$B$1:$AQ$1,0),FALSE)</f>
        <v>0</v>
      </c>
      <c r="X294" s="121">
        <f>VLOOKUP($B294,'Tillförd energi'!$B$1:$AI$720,MATCH(X$1,'Tillförd energi'!$B$1:$AQ$1,0),FALSE)</f>
        <v>0</v>
      </c>
      <c r="Y294" s="121">
        <f>VLOOKUP($B294,'Tillförd energi'!$B$1:$AI$720,MATCH(Y$1,'Tillförd energi'!$B$1:$AQ$1,0),FALSE)</f>
        <v>0</v>
      </c>
      <c r="Z294" s="121">
        <f>VLOOKUP($B294,'Tillförd energi'!$B$1:$AI$720,MATCH(Z$1,'Tillförd energi'!$B$1:$AQ$1,0),FALSE)</f>
        <v>0</v>
      </c>
      <c r="AA294" s="121">
        <f>VLOOKUP($B294,'Tillförd energi'!$B$1:$AI$720,MATCH(AA$1,'Tillförd energi'!$B$1:$AQ$1,0),FALSE)</f>
        <v>0</v>
      </c>
      <c r="AB294" s="121">
        <f>VLOOKUP($B294,'Tillförd energi'!$B$1:$AI$720,MATCH(AB$1,'Tillförd energi'!$B$1:$AQ$1,0),FALSE)</f>
        <v>0</v>
      </c>
      <c r="AC294" s="121">
        <f>VLOOKUP($B294,'Tillförd energi'!$B$1:$AI$720,MATCH(AC$1,'Tillförd energi'!$B$1:$AQ$1,0),FALSE)</f>
        <v>0</v>
      </c>
      <c r="AD294" s="121">
        <f>VLOOKUP($B294,'Tillförd energi'!$B$1:$AI$720,MATCH(AD$1,'Tillförd energi'!$B$1:$AQ$1,0),FALSE)</f>
        <v>0</v>
      </c>
      <c r="AE294" s="121">
        <f>VLOOKUP($B294,'Tillförd energi'!$B$1:$AI$720,MATCH(AE$1,'Tillförd energi'!$B$1:$AQ$1,0),FALSE)</f>
        <v>0</v>
      </c>
      <c r="AF294" s="121">
        <f>VLOOKUP($B294,'Tillförd energi'!$B$1:$AI$720,MATCH(AF$1,'Tillförd energi'!$B$1:$AQ$1,0),FALSE)</f>
        <v>0</v>
      </c>
      <c r="AG294" s="121">
        <f>IFERROR(VLOOKUP(B294,Miljö!$B$1:$AC$550,MATCH("Köpt mängd produktionsspecifik fjärrvärme:",Miljö!$B$1:$AC$1,0),FALSE)/1,0)</f>
        <v>0</v>
      </c>
      <c r="AH294" s="121"/>
      <c r="AI294" s="121">
        <f t="shared" si="110"/>
        <v>0</v>
      </c>
      <c r="AJ294" s="121">
        <f t="shared" si="111"/>
        <v>0</v>
      </c>
      <c r="AK294" s="121" t="str">
        <f>IF(ISERROR(1/VLOOKUP($B294,Leveranser!$B$1:$S$499,MATCH("såld värme (gwh)",Leveranser!$B$1:$S$1,0),FALSE)),"",VLOOKUP($B294,Leveranser!$B$1:$S$499,MATCH("såld värme (gwh)",Leveranser!$B$1:$S$1,0),FALSE))</f>
        <v/>
      </c>
      <c r="AL294" s="121">
        <f>VLOOKUP($B294,Leveranser!$B$1:$Y$499,MATCH("Totalt såld fjärrvärme till andra fjärrvärmeföretag",Leveranser!$B$1:$AA$1,0),FALSE)</f>
        <v>0</v>
      </c>
      <c r="AM294" s="121">
        <f>IF(ISERROR(1/VLOOKUP($B294,Miljö!$B$1:$S$500,MATCH("Såld mängd produktionsspecifik fjärrvärme (GWh)",Miljö!$B$1:$R$1,0),FALSE)),0,VLOOKUP($B294,Miljö!$B$1:$S$500,MATCH("Såld mängd produktionsspecifik fjärrvärme (GWh)",Miljö!$B$1:$R$1,0),FALSE))</f>
        <v>0</v>
      </c>
      <c r="AN294" s="172" t="str">
        <f t="shared" si="112"/>
        <v/>
      </c>
      <c r="AO294" s="121"/>
      <c r="AP294" s="121" t="str">
        <f>IFERROR(VLOOKUP($B294,Miljövärden!$B$2:$H$550,7,FALSE),"Nej, saknas")</f>
        <v>Nej</v>
      </c>
      <c r="AQ294" s="121" t="str">
        <f>IFERROR(VLOOKUP($B294,Miljövärden!$B$2:$H$550,6,FALSE),"Nej, saknas")</f>
        <v>Nej</v>
      </c>
      <c r="AU294">
        <f t="shared" si="113"/>
        <v>0</v>
      </c>
      <c r="AV294">
        <f t="shared" si="114"/>
        <v>0</v>
      </c>
      <c r="AW294">
        <f t="shared" si="115"/>
        <v>0</v>
      </c>
      <c r="AX294">
        <f t="shared" si="116"/>
        <v>0</v>
      </c>
      <c r="AZ294">
        <f t="shared" si="117"/>
        <v>0</v>
      </c>
      <c r="BC294">
        <f t="shared" si="118"/>
        <v>0</v>
      </c>
      <c r="BD294">
        <f t="shared" si="119"/>
        <v>0</v>
      </c>
      <c r="BE294">
        <f t="shared" si="120"/>
        <v>0</v>
      </c>
      <c r="BF294">
        <f t="shared" si="121"/>
        <v>0</v>
      </c>
      <c r="BG294">
        <f t="shared" si="122"/>
        <v>0</v>
      </c>
      <c r="BH294" t="str">
        <f>VLOOKUP(B294,Miljö!$B$1:$BX$482,MATCH("Fossilandel för ursprungspecificerad el ()",Miljö!$B$1:$I$1,0),FALSE)</f>
        <v>-</v>
      </c>
      <c r="BI294" t="str">
        <f>VLOOKUP(B294,Miljö!$B$1:$BX$482,MATCH("Kärnkraftsandel för ursprungsspecificerad el ()",Miljö!$B$1:$O$1,0),FALSE)</f>
        <v>-</v>
      </c>
      <c r="BJ294">
        <f t="shared" si="123"/>
        <v>0</v>
      </c>
      <c r="BK294" t="str">
        <f>VLOOKUP(B294,Miljö!$B$1:$O$482,MATCH("Fossil andel i procent (%)",Miljö!$B$1:$O$1,0),FALSE)</f>
        <v>-</v>
      </c>
      <c r="BL294">
        <f t="shared" si="124"/>
        <v>0</v>
      </c>
      <c r="BO294" s="18" t="str">
        <f t="shared" si="125"/>
        <v/>
      </c>
      <c r="BP294" s="18" t="str">
        <f t="shared" si="126"/>
        <v/>
      </c>
      <c r="BQ294" s="18" t="str">
        <f t="shared" si="127"/>
        <v/>
      </c>
      <c r="BR294" s="18" t="str">
        <f t="shared" si="128"/>
        <v/>
      </c>
      <c r="BT294" s="27">
        <f t="shared" si="129"/>
        <v>0</v>
      </c>
      <c r="BW294" s="18" t="str">
        <f>IF(AP294="ja",VLOOKUP(B294,Miljövärden!$B$2:$H$550,MATCH("Total andel fossilt",Miljövärden!$B$2:$H$2,0),FALSE),"")</f>
        <v/>
      </c>
      <c r="BZ294" s="28" t="str">
        <f t="shared" si="130"/>
        <v/>
      </c>
      <c r="CA294" s="28" t="str">
        <f t="shared" si="131"/>
        <v/>
      </c>
    </row>
    <row r="295" spans="1:79" x14ac:dyDescent="0.25">
      <c r="A295" s="224" t="s">
        <v>601</v>
      </c>
      <c r="B295" s="210" t="s">
        <v>602</v>
      </c>
      <c r="C295" s="121">
        <f>VLOOKUP($B295,'Tillförd energi'!$B$1:$AI$720,MATCH(C$1,'Tillförd energi'!$B$1:$AQ$1,0),FALSE)</f>
        <v>0</v>
      </c>
      <c r="D295" s="121">
        <f>VLOOKUP($B295,'Tillförd energi'!$B$1:$AI$720,MATCH(D$1,'Tillförd energi'!$B$1:$AQ$1,0),FALSE)</f>
        <v>0</v>
      </c>
      <c r="E295" s="121">
        <f>VLOOKUP($B295,'Tillförd energi'!$B$1:$AI$720,MATCH(E$1,'Tillförd energi'!$B$1:$AQ$1,0),FALSE)</f>
        <v>0</v>
      </c>
      <c r="F295" s="121">
        <f>VLOOKUP($B295,'Tillförd energi'!$B$1:$AI$720,MATCH(F$1,'Tillförd energi'!$B$1:$AQ$1,0),FALSE)</f>
        <v>0</v>
      </c>
      <c r="G295" s="121">
        <f>VLOOKUP($B295,'Tillförd energi'!$B$1:$AI$720,MATCH(G$1,'Tillförd energi'!$B$1:$AQ$1,0),FALSE)</f>
        <v>0</v>
      </c>
      <c r="H295" s="121">
        <f>VLOOKUP($B295,'Tillförd energi'!$B$1:$AI$720,MATCH(H$1,'Tillförd energi'!$B$1:$AQ$1,0),FALSE)</f>
        <v>0</v>
      </c>
      <c r="I295" s="121">
        <f>VLOOKUP($B295,'Tillförd energi'!$B$1:$AI$720,MATCH(I$1,'Tillförd energi'!$B$1:$AQ$1,0),FALSE)</f>
        <v>0</v>
      </c>
      <c r="J295" s="121">
        <f>VLOOKUP($B295,'Tillförd energi'!$B$1:$AI$720,MATCH(J$1,'Tillförd energi'!$B$1:$AQ$1,0),FALSE)</f>
        <v>0</v>
      </c>
      <c r="K295" s="121">
        <f>VLOOKUP($B295,'Tillförd energi'!$B$1:$AI$720,MATCH(K$1,'Tillförd energi'!$B$1:$AQ$1,0),FALSE)</f>
        <v>0</v>
      </c>
      <c r="L295" s="121">
        <f>VLOOKUP($B295,'Tillförd energi'!$B$1:$AI$720,MATCH(L$1,'Tillförd energi'!$B$1:$AQ$1,0),FALSE)</f>
        <v>0</v>
      </c>
      <c r="M295" s="121">
        <f>VLOOKUP($B295,'Tillförd energi'!$B$1:$AI$720,MATCH(M$1,'Tillförd energi'!$B$1:$AQ$1,0),FALSE)</f>
        <v>0</v>
      </c>
      <c r="N295" s="121">
        <f>VLOOKUP($B295,'Tillförd energi'!$B$1:$AI$720,MATCH(N$1,'Tillförd energi'!$B$1:$AQ$1,0),FALSE)</f>
        <v>16.2</v>
      </c>
      <c r="O295" s="121">
        <f>VLOOKUP($B295,'Tillförd energi'!$B$1:$AI$720,MATCH(O$1,'Tillförd energi'!$B$1:$AQ$1,0),FALSE)</f>
        <v>0</v>
      </c>
      <c r="P295" s="121">
        <f>VLOOKUP($B295,'Tillförd energi'!$B$1:$AI$720,MATCH(P$1,'Tillförd energi'!$B$1:$AQ$1,0),FALSE)</f>
        <v>7.0000000000000007E-2</v>
      </c>
      <c r="Q295" s="121">
        <f>VLOOKUP($B295,'Tillförd energi'!$B$1:$AI$720,MATCH(Q$1,'Tillförd energi'!$B$1:$AQ$1,0),FALSE)</f>
        <v>0</v>
      </c>
      <c r="R295" s="121">
        <f>VLOOKUP($B295,'Tillförd energi'!$B$1:$AI$720,MATCH(R$1,'Tillförd energi'!$B$1:$AQ$1,0),FALSE)</f>
        <v>0</v>
      </c>
      <c r="S295" s="121">
        <f>VLOOKUP($B295,'Tillförd energi'!$B$1:$AI$720,MATCH(S$1,'Tillförd energi'!$B$1:$AQ$1,0),FALSE)</f>
        <v>0</v>
      </c>
      <c r="T295" s="121">
        <f>VLOOKUP($B295,'Tillförd energi'!$B$1:$AI$720,MATCH(T$1,'Tillförd energi'!$B$1:$AQ$1,0),FALSE)</f>
        <v>0</v>
      </c>
      <c r="U295" s="121">
        <f>VLOOKUP($B295,'Tillförd energi'!$B$1:$AI$720,MATCH(U$1,'Tillförd energi'!$B$1:$AQ$1,0),FALSE)</f>
        <v>0</v>
      </c>
      <c r="V295" s="121">
        <f>VLOOKUP($B295,'Tillförd energi'!$B$1:$AI$720,MATCH(V$1,'Tillförd energi'!$B$1:$AQ$1,0),FALSE)</f>
        <v>0</v>
      </c>
      <c r="W295" s="121">
        <f>VLOOKUP($B295,'Tillförd energi'!$B$1:$AI$720,MATCH(W$1,'Tillförd energi'!$B$1:$AQ$1,0),FALSE)</f>
        <v>1.4</v>
      </c>
      <c r="X295" s="121">
        <f>VLOOKUP($B295,'Tillförd energi'!$B$1:$AI$720,MATCH(X$1,'Tillförd energi'!$B$1:$AQ$1,0),FALSE)</f>
        <v>0</v>
      </c>
      <c r="Y295" s="121">
        <f>VLOOKUP($B295,'Tillförd energi'!$B$1:$AI$720,MATCH(Y$1,'Tillförd energi'!$B$1:$AQ$1,0),FALSE)</f>
        <v>0</v>
      </c>
      <c r="Z295" s="121">
        <f>VLOOKUP($B295,'Tillförd energi'!$B$1:$AI$720,MATCH(Z$1,'Tillförd energi'!$B$1:$AQ$1,0),FALSE)</f>
        <v>0</v>
      </c>
      <c r="AA295" s="121">
        <f>VLOOKUP($B295,'Tillförd energi'!$B$1:$AI$720,MATCH(AA$1,'Tillförd energi'!$B$1:$AQ$1,0),FALSE)</f>
        <v>0</v>
      </c>
      <c r="AB295" s="121">
        <f>VLOOKUP($B295,'Tillförd energi'!$B$1:$AI$720,MATCH(AB$1,'Tillförd energi'!$B$1:$AQ$1,0),FALSE)</f>
        <v>0</v>
      </c>
      <c r="AC295" s="121">
        <f>VLOOKUP($B295,'Tillförd energi'!$B$1:$AI$720,MATCH(AC$1,'Tillförd energi'!$B$1:$AQ$1,0),FALSE)</f>
        <v>0</v>
      </c>
      <c r="AD295" s="121">
        <f>VLOOKUP($B295,'Tillförd energi'!$B$1:$AI$720,MATCH(AD$1,'Tillförd energi'!$B$1:$AQ$1,0),FALSE)</f>
        <v>0</v>
      </c>
      <c r="AE295" s="121">
        <f>VLOOKUP($B295,'Tillförd energi'!$B$1:$AI$720,MATCH(AE$1,'Tillförd energi'!$B$1:$AQ$1,0),FALSE)</f>
        <v>0</v>
      </c>
      <c r="AF295" s="121">
        <f>VLOOKUP($B295,'Tillförd energi'!$B$1:$AI$720,MATCH(AF$1,'Tillförd energi'!$B$1:$AQ$1,0),FALSE)</f>
        <v>0.42099999999999999</v>
      </c>
      <c r="AG295" s="121">
        <f>IFERROR(VLOOKUP(B295,Miljö!$B$1:$AC$550,MATCH("Köpt mängd produktionsspecifik fjärrvärme:",Miljö!$B$1:$AC$1,0),FALSE)/1,0)</f>
        <v>0</v>
      </c>
      <c r="AH295" s="121"/>
      <c r="AI295" s="121">
        <f t="shared" si="110"/>
        <v>18.090999999999998</v>
      </c>
      <c r="AJ295" s="121">
        <f t="shared" si="111"/>
        <v>18.090999999999998</v>
      </c>
      <c r="AK295" s="121">
        <f>IF(ISERROR(1/VLOOKUP($B295,Leveranser!$B$1:$S$499,MATCH("såld värme (gwh)",Leveranser!$B$1:$S$1,0),FALSE)),"",VLOOKUP($B295,Leveranser!$B$1:$S$499,MATCH("såld värme (gwh)",Leveranser!$B$1:$S$1,0),FALSE))</f>
        <v>11.2</v>
      </c>
      <c r="AL295" s="121">
        <f>VLOOKUP($B295,Leveranser!$B$1:$Y$499,MATCH("Totalt såld fjärrvärme till andra fjärrvärmeföretag",Leveranser!$B$1:$AA$1,0),FALSE)</f>
        <v>0</v>
      </c>
      <c r="AM295" s="121">
        <f>IF(ISERROR(1/VLOOKUP($B295,Miljö!$B$1:$S$500,MATCH("Såld mängd produktionsspecifik fjärrvärme (GWh)",Miljö!$B$1:$R$1,0),FALSE)),0,VLOOKUP($B295,Miljö!$B$1:$S$500,MATCH("Såld mängd produktionsspecifik fjärrvärme (GWh)",Miljö!$B$1:$R$1,0),FALSE))</f>
        <v>0</v>
      </c>
      <c r="AN295" s="172">
        <f t="shared" si="112"/>
        <v>0.6190923663700183</v>
      </c>
      <c r="AO295" s="121"/>
      <c r="AP295" s="121" t="str">
        <f>IFERROR(VLOOKUP($B295,Miljövärden!$B$2:$H$550,7,FALSE),"Nej, saknas")</f>
        <v>Ja</v>
      </c>
      <c r="AQ295" s="121" t="str">
        <f>IFERROR(VLOOKUP($B295,Miljövärden!$B$2:$H$550,6,FALSE),"Nej, saknas")</f>
        <v>Ja</v>
      </c>
      <c r="AU295">
        <f t="shared" si="113"/>
        <v>0.42099999999999999</v>
      </c>
      <c r="AV295">
        <f t="shared" si="114"/>
        <v>0</v>
      </c>
      <c r="AW295">
        <f t="shared" si="115"/>
        <v>16.27</v>
      </c>
      <c r="AX295">
        <f t="shared" si="116"/>
        <v>0</v>
      </c>
      <c r="AZ295">
        <f t="shared" si="117"/>
        <v>17.669999999999998</v>
      </c>
      <c r="BC295">
        <f t="shared" si="118"/>
        <v>0</v>
      </c>
      <c r="BD295">
        <f t="shared" si="119"/>
        <v>0</v>
      </c>
      <c r="BE295">
        <f t="shared" si="120"/>
        <v>17.669999999999998</v>
      </c>
      <c r="BF295">
        <f t="shared" si="121"/>
        <v>0</v>
      </c>
      <c r="BG295">
        <f t="shared" si="122"/>
        <v>0.42099999999999999</v>
      </c>
      <c r="BH295">
        <f>VLOOKUP(B295,Miljö!$B$1:$BX$482,MATCH("Fossilandel för ursprungspecificerad el ()",Miljö!$B$1:$I$1,0),FALSE)</f>
        <v>0</v>
      </c>
      <c r="BI295">
        <f>VLOOKUP(B295,Miljö!$B$1:$BX$482,MATCH("Kärnkraftsandel för ursprungsspecificerad el ()",Miljö!$B$1:$O$1,0),FALSE)</f>
        <v>0</v>
      </c>
      <c r="BJ295">
        <f t="shared" si="123"/>
        <v>0</v>
      </c>
      <c r="BK295" t="str">
        <f>VLOOKUP(B295,Miljö!$B$1:$O$482,MATCH("Fossil andel i procent (%)",Miljö!$B$1:$O$1,0),FALSE)</f>
        <v>ET</v>
      </c>
      <c r="BL295">
        <f t="shared" si="124"/>
        <v>18.090999999999998</v>
      </c>
      <c r="BO295" s="18">
        <f t="shared" si="125"/>
        <v>0</v>
      </c>
      <c r="BP295" s="18">
        <f t="shared" si="126"/>
        <v>0</v>
      </c>
      <c r="BQ295" s="18">
        <f t="shared" si="127"/>
        <v>1</v>
      </c>
      <c r="BR295" s="18">
        <f t="shared" si="128"/>
        <v>0</v>
      </c>
      <c r="BT295" s="27">
        <f t="shared" si="129"/>
        <v>1</v>
      </c>
      <c r="BW295" s="18">
        <f>IF(AP295="ja",VLOOKUP(B295,Miljövärden!$B$2:$H$550,MATCH("Total andel fossilt",Miljövärden!$B$2:$H$2,0),FALSE),"")</f>
        <v>0</v>
      </c>
      <c r="BZ295" s="28">
        <f t="shared" si="130"/>
        <v>0</v>
      </c>
      <c r="CA295" s="28">
        <f t="shared" si="131"/>
        <v>0</v>
      </c>
    </row>
    <row r="296" spans="1:79" x14ac:dyDescent="0.25">
      <c r="A296" s="224" t="s">
        <v>601</v>
      </c>
      <c r="B296" s="210" t="s">
        <v>603</v>
      </c>
      <c r="C296" s="121">
        <f>VLOOKUP($B296,'Tillförd energi'!$B$1:$AI$720,MATCH(C$1,'Tillförd energi'!$B$1:$AQ$1,0),FALSE)</f>
        <v>0</v>
      </c>
      <c r="D296" s="121">
        <f>VLOOKUP($B296,'Tillförd energi'!$B$1:$AI$720,MATCH(D$1,'Tillförd energi'!$B$1:$AQ$1,0),FALSE)</f>
        <v>0</v>
      </c>
      <c r="E296" s="121">
        <f>VLOOKUP($B296,'Tillförd energi'!$B$1:$AI$720,MATCH(E$1,'Tillförd energi'!$B$1:$AQ$1,0),FALSE)</f>
        <v>0</v>
      </c>
      <c r="F296" s="121">
        <f>VLOOKUP($B296,'Tillförd energi'!$B$1:$AI$720,MATCH(F$1,'Tillförd energi'!$B$1:$AQ$1,0),FALSE)</f>
        <v>0</v>
      </c>
      <c r="G296" s="121">
        <f>VLOOKUP($B296,'Tillförd energi'!$B$1:$AI$720,MATCH(G$1,'Tillförd energi'!$B$1:$AQ$1,0),FALSE)</f>
        <v>0</v>
      </c>
      <c r="H296" s="121">
        <f>VLOOKUP($B296,'Tillförd energi'!$B$1:$AI$720,MATCH(H$1,'Tillförd energi'!$B$1:$AQ$1,0),FALSE)</f>
        <v>0</v>
      </c>
      <c r="I296" s="121">
        <f>VLOOKUP($B296,'Tillförd energi'!$B$1:$AI$720,MATCH(I$1,'Tillförd energi'!$B$1:$AQ$1,0),FALSE)</f>
        <v>0</v>
      </c>
      <c r="J296" s="121">
        <f>VLOOKUP($B296,'Tillförd energi'!$B$1:$AI$720,MATCH(J$1,'Tillförd energi'!$B$1:$AQ$1,0),FALSE)</f>
        <v>0</v>
      </c>
      <c r="K296" s="121">
        <f>VLOOKUP($B296,'Tillförd energi'!$B$1:$AI$720,MATCH(K$1,'Tillförd energi'!$B$1:$AQ$1,0),FALSE)</f>
        <v>0</v>
      </c>
      <c r="L296" s="121">
        <f>VLOOKUP($B296,'Tillförd energi'!$B$1:$AI$720,MATCH(L$1,'Tillförd energi'!$B$1:$AQ$1,0),FALSE)</f>
        <v>136.29599999999999</v>
      </c>
      <c r="M296" s="121">
        <f>VLOOKUP($B296,'Tillförd energi'!$B$1:$AI$720,MATCH(M$1,'Tillförd energi'!$B$1:$AQ$1,0),FALSE)</f>
        <v>0</v>
      </c>
      <c r="N296" s="121">
        <f>VLOOKUP($B296,'Tillförd energi'!$B$1:$AI$720,MATCH(N$1,'Tillförd energi'!$B$1:$AQ$1,0),FALSE)</f>
        <v>37.381300000000003</v>
      </c>
      <c r="O296" s="121">
        <f>VLOOKUP($B296,'Tillförd energi'!$B$1:$AI$720,MATCH(O$1,'Tillförd energi'!$B$1:$AQ$1,0),FALSE)</f>
        <v>0</v>
      </c>
      <c r="P296" s="121">
        <f>VLOOKUP($B296,'Tillförd energi'!$B$1:$AI$720,MATCH(P$1,'Tillförd energi'!$B$1:$AQ$1,0),FALSE)</f>
        <v>6.06668E-2</v>
      </c>
      <c r="Q296" s="121">
        <f>VLOOKUP($B296,'Tillförd energi'!$B$1:$AI$720,MATCH(Q$1,'Tillförd energi'!$B$1:$AQ$1,0),FALSE)</f>
        <v>0</v>
      </c>
      <c r="R296" s="121">
        <f>VLOOKUP($B296,'Tillförd energi'!$B$1:$AI$720,MATCH(R$1,'Tillförd energi'!$B$1:$AQ$1,0),FALSE)</f>
        <v>8.8000000000000007</v>
      </c>
      <c r="S296" s="121">
        <f>VLOOKUP($B296,'Tillförd energi'!$B$1:$AI$720,MATCH(S$1,'Tillförd energi'!$B$1:$AQ$1,0),FALSE)</f>
        <v>0</v>
      </c>
      <c r="T296" s="121">
        <f>VLOOKUP($B296,'Tillförd energi'!$B$1:$AI$720,MATCH(T$1,'Tillförd energi'!$B$1:$AQ$1,0),FALSE)</f>
        <v>0</v>
      </c>
      <c r="U296" s="121">
        <f>VLOOKUP($B296,'Tillförd energi'!$B$1:$AI$720,MATCH(U$1,'Tillförd energi'!$B$1:$AQ$1,0),FALSE)</f>
        <v>0</v>
      </c>
      <c r="V296" s="121">
        <f>VLOOKUP($B296,'Tillförd energi'!$B$1:$AI$720,MATCH(V$1,'Tillförd energi'!$B$1:$AQ$1,0),FALSE)</f>
        <v>0</v>
      </c>
      <c r="W296" s="121">
        <f>VLOOKUP($B296,'Tillförd energi'!$B$1:$AI$720,MATCH(W$1,'Tillförd energi'!$B$1:$AQ$1,0),FALSE)</f>
        <v>2.2665199999999999</v>
      </c>
      <c r="X296" s="121">
        <f>VLOOKUP($B296,'Tillförd energi'!$B$1:$AI$720,MATCH(X$1,'Tillförd energi'!$B$1:$AQ$1,0),FALSE)</f>
        <v>0</v>
      </c>
      <c r="Y296" s="121">
        <f>VLOOKUP($B296,'Tillförd energi'!$B$1:$AI$720,MATCH(Y$1,'Tillförd energi'!$B$1:$AQ$1,0),FALSE)</f>
        <v>0</v>
      </c>
      <c r="Z296" s="121">
        <f>VLOOKUP($B296,'Tillförd energi'!$B$1:$AI$720,MATCH(Z$1,'Tillförd energi'!$B$1:$AQ$1,0),FALSE)</f>
        <v>0</v>
      </c>
      <c r="AA296" s="121">
        <f>VLOOKUP($B296,'Tillförd energi'!$B$1:$AI$720,MATCH(AA$1,'Tillförd energi'!$B$1:$AQ$1,0),FALSE)</f>
        <v>0</v>
      </c>
      <c r="AB296" s="121">
        <f>VLOOKUP($B296,'Tillförd energi'!$B$1:$AI$720,MATCH(AB$1,'Tillförd energi'!$B$1:$AQ$1,0),FALSE)</f>
        <v>0</v>
      </c>
      <c r="AC296" s="121">
        <f>VLOOKUP($B296,'Tillförd energi'!$B$1:$AI$720,MATCH(AC$1,'Tillförd energi'!$B$1:$AQ$1,0),FALSE)</f>
        <v>12.1</v>
      </c>
      <c r="AD296" s="121">
        <f>VLOOKUP($B296,'Tillförd energi'!$B$1:$AI$720,MATCH(AD$1,'Tillförd energi'!$B$1:$AQ$1,0),FALSE)</f>
        <v>0</v>
      </c>
      <c r="AE296" s="121">
        <f>VLOOKUP($B296,'Tillförd energi'!$B$1:$AI$720,MATCH(AE$1,'Tillförd energi'!$B$1:$AQ$1,0),FALSE)</f>
        <v>0</v>
      </c>
      <c r="AF296" s="121">
        <f>VLOOKUP($B296,'Tillförd energi'!$B$1:$AI$720,MATCH(AF$1,'Tillförd energi'!$B$1:$AQ$1,0),FALSE)</f>
        <v>5.3337000000000003</v>
      </c>
      <c r="AG296" s="121">
        <f>IFERROR(VLOOKUP(B296,Miljö!$B$1:$AC$550,MATCH("Köpt mängd produktionsspecifik fjärrvärme:",Miljö!$B$1:$AC$1,0),FALSE)/1,0)</f>
        <v>0</v>
      </c>
      <c r="AH296" s="121"/>
      <c r="AI296" s="121">
        <f t="shared" si="110"/>
        <v>202.23818679999999</v>
      </c>
      <c r="AJ296" s="121">
        <f t="shared" si="111"/>
        <v>202.23818679999999</v>
      </c>
      <c r="AK296" s="121">
        <f>IF(ISERROR(1/VLOOKUP($B296,Leveranser!$B$1:$S$499,MATCH("såld värme (gwh)",Leveranser!$B$1:$S$1,0),FALSE)),"",VLOOKUP($B296,Leveranser!$B$1:$S$499,MATCH("såld värme (gwh)",Leveranser!$B$1:$S$1,0),FALSE))</f>
        <v>170.4</v>
      </c>
      <c r="AL296" s="121">
        <f>VLOOKUP($B296,Leveranser!$B$1:$Y$499,MATCH("Totalt såld fjärrvärme till andra fjärrvärmeföretag",Leveranser!$B$1:$AA$1,0),FALSE)</f>
        <v>0</v>
      </c>
      <c r="AM296" s="121">
        <f>IF(ISERROR(1/VLOOKUP($B296,Miljö!$B$1:$S$500,MATCH("Såld mängd produktionsspecifik fjärrvärme (GWh)",Miljö!$B$1:$R$1,0),FALSE)),0,VLOOKUP($B296,Miljö!$B$1:$S$500,MATCH("Såld mängd produktionsspecifik fjärrvärme (GWh)",Miljö!$B$1:$R$1,0),FALSE))</f>
        <v>0</v>
      </c>
      <c r="AN296" s="172">
        <f t="shared" si="112"/>
        <v>0.8425708452801457</v>
      </c>
      <c r="AO296" s="121"/>
      <c r="AP296" s="121" t="str">
        <f>IFERROR(VLOOKUP($B296,Miljövärden!$B$2:$H$550,7,FALSE),"Nej, saknas")</f>
        <v>Ja</v>
      </c>
      <c r="AQ296" s="121" t="str">
        <f>IFERROR(VLOOKUP($B296,Miljövärden!$B$2:$H$550,6,FALSE),"Nej, saknas")</f>
        <v>Ja</v>
      </c>
      <c r="AU296">
        <f t="shared" si="113"/>
        <v>5.3337000000000003</v>
      </c>
      <c r="AV296">
        <f t="shared" si="114"/>
        <v>0</v>
      </c>
      <c r="AW296">
        <f t="shared" si="115"/>
        <v>37.441966800000003</v>
      </c>
      <c r="AX296">
        <f t="shared" si="116"/>
        <v>8.8000000000000007</v>
      </c>
      <c r="AZ296">
        <f t="shared" si="117"/>
        <v>184.80448680000001</v>
      </c>
      <c r="BC296">
        <f t="shared" si="118"/>
        <v>0</v>
      </c>
      <c r="BD296">
        <f t="shared" si="119"/>
        <v>0</v>
      </c>
      <c r="BE296">
        <f t="shared" si="120"/>
        <v>48.5084868</v>
      </c>
      <c r="BF296">
        <f t="shared" si="121"/>
        <v>148.39599999999999</v>
      </c>
      <c r="BG296">
        <f t="shared" si="122"/>
        <v>5.3337000000000003</v>
      </c>
      <c r="BH296">
        <f>VLOOKUP(B296,Miljö!$B$1:$BX$482,MATCH("Fossilandel för ursprungspecificerad el ()",Miljö!$B$1:$I$1,0),FALSE)</f>
        <v>0</v>
      </c>
      <c r="BI296">
        <f>VLOOKUP(B296,Miljö!$B$1:$BX$482,MATCH("Kärnkraftsandel för ursprungsspecificerad el ()",Miljö!$B$1:$O$1,0),FALSE)</f>
        <v>0</v>
      </c>
      <c r="BJ296">
        <f t="shared" si="123"/>
        <v>0</v>
      </c>
      <c r="BK296" t="str">
        <f>VLOOKUP(B296,Miljö!$B$1:$O$482,MATCH("Fossil andel i procent (%)",Miljö!$B$1:$O$1,0),FALSE)</f>
        <v>ET</v>
      </c>
      <c r="BL296">
        <f t="shared" si="124"/>
        <v>202.23818679999997</v>
      </c>
      <c r="BO296" s="18">
        <f t="shared" si="125"/>
        <v>0</v>
      </c>
      <c r="BP296" s="18">
        <f t="shared" si="126"/>
        <v>0</v>
      </c>
      <c r="BQ296" s="18">
        <f t="shared" si="127"/>
        <v>0.26623155424769668</v>
      </c>
      <c r="BR296" s="18">
        <f t="shared" si="128"/>
        <v>0.73376844575230349</v>
      </c>
      <c r="BT296" s="27">
        <f t="shared" si="129"/>
        <v>1.0000000000000002</v>
      </c>
      <c r="BW296" s="18">
        <f>IF(AP296="ja",VLOOKUP(B296,Miljövärden!$B$2:$H$550,MATCH("Total andel fossilt",Miljövärden!$B$2:$H$2,0),FALSE),"")</f>
        <v>0</v>
      </c>
      <c r="BZ296" s="28">
        <f t="shared" si="130"/>
        <v>0</v>
      </c>
      <c r="CA296" s="28">
        <f t="shared" si="131"/>
        <v>0</v>
      </c>
    </row>
    <row r="297" spans="1:79" x14ac:dyDescent="0.25">
      <c r="A297" s="224" t="s">
        <v>601</v>
      </c>
      <c r="B297" s="210" t="s">
        <v>604</v>
      </c>
      <c r="C297" s="121">
        <f>VLOOKUP($B297,'Tillförd energi'!$B$1:$AI$720,MATCH(C$1,'Tillförd energi'!$B$1:$AQ$1,0),FALSE)</f>
        <v>0</v>
      </c>
      <c r="D297" s="121">
        <f>VLOOKUP($B297,'Tillförd energi'!$B$1:$AI$720,MATCH(D$1,'Tillförd energi'!$B$1:$AQ$1,0),FALSE)</f>
        <v>0.93</v>
      </c>
      <c r="E297" s="121">
        <f>VLOOKUP($B297,'Tillförd energi'!$B$1:$AI$720,MATCH(E$1,'Tillförd energi'!$B$1:$AQ$1,0),FALSE)</f>
        <v>0</v>
      </c>
      <c r="F297" s="121">
        <f>VLOOKUP($B297,'Tillförd energi'!$B$1:$AI$720,MATCH(F$1,'Tillförd energi'!$B$1:$AQ$1,0),FALSE)</f>
        <v>0</v>
      </c>
      <c r="G297" s="121">
        <f>VLOOKUP($B297,'Tillförd energi'!$B$1:$AI$720,MATCH(G$1,'Tillförd energi'!$B$1:$AQ$1,0),FALSE)</f>
        <v>0</v>
      </c>
      <c r="H297" s="121">
        <f>VLOOKUP($B297,'Tillförd energi'!$B$1:$AI$720,MATCH(H$1,'Tillförd energi'!$B$1:$AQ$1,0),FALSE)</f>
        <v>0</v>
      </c>
      <c r="I297" s="121">
        <f>VLOOKUP($B297,'Tillförd energi'!$B$1:$AI$720,MATCH(I$1,'Tillförd energi'!$B$1:$AQ$1,0),FALSE)</f>
        <v>0</v>
      </c>
      <c r="J297" s="121">
        <f>VLOOKUP($B297,'Tillförd energi'!$B$1:$AI$720,MATCH(J$1,'Tillförd energi'!$B$1:$AQ$1,0),FALSE)</f>
        <v>0</v>
      </c>
      <c r="K297" s="121">
        <f>VLOOKUP($B297,'Tillförd energi'!$B$1:$AI$720,MATCH(K$1,'Tillförd energi'!$B$1:$AQ$1,0),FALSE)</f>
        <v>0</v>
      </c>
      <c r="L297" s="121">
        <f>VLOOKUP($B297,'Tillförd energi'!$B$1:$AI$720,MATCH(L$1,'Tillförd energi'!$B$1:$AQ$1,0),FALSE)</f>
        <v>0</v>
      </c>
      <c r="M297" s="121">
        <f>VLOOKUP($B297,'Tillförd energi'!$B$1:$AI$720,MATCH(M$1,'Tillförd energi'!$B$1:$AQ$1,0),FALSE)</f>
        <v>0</v>
      </c>
      <c r="N297" s="121">
        <f>VLOOKUP($B297,'Tillförd energi'!$B$1:$AI$720,MATCH(N$1,'Tillförd energi'!$B$1:$AQ$1,0),FALSE)</f>
        <v>0</v>
      </c>
      <c r="O297" s="121">
        <f>VLOOKUP($B297,'Tillförd energi'!$B$1:$AI$720,MATCH(O$1,'Tillförd energi'!$B$1:$AQ$1,0),FALSE)</f>
        <v>0</v>
      </c>
      <c r="P297" s="121">
        <f>VLOOKUP($B297,'Tillförd energi'!$B$1:$AI$720,MATCH(P$1,'Tillförd energi'!$B$1:$AQ$1,0),FALSE)</f>
        <v>0</v>
      </c>
      <c r="Q297" s="121">
        <f>VLOOKUP($B297,'Tillförd energi'!$B$1:$AI$720,MATCH(Q$1,'Tillförd energi'!$B$1:$AQ$1,0),FALSE)</f>
        <v>24.823499999999999</v>
      </c>
      <c r="R297" s="121">
        <f>VLOOKUP($B297,'Tillförd energi'!$B$1:$AI$720,MATCH(R$1,'Tillförd energi'!$B$1:$AQ$1,0),FALSE)</f>
        <v>0</v>
      </c>
      <c r="S297" s="121">
        <f>VLOOKUP($B297,'Tillförd energi'!$B$1:$AI$720,MATCH(S$1,'Tillförd energi'!$B$1:$AQ$1,0),FALSE)</f>
        <v>0</v>
      </c>
      <c r="T297" s="121">
        <f>VLOOKUP($B297,'Tillförd energi'!$B$1:$AI$720,MATCH(T$1,'Tillförd energi'!$B$1:$AQ$1,0),FALSE)</f>
        <v>0</v>
      </c>
      <c r="U297" s="121">
        <f>VLOOKUP($B297,'Tillförd energi'!$B$1:$AI$720,MATCH(U$1,'Tillförd energi'!$B$1:$AQ$1,0),FALSE)</f>
        <v>0</v>
      </c>
      <c r="V297" s="121">
        <f>VLOOKUP($B297,'Tillförd energi'!$B$1:$AI$720,MATCH(V$1,'Tillförd energi'!$B$1:$AQ$1,0),FALSE)</f>
        <v>0</v>
      </c>
      <c r="W297" s="121">
        <f>VLOOKUP($B297,'Tillförd energi'!$B$1:$AI$720,MATCH(W$1,'Tillförd energi'!$B$1:$AQ$1,0),FALSE)</f>
        <v>0</v>
      </c>
      <c r="X297" s="121">
        <f>VLOOKUP($B297,'Tillförd energi'!$B$1:$AI$720,MATCH(X$1,'Tillförd energi'!$B$1:$AQ$1,0),FALSE)</f>
        <v>0</v>
      </c>
      <c r="Y297" s="121">
        <f>VLOOKUP($B297,'Tillförd energi'!$B$1:$AI$720,MATCH(Y$1,'Tillförd energi'!$B$1:$AQ$1,0),FALSE)</f>
        <v>0</v>
      </c>
      <c r="Z297" s="121">
        <f>VLOOKUP($B297,'Tillförd energi'!$B$1:$AI$720,MATCH(Z$1,'Tillförd energi'!$B$1:$AQ$1,0),FALSE)</f>
        <v>0</v>
      </c>
      <c r="AA297" s="121">
        <f>VLOOKUP($B297,'Tillförd energi'!$B$1:$AI$720,MATCH(AA$1,'Tillförd energi'!$B$1:$AQ$1,0),FALSE)</f>
        <v>0</v>
      </c>
      <c r="AB297" s="121">
        <f>VLOOKUP($B297,'Tillförd energi'!$B$1:$AI$720,MATCH(AB$1,'Tillförd energi'!$B$1:$AQ$1,0),FALSE)</f>
        <v>0</v>
      </c>
      <c r="AC297" s="121">
        <f>VLOOKUP($B297,'Tillförd energi'!$B$1:$AI$720,MATCH(AC$1,'Tillförd energi'!$B$1:$AQ$1,0),FALSE)</f>
        <v>0</v>
      </c>
      <c r="AD297" s="121">
        <f>VLOOKUP($B297,'Tillförd energi'!$B$1:$AI$720,MATCH(AD$1,'Tillförd energi'!$B$1:$AQ$1,0),FALSE)</f>
        <v>0</v>
      </c>
      <c r="AE297" s="121">
        <f>VLOOKUP($B297,'Tillförd energi'!$B$1:$AI$720,MATCH(AE$1,'Tillförd energi'!$B$1:$AQ$1,0),FALSE)</f>
        <v>0</v>
      </c>
      <c r="AF297" s="121">
        <f>VLOOKUP($B297,'Tillförd energi'!$B$1:$AI$720,MATCH(AF$1,'Tillförd energi'!$B$1:$AQ$1,0),FALSE)</f>
        <v>3.0000000000000001E-3</v>
      </c>
      <c r="AG297" s="121">
        <f>IFERROR(VLOOKUP(B297,Miljö!$B$1:$AC$550,MATCH("Köpt mängd produktionsspecifik fjärrvärme:",Miljö!$B$1:$AC$1,0),FALSE)/1,0)</f>
        <v>0</v>
      </c>
      <c r="AH297" s="121"/>
      <c r="AI297" s="121">
        <f t="shared" si="110"/>
        <v>25.756499999999999</v>
      </c>
      <c r="AJ297" s="121">
        <f t="shared" si="111"/>
        <v>25.756499999999999</v>
      </c>
      <c r="AK297" s="121">
        <f>IF(ISERROR(1/VLOOKUP($B297,Leveranser!$B$1:$S$499,MATCH("såld värme (gwh)",Leveranser!$B$1:$S$1,0),FALSE)),"",VLOOKUP($B297,Leveranser!$B$1:$S$499,MATCH("såld värme (gwh)",Leveranser!$B$1:$S$1,0),FALSE))</f>
        <v>18.7</v>
      </c>
      <c r="AL297" s="121">
        <f>VLOOKUP($B297,Leveranser!$B$1:$Y$499,MATCH("Totalt såld fjärrvärme till andra fjärrvärmeföretag",Leveranser!$B$1:$AA$1,0),FALSE)</f>
        <v>0</v>
      </c>
      <c r="AM297" s="121">
        <f>IF(ISERROR(1/VLOOKUP($B297,Miljö!$B$1:$S$500,MATCH("Såld mängd produktionsspecifik fjärrvärme (GWh)",Miljö!$B$1:$R$1,0),FALSE)),0,VLOOKUP($B297,Miljö!$B$1:$S$500,MATCH("Såld mängd produktionsspecifik fjärrvärme (GWh)",Miljö!$B$1:$R$1,0),FALSE))</f>
        <v>0</v>
      </c>
      <c r="AN297" s="172">
        <f t="shared" si="112"/>
        <v>0.72603032244287846</v>
      </c>
      <c r="AO297" s="121"/>
      <c r="AP297" s="121" t="str">
        <f>IFERROR(VLOOKUP($B297,Miljövärden!$B$2:$H$550,7,FALSE),"Nej, saknas")</f>
        <v>Ja</v>
      </c>
      <c r="AQ297" s="121" t="str">
        <f>IFERROR(VLOOKUP($B297,Miljövärden!$B$2:$H$550,6,FALSE),"Nej, saknas")</f>
        <v>Ja</v>
      </c>
      <c r="AU297">
        <f t="shared" si="113"/>
        <v>3.0000000000000001E-3</v>
      </c>
      <c r="AV297">
        <f t="shared" si="114"/>
        <v>0</v>
      </c>
      <c r="AW297">
        <f t="shared" si="115"/>
        <v>24.823499999999999</v>
      </c>
      <c r="AX297">
        <f t="shared" si="116"/>
        <v>0</v>
      </c>
      <c r="AZ297">
        <f t="shared" si="117"/>
        <v>24.823499999999999</v>
      </c>
      <c r="BC297">
        <f t="shared" si="118"/>
        <v>0.93</v>
      </c>
      <c r="BD297">
        <f t="shared" si="119"/>
        <v>0</v>
      </c>
      <c r="BE297">
        <f t="shared" si="120"/>
        <v>24.823499999999999</v>
      </c>
      <c r="BF297">
        <f t="shared" si="121"/>
        <v>0</v>
      </c>
      <c r="BG297">
        <f t="shared" si="122"/>
        <v>3.0000000000000001E-3</v>
      </c>
      <c r="BH297">
        <f>VLOOKUP(B297,Miljö!$B$1:$BX$482,MATCH("Fossilandel för ursprungspecificerad el ()",Miljö!$B$1:$I$1,0),FALSE)</f>
        <v>0</v>
      </c>
      <c r="BI297">
        <f>VLOOKUP(B297,Miljö!$B$1:$BX$482,MATCH("Kärnkraftsandel för ursprungsspecificerad el ()",Miljö!$B$1:$O$1,0),FALSE)</f>
        <v>0</v>
      </c>
      <c r="BJ297">
        <f t="shared" si="123"/>
        <v>0</v>
      </c>
      <c r="BK297" t="str">
        <f>VLOOKUP(B297,Miljö!$B$1:$O$482,MATCH("Fossil andel i procent (%)",Miljö!$B$1:$O$1,0),FALSE)</f>
        <v>ET</v>
      </c>
      <c r="BL297">
        <f t="shared" si="124"/>
        <v>25.756499999999999</v>
      </c>
      <c r="BO297" s="18">
        <f t="shared" si="125"/>
        <v>3.6107390367480056E-2</v>
      </c>
      <c r="BP297" s="18">
        <f t="shared" si="126"/>
        <v>0</v>
      </c>
      <c r="BQ297" s="18">
        <f t="shared" si="127"/>
        <v>0.96389260963251999</v>
      </c>
      <c r="BR297" s="18">
        <f t="shared" si="128"/>
        <v>0</v>
      </c>
      <c r="BT297" s="27">
        <f t="shared" si="129"/>
        <v>1</v>
      </c>
      <c r="BW297" s="18">
        <f>IF(AP297="ja",VLOOKUP(B297,Miljövärden!$B$2:$H$550,MATCH("Total andel fossilt",Miljövärden!$B$2:$H$2,0),FALSE),"")</f>
        <v>3.6107399999999998E-2</v>
      </c>
      <c r="BZ297" s="28">
        <f t="shared" si="130"/>
        <v>9.6325199414049045E-9</v>
      </c>
      <c r="CA297" s="28">
        <f t="shared" si="131"/>
        <v>0</v>
      </c>
    </row>
    <row r="298" spans="1:79" x14ac:dyDescent="0.25">
      <c r="A298" s="224" t="s">
        <v>601</v>
      </c>
      <c r="B298" s="210" t="s">
        <v>605</v>
      </c>
      <c r="C298" s="121">
        <f>VLOOKUP($B298,'Tillförd energi'!$B$1:$AI$720,MATCH(C$1,'Tillförd energi'!$B$1:$AQ$1,0),FALSE)</f>
        <v>32</v>
      </c>
      <c r="D298" s="121">
        <f>VLOOKUP($B298,'Tillförd energi'!$B$1:$AI$720,MATCH(D$1,'Tillförd energi'!$B$1:$AQ$1,0),FALSE)</f>
        <v>8.6</v>
      </c>
      <c r="E298" s="121">
        <f>VLOOKUP($B298,'Tillförd energi'!$B$1:$AI$720,MATCH(E$1,'Tillförd energi'!$B$1:$AQ$1,0),FALSE)</f>
        <v>0</v>
      </c>
      <c r="F298" s="121">
        <f>VLOOKUP($B298,'Tillförd energi'!$B$1:$AI$720,MATCH(F$1,'Tillförd energi'!$B$1:$AQ$1,0),FALSE)</f>
        <v>25.2</v>
      </c>
      <c r="G298" s="121">
        <f>VLOOKUP($B298,'Tillförd energi'!$B$1:$AI$720,MATCH(G$1,'Tillförd energi'!$B$1:$AQ$1,0),FALSE)</f>
        <v>0</v>
      </c>
      <c r="H298" s="121">
        <f>VLOOKUP($B298,'Tillförd energi'!$B$1:$AI$720,MATCH(H$1,'Tillförd energi'!$B$1:$AQ$1,0),FALSE)</f>
        <v>28.9</v>
      </c>
      <c r="I298" s="121">
        <f>VLOOKUP($B298,'Tillförd energi'!$B$1:$AI$720,MATCH(I$1,'Tillförd energi'!$B$1:$AQ$1,0),FALSE)</f>
        <v>1023.3</v>
      </c>
      <c r="J298" s="121">
        <f>VLOOKUP($B298,'Tillförd energi'!$B$1:$AI$720,MATCH(J$1,'Tillförd energi'!$B$1:$AQ$1,0),FALSE)</f>
        <v>0</v>
      </c>
      <c r="K298" s="121">
        <f>VLOOKUP($B298,'Tillförd energi'!$B$1:$AI$720,MATCH(K$1,'Tillförd energi'!$B$1:$AQ$1,0),FALSE)</f>
        <v>0</v>
      </c>
      <c r="L298" s="121">
        <f>VLOOKUP($B298,'Tillförd energi'!$B$1:$AI$720,MATCH(L$1,'Tillförd energi'!$B$1:$AQ$1,0),FALSE)</f>
        <v>150.1</v>
      </c>
      <c r="M298" s="121">
        <f>VLOOKUP($B298,'Tillförd energi'!$B$1:$AI$720,MATCH(M$1,'Tillförd energi'!$B$1:$AQ$1,0),FALSE)</f>
        <v>1.2</v>
      </c>
      <c r="N298" s="121">
        <f>VLOOKUP($B298,'Tillförd energi'!$B$1:$AI$720,MATCH(N$1,'Tillförd energi'!$B$1:$AQ$1,0),FALSE)</f>
        <v>13.5</v>
      </c>
      <c r="O298" s="121">
        <f>VLOOKUP($B298,'Tillförd energi'!$B$1:$AI$720,MATCH(O$1,'Tillförd energi'!$B$1:$AQ$1,0),FALSE)</f>
        <v>0</v>
      </c>
      <c r="P298" s="121">
        <f>VLOOKUP($B298,'Tillförd energi'!$B$1:$AI$720,MATCH(P$1,'Tillförd energi'!$B$1:$AQ$1,0),FALSE)</f>
        <v>3.3</v>
      </c>
      <c r="Q298" s="121">
        <f>VLOOKUP($B298,'Tillförd energi'!$B$1:$AI$720,MATCH(Q$1,'Tillförd energi'!$B$1:$AQ$1,0),FALSE)</f>
        <v>18.5</v>
      </c>
      <c r="R298" s="121">
        <f>VLOOKUP($B298,'Tillförd energi'!$B$1:$AI$720,MATCH(R$1,'Tillförd energi'!$B$1:$AQ$1,0),FALSE)</f>
        <v>0</v>
      </c>
      <c r="S298" s="121">
        <f>VLOOKUP($B298,'Tillförd energi'!$B$1:$AI$720,MATCH(S$1,'Tillförd energi'!$B$1:$AQ$1,0),FALSE)</f>
        <v>0</v>
      </c>
      <c r="T298" s="121">
        <f>VLOOKUP($B298,'Tillförd energi'!$B$1:$AI$720,MATCH(T$1,'Tillförd energi'!$B$1:$AQ$1,0),FALSE)</f>
        <v>0</v>
      </c>
      <c r="U298" s="121">
        <f>VLOOKUP($B298,'Tillförd energi'!$B$1:$AI$720,MATCH(U$1,'Tillförd energi'!$B$1:$AQ$1,0),FALSE)</f>
        <v>0</v>
      </c>
      <c r="V298" s="121">
        <f>VLOOKUP($B298,'Tillförd energi'!$B$1:$AI$720,MATCH(V$1,'Tillförd energi'!$B$1:$AQ$1,0),FALSE)</f>
        <v>0</v>
      </c>
      <c r="W298" s="121">
        <f>VLOOKUP($B298,'Tillförd energi'!$B$1:$AI$720,MATCH(W$1,'Tillförd energi'!$B$1:$AQ$1,0),FALSE)</f>
        <v>0</v>
      </c>
      <c r="X298" s="121">
        <f>VLOOKUP($B298,'Tillförd energi'!$B$1:$AI$720,MATCH(X$1,'Tillförd energi'!$B$1:$AQ$1,0),FALSE)</f>
        <v>0</v>
      </c>
      <c r="Y298" s="121">
        <f>VLOOKUP($B298,'Tillförd energi'!$B$1:$AI$720,MATCH(Y$1,'Tillförd energi'!$B$1:$AQ$1,0),FALSE)</f>
        <v>0</v>
      </c>
      <c r="Z298" s="121">
        <f>VLOOKUP($B298,'Tillförd energi'!$B$1:$AI$720,MATCH(Z$1,'Tillförd energi'!$B$1:$AQ$1,0),FALSE)</f>
        <v>0</v>
      </c>
      <c r="AA298" s="121">
        <f>VLOOKUP($B298,'Tillförd energi'!$B$1:$AI$720,MATCH(AA$1,'Tillförd energi'!$B$1:$AQ$1,0),FALSE)</f>
        <v>0</v>
      </c>
      <c r="AB298" s="121">
        <f>VLOOKUP($B298,'Tillförd energi'!$B$1:$AI$720,MATCH(AB$1,'Tillförd energi'!$B$1:$AQ$1,0),FALSE)</f>
        <v>0</v>
      </c>
      <c r="AC298" s="121">
        <f>VLOOKUP($B298,'Tillförd energi'!$B$1:$AI$720,MATCH(AC$1,'Tillförd energi'!$B$1:$AQ$1,0),FALSE)</f>
        <v>191.3</v>
      </c>
      <c r="AD298" s="121">
        <f>VLOOKUP($B298,'Tillförd energi'!$B$1:$AI$720,MATCH(AD$1,'Tillförd energi'!$B$1:$AQ$1,0),FALSE)</f>
        <v>0</v>
      </c>
      <c r="AE298" s="121">
        <f>VLOOKUP($B298,'Tillförd energi'!$B$1:$AI$720,MATCH(AE$1,'Tillförd energi'!$B$1:$AQ$1,0),FALSE)</f>
        <v>0</v>
      </c>
      <c r="AF298" s="121">
        <f>VLOOKUP($B298,'Tillförd energi'!$B$1:$AI$720,MATCH(AF$1,'Tillförd energi'!$B$1:$AQ$1,0),FALSE)</f>
        <v>42.9</v>
      </c>
      <c r="AG298" s="121">
        <f>IFERROR(VLOOKUP(B298,Miljö!$B$1:$AC$550,MATCH("Köpt mängd produktionsspecifik fjärrvärme:",Miljö!$B$1:$AC$1,0),FALSE)/1,0)</f>
        <v>0</v>
      </c>
      <c r="AH298" s="121"/>
      <c r="AI298" s="121">
        <f t="shared" si="110"/>
        <v>1538.8</v>
      </c>
      <c r="AJ298" s="121">
        <f t="shared" si="111"/>
        <v>1538.8</v>
      </c>
      <c r="AK298" s="121">
        <f>IF(ISERROR(1/VLOOKUP($B298,Leveranser!$B$1:$S$499,MATCH("såld värme (gwh)",Leveranser!$B$1:$S$1,0),FALSE)),"",VLOOKUP($B298,Leveranser!$B$1:$S$499,MATCH("såld värme (gwh)",Leveranser!$B$1:$S$1,0),FALSE))</f>
        <v>1313.9</v>
      </c>
      <c r="AL298" s="121">
        <f>VLOOKUP($B298,Leveranser!$B$1:$Y$499,MATCH("Totalt såld fjärrvärme till andra fjärrvärmeföretag",Leveranser!$B$1:$AA$1,0),FALSE)</f>
        <v>68.95</v>
      </c>
      <c r="AM298" s="121">
        <f>IF(ISERROR(1/VLOOKUP($B298,Miljö!$B$1:$S$500,MATCH("Såld mängd produktionsspecifik fjärrvärme (GWh)",Miljö!$B$1:$R$1,0),FALSE)),0,VLOOKUP($B298,Miljö!$B$1:$S$500,MATCH("Såld mängd produktionsspecifik fjärrvärme (GWh)",Miljö!$B$1:$R$1,0),FALSE))</f>
        <v>3.9</v>
      </c>
      <c r="AN298" s="172">
        <f t="shared" si="112"/>
        <v>0.85384715362620234</v>
      </c>
      <c r="AO298" s="121"/>
      <c r="AP298" s="121" t="str">
        <f>IFERROR(VLOOKUP($B298,Miljövärden!$B$2:$H$550,7,FALSE),"Nej, saknas")</f>
        <v>Ja</v>
      </c>
      <c r="AQ298" s="121" t="str">
        <f>IFERROR(VLOOKUP($B298,Miljövärden!$B$2:$H$550,6,FALSE),"Nej, saknas")</f>
        <v>Ja</v>
      </c>
      <c r="AU298">
        <f t="shared" si="113"/>
        <v>42.9</v>
      </c>
      <c r="AV298">
        <f t="shared" si="114"/>
        <v>0</v>
      </c>
      <c r="AW298">
        <f t="shared" si="115"/>
        <v>36.5</v>
      </c>
      <c r="AX298">
        <f t="shared" si="116"/>
        <v>0</v>
      </c>
      <c r="AZ298">
        <f t="shared" si="117"/>
        <v>186.6</v>
      </c>
      <c r="BC298">
        <f t="shared" si="118"/>
        <v>94.699999999999989</v>
      </c>
      <c r="BD298">
        <f t="shared" si="119"/>
        <v>0</v>
      </c>
      <c r="BE298">
        <f t="shared" si="120"/>
        <v>36.5</v>
      </c>
      <c r="BF298">
        <f t="shared" si="121"/>
        <v>1364.6999999999998</v>
      </c>
      <c r="BG298">
        <f t="shared" si="122"/>
        <v>42.9</v>
      </c>
      <c r="BH298">
        <f>VLOOKUP(B298,Miljö!$B$1:$BX$482,MATCH("Fossilandel för ursprungspecificerad el ()",Miljö!$B$1:$I$1,0),FALSE)</f>
        <v>0</v>
      </c>
      <c r="BI298">
        <f>VLOOKUP(B298,Miljö!$B$1:$BX$482,MATCH("Kärnkraftsandel för ursprungsspecificerad el ()",Miljö!$B$1:$O$1,0),FALSE)</f>
        <v>0</v>
      </c>
      <c r="BJ298">
        <f t="shared" si="123"/>
        <v>0</v>
      </c>
      <c r="BK298" t="str">
        <f>VLOOKUP(B298,Miljö!$B$1:$O$482,MATCH("Fossil andel i procent (%)",Miljö!$B$1:$O$1,0),FALSE)</f>
        <v>ET</v>
      </c>
      <c r="BL298">
        <f t="shared" si="124"/>
        <v>1538.8</v>
      </c>
      <c r="BO298" s="18">
        <f t="shared" si="125"/>
        <v>6.1541460878606701E-2</v>
      </c>
      <c r="BP298" s="18">
        <f t="shared" si="126"/>
        <v>0</v>
      </c>
      <c r="BQ298" s="18">
        <f t="shared" si="127"/>
        <v>5.159864829737458E-2</v>
      </c>
      <c r="BR298" s="18">
        <f t="shared" si="128"/>
        <v>0.88685989082401862</v>
      </c>
      <c r="BT298" s="27">
        <f t="shared" si="129"/>
        <v>0.99999999999999989</v>
      </c>
      <c r="BW298" s="18">
        <f>IF(AP298="ja",VLOOKUP(B298,Miljövärden!$B$2:$H$550,MATCH("Total andel fossilt",Miljövärden!$B$2:$H$2,0),FALSE),"")</f>
        <v>6.16979E-2</v>
      </c>
      <c r="BZ298" s="28">
        <f t="shared" si="130"/>
        <v>1.5643912139329946E-4</v>
      </c>
      <c r="CA298" s="28">
        <f t="shared" si="131"/>
        <v>0</v>
      </c>
    </row>
    <row r="299" spans="1:79" x14ac:dyDescent="0.25">
      <c r="A299" s="224" t="s">
        <v>601</v>
      </c>
      <c r="B299" s="210" t="s">
        <v>606</v>
      </c>
      <c r="C299" s="121">
        <f>VLOOKUP($B299,'Tillförd energi'!$B$1:$AI$720,MATCH(C$1,'Tillförd energi'!$B$1:$AQ$1,0),FALSE)</f>
        <v>0</v>
      </c>
      <c r="D299" s="121">
        <f>VLOOKUP($B299,'Tillförd energi'!$B$1:$AI$720,MATCH(D$1,'Tillförd energi'!$B$1:$AQ$1,0),FALSE)</f>
        <v>0.6</v>
      </c>
      <c r="E299" s="121">
        <f>VLOOKUP($B299,'Tillförd energi'!$B$1:$AI$720,MATCH(E$1,'Tillförd energi'!$B$1:$AQ$1,0),FALSE)</f>
        <v>0</v>
      </c>
      <c r="F299" s="121">
        <f>VLOOKUP($B299,'Tillförd energi'!$B$1:$AI$720,MATCH(F$1,'Tillförd energi'!$B$1:$AQ$1,0),FALSE)</f>
        <v>3.4117600000000001</v>
      </c>
      <c r="G299" s="121">
        <f>VLOOKUP($B299,'Tillförd energi'!$B$1:$AI$720,MATCH(G$1,'Tillförd energi'!$B$1:$AQ$1,0),FALSE)</f>
        <v>0</v>
      </c>
      <c r="H299" s="121">
        <f>VLOOKUP($B299,'Tillförd energi'!$B$1:$AI$720,MATCH(H$1,'Tillförd energi'!$B$1:$AQ$1,0),FALSE)</f>
        <v>0</v>
      </c>
      <c r="I299" s="121">
        <f>VLOOKUP($B299,'Tillförd energi'!$B$1:$AI$720,MATCH(I$1,'Tillförd energi'!$B$1:$AQ$1,0),FALSE)</f>
        <v>0</v>
      </c>
      <c r="J299" s="121">
        <f>VLOOKUP($B299,'Tillförd energi'!$B$1:$AI$720,MATCH(J$1,'Tillförd energi'!$B$1:$AQ$1,0),FALSE)</f>
        <v>0</v>
      </c>
      <c r="K299" s="121">
        <f>VLOOKUP($B299,'Tillförd energi'!$B$1:$AI$720,MATCH(K$1,'Tillförd energi'!$B$1:$AQ$1,0),FALSE)</f>
        <v>0</v>
      </c>
      <c r="L299" s="121">
        <f>VLOOKUP($B299,'Tillförd energi'!$B$1:$AI$720,MATCH(L$1,'Tillförd energi'!$B$1:$AQ$1,0),FALSE)</f>
        <v>0</v>
      </c>
      <c r="M299" s="121">
        <f>VLOOKUP($B299,'Tillförd energi'!$B$1:$AI$720,MATCH(M$1,'Tillförd energi'!$B$1:$AQ$1,0),FALSE)</f>
        <v>0</v>
      </c>
      <c r="N299" s="121">
        <f>VLOOKUP($B299,'Tillförd energi'!$B$1:$AI$720,MATCH(N$1,'Tillförd energi'!$B$1:$AQ$1,0),FALSE)</f>
        <v>0</v>
      </c>
      <c r="O299" s="121">
        <f>VLOOKUP($B299,'Tillförd energi'!$B$1:$AI$720,MATCH(O$1,'Tillförd energi'!$B$1:$AQ$1,0),FALSE)</f>
        <v>0</v>
      </c>
      <c r="P299" s="121">
        <f>VLOOKUP($B299,'Tillförd energi'!$B$1:$AI$720,MATCH(P$1,'Tillförd energi'!$B$1:$AQ$1,0),FALSE)</f>
        <v>0</v>
      </c>
      <c r="Q299" s="121">
        <f>VLOOKUP($B299,'Tillförd energi'!$B$1:$AI$720,MATCH(Q$1,'Tillförd energi'!$B$1:$AQ$1,0),FALSE)</f>
        <v>10.235300000000001</v>
      </c>
      <c r="R299" s="121">
        <f>VLOOKUP($B299,'Tillförd energi'!$B$1:$AI$720,MATCH(R$1,'Tillförd energi'!$B$1:$AQ$1,0),FALSE)</f>
        <v>0</v>
      </c>
      <c r="S299" s="121">
        <f>VLOOKUP($B299,'Tillförd energi'!$B$1:$AI$720,MATCH(S$1,'Tillförd energi'!$B$1:$AQ$1,0),FALSE)</f>
        <v>0</v>
      </c>
      <c r="T299" s="121">
        <f>VLOOKUP($B299,'Tillförd energi'!$B$1:$AI$720,MATCH(T$1,'Tillförd energi'!$B$1:$AQ$1,0),FALSE)</f>
        <v>0</v>
      </c>
      <c r="U299" s="121">
        <f>VLOOKUP($B299,'Tillförd energi'!$B$1:$AI$720,MATCH(U$1,'Tillförd energi'!$B$1:$AQ$1,0),FALSE)</f>
        <v>0</v>
      </c>
      <c r="V299" s="121">
        <f>VLOOKUP($B299,'Tillförd energi'!$B$1:$AI$720,MATCH(V$1,'Tillförd energi'!$B$1:$AQ$1,0),FALSE)</f>
        <v>0</v>
      </c>
      <c r="W299" s="121">
        <f>VLOOKUP($B299,'Tillförd energi'!$B$1:$AI$720,MATCH(W$1,'Tillförd energi'!$B$1:$AQ$1,0),FALSE)</f>
        <v>0</v>
      </c>
      <c r="X299" s="121">
        <f>VLOOKUP($B299,'Tillförd energi'!$B$1:$AI$720,MATCH(X$1,'Tillförd energi'!$B$1:$AQ$1,0),FALSE)</f>
        <v>0</v>
      </c>
      <c r="Y299" s="121">
        <f>VLOOKUP($B299,'Tillförd energi'!$B$1:$AI$720,MATCH(Y$1,'Tillförd energi'!$B$1:$AQ$1,0),FALSE)</f>
        <v>0</v>
      </c>
      <c r="Z299" s="121">
        <f>VLOOKUP($B299,'Tillförd energi'!$B$1:$AI$720,MATCH(Z$1,'Tillförd energi'!$B$1:$AQ$1,0),FALSE)</f>
        <v>0</v>
      </c>
      <c r="AA299" s="121">
        <f>VLOOKUP($B299,'Tillförd energi'!$B$1:$AI$720,MATCH(AA$1,'Tillförd energi'!$B$1:$AQ$1,0),FALSE)</f>
        <v>0</v>
      </c>
      <c r="AB299" s="121">
        <f>VLOOKUP($B299,'Tillförd energi'!$B$1:$AI$720,MATCH(AB$1,'Tillförd energi'!$B$1:$AQ$1,0),FALSE)</f>
        <v>0</v>
      </c>
      <c r="AC299" s="121">
        <f>VLOOKUP($B299,'Tillförd energi'!$B$1:$AI$720,MATCH(AC$1,'Tillförd energi'!$B$1:$AQ$1,0),FALSE)</f>
        <v>0</v>
      </c>
      <c r="AD299" s="121">
        <f>VLOOKUP($B299,'Tillförd energi'!$B$1:$AI$720,MATCH(AD$1,'Tillförd energi'!$B$1:$AQ$1,0),FALSE)</f>
        <v>9.3000000000000007</v>
      </c>
      <c r="AE299" s="121">
        <f>VLOOKUP($B299,'Tillförd energi'!$B$1:$AI$720,MATCH(AE$1,'Tillförd energi'!$B$1:$AQ$1,0),FALSE)</f>
        <v>0</v>
      </c>
      <c r="AF299" s="121">
        <f>VLOOKUP($B299,'Tillförd energi'!$B$1:$AI$720,MATCH(AF$1,'Tillförd energi'!$B$1:$AQ$1,0),FALSE)</f>
        <v>0.39</v>
      </c>
      <c r="AG299" s="121">
        <f>IFERROR(VLOOKUP(B299,Miljö!$B$1:$AC$550,MATCH("Köpt mängd produktionsspecifik fjärrvärme:",Miljö!$B$1:$AC$1,0),FALSE)/1,0)</f>
        <v>0</v>
      </c>
      <c r="AH299" s="121"/>
      <c r="AI299" s="121">
        <f t="shared" si="110"/>
        <v>23.937060000000002</v>
      </c>
      <c r="AJ299" s="121">
        <f t="shared" si="111"/>
        <v>23.937060000000002</v>
      </c>
      <c r="AK299" s="121">
        <f>IF(ISERROR(1/VLOOKUP($B299,Leveranser!$B$1:$S$499,MATCH("såld värme (gwh)",Leveranser!$B$1:$S$1,0),FALSE)),"",VLOOKUP($B299,Leveranser!$B$1:$S$499,MATCH("såld värme (gwh)",Leveranser!$B$1:$S$1,0),FALSE))</f>
        <v>17.2</v>
      </c>
      <c r="AL299" s="121">
        <f>VLOOKUP($B299,Leveranser!$B$1:$Y$499,MATCH("Totalt såld fjärrvärme till andra fjärrvärmeföretag",Leveranser!$B$1:$AA$1,0),FALSE)</f>
        <v>0</v>
      </c>
      <c r="AM299" s="121">
        <f>IF(ISERROR(1/VLOOKUP($B299,Miljö!$B$1:$S$500,MATCH("Såld mängd produktionsspecifik fjärrvärme (GWh)",Miljö!$B$1:$R$1,0),FALSE)),0,VLOOKUP($B299,Miljö!$B$1:$S$500,MATCH("Såld mängd produktionsspecifik fjärrvärme (GWh)",Miljö!$B$1:$R$1,0),FALSE))</f>
        <v>0</v>
      </c>
      <c r="AN299" s="172">
        <f t="shared" si="112"/>
        <v>0.71855106683945302</v>
      </c>
      <c r="AO299" s="121"/>
      <c r="AP299" s="121" t="str">
        <f>IFERROR(VLOOKUP($B299,Miljövärden!$B$2:$H$550,7,FALSE),"Nej, saknas")</f>
        <v>Ja</v>
      </c>
      <c r="AQ299" s="121" t="str">
        <f>IFERROR(VLOOKUP($B299,Miljövärden!$B$2:$H$550,6,FALSE),"Nej, saknas")</f>
        <v>Ja</v>
      </c>
      <c r="AU299">
        <f t="shared" si="113"/>
        <v>0.39</v>
      </c>
      <c r="AV299">
        <f t="shared" si="114"/>
        <v>0</v>
      </c>
      <c r="AW299">
        <f t="shared" si="115"/>
        <v>10.235300000000001</v>
      </c>
      <c r="AX299">
        <f t="shared" si="116"/>
        <v>0</v>
      </c>
      <c r="AZ299">
        <f t="shared" si="117"/>
        <v>10.235300000000001</v>
      </c>
      <c r="BC299">
        <f t="shared" si="118"/>
        <v>4.0117599999999998</v>
      </c>
      <c r="BD299">
        <f t="shared" si="119"/>
        <v>0</v>
      </c>
      <c r="BE299">
        <f t="shared" si="120"/>
        <v>10.235300000000001</v>
      </c>
      <c r="BF299">
        <f t="shared" si="121"/>
        <v>9.3000000000000007</v>
      </c>
      <c r="BG299">
        <f t="shared" si="122"/>
        <v>0.39</v>
      </c>
      <c r="BH299">
        <f>VLOOKUP(B299,Miljö!$B$1:$BX$482,MATCH("Fossilandel för ursprungspecificerad el ()",Miljö!$B$1:$I$1,0),FALSE)</f>
        <v>0.43</v>
      </c>
      <c r="BI299">
        <f>VLOOKUP(B299,Miljö!$B$1:$BX$482,MATCH("Kärnkraftsandel för ursprungsspecificerad el ()",Miljö!$B$1:$O$1,0),FALSE)</f>
        <v>0.40550000000000003</v>
      </c>
      <c r="BJ299">
        <f t="shared" si="123"/>
        <v>0</v>
      </c>
      <c r="BK299" t="str">
        <f>VLOOKUP(B299,Miljö!$B$1:$O$482,MATCH("Fossil andel i procent (%)",Miljö!$B$1:$O$1,0),FALSE)</f>
        <v>ET</v>
      </c>
      <c r="BL299">
        <f t="shared" si="124"/>
        <v>23.937060000000002</v>
      </c>
      <c r="BO299" s="18">
        <f t="shared" si="125"/>
        <v>0.17460206057051281</v>
      </c>
      <c r="BP299" s="18">
        <f t="shared" si="126"/>
        <v>6.606701073565425E-3</v>
      </c>
      <c r="BQ299" s="18">
        <f t="shared" si="127"/>
        <v>0.43027234756482202</v>
      </c>
      <c r="BR299" s="18">
        <f t="shared" si="128"/>
        <v>0.38851889079109964</v>
      </c>
      <c r="BT299" s="27">
        <f t="shared" si="129"/>
        <v>1</v>
      </c>
      <c r="BW299" s="18">
        <f>IF(AP299="ja",VLOOKUP(B299,Miljövärden!$B$2:$H$550,MATCH("Total andel fossilt",Miljövärden!$B$2:$H$2,0),FALSE),"")</f>
        <v>0.17460200000000001</v>
      </c>
      <c r="BZ299" s="28">
        <f t="shared" si="130"/>
        <v>-6.0570512799840159E-8</v>
      </c>
      <c r="CA299" s="28">
        <f t="shared" si="131"/>
        <v>0</v>
      </c>
    </row>
    <row r="300" spans="1:79" x14ac:dyDescent="0.25">
      <c r="A300" s="224" t="s">
        <v>601</v>
      </c>
      <c r="B300" s="210" t="s">
        <v>607</v>
      </c>
      <c r="C300" s="121">
        <f>VLOOKUP($B300,'Tillförd energi'!$B$1:$AI$720,MATCH(C$1,'Tillförd energi'!$B$1:$AQ$1,0),FALSE)</f>
        <v>0</v>
      </c>
      <c r="D300" s="121">
        <f>VLOOKUP($B300,'Tillförd energi'!$B$1:$AI$720,MATCH(D$1,'Tillförd energi'!$B$1:$AQ$1,0),FALSE)</f>
        <v>0.52</v>
      </c>
      <c r="E300" s="121">
        <f>VLOOKUP($B300,'Tillförd energi'!$B$1:$AI$720,MATCH(E$1,'Tillförd energi'!$B$1:$AQ$1,0),FALSE)</f>
        <v>0</v>
      </c>
      <c r="F300" s="121">
        <f>VLOOKUP($B300,'Tillförd energi'!$B$1:$AI$720,MATCH(F$1,'Tillförd energi'!$B$1:$AQ$1,0),FALSE)</f>
        <v>0</v>
      </c>
      <c r="G300" s="121">
        <f>VLOOKUP($B300,'Tillförd energi'!$B$1:$AI$720,MATCH(G$1,'Tillförd energi'!$B$1:$AQ$1,0),FALSE)</f>
        <v>0</v>
      </c>
      <c r="H300" s="121">
        <f>VLOOKUP($B300,'Tillförd energi'!$B$1:$AI$720,MATCH(H$1,'Tillförd energi'!$B$1:$AQ$1,0),FALSE)</f>
        <v>0</v>
      </c>
      <c r="I300" s="121">
        <f>VLOOKUP($B300,'Tillförd energi'!$B$1:$AI$720,MATCH(I$1,'Tillförd energi'!$B$1:$AQ$1,0),FALSE)</f>
        <v>0</v>
      </c>
      <c r="J300" s="121">
        <f>VLOOKUP($B300,'Tillförd energi'!$B$1:$AI$720,MATCH(J$1,'Tillförd energi'!$B$1:$AQ$1,0),FALSE)</f>
        <v>0</v>
      </c>
      <c r="K300" s="121">
        <f>VLOOKUP($B300,'Tillförd energi'!$B$1:$AI$720,MATCH(K$1,'Tillförd energi'!$B$1:$AQ$1,0),FALSE)</f>
        <v>0</v>
      </c>
      <c r="L300" s="121">
        <f>VLOOKUP($B300,'Tillförd energi'!$B$1:$AI$720,MATCH(L$1,'Tillförd energi'!$B$1:$AQ$1,0),FALSE)</f>
        <v>0</v>
      </c>
      <c r="M300" s="121">
        <f>VLOOKUP($B300,'Tillförd energi'!$B$1:$AI$720,MATCH(M$1,'Tillförd energi'!$B$1:$AQ$1,0),FALSE)</f>
        <v>0</v>
      </c>
      <c r="N300" s="121">
        <f>VLOOKUP($B300,'Tillförd energi'!$B$1:$AI$720,MATCH(N$1,'Tillförd energi'!$B$1:$AQ$1,0),FALSE)</f>
        <v>22.6</v>
      </c>
      <c r="O300" s="121">
        <f>VLOOKUP($B300,'Tillförd energi'!$B$1:$AI$720,MATCH(O$1,'Tillförd energi'!$B$1:$AQ$1,0),FALSE)</f>
        <v>0</v>
      </c>
      <c r="P300" s="121">
        <f>VLOOKUP($B300,'Tillförd energi'!$B$1:$AI$720,MATCH(P$1,'Tillförd energi'!$B$1:$AQ$1,0),FALSE)</f>
        <v>0</v>
      </c>
      <c r="Q300" s="121">
        <f>VLOOKUP($B300,'Tillförd energi'!$B$1:$AI$720,MATCH(Q$1,'Tillförd energi'!$B$1:$AQ$1,0),FALSE)</f>
        <v>5.4705899999999996</v>
      </c>
      <c r="R300" s="121">
        <f>VLOOKUP($B300,'Tillförd energi'!$B$1:$AI$720,MATCH(R$1,'Tillförd energi'!$B$1:$AQ$1,0),FALSE)</f>
        <v>0</v>
      </c>
      <c r="S300" s="121">
        <f>VLOOKUP($B300,'Tillförd energi'!$B$1:$AI$720,MATCH(S$1,'Tillförd energi'!$B$1:$AQ$1,0),FALSE)</f>
        <v>0</v>
      </c>
      <c r="T300" s="121">
        <f>VLOOKUP($B300,'Tillförd energi'!$B$1:$AI$720,MATCH(T$1,'Tillförd energi'!$B$1:$AQ$1,0),FALSE)</f>
        <v>0</v>
      </c>
      <c r="U300" s="121">
        <f>VLOOKUP($B300,'Tillförd energi'!$B$1:$AI$720,MATCH(U$1,'Tillförd energi'!$B$1:$AQ$1,0),FALSE)</f>
        <v>0</v>
      </c>
      <c r="V300" s="121">
        <f>VLOOKUP($B300,'Tillförd energi'!$B$1:$AI$720,MATCH(V$1,'Tillförd energi'!$B$1:$AQ$1,0),FALSE)</f>
        <v>0</v>
      </c>
      <c r="W300" s="121">
        <f>VLOOKUP($B300,'Tillförd energi'!$B$1:$AI$720,MATCH(W$1,'Tillförd energi'!$B$1:$AQ$1,0),FALSE)</f>
        <v>0</v>
      </c>
      <c r="X300" s="121">
        <f>VLOOKUP($B300,'Tillförd energi'!$B$1:$AI$720,MATCH(X$1,'Tillförd energi'!$B$1:$AQ$1,0),FALSE)</f>
        <v>0</v>
      </c>
      <c r="Y300" s="121">
        <f>VLOOKUP($B300,'Tillförd energi'!$B$1:$AI$720,MATCH(Y$1,'Tillförd energi'!$B$1:$AQ$1,0),FALSE)</f>
        <v>0</v>
      </c>
      <c r="Z300" s="121">
        <f>VLOOKUP($B300,'Tillförd energi'!$B$1:$AI$720,MATCH(Z$1,'Tillförd energi'!$B$1:$AQ$1,0),FALSE)</f>
        <v>0</v>
      </c>
      <c r="AA300" s="121">
        <f>VLOOKUP($B300,'Tillförd energi'!$B$1:$AI$720,MATCH(AA$1,'Tillförd energi'!$B$1:$AQ$1,0),FALSE)</f>
        <v>0</v>
      </c>
      <c r="AB300" s="121">
        <f>VLOOKUP($B300,'Tillförd energi'!$B$1:$AI$720,MATCH(AB$1,'Tillförd energi'!$B$1:$AQ$1,0),FALSE)</f>
        <v>0</v>
      </c>
      <c r="AC300" s="121">
        <f>VLOOKUP($B300,'Tillförd energi'!$B$1:$AI$720,MATCH(AC$1,'Tillförd energi'!$B$1:$AQ$1,0),FALSE)</f>
        <v>5.46</v>
      </c>
      <c r="AD300" s="121">
        <f>VLOOKUP($B300,'Tillförd energi'!$B$1:$AI$720,MATCH(AD$1,'Tillförd energi'!$B$1:$AQ$1,0),FALSE)</f>
        <v>0</v>
      </c>
      <c r="AE300" s="121">
        <f>VLOOKUP($B300,'Tillförd energi'!$B$1:$AI$720,MATCH(AE$1,'Tillförd energi'!$B$1:$AQ$1,0),FALSE)</f>
        <v>0</v>
      </c>
      <c r="AF300" s="121">
        <f>VLOOKUP($B300,'Tillförd energi'!$B$1:$AI$720,MATCH(AF$1,'Tillförd energi'!$B$1:$AQ$1,0),FALSE)</f>
        <v>0.53900000000000003</v>
      </c>
      <c r="AG300" s="121">
        <f>IFERROR(VLOOKUP(B300,Miljö!$B$1:$AC$550,MATCH("Köpt mängd produktionsspecifik fjärrvärme:",Miljö!$B$1:$AC$1,0),FALSE)/1,0)</f>
        <v>0</v>
      </c>
      <c r="AH300" s="121"/>
      <c r="AI300" s="121">
        <f t="shared" si="110"/>
        <v>34.589590000000001</v>
      </c>
      <c r="AJ300" s="121">
        <f t="shared" si="111"/>
        <v>34.589590000000001</v>
      </c>
      <c r="AK300" s="121">
        <f>IF(ISERROR(1/VLOOKUP($B300,Leveranser!$B$1:$S$499,MATCH("såld värme (gwh)",Leveranser!$B$1:$S$1,0),FALSE)),"",VLOOKUP($B300,Leveranser!$B$1:$S$499,MATCH("såld värme (gwh)",Leveranser!$B$1:$S$1,0),FALSE))</f>
        <v>30.8</v>
      </c>
      <c r="AL300" s="121">
        <f>VLOOKUP($B300,Leveranser!$B$1:$Y$499,MATCH("Totalt såld fjärrvärme till andra fjärrvärmeföretag",Leveranser!$B$1:$AA$1,0),FALSE)</f>
        <v>0</v>
      </c>
      <c r="AM300" s="121">
        <f>IF(ISERROR(1/VLOOKUP($B300,Miljö!$B$1:$S$500,MATCH("Såld mängd produktionsspecifik fjärrvärme (GWh)",Miljö!$B$1:$R$1,0),FALSE)),0,VLOOKUP($B300,Miljö!$B$1:$S$500,MATCH("Såld mängd produktionsspecifik fjärrvärme (GWh)",Miljö!$B$1:$R$1,0),FALSE))</f>
        <v>0</v>
      </c>
      <c r="AN300" s="172">
        <f t="shared" si="112"/>
        <v>0.89044131485802525</v>
      </c>
      <c r="AO300" s="121"/>
      <c r="AP300" s="121" t="str">
        <f>IFERROR(VLOOKUP($B300,Miljövärden!$B$2:$H$550,7,FALSE),"Nej, saknas")</f>
        <v>Ja</v>
      </c>
      <c r="AQ300" s="121" t="str">
        <f>IFERROR(VLOOKUP($B300,Miljövärden!$B$2:$H$550,6,FALSE),"Nej, saknas")</f>
        <v>Ja</v>
      </c>
      <c r="AU300">
        <f t="shared" si="113"/>
        <v>0.53900000000000003</v>
      </c>
      <c r="AV300">
        <f t="shared" si="114"/>
        <v>0</v>
      </c>
      <c r="AW300">
        <f t="shared" si="115"/>
        <v>28.070590000000003</v>
      </c>
      <c r="AX300">
        <f t="shared" si="116"/>
        <v>0</v>
      </c>
      <c r="AZ300">
        <f t="shared" si="117"/>
        <v>28.070590000000003</v>
      </c>
      <c r="BC300">
        <f t="shared" si="118"/>
        <v>0.52</v>
      </c>
      <c r="BD300">
        <f t="shared" si="119"/>
        <v>0</v>
      </c>
      <c r="BE300">
        <f t="shared" si="120"/>
        <v>28.070590000000003</v>
      </c>
      <c r="BF300">
        <f t="shared" si="121"/>
        <v>5.46</v>
      </c>
      <c r="BG300">
        <f t="shared" si="122"/>
        <v>0.53900000000000003</v>
      </c>
      <c r="BH300">
        <f>VLOOKUP(B300,Miljö!$B$1:$BX$482,MATCH("Fossilandel för ursprungspecificerad el ()",Miljö!$B$1:$I$1,0),FALSE)</f>
        <v>0.43</v>
      </c>
      <c r="BI300">
        <f>VLOOKUP(B300,Miljö!$B$1:$BX$482,MATCH("Kärnkraftsandel för ursprungsspecificerad el ()",Miljö!$B$1:$O$1,0),FALSE)</f>
        <v>0.40550000000000003</v>
      </c>
      <c r="BJ300">
        <f t="shared" si="123"/>
        <v>0</v>
      </c>
      <c r="BK300" t="str">
        <f>VLOOKUP(B300,Miljö!$B$1:$O$482,MATCH("Fossil andel i procent (%)",Miljö!$B$1:$O$1,0),FALSE)</f>
        <v>ET</v>
      </c>
      <c r="BL300">
        <f t="shared" si="124"/>
        <v>34.589590000000001</v>
      </c>
      <c r="BO300" s="18">
        <f t="shared" si="125"/>
        <v>2.1733995690610963E-2</v>
      </c>
      <c r="BP300" s="18">
        <f t="shared" si="126"/>
        <v>6.3187941805612621E-3</v>
      </c>
      <c r="BQ300" s="18">
        <f t="shared" si="127"/>
        <v>0.81409624976763251</v>
      </c>
      <c r="BR300" s="18">
        <f t="shared" si="128"/>
        <v>0.15785096036119536</v>
      </c>
      <c r="BT300" s="27">
        <f t="shared" si="129"/>
        <v>1</v>
      </c>
      <c r="BW300" s="18">
        <f>IF(AP300="ja",VLOOKUP(B300,Miljövärden!$B$2:$H$550,MATCH("Total andel fossilt",Miljövärden!$B$2:$H$2,0),FALSE),"")</f>
        <v>2.1734E-2</v>
      </c>
      <c r="BZ300" s="28">
        <f t="shared" si="130"/>
        <v>4.3093890365886178E-9</v>
      </c>
      <c r="CA300" s="28">
        <f t="shared" si="131"/>
        <v>0</v>
      </c>
    </row>
    <row r="301" spans="1:79" x14ac:dyDescent="0.25">
      <c r="A301" s="224" t="s">
        <v>608</v>
      </c>
      <c r="B301" s="210" t="s">
        <v>609</v>
      </c>
      <c r="C301" s="121">
        <f>VLOOKUP($B301,'Tillförd energi'!$B$1:$AI$720,MATCH(C$1,'Tillförd energi'!$B$1:$AQ$1,0),FALSE)</f>
        <v>0</v>
      </c>
      <c r="D301" s="121">
        <f>VLOOKUP($B301,'Tillförd energi'!$B$1:$AI$720,MATCH(D$1,'Tillförd energi'!$B$1:$AQ$1,0),FALSE)</f>
        <v>0</v>
      </c>
      <c r="E301" s="121">
        <f>VLOOKUP($B301,'Tillförd energi'!$B$1:$AI$720,MATCH(E$1,'Tillförd energi'!$B$1:$AQ$1,0),FALSE)</f>
        <v>0</v>
      </c>
      <c r="F301" s="121">
        <f>VLOOKUP($B301,'Tillförd energi'!$B$1:$AI$720,MATCH(F$1,'Tillförd energi'!$B$1:$AQ$1,0),FALSE)</f>
        <v>0</v>
      </c>
      <c r="G301" s="121">
        <f>VLOOKUP($B301,'Tillförd energi'!$B$1:$AI$720,MATCH(G$1,'Tillförd energi'!$B$1:$AQ$1,0),FALSE)</f>
        <v>0</v>
      </c>
      <c r="H301" s="121">
        <f>VLOOKUP($B301,'Tillförd energi'!$B$1:$AI$720,MATCH(H$1,'Tillförd energi'!$B$1:$AQ$1,0),FALSE)</f>
        <v>0</v>
      </c>
      <c r="I301" s="121">
        <f>VLOOKUP($B301,'Tillförd energi'!$B$1:$AI$720,MATCH(I$1,'Tillförd energi'!$B$1:$AQ$1,0),FALSE)</f>
        <v>0</v>
      </c>
      <c r="J301" s="121">
        <f>VLOOKUP($B301,'Tillförd energi'!$B$1:$AI$720,MATCH(J$1,'Tillförd energi'!$B$1:$AQ$1,0),FALSE)</f>
        <v>0.98799999999999999</v>
      </c>
      <c r="K301" s="121">
        <f>VLOOKUP($B301,'Tillförd energi'!$B$1:$AI$720,MATCH(K$1,'Tillförd energi'!$B$1:$AQ$1,0),FALSE)</f>
        <v>0</v>
      </c>
      <c r="L301" s="121">
        <f>VLOOKUP($B301,'Tillförd energi'!$B$1:$AI$720,MATCH(L$1,'Tillförd energi'!$B$1:$AQ$1,0),FALSE)</f>
        <v>0</v>
      </c>
      <c r="M301" s="121">
        <f>VLOOKUP($B301,'Tillförd energi'!$B$1:$AI$720,MATCH(M$1,'Tillförd energi'!$B$1:$AQ$1,0),FALSE)</f>
        <v>0</v>
      </c>
      <c r="N301" s="121">
        <f>VLOOKUP($B301,'Tillförd energi'!$B$1:$AI$720,MATCH(N$1,'Tillförd energi'!$B$1:$AQ$1,0),FALSE)</f>
        <v>0</v>
      </c>
      <c r="O301" s="121">
        <f>VLOOKUP($B301,'Tillförd energi'!$B$1:$AI$720,MATCH(O$1,'Tillförd energi'!$B$1:$AQ$1,0),FALSE)</f>
        <v>0</v>
      </c>
      <c r="P301" s="121">
        <f>VLOOKUP($B301,'Tillförd energi'!$B$1:$AI$720,MATCH(P$1,'Tillförd energi'!$B$1:$AQ$1,0),FALSE)</f>
        <v>0</v>
      </c>
      <c r="Q301" s="121">
        <f>VLOOKUP($B301,'Tillförd energi'!$B$1:$AI$720,MATCH(Q$1,'Tillförd energi'!$B$1:$AQ$1,0),FALSE)</f>
        <v>0</v>
      </c>
      <c r="R301" s="121">
        <f>VLOOKUP($B301,'Tillförd energi'!$B$1:$AI$720,MATCH(R$1,'Tillförd energi'!$B$1:$AQ$1,0),FALSE)</f>
        <v>6.3390000000000004</v>
      </c>
      <c r="S301" s="121">
        <f>VLOOKUP($B301,'Tillförd energi'!$B$1:$AI$720,MATCH(S$1,'Tillförd energi'!$B$1:$AQ$1,0),FALSE)</f>
        <v>0</v>
      </c>
      <c r="T301" s="121">
        <f>VLOOKUP($B301,'Tillförd energi'!$B$1:$AI$720,MATCH(T$1,'Tillförd energi'!$B$1:$AQ$1,0),FALSE)</f>
        <v>0</v>
      </c>
      <c r="U301" s="121">
        <f>VLOOKUP($B301,'Tillförd energi'!$B$1:$AI$720,MATCH(U$1,'Tillförd energi'!$B$1:$AQ$1,0),FALSE)</f>
        <v>0</v>
      </c>
      <c r="V301" s="121">
        <f>VLOOKUP($B301,'Tillförd energi'!$B$1:$AI$720,MATCH(V$1,'Tillförd energi'!$B$1:$AQ$1,0),FALSE)</f>
        <v>0</v>
      </c>
      <c r="W301" s="121">
        <f>VLOOKUP($B301,'Tillförd energi'!$B$1:$AI$720,MATCH(W$1,'Tillförd energi'!$B$1:$AQ$1,0),FALSE)</f>
        <v>6.1669999999999998</v>
      </c>
      <c r="X301" s="121">
        <f>VLOOKUP($B301,'Tillförd energi'!$B$1:$AI$720,MATCH(X$1,'Tillförd energi'!$B$1:$AQ$1,0),FALSE)</f>
        <v>0</v>
      </c>
      <c r="Y301" s="121">
        <f>VLOOKUP($B301,'Tillförd energi'!$B$1:$AI$720,MATCH(Y$1,'Tillförd energi'!$B$1:$AQ$1,0),FALSE)</f>
        <v>0</v>
      </c>
      <c r="Z301" s="121">
        <f>VLOOKUP($B301,'Tillförd energi'!$B$1:$AI$720,MATCH(Z$1,'Tillförd energi'!$B$1:$AQ$1,0),FALSE)</f>
        <v>0</v>
      </c>
      <c r="AA301" s="121">
        <f>VLOOKUP($B301,'Tillförd energi'!$B$1:$AI$720,MATCH(AA$1,'Tillförd energi'!$B$1:$AQ$1,0),FALSE)</f>
        <v>0</v>
      </c>
      <c r="AB301" s="121">
        <f>VLOOKUP($B301,'Tillförd energi'!$B$1:$AI$720,MATCH(AB$1,'Tillförd energi'!$B$1:$AQ$1,0),FALSE)</f>
        <v>0</v>
      </c>
      <c r="AC301" s="121">
        <f>VLOOKUP($B301,'Tillförd energi'!$B$1:$AI$720,MATCH(AC$1,'Tillförd energi'!$B$1:$AQ$1,0),FALSE)</f>
        <v>0</v>
      </c>
      <c r="AD301" s="121">
        <f>VLOOKUP($B301,'Tillförd energi'!$B$1:$AI$720,MATCH(AD$1,'Tillförd energi'!$B$1:$AQ$1,0),FALSE)</f>
        <v>31</v>
      </c>
      <c r="AE301" s="121">
        <f>VLOOKUP($B301,'Tillförd energi'!$B$1:$AI$720,MATCH(AE$1,'Tillförd energi'!$B$1:$AQ$1,0),FALSE)</f>
        <v>0</v>
      </c>
      <c r="AF301" s="121">
        <f>VLOOKUP($B301,'Tillförd energi'!$B$1:$AI$720,MATCH(AF$1,'Tillförd energi'!$B$1:$AQ$1,0),FALSE)</f>
        <v>2.2999999999999998</v>
      </c>
      <c r="AG301" s="121">
        <f>IFERROR(VLOOKUP(B301,Miljö!$B$1:$AC$550,MATCH("Köpt mängd produktionsspecifik fjärrvärme:",Miljö!$B$1:$AC$1,0),FALSE)/1,0)</f>
        <v>0</v>
      </c>
      <c r="AH301" s="121"/>
      <c r="AI301" s="121">
        <f t="shared" si="110"/>
        <v>46.793999999999997</v>
      </c>
      <c r="AJ301" s="121">
        <f t="shared" si="111"/>
        <v>46.793999999999997</v>
      </c>
      <c r="AK301" s="121">
        <f>IF(ISERROR(1/VLOOKUP($B301,Leveranser!$B$1:$S$499,MATCH("såld värme (gwh)",Leveranser!$B$1:$S$1,0),FALSE)),"",VLOOKUP($B301,Leveranser!$B$1:$S$499,MATCH("såld värme (gwh)",Leveranser!$B$1:$S$1,0),FALSE))</f>
        <v>43</v>
      </c>
      <c r="AL301" s="121">
        <f>VLOOKUP($B301,Leveranser!$B$1:$Y$499,MATCH("Totalt såld fjärrvärme till andra fjärrvärmeföretag",Leveranser!$B$1:$AA$1,0),FALSE)</f>
        <v>0</v>
      </c>
      <c r="AM301" s="121">
        <f>IF(ISERROR(1/VLOOKUP($B301,Miljö!$B$1:$S$500,MATCH("Såld mängd produktionsspecifik fjärrvärme (GWh)",Miljö!$B$1:$R$1,0),FALSE)),0,VLOOKUP($B301,Miljö!$B$1:$S$500,MATCH("Såld mängd produktionsspecifik fjärrvärme (GWh)",Miljö!$B$1:$R$1,0),FALSE))</f>
        <v>0</v>
      </c>
      <c r="AN301" s="172">
        <f t="shared" si="112"/>
        <v>0.91892122921742114</v>
      </c>
      <c r="AO301" s="121"/>
      <c r="AP301" s="121" t="str">
        <f>IFERROR(VLOOKUP($B301,Miljövärden!$B$2:$H$550,7,FALSE),"Nej, saknas")</f>
        <v>Ja</v>
      </c>
      <c r="AQ301" s="121" t="str">
        <f>IFERROR(VLOOKUP($B301,Miljövärden!$B$2:$H$550,6,FALSE),"Nej, saknas")</f>
        <v>Ja</v>
      </c>
      <c r="AU301">
        <f t="shared" si="113"/>
        <v>2.2999999999999998</v>
      </c>
      <c r="AV301">
        <f t="shared" si="114"/>
        <v>0</v>
      </c>
      <c r="AW301">
        <f t="shared" si="115"/>
        <v>0</v>
      </c>
      <c r="AX301">
        <f t="shared" si="116"/>
        <v>6.3390000000000004</v>
      </c>
      <c r="AZ301">
        <f t="shared" si="117"/>
        <v>12.506</v>
      </c>
      <c r="BC301">
        <f t="shared" si="118"/>
        <v>0</v>
      </c>
      <c r="BD301">
        <f t="shared" si="119"/>
        <v>0</v>
      </c>
      <c r="BE301">
        <f t="shared" si="120"/>
        <v>12.506</v>
      </c>
      <c r="BF301">
        <f t="shared" si="121"/>
        <v>31.988</v>
      </c>
      <c r="BG301">
        <f t="shared" si="122"/>
        <v>2.2999999999999998</v>
      </c>
      <c r="BH301">
        <f>VLOOKUP(B301,Miljö!$B$1:$BX$482,MATCH("Fossilandel för ursprungspecificerad el ()",Miljö!$B$1:$I$1,0),FALSE)</f>
        <v>0</v>
      </c>
      <c r="BI301">
        <f>VLOOKUP(B301,Miljö!$B$1:$BX$482,MATCH("Kärnkraftsandel för ursprungsspecificerad el ()",Miljö!$B$1:$O$1,0),FALSE)</f>
        <v>0</v>
      </c>
      <c r="BJ301">
        <f t="shared" si="123"/>
        <v>0</v>
      </c>
      <c r="BK301" t="str">
        <f>VLOOKUP(B301,Miljö!$B$1:$O$482,MATCH("Fossil andel i procent (%)",Miljö!$B$1:$O$1,0),FALSE)</f>
        <v>ET</v>
      </c>
      <c r="BL301">
        <f t="shared" si="124"/>
        <v>46.793999999999997</v>
      </c>
      <c r="BO301" s="18">
        <f t="shared" si="125"/>
        <v>0</v>
      </c>
      <c r="BP301" s="18">
        <f t="shared" si="126"/>
        <v>0</v>
      </c>
      <c r="BQ301" s="18">
        <f t="shared" si="127"/>
        <v>0.31640808650681718</v>
      </c>
      <c r="BR301" s="18">
        <f t="shared" si="128"/>
        <v>0.68359191349318293</v>
      </c>
      <c r="BT301" s="27">
        <f t="shared" si="129"/>
        <v>1</v>
      </c>
      <c r="BW301" s="18">
        <f>IF(AP301="ja",VLOOKUP(B301,Miljövärden!$B$2:$H$550,MATCH("Total andel fossilt",Miljövärden!$B$2:$H$2,0),FALSE),"")</f>
        <v>0</v>
      </c>
      <c r="BZ301" s="28">
        <f t="shared" si="130"/>
        <v>0</v>
      </c>
      <c r="CA301" s="28">
        <f t="shared" si="131"/>
        <v>0</v>
      </c>
    </row>
    <row r="302" spans="1:79" x14ac:dyDescent="0.25">
      <c r="A302" s="224" t="s">
        <v>608</v>
      </c>
      <c r="B302" s="210" t="s">
        <v>610</v>
      </c>
      <c r="C302" s="121">
        <f>VLOOKUP($B302,'Tillförd energi'!$B$1:$AI$720,MATCH(C$1,'Tillförd energi'!$B$1:$AQ$1,0),FALSE)</f>
        <v>0</v>
      </c>
      <c r="D302" s="121">
        <f>VLOOKUP($B302,'Tillförd energi'!$B$1:$AI$720,MATCH(D$1,'Tillförd energi'!$B$1:$AQ$1,0),FALSE)</f>
        <v>2.7640699999999998</v>
      </c>
      <c r="E302" s="121">
        <f>VLOOKUP($B302,'Tillförd energi'!$B$1:$AI$720,MATCH(E$1,'Tillförd energi'!$B$1:$AQ$1,0),FALSE)</f>
        <v>0</v>
      </c>
      <c r="F302" s="121">
        <f>VLOOKUP($B302,'Tillförd energi'!$B$1:$AI$720,MATCH(F$1,'Tillförd energi'!$B$1:$AQ$1,0),FALSE)</f>
        <v>3.4969999999999999</v>
      </c>
      <c r="G302" s="121">
        <f>VLOOKUP($B302,'Tillförd energi'!$B$1:$AI$720,MATCH(G$1,'Tillförd energi'!$B$1:$AQ$1,0),FALSE)</f>
        <v>0</v>
      </c>
      <c r="H302" s="121">
        <f>VLOOKUP($B302,'Tillförd energi'!$B$1:$AI$720,MATCH(H$1,'Tillförd energi'!$B$1:$AQ$1,0),FALSE)</f>
        <v>0</v>
      </c>
      <c r="I302" s="121">
        <f>VLOOKUP($B302,'Tillförd energi'!$B$1:$AI$720,MATCH(I$1,'Tillförd energi'!$B$1:$AQ$1,0),FALSE)</f>
        <v>161.798</v>
      </c>
      <c r="J302" s="121">
        <f>VLOOKUP($B302,'Tillförd energi'!$B$1:$AI$720,MATCH(J$1,'Tillförd energi'!$B$1:$AQ$1,0),FALSE)</f>
        <v>0</v>
      </c>
      <c r="K302" s="121">
        <f>VLOOKUP($B302,'Tillförd energi'!$B$1:$AI$720,MATCH(K$1,'Tillförd energi'!$B$1:$AQ$1,0),FALSE)</f>
        <v>0</v>
      </c>
      <c r="L302" s="121">
        <f>VLOOKUP($B302,'Tillförd energi'!$B$1:$AI$720,MATCH(L$1,'Tillförd energi'!$B$1:$AQ$1,0),FALSE)</f>
        <v>307.58699999999999</v>
      </c>
      <c r="M302" s="121">
        <f>VLOOKUP($B302,'Tillförd energi'!$B$1:$AI$720,MATCH(M$1,'Tillförd energi'!$B$1:$AQ$1,0),FALSE)</f>
        <v>22.665700000000001</v>
      </c>
      <c r="N302" s="121">
        <f>VLOOKUP($B302,'Tillförd energi'!$B$1:$AI$720,MATCH(N$1,'Tillförd energi'!$B$1:$AQ$1,0),FALSE)</f>
        <v>29.966799999999999</v>
      </c>
      <c r="O302" s="121">
        <f>VLOOKUP($B302,'Tillförd energi'!$B$1:$AI$720,MATCH(O$1,'Tillförd energi'!$B$1:$AQ$1,0),FALSE)</f>
        <v>38.218499999999999</v>
      </c>
      <c r="P302" s="121">
        <f>VLOOKUP($B302,'Tillförd energi'!$B$1:$AI$720,MATCH(P$1,'Tillförd energi'!$B$1:$AQ$1,0),FALSE)</f>
        <v>12.1378</v>
      </c>
      <c r="Q302" s="121">
        <f>VLOOKUP($B302,'Tillförd energi'!$B$1:$AI$720,MATCH(Q$1,'Tillförd energi'!$B$1:$AQ$1,0),FALSE)</f>
        <v>0</v>
      </c>
      <c r="R302" s="121">
        <f>VLOOKUP($B302,'Tillförd energi'!$B$1:$AI$720,MATCH(R$1,'Tillförd energi'!$B$1:$AQ$1,0),FALSE)</f>
        <v>15.49</v>
      </c>
      <c r="S302" s="121">
        <f>VLOOKUP($B302,'Tillförd energi'!$B$1:$AI$720,MATCH(S$1,'Tillförd energi'!$B$1:$AQ$1,0),FALSE)</f>
        <v>0</v>
      </c>
      <c r="T302" s="121">
        <f>VLOOKUP($B302,'Tillförd energi'!$B$1:$AI$720,MATCH(T$1,'Tillförd energi'!$B$1:$AQ$1,0),FALSE)</f>
        <v>0</v>
      </c>
      <c r="U302" s="121">
        <f>VLOOKUP($B302,'Tillförd energi'!$B$1:$AI$720,MATCH(U$1,'Tillförd energi'!$B$1:$AQ$1,0),FALSE)</f>
        <v>0</v>
      </c>
      <c r="V302" s="121">
        <f>VLOOKUP($B302,'Tillförd energi'!$B$1:$AI$720,MATCH(V$1,'Tillförd energi'!$B$1:$AQ$1,0),FALSE)</f>
        <v>7.58</v>
      </c>
      <c r="W302" s="121">
        <f>VLOOKUP($B302,'Tillförd energi'!$B$1:$AI$720,MATCH(W$1,'Tillförd energi'!$B$1:$AQ$1,0),FALSE)</f>
        <v>0</v>
      </c>
      <c r="X302" s="121">
        <f>VLOOKUP($B302,'Tillförd energi'!$B$1:$AI$720,MATCH(X$1,'Tillförd energi'!$B$1:$AQ$1,0),FALSE)</f>
        <v>5.4293599999999997E-2</v>
      </c>
      <c r="Y302" s="121">
        <f>VLOOKUP($B302,'Tillförd energi'!$B$1:$AI$720,MATCH(Y$1,'Tillförd energi'!$B$1:$AQ$1,0),FALSE)</f>
        <v>0</v>
      </c>
      <c r="Z302" s="121">
        <f>VLOOKUP($B302,'Tillförd energi'!$B$1:$AI$720,MATCH(Z$1,'Tillförd energi'!$B$1:$AQ$1,0),FALSE)</f>
        <v>2.67</v>
      </c>
      <c r="AA302" s="121">
        <f>VLOOKUP($B302,'Tillförd energi'!$B$1:$AI$720,MATCH(AA$1,'Tillförd energi'!$B$1:$AQ$1,0),FALSE)</f>
        <v>0</v>
      </c>
      <c r="AB302" s="121">
        <f>VLOOKUP($B302,'Tillförd energi'!$B$1:$AI$720,MATCH(AB$1,'Tillförd energi'!$B$1:$AQ$1,0),FALSE)</f>
        <v>0</v>
      </c>
      <c r="AC302" s="121">
        <f>VLOOKUP($B302,'Tillförd energi'!$B$1:$AI$720,MATCH(AC$1,'Tillförd energi'!$B$1:$AQ$1,0),FALSE)</f>
        <v>134.47</v>
      </c>
      <c r="AD302" s="121">
        <f>VLOOKUP($B302,'Tillförd energi'!$B$1:$AI$720,MATCH(AD$1,'Tillförd energi'!$B$1:$AQ$1,0),FALSE)</f>
        <v>0</v>
      </c>
      <c r="AE302" s="121">
        <f>VLOOKUP($B302,'Tillförd energi'!$B$1:$AI$720,MATCH(AE$1,'Tillförd energi'!$B$1:$AQ$1,0),FALSE)</f>
        <v>0</v>
      </c>
      <c r="AF302" s="121">
        <f>VLOOKUP($B302,'Tillförd energi'!$B$1:$AI$720,MATCH(AF$1,'Tillförd energi'!$B$1:$AQ$1,0),FALSE)</f>
        <v>34.326999999999998</v>
      </c>
      <c r="AG302" s="121">
        <f>IFERROR(VLOOKUP(B302,Miljö!$B$1:$AC$550,MATCH("Köpt mängd produktionsspecifik fjärrvärme:",Miljö!$B$1:$AC$1,0),FALSE)/1,0)</f>
        <v>4.38</v>
      </c>
      <c r="AH302" s="121"/>
      <c r="AI302" s="121">
        <f t="shared" si="110"/>
        <v>773.22616360000006</v>
      </c>
      <c r="AJ302" s="121">
        <f t="shared" si="111"/>
        <v>777.60616360000006</v>
      </c>
      <c r="AK302" s="121">
        <f>IF(ISERROR(1/VLOOKUP($B302,Leveranser!$B$1:$S$499,MATCH("såld värme (gwh)",Leveranser!$B$1:$S$1,0),FALSE)),"",VLOOKUP($B302,Leveranser!$B$1:$S$499,MATCH("såld värme (gwh)",Leveranser!$B$1:$S$1,0),FALSE))</f>
        <v>688</v>
      </c>
      <c r="AL302" s="121">
        <f>VLOOKUP($B302,Leveranser!$B$1:$Y$499,MATCH("Totalt såld fjärrvärme till andra fjärrvärmeföretag",Leveranser!$B$1:$AA$1,0),FALSE)</f>
        <v>0</v>
      </c>
      <c r="AM302" s="121">
        <f>IF(ISERROR(1/VLOOKUP($B302,Miljö!$B$1:$S$500,MATCH("Såld mängd produktionsspecifik fjärrvärme (GWh)",Miljö!$B$1:$R$1,0),FALSE)),0,VLOOKUP($B302,Miljö!$B$1:$S$500,MATCH("Såld mängd produktionsspecifik fjärrvärme (GWh)",Miljö!$B$1:$R$1,0),FALSE))</f>
        <v>0</v>
      </c>
      <c r="AN302" s="172">
        <f t="shared" si="112"/>
        <v>0.88476664950138773</v>
      </c>
      <c r="AO302" s="121"/>
      <c r="AP302" s="121" t="str">
        <f>IFERROR(VLOOKUP($B302,Miljövärden!$B$2:$H$550,7,FALSE),"Nej, saknas")</f>
        <v>Ja</v>
      </c>
      <c r="AQ302" s="121" t="str">
        <f>IFERROR(VLOOKUP($B302,Miljövärden!$B$2:$H$550,6,FALSE),"Nej, saknas")</f>
        <v>Ja</v>
      </c>
      <c r="AU302">
        <f t="shared" si="113"/>
        <v>36.997</v>
      </c>
      <c r="AV302">
        <f t="shared" si="114"/>
        <v>5.4293599999999997E-2</v>
      </c>
      <c r="AW302">
        <f t="shared" si="115"/>
        <v>102.9888</v>
      </c>
      <c r="AX302">
        <f t="shared" si="116"/>
        <v>15.49</v>
      </c>
      <c r="AZ302">
        <f t="shared" si="117"/>
        <v>433.7000936</v>
      </c>
      <c r="BC302">
        <f t="shared" si="118"/>
        <v>6.2610700000000001</v>
      </c>
      <c r="BD302">
        <f t="shared" si="119"/>
        <v>0</v>
      </c>
      <c r="BE302">
        <f t="shared" si="120"/>
        <v>126.11309359999998</v>
      </c>
      <c r="BF302">
        <f t="shared" si="121"/>
        <v>603.85500000000002</v>
      </c>
      <c r="BG302">
        <f t="shared" si="122"/>
        <v>36.997</v>
      </c>
      <c r="BH302">
        <f>VLOOKUP(B302,Miljö!$B$1:$BX$482,MATCH("Fossilandel för ursprungspecificerad el ()",Miljö!$B$1:$I$1,0),FALSE)</f>
        <v>0</v>
      </c>
      <c r="BI302">
        <f>VLOOKUP(B302,Miljö!$B$1:$BX$482,MATCH("Kärnkraftsandel för ursprungsspecificerad el ()",Miljö!$B$1:$O$1,0),FALSE)</f>
        <v>0</v>
      </c>
      <c r="BJ302">
        <f t="shared" si="123"/>
        <v>4.38</v>
      </c>
      <c r="BK302">
        <f>VLOOKUP(B302,Miljö!$B$1:$O$482,MATCH("Fossil andel i procent (%)",Miljö!$B$1:$O$1,0),FALSE)</f>
        <v>4</v>
      </c>
      <c r="BL302">
        <f t="shared" si="124"/>
        <v>777.60616359999995</v>
      </c>
      <c r="BO302" s="18">
        <f t="shared" si="125"/>
        <v>8.2770305860265965E-3</v>
      </c>
      <c r="BP302" s="18">
        <f t="shared" si="126"/>
        <v>5.4073645462549931E-3</v>
      </c>
      <c r="BQ302" s="18">
        <f t="shared" si="127"/>
        <v>0.20975926019524671</v>
      </c>
      <c r="BR302" s="18">
        <f t="shared" si="128"/>
        <v>0.77655634467247181</v>
      </c>
      <c r="BT302" s="27">
        <f t="shared" si="129"/>
        <v>1</v>
      </c>
      <c r="BW302" s="18">
        <f>IF(AP302="ja",VLOOKUP(B302,Miljövärden!$B$2:$H$550,MATCH("Total andel fossilt",Miljövärden!$B$2:$H$2,0),FALSE),"")</f>
        <v>8.2770399999999994E-3</v>
      </c>
      <c r="BZ302" s="28">
        <f t="shared" si="130"/>
        <v>9.4139734028997335E-9</v>
      </c>
      <c r="CA302" s="28">
        <f t="shared" si="131"/>
        <v>0</v>
      </c>
    </row>
    <row r="303" spans="1:79" x14ac:dyDescent="0.25">
      <c r="A303" s="224" t="s">
        <v>611</v>
      </c>
      <c r="B303" s="210" t="s">
        <v>612</v>
      </c>
      <c r="C303" s="121">
        <f>VLOOKUP($B303,'Tillförd energi'!$B$1:$AI$720,MATCH(C$1,'Tillförd energi'!$B$1:$AQ$1,0),FALSE)</f>
        <v>0</v>
      </c>
      <c r="D303" s="121">
        <f>VLOOKUP($B303,'Tillförd energi'!$B$1:$AI$720,MATCH(D$1,'Tillförd energi'!$B$1:$AQ$1,0),FALSE)</f>
        <v>0.80351099999999998</v>
      </c>
      <c r="E303" s="121">
        <f>VLOOKUP($B303,'Tillförd energi'!$B$1:$AI$720,MATCH(E$1,'Tillförd energi'!$B$1:$AQ$1,0),FALSE)</f>
        <v>0</v>
      </c>
      <c r="F303" s="121">
        <f>VLOOKUP($B303,'Tillförd energi'!$B$1:$AI$720,MATCH(F$1,'Tillförd energi'!$B$1:$AQ$1,0),FALSE)</f>
        <v>0</v>
      </c>
      <c r="G303" s="121">
        <f>VLOOKUP($B303,'Tillförd energi'!$B$1:$AI$720,MATCH(G$1,'Tillförd energi'!$B$1:$AQ$1,0),FALSE)</f>
        <v>0</v>
      </c>
      <c r="H303" s="121">
        <f>VLOOKUP($B303,'Tillförd energi'!$B$1:$AI$720,MATCH(H$1,'Tillförd energi'!$B$1:$AQ$1,0),FALSE)</f>
        <v>0</v>
      </c>
      <c r="I303" s="121">
        <f>VLOOKUP($B303,'Tillförd energi'!$B$1:$AI$720,MATCH(I$1,'Tillförd energi'!$B$1:$AQ$1,0),FALSE)</f>
        <v>2.0185700000000001E-2</v>
      </c>
      <c r="J303" s="121">
        <f>VLOOKUP($B303,'Tillförd energi'!$B$1:$AI$720,MATCH(J$1,'Tillförd energi'!$B$1:$AQ$1,0),FALSE)</f>
        <v>0</v>
      </c>
      <c r="K303" s="121">
        <f>VLOOKUP($B303,'Tillförd energi'!$B$1:$AI$720,MATCH(K$1,'Tillförd energi'!$B$1:$AQ$1,0),FALSE)</f>
        <v>0</v>
      </c>
      <c r="L303" s="121">
        <f>VLOOKUP($B303,'Tillförd energi'!$B$1:$AI$720,MATCH(L$1,'Tillförd energi'!$B$1:$AQ$1,0),FALSE)</f>
        <v>44.516500000000001</v>
      </c>
      <c r="M303" s="121">
        <f>VLOOKUP($B303,'Tillförd energi'!$B$1:$AI$720,MATCH(M$1,'Tillförd energi'!$B$1:$AQ$1,0),FALSE)</f>
        <v>0</v>
      </c>
      <c r="N303" s="121">
        <f>VLOOKUP($B303,'Tillförd energi'!$B$1:$AI$720,MATCH(N$1,'Tillförd energi'!$B$1:$AQ$1,0),FALSE)</f>
        <v>0.95897699999999997</v>
      </c>
      <c r="O303" s="121">
        <f>VLOOKUP($B303,'Tillförd energi'!$B$1:$AI$720,MATCH(O$1,'Tillförd energi'!$B$1:$AQ$1,0),FALSE)</f>
        <v>0</v>
      </c>
      <c r="P303" s="121">
        <f>VLOOKUP($B303,'Tillförd energi'!$B$1:$AI$720,MATCH(P$1,'Tillförd energi'!$B$1:$AQ$1,0),FALSE)</f>
        <v>0</v>
      </c>
      <c r="Q303" s="121">
        <f>VLOOKUP($B303,'Tillförd energi'!$B$1:$AI$720,MATCH(Q$1,'Tillförd energi'!$B$1:$AQ$1,0),FALSE)</f>
        <v>0</v>
      </c>
      <c r="R303" s="121">
        <f>VLOOKUP($B303,'Tillförd energi'!$B$1:$AI$720,MATCH(R$1,'Tillförd energi'!$B$1:$AQ$1,0),FALSE)</f>
        <v>0.63</v>
      </c>
      <c r="S303" s="121">
        <f>VLOOKUP($B303,'Tillförd energi'!$B$1:$AI$720,MATCH(S$1,'Tillförd energi'!$B$1:$AQ$1,0),FALSE)</f>
        <v>0</v>
      </c>
      <c r="T303" s="121">
        <f>VLOOKUP($B303,'Tillförd energi'!$B$1:$AI$720,MATCH(T$1,'Tillförd energi'!$B$1:$AQ$1,0),FALSE)</f>
        <v>0</v>
      </c>
      <c r="U303" s="121">
        <f>VLOOKUP($B303,'Tillförd energi'!$B$1:$AI$720,MATCH(U$1,'Tillförd energi'!$B$1:$AQ$1,0),FALSE)</f>
        <v>13.206300000000001</v>
      </c>
      <c r="V303" s="121">
        <f>VLOOKUP($B303,'Tillförd energi'!$B$1:$AI$720,MATCH(V$1,'Tillförd energi'!$B$1:$AQ$1,0),FALSE)</f>
        <v>0</v>
      </c>
      <c r="W303" s="121">
        <f>VLOOKUP($B303,'Tillförd energi'!$B$1:$AI$720,MATCH(W$1,'Tillförd energi'!$B$1:$AQ$1,0),FALSE)</f>
        <v>0</v>
      </c>
      <c r="X303" s="121">
        <f>VLOOKUP($B303,'Tillförd energi'!$B$1:$AI$720,MATCH(X$1,'Tillförd energi'!$B$1:$AQ$1,0),FALSE)</f>
        <v>0</v>
      </c>
      <c r="Y303" s="121">
        <f>VLOOKUP($B303,'Tillförd energi'!$B$1:$AI$720,MATCH(Y$1,'Tillförd energi'!$B$1:$AQ$1,0),FALSE)</f>
        <v>0</v>
      </c>
      <c r="Z303" s="121">
        <f>VLOOKUP($B303,'Tillförd energi'!$B$1:$AI$720,MATCH(Z$1,'Tillförd energi'!$B$1:$AQ$1,0),FALSE)</f>
        <v>0</v>
      </c>
      <c r="AA303" s="121">
        <f>VLOOKUP($B303,'Tillförd energi'!$B$1:$AI$720,MATCH(AA$1,'Tillförd energi'!$B$1:$AQ$1,0),FALSE)</f>
        <v>0</v>
      </c>
      <c r="AB303" s="121">
        <f>VLOOKUP($B303,'Tillförd energi'!$B$1:$AI$720,MATCH(AB$1,'Tillförd energi'!$B$1:$AQ$1,0),FALSE)</f>
        <v>0</v>
      </c>
      <c r="AC303" s="121">
        <f>VLOOKUP($B303,'Tillförd energi'!$B$1:$AI$720,MATCH(AC$1,'Tillförd energi'!$B$1:$AQ$1,0),FALSE)</f>
        <v>0</v>
      </c>
      <c r="AD303" s="121">
        <f>VLOOKUP($B303,'Tillförd energi'!$B$1:$AI$720,MATCH(AD$1,'Tillförd energi'!$B$1:$AQ$1,0),FALSE)</f>
        <v>0</v>
      </c>
      <c r="AE303" s="121">
        <f>VLOOKUP($B303,'Tillförd energi'!$B$1:$AI$720,MATCH(AE$1,'Tillförd energi'!$B$1:$AQ$1,0),FALSE)</f>
        <v>0</v>
      </c>
      <c r="AF303" s="121">
        <f>VLOOKUP($B303,'Tillförd energi'!$B$1:$AI$720,MATCH(AF$1,'Tillförd energi'!$B$1:$AQ$1,0),FALSE)</f>
        <v>1.83806</v>
      </c>
      <c r="AG303" s="121">
        <f>IFERROR(VLOOKUP(B303,Miljö!$B$1:$AC$550,MATCH("Köpt mängd produktionsspecifik fjärrvärme:",Miljö!$B$1:$AC$1,0),FALSE)/1,0)</f>
        <v>0</v>
      </c>
      <c r="AH303" s="121"/>
      <c r="AI303" s="121">
        <f t="shared" si="110"/>
        <v>61.973533699999997</v>
      </c>
      <c r="AJ303" s="121">
        <f t="shared" si="111"/>
        <v>61.973533699999997</v>
      </c>
      <c r="AK303" s="121">
        <f>IF(ISERROR(1/VLOOKUP($B303,Leveranser!$B$1:$S$499,MATCH("såld värme (gwh)",Leveranser!$B$1:$S$1,0),FALSE)),"",VLOOKUP($B303,Leveranser!$B$1:$S$499,MATCH("såld värme (gwh)",Leveranser!$B$1:$S$1,0),FALSE))</f>
        <v>53.524999999999999</v>
      </c>
      <c r="AL303" s="121">
        <f>VLOOKUP($B303,Leveranser!$B$1:$Y$499,MATCH("Totalt såld fjärrvärme till andra fjärrvärmeföretag",Leveranser!$B$1:$AA$1,0),FALSE)</f>
        <v>0</v>
      </c>
      <c r="AM303" s="121">
        <f>IF(ISERROR(1/VLOOKUP($B303,Miljö!$B$1:$S$500,MATCH("Såld mängd produktionsspecifik fjärrvärme (GWh)",Miljö!$B$1:$R$1,0),FALSE)),0,VLOOKUP($B303,Miljö!$B$1:$S$500,MATCH("Såld mängd produktionsspecifik fjärrvärme (GWh)",Miljö!$B$1:$R$1,0),FALSE))</f>
        <v>0</v>
      </c>
      <c r="AN303" s="172">
        <f t="shared" si="112"/>
        <v>0.86367513363208459</v>
      </c>
      <c r="AO303" s="121"/>
      <c r="AP303" s="121" t="str">
        <f>IFERROR(VLOOKUP($B303,Miljövärden!$B$2:$H$550,7,FALSE),"Nej, saknas")</f>
        <v>Ja</v>
      </c>
      <c r="AQ303" s="121" t="str">
        <f>IFERROR(VLOOKUP($B303,Miljövärden!$B$2:$H$550,6,FALSE),"Nej, saknas")</f>
        <v>Ja</v>
      </c>
      <c r="AU303">
        <f t="shared" si="113"/>
        <v>1.83806</v>
      </c>
      <c r="AV303">
        <f t="shared" si="114"/>
        <v>0</v>
      </c>
      <c r="AW303">
        <f t="shared" si="115"/>
        <v>0.95897699999999997</v>
      </c>
      <c r="AX303">
        <f t="shared" si="116"/>
        <v>13.836300000000001</v>
      </c>
      <c r="AZ303">
        <f t="shared" si="117"/>
        <v>59.311776999999999</v>
      </c>
      <c r="BC303">
        <f t="shared" si="118"/>
        <v>0.80351099999999998</v>
      </c>
      <c r="BD303">
        <f t="shared" si="119"/>
        <v>0</v>
      </c>
      <c r="BE303">
        <f t="shared" si="120"/>
        <v>14.795277</v>
      </c>
      <c r="BF303">
        <f t="shared" si="121"/>
        <v>44.5366857</v>
      </c>
      <c r="BG303">
        <f t="shared" si="122"/>
        <v>1.83806</v>
      </c>
      <c r="BH303">
        <f>VLOOKUP(B303,Miljö!$B$1:$BX$482,MATCH("Fossilandel för ursprungspecificerad el ()",Miljö!$B$1:$I$1,0),FALSE)</f>
        <v>0</v>
      </c>
      <c r="BI303">
        <f>VLOOKUP(B303,Miljö!$B$1:$BX$482,MATCH("Kärnkraftsandel för ursprungsspecificerad el ()",Miljö!$B$1:$O$1,0),FALSE)</f>
        <v>0</v>
      </c>
      <c r="BJ303">
        <f t="shared" si="123"/>
        <v>0</v>
      </c>
      <c r="BK303" t="str">
        <f>VLOOKUP(B303,Miljö!$B$1:$O$482,MATCH("Fossil andel i procent (%)",Miljö!$B$1:$O$1,0),FALSE)</f>
        <v>ET</v>
      </c>
      <c r="BL303">
        <f t="shared" si="124"/>
        <v>61.973533699999997</v>
      </c>
      <c r="BO303" s="18">
        <f t="shared" si="125"/>
        <v>1.2965389449787014E-2</v>
      </c>
      <c r="BP303" s="18">
        <f t="shared" si="126"/>
        <v>0</v>
      </c>
      <c r="BQ303" s="18">
        <f t="shared" si="127"/>
        <v>0.26839420002283976</v>
      </c>
      <c r="BR303" s="18">
        <f t="shared" si="128"/>
        <v>0.71864041052737326</v>
      </c>
      <c r="BT303" s="27">
        <f t="shared" si="129"/>
        <v>1</v>
      </c>
      <c r="BW303" s="18">
        <f>IF(AP303="ja",VLOOKUP(B303,Miljövärden!$B$2:$H$550,MATCH("Total andel fossilt",Miljövärden!$B$2:$H$2,0),FALSE),"")</f>
        <v>1.29654E-2</v>
      </c>
      <c r="BZ303" s="28">
        <f t="shared" si="130"/>
        <v>1.0550212986223939E-8</v>
      </c>
      <c r="CA303" s="28">
        <f t="shared" si="131"/>
        <v>0</v>
      </c>
    </row>
    <row r="304" spans="1:79" x14ac:dyDescent="0.25">
      <c r="A304" s="224" t="s">
        <v>613</v>
      </c>
      <c r="B304" s="210" t="s">
        <v>614</v>
      </c>
      <c r="C304" s="121">
        <f>VLOOKUP($B304,'Tillförd energi'!$B$1:$AI$720,MATCH(C$1,'Tillförd energi'!$B$1:$AQ$1,0),FALSE)</f>
        <v>0</v>
      </c>
      <c r="D304" s="121">
        <f>VLOOKUP($B304,'Tillförd energi'!$B$1:$AI$720,MATCH(D$1,'Tillförd energi'!$B$1:$AQ$1,0),FALSE)</f>
        <v>0.38500000000000001</v>
      </c>
      <c r="E304" s="121">
        <f>VLOOKUP($B304,'Tillförd energi'!$B$1:$AI$720,MATCH(E$1,'Tillförd energi'!$B$1:$AQ$1,0),FALSE)</f>
        <v>0</v>
      </c>
      <c r="F304" s="121">
        <f>VLOOKUP($B304,'Tillförd energi'!$B$1:$AI$720,MATCH(F$1,'Tillförd energi'!$B$1:$AQ$1,0),FALSE)</f>
        <v>0</v>
      </c>
      <c r="G304" s="121">
        <f>VLOOKUP($B304,'Tillförd energi'!$B$1:$AI$720,MATCH(G$1,'Tillförd energi'!$B$1:$AQ$1,0),FALSE)</f>
        <v>0</v>
      </c>
      <c r="H304" s="121">
        <f>VLOOKUP($B304,'Tillförd energi'!$B$1:$AI$720,MATCH(H$1,'Tillförd energi'!$B$1:$AQ$1,0),FALSE)</f>
        <v>0</v>
      </c>
      <c r="I304" s="121">
        <f>VLOOKUP($B304,'Tillförd energi'!$B$1:$AI$720,MATCH(I$1,'Tillförd energi'!$B$1:$AQ$1,0),FALSE)</f>
        <v>0</v>
      </c>
      <c r="J304" s="121">
        <f>VLOOKUP($B304,'Tillförd energi'!$B$1:$AI$720,MATCH(J$1,'Tillförd energi'!$B$1:$AQ$1,0),FALSE)</f>
        <v>0</v>
      </c>
      <c r="K304" s="121">
        <f>VLOOKUP($B304,'Tillförd energi'!$B$1:$AI$720,MATCH(K$1,'Tillförd energi'!$B$1:$AQ$1,0),FALSE)</f>
        <v>0</v>
      </c>
      <c r="L304" s="121">
        <f>VLOOKUP($B304,'Tillförd energi'!$B$1:$AI$720,MATCH(L$1,'Tillförd energi'!$B$1:$AQ$1,0),FALSE)</f>
        <v>0</v>
      </c>
      <c r="M304" s="121">
        <f>VLOOKUP($B304,'Tillförd energi'!$B$1:$AI$720,MATCH(M$1,'Tillförd energi'!$B$1:$AQ$1,0),FALSE)</f>
        <v>0</v>
      </c>
      <c r="N304" s="121">
        <f>VLOOKUP($B304,'Tillförd energi'!$B$1:$AI$720,MATCH(N$1,'Tillförd energi'!$B$1:$AQ$1,0),FALSE)</f>
        <v>40.799999999999997</v>
      </c>
      <c r="O304" s="121">
        <f>VLOOKUP($B304,'Tillförd energi'!$B$1:$AI$720,MATCH(O$1,'Tillförd energi'!$B$1:$AQ$1,0),FALSE)</f>
        <v>0</v>
      </c>
      <c r="P304" s="121">
        <f>VLOOKUP($B304,'Tillförd energi'!$B$1:$AI$720,MATCH(P$1,'Tillförd energi'!$B$1:$AQ$1,0),FALSE)</f>
        <v>0</v>
      </c>
      <c r="Q304" s="121">
        <f>VLOOKUP($B304,'Tillförd energi'!$B$1:$AI$720,MATCH(Q$1,'Tillförd energi'!$B$1:$AQ$1,0),FALSE)</f>
        <v>0</v>
      </c>
      <c r="R304" s="121">
        <f>VLOOKUP($B304,'Tillförd energi'!$B$1:$AI$720,MATCH(R$1,'Tillförd energi'!$B$1:$AQ$1,0),FALSE)</f>
        <v>19.04</v>
      </c>
      <c r="S304" s="121">
        <f>VLOOKUP($B304,'Tillförd energi'!$B$1:$AI$720,MATCH(S$1,'Tillförd energi'!$B$1:$AQ$1,0),FALSE)</f>
        <v>5.46</v>
      </c>
      <c r="T304" s="121">
        <f>VLOOKUP($B304,'Tillförd energi'!$B$1:$AI$720,MATCH(T$1,'Tillförd energi'!$B$1:$AQ$1,0),FALSE)</f>
        <v>0</v>
      </c>
      <c r="U304" s="121">
        <f>VLOOKUP($B304,'Tillförd energi'!$B$1:$AI$720,MATCH(U$1,'Tillförd energi'!$B$1:$AQ$1,0),FALSE)</f>
        <v>0</v>
      </c>
      <c r="V304" s="121">
        <f>VLOOKUP($B304,'Tillförd energi'!$B$1:$AI$720,MATCH(V$1,'Tillförd energi'!$B$1:$AQ$1,0),FALSE)</f>
        <v>0</v>
      </c>
      <c r="W304" s="121">
        <f>VLOOKUP($B304,'Tillförd energi'!$B$1:$AI$720,MATCH(W$1,'Tillförd energi'!$B$1:$AQ$1,0),FALSE)</f>
        <v>0</v>
      </c>
      <c r="X304" s="121">
        <f>VLOOKUP($B304,'Tillförd energi'!$B$1:$AI$720,MATCH(X$1,'Tillförd energi'!$B$1:$AQ$1,0),FALSE)</f>
        <v>0</v>
      </c>
      <c r="Y304" s="121">
        <f>VLOOKUP($B304,'Tillförd energi'!$B$1:$AI$720,MATCH(Y$1,'Tillförd energi'!$B$1:$AQ$1,0),FALSE)</f>
        <v>0</v>
      </c>
      <c r="Z304" s="121">
        <f>VLOOKUP($B304,'Tillförd energi'!$B$1:$AI$720,MATCH(Z$1,'Tillförd energi'!$B$1:$AQ$1,0),FALSE)</f>
        <v>0.73499999999999999</v>
      </c>
      <c r="AA304" s="121">
        <f>VLOOKUP($B304,'Tillförd energi'!$B$1:$AI$720,MATCH(AA$1,'Tillförd energi'!$B$1:$AQ$1,0),FALSE)</f>
        <v>0</v>
      </c>
      <c r="AB304" s="121">
        <f>VLOOKUP($B304,'Tillförd energi'!$B$1:$AI$720,MATCH(AB$1,'Tillförd energi'!$B$1:$AQ$1,0),FALSE)</f>
        <v>0</v>
      </c>
      <c r="AC304" s="121">
        <f>VLOOKUP($B304,'Tillförd energi'!$B$1:$AI$720,MATCH(AC$1,'Tillförd energi'!$B$1:$AQ$1,0),FALSE)</f>
        <v>2.8319999999999999</v>
      </c>
      <c r="AD304" s="121">
        <f>VLOOKUP($B304,'Tillförd energi'!$B$1:$AI$720,MATCH(AD$1,'Tillförd energi'!$B$1:$AQ$1,0),FALSE)</f>
        <v>0</v>
      </c>
      <c r="AE304" s="121">
        <f>VLOOKUP($B304,'Tillförd energi'!$B$1:$AI$720,MATCH(AE$1,'Tillförd energi'!$B$1:$AQ$1,0),FALSE)</f>
        <v>0</v>
      </c>
      <c r="AF304" s="121">
        <f>VLOOKUP($B304,'Tillförd energi'!$B$1:$AI$720,MATCH(AF$1,'Tillförd energi'!$B$1:$AQ$1,0),FALSE)</f>
        <v>1.3240000000000001</v>
      </c>
      <c r="AG304" s="121">
        <f>IFERROR(VLOOKUP(B304,Miljö!$B$1:$AC$550,MATCH("Köpt mängd produktionsspecifik fjärrvärme:",Miljö!$B$1:$AC$1,0),FALSE)/1,0)</f>
        <v>0</v>
      </c>
      <c r="AH304" s="121"/>
      <c r="AI304" s="121">
        <f t="shared" si="110"/>
        <v>70.575999999999979</v>
      </c>
      <c r="AJ304" s="121">
        <f t="shared" si="111"/>
        <v>70.575999999999979</v>
      </c>
      <c r="AK304" s="121">
        <f>IF(ISERROR(1/VLOOKUP($B304,Leveranser!$B$1:$S$499,MATCH("såld värme (gwh)",Leveranser!$B$1:$S$1,0),FALSE)),"",VLOOKUP($B304,Leveranser!$B$1:$S$499,MATCH("såld värme (gwh)",Leveranser!$B$1:$S$1,0),FALSE))</f>
        <v>57.95</v>
      </c>
      <c r="AL304" s="121">
        <f>VLOOKUP($B304,Leveranser!$B$1:$Y$499,MATCH("Totalt såld fjärrvärme till andra fjärrvärmeföretag",Leveranser!$B$1:$AA$1,0),FALSE)</f>
        <v>0</v>
      </c>
      <c r="AM304" s="121">
        <f>IF(ISERROR(1/VLOOKUP($B304,Miljö!$B$1:$S$500,MATCH("Såld mängd produktionsspecifik fjärrvärme (GWh)",Miljö!$B$1:$R$1,0),FALSE)),0,VLOOKUP($B304,Miljö!$B$1:$S$500,MATCH("Såld mängd produktionsspecifik fjärrvärme (GWh)",Miljö!$B$1:$R$1,0),FALSE))</f>
        <v>0</v>
      </c>
      <c r="AN304" s="172">
        <f t="shared" si="112"/>
        <v>0.8211006574472911</v>
      </c>
      <c r="AO304" s="121"/>
      <c r="AP304" s="121" t="str">
        <f>IFERROR(VLOOKUP($B304,Miljövärden!$B$2:$H$550,7,FALSE),"Nej, saknas")</f>
        <v>Ja</v>
      </c>
      <c r="AQ304" s="121" t="str">
        <f>IFERROR(VLOOKUP($B304,Miljövärden!$B$2:$H$550,6,FALSE),"Nej, saknas")</f>
        <v>Ja</v>
      </c>
      <c r="AU304">
        <f t="shared" si="113"/>
        <v>2.0590000000000002</v>
      </c>
      <c r="AV304">
        <f t="shared" si="114"/>
        <v>0</v>
      </c>
      <c r="AW304">
        <f t="shared" si="115"/>
        <v>40.799999999999997</v>
      </c>
      <c r="AX304">
        <f t="shared" si="116"/>
        <v>24.5</v>
      </c>
      <c r="AZ304">
        <f t="shared" si="117"/>
        <v>65.3</v>
      </c>
      <c r="BC304">
        <f t="shared" si="118"/>
        <v>0.38500000000000001</v>
      </c>
      <c r="BD304">
        <f t="shared" si="119"/>
        <v>0</v>
      </c>
      <c r="BE304">
        <f t="shared" si="120"/>
        <v>65.3</v>
      </c>
      <c r="BF304">
        <f t="shared" si="121"/>
        <v>2.8319999999999999</v>
      </c>
      <c r="BG304">
        <f t="shared" si="122"/>
        <v>2.0590000000000002</v>
      </c>
      <c r="BH304">
        <f>VLOOKUP(B304,Miljö!$B$1:$BX$482,MATCH("Fossilandel för ursprungspecificerad el ()",Miljö!$B$1:$I$1,0),FALSE)</f>
        <v>0</v>
      </c>
      <c r="BI304">
        <f>VLOOKUP(B304,Miljö!$B$1:$BX$482,MATCH("Kärnkraftsandel för ursprungsspecificerad el ()",Miljö!$B$1:$O$1,0),FALSE)</f>
        <v>0</v>
      </c>
      <c r="BJ304">
        <f t="shared" si="123"/>
        <v>0</v>
      </c>
      <c r="BK304" t="str">
        <f>VLOOKUP(B304,Miljö!$B$1:$O$482,MATCH("Fossil andel i procent (%)",Miljö!$B$1:$O$1,0),FALSE)</f>
        <v>ET</v>
      </c>
      <c r="BL304">
        <f t="shared" si="124"/>
        <v>70.575999999999993</v>
      </c>
      <c r="BO304" s="18">
        <f t="shared" si="125"/>
        <v>5.4551122194513718E-3</v>
      </c>
      <c r="BP304" s="18">
        <f t="shared" si="126"/>
        <v>0</v>
      </c>
      <c r="BQ304" s="18">
        <f t="shared" si="127"/>
        <v>0.95441793244162321</v>
      </c>
      <c r="BR304" s="18">
        <f t="shared" si="128"/>
        <v>4.0126955338925414E-2</v>
      </c>
      <c r="BT304" s="27">
        <f t="shared" si="129"/>
        <v>1</v>
      </c>
      <c r="BW304" s="18">
        <f>IF(AP304="ja",VLOOKUP(B304,Miljövärden!$B$2:$H$550,MATCH("Total andel fossilt",Miljövärden!$B$2:$H$2,0),FALSE),"")</f>
        <v>5.45511E-3</v>
      </c>
      <c r="BZ304" s="28">
        <f t="shared" si="130"/>
        <v>-2.219451371819614E-9</v>
      </c>
      <c r="CA304" s="28">
        <f t="shared" si="131"/>
        <v>0</v>
      </c>
    </row>
    <row r="305" spans="1:79" x14ac:dyDescent="0.25">
      <c r="A305" s="224" t="s">
        <v>613</v>
      </c>
      <c r="B305" s="210" t="s">
        <v>615</v>
      </c>
      <c r="C305" s="121">
        <f>VLOOKUP($B305,'Tillförd energi'!$B$1:$AI$720,MATCH(C$1,'Tillförd energi'!$B$1:$AQ$1,0),FALSE)</f>
        <v>0</v>
      </c>
      <c r="D305" s="121">
        <f>VLOOKUP($B305,'Tillförd energi'!$B$1:$AI$720,MATCH(D$1,'Tillförd energi'!$B$1:$AQ$1,0),FALSE)</f>
        <v>0</v>
      </c>
      <c r="E305" s="121">
        <f>VLOOKUP($B305,'Tillförd energi'!$B$1:$AI$720,MATCH(E$1,'Tillförd energi'!$B$1:$AQ$1,0),FALSE)</f>
        <v>0</v>
      </c>
      <c r="F305" s="121">
        <f>VLOOKUP($B305,'Tillförd energi'!$B$1:$AI$720,MATCH(F$1,'Tillförd energi'!$B$1:$AQ$1,0),FALSE)</f>
        <v>0</v>
      </c>
      <c r="G305" s="121">
        <f>VLOOKUP($B305,'Tillförd energi'!$B$1:$AI$720,MATCH(G$1,'Tillförd energi'!$B$1:$AQ$1,0),FALSE)</f>
        <v>0</v>
      </c>
      <c r="H305" s="121">
        <f>VLOOKUP($B305,'Tillförd energi'!$B$1:$AI$720,MATCH(H$1,'Tillförd energi'!$B$1:$AQ$1,0),FALSE)</f>
        <v>0</v>
      </c>
      <c r="I305" s="121">
        <f>VLOOKUP($B305,'Tillförd energi'!$B$1:$AI$720,MATCH(I$1,'Tillförd energi'!$B$1:$AQ$1,0),FALSE)</f>
        <v>0</v>
      </c>
      <c r="J305" s="121">
        <f>VLOOKUP($B305,'Tillförd energi'!$B$1:$AI$720,MATCH(J$1,'Tillförd energi'!$B$1:$AQ$1,0),FALSE)</f>
        <v>0</v>
      </c>
      <c r="K305" s="121">
        <f>VLOOKUP($B305,'Tillförd energi'!$B$1:$AI$720,MATCH(K$1,'Tillförd energi'!$B$1:$AQ$1,0),FALSE)</f>
        <v>0</v>
      </c>
      <c r="L305" s="121">
        <f>VLOOKUP($B305,'Tillförd energi'!$B$1:$AI$720,MATCH(L$1,'Tillförd energi'!$B$1:$AQ$1,0),FALSE)</f>
        <v>0</v>
      </c>
      <c r="M305" s="121">
        <f>VLOOKUP($B305,'Tillförd energi'!$B$1:$AI$720,MATCH(M$1,'Tillförd energi'!$B$1:$AQ$1,0),FALSE)</f>
        <v>0</v>
      </c>
      <c r="N305" s="121">
        <f>VLOOKUP($B305,'Tillförd energi'!$B$1:$AI$720,MATCH(N$1,'Tillförd energi'!$B$1:$AQ$1,0),FALSE)</f>
        <v>0</v>
      </c>
      <c r="O305" s="121">
        <f>VLOOKUP($B305,'Tillförd energi'!$B$1:$AI$720,MATCH(O$1,'Tillförd energi'!$B$1:$AQ$1,0),FALSE)</f>
        <v>0</v>
      </c>
      <c r="P305" s="121">
        <f>VLOOKUP($B305,'Tillförd energi'!$B$1:$AI$720,MATCH(P$1,'Tillförd energi'!$B$1:$AQ$1,0),FALSE)</f>
        <v>0</v>
      </c>
      <c r="Q305" s="121">
        <f>VLOOKUP($B305,'Tillförd energi'!$B$1:$AI$720,MATCH(Q$1,'Tillförd energi'!$B$1:$AQ$1,0),FALSE)</f>
        <v>0</v>
      </c>
      <c r="R305" s="121">
        <f>VLOOKUP($B305,'Tillförd energi'!$B$1:$AI$720,MATCH(R$1,'Tillförd energi'!$B$1:$AQ$1,0),FALSE)</f>
        <v>0</v>
      </c>
      <c r="S305" s="121">
        <f>VLOOKUP($B305,'Tillförd energi'!$B$1:$AI$720,MATCH(S$1,'Tillförd energi'!$B$1:$AQ$1,0),FALSE)</f>
        <v>0</v>
      </c>
      <c r="T305" s="121">
        <f>VLOOKUP($B305,'Tillförd energi'!$B$1:$AI$720,MATCH(T$1,'Tillförd energi'!$B$1:$AQ$1,0),FALSE)</f>
        <v>0</v>
      </c>
      <c r="U305" s="121">
        <f>VLOOKUP($B305,'Tillförd energi'!$B$1:$AI$720,MATCH(U$1,'Tillförd energi'!$B$1:$AQ$1,0),FALSE)</f>
        <v>0</v>
      </c>
      <c r="V305" s="121">
        <f>VLOOKUP($B305,'Tillförd energi'!$B$1:$AI$720,MATCH(V$1,'Tillförd energi'!$B$1:$AQ$1,0),FALSE)</f>
        <v>0</v>
      </c>
      <c r="W305" s="121">
        <f>VLOOKUP($B305,'Tillförd energi'!$B$1:$AI$720,MATCH(W$1,'Tillförd energi'!$B$1:$AQ$1,0),FALSE)</f>
        <v>0</v>
      </c>
      <c r="X305" s="121">
        <f>VLOOKUP($B305,'Tillförd energi'!$B$1:$AI$720,MATCH(X$1,'Tillförd energi'!$B$1:$AQ$1,0),FALSE)</f>
        <v>0</v>
      </c>
      <c r="Y305" s="121">
        <f>VLOOKUP($B305,'Tillförd energi'!$B$1:$AI$720,MATCH(Y$1,'Tillförd energi'!$B$1:$AQ$1,0),FALSE)</f>
        <v>0</v>
      </c>
      <c r="Z305" s="121">
        <f>VLOOKUP($B305,'Tillförd energi'!$B$1:$AI$720,MATCH(Z$1,'Tillförd energi'!$B$1:$AQ$1,0),FALSE)</f>
        <v>0</v>
      </c>
      <c r="AA305" s="121">
        <f>VLOOKUP($B305,'Tillförd energi'!$B$1:$AI$720,MATCH(AA$1,'Tillförd energi'!$B$1:$AQ$1,0),FALSE)</f>
        <v>0</v>
      </c>
      <c r="AB305" s="121">
        <f>VLOOKUP($B305,'Tillförd energi'!$B$1:$AI$720,MATCH(AB$1,'Tillförd energi'!$B$1:$AQ$1,0),FALSE)</f>
        <v>0</v>
      </c>
      <c r="AC305" s="121">
        <f>VLOOKUP($B305,'Tillförd energi'!$B$1:$AI$720,MATCH(AC$1,'Tillförd energi'!$B$1:$AQ$1,0),FALSE)</f>
        <v>0</v>
      </c>
      <c r="AD305" s="121">
        <f>VLOOKUP($B305,'Tillförd energi'!$B$1:$AI$720,MATCH(AD$1,'Tillförd energi'!$B$1:$AQ$1,0),FALSE)</f>
        <v>0</v>
      </c>
      <c r="AE305" s="121">
        <f>VLOOKUP($B305,'Tillförd energi'!$B$1:$AI$720,MATCH(AE$1,'Tillförd energi'!$B$1:$AQ$1,0),FALSE)</f>
        <v>0</v>
      </c>
      <c r="AF305" s="121">
        <f>VLOOKUP($B305,'Tillförd energi'!$B$1:$AI$720,MATCH(AF$1,'Tillförd energi'!$B$1:$AQ$1,0),FALSE)</f>
        <v>0</v>
      </c>
      <c r="AG305" s="121">
        <f>IFERROR(VLOOKUP(B305,Miljö!$B$1:$AC$550,MATCH("Köpt mängd produktionsspecifik fjärrvärme:",Miljö!$B$1:$AC$1,0),FALSE)/1,0)</f>
        <v>0</v>
      </c>
      <c r="AH305" s="121"/>
      <c r="AI305" s="121">
        <f t="shared" si="110"/>
        <v>0</v>
      </c>
      <c r="AJ305" s="121">
        <f t="shared" si="111"/>
        <v>0</v>
      </c>
      <c r="AK305" s="121" t="str">
        <f>IF(ISERROR(1/VLOOKUP($B305,Leveranser!$B$1:$S$499,MATCH("såld värme (gwh)",Leveranser!$B$1:$S$1,0),FALSE)),"",VLOOKUP($B305,Leveranser!$B$1:$S$499,MATCH("såld värme (gwh)",Leveranser!$B$1:$S$1,0),FALSE))</f>
        <v/>
      </c>
      <c r="AL305" s="121">
        <f>VLOOKUP($B305,Leveranser!$B$1:$Y$499,MATCH("Totalt såld fjärrvärme till andra fjärrvärmeföretag",Leveranser!$B$1:$AA$1,0),FALSE)</f>
        <v>0</v>
      </c>
      <c r="AM305" s="121">
        <f>IF(ISERROR(1/VLOOKUP($B305,Miljö!$B$1:$S$500,MATCH("Såld mängd produktionsspecifik fjärrvärme (GWh)",Miljö!$B$1:$R$1,0),FALSE)),0,VLOOKUP($B305,Miljö!$B$1:$S$500,MATCH("Såld mängd produktionsspecifik fjärrvärme (GWh)",Miljö!$B$1:$R$1,0),FALSE))</f>
        <v>0</v>
      </c>
      <c r="AN305" s="172" t="str">
        <f t="shared" si="112"/>
        <v/>
      </c>
      <c r="AO305" s="121"/>
      <c r="AP305" s="121" t="str">
        <f>IFERROR(VLOOKUP($B305,Miljövärden!$B$2:$H$550,7,FALSE),"Nej, saknas")</f>
        <v>Nej</v>
      </c>
      <c r="AQ305" s="121" t="str">
        <f>IFERROR(VLOOKUP($B305,Miljövärden!$B$2:$H$550,6,FALSE),"Nej, saknas")</f>
        <v>Ja</v>
      </c>
      <c r="AU305">
        <f t="shared" si="113"/>
        <v>0</v>
      </c>
      <c r="AV305">
        <f t="shared" si="114"/>
        <v>0</v>
      </c>
      <c r="AW305">
        <f t="shared" si="115"/>
        <v>0</v>
      </c>
      <c r="AX305">
        <f t="shared" si="116"/>
        <v>0</v>
      </c>
      <c r="AZ305">
        <f t="shared" si="117"/>
        <v>0</v>
      </c>
      <c r="BC305">
        <f t="shared" si="118"/>
        <v>0</v>
      </c>
      <c r="BD305">
        <f t="shared" si="119"/>
        <v>0</v>
      </c>
      <c r="BE305">
        <f t="shared" si="120"/>
        <v>0</v>
      </c>
      <c r="BF305">
        <f t="shared" si="121"/>
        <v>0</v>
      </c>
      <c r="BG305">
        <f t="shared" si="122"/>
        <v>0</v>
      </c>
      <c r="BH305">
        <f>VLOOKUP(B305,Miljö!$B$1:$BX$482,MATCH("Fossilandel för ursprungspecificerad el ()",Miljö!$B$1:$I$1,0),FALSE)</f>
        <v>0</v>
      </c>
      <c r="BI305">
        <f>VLOOKUP(B305,Miljö!$B$1:$BX$482,MATCH("Kärnkraftsandel för ursprungsspecificerad el ()",Miljö!$B$1:$O$1,0),FALSE)</f>
        <v>0</v>
      </c>
      <c r="BJ305">
        <f t="shared" si="123"/>
        <v>0</v>
      </c>
      <c r="BK305" t="str">
        <f>VLOOKUP(B305,Miljö!$B$1:$O$482,MATCH("Fossil andel i procent (%)",Miljö!$B$1:$O$1,0),FALSE)</f>
        <v>ET</v>
      </c>
      <c r="BL305">
        <f t="shared" si="124"/>
        <v>0</v>
      </c>
      <c r="BO305" s="18" t="str">
        <f t="shared" si="125"/>
        <v/>
      </c>
      <c r="BP305" s="18" t="str">
        <f t="shared" si="126"/>
        <v/>
      </c>
      <c r="BQ305" s="18" t="str">
        <f t="shared" si="127"/>
        <v/>
      </c>
      <c r="BR305" s="18" t="str">
        <f t="shared" si="128"/>
        <v/>
      </c>
      <c r="BT305" s="27">
        <f t="shared" si="129"/>
        <v>0</v>
      </c>
      <c r="BW305" s="18" t="str">
        <f>IF(AP305="ja",VLOOKUP(B305,Miljövärden!$B$2:$H$550,MATCH("Total andel fossilt",Miljövärden!$B$2:$H$2,0),FALSE),"")</f>
        <v/>
      </c>
      <c r="BZ305" s="28" t="str">
        <f t="shared" si="130"/>
        <v/>
      </c>
      <c r="CA305" s="28" t="str">
        <f t="shared" si="131"/>
        <v/>
      </c>
    </row>
    <row r="306" spans="1:79" x14ac:dyDescent="0.25">
      <c r="A306" s="224" t="s">
        <v>616</v>
      </c>
      <c r="B306" s="210" t="s">
        <v>616</v>
      </c>
      <c r="C306" s="121">
        <f>VLOOKUP($B306,'Tillförd energi'!$B$1:$AI$720,MATCH(C$1,'Tillförd energi'!$B$1:$AQ$1,0),FALSE)</f>
        <v>0</v>
      </c>
      <c r="D306" s="121">
        <f>VLOOKUP($B306,'Tillförd energi'!$B$1:$AI$720,MATCH(D$1,'Tillförd energi'!$B$1:$AQ$1,0),FALSE)</f>
        <v>0.4</v>
      </c>
      <c r="E306" s="121">
        <f>VLOOKUP($B306,'Tillförd energi'!$B$1:$AI$720,MATCH(E$1,'Tillförd energi'!$B$1:$AQ$1,0),FALSE)</f>
        <v>0</v>
      </c>
      <c r="F306" s="121">
        <f>VLOOKUP($B306,'Tillförd energi'!$B$1:$AI$720,MATCH(F$1,'Tillförd energi'!$B$1:$AQ$1,0),FALSE)</f>
        <v>0</v>
      </c>
      <c r="G306" s="121">
        <f>VLOOKUP($B306,'Tillförd energi'!$B$1:$AI$720,MATCH(G$1,'Tillförd energi'!$B$1:$AQ$1,0),FALSE)</f>
        <v>0</v>
      </c>
      <c r="H306" s="121">
        <f>VLOOKUP($B306,'Tillförd energi'!$B$1:$AI$720,MATCH(H$1,'Tillförd energi'!$B$1:$AQ$1,0),FALSE)</f>
        <v>0</v>
      </c>
      <c r="I306" s="121">
        <f>VLOOKUP($B306,'Tillförd energi'!$B$1:$AI$720,MATCH(I$1,'Tillförd energi'!$B$1:$AQ$1,0),FALSE)</f>
        <v>0</v>
      </c>
      <c r="J306" s="121">
        <f>VLOOKUP($B306,'Tillförd energi'!$B$1:$AI$720,MATCH(J$1,'Tillförd energi'!$B$1:$AQ$1,0),FALSE)</f>
        <v>0</v>
      </c>
      <c r="K306" s="121">
        <f>VLOOKUP($B306,'Tillförd energi'!$B$1:$AI$720,MATCH(K$1,'Tillförd energi'!$B$1:$AQ$1,0),FALSE)</f>
        <v>0</v>
      </c>
      <c r="L306" s="121">
        <f>VLOOKUP($B306,'Tillförd energi'!$B$1:$AI$720,MATCH(L$1,'Tillförd energi'!$B$1:$AQ$1,0),FALSE)</f>
        <v>0</v>
      </c>
      <c r="M306" s="121">
        <f>VLOOKUP($B306,'Tillförd energi'!$B$1:$AI$720,MATCH(M$1,'Tillförd energi'!$B$1:$AQ$1,0),FALSE)</f>
        <v>0</v>
      </c>
      <c r="N306" s="121">
        <f>VLOOKUP($B306,'Tillförd energi'!$B$1:$AI$720,MATCH(N$1,'Tillförd energi'!$B$1:$AQ$1,0),FALSE)</f>
        <v>0</v>
      </c>
      <c r="O306" s="121">
        <f>VLOOKUP($B306,'Tillförd energi'!$B$1:$AI$720,MATCH(O$1,'Tillförd energi'!$B$1:$AQ$1,0),FALSE)</f>
        <v>0</v>
      </c>
      <c r="P306" s="121">
        <f>VLOOKUP($B306,'Tillförd energi'!$B$1:$AI$720,MATCH(P$1,'Tillförd energi'!$B$1:$AQ$1,0),FALSE)</f>
        <v>4.7699999999999996</v>
      </c>
      <c r="Q306" s="121">
        <f>VLOOKUP($B306,'Tillförd energi'!$B$1:$AI$720,MATCH(Q$1,'Tillförd energi'!$B$1:$AQ$1,0),FALSE)</f>
        <v>0</v>
      </c>
      <c r="R306" s="121">
        <f>VLOOKUP($B306,'Tillförd energi'!$B$1:$AI$720,MATCH(R$1,'Tillförd energi'!$B$1:$AQ$1,0),FALSE)</f>
        <v>0</v>
      </c>
      <c r="S306" s="121">
        <f>VLOOKUP($B306,'Tillförd energi'!$B$1:$AI$720,MATCH(S$1,'Tillförd energi'!$B$1:$AQ$1,0),FALSE)</f>
        <v>0</v>
      </c>
      <c r="T306" s="121">
        <f>VLOOKUP($B306,'Tillförd energi'!$B$1:$AI$720,MATCH(T$1,'Tillförd energi'!$B$1:$AQ$1,0),FALSE)</f>
        <v>0</v>
      </c>
      <c r="U306" s="121">
        <f>VLOOKUP($B306,'Tillförd energi'!$B$1:$AI$720,MATCH(U$1,'Tillförd energi'!$B$1:$AQ$1,0),FALSE)</f>
        <v>0</v>
      </c>
      <c r="V306" s="121">
        <f>VLOOKUP($B306,'Tillförd energi'!$B$1:$AI$720,MATCH(V$1,'Tillförd energi'!$B$1:$AQ$1,0),FALSE)</f>
        <v>0</v>
      </c>
      <c r="W306" s="121">
        <f>VLOOKUP($B306,'Tillförd energi'!$B$1:$AI$720,MATCH(W$1,'Tillförd energi'!$B$1:$AQ$1,0),FALSE)</f>
        <v>1.9E-2</v>
      </c>
      <c r="X306" s="121">
        <f>VLOOKUP($B306,'Tillförd energi'!$B$1:$AI$720,MATCH(X$1,'Tillförd energi'!$B$1:$AQ$1,0),FALSE)</f>
        <v>0</v>
      </c>
      <c r="Y306" s="121">
        <f>VLOOKUP($B306,'Tillförd energi'!$B$1:$AI$720,MATCH(Y$1,'Tillförd energi'!$B$1:$AQ$1,0),FALSE)</f>
        <v>0</v>
      </c>
      <c r="Z306" s="121">
        <f>VLOOKUP($B306,'Tillförd energi'!$B$1:$AI$720,MATCH(Z$1,'Tillförd energi'!$B$1:$AQ$1,0),FALSE)</f>
        <v>0</v>
      </c>
      <c r="AA306" s="121">
        <f>VLOOKUP($B306,'Tillförd energi'!$B$1:$AI$720,MATCH(AA$1,'Tillförd energi'!$B$1:$AQ$1,0),FALSE)</f>
        <v>0</v>
      </c>
      <c r="AB306" s="121">
        <f>VLOOKUP($B306,'Tillförd energi'!$B$1:$AI$720,MATCH(AB$1,'Tillförd energi'!$B$1:$AQ$1,0),FALSE)</f>
        <v>0</v>
      </c>
      <c r="AC306" s="121">
        <f>VLOOKUP($B306,'Tillförd energi'!$B$1:$AI$720,MATCH(AC$1,'Tillförd energi'!$B$1:$AQ$1,0),FALSE)</f>
        <v>0</v>
      </c>
      <c r="AD306" s="121">
        <f>VLOOKUP($B306,'Tillförd energi'!$B$1:$AI$720,MATCH(AD$1,'Tillförd energi'!$B$1:$AQ$1,0),FALSE)</f>
        <v>0</v>
      </c>
      <c r="AE306" s="121">
        <f>VLOOKUP($B306,'Tillförd energi'!$B$1:$AI$720,MATCH(AE$1,'Tillförd energi'!$B$1:$AQ$1,0),FALSE)</f>
        <v>0</v>
      </c>
      <c r="AF306" s="121">
        <f>VLOOKUP($B306,'Tillförd energi'!$B$1:$AI$720,MATCH(AF$1,'Tillförd energi'!$B$1:$AQ$1,0),FALSE)</f>
        <v>7.3499999999999996E-2</v>
      </c>
      <c r="AG306" s="121">
        <f>IFERROR(VLOOKUP(B306,Miljö!$B$1:$AC$550,MATCH("Köpt mängd produktionsspecifik fjärrvärme:",Miljö!$B$1:$AC$1,0),FALSE)/1,0)</f>
        <v>0</v>
      </c>
      <c r="AH306" s="121"/>
      <c r="AI306" s="121">
        <f t="shared" si="110"/>
        <v>5.2625000000000002</v>
      </c>
      <c r="AJ306" s="121">
        <f t="shared" si="111"/>
        <v>5.2625000000000002</v>
      </c>
      <c r="AK306" s="121">
        <f>IF(ISERROR(1/VLOOKUP($B306,Leveranser!$B$1:$S$499,MATCH("såld värme (gwh)",Leveranser!$B$1:$S$1,0),FALSE)),"",VLOOKUP($B306,Leveranser!$B$1:$S$499,MATCH("såld värme (gwh)",Leveranser!$B$1:$S$1,0),FALSE))</f>
        <v>2.4500000000000002</v>
      </c>
      <c r="AL306" s="121">
        <f>VLOOKUP($B306,Leveranser!$B$1:$Y$499,MATCH("Totalt såld fjärrvärme till andra fjärrvärmeföretag",Leveranser!$B$1:$AA$1,0),FALSE)</f>
        <v>0</v>
      </c>
      <c r="AM306" s="121">
        <f>IF(ISERROR(1/VLOOKUP($B306,Miljö!$B$1:$S$500,MATCH("Såld mängd produktionsspecifik fjärrvärme (GWh)",Miljö!$B$1:$R$1,0),FALSE)),0,VLOOKUP($B306,Miljö!$B$1:$S$500,MATCH("Såld mängd produktionsspecifik fjärrvärme (GWh)",Miljö!$B$1:$R$1,0),FALSE))</f>
        <v>0</v>
      </c>
      <c r="AN306" s="172">
        <f t="shared" si="112"/>
        <v>0.46555819477434679</v>
      </c>
      <c r="AO306" s="121"/>
      <c r="AP306" s="121" t="str">
        <f>IFERROR(VLOOKUP($B306,Miljövärden!$B$2:$H$550,7,FALSE),"Nej, saknas")</f>
        <v>Ja</v>
      </c>
      <c r="AQ306" s="121" t="str">
        <f>IFERROR(VLOOKUP($B306,Miljövärden!$B$2:$H$550,6,FALSE),"Nej, saknas")</f>
        <v>Nej</v>
      </c>
      <c r="AU306">
        <f t="shared" si="113"/>
        <v>7.3499999999999996E-2</v>
      </c>
      <c r="AV306">
        <f t="shared" si="114"/>
        <v>0</v>
      </c>
      <c r="AW306">
        <f t="shared" si="115"/>
        <v>4.7699999999999996</v>
      </c>
      <c r="AX306">
        <f t="shared" si="116"/>
        <v>0</v>
      </c>
      <c r="AZ306">
        <f t="shared" si="117"/>
        <v>4.7889999999999997</v>
      </c>
      <c r="BC306">
        <f t="shared" si="118"/>
        <v>0.4</v>
      </c>
      <c r="BD306">
        <f t="shared" si="119"/>
        <v>0</v>
      </c>
      <c r="BE306">
        <f t="shared" si="120"/>
        <v>4.7889999999999997</v>
      </c>
      <c r="BF306">
        <f t="shared" si="121"/>
        <v>0</v>
      </c>
      <c r="BG306">
        <f t="shared" si="122"/>
        <v>7.3499999999999996E-2</v>
      </c>
      <c r="BH306">
        <f>VLOOKUP(B306,Miljö!$B$1:$BX$482,MATCH("Fossilandel för ursprungspecificerad el ()",Miljö!$B$1:$I$1,0),FALSE)</f>
        <v>0</v>
      </c>
      <c r="BI306">
        <f>VLOOKUP(B306,Miljö!$B$1:$BX$482,MATCH("Kärnkraftsandel för ursprungsspecificerad el ()",Miljö!$B$1:$O$1,0),FALSE)</f>
        <v>0</v>
      </c>
      <c r="BJ306">
        <f t="shared" si="123"/>
        <v>0</v>
      </c>
      <c r="BK306" t="str">
        <f>VLOOKUP(B306,Miljö!$B$1:$O$482,MATCH("Fossil andel i procent (%)",Miljö!$B$1:$O$1,0),FALSE)</f>
        <v>ET</v>
      </c>
      <c r="BL306">
        <f t="shared" si="124"/>
        <v>5.2625000000000002</v>
      </c>
      <c r="BO306" s="18">
        <f t="shared" si="125"/>
        <v>7.6009501187648459E-2</v>
      </c>
      <c r="BP306" s="18">
        <f t="shared" si="126"/>
        <v>0</v>
      </c>
      <c r="BQ306" s="18">
        <f t="shared" si="127"/>
        <v>0.92399049881235151</v>
      </c>
      <c r="BR306" s="18">
        <f t="shared" si="128"/>
        <v>0</v>
      </c>
      <c r="BT306" s="27">
        <f t="shared" si="129"/>
        <v>1</v>
      </c>
      <c r="BW306" s="18">
        <f>IF(AP306="ja",VLOOKUP(B306,Miljövärden!$B$2:$H$550,MATCH("Total andel fossilt",Miljövärden!$B$2:$H$2,0),FALSE),"")</f>
        <v>7.6009499999999994E-2</v>
      </c>
      <c r="BZ306" s="28">
        <f t="shared" si="130"/>
        <v>-1.1876484656836439E-9</v>
      </c>
      <c r="CA306" s="28">
        <f t="shared" si="131"/>
        <v>0</v>
      </c>
    </row>
    <row r="307" spans="1:79" x14ac:dyDescent="0.25">
      <c r="A307" s="224" t="s">
        <v>617</v>
      </c>
      <c r="B307" s="210" t="s">
        <v>135</v>
      </c>
      <c r="C307" s="121">
        <f>VLOOKUP($B307,'Tillförd energi'!$B$1:$AI$720,MATCH(C$1,'Tillförd energi'!$B$1:$AQ$1,0),FALSE)</f>
        <v>0</v>
      </c>
      <c r="D307" s="121">
        <f>VLOOKUP($B307,'Tillförd energi'!$B$1:$AI$720,MATCH(D$1,'Tillförd energi'!$B$1:$AQ$1,0),FALSE)</f>
        <v>0</v>
      </c>
      <c r="E307" s="121">
        <f>VLOOKUP($B307,'Tillförd energi'!$B$1:$AI$720,MATCH(E$1,'Tillförd energi'!$B$1:$AQ$1,0),FALSE)</f>
        <v>0</v>
      </c>
      <c r="F307" s="121">
        <f>VLOOKUP($B307,'Tillförd energi'!$B$1:$AI$720,MATCH(F$1,'Tillförd energi'!$B$1:$AQ$1,0),FALSE)</f>
        <v>0</v>
      </c>
      <c r="G307" s="121">
        <f>VLOOKUP($B307,'Tillförd energi'!$B$1:$AI$720,MATCH(G$1,'Tillförd energi'!$B$1:$AQ$1,0),FALSE)</f>
        <v>0</v>
      </c>
      <c r="H307" s="121">
        <f>VLOOKUP($B307,'Tillförd energi'!$B$1:$AI$720,MATCH(H$1,'Tillförd energi'!$B$1:$AQ$1,0),FALSE)</f>
        <v>0</v>
      </c>
      <c r="I307" s="121">
        <f>VLOOKUP($B307,'Tillförd energi'!$B$1:$AI$720,MATCH(I$1,'Tillförd energi'!$B$1:$AQ$1,0),FALSE)</f>
        <v>0</v>
      </c>
      <c r="J307" s="121">
        <f>VLOOKUP($B307,'Tillförd energi'!$B$1:$AI$720,MATCH(J$1,'Tillförd energi'!$B$1:$AQ$1,0),FALSE)</f>
        <v>0</v>
      </c>
      <c r="K307" s="121">
        <f>VLOOKUP($B307,'Tillförd energi'!$B$1:$AI$720,MATCH(K$1,'Tillförd energi'!$B$1:$AQ$1,0),FALSE)</f>
        <v>0</v>
      </c>
      <c r="L307" s="121">
        <f>VLOOKUP($B307,'Tillförd energi'!$B$1:$AI$720,MATCH(L$1,'Tillförd energi'!$B$1:$AQ$1,0),FALSE)</f>
        <v>0</v>
      </c>
      <c r="M307" s="121">
        <f>VLOOKUP($B307,'Tillförd energi'!$B$1:$AI$720,MATCH(M$1,'Tillförd energi'!$B$1:$AQ$1,0),FALSE)</f>
        <v>0</v>
      </c>
      <c r="N307" s="121">
        <f>VLOOKUP($B307,'Tillförd energi'!$B$1:$AI$720,MATCH(N$1,'Tillförd energi'!$B$1:$AQ$1,0),FALSE)</f>
        <v>0</v>
      </c>
      <c r="O307" s="121">
        <f>VLOOKUP($B307,'Tillförd energi'!$B$1:$AI$720,MATCH(O$1,'Tillförd energi'!$B$1:$AQ$1,0),FALSE)</f>
        <v>0</v>
      </c>
      <c r="P307" s="121">
        <f>VLOOKUP($B307,'Tillförd energi'!$B$1:$AI$720,MATCH(P$1,'Tillförd energi'!$B$1:$AQ$1,0),FALSE)</f>
        <v>0</v>
      </c>
      <c r="Q307" s="121">
        <f>VLOOKUP($B307,'Tillförd energi'!$B$1:$AI$720,MATCH(Q$1,'Tillförd energi'!$B$1:$AQ$1,0),FALSE)</f>
        <v>17.1111</v>
      </c>
      <c r="R307" s="121">
        <f>VLOOKUP($B307,'Tillförd energi'!$B$1:$AI$720,MATCH(R$1,'Tillförd energi'!$B$1:$AQ$1,0),FALSE)</f>
        <v>0</v>
      </c>
      <c r="S307" s="121">
        <f>VLOOKUP($B307,'Tillförd energi'!$B$1:$AI$720,MATCH(S$1,'Tillförd energi'!$B$1:$AQ$1,0),FALSE)</f>
        <v>0</v>
      </c>
      <c r="T307" s="121">
        <f>VLOOKUP($B307,'Tillförd energi'!$B$1:$AI$720,MATCH(T$1,'Tillförd energi'!$B$1:$AQ$1,0),FALSE)</f>
        <v>0</v>
      </c>
      <c r="U307" s="121">
        <f>VLOOKUP($B307,'Tillförd energi'!$B$1:$AI$720,MATCH(U$1,'Tillförd energi'!$B$1:$AQ$1,0),FALSE)</f>
        <v>0</v>
      </c>
      <c r="V307" s="121">
        <f>VLOOKUP($B307,'Tillförd energi'!$B$1:$AI$720,MATCH(V$1,'Tillförd energi'!$B$1:$AQ$1,0),FALSE)</f>
        <v>0</v>
      </c>
      <c r="W307" s="121">
        <f>VLOOKUP($B307,'Tillförd energi'!$B$1:$AI$720,MATCH(W$1,'Tillförd energi'!$B$1:$AQ$1,0),FALSE)</f>
        <v>0</v>
      </c>
      <c r="X307" s="121">
        <f>VLOOKUP($B307,'Tillförd energi'!$B$1:$AI$720,MATCH(X$1,'Tillförd energi'!$B$1:$AQ$1,0),FALSE)</f>
        <v>0</v>
      </c>
      <c r="Y307" s="121">
        <f>VLOOKUP($B307,'Tillförd energi'!$B$1:$AI$720,MATCH(Y$1,'Tillförd energi'!$B$1:$AQ$1,0),FALSE)</f>
        <v>0</v>
      </c>
      <c r="Z307" s="121">
        <f>VLOOKUP($B307,'Tillförd energi'!$B$1:$AI$720,MATCH(Z$1,'Tillförd energi'!$B$1:$AQ$1,0),FALSE)</f>
        <v>0</v>
      </c>
      <c r="AA307" s="121">
        <f>VLOOKUP($B307,'Tillförd energi'!$B$1:$AI$720,MATCH(AA$1,'Tillförd energi'!$B$1:$AQ$1,0),FALSE)</f>
        <v>0</v>
      </c>
      <c r="AB307" s="121">
        <f>VLOOKUP($B307,'Tillförd energi'!$B$1:$AI$720,MATCH(AB$1,'Tillförd energi'!$B$1:$AQ$1,0),FALSE)</f>
        <v>0</v>
      </c>
      <c r="AC307" s="121">
        <f>VLOOKUP($B307,'Tillförd energi'!$B$1:$AI$720,MATCH(AC$1,'Tillförd energi'!$B$1:$AQ$1,0),FALSE)</f>
        <v>0</v>
      </c>
      <c r="AD307" s="121">
        <f>VLOOKUP($B307,'Tillförd energi'!$B$1:$AI$720,MATCH(AD$1,'Tillförd energi'!$B$1:$AQ$1,0),FALSE)</f>
        <v>0</v>
      </c>
      <c r="AE307" s="121">
        <f>VLOOKUP($B307,'Tillförd energi'!$B$1:$AI$720,MATCH(AE$1,'Tillförd energi'!$B$1:$AQ$1,0),FALSE)</f>
        <v>0</v>
      </c>
      <c r="AF307" s="121">
        <f>VLOOKUP($B307,'Tillförd energi'!$B$1:$AI$720,MATCH(AF$1,'Tillförd energi'!$B$1:$AQ$1,0),FALSE)</f>
        <v>0.37064999999999998</v>
      </c>
      <c r="AG307" s="121">
        <f>IFERROR(VLOOKUP(B307,Miljö!$B$1:$AC$550,MATCH("Köpt mängd produktionsspecifik fjärrvärme:",Miljö!$B$1:$AC$1,0),FALSE)/1,0)</f>
        <v>0</v>
      </c>
      <c r="AH307" s="121"/>
      <c r="AI307" s="121">
        <f t="shared" si="110"/>
        <v>17.481750000000002</v>
      </c>
      <c r="AJ307" s="121">
        <f t="shared" si="111"/>
        <v>17.481750000000002</v>
      </c>
      <c r="AK307" s="121">
        <f>IF(ISERROR(1/VLOOKUP($B307,Leveranser!$B$1:$S$499,MATCH("såld värme (gwh)",Leveranser!$B$1:$S$1,0),FALSE)),"",VLOOKUP($B307,Leveranser!$B$1:$S$499,MATCH("såld värme (gwh)",Leveranser!$B$1:$S$1,0),FALSE))</f>
        <v>12.355</v>
      </c>
      <c r="AL307" s="121">
        <f>VLOOKUP($B307,Leveranser!$B$1:$Y$499,MATCH("Totalt såld fjärrvärme till andra fjärrvärmeföretag",Leveranser!$B$1:$AA$1,0),FALSE)</f>
        <v>0</v>
      </c>
      <c r="AM307" s="121">
        <f>IF(ISERROR(1/VLOOKUP($B307,Miljö!$B$1:$S$500,MATCH("Såld mängd produktionsspecifik fjärrvärme (GWh)",Miljö!$B$1:$R$1,0),FALSE)),0,VLOOKUP($B307,Miljö!$B$1:$S$500,MATCH("Såld mängd produktionsspecifik fjärrvärme (GWh)",Miljö!$B$1:$R$1,0),FALSE))</f>
        <v>0</v>
      </c>
      <c r="AN307" s="172">
        <f t="shared" si="112"/>
        <v>0.70673702575543063</v>
      </c>
      <c r="AO307" s="121"/>
      <c r="AP307" s="121" t="str">
        <f>IFERROR(VLOOKUP($B307,Miljövärden!$B$2:$H$550,7,FALSE),"Nej, saknas")</f>
        <v>Ja</v>
      </c>
      <c r="AQ307" s="121" t="str">
        <f>IFERROR(VLOOKUP($B307,Miljövärden!$B$2:$H$550,6,FALSE),"Nej, saknas")</f>
        <v>Nej</v>
      </c>
      <c r="AU307">
        <f t="shared" si="113"/>
        <v>0.37064999999999998</v>
      </c>
      <c r="AV307">
        <f t="shared" si="114"/>
        <v>0</v>
      </c>
      <c r="AW307">
        <f t="shared" si="115"/>
        <v>17.1111</v>
      </c>
      <c r="AX307">
        <f t="shared" si="116"/>
        <v>0</v>
      </c>
      <c r="AZ307">
        <f t="shared" si="117"/>
        <v>17.1111</v>
      </c>
      <c r="BC307">
        <f t="shared" si="118"/>
        <v>0</v>
      </c>
      <c r="BD307">
        <f t="shared" si="119"/>
        <v>0</v>
      </c>
      <c r="BE307">
        <f t="shared" si="120"/>
        <v>17.1111</v>
      </c>
      <c r="BF307">
        <f t="shared" si="121"/>
        <v>0</v>
      </c>
      <c r="BG307">
        <f t="shared" si="122"/>
        <v>0.37064999999999998</v>
      </c>
      <c r="BH307">
        <f>VLOOKUP(B307,Miljö!$B$1:$BX$482,MATCH("Fossilandel för ursprungspecificerad el ()",Miljö!$B$1:$I$1,0),FALSE)</f>
        <v>0.43</v>
      </c>
      <c r="BI307">
        <f>VLOOKUP(B307,Miljö!$B$1:$BX$482,MATCH("Kärnkraftsandel för ursprungsspecificerad el ()",Miljö!$B$1:$O$1,0),FALSE)</f>
        <v>0.40550000000000003</v>
      </c>
      <c r="BJ307">
        <f t="shared" si="123"/>
        <v>0</v>
      </c>
      <c r="BK307" t="str">
        <f>VLOOKUP(B307,Miljö!$B$1:$O$482,MATCH("Fossil andel i procent (%)",Miljö!$B$1:$O$1,0),FALSE)</f>
        <v>ET</v>
      </c>
      <c r="BL307">
        <f t="shared" si="124"/>
        <v>17.481750000000002</v>
      </c>
      <c r="BO307" s="18">
        <f t="shared" si="125"/>
        <v>9.1169076322450537E-3</v>
      </c>
      <c r="BP307" s="18">
        <f t="shared" si="126"/>
        <v>8.5974559183148135E-3</v>
      </c>
      <c r="BQ307" s="18">
        <f t="shared" si="127"/>
        <v>0.98228563644944011</v>
      </c>
      <c r="BR307" s="18">
        <f t="shared" si="128"/>
        <v>0</v>
      </c>
      <c r="BT307" s="27">
        <f t="shared" si="129"/>
        <v>1</v>
      </c>
      <c r="BW307" s="18">
        <f>IF(AP307="ja",VLOOKUP(B307,Miljövärden!$B$2:$H$550,MATCH("Total andel fossilt",Miljövärden!$B$2:$H$2,0),FALSE),"")</f>
        <v>9.1168499999999993E-3</v>
      </c>
      <c r="BZ307" s="28">
        <f t="shared" si="130"/>
        <v>-5.7632245054409226E-8</v>
      </c>
      <c r="CA307" s="28">
        <f t="shared" si="131"/>
        <v>0</v>
      </c>
    </row>
    <row r="308" spans="1:79" x14ac:dyDescent="0.25">
      <c r="A308" s="224" t="s">
        <v>618</v>
      </c>
      <c r="B308" s="210" t="s">
        <v>619</v>
      </c>
      <c r="C308" s="121">
        <f>VLOOKUP($B308,'Tillförd energi'!$B$1:$AI$720,MATCH(C$1,'Tillförd energi'!$B$1:$AQ$1,0),FALSE)</f>
        <v>0</v>
      </c>
      <c r="D308" s="121">
        <f>VLOOKUP($B308,'Tillförd energi'!$B$1:$AI$720,MATCH(D$1,'Tillförd energi'!$B$1:$AQ$1,0),FALSE)</f>
        <v>1.4910000000000001</v>
      </c>
      <c r="E308" s="121">
        <f>VLOOKUP($B308,'Tillförd energi'!$B$1:$AI$720,MATCH(E$1,'Tillförd energi'!$B$1:$AQ$1,0),FALSE)</f>
        <v>0</v>
      </c>
      <c r="F308" s="121">
        <f>VLOOKUP($B308,'Tillförd energi'!$B$1:$AI$720,MATCH(F$1,'Tillförd energi'!$B$1:$AQ$1,0),FALSE)</f>
        <v>0</v>
      </c>
      <c r="G308" s="121">
        <f>VLOOKUP($B308,'Tillförd energi'!$B$1:$AI$720,MATCH(G$1,'Tillförd energi'!$B$1:$AQ$1,0),FALSE)</f>
        <v>0</v>
      </c>
      <c r="H308" s="121">
        <f>VLOOKUP($B308,'Tillförd energi'!$B$1:$AI$720,MATCH(H$1,'Tillförd energi'!$B$1:$AQ$1,0),FALSE)</f>
        <v>0</v>
      </c>
      <c r="I308" s="121">
        <f>VLOOKUP($B308,'Tillförd energi'!$B$1:$AI$720,MATCH(I$1,'Tillförd energi'!$B$1:$AQ$1,0),FALSE)</f>
        <v>0</v>
      </c>
      <c r="J308" s="121">
        <f>VLOOKUP($B308,'Tillförd energi'!$B$1:$AI$720,MATCH(J$1,'Tillförd energi'!$B$1:$AQ$1,0),FALSE)</f>
        <v>0</v>
      </c>
      <c r="K308" s="121">
        <f>VLOOKUP($B308,'Tillförd energi'!$B$1:$AI$720,MATCH(K$1,'Tillförd energi'!$B$1:$AQ$1,0),FALSE)</f>
        <v>0</v>
      </c>
      <c r="L308" s="121">
        <f>VLOOKUP($B308,'Tillförd energi'!$B$1:$AI$720,MATCH(L$1,'Tillförd energi'!$B$1:$AQ$1,0),FALSE)</f>
        <v>0</v>
      </c>
      <c r="M308" s="121">
        <f>VLOOKUP($B308,'Tillförd energi'!$B$1:$AI$720,MATCH(M$1,'Tillförd energi'!$B$1:$AQ$1,0),FALSE)</f>
        <v>25.576499999999999</v>
      </c>
      <c r="N308" s="121">
        <f>VLOOKUP($B308,'Tillförd energi'!$B$1:$AI$720,MATCH(N$1,'Tillförd energi'!$B$1:$AQ$1,0),FALSE)</f>
        <v>82.337199999999996</v>
      </c>
      <c r="O308" s="121">
        <f>VLOOKUP($B308,'Tillförd energi'!$B$1:$AI$720,MATCH(O$1,'Tillförd energi'!$B$1:$AQ$1,0),FALSE)</f>
        <v>10.3439</v>
      </c>
      <c r="P308" s="121">
        <f>VLOOKUP($B308,'Tillförd energi'!$B$1:$AI$720,MATCH(P$1,'Tillförd energi'!$B$1:$AQ$1,0),FALSE)</f>
        <v>0</v>
      </c>
      <c r="Q308" s="121">
        <f>VLOOKUP($B308,'Tillförd energi'!$B$1:$AI$720,MATCH(Q$1,'Tillförd energi'!$B$1:$AQ$1,0),FALSE)</f>
        <v>0</v>
      </c>
      <c r="R308" s="121">
        <f>VLOOKUP($B308,'Tillförd energi'!$B$1:$AI$720,MATCH(R$1,'Tillförd energi'!$B$1:$AQ$1,0),FALSE)</f>
        <v>0</v>
      </c>
      <c r="S308" s="121">
        <f>VLOOKUP($B308,'Tillförd energi'!$B$1:$AI$720,MATCH(S$1,'Tillförd energi'!$B$1:$AQ$1,0),FALSE)</f>
        <v>0</v>
      </c>
      <c r="T308" s="121">
        <f>VLOOKUP($B308,'Tillförd energi'!$B$1:$AI$720,MATCH(T$1,'Tillförd energi'!$B$1:$AQ$1,0),FALSE)</f>
        <v>0</v>
      </c>
      <c r="U308" s="121">
        <f>VLOOKUP($B308,'Tillförd energi'!$B$1:$AI$720,MATCH(U$1,'Tillförd energi'!$B$1:$AQ$1,0),FALSE)</f>
        <v>0</v>
      </c>
      <c r="V308" s="121">
        <f>VLOOKUP($B308,'Tillförd energi'!$B$1:$AI$720,MATCH(V$1,'Tillförd energi'!$B$1:$AQ$1,0),FALSE)</f>
        <v>0</v>
      </c>
      <c r="W308" s="121">
        <f>VLOOKUP($B308,'Tillförd energi'!$B$1:$AI$720,MATCH(W$1,'Tillförd energi'!$B$1:$AQ$1,0),FALSE)</f>
        <v>0</v>
      </c>
      <c r="X308" s="121">
        <f>VLOOKUP($B308,'Tillförd energi'!$B$1:$AI$720,MATCH(X$1,'Tillförd energi'!$B$1:$AQ$1,0),FALSE)</f>
        <v>0</v>
      </c>
      <c r="Y308" s="121">
        <f>VLOOKUP($B308,'Tillförd energi'!$B$1:$AI$720,MATCH(Y$1,'Tillförd energi'!$B$1:$AQ$1,0),FALSE)</f>
        <v>0</v>
      </c>
      <c r="Z308" s="121">
        <f>VLOOKUP($B308,'Tillförd energi'!$B$1:$AI$720,MATCH(Z$1,'Tillförd energi'!$B$1:$AQ$1,0),FALSE)</f>
        <v>0</v>
      </c>
      <c r="AA308" s="121">
        <f>VLOOKUP($B308,'Tillförd energi'!$B$1:$AI$720,MATCH(AA$1,'Tillförd energi'!$B$1:$AQ$1,0),FALSE)</f>
        <v>0</v>
      </c>
      <c r="AB308" s="121">
        <f>VLOOKUP($B308,'Tillförd energi'!$B$1:$AI$720,MATCH(AB$1,'Tillförd energi'!$B$1:$AQ$1,0),FALSE)</f>
        <v>0</v>
      </c>
      <c r="AC308" s="121">
        <f>VLOOKUP($B308,'Tillförd energi'!$B$1:$AI$720,MATCH(AC$1,'Tillförd energi'!$B$1:$AQ$1,0),FALSE)</f>
        <v>30.24</v>
      </c>
      <c r="AD308" s="121">
        <f>VLOOKUP($B308,'Tillförd energi'!$B$1:$AI$720,MATCH(AD$1,'Tillförd energi'!$B$1:$AQ$1,0),FALSE)</f>
        <v>0</v>
      </c>
      <c r="AE308" s="121">
        <f>VLOOKUP($B308,'Tillförd energi'!$B$1:$AI$720,MATCH(AE$1,'Tillförd energi'!$B$1:$AQ$1,0),FALSE)</f>
        <v>0</v>
      </c>
      <c r="AF308" s="121">
        <f>VLOOKUP($B308,'Tillförd energi'!$B$1:$AI$720,MATCH(AF$1,'Tillförd energi'!$B$1:$AQ$1,0),FALSE)</f>
        <v>5.5</v>
      </c>
      <c r="AG308" s="121">
        <f>IFERROR(VLOOKUP(B308,Miljö!$B$1:$AC$550,MATCH("Köpt mängd produktionsspecifik fjärrvärme:",Miljö!$B$1:$AC$1,0),FALSE)/1,0)</f>
        <v>0</v>
      </c>
      <c r="AH308" s="121"/>
      <c r="AI308" s="121">
        <f t="shared" si="110"/>
        <v>155.48859999999999</v>
      </c>
      <c r="AJ308" s="121">
        <f t="shared" si="111"/>
        <v>155.48859999999999</v>
      </c>
      <c r="AK308" s="121">
        <f>IF(ISERROR(1/VLOOKUP($B308,Leveranser!$B$1:$S$499,MATCH("såld värme (gwh)",Leveranser!$B$1:$S$1,0),FALSE)),"",VLOOKUP($B308,Leveranser!$B$1:$S$499,MATCH("såld värme (gwh)",Leveranser!$B$1:$S$1,0),FALSE))</f>
        <v>124</v>
      </c>
      <c r="AL308" s="121">
        <f>VLOOKUP($B308,Leveranser!$B$1:$Y$499,MATCH("Totalt såld fjärrvärme till andra fjärrvärmeföretag",Leveranser!$B$1:$AA$1,0),FALSE)</f>
        <v>0</v>
      </c>
      <c r="AM308" s="121">
        <f>IF(ISERROR(1/VLOOKUP($B308,Miljö!$B$1:$S$500,MATCH("Såld mängd produktionsspecifik fjärrvärme (GWh)",Miljö!$B$1:$R$1,0),FALSE)),0,VLOOKUP($B308,Miljö!$B$1:$S$500,MATCH("Såld mängd produktionsspecifik fjärrvärme (GWh)",Miljö!$B$1:$R$1,0),FALSE))</f>
        <v>0</v>
      </c>
      <c r="AN308" s="172">
        <f t="shared" si="112"/>
        <v>0.79748611795334201</v>
      </c>
      <c r="AO308" s="121"/>
      <c r="AP308" s="121" t="str">
        <f>IFERROR(VLOOKUP($B308,Miljövärden!$B$2:$H$550,7,FALSE),"Nej, saknas")</f>
        <v>Ja</v>
      </c>
      <c r="AQ308" s="121" t="str">
        <f>IFERROR(VLOOKUP($B308,Miljövärden!$B$2:$H$550,6,FALSE),"Nej, saknas")</f>
        <v>Ja</v>
      </c>
      <c r="AU308">
        <f t="shared" si="113"/>
        <v>5.5</v>
      </c>
      <c r="AV308">
        <f t="shared" si="114"/>
        <v>0</v>
      </c>
      <c r="AW308">
        <f t="shared" si="115"/>
        <v>118.2576</v>
      </c>
      <c r="AX308">
        <f t="shared" si="116"/>
        <v>0</v>
      </c>
      <c r="AZ308">
        <f t="shared" si="117"/>
        <v>118.2576</v>
      </c>
      <c r="BC308">
        <f t="shared" si="118"/>
        <v>1.4910000000000001</v>
      </c>
      <c r="BD308">
        <f t="shared" si="119"/>
        <v>0</v>
      </c>
      <c r="BE308">
        <f t="shared" si="120"/>
        <v>118.2576</v>
      </c>
      <c r="BF308">
        <f t="shared" si="121"/>
        <v>30.24</v>
      </c>
      <c r="BG308">
        <f t="shared" si="122"/>
        <v>5.5</v>
      </c>
      <c r="BH308">
        <f>VLOOKUP(B308,Miljö!$B$1:$BX$482,MATCH("Fossilandel för ursprungspecificerad el ()",Miljö!$B$1:$I$1,0),FALSE)</f>
        <v>0</v>
      </c>
      <c r="BI308">
        <f>VLOOKUP(B308,Miljö!$B$1:$BX$482,MATCH("Kärnkraftsandel för ursprungsspecificerad el ()",Miljö!$B$1:$O$1,0),FALSE)</f>
        <v>0</v>
      </c>
      <c r="BJ308">
        <f t="shared" si="123"/>
        <v>0</v>
      </c>
      <c r="BK308" t="str">
        <f>VLOOKUP(B308,Miljö!$B$1:$O$482,MATCH("Fossil andel i procent (%)",Miljö!$B$1:$O$1,0),FALSE)</f>
        <v>ET</v>
      </c>
      <c r="BL308">
        <f t="shared" si="124"/>
        <v>155.48859999999999</v>
      </c>
      <c r="BO308" s="18">
        <f t="shared" si="125"/>
        <v>9.589127434422846E-3</v>
      </c>
      <c r="BP308" s="18">
        <f t="shared" si="126"/>
        <v>0</v>
      </c>
      <c r="BQ308" s="18">
        <f t="shared" si="127"/>
        <v>0.79592716121953633</v>
      </c>
      <c r="BR308" s="18">
        <f t="shared" si="128"/>
        <v>0.19448371134604081</v>
      </c>
      <c r="BT308" s="27">
        <f t="shared" si="129"/>
        <v>1</v>
      </c>
      <c r="BW308" s="18">
        <f>IF(AP308="ja",VLOOKUP(B308,Miljövärden!$B$2:$H$550,MATCH("Total andel fossilt",Miljövärden!$B$2:$H$2,0),FALSE),"")</f>
        <v>9.5890999999999997E-3</v>
      </c>
      <c r="BZ308" s="28">
        <f t="shared" si="130"/>
        <v>-2.743442284632025E-8</v>
      </c>
      <c r="CA308" s="28">
        <f t="shared" si="131"/>
        <v>0</v>
      </c>
    </row>
    <row r="309" spans="1:79" x14ac:dyDescent="0.25">
      <c r="A309" s="224" t="s">
        <v>621</v>
      </c>
      <c r="B309" s="210" t="s">
        <v>622</v>
      </c>
      <c r="C309" s="121">
        <f>VLOOKUP($B309,'Tillförd energi'!$B$1:$AI$720,MATCH(C$1,'Tillförd energi'!$B$1:$AQ$1,0),FALSE)</f>
        <v>0</v>
      </c>
      <c r="D309" s="121">
        <f>VLOOKUP($B309,'Tillförd energi'!$B$1:$AI$720,MATCH(D$1,'Tillförd energi'!$B$1:$AQ$1,0),FALSE)</f>
        <v>0</v>
      </c>
      <c r="E309" s="121">
        <f>VLOOKUP($B309,'Tillförd energi'!$B$1:$AI$720,MATCH(E$1,'Tillförd energi'!$B$1:$AQ$1,0),FALSE)</f>
        <v>0</v>
      </c>
      <c r="F309" s="121">
        <f>VLOOKUP($B309,'Tillförd energi'!$B$1:$AI$720,MATCH(F$1,'Tillförd energi'!$B$1:$AQ$1,0),FALSE)</f>
        <v>0</v>
      </c>
      <c r="G309" s="121">
        <f>VLOOKUP($B309,'Tillförd energi'!$B$1:$AI$720,MATCH(G$1,'Tillförd energi'!$B$1:$AQ$1,0),FALSE)</f>
        <v>0</v>
      </c>
      <c r="H309" s="121">
        <f>VLOOKUP($B309,'Tillförd energi'!$B$1:$AI$720,MATCH(H$1,'Tillförd energi'!$B$1:$AQ$1,0),FALSE)</f>
        <v>0</v>
      </c>
      <c r="I309" s="121">
        <f>VLOOKUP($B309,'Tillförd energi'!$B$1:$AI$720,MATCH(I$1,'Tillförd energi'!$B$1:$AQ$1,0),FALSE)</f>
        <v>0</v>
      </c>
      <c r="J309" s="121">
        <f>VLOOKUP($B309,'Tillförd energi'!$B$1:$AI$720,MATCH(J$1,'Tillförd energi'!$B$1:$AQ$1,0),FALSE)</f>
        <v>0</v>
      </c>
      <c r="K309" s="121">
        <f>VLOOKUP($B309,'Tillförd energi'!$B$1:$AI$720,MATCH(K$1,'Tillförd energi'!$B$1:$AQ$1,0),FALSE)</f>
        <v>0</v>
      </c>
      <c r="L309" s="121">
        <f>VLOOKUP($B309,'Tillförd energi'!$B$1:$AI$720,MATCH(L$1,'Tillförd energi'!$B$1:$AQ$1,0),FALSE)</f>
        <v>0</v>
      </c>
      <c r="M309" s="121">
        <f>VLOOKUP($B309,'Tillförd energi'!$B$1:$AI$720,MATCH(M$1,'Tillförd energi'!$B$1:$AQ$1,0),FALSE)</f>
        <v>0</v>
      </c>
      <c r="N309" s="121">
        <f>VLOOKUP($B309,'Tillförd energi'!$B$1:$AI$720,MATCH(N$1,'Tillförd energi'!$B$1:$AQ$1,0),FALSE)</f>
        <v>0</v>
      </c>
      <c r="O309" s="121">
        <f>VLOOKUP($B309,'Tillförd energi'!$B$1:$AI$720,MATCH(O$1,'Tillförd energi'!$B$1:$AQ$1,0),FALSE)</f>
        <v>0</v>
      </c>
      <c r="P309" s="121">
        <f>VLOOKUP($B309,'Tillförd energi'!$B$1:$AI$720,MATCH(P$1,'Tillförd energi'!$B$1:$AQ$1,0),FALSE)</f>
        <v>0</v>
      </c>
      <c r="Q309" s="121">
        <f>VLOOKUP($B309,'Tillförd energi'!$B$1:$AI$720,MATCH(Q$1,'Tillförd energi'!$B$1:$AQ$1,0),FALSE)</f>
        <v>0</v>
      </c>
      <c r="R309" s="121">
        <f>VLOOKUP($B309,'Tillförd energi'!$B$1:$AI$720,MATCH(R$1,'Tillförd energi'!$B$1:$AQ$1,0),FALSE)</f>
        <v>0</v>
      </c>
      <c r="S309" s="121">
        <f>VLOOKUP($B309,'Tillförd energi'!$B$1:$AI$720,MATCH(S$1,'Tillförd energi'!$B$1:$AQ$1,0),FALSE)</f>
        <v>0</v>
      </c>
      <c r="T309" s="121">
        <f>VLOOKUP($B309,'Tillförd energi'!$B$1:$AI$720,MATCH(T$1,'Tillförd energi'!$B$1:$AQ$1,0),FALSE)</f>
        <v>0</v>
      </c>
      <c r="U309" s="121">
        <f>VLOOKUP($B309,'Tillförd energi'!$B$1:$AI$720,MATCH(U$1,'Tillförd energi'!$B$1:$AQ$1,0),FALSE)</f>
        <v>0</v>
      </c>
      <c r="V309" s="121">
        <f>VLOOKUP($B309,'Tillförd energi'!$B$1:$AI$720,MATCH(V$1,'Tillförd energi'!$B$1:$AQ$1,0),FALSE)</f>
        <v>0</v>
      </c>
      <c r="W309" s="121">
        <f>VLOOKUP($B309,'Tillförd energi'!$B$1:$AI$720,MATCH(W$1,'Tillförd energi'!$B$1:$AQ$1,0),FALSE)</f>
        <v>0</v>
      </c>
      <c r="X309" s="121">
        <f>VLOOKUP($B309,'Tillförd energi'!$B$1:$AI$720,MATCH(X$1,'Tillförd energi'!$B$1:$AQ$1,0),FALSE)</f>
        <v>0</v>
      </c>
      <c r="Y309" s="121">
        <f>VLOOKUP($B309,'Tillförd energi'!$B$1:$AI$720,MATCH(Y$1,'Tillförd energi'!$B$1:$AQ$1,0),FALSE)</f>
        <v>0</v>
      </c>
      <c r="Z309" s="121">
        <f>VLOOKUP($B309,'Tillförd energi'!$B$1:$AI$720,MATCH(Z$1,'Tillförd energi'!$B$1:$AQ$1,0),FALSE)</f>
        <v>0</v>
      </c>
      <c r="AA309" s="121">
        <f>VLOOKUP($B309,'Tillförd energi'!$B$1:$AI$720,MATCH(AA$1,'Tillförd energi'!$B$1:$AQ$1,0),FALSE)</f>
        <v>0</v>
      </c>
      <c r="AB309" s="121">
        <f>VLOOKUP($B309,'Tillförd energi'!$B$1:$AI$720,MATCH(AB$1,'Tillförd energi'!$B$1:$AQ$1,0),FALSE)</f>
        <v>0</v>
      </c>
      <c r="AC309" s="121">
        <f>VLOOKUP($B309,'Tillförd energi'!$B$1:$AI$720,MATCH(AC$1,'Tillförd energi'!$B$1:$AQ$1,0),FALSE)</f>
        <v>0</v>
      </c>
      <c r="AD309" s="121">
        <f>VLOOKUP($B309,'Tillförd energi'!$B$1:$AI$720,MATCH(AD$1,'Tillförd energi'!$B$1:$AQ$1,0),FALSE)</f>
        <v>0</v>
      </c>
      <c r="AE309" s="121">
        <f>VLOOKUP($B309,'Tillförd energi'!$B$1:$AI$720,MATCH(AE$1,'Tillförd energi'!$B$1:$AQ$1,0),FALSE)</f>
        <v>0</v>
      </c>
      <c r="AF309" s="121">
        <f>VLOOKUP($B309,'Tillförd energi'!$B$1:$AI$720,MATCH(AF$1,'Tillförd energi'!$B$1:$AQ$1,0),FALSE)</f>
        <v>0</v>
      </c>
      <c r="AG309" s="121">
        <f>IFERROR(VLOOKUP(B309,Miljö!$B$1:$AC$550,MATCH("Köpt mängd produktionsspecifik fjärrvärme:",Miljö!$B$1:$AC$1,0),FALSE)/1,0)</f>
        <v>0</v>
      </c>
      <c r="AH309" s="121"/>
      <c r="AI309" s="121">
        <f t="shared" si="110"/>
        <v>0</v>
      </c>
      <c r="AJ309" s="121">
        <f t="shared" si="111"/>
        <v>0</v>
      </c>
      <c r="AK309" s="121" t="str">
        <f>IF(ISERROR(1/VLOOKUP($B309,Leveranser!$B$1:$S$499,MATCH("såld värme (gwh)",Leveranser!$B$1:$S$1,0),FALSE)),"",VLOOKUP($B309,Leveranser!$B$1:$S$499,MATCH("såld värme (gwh)",Leveranser!$B$1:$S$1,0),FALSE))</f>
        <v/>
      </c>
      <c r="AL309" s="121">
        <f>VLOOKUP($B309,Leveranser!$B$1:$Y$499,MATCH("Totalt såld fjärrvärme till andra fjärrvärmeföretag",Leveranser!$B$1:$AA$1,0),FALSE)</f>
        <v>0</v>
      </c>
      <c r="AM309" s="121">
        <f>IF(ISERROR(1/VLOOKUP($B309,Miljö!$B$1:$S$500,MATCH("Såld mängd produktionsspecifik fjärrvärme (GWh)",Miljö!$B$1:$R$1,0),FALSE)),0,VLOOKUP($B309,Miljö!$B$1:$S$500,MATCH("Såld mängd produktionsspecifik fjärrvärme (GWh)",Miljö!$B$1:$R$1,0),FALSE))</f>
        <v>0</v>
      </c>
      <c r="AN309" s="172" t="str">
        <f t="shared" si="112"/>
        <v/>
      </c>
      <c r="AO309" s="121"/>
      <c r="AP309" s="121" t="str">
        <f>IFERROR(VLOOKUP($B309,Miljövärden!$B$2:$H$550,7,FALSE),"Nej, saknas")</f>
        <v>Nej</v>
      </c>
      <c r="AQ309" s="121" t="str">
        <f>IFERROR(VLOOKUP($B309,Miljövärden!$B$2:$H$550,6,FALSE),"Nej, saknas")</f>
        <v>Nej</v>
      </c>
      <c r="AU309">
        <f t="shared" si="113"/>
        <v>0</v>
      </c>
      <c r="AV309">
        <f t="shared" si="114"/>
        <v>0</v>
      </c>
      <c r="AW309">
        <f t="shared" si="115"/>
        <v>0</v>
      </c>
      <c r="AX309">
        <f t="shared" si="116"/>
        <v>0</v>
      </c>
      <c r="AZ309">
        <f t="shared" si="117"/>
        <v>0</v>
      </c>
      <c r="BC309">
        <f t="shared" si="118"/>
        <v>0</v>
      </c>
      <c r="BD309">
        <f t="shared" si="119"/>
        <v>0</v>
      </c>
      <c r="BE309">
        <f t="shared" si="120"/>
        <v>0</v>
      </c>
      <c r="BF309">
        <f t="shared" si="121"/>
        <v>0</v>
      </c>
      <c r="BG309">
        <f t="shared" si="122"/>
        <v>0</v>
      </c>
      <c r="BH309">
        <f>VLOOKUP(B309,Miljö!$B$1:$BX$482,MATCH("Fossilandel för ursprungspecificerad el ()",Miljö!$B$1:$I$1,0),FALSE)</f>
        <v>0</v>
      </c>
      <c r="BI309">
        <f>VLOOKUP(B309,Miljö!$B$1:$BX$482,MATCH("Kärnkraftsandel för ursprungsspecificerad el ()",Miljö!$B$1:$O$1,0),FALSE)</f>
        <v>0</v>
      </c>
      <c r="BJ309">
        <f t="shared" si="123"/>
        <v>0</v>
      </c>
      <c r="BK309" t="str">
        <f>VLOOKUP(B309,Miljö!$B$1:$O$482,MATCH("Fossil andel i procent (%)",Miljö!$B$1:$O$1,0),FALSE)</f>
        <v>ET</v>
      </c>
      <c r="BL309">
        <f t="shared" si="124"/>
        <v>0</v>
      </c>
      <c r="BO309" s="18" t="str">
        <f t="shared" si="125"/>
        <v/>
      </c>
      <c r="BP309" s="18" t="str">
        <f t="shared" si="126"/>
        <v/>
      </c>
      <c r="BQ309" s="18" t="str">
        <f t="shared" si="127"/>
        <v/>
      </c>
      <c r="BR309" s="18" t="str">
        <f t="shared" si="128"/>
        <v/>
      </c>
      <c r="BT309" s="27">
        <f t="shared" si="129"/>
        <v>0</v>
      </c>
      <c r="BW309" s="18" t="str">
        <f>IF(AP309="ja",VLOOKUP(B309,Miljövärden!$B$2:$H$550,MATCH("Total andel fossilt",Miljövärden!$B$2:$H$2,0),FALSE),"")</f>
        <v/>
      </c>
      <c r="BZ309" s="28" t="str">
        <f t="shared" si="130"/>
        <v/>
      </c>
      <c r="CA309" s="28" t="str">
        <f t="shared" si="131"/>
        <v/>
      </c>
    </row>
    <row r="310" spans="1:79" x14ac:dyDescent="0.25">
      <c r="A310" s="224" t="s">
        <v>623</v>
      </c>
      <c r="B310" s="210" t="s">
        <v>624</v>
      </c>
      <c r="C310" s="121">
        <f>VLOOKUP($B310,'Tillförd energi'!$B$1:$AI$720,MATCH(C$1,'Tillförd energi'!$B$1:$AQ$1,0),FALSE)</f>
        <v>0</v>
      </c>
      <c r="D310" s="121">
        <f>VLOOKUP($B310,'Tillförd energi'!$B$1:$AI$720,MATCH(D$1,'Tillförd energi'!$B$1:$AQ$1,0),FALSE)</f>
        <v>0.53</v>
      </c>
      <c r="E310" s="121">
        <f>VLOOKUP($B310,'Tillförd energi'!$B$1:$AI$720,MATCH(E$1,'Tillförd energi'!$B$1:$AQ$1,0),FALSE)</f>
        <v>0</v>
      </c>
      <c r="F310" s="121">
        <f>VLOOKUP($B310,'Tillförd energi'!$B$1:$AI$720,MATCH(F$1,'Tillförd energi'!$B$1:$AQ$1,0),FALSE)</f>
        <v>0</v>
      </c>
      <c r="G310" s="121">
        <f>VLOOKUP($B310,'Tillförd energi'!$B$1:$AI$720,MATCH(G$1,'Tillförd energi'!$B$1:$AQ$1,0),FALSE)</f>
        <v>0</v>
      </c>
      <c r="H310" s="121">
        <f>VLOOKUP($B310,'Tillförd energi'!$B$1:$AI$720,MATCH(H$1,'Tillförd energi'!$B$1:$AQ$1,0),FALSE)</f>
        <v>0</v>
      </c>
      <c r="I310" s="121">
        <f>VLOOKUP($B310,'Tillförd energi'!$B$1:$AI$720,MATCH(I$1,'Tillförd energi'!$B$1:$AQ$1,0),FALSE)</f>
        <v>0</v>
      </c>
      <c r="J310" s="121">
        <f>VLOOKUP($B310,'Tillförd energi'!$B$1:$AI$720,MATCH(J$1,'Tillförd energi'!$B$1:$AQ$1,0),FALSE)</f>
        <v>0</v>
      </c>
      <c r="K310" s="121">
        <f>VLOOKUP($B310,'Tillförd energi'!$B$1:$AI$720,MATCH(K$1,'Tillförd energi'!$B$1:$AQ$1,0),FALSE)</f>
        <v>0</v>
      </c>
      <c r="L310" s="121">
        <f>VLOOKUP($B310,'Tillförd energi'!$B$1:$AI$720,MATCH(L$1,'Tillförd energi'!$B$1:$AQ$1,0),FALSE)</f>
        <v>0</v>
      </c>
      <c r="M310" s="121">
        <f>VLOOKUP($B310,'Tillförd energi'!$B$1:$AI$720,MATCH(M$1,'Tillförd energi'!$B$1:$AQ$1,0),FALSE)</f>
        <v>0</v>
      </c>
      <c r="N310" s="121">
        <f>VLOOKUP($B310,'Tillförd energi'!$B$1:$AI$720,MATCH(N$1,'Tillförd energi'!$B$1:$AQ$1,0),FALSE)</f>
        <v>276.041</v>
      </c>
      <c r="O310" s="121">
        <f>VLOOKUP($B310,'Tillförd energi'!$B$1:$AI$720,MATCH(O$1,'Tillförd energi'!$B$1:$AQ$1,0),FALSE)</f>
        <v>0</v>
      </c>
      <c r="P310" s="121">
        <f>VLOOKUP($B310,'Tillförd energi'!$B$1:$AI$720,MATCH(P$1,'Tillförd energi'!$B$1:$AQ$1,0),FALSE)</f>
        <v>0</v>
      </c>
      <c r="Q310" s="121">
        <f>VLOOKUP($B310,'Tillförd energi'!$B$1:$AI$720,MATCH(Q$1,'Tillförd energi'!$B$1:$AQ$1,0),FALSE)</f>
        <v>0</v>
      </c>
      <c r="R310" s="121">
        <f>VLOOKUP($B310,'Tillförd energi'!$B$1:$AI$720,MATCH(R$1,'Tillförd energi'!$B$1:$AQ$1,0),FALSE)</f>
        <v>0</v>
      </c>
      <c r="S310" s="121">
        <f>VLOOKUP($B310,'Tillförd energi'!$B$1:$AI$720,MATCH(S$1,'Tillförd energi'!$B$1:$AQ$1,0),FALSE)</f>
        <v>0</v>
      </c>
      <c r="T310" s="121">
        <f>VLOOKUP($B310,'Tillförd energi'!$B$1:$AI$720,MATCH(T$1,'Tillförd energi'!$B$1:$AQ$1,0),FALSE)</f>
        <v>0</v>
      </c>
      <c r="U310" s="121">
        <f>VLOOKUP($B310,'Tillförd energi'!$B$1:$AI$720,MATCH(U$1,'Tillförd energi'!$B$1:$AQ$1,0),FALSE)</f>
        <v>0</v>
      </c>
      <c r="V310" s="121">
        <f>VLOOKUP($B310,'Tillförd energi'!$B$1:$AI$720,MATCH(V$1,'Tillförd energi'!$B$1:$AQ$1,0),FALSE)</f>
        <v>0</v>
      </c>
      <c r="W310" s="121">
        <f>VLOOKUP($B310,'Tillförd energi'!$B$1:$AI$720,MATCH(W$1,'Tillförd energi'!$B$1:$AQ$1,0),FALSE)</f>
        <v>42.6</v>
      </c>
      <c r="X310" s="121">
        <f>VLOOKUP($B310,'Tillförd energi'!$B$1:$AI$720,MATCH(X$1,'Tillförd energi'!$B$1:$AQ$1,0),FALSE)</f>
        <v>0</v>
      </c>
      <c r="Y310" s="121">
        <f>VLOOKUP($B310,'Tillförd energi'!$B$1:$AI$720,MATCH(Y$1,'Tillförd energi'!$B$1:$AQ$1,0),FALSE)</f>
        <v>0</v>
      </c>
      <c r="Z310" s="121">
        <f>VLOOKUP($B310,'Tillförd energi'!$B$1:$AI$720,MATCH(Z$1,'Tillförd energi'!$B$1:$AQ$1,0),FALSE)</f>
        <v>0</v>
      </c>
      <c r="AA310" s="121">
        <f>VLOOKUP($B310,'Tillförd energi'!$B$1:$AI$720,MATCH(AA$1,'Tillförd energi'!$B$1:$AQ$1,0),FALSE)</f>
        <v>0</v>
      </c>
      <c r="AB310" s="121">
        <f>VLOOKUP($B310,'Tillförd energi'!$B$1:$AI$720,MATCH(AB$1,'Tillförd energi'!$B$1:$AQ$1,0),FALSE)</f>
        <v>0</v>
      </c>
      <c r="AC310" s="121">
        <f>VLOOKUP($B310,'Tillförd energi'!$B$1:$AI$720,MATCH(AC$1,'Tillförd energi'!$B$1:$AQ$1,0),FALSE)</f>
        <v>48</v>
      </c>
      <c r="AD310" s="121">
        <f>VLOOKUP($B310,'Tillförd energi'!$B$1:$AI$720,MATCH(AD$1,'Tillförd energi'!$B$1:$AQ$1,0),FALSE)</f>
        <v>59.1</v>
      </c>
      <c r="AE310" s="121">
        <f>VLOOKUP($B310,'Tillförd energi'!$B$1:$AI$720,MATCH(AE$1,'Tillförd energi'!$B$1:$AQ$1,0),FALSE)</f>
        <v>0</v>
      </c>
      <c r="AF310" s="121">
        <f>VLOOKUP($B310,'Tillförd energi'!$B$1:$AI$720,MATCH(AF$1,'Tillförd energi'!$B$1:$AQ$1,0),FALSE)</f>
        <v>6.7520499999999997</v>
      </c>
      <c r="AG310" s="121">
        <f>IFERROR(VLOOKUP(B310,Miljö!$B$1:$AC$550,MATCH("Köpt mängd produktionsspecifik fjärrvärme:",Miljö!$B$1:$AC$1,0),FALSE)/1,0)</f>
        <v>0</v>
      </c>
      <c r="AH310" s="121"/>
      <c r="AI310" s="121">
        <f t="shared" si="110"/>
        <v>433.02305000000001</v>
      </c>
      <c r="AJ310" s="121">
        <f t="shared" si="111"/>
        <v>433.02305000000001</v>
      </c>
      <c r="AK310" s="121">
        <f>IF(ISERROR(1/VLOOKUP($B310,Leveranser!$B$1:$S$499,MATCH("såld värme (gwh)",Leveranser!$B$1:$S$1,0),FALSE)),"",VLOOKUP($B310,Leveranser!$B$1:$S$499,MATCH("såld värme (gwh)",Leveranser!$B$1:$S$1,0),FALSE))</f>
        <v>346.2</v>
      </c>
      <c r="AL310" s="121">
        <f>VLOOKUP($B310,Leveranser!$B$1:$Y$499,MATCH("Totalt såld fjärrvärme till andra fjärrvärmeföretag",Leveranser!$B$1:$AA$1,0),FALSE)</f>
        <v>4.2</v>
      </c>
      <c r="AM310" s="121">
        <f>IF(ISERROR(1/VLOOKUP($B310,Miljö!$B$1:$S$500,MATCH("Såld mängd produktionsspecifik fjärrvärme (GWh)",Miljö!$B$1:$R$1,0),FALSE)),0,VLOOKUP($B310,Miljö!$B$1:$S$500,MATCH("Såld mängd produktionsspecifik fjärrvärme (GWh)",Miljö!$B$1:$R$1,0),FALSE))</f>
        <v>0</v>
      </c>
      <c r="AN310" s="172">
        <f t="shared" si="112"/>
        <v>0.7994955464841883</v>
      </c>
      <c r="AO310" s="121"/>
      <c r="AP310" s="121" t="str">
        <f>IFERROR(VLOOKUP($B310,Miljövärden!$B$2:$H$550,7,FALSE),"Nej, saknas")</f>
        <v>Ja</v>
      </c>
      <c r="AQ310" s="121" t="str">
        <f>IFERROR(VLOOKUP($B310,Miljövärden!$B$2:$H$550,6,FALSE),"Nej, saknas")</f>
        <v>Ja</v>
      </c>
      <c r="AU310">
        <f t="shared" si="113"/>
        <v>6.7520499999999997</v>
      </c>
      <c r="AV310">
        <f t="shared" si="114"/>
        <v>0</v>
      </c>
      <c r="AW310">
        <f t="shared" si="115"/>
        <v>276.041</v>
      </c>
      <c r="AX310">
        <f t="shared" si="116"/>
        <v>0</v>
      </c>
      <c r="AZ310">
        <f t="shared" si="117"/>
        <v>318.64100000000002</v>
      </c>
      <c r="BC310">
        <f t="shared" si="118"/>
        <v>0.53</v>
      </c>
      <c r="BD310">
        <f t="shared" si="119"/>
        <v>0</v>
      </c>
      <c r="BE310">
        <f t="shared" si="120"/>
        <v>318.64100000000002</v>
      </c>
      <c r="BF310">
        <f t="shared" si="121"/>
        <v>107.1</v>
      </c>
      <c r="BG310">
        <f t="shared" si="122"/>
        <v>6.7520499999999997</v>
      </c>
      <c r="BH310">
        <f>VLOOKUP(B310,Miljö!$B$1:$BX$482,MATCH("Fossilandel för ursprungspecificerad el ()",Miljö!$B$1:$I$1,0),FALSE)</f>
        <v>0</v>
      </c>
      <c r="BI310">
        <f>VLOOKUP(B310,Miljö!$B$1:$BX$482,MATCH("Kärnkraftsandel för ursprungsspecificerad el ()",Miljö!$B$1:$O$1,0),FALSE)</f>
        <v>0</v>
      </c>
      <c r="BJ310">
        <f t="shared" si="123"/>
        <v>0</v>
      </c>
      <c r="BK310" t="str">
        <f>VLOOKUP(B310,Miljö!$B$1:$O$482,MATCH("Fossil andel i procent (%)",Miljö!$B$1:$O$1,0),FALSE)</f>
        <v>ET</v>
      </c>
      <c r="BL310">
        <f t="shared" si="124"/>
        <v>433.02304999999996</v>
      </c>
      <c r="BO310" s="18">
        <f t="shared" si="125"/>
        <v>1.2239533207296935E-3</v>
      </c>
      <c r="BP310" s="18">
        <f t="shared" si="126"/>
        <v>0</v>
      </c>
      <c r="BQ310" s="18">
        <f t="shared" si="127"/>
        <v>0.75144510205634563</v>
      </c>
      <c r="BR310" s="18">
        <f t="shared" si="128"/>
        <v>0.24733094462292482</v>
      </c>
      <c r="BT310" s="27">
        <f t="shared" si="129"/>
        <v>1</v>
      </c>
      <c r="BW310" s="18">
        <f>IF(AP310="ja",VLOOKUP(B310,Miljövärden!$B$2:$H$550,MATCH("Total andel fossilt",Miljövärden!$B$2:$H$2,0),FALSE),"")</f>
        <v>1.2239499999999999E-3</v>
      </c>
      <c r="BZ310" s="28">
        <f t="shared" si="130"/>
        <v>-3.3207296936104552E-9</v>
      </c>
      <c r="CA310" s="28">
        <f t="shared" si="131"/>
        <v>0</v>
      </c>
    </row>
    <row r="311" spans="1:79" x14ac:dyDescent="0.25">
      <c r="A311" s="224" t="s">
        <v>625</v>
      </c>
      <c r="B311" s="210" t="s">
        <v>626</v>
      </c>
      <c r="C311" s="121">
        <f>VLOOKUP($B311,'Tillförd energi'!$B$1:$AI$720,MATCH(C$1,'Tillförd energi'!$B$1:$AQ$1,0),FALSE)</f>
        <v>0</v>
      </c>
      <c r="D311" s="121">
        <f>VLOOKUP($B311,'Tillförd energi'!$B$1:$AI$720,MATCH(D$1,'Tillförd energi'!$B$1:$AQ$1,0),FALSE)</f>
        <v>0</v>
      </c>
      <c r="E311" s="121">
        <f>VLOOKUP($B311,'Tillförd energi'!$B$1:$AI$720,MATCH(E$1,'Tillförd energi'!$B$1:$AQ$1,0),FALSE)</f>
        <v>0</v>
      </c>
      <c r="F311" s="121">
        <f>VLOOKUP($B311,'Tillförd energi'!$B$1:$AI$720,MATCH(F$1,'Tillförd energi'!$B$1:$AQ$1,0),FALSE)</f>
        <v>0</v>
      </c>
      <c r="G311" s="121">
        <f>VLOOKUP($B311,'Tillförd energi'!$B$1:$AI$720,MATCH(G$1,'Tillförd energi'!$B$1:$AQ$1,0),FALSE)</f>
        <v>0</v>
      </c>
      <c r="H311" s="121">
        <f>VLOOKUP($B311,'Tillförd energi'!$B$1:$AI$720,MATCH(H$1,'Tillförd energi'!$B$1:$AQ$1,0),FALSE)</f>
        <v>0</v>
      </c>
      <c r="I311" s="121">
        <f>VLOOKUP($B311,'Tillförd energi'!$B$1:$AI$720,MATCH(I$1,'Tillförd energi'!$B$1:$AQ$1,0),FALSE)</f>
        <v>0</v>
      </c>
      <c r="J311" s="121">
        <f>VLOOKUP($B311,'Tillförd energi'!$B$1:$AI$720,MATCH(J$1,'Tillförd energi'!$B$1:$AQ$1,0),FALSE)</f>
        <v>0</v>
      </c>
      <c r="K311" s="121">
        <f>VLOOKUP($B311,'Tillförd energi'!$B$1:$AI$720,MATCH(K$1,'Tillförd energi'!$B$1:$AQ$1,0),FALSE)</f>
        <v>0</v>
      </c>
      <c r="L311" s="121">
        <f>VLOOKUP($B311,'Tillförd energi'!$B$1:$AI$720,MATCH(L$1,'Tillförd energi'!$B$1:$AQ$1,0),FALSE)</f>
        <v>0</v>
      </c>
      <c r="M311" s="121">
        <f>VLOOKUP($B311,'Tillförd energi'!$B$1:$AI$720,MATCH(M$1,'Tillförd energi'!$B$1:$AQ$1,0),FALSE)</f>
        <v>0</v>
      </c>
      <c r="N311" s="121">
        <f>VLOOKUP($B311,'Tillförd energi'!$B$1:$AI$720,MATCH(N$1,'Tillförd energi'!$B$1:$AQ$1,0),FALSE)</f>
        <v>0</v>
      </c>
      <c r="O311" s="121">
        <f>VLOOKUP($B311,'Tillförd energi'!$B$1:$AI$720,MATCH(O$1,'Tillförd energi'!$B$1:$AQ$1,0),FALSE)</f>
        <v>0</v>
      </c>
      <c r="P311" s="121">
        <f>VLOOKUP($B311,'Tillförd energi'!$B$1:$AI$720,MATCH(P$1,'Tillförd energi'!$B$1:$AQ$1,0),FALSE)</f>
        <v>0</v>
      </c>
      <c r="Q311" s="121">
        <f>VLOOKUP($B311,'Tillförd energi'!$B$1:$AI$720,MATCH(Q$1,'Tillförd energi'!$B$1:$AQ$1,0),FALSE)</f>
        <v>0</v>
      </c>
      <c r="R311" s="121">
        <f>VLOOKUP($B311,'Tillförd energi'!$B$1:$AI$720,MATCH(R$1,'Tillförd energi'!$B$1:$AQ$1,0),FALSE)</f>
        <v>5.4180000000000001</v>
      </c>
      <c r="S311" s="121">
        <f>VLOOKUP($B311,'Tillförd energi'!$B$1:$AI$720,MATCH(S$1,'Tillförd energi'!$B$1:$AQ$1,0),FALSE)</f>
        <v>0</v>
      </c>
      <c r="T311" s="121">
        <f>VLOOKUP($B311,'Tillförd energi'!$B$1:$AI$720,MATCH(T$1,'Tillförd energi'!$B$1:$AQ$1,0),FALSE)</f>
        <v>0</v>
      </c>
      <c r="U311" s="121">
        <f>VLOOKUP($B311,'Tillförd energi'!$B$1:$AI$720,MATCH(U$1,'Tillförd energi'!$B$1:$AQ$1,0),FALSE)</f>
        <v>0</v>
      </c>
      <c r="V311" s="121">
        <f>VLOOKUP($B311,'Tillförd energi'!$B$1:$AI$720,MATCH(V$1,'Tillförd energi'!$B$1:$AQ$1,0),FALSE)</f>
        <v>0</v>
      </c>
      <c r="W311" s="121">
        <f>VLOOKUP($B311,'Tillförd energi'!$B$1:$AI$720,MATCH(W$1,'Tillförd energi'!$B$1:$AQ$1,0),FALSE)</f>
        <v>6.7000000000000004E-2</v>
      </c>
      <c r="X311" s="121">
        <f>VLOOKUP($B311,'Tillförd energi'!$B$1:$AI$720,MATCH(X$1,'Tillförd energi'!$B$1:$AQ$1,0),FALSE)</f>
        <v>0</v>
      </c>
      <c r="Y311" s="121">
        <f>VLOOKUP($B311,'Tillförd energi'!$B$1:$AI$720,MATCH(Y$1,'Tillförd energi'!$B$1:$AQ$1,0),FALSE)</f>
        <v>0</v>
      </c>
      <c r="Z311" s="121">
        <f>VLOOKUP($B311,'Tillförd energi'!$B$1:$AI$720,MATCH(Z$1,'Tillförd energi'!$B$1:$AQ$1,0),FALSE)</f>
        <v>0</v>
      </c>
      <c r="AA311" s="121">
        <f>VLOOKUP($B311,'Tillförd energi'!$B$1:$AI$720,MATCH(AA$1,'Tillförd energi'!$B$1:$AQ$1,0),FALSE)</f>
        <v>0</v>
      </c>
      <c r="AB311" s="121">
        <f>VLOOKUP($B311,'Tillförd energi'!$B$1:$AI$720,MATCH(AB$1,'Tillförd energi'!$B$1:$AQ$1,0),FALSE)</f>
        <v>0</v>
      </c>
      <c r="AC311" s="121">
        <f>VLOOKUP($B311,'Tillförd energi'!$B$1:$AI$720,MATCH(AC$1,'Tillförd energi'!$B$1:$AQ$1,0),FALSE)</f>
        <v>0</v>
      </c>
      <c r="AD311" s="121">
        <f>VLOOKUP($B311,'Tillförd energi'!$B$1:$AI$720,MATCH(AD$1,'Tillförd energi'!$B$1:$AQ$1,0),FALSE)</f>
        <v>0</v>
      </c>
      <c r="AE311" s="121">
        <f>VLOOKUP($B311,'Tillförd energi'!$B$1:$AI$720,MATCH(AE$1,'Tillförd energi'!$B$1:$AQ$1,0),FALSE)</f>
        <v>0</v>
      </c>
      <c r="AF311" s="121">
        <f>VLOOKUP($B311,'Tillförd energi'!$B$1:$AI$720,MATCH(AF$1,'Tillförd energi'!$B$1:$AQ$1,0),FALSE)</f>
        <v>9.887E-2</v>
      </c>
      <c r="AG311" s="121">
        <f>IFERROR(VLOOKUP(B311,Miljö!$B$1:$AC$550,MATCH("Köpt mängd produktionsspecifik fjärrvärme:",Miljö!$B$1:$AC$1,0),FALSE)/1,0)</f>
        <v>0</v>
      </c>
      <c r="AH311" s="121"/>
      <c r="AI311" s="121">
        <f t="shared" si="110"/>
        <v>5.5838700000000001</v>
      </c>
      <c r="AJ311" s="121">
        <f t="shared" si="111"/>
        <v>5.5838700000000001</v>
      </c>
      <c r="AK311" s="121">
        <f>IF(ISERROR(1/VLOOKUP($B311,Leveranser!$B$1:$S$499,MATCH("såld värme (gwh)",Leveranser!$B$1:$S$1,0),FALSE)),"",VLOOKUP($B311,Leveranser!$B$1:$S$499,MATCH("såld värme (gwh)",Leveranser!$B$1:$S$1,0),FALSE))</f>
        <v>4.2690000000000001</v>
      </c>
      <c r="AL311" s="121">
        <f>VLOOKUP($B311,Leveranser!$B$1:$Y$499,MATCH("Totalt såld fjärrvärme till andra fjärrvärmeföretag",Leveranser!$B$1:$AA$1,0),FALSE)</f>
        <v>0</v>
      </c>
      <c r="AM311" s="121">
        <f>IF(ISERROR(1/VLOOKUP($B311,Miljö!$B$1:$S$500,MATCH("Såld mängd produktionsspecifik fjärrvärme (GWh)",Miljö!$B$1:$R$1,0),FALSE)),0,VLOOKUP($B311,Miljö!$B$1:$S$500,MATCH("Såld mängd produktionsspecifik fjärrvärme (GWh)",Miljö!$B$1:$R$1,0),FALSE))</f>
        <v>0</v>
      </c>
      <c r="AN311" s="172">
        <f t="shared" si="112"/>
        <v>0.7645235293801611</v>
      </c>
      <c r="AO311" s="121"/>
      <c r="AP311" s="121" t="str">
        <f>IFERROR(VLOOKUP($B311,Miljövärden!$B$2:$H$550,7,FALSE),"Nej, saknas")</f>
        <v>Ja</v>
      </c>
      <c r="AQ311" s="121" t="str">
        <f>IFERROR(VLOOKUP($B311,Miljövärden!$B$2:$H$550,6,FALSE),"Nej, saknas")</f>
        <v>Ja</v>
      </c>
      <c r="AU311">
        <f t="shared" si="113"/>
        <v>9.887E-2</v>
      </c>
      <c r="AV311">
        <f t="shared" si="114"/>
        <v>0</v>
      </c>
      <c r="AW311">
        <f t="shared" si="115"/>
        <v>0</v>
      </c>
      <c r="AX311">
        <f t="shared" si="116"/>
        <v>5.4180000000000001</v>
      </c>
      <c r="AZ311">
        <f t="shared" si="117"/>
        <v>5.4850000000000003</v>
      </c>
      <c r="BC311">
        <f t="shared" si="118"/>
        <v>0</v>
      </c>
      <c r="BD311">
        <f t="shared" si="119"/>
        <v>0</v>
      </c>
      <c r="BE311">
        <f t="shared" si="120"/>
        <v>5.4850000000000003</v>
      </c>
      <c r="BF311">
        <f t="shared" si="121"/>
        <v>0</v>
      </c>
      <c r="BG311">
        <f t="shared" si="122"/>
        <v>9.887E-2</v>
      </c>
      <c r="BH311">
        <f>VLOOKUP(B311,Miljö!$B$1:$BX$482,MATCH("Fossilandel för ursprungspecificerad el ()",Miljö!$B$1:$I$1,0),FALSE)</f>
        <v>0.43</v>
      </c>
      <c r="BI311">
        <f>VLOOKUP(B311,Miljö!$B$1:$BX$482,MATCH("Kärnkraftsandel för ursprungsspecificerad el ()",Miljö!$B$1:$O$1,0),FALSE)</f>
        <v>0.40550000000000003</v>
      </c>
      <c r="BJ311">
        <f t="shared" si="123"/>
        <v>0</v>
      </c>
      <c r="BK311" t="str">
        <f>VLOOKUP(B311,Miljö!$B$1:$O$482,MATCH("Fossil andel i procent (%)",Miljö!$B$1:$O$1,0),FALSE)</f>
        <v>ET</v>
      </c>
      <c r="BL311">
        <f t="shared" si="124"/>
        <v>5.5838700000000001</v>
      </c>
      <c r="BO311" s="18">
        <f t="shared" si="125"/>
        <v>7.6137338440902093E-3</v>
      </c>
      <c r="BP311" s="18">
        <f t="shared" si="126"/>
        <v>7.1799280785548383E-3</v>
      </c>
      <c r="BQ311" s="18">
        <f t="shared" si="127"/>
        <v>0.98520633807735503</v>
      </c>
      <c r="BR311" s="18">
        <f t="shared" si="128"/>
        <v>0</v>
      </c>
      <c r="BT311" s="27">
        <f t="shared" si="129"/>
        <v>1</v>
      </c>
      <c r="BW311" s="18">
        <f>IF(AP311="ja",VLOOKUP(B311,Miljövärden!$B$2:$H$550,MATCH("Total andel fossilt",Miljövärden!$B$2:$H$2,0),FALSE),"")</f>
        <v>7.61373E-3</v>
      </c>
      <c r="BZ311" s="28">
        <f t="shared" si="130"/>
        <v>-3.8440902093428431E-9</v>
      </c>
      <c r="CA311" s="28">
        <f t="shared" si="131"/>
        <v>0</v>
      </c>
    </row>
    <row r="312" spans="1:79" x14ac:dyDescent="0.25">
      <c r="A312" s="224" t="s">
        <v>625</v>
      </c>
      <c r="B312" s="210" t="s">
        <v>627</v>
      </c>
      <c r="C312" s="121">
        <f>VLOOKUP($B312,'Tillförd energi'!$B$1:$AI$720,MATCH(C$1,'Tillförd energi'!$B$1:$AQ$1,0),FALSE)</f>
        <v>0</v>
      </c>
      <c r="D312" s="121">
        <f>VLOOKUP($B312,'Tillförd energi'!$B$1:$AI$720,MATCH(D$1,'Tillförd energi'!$B$1:$AQ$1,0),FALSE)</f>
        <v>0</v>
      </c>
      <c r="E312" s="121">
        <f>VLOOKUP($B312,'Tillförd energi'!$B$1:$AI$720,MATCH(E$1,'Tillförd energi'!$B$1:$AQ$1,0),FALSE)</f>
        <v>0</v>
      </c>
      <c r="F312" s="121">
        <f>VLOOKUP($B312,'Tillförd energi'!$B$1:$AI$720,MATCH(F$1,'Tillförd energi'!$B$1:$AQ$1,0),FALSE)</f>
        <v>0</v>
      </c>
      <c r="G312" s="121">
        <f>VLOOKUP($B312,'Tillförd energi'!$B$1:$AI$720,MATCH(G$1,'Tillförd energi'!$B$1:$AQ$1,0),FALSE)</f>
        <v>0</v>
      </c>
      <c r="H312" s="121">
        <f>VLOOKUP($B312,'Tillförd energi'!$B$1:$AI$720,MATCH(H$1,'Tillförd energi'!$B$1:$AQ$1,0),FALSE)</f>
        <v>0</v>
      </c>
      <c r="I312" s="121">
        <f>VLOOKUP($B312,'Tillförd energi'!$B$1:$AI$720,MATCH(I$1,'Tillförd energi'!$B$1:$AQ$1,0),FALSE)</f>
        <v>0</v>
      </c>
      <c r="J312" s="121">
        <f>VLOOKUP($B312,'Tillförd energi'!$B$1:$AI$720,MATCH(J$1,'Tillförd energi'!$B$1:$AQ$1,0),FALSE)</f>
        <v>0</v>
      </c>
      <c r="K312" s="121">
        <f>VLOOKUP($B312,'Tillförd energi'!$B$1:$AI$720,MATCH(K$1,'Tillförd energi'!$B$1:$AQ$1,0),FALSE)</f>
        <v>0</v>
      </c>
      <c r="L312" s="121">
        <f>VLOOKUP($B312,'Tillförd energi'!$B$1:$AI$720,MATCH(L$1,'Tillförd energi'!$B$1:$AQ$1,0),FALSE)</f>
        <v>0</v>
      </c>
      <c r="M312" s="121">
        <f>VLOOKUP($B312,'Tillförd energi'!$B$1:$AI$720,MATCH(M$1,'Tillförd energi'!$B$1:$AQ$1,0),FALSE)</f>
        <v>0</v>
      </c>
      <c r="N312" s="121">
        <f>VLOOKUP($B312,'Tillförd energi'!$B$1:$AI$720,MATCH(N$1,'Tillförd energi'!$B$1:$AQ$1,0),FALSE)</f>
        <v>0</v>
      </c>
      <c r="O312" s="121">
        <f>VLOOKUP($B312,'Tillförd energi'!$B$1:$AI$720,MATCH(O$1,'Tillförd energi'!$B$1:$AQ$1,0),FALSE)</f>
        <v>0</v>
      </c>
      <c r="P312" s="121">
        <f>VLOOKUP($B312,'Tillförd energi'!$B$1:$AI$720,MATCH(P$1,'Tillförd energi'!$B$1:$AQ$1,0),FALSE)</f>
        <v>2.593</v>
      </c>
      <c r="Q312" s="121">
        <f>VLOOKUP($B312,'Tillförd energi'!$B$1:$AI$720,MATCH(Q$1,'Tillförd energi'!$B$1:$AQ$1,0),FALSE)</f>
        <v>0</v>
      </c>
      <c r="R312" s="121">
        <f>VLOOKUP($B312,'Tillförd energi'!$B$1:$AI$720,MATCH(R$1,'Tillförd energi'!$B$1:$AQ$1,0),FALSE)</f>
        <v>6.3680000000000003</v>
      </c>
      <c r="S312" s="121">
        <f>VLOOKUP($B312,'Tillförd energi'!$B$1:$AI$720,MATCH(S$1,'Tillförd energi'!$B$1:$AQ$1,0),FALSE)</f>
        <v>0</v>
      </c>
      <c r="T312" s="121">
        <f>VLOOKUP($B312,'Tillförd energi'!$B$1:$AI$720,MATCH(T$1,'Tillförd energi'!$B$1:$AQ$1,0),FALSE)</f>
        <v>0</v>
      </c>
      <c r="U312" s="121">
        <f>VLOOKUP($B312,'Tillförd energi'!$B$1:$AI$720,MATCH(U$1,'Tillförd energi'!$B$1:$AQ$1,0),FALSE)</f>
        <v>0</v>
      </c>
      <c r="V312" s="121">
        <f>VLOOKUP($B312,'Tillförd energi'!$B$1:$AI$720,MATCH(V$1,'Tillförd energi'!$B$1:$AQ$1,0),FALSE)</f>
        <v>0</v>
      </c>
      <c r="W312" s="121">
        <f>VLOOKUP($B312,'Tillförd energi'!$B$1:$AI$720,MATCH(W$1,'Tillförd energi'!$B$1:$AQ$1,0),FALSE)</f>
        <v>0.28100000000000003</v>
      </c>
      <c r="X312" s="121">
        <f>VLOOKUP($B312,'Tillförd energi'!$B$1:$AI$720,MATCH(X$1,'Tillförd energi'!$B$1:$AQ$1,0),FALSE)</f>
        <v>0</v>
      </c>
      <c r="Y312" s="121">
        <f>VLOOKUP($B312,'Tillförd energi'!$B$1:$AI$720,MATCH(Y$1,'Tillförd energi'!$B$1:$AQ$1,0),FALSE)</f>
        <v>0</v>
      </c>
      <c r="Z312" s="121">
        <f>VLOOKUP($B312,'Tillförd energi'!$B$1:$AI$720,MATCH(Z$1,'Tillförd energi'!$B$1:$AQ$1,0),FALSE)</f>
        <v>0</v>
      </c>
      <c r="AA312" s="121">
        <f>VLOOKUP($B312,'Tillförd energi'!$B$1:$AI$720,MATCH(AA$1,'Tillförd energi'!$B$1:$AQ$1,0),FALSE)</f>
        <v>0</v>
      </c>
      <c r="AB312" s="121">
        <f>VLOOKUP($B312,'Tillförd energi'!$B$1:$AI$720,MATCH(AB$1,'Tillförd energi'!$B$1:$AQ$1,0),FALSE)</f>
        <v>0</v>
      </c>
      <c r="AC312" s="121">
        <f>VLOOKUP($B312,'Tillförd energi'!$B$1:$AI$720,MATCH(AC$1,'Tillförd energi'!$B$1:$AQ$1,0),FALSE)</f>
        <v>0</v>
      </c>
      <c r="AD312" s="121">
        <f>VLOOKUP($B312,'Tillförd energi'!$B$1:$AI$720,MATCH(AD$1,'Tillförd energi'!$B$1:$AQ$1,0),FALSE)</f>
        <v>0</v>
      </c>
      <c r="AE312" s="121">
        <f>VLOOKUP($B312,'Tillförd energi'!$B$1:$AI$720,MATCH(AE$1,'Tillförd energi'!$B$1:$AQ$1,0),FALSE)</f>
        <v>0</v>
      </c>
      <c r="AF312" s="121">
        <f>VLOOKUP($B312,'Tillförd energi'!$B$1:$AI$720,MATCH(AF$1,'Tillförd energi'!$B$1:$AQ$1,0),FALSE)</f>
        <v>0.14000000000000001</v>
      </c>
      <c r="AG312" s="121">
        <f>IFERROR(VLOOKUP(B312,Miljö!$B$1:$AC$550,MATCH("Köpt mängd produktionsspecifik fjärrvärme:",Miljö!$B$1:$AC$1,0),FALSE)/1,0)</f>
        <v>0</v>
      </c>
      <c r="AH312" s="121"/>
      <c r="AI312" s="121">
        <f t="shared" si="110"/>
        <v>9.3820000000000014</v>
      </c>
      <c r="AJ312" s="121">
        <f t="shared" si="111"/>
        <v>9.3820000000000014</v>
      </c>
      <c r="AK312" s="121">
        <f>IF(ISERROR(1/VLOOKUP($B312,Leveranser!$B$1:$S$499,MATCH("såld värme (gwh)",Leveranser!$B$1:$S$1,0),FALSE)),"",VLOOKUP($B312,Leveranser!$B$1:$S$499,MATCH("såld värme (gwh)",Leveranser!$B$1:$S$1,0),FALSE))</f>
        <v>7.0449999999999999</v>
      </c>
      <c r="AL312" s="121">
        <f>VLOOKUP($B312,Leveranser!$B$1:$Y$499,MATCH("Totalt såld fjärrvärme till andra fjärrvärmeföretag",Leveranser!$B$1:$AA$1,0),FALSE)</f>
        <v>0</v>
      </c>
      <c r="AM312" s="121">
        <f>IF(ISERROR(1/VLOOKUP($B312,Miljö!$B$1:$S$500,MATCH("Såld mängd produktionsspecifik fjärrvärme (GWh)",Miljö!$B$1:$R$1,0),FALSE)),0,VLOOKUP($B312,Miljö!$B$1:$S$500,MATCH("Såld mängd produktionsspecifik fjärrvärme (GWh)",Miljö!$B$1:$R$1,0),FALSE))</f>
        <v>0</v>
      </c>
      <c r="AN312" s="172">
        <f t="shared" si="112"/>
        <v>0.7509059901939884</v>
      </c>
      <c r="AO312" s="121"/>
      <c r="AP312" s="121" t="str">
        <f>IFERROR(VLOOKUP($B312,Miljövärden!$B$2:$H$550,7,FALSE),"Nej, saknas")</f>
        <v>Ja</v>
      </c>
      <c r="AQ312" s="121" t="str">
        <f>IFERROR(VLOOKUP($B312,Miljövärden!$B$2:$H$550,6,FALSE),"Nej, saknas")</f>
        <v>Ja</v>
      </c>
      <c r="AU312">
        <f t="shared" si="113"/>
        <v>0.14000000000000001</v>
      </c>
      <c r="AV312">
        <f t="shared" si="114"/>
        <v>0</v>
      </c>
      <c r="AW312">
        <f t="shared" si="115"/>
        <v>2.593</v>
      </c>
      <c r="AX312">
        <f t="shared" si="116"/>
        <v>6.3680000000000003</v>
      </c>
      <c r="AZ312">
        <f t="shared" si="117"/>
        <v>9.2420000000000009</v>
      </c>
      <c r="BC312">
        <f t="shared" si="118"/>
        <v>0</v>
      </c>
      <c r="BD312">
        <f t="shared" si="119"/>
        <v>0</v>
      </c>
      <c r="BE312">
        <f t="shared" si="120"/>
        <v>9.2420000000000009</v>
      </c>
      <c r="BF312">
        <f t="shared" si="121"/>
        <v>0</v>
      </c>
      <c r="BG312">
        <f t="shared" si="122"/>
        <v>0.14000000000000001</v>
      </c>
      <c r="BH312">
        <f>VLOOKUP(B312,Miljö!$B$1:$BX$482,MATCH("Fossilandel för ursprungspecificerad el ()",Miljö!$B$1:$I$1,0),FALSE)</f>
        <v>0.43</v>
      </c>
      <c r="BI312">
        <f>VLOOKUP(B312,Miljö!$B$1:$BX$482,MATCH("Kärnkraftsandel för ursprungsspecificerad el ()",Miljö!$B$1:$O$1,0),FALSE)</f>
        <v>0.40550000000000003</v>
      </c>
      <c r="BJ312">
        <f t="shared" si="123"/>
        <v>0</v>
      </c>
      <c r="BK312" t="str">
        <f>VLOOKUP(B312,Miljö!$B$1:$O$482,MATCH("Fossil andel i procent (%)",Miljö!$B$1:$O$1,0),FALSE)</f>
        <v>ET</v>
      </c>
      <c r="BL312">
        <f t="shared" si="124"/>
        <v>9.3820000000000014</v>
      </c>
      <c r="BO312" s="18">
        <f t="shared" si="125"/>
        <v>6.4165423150714124E-3</v>
      </c>
      <c r="BP312" s="18">
        <f t="shared" si="126"/>
        <v>6.0509486250266463E-3</v>
      </c>
      <c r="BQ312" s="18">
        <f t="shared" si="127"/>
        <v>0.98753250905990186</v>
      </c>
      <c r="BR312" s="18">
        <f t="shared" si="128"/>
        <v>0</v>
      </c>
      <c r="BT312" s="27">
        <f t="shared" si="129"/>
        <v>0.99999999999999989</v>
      </c>
      <c r="BW312" s="18">
        <f>IF(AP312="ja",VLOOKUP(B312,Miljövärden!$B$2:$H$550,MATCH("Total andel fossilt",Miljövärden!$B$2:$H$2,0),FALSE),"")</f>
        <v>6.4165400000000001E-3</v>
      </c>
      <c r="BZ312" s="28">
        <f t="shared" si="130"/>
        <v>-2.3150714123509886E-9</v>
      </c>
      <c r="CA312" s="28">
        <f t="shared" si="131"/>
        <v>0</v>
      </c>
    </row>
    <row r="313" spans="1:79" x14ac:dyDescent="0.25">
      <c r="A313" s="224" t="s">
        <v>625</v>
      </c>
      <c r="B313" s="210" t="s">
        <v>628</v>
      </c>
      <c r="C313" s="121">
        <f>VLOOKUP($B313,'Tillförd energi'!$B$1:$AI$720,MATCH(C$1,'Tillförd energi'!$B$1:$AQ$1,0),FALSE)</f>
        <v>0</v>
      </c>
      <c r="D313" s="121">
        <f>VLOOKUP($B313,'Tillförd energi'!$B$1:$AI$720,MATCH(D$1,'Tillförd energi'!$B$1:$AQ$1,0),FALSE)</f>
        <v>0.60908300000000004</v>
      </c>
      <c r="E313" s="121">
        <f>VLOOKUP($B313,'Tillförd energi'!$B$1:$AI$720,MATCH(E$1,'Tillförd energi'!$B$1:$AQ$1,0),FALSE)</f>
        <v>0</v>
      </c>
      <c r="F313" s="121">
        <f>VLOOKUP($B313,'Tillförd energi'!$B$1:$AI$720,MATCH(F$1,'Tillförd energi'!$B$1:$AQ$1,0),FALSE)</f>
        <v>0</v>
      </c>
      <c r="G313" s="121">
        <f>VLOOKUP($B313,'Tillförd energi'!$B$1:$AI$720,MATCH(G$1,'Tillförd energi'!$B$1:$AQ$1,0),FALSE)</f>
        <v>0</v>
      </c>
      <c r="H313" s="121">
        <f>VLOOKUP($B313,'Tillförd energi'!$B$1:$AI$720,MATCH(H$1,'Tillförd energi'!$B$1:$AQ$1,0),FALSE)</f>
        <v>0</v>
      </c>
      <c r="I313" s="121">
        <f>VLOOKUP($B313,'Tillförd energi'!$B$1:$AI$720,MATCH(I$1,'Tillförd energi'!$B$1:$AQ$1,0),FALSE)</f>
        <v>170.178</v>
      </c>
      <c r="J313" s="121">
        <f>VLOOKUP($B313,'Tillförd energi'!$B$1:$AI$720,MATCH(J$1,'Tillförd energi'!$B$1:$AQ$1,0),FALSE)</f>
        <v>0</v>
      </c>
      <c r="K313" s="121">
        <f>VLOOKUP($B313,'Tillförd energi'!$B$1:$AI$720,MATCH(K$1,'Tillförd energi'!$B$1:$AQ$1,0),FALSE)</f>
        <v>0</v>
      </c>
      <c r="L313" s="121">
        <f>VLOOKUP($B313,'Tillförd energi'!$B$1:$AI$720,MATCH(L$1,'Tillförd energi'!$B$1:$AQ$1,0),FALSE)</f>
        <v>19.2532</v>
      </c>
      <c r="M313" s="121">
        <f>VLOOKUP($B313,'Tillförd energi'!$B$1:$AI$720,MATCH(M$1,'Tillförd energi'!$B$1:$AQ$1,0),FALSE)</f>
        <v>0</v>
      </c>
      <c r="N313" s="121">
        <f>VLOOKUP($B313,'Tillförd energi'!$B$1:$AI$720,MATCH(N$1,'Tillförd energi'!$B$1:$AQ$1,0),FALSE)</f>
        <v>0</v>
      </c>
      <c r="O313" s="121">
        <f>VLOOKUP($B313,'Tillförd energi'!$B$1:$AI$720,MATCH(O$1,'Tillförd energi'!$B$1:$AQ$1,0),FALSE)</f>
        <v>0</v>
      </c>
      <c r="P313" s="121">
        <f>VLOOKUP($B313,'Tillförd energi'!$B$1:$AI$720,MATCH(P$1,'Tillförd energi'!$B$1:$AQ$1,0),FALSE)</f>
        <v>50.084000000000003</v>
      </c>
      <c r="Q313" s="121">
        <f>VLOOKUP($B313,'Tillförd energi'!$B$1:$AI$720,MATCH(Q$1,'Tillförd energi'!$B$1:$AQ$1,0),FALSE)</f>
        <v>0</v>
      </c>
      <c r="R313" s="121">
        <f>VLOOKUP($B313,'Tillförd energi'!$B$1:$AI$720,MATCH(R$1,'Tillförd energi'!$B$1:$AQ$1,0),FALSE)</f>
        <v>0</v>
      </c>
      <c r="S313" s="121">
        <f>VLOOKUP($B313,'Tillförd energi'!$B$1:$AI$720,MATCH(S$1,'Tillförd energi'!$B$1:$AQ$1,0),FALSE)</f>
        <v>0</v>
      </c>
      <c r="T313" s="121">
        <f>VLOOKUP($B313,'Tillförd energi'!$B$1:$AI$720,MATCH(T$1,'Tillförd energi'!$B$1:$AQ$1,0),FALSE)</f>
        <v>0</v>
      </c>
      <c r="U313" s="121">
        <f>VLOOKUP($B313,'Tillförd energi'!$B$1:$AI$720,MATCH(U$1,'Tillförd energi'!$B$1:$AQ$1,0),FALSE)</f>
        <v>0.97643599999999997</v>
      </c>
      <c r="V313" s="121">
        <f>VLOOKUP($B313,'Tillförd energi'!$B$1:$AI$720,MATCH(V$1,'Tillförd energi'!$B$1:$AQ$1,0),FALSE)</f>
        <v>0</v>
      </c>
      <c r="W313" s="121">
        <f>VLOOKUP($B313,'Tillförd energi'!$B$1:$AI$720,MATCH(W$1,'Tillförd energi'!$B$1:$AQ$1,0),FALSE)</f>
        <v>1.4239999999999999</v>
      </c>
      <c r="X313" s="121">
        <f>VLOOKUP($B313,'Tillförd energi'!$B$1:$AI$720,MATCH(X$1,'Tillförd energi'!$B$1:$AQ$1,0),FALSE)</f>
        <v>0</v>
      </c>
      <c r="Y313" s="121">
        <f>VLOOKUP($B313,'Tillförd energi'!$B$1:$AI$720,MATCH(Y$1,'Tillförd energi'!$B$1:$AQ$1,0),FALSE)</f>
        <v>31.010999999999999</v>
      </c>
      <c r="Z313" s="121">
        <f>VLOOKUP($B313,'Tillförd energi'!$B$1:$AI$720,MATCH(Z$1,'Tillförd energi'!$B$1:$AQ$1,0),FALSE)</f>
        <v>0</v>
      </c>
      <c r="AA313" s="121">
        <f>VLOOKUP($B313,'Tillförd energi'!$B$1:$AI$720,MATCH(AA$1,'Tillförd energi'!$B$1:$AQ$1,0),FALSE)</f>
        <v>0</v>
      </c>
      <c r="AB313" s="121">
        <f>VLOOKUP($B313,'Tillförd energi'!$B$1:$AI$720,MATCH(AB$1,'Tillförd energi'!$B$1:$AQ$1,0),FALSE)</f>
        <v>0</v>
      </c>
      <c r="AC313" s="121">
        <f>VLOOKUP($B313,'Tillförd energi'!$B$1:$AI$720,MATCH(AC$1,'Tillförd energi'!$B$1:$AQ$1,0),FALSE)</f>
        <v>60.545999999999999</v>
      </c>
      <c r="AD313" s="121">
        <f>VLOOKUP($B313,'Tillförd energi'!$B$1:$AI$720,MATCH(AD$1,'Tillförd energi'!$B$1:$AQ$1,0),FALSE)</f>
        <v>0</v>
      </c>
      <c r="AE313" s="121">
        <f>VLOOKUP($B313,'Tillförd energi'!$B$1:$AI$720,MATCH(AE$1,'Tillförd energi'!$B$1:$AQ$1,0),FALSE)</f>
        <v>0</v>
      </c>
      <c r="AF313" s="121">
        <f>VLOOKUP($B313,'Tillförd energi'!$B$1:$AI$720,MATCH(AF$1,'Tillförd energi'!$B$1:$AQ$1,0),FALSE)</f>
        <v>11.280799999999999</v>
      </c>
      <c r="AG313" s="121">
        <f>IFERROR(VLOOKUP(B313,Miljö!$B$1:$AC$550,MATCH("Köpt mängd produktionsspecifik fjärrvärme:",Miljö!$B$1:$AC$1,0),FALSE)/1,0)</f>
        <v>0</v>
      </c>
      <c r="AH313" s="121"/>
      <c r="AI313" s="121">
        <f t="shared" si="110"/>
        <v>345.36251900000002</v>
      </c>
      <c r="AJ313" s="121">
        <f t="shared" si="111"/>
        <v>345.36251900000002</v>
      </c>
      <c r="AK313" s="121">
        <f>IF(ISERROR(1/VLOOKUP($B313,Leveranser!$B$1:$S$499,MATCH("såld värme (gwh)",Leveranser!$B$1:$S$1,0),FALSE)),"",VLOOKUP($B313,Leveranser!$B$1:$S$499,MATCH("såld värme (gwh)",Leveranser!$B$1:$S$1,0),FALSE))</f>
        <v>302</v>
      </c>
      <c r="AL313" s="121">
        <f>VLOOKUP($B313,Leveranser!$B$1:$Y$499,MATCH("Totalt såld fjärrvärme till andra fjärrvärmeföretag",Leveranser!$B$1:$AA$1,0),FALSE)</f>
        <v>0</v>
      </c>
      <c r="AM313" s="121">
        <f>IF(ISERROR(1/VLOOKUP($B313,Miljö!$B$1:$S$500,MATCH("Såld mängd produktionsspecifik fjärrvärme (GWh)",Miljö!$B$1:$R$1,0),FALSE)),0,VLOOKUP($B313,Miljö!$B$1:$S$500,MATCH("Såld mängd produktionsspecifik fjärrvärme (GWh)",Miljö!$B$1:$R$1,0),FALSE))</f>
        <v>0</v>
      </c>
      <c r="AN313" s="172">
        <f t="shared" si="112"/>
        <v>0.87444347138318157</v>
      </c>
      <c r="AO313" s="121"/>
      <c r="AP313" s="121" t="str">
        <f>IFERROR(VLOOKUP($B313,Miljövärden!$B$2:$H$550,7,FALSE),"Nej, saknas")</f>
        <v>Ja</v>
      </c>
      <c r="AQ313" s="121" t="str">
        <f>IFERROR(VLOOKUP($B313,Miljövärden!$B$2:$H$550,6,FALSE),"Nej, saknas")</f>
        <v>Ja</v>
      </c>
      <c r="AU313">
        <f t="shared" si="113"/>
        <v>11.280799999999999</v>
      </c>
      <c r="AV313">
        <f t="shared" si="114"/>
        <v>0</v>
      </c>
      <c r="AW313">
        <f t="shared" si="115"/>
        <v>50.084000000000003</v>
      </c>
      <c r="AX313">
        <f t="shared" si="116"/>
        <v>0.97643599999999997</v>
      </c>
      <c r="AZ313">
        <f t="shared" si="117"/>
        <v>71.737636000000009</v>
      </c>
      <c r="BC313">
        <f t="shared" si="118"/>
        <v>0.60908300000000004</v>
      </c>
      <c r="BD313">
        <f t="shared" si="119"/>
        <v>31.010999999999999</v>
      </c>
      <c r="BE313">
        <f t="shared" si="120"/>
        <v>52.484436000000002</v>
      </c>
      <c r="BF313">
        <f t="shared" si="121"/>
        <v>249.97719999999998</v>
      </c>
      <c r="BG313">
        <f t="shared" si="122"/>
        <v>11.280799999999999</v>
      </c>
      <c r="BH313">
        <f>VLOOKUP(B313,Miljö!$B$1:$BX$482,MATCH("Fossilandel för ursprungspecificerad el ()",Miljö!$B$1:$I$1,0),FALSE)</f>
        <v>0.43</v>
      </c>
      <c r="BI313">
        <f>VLOOKUP(B313,Miljö!$B$1:$BX$482,MATCH("Kärnkraftsandel för ursprungsspecificerad el ()",Miljö!$B$1:$O$1,0),FALSE)</f>
        <v>0.40550000000000003</v>
      </c>
      <c r="BJ313">
        <f t="shared" si="123"/>
        <v>0</v>
      </c>
      <c r="BK313" t="str">
        <f>VLOOKUP(B313,Miljö!$B$1:$O$482,MATCH("Fossil andel i procent (%)",Miljö!$B$1:$O$1,0),FALSE)</f>
        <v>ET</v>
      </c>
      <c r="BL313">
        <f t="shared" si="124"/>
        <v>345.36251900000002</v>
      </c>
      <c r="BO313" s="18">
        <f t="shared" si="125"/>
        <v>1.5808973758382854E-2</v>
      </c>
      <c r="BP313" s="18">
        <f t="shared" si="126"/>
        <v>0.10303771382904467</v>
      </c>
      <c r="BQ313" s="18">
        <f t="shared" si="127"/>
        <v>0.15734228415214913</v>
      </c>
      <c r="BR313" s="18">
        <f t="shared" si="128"/>
        <v>0.72381102826042332</v>
      </c>
      <c r="BT313" s="27">
        <f t="shared" si="129"/>
        <v>1</v>
      </c>
      <c r="BW313" s="18">
        <f>IF(AP313="ja",VLOOKUP(B313,Miljövärden!$B$2:$H$550,MATCH("Total andel fossilt",Miljövärden!$B$2:$H$2,0),FALSE),"")</f>
        <v>1.5808900000000001E-2</v>
      </c>
      <c r="BZ313" s="28">
        <f t="shared" si="130"/>
        <v>-7.3758382852784354E-8</v>
      </c>
      <c r="CA313" s="28">
        <f t="shared" si="131"/>
        <v>0</v>
      </c>
    </row>
    <row r="314" spans="1:79" x14ac:dyDescent="0.25">
      <c r="A314" s="224" t="s">
        <v>629</v>
      </c>
      <c r="B314" s="210" t="s">
        <v>630</v>
      </c>
      <c r="C314" s="121">
        <f>VLOOKUP($B314,'Tillförd energi'!$B$1:$AI$720,MATCH(C$1,'Tillförd energi'!$B$1:$AQ$1,0),FALSE)</f>
        <v>0</v>
      </c>
      <c r="D314" s="121">
        <f>VLOOKUP($B314,'Tillförd energi'!$B$1:$AI$720,MATCH(D$1,'Tillförd energi'!$B$1:$AQ$1,0),FALSE)</f>
        <v>0.1022</v>
      </c>
      <c r="E314" s="121">
        <f>VLOOKUP($B314,'Tillförd energi'!$B$1:$AI$720,MATCH(E$1,'Tillförd energi'!$B$1:$AQ$1,0),FALSE)</f>
        <v>0</v>
      </c>
      <c r="F314" s="121">
        <f>VLOOKUP($B314,'Tillförd energi'!$B$1:$AI$720,MATCH(F$1,'Tillförd energi'!$B$1:$AQ$1,0),FALSE)</f>
        <v>0</v>
      </c>
      <c r="G314" s="121">
        <f>VLOOKUP($B314,'Tillförd energi'!$B$1:$AI$720,MATCH(G$1,'Tillförd energi'!$B$1:$AQ$1,0),FALSE)</f>
        <v>0</v>
      </c>
      <c r="H314" s="121">
        <f>VLOOKUP($B314,'Tillförd energi'!$B$1:$AI$720,MATCH(H$1,'Tillförd energi'!$B$1:$AQ$1,0),FALSE)</f>
        <v>0</v>
      </c>
      <c r="I314" s="121">
        <f>VLOOKUP($B314,'Tillförd energi'!$B$1:$AI$720,MATCH(I$1,'Tillförd energi'!$B$1:$AQ$1,0),FALSE)</f>
        <v>0</v>
      </c>
      <c r="J314" s="121">
        <f>VLOOKUP($B314,'Tillförd energi'!$B$1:$AI$720,MATCH(J$1,'Tillförd energi'!$B$1:$AQ$1,0),FALSE)</f>
        <v>0</v>
      </c>
      <c r="K314" s="121">
        <f>VLOOKUP($B314,'Tillförd energi'!$B$1:$AI$720,MATCH(K$1,'Tillförd energi'!$B$1:$AQ$1,0),FALSE)</f>
        <v>0</v>
      </c>
      <c r="L314" s="121">
        <f>VLOOKUP($B314,'Tillförd energi'!$B$1:$AI$720,MATCH(L$1,'Tillförd energi'!$B$1:$AQ$1,0),FALSE)</f>
        <v>0</v>
      </c>
      <c r="M314" s="121">
        <f>VLOOKUP($B314,'Tillförd energi'!$B$1:$AI$720,MATCH(M$1,'Tillförd energi'!$B$1:$AQ$1,0),FALSE)</f>
        <v>0</v>
      </c>
      <c r="N314" s="121">
        <f>VLOOKUP($B314,'Tillförd energi'!$B$1:$AI$720,MATCH(N$1,'Tillförd energi'!$B$1:$AQ$1,0),FALSE)</f>
        <v>0</v>
      </c>
      <c r="O314" s="121">
        <f>VLOOKUP($B314,'Tillförd energi'!$B$1:$AI$720,MATCH(O$1,'Tillförd energi'!$B$1:$AQ$1,0),FALSE)</f>
        <v>0</v>
      </c>
      <c r="P314" s="121">
        <f>VLOOKUP($B314,'Tillförd energi'!$B$1:$AI$720,MATCH(P$1,'Tillförd energi'!$B$1:$AQ$1,0),FALSE)</f>
        <v>0</v>
      </c>
      <c r="Q314" s="121">
        <f>VLOOKUP($B314,'Tillförd energi'!$B$1:$AI$720,MATCH(Q$1,'Tillförd energi'!$B$1:$AQ$1,0),FALSE)</f>
        <v>0</v>
      </c>
      <c r="R314" s="121">
        <f>VLOOKUP($B314,'Tillförd energi'!$B$1:$AI$720,MATCH(R$1,'Tillförd energi'!$B$1:$AQ$1,0),FALSE)</f>
        <v>2.7225999999999999</v>
      </c>
      <c r="S314" s="121">
        <f>VLOOKUP($B314,'Tillförd energi'!$B$1:$AI$720,MATCH(S$1,'Tillförd energi'!$B$1:$AQ$1,0),FALSE)</f>
        <v>0</v>
      </c>
      <c r="T314" s="121">
        <f>VLOOKUP($B314,'Tillförd energi'!$B$1:$AI$720,MATCH(T$1,'Tillförd energi'!$B$1:$AQ$1,0),FALSE)</f>
        <v>0</v>
      </c>
      <c r="U314" s="121">
        <f>VLOOKUP($B314,'Tillförd energi'!$B$1:$AI$720,MATCH(U$1,'Tillförd energi'!$B$1:$AQ$1,0),FALSE)</f>
        <v>0</v>
      </c>
      <c r="V314" s="121">
        <f>VLOOKUP($B314,'Tillförd energi'!$B$1:$AI$720,MATCH(V$1,'Tillförd energi'!$B$1:$AQ$1,0),FALSE)</f>
        <v>0</v>
      </c>
      <c r="W314" s="121">
        <f>VLOOKUP($B314,'Tillförd energi'!$B$1:$AI$720,MATCH(W$1,'Tillförd energi'!$B$1:$AQ$1,0),FALSE)</f>
        <v>0</v>
      </c>
      <c r="X314" s="121">
        <f>VLOOKUP($B314,'Tillförd energi'!$B$1:$AI$720,MATCH(X$1,'Tillförd energi'!$B$1:$AQ$1,0),FALSE)</f>
        <v>0</v>
      </c>
      <c r="Y314" s="121">
        <f>VLOOKUP($B314,'Tillförd energi'!$B$1:$AI$720,MATCH(Y$1,'Tillförd energi'!$B$1:$AQ$1,0),FALSE)</f>
        <v>0</v>
      </c>
      <c r="Z314" s="121">
        <f>VLOOKUP($B314,'Tillförd energi'!$B$1:$AI$720,MATCH(Z$1,'Tillförd energi'!$B$1:$AQ$1,0),FALSE)</f>
        <v>0</v>
      </c>
      <c r="AA314" s="121">
        <f>VLOOKUP($B314,'Tillförd energi'!$B$1:$AI$720,MATCH(AA$1,'Tillförd energi'!$B$1:$AQ$1,0),FALSE)</f>
        <v>0</v>
      </c>
      <c r="AB314" s="121">
        <f>VLOOKUP($B314,'Tillförd energi'!$B$1:$AI$720,MATCH(AB$1,'Tillförd energi'!$B$1:$AQ$1,0),FALSE)</f>
        <v>0</v>
      </c>
      <c r="AC314" s="121">
        <f>VLOOKUP($B314,'Tillförd energi'!$B$1:$AI$720,MATCH(AC$1,'Tillförd energi'!$B$1:$AQ$1,0),FALSE)</f>
        <v>0</v>
      </c>
      <c r="AD314" s="121">
        <f>VLOOKUP($B314,'Tillförd energi'!$B$1:$AI$720,MATCH(AD$1,'Tillförd energi'!$B$1:$AQ$1,0),FALSE)</f>
        <v>0</v>
      </c>
      <c r="AE314" s="121">
        <f>VLOOKUP($B314,'Tillförd energi'!$B$1:$AI$720,MATCH(AE$1,'Tillförd energi'!$B$1:$AQ$1,0),FALSE)</f>
        <v>0</v>
      </c>
      <c r="AF314" s="121">
        <f>VLOOKUP($B314,'Tillförd energi'!$B$1:$AI$720,MATCH(AF$1,'Tillförd energi'!$B$1:$AQ$1,0),FALSE)</f>
        <v>3.4269000000000001E-2</v>
      </c>
      <c r="AG314" s="121">
        <f>IFERROR(VLOOKUP(B314,Miljö!$B$1:$AC$550,MATCH("Köpt mängd produktionsspecifik fjärrvärme:",Miljö!$B$1:$AC$1,0),FALSE)/1,0)</f>
        <v>0</v>
      </c>
      <c r="AH314" s="121"/>
      <c r="AI314" s="121">
        <f t="shared" ref="AI314:AI377" si="132">SUM(C314:AF314)</f>
        <v>2.8590689999999999</v>
      </c>
      <c r="AJ314" s="121">
        <f t="shared" ref="AJ314:AJ377" si="133">SUM(C314:AG314)</f>
        <v>2.8590689999999999</v>
      </c>
      <c r="AK314" s="121">
        <f>IF(ISERROR(1/VLOOKUP($B314,Leveranser!$B$1:$S$499,MATCH("såld värme (gwh)",Leveranser!$B$1:$S$1,0),FALSE)),"",VLOOKUP($B314,Leveranser!$B$1:$S$499,MATCH("såld värme (gwh)",Leveranser!$B$1:$S$1,0),FALSE))</f>
        <v>2.161</v>
      </c>
      <c r="AL314" s="121">
        <f>VLOOKUP($B314,Leveranser!$B$1:$Y$499,MATCH("Totalt såld fjärrvärme till andra fjärrvärmeföretag",Leveranser!$B$1:$AA$1,0),FALSE)</f>
        <v>0</v>
      </c>
      <c r="AM314" s="121">
        <f>IF(ISERROR(1/VLOOKUP($B314,Miljö!$B$1:$S$500,MATCH("Såld mängd produktionsspecifik fjärrvärme (GWh)",Miljö!$B$1:$R$1,0),FALSE)),0,VLOOKUP($B314,Miljö!$B$1:$S$500,MATCH("Såld mängd produktionsspecifik fjärrvärme (GWh)",Miljö!$B$1:$R$1,0),FALSE))</f>
        <v>0</v>
      </c>
      <c r="AN314" s="172">
        <f t="shared" ref="AN314:AN377" si="134">IFERROR(AK314/AJ314,"")</f>
        <v>0.75584045016052437</v>
      </c>
      <c r="AO314" s="121"/>
      <c r="AP314" s="121" t="str">
        <f>IFERROR(VLOOKUP($B314,Miljövärden!$B$2:$H$550,7,FALSE),"Nej, saknas")</f>
        <v>Ja</v>
      </c>
      <c r="AQ314" s="121" t="str">
        <f>IFERROR(VLOOKUP($B314,Miljövärden!$B$2:$H$550,6,FALSE),"Nej, saknas")</f>
        <v>Ja</v>
      </c>
      <c r="AU314">
        <f t="shared" ref="AU314:AU377" si="135">Z314+AA314+AF314</f>
        <v>3.4269000000000001E-2</v>
      </c>
      <c r="AV314">
        <f t="shared" ref="AV314:AV377" si="136">X314</f>
        <v>0</v>
      </c>
      <c r="AW314">
        <f t="shared" ref="AW314:AW377" si="137">M314+N314+O314+P314+Q314</f>
        <v>0</v>
      </c>
      <c r="AX314">
        <f t="shared" ref="AX314:AX377" si="138">R314+S314+T314+U314</f>
        <v>2.7225999999999999</v>
      </c>
      <c r="AZ314">
        <f t="shared" ref="AZ314:AZ377" si="139">L314+M314+N314+O314+P314+Q314+R314+S314+T314+U314+V314+W314+X314</f>
        <v>2.7225999999999999</v>
      </c>
      <c r="BC314">
        <f t="shared" ref="BC314:BC377" si="140">C314+D314+E314+F314+G314+H314+AE314</f>
        <v>0.1022</v>
      </c>
      <c r="BD314">
        <f t="shared" ref="BD314:BD377" si="141">Y314</f>
        <v>0</v>
      </c>
      <c r="BE314">
        <f t="shared" ref="BE314:BE377" si="142">M314+N314+O314+P314+Q314+R314+S314+T314+U314+V314+W314+X314</f>
        <v>2.7225999999999999</v>
      </c>
      <c r="BF314">
        <f t="shared" ref="BF314:BF377" si="143">I314+J314+K314+L314+AB314+AC314+AD314</f>
        <v>0</v>
      </c>
      <c r="BG314">
        <f t="shared" ref="BG314:BG377" si="144">Z314+AA314+AF314</f>
        <v>3.4269000000000001E-2</v>
      </c>
      <c r="BH314">
        <f>VLOOKUP(B314,Miljö!$B$1:$BX$482,MATCH("Fossilandel för ursprungspecificerad el ()",Miljö!$B$1:$I$1,0),FALSE)</f>
        <v>0.43</v>
      </c>
      <c r="BI314">
        <f>VLOOKUP(B314,Miljö!$B$1:$BX$482,MATCH("Kärnkraftsandel för ursprungsspecificerad el ()",Miljö!$B$1:$O$1,0),FALSE)</f>
        <v>0.40550000000000003</v>
      </c>
      <c r="BJ314">
        <f t="shared" ref="BJ314:BJ377" si="145">AG314</f>
        <v>0</v>
      </c>
      <c r="BK314" t="str">
        <f>VLOOKUP(B314,Miljö!$B$1:$O$482,MATCH("Fossil andel i procent (%)",Miljö!$B$1:$O$1,0),FALSE)</f>
        <v>ET</v>
      </c>
      <c r="BL314">
        <f t="shared" ref="BL314:BL377" si="146">SUM(BC314:BG314,BJ314)</f>
        <v>2.8590689999999999</v>
      </c>
      <c r="BO314" s="18">
        <f t="shared" ref="BO314:BO377" si="147">IF(AP314="ja",(BC314+IFERROR(BG314*BH314,0)+IFERROR(BJ314*BK314/100,0))/$BL314,"")</f>
        <v>4.0899911824443552E-2</v>
      </c>
      <c r="BP314" s="18">
        <f t="shared" ref="BP314:BP377" si="148">IF(AP314="ja",(BD314+IFERROR(BG314*BI314,0)+IFERROR(BJ314*(1-BK314/100),0))/$BL314,"")</f>
        <v>4.8603512192255602E-3</v>
      </c>
      <c r="BQ314" s="18">
        <f t="shared" ref="BQ314:BQ377" si="149">IF(AP314="ja",(BE314+IFERROR(BG314*(1-BH314-BI314),0))/$BL314,"")</f>
        <v>0.95423973695633091</v>
      </c>
      <c r="BR314" s="18">
        <f t="shared" ref="BR314:BR377" si="150">IF(AP314="ja",BF314/$BL314,"")</f>
        <v>0</v>
      </c>
      <c r="BT314" s="27">
        <f t="shared" ref="BT314:BT377" si="151">SUM(BO314:BR314)</f>
        <v>1</v>
      </c>
      <c r="BW314" s="18">
        <f>IF(AP314="ja",VLOOKUP(B314,Miljövärden!$B$2:$H$550,MATCH("Total andel fossilt",Miljövärden!$B$2:$H$2,0),FALSE),"")</f>
        <v>4.0899999999999999E-2</v>
      </c>
      <c r="BZ314" s="28">
        <f t="shared" ref="BZ314:BZ377" si="152">IFERROR(BW314-BO314,"")</f>
        <v>8.8175556446634662E-8</v>
      </c>
      <c r="CA314" s="28">
        <f t="shared" ref="CA314:CA377" si="153">IFERROR(ROUND(BW314,3)-ROUND(BO314,3),"")</f>
        <v>0</v>
      </c>
    </row>
    <row r="315" spans="1:79" x14ac:dyDescent="0.25">
      <c r="A315" s="224" t="s">
        <v>629</v>
      </c>
      <c r="B315" s="210" t="s">
        <v>631</v>
      </c>
      <c r="C315" s="121">
        <f>VLOOKUP($B315,'Tillförd energi'!$B$1:$AI$720,MATCH(C$1,'Tillförd energi'!$B$1:$AQ$1,0),FALSE)</f>
        <v>0</v>
      </c>
      <c r="D315" s="121">
        <f>VLOOKUP($B315,'Tillförd energi'!$B$1:$AI$720,MATCH(D$1,'Tillförd energi'!$B$1:$AQ$1,0),FALSE)</f>
        <v>0</v>
      </c>
      <c r="E315" s="121">
        <f>VLOOKUP($B315,'Tillförd energi'!$B$1:$AI$720,MATCH(E$1,'Tillförd energi'!$B$1:$AQ$1,0),FALSE)</f>
        <v>0</v>
      </c>
      <c r="F315" s="121">
        <f>VLOOKUP($B315,'Tillförd energi'!$B$1:$AI$720,MATCH(F$1,'Tillförd energi'!$B$1:$AQ$1,0),FALSE)</f>
        <v>0</v>
      </c>
      <c r="G315" s="121">
        <f>VLOOKUP($B315,'Tillförd energi'!$B$1:$AI$720,MATCH(G$1,'Tillförd energi'!$B$1:$AQ$1,0),FALSE)</f>
        <v>0</v>
      </c>
      <c r="H315" s="121">
        <f>VLOOKUP($B315,'Tillförd energi'!$B$1:$AI$720,MATCH(H$1,'Tillförd energi'!$B$1:$AQ$1,0),FALSE)</f>
        <v>0</v>
      </c>
      <c r="I315" s="121">
        <f>VLOOKUP($B315,'Tillförd energi'!$B$1:$AI$720,MATCH(I$1,'Tillförd energi'!$B$1:$AQ$1,0),FALSE)</f>
        <v>0</v>
      </c>
      <c r="J315" s="121">
        <f>VLOOKUP($B315,'Tillförd energi'!$B$1:$AI$720,MATCH(J$1,'Tillförd energi'!$B$1:$AQ$1,0),FALSE)</f>
        <v>0</v>
      </c>
      <c r="K315" s="121">
        <f>VLOOKUP($B315,'Tillförd energi'!$B$1:$AI$720,MATCH(K$1,'Tillförd energi'!$B$1:$AQ$1,0),FALSE)</f>
        <v>0</v>
      </c>
      <c r="L315" s="121">
        <f>VLOOKUP($B315,'Tillförd energi'!$B$1:$AI$720,MATCH(L$1,'Tillförd energi'!$B$1:$AQ$1,0),FALSE)</f>
        <v>0</v>
      </c>
      <c r="M315" s="121">
        <f>VLOOKUP($B315,'Tillförd energi'!$B$1:$AI$720,MATCH(M$1,'Tillförd energi'!$B$1:$AQ$1,0),FALSE)</f>
        <v>0</v>
      </c>
      <c r="N315" s="121">
        <f>VLOOKUP($B315,'Tillförd energi'!$B$1:$AI$720,MATCH(N$1,'Tillförd energi'!$B$1:$AQ$1,0),FALSE)</f>
        <v>0</v>
      </c>
      <c r="O315" s="121">
        <f>VLOOKUP($B315,'Tillförd energi'!$B$1:$AI$720,MATCH(O$1,'Tillförd energi'!$B$1:$AQ$1,0),FALSE)</f>
        <v>0</v>
      </c>
      <c r="P315" s="121">
        <f>VLOOKUP($B315,'Tillförd energi'!$B$1:$AI$720,MATCH(P$1,'Tillförd energi'!$B$1:$AQ$1,0),FALSE)</f>
        <v>0</v>
      </c>
      <c r="Q315" s="121">
        <f>VLOOKUP($B315,'Tillförd energi'!$B$1:$AI$720,MATCH(Q$1,'Tillförd energi'!$B$1:$AQ$1,0),FALSE)</f>
        <v>0</v>
      </c>
      <c r="R315" s="121">
        <f>VLOOKUP($B315,'Tillförd energi'!$B$1:$AI$720,MATCH(R$1,'Tillförd energi'!$B$1:$AQ$1,0),FALSE)</f>
        <v>1.1273200000000001</v>
      </c>
      <c r="S315" s="121">
        <f>VLOOKUP($B315,'Tillförd energi'!$B$1:$AI$720,MATCH(S$1,'Tillförd energi'!$B$1:$AQ$1,0),FALSE)</f>
        <v>0</v>
      </c>
      <c r="T315" s="121">
        <f>VLOOKUP($B315,'Tillförd energi'!$B$1:$AI$720,MATCH(T$1,'Tillförd energi'!$B$1:$AQ$1,0),FALSE)</f>
        <v>0</v>
      </c>
      <c r="U315" s="121">
        <f>VLOOKUP($B315,'Tillförd energi'!$B$1:$AI$720,MATCH(U$1,'Tillförd energi'!$B$1:$AQ$1,0),FALSE)</f>
        <v>0</v>
      </c>
      <c r="V315" s="121">
        <f>VLOOKUP($B315,'Tillförd energi'!$B$1:$AI$720,MATCH(V$1,'Tillförd energi'!$B$1:$AQ$1,0),FALSE)</f>
        <v>0</v>
      </c>
      <c r="W315" s="121">
        <f>VLOOKUP($B315,'Tillförd energi'!$B$1:$AI$720,MATCH(W$1,'Tillförd energi'!$B$1:$AQ$1,0),FALSE)</f>
        <v>0</v>
      </c>
      <c r="X315" s="121">
        <f>VLOOKUP($B315,'Tillförd energi'!$B$1:$AI$720,MATCH(X$1,'Tillförd energi'!$B$1:$AQ$1,0),FALSE)</f>
        <v>0</v>
      </c>
      <c r="Y315" s="121">
        <f>VLOOKUP($B315,'Tillförd energi'!$B$1:$AI$720,MATCH(Y$1,'Tillförd energi'!$B$1:$AQ$1,0),FALSE)</f>
        <v>0</v>
      </c>
      <c r="Z315" s="121">
        <f>VLOOKUP($B315,'Tillförd energi'!$B$1:$AI$720,MATCH(Z$1,'Tillförd energi'!$B$1:$AQ$1,0),FALSE)</f>
        <v>2.5000000000000001E-4</v>
      </c>
      <c r="AA315" s="121">
        <f>VLOOKUP($B315,'Tillförd energi'!$B$1:$AI$720,MATCH(AA$1,'Tillförd energi'!$B$1:$AQ$1,0),FALSE)</f>
        <v>0</v>
      </c>
      <c r="AB315" s="121">
        <f>VLOOKUP($B315,'Tillförd energi'!$B$1:$AI$720,MATCH(AB$1,'Tillförd energi'!$B$1:$AQ$1,0),FALSE)</f>
        <v>0</v>
      </c>
      <c r="AC315" s="121">
        <f>VLOOKUP($B315,'Tillförd energi'!$B$1:$AI$720,MATCH(AC$1,'Tillförd energi'!$B$1:$AQ$1,0),FALSE)</f>
        <v>0</v>
      </c>
      <c r="AD315" s="121">
        <f>VLOOKUP($B315,'Tillförd energi'!$B$1:$AI$720,MATCH(AD$1,'Tillförd energi'!$B$1:$AQ$1,0),FALSE)</f>
        <v>0</v>
      </c>
      <c r="AE315" s="121">
        <f>VLOOKUP($B315,'Tillförd energi'!$B$1:$AI$720,MATCH(AE$1,'Tillförd energi'!$B$1:$AQ$1,0),FALSE)</f>
        <v>0</v>
      </c>
      <c r="AF315" s="121">
        <f>VLOOKUP($B315,'Tillförd energi'!$B$1:$AI$720,MATCH(AF$1,'Tillförd energi'!$B$1:$AQ$1,0),FALSE)</f>
        <v>1.2663000000000001E-2</v>
      </c>
      <c r="AG315" s="121">
        <f>IFERROR(VLOOKUP(B315,Miljö!$B$1:$AC$550,MATCH("Köpt mängd produktionsspecifik fjärrvärme:",Miljö!$B$1:$AC$1,0),FALSE)/1,0)</f>
        <v>0</v>
      </c>
      <c r="AH315" s="121"/>
      <c r="AI315" s="121">
        <f t="shared" si="132"/>
        <v>1.1402330000000003</v>
      </c>
      <c r="AJ315" s="121">
        <f t="shared" si="133"/>
        <v>1.1402330000000003</v>
      </c>
      <c r="AK315" s="121">
        <f>IF(ISERROR(1/VLOOKUP($B315,Leveranser!$B$1:$S$499,MATCH("såld värme (gwh)",Leveranser!$B$1:$S$1,0),FALSE)),"",VLOOKUP($B315,Leveranser!$B$1:$S$499,MATCH("såld värme (gwh)",Leveranser!$B$1:$S$1,0),FALSE))</f>
        <v>0.82399999999999995</v>
      </c>
      <c r="AL315" s="121">
        <f>VLOOKUP($B315,Leveranser!$B$1:$Y$499,MATCH("Totalt såld fjärrvärme till andra fjärrvärmeföretag",Leveranser!$B$1:$AA$1,0),FALSE)</f>
        <v>0</v>
      </c>
      <c r="AM315" s="121">
        <f>IF(ISERROR(1/VLOOKUP($B315,Miljö!$B$1:$S$500,MATCH("Såld mängd produktionsspecifik fjärrvärme (GWh)",Miljö!$B$1:$R$1,0),FALSE)),0,VLOOKUP($B315,Miljö!$B$1:$S$500,MATCH("Såld mängd produktionsspecifik fjärrvärme (GWh)",Miljö!$B$1:$R$1,0),FALSE))</f>
        <v>0</v>
      </c>
      <c r="AN315" s="172">
        <f t="shared" si="134"/>
        <v>0.722659316122231</v>
      </c>
      <c r="AO315" s="121"/>
      <c r="AP315" s="121" t="str">
        <f>IFERROR(VLOOKUP($B315,Miljövärden!$B$2:$H$550,7,FALSE),"Nej, saknas")</f>
        <v>Ja</v>
      </c>
      <c r="AQ315" s="121" t="str">
        <f>IFERROR(VLOOKUP($B315,Miljövärden!$B$2:$H$550,6,FALSE),"Nej, saknas")</f>
        <v>Ja</v>
      </c>
      <c r="AU315">
        <f t="shared" si="135"/>
        <v>1.2913000000000001E-2</v>
      </c>
      <c r="AV315">
        <f t="shared" si="136"/>
        <v>0</v>
      </c>
      <c r="AW315">
        <f t="shared" si="137"/>
        <v>0</v>
      </c>
      <c r="AX315">
        <f t="shared" si="138"/>
        <v>1.1273200000000001</v>
      </c>
      <c r="AZ315">
        <f t="shared" si="139"/>
        <v>1.1273200000000001</v>
      </c>
      <c r="BC315">
        <f t="shared" si="140"/>
        <v>0</v>
      </c>
      <c r="BD315">
        <f t="shared" si="141"/>
        <v>0</v>
      </c>
      <c r="BE315">
        <f t="shared" si="142"/>
        <v>1.1273200000000001</v>
      </c>
      <c r="BF315">
        <f t="shared" si="143"/>
        <v>0</v>
      </c>
      <c r="BG315">
        <f t="shared" si="144"/>
        <v>1.2913000000000001E-2</v>
      </c>
      <c r="BH315">
        <f>VLOOKUP(B315,Miljö!$B$1:$BX$482,MATCH("Fossilandel för ursprungspecificerad el ()",Miljö!$B$1:$I$1,0),FALSE)</f>
        <v>0.43</v>
      </c>
      <c r="BI315">
        <f>VLOOKUP(B315,Miljö!$B$1:$BX$482,MATCH("Kärnkraftsandel för ursprungsspecificerad el ()",Miljö!$B$1:$O$1,0),FALSE)</f>
        <v>0.40550000000000003</v>
      </c>
      <c r="BJ315">
        <f t="shared" si="145"/>
        <v>0</v>
      </c>
      <c r="BK315" t="str">
        <f>VLOOKUP(B315,Miljö!$B$1:$O$482,MATCH("Fossil andel i procent (%)",Miljö!$B$1:$O$1,0),FALSE)</f>
        <v>ET</v>
      </c>
      <c r="BL315">
        <f t="shared" si="146"/>
        <v>1.1402330000000001</v>
      </c>
      <c r="BO315" s="18">
        <f t="shared" si="147"/>
        <v>4.8696976845960431E-3</v>
      </c>
      <c r="BP315" s="18">
        <f t="shared" si="148"/>
        <v>4.592238165357432E-3</v>
      </c>
      <c r="BQ315" s="18">
        <f t="shared" si="149"/>
        <v>0.99053806415004664</v>
      </c>
      <c r="BR315" s="18">
        <f t="shared" si="150"/>
        <v>0</v>
      </c>
      <c r="BT315" s="27">
        <f t="shared" si="151"/>
        <v>1.0000000000000002</v>
      </c>
      <c r="BW315" s="18">
        <f>IF(AP315="ja",VLOOKUP(B315,Miljövärden!$B$2:$H$550,MATCH("Total andel fossilt",Miljövärden!$B$2:$H$2,0),FALSE),"")</f>
        <v>4.8697100000000002E-3</v>
      </c>
      <c r="BZ315" s="28">
        <f t="shared" si="152"/>
        <v>1.2315403957047222E-8</v>
      </c>
      <c r="CA315" s="28">
        <f t="shared" si="153"/>
        <v>0</v>
      </c>
    </row>
    <row r="316" spans="1:79" x14ac:dyDescent="0.25">
      <c r="A316" s="224" t="s">
        <v>629</v>
      </c>
      <c r="B316" s="210" t="s">
        <v>632</v>
      </c>
      <c r="C316" s="121">
        <f>VLOOKUP($B316,'Tillförd energi'!$B$1:$AI$720,MATCH(C$1,'Tillförd energi'!$B$1:$AQ$1,0),FALSE)</f>
        <v>0</v>
      </c>
      <c r="D316" s="121">
        <f>VLOOKUP($B316,'Tillförd energi'!$B$1:$AI$720,MATCH(D$1,'Tillförd energi'!$B$1:$AQ$1,0),FALSE)</f>
        <v>0.46333299999999999</v>
      </c>
      <c r="E316" s="121">
        <f>VLOOKUP($B316,'Tillförd energi'!$B$1:$AI$720,MATCH(E$1,'Tillförd energi'!$B$1:$AQ$1,0),FALSE)</f>
        <v>0</v>
      </c>
      <c r="F316" s="121">
        <f>VLOOKUP($B316,'Tillförd energi'!$B$1:$AI$720,MATCH(F$1,'Tillförd energi'!$B$1:$AQ$1,0),FALSE)</f>
        <v>0</v>
      </c>
      <c r="G316" s="121">
        <f>VLOOKUP($B316,'Tillförd energi'!$B$1:$AI$720,MATCH(G$1,'Tillförd energi'!$B$1:$AQ$1,0),FALSE)</f>
        <v>0</v>
      </c>
      <c r="H316" s="121">
        <f>VLOOKUP($B316,'Tillförd energi'!$B$1:$AI$720,MATCH(H$1,'Tillförd energi'!$B$1:$AQ$1,0),FALSE)</f>
        <v>0</v>
      </c>
      <c r="I316" s="121">
        <f>VLOOKUP($B316,'Tillförd energi'!$B$1:$AI$720,MATCH(I$1,'Tillförd energi'!$B$1:$AQ$1,0),FALSE)</f>
        <v>0</v>
      </c>
      <c r="J316" s="121">
        <f>VLOOKUP($B316,'Tillförd energi'!$B$1:$AI$720,MATCH(J$1,'Tillförd energi'!$B$1:$AQ$1,0),FALSE)</f>
        <v>0</v>
      </c>
      <c r="K316" s="121">
        <f>VLOOKUP($B316,'Tillförd energi'!$B$1:$AI$720,MATCH(K$1,'Tillförd energi'!$B$1:$AQ$1,0),FALSE)</f>
        <v>0</v>
      </c>
      <c r="L316" s="121">
        <f>VLOOKUP($B316,'Tillförd energi'!$B$1:$AI$720,MATCH(L$1,'Tillförd energi'!$B$1:$AQ$1,0),FALSE)</f>
        <v>0</v>
      </c>
      <c r="M316" s="121">
        <f>VLOOKUP($B316,'Tillförd energi'!$B$1:$AI$720,MATCH(M$1,'Tillförd energi'!$B$1:$AQ$1,0),FALSE)</f>
        <v>0</v>
      </c>
      <c r="N316" s="121">
        <f>VLOOKUP($B316,'Tillförd energi'!$B$1:$AI$720,MATCH(N$1,'Tillförd energi'!$B$1:$AQ$1,0),FALSE)</f>
        <v>0</v>
      </c>
      <c r="O316" s="121">
        <f>VLOOKUP($B316,'Tillförd energi'!$B$1:$AI$720,MATCH(O$1,'Tillförd energi'!$B$1:$AQ$1,0),FALSE)</f>
        <v>0</v>
      </c>
      <c r="P316" s="121">
        <f>VLOOKUP($B316,'Tillförd energi'!$B$1:$AI$720,MATCH(P$1,'Tillförd energi'!$B$1:$AQ$1,0),FALSE)</f>
        <v>0</v>
      </c>
      <c r="Q316" s="121">
        <f>VLOOKUP($B316,'Tillförd energi'!$B$1:$AI$720,MATCH(Q$1,'Tillförd energi'!$B$1:$AQ$1,0),FALSE)</f>
        <v>24.874400000000001</v>
      </c>
      <c r="R316" s="121">
        <f>VLOOKUP($B316,'Tillförd energi'!$B$1:$AI$720,MATCH(R$1,'Tillförd energi'!$B$1:$AQ$1,0),FALSE)</f>
        <v>3.0930200000000001</v>
      </c>
      <c r="S316" s="121">
        <f>VLOOKUP($B316,'Tillförd energi'!$B$1:$AI$720,MATCH(S$1,'Tillförd energi'!$B$1:$AQ$1,0),FALSE)</f>
        <v>0</v>
      </c>
      <c r="T316" s="121">
        <f>VLOOKUP($B316,'Tillförd energi'!$B$1:$AI$720,MATCH(T$1,'Tillförd energi'!$B$1:$AQ$1,0),FALSE)</f>
        <v>0</v>
      </c>
      <c r="U316" s="121">
        <f>VLOOKUP($B316,'Tillförd energi'!$B$1:$AI$720,MATCH(U$1,'Tillförd energi'!$B$1:$AQ$1,0),FALSE)</f>
        <v>0</v>
      </c>
      <c r="V316" s="121">
        <f>VLOOKUP($B316,'Tillförd energi'!$B$1:$AI$720,MATCH(V$1,'Tillförd energi'!$B$1:$AQ$1,0),FALSE)</f>
        <v>0</v>
      </c>
      <c r="W316" s="121">
        <f>VLOOKUP($B316,'Tillförd energi'!$B$1:$AI$720,MATCH(W$1,'Tillförd energi'!$B$1:$AQ$1,0),FALSE)</f>
        <v>0</v>
      </c>
      <c r="X316" s="121">
        <f>VLOOKUP($B316,'Tillförd energi'!$B$1:$AI$720,MATCH(X$1,'Tillförd energi'!$B$1:$AQ$1,0),FALSE)</f>
        <v>0</v>
      </c>
      <c r="Y316" s="121">
        <f>VLOOKUP($B316,'Tillförd energi'!$B$1:$AI$720,MATCH(Y$1,'Tillförd energi'!$B$1:$AQ$1,0),FALSE)</f>
        <v>0</v>
      </c>
      <c r="Z316" s="121">
        <f>VLOOKUP($B316,'Tillförd energi'!$B$1:$AI$720,MATCH(Z$1,'Tillförd energi'!$B$1:$AQ$1,0),FALSE)</f>
        <v>0</v>
      </c>
      <c r="AA316" s="121">
        <f>VLOOKUP($B316,'Tillförd energi'!$B$1:$AI$720,MATCH(AA$1,'Tillförd energi'!$B$1:$AQ$1,0),FALSE)</f>
        <v>0</v>
      </c>
      <c r="AB316" s="121">
        <f>VLOOKUP($B316,'Tillförd energi'!$B$1:$AI$720,MATCH(AB$1,'Tillförd energi'!$B$1:$AQ$1,0),FALSE)</f>
        <v>0</v>
      </c>
      <c r="AC316" s="121">
        <f>VLOOKUP($B316,'Tillförd energi'!$B$1:$AI$720,MATCH(AC$1,'Tillförd energi'!$B$1:$AQ$1,0),FALSE)</f>
        <v>0</v>
      </c>
      <c r="AD316" s="121">
        <f>VLOOKUP($B316,'Tillförd energi'!$B$1:$AI$720,MATCH(AD$1,'Tillförd energi'!$B$1:$AQ$1,0),FALSE)</f>
        <v>30.916</v>
      </c>
      <c r="AE316" s="121">
        <f>VLOOKUP($B316,'Tillförd energi'!$B$1:$AI$720,MATCH(AE$1,'Tillförd energi'!$B$1:$AQ$1,0),FALSE)</f>
        <v>0</v>
      </c>
      <c r="AF316" s="121">
        <f>VLOOKUP($B316,'Tillförd energi'!$B$1:$AI$720,MATCH(AF$1,'Tillförd energi'!$B$1:$AQ$1,0),FALSE)</f>
        <v>0.57499999999999996</v>
      </c>
      <c r="AG316" s="121">
        <f>IFERROR(VLOOKUP(B316,Miljö!$B$1:$AC$550,MATCH("Köpt mängd produktionsspecifik fjärrvärme:",Miljö!$B$1:$AC$1,0),FALSE)/1,0)</f>
        <v>0</v>
      </c>
      <c r="AH316" s="121"/>
      <c r="AI316" s="121">
        <f t="shared" si="132"/>
        <v>59.921753000000002</v>
      </c>
      <c r="AJ316" s="121">
        <f t="shared" si="133"/>
        <v>59.921753000000002</v>
      </c>
      <c r="AK316" s="121">
        <f>IF(ISERROR(1/VLOOKUP($B316,Leveranser!$B$1:$S$499,MATCH("såld värme (gwh)",Leveranser!$B$1:$S$1,0),FALSE)),"",VLOOKUP($B316,Leveranser!$B$1:$S$499,MATCH("såld värme (gwh)",Leveranser!$B$1:$S$1,0),FALSE))</f>
        <v>48.752000000000002</v>
      </c>
      <c r="AL316" s="121">
        <f>VLOOKUP($B316,Leveranser!$B$1:$Y$499,MATCH("Totalt såld fjärrvärme till andra fjärrvärmeföretag",Leveranser!$B$1:$AA$1,0),FALSE)</f>
        <v>0</v>
      </c>
      <c r="AM316" s="121">
        <f>IF(ISERROR(1/VLOOKUP($B316,Miljö!$B$1:$S$500,MATCH("Såld mängd produktionsspecifik fjärrvärme (GWh)",Miljö!$B$1:$R$1,0),FALSE)),0,VLOOKUP($B316,Miljö!$B$1:$S$500,MATCH("Såld mängd produktionsspecifik fjärrvärme (GWh)",Miljö!$B$1:$R$1,0),FALSE))</f>
        <v>0</v>
      </c>
      <c r="AN316" s="172">
        <f t="shared" si="134"/>
        <v>0.81359435529197555</v>
      </c>
      <c r="AO316" s="121"/>
      <c r="AP316" s="121" t="str">
        <f>IFERROR(VLOOKUP($B316,Miljövärden!$B$2:$H$550,7,FALSE),"Nej, saknas")</f>
        <v>Ja</v>
      </c>
      <c r="AQ316" s="121" t="str">
        <f>IFERROR(VLOOKUP($B316,Miljövärden!$B$2:$H$550,6,FALSE),"Nej, saknas")</f>
        <v>Ja</v>
      </c>
      <c r="AU316">
        <f t="shared" si="135"/>
        <v>0.57499999999999996</v>
      </c>
      <c r="AV316">
        <f t="shared" si="136"/>
        <v>0</v>
      </c>
      <c r="AW316">
        <f t="shared" si="137"/>
        <v>24.874400000000001</v>
      </c>
      <c r="AX316">
        <f t="shared" si="138"/>
        <v>3.0930200000000001</v>
      </c>
      <c r="AZ316">
        <f t="shared" si="139"/>
        <v>27.967420000000001</v>
      </c>
      <c r="BC316">
        <f t="shared" si="140"/>
        <v>0.46333299999999999</v>
      </c>
      <c r="BD316">
        <f t="shared" si="141"/>
        <v>0</v>
      </c>
      <c r="BE316">
        <f t="shared" si="142"/>
        <v>27.967420000000001</v>
      </c>
      <c r="BF316">
        <f t="shared" si="143"/>
        <v>30.916</v>
      </c>
      <c r="BG316">
        <f t="shared" si="144"/>
        <v>0.57499999999999996</v>
      </c>
      <c r="BH316">
        <f>VLOOKUP(B316,Miljö!$B$1:$BX$482,MATCH("Fossilandel för ursprungspecificerad el ()",Miljö!$B$1:$I$1,0),FALSE)</f>
        <v>0.43</v>
      </c>
      <c r="BI316">
        <f>VLOOKUP(B316,Miljö!$B$1:$BX$482,MATCH("Kärnkraftsandel för ursprungsspecificerad el ()",Miljö!$B$1:$O$1,0),FALSE)</f>
        <v>0.40550000000000003</v>
      </c>
      <c r="BJ316">
        <f t="shared" si="145"/>
        <v>0</v>
      </c>
      <c r="BK316" t="str">
        <f>VLOOKUP(B316,Miljö!$B$1:$O$482,MATCH("Fossil andel i procent (%)",Miljö!$B$1:$O$1,0),FALSE)</f>
        <v>ET</v>
      </c>
      <c r="BL316">
        <f t="shared" si="146"/>
        <v>59.921753000000002</v>
      </c>
      <c r="BO316" s="18">
        <f t="shared" si="147"/>
        <v>1.1858514886905928E-2</v>
      </c>
      <c r="BP316" s="18">
        <f t="shared" si="148"/>
        <v>3.8911161360716531E-3</v>
      </c>
      <c r="BQ316" s="18">
        <f t="shared" si="149"/>
        <v>0.46831085699378655</v>
      </c>
      <c r="BR316" s="18">
        <f t="shared" si="150"/>
        <v>0.51593951198323584</v>
      </c>
      <c r="BT316" s="27">
        <f t="shared" si="151"/>
        <v>1</v>
      </c>
      <c r="BW316" s="18">
        <f>IF(AP316="ja",VLOOKUP(B316,Miljövärden!$B$2:$H$550,MATCH("Total andel fossilt",Miljövärden!$B$2:$H$2,0),FALSE),"")</f>
        <v>1.1858499999999999E-2</v>
      </c>
      <c r="BZ316" s="28">
        <f t="shared" si="152"/>
        <v>-1.4886905928476746E-8</v>
      </c>
      <c r="CA316" s="28">
        <f t="shared" si="153"/>
        <v>0</v>
      </c>
    </row>
    <row r="317" spans="1:79" x14ac:dyDescent="0.25">
      <c r="A317" s="224" t="s">
        <v>633</v>
      </c>
      <c r="B317" s="210" t="s">
        <v>634</v>
      </c>
      <c r="C317" s="121">
        <f>VLOOKUP($B317,'Tillförd energi'!$B$1:$AI$720,MATCH(C$1,'Tillförd energi'!$B$1:$AQ$1,0),FALSE)</f>
        <v>0</v>
      </c>
      <c r="D317" s="121">
        <f>VLOOKUP($B317,'Tillförd energi'!$B$1:$AI$720,MATCH(D$1,'Tillförd energi'!$B$1:$AQ$1,0),FALSE)</f>
        <v>1.62</v>
      </c>
      <c r="E317" s="121">
        <f>VLOOKUP($B317,'Tillförd energi'!$B$1:$AI$720,MATCH(E$1,'Tillförd energi'!$B$1:$AQ$1,0),FALSE)</f>
        <v>0</v>
      </c>
      <c r="F317" s="121">
        <f>VLOOKUP($B317,'Tillförd energi'!$B$1:$AI$720,MATCH(F$1,'Tillförd energi'!$B$1:$AQ$1,0),FALSE)</f>
        <v>0</v>
      </c>
      <c r="G317" s="121">
        <f>VLOOKUP($B317,'Tillförd energi'!$B$1:$AI$720,MATCH(G$1,'Tillförd energi'!$B$1:$AQ$1,0),FALSE)</f>
        <v>0</v>
      </c>
      <c r="H317" s="121">
        <f>VLOOKUP($B317,'Tillförd energi'!$B$1:$AI$720,MATCH(H$1,'Tillförd energi'!$B$1:$AQ$1,0),FALSE)</f>
        <v>0</v>
      </c>
      <c r="I317" s="121">
        <f>VLOOKUP($B317,'Tillförd energi'!$B$1:$AI$720,MATCH(I$1,'Tillförd energi'!$B$1:$AQ$1,0),FALSE)</f>
        <v>0</v>
      </c>
      <c r="J317" s="121">
        <f>VLOOKUP($B317,'Tillförd energi'!$B$1:$AI$720,MATCH(J$1,'Tillförd energi'!$B$1:$AQ$1,0),FALSE)</f>
        <v>0</v>
      </c>
      <c r="K317" s="121">
        <f>VLOOKUP($B317,'Tillförd energi'!$B$1:$AI$720,MATCH(K$1,'Tillförd energi'!$B$1:$AQ$1,0),FALSE)</f>
        <v>0</v>
      </c>
      <c r="L317" s="121">
        <f>VLOOKUP($B317,'Tillförd energi'!$B$1:$AI$720,MATCH(L$1,'Tillförd energi'!$B$1:$AQ$1,0),FALSE)</f>
        <v>0</v>
      </c>
      <c r="M317" s="121">
        <f>VLOOKUP($B317,'Tillförd energi'!$B$1:$AI$720,MATCH(M$1,'Tillförd energi'!$B$1:$AQ$1,0),FALSE)</f>
        <v>0</v>
      </c>
      <c r="N317" s="121">
        <f>VLOOKUP($B317,'Tillförd energi'!$B$1:$AI$720,MATCH(N$1,'Tillförd energi'!$B$1:$AQ$1,0),FALSE)</f>
        <v>0</v>
      </c>
      <c r="O317" s="121">
        <f>VLOOKUP($B317,'Tillförd energi'!$B$1:$AI$720,MATCH(O$1,'Tillförd energi'!$B$1:$AQ$1,0),FALSE)</f>
        <v>0</v>
      </c>
      <c r="P317" s="121">
        <f>VLOOKUP($B317,'Tillförd energi'!$B$1:$AI$720,MATCH(P$1,'Tillförd energi'!$B$1:$AQ$1,0),FALSE)</f>
        <v>0</v>
      </c>
      <c r="Q317" s="121">
        <f>VLOOKUP($B317,'Tillförd energi'!$B$1:$AI$720,MATCH(Q$1,'Tillförd energi'!$B$1:$AQ$1,0),FALSE)</f>
        <v>0</v>
      </c>
      <c r="R317" s="121">
        <f>VLOOKUP($B317,'Tillförd energi'!$B$1:$AI$720,MATCH(R$1,'Tillförd energi'!$B$1:$AQ$1,0),FALSE)</f>
        <v>7.4729999999999999</v>
      </c>
      <c r="S317" s="121">
        <f>VLOOKUP($B317,'Tillförd energi'!$B$1:$AI$720,MATCH(S$1,'Tillförd energi'!$B$1:$AQ$1,0),FALSE)</f>
        <v>0</v>
      </c>
      <c r="T317" s="121">
        <f>VLOOKUP($B317,'Tillförd energi'!$B$1:$AI$720,MATCH(T$1,'Tillförd energi'!$B$1:$AQ$1,0),FALSE)</f>
        <v>0</v>
      </c>
      <c r="U317" s="121">
        <f>VLOOKUP($B317,'Tillförd energi'!$B$1:$AI$720,MATCH(U$1,'Tillförd energi'!$B$1:$AQ$1,0),FALSE)</f>
        <v>0</v>
      </c>
      <c r="V317" s="121">
        <f>VLOOKUP($B317,'Tillförd energi'!$B$1:$AI$720,MATCH(V$1,'Tillförd energi'!$B$1:$AQ$1,0),FALSE)</f>
        <v>0</v>
      </c>
      <c r="W317" s="121">
        <f>VLOOKUP($B317,'Tillförd energi'!$B$1:$AI$720,MATCH(W$1,'Tillförd energi'!$B$1:$AQ$1,0),FALSE)</f>
        <v>0</v>
      </c>
      <c r="X317" s="121">
        <f>VLOOKUP($B317,'Tillförd energi'!$B$1:$AI$720,MATCH(X$1,'Tillförd energi'!$B$1:$AQ$1,0),FALSE)</f>
        <v>0</v>
      </c>
      <c r="Y317" s="121">
        <f>VLOOKUP($B317,'Tillförd energi'!$B$1:$AI$720,MATCH(Y$1,'Tillförd energi'!$B$1:$AQ$1,0),FALSE)</f>
        <v>0</v>
      </c>
      <c r="Z317" s="121">
        <f>VLOOKUP($B317,'Tillförd energi'!$B$1:$AI$720,MATCH(Z$1,'Tillförd energi'!$B$1:$AQ$1,0),FALSE)</f>
        <v>0</v>
      </c>
      <c r="AA317" s="121">
        <f>VLOOKUP($B317,'Tillförd energi'!$B$1:$AI$720,MATCH(AA$1,'Tillförd energi'!$B$1:$AQ$1,0),FALSE)</f>
        <v>0</v>
      </c>
      <c r="AB317" s="121">
        <f>VLOOKUP($B317,'Tillförd energi'!$B$1:$AI$720,MATCH(AB$1,'Tillförd energi'!$B$1:$AQ$1,0),FALSE)</f>
        <v>0</v>
      </c>
      <c r="AC317" s="121">
        <f>VLOOKUP($B317,'Tillförd energi'!$B$1:$AI$720,MATCH(AC$1,'Tillförd energi'!$B$1:$AQ$1,0),FALSE)</f>
        <v>0</v>
      </c>
      <c r="AD317" s="121">
        <f>VLOOKUP($B317,'Tillförd energi'!$B$1:$AI$720,MATCH(AD$1,'Tillförd energi'!$B$1:$AQ$1,0),FALSE)</f>
        <v>0</v>
      </c>
      <c r="AE317" s="121">
        <f>VLOOKUP($B317,'Tillförd energi'!$B$1:$AI$720,MATCH(AE$1,'Tillförd energi'!$B$1:$AQ$1,0),FALSE)</f>
        <v>0</v>
      </c>
      <c r="AF317" s="121">
        <f>VLOOKUP($B317,'Tillförd energi'!$B$1:$AI$720,MATCH(AF$1,'Tillförd energi'!$B$1:$AQ$1,0),FALSE)</f>
        <v>0.16600000000000001</v>
      </c>
      <c r="AG317" s="121">
        <f>IFERROR(VLOOKUP(B317,Miljö!$B$1:$AC$550,MATCH("Köpt mängd produktionsspecifik fjärrvärme:",Miljö!$B$1:$AC$1,0),FALSE)/1,0)</f>
        <v>0</v>
      </c>
      <c r="AH317" s="121"/>
      <c r="AI317" s="121">
        <f t="shared" si="132"/>
        <v>9.2590000000000003</v>
      </c>
      <c r="AJ317" s="121">
        <f t="shared" si="133"/>
        <v>9.2590000000000003</v>
      </c>
      <c r="AK317" s="121">
        <f>IF(ISERROR(1/VLOOKUP($B317,Leveranser!$B$1:$S$499,MATCH("såld värme (gwh)",Leveranser!$B$1:$S$1,0),FALSE)),"",VLOOKUP($B317,Leveranser!$B$1:$S$499,MATCH("såld värme (gwh)",Leveranser!$B$1:$S$1,0),FALSE))</f>
        <v>7.55</v>
      </c>
      <c r="AL317" s="121">
        <f>VLOOKUP($B317,Leveranser!$B$1:$Y$499,MATCH("Totalt såld fjärrvärme till andra fjärrvärmeföretag",Leveranser!$B$1:$AA$1,0),FALSE)</f>
        <v>0</v>
      </c>
      <c r="AM317" s="121">
        <f>IF(ISERROR(1/VLOOKUP($B317,Miljö!$B$1:$S$500,MATCH("Såld mängd produktionsspecifik fjärrvärme (GWh)",Miljö!$B$1:$R$1,0),FALSE)),0,VLOOKUP($B317,Miljö!$B$1:$S$500,MATCH("Såld mängd produktionsspecifik fjärrvärme (GWh)",Miljö!$B$1:$R$1,0),FALSE))</f>
        <v>0</v>
      </c>
      <c r="AN317" s="172">
        <f t="shared" si="134"/>
        <v>0.81542283183929143</v>
      </c>
      <c r="AO317" s="121"/>
      <c r="AP317" s="121" t="str">
        <f>IFERROR(VLOOKUP($B317,Miljövärden!$B$2:$H$550,7,FALSE),"Nej, saknas")</f>
        <v>Ja</v>
      </c>
      <c r="AQ317" s="121" t="str">
        <f>IFERROR(VLOOKUP($B317,Miljövärden!$B$2:$H$550,6,FALSE),"Nej, saknas")</f>
        <v>Ja</v>
      </c>
      <c r="AU317">
        <f t="shared" si="135"/>
        <v>0.16600000000000001</v>
      </c>
      <c r="AV317">
        <f t="shared" si="136"/>
        <v>0</v>
      </c>
      <c r="AW317">
        <f t="shared" si="137"/>
        <v>0</v>
      </c>
      <c r="AX317">
        <f t="shared" si="138"/>
        <v>7.4729999999999999</v>
      </c>
      <c r="AZ317">
        <f t="shared" si="139"/>
        <v>7.4729999999999999</v>
      </c>
      <c r="BC317">
        <f t="shared" si="140"/>
        <v>1.62</v>
      </c>
      <c r="BD317">
        <f t="shared" si="141"/>
        <v>0</v>
      </c>
      <c r="BE317">
        <f t="shared" si="142"/>
        <v>7.4729999999999999</v>
      </c>
      <c r="BF317">
        <f t="shared" si="143"/>
        <v>0</v>
      </c>
      <c r="BG317">
        <f t="shared" si="144"/>
        <v>0.16600000000000001</v>
      </c>
      <c r="BH317">
        <f>VLOOKUP(B317,Miljö!$B$1:$BX$482,MATCH("Fossilandel för ursprungspecificerad el ()",Miljö!$B$1:$I$1,0),FALSE)</f>
        <v>0</v>
      </c>
      <c r="BI317">
        <f>VLOOKUP(B317,Miljö!$B$1:$BX$482,MATCH("Kärnkraftsandel för ursprungsspecificerad el ()",Miljö!$B$1:$O$1,0),FALSE)</f>
        <v>0</v>
      </c>
      <c r="BJ317">
        <f t="shared" si="145"/>
        <v>0</v>
      </c>
      <c r="BK317" t="str">
        <f>VLOOKUP(B317,Miljö!$B$1:$O$482,MATCH("Fossil andel i procent (%)",Miljö!$B$1:$O$1,0),FALSE)</f>
        <v>ET</v>
      </c>
      <c r="BL317">
        <f t="shared" si="146"/>
        <v>9.2590000000000003</v>
      </c>
      <c r="BO317" s="18">
        <f t="shared" si="147"/>
        <v>0.17496489901717249</v>
      </c>
      <c r="BP317" s="18">
        <f t="shared" si="148"/>
        <v>0</v>
      </c>
      <c r="BQ317" s="18">
        <f t="shared" si="149"/>
        <v>0.82503510098282751</v>
      </c>
      <c r="BR317" s="18">
        <f t="shared" si="150"/>
        <v>0</v>
      </c>
      <c r="BT317" s="27">
        <f t="shared" si="151"/>
        <v>1</v>
      </c>
      <c r="BW317" s="18">
        <f>IF(AP317="ja",VLOOKUP(B317,Miljövärden!$B$2:$H$550,MATCH("Total andel fossilt",Miljövärden!$B$2:$H$2,0),FALSE),"")</f>
        <v>0.17496500000000001</v>
      </c>
      <c r="BZ317" s="28">
        <f t="shared" si="152"/>
        <v>1.0098282751669352E-7</v>
      </c>
      <c r="CA317" s="28">
        <f t="shared" si="153"/>
        <v>0</v>
      </c>
    </row>
    <row r="318" spans="1:79" x14ac:dyDescent="0.25">
      <c r="A318" s="224" t="s">
        <v>633</v>
      </c>
      <c r="B318" s="210" t="s">
        <v>635</v>
      </c>
      <c r="C318" s="121">
        <f>VLOOKUP($B318,'Tillförd energi'!$B$1:$AI$720,MATCH(C$1,'Tillförd energi'!$B$1:$AQ$1,0),FALSE)</f>
        <v>0</v>
      </c>
      <c r="D318" s="121">
        <f>VLOOKUP($B318,'Tillförd energi'!$B$1:$AI$720,MATCH(D$1,'Tillförd energi'!$B$1:$AQ$1,0),FALSE)</f>
        <v>0.03</v>
      </c>
      <c r="E318" s="121">
        <f>VLOOKUP($B318,'Tillförd energi'!$B$1:$AI$720,MATCH(E$1,'Tillförd energi'!$B$1:$AQ$1,0),FALSE)</f>
        <v>0</v>
      </c>
      <c r="F318" s="121">
        <f>VLOOKUP($B318,'Tillförd energi'!$B$1:$AI$720,MATCH(F$1,'Tillförd energi'!$B$1:$AQ$1,0),FALSE)</f>
        <v>0</v>
      </c>
      <c r="G318" s="121">
        <f>VLOOKUP($B318,'Tillförd energi'!$B$1:$AI$720,MATCH(G$1,'Tillförd energi'!$B$1:$AQ$1,0),FALSE)</f>
        <v>0</v>
      </c>
      <c r="H318" s="121">
        <f>VLOOKUP($B318,'Tillförd energi'!$B$1:$AI$720,MATCH(H$1,'Tillförd energi'!$B$1:$AQ$1,0),FALSE)</f>
        <v>0</v>
      </c>
      <c r="I318" s="121">
        <f>VLOOKUP($B318,'Tillförd energi'!$B$1:$AI$720,MATCH(I$1,'Tillförd energi'!$B$1:$AQ$1,0),FALSE)</f>
        <v>0</v>
      </c>
      <c r="J318" s="121">
        <f>VLOOKUP($B318,'Tillförd energi'!$B$1:$AI$720,MATCH(J$1,'Tillförd energi'!$B$1:$AQ$1,0),FALSE)</f>
        <v>0</v>
      </c>
      <c r="K318" s="121">
        <f>VLOOKUP($B318,'Tillförd energi'!$B$1:$AI$720,MATCH(K$1,'Tillförd energi'!$B$1:$AQ$1,0),FALSE)</f>
        <v>0</v>
      </c>
      <c r="L318" s="121">
        <f>VLOOKUP($B318,'Tillförd energi'!$B$1:$AI$720,MATCH(L$1,'Tillförd energi'!$B$1:$AQ$1,0),FALSE)</f>
        <v>0</v>
      </c>
      <c r="M318" s="121">
        <f>VLOOKUP($B318,'Tillförd energi'!$B$1:$AI$720,MATCH(M$1,'Tillförd energi'!$B$1:$AQ$1,0),FALSE)</f>
        <v>0</v>
      </c>
      <c r="N318" s="121">
        <f>VLOOKUP($B318,'Tillförd energi'!$B$1:$AI$720,MATCH(N$1,'Tillförd energi'!$B$1:$AQ$1,0),FALSE)</f>
        <v>0</v>
      </c>
      <c r="O318" s="121">
        <f>VLOOKUP($B318,'Tillförd energi'!$B$1:$AI$720,MATCH(O$1,'Tillförd energi'!$B$1:$AQ$1,0),FALSE)</f>
        <v>0</v>
      </c>
      <c r="P318" s="121">
        <f>VLOOKUP($B318,'Tillförd energi'!$B$1:$AI$720,MATCH(P$1,'Tillförd energi'!$B$1:$AQ$1,0),FALSE)</f>
        <v>0</v>
      </c>
      <c r="Q318" s="121">
        <f>VLOOKUP($B318,'Tillförd energi'!$B$1:$AI$720,MATCH(Q$1,'Tillförd energi'!$B$1:$AQ$1,0),FALSE)</f>
        <v>0</v>
      </c>
      <c r="R318" s="121">
        <f>VLOOKUP($B318,'Tillförd energi'!$B$1:$AI$720,MATCH(R$1,'Tillförd energi'!$B$1:$AQ$1,0),FALSE)</f>
        <v>10.32</v>
      </c>
      <c r="S318" s="121">
        <f>VLOOKUP($B318,'Tillförd energi'!$B$1:$AI$720,MATCH(S$1,'Tillförd energi'!$B$1:$AQ$1,0),FALSE)</f>
        <v>0</v>
      </c>
      <c r="T318" s="121">
        <f>VLOOKUP($B318,'Tillförd energi'!$B$1:$AI$720,MATCH(T$1,'Tillförd energi'!$B$1:$AQ$1,0),FALSE)</f>
        <v>0</v>
      </c>
      <c r="U318" s="121">
        <f>VLOOKUP($B318,'Tillförd energi'!$B$1:$AI$720,MATCH(U$1,'Tillförd energi'!$B$1:$AQ$1,0),FALSE)</f>
        <v>0</v>
      </c>
      <c r="V318" s="121">
        <f>VLOOKUP($B318,'Tillförd energi'!$B$1:$AI$720,MATCH(V$1,'Tillförd energi'!$B$1:$AQ$1,0),FALSE)</f>
        <v>0</v>
      </c>
      <c r="W318" s="121">
        <f>VLOOKUP($B318,'Tillförd energi'!$B$1:$AI$720,MATCH(W$1,'Tillförd energi'!$B$1:$AQ$1,0),FALSE)</f>
        <v>0</v>
      </c>
      <c r="X318" s="121">
        <f>VLOOKUP($B318,'Tillförd energi'!$B$1:$AI$720,MATCH(X$1,'Tillförd energi'!$B$1:$AQ$1,0),FALSE)</f>
        <v>0</v>
      </c>
      <c r="Y318" s="121">
        <f>VLOOKUP($B318,'Tillförd energi'!$B$1:$AI$720,MATCH(Y$1,'Tillförd energi'!$B$1:$AQ$1,0),FALSE)</f>
        <v>0</v>
      </c>
      <c r="Z318" s="121">
        <f>VLOOKUP($B318,'Tillförd energi'!$B$1:$AI$720,MATCH(Z$1,'Tillförd energi'!$B$1:$AQ$1,0),FALSE)</f>
        <v>0</v>
      </c>
      <c r="AA318" s="121">
        <f>VLOOKUP($B318,'Tillförd energi'!$B$1:$AI$720,MATCH(AA$1,'Tillförd energi'!$B$1:$AQ$1,0),FALSE)</f>
        <v>0</v>
      </c>
      <c r="AB318" s="121">
        <f>VLOOKUP($B318,'Tillförd energi'!$B$1:$AI$720,MATCH(AB$1,'Tillförd energi'!$B$1:$AQ$1,0),FALSE)</f>
        <v>0</v>
      </c>
      <c r="AC318" s="121">
        <f>VLOOKUP($B318,'Tillförd energi'!$B$1:$AI$720,MATCH(AC$1,'Tillförd energi'!$B$1:$AQ$1,0),FALSE)</f>
        <v>0</v>
      </c>
      <c r="AD318" s="121">
        <f>VLOOKUP($B318,'Tillförd energi'!$B$1:$AI$720,MATCH(AD$1,'Tillförd energi'!$B$1:$AQ$1,0),FALSE)</f>
        <v>0</v>
      </c>
      <c r="AE318" s="121">
        <f>VLOOKUP($B318,'Tillförd energi'!$B$1:$AI$720,MATCH(AE$1,'Tillförd energi'!$B$1:$AQ$1,0),FALSE)</f>
        <v>0</v>
      </c>
      <c r="AF318" s="121">
        <f>VLOOKUP($B318,'Tillförd energi'!$B$1:$AI$720,MATCH(AF$1,'Tillförd energi'!$B$1:$AQ$1,0),FALSE)</f>
        <v>0.29699999999999999</v>
      </c>
      <c r="AG318" s="121">
        <f>IFERROR(VLOOKUP(B318,Miljö!$B$1:$AC$550,MATCH("Köpt mängd produktionsspecifik fjärrvärme:",Miljö!$B$1:$AC$1,0),FALSE)/1,0)</f>
        <v>0</v>
      </c>
      <c r="AH318" s="121"/>
      <c r="AI318" s="121">
        <f t="shared" si="132"/>
        <v>10.647</v>
      </c>
      <c r="AJ318" s="121">
        <f t="shared" si="133"/>
        <v>10.647</v>
      </c>
      <c r="AK318" s="121">
        <f>IF(ISERROR(1/VLOOKUP($B318,Leveranser!$B$1:$S$499,MATCH("såld värme (gwh)",Leveranser!$B$1:$S$1,0),FALSE)),"",VLOOKUP($B318,Leveranser!$B$1:$S$499,MATCH("såld värme (gwh)",Leveranser!$B$1:$S$1,0),FALSE))</f>
        <v>7.41</v>
      </c>
      <c r="AL318" s="121">
        <f>VLOOKUP($B318,Leveranser!$B$1:$Y$499,MATCH("Totalt såld fjärrvärme till andra fjärrvärmeföretag",Leveranser!$B$1:$AA$1,0),FALSE)</f>
        <v>0</v>
      </c>
      <c r="AM318" s="121">
        <f>IF(ISERROR(1/VLOOKUP($B318,Miljö!$B$1:$S$500,MATCH("Såld mängd produktionsspecifik fjärrvärme (GWh)",Miljö!$B$1:$R$1,0),FALSE)),0,VLOOKUP($B318,Miljö!$B$1:$S$500,MATCH("Såld mängd produktionsspecifik fjärrvärme (GWh)",Miljö!$B$1:$R$1,0),FALSE))</f>
        <v>0</v>
      </c>
      <c r="AN318" s="172">
        <f t="shared" si="134"/>
        <v>0.69597069597069594</v>
      </c>
      <c r="AO318" s="121"/>
      <c r="AP318" s="121" t="str">
        <f>IFERROR(VLOOKUP($B318,Miljövärden!$B$2:$H$550,7,FALSE),"Nej, saknas")</f>
        <v>Ja</v>
      </c>
      <c r="AQ318" s="121" t="str">
        <f>IFERROR(VLOOKUP($B318,Miljövärden!$B$2:$H$550,6,FALSE),"Nej, saknas")</f>
        <v>Ja</v>
      </c>
      <c r="AU318">
        <f t="shared" si="135"/>
        <v>0.29699999999999999</v>
      </c>
      <c r="AV318">
        <f t="shared" si="136"/>
        <v>0</v>
      </c>
      <c r="AW318">
        <f t="shared" si="137"/>
        <v>0</v>
      </c>
      <c r="AX318">
        <f t="shared" si="138"/>
        <v>10.32</v>
      </c>
      <c r="AZ318">
        <f t="shared" si="139"/>
        <v>10.32</v>
      </c>
      <c r="BC318">
        <f t="shared" si="140"/>
        <v>0.03</v>
      </c>
      <c r="BD318">
        <f t="shared" si="141"/>
        <v>0</v>
      </c>
      <c r="BE318">
        <f t="shared" si="142"/>
        <v>10.32</v>
      </c>
      <c r="BF318">
        <f t="shared" si="143"/>
        <v>0</v>
      </c>
      <c r="BG318">
        <f t="shared" si="144"/>
        <v>0.29699999999999999</v>
      </c>
      <c r="BH318">
        <f>VLOOKUP(B318,Miljö!$B$1:$BX$482,MATCH("Fossilandel för ursprungspecificerad el ()",Miljö!$B$1:$I$1,0),FALSE)</f>
        <v>0</v>
      </c>
      <c r="BI318">
        <f>VLOOKUP(B318,Miljö!$B$1:$BX$482,MATCH("Kärnkraftsandel för ursprungsspecificerad el ()",Miljö!$B$1:$O$1,0),FALSE)</f>
        <v>0</v>
      </c>
      <c r="BJ318">
        <f t="shared" si="145"/>
        <v>0</v>
      </c>
      <c r="BK318" t="str">
        <f>VLOOKUP(B318,Miljö!$B$1:$O$482,MATCH("Fossil andel i procent (%)",Miljö!$B$1:$O$1,0),FALSE)</f>
        <v>ET</v>
      </c>
      <c r="BL318">
        <f t="shared" si="146"/>
        <v>10.647</v>
      </c>
      <c r="BO318" s="18">
        <f t="shared" si="147"/>
        <v>2.8176951253874329E-3</v>
      </c>
      <c r="BP318" s="18">
        <f t="shared" si="148"/>
        <v>0</v>
      </c>
      <c r="BQ318" s="18">
        <f t="shared" si="149"/>
        <v>0.99718230487461268</v>
      </c>
      <c r="BR318" s="18">
        <f t="shared" si="150"/>
        <v>0</v>
      </c>
      <c r="BT318" s="27">
        <f t="shared" si="151"/>
        <v>1.0000000000000002</v>
      </c>
      <c r="BW318" s="18">
        <f>IF(AP318="ja",VLOOKUP(B318,Miljövärden!$B$2:$H$550,MATCH("Total andel fossilt",Miljövärden!$B$2:$H$2,0),FALSE),"")</f>
        <v>2.8176999999999998E-3</v>
      </c>
      <c r="BZ318" s="28">
        <f t="shared" si="152"/>
        <v>4.8746125668949758E-9</v>
      </c>
      <c r="CA318" s="28">
        <f t="shared" si="153"/>
        <v>0</v>
      </c>
    </row>
    <row r="319" spans="1:79" x14ac:dyDescent="0.25">
      <c r="A319" s="224" t="s">
        <v>633</v>
      </c>
      <c r="B319" s="210" t="s">
        <v>636</v>
      </c>
      <c r="C319" s="121">
        <f>VLOOKUP($B319,'Tillförd energi'!$B$1:$AI$720,MATCH(C$1,'Tillförd energi'!$B$1:$AQ$1,0),FALSE)</f>
        <v>0</v>
      </c>
      <c r="D319" s="121">
        <f>VLOOKUP($B319,'Tillförd energi'!$B$1:$AI$720,MATCH(D$1,'Tillförd energi'!$B$1:$AQ$1,0),FALSE)</f>
        <v>0.39</v>
      </c>
      <c r="E319" s="121">
        <f>VLOOKUP($B319,'Tillförd energi'!$B$1:$AI$720,MATCH(E$1,'Tillförd energi'!$B$1:$AQ$1,0),FALSE)</f>
        <v>0</v>
      </c>
      <c r="F319" s="121">
        <f>VLOOKUP($B319,'Tillförd energi'!$B$1:$AI$720,MATCH(F$1,'Tillförd energi'!$B$1:$AQ$1,0),FALSE)</f>
        <v>0</v>
      </c>
      <c r="G319" s="121">
        <f>VLOOKUP($B319,'Tillförd energi'!$B$1:$AI$720,MATCH(G$1,'Tillförd energi'!$B$1:$AQ$1,0),FALSE)</f>
        <v>0</v>
      </c>
      <c r="H319" s="121">
        <f>VLOOKUP($B319,'Tillförd energi'!$B$1:$AI$720,MATCH(H$1,'Tillförd energi'!$B$1:$AQ$1,0),FALSE)</f>
        <v>0</v>
      </c>
      <c r="I319" s="121">
        <f>VLOOKUP($B319,'Tillförd energi'!$B$1:$AI$720,MATCH(I$1,'Tillförd energi'!$B$1:$AQ$1,0),FALSE)</f>
        <v>0</v>
      </c>
      <c r="J319" s="121">
        <f>VLOOKUP($B319,'Tillförd energi'!$B$1:$AI$720,MATCH(J$1,'Tillförd energi'!$B$1:$AQ$1,0),FALSE)</f>
        <v>0</v>
      </c>
      <c r="K319" s="121">
        <f>VLOOKUP($B319,'Tillförd energi'!$B$1:$AI$720,MATCH(K$1,'Tillförd energi'!$B$1:$AQ$1,0),FALSE)</f>
        <v>0</v>
      </c>
      <c r="L319" s="121">
        <f>VLOOKUP($B319,'Tillförd energi'!$B$1:$AI$720,MATCH(L$1,'Tillförd energi'!$B$1:$AQ$1,0),FALSE)</f>
        <v>0</v>
      </c>
      <c r="M319" s="121">
        <f>VLOOKUP($B319,'Tillförd energi'!$B$1:$AI$720,MATCH(M$1,'Tillförd energi'!$B$1:$AQ$1,0),FALSE)</f>
        <v>0</v>
      </c>
      <c r="N319" s="121">
        <f>VLOOKUP($B319,'Tillförd energi'!$B$1:$AI$720,MATCH(N$1,'Tillförd energi'!$B$1:$AQ$1,0),FALSE)</f>
        <v>0</v>
      </c>
      <c r="O319" s="121">
        <f>VLOOKUP($B319,'Tillförd energi'!$B$1:$AI$720,MATCH(O$1,'Tillförd energi'!$B$1:$AQ$1,0),FALSE)</f>
        <v>0</v>
      </c>
      <c r="P319" s="121">
        <f>VLOOKUP($B319,'Tillförd energi'!$B$1:$AI$720,MATCH(P$1,'Tillförd energi'!$B$1:$AQ$1,0),FALSE)</f>
        <v>0</v>
      </c>
      <c r="Q319" s="121">
        <f>VLOOKUP($B319,'Tillförd energi'!$B$1:$AI$720,MATCH(Q$1,'Tillförd energi'!$B$1:$AQ$1,0),FALSE)</f>
        <v>10.676500000000001</v>
      </c>
      <c r="R319" s="121">
        <f>VLOOKUP($B319,'Tillförd energi'!$B$1:$AI$720,MATCH(R$1,'Tillförd energi'!$B$1:$AQ$1,0),FALSE)</f>
        <v>0</v>
      </c>
      <c r="S319" s="121">
        <f>VLOOKUP($B319,'Tillförd energi'!$B$1:$AI$720,MATCH(S$1,'Tillförd energi'!$B$1:$AQ$1,0),FALSE)</f>
        <v>0</v>
      </c>
      <c r="T319" s="121">
        <f>VLOOKUP($B319,'Tillförd energi'!$B$1:$AI$720,MATCH(T$1,'Tillförd energi'!$B$1:$AQ$1,0),FALSE)</f>
        <v>0</v>
      </c>
      <c r="U319" s="121">
        <f>VLOOKUP($B319,'Tillförd energi'!$B$1:$AI$720,MATCH(U$1,'Tillförd energi'!$B$1:$AQ$1,0),FALSE)</f>
        <v>0</v>
      </c>
      <c r="V319" s="121">
        <f>VLOOKUP($B319,'Tillförd energi'!$B$1:$AI$720,MATCH(V$1,'Tillförd energi'!$B$1:$AQ$1,0),FALSE)</f>
        <v>0</v>
      </c>
      <c r="W319" s="121">
        <f>VLOOKUP($B319,'Tillförd energi'!$B$1:$AI$720,MATCH(W$1,'Tillförd energi'!$B$1:$AQ$1,0),FALSE)</f>
        <v>0</v>
      </c>
      <c r="X319" s="121">
        <f>VLOOKUP($B319,'Tillförd energi'!$B$1:$AI$720,MATCH(X$1,'Tillförd energi'!$B$1:$AQ$1,0),FALSE)</f>
        <v>0</v>
      </c>
      <c r="Y319" s="121">
        <f>VLOOKUP($B319,'Tillförd energi'!$B$1:$AI$720,MATCH(Y$1,'Tillförd energi'!$B$1:$AQ$1,0),FALSE)</f>
        <v>0</v>
      </c>
      <c r="Z319" s="121">
        <f>VLOOKUP($B319,'Tillförd energi'!$B$1:$AI$720,MATCH(Z$1,'Tillförd energi'!$B$1:$AQ$1,0),FALSE)</f>
        <v>0</v>
      </c>
      <c r="AA319" s="121">
        <f>VLOOKUP($B319,'Tillförd energi'!$B$1:$AI$720,MATCH(AA$1,'Tillförd energi'!$B$1:$AQ$1,0),FALSE)</f>
        <v>0</v>
      </c>
      <c r="AB319" s="121">
        <f>VLOOKUP($B319,'Tillförd energi'!$B$1:$AI$720,MATCH(AB$1,'Tillförd energi'!$B$1:$AQ$1,0),FALSE)</f>
        <v>0</v>
      </c>
      <c r="AC319" s="121">
        <f>VLOOKUP($B319,'Tillförd energi'!$B$1:$AI$720,MATCH(AC$1,'Tillförd energi'!$B$1:$AQ$1,0),FALSE)</f>
        <v>0</v>
      </c>
      <c r="AD319" s="121">
        <f>VLOOKUP($B319,'Tillförd energi'!$B$1:$AI$720,MATCH(AD$1,'Tillförd energi'!$B$1:$AQ$1,0),FALSE)</f>
        <v>0</v>
      </c>
      <c r="AE319" s="121">
        <f>VLOOKUP($B319,'Tillförd energi'!$B$1:$AI$720,MATCH(AE$1,'Tillförd energi'!$B$1:$AQ$1,0),FALSE)</f>
        <v>0</v>
      </c>
      <c r="AF319" s="121">
        <f>VLOOKUP($B319,'Tillförd energi'!$B$1:$AI$720,MATCH(AF$1,'Tillförd energi'!$B$1:$AQ$1,0),FALSE)</f>
        <v>3.4000000000000002E-2</v>
      </c>
      <c r="AG319" s="121">
        <f>IFERROR(VLOOKUP(B319,Miljö!$B$1:$AC$550,MATCH("Köpt mängd produktionsspecifik fjärrvärme:",Miljö!$B$1:$AC$1,0),FALSE)/1,0)</f>
        <v>0</v>
      </c>
      <c r="AH319" s="121"/>
      <c r="AI319" s="121">
        <f t="shared" si="132"/>
        <v>11.100500000000002</v>
      </c>
      <c r="AJ319" s="121">
        <f t="shared" si="133"/>
        <v>11.100500000000002</v>
      </c>
      <c r="AK319" s="121">
        <f>IF(ISERROR(1/VLOOKUP($B319,Leveranser!$B$1:$S$499,MATCH("såld värme (gwh)",Leveranser!$B$1:$S$1,0),FALSE)),"",VLOOKUP($B319,Leveranser!$B$1:$S$499,MATCH("såld värme (gwh)",Leveranser!$B$1:$S$1,0),FALSE))</f>
        <v>7.54</v>
      </c>
      <c r="AL319" s="121">
        <f>VLOOKUP($B319,Leveranser!$B$1:$Y$499,MATCH("Totalt såld fjärrvärme till andra fjärrvärmeföretag",Leveranser!$B$1:$AA$1,0),FALSE)</f>
        <v>0</v>
      </c>
      <c r="AM319" s="121">
        <f>IF(ISERROR(1/VLOOKUP($B319,Miljö!$B$1:$S$500,MATCH("Såld mängd produktionsspecifik fjärrvärme (GWh)",Miljö!$B$1:$R$1,0),FALSE)),0,VLOOKUP($B319,Miljö!$B$1:$S$500,MATCH("Såld mängd produktionsspecifik fjärrvärme (GWh)",Miljö!$B$1:$R$1,0),FALSE))</f>
        <v>0</v>
      </c>
      <c r="AN319" s="172">
        <f t="shared" si="134"/>
        <v>0.6792486824917795</v>
      </c>
      <c r="AO319" s="121"/>
      <c r="AP319" s="121" t="str">
        <f>IFERROR(VLOOKUP($B319,Miljövärden!$B$2:$H$550,7,FALSE),"Nej, saknas")</f>
        <v>Ja</v>
      </c>
      <c r="AQ319" s="121" t="str">
        <f>IFERROR(VLOOKUP($B319,Miljövärden!$B$2:$H$550,6,FALSE),"Nej, saknas")</f>
        <v>Ja</v>
      </c>
      <c r="AU319">
        <f t="shared" si="135"/>
        <v>3.4000000000000002E-2</v>
      </c>
      <c r="AV319">
        <f t="shared" si="136"/>
        <v>0</v>
      </c>
      <c r="AW319">
        <f t="shared" si="137"/>
        <v>10.676500000000001</v>
      </c>
      <c r="AX319">
        <f t="shared" si="138"/>
        <v>0</v>
      </c>
      <c r="AZ319">
        <f t="shared" si="139"/>
        <v>10.676500000000001</v>
      </c>
      <c r="BC319">
        <f t="shared" si="140"/>
        <v>0.39</v>
      </c>
      <c r="BD319">
        <f t="shared" si="141"/>
        <v>0</v>
      </c>
      <c r="BE319">
        <f t="shared" si="142"/>
        <v>10.676500000000001</v>
      </c>
      <c r="BF319">
        <f t="shared" si="143"/>
        <v>0</v>
      </c>
      <c r="BG319">
        <f t="shared" si="144"/>
        <v>3.4000000000000002E-2</v>
      </c>
      <c r="BH319">
        <f>VLOOKUP(B319,Miljö!$B$1:$BX$482,MATCH("Fossilandel för ursprungspecificerad el ()",Miljö!$B$1:$I$1,0),FALSE)</f>
        <v>0</v>
      </c>
      <c r="BI319">
        <f>VLOOKUP(B319,Miljö!$B$1:$BX$482,MATCH("Kärnkraftsandel för ursprungsspecificerad el ()",Miljö!$B$1:$O$1,0),FALSE)</f>
        <v>0</v>
      </c>
      <c r="BJ319">
        <f t="shared" si="145"/>
        <v>0</v>
      </c>
      <c r="BK319" t="str">
        <f>VLOOKUP(B319,Miljö!$B$1:$O$482,MATCH("Fossil andel i procent (%)",Miljö!$B$1:$O$1,0),FALSE)</f>
        <v>ET</v>
      </c>
      <c r="BL319">
        <f t="shared" si="146"/>
        <v>11.100500000000002</v>
      </c>
      <c r="BO319" s="18">
        <f t="shared" si="147"/>
        <v>3.5133552542678255E-2</v>
      </c>
      <c r="BP319" s="18">
        <f t="shared" si="148"/>
        <v>0</v>
      </c>
      <c r="BQ319" s="18">
        <f t="shared" si="149"/>
        <v>0.96486644745732175</v>
      </c>
      <c r="BR319" s="18">
        <f t="shared" si="150"/>
        <v>0</v>
      </c>
      <c r="BT319" s="27">
        <f t="shared" si="151"/>
        <v>1</v>
      </c>
      <c r="BW319" s="18">
        <f>IF(AP319="ja",VLOOKUP(B319,Miljövärden!$B$2:$H$550,MATCH("Total andel fossilt",Miljövärden!$B$2:$H$2,0),FALSE),"")</f>
        <v>3.5133600000000001E-2</v>
      </c>
      <c r="BZ319" s="28">
        <f t="shared" si="152"/>
        <v>4.745732174599171E-8</v>
      </c>
      <c r="CA319" s="28">
        <f t="shared" si="153"/>
        <v>0</v>
      </c>
    </row>
    <row r="320" spans="1:79" x14ac:dyDescent="0.25">
      <c r="A320" s="224" t="s">
        <v>633</v>
      </c>
      <c r="B320" s="210" t="s">
        <v>637</v>
      </c>
      <c r="C320" s="121">
        <f>VLOOKUP($B320,'Tillförd energi'!$B$1:$AI$720,MATCH(C$1,'Tillförd energi'!$B$1:$AQ$1,0),FALSE)</f>
        <v>0</v>
      </c>
      <c r="D320" s="121">
        <f>VLOOKUP($B320,'Tillförd energi'!$B$1:$AI$720,MATCH(D$1,'Tillförd energi'!$B$1:$AQ$1,0),FALSE)</f>
        <v>32.049999999999997</v>
      </c>
      <c r="E320" s="121">
        <f>VLOOKUP($B320,'Tillförd energi'!$B$1:$AI$720,MATCH(E$1,'Tillförd energi'!$B$1:$AQ$1,0),FALSE)</f>
        <v>0</v>
      </c>
      <c r="F320" s="121">
        <f>VLOOKUP($B320,'Tillförd energi'!$B$1:$AI$720,MATCH(F$1,'Tillförd energi'!$B$1:$AQ$1,0),FALSE)</f>
        <v>0</v>
      </c>
      <c r="G320" s="121">
        <f>VLOOKUP($B320,'Tillförd energi'!$B$1:$AI$720,MATCH(G$1,'Tillförd energi'!$B$1:$AQ$1,0),FALSE)</f>
        <v>0</v>
      </c>
      <c r="H320" s="121">
        <f>VLOOKUP($B320,'Tillförd energi'!$B$1:$AI$720,MATCH(H$1,'Tillförd energi'!$B$1:$AQ$1,0),FALSE)</f>
        <v>0</v>
      </c>
      <c r="I320" s="121">
        <f>VLOOKUP($B320,'Tillförd energi'!$B$1:$AI$720,MATCH(I$1,'Tillförd energi'!$B$1:$AQ$1,0),FALSE)</f>
        <v>254.3</v>
      </c>
      <c r="J320" s="121">
        <f>VLOOKUP($B320,'Tillförd energi'!$B$1:$AI$720,MATCH(J$1,'Tillförd energi'!$B$1:$AQ$1,0),FALSE)</f>
        <v>0</v>
      </c>
      <c r="K320" s="121">
        <f>VLOOKUP($B320,'Tillförd energi'!$B$1:$AI$720,MATCH(K$1,'Tillförd energi'!$B$1:$AQ$1,0),FALSE)</f>
        <v>0</v>
      </c>
      <c r="L320" s="121">
        <f>VLOOKUP($B320,'Tillförd energi'!$B$1:$AI$720,MATCH(L$1,'Tillförd energi'!$B$1:$AQ$1,0),FALSE)</f>
        <v>90.942999999999998</v>
      </c>
      <c r="M320" s="121">
        <f>VLOOKUP($B320,'Tillförd energi'!$B$1:$AI$720,MATCH(M$1,'Tillförd energi'!$B$1:$AQ$1,0),FALSE)</f>
        <v>115.86</v>
      </c>
      <c r="N320" s="121">
        <f>VLOOKUP($B320,'Tillförd energi'!$B$1:$AI$720,MATCH(N$1,'Tillförd energi'!$B$1:$AQ$1,0),FALSE)</f>
        <v>1.9</v>
      </c>
      <c r="O320" s="121">
        <f>VLOOKUP($B320,'Tillförd energi'!$B$1:$AI$720,MATCH(O$1,'Tillförd energi'!$B$1:$AQ$1,0),FALSE)</f>
        <v>48.7</v>
      </c>
      <c r="P320" s="121">
        <f>VLOOKUP($B320,'Tillförd energi'!$B$1:$AI$720,MATCH(P$1,'Tillförd energi'!$B$1:$AQ$1,0),FALSE)</f>
        <v>81.599999999999994</v>
      </c>
      <c r="Q320" s="121">
        <f>VLOOKUP($B320,'Tillförd energi'!$B$1:$AI$720,MATCH(Q$1,'Tillförd energi'!$B$1:$AQ$1,0),FALSE)</f>
        <v>28.5</v>
      </c>
      <c r="R320" s="121">
        <f>VLOOKUP($B320,'Tillförd energi'!$B$1:$AI$720,MATCH(R$1,'Tillförd energi'!$B$1:$AQ$1,0),FALSE)</f>
        <v>12.33</v>
      </c>
      <c r="S320" s="121">
        <f>VLOOKUP($B320,'Tillförd energi'!$B$1:$AI$720,MATCH(S$1,'Tillförd energi'!$B$1:$AQ$1,0),FALSE)</f>
        <v>0</v>
      </c>
      <c r="T320" s="121">
        <f>VLOOKUP($B320,'Tillförd energi'!$B$1:$AI$720,MATCH(T$1,'Tillförd energi'!$B$1:$AQ$1,0),FALSE)</f>
        <v>0</v>
      </c>
      <c r="U320" s="121">
        <f>VLOOKUP($B320,'Tillförd energi'!$B$1:$AI$720,MATCH(U$1,'Tillförd energi'!$B$1:$AQ$1,0),FALSE)</f>
        <v>0</v>
      </c>
      <c r="V320" s="121">
        <f>VLOOKUP($B320,'Tillförd energi'!$B$1:$AI$720,MATCH(V$1,'Tillförd energi'!$B$1:$AQ$1,0),FALSE)</f>
        <v>0</v>
      </c>
      <c r="W320" s="121">
        <f>VLOOKUP($B320,'Tillförd energi'!$B$1:$AI$720,MATCH(W$1,'Tillförd energi'!$B$1:$AQ$1,0),FALSE)</f>
        <v>5.899</v>
      </c>
      <c r="X320" s="121">
        <f>VLOOKUP($B320,'Tillförd energi'!$B$1:$AI$720,MATCH(X$1,'Tillförd energi'!$B$1:$AQ$1,0),FALSE)</f>
        <v>0</v>
      </c>
      <c r="Y320" s="121">
        <f>VLOOKUP($B320,'Tillförd energi'!$B$1:$AI$720,MATCH(Y$1,'Tillförd energi'!$B$1:$AQ$1,0),FALSE)</f>
        <v>39.5</v>
      </c>
      <c r="Z320" s="121">
        <f>VLOOKUP($B320,'Tillförd energi'!$B$1:$AI$720,MATCH(Z$1,'Tillförd energi'!$B$1:$AQ$1,0),FALSE)</f>
        <v>8.83</v>
      </c>
      <c r="AA320" s="121">
        <f>VLOOKUP($B320,'Tillförd energi'!$B$1:$AI$720,MATCH(AA$1,'Tillförd energi'!$B$1:$AQ$1,0),FALSE)</f>
        <v>16.350000000000001</v>
      </c>
      <c r="AB320" s="121">
        <f>VLOOKUP($B320,'Tillförd energi'!$B$1:$AI$720,MATCH(AB$1,'Tillförd energi'!$B$1:$AQ$1,0),FALSE)</f>
        <v>30.8811</v>
      </c>
      <c r="AC320" s="121">
        <f>VLOOKUP($B320,'Tillförd energi'!$B$1:$AI$720,MATCH(AC$1,'Tillförd energi'!$B$1:$AQ$1,0),FALSE)</f>
        <v>168.2</v>
      </c>
      <c r="AD320" s="121">
        <f>VLOOKUP($B320,'Tillförd energi'!$B$1:$AI$720,MATCH(AD$1,'Tillförd energi'!$B$1:$AQ$1,0),FALSE)</f>
        <v>0</v>
      </c>
      <c r="AE320" s="121">
        <f>VLOOKUP($B320,'Tillförd energi'!$B$1:$AI$720,MATCH(AE$1,'Tillförd energi'!$B$1:$AQ$1,0),FALSE)</f>
        <v>0.46117599999999997</v>
      </c>
      <c r="AF320" s="121">
        <f>VLOOKUP($B320,'Tillförd energi'!$B$1:$AI$720,MATCH(AF$1,'Tillförd energi'!$B$1:$AQ$1,0),FALSE)</f>
        <v>34.232700000000001</v>
      </c>
      <c r="AG320" s="121">
        <f>IFERROR(VLOOKUP(B320,Miljö!$B$1:$AC$550,MATCH("Köpt mängd produktionsspecifik fjärrvärme:",Miljö!$B$1:$AC$1,0),FALSE)/1,0)</f>
        <v>0</v>
      </c>
      <c r="AH320" s="121"/>
      <c r="AI320" s="121">
        <f t="shared" si="132"/>
        <v>970.5369760000001</v>
      </c>
      <c r="AJ320" s="121">
        <f t="shared" si="133"/>
        <v>970.5369760000001</v>
      </c>
      <c r="AK320" s="121">
        <f>IF(ISERROR(1/VLOOKUP($B320,Leveranser!$B$1:$S$499,MATCH("såld värme (gwh)",Leveranser!$B$1:$S$1,0),FALSE)),"",VLOOKUP($B320,Leveranser!$B$1:$S$499,MATCH("såld värme (gwh)",Leveranser!$B$1:$S$1,0),FALSE))</f>
        <v>854.3</v>
      </c>
      <c r="AL320" s="121">
        <f>VLOOKUP($B320,Leveranser!$B$1:$Y$499,MATCH("Totalt såld fjärrvärme till andra fjärrvärmeföretag",Leveranser!$B$1:$AA$1,0),FALSE)</f>
        <v>0</v>
      </c>
      <c r="AM320" s="121">
        <f>IF(ISERROR(1/VLOOKUP($B320,Miljö!$B$1:$S$500,MATCH("Såld mängd produktionsspecifik fjärrvärme (GWh)",Miljö!$B$1:$R$1,0),FALSE)),0,VLOOKUP($B320,Miljö!$B$1:$S$500,MATCH("Såld mängd produktionsspecifik fjärrvärme (GWh)",Miljö!$B$1:$R$1,0),FALSE))</f>
        <v>0</v>
      </c>
      <c r="AN320" s="172">
        <f t="shared" si="134"/>
        <v>0.88023436625870488</v>
      </c>
      <c r="AO320" s="121"/>
      <c r="AP320" s="121" t="str">
        <f>IFERROR(VLOOKUP($B320,Miljövärden!$B$2:$H$550,7,FALSE),"Nej, saknas")</f>
        <v>Ja</v>
      </c>
      <c r="AQ320" s="121" t="str">
        <f>IFERROR(VLOOKUP($B320,Miljövärden!$B$2:$H$550,6,FALSE),"Nej, saknas")</f>
        <v>Ja</v>
      </c>
      <c r="AU320">
        <f t="shared" si="135"/>
        <v>59.412700000000001</v>
      </c>
      <c r="AV320">
        <f t="shared" si="136"/>
        <v>0</v>
      </c>
      <c r="AW320">
        <f t="shared" si="137"/>
        <v>276.56</v>
      </c>
      <c r="AX320">
        <f t="shared" si="138"/>
        <v>12.33</v>
      </c>
      <c r="AZ320">
        <f t="shared" si="139"/>
        <v>385.73200000000003</v>
      </c>
      <c r="BC320">
        <f t="shared" si="140"/>
        <v>32.511175999999999</v>
      </c>
      <c r="BD320">
        <f t="shared" si="141"/>
        <v>39.5</v>
      </c>
      <c r="BE320">
        <f t="shared" si="142"/>
        <v>294.78899999999999</v>
      </c>
      <c r="BF320">
        <f t="shared" si="143"/>
        <v>544.32410000000004</v>
      </c>
      <c r="BG320">
        <f t="shared" si="144"/>
        <v>59.412700000000001</v>
      </c>
      <c r="BH320">
        <f>VLOOKUP(B320,Miljö!$B$1:$BX$482,MATCH("Fossilandel för ursprungspecificerad el ()",Miljö!$B$1:$I$1,0),FALSE)</f>
        <v>0</v>
      </c>
      <c r="BI320">
        <f>VLOOKUP(B320,Miljö!$B$1:$BX$482,MATCH("Kärnkraftsandel för ursprungsspecificerad el ()",Miljö!$B$1:$O$1,0),FALSE)</f>
        <v>0</v>
      </c>
      <c r="BJ320">
        <f t="shared" si="145"/>
        <v>0</v>
      </c>
      <c r="BK320" t="str">
        <f>VLOOKUP(B320,Miljö!$B$1:$O$482,MATCH("Fossil andel i procent (%)",Miljö!$B$1:$O$1,0),FALSE)</f>
        <v>ET</v>
      </c>
      <c r="BL320">
        <f t="shared" si="146"/>
        <v>970.53697599999998</v>
      </c>
      <c r="BO320" s="18">
        <f t="shared" si="147"/>
        <v>3.3498132275178769E-2</v>
      </c>
      <c r="BP320" s="18">
        <f t="shared" si="148"/>
        <v>4.0699119123514982E-2</v>
      </c>
      <c r="BQ320" s="18">
        <f t="shared" si="149"/>
        <v>0.36495435903927886</v>
      </c>
      <c r="BR320" s="18">
        <f t="shared" si="150"/>
        <v>0.56084838956202743</v>
      </c>
      <c r="BT320" s="27">
        <f t="shared" si="151"/>
        <v>1</v>
      </c>
      <c r="BW320" s="18">
        <f>IF(AP320="ja",VLOOKUP(B320,Miljövärden!$B$2:$H$550,MATCH("Total andel fossilt",Miljövärden!$B$2:$H$2,0),FALSE),"")</f>
        <v>3.3022999999999997E-2</v>
      </c>
      <c r="BZ320" s="28">
        <f t="shared" si="152"/>
        <v>-4.7513227517877177E-4</v>
      </c>
      <c r="CA320" s="28">
        <f t="shared" si="153"/>
        <v>0</v>
      </c>
    </row>
    <row r="321" spans="1:79" x14ac:dyDescent="0.25">
      <c r="A321" s="224" t="s">
        <v>638</v>
      </c>
      <c r="B321" s="210" t="s">
        <v>639</v>
      </c>
      <c r="C321" s="121">
        <f>VLOOKUP($B321,'Tillförd energi'!$B$1:$AI$720,MATCH(C$1,'Tillförd energi'!$B$1:$AQ$1,0),FALSE)</f>
        <v>0</v>
      </c>
      <c r="D321" s="121">
        <f>VLOOKUP($B321,'Tillförd energi'!$B$1:$AI$720,MATCH(D$1,'Tillförd energi'!$B$1:$AQ$1,0),FALSE)</f>
        <v>0.87</v>
      </c>
      <c r="E321" s="121">
        <f>VLOOKUP($B321,'Tillförd energi'!$B$1:$AI$720,MATCH(E$1,'Tillförd energi'!$B$1:$AQ$1,0),FALSE)</f>
        <v>0</v>
      </c>
      <c r="F321" s="121">
        <f>VLOOKUP($B321,'Tillförd energi'!$B$1:$AI$720,MATCH(F$1,'Tillförd energi'!$B$1:$AQ$1,0),FALSE)</f>
        <v>0</v>
      </c>
      <c r="G321" s="121">
        <f>VLOOKUP($B321,'Tillförd energi'!$B$1:$AI$720,MATCH(G$1,'Tillförd energi'!$B$1:$AQ$1,0),FALSE)</f>
        <v>0</v>
      </c>
      <c r="H321" s="121">
        <f>VLOOKUP($B321,'Tillförd energi'!$B$1:$AI$720,MATCH(H$1,'Tillförd energi'!$B$1:$AQ$1,0),FALSE)</f>
        <v>0</v>
      </c>
      <c r="I321" s="121">
        <f>VLOOKUP($B321,'Tillförd energi'!$B$1:$AI$720,MATCH(I$1,'Tillförd energi'!$B$1:$AQ$1,0),FALSE)</f>
        <v>0</v>
      </c>
      <c r="J321" s="121">
        <f>VLOOKUP($B321,'Tillförd energi'!$B$1:$AI$720,MATCH(J$1,'Tillförd energi'!$B$1:$AQ$1,0),FALSE)</f>
        <v>0</v>
      </c>
      <c r="K321" s="121">
        <f>VLOOKUP($B321,'Tillförd energi'!$B$1:$AI$720,MATCH(K$1,'Tillförd energi'!$B$1:$AQ$1,0),FALSE)</f>
        <v>0</v>
      </c>
      <c r="L321" s="121">
        <f>VLOOKUP($B321,'Tillförd energi'!$B$1:$AI$720,MATCH(L$1,'Tillförd energi'!$B$1:$AQ$1,0),FALSE)</f>
        <v>0</v>
      </c>
      <c r="M321" s="121">
        <f>VLOOKUP($B321,'Tillförd energi'!$B$1:$AI$720,MATCH(M$1,'Tillförd energi'!$B$1:$AQ$1,0),FALSE)</f>
        <v>0.53</v>
      </c>
      <c r="N321" s="121">
        <f>VLOOKUP($B321,'Tillförd energi'!$B$1:$AI$720,MATCH(N$1,'Tillförd energi'!$B$1:$AQ$1,0),FALSE)</f>
        <v>7.0170000000000003</v>
      </c>
      <c r="O321" s="121">
        <f>VLOOKUP($B321,'Tillförd energi'!$B$1:$AI$720,MATCH(O$1,'Tillförd energi'!$B$1:$AQ$1,0),FALSE)</f>
        <v>0</v>
      </c>
      <c r="P321" s="121">
        <f>VLOOKUP($B321,'Tillförd energi'!$B$1:$AI$720,MATCH(P$1,'Tillförd energi'!$B$1:$AQ$1,0),FALSE)</f>
        <v>2.6440000000000001</v>
      </c>
      <c r="Q321" s="121">
        <f>VLOOKUP($B321,'Tillförd energi'!$B$1:$AI$720,MATCH(Q$1,'Tillförd energi'!$B$1:$AQ$1,0),FALSE)</f>
        <v>5.78</v>
      </c>
      <c r="R321" s="121">
        <f>VLOOKUP($B321,'Tillförd energi'!$B$1:$AI$720,MATCH(R$1,'Tillförd energi'!$B$1:$AQ$1,0),FALSE)</f>
        <v>10.63</v>
      </c>
      <c r="S321" s="121">
        <f>VLOOKUP($B321,'Tillförd energi'!$B$1:$AI$720,MATCH(S$1,'Tillförd energi'!$B$1:$AQ$1,0),FALSE)</f>
        <v>0</v>
      </c>
      <c r="T321" s="121">
        <f>VLOOKUP($B321,'Tillförd energi'!$B$1:$AI$720,MATCH(T$1,'Tillförd energi'!$B$1:$AQ$1,0),FALSE)</f>
        <v>0</v>
      </c>
      <c r="U321" s="121">
        <f>VLOOKUP($B321,'Tillförd energi'!$B$1:$AI$720,MATCH(U$1,'Tillförd energi'!$B$1:$AQ$1,0),FALSE)</f>
        <v>0</v>
      </c>
      <c r="V321" s="121">
        <f>VLOOKUP($B321,'Tillförd energi'!$B$1:$AI$720,MATCH(V$1,'Tillförd energi'!$B$1:$AQ$1,0),FALSE)</f>
        <v>0</v>
      </c>
      <c r="W321" s="121">
        <f>VLOOKUP($B321,'Tillförd energi'!$B$1:$AI$720,MATCH(W$1,'Tillförd energi'!$B$1:$AQ$1,0),FALSE)</f>
        <v>0</v>
      </c>
      <c r="X321" s="121">
        <f>VLOOKUP($B321,'Tillförd energi'!$B$1:$AI$720,MATCH(X$1,'Tillförd energi'!$B$1:$AQ$1,0),FALSE)</f>
        <v>0</v>
      </c>
      <c r="Y321" s="121">
        <f>VLOOKUP($B321,'Tillförd energi'!$B$1:$AI$720,MATCH(Y$1,'Tillförd energi'!$B$1:$AQ$1,0),FALSE)</f>
        <v>0.9</v>
      </c>
      <c r="Z321" s="121">
        <f>VLOOKUP($B321,'Tillförd energi'!$B$1:$AI$720,MATCH(Z$1,'Tillförd energi'!$B$1:$AQ$1,0),FALSE)</f>
        <v>0</v>
      </c>
      <c r="AA321" s="121">
        <f>VLOOKUP($B321,'Tillförd energi'!$B$1:$AI$720,MATCH(AA$1,'Tillförd energi'!$B$1:$AQ$1,0),FALSE)</f>
        <v>0</v>
      </c>
      <c r="AB321" s="121">
        <f>VLOOKUP($B321,'Tillförd energi'!$B$1:$AI$720,MATCH(AB$1,'Tillförd energi'!$B$1:$AQ$1,0),FALSE)</f>
        <v>0</v>
      </c>
      <c r="AC321" s="121">
        <f>VLOOKUP($B321,'Tillförd energi'!$B$1:$AI$720,MATCH(AC$1,'Tillförd energi'!$B$1:$AQ$1,0),FALSE)</f>
        <v>1.7330000000000001</v>
      </c>
      <c r="AD321" s="121">
        <f>VLOOKUP($B321,'Tillförd energi'!$B$1:$AI$720,MATCH(AD$1,'Tillförd energi'!$B$1:$AQ$1,0),FALSE)</f>
        <v>0</v>
      </c>
      <c r="AE321" s="121">
        <f>VLOOKUP($B321,'Tillförd energi'!$B$1:$AI$720,MATCH(AE$1,'Tillförd energi'!$B$1:$AQ$1,0),FALSE)</f>
        <v>0</v>
      </c>
      <c r="AF321" s="121">
        <f>VLOOKUP($B321,'Tillförd energi'!$B$1:$AI$720,MATCH(AF$1,'Tillförd energi'!$B$1:$AQ$1,0),FALSE)</f>
        <v>0.56699999999999995</v>
      </c>
      <c r="AG321" s="121">
        <f>IFERROR(VLOOKUP(B321,Miljö!$B$1:$AC$550,MATCH("Köpt mängd produktionsspecifik fjärrvärme:",Miljö!$B$1:$AC$1,0),FALSE)/1,0)</f>
        <v>0</v>
      </c>
      <c r="AH321" s="121"/>
      <c r="AI321" s="121">
        <f t="shared" si="132"/>
        <v>30.671000000000003</v>
      </c>
      <c r="AJ321" s="121">
        <f t="shared" si="133"/>
        <v>30.671000000000003</v>
      </c>
      <c r="AK321" s="121">
        <f>IF(ISERROR(1/VLOOKUP($B321,Leveranser!$B$1:$S$499,MATCH("såld värme (gwh)",Leveranser!$B$1:$S$1,0),FALSE)),"",VLOOKUP($B321,Leveranser!$B$1:$S$499,MATCH("såld värme (gwh)",Leveranser!$B$1:$S$1,0),FALSE))</f>
        <v>22.716999999999999</v>
      </c>
      <c r="AL321" s="121">
        <f>VLOOKUP($B321,Leveranser!$B$1:$Y$499,MATCH("Totalt såld fjärrvärme till andra fjärrvärmeföretag",Leveranser!$B$1:$AA$1,0),FALSE)</f>
        <v>0</v>
      </c>
      <c r="AM321" s="121">
        <f>IF(ISERROR(1/VLOOKUP($B321,Miljö!$B$1:$S$500,MATCH("Såld mängd produktionsspecifik fjärrvärme (GWh)",Miljö!$B$1:$R$1,0),FALSE)),0,VLOOKUP($B321,Miljö!$B$1:$S$500,MATCH("Såld mängd produktionsspecifik fjärrvärme (GWh)",Miljö!$B$1:$R$1,0),FALSE))</f>
        <v>0</v>
      </c>
      <c r="AN321" s="172">
        <f t="shared" si="134"/>
        <v>0.74066707965178824</v>
      </c>
      <c r="AO321" s="121"/>
      <c r="AP321" s="121" t="str">
        <f>IFERROR(VLOOKUP($B321,Miljövärden!$B$2:$H$550,7,FALSE),"Nej, saknas")</f>
        <v>Ja</v>
      </c>
      <c r="AQ321" s="121" t="str">
        <f>IFERROR(VLOOKUP($B321,Miljövärden!$B$2:$H$550,6,FALSE),"Nej, saknas")</f>
        <v>Ja</v>
      </c>
      <c r="AU321">
        <f t="shared" si="135"/>
        <v>0.56699999999999995</v>
      </c>
      <c r="AV321">
        <f t="shared" si="136"/>
        <v>0</v>
      </c>
      <c r="AW321">
        <f t="shared" si="137"/>
        <v>15.971</v>
      </c>
      <c r="AX321">
        <f t="shared" si="138"/>
        <v>10.63</v>
      </c>
      <c r="AZ321">
        <f t="shared" si="139"/>
        <v>26.600999999999999</v>
      </c>
      <c r="BC321">
        <f t="shared" si="140"/>
        <v>0.87</v>
      </c>
      <c r="BD321">
        <f t="shared" si="141"/>
        <v>0.9</v>
      </c>
      <c r="BE321">
        <f t="shared" si="142"/>
        <v>26.600999999999999</v>
      </c>
      <c r="BF321">
        <f t="shared" si="143"/>
        <v>1.7330000000000001</v>
      </c>
      <c r="BG321">
        <f t="shared" si="144"/>
        <v>0.56699999999999995</v>
      </c>
      <c r="BH321">
        <f>VLOOKUP(B321,Miljö!$B$1:$BX$482,MATCH("Fossilandel för ursprungspecificerad el ()",Miljö!$B$1:$I$1,0),FALSE)</f>
        <v>0</v>
      </c>
      <c r="BI321">
        <f>VLOOKUP(B321,Miljö!$B$1:$BX$482,MATCH("Kärnkraftsandel för ursprungsspecificerad el ()",Miljö!$B$1:$O$1,0),FALSE)</f>
        <v>0</v>
      </c>
      <c r="BJ321">
        <f t="shared" si="145"/>
        <v>0</v>
      </c>
      <c r="BK321" t="str">
        <f>VLOOKUP(B321,Miljö!$B$1:$O$482,MATCH("Fossil andel i procent (%)",Miljö!$B$1:$O$1,0),FALSE)</f>
        <v>ET</v>
      </c>
      <c r="BL321">
        <f t="shared" si="146"/>
        <v>30.670999999999999</v>
      </c>
      <c r="BO321" s="18">
        <f t="shared" si="147"/>
        <v>2.8365557040852925E-2</v>
      </c>
      <c r="BP321" s="18">
        <f t="shared" si="148"/>
        <v>2.9343679697434059E-2</v>
      </c>
      <c r="BQ321" s="18">
        <f t="shared" si="149"/>
        <v>0.88578787779987611</v>
      </c>
      <c r="BR321" s="18">
        <f t="shared" si="150"/>
        <v>5.6502885461836919E-2</v>
      </c>
      <c r="BT321" s="27">
        <f t="shared" si="151"/>
        <v>1</v>
      </c>
      <c r="BW321" s="18">
        <f>IF(AP321="ja",VLOOKUP(B321,Miljövärden!$B$2:$H$550,MATCH("Total andel fossilt",Miljövärden!$B$2:$H$2,0),FALSE),"")</f>
        <v>2.8365600000000001E-2</v>
      </c>
      <c r="BZ321" s="28">
        <f t="shared" si="152"/>
        <v>4.2959147076443438E-8</v>
      </c>
      <c r="CA321" s="28">
        <f t="shared" si="153"/>
        <v>0</v>
      </c>
    </row>
    <row r="322" spans="1:79" x14ac:dyDescent="0.25">
      <c r="A322" s="224" t="s">
        <v>638</v>
      </c>
      <c r="B322" s="210" t="s">
        <v>641</v>
      </c>
      <c r="C322" s="121">
        <f>VLOOKUP($B322,'Tillförd energi'!$B$1:$AI$720,MATCH(C$1,'Tillförd energi'!$B$1:$AQ$1,0),FALSE)</f>
        <v>0</v>
      </c>
      <c r="D322" s="121">
        <f>VLOOKUP($B322,'Tillförd energi'!$B$1:$AI$720,MATCH(D$1,'Tillförd energi'!$B$1:$AQ$1,0),FALSE)</f>
        <v>0.45200000000000001</v>
      </c>
      <c r="E322" s="121">
        <f>VLOOKUP($B322,'Tillförd energi'!$B$1:$AI$720,MATCH(E$1,'Tillförd energi'!$B$1:$AQ$1,0),FALSE)</f>
        <v>0</v>
      </c>
      <c r="F322" s="121">
        <f>VLOOKUP($B322,'Tillförd energi'!$B$1:$AI$720,MATCH(F$1,'Tillförd energi'!$B$1:$AQ$1,0),FALSE)</f>
        <v>0</v>
      </c>
      <c r="G322" s="121">
        <f>VLOOKUP($B322,'Tillförd energi'!$B$1:$AI$720,MATCH(G$1,'Tillförd energi'!$B$1:$AQ$1,0),FALSE)</f>
        <v>0</v>
      </c>
      <c r="H322" s="121">
        <f>VLOOKUP($B322,'Tillförd energi'!$B$1:$AI$720,MATCH(H$1,'Tillförd energi'!$B$1:$AQ$1,0),FALSE)</f>
        <v>0</v>
      </c>
      <c r="I322" s="121">
        <f>VLOOKUP($B322,'Tillförd energi'!$B$1:$AI$720,MATCH(I$1,'Tillförd energi'!$B$1:$AQ$1,0),FALSE)</f>
        <v>0</v>
      </c>
      <c r="J322" s="121">
        <f>VLOOKUP($B322,'Tillförd energi'!$B$1:$AI$720,MATCH(J$1,'Tillförd energi'!$B$1:$AQ$1,0),FALSE)</f>
        <v>0</v>
      </c>
      <c r="K322" s="121">
        <f>VLOOKUP($B322,'Tillförd energi'!$B$1:$AI$720,MATCH(K$1,'Tillförd energi'!$B$1:$AQ$1,0),FALSE)</f>
        <v>0</v>
      </c>
      <c r="L322" s="121">
        <f>VLOOKUP($B322,'Tillförd energi'!$B$1:$AI$720,MATCH(L$1,'Tillförd energi'!$B$1:$AQ$1,0),FALSE)</f>
        <v>0</v>
      </c>
      <c r="M322" s="121">
        <f>VLOOKUP($B322,'Tillförd energi'!$B$1:$AI$720,MATCH(M$1,'Tillförd energi'!$B$1:$AQ$1,0),FALSE)</f>
        <v>0.56100000000000005</v>
      </c>
      <c r="N322" s="121">
        <f>VLOOKUP($B322,'Tillförd energi'!$B$1:$AI$720,MATCH(N$1,'Tillförd energi'!$B$1:$AQ$1,0),FALSE)</f>
        <v>16.212</v>
      </c>
      <c r="O322" s="121">
        <f>VLOOKUP($B322,'Tillförd energi'!$B$1:$AI$720,MATCH(O$1,'Tillförd energi'!$B$1:$AQ$1,0),FALSE)</f>
        <v>0</v>
      </c>
      <c r="P322" s="121">
        <f>VLOOKUP($B322,'Tillförd energi'!$B$1:$AI$720,MATCH(P$1,'Tillförd energi'!$B$1:$AQ$1,0),FALSE)</f>
        <v>7.423</v>
      </c>
      <c r="Q322" s="121">
        <f>VLOOKUP($B322,'Tillförd energi'!$B$1:$AI$720,MATCH(Q$1,'Tillförd energi'!$B$1:$AQ$1,0),FALSE)</f>
        <v>9.8330000000000002</v>
      </c>
      <c r="R322" s="121">
        <f>VLOOKUP($B322,'Tillförd energi'!$B$1:$AI$720,MATCH(R$1,'Tillförd energi'!$B$1:$AQ$1,0),FALSE)</f>
        <v>0</v>
      </c>
      <c r="S322" s="121">
        <f>VLOOKUP($B322,'Tillförd energi'!$B$1:$AI$720,MATCH(S$1,'Tillförd energi'!$B$1:$AQ$1,0),FALSE)</f>
        <v>0</v>
      </c>
      <c r="T322" s="121">
        <f>VLOOKUP($B322,'Tillförd energi'!$B$1:$AI$720,MATCH(T$1,'Tillförd energi'!$B$1:$AQ$1,0),FALSE)</f>
        <v>0</v>
      </c>
      <c r="U322" s="121">
        <f>VLOOKUP($B322,'Tillförd energi'!$B$1:$AI$720,MATCH(U$1,'Tillförd energi'!$B$1:$AQ$1,0),FALSE)</f>
        <v>0</v>
      </c>
      <c r="V322" s="121">
        <f>VLOOKUP($B322,'Tillförd energi'!$B$1:$AI$720,MATCH(V$1,'Tillförd energi'!$B$1:$AQ$1,0),FALSE)</f>
        <v>0</v>
      </c>
      <c r="W322" s="121">
        <f>VLOOKUP($B322,'Tillförd energi'!$B$1:$AI$720,MATCH(W$1,'Tillförd energi'!$B$1:$AQ$1,0),FALSE)</f>
        <v>0</v>
      </c>
      <c r="X322" s="121">
        <f>VLOOKUP($B322,'Tillförd energi'!$B$1:$AI$720,MATCH(X$1,'Tillförd energi'!$B$1:$AQ$1,0),FALSE)</f>
        <v>0</v>
      </c>
      <c r="Y322" s="121">
        <f>VLOOKUP($B322,'Tillförd energi'!$B$1:$AI$720,MATCH(Y$1,'Tillförd energi'!$B$1:$AQ$1,0),FALSE)</f>
        <v>0.98499999999999999</v>
      </c>
      <c r="Z322" s="121">
        <f>VLOOKUP($B322,'Tillförd energi'!$B$1:$AI$720,MATCH(Z$1,'Tillförd energi'!$B$1:$AQ$1,0),FALSE)</f>
        <v>0</v>
      </c>
      <c r="AA322" s="121">
        <f>VLOOKUP($B322,'Tillförd energi'!$B$1:$AI$720,MATCH(AA$1,'Tillförd energi'!$B$1:$AQ$1,0),FALSE)</f>
        <v>0</v>
      </c>
      <c r="AB322" s="121">
        <f>VLOOKUP($B322,'Tillförd energi'!$B$1:$AI$720,MATCH(AB$1,'Tillförd energi'!$B$1:$AQ$1,0),FALSE)</f>
        <v>0</v>
      </c>
      <c r="AC322" s="121">
        <f>VLOOKUP($B322,'Tillförd energi'!$B$1:$AI$720,MATCH(AC$1,'Tillförd energi'!$B$1:$AQ$1,0),FALSE)</f>
        <v>4.1379999999999999</v>
      </c>
      <c r="AD322" s="121">
        <f>VLOOKUP($B322,'Tillförd energi'!$B$1:$AI$720,MATCH(AD$1,'Tillförd energi'!$B$1:$AQ$1,0),FALSE)</f>
        <v>0</v>
      </c>
      <c r="AE322" s="121">
        <f>VLOOKUP($B322,'Tillförd energi'!$B$1:$AI$720,MATCH(AE$1,'Tillförd energi'!$B$1:$AQ$1,0),FALSE)</f>
        <v>0</v>
      </c>
      <c r="AF322" s="121">
        <f>VLOOKUP($B322,'Tillförd energi'!$B$1:$AI$720,MATCH(AF$1,'Tillförd energi'!$B$1:$AQ$1,0),FALSE)</f>
        <v>0.86799999999999999</v>
      </c>
      <c r="AG322" s="121">
        <f>IFERROR(VLOOKUP(B322,Miljö!$B$1:$AC$550,MATCH("Köpt mängd produktionsspecifik fjärrvärme:",Miljö!$B$1:$AC$1,0),FALSE)/1,0)</f>
        <v>0</v>
      </c>
      <c r="AH322" s="121"/>
      <c r="AI322" s="121">
        <f t="shared" si="132"/>
        <v>40.472000000000001</v>
      </c>
      <c r="AJ322" s="121">
        <f t="shared" si="133"/>
        <v>40.472000000000001</v>
      </c>
      <c r="AK322" s="121">
        <f>IF(ISERROR(1/VLOOKUP($B322,Leveranser!$B$1:$S$499,MATCH("såld värme (gwh)",Leveranser!$B$1:$S$1,0),FALSE)),"",VLOOKUP($B322,Leveranser!$B$1:$S$499,MATCH("såld värme (gwh)",Leveranser!$B$1:$S$1,0),FALSE))</f>
        <v>30.187000000000001</v>
      </c>
      <c r="AL322" s="121">
        <f>VLOOKUP($B322,Leveranser!$B$1:$Y$499,MATCH("Totalt såld fjärrvärme till andra fjärrvärmeföretag",Leveranser!$B$1:$AA$1,0),FALSE)</f>
        <v>0</v>
      </c>
      <c r="AM322" s="121">
        <f>IF(ISERROR(1/VLOOKUP($B322,Miljö!$B$1:$S$500,MATCH("Såld mängd produktionsspecifik fjärrvärme (GWh)",Miljö!$B$1:$R$1,0),FALSE)),0,VLOOKUP($B322,Miljö!$B$1:$S$500,MATCH("Såld mängd produktionsspecifik fjärrvärme (GWh)",Miljö!$B$1:$R$1,0),FALSE))</f>
        <v>0</v>
      </c>
      <c r="AN322" s="172">
        <f t="shared" si="134"/>
        <v>0.74587369045265861</v>
      </c>
      <c r="AO322" s="121"/>
      <c r="AP322" s="121" t="str">
        <f>IFERROR(VLOOKUP($B322,Miljövärden!$B$2:$H$550,7,FALSE),"Nej, saknas")</f>
        <v>Ja</v>
      </c>
      <c r="AQ322" s="121" t="str">
        <f>IFERROR(VLOOKUP($B322,Miljövärden!$B$2:$H$550,6,FALSE),"Nej, saknas")</f>
        <v>Ja</v>
      </c>
      <c r="AU322">
        <f t="shared" si="135"/>
        <v>0.86799999999999999</v>
      </c>
      <c r="AV322">
        <f t="shared" si="136"/>
        <v>0</v>
      </c>
      <c r="AW322">
        <f t="shared" si="137"/>
        <v>34.028999999999996</v>
      </c>
      <c r="AX322">
        <f t="shared" si="138"/>
        <v>0</v>
      </c>
      <c r="AZ322">
        <f t="shared" si="139"/>
        <v>34.028999999999996</v>
      </c>
      <c r="BC322">
        <f t="shared" si="140"/>
        <v>0.45200000000000001</v>
      </c>
      <c r="BD322">
        <f t="shared" si="141"/>
        <v>0.98499999999999999</v>
      </c>
      <c r="BE322">
        <f t="shared" si="142"/>
        <v>34.028999999999996</v>
      </c>
      <c r="BF322">
        <f t="shared" si="143"/>
        <v>4.1379999999999999</v>
      </c>
      <c r="BG322">
        <f t="shared" si="144"/>
        <v>0.86799999999999999</v>
      </c>
      <c r="BH322">
        <f>VLOOKUP(B322,Miljö!$B$1:$BX$482,MATCH("Fossilandel för ursprungspecificerad el ()",Miljö!$B$1:$I$1,0),FALSE)</f>
        <v>0</v>
      </c>
      <c r="BI322">
        <f>VLOOKUP(B322,Miljö!$B$1:$BX$482,MATCH("Kärnkraftsandel för ursprungsspecificerad el ()",Miljö!$B$1:$O$1,0),FALSE)</f>
        <v>0</v>
      </c>
      <c r="BJ322">
        <f t="shared" si="145"/>
        <v>0</v>
      </c>
      <c r="BK322" t="str">
        <f>VLOOKUP(B322,Miljö!$B$1:$O$482,MATCH("Fossil andel i procent (%)",Miljö!$B$1:$O$1,0),FALSE)</f>
        <v>ET</v>
      </c>
      <c r="BL322">
        <f t="shared" si="146"/>
        <v>40.471999999999994</v>
      </c>
      <c r="BO322" s="18">
        <f t="shared" si="147"/>
        <v>1.1168215062265271E-2</v>
      </c>
      <c r="BP322" s="18">
        <f t="shared" si="148"/>
        <v>2.4337813797193124E-2</v>
      </c>
      <c r="BQ322" s="18">
        <f t="shared" si="149"/>
        <v>0.86225044475192736</v>
      </c>
      <c r="BR322" s="18">
        <f t="shared" si="150"/>
        <v>0.10224352638861436</v>
      </c>
      <c r="BT322" s="27">
        <f t="shared" si="151"/>
        <v>1.0000000000000002</v>
      </c>
      <c r="BW322" s="18">
        <f>IF(AP322="ja",VLOOKUP(B322,Miljövärden!$B$2:$H$550,MATCH("Total andel fossilt",Miljövärden!$B$2:$H$2,0),FALSE),"")</f>
        <v>1.11682E-2</v>
      </c>
      <c r="BZ322" s="28">
        <f t="shared" si="152"/>
        <v>-1.5062265271842401E-8</v>
      </c>
      <c r="CA322" s="28">
        <f t="shared" si="153"/>
        <v>0</v>
      </c>
    </row>
    <row r="323" spans="1:79" x14ac:dyDescent="0.25">
      <c r="A323" s="224" t="s">
        <v>643</v>
      </c>
      <c r="B323" s="210" t="s">
        <v>644</v>
      </c>
      <c r="C323" s="121">
        <f>VLOOKUP($B323,'Tillförd energi'!$B$1:$AI$720,MATCH(C$1,'Tillförd energi'!$B$1:$AQ$1,0),FALSE)</f>
        <v>0</v>
      </c>
      <c r="D323" s="121">
        <f>VLOOKUP($B323,'Tillförd energi'!$B$1:$AI$720,MATCH(D$1,'Tillförd energi'!$B$1:$AQ$1,0),FALSE)</f>
        <v>7.0000000000000001E-3</v>
      </c>
      <c r="E323" s="121">
        <f>VLOOKUP($B323,'Tillförd energi'!$B$1:$AI$720,MATCH(E$1,'Tillförd energi'!$B$1:$AQ$1,0),FALSE)</f>
        <v>0</v>
      </c>
      <c r="F323" s="121">
        <f>VLOOKUP($B323,'Tillförd energi'!$B$1:$AI$720,MATCH(F$1,'Tillförd energi'!$B$1:$AQ$1,0),FALSE)</f>
        <v>0</v>
      </c>
      <c r="G323" s="121">
        <f>VLOOKUP($B323,'Tillförd energi'!$B$1:$AI$720,MATCH(G$1,'Tillförd energi'!$B$1:$AQ$1,0),FALSE)</f>
        <v>0</v>
      </c>
      <c r="H323" s="121">
        <f>VLOOKUP($B323,'Tillförd energi'!$B$1:$AI$720,MATCH(H$1,'Tillförd energi'!$B$1:$AQ$1,0),FALSE)</f>
        <v>0</v>
      </c>
      <c r="I323" s="121">
        <f>VLOOKUP($B323,'Tillförd energi'!$B$1:$AI$720,MATCH(I$1,'Tillförd energi'!$B$1:$AQ$1,0),FALSE)</f>
        <v>0</v>
      </c>
      <c r="J323" s="121">
        <f>VLOOKUP($B323,'Tillförd energi'!$B$1:$AI$720,MATCH(J$1,'Tillförd energi'!$B$1:$AQ$1,0),FALSE)</f>
        <v>0</v>
      </c>
      <c r="K323" s="121">
        <f>VLOOKUP($B323,'Tillförd energi'!$B$1:$AI$720,MATCH(K$1,'Tillförd energi'!$B$1:$AQ$1,0),FALSE)</f>
        <v>0</v>
      </c>
      <c r="L323" s="121">
        <f>VLOOKUP($B323,'Tillförd energi'!$B$1:$AI$720,MATCH(L$1,'Tillförd energi'!$B$1:$AQ$1,0),FALSE)</f>
        <v>0</v>
      </c>
      <c r="M323" s="121">
        <f>VLOOKUP($B323,'Tillförd energi'!$B$1:$AI$720,MATCH(M$1,'Tillförd energi'!$B$1:$AQ$1,0),FALSE)</f>
        <v>6.73</v>
      </c>
      <c r="N323" s="121">
        <f>VLOOKUP($B323,'Tillförd energi'!$B$1:$AI$720,MATCH(N$1,'Tillförd energi'!$B$1:$AQ$1,0),FALSE)</f>
        <v>9.0519999999999996</v>
      </c>
      <c r="O323" s="121">
        <f>VLOOKUP($B323,'Tillförd energi'!$B$1:$AI$720,MATCH(O$1,'Tillförd energi'!$B$1:$AQ$1,0),FALSE)</f>
        <v>6.1429999999999998</v>
      </c>
      <c r="P323" s="121">
        <f>VLOOKUP($B323,'Tillförd energi'!$B$1:$AI$720,MATCH(P$1,'Tillförd energi'!$B$1:$AQ$1,0),FALSE)</f>
        <v>16.548999999999999</v>
      </c>
      <c r="Q323" s="121">
        <f>VLOOKUP($B323,'Tillförd energi'!$B$1:$AI$720,MATCH(Q$1,'Tillförd energi'!$B$1:$AQ$1,0),FALSE)</f>
        <v>5.8988199999999997</v>
      </c>
      <c r="R323" s="121">
        <f>VLOOKUP($B323,'Tillförd energi'!$B$1:$AI$720,MATCH(R$1,'Tillförd energi'!$B$1:$AQ$1,0),FALSE)</f>
        <v>0</v>
      </c>
      <c r="S323" s="121">
        <f>VLOOKUP($B323,'Tillförd energi'!$B$1:$AI$720,MATCH(S$1,'Tillförd energi'!$B$1:$AQ$1,0),FALSE)</f>
        <v>0</v>
      </c>
      <c r="T323" s="121">
        <f>VLOOKUP($B323,'Tillförd energi'!$B$1:$AI$720,MATCH(T$1,'Tillförd energi'!$B$1:$AQ$1,0),FALSE)</f>
        <v>0</v>
      </c>
      <c r="U323" s="121">
        <f>VLOOKUP($B323,'Tillförd energi'!$B$1:$AI$720,MATCH(U$1,'Tillförd energi'!$B$1:$AQ$1,0),FALSE)</f>
        <v>0</v>
      </c>
      <c r="V323" s="121">
        <f>VLOOKUP($B323,'Tillförd energi'!$B$1:$AI$720,MATCH(V$1,'Tillförd energi'!$B$1:$AQ$1,0),FALSE)</f>
        <v>0</v>
      </c>
      <c r="W323" s="121">
        <f>VLOOKUP($B323,'Tillförd energi'!$B$1:$AI$720,MATCH(W$1,'Tillförd energi'!$B$1:$AQ$1,0),FALSE)</f>
        <v>0</v>
      </c>
      <c r="X323" s="121">
        <f>VLOOKUP($B323,'Tillförd energi'!$B$1:$AI$720,MATCH(X$1,'Tillförd energi'!$B$1:$AQ$1,0),FALSE)</f>
        <v>0</v>
      </c>
      <c r="Y323" s="121">
        <f>VLOOKUP($B323,'Tillförd energi'!$B$1:$AI$720,MATCH(Y$1,'Tillförd energi'!$B$1:$AQ$1,0),FALSE)</f>
        <v>0</v>
      </c>
      <c r="Z323" s="121">
        <f>VLOOKUP($B323,'Tillförd energi'!$B$1:$AI$720,MATCH(Z$1,'Tillförd energi'!$B$1:$AQ$1,0),FALSE)</f>
        <v>0</v>
      </c>
      <c r="AA323" s="121">
        <f>VLOOKUP($B323,'Tillförd energi'!$B$1:$AI$720,MATCH(AA$1,'Tillförd energi'!$B$1:$AQ$1,0),FALSE)</f>
        <v>0</v>
      </c>
      <c r="AB323" s="121">
        <f>VLOOKUP($B323,'Tillförd energi'!$B$1:$AI$720,MATCH(AB$1,'Tillförd energi'!$B$1:$AQ$1,0),FALSE)</f>
        <v>0</v>
      </c>
      <c r="AC323" s="121">
        <f>VLOOKUP($B323,'Tillförd energi'!$B$1:$AI$720,MATCH(AC$1,'Tillförd energi'!$B$1:$AQ$1,0),FALSE)</f>
        <v>0</v>
      </c>
      <c r="AD323" s="121">
        <f>VLOOKUP($B323,'Tillförd energi'!$B$1:$AI$720,MATCH(AD$1,'Tillförd energi'!$B$1:$AQ$1,0),FALSE)</f>
        <v>0</v>
      </c>
      <c r="AE323" s="121">
        <f>VLOOKUP($B323,'Tillförd energi'!$B$1:$AI$720,MATCH(AE$1,'Tillförd energi'!$B$1:$AQ$1,0),FALSE)</f>
        <v>0</v>
      </c>
      <c r="AF323" s="121">
        <f>VLOOKUP($B323,'Tillförd energi'!$B$1:$AI$720,MATCH(AF$1,'Tillförd energi'!$B$1:$AQ$1,0),FALSE)</f>
        <v>0.54900000000000004</v>
      </c>
      <c r="AG323" s="121">
        <f>IFERROR(VLOOKUP(B323,Miljö!$B$1:$AC$550,MATCH("Köpt mängd produktionsspecifik fjärrvärme:",Miljö!$B$1:$AC$1,0),FALSE)/1,0)</f>
        <v>0</v>
      </c>
      <c r="AH323" s="121"/>
      <c r="AI323" s="121">
        <f t="shared" si="132"/>
        <v>44.928819999999995</v>
      </c>
      <c r="AJ323" s="121">
        <f t="shared" si="133"/>
        <v>44.928819999999995</v>
      </c>
      <c r="AK323" s="121">
        <f>IF(ISERROR(1/VLOOKUP($B323,Leveranser!$B$1:$S$499,MATCH("såld värme (gwh)",Leveranser!$B$1:$S$1,0),FALSE)),"",VLOOKUP($B323,Leveranser!$B$1:$S$499,MATCH("såld värme (gwh)",Leveranser!$B$1:$S$1,0),FALSE))</f>
        <v>31.73</v>
      </c>
      <c r="AL323" s="121">
        <f>VLOOKUP($B323,Leveranser!$B$1:$Y$499,MATCH("Totalt såld fjärrvärme till andra fjärrvärmeföretag",Leveranser!$B$1:$AA$1,0),FALSE)</f>
        <v>0</v>
      </c>
      <c r="AM323" s="121">
        <f>IF(ISERROR(1/VLOOKUP($B323,Miljö!$B$1:$S$500,MATCH("Såld mängd produktionsspecifik fjärrvärme (GWh)",Miljö!$B$1:$R$1,0),FALSE)),0,VLOOKUP($B323,Miljö!$B$1:$S$500,MATCH("Såld mängd produktionsspecifik fjärrvärme (GWh)",Miljö!$B$1:$R$1,0),FALSE))</f>
        <v>0</v>
      </c>
      <c r="AN323" s="172">
        <f t="shared" si="134"/>
        <v>0.70622820719529256</v>
      </c>
      <c r="AO323" s="121"/>
      <c r="AP323" s="121" t="str">
        <f>IFERROR(VLOOKUP($B323,Miljövärden!$B$2:$H$550,7,FALSE),"Nej, saknas")</f>
        <v>Ja</v>
      </c>
      <c r="AQ323" s="121" t="str">
        <f>IFERROR(VLOOKUP($B323,Miljövärden!$B$2:$H$550,6,FALSE),"Nej, saknas")</f>
        <v>Ja</v>
      </c>
      <c r="AU323">
        <f t="shared" si="135"/>
        <v>0.54900000000000004</v>
      </c>
      <c r="AV323">
        <f t="shared" si="136"/>
        <v>0</v>
      </c>
      <c r="AW323">
        <f t="shared" si="137"/>
        <v>44.372820000000004</v>
      </c>
      <c r="AX323">
        <f t="shared" si="138"/>
        <v>0</v>
      </c>
      <c r="AZ323">
        <f t="shared" si="139"/>
        <v>44.372820000000004</v>
      </c>
      <c r="BC323">
        <f t="shared" si="140"/>
        <v>7.0000000000000001E-3</v>
      </c>
      <c r="BD323">
        <f t="shared" si="141"/>
        <v>0</v>
      </c>
      <c r="BE323">
        <f t="shared" si="142"/>
        <v>44.372820000000004</v>
      </c>
      <c r="BF323">
        <f t="shared" si="143"/>
        <v>0</v>
      </c>
      <c r="BG323">
        <f t="shared" si="144"/>
        <v>0.54900000000000004</v>
      </c>
      <c r="BH323">
        <f>VLOOKUP(B323,Miljö!$B$1:$BX$482,MATCH("Fossilandel för ursprungspecificerad el ()",Miljö!$B$1:$I$1,0),FALSE)</f>
        <v>0</v>
      </c>
      <c r="BI323">
        <f>VLOOKUP(B323,Miljö!$B$1:$BX$482,MATCH("Kärnkraftsandel för ursprungsspecificerad el ()",Miljö!$B$1:$O$1,0),FALSE)</f>
        <v>0</v>
      </c>
      <c r="BJ323">
        <f t="shared" si="145"/>
        <v>0</v>
      </c>
      <c r="BK323" t="str">
        <f>VLOOKUP(B323,Miljö!$B$1:$O$482,MATCH("Fossil andel i procent (%)",Miljö!$B$1:$O$1,0),FALSE)</f>
        <v>ET</v>
      </c>
      <c r="BL323">
        <f t="shared" si="146"/>
        <v>44.928820000000002</v>
      </c>
      <c r="BO323" s="18">
        <f t="shared" si="147"/>
        <v>1.5580199969640867E-4</v>
      </c>
      <c r="BP323" s="18">
        <f t="shared" si="148"/>
        <v>0</v>
      </c>
      <c r="BQ323" s="18">
        <f t="shared" si="149"/>
        <v>0.99984419800030366</v>
      </c>
      <c r="BR323" s="18">
        <f t="shared" si="150"/>
        <v>0</v>
      </c>
      <c r="BT323" s="27">
        <f t="shared" si="151"/>
        <v>1</v>
      </c>
      <c r="BW323" s="18">
        <f>IF(AP323="ja",VLOOKUP(B323,Miljövärden!$B$2:$H$550,MATCH("Total andel fossilt",Miljövärden!$B$2:$H$2,0),FALSE),"")</f>
        <v>1.55802E-4</v>
      </c>
      <c r="BZ323" s="28">
        <f t="shared" si="152"/>
        <v>3.0359132634043273E-13</v>
      </c>
      <c r="CA323" s="28">
        <f t="shared" si="153"/>
        <v>0</v>
      </c>
    </row>
    <row r="324" spans="1:79" x14ac:dyDescent="0.25">
      <c r="A324" s="224" t="s">
        <v>645</v>
      </c>
      <c r="B324" s="210" t="s">
        <v>646</v>
      </c>
      <c r="C324" s="121">
        <f>VLOOKUP($B324,'Tillförd energi'!$B$1:$AI$720,MATCH(C$1,'Tillförd energi'!$B$1:$AQ$1,0),FALSE)</f>
        <v>0</v>
      </c>
      <c r="D324" s="121">
        <f>VLOOKUP($B324,'Tillförd energi'!$B$1:$AI$720,MATCH(D$1,'Tillförd energi'!$B$1:$AQ$1,0),FALSE)</f>
        <v>0.126</v>
      </c>
      <c r="E324" s="121">
        <f>VLOOKUP($B324,'Tillförd energi'!$B$1:$AI$720,MATCH(E$1,'Tillförd energi'!$B$1:$AQ$1,0),FALSE)</f>
        <v>0</v>
      </c>
      <c r="F324" s="121">
        <f>VLOOKUP($B324,'Tillförd energi'!$B$1:$AI$720,MATCH(F$1,'Tillförd energi'!$B$1:$AQ$1,0),FALSE)</f>
        <v>0</v>
      </c>
      <c r="G324" s="121">
        <f>VLOOKUP($B324,'Tillförd energi'!$B$1:$AI$720,MATCH(G$1,'Tillförd energi'!$B$1:$AQ$1,0),FALSE)</f>
        <v>0</v>
      </c>
      <c r="H324" s="121">
        <f>VLOOKUP($B324,'Tillförd energi'!$B$1:$AI$720,MATCH(H$1,'Tillförd energi'!$B$1:$AQ$1,0),FALSE)</f>
        <v>0</v>
      </c>
      <c r="I324" s="121">
        <f>VLOOKUP($B324,'Tillförd energi'!$B$1:$AI$720,MATCH(I$1,'Tillförd energi'!$B$1:$AQ$1,0),FALSE)</f>
        <v>0</v>
      </c>
      <c r="J324" s="121">
        <f>VLOOKUP($B324,'Tillförd energi'!$B$1:$AI$720,MATCH(J$1,'Tillförd energi'!$B$1:$AQ$1,0),FALSE)</f>
        <v>0</v>
      </c>
      <c r="K324" s="121">
        <f>VLOOKUP($B324,'Tillförd energi'!$B$1:$AI$720,MATCH(K$1,'Tillförd energi'!$B$1:$AQ$1,0),FALSE)</f>
        <v>0</v>
      </c>
      <c r="L324" s="121">
        <f>VLOOKUP($B324,'Tillförd energi'!$B$1:$AI$720,MATCH(L$1,'Tillförd energi'!$B$1:$AQ$1,0),FALSE)</f>
        <v>0</v>
      </c>
      <c r="M324" s="121">
        <f>VLOOKUP($B324,'Tillförd energi'!$B$1:$AI$720,MATCH(M$1,'Tillförd energi'!$B$1:$AQ$1,0),FALSE)</f>
        <v>0</v>
      </c>
      <c r="N324" s="121">
        <f>VLOOKUP($B324,'Tillförd energi'!$B$1:$AI$720,MATCH(N$1,'Tillförd energi'!$B$1:$AQ$1,0),FALSE)</f>
        <v>0</v>
      </c>
      <c r="O324" s="121">
        <f>VLOOKUP($B324,'Tillförd energi'!$B$1:$AI$720,MATCH(O$1,'Tillförd energi'!$B$1:$AQ$1,0),FALSE)</f>
        <v>0</v>
      </c>
      <c r="P324" s="121">
        <f>VLOOKUP($B324,'Tillförd energi'!$B$1:$AI$720,MATCH(P$1,'Tillförd energi'!$B$1:$AQ$1,0),FALSE)</f>
        <v>0</v>
      </c>
      <c r="Q324" s="121">
        <f>VLOOKUP($B324,'Tillförd energi'!$B$1:$AI$720,MATCH(Q$1,'Tillförd energi'!$B$1:$AQ$1,0),FALSE)</f>
        <v>0</v>
      </c>
      <c r="R324" s="121">
        <f>VLOOKUP($B324,'Tillförd energi'!$B$1:$AI$720,MATCH(R$1,'Tillförd energi'!$B$1:$AQ$1,0),FALSE)</f>
        <v>6.6369999999999996</v>
      </c>
      <c r="S324" s="121">
        <f>VLOOKUP($B324,'Tillförd energi'!$B$1:$AI$720,MATCH(S$1,'Tillförd energi'!$B$1:$AQ$1,0),FALSE)</f>
        <v>0</v>
      </c>
      <c r="T324" s="121">
        <f>VLOOKUP($B324,'Tillförd energi'!$B$1:$AI$720,MATCH(T$1,'Tillförd energi'!$B$1:$AQ$1,0),FALSE)</f>
        <v>0</v>
      </c>
      <c r="U324" s="121">
        <f>VLOOKUP($B324,'Tillförd energi'!$B$1:$AI$720,MATCH(U$1,'Tillförd energi'!$B$1:$AQ$1,0),FALSE)</f>
        <v>0</v>
      </c>
      <c r="V324" s="121">
        <f>VLOOKUP($B324,'Tillförd energi'!$B$1:$AI$720,MATCH(V$1,'Tillförd energi'!$B$1:$AQ$1,0),FALSE)</f>
        <v>0</v>
      </c>
      <c r="W324" s="121">
        <f>VLOOKUP($B324,'Tillförd energi'!$B$1:$AI$720,MATCH(W$1,'Tillförd energi'!$B$1:$AQ$1,0),FALSE)</f>
        <v>0</v>
      </c>
      <c r="X324" s="121">
        <f>VLOOKUP($B324,'Tillförd energi'!$B$1:$AI$720,MATCH(X$1,'Tillförd energi'!$B$1:$AQ$1,0),FALSE)</f>
        <v>0</v>
      </c>
      <c r="Y324" s="121">
        <f>VLOOKUP($B324,'Tillförd energi'!$B$1:$AI$720,MATCH(Y$1,'Tillförd energi'!$B$1:$AQ$1,0),FALSE)</f>
        <v>0</v>
      </c>
      <c r="Z324" s="121">
        <f>VLOOKUP($B324,'Tillförd energi'!$B$1:$AI$720,MATCH(Z$1,'Tillförd energi'!$B$1:$AQ$1,0),FALSE)</f>
        <v>0</v>
      </c>
      <c r="AA324" s="121">
        <f>VLOOKUP($B324,'Tillförd energi'!$B$1:$AI$720,MATCH(AA$1,'Tillförd energi'!$B$1:$AQ$1,0),FALSE)</f>
        <v>0</v>
      </c>
      <c r="AB324" s="121">
        <f>VLOOKUP($B324,'Tillförd energi'!$B$1:$AI$720,MATCH(AB$1,'Tillförd energi'!$B$1:$AQ$1,0),FALSE)</f>
        <v>0</v>
      </c>
      <c r="AC324" s="121">
        <f>VLOOKUP($B324,'Tillförd energi'!$B$1:$AI$720,MATCH(AC$1,'Tillförd energi'!$B$1:$AQ$1,0),FALSE)</f>
        <v>0</v>
      </c>
      <c r="AD324" s="121">
        <f>VLOOKUP($B324,'Tillförd energi'!$B$1:$AI$720,MATCH(AD$1,'Tillförd energi'!$B$1:$AQ$1,0),FALSE)</f>
        <v>0</v>
      </c>
      <c r="AE324" s="121">
        <f>VLOOKUP($B324,'Tillförd energi'!$B$1:$AI$720,MATCH(AE$1,'Tillförd energi'!$B$1:$AQ$1,0),FALSE)</f>
        <v>0</v>
      </c>
      <c r="AF324" s="121">
        <f>VLOOKUP($B324,'Tillförd energi'!$B$1:$AI$720,MATCH(AF$1,'Tillförd energi'!$B$1:$AQ$1,0),FALSE)</f>
        <v>9.4E-2</v>
      </c>
      <c r="AG324" s="121">
        <f>IFERROR(VLOOKUP(B324,Miljö!$B$1:$AC$550,MATCH("Köpt mängd produktionsspecifik fjärrvärme:",Miljö!$B$1:$AC$1,0),FALSE)/1,0)</f>
        <v>0</v>
      </c>
      <c r="AH324" s="121"/>
      <c r="AI324" s="121">
        <f t="shared" si="132"/>
        <v>6.8570000000000002</v>
      </c>
      <c r="AJ324" s="121">
        <f t="shared" si="133"/>
        <v>6.8570000000000002</v>
      </c>
      <c r="AK324" s="121">
        <f>IF(ISERROR(1/VLOOKUP($B324,Leveranser!$B$1:$S$499,MATCH("såld värme (gwh)",Leveranser!$B$1:$S$1,0),FALSE)),"",VLOOKUP($B324,Leveranser!$B$1:$S$499,MATCH("såld värme (gwh)",Leveranser!$B$1:$S$1,0),FALSE))</f>
        <v>4.968</v>
      </c>
      <c r="AL324" s="121">
        <f>VLOOKUP($B324,Leveranser!$B$1:$Y$499,MATCH("Totalt såld fjärrvärme till andra fjärrvärmeföretag",Leveranser!$B$1:$AA$1,0),FALSE)</f>
        <v>0</v>
      </c>
      <c r="AM324" s="121">
        <f>IF(ISERROR(1/VLOOKUP($B324,Miljö!$B$1:$S$500,MATCH("Såld mängd produktionsspecifik fjärrvärme (GWh)",Miljö!$B$1:$R$1,0),FALSE)),0,VLOOKUP($B324,Miljö!$B$1:$S$500,MATCH("Såld mängd produktionsspecifik fjärrvärme (GWh)",Miljö!$B$1:$R$1,0),FALSE))</f>
        <v>0</v>
      </c>
      <c r="AN324" s="172">
        <f t="shared" si="134"/>
        <v>0.72451509406445969</v>
      </c>
      <c r="AO324" s="121"/>
      <c r="AP324" s="121" t="str">
        <f>IFERROR(VLOOKUP($B324,Miljövärden!$B$2:$H$550,7,FALSE),"Nej, saknas")</f>
        <v>Ja</v>
      </c>
      <c r="AQ324" s="121" t="str">
        <f>IFERROR(VLOOKUP($B324,Miljövärden!$B$2:$H$550,6,FALSE),"Nej, saknas")</f>
        <v>Ja</v>
      </c>
      <c r="AU324">
        <f t="shared" si="135"/>
        <v>9.4E-2</v>
      </c>
      <c r="AV324">
        <f t="shared" si="136"/>
        <v>0</v>
      </c>
      <c r="AW324">
        <f t="shared" si="137"/>
        <v>0</v>
      </c>
      <c r="AX324">
        <f t="shared" si="138"/>
        <v>6.6369999999999996</v>
      </c>
      <c r="AZ324">
        <f t="shared" si="139"/>
        <v>6.6369999999999996</v>
      </c>
      <c r="BC324">
        <f t="shared" si="140"/>
        <v>0.126</v>
      </c>
      <c r="BD324">
        <f t="shared" si="141"/>
        <v>0</v>
      </c>
      <c r="BE324">
        <f t="shared" si="142"/>
        <v>6.6369999999999996</v>
      </c>
      <c r="BF324">
        <f t="shared" si="143"/>
        <v>0</v>
      </c>
      <c r="BG324">
        <f t="shared" si="144"/>
        <v>9.4E-2</v>
      </c>
      <c r="BH324">
        <f>VLOOKUP(B324,Miljö!$B$1:$BX$482,MATCH("Fossilandel för ursprungspecificerad el ()",Miljö!$B$1:$I$1,0),FALSE)</f>
        <v>0</v>
      </c>
      <c r="BI324">
        <f>VLOOKUP(B324,Miljö!$B$1:$BX$482,MATCH("Kärnkraftsandel för ursprungsspecificerad el ()",Miljö!$B$1:$O$1,0),FALSE)</f>
        <v>0</v>
      </c>
      <c r="BJ324">
        <f t="shared" si="145"/>
        <v>0</v>
      </c>
      <c r="BK324" t="str">
        <f>VLOOKUP(B324,Miljö!$B$1:$O$482,MATCH("Fossil andel i procent (%)",Miljö!$B$1:$O$1,0),FALSE)</f>
        <v>ET</v>
      </c>
      <c r="BL324">
        <f t="shared" si="146"/>
        <v>6.8570000000000002</v>
      </c>
      <c r="BO324" s="18">
        <f t="shared" si="147"/>
        <v>1.8375382820475426E-2</v>
      </c>
      <c r="BP324" s="18">
        <f t="shared" si="148"/>
        <v>0</v>
      </c>
      <c r="BQ324" s="18">
        <f t="shared" si="149"/>
        <v>0.98162461717952454</v>
      </c>
      <c r="BR324" s="18">
        <f t="shared" si="150"/>
        <v>0</v>
      </c>
      <c r="BT324" s="27">
        <f t="shared" si="151"/>
        <v>1</v>
      </c>
      <c r="BW324" s="18">
        <f>IF(AP324="ja",VLOOKUP(B324,Miljövärden!$B$2:$H$550,MATCH("Total andel fossilt",Miljövärden!$B$2:$H$2,0),FALSE),"")</f>
        <v>1.83754E-2</v>
      </c>
      <c r="BZ324" s="28">
        <f t="shared" si="152"/>
        <v>1.7179524573751603E-8</v>
      </c>
      <c r="CA324" s="28">
        <f t="shared" si="153"/>
        <v>0</v>
      </c>
    </row>
    <row r="325" spans="1:79" x14ac:dyDescent="0.25">
      <c r="A325" s="224" t="s">
        <v>645</v>
      </c>
      <c r="B325" s="210" t="s">
        <v>647</v>
      </c>
      <c r="C325" s="121">
        <f>VLOOKUP($B325,'Tillförd energi'!$B$1:$AI$720,MATCH(C$1,'Tillförd energi'!$B$1:$AQ$1,0),FALSE)</f>
        <v>0</v>
      </c>
      <c r="D325" s="121">
        <f>VLOOKUP($B325,'Tillförd energi'!$B$1:$AI$720,MATCH(D$1,'Tillförd energi'!$B$1:$AQ$1,0),FALSE)</f>
        <v>0</v>
      </c>
      <c r="E325" s="121">
        <f>VLOOKUP($B325,'Tillförd energi'!$B$1:$AI$720,MATCH(E$1,'Tillförd energi'!$B$1:$AQ$1,0),FALSE)</f>
        <v>0</v>
      </c>
      <c r="F325" s="121">
        <f>VLOOKUP($B325,'Tillförd energi'!$B$1:$AI$720,MATCH(F$1,'Tillförd energi'!$B$1:$AQ$1,0),FALSE)</f>
        <v>0</v>
      </c>
      <c r="G325" s="121">
        <f>VLOOKUP($B325,'Tillförd energi'!$B$1:$AI$720,MATCH(G$1,'Tillförd energi'!$B$1:$AQ$1,0),FALSE)</f>
        <v>0</v>
      </c>
      <c r="H325" s="121">
        <f>VLOOKUP($B325,'Tillförd energi'!$B$1:$AI$720,MATCH(H$1,'Tillförd energi'!$B$1:$AQ$1,0),FALSE)</f>
        <v>0</v>
      </c>
      <c r="I325" s="121">
        <f>VLOOKUP($B325,'Tillförd energi'!$B$1:$AI$720,MATCH(I$1,'Tillförd energi'!$B$1:$AQ$1,0),FALSE)</f>
        <v>0</v>
      </c>
      <c r="J325" s="121">
        <f>VLOOKUP($B325,'Tillförd energi'!$B$1:$AI$720,MATCH(J$1,'Tillförd energi'!$B$1:$AQ$1,0),FALSE)</f>
        <v>2.415</v>
      </c>
      <c r="K325" s="121">
        <f>VLOOKUP($B325,'Tillförd energi'!$B$1:$AI$720,MATCH(K$1,'Tillförd energi'!$B$1:$AQ$1,0),FALSE)</f>
        <v>0</v>
      </c>
      <c r="L325" s="121">
        <f>VLOOKUP($B325,'Tillförd energi'!$B$1:$AI$720,MATCH(L$1,'Tillförd energi'!$B$1:$AQ$1,0),FALSE)</f>
        <v>0</v>
      </c>
      <c r="M325" s="121">
        <f>VLOOKUP($B325,'Tillförd energi'!$B$1:$AI$720,MATCH(M$1,'Tillförd energi'!$B$1:$AQ$1,0),FALSE)</f>
        <v>10.786</v>
      </c>
      <c r="N325" s="121">
        <f>VLOOKUP($B325,'Tillförd energi'!$B$1:$AI$720,MATCH(N$1,'Tillförd energi'!$B$1:$AQ$1,0),FALSE)</f>
        <v>0</v>
      </c>
      <c r="O325" s="121">
        <f>VLOOKUP($B325,'Tillförd energi'!$B$1:$AI$720,MATCH(O$1,'Tillförd energi'!$B$1:$AQ$1,0),FALSE)</f>
        <v>0</v>
      </c>
      <c r="P325" s="121">
        <f>VLOOKUP($B325,'Tillförd energi'!$B$1:$AI$720,MATCH(P$1,'Tillförd energi'!$B$1:$AQ$1,0),FALSE)</f>
        <v>21.295999999999999</v>
      </c>
      <c r="Q325" s="121">
        <f>VLOOKUP($B325,'Tillförd energi'!$B$1:$AI$720,MATCH(Q$1,'Tillförd energi'!$B$1:$AQ$1,0),FALSE)</f>
        <v>0</v>
      </c>
      <c r="R325" s="121">
        <f>VLOOKUP($B325,'Tillförd energi'!$B$1:$AI$720,MATCH(R$1,'Tillförd energi'!$B$1:$AQ$1,0),FALSE)</f>
        <v>0</v>
      </c>
      <c r="S325" s="121">
        <f>VLOOKUP($B325,'Tillförd energi'!$B$1:$AI$720,MATCH(S$1,'Tillförd energi'!$B$1:$AQ$1,0),FALSE)</f>
        <v>0</v>
      </c>
      <c r="T325" s="121">
        <f>VLOOKUP($B325,'Tillförd energi'!$B$1:$AI$720,MATCH(T$1,'Tillförd energi'!$B$1:$AQ$1,0),FALSE)</f>
        <v>0</v>
      </c>
      <c r="U325" s="121">
        <f>VLOOKUP($B325,'Tillförd energi'!$B$1:$AI$720,MATCH(U$1,'Tillförd energi'!$B$1:$AQ$1,0),FALSE)</f>
        <v>0</v>
      </c>
      <c r="V325" s="121">
        <f>VLOOKUP($B325,'Tillförd energi'!$B$1:$AI$720,MATCH(V$1,'Tillförd energi'!$B$1:$AQ$1,0),FALSE)</f>
        <v>4.7058799999999996</v>
      </c>
      <c r="W325" s="121">
        <f>VLOOKUP($B325,'Tillförd energi'!$B$1:$AI$720,MATCH(W$1,'Tillförd energi'!$B$1:$AQ$1,0),FALSE)</f>
        <v>0.82599999999999996</v>
      </c>
      <c r="X325" s="121">
        <f>VLOOKUP($B325,'Tillförd energi'!$B$1:$AI$720,MATCH(X$1,'Tillförd energi'!$B$1:$AQ$1,0),FALSE)</f>
        <v>0</v>
      </c>
      <c r="Y325" s="121">
        <f>VLOOKUP($B325,'Tillförd energi'!$B$1:$AI$720,MATCH(Y$1,'Tillförd energi'!$B$1:$AQ$1,0),FALSE)</f>
        <v>0</v>
      </c>
      <c r="Z325" s="121">
        <f>VLOOKUP($B325,'Tillförd energi'!$B$1:$AI$720,MATCH(Z$1,'Tillförd energi'!$B$1:$AQ$1,0),FALSE)</f>
        <v>0</v>
      </c>
      <c r="AA325" s="121">
        <f>VLOOKUP($B325,'Tillförd energi'!$B$1:$AI$720,MATCH(AA$1,'Tillförd energi'!$B$1:$AQ$1,0),FALSE)</f>
        <v>0</v>
      </c>
      <c r="AB325" s="121">
        <f>VLOOKUP($B325,'Tillförd energi'!$B$1:$AI$720,MATCH(AB$1,'Tillförd energi'!$B$1:$AQ$1,0),FALSE)</f>
        <v>0</v>
      </c>
      <c r="AC325" s="121">
        <f>VLOOKUP($B325,'Tillförd energi'!$B$1:$AI$720,MATCH(AC$1,'Tillförd energi'!$B$1:$AQ$1,0),FALSE)</f>
        <v>0</v>
      </c>
      <c r="AD325" s="121">
        <f>VLOOKUP($B325,'Tillförd energi'!$B$1:$AI$720,MATCH(AD$1,'Tillförd energi'!$B$1:$AQ$1,0),FALSE)</f>
        <v>147.672</v>
      </c>
      <c r="AE325" s="121">
        <f>VLOOKUP($B325,'Tillförd energi'!$B$1:$AI$720,MATCH(AE$1,'Tillförd energi'!$B$1:$AQ$1,0),FALSE)</f>
        <v>0</v>
      </c>
      <c r="AF325" s="121">
        <f>VLOOKUP($B325,'Tillförd energi'!$B$1:$AI$720,MATCH(AF$1,'Tillförd energi'!$B$1:$AQ$1,0),FALSE)</f>
        <v>1.4</v>
      </c>
      <c r="AG325" s="121">
        <f>IFERROR(VLOOKUP(B325,Miljö!$B$1:$AC$550,MATCH("Köpt mängd produktionsspecifik fjärrvärme:",Miljö!$B$1:$AC$1,0),FALSE)/1,0)</f>
        <v>0</v>
      </c>
      <c r="AH325" s="121"/>
      <c r="AI325" s="121">
        <f t="shared" si="132"/>
        <v>189.10087999999999</v>
      </c>
      <c r="AJ325" s="121">
        <f t="shared" si="133"/>
        <v>189.10087999999999</v>
      </c>
      <c r="AK325" s="121">
        <f>IF(ISERROR(1/VLOOKUP($B325,Leveranser!$B$1:$S$499,MATCH("såld värme (gwh)",Leveranser!$B$1:$S$1,0),FALSE)),"",VLOOKUP($B325,Leveranser!$B$1:$S$499,MATCH("såld värme (gwh)",Leveranser!$B$1:$S$1,0),FALSE))</f>
        <v>152.30000000000001</v>
      </c>
      <c r="AL325" s="121">
        <f>VLOOKUP($B325,Leveranser!$B$1:$Y$499,MATCH("Totalt såld fjärrvärme till andra fjärrvärmeföretag",Leveranser!$B$1:$AA$1,0),FALSE)</f>
        <v>0</v>
      </c>
      <c r="AM325" s="121">
        <f>IF(ISERROR(1/VLOOKUP($B325,Miljö!$B$1:$S$500,MATCH("Såld mängd produktionsspecifik fjärrvärme (GWh)",Miljö!$B$1:$R$1,0),FALSE)),0,VLOOKUP($B325,Miljö!$B$1:$S$500,MATCH("Såld mängd produktionsspecifik fjärrvärme (GWh)",Miljö!$B$1:$R$1,0),FALSE))</f>
        <v>0</v>
      </c>
      <c r="AN325" s="172">
        <f t="shared" si="134"/>
        <v>0.80539022346167832</v>
      </c>
      <c r="AO325" s="121"/>
      <c r="AP325" s="121" t="str">
        <f>IFERROR(VLOOKUP($B325,Miljövärden!$B$2:$H$550,7,FALSE),"Nej, saknas")</f>
        <v>Ja</v>
      </c>
      <c r="AQ325" s="121" t="str">
        <f>IFERROR(VLOOKUP($B325,Miljövärden!$B$2:$H$550,6,FALSE),"Nej, saknas")</f>
        <v>Ja</v>
      </c>
      <c r="AU325">
        <f t="shared" si="135"/>
        <v>1.4</v>
      </c>
      <c r="AV325">
        <f t="shared" si="136"/>
        <v>0</v>
      </c>
      <c r="AW325">
        <f t="shared" si="137"/>
        <v>32.082000000000001</v>
      </c>
      <c r="AX325">
        <f t="shared" si="138"/>
        <v>0</v>
      </c>
      <c r="AZ325">
        <f t="shared" si="139"/>
        <v>37.613880000000002</v>
      </c>
      <c r="BC325">
        <f t="shared" si="140"/>
        <v>0</v>
      </c>
      <c r="BD325">
        <f t="shared" si="141"/>
        <v>0</v>
      </c>
      <c r="BE325">
        <f t="shared" si="142"/>
        <v>37.613880000000002</v>
      </c>
      <c r="BF325">
        <f t="shared" si="143"/>
        <v>150.08699999999999</v>
      </c>
      <c r="BG325">
        <f t="shared" si="144"/>
        <v>1.4</v>
      </c>
      <c r="BH325">
        <f>VLOOKUP(B325,Miljö!$B$1:$BX$482,MATCH("Fossilandel för ursprungspecificerad el ()",Miljö!$B$1:$I$1,0),FALSE)</f>
        <v>0</v>
      </c>
      <c r="BI325">
        <f>VLOOKUP(B325,Miljö!$B$1:$BX$482,MATCH("Kärnkraftsandel för ursprungsspecificerad el ()",Miljö!$B$1:$O$1,0),FALSE)</f>
        <v>0</v>
      </c>
      <c r="BJ325">
        <f t="shared" si="145"/>
        <v>0</v>
      </c>
      <c r="BK325" t="str">
        <f>VLOOKUP(B325,Miljö!$B$1:$O$482,MATCH("Fossil andel i procent (%)",Miljö!$B$1:$O$1,0),FALSE)</f>
        <v>ET</v>
      </c>
      <c r="BL325">
        <f t="shared" si="146"/>
        <v>189.10087999999999</v>
      </c>
      <c r="BO325" s="18">
        <f t="shared" si="147"/>
        <v>0</v>
      </c>
      <c r="BP325" s="18">
        <f t="shared" si="148"/>
        <v>0</v>
      </c>
      <c r="BQ325" s="18">
        <f t="shared" si="149"/>
        <v>0.20631252482801773</v>
      </c>
      <c r="BR325" s="18">
        <f t="shared" si="150"/>
        <v>0.79368747517198224</v>
      </c>
      <c r="BT325" s="27">
        <f t="shared" si="151"/>
        <v>1</v>
      </c>
      <c r="BW325" s="18">
        <f>IF(AP325="ja",VLOOKUP(B325,Miljövärden!$B$2:$H$550,MATCH("Total andel fossilt",Miljövärden!$B$2:$H$2,0),FALSE),"")</f>
        <v>0</v>
      </c>
      <c r="BZ325" s="28">
        <f t="shared" si="152"/>
        <v>0</v>
      </c>
      <c r="CA325" s="28">
        <f t="shared" si="153"/>
        <v>0</v>
      </c>
    </row>
    <row r="326" spans="1:79" x14ac:dyDescent="0.25">
      <c r="A326" s="224" t="s">
        <v>645</v>
      </c>
      <c r="B326" s="210" t="s">
        <v>648</v>
      </c>
      <c r="C326" s="121">
        <f>VLOOKUP($B326,'Tillförd energi'!$B$1:$AI$720,MATCH(C$1,'Tillförd energi'!$B$1:$AQ$1,0),FALSE)</f>
        <v>0</v>
      </c>
      <c r="D326" s="121">
        <f>VLOOKUP($B326,'Tillförd energi'!$B$1:$AI$720,MATCH(D$1,'Tillförd energi'!$B$1:$AQ$1,0),FALSE)</f>
        <v>0.95799999999999996</v>
      </c>
      <c r="E326" s="121">
        <f>VLOOKUP($B326,'Tillförd energi'!$B$1:$AI$720,MATCH(E$1,'Tillförd energi'!$B$1:$AQ$1,0),FALSE)</f>
        <v>0</v>
      </c>
      <c r="F326" s="121">
        <f>VLOOKUP($B326,'Tillförd energi'!$B$1:$AI$720,MATCH(F$1,'Tillförd energi'!$B$1:$AQ$1,0),FALSE)</f>
        <v>0</v>
      </c>
      <c r="G326" s="121">
        <f>VLOOKUP($B326,'Tillförd energi'!$B$1:$AI$720,MATCH(G$1,'Tillförd energi'!$B$1:$AQ$1,0),FALSE)</f>
        <v>0</v>
      </c>
      <c r="H326" s="121">
        <f>VLOOKUP($B326,'Tillförd energi'!$B$1:$AI$720,MATCH(H$1,'Tillförd energi'!$B$1:$AQ$1,0),FALSE)</f>
        <v>0</v>
      </c>
      <c r="I326" s="121">
        <f>VLOOKUP($B326,'Tillförd energi'!$B$1:$AI$720,MATCH(I$1,'Tillförd energi'!$B$1:$AQ$1,0),FALSE)</f>
        <v>0</v>
      </c>
      <c r="J326" s="121">
        <f>VLOOKUP($B326,'Tillförd energi'!$B$1:$AI$720,MATCH(J$1,'Tillförd energi'!$B$1:$AQ$1,0),FALSE)</f>
        <v>0</v>
      </c>
      <c r="K326" s="121">
        <f>VLOOKUP($B326,'Tillförd energi'!$B$1:$AI$720,MATCH(K$1,'Tillförd energi'!$B$1:$AQ$1,0),FALSE)</f>
        <v>0</v>
      </c>
      <c r="L326" s="121">
        <f>VLOOKUP($B326,'Tillförd energi'!$B$1:$AI$720,MATCH(L$1,'Tillförd energi'!$B$1:$AQ$1,0),FALSE)</f>
        <v>0</v>
      </c>
      <c r="M326" s="121">
        <f>VLOOKUP($B326,'Tillförd energi'!$B$1:$AI$720,MATCH(M$1,'Tillförd energi'!$B$1:$AQ$1,0),FALSE)</f>
        <v>0</v>
      </c>
      <c r="N326" s="121">
        <f>VLOOKUP($B326,'Tillförd energi'!$B$1:$AI$720,MATCH(N$1,'Tillförd energi'!$B$1:$AQ$1,0),FALSE)</f>
        <v>0</v>
      </c>
      <c r="O326" s="121">
        <f>VLOOKUP($B326,'Tillförd energi'!$B$1:$AI$720,MATCH(O$1,'Tillförd energi'!$B$1:$AQ$1,0),FALSE)</f>
        <v>0</v>
      </c>
      <c r="P326" s="121">
        <f>VLOOKUP($B326,'Tillförd energi'!$B$1:$AI$720,MATCH(P$1,'Tillförd energi'!$B$1:$AQ$1,0),FALSE)</f>
        <v>0</v>
      </c>
      <c r="Q326" s="121">
        <f>VLOOKUP($B326,'Tillförd energi'!$B$1:$AI$720,MATCH(Q$1,'Tillförd energi'!$B$1:$AQ$1,0),FALSE)</f>
        <v>0</v>
      </c>
      <c r="R326" s="121">
        <f>VLOOKUP($B326,'Tillförd energi'!$B$1:$AI$720,MATCH(R$1,'Tillförd energi'!$B$1:$AQ$1,0),FALSE)</f>
        <v>0</v>
      </c>
      <c r="S326" s="121">
        <f>VLOOKUP($B326,'Tillförd energi'!$B$1:$AI$720,MATCH(S$1,'Tillförd energi'!$B$1:$AQ$1,0),FALSE)</f>
        <v>4.4219999999999997</v>
      </c>
      <c r="T326" s="121">
        <f>VLOOKUP($B326,'Tillförd energi'!$B$1:$AI$720,MATCH(T$1,'Tillförd energi'!$B$1:$AQ$1,0),FALSE)</f>
        <v>0</v>
      </c>
      <c r="U326" s="121">
        <f>VLOOKUP($B326,'Tillförd energi'!$B$1:$AI$720,MATCH(U$1,'Tillförd energi'!$B$1:$AQ$1,0),FALSE)</f>
        <v>0</v>
      </c>
      <c r="V326" s="121">
        <f>VLOOKUP($B326,'Tillförd energi'!$B$1:$AI$720,MATCH(V$1,'Tillförd energi'!$B$1:$AQ$1,0),FALSE)</f>
        <v>0</v>
      </c>
      <c r="W326" s="121">
        <f>VLOOKUP($B326,'Tillförd energi'!$B$1:$AI$720,MATCH(W$1,'Tillförd energi'!$B$1:$AQ$1,0),FALSE)</f>
        <v>0</v>
      </c>
      <c r="X326" s="121">
        <f>VLOOKUP($B326,'Tillförd energi'!$B$1:$AI$720,MATCH(X$1,'Tillförd energi'!$B$1:$AQ$1,0),FALSE)</f>
        <v>0</v>
      </c>
      <c r="Y326" s="121">
        <f>VLOOKUP($B326,'Tillförd energi'!$B$1:$AI$720,MATCH(Y$1,'Tillförd energi'!$B$1:$AQ$1,0),FALSE)</f>
        <v>0</v>
      </c>
      <c r="Z326" s="121">
        <f>VLOOKUP($B326,'Tillförd energi'!$B$1:$AI$720,MATCH(Z$1,'Tillförd energi'!$B$1:$AQ$1,0),FALSE)</f>
        <v>0</v>
      </c>
      <c r="AA326" s="121">
        <f>VLOOKUP($B326,'Tillförd energi'!$B$1:$AI$720,MATCH(AA$1,'Tillförd energi'!$B$1:$AQ$1,0),FALSE)</f>
        <v>0</v>
      </c>
      <c r="AB326" s="121">
        <f>VLOOKUP($B326,'Tillförd energi'!$B$1:$AI$720,MATCH(AB$1,'Tillförd energi'!$B$1:$AQ$1,0),FALSE)</f>
        <v>0</v>
      </c>
      <c r="AC326" s="121">
        <f>VLOOKUP($B326,'Tillförd energi'!$B$1:$AI$720,MATCH(AC$1,'Tillförd energi'!$B$1:$AQ$1,0),FALSE)</f>
        <v>0</v>
      </c>
      <c r="AD326" s="121">
        <f>VLOOKUP($B326,'Tillförd energi'!$B$1:$AI$720,MATCH(AD$1,'Tillförd energi'!$B$1:$AQ$1,0),FALSE)</f>
        <v>0</v>
      </c>
      <c r="AE326" s="121">
        <f>VLOOKUP($B326,'Tillförd energi'!$B$1:$AI$720,MATCH(AE$1,'Tillförd energi'!$B$1:$AQ$1,0),FALSE)</f>
        <v>0</v>
      </c>
      <c r="AF326" s="121">
        <f>VLOOKUP($B326,'Tillförd energi'!$B$1:$AI$720,MATCH(AF$1,'Tillförd energi'!$B$1:$AQ$1,0),FALSE)</f>
        <v>8.1000000000000003E-2</v>
      </c>
      <c r="AG326" s="121">
        <f>IFERROR(VLOOKUP(B326,Miljö!$B$1:$AC$550,MATCH("Köpt mängd produktionsspecifik fjärrvärme:",Miljö!$B$1:$AC$1,0),FALSE)/1,0)</f>
        <v>0</v>
      </c>
      <c r="AH326" s="121"/>
      <c r="AI326" s="121">
        <f t="shared" si="132"/>
        <v>5.4610000000000003</v>
      </c>
      <c r="AJ326" s="121">
        <f t="shared" si="133"/>
        <v>5.4610000000000003</v>
      </c>
      <c r="AK326" s="121">
        <f>IF(ISERROR(1/VLOOKUP($B326,Leveranser!$B$1:$S$499,MATCH("såld värme (gwh)",Leveranser!$B$1:$S$1,0),FALSE)),"",VLOOKUP($B326,Leveranser!$B$1:$S$499,MATCH("såld värme (gwh)",Leveranser!$B$1:$S$1,0),FALSE))</f>
        <v>3.6349999999999998</v>
      </c>
      <c r="AL326" s="121">
        <f>VLOOKUP($B326,Leveranser!$B$1:$Y$499,MATCH("Totalt såld fjärrvärme till andra fjärrvärmeföretag",Leveranser!$B$1:$AA$1,0),FALSE)</f>
        <v>0</v>
      </c>
      <c r="AM326" s="121">
        <f>IF(ISERROR(1/VLOOKUP($B326,Miljö!$B$1:$S$500,MATCH("Såld mängd produktionsspecifik fjärrvärme (GWh)",Miljö!$B$1:$R$1,0),FALSE)),0,VLOOKUP($B326,Miljö!$B$1:$S$500,MATCH("Såld mängd produktionsspecifik fjärrvärme (GWh)",Miljö!$B$1:$R$1,0),FALSE))</f>
        <v>0</v>
      </c>
      <c r="AN326" s="172">
        <f t="shared" si="134"/>
        <v>0.66562900567661598</v>
      </c>
      <c r="AO326" s="121"/>
      <c r="AP326" s="121" t="str">
        <f>IFERROR(VLOOKUP($B326,Miljövärden!$B$2:$H$550,7,FALSE),"Nej, saknas")</f>
        <v>Ja</v>
      </c>
      <c r="AQ326" s="121" t="str">
        <f>IFERROR(VLOOKUP($B326,Miljövärden!$B$2:$H$550,6,FALSE),"Nej, saknas")</f>
        <v>Ja</v>
      </c>
      <c r="AU326">
        <f t="shared" si="135"/>
        <v>8.1000000000000003E-2</v>
      </c>
      <c r="AV326">
        <f t="shared" si="136"/>
        <v>0</v>
      </c>
      <c r="AW326">
        <f t="shared" si="137"/>
        <v>0</v>
      </c>
      <c r="AX326">
        <f t="shared" si="138"/>
        <v>4.4219999999999997</v>
      </c>
      <c r="AZ326">
        <f t="shared" si="139"/>
        <v>4.4219999999999997</v>
      </c>
      <c r="BC326">
        <f t="shared" si="140"/>
        <v>0.95799999999999996</v>
      </c>
      <c r="BD326">
        <f t="shared" si="141"/>
        <v>0</v>
      </c>
      <c r="BE326">
        <f t="shared" si="142"/>
        <v>4.4219999999999997</v>
      </c>
      <c r="BF326">
        <f t="shared" si="143"/>
        <v>0</v>
      </c>
      <c r="BG326">
        <f t="shared" si="144"/>
        <v>8.1000000000000003E-2</v>
      </c>
      <c r="BH326">
        <f>VLOOKUP(B326,Miljö!$B$1:$BX$482,MATCH("Fossilandel för ursprungspecificerad el ()",Miljö!$B$1:$I$1,0),FALSE)</f>
        <v>0</v>
      </c>
      <c r="BI326">
        <f>VLOOKUP(B326,Miljö!$B$1:$BX$482,MATCH("Kärnkraftsandel för ursprungsspecificerad el ()",Miljö!$B$1:$O$1,0),FALSE)</f>
        <v>0</v>
      </c>
      <c r="BJ326">
        <f t="shared" si="145"/>
        <v>0</v>
      </c>
      <c r="BK326" t="str">
        <f>VLOOKUP(B326,Miljö!$B$1:$O$482,MATCH("Fossil andel i procent (%)",Miljö!$B$1:$O$1,0),FALSE)</f>
        <v>ET</v>
      </c>
      <c r="BL326">
        <f t="shared" si="146"/>
        <v>5.4610000000000003</v>
      </c>
      <c r="BO326" s="18">
        <f t="shared" si="147"/>
        <v>0.17542574620032958</v>
      </c>
      <c r="BP326" s="18">
        <f t="shared" si="148"/>
        <v>0</v>
      </c>
      <c r="BQ326" s="18">
        <f t="shared" si="149"/>
        <v>0.82457425379967042</v>
      </c>
      <c r="BR326" s="18">
        <f t="shared" si="150"/>
        <v>0</v>
      </c>
      <c r="BT326" s="27">
        <f t="shared" si="151"/>
        <v>1</v>
      </c>
      <c r="BW326" s="18">
        <f>IF(AP326="ja",VLOOKUP(B326,Miljövärden!$B$2:$H$550,MATCH("Total andel fossilt",Miljövärden!$B$2:$H$2,0),FALSE),"")</f>
        <v>0.175426</v>
      </c>
      <c r="BZ326" s="28">
        <f t="shared" si="152"/>
        <v>2.5379967041883056E-7</v>
      </c>
      <c r="CA326" s="28">
        <f t="shared" si="153"/>
        <v>0</v>
      </c>
    </row>
    <row r="327" spans="1:79" x14ac:dyDescent="0.25">
      <c r="A327" s="224" t="s">
        <v>649</v>
      </c>
      <c r="B327" s="210" t="s">
        <v>650</v>
      </c>
      <c r="C327" s="121">
        <f>VLOOKUP($B327,'Tillförd energi'!$B$1:$AI$720,MATCH(C$1,'Tillförd energi'!$B$1:$AQ$1,0),FALSE)</f>
        <v>0</v>
      </c>
      <c r="D327" s="121">
        <f>VLOOKUP($B327,'Tillförd energi'!$B$1:$AI$720,MATCH(D$1,'Tillförd energi'!$B$1:$AQ$1,0),FALSE)</f>
        <v>0.16300000000000001</v>
      </c>
      <c r="E327" s="121">
        <f>VLOOKUP($B327,'Tillförd energi'!$B$1:$AI$720,MATCH(E$1,'Tillförd energi'!$B$1:$AQ$1,0),FALSE)</f>
        <v>0</v>
      </c>
      <c r="F327" s="121">
        <f>VLOOKUP($B327,'Tillförd energi'!$B$1:$AI$720,MATCH(F$1,'Tillförd energi'!$B$1:$AQ$1,0),FALSE)</f>
        <v>0</v>
      </c>
      <c r="G327" s="121">
        <f>VLOOKUP($B327,'Tillförd energi'!$B$1:$AI$720,MATCH(G$1,'Tillförd energi'!$B$1:$AQ$1,0),FALSE)</f>
        <v>0</v>
      </c>
      <c r="H327" s="121">
        <f>VLOOKUP($B327,'Tillförd energi'!$B$1:$AI$720,MATCH(H$1,'Tillförd energi'!$B$1:$AQ$1,0),FALSE)</f>
        <v>0</v>
      </c>
      <c r="I327" s="121">
        <f>VLOOKUP($B327,'Tillförd energi'!$B$1:$AI$720,MATCH(I$1,'Tillförd energi'!$B$1:$AQ$1,0),FALSE)</f>
        <v>0</v>
      </c>
      <c r="J327" s="121">
        <f>VLOOKUP($B327,'Tillförd energi'!$B$1:$AI$720,MATCH(J$1,'Tillförd energi'!$B$1:$AQ$1,0),FALSE)</f>
        <v>0</v>
      </c>
      <c r="K327" s="121">
        <f>VLOOKUP($B327,'Tillförd energi'!$B$1:$AI$720,MATCH(K$1,'Tillförd energi'!$B$1:$AQ$1,0),FALSE)</f>
        <v>0</v>
      </c>
      <c r="L327" s="121">
        <f>VLOOKUP($B327,'Tillförd energi'!$B$1:$AI$720,MATCH(L$1,'Tillförd energi'!$B$1:$AQ$1,0),FALSE)</f>
        <v>0</v>
      </c>
      <c r="M327" s="121">
        <f>VLOOKUP($B327,'Tillförd energi'!$B$1:$AI$720,MATCH(M$1,'Tillförd energi'!$B$1:$AQ$1,0),FALSE)</f>
        <v>5.6</v>
      </c>
      <c r="N327" s="121">
        <f>VLOOKUP($B327,'Tillförd energi'!$B$1:$AI$720,MATCH(N$1,'Tillförd energi'!$B$1:$AQ$1,0),FALSE)</f>
        <v>0</v>
      </c>
      <c r="O327" s="121">
        <f>VLOOKUP($B327,'Tillförd energi'!$B$1:$AI$720,MATCH(O$1,'Tillförd energi'!$B$1:$AQ$1,0),FALSE)</f>
        <v>0</v>
      </c>
      <c r="P327" s="121">
        <f>VLOOKUP($B327,'Tillförd energi'!$B$1:$AI$720,MATCH(P$1,'Tillförd energi'!$B$1:$AQ$1,0),FALSE)</f>
        <v>13.5</v>
      </c>
      <c r="Q327" s="121">
        <f>VLOOKUP($B327,'Tillförd energi'!$B$1:$AI$720,MATCH(Q$1,'Tillförd energi'!$B$1:$AQ$1,0),FALSE)</f>
        <v>0</v>
      </c>
      <c r="R327" s="121">
        <f>VLOOKUP($B327,'Tillförd energi'!$B$1:$AI$720,MATCH(R$1,'Tillförd energi'!$B$1:$AQ$1,0),FALSE)</f>
        <v>0</v>
      </c>
      <c r="S327" s="121">
        <f>VLOOKUP($B327,'Tillförd energi'!$B$1:$AI$720,MATCH(S$1,'Tillförd energi'!$B$1:$AQ$1,0),FALSE)</f>
        <v>0</v>
      </c>
      <c r="T327" s="121">
        <f>VLOOKUP($B327,'Tillförd energi'!$B$1:$AI$720,MATCH(T$1,'Tillförd energi'!$B$1:$AQ$1,0),FALSE)</f>
        <v>0</v>
      </c>
      <c r="U327" s="121">
        <f>VLOOKUP($B327,'Tillförd energi'!$B$1:$AI$720,MATCH(U$1,'Tillförd energi'!$B$1:$AQ$1,0),FALSE)</f>
        <v>0</v>
      </c>
      <c r="V327" s="121">
        <f>VLOOKUP($B327,'Tillförd energi'!$B$1:$AI$720,MATCH(V$1,'Tillförd energi'!$B$1:$AQ$1,0),FALSE)</f>
        <v>0</v>
      </c>
      <c r="W327" s="121">
        <f>VLOOKUP($B327,'Tillförd energi'!$B$1:$AI$720,MATCH(W$1,'Tillförd energi'!$B$1:$AQ$1,0),FALSE)</f>
        <v>0</v>
      </c>
      <c r="X327" s="121">
        <f>VLOOKUP($B327,'Tillförd energi'!$B$1:$AI$720,MATCH(X$1,'Tillförd energi'!$B$1:$AQ$1,0),FALSE)</f>
        <v>3.5082399999999998</v>
      </c>
      <c r="Y327" s="121">
        <f>VLOOKUP($B327,'Tillförd energi'!$B$1:$AI$720,MATCH(Y$1,'Tillförd energi'!$B$1:$AQ$1,0),FALSE)</f>
        <v>0</v>
      </c>
      <c r="Z327" s="121">
        <f>VLOOKUP($B327,'Tillförd energi'!$B$1:$AI$720,MATCH(Z$1,'Tillförd energi'!$B$1:$AQ$1,0),FALSE)</f>
        <v>0</v>
      </c>
      <c r="AA327" s="121">
        <f>VLOOKUP($B327,'Tillförd energi'!$B$1:$AI$720,MATCH(AA$1,'Tillförd energi'!$B$1:$AQ$1,0),FALSE)</f>
        <v>0</v>
      </c>
      <c r="AB327" s="121">
        <f>VLOOKUP($B327,'Tillförd energi'!$B$1:$AI$720,MATCH(AB$1,'Tillförd energi'!$B$1:$AQ$1,0),FALSE)</f>
        <v>0</v>
      </c>
      <c r="AC327" s="121">
        <f>VLOOKUP($B327,'Tillförd energi'!$B$1:$AI$720,MATCH(AC$1,'Tillförd energi'!$B$1:$AQ$1,0),FALSE)</f>
        <v>2.427</v>
      </c>
      <c r="AD327" s="121">
        <f>VLOOKUP($B327,'Tillförd energi'!$B$1:$AI$720,MATCH(AD$1,'Tillförd energi'!$B$1:$AQ$1,0),FALSE)</f>
        <v>0</v>
      </c>
      <c r="AE327" s="121">
        <f>VLOOKUP($B327,'Tillförd energi'!$B$1:$AI$720,MATCH(AE$1,'Tillförd energi'!$B$1:$AQ$1,0),FALSE)</f>
        <v>0</v>
      </c>
      <c r="AF327" s="121">
        <f>VLOOKUP($B327,'Tillförd energi'!$B$1:$AI$720,MATCH(AF$1,'Tillförd energi'!$B$1:$AQ$1,0),FALSE)</f>
        <v>0.50600000000000001</v>
      </c>
      <c r="AG327" s="121">
        <f>IFERROR(VLOOKUP(B327,Miljö!$B$1:$AC$550,MATCH("Köpt mängd produktionsspecifik fjärrvärme:",Miljö!$B$1:$AC$1,0),FALSE)/1,0)</f>
        <v>0</v>
      </c>
      <c r="AH327" s="121"/>
      <c r="AI327" s="121">
        <f t="shared" si="132"/>
        <v>25.704239999999999</v>
      </c>
      <c r="AJ327" s="121">
        <f t="shared" si="133"/>
        <v>25.704239999999999</v>
      </c>
      <c r="AK327" s="121">
        <f>IF(ISERROR(1/VLOOKUP($B327,Leveranser!$B$1:$S$499,MATCH("såld värme (gwh)",Leveranser!$B$1:$S$1,0),FALSE)),"",VLOOKUP($B327,Leveranser!$B$1:$S$499,MATCH("såld värme (gwh)",Leveranser!$B$1:$S$1,0),FALSE))</f>
        <v>18.7</v>
      </c>
      <c r="AL327" s="121">
        <f>VLOOKUP($B327,Leveranser!$B$1:$Y$499,MATCH("Totalt såld fjärrvärme till andra fjärrvärmeföretag",Leveranser!$B$1:$AA$1,0),FALSE)</f>
        <v>0</v>
      </c>
      <c r="AM327" s="121">
        <f>IF(ISERROR(1/VLOOKUP($B327,Miljö!$B$1:$S$500,MATCH("Såld mängd produktionsspecifik fjärrvärme (GWh)",Miljö!$B$1:$R$1,0),FALSE)),0,VLOOKUP($B327,Miljö!$B$1:$S$500,MATCH("Såld mängd produktionsspecifik fjärrvärme (GWh)",Miljö!$B$1:$R$1,0),FALSE))</f>
        <v>0</v>
      </c>
      <c r="AN327" s="172">
        <f t="shared" si="134"/>
        <v>0.72750643473605914</v>
      </c>
      <c r="AO327" s="121"/>
      <c r="AP327" s="121" t="str">
        <f>IFERROR(VLOOKUP($B327,Miljövärden!$B$2:$H$550,7,FALSE),"Nej, saknas")</f>
        <v>Ja</v>
      </c>
      <c r="AQ327" s="121" t="str">
        <f>IFERROR(VLOOKUP($B327,Miljövärden!$B$2:$H$550,6,FALSE),"Nej, saknas")</f>
        <v>Ja</v>
      </c>
      <c r="AU327">
        <f t="shared" si="135"/>
        <v>0.50600000000000001</v>
      </c>
      <c r="AV327">
        <f t="shared" si="136"/>
        <v>3.5082399999999998</v>
      </c>
      <c r="AW327">
        <f t="shared" si="137"/>
        <v>19.100000000000001</v>
      </c>
      <c r="AX327">
        <f t="shared" si="138"/>
        <v>0</v>
      </c>
      <c r="AZ327">
        <f t="shared" si="139"/>
        <v>22.608240000000002</v>
      </c>
      <c r="BC327">
        <f t="shared" si="140"/>
        <v>0.16300000000000001</v>
      </c>
      <c r="BD327">
        <f t="shared" si="141"/>
        <v>0</v>
      </c>
      <c r="BE327">
        <f t="shared" si="142"/>
        <v>22.608240000000002</v>
      </c>
      <c r="BF327">
        <f t="shared" si="143"/>
        <v>2.427</v>
      </c>
      <c r="BG327">
        <f t="shared" si="144"/>
        <v>0.50600000000000001</v>
      </c>
      <c r="BH327">
        <f>VLOOKUP(B327,Miljö!$B$1:$BX$482,MATCH("Fossilandel för ursprungspecificerad el ()",Miljö!$B$1:$I$1,0),FALSE)</f>
        <v>0.43</v>
      </c>
      <c r="BI327">
        <f>VLOOKUP(B327,Miljö!$B$1:$BX$482,MATCH("Kärnkraftsandel för ursprungsspecificerad el ()",Miljö!$B$1:$O$1,0),FALSE)</f>
        <v>0.40550000000000003</v>
      </c>
      <c r="BJ327">
        <f t="shared" si="145"/>
        <v>0</v>
      </c>
      <c r="BK327" t="str">
        <f>VLOOKUP(B327,Miljö!$B$1:$O$482,MATCH("Fossil andel i procent (%)",Miljö!$B$1:$O$1,0),FALSE)</f>
        <v>ET</v>
      </c>
      <c r="BL327">
        <f t="shared" si="146"/>
        <v>25.704240000000002</v>
      </c>
      <c r="BO327" s="18">
        <f t="shared" si="147"/>
        <v>1.4806117589938468E-2</v>
      </c>
      <c r="BP327" s="18">
        <f t="shared" si="148"/>
        <v>7.9824573689010053E-3</v>
      </c>
      <c r="BQ327" s="18">
        <f t="shared" si="149"/>
        <v>0.88279120487514906</v>
      </c>
      <c r="BR327" s="18">
        <f t="shared" si="150"/>
        <v>9.4420220166011509E-2</v>
      </c>
      <c r="BT327" s="27">
        <f t="shared" si="151"/>
        <v>1</v>
      </c>
      <c r="BW327" s="18">
        <f>IF(AP327="ja",VLOOKUP(B327,Miljövärden!$B$2:$H$550,MATCH("Total andel fossilt",Miljövärden!$B$2:$H$2,0),FALSE),"")</f>
        <v>1.4806100000000001E-2</v>
      </c>
      <c r="BZ327" s="28">
        <f t="shared" si="152"/>
        <v>-1.7589938467593713E-8</v>
      </c>
      <c r="CA327" s="28">
        <f t="shared" si="153"/>
        <v>0</v>
      </c>
    </row>
    <row r="328" spans="1:79" x14ac:dyDescent="0.25">
      <c r="A328" s="224" t="s">
        <v>649</v>
      </c>
      <c r="B328" s="210" t="s">
        <v>651</v>
      </c>
      <c r="C328" s="121">
        <f>VLOOKUP($B328,'Tillförd energi'!$B$1:$AI$720,MATCH(C$1,'Tillförd energi'!$B$1:$AQ$1,0),FALSE)</f>
        <v>0</v>
      </c>
      <c r="D328" s="121">
        <f>VLOOKUP($B328,'Tillförd energi'!$B$1:$AI$720,MATCH(D$1,'Tillförd energi'!$B$1:$AQ$1,0),FALSE)</f>
        <v>0.35299999999999998</v>
      </c>
      <c r="E328" s="121">
        <f>VLOOKUP($B328,'Tillförd energi'!$B$1:$AI$720,MATCH(E$1,'Tillförd energi'!$B$1:$AQ$1,0),FALSE)</f>
        <v>0</v>
      </c>
      <c r="F328" s="121">
        <f>VLOOKUP($B328,'Tillförd energi'!$B$1:$AI$720,MATCH(F$1,'Tillförd energi'!$B$1:$AQ$1,0),FALSE)</f>
        <v>0</v>
      </c>
      <c r="G328" s="121">
        <f>VLOOKUP($B328,'Tillförd energi'!$B$1:$AI$720,MATCH(G$1,'Tillförd energi'!$B$1:$AQ$1,0),FALSE)</f>
        <v>0</v>
      </c>
      <c r="H328" s="121">
        <f>VLOOKUP($B328,'Tillförd energi'!$B$1:$AI$720,MATCH(H$1,'Tillförd energi'!$B$1:$AQ$1,0),FALSE)</f>
        <v>0</v>
      </c>
      <c r="I328" s="121">
        <f>VLOOKUP($B328,'Tillförd energi'!$B$1:$AI$720,MATCH(I$1,'Tillförd energi'!$B$1:$AQ$1,0),FALSE)</f>
        <v>0</v>
      </c>
      <c r="J328" s="121">
        <f>VLOOKUP($B328,'Tillförd energi'!$B$1:$AI$720,MATCH(J$1,'Tillförd energi'!$B$1:$AQ$1,0),FALSE)</f>
        <v>0</v>
      </c>
      <c r="K328" s="121">
        <f>VLOOKUP($B328,'Tillförd energi'!$B$1:$AI$720,MATCH(K$1,'Tillförd energi'!$B$1:$AQ$1,0),FALSE)</f>
        <v>0</v>
      </c>
      <c r="L328" s="121">
        <f>VLOOKUP($B328,'Tillförd energi'!$B$1:$AI$720,MATCH(L$1,'Tillförd energi'!$B$1:$AQ$1,0),FALSE)</f>
        <v>0</v>
      </c>
      <c r="M328" s="121">
        <f>VLOOKUP($B328,'Tillförd energi'!$B$1:$AI$720,MATCH(M$1,'Tillförd energi'!$B$1:$AQ$1,0),FALSE)</f>
        <v>0</v>
      </c>
      <c r="N328" s="121">
        <f>VLOOKUP($B328,'Tillförd energi'!$B$1:$AI$720,MATCH(N$1,'Tillförd energi'!$B$1:$AQ$1,0),FALSE)</f>
        <v>0</v>
      </c>
      <c r="O328" s="121">
        <f>VLOOKUP($B328,'Tillförd energi'!$B$1:$AI$720,MATCH(O$1,'Tillförd energi'!$B$1:$AQ$1,0),FALSE)</f>
        <v>0</v>
      </c>
      <c r="P328" s="121">
        <f>VLOOKUP($B328,'Tillförd energi'!$B$1:$AI$720,MATCH(P$1,'Tillförd energi'!$B$1:$AQ$1,0),FALSE)</f>
        <v>10.005000000000001</v>
      </c>
      <c r="Q328" s="121">
        <f>VLOOKUP($B328,'Tillförd energi'!$B$1:$AI$720,MATCH(Q$1,'Tillförd energi'!$B$1:$AQ$1,0),FALSE)</f>
        <v>35.176499999999997</v>
      </c>
      <c r="R328" s="121">
        <f>VLOOKUP($B328,'Tillförd energi'!$B$1:$AI$720,MATCH(R$1,'Tillförd energi'!$B$1:$AQ$1,0),FALSE)</f>
        <v>0</v>
      </c>
      <c r="S328" s="121">
        <f>VLOOKUP($B328,'Tillförd energi'!$B$1:$AI$720,MATCH(S$1,'Tillförd energi'!$B$1:$AQ$1,0),FALSE)</f>
        <v>0</v>
      </c>
      <c r="T328" s="121">
        <f>VLOOKUP($B328,'Tillförd energi'!$B$1:$AI$720,MATCH(T$1,'Tillförd energi'!$B$1:$AQ$1,0),FALSE)</f>
        <v>0</v>
      </c>
      <c r="U328" s="121">
        <f>VLOOKUP($B328,'Tillförd energi'!$B$1:$AI$720,MATCH(U$1,'Tillförd energi'!$B$1:$AQ$1,0),FALSE)</f>
        <v>0</v>
      </c>
      <c r="V328" s="121">
        <f>VLOOKUP($B328,'Tillförd energi'!$B$1:$AI$720,MATCH(V$1,'Tillförd energi'!$B$1:$AQ$1,0),FALSE)</f>
        <v>0</v>
      </c>
      <c r="W328" s="121">
        <f>VLOOKUP($B328,'Tillförd energi'!$B$1:$AI$720,MATCH(W$1,'Tillförd energi'!$B$1:$AQ$1,0),FALSE)</f>
        <v>0</v>
      </c>
      <c r="X328" s="121">
        <f>VLOOKUP($B328,'Tillförd energi'!$B$1:$AI$720,MATCH(X$1,'Tillförd energi'!$B$1:$AQ$1,0),FALSE)</f>
        <v>0</v>
      </c>
      <c r="Y328" s="121">
        <f>VLOOKUP($B328,'Tillförd energi'!$B$1:$AI$720,MATCH(Y$1,'Tillförd energi'!$B$1:$AQ$1,0),FALSE)</f>
        <v>0</v>
      </c>
      <c r="Z328" s="121">
        <f>VLOOKUP($B328,'Tillförd energi'!$B$1:$AI$720,MATCH(Z$1,'Tillförd energi'!$B$1:$AQ$1,0),FALSE)</f>
        <v>0</v>
      </c>
      <c r="AA328" s="121">
        <f>VLOOKUP($B328,'Tillförd energi'!$B$1:$AI$720,MATCH(AA$1,'Tillförd energi'!$B$1:$AQ$1,0),FALSE)</f>
        <v>0</v>
      </c>
      <c r="AB328" s="121">
        <f>VLOOKUP($B328,'Tillförd energi'!$B$1:$AI$720,MATCH(AB$1,'Tillförd energi'!$B$1:$AQ$1,0),FALSE)</f>
        <v>0</v>
      </c>
      <c r="AC328" s="121">
        <f>VLOOKUP($B328,'Tillförd energi'!$B$1:$AI$720,MATCH(AC$1,'Tillförd energi'!$B$1:$AQ$1,0),FALSE)</f>
        <v>0</v>
      </c>
      <c r="AD328" s="121">
        <f>VLOOKUP($B328,'Tillförd energi'!$B$1:$AI$720,MATCH(AD$1,'Tillförd energi'!$B$1:$AQ$1,0),FALSE)</f>
        <v>0</v>
      </c>
      <c r="AE328" s="121">
        <f>VLOOKUP($B328,'Tillförd energi'!$B$1:$AI$720,MATCH(AE$1,'Tillförd energi'!$B$1:$AQ$1,0),FALSE)</f>
        <v>0</v>
      </c>
      <c r="AF328" s="121">
        <f>VLOOKUP($B328,'Tillförd energi'!$B$1:$AI$720,MATCH(AF$1,'Tillförd energi'!$B$1:$AQ$1,0),FALSE)</f>
        <v>0.127</v>
      </c>
      <c r="AG328" s="121">
        <f>IFERROR(VLOOKUP(B328,Miljö!$B$1:$AC$550,MATCH("Köpt mängd produktionsspecifik fjärrvärme:",Miljö!$B$1:$AC$1,0),FALSE)/1,0)</f>
        <v>0</v>
      </c>
      <c r="AH328" s="121"/>
      <c r="AI328" s="121">
        <f t="shared" si="132"/>
        <v>45.661499999999997</v>
      </c>
      <c r="AJ328" s="121">
        <f t="shared" si="133"/>
        <v>45.661499999999997</v>
      </c>
      <c r="AK328" s="121">
        <f>IF(ISERROR(1/VLOOKUP($B328,Leveranser!$B$1:$S$499,MATCH("såld värme (gwh)",Leveranser!$B$1:$S$1,0),FALSE)),"",VLOOKUP($B328,Leveranser!$B$1:$S$499,MATCH("såld värme (gwh)",Leveranser!$B$1:$S$1,0),FALSE))</f>
        <v>32.299999999999997</v>
      </c>
      <c r="AL328" s="121">
        <f>VLOOKUP($B328,Leveranser!$B$1:$Y$499,MATCH("Totalt såld fjärrvärme till andra fjärrvärmeföretag",Leveranser!$B$1:$AA$1,0),FALSE)</f>
        <v>0</v>
      </c>
      <c r="AM328" s="121">
        <f>IF(ISERROR(1/VLOOKUP($B328,Miljö!$B$1:$S$500,MATCH("Såld mängd produktionsspecifik fjärrvärme (GWh)",Miljö!$B$1:$R$1,0),FALSE)),0,VLOOKUP($B328,Miljö!$B$1:$S$500,MATCH("Såld mängd produktionsspecifik fjärrvärme (GWh)",Miljö!$B$1:$R$1,0),FALSE))</f>
        <v>0</v>
      </c>
      <c r="AN328" s="172">
        <f t="shared" si="134"/>
        <v>0.70737930203782173</v>
      </c>
      <c r="AO328" s="121"/>
      <c r="AP328" s="121" t="str">
        <f>IFERROR(VLOOKUP($B328,Miljövärden!$B$2:$H$550,7,FALSE),"Nej, saknas")</f>
        <v>Ja</v>
      </c>
      <c r="AQ328" s="121" t="str">
        <f>IFERROR(VLOOKUP($B328,Miljövärden!$B$2:$H$550,6,FALSE),"Nej, saknas")</f>
        <v>Ja</v>
      </c>
      <c r="AU328">
        <f t="shared" si="135"/>
        <v>0.127</v>
      </c>
      <c r="AV328">
        <f t="shared" si="136"/>
        <v>0</v>
      </c>
      <c r="AW328">
        <f t="shared" si="137"/>
        <v>45.1815</v>
      </c>
      <c r="AX328">
        <f t="shared" si="138"/>
        <v>0</v>
      </c>
      <c r="AZ328">
        <f t="shared" si="139"/>
        <v>45.1815</v>
      </c>
      <c r="BC328">
        <f t="shared" si="140"/>
        <v>0.35299999999999998</v>
      </c>
      <c r="BD328">
        <f t="shared" si="141"/>
        <v>0</v>
      </c>
      <c r="BE328">
        <f t="shared" si="142"/>
        <v>45.1815</v>
      </c>
      <c r="BF328">
        <f t="shared" si="143"/>
        <v>0</v>
      </c>
      <c r="BG328">
        <f t="shared" si="144"/>
        <v>0.127</v>
      </c>
      <c r="BH328">
        <f>VLOOKUP(B328,Miljö!$B$1:$BX$482,MATCH("Fossilandel för ursprungspecificerad el ()",Miljö!$B$1:$I$1,0),FALSE)</f>
        <v>0.43</v>
      </c>
      <c r="BI328">
        <f>VLOOKUP(B328,Miljö!$B$1:$BX$482,MATCH("Kärnkraftsandel för ursprungsspecificerad el ()",Miljö!$B$1:$O$1,0),FALSE)</f>
        <v>0.40550000000000003</v>
      </c>
      <c r="BJ328">
        <f t="shared" si="145"/>
        <v>0</v>
      </c>
      <c r="BK328" t="str">
        <f>VLOOKUP(B328,Miljö!$B$1:$O$482,MATCH("Fossil andel i procent (%)",Miljö!$B$1:$O$1,0),FALSE)</f>
        <v>ET</v>
      </c>
      <c r="BL328">
        <f t="shared" si="146"/>
        <v>45.661500000000004</v>
      </c>
      <c r="BO328" s="18">
        <f t="shared" si="147"/>
        <v>8.9267763871094894E-3</v>
      </c>
      <c r="BP328" s="18">
        <f t="shared" si="148"/>
        <v>1.12783198099055E-3</v>
      </c>
      <c r="BQ328" s="18">
        <f t="shared" si="149"/>
        <v>0.98994539163189987</v>
      </c>
      <c r="BR328" s="18">
        <f t="shared" si="150"/>
        <v>0</v>
      </c>
      <c r="BT328" s="27">
        <f t="shared" si="151"/>
        <v>0.99999999999999989</v>
      </c>
      <c r="BW328" s="18">
        <f>IF(AP328="ja",VLOOKUP(B328,Miljövärden!$B$2:$H$550,MATCH("Total andel fossilt",Miljövärden!$B$2:$H$2,0),FALSE),"")</f>
        <v>8.9267800000000005E-3</v>
      </c>
      <c r="BZ328" s="28">
        <f t="shared" si="152"/>
        <v>3.6128905110677234E-9</v>
      </c>
      <c r="CA328" s="28">
        <f t="shared" si="153"/>
        <v>0</v>
      </c>
    </row>
    <row r="329" spans="1:79" x14ac:dyDescent="0.25">
      <c r="A329" s="224" t="s">
        <v>649</v>
      </c>
      <c r="B329" s="210" t="s">
        <v>652</v>
      </c>
      <c r="C329" s="121">
        <f>VLOOKUP($B329,'Tillförd energi'!$B$1:$AI$720,MATCH(C$1,'Tillförd energi'!$B$1:$AQ$1,0),FALSE)</f>
        <v>0</v>
      </c>
      <c r="D329" s="121">
        <f>VLOOKUP($B329,'Tillförd energi'!$B$1:$AI$720,MATCH(D$1,'Tillförd energi'!$B$1:$AQ$1,0),FALSE)</f>
        <v>3.8</v>
      </c>
      <c r="E329" s="121">
        <f>VLOOKUP($B329,'Tillförd energi'!$B$1:$AI$720,MATCH(E$1,'Tillförd energi'!$B$1:$AQ$1,0),FALSE)</f>
        <v>0</v>
      </c>
      <c r="F329" s="121">
        <f>VLOOKUP($B329,'Tillförd energi'!$B$1:$AI$720,MATCH(F$1,'Tillförd energi'!$B$1:$AQ$1,0),FALSE)</f>
        <v>0</v>
      </c>
      <c r="G329" s="121">
        <f>VLOOKUP($B329,'Tillförd energi'!$B$1:$AI$720,MATCH(G$1,'Tillförd energi'!$B$1:$AQ$1,0),FALSE)</f>
        <v>0</v>
      </c>
      <c r="H329" s="121">
        <f>VLOOKUP($B329,'Tillförd energi'!$B$1:$AI$720,MATCH(H$1,'Tillförd energi'!$B$1:$AQ$1,0),FALSE)</f>
        <v>0</v>
      </c>
      <c r="I329" s="121">
        <f>VLOOKUP($B329,'Tillförd energi'!$B$1:$AI$720,MATCH(I$1,'Tillförd energi'!$B$1:$AQ$1,0),FALSE)</f>
        <v>0</v>
      </c>
      <c r="J329" s="121">
        <f>VLOOKUP($B329,'Tillförd energi'!$B$1:$AI$720,MATCH(J$1,'Tillförd energi'!$B$1:$AQ$1,0),FALSE)</f>
        <v>0</v>
      </c>
      <c r="K329" s="121">
        <f>VLOOKUP($B329,'Tillförd energi'!$B$1:$AI$720,MATCH(K$1,'Tillförd energi'!$B$1:$AQ$1,0),FALSE)</f>
        <v>0</v>
      </c>
      <c r="L329" s="121">
        <f>VLOOKUP($B329,'Tillförd energi'!$B$1:$AI$720,MATCH(L$1,'Tillförd energi'!$B$1:$AQ$1,0),FALSE)</f>
        <v>0</v>
      </c>
      <c r="M329" s="121">
        <f>VLOOKUP($B329,'Tillförd energi'!$B$1:$AI$720,MATCH(M$1,'Tillförd energi'!$B$1:$AQ$1,0),FALSE)</f>
        <v>62.540999999999997</v>
      </c>
      <c r="N329" s="121">
        <f>VLOOKUP($B329,'Tillförd energi'!$B$1:$AI$720,MATCH(N$1,'Tillförd energi'!$B$1:$AQ$1,0),FALSE)</f>
        <v>2.4039999999999999</v>
      </c>
      <c r="O329" s="121">
        <f>VLOOKUP($B329,'Tillförd energi'!$B$1:$AI$720,MATCH(O$1,'Tillförd energi'!$B$1:$AQ$1,0),FALSE)</f>
        <v>0</v>
      </c>
      <c r="P329" s="121">
        <f>VLOOKUP($B329,'Tillförd energi'!$B$1:$AI$720,MATCH(P$1,'Tillförd energi'!$B$1:$AQ$1,0),FALSE)</f>
        <v>20.155999999999999</v>
      </c>
      <c r="Q329" s="121">
        <f>VLOOKUP($B329,'Tillförd energi'!$B$1:$AI$720,MATCH(Q$1,'Tillförd energi'!$B$1:$AQ$1,0),FALSE)</f>
        <v>42.761000000000003</v>
      </c>
      <c r="R329" s="121">
        <f>VLOOKUP($B329,'Tillförd energi'!$B$1:$AI$720,MATCH(R$1,'Tillförd energi'!$B$1:$AQ$1,0),FALSE)</f>
        <v>0</v>
      </c>
      <c r="S329" s="121">
        <f>VLOOKUP($B329,'Tillförd energi'!$B$1:$AI$720,MATCH(S$1,'Tillförd energi'!$B$1:$AQ$1,0),FALSE)</f>
        <v>0</v>
      </c>
      <c r="T329" s="121">
        <f>VLOOKUP($B329,'Tillförd energi'!$B$1:$AI$720,MATCH(T$1,'Tillförd energi'!$B$1:$AQ$1,0),FALSE)</f>
        <v>0</v>
      </c>
      <c r="U329" s="121">
        <f>VLOOKUP($B329,'Tillförd energi'!$B$1:$AI$720,MATCH(U$1,'Tillförd energi'!$B$1:$AQ$1,0),FALSE)</f>
        <v>0</v>
      </c>
      <c r="V329" s="121">
        <f>VLOOKUP($B329,'Tillförd energi'!$B$1:$AI$720,MATCH(V$1,'Tillförd energi'!$B$1:$AQ$1,0),FALSE)</f>
        <v>0</v>
      </c>
      <c r="W329" s="121">
        <f>VLOOKUP($B329,'Tillförd energi'!$B$1:$AI$720,MATCH(W$1,'Tillförd energi'!$B$1:$AQ$1,0),FALSE)</f>
        <v>0</v>
      </c>
      <c r="X329" s="121">
        <f>VLOOKUP($B329,'Tillförd energi'!$B$1:$AI$720,MATCH(X$1,'Tillförd energi'!$B$1:$AQ$1,0),FALSE)</f>
        <v>0</v>
      </c>
      <c r="Y329" s="121">
        <f>VLOOKUP($B329,'Tillförd energi'!$B$1:$AI$720,MATCH(Y$1,'Tillförd energi'!$B$1:$AQ$1,0),FALSE)</f>
        <v>0</v>
      </c>
      <c r="Z329" s="121">
        <f>VLOOKUP($B329,'Tillförd energi'!$B$1:$AI$720,MATCH(Z$1,'Tillförd energi'!$B$1:$AQ$1,0),FALSE)</f>
        <v>0</v>
      </c>
      <c r="AA329" s="121">
        <f>VLOOKUP($B329,'Tillförd energi'!$B$1:$AI$720,MATCH(AA$1,'Tillförd energi'!$B$1:$AQ$1,0),FALSE)</f>
        <v>0</v>
      </c>
      <c r="AB329" s="121">
        <f>VLOOKUP($B329,'Tillförd energi'!$B$1:$AI$720,MATCH(AB$1,'Tillförd energi'!$B$1:$AQ$1,0),FALSE)</f>
        <v>0</v>
      </c>
      <c r="AC329" s="121">
        <f>VLOOKUP($B329,'Tillförd energi'!$B$1:$AI$720,MATCH(AC$1,'Tillförd energi'!$B$1:$AQ$1,0),FALSE)</f>
        <v>10.6</v>
      </c>
      <c r="AD329" s="121">
        <f>VLOOKUP($B329,'Tillförd energi'!$B$1:$AI$720,MATCH(AD$1,'Tillförd energi'!$B$1:$AQ$1,0),FALSE)</f>
        <v>0</v>
      </c>
      <c r="AE329" s="121">
        <f>VLOOKUP($B329,'Tillförd energi'!$B$1:$AI$720,MATCH(AE$1,'Tillförd energi'!$B$1:$AQ$1,0),FALSE)</f>
        <v>0</v>
      </c>
      <c r="AF329" s="121">
        <f>VLOOKUP($B329,'Tillförd energi'!$B$1:$AI$720,MATCH(AF$1,'Tillförd energi'!$B$1:$AQ$1,0),FALSE)</f>
        <v>3.6</v>
      </c>
      <c r="AG329" s="121">
        <f>IFERROR(VLOOKUP(B329,Miljö!$B$1:$AC$550,MATCH("Köpt mängd produktionsspecifik fjärrvärme:",Miljö!$B$1:$AC$1,0),FALSE)/1,0)</f>
        <v>0</v>
      </c>
      <c r="AH329" s="121"/>
      <c r="AI329" s="121">
        <f t="shared" si="132"/>
        <v>145.86199999999997</v>
      </c>
      <c r="AJ329" s="121">
        <f t="shared" si="133"/>
        <v>145.86199999999997</v>
      </c>
      <c r="AK329" s="121">
        <f>IF(ISERROR(1/VLOOKUP($B329,Leveranser!$B$1:$S$499,MATCH("såld värme (gwh)",Leveranser!$B$1:$S$1,0),FALSE)),"",VLOOKUP($B329,Leveranser!$B$1:$S$499,MATCH("såld värme (gwh)",Leveranser!$B$1:$S$1,0),FALSE))</f>
        <v>108.1</v>
      </c>
      <c r="AL329" s="121">
        <f>VLOOKUP($B329,Leveranser!$B$1:$Y$499,MATCH("Totalt såld fjärrvärme till andra fjärrvärmeföretag",Leveranser!$B$1:$AA$1,0),FALSE)</f>
        <v>0</v>
      </c>
      <c r="AM329" s="121">
        <f>IF(ISERROR(1/VLOOKUP($B329,Miljö!$B$1:$S$500,MATCH("Såld mängd produktionsspecifik fjärrvärme (GWh)",Miljö!$B$1:$R$1,0),FALSE)),0,VLOOKUP($B329,Miljö!$B$1:$S$500,MATCH("Såld mängd produktionsspecifik fjärrvärme (GWh)",Miljö!$B$1:$R$1,0),FALSE))</f>
        <v>0</v>
      </c>
      <c r="AN329" s="172">
        <f t="shared" si="134"/>
        <v>0.74111146151842167</v>
      </c>
      <c r="AO329" s="121"/>
      <c r="AP329" s="121" t="str">
        <f>IFERROR(VLOOKUP($B329,Miljövärden!$B$2:$H$550,7,FALSE),"Nej, saknas")</f>
        <v>Ja</v>
      </c>
      <c r="AQ329" s="121" t="str">
        <f>IFERROR(VLOOKUP($B329,Miljövärden!$B$2:$H$550,6,FALSE),"Nej, saknas")</f>
        <v>Ja</v>
      </c>
      <c r="AU329">
        <f t="shared" si="135"/>
        <v>3.6</v>
      </c>
      <c r="AV329">
        <f t="shared" si="136"/>
        <v>0</v>
      </c>
      <c r="AW329">
        <f t="shared" si="137"/>
        <v>127.86199999999999</v>
      </c>
      <c r="AX329">
        <f t="shared" si="138"/>
        <v>0</v>
      </c>
      <c r="AZ329">
        <f t="shared" si="139"/>
        <v>127.86199999999999</v>
      </c>
      <c r="BC329">
        <f t="shared" si="140"/>
        <v>3.8</v>
      </c>
      <c r="BD329">
        <f t="shared" si="141"/>
        <v>0</v>
      </c>
      <c r="BE329">
        <f t="shared" si="142"/>
        <v>127.86199999999999</v>
      </c>
      <c r="BF329">
        <f t="shared" si="143"/>
        <v>10.6</v>
      </c>
      <c r="BG329">
        <f t="shared" si="144"/>
        <v>3.6</v>
      </c>
      <c r="BH329">
        <f>VLOOKUP(B329,Miljö!$B$1:$BX$482,MATCH("Fossilandel för ursprungspecificerad el ()",Miljö!$B$1:$I$1,0),FALSE)</f>
        <v>0.43</v>
      </c>
      <c r="BI329">
        <f>VLOOKUP(B329,Miljö!$B$1:$BX$482,MATCH("Kärnkraftsandel för ursprungsspecificerad el ()",Miljö!$B$1:$O$1,0),FALSE)</f>
        <v>0.40550000000000003</v>
      </c>
      <c r="BJ329">
        <f t="shared" si="145"/>
        <v>0</v>
      </c>
      <c r="BK329" t="str">
        <f>VLOOKUP(B329,Miljö!$B$1:$O$482,MATCH("Fossil andel i procent (%)",Miljö!$B$1:$O$1,0),FALSE)</f>
        <v>ET</v>
      </c>
      <c r="BL329">
        <f t="shared" si="146"/>
        <v>145.86199999999999</v>
      </c>
      <c r="BO329" s="18">
        <f t="shared" si="147"/>
        <v>3.666479274931099E-2</v>
      </c>
      <c r="BP329" s="18">
        <f t="shared" si="148"/>
        <v>1.0008089838340352E-2</v>
      </c>
      <c r="BQ329" s="18">
        <f t="shared" si="149"/>
        <v>0.88065568825328044</v>
      </c>
      <c r="BR329" s="18">
        <f t="shared" si="150"/>
        <v>7.2671429159068157E-2</v>
      </c>
      <c r="BT329" s="27">
        <f t="shared" si="151"/>
        <v>1</v>
      </c>
      <c r="BW329" s="18">
        <f>IF(AP329="ja",VLOOKUP(B329,Miljövärden!$B$2:$H$550,MATCH("Total andel fossilt",Miljövärden!$B$2:$H$2,0),FALSE),"")</f>
        <v>3.6664799999999997E-2</v>
      </c>
      <c r="BZ329" s="28">
        <f t="shared" si="152"/>
        <v>7.2506890075318964E-9</v>
      </c>
      <c r="CA329" s="28">
        <f t="shared" si="153"/>
        <v>0</v>
      </c>
    </row>
    <row r="330" spans="1:79" x14ac:dyDescent="0.25">
      <c r="A330" s="224" t="s">
        <v>649</v>
      </c>
      <c r="B330" s="210" t="s">
        <v>653</v>
      </c>
      <c r="C330" s="121">
        <f>VLOOKUP($B330,'Tillförd energi'!$B$1:$AI$720,MATCH(C$1,'Tillförd energi'!$B$1:$AQ$1,0),FALSE)</f>
        <v>0</v>
      </c>
      <c r="D330" s="121">
        <f>VLOOKUP($B330,'Tillförd energi'!$B$1:$AI$720,MATCH(D$1,'Tillförd energi'!$B$1:$AQ$1,0),FALSE)</f>
        <v>2E-3</v>
      </c>
      <c r="E330" s="121">
        <f>VLOOKUP($B330,'Tillförd energi'!$B$1:$AI$720,MATCH(E$1,'Tillförd energi'!$B$1:$AQ$1,0),FALSE)</f>
        <v>0</v>
      </c>
      <c r="F330" s="121">
        <f>VLOOKUP($B330,'Tillförd energi'!$B$1:$AI$720,MATCH(F$1,'Tillförd energi'!$B$1:$AQ$1,0),FALSE)</f>
        <v>0</v>
      </c>
      <c r="G330" s="121">
        <f>VLOOKUP($B330,'Tillförd energi'!$B$1:$AI$720,MATCH(G$1,'Tillförd energi'!$B$1:$AQ$1,0),FALSE)</f>
        <v>0</v>
      </c>
      <c r="H330" s="121">
        <f>VLOOKUP($B330,'Tillförd energi'!$B$1:$AI$720,MATCH(H$1,'Tillförd energi'!$B$1:$AQ$1,0),FALSE)</f>
        <v>0</v>
      </c>
      <c r="I330" s="121">
        <f>VLOOKUP($B330,'Tillförd energi'!$B$1:$AI$720,MATCH(I$1,'Tillförd energi'!$B$1:$AQ$1,0),FALSE)</f>
        <v>0</v>
      </c>
      <c r="J330" s="121">
        <f>VLOOKUP($B330,'Tillförd energi'!$B$1:$AI$720,MATCH(J$1,'Tillförd energi'!$B$1:$AQ$1,0),FALSE)</f>
        <v>0</v>
      </c>
      <c r="K330" s="121">
        <f>VLOOKUP($B330,'Tillförd energi'!$B$1:$AI$720,MATCH(K$1,'Tillförd energi'!$B$1:$AQ$1,0),FALSE)</f>
        <v>0</v>
      </c>
      <c r="L330" s="121">
        <f>VLOOKUP($B330,'Tillförd energi'!$B$1:$AI$720,MATCH(L$1,'Tillförd energi'!$B$1:$AQ$1,0),FALSE)</f>
        <v>0</v>
      </c>
      <c r="M330" s="121">
        <f>VLOOKUP($B330,'Tillförd energi'!$B$1:$AI$720,MATCH(M$1,'Tillförd energi'!$B$1:$AQ$1,0),FALSE)</f>
        <v>0</v>
      </c>
      <c r="N330" s="121">
        <f>VLOOKUP($B330,'Tillförd energi'!$B$1:$AI$720,MATCH(N$1,'Tillförd energi'!$B$1:$AQ$1,0),FALSE)</f>
        <v>0</v>
      </c>
      <c r="O330" s="121">
        <f>VLOOKUP($B330,'Tillförd energi'!$B$1:$AI$720,MATCH(O$1,'Tillförd energi'!$B$1:$AQ$1,0),FALSE)</f>
        <v>0</v>
      </c>
      <c r="P330" s="121">
        <f>VLOOKUP($B330,'Tillförd energi'!$B$1:$AI$720,MATCH(P$1,'Tillförd energi'!$B$1:$AQ$1,0),FALSE)</f>
        <v>0</v>
      </c>
      <c r="Q330" s="121">
        <f>VLOOKUP($B330,'Tillförd energi'!$B$1:$AI$720,MATCH(Q$1,'Tillförd energi'!$B$1:$AQ$1,0),FALSE)</f>
        <v>0</v>
      </c>
      <c r="R330" s="121">
        <f>VLOOKUP($B330,'Tillförd energi'!$B$1:$AI$720,MATCH(R$1,'Tillförd energi'!$B$1:$AQ$1,0),FALSE)</f>
        <v>2.754</v>
      </c>
      <c r="S330" s="121">
        <f>VLOOKUP($B330,'Tillförd energi'!$B$1:$AI$720,MATCH(S$1,'Tillförd energi'!$B$1:$AQ$1,0),FALSE)</f>
        <v>0</v>
      </c>
      <c r="T330" s="121">
        <f>VLOOKUP($B330,'Tillförd energi'!$B$1:$AI$720,MATCH(T$1,'Tillförd energi'!$B$1:$AQ$1,0),FALSE)</f>
        <v>0</v>
      </c>
      <c r="U330" s="121">
        <f>VLOOKUP($B330,'Tillförd energi'!$B$1:$AI$720,MATCH(U$1,'Tillförd energi'!$B$1:$AQ$1,0),FALSE)</f>
        <v>0</v>
      </c>
      <c r="V330" s="121">
        <f>VLOOKUP($B330,'Tillförd energi'!$B$1:$AI$720,MATCH(V$1,'Tillförd energi'!$B$1:$AQ$1,0),FALSE)</f>
        <v>0</v>
      </c>
      <c r="W330" s="121">
        <f>VLOOKUP($B330,'Tillförd energi'!$B$1:$AI$720,MATCH(W$1,'Tillförd energi'!$B$1:$AQ$1,0),FALSE)</f>
        <v>0</v>
      </c>
      <c r="X330" s="121">
        <f>VLOOKUP($B330,'Tillförd energi'!$B$1:$AI$720,MATCH(X$1,'Tillförd energi'!$B$1:$AQ$1,0),FALSE)</f>
        <v>0</v>
      </c>
      <c r="Y330" s="121">
        <f>VLOOKUP($B330,'Tillförd energi'!$B$1:$AI$720,MATCH(Y$1,'Tillförd energi'!$B$1:$AQ$1,0),FALSE)</f>
        <v>0</v>
      </c>
      <c r="Z330" s="121">
        <f>VLOOKUP($B330,'Tillförd energi'!$B$1:$AI$720,MATCH(Z$1,'Tillförd energi'!$B$1:$AQ$1,0),FALSE)</f>
        <v>0</v>
      </c>
      <c r="AA330" s="121">
        <f>VLOOKUP($B330,'Tillförd energi'!$B$1:$AI$720,MATCH(AA$1,'Tillförd energi'!$B$1:$AQ$1,0),FALSE)</f>
        <v>0</v>
      </c>
      <c r="AB330" s="121">
        <f>VLOOKUP($B330,'Tillförd energi'!$B$1:$AI$720,MATCH(AB$1,'Tillförd energi'!$B$1:$AQ$1,0),FALSE)</f>
        <v>0</v>
      </c>
      <c r="AC330" s="121">
        <f>VLOOKUP($B330,'Tillförd energi'!$B$1:$AI$720,MATCH(AC$1,'Tillförd energi'!$B$1:$AQ$1,0),FALSE)</f>
        <v>0</v>
      </c>
      <c r="AD330" s="121">
        <f>VLOOKUP($B330,'Tillförd energi'!$B$1:$AI$720,MATCH(AD$1,'Tillförd energi'!$B$1:$AQ$1,0),FALSE)</f>
        <v>0</v>
      </c>
      <c r="AE330" s="121">
        <f>VLOOKUP($B330,'Tillförd energi'!$B$1:$AI$720,MATCH(AE$1,'Tillförd energi'!$B$1:$AQ$1,0),FALSE)</f>
        <v>0</v>
      </c>
      <c r="AF330" s="121">
        <f>VLOOKUP($B330,'Tillförd energi'!$B$1:$AI$720,MATCH(AF$1,'Tillförd energi'!$B$1:$AQ$1,0),FALSE)</f>
        <v>4.3999999999999997E-2</v>
      </c>
      <c r="AG330" s="121">
        <f>IFERROR(VLOOKUP(B330,Miljö!$B$1:$AC$550,MATCH("Köpt mängd produktionsspecifik fjärrvärme:",Miljö!$B$1:$AC$1,0),FALSE)/1,0)</f>
        <v>0</v>
      </c>
      <c r="AH330" s="121"/>
      <c r="AI330" s="121">
        <f t="shared" si="132"/>
        <v>2.8</v>
      </c>
      <c r="AJ330" s="121">
        <f t="shared" si="133"/>
        <v>2.8</v>
      </c>
      <c r="AK330" s="121">
        <f>IF(ISERROR(1/VLOOKUP($B330,Leveranser!$B$1:$S$499,MATCH("såld värme (gwh)",Leveranser!$B$1:$S$1,0),FALSE)),"",VLOOKUP($B330,Leveranser!$B$1:$S$499,MATCH("såld värme (gwh)",Leveranser!$B$1:$S$1,0),FALSE))</f>
        <v>2.5720000000000001</v>
      </c>
      <c r="AL330" s="121">
        <f>VLOOKUP($B330,Leveranser!$B$1:$Y$499,MATCH("Totalt såld fjärrvärme till andra fjärrvärmeföretag",Leveranser!$B$1:$AA$1,0),FALSE)</f>
        <v>0</v>
      </c>
      <c r="AM330" s="121">
        <f>IF(ISERROR(1/VLOOKUP($B330,Miljö!$B$1:$S$500,MATCH("Såld mängd produktionsspecifik fjärrvärme (GWh)",Miljö!$B$1:$R$1,0),FALSE)),0,VLOOKUP($B330,Miljö!$B$1:$S$500,MATCH("Såld mängd produktionsspecifik fjärrvärme (GWh)",Miljö!$B$1:$R$1,0),FALSE))</f>
        <v>0</v>
      </c>
      <c r="AN330" s="172">
        <f t="shared" si="134"/>
        <v>0.91857142857142871</v>
      </c>
      <c r="AO330" s="121"/>
      <c r="AP330" s="121" t="str">
        <f>IFERROR(VLOOKUP($B330,Miljövärden!$B$2:$H$550,7,FALSE),"Nej, saknas")</f>
        <v>Ja</v>
      </c>
      <c r="AQ330" s="121" t="str">
        <f>IFERROR(VLOOKUP($B330,Miljövärden!$B$2:$H$550,6,FALSE),"Nej, saknas")</f>
        <v>Ja</v>
      </c>
      <c r="AU330">
        <f t="shared" si="135"/>
        <v>4.3999999999999997E-2</v>
      </c>
      <c r="AV330">
        <f t="shared" si="136"/>
        <v>0</v>
      </c>
      <c r="AW330">
        <f t="shared" si="137"/>
        <v>0</v>
      </c>
      <c r="AX330">
        <f t="shared" si="138"/>
        <v>2.754</v>
      </c>
      <c r="AZ330">
        <f t="shared" si="139"/>
        <v>2.754</v>
      </c>
      <c r="BC330">
        <f t="shared" si="140"/>
        <v>2E-3</v>
      </c>
      <c r="BD330">
        <f t="shared" si="141"/>
        <v>0</v>
      </c>
      <c r="BE330">
        <f t="shared" si="142"/>
        <v>2.754</v>
      </c>
      <c r="BF330">
        <f t="shared" si="143"/>
        <v>0</v>
      </c>
      <c r="BG330">
        <f t="shared" si="144"/>
        <v>4.3999999999999997E-2</v>
      </c>
      <c r="BH330">
        <f>VLOOKUP(B330,Miljö!$B$1:$BX$482,MATCH("Fossilandel för ursprungspecificerad el ()",Miljö!$B$1:$I$1,0),FALSE)</f>
        <v>0.43</v>
      </c>
      <c r="BI330">
        <f>VLOOKUP(B330,Miljö!$B$1:$BX$482,MATCH("Kärnkraftsandel för ursprungsspecificerad el ()",Miljö!$B$1:$O$1,0),FALSE)</f>
        <v>0.40550000000000003</v>
      </c>
      <c r="BJ330">
        <f t="shared" si="145"/>
        <v>0</v>
      </c>
      <c r="BK330" t="str">
        <f>VLOOKUP(B330,Miljö!$B$1:$O$482,MATCH("Fossil andel i procent (%)",Miljö!$B$1:$O$1,0),FALSE)</f>
        <v>ET</v>
      </c>
      <c r="BL330">
        <f t="shared" si="146"/>
        <v>2.8</v>
      </c>
      <c r="BO330" s="18">
        <f t="shared" si="147"/>
        <v>7.4714285714285724E-3</v>
      </c>
      <c r="BP330" s="18">
        <f t="shared" si="148"/>
        <v>6.3721428571428575E-3</v>
      </c>
      <c r="BQ330" s="18">
        <f t="shared" si="149"/>
        <v>0.98615642857142871</v>
      </c>
      <c r="BR330" s="18">
        <f t="shared" si="150"/>
        <v>0</v>
      </c>
      <c r="BT330" s="27">
        <f t="shared" si="151"/>
        <v>1.0000000000000002</v>
      </c>
      <c r="BW330" s="18">
        <f>IF(AP330="ja",VLOOKUP(B330,Miljövärden!$B$2:$H$550,MATCH("Total andel fossilt",Miljövärden!$B$2:$H$2,0),FALSE),"")</f>
        <v>7.4714300000000003E-3</v>
      </c>
      <c r="BZ330" s="28">
        <f t="shared" si="152"/>
        <v>1.4285714278194916E-9</v>
      </c>
      <c r="CA330" s="28">
        <f t="shared" si="153"/>
        <v>0</v>
      </c>
    </row>
    <row r="331" spans="1:79" x14ac:dyDescent="0.25">
      <c r="A331" s="224" t="s">
        <v>649</v>
      </c>
      <c r="B331" s="210" t="s">
        <v>138</v>
      </c>
      <c r="C331" s="121">
        <f>VLOOKUP($B331,'Tillförd energi'!$B$1:$AI$720,MATCH(C$1,'Tillförd energi'!$B$1:$AQ$1,0),FALSE)</f>
        <v>0</v>
      </c>
      <c r="D331" s="121">
        <f>VLOOKUP($B331,'Tillförd energi'!$B$1:$AI$720,MATCH(D$1,'Tillförd energi'!$B$1:$AQ$1,0),FALSE)</f>
        <v>0.1</v>
      </c>
      <c r="E331" s="121">
        <f>VLOOKUP($B331,'Tillförd energi'!$B$1:$AI$720,MATCH(E$1,'Tillförd energi'!$B$1:$AQ$1,0),FALSE)</f>
        <v>0</v>
      </c>
      <c r="F331" s="121">
        <f>VLOOKUP($B331,'Tillförd energi'!$B$1:$AI$720,MATCH(F$1,'Tillförd energi'!$B$1:$AQ$1,0),FALSE)</f>
        <v>0</v>
      </c>
      <c r="G331" s="121">
        <f>VLOOKUP($B331,'Tillförd energi'!$B$1:$AI$720,MATCH(G$1,'Tillförd energi'!$B$1:$AQ$1,0),FALSE)</f>
        <v>0</v>
      </c>
      <c r="H331" s="121">
        <f>VLOOKUP($B331,'Tillförd energi'!$B$1:$AI$720,MATCH(H$1,'Tillförd energi'!$B$1:$AQ$1,0),FALSE)</f>
        <v>0</v>
      </c>
      <c r="I331" s="121">
        <f>VLOOKUP($B331,'Tillförd energi'!$B$1:$AI$720,MATCH(I$1,'Tillförd energi'!$B$1:$AQ$1,0),FALSE)</f>
        <v>0</v>
      </c>
      <c r="J331" s="121">
        <f>VLOOKUP($B331,'Tillförd energi'!$B$1:$AI$720,MATCH(J$1,'Tillförd energi'!$B$1:$AQ$1,0),FALSE)</f>
        <v>0</v>
      </c>
      <c r="K331" s="121">
        <f>VLOOKUP($B331,'Tillförd energi'!$B$1:$AI$720,MATCH(K$1,'Tillförd energi'!$B$1:$AQ$1,0),FALSE)</f>
        <v>0</v>
      </c>
      <c r="L331" s="121">
        <f>VLOOKUP($B331,'Tillförd energi'!$B$1:$AI$720,MATCH(L$1,'Tillförd energi'!$B$1:$AQ$1,0),FALSE)</f>
        <v>0</v>
      </c>
      <c r="M331" s="121">
        <f>VLOOKUP($B331,'Tillförd energi'!$B$1:$AI$720,MATCH(M$1,'Tillförd energi'!$B$1:$AQ$1,0),FALSE)</f>
        <v>0</v>
      </c>
      <c r="N331" s="121">
        <f>VLOOKUP($B331,'Tillförd energi'!$B$1:$AI$720,MATCH(N$1,'Tillförd energi'!$B$1:$AQ$1,0),FALSE)</f>
        <v>0</v>
      </c>
      <c r="O331" s="121">
        <f>VLOOKUP($B331,'Tillförd energi'!$B$1:$AI$720,MATCH(O$1,'Tillförd energi'!$B$1:$AQ$1,0),FALSE)</f>
        <v>0</v>
      </c>
      <c r="P331" s="121">
        <f>VLOOKUP($B331,'Tillförd energi'!$B$1:$AI$720,MATCH(P$1,'Tillförd energi'!$B$1:$AQ$1,0),FALSE)</f>
        <v>18.8</v>
      </c>
      <c r="Q331" s="121">
        <f>VLOOKUP($B331,'Tillförd energi'!$B$1:$AI$720,MATCH(Q$1,'Tillförd energi'!$B$1:$AQ$1,0),FALSE)</f>
        <v>0</v>
      </c>
      <c r="R331" s="121">
        <f>VLOOKUP($B331,'Tillförd energi'!$B$1:$AI$720,MATCH(R$1,'Tillförd energi'!$B$1:$AQ$1,0),FALSE)</f>
        <v>0</v>
      </c>
      <c r="S331" s="121">
        <f>VLOOKUP($B331,'Tillförd energi'!$B$1:$AI$720,MATCH(S$1,'Tillförd energi'!$B$1:$AQ$1,0),FALSE)</f>
        <v>0</v>
      </c>
      <c r="T331" s="121">
        <f>VLOOKUP($B331,'Tillförd energi'!$B$1:$AI$720,MATCH(T$1,'Tillförd energi'!$B$1:$AQ$1,0),FALSE)</f>
        <v>0</v>
      </c>
      <c r="U331" s="121">
        <f>VLOOKUP($B331,'Tillförd energi'!$B$1:$AI$720,MATCH(U$1,'Tillförd energi'!$B$1:$AQ$1,0),FALSE)</f>
        <v>0</v>
      </c>
      <c r="V331" s="121">
        <f>VLOOKUP($B331,'Tillförd energi'!$B$1:$AI$720,MATCH(V$1,'Tillförd energi'!$B$1:$AQ$1,0),FALSE)</f>
        <v>0</v>
      </c>
      <c r="W331" s="121">
        <f>VLOOKUP($B331,'Tillförd energi'!$B$1:$AI$720,MATCH(W$1,'Tillförd energi'!$B$1:$AQ$1,0),FALSE)</f>
        <v>0</v>
      </c>
      <c r="X331" s="121">
        <f>VLOOKUP($B331,'Tillförd energi'!$B$1:$AI$720,MATCH(X$1,'Tillförd energi'!$B$1:$AQ$1,0),FALSE)</f>
        <v>0</v>
      </c>
      <c r="Y331" s="121">
        <f>VLOOKUP($B331,'Tillförd energi'!$B$1:$AI$720,MATCH(Y$1,'Tillförd energi'!$B$1:$AQ$1,0),FALSE)</f>
        <v>0</v>
      </c>
      <c r="Z331" s="121">
        <f>VLOOKUP($B331,'Tillförd energi'!$B$1:$AI$720,MATCH(Z$1,'Tillförd energi'!$B$1:$AQ$1,0),FALSE)</f>
        <v>0</v>
      </c>
      <c r="AA331" s="121">
        <f>VLOOKUP($B331,'Tillförd energi'!$B$1:$AI$720,MATCH(AA$1,'Tillförd energi'!$B$1:$AQ$1,0),FALSE)</f>
        <v>0</v>
      </c>
      <c r="AB331" s="121">
        <f>VLOOKUP($B331,'Tillförd energi'!$B$1:$AI$720,MATCH(AB$1,'Tillförd energi'!$B$1:$AQ$1,0),FALSE)</f>
        <v>0</v>
      </c>
      <c r="AC331" s="121">
        <f>VLOOKUP($B331,'Tillförd energi'!$B$1:$AI$720,MATCH(AC$1,'Tillförd energi'!$B$1:$AQ$1,0),FALSE)</f>
        <v>1.1930000000000001</v>
      </c>
      <c r="AD331" s="121">
        <f>VLOOKUP($B331,'Tillförd energi'!$B$1:$AI$720,MATCH(AD$1,'Tillförd energi'!$B$1:$AQ$1,0),FALSE)</f>
        <v>0</v>
      </c>
      <c r="AE331" s="121">
        <f>VLOOKUP($B331,'Tillförd energi'!$B$1:$AI$720,MATCH(AE$1,'Tillförd energi'!$B$1:$AQ$1,0),FALSE)</f>
        <v>0</v>
      </c>
      <c r="AF331" s="121">
        <f>VLOOKUP($B331,'Tillförd energi'!$B$1:$AI$720,MATCH(AF$1,'Tillförd energi'!$B$1:$AQ$1,0),FALSE)</f>
        <v>0.35</v>
      </c>
      <c r="AG331" s="121">
        <f>IFERROR(VLOOKUP(B331,Miljö!$B$1:$AC$550,MATCH("Köpt mängd produktionsspecifik fjärrvärme:",Miljö!$B$1:$AC$1,0),FALSE)/1,0)</f>
        <v>0</v>
      </c>
      <c r="AH331" s="121"/>
      <c r="AI331" s="121">
        <f t="shared" si="132"/>
        <v>20.443000000000005</v>
      </c>
      <c r="AJ331" s="121">
        <f t="shared" si="133"/>
        <v>20.443000000000005</v>
      </c>
      <c r="AK331" s="121">
        <f>IF(ISERROR(1/VLOOKUP($B331,Leveranser!$B$1:$S$499,MATCH("såld värme (gwh)",Leveranser!$B$1:$S$1,0),FALSE)),"",VLOOKUP($B331,Leveranser!$B$1:$S$499,MATCH("såld värme (gwh)",Leveranser!$B$1:$S$1,0),FALSE))</f>
        <v>14.8</v>
      </c>
      <c r="AL331" s="121">
        <f>VLOOKUP($B331,Leveranser!$B$1:$Y$499,MATCH("Totalt såld fjärrvärme till andra fjärrvärmeföretag",Leveranser!$B$1:$AA$1,0),FALSE)</f>
        <v>0</v>
      </c>
      <c r="AM331" s="121">
        <f>IF(ISERROR(1/VLOOKUP($B331,Miljö!$B$1:$S$500,MATCH("Såld mängd produktionsspecifik fjärrvärme (GWh)",Miljö!$B$1:$R$1,0),FALSE)),0,VLOOKUP($B331,Miljö!$B$1:$S$500,MATCH("Såld mängd produktionsspecifik fjärrvärme (GWh)",Miljö!$B$1:$R$1,0),FALSE))</f>
        <v>0</v>
      </c>
      <c r="AN331" s="172">
        <f t="shared" si="134"/>
        <v>0.72396419312234006</v>
      </c>
      <c r="AO331" s="121"/>
      <c r="AP331" s="121" t="str">
        <f>IFERROR(VLOOKUP($B331,Miljövärden!$B$2:$H$550,7,FALSE),"Nej, saknas")</f>
        <v>Nej</v>
      </c>
      <c r="AQ331" s="121" t="str">
        <f>IFERROR(VLOOKUP($B331,Miljövärden!$B$2:$H$550,6,FALSE),"Nej, saknas")</f>
        <v>Nej</v>
      </c>
      <c r="AU331">
        <f t="shared" si="135"/>
        <v>0.35</v>
      </c>
      <c r="AV331">
        <f t="shared" si="136"/>
        <v>0</v>
      </c>
      <c r="AW331">
        <f t="shared" si="137"/>
        <v>18.8</v>
      </c>
      <c r="AX331">
        <f t="shared" si="138"/>
        <v>0</v>
      </c>
      <c r="AZ331">
        <f t="shared" si="139"/>
        <v>18.8</v>
      </c>
      <c r="BC331">
        <f t="shared" si="140"/>
        <v>0.1</v>
      </c>
      <c r="BD331">
        <f t="shared" si="141"/>
        <v>0</v>
      </c>
      <c r="BE331">
        <f t="shared" si="142"/>
        <v>18.8</v>
      </c>
      <c r="BF331">
        <f t="shared" si="143"/>
        <v>1.1930000000000001</v>
      </c>
      <c r="BG331">
        <f t="shared" si="144"/>
        <v>0.35</v>
      </c>
      <c r="BH331">
        <f>VLOOKUP(B331,Miljö!$B$1:$BX$482,MATCH("Fossilandel för ursprungspecificerad el ()",Miljö!$B$1:$I$1,0),FALSE)</f>
        <v>0.43</v>
      </c>
      <c r="BI331">
        <f>VLOOKUP(B331,Miljö!$B$1:$BX$482,MATCH("Kärnkraftsandel för ursprungsspecificerad el ()",Miljö!$B$1:$O$1,0),FALSE)</f>
        <v>0.40550000000000003</v>
      </c>
      <c r="BJ331">
        <f t="shared" si="145"/>
        <v>0</v>
      </c>
      <c r="BK331" t="str">
        <f>VLOOKUP(B331,Miljö!$B$1:$O$482,MATCH("Fossil andel i procent (%)",Miljö!$B$1:$O$1,0),FALSE)</f>
        <v>ET</v>
      </c>
      <c r="BL331">
        <f t="shared" si="146"/>
        <v>20.443000000000005</v>
      </c>
      <c r="BO331" s="18" t="str">
        <f t="shared" si="147"/>
        <v/>
      </c>
      <c r="BP331" s="18" t="str">
        <f t="shared" si="148"/>
        <v/>
      </c>
      <c r="BQ331" s="18" t="str">
        <f t="shared" si="149"/>
        <v/>
      </c>
      <c r="BR331" s="18" t="str">
        <f t="shared" si="150"/>
        <v/>
      </c>
      <c r="BT331" s="27">
        <f t="shared" si="151"/>
        <v>0</v>
      </c>
      <c r="BW331" s="18" t="str">
        <f>IF(AP331="ja",VLOOKUP(B331,Miljövärden!$B$2:$H$550,MATCH("Total andel fossilt",Miljövärden!$B$2:$H$2,0),FALSE),"")</f>
        <v/>
      </c>
      <c r="BZ331" s="28" t="str">
        <f t="shared" si="152"/>
        <v/>
      </c>
      <c r="CA331" s="28" t="str">
        <f t="shared" si="153"/>
        <v/>
      </c>
    </row>
    <row r="332" spans="1:79" x14ac:dyDescent="0.25">
      <c r="A332" s="224" t="s">
        <v>654</v>
      </c>
      <c r="B332" s="210" t="s">
        <v>655</v>
      </c>
      <c r="C332" s="121">
        <f>VLOOKUP($B332,'Tillförd energi'!$B$1:$AI$720,MATCH(C$1,'Tillförd energi'!$B$1:$AQ$1,0),FALSE)</f>
        <v>0</v>
      </c>
      <c r="D332" s="121">
        <f>VLOOKUP($B332,'Tillförd energi'!$B$1:$AI$720,MATCH(D$1,'Tillförd energi'!$B$1:$AQ$1,0),FALSE)</f>
        <v>0.627</v>
      </c>
      <c r="E332" s="121">
        <f>VLOOKUP($B332,'Tillförd energi'!$B$1:$AI$720,MATCH(E$1,'Tillförd energi'!$B$1:$AQ$1,0),FALSE)</f>
        <v>0</v>
      </c>
      <c r="F332" s="121">
        <f>VLOOKUP($B332,'Tillförd energi'!$B$1:$AI$720,MATCH(F$1,'Tillförd energi'!$B$1:$AQ$1,0),FALSE)</f>
        <v>0</v>
      </c>
      <c r="G332" s="121">
        <f>VLOOKUP($B332,'Tillförd energi'!$B$1:$AI$720,MATCH(G$1,'Tillförd energi'!$B$1:$AQ$1,0),FALSE)</f>
        <v>0</v>
      </c>
      <c r="H332" s="121">
        <f>VLOOKUP($B332,'Tillförd energi'!$B$1:$AI$720,MATCH(H$1,'Tillförd energi'!$B$1:$AQ$1,0),FALSE)</f>
        <v>0</v>
      </c>
      <c r="I332" s="121">
        <f>VLOOKUP($B332,'Tillförd energi'!$B$1:$AI$720,MATCH(I$1,'Tillförd energi'!$B$1:$AQ$1,0),FALSE)</f>
        <v>0</v>
      </c>
      <c r="J332" s="121">
        <f>VLOOKUP($B332,'Tillförd energi'!$B$1:$AI$720,MATCH(J$1,'Tillförd energi'!$B$1:$AQ$1,0),FALSE)</f>
        <v>0</v>
      </c>
      <c r="K332" s="121">
        <f>VLOOKUP($B332,'Tillförd energi'!$B$1:$AI$720,MATCH(K$1,'Tillförd energi'!$B$1:$AQ$1,0),FALSE)</f>
        <v>0</v>
      </c>
      <c r="L332" s="121">
        <f>VLOOKUP($B332,'Tillförd energi'!$B$1:$AI$720,MATCH(L$1,'Tillförd energi'!$B$1:$AQ$1,0),FALSE)</f>
        <v>0</v>
      </c>
      <c r="M332" s="121">
        <f>VLOOKUP($B332,'Tillförd energi'!$B$1:$AI$720,MATCH(M$1,'Tillförd energi'!$B$1:$AQ$1,0),FALSE)</f>
        <v>11.95</v>
      </c>
      <c r="N332" s="121">
        <f>VLOOKUP($B332,'Tillförd energi'!$B$1:$AI$720,MATCH(N$1,'Tillförd energi'!$B$1:$AQ$1,0),FALSE)</f>
        <v>0</v>
      </c>
      <c r="O332" s="121">
        <f>VLOOKUP($B332,'Tillförd energi'!$B$1:$AI$720,MATCH(O$1,'Tillförd energi'!$B$1:$AQ$1,0),FALSE)</f>
        <v>0</v>
      </c>
      <c r="P332" s="121">
        <f>VLOOKUP($B332,'Tillförd energi'!$B$1:$AI$720,MATCH(P$1,'Tillförd energi'!$B$1:$AQ$1,0),FALSE)</f>
        <v>7.81</v>
      </c>
      <c r="Q332" s="121">
        <f>VLOOKUP($B332,'Tillförd energi'!$B$1:$AI$720,MATCH(Q$1,'Tillförd energi'!$B$1:$AQ$1,0),FALSE)</f>
        <v>0</v>
      </c>
      <c r="R332" s="121">
        <f>VLOOKUP($B332,'Tillförd energi'!$B$1:$AI$720,MATCH(R$1,'Tillförd energi'!$B$1:$AQ$1,0),FALSE)</f>
        <v>0</v>
      </c>
      <c r="S332" s="121">
        <f>VLOOKUP($B332,'Tillförd energi'!$B$1:$AI$720,MATCH(S$1,'Tillförd energi'!$B$1:$AQ$1,0),FALSE)</f>
        <v>0</v>
      </c>
      <c r="T332" s="121">
        <f>VLOOKUP($B332,'Tillförd energi'!$B$1:$AI$720,MATCH(T$1,'Tillförd energi'!$B$1:$AQ$1,0),FALSE)</f>
        <v>0</v>
      </c>
      <c r="U332" s="121">
        <f>VLOOKUP($B332,'Tillförd energi'!$B$1:$AI$720,MATCH(U$1,'Tillförd energi'!$B$1:$AQ$1,0),FALSE)</f>
        <v>0</v>
      </c>
      <c r="V332" s="121">
        <f>VLOOKUP($B332,'Tillförd energi'!$B$1:$AI$720,MATCH(V$1,'Tillförd energi'!$B$1:$AQ$1,0),FALSE)</f>
        <v>0</v>
      </c>
      <c r="W332" s="121">
        <f>VLOOKUP($B332,'Tillförd energi'!$B$1:$AI$720,MATCH(W$1,'Tillförd energi'!$B$1:$AQ$1,0),FALSE)</f>
        <v>0</v>
      </c>
      <c r="X332" s="121">
        <f>VLOOKUP($B332,'Tillförd energi'!$B$1:$AI$720,MATCH(X$1,'Tillförd energi'!$B$1:$AQ$1,0),FALSE)</f>
        <v>0</v>
      </c>
      <c r="Y332" s="121">
        <f>VLOOKUP($B332,'Tillförd energi'!$B$1:$AI$720,MATCH(Y$1,'Tillförd energi'!$B$1:$AQ$1,0),FALSE)</f>
        <v>0</v>
      </c>
      <c r="Z332" s="121">
        <f>VLOOKUP($B332,'Tillförd energi'!$B$1:$AI$720,MATCH(Z$1,'Tillförd energi'!$B$1:$AQ$1,0),FALSE)</f>
        <v>0</v>
      </c>
      <c r="AA332" s="121">
        <f>VLOOKUP($B332,'Tillförd energi'!$B$1:$AI$720,MATCH(AA$1,'Tillförd energi'!$B$1:$AQ$1,0),FALSE)</f>
        <v>0</v>
      </c>
      <c r="AB332" s="121">
        <f>VLOOKUP($B332,'Tillförd energi'!$B$1:$AI$720,MATCH(AB$1,'Tillförd energi'!$B$1:$AQ$1,0),FALSE)</f>
        <v>0</v>
      </c>
      <c r="AC332" s="121">
        <f>VLOOKUP($B332,'Tillförd energi'!$B$1:$AI$720,MATCH(AC$1,'Tillförd energi'!$B$1:$AQ$1,0),FALSE)</f>
        <v>3.95</v>
      </c>
      <c r="AD332" s="121">
        <f>VLOOKUP($B332,'Tillförd energi'!$B$1:$AI$720,MATCH(AD$1,'Tillförd energi'!$B$1:$AQ$1,0),FALSE)</f>
        <v>0</v>
      </c>
      <c r="AE332" s="121">
        <f>VLOOKUP($B332,'Tillförd energi'!$B$1:$AI$720,MATCH(AE$1,'Tillförd energi'!$B$1:$AQ$1,0),FALSE)</f>
        <v>0</v>
      </c>
      <c r="AF332" s="121">
        <f>VLOOKUP($B332,'Tillförd energi'!$B$1:$AI$720,MATCH(AF$1,'Tillförd energi'!$B$1:$AQ$1,0),FALSE)</f>
        <v>0.65300000000000002</v>
      </c>
      <c r="AG332" s="121">
        <f>IFERROR(VLOOKUP(B332,Miljö!$B$1:$AC$550,MATCH("Köpt mängd produktionsspecifik fjärrvärme:",Miljö!$B$1:$AC$1,0),FALSE)/1,0)</f>
        <v>0</v>
      </c>
      <c r="AH332" s="121"/>
      <c r="AI332" s="121">
        <f t="shared" si="132"/>
        <v>24.99</v>
      </c>
      <c r="AJ332" s="121">
        <f t="shared" si="133"/>
        <v>24.99</v>
      </c>
      <c r="AK332" s="121">
        <f>IF(ISERROR(1/VLOOKUP($B332,Leveranser!$B$1:$S$499,MATCH("såld värme (gwh)",Leveranser!$B$1:$S$1,0),FALSE)),"",VLOOKUP($B332,Leveranser!$B$1:$S$499,MATCH("såld värme (gwh)",Leveranser!$B$1:$S$1,0),FALSE))</f>
        <v>18.920000000000002</v>
      </c>
      <c r="AL332" s="121">
        <f>VLOOKUP($B332,Leveranser!$B$1:$Y$499,MATCH("Totalt såld fjärrvärme till andra fjärrvärmeföretag",Leveranser!$B$1:$AA$1,0),FALSE)</f>
        <v>0</v>
      </c>
      <c r="AM332" s="121">
        <f>IF(ISERROR(1/VLOOKUP($B332,Miljö!$B$1:$S$500,MATCH("Såld mängd produktionsspecifik fjärrvärme (GWh)",Miljö!$B$1:$R$1,0),FALSE)),0,VLOOKUP($B332,Miljö!$B$1:$S$500,MATCH("Såld mängd produktionsspecifik fjärrvärme (GWh)",Miljö!$B$1:$R$1,0),FALSE))</f>
        <v>0</v>
      </c>
      <c r="AN332" s="172">
        <f t="shared" si="134"/>
        <v>0.75710284113645465</v>
      </c>
      <c r="AO332" s="121"/>
      <c r="AP332" s="121" t="str">
        <f>IFERROR(VLOOKUP($B332,Miljövärden!$B$2:$H$550,7,FALSE),"Nej, saknas")</f>
        <v>Ja</v>
      </c>
      <c r="AQ332" s="121" t="str">
        <f>IFERROR(VLOOKUP($B332,Miljövärden!$B$2:$H$550,6,FALSE),"Nej, saknas")</f>
        <v>Ja</v>
      </c>
      <c r="AU332">
        <f t="shared" si="135"/>
        <v>0.65300000000000002</v>
      </c>
      <c r="AV332">
        <f t="shared" si="136"/>
        <v>0</v>
      </c>
      <c r="AW332">
        <f t="shared" si="137"/>
        <v>19.759999999999998</v>
      </c>
      <c r="AX332">
        <f t="shared" si="138"/>
        <v>0</v>
      </c>
      <c r="AZ332">
        <f t="shared" si="139"/>
        <v>19.759999999999998</v>
      </c>
      <c r="BC332">
        <f t="shared" si="140"/>
        <v>0.627</v>
      </c>
      <c r="BD332">
        <f t="shared" si="141"/>
        <v>0</v>
      </c>
      <c r="BE332">
        <f t="shared" si="142"/>
        <v>19.759999999999998</v>
      </c>
      <c r="BF332">
        <f t="shared" si="143"/>
        <v>3.95</v>
      </c>
      <c r="BG332">
        <f t="shared" si="144"/>
        <v>0.65300000000000002</v>
      </c>
      <c r="BH332">
        <f>VLOOKUP(B332,Miljö!$B$1:$BX$482,MATCH("Fossilandel för ursprungspecificerad el ()",Miljö!$B$1:$I$1,0),FALSE)</f>
        <v>0</v>
      </c>
      <c r="BI332">
        <f>VLOOKUP(B332,Miljö!$B$1:$BX$482,MATCH("Kärnkraftsandel för ursprungsspecificerad el ()",Miljö!$B$1:$O$1,0),FALSE)</f>
        <v>0.59399999999999997</v>
      </c>
      <c r="BJ332">
        <f t="shared" si="145"/>
        <v>0</v>
      </c>
      <c r="BK332" t="str">
        <f>VLOOKUP(B332,Miljö!$B$1:$O$482,MATCH("Fossil andel i procent (%)",Miljö!$B$1:$O$1,0),FALSE)</f>
        <v>ET</v>
      </c>
      <c r="BL332">
        <f t="shared" si="146"/>
        <v>24.989999999999995</v>
      </c>
      <c r="BO332" s="18">
        <f t="shared" si="147"/>
        <v>2.5090036014405768E-2</v>
      </c>
      <c r="BP332" s="18">
        <f t="shared" si="148"/>
        <v>1.5521488595438178E-2</v>
      </c>
      <c r="BQ332" s="18">
        <f t="shared" si="149"/>
        <v>0.80132525010004019</v>
      </c>
      <c r="BR332" s="18">
        <f t="shared" si="150"/>
        <v>0.1580632252901161</v>
      </c>
      <c r="BT332" s="27">
        <f t="shared" si="151"/>
        <v>1.0000000000000002</v>
      </c>
      <c r="BW332" s="18">
        <f>IF(AP332="ja",VLOOKUP(B332,Miljövärden!$B$2:$H$550,MATCH("Total andel fossilt",Miljövärden!$B$2:$H$2,0),FALSE),"")</f>
        <v>2.5090000000000001E-2</v>
      </c>
      <c r="BZ332" s="28">
        <f t="shared" si="152"/>
        <v>-3.6014405766643387E-8</v>
      </c>
      <c r="CA332" s="28">
        <f t="shared" si="153"/>
        <v>0</v>
      </c>
    </row>
    <row r="333" spans="1:79" x14ac:dyDescent="0.25">
      <c r="A333" s="224" t="s">
        <v>654</v>
      </c>
      <c r="B333" s="210" t="s">
        <v>656</v>
      </c>
      <c r="C333" s="121">
        <f>VLOOKUP($B333,'Tillförd energi'!$B$1:$AI$720,MATCH(C$1,'Tillförd energi'!$B$1:$AQ$1,0),FALSE)</f>
        <v>0</v>
      </c>
      <c r="D333" s="121">
        <f>VLOOKUP($B333,'Tillförd energi'!$B$1:$AI$720,MATCH(D$1,'Tillförd energi'!$B$1:$AQ$1,0),FALSE)</f>
        <v>0</v>
      </c>
      <c r="E333" s="121">
        <f>VLOOKUP($B333,'Tillförd energi'!$B$1:$AI$720,MATCH(E$1,'Tillförd energi'!$B$1:$AQ$1,0),FALSE)</f>
        <v>0</v>
      </c>
      <c r="F333" s="121">
        <f>VLOOKUP($B333,'Tillförd energi'!$B$1:$AI$720,MATCH(F$1,'Tillförd energi'!$B$1:$AQ$1,0),FALSE)</f>
        <v>0</v>
      </c>
      <c r="G333" s="121">
        <f>VLOOKUP($B333,'Tillförd energi'!$B$1:$AI$720,MATCH(G$1,'Tillförd energi'!$B$1:$AQ$1,0),FALSE)</f>
        <v>0</v>
      </c>
      <c r="H333" s="121">
        <f>VLOOKUP($B333,'Tillförd energi'!$B$1:$AI$720,MATCH(H$1,'Tillförd energi'!$B$1:$AQ$1,0),FALSE)</f>
        <v>0</v>
      </c>
      <c r="I333" s="121">
        <f>VLOOKUP($B333,'Tillförd energi'!$B$1:$AI$720,MATCH(I$1,'Tillförd energi'!$B$1:$AQ$1,0),FALSE)</f>
        <v>0</v>
      </c>
      <c r="J333" s="121">
        <f>VLOOKUP($B333,'Tillförd energi'!$B$1:$AI$720,MATCH(J$1,'Tillförd energi'!$B$1:$AQ$1,0),FALSE)</f>
        <v>0</v>
      </c>
      <c r="K333" s="121">
        <f>VLOOKUP($B333,'Tillförd energi'!$B$1:$AI$720,MATCH(K$1,'Tillförd energi'!$B$1:$AQ$1,0),FALSE)</f>
        <v>0</v>
      </c>
      <c r="L333" s="121">
        <f>VLOOKUP($B333,'Tillförd energi'!$B$1:$AI$720,MATCH(L$1,'Tillförd energi'!$B$1:$AQ$1,0),FALSE)</f>
        <v>333.97699999999998</v>
      </c>
      <c r="M333" s="121">
        <f>VLOOKUP($B333,'Tillförd energi'!$B$1:$AI$720,MATCH(M$1,'Tillförd energi'!$B$1:$AQ$1,0),FALSE)</f>
        <v>0</v>
      </c>
      <c r="N333" s="121">
        <f>VLOOKUP($B333,'Tillförd energi'!$B$1:$AI$720,MATCH(N$1,'Tillförd energi'!$B$1:$AQ$1,0),FALSE)</f>
        <v>0</v>
      </c>
      <c r="O333" s="121">
        <f>VLOOKUP($B333,'Tillförd energi'!$B$1:$AI$720,MATCH(O$1,'Tillförd energi'!$B$1:$AQ$1,0),FALSE)</f>
        <v>0</v>
      </c>
      <c r="P333" s="121">
        <f>VLOOKUP($B333,'Tillförd energi'!$B$1:$AI$720,MATCH(P$1,'Tillförd energi'!$B$1:$AQ$1,0),FALSE)</f>
        <v>4.1975100000000003</v>
      </c>
      <c r="Q333" s="121">
        <f>VLOOKUP($B333,'Tillförd energi'!$B$1:$AI$720,MATCH(Q$1,'Tillförd energi'!$B$1:$AQ$1,0),FALSE)</f>
        <v>0</v>
      </c>
      <c r="R333" s="121">
        <f>VLOOKUP($B333,'Tillförd energi'!$B$1:$AI$720,MATCH(R$1,'Tillförd energi'!$B$1:$AQ$1,0),FALSE)</f>
        <v>0</v>
      </c>
      <c r="S333" s="121">
        <f>VLOOKUP($B333,'Tillförd energi'!$B$1:$AI$720,MATCH(S$1,'Tillförd energi'!$B$1:$AQ$1,0),FALSE)</f>
        <v>152.47999999999999</v>
      </c>
      <c r="T333" s="121">
        <f>VLOOKUP($B333,'Tillförd energi'!$B$1:$AI$720,MATCH(T$1,'Tillförd energi'!$B$1:$AQ$1,0),FALSE)</f>
        <v>0</v>
      </c>
      <c r="U333" s="121">
        <f>VLOOKUP($B333,'Tillförd energi'!$B$1:$AI$720,MATCH(U$1,'Tillförd energi'!$B$1:$AQ$1,0),FALSE)</f>
        <v>0</v>
      </c>
      <c r="V333" s="121">
        <f>VLOOKUP($B333,'Tillförd energi'!$B$1:$AI$720,MATCH(V$1,'Tillförd energi'!$B$1:$AQ$1,0),FALSE)</f>
        <v>0</v>
      </c>
      <c r="W333" s="121">
        <f>VLOOKUP($B333,'Tillförd energi'!$B$1:$AI$720,MATCH(W$1,'Tillförd energi'!$B$1:$AQ$1,0),FALSE)</f>
        <v>20.160699999999999</v>
      </c>
      <c r="X333" s="121">
        <f>VLOOKUP($B333,'Tillförd energi'!$B$1:$AI$720,MATCH(X$1,'Tillförd energi'!$B$1:$AQ$1,0),FALSE)</f>
        <v>0</v>
      </c>
      <c r="Y333" s="121">
        <f>VLOOKUP($B333,'Tillförd energi'!$B$1:$AI$720,MATCH(Y$1,'Tillförd energi'!$B$1:$AQ$1,0),FALSE)</f>
        <v>0</v>
      </c>
      <c r="Z333" s="121">
        <f>VLOOKUP($B333,'Tillförd energi'!$B$1:$AI$720,MATCH(Z$1,'Tillförd energi'!$B$1:$AQ$1,0),FALSE)</f>
        <v>0</v>
      </c>
      <c r="AA333" s="121">
        <f>VLOOKUP($B333,'Tillförd energi'!$B$1:$AI$720,MATCH(AA$1,'Tillförd energi'!$B$1:$AQ$1,0),FALSE)</f>
        <v>0</v>
      </c>
      <c r="AB333" s="121">
        <f>VLOOKUP($B333,'Tillförd energi'!$B$1:$AI$720,MATCH(AB$1,'Tillförd energi'!$B$1:$AQ$1,0),FALSE)</f>
        <v>0</v>
      </c>
      <c r="AC333" s="121">
        <f>VLOOKUP($B333,'Tillförd energi'!$B$1:$AI$720,MATCH(AC$1,'Tillförd energi'!$B$1:$AQ$1,0),FALSE)</f>
        <v>49.4</v>
      </c>
      <c r="AD333" s="121">
        <f>VLOOKUP($B333,'Tillförd energi'!$B$1:$AI$720,MATCH(AD$1,'Tillförd energi'!$B$1:$AQ$1,0),FALSE)</f>
        <v>4.2439999999999998</v>
      </c>
      <c r="AE333" s="121">
        <f>VLOOKUP($B333,'Tillförd energi'!$B$1:$AI$720,MATCH(AE$1,'Tillförd energi'!$B$1:$AQ$1,0),FALSE)</f>
        <v>0</v>
      </c>
      <c r="AF333" s="121">
        <f>VLOOKUP($B333,'Tillförd energi'!$B$1:$AI$720,MATCH(AF$1,'Tillförd energi'!$B$1:$AQ$1,0),FALSE)</f>
        <v>23.020499999999998</v>
      </c>
      <c r="AG333" s="121">
        <f>IFERROR(VLOOKUP(B333,Miljö!$B$1:$AC$550,MATCH("Köpt mängd produktionsspecifik fjärrvärme:",Miljö!$B$1:$AC$1,0),FALSE)/1,0)</f>
        <v>0</v>
      </c>
      <c r="AH333" s="121"/>
      <c r="AI333" s="121">
        <f t="shared" si="132"/>
        <v>587.47970999999995</v>
      </c>
      <c r="AJ333" s="121">
        <f t="shared" si="133"/>
        <v>587.47970999999995</v>
      </c>
      <c r="AK333" s="121">
        <f>IF(ISERROR(1/VLOOKUP($B333,Leveranser!$B$1:$S$499,MATCH("såld värme (gwh)",Leveranser!$B$1:$S$1,0),FALSE)),"",VLOOKUP($B333,Leveranser!$B$1:$S$499,MATCH("såld värme (gwh)",Leveranser!$B$1:$S$1,0),FALSE))</f>
        <v>467.84800000000001</v>
      </c>
      <c r="AL333" s="121">
        <f>VLOOKUP($B333,Leveranser!$B$1:$Y$499,MATCH("Totalt såld fjärrvärme till andra fjärrvärmeföretag",Leveranser!$B$1:$AA$1,0),FALSE)</f>
        <v>0</v>
      </c>
      <c r="AM333" s="121">
        <f>IF(ISERROR(1/VLOOKUP($B333,Miljö!$B$1:$S$500,MATCH("Såld mängd produktionsspecifik fjärrvärme (GWh)",Miljö!$B$1:$R$1,0),FALSE)),0,VLOOKUP($B333,Miljö!$B$1:$S$500,MATCH("Såld mängd produktionsspecifik fjärrvärme (GWh)",Miljö!$B$1:$R$1,0),FALSE))</f>
        <v>0</v>
      </c>
      <c r="AN333" s="172">
        <f t="shared" si="134"/>
        <v>0.79636452465737084</v>
      </c>
      <c r="AO333" s="121"/>
      <c r="AP333" s="121" t="str">
        <f>IFERROR(VLOOKUP($B333,Miljövärden!$B$2:$H$550,7,FALSE),"Nej, saknas")</f>
        <v>Ja</v>
      </c>
      <c r="AQ333" s="121" t="str">
        <f>IFERROR(VLOOKUP($B333,Miljövärden!$B$2:$H$550,6,FALSE),"Nej, saknas")</f>
        <v>Ja</v>
      </c>
      <c r="AU333">
        <f t="shared" si="135"/>
        <v>23.020499999999998</v>
      </c>
      <c r="AV333">
        <f t="shared" si="136"/>
        <v>0</v>
      </c>
      <c r="AW333">
        <f t="shared" si="137"/>
        <v>4.1975100000000003</v>
      </c>
      <c r="AX333">
        <f t="shared" si="138"/>
        <v>152.47999999999999</v>
      </c>
      <c r="AZ333">
        <f t="shared" si="139"/>
        <v>510.81520999999998</v>
      </c>
      <c r="BC333">
        <f t="shared" si="140"/>
        <v>0</v>
      </c>
      <c r="BD333">
        <f t="shared" si="141"/>
        <v>0</v>
      </c>
      <c r="BE333">
        <f t="shared" si="142"/>
        <v>176.83820999999998</v>
      </c>
      <c r="BF333">
        <f t="shared" si="143"/>
        <v>387.62099999999998</v>
      </c>
      <c r="BG333">
        <f t="shared" si="144"/>
        <v>23.020499999999998</v>
      </c>
      <c r="BH333">
        <f>VLOOKUP(B333,Miljö!$B$1:$BX$482,MATCH("Fossilandel för ursprungspecificerad el ()",Miljö!$B$1:$I$1,0),FALSE)</f>
        <v>0</v>
      </c>
      <c r="BI333">
        <f>VLOOKUP(B333,Miljö!$B$1:$BX$482,MATCH("Kärnkraftsandel för ursprungsspecificerad el ()",Miljö!$B$1:$O$1,0),FALSE)</f>
        <v>0</v>
      </c>
      <c r="BJ333">
        <f t="shared" si="145"/>
        <v>0</v>
      </c>
      <c r="BK333" t="str">
        <f>VLOOKUP(B333,Miljö!$B$1:$O$482,MATCH("Fossil andel i procent (%)",Miljö!$B$1:$O$1,0),FALSE)</f>
        <v>ET</v>
      </c>
      <c r="BL333">
        <f t="shared" si="146"/>
        <v>587.47970999999995</v>
      </c>
      <c r="BO333" s="18">
        <f t="shared" si="147"/>
        <v>0</v>
      </c>
      <c r="BP333" s="18">
        <f t="shared" si="148"/>
        <v>0</v>
      </c>
      <c r="BQ333" s="18">
        <f t="shared" si="149"/>
        <v>0.34019678739202752</v>
      </c>
      <c r="BR333" s="18">
        <f t="shared" si="150"/>
        <v>0.65980321260797248</v>
      </c>
      <c r="BT333" s="27">
        <f t="shared" si="151"/>
        <v>1</v>
      </c>
      <c r="BW333" s="18">
        <f>IF(AP333="ja",VLOOKUP(B333,Miljövärden!$B$2:$H$550,MATCH("Total andel fossilt",Miljövärden!$B$2:$H$2,0),FALSE),"")</f>
        <v>0</v>
      </c>
      <c r="BZ333" s="28">
        <f t="shared" si="152"/>
        <v>0</v>
      </c>
      <c r="CA333" s="28">
        <f t="shared" si="153"/>
        <v>0</v>
      </c>
    </row>
    <row r="334" spans="1:79" x14ac:dyDescent="0.25">
      <c r="A334" s="224" t="s">
        <v>654</v>
      </c>
      <c r="B334" s="210" t="s">
        <v>657</v>
      </c>
      <c r="C334" s="121">
        <f>VLOOKUP($B334,'Tillförd energi'!$B$1:$AI$720,MATCH(C$1,'Tillförd energi'!$B$1:$AQ$1,0),FALSE)</f>
        <v>0</v>
      </c>
      <c r="D334" s="121">
        <f>VLOOKUP($B334,'Tillförd energi'!$B$1:$AI$720,MATCH(D$1,'Tillförd energi'!$B$1:$AQ$1,0),FALSE)</f>
        <v>1.2E-2</v>
      </c>
      <c r="E334" s="121">
        <f>VLOOKUP($B334,'Tillförd energi'!$B$1:$AI$720,MATCH(E$1,'Tillförd energi'!$B$1:$AQ$1,0),FALSE)</f>
        <v>0</v>
      </c>
      <c r="F334" s="121">
        <f>VLOOKUP($B334,'Tillförd energi'!$B$1:$AI$720,MATCH(F$1,'Tillförd energi'!$B$1:$AQ$1,0),FALSE)</f>
        <v>0</v>
      </c>
      <c r="G334" s="121">
        <f>VLOOKUP($B334,'Tillförd energi'!$B$1:$AI$720,MATCH(G$1,'Tillförd energi'!$B$1:$AQ$1,0),FALSE)</f>
        <v>0</v>
      </c>
      <c r="H334" s="121">
        <f>VLOOKUP($B334,'Tillförd energi'!$B$1:$AI$720,MATCH(H$1,'Tillförd energi'!$B$1:$AQ$1,0),FALSE)</f>
        <v>0</v>
      </c>
      <c r="I334" s="121">
        <f>VLOOKUP($B334,'Tillförd energi'!$B$1:$AI$720,MATCH(I$1,'Tillförd energi'!$B$1:$AQ$1,0),FALSE)</f>
        <v>0</v>
      </c>
      <c r="J334" s="121">
        <f>VLOOKUP($B334,'Tillförd energi'!$B$1:$AI$720,MATCH(J$1,'Tillförd energi'!$B$1:$AQ$1,0),FALSE)</f>
        <v>10.8</v>
      </c>
      <c r="K334" s="121">
        <f>VLOOKUP($B334,'Tillförd energi'!$B$1:$AI$720,MATCH(K$1,'Tillförd energi'!$B$1:$AQ$1,0),FALSE)</f>
        <v>0</v>
      </c>
      <c r="L334" s="121">
        <f>VLOOKUP($B334,'Tillförd energi'!$B$1:$AI$720,MATCH(L$1,'Tillförd energi'!$B$1:$AQ$1,0),FALSE)</f>
        <v>0</v>
      </c>
      <c r="M334" s="121">
        <f>VLOOKUP($B334,'Tillförd energi'!$B$1:$AI$720,MATCH(M$1,'Tillförd energi'!$B$1:$AQ$1,0),FALSE)</f>
        <v>0</v>
      </c>
      <c r="N334" s="121">
        <f>VLOOKUP($B334,'Tillförd energi'!$B$1:$AI$720,MATCH(N$1,'Tillförd energi'!$B$1:$AQ$1,0),FALSE)</f>
        <v>0</v>
      </c>
      <c r="O334" s="121">
        <f>VLOOKUP($B334,'Tillförd energi'!$B$1:$AI$720,MATCH(O$1,'Tillförd energi'!$B$1:$AQ$1,0),FALSE)</f>
        <v>0</v>
      </c>
      <c r="P334" s="121">
        <f>VLOOKUP($B334,'Tillförd energi'!$B$1:$AI$720,MATCH(P$1,'Tillförd energi'!$B$1:$AQ$1,0),FALSE)</f>
        <v>40.74</v>
      </c>
      <c r="Q334" s="121">
        <f>VLOOKUP($B334,'Tillförd energi'!$B$1:$AI$720,MATCH(Q$1,'Tillförd energi'!$B$1:$AQ$1,0),FALSE)</f>
        <v>0</v>
      </c>
      <c r="R334" s="121">
        <f>VLOOKUP($B334,'Tillförd energi'!$B$1:$AI$720,MATCH(R$1,'Tillförd energi'!$B$1:$AQ$1,0),FALSE)</f>
        <v>2.8</v>
      </c>
      <c r="S334" s="121">
        <f>VLOOKUP($B334,'Tillförd energi'!$B$1:$AI$720,MATCH(S$1,'Tillförd energi'!$B$1:$AQ$1,0),FALSE)</f>
        <v>0</v>
      </c>
      <c r="T334" s="121">
        <f>VLOOKUP($B334,'Tillförd energi'!$B$1:$AI$720,MATCH(T$1,'Tillförd energi'!$B$1:$AQ$1,0),FALSE)</f>
        <v>0</v>
      </c>
      <c r="U334" s="121">
        <f>VLOOKUP($B334,'Tillförd energi'!$B$1:$AI$720,MATCH(U$1,'Tillförd energi'!$B$1:$AQ$1,0),FALSE)</f>
        <v>3.43</v>
      </c>
      <c r="V334" s="121">
        <f>VLOOKUP($B334,'Tillförd energi'!$B$1:$AI$720,MATCH(V$1,'Tillförd energi'!$B$1:$AQ$1,0),FALSE)</f>
        <v>0</v>
      </c>
      <c r="W334" s="121">
        <f>VLOOKUP($B334,'Tillförd energi'!$B$1:$AI$720,MATCH(W$1,'Tillförd energi'!$B$1:$AQ$1,0),FALSE)</f>
        <v>21.5</v>
      </c>
      <c r="X334" s="121">
        <f>VLOOKUP($B334,'Tillförd energi'!$B$1:$AI$720,MATCH(X$1,'Tillförd energi'!$B$1:$AQ$1,0),FALSE)</f>
        <v>0</v>
      </c>
      <c r="Y334" s="121">
        <f>VLOOKUP($B334,'Tillförd energi'!$B$1:$AI$720,MATCH(Y$1,'Tillförd energi'!$B$1:$AQ$1,0),FALSE)</f>
        <v>0</v>
      </c>
      <c r="Z334" s="121">
        <f>VLOOKUP($B334,'Tillförd energi'!$B$1:$AI$720,MATCH(Z$1,'Tillförd energi'!$B$1:$AQ$1,0),FALSE)</f>
        <v>0</v>
      </c>
      <c r="AA334" s="121">
        <f>VLOOKUP($B334,'Tillförd energi'!$B$1:$AI$720,MATCH(AA$1,'Tillförd energi'!$B$1:$AQ$1,0),FALSE)</f>
        <v>0</v>
      </c>
      <c r="AB334" s="121">
        <f>VLOOKUP($B334,'Tillförd energi'!$B$1:$AI$720,MATCH(AB$1,'Tillförd energi'!$B$1:$AQ$1,0),FALSE)</f>
        <v>0</v>
      </c>
      <c r="AC334" s="121">
        <f>VLOOKUP($B334,'Tillförd energi'!$B$1:$AI$720,MATCH(AC$1,'Tillförd energi'!$B$1:$AQ$1,0),FALSE)</f>
        <v>6.67</v>
      </c>
      <c r="AD334" s="121">
        <f>VLOOKUP($B334,'Tillförd energi'!$B$1:$AI$720,MATCH(AD$1,'Tillförd energi'!$B$1:$AQ$1,0),FALSE)</f>
        <v>0</v>
      </c>
      <c r="AE334" s="121">
        <f>VLOOKUP($B334,'Tillförd energi'!$B$1:$AI$720,MATCH(AE$1,'Tillförd energi'!$B$1:$AQ$1,0),FALSE)</f>
        <v>0</v>
      </c>
      <c r="AF334" s="121">
        <f>VLOOKUP($B334,'Tillförd energi'!$B$1:$AI$720,MATCH(AF$1,'Tillförd energi'!$B$1:$AQ$1,0),FALSE)</f>
        <v>1.6</v>
      </c>
      <c r="AG334" s="121">
        <f>IFERROR(VLOOKUP(B334,Miljö!$B$1:$AC$550,MATCH("Köpt mängd produktionsspecifik fjärrvärme:",Miljö!$B$1:$AC$1,0),FALSE)/1,0)</f>
        <v>0</v>
      </c>
      <c r="AH334" s="121"/>
      <c r="AI334" s="121">
        <f t="shared" si="132"/>
        <v>87.552000000000007</v>
      </c>
      <c r="AJ334" s="121">
        <f t="shared" si="133"/>
        <v>87.552000000000007</v>
      </c>
      <c r="AK334" s="121">
        <f>IF(ISERROR(1/VLOOKUP($B334,Leveranser!$B$1:$S$499,MATCH("såld värme (gwh)",Leveranser!$B$1:$S$1,0),FALSE)),"",VLOOKUP($B334,Leveranser!$B$1:$S$499,MATCH("såld värme (gwh)",Leveranser!$B$1:$S$1,0),FALSE))</f>
        <v>67.75</v>
      </c>
      <c r="AL334" s="121">
        <f>VLOOKUP($B334,Leveranser!$B$1:$Y$499,MATCH("Totalt såld fjärrvärme till andra fjärrvärmeföretag",Leveranser!$B$1:$AA$1,0),FALSE)</f>
        <v>0</v>
      </c>
      <c r="AM334" s="121">
        <f>IF(ISERROR(1/VLOOKUP($B334,Miljö!$B$1:$S$500,MATCH("Såld mängd produktionsspecifik fjärrvärme (GWh)",Miljö!$B$1:$R$1,0),FALSE)),0,VLOOKUP($B334,Miljö!$B$1:$S$500,MATCH("Såld mängd produktionsspecifik fjärrvärme (GWh)",Miljö!$B$1:$R$1,0),FALSE))</f>
        <v>0</v>
      </c>
      <c r="AN334" s="172">
        <f t="shared" si="134"/>
        <v>0.77382584064327475</v>
      </c>
      <c r="AO334" s="121"/>
      <c r="AP334" s="121" t="str">
        <f>IFERROR(VLOOKUP($B334,Miljövärden!$B$2:$H$550,7,FALSE),"Nej, saknas")</f>
        <v>Ja</v>
      </c>
      <c r="AQ334" s="121" t="str">
        <f>IFERROR(VLOOKUP($B334,Miljövärden!$B$2:$H$550,6,FALSE),"Nej, saknas")</f>
        <v>Ja</v>
      </c>
      <c r="AU334">
        <f t="shared" si="135"/>
        <v>1.6</v>
      </c>
      <c r="AV334">
        <f t="shared" si="136"/>
        <v>0</v>
      </c>
      <c r="AW334">
        <f t="shared" si="137"/>
        <v>40.74</v>
      </c>
      <c r="AX334">
        <f t="shared" si="138"/>
        <v>6.23</v>
      </c>
      <c r="AZ334">
        <f t="shared" si="139"/>
        <v>68.47</v>
      </c>
      <c r="BC334">
        <f t="shared" si="140"/>
        <v>1.2E-2</v>
      </c>
      <c r="BD334">
        <f t="shared" si="141"/>
        <v>0</v>
      </c>
      <c r="BE334">
        <f t="shared" si="142"/>
        <v>68.47</v>
      </c>
      <c r="BF334">
        <f t="shared" si="143"/>
        <v>17.47</v>
      </c>
      <c r="BG334">
        <f t="shared" si="144"/>
        <v>1.6</v>
      </c>
      <c r="BH334">
        <f>VLOOKUP(B334,Miljö!$B$1:$BX$482,MATCH("Fossilandel för ursprungspecificerad el ()",Miljö!$B$1:$I$1,0),FALSE)</f>
        <v>0</v>
      </c>
      <c r="BI334">
        <f>VLOOKUP(B334,Miljö!$B$1:$BX$482,MATCH("Kärnkraftsandel för ursprungsspecificerad el ()",Miljö!$B$1:$O$1,0),FALSE)</f>
        <v>0.59399999999999997</v>
      </c>
      <c r="BJ334">
        <f t="shared" si="145"/>
        <v>0</v>
      </c>
      <c r="BK334" t="str">
        <f>VLOOKUP(B334,Miljö!$B$1:$O$482,MATCH("Fossil andel i procent (%)",Miljö!$B$1:$O$1,0),FALSE)</f>
        <v>ET</v>
      </c>
      <c r="BL334">
        <f t="shared" si="146"/>
        <v>87.551999999999992</v>
      </c>
      <c r="BO334" s="18">
        <f t="shared" si="147"/>
        <v>1.3706140350877195E-4</v>
      </c>
      <c r="BP334" s="18">
        <f t="shared" si="148"/>
        <v>1.0855263157894738E-2</v>
      </c>
      <c r="BQ334" s="18">
        <f t="shared" si="149"/>
        <v>0.7894691154970761</v>
      </c>
      <c r="BR334" s="18">
        <f t="shared" si="150"/>
        <v>0.19953855994152048</v>
      </c>
      <c r="BT334" s="27">
        <f t="shared" si="151"/>
        <v>1</v>
      </c>
      <c r="BW334" s="18">
        <f>IF(AP334="ja",VLOOKUP(B334,Miljövärden!$B$2:$H$550,MATCH("Total andel fossilt",Miljövärden!$B$2:$H$2,0),FALSE),"")</f>
        <v>1.3706100000000001E-4</v>
      </c>
      <c r="BZ334" s="28">
        <f t="shared" si="152"/>
        <v>-4.035087719414087E-10</v>
      </c>
      <c r="CA334" s="28">
        <f t="shared" si="153"/>
        <v>0</v>
      </c>
    </row>
    <row r="335" spans="1:79" x14ac:dyDescent="0.25">
      <c r="A335" s="224" t="s">
        <v>654</v>
      </c>
      <c r="B335" s="141" t="s">
        <v>11</v>
      </c>
      <c r="C335" s="121">
        <f>VLOOKUP($B335,'Tillförd energi'!$B$1:$AI$720,MATCH(C$1,'Tillförd energi'!$B$1:$AQ$1,0),FALSE)</f>
        <v>0</v>
      </c>
      <c r="D335" s="121">
        <f>VLOOKUP($B335,'Tillförd energi'!$B$1:$AI$720,MATCH(D$1,'Tillförd energi'!$B$1:$AQ$1,0),FALSE)</f>
        <v>2.84</v>
      </c>
      <c r="E335" s="121">
        <f>VLOOKUP($B335,'Tillförd energi'!$B$1:$AI$720,MATCH(E$1,'Tillförd energi'!$B$1:$AQ$1,0),FALSE)</f>
        <v>0</v>
      </c>
      <c r="F335" s="121">
        <f>VLOOKUP($B335,'Tillförd energi'!$B$1:$AI$720,MATCH(F$1,'Tillförd energi'!$B$1:$AQ$1,0),FALSE)</f>
        <v>0</v>
      </c>
      <c r="G335" s="121">
        <f>VLOOKUP($B335,'Tillförd energi'!$B$1:$AI$720,MATCH(G$1,'Tillförd energi'!$B$1:$AQ$1,0),FALSE)</f>
        <v>0</v>
      </c>
      <c r="H335" s="121">
        <f>VLOOKUP($B335,'Tillförd energi'!$B$1:$AI$720,MATCH(H$1,'Tillförd energi'!$B$1:$AQ$1,0),FALSE)</f>
        <v>0</v>
      </c>
      <c r="I335" s="121">
        <f>VLOOKUP($B335,'Tillförd energi'!$B$1:$AI$720,MATCH(I$1,'Tillförd energi'!$B$1:$AQ$1,0),FALSE)</f>
        <v>0</v>
      </c>
      <c r="J335" s="121">
        <f>VLOOKUP($B335,'Tillförd energi'!$B$1:$AI$720,MATCH(J$1,'Tillförd energi'!$B$1:$AQ$1,0),FALSE)</f>
        <v>0</v>
      </c>
      <c r="K335" s="121">
        <f>VLOOKUP($B335,'Tillförd energi'!$B$1:$AI$720,MATCH(K$1,'Tillförd energi'!$B$1:$AQ$1,0),FALSE)</f>
        <v>0</v>
      </c>
      <c r="L335" s="121">
        <f>VLOOKUP($B335,'Tillförd energi'!$B$1:$AI$720,MATCH(L$1,'Tillförd energi'!$B$1:$AQ$1,0),FALSE)</f>
        <v>0</v>
      </c>
      <c r="M335" s="121">
        <f>VLOOKUP($B335,'Tillförd energi'!$B$1:$AI$720,MATCH(M$1,'Tillförd energi'!$B$1:$AQ$1,0),FALSE)</f>
        <v>10.89</v>
      </c>
      <c r="N335" s="121">
        <f>VLOOKUP($B335,'Tillförd energi'!$B$1:$AI$720,MATCH(N$1,'Tillförd energi'!$B$1:$AQ$1,0),FALSE)</f>
        <v>56.34</v>
      </c>
      <c r="O335" s="121">
        <f>VLOOKUP($B335,'Tillförd energi'!$B$1:$AI$720,MATCH(O$1,'Tillförd energi'!$B$1:$AQ$1,0),FALSE)</f>
        <v>0</v>
      </c>
      <c r="P335" s="121">
        <f>VLOOKUP($B335,'Tillförd energi'!$B$1:$AI$720,MATCH(P$1,'Tillförd energi'!$B$1:$AQ$1,0),FALSE)</f>
        <v>9.86</v>
      </c>
      <c r="Q335" s="121">
        <f>VLOOKUP($B335,'Tillförd energi'!$B$1:$AI$720,MATCH(Q$1,'Tillförd energi'!$B$1:$AQ$1,0),FALSE)</f>
        <v>0</v>
      </c>
      <c r="R335" s="121">
        <f>VLOOKUP($B335,'Tillförd energi'!$B$1:$AI$720,MATCH(R$1,'Tillförd energi'!$B$1:$AQ$1,0),FALSE)</f>
        <v>0</v>
      </c>
      <c r="S335" s="121">
        <f>VLOOKUP($B335,'Tillförd energi'!$B$1:$AI$720,MATCH(S$1,'Tillförd energi'!$B$1:$AQ$1,0),FALSE)</f>
        <v>0</v>
      </c>
      <c r="T335" s="121">
        <f>VLOOKUP($B335,'Tillförd energi'!$B$1:$AI$720,MATCH(T$1,'Tillförd energi'!$B$1:$AQ$1,0),FALSE)</f>
        <v>0</v>
      </c>
      <c r="U335" s="121">
        <f>VLOOKUP($B335,'Tillförd energi'!$B$1:$AI$720,MATCH(U$1,'Tillförd energi'!$B$1:$AQ$1,0),FALSE)</f>
        <v>0</v>
      </c>
      <c r="V335" s="121">
        <f>VLOOKUP($B335,'Tillförd energi'!$B$1:$AI$720,MATCH(V$1,'Tillförd energi'!$B$1:$AQ$1,0),FALSE)</f>
        <v>0</v>
      </c>
      <c r="W335" s="121">
        <f>VLOOKUP($B335,'Tillförd energi'!$B$1:$AI$720,MATCH(W$1,'Tillförd energi'!$B$1:$AQ$1,0),FALSE)</f>
        <v>0</v>
      </c>
      <c r="X335" s="121">
        <f>VLOOKUP($B335,'Tillförd energi'!$B$1:$AI$720,MATCH(X$1,'Tillförd energi'!$B$1:$AQ$1,0),FALSE)</f>
        <v>0</v>
      </c>
      <c r="Y335" s="121">
        <f>VLOOKUP($B335,'Tillförd energi'!$B$1:$AI$720,MATCH(Y$1,'Tillförd energi'!$B$1:$AQ$1,0),FALSE)</f>
        <v>0</v>
      </c>
      <c r="Z335" s="121">
        <f>VLOOKUP($B335,'Tillförd energi'!$B$1:$AI$720,MATCH(Z$1,'Tillförd energi'!$B$1:$AQ$1,0),FALSE)</f>
        <v>0</v>
      </c>
      <c r="AA335" s="121">
        <f>VLOOKUP($B335,'Tillförd energi'!$B$1:$AI$720,MATCH(AA$1,'Tillförd energi'!$B$1:$AQ$1,0),FALSE)</f>
        <v>0</v>
      </c>
      <c r="AB335" s="121">
        <f>VLOOKUP($B335,'Tillförd energi'!$B$1:$AI$720,MATCH(AB$1,'Tillförd energi'!$B$1:$AQ$1,0),FALSE)</f>
        <v>0</v>
      </c>
      <c r="AC335" s="121">
        <f>VLOOKUP($B335,'Tillförd energi'!$B$1:$AI$720,MATCH(AC$1,'Tillförd energi'!$B$1:$AQ$1,0),FALSE)</f>
        <v>0</v>
      </c>
      <c r="AD335" s="121">
        <f>VLOOKUP($B335,'Tillförd energi'!$B$1:$AI$720,MATCH(AD$1,'Tillförd energi'!$B$1:$AQ$1,0),FALSE)</f>
        <v>0</v>
      </c>
      <c r="AE335" s="121">
        <f>VLOOKUP($B335,'Tillförd energi'!$B$1:$AI$720,MATCH(AE$1,'Tillförd energi'!$B$1:$AQ$1,0),FALSE)</f>
        <v>0</v>
      </c>
      <c r="AF335" s="121">
        <f>VLOOKUP($B335,'Tillförd energi'!$B$1:$AI$720,MATCH(AF$1,'Tillförd energi'!$B$1:$AQ$1,0),FALSE)</f>
        <v>2.1</v>
      </c>
      <c r="AG335" s="121">
        <f>IFERROR(VLOOKUP(B335,Miljö!$B$1:$AC$550,MATCH("Köpt mängd produktionsspecifik fjärrvärme:",Miljö!$B$1:$AC$1,0),FALSE)/1,0)</f>
        <v>0</v>
      </c>
      <c r="AH335" s="121"/>
      <c r="AI335" s="121">
        <f t="shared" si="132"/>
        <v>82.03</v>
      </c>
      <c r="AJ335" s="121">
        <f t="shared" si="133"/>
        <v>82.03</v>
      </c>
      <c r="AK335" s="121">
        <f>IF(ISERROR(1/VLOOKUP($B335,Leveranser!$B$1:$S$499,MATCH("såld värme (gwh)",Leveranser!$B$1:$S$1,0),FALSE)),"",VLOOKUP($B335,Leveranser!$B$1:$S$499,MATCH("såld värme (gwh)",Leveranser!$B$1:$S$1,0),FALSE))</f>
        <v>53.29</v>
      </c>
      <c r="AL335" s="121">
        <f>VLOOKUP($B335,Leveranser!$B$1:$Y$499,MATCH("Totalt såld fjärrvärme till andra fjärrvärmeföretag",Leveranser!$B$1:$AA$1,0),FALSE)</f>
        <v>5.37</v>
      </c>
      <c r="AM335" s="121">
        <f>IF(ISERROR(1/VLOOKUP($B335,Miljö!$B$1:$S$500,MATCH("Såld mängd produktionsspecifik fjärrvärme (GWh)",Miljö!$B$1:$R$1,0),FALSE)),0,VLOOKUP($B335,Miljö!$B$1:$S$500,MATCH("Såld mängd produktionsspecifik fjärrvärme (GWh)",Miljö!$B$1:$R$1,0),FALSE))</f>
        <v>0</v>
      </c>
      <c r="AN335" s="172">
        <f t="shared" si="134"/>
        <v>0.64964037547238818</v>
      </c>
      <c r="AO335" s="121"/>
      <c r="AP335" s="121" t="str">
        <f>IFERROR(VLOOKUP($B335,Miljövärden!$B$2:$H$550,7,FALSE),"Nej, saknas")</f>
        <v>Ja</v>
      </c>
      <c r="AQ335" s="121" t="str">
        <f>IFERROR(VLOOKUP($B335,Miljövärden!$B$2:$H$550,6,FALSE),"Nej, saknas")</f>
        <v>Ja</v>
      </c>
      <c r="AU335">
        <f t="shared" si="135"/>
        <v>2.1</v>
      </c>
      <c r="AV335">
        <f t="shared" si="136"/>
        <v>0</v>
      </c>
      <c r="AW335">
        <f t="shared" si="137"/>
        <v>77.09</v>
      </c>
      <c r="AX335">
        <f t="shared" si="138"/>
        <v>0</v>
      </c>
      <c r="AZ335">
        <f t="shared" si="139"/>
        <v>77.09</v>
      </c>
      <c r="BC335">
        <f t="shared" si="140"/>
        <v>2.84</v>
      </c>
      <c r="BD335">
        <f t="shared" si="141"/>
        <v>0</v>
      </c>
      <c r="BE335">
        <f t="shared" si="142"/>
        <v>77.09</v>
      </c>
      <c r="BF335">
        <f t="shared" si="143"/>
        <v>0</v>
      </c>
      <c r="BG335">
        <f t="shared" si="144"/>
        <v>2.1</v>
      </c>
      <c r="BH335">
        <f>VLOOKUP(B335,Miljö!$B$1:$BX$482,MATCH("Fossilandel för ursprungspecificerad el ()",Miljö!$B$1:$I$1,0),FALSE)</f>
        <v>0</v>
      </c>
      <c r="BI335">
        <f>VLOOKUP(B335,Miljö!$B$1:$BX$482,MATCH("Kärnkraftsandel för ursprungsspecificerad el ()",Miljö!$B$1:$O$1,0),FALSE)</f>
        <v>0.59399999999999997</v>
      </c>
      <c r="BJ335">
        <f t="shared" si="145"/>
        <v>0</v>
      </c>
      <c r="BK335" t="str">
        <f>VLOOKUP(B335,Miljö!$B$1:$O$482,MATCH("Fossil andel i procent (%)",Miljö!$B$1:$O$1,0),FALSE)</f>
        <v>ET</v>
      </c>
      <c r="BL335">
        <f t="shared" si="146"/>
        <v>82.03</v>
      </c>
      <c r="BO335" s="18">
        <f t="shared" si="147"/>
        <v>3.4621479946361083E-2</v>
      </c>
      <c r="BP335" s="18">
        <f t="shared" si="148"/>
        <v>1.5206631720102401E-2</v>
      </c>
      <c r="BQ335" s="18">
        <f t="shared" si="149"/>
        <v>0.9501718883335365</v>
      </c>
      <c r="BR335" s="18">
        <f t="shared" si="150"/>
        <v>0</v>
      </c>
      <c r="BT335" s="27">
        <f t="shared" si="151"/>
        <v>1</v>
      </c>
      <c r="BW335" s="18">
        <f>IF(AP335="ja",VLOOKUP(B335,Miljövärden!$B$2:$H$550,MATCH("Total andel fossilt",Miljövärden!$B$2:$H$2,0),FALSE),"")</f>
        <v>3.4621499999999999E-2</v>
      </c>
      <c r="BZ335" s="28">
        <f t="shared" si="152"/>
        <v>2.0053638916106564E-8</v>
      </c>
      <c r="CA335" s="28">
        <f t="shared" si="153"/>
        <v>0</v>
      </c>
    </row>
    <row r="336" spans="1:79" x14ac:dyDescent="0.25">
      <c r="A336" s="224" t="s">
        <v>654</v>
      </c>
      <c r="B336" s="210" t="s">
        <v>658</v>
      </c>
      <c r="C336" s="121">
        <f>VLOOKUP($B336,'Tillförd energi'!$B$1:$AI$720,MATCH(C$1,'Tillförd energi'!$B$1:$AQ$1,0),FALSE)</f>
        <v>0</v>
      </c>
      <c r="D336" s="121">
        <f>VLOOKUP($B336,'Tillförd energi'!$B$1:$AI$720,MATCH(D$1,'Tillförd energi'!$B$1:$AQ$1,0),FALSE)</f>
        <v>1.74</v>
      </c>
      <c r="E336" s="121">
        <f>VLOOKUP($B336,'Tillförd energi'!$B$1:$AI$720,MATCH(E$1,'Tillförd energi'!$B$1:$AQ$1,0),FALSE)</f>
        <v>0</v>
      </c>
      <c r="F336" s="121">
        <f>VLOOKUP($B336,'Tillförd energi'!$B$1:$AI$720,MATCH(F$1,'Tillförd energi'!$B$1:$AQ$1,0),FALSE)</f>
        <v>3.27</v>
      </c>
      <c r="G336" s="121">
        <f>VLOOKUP($B336,'Tillförd energi'!$B$1:$AI$720,MATCH(G$1,'Tillförd energi'!$B$1:$AQ$1,0),FALSE)</f>
        <v>0</v>
      </c>
      <c r="H336" s="121">
        <f>VLOOKUP($B336,'Tillförd energi'!$B$1:$AI$720,MATCH(H$1,'Tillförd energi'!$B$1:$AQ$1,0),FALSE)</f>
        <v>0</v>
      </c>
      <c r="I336" s="121">
        <f>VLOOKUP($B336,'Tillförd energi'!$B$1:$AI$720,MATCH(I$1,'Tillförd energi'!$B$1:$AQ$1,0),FALSE)</f>
        <v>0</v>
      </c>
      <c r="J336" s="121">
        <f>VLOOKUP($B336,'Tillförd energi'!$B$1:$AI$720,MATCH(J$1,'Tillförd energi'!$B$1:$AQ$1,0),FALSE)</f>
        <v>0</v>
      </c>
      <c r="K336" s="121">
        <f>VLOOKUP($B336,'Tillförd energi'!$B$1:$AI$720,MATCH(K$1,'Tillförd energi'!$B$1:$AQ$1,0),FALSE)</f>
        <v>0</v>
      </c>
      <c r="L336" s="121">
        <f>VLOOKUP($B336,'Tillförd energi'!$B$1:$AI$720,MATCH(L$1,'Tillförd energi'!$B$1:$AQ$1,0),FALSE)</f>
        <v>0</v>
      </c>
      <c r="M336" s="121">
        <f>VLOOKUP($B336,'Tillförd energi'!$B$1:$AI$720,MATCH(M$1,'Tillförd energi'!$B$1:$AQ$1,0),FALSE)</f>
        <v>38.819499999999998</v>
      </c>
      <c r="N336" s="121">
        <f>VLOOKUP($B336,'Tillförd energi'!$B$1:$AI$720,MATCH(N$1,'Tillförd energi'!$B$1:$AQ$1,0),FALSE)</f>
        <v>86.721100000000007</v>
      </c>
      <c r="O336" s="121">
        <f>VLOOKUP($B336,'Tillförd energi'!$B$1:$AI$720,MATCH(O$1,'Tillförd energi'!$B$1:$AQ$1,0),FALSE)</f>
        <v>35.628300000000003</v>
      </c>
      <c r="P336" s="121">
        <f>VLOOKUP($B336,'Tillförd energi'!$B$1:$AI$720,MATCH(P$1,'Tillförd energi'!$B$1:$AQ$1,0),FALSE)</f>
        <v>2.8781699999999999</v>
      </c>
      <c r="Q336" s="121">
        <f>VLOOKUP($B336,'Tillförd energi'!$B$1:$AI$720,MATCH(Q$1,'Tillförd energi'!$B$1:$AQ$1,0),FALSE)</f>
        <v>0</v>
      </c>
      <c r="R336" s="121">
        <f>VLOOKUP($B336,'Tillförd energi'!$B$1:$AI$720,MATCH(R$1,'Tillförd energi'!$B$1:$AQ$1,0),FALSE)</f>
        <v>0</v>
      </c>
      <c r="S336" s="121">
        <f>VLOOKUP($B336,'Tillförd energi'!$B$1:$AI$720,MATCH(S$1,'Tillförd energi'!$B$1:$AQ$1,0),FALSE)</f>
        <v>0</v>
      </c>
      <c r="T336" s="121">
        <f>VLOOKUP($B336,'Tillförd energi'!$B$1:$AI$720,MATCH(T$1,'Tillförd energi'!$B$1:$AQ$1,0),FALSE)</f>
        <v>0</v>
      </c>
      <c r="U336" s="121">
        <f>VLOOKUP($B336,'Tillförd energi'!$B$1:$AI$720,MATCH(U$1,'Tillförd energi'!$B$1:$AQ$1,0),FALSE)</f>
        <v>0</v>
      </c>
      <c r="V336" s="121">
        <f>VLOOKUP($B336,'Tillförd energi'!$B$1:$AI$720,MATCH(V$1,'Tillförd energi'!$B$1:$AQ$1,0),FALSE)</f>
        <v>0</v>
      </c>
      <c r="W336" s="121">
        <f>VLOOKUP($B336,'Tillförd energi'!$B$1:$AI$720,MATCH(W$1,'Tillförd energi'!$B$1:$AQ$1,0),FALSE)</f>
        <v>0</v>
      </c>
      <c r="X336" s="121">
        <f>VLOOKUP($B336,'Tillförd energi'!$B$1:$AI$720,MATCH(X$1,'Tillförd energi'!$B$1:$AQ$1,0),FALSE)</f>
        <v>0</v>
      </c>
      <c r="Y336" s="121">
        <f>VLOOKUP($B336,'Tillförd energi'!$B$1:$AI$720,MATCH(Y$1,'Tillförd energi'!$B$1:$AQ$1,0),FALSE)</f>
        <v>0</v>
      </c>
      <c r="Z336" s="121">
        <f>VLOOKUP($B336,'Tillförd energi'!$B$1:$AI$720,MATCH(Z$1,'Tillförd energi'!$B$1:$AQ$1,0),FALSE)</f>
        <v>0</v>
      </c>
      <c r="AA336" s="121">
        <f>VLOOKUP($B336,'Tillförd energi'!$B$1:$AI$720,MATCH(AA$1,'Tillförd energi'!$B$1:$AQ$1,0),FALSE)</f>
        <v>0</v>
      </c>
      <c r="AB336" s="121">
        <f>VLOOKUP($B336,'Tillförd energi'!$B$1:$AI$720,MATCH(AB$1,'Tillförd energi'!$B$1:$AQ$1,0),FALSE)</f>
        <v>0</v>
      </c>
      <c r="AC336" s="121">
        <f>VLOOKUP($B336,'Tillförd energi'!$B$1:$AI$720,MATCH(AC$1,'Tillförd energi'!$B$1:$AQ$1,0),FALSE)</f>
        <v>36.22</v>
      </c>
      <c r="AD336" s="121">
        <f>VLOOKUP($B336,'Tillförd energi'!$B$1:$AI$720,MATCH(AD$1,'Tillförd energi'!$B$1:$AQ$1,0),FALSE)</f>
        <v>0</v>
      </c>
      <c r="AE336" s="121">
        <f>VLOOKUP($B336,'Tillförd energi'!$B$1:$AI$720,MATCH(AE$1,'Tillförd energi'!$B$1:$AQ$1,0),FALSE)</f>
        <v>0</v>
      </c>
      <c r="AF336" s="121">
        <f>VLOOKUP($B336,'Tillförd energi'!$B$1:$AI$720,MATCH(AF$1,'Tillförd energi'!$B$1:$AQ$1,0),FALSE)</f>
        <v>6.8137699999999999</v>
      </c>
      <c r="AG336" s="121">
        <f>IFERROR(VLOOKUP(B336,Miljö!$B$1:$AC$550,MATCH("Köpt mängd produktionsspecifik fjärrvärme:",Miljö!$B$1:$AC$1,0),FALSE)/1,0)</f>
        <v>0</v>
      </c>
      <c r="AH336" s="121"/>
      <c r="AI336" s="121">
        <f t="shared" si="132"/>
        <v>212.09084000000001</v>
      </c>
      <c r="AJ336" s="121">
        <f t="shared" si="133"/>
        <v>212.09084000000001</v>
      </c>
      <c r="AK336" s="121">
        <f>IF(ISERROR(1/VLOOKUP($B336,Leveranser!$B$1:$S$499,MATCH("såld värme (gwh)",Leveranser!$B$1:$S$1,0),FALSE)),"",VLOOKUP($B336,Leveranser!$B$1:$S$499,MATCH("såld värme (gwh)",Leveranser!$B$1:$S$1,0),FALSE))</f>
        <v>150.82400000000001</v>
      </c>
      <c r="AL336" s="121">
        <f>VLOOKUP($B336,Leveranser!$B$1:$Y$499,MATCH("Totalt såld fjärrvärme till andra fjärrvärmeföretag",Leveranser!$B$1:$AA$1,0),FALSE)</f>
        <v>0</v>
      </c>
      <c r="AM336" s="121">
        <f>IF(ISERROR(1/VLOOKUP($B336,Miljö!$B$1:$S$500,MATCH("Såld mängd produktionsspecifik fjärrvärme (GWh)",Miljö!$B$1:$R$1,0),FALSE)),0,VLOOKUP($B336,Miljö!$B$1:$S$500,MATCH("Såld mängd produktionsspecifik fjärrvärme (GWh)",Miljö!$B$1:$R$1,0),FALSE))</f>
        <v>0</v>
      </c>
      <c r="AN336" s="172">
        <f t="shared" si="134"/>
        <v>0.71112925008925421</v>
      </c>
      <c r="AO336" s="121"/>
      <c r="AP336" s="121" t="str">
        <f>IFERROR(VLOOKUP($B336,Miljövärden!$B$2:$H$550,7,FALSE),"Nej, saknas")</f>
        <v>Ja</v>
      </c>
      <c r="AQ336" s="121" t="str">
        <f>IFERROR(VLOOKUP($B336,Miljövärden!$B$2:$H$550,6,FALSE),"Nej, saknas")</f>
        <v>Ja</v>
      </c>
      <c r="AU336">
        <f t="shared" si="135"/>
        <v>6.8137699999999999</v>
      </c>
      <c r="AV336">
        <f t="shared" si="136"/>
        <v>0</v>
      </c>
      <c r="AW336">
        <f t="shared" si="137"/>
        <v>164.04707000000002</v>
      </c>
      <c r="AX336">
        <f t="shared" si="138"/>
        <v>0</v>
      </c>
      <c r="AZ336">
        <f t="shared" si="139"/>
        <v>164.04707000000002</v>
      </c>
      <c r="BC336">
        <f t="shared" si="140"/>
        <v>5.01</v>
      </c>
      <c r="BD336">
        <f t="shared" si="141"/>
        <v>0</v>
      </c>
      <c r="BE336">
        <f t="shared" si="142"/>
        <v>164.04707000000002</v>
      </c>
      <c r="BF336">
        <f t="shared" si="143"/>
        <v>36.22</v>
      </c>
      <c r="BG336">
        <f t="shared" si="144"/>
        <v>6.8137699999999999</v>
      </c>
      <c r="BH336">
        <f>VLOOKUP(B336,Miljö!$B$1:$BX$482,MATCH("Fossilandel för ursprungspecificerad el ()",Miljö!$B$1:$I$1,0),FALSE)</f>
        <v>0</v>
      </c>
      <c r="BI336">
        <f>VLOOKUP(B336,Miljö!$B$1:$BX$482,MATCH("Kärnkraftsandel för ursprungsspecificerad el ()",Miljö!$B$1:$O$1,0),FALSE)</f>
        <v>0</v>
      </c>
      <c r="BJ336">
        <f t="shared" si="145"/>
        <v>0</v>
      </c>
      <c r="BK336" t="str">
        <f>VLOOKUP(B336,Miljö!$B$1:$O$482,MATCH("Fossil andel i procent (%)",Miljö!$B$1:$O$1,0),FALSE)</f>
        <v>ET</v>
      </c>
      <c r="BL336">
        <f t="shared" si="146"/>
        <v>212.09084000000001</v>
      </c>
      <c r="BO336" s="18">
        <f t="shared" si="147"/>
        <v>2.3621953687391683E-2</v>
      </c>
      <c r="BP336" s="18">
        <f t="shared" si="148"/>
        <v>0</v>
      </c>
      <c r="BQ336" s="18">
        <f t="shared" si="149"/>
        <v>0.80560216556264297</v>
      </c>
      <c r="BR336" s="18">
        <f t="shared" si="150"/>
        <v>0.17077588074996541</v>
      </c>
      <c r="BT336" s="27">
        <f t="shared" si="151"/>
        <v>1</v>
      </c>
      <c r="BW336" s="18">
        <f>IF(AP336="ja",VLOOKUP(B336,Miljövärden!$B$2:$H$550,MATCH("Total andel fossilt",Miljövärden!$B$2:$H$2,0),FALSE),"")</f>
        <v>2.3621900000000001E-2</v>
      </c>
      <c r="BZ336" s="28">
        <f t="shared" si="152"/>
        <v>-5.3687391681628283E-8</v>
      </c>
      <c r="CA336" s="28">
        <f t="shared" si="153"/>
        <v>0</v>
      </c>
    </row>
    <row r="337" spans="1:79" x14ac:dyDescent="0.25">
      <c r="A337" s="224" t="s">
        <v>654</v>
      </c>
      <c r="B337" s="210" t="s">
        <v>659</v>
      </c>
      <c r="C337" s="121">
        <f>VLOOKUP($B337,'Tillförd energi'!$B$1:$AI$720,MATCH(C$1,'Tillförd energi'!$B$1:$AQ$1,0),FALSE)</f>
        <v>0</v>
      </c>
      <c r="D337" s="121">
        <f>VLOOKUP($B337,'Tillförd energi'!$B$1:$AI$720,MATCH(D$1,'Tillförd energi'!$B$1:$AQ$1,0),FALSE)</f>
        <v>0</v>
      </c>
      <c r="E337" s="121">
        <f>VLOOKUP($B337,'Tillförd energi'!$B$1:$AI$720,MATCH(E$1,'Tillförd energi'!$B$1:$AQ$1,0),FALSE)</f>
        <v>8.1038300000000003</v>
      </c>
      <c r="F337" s="121">
        <f>VLOOKUP($B337,'Tillförd energi'!$B$1:$AI$720,MATCH(F$1,'Tillförd energi'!$B$1:$AQ$1,0),FALSE)</f>
        <v>0</v>
      </c>
      <c r="G337" s="121">
        <f>VLOOKUP($B337,'Tillförd energi'!$B$1:$AI$720,MATCH(G$1,'Tillförd energi'!$B$1:$AQ$1,0),FALSE)</f>
        <v>0</v>
      </c>
      <c r="H337" s="121">
        <f>VLOOKUP($B337,'Tillförd energi'!$B$1:$AI$720,MATCH(H$1,'Tillförd energi'!$B$1:$AQ$1,0),FALSE)</f>
        <v>0</v>
      </c>
      <c r="I337" s="121">
        <f>VLOOKUP($B337,'Tillförd energi'!$B$1:$AI$720,MATCH(I$1,'Tillförd energi'!$B$1:$AQ$1,0),FALSE)</f>
        <v>1.1037300000000001</v>
      </c>
      <c r="J337" s="121">
        <f>VLOOKUP($B337,'Tillförd energi'!$B$1:$AI$720,MATCH(J$1,'Tillförd energi'!$B$1:$AQ$1,0),FALSE)</f>
        <v>1.05657</v>
      </c>
      <c r="K337" s="121">
        <f>VLOOKUP($B337,'Tillförd energi'!$B$1:$AI$720,MATCH(K$1,'Tillförd energi'!$B$1:$AQ$1,0),FALSE)</f>
        <v>0</v>
      </c>
      <c r="L337" s="121">
        <f>VLOOKUP($B337,'Tillförd energi'!$B$1:$AI$720,MATCH(L$1,'Tillförd energi'!$B$1:$AQ$1,0),FALSE)</f>
        <v>191.565</v>
      </c>
      <c r="M337" s="121">
        <f>VLOOKUP($B337,'Tillförd energi'!$B$1:$AI$720,MATCH(M$1,'Tillförd energi'!$B$1:$AQ$1,0),FALSE)</f>
        <v>0</v>
      </c>
      <c r="N337" s="121">
        <f>VLOOKUP($B337,'Tillförd energi'!$B$1:$AI$720,MATCH(N$1,'Tillförd energi'!$B$1:$AQ$1,0),FALSE)</f>
        <v>56.042099999999998</v>
      </c>
      <c r="O337" s="121">
        <f>VLOOKUP($B337,'Tillförd energi'!$B$1:$AI$720,MATCH(O$1,'Tillförd energi'!$B$1:$AQ$1,0),FALSE)</f>
        <v>0</v>
      </c>
      <c r="P337" s="121">
        <f>VLOOKUP($B337,'Tillförd energi'!$B$1:$AI$720,MATCH(P$1,'Tillförd energi'!$B$1:$AQ$1,0),FALSE)</f>
        <v>0</v>
      </c>
      <c r="Q337" s="121">
        <f>VLOOKUP($B337,'Tillförd energi'!$B$1:$AI$720,MATCH(Q$1,'Tillförd energi'!$B$1:$AQ$1,0),FALSE)</f>
        <v>0</v>
      </c>
      <c r="R337" s="121">
        <f>VLOOKUP($B337,'Tillförd energi'!$B$1:$AI$720,MATCH(R$1,'Tillförd energi'!$B$1:$AQ$1,0),FALSE)</f>
        <v>0</v>
      </c>
      <c r="S337" s="121">
        <f>VLOOKUP($B337,'Tillförd energi'!$B$1:$AI$720,MATCH(S$1,'Tillförd energi'!$B$1:$AQ$1,0),FALSE)</f>
        <v>0</v>
      </c>
      <c r="T337" s="121">
        <f>VLOOKUP($B337,'Tillförd energi'!$B$1:$AI$720,MATCH(T$1,'Tillförd energi'!$B$1:$AQ$1,0),FALSE)</f>
        <v>0</v>
      </c>
      <c r="U337" s="121">
        <f>VLOOKUP($B337,'Tillförd energi'!$B$1:$AI$720,MATCH(U$1,'Tillförd energi'!$B$1:$AQ$1,0),FALSE)</f>
        <v>0</v>
      </c>
      <c r="V337" s="121">
        <f>VLOOKUP($B337,'Tillförd energi'!$B$1:$AI$720,MATCH(V$1,'Tillförd energi'!$B$1:$AQ$1,0),FALSE)</f>
        <v>0</v>
      </c>
      <c r="W337" s="121">
        <f>VLOOKUP($B337,'Tillförd energi'!$B$1:$AI$720,MATCH(W$1,'Tillförd energi'!$B$1:$AQ$1,0),FALSE)</f>
        <v>0</v>
      </c>
      <c r="X337" s="121">
        <f>VLOOKUP($B337,'Tillförd energi'!$B$1:$AI$720,MATCH(X$1,'Tillförd energi'!$B$1:$AQ$1,0),FALSE)</f>
        <v>0</v>
      </c>
      <c r="Y337" s="121">
        <f>VLOOKUP($B337,'Tillförd energi'!$B$1:$AI$720,MATCH(Y$1,'Tillförd energi'!$B$1:$AQ$1,0),FALSE)</f>
        <v>0</v>
      </c>
      <c r="Z337" s="121">
        <f>VLOOKUP($B337,'Tillförd energi'!$B$1:$AI$720,MATCH(Z$1,'Tillförd energi'!$B$1:$AQ$1,0),FALSE)</f>
        <v>0.40100000000000002</v>
      </c>
      <c r="AA337" s="121">
        <f>VLOOKUP($B337,'Tillförd energi'!$B$1:$AI$720,MATCH(AA$1,'Tillförd energi'!$B$1:$AQ$1,0),FALSE)</f>
        <v>0</v>
      </c>
      <c r="AB337" s="121">
        <f>VLOOKUP($B337,'Tillförd energi'!$B$1:$AI$720,MATCH(AB$1,'Tillförd energi'!$B$1:$AQ$1,0),FALSE)</f>
        <v>0</v>
      </c>
      <c r="AC337" s="121">
        <f>VLOOKUP($B337,'Tillförd energi'!$B$1:$AI$720,MATCH(AC$1,'Tillförd energi'!$B$1:$AQ$1,0),FALSE)</f>
        <v>51.639000000000003</v>
      </c>
      <c r="AD337" s="121">
        <f>VLOOKUP($B337,'Tillförd energi'!$B$1:$AI$720,MATCH(AD$1,'Tillförd energi'!$B$1:$AQ$1,0),FALSE)</f>
        <v>0</v>
      </c>
      <c r="AE337" s="121">
        <f>VLOOKUP($B337,'Tillförd energi'!$B$1:$AI$720,MATCH(AE$1,'Tillförd energi'!$B$1:$AQ$1,0),FALSE)</f>
        <v>0</v>
      </c>
      <c r="AF337" s="121">
        <f>VLOOKUP($B337,'Tillförd energi'!$B$1:$AI$720,MATCH(AF$1,'Tillförd energi'!$B$1:$AQ$1,0),FALSE)</f>
        <v>11.2697</v>
      </c>
      <c r="AG337" s="121">
        <f>IFERROR(VLOOKUP(B337,Miljö!$B$1:$AC$550,MATCH("Köpt mängd produktionsspecifik fjärrvärme:",Miljö!$B$1:$AC$1,0),FALSE)/1,0)</f>
        <v>0</v>
      </c>
      <c r="AH337" s="121"/>
      <c r="AI337" s="121">
        <f t="shared" si="132"/>
        <v>321.18092999999999</v>
      </c>
      <c r="AJ337" s="121">
        <f t="shared" si="133"/>
        <v>321.18092999999999</v>
      </c>
      <c r="AK337" s="121">
        <f>IF(ISERROR(1/VLOOKUP($B337,Leveranser!$B$1:$S$499,MATCH("såld värme (gwh)",Leveranser!$B$1:$S$1,0),FALSE)),"",VLOOKUP($B337,Leveranser!$B$1:$S$499,MATCH("såld värme (gwh)",Leveranser!$B$1:$S$1,0),FALSE))</f>
        <v>270.89100000000002</v>
      </c>
      <c r="AL337" s="121">
        <f>VLOOKUP($B337,Leveranser!$B$1:$Y$499,MATCH("Totalt såld fjärrvärme till andra fjärrvärmeföretag",Leveranser!$B$1:$AA$1,0),FALSE)</f>
        <v>0</v>
      </c>
      <c r="AM337" s="121">
        <f>IF(ISERROR(1/VLOOKUP($B337,Miljö!$B$1:$S$500,MATCH("Såld mängd produktionsspecifik fjärrvärme (GWh)",Miljö!$B$1:$R$1,0),FALSE)),0,VLOOKUP($B337,Miljö!$B$1:$S$500,MATCH("Såld mängd produktionsspecifik fjärrvärme (GWh)",Miljö!$B$1:$R$1,0),FALSE))</f>
        <v>0</v>
      </c>
      <c r="AN337" s="172">
        <f t="shared" si="134"/>
        <v>0.84342180589613469</v>
      </c>
      <c r="AO337" s="121"/>
      <c r="AP337" s="121" t="str">
        <f>IFERROR(VLOOKUP($B337,Miljövärden!$B$2:$H$550,7,FALSE),"Nej, saknas")</f>
        <v>Ja</v>
      </c>
      <c r="AQ337" s="121" t="str">
        <f>IFERROR(VLOOKUP($B337,Miljövärden!$B$2:$H$550,6,FALSE),"Nej, saknas")</f>
        <v>Ja</v>
      </c>
      <c r="AU337">
        <f t="shared" si="135"/>
        <v>11.6707</v>
      </c>
      <c r="AV337">
        <f t="shared" si="136"/>
        <v>0</v>
      </c>
      <c r="AW337">
        <f t="shared" si="137"/>
        <v>56.042099999999998</v>
      </c>
      <c r="AX337">
        <f t="shared" si="138"/>
        <v>0</v>
      </c>
      <c r="AZ337">
        <f t="shared" si="139"/>
        <v>247.6071</v>
      </c>
      <c r="BC337">
        <f t="shared" si="140"/>
        <v>8.1038300000000003</v>
      </c>
      <c r="BD337">
        <f t="shared" si="141"/>
        <v>0</v>
      </c>
      <c r="BE337">
        <f t="shared" si="142"/>
        <v>56.042099999999998</v>
      </c>
      <c r="BF337">
        <f t="shared" si="143"/>
        <v>245.36430000000001</v>
      </c>
      <c r="BG337">
        <f t="shared" si="144"/>
        <v>11.6707</v>
      </c>
      <c r="BH337">
        <f>VLOOKUP(B337,Miljö!$B$1:$BX$482,MATCH("Fossilandel för ursprungspecificerad el ()",Miljö!$B$1:$I$1,0),FALSE)</f>
        <v>0.9</v>
      </c>
      <c r="BI337">
        <f>VLOOKUP(B337,Miljö!$B$1:$BX$482,MATCH("Kärnkraftsandel för ursprungsspecificerad el ()",Miljö!$B$1:$O$1,0),FALSE)</f>
        <v>0</v>
      </c>
      <c r="BJ337">
        <f t="shared" si="145"/>
        <v>0</v>
      </c>
      <c r="BK337" t="str">
        <f>VLOOKUP(B337,Miljö!$B$1:$O$482,MATCH("Fossil andel i procent (%)",Miljö!$B$1:$O$1,0),FALSE)</f>
        <v>ET</v>
      </c>
      <c r="BL337">
        <f t="shared" si="146"/>
        <v>321.18092999999999</v>
      </c>
      <c r="BO337" s="18">
        <f t="shared" si="147"/>
        <v>5.7934510619917577E-2</v>
      </c>
      <c r="BP337" s="18">
        <f t="shared" si="148"/>
        <v>0</v>
      </c>
      <c r="BQ337" s="18">
        <f t="shared" si="149"/>
        <v>0.17812131623132171</v>
      </c>
      <c r="BR337" s="18">
        <f t="shared" si="150"/>
        <v>0.76394417314876084</v>
      </c>
      <c r="BT337" s="27">
        <f t="shared" si="151"/>
        <v>1.0000000000000002</v>
      </c>
      <c r="BW337" s="18">
        <f>IF(AP337="ja",VLOOKUP(B337,Miljövärden!$B$2:$H$550,MATCH("Total andel fossilt",Miljövärden!$B$2:$H$2,0),FALSE),"")</f>
        <v>5.7934300000000001E-2</v>
      </c>
      <c r="BZ337" s="28">
        <f t="shared" si="152"/>
        <v>-2.1061991757609366E-7</v>
      </c>
      <c r="CA337" s="28">
        <f t="shared" si="153"/>
        <v>0</v>
      </c>
    </row>
    <row r="338" spans="1:79" x14ac:dyDescent="0.25">
      <c r="A338" s="224" t="s">
        <v>654</v>
      </c>
      <c r="B338" s="210" t="s">
        <v>660</v>
      </c>
      <c r="C338" s="121">
        <f>VLOOKUP($B338,'Tillförd energi'!$B$1:$AI$720,MATCH(C$1,'Tillförd energi'!$B$1:$AQ$1,0),FALSE)</f>
        <v>0</v>
      </c>
      <c r="D338" s="121">
        <f>VLOOKUP($B338,'Tillförd energi'!$B$1:$AI$720,MATCH(D$1,'Tillförd energi'!$B$1:$AQ$1,0),FALSE)</f>
        <v>0</v>
      </c>
      <c r="E338" s="121">
        <f>VLOOKUP($B338,'Tillförd energi'!$B$1:$AI$720,MATCH(E$1,'Tillförd energi'!$B$1:$AQ$1,0),FALSE)</f>
        <v>0</v>
      </c>
      <c r="F338" s="121">
        <f>VLOOKUP($B338,'Tillförd energi'!$B$1:$AI$720,MATCH(F$1,'Tillförd energi'!$B$1:$AQ$1,0),FALSE)</f>
        <v>0</v>
      </c>
      <c r="G338" s="121">
        <f>VLOOKUP($B338,'Tillförd energi'!$B$1:$AI$720,MATCH(G$1,'Tillförd energi'!$B$1:$AQ$1,0),FALSE)</f>
        <v>0</v>
      </c>
      <c r="H338" s="121">
        <f>VLOOKUP($B338,'Tillförd energi'!$B$1:$AI$720,MATCH(H$1,'Tillförd energi'!$B$1:$AQ$1,0),FALSE)</f>
        <v>0</v>
      </c>
      <c r="I338" s="121">
        <f>VLOOKUP($B338,'Tillförd energi'!$B$1:$AI$720,MATCH(I$1,'Tillförd energi'!$B$1:$AQ$1,0),FALSE)</f>
        <v>0</v>
      </c>
      <c r="J338" s="121">
        <f>VLOOKUP($B338,'Tillförd energi'!$B$1:$AI$720,MATCH(J$1,'Tillförd energi'!$B$1:$AQ$1,0),FALSE)</f>
        <v>0</v>
      </c>
      <c r="K338" s="121">
        <f>VLOOKUP($B338,'Tillförd energi'!$B$1:$AI$720,MATCH(K$1,'Tillförd energi'!$B$1:$AQ$1,0),FALSE)</f>
        <v>0</v>
      </c>
      <c r="L338" s="121">
        <f>VLOOKUP($B338,'Tillförd energi'!$B$1:$AI$720,MATCH(L$1,'Tillförd energi'!$B$1:$AQ$1,0),FALSE)</f>
        <v>0</v>
      </c>
      <c r="M338" s="121">
        <f>VLOOKUP($B338,'Tillförd energi'!$B$1:$AI$720,MATCH(M$1,'Tillförd energi'!$B$1:$AQ$1,0),FALSE)</f>
        <v>0</v>
      </c>
      <c r="N338" s="121">
        <f>VLOOKUP($B338,'Tillförd energi'!$B$1:$AI$720,MATCH(N$1,'Tillförd energi'!$B$1:$AQ$1,0),FALSE)</f>
        <v>0</v>
      </c>
      <c r="O338" s="121">
        <f>VLOOKUP($B338,'Tillförd energi'!$B$1:$AI$720,MATCH(O$1,'Tillförd energi'!$B$1:$AQ$1,0),FALSE)</f>
        <v>0</v>
      </c>
      <c r="P338" s="121">
        <f>VLOOKUP($B338,'Tillförd energi'!$B$1:$AI$720,MATCH(P$1,'Tillförd energi'!$B$1:$AQ$1,0),FALSE)</f>
        <v>0</v>
      </c>
      <c r="Q338" s="121">
        <f>VLOOKUP($B338,'Tillförd energi'!$B$1:$AI$720,MATCH(Q$1,'Tillförd energi'!$B$1:$AQ$1,0),FALSE)</f>
        <v>0</v>
      </c>
      <c r="R338" s="121">
        <f>VLOOKUP($B338,'Tillförd energi'!$B$1:$AI$720,MATCH(R$1,'Tillförd energi'!$B$1:$AQ$1,0),FALSE)</f>
        <v>0</v>
      </c>
      <c r="S338" s="121">
        <f>VLOOKUP($B338,'Tillförd energi'!$B$1:$AI$720,MATCH(S$1,'Tillförd energi'!$B$1:$AQ$1,0),FALSE)</f>
        <v>0</v>
      </c>
      <c r="T338" s="121">
        <f>VLOOKUP($B338,'Tillförd energi'!$B$1:$AI$720,MATCH(T$1,'Tillförd energi'!$B$1:$AQ$1,0),FALSE)</f>
        <v>0</v>
      </c>
      <c r="U338" s="121">
        <f>VLOOKUP($B338,'Tillförd energi'!$B$1:$AI$720,MATCH(U$1,'Tillförd energi'!$B$1:$AQ$1,0),FALSE)</f>
        <v>0</v>
      </c>
      <c r="V338" s="121">
        <f>VLOOKUP($B338,'Tillförd energi'!$B$1:$AI$720,MATCH(V$1,'Tillförd energi'!$B$1:$AQ$1,0),FALSE)</f>
        <v>0</v>
      </c>
      <c r="W338" s="121">
        <f>VLOOKUP($B338,'Tillförd energi'!$B$1:$AI$720,MATCH(W$1,'Tillförd energi'!$B$1:$AQ$1,0),FALSE)</f>
        <v>29.53</v>
      </c>
      <c r="X338" s="121">
        <f>VLOOKUP($B338,'Tillförd energi'!$B$1:$AI$720,MATCH(X$1,'Tillförd energi'!$B$1:$AQ$1,0),FALSE)</f>
        <v>0</v>
      </c>
      <c r="Y338" s="121">
        <f>VLOOKUP($B338,'Tillförd energi'!$B$1:$AI$720,MATCH(Y$1,'Tillförd energi'!$B$1:$AQ$1,0),FALSE)</f>
        <v>0</v>
      </c>
      <c r="Z338" s="121">
        <f>VLOOKUP($B338,'Tillförd energi'!$B$1:$AI$720,MATCH(Z$1,'Tillförd energi'!$B$1:$AQ$1,0),FALSE)</f>
        <v>0</v>
      </c>
      <c r="AA338" s="121">
        <f>VLOOKUP($B338,'Tillförd energi'!$B$1:$AI$720,MATCH(AA$1,'Tillförd energi'!$B$1:$AQ$1,0),FALSE)</f>
        <v>0</v>
      </c>
      <c r="AB338" s="121">
        <f>VLOOKUP($B338,'Tillförd energi'!$B$1:$AI$720,MATCH(AB$1,'Tillförd energi'!$B$1:$AQ$1,0),FALSE)</f>
        <v>0</v>
      </c>
      <c r="AC338" s="121">
        <f>VLOOKUP($B338,'Tillförd energi'!$B$1:$AI$720,MATCH(AC$1,'Tillförd energi'!$B$1:$AQ$1,0),FALSE)</f>
        <v>0</v>
      </c>
      <c r="AD338" s="121">
        <f>VLOOKUP($B338,'Tillförd energi'!$B$1:$AI$720,MATCH(AD$1,'Tillförd energi'!$B$1:$AQ$1,0),FALSE)</f>
        <v>0</v>
      </c>
      <c r="AE338" s="121">
        <f>VLOOKUP($B338,'Tillförd energi'!$B$1:$AI$720,MATCH(AE$1,'Tillförd energi'!$B$1:$AQ$1,0),FALSE)</f>
        <v>0</v>
      </c>
      <c r="AF338" s="121">
        <f>VLOOKUP($B338,'Tillförd energi'!$B$1:$AI$720,MATCH(AF$1,'Tillförd energi'!$B$1:$AQ$1,0),FALSE)</f>
        <v>0.51800000000000002</v>
      </c>
      <c r="AG338" s="121">
        <f>IFERROR(VLOOKUP(B338,Miljö!$B$1:$AC$550,MATCH("Köpt mängd produktionsspecifik fjärrvärme:",Miljö!$B$1:$AC$1,0),FALSE)/1,0)</f>
        <v>0</v>
      </c>
      <c r="AH338" s="121"/>
      <c r="AI338" s="121">
        <f t="shared" si="132"/>
        <v>30.048000000000002</v>
      </c>
      <c r="AJ338" s="121">
        <f t="shared" si="133"/>
        <v>30.048000000000002</v>
      </c>
      <c r="AK338" s="121">
        <f>IF(ISERROR(1/VLOOKUP($B338,Leveranser!$B$1:$S$499,MATCH("såld värme (gwh)",Leveranser!$B$1:$S$1,0),FALSE)),"",VLOOKUP($B338,Leveranser!$B$1:$S$499,MATCH("såld värme (gwh)",Leveranser!$B$1:$S$1,0),FALSE))</f>
        <v>27.100999999999999</v>
      </c>
      <c r="AL338" s="121">
        <f>VLOOKUP($B338,Leveranser!$B$1:$Y$499,MATCH("Totalt såld fjärrvärme till andra fjärrvärmeföretag",Leveranser!$B$1:$AA$1,0),FALSE)</f>
        <v>0</v>
      </c>
      <c r="AM338" s="121">
        <f>IF(ISERROR(1/VLOOKUP($B338,Miljö!$B$1:$S$500,MATCH("Såld mängd produktionsspecifik fjärrvärme (GWh)",Miljö!$B$1:$R$1,0),FALSE)),0,VLOOKUP($B338,Miljö!$B$1:$S$500,MATCH("Såld mängd produktionsspecifik fjärrvärme (GWh)",Miljö!$B$1:$R$1,0),FALSE))</f>
        <v>0</v>
      </c>
      <c r="AN338" s="172">
        <f t="shared" si="134"/>
        <v>0.90192358892438751</v>
      </c>
      <c r="AO338" s="121"/>
      <c r="AP338" s="121" t="str">
        <f>IFERROR(VLOOKUP($B338,Miljövärden!$B$2:$H$550,7,FALSE),"Nej, saknas")</f>
        <v>Ja</v>
      </c>
      <c r="AQ338" s="121" t="str">
        <f>IFERROR(VLOOKUP($B338,Miljövärden!$B$2:$H$550,6,FALSE),"Nej, saknas")</f>
        <v>Ja</v>
      </c>
      <c r="AU338">
        <f t="shared" si="135"/>
        <v>0.51800000000000002</v>
      </c>
      <c r="AV338">
        <f t="shared" si="136"/>
        <v>0</v>
      </c>
      <c r="AW338">
        <f t="shared" si="137"/>
        <v>0</v>
      </c>
      <c r="AX338">
        <f t="shared" si="138"/>
        <v>0</v>
      </c>
      <c r="AZ338">
        <f t="shared" si="139"/>
        <v>29.53</v>
      </c>
      <c r="BC338">
        <f t="shared" si="140"/>
        <v>0</v>
      </c>
      <c r="BD338">
        <f t="shared" si="141"/>
        <v>0</v>
      </c>
      <c r="BE338">
        <f t="shared" si="142"/>
        <v>29.53</v>
      </c>
      <c r="BF338">
        <f t="shared" si="143"/>
        <v>0</v>
      </c>
      <c r="BG338">
        <f t="shared" si="144"/>
        <v>0.51800000000000002</v>
      </c>
      <c r="BH338">
        <f>VLOOKUP(B338,Miljö!$B$1:$BX$482,MATCH("Fossilandel för ursprungspecificerad el ()",Miljö!$B$1:$I$1,0),FALSE)</f>
        <v>0</v>
      </c>
      <c r="BI338">
        <f>VLOOKUP(B338,Miljö!$B$1:$BX$482,MATCH("Kärnkraftsandel för ursprungsspecificerad el ()",Miljö!$B$1:$O$1,0),FALSE)</f>
        <v>0.59399999999999997</v>
      </c>
      <c r="BJ338">
        <f t="shared" si="145"/>
        <v>0</v>
      </c>
      <c r="BK338" t="str">
        <f>VLOOKUP(B338,Miljö!$B$1:$O$482,MATCH("Fossil andel i procent (%)",Miljö!$B$1:$O$1,0),FALSE)</f>
        <v>ET</v>
      </c>
      <c r="BL338">
        <f t="shared" si="146"/>
        <v>30.048000000000002</v>
      </c>
      <c r="BO338" s="18">
        <f t="shared" si="147"/>
        <v>0</v>
      </c>
      <c r="BP338" s="18">
        <f t="shared" si="148"/>
        <v>1.0240015974440894E-2</v>
      </c>
      <c r="BQ338" s="18">
        <f t="shared" si="149"/>
        <v>0.98975998402555909</v>
      </c>
      <c r="BR338" s="18">
        <f t="shared" si="150"/>
        <v>0</v>
      </c>
      <c r="BT338" s="27">
        <f t="shared" si="151"/>
        <v>1</v>
      </c>
      <c r="BW338" s="18">
        <f>IF(AP338="ja",VLOOKUP(B338,Miljövärden!$B$2:$H$550,MATCH("Total andel fossilt",Miljövärden!$B$2:$H$2,0),FALSE),"")</f>
        <v>0</v>
      </c>
      <c r="BZ338" s="28">
        <f t="shared" si="152"/>
        <v>0</v>
      </c>
      <c r="CA338" s="28">
        <f t="shared" si="153"/>
        <v>0</v>
      </c>
    </row>
    <row r="339" spans="1:79" x14ac:dyDescent="0.25">
      <c r="A339" s="224" t="s">
        <v>654</v>
      </c>
      <c r="B339" s="210" t="s">
        <v>661</v>
      </c>
      <c r="C339" s="121">
        <f>VLOOKUP($B339,'Tillförd energi'!$B$1:$AI$720,MATCH(C$1,'Tillförd energi'!$B$1:$AQ$1,0),FALSE)</f>
        <v>0</v>
      </c>
      <c r="D339" s="121">
        <f>VLOOKUP($B339,'Tillförd energi'!$B$1:$AI$720,MATCH(D$1,'Tillförd energi'!$B$1:$AQ$1,0),FALSE)</f>
        <v>0.216</v>
      </c>
      <c r="E339" s="121">
        <f>VLOOKUP($B339,'Tillförd energi'!$B$1:$AI$720,MATCH(E$1,'Tillförd energi'!$B$1:$AQ$1,0),FALSE)</f>
        <v>0</v>
      </c>
      <c r="F339" s="121">
        <f>VLOOKUP($B339,'Tillförd energi'!$B$1:$AI$720,MATCH(F$1,'Tillförd energi'!$B$1:$AQ$1,0),FALSE)</f>
        <v>0</v>
      </c>
      <c r="G339" s="121">
        <f>VLOOKUP($B339,'Tillförd energi'!$B$1:$AI$720,MATCH(G$1,'Tillförd energi'!$B$1:$AQ$1,0),FALSE)</f>
        <v>0</v>
      </c>
      <c r="H339" s="121">
        <f>VLOOKUP($B339,'Tillförd energi'!$B$1:$AI$720,MATCH(H$1,'Tillförd energi'!$B$1:$AQ$1,0),FALSE)</f>
        <v>0</v>
      </c>
      <c r="I339" s="121">
        <f>VLOOKUP($B339,'Tillförd energi'!$B$1:$AI$720,MATCH(I$1,'Tillförd energi'!$B$1:$AQ$1,0),FALSE)</f>
        <v>0</v>
      </c>
      <c r="J339" s="121">
        <f>VLOOKUP($B339,'Tillförd energi'!$B$1:$AI$720,MATCH(J$1,'Tillförd energi'!$B$1:$AQ$1,0),FALSE)</f>
        <v>0</v>
      </c>
      <c r="K339" s="121">
        <f>VLOOKUP($B339,'Tillförd energi'!$B$1:$AI$720,MATCH(K$1,'Tillförd energi'!$B$1:$AQ$1,0),FALSE)</f>
        <v>0</v>
      </c>
      <c r="L339" s="121">
        <f>VLOOKUP($B339,'Tillförd energi'!$B$1:$AI$720,MATCH(L$1,'Tillförd energi'!$B$1:$AQ$1,0),FALSE)</f>
        <v>0</v>
      </c>
      <c r="M339" s="121">
        <f>VLOOKUP($B339,'Tillförd energi'!$B$1:$AI$720,MATCH(M$1,'Tillförd energi'!$B$1:$AQ$1,0),FALSE)</f>
        <v>0</v>
      </c>
      <c r="N339" s="121">
        <f>VLOOKUP($B339,'Tillförd energi'!$B$1:$AI$720,MATCH(N$1,'Tillförd energi'!$B$1:$AQ$1,0),FALSE)</f>
        <v>0</v>
      </c>
      <c r="O339" s="121">
        <f>VLOOKUP($B339,'Tillförd energi'!$B$1:$AI$720,MATCH(O$1,'Tillförd energi'!$B$1:$AQ$1,0),FALSE)</f>
        <v>0</v>
      </c>
      <c r="P339" s="121">
        <f>VLOOKUP($B339,'Tillförd energi'!$B$1:$AI$720,MATCH(P$1,'Tillförd energi'!$B$1:$AQ$1,0),FALSE)</f>
        <v>0</v>
      </c>
      <c r="Q339" s="121">
        <f>VLOOKUP($B339,'Tillförd energi'!$B$1:$AI$720,MATCH(Q$1,'Tillförd energi'!$B$1:$AQ$1,0),FALSE)</f>
        <v>0</v>
      </c>
      <c r="R339" s="121">
        <f>VLOOKUP($B339,'Tillförd energi'!$B$1:$AI$720,MATCH(R$1,'Tillförd energi'!$B$1:$AQ$1,0),FALSE)</f>
        <v>23.7</v>
      </c>
      <c r="S339" s="121">
        <f>VLOOKUP($B339,'Tillförd energi'!$B$1:$AI$720,MATCH(S$1,'Tillförd energi'!$B$1:$AQ$1,0),FALSE)</f>
        <v>0</v>
      </c>
      <c r="T339" s="121">
        <f>VLOOKUP($B339,'Tillförd energi'!$B$1:$AI$720,MATCH(T$1,'Tillförd energi'!$B$1:$AQ$1,0),FALSE)</f>
        <v>0</v>
      </c>
      <c r="U339" s="121">
        <f>VLOOKUP($B339,'Tillförd energi'!$B$1:$AI$720,MATCH(U$1,'Tillförd energi'!$B$1:$AQ$1,0),FALSE)</f>
        <v>0</v>
      </c>
      <c r="V339" s="121">
        <f>VLOOKUP($B339,'Tillförd energi'!$B$1:$AI$720,MATCH(V$1,'Tillförd energi'!$B$1:$AQ$1,0),FALSE)</f>
        <v>0</v>
      </c>
      <c r="W339" s="121">
        <f>VLOOKUP($B339,'Tillförd energi'!$B$1:$AI$720,MATCH(W$1,'Tillförd energi'!$B$1:$AQ$1,0),FALSE)</f>
        <v>0</v>
      </c>
      <c r="X339" s="121">
        <f>VLOOKUP($B339,'Tillförd energi'!$B$1:$AI$720,MATCH(X$1,'Tillförd energi'!$B$1:$AQ$1,0),FALSE)</f>
        <v>0</v>
      </c>
      <c r="Y339" s="121">
        <f>VLOOKUP($B339,'Tillförd energi'!$B$1:$AI$720,MATCH(Y$1,'Tillförd energi'!$B$1:$AQ$1,0),FALSE)</f>
        <v>0</v>
      </c>
      <c r="Z339" s="121">
        <f>VLOOKUP($B339,'Tillförd energi'!$B$1:$AI$720,MATCH(Z$1,'Tillförd energi'!$B$1:$AQ$1,0),FALSE)</f>
        <v>0</v>
      </c>
      <c r="AA339" s="121">
        <f>VLOOKUP($B339,'Tillförd energi'!$B$1:$AI$720,MATCH(AA$1,'Tillförd energi'!$B$1:$AQ$1,0),FALSE)</f>
        <v>0</v>
      </c>
      <c r="AB339" s="121">
        <f>VLOOKUP($B339,'Tillförd energi'!$B$1:$AI$720,MATCH(AB$1,'Tillförd energi'!$B$1:$AQ$1,0),FALSE)</f>
        <v>0</v>
      </c>
      <c r="AC339" s="121">
        <f>VLOOKUP($B339,'Tillförd energi'!$B$1:$AI$720,MATCH(AC$1,'Tillförd energi'!$B$1:$AQ$1,0),FALSE)</f>
        <v>0</v>
      </c>
      <c r="AD339" s="121">
        <f>VLOOKUP($B339,'Tillförd energi'!$B$1:$AI$720,MATCH(AD$1,'Tillförd energi'!$B$1:$AQ$1,0),FALSE)</f>
        <v>0</v>
      </c>
      <c r="AE339" s="121">
        <f>VLOOKUP($B339,'Tillförd energi'!$B$1:$AI$720,MATCH(AE$1,'Tillförd energi'!$B$1:$AQ$1,0),FALSE)</f>
        <v>0</v>
      </c>
      <c r="AF339" s="121">
        <f>VLOOKUP($B339,'Tillförd energi'!$B$1:$AI$720,MATCH(AF$1,'Tillförd energi'!$B$1:$AQ$1,0),FALSE)</f>
        <v>0.2</v>
      </c>
      <c r="AG339" s="121">
        <f>IFERROR(VLOOKUP(B339,Miljö!$B$1:$AC$550,MATCH("Köpt mängd produktionsspecifik fjärrvärme:",Miljö!$B$1:$AC$1,0),FALSE)/1,0)</f>
        <v>0</v>
      </c>
      <c r="AH339" s="121"/>
      <c r="AI339" s="121">
        <f t="shared" si="132"/>
        <v>24.116</v>
      </c>
      <c r="AJ339" s="121">
        <f t="shared" si="133"/>
        <v>24.116</v>
      </c>
      <c r="AK339" s="121">
        <f>IF(ISERROR(1/VLOOKUP($B339,Leveranser!$B$1:$S$499,MATCH("såld värme (gwh)",Leveranser!$B$1:$S$1,0),FALSE)),"",VLOOKUP($B339,Leveranser!$B$1:$S$499,MATCH("såld värme (gwh)",Leveranser!$B$1:$S$1,0),FALSE))</f>
        <v>14.05</v>
      </c>
      <c r="AL339" s="121">
        <f>VLOOKUP($B339,Leveranser!$B$1:$Y$499,MATCH("Totalt såld fjärrvärme till andra fjärrvärmeföretag",Leveranser!$B$1:$AA$1,0),FALSE)</f>
        <v>0</v>
      </c>
      <c r="AM339" s="121">
        <f>IF(ISERROR(1/VLOOKUP($B339,Miljö!$B$1:$S$500,MATCH("Såld mängd produktionsspecifik fjärrvärme (GWh)",Miljö!$B$1:$R$1,0),FALSE)),0,VLOOKUP($B339,Miljö!$B$1:$S$500,MATCH("Såld mängd produktionsspecifik fjärrvärme (GWh)",Miljö!$B$1:$R$1,0),FALSE))</f>
        <v>0</v>
      </c>
      <c r="AN339" s="172">
        <f t="shared" si="134"/>
        <v>0.58260076297893515</v>
      </c>
      <c r="AO339" s="121"/>
      <c r="AP339" s="121" t="str">
        <f>IFERROR(VLOOKUP($B339,Miljövärden!$B$2:$H$550,7,FALSE),"Nej, saknas")</f>
        <v>Ja</v>
      </c>
      <c r="AQ339" s="121" t="str">
        <f>IFERROR(VLOOKUP($B339,Miljövärden!$B$2:$H$550,6,FALSE),"Nej, saknas")</f>
        <v>Ja</v>
      </c>
      <c r="AU339">
        <f t="shared" si="135"/>
        <v>0.2</v>
      </c>
      <c r="AV339">
        <f t="shared" si="136"/>
        <v>0</v>
      </c>
      <c r="AW339">
        <f t="shared" si="137"/>
        <v>0</v>
      </c>
      <c r="AX339">
        <f t="shared" si="138"/>
        <v>23.7</v>
      </c>
      <c r="AZ339">
        <f t="shared" si="139"/>
        <v>23.7</v>
      </c>
      <c r="BC339">
        <f t="shared" si="140"/>
        <v>0.216</v>
      </c>
      <c r="BD339">
        <f t="shared" si="141"/>
        <v>0</v>
      </c>
      <c r="BE339">
        <f t="shared" si="142"/>
        <v>23.7</v>
      </c>
      <c r="BF339">
        <f t="shared" si="143"/>
        <v>0</v>
      </c>
      <c r="BG339">
        <f t="shared" si="144"/>
        <v>0.2</v>
      </c>
      <c r="BH339">
        <f>VLOOKUP(B339,Miljö!$B$1:$BX$482,MATCH("Fossilandel för ursprungspecificerad el ()",Miljö!$B$1:$I$1,0),FALSE)</f>
        <v>0</v>
      </c>
      <c r="BI339">
        <f>VLOOKUP(B339,Miljö!$B$1:$BX$482,MATCH("Kärnkraftsandel för ursprungsspecificerad el ()",Miljö!$B$1:$O$1,0),FALSE)</f>
        <v>0.59399999999999997</v>
      </c>
      <c r="BJ339">
        <f t="shared" si="145"/>
        <v>0</v>
      </c>
      <c r="BK339" t="str">
        <f>VLOOKUP(B339,Miljö!$B$1:$O$482,MATCH("Fossil andel i procent (%)",Miljö!$B$1:$O$1,0),FALSE)</f>
        <v>ET</v>
      </c>
      <c r="BL339">
        <f t="shared" si="146"/>
        <v>24.116</v>
      </c>
      <c r="BO339" s="18">
        <f t="shared" si="147"/>
        <v>8.9567092386797151E-3</v>
      </c>
      <c r="BP339" s="18">
        <f t="shared" si="148"/>
        <v>4.9261900812738431E-3</v>
      </c>
      <c r="BQ339" s="18">
        <f t="shared" si="149"/>
        <v>0.98611710068004643</v>
      </c>
      <c r="BR339" s="18">
        <f t="shared" si="150"/>
        <v>0</v>
      </c>
      <c r="BT339" s="27">
        <f t="shared" si="151"/>
        <v>1</v>
      </c>
      <c r="BW339" s="18">
        <f>IF(AP339="ja",VLOOKUP(B339,Miljövärden!$B$2:$H$550,MATCH("Total andel fossilt",Miljövärden!$B$2:$H$2,0),FALSE),"")</f>
        <v>8.9567099999999997E-3</v>
      </c>
      <c r="BZ339" s="28">
        <f t="shared" si="152"/>
        <v>7.6132028459241496E-10</v>
      </c>
      <c r="CA339" s="28">
        <f t="shared" si="153"/>
        <v>0</v>
      </c>
    </row>
    <row r="340" spans="1:79" x14ac:dyDescent="0.25">
      <c r="A340" s="224" t="s">
        <v>654</v>
      </c>
      <c r="B340" s="210" t="s">
        <v>662</v>
      </c>
      <c r="C340" s="121">
        <f>VLOOKUP($B340,'Tillförd energi'!$B$1:$AI$720,MATCH(C$1,'Tillförd energi'!$B$1:$AQ$1,0),FALSE)</f>
        <v>0</v>
      </c>
      <c r="D340" s="121">
        <f>VLOOKUP($B340,'Tillförd energi'!$B$1:$AI$720,MATCH(D$1,'Tillförd energi'!$B$1:$AQ$1,0),FALSE)</f>
        <v>23.627600000000001</v>
      </c>
      <c r="E340" s="121">
        <f>VLOOKUP($B340,'Tillförd energi'!$B$1:$AI$720,MATCH(E$1,'Tillförd energi'!$B$1:$AQ$1,0),FALSE)</f>
        <v>0</v>
      </c>
      <c r="F340" s="121">
        <f>VLOOKUP($B340,'Tillförd energi'!$B$1:$AI$720,MATCH(F$1,'Tillförd energi'!$B$1:$AQ$1,0),FALSE)</f>
        <v>28.5944</v>
      </c>
      <c r="G340" s="121">
        <f>VLOOKUP($B340,'Tillförd energi'!$B$1:$AI$720,MATCH(G$1,'Tillförd energi'!$B$1:$AQ$1,0),FALSE)</f>
        <v>0</v>
      </c>
      <c r="H340" s="121">
        <f>VLOOKUP($B340,'Tillförd energi'!$B$1:$AI$720,MATCH(H$1,'Tillförd energi'!$B$1:$AQ$1,0),FALSE)</f>
        <v>0</v>
      </c>
      <c r="I340" s="121">
        <f>VLOOKUP($B340,'Tillförd energi'!$B$1:$AI$720,MATCH(I$1,'Tillförd energi'!$B$1:$AQ$1,0),FALSE)</f>
        <v>996.47299999999996</v>
      </c>
      <c r="J340" s="121">
        <f>VLOOKUP($B340,'Tillförd energi'!$B$1:$AI$720,MATCH(J$1,'Tillförd energi'!$B$1:$AQ$1,0),FALSE)</f>
        <v>0</v>
      </c>
      <c r="K340" s="121">
        <f>VLOOKUP($B340,'Tillförd energi'!$B$1:$AI$720,MATCH(K$1,'Tillförd energi'!$B$1:$AQ$1,0),FALSE)</f>
        <v>0</v>
      </c>
      <c r="L340" s="121">
        <f>VLOOKUP($B340,'Tillförd energi'!$B$1:$AI$720,MATCH(L$1,'Tillförd energi'!$B$1:$AQ$1,0),FALSE)</f>
        <v>0</v>
      </c>
      <c r="M340" s="121">
        <f>VLOOKUP($B340,'Tillförd energi'!$B$1:$AI$720,MATCH(M$1,'Tillförd energi'!$B$1:$AQ$1,0),FALSE)</f>
        <v>0</v>
      </c>
      <c r="N340" s="121">
        <f>VLOOKUP($B340,'Tillförd energi'!$B$1:$AI$720,MATCH(N$1,'Tillförd energi'!$B$1:$AQ$1,0),FALSE)</f>
        <v>0</v>
      </c>
      <c r="O340" s="121">
        <f>VLOOKUP($B340,'Tillförd energi'!$B$1:$AI$720,MATCH(O$1,'Tillförd energi'!$B$1:$AQ$1,0),FALSE)</f>
        <v>0</v>
      </c>
      <c r="P340" s="121">
        <f>VLOOKUP($B340,'Tillförd energi'!$B$1:$AI$720,MATCH(P$1,'Tillförd energi'!$B$1:$AQ$1,0),FALSE)</f>
        <v>0</v>
      </c>
      <c r="Q340" s="121">
        <f>VLOOKUP($B340,'Tillförd energi'!$B$1:$AI$720,MATCH(Q$1,'Tillförd energi'!$B$1:$AQ$1,0),FALSE)</f>
        <v>0.102233</v>
      </c>
      <c r="R340" s="121">
        <f>VLOOKUP($B340,'Tillförd energi'!$B$1:$AI$720,MATCH(R$1,'Tillförd energi'!$B$1:$AQ$1,0),FALSE)</f>
        <v>53.887799999999999</v>
      </c>
      <c r="S340" s="121">
        <f>VLOOKUP($B340,'Tillförd energi'!$B$1:$AI$720,MATCH(S$1,'Tillförd energi'!$B$1:$AQ$1,0),FALSE)</f>
        <v>0</v>
      </c>
      <c r="T340" s="121">
        <f>VLOOKUP($B340,'Tillförd energi'!$B$1:$AI$720,MATCH(T$1,'Tillförd energi'!$B$1:$AQ$1,0),FALSE)</f>
        <v>0</v>
      </c>
      <c r="U340" s="121">
        <f>VLOOKUP($B340,'Tillförd energi'!$B$1:$AI$720,MATCH(U$1,'Tillförd energi'!$B$1:$AQ$1,0),FALSE)</f>
        <v>0</v>
      </c>
      <c r="V340" s="121">
        <f>VLOOKUP($B340,'Tillförd energi'!$B$1:$AI$720,MATCH(V$1,'Tillförd energi'!$B$1:$AQ$1,0),FALSE)</f>
        <v>0</v>
      </c>
      <c r="W340" s="121">
        <f>VLOOKUP($B340,'Tillförd energi'!$B$1:$AI$720,MATCH(W$1,'Tillförd energi'!$B$1:$AQ$1,0),FALSE)</f>
        <v>54.5</v>
      </c>
      <c r="X340" s="121">
        <f>VLOOKUP($B340,'Tillförd energi'!$B$1:$AI$720,MATCH(X$1,'Tillförd energi'!$B$1:$AQ$1,0),FALSE)</f>
        <v>0</v>
      </c>
      <c r="Y340" s="121">
        <f>VLOOKUP($B340,'Tillförd energi'!$B$1:$AI$720,MATCH(Y$1,'Tillförd energi'!$B$1:$AQ$1,0),FALSE)</f>
        <v>367.07100000000003</v>
      </c>
      <c r="Z340" s="121">
        <f>VLOOKUP($B340,'Tillförd energi'!$B$1:$AI$720,MATCH(Z$1,'Tillförd energi'!$B$1:$AQ$1,0),FALSE)</f>
        <v>28.6</v>
      </c>
      <c r="AA340" s="121">
        <f>VLOOKUP($B340,'Tillförd energi'!$B$1:$AI$720,MATCH(AA$1,'Tillförd energi'!$B$1:$AQ$1,0),FALSE)</f>
        <v>15.2</v>
      </c>
      <c r="AB340" s="121">
        <f>VLOOKUP($B340,'Tillförd energi'!$B$1:$AI$720,MATCH(AB$1,'Tillförd energi'!$B$1:$AQ$1,0),FALSE)</f>
        <v>59.2</v>
      </c>
      <c r="AC340" s="121">
        <f>VLOOKUP($B340,'Tillförd energi'!$B$1:$AI$720,MATCH(AC$1,'Tillförd energi'!$B$1:$AQ$1,0),FALSE)</f>
        <v>139.9</v>
      </c>
      <c r="AD340" s="121">
        <f>VLOOKUP($B340,'Tillförd energi'!$B$1:$AI$720,MATCH(AD$1,'Tillförd energi'!$B$1:$AQ$1,0),FALSE)</f>
        <v>0</v>
      </c>
      <c r="AE340" s="121">
        <f>VLOOKUP($B340,'Tillförd energi'!$B$1:$AI$720,MATCH(AE$1,'Tillförd energi'!$B$1:$AQ$1,0),FALSE)</f>
        <v>0</v>
      </c>
      <c r="AF340" s="121">
        <f>VLOOKUP($B340,'Tillförd energi'!$B$1:$AI$720,MATCH(AF$1,'Tillförd energi'!$B$1:$AQ$1,0),FALSE)</f>
        <v>74.273899999999998</v>
      </c>
      <c r="AG340" s="121">
        <f>IFERROR(VLOOKUP(B340,Miljö!$B$1:$AC$550,MATCH("Köpt mängd produktionsspecifik fjärrvärme:",Miljö!$B$1:$AC$1,0),FALSE)/1,0)</f>
        <v>0</v>
      </c>
      <c r="AH340" s="121"/>
      <c r="AI340" s="121">
        <f t="shared" si="132"/>
        <v>1841.4299330000001</v>
      </c>
      <c r="AJ340" s="121">
        <f t="shared" si="133"/>
        <v>1841.4299330000001</v>
      </c>
      <c r="AK340" s="121">
        <f>IF(ISERROR(1/VLOOKUP($B340,Leveranser!$B$1:$S$499,MATCH("såld värme (gwh)",Leveranser!$B$1:$S$1,0),FALSE)),"",VLOOKUP($B340,Leveranser!$B$1:$S$499,MATCH("såld värme (gwh)",Leveranser!$B$1:$S$1,0),FALSE))</f>
        <v>1419.3689999999999</v>
      </c>
      <c r="AL340" s="121">
        <f>VLOOKUP($B340,Leveranser!$B$1:$Y$499,MATCH("Totalt såld fjärrvärme till andra fjärrvärmeföretag",Leveranser!$B$1:$AA$1,0),FALSE)</f>
        <v>0</v>
      </c>
      <c r="AM340" s="121">
        <f>IF(ISERROR(1/VLOOKUP($B340,Miljö!$B$1:$S$500,MATCH("Såld mängd produktionsspecifik fjärrvärme (GWh)",Miljö!$B$1:$R$1,0),FALSE)),0,VLOOKUP($B340,Miljö!$B$1:$S$500,MATCH("Såld mängd produktionsspecifik fjärrvärme (GWh)",Miljö!$B$1:$R$1,0),FALSE))</f>
        <v>92.14</v>
      </c>
      <c r="AN340" s="172">
        <f t="shared" si="134"/>
        <v>0.77079718025850064</v>
      </c>
      <c r="AO340" s="121"/>
      <c r="AP340" s="121" t="str">
        <f>IFERROR(VLOOKUP($B340,Miljövärden!$B$2:$H$550,7,FALSE),"Nej, saknas")</f>
        <v>Ja</v>
      </c>
      <c r="AQ340" s="121" t="str">
        <f>IFERROR(VLOOKUP($B340,Miljövärden!$B$2:$H$550,6,FALSE),"Nej, saknas")</f>
        <v>Ja</v>
      </c>
      <c r="AU340">
        <f t="shared" si="135"/>
        <v>118.07389999999999</v>
      </c>
      <c r="AV340">
        <f t="shared" si="136"/>
        <v>0</v>
      </c>
      <c r="AW340">
        <f t="shared" si="137"/>
        <v>0.102233</v>
      </c>
      <c r="AX340">
        <f t="shared" si="138"/>
        <v>53.887799999999999</v>
      </c>
      <c r="AZ340">
        <f t="shared" si="139"/>
        <v>108.490033</v>
      </c>
      <c r="BC340">
        <f t="shared" si="140"/>
        <v>52.222000000000001</v>
      </c>
      <c r="BD340">
        <f t="shared" si="141"/>
        <v>367.07100000000003</v>
      </c>
      <c r="BE340">
        <f t="shared" si="142"/>
        <v>108.490033</v>
      </c>
      <c r="BF340">
        <f t="shared" si="143"/>
        <v>1195.5730000000001</v>
      </c>
      <c r="BG340">
        <f t="shared" si="144"/>
        <v>118.07389999999999</v>
      </c>
      <c r="BH340">
        <f>VLOOKUP(B340,Miljö!$B$1:$BX$482,MATCH("Fossilandel för ursprungspecificerad el ()",Miljö!$B$1:$I$1,0),FALSE)</f>
        <v>0</v>
      </c>
      <c r="BI340">
        <f>VLOOKUP(B340,Miljö!$B$1:$BX$482,MATCH("Kärnkraftsandel för ursprungsspecificerad el ()",Miljö!$B$1:$O$1,0),FALSE)</f>
        <v>0.59399999999999997</v>
      </c>
      <c r="BJ340">
        <f t="shared" si="145"/>
        <v>0</v>
      </c>
      <c r="BK340" t="str">
        <f>VLOOKUP(B340,Miljö!$B$1:$O$482,MATCH("Fossil andel i procent (%)",Miljö!$B$1:$O$1,0),FALSE)</f>
        <v>ET</v>
      </c>
      <c r="BL340">
        <f t="shared" si="146"/>
        <v>1841.4299330000001</v>
      </c>
      <c r="BO340" s="18">
        <f t="shared" si="147"/>
        <v>2.8359482521782161E-2</v>
      </c>
      <c r="BP340" s="18">
        <f t="shared" si="148"/>
        <v>0.23742792965666429</v>
      </c>
      <c r="BQ340" s="18">
        <f t="shared" si="149"/>
        <v>8.4949219949494531E-2</v>
      </c>
      <c r="BR340" s="18">
        <f t="shared" si="150"/>
        <v>0.64926336787205907</v>
      </c>
      <c r="BT340" s="27">
        <f t="shared" si="151"/>
        <v>1</v>
      </c>
      <c r="BW340" s="18">
        <f>IF(AP340="ja",VLOOKUP(B340,Miljövärden!$B$2:$H$550,MATCH("Total andel fossilt",Miljövärden!$B$2:$H$2,0),FALSE),"")</f>
        <v>2.9853299999999999E-2</v>
      </c>
      <c r="BZ340" s="28">
        <f t="shared" si="152"/>
        <v>1.4938174782178383E-3</v>
      </c>
      <c r="CA340" s="28">
        <f t="shared" si="153"/>
        <v>1.9999999999999983E-3</v>
      </c>
    </row>
    <row r="341" spans="1:79" x14ac:dyDescent="0.25">
      <c r="A341" s="224" t="s">
        <v>654</v>
      </c>
      <c r="B341" s="210" t="s">
        <v>663</v>
      </c>
      <c r="C341" s="121">
        <f>VLOOKUP($B341,'Tillförd energi'!$B$1:$AI$720,MATCH(C$1,'Tillförd energi'!$B$1:$AQ$1,0),FALSE)</f>
        <v>0</v>
      </c>
      <c r="D341" s="121">
        <f>VLOOKUP($B341,'Tillförd energi'!$B$1:$AI$720,MATCH(D$1,'Tillförd energi'!$B$1:$AQ$1,0),FALSE)</f>
        <v>0.1</v>
      </c>
      <c r="E341" s="121">
        <f>VLOOKUP($B341,'Tillförd energi'!$B$1:$AI$720,MATCH(E$1,'Tillförd energi'!$B$1:$AQ$1,0),FALSE)</f>
        <v>0</v>
      </c>
      <c r="F341" s="121">
        <f>VLOOKUP($B341,'Tillförd energi'!$B$1:$AI$720,MATCH(F$1,'Tillförd energi'!$B$1:$AQ$1,0),FALSE)</f>
        <v>0</v>
      </c>
      <c r="G341" s="121">
        <f>VLOOKUP($B341,'Tillförd energi'!$B$1:$AI$720,MATCH(G$1,'Tillförd energi'!$B$1:$AQ$1,0),FALSE)</f>
        <v>0</v>
      </c>
      <c r="H341" s="121">
        <f>VLOOKUP($B341,'Tillförd energi'!$B$1:$AI$720,MATCH(H$1,'Tillförd energi'!$B$1:$AQ$1,0),FALSE)</f>
        <v>0</v>
      </c>
      <c r="I341" s="121">
        <f>VLOOKUP($B341,'Tillförd energi'!$B$1:$AI$720,MATCH(I$1,'Tillförd energi'!$B$1:$AQ$1,0),FALSE)</f>
        <v>0</v>
      </c>
      <c r="J341" s="121">
        <f>VLOOKUP($B341,'Tillförd energi'!$B$1:$AI$720,MATCH(J$1,'Tillförd energi'!$B$1:$AQ$1,0),FALSE)</f>
        <v>0</v>
      </c>
      <c r="K341" s="121">
        <f>VLOOKUP($B341,'Tillförd energi'!$B$1:$AI$720,MATCH(K$1,'Tillförd energi'!$B$1:$AQ$1,0),FALSE)</f>
        <v>0</v>
      </c>
      <c r="L341" s="121">
        <f>VLOOKUP($B341,'Tillförd energi'!$B$1:$AI$720,MATCH(L$1,'Tillförd energi'!$B$1:$AQ$1,0),FALSE)</f>
        <v>0</v>
      </c>
      <c r="M341" s="121">
        <f>VLOOKUP($B341,'Tillförd energi'!$B$1:$AI$720,MATCH(M$1,'Tillförd energi'!$B$1:$AQ$1,0),FALSE)</f>
        <v>0</v>
      </c>
      <c r="N341" s="121">
        <f>VLOOKUP($B341,'Tillförd energi'!$B$1:$AI$720,MATCH(N$1,'Tillförd energi'!$B$1:$AQ$1,0),FALSE)</f>
        <v>0</v>
      </c>
      <c r="O341" s="121">
        <f>VLOOKUP($B341,'Tillförd energi'!$B$1:$AI$720,MATCH(O$1,'Tillförd energi'!$B$1:$AQ$1,0),FALSE)</f>
        <v>0</v>
      </c>
      <c r="P341" s="121">
        <f>VLOOKUP($B341,'Tillförd energi'!$B$1:$AI$720,MATCH(P$1,'Tillförd energi'!$B$1:$AQ$1,0),FALSE)</f>
        <v>0</v>
      </c>
      <c r="Q341" s="121">
        <f>VLOOKUP($B341,'Tillförd energi'!$B$1:$AI$720,MATCH(Q$1,'Tillförd energi'!$B$1:$AQ$1,0),FALSE)</f>
        <v>0</v>
      </c>
      <c r="R341" s="121">
        <f>VLOOKUP($B341,'Tillförd energi'!$B$1:$AI$720,MATCH(R$1,'Tillförd energi'!$B$1:$AQ$1,0),FALSE)</f>
        <v>0</v>
      </c>
      <c r="S341" s="121">
        <f>VLOOKUP($B341,'Tillförd energi'!$B$1:$AI$720,MATCH(S$1,'Tillförd energi'!$B$1:$AQ$1,0),FALSE)</f>
        <v>0</v>
      </c>
      <c r="T341" s="121">
        <f>VLOOKUP($B341,'Tillförd energi'!$B$1:$AI$720,MATCH(T$1,'Tillförd energi'!$B$1:$AQ$1,0),FALSE)</f>
        <v>0</v>
      </c>
      <c r="U341" s="121">
        <f>VLOOKUP($B341,'Tillförd energi'!$B$1:$AI$720,MATCH(U$1,'Tillförd energi'!$B$1:$AQ$1,0),FALSE)</f>
        <v>0</v>
      </c>
      <c r="V341" s="121">
        <f>VLOOKUP($B341,'Tillförd energi'!$B$1:$AI$720,MATCH(V$1,'Tillförd energi'!$B$1:$AQ$1,0),FALSE)</f>
        <v>0</v>
      </c>
      <c r="W341" s="121">
        <f>VLOOKUP($B341,'Tillförd energi'!$B$1:$AI$720,MATCH(W$1,'Tillförd energi'!$B$1:$AQ$1,0),FALSE)</f>
        <v>28.6</v>
      </c>
      <c r="X341" s="121">
        <f>VLOOKUP($B341,'Tillförd energi'!$B$1:$AI$720,MATCH(X$1,'Tillförd energi'!$B$1:$AQ$1,0),FALSE)</f>
        <v>0</v>
      </c>
      <c r="Y341" s="121">
        <f>VLOOKUP($B341,'Tillförd energi'!$B$1:$AI$720,MATCH(Y$1,'Tillförd energi'!$B$1:$AQ$1,0),FALSE)</f>
        <v>0</v>
      </c>
      <c r="Z341" s="121">
        <f>VLOOKUP($B341,'Tillförd energi'!$B$1:$AI$720,MATCH(Z$1,'Tillförd energi'!$B$1:$AQ$1,0),FALSE)</f>
        <v>0</v>
      </c>
      <c r="AA341" s="121">
        <f>VLOOKUP($B341,'Tillförd energi'!$B$1:$AI$720,MATCH(AA$1,'Tillförd energi'!$B$1:$AQ$1,0),FALSE)</f>
        <v>0</v>
      </c>
      <c r="AB341" s="121">
        <f>VLOOKUP($B341,'Tillförd energi'!$B$1:$AI$720,MATCH(AB$1,'Tillförd energi'!$B$1:$AQ$1,0),FALSE)</f>
        <v>0</v>
      </c>
      <c r="AC341" s="121">
        <f>VLOOKUP($B341,'Tillförd energi'!$B$1:$AI$720,MATCH(AC$1,'Tillförd energi'!$B$1:$AQ$1,0),FALSE)</f>
        <v>0</v>
      </c>
      <c r="AD341" s="121">
        <f>VLOOKUP($B341,'Tillförd energi'!$B$1:$AI$720,MATCH(AD$1,'Tillförd energi'!$B$1:$AQ$1,0),FALSE)</f>
        <v>124.8</v>
      </c>
      <c r="AE341" s="121">
        <f>VLOOKUP($B341,'Tillförd energi'!$B$1:$AI$720,MATCH(AE$1,'Tillförd energi'!$B$1:$AQ$1,0),FALSE)</f>
        <v>0</v>
      </c>
      <c r="AF341" s="121">
        <f>VLOOKUP($B341,'Tillförd energi'!$B$1:$AI$720,MATCH(AF$1,'Tillförd energi'!$B$1:$AQ$1,0),FALSE)</f>
        <v>1.1000000000000001</v>
      </c>
      <c r="AG341" s="121">
        <f>IFERROR(VLOOKUP(B341,Miljö!$B$1:$AC$550,MATCH("Köpt mängd produktionsspecifik fjärrvärme:",Miljö!$B$1:$AC$1,0),FALSE)/1,0)</f>
        <v>0</v>
      </c>
      <c r="AH341" s="121"/>
      <c r="AI341" s="121">
        <f t="shared" si="132"/>
        <v>154.6</v>
      </c>
      <c r="AJ341" s="121">
        <f t="shared" si="133"/>
        <v>154.6</v>
      </c>
      <c r="AK341" s="121">
        <f>IF(ISERROR(1/VLOOKUP($B341,Leveranser!$B$1:$S$499,MATCH("såld värme (gwh)",Leveranser!$B$1:$S$1,0),FALSE)),"",VLOOKUP($B341,Leveranser!$B$1:$S$499,MATCH("såld värme (gwh)",Leveranser!$B$1:$S$1,0),FALSE))</f>
        <v>135.69</v>
      </c>
      <c r="AL341" s="121">
        <f>VLOOKUP($B341,Leveranser!$B$1:$Y$499,MATCH("Totalt såld fjärrvärme till andra fjärrvärmeföretag",Leveranser!$B$1:$AA$1,0),FALSE)</f>
        <v>0</v>
      </c>
      <c r="AM341" s="121">
        <f>IF(ISERROR(1/VLOOKUP($B341,Miljö!$B$1:$S$500,MATCH("Såld mängd produktionsspecifik fjärrvärme (GWh)",Miljö!$B$1:$R$1,0),FALSE)),0,VLOOKUP($B341,Miljö!$B$1:$S$500,MATCH("Såld mängd produktionsspecifik fjärrvärme (GWh)",Miljö!$B$1:$R$1,0),FALSE))</f>
        <v>0</v>
      </c>
      <c r="AN341" s="172">
        <f t="shared" si="134"/>
        <v>0.87768434670116435</v>
      </c>
      <c r="AO341" s="121"/>
      <c r="AP341" s="121" t="str">
        <f>IFERROR(VLOOKUP($B341,Miljövärden!$B$2:$H$550,7,FALSE),"Nej, saknas")</f>
        <v>Ja</v>
      </c>
      <c r="AQ341" s="121" t="str">
        <f>IFERROR(VLOOKUP($B341,Miljövärden!$B$2:$H$550,6,FALSE),"Nej, saknas")</f>
        <v>Ja</v>
      </c>
      <c r="AU341">
        <f t="shared" si="135"/>
        <v>1.1000000000000001</v>
      </c>
      <c r="AV341">
        <f t="shared" si="136"/>
        <v>0</v>
      </c>
      <c r="AW341">
        <f t="shared" si="137"/>
        <v>0</v>
      </c>
      <c r="AX341">
        <f t="shared" si="138"/>
        <v>0</v>
      </c>
      <c r="AZ341">
        <f t="shared" si="139"/>
        <v>28.6</v>
      </c>
      <c r="BC341">
        <f t="shared" si="140"/>
        <v>0.1</v>
      </c>
      <c r="BD341">
        <f t="shared" si="141"/>
        <v>0</v>
      </c>
      <c r="BE341">
        <f t="shared" si="142"/>
        <v>28.6</v>
      </c>
      <c r="BF341">
        <f t="shared" si="143"/>
        <v>124.8</v>
      </c>
      <c r="BG341">
        <f t="shared" si="144"/>
        <v>1.1000000000000001</v>
      </c>
      <c r="BH341">
        <f>VLOOKUP(B341,Miljö!$B$1:$BX$482,MATCH("Fossilandel för ursprungspecificerad el ()",Miljö!$B$1:$I$1,0),FALSE)</f>
        <v>0</v>
      </c>
      <c r="BI341">
        <f>VLOOKUP(B341,Miljö!$B$1:$BX$482,MATCH("Kärnkraftsandel för ursprungsspecificerad el ()",Miljö!$B$1:$O$1,0),FALSE)</f>
        <v>0.59399999999999997</v>
      </c>
      <c r="BJ341">
        <f t="shared" si="145"/>
        <v>0</v>
      </c>
      <c r="BK341" t="str">
        <f>VLOOKUP(B341,Miljö!$B$1:$O$482,MATCH("Fossil andel i procent (%)",Miljö!$B$1:$O$1,0),FALSE)</f>
        <v>ET</v>
      </c>
      <c r="BL341">
        <f t="shared" si="146"/>
        <v>154.6</v>
      </c>
      <c r="BO341" s="18">
        <f t="shared" si="147"/>
        <v>6.4683053040103498E-4</v>
      </c>
      <c r="BP341" s="18">
        <f t="shared" si="148"/>
        <v>4.2263906856403622E-3</v>
      </c>
      <c r="BQ341" s="18">
        <f t="shared" si="149"/>
        <v>0.18788227684346703</v>
      </c>
      <c r="BR341" s="18">
        <f t="shared" si="150"/>
        <v>0.80724450194049158</v>
      </c>
      <c r="BT341" s="27">
        <f t="shared" si="151"/>
        <v>1</v>
      </c>
      <c r="BW341" s="18">
        <f>IF(AP341="ja",VLOOKUP(B341,Miljövärden!$B$2:$H$550,MATCH("Total andel fossilt",Miljövärden!$B$2:$H$2,0),FALSE),"")</f>
        <v>6.4683099999999995E-4</v>
      </c>
      <c r="BZ341" s="28">
        <f t="shared" si="152"/>
        <v>4.695989649656368E-10</v>
      </c>
      <c r="CA341" s="28">
        <f t="shared" si="153"/>
        <v>0</v>
      </c>
    </row>
    <row r="342" spans="1:79" x14ac:dyDescent="0.25">
      <c r="A342" s="224" t="s">
        <v>7</v>
      </c>
      <c r="B342" s="210" t="s">
        <v>664</v>
      </c>
      <c r="C342" s="121">
        <f>VLOOKUP($B342,'Tillförd energi'!$B$1:$AI$720,MATCH(C$1,'Tillförd energi'!$B$1:$AQ$1,0),FALSE)</f>
        <v>0</v>
      </c>
      <c r="D342" s="121">
        <f>VLOOKUP($B342,'Tillförd energi'!$B$1:$AI$720,MATCH(D$1,'Tillförd energi'!$B$1:$AQ$1,0),FALSE)</f>
        <v>0.62</v>
      </c>
      <c r="E342" s="121">
        <f>VLOOKUP($B342,'Tillförd energi'!$B$1:$AI$720,MATCH(E$1,'Tillförd energi'!$B$1:$AQ$1,0),FALSE)</f>
        <v>0</v>
      </c>
      <c r="F342" s="121">
        <f>VLOOKUP($B342,'Tillförd energi'!$B$1:$AI$720,MATCH(F$1,'Tillförd energi'!$B$1:$AQ$1,0),FALSE)</f>
        <v>0</v>
      </c>
      <c r="G342" s="121">
        <f>VLOOKUP($B342,'Tillförd energi'!$B$1:$AI$720,MATCH(G$1,'Tillförd energi'!$B$1:$AQ$1,0),FALSE)</f>
        <v>0</v>
      </c>
      <c r="H342" s="121">
        <f>VLOOKUP($B342,'Tillförd energi'!$B$1:$AI$720,MATCH(H$1,'Tillförd energi'!$B$1:$AQ$1,0),FALSE)</f>
        <v>0</v>
      </c>
      <c r="I342" s="121">
        <f>VLOOKUP($B342,'Tillförd energi'!$B$1:$AI$720,MATCH(I$1,'Tillförd energi'!$B$1:$AQ$1,0),FALSE)</f>
        <v>0</v>
      </c>
      <c r="J342" s="121">
        <f>VLOOKUP($B342,'Tillförd energi'!$B$1:$AI$720,MATCH(J$1,'Tillförd energi'!$B$1:$AQ$1,0),FALSE)</f>
        <v>0</v>
      </c>
      <c r="K342" s="121">
        <f>VLOOKUP($B342,'Tillförd energi'!$B$1:$AI$720,MATCH(K$1,'Tillförd energi'!$B$1:$AQ$1,0),FALSE)</f>
        <v>0</v>
      </c>
      <c r="L342" s="121">
        <f>VLOOKUP($B342,'Tillförd energi'!$B$1:$AI$720,MATCH(L$1,'Tillförd energi'!$B$1:$AQ$1,0),FALSE)</f>
        <v>0</v>
      </c>
      <c r="M342" s="121">
        <f>VLOOKUP($B342,'Tillförd energi'!$B$1:$AI$720,MATCH(M$1,'Tillförd energi'!$B$1:$AQ$1,0),FALSE)</f>
        <v>0</v>
      </c>
      <c r="N342" s="121">
        <f>VLOOKUP($B342,'Tillförd energi'!$B$1:$AI$720,MATCH(N$1,'Tillförd energi'!$B$1:$AQ$1,0),FALSE)</f>
        <v>0</v>
      </c>
      <c r="O342" s="121">
        <f>VLOOKUP($B342,'Tillförd energi'!$B$1:$AI$720,MATCH(O$1,'Tillförd energi'!$B$1:$AQ$1,0),FALSE)</f>
        <v>0</v>
      </c>
      <c r="P342" s="121">
        <f>VLOOKUP($B342,'Tillförd energi'!$B$1:$AI$720,MATCH(P$1,'Tillförd energi'!$B$1:$AQ$1,0),FALSE)</f>
        <v>0</v>
      </c>
      <c r="Q342" s="121">
        <f>VLOOKUP($B342,'Tillförd energi'!$B$1:$AI$720,MATCH(Q$1,'Tillförd energi'!$B$1:$AQ$1,0),FALSE)</f>
        <v>0</v>
      </c>
      <c r="R342" s="121">
        <f>VLOOKUP($B342,'Tillförd energi'!$B$1:$AI$720,MATCH(R$1,'Tillförd energi'!$B$1:$AQ$1,0),FALSE)</f>
        <v>7.44</v>
      </c>
      <c r="S342" s="121">
        <f>VLOOKUP($B342,'Tillförd energi'!$B$1:$AI$720,MATCH(S$1,'Tillförd energi'!$B$1:$AQ$1,0),FALSE)</f>
        <v>0</v>
      </c>
      <c r="T342" s="121">
        <f>VLOOKUP($B342,'Tillförd energi'!$B$1:$AI$720,MATCH(T$1,'Tillförd energi'!$B$1:$AQ$1,0),FALSE)</f>
        <v>0</v>
      </c>
      <c r="U342" s="121">
        <f>VLOOKUP($B342,'Tillförd energi'!$B$1:$AI$720,MATCH(U$1,'Tillförd energi'!$B$1:$AQ$1,0),FALSE)</f>
        <v>0</v>
      </c>
      <c r="V342" s="121">
        <f>VLOOKUP($B342,'Tillförd energi'!$B$1:$AI$720,MATCH(V$1,'Tillförd energi'!$B$1:$AQ$1,0),FALSE)</f>
        <v>0</v>
      </c>
      <c r="W342" s="121">
        <f>VLOOKUP($B342,'Tillförd energi'!$B$1:$AI$720,MATCH(W$1,'Tillförd energi'!$B$1:$AQ$1,0),FALSE)</f>
        <v>0</v>
      </c>
      <c r="X342" s="121">
        <f>VLOOKUP($B342,'Tillförd energi'!$B$1:$AI$720,MATCH(X$1,'Tillförd energi'!$B$1:$AQ$1,0),FALSE)</f>
        <v>0</v>
      </c>
      <c r="Y342" s="121">
        <f>VLOOKUP($B342,'Tillförd energi'!$B$1:$AI$720,MATCH(Y$1,'Tillförd energi'!$B$1:$AQ$1,0),FALSE)</f>
        <v>0</v>
      </c>
      <c r="Z342" s="121">
        <f>VLOOKUP($B342,'Tillförd energi'!$B$1:$AI$720,MATCH(Z$1,'Tillförd energi'!$B$1:$AQ$1,0),FALSE)</f>
        <v>0</v>
      </c>
      <c r="AA342" s="121">
        <f>VLOOKUP($B342,'Tillförd energi'!$B$1:$AI$720,MATCH(AA$1,'Tillförd energi'!$B$1:$AQ$1,0),FALSE)</f>
        <v>0</v>
      </c>
      <c r="AB342" s="121">
        <f>VLOOKUP($B342,'Tillförd energi'!$B$1:$AI$720,MATCH(AB$1,'Tillförd energi'!$B$1:$AQ$1,0),FALSE)</f>
        <v>0</v>
      </c>
      <c r="AC342" s="121">
        <f>VLOOKUP($B342,'Tillförd energi'!$B$1:$AI$720,MATCH(AC$1,'Tillförd energi'!$B$1:$AQ$1,0),FALSE)</f>
        <v>0</v>
      </c>
      <c r="AD342" s="121">
        <f>VLOOKUP($B342,'Tillförd energi'!$B$1:$AI$720,MATCH(AD$1,'Tillförd energi'!$B$1:$AQ$1,0),FALSE)</f>
        <v>0</v>
      </c>
      <c r="AE342" s="121">
        <f>VLOOKUP($B342,'Tillförd energi'!$B$1:$AI$720,MATCH(AE$1,'Tillförd energi'!$B$1:$AQ$1,0),FALSE)</f>
        <v>0</v>
      </c>
      <c r="AF342" s="121">
        <f>VLOOKUP($B342,'Tillförd energi'!$B$1:$AI$720,MATCH(AF$1,'Tillförd energi'!$B$1:$AQ$1,0),FALSE)</f>
        <v>0.1</v>
      </c>
      <c r="AG342" s="121">
        <f>IFERROR(VLOOKUP(B342,Miljö!$B$1:$AC$550,MATCH("Köpt mängd produktionsspecifik fjärrvärme:",Miljö!$B$1:$AC$1,0),FALSE)/1,0)</f>
        <v>0</v>
      </c>
      <c r="AH342" s="121"/>
      <c r="AI342" s="121">
        <f t="shared" si="132"/>
        <v>8.16</v>
      </c>
      <c r="AJ342" s="121">
        <f t="shared" si="133"/>
        <v>8.16</v>
      </c>
      <c r="AK342" s="121">
        <f>IF(ISERROR(1/VLOOKUP($B342,Leveranser!$B$1:$S$499,MATCH("såld värme (gwh)",Leveranser!$B$1:$S$1,0),FALSE)),"",VLOOKUP($B342,Leveranser!$B$1:$S$499,MATCH("såld värme (gwh)",Leveranser!$B$1:$S$1,0),FALSE))</f>
        <v>5.5</v>
      </c>
      <c r="AL342" s="121">
        <f>VLOOKUP($B342,Leveranser!$B$1:$Y$499,MATCH("Totalt såld fjärrvärme till andra fjärrvärmeföretag",Leveranser!$B$1:$AA$1,0),FALSE)</f>
        <v>0</v>
      </c>
      <c r="AM342" s="121">
        <f>IF(ISERROR(1/VLOOKUP($B342,Miljö!$B$1:$S$500,MATCH("Såld mängd produktionsspecifik fjärrvärme (GWh)",Miljö!$B$1:$R$1,0),FALSE)),0,VLOOKUP($B342,Miljö!$B$1:$S$500,MATCH("Såld mängd produktionsspecifik fjärrvärme (GWh)",Miljö!$B$1:$R$1,0),FALSE))</f>
        <v>0</v>
      </c>
      <c r="AN342" s="172">
        <f t="shared" si="134"/>
        <v>0.67401960784313719</v>
      </c>
      <c r="AO342" s="121"/>
      <c r="AP342" s="121" t="str">
        <f>IFERROR(VLOOKUP($B342,Miljövärden!$B$2:$H$550,7,FALSE),"Nej, saknas")</f>
        <v>Ja</v>
      </c>
      <c r="AQ342" s="121" t="str">
        <f>IFERROR(VLOOKUP($B342,Miljövärden!$B$2:$H$550,6,FALSE),"Nej, saknas")</f>
        <v>Nej</v>
      </c>
      <c r="AU342">
        <f t="shared" si="135"/>
        <v>0.1</v>
      </c>
      <c r="AV342">
        <f t="shared" si="136"/>
        <v>0</v>
      </c>
      <c r="AW342">
        <f t="shared" si="137"/>
        <v>0</v>
      </c>
      <c r="AX342">
        <f t="shared" si="138"/>
        <v>7.44</v>
      </c>
      <c r="AZ342">
        <f t="shared" si="139"/>
        <v>7.44</v>
      </c>
      <c r="BC342">
        <f t="shared" si="140"/>
        <v>0.62</v>
      </c>
      <c r="BD342">
        <f t="shared" si="141"/>
        <v>0</v>
      </c>
      <c r="BE342">
        <f t="shared" si="142"/>
        <v>7.44</v>
      </c>
      <c r="BF342">
        <f t="shared" si="143"/>
        <v>0</v>
      </c>
      <c r="BG342">
        <f t="shared" si="144"/>
        <v>0.1</v>
      </c>
      <c r="BH342">
        <f>VLOOKUP(B342,Miljö!$B$1:$BX$482,MATCH("Fossilandel för ursprungspecificerad el ()",Miljö!$B$1:$I$1,0),FALSE)</f>
        <v>0.43</v>
      </c>
      <c r="BI342">
        <f>VLOOKUP(B342,Miljö!$B$1:$BX$482,MATCH("Kärnkraftsandel för ursprungsspecificerad el ()",Miljö!$B$1:$O$1,0),FALSE)</f>
        <v>0.40550000000000003</v>
      </c>
      <c r="BJ342">
        <f t="shared" si="145"/>
        <v>0</v>
      </c>
      <c r="BK342" t="str">
        <f>VLOOKUP(B342,Miljö!$B$1:$O$482,MATCH("Fossil andel i procent (%)",Miljö!$B$1:$O$1,0),FALSE)</f>
        <v>ET</v>
      </c>
      <c r="BL342">
        <f t="shared" si="146"/>
        <v>8.16</v>
      </c>
      <c r="BO342" s="18">
        <f t="shared" si="147"/>
        <v>8.1250000000000003E-2</v>
      </c>
      <c r="BP342" s="18">
        <f t="shared" si="148"/>
        <v>4.9693627450980394E-3</v>
      </c>
      <c r="BQ342" s="18">
        <f t="shared" si="149"/>
        <v>0.913780637254902</v>
      </c>
      <c r="BR342" s="18">
        <f t="shared" si="150"/>
        <v>0</v>
      </c>
      <c r="BT342" s="27">
        <f t="shared" si="151"/>
        <v>1</v>
      </c>
      <c r="BW342" s="18">
        <f>IF(AP342="ja",VLOOKUP(B342,Miljövärden!$B$2:$H$550,MATCH("Total andel fossilt",Miljövärden!$B$2:$H$2,0),FALSE),"")</f>
        <v>8.1250000000000003E-2</v>
      </c>
      <c r="BZ342" s="28">
        <f t="shared" si="152"/>
        <v>0</v>
      </c>
      <c r="CA342" s="28">
        <f t="shared" si="153"/>
        <v>0</v>
      </c>
    </row>
    <row r="343" spans="1:79" x14ac:dyDescent="0.25">
      <c r="A343" s="224" t="s">
        <v>7</v>
      </c>
      <c r="B343" s="137" t="s">
        <v>8</v>
      </c>
      <c r="C343" s="121">
        <f>VLOOKUP($B343,'Tillförd energi'!$B$1:$AI$720,MATCH(C$1,'Tillförd energi'!$B$1:$AQ$1,0),FALSE)</f>
        <v>0</v>
      </c>
      <c r="D343" s="121">
        <f>VLOOKUP($B343,'Tillförd energi'!$B$1:$AI$720,MATCH(D$1,'Tillförd energi'!$B$1:$AQ$1,0),FALSE)</f>
        <v>0</v>
      </c>
      <c r="E343" s="121">
        <f>VLOOKUP($B343,'Tillförd energi'!$B$1:$AI$720,MATCH(E$1,'Tillförd energi'!$B$1:$AQ$1,0),FALSE)</f>
        <v>0</v>
      </c>
      <c r="F343" s="121">
        <f>VLOOKUP($B343,'Tillförd energi'!$B$1:$AI$720,MATCH(F$1,'Tillförd energi'!$B$1:$AQ$1,0),FALSE)</f>
        <v>0</v>
      </c>
      <c r="G343" s="121">
        <f>VLOOKUP($B343,'Tillförd energi'!$B$1:$AI$720,MATCH(G$1,'Tillförd energi'!$B$1:$AQ$1,0),FALSE)</f>
        <v>0</v>
      </c>
      <c r="H343" s="121">
        <f>VLOOKUP($B343,'Tillförd energi'!$B$1:$AI$720,MATCH(H$1,'Tillförd energi'!$B$1:$AQ$1,0),FALSE)</f>
        <v>0</v>
      </c>
      <c r="I343" s="121">
        <f>VLOOKUP($B343,'Tillförd energi'!$B$1:$AI$720,MATCH(I$1,'Tillförd energi'!$B$1:$AQ$1,0),FALSE)</f>
        <v>0</v>
      </c>
      <c r="J343" s="121">
        <f>VLOOKUP($B343,'Tillförd energi'!$B$1:$AI$720,MATCH(J$1,'Tillförd energi'!$B$1:$AQ$1,0),FALSE)</f>
        <v>0</v>
      </c>
      <c r="K343" s="121">
        <f>VLOOKUP($B343,'Tillförd energi'!$B$1:$AI$720,MATCH(K$1,'Tillförd energi'!$B$1:$AQ$1,0),FALSE)</f>
        <v>0</v>
      </c>
      <c r="L343" s="121">
        <f>VLOOKUP($B343,'Tillförd energi'!$B$1:$AI$720,MATCH(L$1,'Tillförd energi'!$B$1:$AQ$1,0),FALSE)</f>
        <v>0</v>
      </c>
      <c r="M343" s="121">
        <f>VLOOKUP($B343,'Tillförd energi'!$B$1:$AI$720,MATCH(M$1,'Tillförd energi'!$B$1:$AQ$1,0),FALSE)</f>
        <v>0</v>
      </c>
      <c r="N343" s="121">
        <f>VLOOKUP($B343,'Tillförd energi'!$B$1:$AI$720,MATCH(N$1,'Tillförd energi'!$B$1:$AQ$1,0),FALSE)</f>
        <v>0</v>
      </c>
      <c r="O343" s="121">
        <f>VLOOKUP($B343,'Tillförd energi'!$B$1:$AI$720,MATCH(O$1,'Tillförd energi'!$B$1:$AQ$1,0),FALSE)</f>
        <v>0</v>
      </c>
      <c r="P343" s="121">
        <f>VLOOKUP($B343,'Tillförd energi'!$B$1:$AI$720,MATCH(P$1,'Tillförd energi'!$B$1:$AQ$1,0),FALSE)</f>
        <v>0</v>
      </c>
      <c r="Q343" s="121">
        <f>VLOOKUP($B343,'Tillförd energi'!$B$1:$AI$720,MATCH(Q$1,'Tillförd energi'!$B$1:$AQ$1,0),FALSE)</f>
        <v>0</v>
      </c>
      <c r="R343" s="121">
        <f>VLOOKUP($B343,'Tillförd energi'!$B$1:$AI$720,MATCH(R$1,'Tillförd energi'!$B$1:$AQ$1,0),FALSE)</f>
        <v>0</v>
      </c>
      <c r="S343" s="121">
        <f>VLOOKUP($B343,'Tillförd energi'!$B$1:$AI$720,MATCH(S$1,'Tillförd energi'!$B$1:$AQ$1,0),FALSE)</f>
        <v>0</v>
      </c>
      <c r="T343" s="121">
        <f>VLOOKUP($B343,'Tillförd energi'!$B$1:$AI$720,MATCH(T$1,'Tillförd energi'!$B$1:$AQ$1,0),FALSE)</f>
        <v>0</v>
      </c>
      <c r="U343" s="121">
        <f>VLOOKUP($B343,'Tillförd energi'!$B$1:$AI$720,MATCH(U$1,'Tillförd energi'!$B$1:$AQ$1,0),FALSE)</f>
        <v>0</v>
      </c>
      <c r="V343" s="121">
        <f>VLOOKUP($B343,'Tillförd energi'!$B$1:$AI$720,MATCH(V$1,'Tillförd energi'!$B$1:$AQ$1,0),FALSE)</f>
        <v>0</v>
      </c>
      <c r="W343" s="121">
        <f>VLOOKUP($B343,'Tillförd energi'!$B$1:$AI$720,MATCH(W$1,'Tillförd energi'!$B$1:$AQ$1,0),FALSE)</f>
        <v>0</v>
      </c>
      <c r="X343" s="121">
        <f>VLOOKUP($B343,'Tillförd energi'!$B$1:$AI$720,MATCH(X$1,'Tillförd energi'!$B$1:$AQ$1,0),FALSE)</f>
        <v>0</v>
      </c>
      <c r="Y343" s="121">
        <f>VLOOKUP($B343,'Tillförd energi'!$B$1:$AI$720,MATCH(Y$1,'Tillförd energi'!$B$1:$AQ$1,0),FALSE)</f>
        <v>0</v>
      </c>
      <c r="Z343" s="121">
        <f>VLOOKUP($B343,'Tillförd energi'!$B$1:$AI$720,MATCH(Z$1,'Tillförd energi'!$B$1:$AQ$1,0),FALSE)</f>
        <v>0</v>
      </c>
      <c r="AA343" s="121">
        <f>VLOOKUP($B343,'Tillförd energi'!$B$1:$AI$720,MATCH(AA$1,'Tillförd energi'!$B$1:$AQ$1,0),FALSE)</f>
        <v>0</v>
      </c>
      <c r="AB343" s="121">
        <f>VLOOKUP($B343,'Tillförd energi'!$B$1:$AI$720,MATCH(AB$1,'Tillförd energi'!$B$1:$AQ$1,0),FALSE)</f>
        <v>0</v>
      </c>
      <c r="AC343" s="121">
        <f>VLOOKUP($B343,'Tillförd energi'!$B$1:$AI$720,MATCH(AC$1,'Tillförd energi'!$B$1:$AQ$1,0),FALSE)</f>
        <v>0</v>
      </c>
      <c r="AD343" s="121">
        <f>VLOOKUP($B343,'Tillförd energi'!$B$1:$AI$720,MATCH(AD$1,'Tillförd energi'!$B$1:$AQ$1,0),FALSE)</f>
        <v>0</v>
      </c>
      <c r="AE343" s="121">
        <f>VLOOKUP($B343,'Tillförd energi'!$B$1:$AI$720,MATCH(AE$1,'Tillförd energi'!$B$1:$AQ$1,0),FALSE)</f>
        <v>0</v>
      </c>
      <c r="AF343" s="121">
        <f>VLOOKUP($B343,'Tillförd energi'!$B$1:$AI$720,MATCH(AF$1,'Tillförd energi'!$B$1:$AQ$1,0),FALSE)</f>
        <v>9.9000000000000005E-2</v>
      </c>
      <c r="AG343" s="121">
        <f>IFERROR(VLOOKUP(B343,Miljö!$B$1:$AC$550,MATCH("Köpt mängd produktionsspecifik fjärrvärme:",Miljö!$B$1:$AC$1,0),FALSE)/1,0)</f>
        <v>5.4</v>
      </c>
      <c r="AH343" s="121"/>
      <c r="AI343" s="121">
        <f t="shared" si="132"/>
        <v>9.9000000000000005E-2</v>
      </c>
      <c r="AJ343" s="121">
        <f t="shared" si="133"/>
        <v>5.4990000000000006</v>
      </c>
      <c r="AK343" s="121">
        <f>IF(ISERROR(1/VLOOKUP($B343,Leveranser!$B$1:$S$499,MATCH("såld värme (gwh)",Leveranser!$B$1:$S$1,0),FALSE)),"",VLOOKUP($B343,Leveranser!$B$1:$S$499,MATCH("såld värme (gwh)",Leveranser!$B$1:$S$1,0),FALSE))</f>
        <v>3.3</v>
      </c>
      <c r="AL343" s="121">
        <f>VLOOKUP($B343,Leveranser!$B$1:$Y$499,MATCH("Totalt såld fjärrvärme till andra fjärrvärmeföretag",Leveranser!$B$1:$AA$1,0),FALSE)</f>
        <v>0</v>
      </c>
      <c r="AM343" s="121">
        <f>IF(ISERROR(1/VLOOKUP($B343,Miljö!$B$1:$S$500,MATCH("Såld mängd produktionsspecifik fjärrvärme (GWh)",Miljö!$B$1:$R$1,0),FALSE)),0,VLOOKUP($B343,Miljö!$B$1:$S$500,MATCH("Såld mängd produktionsspecifik fjärrvärme (GWh)",Miljö!$B$1:$R$1,0),FALSE))</f>
        <v>0</v>
      </c>
      <c r="AN343" s="172">
        <f t="shared" si="134"/>
        <v>0.60010911074740858</v>
      </c>
      <c r="AO343" s="121"/>
      <c r="AP343" s="121" t="str">
        <f>IFERROR(VLOOKUP($B343,Miljövärden!$B$2:$H$550,7,FALSE),"Nej, saknas")</f>
        <v>Nej</v>
      </c>
      <c r="AQ343" s="121" t="str">
        <f>IFERROR(VLOOKUP($B343,Miljövärden!$B$2:$H$550,6,FALSE),"Nej, saknas")</f>
        <v>Nej</v>
      </c>
      <c r="AU343">
        <f t="shared" si="135"/>
        <v>9.9000000000000005E-2</v>
      </c>
      <c r="AV343">
        <f t="shared" si="136"/>
        <v>0</v>
      </c>
      <c r="AW343">
        <f t="shared" si="137"/>
        <v>0</v>
      </c>
      <c r="AX343">
        <f t="shared" si="138"/>
        <v>0</v>
      </c>
      <c r="AZ343">
        <f t="shared" si="139"/>
        <v>0</v>
      </c>
      <c r="BC343">
        <f t="shared" si="140"/>
        <v>0</v>
      </c>
      <c r="BD343">
        <f t="shared" si="141"/>
        <v>0</v>
      </c>
      <c r="BE343">
        <f t="shared" si="142"/>
        <v>0</v>
      </c>
      <c r="BF343">
        <f t="shared" si="143"/>
        <v>0</v>
      </c>
      <c r="BG343">
        <f t="shared" si="144"/>
        <v>9.9000000000000005E-2</v>
      </c>
      <c r="BH343">
        <f>VLOOKUP(B343,Miljö!$B$1:$BX$482,MATCH("Fossilandel för ursprungspecificerad el ()",Miljö!$B$1:$I$1,0),FALSE)</f>
        <v>0.43</v>
      </c>
      <c r="BI343">
        <f>VLOOKUP(B343,Miljö!$B$1:$BX$482,MATCH("Kärnkraftsandel för ursprungsspecificerad el ()",Miljö!$B$1:$O$1,0),FALSE)</f>
        <v>0.40550000000000003</v>
      </c>
      <c r="BJ343">
        <f t="shared" si="145"/>
        <v>5.4</v>
      </c>
      <c r="BK343" t="str">
        <f>VLOOKUP(B343,Miljö!$B$1:$O$482,MATCH("Fossil andel i procent (%)",Miljö!$B$1:$O$1,0),FALSE)</f>
        <v>ET</v>
      </c>
      <c r="BL343">
        <f t="shared" si="146"/>
        <v>5.4990000000000006</v>
      </c>
      <c r="BO343" s="18" t="str">
        <f t="shared" si="147"/>
        <v/>
      </c>
      <c r="BP343" s="18" t="str">
        <f t="shared" si="148"/>
        <v/>
      </c>
      <c r="BQ343" s="18" t="str">
        <f t="shared" si="149"/>
        <v/>
      </c>
      <c r="BR343" s="18" t="str">
        <f t="shared" si="150"/>
        <v/>
      </c>
      <c r="BT343" s="27">
        <f t="shared" si="151"/>
        <v>0</v>
      </c>
      <c r="BW343" s="18" t="str">
        <f>IF(AP343="ja",VLOOKUP(B343,Miljövärden!$B$2:$H$550,MATCH("Total andel fossilt",Miljövärden!$B$2:$H$2,0),FALSE),"")</f>
        <v/>
      </c>
      <c r="BZ343" s="28" t="str">
        <f t="shared" si="152"/>
        <v/>
      </c>
      <c r="CA343" s="28" t="str">
        <f t="shared" si="153"/>
        <v/>
      </c>
    </row>
    <row r="344" spans="1:79" x14ac:dyDescent="0.25">
      <c r="A344" s="224" t="s">
        <v>665</v>
      </c>
      <c r="B344" s="210" t="s">
        <v>666</v>
      </c>
      <c r="C344" s="121">
        <f>VLOOKUP($B344,'Tillförd energi'!$B$1:$AI$720,MATCH(C$1,'Tillförd energi'!$B$1:$AQ$1,0),FALSE)</f>
        <v>0</v>
      </c>
      <c r="D344" s="121">
        <f>VLOOKUP($B344,'Tillförd energi'!$B$1:$AI$720,MATCH(D$1,'Tillförd energi'!$B$1:$AQ$1,0),FALSE)</f>
        <v>0</v>
      </c>
      <c r="E344" s="121">
        <f>VLOOKUP($B344,'Tillförd energi'!$B$1:$AI$720,MATCH(E$1,'Tillförd energi'!$B$1:$AQ$1,0),FALSE)</f>
        <v>0</v>
      </c>
      <c r="F344" s="121">
        <f>VLOOKUP($B344,'Tillförd energi'!$B$1:$AI$720,MATCH(F$1,'Tillförd energi'!$B$1:$AQ$1,0),FALSE)</f>
        <v>0</v>
      </c>
      <c r="G344" s="121">
        <f>VLOOKUP($B344,'Tillförd energi'!$B$1:$AI$720,MATCH(G$1,'Tillförd energi'!$B$1:$AQ$1,0),FALSE)</f>
        <v>0</v>
      </c>
      <c r="H344" s="121">
        <f>VLOOKUP($B344,'Tillförd energi'!$B$1:$AI$720,MATCH(H$1,'Tillförd energi'!$B$1:$AQ$1,0),FALSE)</f>
        <v>0</v>
      </c>
      <c r="I344" s="121">
        <f>VLOOKUP($B344,'Tillförd energi'!$B$1:$AI$720,MATCH(I$1,'Tillförd energi'!$B$1:$AQ$1,0),FALSE)</f>
        <v>0</v>
      </c>
      <c r="J344" s="121">
        <f>VLOOKUP($B344,'Tillförd energi'!$B$1:$AI$720,MATCH(J$1,'Tillförd energi'!$B$1:$AQ$1,0),FALSE)</f>
        <v>0</v>
      </c>
      <c r="K344" s="121">
        <f>VLOOKUP($B344,'Tillförd energi'!$B$1:$AI$720,MATCH(K$1,'Tillförd energi'!$B$1:$AQ$1,0),FALSE)</f>
        <v>0</v>
      </c>
      <c r="L344" s="121">
        <f>VLOOKUP($B344,'Tillförd energi'!$B$1:$AI$720,MATCH(L$1,'Tillförd energi'!$B$1:$AQ$1,0),FALSE)</f>
        <v>0</v>
      </c>
      <c r="M344" s="121">
        <f>VLOOKUP($B344,'Tillförd energi'!$B$1:$AI$720,MATCH(M$1,'Tillförd energi'!$B$1:$AQ$1,0),FALSE)</f>
        <v>0</v>
      </c>
      <c r="N344" s="121">
        <f>VLOOKUP($B344,'Tillförd energi'!$B$1:$AI$720,MATCH(N$1,'Tillförd energi'!$B$1:$AQ$1,0),FALSE)</f>
        <v>0</v>
      </c>
      <c r="O344" s="121">
        <f>VLOOKUP($B344,'Tillförd energi'!$B$1:$AI$720,MATCH(O$1,'Tillförd energi'!$B$1:$AQ$1,0),FALSE)</f>
        <v>0</v>
      </c>
      <c r="P344" s="121">
        <f>VLOOKUP($B344,'Tillförd energi'!$B$1:$AI$720,MATCH(P$1,'Tillförd energi'!$B$1:$AQ$1,0),FALSE)</f>
        <v>0</v>
      </c>
      <c r="Q344" s="121">
        <f>VLOOKUP($B344,'Tillförd energi'!$B$1:$AI$720,MATCH(Q$1,'Tillförd energi'!$B$1:$AQ$1,0),FALSE)</f>
        <v>6.33908</v>
      </c>
      <c r="R344" s="121">
        <f>VLOOKUP($B344,'Tillförd energi'!$B$1:$AI$720,MATCH(R$1,'Tillförd energi'!$B$1:$AQ$1,0),FALSE)</f>
        <v>0</v>
      </c>
      <c r="S344" s="121">
        <f>VLOOKUP($B344,'Tillförd energi'!$B$1:$AI$720,MATCH(S$1,'Tillförd energi'!$B$1:$AQ$1,0),FALSE)</f>
        <v>0</v>
      </c>
      <c r="T344" s="121">
        <f>VLOOKUP($B344,'Tillförd energi'!$B$1:$AI$720,MATCH(T$1,'Tillförd energi'!$B$1:$AQ$1,0),FALSE)</f>
        <v>0</v>
      </c>
      <c r="U344" s="121">
        <f>VLOOKUP($B344,'Tillförd energi'!$B$1:$AI$720,MATCH(U$1,'Tillförd energi'!$B$1:$AQ$1,0),FALSE)</f>
        <v>0</v>
      </c>
      <c r="V344" s="121">
        <f>VLOOKUP($B344,'Tillförd energi'!$B$1:$AI$720,MATCH(V$1,'Tillförd energi'!$B$1:$AQ$1,0),FALSE)</f>
        <v>0</v>
      </c>
      <c r="W344" s="121">
        <f>VLOOKUP($B344,'Tillförd energi'!$B$1:$AI$720,MATCH(W$1,'Tillförd energi'!$B$1:$AQ$1,0),FALSE)</f>
        <v>0</v>
      </c>
      <c r="X344" s="121">
        <f>VLOOKUP($B344,'Tillförd energi'!$B$1:$AI$720,MATCH(X$1,'Tillförd energi'!$B$1:$AQ$1,0),FALSE)</f>
        <v>0</v>
      </c>
      <c r="Y344" s="121">
        <f>VLOOKUP($B344,'Tillförd energi'!$B$1:$AI$720,MATCH(Y$1,'Tillförd energi'!$B$1:$AQ$1,0),FALSE)</f>
        <v>0</v>
      </c>
      <c r="Z344" s="121">
        <f>VLOOKUP($B344,'Tillförd energi'!$B$1:$AI$720,MATCH(Z$1,'Tillförd energi'!$B$1:$AQ$1,0),FALSE)</f>
        <v>0</v>
      </c>
      <c r="AA344" s="121">
        <f>VLOOKUP($B344,'Tillförd energi'!$B$1:$AI$720,MATCH(AA$1,'Tillförd energi'!$B$1:$AQ$1,0),FALSE)</f>
        <v>0</v>
      </c>
      <c r="AB344" s="121">
        <f>VLOOKUP($B344,'Tillförd energi'!$B$1:$AI$720,MATCH(AB$1,'Tillförd energi'!$B$1:$AQ$1,0),FALSE)</f>
        <v>0</v>
      </c>
      <c r="AC344" s="121">
        <f>VLOOKUP($B344,'Tillförd energi'!$B$1:$AI$720,MATCH(AC$1,'Tillförd energi'!$B$1:$AQ$1,0),FALSE)</f>
        <v>0</v>
      </c>
      <c r="AD344" s="121">
        <f>VLOOKUP($B344,'Tillförd energi'!$B$1:$AI$720,MATCH(AD$1,'Tillförd energi'!$B$1:$AQ$1,0),FALSE)</f>
        <v>0</v>
      </c>
      <c r="AE344" s="121">
        <f>VLOOKUP($B344,'Tillförd energi'!$B$1:$AI$720,MATCH(AE$1,'Tillförd energi'!$B$1:$AQ$1,0),FALSE)</f>
        <v>0</v>
      </c>
      <c r="AF344" s="121">
        <f>VLOOKUP($B344,'Tillförd energi'!$B$1:$AI$720,MATCH(AF$1,'Tillförd energi'!$B$1:$AQ$1,0),FALSE)</f>
        <v>0.13569000000000001</v>
      </c>
      <c r="AG344" s="121">
        <f>IFERROR(VLOOKUP(B344,Miljö!$B$1:$AC$550,MATCH("Köpt mängd produktionsspecifik fjärrvärme:",Miljö!$B$1:$AC$1,0),FALSE)/1,0)</f>
        <v>0</v>
      </c>
      <c r="AH344" s="121"/>
      <c r="AI344" s="121">
        <f t="shared" si="132"/>
        <v>6.4747700000000004</v>
      </c>
      <c r="AJ344" s="121">
        <f t="shared" si="133"/>
        <v>6.4747700000000004</v>
      </c>
      <c r="AK344" s="121">
        <f>IF(ISERROR(1/VLOOKUP($B344,Leveranser!$B$1:$S$499,MATCH("såld värme (gwh)",Leveranser!$B$1:$S$1,0),FALSE)),"",VLOOKUP($B344,Leveranser!$B$1:$S$499,MATCH("såld värme (gwh)",Leveranser!$B$1:$S$1,0),FALSE))</f>
        <v>4.5229999999999997</v>
      </c>
      <c r="AL344" s="121">
        <f>VLOOKUP($B344,Leveranser!$B$1:$Y$499,MATCH("Totalt såld fjärrvärme till andra fjärrvärmeföretag",Leveranser!$B$1:$AA$1,0),FALSE)</f>
        <v>0</v>
      </c>
      <c r="AM344" s="121">
        <f>IF(ISERROR(1/VLOOKUP($B344,Miljö!$B$1:$S$500,MATCH("Såld mängd produktionsspecifik fjärrvärme (GWh)",Miljö!$B$1:$R$1,0),FALSE)),0,VLOOKUP($B344,Miljö!$B$1:$S$500,MATCH("Såld mängd produktionsspecifik fjärrvärme (GWh)",Miljö!$B$1:$R$1,0),FALSE))</f>
        <v>0</v>
      </c>
      <c r="AN344" s="172">
        <f t="shared" si="134"/>
        <v>0.69855763216299571</v>
      </c>
      <c r="AO344" s="121"/>
      <c r="AP344" s="121" t="str">
        <f>IFERROR(VLOOKUP($B344,Miljövärden!$B$2:$H$550,7,FALSE),"Nej, saknas")</f>
        <v>Ja</v>
      </c>
      <c r="AQ344" s="121" t="str">
        <f>IFERROR(VLOOKUP($B344,Miljövärden!$B$2:$H$550,6,FALSE),"Nej, saknas")</f>
        <v>Nej</v>
      </c>
      <c r="AU344">
        <f t="shared" si="135"/>
        <v>0.13569000000000001</v>
      </c>
      <c r="AV344">
        <f t="shared" si="136"/>
        <v>0</v>
      </c>
      <c r="AW344">
        <f t="shared" si="137"/>
        <v>6.33908</v>
      </c>
      <c r="AX344">
        <f t="shared" si="138"/>
        <v>0</v>
      </c>
      <c r="AZ344">
        <f t="shared" si="139"/>
        <v>6.33908</v>
      </c>
      <c r="BC344">
        <f t="shared" si="140"/>
        <v>0</v>
      </c>
      <c r="BD344">
        <f t="shared" si="141"/>
        <v>0</v>
      </c>
      <c r="BE344">
        <f t="shared" si="142"/>
        <v>6.33908</v>
      </c>
      <c r="BF344">
        <f t="shared" si="143"/>
        <v>0</v>
      </c>
      <c r="BG344">
        <f t="shared" si="144"/>
        <v>0.13569000000000001</v>
      </c>
      <c r="BH344">
        <f>VLOOKUP(B344,Miljö!$B$1:$BX$482,MATCH("Fossilandel för ursprungspecificerad el ()",Miljö!$B$1:$I$1,0),FALSE)</f>
        <v>0.43</v>
      </c>
      <c r="BI344">
        <f>VLOOKUP(B344,Miljö!$B$1:$BX$482,MATCH("Kärnkraftsandel för ursprungsspecificerad el ()",Miljö!$B$1:$O$1,0),FALSE)</f>
        <v>0.40550000000000003</v>
      </c>
      <c r="BJ344">
        <f t="shared" si="145"/>
        <v>0</v>
      </c>
      <c r="BK344" t="str">
        <f>VLOOKUP(B344,Miljö!$B$1:$O$482,MATCH("Fossil andel i procent (%)",Miljö!$B$1:$O$1,0),FALSE)</f>
        <v>ET</v>
      </c>
      <c r="BL344">
        <f t="shared" si="146"/>
        <v>6.4747700000000004</v>
      </c>
      <c r="BO344" s="18">
        <f t="shared" si="147"/>
        <v>9.0113934549026446E-3</v>
      </c>
      <c r="BP344" s="18">
        <f t="shared" si="148"/>
        <v>8.4979535952628433E-3</v>
      </c>
      <c r="BQ344" s="18">
        <f t="shared" si="149"/>
        <v>0.98249065294983451</v>
      </c>
      <c r="BR344" s="18">
        <f t="shared" si="150"/>
        <v>0</v>
      </c>
      <c r="BT344" s="27">
        <f t="shared" si="151"/>
        <v>1</v>
      </c>
      <c r="BW344" s="18">
        <f>IF(AP344="ja",VLOOKUP(B344,Miljövärden!$B$2:$H$550,MATCH("Total andel fossilt",Miljövärden!$B$2:$H$2,0),FALSE),"")</f>
        <v>9.0113899999999993E-3</v>
      </c>
      <c r="BZ344" s="28">
        <f t="shared" si="152"/>
        <v>-3.454902645222413E-9</v>
      </c>
      <c r="CA344" s="28">
        <f t="shared" si="153"/>
        <v>0</v>
      </c>
    </row>
    <row r="345" spans="1:79" x14ac:dyDescent="0.25">
      <c r="A345" s="224" t="s">
        <v>665</v>
      </c>
      <c r="B345" s="210" t="s">
        <v>667</v>
      </c>
      <c r="C345" s="121">
        <f>VLOOKUP($B345,'Tillförd energi'!$B$1:$AI$720,MATCH(C$1,'Tillförd energi'!$B$1:$AQ$1,0),FALSE)</f>
        <v>0</v>
      </c>
      <c r="D345" s="121">
        <f>VLOOKUP($B345,'Tillförd energi'!$B$1:$AI$720,MATCH(D$1,'Tillförd energi'!$B$1:$AQ$1,0),FALSE)</f>
        <v>0</v>
      </c>
      <c r="E345" s="121">
        <f>VLOOKUP($B345,'Tillförd energi'!$B$1:$AI$720,MATCH(E$1,'Tillförd energi'!$B$1:$AQ$1,0),FALSE)</f>
        <v>0</v>
      </c>
      <c r="F345" s="121">
        <f>VLOOKUP($B345,'Tillförd energi'!$B$1:$AI$720,MATCH(F$1,'Tillförd energi'!$B$1:$AQ$1,0),FALSE)</f>
        <v>0</v>
      </c>
      <c r="G345" s="121">
        <f>VLOOKUP($B345,'Tillförd energi'!$B$1:$AI$720,MATCH(G$1,'Tillförd energi'!$B$1:$AQ$1,0),FALSE)</f>
        <v>0</v>
      </c>
      <c r="H345" s="121">
        <f>VLOOKUP($B345,'Tillförd energi'!$B$1:$AI$720,MATCH(H$1,'Tillförd energi'!$B$1:$AQ$1,0),FALSE)</f>
        <v>0</v>
      </c>
      <c r="I345" s="121">
        <f>VLOOKUP($B345,'Tillförd energi'!$B$1:$AI$720,MATCH(I$1,'Tillförd energi'!$B$1:$AQ$1,0),FALSE)</f>
        <v>0</v>
      </c>
      <c r="J345" s="121">
        <f>VLOOKUP($B345,'Tillförd energi'!$B$1:$AI$720,MATCH(J$1,'Tillförd energi'!$B$1:$AQ$1,0),FALSE)</f>
        <v>0</v>
      </c>
      <c r="K345" s="121">
        <f>VLOOKUP($B345,'Tillförd energi'!$B$1:$AI$720,MATCH(K$1,'Tillförd energi'!$B$1:$AQ$1,0),FALSE)</f>
        <v>0</v>
      </c>
      <c r="L345" s="121">
        <f>VLOOKUP($B345,'Tillförd energi'!$B$1:$AI$720,MATCH(L$1,'Tillförd energi'!$B$1:$AQ$1,0),FALSE)</f>
        <v>0</v>
      </c>
      <c r="M345" s="121">
        <f>VLOOKUP($B345,'Tillförd energi'!$B$1:$AI$720,MATCH(M$1,'Tillförd energi'!$B$1:$AQ$1,0),FALSE)</f>
        <v>0</v>
      </c>
      <c r="N345" s="121">
        <f>VLOOKUP($B345,'Tillförd energi'!$B$1:$AI$720,MATCH(N$1,'Tillförd energi'!$B$1:$AQ$1,0),FALSE)</f>
        <v>0</v>
      </c>
      <c r="O345" s="121">
        <f>VLOOKUP($B345,'Tillförd energi'!$B$1:$AI$720,MATCH(O$1,'Tillförd energi'!$B$1:$AQ$1,0),FALSE)</f>
        <v>0</v>
      </c>
      <c r="P345" s="121">
        <f>VLOOKUP($B345,'Tillförd energi'!$B$1:$AI$720,MATCH(P$1,'Tillförd energi'!$B$1:$AQ$1,0),FALSE)</f>
        <v>0.45</v>
      </c>
      <c r="Q345" s="121">
        <f>VLOOKUP($B345,'Tillförd energi'!$B$1:$AI$720,MATCH(Q$1,'Tillförd energi'!$B$1:$AQ$1,0),FALSE)</f>
        <v>5.18</v>
      </c>
      <c r="R345" s="121">
        <f>VLOOKUP($B345,'Tillförd energi'!$B$1:$AI$720,MATCH(R$1,'Tillförd energi'!$B$1:$AQ$1,0),FALSE)</f>
        <v>0</v>
      </c>
      <c r="S345" s="121">
        <f>VLOOKUP($B345,'Tillförd energi'!$B$1:$AI$720,MATCH(S$1,'Tillförd energi'!$B$1:$AQ$1,0),FALSE)</f>
        <v>0</v>
      </c>
      <c r="T345" s="121">
        <f>VLOOKUP($B345,'Tillförd energi'!$B$1:$AI$720,MATCH(T$1,'Tillförd energi'!$B$1:$AQ$1,0),FALSE)</f>
        <v>0</v>
      </c>
      <c r="U345" s="121">
        <f>VLOOKUP($B345,'Tillförd energi'!$B$1:$AI$720,MATCH(U$1,'Tillförd energi'!$B$1:$AQ$1,0),FALSE)</f>
        <v>0</v>
      </c>
      <c r="V345" s="121">
        <f>VLOOKUP($B345,'Tillförd energi'!$B$1:$AI$720,MATCH(V$1,'Tillförd energi'!$B$1:$AQ$1,0),FALSE)</f>
        <v>0</v>
      </c>
      <c r="W345" s="121">
        <f>VLOOKUP($B345,'Tillförd energi'!$B$1:$AI$720,MATCH(W$1,'Tillförd energi'!$B$1:$AQ$1,0),FALSE)</f>
        <v>0.4</v>
      </c>
      <c r="X345" s="121">
        <f>VLOOKUP($B345,'Tillförd energi'!$B$1:$AI$720,MATCH(X$1,'Tillförd energi'!$B$1:$AQ$1,0),FALSE)</f>
        <v>0</v>
      </c>
      <c r="Y345" s="121">
        <f>VLOOKUP($B345,'Tillförd energi'!$B$1:$AI$720,MATCH(Y$1,'Tillförd energi'!$B$1:$AQ$1,0),FALSE)</f>
        <v>0</v>
      </c>
      <c r="Z345" s="121">
        <f>VLOOKUP($B345,'Tillförd energi'!$B$1:$AI$720,MATCH(Z$1,'Tillförd energi'!$B$1:$AQ$1,0),FALSE)</f>
        <v>0</v>
      </c>
      <c r="AA345" s="121">
        <f>VLOOKUP($B345,'Tillförd energi'!$B$1:$AI$720,MATCH(AA$1,'Tillförd energi'!$B$1:$AQ$1,0),FALSE)</f>
        <v>0</v>
      </c>
      <c r="AB345" s="121">
        <f>VLOOKUP($B345,'Tillförd energi'!$B$1:$AI$720,MATCH(AB$1,'Tillförd energi'!$B$1:$AQ$1,0),FALSE)</f>
        <v>0</v>
      </c>
      <c r="AC345" s="121">
        <f>VLOOKUP($B345,'Tillförd energi'!$B$1:$AI$720,MATCH(AC$1,'Tillförd energi'!$B$1:$AQ$1,0),FALSE)</f>
        <v>0</v>
      </c>
      <c r="AD345" s="121">
        <f>VLOOKUP($B345,'Tillförd energi'!$B$1:$AI$720,MATCH(AD$1,'Tillförd energi'!$B$1:$AQ$1,0),FALSE)</f>
        <v>0</v>
      </c>
      <c r="AE345" s="121">
        <f>VLOOKUP($B345,'Tillförd energi'!$B$1:$AI$720,MATCH(AE$1,'Tillförd energi'!$B$1:$AQ$1,0),FALSE)</f>
        <v>0</v>
      </c>
      <c r="AF345" s="121">
        <f>VLOOKUP($B345,'Tillförd energi'!$B$1:$AI$720,MATCH(AF$1,'Tillförd energi'!$B$1:$AQ$1,0),FALSE)</f>
        <v>0.106</v>
      </c>
      <c r="AG345" s="121">
        <f>IFERROR(VLOOKUP(B345,Miljö!$B$1:$AC$550,MATCH("Köpt mängd produktionsspecifik fjärrvärme:",Miljö!$B$1:$AC$1,0),FALSE)/1,0)</f>
        <v>0</v>
      </c>
      <c r="AH345" s="121"/>
      <c r="AI345" s="121">
        <f t="shared" si="132"/>
        <v>6.1360000000000001</v>
      </c>
      <c r="AJ345" s="121">
        <f t="shared" si="133"/>
        <v>6.1360000000000001</v>
      </c>
      <c r="AK345" s="121">
        <f>IF(ISERROR(1/VLOOKUP($B345,Leveranser!$B$1:$S$499,MATCH("såld värme (gwh)",Leveranser!$B$1:$S$1,0),FALSE)),"",VLOOKUP($B345,Leveranser!$B$1:$S$499,MATCH("såld värme (gwh)",Leveranser!$B$1:$S$1,0),FALSE))</f>
        <v>4.0510000000000002</v>
      </c>
      <c r="AL345" s="121">
        <f>VLOOKUP($B345,Leveranser!$B$1:$Y$499,MATCH("Totalt såld fjärrvärme till andra fjärrvärmeföretag",Leveranser!$B$1:$AA$1,0),FALSE)</f>
        <v>0</v>
      </c>
      <c r="AM345" s="121">
        <f>IF(ISERROR(1/VLOOKUP($B345,Miljö!$B$1:$S$500,MATCH("Såld mängd produktionsspecifik fjärrvärme (GWh)",Miljö!$B$1:$R$1,0),FALSE)),0,VLOOKUP($B345,Miljö!$B$1:$S$500,MATCH("Såld mängd produktionsspecifik fjärrvärme (GWh)",Miljö!$B$1:$R$1,0),FALSE))</f>
        <v>0</v>
      </c>
      <c r="AN345" s="172">
        <f t="shared" si="134"/>
        <v>0.66020208604954367</v>
      </c>
      <c r="AO345" s="121"/>
      <c r="AP345" s="121" t="str">
        <f>IFERROR(VLOOKUP($B345,Miljövärden!$B$2:$H$550,7,FALSE),"Nej, saknas")</f>
        <v>Ja</v>
      </c>
      <c r="AQ345" s="121" t="str">
        <f>IFERROR(VLOOKUP($B345,Miljövärden!$B$2:$H$550,6,FALSE),"Nej, saknas")</f>
        <v>Nej</v>
      </c>
      <c r="AU345">
        <f t="shared" si="135"/>
        <v>0.106</v>
      </c>
      <c r="AV345">
        <f t="shared" si="136"/>
        <v>0</v>
      </c>
      <c r="AW345">
        <f t="shared" si="137"/>
        <v>5.63</v>
      </c>
      <c r="AX345">
        <f t="shared" si="138"/>
        <v>0</v>
      </c>
      <c r="AZ345">
        <f t="shared" si="139"/>
        <v>6.03</v>
      </c>
      <c r="BC345">
        <f t="shared" si="140"/>
        <v>0</v>
      </c>
      <c r="BD345">
        <f t="shared" si="141"/>
        <v>0</v>
      </c>
      <c r="BE345">
        <f t="shared" si="142"/>
        <v>6.03</v>
      </c>
      <c r="BF345">
        <f t="shared" si="143"/>
        <v>0</v>
      </c>
      <c r="BG345">
        <f t="shared" si="144"/>
        <v>0.106</v>
      </c>
      <c r="BH345">
        <f>VLOOKUP(B345,Miljö!$B$1:$BX$482,MATCH("Fossilandel för ursprungspecificerad el ()",Miljö!$B$1:$I$1,0),FALSE)</f>
        <v>0</v>
      </c>
      <c r="BI345">
        <f>VLOOKUP(B345,Miljö!$B$1:$BX$482,MATCH("Kärnkraftsandel för ursprungsspecificerad el ()",Miljö!$B$1:$O$1,0),FALSE)</f>
        <v>0</v>
      </c>
      <c r="BJ345">
        <f t="shared" si="145"/>
        <v>0</v>
      </c>
      <c r="BK345" t="str">
        <f>VLOOKUP(B345,Miljö!$B$1:$O$482,MATCH("Fossil andel i procent (%)",Miljö!$B$1:$O$1,0),FALSE)</f>
        <v>ET</v>
      </c>
      <c r="BL345">
        <f t="shared" si="146"/>
        <v>6.1360000000000001</v>
      </c>
      <c r="BO345" s="18">
        <f t="shared" si="147"/>
        <v>0</v>
      </c>
      <c r="BP345" s="18">
        <f t="shared" si="148"/>
        <v>0</v>
      </c>
      <c r="BQ345" s="18">
        <f t="shared" si="149"/>
        <v>1</v>
      </c>
      <c r="BR345" s="18">
        <f t="shared" si="150"/>
        <v>0</v>
      </c>
      <c r="BT345" s="27">
        <f t="shared" si="151"/>
        <v>1</v>
      </c>
      <c r="BW345" s="18">
        <f>IF(AP345="ja",VLOOKUP(B345,Miljövärden!$B$2:$H$550,MATCH("Total andel fossilt",Miljövärden!$B$2:$H$2,0),FALSE),"")</f>
        <v>0</v>
      </c>
      <c r="BZ345" s="28">
        <f t="shared" si="152"/>
        <v>0</v>
      </c>
      <c r="CA345" s="28">
        <f t="shared" si="153"/>
        <v>0</v>
      </c>
    </row>
    <row r="346" spans="1:79" x14ac:dyDescent="0.25">
      <c r="A346" s="224" t="s">
        <v>665</v>
      </c>
      <c r="B346" s="210" t="s">
        <v>668</v>
      </c>
      <c r="C346" s="121">
        <f>VLOOKUP($B346,'Tillförd energi'!$B$1:$AI$720,MATCH(C$1,'Tillförd energi'!$B$1:$AQ$1,0),FALSE)</f>
        <v>0</v>
      </c>
      <c r="D346" s="121">
        <f>VLOOKUP($B346,'Tillförd energi'!$B$1:$AI$720,MATCH(D$1,'Tillförd energi'!$B$1:$AQ$1,0),FALSE)</f>
        <v>0</v>
      </c>
      <c r="E346" s="121">
        <f>VLOOKUP($B346,'Tillförd energi'!$B$1:$AI$720,MATCH(E$1,'Tillförd energi'!$B$1:$AQ$1,0),FALSE)</f>
        <v>0</v>
      </c>
      <c r="F346" s="121">
        <f>VLOOKUP($B346,'Tillförd energi'!$B$1:$AI$720,MATCH(F$1,'Tillförd energi'!$B$1:$AQ$1,0),FALSE)</f>
        <v>0</v>
      </c>
      <c r="G346" s="121">
        <f>VLOOKUP($B346,'Tillförd energi'!$B$1:$AI$720,MATCH(G$1,'Tillförd energi'!$B$1:$AQ$1,0),FALSE)</f>
        <v>0</v>
      </c>
      <c r="H346" s="121">
        <f>VLOOKUP($B346,'Tillförd energi'!$B$1:$AI$720,MATCH(H$1,'Tillförd energi'!$B$1:$AQ$1,0),FALSE)</f>
        <v>0</v>
      </c>
      <c r="I346" s="121">
        <f>VLOOKUP($B346,'Tillförd energi'!$B$1:$AI$720,MATCH(I$1,'Tillförd energi'!$B$1:$AQ$1,0),FALSE)</f>
        <v>0</v>
      </c>
      <c r="J346" s="121">
        <f>VLOOKUP($B346,'Tillförd energi'!$B$1:$AI$720,MATCH(J$1,'Tillförd energi'!$B$1:$AQ$1,0),FALSE)</f>
        <v>0</v>
      </c>
      <c r="K346" s="121">
        <f>VLOOKUP($B346,'Tillförd energi'!$B$1:$AI$720,MATCH(K$1,'Tillförd energi'!$B$1:$AQ$1,0),FALSE)</f>
        <v>0</v>
      </c>
      <c r="L346" s="121">
        <f>VLOOKUP($B346,'Tillförd energi'!$B$1:$AI$720,MATCH(L$1,'Tillförd energi'!$B$1:$AQ$1,0),FALSE)</f>
        <v>0</v>
      </c>
      <c r="M346" s="121">
        <f>VLOOKUP($B346,'Tillförd energi'!$B$1:$AI$720,MATCH(M$1,'Tillförd energi'!$B$1:$AQ$1,0),FALSE)</f>
        <v>0</v>
      </c>
      <c r="N346" s="121">
        <f>VLOOKUP($B346,'Tillförd energi'!$B$1:$AI$720,MATCH(N$1,'Tillförd energi'!$B$1:$AQ$1,0),FALSE)</f>
        <v>0</v>
      </c>
      <c r="O346" s="121">
        <f>VLOOKUP($B346,'Tillförd energi'!$B$1:$AI$720,MATCH(O$1,'Tillförd energi'!$B$1:$AQ$1,0),FALSE)</f>
        <v>0</v>
      </c>
      <c r="P346" s="121">
        <f>VLOOKUP($B346,'Tillförd energi'!$B$1:$AI$720,MATCH(P$1,'Tillförd energi'!$B$1:$AQ$1,0),FALSE)</f>
        <v>0</v>
      </c>
      <c r="Q346" s="121">
        <f>VLOOKUP($B346,'Tillförd energi'!$B$1:$AI$720,MATCH(Q$1,'Tillförd energi'!$B$1:$AQ$1,0),FALSE)</f>
        <v>9.89</v>
      </c>
      <c r="R346" s="121">
        <f>VLOOKUP($B346,'Tillförd energi'!$B$1:$AI$720,MATCH(R$1,'Tillförd energi'!$B$1:$AQ$1,0),FALSE)</f>
        <v>0</v>
      </c>
      <c r="S346" s="121">
        <f>VLOOKUP($B346,'Tillförd energi'!$B$1:$AI$720,MATCH(S$1,'Tillförd energi'!$B$1:$AQ$1,0),FALSE)</f>
        <v>0</v>
      </c>
      <c r="T346" s="121">
        <f>VLOOKUP($B346,'Tillförd energi'!$B$1:$AI$720,MATCH(T$1,'Tillförd energi'!$B$1:$AQ$1,0),FALSE)</f>
        <v>0</v>
      </c>
      <c r="U346" s="121">
        <f>VLOOKUP($B346,'Tillförd energi'!$B$1:$AI$720,MATCH(U$1,'Tillförd energi'!$B$1:$AQ$1,0),FALSE)</f>
        <v>0</v>
      </c>
      <c r="V346" s="121">
        <f>VLOOKUP($B346,'Tillförd energi'!$B$1:$AI$720,MATCH(V$1,'Tillförd energi'!$B$1:$AQ$1,0),FALSE)</f>
        <v>0</v>
      </c>
      <c r="W346" s="121">
        <f>VLOOKUP($B346,'Tillförd energi'!$B$1:$AI$720,MATCH(W$1,'Tillförd energi'!$B$1:$AQ$1,0),FALSE)</f>
        <v>0.25</v>
      </c>
      <c r="X346" s="121">
        <f>VLOOKUP($B346,'Tillförd energi'!$B$1:$AI$720,MATCH(X$1,'Tillförd energi'!$B$1:$AQ$1,0),FALSE)</f>
        <v>0</v>
      </c>
      <c r="Y346" s="121">
        <f>VLOOKUP($B346,'Tillförd energi'!$B$1:$AI$720,MATCH(Y$1,'Tillförd energi'!$B$1:$AQ$1,0),FALSE)</f>
        <v>0</v>
      </c>
      <c r="Z346" s="121">
        <f>VLOOKUP($B346,'Tillförd energi'!$B$1:$AI$720,MATCH(Z$1,'Tillförd energi'!$B$1:$AQ$1,0),FALSE)</f>
        <v>0</v>
      </c>
      <c r="AA346" s="121">
        <f>VLOOKUP($B346,'Tillförd energi'!$B$1:$AI$720,MATCH(AA$1,'Tillförd energi'!$B$1:$AQ$1,0),FALSE)</f>
        <v>0</v>
      </c>
      <c r="AB346" s="121">
        <f>VLOOKUP($B346,'Tillförd energi'!$B$1:$AI$720,MATCH(AB$1,'Tillförd energi'!$B$1:$AQ$1,0),FALSE)</f>
        <v>0</v>
      </c>
      <c r="AC346" s="121">
        <f>VLOOKUP($B346,'Tillförd energi'!$B$1:$AI$720,MATCH(AC$1,'Tillförd energi'!$B$1:$AQ$1,0),FALSE)</f>
        <v>0</v>
      </c>
      <c r="AD346" s="121">
        <f>VLOOKUP($B346,'Tillförd energi'!$B$1:$AI$720,MATCH(AD$1,'Tillförd energi'!$B$1:$AQ$1,0),FALSE)</f>
        <v>0</v>
      </c>
      <c r="AE346" s="121">
        <f>VLOOKUP($B346,'Tillförd energi'!$B$1:$AI$720,MATCH(AE$1,'Tillförd energi'!$B$1:$AQ$1,0),FALSE)</f>
        <v>0</v>
      </c>
      <c r="AF346" s="121">
        <f>VLOOKUP($B346,'Tillförd energi'!$B$1:$AI$720,MATCH(AF$1,'Tillförd energi'!$B$1:$AQ$1,0),FALSE)</f>
        <v>0.154</v>
      </c>
      <c r="AG346" s="121">
        <f>IFERROR(VLOOKUP(B346,Miljö!$B$1:$AC$550,MATCH("Köpt mängd produktionsspecifik fjärrvärme:",Miljö!$B$1:$AC$1,0),FALSE)/1,0)</f>
        <v>0</v>
      </c>
      <c r="AH346" s="121"/>
      <c r="AI346" s="121">
        <f t="shared" si="132"/>
        <v>10.294</v>
      </c>
      <c r="AJ346" s="121">
        <f t="shared" si="133"/>
        <v>10.294</v>
      </c>
      <c r="AK346" s="121">
        <f>IF(ISERROR(1/VLOOKUP($B346,Leveranser!$B$1:$S$499,MATCH("såld värme (gwh)",Leveranser!$B$1:$S$1,0),FALSE)),"",VLOOKUP($B346,Leveranser!$B$1:$S$499,MATCH("såld värme (gwh)",Leveranser!$B$1:$S$1,0),FALSE))</f>
        <v>6.7370000000000001</v>
      </c>
      <c r="AL346" s="121">
        <f>VLOOKUP($B346,Leveranser!$B$1:$Y$499,MATCH("Totalt såld fjärrvärme till andra fjärrvärmeföretag",Leveranser!$B$1:$AA$1,0),FALSE)</f>
        <v>0</v>
      </c>
      <c r="AM346" s="121">
        <f>IF(ISERROR(1/VLOOKUP($B346,Miljö!$B$1:$S$500,MATCH("Såld mängd produktionsspecifik fjärrvärme (GWh)",Miljö!$B$1:$R$1,0),FALSE)),0,VLOOKUP($B346,Miljö!$B$1:$S$500,MATCH("Såld mängd produktionsspecifik fjärrvärme (GWh)",Miljö!$B$1:$R$1,0),FALSE))</f>
        <v>0</v>
      </c>
      <c r="AN346" s="172">
        <f t="shared" si="134"/>
        <v>0.65445890810180685</v>
      </c>
      <c r="AO346" s="121"/>
      <c r="AP346" s="121" t="str">
        <f>IFERROR(VLOOKUP($B346,Miljövärden!$B$2:$H$550,7,FALSE),"Nej, saknas")</f>
        <v>Ja</v>
      </c>
      <c r="AQ346" s="121" t="str">
        <f>IFERROR(VLOOKUP($B346,Miljövärden!$B$2:$H$550,6,FALSE),"Nej, saknas")</f>
        <v>Nej</v>
      </c>
      <c r="AU346">
        <f t="shared" si="135"/>
        <v>0.154</v>
      </c>
      <c r="AV346">
        <f t="shared" si="136"/>
        <v>0</v>
      </c>
      <c r="AW346">
        <f t="shared" si="137"/>
        <v>9.89</v>
      </c>
      <c r="AX346">
        <f t="shared" si="138"/>
        <v>0</v>
      </c>
      <c r="AZ346">
        <f t="shared" si="139"/>
        <v>10.14</v>
      </c>
      <c r="BC346">
        <f t="shared" si="140"/>
        <v>0</v>
      </c>
      <c r="BD346">
        <f t="shared" si="141"/>
        <v>0</v>
      </c>
      <c r="BE346">
        <f t="shared" si="142"/>
        <v>10.14</v>
      </c>
      <c r="BF346">
        <f t="shared" si="143"/>
        <v>0</v>
      </c>
      <c r="BG346">
        <f t="shared" si="144"/>
        <v>0.154</v>
      </c>
      <c r="BH346">
        <f>VLOOKUP(B346,Miljö!$B$1:$BX$482,MATCH("Fossilandel för ursprungspecificerad el ()",Miljö!$B$1:$I$1,0),FALSE)</f>
        <v>0</v>
      </c>
      <c r="BI346">
        <f>VLOOKUP(B346,Miljö!$B$1:$BX$482,MATCH("Kärnkraftsandel för ursprungsspecificerad el ()",Miljö!$B$1:$O$1,0),FALSE)</f>
        <v>0</v>
      </c>
      <c r="BJ346">
        <f t="shared" si="145"/>
        <v>0</v>
      </c>
      <c r="BK346" t="str">
        <f>VLOOKUP(B346,Miljö!$B$1:$O$482,MATCH("Fossil andel i procent (%)",Miljö!$B$1:$O$1,0),FALSE)</f>
        <v>ET</v>
      </c>
      <c r="BL346">
        <f t="shared" si="146"/>
        <v>10.294</v>
      </c>
      <c r="BO346" s="18">
        <f t="shared" si="147"/>
        <v>0</v>
      </c>
      <c r="BP346" s="18">
        <f t="shared" si="148"/>
        <v>0</v>
      </c>
      <c r="BQ346" s="18">
        <f t="shared" si="149"/>
        <v>1</v>
      </c>
      <c r="BR346" s="18">
        <f t="shared" si="150"/>
        <v>0</v>
      </c>
      <c r="BT346" s="27">
        <f t="shared" si="151"/>
        <v>1</v>
      </c>
      <c r="BW346" s="18">
        <f>IF(AP346="ja",VLOOKUP(B346,Miljövärden!$B$2:$H$550,MATCH("Total andel fossilt",Miljövärden!$B$2:$H$2,0),FALSE),"")</f>
        <v>0</v>
      </c>
      <c r="BZ346" s="28">
        <f t="shared" si="152"/>
        <v>0</v>
      </c>
      <c r="CA346" s="28">
        <f t="shared" si="153"/>
        <v>0</v>
      </c>
    </row>
    <row r="347" spans="1:79" x14ac:dyDescent="0.25">
      <c r="A347" s="224" t="s">
        <v>665</v>
      </c>
      <c r="B347" s="210" t="s">
        <v>669</v>
      </c>
      <c r="C347" s="121">
        <f>VLOOKUP($B347,'Tillförd energi'!$B$1:$AI$720,MATCH(C$1,'Tillförd energi'!$B$1:$AQ$1,0),FALSE)</f>
        <v>0</v>
      </c>
      <c r="D347" s="121">
        <f>VLOOKUP($B347,'Tillförd energi'!$B$1:$AI$720,MATCH(D$1,'Tillförd energi'!$B$1:$AQ$1,0),FALSE)</f>
        <v>0</v>
      </c>
      <c r="E347" s="121">
        <f>VLOOKUP($B347,'Tillförd energi'!$B$1:$AI$720,MATCH(E$1,'Tillförd energi'!$B$1:$AQ$1,0),FALSE)</f>
        <v>0</v>
      </c>
      <c r="F347" s="121">
        <f>VLOOKUP($B347,'Tillförd energi'!$B$1:$AI$720,MATCH(F$1,'Tillförd energi'!$B$1:$AQ$1,0),FALSE)</f>
        <v>0</v>
      </c>
      <c r="G347" s="121">
        <f>VLOOKUP($B347,'Tillförd energi'!$B$1:$AI$720,MATCH(G$1,'Tillförd energi'!$B$1:$AQ$1,0),FALSE)</f>
        <v>0</v>
      </c>
      <c r="H347" s="121">
        <f>VLOOKUP($B347,'Tillförd energi'!$B$1:$AI$720,MATCH(H$1,'Tillförd energi'!$B$1:$AQ$1,0),FALSE)</f>
        <v>0</v>
      </c>
      <c r="I347" s="121">
        <f>VLOOKUP($B347,'Tillförd energi'!$B$1:$AI$720,MATCH(I$1,'Tillförd energi'!$B$1:$AQ$1,0),FALSE)</f>
        <v>0</v>
      </c>
      <c r="J347" s="121">
        <f>VLOOKUP($B347,'Tillförd energi'!$B$1:$AI$720,MATCH(J$1,'Tillförd energi'!$B$1:$AQ$1,0),FALSE)</f>
        <v>0</v>
      </c>
      <c r="K347" s="121">
        <f>VLOOKUP($B347,'Tillförd energi'!$B$1:$AI$720,MATCH(K$1,'Tillförd energi'!$B$1:$AQ$1,0),FALSE)</f>
        <v>0</v>
      </c>
      <c r="L347" s="121">
        <f>VLOOKUP($B347,'Tillförd energi'!$B$1:$AI$720,MATCH(L$1,'Tillförd energi'!$B$1:$AQ$1,0),FALSE)</f>
        <v>0</v>
      </c>
      <c r="M347" s="121">
        <f>VLOOKUP($B347,'Tillförd energi'!$B$1:$AI$720,MATCH(M$1,'Tillförd energi'!$B$1:$AQ$1,0),FALSE)</f>
        <v>0</v>
      </c>
      <c r="N347" s="121">
        <f>VLOOKUP($B347,'Tillförd energi'!$B$1:$AI$720,MATCH(N$1,'Tillförd energi'!$B$1:$AQ$1,0),FALSE)</f>
        <v>0</v>
      </c>
      <c r="O347" s="121">
        <f>VLOOKUP($B347,'Tillförd energi'!$B$1:$AI$720,MATCH(O$1,'Tillförd energi'!$B$1:$AQ$1,0),FALSE)</f>
        <v>0</v>
      </c>
      <c r="P347" s="121">
        <f>VLOOKUP($B347,'Tillförd energi'!$B$1:$AI$720,MATCH(P$1,'Tillförd energi'!$B$1:$AQ$1,0),FALSE)</f>
        <v>0</v>
      </c>
      <c r="Q347" s="121">
        <f>VLOOKUP($B347,'Tillförd energi'!$B$1:$AI$720,MATCH(Q$1,'Tillförd energi'!$B$1:$AQ$1,0),FALSE)</f>
        <v>15.43</v>
      </c>
      <c r="R347" s="121">
        <f>VLOOKUP($B347,'Tillförd energi'!$B$1:$AI$720,MATCH(R$1,'Tillförd energi'!$B$1:$AQ$1,0),FALSE)</f>
        <v>0</v>
      </c>
      <c r="S347" s="121">
        <f>VLOOKUP($B347,'Tillförd energi'!$B$1:$AI$720,MATCH(S$1,'Tillförd energi'!$B$1:$AQ$1,0),FALSE)</f>
        <v>0</v>
      </c>
      <c r="T347" s="121">
        <f>VLOOKUP($B347,'Tillförd energi'!$B$1:$AI$720,MATCH(T$1,'Tillförd energi'!$B$1:$AQ$1,0),FALSE)</f>
        <v>0</v>
      </c>
      <c r="U347" s="121">
        <f>VLOOKUP($B347,'Tillförd energi'!$B$1:$AI$720,MATCH(U$1,'Tillförd energi'!$B$1:$AQ$1,0),FALSE)</f>
        <v>0</v>
      </c>
      <c r="V347" s="121">
        <f>VLOOKUP($B347,'Tillförd energi'!$B$1:$AI$720,MATCH(V$1,'Tillförd energi'!$B$1:$AQ$1,0),FALSE)</f>
        <v>0</v>
      </c>
      <c r="W347" s="121">
        <f>VLOOKUP($B347,'Tillförd energi'!$B$1:$AI$720,MATCH(W$1,'Tillförd energi'!$B$1:$AQ$1,0),FALSE)</f>
        <v>0.77</v>
      </c>
      <c r="X347" s="121">
        <f>VLOOKUP($B347,'Tillförd energi'!$B$1:$AI$720,MATCH(X$1,'Tillförd energi'!$B$1:$AQ$1,0),FALSE)</f>
        <v>0</v>
      </c>
      <c r="Y347" s="121">
        <f>VLOOKUP($B347,'Tillförd energi'!$B$1:$AI$720,MATCH(Y$1,'Tillförd energi'!$B$1:$AQ$1,0),FALSE)</f>
        <v>0</v>
      </c>
      <c r="Z347" s="121">
        <f>VLOOKUP($B347,'Tillförd energi'!$B$1:$AI$720,MATCH(Z$1,'Tillförd energi'!$B$1:$AQ$1,0),FALSE)</f>
        <v>0</v>
      </c>
      <c r="AA347" s="121">
        <f>VLOOKUP($B347,'Tillförd energi'!$B$1:$AI$720,MATCH(AA$1,'Tillförd energi'!$B$1:$AQ$1,0),FALSE)</f>
        <v>0</v>
      </c>
      <c r="AB347" s="121">
        <f>VLOOKUP($B347,'Tillförd energi'!$B$1:$AI$720,MATCH(AB$1,'Tillförd energi'!$B$1:$AQ$1,0),FALSE)</f>
        <v>0</v>
      </c>
      <c r="AC347" s="121">
        <f>VLOOKUP($B347,'Tillförd energi'!$B$1:$AI$720,MATCH(AC$1,'Tillförd energi'!$B$1:$AQ$1,0),FALSE)</f>
        <v>0</v>
      </c>
      <c r="AD347" s="121">
        <f>VLOOKUP($B347,'Tillförd energi'!$B$1:$AI$720,MATCH(AD$1,'Tillförd energi'!$B$1:$AQ$1,0),FALSE)</f>
        <v>0</v>
      </c>
      <c r="AE347" s="121">
        <f>VLOOKUP($B347,'Tillförd energi'!$B$1:$AI$720,MATCH(AE$1,'Tillförd energi'!$B$1:$AQ$1,0),FALSE)</f>
        <v>0</v>
      </c>
      <c r="AF347" s="121">
        <f>VLOOKUP($B347,'Tillförd energi'!$B$1:$AI$720,MATCH(AF$1,'Tillförd energi'!$B$1:$AQ$1,0),FALSE)</f>
        <v>0.22700000000000001</v>
      </c>
      <c r="AG347" s="121">
        <f>IFERROR(VLOOKUP(B347,Miljö!$B$1:$AC$550,MATCH("Köpt mängd produktionsspecifik fjärrvärme:",Miljö!$B$1:$AC$1,0),FALSE)/1,0)</f>
        <v>0</v>
      </c>
      <c r="AH347" s="121"/>
      <c r="AI347" s="121">
        <f t="shared" si="132"/>
        <v>16.427</v>
      </c>
      <c r="AJ347" s="121">
        <f t="shared" si="133"/>
        <v>16.427</v>
      </c>
      <c r="AK347" s="121">
        <f>IF(ISERROR(1/VLOOKUP($B347,Leveranser!$B$1:$S$499,MATCH("såld värme (gwh)",Leveranser!$B$1:$S$1,0),FALSE)),"",VLOOKUP($B347,Leveranser!$B$1:$S$499,MATCH("såld värme (gwh)",Leveranser!$B$1:$S$1,0),FALSE))</f>
        <v>12.093</v>
      </c>
      <c r="AL347" s="121">
        <f>VLOOKUP($B347,Leveranser!$B$1:$Y$499,MATCH("Totalt såld fjärrvärme till andra fjärrvärmeföretag",Leveranser!$B$1:$AA$1,0),FALSE)</f>
        <v>0</v>
      </c>
      <c r="AM347" s="121">
        <f>IF(ISERROR(1/VLOOKUP($B347,Miljö!$B$1:$S$500,MATCH("Såld mängd produktionsspecifik fjärrvärme (GWh)",Miljö!$B$1:$R$1,0),FALSE)),0,VLOOKUP($B347,Miljö!$B$1:$S$500,MATCH("Såld mängd produktionsspecifik fjärrvärme (GWh)",Miljö!$B$1:$R$1,0),FALSE))</f>
        <v>0</v>
      </c>
      <c r="AN347" s="172">
        <f t="shared" si="134"/>
        <v>0.7361660680586839</v>
      </c>
      <c r="AO347" s="121"/>
      <c r="AP347" s="121" t="str">
        <f>IFERROR(VLOOKUP($B347,Miljövärden!$B$2:$H$550,7,FALSE),"Nej, saknas")</f>
        <v>Ja</v>
      </c>
      <c r="AQ347" s="121" t="str">
        <f>IFERROR(VLOOKUP($B347,Miljövärden!$B$2:$H$550,6,FALSE),"Nej, saknas")</f>
        <v>Nej</v>
      </c>
      <c r="AU347">
        <f t="shared" si="135"/>
        <v>0.22700000000000001</v>
      </c>
      <c r="AV347">
        <f t="shared" si="136"/>
        <v>0</v>
      </c>
      <c r="AW347">
        <f t="shared" si="137"/>
        <v>15.43</v>
      </c>
      <c r="AX347">
        <f t="shared" si="138"/>
        <v>0</v>
      </c>
      <c r="AZ347">
        <f t="shared" si="139"/>
        <v>16.2</v>
      </c>
      <c r="BC347">
        <f t="shared" si="140"/>
        <v>0</v>
      </c>
      <c r="BD347">
        <f t="shared" si="141"/>
        <v>0</v>
      </c>
      <c r="BE347">
        <f t="shared" si="142"/>
        <v>16.2</v>
      </c>
      <c r="BF347">
        <f t="shared" si="143"/>
        <v>0</v>
      </c>
      <c r="BG347">
        <f t="shared" si="144"/>
        <v>0.22700000000000001</v>
      </c>
      <c r="BH347">
        <f>VLOOKUP(B347,Miljö!$B$1:$BX$482,MATCH("Fossilandel för ursprungspecificerad el ()",Miljö!$B$1:$I$1,0),FALSE)</f>
        <v>0</v>
      </c>
      <c r="BI347">
        <f>VLOOKUP(B347,Miljö!$B$1:$BX$482,MATCH("Kärnkraftsandel för ursprungsspecificerad el ()",Miljö!$B$1:$O$1,0),FALSE)</f>
        <v>0</v>
      </c>
      <c r="BJ347">
        <f t="shared" si="145"/>
        <v>0</v>
      </c>
      <c r="BK347" t="str">
        <f>VLOOKUP(B347,Miljö!$B$1:$O$482,MATCH("Fossil andel i procent (%)",Miljö!$B$1:$O$1,0),FALSE)</f>
        <v>ET</v>
      </c>
      <c r="BL347">
        <f t="shared" si="146"/>
        <v>16.427</v>
      </c>
      <c r="BO347" s="18">
        <f t="shared" si="147"/>
        <v>0</v>
      </c>
      <c r="BP347" s="18">
        <f t="shared" si="148"/>
        <v>0</v>
      </c>
      <c r="BQ347" s="18">
        <f t="shared" si="149"/>
        <v>1</v>
      </c>
      <c r="BR347" s="18">
        <f t="shared" si="150"/>
        <v>0</v>
      </c>
      <c r="BT347" s="27">
        <f t="shared" si="151"/>
        <v>1</v>
      </c>
      <c r="BW347" s="18">
        <f>IF(AP347="ja",VLOOKUP(B347,Miljövärden!$B$2:$H$550,MATCH("Total andel fossilt",Miljövärden!$B$2:$H$2,0),FALSE),"")</f>
        <v>0</v>
      </c>
      <c r="BZ347" s="28">
        <f t="shared" si="152"/>
        <v>0</v>
      </c>
      <c r="CA347" s="28">
        <f t="shared" si="153"/>
        <v>0</v>
      </c>
    </row>
    <row r="348" spans="1:79" x14ac:dyDescent="0.25">
      <c r="A348" s="224" t="s">
        <v>665</v>
      </c>
      <c r="B348" s="210" t="s">
        <v>670</v>
      </c>
      <c r="C348" s="121">
        <f>VLOOKUP($B348,'Tillförd energi'!$B$1:$AI$720,MATCH(C$1,'Tillförd energi'!$B$1:$AQ$1,0),FALSE)</f>
        <v>0</v>
      </c>
      <c r="D348" s="121">
        <f>VLOOKUP($B348,'Tillförd energi'!$B$1:$AI$720,MATCH(D$1,'Tillförd energi'!$B$1:$AQ$1,0),FALSE)</f>
        <v>0.69599999999999995</v>
      </c>
      <c r="E348" s="121">
        <f>VLOOKUP($B348,'Tillförd energi'!$B$1:$AI$720,MATCH(E$1,'Tillförd energi'!$B$1:$AQ$1,0),FALSE)</f>
        <v>4.2000000000000003E-2</v>
      </c>
      <c r="F348" s="121">
        <f>VLOOKUP($B348,'Tillförd energi'!$B$1:$AI$720,MATCH(F$1,'Tillförd energi'!$B$1:$AQ$1,0),FALSE)</f>
        <v>0</v>
      </c>
      <c r="G348" s="121">
        <f>VLOOKUP($B348,'Tillförd energi'!$B$1:$AI$720,MATCH(G$1,'Tillförd energi'!$B$1:$AQ$1,0),FALSE)</f>
        <v>0</v>
      </c>
      <c r="H348" s="121">
        <f>VLOOKUP($B348,'Tillförd energi'!$B$1:$AI$720,MATCH(H$1,'Tillförd energi'!$B$1:$AQ$1,0),FALSE)</f>
        <v>0</v>
      </c>
      <c r="I348" s="121">
        <f>VLOOKUP($B348,'Tillförd energi'!$B$1:$AI$720,MATCH(I$1,'Tillförd energi'!$B$1:$AQ$1,0),FALSE)</f>
        <v>0</v>
      </c>
      <c r="J348" s="121">
        <f>VLOOKUP($B348,'Tillförd energi'!$B$1:$AI$720,MATCH(J$1,'Tillförd energi'!$B$1:$AQ$1,0),FALSE)</f>
        <v>3.7</v>
      </c>
      <c r="K348" s="121">
        <f>VLOOKUP($B348,'Tillförd energi'!$B$1:$AI$720,MATCH(K$1,'Tillförd energi'!$B$1:$AQ$1,0),FALSE)</f>
        <v>0</v>
      </c>
      <c r="L348" s="121">
        <f>VLOOKUP($B348,'Tillförd energi'!$B$1:$AI$720,MATCH(L$1,'Tillförd energi'!$B$1:$AQ$1,0),FALSE)</f>
        <v>0</v>
      </c>
      <c r="M348" s="121">
        <f>VLOOKUP($B348,'Tillförd energi'!$B$1:$AI$720,MATCH(M$1,'Tillförd energi'!$B$1:$AQ$1,0),FALSE)</f>
        <v>46.768700000000003</v>
      </c>
      <c r="N348" s="121">
        <f>VLOOKUP($B348,'Tillförd energi'!$B$1:$AI$720,MATCH(N$1,'Tillförd energi'!$B$1:$AQ$1,0),FALSE)</f>
        <v>49.662599999999998</v>
      </c>
      <c r="O348" s="121">
        <f>VLOOKUP($B348,'Tillförd energi'!$B$1:$AI$720,MATCH(O$1,'Tillförd energi'!$B$1:$AQ$1,0),FALSE)</f>
        <v>0</v>
      </c>
      <c r="P348" s="121">
        <f>VLOOKUP($B348,'Tillförd energi'!$B$1:$AI$720,MATCH(P$1,'Tillförd energi'!$B$1:$AQ$1,0),FALSE)</f>
        <v>1.5</v>
      </c>
      <c r="Q348" s="121">
        <f>VLOOKUP($B348,'Tillförd energi'!$B$1:$AI$720,MATCH(Q$1,'Tillförd energi'!$B$1:$AQ$1,0),FALSE)</f>
        <v>5.6942699999999999E-2</v>
      </c>
      <c r="R348" s="121">
        <f>VLOOKUP($B348,'Tillförd energi'!$B$1:$AI$720,MATCH(R$1,'Tillförd energi'!$B$1:$AQ$1,0),FALSE)</f>
        <v>0</v>
      </c>
      <c r="S348" s="121">
        <f>VLOOKUP($B348,'Tillförd energi'!$B$1:$AI$720,MATCH(S$1,'Tillförd energi'!$B$1:$AQ$1,0),FALSE)</f>
        <v>0</v>
      </c>
      <c r="T348" s="121">
        <f>VLOOKUP($B348,'Tillförd energi'!$B$1:$AI$720,MATCH(T$1,'Tillförd energi'!$B$1:$AQ$1,0),FALSE)</f>
        <v>0</v>
      </c>
      <c r="U348" s="121">
        <f>VLOOKUP($B348,'Tillförd energi'!$B$1:$AI$720,MATCH(U$1,'Tillförd energi'!$B$1:$AQ$1,0),FALSE)</f>
        <v>0</v>
      </c>
      <c r="V348" s="121">
        <f>VLOOKUP($B348,'Tillförd energi'!$B$1:$AI$720,MATCH(V$1,'Tillförd energi'!$B$1:$AQ$1,0),FALSE)</f>
        <v>0</v>
      </c>
      <c r="W348" s="121">
        <f>VLOOKUP($B348,'Tillförd energi'!$B$1:$AI$720,MATCH(W$1,'Tillförd energi'!$B$1:$AQ$1,0),FALSE)</f>
        <v>0.77</v>
      </c>
      <c r="X348" s="121">
        <f>VLOOKUP($B348,'Tillförd energi'!$B$1:$AI$720,MATCH(X$1,'Tillförd energi'!$B$1:$AQ$1,0),FALSE)</f>
        <v>0</v>
      </c>
      <c r="Y348" s="121">
        <f>VLOOKUP($B348,'Tillförd energi'!$B$1:$AI$720,MATCH(Y$1,'Tillförd energi'!$B$1:$AQ$1,0),FALSE)</f>
        <v>0</v>
      </c>
      <c r="Z348" s="121">
        <f>VLOOKUP($B348,'Tillförd energi'!$B$1:$AI$720,MATCH(Z$1,'Tillförd energi'!$B$1:$AQ$1,0),FALSE)</f>
        <v>0</v>
      </c>
      <c r="AA348" s="121">
        <f>VLOOKUP($B348,'Tillförd energi'!$B$1:$AI$720,MATCH(AA$1,'Tillförd energi'!$B$1:$AQ$1,0),FALSE)</f>
        <v>0</v>
      </c>
      <c r="AB348" s="121">
        <f>VLOOKUP($B348,'Tillförd energi'!$B$1:$AI$720,MATCH(AB$1,'Tillförd energi'!$B$1:$AQ$1,0),FALSE)</f>
        <v>0</v>
      </c>
      <c r="AC348" s="121">
        <f>VLOOKUP($B348,'Tillförd energi'!$B$1:$AI$720,MATCH(AC$1,'Tillförd energi'!$B$1:$AQ$1,0),FALSE)</f>
        <v>16.149999999999999</v>
      </c>
      <c r="AD348" s="121">
        <f>VLOOKUP($B348,'Tillförd energi'!$B$1:$AI$720,MATCH(AD$1,'Tillförd energi'!$B$1:$AQ$1,0),FALSE)</f>
        <v>0</v>
      </c>
      <c r="AE348" s="121">
        <f>VLOOKUP($B348,'Tillförd energi'!$B$1:$AI$720,MATCH(AE$1,'Tillförd energi'!$B$1:$AQ$1,0),FALSE)</f>
        <v>0</v>
      </c>
      <c r="AF348" s="121">
        <f>VLOOKUP($B348,'Tillförd energi'!$B$1:$AI$720,MATCH(AF$1,'Tillförd energi'!$B$1:$AQ$1,0),FALSE)</f>
        <v>1.10554</v>
      </c>
      <c r="AG348" s="121">
        <f>IFERROR(VLOOKUP(B348,Miljö!$B$1:$AC$550,MATCH("Köpt mängd produktionsspecifik fjärrvärme:",Miljö!$B$1:$AC$1,0),FALSE)/1,0)</f>
        <v>0</v>
      </c>
      <c r="AH348" s="121"/>
      <c r="AI348" s="121">
        <f t="shared" si="132"/>
        <v>120.45178270000001</v>
      </c>
      <c r="AJ348" s="121">
        <f t="shared" si="133"/>
        <v>120.45178270000001</v>
      </c>
      <c r="AK348" s="121">
        <f>IF(ISERROR(1/VLOOKUP($B348,Leveranser!$B$1:$S$499,MATCH("såld värme (gwh)",Leveranser!$B$1:$S$1,0),FALSE)),"",VLOOKUP($B348,Leveranser!$B$1:$S$499,MATCH("såld värme (gwh)",Leveranser!$B$1:$S$1,0),FALSE))</f>
        <v>102.31</v>
      </c>
      <c r="AL348" s="121">
        <f>VLOOKUP($B348,Leveranser!$B$1:$Y$499,MATCH("Totalt såld fjärrvärme till andra fjärrvärmeföretag",Leveranser!$B$1:$AA$1,0),FALSE)</f>
        <v>0</v>
      </c>
      <c r="AM348" s="121">
        <f>IF(ISERROR(1/VLOOKUP($B348,Miljö!$B$1:$S$500,MATCH("Såld mängd produktionsspecifik fjärrvärme (GWh)",Miljö!$B$1:$R$1,0),FALSE)),0,VLOOKUP($B348,Miljö!$B$1:$S$500,MATCH("Såld mängd produktionsspecifik fjärrvärme (GWh)",Miljö!$B$1:$R$1,0),FALSE))</f>
        <v>0</v>
      </c>
      <c r="AN348" s="172">
        <f t="shared" si="134"/>
        <v>0.84938551930622441</v>
      </c>
      <c r="AO348" s="121"/>
      <c r="AP348" s="121" t="str">
        <f>IFERROR(VLOOKUP($B348,Miljövärden!$B$2:$H$550,7,FALSE),"Nej, saknas")</f>
        <v>Ja</v>
      </c>
      <c r="AQ348" s="121" t="str">
        <f>IFERROR(VLOOKUP($B348,Miljövärden!$B$2:$H$550,6,FALSE),"Nej, saknas")</f>
        <v>Nej</v>
      </c>
      <c r="AU348">
        <f t="shared" si="135"/>
        <v>1.10554</v>
      </c>
      <c r="AV348">
        <f t="shared" si="136"/>
        <v>0</v>
      </c>
      <c r="AW348">
        <f t="shared" si="137"/>
        <v>97.988242699999986</v>
      </c>
      <c r="AX348">
        <f t="shared" si="138"/>
        <v>0</v>
      </c>
      <c r="AZ348">
        <f t="shared" si="139"/>
        <v>98.758242699999983</v>
      </c>
      <c r="BC348">
        <f t="shared" si="140"/>
        <v>0.73799999999999999</v>
      </c>
      <c r="BD348">
        <f t="shared" si="141"/>
        <v>0</v>
      </c>
      <c r="BE348">
        <f t="shared" si="142"/>
        <v>98.758242699999983</v>
      </c>
      <c r="BF348">
        <f t="shared" si="143"/>
        <v>19.849999999999998</v>
      </c>
      <c r="BG348">
        <f t="shared" si="144"/>
        <v>1.10554</v>
      </c>
      <c r="BH348">
        <f>VLOOKUP(B348,Miljö!$B$1:$BX$482,MATCH("Fossilandel för ursprungspecificerad el ()",Miljö!$B$1:$I$1,0),FALSE)</f>
        <v>0</v>
      </c>
      <c r="BI348">
        <f>VLOOKUP(B348,Miljö!$B$1:$BX$482,MATCH("Kärnkraftsandel för ursprungsspecificerad el ()",Miljö!$B$1:$O$1,0),FALSE)</f>
        <v>0</v>
      </c>
      <c r="BJ348">
        <f t="shared" si="145"/>
        <v>0</v>
      </c>
      <c r="BK348" t="str">
        <f>VLOOKUP(B348,Miljö!$B$1:$O$482,MATCH("Fossil andel i procent (%)",Miljö!$B$1:$O$1,0),FALSE)</f>
        <v>ET</v>
      </c>
      <c r="BL348">
        <f t="shared" si="146"/>
        <v>120.45178269999998</v>
      </c>
      <c r="BO348" s="18">
        <f t="shared" si="147"/>
        <v>6.1269329806274428E-3</v>
      </c>
      <c r="BP348" s="18">
        <f t="shared" si="148"/>
        <v>0</v>
      </c>
      <c r="BQ348" s="18">
        <f t="shared" si="149"/>
        <v>0.82907683441035529</v>
      </c>
      <c r="BR348" s="18">
        <f t="shared" si="150"/>
        <v>0.16479623260901727</v>
      </c>
      <c r="BT348" s="27">
        <f t="shared" si="151"/>
        <v>1</v>
      </c>
      <c r="BW348" s="18">
        <f>IF(AP348="ja",VLOOKUP(B348,Miljövärden!$B$2:$H$550,MATCH("Total andel fossilt",Miljövärden!$B$2:$H$2,0),FALSE),"")</f>
        <v>6.1269200000000001E-3</v>
      </c>
      <c r="BZ348" s="28">
        <f t="shared" si="152"/>
        <v>-1.2980627442718551E-8</v>
      </c>
      <c r="CA348" s="28">
        <f t="shared" si="153"/>
        <v>0</v>
      </c>
    </row>
    <row r="349" spans="1:79" x14ac:dyDescent="0.25">
      <c r="A349" s="224" t="s">
        <v>671</v>
      </c>
      <c r="B349" s="210" t="s">
        <v>672</v>
      </c>
      <c r="C349" s="121">
        <f>VLOOKUP($B349,'Tillförd energi'!$B$1:$AI$720,MATCH(C$1,'Tillförd energi'!$B$1:$AQ$1,0),FALSE)</f>
        <v>0</v>
      </c>
      <c r="D349" s="121">
        <f>VLOOKUP($B349,'Tillförd energi'!$B$1:$AI$720,MATCH(D$1,'Tillförd energi'!$B$1:$AQ$1,0),FALSE)</f>
        <v>2.4E-2</v>
      </c>
      <c r="E349" s="121">
        <f>VLOOKUP($B349,'Tillförd energi'!$B$1:$AI$720,MATCH(E$1,'Tillförd energi'!$B$1:$AQ$1,0),FALSE)</f>
        <v>0</v>
      </c>
      <c r="F349" s="121">
        <f>VLOOKUP($B349,'Tillförd energi'!$B$1:$AI$720,MATCH(F$1,'Tillförd energi'!$B$1:$AQ$1,0),FALSE)</f>
        <v>0</v>
      </c>
      <c r="G349" s="121">
        <f>VLOOKUP($B349,'Tillförd energi'!$B$1:$AI$720,MATCH(G$1,'Tillförd energi'!$B$1:$AQ$1,0),FALSE)</f>
        <v>0</v>
      </c>
      <c r="H349" s="121">
        <f>VLOOKUP($B349,'Tillförd energi'!$B$1:$AI$720,MATCH(H$1,'Tillförd energi'!$B$1:$AQ$1,0),FALSE)</f>
        <v>0</v>
      </c>
      <c r="I349" s="121">
        <f>VLOOKUP($B349,'Tillförd energi'!$B$1:$AI$720,MATCH(I$1,'Tillförd energi'!$B$1:$AQ$1,0),FALSE)</f>
        <v>0</v>
      </c>
      <c r="J349" s="121">
        <f>VLOOKUP($B349,'Tillförd energi'!$B$1:$AI$720,MATCH(J$1,'Tillförd energi'!$B$1:$AQ$1,0),FALSE)</f>
        <v>0</v>
      </c>
      <c r="K349" s="121">
        <f>VLOOKUP($B349,'Tillförd energi'!$B$1:$AI$720,MATCH(K$1,'Tillförd energi'!$B$1:$AQ$1,0),FALSE)</f>
        <v>0</v>
      </c>
      <c r="L349" s="121">
        <f>VLOOKUP($B349,'Tillförd energi'!$B$1:$AI$720,MATCH(L$1,'Tillförd energi'!$B$1:$AQ$1,0),FALSE)</f>
        <v>0</v>
      </c>
      <c r="M349" s="121">
        <f>VLOOKUP($B349,'Tillförd energi'!$B$1:$AI$720,MATCH(M$1,'Tillförd energi'!$B$1:$AQ$1,0),FALSE)</f>
        <v>0</v>
      </c>
      <c r="N349" s="121">
        <f>VLOOKUP($B349,'Tillförd energi'!$B$1:$AI$720,MATCH(N$1,'Tillförd energi'!$B$1:$AQ$1,0),FALSE)</f>
        <v>0</v>
      </c>
      <c r="O349" s="121">
        <f>VLOOKUP($B349,'Tillförd energi'!$B$1:$AI$720,MATCH(O$1,'Tillförd energi'!$B$1:$AQ$1,0),FALSE)</f>
        <v>0</v>
      </c>
      <c r="P349" s="121">
        <f>VLOOKUP($B349,'Tillförd energi'!$B$1:$AI$720,MATCH(P$1,'Tillförd energi'!$B$1:$AQ$1,0),FALSE)</f>
        <v>0</v>
      </c>
      <c r="Q349" s="121">
        <f>VLOOKUP($B349,'Tillförd energi'!$B$1:$AI$720,MATCH(Q$1,'Tillförd energi'!$B$1:$AQ$1,0),FALSE)</f>
        <v>0</v>
      </c>
      <c r="R349" s="121">
        <f>VLOOKUP($B349,'Tillförd energi'!$B$1:$AI$720,MATCH(R$1,'Tillförd energi'!$B$1:$AQ$1,0),FALSE)</f>
        <v>0.10299999999999999</v>
      </c>
      <c r="S349" s="121">
        <f>VLOOKUP($B349,'Tillförd energi'!$B$1:$AI$720,MATCH(S$1,'Tillförd energi'!$B$1:$AQ$1,0),FALSE)</f>
        <v>2.65</v>
      </c>
      <c r="T349" s="121">
        <f>VLOOKUP($B349,'Tillförd energi'!$B$1:$AI$720,MATCH(T$1,'Tillförd energi'!$B$1:$AQ$1,0),FALSE)</f>
        <v>0</v>
      </c>
      <c r="U349" s="121">
        <f>VLOOKUP($B349,'Tillförd energi'!$B$1:$AI$720,MATCH(U$1,'Tillförd energi'!$B$1:$AQ$1,0),FALSE)</f>
        <v>0</v>
      </c>
      <c r="V349" s="121">
        <f>VLOOKUP($B349,'Tillförd energi'!$B$1:$AI$720,MATCH(V$1,'Tillförd energi'!$B$1:$AQ$1,0),FALSE)</f>
        <v>0</v>
      </c>
      <c r="W349" s="121">
        <f>VLOOKUP($B349,'Tillförd energi'!$B$1:$AI$720,MATCH(W$1,'Tillförd energi'!$B$1:$AQ$1,0),FALSE)</f>
        <v>0</v>
      </c>
      <c r="X349" s="121">
        <f>VLOOKUP($B349,'Tillförd energi'!$B$1:$AI$720,MATCH(X$1,'Tillförd energi'!$B$1:$AQ$1,0),FALSE)</f>
        <v>0</v>
      </c>
      <c r="Y349" s="121">
        <f>VLOOKUP($B349,'Tillförd energi'!$B$1:$AI$720,MATCH(Y$1,'Tillförd energi'!$B$1:$AQ$1,0),FALSE)</f>
        <v>0</v>
      </c>
      <c r="Z349" s="121">
        <f>VLOOKUP($B349,'Tillförd energi'!$B$1:$AI$720,MATCH(Z$1,'Tillförd energi'!$B$1:$AQ$1,0),FALSE)</f>
        <v>0</v>
      </c>
      <c r="AA349" s="121">
        <f>VLOOKUP($B349,'Tillförd energi'!$B$1:$AI$720,MATCH(AA$1,'Tillförd energi'!$B$1:$AQ$1,0),FALSE)</f>
        <v>0</v>
      </c>
      <c r="AB349" s="121">
        <f>VLOOKUP($B349,'Tillförd energi'!$B$1:$AI$720,MATCH(AB$1,'Tillförd energi'!$B$1:$AQ$1,0),FALSE)</f>
        <v>0</v>
      </c>
      <c r="AC349" s="121">
        <f>VLOOKUP($B349,'Tillförd energi'!$B$1:$AI$720,MATCH(AC$1,'Tillförd energi'!$B$1:$AQ$1,0),FALSE)</f>
        <v>0</v>
      </c>
      <c r="AD349" s="121">
        <f>VLOOKUP($B349,'Tillförd energi'!$B$1:$AI$720,MATCH(AD$1,'Tillförd energi'!$B$1:$AQ$1,0),FALSE)</f>
        <v>0</v>
      </c>
      <c r="AE349" s="121">
        <f>VLOOKUP($B349,'Tillförd energi'!$B$1:$AI$720,MATCH(AE$1,'Tillförd energi'!$B$1:$AQ$1,0),FALSE)</f>
        <v>0</v>
      </c>
      <c r="AF349" s="121">
        <f>VLOOKUP($B349,'Tillförd energi'!$B$1:$AI$720,MATCH(AF$1,'Tillförd energi'!$B$1:$AQ$1,0),FALSE)</f>
        <v>5.28E-2</v>
      </c>
      <c r="AG349" s="121">
        <f>IFERROR(VLOOKUP(B349,Miljö!$B$1:$AC$550,MATCH("Köpt mängd produktionsspecifik fjärrvärme:",Miljö!$B$1:$AC$1,0),FALSE)/1,0)</f>
        <v>0</v>
      </c>
      <c r="AH349" s="121"/>
      <c r="AI349" s="121">
        <f t="shared" si="132"/>
        <v>2.8298000000000001</v>
      </c>
      <c r="AJ349" s="121">
        <f t="shared" si="133"/>
        <v>2.8298000000000001</v>
      </c>
      <c r="AK349" s="121">
        <f>IF(ISERROR(1/VLOOKUP($B349,Leveranser!$B$1:$S$499,MATCH("såld värme (gwh)",Leveranser!$B$1:$S$1,0),FALSE)),"",VLOOKUP($B349,Leveranser!$B$1:$S$499,MATCH("såld värme (gwh)",Leveranser!$B$1:$S$1,0),FALSE))</f>
        <v>2.12</v>
      </c>
      <c r="AL349" s="121">
        <f>VLOOKUP($B349,Leveranser!$B$1:$Y$499,MATCH("Totalt såld fjärrvärme till andra fjärrvärmeföretag",Leveranser!$B$1:$AA$1,0),FALSE)</f>
        <v>0</v>
      </c>
      <c r="AM349" s="121">
        <f>IF(ISERROR(1/VLOOKUP($B349,Miljö!$B$1:$S$500,MATCH("Såld mängd produktionsspecifik fjärrvärme (GWh)",Miljö!$B$1:$R$1,0),FALSE)),0,VLOOKUP($B349,Miljö!$B$1:$S$500,MATCH("Såld mängd produktionsspecifik fjärrvärme (GWh)",Miljö!$B$1:$R$1,0),FALSE))</f>
        <v>0</v>
      </c>
      <c r="AN349" s="172">
        <f t="shared" si="134"/>
        <v>0.74916955261855966</v>
      </c>
      <c r="AO349" s="121"/>
      <c r="AP349" s="121" t="str">
        <f>IFERROR(VLOOKUP($B349,Miljövärden!$B$2:$H$550,7,FALSE),"Nej, saknas")</f>
        <v>Ja</v>
      </c>
      <c r="AQ349" s="121" t="str">
        <f>IFERROR(VLOOKUP($B349,Miljövärden!$B$2:$H$550,6,FALSE),"Nej, saknas")</f>
        <v>Ja</v>
      </c>
      <c r="AU349">
        <f t="shared" si="135"/>
        <v>5.28E-2</v>
      </c>
      <c r="AV349">
        <f t="shared" si="136"/>
        <v>0</v>
      </c>
      <c r="AW349">
        <f t="shared" si="137"/>
        <v>0</v>
      </c>
      <c r="AX349">
        <f t="shared" si="138"/>
        <v>2.7530000000000001</v>
      </c>
      <c r="AZ349">
        <f t="shared" si="139"/>
        <v>2.7530000000000001</v>
      </c>
      <c r="BC349">
        <f t="shared" si="140"/>
        <v>2.4E-2</v>
      </c>
      <c r="BD349">
        <f t="shared" si="141"/>
        <v>0</v>
      </c>
      <c r="BE349">
        <f t="shared" si="142"/>
        <v>2.7530000000000001</v>
      </c>
      <c r="BF349">
        <f t="shared" si="143"/>
        <v>0</v>
      </c>
      <c r="BG349">
        <f t="shared" si="144"/>
        <v>5.28E-2</v>
      </c>
      <c r="BH349">
        <f>VLOOKUP(B349,Miljö!$B$1:$BX$482,MATCH("Fossilandel för ursprungspecificerad el ()",Miljö!$B$1:$I$1,0),FALSE)</f>
        <v>0</v>
      </c>
      <c r="BI349">
        <f>VLOOKUP(B349,Miljö!$B$1:$BX$482,MATCH("Kärnkraftsandel för ursprungsspecificerad el ()",Miljö!$B$1:$O$1,0),FALSE)</f>
        <v>0</v>
      </c>
      <c r="BJ349">
        <f t="shared" si="145"/>
        <v>0</v>
      </c>
      <c r="BK349" t="str">
        <f>VLOOKUP(B349,Miljö!$B$1:$O$482,MATCH("Fossil andel i procent (%)",Miljö!$B$1:$O$1,0),FALSE)</f>
        <v>ET</v>
      </c>
      <c r="BL349">
        <f t="shared" si="146"/>
        <v>2.8298000000000001</v>
      </c>
      <c r="BO349" s="18">
        <f t="shared" si="147"/>
        <v>8.4811647466252037E-3</v>
      </c>
      <c r="BP349" s="18">
        <f t="shared" si="148"/>
        <v>0</v>
      </c>
      <c r="BQ349" s="18">
        <f t="shared" si="149"/>
        <v>0.99151883525337481</v>
      </c>
      <c r="BR349" s="18">
        <f t="shared" si="150"/>
        <v>0</v>
      </c>
      <c r="BT349" s="27">
        <f t="shared" si="151"/>
        <v>1</v>
      </c>
      <c r="BW349" s="18">
        <f>IF(AP349="ja",VLOOKUP(B349,Miljövärden!$B$2:$H$550,MATCH("Total andel fossilt",Miljövärden!$B$2:$H$2,0),FALSE),"")</f>
        <v>8.4811599999999997E-3</v>
      </c>
      <c r="BZ349" s="28">
        <f t="shared" si="152"/>
        <v>-4.7466252039995993E-9</v>
      </c>
      <c r="CA349" s="28">
        <f t="shared" si="153"/>
        <v>0</v>
      </c>
    </row>
    <row r="350" spans="1:79" x14ac:dyDescent="0.25">
      <c r="A350" s="224" t="s">
        <v>671</v>
      </c>
      <c r="B350" s="210" t="s">
        <v>673</v>
      </c>
      <c r="C350" s="121">
        <f>VLOOKUP($B350,'Tillförd energi'!$B$1:$AI$720,MATCH(C$1,'Tillförd energi'!$B$1:$AQ$1,0),FALSE)</f>
        <v>0</v>
      </c>
      <c r="D350" s="121">
        <f>VLOOKUP($B350,'Tillförd energi'!$B$1:$AI$720,MATCH(D$1,'Tillförd energi'!$B$1:$AQ$1,0),FALSE)</f>
        <v>3.7726299999999999</v>
      </c>
      <c r="E350" s="121">
        <f>VLOOKUP($B350,'Tillförd energi'!$B$1:$AI$720,MATCH(E$1,'Tillförd energi'!$B$1:$AQ$1,0),FALSE)</f>
        <v>0</v>
      </c>
      <c r="F350" s="121">
        <f>VLOOKUP($B350,'Tillförd energi'!$B$1:$AI$720,MATCH(F$1,'Tillförd energi'!$B$1:$AQ$1,0),FALSE)</f>
        <v>0</v>
      </c>
      <c r="G350" s="121">
        <f>VLOOKUP($B350,'Tillförd energi'!$B$1:$AI$720,MATCH(G$1,'Tillförd energi'!$B$1:$AQ$1,0),FALSE)</f>
        <v>0</v>
      </c>
      <c r="H350" s="121">
        <f>VLOOKUP($B350,'Tillförd energi'!$B$1:$AI$720,MATCH(H$1,'Tillförd energi'!$B$1:$AQ$1,0),FALSE)</f>
        <v>0</v>
      </c>
      <c r="I350" s="121">
        <f>VLOOKUP($B350,'Tillförd energi'!$B$1:$AI$720,MATCH(I$1,'Tillförd energi'!$B$1:$AQ$1,0),FALSE)</f>
        <v>0</v>
      </c>
      <c r="J350" s="121">
        <f>VLOOKUP($B350,'Tillförd energi'!$B$1:$AI$720,MATCH(J$1,'Tillförd energi'!$B$1:$AQ$1,0),FALSE)</f>
        <v>0</v>
      </c>
      <c r="K350" s="121">
        <f>VLOOKUP($B350,'Tillförd energi'!$B$1:$AI$720,MATCH(K$1,'Tillförd energi'!$B$1:$AQ$1,0),FALSE)</f>
        <v>0</v>
      </c>
      <c r="L350" s="121">
        <f>VLOOKUP($B350,'Tillförd energi'!$B$1:$AI$720,MATCH(L$1,'Tillförd energi'!$B$1:$AQ$1,0),FALSE)</f>
        <v>103.583</v>
      </c>
      <c r="M350" s="121">
        <f>VLOOKUP($B350,'Tillförd energi'!$B$1:$AI$720,MATCH(M$1,'Tillförd energi'!$B$1:$AQ$1,0),FALSE)</f>
        <v>0</v>
      </c>
      <c r="N350" s="121">
        <f>VLOOKUP($B350,'Tillförd energi'!$B$1:$AI$720,MATCH(N$1,'Tillförd energi'!$B$1:$AQ$1,0),FALSE)</f>
        <v>0</v>
      </c>
      <c r="O350" s="121">
        <f>VLOOKUP($B350,'Tillförd energi'!$B$1:$AI$720,MATCH(O$1,'Tillförd energi'!$B$1:$AQ$1,0),FALSE)</f>
        <v>0</v>
      </c>
      <c r="P350" s="121">
        <f>VLOOKUP($B350,'Tillförd energi'!$B$1:$AI$720,MATCH(P$1,'Tillförd energi'!$B$1:$AQ$1,0),FALSE)</f>
        <v>0</v>
      </c>
      <c r="Q350" s="121">
        <f>VLOOKUP($B350,'Tillförd energi'!$B$1:$AI$720,MATCH(Q$1,'Tillförd energi'!$B$1:$AQ$1,0),FALSE)</f>
        <v>0</v>
      </c>
      <c r="R350" s="121">
        <f>VLOOKUP($B350,'Tillförd energi'!$B$1:$AI$720,MATCH(R$1,'Tillförd energi'!$B$1:$AQ$1,0),FALSE)</f>
        <v>0</v>
      </c>
      <c r="S350" s="121">
        <f>VLOOKUP($B350,'Tillförd energi'!$B$1:$AI$720,MATCH(S$1,'Tillförd energi'!$B$1:$AQ$1,0),FALSE)</f>
        <v>0</v>
      </c>
      <c r="T350" s="121">
        <f>VLOOKUP($B350,'Tillförd energi'!$B$1:$AI$720,MATCH(T$1,'Tillförd energi'!$B$1:$AQ$1,0),FALSE)</f>
        <v>0</v>
      </c>
      <c r="U350" s="121">
        <f>VLOOKUP($B350,'Tillförd energi'!$B$1:$AI$720,MATCH(U$1,'Tillförd energi'!$B$1:$AQ$1,0),FALSE)</f>
        <v>0</v>
      </c>
      <c r="V350" s="121">
        <f>VLOOKUP($B350,'Tillförd energi'!$B$1:$AI$720,MATCH(V$1,'Tillförd energi'!$B$1:$AQ$1,0),FALSE)</f>
        <v>0</v>
      </c>
      <c r="W350" s="121">
        <f>VLOOKUP($B350,'Tillförd energi'!$B$1:$AI$720,MATCH(W$1,'Tillförd energi'!$B$1:$AQ$1,0),FALSE)</f>
        <v>0</v>
      </c>
      <c r="X350" s="121">
        <f>VLOOKUP($B350,'Tillförd energi'!$B$1:$AI$720,MATCH(X$1,'Tillförd energi'!$B$1:$AQ$1,0),FALSE)</f>
        <v>0</v>
      </c>
      <c r="Y350" s="121">
        <f>VLOOKUP($B350,'Tillförd energi'!$B$1:$AI$720,MATCH(Y$1,'Tillförd energi'!$B$1:$AQ$1,0),FALSE)</f>
        <v>0</v>
      </c>
      <c r="Z350" s="121">
        <f>VLOOKUP($B350,'Tillförd energi'!$B$1:$AI$720,MATCH(Z$1,'Tillförd energi'!$B$1:$AQ$1,0),FALSE)</f>
        <v>0</v>
      </c>
      <c r="AA350" s="121">
        <f>VLOOKUP($B350,'Tillförd energi'!$B$1:$AI$720,MATCH(AA$1,'Tillförd energi'!$B$1:$AQ$1,0),FALSE)</f>
        <v>0</v>
      </c>
      <c r="AB350" s="121">
        <f>VLOOKUP($B350,'Tillförd energi'!$B$1:$AI$720,MATCH(AB$1,'Tillförd energi'!$B$1:$AQ$1,0),FALSE)</f>
        <v>0</v>
      </c>
      <c r="AC350" s="121">
        <f>VLOOKUP($B350,'Tillförd energi'!$B$1:$AI$720,MATCH(AC$1,'Tillförd energi'!$B$1:$AQ$1,0),FALSE)</f>
        <v>28</v>
      </c>
      <c r="AD350" s="121">
        <f>VLOOKUP($B350,'Tillförd energi'!$B$1:$AI$720,MATCH(AD$1,'Tillförd energi'!$B$1:$AQ$1,0),FALSE)</f>
        <v>0.40600000000000003</v>
      </c>
      <c r="AE350" s="121">
        <f>VLOOKUP($B350,'Tillförd energi'!$B$1:$AI$720,MATCH(AE$1,'Tillförd energi'!$B$1:$AQ$1,0),FALSE)</f>
        <v>0</v>
      </c>
      <c r="AF350" s="121">
        <f>VLOOKUP($B350,'Tillförd energi'!$B$1:$AI$720,MATCH(AF$1,'Tillförd energi'!$B$1:$AQ$1,0),FALSE)</f>
        <v>2.2601200000000001</v>
      </c>
      <c r="AG350" s="121">
        <f>IFERROR(VLOOKUP(B350,Miljö!$B$1:$AC$550,MATCH("Köpt mängd produktionsspecifik fjärrvärme:",Miljö!$B$1:$AC$1,0),FALSE)/1,0)</f>
        <v>0</v>
      </c>
      <c r="AH350" s="121"/>
      <c r="AI350" s="121">
        <f t="shared" si="132"/>
        <v>138.02175000000003</v>
      </c>
      <c r="AJ350" s="121">
        <f t="shared" si="133"/>
        <v>138.02175000000003</v>
      </c>
      <c r="AK350" s="121">
        <f>IF(ISERROR(1/VLOOKUP($B350,Leveranser!$B$1:$S$499,MATCH("såld värme (gwh)",Leveranser!$B$1:$S$1,0),FALSE)),"",VLOOKUP($B350,Leveranser!$B$1:$S$499,MATCH("såld värme (gwh)",Leveranser!$B$1:$S$1,0),FALSE))</f>
        <v>128.35300000000001</v>
      </c>
      <c r="AL350" s="121">
        <f>VLOOKUP($B350,Leveranser!$B$1:$Y$499,MATCH("Totalt såld fjärrvärme till andra fjärrvärmeföretag",Leveranser!$B$1:$AA$1,0),FALSE)</f>
        <v>0</v>
      </c>
      <c r="AM350" s="121">
        <f>IF(ISERROR(1/VLOOKUP($B350,Miljö!$B$1:$S$500,MATCH("Såld mängd produktionsspecifik fjärrvärme (GWh)",Miljö!$B$1:$R$1,0),FALSE)),0,VLOOKUP($B350,Miljö!$B$1:$S$500,MATCH("Såld mängd produktionsspecifik fjärrvärme (GWh)",Miljö!$B$1:$R$1,0),FALSE))</f>
        <v>0</v>
      </c>
      <c r="AN350" s="172">
        <f t="shared" si="134"/>
        <v>0.92994763506476319</v>
      </c>
      <c r="AO350" s="121"/>
      <c r="AP350" s="121" t="str">
        <f>IFERROR(VLOOKUP($B350,Miljövärden!$B$2:$H$550,7,FALSE),"Nej, saknas")</f>
        <v>Ja</v>
      </c>
      <c r="AQ350" s="121" t="str">
        <f>IFERROR(VLOOKUP($B350,Miljövärden!$B$2:$H$550,6,FALSE),"Nej, saknas")</f>
        <v>Ja</v>
      </c>
      <c r="AU350">
        <f t="shared" si="135"/>
        <v>2.2601200000000001</v>
      </c>
      <c r="AV350">
        <f t="shared" si="136"/>
        <v>0</v>
      </c>
      <c r="AW350">
        <f t="shared" si="137"/>
        <v>0</v>
      </c>
      <c r="AX350">
        <f t="shared" si="138"/>
        <v>0</v>
      </c>
      <c r="AZ350">
        <f t="shared" si="139"/>
        <v>103.583</v>
      </c>
      <c r="BC350">
        <f t="shared" si="140"/>
        <v>3.7726299999999999</v>
      </c>
      <c r="BD350">
        <f t="shared" si="141"/>
        <v>0</v>
      </c>
      <c r="BE350">
        <f t="shared" si="142"/>
        <v>0</v>
      </c>
      <c r="BF350">
        <f t="shared" si="143"/>
        <v>131.989</v>
      </c>
      <c r="BG350">
        <f t="shared" si="144"/>
        <v>2.2601200000000001</v>
      </c>
      <c r="BH350">
        <f>VLOOKUP(B350,Miljö!$B$1:$BX$482,MATCH("Fossilandel för ursprungspecificerad el ()",Miljö!$B$1:$I$1,0),FALSE)</f>
        <v>0</v>
      </c>
      <c r="BI350">
        <f>VLOOKUP(B350,Miljö!$B$1:$BX$482,MATCH("Kärnkraftsandel för ursprungsspecificerad el ()",Miljö!$B$1:$O$1,0),FALSE)</f>
        <v>0</v>
      </c>
      <c r="BJ350">
        <f t="shared" si="145"/>
        <v>0</v>
      </c>
      <c r="BK350" t="str">
        <f>VLOOKUP(B350,Miljö!$B$1:$O$482,MATCH("Fossil andel i procent (%)",Miljö!$B$1:$O$1,0),FALSE)</f>
        <v>ET</v>
      </c>
      <c r="BL350">
        <f t="shared" si="146"/>
        <v>138.02175</v>
      </c>
      <c r="BO350" s="18">
        <f t="shared" si="147"/>
        <v>2.7333590539172267E-2</v>
      </c>
      <c r="BP350" s="18">
        <f t="shared" si="148"/>
        <v>0</v>
      </c>
      <c r="BQ350" s="18">
        <f t="shared" si="149"/>
        <v>1.6375100301220642E-2</v>
      </c>
      <c r="BR350" s="18">
        <f t="shared" si="150"/>
        <v>0.95629130915960714</v>
      </c>
      <c r="BT350" s="27">
        <f t="shared" si="151"/>
        <v>1</v>
      </c>
      <c r="BW350" s="18">
        <f>IF(AP350="ja",VLOOKUP(B350,Miljövärden!$B$2:$H$550,MATCH("Total andel fossilt",Miljövärden!$B$2:$H$2,0),FALSE),"")</f>
        <v>2.73335E-2</v>
      </c>
      <c r="BZ350" s="28">
        <f t="shared" si="152"/>
        <v>-9.0539172267062318E-8</v>
      </c>
      <c r="CA350" s="28">
        <f t="shared" si="153"/>
        <v>0</v>
      </c>
    </row>
    <row r="351" spans="1:79" x14ac:dyDescent="0.25">
      <c r="A351" s="224" t="s">
        <v>671</v>
      </c>
      <c r="B351" s="210" t="s">
        <v>674</v>
      </c>
      <c r="C351" s="121">
        <f>VLOOKUP($B351,'Tillförd energi'!$B$1:$AI$720,MATCH(C$1,'Tillförd energi'!$B$1:$AQ$1,0),FALSE)</f>
        <v>0</v>
      </c>
      <c r="D351" s="121">
        <f>VLOOKUP($B351,'Tillförd energi'!$B$1:$AI$720,MATCH(D$1,'Tillförd energi'!$B$1:$AQ$1,0),FALSE)</f>
        <v>0.08</v>
      </c>
      <c r="E351" s="121">
        <f>VLOOKUP($B351,'Tillförd energi'!$B$1:$AI$720,MATCH(E$1,'Tillförd energi'!$B$1:$AQ$1,0),FALSE)</f>
        <v>0</v>
      </c>
      <c r="F351" s="121">
        <f>VLOOKUP($B351,'Tillförd energi'!$B$1:$AI$720,MATCH(F$1,'Tillförd energi'!$B$1:$AQ$1,0),FALSE)</f>
        <v>0</v>
      </c>
      <c r="G351" s="121">
        <f>VLOOKUP($B351,'Tillförd energi'!$B$1:$AI$720,MATCH(G$1,'Tillförd energi'!$B$1:$AQ$1,0),FALSE)</f>
        <v>0</v>
      </c>
      <c r="H351" s="121">
        <f>VLOOKUP($B351,'Tillförd energi'!$B$1:$AI$720,MATCH(H$1,'Tillförd energi'!$B$1:$AQ$1,0),FALSE)</f>
        <v>0</v>
      </c>
      <c r="I351" s="121">
        <f>VLOOKUP($B351,'Tillförd energi'!$B$1:$AI$720,MATCH(I$1,'Tillförd energi'!$B$1:$AQ$1,0),FALSE)</f>
        <v>0</v>
      </c>
      <c r="J351" s="121">
        <f>VLOOKUP($B351,'Tillförd energi'!$B$1:$AI$720,MATCH(J$1,'Tillförd energi'!$B$1:$AQ$1,0),FALSE)</f>
        <v>0</v>
      </c>
      <c r="K351" s="121">
        <f>VLOOKUP($B351,'Tillförd energi'!$B$1:$AI$720,MATCH(K$1,'Tillförd energi'!$B$1:$AQ$1,0),FALSE)</f>
        <v>0</v>
      </c>
      <c r="L351" s="121">
        <f>VLOOKUP($B351,'Tillförd energi'!$B$1:$AI$720,MATCH(L$1,'Tillförd energi'!$B$1:$AQ$1,0),FALSE)</f>
        <v>0</v>
      </c>
      <c r="M351" s="121">
        <f>VLOOKUP($B351,'Tillförd energi'!$B$1:$AI$720,MATCH(M$1,'Tillförd energi'!$B$1:$AQ$1,0),FALSE)</f>
        <v>0</v>
      </c>
      <c r="N351" s="121">
        <f>VLOOKUP($B351,'Tillförd energi'!$B$1:$AI$720,MATCH(N$1,'Tillförd energi'!$B$1:$AQ$1,0),FALSE)</f>
        <v>0</v>
      </c>
      <c r="O351" s="121">
        <f>VLOOKUP($B351,'Tillförd energi'!$B$1:$AI$720,MATCH(O$1,'Tillförd energi'!$B$1:$AQ$1,0),FALSE)</f>
        <v>17.414999999999999</v>
      </c>
      <c r="P351" s="121">
        <f>VLOOKUP($B351,'Tillförd energi'!$B$1:$AI$720,MATCH(P$1,'Tillförd energi'!$B$1:$AQ$1,0),FALSE)</f>
        <v>11.061999999999999</v>
      </c>
      <c r="Q351" s="121">
        <f>VLOOKUP($B351,'Tillförd energi'!$B$1:$AI$720,MATCH(Q$1,'Tillförd energi'!$B$1:$AQ$1,0),FALSE)</f>
        <v>0</v>
      </c>
      <c r="R351" s="121">
        <f>VLOOKUP($B351,'Tillförd energi'!$B$1:$AI$720,MATCH(R$1,'Tillförd energi'!$B$1:$AQ$1,0),FALSE)</f>
        <v>0</v>
      </c>
      <c r="S351" s="121">
        <f>VLOOKUP($B351,'Tillförd energi'!$B$1:$AI$720,MATCH(S$1,'Tillförd energi'!$B$1:$AQ$1,0),FALSE)</f>
        <v>1.581</v>
      </c>
      <c r="T351" s="121">
        <f>VLOOKUP($B351,'Tillförd energi'!$B$1:$AI$720,MATCH(T$1,'Tillförd energi'!$B$1:$AQ$1,0),FALSE)</f>
        <v>0</v>
      </c>
      <c r="U351" s="121">
        <f>VLOOKUP($B351,'Tillförd energi'!$B$1:$AI$720,MATCH(U$1,'Tillförd energi'!$B$1:$AQ$1,0),FALSE)</f>
        <v>0</v>
      </c>
      <c r="V351" s="121">
        <f>VLOOKUP($B351,'Tillförd energi'!$B$1:$AI$720,MATCH(V$1,'Tillförd energi'!$B$1:$AQ$1,0),FALSE)</f>
        <v>0</v>
      </c>
      <c r="W351" s="121">
        <f>VLOOKUP($B351,'Tillförd energi'!$B$1:$AI$720,MATCH(W$1,'Tillförd energi'!$B$1:$AQ$1,0),FALSE)</f>
        <v>0</v>
      </c>
      <c r="X351" s="121">
        <f>VLOOKUP($B351,'Tillförd energi'!$B$1:$AI$720,MATCH(X$1,'Tillförd energi'!$B$1:$AQ$1,0),FALSE)</f>
        <v>0</v>
      </c>
      <c r="Y351" s="121">
        <f>VLOOKUP($B351,'Tillförd energi'!$B$1:$AI$720,MATCH(Y$1,'Tillförd energi'!$B$1:$AQ$1,0),FALSE)</f>
        <v>0</v>
      </c>
      <c r="Z351" s="121">
        <f>VLOOKUP($B351,'Tillförd energi'!$B$1:$AI$720,MATCH(Z$1,'Tillförd energi'!$B$1:$AQ$1,0),FALSE)</f>
        <v>0</v>
      </c>
      <c r="AA351" s="121">
        <f>VLOOKUP($B351,'Tillförd energi'!$B$1:$AI$720,MATCH(AA$1,'Tillförd energi'!$B$1:$AQ$1,0),FALSE)</f>
        <v>0</v>
      </c>
      <c r="AB351" s="121">
        <f>VLOOKUP($B351,'Tillförd energi'!$B$1:$AI$720,MATCH(AB$1,'Tillförd energi'!$B$1:$AQ$1,0),FALSE)</f>
        <v>0</v>
      </c>
      <c r="AC351" s="121">
        <f>VLOOKUP($B351,'Tillförd energi'!$B$1:$AI$720,MATCH(AC$1,'Tillförd energi'!$B$1:$AQ$1,0),FALSE)</f>
        <v>1.5720000000000001</v>
      </c>
      <c r="AD351" s="121">
        <f>VLOOKUP($B351,'Tillförd energi'!$B$1:$AI$720,MATCH(AD$1,'Tillförd energi'!$B$1:$AQ$1,0),FALSE)</f>
        <v>0</v>
      </c>
      <c r="AE351" s="121">
        <f>VLOOKUP($B351,'Tillförd energi'!$B$1:$AI$720,MATCH(AE$1,'Tillförd energi'!$B$1:$AQ$1,0),FALSE)</f>
        <v>0</v>
      </c>
      <c r="AF351" s="121">
        <f>VLOOKUP($B351,'Tillförd energi'!$B$1:$AI$720,MATCH(AF$1,'Tillförd energi'!$B$1:$AQ$1,0),FALSE)</f>
        <v>0.6</v>
      </c>
      <c r="AG351" s="121">
        <f>IFERROR(VLOOKUP(B351,Miljö!$B$1:$AC$550,MATCH("Köpt mängd produktionsspecifik fjärrvärme:",Miljö!$B$1:$AC$1,0),FALSE)/1,0)</f>
        <v>0</v>
      </c>
      <c r="AH351" s="121"/>
      <c r="AI351" s="121">
        <f t="shared" si="132"/>
        <v>32.309999999999995</v>
      </c>
      <c r="AJ351" s="121">
        <f t="shared" si="133"/>
        <v>32.309999999999995</v>
      </c>
      <c r="AK351" s="121">
        <f>IF(ISERROR(1/VLOOKUP($B351,Leveranser!$B$1:$S$499,MATCH("såld värme (gwh)",Leveranser!$B$1:$S$1,0),FALSE)),"",VLOOKUP($B351,Leveranser!$B$1:$S$499,MATCH("såld värme (gwh)",Leveranser!$B$1:$S$1,0),FALSE))</f>
        <v>26.018000000000001</v>
      </c>
      <c r="AL351" s="121">
        <f>VLOOKUP($B351,Leveranser!$B$1:$Y$499,MATCH("Totalt såld fjärrvärme till andra fjärrvärmeföretag",Leveranser!$B$1:$AA$1,0),FALSE)</f>
        <v>0</v>
      </c>
      <c r="AM351" s="121">
        <f>IF(ISERROR(1/VLOOKUP($B351,Miljö!$B$1:$S$500,MATCH("Såld mängd produktionsspecifik fjärrvärme (GWh)",Miljö!$B$1:$R$1,0),FALSE)),0,VLOOKUP($B351,Miljö!$B$1:$S$500,MATCH("Såld mängd produktionsspecifik fjärrvärme (GWh)",Miljö!$B$1:$R$1,0),FALSE))</f>
        <v>0</v>
      </c>
      <c r="AN351" s="172">
        <f t="shared" si="134"/>
        <v>0.8052615289384093</v>
      </c>
      <c r="AO351" s="121"/>
      <c r="AP351" s="121" t="str">
        <f>IFERROR(VLOOKUP($B351,Miljövärden!$B$2:$H$550,7,FALSE),"Nej, saknas")</f>
        <v>Ja</v>
      </c>
      <c r="AQ351" s="121" t="str">
        <f>IFERROR(VLOOKUP($B351,Miljövärden!$B$2:$H$550,6,FALSE),"Nej, saknas")</f>
        <v>Ja</v>
      </c>
      <c r="AU351">
        <f t="shared" si="135"/>
        <v>0.6</v>
      </c>
      <c r="AV351">
        <f t="shared" si="136"/>
        <v>0</v>
      </c>
      <c r="AW351">
        <f t="shared" si="137"/>
        <v>28.476999999999997</v>
      </c>
      <c r="AX351">
        <f t="shared" si="138"/>
        <v>1.581</v>
      </c>
      <c r="AZ351">
        <f t="shared" si="139"/>
        <v>30.057999999999996</v>
      </c>
      <c r="BC351">
        <f t="shared" si="140"/>
        <v>0.08</v>
      </c>
      <c r="BD351">
        <f t="shared" si="141"/>
        <v>0</v>
      </c>
      <c r="BE351">
        <f t="shared" si="142"/>
        <v>30.057999999999996</v>
      </c>
      <c r="BF351">
        <f t="shared" si="143"/>
        <v>1.5720000000000001</v>
      </c>
      <c r="BG351">
        <f t="shared" si="144"/>
        <v>0.6</v>
      </c>
      <c r="BH351">
        <f>VLOOKUP(B351,Miljö!$B$1:$BX$482,MATCH("Fossilandel för ursprungspecificerad el ()",Miljö!$B$1:$I$1,0),FALSE)</f>
        <v>0</v>
      </c>
      <c r="BI351">
        <f>VLOOKUP(B351,Miljö!$B$1:$BX$482,MATCH("Kärnkraftsandel för ursprungsspecificerad el ()",Miljö!$B$1:$O$1,0),FALSE)</f>
        <v>0</v>
      </c>
      <c r="BJ351">
        <f t="shared" si="145"/>
        <v>0</v>
      </c>
      <c r="BK351" t="str">
        <f>VLOOKUP(B351,Miljö!$B$1:$O$482,MATCH("Fossil andel i procent (%)",Miljö!$B$1:$O$1,0),FALSE)</f>
        <v>ET</v>
      </c>
      <c r="BL351">
        <f t="shared" si="146"/>
        <v>32.309999999999995</v>
      </c>
      <c r="BO351" s="18">
        <f t="shared" si="147"/>
        <v>2.4760136180748999E-3</v>
      </c>
      <c r="BP351" s="18">
        <f t="shared" si="148"/>
        <v>0</v>
      </c>
      <c r="BQ351" s="18">
        <f t="shared" si="149"/>
        <v>0.94887031878675343</v>
      </c>
      <c r="BR351" s="18">
        <f t="shared" si="150"/>
        <v>4.8653667595171785E-2</v>
      </c>
      <c r="BT351" s="27">
        <f t="shared" si="151"/>
        <v>1.0000000000000002</v>
      </c>
      <c r="BW351" s="18">
        <f>IF(AP351="ja",VLOOKUP(B351,Miljövärden!$B$2:$H$550,MATCH("Total andel fossilt",Miljövärden!$B$2:$H$2,0),FALSE),"")</f>
        <v>2.4760099999999998E-3</v>
      </c>
      <c r="BZ351" s="28">
        <f t="shared" si="152"/>
        <v>-3.6180749000101764E-9</v>
      </c>
      <c r="CA351" s="28">
        <f t="shared" si="153"/>
        <v>0</v>
      </c>
    </row>
    <row r="352" spans="1:79" x14ac:dyDescent="0.25">
      <c r="A352" s="224" t="s">
        <v>52</v>
      </c>
      <c r="B352" s="210" t="s">
        <v>675</v>
      </c>
      <c r="C352" s="121">
        <f>VLOOKUP($B352,'Tillförd energi'!$B$1:$AI$720,MATCH(C$1,'Tillförd energi'!$B$1:$AQ$1,0),FALSE)</f>
        <v>0</v>
      </c>
      <c r="D352" s="121">
        <f>VLOOKUP($B352,'Tillförd energi'!$B$1:$AI$720,MATCH(D$1,'Tillförd energi'!$B$1:$AQ$1,0),FALSE)</f>
        <v>10.045</v>
      </c>
      <c r="E352" s="121">
        <f>VLOOKUP($B352,'Tillförd energi'!$B$1:$AI$720,MATCH(E$1,'Tillförd energi'!$B$1:$AQ$1,0),FALSE)</f>
        <v>17.312999999999999</v>
      </c>
      <c r="F352" s="121">
        <f>VLOOKUP($B352,'Tillförd energi'!$B$1:$AI$720,MATCH(F$1,'Tillförd energi'!$B$1:$AQ$1,0),FALSE)</f>
        <v>0</v>
      </c>
      <c r="G352" s="121">
        <f>VLOOKUP($B352,'Tillförd energi'!$B$1:$AI$720,MATCH(G$1,'Tillförd energi'!$B$1:$AQ$1,0),FALSE)</f>
        <v>0</v>
      </c>
      <c r="H352" s="121">
        <f>VLOOKUP($B352,'Tillförd energi'!$B$1:$AI$720,MATCH(H$1,'Tillförd energi'!$B$1:$AQ$1,0),FALSE)</f>
        <v>0</v>
      </c>
      <c r="I352" s="121">
        <f>VLOOKUP($B352,'Tillförd energi'!$B$1:$AI$720,MATCH(I$1,'Tillförd energi'!$B$1:$AQ$1,0),FALSE)</f>
        <v>181.98099999999999</v>
      </c>
      <c r="J352" s="121">
        <f>VLOOKUP($B352,'Tillförd energi'!$B$1:$AI$720,MATCH(J$1,'Tillförd energi'!$B$1:$AQ$1,0),FALSE)</f>
        <v>0</v>
      </c>
      <c r="K352" s="121">
        <f>VLOOKUP($B352,'Tillförd energi'!$B$1:$AI$720,MATCH(K$1,'Tillförd energi'!$B$1:$AQ$1,0),FALSE)</f>
        <v>0</v>
      </c>
      <c r="L352" s="121">
        <f>VLOOKUP($B352,'Tillförd energi'!$B$1:$AI$720,MATCH(L$1,'Tillförd energi'!$B$1:$AQ$1,0),FALSE)</f>
        <v>0</v>
      </c>
      <c r="M352" s="121">
        <f>VLOOKUP($B352,'Tillförd energi'!$B$1:$AI$720,MATCH(M$1,'Tillförd energi'!$B$1:$AQ$1,0),FALSE)</f>
        <v>0</v>
      </c>
      <c r="N352" s="121">
        <f>VLOOKUP($B352,'Tillförd energi'!$B$1:$AI$720,MATCH(N$1,'Tillförd energi'!$B$1:$AQ$1,0),FALSE)</f>
        <v>0</v>
      </c>
      <c r="O352" s="121">
        <f>VLOOKUP($B352,'Tillförd energi'!$B$1:$AI$720,MATCH(O$1,'Tillförd energi'!$B$1:$AQ$1,0),FALSE)</f>
        <v>28.706</v>
      </c>
      <c r="P352" s="121">
        <f>VLOOKUP($B352,'Tillförd energi'!$B$1:$AI$720,MATCH(P$1,'Tillförd energi'!$B$1:$AQ$1,0),FALSE)</f>
        <v>0</v>
      </c>
      <c r="Q352" s="121">
        <f>VLOOKUP($B352,'Tillförd energi'!$B$1:$AI$720,MATCH(Q$1,'Tillförd energi'!$B$1:$AQ$1,0),FALSE)</f>
        <v>7.1870599999999998</v>
      </c>
      <c r="R352" s="121">
        <f>VLOOKUP($B352,'Tillförd energi'!$B$1:$AI$720,MATCH(R$1,'Tillförd energi'!$B$1:$AQ$1,0),FALSE)</f>
        <v>0.16</v>
      </c>
      <c r="S352" s="121">
        <f>VLOOKUP($B352,'Tillförd energi'!$B$1:$AI$720,MATCH(S$1,'Tillförd energi'!$B$1:$AQ$1,0),FALSE)</f>
        <v>0</v>
      </c>
      <c r="T352" s="121">
        <f>VLOOKUP($B352,'Tillförd energi'!$B$1:$AI$720,MATCH(T$1,'Tillförd energi'!$B$1:$AQ$1,0),FALSE)</f>
        <v>0</v>
      </c>
      <c r="U352" s="121">
        <f>VLOOKUP($B352,'Tillförd energi'!$B$1:$AI$720,MATCH(U$1,'Tillförd energi'!$B$1:$AQ$1,0),FALSE)</f>
        <v>0</v>
      </c>
      <c r="V352" s="121">
        <f>VLOOKUP($B352,'Tillförd energi'!$B$1:$AI$720,MATCH(V$1,'Tillförd energi'!$B$1:$AQ$1,0),FALSE)</f>
        <v>0</v>
      </c>
      <c r="W352" s="121">
        <f>VLOOKUP($B352,'Tillförd energi'!$B$1:$AI$720,MATCH(W$1,'Tillförd energi'!$B$1:$AQ$1,0),FALSE)</f>
        <v>0</v>
      </c>
      <c r="X352" s="121">
        <f>VLOOKUP($B352,'Tillförd energi'!$B$1:$AI$720,MATCH(X$1,'Tillförd energi'!$B$1:$AQ$1,0),FALSE)</f>
        <v>0</v>
      </c>
      <c r="Y352" s="121">
        <f>VLOOKUP($B352,'Tillförd energi'!$B$1:$AI$720,MATCH(Y$1,'Tillförd energi'!$B$1:$AQ$1,0),FALSE)</f>
        <v>0</v>
      </c>
      <c r="Z352" s="121">
        <f>VLOOKUP($B352,'Tillförd energi'!$B$1:$AI$720,MATCH(Z$1,'Tillförd energi'!$B$1:$AQ$1,0),FALSE)</f>
        <v>0</v>
      </c>
      <c r="AA352" s="121">
        <f>VLOOKUP($B352,'Tillförd energi'!$B$1:$AI$720,MATCH(AA$1,'Tillförd energi'!$B$1:$AQ$1,0),FALSE)</f>
        <v>0</v>
      </c>
      <c r="AB352" s="121">
        <f>VLOOKUP($B352,'Tillförd energi'!$B$1:$AI$720,MATCH(AB$1,'Tillförd energi'!$B$1:$AQ$1,0),FALSE)</f>
        <v>0</v>
      </c>
      <c r="AC352" s="121">
        <f>VLOOKUP($B352,'Tillförd energi'!$B$1:$AI$720,MATCH(AC$1,'Tillförd energi'!$B$1:$AQ$1,0),FALSE)</f>
        <v>13.66</v>
      </c>
      <c r="AD352" s="121">
        <f>VLOOKUP($B352,'Tillförd energi'!$B$1:$AI$720,MATCH(AD$1,'Tillförd energi'!$B$1:$AQ$1,0),FALSE)</f>
        <v>24.94</v>
      </c>
      <c r="AE352" s="121">
        <f>VLOOKUP($B352,'Tillförd energi'!$B$1:$AI$720,MATCH(AE$1,'Tillförd energi'!$B$1:$AQ$1,0),FALSE)</f>
        <v>0</v>
      </c>
      <c r="AF352" s="121">
        <f>VLOOKUP($B352,'Tillförd energi'!$B$1:$AI$720,MATCH(AF$1,'Tillförd energi'!$B$1:$AQ$1,0),FALSE)</f>
        <v>8.6880000000000006</v>
      </c>
      <c r="AG352" s="121">
        <f>IFERROR(VLOOKUP(B352,Miljö!$B$1:$AC$550,MATCH("Köpt mängd produktionsspecifik fjärrvärme:",Miljö!$B$1:$AC$1,0),FALSE)/1,0)</f>
        <v>0</v>
      </c>
      <c r="AH352" s="121"/>
      <c r="AI352" s="121">
        <f t="shared" si="132"/>
        <v>292.68005999999997</v>
      </c>
      <c r="AJ352" s="121">
        <f t="shared" si="133"/>
        <v>292.68005999999997</v>
      </c>
      <c r="AK352" s="121">
        <f>IF(ISERROR(1/VLOOKUP($B352,Leveranser!$B$1:$S$499,MATCH("såld värme (gwh)",Leveranser!$B$1:$S$1,0),FALSE)),"",VLOOKUP($B352,Leveranser!$B$1:$S$499,MATCH("såld värme (gwh)",Leveranser!$B$1:$S$1,0),FALSE))</f>
        <v>203.3</v>
      </c>
      <c r="AL352" s="121">
        <f>VLOOKUP($B352,Leveranser!$B$1:$Y$499,MATCH("Totalt såld fjärrvärme till andra fjärrvärmeföretag",Leveranser!$B$1:$AA$1,0),FALSE)</f>
        <v>0</v>
      </c>
      <c r="AM352" s="121">
        <f>IF(ISERROR(1/VLOOKUP($B352,Miljö!$B$1:$S$500,MATCH("Såld mängd produktionsspecifik fjärrvärme (GWh)",Miljö!$B$1:$R$1,0),FALSE)),0,VLOOKUP($B352,Miljö!$B$1:$S$500,MATCH("Såld mängd produktionsspecifik fjärrvärme (GWh)",Miljö!$B$1:$R$1,0),FALSE))</f>
        <v>0</v>
      </c>
      <c r="AN352" s="172">
        <f t="shared" si="134"/>
        <v>0.69461513708860123</v>
      </c>
      <c r="AO352" s="121"/>
      <c r="AP352" s="121" t="str">
        <f>IFERROR(VLOOKUP($B352,Miljövärden!$B$2:$H$550,7,FALSE),"Nej, saknas")</f>
        <v>Ja</v>
      </c>
      <c r="AQ352" s="121" t="str">
        <f>IFERROR(VLOOKUP($B352,Miljövärden!$B$2:$H$550,6,FALSE),"Nej, saknas")</f>
        <v>Ja</v>
      </c>
      <c r="AU352">
        <f t="shared" si="135"/>
        <v>8.6880000000000006</v>
      </c>
      <c r="AV352">
        <f t="shared" si="136"/>
        <v>0</v>
      </c>
      <c r="AW352">
        <f t="shared" si="137"/>
        <v>35.893059999999998</v>
      </c>
      <c r="AX352">
        <f t="shared" si="138"/>
        <v>0.16</v>
      </c>
      <c r="AZ352">
        <f t="shared" si="139"/>
        <v>36.053059999999995</v>
      </c>
      <c r="BC352">
        <f t="shared" si="140"/>
        <v>27.357999999999997</v>
      </c>
      <c r="BD352">
        <f t="shared" si="141"/>
        <v>0</v>
      </c>
      <c r="BE352">
        <f t="shared" si="142"/>
        <v>36.053059999999995</v>
      </c>
      <c r="BF352">
        <f t="shared" si="143"/>
        <v>220.58099999999999</v>
      </c>
      <c r="BG352">
        <f t="shared" si="144"/>
        <v>8.6880000000000006</v>
      </c>
      <c r="BH352">
        <f>VLOOKUP(B352,Miljö!$B$1:$BX$482,MATCH("Fossilandel för ursprungspecificerad el ()",Miljö!$B$1:$I$1,0),FALSE)</f>
        <v>0</v>
      </c>
      <c r="BI352">
        <f>VLOOKUP(B352,Miljö!$B$1:$BX$482,MATCH("Kärnkraftsandel för ursprungsspecificerad el ()",Miljö!$B$1:$O$1,0),FALSE)</f>
        <v>0</v>
      </c>
      <c r="BJ352">
        <f t="shared" si="145"/>
        <v>0</v>
      </c>
      <c r="BK352" t="str">
        <f>VLOOKUP(B352,Miljö!$B$1:$O$482,MATCH("Fossil andel i procent (%)",Miljö!$B$1:$O$1,0),FALSE)</f>
        <v>ET</v>
      </c>
      <c r="BL352">
        <f t="shared" si="146"/>
        <v>292.68005999999997</v>
      </c>
      <c r="BO352" s="18">
        <f t="shared" si="147"/>
        <v>9.3474082245302265E-2</v>
      </c>
      <c r="BP352" s="18">
        <f t="shared" si="148"/>
        <v>0</v>
      </c>
      <c r="BQ352" s="18">
        <f t="shared" si="149"/>
        <v>0.15286678566349893</v>
      </c>
      <c r="BR352" s="18">
        <f t="shared" si="150"/>
        <v>0.75365913209119884</v>
      </c>
      <c r="BT352" s="27">
        <f t="shared" si="151"/>
        <v>1</v>
      </c>
      <c r="BW352" s="18">
        <f>IF(AP352="ja",VLOOKUP(B352,Miljövärden!$B$2:$H$550,MATCH("Total andel fossilt",Miljövärden!$B$2:$H$2,0),FALSE),"")</f>
        <v>9.3474100000000004E-2</v>
      </c>
      <c r="BZ352" s="28">
        <f t="shared" si="152"/>
        <v>1.7754697739791325E-8</v>
      </c>
      <c r="CA352" s="28">
        <f t="shared" si="153"/>
        <v>0</v>
      </c>
    </row>
    <row r="353" spans="1:79" x14ac:dyDescent="0.25">
      <c r="A353" s="224" t="s">
        <v>52</v>
      </c>
      <c r="B353" s="210" t="s">
        <v>676</v>
      </c>
      <c r="C353" s="121">
        <f>VLOOKUP($B353,'Tillförd energi'!$B$1:$AI$720,MATCH(C$1,'Tillförd energi'!$B$1:$AQ$1,0),FALSE)</f>
        <v>0</v>
      </c>
      <c r="D353" s="121">
        <f>VLOOKUP($B353,'Tillförd energi'!$B$1:$AI$720,MATCH(D$1,'Tillförd energi'!$B$1:$AQ$1,0),FALSE)</f>
        <v>0.67300000000000004</v>
      </c>
      <c r="E353" s="121">
        <f>VLOOKUP($B353,'Tillförd energi'!$B$1:$AI$720,MATCH(E$1,'Tillförd energi'!$B$1:$AQ$1,0),FALSE)</f>
        <v>0</v>
      </c>
      <c r="F353" s="121">
        <f>VLOOKUP($B353,'Tillförd energi'!$B$1:$AI$720,MATCH(F$1,'Tillförd energi'!$B$1:$AQ$1,0),FALSE)</f>
        <v>0</v>
      </c>
      <c r="G353" s="121">
        <f>VLOOKUP($B353,'Tillförd energi'!$B$1:$AI$720,MATCH(G$1,'Tillförd energi'!$B$1:$AQ$1,0),FALSE)</f>
        <v>0</v>
      </c>
      <c r="H353" s="121">
        <f>VLOOKUP($B353,'Tillförd energi'!$B$1:$AI$720,MATCH(H$1,'Tillförd energi'!$B$1:$AQ$1,0),FALSE)</f>
        <v>0</v>
      </c>
      <c r="I353" s="121">
        <f>VLOOKUP($B353,'Tillförd energi'!$B$1:$AI$720,MATCH(I$1,'Tillförd energi'!$B$1:$AQ$1,0),FALSE)</f>
        <v>0</v>
      </c>
      <c r="J353" s="121">
        <f>VLOOKUP($B353,'Tillförd energi'!$B$1:$AI$720,MATCH(J$1,'Tillförd energi'!$B$1:$AQ$1,0),FALSE)</f>
        <v>0</v>
      </c>
      <c r="K353" s="121">
        <f>VLOOKUP($B353,'Tillförd energi'!$B$1:$AI$720,MATCH(K$1,'Tillförd energi'!$B$1:$AQ$1,0),FALSE)</f>
        <v>0</v>
      </c>
      <c r="L353" s="121">
        <f>VLOOKUP($B353,'Tillförd energi'!$B$1:$AI$720,MATCH(L$1,'Tillförd energi'!$B$1:$AQ$1,0),FALSE)</f>
        <v>0</v>
      </c>
      <c r="M353" s="121">
        <f>VLOOKUP($B353,'Tillförd energi'!$B$1:$AI$720,MATCH(M$1,'Tillförd energi'!$B$1:$AQ$1,0),FALSE)</f>
        <v>0</v>
      </c>
      <c r="N353" s="121">
        <f>VLOOKUP($B353,'Tillförd energi'!$B$1:$AI$720,MATCH(N$1,'Tillförd energi'!$B$1:$AQ$1,0),FALSE)</f>
        <v>0</v>
      </c>
      <c r="O353" s="121">
        <f>VLOOKUP($B353,'Tillförd energi'!$B$1:$AI$720,MATCH(O$1,'Tillförd energi'!$B$1:$AQ$1,0),FALSE)</f>
        <v>15.845000000000001</v>
      </c>
      <c r="P353" s="121">
        <f>VLOOKUP($B353,'Tillförd energi'!$B$1:$AI$720,MATCH(P$1,'Tillförd energi'!$B$1:$AQ$1,0),FALSE)</f>
        <v>0</v>
      </c>
      <c r="Q353" s="121">
        <f>VLOOKUP($B353,'Tillförd energi'!$B$1:$AI$720,MATCH(Q$1,'Tillförd energi'!$B$1:$AQ$1,0),FALSE)</f>
        <v>0</v>
      </c>
      <c r="R353" s="121">
        <f>VLOOKUP($B353,'Tillförd energi'!$B$1:$AI$720,MATCH(R$1,'Tillförd energi'!$B$1:$AQ$1,0),FALSE)</f>
        <v>0</v>
      </c>
      <c r="S353" s="121">
        <f>VLOOKUP($B353,'Tillförd energi'!$B$1:$AI$720,MATCH(S$1,'Tillförd energi'!$B$1:$AQ$1,0),FALSE)</f>
        <v>0</v>
      </c>
      <c r="T353" s="121">
        <f>VLOOKUP($B353,'Tillförd energi'!$B$1:$AI$720,MATCH(T$1,'Tillförd energi'!$B$1:$AQ$1,0),FALSE)</f>
        <v>0</v>
      </c>
      <c r="U353" s="121">
        <f>VLOOKUP($B353,'Tillförd energi'!$B$1:$AI$720,MATCH(U$1,'Tillförd energi'!$B$1:$AQ$1,0),FALSE)</f>
        <v>0</v>
      </c>
      <c r="V353" s="121">
        <f>VLOOKUP($B353,'Tillförd energi'!$B$1:$AI$720,MATCH(V$1,'Tillförd energi'!$B$1:$AQ$1,0),FALSE)</f>
        <v>0</v>
      </c>
      <c r="W353" s="121">
        <f>VLOOKUP($B353,'Tillförd energi'!$B$1:$AI$720,MATCH(W$1,'Tillförd energi'!$B$1:$AQ$1,0),FALSE)</f>
        <v>0</v>
      </c>
      <c r="X353" s="121">
        <f>VLOOKUP($B353,'Tillförd energi'!$B$1:$AI$720,MATCH(X$1,'Tillförd energi'!$B$1:$AQ$1,0),FALSE)</f>
        <v>0</v>
      </c>
      <c r="Y353" s="121">
        <f>VLOOKUP($B353,'Tillförd energi'!$B$1:$AI$720,MATCH(Y$1,'Tillförd energi'!$B$1:$AQ$1,0),FALSE)</f>
        <v>0</v>
      </c>
      <c r="Z353" s="121">
        <f>VLOOKUP($B353,'Tillförd energi'!$B$1:$AI$720,MATCH(Z$1,'Tillförd energi'!$B$1:$AQ$1,0),FALSE)</f>
        <v>0</v>
      </c>
      <c r="AA353" s="121">
        <f>VLOOKUP($B353,'Tillförd energi'!$B$1:$AI$720,MATCH(AA$1,'Tillförd energi'!$B$1:$AQ$1,0),FALSE)</f>
        <v>0</v>
      </c>
      <c r="AB353" s="121">
        <f>VLOOKUP($B353,'Tillförd energi'!$B$1:$AI$720,MATCH(AB$1,'Tillförd energi'!$B$1:$AQ$1,0),FALSE)</f>
        <v>0</v>
      </c>
      <c r="AC353" s="121">
        <f>VLOOKUP($B353,'Tillförd energi'!$B$1:$AI$720,MATCH(AC$1,'Tillförd energi'!$B$1:$AQ$1,0),FALSE)</f>
        <v>2.6389999999999998</v>
      </c>
      <c r="AD353" s="121">
        <f>VLOOKUP($B353,'Tillförd energi'!$B$1:$AI$720,MATCH(AD$1,'Tillförd energi'!$B$1:$AQ$1,0),FALSE)</f>
        <v>0</v>
      </c>
      <c r="AE353" s="121">
        <f>VLOOKUP($B353,'Tillförd energi'!$B$1:$AI$720,MATCH(AE$1,'Tillförd energi'!$B$1:$AQ$1,0),FALSE)</f>
        <v>0</v>
      </c>
      <c r="AF353" s="121">
        <f>VLOOKUP($B353,'Tillförd energi'!$B$1:$AI$720,MATCH(AF$1,'Tillförd energi'!$B$1:$AQ$1,0),FALSE)</f>
        <v>0.44400000000000001</v>
      </c>
      <c r="AG353" s="121">
        <f>IFERROR(VLOOKUP(B353,Miljö!$B$1:$AC$550,MATCH("Köpt mängd produktionsspecifik fjärrvärme:",Miljö!$B$1:$AC$1,0),FALSE)/1,0)</f>
        <v>0</v>
      </c>
      <c r="AH353" s="121"/>
      <c r="AI353" s="121">
        <f t="shared" si="132"/>
        <v>19.600999999999999</v>
      </c>
      <c r="AJ353" s="121">
        <f t="shared" si="133"/>
        <v>19.600999999999999</v>
      </c>
      <c r="AK353" s="121">
        <f>IF(ISERROR(1/VLOOKUP($B353,Leveranser!$B$1:$S$499,MATCH("såld värme (gwh)",Leveranser!$B$1:$S$1,0),FALSE)),"",VLOOKUP($B353,Leveranser!$B$1:$S$499,MATCH("såld värme (gwh)",Leveranser!$B$1:$S$1,0),FALSE))</f>
        <v>14.8</v>
      </c>
      <c r="AL353" s="121">
        <f>VLOOKUP($B353,Leveranser!$B$1:$Y$499,MATCH("Totalt såld fjärrvärme till andra fjärrvärmeföretag",Leveranser!$B$1:$AA$1,0),FALSE)</f>
        <v>0</v>
      </c>
      <c r="AM353" s="121">
        <f>IF(ISERROR(1/VLOOKUP($B353,Miljö!$B$1:$S$500,MATCH("Såld mängd produktionsspecifik fjärrvärme (GWh)",Miljö!$B$1:$R$1,0),FALSE)),0,VLOOKUP($B353,Miljö!$B$1:$S$500,MATCH("Såld mängd produktionsspecifik fjärrvärme (GWh)",Miljö!$B$1:$R$1,0),FALSE))</f>
        <v>0</v>
      </c>
      <c r="AN353" s="172">
        <f t="shared" si="134"/>
        <v>0.75506351716749154</v>
      </c>
      <c r="AO353" s="121"/>
      <c r="AP353" s="121" t="str">
        <f>IFERROR(VLOOKUP($B353,Miljövärden!$B$2:$H$550,7,FALSE),"Nej, saknas")</f>
        <v>Ja</v>
      </c>
      <c r="AQ353" s="121" t="str">
        <f>IFERROR(VLOOKUP($B353,Miljövärden!$B$2:$H$550,6,FALSE),"Nej, saknas")</f>
        <v>Ja</v>
      </c>
      <c r="AU353">
        <f t="shared" si="135"/>
        <v>0.44400000000000001</v>
      </c>
      <c r="AV353">
        <f t="shared" si="136"/>
        <v>0</v>
      </c>
      <c r="AW353">
        <f t="shared" si="137"/>
        <v>15.845000000000001</v>
      </c>
      <c r="AX353">
        <f t="shared" si="138"/>
        <v>0</v>
      </c>
      <c r="AZ353">
        <f t="shared" si="139"/>
        <v>15.845000000000001</v>
      </c>
      <c r="BC353">
        <f t="shared" si="140"/>
        <v>0.67300000000000004</v>
      </c>
      <c r="BD353">
        <f t="shared" si="141"/>
        <v>0</v>
      </c>
      <c r="BE353">
        <f t="shared" si="142"/>
        <v>15.845000000000001</v>
      </c>
      <c r="BF353">
        <f t="shared" si="143"/>
        <v>2.6389999999999998</v>
      </c>
      <c r="BG353">
        <f t="shared" si="144"/>
        <v>0.44400000000000001</v>
      </c>
      <c r="BH353">
        <f>VLOOKUP(B353,Miljö!$B$1:$BX$482,MATCH("Fossilandel för ursprungspecificerad el ()",Miljö!$B$1:$I$1,0),FALSE)</f>
        <v>0</v>
      </c>
      <c r="BI353">
        <f>VLOOKUP(B353,Miljö!$B$1:$BX$482,MATCH("Kärnkraftsandel för ursprungsspecificerad el ()",Miljö!$B$1:$O$1,0),FALSE)</f>
        <v>0</v>
      </c>
      <c r="BJ353">
        <f t="shared" si="145"/>
        <v>0</v>
      </c>
      <c r="BK353" t="str">
        <f>VLOOKUP(B353,Miljö!$B$1:$O$482,MATCH("Fossil andel i procent (%)",Miljö!$B$1:$O$1,0),FALSE)</f>
        <v>ET</v>
      </c>
      <c r="BL353">
        <f t="shared" si="146"/>
        <v>19.600999999999999</v>
      </c>
      <c r="BO353" s="18">
        <f t="shared" si="147"/>
        <v>3.4334982909035257E-2</v>
      </c>
      <c r="BP353" s="18">
        <f t="shared" si="148"/>
        <v>0</v>
      </c>
      <c r="BQ353" s="18">
        <f t="shared" si="149"/>
        <v>0.83102902913116694</v>
      </c>
      <c r="BR353" s="18">
        <f t="shared" si="150"/>
        <v>0.13463598795979798</v>
      </c>
      <c r="BT353" s="27">
        <f t="shared" si="151"/>
        <v>1.0000000000000002</v>
      </c>
      <c r="BW353" s="18">
        <f>IF(AP353="ja",VLOOKUP(B353,Miljövärden!$B$2:$H$550,MATCH("Total andel fossilt",Miljövärden!$B$2:$H$2,0),FALSE),"")</f>
        <v>3.4334999999999997E-2</v>
      </c>
      <c r="BZ353" s="28">
        <f t="shared" si="152"/>
        <v>1.709096474067362E-8</v>
      </c>
      <c r="CA353" s="28">
        <f t="shared" si="153"/>
        <v>0</v>
      </c>
    </row>
    <row r="354" spans="1:79" x14ac:dyDescent="0.25">
      <c r="A354" s="224" t="s">
        <v>52</v>
      </c>
      <c r="B354" s="210" t="s">
        <v>677</v>
      </c>
      <c r="C354" s="121">
        <f>VLOOKUP($B354,'Tillförd energi'!$B$1:$AI$720,MATCH(C$1,'Tillförd energi'!$B$1:$AQ$1,0),FALSE)</f>
        <v>0</v>
      </c>
      <c r="D354" s="121">
        <f>VLOOKUP($B354,'Tillförd energi'!$B$1:$AI$720,MATCH(D$1,'Tillförd energi'!$B$1:$AQ$1,0),FALSE)</f>
        <v>4.4939999999999998</v>
      </c>
      <c r="E354" s="121">
        <f>VLOOKUP($B354,'Tillförd energi'!$B$1:$AI$720,MATCH(E$1,'Tillförd energi'!$B$1:$AQ$1,0),FALSE)</f>
        <v>0.36853900000000001</v>
      </c>
      <c r="F354" s="121">
        <f>VLOOKUP($B354,'Tillförd energi'!$B$1:$AI$720,MATCH(F$1,'Tillförd energi'!$B$1:$AQ$1,0),FALSE)</f>
        <v>0</v>
      </c>
      <c r="G354" s="121">
        <f>VLOOKUP($B354,'Tillförd energi'!$B$1:$AI$720,MATCH(G$1,'Tillförd energi'!$B$1:$AQ$1,0),FALSE)</f>
        <v>0</v>
      </c>
      <c r="H354" s="121">
        <f>VLOOKUP($B354,'Tillförd energi'!$B$1:$AI$720,MATCH(H$1,'Tillförd energi'!$B$1:$AQ$1,0),FALSE)</f>
        <v>0</v>
      </c>
      <c r="I354" s="121">
        <f>VLOOKUP($B354,'Tillförd energi'!$B$1:$AI$720,MATCH(I$1,'Tillförd energi'!$B$1:$AQ$1,0),FALSE)</f>
        <v>0</v>
      </c>
      <c r="J354" s="121">
        <f>VLOOKUP($B354,'Tillförd energi'!$B$1:$AI$720,MATCH(J$1,'Tillförd energi'!$B$1:$AQ$1,0),FALSE)</f>
        <v>0</v>
      </c>
      <c r="K354" s="121">
        <f>VLOOKUP($B354,'Tillförd energi'!$B$1:$AI$720,MATCH(K$1,'Tillförd energi'!$B$1:$AQ$1,0),FALSE)</f>
        <v>0</v>
      </c>
      <c r="L354" s="121">
        <f>VLOOKUP($B354,'Tillförd energi'!$B$1:$AI$720,MATCH(L$1,'Tillförd energi'!$B$1:$AQ$1,0),FALSE)</f>
        <v>0</v>
      </c>
      <c r="M354" s="121">
        <f>VLOOKUP($B354,'Tillförd energi'!$B$1:$AI$720,MATCH(M$1,'Tillförd energi'!$B$1:$AQ$1,0),FALSE)</f>
        <v>0</v>
      </c>
      <c r="N354" s="121">
        <f>VLOOKUP($B354,'Tillförd energi'!$B$1:$AI$720,MATCH(N$1,'Tillförd energi'!$B$1:$AQ$1,0),FALSE)</f>
        <v>0</v>
      </c>
      <c r="O354" s="121">
        <f>VLOOKUP($B354,'Tillförd energi'!$B$1:$AI$720,MATCH(O$1,'Tillförd energi'!$B$1:$AQ$1,0),FALSE)</f>
        <v>0</v>
      </c>
      <c r="P354" s="121">
        <f>VLOOKUP($B354,'Tillförd energi'!$B$1:$AI$720,MATCH(P$1,'Tillförd energi'!$B$1:$AQ$1,0),FALSE)</f>
        <v>0</v>
      </c>
      <c r="Q354" s="121">
        <f>VLOOKUP($B354,'Tillförd energi'!$B$1:$AI$720,MATCH(Q$1,'Tillförd energi'!$B$1:$AQ$1,0),FALSE)</f>
        <v>0.74157300000000004</v>
      </c>
      <c r="R354" s="121">
        <f>VLOOKUP($B354,'Tillförd energi'!$B$1:$AI$720,MATCH(R$1,'Tillförd energi'!$B$1:$AQ$1,0),FALSE)</f>
        <v>0</v>
      </c>
      <c r="S354" s="121">
        <f>VLOOKUP($B354,'Tillförd energi'!$B$1:$AI$720,MATCH(S$1,'Tillförd energi'!$B$1:$AQ$1,0),FALSE)</f>
        <v>0</v>
      </c>
      <c r="T354" s="121">
        <f>VLOOKUP($B354,'Tillförd energi'!$B$1:$AI$720,MATCH(T$1,'Tillförd energi'!$B$1:$AQ$1,0),FALSE)</f>
        <v>0</v>
      </c>
      <c r="U354" s="121">
        <f>VLOOKUP($B354,'Tillförd energi'!$B$1:$AI$720,MATCH(U$1,'Tillförd energi'!$B$1:$AQ$1,0),FALSE)</f>
        <v>0</v>
      </c>
      <c r="V354" s="121">
        <f>VLOOKUP($B354,'Tillförd energi'!$B$1:$AI$720,MATCH(V$1,'Tillförd energi'!$B$1:$AQ$1,0),FALSE)</f>
        <v>0</v>
      </c>
      <c r="W354" s="121">
        <f>VLOOKUP($B354,'Tillförd energi'!$B$1:$AI$720,MATCH(W$1,'Tillförd energi'!$B$1:$AQ$1,0),FALSE)</f>
        <v>0</v>
      </c>
      <c r="X354" s="121">
        <f>VLOOKUP($B354,'Tillförd energi'!$B$1:$AI$720,MATCH(X$1,'Tillförd energi'!$B$1:$AQ$1,0),FALSE)</f>
        <v>0</v>
      </c>
      <c r="Y354" s="121">
        <f>VLOOKUP($B354,'Tillförd energi'!$B$1:$AI$720,MATCH(Y$1,'Tillförd energi'!$B$1:$AQ$1,0),FALSE)</f>
        <v>0</v>
      </c>
      <c r="Z354" s="121">
        <f>VLOOKUP($B354,'Tillförd energi'!$B$1:$AI$720,MATCH(Z$1,'Tillförd energi'!$B$1:$AQ$1,0),FALSE)</f>
        <v>0</v>
      </c>
      <c r="AA354" s="121">
        <f>VLOOKUP($B354,'Tillförd energi'!$B$1:$AI$720,MATCH(AA$1,'Tillförd energi'!$B$1:$AQ$1,0),FALSE)</f>
        <v>0</v>
      </c>
      <c r="AB354" s="121">
        <f>VLOOKUP($B354,'Tillförd energi'!$B$1:$AI$720,MATCH(AB$1,'Tillförd energi'!$B$1:$AQ$1,0),FALSE)</f>
        <v>0</v>
      </c>
      <c r="AC354" s="121">
        <f>VLOOKUP($B354,'Tillförd energi'!$B$1:$AI$720,MATCH(AC$1,'Tillförd energi'!$B$1:$AQ$1,0),FALSE)</f>
        <v>0</v>
      </c>
      <c r="AD354" s="121">
        <f>VLOOKUP($B354,'Tillförd energi'!$B$1:$AI$720,MATCH(AD$1,'Tillförd energi'!$B$1:$AQ$1,0),FALSE)</f>
        <v>23.283999999999999</v>
      </c>
      <c r="AE354" s="121">
        <f>VLOOKUP($B354,'Tillförd energi'!$B$1:$AI$720,MATCH(AE$1,'Tillförd energi'!$B$1:$AQ$1,0),FALSE)</f>
        <v>0</v>
      </c>
      <c r="AF354" s="121">
        <f>VLOOKUP($B354,'Tillförd energi'!$B$1:$AI$720,MATCH(AF$1,'Tillförd energi'!$B$1:$AQ$1,0),FALSE)</f>
        <v>8.7999999999999995E-2</v>
      </c>
      <c r="AG354" s="121">
        <f>IFERROR(VLOOKUP(B354,Miljö!$B$1:$AC$550,MATCH("Köpt mängd produktionsspecifik fjärrvärme:",Miljö!$B$1:$AC$1,0),FALSE)/1,0)</f>
        <v>0</v>
      </c>
      <c r="AH354" s="121"/>
      <c r="AI354" s="121">
        <f t="shared" si="132"/>
        <v>28.976112000000001</v>
      </c>
      <c r="AJ354" s="121">
        <f t="shared" si="133"/>
        <v>28.976112000000001</v>
      </c>
      <c r="AK354" s="121">
        <f>IF(ISERROR(1/VLOOKUP($B354,Leveranser!$B$1:$S$499,MATCH("såld värme (gwh)",Leveranser!$B$1:$S$1,0),FALSE)),"",VLOOKUP($B354,Leveranser!$B$1:$S$499,MATCH("såld värme (gwh)",Leveranser!$B$1:$S$1,0),FALSE))</f>
        <v>21.974</v>
      </c>
      <c r="AL354" s="121">
        <f>VLOOKUP($B354,Leveranser!$B$1:$Y$499,MATCH("Totalt såld fjärrvärme till andra fjärrvärmeföretag",Leveranser!$B$1:$AA$1,0),FALSE)</f>
        <v>0</v>
      </c>
      <c r="AM354" s="121">
        <f>IF(ISERROR(1/VLOOKUP($B354,Miljö!$B$1:$S$500,MATCH("Såld mängd produktionsspecifik fjärrvärme (GWh)",Miljö!$B$1:$R$1,0),FALSE)),0,VLOOKUP($B354,Miljö!$B$1:$S$500,MATCH("Såld mängd produktionsspecifik fjärrvärme (GWh)",Miljö!$B$1:$R$1,0),FALSE))</f>
        <v>0</v>
      </c>
      <c r="AN354" s="172">
        <f t="shared" si="134"/>
        <v>0.7583488081492783</v>
      </c>
      <c r="AO354" s="121"/>
      <c r="AP354" s="121" t="str">
        <f>IFERROR(VLOOKUP($B354,Miljövärden!$B$2:$H$550,7,FALSE),"Nej, saknas")</f>
        <v>Ja</v>
      </c>
      <c r="AQ354" s="121" t="str">
        <f>IFERROR(VLOOKUP($B354,Miljövärden!$B$2:$H$550,6,FALSE),"Nej, saknas")</f>
        <v>Ja</v>
      </c>
      <c r="AU354">
        <f t="shared" si="135"/>
        <v>8.7999999999999995E-2</v>
      </c>
      <c r="AV354">
        <f t="shared" si="136"/>
        <v>0</v>
      </c>
      <c r="AW354">
        <f t="shared" si="137"/>
        <v>0.74157300000000004</v>
      </c>
      <c r="AX354">
        <f t="shared" si="138"/>
        <v>0</v>
      </c>
      <c r="AZ354">
        <f t="shared" si="139"/>
        <v>0.74157300000000004</v>
      </c>
      <c r="BC354">
        <f t="shared" si="140"/>
        <v>4.8625389999999999</v>
      </c>
      <c r="BD354">
        <f t="shared" si="141"/>
        <v>0</v>
      </c>
      <c r="BE354">
        <f t="shared" si="142"/>
        <v>0.74157300000000004</v>
      </c>
      <c r="BF354">
        <f t="shared" si="143"/>
        <v>23.283999999999999</v>
      </c>
      <c r="BG354">
        <f t="shared" si="144"/>
        <v>8.7999999999999995E-2</v>
      </c>
      <c r="BH354">
        <f>VLOOKUP(B354,Miljö!$B$1:$BX$482,MATCH("Fossilandel för ursprungspecificerad el ()",Miljö!$B$1:$I$1,0),FALSE)</f>
        <v>0.43</v>
      </c>
      <c r="BI354">
        <f>VLOOKUP(B354,Miljö!$B$1:$BX$482,MATCH("Kärnkraftsandel för ursprungsspecificerad el ()",Miljö!$B$1:$O$1,0),FALSE)</f>
        <v>0.40550000000000003</v>
      </c>
      <c r="BJ354">
        <f t="shared" si="145"/>
        <v>0</v>
      </c>
      <c r="BK354" t="str">
        <f>VLOOKUP(B354,Miljö!$B$1:$O$482,MATCH("Fossil andel i procent (%)",Miljö!$B$1:$O$1,0),FALSE)</f>
        <v>ET</v>
      </c>
      <c r="BL354">
        <f t="shared" si="146"/>
        <v>28.976112000000001</v>
      </c>
      <c r="BO354" s="18">
        <f t="shared" si="147"/>
        <v>0.16911789269726732</v>
      </c>
      <c r="BP354" s="18">
        <f t="shared" si="148"/>
        <v>1.2314971725675273E-3</v>
      </c>
      <c r="BQ354" s="18">
        <f t="shared" si="149"/>
        <v>2.6092147904453161E-2</v>
      </c>
      <c r="BR354" s="18">
        <f t="shared" si="150"/>
        <v>0.80355846222571192</v>
      </c>
      <c r="BT354" s="27">
        <f t="shared" si="151"/>
        <v>0.99999999999999989</v>
      </c>
      <c r="BW354" s="18">
        <f>IF(AP354="ja",VLOOKUP(B354,Miljövärden!$B$2:$H$550,MATCH("Total andel fossilt",Miljövärden!$B$2:$H$2,0),FALSE),"")</f>
        <v>0.16911799999999999</v>
      </c>
      <c r="BZ354" s="28">
        <f t="shared" si="152"/>
        <v>1.0730273267145485E-7</v>
      </c>
      <c r="CA354" s="28">
        <f t="shared" si="153"/>
        <v>0</v>
      </c>
    </row>
    <row r="355" spans="1:79" x14ac:dyDescent="0.25">
      <c r="A355" s="224" t="s">
        <v>52</v>
      </c>
      <c r="B355" s="210" t="s">
        <v>678</v>
      </c>
      <c r="C355" s="121">
        <f>VLOOKUP($B355,'Tillförd energi'!$B$1:$AI$720,MATCH(C$1,'Tillförd energi'!$B$1:$AQ$1,0),FALSE)</f>
        <v>0</v>
      </c>
      <c r="D355" s="121">
        <f>VLOOKUP($B355,'Tillförd energi'!$B$1:$AI$720,MATCH(D$1,'Tillförd energi'!$B$1:$AQ$1,0),FALSE)</f>
        <v>0.316</v>
      </c>
      <c r="E355" s="121">
        <f>VLOOKUP($B355,'Tillförd energi'!$B$1:$AI$720,MATCH(E$1,'Tillförd energi'!$B$1:$AQ$1,0),FALSE)</f>
        <v>0</v>
      </c>
      <c r="F355" s="121">
        <f>VLOOKUP($B355,'Tillförd energi'!$B$1:$AI$720,MATCH(F$1,'Tillförd energi'!$B$1:$AQ$1,0),FALSE)</f>
        <v>0</v>
      </c>
      <c r="G355" s="121">
        <f>VLOOKUP($B355,'Tillförd energi'!$B$1:$AI$720,MATCH(G$1,'Tillförd energi'!$B$1:$AQ$1,0),FALSE)</f>
        <v>0</v>
      </c>
      <c r="H355" s="121">
        <f>VLOOKUP($B355,'Tillförd energi'!$B$1:$AI$720,MATCH(H$1,'Tillförd energi'!$B$1:$AQ$1,0),FALSE)</f>
        <v>0</v>
      </c>
      <c r="I355" s="121">
        <f>VLOOKUP($B355,'Tillförd energi'!$B$1:$AI$720,MATCH(I$1,'Tillförd energi'!$B$1:$AQ$1,0),FALSE)</f>
        <v>0</v>
      </c>
      <c r="J355" s="121">
        <f>VLOOKUP($B355,'Tillförd energi'!$B$1:$AI$720,MATCH(J$1,'Tillförd energi'!$B$1:$AQ$1,0),FALSE)</f>
        <v>0</v>
      </c>
      <c r="K355" s="121">
        <f>VLOOKUP($B355,'Tillförd energi'!$B$1:$AI$720,MATCH(K$1,'Tillförd energi'!$B$1:$AQ$1,0),FALSE)</f>
        <v>0</v>
      </c>
      <c r="L355" s="121">
        <f>VLOOKUP($B355,'Tillförd energi'!$B$1:$AI$720,MATCH(L$1,'Tillförd energi'!$B$1:$AQ$1,0),FALSE)</f>
        <v>0</v>
      </c>
      <c r="M355" s="121">
        <f>VLOOKUP($B355,'Tillförd energi'!$B$1:$AI$720,MATCH(M$1,'Tillförd energi'!$B$1:$AQ$1,0),FALSE)</f>
        <v>0</v>
      </c>
      <c r="N355" s="121">
        <f>VLOOKUP($B355,'Tillförd energi'!$B$1:$AI$720,MATCH(N$1,'Tillförd energi'!$B$1:$AQ$1,0),FALSE)</f>
        <v>0</v>
      </c>
      <c r="O355" s="121">
        <f>VLOOKUP($B355,'Tillförd energi'!$B$1:$AI$720,MATCH(O$1,'Tillförd energi'!$B$1:$AQ$1,0),FALSE)</f>
        <v>0</v>
      </c>
      <c r="P355" s="121">
        <f>VLOOKUP($B355,'Tillförd energi'!$B$1:$AI$720,MATCH(P$1,'Tillförd energi'!$B$1:$AQ$1,0),FALSE)</f>
        <v>0</v>
      </c>
      <c r="Q355" s="121">
        <f>VLOOKUP($B355,'Tillförd energi'!$B$1:$AI$720,MATCH(Q$1,'Tillförd energi'!$B$1:$AQ$1,0),FALSE)</f>
        <v>0</v>
      </c>
      <c r="R355" s="121">
        <f>VLOOKUP($B355,'Tillförd energi'!$B$1:$AI$720,MATCH(R$1,'Tillförd energi'!$B$1:$AQ$1,0),FALSE)</f>
        <v>0</v>
      </c>
      <c r="S355" s="121">
        <f>VLOOKUP($B355,'Tillförd energi'!$B$1:$AI$720,MATCH(S$1,'Tillförd energi'!$B$1:$AQ$1,0),FALSE)</f>
        <v>7.12</v>
      </c>
      <c r="T355" s="121">
        <f>VLOOKUP($B355,'Tillförd energi'!$B$1:$AI$720,MATCH(T$1,'Tillförd energi'!$B$1:$AQ$1,0),FALSE)</f>
        <v>0</v>
      </c>
      <c r="U355" s="121">
        <f>VLOOKUP($B355,'Tillförd energi'!$B$1:$AI$720,MATCH(U$1,'Tillförd energi'!$B$1:$AQ$1,0),FALSE)</f>
        <v>0</v>
      </c>
      <c r="V355" s="121">
        <f>VLOOKUP($B355,'Tillförd energi'!$B$1:$AI$720,MATCH(V$1,'Tillförd energi'!$B$1:$AQ$1,0),FALSE)</f>
        <v>0</v>
      </c>
      <c r="W355" s="121">
        <f>VLOOKUP($B355,'Tillförd energi'!$B$1:$AI$720,MATCH(W$1,'Tillförd energi'!$B$1:$AQ$1,0),FALSE)</f>
        <v>0</v>
      </c>
      <c r="X355" s="121">
        <f>VLOOKUP($B355,'Tillförd energi'!$B$1:$AI$720,MATCH(X$1,'Tillförd energi'!$B$1:$AQ$1,0),FALSE)</f>
        <v>0</v>
      </c>
      <c r="Y355" s="121">
        <f>VLOOKUP($B355,'Tillförd energi'!$B$1:$AI$720,MATCH(Y$1,'Tillförd energi'!$B$1:$AQ$1,0),FALSE)</f>
        <v>0</v>
      </c>
      <c r="Z355" s="121">
        <f>VLOOKUP($B355,'Tillförd energi'!$B$1:$AI$720,MATCH(Z$1,'Tillförd energi'!$B$1:$AQ$1,0),FALSE)</f>
        <v>0</v>
      </c>
      <c r="AA355" s="121">
        <f>VLOOKUP($B355,'Tillförd energi'!$B$1:$AI$720,MATCH(AA$1,'Tillförd energi'!$B$1:$AQ$1,0),FALSE)</f>
        <v>0</v>
      </c>
      <c r="AB355" s="121">
        <f>VLOOKUP($B355,'Tillförd energi'!$B$1:$AI$720,MATCH(AB$1,'Tillförd energi'!$B$1:$AQ$1,0),FALSE)</f>
        <v>0</v>
      </c>
      <c r="AC355" s="121">
        <f>VLOOKUP($B355,'Tillförd energi'!$B$1:$AI$720,MATCH(AC$1,'Tillförd energi'!$B$1:$AQ$1,0),FALSE)</f>
        <v>0</v>
      </c>
      <c r="AD355" s="121">
        <f>VLOOKUP($B355,'Tillförd energi'!$B$1:$AI$720,MATCH(AD$1,'Tillförd energi'!$B$1:$AQ$1,0),FALSE)</f>
        <v>0</v>
      </c>
      <c r="AE355" s="121">
        <f>VLOOKUP($B355,'Tillförd energi'!$B$1:$AI$720,MATCH(AE$1,'Tillförd energi'!$B$1:$AQ$1,0),FALSE)</f>
        <v>0</v>
      </c>
      <c r="AF355" s="121">
        <f>VLOOKUP($B355,'Tillförd energi'!$B$1:$AI$720,MATCH(AF$1,'Tillförd energi'!$B$1:$AQ$1,0),FALSE)</f>
        <v>0.125</v>
      </c>
      <c r="AG355" s="121">
        <f>IFERROR(VLOOKUP(B355,Miljö!$B$1:$AC$550,MATCH("Köpt mängd produktionsspecifik fjärrvärme:",Miljö!$B$1:$AC$1,0),FALSE)/1,0)</f>
        <v>0</v>
      </c>
      <c r="AH355" s="121"/>
      <c r="AI355" s="121">
        <f t="shared" si="132"/>
        <v>7.5609999999999999</v>
      </c>
      <c r="AJ355" s="121">
        <f t="shared" si="133"/>
        <v>7.5609999999999999</v>
      </c>
      <c r="AK355" s="121">
        <f>IF(ISERROR(1/VLOOKUP($B355,Leveranser!$B$1:$S$499,MATCH("såld värme (gwh)",Leveranser!$B$1:$S$1,0),FALSE)),"",VLOOKUP($B355,Leveranser!$B$1:$S$499,MATCH("såld värme (gwh)",Leveranser!$B$1:$S$1,0),FALSE))</f>
        <v>5.8</v>
      </c>
      <c r="AL355" s="121">
        <f>VLOOKUP($B355,Leveranser!$B$1:$Y$499,MATCH("Totalt såld fjärrvärme till andra fjärrvärmeföretag",Leveranser!$B$1:$AA$1,0),FALSE)</f>
        <v>0</v>
      </c>
      <c r="AM355" s="121">
        <f>IF(ISERROR(1/VLOOKUP($B355,Miljö!$B$1:$S$500,MATCH("Såld mängd produktionsspecifik fjärrvärme (GWh)",Miljö!$B$1:$R$1,0),FALSE)),0,VLOOKUP($B355,Miljö!$B$1:$S$500,MATCH("Såld mängd produktionsspecifik fjärrvärme (GWh)",Miljö!$B$1:$R$1,0),FALSE))</f>
        <v>0</v>
      </c>
      <c r="AN355" s="172">
        <f t="shared" si="134"/>
        <v>0.76709429969580745</v>
      </c>
      <c r="AO355" s="121"/>
      <c r="AP355" s="121" t="str">
        <f>IFERROR(VLOOKUP($B355,Miljövärden!$B$2:$H$550,7,FALSE),"Nej, saknas")</f>
        <v>Ja</v>
      </c>
      <c r="AQ355" s="121" t="str">
        <f>IFERROR(VLOOKUP($B355,Miljövärden!$B$2:$H$550,6,FALSE),"Nej, saknas")</f>
        <v>Ja</v>
      </c>
      <c r="AU355">
        <f t="shared" si="135"/>
        <v>0.125</v>
      </c>
      <c r="AV355">
        <f t="shared" si="136"/>
        <v>0</v>
      </c>
      <c r="AW355">
        <f t="shared" si="137"/>
        <v>0</v>
      </c>
      <c r="AX355">
        <f t="shared" si="138"/>
        <v>7.12</v>
      </c>
      <c r="AZ355">
        <f t="shared" si="139"/>
        <v>7.12</v>
      </c>
      <c r="BC355">
        <f t="shared" si="140"/>
        <v>0.316</v>
      </c>
      <c r="BD355">
        <f t="shared" si="141"/>
        <v>0</v>
      </c>
      <c r="BE355">
        <f t="shared" si="142"/>
        <v>7.12</v>
      </c>
      <c r="BF355">
        <f t="shared" si="143"/>
        <v>0</v>
      </c>
      <c r="BG355">
        <f t="shared" si="144"/>
        <v>0.125</v>
      </c>
      <c r="BH355">
        <f>VLOOKUP(B355,Miljö!$B$1:$BX$482,MATCH("Fossilandel för ursprungspecificerad el ()",Miljö!$B$1:$I$1,0),FALSE)</f>
        <v>0</v>
      </c>
      <c r="BI355">
        <f>VLOOKUP(B355,Miljö!$B$1:$BX$482,MATCH("Kärnkraftsandel för ursprungsspecificerad el ()",Miljö!$B$1:$O$1,0),FALSE)</f>
        <v>0</v>
      </c>
      <c r="BJ355">
        <f t="shared" si="145"/>
        <v>0</v>
      </c>
      <c r="BK355" t="str">
        <f>VLOOKUP(B355,Miljö!$B$1:$O$482,MATCH("Fossil andel i procent (%)",Miljö!$B$1:$O$1,0),FALSE)</f>
        <v>ET</v>
      </c>
      <c r="BL355">
        <f t="shared" si="146"/>
        <v>7.5609999999999999</v>
      </c>
      <c r="BO355" s="18">
        <f t="shared" si="147"/>
        <v>4.1793413569633647E-2</v>
      </c>
      <c r="BP355" s="18">
        <f t="shared" si="148"/>
        <v>0</v>
      </c>
      <c r="BQ355" s="18">
        <f t="shared" si="149"/>
        <v>0.95820658643036638</v>
      </c>
      <c r="BR355" s="18">
        <f t="shared" si="150"/>
        <v>0</v>
      </c>
      <c r="BT355" s="27">
        <f t="shared" si="151"/>
        <v>1</v>
      </c>
      <c r="BW355" s="18">
        <f>IF(AP355="ja",VLOOKUP(B355,Miljövärden!$B$2:$H$550,MATCH("Total andel fossilt",Miljövärden!$B$2:$H$2,0),FALSE),"")</f>
        <v>4.1793400000000001E-2</v>
      </c>
      <c r="BZ355" s="28">
        <f t="shared" si="152"/>
        <v>-1.3569633645904577E-8</v>
      </c>
      <c r="CA355" s="28">
        <f t="shared" si="153"/>
        <v>0</v>
      </c>
    </row>
    <row r="356" spans="1:79" x14ac:dyDescent="0.25">
      <c r="A356" s="224" t="s">
        <v>52</v>
      </c>
      <c r="B356" s="210" t="s">
        <v>679</v>
      </c>
      <c r="C356" s="121">
        <f>VLOOKUP($B356,'Tillförd energi'!$B$1:$AI$720,MATCH(C$1,'Tillförd energi'!$B$1:$AQ$1,0),FALSE)</f>
        <v>0</v>
      </c>
      <c r="D356" s="121">
        <f>VLOOKUP($B356,'Tillförd energi'!$B$1:$AI$720,MATCH(D$1,'Tillförd energi'!$B$1:$AQ$1,0),FALSE)</f>
        <v>0</v>
      </c>
      <c r="E356" s="121">
        <f>VLOOKUP($B356,'Tillförd energi'!$B$1:$AI$720,MATCH(E$1,'Tillförd energi'!$B$1:$AQ$1,0),FALSE)</f>
        <v>0</v>
      </c>
      <c r="F356" s="121">
        <f>VLOOKUP($B356,'Tillförd energi'!$B$1:$AI$720,MATCH(F$1,'Tillförd energi'!$B$1:$AQ$1,0),FALSE)</f>
        <v>3.0247999999999999</v>
      </c>
      <c r="G356" s="121">
        <f>VLOOKUP($B356,'Tillförd energi'!$B$1:$AI$720,MATCH(G$1,'Tillförd energi'!$B$1:$AQ$1,0),FALSE)</f>
        <v>0</v>
      </c>
      <c r="H356" s="121">
        <f>VLOOKUP($B356,'Tillförd energi'!$B$1:$AI$720,MATCH(H$1,'Tillförd energi'!$B$1:$AQ$1,0),FALSE)</f>
        <v>0</v>
      </c>
      <c r="I356" s="121">
        <f>VLOOKUP($B356,'Tillförd energi'!$B$1:$AI$720,MATCH(I$1,'Tillförd energi'!$B$1:$AQ$1,0),FALSE)</f>
        <v>0</v>
      </c>
      <c r="J356" s="121">
        <f>VLOOKUP($B356,'Tillförd energi'!$B$1:$AI$720,MATCH(J$1,'Tillförd energi'!$B$1:$AQ$1,0),FALSE)</f>
        <v>0</v>
      </c>
      <c r="K356" s="121">
        <f>VLOOKUP($B356,'Tillförd energi'!$B$1:$AI$720,MATCH(K$1,'Tillförd energi'!$B$1:$AQ$1,0),FALSE)</f>
        <v>0</v>
      </c>
      <c r="L356" s="121">
        <f>VLOOKUP($B356,'Tillförd energi'!$B$1:$AI$720,MATCH(L$1,'Tillförd energi'!$B$1:$AQ$1,0),FALSE)</f>
        <v>0</v>
      </c>
      <c r="M356" s="121">
        <f>VLOOKUP($B356,'Tillförd energi'!$B$1:$AI$720,MATCH(M$1,'Tillförd energi'!$B$1:$AQ$1,0),FALSE)</f>
        <v>0</v>
      </c>
      <c r="N356" s="121">
        <f>VLOOKUP($B356,'Tillförd energi'!$B$1:$AI$720,MATCH(N$1,'Tillförd energi'!$B$1:$AQ$1,0),FALSE)</f>
        <v>0</v>
      </c>
      <c r="O356" s="121">
        <f>VLOOKUP($B356,'Tillförd energi'!$B$1:$AI$720,MATCH(O$1,'Tillförd energi'!$B$1:$AQ$1,0),FALSE)</f>
        <v>43.165900000000001</v>
      </c>
      <c r="P356" s="121">
        <f>VLOOKUP($B356,'Tillförd energi'!$B$1:$AI$720,MATCH(P$1,'Tillförd energi'!$B$1:$AQ$1,0),FALSE)</f>
        <v>17.516200000000001</v>
      </c>
      <c r="Q356" s="121">
        <f>VLOOKUP($B356,'Tillförd energi'!$B$1:$AI$720,MATCH(Q$1,'Tillförd energi'!$B$1:$AQ$1,0),FALSE)</f>
        <v>6.9790900000000002</v>
      </c>
      <c r="R356" s="121">
        <f>VLOOKUP($B356,'Tillförd energi'!$B$1:$AI$720,MATCH(R$1,'Tillförd energi'!$B$1:$AQ$1,0),FALSE)</f>
        <v>0</v>
      </c>
      <c r="S356" s="121">
        <f>VLOOKUP($B356,'Tillförd energi'!$B$1:$AI$720,MATCH(S$1,'Tillförd energi'!$B$1:$AQ$1,0),FALSE)</f>
        <v>0</v>
      </c>
      <c r="T356" s="121">
        <f>VLOOKUP($B356,'Tillförd energi'!$B$1:$AI$720,MATCH(T$1,'Tillförd energi'!$B$1:$AQ$1,0),FALSE)</f>
        <v>0</v>
      </c>
      <c r="U356" s="121">
        <f>VLOOKUP($B356,'Tillförd energi'!$B$1:$AI$720,MATCH(U$1,'Tillförd energi'!$B$1:$AQ$1,0),FALSE)</f>
        <v>0</v>
      </c>
      <c r="V356" s="121">
        <f>VLOOKUP($B356,'Tillförd energi'!$B$1:$AI$720,MATCH(V$1,'Tillförd energi'!$B$1:$AQ$1,0),FALSE)</f>
        <v>0</v>
      </c>
      <c r="W356" s="121">
        <f>VLOOKUP($B356,'Tillförd energi'!$B$1:$AI$720,MATCH(W$1,'Tillförd energi'!$B$1:$AQ$1,0),FALSE)</f>
        <v>0</v>
      </c>
      <c r="X356" s="121">
        <f>VLOOKUP($B356,'Tillförd energi'!$B$1:$AI$720,MATCH(X$1,'Tillförd energi'!$B$1:$AQ$1,0),FALSE)</f>
        <v>0</v>
      </c>
      <c r="Y356" s="121">
        <f>VLOOKUP($B356,'Tillförd energi'!$B$1:$AI$720,MATCH(Y$1,'Tillförd energi'!$B$1:$AQ$1,0),FALSE)</f>
        <v>0</v>
      </c>
      <c r="Z356" s="121">
        <f>VLOOKUP($B356,'Tillförd energi'!$B$1:$AI$720,MATCH(Z$1,'Tillförd energi'!$B$1:$AQ$1,0),FALSE)</f>
        <v>0</v>
      </c>
      <c r="AA356" s="121">
        <f>VLOOKUP($B356,'Tillförd energi'!$B$1:$AI$720,MATCH(AA$1,'Tillförd energi'!$B$1:$AQ$1,0),FALSE)</f>
        <v>0</v>
      </c>
      <c r="AB356" s="121">
        <f>VLOOKUP($B356,'Tillförd energi'!$B$1:$AI$720,MATCH(AB$1,'Tillförd energi'!$B$1:$AQ$1,0),FALSE)</f>
        <v>0</v>
      </c>
      <c r="AC356" s="121">
        <f>VLOOKUP($B356,'Tillförd energi'!$B$1:$AI$720,MATCH(AC$1,'Tillförd energi'!$B$1:$AQ$1,0),FALSE)</f>
        <v>6.3579999999999997</v>
      </c>
      <c r="AD356" s="121">
        <f>VLOOKUP($B356,'Tillförd energi'!$B$1:$AI$720,MATCH(AD$1,'Tillförd energi'!$B$1:$AQ$1,0),FALSE)</f>
        <v>35.323</v>
      </c>
      <c r="AE356" s="121">
        <f>VLOOKUP($B356,'Tillförd energi'!$B$1:$AI$720,MATCH(AE$1,'Tillförd energi'!$B$1:$AQ$1,0),FALSE)</f>
        <v>0</v>
      </c>
      <c r="AF356" s="121">
        <f>VLOOKUP($B356,'Tillförd energi'!$B$1:$AI$720,MATCH(AF$1,'Tillförd energi'!$B$1:$AQ$1,0),FALSE)</f>
        <v>2.1694900000000001</v>
      </c>
      <c r="AG356" s="121">
        <f>IFERROR(VLOOKUP(B356,Miljö!$B$1:$AC$550,MATCH("Köpt mängd produktionsspecifik fjärrvärme:",Miljö!$B$1:$AC$1,0),FALSE)/1,0)</f>
        <v>0</v>
      </c>
      <c r="AH356" s="121"/>
      <c r="AI356" s="121">
        <f t="shared" si="132"/>
        <v>114.53648000000001</v>
      </c>
      <c r="AJ356" s="121">
        <f t="shared" si="133"/>
        <v>114.53648000000001</v>
      </c>
      <c r="AK356" s="121">
        <f>IF(ISERROR(1/VLOOKUP($B356,Leveranser!$B$1:$S$499,MATCH("såld värme (gwh)",Leveranser!$B$1:$S$1,0),FALSE)),"",VLOOKUP($B356,Leveranser!$B$1:$S$499,MATCH("såld värme (gwh)",Leveranser!$B$1:$S$1,0),FALSE))</f>
        <v>97.2</v>
      </c>
      <c r="AL356" s="121">
        <f>VLOOKUP($B356,Leveranser!$B$1:$Y$499,MATCH("Totalt såld fjärrvärme till andra fjärrvärmeföretag",Leveranser!$B$1:$AA$1,0),FALSE)</f>
        <v>0</v>
      </c>
      <c r="AM356" s="121">
        <f>IF(ISERROR(1/VLOOKUP($B356,Miljö!$B$1:$S$500,MATCH("Såld mängd produktionsspecifik fjärrvärme (GWh)",Miljö!$B$1:$R$1,0),FALSE)),0,VLOOKUP($B356,Miljö!$B$1:$S$500,MATCH("Såld mängd produktionsspecifik fjärrvärme (GWh)",Miljö!$B$1:$R$1,0),FALSE))</f>
        <v>0</v>
      </c>
      <c r="AN356" s="172">
        <f t="shared" si="134"/>
        <v>0.84863791867883487</v>
      </c>
      <c r="AO356" s="121"/>
      <c r="AP356" s="121" t="str">
        <f>IFERROR(VLOOKUP($B356,Miljövärden!$B$2:$H$550,7,FALSE),"Nej, saknas")</f>
        <v>Ja</v>
      </c>
      <c r="AQ356" s="121" t="str">
        <f>IFERROR(VLOOKUP($B356,Miljövärden!$B$2:$H$550,6,FALSE),"Nej, saknas")</f>
        <v>Ja</v>
      </c>
      <c r="AU356">
        <f t="shared" si="135"/>
        <v>2.1694900000000001</v>
      </c>
      <c r="AV356">
        <f t="shared" si="136"/>
        <v>0</v>
      </c>
      <c r="AW356">
        <f t="shared" si="137"/>
        <v>67.661190000000005</v>
      </c>
      <c r="AX356">
        <f t="shared" si="138"/>
        <v>0</v>
      </c>
      <c r="AZ356">
        <f t="shared" si="139"/>
        <v>67.661190000000005</v>
      </c>
      <c r="BC356">
        <f t="shared" si="140"/>
        <v>3.0247999999999999</v>
      </c>
      <c r="BD356">
        <f t="shared" si="141"/>
        <v>0</v>
      </c>
      <c r="BE356">
        <f t="shared" si="142"/>
        <v>67.661190000000005</v>
      </c>
      <c r="BF356">
        <f t="shared" si="143"/>
        <v>41.680999999999997</v>
      </c>
      <c r="BG356">
        <f t="shared" si="144"/>
        <v>2.1694900000000001</v>
      </c>
      <c r="BH356">
        <f>VLOOKUP(B356,Miljö!$B$1:$BX$482,MATCH("Fossilandel för ursprungspecificerad el ()",Miljö!$B$1:$I$1,0),FALSE)</f>
        <v>0.43</v>
      </c>
      <c r="BI356">
        <f>VLOOKUP(B356,Miljö!$B$1:$BX$482,MATCH("Kärnkraftsandel för ursprungsspecificerad el ()",Miljö!$B$1:$O$1,0),FALSE)</f>
        <v>0.40550000000000003</v>
      </c>
      <c r="BJ356">
        <f t="shared" si="145"/>
        <v>0</v>
      </c>
      <c r="BK356" t="str">
        <f>VLOOKUP(B356,Miljö!$B$1:$O$482,MATCH("Fossil andel i procent (%)",Miljö!$B$1:$O$1,0),FALSE)</f>
        <v>ET</v>
      </c>
      <c r="BL356">
        <f t="shared" si="146"/>
        <v>114.53648</v>
      </c>
      <c r="BO356" s="18">
        <f t="shared" si="147"/>
        <v>3.4553887983985537E-2</v>
      </c>
      <c r="BP356" s="18">
        <f t="shared" si="148"/>
        <v>7.680768563867164E-3</v>
      </c>
      <c r="BQ356" s="18">
        <f t="shared" si="149"/>
        <v>0.59385508534049591</v>
      </c>
      <c r="BR356" s="18">
        <f t="shared" si="150"/>
        <v>0.3639102581116514</v>
      </c>
      <c r="BT356" s="27">
        <f t="shared" si="151"/>
        <v>1</v>
      </c>
      <c r="BW356" s="18">
        <f>IF(AP356="ja",VLOOKUP(B356,Miljövärden!$B$2:$H$550,MATCH("Total andel fossilt",Miljövärden!$B$2:$H$2,0),FALSE),"")</f>
        <v>3.4554000000000001E-2</v>
      </c>
      <c r="BZ356" s="28">
        <f t="shared" si="152"/>
        <v>1.1201601446408915E-7</v>
      </c>
      <c r="CA356" s="28">
        <f t="shared" si="153"/>
        <v>0</v>
      </c>
    </row>
    <row r="357" spans="1:79" x14ac:dyDescent="0.25">
      <c r="A357" s="224" t="s">
        <v>52</v>
      </c>
      <c r="B357" s="210" t="s">
        <v>680</v>
      </c>
      <c r="C357" s="121">
        <f>VLOOKUP($B357,'Tillförd energi'!$B$1:$AI$720,MATCH(C$1,'Tillförd energi'!$B$1:$AQ$1,0),FALSE)</f>
        <v>0</v>
      </c>
      <c r="D357" s="121">
        <f>VLOOKUP($B357,'Tillförd energi'!$B$1:$AI$720,MATCH(D$1,'Tillförd energi'!$B$1:$AQ$1,0),FALSE)</f>
        <v>0.37</v>
      </c>
      <c r="E357" s="121">
        <f>VLOOKUP($B357,'Tillförd energi'!$B$1:$AI$720,MATCH(E$1,'Tillförd energi'!$B$1:$AQ$1,0),FALSE)</f>
        <v>0</v>
      </c>
      <c r="F357" s="121">
        <f>VLOOKUP($B357,'Tillförd energi'!$B$1:$AI$720,MATCH(F$1,'Tillförd energi'!$B$1:$AQ$1,0),FALSE)</f>
        <v>0</v>
      </c>
      <c r="G357" s="121">
        <f>VLOOKUP($B357,'Tillförd energi'!$B$1:$AI$720,MATCH(G$1,'Tillförd energi'!$B$1:$AQ$1,0),FALSE)</f>
        <v>0</v>
      </c>
      <c r="H357" s="121">
        <f>VLOOKUP($B357,'Tillförd energi'!$B$1:$AI$720,MATCH(H$1,'Tillförd energi'!$B$1:$AQ$1,0),FALSE)</f>
        <v>0</v>
      </c>
      <c r="I357" s="121">
        <f>VLOOKUP($B357,'Tillförd energi'!$B$1:$AI$720,MATCH(I$1,'Tillförd energi'!$B$1:$AQ$1,0),FALSE)</f>
        <v>0</v>
      </c>
      <c r="J357" s="121">
        <f>VLOOKUP($B357,'Tillförd energi'!$B$1:$AI$720,MATCH(J$1,'Tillförd energi'!$B$1:$AQ$1,0),FALSE)</f>
        <v>2.5488400000000002</v>
      </c>
      <c r="K357" s="121">
        <f>VLOOKUP($B357,'Tillförd energi'!$B$1:$AI$720,MATCH(K$1,'Tillförd energi'!$B$1:$AQ$1,0),FALSE)</f>
        <v>0</v>
      </c>
      <c r="L357" s="121">
        <f>VLOOKUP($B357,'Tillförd energi'!$B$1:$AI$720,MATCH(L$1,'Tillförd energi'!$B$1:$AQ$1,0),FALSE)</f>
        <v>0.652092</v>
      </c>
      <c r="M357" s="121">
        <f>VLOOKUP($B357,'Tillförd energi'!$B$1:$AI$720,MATCH(M$1,'Tillförd energi'!$B$1:$AQ$1,0),FALSE)</f>
        <v>58.6646</v>
      </c>
      <c r="N357" s="121">
        <f>VLOOKUP($B357,'Tillförd energi'!$B$1:$AI$720,MATCH(N$1,'Tillförd energi'!$B$1:$AQ$1,0),FALSE)</f>
        <v>0.47092200000000001</v>
      </c>
      <c r="O357" s="121">
        <f>VLOOKUP($B357,'Tillförd energi'!$B$1:$AI$720,MATCH(O$1,'Tillförd energi'!$B$1:$AQ$1,0),FALSE)</f>
        <v>29.447399999999998</v>
      </c>
      <c r="P357" s="121">
        <f>VLOOKUP($B357,'Tillförd energi'!$B$1:$AI$720,MATCH(P$1,'Tillförd energi'!$B$1:$AQ$1,0),FALSE)</f>
        <v>3.3047199999999999E-2</v>
      </c>
      <c r="Q357" s="121">
        <f>VLOOKUP($B357,'Tillförd energi'!$B$1:$AI$720,MATCH(Q$1,'Tillförd energi'!$B$1:$AQ$1,0),FALSE)</f>
        <v>10.266999999999999</v>
      </c>
      <c r="R357" s="121">
        <f>VLOOKUP($B357,'Tillförd energi'!$B$1:$AI$720,MATCH(R$1,'Tillförd energi'!$B$1:$AQ$1,0),FALSE)</f>
        <v>0</v>
      </c>
      <c r="S357" s="121">
        <f>VLOOKUP($B357,'Tillförd energi'!$B$1:$AI$720,MATCH(S$1,'Tillförd energi'!$B$1:$AQ$1,0),FALSE)</f>
        <v>0</v>
      </c>
      <c r="T357" s="121">
        <f>VLOOKUP($B357,'Tillförd energi'!$B$1:$AI$720,MATCH(T$1,'Tillförd energi'!$B$1:$AQ$1,0),FALSE)</f>
        <v>0</v>
      </c>
      <c r="U357" s="121">
        <f>VLOOKUP($B357,'Tillförd energi'!$B$1:$AI$720,MATCH(U$1,'Tillförd energi'!$B$1:$AQ$1,0),FALSE)</f>
        <v>0</v>
      </c>
      <c r="V357" s="121">
        <f>VLOOKUP($B357,'Tillförd energi'!$B$1:$AI$720,MATCH(V$1,'Tillförd energi'!$B$1:$AQ$1,0),FALSE)</f>
        <v>6.1870000000000003</v>
      </c>
      <c r="W357" s="121">
        <f>VLOOKUP($B357,'Tillförd energi'!$B$1:$AI$720,MATCH(W$1,'Tillförd energi'!$B$1:$AQ$1,0),FALSE)</f>
        <v>0</v>
      </c>
      <c r="X357" s="121">
        <f>VLOOKUP($B357,'Tillförd energi'!$B$1:$AI$720,MATCH(X$1,'Tillförd energi'!$B$1:$AQ$1,0),FALSE)</f>
        <v>0</v>
      </c>
      <c r="Y357" s="121">
        <f>VLOOKUP($B357,'Tillförd energi'!$B$1:$AI$720,MATCH(Y$1,'Tillförd energi'!$B$1:$AQ$1,0),FALSE)</f>
        <v>0</v>
      </c>
      <c r="Z357" s="121">
        <f>VLOOKUP($B357,'Tillförd energi'!$B$1:$AI$720,MATCH(Z$1,'Tillförd energi'!$B$1:$AQ$1,0),FALSE)</f>
        <v>0</v>
      </c>
      <c r="AA357" s="121">
        <f>VLOOKUP($B357,'Tillförd energi'!$B$1:$AI$720,MATCH(AA$1,'Tillförd energi'!$B$1:$AQ$1,0),FALSE)</f>
        <v>0</v>
      </c>
      <c r="AB357" s="121">
        <f>VLOOKUP($B357,'Tillförd energi'!$B$1:$AI$720,MATCH(AB$1,'Tillförd energi'!$B$1:$AQ$1,0),FALSE)</f>
        <v>0</v>
      </c>
      <c r="AC357" s="121">
        <f>VLOOKUP($B357,'Tillförd energi'!$B$1:$AI$720,MATCH(AC$1,'Tillförd energi'!$B$1:$AQ$1,0),FALSE)</f>
        <v>36.97</v>
      </c>
      <c r="AD357" s="121">
        <f>VLOOKUP($B357,'Tillförd energi'!$B$1:$AI$720,MATCH(AD$1,'Tillförd energi'!$B$1:$AQ$1,0),FALSE)</f>
        <v>0</v>
      </c>
      <c r="AE357" s="121">
        <f>VLOOKUP($B357,'Tillförd energi'!$B$1:$AI$720,MATCH(AE$1,'Tillförd energi'!$B$1:$AQ$1,0),FALSE)</f>
        <v>0</v>
      </c>
      <c r="AF357" s="121">
        <f>VLOOKUP($B357,'Tillförd energi'!$B$1:$AI$720,MATCH(AF$1,'Tillförd energi'!$B$1:$AQ$1,0),FALSE)</f>
        <v>3.4624199999999998</v>
      </c>
      <c r="AG357" s="121">
        <f>IFERROR(VLOOKUP(B357,Miljö!$B$1:$AC$550,MATCH("Köpt mängd produktionsspecifik fjärrvärme:",Miljö!$B$1:$AC$1,0),FALSE)/1,0)</f>
        <v>0</v>
      </c>
      <c r="AH357" s="121"/>
      <c r="AI357" s="121">
        <f t="shared" si="132"/>
        <v>149.07332120000001</v>
      </c>
      <c r="AJ357" s="121">
        <f t="shared" si="133"/>
        <v>149.07332120000001</v>
      </c>
      <c r="AK357" s="121">
        <f>IF(ISERROR(1/VLOOKUP($B357,Leveranser!$B$1:$S$499,MATCH("såld värme (gwh)",Leveranser!$B$1:$S$1,0),FALSE)),"",VLOOKUP($B357,Leveranser!$B$1:$S$499,MATCH("såld värme (gwh)",Leveranser!$B$1:$S$1,0),FALSE))</f>
        <v>120.9</v>
      </c>
      <c r="AL357" s="121">
        <f>VLOOKUP($B357,Leveranser!$B$1:$Y$499,MATCH("Totalt såld fjärrvärme till andra fjärrvärmeföretag",Leveranser!$B$1:$AA$1,0),FALSE)</f>
        <v>0</v>
      </c>
      <c r="AM357" s="121">
        <f>IF(ISERROR(1/VLOOKUP($B357,Miljö!$B$1:$S$500,MATCH("Såld mängd produktionsspecifik fjärrvärme (GWh)",Miljö!$B$1:$R$1,0),FALSE)),0,VLOOKUP($B357,Miljö!$B$1:$S$500,MATCH("Såld mängd produktionsspecifik fjärrvärme (GWh)",Miljö!$B$1:$R$1,0),FALSE))</f>
        <v>0</v>
      </c>
      <c r="AN357" s="172">
        <f t="shared" si="134"/>
        <v>0.81101030705419075</v>
      </c>
      <c r="AO357" s="121"/>
      <c r="AP357" s="121" t="str">
        <f>IFERROR(VLOOKUP($B357,Miljövärden!$B$2:$H$550,7,FALSE),"Nej, saknas")</f>
        <v>Ja</v>
      </c>
      <c r="AQ357" s="121" t="str">
        <f>IFERROR(VLOOKUP($B357,Miljövärden!$B$2:$H$550,6,FALSE),"Nej, saknas")</f>
        <v>Ja</v>
      </c>
      <c r="AU357">
        <f t="shared" si="135"/>
        <v>3.4624199999999998</v>
      </c>
      <c r="AV357">
        <f t="shared" si="136"/>
        <v>0</v>
      </c>
      <c r="AW357">
        <f t="shared" si="137"/>
        <v>98.882969199999991</v>
      </c>
      <c r="AX357">
        <f t="shared" si="138"/>
        <v>0</v>
      </c>
      <c r="AZ357">
        <f t="shared" si="139"/>
        <v>105.7220612</v>
      </c>
      <c r="BC357">
        <f t="shared" si="140"/>
        <v>0.37</v>
      </c>
      <c r="BD357">
        <f t="shared" si="141"/>
        <v>0</v>
      </c>
      <c r="BE357">
        <f t="shared" si="142"/>
        <v>105.06996919999999</v>
      </c>
      <c r="BF357">
        <f t="shared" si="143"/>
        <v>40.170932000000001</v>
      </c>
      <c r="BG357">
        <f t="shared" si="144"/>
        <v>3.4624199999999998</v>
      </c>
      <c r="BH357">
        <f>VLOOKUP(B357,Miljö!$B$1:$BX$482,MATCH("Fossilandel för ursprungspecificerad el ()",Miljö!$B$1:$I$1,0),FALSE)</f>
        <v>0</v>
      </c>
      <c r="BI357">
        <f>VLOOKUP(B357,Miljö!$B$1:$BX$482,MATCH("Kärnkraftsandel för ursprungsspecificerad el ()",Miljö!$B$1:$O$1,0),FALSE)</f>
        <v>0</v>
      </c>
      <c r="BJ357">
        <f t="shared" si="145"/>
        <v>0</v>
      </c>
      <c r="BK357" t="str">
        <f>VLOOKUP(B357,Miljö!$B$1:$O$482,MATCH("Fossil andel i procent (%)",Miljö!$B$1:$O$1,0),FALSE)</f>
        <v>ET</v>
      </c>
      <c r="BL357">
        <f t="shared" si="146"/>
        <v>149.07332120000001</v>
      </c>
      <c r="BO357" s="18">
        <f t="shared" si="147"/>
        <v>2.4820001125727921E-3</v>
      </c>
      <c r="BP357" s="18">
        <f t="shared" si="148"/>
        <v>0</v>
      </c>
      <c r="BQ357" s="18">
        <f t="shared" si="149"/>
        <v>0.72804703300592977</v>
      </c>
      <c r="BR357" s="18">
        <f t="shared" si="150"/>
        <v>0.26947096688149724</v>
      </c>
      <c r="BT357" s="27">
        <f t="shared" si="151"/>
        <v>0.99999999999999978</v>
      </c>
      <c r="BW357" s="18">
        <f>IF(AP357="ja",VLOOKUP(B357,Miljövärden!$B$2:$H$550,MATCH("Total andel fossilt",Miljövärden!$B$2:$H$2,0),FALSE),"")</f>
        <v>2.4820100000000002E-3</v>
      </c>
      <c r="BZ357" s="28">
        <f t="shared" si="152"/>
        <v>9.8874272081404813E-9</v>
      </c>
      <c r="CA357" s="28">
        <f t="shared" si="153"/>
        <v>0</v>
      </c>
    </row>
    <row r="358" spans="1:79" x14ac:dyDescent="0.25">
      <c r="A358" s="224" t="s">
        <v>52</v>
      </c>
      <c r="B358" s="210" t="s">
        <v>681</v>
      </c>
      <c r="C358" s="121">
        <f>VLOOKUP($B358,'Tillförd energi'!$B$1:$AI$720,MATCH(C$1,'Tillförd energi'!$B$1:$AQ$1,0),FALSE)</f>
        <v>0</v>
      </c>
      <c r="D358" s="121">
        <f>VLOOKUP($B358,'Tillförd energi'!$B$1:$AI$720,MATCH(D$1,'Tillförd energi'!$B$1:$AQ$1,0),FALSE)</f>
        <v>0.14599999999999999</v>
      </c>
      <c r="E358" s="121">
        <f>VLOOKUP($B358,'Tillförd energi'!$B$1:$AI$720,MATCH(E$1,'Tillförd energi'!$B$1:$AQ$1,0),FALSE)</f>
        <v>0</v>
      </c>
      <c r="F358" s="121">
        <f>VLOOKUP($B358,'Tillförd energi'!$B$1:$AI$720,MATCH(F$1,'Tillförd energi'!$B$1:$AQ$1,0),FALSE)</f>
        <v>0</v>
      </c>
      <c r="G358" s="121">
        <f>VLOOKUP($B358,'Tillförd energi'!$B$1:$AI$720,MATCH(G$1,'Tillförd energi'!$B$1:$AQ$1,0),FALSE)</f>
        <v>0</v>
      </c>
      <c r="H358" s="121">
        <f>VLOOKUP($B358,'Tillförd energi'!$B$1:$AI$720,MATCH(H$1,'Tillförd energi'!$B$1:$AQ$1,0),FALSE)</f>
        <v>0</v>
      </c>
      <c r="I358" s="121">
        <f>VLOOKUP($B358,'Tillförd energi'!$B$1:$AI$720,MATCH(I$1,'Tillförd energi'!$B$1:$AQ$1,0),FALSE)</f>
        <v>0</v>
      </c>
      <c r="J358" s="121">
        <f>VLOOKUP($B358,'Tillförd energi'!$B$1:$AI$720,MATCH(J$1,'Tillförd energi'!$B$1:$AQ$1,0),FALSE)</f>
        <v>0</v>
      </c>
      <c r="K358" s="121">
        <f>VLOOKUP($B358,'Tillförd energi'!$B$1:$AI$720,MATCH(K$1,'Tillförd energi'!$B$1:$AQ$1,0),FALSE)</f>
        <v>0</v>
      </c>
      <c r="L358" s="121">
        <f>VLOOKUP($B358,'Tillförd energi'!$B$1:$AI$720,MATCH(L$1,'Tillförd energi'!$B$1:$AQ$1,0),FALSE)</f>
        <v>0</v>
      </c>
      <c r="M358" s="121">
        <f>VLOOKUP($B358,'Tillförd energi'!$B$1:$AI$720,MATCH(M$1,'Tillförd energi'!$B$1:$AQ$1,0),FALSE)</f>
        <v>12.379</v>
      </c>
      <c r="N358" s="121">
        <f>VLOOKUP($B358,'Tillförd energi'!$B$1:$AI$720,MATCH(N$1,'Tillförd energi'!$B$1:$AQ$1,0),FALSE)</f>
        <v>10.077</v>
      </c>
      <c r="O358" s="121">
        <f>VLOOKUP($B358,'Tillförd energi'!$B$1:$AI$720,MATCH(O$1,'Tillförd energi'!$B$1:$AQ$1,0),FALSE)</f>
        <v>0</v>
      </c>
      <c r="P358" s="121">
        <f>VLOOKUP($B358,'Tillförd energi'!$B$1:$AI$720,MATCH(P$1,'Tillförd energi'!$B$1:$AQ$1,0),FALSE)</f>
        <v>9.3350000000000009</v>
      </c>
      <c r="Q358" s="121">
        <f>VLOOKUP($B358,'Tillförd energi'!$B$1:$AI$720,MATCH(Q$1,'Tillförd energi'!$B$1:$AQ$1,0),FALSE)</f>
        <v>0</v>
      </c>
      <c r="R358" s="121">
        <f>VLOOKUP($B358,'Tillförd energi'!$B$1:$AI$720,MATCH(R$1,'Tillförd energi'!$B$1:$AQ$1,0),FALSE)</f>
        <v>0</v>
      </c>
      <c r="S358" s="121">
        <f>VLOOKUP($B358,'Tillförd energi'!$B$1:$AI$720,MATCH(S$1,'Tillförd energi'!$B$1:$AQ$1,0),FALSE)</f>
        <v>0</v>
      </c>
      <c r="T358" s="121">
        <f>VLOOKUP($B358,'Tillförd energi'!$B$1:$AI$720,MATCH(T$1,'Tillförd energi'!$B$1:$AQ$1,0),FALSE)</f>
        <v>0</v>
      </c>
      <c r="U358" s="121">
        <f>VLOOKUP($B358,'Tillförd energi'!$B$1:$AI$720,MATCH(U$1,'Tillförd energi'!$B$1:$AQ$1,0),FALSE)</f>
        <v>0</v>
      </c>
      <c r="V358" s="121">
        <f>VLOOKUP($B358,'Tillförd energi'!$B$1:$AI$720,MATCH(V$1,'Tillförd energi'!$B$1:$AQ$1,0),FALSE)</f>
        <v>0</v>
      </c>
      <c r="W358" s="121">
        <f>VLOOKUP($B358,'Tillförd energi'!$B$1:$AI$720,MATCH(W$1,'Tillförd energi'!$B$1:$AQ$1,0),FALSE)</f>
        <v>0</v>
      </c>
      <c r="X358" s="121">
        <f>VLOOKUP($B358,'Tillförd energi'!$B$1:$AI$720,MATCH(X$1,'Tillförd energi'!$B$1:$AQ$1,0),FALSE)</f>
        <v>0</v>
      </c>
      <c r="Y358" s="121">
        <f>VLOOKUP($B358,'Tillförd energi'!$B$1:$AI$720,MATCH(Y$1,'Tillförd energi'!$B$1:$AQ$1,0),FALSE)</f>
        <v>0</v>
      </c>
      <c r="Z358" s="121">
        <f>VLOOKUP($B358,'Tillförd energi'!$B$1:$AI$720,MATCH(Z$1,'Tillförd energi'!$B$1:$AQ$1,0),FALSE)</f>
        <v>0</v>
      </c>
      <c r="AA358" s="121">
        <f>VLOOKUP($B358,'Tillförd energi'!$B$1:$AI$720,MATCH(AA$1,'Tillförd energi'!$B$1:$AQ$1,0),FALSE)</f>
        <v>0</v>
      </c>
      <c r="AB358" s="121">
        <f>VLOOKUP($B358,'Tillförd energi'!$B$1:$AI$720,MATCH(AB$1,'Tillförd energi'!$B$1:$AQ$1,0),FALSE)</f>
        <v>0</v>
      </c>
      <c r="AC358" s="121">
        <f>VLOOKUP($B358,'Tillförd energi'!$B$1:$AI$720,MATCH(AC$1,'Tillförd energi'!$B$1:$AQ$1,0),FALSE)</f>
        <v>7.8280000000000003</v>
      </c>
      <c r="AD358" s="121">
        <f>VLOOKUP($B358,'Tillförd energi'!$B$1:$AI$720,MATCH(AD$1,'Tillförd energi'!$B$1:$AQ$1,0),FALSE)</f>
        <v>6.8879999999999999</v>
      </c>
      <c r="AE358" s="121">
        <f>VLOOKUP($B358,'Tillförd energi'!$B$1:$AI$720,MATCH(AE$1,'Tillförd energi'!$B$1:$AQ$1,0),FALSE)</f>
        <v>0</v>
      </c>
      <c r="AF358" s="121">
        <f>VLOOKUP($B358,'Tillförd energi'!$B$1:$AI$720,MATCH(AF$1,'Tillförd energi'!$B$1:$AQ$1,0),FALSE)</f>
        <v>0.95699999999999996</v>
      </c>
      <c r="AG358" s="121">
        <f>IFERROR(VLOOKUP(B358,Miljö!$B$1:$AC$550,MATCH("Köpt mängd produktionsspecifik fjärrvärme:",Miljö!$B$1:$AC$1,0),FALSE)/1,0)</f>
        <v>0</v>
      </c>
      <c r="AH358" s="121"/>
      <c r="AI358" s="121">
        <f t="shared" si="132"/>
        <v>47.61</v>
      </c>
      <c r="AJ358" s="121">
        <f t="shared" si="133"/>
        <v>47.61</v>
      </c>
      <c r="AK358" s="121">
        <f>IF(ISERROR(1/VLOOKUP($B358,Leveranser!$B$1:$S$499,MATCH("såld värme (gwh)",Leveranser!$B$1:$S$1,0),FALSE)),"",VLOOKUP($B358,Leveranser!$B$1:$S$499,MATCH("såld värme (gwh)",Leveranser!$B$1:$S$1,0),FALSE))</f>
        <v>33.700000000000003</v>
      </c>
      <c r="AL358" s="121">
        <f>VLOOKUP($B358,Leveranser!$B$1:$Y$499,MATCH("Totalt såld fjärrvärme till andra fjärrvärmeföretag",Leveranser!$B$1:$AA$1,0),FALSE)</f>
        <v>0</v>
      </c>
      <c r="AM358" s="121">
        <f>IF(ISERROR(1/VLOOKUP($B358,Miljö!$B$1:$S$500,MATCH("Såld mängd produktionsspecifik fjärrvärme (GWh)",Miljö!$B$1:$R$1,0),FALSE)),0,VLOOKUP($B358,Miljö!$B$1:$S$500,MATCH("Såld mängd produktionsspecifik fjärrvärme (GWh)",Miljö!$B$1:$R$1,0),FALSE))</f>
        <v>0</v>
      </c>
      <c r="AN358" s="172">
        <f t="shared" si="134"/>
        <v>0.70783448855282516</v>
      </c>
      <c r="AO358" s="121"/>
      <c r="AP358" s="121" t="str">
        <f>IFERROR(VLOOKUP($B358,Miljövärden!$B$2:$H$550,7,FALSE),"Nej, saknas")</f>
        <v>Ja</v>
      </c>
      <c r="AQ358" s="121" t="str">
        <f>IFERROR(VLOOKUP($B358,Miljövärden!$B$2:$H$550,6,FALSE),"Nej, saknas")</f>
        <v>Ja</v>
      </c>
      <c r="AU358">
        <f t="shared" si="135"/>
        <v>0.95699999999999996</v>
      </c>
      <c r="AV358">
        <f t="shared" si="136"/>
        <v>0</v>
      </c>
      <c r="AW358">
        <f t="shared" si="137"/>
        <v>31.791</v>
      </c>
      <c r="AX358">
        <f t="shared" si="138"/>
        <v>0</v>
      </c>
      <c r="AZ358">
        <f t="shared" si="139"/>
        <v>31.791</v>
      </c>
      <c r="BC358">
        <f t="shared" si="140"/>
        <v>0.14599999999999999</v>
      </c>
      <c r="BD358">
        <f t="shared" si="141"/>
        <v>0</v>
      </c>
      <c r="BE358">
        <f t="shared" si="142"/>
        <v>31.791</v>
      </c>
      <c r="BF358">
        <f t="shared" si="143"/>
        <v>14.716000000000001</v>
      </c>
      <c r="BG358">
        <f t="shared" si="144"/>
        <v>0.95699999999999996</v>
      </c>
      <c r="BH358">
        <f>VLOOKUP(B358,Miljö!$B$1:$BX$482,MATCH("Fossilandel för ursprungspecificerad el ()",Miljö!$B$1:$I$1,0),FALSE)</f>
        <v>0</v>
      </c>
      <c r="BI358">
        <f>VLOOKUP(B358,Miljö!$B$1:$BX$482,MATCH("Kärnkraftsandel för ursprungsspecificerad el ()",Miljö!$B$1:$O$1,0),FALSE)</f>
        <v>0</v>
      </c>
      <c r="BJ358">
        <f t="shared" si="145"/>
        <v>0</v>
      </c>
      <c r="BK358" t="str">
        <f>VLOOKUP(B358,Miljö!$B$1:$O$482,MATCH("Fossil andel i procent (%)",Miljö!$B$1:$O$1,0),FALSE)</f>
        <v>ET</v>
      </c>
      <c r="BL358">
        <f t="shared" si="146"/>
        <v>47.610000000000007</v>
      </c>
      <c r="BO358" s="18">
        <f t="shared" si="147"/>
        <v>3.0665826507036329E-3</v>
      </c>
      <c r="BP358" s="18">
        <f t="shared" si="148"/>
        <v>0</v>
      </c>
      <c r="BQ358" s="18">
        <f t="shared" si="149"/>
        <v>0.68783868935097658</v>
      </c>
      <c r="BR358" s="18">
        <f t="shared" si="150"/>
        <v>0.30909472799831966</v>
      </c>
      <c r="BT358" s="27">
        <f t="shared" si="151"/>
        <v>0.99999999999999978</v>
      </c>
      <c r="BW358" s="18">
        <f>IF(AP358="ja",VLOOKUP(B358,Miljövärden!$B$2:$H$550,MATCH("Total andel fossilt",Miljövärden!$B$2:$H$2,0),FALSE),"")</f>
        <v>3.0665800000000002E-3</v>
      </c>
      <c r="BZ358" s="28">
        <f t="shared" si="152"/>
        <v>-2.6507036327179379E-9</v>
      </c>
      <c r="CA358" s="28">
        <f t="shared" si="153"/>
        <v>0</v>
      </c>
    </row>
    <row r="359" spans="1:79" x14ac:dyDescent="0.25">
      <c r="A359" s="224" t="s">
        <v>52</v>
      </c>
      <c r="B359" s="210" t="s">
        <v>682</v>
      </c>
      <c r="C359" s="121">
        <f>VLOOKUP($B359,'Tillförd energi'!$B$1:$AI$720,MATCH(C$1,'Tillförd energi'!$B$1:$AQ$1,0),FALSE)</f>
        <v>0</v>
      </c>
      <c r="D359" s="121">
        <f>VLOOKUP($B359,'Tillförd energi'!$B$1:$AI$720,MATCH(D$1,'Tillförd energi'!$B$1:$AQ$1,0),FALSE)</f>
        <v>0.27100000000000002</v>
      </c>
      <c r="E359" s="121">
        <f>VLOOKUP($B359,'Tillförd energi'!$B$1:$AI$720,MATCH(E$1,'Tillförd energi'!$B$1:$AQ$1,0),FALSE)</f>
        <v>0</v>
      </c>
      <c r="F359" s="121">
        <f>VLOOKUP($B359,'Tillförd energi'!$B$1:$AI$720,MATCH(F$1,'Tillförd energi'!$B$1:$AQ$1,0),FALSE)</f>
        <v>0.70470600000000005</v>
      </c>
      <c r="G359" s="121">
        <f>VLOOKUP($B359,'Tillförd energi'!$B$1:$AI$720,MATCH(G$1,'Tillförd energi'!$B$1:$AQ$1,0),FALSE)</f>
        <v>0</v>
      </c>
      <c r="H359" s="121">
        <f>VLOOKUP($B359,'Tillförd energi'!$B$1:$AI$720,MATCH(H$1,'Tillförd energi'!$B$1:$AQ$1,0),FALSE)</f>
        <v>0</v>
      </c>
      <c r="I359" s="121">
        <f>VLOOKUP($B359,'Tillförd energi'!$B$1:$AI$720,MATCH(I$1,'Tillförd energi'!$B$1:$AQ$1,0),FALSE)</f>
        <v>0</v>
      </c>
      <c r="J359" s="121">
        <f>VLOOKUP($B359,'Tillförd energi'!$B$1:$AI$720,MATCH(J$1,'Tillförd energi'!$B$1:$AQ$1,0),FALSE)</f>
        <v>0</v>
      </c>
      <c r="K359" s="121">
        <f>VLOOKUP($B359,'Tillförd energi'!$B$1:$AI$720,MATCH(K$1,'Tillförd energi'!$B$1:$AQ$1,0),FALSE)</f>
        <v>0</v>
      </c>
      <c r="L359" s="121">
        <f>VLOOKUP($B359,'Tillförd energi'!$B$1:$AI$720,MATCH(L$1,'Tillförd energi'!$B$1:$AQ$1,0),FALSE)</f>
        <v>0</v>
      </c>
      <c r="M359" s="121">
        <f>VLOOKUP($B359,'Tillförd energi'!$B$1:$AI$720,MATCH(M$1,'Tillförd energi'!$B$1:$AQ$1,0),FALSE)</f>
        <v>0</v>
      </c>
      <c r="N359" s="121">
        <f>VLOOKUP($B359,'Tillförd energi'!$B$1:$AI$720,MATCH(N$1,'Tillförd energi'!$B$1:$AQ$1,0),FALSE)</f>
        <v>0</v>
      </c>
      <c r="O359" s="121">
        <f>VLOOKUP($B359,'Tillförd energi'!$B$1:$AI$720,MATCH(O$1,'Tillförd energi'!$B$1:$AQ$1,0),FALSE)</f>
        <v>0</v>
      </c>
      <c r="P359" s="121">
        <f>VLOOKUP($B359,'Tillförd energi'!$B$1:$AI$720,MATCH(P$1,'Tillförd energi'!$B$1:$AQ$1,0),FALSE)</f>
        <v>0</v>
      </c>
      <c r="Q359" s="121">
        <f>VLOOKUP($B359,'Tillförd energi'!$B$1:$AI$720,MATCH(Q$1,'Tillförd energi'!$B$1:$AQ$1,0),FALSE)</f>
        <v>6.0341199999999997</v>
      </c>
      <c r="R359" s="121">
        <f>VLOOKUP($B359,'Tillförd energi'!$B$1:$AI$720,MATCH(R$1,'Tillförd energi'!$B$1:$AQ$1,0),FALSE)</f>
        <v>0</v>
      </c>
      <c r="S359" s="121">
        <f>VLOOKUP($B359,'Tillförd energi'!$B$1:$AI$720,MATCH(S$1,'Tillförd energi'!$B$1:$AQ$1,0),FALSE)</f>
        <v>0</v>
      </c>
      <c r="T359" s="121">
        <f>VLOOKUP($B359,'Tillförd energi'!$B$1:$AI$720,MATCH(T$1,'Tillförd energi'!$B$1:$AQ$1,0),FALSE)</f>
        <v>0</v>
      </c>
      <c r="U359" s="121">
        <f>VLOOKUP($B359,'Tillförd energi'!$B$1:$AI$720,MATCH(U$1,'Tillförd energi'!$B$1:$AQ$1,0),FALSE)</f>
        <v>0</v>
      </c>
      <c r="V359" s="121">
        <f>VLOOKUP($B359,'Tillförd energi'!$B$1:$AI$720,MATCH(V$1,'Tillförd energi'!$B$1:$AQ$1,0),FALSE)</f>
        <v>0</v>
      </c>
      <c r="W359" s="121">
        <f>VLOOKUP($B359,'Tillförd energi'!$B$1:$AI$720,MATCH(W$1,'Tillförd energi'!$B$1:$AQ$1,0),FALSE)</f>
        <v>0</v>
      </c>
      <c r="X359" s="121">
        <f>VLOOKUP($B359,'Tillförd energi'!$B$1:$AI$720,MATCH(X$1,'Tillförd energi'!$B$1:$AQ$1,0),FALSE)</f>
        <v>0</v>
      </c>
      <c r="Y359" s="121">
        <f>VLOOKUP($B359,'Tillförd energi'!$B$1:$AI$720,MATCH(Y$1,'Tillförd energi'!$B$1:$AQ$1,0),FALSE)</f>
        <v>0</v>
      </c>
      <c r="Z359" s="121">
        <f>VLOOKUP($B359,'Tillförd energi'!$B$1:$AI$720,MATCH(Z$1,'Tillförd energi'!$B$1:$AQ$1,0),FALSE)</f>
        <v>0</v>
      </c>
      <c r="AA359" s="121">
        <f>VLOOKUP($B359,'Tillförd energi'!$B$1:$AI$720,MATCH(AA$1,'Tillförd energi'!$B$1:$AQ$1,0),FALSE)</f>
        <v>0</v>
      </c>
      <c r="AB359" s="121">
        <f>VLOOKUP($B359,'Tillförd energi'!$B$1:$AI$720,MATCH(AB$1,'Tillförd energi'!$B$1:$AQ$1,0),FALSE)</f>
        <v>0</v>
      </c>
      <c r="AC359" s="121">
        <f>VLOOKUP($B359,'Tillförd energi'!$B$1:$AI$720,MATCH(AC$1,'Tillförd energi'!$B$1:$AQ$1,0),FALSE)</f>
        <v>0</v>
      </c>
      <c r="AD359" s="121">
        <f>VLOOKUP($B359,'Tillförd energi'!$B$1:$AI$720,MATCH(AD$1,'Tillförd energi'!$B$1:$AQ$1,0),FALSE)</f>
        <v>11.834</v>
      </c>
      <c r="AE359" s="121">
        <f>VLOOKUP($B359,'Tillförd energi'!$B$1:$AI$720,MATCH(AE$1,'Tillförd energi'!$B$1:$AQ$1,0),FALSE)</f>
        <v>0</v>
      </c>
      <c r="AF359" s="121">
        <f>VLOOKUP($B359,'Tillförd energi'!$B$1:$AI$720,MATCH(AF$1,'Tillförd energi'!$B$1:$AQ$1,0),FALSE)</f>
        <v>4.5999999999999999E-2</v>
      </c>
      <c r="AG359" s="121">
        <f>IFERROR(VLOOKUP(B359,Miljö!$B$1:$AC$550,MATCH("Köpt mängd produktionsspecifik fjärrvärme:",Miljö!$B$1:$AC$1,0),FALSE)/1,0)</f>
        <v>0</v>
      </c>
      <c r="AH359" s="121"/>
      <c r="AI359" s="121">
        <f t="shared" si="132"/>
        <v>18.889825999999999</v>
      </c>
      <c r="AJ359" s="121">
        <f t="shared" si="133"/>
        <v>18.889825999999999</v>
      </c>
      <c r="AK359" s="121">
        <f>IF(ISERROR(1/VLOOKUP($B359,Leveranser!$B$1:$S$499,MATCH("såld värme (gwh)",Leveranser!$B$1:$S$1,0),FALSE)),"",VLOOKUP($B359,Leveranser!$B$1:$S$499,MATCH("såld värme (gwh)",Leveranser!$B$1:$S$1,0),FALSE))</f>
        <v>16.3</v>
      </c>
      <c r="AL359" s="121">
        <f>VLOOKUP($B359,Leveranser!$B$1:$Y$499,MATCH("Totalt såld fjärrvärme till andra fjärrvärmeföretag",Leveranser!$B$1:$AA$1,0),FALSE)</f>
        <v>0</v>
      </c>
      <c r="AM359" s="121">
        <f>IF(ISERROR(1/VLOOKUP($B359,Miljö!$B$1:$S$500,MATCH("Såld mängd produktionsspecifik fjärrvärme (GWh)",Miljö!$B$1:$R$1,0),FALSE)),0,VLOOKUP($B359,Miljö!$B$1:$S$500,MATCH("Såld mängd produktionsspecifik fjärrvärme (GWh)",Miljö!$B$1:$R$1,0),FALSE))</f>
        <v>0</v>
      </c>
      <c r="AN359" s="172">
        <f t="shared" si="134"/>
        <v>0.86289836655986141</v>
      </c>
      <c r="AO359" s="121"/>
      <c r="AP359" s="121" t="str">
        <f>IFERROR(VLOOKUP($B359,Miljövärden!$B$2:$H$550,7,FALSE),"Nej, saknas")</f>
        <v>Ja</v>
      </c>
      <c r="AQ359" s="121" t="str">
        <f>IFERROR(VLOOKUP($B359,Miljövärden!$B$2:$H$550,6,FALSE),"Nej, saknas")</f>
        <v>Ja</v>
      </c>
      <c r="AU359">
        <f t="shared" si="135"/>
        <v>4.5999999999999999E-2</v>
      </c>
      <c r="AV359">
        <f t="shared" si="136"/>
        <v>0</v>
      </c>
      <c r="AW359">
        <f t="shared" si="137"/>
        <v>6.0341199999999997</v>
      </c>
      <c r="AX359">
        <f t="shared" si="138"/>
        <v>0</v>
      </c>
      <c r="AZ359">
        <f t="shared" si="139"/>
        <v>6.0341199999999997</v>
      </c>
      <c r="BC359">
        <f t="shared" si="140"/>
        <v>0.97570600000000007</v>
      </c>
      <c r="BD359">
        <f t="shared" si="141"/>
        <v>0</v>
      </c>
      <c r="BE359">
        <f t="shared" si="142"/>
        <v>6.0341199999999997</v>
      </c>
      <c r="BF359">
        <f t="shared" si="143"/>
        <v>11.834</v>
      </c>
      <c r="BG359">
        <f t="shared" si="144"/>
        <v>4.5999999999999999E-2</v>
      </c>
      <c r="BH359">
        <f>VLOOKUP(B359,Miljö!$B$1:$BX$482,MATCH("Fossilandel för ursprungspecificerad el ()",Miljö!$B$1:$I$1,0),FALSE)</f>
        <v>0</v>
      </c>
      <c r="BI359">
        <f>VLOOKUP(B359,Miljö!$B$1:$BX$482,MATCH("Kärnkraftsandel för ursprungsspecificerad el ()",Miljö!$B$1:$O$1,0),FALSE)</f>
        <v>0</v>
      </c>
      <c r="BJ359">
        <f t="shared" si="145"/>
        <v>0</v>
      </c>
      <c r="BK359" t="str">
        <f>VLOOKUP(B359,Miljö!$B$1:$O$482,MATCH("Fossil andel i procent (%)",Miljö!$B$1:$O$1,0),FALSE)</f>
        <v>ET</v>
      </c>
      <c r="BL359">
        <f t="shared" si="146"/>
        <v>18.889825999999999</v>
      </c>
      <c r="BO359" s="18">
        <f t="shared" si="147"/>
        <v>5.1652460959672158E-2</v>
      </c>
      <c r="BP359" s="18">
        <f t="shared" si="148"/>
        <v>0</v>
      </c>
      <c r="BQ359" s="18">
        <f t="shared" si="149"/>
        <v>0.32187273720784937</v>
      </c>
      <c r="BR359" s="18">
        <f t="shared" si="150"/>
        <v>0.6264748018324785</v>
      </c>
      <c r="BT359" s="27">
        <f t="shared" si="151"/>
        <v>1</v>
      </c>
      <c r="BW359" s="18">
        <f>IF(AP359="ja",VLOOKUP(B359,Miljövärden!$B$2:$H$550,MATCH("Total andel fossilt",Miljövärden!$B$2:$H$2,0),FALSE),"")</f>
        <v>5.1652499999999997E-2</v>
      </c>
      <c r="BZ359" s="28">
        <f t="shared" si="152"/>
        <v>3.9040327838579802E-8</v>
      </c>
      <c r="CA359" s="28">
        <f t="shared" si="153"/>
        <v>0</v>
      </c>
    </row>
    <row r="360" spans="1:79" x14ac:dyDescent="0.25">
      <c r="A360" s="224" t="s">
        <v>52</v>
      </c>
      <c r="B360" s="210" t="s">
        <v>683</v>
      </c>
      <c r="C360" s="121">
        <f>VLOOKUP($B360,'Tillförd energi'!$B$1:$AI$720,MATCH(C$1,'Tillförd energi'!$B$1:$AQ$1,0),FALSE)</f>
        <v>0</v>
      </c>
      <c r="D360" s="121">
        <f>VLOOKUP($B360,'Tillförd energi'!$B$1:$AI$720,MATCH(D$1,'Tillförd energi'!$B$1:$AQ$1,0),FALSE)</f>
        <v>0.41299999999999998</v>
      </c>
      <c r="E360" s="121">
        <f>VLOOKUP($B360,'Tillförd energi'!$B$1:$AI$720,MATCH(E$1,'Tillförd energi'!$B$1:$AQ$1,0),FALSE)</f>
        <v>0</v>
      </c>
      <c r="F360" s="121">
        <f>VLOOKUP($B360,'Tillförd energi'!$B$1:$AI$720,MATCH(F$1,'Tillförd energi'!$B$1:$AQ$1,0),FALSE)</f>
        <v>0</v>
      </c>
      <c r="G360" s="121">
        <f>VLOOKUP($B360,'Tillförd energi'!$B$1:$AI$720,MATCH(G$1,'Tillförd energi'!$B$1:$AQ$1,0),FALSE)</f>
        <v>0</v>
      </c>
      <c r="H360" s="121">
        <f>VLOOKUP($B360,'Tillförd energi'!$B$1:$AI$720,MATCH(H$1,'Tillförd energi'!$B$1:$AQ$1,0),FALSE)</f>
        <v>0</v>
      </c>
      <c r="I360" s="121">
        <f>VLOOKUP($B360,'Tillförd energi'!$B$1:$AI$720,MATCH(I$1,'Tillförd energi'!$B$1:$AQ$1,0),FALSE)</f>
        <v>0</v>
      </c>
      <c r="J360" s="121">
        <f>VLOOKUP($B360,'Tillförd energi'!$B$1:$AI$720,MATCH(J$1,'Tillförd energi'!$B$1:$AQ$1,0),FALSE)</f>
        <v>0</v>
      </c>
      <c r="K360" s="121">
        <f>VLOOKUP($B360,'Tillförd energi'!$B$1:$AI$720,MATCH(K$1,'Tillförd energi'!$B$1:$AQ$1,0),FALSE)</f>
        <v>0</v>
      </c>
      <c r="L360" s="121">
        <f>VLOOKUP($B360,'Tillförd energi'!$B$1:$AI$720,MATCH(L$1,'Tillförd energi'!$B$1:$AQ$1,0),FALSE)</f>
        <v>0</v>
      </c>
      <c r="M360" s="121">
        <f>VLOOKUP($B360,'Tillförd energi'!$B$1:$AI$720,MATCH(M$1,'Tillförd energi'!$B$1:$AQ$1,0),FALSE)</f>
        <v>0</v>
      </c>
      <c r="N360" s="121">
        <f>VLOOKUP($B360,'Tillförd energi'!$B$1:$AI$720,MATCH(N$1,'Tillförd energi'!$B$1:$AQ$1,0),FALSE)</f>
        <v>0</v>
      </c>
      <c r="O360" s="121">
        <f>VLOOKUP($B360,'Tillförd energi'!$B$1:$AI$720,MATCH(O$1,'Tillförd energi'!$B$1:$AQ$1,0),FALSE)</f>
        <v>0</v>
      </c>
      <c r="P360" s="121">
        <f>VLOOKUP($B360,'Tillförd energi'!$B$1:$AI$720,MATCH(P$1,'Tillförd energi'!$B$1:$AQ$1,0),FALSE)</f>
        <v>2.419</v>
      </c>
      <c r="Q360" s="121">
        <f>VLOOKUP($B360,'Tillförd energi'!$B$1:$AI$720,MATCH(Q$1,'Tillförd energi'!$B$1:$AQ$1,0),FALSE)</f>
        <v>11.605</v>
      </c>
      <c r="R360" s="121">
        <f>VLOOKUP($B360,'Tillförd energi'!$B$1:$AI$720,MATCH(R$1,'Tillförd energi'!$B$1:$AQ$1,0),FALSE)</f>
        <v>0</v>
      </c>
      <c r="S360" s="121">
        <f>VLOOKUP($B360,'Tillförd energi'!$B$1:$AI$720,MATCH(S$1,'Tillförd energi'!$B$1:$AQ$1,0),FALSE)</f>
        <v>0.56899999999999995</v>
      </c>
      <c r="T360" s="121">
        <f>VLOOKUP($B360,'Tillförd energi'!$B$1:$AI$720,MATCH(T$1,'Tillförd energi'!$B$1:$AQ$1,0),FALSE)</f>
        <v>0</v>
      </c>
      <c r="U360" s="121">
        <f>VLOOKUP($B360,'Tillförd energi'!$B$1:$AI$720,MATCH(U$1,'Tillförd energi'!$B$1:$AQ$1,0),FALSE)</f>
        <v>0</v>
      </c>
      <c r="V360" s="121">
        <f>VLOOKUP($B360,'Tillförd energi'!$B$1:$AI$720,MATCH(V$1,'Tillförd energi'!$B$1:$AQ$1,0),FALSE)</f>
        <v>0</v>
      </c>
      <c r="W360" s="121">
        <f>VLOOKUP($B360,'Tillförd energi'!$B$1:$AI$720,MATCH(W$1,'Tillförd energi'!$B$1:$AQ$1,0),FALSE)</f>
        <v>0</v>
      </c>
      <c r="X360" s="121">
        <f>VLOOKUP($B360,'Tillförd energi'!$B$1:$AI$720,MATCH(X$1,'Tillförd energi'!$B$1:$AQ$1,0),FALSE)</f>
        <v>0</v>
      </c>
      <c r="Y360" s="121">
        <f>VLOOKUP($B360,'Tillförd energi'!$B$1:$AI$720,MATCH(Y$1,'Tillförd energi'!$B$1:$AQ$1,0),FALSE)</f>
        <v>0</v>
      </c>
      <c r="Z360" s="121">
        <f>VLOOKUP($B360,'Tillförd energi'!$B$1:$AI$720,MATCH(Z$1,'Tillförd energi'!$B$1:$AQ$1,0),FALSE)</f>
        <v>0</v>
      </c>
      <c r="AA360" s="121">
        <f>VLOOKUP($B360,'Tillförd energi'!$B$1:$AI$720,MATCH(AA$1,'Tillförd energi'!$B$1:$AQ$1,0),FALSE)</f>
        <v>0</v>
      </c>
      <c r="AB360" s="121">
        <f>VLOOKUP($B360,'Tillförd energi'!$B$1:$AI$720,MATCH(AB$1,'Tillförd energi'!$B$1:$AQ$1,0),FALSE)</f>
        <v>0</v>
      </c>
      <c r="AC360" s="121">
        <f>VLOOKUP($B360,'Tillförd energi'!$B$1:$AI$720,MATCH(AC$1,'Tillförd energi'!$B$1:$AQ$1,0),FALSE)</f>
        <v>0</v>
      </c>
      <c r="AD360" s="121">
        <f>VLOOKUP($B360,'Tillförd energi'!$B$1:$AI$720,MATCH(AD$1,'Tillförd energi'!$B$1:$AQ$1,0),FALSE)</f>
        <v>0</v>
      </c>
      <c r="AE360" s="121">
        <f>VLOOKUP($B360,'Tillförd energi'!$B$1:$AI$720,MATCH(AE$1,'Tillförd energi'!$B$1:$AQ$1,0),FALSE)</f>
        <v>0</v>
      </c>
      <c r="AF360" s="121">
        <f>VLOOKUP($B360,'Tillförd energi'!$B$1:$AI$720,MATCH(AF$1,'Tillförd energi'!$B$1:$AQ$1,0),FALSE)</f>
        <v>0.33500000000000002</v>
      </c>
      <c r="AG360" s="121">
        <f>IFERROR(VLOOKUP(B360,Miljö!$B$1:$AC$550,MATCH("Köpt mängd produktionsspecifik fjärrvärme:",Miljö!$B$1:$AC$1,0),FALSE)/1,0)</f>
        <v>0</v>
      </c>
      <c r="AH360" s="121"/>
      <c r="AI360" s="121">
        <f t="shared" si="132"/>
        <v>15.341000000000001</v>
      </c>
      <c r="AJ360" s="121">
        <f t="shared" si="133"/>
        <v>15.341000000000001</v>
      </c>
      <c r="AK360" s="121">
        <f>IF(ISERROR(1/VLOOKUP($B360,Leveranser!$B$1:$S$499,MATCH("såld värme (gwh)",Leveranser!$B$1:$S$1,0),FALSE)),"",VLOOKUP($B360,Leveranser!$B$1:$S$499,MATCH("såld värme (gwh)",Leveranser!$B$1:$S$1,0),FALSE))</f>
        <v>11.1</v>
      </c>
      <c r="AL360" s="121">
        <f>VLOOKUP($B360,Leveranser!$B$1:$Y$499,MATCH("Totalt såld fjärrvärme till andra fjärrvärmeföretag",Leveranser!$B$1:$AA$1,0),FALSE)</f>
        <v>0</v>
      </c>
      <c r="AM360" s="121">
        <f>IF(ISERROR(1/VLOOKUP($B360,Miljö!$B$1:$S$500,MATCH("Såld mängd produktionsspecifik fjärrvärme (GWh)",Miljö!$B$1:$R$1,0),FALSE)),0,VLOOKUP($B360,Miljö!$B$1:$S$500,MATCH("Såld mängd produktionsspecifik fjärrvärme (GWh)",Miljö!$B$1:$R$1,0),FALSE))</f>
        <v>0</v>
      </c>
      <c r="AN360" s="172">
        <f t="shared" si="134"/>
        <v>0.72355126784433865</v>
      </c>
      <c r="AO360" s="121"/>
      <c r="AP360" s="121" t="str">
        <f>IFERROR(VLOOKUP($B360,Miljövärden!$B$2:$H$550,7,FALSE),"Nej, saknas")</f>
        <v>Ja</v>
      </c>
      <c r="AQ360" s="121" t="str">
        <f>IFERROR(VLOOKUP($B360,Miljövärden!$B$2:$H$550,6,FALSE),"Nej, saknas")</f>
        <v>Ja</v>
      </c>
      <c r="AU360">
        <f t="shared" si="135"/>
        <v>0.33500000000000002</v>
      </c>
      <c r="AV360">
        <f t="shared" si="136"/>
        <v>0</v>
      </c>
      <c r="AW360">
        <f t="shared" si="137"/>
        <v>14.024000000000001</v>
      </c>
      <c r="AX360">
        <f t="shared" si="138"/>
        <v>0.56899999999999995</v>
      </c>
      <c r="AZ360">
        <f t="shared" si="139"/>
        <v>14.593</v>
      </c>
      <c r="BC360">
        <f t="shared" si="140"/>
        <v>0.41299999999999998</v>
      </c>
      <c r="BD360">
        <f t="shared" si="141"/>
        <v>0</v>
      </c>
      <c r="BE360">
        <f t="shared" si="142"/>
        <v>14.593</v>
      </c>
      <c r="BF360">
        <f t="shared" si="143"/>
        <v>0</v>
      </c>
      <c r="BG360">
        <f t="shared" si="144"/>
        <v>0.33500000000000002</v>
      </c>
      <c r="BH360">
        <f>VLOOKUP(B360,Miljö!$B$1:$BX$482,MATCH("Fossilandel för ursprungspecificerad el ()",Miljö!$B$1:$I$1,0),FALSE)</f>
        <v>0</v>
      </c>
      <c r="BI360">
        <f>VLOOKUP(B360,Miljö!$B$1:$BX$482,MATCH("Kärnkraftsandel för ursprungsspecificerad el ()",Miljö!$B$1:$O$1,0),FALSE)</f>
        <v>0</v>
      </c>
      <c r="BJ360">
        <f t="shared" si="145"/>
        <v>0</v>
      </c>
      <c r="BK360" t="str">
        <f>VLOOKUP(B360,Miljö!$B$1:$O$482,MATCH("Fossil andel i procent (%)",Miljö!$B$1:$O$1,0),FALSE)</f>
        <v>ET</v>
      </c>
      <c r="BL360">
        <f t="shared" si="146"/>
        <v>15.341000000000001</v>
      </c>
      <c r="BO360" s="18">
        <f t="shared" si="147"/>
        <v>2.6921321947721788E-2</v>
      </c>
      <c r="BP360" s="18">
        <f t="shared" si="148"/>
        <v>0</v>
      </c>
      <c r="BQ360" s="18">
        <f t="shared" si="149"/>
        <v>0.97307867805227821</v>
      </c>
      <c r="BR360" s="18">
        <f t="shared" si="150"/>
        <v>0</v>
      </c>
      <c r="BT360" s="27">
        <f t="shared" si="151"/>
        <v>1</v>
      </c>
      <c r="BW360" s="18">
        <f>IF(AP360="ja",VLOOKUP(B360,Miljövärden!$B$2:$H$550,MATCH("Total andel fossilt",Miljövärden!$B$2:$H$2,0),FALSE),"")</f>
        <v>2.6921299999999999E-2</v>
      </c>
      <c r="BZ360" s="28">
        <f t="shared" si="152"/>
        <v>-2.1947721789289387E-8</v>
      </c>
      <c r="CA360" s="28">
        <f t="shared" si="153"/>
        <v>0</v>
      </c>
    </row>
    <row r="361" spans="1:79" x14ac:dyDescent="0.25">
      <c r="A361" s="224" t="s">
        <v>52</v>
      </c>
      <c r="B361" s="210" t="s">
        <v>684</v>
      </c>
      <c r="C361" s="121">
        <f>VLOOKUP($B361,'Tillförd energi'!$B$1:$AI$720,MATCH(C$1,'Tillförd energi'!$B$1:$AQ$1,0),FALSE)</f>
        <v>0</v>
      </c>
      <c r="D361" s="121">
        <f>VLOOKUP($B361,'Tillförd energi'!$B$1:$AI$720,MATCH(D$1,'Tillförd energi'!$B$1:$AQ$1,0),FALSE)</f>
        <v>1.4119999999999999</v>
      </c>
      <c r="E361" s="121">
        <f>VLOOKUP($B361,'Tillförd energi'!$B$1:$AI$720,MATCH(E$1,'Tillförd energi'!$B$1:$AQ$1,0),FALSE)</f>
        <v>0</v>
      </c>
      <c r="F361" s="121">
        <f>VLOOKUP($B361,'Tillförd energi'!$B$1:$AI$720,MATCH(F$1,'Tillförd energi'!$B$1:$AQ$1,0),FALSE)</f>
        <v>0</v>
      </c>
      <c r="G361" s="121">
        <f>VLOOKUP($B361,'Tillförd energi'!$B$1:$AI$720,MATCH(G$1,'Tillförd energi'!$B$1:$AQ$1,0),FALSE)</f>
        <v>0</v>
      </c>
      <c r="H361" s="121">
        <f>VLOOKUP($B361,'Tillförd energi'!$B$1:$AI$720,MATCH(H$1,'Tillförd energi'!$B$1:$AQ$1,0),FALSE)</f>
        <v>0</v>
      </c>
      <c r="I361" s="121">
        <f>VLOOKUP($B361,'Tillförd energi'!$B$1:$AI$720,MATCH(I$1,'Tillförd energi'!$B$1:$AQ$1,0),FALSE)</f>
        <v>0</v>
      </c>
      <c r="J361" s="121">
        <f>VLOOKUP($B361,'Tillförd energi'!$B$1:$AI$720,MATCH(J$1,'Tillförd energi'!$B$1:$AQ$1,0),FALSE)</f>
        <v>0</v>
      </c>
      <c r="K361" s="121">
        <f>VLOOKUP($B361,'Tillförd energi'!$B$1:$AI$720,MATCH(K$1,'Tillförd energi'!$B$1:$AQ$1,0),FALSE)</f>
        <v>0</v>
      </c>
      <c r="L361" s="121">
        <f>VLOOKUP($B361,'Tillförd energi'!$B$1:$AI$720,MATCH(L$1,'Tillförd energi'!$B$1:$AQ$1,0),FALSE)</f>
        <v>0</v>
      </c>
      <c r="M361" s="121">
        <f>VLOOKUP($B361,'Tillförd energi'!$B$1:$AI$720,MATCH(M$1,'Tillförd energi'!$B$1:$AQ$1,0),FALSE)</f>
        <v>51.36</v>
      </c>
      <c r="N361" s="121">
        <f>VLOOKUP($B361,'Tillförd energi'!$B$1:$AI$720,MATCH(N$1,'Tillförd energi'!$B$1:$AQ$1,0),FALSE)</f>
        <v>40.195999999999998</v>
      </c>
      <c r="O361" s="121">
        <f>VLOOKUP($B361,'Tillförd energi'!$B$1:$AI$720,MATCH(O$1,'Tillförd energi'!$B$1:$AQ$1,0),FALSE)</f>
        <v>0</v>
      </c>
      <c r="P361" s="121">
        <f>VLOOKUP($B361,'Tillförd energi'!$B$1:$AI$720,MATCH(P$1,'Tillförd energi'!$B$1:$AQ$1,0),FALSE)</f>
        <v>8.7550000000000008</v>
      </c>
      <c r="Q361" s="121">
        <f>VLOOKUP($B361,'Tillförd energi'!$B$1:$AI$720,MATCH(Q$1,'Tillförd energi'!$B$1:$AQ$1,0),FALSE)</f>
        <v>0</v>
      </c>
      <c r="R361" s="121">
        <f>VLOOKUP($B361,'Tillförd energi'!$B$1:$AI$720,MATCH(R$1,'Tillförd energi'!$B$1:$AQ$1,0),FALSE)</f>
        <v>0</v>
      </c>
      <c r="S361" s="121">
        <f>VLOOKUP($B361,'Tillförd energi'!$B$1:$AI$720,MATCH(S$1,'Tillförd energi'!$B$1:$AQ$1,0),FALSE)</f>
        <v>0</v>
      </c>
      <c r="T361" s="121">
        <f>VLOOKUP($B361,'Tillförd energi'!$B$1:$AI$720,MATCH(T$1,'Tillförd energi'!$B$1:$AQ$1,0),FALSE)</f>
        <v>0</v>
      </c>
      <c r="U361" s="121">
        <f>VLOOKUP($B361,'Tillförd energi'!$B$1:$AI$720,MATCH(U$1,'Tillförd energi'!$B$1:$AQ$1,0),FALSE)</f>
        <v>0</v>
      </c>
      <c r="V361" s="121">
        <f>VLOOKUP($B361,'Tillförd energi'!$B$1:$AI$720,MATCH(V$1,'Tillförd energi'!$B$1:$AQ$1,0),FALSE)</f>
        <v>0</v>
      </c>
      <c r="W361" s="121">
        <f>VLOOKUP($B361,'Tillförd energi'!$B$1:$AI$720,MATCH(W$1,'Tillförd energi'!$B$1:$AQ$1,0),FALSE)</f>
        <v>0</v>
      </c>
      <c r="X361" s="121">
        <f>VLOOKUP($B361,'Tillförd energi'!$B$1:$AI$720,MATCH(X$1,'Tillförd energi'!$B$1:$AQ$1,0),FALSE)</f>
        <v>0</v>
      </c>
      <c r="Y361" s="121">
        <f>VLOOKUP($B361,'Tillförd energi'!$B$1:$AI$720,MATCH(Y$1,'Tillförd energi'!$B$1:$AQ$1,0),FALSE)</f>
        <v>0</v>
      </c>
      <c r="Z361" s="121">
        <f>VLOOKUP($B361,'Tillförd energi'!$B$1:$AI$720,MATCH(Z$1,'Tillförd energi'!$B$1:$AQ$1,0),FALSE)</f>
        <v>0</v>
      </c>
      <c r="AA361" s="121">
        <f>VLOOKUP($B361,'Tillförd energi'!$B$1:$AI$720,MATCH(AA$1,'Tillförd energi'!$B$1:$AQ$1,0),FALSE)</f>
        <v>0</v>
      </c>
      <c r="AB361" s="121">
        <f>VLOOKUP($B361,'Tillförd energi'!$B$1:$AI$720,MATCH(AB$1,'Tillförd energi'!$B$1:$AQ$1,0),FALSE)</f>
        <v>0</v>
      </c>
      <c r="AC361" s="121">
        <f>VLOOKUP($B361,'Tillförd energi'!$B$1:$AI$720,MATCH(AC$1,'Tillförd energi'!$B$1:$AQ$1,0),FALSE)</f>
        <v>0</v>
      </c>
      <c r="AD361" s="121">
        <f>VLOOKUP($B361,'Tillförd energi'!$B$1:$AI$720,MATCH(AD$1,'Tillförd energi'!$B$1:$AQ$1,0),FALSE)</f>
        <v>0</v>
      </c>
      <c r="AE361" s="121">
        <f>VLOOKUP($B361,'Tillförd energi'!$B$1:$AI$720,MATCH(AE$1,'Tillförd energi'!$B$1:$AQ$1,0),FALSE)</f>
        <v>0</v>
      </c>
      <c r="AF361" s="121">
        <f>VLOOKUP($B361,'Tillförd energi'!$B$1:$AI$720,MATCH(AF$1,'Tillförd energi'!$B$1:$AQ$1,0),FALSE)</f>
        <v>2.5230000000000001</v>
      </c>
      <c r="AG361" s="121">
        <f>IFERROR(VLOOKUP(B361,Miljö!$B$1:$AC$550,MATCH("Köpt mängd produktionsspecifik fjärrvärme:",Miljö!$B$1:$AC$1,0),FALSE)/1,0)</f>
        <v>0</v>
      </c>
      <c r="AH361" s="121"/>
      <c r="AI361" s="121">
        <f t="shared" si="132"/>
        <v>104.24599999999998</v>
      </c>
      <c r="AJ361" s="121">
        <f t="shared" si="133"/>
        <v>104.24599999999998</v>
      </c>
      <c r="AK361" s="121">
        <f>IF(ISERROR(1/VLOOKUP($B361,Leveranser!$B$1:$S$499,MATCH("såld värme (gwh)",Leveranser!$B$1:$S$1,0),FALSE)),"",VLOOKUP($B361,Leveranser!$B$1:$S$499,MATCH("såld värme (gwh)",Leveranser!$B$1:$S$1,0),FALSE))</f>
        <v>93.7</v>
      </c>
      <c r="AL361" s="121">
        <f>VLOOKUP($B361,Leveranser!$B$1:$Y$499,MATCH("Totalt såld fjärrvärme till andra fjärrvärmeföretag",Leveranser!$B$1:$AA$1,0),FALSE)</f>
        <v>0</v>
      </c>
      <c r="AM361" s="121">
        <f>IF(ISERROR(1/VLOOKUP($B361,Miljö!$B$1:$S$500,MATCH("Såld mängd produktionsspecifik fjärrvärme (GWh)",Miljö!$B$1:$R$1,0),FALSE)),0,VLOOKUP($B361,Miljö!$B$1:$S$500,MATCH("Såld mängd produktionsspecifik fjärrvärme (GWh)",Miljö!$B$1:$R$1,0),FALSE))</f>
        <v>0</v>
      </c>
      <c r="AN361" s="172">
        <f t="shared" si="134"/>
        <v>0.89883544692362316</v>
      </c>
      <c r="AO361" s="121"/>
      <c r="AP361" s="121" t="str">
        <f>IFERROR(VLOOKUP($B361,Miljövärden!$B$2:$H$550,7,FALSE),"Nej, saknas")</f>
        <v>Ja</v>
      </c>
      <c r="AQ361" s="121" t="str">
        <f>IFERROR(VLOOKUP($B361,Miljövärden!$B$2:$H$550,6,FALSE),"Nej, saknas")</f>
        <v>Ja</v>
      </c>
      <c r="AU361">
        <f t="shared" si="135"/>
        <v>2.5230000000000001</v>
      </c>
      <c r="AV361">
        <f t="shared" si="136"/>
        <v>0</v>
      </c>
      <c r="AW361">
        <f t="shared" si="137"/>
        <v>100.31099999999999</v>
      </c>
      <c r="AX361">
        <f t="shared" si="138"/>
        <v>0</v>
      </c>
      <c r="AZ361">
        <f t="shared" si="139"/>
        <v>100.31099999999999</v>
      </c>
      <c r="BC361">
        <f t="shared" si="140"/>
        <v>1.4119999999999999</v>
      </c>
      <c r="BD361">
        <f t="shared" si="141"/>
        <v>0</v>
      </c>
      <c r="BE361">
        <f t="shared" si="142"/>
        <v>100.31099999999999</v>
      </c>
      <c r="BF361">
        <f t="shared" si="143"/>
        <v>0</v>
      </c>
      <c r="BG361">
        <f t="shared" si="144"/>
        <v>2.5230000000000001</v>
      </c>
      <c r="BH361">
        <f>VLOOKUP(B361,Miljö!$B$1:$BX$482,MATCH("Fossilandel för ursprungspecificerad el ()",Miljö!$B$1:$I$1,0),FALSE)</f>
        <v>0</v>
      </c>
      <c r="BI361">
        <f>VLOOKUP(B361,Miljö!$B$1:$BX$482,MATCH("Kärnkraftsandel för ursprungsspecificerad el ()",Miljö!$B$1:$O$1,0),FALSE)</f>
        <v>0</v>
      </c>
      <c r="BJ361">
        <f t="shared" si="145"/>
        <v>0</v>
      </c>
      <c r="BK361" t="str">
        <f>VLOOKUP(B361,Miljö!$B$1:$O$482,MATCH("Fossil andel i procent (%)",Miljö!$B$1:$O$1,0),FALSE)</f>
        <v>ET</v>
      </c>
      <c r="BL361">
        <f t="shared" si="146"/>
        <v>104.246</v>
      </c>
      <c r="BO361" s="18">
        <f t="shared" si="147"/>
        <v>1.3544884216180957E-2</v>
      </c>
      <c r="BP361" s="18">
        <f t="shared" si="148"/>
        <v>0</v>
      </c>
      <c r="BQ361" s="18">
        <f t="shared" si="149"/>
        <v>0.98645511578381895</v>
      </c>
      <c r="BR361" s="18">
        <f t="shared" si="150"/>
        <v>0</v>
      </c>
      <c r="BT361" s="27">
        <f t="shared" si="151"/>
        <v>0.99999999999999989</v>
      </c>
      <c r="BW361" s="18">
        <f>IF(AP361="ja",VLOOKUP(B361,Miljövärden!$B$2:$H$550,MATCH("Total andel fossilt",Miljövärden!$B$2:$H$2,0),FALSE),"")</f>
        <v>1.35449E-2</v>
      </c>
      <c r="BZ361" s="28">
        <f t="shared" si="152"/>
        <v>1.5783819043435621E-8</v>
      </c>
      <c r="CA361" s="28">
        <f t="shared" si="153"/>
        <v>0</v>
      </c>
    </row>
    <row r="362" spans="1:79" x14ac:dyDescent="0.25">
      <c r="A362" s="224" t="s">
        <v>52</v>
      </c>
      <c r="B362" s="210" t="s">
        <v>685</v>
      </c>
      <c r="C362" s="121">
        <f>VLOOKUP($B362,'Tillförd energi'!$B$1:$AI$720,MATCH(C$1,'Tillförd energi'!$B$1:$AQ$1,0),FALSE)</f>
        <v>0</v>
      </c>
      <c r="D362" s="121">
        <f>VLOOKUP($B362,'Tillförd energi'!$B$1:$AI$720,MATCH(D$1,'Tillförd energi'!$B$1:$AQ$1,0),FALSE)</f>
        <v>1.35971</v>
      </c>
      <c r="E362" s="121">
        <f>VLOOKUP($B362,'Tillförd energi'!$B$1:$AI$720,MATCH(E$1,'Tillförd energi'!$B$1:$AQ$1,0),FALSE)</f>
        <v>0</v>
      </c>
      <c r="F362" s="121">
        <f>VLOOKUP($B362,'Tillförd energi'!$B$1:$AI$720,MATCH(F$1,'Tillförd energi'!$B$1:$AQ$1,0),FALSE)</f>
        <v>10.8201</v>
      </c>
      <c r="G362" s="121">
        <f>VLOOKUP($B362,'Tillförd energi'!$B$1:$AI$720,MATCH(G$1,'Tillförd energi'!$B$1:$AQ$1,0),FALSE)</f>
        <v>0</v>
      </c>
      <c r="H362" s="121">
        <f>VLOOKUP($B362,'Tillförd energi'!$B$1:$AI$720,MATCH(H$1,'Tillförd energi'!$B$1:$AQ$1,0),FALSE)</f>
        <v>0</v>
      </c>
      <c r="I362" s="121">
        <f>VLOOKUP($B362,'Tillförd energi'!$B$1:$AI$720,MATCH(I$1,'Tillförd energi'!$B$1:$AQ$1,0),FALSE)</f>
        <v>8.6739200000000007</v>
      </c>
      <c r="J362" s="121">
        <f>VLOOKUP($B362,'Tillförd energi'!$B$1:$AI$720,MATCH(J$1,'Tillförd energi'!$B$1:$AQ$1,0),FALSE)</f>
        <v>0</v>
      </c>
      <c r="K362" s="121">
        <f>VLOOKUP($B362,'Tillförd energi'!$B$1:$AI$720,MATCH(K$1,'Tillförd energi'!$B$1:$AQ$1,0),FALSE)</f>
        <v>0</v>
      </c>
      <c r="L362" s="121">
        <f>VLOOKUP($B362,'Tillförd energi'!$B$1:$AI$720,MATCH(L$1,'Tillförd energi'!$B$1:$AQ$1,0),FALSE)</f>
        <v>134.31200000000001</v>
      </c>
      <c r="M362" s="121">
        <f>VLOOKUP($B362,'Tillförd energi'!$B$1:$AI$720,MATCH(M$1,'Tillförd energi'!$B$1:$AQ$1,0),FALSE)</f>
        <v>0</v>
      </c>
      <c r="N362" s="121">
        <f>VLOOKUP($B362,'Tillförd energi'!$B$1:$AI$720,MATCH(N$1,'Tillförd energi'!$B$1:$AQ$1,0),FALSE)</f>
        <v>18.459099999999999</v>
      </c>
      <c r="O362" s="121">
        <f>VLOOKUP($B362,'Tillförd energi'!$B$1:$AI$720,MATCH(O$1,'Tillförd energi'!$B$1:$AQ$1,0),FALSE)</f>
        <v>0</v>
      </c>
      <c r="P362" s="121">
        <f>VLOOKUP($B362,'Tillförd energi'!$B$1:$AI$720,MATCH(P$1,'Tillförd energi'!$B$1:$AQ$1,0),FALSE)</f>
        <v>7.3144099999999996</v>
      </c>
      <c r="Q362" s="121">
        <f>VLOOKUP($B362,'Tillförd energi'!$B$1:$AI$720,MATCH(Q$1,'Tillförd energi'!$B$1:$AQ$1,0),FALSE)</f>
        <v>0</v>
      </c>
      <c r="R362" s="121">
        <f>VLOOKUP($B362,'Tillförd energi'!$B$1:$AI$720,MATCH(R$1,'Tillförd energi'!$B$1:$AQ$1,0),FALSE)</f>
        <v>0</v>
      </c>
      <c r="S362" s="121">
        <f>VLOOKUP($B362,'Tillförd energi'!$B$1:$AI$720,MATCH(S$1,'Tillförd energi'!$B$1:$AQ$1,0),FALSE)</f>
        <v>0</v>
      </c>
      <c r="T362" s="121">
        <f>VLOOKUP($B362,'Tillförd energi'!$B$1:$AI$720,MATCH(T$1,'Tillförd energi'!$B$1:$AQ$1,0),FALSE)</f>
        <v>0</v>
      </c>
      <c r="U362" s="121">
        <f>VLOOKUP($B362,'Tillförd energi'!$B$1:$AI$720,MATCH(U$1,'Tillförd energi'!$B$1:$AQ$1,0),FALSE)</f>
        <v>0</v>
      </c>
      <c r="V362" s="121">
        <f>VLOOKUP($B362,'Tillförd energi'!$B$1:$AI$720,MATCH(V$1,'Tillförd energi'!$B$1:$AQ$1,0),FALSE)</f>
        <v>0</v>
      </c>
      <c r="W362" s="121">
        <f>VLOOKUP($B362,'Tillförd energi'!$B$1:$AI$720,MATCH(W$1,'Tillförd energi'!$B$1:$AQ$1,0),FALSE)</f>
        <v>0</v>
      </c>
      <c r="X362" s="121">
        <f>VLOOKUP($B362,'Tillförd energi'!$B$1:$AI$720,MATCH(X$1,'Tillförd energi'!$B$1:$AQ$1,0),FALSE)</f>
        <v>0</v>
      </c>
      <c r="Y362" s="121">
        <f>VLOOKUP($B362,'Tillförd energi'!$B$1:$AI$720,MATCH(Y$1,'Tillförd energi'!$B$1:$AQ$1,0),FALSE)</f>
        <v>0</v>
      </c>
      <c r="Z362" s="121">
        <f>VLOOKUP($B362,'Tillförd energi'!$B$1:$AI$720,MATCH(Z$1,'Tillförd energi'!$B$1:$AQ$1,0),FALSE)</f>
        <v>14.81</v>
      </c>
      <c r="AA362" s="121">
        <f>VLOOKUP($B362,'Tillförd energi'!$B$1:$AI$720,MATCH(AA$1,'Tillförd energi'!$B$1:$AQ$1,0),FALSE)</f>
        <v>0</v>
      </c>
      <c r="AB362" s="121">
        <f>VLOOKUP($B362,'Tillförd energi'!$B$1:$AI$720,MATCH(AB$1,'Tillförd energi'!$B$1:$AQ$1,0),FALSE)</f>
        <v>0</v>
      </c>
      <c r="AC362" s="121">
        <f>VLOOKUP($B362,'Tillförd energi'!$B$1:$AI$720,MATCH(AC$1,'Tillförd energi'!$B$1:$AQ$1,0),FALSE)</f>
        <v>23.391999999999999</v>
      </c>
      <c r="AD362" s="121">
        <f>VLOOKUP($B362,'Tillförd energi'!$B$1:$AI$720,MATCH(AD$1,'Tillförd energi'!$B$1:$AQ$1,0),FALSE)</f>
        <v>28.494</v>
      </c>
      <c r="AE362" s="121">
        <f>VLOOKUP($B362,'Tillförd energi'!$B$1:$AI$720,MATCH(AE$1,'Tillförd energi'!$B$1:$AQ$1,0),FALSE)</f>
        <v>0</v>
      </c>
      <c r="AF362" s="121">
        <f>VLOOKUP($B362,'Tillförd energi'!$B$1:$AI$720,MATCH(AF$1,'Tillförd energi'!$B$1:$AQ$1,0),FALSE)</f>
        <v>6.9077799999999998</v>
      </c>
      <c r="AG362" s="121">
        <f>IFERROR(VLOOKUP(B362,Miljö!$B$1:$AC$550,MATCH("Köpt mängd produktionsspecifik fjärrvärme:",Miljö!$B$1:$AC$1,0),FALSE)/1,0)</f>
        <v>0</v>
      </c>
      <c r="AH362" s="121"/>
      <c r="AI362" s="121">
        <f t="shared" si="132"/>
        <v>254.54302000000001</v>
      </c>
      <c r="AJ362" s="121">
        <f t="shared" si="133"/>
        <v>254.54302000000001</v>
      </c>
      <c r="AK362" s="121">
        <f>IF(ISERROR(1/VLOOKUP($B362,Leveranser!$B$1:$S$499,MATCH("såld värme (gwh)",Leveranser!$B$1:$S$1,0),FALSE)),"",VLOOKUP($B362,Leveranser!$B$1:$S$499,MATCH("såld värme (gwh)",Leveranser!$B$1:$S$1,0),FALSE))</f>
        <v>208.7</v>
      </c>
      <c r="AL362" s="121">
        <f>VLOOKUP($B362,Leveranser!$B$1:$Y$499,MATCH("Totalt såld fjärrvärme till andra fjärrvärmeföretag",Leveranser!$B$1:$AA$1,0),FALSE)</f>
        <v>0</v>
      </c>
      <c r="AM362" s="121">
        <f>IF(ISERROR(1/VLOOKUP($B362,Miljö!$B$1:$S$500,MATCH("Såld mängd produktionsspecifik fjärrvärme (GWh)",Miljö!$B$1:$R$1,0),FALSE)),0,VLOOKUP($B362,Miljö!$B$1:$S$500,MATCH("Såld mängd produktionsspecifik fjärrvärme (GWh)",Miljö!$B$1:$R$1,0),FALSE))</f>
        <v>0</v>
      </c>
      <c r="AN362" s="172">
        <f t="shared" si="134"/>
        <v>0.8199006989073987</v>
      </c>
      <c r="AO362" s="121"/>
      <c r="AP362" s="121" t="str">
        <f>IFERROR(VLOOKUP($B362,Miljövärden!$B$2:$H$550,7,FALSE),"Nej, saknas")</f>
        <v>Ja</v>
      </c>
      <c r="AQ362" s="121" t="str">
        <f>IFERROR(VLOOKUP($B362,Miljövärden!$B$2:$H$550,6,FALSE),"Nej, saknas")</f>
        <v>Ja</v>
      </c>
      <c r="AU362">
        <f t="shared" si="135"/>
        <v>21.717780000000001</v>
      </c>
      <c r="AV362">
        <f t="shared" si="136"/>
        <v>0</v>
      </c>
      <c r="AW362">
        <f t="shared" si="137"/>
        <v>25.773509999999998</v>
      </c>
      <c r="AX362">
        <f t="shared" si="138"/>
        <v>0</v>
      </c>
      <c r="AZ362">
        <f t="shared" si="139"/>
        <v>160.08551000000003</v>
      </c>
      <c r="BC362">
        <f t="shared" si="140"/>
        <v>12.17981</v>
      </c>
      <c r="BD362">
        <f t="shared" si="141"/>
        <v>0</v>
      </c>
      <c r="BE362">
        <f t="shared" si="142"/>
        <v>25.773509999999998</v>
      </c>
      <c r="BF362">
        <f t="shared" si="143"/>
        <v>194.87192000000002</v>
      </c>
      <c r="BG362">
        <f t="shared" si="144"/>
        <v>21.717780000000001</v>
      </c>
      <c r="BH362">
        <f>VLOOKUP(B362,Miljö!$B$1:$BX$482,MATCH("Fossilandel för ursprungspecificerad el ()",Miljö!$B$1:$I$1,0),FALSE)</f>
        <v>0.43</v>
      </c>
      <c r="BI362">
        <f>VLOOKUP(B362,Miljö!$B$1:$BX$482,MATCH("Kärnkraftsandel för ursprungsspecificerad el ()",Miljö!$B$1:$O$1,0),FALSE)</f>
        <v>0.40550000000000003</v>
      </c>
      <c r="BJ362">
        <f t="shared" si="145"/>
        <v>0</v>
      </c>
      <c r="BK362" t="str">
        <f>VLOOKUP(B362,Miljö!$B$1:$O$482,MATCH("Fossil andel i procent (%)",Miljö!$B$1:$O$1,0),FALSE)</f>
        <v>ET</v>
      </c>
      <c r="BL362">
        <f t="shared" si="146"/>
        <v>254.54302000000001</v>
      </c>
      <c r="BO362" s="18">
        <f t="shared" si="147"/>
        <v>8.4537597613165746E-2</v>
      </c>
      <c r="BP362" s="18">
        <f t="shared" si="148"/>
        <v>3.4597530075662658E-2</v>
      </c>
      <c r="BQ362" s="18">
        <f t="shared" si="149"/>
        <v>0.1152892929847379</v>
      </c>
      <c r="BR362" s="18">
        <f t="shared" si="150"/>
        <v>0.76557557932643372</v>
      </c>
      <c r="BT362" s="27">
        <f t="shared" si="151"/>
        <v>1</v>
      </c>
      <c r="BW362" s="18">
        <f>IF(AP362="ja",VLOOKUP(B362,Miljövärden!$B$2:$H$550,MATCH("Total andel fossilt",Miljövärden!$B$2:$H$2,0),FALSE),"")</f>
        <v>8.4537799999999996E-2</v>
      </c>
      <c r="BZ362" s="28">
        <f t="shared" si="152"/>
        <v>2.0238683424989024E-7</v>
      </c>
      <c r="CA362" s="28">
        <f t="shared" si="153"/>
        <v>0</v>
      </c>
    </row>
    <row r="363" spans="1:79" x14ac:dyDescent="0.25">
      <c r="A363" s="224" t="s">
        <v>52</v>
      </c>
      <c r="B363" s="210" t="s">
        <v>686</v>
      </c>
      <c r="C363" s="121">
        <f>VLOOKUP($B363,'Tillförd energi'!$B$1:$AI$720,MATCH(C$1,'Tillförd energi'!$B$1:$AQ$1,0),FALSE)</f>
        <v>0</v>
      </c>
      <c r="D363" s="121">
        <f>VLOOKUP($B363,'Tillförd energi'!$B$1:$AI$720,MATCH(D$1,'Tillförd energi'!$B$1:$AQ$1,0),FALSE)</f>
        <v>8.9999999999999993E-3</v>
      </c>
      <c r="E363" s="121">
        <f>VLOOKUP($B363,'Tillförd energi'!$B$1:$AI$720,MATCH(E$1,'Tillförd energi'!$B$1:$AQ$1,0),FALSE)</f>
        <v>0</v>
      </c>
      <c r="F363" s="121">
        <f>VLOOKUP($B363,'Tillförd energi'!$B$1:$AI$720,MATCH(F$1,'Tillförd energi'!$B$1:$AQ$1,0),FALSE)</f>
        <v>0</v>
      </c>
      <c r="G363" s="121">
        <f>VLOOKUP($B363,'Tillförd energi'!$B$1:$AI$720,MATCH(G$1,'Tillförd energi'!$B$1:$AQ$1,0),FALSE)</f>
        <v>0</v>
      </c>
      <c r="H363" s="121">
        <f>VLOOKUP($B363,'Tillförd energi'!$B$1:$AI$720,MATCH(H$1,'Tillförd energi'!$B$1:$AQ$1,0),FALSE)</f>
        <v>0</v>
      </c>
      <c r="I363" s="121">
        <f>VLOOKUP($B363,'Tillförd energi'!$B$1:$AI$720,MATCH(I$1,'Tillförd energi'!$B$1:$AQ$1,0),FALSE)</f>
        <v>0</v>
      </c>
      <c r="J363" s="121">
        <f>VLOOKUP($B363,'Tillförd energi'!$B$1:$AI$720,MATCH(J$1,'Tillförd energi'!$B$1:$AQ$1,0),FALSE)</f>
        <v>0</v>
      </c>
      <c r="K363" s="121">
        <f>VLOOKUP($B363,'Tillförd energi'!$B$1:$AI$720,MATCH(K$1,'Tillförd energi'!$B$1:$AQ$1,0),FALSE)</f>
        <v>0</v>
      </c>
      <c r="L363" s="121">
        <f>VLOOKUP($B363,'Tillförd energi'!$B$1:$AI$720,MATCH(L$1,'Tillförd energi'!$B$1:$AQ$1,0),FALSE)</f>
        <v>0</v>
      </c>
      <c r="M363" s="121">
        <f>VLOOKUP($B363,'Tillförd energi'!$B$1:$AI$720,MATCH(M$1,'Tillförd energi'!$B$1:$AQ$1,0),FALSE)</f>
        <v>0</v>
      </c>
      <c r="N363" s="121">
        <f>VLOOKUP($B363,'Tillförd energi'!$B$1:$AI$720,MATCH(N$1,'Tillförd energi'!$B$1:$AQ$1,0),FALSE)</f>
        <v>0</v>
      </c>
      <c r="O363" s="121">
        <f>VLOOKUP($B363,'Tillförd energi'!$B$1:$AI$720,MATCH(O$1,'Tillförd energi'!$B$1:$AQ$1,0),FALSE)</f>
        <v>0</v>
      </c>
      <c r="P363" s="121">
        <f>VLOOKUP($B363,'Tillförd energi'!$B$1:$AI$720,MATCH(P$1,'Tillförd energi'!$B$1:$AQ$1,0),FALSE)</f>
        <v>0</v>
      </c>
      <c r="Q363" s="121">
        <f>VLOOKUP($B363,'Tillförd energi'!$B$1:$AI$720,MATCH(Q$1,'Tillförd energi'!$B$1:$AQ$1,0),FALSE)</f>
        <v>0</v>
      </c>
      <c r="R363" s="121">
        <f>VLOOKUP($B363,'Tillförd energi'!$B$1:$AI$720,MATCH(R$1,'Tillförd energi'!$B$1:$AQ$1,0),FALSE)</f>
        <v>0</v>
      </c>
      <c r="S363" s="121">
        <f>VLOOKUP($B363,'Tillförd energi'!$B$1:$AI$720,MATCH(S$1,'Tillförd energi'!$B$1:$AQ$1,0),FALSE)</f>
        <v>2.577</v>
      </c>
      <c r="T363" s="121">
        <f>VLOOKUP($B363,'Tillförd energi'!$B$1:$AI$720,MATCH(T$1,'Tillförd energi'!$B$1:$AQ$1,0),FALSE)</f>
        <v>0</v>
      </c>
      <c r="U363" s="121">
        <f>VLOOKUP($B363,'Tillförd energi'!$B$1:$AI$720,MATCH(U$1,'Tillförd energi'!$B$1:$AQ$1,0),FALSE)</f>
        <v>0</v>
      </c>
      <c r="V363" s="121">
        <f>VLOOKUP($B363,'Tillförd energi'!$B$1:$AI$720,MATCH(V$1,'Tillförd energi'!$B$1:$AQ$1,0),FALSE)</f>
        <v>0</v>
      </c>
      <c r="W363" s="121">
        <f>VLOOKUP($B363,'Tillförd energi'!$B$1:$AI$720,MATCH(W$1,'Tillförd energi'!$B$1:$AQ$1,0),FALSE)</f>
        <v>0</v>
      </c>
      <c r="X363" s="121">
        <f>VLOOKUP($B363,'Tillförd energi'!$B$1:$AI$720,MATCH(X$1,'Tillförd energi'!$B$1:$AQ$1,0),FALSE)</f>
        <v>0</v>
      </c>
      <c r="Y363" s="121">
        <f>VLOOKUP($B363,'Tillförd energi'!$B$1:$AI$720,MATCH(Y$1,'Tillförd energi'!$B$1:$AQ$1,0),FALSE)</f>
        <v>0</v>
      </c>
      <c r="Z363" s="121">
        <f>VLOOKUP($B363,'Tillförd energi'!$B$1:$AI$720,MATCH(Z$1,'Tillförd energi'!$B$1:$AQ$1,0),FALSE)</f>
        <v>0</v>
      </c>
      <c r="AA363" s="121">
        <f>VLOOKUP($B363,'Tillförd energi'!$B$1:$AI$720,MATCH(AA$1,'Tillförd energi'!$B$1:$AQ$1,0),FALSE)</f>
        <v>0</v>
      </c>
      <c r="AB363" s="121">
        <f>VLOOKUP($B363,'Tillförd energi'!$B$1:$AI$720,MATCH(AB$1,'Tillförd energi'!$B$1:$AQ$1,0),FALSE)</f>
        <v>0</v>
      </c>
      <c r="AC363" s="121">
        <f>VLOOKUP($B363,'Tillförd energi'!$B$1:$AI$720,MATCH(AC$1,'Tillförd energi'!$B$1:$AQ$1,0),FALSE)</f>
        <v>0</v>
      </c>
      <c r="AD363" s="121">
        <f>VLOOKUP($B363,'Tillförd energi'!$B$1:$AI$720,MATCH(AD$1,'Tillförd energi'!$B$1:$AQ$1,0),FALSE)</f>
        <v>0</v>
      </c>
      <c r="AE363" s="121">
        <f>VLOOKUP($B363,'Tillförd energi'!$B$1:$AI$720,MATCH(AE$1,'Tillförd energi'!$B$1:$AQ$1,0),FALSE)</f>
        <v>0</v>
      </c>
      <c r="AF363" s="121">
        <f>VLOOKUP($B363,'Tillförd energi'!$B$1:$AI$720,MATCH(AF$1,'Tillförd energi'!$B$1:$AQ$1,0),FALSE)</f>
        <v>0.06</v>
      </c>
      <c r="AG363" s="121">
        <f>IFERROR(VLOOKUP(B363,Miljö!$B$1:$AC$550,MATCH("Köpt mängd produktionsspecifik fjärrvärme:",Miljö!$B$1:$AC$1,0),FALSE)/1,0)</f>
        <v>0</v>
      </c>
      <c r="AH363" s="121"/>
      <c r="AI363" s="121">
        <f t="shared" si="132"/>
        <v>2.6459999999999999</v>
      </c>
      <c r="AJ363" s="121">
        <f t="shared" si="133"/>
        <v>2.6459999999999999</v>
      </c>
      <c r="AK363" s="121">
        <f>IF(ISERROR(1/VLOOKUP($B363,Leveranser!$B$1:$S$499,MATCH("såld värme (gwh)",Leveranser!$B$1:$S$1,0),FALSE)),"",VLOOKUP($B363,Leveranser!$B$1:$S$499,MATCH("såld värme (gwh)",Leveranser!$B$1:$S$1,0),FALSE))</f>
        <v>1.7</v>
      </c>
      <c r="AL363" s="121">
        <f>VLOOKUP($B363,Leveranser!$B$1:$Y$499,MATCH("Totalt såld fjärrvärme till andra fjärrvärmeföretag",Leveranser!$B$1:$AA$1,0),FALSE)</f>
        <v>0</v>
      </c>
      <c r="AM363" s="121">
        <f>IF(ISERROR(1/VLOOKUP($B363,Miljö!$B$1:$S$500,MATCH("Såld mängd produktionsspecifik fjärrvärme (GWh)",Miljö!$B$1:$R$1,0),FALSE)),0,VLOOKUP($B363,Miljö!$B$1:$S$500,MATCH("Såld mängd produktionsspecifik fjärrvärme (GWh)",Miljö!$B$1:$R$1,0),FALSE))</f>
        <v>0</v>
      </c>
      <c r="AN363" s="172">
        <f t="shared" si="134"/>
        <v>0.6424792139077854</v>
      </c>
      <c r="AO363" s="121"/>
      <c r="AP363" s="121" t="str">
        <f>IFERROR(VLOOKUP($B363,Miljövärden!$B$2:$H$550,7,FALSE),"Nej, saknas")</f>
        <v>Ja</v>
      </c>
      <c r="AQ363" s="121" t="str">
        <f>IFERROR(VLOOKUP($B363,Miljövärden!$B$2:$H$550,6,FALSE),"Nej, saknas")</f>
        <v>Ja</v>
      </c>
      <c r="AU363">
        <f t="shared" si="135"/>
        <v>0.06</v>
      </c>
      <c r="AV363">
        <f t="shared" si="136"/>
        <v>0</v>
      </c>
      <c r="AW363">
        <f t="shared" si="137"/>
        <v>0</v>
      </c>
      <c r="AX363">
        <f t="shared" si="138"/>
        <v>2.577</v>
      </c>
      <c r="AZ363">
        <f t="shared" si="139"/>
        <v>2.577</v>
      </c>
      <c r="BC363">
        <f t="shared" si="140"/>
        <v>8.9999999999999993E-3</v>
      </c>
      <c r="BD363">
        <f t="shared" si="141"/>
        <v>0</v>
      </c>
      <c r="BE363">
        <f t="shared" si="142"/>
        <v>2.577</v>
      </c>
      <c r="BF363">
        <f t="shared" si="143"/>
        <v>0</v>
      </c>
      <c r="BG363">
        <f t="shared" si="144"/>
        <v>0.06</v>
      </c>
      <c r="BH363">
        <f>VLOOKUP(B363,Miljö!$B$1:$BX$482,MATCH("Fossilandel för ursprungspecificerad el ()",Miljö!$B$1:$I$1,0),FALSE)</f>
        <v>0</v>
      </c>
      <c r="BI363">
        <f>VLOOKUP(B363,Miljö!$B$1:$BX$482,MATCH("Kärnkraftsandel för ursprungsspecificerad el ()",Miljö!$B$1:$O$1,0),FALSE)</f>
        <v>0</v>
      </c>
      <c r="BJ363">
        <f t="shared" si="145"/>
        <v>0</v>
      </c>
      <c r="BK363" t="str">
        <f>VLOOKUP(B363,Miljö!$B$1:$O$482,MATCH("Fossil andel i procent (%)",Miljö!$B$1:$O$1,0),FALSE)</f>
        <v>ET</v>
      </c>
      <c r="BL363">
        <f t="shared" si="146"/>
        <v>2.6459999999999999</v>
      </c>
      <c r="BO363" s="18">
        <f t="shared" si="147"/>
        <v>3.4013605442176869E-3</v>
      </c>
      <c r="BP363" s="18">
        <f t="shared" si="148"/>
        <v>0</v>
      </c>
      <c r="BQ363" s="18">
        <f t="shared" si="149"/>
        <v>0.99659863945578231</v>
      </c>
      <c r="BR363" s="18">
        <f t="shared" si="150"/>
        <v>0</v>
      </c>
      <c r="BT363" s="27">
        <f t="shared" si="151"/>
        <v>1</v>
      </c>
      <c r="BW363" s="18">
        <f>IF(AP363="ja",VLOOKUP(B363,Miljövärden!$B$2:$H$550,MATCH("Total andel fossilt",Miljövärden!$B$2:$H$2,0),FALSE),"")</f>
        <v>3.40136E-3</v>
      </c>
      <c r="BZ363" s="28">
        <f t="shared" si="152"/>
        <v>-5.44217686974241E-10</v>
      </c>
      <c r="CA363" s="28">
        <f t="shared" si="153"/>
        <v>0</v>
      </c>
    </row>
    <row r="364" spans="1:79" x14ac:dyDescent="0.25">
      <c r="A364" s="224" t="s">
        <v>52</v>
      </c>
      <c r="B364" s="210" t="s">
        <v>687</v>
      </c>
      <c r="C364" s="121">
        <f>VLOOKUP($B364,'Tillförd energi'!$B$1:$AI$720,MATCH(C$1,'Tillförd energi'!$B$1:$AQ$1,0),FALSE)</f>
        <v>0</v>
      </c>
      <c r="D364" s="121">
        <f>VLOOKUP($B364,'Tillförd energi'!$B$1:$AI$720,MATCH(D$1,'Tillförd energi'!$B$1:$AQ$1,0),FALSE)</f>
        <v>0.59599999999999997</v>
      </c>
      <c r="E364" s="121">
        <f>VLOOKUP($B364,'Tillförd energi'!$B$1:$AI$720,MATCH(E$1,'Tillförd energi'!$B$1:$AQ$1,0),FALSE)</f>
        <v>3.468</v>
      </c>
      <c r="F364" s="121">
        <f>VLOOKUP($B364,'Tillförd energi'!$B$1:$AI$720,MATCH(F$1,'Tillförd energi'!$B$1:$AQ$1,0),FALSE)</f>
        <v>0</v>
      </c>
      <c r="G364" s="121">
        <f>VLOOKUP($B364,'Tillförd energi'!$B$1:$AI$720,MATCH(G$1,'Tillförd energi'!$B$1:$AQ$1,0),FALSE)</f>
        <v>0</v>
      </c>
      <c r="H364" s="121">
        <f>VLOOKUP($B364,'Tillförd energi'!$B$1:$AI$720,MATCH(H$1,'Tillförd energi'!$B$1:$AQ$1,0),FALSE)</f>
        <v>0</v>
      </c>
      <c r="I364" s="121">
        <f>VLOOKUP($B364,'Tillförd energi'!$B$1:$AI$720,MATCH(I$1,'Tillförd energi'!$B$1:$AQ$1,0),FALSE)</f>
        <v>0</v>
      </c>
      <c r="J364" s="121">
        <f>VLOOKUP($B364,'Tillförd energi'!$B$1:$AI$720,MATCH(J$1,'Tillförd energi'!$B$1:$AQ$1,0),FALSE)</f>
        <v>0</v>
      </c>
      <c r="K364" s="121">
        <f>VLOOKUP($B364,'Tillförd energi'!$B$1:$AI$720,MATCH(K$1,'Tillförd energi'!$B$1:$AQ$1,0),FALSE)</f>
        <v>0</v>
      </c>
      <c r="L364" s="121">
        <f>VLOOKUP($B364,'Tillförd energi'!$B$1:$AI$720,MATCH(L$1,'Tillförd energi'!$B$1:$AQ$1,0),FALSE)</f>
        <v>0</v>
      </c>
      <c r="M364" s="121">
        <f>VLOOKUP($B364,'Tillförd energi'!$B$1:$AI$720,MATCH(M$1,'Tillförd energi'!$B$1:$AQ$1,0),FALSE)</f>
        <v>0</v>
      </c>
      <c r="N364" s="121">
        <f>VLOOKUP($B364,'Tillförd energi'!$B$1:$AI$720,MATCH(N$1,'Tillförd energi'!$B$1:$AQ$1,0),FALSE)</f>
        <v>0</v>
      </c>
      <c r="O364" s="121">
        <f>VLOOKUP($B364,'Tillförd energi'!$B$1:$AI$720,MATCH(O$1,'Tillförd energi'!$B$1:$AQ$1,0),FALSE)</f>
        <v>0</v>
      </c>
      <c r="P364" s="121">
        <f>VLOOKUP($B364,'Tillförd energi'!$B$1:$AI$720,MATCH(P$1,'Tillförd energi'!$B$1:$AQ$1,0),FALSE)</f>
        <v>0</v>
      </c>
      <c r="Q364" s="121">
        <f>VLOOKUP($B364,'Tillförd energi'!$B$1:$AI$720,MATCH(Q$1,'Tillförd energi'!$B$1:$AQ$1,0),FALSE)</f>
        <v>0</v>
      </c>
      <c r="R364" s="121">
        <f>VLOOKUP($B364,'Tillförd energi'!$B$1:$AI$720,MATCH(R$1,'Tillförd energi'!$B$1:$AQ$1,0),FALSE)</f>
        <v>33.186999999999998</v>
      </c>
      <c r="S364" s="121">
        <f>VLOOKUP($B364,'Tillförd energi'!$B$1:$AI$720,MATCH(S$1,'Tillförd energi'!$B$1:$AQ$1,0),FALSE)</f>
        <v>0</v>
      </c>
      <c r="T364" s="121">
        <f>VLOOKUP($B364,'Tillförd energi'!$B$1:$AI$720,MATCH(T$1,'Tillförd energi'!$B$1:$AQ$1,0),FALSE)</f>
        <v>0</v>
      </c>
      <c r="U364" s="121">
        <f>VLOOKUP($B364,'Tillförd energi'!$B$1:$AI$720,MATCH(U$1,'Tillförd energi'!$B$1:$AQ$1,0),FALSE)</f>
        <v>0</v>
      </c>
      <c r="V364" s="121">
        <f>VLOOKUP($B364,'Tillförd energi'!$B$1:$AI$720,MATCH(V$1,'Tillförd energi'!$B$1:$AQ$1,0),FALSE)</f>
        <v>0</v>
      </c>
      <c r="W364" s="121">
        <f>VLOOKUP($B364,'Tillförd energi'!$B$1:$AI$720,MATCH(W$1,'Tillförd energi'!$B$1:$AQ$1,0),FALSE)</f>
        <v>0</v>
      </c>
      <c r="X364" s="121">
        <f>VLOOKUP($B364,'Tillförd energi'!$B$1:$AI$720,MATCH(X$1,'Tillförd energi'!$B$1:$AQ$1,0),FALSE)</f>
        <v>0</v>
      </c>
      <c r="Y364" s="121">
        <f>VLOOKUP($B364,'Tillförd energi'!$B$1:$AI$720,MATCH(Y$1,'Tillförd energi'!$B$1:$AQ$1,0),FALSE)</f>
        <v>0</v>
      </c>
      <c r="Z364" s="121">
        <f>VLOOKUP($B364,'Tillförd energi'!$B$1:$AI$720,MATCH(Z$1,'Tillförd energi'!$B$1:$AQ$1,0),FALSE)</f>
        <v>0</v>
      </c>
      <c r="AA364" s="121">
        <f>VLOOKUP($B364,'Tillförd energi'!$B$1:$AI$720,MATCH(AA$1,'Tillförd energi'!$B$1:$AQ$1,0),FALSE)</f>
        <v>0</v>
      </c>
      <c r="AB364" s="121">
        <f>VLOOKUP($B364,'Tillförd energi'!$B$1:$AI$720,MATCH(AB$1,'Tillförd energi'!$B$1:$AQ$1,0),FALSE)</f>
        <v>0</v>
      </c>
      <c r="AC364" s="121">
        <f>VLOOKUP($B364,'Tillförd energi'!$B$1:$AI$720,MATCH(AC$1,'Tillförd energi'!$B$1:$AQ$1,0),FALSE)</f>
        <v>0</v>
      </c>
      <c r="AD364" s="121">
        <f>VLOOKUP($B364,'Tillförd energi'!$B$1:$AI$720,MATCH(AD$1,'Tillförd energi'!$B$1:$AQ$1,0),FALSE)</f>
        <v>20.366</v>
      </c>
      <c r="AE364" s="121">
        <f>VLOOKUP($B364,'Tillförd energi'!$B$1:$AI$720,MATCH(AE$1,'Tillförd energi'!$B$1:$AQ$1,0),FALSE)</f>
        <v>0</v>
      </c>
      <c r="AF364" s="121">
        <f>VLOOKUP($B364,'Tillförd energi'!$B$1:$AI$720,MATCH(AF$1,'Tillförd energi'!$B$1:$AQ$1,0),FALSE)</f>
        <v>0.70699999999999996</v>
      </c>
      <c r="AG364" s="121">
        <f>IFERROR(VLOOKUP(B364,Miljö!$B$1:$AC$550,MATCH("Köpt mängd produktionsspecifik fjärrvärme:",Miljö!$B$1:$AC$1,0),FALSE)/1,0)</f>
        <v>0</v>
      </c>
      <c r="AH364" s="121"/>
      <c r="AI364" s="121">
        <f t="shared" si="132"/>
        <v>58.323999999999998</v>
      </c>
      <c r="AJ364" s="121">
        <f t="shared" si="133"/>
        <v>58.323999999999998</v>
      </c>
      <c r="AK364" s="121">
        <f>IF(ISERROR(1/VLOOKUP($B364,Leveranser!$B$1:$S$499,MATCH("såld värme (gwh)",Leveranser!$B$1:$S$1,0),FALSE)),"",VLOOKUP($B364,Leveranser!$B$1:$S$499,MATCH("såld värme (gwh)",Leveranser!$B$1:$S$1,0),FALSE))</f>
        <v>49.863</v>
      </c>
      <c r="AL364" s="121">
        <f>VLOOKUP($B364,Leveranser!$B$1:$Y$499,MATCH("Totalt såld fjärrvärme till andra fjärrvärmeföretag",Leveranser!$B$1:$AA$1,0),FALSE)</f>
        <v>0</v>
      </c>
      <c r="AM364" s="121">
        <f>IF(ISERROR(1/VLOOKUP($B364,Miljö!$B$1:$S$500,MATCH("Såld mängd produktionsspecifik fjärrvärme (GWh)",Miljö!$B$1:$R$1,0),FALSE)),0,VLOOKUP($B364,Miljö!$B$1:$S$500,MATCH("Såld mängd produktionsspecifik fjärrvärme (GWh)",Miljö!$B$1:$R$1,0),FALSE))</f>
        <v>0</v>
      </c>
      <c r="AN364" s="172">
        <f t="shared" si="134"/>
        <v>0.85493107468623553</v>
      </c>
      <c r="AO364" s="121"/>
      <c r="AP364" s="121" t="str">
        <f>IFERROR(VLOOKUP($B364,Miljövärden!$B$2:$H$550,7,FALSE),"Nej, saknas")</f>
        <v>Ja</v>
      </c>
      <c r="AQ364" s="121" t="str">
        <f>IFERROR(VLOOKUP($B364,Miljövärden!$B$2:$H$550,6,FALSE),"Nej, saknas")</f>
        <v>Ja</v>
      </c>
      <c r="AU364">
        <f t="shared" si="135"/>
        <v>0.70699999999999996</v>
      </c>
      <c r="AV364">
        <f t="shared" si="136"/>
        <v>0</v>
      </c>
      <c r="AW364">
        <f t="shared" si="137"/>
        <v>0</v>
      </c>
      <c r="AX364">
        <f t="shared" si="138"/>
        <v>33.186999999999998</v>
      </c>
      <c r="AZ364">
        <f t="shared" si="139"/>
        <v>33.186999999999998</v>
      </c>
      <c r="BC364">
        <f t="shared" si="140"/>
        <v>4.0640000000000001</v>
      </c>
      <c r="BD364">
        <f t="shared" si="141"/>
        <v>0</v>
      </c>
      <c r="BE364">
        <f t="shared" si="142"/>
        <v>33.186999999999998</v>
      </c>
      <c r="BF364">
        <f t="shared" si="143"/>
        <v>20.366</v>
      </c>
      <c r="BG364">
        <f t="shared" si="144"/>
        <v>0.70699999999999996</v>
      </c>
      <c r="BH364">
        <f>VLOOKUP(B364,Miljö!$B$1:$BX$482,MATCH("Fossilandel för ursprungspecificerad el ()",Miljö!$B$1:$I$1,0),FALSE)</f>
        <v>0.43</v>
      </c>
      <c r="BI364">
        <f>VLOOKUP(B364,Miljö!$B$1:$BX$482,MATCH("Kärnkraftsandel för ursprungsspecificerad el ()",Miljö!$B$1:$O$1,0),FALSE)</f>
        <v>0.40550000000000003</v>
      </c>
      <c r="BJ364">
        <f t="shared" si="145"/>
        <v>0</v>
      </c>
      <c r="BK364" t="str">
        <f>VLOOKUP(B364,Miljö!$B$1:$O$482,MATCH("Fossil andel i procent (%)",Miljö!$B$1:$O$1,0),FALSE)</f>
        <v>ET</v>
      </c>
      <c r="BL364">
        <f t="shared" si="146"/>
        <v>58.323999999999998</v>
      </c>
      <c r="BO364" s="18">
        <f t="shared" si="147"/>
        <v>7.4892154173239148E-2</v>
      </c>
      <c r="BP364" s="18">
        <f t="shared" si="148"/>
        <v>4.9154464714354302E-3</v>
      </c>
      <c r="BQ364" s="18">
        <f t="shared" si="149"/>
        <v>0.57100510081613054</v>
      </c>
      <c r="BR364" s="18">
        <f t="shared" si="150"/>
        <v>0.34918729853919483</v>
      </c>
      <c r="BT364" s="27">
        <f t="shared" si="151"/>
        <v>1</v>
      </c>
      <c r="BW364" s="18">
        <f>IF(AP364="ja",VLOOKUP(B364,Miljövärden!$B$2:$H$550,MATCH("Total andel fossilt",Miljövärden!$B$2:$H$2,0),FALSE),"")</f>
        <v>7.4892200000000006E-2</v>
      </c>
      <c r="BZ364" s="28">
        <f t="shared" si="152"/>
        <v>4.5826760858291848E-8</v>
      </c>
      <c r="CA364" s="28">
        <f t="shared" si="153"/>
        <v>0</v>
      </c>
    </row>
    <row r="365" spans="1:79" x14ac:dyDescent="0.25">
      <c r="A365" s="224" t="s">
        <v>52</v>
      </c>
      <c r="B365" s="210" t="s">
        <v>688</v>
      </c>
      <c r="C365" s="121">
        <f>VLOOKUP($B365,'Tillförd energi'!$B$1:$AI$720,MATCH(C$1,'Tillförd energi'!$B$1:$AQ$1,0),FALSE)</f>
        <v>0</v>
      </c>
      <c r="D365" s="121">
        <f>VLOOKUP($B365,'Tillförd energi'!$B$1:$AI$720,MATCH(D$1,'Tillförd energi'!$B$1:$AQ$1,0),FALSE)</f>
        <v>0.48799999999999999</v>
      </c>
      <c r="E365" s="121">
        <f>VLOOKUP($B365,'Tillförd energi'!$B$1:$AI$720,MATCH(E$1,'Tillförd energi'!$B$1:$AQ$1,0),FALSE)</f>
        <v>0</v>
      </c>
      <c r="F365" s="121">
        <f>VLOOKUP($B365,'Tillförd energi'!$B$1:$AI$720,MATCH(F$1,'Tillförd energi'!$B$1:$AQ$1,0),FALSE)</f>
        <v>0</v>
      </c>
      <c r="G365" s="121">
        <f>VLOOKUP($B365,'Tillförd energi'!$B$1:$AI$720,MATCH(G$1,'Tillförd energi'!$B$1:$AQ$1,0),FALSE)</f>
        <v>0</v>
      </c>
      <c r="H365" s="121">
        <f>VLOOKUP($B365,'Tillförd energi'!$B$1:$AI$720,MATCH(H$1,'Tillförd energi'!$B$1:$AQ$1,0),FALSE)</f>
        <v>0</v>
      </c>
      <c r="I365" s="121">
        <f>VLOOKUP($B365,'Tillförd energi'!$B$1:$AI$720,MATCH(I$1,'Tillförd energi'!$B$1:$AQ$1,0),FALSE)</f>
        <v>0</v>
      </c>
      <c r="J365" s="121">
        <f>VLOOKUP($B365,'Tillförd energi'!$B$1:$AI$720,MATCH(J$1,'Tillförd energi'!$B$1:$AQ$1,0),FALSE)</f>
        <v>0</v>
      </c>
      <c r="K365" s="121">
        <f>VLOOKUP($B365,'Tillförd energi'!$B$1:$AI$720,MATCH(K$1,'Tillförd energi'!$B$1:$AQ$1,0),FALSE)</f>
        <v>0</v>
      </c>
      <c r="L365" s="121">
        <f>VLOOKUP($B365,'Tillförd energi'!$B$1:$AI$720,MATCH(L$1,'Tillförd energi'!$B$1:$AQ$1,0),FALSE)</f>
        <v>0</v>
      </c>
      <c r="M365" s="121">
        <f>VLOOKUP($B365,'Tillförd energi'!$B$1:$AI$720,MATCH(M$1,'Tillförd energi'!$B$1:$AQ$1,0),FALSE)</f>
        <v>0</v>
      </c>
      <c r="N365" s="121">
        <f>VLOOKUP($B365,'Tillförd energi'!$B$1:$AI$720,MATCH(N$1,'Tillförd energi'!$B$1:$AQ$1,0),FALSE)</f>
        <v>0</v>
      </c>
      <c r="O365" s="121">
        <f>VLOOKUP($B365,'Tillförd energi'!$B$1:$AI$720,MATCH(O$1,'Tillförd energi'!$B$1:$AQ$1,0),FALSE)</f>
        <v>0.95799999999999996</v>
      </c>
      <c r="P365" s="121">
        <f>VLOOKUP($B365,'Tillförd energi'!$B$1:$AI$720,MATCH(P$1,'Tillförd energi'!$B$1:$AQ$1,0),FALSE)</f>
        <v>1.92</v>
      </c>
      <c r="Q365" s="121">
        <f>VLOOKUP($B365,'Tillförd energi'!$B$1:$AI$720,MATCH(Q$1,'Tillförd energi'!$B$1:$AQ$1,0),FALSE)</f>
        <v>3.41</v>
      </c>
      <c r="R365" s="121">
        <f>VLOOKUP($B365,'Tillförd energi'!$B$1:$AI$720,MATCH(R$1,'Tillförd energi'!$B$1:$AQ$1,0),FALSE)</f>
        <v>0</v>
      </c>
      <c r="S365" s="121">
        <f>VLOOKUP($B365,'Tillförd energi'!$B$1:$AI$720,MATCH(S$1,'Tillförd energi'!$B$1:$AQ$1,0),FALSE)</f>
        <v>0</v>
      </c>
      <c r="T365" s="121">
        <f>VLOOKUP($B365,'Tillförd energi'!$B$1:$AI$720,MATCH(T$1,'Tillförd energi'!$B$1:$AQ$1,0),FALSE)</f>
        <v>0</v>
      </c>
      <c r="U365" s="121">
        <f>VLOOKUP($B365,'Tillförd energi'!$B$1:$AI$720,MATCH(U$1,'Tillförd energi'!$B$1:$AQ$1,0),FALSE)</f>
        <v>0</v>
      </c>
      <c r="V365" s="121">
        <f>VLOOKUP($B365,'Tillförd energi'!$B$1:$AI$720,MATCH(V$1,'Tillförd energi'!$B$1:$AQ$1,0),FALSE)</f>
        <v>0</v>
      </c>
      <c r="W365" s="121">
        <f>VLOOKUP($B365,'Tillförd energi'!$B$1:$AI$720,MATCH(W$1,'Tillförd energi'!$B$1:$AQ$1,0),FALSE)</f>
        <v>0</v>
      </c>
      <c r="X365" s="121">
        <f>VLOOKUP($B365,'Tillförd energi'!$B$1:$AI$720,MATCH(X$1,'Tillförd energi'!$B$1:$AQ$1,0),FALSE)</f>
        <v>0</v>
      </c>
      <c r="Y365" s="121">
        <f>VLOOKUP($B365,'Tillförd energi'!$B$1:$AI$720,MATCH(Y$1,'Tillförd energi'!$B$1:$AQ$1,0),FALSE)</f>
        <v>0</v>
      </c>
      <c r="Z365" s="121">
        <f>VLOOKUP($B365,'Tillförd energi'!$B$1:$AI$720,MATCH(Z$1,'Tillförd energi'!$B$1:$AQ$1,0),FALSE)</f>
        <v>0</v>
      </c>
      <c r="AA365" s="121">
        <f>VLOOKUP($B365,'Tillförd energi'!$B$1:$AI$720,MATCH(AA$1,'Tillförd energi'!$B$1:$AQ$1,0),FALSE)</f>
        <v>0</v>
      </c>
      <c r="AB365" s="121">
        <f>VLOOKUP($B365,'Tillförd energi'!$B$1:$AI$720,MATCH(AB$1,'Tillförd energi'!$B$1:$AQ$1,0),FALSE)</f>
        <v>0</v>
      </c>
      <c r="AC365" s="121">
        <f>VLOOKUP($B365,'Tillförd energi'!$B$1:$AI$720,MATCH(AC$1,'Tillförd energi'!$B$1:$AQ$1,0),FALSE)</f>
        <v>0</v>
      </c>
      <c r="AD365" s="121">
        <f>VLOOKUP($B365,'Tillförd energi'!$B$1:$AI$720,MATCH(AD$1,'Tillförd energi'!$B$1:$AQ$1,0),FALSE)</f>
        <v>0</v>
      </c>
      <c r="AE365" s="121">
        <f>VLOOKUP($B365,'Tillförd energi'!$B$1:$AI$720,MATCH(AE$1,'Tillförd energi'!$B$1:$AQ$1,0),FALSE)</f>
        <v>0</v>
      </c>
      <c r="AF365" s="121">
        <f>VLOOKUP($B365,'Tillförd energi'!$B$1:$AI$720,MATCH(AF$1,'Tillförd energi'!$B$1:$AQ$1,0),FALSE)</f>
        <v>0.1</v>
      </c>
      <c r="AG365" s="121">
        <f>IFERROR(VLOOKUP(B365,Miljö!$B$1:$AC$550,MATCH("Köpt mängd produktionsspecifik fjärrvärme:",Miljö!$B$1:$AC$1,0),FALSE)/1,0)</f>
        <v>0</v>
      </c>
      <c r="AH365" s="121"/>
      <c r="AI365" s="121">
        <f t="shared" si="132"/>
        <v>6.8759999999999994</v>
      </c>
      <c r="AJ365" s="121">
        <f t="shared" si="133"/>
        <v>6.8759999999999994</v>
      </c>
      <c r="AK365" s="121">
        <f>IF(ISERROR(1/VLOOKUP($B365,Leveranser!$B$1:$S$499,MATCH("såld värme (gwh)",Leveranser!$B$1:$S$1,0),FALSE)),"",VLOOKUP($B365,Leveranser!$B$1:$S$499,MATCH("såld värme (gwh)",Leveranser!$B$1:$S$1,0),FALSE))</f>
        <v>6.8</v>
      </c>
      <c r="AL365" s="121">
        <f>VLOOKUP($B365,Leveranser!$B$1:$Y$499,MATCH("Totalt såld fjärrvärme till andra fjärrvärmeföretag",Leveranser!$B$1:$AA$1,0),FALSE)</f>
        <v>0</v>
      </c>
      <c r="AM365" s="121">
        <f>IF(ISERROR(1/VLOOKUP($B365,Miljö!$B$1:$S$500,MATCH("Såld mängd produktionsspecifik fjärrvärme (GWh)",Miljö!$B$1:$R$1,0),FALSE)),0,VLOOKUP($B365,Miljö!$B$1:$S$500,MATCH("Såld mängd produktionsspecifik fjärrvärme (GWh)",Miljö!$B$1:$R$1,0),FALSE))</f>
        <v>0</v>
      </c>
      <c r="AN365" s="172">
        <f t="shared" si="134"/>
        <v>0.98894706224549167</v>
      </c>
      <c r="AO365" s="121"/>
      <c r="AP365" s="121" t="str">
        <f>IFERROR(VLOOKUP($B365,Miljövärden!$B$2:$H$550,7,FALSE),"Nej, saknas")</f>
        <v>Ja</v>
      </c>
      <c r="AQ365" s="121" t="str">
        <f>IFERROR(VLOOKUP($B365,Miljövärden!$B$2:$H$550,6,FALSE),"Nej, saknas")</f>
        <v>Ja</v>
      </c>
      <c r="AU365">
        <f t="shared" si="135"/>
        <v>0.1</v>
      </c>
      <c r="AV365">
        <f t="shared" si="136"/>
        <v>0</v>
      </c>
      <c r="AW365">
        <f t="shared" si="137"/>
        <v>6.2880000000000003</v>
      </c>
      <c r="AX365">
        <f t="shared" si="138"/>
        <v>0</v>
      </c>
      <c r="AZ365">
        <f t="shared" si="139"/>
        <v>6.2880000000000003</v>
      </c>
      <c r="BC365">
        <f t="shared" si="140"/>
        <v>0.48799999999999999</v>
      </c>
      <c r="BD365">
        <f t="shared" si="141"/>
        <v>0</v>
      </c>
      <c r="BE365">
        <f t="shared" si="142"/>
        <v>6.2880000000000003</v>
      </c>
      <c r="BF365">
        <f t="shared" si="143"/>
        <v>0</v>
      </c>
      <c r="BG365">
        <f t="shared" si="144"/>
        <v>0.1</v>
      </c>
      <c r="BH365">
        <f>VLOOKUP(B365,Miljö!$B$1:$BX$482,MATCH("Fossilandel för ursprungspecificerad el ()",Miljö!$B$1:$I$1,0),FALSE)</f>
        <v>0</v>
      </c>
      <c r="BI365">
        <f>VLOOKUP(B365,Miljö!$B$1:$BX$482,MATCH("Kärnkraftsandel för ursprungsspecificerad el ()",Miljö!$B$1:$O$1,0),FALSE)</f>
        <v>0</v>
      </c>
      <c r="BJ365">
        <f t="shared" si="145"/>
        <v>0</v>
      </c>
      <c r="BK365" t="str">
        <f>VLOOKUP(B365,Miljö!$B$1:$O$482,MATCH("Fossil andel i procent (%)",Miljö!$B$1:$O$1,0),FALSE)</f>
        <v>ET</v>
      </c>
      <c r="BL365">
        <f t="shared" si="146"/>
        <v>6.8759999999999994</v>
      </c>
      <c r="BO365" s="18">
        <f t="shared" si="147"/>
        <v>7.0971495055264691E-2</v>
      </c>
      <c r="BP365" s="18">
        <f t="shared" si="148"/>
        <v>0</v>
      </c>
      <c r="BQ365" s="18">
        <f t="shared" si="149"/>
        <v>0.92902850494473532</v>
      </c>
      <c r="BR365" s="18">
        <f t="shared" si="150"/>
        <v>0</v>
      </c>
      <c r="BT365" s="27">
        <f t="shared" si="151"/>
        <v>1</v>
      </c>
      <c r="BW365" s="18">
        <f>IF(AP365="ja",VLOOKUP(B365,Miljövärden!$B$2:$H$550,MATCH("Total andel fossilt",Miljövärden!$B$2:$H$2,0),FALSE),"")</f>
        <v>7.0971500000000007E-2</v>
      </c>
      <c r="BZ365" s="28">
        <f t="shared" si="152"/>
        <v>4.9447353156484297E-9</v>
      </c>
      <c r="CA365" s="28">
        <f t="shared" si="153"/>
        <v>0</v>
      </c>
    </row>
    <row r="366" spans="1:79" x14ac:dyDescent="0.25">
      <c r="A366" s="224" t="s">
        <v>52</v>
      </c>
      <c r="B366" s="210" t="s">
        <v>689</v>
      </c>
      <c r="C366" s="121">
        <f>VLOOKUP($B366,'Tillförd energi'!$B$1:$AI$720,MATCH(C$1,'Tillförd energi'!$B$1:$AQ$1,0),FALSE)</f>
        <v>0</v>
      </c>
      <c r="D366" s="121">
        <f>VLOOKUP($B366,'Tillförd energi'!$B$1:$AI$720,MATCH(D$1,'Tillförd energi'!$B$1:$AQ$1,0),FALSE)</f>
        <v>1.891</v>
      </c>
      <c r="E366" s="121">
        <f>VLOOKUP($B366,'Tillförd energi'!$B$1:$AI$720,MATCH(E$1,'Tillförd energi'!$B$1:$AQ$1,0),FALSE)</f>
        <v>0</v>
      </c>
      <c r="F366" s="121">
        <f>VLOOKUP($B366,'Tillförd energi'!$B$1:$AI$720,MATCH(F$1,'Tillförd energi'!$B$1:$AQ$1,0),FALSE)</f>
        <v>0</v>
      </c>
      <c r="G366" s="121">
        <f>VLOOKUP($B366,'Tillförd energi'!$B$1:$AI$720,MATCH(G$1,'Tillförd energi'!$B$1:$AQ$1,0),FALSE)</f>
        <v>0</v>
      </c>
      <c r="H366" s="121">
        <f>VLOOKUP($B366,'Tillförd energi'!$B$1:$AI$720,MATCH(H$1,'Tillförd energi'!$B$1:$AQ$1,0),FALSE)</f>
        <v>0</v>
      </c>
      <c r="I366" s="121">
        <f>VLOOKUP($B366,'Tillförd energi'!$B$1:$AI$720,MATCH(I$1,'Tillförd energi'!$B$1:$AQ$1,0),FALSE)</f>
        <v>0</v>
      </c>
      <c r="J366" s="121">
        <f>VLOOKUP($B366,'Tillförd energi'!$B$1:$AI$720,MATCH(J$1,'Tillförd energi'!$B$1:$AQ$1,0),FALSE)</f>
        <v>0</v>
      </c>
      <c r="K366" s="121">
        <f>VLOOKUP($B366,'Tillförd energi'!$B$1:$AI$720,MATCH(K$1,'Tillförd energi'!$B$1:$AQ$1,0),FALSE)</f>
        <v>0</v>
      </c>
      <c r="L366" s="121">
        <f>VLOOKUP($B366,'Tillförd energi'!$B$1:$AI$720,MATCH(L$1,'Tillförd energi'!$B$1:$AQ$1,0),FALSE)</f>
        <v>0</v>
      </c>
      <c r="M366" s="121">
        <f>VLOOKUP($B366,'Tillförd energi'!$B$1:$AI$720,MATCH(M$1,'Tillförd energi'!$B$1:$AQ$1,0),FALSE)</f>
        <v>0</v>
      </c>
      <c r="N366" s="121">
        <f>VLOOKUP($B366,'Tillförd energi'!$B$1:$AI$720,MATCH(N$1,'Tillförd energi'!$B$1:$AQ$1,0),FALSE)</f>
        <v>0</v>
      </c>
      <c r="O366" s="121">
        <f>VLOOKUP($B366,'Tillförd energi'!$B$1:$AI$720,MATCH(O$1,'Tillförd energi'!$B$1:$AQ$1,0),FALSE)</f>
        <v>0</v>
      </c>
      <c r="P366" s="121">
        <f>VLOOKUP($B366,'Tillförd energi'!$B$1:$AI$720,MATCH(P$1,'Tillförd energi'!$B$1:$AQ$1,0),FALSE)</f>
        <v>0</v>
      </c>
      <c r="Q366" s="121">
        <f>VLOOKUP($B366,'Tillförd energi'!$B$1:$AI$720,MATCH(Q$1,'Tillförd energi'!$B$1:$AQ$1,0),FALSE)</f>
        <v>88.082999999999998</v>
      </c>
      <c r="R366" s="121">
        <f>VLOOKUP($B366,'Tillförd energi'!$B$1:$AI$720,MATCH(R$1,'Tillförd energi'!$B$1:$AQ$1,0),FALSE)</f>
        <v>0</v>
      </c>
      <c r="S366" s="121">
        <f>VLOOKUP($B366,'Tillförd energi'!$B$1:$AI$720,MATCH(S$1,'Tillförd energi'!$B$1:$AQ$1,0),FALSE)</f>
        <v>0</v>
      </c>
      <c r="T366" s="121">
        <f>VLOOKUP($B366,'Tillförd energi'!$B$1:$AI$720,MATCH(T$1,'Tillförd energi'!$B$1:$AQ$1,0),FALSE)</f>
        <v>0</v>
      </c>
      <c r="U366" s="121">
        <f>VLOOKUP($B366,'Tillförd energi'!$B$1:$AI$720,MATCH(U$1,'Tillförd energi'!$B$1:$AQ$1,0),FALSE)</f>
        <v>0</v>
      </c>
      <c r="V366" s="121">
        <f>VLOOKUP($B366,'Tillförd energi'!$B$1:$AI$720,MATCH(V$1,'Tillförd energi'!$B$1:$AQ$1,0),FALSE)</f>
        <v>0</v>
      </c>
      <c r="W366" s="121">
        <f>VLOOKUP($B366,'Tillförd energi'!$B$1:$AI$720,MATCH(W$1,'Tillförd energi'!$B$1:$AQ$1,0),FALSE)</f>
        <v>0</v>
      </c>
      <c r="X366" s="121">
        <f>VLOOKUP($B366,'Tillförd energi'!$B$1:$AI$720,MATCH(X$1,'Tillförd energi'!$B$1:$AQ$1,0),FALSE)</f>
        <v>0</v>
      </c>
      <c r="Y366" s="121">
        <f>VLOOKUP($B366,'Tillförd energi'!$B$1:$AI$720,MATCH(Y$1,'Tillförd energi'!$B$1:$AQ$1,0),FALSE)</f>
        <v>0</v>
      </c>
      <c r="Z366" s="121">
        <f>VLOOKUP($B366,'Tillförd energi'!$B$1:$AI$720,MATCH(Z$1,'Tillförd energi'!$B$1:$AQ$1,0),FALSE)</f>
        <v>0</v>
      </c>
      <c r="AA366" s="121">
        <f>VLOOKUP($B366,'Tillförd energi'!$B$1:$AI$720,MATCH(AA$1,'Tillförd energi'!$B$1:$AQ$1,0),FALSE)</f>
        <v>0</v>
      </c>
      <c r="AB366" s="121">
        <f>VLOOKUP($B366,'Tillförd energi'!$B$1:$AI$720,MATCH(AB$1,'Tillförd energi'!$B$1:$AQ$1,0),FALSE)</f>
        <v>0</v>
      </c>
      <c r="AC366" s="121">
        <f>VLOOKUP($B366,'Tillförd energi'!$B$1:$AI$720,MATCH(AC$1,'Tillförd energi'!$B$1:$AQ$1,0),FALSE)</f>
        <v>15.262</v>
      </c>
      <c r="AD366" s="121">
        <f>VLOOKUP($B366,'Tillförd energi'!$B$1:$AI$720,MATCH(AD$1,'Tillförd energi'!$B$1:$AQ$1,0),FALSE)</f>
        <v>0</v>
      </c>
      <c r="AE366" s="121">
        <f>VLOOKUP($B366,'Tillförd energi'!$B$1:$AI$720,MATCH(AE$1,'Tillförd energi'!$B$1:$AQ$1,0),FALSE)</f>
        <v>0</v>
      </c>
      <c r="AF366" s="121">
        <f>VLOOKUP($B366,'Tillförd energi'!$B$1:$AI$720,MATCH(AF$1,'Tillförd energi'!$B$1:$AQ$1,0),FALSE)</f>
        <v>3.1E-2</v>
      </c>
      <c r="AG366" s="121">
        <f>IFERROR(VLOOKUP(B366,Miljö!$B$1:$AC$550,MATCH("Köpt mängd produktionsspecifik fjärrvärme:",Miljö!$B$1:$AC$1,0),FALSE)/1,0)</f>
        <v>0</v>
      </c>
      <c r="AH366" s="121"/>
      <c r="AI366" s="121">
        <f t="shared" si="132"/>
        <v>105.26700000000001</v>
      </c>
      <c r="AJ366" s="121">
        <f t="shared" si="133"/>
        <v>105.26700000000001</v>
      </c>
      <c r="AK366" s="121">
        <f>IF(ISERROR(1/VLOOKUP($B366,Leveranser!$B$1:$S$499,MATCH("såld värme (gwh)",Leveranser!$B$1:$S$1,0),FALSE)),"",VLOOKUP($B366,Leveranser!$B$1:$S$499,MATCH("såld värme (gwh)",Leveranser!$B$1:$S$1,0),FALSE))</f>
        <v>91.9</v>
      </c>
      <c r="AL366" s="121">
        <f>VLOOKUP($B366,Leveranser!$B$1:$Y$499,MATCH("Totalt såld fjärrvärme till andra fjärrvärmeföretag",Leveranser!$B$1:$AA$1,0),FALSE)</f>
        <v>0</v>
      </c>
      <c r="AM366" s="121">
        <f>IF(ISERROR(1/VLOOKUP($B366,Miljö!$B$1:$S$500,MATCH("Såld mängd produktionsspecifik fjärrvärme (GWh)",Miljö!$B$1:$R$1,0),FALSE)),0,VLOOKUP($B366,Miljö!$B$1:$S$500,MATCH("Såld mängd produktionsspecifik fjärrvärme (GWh)",Miljö!$B$1:$R$1,0),FALSE))</f>
        <v>0</v>
      </c>
      <c r="AN366" s="172">
        <f t="shared" si="134"/>
        <v>0.87301813483807833</v>
      </c>
      <c r="AO366" s="121"/>
      <c r="AP366" s="121" t="str">
        <f>IFERROR(VLOOKUP($B366,Miljövärden!$B$2:$H$550,7,FALSE),"Nej, saknas")</f>
        <v>Ja</v>
      </c>
      <c r="AQ366" s="121" t="str">
        <f>IFERROR(VLOOKUP($B366,Miljövärden!$B$2:$H$550,6,FALSE),"Nej, saknas")</f>
        <v>Ja</v>
      </c>
      <c r="AU366">
        <f t="shared" si="135"/>
        <v>3.1E-2</v>
      </c>
      <c r="AV366">
        <f t="shared" si="136"/>
        <v>0</v>
      </c>
      <c r="AW366">
        <f t="shared" si="137"/>
        <v>88.082999999999998</v>
      </c>
      <c r="AX366">
        <f t="shared" si="138"/>
        <v>0</v>
      </c>
      <c r="AZ366">
        <f t="shared" si="139"/>
        <v>88.082999999999998</v>
      </c>
      <c r="BC366">
        <f t="shared" si="140"/>
        <v>1.891</v>
      </c>
      <c r="BD366">
        <f t="shared" si="141"/>
        <v>0</v>
      </c>
      <c r="BE366">
        <f t="shared" si="142"/>
        <v>88.082999999999998</v>
      </c>
      <c r="BF366">
        <f t="shared" si="143"/>
        <v>15.262</v>
      </c>
      <c r="BG366">
        <f t="shared" si="144"/>
        <v>3.1E-2</v>
      </c>
      <c r="BH366">
        <f>VLOOKUP(B366,Miljö!$B$1:$BX$482,MATCH("Fossilandel för ursprungspecificerad el ()",Miljö!$B$1:$I$1,0),FALSE)</f>
        <v>0</v>
      </c>
      <c r="BI366">
        <f>VLOOKUP(B366,Miljö!$B$1:$BX$482,MATCH("Kärnkraftsandel för ursprungsspecificerad el ()",Miljö!$B$1:$O$1,0),FALSE)</f>
        <v>0</v>
      </c>
      <c r="BJ366">
        <f t="shared" si="145"/>
        <v>0</v>
      </c>
      <c r="BK366" t="str">
        <f>VLOOKUP(B366,Miljö!$B$1:$O$482,MATCH("Fossil andel i procent (%)",Miljö!$B$1:$O$1,0),FALSE)</f>
        <v>ET</v>
      </c>
      <c r="BL366">
        <f t="shared" si="146"/>
        <v>105.26700000000001</v>
      </c>
      <c r="BO366" s="18">
        <f t="shared" si="147"/>
        <v>1.7963844319682329E-2</v>
      </c>
      <c r="BP366" s="18">
        <f t="shared" si="148"/>
        <v>0</v>
      </c>
      <c r="BQ366" s="18">
        <f t="shared" si="149"/>
        <v>0.83705244758566311</v>
      </c>
      <c r="BR366" s="18">
        <f t="shared" si="150"/>
        <v>0.14498370809465452</v>
      </c>
      <c r="BT366" s="27">
        <f t="shared" si="151"/>
        <v>1</v>
      </c>
      <c r="BW366" s="18">
        <f>IF(AP366="ja",VLOOKUP(B366,Miljövärden!$B$2:$H$550,MATCH("Total andel fossilt",Miljövärden!$B$2:$H$2,0),FALSE),"")</f>
        <v>1.7963799999999999E-2</v>
      </c>
      <c r="BZ366" s="28">
        <f t="shared" si="152"/>
        <v>-4.4319682330346E-8</v>
      </c>
      <c r="CA366" s="28">
        <f t="shared" si="153"/>
        <v>0</v>
      </c>
    </row>
    <row r="367" spans="1:79" x14ac:dyDescent="0.25">
      <c r="A367" s="224" t="s">
        <v>52</v>
      </c>
      <c r="B367" s="210" t="s">
        <v>690</v>
      </c>
      <c r="C367" s="121">
        <f>VLOOKUP($B367,'Tillförd energi'!$B$1:$AI$720,MATCH(C$1,'Tillförd energi'!$B$1:$AQ$1,0),FALSE)</f>
        <v>0</v>
      </c>
      <c r="D367" s="121">
        <f>VLOOKUP($B367,'Tillförd energi'!$B$1:$AI$720,MATCH(D$1,'Tillförd energi'!$B$1:$AQ$1,0),FALSE)</f>
        <v>0</v>
      </c>
      <c r="E367" s="121">
        <f>VLOOKUP($B367,'Tillförd energi'!$B$1:$AI$720,MATCH(E$1,'Tillförd energi'!$B$1:$AQ$1,0),FALSE)</f>
        <v>0</v>
      </c>
      <c r="F367" s="121">
        <f>VLOOKUP($B367,'Tillförd energi'!$B$1:$AI$720,MATCH(F$1,'Tillförd energi'!$B$1:$AQ$1,0),FALSE)</f>
        <v>0</v>
      </c>
      <c r="G367" s="121">
        <f>VLOOKUP($B367,'Tillförd energi'!$B$1:$AI$720,MATCH(G$1,'Tillförd energi'!$B$1:$AQ$1,0),FALSE)</f>
        <v>0</v>
      </c>
      <c r="H367" s="121">
        <f>VLOOKUP($B367,'Tillförd energi'!$B$1:$AI$720,MATCH(H$1,'Tillförd energi'!$B$1:$AQ$1,0),FALSE)</f>
        <v>0</v>
      </c>
      <c r="I367" s="121">
        <f>VLOOKUP($B367,'Tillförd energi'!$B$1:$AI$720,MATCH(I$1,'Tillförd energi'!$B$1:$AQ$1,0),FALSE)</f>
        <v>0</v>
      </c>
      <c r="J367" s="121">
        <f>VLOOKUP($B367,'Tillförd energi'!$B$1:$AI$720,MATCH(J$1,'Tillförd energi'!$B$1:$AQ$1,0),FALSE)</f>
        <v>0</v>
      </c>
      <c r="K367" s="121">
        <f>VLOOKUP($B367,'Tillförd energi'!$B$1:$AI$720,MATCH(K$1,'Tillförd energi'!$B$1:$AQ$1,0),FALSE)</f>
        <v>0</v>
      </c>
      <c r="L367" s="121">
        <f>VLOOKUP($B367,'Tillförd energi'!$B$1:$AI$720,MATCH(L$1,'Tillförd energi'!$B$1:$AQ$1,0),FALSE)</f>
        <v>0</v>
      </c>
      <c r="M367" s="121">
        <f>VLOOKUP($B367,'Tillförd energi'!$B$1:$AI$720,MATCH(M$1,'Tillförd energi'!$B$1:$AQ$1,0),FALSE)</f>
        <v>0</v>
      </c>
      <c r="N367" s="121">
        <f>VLOOKUP($B367,'Tillförd energi'!$B$1:$AI$720,MATCH(N$1,'Tillförd energi'!$B$1:$AQ$1,0),FALSE)</f>
        <v>0</v>
      </c>
      <c r="O367" s="121">
        <f>VLOOKUP($B367,'Tillförd energi'!$B$1:$AI$720,MATCH(O$1,'Tillförd energi'!$B$1:$AQ$1,0),FALSE)</f>
        <v>0</v>
      </c>
      <c r="P367" s="121">
        <f>VLOOKUP($B367,'Tillförd energi'!$B$1:$AI$720,MATCH(P$1,'Tillförd energi'!$B$1:$AQ$1,0),FALSE)</f>
        <v>0</v>
      </c>
      <c r="Q367" s="121">
        <f>VLOOKUP($B367,'Tillförd energi'!$B$1:$AI$720,MATCH(Q$1,'Tillförd energi'!$B$1:$AQ$1,0),FALSE)</f>
        <v>0</v>
      </c>
      <c r="R367" s="121">
        <f>VLOOKUP($B367,'Tillförd energi'!$B$1:$AI$720,MATCH(R$1,'Tillförd energi'!$B$1:$AQ$1,0),FALSE)</f>
        <v>0</v>
      </c>
      <c r="S367" s="121">
        <f>VLOOKUP($B367,'Tillförd energi'!$B$1:$AI$720,MATCH(S$1,'Tillförd energi'!$B$1:$AQ$1,0),FALSE)</f>
        <v>0</v>
      </c>
      <c r="T367" s="121">
        <f>VLOOKUP($B367,'Tillförd energi'!$B$1:$AI$720,MATCH(T$1,'Tillförd energi'!$B$1:$AQ$1,0),FALSE)</f>
        <v>0</v>
      </c>
      <c r="U367" s="121">
        <f>VLOOKUP($B367,'Tillförd energi'!$B$1:$AI$720,MATCH(U$1,'Tillförd energi'!$B$1:$AQ$1,0),FALSE)</f>
        <v>0</v>
      </c>
      <c r="V367" s="121">
        <f>VLOOKUP($B367,'Tillförd energi'!$B$1:$AI$720,MATCH(V$1,'Tillförd energi'!$B$1:$AQ$1,0),FALSE)</f>
        <v>0</v>
      </c>
      <c r="W367" s="121">
        <f>VLOOKUP($B367,'Tillförd energi'!$B$1:$AI$720,MATCH(W$1,'Tillförd energi'!$B$1:$AQ$1,0),FALSE)</f>
        <v>0</v>
      </c>
      <c r="X367" s="121">
        <f>VLOOKUP($B367,'Tillförd energi'!$B$1:$AI$720,MATCH(X$1,'Tillförd energi'!$B$1:$AQ$1,0),FALSE)</f>
        <v>0</v>
      </c>
      <c r="Y367" s="121">
        <f>VLOOKUP($B367,'Tillförd energi'!$B$1:$AI$720,MATCH(Y$1,'Tillförd energi'!$B$1:$AQ$1,0),FALSE)</f>
        <v>0</v>
      </c>
      <c r="Z367" s="121">
        <f>VLOOKUP($B367,'Tillförd energi'!$B$1:$AI$720,MATCH(Z$1,'Tillförd energi'!$B$1:$AQ$1,0),FALSE)</f>
        <v>0</v>
      </c>
      <c r="AA367" s="121">
        <f>VLOOKUP($B367,'Tillförd energi'!$B$1:$AI$720,MATCH(AA$1,'Tillförd energi'!$B$1:$AQ$1,0),FALSE)</f>
        <v>0</v>
      </c>
      <c r="AB367" s="121">
        <f>VLOOKUP($B367,'Tillförd energi'!$B$1:$AI$720,MATCH(AB$1,'Tillförd energi'!$B$1:$AQ$1,0),FALSE)</f>
        <v>0</v>
      </c>
      <c r="AC367" s="121">
        <f>VLOOKUP($B367,'Tillförd energi'!$B$1:$AI$720,MATCH(AC$1,'Tillförd energi'!$B$1:$AQ$1,0),FALSE)</f>
        <v>0</v>
      </c>
      <c r="AD367" s="121">
        <f>VLOOKUP($B367,'Tillförd energi'!$B$1:$AI$720,MATCH(AD$1,'Tillförd energi'!$B$1:$AQ$1,0),FALSE)</f>
        <v>0</v>
      </c>
      <c r="AE367" s="121">
        <f>VLOOKUP($B367,'Tillförd energi'!$B$1:$AI$720,MATCH(AE$1,'Tillförd energi'!$B$1:$AQ$1,0),FALSE)</f>
        <v>0</v>
      </c>
      <c r="AF367" s="121">
        <f>VLOOKUP($B367,'Tillförd energi'!$B$1:$AI$720,MATCH(AF$1,'Tillförd energi'!$B$1:$AQ$1,0),FALSE)</f>
        <v>0</v>
      </c>
      <c r="AG367" s="121">
        <f>IFERROR(VLOOKUP(B367,Miljö!$B$1:$AC$550,MATCH("Köpt mängd produktionsspecifik fjärrvärme:",Miljö!$B$1:$AC$1,0),FALSE)/1,0)</f>
        <v>0</v>
      </c>
      <c r="AH367" s="121"/>
      <c r="AI367" s="121">
        <f t="shared" si="132"/>
        <v>0</v>
      </c>
      <c r="AJ367" s="121">
        <f t="shared" si="133"/>
        <v>0</v>
      </c>
      <c r="AK367" s="121" t="str">
        <f>IF(ISERROR(1/VLOOKUP($B367,Leveranser!$B$1:$S$499,MATCH("såld värme (gwh)",Leveranser!$B$1:$S$1,0),FALSE)),"",VLOOKUP($B367,Leveranser!$B$1:$S$499,MATCH("såld värme (gwh)",Leveranser!$B$1:$S$1,0),FALSE))</f>
        <v/>
      </c>
      <c r="AL367" s="121">
        <f>VLOOKUP($B367,Leveranser!$B$1:$Y$499,MATCH("Totalt såld fjärrvärme till andra fjärrvärmeföretag",Leveranser!$B$1:$AA$1,0),FALSE)</f>
        <v>0</v>
      </c>
      <c r="AM367" s="121">
        <f>IF(ISERROR(1/VLOOKUP($B367,Miljö!$B$1:$S$500,MATCH("Såld mängd produktionsspecifik fjärrvärme (GWh)",Miljö!$B$1:$R$1,0),FALSE)),0,VLOOKUP($B367,Miljö!$B$1:$S$500,MATCH("Såld mängd produktionsspecifik fjärrvärme (GWh)",Miljö!$B$1:$R$1,0),FALSE))</f>
        <v>0</v>
      </c>
      <c r="AN367" s="172" t="str">
        <f t="shared" si="134"/>
        <v/>
      </c>
      <c r="AO367" s="121"/>
      <c r="AP367" s="121" t="str">
        <f>IFERROR(VLOOKUP($B367,Miljövärden!$B$2:$H$550,7,FALSE),"Nej, saknas")</f>
        <v>Nej</v>
      </c>
      <c r="AQ367" s="121" t="str">
        <f>IFERROR(VLOOKUP($B367,Miljövärden!$B$2:$H$550,6,FALSE),"Nej, saknas")</f>
        <v>Ja</v>
      </c>
      <c r="AU367">
        <f t="shared" si="135"/>
        <v>0</v>
      </c>
      <c r="AV367">
        <f t="shared" si="136"/>
        <v>0</v>
      </c>
      <c r="AW367">
        <f t="shared" si="137"/>
        <v>0</v>
      </c>
      <c r="AX367">
        <f t="shared" si="138"/>
        <v>0</v>
      </c>
      <c r="AZ367">
        <f t="shared" si="139"/>
        <v>0</v>
      </c>
      <c r="BC367">
        <f t="shared" si="140"/>
        <v>0</v>
      </c>
      <c r="BD367">
        <f t="shared" si="141"/>
        <v>0</v>
      </c>
      <c r="BE367">
        <f t="shared" si="142"/>
        <v>0</v>
      </c>
      <c r="BF367">
        <f t="shared" si="143"/>
        <v>0</v>
      </c>
      <c r="BG367">
        <f t="shared" si="144"/>
        <v>0</v>
      </c>
      <c r="BH367">
        <f>VLOOKUP(B367,Miljö!$B$1:$BX$482,MATCH("Fossilandel för ursprungspecificerad el ()",Miljö!$B$1:$I$1,0),FALSE)</f>
        <v>0.43</v>
      </c>
      <c r="BI367">
        <f>VLOOKUP(B367,Miljö!$B$1:$BX$482,MATCH("Kärnkraftsandel för ursprungsspecificerad el ()",Miljö!$B$1:$O$1,0),FALSE)</f>
        <v>0.40550000000000003</v>
      </c>
      <c r="BJ367">
        <f t="shared" si="145"/>
        <v>0</v>
      </c>
      <c r="BK367" t="str">
        <f>VLOOKUP(B367,Miljö!$B$1:$O$482,MATCH("Fossil andel i procent (%)",Miljö!$B$1:$O$1,0),FALSE)</f>
        <v>ET</v>
      </c>
      <c r="BL367">
        <f t="shared" si="146"/>
        <v>0</v>
      </c>
      <c r="BO367" s="18" t="str">
        <f t="shared" si="147"/>
        <v/>
      </c>
      <c r="BP367" s="18" t="str">
        <f t="shared" si="148"/>
        <v/>
      </c>
      <c r="BQ367" s="18" t="str">
        <f t="shared" si="149"/>
        <v/>
      </c>
      <c r="BR367" s="18" t="str">
        <f t="shared" si="150"/>
        <v/>
      </c>
      <c r="BT367" s="27">
        <f t="shared" si="151"/>
        <v>0</v>
      </c>
      <c r="BW367" s="18" t="str">
        <f>IF(AP367="ja",VLOOKUP(B367,Miljövärden!$B$2:$H$550,MATCH("Total andel fossilt",Miljövärden!$B$2:$H$2,0),FALSE),"")</f>
        <v/>
      </c>
      <c r="BZ367" s="28" t="str">
        <f t="shared" si="152"/>
        <v/>
      </c>
      <c r="CA367" s="28" t="str">
        <f t="shared" si="153"/>
        <v/>
      </c>
    </row>
    <row r="368" spans="1:79" x14ac:dyDescent="0.25">
      <c r="A368" s="224" t="s">
        <v>691</v>
      </c>
      <c r="B368" s="210" t="s">
        <v>692</v>
      </c>
      <c r="C368" s="121">
        <f>VLOOKUP($B368,'Tillförd energi'!$B$1:$AI$720,MATCH(C$1,'Tillförd energi'!$B$1:$AQ$1,0),FALSE)</f>
        <v>0</v>
      </c>
      <c r="D368" s="121">
        <f>VLOOKUP($B368,'Tillförd energi'!$B$1:$AI$720,MATCH(D$1,'Tillförd energi'!$B$1:$AQ$1,0),FALSE)</f>
        <v>0.14899999999999999</v>
      </c>
      <c r="E368" s="121">
        <f>VLOOKUP($B368,'Tillförd energi'!$B$1:$AI$720,MATCH(E$1,'Tillförd energi'!$B$1:$AQ$1,0),FALSE)</f>
        <v>0</v>
      </c>
      <c r="F368" s="121">
        <f>VLOOKUP($B368,'Tillförd energi'!$B$1:$AI$720,MATCH(F$1,'Tillförd energi'!$B$1:$AQ$1,0),FALSE)</f>
        <v>0</v>
      </c>
      <c r="G368" s="121">
        <f>VLOOKUP($B368,'Tillförd energi'!$B$1:$AI$720,MATCH(G$1,'Tillförd energi'!$B$1:$AQ$1,0),FALSE)</f>
        <v>0</v>
      </c>
      <c r="H368" s="121">
        <f>VLOOKUP($B368,'Tillförd energi'!$B$1:$AI$720,MATCH(H$1,'Tillförd energi'!$B$1:$AQ$1,0),FALSE)</f>
        <v>0</v>
      </c>
      <c r="I368" s="121">
        <f>VLOOKUP($B368,'Tillförd energi'!$B$1:$AI$720,MATCH(I$1,'Tillförd energi'!$B$1:$AQ$1,0),FALSE)</f>
        <v>0</v>
      </c>
      <c r="J368" s="121">
        <f>VLOOKUP($B368,'Tillförd energi'!$B$1:$AI$720,MATCH(J$1,'Tillförd energi'!$B$1:$AQ$1,0),FALSE)</f>
        <v>0</v>
      </c>
      <c r="K368" s="121">
        <f>VLOOKUP($B368,'Tillförd energi'!$B$1:$AI$720,MATCH(K$1,'Tillförd energi'!$B$1:$AQ$1,0),FALSE)</f>
        <v>0</v>
      </c>
      <c r="L368" s="121">
        <f>VLOOKUP($B368,'Tillförd energi'!$B$1:$AI$720,MATCH(L$1,'Tillförd energi'!$B$1:$AQ$1,0),FALSE)</f>
        <v>0</v>
      </c>
      <c r="M368" s="121">
        <f>VLOOKUP($B368,'Tillförd energi'!$B$1:$AI$720,MATCH(M$1,'Tillförd energi'!$B$1:$AQ$1,0),FALSE)</f>
        <v>0</v>
      </c>
      <c r="N368" s="121">
        <f>VLOOKUP($B368,'Tillförd energi'!$B$1:$AI$720,MATCH(N$1,'Tillförd energi'!$B$1:$AQ$1,0),FALSE)</f>
        <v>0</v>
      </c>
      <c r="O368" s="121">
        <f>VLOOKUP($B368,'Tillförd energi'!$B$1:$AI$720,MATCH(O$1,'Tillförd energi'!$B$1:$AQ$1,0),FALSE)</f>
        <v>0</v>
      </c>
      <c r="P368" s="121">
        <f>VLOOKUP($B368,'Tillförd energi'!$B$1:$AI$720,MATCH(P$1,'Tillförd energi'!$B$1:$AQ$1,0),FALSE)</f>
        <v>0</v>
      </c>
      <c r="Q368" s="121">
        <f>VLOOKUP($B368,'Tillförd energi'!$B$1:$AI$720,MATCH(Q$1,'Tillförd energi'!$B$1:$AQ$1,0),FALSE)</f>
        <v>0</v>
      </c>
      <c r="R368" s="121">
        <f>VLOOKUP($B368,'Tillförd energi'!$B$1:$AI$720,MATCH(R$1,'Tillförd energi'!$B$1:$AQ$1,0),FALSE)</f>
        <v>0.52400000000000002</v>
      </c>
      <c r="S368" s="121">
        <f>VLOOKUP($B368,'Tillförd energi'!$B$1:$AI$720,MATCH(S$1,'Tillförd energi'!$B$1:$AQ$1,0),FALSE)</f>
        <v>0</v>
      </c>
      <c r="T368" s="121">
        <f>VLOOKUP($B368,'Tillförd energi'!$B$1:$AI$720,MATCH(T$1,'Tillförd energi'!$B$1:$AQ$1,0),FALSE)</f>
        <v>0</v>
      </c>
      <c r="U368" s="121">
        <f>VLOOKUP($B368,'Tillförd energi'!$B$1:$AI$720,MATCH(U$1,'Tillförd energi'!$B$1:$AQ$1,0),FALSE)</f>
        <v>0</v>
      </c>
      <c r="V368" s="121">
        <f>VLOOKUP($B368,'Tillförd energi'!$B$1:$AI$720,MATCH(V$1,'Tillförd energi'!$B$1:$AQ$1,0),FALSE)</f>
        <v>0</v>
      </c>
      <c r="W368" s="121">
        <f>VLOOKUP($B368,'Tillförd energi'!$B$1:$AI$720,MATCH(W$1,'Tillförd energi'!$B$1:$AQ$1,0),FALSE)</f>
        <v>0</v>
      </c>
      <c r="X368" s="121">
        <f>VLOOKUP($B368,'Tillförd energi'!$B$1:$AI$720,MATCH(X$1,'Tillförd energi'!$B$1:$AQ$1,0),FALSE)</f>
        <v>0</v>
      </c>
      <c r="Y368" s="121">
        <f>VLOOKUP($B368,'Tillförd energi'!$B$1:$AI$720,MATCH(Y$1,'Tillförd energi'!$B$1:$AQ$1,0),FALSE)</f>
        <v>0</v>
      </c>
      <c r="Z368" s="121">
        <f>VLOOKUP($B368,'Tillförd energi'!$B$1:$AI$720,MATCH(Z$1,'Tillförd energi'!$B$1:$AQ$1,0),FALSE)</f>
        <v>0</v>
      </c>
      <c r="AA368" s="121">
        <f>VLOOKUP($B368,'Tillförd energi'!$B$1:$AI$720,MATCH(AA$1,'Tillförd energi'!$B$1:$AQ$1,0),FALSE)</f>
        <v>0</v>
      </c>
      <c r="AB368" s="121">
        <f>VLOOKUP($B368,'Tillförd energi'!$B$1:$AI$720,MATCH(AB$1,'Tillförd energi'!$B$1:$AQ$1,0),FALSE)</f>
        <v>0</v>
      </c>
      <c r="AC368" s="121">
        <f>VLOOKUP($B368,'Tillförd energi'!$B$1:$AI$720,MATCH(AC$1,'Tillförd energi'!$B$1:$AQ$1,0),FALSE)</f>
        <v>0</v>
      </c>
      <c r="AD368" s="121">
        <f>VLOOKUP($B368,'Tillförd energi'!$B$1:$AI$720,MATCH(AD$1,'Tillförd energi'!$B$1:$AQ$1,0),FALSE)</f>
        <v>0</v>
      </c>
      <c r="AE368" s="121">
        <f>VLOOKUP($B368,'Tillförd energi'!$B$1:$AI$720,MATCH(AE$1,'Tillförd energi'!$B$1:$AQ$1,0),FALSE)</f>
        <v>0</v>
      </c>
      <c r="AF368" s="121">
        <f>VLOOKUP($B368,'Tillförd energi'!$B$1:$AI$720,MATCH(AF$1,'Tillförd energi'!$B$1:$AQ$1,0),FALSE)</f>
        <v>1.4460000000000001E-2</v>
      </c>
      <c r="AG368" s="121">
        <f>IFERROR(VLOOKUP(B368,Miljö!$B$1:$AC$550,MATCH("Köpt mängd produktionsspecifik fjärrvärme:",Miljö!$B$1:$AC$1,0),FALSE)/1,0)</f>
        <v>0</v>
      </c>
      <c r="AH368" s="121"/>
      <c r="AI368" s="121">
        <f t="shared" si="132"/>
        <v>0.68746000000000007</v>
      </c>
      <c r="AJ368" s="121">
        <f t="shared" si="133"/>
        <v>0.68746000000000007</v>
      </c>
      <c r="AK368" s="121">
        <f>IF(ISERROR(1/VLOOKUP($B368,Leveranser!$B$1:$S$499,MATCH("såld värme (gwh)",Leveranser!$B$1:$S$1,0),FALSE)),"",VLOOKUP($B368,Leveranser!$B$1:$S$499,MATCH("såld värme (gwh)",Leveranser!$B$1:$S$1,0),FALSE))</f>
        <v>0.48199999999999998</v>
      </c>
      <c r="AL368" s="121">
        <f>VLOOKUP($B368,Leveranser!$B$1:$Y$499,MATCH("Totalt såld fjärrvärme till andra fjärrvärmeföretag",Leveranser!$B$1:$AA$1,0),FALSE)</f>
        <v>0</v>
      </c>
      <c r="AM368" s="121">
        <f>IF(ISERROR(1/VLOOKUP($B368,Miljö!$B$1:$S$500,MATCH("Såld mängd produktionsspecifik fjärrvärme (GWh)",Miljö!$B$1:$R$1,0),FALSE)),0,VLOOKUP($B368,Miljö!$B$1:$S$500,MATCH("Såld mängd produktionsspecifik fjärrvärme (GWh)",Miljö!$B$1:$R$1,0),FALSE))</f>
        <v>0</v>
      </c>
      <c r="AN368" s="172">
        <f t="shared" si="134"/>
        <v>0.70113170220812837</v>
      </c>
      <c r="AO368" s="121"/>
      <c r="AP368" s="121" t="str">
        <f>IFERROR(VLOOKUP($B368,Miljövärden!$B$2:$H$550,7,FALSE),"Nej, saknas")</f>
        <v>Ja</v>
      </c>
      <c r="AQ368" s="121" t="str">
        <f>IFERROR(VLOOKUP($B368,Miljövärden!$B$2:$H$550,6,FALSE),"Nej, saknas")</f>
        <v>Ja</v>
      </c>
      <c r="AU368">
        <f t="shared" si="135"/>
        <v>1.4460000000000001E-2</v>
      </c>
      <c r="AV368">
        <f t="shared" si="136"/>
        <v>0</v>
      </c>
      <c r="AW368">
        <f t="shared" si="137"/>
        <v>0</v>
      </c>
      <c r="AX368">
        <f t="shared" si="138"/>
        <v>0.52400000000000002</v>
      </c>
      <c r="AZ368">
        <f t="shared" si="139"/>
        <v>0.52400000000000002</v>
      </c>
      <c r="BC368">
        <f t="shared" si="140"/>
        <v>0.14899999999999999</v>
      </c>
      <c r="BD368">
        <f t="shared" si="141"/>
        <v>0</v>
      </c>
      <c r="BE368">
        <f t="shared" si="142"/>
        <v>0.52400000000000002</v>
      </c>
      <c r="BF368">
        <f t="shared" si="143"/>
        <v>0</v>
      </c>
      <c r="BG368">
        <f t="shared" si="144"/>
        <v>1.4460000000000001E-2</v>
      </c>
      <c r="BH368">
        <f>VLOOKUP(B368,Miljö!$B$1:$BX$482,MATCH("Fossilandel för ursprungspecificerad el ()",Miljö!$B$1:$I$1,0),FALSE)</f>
        <v>0</v>
      </c>
      <c r="BI368">
        <f>VLOOKUP(B368,Miljö!$B$1:$BX$482,MATCH("Kärnkraftsandel för ursprungsspecificerad el ()",Miljö!$B$1:$O$1,0),FALSE)</f>
        <v>0</v>
      </c>
      <c r="BJ368">
        <f t="shared" si="145"/>
        <v>0</v>
      </c>
      <c r="BK368" t="str">
        <f>VLOOKUP(B368,Miljö!$B$1:$O$482,MATCH("Fossil andel i procent (%)",Miljö!$B$1:$O$1,0),FALSE)</f>
        <v>ET</v>
      </c>
      <c r="BL368">
        <f t="shared" si="146"/>
        <v>0.68746000000000007</v>
      </c>
      <c r="BO368" s="18">
        <f t="shared" si="147"/>
        <v>0.21673988304774092</v>
      </c>
      <c r="BP368" s="18">
        <f t="shared" si="148"/>
        <v>0</v>
      </c>
      <c r="BQ368" s="18">
        <f t="shared" si="149"/>
        <v>0.78326011695225906</v>
      </c>
      <c r="BR368" s="18">
        <f t="shared" si="150"/>
        <v>0</v>
      </c>
      <c r="BT368" s="27">
        <f t="shared" si="151"/>
        <v>1</v>
      </c>
      <c r="BW368" s="18">
        <f>IF(AP368="ja",VLOOKUP(B368,Miljövärden!$B$2:$H$550,MATCH("Total andel fossilt",Miljövärden!$B$2:$H$2,0),FALSE),"")</f>
        <v>0.21673999999999999</v>
      </c>
      <c r="BZ368" s="28">
        <f t="shared" si="152"/>
        <v>1.1695225907160101E-7</v>
      </c>
      <c r="CA368" s="28">
        <f t="shared" si="153"/>
        <v>0</v>
      </c>
    </row>
    <row r="369" spans="1:79" x14ac:dyDescent="0.25">
      <c r="A369" s="224" t="s">
        <v>691</v>
      </c>
      <c r="B369" s="210" t="s">
        <v>693</v>
      </c>
      <c r="C369" s="121">
        <f>VLOOKUP($B369,'Tillförd energi'!$B$1:$AI$720,MATCH(C$1,'Tillförd energi'!$B$1:$AQ$1,0),FALSE)</f>
        <v>0</v>
      </c>
      <c r="D369" s="121">
        <f>VLOOKUP($B369,'Tillförd energi'!$B$1:$AI$720,MATCH(D$1,'Tillförd energi'!$B$1:$AQ$1,0),FALSE)</f>
        <v>0</v>
      </c>
      <c r="E369" s="121">
        <f>VLOOKUP($B369,'Tillförd energi'!$B$1:$AI$720,MATCH(E$1,'Tillförd energi'!$B$1:$AQ$1,0),FALSE)</f>
        <v>0</v>
      </c>
      <c r="F369" s="121">
        <f>VLOOKUP($B369,'Tillförd energi'!$B$1:$AI$720,MATCH(F$1,'Tillförd energi'!$B$1:$AQ$1,0),FALSE)</f>
        <v>0</v>
      </c>
      <c r="G369" s="121">
        <f>VLOOKUP($B369,'Tillförd energi'!$B$1:$AI$720,MATCH(G$1,'Tillförd energi'!$B$1:$AQ$1,0),FALSE)</f>
        <v>0</v>
      </c>
      <c r="H369" s="121">
        <f>VLOOKUP($B369,'Tillförd energi'!$B$1:$AI$720,MATCH(H$1,'Tillförd energi'!$B$1:$AQ$1,0),FALSE)</f>
        <v>0</v>
      </c>
      <c r="I369" s="121">
        <f>VLOOKUP($B369,'Tillförd energi'!$B$1:$AI$720,MATCH(I$1,'Tillförd energi'!$B$1:$AQ$1,0),FALSE)</f>
        <v>0</v>
      </c>
      <c r="J369" s="121">
        <f>VLOOKUP($B369,'Tillförd energi'!$B$1:$AI$720,MATCH(J$1,'Tillförd energi'!$B$1:$AQ$1,0),FALSE)</f>
        <v>0</v>
      </c>
      <c r="K369" s="121">
        <f>VLOOKUP($B369,'Tillförd energi'!$B$1:$AI$720,MATCH(K$1,'Tillförd energi'!$B$1:$AQ$1,0),FALSE)</f>
        <v>0</v>
      </c>
      <c r="L369" s="121">
        <f>VLOOKUP($B369,'Tillförd energi'!$B$1:$AI$720,MATCH(L$1,'Tillförd energi'!$B$1:$AQ$1,0),FALSE)</f>
        <v>0</v>
      </c>
      <c r="M369" s="121">
        <f>VLOOKUP($B369,'Tillförd energi'!$B$1:$AI$720,MATCH(M$1,'Tillförd energi'!$B$1:$AQ$1,0),FALSE)</f>
        <v>0</v>
      </c>
      <c r="N369" s="121">
        <f>VLOOKUP($B369,'Tillförd energi'!$B$1:$AI$720,MATCH(N$1,'Tillförd energi'!$B$1:$AQ$1,0),FALSE)</f>
        <v>0</v>
      </c>
      <c r="O369" s="121">
        <f>VLOOKUP($B369,'Tillförd energi'!$B$1:$AI$720,MATCH(O$1,'Tillförd energi'!$B$1:$AQ$1,0),FALSE)</f>
        <v>0</v>
      </c>
      <c r="P369" s="121">
        <f>VLOOKUP($B369,'Tillförd energi'!$B$1:$AI$720,MATCH(P$1,'Tillförd energi'!$B$1:$AQ$1,0),FALSE)</f>
        <v>0</v>
      </c>
      <c r="Q369" s="121">
        <f>VLOOKUP($B369,'Tillförd energi'!$B$1:$AI$720,MATCH(Q$1,'Tillförd energi'!$B$1:$AQ$1,0),FALSE)</f>
        <v>0</v>
      </c>
      <c r="R369" s="121">
        <f>VLOOKUP($B369,'Tillförd energi'!$B$1:$AI$720,MATCH(R$1,'Tillförd energi'!$B$1:$AQ$1,0),FALSE)</f>
        <v>0</v>
      </c>
      <c r="S369" s="121">
        <f>VLOOKUP($B369,'Tillförd energi'!$B$1:$AI$720,MATCH(S$1,'Tillförd energi'!$B$1:$AQ$1,0),FALSE)</f>
        <v>0</v>
      </c>
      <c r="T369" s="121">
        <f>VLOOKUP($B369,'Tillförd energi'!$B$1:$AI$720,MATCH(T$1,'Tillförd energi'!$B$1:$AQ$1,0),FALSE)</f>
        <v>0</v>
      </c>
      <c r="U369" s="121">
        <f>VLOOKUP($B369,'Tillförd energi'!$B$1:$AI$720,MATCH(U$1,'Tillförd energi'!$B$1:$AQ$1,0),FALSE)</f>
        <v>0</v>
      </c>
      <c r="V369" s="121">
        <f>VLOOKUP($B369,'Tillförd energi'!$B$1:$AI$720,MATCH(V$1,'Tillförd energi'!$B$1:$AQ$1,0),FALSE)</f>
        <v>0</v>
      </c>
      <c r="W369" s="121">
        <f>VLOOKUP($B369,'Tillförd energi'!$B$1:$AI$720,MATCH(W$1,'Tillförd energi'!$B$1:$AQ$1,0),FALSE)</f>
        <v>0</v>
      </c>
      <c r="X369" s="121">
        <f>VLOOKUP($B369,'Tillförd energi'!$B$1:$AI$720,MATCH(X$1,'Tillförd energi'!$B$1:$AQ$1,0),FALSE)</f>
        <v>0</v>
      </c>
      <c r="Y369" s="121">
        <f>VLOOKUP($B369,'Tillförd energi'!$B$1:$AI$720,MATCH(Y$1,'Tillförd energi'!$B$1:$AQ$1,0),FALSE)</f>
        <v>0</v>
      </c>
      <c r="Z369" s="121">
        <f>VLOOKUP($B369,'Tillförd energi'!$B$1:$AI$720,MATCH(Z$1,'Tillförd energi'!$B$1:$AQ$1,0),FALSE)</f>
        <v>0</v>
      </c>
      <c r="AA369" s="121">
        <f>VLOOKUP($B369,'Tillförd energi'!$B$1:$AI$720,MATCH(AA$1,'Tillförd energi'!$B$1:$AQ$1,0),FALSE)</f>
        <v>0</v>
      </c>
      <c r="AB369" s="121">
        <f>VLOOKUP($B369,'Tillförd energi'!$B$1:$AI$720,MATCH(AB$1,'Tillförd energi'!$B$1:$AQ$1,0),FALSE)</f>
        <v>0</v>
      </c>
      <c r="AC369" s="121">
        <f>VLOOKUP($B369,'Tillförd energi'!$B$1:$AI$720,MATCH(AC$1,'Tillförd energi'!$B$1:$AQ$1,0),FALSE)</f>
        <v>0</v>
      </c>
      <c r="AD369" s="121">
        <f>VLOOKUP($B369,'Tillförd energi'!$B$1:$AI$720,MATCH(AD$1,'Tillförd energi'!$B$1:$AQ$1,0),FALSE)</f>
        <v>0</v>
      </c>
      <c r="AE369" s="121">
        <f>VLOOKUP($B369,'Tillförd energi'!$B$1:$AI$720,MATCH(AE$1,'Tillförd energi'!$B$1:$AQ$1,0),FALSE)</f>
        <v>0</v>
      </c>
      <c r="AF369" s="121">
        <f>VLOOKUP($B369,'Tillförd energi'!$B$1:$AI$720,MATCH(AF$1,'Tillförd energi'!$B$1:$AQ$1,0),FALSE)</f>
        <v>0</v>
      </c>
      <c r="AG369" s="121">
        <f>IFERROR(VLOOKUP(B369,Miljö!$B$1:$AC$550,MATCH("Köpt mängd produktionsspecifik fjärrvärme:",Miljö!$B$1:$AC$1,0),FALSE)/1,0)</f>
        <v>0</v>
      </c>
      <c r="AH369" s="121"/>
      <c r="AI369" s="121">
        <f t="shared" si="132"/>
        <v>0</v>
      </c>
      <c r="AJ369" s="121">
        <f t="shared" si="133"/>
        <v>0</v>
      </c>
      <c r="AK369" s="121" t="str">
        <f>IF(ISERROR(1/VLOOKUP($B369,Leveranser!$B$1:$S$499,MATCH("såld värme (gwh)",Leveranser!$B$1:$S$1,0),FALSE)),"",VLOOKUP($B369,Leveranser!$B$1:$S$499,MATCH("såld värme (gwh)",Leveranser!$B$1:$S$1,0),FALSE))</f>
        <v/>
      </c>
      <c r="AL369" s="121">
        <f>VLOOKUP($B369,Leveranser!$B$1:$Y$499,MATCH("Totalt såld fjärrvärme till andra fjärrvärmeföretag",Leveranser!$B$1:$AA$1,0),FALSE)</f>
        <v>0</v>
      </c>
      <c r="AM369" s="121">
        <f>IF(ISERROR(1/VLOOKUP($B369,Miljö!$B$1:$S$500,MATCH("Såld mängd produktionsspecifik fjärrvärme (GWh)",Miljö!$B$1:$R$1,0),FALSE)),0,VLOOKUP($B369,Miljö!$B$1:$S$500,MATCH("Såld mängd produktionsspecifik fjärrvärme (GWh)",Miljö!$B$1:$R$1,0),FALSE))</f>
        <v>0</v>
      </c>
      <c r="AN369" s="172" t="str">
        <f t="shared" si="134"/>
        <v/>
      </c>
      <c r="AO369" s="121"/>
      <c r="AP369" s="121" t="str">
        <f>IFERROR(VLOOKUP($B369,Miljövärden!$B$2:$H$550,7,FALSE),"Nej, saknas")</f>
        <v>Nej</v>
      </c>
      <c r="AQ369" s="121" t="str">
        <f>IFERROR(VLOOKUP($B369,Miljövärden!$B$2:$H$550,6,FALSE),"Nej, saknas")</f>
        <v>Ja</v>
      </c>
      <c r="AU369">
        <f t="shared" si="135"/>
        <v>0</v>
      </c>
      <c r="AV369">
        <f t="shared" si="136"/>
        <v>0</v>
      </c>
      <c r="AW369">
        <f t="shared" si="137"/>
        <v>0</v>
      </c>
      <c r="AX369">
        <f t="shared" si="138"/>
        <v>0</v>
      </c>
      <c r="AZ369">
        <f t="shared" si="139"/>
        <v>0</v>
      </c>
      <c r="BC369">
        <f t="shared" si="140"/>
        <v>0</v>
      </c>
      <c r="BD369">
        <f t="shared" si="141"/>
        <v>0</v>
      </c>
      <c r="BE369">
        <f t="shared" si="142"/>
        <v>0</v>
      </c>
      <c r="BF369">
        <f t="shared" si="143"/>
        <v>0</v>
      </c>
      <c r="BG369">
        <f t="shared" si="144"/>
        <v>0</v>
      </c>
      <c r="BH369">
        <f>VLOOKUP(B369,Miljö!$B$1:$BX$482,MATCH("Fossilandel för ursprungspecificerad el ()",Miljö!$B$1:$I$1,0),FALSE)</f>
        <v>0.43</v>
      </c>
      <c r="BI369">
        <f>VLOOKUP(B369,Miljö!$B$1:$BX$482,MATCH("Kärnkraftsandel för ursprungsspecificerad el ()",Miljö!$B$1:$O$1,0),FALSE)</f>
        <v>0.40550000000000003</v>
      </c>
      <c r="BJ369">
        <f t="shared" si="145"/>
        <v>0</v>
      </c>
      <c r="BK369" t="str">
        <f>VLOOKUP(B369,Miljö!$B$1:$O$482,MATCH("Fossil andel i procent (%)",Miljö!$B$1:$O$1,0),FALSE)</f>
        <v>ET</v>
      </c>
      <c r="BL369">
        <f t="shared" si="146"/>
        <v>0</v>
      </c>
      <c r="BO369" s="18" t="str">
        <f t="shared" si="147"/>
        <v/>
      </c>
      <c r="BP369" s="18" t="str">
        <f t="shared" si="148"/>
        <v/>
      </c>
      <c r="BQ369" s="18" t="str">
        <f t="shared" si="149"/>
        <v/>
      </c>
      <c r="BR369" s="18" t="str">
        <f t="shared" si="150"/>
        <v/>
      </c>
      <c r="BT369" s="27">
        <f t="shared" si="151"/>
        <v>0</v>
      </c>
      <c r="BW369" s="18" t="str">
        <f>IF(AP369="ja",VLOOKUP(B369,Miljövärden!$B$2:$H$550,MATCH("Total andel fossilt",Miljövärden!$B$2:$H$2,0),FALSE),"")</f>
        <v/>
      </c>
      <c r="BZ369" s="28" t="str">
        <f t="shared" si="152"/>
        <v/>
      </c>
      <c r="CA369" s="28" t="str">
        <f t="shared" si="153"/>
        <v/>
      </c>
    </row>
    <row r="370" spans="1:79" x14ac:dyDescent="0.25">
      <c r="A370" s="224" t="s">
        <v>691</v>
      </c>
      <c r="B370" s="210" t="s">
        <v>694</v>
      </c>
      <c r="C370" s="121">
        <f>VLOOKUP($B370,'Tillförd energi'!$B$1:$AI$720,MATCH(C$1,'Tillförd energi'!$B$1:$AQ$1,0),FALSE)</f>
        <v>0</v>
      </c>
      <c r="D370" s="121">
        <f>VLOOKUP($B370,'Tillförd energi'!$B$1:$AI$720,MATCH(D$1,'Tillförd energi'!$B$1:$AQ$1,0),FALSE)</f>
        <v>0</v>
      </c>
      <c r="E370" s="121">
        <f>VLOOKUP($B370,'Tillförd energi'!$B$1:$AI$720,MATCH(E$1,'Tillförd energi'!$B$1:$AQ$1,0),FALSE)</f>
        <v>0</v>
      </c>
      <c r="F370" s="121">
        <f>VLOOKUP($B370,'Tillförd energi'!$B$1:$AI$720,MATCH(F$1,'Tillförd energi'!$B$1:$AQ$1,0),FALSE)</f>
        <v>0</v>
      </c>
      <c r="G370" s="121">
        <f>VLOOKUP($B370,'Tillförd energi'!$B$1:$AI$720,MATCH(G$1,'Tillförd energi'!$B$1:$AQ$1,0),FALSE)</f>
        <v>0</v>
      </c>
      <c r="H370" s="121">
        <f>VLOOKUP($B370,'Tillförd energi'!$B$1:$AI$720,MATCH(H$1,'Tillförd energi'!$B$1:$AQ$1,0),FALSE)</f>
        <v>0</v>
      </c>
      <c r="I370" s="121">
        <f>VLOOKUP($B370,'Tillförd energi'!$B$1:$AI$720,MATCH(I$1,'Tillförd energi'!$B$1:$AQ$1,0),FALSE)</f>
        <v>0</v>
      </c>
      <c r="J370" s="121">
        <f>VLOOKUP($B370,'Tillförd energi'!$B$1:$AI$720,MATCH(J$1,'Tillförd energi'!$B$1:$AQ$1,0),FALSE)</f>
        <v>0</v>
      </c>
      <c r="K370" s="121">
        <f>VLOOKUP($B370,'Tillförd energi'!$B$1:$AI$720,MATCH(K$1,'Tillförd energi'!$B$1:$AQ$1,0),FALSE)</f>
        <v>0</v>
      </c>
      <c r="L370" s="121">
        <f>VLOOKUP($B370,'Tillförd energi'!$B$1:$AI$720,MATCH(L$1,'Tillförd energi'!$B$1:$AQ$1,0),FALSE)</f>
        <v>0</v>
      </c>
      <c r="M370" s="121">
        <f>VLOOKUP($B370,'Tillförd energi'!$B$1:$AI$720,MATCH(M$1,'Tillförd energi'!$B$1:$AQ$1,0),FALSE)</f>
        <v>0</v>
      </c>
      <c r="N370" s="121">
        <f>VLOOKUP($B370,'Tillförd energi'!$B$1:$AI$720,MATCH(N$1,'Tillförd energi'!$B$1:$AQ$1,0),FALSE)</f>
        <v>0</v>
      </c>
      <c r="O370" s="121">
        <f>VLOOKUP($B370,'Tillförd energi'!$B$1:$AI$720,MATCH(O$1,'Tillförd energi'!$B$1:$AQ$1,0),FALSE)</f>
        <v>0</v>
      </c>
      <c r="P370" s="121">
        <f>VLOOKUP($B370,'Tillförd energi'!$B$1:$AI$720,MATCH(P$1,'Tillförd energi'!$B$1:$AQ$1,0),FALSE)</f>
        <v>0</v>
      </c>
      <c r="Q370" s="121">
        <f>VLOOKUP($B370,'Tillförd energi'!$B$1:$AI$720,MATCH(Q$1,'Tillförd energi'!$B$1:$AQ$1,0),FALSE)</f>
        <v>0</v>
      </c>
      <c r="R370" s="121">
        <f>VLOOKUP($B370,'Tillförd energi'!$B$1:$AI$720,MATCH(R$1,'Tillförd energi'!$B$1:$AQ$1,0),FALSE)</f>
        <v>0</v>
      </c>
      <c r="S370" s="121">
        <f>VLOOKUP($B370,'Tillförd energi'!$B$1:$AI$720,MATCH(S$1,'Tillförd energi'!$B$1:$AQ$1,0),FALSE)</f>
        <v>0</v>
      </c>
      <c r="T370" s="121">
        <f>VLOOKUP($B370,'Tillförd energi'!$B$1:$AI$720,MATCH(T$1,'Tillförd energi'!$B$1:$AQ$1,0),FALSE)</f>
        <v>0</v>
      </c>
      <c r="U370" s="121">
        <f>VLOOKUP($B370,'Tillförd energi'!$B$1:$AI$720,MATCH(U$1,'Tillförd energi'!$B$1:$AQ$1,0),FALSE)</f>
        <v>0</v>
      </c>
      <c r="V370" s="121">
        <f>VLOOKUP($B370,'Tillförd energi'!$B$1:$AI$720,MATCH(V$1,'Tillförd energi'!$B$1:$AQ$1,0),FALSE)</f>
        <v>0</v>
      </c>
      <c r="W370" s="121">
        <f>VLOOKUP($B370,'Tillförd energi'!$B$1:$AI$720,MATCH(W$1,'Tillförd energi'!$B$1:$AQ$1,0),FALSE)</f>
        <v>0</v>
      </c>
      <c r="X370" s="121">
        <f>VLOOKUP($B370,'Tillförd energi'!$B$1:$AI$720,MATCH(X$1,'Tillförd energi'!$B$1:$AQ$1,0),FALSE)</f>
        <v>0</v>
      </c>
      <c r="Y370" s="121">
        <f>VLOOKUP($B370,'Tillförd energi'!$B$1:$AI$720,MATCH(Y$1,'Tillförd energi'!$B$1:$AQ$1,0),FALSE)</f>
        <v>0</v>
      </c>
      <c r="Z370" s="121">
        <f>VLOOKUP($B370,'Tillförd energi'!$B$1:$AI$720,MATCH(Z$1,'Tillförd energi'!$B$1:$AQ$1,0),FALSE)</f>
        <v>0</v>
      </c>
      <c r="AA370" s="121">
        <f>VLOOKUP($B370,'Tillförd energi'!$B$1:$AI$720,MATCH(AA$1,'Tillförd energi'!$B$1:$AQ$1,0),FALSE)</f>
        <v>0</v>
      </c>
      <c r="AB370" s="121">
        <f>VLOOKUP($B370,'Tillförd energi'!$B$1:$AI$720,MATCH(AB$1,'Tillförd energi'!$B$1:$AQ$1,0),FALSE)</f>
        <v>0</v>
      </c>
      <c r="AC370" s="121">
        <f>VLOOKUP($B370,'Tillförd energi'!$B$1:$AI$720,MATCH(AC$1,'Tillförd energi'!$B$1:$AQ$1,0),FALSE)</f>
        <v>0</v>
      </c>
      <c r="AD370" s="121">
        <f>VLOOKUP($B370,'Tillförd energi'!$B$1:$AI$720,MATCH(AD$1,'Tillförd energi'!$B$1:$AQ$1,0),FALSE)</f>
        <v>0</v>
      </c>
      <c r="AE370" s="121">
        <f>VLOOKUP($B370,'Tillförd energi'!$B$1:$AI$720,MATCH(AE$1,'Tillförd energi'!$B$1:$AQ$1,0),FALSE)</f>
        <v>0</v>
      </c>
      <c r="AF370" s="121">
        <f>VLOOKUP($B370,'Tillförd energi'!$B$1:$AI$720,MATCH(AF$1,'Tillförd energi'!$B$1:$AQ$1,0),FALSE)</f>
        <v>0</v>
      </c>
      <c r="AG370" s="121">
        <f>IFERROR(VLOOKUP(B370,Miljö!$B$1:$AC$550,MATCH("Köpt mängd produktionsspecifik fjärrvärme:",Miljö!$B$1:$AC$1,0),FALSE)/1,0)</f>
        <v>0</v>
      </c>
      <c r="AH370" s="121"/>
      <c r="AI370" s="121">
        <f t="shared" si="132"/>
        <v>0</v>
      </c>
      <c r="AJ370" s="121">
        <f t="shared" si="133"/>
        <v>0</v>
      </c>
      <c r="AK370" s="121" t="str">
        <f>IF(ISERROR(1/VLOOKUP($B370,Leveranser!$B$1:$S$499,MATCH("såld värme (gwh)",Leveranser!$B$1:$S$1,0),FALSE)),"",VLOOKUP($B370,Leveranser!$B$1:$S$499,MATCH("såld värme (gwh)",Leveranser!$B$1:$S$1,0),FALSE))</f>
        <v/>
      </c>
      <c r="AL370" s="121">
        <f>VLOOKUP($B370,Leveranser!$B$1:$Y$499,MATCH("Totalt såld fjärrvärme till andra fjärrvärmeföretag",Leveranser!$B$1:$AA$1,0),FALSE)</f>
        <v>0</v>
      </c>
      <c r="AM370" s="121">
        <f>IF(ISERROR(1/VLOOKUP($B370,Miljö!$B$1:$S$500,MATCH("Såld mängd produktionsspecifik fjärrvärme (GWh)",Miljö!$B$1:$R$1,0),FALSE)),0,VLOOKUP($B370,Miljö!$B$1:$S$500,MATCH("Såld mängd produktionsspecifik fjärrvärme (GWh)",Miljö!$B$1:$R$1,0),FALSE))</f>
        <v>0</v>
      </c>
      <c r="AN370" s="172" t="str">
        <f t="shared" si="134"/>
        <v/>
      </c>
      <c r="AO370" s="121"/>
      <c r="AP370" s="121" t="str">
        <f>IFERROR(VLOOKUP($B370,Miljövärden!$B$2:$H$550,7,FALSE),"Nej, saknas")</f>
        <v>Nej</v>
      </c>
      <c r="AQ370" s="121" t="str">
        <f>IFERROR(VLOOKUP($B370,Miljövärden!$B$2:$H$550,6,FALSE),"Nej, saknas")</f>
        <v>Ja</v>
      </c>
      <c r="AU370">
        <f t="shared" si="135"/>
        <v>0</v>
      </c>
      <c r="AV370">
        <f t="shared" si="136"/>
        <v>0</v>
      </c>
      <c r="AW370">
        <f t="shared" si="137"/>
        <v>0</v>
      </c>
      <c r="AX370">
        <f t="shared" si="138"/>
        <v>0</v>
      </c>
      <c r="AZ370">
        <f t="shared" si="139"/>
        <v>0</v>
      </c>
      <c r="BC370">
        <f t="shared" si="140"/>
        <v>0</v>
      </c>
      <c r="BD370">
        <f t="shared" si="141"/>
        <v>0</v>
      </c>
      <c r="BE370">
        <f t="shared" si="142"/>
        <v>0</v>
      </c>
      <c r="BF370">
        <f t="shared" si="143"/>
        <v>0</v>
      </c>
      <c r="BG370">
        <f t="shared" si="144"/>
        <v>0</v>
      </c>
      <c r="BH370">
        <f>VLOOKUP(B370,Miljö!$B$1:$BX$482,MATCH("Fossilandel för ursprungspecificerad el ()",Miljö!$B$1:$I$1,0),FALSE)</f>
        <v>0.43</v>
      </c>
      <c r="BI370">
        <f>VLOOKUP(B370,Miljö!$B$1:$BX$482,MATCH("Kärnkraftsandel för ursprungsspecificerad el ()",Miljö!$B$1:$O$1,0),FALSE)</f>
        <v>0.40550000000000003</v>
      </c>
      <c r="BJ370">
        <f t="shared" si="145"/>
        <v>0</v>
      </c>
      <c r="BK370" t="str">
        <f>VLOOKUP(B370,Miljö!$B$1:$O$482,MATCH("Fossil andel i procent (%)",Miljö!$B$1:$O$1,0),FALSE)</f>
        <v>ET</v>
      </c>
      <c r="BL370">
        <f t="shared" si="146"/>
        <v>0</v>
      </c>
      <c r="BO370" s="18" t="str">
        <f t="shared" si="147"/>
        <v/>
      </c>
      <c r="BP370" s="18" t="str">
        <f t="shared" si="148"/>
        <v/>
      </c>
      <c r="BQ370" s="18" t="str">
        <f t="shared" si="149"/>
        <v/>
      </c>
      <c r="BR370" s="18" t="str">
        <f t="shared" si="150"/>
        <v/>
      </c>
      <c r="BT370" s="27">
        <f t="shared" si="151"/>
        <v>0</v>
      </c>
      <c r="BW370" s="18" t="str">
        <f>IF(AP370="ja",VLOOKUP(B370,Miljövärden!$B$2:$H$550,MATCH("Total andel fossilt",Miljövärden!$B$2:$H$2,0),FALSE),"")</f>
        <v/>
      </c>
      <c r="BZ370" s="28" t="str">
        <f t="shared" si="152"/>
        <v/>
      </c>
      <c r="CA370" s="28" t="str">
        <f t="shared" si="153"/>
        <v/>
      </c>
    </row>
    <row r="371" spans="1:79" x14ac:dyDescent="0.25">
      <c r="A371" s="224" t="s">
        <v>691</v>
      </c>
      <c r="B371" s="210" t="s">
        <v>695</v>
      </c>
      <c r="C371" s="121">
        <f>VLOOKUP($B371,'Tillförd energi'!$B$1:$AI$720,MATCH(C$1,'Tillförd energi'!$B$1:$AQ$1,0),FALSE)</f>
        <v>0</v>
      </c>
      <c r="D371" s="121">
        <f>VLOOKUP($B371,'Tillförd energi'!$B$1:$AI$720,MATCH(D$1,'Tillförd energi'!$B$1:$AQ$1,0),FALSE)</f>
        <v>0</v>
      </c>
      <c r="E371" s="121">
        <f>VLOOKUP($B371,'Tillförd energi'!$B$1:$AI$720,MATCH(E$1,'Tillförd energi'!$B$1:$AQ$1,0),FALSE)</f>
        <v>0</v>
      </c>
      <c r="F371" s="121">
        <f>VLOOKUP($B371,'Tillförd energi'!$B$1:$AI$720,MATCH(F$1,'Tillförd energi'!$B$1:$AQ$1,0),FALSE)</f>
        <v>0</v>
      </c>
      <c r="G371" s="121">
        <f>VLOOKUP($B371,'Tillförd energi'!$B$1:$AI$720,MATCH(G$1,'Tillförd energi'!$B$1:$AQ$1,0),FALSE)</f>
        <v>0</v>
      </c>
      <c r="H371" s="121">
        <f>VLOOKUP($B371,'Tillförd energi'!$B$1:$AI$720,MATCH(H$1,'Tillförd energi'!$B$1:$AQ$1,0),FALSE)</f>
        <v>0</v>
      </c>
      <c r="I371" s="121">
        <f>VLOOKUP($B371,'Tillförd energi'!$B$1:$AI$720,MATCH(I$1,'Tillförd energi'!$B$1:$AQ$1,0),FALSE)</f>
        <v>0</v>
      </c>
      <c r="J371" s="121">
        <f>VLOOKUP($B371,'Tillförd energi'!$B$1:$AI$720,MATCH(J$1,'Tillförd energi'!$B$1:$AQ$1,0),FALSE)</f>
        <v>0</v>
      </c>
      <c r="K371" s="121">
        <f>VLOOKUP($B371,'Tillförd energi'!$B$1:$AI$720,MATCH(K$1,'Tillförd energi'!$B$1:$AQ$1,0),FALSE)</f>
        <v>0</v>
      </c>
      <c r="L371" s="121">
        <f>VLOOKUP($B371,'Tillförd energi'!$B$1:$AI$720,MATCH(L$1,'Tillförd energi'!$B$1:$AQ$1,0),FALSE)</f>
        <v>0</v>
      </c>
      <c r="M371" s="121">
        <f>VLOOKUP($B371,'Tillförd energi'!$B$1:$AI$720,MATCH(M$1,'Tillförd energi'!$B$1:$AQ$1,0),FALSE)</f>
        <v>0</v>
      </c>
      <c r="N371" s="121">
        <f>VLOOKUP($B371,'Tillförd energi'!$B$1:$AI$720,MATCH(N$1,'Tillförd energi'!$B$1:$AQ$1,0),FALSE)</f>
        <v>0</v>
      </c>
      <c r="O371" s="121">
        <f>VLOOKUP($B371,'Tillförd energi'!$B$1:$AI$720,MATCH(O$1,'Tillförd energi'!$B$1:$AQ$1,0),FALSE)</f>
        <v>0</v>
      </c>
      <c r="P371" s="121">
        <f>VLOOKUP($B371,'Tillförd energi'!$B$1:$AI$720,MATCH(P$1,'Tillförd energi'!$B$1:$AQ$1,0),FALSE)</f>
        <v>0</v>
      </c>
      <c r="Q371" s="121">
        <f>VLOOKUP($B371,'Tillförd energi'!$B$1:$AI$720,MATCH(Q$1,'Tillförd energi'!$B$1:$AQ$1,0),FALSE)</f>
        <v>0</v>
      </c>
      <c r="R371" s="121">
        <f>VLOOKUP($B371,'Tillförd energi'!$B$1:$AI$720,MATCH(R$1,'Tillförd energi'!$B$1:$AQ$1,0),FALSE)</f>
        <v>0.78600000000000003</v>
      </c>
      <c r="S371" s="121">
        <f>VLOOKUP($B371,'Tillförd energi'!$B$1:$AI$720,MATCH(S$1,'Tillförd energi'!$B$1:$AQ$1,0),FALSE)</f>
        <v>0</v>
      </c>
      <c r="T371" s="121">
        <f>VLOOKUP($B371,'Tillförd energi'!$B$1:$AI$720,MATCH(T$1,'Tillförd energi'!$B$1:$AQ$1,0),FALSE)</f>
        <v>0</v>
      </c>
      <c r="U371" s="121">
        <f>VLOOKUP($B371,'Tillförd energi'!$B$1:$AI$720,MATCH(U$1,'Tillförd energi'!$B$1:$AQ$1,0),FALSE)</f>
        <v>0</v>
      </c>
      <c r="V371" s="121">
        <f>VLOOKUP($B371,'Tillförd energi'!$B$1:$AI$720,MATCH(V$1,'Tillförd energi'!$B$1:$AQ$1,0),FALSE)</f>
        <v>0</v>
      </c>
      <c r="W371" s="121">
        <f>VLOOKUP($B371,'Tillförd energi'!$B$1:$AI$720,MATCH(W$1,'Tillförd energi'!$B$1:$AQ$1,0),FALSE)</f>
        <v>0</v>
      </c>
      <c r="X371" s="121">
        <f>VLOOKUP($B371,'Tillförd energi'!$B$1:$AI$720,MATCH(X$1,'Tillförd energi'!$B$1:$AQ$1,0),FALSE)</f>
        <v>0</v>
      </c>
      <c r="Y371" s="121">
        <f>VLOOKUP($B371,'Tillförd energi'!$B$1:$AI$720,MATCH(Y$1,'Tillförd energi'!$B$1:$AQ$1,0),FALSE)</f>
        <v>0</v>
      </c>
      <c r="Z371" s="121">
        <f>VLOOKUP($B371,'Tillförd energi'!$B$1:$AI$720,MATCH(Z$1,'Tillförd energi'!$B$1:$AQ$1,0),FALSE)</f>
        <v>0</v>
      </c>
      <c r="AA371" s="121">
        <f>VLOOKUP($B371,'Tillförd energi'!$B$1:$AI$720,MATCH(AA$1,'Tillförd energi'!$B$1:$AQ$1,0),FALSE)</f>
        <v>0</v>
      </c>
      <c r="AB371" s="121">
        <f>VLOOKUP($B371,'Tillförd energi'!$B$1:$AI$720,MATCH(AB$1,'Tillförd energi'!$B$1:$AQ$1,0),FALSE)</f>
        <v>0</v>
      </c>
      <c r="AC371" s="121">
        <f>VLOOKUP($B371,'Tillförd energi'!$B$1:$AI$720,MATCH(AC$1,'Tillförd energi'!$B$1:$AQ$1,0),FALSE)</f>
        <v>0</v>
      </c>
      <c r="AD371" s="121">
        <f>VLOOKUP($B371,'Tillförd energi'!$B$1:$AI$720,MATCH(AD$1,'Tillförd energi'!$B$1:$AQ$1,0),FALSE)</f>
        <v>0</v>
      </c>
      <c r="AE371" s="121">
        <f>VLOOKUP($B371,'Tillförd energi'!$B$1:$AI$720,MATCH(AE$1,'Tillförd energi'!$B$1:$AQ$1,0),FALSE)</f>
        <v>0</v>
      </c>
      <c r="AF371" s="121">
        <f>VLOOKUP($B371,'Tillförd energi'!$B$1:$AI$720,MATCH(AF$1,'Tillförd energi'!$B$1:$AQ$1,0),FALSE)</f>
        <v>2.1389999999999999E-2</v>
      </c>
      <c r="AG371" s="121">
        <f>IFERROR(VLOOKUP(B371,Miljö!$B$1:$AC$550,MATCH("Köpt mängd produktionsspecifik fjärrvärme:",Miljö!$B$1:$AC$1,0),FALSE)/1,0)</f>
        <v>0</v>
      </c>
      <c r="AH371" s="121"/>
      <c r="AI371" s="121">
        <f t="shared" si="132"/>
        <v>0.80739000000000005</v>
      </c>
      <c r="AJ371" s="121">
        <f t="shared" si="133"/>
        <v>0.80739000000000005</v>
      </c>
      <c r="AK371" s="121">
        <f>IF(ISERROR(1/VLOOKUP($B371,Leveranser!$B$1:$S$499,MATCH("såld värme (gwh)",Leveranser!$B$1:$S$1,0),FALSE)),"",VLOOKUP($B371,Leveranser!$B$1:$S$499,MATCH("såld värme (gwh)",Leveranser!$B$1:$S$1,0),FALSE))</f>
        <v>0.71299999999999997</v>
      </c>
      <c r="AL371" s="121">
        <f>VLOOKUP($B371,Leveranser!$B$1:$Y$499,MATCH("Totalt såld fjärrvärme till andra fjärrvärmeföretag",Leveranser!$B$1:$AA$1,0),FALSE)</f>
        <v>0</v>
      </c>
      <c r="AM371" s="121">
        <f>IF(ISERROR(1/VLOOKUP($B371,Miljö!$B$1:$S$500,MATCH("Såld mängd produktionsspecifik fjärrvärme (GWh)",Miljö!$B$1:$R$1,0),FALSE)),0,VLOOKUP($B371,Miljö!$B$1:$S$500,MATCH("Såld mängd produktionsspecifik fjärrvärme (GWh)",Miljö!$B$1:$R$1,0),FALSE))</f>
        <v>0</v>
      </c>
      <c r="AN371" s="172">
        <f t="shared" si="134"/>
        <v>0.88309243364421153</v>
      </c>
      <c r="AO371" s="121"/>
      <c r="AP371" s="121" t="str">
        <f>IFERROR(VLOOKUP($B371,Miljövärden!$B$2:$H$550,7,FALSE),"Nej, saknas")</f>
        <v>Ja</v>
      </c>
      <c r="AQ371" s="121" t="str">
        <f>IFERROR(VLOOKUP($B371,Miljövärden!$B$2:$H$550,6,FALSE),"Nej, saknas")</f>
        <v>Ja</v>
      </c>
      <c r="AU371">
        <f t="shared" si="135"/>
        <v>2.1389999999999999E-2</v>
      </c>
      <c r="AV371">
        <f t="shared" si="136"/>
        <v>0</v>
      </c>
      <c r="AW371">
        <f t="shared" si="137"/>
        <v>0</v>
      </c>
      <c r="AX371">
        <f t="shared" si="138"/>
        <v>0.78600000000000003</v>
      </c>
      <c r="AZ371">
        <f t="shared" si="139"/>
        <v>0.78600000000000003</v>
      </c>
      <c r="BC371">
        <f t="shared" si="140"/>
        <v>0</v>
      </c>
      <c r="BD371">
        <f t="shared" si="141"/>
        <v>0</v>
      </c>
      <c r="BE371">
        <f t="shared" si="142"/>
        <v>0.78600000000000003</v>
      </c>
      <c r="BF371">
        <f t="shared" si="143"/>
        <v>0</v>
      </c>
      <c r="BG371">
        <f t="shared" si="144"/>
        <v>2.1389999999999999E-2</v>
      </c>
      <c r="BH371">
        <f>VLOOKUP(B371,Miljö!$B$1:$BX$482,MATCH("Fossilandel för ursprungspecificerad el ()",Miljö!$B$1:$I$1,0),FALSE)</f>
        <v>0</v>
      </c>
      <c r="BI371">
        <f>VLOOKUP(B371,Miljö!$B$1:$BX$482,MATCH("Kärnkraftsandel för ursprungsspecificerad el ()",Miljö!$B$1:$O$1,0),FALSE)</f>
        <v>0</v>
      </c>
      <c r="BJ371">
        <f t="shared" si="145"/>
        <v>0</v>
      </c>
      <c r="BK371" t="str">
        <f>VLOOKUP(B371,Miljö!$B$1:$O$482,MATCH("Fossil andel i procent (%)",Miljö!$B$1:$O$1,0),FALSE)</f>
        <v>ET</v>
      </c>
      <c r="BL371">
        <f t="shared" si="146"/>
        <v>0.80739000000000005</v>
      </c>
      <c r="BO371" s="18">
        <f t="shared" si="147"/>
        <v>0</v>
      </c>
      <c r="BP371" s="18">
        <f t="shared" si="148"/>
        <v>0</v>
      </c>
      <c r="BQ371" s="18">
        <f t="shared" si="149"/>
        <v>1</v>
      </c>
      <c r="BR371" s="18">
        <f t="shared" si="150"/>
        <v>0</v>
      </c>
      <c r="BT371" s="27">
        <f t="shared" si="151"/>
        <v>1</v>
      </c>
      <c r="BW371" s="18">
        <f>IF(AP371="ja",VLOOKUP(B371,Miljövärden!$B$2:$H$550,MATCH("Total andel fossilt",Miljövärden!$B$2:$H$2,0),FALSE),"")</f>
        <v>0</v>
      </c>
      <c r="BZ371" s="28">
        <f t="shared" si="152"/>
        <v>0</v>
      </c>
      <c r="CA371" s="28">
        <f t="shared" si="153"/>
        <v>0</v>
      </c>
    </row>
    <row r="372" spans="1:79" x14ac:dyDescent="0.25">
      <c r="A372" s="224" t="s">
        <v>691</v>
      </c>
      <c r="B372" s="210" t="s">
        <v>696</v>
      </c>
      <c r="C372" s="121">
        <f>VLOOKUP($B372,'Tillförd energi'!$B$1:$AI$720,MATCH(C$1,'Tillförd energi'!$B$1:$AQ$1,0),FALSE)</f>
        <v>0</v>
      </c>
      <c r="D372" s="121">
        <f>VLOOKUP($B372,'Tillförd energi'!$B$1:$AI$720,MATCH(D$1,'Tillförd energi'!$B$1:$AQ$1,0),FALSE)</f>
        <v>8.5999999999999993E-2</v>
      </c>
      <c r="E372" s="121">
        <f>VLOOKUP($B372,'Tillförd energi'!$B$1:$AI$720,MATCH(E$1,'Tillförd energi'!$B$1:$AQ$1,0),FALSE)</f>
        <v>0</v>
      </c>
      <c r="F372" s="121">
        <f>VLOOKUP($B372,'Tillförd energi'!$B$1:$AI$720,MATCH(F$1,'Tillförd energi'!$B$1:$AQ$1,0),FALSE)</f>
        <v>0</v>
      </c>
      <c r="G372" s="121">
        <f>VLOOKUP($B372,'Tillförd energi'!$B$1:$AI$720,MATCH(G$1,'Tillförd energi'!$B$1:$AQ$1,0),FALSE)</f>
        <v>0</v>
      </c>
      <c r="H372" s="121">
        <f>VLOOKUP($B372,'Tillförd energi'!$B$1:$AI$720,MATCH(H$1,'Tillförd energi'!$B$1:$AQ$1,0),FALSE)</f>
        <v>0</v>
      </c>
      <c r="I372" s="121">
        <f>VLOOKUP($B372,'Tillförd energi'!$B$1:$AI$720,MATCH(I$1,'Tillförd energi'!$B$1:$AQ$1,0),FALSE)</f>
        <v>0</v>
      </c>
      <c r="J372" s="121">
        <f>VLOOKUP($B372,'Tillförd energi'!$B$1:$AI$720,MATCH(J$1,'Tillförd energi'!$B$1:$AQ$1,0),FALSE)</f>
        <v>0</v>
      </c>
      <c r="K372" s="121">
        <f>VLOOKUP($B372,'Tillförd energi'!$B$1:$AI$720,MATCH(K$1,'Tillförd energi'!$B$1:$AQ$1,0),FALSE)</f>
        <v>0</v>
      </c>
      <c r="L372" s="121">
        <f>VLOOKUP($B372,'Tillförd energi'!$B$1:$AI$720,MATCH(L$1,'Tillförd energi'!$B$1:$AQ$1,0),FALSE)</f>
        <v>0</v>
      </c>
      <c r="M372" s="121">
        <f>VLOOKUP($B372,'Tillförd energi'!$B$1:$AI$720,MATCH(M$1,'Tillförd energi'!$B$1:$AQ$1,0),FALSE)</f>
        <v>0</v>
      </c>
      <c r="N372" s="121">
        <f>VLOOKUP($B372,'Tillförd energi'!$B$1:$AI$720,MATCH(N$1,'Tillförd energi'!$B$1:$AQ$1,0),FALSE)</f>
        <v>0</v>
      </c>
      <c r="O372" s="121">
        <f>VLOOKUP($B372,'Tillförd energi'!$B$1:$AI$720,MATCH(O$1,'Tillförd energi'!$B$1:$AQ$1,0),FALSE)</f>
        <v>0</v>
      </c>
      <c r="P372" s="121">
        <f>VLOOKUP($B372,'Tillförd energi'!$B$1:$AI$720,MATCH(P$1,'Tillförd energi'!$B$1:$AQ$1,0),FALSE)</f>
        <v>0</v>
      </c>
      <c r="Q372" s="121">
        <f>VLOOKUP($B372,'Tillförd energi'!$B$1:$AI$720,MATCH(Q$1,'Tillförd energi'!$B$1:$AQ$1,0),FALSE)</f>
        <v>13.6859</v>
      </c>
      <c r="R372" s="121">
        <f>VLOOKUP($B372,'Tillförd energi'!$B$1:$AI$720,MATCH(R$1,'Tillförd energi'!$B$1:$AQ$1,0),FALSE)</f>
        <v>0</v>
      </c>
      <c r="S372" s="121">
        <f>VLOOKUP($B372,'Tillförd energi'!$B$1:$AI$720,MATCH(S$1,'Tillförd energi'!$B$1:$AQ$1,0),FALSE)</f>
        <v>0</v>
      </c>
      <c r="T372" s="121">
        <f>VLOOKUP($B372,'Tillförd energi'!$B$1:$AI$720,MATCH(T$1,'Tillförd energi'!$B$1:$AQ$1,0),FALSE)</f>
        <v>0</v>
      </c>
      <c r="U372" s="121">
        <f>VLOOKUP($B372,'Tillförd energi'!$B$1:$AI$720,MATCH(U$1,'Tillförd energi'!$B$1:$AQ$1,0),FALSE)</f>
        <v>0</v>
      </c>
      <c r="V372" s="121">
        <f>VLOOKUP($B372,'Tillförd energi'!$B$1:$AI$720,MATCH(V$1,'Tillförd energi'!$B$1:$AQ$1,0),FALSE)</f>
        <v>0</v>
      </c>
      <c r="W372" s="121">
        <f>VLOOKUP($B372,'Tillförd energi'!$B$1:$AI$720,MATCH(W$1,'Tillförd energi'!$B$1:$AQ$1,0),FALSE)</f>
        <v>0</v>
      </c>
      <c r="X372" s="121">
        <f>VLOOKUP($B372,'Tillförd energi'!$B$1:$AI$720,MATCH(X$1,'Tillförd energi'!$B$1:$AQ$1,0),FALSE)</f>
        <v>0</v>
      </c>
      <c r="Y372" s="121">
        <f>VLOOKUP($B372,'Tillförd energi'!$B$1:$AI$720,MATCH(Y$1,'Tillförd energi'!$B$1:$AQ$1,0),FALSE)</f>
        <v>0</v>
      </c>
      <c r="Z372" s="121">
        <f>VLOOKUP($B372,'Tillförd energi'!$B$1:$AI$720,MATCH(Z$1,'Tillförd energi'!$B$1:$AQ$1,0),FALSE)</f>
        <v>0</v>
      </c>
      <c r="AA372" s="121">
        <f>VLOOKUP($B372,'Tillförd energi'!$B$1:$AI$720,MATCH(AA$1,'Tillförd energi'!$B$1:$AQ$1,0),FALSE)</f>
        <v>0</v>
      </c>
      <c r="AB372" s="121">
        <f>VLOOKUP($B372,'Tillförd energi'!$B$1:$AI$720,MATCH(AB$1,'Tillförd energi'!$B$1:$AQ$1,0),FALSE)</f>
        <v>0</v>
      </c>
      <c r="AC372" s="121">
        <f>VLOOKUP($B372,'Tillförd energi'!$B$1:$AI$720,MATCH(AC$1,'Tillförd energi'!$B$1:$AQ$1,0),FALSE)</f>
        <v>0</v>
      </c>
      <c r="AD372" s="121">
        <f>VLOOKUP($B372,'Tillförd energi'!$B$1:$AI$720,MATCH(AD$1,'Tillförd energi'!$B$1:$AQ$1,0),FALSE)</f>
        <v>0</v>
      </c>
      <c r="AE372" s="121">
        <f>VLOOKUP($B372,'Tillförd energi'!$B$1:$AI$720,MATCH(AE$1,'Tillförd energi'!$B$1:$AQ$1,0),FALSE)</f>
        <v>0</v>
      </c>
      <c r="AF372" s="121">
        <f>VLOOKUP($B372,'Tillförd energi'!$B$1:$AI$720,MATCH(AF$1,'Tillförd energi'!$B$1:$AQ$1,0),FALSE)</f>
        <v>0.28797</v>
      </c>
      <c r="AG372" s="121">
        <f>IFERROR(VLOOKUP(B372,Miljö!$B$1:$AC$550,MATCH("Köpt mängd produktionsspecifik fjärrvärme:",Miljö!$B$1:$AC$1,0),FALSE)/1,0)</f>
        <v>0</v>
      </c>
      <c r="AH372" s="121"/>
      <c r="AI372" s="121">
        <f t="shared" si="132"/>
        <v>14.05987</v>
      </c>
      <c r="AJ372" s="121">
        <f t="shared" si="133"/>
        <v>14.05987</v>
      </c>
      <c r="AK372" s="121">
        <f>IF(ISERROR(1/VLOOKUP($B372,Leveranser!$B$1:$S$499,MATCH("såld värme (gwh)",Leveranser!$B$1:$S$1,0),FALSE)),"",VLOOKUP($B372,Leveranser!$B$1:$S$499,MATCH("såld värme (gwh)",Leveranser!$B$1:$S$1,0),FALSE))</f>
        <v>9.5990000000000002</v>
      </c>
      <c r="AL372" s="121">
        <f>VLOOKUP($B372,Leveranser!$B$1:$Y$499,MATCH("Totalt såld fjärrvärme till andra fjärrvärmeföretag",Leveranser!$B$1:$AA$1,0),FALSE)</f>
        <v>0</v>
      </c>
      <c r="AM372" s="121">
        <f>IF(ISERROR(1/VLOOKUP($B372,Miljö!$B$1:$S$500,MATCH("Såld mängd produktionsspecifik fjärrvärme (GWh)",Miljö!$B$1:$R$1,0),FALSE)),0,VLOOKUP($B372,Miljö!$B$1:$S$500,MATCH("Såld mängd produktionsspecifik fjärrvärme (GWh)",Miljö!$B$1:$R$1,0),FALSE))</f>
        <v>0</v>
      </c>
      <c r="AN372" s="172">
        <f t="shared" si="134"/>
        <v>0.68272323997305806</v>
      </c>
      <c r="AO372" s="121"/>
      <c r="AP372" s="121" t="str">
        <f>IFERROR(VLOOKUP($B372,Miljövärden!$B$2:$H$550,7,FALSE),"Nej, saknas")</f>
        <v>Ja</v>
      </c>
      <c r="AQ372" s="121" t="str">
        <f>IFERROR(VLOOKUP($B372,Miljövärden!$B$2:$H$550,6,FALSE),"Nej, saknas")</f>
        <v>Ja</v>
      </c>
      <c r="AU372">
        <f t="shared" si="135"/>
        <v>0.28797</v>
      </c>
      <c r="AV372">
        <f t="shared" si="136"/>
        <v>0</v>
      </c>
      <c r="AW372">
        <f t="shared" si="137"/>
        <v>13.6859</v>
      </c>
      <c r="AX372">
        <f t="shared" si="138"/>
        <v>0</v>
      </c>
      <c r="AZ372">
        <f t="shared" si="139"/>
        <v>13.6859</v>
      </c>
      <c r="BC372">
        <f t="shared" si="140"/>
        <v>8.5999999999999993E-2</v>
      </c>
      <c r="BD372">
        <f t="shared" si="141"/>
        <v>0</v>
      </c>
      <c r="BE372">
        <f t="shared" si="142"/>
        <v>13.6859</v>
      </c>
      <c r="BF372">
        <f t="shared" si="143"/>
        <v>0</v>
      </c>
      <c r="BG372">
        <f t="shared" si="144"/>
        <v>0.28797</v>
      </c>
      <c r="BH372">
        <f>VLOOKUP(B372,Miljö!$B$1:$BX$482,MATCH("Fossilandel för ursprungspecificerad el ()",Miljö!$B$1:$I$1,0),FALSE)</f>
        <v>0</v>
      </c>
      <c r="BI372">
        <f>VLOOKUP(B372,Miljö!$B$1:$BX$482,MATCH("Kärnkraftsandel för ursprungsspecificerad el ()",Miljö!$B$1:$O$1,0),FALSE)</f>
        <v>0</v>
      </c>
      <c r="BJ372">
        <f t="shared" si="145"/>
        <v>0</v>
      </c>
      <c r="BK372" t="str">
        <f>VLOOKUP(B372,Miljö!$B$1:$O$482,MATCH("Fossil andel i procent (%)",Miljö!$B$1:$O$1,0),FALSE)</f>
        <v>ET</v>
      </c>
      <c r="BL372">
        <f t="shared" si="146"/>
        <v>14.05987</v>
      </c>
      <c r="BO372" s="18">
        <f t="shared" si="147"/>
        <v>6.1166995142913835E-3</v>
      </c>
      <c r="BP372" s="18">
        <f t="shared" si="148"/>
        <v>0</v>
      </c>
      <c r="BQ372" s="18">
        <f t="shared" si="149"/>
        <v>0.99388330048570861</v>
      </c>
      <c r="BR372" s="18">
        <f t="shared" si="150"/>
        <v>0</v>
      </c>
      <c r="BT372" s="27">
        <f t="shared" si="151"/>
        <v>1</v>
      </c>
      <c r="BW372" s="18">
        <f>IF(AP372="ja",VLOOKUP(B372,Miljövärden!$B$2:$H$550,MATCH("Total andel fossilt",Miljövärden!$B$2:$H$2,0),FALSE),"")</f>
        <v>6.1166900000000001E-3</v>
      </c>
      <c r="BZ372" s="28">
        <f t="shared" si="152"/>
        <v>-9.5142913833848319E-9</v>
      </c>
      <c r="CA372" s="28">
        <f t="shared" si="153"/>
        <v>0</v>
      </c>
    </row>
    <row r="373" spans="1:79" x14ac:dyDescent="0.25">
      <c r="A373" s="224" t="s">
        <v>691</v>
      </c>
      <c r="B373" s="210" t="s">
        <v>697</v>
      </c>
      <c r="C373" s="121">
        <f>VLOOKUP($B373,'Tillförd energi'!$B$1:$AI$720,MATCH(C$1,'Tillförd energi'!$B$1:$AQ$1,0),FALSE)</f>
        <v>0</v>
      </c>
      <c r="D373" s="121">
        <f>VLOOKUP($B373,'Tillförd energi'!$B$1:$AI$720,MATCH(D$1,'Tillförd energi'!$B$1:$AQ$1,0),FALSE)</f>
        <v>6.0699999999999997E-2</v>
      </c>
      <c r="E373" s="121">
        <f>VLOOKUP($B373,'Tillförd energi'!$B$1:$AI$720,MATCH(E$1,'Tillförd energi'!$B$1:$AQ$1,0),FALSE)</f>
        <v>0</v>
      </c>
      <c r="F373" s="121">
        <f>VLOOKUP($B373,'Tillförd energi'!$B$1:$AI$720,MATCH(F$1,'Tillförd energi'!$B$1:$AQ$1,0),FALSE)</f>
        <v>0</v>
      </c>
      <c r="G373" s="121">
        <f>VLOOKUP($B373,'Tillförd energi'!$B$1:$AI$720,MATCH(G$1,'Tillförd energi'!$B$1:$AQ$1,0),FALSE)</f>
        <v>0</v>
      </c>
      <c r="H373" s="121">
        <f>VLOOKUP($B373,'Tillförd energi'!$B$1:$AI$720,MATCH(H$1,'Tillförd energi'!$B$1:$AQ$1,0),FALSE)</f>
        <v>2.5859999999999999</v>
      </c>
      <c r="I373" s="121">
        <f>VLOOKUP($B373,'Tillförd energi'!$B$1:$AI$720,MATCH(I$1,'Tillförd energi'!$B$1:$AQ$1,0),FALSE)</f>
        <v>0</v>
      </c>
      <c r="J373" s="121">
        <f>VLOOKUP($B373,'Tillförd energi'!$B$1:$AI$720,MATCH(J$1,'Tillförd energi'!$B$1:$AQ$1,0),FALSE)</f>
        <v>0.89900000000000002</v>
      </c>
      <c r="K373" s="121">
        <f>VLOOKUP($B373,'Tillförd energi'!$B$1:$AI$720,MATCH(K$1,'Tillförd energi'!$B$1:$AQ$1,0),FALSE)</f>
        <v>0</v>
      </c>
      <c r="L373" s="121">
        <f>VLOOKUP($B373,'Tillförd energi'!$B$1:$AI$720,MATCH(L$1,'Tillförd energi'!$B$1:$AQ$1,0),FALSE)</f>
        <v>0</v>
      </c>
      <c r="M373" s="121">
        <f>VLOOKUP($B373,'Tillförd energi'!$B$1:$AI$720,MATCH(M$1,'Tillförd energi'!$B$1:$AQ$1,0),FALSE)</f>
        <v>52.700400000000002</v>
      </c>
      <c r="N373" s="121">
        <f>VLOOKUP($B373,'Tillförd energi'!$B$1:$AI$720,MATCH(N$1,'Tillförd energi'!$B$1:$AQ$1,0),FALSE)</f>
        <v>57.755899999999997</v>
      </c>
      <c r="O373" s="121">
        <f>VLOOKUP($B373,'Tillförd energi'!$B$1:$AI$720,MATCH(O$1,'Tillförd energi'!$B$1:$AQ$1,0),FALSE)</f>
        <v>0</v>
      </c>
      <c r="P373" s="121">
        <f>VLOOKUP($B373,'Tillförd energi'!$B$1:$AI$720,MATCH(P$1,'Tillförd energi'!$B$1:$AQ$1,0),FALSE)</f>
        <v>21.2895</v>
      </c>
      <c r="Q373" s="121">
        <f>VLOOKUP($B373,'Tillförd energi'!$B$1:$AI$720,MATCH(Q$1,'Tillförd energi'!$B$1:$AQ$1,0),FALSE)</f>
        <v>0</v>
      </c>
      <c r="R373" s="121">
        <f>VLOOKUP($B373,'Tillförd energi'!$B$1:$AI$720,MATCH(R$1,'Tillförd energi'!$B$1:$AQ$1,0),FALSE)</f>
        <v>0</v>
      </c>
      <c r="S373" s="121">
        <f>VLOOKUP($B373,'Tillförd energi'!$B$1:$AI$720,MATCH(S$1,'Tillförd energi'!$B$1:$AQ$1,0),FALSE)</f>
        <v>0</v>
      </c>
      <c r="T373" s="121">
        <f>VLOOKUP($B373,'Tillförd energi'!$B$1:$AI$720,MATCH(T$1,'Tillförd energi'!$B$1:$AQ$1,0),FALSE)</f>
        <v>0</v>
      </c>
      <c r="U373" s="121">
        <f>VLOOKUP($B373,'Tillförd energi'!$B$1:$AI$720,MATCH(U$1,'Tillförd energi'!$B$1:$AQ$1,0),FALSE)</f>
        <v>0</v>
      </c>
      <c r="V373" s="121">
        <f>VLOOKUP($B373,'Tillförd energi'!$B$1:$AI$720,MATCH(V$1,'Tillförd energi'!$B$1:$AQ$1,0),FALSE)</f>
        <v>0</v>
      </c>
      <c r="W373" s="121">
        <f>VLOOKUP($B373,'Tillförd energi'!$B$1:$AI$720,MATCH(W$1,'Tillförd energi'!$B$1:$AQ$1,0),FALSE)</f>
        <v>12.273</v>
      </c>
      <c r="X373" s="121">
        <f>VLOOKUP($B373,'Tillförd energi'!$B$1:$AI$720,MATCH(X$1,'Tillförd energi'!$B$1:$AQ$1,0),FALSE)</f>
        <v>0</v>
      </c>
      <c r="Y373" s="121">
        <f>VLOOKUP($B373,'Tillförd energi'!$B$1:$AI$720,MATCH(Y$1,'Tillförd energi'!$B$1:$AQ$1,0),FALSE)</f>
        <v>0</v>
      </c>
      <c r="Z373" s="121">
        <f>VLOOKUP($B373,'Tillförd energi'!$B$1:$AI$720,MATCH(Z$1,'Tillförd energi'!$B$1:$AQ$1,0),FALSE)</f>
        <v>0</v>
      </c>
      <c r="AA373" s="121">
        <f>VLOOKUP($B373,'Tillförd energi'!$B$1:$AI$720,MATCH(AA$1,'Tillförd energi'!$B$1:$AQ$1,0),FALSE)</f>
        <v>0</v>
      </c>
      <c r="AB373" s="121">
        <f>VLOOKUP($B373,'Tillförd energi'!$B$1:$AI$720,MATCH(AB$1,'Tillförd energi'!$B$1:$AQ$1,0),FALSE)</f>
        <v>0</v>
      </c>
      <c r="AC373" s="121">
        <f>VLOOKUP($B373,'Tillförd energi'!$B$1:$AI$720,MATCH(AC$1,'Tillförd energi'!$B$1:$AQ$1,0),FALSE)</f>
        <v>34.587000000000003</v>
      </c>
      <c r="AD373" s="121">
        <f>VLOOKUP($B373,'Tillförd energi'!$B$1:$AI$720,MATCH(AD$1,'Tillförd energi'!$B$1:$AQ$1,0),FALSE)</f>
        <v>0.24</v>
      </c>
      <c r="AE373" s="121">
        <f>VLOOKUP($B373,'Tillförd energi'!$B$1:$AI$720,MATCH(AE$1,'Tillförd energi'!$B$1:$AQ$1,0),FALSE)</f>
        <v>0</v>
      </c>
      <c r="AF373" s="121">
        <f>VLOOKUP($B373,'Tillförd energi'!$B$1:$AI$720,MATCH(AF$1,'Tillförd energi'!$B$1:$AQ$1,0),FALSE)</f>
        <v>4.3228799999999996</v>
      </c>
      <c r="AG373" s="121">
        <f>IFERROR(VLOOKUP(B373,Miljö!$B$1:$AC$550,MATCH("Köpt mängd produktionsspecifik fjärrvärme:",Miljö!$B$1:$AC$1,0),FALSE)/1,0)</f>
        <v>0</v>
      </c>
      <c r="AH373" s="121"/>
      <c r="AI373" s="121">
        <f t="shared" si="132"/>
        <v>186.71438000000001</v>
      </c>
      <c r="AJ373" s="121">
        <f t="shared" si="133"/>
        <v>186.71438000000001</v>
      </c>
      <c r="AK373" s="121">
        <f>IF(ISERROR(1/VLOOKUP($B373,Leveranser!$B$1:$S$499,MATCH("såld värme (gwh)",Leveranser!$B$1:$S$1,0),FALSE)),"",VLOOKUP($B373,Leveranser!$B$1:$S$499,MATCH("såld värme (gwh)",Leveranser!$B$1:$S$1,0),FALSE))</f>
        <v>144.096</v>
      </c>
      <c r="AL373" s="121">
        <f>VLOOKUP($B373,Leveranser!$B$1:$Y$499,MATCH("Totalt såld fjärrvärme till andra fjärrvärmeföretag",Leveranser!$B$1:$AA$1,0),FALSE)</f>
        <v>0</v>
      </c>
      <c r="AM373" s="121">
        <f>IF(ISERROR(1/VLOOKUP($B373,Miljö!$B$1:$S$500,MATCH("Såld mängd produktionsspecifik fjärrvärme (GWh)",Miljö!$B$1:$R$1,0),FALSE)),0,VLOOKUP($B373,Miljö!$B$1:$S$500,MATCH("Såld mängd produktionsspecifik fjärrvärme (GWh)",Miljö!$B$1:$R$1,0),FALSE))</f>
        <v>0</v>
      </c>
      <c r="AN373" s="172">
        <f t="shared" si="134"/>
        <v>0.77174559345670113</v>
      </c>
      <c r="AO373" s="121"/>
      <c r="AP373" s="121" t="str">
        <f>IFERROR(VLOOKUP($B373,Miljövärden!$B$2:$H$550,7,FALSE),"Nej, saknas")</f>
        <v>Ja</v>
      </c>
      <c r="AQ373" s="121" t="str">
        <f>IFERROR(VLOOKUP($B373,Miljövärden!$B$2:$H$550,6,FALSE),"Nej, saknas")</f>
        <v>Ja</v>
      </c>
      <c r="AU373">
        <f t="shared" si="135"/>
        <v>4.3228799999999996</v>
      </c>
      <c r="AV373">
        <f t="shared" si="136"/>
        <v>0</v>
      </c>
      <c r="AW373">
        <f t="shared" si="137"/>
        <v>131.7458</v>
      </c>
      <c r="AX373">
        <f t="shared" si="138"/>
        <v>0</v>
      </c>
      <c r="AZ373">
        <f t="shared" si="139"/>
        <v>144.0188</v>
      </c>
      <c r="BC373">
        <f t="shared" si="140"/>
        <v>2.6467000000000001</v>
      </c>
      <c r="BD373">
        <f t="shared" si="141"/>
        <v>0</v>
      </c>
      <c r="BE373">
        <f t="shared" si="142"/>
        <v>144.0188</v>
      </c>
      <c r="BF373">
        <f t="shared" si="143"/>
        <v>35.726000000000006</v>
      </c>
      <c r="BG373">
        <f t="shared" si="144"/>
        <v>4.3228799999999996</v>
      </c>
      <c r="BH373">
        <f>VLOOKUP(B373,Miljö!$B$1:$BX$482,MATCH("Fossilandel för ursprungspecificerad el ()",Miljö!$B$1:$I$1,0),FALSE)</f>
        <v>0</v>
      </c>
      <c r="BI373">
        <f>VLOOKUP(B373,Miljö!$B$1:$BX$482,MATCH("Kärnkraftsandel för ursprungsspecificerad el ()",Miljö!$B$1:$O$1,0),FALSE)</f>
        <v>0</v>
      </c>
      <c r="BJ373">
        <f t="shared" si="145"/>
        <v>0</v>
      </c>
      <c r="BK373" t="str">
        <f>VLOOKUP(B373,Miljö!$B$1:$O$482,MATCH("Fossil andel i procent (%)",Miljö!$B$1:$O$1,0),FALSE)</f>
        <v>ET</v>
      </c>
      <c r="BL373">
        <f t="shared" si="146"/>
        <v>186.71438000000001</v>
      </c>
      <c r="BO373" s="18">
        <f t="shared" si="147"/>
        <v>1.4175126736355282E-2</v>
      </c>
      <c r="BP373" s="18">
        <f t="shared" si="148"/>
        <v>0</v>
      </c>
      <c r="BQ373" s="18">
        <f t="shared" si="149"/>
        <v>0.79448449551662803</v>
      </c>
      <c r="BR373" s="18">
        <f t="shared" si="150"/>
        <v>0.19134037774701662</v>
      </c>
      <c r="BT373" s="27">
        <f t="shared" si="151"/>
        <v>0.99999999999999989</v>
      </c>
      <c r="BW373" s="18">
        <f>IF(AP373="ja",VLOOKUP(B373,Miljövärden!$B$2:$H$550,MATCH("Total andel fossilt",Miljövärden!$B$2:$H$2,0),FALSE),"")</f>
        <v>1.4175200000000001E-2</v>
      </c>
      <c r="BZ373" s="28">
        <f t="shared" si="152"/>
        <v>7.326364471864355E-8</v>
      </c>
      <c r="CA373" s="28">
        <f t="shared" si="153"/>
        <v>0</v>
      </c>
    </row>
    <row r="374" spans="1:79" x14ac:dyDescent="0.25">
      <c r="A374" s="224" t="s">
        <v>698</v>
      </c>
      <c r="B374" s="210" t="s">
        <v>699</v>
      </c>
      <c r="C374" s="121">
        <f>VLOOKUP($B374,'Tillförd energi'!$B$1:$AI$720,MATCH(C$1,'Tillförd energi'!$B$1:$AQ$1,0),FALSE)</f>
        <v>0</v>
      </c>
      <c r="D374" s="121">
        <f>VLOOKUP($B374,'Tillförd energi'!$B$1:$AI$720,MATCH(D$1,'Tillförd energi'!$B$1:$AQ$1,0),FALSE)</f>
        <v>9.4E-2</v>
      </c>
      <c r="E374" s="121">
        <f>VLOOKUP($B374,'Tillförd energi'!$B$1:$AI$720,MATCH(E$1,'Tillförd energi'!$B$1:$AQ$1,0),FALSE)</f>
        <v>0</v>
      </c>
      <c r="F374" s="121">
        <f>VLOOKUP($B374,'Tillförd energi'!$B$1:$AI$720,MATCH(F$1,'Tillförd energi'!$B$1:$AQ$1,0),FALSE)</f>
        <v>0</v>
      </c>
      <c r="G374" s="121">
        <f>VLOOKUP($B374,'Tillförd energi'!$B$1:$AI$720,MATCH(G$1,'Tillförd energi'!$B$1:$AQ$1,0),FALSE)</f>
        <v>0</v>
      </c>
      <c r="H374" s="121">
        <f>VLOOKUP($B374,'Tillförd energi'!$B$1:$AI$720,MATCH(H$1,'Tillförd energi'!$B$1:$AQ$1,0),FALSE)</f>
        <v>0</v>
      </c>
      <c r="I374" s="121">
        <f>VLOOKUP($B374,'Tillförd energi'!$B$1:$AI$720,MATCH(I$1,'Tillförd energi'!$B$1:$AQ$1,0),FALSE)</f>
        <v>0</v>
      </c>
      <c r="J374" s="121">
        <f>VLOOKUP($B374,'Tillförd energi'!$B$1:$AI$720,MATCH(J$1,'Tillförd energi'!$B$1:$AQ$1,0),FALSE)</f>
        <v>0</v>
      </c>
      <c r="K374" s="121">
        <f>VLOOKUP($B374,'Tillförd energi'!$B$1:$AI$720,MATCH(K$1,'Tillförd energi'!$B$1:$AQ$1,0),FALSE)</f>
        <v>0</v>
      </c>
      <c r="L374" s="121">
        <f>VLOOKUP($B374,'Tillförd energi'!$B$1:$AI$720,MATCH(L$1,'Tillförd energi'!$B$1:$AQ$1,0),FALSE)</f>
        <v>0</v>
      </c>
      <c r="M374" s="121">
        <f>VLOOKUP($B374,'Tillförd energi'!$B$1:$AI$720,MATCH(M$1,'Tillförd energi'!$B$1:$AQ$1,0),FALSE)</f>
        <v>6.1379999999999999</v>
      </c>
      <c r="N374" s="121">
        <f>VLOOKUP($B374,'Tillförd energi'!$B$1:$AI$720,MATCH(N$1,'Tillförd energi'!$B$1:$AQ$1,0),FALSE)</f>
        <v>34.72</v>
      </c>
      <c r="O374" s="121">
        <f>VLOOKUP($B374,'Tillförd energi'!$B$1:$AI$720,MATCH(O$1,'Tillförd energi'!$B$1:$AQ$1,0),FALSE)</f>
        <v>14.253</v>
      </c>
      <c r="P374" s="121">
        <f>VLOOKUP($B374,'Tillförd energi'!$B$1:$AI$720,MATCH(P$1,'Tillförd energi'!$B$1:$AQ$1,0),FALSE)</f>
        <v>27.561</v>
      </c>
      <c r="Q374" s="121">
        <f>VLOOKUP($B374,'Tillförd energi'!$B$1:$AI$720,MATCH(Q$1,'Tillförd energi'!$B$1:$AQ$1,0),FALSE)</f>
        <v>0</v>
      </c>
      <c r="R374" s="121">
        <f>VLOOKUP($B374,'Tillförd energi'!$B$1:$AI$720,MATCH(R$1,'Tillförd energi'!$B$1:$AQ$1,0),FALSE)</f>
        <v>0</v>
      </c>
      <c r="S374" s="121">
        <f>VLOOKUP($B374,'Tillförd energi'!$B$1:$AI$720,MATCH(S$1,'Tillförd energi'!$B$1:$AQ$1,0),FALSE)</f>
        <v>0</v>
      </c>
      <c r="T374" s="121">
        <f>VLOOKUP($B374,'Tillförd energi'!$B$1:$AI$720,MATCH(T$1,'Tillförd energi'!$B$1:$AQ$1,0),FALSE)</f>
        <v>0</v>
      </c>
      <c r="U374" s="121">
        <f>VLOOKUP($B374,'Tillförd energi'!$B$1:$AI$720,MATCH(U$1,'Tillförd energi'!$B$1:$AQ$1,0),FALSE)</f>
        <v>0</v>
      </c>
      <c r="V374" s="121">
        <f>VLOOKUP($B374,'Tillförd energi'!$B$1:$AI$720,MATCH(V$1,'Tillförd energi'!$B$1:$AQ$1,0),FALSE)</f>
        <v>0</v>
      </c>
      <c r="W374" s="121">
        <f>VLOOKUP($B374,'Tillförd energi'!$B$1:$AI$720,MATCH(W$1,'Tillförd energi'!$B$1:$AQ$1,0),FALSE)</f>
        <v>7.2069999999999999</v>
      </c>
      <c r="X374" s="121">
        <f>VLOOKUP($B374,'Tillförd energi'!$B$1:$AI$720,MATCH(X$1,'Tillförd energi'!$B$1:$AQ$1,0),FALSE)</f>
        <v>0</v>
      </c>
      <c r="Y374" s="121">
        <f>VLOOKUP($B374,'Tillförd energi'!$B$1:$AI$720,MATCH(Y$1,'Tillförd energi'!$B$1:$AQ$1,0),FALSE)</f>
        <v>4.7380000000000004</v>
      </c>
      <c r="Z374" s="121">
        <f>VLOOKUP($B374,'Tillförd energi'!$B$1:$AI$720,MATCH(Z$1,'Tillförd energi'!$B$1:$AQ$1,0),FALSE)</f>
        <v>0</v>
      </c>
      <c r="AA374" s="121">
        <f>VLOOKUP($B374,'Tillförd energi'!$B$1:$AI$720,MATCH(AA$1,'Tillförd energi'!$B$1:$AQ$1,0),FALSE)</f>
        <v>1.1970000000000001</v>
      </c>
      <c r="AB374" s="121">
        <f>VLOOKUP($B374,'Tillförd energi'!$B$1:$AI$720,MATCH(AB$1,'Tillförd energi'!$B$1:$AQ$1,0),FALSE)</f>
        <v>8.2330000000000005</v>
      </c>
      <c r="AC374" s="121">
        <f>VLOOKUP($B374,'Tillförd energi'!$B$1:$AI$720,MATCH(AC$1,'Tillförd energi'!$B$1:$AQ$1,0),FALSE)</f>
        <v>15.9</v>
      </c>
      <c r="AD374" s="121">
        <f>VLOOKUP($B374,'Tillförd energi'!$B$1:$AI$720,MATCH(AD$1,'Tillförd energi'!$B$1:$AQ$1,0),FALSE)</f>
        <v>5.0670000000000002</v>
      </c>
      <c r="AE374" s="121">
        <f>VLOOKUP($B374,'Tillförd energi'!$B$1:$AI$720,MATCH(AE$1,'Tillförd energi'!$B$1:$AQ$1,0),FALSE)</f>
        <v>0</v>
      </c>
      <c r="AF374" s="121">
        <f>VLOOKUP($B374,'Tillförd energi'!$B$1:$AI$720,MATCH(AF$1,'Tillförd energi'!$B$1:$AQ$1,0),FALSE)</f>
        <v>3.343</v>
      </c>
      <c r="AG374" s="121">
        <f>IFERROR(VLOOKUP(B374,Miljö!$B$1:$AC$550,MATCH("Köpt mängd produktionsspecifik fjärrvärme:",Miljö!$B$1:$AC$1,0),FALSE)/1,0)</f>
        <v>0</v>
      </c>
      <c r="AH374" s="121"/>
      <c r="AI374" s="121">
        <f t="shared" si="132"/>
        <v>128.45099999999999</v>
      </c>
      <c r="AJ374" s="121">
        <f t="shared" si="133"/>
        <v>128.45099999999999</v>
      </c>
      <c r="AK374" s="121">
        <f>IF(ISERROR(1/VLOOKUP($B374,Leveranser!$B$1:$S$499,MATCH("såld värme (gwh)",Leveranser!$B$1:$S$1,0),FALSE)),"",VLOOKUP($B374,Leveranser!$B$1:$S$499,MATCH("såld värme (gwh)",Leveranser!$B$1:$S$1,0),FALSE))</f>
        <v>94.965999999999994</v>
      </c>
      <c r="AL374" s="121">
        <f>VLOOKUP($B374,Leveranser!$B$1:$Y$499,MATCH("Totalt såld fjärrvärme till andra fjärrvärmeföretag",Leveranser!$B$1:$AA$1,0),FALSE)</f>
        <v>0</v>
      </c>
      <c r="AM374" s="121">
        <f>IF(ISERROR(1/VLOOKUP($B374,Miljö!$B$1:$S$500,MATCH("Såld mängd produktionsspecifik fjärrvärme (GWh)",Miljö!$B$1:$R$1,0),FALSE)),0,VLOOKUP($B374,Miljö!$B$1:$S$500,MATCH("Såld mängd produktionsspecifik fjärrvärme (GWh)",Miljö!$B$1:$R$1,0),FALSE))</f>
        <v>0</v>
      </c>
      <c r="AN374" s="172">
        <f t="shared" si="134"/>
        <v>0.7393169379763489</v>
      </c>
      <c r="AO374" s="121"/>
      <c r="AP374" s="121" t="str">
        <f>IFERROR(VLOOKUP($B374,Miljövärden!$B$2:$H$550,7,FALSE),"Nej, saknas")</f>
        <v>Ja</v>
      </c>
      <c r="AQ374" s="121" t="str">
        <f>IFERROR(VLOOKUP($B374,Miljövärden!$B$2:$H$550,6,FALSE),"Nej, saknas")</f>
        <v>Ja</v>
      </c>
      <c r="AU374">
        <f t="shared" si="135"/>
        <v>4.54</v>
      </c>
      <c r="AV374">
        <f t="shared" si="136"/>
        <v>0</v>
      </c>
      <c r="AW374">
        <f t="shared" si="137"/>
        <v>82.671999999999997</v>
      </c>
      <c r="AX374">
        <f t="shared" si="138"/>
        <v>0</v>
      </c>
      <c r="AZ374">
        <f t="shared" si="139"/>
        <v>89.878999999999991</v>
      </c>
      <c r="BC374">
        <f t="shared" si="140"/>
        <v>9.4E-2</v>
      </c>
      <c r="BD374">
        <f t="shared" si="141"/>
        <v>4.7380000000000004</v>
      </c>
      <c r="BE374">
        <f t="shared" si="142"/>
        <v>89.878999999999991</v>
      </c>
      <c r="BF374">
        <f t="shared" si="143"/>
        <v>29.200000000000003</v>
      </c>
      <c r="BG374">
        <f t="shared" si="144"/>
        <v>4.54</v>
      </c>
      <c r="BH374">
        <f>VLOOKUP(B374,Miljö!$B$1:$BX$482,MATCH("Fossilandel för ursprungspecificerad el ()",Miljö!$B$1:$I$1,0),FALSE)</f>
        <v>0</v>
      </c>
      <c r="BI374">
        <f>VLOOKUP(B374,Miljö!$B$1:$BX$482,MATCH("Kärnkraftsandel för ursprungsspecificerad el ()",Miljö!$B$1:$O$1,0),FALSE)</f>
        <v>0</v>
      </c>
      <c r="BJ374">
        <f t="shared" si="145"/>
        <v>0</v>
      </c>
      <c r="BK374" t="str">
        <f>VLOOKUP(B374,Miljö!$B$1:$O$482,MATCH("Fossil andel i procent (%)",Miljö!$B$1:$O$1,0),FALSE)</f>
        <v>ET</v>
      </c>
      <c r="BL374">
        <f t="shared" si="146"/>
        <v>128.45099999999999</v>
      </c>
      <c r="BO374" s="18">
        <f t="shared" si="147"/>
        <v>7.3179656055616545E-4</v>
      </c>
      <c r="BP374" s="18">
        <f t="shared" si="148"/>
        <v>3.6885660679948001E-2</v>
      </c>
      <c r="BQ374" s="18">
        <f t="shared" si="149"/>
        <v>0.73505850479949553</v>
      </c>
      <c r="BR374" s="18">
        <f t="shared" si="150"/>
        <v>0.22732403796000034</v>
      </c>
      <c r="BT374" s="27">
        <f t="shared" si="151"/>
        <v>1</v>
      </c>
      <c r="BW374" s="18">
        <f>IF(AP374="ja",VLOOKUP(B374,Miljövärden!$B$2:$H$550,MATCH("Total andel fossilt",Miljövärden!$B$2:$H$2,0),FALSE),"")</f>
        <v>7.3179699999999996E-4</v>
      </c>
      <c r="BZ374" s="28">
        <f t="shared" si="152"/>
        <v>4.3944383451132579E-10</v>
      </c>
      <c r="CA374" s="28">
        <f t="shared" si="153"/>
        <v>0</v>
      </c>
    </row>
    <row r="375" spans="1:79" x14ac:dyDescent="0.25">
      <c r="A375" s="224" t="s">
        <v>698</v>
      </c>
      <c r="B375" s="210" t="s">
        <v>700</v>
      </c>
      <c r="C375" s="121">
        <f>VLOOKUP($B375,'Tillförd energi'!$B$1:$AI$720,MATCH(C$1,'Tillförd energi'!$B$1:$AQ$1,0),FALSE)</f>
        <v>0</v>
      </c>
      <c r="D375" s="121">
        <f>VLOOKUP($B375,'Tillförd energi'!$B$1:$AI$720,MATCH(D$1,'Tillförd energi'!$B$1:$AQ$1,0),FALSE)</f>
        <v>0</v>
      </c>
      <c r="E375" s="121">
        <f>VLOOKUP($B375,'Tillförd energi'!$B$1:$AI$720,MATCH(E$1,'Tillförd energi'!$B$1:$AQ$1,0),FALSE)</f>
        <v>0</v>
      </c>
      <c r="F375" s="121">
        <f>VLOOKUP($B375,'Tillförd energi'!$B$1:$AI$720,MATCH(F$1,'Tillförd energi'!$B$1:$AQ$1,0),FALSE)</f>
        <v>0</v>
      </c>
      <c r="G375" s="121">
        <f>VLOOKUP($B375,'Tillförd energi'!$B$1:$AI$720,MATCH(G$1,'Tillförd energi'!$B$1:$AQ$1,0),FALSE)</f>
        <v>0</v>
      </c>
      <c r="H375" s="121">
        <f>VLOOKUP($B375,'Tillförd energi'!$B$1:$AI$720,MATCH(H$1,'Tillförd energi'!$B$1:$AQ$1,0),FALSE)</f>
        <v>0</v>
      </c>
      <c r="I375" s="121">
        <f>VLOOKUP($B375,'Tillförd energi'!$B$1:$AI$720,MATCH(I$1,'Tillförd energi'!$B$1:$AQ$1,0),FALSE)</f>
        <v>0</v>
      </c>
      <c r="J375" s="121">
        <f>VLOOKUP($B375,'Tillförd energi'!$B$1:$AI$720,MATCH(J$1,'Tillförd energi'!$B$1:$AQ$1,0),FALSE)</f>
        <v>0</v>
      </c>
      <c r="K375" s="121">
        <f>VLOOKUP($B375,'Tillförd energi'!$B$1:$AI$720,MATCH(K$1,'Tillförd energi'!$B$1:$AQ$1,0),FALSE)</f>
        <v>0</v>
      </c>
      <c r="L375" s="121">
        <f>VLOOKUP($B375,'Tillförd energi'!$B$1:$AI$720,MATCH(L$1,'Tillförd energi'!$B$1:$AQ$1,0),FALSE)</f>
        <v>0</v>
      </c>
      <c r="M375" s="121">
        <f>VLOOKUP($B375,'Tillförd energi'!$B$1:$AI$720,MATCH(M$1,'Tillförd energi'!$B$1:$AQ$1,0),FALSE)</f>
        <v>0</v>
      </c>
      <c r="N375" s="121">
        <f>VLOOKUP($B375,'Tillförd energi'!$B$1:$AI$720,MATCH(N$1,'Tillförd energi'!$B$1:$AQ$1,0),FALSE)</f>
        <v>0</v>
      </c>
      <c r="O375" s="121">
        <f>VLOOKUP($B375,'Tillförd energi'!$B$1:$AI$720,MATCH(O$1,'Tillförd energi'!$B$1:$AQ$1,0),FALSE)</f>
        <v>0</v>
      </c>
      <c r="P375" s="121">
        <f>VLOOKUP($B375,'Tillförd energi'!$B$1:$AI$720,MATCH(P$1,'Tillförd energi'!$B$1:$AQ$1,0),FALSE)</f>
        <v>13.401</v>
      </c>
      <c r="Q375" s="121">
        <f>VLOOKUP($B375,'Tillförd energi'!$B$1:$AI$720,MATCH(Q$1,'Tillförd energi'!$B$1:$AQ$1,0),FALSE)</f>
        <v>0</v>
      </c>
      <c r="R375" s="121">
        <f>VLOOKUP($B375,'Tillförd energi'!$B$1:$AI$720,MATCH(R$1,'Tillförd energi'!$B$1:$AQ$1,0),FALSE)</f>
        <v>0</v>
      </c>
      <c r="S375" s="121">
        <f>VLOOKUP($B375,'Tillförd energi'!$B$1:$AI$720,MATCH(S$1,'Tillförd energi'!$B$1:$AQ$1,0),FALSE)</f>
        <v>0</v>
      </c>
      <c r="T375" s="121">
        <f>VLOOKUP($B375,'Tillförd energi'!$B$1:$AI$720,MATCH(T$1,'Tillförd energi'!$B$1:$AQ$1,0),FALSE)</f>
        <v>0</v>
      </c>
      <c r="U375" s="121">
        <f>VLOOKUP($B375,'Tillförd energi'!$B$1:$AI$720,MATCH(U$1,'Tillförd energi'!$B$1:$AQ$1,0),FALSE)</f>
        <v>0</v>
      </c>
      <c r="V375" s="121">
        <f>VLOOKUP($B375,'Tillförd energi'!$B$1:$AI$720,MATCH(V$1,'Tillförd energi'!$B$1:$AQ$1,0),FALSE)</f>
        <v>0</v>
      </c>
      <c r="W375" s="121">
        <f>VLOOKUP($B375,'Tillförd energi'!$B$1:$AI$720,MATCH(W$1,'Tillförd energi'!$B$1:$AQ$1,0),FALSE)</f>
        <v>1.1034999999999999</v>
      </c>
      <c r="X375" s="121">
        <f>VLOOKUP($B375,'Tillförd energi'!$B$1:$AI$720,MATCH(X$1,'Tillförd energi'!$B$1:$AQ$1,0),FALSE)</f>
        <v>0</v>
      </c>
      <c r="Y375" s="121">
        <f>VLOOKUP($B375,'Tillförd energi'!$B$1:$AI$720,MATCH(Y$1,'Tillförd energi'!$B$1:$AQ$1,0),FALSE)</f>
        <v>0</v>
      </c>
      <c r="Z375" s="121">
        <f>VLOOKUP($B375,'Tillförd energi'!$B$1:$AI$720,MATCH(Z$1,'Tillförd energi'!$B$1:$AQ$1,0),FALSE)</f>
        <v>1.72E-2</v>
      </c>
      <c r="AA375" s="121">
        <f>VLOOKUP($B375,'Tillförd energi'!$B$1:$AI$720,MATCH(AA$1,'Tillförd energi'!$B$1:$AQ$1,0),FALSE)</f>
        <v>0</v>
      </c>
      <c r="AB375" s="121">
        <f>VLOOKUP($B375,'Tillförd energi'!$B$1:$AI$720,MATCH(AB$1,'Tillförd energi'!$B$1:$AQ$1,0),FALSE)</f>
        <v>0</v>
      </c>
      <c r="AC375" s="121">
        <f>VLOOKUP($B375,'Tillförd energi'!$B$1:$AI$720,MATCH(AC$1,'Tillförd energi'!$B$1:$AQ$1,0),FALSE)</f>
        <v>0</v>
      </c>
      <c r="AD375" s="121">
        <f>VLOOKUP($B375,'Tillförd energi'!$B$1:$AI$720,MATCH(AD$1,'Tillförd energi'!$B$1:$AQ$1,0),FALSE)</f>
        <v>0</v>
      </c>
      <c r="AE375" s="121">
        <f>VLOOKUP($B375,'Tillförd energi'!$B$1:$AI$720,MATCH(AE$1,'Tillförd energi'!$B$1:$AQ$1,0),FALSE)</f>
        <v>0</v>
      </c>
      <c r="AF375" s="121">
        <f>VLOOKUP($B375,'Tillförd energi'!$B$1:$AI$720,MATCH(AF$1,'Tillförd energi'!$B$1:$AQ$1,0),FALSE)</f>
        <v>0.371</v>
      </c>
      <c r="AG375" s="121">
        <f>IFERROR(VLOOKUP(B375,Miljö!$B$1:$AC$550,MATCH("Köpt mängd produktionsspecifik fjärrvärme:",Miljö!$B$1:$AC$1,0),FALSE)/1,0)</f>
        <v>0</v>
      </c>
      <c r="AH375" s="121"/>
      <c r="AI375" s="121">
        <f t="shared" si="132"/>
        <v>14.892700000000001</v>
      </c>
      <c r="AJ375" s="121">
        <f t="shared" si="133"/>
        <v>14.892700000000001</v>
      </c>
      <c r="AK375" s="121">
        <f>IF(ISERROR(1/VLOOKUP($B375,Leveranser!$B$1:$S$499,MATCH("såld värme (gwh)",Leveranser!$B$1:$S$1,0),FALSE)),"",VLOOKUP($B375,Leveranser!$B$1:$S$499,MATCH("såld värme (gwh)",Leveranser!$B$1:$S$1,0),FALSE))</f>
        <v>12.122999999999999</v>
      </c>
      <c r="AL375" s="121">
        <f>VLOOKUP($B375,Leveranser!$B$1:$Y$499,MATCH("Totalt såld fjärrvärme till andra fjärrvärmeföretag",Leveranser!$B$1:$AA$1,0),FALSE)</f>
        <v>0</v>
      </c>
      <c r="AM375" s="121">
        <f>IF(ISERROR(1/VLOOKUP($B375,Miljö!$B$1:$S$500,MATCH("Såld mängd produktionsspecifik fjärrvärme (GWh)",Miljö!$B$1:$R$1,0),FALSE)),0,VLOOKUP($B375,Miljö!$B$1:$S$500,MATCH("Såld mängd produktionsspecifik fjärrvärme (GWh)",Miljö!$B$1:$R$1,0),FALSE))</f>
        <v>0</v>
      </c>
      <c r="AN375" s="172">
        <f t="shared" si="134"/>
        <v>0.81402297770048404</v>
      </c>
      <c r="AO375" s="121"/>
      <c r="AP375" s="121" t="str">
        <f>IFERROR(VLOOKUP($B375,Miljövärden!$B$2:$H$550,7,FALSE),"Nej, saknas")</f>
        <v>Ja</v>
      </c>
      <c r="AQ375" s="121" t="str">
        <f>IFERROR(VLOOKUP($B375,Miljövärden!$B$2:$H$550,6,FALSE),"Nej, saknas")</f>
        <v>Ja</v>
      </c>
      <c r="AU375">
        <f t="shared" si="135"/>
        <v>0.38819999999999999</v>
      </c>
      <c r="AV375">
        <f t="shared" si="136"/>
        <v>0</v>
      </c>
      <c r="AW375">
        <f t="shared" si="137"/>
        <v>13.401</v>
      </c>
      <c r="AX375">
        <f t="shared" si="138"/>
        <v>0</v>
      </c>
      <c r="AZ375">
        <f t="shared" si="139"/>
        <v>14.5045</v>
      </c>
      <c r="BC375">
        <f t="shared" si="140"/>
        <v>0</v>
      </c>
      <c r="BD375">
        <f t="shared" si="141"/>
        <v>0</v>
      </c>
      <c r="BE375">
        <f t="shared" si="142"/>
        <v>14.5045</v>
      </c>
      <c r="BF375">
        <f t="shared" si="143"/>
        <v>0</v>
      </c>
      <c r="BG375">
        <f t="shared" si="144"/>
        <v>0.38819999999999999</v>
      </c>
      <c r="BH375">
        <f>VLOOKUP(B375,Miljö!$B$1:$BX$482,MATCH("Fossilandel för ursprungspecificerad el ()",Miljö!$B$1:$I$1,0),FALSE)</f>
        <v>0</v>
      </c>
      <c r="BI375">
        <f>VLOOKUP(B375,Miljö!$B$1:$BX$482,MATCH("Kärnkraftsandel för ursprungsspecificerad el ()",Miljö!$B$1:$O$1,0),FALSE)</f>
        <v>0</v>
      </c>
      <c r="BJ375">
        <f t="shared" si="145"/>
        <v>0</v>
      </c>
      <c r="BK375" t="str">
        <f>VLOOKUP(B375,Miljö!$B$1:$O$482,MATCH("Fossil andel i procent (%)",Miljö!$B$1:$O$1,0),FALSE)</f>
        <v>ET</v>
      </c>
      <c r="BL375">
        <f t="shared" si="146"/>
        <v>14.8927</v>
      </c>
      <c r="BO375" s="18">
        <f t="shared" si="147"/>
        <v>0</v>
      </c>
      <c r="BP375" s="18">
        <f t="shared" si="148"/>
        <v>0</v>
      </c>
      <c r="BQ375" s="18">
        <f t="shared" si="149"/>
        <v>1</v>
      </c>
      <c r="BR375" s="18">
        <f t="shared" si="150"/>
        <v>0</v>
      </c>
      <c r="BT375" s="27">
        <f t="shared" si="151"/>
        <v>1</v>
      </c>
      <c r="BW375" s="18">
        <f>IF(AP375="ja",VLOOKUP(B375,Miljövärden!$B$2:$H$550,MATCH("Total andel fossilt",Miljövärden!$B$2:$H$2,0),FALSE),"")</f>
        <v>0</v>
      </c>
      <c r="BZ375" s="28">
        <f t="shared" si="152"/>
        <v>0</v>
      </c>
      <c r="CA375" s="28">
        <f t="shared" si="153"/>
        <v>0</v>
      </c>
    </row>
    <row r="376" spans="1:79" x14ac:dyDescent="0.25">
      <c r="A376" s="224" t="s">
        <v>698</v>
      </c>
      <c r="B376" s="210" t="s">
        <v>701</v>
      </c>
      <c r="C376" s="121">
        <f>VLOOKUP($B376,'Tillförd energi'!$B$1:$AI$720,MATCH(C$1,'Tillförd energi'!$B$1:$AQ$1,0),FALSE)</f>
        <v>0</v>
      </c>
      <c r="D376" s="121">
        <f>VLOOKUP($B376,'Tillförd energi'!$B$1:$AI$720,MATCH(D$1,'Tillförd energi'!$B$1:$AQ$1,0),FALSE)</f>
        <v>2.5579999999999998</v>
      </c>
      <c r="E376" s="121">
        <f>VLOOKUP($B376,'Tillförd energi'!$B$1:$AI$720,MATCH(E$1,'Tillförd energi'!$B$1:$AQ$1,0),FALSE)</f>
        <v>0</v>
      </c>
      <c r="F376" s="121">
        <f>VLOOKUP($B376,'Tillförd energi'!$B$1:$AI$720,MATCH(F$1,'Tillförd energi'!$B$1:$AQ$1,0),FALSE)</f>
        <v>0</v>
      </c>
      <c r="G376" s="121">
        <f>VLOOKUP($B376,'Tillförd energi'!$B$1:$AI$720,MATCH(G$1,'Tillförd energi'!$B$1:$AQ$1,0),FALSE)</f>
        <v>0</v>
      </c>
      <c r="H376" s="121">
        <f>VLOOKUP($B376,'Tillförd energi'!$B$1:$AI$720,MATCH(H$1,'Tillförd energi'!$B$1:$AQ$1,0),FALSE)</f>
        <v>0</v>
      </c>
      <c r="I376" s="121">
        <f>VLOOKUP($B376,'Tillförd energi'!$B$1:$AI$720,MATCH(I$1,'Tillförd energi'!$B$1:$AQ$1,0),FALSE)</f>
        <v>0</v>
      </c>
      <c r="J376" s="121">
        <f>VLOOKUP($B376,'Tillförd energi'!$B$1:$AI$720,MATCH(J$1,'Tillförd energi'!$B$1:$AQ$1,0),FALSE)</f>
        <v>0</v>
      </c>
      <c r="K376" s="121">
        <f>VLOOKUP($B376,'Tillförd energi'!$B$1:$AI$720,MATCH(K$1,'Tillförd energi'!$B$1:$AQ$1,0),FALSE)</f>
        <v>0</v>
      </c>
      <c r="L376" s="121">
        <f>VLOOKUP($B376,'Tillförd energi'!$B$1:$AI$720,MATCH(L$1,'Tillförd energi'!$B$1:$AQ$1,0),FALSE)</f>
        <v>77.911000000000001</v>
      </c>
      <c r="M376" s="121">
        <f>VLOOKUP($B376,'Tillförd energi'!$B$1:$AI$720,MATCH(M$1,'Tillförd energi'!$B$1:$AQ$1,0),FALSE)</f>
        <v>9.0370000000000008</v>
      </c>
      <c r="N376" s="121">
        <f>VLOOKUP($B376,'Tillförd energi'!$B$1:$AI$720,MATCH(N$1,'Tillförd energi'!$B$1:$AQ$1,0),FALSE)</f>
        <v>1.6679999999999999</v>
      </c>
      <c r="O376" s="121">
        <f>VLOOKUP($B376,'Tillförd energi'!$B$1:$AI$720,MATCH(O$1,'Tillförd energi'!$B$1:$AQ$1,0),FALSE)</f>
        <v>1.514</v>
      </c>
      <c r="P376" s="121">
        <f>VLOOKUP($B376,'Tillförd energi'!$B$1:$AI$720,MATCH(P$1,'Tillförd energi'!$B$1:$AQ$1,0),FALSE)</f>
        <v>6.58</v>
      </c>
      <c r="Q376" s="121">
        <f>VLOOKUP($B376,'Tillförd energi'!$B$1:$AI$720,MATCH(Q$1,'Tillförd energi'!$B$1:$AQ$1,0),FALSE)</f>
        <v>0</v>
      </c>
      <c r="R376" s="121">
        <f>VLOOKUP($B376,'Tillförd energi'!$B$1:$AI$720,MATCH(R$1,'Tillförd energi'!$B$1:$AQ$1,0),FALSE)</f>
        <v>0</v>
      </c>
      <c r="S376" s="121">
        <f>VLOOKUP($B376,'Tillförd energi'!$B$1:$AI$720,MATCH(S$1,'Tillförd energi'!$B$1:$AQ$1,0),FALSE)</f>
        <v>0</v>
      </c>
      <c r="T376" s="121">
        <f>VLOOKUP($B376,'Tillförd energi'!$B$1:$AI$720,MATCH(T$1,'Tillförd energi'!$B$1:$AQ$1,0),FALSE)</f>
        <v>0</v>
      </c>
      <c r="U376" s="121">
        <f>VLOOKUP($B376,'Tillförd energi'!$B$1:$AI$720,MATCH(U$1,'Tillförd energi'!$B$1:$AQ$1,0),FALSE)</f>
        <v>0</v>
      </c>
      <c r="V376" s="121">
        <f>VLOOKUP($B376,'Tillförd energi'!$B$1:$AI$720,MATCH(V$1,'Tillförd energi'!$B$1:$AQ$1,0),FALSE)</f>
        <v>0</v>
      </c>
      <c r="W376" s="121">
        <f>VLOOKUP($B376,'Tillförd energi'!$B$1:$AI$720,MATCH(W$1,'Tillförd energi'!$B$1:$AQ$1,0),FALSE)</f>
        <v>10.776</v>
      </c>
      <c r="X376" s="121">
        <f>VLOOKUP($B376,'Tillförd energi'!$B$1:$AI$720,MATCH(X$1,'Tillförd energi'!$B$1:$AQ$1,0),FALSE)</f>
        <v>0</v>
      </c>
      <c r="Y376" s="121">
        <f>VLOOKUP($B376,'Tillförd energi'!$B$1:$AI$720,MATCH(Y$1,'Tillförd energi'!$B$1:$AQ$1,0),FALSE)</f>
        <v>0</v>
      </c>
      <c r="Z376" s="121">
        <f>VLOOKUP($B376,'Tillförd energi'!$B$1:$AI$720,MATCH(Z$1,'Tillförd energi'!$B$1:$AQ$1,0),FALSE)</f>
        <v>3.0000000000000001E-3</v>
      </c>
      <c r="AA376" s="121">
        <f>VLOOKUP($B376,'Tillförd energi'!$B$1:$AI$720,MATCH(AA$1,'Tillförd energi'!$B$1:$AQ$1,0),FALSE)</f>
        <v>0</v>
      </c>
      <c r="AB376" s="121">
        <f>VLOOKUP($B376,'Tillförd energi'!$B$1:$AI$720,MATCH(AB$1,'Tillförd energi'!$B$1:$AQ$1,0),FALSE)</f>
        <v>0</v>
      </c>
      <c r="AC376" s="121">
        <f>VLOOKUP($B376,'Tillförd energi'!$B$1:$AI$720,MATCH(AC$1,'Tillförd energi'!$B$1:$AQ$1,0),FALSE)</f>
        <v>15.694000000000001</v>
      </c>
      <c r="AD376" s="121">
        <f>VLOOKUP($B376,'Tillförd energi'!$B$1:$AI$720,MATCH(AD$1,'Tillförd energi'!$B$1:$AQ$1,0),FALSE)</f>
        <v>1.349</v>
      </c>
      <c r="AE376" s="121">
        <f>VLOOKUP($B376,'Tillförd energi'!$B$1:$AI$720,MATCH(AE$1,'Tillförd energi'!$B$1:$AQ$1,0),FALSE)</f>
        <v>0</v>
      </c>
      <c r="AF376" s="121">
        <f>VLOOKUP($B376,'Tillförd energi'!$B$1:$AI$720,MATCH(AF$1,'Tillförd energi'!$B$1:$AQ$1,0),FALSE)</f>
        <v>4.0830000000000002</v>
      </c>
      <c r="AG376" s="121">
        <f>IFERROR(VLOOKUP(B376,Miljö!$B$1:$AC$550,MATCH("Köpt mängd produktionsspecifik fjärrvärme:",Miljö!$B$1:$AC$1,0),FALSE)/1,0)</f>
        <v>0</v>
      </c>
      <c r="AH376" s="121"/>
      <c r="AI376" s="121">
        <f t="shared" si="132"/>
        <v>131.173</v>
      </c>
      <c r="AJ376" s="121">
        <f t="shared" si="133"/>
        <v>131.173</v>
      </c>
      <c r="AK376" s="121">
        <f>IF(ISERROR(1/VLOOKUP($B376,Leveranser!$B$1:$S$499,MATCH("såld värme (gwh)",Leveranser!$B$1:$S$1,0),FALSE)),"",VLOOKUP($B376,Leveranser!$B$1:$S$499,MATCH("såld värme (gwh)",Leveranser!$B$1:$S$1,0),FALSE))</f>
        <v>101.849</v>
      </c>
      <c r="AL376" s="121">
        <f>VLOOKUP($B376,Leveranser!$B$1:$Y$499,MATCH("Totalt såld fjärrvärme till andra fjärrvärmeföretag",Leveranser!$B$1:$AA$1,0),FALSE)</f>
        <v>0</v>
      </c>
      <c r="AM376" s="121">
        <f>IF(ISERROR(1/VLOOKUP($B376,Miljö!$B$1:$S$500,MATCH("Såld mängd produktionsspecifik fjärrvärme (GWh)",Miljö!$B$1:$R$1,0),FALSE)),0,VLOOKUP($B376,Miljö!$B$1:$S$500,MATCH("Såld mängd produktionsspecifik fjärrvärme (GWh)",Miljö!$B$1:$R$1,0),FALSE))</f>
        <v>0</v>
      </c>
      <c r="AN376" s="172">
        <f t="shared" si="134"/>
        <v>0.7764478970519848</v>
      </c>
      <c r="AO376" s="121"/>
      <c r="AP376" s="121" t="str">
        <f>IFERROR(VLOOKUP($B376,Miljövärden!$B$2:$H$550,7,FALSE),"Nej, saknas")</f>
        <v>Ja</v>
      </c>
      <c r="AQ376" s="121" t="str">
        <f>IFERROR(VLOOKUP($B376,Miljövärden!$B$2:$H$550,6,FALSE),"Nej, saknas")</f>
        <v>Ja</v>
      </c>
      <c r="AU376">
        <f t="shared" si="135"/>
        <v>4.0860000000000003</v>
      </c>
      <c r="AV376">
        <f t="shared" si="136"/>
        <v>0</v>
      </c>
      <c r="AW376">
        <f t="shared" si="137"/>
        <v>18.798999999999999</v>
      </c>
      <c r="AX376">
        <f t="shared" si="138"/>
        <v>0</v>
      </c>
      <c r="AZ376">
        <f t="shared" si="139"/>
        <v>107.486</v>
      </c>
      <c r="BC376">
        <f t="shared" si="140"/>
        <v>2.5579999999999998</v>
      </c>
      <c r="BD376">
        <f t="shared" si="141"/>
        <v>0</v>
      </c>
      <c r="BE376">
        <f t="shared" si="142"/>
        <v>29.574999999999999</v>
      </c>
      <c r="BF376">
        <f t="shared" si="143"/>
        <v>94.954000000000008</v>
      </c>
      <c r="BG376">
        <f t="shared" si="144"/>
        <v>4.0860000000000003</v>
      </c>
      <c r="BH376">
        <f>VLOOKUP(B376,Miljö!$B$1:$BX$482,MATCH("Fossilandel för ursprungspecificerad el ()",Miljö!$B$1:$I$1,0),FALSE)</f>
        <v>0</v>
      </c>
      <c r="BI376">
        <f>VLOOKUP(B376,Miljö!$B$1:$BX$482,MATCH("Kärnkraftsandel för ursprungsspecificerad el ()",Miljö!$B$1:$O$1,0),FALSE)</f>
        <v>0</v>
      </c>
      <c r="BJ376">
        <f t="shared" si="145"/>
        <v>0</v>
      </c>
      <c r="BK376" t="str">
        <f>VLOOKUP(B376,Miljö!$B$1:$O$482,MATCH("Fossil andel i procent (%)",Miljö!$B$1:$O$1,0),FALSE)</f>
        <v>ET</v>
      </c>
      <c r="BL376">
        <f t="shared" si="146"/>
        <v>131.173</v>
      </c>
      <c r="BO376" s="18">
        <f t="shared" si="147"/>
        <v>1.9500964375290645E-2</v>
      </c>
      <c r="BP376" s="18">
        <f t="shared" si="148"/>
        <v>0</v>
      </c>
      <c r="BQ376" s="18">
        <f t="shared" si="149"/>
        <v>0.25661530955303302</v>
      </c>
      <c r="BR376" s="18">
        <f t="shared" si="150"/>
        <v>0.72388372607167639</v>
      </c>
      <c r="BT376" s="27">
        <f t="shared" si="151"/>
        <v>1</v>
      </c>
      <c r="BW376" s="18">
        <f>IF(AP376="ja",VLOOKUP(B376,Miljövärden!$B$2:$H$550,MATCH("Total andel fossilt",Miljövärden!$B$2:$H$2,0),FALSE),"")</f>
        <v>1.9501000000000001E-2</v>
      </c>
      <c r="BZ376" s="28">
        <f t="shared" si="152"/>
        <v>3.5624709356085749E-8</v>
      </c>
      <c r="CA376" s="28">
        <f t="shared" si="153"/>
        <v>0</v>
      </c>
    </row>
    <row r="377" spans="1:79" x14ac:dyDescent="0.25">
      <c r="A377" s="224" t="s">
        <v>698</v>
      </c>
      <c r="B377" s="210" t="s">
        <v>702</v>
      </c>
      <c r="C377" s="121">
        <f>VLOOKUP($B377,'Tillförd energi'!$B$1:$AI$720,MATCH(C$1,'Tillförd energi'!$B$1:$AQ$1,0),FALSE)</f>
        <v>0</v>
      </c>
      <c r="D377" s="121">
        <f>VLOOKUP($B377,'Tillförd energi'!$B$1:$AI$720,MATCH(D$1,'Tillförd energi'!$B$1:$AQ$1,0),FALSE)</f>
        <v>0.409111</v>
      </c>
      <c r="E377" s="121">
        <f>VLOOKUP($B377,'Tillförd energi'!$B$1:$AI$720,MATCH(E$1,'Tillförd energi'!$B$1:$AQ$1,0),FALSE)</f>
        <v>0</v>
      </c>
      <c r="F377" s="121">
        <f>VLOOKUP($B377,'Tillförd energi'!$B$1:$AI$720,MATCH(F$1,'Tillförd energi'!$B$1:$AQ$1,0),FALSE)</f>
        <v>0</v>
      </c>
      <c r="G377" s="121">
        <f>VLOOKUP($B377,'Tillförd energi'!$B$1:$AI$720,MATCH(G$1,'Tillförd energi'!$B$1:$AQ$1,0),FALSE)</f>
        <v>0</v>
      </c>
      <c r="H377" s="121">
        <f>VLOOKUP($B377,'Tillförd energi'!$B$1:$AI$720,MATCH(H$1,'Tillförd energi'!$B$1:$AQ$1,0),FALSE)</f>
        <v>0</v>
      </c>
      <c r="I377" s="121">
        <f>VLOOKUP($B377,'Tillförd energi'!$B$1:$AI$720,MATCH(I$1,'Tillförd energi'!$B$1:$AQ$1,0),FALSE)</f>
        <v>0</v>
      </c>
      <c r="J377" s="121">
        <f>VLOOKUP($B377,'Tillförd energi'!$B$1:$AI$720,MATCH(J$1,'Tillförd energi'!$B$1:$AQ$1,0),FALSE)</f>
        <v>0</v>
      </c>
      <c r="K377" s="121">
        <f>VLOOKUP($B377,'Tillförd energi'!$B$1:$AI$720,MATCH(K$1,'Tillförd energi'!$B$1:$AQ$1,0),FALSE)</f>
        <v>0</v>
      </c>
      <c r="L377" s="121">
        <f>VLOOKUP($B377,'Tillförd energi'!$B$1:$AI$720,MATCH(L$1,'Tillförd energi'!$B$1:$AQ$1,0),FALSE)</f>
        <v>0</v>
      </c>
      <c r="M377" s="121">
        <f>VLOOKUP($B377,'Tillförd energi'!$B$1:$AI$720,MATCH(M$1,'Tillförd energi'!$B$1:$AQ$1,0),FALSE)</f>
        <v>0</v>
      </c>
      <c r="N377" s="121">
        <f>VLOOKUP($B377,'Tillförd energi'!$B$1:$AI$720,MATCH(N$1,'Tillförd energi'!$B$1:$AQ$1,0),FALSE)</f>
        <v>0</v>
      </c>
      <c r="O377" s="121">
        <f>VLOOKUP($B377,'Tillförd energi'!$B$1:$AI$720,MATCH(O$1,'Tillförd energi'!$B$1:$AQ$1,0),FALSE)</f>
        <v>0</v>
      </c>
      <c r="P377" s="121">
        <f>VLOOKUP($B377,'Tillförd energi'!$B$1:$AI$720,MATCH(P$1,'Tillförd energi'!$B$1:$AQ$1,0),FALSE)</f>
        <v>0</v>
      </c>
      <c r="Q377" s="121">
        <f>VLOOKUP($B377,'Tillförd energi'!$B$1:$AI$720,MATCH(Q$1,'Tillförd energi'!$B$1:$AQ$1,0),FALSE)</f>
        <v>0</v>
      </c>
      <c r="R377" s="121">
        <f>VLOOKUP($B377,'Tillförd energi'!$B$1:$AI$720,MATCH(R$1,'Tillförd energi'!$B$1:$AQ$1,0),FALSE)</f>
        <v>1.5755600000000001</v>
      </c>
      <c r="S377" s="121">
        <f>VLOOKUP($B377,'Tillförd energi'!$B$1:$AI$720,MATCH(S$1,'Tillförd energi'!$B$1:$AQ$1,0),FALSE)</f>
        <v>0</v>
      </c>
      <c r="T377" s="121">
        <f>VLOOKUP($B377,'Tillförd energi'!$B$1:$AI$720,MATCH(T$1,'Tillförd energi'!$B$1:$AQ$1,0),FALSE)</f>
        <v>0</v>
      </c>
      <c r="U377" s="121">
        <f>VLOOKUP($B377,'Tillförd energi'!$B$1:$AI$720,MATCH(U$1,'Tillförd energi'!$B$1:$AQ$1,0),FALSE)</f>
        <v>0</v>
      </c>
      <c r="V377" s="121">
        <f>VLOOKUP($B377,'Tillförd energi'!$B$1:$AI$720,MATCH(V$1,'Tillförd energi'!$B$1:$AQ$1,0),FALSE)</f>
        <v>0</v>
      </c>
      <c r="W377" s="121">
        <f>VLOOKUP($B377,'Tillförd energi'!$B$1:$AI$720,MATCH(W$1,'Tillförd energi'!$B$1:$AQ$1,0),FALSE)</f>
        <v>0</v>
      </c>
      <c r="X377" s="121">
        <f>VLOOKUP($B377,'Tillförd energi'!$B$1:$AI$720,MATCH(X$1,'Tillförd energi'!$B$1:$AQ$1,0),FALSE)</f>
        <v>0</v>
      </c>
      <c r="Y377" s="121">
        <f>VLOOKUP($B377,'Tillförd energi'!$B$1:$AI$720,MATCH(Y$1,'Tillförd energi'!$B$1:$AQ$1,0),FALSE)</f>
        <v>0</v>
      </c>
      <c r="Z377" s="121">
        <f>VLOOKUP($B377,'Tillförd energi'!$B$1:$AI$720,MATCH(Z$1,'Tillförd energi'!$B$1:$AQ$1,0),FALSE)</f>
        <v>0</v>
      </c>
      <c r="AA377" s="121">
        <f>VLOOKUP($B377,'Tillförd energi'!$B$1:$AI$720,MATCH(AA$1,'Tillförd energi'!$B$1:$AQ$1,0),FALSE)</f>
        <v>0</v>
      </c>
      <c r="AB377" s="121">
        <f>VLOOKUP($B377,'Tillförd energi'!$B$1:$AI$720,MATCH(AB$1,'Tillförd energi'!$B$1:$AQ$1,0),FALSE)</f>
        <v>0</v>
      </c>
      <c r="AC377" s="121">
        <f>VLOOKUP($B377,'Tillförd energi'!$B$1:$AI$720,MATCH(AC$1,'Tillförd energi'!$B$1:$AQ$1,0),FALSE)</f>
        <v>0</v>
      </c>
      <c r="AD377" s="121">
        <f>VLOOKUP($B377,'Tillförd energi'!$B$1:$AI$720,MATCH(AD$1,'Tillförd energi'!$B$1:$AQ$1,0),FALSE)</f>
        <v>18.989000000000001</v>
      </c>
      <c r="AE377" s="121">
        <f>VLOOKUP($B377,'Tillförd energi'!$B$1:$AI$720,MATCH(AE$1,'Tillförd energi'!$B$1:$AQ$1,0),FALSE)</f>
        <v>0</v>
      </c>
      <c r="AF377" s="121">
        <f>VLOOKUP($B377,'Tillförd energi'!$B$1:$AI$720,MATCH(AF$1,'Tillförd energi'!$B$1:$AQ$1,0),FALSE)</f>
        <v>8.6999999999999994E-2</v>
      </c>
      <c r="AG377" s="121">
        <f>IFERROR(VLOOKUP(B377,Miljö!$B$1:$AC$550,MATCH("Köpt mängd produktionsspecifik fjärrvärme:",Miljö!$B$1:$AC$1,0),FALSE)/1,0)</f>
        <v>0</v>
      </c>
      <c r="AH377" s="121"/>
      <c r="AI377" s="121">
        <f t="shared" si="132"/>
        <v>21.060670999999999</v>
      </c>
      <c r="AJ377" s="121">
        <f t="shared" si="133"/>
        <v>21.060670999999999</v>
      </c>
      <c r="AK377" s="121">
        <f>IF(ISERROR(1/VLOOKUP($B377,Leveranser!$B$1:$S$499,MATCH("såld värme (gwh)",Leveranser!$B$1:$S$1,0),FALSE)),"",VLOOKUP($B377,Leveranser!$B$1:$S$499,MATCH("såld värme (gwh)",Leveranser!$B$1:$S$1,0),FALSE))</f>
        <v>18.561</v>
      </c>
      <c r="AL377" s="121">
        <f>VLOOKUP($B377,Leveranser!$B$1:$Y$499,MATCH("Totalt såld fjärrvärme till andra fjärrvärmeföretag",Leveranser!$B$1:$AA$1,0),FALSE)</f>
        <v>0</v>
      </c>
      <c r="AM377" s="121">
        <f>IF(ISERROR(1/VLOOKUP($B377,Miljö!$B$1:$S$500,MATCH("Såld mängd produktionsspecifik fjärrvärme (GWh)",Miljö!$B$1:$R$1,0),FALSE)),0,VLOOKUP($B377,Miljö!$B$1:$S$500,MATCH("Såld mängd produktionsspecifik fjärrvärme (GWh)",Miljö!$B$1:$R$1,0),FALSE))</f>
        <v>0</v>
      </c>
      <c r="AN377" s="172">
        <f t="shared" si="134"/>
        <v>0.88131095158364137</v>
      </c>
      <c r="AO377" s="121"/>
      <c r="AP377" s="121" t="str">
        <f>IFERROR(VLOOKUP($B377,Miljövärden!$B$2:$H$550,7,FALSE),"Nej, saknas")</f>
        <v>Ja</v>
      </c>
      <c r="AQ377" s="121" t="str">
        <f>IFERROR(VLOOKUP($B377,Miljövärden!$B$2:$H$550,6,FALSE),"Nej, saknas")</f>
        <v>Ja</v>
      </c>
      <c r="AU377">
        <f t="shared" si="135"/>
        <v>8.6999999999999994E-2</v>
      </c>
      <c r="AV377">
        <f t="shared" si="136"/>
        <v>0</v>
      </c>
      <c r="AW377">
        <f t="shared" si="137"/>
        <v>0</v>
      </c>
      <c r="AX377">
        <f t="shared" si="138"/>
        <v>1.5755600000000001</v>
      </c>
      <c r="AZ377">
        <f t="shared" si="139"/>
        <v>1.5755600000000001</v>
      </c>
      <c r="BC377">
        <f t="shared" si="140"/>
        <v>0.409111</v>
      </c>
      <c r="BD377">
        <f t="shared" si="141"/>
        <v>0</v>
      </c>
      <c r="BE377">
        <f t="shared" si="142"/>
        <v>1.5755600000000001</v>
      </c>
      <c r="BF377">
        <f t="shared" si="143"/>
        <v>18.989000000000001</v>
      </c>
      <c r="BG377">
        <f t="shared" si="144"/>
        <v>8.6999999999999994E-2</v>
      </c>
      <c r="BH377">
        <f>VLOOKUP(B377,Miljö!$B$1:$BX$482,MATCH("Fossilandel för ursprungspecificerad el ()",Miljö!$B$1:$I$1,0),FALSE)</f>
        <v>0.43</v>
      </c>
      <c r="BI377">
        <f>VLOOKUP(B377,Miljö!$B$1:$BX$482,MATCH("Kärnkraftsandel för ursprungsspecificerad el ()",Miljö!$B$1:$O$1,0),FALSE)</f>
        <v>0.40550000000000003</v>
      </c>
      <c r="BJ377">
        <f t="shared" si="145"/>
        <v>0</v>
      </c>
      <c r="BK377" t="str">
        <f>VLOOKUP(B377,Miljö!$B$1:$O$482,MATCH("Fossil andel i procent (%)",Miljö!$B$1:$O$1,0),FALSE)</f>
        <v>ET</v>
      </c>
      <c r="BL377">
        <f t="shared" si="146"/>
        <v>21.060670999999999</v>
      </c>
      <c r="BO377" s="18">
        <f t="shared" si="147"/>
        <v>2.1201651172462643E-2</v>
      </c>
      <c r="BP377" s="18">
        <f t="shared" si="148"/>
        <v>1.6750890795454712E-3</v>
      </c>
      <c r="BQ377" s="18">
        <f t="shared" si="149"/>
        <v>7.5490068668752297E-2</v>
      </c>
      <c r="BR377" s="18">
        <f t="shared" si="150"/>
        <v>0.90163319107923967</v>
      </c>
      <c r="BT377" s="27">
        <f t="shared" si="151"/>
        <v>1</v>
      </c>
      <c r="BW377" s="18">
        <f>IF(AP377="ja",VLOOKUP(B377,Miljövärden!$B$2:$H$550,MATCH("Total andel fossilt",Miljövärden!$B$2:$H$2,0),FALSE),"")</f>
        <v>2.1201600000000001E-2</v>
      </c>
      <c r="BZ377" s="28">
        <f t="shared" si="152"/>
        <v>-5.1172462642301575E-8</v>
      </c>
      <c r="CA377" s="28">
        <f t="shared" si="153"/>
        <v>0</v>
      </c>
    </row>
    <row r="378" spans="1:79" x14ac:dyDescent="0.25">
      <c r="A378" s="224" t="s">
        <v>703</v>
      </c>
      <c r="B378" s="210" t="s">
        <v>704</v>
      </c>
      <c r="C378" s="121">
        <f>VLOOKUP($B378,'Tillförd energi'!$B$1:$AI$720,MATCH(C$1,'Tillförd energi'!$B$1:$AQ$1,0),FALSE)</f>
        <v>0</v>
      </c>
      <c r="D378" s="121">
        <f>VLOOKUP($B378,'Tillförd energi'!$B$1:$AI$720,MATCH(D$1,'Tillförd energi'!$B$1:$AQ$1,0),FALSE)</f>
        <v>0.41</v>
      </c>
      <c r="E378" s="121">
        <f>VLOOKUP($B378,'Tillförd energi'!$B$1:$AI$720,MATCH(E$1,'Tillförd energi'!$B$1:$AQ$1,0),FALSE)</f>
        <v>0</v>
      </c>
      <c r="F378" s="121">
        <f>VLOOKUP($B378,'Tillförd energi'!$B$1:$AI$720,MATCH(F$1,'Tillförd energi'!$B$1:$AQ$1,0),FALSE)</f>
        <v>0</v>
      </c>
      <c r="G378" s="121">
        <f>VLOOKUP($B378,'Tillförd energi'!$B$1:$AI$720,MATCH(G$1,'Tillförd energi'!$B$1:$AQ$1,0),FALSE)</f>
        <v>0</v>
      </c>
      <c r="H378" s="121">
        <f>VLOOKUP($B378,'Tillförd energi'!$B$1:$AI$720,MATCH(H$1,'Tillförd energi'!$B$1:$AQ$1,0),FALSE)</f>
        <v>0</v>
      </c>
      <c r="I378" s="121">
        <f>VLOOKUP($B378,'Tillförd energi'!$B$1:$AI$720,MATCH(I$1,'Tillförd energi'!$B$1:$AQ$1,0),FALSE)</f>
        <v>0</v>
      </c>
      <c r="J378" s="121">
        <f>VLOOKUP($B378,'Tillförd energi'!$B$1:$AI$720,MATCH(J$1,'Tillförd energi'!$B$1:$AQ$1,0),FALSE)</f>
        <v>0</v>
      </c>
      <c r="K378" s="121">
        <f>VLOOKUP($B378,'Tillförd energi'!$B$1:$AI$720,MATCH(K$1,'Tillförd energi'!$B$1:$AQ$1,0),FALSE)</f>
        <v>0</v>
      </c>
      <c r="L378" s="121">
        <f>VLOOKUP($B378,'Tillförd energi'!$B$1:$AI$720,MATCH(L$1,'Tillförd energi'!$B$1:$AQ$1,0),FALSE)</f>
        <v>0</v>
      </c>
      <c r="M378" s="121">
        <f>VLOOKUP($B378,'Tillförd energi'!$B$1:$AI$720,MATCH(M$1,'Tillförd energi'!$B$1:$AQ$1,0),FALSE)</f>
        <v>0</v>
      </c>
      <c r="N378" s="121">
        <f>VLOOKUP($B378,'Tillförd energi'!$B$1:$AI$720,MATCH(N$1,'Tillförd energi'!$B$1:$AQ$1,0),FALSE)</f>
        <v>0</v>
      </c>
      <c r="O378" s="121">
        <f>VLOOKUP($B378,'Tillförd energi'!$B$1:$AI$720,MATCH(O$1,'Tillförd energi'!$B$1:$AQ$1,0),FALSE)</f>
        <v>0</v>
      </c>
      <c r="P378" s="121">
        <f>VLOOKUP($B378,'Tillförd energi'!$B$1:$AI$720,MATCH(P$1,'Tillförd energi'!$B$1:$AQ$1,0),FALSE)</f>
        <v>10.409000000000001</v>
      </c>
      <c r="Q378" s="121">
        <f>VLOOKUP($B378,'Tillförd energi'!$B$1:$AI$720,MATCH(Q$1,'Tillförd energi'!$B$1:$AQ$1,0),FALSE)</f>
        <v>0</v>
      </c>
      <c r="R378" s="121">
        <f>VLOOKUP($B378,'Tillförd energi'!$B$1:$AI$720,MATCH(R$1,'Tillförd energi'!$B$1:$AQ$1,0),FALSE)</f>
        <v>0</v>
      </c>
      <c r="S378" s="121">
        <f>VLOOKUP($B378,'Tillförd energi'!$B$1:$AI$720,MATCH(S$1,'Tillförd energi'!$B$1:$AQ$1,0),FALSE)</f>
        <v>0</v>
      </c>
      <c r="T378" s="121">
        <f>VLOOKUP($B378,'Tillförd energi'!$B$1:$AI$720,MATCH(T$1,'Tillförd energi'!$B$1:$AQ$1,0),FALSE)</f>
        <v>0</v>
      </c>
      <c r="U378" s="121">
        <f>VLOOKUP($B378,'Tillförd energi'!$B$1:$AI$720,MATCH(U$1,'Tillförd energi'!$B$1:$AQ$1,0),FALSE)</f>
        <v>0</v>
      </c>
      <c r="V378" s="121">
        <f>VLOOKUP($B378,'Tillförd energi'!$B$1:$AI$720,MATCH(V$1,'Tillförd energi'!$B$1:$AQ$1,0),FALSE)</f>
        <v>0</v>
      </c>
      <c r="W378" s="121">
        <f>VLOOKUP($B378,'Tillförd energi'!$B$1:$AI$720,MATCH(W$1,'Tillförd energi'!$B$1:$AQ$1,0),FALSE)</f>
        <v>0</v>
      </c>
      <c r="X378" s="121">
        <f>VLOOKUP($B378,'Tillförd energi'!$B$1:$AI$720,MATCH(X$1,'Tillförd energi'!$B$1:$AQ$1,0),FALSE)</f>
        <v>0</v>
      </c>
      <c r="Y378" s="121">
        <f>VLOOKUP($B378,'Tillförd energi'!$B$1:$AI$720,MATCH(Y$1,'Tillförd energi'!$B$1:$AQ$1,0),FALSE)</f>
        <v>0</v>
      </c>
      <c r="Z378" s="121">
        <f>VLOOKUP($B378,'Tillförd energi'!$B$1:$AI$720,MATCH(Z$1,'Tillförd energi'!$B$1:$AQ$1,0),FALSE)</f>
        <v>0</v>
      </c>
      <c r="AA378" s="121">
        <f>VLOOKUP($B378,'Tillförd energi'!$B$1:$AI$720,MATCH(AA$1,'Tillförd energi'!$B$1:$AQ$1,0),FALSE)</f>
        <v>0</v>
      </c>
      <c r="AB378" s="121">
        <f>VLOOKUP($B378,'Tillförd energi'!$B$1:$AI$720,MATCH(AB$1,'Tillförd energi'!$B$1:$AQ$1,0),FALSE)</f>
        <v>0</v>
      </c>
      <c r="AC378" s="121">
        <f>VLOOKUP($B378,'Tillförd energi'!$B$1:$AI$720,MATCH(AC$1,'Tillförd energi'!$B$1:$AQ$1,0),FALSE)</f>
        <v>0</v>
      </c>
      <c r="AD378" s="121">
        <f>VLOOKUP($B378,'Tillförd energi'!$B$1:$AI$720,MATCH(AD$1,'Tillförd energi'!$B$1:$AQ$1,0),FALSE)</f>
        <v>0</v>
      </c>
      <c r="AE378" s="121">
        <f>VLOOKUP($B378,'Tillförd energi'!$B$1:$AI$720,MATCH(AE$1,'Tillförd energi'!$B$1:$AQ$1,0),FALSE)</f>
        <v>0</v>
      </c>
      <c r="AF378" s="121">
        <f>VLOOKUP($B378,'Tillförd energi'!$B$1:$AI$720,MATCH(AF$1,'Tillförd energi'!$B$1:$AQ$1,0),FALSE)</f>
        <v>0.28999999999999998</v>
      </c>
      <c r="AG378" s="121">
        <f>IFERROR(VLOOKUP(B378,Miljö!$B$1:$AC$550,MATCH("Köpt mängd produktionsspecifik fjärrvärme:",Miljö!$B$1:$AC$1,0),FALSE)/1,0)</f>
        <v>0</v>
      </c>
      <c r="AH378" s="121"/>
      <c r="AI378" s="121">
        <f t="shared" ref="AI378:AI407" si="154">SUM(C378:AF378)</f>
        <v>11.109</v>
      </c>
      <c r="AJ378" s="121">
        <f t="shared" ref="AJ378:AJ407" si="155">SUM(C378:AG378)</f>
        <v>11.109</v>
      </c>
      <c r="AK378" s="121">
        <f>IF(ISERROR(1/VLOOKUP($B378,Leveranser!$B$1:$S$499,MATCH("såld värme (gwh)",Leveranser!$B$1:$S$1,0),FALSE)),"",VLOOKUP($B378,Leveranser!$B$1:$S$499,MATCH("såld värme (gwh)",Leveranser!$B$1:$S$1,0),FALSE))</f>
        <v>6.3</v>
      </c>
      <c r="AL378" s="121">
        <f>VLOOKUP($B378,Leveranser!$B$1:$Y$499,MATCH("Totalt såld fjärrvärme till andra fjärrvärmeföretag",Leveranser!$B$1:$AA$1,0),FALSE)</f>
        <v>0</v>
      </c>
      <c r="AM378" s="121">
        <f>IF(ISERROR(1/VLOOKUP($B378,Miljö!$B$1:$S$500,MATCH("Såld mängd produktionsspecifik fjärrvärme (GWh)",Miljö!$B$1:$R$1,0),FALSE)),0,VLOOKUP($B378,Miljö!$B$1:$S$500,MATCH("Såld mängd produktionsspecifik fjärrvärme (GWh)",Miljö!$B$1:$R$1,0),FALSE))</f>
        <v>0</v>
      </c>
      <c r="AN378" s="172">
        <f t="shared" ref="AN378:AN407" si="156">IFERROR(AK378/AJ378,"")</f>
        <v>0.56710775047258977</v>
      </c>
      <c r="AO378" s="121"/>
      <c r="AP378" s="121" t="str">
        <f>IFERROR(VLOOKUP($B378,Miljövärden!$B$2:$H$550,7,FALSE),"Nej, saknas")</f>
        <v>Ja</v>
      </c>
      <c r="AQ378" s="121" t="str">
        <f>IFERROR(VLOOKUP($B378,Miljövärden!$B$2:$H$550,6,FALSE),"Nej, saknas")</f>
        <v>Nej</v>
      </c>
      <c r="AU378">
        <f t="shared" ref="AU378:AU407" si="157">Z378+AA378+AF378</f>
        <v>0.28999999999999998</v>
      </c>
      <c r="AV378">
        <f t="shared" ref="AV378:AV407" si="158">X378</f>
        <v>0</v>
      </c>
      <c r="AW378">
        <f t="shared" ref="AW378:AW407" si="159">M378+N378+O378+P378+Q378</f>
        <v>10.409000000000001</v>
      </c>
      <c r="AX378">
        <f t="shared" ref="AX378:AX407" si="160">R378+S378+T378+U378</f>
        <v>0</v>
      </c>
      <c r="AZ378">
        <f t="shared" ref="AZ378:AZ407" si="161">L378+M378+N378+O378+P378+Q378+R378+S378+T378+U378+V378+W378+X378</f>
        <v>10.409000000000001</v>
      </c>
      <c r="BC378">
        <f t="shared" ref="BC378:BC407" si="162">C378+D378+E378+F378+G378+H378+AE378</f>
        <v>0.41</v>
      </c>
      <c r="BD378">
        <f t="shared" ref="BD378:BD407" si="163">Y378</f>
        <v>0</v>
      </c>
      <c r="BE378">
        <f t="shared" ref="BE378:BE407" si="164">M378+N378+O378+P378+Q378+R378+S378+T378+U378+V378+W378+X378</f>
        <v>10.409000000000001</v>
      </c>
      <c r="BF378">
        <f t="shared" ref="BF378:BF407" si="165">I378+J378+K378+L378+AB378+AC378+AD378</f>
        <v>0</v>
      </c>
      <c r="BG378">
        <f t="shared" ref="BG378:BG407" si="166">Z378+AA378+AF378</f>
        <v>0.28999999999999998</v>
      </c>
      <c r="BH378">
        <f>VLOOKUP(B378,Miljö!$B$1:$BX$482,MATCH("Fossilandel för ursprungspecificerad el ()",Miljö!$B$1:$I$1,0),FALSE)</f>
        <v>0.43</v>
      </c>
      <c r="BI378">
        <f>VLOOKUP(B378,Miljö!$B$1:$BX$482,MATCH("Kärnkraftsandel för ursprungsspecificerad el ()",Miljö!$B$1:$O$1,0),FALSE)</f>
        <v>0.40550000000000003</v>
      </c>
      <c r="BJ378">
        <f t="shared" ref="BJ378:BJ407" si="167">AG378</f>
        <v>0</v>
      </c>
      <c r="BK378" t="str">
        <f>VLOOKUP(B378,Miljö!$B$1:$O$482,MATCH("Fossil andel i procent (%)",Miljö!$B$1:$O$1,0),FALSE)</f>
        <v>ET</v>
      </c>
      <c r="BL378">
        <f t="shared" ref="BL378:BL407" si="168">SUM(BC378:BG378,BJ378)</f>
        <v>11.109</v>
      </c>
      <c r="BO378" s="18">
        <f t="shared" ref="BO378:BO407" si="169">IF(AP378="ja",(BC378+IFERROR(BG378*BH378,0)+IFERROR(BJ378*BK378/100,0))/$BL378,"")</f>
        <v>4.8132145107570433E-2</v>
      </c>
      <c r="BP378" s="18">
        <f t="shared" ref="BP378:BP407" si="170">IF(AP378="ja",(BD378+IFERROR(BG378*BI378,0)+IFERROR(BJ378*(1-BK378/100),0))/$BL378,"")</f>
        <v>1.0585561256638763E-2</v>
      </c>
      <c r="BQ378" s="18">
        <f t="shared" ref="BQ378:BQ407" si="171">IF(AP378="ja",(BE378+IFERROR(BG378*(1-BH378-BI378),0))/$BL378,"")</f>
        <v>0.94128229363579097</v>
      </c>
      <c r="BR378" s="18">
        <f t="shared" ref="BR378:BR407" si="172">IF(AP378="ja",BF378/$BL378,"")</f>
        <v>0</v>
      </c>
      <c r="BT378" s="27">
        <f t="shared" ref="BT378:BT407" si="173">SUM(BO378:BR378)</f>
        <v>1.0000000000000002</v>
      </c>
      <c r="BW378" s="18">
        <f>IF(AP378="ja",VLOOKUP(B378,Miljövärden!$B$2:$H$550,MATCH("Total andel fossilt",Miljövärden!$B$2:$H$2,0),FALSE),"")</f>
        <v>4.8132099999999997E-2</v>
      </c>
      <c r="BZ378" s="28">
        <f t="shared" ref="BZ378:BZ407" si="174">IFERROR(BW378-BO378,"")</f>
        <v>-4.5107570435798383E-8</v>
      </c>
      <c r="CA378" s="28">
        <f t="shared" ref="CA378:CA407" si="175">IFERROR(ROUND(BW378,3)-ROUND(BO378,3),"")</f>
        <v>0</v>
      </c>
    </row>
    <row r="379" spans="1:79" x14ac:dyDescent="0.25">
      <c r="A379" s="224" t="s">
        <v>703</v>
      </c>
      <c r="B379" s="210" t="s">
        <v>705</v>
      </c>
      <c r="C379" s="121">
        <f>VLOOKUP($B379,'Tillförd energi'!$B$1:$AI$720,MATCH(C$1,'Tillförd energi'!$B$1:$AQ$1,0),FALSE)</f>
        <v>0</v>
      </c>
      <c r="D379" s="121">
        <f>VLOOKUP($B379,'Tillförd energi'!$B$1:$AI$720,MATCH(D$1,'Tillförd energi'!$B$1:$AQ$1,0),FALSE)</f>
        <v>4.68</v>
      </c>
      <c r="E379" s="121">
        <f>VLOOKUP($B379,'Tillförd energi'!$B$1:$AI$720,MATCH(E$1,'Tillförd energi'!$B$1:$AQ$1,0),FALSE)</f>
        <v>0</v>
      </c>
      <c r="F379" s="121">
        <f>VLOOKUP($B379,'Tillförd energi'!$B$1:$AI$720,MATCH(F$1,'Tillförd energi'!$B$1:$AQ$1,0),FALSE)</f>
        <v>0</v>
      </c>
      <c r="G379" s="121">
        <f>VLOOKUP($B379,'Tillförd energi'!$B$1:$AI$720,MATCH(G$1,'Tillförd energi'!$B$1:$AQ$1,0),FALSE)</f>
        <v>0</v>
      </c>
      <c r="H379" s="121">
        <f>VLOOKUP($B379,'Tillförd energi'!$B$1:$AI$720,MATCH(H$1,'Tillförd energi'!$B$1:$AQ$1,0),FALSE)</f>
        <v>0</v>
      </c>
      <c r="I379" s="121">
        <f>VLOOKUP($B379,'Tillförd energi'!$B$1:$AI$720,MATCH(I$1,'Tillförd energi'!$B$1:$AQ$1,0),FALSE)</f>
        <v>0</v>
      </c>
      <c r="J379" s="121">
        <f>VLOOKUP($B379,'Tillförd energi'!$B$1:$AI$720,MATCH(J$1,'Tillförd energi'!$B$1:$AQ$1,0),FALSE)</f>
        <v>0</v>
      </c>
      <c r="K379" s="121">
        <f>VLOOKUP($B379,'Tillförd energi'!$B$1:$AI$720,MATCH(K$1,'Tillförd energi'!$B$1:$AQ$1,0),FALSE)</f>
        <v>0</v>
      </c>
      <c r="L379" s="121">
        <f>VLOOKUP($B379,'Tillförd energi'!$B$1:$AI$720,MATCH(L$1,'Tillförd energi'!$B$1:$AQ$1,0),FALSE)</f>
        <v>0</v>
      </c>
      <c r="M379" s="121">
        <f>VLOOKUP($B379,'Tillförd energi'!$B$1:$AI$720,MATCH(M$1,'Tillförd energi'!$B$1:$AQ$1,0),FALSE)</f>
        <v>0</v>
      </c>
      <c r="N379" s="121">
        <f>VLOOKUP($B379,'Tillförd energi'!$B$1:$AI$720,MATCH(N$1,'Tillförd energi'!$B$1:$AQ$1,0),FALSE)</f>
        <v>15.7</v>
      </c>
      <c r="O379" s="121">
        <f>VLOOKUP($B379,'Tillförd energi'!$B$1:$AI$720,MATCH(O$1,'Tillförd energi'!$B$1:$AQ$1,0),FALSE)</f>
        <v>0</v>
      </c>
      <c r="P379" s="121">
        <f>VLOOKUP($B379,'Tillförd energi'!$B$1:$AI$720,MATCH(P$1,'Tillförd energi'!$B$1:$AQ$1,0),FALSE)</f>
        <v>16.38</v>
      </c>
      <c r="Q379" s="121">
        <f>VLOOKUP($B379,'Tillförd energi'!$B$1:$AI$720,MATCH(Q$1,'Tillförd energi'!$B$1:$AQ$1,0),FALSE)</f>
        <v>0</v>
      </c>
      <c r="R379" s="121">
        <f>VLOOKUP($B379,'Tillförd energi'!$B$1:$AI$720,MATCH(R$1,'Tillförd energi'!$B$1:$AQ$1,0),FALSE)</f>
        <v>0</v>
      </c>
      <c r="S379" s="121">
        <f>VLOOKUP($B379,'Tillförd energi'!$B$1:$AI$720,MATCH(S$1,'Tillförd energi'!$B$1:$AQ$1,0),FALSE)</f>
        <v>0</v>
      </c>
      <c r="T379" s="121">
        <f>VLOOKUP($B379,'Tillförd energi'!$B$1:$AI$720,MATCH(T$1,'Tillförd energi'!$B$1:$AQ$1,0),FALSE)</f>
        <v>0</v>
      </c>
      <c r="U379" s="121">
        <f>VLOOKUP($B379,'Tillförd energi'!$B$1:$AI$720,MATCH(U$1,'Tillförd energi'!$B$1:$AQ$1,0),FALSE)</f>
        <v>0</v>
      </c>
      <c r="V379" s="121">
        <f>VLOOKUP($B379,'Tillförd energi'!$B$1:$AI$720,MATCH(V$1,'Tillförd energi'!$B$1:$AQ$1,0),FALSE)</f>
        <v>0</v>
      </c>
      <c r="W379" s="121">
        <f>VLOOKUP($B379,'Tillförd energi'!$B$1:$AI$720,MATCH(W$1,'Tillförd energi'!$B$1:$AQ$1,0),FALSE)</f>
        <v>0</v>
      </c>
      <c r="X379" s="121">
        <f>VLOOKUP($B379,'Tillförd energi'!$B$1:$AI$720,MATCH(X$1,'Tillförd energi'!$B$1:$AQ$1,0),FALSE)</f>
        <v>0</v>
      </c>
      <c r="Y379" s="121">
        <f>VLOOKUP($B379,'Tillförd energi'!$B$1:$AI$720,MATCH(Y$1,'Tillförd energi'!$B$1:$AQ$1,0),FALSE)</f>
        <v>0</v>
      </c>
      <c r="Z379" s="121">
        <f>VLOOKUP($B379,'Tillförd energi'!$B$1:$AI$720,MATCH(Z$1,'Tillförd energi'!$B$1:$AQ$1,0),FALSE)</f>
        <v>0</v>
      </c>
      <c r="AA379" s="121">
        <f>VLOOKUP($B379,'Tillförd energi'!$B$1:$AI$720,MATCH(AA$1,'Tillförd energi'!$B$1:$AQ$1,0),FALSE)</f>
        <v>0</v>
      </c>
      <c r="AB379" s="121">
        <f>VLOOKUP($B379,'Tillförd energi'!$B$1:$AI$720,MATCH(AB$1,'Tillförd energi'!$B$1:$AQ$1,0),FALSE)</f>
        <v>0</v>
      </c>
      <c r="AC379" s="121">
        <f>VLOOKUP($B379,'Tillförd energi'!$B$1:$AI$720,MATCH(AC$1,'Tillförd energi'!$B$1:$AQ$1,0),FALSE)</f>
        <v>0</v>
      </c>
      <c r="AD379" s="121">
        <f>VLOOKUP($B379,'Tillförd energi'!$B$1:$AI$720,MATCH(AD$1,'Tillförd energi'!$B$1:$AQ$1,0),FALSE)</f>
        <v>0</v>
      </c>
      <c r="AE379" s="121">
        <f>VLOOKUP($B379,'Tillförd energi'!$B$1:$AI$720,MATCH(AE$1,'Tillförd energi'!$B$1:$AQ$1,0),FALSE)</f>
        <v>0</v>
      </c>
      <c r="AF379" s="121">
        <f>VLOOKUP($B379,'Tillförd energi'!$B$1:$AI$720,MATCH(AF$1,'Tillförd energi'!$B$1:$AQ$1,0),FALSE)</f>
        <v>0.872</v>
      </c>
      <c r="AG379" s="121">
        <f>IFERROR(VLOOKUP(B379,Miljö!$B$1:$AC$550,MATCH("Köpt mängd produktionsspecifik fjärrvärme:",Miljö!$B$1:$AC$1,0),FALSE)/1,0)</f>
        <v>0</v>
      </c>
      <c r="AH379" s="121"/>
      <c r="AI379" s="121">
        <f t="shared" si="154"/>
        <v>37.631999999999998</v>
      </c>
      <c r="AJ379" s="121">
        <f t="shared" si="155"/>
        <v>37.631999999999998</v>
      </c>
      <c r="AK379" s="121">
        <f>IF(ISERROR(1/VLOOKUP($B379,Leveranser!$B$1:$S$499,MATCH("såld värme (gwh)",Leveranser!$B$1:$S$1,0),FALSE)),"",VLOOKUP($B379,Leveranser!$B$1:$S$499,MATCH("såld värme (gwh)",Leveranser!$B$1:$S$1,0),FALSE))</f>
        <v>24.6</v>
      </c>
      <c r="AL379" s="121">
        <f>VLOOKUP($B379,Leveranser!$B$1:$Y$499,MATCH("Totalt såld fjärrvärme till andra fjärrvärmeföretag",Leveranser!$B$1:$AA$1,0),FALSE)</f>
        <v>0</v>
      </c>
      <c r="AM379" s="121">
        <f>IF(ISERROR(1/VLOOKUP($B379,Miljö!$B$1:$S$500,MATCH("Såld mängd produktionsspecifik fjärrvärme (GWh)",Miljö!$B$1:$R$1,0),FALSE)),0,VLOOKUP($B379,Miljö!$B$1:$S$500,MATCH("Såld mängd produktionsspecifik fjärrvärme (GWh)",Miljö!$B$1:$R$1,0),FALSE))</f>
        <v>0</v>
      </c>
      <c r="AN379" s="172">
        <f t="shared" si="156"/>
        <v>0.65369897959183676</v>
      </c>
      <c r="AO379" s="121"/>
      <c r="AP379" s="121" t="str">
        <f>IFERROR(VLOOKUP($B379,Miljövärden!$B$2:$H$550,7,FALSE),"Nej, saknas")</f>
        <v>Ja</v>
      </c>
      <c r="AQ379" s="121" t="str">
        <f>IFERROR(VLOOKUP($B379,Miljövärden!$B$2:$H$550,6,FALSE),"Nej, saknas")</f>
        <v>Nej</v>
      </c>
      <c r="AU379">
        <f t="shared" si="157"/>
        <v>0.872</v>
      </c>
      <c r="AV379">
        <f t="shared" si="158"/>
        <v>0</v>
      </c>
      <c r="AW379">
        <f t="shared" si="159"/>
        <v>32.08</v>
      </c>
      <c r="AX379">
        <f t="shared" si="160"/>
        <v>0</v>
      </c>
      <c r="AZ379">
        <f t="shared" si="161"/>
        <v>32.08</v>
      </c>
      <c r="BC379">
        <f t="shared" si="162"/>
        <v>4.68</v>
      </c>
      <c r="BD379">
        <f t="shared" si="163"/>
        <v>0</v>
      </c>
      <c r="BE379">
        <f t="shared" si="164"/>
        <v>32.08</v>
      </c>
      <c r="BF379">
        <f t="shared" si="165"/>
        <v>0</v>
      </c>
      <c r="BG379">
        <f t="shared" si="166"/>
        <v>0.872</v>
      </c>
      <c r="BH379">
        <f>VLOOKUP(B379,Miljö!$B$1:$BX$482,MATCH("Fossilandel för ursprungspecificerad el ()",Miljö!$B$1:$I$1,0),FALSE)</f>
        <v>0.43</v>
      </c>
      <c r="BI379">
        <f>VLOOKUP(B379,Miljö!$B$1:$BX$482,MATCH("Kärnkraftsandel för ursprungsspecificerad el ()",Miljö!$B$1:$O$1,0),FALSE)</f>
        <v>0.40550000000000003</v>
      </c>
      <c r="BJ379">
        <f t="shared" si="167"/>
        <v>0</v>
      </c>
      <c r="BK379" t="str">
        <f>VLOOKUP(B379,Miljö!$B$1:$O$482,MATCH("Fossil andel i procent (%)",Miljö!$B$1:$O$1,0),FALSE)</f>
        <v>ET</v>
      </c>
      <c r="BL379">
        <f t="shared" si="168"/>
        <v>37.631999999999998</v>
      </c>
      <c r="BO379" s="18">
        <f t="shared" si="169"/>
        <v>0.13432610544217685</v>
      </c>
      <c r="BP379" s="18">
        <f t="shared" si="170"/>
        <v>9.3961522108843547E-3</v>
      </c>
      <c r="BQ379" s="18">
        <f t="shared" si="171"/>
        <v>0.85627774234693887</v>
      </c>
      <c r="BR379" s="18">
        <f t="shared" si="172"/>
        <v>0</v>
      </c>
      <c r="BT379" s="27">
        <f t="shared" si="173"/>
        <v>1</v>
      </c>
      <c r="BW379" s="18">
        <f>IF(AP379="ja",VLOOKUP(B379,Miljövärden!$B$2:$H$550,MATCH("Total andel fossilt",Miljövärden!$B$2:$H$2,0),FALSE),"")</f>
        <v>0.134326</v>
      </c>
      <c r="BZ379" s="28">
        <f t="shared" si="174"/>
        <v>-1.0544217685093393E-7</v>
      </c>
      <c r="CA379" s="28">
        <f t="shared" si="175"/>
        <v>0</v>
      </c>
    </row>
    <row r="380" spans="1:79" x14ac:dyDescent="0.25">
      <c r="A380" s="224" t="s">
        <v>703</v>
      </c>
      <c r="B380" s="210" t="s">
        <v>706</v>
      </c>
      <c r="C380" s="121">
        <f>VLOOKUP($B380,'Tillförd energi'!$B$1:$AI$720,MATCH(C$1,'Tillförd energi'!$B$1:$AQ$1,0),FALSE)</f>
        <v>0</v>
      </c>
      <c r="D380" s="121">
        <f>VLOOKUP($B380,'Tillförd energi'!$B$1:$AI$720,MATCH(D$1,'Tillförd energi'!$B$1:$AQ$1,0),FALSE)</f>
        <v>4.4561099999999998</v>
      </c>
      <c r="E380" s="121">
        <f>VLOOKUP($B380,'Tillförd energi'!$B$1:$AI$720,MATCH(E$1,'Tillförd energi'!$B$1:$AQ$1,0),FALSE)</f>
        <v>0</v>
      </c>
      <c r="F380" s="121">
        <f>VLOOKUP($B380,'Tillförd energi'!$B$1:$AI$720,MATCH(F$1,'Tillförd energi'!$B$1:$AQ$1,0),FALSE)</f>
        <v>0</v>
      </c>
      <c r="G380" s="121">
        <f>VLOOKUP($B380,'Tillförd energi'!$B$1:$AI$720,MATCH(G$1,'Tillförd energi'!$B$1:$AQ$1,0),FALSE)</f>
        <v>0</v>
      </c>
      <c r="H380" s="121">
        <f>VLOOKUP($B380,'Tillförd energi'!$B$1:$AI$720,MATCH(H$1,'Tillförd energi'!$B$1:$AQ$1,0),FALSE)</f>
        <v>0</v>
      </c>
      <c r="I380" s="121">
        <f>VLOOKUP($B380,'Tillförd energi'!$B$1:$AI$720,MATCH(I$1,'Tillförd energi'!$B$1:$AQ$1,0),FALSE)</f>
        <v>177.626</v>
      </c>
      <c r="J380" s="121">
        <f>VLOOKUP($B380,'Tillförd energi'!$B$1:$AI$720,MATCH(J$1,'Tillförd energi'!$B$1:$AQ$1,0),FALSE)</f>
        <v>0</v>
      </c>
      <c r="K380" s="121">
        <f>VLOOKUP($B380,'Tillförd energi'!$B$1:$AI$720,MATCH(K$1,'Tillförd energi'!$B$1:$AQ$1,0),FALSE)</f>
        <v>0</v>
      </c>
      <c r="L380" s="121">
        <f>VLOOKUP($B380,'Tillförd energi'!$B$1:$AI$720,MATCH(L$1,'Tillförd energi'!$B$1:$AQ$1,0),FALSE)</f>
        <v>0</v>
      </c>
      <c r="M380" s="121">
        <f>VLOOKUP($B380,'Tillförd energi'!$B$1:$AI$720,MATCH(M$1,'Tillförd energi'!$B$1:$AQ$1,0),FALSE)</f>
        <v>0</v>
      </c>
      <c r="N380" s="121">
        <f>VLOOKUP($B380,'Tillförd energi'!$B$1:$AI$720,MATCH(N$1,'Tillförd energi'!$B$1:$AQ$1,0),FALSE)</f>
        <v>60.61</v>
      </c>
      <c r="O380" s="121">
        <f>VLOOKUP($B380,'Tillförd energi'!$B$1:$AI$720,MATCH(O$1,'Tillförd energi'!$B$1:$AQ$1,0),FALSE)</f>
        <v>0</v>
      </c>
      <c r="P380" s="121">
        <f>VLOOKUP($B380,'Tillförd energi'!$B$1:$AI$720,MATCH(P$1,'Tillförd energi'!$B$1:$AQ$1,0),FALSE)</f>
        <v>27.056000000000001</v>
      </c>
      <c r="Q380" s="121">
        <f>VLOOKUP($B380,'Tillförd energi'!$B$1:$AI$720,MATCH(Q$1,'Tillförd energi'!$B$1:$AQ$1,0),FALSE)</f>
        <v>0</v>
      </c>
      <c r="R380" s="121">
        <f>VLOOKUP($B380,'Tillförd energi'!$B$1:$AI$720,MATCH(R$1,'Tillförd energi'!$B$1:$AQ$1,0),FALSE)</f>
        <v>0</v>
      </c>
      <c r="S380" s="121">
        <f>VLOOKUP($B380,'Tillförd energi'!$B$1:$AI$720,MATCH(S$1,'Tillförd energi'!$B$1:$AQ$1,0),FALSE)</f>
        <v>0</v>
      </c>
      <c r="T380" s="121">
        <f>VLOOKUP($B380,'Tillförd energi'!$B$1:$AI$720,MATCH(T$1,'Tillförd energi'!$B$1:$AQ$1,0),FALSE)</f>
        <v>0</v>
      </c>
      <c r="U380" s="121">
        <f>VLOOKUP($B380,'Tillförd energi'!$B$1:$AI$720,MATCH(U$1,'Tillförd energi'!$B$1:$AQ$1,0),FALSE)</f>
        <v>0</v>
      </c>
      <c r="V380" s="121">
        <f>VLOOKUP($B380,'Tillförd energi'!$B$1:$AI$720,MATCH(V$1,'Tillförd energi'!$B$1:$AQ$1,0),FALSE)</f>
        <v>0</v>
      </c>
      <c r="W380" s="121">
        <f>VLOOKUP($B380,'Tillförd energi'!$B$1:$AI$720,MATCH(W$1,'Tillförd energi'!$B$1:$AQ$1,0),FALSE)</f>
        <v>0</v>
      </c>
      <c r="X380" s="121">
        <f>VLOOKUP($B380,'Tillförd energi'!$B$1:$AI$720,MATCH(X$1,'Tillförd energi'!$B$1:$AQ$1,0),FALSE)</f>
        <v>0</v>
      </c>
      <c r="Y380" s="121">
        <f>VLOOKUP($B380,'Tillförd energi'!$B$1:$AI$720,MATCH(Y$1,'Tillförd energi'!$B$1:$AQ$1,0),FALSE)</f>
        <v>0</v>
      </c>
      <c r="Z380" s="121">
        <f>VLOOKUP($B380,'Tillförd energi'!$B$1:$AI$720,MATCH(Z$1,'Tillförd energi'!$B$1:$AQ$1,0),FALSE)</f>
        <v>0</v>
      </c>
      <c r="AA380" s="121">
        <f>VLOOKUP($B380,'Tillförd energi'!$B$1:$AI$720,MATCH(AA$1,'Tillförd energi'!$B$1:$AQ$1,0),FALSE)</f>
        <v>0</v>
      </c>
      <c r="AB380" s="121">
        <f>VLOOKUP($B380,'Tillförd energi'!$B$1:$AI$720,MATCH(AB$1,'Tillförd energi'!$B$1:$AQ$1,0),FALSE)</f>
        <v>0</v>
      </c>
      <c r="AC380" s="121">
        <f>VLOOKUP($B380,'Tillförd energi'!$B$1:$AI$720,MATCH(AC$1,'Tillförd energi'!$B$1:$AQ$1,0),FALSE)</f>
        <v>10.87</v>
      </c>
      <c r="AD380" s="121">
        <f>VLOOKUP($B380,'Tillförd energi'!$B$1:$AI$720,MATCH(AD$1,'Tillförd energi'!$B$1:$AQ$1,0),FALSE)</f>
        <v>0</v>
      </c>
      <c r="AE380" s="121">
        <f>VLOOKUP($B380,'Tillförd energi'!$B$1:$AI$720,MATCH(AE$1,'Tillförd energi'!$B$1:$AQ$1,0),FALSE)</f>
        <v>0</v>
      </c>
      <c r="AF380" s="121">
        <f>VLOOKUP($B380,'Tillförd energi'!$B$1:$AI$720,MATCH(AF$1,'Tillförd energi'!$B$1:$AQ$1,0),FALSE)</f>
        <v>10.130800000000001</v>
      </c>
      <c r="AG380" s="121">
        <f>IFERROR(VLOOKUP(B380,Miljö!$B$1:$AC$550,MATCH("Köpt mängd produktionsspecifik fjärrvärme:",Miljö!$B$1:$AC$1,0),FALSE)/1,0)</f>
        <v>0</v>
      </c>
      <c r="AH380" s="121"/>
      <c r="AI380" s="121">
        <f t="shared" si="154"/>
        <v>290.74891000000002</v>
      </c>
      <c r="AJ380" s="121">
        <f t="shared" si="155"/>
        <v>290.74891000000002</v>
      </c>
      <c r="AK380" s="121">
        <f>IF(ISERROR(1/VLOOKUP($B380,Leveranser!$B$1:$S$499,MATCH("såld värme (gwh)",Leveranser!$B$1:$S$1,0),FALSE)),"",VLOOKUP($B380,Leveranser!$B$1:$S$499,MATCH("såld värme (gwh)",Leveranser!$B$1:$S$1,0),FALSE))</f>
        <v>177.5</v>
      </c>
      <c r="AL380" s="121">
        <f>VLOOKUP($B380,Leveranser!$B$1:$Y$499,MATCH("Totalt såld fjärrvärme till andra fjärrvärmeföretag",Leveranser!$B$1:$AA$1,0),FALSE)</f>
        <v>0</v>
      </c>
      <c r="AM380" s="121">
        <f>IF(ISERROR(1/VLOOKUP($B380,Miljö!$B$1:$S$500,MATCH("Såld mängd produktionsspecifik fjärrvärme (GWh)",Miljö!$B$1:$R$1,0),FALSE)),0,VLOOKUP($B380,Miljö!$B$1:$S$500,MATCH("Såld mängd produktionsspecifik fjärrvärme (GWh)",Miljö!$B$1:$R$1,0),FALSE))</f>
        <v>0</v>
      </c>
      <c r="AN380" s="172">
        <f t="shared" si="156"/>
        <v>0.61049240047022013</v>
      </c>
      <c r="AO380" s="121"/>
      <c r="AP380" s="121" t="str">
        <f>IFERROR(VLOOKUP($B380,Miljövärden!$B$2:$H$550,7,FALSE),"Nej, saknas")</f>
        <v>Ja</v>
      </c>
      <c r="AQ380" s="121" t="str">
        <f>IFERROR(VLOOKUP($B380,Miljövärden!$B$2:$H$550,6,FALSE),"Nej, saknas")</f>
        <v>Nej</v>
      </c>
      <c r="AU380">
        <f t="shared" si="157"/>
        <v>10.130800000000001</v>
      </c>
      <c r="AV380">
        <f t="shared" si="158"/>
        <v>0</v>
      </c>
      <c r="AW380">
        <f t="shared" si="159"/>
        <v>87.665999999999997</v>
      </c>
      <c r="AX380">
        <f t="shared" si="160"/>
        <v>0</v>
      </c>
      <c r="AZ380">
        <f t="shared" si="161"/>
        <v>87.665999999999997</v>
      </c>
      <c r="BC380">
        <f t="shared" si="162"/>
        <v>4.4561099999999998</v>
      </c>
      <c r="BD380">
        <f t="shared" si="163"/>
        <v>0</v>
      </c>
      <c r="BE380">
        <f t="shared" si="164"/>
        <v>87.665999999999997</v>
      </c>
      <c r="BF380">
        <f t="shared" si="165"/>
        <v>188.49600000000001</v>
      </c>
      <c r="BG380">
        <f t="shared" si="166"/>
        <v>10.130800000000001</v>
      </c>
      <c r="BH380">
        <f>VLOOKUP(B380,Miljö!$B$1:$BX$482,MATCH("Fossilandel för ursprungspecificerad el ()",Miljö!$B$1:$I$1,0),FALSE)</f>
        <v>0.43</v>
      </c>
      <c r="BI380">
        <f>VLOOKUP(B380,Miljö!$B$1:$BX$482,MATCH("Kärnkraftsandel för ursprungsspecificerad el ()",Miljö!$B$1:$O$1,0),FALSE)</f>
        <v>0.40550000000000003</v>
      </c>
      <c r="BJ380">
        <f t="shared" si="167"/>
        <v>0</v>
      </c>
      <c r="BK380" t="str">
        <f>VLOOKUP(B380,Miljö!$B$1:$O$482,MATCH("Fossil andel i procent (%)",Miljö!$B$1:$O$1,0),FALSE)</f>
        <v>ET</v>
      </c>
      <c r="BL380">
        <f t="shared" si="168"/>
        <v>290.74891000000002</v>
      </c>
      <c r="BO380" s="18">
        <f t="shared" si="169"/>
        <v>3.0309155759173777E-2</v>
      </c>
      <c r="BP380" s="18">
        <f t="shared" si="170"/>
        <v>1.4129165264970385E-2</v>
      </c>
      <c r="BQ380" s="18">
        <f t="shared" si="171"/>
        <v>0.30724970422073117</v>
      </c>
      <c r="BR380" s="18">
        <f t="shared" si="172"/>
        <v>0.64831197475512459</v>
      </c>
      <c r="BT380" s="27">
        <f t="shared" si="173"/>
        <v>0.99999999999999989</v>
      </c>
      <c r="BW380" s="18">
        <f>IF(AP380="ja",VLOOKUP(B380,Miljövärden!$B$2:$H$550,MATCH("Total andel fossilt",Miljövärden!$B$2:$H$2,0),FALSE),"")</f>
        <v>3.0309099999999999E-2</v>
      </c>
      <c r="BZ380" s="28">
        <f t="shared" si="174"/>
        <v>-5.5759173778202609E-8</v>
      </c>
      <c r="CA380" s="28">
        <f t="shared" si="175"/>
        <v>0</v>
      </c>
    </row>
    <row r="381" spans="1:79" x14ac:dyDescent="0.25">
      <c r="A381" s="224" t="s">
        <v>707</v>
      </c>
      <c r="B381" s="210" t="s">
        <v>708</v>
      </c>
      <c r="C381" s="121">
        <f>VLOOKUP($B381,'Tillförd energi'!$B$1:$AI$720,MATCH(C$1,'Tillförd energi'!$B$1:$AQ$1,0),FALSE)</f>
        <v>0</v>
      </c>
      <c r="D381" s="121">
        <f>VLOOKUP($B381,'Tillförd energi'!$B$1:$AI$720,MATCH(D$1,'Tillförd energi'!$B$1:$AQ$1,0),FALSE)</f>
        <v>0</v>
      </c>
      <c r="E381" s="121">
        <f>VLOOKUP($B381,'Tillförd energi'!$B$1:$AI$720,MATCH(E$1,'Tillförd energi'!$B$1:$AQ$1,0),FALSE)</f>
        <v>0</v>
      </c>
      <c r="F381" s="121">
        <f>VLOOKUP($B381,'Tillförd energi'!$B$1:$AI$720,MATCH(F$1,'Tillförd energi'!$B$1:$AQ$1,0),FALSE)</f>
        <v>0</v>
      </c>
      <c r="G381" s="121">
        <f>VLOOKUP($B381,'Tillförd energi'!$B$1:$AI$720,MATCH(G$1,'Tillförd energi'!$B$1:$AQ$1,0),FALSE)</f>
        <v>0</v>
      </c>
      <c r="H381" s="121">
        <f>VLOOKUP($B381,'Tillförd energi'!$B$1:$AI$720,MATCH(H$1,'Tillförd energi'!$B$1:$AQ$1,0),FALSE)</f>
        <v>0</v>
      </c>
      <c r="I381" s="121">
        <f>VLOOKUP($B381,'Tillförd energi'!$B$1:$AI$720,MATCH(I$1,'Tillförd energi'!$B$1:$AQ$1,0),FALSE)</f>
        <v>71.764700000000005</v>
      </c>
      <c r="J381" s="121">
        <f>VLOOKUP($B381,'Tillförd energi'!$B$1:$AI$720,MATCH(J$1,'Tillförd energi'!$B$1:$AQ$1,0),FALSE)</f>
        <v>0</v>
      </c>
      <c r="K381" s="121">
        <f>VLOOKUP($B381,'Tillförd energi'!$B$1:$AI$720,MATCH(K$1,'Tillförd energi'!$B$1:$AQ$1,0),FALSE)</f>
        <v>0</v>
      </c>
      <c r="L381" s="121">
        <f>VLOOKUP($B381,'Tillförd energi'!$B$1:$AI$720,MATCH(L$1,'Tillförd energi'!$B$1:$AQ$1,0),FALSE)</f>
        <v>0</v>
      </c>
      <c r="M381" s="121">
        <f>VLOOKUP($B381,'Tillförd energi'!$B$1:$AI$720,MATCH(M$1,'Tillförd energi'!$B$1:$AQ$1,0),FALSE)</f>
        <v>1</v>
      </c>
      <c r="N381" s="121">
        <f>VLOOKUP($B381,'Tillförd energi'!$B$1:$AI$720,MATCH(N$1,'Tillförd energi'!$B$1:$AQ$1,0),FALSE)</f>
        <v>29</v>
      </c>
      <c r="O381" s="121">
        <f>VLOOKUP($B381,'Tillförd energi'!$B$1:$AI$720,MATCH(O$1,'Tillförd energi'!$B$1:$AQ$1,0),FALSE)</f>
        <v>1</v>
      </c>
      <c r="P381" s="121">
        <f>VLOOKUP($B381,'Tillförd energi'!$B$1:$AI$720,MATCH(P$1,'Tillförd energi'!$B$1:$AQ$1,0),FALSE)</f>
        <v>38</v>
      </c>
      <c r="Q381" s="121">
        <f>VLOOKUP($B381,'Tillförd energi'!$B$1:$AI$720,MATCH(Q$1,'Tillförd energi'!$B$1:$AQ$1,0),FALSE)</f>
        <v>4</v>
      </c>
      <c r="R381" s="121">
        <f>VLOOKUP($B381,'Tillförd energi'!$B$1:$AI$720,MATCH(R$1,'Tillförd energi'!$B$1:$AQ$1,0),FALSE)</f>
        <v>32.200000000000003</v>
      </c>
      <c r="S381" s="121">
        <f>VLOOKUP($B381,'Tillförd energi'!$B$1:$AI$720,MATCH(S$1,'Tillförd energi'!$B$1:$AQ$1,0),FALSE)</f>
        <v>0</v>
      </c>
      <c r="T381" s="121">
        <f>VLOOKUP($B381,'Tillförd energi'!$B$1:$AI$720,MATCH(T$1,'Tillförd energi'!$B$1:$AQ$1,0),FALSE)</f>
        <v>0</v>
      </c>
      <c r="U381" s="121">
        <f>VLOOKUP($B381,'Tillförd energi'!$B$1:$AI$720,MATCH(U$1,'Tillförd energi'!$B$1:$AQ$1,0),FALSE)</f>
        <v>0</v>
      </c>
      <c r="V381" s="121">
        <f>VLOOKUP($B381,'Tillförd energi'!$B$1:$AI$720,MATCH(V$1,'Tillförd energi'!$B$1:$AQ$1,0),FALSE)</f>
        <v>0</v>
      </c>
      <c r="W381" s="121">
        <f>VLOOKUP($B381,'Tillförd energi'!$B$1:$AI$720,MATCH(W$1,'Tillförd energi'!$B$1:$AQ$1,0),FALSE)</f>
        <v>8.3000000000000007</v>
      </c>
      <c r="X381" s="121">
        <f>VLOOKUP($B381,'Tillförd energi'!$B$1:$AI$720,MATCH(X$1,'Tillförd energi'!$B$1:$AQ$1,0),FALSE)</f>
        <v>0</v>
      </c>
      <c r="Y381" s="121">
        <f>VLOOKUP($B381,'Tillförd energi'!$B$1:$AI$720,MATCH(Y$1,'Tillförd energi'!$B$1:$AQ$1,0),FALSE)</f>
        <v>0</v>
      </c>
      <c r="Z381" s="121">
        <f>VLOOKUP($B381,'Tillförd energi'!$B$1:$AI$720,MATCH(Z$1,'Tillförd energi'!$B$1:$AQ$1,0),FALSE)</f>
        <v>0</v>
      </c>
      <c r="AA381" s="121">
        <f>VLOOKUP($B381,'Tillförd energi'!$B$1:$AI$720,MATCH(AA$1,'Tillförd energi'!$B$1:$AQ$1,0),FALSE)</f>
        <v>0</v>
      </c>
      <c r="AB381" s="121">
        <f>VLOOKUP($B381,'Tillförd energi'!$B$1:$AI$720,MATCH(AB$1,'Tillförd energi'!$B$1:$AQ$1,0),FALSE)</f>
        <v>0</v>
      </c>
      <c r="AC381" s="121">
        <f>VLOOKUP($B381,'Tillförd energi'!$B$1:$AI$720,MATCH(AC$1,'Tillförd energi'!$B$1:$AQ$1,0),FALSE)</f>
        <v>12</v>
      </c>
      <c r="AD381" s="121">
        <f>VLOOKUP($B381,'Tillförd energi'!$B$1:$AI$720,MATCH(AD$1,'Tillförd energi'!$B$1:$AQ$1,0),FALSE)</f>
        <v>162</v>
      </c>
      <c r="AE381" s="121">
        <f>VLOOKUP($B381,'Tillförd energi'!$B$1:$AI$720,MATCH(AE$1,'Tillförd energi'!$B$1:$AQ$1,0),FALSE)</f>
        <v>0</v>
      </c>
      <c r="AF381" s="121">
        <f>VLOOKUP($B381,'Tillförd energi'!$B$1:$AI$720,MATCH(AF$1,'Tillförd energi'!$B$1:$AQ$1,0),FALSE)</f>
        <v>3.9</v>
      </c>
      <c r="AG381" s="121">
        <f>IFERROR(VLOOKUP(B381,Miljö!$B$1:$AC$550,MATCH("Köpt mängd produktionsspecifik fjärrvärme:",Miljö!$B$1:$AC$1,0),FALSE)/1,0)</f>
        <v>0</v>
      </c>
      <c r="AH381" s="121"/>
      <c r="AI381" s="121">
        <f t="shared" si="154"/>
        <v>363.16469999999998</v>
      </c>
      <c r="AJ381" s="121">
        <f t="shared" si="155"/>
        <v>363.16469999999998</v>
      </c>
      <c r="AK381" s="121">
        <f>IF(ISERROR(1/VLOOKUP($B381,Leveranser!$B$1:$S$499,MATCH("såld värme (gwh)",Leveranser!$B$1:$S$1,0),FALSE)),"",VLOOKUP($B381,Leveranser!$B$1:$S$499,MATCH("såld värme (gwh)",Leveranser!$B$1:$S$1,0),FALSE))</f>
        <v>301.92700000000002</v>
      </c>
      <c r="AL381" s="121">
        <f>VLOOKUP($B381,Leveranser!$B$1:$Y$499,MATCH("Totalt såld fjärrvärme till andra fjärrvärmeföretag",Leveranser!$B$1:$AA$1,0),FALSE)</f>
        <v>0</v>
      </c>
      <c r="AM381" s="121">
        <f>IF(ISERROR(1/VLOOKUP($B381,Miljö!$B$1:$S$500,MATCH("Såld mängd produktionsspecifik fjärrvärme (GWh)",Miljö!$B$1:$R$1,0),FALSE)),0,VLOOKUP($B381,Miljö!$B$1:$S$500,MATCH("Såld mängd produktionsspecifik fjärrvärme (GWh)",Miljö!$B$1:$R$1,0),FALSE))</f>
        <v>0</v>
      </c>
      <c r="AN381" s="172">
        <f t="shared" si="156"/>
        <v>0.83137760911233949</v>
      </c>
      <c r="AO381" s="121"/>
      <c r="AP381" s="121" t="str">
        <f>IFERROR(VLOOKUP($B381,Miljövärden!$B$2:$H$550,7,FALSE),"Nej, saknas")</f>
        <v>Ja</v>
      </c>
      <c r="AQ381" s="121" t="str">
        <f>IFERROR(VLOOKUP($B381,Miljövärden!$B$2:$H$550,6,FALSE),"Nej, saknas")</f>
        <v>Ja</v>
      </c>
      <c r="AU381">
        <f t="shared" si="157"/>
        <v>3.9</v>
      </c>
      <c r="AV381">
        <f t="shared" si="158"/>
        <v>0</v>
      </c>
      <c r="AW381">
        <f t="shared" si="159"/>
        <v>73</v>
      </c>
      <c r="AX381">
        <f t="shared" si="160"/>
        <v>32.200000000000003</v>
      </c>
      <c r="AZ381">
        <f t="shared" si="161"/>
        <v>113.5</v>
      </c>
      <c r="BC381">
        <f t="shared" si="162"/>
        <v>0</v>
      </c>
      <c r="BD381">
        <f t="shared" si="163"/>
        <v>0</v>
      </c>
      <c r="BE381">
        <f t="shared" si="164"/>
        <v>113.5</v>
      </c>
      <c r="BF381">
        <f t="shared" si="165"/>
        <v>245.7647</v>
      </c>
      <c r="BG381">
        <f t="shared" si="166"/>
        <v>3.9</v>
      </c>
      <c r="BH381">
        <f>VLOOKUP(B381,Miljö!$B$1:$BX$482,MATCH("Fossilandel för ursprungspecificerad el ()",Miljö!$B$1:$I$1,0),FALSE)</f>
        <v>0</v>
      </c>
      <c r="BI381">
        <f>VLOOKUP(B381,Miljö!$B$1:$BX$482,MATCH("Kärnkraftsandel för ursprungsspecificerad el ()",Miljö!$B$1:$O$1,0),FALSE)</f>
        <v>0</v>
      </c>
      <c r="BJ381">
        <f t="shared" si="167"/>
        <v>0</v>
      </c>
      <c r="BK381" t="str">
        <f>VLOOKUP(B381,Miljö!$B$1:$O$482,MATCH("Fossil andel i procent (%)",Miljö!$B$1:$O$1,0),FALSE)</f>
        <v>ET</v>
      </c>
      <c r="BL381">
        <f t="shared" si="168"/>
        <v>363.16469999999998</v>
      </c>
      <c r="BO381" s="18">
        <f t="shared" si="169"/>
        <v>0</v>
      </c>
      <c r="BP381" s="18">
        <f t="shared" si="170"/>
        <v>0</v>
      </c>
      <c r="BQ381" s="18">
        <f t="shared" si="171"/>
        <v>0.32326930453317743</v>
      </c>
      <c r="BR381" s="18">
        <f t="shared" si="172"/>
        <v>0.67673069546682263</v>
      </c>
      <c r="BT381" s="27">
        <f t="shared" si="173"/>
        <v>1</v>
      </c>
      <c r="BW381" s="18">
        <f>IF(AP381="ja",VLOOKUP(B381,Miljövärden!$B$2:$H$550,MATCH("Total andel fossilt",Miljövärden!$B$2:$H$2,0),FALSE),"")</f>
        <v>0</v>
      </c>
      <c r="BZ381" s="28">
        <f t="shared" si="174"/>
        <v>0</v>
      </c>
      <c r="CA381" s="28">
        <f t="shared" si="175"/>
        <v>0</v>
      </c>
    </row>
    <row r="382" spans="1:79" x14ac:dyDescent="0.25">
      <c r="A382" s="224" t="s">
        <v>707</v>
      </c>
      <c r="B382" s="210" t="s">
        <v>709</v>
      </c>
      <c r="C382" s="121">
        <f>VLOOKUP($B382,'Tillförd energi'!$B$1:$AI$720,MATCH(C$1,'Tillförd energi'!$B$1:$AQ$1,0),FALSE)</f>
        <v>0</v>
      </c>
      <c r="D382" s="121">
        <f>VLOOKUP($B382,'Tillförd energi'!$B$1:$AI$720,MATCH(D$1,'Tillförd energi'!$B$1:$AQ$1,0),FALSE)</f>
        <v>0</v>
      </c>
      <c r="E382" s="121">
        <f>VLOOKUP($B382,'Tillförd energi'!$B$1:$AI$720,MATCH(E$1,'Tillförd energi'!$B$1:$AQ$1,0),FALSE)</f>
        <v>0</v>
      </c>
      <c r="F382" s="121">
        <f>VLOOKUP($B382,'Tillförd energi'!$B$1:$AI$720,MATCH(F$1,'Tillförd energi'!$B$1:$AQ$1,0),FALSE)</f>
        <v>0</v>
      </c>
      <c r="G382" s="121">
        <f>VLOOKUP($B382,'Tillförd energi'!$B$1:$AI$720,MATCH(G$1,'Tillförd energi'!$B$1:$AQ$1,0),FALSE)</f>
        <v>0</v>
      </c>
      <c r="H382" s="121">
        <f>VLOOKUP($B382,'Tillförd energi'!$B$1:$AI$720,MATCH(H$1,'Tillförd energi'!$B$1:$AQ$1,0),FALSE)</f>
        <v>0</v>
      </c>
      <c r="I382" s="121">
        <f>VLOOKUP($B382,'Tillförd energi'!$B$1:$AI$720,MATCH(I$1,'Tillförd energi'!$B$1:$AQ$1,0),FALSE)</f>
        <v>0</v>
      </c>
      <c r="J382" s="121">
        <f>VLOOKUP($B382,'Tillförd energi'!$B$1:$AI$720,MATCH(J$1,'Tillförd energi'!$B$1:$AQ$1,0),FALSE)</f>
        <v>0</v>
      </c>
      <c r="K382" s="121">
        <f>VLOOKUP($B382,'Tillförd energi'!$B$1:$AI$720,MATCH(K$1,'Tillförd energi'!$B$1:$AQ$1,0),FALSE)</f>
        <v>0</v>
      </c>
      <c r="L382" s="121">
        <f>VLOOKUP($B382,'Tillförd energi'!$B$1:$AI$720,MATCH(L$1,'Tillförd energi'!$B$1:$AQ$1,0),FALSE)</f>
        <v>0</v>
      </c>
      <c r="M382" s="121">
        <f>VLOOKUP($B382,'Tillförd energi'!$B$1:$AI$720,MATCH(M$1,'Tillförd energi'!$B$1:$AQ$1,0),FALSE)</f>
        <v>0</v>
      </c>
      <c r="N382" s="121">
        <f>VLOOKUP($B382,'Tillförd energi'!$B$1:$AI$720,MATCH(N$1,'Tillförd energi'!$B$1:$AQ$1,0),FALSE)</f>
        <v>0</v>
      </c>
      <c r="O382" s="121">
        <f>VLOOKUP($B382,'Tillförd energi'!$B$1:$AI$720,MATCH(O$1,'Tillförd energi'!$B$1:$AQ$1,0),FALSE)</f>
        <v>0</v>
      </c>
      <c r="P382" s="121">
        <f>VLOOKUP($B382,'Tillförd energi'!$B$1:$AI$720,MATCH(P$1,'Tillförd energi'!$B$1:$AQ$1,0),FALSE)</f>
        <v>0</v>
      </c>
      <c r="Q382" s="121">
        <f>VLOOKUP($B382,'Tillförd energi'!$B$1:$AI$720,MATCH(Q$1,'Tillförd energi'!$B$1:$AQ$1,0),FALSE)</f>
        <v>0</v>
      </c>
      <c r="R382" s="121">
        <f>VLOOKUP($B382,'Tillförd energi'!$B$1:$AI$720,MATCH(R$1,'Tillförd energi'!$B$1:$AQ$1,0),FALSE)</f>
        <v>0</v>
      </c>
      <c r="S382" s="121">
        <f>VLOOKUP($B382,'Tillförd energi'!$B$1:$AI$720,MATCH(S$1,'Tillförd energi'!$B$1:$AQ$1,0),FALSE)</f>
        <v>0</v>
      </c>
      <c r="T382" s="121">
        <f>VLOOKUP($B382,'Tillförd energi'!$B$1:$AI$720,MATCH(T$1,'Tillförd energi'!$B$1:$AQ$1,0),FALSE)</f>
        <v>0</v>
      </c>
      <c r="U382" s="121">
        <f>VLOOKUP($B382,'Tillförd energi'!$B$1:$AI$720,MATCH(U$1,'Tillförd energi'!$B$1:$AQ$1,0),FALSE)</f>
        <v>0</v>
      </c>
      <c r="V382" s="121">
        <f>VLOOKUP($B382,'Tillförd energi'!$B$1:$AI$720,MATCH(V$1,'Tillförd energi'!$B$1:$AQ$1,0),FALSE)</f>
        <v>0</v>
      </c>
      <c r="W382" s="121">
        <f>VLOOKUP($B382,'Tillförd energi'!$B$1:$AI$720,MATCH(W$1,'Tillförd energi'!$B$1:$AQ$1,0),FALSE)</f>
        <v>0</v>
      </c>
      <c r="X382" s="121">
        <f>VLOOKUP($B382,'Tillförd energi'!$B$1:$AI$720,MATCH(X$1,'Tillförd energi'!$B$1:$AQ$1,0),FALSE)</f>
        <v>0</v>
      </c>
      <c r="Y382" s="121">
        <f>VLOOKUP($B382,'Tillförd energi'!$B$1:$AI$720,MATCH(Y$1,'Tillförd energi'!$B$1:$AQ$1,0),FALSE)</f>
        <v>0</v>
      </c>
      <c r="Z382" s="121">
        <f>VLOOKUP($B382,'Tillförd energi'!$B$1:$AI$720,MATCH(Z$1,'Tillförd energi'!$B$1:$AQ$1,0),FALSE)</f>
        <v>0</v>
      </c>
      <c r="AA382" s="121">
        <f>VLOOKUP($B382,'Tillförd energi'!$B$1:$AI$720,MATCH(AA$1,'Tillförd energi'!$B$1:$AQ$1,0),FALSE)</f>
        <v>0</v>
      </c>
      <c r="AB382" s="121">
        <f>VLOOKUP($B382,'Tillförd energi'!$B$1:$AI$720,MATCH(AB$1,'Tillförd energi'!$B$1:$AQ$1,0),FALSE)</f>
        <v>0</v>
      </c>
      <c r="AC382" s="121">
        <f>VLOOKUP($B382,'Tillförd energi'!$B$1:$AI$720,MATCH(AC$1,'Tillförd energi'!$B$1:$AQ$1,0),FALSE)</f>
        <v>0</v>
      </c>
      <c r="AD382" s="121">
        <f>VLOOKUP($B382,'Tillförd energi'!$B$1:$AI$720,MATCH(AD$1,'Tillförd energi'!$B$1:$AQ$1,0),FALSE)</f>
        <v>0</v>
      </c>
      <c r="AE382" s="121">
        <f>VLOOKUP($B382,'Tillförd energi'!$B$1:$AI$720,MATCH(AE$1,'Tillförd energi'!$B$1:$AQ$1,0),FALSE)</f>
        <v>0</v>
      </c>
      <c r="AF382" s="121">
        <f>VLOOKUP($B382,'Tillförd energi'!$B$1:$AI$720,MATCH(AF$1,'Tillförd energi'!$B$1:$AQ$1,0),FALSE)</f>
        <v>0</v>
      </c>
      <c r="AG382" s="121">
        <f>IFERROR(VLOOKUP(B382,Miljö!$B$1:$AC$550,MATCH("Köpt mängd produktionsspecifik fjärrvärme:",Miljö!$B$1:$AC$1,0),FALSE)/1,0)</f>
        <v>0</v>
      </c>
      <c r="AH382" s="121"/>
      <c r="AI382" s="121">
        <f t="shared" si="154"/>
        <v>0</v>
      </c>
      <c r="AJ382" s="121">
        <f t="shared" si="155"/>
        <v>0</v>
      </c>
      <c r="AK382" s="121" t="str">
        <f>IF(ISERROR(1/VLOOKUP($B382,Leveranser!$B$1:$S$499,MATCH("såld värme (gwh)",Leveranser!$B$1:$S$1,0),FALSE)),"",VLOOKUP($B382,Leveranser!$B$1:$S$499,MATCH("såld värme (gwh)",Leveranser!$B$1:$S$1,0),FALSE))</f>
        <v/>
      </c>
      <c r="AL382" s="121">
        <f>VLOOKUP($B382,Leveranser!$B$1:$Y$499,MATCH("Totalt såld fjärrvärme till andra fjärrvärmeföretag",Leveranser!$B$1:$AA$1,0),FALSE)</f>
        <v>0</v>
      </c>
      <c r="AM382" s="121">
        <f>IF(ISERROR(1/VLOOKUP($B382,Miljö!$B$1:$S$500,MATCH("Såld mängd produktionsspecifik fjärrvärme (GWh)",Miljö!$B$1:$R$1,0),FALSE)),0,VLOOKUP($B382,Miljö!$B$1:$S$500,MATCH("Såld mängd produktionsspecifik fjärrvärme (GWh)",Miljö!$B$1:$R$1,0),FALSE))</f>
        <v>0</v>
      </c>
      <c r="AN382" s="172" t="str">
        <f t="shared" si="156"/>
        <v/>
      </c>
      <c r="AO382" s="121"/>
      <c r="AP382" s="121" t="str">
        <f>IFERROR(VLOOKUP($B382,Miljövärden!$B$2:$H$550,7,FALSE),"Nej, saknas")</f>
        <v>Nej</v>
      </c>
      <c r="AQ382" s="121" t="str">
        <f>IFERROR(VLOOKUP($B382,Miljövärden!$B$2:$H$550,6,FALSE),"Nej, saknas")</f>
        <v>Nej</v>
      </c>
      <c r="AU382">
        <f t="shared" si="157"/>
        <v>0</v>
      </c>
      <c r="AV382">
        <f t="shared" si="158"/>
        <v>0</v>
      </c>
      <c r="AW382">
        <f t="shared" si="159"/>
        <v>0</v>
      </c>
      <c r="AX382">
        <f t="shared" si="160"/>
        <v>0</v>
      </c>
      <c r="AZ382">
        <f t="shared" si="161"/>
        <v>0</v>
      </c>
      <c r="BC382">
        <f t="shared" si="162"/>
        <v>0</v>
      </c>
      <c r="BD382">
        <f t="shared" si="163"/>
        <v>0</v>
      </c>
      <c r="BE382">
        <f t="shared" si="164"/>
        <v>0</v>
      </c>
      <c r="BF382">
        <f t="shared" si="165"/>
        <v>0</v>
      </c>
      <c r="BG382">
        <f t="shared" si="166"/>
        <v>0</v>
      </c>
      <c r="BH382" t="str">
        <f>VLOOKUP(B382,Miljö!$B$1:$BX$482,MATCH("Fossilandel för ursprungspecificerad el ()",Miljö!$B$1:$I$1,0),FALSE)</f>
        <v>-</v>
      </c>
      <c r="BI382" t="str">
        <f>VLOOKUP(B382,Miljö!$B$1:$BX$482,MATCH("Kärnkraftsandel för ursprungsspecificerad el ()",Miljö!$B$1:$O$1,0),FALSE)</f>
        <v>-</v>
      </c>
      <c r="BJ382">
        <f t="shared" si="167"/>
        <v>0</v>
      </c>
      <c r="BK382" t="str">
        <f>VLOOKUP(B382,Miljö!$B$1:$O$482,MATCH("Fossil andel i procent (%)",Miljö!$B$1:$O$1,0),FALSE)</f>
        <v>-</v>
      </c>
      <c r="BL382">
        <f t="shared" si="168"/>
        <v>0</v>
      </c>
      <c r="BO382" s="18" t="str">
        <f t="shared" si="169"/>
        <v/>
      </c>
      <c r="BP382" s="18" t="str">
        <f t="shared" si="170"/>
        <v/>
      </c>
      <c r="BQ382" s="18" t="str">
        <f t="shared" si="171"/>
        <v/>
      </c>
      <c r="BR382" s="18" t="str">
        <f t="shared" si="172"/>
        <v/>
      </c>
      <c r="BT382" s="27">
        <f t="shared" si="173"/>
        <v>0</v>
      </c>
      <c r="BW382" s="18" t="str">
        <f>IF(AP382="ja",VLOOKUP(B382,Miljövärden!$B$2:$H$550,MATCH("Total andel fossilt",Miljövärden!$B$2:$H$2,0),FALSE),"")</f>
        <v/>
      </c>
      <c r="BZ382" s="28" t="str">
        <f t="shared" si="174"/>
        <v/>
      </c>
      <c r="CA382" s="28" t="str">
        <f t="shared" si="175"/>
        <v/>
      </c>
    </row>
    <row r="383" spans="1:79" x14ac:dyDescent="0.25">
      <c r="A383" s="224" t="s">
        <v>707</v>
      </c>
      <c r="B383" s="210" t="s">
        <v>710</v>
      </c>
      <c r="C383" s="121">
        <f>VLOOKUP($B383,'Tillförd energi'!$B$1:$AI$720,MATCH(C$1,'Tillförd energi'!$B$1:$AQ$1,0),FALSE)</f>
        <v>0</v>
      </c>
      <c r="D383" s="121">
        <f>VLOOKUP($B383,'Tillförd energi'!$B$1:$AI$720,MATCH(D$1,'Tillförd energi'!$B$1:$AQ$1,0),FALSE)</f>
        <v>0</v>
      </c>
      <c r="E383" s="121">
        <f>VLOOKUP($B383,'Tillförd energi'!$B$1:$AI$720,MATCH(E$1,'Tillförd energi'!$B$1:$AQ$1,0),FALSE)</f>
        <v>0</v>
      </c>
      <c r="F383" s="121">
        <f>VLOOKUP($B383,'Tillförd energi'!$B$1:$AI$720,MATCH(F$1,'Tillförd energi'!$B$1:$AQ$1,0),FALSE)</f>
        <v>0</v>
      </c>
      <c r="G383" s="121">
        <f>VLOOKUP($B383,'Tillförd energi'!$B$1:$AI$720,MATCH(G$1,'Tillförd energi'!$B$1:$AQ$1,0),FALSE)</f>
        <v>0</v>
      </c>
      <c r="H383" s="121">
        <f>VLOOKUP($B383,'Tillförd energi'!$B$1:$AI$720,MATCH(H$1,'Tillförd energi'!$B$1:$AQ$1,0),FALSE)</f>
        <v>0</v>
      </c>
      <c r="I383" s="121">
        <f>VLOOKUP($B383,'Tillförd energi'!$B$1:$AI$720,MATCH(I$1,'Tillförd energi'!$B$1:$AQ$1,0),FALSE)</f>
        <v>0</v>
      </c>
      <c r="J383" s="121">
        <f>VLOOKUP($B383,'Tillförd energi'!$B$1:$AI$720,MATCH(J$1,'Tillförd energi'!$B$1:$AQ$1,0),FALSE)</f>
        <v>0</v>
      </c>
      <c r="K383" s="121">
        <f>VLOOKUP($B383,'Tillförd energi'!$B$1:$AI$720,MATCH(K$1,'Tillförd energi'!$B$1:$AQ$1,0),FALSE)</f>
        <v>0</v>
      </c>
      <c r="L383" s="121">
        <f>VLOOKUP($B383,'Tillförd energi'!$B$1:$AI$720,MATCH(L$1,'Tillförd energi'!$B$1:$AQ$1,0),FALSE)</f>
        <v>0</v>
      </c>
      <c r="M383" s="121">
        <f>VLOOKUP($B383,'Tillförd energi'!$B$1:$AI$720,MATCH(M$1,'Tillförd energi'!$B$1:$AQ$1,0),FALSE)</f>
        <v>0</v>
      </c>
      <c r="N383" s="121">
        <f>VLOOKUP($B383,'Tillförd energi'!$B$1:$AI$720,MATCH(N$1,'Tillförd energi'!$B$1:$AQ$1,0),FALSE)</f>
        <v>0</v>
      </c>
      <c r="O383" s="121">
        <f>VLOOKUP($B383,'Tillförd energi'!$B$1:$AI$720,MATCH(O$1,'Tillförd energi'!$B$1:$AQ$1,0),FALSE)</f>
        <v>0</v>
      </c>
      <c r="P383" s="121">
        <f>VLOOKUP($B383,'Tillförd energi'!$B$1:$AI$720,MATCH(P$1,'Tillförd energi'!$B$1:$AQ$1,0),FALSE)</f>
        <v>0</v>
      </c>
      <c r="Q383" s="121">
        <f>VLOOKUP($B383,'Tillförd energi'!$B$1:$AI$720,MATCH(Q$1,'Tillförd energi'!$B$1:$AQ$1,0),FALSE)</f>
        <v>0</v>
      </c>
      <c r="R383" s="121">
        <f>VLOOKUP($B383,'Tillförd energi'!$B$1:$AI$720,MATCH(R$1,'Tillförd energi'!$B$1:$AQ$1,0),FALSE)</f>
        <v>16.3</v>
      </c>
      <c r="S383" s="121">
        <f>VLOOKUP($B383,'Tillförd energi'!$B$1:$AI$720,MATCH(S$1,'Tillförd energi'!$B$1:$AQ$1,0),FALSE)</f>
        <v>0</v>
      </c>
      <c r="T383" s="121">
        <f>VLOOKUP($B383,'Tillförd energi'!$B$1:$AI$720,MATCH(T$1,'Tillförd energi'!$B$1:$AQ$1,0),FALSE)</f>
        <v>0</v>
      </c>
      <c r="U383" s="121">
        <f>VLOOKUP($B383,'Tillförd energi'!$B$1:$AI$720,MATCH(U$1,'Tillförd energi'!$B$1:$AQ$1,0),FALSE)</f>
        <v>0</v>
      </c>
      <c r="V383" s="121">
        <f>VLOOKUP($B383,'Tillförd energi'!$B$1:$AI$720,MATCH(V$1,'Tillförd energi'!$B$1:$AQ$1,0),FALSE)</f>
        <v>0</v>
      </c>
      <c r="W383" s="121">
        <f>VLOOKUP($B383,'Tillförd energi'!$B$1:$AI$720,MATCH(W$1,'Tillförd energi'!$B$1:$AQ$1,0),FALSE)</f>
        <v>0.6</v>
      </c>
      <c r="X383" s="121">
        <f>VLOOKUP($B383,'Tillförd energi'!$B$1:$AI$720,MATCH(X$1,'Tillförd energi'!$B$1:$AQ$1,0),FALSE)</f>
        <v>0</v>
      </c>
      <c r="Y383" s="121">
        <f>VLOOKUP($B383,'Tillförd energi'!$B$1:$AI$720,MATCH(Y$1,'Tillförd energi'!$B$1:$AQ$1,0),FALSE)</f>
        <v>0</v>
      </c>
      <c r="Z383" s="121">
        <f>VLOOKUP($B383,'Tillförd energi'!$B$1:$AI$720,MATCH(Z$1,'Tillförd energi'!$B$1:$AQ$1,0),FALSE)</f>
        <v>0</v>
      </c>
      <c r="AA383" s="121">
        <f>VLOOKUP($B383,'Tillförd energi'!$B$1:$AI$720,MATCH(AA$1,'Tillförd energi'!$B$1:$AQ$1,0),FALSE)</f>
        <v>0</v>
      </c>
      <c r="AB383" s="121">
        <f>VLOOKUP($B383,'Tillförd energi'!$B$1:$AI$720,MATCH(AB$1,'Tillförd energi'!$B$1:$AQ$1,0),FALSE)</f>
        <v>0</v>
      </c>
      <c r="AC383" s="121">
        <f>VLOOKUP($B383,'Tillförd energi'!$B$1:$AI$720,MATCH(AC$1,'Tillförd energi'!$B$1:$AQ$1,0),FALSE)</f>
        <v>0</v>
      </c>
      <c r="AD383" s="121">
        <f>VLOOKUP($B383,'Tillförd energi'!$B$1:$AI$720,MATCH(AD$1,'Tillförd energi'!$B$1:$AQ$1,0),FALSE)</f>
        <v>0</v>
      </c>
      <c r="AE383" s="121">
        <f>VLOOKUP($B383,'Tillförd energi'!$B$1:$AI$720,MATCH(AE$1,'Tillförd energi'!$B$1:$AQ$1,0),FALSE)</f>
        <v>0</v>
      </c>
      <c r="AF383" s="121">
        <f>VLOOKUP($B383,'Tillförd energi'!$B$1:$AI$720,MATCH(AF$1,'Tillförd energi'!$B$1:$AQ$1,0),FALSE)</f>
        <v>0.04</v>
      </c>
      <c r="AG383" s="121">
        <f>IFERROR(VLOOKUP(B383,Miljö!$B$1:$AC$550,MATCH("Köpt mängd produktionsspecifik fjärrvärme:",Miljö!$B$1:$AC$1,0),FALSE)/1,0)</f>
        <v>0</v>
      </c>
      <c r="AH383" s="121"/>
      <c r="AI383" s="121">
        <f t="shared" si="154"/>
        <v>16.940000000000001</v>
      </c>
      <c r="AJ383" s="121">
        <f t="shared" si="155"/>
        <v>16.940000000000001</v>
      </c>
      <c r="AK383" s="121">
        <f>IF(ISERROR(1/VLOOKUP($B383,Leveranser!$B$1:$S$499,MATCH("såld värme (gwh)",Leveranser!$B$1:$S$1,0),FALSE)),"",VLOOKUP($B383,Leveranser!$B$1:$S$499,MATCH("såld värme (gwh)",Leveranser!$B$1:$S$1,0),FALSE))</f>
        <v>16.399999999999999</v>
      </c>
      <c r="AL383" s="121">
        <f>VLOOKUP($B383,Leveranser!$B$1:$Y$499,MATCH("Totalt såld fjärrvärme till andra fjärrvärmeföretag",Leveranser!$B$1:$AA$1,0),FALSE)</f>
        <v>0</v>
      </c>
      <c r="AM383" s="121">
        <f>IF(ISERROR(1/VLOOKUP($B383,Miljö!$B$1:$S$500,MATCH("Såld mängd produktionsspecifik fjärrvärme (GWh)",Miljö!$B$1:$R$1,0),FALSE)),0,VLOOKUP($B383,Miljö!$B$1:$S$500,MATCH("Såld mängd produktionsspecifik fjärrvärme (GWh)",Miljö!$B$1:$R$1,0),FALSE))</f>
        <v>0</v>
      </c>
      <c r="AN383" s="172">
        <f t="shared" si="156"/>
        <v>0.96812278630460435</v>
      </c>
      <c r="AO383" s="121"/>
      <c r="AP383" s="121" t="str">
        <f>IFERROR(VLOOKUP($B383,Miljövärden!$B$2:$H$550,7,FALSE),"Nej, saknas")</f>
        <v>Ja</v>
      </c>
      <c r="AQ383" s="121" t="str">
        <f>IFERROR(VLOOKUP($B383,Miljövärden!$B$2:$H$550,6,FALSE),"Nej, saknas")</f>
        <v>Ja</v>
      </c>
      <c r="AU383">
        <f t="shared" si="157"/>
        <v>0.04</v>
      </c>
      <c r="AV383">
        <f t="shared" si="158"/>
        <v>0</v>
      </c>
      <c r="AW383">
        <f t="shared" si="159"/>
        <v>0</v>
      </c>
      <c r="AX383">
        <f t="shared" si="160"/>
        <v>16.3</v>
      </c>
      <c r="AZ383">
        <f t="shared" si="161"/>
        <v>16.900000000000002</v>
      </c>
      <c r="BC383">
        <f t="shared" si="162"/>
        <v>0</v>
      </c>
      <c r="BD383">
        <f t="shared" si="163"/>
        <v>0</v>
      </c>
      <c r="BE383">
        <f t="shared" si="164"/>
        <v>16.900000000000002</v>
      </c>
      <c r="BF383">
        <f t="shared" si="165"/>
        <v>0</v>
      </c>
      <c r="BG383">
        <f t="shared" si="166"/>
        <v>0.04</v>
      </c>
      <c r="BH383">
        <f>VLOOKUP(B383,Miljö!$B$1:$BX$482,MATCH("Fossilandel för ursprungspecificerad el ()",Miljö!$B$1:$I$1,0),FALSE)</f>
        <v>0.43</v>
      </c>
      <c r="BI383">
        <f>VLOOKUP(B383,Miljö!$B$1:$BX$482,MATCH("Kärnkraftsandel för ursprungsspecificerad el ()",Miljö!$B$1:$O$1,0),FALSE)</f>
        <v>0.40550000000000003</v>
      </c>
      <c r="BJ383">
        <f t="shared" si="167"/>
        <v>0</v>
      </c>
      <c r="BK383" t="str">
        <f>VLOOKUP(B383,Miljö!$B$1:$O$482,MATCH("Fossil andel i procent (%)",Miljö!$B$1:$O$1,0),FALSE)</f>
        <v>ET</v>
      </c>
      <c r="BL383">
        <f t="shared" si="168"/>
        <v>16.940000000000001</v>
      </c>
      <c r="BO383" s="18">
        <f t="shared" si="169"/>
        <v>1.0153482880755607E-3</v>
      </c>
      <c r="BP383" s="18">
        <f t="shared" si="170"/>
        <v>9.5749704840613931E-4</v>
      </c>
      <c r="BQ383" s="18">
        <f t="shared" si="171"/>
        <v>0.99802715466351832</v>
      </c>
      <c r="BR383" s="18">
        <f t="shared" si="172"/>
        <v>0</v>
      </c>
      <c r="BT383" s="27">
        <f t="shared" si="173"/>
        <v>1</v>
      </c>
      <c r="BW383" s="18">
        <f>IF(AP383="ja",VLOOKUP(B383,Miljövärden!$B$2:$H$550,MATCH("Total andel fossilt",Miljövärden!$B$2:$H$2,0),FALSE),"")</f>
        <v>1.0153499999999999E-3</v>
      </c>
      <c r="BZ383" s="28">
        <f t="shared" si="174"/>
        <v>1.7119244392297533E-9</v>
      </c>
      <c r="CA383" s="28">
        <f t="shared" si="175"/>
        <v>0</v>
      </c>
    </row>
    <row r="384" spans="1:79" x14ac:dyDescent="0.25">
      <c r="A384" s="224" t="s">
        <v>707</v>
      </c>
      <c r="B384" s="210" t="s">
        <v>711</v>
      </c>
      <c r="C384" s="121">
        <f>VLOOKUP($B384,'Tillförd energi'!$B$1:$AI$720,MATCH(C$1,'Tillförd energi'!$B$1:$AQ$1,0),FALSE)</f>
        <v>0</v>
      </c>
      <c r="D384" s="121">
        <f>VLOOKUP($B384,'Tillförd energi'!$B$1:$AI$720,MATCH(D$1,'Tillförd energi'!$B$1:$AQ$1,0),FALSE)</f>
        <v>0</v>
      </c>
      <c r="E384" s="121">
        <f>VLOOKUP($B384,'Tillförd energi'!$B$1:$AI$720,MATCH(E$1,'Tillförd energi'!$B$1:$AQ$1,0),FALSE)</f>
        <v>0</v>
      </c>
      <c r="F384" s="121">
        <f>VLOOKUP($B384,'Tillförd energi'!$B$1:$AI$720,MATCH(F$1,'Tillförd energi'!$B$1:$AQ$1,0),FALSE)</f>
        <v>0</v>
      </c>
      <c r="G384" s="121">
        <f>VLOOKUP($B384,'Tillförd energi'!$B$1:$AI$720,MATCH(G$1,'Tillförd energi'!$B$1:$AQ$1,0),FALSE)</f>
        <v>0</v>
      </c>
      <c r="H384" s="121">
        <f>VLOOKUP($B384,'Tillförd energi'!$B$1:$AI$720,MATCH(H$1,'Tillförd energi'!$B$1:$AQ$1,0),FALSE)</f>
        <v>0</v>
      </c>
      <c r="I384" s="121">
        <f>VLOOKUP($B384,'Tillförd energi'!$B$1:$AI$720,MATCH(I$1,'Tillförd energi'!$B$1:$AQ$1,0),FALSE)</f>
        <v>0</v>
      </c>
      <c r="J384" s="121">
        <f>VLOOKUP($B384,'Tillförd energi'!$B$1:$AI$720,MATCH(J$1,'Tillförd energi'!$B$1:$AQ$1,0),FALSE)</f>
        <v>0</v>
      </c>
      <c r="K384" s="121">
        <f>VLOOKUP($B384,'Tillförd energi'!$B$1:$AI$720,MATCH(K$1,'Tillförd energi'!$B$1:$AQ$1,0),FALSE)</f>
        <v>0</v>
      </c>
      <c r="L384" s="121">
        <f>VLOOKUP($B384,'Tillförd energi'!$B$1:$AI$720,MATCH(L$1,'Tillförd energi'!$B$1:$AQ$1,0),FALSE)</f>
        <v>0</v>
      </c>
      <c r="M384" s="121">
        <f>VLOOKUP($B384,'Tillförd energi'!$B$1:$AI$720,MATCH(M$1,'Tillförd energi'!$B$1:$AQ$1,0),FALSE)</f>
        <v>0</v>
      </c>
      <c r="N384" s="121">
        <f>VLOOKUP($B384,'Tillförd energi'!$B$1:$AI$720,MATCH(N$1,'Tillförd energi'!$B$1:$AQ$1,0),FALSE)</f>
        <v>0</v>
      </c>
      <c r="O384" s="121">
        <f>VLOOKUP($B384,'Tillförd energi'!$B$1:$AI$720,MATCH(O$1,'Tillförd energi'!$B$1:$AQ$1,0),FALSE)</f>
        <v>0</v>
      </c>
      <c r="P384" s="121">
        <f>VLOOKUP($B384,'Tillförd energi'!$B$1:$AI$720,MATCH(P$1,'Tillförd energi'!$B$1:$AQ$1,0),FALSE)</f>
        <v>0</v>
      </c>
      <c r="Q384" s="121">
        <f>VLOOKUP($B384,'Tillförd energi'!$B$1:$AI$720,MATCH(Q$1,'Tillförd energi'!$B$1:$AQ$1,0),FALSE)</f>
        <v>0</v>
      </c>
      <c r="R384" s="121">
        <f>VLOOKUP($B384,'Tillförd energi'!$B$1:$AI$720,MATCH(R$1,'Tillförd energi'!$B$1:$AQ$1,0),FALSE)</f>
        <v>0</v>
      </c>
      <c r="S384" s="121">
        <f>VLOOKUP($B384,'Tillförd energi'!$B$1:$AI$720,MATCH(S$1,'Tillförd energi'!$B$1:$AQ$1,0),FALSE)</f>
        <v>0</v>
      </c>
      <c r="T384" s="121">
        <f>VLOOKUP($B384,'Tillförd energi'!$B$1:$AI$720,MATCH(T$1,'Tillförd energi'!$B$1:$AQ$1,0),FALSE)</f>
        <v>0</v>
      </c>
      <c r="U384" s="121">
        <f>VLOOKUP($B384,'Tillförd energi'!$B$1:$AI$720,MATCH(U$1,'Tillförd energi'!$B$1:$AQ$1,0),FALSE)</f>
        <v>0</v>
      </c>
      <c r="V384" s="121">
        <f>VLOOKUP($B384,'Tillförd energi'!$B$1:$AI$720,MATCH(V$1,'Tillförd energi'!$B$1:$AQ$1,0),FALSE)</f>
        <v>0</v>
      </c>
      <c r="W384" s="121">
        <f>VLOOKUP($B384,'Tillförd energi'!$B$1:$AI$720,MATCH(W$1,'Tillförd energi'!$B$1:$AQ$1,0),FALSE)</f>
        <v>0</v>
      </c>
      <c r="X384" s="121">
        <f>VLOOKUP($B384,'Tillförd energi'!$B$1:$AI$720,MATCH(X$1,'Tillförd energi'!$B$1:$AQ$1,0),FALSE)</f>
        <v>0</v>
      </c>
      <c r="Y384" s="121">
        <f>VLOOKUP($B384,'Tillförd energi'!$B$1:$AI$720,MATCH(Y$1,'Tillförd energi'!$B$1:$AQ$1,0),FALSE)</f>
        <v>0</v>
      </c>
      <c r="Z384" s="121">
        <f>VLOOKUP($B384,'Tillförd energi'!$B$1:$AI$720,MATCH(Z$1,'Tillförd energi'!$B$1:$AQ$1,0),FALSE)</f>
        <v>0</v>
      </c>
      <c r="AA384" s="121">
        <f>VLOOKUP($B384,'Tillförd energi'!$B$1:$AI$720,MATCH(AA$1,'Tillförd energi'!$B$1:$AQ$1,0),FALSE)</f>
        <v>0</v>
      </c>
      <c r="AB384" s="121">
        <f>VLOOKUP($B384,'Tillförd energi'!$B$1:$AI$720,MATCH(AB$1,'Tillförd energi'!$B$1:$AQ$1,0),FALSE)</f>
        <v>0</v>
      </c>
      <c r="AC384" s="121">
        <f>VLOOKUP($B384,'Tillförd energi'!$B$1:$AI$720,MATCH(AC$1,'Tillförd energi'!$B$1:$AQ$1,0),FALSE)</f>
        <v>0</v>
      </c>
      <c r="AD384" s="121">
        <f>VLOOKUP($B384,'Tillförd energi'!$B$1:$AI$720,MATCH(AD$1,'Tillförd energi'!$B$1:$AQ$1,0),FALSE)</f>
        <v>0</v>
      </c>
      <c r="AE384" s="121">
        <f>VLOOKUP($B384,'Tillförd energi'!$B$1:$AI$720,MATCH(AE$1,'Tillförd energi'!$B$1:$AQ$1,0),FALSE)</f>
        <v>0</v>
      </c>
      <c r="AF384" s="121">
        <f>VLOOKUP($B384,'Tillförd energi'!$B$1:$AI$720,MATCH(AF$1,'Tillförd energi'!$B$1:$AQ$1,0),FALSE)</f>
        <v>0</v>
      </c>
      <c r="AG384" s="121">
        <f>IFERROR(VLOOKUP(B384,Miljö!$B$1:$AC$550,MATCH("Köpt mängd produktionsspecifik fjärrvärme:",Miljö!$B$1:$AC$1,0),FALSE)/1,0)</f>
        <v>0</v>
      </c>
      <c r="AH384" s="121"/>
      <c r="AI384" s="121">
        <f t="shared" si="154"/>
        <v>0</v>
      </c>
      <c r="AJ384" s="121">
        <f t="shared" si="155"/>
        <v>0</v>
      </c>
      <c r="AK384" s="121" t="str">
        <f>IF(ISERROR(1/VLOOKUP($B384,Leveranser!$B$1:$S$499,MATCH("såld värme (gwh)",Leveranser!$B$1:$S$1,0),FALSE)),"",VLOOKUP($B384,Leveranser!$B$1:$S$499,MATCH("såld värme (gwh)",Leveranser!$B$1:$S$1,0),FALSE))</f>
        <v/>
      </c>
      <c r="AL384" s="121">
        <f>VLOOKUP($B384,Leveranser!$B$1:$Y$499,MATCH("Totalt såld fjärrvärme till andra fjärrvärmeföretag",Leveranser!$B$1:$AA$1,0),FALSE)</f>
        <v>0</v>
      </c>
      <c r="AM384" s="121">
        <f>IF(ISERROR(1/VLOOKUP($B384,Miljö!$B$1:$S$500,MATCH("Såld mängd produktionsspecifik fjärrvärme (GWh)",Miljö!$B$1:$R$1,0),FALSE)),0,VLOOKUP($B384,Miljö!$B$1:$S$500,MATCH("Såld mängd produktionsspecifik fjärrvärme (GWh)",Miljö!$B$1:$R$1,0),FALSE))</f>
        <v>0</v>
      </c>
      <c r="AN384" s="172" t="str">
        <f t="shared" si="156"/>
        <v/>
      </c>
      <c r="AO384" s="121"/>
      <c r="AP384" s="121" t="str">
        <f>IFERROR(VLOOKUP($B384,Miljövärden!$B$2:$H$550,7,FALSE),"Nej, saknas")</f>
        <v>Nej</v>
      </c>
      <c r="AQ384" s="121" t="str">
        <f>IFERROR(VLOOKUP($B384,Miljövärden!$B$2:$H$550,6,FALSE),"Nej, saknas")</f>
        <v>Nej</v>
      </c>
      <c r="AU384">
        <f t="shared" si="157"/>
        <v>0</v>
      </c>
      <c r="AV384">
        <f t="shared" si="158"/>
        <v>0</v>
      </c>
      <c r="AW384">
        <f t="shared" si="159"/>
        <v>0</v>
      </c>
      <c r="AX384">
        <f t="shared" si="160"/>
        <v>0</v>
      </c>
      <c r="AZ384">
        <f t="shared" si="161"/>
        <v>0</v>
      </c>
      <c r="BC384">
        <f t="shared" si="162"/>
        <v>0</v>
      </c>
      <c r="BD384">
        <f t="shared" si="163"/>
        <v>0</v>
      </c>
      <c r="BE384">
        <f t="shared" si="164"/>
        <v>0</v>
      </c>
      <c r="BF384">
        <f t="shared" si="165"/>
        <v>0</v>
      </c>
      <c r="BG384">
        <f t="shared" si="166"/>
        <v>0</v>
      </c>
      <c r="BH384" t="str">
        <f>VLOOKUP(B384,Miljö!$B$1:$BX$482,MATCH("Fossilandel för ursprungspecificerad el ()",Miljö!$B$1:$I$1,0),FALSE)</f>
        <v>-</v>
      </c>
      <c r="BI384" t="str">
        <f>VLOOKUP(B384,Miljö!$B$1:$BX$482,MATCH("Kärnkraftsandel för ursprungsspecificerad el ()",Miljö!$B$1:$O$1,0),FALSE)</f>
        <v>-</v>
      </c>
      <c r="BJ384">
        <f t="shared" si="167"/>
        <v>0</v>
      </c>
      <c r="BK384" t="str">
        <f>VLOOKUP(B384,Miljö!$B$1:$O$482,MATCH("Fossil andel i procent (%)",Miljö!$B$1:$O$1,0),FALSE)</f>
        <v>-</v>
      </c>
      <c r="BL384">
        <f t="shared" si="168"/>
        <v>0</v>
      </c>
      <c r="BO384" s="18" t="str">
        <f t="shared" si="169"/>
        <v/>
      </c>
      <c r="BP384" s="18" t="str">
        <f t="shared" si="170"/>
        <v/>
      </c>
      <c r="BQ384" s="18" t="str">
        <f t="shared" si="171"/>
        <v/>
      </c>
      <c r="BR384" s="18" t="str">
        <f t="shared" si="172"/>
        <v/>
      </c>
      <c r="BT384" s="27">
        <f t="shared" si="173"/>
        <v>0</v>
      </c>
      <c r="BW384" s="18" t="str">
        <f>IF(AP384="ja",VLOOKUP(B384,Miljövärden!$B$2:$H$550,MATCH("Total andel fossilt",Miljövärden!$B$2:$H$2,0),FALSE),"")</f>
        <v/>
      </c>
      <c r="BZ384" s="28" t="str">
        <f t="shared" si="174"/>
        <v/>
      </c>
      <c r="CA384" s="28" t="str">
        <f t="shared" si="175"/>
        <v/>
      </c>
    </row>
    <row r="385" spans="1:79" x14ac:dyDescent="0.25">
      <c r="A385" s="224" t="s">
        <v>712</v>
      </c>
      <c r="B385" s="210" t="s">
        <v>713</v>
      </c>
      <c r="C385" s="121">
        <f>VLOOKUP($B385,'Tillförd energi'!$B$1:$AI$720,MATCH(C$1,'Tillförd energi'!$B$1:$AQ$1,0),FALSE)</f>
        <v>0</v>
      </c>
      <c r="D385" s="121">
        <f>VLOOKUP($B385,'Tillförd energi'!$B$1:$AI$720,MATCH(D$1,'Tillförd energi'!$B$1:$AQ$1,0),FALSE)</f>
        <v>0</v>
      </c>
      <c r="E385" s="121">
        <f>VLOOKUP($B385,'Tillförd energi'!$B$1:$AI$720,MATCH(E$1,'Tillförd energi'!$B$1:$AQ$1,0),FALSE)</f>
        <v>0</v>
      </c>
      <c r="F385" s="121">
        <f>VLOOKUP($B385,'Tillförd energi'!$B$1:$AI$720,MATCH(F$1,'Tillförd energi'!$B$1:$AQ$1,0),FALSE)</f>
        <v>0</v>
      </c>
      <c r="G385" s="121">
        <f>VLOOKUP($B385,'Tillförd energi'!$B$1:$AI$720,MATCH(G$1,'Tillförd energi'!$B$1:$AQ$1,0),FALSE)</f>
        <v>0</v>
      </c>
      <c r="H385" s="121">
        <f>VLOOKUP($B385,'Tillförd energi'!$B$1:$AI$720,MATCH(H$1,'Tillförd energi'!$B$1:$AQ$1,0),FALSE)</f>
        <v>0</v>
      </c>
      <c r="I385" s="121">
        <f>VLOOKUP($B385,'Tillförd energi'!$B$1:$AI$720,MATCH(I$1,'Tillförd energi'!$B$1:$AQ$1,0),FALSE)</f>
        <v>0</v>
      </c>
      <c r="J385" s="121">
        <f>VLOOKUP($B385,'Tillförd energi'!$B$1:$AI$720,MATCH(J$1,'Tillförd energi'!$B$1:$AQ$1,0),FALSE)</f>
        <v>0</v>
      </c>
      <c r="K385" s="121">
        <f>VLOOKUP($B385,'Tillförd energi'!$B$1:$AI$720,MATCH(K$1,'Tillförd energi'!$B$1:$AQ$1,0),FALSE)</f>
        <v>0</v>
      </c>
      <c r="L385" s="121">
        <f>VLOOKUP($B385,'Tillförd energi'!$B$1:$AI$720,MATCH(L$1,'Tillförd energi'!$B$1:$AQ$1,0),FALSE)</f>
        <v>0</v>
      </c>
      <c r="M385" s="121">
        <f>VLOOKUP($B385,'Tillförd energi'!$B$1:$AI$720,MATCH(M$1,'Tillförd energi'!$B$1:$AQ$1,0),FALSE)</f>
        <v>0</v>
      </c>
      <c r="N385" s="121">
        <f>VLOOKUP($B385,'Tillförd energi'!$B$1:$AI$720,MATCH(N$1,'Tillförd energi'!$B$1:$AQ$1,0),FALSE)</f>
        <v>0</v>
      </c>
      <c r="O385" s="121">
        <f>VLOOKUP($B385,'Tillförd energi'!$B$1:$AI$720,MATCH(O$1,'Tillförd energi'!$B$1:$AQ$1,0),FALSE)</f>
        <v>0</v>
      </c>
      <c r="P385" s="121">
        <f>VLOOKUP($B385,'Tillförd energi'!$B$1:$AI$720,MATCH(P$1,'Tillförd energi'!$B$1:$AQ$1,0),FALSE)</f>
        <v>14.672000000000001</v>
      </c>
      <c r="Q385" s="121">
        <f>VLOOKUP($B385,'Tillförd energi'!$B$1:$AI$720,MATCH(Q$1,'Tillförd energi'!$B$1:$AQ$1,0),FALSE)</f>
        <v>0</v>
      </c>
      <c r="R385" s="121">
        <f>VLOOKUP($B385,'Tillförd energi'!$B$1:$AI$720,MATCH(R$1,'Tillförd energi'!$B$1:$AQ$1,0),FALSE)</f>
        <v>4.3650000000000002</v>
      </c>
      <c r="S385" s="121">
        <f>VLOOKUP($B385,'Tillförd energi'!$B$1:$AI$720,MATCH(S$1,'Tillförd energi'!$B$1:$AQ$1,0),FALSE)</f>
        <v>0</v>
      </c>
      <c r="T385" s="121">
        <f>VLOOKUP($B385,'Tillförd energi'!$B$1:$AI$720,MATCH(T$1,'Tillförd energi'!$B$1:$AQ$1,0),FALSE)</f>
        <v>0</v>
      </c>
      <c r="U385" s="121">
        <f>VLOOKUP($B385,'Tillförd energi'!$B$1:$AI$720,MATCH(U$1,'Tillförd energi'!$B$1:$AQ$1,0),FALSE)</f>
        <v>0</v>
      </c>
      <c r="V385" s="121">
        <f>VLOOKUP($B385,'Tillförd energi'!$B$1:$AI$720,MATCH(V$1,'Tillförd energi'!$B$1:$AQ$1,0),FALSE)</f>
        <v>0</v>
      </c>
      <c r="W385" s="121">
        <f>VLOOKUP($B385,'Tillförd energi'!$B$1:$AI$720,MATCH(W$1,'Tillförd energi'!$B$1:$AQ$1,0),FALSE)</f>
        <v>0.94699999999999995</v>
      </c>
      <c r="X385" s="121">
        <f>VLOOKUP($B385,'Tillförd energi'!$B$1:$AI$720,MATCH(X$1,'Tillförd energi'!$B$1:$AQ$1,0),FALSE)</f>
        <v>0</v>
      </c>
      <c r="Y385" s="121">
        <f>VLOOKUP($B385,'Tillförd energi'!$B$1:$AI$720,MATCH(Y$1,'Tillförd energi'!$B$1:$AQ$1,0),FALSE)</f>
        <v>0</v>
      </c>
      <c r="Z385" s="121">
        <f>VLOOKUP($B385,'Tillförd energi'!$B$1:$AI$720,MATCH(Z$1,'Tillförd energi'!$B$1:$AQ$1,0),FALSE)</f>
        <v>0</v>
      </c>
      <c r="AA385" s="121">
        <f>VLOOKUP($B385,'Tillförd energi'!$B$1:$AI$720,MATCH(AA$1,'Tillförd energi'!$B$1:$AQ$1,0),FALSE)</f>
        <v>0</v>
      </c>
      <c r="AB385" s="121">
        <f>VLOOKUP($B385,'Tillförd energi'!$B$1:$AI$720,MATCH(AB$1,'Tillförd energi'!$B$1:$AQ$1,0),FALSE)</f>
        <v>0</v>
      </c>
      <c r="AC385" s="121">
        <f>VLOOKUP($B385,'Tillförd energi'!$B$1:$AI$720,MATCH(AC$1,'Tillförd energi'!$B$1:$AQ$1,0),FALSE)</f>
        <v>0</v>
      </c>
      <c r="AD385" s="121">
        <f>VLOOKUP($B385,'Tillförd energi'!$B$1:$AI$720,MATCH(AD$1,'Tillförd energi'!$B$1:$AQ$1,0),FALSE)</f>
        <v>0</v>
      </c>
      <c r="AE385" s="121">
        <f>VLOOKUP($B385,'Tillförd energi'!$B$1:$AI$720,MATCH(AE$1,'Tillförd energi'!$B$1:$AQ$1,0),FALSE)</f>
        <v>0</v>
      </c>
      <c r="AF385" s="121">
        <f>VLOOKUP($B385,'Tillförd energi'!$B$1:$AI$720,MATCH(AF$1,'Tillförd energi'!$B$1:$AQ$1,0),FALSE)</f>
        <v>0.27</v>
      </c>
      <c r="AG385" s="121">
        <f>IFERROR(VLOOKUP(B385,Miljö!$B$1:$AC$550,MATCH("Köpt mängd produktionsspecifik fjärrvärme:",Miljö!$B$1:$AC$1,0),FALSE)/1,0)</f>
        <v>0</v>
      </c>
      <c r="AH385" s="121"/>
      <c r="AI385" s="121">
        <f t="shared" si="154"/>
        <v>20.253999999999998</v>
      </c>
      <c r="AJ385" s="121">
        <f t="shared" si="155"/>
        <v>20.253999999999998</v>
      </c>
      <c r="AK385" s="121">
        <f>IF(ISERROR(1/VLOOKUP($B385,Leveranser!$B$1:$S$499,MATCH("såld värme (gwh)",Leveranser!$B$1:$S$1,0),FALSE)),"",VLOOKUP($B385,Leveranser!$B$1:$S$499,MATCH("såld värme (gwh)",Leveranser!$B$1:$S$1,0),FALSE))</f>
        <v>13.83</v>
      </c>
      <c r="AL385" s="121">
        <f>VLOOKUP($B385,Leveranser!$B$1:$Y$499,MATCH("Totalt såld fjärrvärme till andra fjärrvärmeföretag",Leveranser!$B$1:$AA$1,0),FALSE)</f>
        <v>0</v>
      </c>
      <c r="AM385" s="121">
        <f>IF(ISERROR(1/VLOOKUP($B385,Miljö!$B$1:$S$500,MATCH("Såld mängd produktionsspecifik fjärrvärme (GWh)",Miljö!$B$1:$R$1,0),FALSE)),0,VLOOKUP($B385,Miljö!$B$1:$S$500,MATCH("Såld mängd produktionsspecifik fjärrvärme (GWh)",Miljö!$B$1:$R$1,0),FALSE))</f>
        <v>0</v>
      </c>
      <c r="AN385" s="172">
        <f t="shared" si="156"/>
        <v>0.6828280833415622</v>
      </c>
      <c r="AO385" s="121"/>
      <c r="AP385" s="121" t="str">
        <f>IFERROR(VLOOKUP($B385,Miljövärden!$B$2:$H$550,7,FALSE),"Nej, saknas")</f>
        <v>Ja</v>
      </c>
      <c r="AQ385" s="121" t="str">
        <f>IFERROR(VLOOKUP($B385,Miljövärden!$B$2:$H$550,6,FALSE),"Nej, saknas")</f>
        <v>Ja</v>
      </c>
      <c r="AU385">
        <f t="shared" si="157"/>
        <v>0.27</v>
      </c>
      <c r="AV385">
        <f t="shared" si="158"/>
        <v>0</v>
      </c>
      <c r="AW385">
        <f t="shared" si="159"/>
        <v>14.672000000000001</v>
      </c>
      <c r="AX385">
        <f t="shared" si="160"/>
        <v>4.3650000000000002</v>
      </c>
      <c r="AZ385">
        <f t="shared" si="161"/>
        <v>19.983999999999998</v>
      </c>
      <c r="BC385">
        <f t="shared" si="162"/>
        <v>0</v>
      </c>
      <c r="BD385">
        <f t="shared" si="163"/>
        <v>0</v>
      </c>
      <c r="BE385">
        <f t="shared" si="164"/>
        <v>19.983999999999998</v>
      </c>
      <c r="BF385">
        <f t="shared" si="165"/>
        <v>0</v>
      </c>
      <c r="BG385">
        <f t="shared" si="166"/>
        <v>0.27</v>
      </c>
      <c r="BH385">
        <f>VLOOKUP(B385,Miljö!$B$1:$BX$482,MATCH("Fossilandel för ursprungspecificerad el ()",Miljö!$B$1:$I$1,0),FALSE)</f>
        <v>0</v>
      </c>
      <c r="BI385">
        <f>VLOOKUP(B385,Miljö!$B$1:$BX$482,MATCH("Kärnkraftsandel för ursprungsspecificerad el ()",Miljö!$B$1:$O$1,0),FALSE)</f>
        <v>0</v>
      </c>
      <c r="BJ385">
        <f t="shared" si="167"/>
        <v>0</v>
      </c>
      <c r="BK385" t="str">
        <f>VLOOKUP(B385,Miljö!$B$1:$O$482,MATCH("Fossil andel i procent (%)",Miljö!$B$1:$O$1,0),FALSE)</f>
        <v>ET</v>
      </c>
      <c r="BL385">
        <f t="shared" si="168"/>
        <v>20.253999999999998</v>
      </c>
      <c r="BO385" s="18">
        <f t="shared" si="169"/>
        <v>0</v>
      </c>
      <c r="BP385" s="18">
        <f t="shared" si="170"/>
        <v>0</v>
      </c>
      <c r="BQ385" s="18">
        <f t="shared" si="171"/>
        <v>1</v>
      </c>
      <c r="BR385" s="18">
        <f t="shared" si="172"/>
        <v>0</v>
      </c>
      <c r="BT385" s="27">
        <f t="shared" si="173"/>
        <v>1</v>
      </c>
      <c r="BW385" s="18">
        <f>IF(AP385="ja",VLOOKUP(B385,Miljövärden!$B$2:$H$550,MATCH("Total andel fossilt",Miljövärden!$B$2:$H$2,0),FALSE),"")</f>
        <v>0</v>
      </c>
      <c r="BZ385" s="28">
        <f t="shared" si="174"/>
        <v>0</v>
      </c>
      <c r="CA385" s="28">
        <f t="shared" si="175"/>
        <v>0</v>
      </c>
    </row>
    <row r="386" spans="1:79" x14ac:dyDescent="0.25">
      <c r="A386" s="224" t="s">
        <v>712</v>
      </c>
      <c r="B386" s="210" t="s">
        <v>714</v>
      </c>
      <c r="C386" s="121">
        <f>VLOOKUP($B386,'Tillförd energi'!$B$1:$AI$720,MATCH(C$1,'Tillförd energi'!$B$1:$AQ$1,0),FALSE)</f>
        <v>0</v>
      </c>
      <c r="D386" s="121">
        <f>VLOOKUP($B386,'Tillförd energi'!$B$1:$AI$720,MATCH(D$1,'Tillförd energi'!$B$1:$AQ$1,0),FALSE)</f>
        <v>0</v>
      </c>
      <c r="E386" s="121">
        <f>VLOOKUP($B386,'Tillförd energi'!$B$1:$AI$720,MATCH(E$1,'Tillförd energi'!$B$1:$AQ$1,0),FALSE)</f>
        <v>0</v>
      </c>
      <c r="F386" s="121">
        <f>VLOOKUP($B386,'Tillförd energi'!$B$1:$AI$720,MATCH(F$1,'Tillförd energi'!$B$1:$AQ$1,0),FALSE)</f>
        <v>0</v>
      </c>
      <c r="G386" s="121">
        <f>VLOOKUP($B386,'Tillförd energi'!$B$1:$AI$720,MATCH(G$1,'Tillförd energi'!$B$1:$AQ$1,0),FALSE)</f>
        <v>0</v>
      </c>
      <c r="H386" s="121">
        <f>VLOOKUP($B386,'Tillförd energi'!$B$1:$AI$720,MATCH(H$1,'Tillförd energi'!$B$1:$AQ$1,0),FALSE)</f>
        <v>0</v>
      </c>
      <c r="I386" s="121">
        <f>VLOOKUP($B386,'Tillförd energi'!$B$1:$AI$720,MATCH(I$1,'Tillförd energi'!$B$1:$AQ$1,0),FALSE)</f>
        <v>0</v>
      </c>
      <c r="J386" s="121">
        <f>VLOOKUP($B386,'Tillförd energi'!$B$1:$AI$720,MATCH(J$1,'Tillförd energi'!$B$1:$AQ$1,0),FALSE)</f>
        <v>0</v>
      </c>
      <c r="K386" s="121">
        <f>VLOOKUP($B386,'Tillförd energi'!$B$1:$AI$720,MATCH(K$1,'Tillförd energi'!$B$1:$AQ$1,0),FALSE)</f>
        <v>0</v>
      </c>
      <c r="L386" s="121">
        <f>VLOOKUP($B386,'Tillförd energi'!$B$1:$AI$720,MATCH(L$1,'Tillförd energi'!$B$1:$AQ$1,0),FALSE)</f>
        <v>0</v>
      </c>
      <c r="M386" s="121">
        <f>VLOOKUP($B386,'Tillförd energi'!$B$1:$AI$720,MATCH(M$1,'Tillförd energi'!$B$1:$AQ$1,0),FALSE)</f>
        <v>0</v>
      </c>
      <c r="N386" s="121">
        <f>VLOOKUP($B386,'Tillförd energi'!$B$1:$AI$720,MATCH(N$1,'Tillförd energi'!$B$1:$AQ$1,0),FALSE)</f>
        <v>0</v>
      </c>
      <c r="O386" s="121">
        <f>VLOOKUP($B386,'Tillförd energi'!$B$1:$AI$720,MATCH(O$1,'Tillförd energi'!$B$1:$AQ$1,0),FALSE)</f>
        <v>0</v>
      </c>
      <c r="P386" s="121">
        <f>VLOOKUP($B386,'Tillförd energi'!$B$1:$AI$720,MATCH(P$1,'Tillförd energi'!$B$1:$AQ$1,0),FALSE)</f>
        <v>5.5110000000000001</v>
      </c>
      <c r="Q386" s="121">
        <f>VLOOKUP($B386,'Tillförd energi'!$B$1:$AI$720,MATCH(Q$1,'Tillförd energi'!$B$1:$AQ$1,0),FALSE)</f>
        <v>0</v>
      </c>
      <c r="R386" s="121">
        <f>VLOOKUP($B386,'Tillförd energi'!$B$1:$AI$720,MATCH(R$1,'Tillförd energi'!$B$1:$AQ$1,0),FALSE)</f>
        <v>4.2549999999999999</v>
      </c>
      <c r="S386" s="121">
        <f>VLOOKUP($B386,'Tillförd energi'!$B$1:$AI$720,MATCH(S$1,'Tillförd energi'!$B$1:$AQ$1,0),FALSE)</f>
        <v>0</v>
      </c>
      <c r="T386" s="121">
        <f>VLOOKUP($B386,'Tillförd energi'!$B$1:$AI$720,MATCH(T$1,'Tillförd energi'!$B$1:$AQ$1,0),FALSE)</f>
        <v>0</v>
      </c>
      <c r="U386" s="121">
        <f>VLOOKUP($B386,'Tillförd energi'!$B$1:$AI$720,MATCH(U$1,'Tillförd energi'!$B$1:$AQ$1,0),FALSE)</f>
        <v>0</v>
      </c>
      <c r="V386" s="121">
        <f>VLOOKUP($B386,'Tillförd energi'!$B$1:$AI$720,MATCH(V$1,'Tillförd energi'!$B$1:$AQ$1,0),FALSE)</f>
        <v>0</v>
      </c>
      <c r="W386" s="121">
        <f>VLOOKUP($B386,'Tillförd energi'!$B$1:$AI$720,MATCH(W$1,'Tillförd energi'!$B$1:$AQ$1,0),FALSE)</f>
        <v>1.2290000000000001</v>
      </c>
      <c r="X386" s="121">
        <f>VLOOKUP($B386,'Tillförd energi'!$B$1:$AI$720,MATCH(X$1,'Tillförd energi'!$B$1:$AQ$1,0),FALSE)</f>
        <v>0</v>
      </c>
      <c r="Y386" s="121">
        <f>VLOOKUP($B386,'Tillförd energi'!$B$1:$AI$720,MATCH(Y$1,'Tillförd energi'!$B$1:$AQ$1,0),FALSE)</f>
        <v>0</v>
      </c>
      <c r="Z386" s="121">
        <f>VLOOKUP($B386,'Tillförd energi'!$B$1:$AI$720,MATCH(Z$1,'Tillförd energi'!$B$1:$AQ$1,0),FALSE)</f>
        <v>0</v>
      </c>
      <c r="AA386" s="121">
        <f>VLOOKUP($B386,'Tillförd energi'!$B$1:$AI$720,MATCH(AA$1,'Tillförd energi'!$B$1:$AQ$1,0),FALSE)</f>
        <v>0</v>
      </c>
      <c r="AB386" s="121">
        <f>VLOOKUP($B386,'Tillförd energi'!$B$1:$AI$720,MATCH(AB$1,'Tillförd energi'!$B$1:$AQ$1,0),FALSE)</f>
        <v>0</v>
      </c>
      <c r="AC386" s="121">
        <f>VLOOKUP($B386,'Tillförd energi'!$B$1:$AI$720,MATCH(AC$1,'Tillförd energi'!$B$1:$AQ$1,0),FALSE)</f>
        <v>0</v>
      </c>
      <c r="AD386" s="121">
        <f>VLOOKUP($B386,'Tillförd energi'!$B$1:$AI$720,MATCH(AD$1,'Tillförd energi'!$B$1:$AQ$1,0),FALSE)</f>
        <v>0</v>
      </c>
      <c r="AE386" s="121">
        <f>VLOOKUP($B386,'Tillförd energi'!$B$1:$AI$720,MATCH(AE$1,'Tillförd energi'!$B$1:$AQ$1,0),FALSE)</f>
        <v>0</v>
      </c>
      <c r="AF386" s="121">
        <f>VLOOKUP($B386,'Tillförd energi'!$B$1:$AI$720,MATCH(AF$1,'Tillförd energi'!$B$1:$AQ$1,0),FALSE)</f>
        <v>0.159</v>
      </c>
      <c r="AG386" s="121">
        <f>IFERROR(VLOOKUP(B386,Miljö!$B$1:$AC$550,MATCH("Köpt mängd produktionsspecifik fjärrvärme:",Miljö!$B$1:$AC$1,0),FALSE)/1,0)</f>
        <v>0</v>
      </c>
      <c r="AH386" s="121"/>
      <c r="AI386" s="121">
        <f t="shared" si="154"/>
        <v>11.154000000000002</v>
      </c>
      <c r="AJ386" s="121">
        <f t="shared" si="155"/>
        <v>11.154000000000002</v>
      </c>
      <c r="AK386" s="121">
        <f>IF(ISERROR(1/VLOOKUP($B386,Leveranser!$B$1:$S$499,MATCH("såld värme (gwh)",Leveranser!$B$1:$S$1,0),FALSE)),"",VLOOKUP($B386,Leveranser!$B$1:$S$499,MATCH("såld värme (gwh)",Leveranser!$B$1:$S$1,0),FALSE))</f>
        <v>7.7039999999999997</v>
      </c>
      <c r="AL386" s="121">
        <f>VLOOKUP($B386,Leveranser!$B$1:$Y$499,MATCH("Totalt såld fjärrvärme till andra fjärrvärmeföretag",Leveranser!$B$1:$AA$1,0),FALSE)</f>
        <v>0</v>
      </c>
      <c r="AM386" s="121">
        <f>IF(ISERROR(1/VLOOKUP($B386,Miljö!$B$1:$S$500,MATCH("Såld mängd produktionsspecifik fjärrvärme (GWh)",Miljö!$B$1:$R$1,0),FALSE)),0,VLOOKUP($B386,Miljö!$B$1:$S$500,MATCH("Såld mängd produktionsspecifik fjärrvärme (GWh)",Miljö!$B$1:$R$1,0),FALSE))</f>
        <v>0</v>
      </c>
      <c r="AN386" s="172">
        <f t="shared" si="156"/>
        <v>0.69069392146315212</v>
      </c>
      <c r="AO386" s="121"/>
      <c r="AP386" s="121" t="str">
        <f>IFERROR(VLOOKUP($B386,Miljövärden!$B$2:$H$550,7,FALSE),"Nej, saknas")</f>
        <v>Ja</v>
      </c>
      <c r="AQ386" s="121" t="str">
        <f>IFERROR(VLOOKUP($B386,Miljövärden!$B$2:$H$550,6,FALSE),"Nej, saknas")</f>
        <v>Ja</v>
      </c>
      <c r="AU386">
        <f t="shared" si="157"/>
        <v>0.159</v>
      </c>
      <c r="AV386">
        <f t="shared" si="158"/>
        <v>0</v>
      </c>
      <c r="AW386">
        <f t="shared" si="159"/>
        <v>5.5110000000000001</v>
      </c>
      <c r="AX386">
        <f t="shared" si="160"/>
        <v>4.2549999999999999</v>
      </c>
      <c r="AZ386">
        <f t="shared" si="161"/>
        <v>10.995000000000001</v>
      </c>
      <c r="BC386">
        <f t="shared" si="162"/>
        <v>0</v>
      </c>
      <c r="BD386">
        <f t="shared" si="163"/>
        <v>0</v>
      </c>
      <c r="BE386">
        <f t="shared" si="164"/>
        <v>10.995000000000001</v>
      </c>
      <c r="BF386">
        <f t="shared" si="165"/>
        <v>0</v>
      </c>
      <c r="BG386">
        <f t="shared" si="166"/>
        <v>0.159</v>
      </c>
      <c r="BH386">
        <f>VLOOKUP(B386,Miljö!$B$1:$BX$482,MATCH("Fossilandel för ursprungspecificerad el ()",Miljö!$B$1:$I$1,0),FALSE)</f>
        <v>0</v>
      </c>
      <c r="BI386">
        <f>VLOOKUP(B386,Miljö!$B$1:$BX$482,MATCH("Kärnkraftsandel för ursprungsspecificerad el ()",Miljö!$B$1:$O$1,0),FALSE)</f>
        <v>0</v>
      </c>
      <c r="BJ386">
        <f t="shared" si="167"/>
        <v>0</v>
      </c>
      <c r="BK386" t="str">
        <f>VLOOKUP(B386,Miljö!$B$1:$O$482,MATCH("Fossil andel i procent (%)",Miljö!$B$1:$O$1,0),FALSE)</f>
        <v>ET</v>
      </c>
      <c r="BL386">
        <f t="shared" si="168"/>
        <v>11.154000000000002</v>
      </c>
      <c r="BO386" s="18">
        <f t="shared" si="169"/>
        <v>0</v>
      </c>
      <c r="BP386" s="18">
        <f t="shared" si="170"/>
        <v>0</v>
      </c>
      <c r="BQ386" s="18">
        <f t="shared" si="171"/>
        <v>1</v>
      </c>
      <c r="BR386" s="18">
        <f t="shared" si="172"/>
        <v>0</v>
      </c>
      <c r="BT386" s="27">
        <f t="shared" si="173"/>
        <v>1</v>
      </c>
      <c r="BW386" s="18">
        <f>IF(AP386="ja",VLOOKUP(B386,Miljövärden!$B$2:$H$550,MATCH("Total andel fossilt",Miljövärden!$B$2:$H$2,0),FALSE),"")</f>
        <v>0</v>
      </c>
      <c r="BZ386" s="28">
        <f t="shared" si="174"/>
        <v>0</v>
      </c>
      <c r="CA386" s="28">
        <f t="shared" si="175"/>
        <v>0</v>
      </c>
    </row>
    <row r="387" spans="1:79" x14ac:dyDescent="0.25">
      <c r="A387" s="224" t="s">
        <v>712</v>
      </c>
      <c r="B387" s="210" t="s">
        <v>715</v>
      </c>
      <c r="C387" s="121">
        <f>VLOOKUP($B387,'Tillförd energi'!$B$1:$AI$720,MATCH(C$1,'Tillförd energi'!$B$1:$AQ$1,0),FALSE)</f>
        <v>0</v>
      </c>
      <c r="D387" s="121">
        <f>VLOOKUP($B387,'Tillförd energi'!$B$1:$AI$720,MATCH(D$1,'Tillförd energi'!$B$1:$AQ$1,0),FALSE)</f>
        <v>0</v>
      </c>
      <c r="E387" s="121">
        <f>VLOOKUP($B387,'Tillförd energi'!$B$1:$AI$720,MATCH(E$1,'Tillförd energi'!$B$1:$AQ$1,0),FALSE)</f>
        <v>0</v>
      </c>
      <c r="F387" s="121">
        <f>VLOOKUP($B387,'Tillförd energi'!$B$1:$AI$720,MATCH(F$1,'Tillförd energi'!$B$1:$AQ$1,0),FALSE)</f>
        <v>0</v>
      </c>
      <c r="G387" s="121">
        <f>VLOOKUP($B387,'Tillförd energi'!$B$1:$AI$720,MATCH(G$1,'Tillförd energi'!$B$1:$AQ$1,0),FALSE)</f>
        <v>0</v>
      </c>
      <c r="H387" s="121">
        <f>VLOOKUP($B387,'Tillförd energi'!$B$1:$AI$720,MATCH(H$1,'Tillförd energi'!$B$1:$AQ$1,0),FALSE)</f>
        <v>0</v>
      </c>
      <c r="I387" s="121">
        <f>VLOOKUP($B387,'Tillförd energi'!$B$1:$AI$720,MATCH(I$1,'Tillförd energi'!$B$1:$AQ$1,0),FALSE)</f>
        <v>0</v>
      </c>
      <c r="J387" s="121">
        <f>VLOOKUP($B387,'Tillförd energi'!$B$1:$AI$720,MATCH(J$1,'Tillförd energi'!$B$1:$AQ$1,0),FALSE)</f>
        <v>0</v>
      </c>
      <c r="K387" s="121">
        <f>VLOOKUP($B387,'Tillförd energi'!$B$1:$AI$720,MATCH(K$1,'Tillförd energi'!$B$1:$AQ$1,0),FALSE)</f>
        <v>0</v>
      </c>
      <c r="L387" s="121">
        <f>VLOOKUP($B387,'Tillförd energi'!$B$1:$AI$720,MATCH(L$1,'Tillförd energi'!$B$1:$AQ$1,0),FALSE)</f>
        <v>0</v>
      </c>
      <c r="M387" s="121">
        <f>VLOOKUP($B387,'Tillförd energi'!$B$1:$AI$720,MATCH(M$1,'Tillförd energi'!$B$1:$AQ$1,0),FALSE)</f>
        <v>0</v>
      </c>
      <c r="N387" s="121">
        <f>VLOOKUP($B387,'Tillförd energi'!$B$1:$AI$720,MATCH(N$1,'Tillförd energi'!$B$1:$AQ$1,0),FALSE)</f>
        <v>0</v>
      </c>
      <c r="O387" s="121">
        <f>VLOOKUP($B387,'Tillförd energi'!$B$1:$AI$720,MATCH(O$1,'Tillförd energi'!$B$1:$AQ$1,0),FALSE)</f>
        <v>0</v>
      </c>
      <c r="P387" s="121">
        <f>VLOOKUP($B387,'Tillförd energi'!$B$1:$AI$720,MATCH(P$1,'Tillförd energi'!$B$1:$AQ$1,0),FALSE)</f>
        <v>12.664</v>
      </c>
      <c r="Q387" s="121">
        <f>VLOOKUP($B387,'Tillförd energi'!$B$1:$AI$720,MATCH(Q$1,'Tillförd energi'!$B$1:$AQ$1,0),FALSE)</f>
        <v>0</v>
      </c>
      <c r="R387" s="121">
        <f>VLOOKUP($B387,'Tillförd energi'!$B$1:$AI$720,MATCH(R$1,'Tillförd energi'!$B$1:$AQ$1,0),FALSE)</f>
        <v>0</v>
      </c>
      <c r="S387" s="121">
        <f>VLOOKUP($B387,'Tillförd energi'!$B$1:$AI$720,MATCH(S$1,'Tillförd energi'!$B$1:$AQ$1,0),FALSE)</f>
        <v>0</v>
      </c>
      <c r="T387" s="121">
        <f>VLOOKUP($B387,'Tillförd energi'!$B$1:$AI$720,MATCH(T$1,'Tillförd energi'!$B$1:$AQ$1,0),FALSE)</f>
        <v>0</v>
      </c>
      <c r="U387" s="121">
        <f>VLOOKUP($B387,'Tillförd energi'!$B$1:$AI$720,MATCH(U$1,'Tillförd energi'!$B$1:$AQ$1,0),FALSE)</f>
        <v>0</v>
      </c>
      <c r="V387" s="121">
        <f>VLOOKUP($B387,'Tillförd energi'!$B$1:$AI$720,MATCH(V$1,'Tillförd energi'!$B$1:$AQ$1,0),FALSE)</f>
        <v>0</v>
      </c>
      <c r="W387" s="121">
        <f>VLOOKUP($B387,'Tillförd energi'!$B$1:$AI$720,MATCH(W$1,'Tillförd energi'!$B$1:$AQ$1,0),FALSE)</f>
        <v>1.5209999999999999</v>
      </c>
      <c r="X387" s="121">
        <f>VLOOKUP($B387,'Tillförd energi'!$B$1:$AI$720,MATCH(X$1,'Tillförd energi'!$B$1:$AQ$1,0),FALSE)</f>
        <v>0</v>
      </c>
      <c r="Y387" s="121">
        <f>VLOOKUP($B387,'Tillförd energi'!$B$1:$AI$720,MATCH(Y$1,'Tillförd energi'!$B$1:$AQ$1,0),FALSE)</f>
        <v>0</v>
      </c>
      <c r="Z387" s="121">
        <f>VLOOKUP($B387,'Tillförd energi'!$B$1:$AI$720,MATCH(Z$1,'Tillförd energi'!$B$1:$AQ$1,0),FALSE)</f>
        <v>0</v>
      </c>
      <c r="AA387" s="121">
        <f>VLOOKUP($B387,'Tillförd energi'!$B$1:$AI$720,MATCH(AA$1,'Tillförd energi'!$B$1:$AQ$1,0),FALSE)</f>
        <v>0</v>
      </c>
      <c r="AB387" s="121">
        <f>VLOOKUP($B387,'Tillförd energi'!$B$1:$AI$720,MATCH(AB$1,'Tillförd energi'!$B$1:$AQ$1,0),FALSE)</f>
        <v>0</v>
      </c>
      <c r="AC387" s="121">
        <f>VLOOKUP($B387,'Tillförd energi'!$B$1:$AI$720,MATCH(AC$1,'Tillförd energi'!$B$1:$AQ$1,0),FALSE)</f>
        <v>0</v>
      </c>
      <c r="AD387" s="121">
        <f>VLOOKUP($B387,'Tillförd energi'!$B$1:$AI$720,MATCH(AD$1,'Tillförd energi'!$B$1:$AQ$1,0),FALSE)</f>
        <v>0</v>
      </c>
      <c r="AE387" s="121">
        <f>VLOOKUP($B387,'Tillförd energi'!$B$1:$AI$720,MATCH(AE$1,'Tillförd energi'!$B$1:$AQ$1,0),FALSE)</f>
        <v>0</v>
      </c>
      <c r="AF387" s="121">
        <f>VLOOKUP($B387,'Tillförd energi'!$B$1:$AI$720,MATCH(AF$1,'Tillförd energi'!$B$1:$AQ$1,0),FALSE)</f>
        <v>0.214</v>
      </c>
      <c r="AG387" s="121">
        <f>IFERROR(VLOOKUP(B387,Miljö!$B$1:$AC$550,MATCH("Köpt mängd produktionsspecifik fjärrvärme:",Miljö!$B$1:$AC$1,0),FALSE)/1,0)</f>
        <v>0</v>
      </c>
      <c r="AH387" s="121"/>
      <c r="AI387" s="121">
        <f t="shared" si="154"/>
        <v>14.398999999999999</v>
      </c>
      <c r="AJ387" s="121">
        <f t="shared" si="155"/>
        <v>14.398999999999999</v>
      </c>
      <c r="AK387" s="121">
        <f>IF(ISERROR(1/VLOOKUP($B387,Leveranser!$B$1:$S$499,MATCH("såld värme (gwh)",Leveranser!$B$1:$S$1,0),FALSE)),"",VLOOKUP($B387,Leveranser!$B$1:$S$499,MATCH("såld värme (gwh)",Leveranser!$B$1:$S$1,0),FALSE))</f>
        <v>10.163</v>
      </c>
      <c r="AL387" s="121">
        <f>VLOOKUP($B387,Leveranser!$B$1:$Y$499,MATCH("Totalt såld fjärrvärme till andra fjärrvärmeföretag",Leveranser!$B$1:$AA$1,0),FALSE)</f>
        <v>0</v>
      </c>
      <c r="AM387" s="121">
        <f>IF(ISERROR(1/VLOOKUP($B387,Miljö!$B$1:$S$500,MATCH("Såld mängd produktionsspecifik fjärrvärme (GWh)",Miljö!$B$1:$R$1,0),FALSE)),0,VLOOKUP($B387,Miljö!$B$1:$S$500,MATCH("Såld mängd produktionsspecifik fjärrvärme (GWh)",Miljö!$B$1:$R$1,0),FALSE))</f>
        <v>0</v>
      </c>
      <c r="AN387" s="172">
        <f t="shared" si="156"/>
        <v>0.70581290367386629</v>
      </c>
      <c r="AO387" s="121"/>
      <c r="AP387" s="121" t="str">
        <f>IFERROR(VLOOKUP($B387,Miljövärden!$B$2:$H$550,7,FALSE),"Nej, saknas")</f>
        <v>Ja</v>
      </c>
      <c r="AQ387" s="121" t="str">
        <f>IFERROR(VLOOKUP($B387,Miljövärden!$B$2:$H$550,6,FALSE),"Nej, saknas")</f>
        <v>Ja</v>
      </c>
      <c r="AU387">
        <f t="shared" si="157"/>
        <v>0.214</v>
      </c>
      <c r="AV387">
        <f t="shared" si="158"/>
        <v>0</v>
      </c>
      <c r="AW387">
        <f t="shared" si="159"/>
        <v>12.664</v>
      </c>
      <c r="AX387">
        <f t="shared" si="160"/>
        <v>0</v>
      </c>
      <c r="AZ387">
        <f t="shared" si="161"/>
        <v>14.184999999999999</v>
      </c>
      <c r="BC387">
        <f t="shared" si="162"/>
        <v>0</v>
      </c>
      <c r="BD387">
        <f t="shared" si="163"/>
        <v>0</v>
      </c>
      <c r="BE387">
        <f t="shared" si="164"/>
        <v>14.184999999999999</v>
      </c>
      <c r="BF387">
        <f t="shared" si="165"/>
        <v>0</v>
      </c>
      <c r="BG387">
        <f t="shared" si="166"/>
        <v>0.214</v>
      </c>
      <c r="BH387">
        <f>VLOOKUP(B387,Miljö!$B$1:$BX$482,MATCH("Fossilandel för ursprungspecificerad el ()",Miljö!$B$1:$I$1,0),FALSE)</f>
        <v>0</v>
      </c>
      <c r="BI387">
        <f>VLOOKUP(B387,Miljö!$B$1:$BX$482,MATCH("Kärnkraftsandel för ursprungsspecificerad el ()",Miljö!$B$1:$O$1,0),FALSE)</f>
        <v>0</v>
      </c>
      <c r="BJ387">
        <f t="shared" si="167"/>
        <v>0</v>
      </c>
      <c r="BK387" t="str">
        <f>VLOOKUP(B387,Miljö!$B$1:$O$482,MATCH("Fossil andel i procent (%)",Miljö!$B$1:$O$1,0),FALSE)</f>
        <v>ET</v>
      </c>
      <c r="BL387">
        <f t="shared" si="168"/>
        <v>14.398999999999999</v>
      </c>
      <c r="BO387" s="18">
        <f t="shared" si="169"/>
        <v>0</v>
      </c>
      <c r="BP387" s="18">
        <f t="shared" si="170"/>
        <v>0</v>
      </c>
      <c r="BQ387" s="18">
        <f t="shared" si="171"/>
        <v>1</v>
      </c>
      <c r="BR387" s="18">
        <f t="shared" si="172"/>
        <v>0</v>
      </c>
      <c r="BT387" s="27">
        <f t="shared" si="173"/>
        <v>1</v>
      </c>
      <c r="BW387" s="18">
        <f>IF(AP387="ja",VLOOKUP(B387,Miljövärden!$B$2:$H$550,MATCH("Total andel fossilt",Miljövärden!$B$2:$H$2,0),FALSE),"")</f>
        <v>0</v>
      </c>
      <c r="BZ387" s="28">
        <f t="shared" si="174"/>
        <v>0</v>
      </c>
      <c r="CA387" s="28">
        <f t="shared" si="175"/>
        <v>0</v>
      </c>
    </row>
    <row r="388" spans="1:79" x14ac:dyDescent="0.25">
      <c r="A388" s="224" t="s">
        <v>712</v>
      </c>
      <c r="B388" s="210" t="s">
        <v>716</v>
      </c>
      <c r="C388" s="121">
        <f>VLOOKUP($B388,'Tillförd energi'!$B$1:$AI$720,MATCH(C$1,'Tillförd energi'!$B$1:$AQ$1,0),FALSE)</f>
        <v>0</v>
      </c>
      <c r="D388" s="121">
        <f>VLOOKUP($B388,'Tillförd energi'!$B$1:$AI$720,MATCH(D$1,'Tillförd energi'!$B$1:$AQ$1,0),FALSE)</f>
        <v>0</v>
      </c>
      <c r="E388" s="121">
        <f>VLOOKUP($B388,'Tillförd energi'!$B$1:$AI$720,MATCH(E$1,'Tillförd energi'!$B$1:$AQ$1,0),FALSE)</f>
        <v>0</v>
      </c>
      <c r="F388" s="121">
        <f>VLOOKUP($B388,'Tillförd energi'!$B$1:$AI$720,MATCH(F$1,'Tillförd energi'!$B$1:$AQ$1,0),FALSE)</f>
        <v>0</v>
      </c>
      <c r="G388" s="121">
        <f>VLOOKUP($B388,'Tillförd energi'!$B$1:$AI$720,MATCH(G$1,'Tillförd energi'!$B$1:$AQ$1,0),FALSE)</f>
        <v>0</v>
      </c>
      <c r="H388" s="121">
        <f>VLOOKUP($B388,'Tillförd energi'!$B$1:$AI$720,MATCH(H$1,'Tillförd energi'!$B$1:$AQ$1,0),FALSE)</f>
        <v>0</v>
      </c>
      <c r="I388" s="121">
        <f>VLOOKUP($B388,'Tillförd energi'!$B$1:$AI$720,MATCH(I$1,'Tillförd energi'!$B$1:$AQ$1,0),FALSE)</f>
        <v>0</v>
      </c>
      <c r="J388" s="121">
        <f>VLOOKUP($B388,'Tillförd energi'!$B$1:$AI$720,MATCH(J$1,'Tillförd energi'!$B$1:$AQ$1,0),FALSE)</f>
        <v>0</v>
      </c>
      <c r="K388" s="121">
        <f>VLOOKUP($B388,'Tillförd energi'!$B$1:$AI$720,MATCH(K$1,'Tillförd energi'!$B$1:$AQ$1,0),FALSE)</f>
        <v>0</v>
      </c>
      <c r="L388" s="121">
        <f>VLOOKUP($B388,'Tillförd energi'!$B$1:$AI$720,MATCH(L$1,'Tillförd energi'!$B$1:$AQ$1,0),FALSE)</f>
        <v>0</v>
      </c>
      <c r="M388" s="121">
        <f>VLOOKUP($B388,'Tillförd energi'!$B$1:$AI$720,MATCH(M$1,'Tillförd energi'!$B$1:$AQ$1,0),FALSE)</f>
        <v>0</v>
      </c>
      <c r="N388" s="121">
        <f>VLOOKUP($B388,'Tillförd energi'!$B$1:$AI$720,MATCH(N$1,'Tillförd energi'!$B$1:$AQ$1,0),FALSE)</f>
        <v>0</v>
      </c>
      <c r="O388" s="121">
        <f>VLOOKUP($B388,'Tillförd energi'!$B$1:$AI$720,MATCH(O$1,'Tillförd energi'!$B$1:$AQ$1,0),FALSE)</f>
        <v>0</v>
      </c>
      <c r="P388" s="121">
        <f>VLOOKUP($B388,'Tillförd energi'!$B$1:$AI$720,MATCH(P$1,'Tillförd energi'!$B$1:$AQ$1,0),FALSE)</f>
        <v>12.4</v>
      </c>
      <c r="Q388" s="121">
        <f>VLOOKUP($B388,'Tillförd energi'!$B$1:$AI$720,MATCH(Q$1,'Tillförd energi'!$B$1:$AQ$1,0),FALSE)</f>
        <v>0</v>
      </c>
      <c r="R388" s="121">
        <f>VLOOKUP($B388,'Tillförd energi'!$B$1:$AI$720,MATCH(R$1,'Tillförd energi'!$B$1:$AQ$1,0),FALSE)</f>
        <v>0</v>
      </c>
      <c r="S388" s="121">
        <f>VLOOKUP($B388,'Tillförd energi'!$B$1:$AI$720,MATCH(S$1,'Tillförd energi'!$B$1:$AQ$1,0),FALSE)</f>
        <v>0</v>
      </c>
      <c r="T388" s="121">
        <f>VLOOKUP($B388,'Tillförd energi'!$B$1:$AI$720,MATCH(T$1,'Tillförd energi'!$B$1:$AQ$1,0),FALSE)</f>
        <v>0</v>
      </c>
      <c r="U388" s="121">
        <f>VLOOKUP($B388,'Tillförd energi'!$B$1:$AI$720,MATCH(U$1,'Tillförd energi'!$B$1:$AQ$1,0),FALSE)</f>
        <v>0</v>
      </c>
      <c r="V388" s="121">
        <f>VLOOKUP($B388,'Tillförd energi'!$B$1:$AI$720,MATCH(V$1,'Tillförd energi'!$B$1:$AQ$1,0),FALSE)</f>
        <v>0</v>
      </c>
      <c r="W388" s="121">
        <f>VLOOKUP($B388,'Tillförd energi'!$B$1:$AI$720,MATCH(W$1,'Tillförd energi'!$B$1:$AQ$1,0),FALSE)</f>
        <v>0</v>
      </c>
      <c r="X388" s="121">
        <f>VLOOKUP($B388,'Tillförd energi'!$B$1:$AI$720,MATCH(X$1,'Tillförd energi'!$B$1:$AQ$1,0),FALSE)</f>
        <v>0</v>
      </c>
      <c r="Y388" s="121">
        <f>VLOOKUP($B388,'Tillförd energi'!$B$1:$AI$720,MATCH(Y$1,'Tillförd energi'!$B$1:$AQ$1,0),FALSE)</f>
        <v>0</v>
      </c>
      <c r="Z388" s="121">
        <f>VLOOKUP($B388,'Tillförd energi'!$B$1:$AI$720,MATCH(Z$1,'Tillförd energi'!$B$1:$AQ$1,0),FALSE)</f>
        <v>0</v>
      </c>
      <c r="AA388" s="121">
        <f>VLOOKUP($B388,'Tillförd energi'!$B$1:$AI$720,MATCH(AA$1,'Tillförd energi'!$B$1:$AQ$1,0),FALSE)</f>
        <v>0</v>
      </c>
      <c r="AB388" s="121">
        <f>VLOOKUP($B388,'Tillförd energi'!$B$1:$AI$720,MATCH(AB$1,'Tillförd energi'!$B$1:$AQ$1,0),FALSE)</f>
        <v>0</v>
      </c>
      <c r="AC388" s="121">
        <f>VLOOKUP($B388,'Tillförd energi'!$B$1:$AI$720,MATCH(AC$1,'Tillförd energi'!$B$1:$AQ$1,0),FALSE)</f>
        <v>0</v>
      </c>
      <c r="AD388" s="121">
        <f>VLOOKUP($B388,'Tillförd energi'!$B$1:$AI$720,MATCH(AD$1,'Tillförd energi'!$B$1:$AQ$1,0),FALSE)</f>
        <v>0</v>
      </c>
      <c r="AE388" s="121">
        <f>VLOOKUP($B388,'Tillförd energi'!$B$1:$AI$720,MATCH(AE$1,'Tillförd energi'!$B$1:$AQ$1,0),FALSE)</f>
        <v>0</v>
      </c>
      <c r="AF388" s="121">
        <f>VLOOKUP($B388,'Tillförd energi'!$B$1:$AI$720,MATCH(AF$1,'Tillförd energi'!$B$1:$AQ$1,0),FALSE)</f>
        <v>2.1</v>
      </c>
      <c r="AG388" s="121">
        <f>IFERROR(VLOOKUP(B388,Miljö!$B$1:$AC$550,MATCH("Köpt mängd produktionsspecifik fjärrvärme:",Miljö!$B$1:$AC$1,0),FALSE)/1,0)</f>
        <v>0</v>
      </c>
      <c r="AH388" s="121"/>
      <c r="AI388" s="121">
        <f t="shared" si="154"/>
        <v>14.5</v>
      </c>
      <c r="AJ388" s="121">
        <f t="shared" si="155"/>
        <v>14.5</v>
      </c>
      <c r="AK388" s="121">
        <f>IF(ISERROR(1/VLOOKUP($B388,Leveranser!$B$1:$S$499,MATCH("såld värme (gwh)",Leveranser!$B$1:$S$1,0),FALSE)),"",VLOOKUP($B388,Leveranser!$B$1:$S$499,MATCH("såld värme (gwh)",Leveranser!$B$1:$S$1,0),FALSE))</f>
        <v>16.013000000000002</v>
      </c>
      <c r="AL388" s="121">
        <f>VLOOKUP($B388,Leveranser!$B$1:$Y$499,MATCH("Totalt såld fjärrvärme till andra fjärrvärmeföretag",Leveranser!$B$1:$AA$1,0),FALSE)</f>
        <v>0</v>
      </c>
      <c r="AM388" s="121">
        <f>IF(ISERROR(1/VLOOKUP($B388,Miljö!$B$1:$S$500,MATCH("Såld mängd produktionsspecifik fjärrvärme (GWh)",Miljö!$B$1:$R$1,0),FALSE)),0,VLOOKUP($B388,Miljö!$B$1:$S$500,MATCH("Såld mängd produktionsspecifik fjärrvärme (GWh)",Miljö!$B$1:$R$1,0),FALSE))</f>
        <v>0</v>
      </c>
      <c r="AN388" s="172">
        <f t="shared" si="156"/>
        <v>1.1043448275862071</v>
      </c>
      <c r="AO388" s="121"/>
      <c r="AP388" s="121" t="str">
        <f>IFERROR(VLOOKUP($B388,Miljövärden!$B$2:$H$550,7,FALSE),"Nej, saknas")</f>
        <v>Ja</v>
      </c>
      <c r="AQ388" s="121" t="str">
        <f>IFERROR(VLOOKUP($B388,Miljövärden!$B$2:$H$550,6,FALSE),"Nej, saknas")</f>
        <v>Ja</v>
      </c>
      <c r="AU388">
        <f t="shared" si="157"/>
        <v>2.1</v>
      </c>
      <c r="AV388">
        <f t="shared" si="158"/>
        <v>0</v>
      </c>
      <c r="AW388">
        <f t="shared" si="159"/>
        <v>12.4</v>
      </c>
      <c r="AX388">
        <f t="shared" si="160"/>
        <v>0</v>
      </c>
      <c r="AZ388">
        <f t="shared" si="161"/>
        <v>12.4</v>
      </c>
      <c r="BC388">
        <f t="shared" si="162"/>
        <v>0</v>
      </c>
      <c r="BD388">
        <f t="shared" si="163"/>
        <v>0</v>
      </c>
      <c r="BE388">
        <f t="shared" si="164"/>
        <v>12.4</v>
      </c>
      <c r="BF388">
        <f t="shared" si="165"/>
        <v>0</v>
      </c>
      <c r="BG388">
        <f t="shared" si="166"/>
        <v>2.1</v>
      </c>
      <c r="BH388">
        <f>VLOOKUP(B388,Miljö!$B$1:$BX$482,MATCH("Fossilandel för ursprungspecificerad el ()",Miljö!$B$1:$I$1,0),FALSE)</f>
        <v>0</v>
      </c>
      <c r="BI388">
        <f>VLOOKUP(B388,Miljö!$B$1:$BX$482,MATCH("Kärnkraftsandel för ursprungsspecificerad el ()",Miljö!$B$1:$O$1,0),FALSE)</f>
        <v>0</v>
      </c>
      <c r="BJ388">
        <f t="shared" si="167"/>
        <v>0</v>
      </c>
      <c r="BK388" t="str">
        <f>VLOOKUP(B388,Miljö!$B$1:$O$482,MATCH("Fossil andel i procent (%)",Miljö!$B$1:$O$1,0),FALSE)</f>
        <v>ET</v>
      </c>
      <c r="BL388">
        <f t="shared" si="168"/>
        <v>14.5</v>
      </c>
      <c r="BO388" s="18">
        <f t="shared" si="169"/>
        <v>0</v>
      </c>
      <c r="BP388" s="18">
        <f t="shared" si="170"/>
        <v>0</v>
      </c>
      <c r="BQ388" s="18">
        <f t="shared" si="171"/>
        <v>1</v>
      </c>
      <c r="BR388" s="18">
        <f t="shared" si="172"/>
        <v>0</v>
      </c>
      <c r="BT388" s="27">
        <f t="shared" si="173"/>
        <v>1</v>
      </c>
      <c r="BW388" s="18">
        <f>IF(AP388="ja",VLOOKUP(B388,Miljövärden!$B$2:$H$550,MATCH("Total andel fossilt",Miljövärden!$B$2:$H$2,0),FALSE),"")</f>
        <v>0</v>
      </c>
      <c r="BZ388" s="28">
        <f t="shared" si="174"/>
        <v>0</v>
      </c>
      <c r="CA388" s="28">
        <f t="shared" si="175"/>
        <v>0</v>
      </c>
    </row>
    <row r="389" spans="1:79" x14ac:dyDescent="0.25">
      <c r="A389" s="224" t="s">
        <v>712</v>
      </c>
      <c r="B389" s="210" t="s">
        <v>717</v>
      </c>
      <c r="C389" s="121">
        <f>VLOOKUP($B389,'Tillförd energi'!$B$1:$AI$720,MATCH(C$1,'Tillförd energi'!$B$1:$AQ$1,0),FALSE)</f>
        <v>0</v>
      </c>
      <c r="D389" s="121">
        <f>VLOOKUP($B389,'Tillförd energi'!$B$1:$AI$720,MATCH(D$1,'Tillförd energi'!$B$1:$AQ$1,0),FALSE)</f>
        <v>1.34968</v>
      </c>
      <c r="E389" s="121">
        <f>VLOOKUP($B389,'Tillförd energi'!$B$1:$AI$720,MATCH(E$1,'Tillförd energi'!$B$1:$AQ$1,0),FALSE)</f>
        <v>0</v>
      </c>
      <c r="F389" s="121">
        <f>VLOOKUP($B389,'Tillförd energi'!$B$1:$AI$720,MATCH(F$1,'Tillförd energi'!$B$1:$AQ$1,0),FALSE)</f>
        <v>0.5</v>
      </c>
      <c r="G389" s="121">
        <f>VLOOKUP($B389,'Tillförd energi'!$B$1:$AI$720,MATCH(G$1,'Tillförd energi'!$B$1:$AQ$1,0),FALSE)</f>
        <v>0</v>
      </c>
      <c r="H389" s="121">
        <f>VLOOKUP($B389,'Tillförd energi'!$B$1:$AI$720,MATCH(H$1,'Tillförd energi'!$B$1:$AQ$1,0),FALSE)</f>
        <v>0</v>
      </c>
      <c r="I389" s="121">
        <f>VLOOKUP($B389,'Tillförd energi'!$B$1:$AI$720,MATCH(I$1,'Tillförd energi'!$B$1:$AQ$1,0),FALSE)</f>
        <v>0</v>
      </c>
      <c r="J389" s="121">
        <f>VLOOKUP($B389,'Tillförd energi'!$B$1:$AI$720,MATCH(J$1,'Tillförd energi'!$B$1:$AQ$1,0),FALSE)</f>
        <v>0</v>
      </c>
      <c r="K389" s="121">
        <f>VLOOKUP($B389,'Tillförd energi'!$B$1:$AI$720,MATCH(K$1,'Tillförd energi'!$B$1:$AQ$1,0),FALSE)</f>
        <v>0</v>
      </c>
      <c r="L389" s="121">
        <f>VLOOKUP($B389,'Tillförd energi'!$B$1:$AI$720,MATCH(L$1,'Tillförd energi'!$B$1:$AQ$1,0),FALSE)</f>
        <v>27.262899999999998</v>
      </c>
      <c r="M389" s="121">
        <f>VLOOKUP($B389,'Tillförd energi'!$B$1:$AI$720,MATCH(M$1,'Tillförd energi'!$B$1:$AQ$1,0),FALSE)</f>
        <v>50.283799999999999</v>
      </c>
      <c r="N389" s="121">
        <f>VLOOKUP($B389,'Tillförd energi'!$B$1:$AI$720,MATCH(N$1,'Tillförd energi'!$B$1:$AQ$1,0),FALSE)</f>
        <v>228.33699999999999</v>
      </c>
      <c r="O389" s="121">
        <f>VLOOKUP($B389,'Tillförd energi'!$B$1:$AI$720,MATCH(O$1,'Tillförd energi'!$B$1:$AQ$1,0),FALSE)</f>
        <v>54.764099999999999</v>
      </c>
      <c r="P389" s="121">
        <f>VLOOKUP($B389,'Tillförd energi'!$B$1:$AI$720,MATCH(P$1,'Tillförd energi'!$B$1:$AQ$1,0),FALSE)</f>
        <v>43.010399999999997</v>
      </c>
      <c r="Q389" s="121">
        <f>VLOOKUP($B389,'Tillförd energi'!$B$1:$AI$720,MATCH(Q$1,'Tillförd energi'!$B$1:$AQ$1,0),FALSE)</f>
        <v>0</v>
      </c>
      <c r="R389" s="121">
        <f>VLOOKUP($B389,'Tillförd energi'!$B$1:$AI$720,MATCH(R$1,'Tillförd energi'!$B$1:$AQ$1,0),FALSE)</f>
        <v>0</v>
      </c>
      <c r="S389" s="121">
        <f>VLOOKUP($B389,'Tillförd energi'!$B$1:$AI$720,MATCH(S$1,'Tillförd energi'!$B$1:$AQ$1,0),FALSE)</f>
        <v>0</v>
      </c>
      <c r="T389" s="121">
        <f>VLOOKUP($B389,'Tillförd energi'!$B$1:$AI$720,MATCH(T$1,'Tillförd energi'!$B$1:$AQ$1,0),FALSE)</f>
        <v>0</v>
      </c>
      <c r="U389" s="121">
        <f>VLOOKUP($B389,'Tillförd energi'!$B$1:$AI$720,MATCH(U$1,'Tillförd energi'!$B$1:$AQ$1,0),FALSE)</f>
        <v>0</v>
      </c>
      <c r="V389" s="121">
        <f>VLOOKUP($B389,'Tillförd energi'!$B$1:$AI$720,MATCH(V$1,'Tillförd energi'!$B$1:$AQ$1,0),FALSE)</f>
        <v>0</v>
      </c>
      <c r="W389" s="121">
        <f>VLOOKUP($B389,'Tillförd energi'!$B$1:$AI$720,MATCH(W$1,'Tillförd energi'!$B$1:$AQ$1,0),FALSE)</f>
        <v>4.3</v>
      </c>
      <c r="X389" s="121">
        <f>VLOOKUP($B389,'Tillförd energi'!$B$1:$AI$720,MATCH(X$1,'Tillförd energi'!$B$1:$AQ$1,0),FALSE)</f>
        <v>0</v>
      </c>
      <c r="Y389" s="121">
        <f>VLOOKUP($B389,'Tillförd energi'!$B$1:$AI$720,MATCH(Y$1,'Tillförd energi'!$B$1:$AQ$1,0),FALSE)</f>
        <v>30.272400000000001</v>
      </c>
      <c r="Z389" s="121">
        <f>VLOOKUP($B389,'Tillförd energi'!$B$1:$AI$720,MATCH(Z$1,'Tillförd energi'!$B$1:$AQ$1,0),FALSE)</f>
        <v>0</v>
      </c>
      <c r="AA389" s="121">
        <f>VLOOKUP($B389,'Tillförd energi'!$B$1:$AI$720,MATCH(AA$1,'Tillförd energi'!$B$1:$AQ$1,0),FALSE)</f>
        <v>0</v>
      </c>
      <c r="AB389" s="121">
        <f>VLOOKUP($B389,'Tillförd energi'!$B$1:$AI$720,MATCH(AB$1,'Tillförd energi'!$B$1:$AQ$1,0),FALSE)</f>
        <v>0</v>
      </c>
      <c r="AC389" s="121">
        <f>VLOOKUP($B389,'Tillförd energi'!$B$1:$AI$720,MATCH(AC$1,'Tillförd energi'!$B$1:$AQ$1,0),FALSE)</f>
        <v>66.599999999999994</v>
      </c>
      <c r="AD389" s="121">
        <f>VLOOKUP($B389,'Tillförd energi'!$B$1:$AI$720,MATCH(AD$1,'Tillförd energi'!$B$1:$AQ$1,0),FALSE)</f>
        <v>0.5</v>
      </c>
      <c r="AE389" s="121">
        <f>VLOOKUP($B389,'Tillförd energi'!$B$1:$AI$720,MATCH(AE$1,'Tillförd energi'!$B$1:$AQ$1,0),FALSE)</f>
        <v>0</v>
      </c>
      <c r="AF389" s="121">
        <f>VLOOKUP($B389,'Tillförd energi'!$B$1:$AI$720,MATCH(AF$1,'Tillförd energi'!$B$1:$AQ$1,0),FALSE)</f>
        <v>14.4039</v>
      </c>
      <c r="AG389" s="121">
        <f>IFERROR(VLOOKUP(B389,Miljö!$B$1:$AC$550,MATCH("Köpt mängd produktionsspecifik fjärrvärme:",Miljö!$B$1:$AC$1,0),FALSE)/1,0)</f>
        <v>0</v>
      </c>
      <c r="AH389" s="121"/>
      <c r="AI389" s="121">
        <f t="shared" si="154"/>
        <v>521.58418000000006</v>
      </c>
      <c r="AJ389" s="121">
        <f t="shared" si="155"/>
        <v>521.58418000000006</v>
      </c>
      <c r="AK389" s="121">
        <f>IF(ISERROR(1/VLOOKUP($B389,Leveranser!$B$1:$S$499,MATCH("såld värme (gwh)",Leveranser!$B$1:$S$1,0),FALSE)),"",VLOOKUP($B389,Leveranser!$B$1:$S$499,MATCH("såld värme (gwh)",Leveranser!$B$1:$S$1,0),FALSE))</f>
        <v>534.84799999999996</v>
      </c>
      <c r="AL389" s="121">
        <f>VLOOKUP($B389,Leveranser!$B$1:$Y$499,MATCH("Totalt såld fjärrvärme till andra fjärrvärmeföretag",Leveranser!$B$1:$AA$1,0),FALSE)</f>
        <v>0</v>
      </c>
      <c r="AM389" s="121">
        <f>IF(ISERROR(1/VLOOKUP($B389,Miljö!$B$1:$S$500,MATCH("Såld mängd produktionsspecifik fjärrvärme (GWh)",Miljö!$B$1:$R$1,0),FALSE)),0,VLOOKUP($B389,Miljö!$B$1:$S$500,MATCH("Såld mängd produktionsspecifik fjärrvärme (GWh)",Miljö!$B$1:$R$1,0),FALSE))</f>
        <v>0</v>
      </c>
      <c r="AN389" s="172">
        <f t="shared" si="156"/>
        <v>1.0254298740425754</v>
      </c>
      <c r="AO389" s="121"/>
      <c r="AP389" s="121" t="str">
        <f>IFERROR(VLOOKUP($B389,Miljövärden!$B$2:$H$550,7,FALSE),"Nej, saknas")</f>
        <v>Ja</v>
      </c>
      <c r="AQ389" s="121" t="str">
        <f>IFERROR(VLOOKUP($B389,Miljövärden!$B$2:$H$550,6,FALSE),"Nej, saknas")</f>
        <v>Ja</v>
      </c>
      <c r="AU389">
        <f t="shared" si="157"/>
        <v>14.4039</v>
      </c>
      <c r="AV389">
        <f t="shared" si="158"/>
        <v>0</v>
      </c>
      <c r="AW389">
        <f t="shared" si="159"/>
        <v>376.39529999999996</v>
      </c>
      <c r="AX389">
        <f t="shared" si="160"/>
        <v>0</v>
      </c>
      <c r="AZ389">
        <f t="shared" si="161"/>
        <v>407.95819999999998</v>
      </c>
      <c r="BC389">
        <f t="shared" si="162"/>
        <v>1.84968</v>
      </c>
      <c r="BD389">
        <f t="shared" si="163"/>
        <v>30.272400000000001</v>
      </c>
      <c r="BE389">
        <f t="shared" si="164"/>
        <v>380.69529999999997</v>
      </c>
      <c r="BF389">
        <f t="shared" si="165"/>
        <v>94.362899999999996</v>
      </c>
      <c r="BG389">
        <f t="shared" si="166"/>
        <v>14.4039</v>
      </c>
      <c r="BH389">
        <f>VLOOKUP(B389,Miljö!$B$1:$BX$482,MATCH("Fossilandel för ursprungspecificerad el ()",Miljö!$B$1:$I$1,0),FALSE)</f>
        <v>0</v>
      </c>
      <c r="BI389">
        <f>VLOOKUP(B389,Miljö!$B$1:$BX$482,MATCH("Kärnkraftsandel för ursprungsspecificerad el ()",Miljö!$B$1:$O$1,0),FALSE)</f>
        <v>0</v>
      </c>
      <c r="BJ389">
        <f t="shared" si="167"/>
        <v>0</v>
      </c>
      <c r="BK389" t="str">
        <f>VLOOKUP(B389,Miljö!$B$1:$O$482,MATCH("Fossil andel i procent (%)",Miljö!$B$1:$O$1,0),FALSE)</f>
        <v>ET</v>
      </c>
      <c r="BL389">
        <f t="shared" si="168"/>
        <v>521.58417999999995</v>
      </c>
      <c r="BO389" s="18">
        <f t="shared" si="169"/>
        <v>3.5462732017677379E-3</v>
      </c>
      <c r="BP389" s="18">
        <f t="shared" si="170"/>
        <v>5.8039337005965183E-2</v>
      </c>
      <c r="BQ389" s="18">
        <f t="shared" si="171"/>
        <v>0.75749843486433965</v>
      </c>
      <c r="BR389" s="18">
        <f t="shared" si="172"/>
        <v>0.18091595492792747</v>
      </c>
      <c r="BT389" s="27">
        <f t="shared" si="173"/>
        <v>1</v>
      </c>
      <c r="BW389" s="18">
        <f>IF(AP389="ja",VLOOKUP(B389,Miljövärden!$B$2:$H$550,MATCH("Total andel fossilt",Miljövärden!$B$2:$H$2,0),FALSE),"")</f>
        <v>3.5462699999999998E-3</v>
      </c>
      <c r="BZ389" s="28">
        <f t="shared" si="174"/>
        <v>-3.201767738089667E-9</v>
      </c>
      <c r="CA389" s="28">
        <f t="shared" si="175"/>
        <v>0</v>
      </c>
    </row>
    <row r="390" spans="1:79" x14ac:dyDescent="0.25">
      <c r="A390" s="224" t="s">
        <v>712</v>
      </c>
      <c r="B390" s="210" t="s">
        <v>718</v>
      </c>
      <c r="C390" s="121">
        <f>VLOOKUP($B390,'Tillförd energi'!$B$1:$AI$720,MATCH(C$1,'Tillförd energi'!$B$1:$AQ$1,0),FALSE)</f>
        <v>0</v>
      </c>
      <c r="D390" s="121">
        <f>VLOOKUP($B390,'Tillförd energi'!$B$1:$AI$720,MATCH(D$1,'Tillförd energi'!$B$1:$AQ$1,0),FALSE)</f>
        <v>0</v>
      </c>
      <c r="E390" s="121">
        <f>VLOOKUP($B390,'Tillförd energi'!$B$1:$AI$720,MATCH(E$1,'Tillförd energi'!$B$1:$AQ$1,0),FALSE)</f>
        <v>0</v>
      </c>
      <c r="F390" s="121">
        <f>VLOOKUP($B390,'Tillförd energi'!$B$1:$AI$720,MATCH(F$1,'Tillförd energi'!$B$1:$AQ$1,0),FALSE)</f>
        <v>0</v>
      </c>
      <c r="G390" s="121">
        <f>VLOOKUP($B390,'Tillförd energi'!$B$1:$AI$720,MATCH(G$1,'Tillförd energi'!$B$1:$AQ$1,0),FALSE)</f>
        <v>0</v>
      </c>
      <c r="H390" s="121">
        <f>VLOOKUP($B390,'Tillförd energi'!$B$1:$AI$720,MATCH(H$1,'Tillförd energi'!$B$1:$AQ$1,0),FALSE)</f>
        <v>0</v>
      </c>
      <c r="I390" s="121">
        <f>VLOOKUP($B390,'Tillförd energi'!$B$1:$AI$720,MATCH(I$1,'Tillförd energi'!$B$1:$AQ$1,0),FALSE)</f>
        <v>0</v>
      </c>
      <c r="J390" s="121">
        <f>VLOOKUP($B390,'Tillförd energi'!$B$1:$AI$720,MATCH(J$1,'Tillförd energi'!$B$1:$AQ$1,0),FALSE)</f>
        <v>0</v>
      </c>
      <c r="K390" s="121">
        <f>VLOOKUP($B390,'Tillförd energi'!$B$1:$AI$720,MATCH(K$1,'Tillförd energi'!$B$1:$AQ$1,0),FALSE)</f>
        <v>0</v>
      </c>
      <c r="L390" s="121">
        <f>VLOOKUP($B390,'Tillförd energi'!$B$1:$AI$720,MATCH(L$1,'Tillförd energi'!$B$1:$AQ$1,0),FALSE)</f>
        <v>0</v>
      </c>
      <c r="M390" s="121">
        <f>VLOOKUP($B390,'Tillförd energi'!$B$1:$AI$720,MATCH(M$1,'Tillförd energi'!$B$1:$AQ$1,0),FALSE)</f>
        <v>0</v>
      </c>
      <c r="N390" s="121">
        <f>VLOOKUP($B390,'Tillförd energi'!$B$1:$AI$720,MATCH(N$1,'Tillförd energi'!$B$1:$AQ$1,0),FALSE)</f>
        <v>0</v>
      </c>
      <c r="O390" s="121">
        <f>VLOOKUP($B390,'Tillförd energi'!$B$1:$AI$720,MATCH(O$1,'Tillförd energi'!$B$1:$AQ$1,0),FALSE)</f>
        <v>0</v>
      </c>
      <c r="P390" s="121">
        <f>VLOOKUP($B390,'Tillförd energi'!$B$1:$AI$720,MATCH(P$1,'Tillförd energi'!$B$1:$AQ$1,0),FALSE)</f>
        <v>0</v>
      </c>
      <c r="Q390" s="121">
        <f>VLOOKUP($B390,'Tillförd energi'!$B$1:$AI$720,MATCH(Q$1,'Tillförd energi'!$B$1:$AQ$1,0),FALSE)</f>
        <v>0</v>
      </c>
      <c r="R390" s="121">
        <f>VLOOKUP($B390,'Tillförd energi'!$B$1:$AI$720,MATCH(R$1,'Tillförd energi'!$B$1:$AQ$1,0),FALSE)</f>
        <v>0</v>
      </c>
      <c r="S390" s="121">
        <f>VLOOKUP($B390,'Tillförd energi'!$B$1:$AI$720,MATCH(S$1,'Tillförd energi'!$B$1:$AQ$1,0),FALSE)</f>
        <v>0</v>
      </c>
      <c r="T390" s="121">
        <f>VLOOKUP($B390,'Tillförd energi'!$B$1:$AI$720,MATCH(T$1,'Tillförd energi'!$B$1:$AQ$1,0),FALSE)</f>
        <v>0</v>
      </c>
      <c r="U390" s="121">
        <f>VLOOKUP($B390,'Tillförd energi'!$B$1:$AI$720,MATCH(U$1,'Tillförd energi'!$B$1:$AQ$1,0),FALSE)</f>
        <v>0</v>
      </c>
      <c r="V390" s="121">
        <f>VLOOKUP($B390,'Tillförd energi'!$B$1:$AI$720,MATCH(V$1,'Tillförd energi'!$B$1:$AQ$1,0),FALSE)</f>
        <v>0</v>
      </c>
      <c r="W390" s="121">
        <f>VLOOKUP($B390,'Tillförd energi'!$B$1:$AI$720,MATCH(W$1,'Tillförd energi'!$B$1:$AQ$1,0),FALSE)</f>
        <v>0</v>
      </c>
      <c r="X390" s="121">
        <f>VLOOKUP($B390,'Tillförd energi'!$B$1:$AI$720,MATCH(X$1,'Tillförd energi'!$B$1:$AQ$1,0),FALSE)</f>
        <v>0</v>
      </c>
      <c r="Y390" s="121">
        <f>VLOOKUP($B390,'Tillförd energi'!$B$1:$AI$720,MATCH(Y$1,'Tillförd energi'!$B$1:$AQ$1,0),FALSE)</f>
        <v>0</v>
      </c>
      <c r="Z390" s="121">
        <f>VLOOKUP($B390,'Tillförd energi'!$B$1:$AI$720,MATCH(Z$1,'Tillförd energi'!$B$1:$AQ$1,0),FALSE)</f>
        <v>0</v>
      </c>
      <c r="AA390" s="121">
        <f>VLOOKUP($B390,'Tillförd energi'!$B$1:$AI$720,MATCH(AA$1,'Tillförd energi'!$B$1:$AQ$1,0),FALSE)</f>
        <v>0</v>
      </c>
      <c r="AB390" s="121">
        <f>VLOOKUP($B390,'Tillförd energi'!$B$1:$AI$720,MATCH(AB$1,'Tillförd energi'!$B$1:$AQ$1,0),FALSE)</f>
        <v>0</v>
      </c>
      <c r="AC390" s="121">
        <f>VLOOKUP($B390,'Tillförd energi'!$B$1:$AI$720,MATCH(AC$1,'Tillförd energi'!$B$1:$AQ$1,0),FALSE)</f>
        <v>0</v>
      </c>
      <c r="AD390" s="121">
        <f>VLOOKUP($B390,'Tillförd energi'!$B$1:$AI$720,MATCH(AD$1,'Tillförd energi'!$B$1:$AQ$1,0),FALSE)</f>
        <v>0</v>
      </c>
      <c r="AE390" s="121">
        <f>VLOOKUP($B390,'Tillförd energi'!$B$1:$AI$720,MATCH(AE$1,'Tillförd energi'!$B$1:$AQ$1,0),FALSE)</f>
        <v>0</v>
      </c>
      <c r="AF390" s="121">
        <f>VLOOKUP($B390,'Tillförd energi'!$B$1:$AI$720,MATCH(AF$1,'Tillförd energi'!$B$1:$AQ$1,0),FALSE)</f>
        <v>0</v>
      </c>
      <c r="AG390" s="121">
        <f>IFERROR(VLOOKUP(B390,Miljö!$B$1:$AC$550,MATCH("Köpt mängd produktionsspecifik fjärrvärme:",Miljö!$B$1:$AC$1,0),FALSE)/1,0)</f>
        <v>0</v>
      </c>
      <c r="AH390" s="121"/>
      <c r="AI390" s="121">
        <f t="shared" si="154"/>
        <v>0</v>
      </c>
      <c r="AJ390" s="121">
        <f t="shared" si="155"/>
        <v>0</v>
      </c>
      <c r="AK390" s="121" t="str">
        <f>IF(ISERROR(1/VLOOKUP($B390,Leveranser!$B$1:$S$499,MATCH("såld värme (gwh)",Leveranser!$B$1:$S$1,0),FALSE)),"",VLOOKUP($B390,Leveranser!$B$1:$S$499,MATCH("såld värme (gwh)",Leveranser!$B$1:$S$1,0),FALSE))</f>
        <v/>
      </c>
      <c r="AL390" s="121">
        <f>VLOOKUP($B390,Leveranser!$B$1:$Y$499,MATCH("Totalt såld fjärrvärme till andra fjärrvärmeföretag",Leveranser!$B$1:$AA$1,0),FALSE)</f>
        <v>0</v>
      </c>
      <c r="AM390" s="121">
        <f>IF(ISERROR(1/VLOOKUP($B390,Miljö!$B$1:$S$500,MATCH("Såld mängd produktionsspecifik fjärrvärme (GWh)",Miljö!$B$1:$R$1,0),FALSE)),0,VLOOKUP($B390,Miljö!$B$1:$S$500,MATCH("Såld mängd produktionsspecifik fjärrvärme (GWh)",Miljö!$B$1:$R$1,0),FALSE))</f>
        <v>0</v>
      </c>
      <c r="AN390" s="172" t="str">
        <f t="shared" si="156"/>
        <v/>
      </c>
      <c r="AO390" s="121"/>
      <c r="AP390" s="121" t="str">
        <f>IFERROR(VLOOKUP($B390,Miljövärden!$B$2:$H$550,7,FALSE),"Nej, saknas")</f>
        <v>Nej</v>
      </c>
      <c r="AQ390" s="121" t="str">
        <f>IFERROR(VLOOKUP($B390,Miljövärden!$B$2:$H$550,6,FALSE),"Nej, saknas")</f>
        <v>Ja</v>
      </c>
      <c r="AU390">
        <f t="shared" si="157"/>
        <v>0</v>
      </c>
      <c r="AV390">
        <f t="shared" si="158"/>
        <v>0</v>
      </c>
      <c r="AW390">
        <f t="shared" si="159"/>
        <v>0</v>
      </c>
      <c r="AX390">
        <f t="shared" si="160"/>
        <v>0</v>
      </c>
      <c r="AZ390">
        <f t="shared" si="161"/>
        <v>0</v>
      </c>
      <c r="BC390">
        <f t="shared" si="162"/>
        <v>0</v>
      </c>
      <c r="BD390">
        <f t="shared" si="163"/>
        <v>0</v>
      </c>
      <c r="BE390">
        <f t="shared" si="164"/>
        <v>0</v>
      </c>
      <c r="BF390">
        <f t="shared" si="165"/>
        <v>0</v>
      </c>
      <c r="BG390">
        <f t="shared" si="166"/>
        <v>0</v>
      </c>
      <c r="BH390" t="str">
        <f>VLOOKUP(B390,Miljö!$B$1:$BX$482,MATCH("Fossilandel för ursprungspecificerad el ()",Miljö!$B$1:$I$1,0),FALSE)</f>
        <v>-</v>
      </c>
      <c r="BI390" t="str">
        <f>VLOOKUP(B390,Miljö!$B$1:$BX$482,MATCH("Kärnkraftsandel för ursprungsspecificerad el ()",Miljö!$B$1:$O$1,0),FALSE)</f>
        <v>-</v>
      </c>
      <c r="BJ390">
        <f t="shared" si="167"/>
        <v>0</v>
      </c>
      <c r="BK390" t="str">
        <f>VLOOKUP(B390,Miljö!$B$1:$O$482,MATCH("Fossil andel i procent (%)",Miljö!$B$1:$O$1,0),FALSE)</f>
        <v>-</v>
      </c>
      <c r="BL390">
        <f t="shared" si="168"/>
        <v>0</v>
      </c>
      <c r="BO390" s="18" t="str">
        <f t="shared" si="169"/>
        <v/>
      </c>
      <c r="BP390" s="18" t="str">
        <f t="shared" si="170"/>
        <v/>
      </c>
      <c r="BQ390" s="18" t="str">
        <f t="shared" si="171"/>
        <v/>
      </c>
      <c r="BR390" s="18" t="str">
        <f t="shared" si="172"/>
        <v/>
      </c>
      <c r="BT390" s="27">
        <f t="shared" si="173"/>
        <v>0</v>
      </c>
      <c r="BW390" s="18" t="str">
        <f>IF(AP390="ja",VLOOKUP(B390,Miljövärden!$B$2:$H$550,MATCH("Total andel fossilt",Miljövärden!$B$2:$H$2,0),FALSE),"")</f>
        <v/>
      </c>
      <c r="BZ390" s="28" t="str">
        <f t="shared" si="174"/>
        <v/>
      </c>
      <c r="CA390" s="28" t="str">
        <f t="shared" si="175"/>
        <v/>
      </c>
    </row>
    <row r="391" spans="1:79" x14ac:dyDescent="0.25">
      <c r="A391" s="224" t="s">
        <v>719</v>
      </c>
      <c r="B391" s="210" t="s">
        <v>720</v>
      </c>
      <c r="C391" s="121">
        <f>VLOOKUP($B391,'Tillförd energi'!$B$1:$AI$720,MATCH(C$1,'Tillförd energi'!$B$1:$AQ$1,0),FALSE)</f>
        <v>0</v>
      </c>
      <c r="D391" s="121">
        <f>VLOOKUP($B391,'Tillförd energi'!$B$1:$AI$720,MATCH(D$1,'Tillförd energi'!$B$1:$AQ$1,0),FALSE)</f>
        <v>10.287000000000001</v>
      </c>
      <c r="E391" s="121">
        <f>VLOOKUP($B391,'Tillförd energi'!$B$1:$AI$720,MATCH(E$1,'Tillförd energi'!$B$1:$AQ$1,0),FALSE)</f>
        <v>0</v>
      </c>
      <c r="F391" s="121">
        <f>VLOOKUP($B391,'Tillförd energi'!$B$1:$AI$720,MATCH(F$1,'Tillförd energi'!$B$1:$AQ$1,0),FALSE)</f>
        <v>0</v>
      </c>
      <c r="G391" s="121">
        <f>VLOOKUP($B391,'Tillförd energi'!$B$1:$AI$720,MATCH(G$1,'Tillförd energi'!$B$1:$AQ$1,0),FALSE)</f>
        <v>0</v>
      </c>
      <c r="H391" s="121">
        <f>VLOOKUP($B391,'Tillförd energi'!$B$1:$AI$720,MATCH(H$1,'Tillförd energi'!$B$1:$AQ$1,0),FALSE)</f>
        <v>0</v>
      </c>
      <c r="I391" s="121">
        <f>VLOOKUP($B391,'Tillförd energi'!$B$1:$AI$720,MATCH(I$1,'Tillförd energi'!$B$1:$AQ$1,0),FALSE)</f>
        <v>0</v>
      </c>
      <c r="J391" s="121">
        <f>VLOOKUP($B391,'Tillförd energi'!$B$1:$AI$720,MATCH(J$1,'Tillförd energi'!$B$1:$AQ$1,0),FALSE)</f>
        <v>3.746</v>
      </c>
      <c r="K391" s="121">
        <f>VLOOKUP($B391,'Tillförd energi'!$B$1:$AI$720,MATCH(K$1,'Tillförd energi'!$B$1:$AQ$1,0),FALSE)</f>
        <v>0</v>
      </c>
      <c r="L391" s="121">
        <f>VLOOKUP($B391,'Tillförd energi'!$B$1:$AI$720,MATCH(L$1,'Tillförd energi'!$B$1:$AQ$1,0),FALSE)</f>
        <v>20.693999999999999</v>
      </c>
      <c r="M391" s="121">
        <f>VLOOKUP($B391,'Tillförd energi'!$B$1:$AI$720,MATCH(M$1,'Tillförd energi'!$B$1:$AQ$1,0),FALSE)</f>
        <v>11.917</v>
      </c>
      <c r="N391" s="121">
        <f>VLOOKUP($B391,'Tillförd energi'!$B$1:$AI$720,MATCH(N$1,'Tillförd energi'!$B$1:$AQ$1,0),FALSE)</f>
        <v>81.489999999999995</v>
      </c>
      <c r="O391" s="121">
        <f>VLOOKUP($B391,'Tillförd energi'!$B$1:$AI$720,MATCH(O$1,'Tillförd energi'!$B$1:$AQ$1,0),FALSE)</f>
        <v>5.57</v>
      </c>
      <c r="P391" s="121">
        <f>VLOOKUP($B391,'Tillförd energi'!$B$1:$AI$720,MATCH(P$1,'Tillförd energi'!$B$1:$AQ$1,0),FALSE)</f>
        <v>0.64800000000000002</v>
      </c>
      <c r="Q391" s="121">
        <f>VLOOKUP($B391,'Tillförd energi'!$B$1:$AI$720,MATCH(Q$1,'Tillförd energi'!$B$1:$AQ$1,0),FALSE)</f>
        <v>6.6743300000000003</v>
      </c>
      <c r="R391" s="121">
        <f>VLOOKUP($B391,'Tillförd energi'!$B$1:$AI$720,MATCH(R$1,'Tillförd energi'!$B$1:$AQ$1,0),FALSE)</f>
        <v>14.532</v>
      </c>
      <c r="S391" s="121">
        <f>VLOOKUP($B391,'Tillförd energi'!$B$1:$AI$720,MATCH(S$1,'Tillförd energi'!$B$1:$AQ$1,0),FALSE)</f>
        <v>0.76500000000000001</v>
      </c>
      <c r="T391" s="121">
        <f>VLOOKUP($B391,'Tillförd energi'!$B$1:$AI$720,MATCH(T$1,'Tillförd energi'!$B$1:$AQ$1,0),FALSE)</f>
        <v>0</v>
      </c>
      <c r="U391" s="121">
        <f>VLOOKUP($B391,'Tillförd energi'!$B$1:$AI$720,MATCH(U$1,'Tillförd energi'!$B$1:$AQ$1,0),FALSE)</f>
        <v>0</v>
      </c>
      <c r="V391" s="121">
        <f>VLOOKUP($B391,'Tillförd energi'!$B$1:$AI$720,MATCH(V$1,'Tillförd energi'!$B$1:$AQ$1,0),FALSE)</f>
        <v>0</v>
      </c>
      <c r="W391" s="121">
        <f>VLOOKUP($B391,'Tillförd energi'!$B$1:$AI$720,MATCH(W$1,'Tillförd energi'!$B$1:$AQ$1,0),FALSE)</f>
        <v>9.5389999999999997</v>
      </c>
      <c r="X391" s="121">
        <f>VLOOKUP($B391,'Tillförd energi'!$B$1:$AI$720,MATCH(X$1,'Tillförd energi'!$B$1:$AQ$1,0),FALSE)</f>
        <v>0</v>
      </c>
      <c r="Y391" s="121">
        <f>VLOOKUP($B391,'Tillförd energi'!$B$1:$AI$720,MATCH(Y$1,'Tillförd energi'!$B$1:$AQ$1,0),FALSE)</f>
        <v>0</v>
      </c>
      <c r="Z391" s="121">
        <f>VLOOKUP($B391,'Tillförd energi'!$B$1:$AI$720,MATCH(Z$1,'Tillförd energi'!$B$1:$AQ$1,0),FALSE)</f>
        <v>0</v>
      </c>
      <c r="AA391" s="121">
        <f>VLOOKUP($B391,'Tillförd energi'!$B$1:$AI$720,MATCH(AA$1,'Tillförd energi'!$B$1:$AQ$1,0),FALSE)</f>
        <v>0</v>
      </c>
      <c r="AB391" s="121">
        <f>VLOOKUP($B391,'Tillförd energi'!$B$1:$AI$720,MATCH(AB$1,'Tillförd energi'!$B$1:$AQ$1,0),FALSE)</f>
        <v>0</v>
      </c>
      <c r="AC391" s="121">
        <f>VLOOKUP($B391,'Tillförd energi'!$B$1:$AI$720,MATCH(AC$1,'Tillförd energi'!$B$1:$AQ$1,0),FALSE)</f>
        <v>19.948</v>
      </c>
      <c r="AD391" s="121">
        <f>VLOOKUP($B391,'Tillförd energi'!$B$1:$AI$720,MATCH(AD$1,'Tillförd energi'!$B$1:$AQ$1,0),FALSE)</f>
        <v>0</v>
      </c>
      <c r="AE391" s="121">
        <f>VLOOKUP($B391,'Tillförd energi'!$B$1:$AI$720,MATCH(AE$1,'Tillförd energi'!$B$1:$AQ$1,0),FALSE)</f>
        <v>0</v>
      </c>
      <c r="AF391" s="121">
        <f>VLOOKUP($B391,'Tillförd energi'!$B$1:$AI$720,MATCH(AF$1,'Tillförd energi'!$B$1:$AQ$1,0),FALSE)</f>
        <v>3.6030000000000002</v>
      </c>
      <c r="AG391" s="121">
        <f>IFERROR(VLOOKUP(B391,Miljö!$B$1:$AC$550,MATCH("Köpt mängd produktionsspecifik fjärrvärme:",Miljö!$B$1:$AC$1,0),FALSE)/1,0)</f>
        <v>0</v>
      </c>
      <c r="AH391" s="121"/>
      <c r="AI391" s="121">
        <f t="shared" si="154"/>
        <v>189.41333</v>
      </c>
      <c r="AJ391" s="121">
        <f t="shared" si="155"/>
        <v>189.41333</v>
      </c>
      <c r="AK391" s="121">
        <f>IF(ISERROR(1/VLOOKUP($B391,Leveranser!$B$1:$S$499,MATCH("såld värme (gwh)",Leveranser!$B$1:$S$1,0),FALSE)),"",VLOOKUP($B391,Leveranser!$B$1:$S$499,MATCH("såld värme (gwh)",Leveranser!$B$1:$S$1,0),FALSE))</f>
        <v>133.149</v>
      </c>
      <c r="AL391" s="121">
        <f>VLOOKUP($B391,Leveranser!$B$1:$Y$499,MATCH("Totalt såld fjärrvärme till andra fjärrvärmeföretag",Leveranser!$B$1:$AA$1,0),FALSE)</f>
        <v>0</v>
      </c>
      <c r="AM391" s="121">
        <f>IF(ISERROR(1/VLOOKUP($B391,Miljö!$B$1:$S$500,MATCH("Såld mängd produktionsspecifik fjärrvärme (GWh)",Miljö!$B$1:$R$1,0),FALSE)),0,VLOOKUP($B391,Miljö!$B$1:$S$500,MATCH("Såld mängd produktionsspecifik fjärrvärme (GWh)",Miljö!$B$1:$R$1,0),FALSE))</f>
        <v>0</v>
      </c>
      <c r="AN391" s="172">
        <f t="shared" si="156"/>
        <v>0.70295474980562345</v>
      </c>
      <c r="AO391" s="121"/>
      <c r="AP391" s="121" t="str">
        <f>IFERROR(VLOOKUP($B391,Miljövärden!$B$2:$H$550,7,FALSE),"Nej, saknas")</f>
        <v>Ja</v>
      </c>
      <c r="AQ391" s="121" t="str">
        <f>IFERROR(VLOOKUP($B391,Miljövärden!$B$2:$H$550,6,FALSE),"Nej, saknas")</f>
        <v>Ja</v>
      </c>
      <c r="AU391">
        <f t="shared" si="157"/>
        <v>3.6030000000000002</v>
      </c>
      <c r="AV391">
        <f t="shared" si="158"/>
        <v>0</v>
      </c>
      <c r="AW391">
        <f t="shared" si="159"/>
        <v>106.29933</v>
      </c>
      <c r="AX391">
        <f t="shared" si="160"/>
        <v>15.297000000000001</v>
      </c>
      <c r="AZ391">
        <f t="shared" si="161"/>
        <v>151.82932999999997</v>
      </c>
      <c r="BC391">
        <f t="shared" si="162"/>
        <v>10.287000000000001</v>
      </c>
      <c r="BD391">
        <f t="shared" si="163"/>
        <v>0</v>
      </c>
      <c r="BE391">
        <f t="shared" si="164"/>
        <v>131.13532999999998</v>
      </c>
      <c r="BF391">
        <f t="shared" si="165"/>
        <v>44.387999999999998</v>
      </c>
      <c r="BG391">
        <f t="shared" si="166"/>
        <v>3.6030000000000002</v>
      </c>
      <c r="BH391">
        <f>VLOOKUP(B391,Miljö!$B$1:$BX$482,MATCH("Fossilandel för ursprungspecificerad el ()",Miljö!$B$1:$I$1,0),FALSE)</f>
        <v>0</v>
      </c>
      <c r="BI391">
        <f>VLOOKUP(B391,Miljö!$B$1:$BX$482,MATCH("Kärnkraftsandel för ursprungsspecificerad el ()",Miljö!$B$1:$O$1,0),FALSE)</f>
        <v>0</v>
      </c>
      <c r="BJ391">
        <f t="shared" si="167"/>
        <v>0</v>
      </c>
      <c r="BK391" t="str">
        <f>VLOOKUP(B391,Miljö!$B$1:$O$482,MATCH("Fossil andel i procent (%)",Miljö!$B$1:$O$1,0),FALSE)</f>
        <v>ET</v>
      </c>
      <c r="BL391">
        <f t="shared" si="168"/>
        <v>189.41333</v>
      </c>
      <c r="BO391" s="18">
        <f t="shared" si="169"/>
        <v>5.430979963237012E-2</v>
      </c>
      <c r="BP391" s="18">
        <f t="shared" si="170"/>
        <v>0</v>
      </c>
      <c r="BQ391" s="18">
        <f t="shared" si="171"/>
        <v>0.71134555313504066</v>
      </c>
      <c r="BR391" s="18">
        <f t="shared" si="172"/>
        <v>0.23434464723258916</v>
      </c>
      <c r="BT391" s="27">
        <f t="shared" si="173"/>
        <v>1</v>
      </c>
      <c r="BW391" s="18">
        <f>IF(AP391="ja",VLOOKUP(B391,Miljövärden!$B$2:$H$550,MATCH("Total andel fossilt",Miljövärden!$B$2:$H$2,0),FALSE),"")</f>
        <v>5.4309900000000001E-2</v>
      </c>
      <c r="BZ391" s="28">
        <f t="shared" si="174"/>
        <v>1.0036762988080428E-7</v>
      </c>
      <c r="CA391" s="28">
        <f t="shared" si="175"/>
        <v>0</v>
      </c>
    </row>
    <row r="392" spans="1:79" x14ac:dyDescent="0.25">
      <c r="A392" s="224" t="s">
        <v>721</v>
      </c>
      <c r="B392" s="210" t="s">
        <v>722</v>
      </c>
      <c r="C392" s="121">
        <f>VLOOKUP($B392,'Tillförd energi'!$B$1:$AI$720,MATCH(C$1,'Tillförd energi'!$B$1:$AQ$1,0),FALSE)</f>
        <v>0</v>
      </c>
      <c r="D392" s="121">
        <f>VLOOKUP($B392,'Tillförd energi'!$B$1:$AI$720,MATCH(D$1,'Tillförd energi'!$B$1:$AQ$1,0),FALSE)</f>
        <v>0.32</v>
      </c>
      <c r="E392" s="121">
        <f>VLOOKUP($B392,'Tillförd energi'!$B$1:$AI$720,MATCH(E$1,'Tillförd energi'!$B$1:$AQ$1,0),FALSE)</f>
        <v>0</v>
      </c>
      <c r="F392" s="121">
        <f>VLOOKUP($B392,'Tillförd energi'!$B$1:$AI$720,MATCH(F$1,'Tillförd energi'!$B$1:$AQ$1,0),FALSE)</f>
        <v>0</v>
      </c>
      <c r="G392" s="121">
        <f>VLOOKUP($B392,'Tillförd energi'!$B$1:$AI$720,MATCH(G$1,'Tillförd energi'!$B$1:$AQ$1,0),FALSE)</f>
        <v>0</v>
      </c>
      <c r="H392" s="121">
        <f>VLOOKUP($B392,'Tillförd energi'!$B$1:$AI$720,MATCH(H$1,'Tillförd energi'!$B$1:$AQ$1,0),FALSE)</f>
        <v>0</v>
      </c>
      <c r="I392" s="121">
        <f>VLOOKUP($B392,'Tillförd energi'!$B$1:$AI$720,MATCH(I$1,'Tillförd energi'!$B$1:$AQ$1,0),FALSE)</f>
        <v>0</v>
      </c>
      <c r="J392" s="121">
        <f>VLOOKUP($B392,'Tillförd energi'!$B$1:$AI$720,MATCH(J$1,'Tillförd energi'!$B$1:$AQ$1,0),FALSE)</f>
        <v>0</v>
      </c>
      <c r="K392" s="121">
        <f>VLOOKUP($B392,'Tillförd energi'!$B$1:$AI$720,MATCH(K$1,'Tillförd energi'!$B$1:$AQ$1,0),FALSE)</f>
        <v>0</v>
      </c>
      <c r="L392" s="121">
        <f>VLOOKUP($B392,'Tillförd energi'!$B$1:$AI$720,MATCH(L$1,'Tillförd energi'!$B$1:$AQ$1,0),FALSE)</f>
        <v>0</v>
      </c>
      <c r="M392" s="121">
        <f>VLOOKUP($B392,'Tillförd energi'!$B$1:$AI$720,MATCH(M$1,'Tillförd energi'!$B$1:$AQ$1,0),FALSE)</f>
        <v>0</v>
      </c>
      <c r="N392" s="121">
        <f>VLOOKUP($B392,'Tillförd energi'!$B$1:$AI$720,MATCH(N$1,'Tillförd energi'!$B$1:$AQ$1,0),FALSE)</f>
        <v>0</v>
      </c>
      <c r="O392" s="121">
        <f>VLOOKUP($B392,'Tillförd energi'!$B$1:$AI$720,MATCH(O$1,'Tillförd energi'!$B$1:$AQ$1,0),FALSE)</f>
        <v>0</v>
      </c>
      <c r="P392" s="121">
        <f>VLOOKUP($B392,'Tillförd energi'!$B$1:$AI$720,MATCH(P$1,'Tillförd energi'!$B$1:$AQ$1,0),FALSE)</f>
        <v>0</v>
      </c>
      <c r="Q392" s="121">
        <f>VLOOKUP($B392,'Tillförd energi'!$B$1:$AI$720,MATCH(Q$1,'Tillförd energi'!$B$1:$AQ$1,0),FALSE)</f>
        <v>0</v>
      </c>
      <c r="R392" s="121">
        <f>VLOOKUP($B392,'Tillförd energi'!$B$1:$AI$720,MATCH(R$1,'Tillförd energi'!$B$1:$AQ$1,0),FALSE)</f>
        <v>8.01</v>
      </c>
      <c r="S392" s="121">
        <f>VLOOKUP($B392,'Tillförd energi'!$B$1:$AI$720,MATCH(S$1,'Tillförd energi'!$B$1:$AQ$1,0),FALSE)</f>
        <v>0</v>
      </c>
      <c r="T392" s="121">
        <f>VLOOKUP($B392,'Tillförd energi'!$B$1:$AI$720,MATCH(T$1,'Tillförd energi'!$B$1:$AQ$1,0),FALSE)</f>
        <v>0</v>
      </c>
      <c r="U392" s="121">
        <f>VLOOKUP($B392,'Tillförd energi'!$B$1:$AI$720,MATCH(U$1,'Tillförd energi'!$B$1:$AQ$1,0),FALSE)</f>
        <v>0</v>
      </c>
      <c r="V392" s="121">
        <f>VLOOKUP($B392,'Tillförd energi'!$B$1:$AI$720,MATCH(V$1,'Tillförd energi'!$B$1:$AQ$1,0),FALSE)</f>
        <v>0</v>
      </c>
      <c r="W392" s="121">
        <f>VLOOKUP($B392,'Tillförd energi'!$B$1:$AI$720,MATCH(W$1,'Tillförd energi'!$B$1:$AQ$1,0),FALSE)</f>
        <v>0</v>
      </c>
      <c r="X392" s="121">
        <f>VLOOKUP($B392,'Tillförd energi'!$B$1:$AI$720,MATCH(X$1,'Tillförd energi'!$B$1:$AQ$1,0),FALSE)</f>
        <v>0</v>
      </c>
      <c r="Y392" s="121">
        <f>VLOOKUP($B392,'Tillförd energi'!$B$1:$AI$720,MATCH(Y$1,'Tillförd energi'!$B$1:$AQ$1,0),FALSE)</f>
        <v>0</v>
      </c>
      <c r="Z392" s="121">
        <f>VLOOKUP($B392,'Tillförd energi'!$B$1:$AI$720,MATCH(Z$1,'Tillförd energi'!$B$1:$AQ$1,0),FALSE)</f>
        <v>0</v>
      </c>
      <c r="AA392" s="121">
        <f>VLOOKUP($B392,'Tillförd energi'!$B$1:$AI$720,MATCH(AA$1,'Tillförd energi'!$B$1:$AQ$1,0),FALSE)</f>
        <v>0</v>
      </c>
      <c r="AB392" s="121">
        <f>VLOOKUP($B392,'Tillförd energi'!$B$1:$AI$720,MATCH(AB$1,'Tillförd energi'!$B$1:$AQ$1,0),FALSE)</f>
        <v>0</v>
      </c>
      <c r="AC392" s="121">
        <f>VLOOKUP($B392,'Tillförd energi'!$B$1:$AI$720,MATCH(AC$1,'Tillförd energi'!$B$1:$AQ$1,0),FALSE)</f>
        <v>0</v>
      </c>
      <c r="AD392" s="121">
        <f>VLOOKUP($B392,'Tillförd energi'!$B$1:$AI$720,MATCH(AD$1,'Tillförd energi'!$B$1:$AQ$1,0),FALSE)</f>
        <v>0</v>
      </c>
      <c r="AE392" s="121">
        <f>VLOOKUP($B392,'Tillförd energi'!$B$1:$AI$720,MATCH(AE$1,'Tillförd energi'!$B$1:$AQ$1,0),FALSE)</f>
        <v>0</v>
      </c>
      <c r="AF392" s="121">
        <f>VLOOKUP($B392,'Tillförd energi'!$B$1:$AI$720,MATCH(AF$1,'Tillförd energi'!$B$1:$AQ$1,0),FALSE)</f>
        <v>0.13</v>
      </c>
      <c r="AG392" s="121">
        <f>IFERROR(VLOOKUP(B392,Miljö!$B$1:$AC$550,MATCH("Köpt mängd produktionsspecifik fjärrvärme:",Miljö!$B$1:$AC$1,0),FALSE)/1,0)</f>
        <v>0</v>
      </c>
      <c r="AH392" s="121"/>
      <c r="AI392" s="121">
        <f t="shared" si="154"/>
        <v>8.4600000000000009</v>
      </c>
      <c r="AJ392" s="121">
        <f t="shared" si="155"/>
        <v>8.4600000000000009</v>
      </c>
      <c r="AK392" s="121">
        <f>IF(ISERROR(1/VLOOKUP($B392,Leveranser!$B$1:$S$499,MATCH("såld värme (gwh)",Leveranser!$B$1:$S$1,0),FALSE)),"",VLOOKUP($B392,Leveranser!$B$1:$S$499,MATCH("såld värme (gwh)",Leveranser!$B$1:$S$1,0),FALSE))</f>
        <v>6.7</v>
      </c>
      <c r="AL392" s="121">
        <f>VLOOKUP($B392,Leveranser!$B$1:$Y$499,MATCH("Totalt såld fjärrvärme till andra fjärrvärmeföretag",Leveranser!$B$1:$AA$1,0),FALSE)</f>
        <v>0</v>
      </c>
      <c r="AM392" s="121">
        <f>IF(ISERROR(1/VLOOKUP($B392,Miljö!$B$1:$S$500,MATCH("Såld mängd produktionsspecifik fjärrvärme (GWh)",Miljö!$B$1:$R$1,0),FALSE)),0,VLOOKUP($B392,Miljö!$B$1:$S$500,MATCH("Såld mängd produktionsspecifik fjärrvärme (GWh)",Miljö!$B$1:$R$1,0),FALSE))</f>
        <v>0</v>
      </c>
      <c r="AN392" s="172">
        <f t="shared" si="156"/>
        <v>0.79196217494089827</v>
      </c>
      <c r="AO392" s="121"/>
      <c r="AP392" s="121" t="str">
        <f>IFERROR(VLOOKUP($B392,Miljövärden!$B$2:$H$550,7,FALSE),"Nej, saknas")</f>
        <v>Ja</v>
      </c>
      <c r="AQ392" s="121" t="str">
        <f>IFERROR(VLOOKUP($B392,Miljövärden!$B$2:$H$550,6,FALSE),"Nej, saknas")</f>
        <v>Ja</v>
      </c>
      <c r="AU392">
        <f t="shared" si="157"/>
        <v>0.13</v>
      </c>
      <c r="AV392">
        <f t="shared" si="158"/>
        <v>0</v>
      </c>
      <c r="AW392">
        <f t="shared" si="159"/>
        <v>0</v>
      </c>
      <c r="AX392">
        <f t="shared" si="160"/>
        <v>8.01</v>
      </c>
      <c r="AZ392">
        <f t="shared" si="161"/>
        <v>8.01</v>
      </c>
      <c r="BC392">
        <f t="shared" si="162"/>
        <v>0.32</v>
      </c>
      <c r="BD392">
        <f t="shared" si="163"/>
        <v>0</v>
      </c>
      <c r="BE392">
        <f t="shared" si="164"/>
        <v>8.01</v>
      </c>
      <c r="BF392">
        <f t="shared" si="165"/>
        <v>0</v>
      </c>
      <c r="BG392">
        <f t="shared" si="166"/>
        <v>0.13</v>
      </c>
      <c r="BH392">
        <f>VLOOKUP(B392,Miljö!$B$1:$BX$482,MATCH("Fossilandel för ursprungspecificerad el ()",Miljö!$B$1:$I$1,0),FALSE)</f>
        <v>0</v>
      </c>
      <c r="BI392">
        <f>VLOOKUP(B392,Miljö!$B$1:$BX$482,MATCH("Kärnkraftsandel för ursprungsspecificerad el ()",Miljö!$B$1:$O$1,0),FALSE)</f>
        <v>0.42</v>
      </c>
      <c r="BJ392">
        <f t="shared" si="167"/>
        <v>0</v>
      </c>
      <c r="BK392" t="str">
        <f>VLOOKUP(B392,Miljö!$B$1:$O$482,MATCH("Fossil andel i procent (%)",Miljö!$B$1:$O$1,0),FALSE)</f>
        <v>ET</v>
      </c>
      <c r="BL392">
        <f t="shared" si="168"/>
        <v>8.4600000000000009</v>
      </c>
      <c r="BO392" s="18">
        <f t="shared" si="169"/>
        <v>3.7825059101654845E-2</v>
      </c>
      <c r="BP392" s="18">
        <f t="shared" si="170"/>
        <v>6.4539007092198576E-3</v>
      </c>
      <c r="BQ392" s="18">
        <f t="shared" si="171"/>
        <v>0.95572104018912518</v>
      </c>
      <c r="BR392" s="18">
        <f t="shared" si="172"/>
        <v>0</v>
      </c>
      <c r="BT392" s="27">
        <f t="shared" si="173"/>
        <v>0.99999999999999989</v>
      </c>
      <c r="BW392" s="18">
        <f>IF(AP392="ja",VLOOKUP(B392,Miljövärden!$B$2:$H$550,MATCH("Total andel fossilt",Miljövärden!$B$2:$H$2,0),FALSE),"")</f>
        <v>3.78251E-2</v>
      </c>
      <c r="BZ392" s="28">
        <f t="shared" si="174"/>
        <v>4.0898345154971594E-8</v>
      </c>
      <c r="CA392" s="28">
        <f t="shared" si="175"/>
        <v>0</v>
      </c>
    </row>
    <row r="393" spans="1:79" x14ac:dyDescent="0.25">
      <c r="A393" s="224" t="s">
        <v>721</v>
      </c>
      <c r="B393" s="210" t="s">
        <v>723</v>
      </c>
      <c r="C393" s="121">
        <f>VLOOKUP($B393,'Tillförd energi'!$B$1:$AI$720,MATCH(C$1,'Tillförd energi'!$B$1:$AQ$1,0),FALSE)</f>
        <v>0</v>
      </c>
      <c r="D393" s="121">
        <f>VLOOKUP($B393,'Tillförd energi'!$B$1:$AI$720,MATCH(D$1,'Tillförd energi'!$B$1:$AQ$1,0),FALSE)</f>
        <v>0.308</v>
      </c>
      <c r="E393" s="121">
        <f>VLOOKUP($B393,'Tillförd energi'!$B$1:$AI$720,MATCH(E$1,'Tillförd energi'!$B$1:$AQ$1,0),FALSE)</f>
        <v>0</v>
      </c>
      <c r="F393" s="121">
        <f>VLOOKUP($B393,'Tillförd energi'!$B$1:$AI$720,MATCH(F$1,'Tillförd energi'!$B$1:$AQ$1,0),FALSE)</f>
        <v>0</v>
      </c>
      <c r="G393" s="121">
        <f>VLOOKUP($B393,'Tillförd energi'!$B$1:$AI$720,MATCH(G$1,'Tillförd energi'!$B$1:$AQ$1,0),FALSE)</f>
        <v>0</v>
      </c>
      <c r="H393" s="121">
        <f>VLOOKUP($B393,'Tillförd energi'!$B$1:$AI$720,MATCH(H$1,'Tillförd energi'!$B$1:$AQ$1,0),FALSE)</f>
        <v>0</v>
      </c>
      <c r="I393" s="121">
        <f>VLOOKUP($B393,'Tillförd energi'!$B$1:$AI$720,MATCH(I$1,'Tillförd energi'!$B$1:$AQ$1,0),FALSE)</f>
        <v>0</v>
      </c>
      <c r="J393" s="121">
        <f>VLOOKUP($B393,'Tillförd energi'!$B$1:$AI$720,MATCH(J$1,'Tillförd energi'!$B$1:$AQ$1,0),FALSE)</f>
        <v>0</v>
      </c>
      <c r="K393" s="121">
        <f>VLOOKUP($B393,'Tillförd energi'!$B$1:$AI$720,MATCH(K$1,'Tillförd energi'!$B$1:$AQ$1,0),FALSE)</f>
        <v>0</v>
      </c>
      <c r="L393" s="121">
        <f>VLOOKUP($B393,'Tillförd energi'!$B$1:$AI$720,MATCH(L$1,'Tillförd energi'!$B$1:$AQ$1,0),FALSE)</f>
        <v>0</v>
      </c>
      <c r="M393" s="121">
        <f>VLOOKUP($B393,'Tillförd energi'!$B$1:$AI$720,MATCH(M$1,'Tillförd energi'!$B$1:$AQ$1,0),FALSE)</f>
        <v>0.93500000000000005</v>
      </c>
      <c r="N393" s="121">
        <f>VLOOKUP($B393,'Tillförd energi'!$B$1:$AI$720,MATCH(N$1,'Tillförd energi'!$B$1:$AQ$1,0),FALSE)</f>
        <v>0</v>
      </c>
      <c r="O393" s="121">
        <f>VLOOKUP($B393,'Tillförd energi'!$B$1:$AI$720,MATCH(O$1,'Tillförd energi'!$B$1:$AQ$1,0),FALSE)</f>
        <v>0</v>
      </c>
      <c r="P393" s="121">
        <f>VLOOKUP($B393,'Tillförd energi'!$B$1:$AI$720,MATCH(P$1,'Tillförd energi'!$B$1:$AQ$1,0),FALSE)</f>
        <v>6.3819999999999997</v>
      </c>
      <c r="Q393" s="121">
        <f>VLOOKUP($B393,'Tillförd energi'!$B$1:$AI$720,MATCH(Q$1,'Tillförd energi'!$B$1:$AQ$1,0),FALSE)</f>
        <v>1.4910000000000001</v>
      </c>
      <c r="R393" s="121">
        <f>VLOOKUP($B393,'Tillförd energi'!$B$1:$AI$720,MATCH(R$1,'Tillförd energi'!$B$1:$AQ$1,0),FALSE)</f>
        <v>1.6439999999999999</v>
      </c>
      <c r="S393" s="121">
        <f>VLOOKUP($B393,'Tillförd energi'!$B$1:$AI$720,MATCH(S$1,'Tillförd energi'!$B$1:$AQ$1,0),FALSE)</f>
        <v>0</v>
      </c>
      <c r="T393" s="121">
        <f>VLOOKUP($B393,'Tillförd energi'!$B$1:$AI$720,MATCH(T$1,'Tillförd energi'!$B$1:$AQ$1,0),FALSE)</f>
        <v>0</v>
      </c>
      <c r="U393" s="121">
        <f>VLOOKUP($B393,'Tillförd energi'!$B$1:$AI$720,MATCH(U$1,'Tillförd energi'!$B$1:$AQ$1,0),FALSE)</f>
        <v>0</v>
      </c>
      <c r="V393" s="121">
        <f>VLOOKUP($B393,'Tillförd energi'!$B$1:$AI$720,MATCH(V$1,'Tillförd energi'!$B$1:$AQ$1,0),FALSE)</f>
        <v>0</v>
      </c>
      <c r="W393" s="121">
        <f>VLOOKUP($B393,'Tillförd energi'!$B$1:$AI$720,MATCH(W$1,'Tillförd energi'!$B$1:$AQ$1,0),FALSE)</f>
        <v>0</v>
      </c>
      <c r="X393" s="121">
        <f>VLOOKUP($B393,'Tillförd energi'!$B$1:$AI$720,MATCH(X$1,'Tillförd energi'!$B$1:$AQ$1,0),FALSE)</f>
        <v>0</v>
      </c>
      <c r="Y393" s="121">
        <f>VLOOKUP($B393,'Tillförd energi'!$B$1:$AI$720,MATCH(Y$1,'Tillförd energi'!$B$1:$AQ$1,0),FALSE)</f>
        <v>0</v>
      </c>
      <c r="Z393" s="121">
        <f>VLOOKUP($B393,'Tillförd energi'!$B$1:$AI$720,MATCH(Z$1,'Tillförd energi'!$B$1:$AQ$1,0),FALSE)</f>
        <v>0</v>
      </c>
      <c r="AA393" s="121">
        <f>VLOOKUP($B393,'Tillförd energi'!$B$1:$AI$720,MATCH(AA$1,'Tillförd energi'!$B$1:$AQ$1,0),FALSE)</f>
        <v>0</v>
      </c>
      <c r="AB393" s="121">
        <f>VLOOKUP($B393,'Tillförd energi'!$B$1:$AI$720,MATCH(AB$1,'Tillförd energi'!$B$1:$AQ$1,0),FALSE)</f>
        <v>0</v>
      </c>
      <c r="AC393" s="121">
        <f>VLOOKUP($B393,'Tillförd energi'!$B$1:$AI$720,MATCH(AC$1,'Tillförd energi'!$B$1:$AQ$1,0),FALSE)</f>
        <v>0.33700000000000002</v>
      </c>
      <c r="AD393" s="121">
        <f>VLOOKUP($B393,'Tillförd energi'!$B$1:$AI$720,MATCH(AD$1,'Tillförd energi'!$B$1:$AQ$1,0),FALSE)</f>
        <v>18.183</v>
      </c>
      <c r="AE393" s="121">
        <f>VLOOKUP($B393,'Tillförd energi'!$B$1:$AI$720,MATCH(AE$1,'Tillförd energi'!$B$1:$AQ$1,0),FALSE)</f>
        <v>0</v>
      </c>
      <c r="AF393" s="121">
        <f>VLOOKUP($B393,'Tillförd energi'!$B$1:$AI$720,MATCH(AF$1,'Tillförd energi'!$B$1:$AQ$1,0),FALSE)</f>
        <v>0.52500000000000002</v>
      </c>
      <c r="AG393" s="121">
        <f>IFERROR(VLOOKUP(B393,Miljö!$B$1:$AC$550,MATCH("Köpt mängd produktionsspecifik fjärrvärme:",Miljö!$B$1:$AC$1,0),FALSE)/1,0)</f>
        <v>0</v>
      </c>
      <c r="AH393" s="121"/>
      <c r="AI393" s="121">
        <f t="shared" si="154"/>
        <v>29.805</v>
      </c>
      <c r="AJ393" s="121">
        <f t="shared" si="155"/>
        <v>29.805</v>
      </c>
      <c r="AK393" s="121">
        <f>IF(ISERROR(1/VLOOKUP($B393,Leveranser!$B$1:$S$499,MATCH("såld värme (gwh)",Leveranser!$B$1:$S$1,0),FALSE)),"",VLOOKUP($B393,Leveranser!$B$1:$S$499,MATCH("såld värme (gwh)",Leveranser!$B$1:$S$1,0),FALSE))</f>
        <v>23.193000000000001</v>
      </c>
      <c r="AL393" s="121">
        <f>VLOOKUP($B393,Leveranser!$B$1:$Y$499,MATCH("Totalt såld fjärrvärme till andra fjärrvärmeföretag",Leveranser!$B$1:$AA$1,0),FALSE)</f>
        <v>0</v>
      </c>
      <c r="AM393" s="121">
        <f>IF(ISERROR(1/VLOOKUP($B393,Miljö!$B$1:$S$500,MATCH("Såld mängd produktionsspecifik fjärrvärme (GWh)",Miljö!$B$1:$R$1,0),FALSE)),0,VLOOKUP($B393,Miljö!$B$1:$S$500,MATCH("Såld mängd produktionsspecifik fjärrvärme (GWh)",Miljö!$B$1:$R$1,0),FALSE))</f>
        <v>0</v>
      </c>
      <c r="AN393" s="172">
        <f t="shared" si="156"/>
        <v>0.77815802717664828</v>
      </c>
      <c r="AO393" s="121"/>
      <c r="AP393" s="121" t="str">
        <f>IFERROR(VLOOKUP($B393,Miljövärden!$B$2:$H$550,7,FALSE),"Nej, saknas")</f>
        <v>Ja</v>
      </c>
      <c r="AQ393" s="121" t="str">
        <f>IFERROR(VLOOKUP($B393,Miljövärden!$B$2:$H$550,6,FALSE),"Nej, saknas")</f>
        <v>Ja</v>
      </c>
      <c r="AU393">
        <f t="shared" si="157"/>
        <v>0.52500000000000002</v>
      </c>
      <c r="AV393">
        <f t="shared" si="158"/>
        <v>0</v>
      </c>
      <c r="AW393">
        <f t="shared" si="159"/>
        <v>8.8079999999999998</v>
      </c>
      <c r="AX393">
        <f t="shared" si="160"/>
        <v>1.6439999999999999</v>
      </c>
      <c r="AZ393">
        <f t="shared" si="161"/>
        <v>10.452</v>
      </c>
      <c r="BC393">
        <f t="shared" si="162"/>
        <v>0.308</v>
      </c>
      <c r="BD393">
        <f t="shared" si="163"/>
        <v>0</v>
      </c>
      <c r="BE393">
        <f t="shared" si="164"/>
        <v>10.452</v>
      </c>
      <c r="BF393">
        <f t="shared" si="165"/>
        <v>18.52</v>
      </c>
      <c r="BG393">
        <f t="shared" si="166"/>
        <v>0.52500000000000002</v>
      </c>
      <c r="BH393">
        <f>VLOOKUP(B393,Miljö!$B$1:$BX$482,MATCH("Fossilandel för ursprungspecificerad el ()",Miljö!$B$1:$I$1,0),FALSE)</f>
        <v>0</v>
      </c>
      <c r="BI393">
        <f>VLOOKUP(B393,Miljö!$B$1:$BX$482,MATCH("Kärnkraftsandel för ursprungsspecificerad el ()",Miljö!$B$1:$O$1,0),FALSE)</f>
        <v>0.42</v>
      </c>
      <c r="BJ393">
        <f t="shared" si="167"/>
        <v>0</v>
      </c>
      <c r="BK393" t="str">
        <f>VLOOKUP(B393,Miljö!$B$1:$O$482,MATCH("Fossil andel i procent (%)",Miljö!$B$1:$O$1,0),FALSE)</f>
        <v>ET</v>
      </c>
      <c r="BL393">
        <f t="shared" si="168"/>
        <v>29.805</v>
      </c>
      <c r="BO393" s="18">
        <f t="shared" si="169"/>
        <v>1.0333836604596544E-2</v>
      </c>
      <c r="BP393" s="18">
        <f t="shared" si="170"/>
        <v>7.3980875691997986E-3</v>
      </c>
      <c r="BQ393" s="18">
        <f t="shared" si="171"/>
        <v>0.3608958228485154</v>
      </c>
      <c r="BR393" s="18">
        <f t="shared" si="172"/>
        <v>0.62137225297768828</v>
      </c>
      <c r="BT393" s="27">
        <f t="shared" si="173"/>
        <v>1</v>
      </c>
      <c r="BW393" s="18">
        <f>IF(AP393="ja",VLOOKUP(B393,Miljövärden!$B$2:$H$550,MATCH("Total andel fossilt",Miljövärden!$B$2:$H$2,0),FALSE),"")</f>
        <v>1.0333800000000001E-2</v>
      </c>
      <c r="BZ393" s="28">
        <f t="shared" si="174"/>
        <v>-3.6604596543102219E-8</v>
      </c>
      <c r="CA393" s="28">
        <f t="shared" si="175"/>
        <v>0</v>
      </c>
    </row>
    <row r="394" spans="1:79" x14ac:dyDescent="0.25">
      <c r="A394" s="224" t="s">
        <v>724</v>
      </c>
      <c r="B394" s="210" t="s">
        <v>141</v>
      </c>
      <c r="C394" s="121">
        <f>VLOOKUP($B394,'Tillförd energi'!$B$1:$AI$720,MATCH(C$1,'Tillförd energi'!$B$1:$AQ$1,0),FALSE)</f>
        <v>0</v>
      </c>
      <c r="D394" s="121">
        <f>VLOOKUP($B394,'Tillförd energi'!$B$1:$AI$720,MATCH(D$1,'Tillförd energi'!$B$1:$AQ$1,0),FALSE)</f>
        <v>0</v>
      </c>
      <c r="E394" s="121">
        <f>VLOOKUP($B394,'Tillförd energi'!$B$1:$AI$720,MATCH(E$1,'Tillförd energi'!$B$1:$AQ$1,0),FALSE)</f>
        <v>0</v>
      </c>
      <c r="F394" s="121">
        <f>VLOOKUP($B394,'Tillförd energi'!$B$1:$AI$720,MATCH(F$1,'Tillförd energi'!$B$1:$AQ$1,0),FALSE)</f>
        <v>0</v>
      </c>
      <c r="G394" s="121">
        <f>VLOOKUP($B394,'Tillförd energi'!$B$1:$AI$720,MATCH(G$1,'Tillförd energi'!$B$1:$AQ$1,0),FALSE)</f>
        <v>0</v>
      </c>
      <c r="H394" s="121">
        <f>VLOOKUP($B394,'Tillförd energi'!$B$1:$AI$720,MATCH(H$1,'Tillförd energi'!$B$1:$AQ$1,0),FALSE)</f>
        <v>0</v>
      </c>
      <c r="I394" s="121">
        <f>VLOOKUP($B394,'Tillförd energi'!$B$1:$AI$720,MATCH(I$1,'Tillförd energi'!$B$1:$AQ$1,0),FALSE)</f>
        <v>0</v>
      </c>
      <c r="J394" s="121">
        <f>VLOOKUP($B394,'Tillförd energi'!$B$1:$AI$720,MATCH(J$1,'Tillförd energi'!$B$1:$AQ$1,0),FALSE)</f>
        <v>0</v>
      </c>
      <c r="K394" s="121">
        <f>VLOOKUP($B394,'Tillförd energi'!$B$1:$AI$720,MATCH(K$1,'Tillförd energi'!$B$1:$AQ$1,0),FALSE)</f>
        <v>0</v>
      </c>
      <c r="L394" s="121">
        <f>VLOOKUP($B394,'Tillförd energi'!$B$1:$AI$720,MATCH(L$1,'Tillförd energi'!$B$1:$AQ$1,0),FALSE)</f>
        <v>0</v>
      </c>
      <c r="M394" s="121">
        <f>VLOOKUP($B394,'Tillförd energi'!$B$1:$AI$720,MATCH(M$1,'Tillförd energi'!$B$1:$AQ$1,0),FALSE)</f>
        <v>0</v>
      </c>
      <c r="N394" s="121">
        <f>VLOOKUP($B394,'Tillförd energi'!$B$1:$AI$720,MATCH(N$1,'Tillförd energi'!$B$1:$AQ$1,0),FALSE)</f>
        <v>0</v>
      </c>
      <c r="O394" s="121">
        <f>VLOOKUP($B394,'Tillförd energi'!$B$1:$AI$720,MATCH(O$1,'Tillförd energi'!$B$1:$AQ$1,0),FALSE)</f>
        <v>0</v>
      </c>
      <c r="P394" s="121">
        <f>VLOOKUP($B394,'Tillförd energi'!$B$1:$AI$720,MATCH(P$1,'Tillförd energi'!$B$1:$AQ$1,0),FALSE)</f>
        <v>0</v>
      </c>
      <c r="Q394" s="121">
        <f>VLOOKUP($B394,'Tillförd energi'!$B$1:$AI$720,MATCH(Q$1,'Tillförd energi'!$B$1:$AQ$1,0),FALSE)</f>
        <v>0</v>
      </c>
      <c r="R394" s="121">
        <f>VLOOKUP($B394,'Tillförd energi'!$B$1:$AI$720,MATCH(R$1,'Tillförd energi'!$B$1:$AQ$1,0),FALSE)</f>
        <v>0</v>
      </c>
      <c r="S394" s="121">
        <f>VLOOKUP($B394,'Tillförd energi'!$B$1:$AI$720,MATCH(S$1,'Tillförd energi'!$B$1:$AQ$1,0),FALSE)</f>
        <v>0</v>
      </c>
      <c r="T394" s="121">
        <f>VLOOKUP($B394,'Tillförd energi'!$B$1:$AI$720,MATCH(T$1,'Tillförd energi'!$B$1:$AQ$1,0),FALSE)</f>
        <v>0</v>
      </c>
      <c r="U394" s="121">
        <f>VLOOKUP($B394,'Tillförd energi'!$B$1:$AI$720,MATCH(U$1,'Tillförd energi'!$B$1:$AQ$1,0),FALSE)</f>
        <v>0</v>
      </c>
      <c r="V394" s="121">
        <f>VLOOKUP($B394,'Tillförd energi'!$B$1:$AI$720,MATCH(V$1,'Tillförd energi'!$B$1:$AQ$1,0),FALSE)</f>
        <v>0</v>
      </c>
      <c r="W394" s="121">
        <f>VLOOKUP($B394,'Tillförd energi'!$B$1:$AI$720,MATCH(W$1,'Tillförd energi'!$B$1:$AQ$1,0),FALSE)</f>
        <v>0</v>
      </c>
      <c r="X394" s="121">
        <f>VLOOKUP($B394,'Tillförd energi'!$B$1:$AI$720,MATCH(X$1,'Tillförd energi'!$B$1:$AQ$1,0),FALSE)</f>
        <v>0</v>
      </c>
      <c r="Y394" s="121">
        <f>VLOOKUP($B394,'Tillförd energi'!$B$1:$AI$720,MATCH(Y$1,'Tillförd energi'!$B$1:$AQ$1,0),FALSE)</f>
        <v>0</v>
      </c>
      <c r="Z394" s="121">
        <f>VLOOKUP($B394,'Tillförd energi'!$B$1:$AI$720,MATCH(Z$1,'Tillförd energi'!$B$1:$AQ$1,0),FALSE)</f>
        <v>0</v>
      </c>
      <c r="AA394" s="121">
        <f>VLOOKUP($B394,'Tillförd energi'!$B$1:$AI$720,MATCH(AA$1,'Tillförd energi'!$B$1:$AQ$1,0),FALSE)</f>
        <v>0</v>
      </c>
      <c r="AB394" s="121">
        <f>VLOOKUP($B394,'Tillförd energi'!$B$1:$AI$720,MATCH(AB$1,'Tillförd energi'!$B$1:$AQ$1,0),FALSE)</f>
        <v>0</v>
      </c>
      <c r="AC394" s="121">
        <f>VLOOKUP($B394,'Tillförd energi'!$B$1:$AI$720,MATCH(AC$1,'Tillförd energi'!$B$1:$AQ$1,0),FALSE)</f>
        <v>0</v>
      </c>
      <c r="AD394" s="121">
        <f>VLOOKUP($B394,'Tillförd energi'!$B$1:$AI$720,MATCH(AD$1,'Tillförd energi'!$B$1:$AQ$1,0),FALSE)</f>
        <v>0</v>
      </c>
      <c r="AE394" s="121">
        <f>VLOOKUP($B394,'Tillförd energi'!$B$1:$AI$720,MATCH(AE$1,'Tillförd energi'!$B$1:$AQ$1,0),FALSE)</f>
        <v>0</v>
      </c>
      <c r="AF394" s="121">
        <f>VLOOKUP($B394,'Tillförd energi'!$B$1:$AI$720,MATCH(AF$1,'Tillförd energi'!$B$1:$AQ$1,0),FALSE)</f>
        <v>0</v>
      </c>
      <c r="AG394" s="121">
        <f>IFERROR(VLOOKUP(B394,Miljö!$B$1:$AC$550,MATCH("Köpt mängd produktionsspecifik fjärrvärme:",Miljö!$B$1:$AC$1,0),FALSE)/1,0)</f>
        <v>0</v>
      </c>
      <c r="AH394" s="121"/>
      <c r="AI394" s="121">
        <f t="shared" si="154"/>
        <v>0</v>
      </c>
      <c r="AJ394" s="121">
        <f t="shared" si="155"/>
        <v>0</v>
      </c>
      <c r="AK394" s="121" t="str">
        <f>IF(ISERROR(1/VLOOKUP($B394,Leveranser!$B$1:$S$499,MATCH("såld värme (gwh)",Leveranser!$B$1:$S$1,0),FALSE)),"",VLOOKUP($B394,Leveranser!$B$1:$S$499,MATCH("såld värme (gwh)",Leveranser!$B$1:$S$1,0),FALSE))</f>
        <v/>
      </c>
      <c r="AL394" s="121">
        <f>VLOOKUP($B394,Leveranser!$B$1:$Y$499,MATCH("Totalt såld fjärrvärme till andra fjärrvärmeföretag",Leveranser!$B$1:$AA$1,0),FALSE)</f>
        <v>0</v>
      </c>
      <c r="AM394" s="121">
        <f>IF(ISERROR(1/VLOOKUP($B394,Miljö!$B$1:$S$500,MATCH("Såld mängd produktionsspecifik fjärrvärme (GWh)",Miljö!$B$1:$R$1,0),FALSE)),0,VLOOKUP($B394,Miljö!$B$1:$S$500,MATCH("Såld mängd produktionsspecifik fjärrvärme (GWh)",Miljö!$B$1:$R$1,0),FALSE))</f>
        <v>0</v>
      </c>
      <c r="AN394" s="172" t="str">
        <f t="shared" si="156"/>
        <v/>
      </c>
      <c r="AO394" s="121"/>
      <c r="AP394" s="121" t="str">
        <f>IFERROR(VLOOKUP($B394,Miljövärden!$B$2:$H$550,7,FALSE),"Nej, saknas")</f>
        <v>Nej</v>
      </c>
      <c r="AQ394" s="121" t="str">
        <f>IFERROR(VLOOKUP($B394,Miljövärden!$B$2:$H$550,6,FALSE),"Nej, saknas")</f>
        <v>Nej</v>
      </c>
      <c r="AU394">
        <f t="shared" si="157"/>
        <v>0</v>
      </c>
      <c r="AV394">
        <f t="shared" si="158"/>
        <v>0</v>
      </c>
      <c r="AW394">
        <f t="shared" si="159"/>
        <v>0</v>
      </c>
      <c r="AX394">
        <f t="shared" si="160"/>
        <v>0</v>
      </c>
      <c r="AZ394">
        <f t="shared" si="161"/>
        <v>0</v>
      </c>
      <c r="BC394">
        <f t="shared" si="162"/>
        <v>0</v>
      </c>
      <c r="BD394">
        <f t="shared" si="163"/>
        <v>0</v>
      </c>
      <c r="BE394">
        <f t="shared" si="164"/>
        <v>0</v>
      </c>
      <c r="BF394">
        <f t="shared" si="165"/>
        <v>0</v>
      </c>
      <c r="BG394">
        <f t="shared" si="166"/>
        <v>0</v>
      </c>
      <c r="BH394" t="str">
        <f>VLOOKUP(B394,Miljö!$B$1:$BX$482,MATCH("Fossilandel för ursprungspecificerad el ()",Miljö!$B$1:$I$1,0),FALSE)</f>
        <v>-</v>
      </c>
      <c r="BI394" t="str">
        <f>VLOOKUP(B394,Miljö!$B$1:$BX$482,MATCH("Kärnkraftsandel för ursprungsspecificerad el ()",Miljö!$B$1:$O$1,0),FALSE)</f>
        <v>-</v>
      </c>
      <c r="BJ394">
        <f t="shared" si="167"/>
        <v>0</v>
      </c>
      <c r="BK394" t="str">
        <f>VLOOKUP(B394,Miljö!$B$1:$O$482,MATCH("Fossil andel i procent (%)",Miljö!$B$1:$O$1,0),FALSE)</f>
        <v>-</v>
      </c>
      <c r="BL394">
        <f t="shared" si="168"/>
        <v>0</v>
      </c>
      <c r="BO394" s="18" t="str">
        <f t="shared" si="169"/>
        <v/>
      </c>
      <c r="BP394" s="18" t="str">
        <f t="shared" si="170"/>
        <v/>
      </c>
      <c r="BQ394" s="18" t="str">
        <f t="shared" si="171"/>
        <v/>
      </c>
      <c r="BR394" s="18" t="str">
        <f t="shared" si="172"/>
        <v/>
      </c>
      <c r="BT394" s="27">
        <f t="shared" si="173"/>
        <v>0</v>
      </c>
      <c r="BW394" s="18" t="str">
        <f>IF(AP394="ja",VLOOKUP(B394,Miljövärden!$B$2:$H$550,MATCH("Total andel fossilt",Miljövärden!$B$2:$H$2,0),FALSE),"")</f>
        <v/>
      </c>
      <c r="BZ394" s="28" t="str">
        <f t="shared" si="174"/>
        <v/>
      </c>
      <c r="CA394" s="28" t="str">
        <f t="shared" si="175"/>
        <v/>
      </c>
    </row>
    <row r="395" spans="1:79" x14ac:dyDescent="0.25">
      <c r="A395" s="224" t="s">
        <v>725</v>
      </c>
      <c r="B395" s="210" t="s">
        <v>726</v>
      </c>
      <c r="C395" s="121">
        <f>VLOOKUP($B395,'Tillförd energi'!$B$1:$AI$720,MATCH(C$1,'Tillförd energi'!$B$1:$AQ$1,0),FALSE)</f>
        <v>0</v>
      </c>
      <c r="D395" s="121">
        <f>VLOOKUP($B395,'Tillförd energi'!$B$1:$AI$720,MATCH(D$1,'Tillförd energi'!$B$1:$AQ$1,0),FALSE)</f>
        <v>1.0069999999999999</v>
      </c>
      <c r="E395" s="121">
        <f>VLOOKUP($B395,'Tillförd energi'!$B$1:$AI$720,MATCH(E$1,'Tillförd energi'!$B$1:$AQ$1,0),FALSE)</f>
        <v>0</v>
      </c>
      <c r="F395" s="121">
        <f>VLOOKUP($B395,'Tillförd energi'!$B$1:$AI$720,MATCH(F$1,'Tillförd energi'!$B$1:$AQ$1,0),FALSE)</f>
        <v>5.5540000000000003</v>
      </c>
      <c r="G395" s="121">
        <f>VLOOKUP($B395,'Tillförd energi'!$B$1:$AI$720,MATCH(G$1,'Tillförd energi'!$B$1:$AQ$1,0),FALSE)</f>
        <v>0</v>
      </c>
      <c r="H395" s="121">
        <f>VLOOKUP($B395,'Tillförd energi'!$B$1:$AI$720,MATCH(H$1,'Tillförd energi'!$B$1:$AQ$1,0),FALSE)</f>
        <v>0</v>
      </c>
      <c r="I395" s="121">
        <f>VLOOKUP($B395,'Tillförd energi'!$B$1:$AI$720,MATCH(I$1,'Tillförd energi'!$B$1:$AQ$1,0),FALSE)</f>
        <v>246.7</v>
      </c>
      <c r="J395" s="121">
        <f>VLOOKUP($B395,'Tillförd energi'!$B$1:$AI$720,MATCH(J$1,'Tillförd energi'!$B$1:$AQ$1,0),FALSE)</f>
        <v>8.0941200000000002</v>
      </c>
      <c r="K395" s="121">
        <f>VLOOKUP($B395,'Tillförd energi'!$B$1:$AI$720,MATCH(K$1,'Tillförd energi'!$B$1:$AQ$1,0),FALSE)</f>
        <v>0</v>
      </c>
      <c r="L395" s="121">
        <f>VLOOKUP($B395,'Tillförd energi'!$B$1:$AI$720,MATCH(L$1,'Tillförd energi'!$B$1:$AQ$1,0),FALSE)</f>
        <v>0</v>
      </c>
      <c r="M395" s="121">
        <f>VLOOKUP($B395,'Tillförd energi'!$B$1:$AI$720,MATCH(M$1,'Tillförd energi'!$B$1:$AQ$1,0),FALSE)</f>
        <v>0</v>
      </c>
      <c r="N395" s="121">
        <f>VLOOKUP($B395,'Tillförd energi'!$B$1:$AI$720,MATCH(N$1,'Tillförd energi'!$B$1:$AQ$1,0),FALSE)</f>
        <v>0</v>
      </c>
      <c r="O395" s="121">
        <f>VLOOKUP($B395,'Tillförd energi'!$B$1:$AI$720,MATCH(O$1,'Tillförd energi'!$B$1:$AQ$1,0),FALSE)</f>
        <v>0</v>
      </c>
      <c r="P395" s="121">
        <f>VLOOKUP($B395,'Tillförd energi'!$B$1:$AI$720,MATCH(P$1,'Tillförd energi'!$B$1:$AQ$1,0),FALSE)</f>
        <v>0</v>
      </c>
      <c r="Q395" s="121">
        <f>VLOOKUP($B395,'Tillförd energi'!$B$1:$AI$720,MATCH(Q$1,'Tillförd energi'!$B$1:$AQ$1,0),FALSE)</f>
        <v>0</v>
      </c>
      <c r="R395" s="121">
        <f>VLOOKUP($B395,'Tillförd energi'!$B$1:$AI$720,MATCH(R$1,'Tillförd energi'!$B$1:$AQ$1,0),FALSE)</f>
        <v>229.7</v>
      </c>
      <c r="S395" s="121">
        <f>VLOOKUP($B395,'Tillförd energi'!$B$1:$AI$720,MATCH(S$1,'Tillförd energi'!$B$1:$AQ$1,0),FALSE)</f>
        <v>0</v>
      </c>
      <c r="T395" s="121">
        <f>VLOOKUP($B395,'Tillförd energi'!$B$1:$AI$720,MATCH(T$1,'Tillförd energi'!$B$1:$AQ$1,0),FALSE)</f>
        <v>0</v>
      </c>
      <c r="U395" s="121">
        <f>VLOOKUP($B395,'Tillförd energi'!$B$1:$AI$720,MATCH(U$1,'Tillförd energi'!$B$1:$AQ$1,0),FALSE)</f>
        <v>0</v>
      </c>
      <c r="V395" s="121">
        <f>VLOOKUP($B395,'Tillförd energi'!$B$1:$AI$720,MATCH(V$1,'Tillförd energi'!$B$1:$AQ$1,0),FALSE)</f>
        <v>0</v>
      </c>
      <c r="W395" s="121">
        <f>VLOOKUP($B395,'Tillförd energi'!$B$1:$AI$720,MATCH(W$1,'Tillförd energi'!$B$1:$AQ$1,0),FALSE)</f>
        <v>0.62880800000000003</v>
      </c>
      <c r="X395" s="121">
        <f>VLOOKUP($B395,'Tillförd energi'!$B$1:$AI$720,MATCH(X$1,'Tillförd energi'!$B$1:$AQ$1,0),FALSE)</f>
        <v>0</v>
      </c>
      <c r="Y395" s="121">
        <f>VLOOKUP($B395,'Tillförd energi'!$B$1:$AI$720,MATCH(Y$1,'Tillförd energi'!$B$1:$AQ$1,0),FALSE)</f>
        <v>0</v>
      </c>
      <c r="Z395" s="121">
        <f>VLOOKUP($B395,'Tillförd energi'!$B$1:$AI$720,MATCH(Z$1,'Tillförd energi'!$B$1:$AQ$1,0),FALSE)</f>
        <v>0</v>
      </c>
      <c r="AA395" s="121">
        <f>VLOOKUP($B395,'Tillförd energi'!$B$1:$AI$720,MATCH(AA$1,'Tillförd energi'!$B$1:$AQ$1,0),FALSE)</f>
        <v>18.471</v>
      </c>
      <c r="AB395" s="121">
        <f>VLOOKUP($B395,'Tillförd energi'!$B$1:$AI$720,MATCH(AB$1,'Tillförd energi'!$B$1:$AQ$1,0),FALSE)</f>
        <v>40.462000000000003</v>
      </c>
      <c r="AC395" s="121">
        <f>VLOOKUP($B395,'Tillförd energi'!$B$1:$AI$720,MATCH(AC$1,'Tillförd energi'!$B$1:$AQ$1,0),FALSE)</f>
        <v>108.1</v>
      </c>
      <c r="AD395" s="121">
        <f>VLOOKUP($B395,'Tillförd energi'!$B$1:$AI$720,MATCH(AD$1,'Tillförd energi'!$B$1:$AQ$1,0),FALSE)</f>
        <v>413.65499999999997</v>
      </c>
      <c r="AE395" s="121">
        <f>VLOOKUP($B395,'Tillförd energi'!$B$1:$AI$720,MATCH(AE$1,'Tillförd energi'!$B$1:$AQ$1,0),FALSE)</f>
        <v>0</v>
      </c>
      <c r="AF395" s="121">
        <f>VLOOKUP($B395,'Tillförd energi'!$B$1:$AI$720,MATCH(AF$1,'Tillförd energi'!$B$1:$AQ$1,0),FALSE)</f>
        <v>22.085899999999999</v>
      </c>
      <c r="AG395" s="121">
        <f>IFERROR(VLOOKUP(B395,Miljö!$B$1:$AC$550,MATCH("Köpt mängd produktionsspecifik fjärrvärme:",Miljö!$B$1:$AC$1,0),FALSE)/1,0)</f>
        <v>3.7</v>
      </c>
      <c r="AH395" s="121"/>
      <c r="AI395" s="121">
        <f t="shared" si="154"/>
        <v>1094.4578280000001</v>
      </c>
      <c r="AJ395" s="121">
        <f t="shared" si="155"/>
        <v>1098.1578280000001</v>
      </c>
      <c r="AK395" s="121">
        <f>IF(ISERROR(1/VLOOKUP($B395,Leveranser!$B$1:$S$499,MATCH("såld värme (gwh)",Leveranser!$B$1:$S$1,0),FALSE)),"",VLOOKUP($B395,Leveranser!$B$1:$S$499,MATCH("såld värme (gwh)",Leveranser!$B$1:$S$1,0),FALSE))</f>
        <v>1031.8599999999999</v>
      </c>
      <c r="AL395" s="121">
        <f>VLOOKUP($B395,Leveranser!$B$1:$Y$499,MATCH("Totalt såld fjärrvärme till andra fjärrvärmeföretag",Leveranser!$B$1:$AA$1,0),FALSE)</f>
        <v>163.30000000000001</v>
      </c>
      <c r="AM395" s="121">
        <f>IF(ISERROR(1/VLOOKUP($B395,Miljö!$B$1:$S$500,MATCH("Såld mängd produktionsspecifik fjärrvärme (GWh)",Miljö!$B$1:$R$1,0),FALSE)),0,VLOOKUP($B395,Miljö!$B$1:$S$500,MATCH("Såld mängd produktionsspecifik fjärrvärme (GWh)",Miljö!$B$1:$R$1,0),FALSE))</f>
        <v>163.30000000000001</v>
      </c>
      <c r="AN395" s="172">
        <f t="shared" si="156"/>
        <v>0.93962814241305925</v>
      </c>
      <c r="AO395" s="121"/>
      <c r="AP395" s="121" t="str">
        <f>IFERROR(VLOOKUP($B395,Miljövärden!$B$2:$H$550,7,FALSE),"Nej, saknas")</f>
        <v>Ja</v>
      </c>
      <c r="AQ395" s="121" t="str">
        <f>IFERROR(VLOOKUP($B395,Miljövärden!$B$2:$H$550,6,FALSE),"Nej, saknas")</f>
        <v>Ja</v>
      </c>
      <c r="AU395">
        <f t="shared" si="157"/>
        <v>40.556899999999999</v>
      </c>
      <c r="AV395">
        <f t="shared" si="158"/>
        <v>0</v>
      </c>
      <c r="AW395">
        <f t="shared" si="159"/>
        <v>0</v>
      </c>
      <c r="AX395">
        <f t="shared" si="160"/>
        <v>229.7</v>
      </c>
      <c r="AZ395">
        <f t="shared" si="161"/>
        <v>230.32880799999998</v>
      </c>
      <c r="BC395">
        <f t="shared" si="162"/>
        <v>6.5609999999999999</v>
      </c>
      <c r="BD395">
        <f t="shared" si="163"/>
        <v>0</v>
      </c>
      <c r="BE395">
        <f t="shared" si="164"/>
        <v>230.32880799999998</v>
      </c>
      <c r="BF395">
        <f t="shared" si="165"/>
        <v>817.01112000000001</v>
      </c>
      <c r="BG395">
        <f t="shared" si="166"/>
        <v>40.556899999999999</v>
      </c>
      <c r="BH395">
        <f>VLOOKUP(B395,Miljö!$B$1:$BX$482,MATCH("Fossilandel för ursprungspecificerad el ()",Miljö!$B$1:$I$1,0),FALSE)</f>
        <v>0</v>
      </c>
      <c r="BI395">
        <f>VLOOKUP(B395,Miljö!$B$1:$BX$482,MATCH("Kärnkraftsandel för ursprungsspecificerad el ()",Miljö!$B$1:$O$1,0),FALSE)</f>
        <v>0</v>
      </c>
      <c r="BJ395">
        <f t="shared" si="167"/>
        <v>3.7</v>
      </c>
      <c r="BK395">
        <f>VLOOKUP(B395,Miljö!$B$1:$O$482,MATCH("Fossil andel i procent (%)",Miljö!$B$1:$O$1,0),FALSE)</f>
        <v>0</v>
      </c>
      <c r="BL395">
        <f t="shared" si="168"/>
        <v>1098.1578280000001</v>
      </c>
      <c r="BO395" s="18">
        <f t="shared" si="169"/>
        <v>5.974551046045086E-3</v>
      </c>
      <c r="BP395" s="18">
        <f t="shared" si="170"/>
        <v>3.3692789011380612E-3</v>
      </c>
      <c r="BQ395" s="18">
        <f t="shared" si="171"/>
        <v>0.24667283799574202</v>
      </c>
      <c r="BR395" s="18">
        <f t="shared" si="172"/>
        <v>0.74398333205707468</v>
      </c>
      <c r="BT395" s="27">
        <f t="shared" si="173"/>
        <v>0.99999999999999978</v>
      </c>
      <c r="BW395" s="18">
        <f>IF(AP395="ja",VLOOKUP(B395,Miljövärden!$B$2:$H$550,MATCH("Total andel fossilt",Miljövärden!$B$2:$H$2,0),FALSE),"")</f>
        <v>3.3001300000000001E-3</v>
      </c>
      <c r="BZ395" s="28">
        <f>IFERROR(BW395-BO395,"")</f>
        <v>-2.6744210460450859E-3</v>
      </c>
      <c r="CA395" s="28">
        <f t="shared" si="175"/>
        <v>-3.0000000000000001E-3</v>
      </c>
    </row>
    <row r="396" spans="1:79" x14ac:dyDescent="0.25">
      <c r="A396" s="224" t="s">
        <v>725</v>
      </c>
      <c r="B396" s="210" t="s">
        <v>727</v>
      </c>
      <c r="C396" s="121">
        <f>VLOOKUP($B396,'Tillförd energi'!$B$1:$AI$720,MATCH(C$1,'Tillförd energi'!$B$1:$AQ$1,0),FALSE)</f>
        <v>0</v>
      </c>
      <c r="D396" s="121">
        <f>VLOOKUP($B396,'Tillförd energi'!$B$1:$AI$720,MATCH(D$1,'Tillförd energi'!$B$1:$AQ$1,0),FALSE)</f>
        <v>1.4999999999999999E-2</v>
      </c>
      <c r="E396" s="121">
        <f>VLOOKUP($B396,'Tillförd energi'!$B$1:$AI$720,MATCH(E$1,'Tillförd energi'!$B$1:$AQ$1,0),FALSE)</f>
        <v>0</v>
      </c>
      <c r="F396" s="121">
        <f>VLOOKUP($B396,'Tillförd energi'!$B$1:$AI$720,MATCH(F$1,'Tillförd energi'!$B$1:$AQ$1,0),FALSE)</f>
        <v>0</v>
      </c>
      <c r="G396" s="121">
        <f>VLOOKUP($B396,'Tillförd energi'!$B$1:$AI$720,MATCH(G$1,'Tillförd energi'!$B$1:$AQ$1,0),FALSE)</f>
        <v>0</v>
      </c>
      <c r="H396" s="121">
        <f>VLOOKUP($B396,'Tillförd energi'!$B$1:$AI$720,MATCH(H$1,'Tillförd energi'!$B$1:$AQ$1,0),FALSE)</f>
        <v>0</v>
      </c>
      <c r="I396" s="121">
        <f>VLOOKUP($B396,'Tillförd energi'!$B$1:$AI$720,MATCH(I$1,'Tillförd energi'!$B$1:$AQ$1,0),FALSE)</f>
        <v>0</v>
      </c>
      <c r="J396" s="121">
        <f>VLOOKUP($B396,'Tillförd energi'!$B$1:$AI$720,MATCH(J$1,'Tillförd energi'!$B$1:$AQ$1,0),FALSE)</f>
        <v>0</v>
      </c>
      <c r="K396" s="121">
        <f>VLOOKUP($B396,'Tillförd energi'!$B$1:$AI$720,MATCH(K$1,'Tillförd energi'!$B$1:$AQ$1,0),FALSE)</f>
        <v>0</v>
      </c>
      <c r="L396" s="121">
        <f>VLOOKUP($B396,'Tillförd energi'!$B$1:$AI$720,MATCH(L$1,'Tillförd energi'!$B$1:$AQ$1,0),FALSE)</f>
        <v>0</v>
      </c>
      <c r="M396" s="121">
        <f>VLOOKUP($B396,'Tillförd energi'!$B$1:$AI$720,MATCH(M$1,'Tillförd energi'!$B$1:$AQ$1,0),FALSE)</f>
        <v>0</v>
      </c>
      <c r="N396" s="121">
        <f>VLOOKUP($B396,'Tillförd energi'!$B$1:$AI$720,MATCH(N$1,'Tillförd energi'!$B$1:$AQ$1,0),FALSE)</f>
        <v>0</v>
      </c>
      <c r="O396" s="121">
        <f>VLOOKUP($B396,'Tillförd energi'!$B$1:$AI$720,MATCH(O$1,'Tillförd energi'!$B$1:$AQ$1,0),FALSE)</f>
        <v>0</v>
      </c>
      <c r="P396" s="121">
        <f>VLOOKUP($B396,'Tillförd energi'!$B$1:$AI$720,MATCH(P$1,'Tillförd energi'!$B$1:$AQ$1,0),FALSE)</f>
        <v>0</v>
      </c>
      <c r="Q396" s="121">
        <f>VLOOKUP($B396,'Tillförd energi'!$B$1:$AI$720,MATCH(Q$1,'Tillförd energi'!$B$1:$AQ$1,0),FALSE)</f>
        <v>0</v>
      </c>
      <c r="R396" s="121">
        <f>VLOOKUP($B396,'Tillförd energi'!$B$1:$AI$720,MATCH(R$1,'Tillförd energi'!$B$1:$AQ$1,0),FALSE)</f>
        <v>2.19</v>
      </c>
      <c r="S396" s="121">
        <f>VLOOKUP($B396,'Tillförd energi'!$B$1:$AI$720,MATCH(S$1,'Tillförd energi'!$B$1:$AQ$1,0),FALSE)</f>
        <v>0</v>
      </c>
      <c r="T396" s="121">
        <f>VLOOKUP($B396,'Tillförd energi'!$B$1:$AI$720,MATCH(T$1,'Tillförd energi'!$B$1:$AQ$1,0),FALSE)</f>
        <v>0</v>
      </c>
      <c r="U396" s="121">
        <f>VLOOKUP($B396,'Tillförd energi'!$B$1:$AI$720,MATCH(U$1,'Tillförd energi'!$B$1:$AQ$1,0),FALSE)</f>
        <v>0</v>
      </c>
      <c r="V396" s="121">
        <f>VLOOKUP($B396,'Tillförd energi'!$B$1:$AI$720,MATCH(V$1,'Tillförd energi'!$B$1:$AQ$1,0),FALSE)</f>
        <v>0</v>
      </c>
      <c r="W396" s="121">
        <f>VLOOKUP($B396,'Tillförd energi'!$B$1:$AI$720,MATCH(W$1,'Tillförd energi'!$B$1:$AQ$1,0),FALSE)</f>
        <v>0</v>
      </c>
      <c r="X396" s="121">
        <f>VLOOKUP($B396,'Tillförd energi'!$B$1:$AI$720,MATCH(X$1,'Tillförd energi'!$B$1:$AQ$1,0),FALSE)</f>
        <v>0</v>
      </c>
      <c r="Y396" s="121">
        <f>VLOOKUP($B396,'Tillförd energi'!$B$1:$AI$720,MATCH(Y$1,'Tillförd energi'!$B$1:$AQ$1,0),FALSE)</f>
        <v>0</v>
      </c>
      <c r="Z396" s="121">
        <f>VLOOKUP($B396,'Tillförd energi'!$B$1:$AI$720,MATCH(Z$1,'Tillförd energi'!$B$1:$AQ$1,0),FALSE)</f>
        <v>0</v>
      </c>
      <c r="AA396" s="121">
        <f>VLOOKUP($B396,'Tillförd energi'!$B$1:$AI$720,MATCH(AA$1,'Tillförd energi'!$B$1:$AQ$1,0),FALSE)</f>
        <v>0</v>
      </c>
      <c r="AB396" s="121">
        <f>VLOOKUP($B396,'Tillförd energi'!$B$1:$AI$720,MATCH(AB$1,'Tillförd energi'!$B$1:$AQ$1,0),FALSE)</f>
        <v>0</v>
      </c>
      <c r="AC396" s="121">
        <f>VLOOKUP($B396,'Tillförd energi'!$B$1:$AI$720,MATCH(AC$1,'Tillförd energi'!$B$1:$AQ$1,0),FALSE)</f>
        <v>0</v>
      </c>
      <c r="AD396" s="121">
        <f>VLOOKUP($B396,'Tillförd energi'!$B$1:$AI$720,MATCH(AD$1,'Tillförd energi'!$B$1:$AQ$1,0),FALSE)</f>
        <v>0</v>
      </c>
      <c r="AE396" s="121">
        <f>VLOOKUP($B396,'Tillförd energi'!$B$1:$AI$720,MATCH(AE$1,'Tillförd energi'!$B$1:$AQ$1,0),FALSE)</f>
        <v>0</v>
      </c>
      <c r="AF396" s="121">
        <f>VLOOKUP($B396,'Tillförd energi'!$B$1:$AI$720,MATCH(AF$1,'Tillförd energi'!$B$1:$AQ$1,0),FALSE)</f>
        <v>4.3400000000000001E-2</v>
      </c>
      <c r="AG396" s="121">
        <f>IFERROR(VLOOKUP(B396,Miljö!$B$1:$AC$550,MATCH("Köpt mängd produktionsspecifik fjärrvärme:",Miljö!$B$1:$AC$1,0),FALSE)/1,0)</f>
        <v>0</v>
      </c>
      <c r="AH396" s="121"/>
      <c r="AI396" s="121">
        <f t="shared" si="154"/>
        <v>2.2484000000000002</v>
      </c>
      <c r="AJ396" s="121">
        <f t="shared" si="155"/>
        <v>2.2484000000000002</v>
      </c>
      <c r="AK396" s="121">
        <f>IF(ISERROR(1/VLOOKUP($B396,Leveranser!$B$1:$S$499,MATCH("såld värme (gwh)",Leveranser!$B$1:$S$1,0),FALSE)),"",VLOOKUP($B396,Leveranser!$B$1:$S$499,MATCH("såld värme (gwh)",Leveranser!$B$1:$S$1,0),FALSE))</f>
        <v>1.661</v>
      </c>
      <c r="AL396" s="121">
        <f>VLOOKUP($B396,Leveranser!$B$1:$Y$499,MATCH("Totalt såld fjärrvärme till andra fjärrvärmeföretag",Leveranser!$B$1:$AA$1,0),FALSE)</f>
        <v>0</v>
      </c>
      <c r="AM396" s="121">
        <f>IF(ISERROR(1/VLOOKUP($B396,Miljö!$B$1:$S$500,MATCH("Såld mängd produktionsspecifik fjärrvärme (GWh)",Miljö!$B$1:$R$1,0),FALSE)),0,VLOOKUP($B396,Miljö!$B$1:$S$500,MATCH("Såld mängd produktionsspecifik fjärrvärme (GWh)",Miljö!$B$1:$R$1,0),FALSE))</f>
        <v>0</v>
      </c>
      <c r="AN396" s="172">
        <f t="shared" si="156"/>
        <v>0.73874755381604695</v>
      </c>
      <c r="AO396" s="121"/>
      <c r="AP396" s="121" t="str">
        <f>IFERROR(VLOOKUP($B396,Miljövärden!$B$2:$H$550,7,FALSE),"Nej, saknas")</f>
        <v>Ja</v>
      </c>
      <c r="AQ396" s="121" t="str">
        <f>IFERROR(VLOOKUP($B396,Miljövärden!$B$2:$H$550,6,FALSE),"Nej, saknas")</f>
        <v>Ja</v>
      </c>
      <c r="AU396">
        <f t="shared" si="157"/>
        <v>4.3400000000000001E-2</v>
      </c>
      <c r="AV396">
        <f t="shared" si="158"/>
        <v>0</v>
      </c>
      <c r="AW396">
        <f t="shared" si="159"/>
        <v>0</v>
      </c>
      <c r="AX396">
        <f t="shared" si="160"/>
        <v>2.19</v>
      </c>
      <c r="AZ396">
        <f t="shared" si="161"/>
        <v>2.19</v>
      </c>
      <c r="BC396">
        <f t="shared" si="162"/>
        <v>1.4999999999999999E-2</v>
      </c>
      <c r="BD396">
        <f t="shared" si="163"/>
        <v>0</v>
      </c>
      <c r="BE396">
        <f t="shared" si="164"/>
        <v>2.19</v>
      </c>
      <c r="BF396">
        <f t="shared" si="165"/>
        <v>0</v>
      </c>
      <c r="BG396">
        <f t="shared" si="166"/>
        <v>4.3400000000000001E-2</v>
      </c>
      <c r="BH396">
        <f>VLOOKUP(B396,Miljö!$B$1:$BX$482,MATCH("Fossilandel för ursprungspecificerad el ()",Miljö!$B$1:$I$1,0),FALSE)</f>
        <v>0</v>
      </c>
      <c r="BI396">
        <f>VLOOKUP(B396,Miljö!$B$1:$BX$482,MATCH("Kärnkraftsandel för ursprungsspecificerad el ()",Miljö!$B$1:$O$1,0),FALSE)</f>
        <v>0</v>
      </c>
      <c r="BJ396">
        <f t="shared" si="167"/>
        <v>0</v>
      </c>
      <c r="BK396" t="str">
        <f>VLOOKUP(B396,Miljö!$B$1:$O$482,MATCH("Fossil andel i procent (%)",Miljö!$B$1:$O$1,0),FALSE)</f>
        <v>ET</v>
      </c>
      <c r="BL396">
        <f t="shared" si="168"/>
        <v>2.2484000000000002</v>
      </c>
      <c r="BO396" s="18">
        <f t="shared" si="169"/>
        <v>6.6714107809998213E-3</v>
      </c>
      <c r="BP396" s="18">
        <f t="shared" si="170"/>
        <v>0</v>
      </c>
      <c r="BQ396" s="18">
        <f t="shared" si="171"/>
        <v>0.99332858921900014</v>
      </c>
      <c r="BR396" s="18">
        <f t="shared" si="172"/>
        <v>0</v>
      </c>
      <c r="BT396" s="27">
        <f t="shared" si="173"/>
        <v>1</v>
      </c>
      <c r="BW396" s="18">
        <f>IF(AP396="ja",VLOOKUP(B396,Miljövärden!$B$2:$H$550,MATCH("Total andel fossilt",Miljövärden!$B$2:$H$2,0),FALSE),"")</f>
        <v>6.67141E-3</v>
      </c>
      <c r="BZ396" s="28">
        <f t="shared" si="174"/>
        <v>-7.8099982123852607E-10</v>
      </c>
      <c r="CA396" s="28">
        <f t="shared" si="175"/>
        <v>0</v>
      </c>
    </row>
    <row r="397" spans="1:79" x14ac:dyDescent="0.25">
      <c r="A397" s="224" t="s">
        <v>725</v>
      </c>
      <c r="B397" s="210" t="s">
        <v>728</v>
      </c>
      <c r="C397" s="121">
        <f>VLOOKUP($B397,'Tillförd energi'!$B$1:$AI$720,MATCH(C$1,'Tillförd energi'!$B$1:$AQ$1,0),FALSE)</f>
        <v>0</v>
      </c>
      <c r="D397" s="121">
        <f>VLOOKUP($B397,'Tillförd energi'!$B$1:$AI$720,MATCH(D$1,'Tillförd energi'!$B$1:$AQ$1,0),FALSE)</f>
        <v>3.8800000000000001E-2</v>
      </c>
      <c r="E397" s="121">
        <f>VLOOKUP($B397,'Tillförd energi'!$B$1:$AI$720,MATCH(E$1,'Tillförd energi'!$B$1:$AQ$1,0),FALSE)</f>
        <v>0</v>
      </c>
      <c r="F397" s="121">
        <f>VLOOKUP($B397,'Tillförd energi'!$B$1:$AI$720,MATCH(F$1,'Tillförd energi'!$B$1:$AQ$1,0),FALSE)</f>
        <v>0</v>
      </c>
      <c r="G397" s="121">
        <f>VLOOKUP($B397,'Tillförd energi'!$B$1:$AI$720,MATCH(G$1,'Tillförd energi'!$B$1:$AQ$1,0),FALSE)</f>
        <v>0</v>
      </c>
      <c r="H397" s="121">
        <f>VLOOKUP($B397,'Tillförd energi'!$B$1:$AI$720,MATCH(H$1,'Tillförd energi'!$B$1:$AQ$1,0),FALSE)</f>
        <v>0</v>
      </c>
      <c r="I397" s="121">
        <f>VLOOKUP($B397,'Tillförd energi'!$B$1:$AI$720,MATCH(I$1,'Tillförd energi'!$B$1:$AQ$1,0),FALSE)</f>
        <v>0</v>
      </c>
      <c r="J397" s="121">
        <f>VLOOKUP($B397,'Tillförd energi'!$B$1:$AI$720,MATCH(J$1,'Tillförd energi'!$B$1:$AQ$1,0),FALSE)</f>
        <v>0</v>
      </c>
      <c r="K397" s="121">
        <f>VLOOKUP($B397,'Tillförd energi'!$B$1:$AI$720,MATCH(K$1,'Tillförd energi'!$B$1:$AQ$1,0),FALSE)</f>
        <v>0</v>
      </c>
      <c r="L397" s="121">
        <f>VLOOKUP($B397,'Tillförd energi'!$B$1:$AI$720,MATCH(L$1,'Tillförd energi'!$B$1:$AQ$1,0),FALSE)</f>
        <v>0</v>
      </c>
      <c r="M397" s="121">
        <f>VLOOKUP($B397,'Tillförd energi'!$B$1:$AI$720,MATCH(M$1,'Tillförd energi'!$B$1:$AQ$1,0),FALSE)</f>
        <v>0</v>
      </c>
      <c r="N397" s="121">
        <f>VLOOKUP($B397,'Tillförd energi'!$B$1:$AI$720,MATCH(N$1,'Tillförd energi'!$B$1:$AQ$1,0),FALSE)</f>
        <v>0</v>
      </c>
      <c r="O397" s="121">
        <f>VLOOKUP($B397,'Tillförd energi'!$B$1:$AI$720,MATCH(O$1,'Tillförd energi'!$B$1:$AQ$1,0),FALSE)</f>
        <v>0</v>
      </c>
      <c r="P397" s="121">
        <f>VLOOKUP($B397,'Tillförd energi'!$B$1:$AI$720,MATCH(P$1,'Tillförd energi'!$B$1:$AQ$1,0),FALSE)</f>
        <v>0</v>
      </c>
      <c r="Q397" s="121">
        <f>VLOOKUP($B397,'Tillförd energi'!$B$1:$AI$720,MATCH(Q$1,'Tillförd energi'!$B$1:$AQ$1,0),FALSE)</f>
        <v>0</v>
      </c>
      <c r="R397" s="121">
        <f>VLOOKUP($B397,'Tillförd energi'!$B$1:$AI$720,MATCH(R$1,'Tillförd energi'!$B$1:$AQ$1,0),FALSE)</f>
        <v>13.19</v>
      </c>
      <c r="S397" s="121">
        <f>VLOOKUP($B397,'Tillförd energi'!$B$1:$AI$720,MATCH(S$1,'Tillförd energi'!$B$1:$AQ$1,0),FALSE)</f>
        <v>0</v>
      </c>
      <c r="T397" s="121">
        <f>VLOOKUP($B397,'Tillförd energi'!$B$1:$AI$720,MATCH(T$1,'Tillförd energi'!$B$1:$AQ$1,0),FALSE)</f>
        <v>0</v>
      </c>
      <c r="U397" s="121">
        <f>VLOOKUP($B397,'Tillförd energi'!$B$1:$AI$720,MATCH(U$1,'Tillförd energi'!$B$1:$AQ$1,0),FALSE)</f>
        <v>0</v>
      </c>
      <c r="V397" s="121">
        <f>VLOOKUP($B397,'Tillförd energi'!$B$1:$AI$720,MATCH(V$1,'Tillförd energi'!$B$1:$AQ$1,0),FALSE)</f>
        <v>0</v>
      </c>
      <c r="W397" s="121">
        <f>VLOOKUP($B397,'Tillförd energi'!$B$1:$AI$720,MATCH(W$1,'Tillförd energi'!$B$1:$AQ$1,0),FALSE)</f>
        <v>0</v>
      </c>
      <c r="X397" s="121">
        <f>VLOOKUP($B397,'Tillförd energi'!$B$1:$AI$720,MATCH(X$1,'Tillförd energi'!$B$1:$AQ$1,0),FALSE)</f>
        <v>0</v>
      </c>
      <c r="Y397" s="121">
        <f>VLOOKUP($B397,'Tillförd energi'!$B$1:$AI$720,MATCH(Y$1,'Tillförd energi'!$B$1:$AQ$1,0),FALSE)</f>
        <v>0</v>
      </c>
      <c r="Z397" s="121">
        <f>VLOOKUP($B397,'Tillförd energi'!$B$1:$AI$720,MATCH(Z$1,'Tillförd energi'!$B$1:$AQ$1,0),FALSE)</f>
        <v>0</v>
      </c>
      <c r="AA397" s="121">
        <f>VLOOKUP($B397,'Tillförd energi'!$B$1:$AI$720,MATCH(AA$1,'Tillförd energi'!$B$1:$AQ$1,0),FALSE)</f>
        <v>0</v>
      </c>
      <c r="AB397" s="121">
        <f>VLOOKUP($B397,'Tillförd energi'!$B$1:$AI$720,MATCH(AB$1,'Tillförd energi'!$B$1:$AQ$1,0),FALSE)</f>
        <v>0</v>
      </c>
      <c r="AC397" s="121">
        <f>VLOOKUP($B397,'Tillförd energi'!$B$1:$AI$720,MATCH(AC$1,'Tillförd energi'!$B$1:$AQ$1,0),FALSE)</f>
        <v>0</v>
      </c>
      <c r="AD397" s="121">
        <f>VLOOKUP($B397,'Tillförd energi'!$B$1:$AI$720,MATCH(AD$1,'Tillförd energi'!$B$1:$AQ$1,0),FALSE)</f>
        <v>0</v>
      </c>
      <c r="AE397" s="121">
        <f>VLOOKUP($B397,'Tillförd energi'!$B$1:$AI$720,MATCH(AE$1,'Tillförd energi'!$B$1:$AQ$1,0),FALSE)</f>
        <v>0</v>
      </c>
      <c r="AF397" s="121">
        <f>VLOOKUP($B397,'Tillförd energi'!$B$1:$AI$720,MATCH(AF$1,'Tillförd energi'!$B$1:$AQ$1,0),FALSE)</f>
        <v>0.16700000000000001</v>
      </c>
      <c r="AG397" s="121">
        <f>IFERROR(VLOOKUP(B397,Miljö!$B$1:$AC$550,MATCH("Köpt mängd produktionsspecifik fjärrvärme:",Miljö!$B$1:$AC$1,0),FALSE)/1,0)</f>
        <v>0</v>
      </c>
      <c r="AH397" s="121"/>
      <c r="AI397" s="121">
        <f t="shared" si="154"/>
        <v>13.395799999999999</v>
      </c>
      <c r="AJ397" s="121">
        <f t="shared" si="155"/>
        <v>13.395799999999999</v>
      </c>
      <c r="AK397" s="121">
        <f>IF(ISERROR(1/VLOOKUP($B397,Leveranser!$B$1:$S$499,MATCH("såld värme (gwh)",Leveranser!$B$1:$S$1,0),FALSE)),"",VLOOKUP($B397,Leveranser!$B$1:$S$499,MATCH("såld värme (gwh)",Leveranser!$B$1:$S$1,0),FALSE))</f>
        <v>8.49</v>
      </c>
      <c r="AL397" s="121">
        <f>VLOOKUP($B397,Leveranser!$B$1:$Y$499,MATCH("Totalt såld fjärrvärme till andra fjärrvärmeföretag",Leveranser!$B$1:$AA$1,0),FALSE)</f>
        <v>0</v>
      </c>
      <c r="AM397" s="121">
        <f>IF(ISERROR(1/VLOOKUP($B397,Miljö!$B$1:$S$500,MATCH("Såld mängd produktionsspecifik fjärrvärme (GWh)",Miljö!$B$1:$R$1,0),FALSE)),0,VLOOKUP($B397,Miljö!$B$1:$S$500,MATCH("Såld mängd produktionsspecifik fjärrvärme (GWh)",Miljö!$B$1:$R$1,0),FALSE))</f>
        <v>0</v>
      </c>
      <c r="AN397" s="172">
        <f t="shared" si="156"/>
        <v>0.63378073724600248</v>
      </c>
      <c r="AO397" s="121"/>
      <c r="AP397" s="121" t="str">
        <f>IFERROR(VLOOKUP($B397,Miljövärden!$B$2:$H$550,7,FALSE),"Nej, saknas")</f>
        <v>Ja</v>
      </c>
      <c r="AQ397" s="121" t="str">
        <f>IFERROR(VLOOKUP($B397,Miljövärden!$B$2:$H$550,6,FALSE),"Nej, saknas")</f>
        <v>Ja</v>
      </c>
      <c r="AU397">
        <f t="shared" si="157"/>
        <v>0.16700000000000001</v>
      </c>
      <c r="AV397">
        <f t="shared" si="158"/>
        <v>0</v>
      </c>
      <c r="AW397">
        <f t="shared" si="159"/>
        <v>0</v>
      </c>
      <c r="AX397">
        <f t="shared" si="160"/>
        <v>13.19</v>
      </c>
      <c r="AZ397">
        <f t="shared" si="161"/>
        <v>13.19</v>
      </c>
      <c r="BC397">
        <f t="shared" si="162"/>
        <v>3.8800000000000001E-2</v>
      </c>
      <c r="BD397">
        <f t="shared" si="163"/>
        <v>0</v>
      </c>
      <c r="BE397">
        <f t="shared" si="164"/>
        <v>13.19</v>
      </c>
      <c r="BF397">
        <f t="shared" si="165"/>
        <v>0</v>
      </c>
      <c r="BG397">
        <f t="shared" si="166"/>
        <v>0.16700000000000001</v>
      </c>
      <c r="BH397">
        <f>VLOOKUP(B397,Miljö!$B$1:$BX$482,MATCH("Fossilandel för ursprungspecificerad el ()",Miljö!$B$1:$I$1,0),FALSE)</f>
        <v>0</v>
      </c>
      <c r="BI397">
        <f>VLOOKUP(B397,Miljö!$B$1:$BX$482,MATCH("Kärnkraftsandel för ursprungsspecificerad el ()",Miljö!$B$1:$O$1,0),FALSE)</f>
        <v>0</v>
      </c>
      <c r="BJ397">
        <f t="shared" si="167"/>
        <v>0</v>
      </c>
      <c r="BK397" t="str">
        <f>VLOOKUP(B397,Miljö!$B$1:$O$482,MATCH("Fossil andel i procent (%)",Miljö!$B$1:$O$1,0),FALSE)</f>
        <v>ET</v>
      </c>
      <c r="BL397">
        <f t="shared" si="168"/>
        <v>13.395799999999999</v>
      </c>
      <c r="BO397" s="18">
        <f t="shared" si="169"/>
        <v>2.8964302243986925E-3</v>
      </c>
      <c r="BP397" s="18">
        <f t="shared" si="170"/>
        <v>0</v>
      </c>
      <c r="BQ397" s="18">
        <f t="shared" si="171"/>
        <v>0.99710356977560133</v>
      </c>
      <c r="BR397" s="18">
        <f t="shared" si="172"/>
        <v>0</v>
      </c>
      <c r="BT397" s="27">
        <f t="shared" si="173"/>
        <v>1</v>
      </c>
      <c r="BW397" s="18">
        <f>IF(AP397="ja",VLOOKUP(B397,Miljövärden!$B$2:$H$550,MATCH("Total andel fossilt",Miljövärden!$B$2:$H$2,0),FALSE),"")</f>
        <v>2.8964300000000002E-3</v>
      </c>
      <c r="BZ397" s="28">
        <f t="shared" si="174"/>
        <v>-2.243986923361474E-10</v>
      </c>
      <c r="CA397" s="28">
        <f t="shared" si="175"/>
        <v>0</v>
      </c>
    </row>
    <row r="398" spans="1:79" x14ac:dyDescent="0.25">
      <c r="A398" s="224" t="s">
        <v>725</v>
      </c>
      <c r="B398" s="210" t="s">
        <v>729</v>
      </c>
      <c r="C398" s="121">
        <f>VLOOKUP($B398,'Tillförd energi'!$B$1:$AI$720,MATCH(C$1,'Tillförd energi'!$B$1:$AQ$1,0),FALSE)</f>
        <v>0</v>
      </c>
      <c r="D398" s="121">
        <f>VLOOKUP($B398,'Tillförd energi'!$B$1:$AI$720,MATCH(D$1,'Tillförd energi'!$B$1:$AQ$1,0),FALSE)</f>
        <v>1.35</v>
      </c>
      <c r="E398" s="121">
        <f>VLOOKUP($B398,'Tillförd energi'!$B$1:$AI$720,MATCH(E$1,'Tillförd energi'!$B$1:$AQ$1,0),FALSE)</f>
        <v>0</v>
      </c>
      <c r="F398" s="121">
        <f>VLOOKUP($B398,'Tillförd energi'!$B$1:$AI$720,MATCH(F$1,'Tillförd energi'!$B$1:$AQ$1,0),FALSE)</f>
        <v>0</v>
      </c>
      <c r="G398" s="121">
        <f>VLOOKUP($B398,'Tillförd energi'!$B$1:$AI$720,MATCH(G$1,'Tillförd energi'!$B$1:$AQ$1,0),FALSE)</f>
        <v>0</v>
      </c>
      <c r="H398" s="121">
        <f>VLOOKUP($B398,'Tillförd energi'!$B$1:$AI$720,MATCH(H$1,'Tillförd energi'!$B$1:$AQ$1,0),FALSE)</f>
        <v>0</v>
      </c>
      <c r="I398" s="121">
        <f>VLOOKUP($B398,'Tillförd energi'!$B$1:$AI$720,MATCH(I$1,'Tillförd energi'!$B$1:$AQ$1,0),FALSE)</f>
        <v>0.38</v>
      </c>
      <c r="J398" s="121">
        <f>VLOOKUP($B398,'Tillförd energi'!$B$1:$AI$720,MATCH(J$1,'Tillförd energi'!$B$1:$AQ$1,0),FALSE)</f>
        <v>0.94941200000000003</v>
      </c>
      <c r="K398" s="121">
        <f>VLOOKUP($B398,'Tillförd energi'!$B$1:$AI$720,MATCH(K$1,'Tillförd energi'!$B$1:$AQ$1,0),FALSE)</f>
        <v>0</v>
      </c>
      <c r="L398" s="121">
        <f>VLOOKUP($B398,'Tillförd energi'!$B$1:$AI$720,MATCH(L$1,'Tillförd energi'!$B$1:$AQ$1,0),FALSE)</f>
        <v>208.399</v>
      </c>
      <c r="M398" s="121">
        <f>VLOOKUP($B398,'Tillförd energi'!$B$1:$AI$720,MATCH(M$1,'Tillförd energi'!$B$1:$AQ$1,0),FALSE)</f>
        <v>0</v>
      </c>
      <c r="N398" s="121">
        <f>VLOOKUP($B398,'Tillförd energi'!$B$1:$AI$720,MATCH(N$1,'Tillförd energi'!$B$1:$AQ$1,0),FALSE)</f>
        <v>0</v>
      </c>
      <c r="O398" s="121">
        <f>VLOOKUP($B398,'Tillförd energi'!$B$1:$AI$720,MATCH(O$1,'Tillförd energi'!$B$1:$AQ$1,0),FALSE)</f>
        <v>0</v>
      </c>
      <c r="P398" s="121">
        <f>VLOOKUP($B398,'Tillförd energi'!$B$1:$AI$720,MATCH(P$1,'Tillförd energi'!$B$1:$AQ$1,0),FALSE)</f>
        <v>11.259</v>
      </c>
      <c r="Q398" s="121">
        <f>VLOOKUP($B398,'Tillförd energi'!$B$1:$AI$720,MATCH(Q$1,'Tillförd energi'!$B$1:$AQ$1,0),FALSE)</f>
        <v>4.0270000000000001</v>
      </c>
      <c r="R398" s="121">
        <f>VLOOKUP($B398,'Tillförd energi'!$B$1:$AI$720,MATCH(R$1,'Tillförd energi'!$B$1:$AQ$1,0),FALSE)</f>
        <v>0</v>
      </c>
      <c r="S398" s="121">
        <f>VLOOKUP($B398,'Tillförd energi'!$B$1:$AI$720,MATCH(S$1,'Tillförd energi'!$B$1:$AQ$1,0),FALSE)</f>
        <v>0</v>
      </c>
      <c r="T398" s="121">
        <f>VLOOKUP($B398,'Tillförd energi'!$B$1:$AI$720,MATCH(T$1,'Tillförd energi'!$B$1:$AQ$1,0),FALSE)</f>
        <v>0</v>
      </c>
      <c r="U398" s="121">
        <f>VLOOKUP($B398,'Tillförd energi'!$B$1:$AI$720,MATCH(U$1,'Tillförd energi'!$B$1:$AQ$1,0),FALSE)</f>
        <v>0</v>
      </c>
      <c r="V398" s="121">
        <f>VLOOKUP($B398,'Tillförd energi'!$B$1:$AI$720,MATCH(V$1,'Tillförd energi'!$B$1:$AQ$1,0),FALSE)</f>
        <v>0</v>
      </c>
      <c r="W398" s="121">
        <f>VLOOKUP($B398,'Tillförd energi'!$B$1:$AI$720,MATCH(W$1,'Tillförd energi'!$B$1:$AQ$1,0),FALSE)</f>
        <v>0</v>
      </c>
      <c r="X398" s="121">
        <f>VLOOKUP($B398,'Tillförd energi'!$B$1:$AI$720,MATCH(X$1,'Tillförd energi'!$B$1:$AQ$1,0),FALSE)</f>
        <v>0</v>
      </c>
      <c r="Y398" s="121">
        <f>VLOOKUP($B398,'Tillförd energi'!$B$1:$AI$720,MATCH(Y$1,'Tillförd energi'!$B$1:$AQ$1,0),FALSE)</f>
        <v>0</v>
      </c>
      <c r="Z398" s="121">
        <f>VLOOKUP($B398,'Tillförd energi'!$B$1:$AI$720,MATCH(Z$1,'Tillförd energi'!$B$1:$AQ$1,0),FALSE)</f>
        <v>0</v>
      </c>
      <c r="AA398" s="121">
        <f>VLOOKUP($B398,'Tillförd energi'!$B$1:$AI$720,MATCH(AA$1,'Tillförd energi'!$B$1:$AQ$1,0),FALSE)</f>
        <v>0</v>
      </c>
      <c r="AB398" s="121">
        <f>VLOOKUP($B398,'Tillförd energi'!$B$1:$AI$720,MATCH(AB$1,'Tillförd energi'!$B$1:$AQ$1,0),FALSE)</f>
        <v>0</v>
      </c>
      <c r="AC398" s="121">
        <f>VLOOKUP($B398,'Tillförd energi'!$B$1:$AI$720,MATCH(AC$1,'Tillförd energi'!$B$1:$AQ$1,0),FALSE)</f>
        <v>0</v>
      </c>
      <c r="AD398" s="121">
        <f>VLOOKUP($B398,'Tillförd energi'!$B$1:$AI$720,MATCH(AD$1,'Tillförd energi'!$B$1:$AQ$1,0),FALSE)</f>
        <v>0.318</v>
      </c>
      <c r="AE398" s="121">
        <f>VLOOKUP($B398,'Tillförd energi'!$B$1:$AI$720,MATCH(AE$1,'Tillförd energi'!$B$1:$AQ$1,0),FALSE)</f>
        <v>0</v>
      </c>
      <c r="AF398" s="121">
        <f>VLOOKUP($B398,'Tillförd energi'!$B$1:$AI$720,MATCH(AF$1,'Tillförd energi'!$B$1:$AQ$1,0),FALSE)</f>
        <v>8.6820000000000004</v>
      </c>
      <c r="AG398" s="121">
        <f>IFERROR(VLOOKUP(B398,Miljö!$B$1:$AC$550,MATCH("Köpt mängd produktionsspecifik fjärrvärme:",Miljö!$B$1:$AC$1,0),FALSE)/1,0)</f>
        <v>0</v>
      </c>
      <c r="AH398" s="121"/>
      <c r="AI398" s="121">
        <f t="shared" si="154"/>
        <v>235.36441200000002</v>
      </c>
      <c r="AJ398" s="121">
        <f t="shared" si="155"/>
        <v>235.36441200000002</v>
      </c>
      <c r="AK398" s="121">
        <f>IF(ISERROR(1/VLOOKUP($B398,Leveranser!$B$1:$S$499,MATCH("såld värme (gwh)",Leveranser!$B$1:$S$1,0),FALSE)),"",VLOOKUP($B398,Leveranser!$B$1:$S$499,MATCH("såld värme (gwh)",Leveranser!$B$1:$S$1,0),FALSE))</f>
        <v>171.738</v>
      </c>
      <c r="AL398" s="121">
        <f>VLOOKUP($B398,Leveranser!$B$1:$Y$499,MATCH("Totalt såld fjärrvärme till andra fjärrvärmeföretag",Leveranser!$B$1:$AA$1,0),FALSE)</f>
        <v>0</v>
      </c>
      <c r="AM398" s="121">
        <f>IF(ISERROR(1/VLOOKUP($B398,Miljö!$B$1:$S$500,MATCH("Såld mängd produktionsspecifik fjärrvärme (GWh)",Miljö!$B$1:$R$1,0),FALSE)),0,VLOOKUP($B398,Miljö!$B$1:$S$500,MATCH("Såld mängd produktionsspecifik fjärrvärme (GWh)",Miljö!$B$1:$R$1,0),FALSE))</f>
        <v>0</v>
      </c>
      <c r="AN398" s="172">
        <f t="shared" si="156"/>
        <v>0.7296685108027291</v>
      </c>
      <c r="AO398" s="121"/>
      <c r="AP398" s="121" t="str">
        <f>IFERROR(VLOOKUP($B398,Miljövärden!$B$2:$H$550,7,FALSE),"Nej, saknas")</f>
        <v>Ja</v>
      </c>
      <c r="AQ398" s="121" t="str">
        <f>IFERROR(VLOOKUP($B398,Miljövärden!$B$2:$H$550,6,FALSE),"Nej, saknas")</f>
        <v>Ja</v>
      </c>
      <c r="AU398">
        <f t="shared" si="157"/>
        <v>8.6820000000000004</v>
      </c>
      <c r="AV398">
        <f t="shared" si="158"/>
        <v>0</v>
      </c>
      <c r="AW398">
        <f t="shared" si="159"/>
        <v>15.286000000000001</v>
      </c>
      <c r="AX398">
        <f t="shared" si="160"/>
        <v>0</v>
      </c>
      <c r="AZ398">
        <f t="shared" si="161"/>
        <v>223.685</v>
      </c>
      <c r="BC398">
        <f t="shared" si="162"/>
        <v>1.35</v>
      </c>
      <c r="BD398">
        <f t="shared" si="163"/>
        <v>0</v>
      </c>
      <c r="BE398">
        <f t="shared" si="164"/>
        <v>15.286000000000001</v>
      </c>
      <c r="BF398">
        <f t="shared" si="165"/>
        <v>210.046412</v>
      </c>
      <c r="BG398">
        <f t="shared" si="166"/>
        <v>8.6820000000000004</v>
      </c>
      <c r="BH398">
        <f>VLOOKUP(B398,Miljö!$B$1:$BX$482,MATCH("Fossilandel för ursprungspecificerad el ()",Miljö!$B$1:$I$1,0),FALSE)</f>
        <v>0</v>
      </c>
      <c r="BI398">
        <f>VLOOKUP(B398,Miljö!$B$1:$BX$482,MATCH("Kärnkraftsandel för ursprungsspecificerad el ()",Miljö!$B$1:$O$1,0),FALSE)</f>
        <v>0</v>
      </c>
      <c r="BJ398">
        <f t="shared" si="167"/>
        <v>0</v>
      </c>
      <c r="BK398" t="str">
        <f>VLOOKUP(B398,Miljö!$B$1:$O$482,MATCH("Fossil andel i procent (%)",Miljö!$B$1:$O$1,0),FALSE)</f>
        <v>ET</v>
      </c>
      <c r="BL398">
        <f t="shared" si="168"/>
        <v>235.36441199999999</v>
      </c>
      <c r="BO398" s="18">
        <f t="shared" si="169"/>
        <v>5.7357864280688283E-3</v>
      </c>
      <c r="BP398" s="18">
        <f t="shared" si="170"/>
        <v>0</v>
      </c>
      <c r="BQ398" s="18">
        <f t="shared" si="171"/>
        <v>0.10183357711700274</v>
      </c>
      <c r="BR398" s="18">
        <f t="shared" si="172"/>
        <v>0.89243063645492848</v>
      </c>
      <c r="BT398" s="27">
        <f t="shared" si="173"/>
        <v>1</v>
      </c>
      <c r="BW398" s="18">
        <f>IF(AP398="ja",VLOOKUP(B398,Miljövärden!$B$2:$H$550,MATCH("Total andel fossilt",Miljövärden!$B$2:$H$2,0),FALSE),"")</f>
        <v>5.7358000000000001E-3</v>
      </c>
      <c r="BZ398" s="28">
        <f t="shared" si="174"/>
        <v>1.3571931171789398E-8</v>
      </c>
      <c r="CA398" s="28">
        <f t="shared" si="175"/>
        <v>0</v>
      </c>
    </row>
    <row r="399" spans="1:79" x14ac:dyDescent="0.25">
      <c r="A399" s="224" t="s">
        <v>730</v>
      </c>
      <c r="B399" s="210" t="s">
        <v>731</v>
      </c>
      <c r="C399" s="121">
        <f>VLOOKUP($B399,'Tillförd energi'!$B$1:$AI$720,MATCH(C$1,'Tillförd energi'!$B$1:$AQ$1,0),FALSE)</f>
        <v>0</v>
      </c>
      <c r="D399" s="121">
        <f>VLOOKUP($B399,'Tillförd energi'!$B$1:$AI$720,MATCH(D$1,'Tillförd energi'!$B$1:$AQ$1,0),FALSE)</f>
        <v>0.1</v>
      </c>
      <c r="E399" s="121">
        <f>VLOOKUP($B399,'Tillförd energi'!$B$1:$AI$720,MATCH(E$1,'Tillförd energi'!$B$1:$AQ$1,0),FALSE)</f>
        <v>0</v>
      </c>
      <c r="F399" s="121">
        <f>VLOOKUP($B399,'Tillförd energi'!$B$1:$AI$720,MATCH(F$1,'Tillförd energi'!$B$1:$AQ$1,0),FALSE)</f>
        <v>0</v>
      </c>
      <c r="G399" s="121">
        <f>VLOOKUP($B399,'Tillförd energi'!$B$1:$AI$720,MATCH(G$1,'Tillförd energi'!$B$1:$AQ$1,0),FALSE)</f>
        <v>0</v>
      </c>
      <c r="H399" s="121">
        <f>VLOOKUP($B399,'Tillförd energi'!$B$1:$AI$720,MATCH(H$1,'Tillförd energi'!$B$1:$AQ$1,0),FALSE)</f>
        <v>0</v>
      </c>
      <c r="I399" s="121">
        <f>VLOOKUP($B399,'Tillförd energi'!$B$1:$AI$720,MATCH(I$1,'Tillförd energi'!$B$1:$AQ$1,0),FALSE)</f>
        <v>0</v>
      </c>
      <c r="J399" s="121">
        <f>VLOOKUP($B399,'Tillförd energi'!$B$1:$AI$720,MATCH(J$1,'Tillförd energi'!$B$1:$AQ$1,0),FALSE)</f>
        <v>0</v>
      </c>
      <c r="K399" s="121">
        <f>VLOOKUP($B399,'Tillförd energi'!$B$1:$AI$720,MATCH(K$1,'Tillförd energi'!$B$1:$AQ$1,0),FALSE)</f>
        <v>0</v>
      </c>
      <c r="L399" s="121">
        <f>VLOOKUP($B399,'Tillförd energi'!$B$1:$AI$720,MATCH(L$1,'Tillförd energi'!$B$1:$AQ$1,0),FALSE)</f>
        <v>0</v>
      </c>
      <c r="M399" s="121">
        <f>VLOOKUP($B399,'Tillförd energi'!$B$1:$AI$720,MATCH(M$1,'Tillförd energi'!$B$1:$AQ$1,0),FALSE)</f>
        <v>0</v>
      </c>
      <c r="N399" s="121">
        <f>VLOOKUP($B399,'Tillförd energi'!$B$1:$AI$720,MATCH(N$1,'Tillförd energi'!$B$1:$AQ$1,0),FALSE)</f>
        <v>33.719000000000001</v>
      </c>
      <c r="O399" s="121">
        <f>VLOOKUP($B399,'Tillförd energi'!$B$1:$AI$720,MATCH(O$1,'Tillförd energi'!$B$1:$AQ$1,0),FALSE)</f>
        <v>0</v>
      </c>
      <c r="P399" s="121">
        <f>VLOOKUP($B399,'Tillförd energi'!$B$1:$AI$720,MATCH(P$1,'Tillförd energi'!$B$1:$AQ$1,0),FALSE)</f>
        <v>0</v>
      </c>
      <c r="Q399" s="121">
        <f>VLOOKUP($B399,'Tillförd energi'!$B$1:$AI$720,MATCH(Q$1,'Tillförd energi'!$B$1:$AQ$1,0),FALSE)</f>
        <v>0</v>
      </c>
      <c r="R399" s="121">
        <f>VLOOKUP($B399,'Tillförd energi'!$B$1:$AI$720,MATCH(R$1,'Tillförd energi'!$B$1:$AQ$1,0),FALSE)</f>
        <v>0</v>
      </c>
      <c r="S399" s="121">
        <f>VLOOKUP($B399,'Tillförd energi'!$B$1:$AI$720,MATCH(S$1,'Tillförd energi'!$B$1:$AQ$1,0),FALSE)</f>
        <v>0</v>
      </c>
      <c r="T399" s="121">
        <f>VLOOKUP($B399,'Tillförd energi'!$B$1:$AI$720,MATCH(T$1,'Tillförd energi'!$B$1:$AQ$1,0),FALSE)</f>
        <v>0</v>
      </c>
      <c r="U399" s="121">
        <f>VLOOKUP($B399,'Tillförd energi'!$B$1:$AI$720,MATCH(U$1,'Tillförd energi'!$B$1:$AQ$1,0),FALSE)</f>
        <v>0</v>
      </c>
      <c r="V399" s="121">
        <f>VLOOKUP($B399,'Tillförd energi'!$B$1:$AI$720,MATCH(V$1,'Tillförd energi'!$B$1:$AQ$1,0),FALSE)</f>
        <v>0</v>
      </c>
      <c r="W399" s="121">
        <f>VLOOKUP($B399,'Tillförd energi'!$B$1:$AI$720,MATCH(W$1,'Tillförd energi'!$B$1:$AQ$1,0),FALSE)</f>
        <v>0</v>
      </c>
      <c r="X399" s="121">
        <f>VLOOKUP($B399,'Tillförd energi'!$B$1:$AI$720,MATCH(X$1,'Tillförd energi'!$B$1:$AQ$1,0),FALSE)</f>
        <v>0</v>
      </c>
      <c r="Y399" s="121">
        <f>VLOOKUP($B399,'Tillförd energi'!$B$1:$AI$720,MATCH(Y$1,'Tillförd energi'!$B$1:$AQ$1,0),FALSE)</f>
        <v>0</v>
      </c>
      <c r="Z399" s="121">
        <f>VLOOKUP($B399,'Tillförd energi'!$B$1:$AI$720,MATCH(Z$1,'Tillförd energi'!$B$1:$AQ$1,0),FALSE)</f>
        <v>0</v>
      </c>
      <c r="AA399" s="121">
        <f>VLOOKUP($B399,'Tillförd energi'!$B$1:$AI$720,MATCH(AA$1,'Tillförd energi'!$B$1:$AQ$1,0),FALSE)</f>
        <v>0</v>
      </c>
      <c r="AB399" s="121">
        <f>VLOOKUP($B399,'Tillförd energi'!$B$1:$AI$720,MATCH(AB$1,'Tillförd energi'!$B$1:$AQ$1,0),FALSE)</f>
        <v>0</v>
      </c>
      <c r="AC399" s="121">
        <f>VLOOKUP($B399,'Tillförd energi'!$B$1:$AI$720,MATCH(AC$1,'Tillförd energi'!$B$1:$AQ$1,0),FALSE)</f>
        <v>4.0999999999999996</v>
      </c>
      <c r="AD399" s="121">
        <f>VLOOKUP($B399,'Tillförd energi'!$B$1:$AI$720,MATCH(AD$1,'Tillförd energi'!$B$1:$AQ$1,0),FALSE)</f>
        <v>0</v>
      </c>
      <c r="AE399" s="121">
        <f>VLOOKUP($B399,'Tillförd energi'!$B$1:$AI$720,MATCH(AE$1,'Tillförd energi'!$B$1:$AQ$1,0),FALSE)</f>
        <v>0</v>
      </c>
      <c r="AF399" s="121">
        <f>VLOOKUP($B399,'Tillförd energi'!$B$1:$AI$720,MATCH(AF$1,'Tillförd energi'!$B$1:$AQ$1,0),FALSE)</f>
        <v>0.81599999999999995</v>
      </c>
      <c r="AG399" s="121">
        <f>IFERROR(VLOOKUP(B399,Miljö!$B$1:$AC$550,MATCH("Köpt mängd produktionsspecifik fjärrvärme:",Miljö!$B$1:$AC$1,0),FALSE)/1,0)</f>
        <v>0</v>
      </c>
      <c r="AH399" s="121"/>
      <c r="AI399" s="121">
        <f t="shared" si="154"/>
        <v>38.735000000000007</v>
      </c>
      <c r="AJ399" s="121">
        <f t="shared" si="155"/>
        <v>38.735000000000007</v>
      </c>
      <c r="AK399" s="121">
        <f>IF(ISERROR(1/VLOOKUP($B399,Leveranser!$B$1:$S$499,MATCH("såld värme (gwh)",Leveranser!$B$1:$S$1,0),FALSE)),"",VLOOKUP($B399,Leveranser!$B$1:$S$499,MATCH("såld värme (gwh)",Leveranser!$B$1:$S$1,0),FALSE))</f>
        <v>27.2</v>
      </c>
      <c r="AL399" s="121">
        <f>VLOOKUP($B399,Leveranser!$B$1:$Y$499,MATCH("Totalt såld fjärrvärme till andra fjärrvärmeföretag",Leveranser!$B$1:$AA$1,0),FALSE)</f>
        <v>0</v>
      </c>
      <c r="AM399" s="121">
        <f>IF(ISERROR(1/VLOOKUP($B399,Miljö!$B$1:$S$500,MATCH("Såld mängd produktionsspecifik fjärrvärme (GWh)",Miljö!$B$1:$R$1,0),FALSE)),0,VLOOKUP($B399,Miljö!$B$1:$S$500,MATCH("Såld mängd produktionsspecifik fjärrvärme (GWh)",Miljö!$B$1:$R$1,0),FALSE))</f>
        <v>0</v>
      </c>
      <c r="AN399" s="172">
        <f t="shared" si="156"/>
        <v>0.7022073060539562</v>
      </c>
      <c r="AO399" s="121"/>
      <c r="AP399" s="121" t="str">
        <f>IFERROR(VLOOKUP($B399,Miljövärden!$B$2:$H$550,7,FALSE),"Nej, saknas")</f>
        <v>Ja</v>
      </c>
      <c r="AQ399" s="121" t="str">
        <f>IFERROR(VLOOKUP($B399,Miljövärden!$B$2:$H$550,6,FALSE),"Nej, saknas")</f>
        <v>Ja</v>
      </c>
      <c r="AU399">
        <f t="shared" si="157"/>
        <v>0.81599999999999995</v>
      </c>
      <c r="AV399">
        <f t="shared" si="158"/>
        <v>0</v>
      </c>
      <c r="AW399">
        <f t="shared" si="159"/>
        <v>33.719000000000001</v>
      </c>
      <c r="AX399">
        <f t="shared" si="160"/>
        <v>0</v>
      </c>
      <c r="AZ399">
        <f t="shared" si="161"/>
        <v>33.719000000000001</v>
      </c>
      <c r="BC399">
        <f t="shared" si="162"/>
        <v>0.1</v>
      </c>
      <c r="BD399">
        <f t="shared" si="163"/>
        <v>0</v>
      </c>
      <c r="BE399">
        <f t="shared" si="164"/>
        <v>33.719000000000001</v>
      </c>
      <c r="BF399">
        <f t="shared" si="165"/>
        <v>4.0999999999999996</v>
      </c>
      <c r="BG399">
        <f t="shared" si="166"/>
        <v>0.81599999999999995</v>
      </c>
      <c r="BH399">
        <f>VLOOKUP(B399,Miljö!$B$1:$BX$482,MATCH("Fossilandel för ursprungspecificerad el ()",Miljö!$B$1:$I$1,0),FALSE)</f>
        <v>0.43</v>
      </c>
      <c r="BI399">
        <f>VLOOKUP(B399,Miljö!$B$1:$BX$482,MATCH("Kärnkraftsandel för ursprungsspecificerad el ()",Miljö!$B$1:$O$1,0),FALSE)</f>
        <v>0.40550000000000003</v>
      </c>
      <c r="BJ399">
        <f t="shared" si="167"/>
        <v>0</v>
      </c>
      <c r="BK399" t="str">
        <f>VLOOKUP(B399,Miljö!$B$1:$O$482,MATCH("Fossil andel i procent (%)",Miljö!$B$1:$O$1,0),FALSE)</f>
        <v>ET</v>
      </c>
      <c r="BL399">
        <f t="shared" si="168"/>
        <v>38.735000000000007</v>
      </c>
      <c r="BO399" s="18">
        <f t="shared" si="169"/>
        <v>1.1640118755647345E-2</v>
      </c>
      <c r="BP399" s="18">
        <f t="shared" si="170"/>
        <v>8.5423518781463786E-3</v>
      </c>
      <c r="BQ399" s="18">
        <f t="shared" si="171"/>
        <v>0.8739701045566024</v>
      </c>
      <c r="BR399" s="18">
        <f t="shared" si="172"/>
        <v>0.10584742480960369</v>
      </c>
      <c r="BT399" s="27">
        <f t="shared" si="173"/>
        <v>0.99999999999999978</v>
      </c>
      <c r="BW399" s="18">
        <f>IF(AP399="ja",VLOOKUP(B399,Miljövärden!$B$2:$H$550,MATCH("Total andel fossilt",Miljövärden!$B$2:$H$2,0),FALSE),"")</f>
        <v>1.16401E-2</v>
      </c>
      <c r="BZ399" s="28">
        <f t="shared" si="174"/>
        <v>-1.8755647344242954E-8</v>
      </c>
      <c r="CA399" s="28">
        <f t="shared" si="175"/>
        <v>0</v>
      </c>
    </row>
    <row r="400" spans="1:79" x14ac:dyDescent="0.25">
      <c r="A400" s="224" t="s">
        <v>732</v>
      </c>
      <c r="B400" s="210" t="s">
        <v>733</v>
      </c>
      <c r="C400" s="121">
        <f>VLOOKUP($B400,'Tillförd energi'!$B$1:$AI$720,MATCH(C$1,'Tillförd energi'!$B$1:$AQ$1,0),FALSE)</f>
        <v>0</v>
      </c>
      <c r="D400" s="121">
        <f>VLOOKUP($B400,'Tillförd energi'!$B$1:$AI$720,MATCH(D$1,'Tillförd energi'!$B$1:$AQ$1,0),FALSE)</f>
        <v>3</v>
      </c>
      <c r="E400" s="121">
        <f>VLOOKUP($B400,'Tillförd energi'!$B$1:$AI$720,MATCH(E$1,'Tillförd energi'!$B$1:$AQ$1,0),FALSE)</f>
        <v>0</v>
      </c>
      <c r="F400" s="121">
        <f>VLOOKUP($B400,'Tillförd energi'!$B$1:$AI$720,MATCH(F$1,'Tillförd energi'!$B$1:$AQ$1,0),FALSE)</f>
        <v>0</v>
      </c>
      <c r="G400" s="121">
        <f>VLOOKUP($B400,'Tillförd energi'!$B$1:$AI$720,MATCH(G$1,'Tillförd energi'!$B$1:$AQ$1,0),FALSE)</f>
        <v>0</v>
      </c>
      <c r="H400" s="121">
        <f>VLOOKUP($B400,'Tillförd energi'!$B$1:$AI$720,MATCH(H$1,'Tillförd energi'!$B$1:$AQ$1,0),FALSE)</f>
        <v>0</v>
      </c>
      <c r="I400" s="121">
        <f>VLOOKUP($B400,'Tillförd energi'!$B$1:$AI$720,MATCH(I$1,'Tillförd energi'!$B$1:$AQ$1,0),FALSE)</f>
        <v>0</v>
      </c>
      <c r="J400" s="121">
        <f>VLOOKUP($B400,'Tillförd energi'!$B$1:$AI$720,MATCH(J$1,'Tillförd energi'!$B$1:$AQ$1,0),FALSE)</f>
        <v>0</v>
      </c>
      <c r="K400" s="121">
        <f>VLOOKUP($B400,'Tillförd energi'!$B$1:$AI$720,MATCH(K$1,'Tillförd energi'!$B$1:$AQ$1,0),FALSE)</f>
        <v>0</v>
      </c>
      <c r="L400" s="121">
        <f>VLOOKUP($B400,'Tillförd energi'!$B$1:$AI$720,MATCH(L$1,'Tillförd energi'!$B$1:$AQ$1,0),FALSE)</f>
        <v>0</v>
      </c>
      <c r="M400" s="121">
        <f>VLOOKUP($B400,'Tillförd energi'!$B$1:$AI$720,MATCH(M$1,'Tillförd energi'!$B$1:$AQ$1,0),FALSE)</f>
        <v>0</v>
      </c>
      <c r="N400" s="121">
        <f>VLOOKUP($B400,'Tillförd energi'!$B$1:$AI$720,MATCH(N$1,'Tillförd energi'!$B$1:$AQ$1,0),FALSE)</f>
        <v>0</v>
      </c>
      <c r="O400" s="121">
        <f>VLOOKUP($B400,'Tillförd energi'!$B$1:$AI$720,MATCH(O$1,'Tillförd energi'!$B$1:$AQ$1,0),FALSE)</f>
        <v>0</v>
      </c>
      <c r="P400" s="121">
        <f>VLOOKUP($B400,'Tillförd energi'!$B$1:$AI$720,MATCH(P$1,'Tillförd energi'!$B$1:$AQ$1,0),FALSE)</f>
        <v>0</v>
      </c>
      <c r="Q400" s="121">
        <f>VLOOKUP($B400,'Tillförd energi'!$B$1:$AI$720,MATCH(Q$1,'Tillförd energi'!$B$1:$AQ$1,0),FALSE)</f>
        <v>53.4</v>
      </c>
      <c r="R400" s="121">
        <f>VLOOKUP($B400,'Tillförd energi'!$B$1:$AI$720,MATCH(R$1,'Tillförd energi'!$B$1:$AQ$1,0),FALSE)</f>
        <v>0</v>
      </c>
      <c r="S400" s="121">
        <f>VLOOKUP($B400,'Tillförd energi'!$B$1:$AI$720,MATCH(S$1,'Tillförd energi'!$B$1:$AQ$1,0),FALSE)</f>
        <v>0</v>
      </c>
      <c r="T400" s="121">
        <f>VLOOKUP($B400,'Tillförd energi'!$B$1:$AI$720,MATCH(T$1,'Tillförd energi'!$B$1:$AQ$1,0),FALSE)</f>
        <v>0</v>
      </c>
      <c r="U400" s="121">
        <f>VLOOKUP($B400,'Tillförd energi'!$B$1:$AI$720,MATCH(U$1,'Tillförd energi'!$B$1:$AQ$1,0),FALSE)</f>
        <v>0</v>
      </c>
      <c r="V400" s="121">
        <f>VLOOKUP($B400,'Tillförd energi'!$B$1:$AI$720,MATCH(V$1,'Tillförd energi'!$B$1:$AQ$1,0),FALSE)</f>
        <v>0</v>
      </c>
      <c r="W400" s="121">
        <f>VLOOKUP($B400,'Tillförd energi'!$B$1:$AI$720,MATCH(W$1,'Tillförd energi'!$B$1:$AQ$1,0),FALSE)</f>
        <v>0</v>
      </c>
      <c r="X400" s="121">
        <f>VLOOKUP($B400,'Tillförd energi'!$B$1:$AI$720,MATCH(X$1,'Tillförd energi'!$B$1:$AQ$1,0),FALSE)</f>
        <v>0</v>
      </c>
      <c r="Y400" s="121">
        <f>VLOOKUP($B400,'Tillförd energi'!$B$1:$AI$720,MATCH(Y$1,'Tillförd energi'!$B$1:$AQ$1,0),FALSE)</f>
        <v>0</v>
      </c>
      <c r="Z400" s="121">
        <f>VLOOKUP($B400,'Tillförd energi'!$B$1:$AI$720,MATCH(Z$1,'Tillförd energi'!$B$1:$AQ$1,0),FALSE)</f>
        <v>0</v>
      </c>
      <c r="AA400" s="121">
        <f>VLOOKUP($B400,'Tillförd energi'!$B$1:$AI$720,MATCH(AA$1,'Tillförd energi'!$B$1:$AQ$1,0),FALSE)</f>
        <v>0</v>
      </c>
      <c r="AB400" s="121">
        <f>VLOOKUP($B400,'Tillförd energi'!$B$1:$AI$720,MATCH(AB$1,'Tillförd energi'!$B$1:$AQ$1,0),FALSE)</f>
        <v>0</v>
      </c>
      <c r="AC400" s="121">
        <f>VLOOKUP($B400,'Tillförd energi'!$B$1:$AI$720,MATCH(AC$1,'Tillförd energi'!$B$1:$AQ$1,0),FALSE)</f>
        <v>0</v>
      </c>
      <c r="AD400" s="121">
        <f>VLOOKUP($B400,'Tillförd energi'!$B$1:$AI$720,MATCH(AD$1,'Tillförd energi'!$B$1:$AQ$1,0),FALSE)</f>
        <v>0</v>
      </c>
      <c r="AE400" s="121">
        <f>VLOOKUP($B400,'Tillförd energi'!$B$1:$AI$720,MATCH(AE$1,'Tillförd energi'!$B$1:$AQ$1,0),FALSE)</f>
        <v>0</v>
      </c>
      <c r="AF400" s="121">
        <f>VLOOKUP($B400,'Tillförd energi'!$B$1:$AI$720,MATCH(AF$1,'Tillförd energi'!$B$1:$AQ$1,0),FALSE)</f>
        <v>2</v>
      </c>
      <c r="AG400" s="121">
        <f>IFERROR(VLOOKUP(B400,Miljö!$B$1:$AC$550,MATCH("Köpt mängd produktionsspecifik fjärrvärme:",Miljö!$B$1:$AC$1,0),FALSE)/1,0)</f>
        <v>0</v>
      </c>
      <c r="AH400" s="121"/>
      <c r="AI400" s="121">
        <f t="shared" si="154"/>
        <v>58.4</v>
      </c>
      <c r="AJ400" s="121">
        <f t="shared" si="155"/>
        <v>58.4</v>
      </c>
      <c r="AK400" s="121">
        <f>IF(ISERROR(1/VLOOKUP($B400,Leveranser!$B$1:$S$499,MATCH("såld värme (gwh)",Leveranser!$B$1:$S$1,0),FALSE)),"",VLOOKUP($B400,Leveranser!$B$1:$S$499,MATCH("såld värme (gwh)",Leveranser!$B$1:$S$1,0),FALSE))</f>
        <v>47.3</v>
      </c>
      <c r="AL400" s="121">
        <f>VLOOKUP($B400,Leveranser!$B$1:$Y$499,MATCH("Totalt såld fjärrvärme till andra fjärrvärmeföretag",Leveranser!$B$1:$AA$1,0),FALSE)</f>
        <v>0</v>
      </c>
      <c r="AM400" s="121">
        <f>IF(ISERROR(1/VLOOKUP($B400,Miljö!$B$1:$S$500,MATCH("Såld mängd produktionsspecifik fjärrvärme (GWh)",Miljö!$B$1:$R$1,0),FALSE)),0,VLOOKUP($B400,Miljö!$B$1:$S$500,MATCH("Såld mängd produktionsspecifik fjärrvärme (GWh)",Miljö!$B$1:$R$1,0),FALSE))</f>
        <v>0</v>
      </c>
      <c r="AN400" s="172">
        <f t="shared" si="156"/>
        <v>0.80993150684931503</v>
      </c>
      <c r="AO400" s="121"/>
      <c r="AP400" s="121" t="str">
        <f>IFERROR(VLOOKUP($B400,Miljövärden!$B$2:$H$550,7,FALSE),"Nej, saknas")</f>
        <v>Ja</v>
      </c>
      <c r="AQ400" s="121" t="str">
        <f>IFERROR(VLOOKUP($B400,Miljövärden!$B$2:$H$550,6,FALSE),"Nej, saknas")</f>
        <v>Ja</v>
      </c>
      <c r="AU400">
        <f t="shared" si="157"/>
        <v>2</v>
      </c>
      <c r="AV400">
        <f t="shared" si="158"/>
        <v>0</v>
      </c>
      <c r="AW400">
        <f t="shared" si="159"/>
        <v>53.4</v>
      </c>
      <c r="AX400">
        <f t="shared" si="160"/>
        <v>0</v>
      </c>
      <c r="AZ400">
        <f t="shared" si="161"/>
        <v>53.4</v>
      </c>
      <c r="BC400">
        <f t="shared" si="162"/>
        <v>3</v>
      </c>
      <c r="BD400">
        <f t="shared" si="163"/>
        <v>0</v>
      </c>
      <c r="BE400">
        <f t="shared" si="164"/>
        <v>53.4</v>
      </c>
      <c r="BF400">
        <f t="shared" si="165"/>
        <v>0</v>
      </c>
      <c r="BG400">
        <f t="shared" si="166"/>
        <v>2</v>
      </c>
      <c r="BH400">
        <f>VLOOKUP(B400,Miljö!$B$1:$BX$482,MATCH("Fossilandel för ursprungspecificerad el ()",Miljö!$B$1:$I$1,0),FALSE)</f>
        <v>0.43</v>
      </c>
      <c r="BI400">
        <f>VLOOKUP(B400,Miljö!$B$1:$BX$482,MATCH("Kärnkraftsandel för ursprungsspecificerad el ()",Miljö!$B$1:$O$1,0),FALSE)</f>
        <v>0.40550000000000003</v>
      </c>
      <c r="BJ400">
        <f t="shared" si="167"/>
        <v>0</v>
      </c>
      <c r="BK400" t="str">
        <f>VLOOKUP(B400,Miljö!$B$1:$O$482,MATCH("Fossil andel i procent (%)",Miljö!$B$1:$O$1,0),FALSE)</f>
        <v>ET</v>
      </c>
      <c r="BL400">
        <f t="shared" si="168"/>
        <v>58.4</v>
      </c>
      <c r="BO400" s="18">
        <f t="shared" si="169"/>
        <v>6.609589041095891E-2</v>
      </c>
      <c r="BP400" s="18">
        <f t="shared" si="170"/>
        <v>1.3886986301369864E-2</v>
      </c>
      <c r="BQ400" s="18">
        <f t="shared" si="171"/>
        <v>0.92001712328767127</v>
      </c>
      <c r="BR400" s="18">
        <f t="shared" si="172"/>
        <v>0</v>
      </c>
      <c r="BT400" s="27">
        <f t="shared" si="173"/>
        <v>1</v>
      </c>
      <c r="BW400" s="18">
        <f>IF(AP400="ja",VLOOKUP(B400,Miljövärden!$B$2:$H$550,MATCH("Total andel fossilt",Miljövärden!$B$2:$H$2,0),FALSE),"")</f>
        <v>6.6095899999999999E-2</v>
      </c>
      <c r="BZ400" s="28">
        <f t="shared" si="174"/>
        <v>9.5890410889420963E-9</v>
      </c>
      <c r="CA400" s="28">
        <f t="shared" si="175"/>
        <v>0</v>
      </c>
    </row>
    <row r="401" spans="1:79" x14ac:dyDescent="0.25">
      <c r="A401" s="224" t="s">
        <v>12</v>
      </c>
      <c r="B401" s="210" t="s">
        <v>14</v>
      </c>
      <c r="C401" s="121">
        <f>VLOOKUP($B401,'Tillförd energi'!$B$1:$AI$720,MATCH(C$1,'Tillförd energi'!$B$1:$AQ$1,0),FALSE)</f>
        <v>0</v>
      </c>
      <c r="D401" s="121">
        <f>VLOOKUP($B401,'Tillförd energi'!$B$1:$AI$720,MATCH(D$1,'Tillförd energi'!$B$1:$AQ$1,0),FALSE)</f>
        <v>0</v>
      </c>
      <c r="E401" s="121">
        <f>VLOOKUP($B401,'Tillförd energi'!$B$1:$AI$720,MATCH(E$1,'Tillförd energi'!$B$1:$AQ$1,0),FALSE)</f>
        <v>0</v>
      </c>
      <c r="F401" s="121">
        <f>VLOOKUP($B401,'Tillförd energi'!$B$1:$AI$720,MATCH(F$1,'Tillförd energi'!$B$1:$AQ$1,0),FALSE)</f>
        <v>0</v>
      </c>
      <c r="G401" s="121">
        <f>VLOOKUP($B401,'Tillförd energi'!$B$1:$AI$720,MATCH(G$1,'Tillförd energi'!$B$1:$AQ$1,0),FALSE)</f>
        <v>0</v>
      </c>
      <c r="H401" s="121">
        <f>VLOOKUP($B401,'Tillförd energi'!$B$1:$AI$720,MATCH(H$1,'Tillförd energi'!$B$1:$AQ$1,0),FALSE)</f>
        <v>0</v>
      </c>
      <c r="I401" s="121">
        <f>VLOOKUP($B401,'Tillförd energi'!$B$1:$AI$720,MATCH(I$1,'Tillförd energi'!$B$1:$AQ$1,0),FALSE)</f>
        <v>0</v>
      </c>
      <c r="J401" s="121">
        <f>VLOOKUP($B401,'Tillförd energi'!$B$1:$AI$720,MATCH(J$1,'Tillförd energi'!$B$1:$AQ$1,0),FALSE)</f>
        <v>0</v>
      </c>
      <c r="K401" s="121">
        <f>VLOOKUP($B401,'Tillförd energi'!$B$1:$AI$720,MATCH(K$1,'Tillförd energi'!$B$1:$AQ$1,0),FALSE)</f>
        <v>0</v>
      </c>
      <c r="L401" s="121">
        <f>VLOOKUP($B401,'Tillförd energi'!$B$1:$AI$720,MATCH(L$1,'Tillförd energi'!$B$1:$AQ$1,0),FALSE)</f>
        <v>0</v>
      </c>
      <c r="M401" s="121">
        <f>VLOOKUP($B401,'Tillförd energi'!$B$1:$AI$720,MATCH(M$1,'Tillförd energi'!$B$1:$AQ$1,0),FALSE)</f>
        <v>0</v>
      </c>
      <c r="N401" s="121">
        <f>VLOOKUP($B401,'Tillförd energi'!$B$1:$AI$720,MATCH(N$1,'Tillförd energi'!$B$1:$AQ$1,0),FALSE)</f>
        <v>0</v>
      </c>
      <c r="O401" s="121">
        <f>VLOOKUP($B401,'Tillförd energi'!$B$1:$AI$720,MATCH(O$1,'Tillförd energi'!$B$1:$AQ$1,0),FALSE)</f>
        <v>0</v>
      </c>
      <c r="P401" s="121">
        <f>VLOOKUP($B401,'Tillförd energi'!$B$1:$AI$720,MATCH(P$1,'Tillförd energi'!$B$1:$AQ$1,0),FALSE)</f>
        <v>0</v>
      </c>
      <c r="Q401" s="121">
        <f>VLOOKUP($B401,'Tillförd energi'!$B$1:$AI$720,MATCH(Q$1,'Tillförd energi'!$B$1:$AQ$1,0),FALSE)</f>
        <v>0</v>
      </c>
      <c r="R401" s="121">
        <f>VLOOKUP($B401,'Tillförd energi'!$B$1:$AI$720,MATCH(R$1,'Tillförd energi'!$B$1:$AQ$1,0),FALSE)</f>
        <v>0</v>
      </c>
      <c r="S401" s="121">
        <f>VLOOKUP($B401,'Tillförd energi'!$B$1:$AI$720,MATCH(S$1,'Tillförd energi'!$B$1:$AQ$1,0),FALSE)</f>
        <v>0</v>
      </c>
      <c r="T401" s="121">
        <f>VLOOKUP($B401,'Tillförd energi'!$B$1:$AI$720,MATCH(T$1,'Tillförd energi'!$B$1:$AQ$1,0),FALSE)</f>
        <v>0</v>
      </c>
      <c r="U401" s="121">
        <f>VLOOKUP($B401,'Tillförd energi'!$B$1:$AI$720,MATCH(U$1,'Tillförd energi'!$B$1:$AQ$1,0),FALSE)</f>
        <v>0</v>
      </c>
      <c r="V401" s="121">
        <f>VLOOKUP($B401,'Tillförd energi'!$B$1:$AI$720,MATCH(V$1,'Tillförd energi'!$B$1:$AQ$1,0),FALSE)</f>
        <v>0</v>
      </c>
      <c r="W401" s="121">
        <f>VLOOKUP($B401,'Tillförd energi'!$B$1:$AI$720,MATCH(W$1,'Tillförd energi'!$B$1:$AQ$1,0),FALSE)</f>
        <v>0</v>
      </c>
      <c r="X401" s="121">
        <f>VLOOKUP($B401,'Tillförd energi'!$B$1:$AI$720,MATCH(X$1,'Tillförd energi'!$B$1:$AQ$1,0),FALSE)</f>
        <v>0</v>
      </c>
      <c r="Y401" s="121">
        <f>VLOOKUP($B401,'Tillförd energi'!$B$1:$AI$720,MATCH(Y$1,'Tillförd energi'!$B$1:$AQ$1,0),FALSE)</f>
        <v>0</v>
      </c>
      <c r="Z401" s="121">
        <f>VLOOKUP($B401,'Tillförd energi'!$B$1:$AI$720,MATCH(Z$1,'Tillförd energi'!$B$1:$AQ$1,0),FALSE)</f>
        <v>0</v>
      </c>
      <c r="AA401" s="121">
        <f>VLOOKUP($B401,'Tillförd energi'!$B$1:$AI$720,MATCH(AA$1,'Tillförd energi'!$B$1:$AQ$1,0),FALSE)</f>
        <v>0</v>
      </c>
      <c r="AB401" s="121">
        <f>VLOOKUP($B401,'Tillförd energi'!$B$1:$AI$720,MATCH(AB$1,'Tillförd energi'!$B$1:$AQ$1,0),FALSE)</f>
        <v>0</v>
      </c>
      <c r="AC401" s="121">
        <f>VLOOKUP($B401,'Tillförd energi'!$B$1:$AI$720,MATCH(AC$1,'Tillförd energi'!$B$1:$AQ$1,0),FALSE)</f>
        <v>0</v>
      </c>
      <c r="AD401" s="121">
        <f>VLOOKUP($B401,'Tillförd energi'!$B$1:$AI$720,MATCH(AD$1,'Tillförd energi'!$B$1:$AQ$1,0),FALSE)</f>
        <v>0</v>
      </c>
      <c r="AE401" s="121">
        <f>VLOOKUP($B401,'Tillförd energi'!$B$1:$AI$720,MATCH(AE$1,'Tillförd energi'!$B$1:$AQ$1,0),FALSE)</f>
        <v>0</v>
      </c>
      <c r="AF401" s="121">
        <f>VLOOKUP($B401,'Tillförd energi'!$B$1:$AI$720,MATCH(AF$1,'Tillförd energi'!$B$1:$AQ$1,0),FALSE)</f>
        <v>0</v>
      </c>
      <c r="AG401" s="121">
        <f>IFERROR(VLOOKUP(B401,Miljö!$B$1:$AC$550,MATCH("Köpt mängd produktionsspecifik fjärrvärme:",Miljö!$B$1:$AC$1,0),FALSE)/1,0)</f>
        <v>0</v>
      </c>
      <c r="AH401" s="121"/>
      <c r="AI401" s="121">
        <f t="shared" si="154"/>
        <v>0</v>
      </c>
      <c r="AJ401" s="121">
        <f t="shared" si="155"/>
        <v>0</v>
      </c>
      <c r="AK401" s="121" t="str">
        <f>IF(ISERROR(1/VLOOKUP($B401,Leveranser!$B$1:$S$499,MATCH("såld värme (gwh)",Leveranser!$B$1:$S$1,0),FALSE)),"",VLOOKUP($B401,Leveranser!$B$1:$S$499,MATCH("såld värme (gwh)",Leveranser!$B$1:$S$1,0),FALSE))</f>
        <v/>
      </c>
      <c r="AL401" s="121">
        <f>VLOOKUP($B401,Leveranser!$B$1:$Y$499,MATCH("Totalt såld fjärrvärme till andra fjärrvärmeföretag",Leveranser!$B$1:$AA$1,0),FALSE)</f>
        <v>0</v>
      </c>
      <c r="AM401" s="121">
        <f>IF(ISERROR(1/VLOOKUP($B401,Miljö!$B$1:$S$500,MATCH("Såld mängd produktionsspecifik fjärrvärme (GWh)",Miljö!$B$1:$R$1,0),FALSE)),0,VLOOKUP($B401,Miljö!$B$1:$S$500,MATCH("Såld mängd produktionsspecifik fjärrvärme (GWh)",Miljö!$B$1:$R$1,0),FALSE))</f>
        <v>0</v>
      </c>
      <c r="AN401" s="172" t="str">
        <f t="shared" si="156"/>
        <v/>
      </c>
      <c r="AO401" s="121"/>
      <c r="AP401" s="121" t="str">
        <f>IFERROR(VLOOKUP($B401,Miljövärden!$B$2:$H$550,7,FALSE),"Nej, saknas")</f>
        <v>Nej, saknas</v>
      </c>
      <c r="AQ401" s="121" t="str">
        <f>IFERROR(VLOOKUP($B401,Miljövärden!$B$2:$H$550,6,FALSE),"Nej, saknas")</f>
        <v>Nej, saknas</v>
      </c>
      <c r="AU401">
        <f t="shared" si="157"/>
        <v>0</v>
      </c>
      <c r="AV401">
        <f t="shared" si="158"/>
        <v>0</v>
      </c>
      <c r="AW401">
        <f t="shared" si="159"/>
        <v>0</v>
      </c>
      <c r="AX401">
        <f t="shared" si="160"/>
        <v>0</v>
      </c>
      <c r="AZ401">
        <f t="shared" si="161"/>
        <v>0</v>
      </c>
      <c r="BC401">
        <f t="shared" si="162"/>
        <v>0</v>
      </c>
      <c r="BD401">
        <f t="shared" si="163"/>
        <v>0</v>
      </c>
      <c r="BE401">
        <f t="shared" si="164"/>
        <v>0</v>
      </c>
      <c r="BF401">
        <f t="shared" si="165"/>
        <v>0</v>
      </c>
      <c r="BG401">
        <f t="shared" si="166"/>
        <v>0</v>
      </c>
      <c r="BH401" t="str">
        <f>VLOOKUP(B401,Miljö!$B$1:$BX$482,MATCH("Fossilandel för ursprungspecificerad el ()",Miljö!$B$1:$I$1,0),FALSE)</f>
        <v>-</v>
      </c>
      <c r="BI401" t="str">
        <f>VLOOKUP(B401,Miljö!$B$1:$BX$482,MATCH("Kärnkraftsandel för ursprungsspecificerad el ()",Miljö!$B$1:$O$1,0),FALSE)</f>
        <v>-</v>
      </c>
      <c r="BJ401">
        <f t="shared" si="167"/>
        <v>0</v>
      </c>
      <c r="BK401" t="str">
        <f>VLOOKUP(B401,Miljö!$B$1:$O$482,MATCH("Fossil andel i procent (%)",Miljö!$B$1:$O$1,0),FALSE)</f>
        <v>-</v>
      </c>
      <c r="BL401">
        <f t="shared" si="168"/>
        <v>0</v>
      </c>
      <c r="BO401" s="18" t="str">
        <f t="shared" si="169"/>
        <v/>
      </c>
      <c r="BP401" s="18" t="str">
        <f t="shared" si="170"/>
        <v/>
      </c>
      <c r="BQ401" s="18" t="str">
        <f t="shared" si="171"/>
        <v/>
      </c>
      <c r="BR401" s="18" t="str">
        <f t="shared" si="172"/>
        <v/>
      </c>
      <c r="BT401" s="27">
        <f t="shared" si="173"/>
        <v>0</v>
      </c>
      <c r="BW401" s="18" t="str">
        <f>IF(AP401="ja",VLOOKUP(B401,Miljövärden!$B$2:$H$550,MATCH("Total andel fossilt",Miljövärden!$B$2:$H$2,0),FALSE),"")</f>
        <v/>
      </c>
      <c r="BZ401" s="28" t="str">
        <f t="shared" si="174"/>
        <v/>
      </c>
      <c r="CA401" s="28" t="str">
        <f t="shared" si="175"/>
        <v/>
      </c>
    </row>
    <row r="402" spans="1:79" x14ac:dyDescent="0.25">
      <c r="A402" s="224" t="s">
        <v>734</v>
      </c>
      <c r="B402" s="210" t="s">
        <v>735</v>
      </c>
      <c r="C402" s="121">
        <f>VLOOKUP($B402,'Tillförd energi'!$B$1:$AI$720,MATCH(C$1,'Tillförd energi'!$B$1:$AQ$1,0),FALSE)</f>
        <v>0</v>
      </c>
      <c r="D402" s="121">
        <f>VLOOKUP($B402,'Tillförd energi'!$B$1:$AI$720,MATCH(D$1,'Tillförd energi'!$B$1:$AQ$1,0),FALSE)</f>
        <v>4.9000000000000002E-2</v>
      </c>
      <c r="E402" s="121">
        <f>VLOOKUP($B402,'Tillförd energi'!$B$1:$AI$720,MATCH(E$1,'Tillförd energi'!$B$1:$AQ$1,0),FALSE)</f>
        <v>0</v>
      </c>
      <c r="F402" s="121">
        <f>VLOOKUP($B402,'Tillförd energi'!$B$1:$AI$720,MATCH(F$1,'Tillförd energi'!$B$1:$AQ$1,0),FALSE)</f>
        <v>0</v>
      </c>
      <c r="G402" s="121">
        <f>VLOOKUP($B402,'Tillförd energi'!$B$1:$AI$720,MATCH(G$1,'Tillförd energi'!$B$1:$AQ$1,0),FALSE)</f>
        <v>0</v>
      </c>
      <c r="H402" s="121">
        <f>VLOOKUP($B402,'Tillförd energi'!$B$1:$AI$720,MATCH(H$1,'Tillförd energi'!$B$1:$AQ$1,0),FALSE)</f>
        <v>0</v>
      </c>
      <c r="I402" s="121">
        <f>VLOOKUP($B402,'Tillförd energi'!$B$1:$AI$720,MATCH(I$1,'Tillförd energi'!$B$1:$AQ$1,0),FALSE)</f>
        <v>0</v>
      </c>
      <c r="J402" s="121">
        <f>VLOOKUP($B402,'Tillförd energi'!$B$1:$AI$720,MATCH(J$1,'Tillförd energi'!$B$1:$AQ$1,0),FALSE)</f>
        <v>0</v>
      </c>
      <c r="K402" s="121">
        <f>VLOOKUP($B402,'Tillförd energi'!$B$1:$AI$720,MATCH(K$1,'Tillförd energi'!$B$1:$AQ$1,0),FALSE)</f>
        <v>0</v>
      </c>
      <c r="L402" s="121">
        <f>VLOOKUP($B402,'Tillförd energi'!$B$1:$AI$720,MATCH(L$1,'Tillförd energi'!$B$1:$AQ$1,0),FALSE)</f>
        <v>0</v>
      </c>
      <c r="M402" s="121">
        <f>VLOOKUP($B402,'Tillförd energi'!$B$1:$AI$720,MATCH(M$1,'Tillförd energi'!$B$1:$AQ$1,0),FALSE)</f>
        <v>0</v>
      </c>
      <c r="N402" s="121">
        <f>VLOOKUP($B402,'Tillförd energi'!$B$1:$AI$720,MATCH(N$1,'Tillförd energi'!$B$1:$AQ$1,0),FALSE)</f>
        <v>0</v>
      </c>
      <c r="O402" s="121">
        <f>VLOOKUP($B402,'Tillförd energi'!$B$1:$AI$720,MATCH(O$1,'Tillförd energi'!$B$1:$AQ$1,0),FALSE)</f>
        <v>0</v>
      </c>
      <c r="P402" s="121">
        <f>VLOOKUP($B402,'Tillförd energi'!$B$1:$AI$720,MATCH(P$1,'Tillförd energi'!$B$1:$AQ$1,0),FALSE)</f>
        <v>7.399</v>
      </c>
      <c r="Q402" s="121">
        <f>VLOOKUP($B402,'Tillförd energi'!$B$1:$AI$720,MATCH(Q$1,'Tillförd energi'!$B$1:$AQ$1,0),FALSE)</f>
        <v>0</v>
      </c>
      <c r="R402" s="121">
        <f>VLOOKUP($B402,'Tillförd energi'!$B$1:$AI$720,MATCH(R$1,'Tillförd energi'!$B$1:$AQ$1,0),FALSE)</f>
        <v>0</v>
      </c>
      <c r="S402" s="121">
        <f>VLOOKUP($B402,'Tillförd energi'!$B$1:$AI$720,MATCH(S$1,'Tillförd energi'!$B$1:$AQ$1,0),FALSE)</f>
        <v>0</v>
      </c>
      <c r="T402" s="121">
        <f>VLOOKUP($B402,'Tillförd energi'!$B$1:$AI$720,MATCH(T$1,'Tillförd energi'!$B$1:$AQ$1,0),FALSE)</f>
        <v>0</v>
      </c>
      <c r="U402" s="121">
        <f>VLOOKUP($B402,'Tillförd energi'!$B$1:$AI$720,MATCH(U$1,'Tillförd energi'!$B$1:$AQ$1,0),FALSE)</f>
        <v>0</v>
      </c>
      <c r="V402" s="121">
        <f>VLOOKUP($B402,'Tillförd energi'!$B$1:$AI$720,MATCH(V$1,'Tillförd energi'!$B$1:$AQ$1,0),FALSE)</f>
        <v>0</v>
      </c>
      <c r="W402" s="121">
        <f>VLOOKUP($B402,'Tillförd energi'!$B$1:$AI$720,MATCH(W$1,'Tillförd energi'!$B$1:$AQ$1,0),FALSE)</f>
        <v>2.4249999999999998</v>
      </c>
      <c r="X402" s="121">
        <f>VLOOKUP($B402,'Tillförd energi'!$B$1:$AI$720,MATCH(X$1,'Tillförd energi'!$B$1:$AQ$1,0),FALSE)</f>
        <v>0</v>
      </c>
      <c r="Y402" s="121">
        <f>VLOOKUP($B402,'Tillförd energi'!$B$1:$AI$720,MATCH(Y$1,'Tillförd energi'!$B$1:$AQ$1,0),FALSE)</f>
        <v>0</v>
      </c>
      <c r="Z402" s="121">
        <f>VLOOKUP($B402,'Tillförd energi'!$B$1:$AI$720,MATCH(Z$1,'Tillförd energi'!$B$1:$AQ$1,0),FALSE)</f>
        <v>0.38500000000000001</v>
      </c>
      <c r="AA402" s="121">
        <f>VLOOKUP($B402,'Tillförd energi'!$B$1:$AI$720,MATCH(AA$1,'Tillförd energi'!$B$1:$AQ$1,0),FALSE)</f>
        <v>0</v>
      </c>
      <c r="AB402" s="121">
        <f>VLOOKUP($B402,'Tillförd energi'!$B$1:$AI$720,MATCH(AB$1,'Tillförd energi'!$B$1:$AQ$1,0),FALSE)</f>
        <v>0</v>
      </c>
      <c r="AC402" s="121">
        <f>VLOOKUP($B402,'Tillförd energi'!$B$1:$AI$720,MATCH(AC$1,'Tillförd energi'!$B$1:$AQ$1,0),FALSE)</f>
        <v>0</v>
      </c>
      <c r="AD402" s="121">
        <f>VLOOKUP($B402,'Tillförd energi'!$B$1:$AI$720,MATCH(AD$1,'Tillförd energi'!$B$1:$AQ$1,0),FALSE)</f>
        <v>0</v>
      </c>
      <c r="AE402" s="121">
        <f>VLOOKUP($B402,'Tillförd energi'!$B$1:$AI$720,MATCH(AE$1,'Tillförd energi'!$B$1:$AQ$1,0),FALSE)</f>
        <v>0</v>
      </c>
      <c r="AF402" s="121">
        <f>VLOOKUP($B402,'Tillförd energi'!$B$1:$AI$720,MATCH(AF$1,'Tillförd energi'!$B$1:$AQ$1,0),FALSE)</f>
        <v>0.30463000000000001</v>
      </c>
      <c r="AG402" s="121">
        <f>IFERROR(VLOOKUP(B402,Miljö!$B$1:$AC$550,MATCH("Köpt mängd produktionsspecifik fjärrvärme:",Miljö!$B$1:$AC$1,0),FALSE)/1,0)</f>
        <v>0</v>
      </c>
      <c r="AH402" s="121"/>
      <c r="AI402" s="121">
        <f t="shared" si="154"/>
        <v>10.56263</v>
      </c>
      <c r="AJ402" s="121">
        <f t="shared" si="155"/>
        <v>10.56263</v>
      </c>
      <c r="AK402" s="121">
        <f>IF(ISERROR(1/VLOOKUP($B402,Leveranser!$B$1:$S$499,MATCH("såld värme (gwh)",Leveranser!$B$1:$S$1,0),FALSE)),"",VLOOKUP($B402,Leveranser!$B$1:$S$499,MATCH("såld värme (gwh)",Leveranser!$B$1:$S$1,0),FALSE))</f>
        <v>7.19</v>
      </c>
      <c r="AL402" s="121">
        <f>VLOOKUP($B402,Leveranser!$B$1:$Y$499,MATCH("Totalt såld fjärrvärme till andra fjärrvärmeföretag",Leveranser!$B$1:$AA$1,0),FALSE)</f>
        <v>0</v>
      </c>
      <c r="AM402" s="121">
        <f>IF(ISERROR(1/VLOOKUP($B402,Miljö!$B$1:$S$500,MATCH("Såld mängd produktionsspecifik fjärrvärme (GWh)",Miljö!$B$1:$R$1,0),FALSE)),0,VLOOKUP($B402,Miljö!$B$1:$S$500,MATCH("Såld mängd produktionsspecifik fjärrvärme (GWh)",Miljö!$B$1:$R$1,0),FALSE))</f>
        <v>0</v>
      </c>
      <c r="AN402" s="172">
        <f t="shared" si="156"/>
        <v>0.68070168130475084</v>
      </c>
      <c r="AO402" s="121"/>
      <c r="AP402" s="121" t="str">
        <f>IFERROR(VLOOKUP($B402,Miljövärden!$B$2:$H$550,7,FALSE),"Nej, saknas")</f>
        <v>Ja</v>
      </c>
      <c r="AQ402" s="121" t="str">
        <f>IFERROR(VLOOKUP($B402,Miljövärden!$B$2:$H$550,6,FALSE),"Nej, saknas")</f>
        <v>Nej</v>
      </c>
      <c r="AU402">
        <f t="shared" si="157"/>
        <v>0.68962999999999997</v>
      </c>
      <c r="AV402">
        <f t="shared" si="158"/>
        <v>0</v>
      </c>
      <c r="AW402">
        <f t="shared" si="159"/>
        <v>7.399</v>
      </c>
      <c r="AX402">
        <f t="shared" si="160"/>
        <v>0</v>
      </c>
      <c r="AZ402">
        <f t="shared" si="161"/>
        <v>9.8239999999999998</v>
      </c>
      <c r="BC402">
        <f t="shared" si="162"/>
        <v>4.9000000000000002E-2</v>
      </c>
      <c r="BD402">
        <f t="shared" si="163"/>
        <v>0</v>
      </c>
      <c r="BE402">
        <f t="shared" si="164"/>
        <v>9.8239999999999998</v>
      </c>
      <c r="BF402">
        <f t="shared" si="165"/>
        <v>0</v>
      </c>
      <c r="BG402">
        <f t="shared" si="166"/>
        <v>0.68962999999999997</v>
      </c>
      <c r="BH402">
        <f>VLOOKUP(B402,Miljö!$B$1:$BX$482,MATCH("Fossilandel för ursprungspecificerad el ()",Miljö!$B$1:$I$1,0),FALSE)</f>
        <v>0.03</v>
      </c>
      <c r="BI402">
        <f>VLOOKUP(B402,Miljö!$B$1:$BX$482,MATCH("Kärnkraftsandel för ursprungsspecificerad el ()",Miljö!$B$1:$O$1,0),FALSE)</f>
        <v>0</v>
      </c>
      <c r="BJ402">
        <f t="shared" si="167"/>
        <v>0</v>
      </c>
      <c r="BK402" t="str">
        <f>VLOOKUP(B402,Miljö!$B$1:$O$482,MATCH("Fossil andel i procent (%)",Miljö!$B$1:$O$1,0),FALSE)</f>
        <v>ET</v>
      </c>
      <c r="BL402">
        <f t="shared" si="168"/>
        <v>10.562629999999999</v>
      </c>
      <c r="BO402" s="18">
        <f t="shared" si="169"/>
        <v>6.5976844782028726E-3</v>
      </c>
      <c r="BP402" s="18">
        <f t="shared" si="170"/>
        <v>0</v>
      </c>
      <c r="BQ402" s="18">
        <f t="shared" si="171"/>
        <v>0.99340231552179725</v>
      </c>
      <c r="BR402" s="18">
        <f t="shared" si="172"/>
        <v>0</v>
      </c>
      <c r="BT402" s="27">
        <f t="shared" si="173"/>
        <v>1.0000000000000002</v>
      </c>
      <c r="BW402" s="18">
        <f>IF(AP402="ja",VLOOKUP(B402,Miljövärden!$B$2:$H$550,MATCH("Total andel fossilt",Miljövärden!$B$2:$H$2,0),FALSE),"")</f>
        <v>6.5976999999999997E-3</v>
      </c>
      <c r="BZ402" s="28">
        <f t="shared" si="174"/>
        <v>1.5521797127118764E-8</v>
      </c>
      <c r="CA402" s="28">
        <f t="shared" si="175"/>
        <v>0</v>
      </c>
    </row>
    <row r="403" spans="1:79" x14ac:dyDescent="0.25">
      <c r="A403" s="224" t="s">
        <v>734</v>
      </c>
      <c r="B403" s="210" t="s">
        <v>736</v>
      </c>
      <c r="C403" s="121">
        <f>VLOOKUP($B403,'Tillförd energi'!$B$1:$AI$720,MATCH(C$1,'Tillförd energi'!$B$1:$AQ$1,0),FALSE)</f>
        <v>0</v>
      </c>
      <c r="D403" s="121">
        <f>VLOOKUP($B403,'Tillförd energi'!$B$1:$AI$720,MATCH(D$1,'Tillförd energi'!$B$1:$AQ$1,0),FALSE)</f>
        <v>1.34E-3</v>
      </c>
      <c r="E403" s="121">
        <f>VLOOKUP($B403,'Tillförd energi'!$B$1:$AI$720,MATCH(E$1,'Tillförd energi'!$B$1:$AQ$1,0),FALSE)</f>
        <v>0</v>
      </c>
      <c r="F403" s="121">
        <f>VLOOKUP($B403,'Tillförd energi'!$B$1:$AI$720,MATCH(F$1,'Tillförd energi'!$B$1:$AQ$1,0),FALSE)</f>
        <v>0</v>
      </c>
      <c r="G403" s="121">
        <f>VLOOKUP($B403,'Tillförd energi'!$B$1:$AI$720,MATCH(G$1,'Tillförd energi'!$B$1:$AQ$1,0),FALSE)</f>
        <v>0</v>
      </c>
      <c r="H403" s="121">
        <f>VLOOKUP($B403,'Tillförd energi'!$B$1:$AI$720,MATCH(H$1,'Tillförd energi'!$B$1:$AQ$1,0),FALSE)</f>
        <v>0</v>
      </c>
      <c r="I403" s="121">
        <f>VLOOKUP($B403,'Tillförd energi'!$B$1:$AI$720,MATCH(I$1,'Tillförd energi'!$B$1:$AQ$1,0),FALSE)</f>
        <v>0</v>
      </c>
      <c r="J403" s="121">
        <f>VLOOKUP($B403,'Tillförd energi'!$B$1:$AI$720,MATCH(J$1,'Tillförd energi'!$B$1:$AQ$1,0),FALSE)</f>
        <v>0</v>
      </c>
      <c r="K403" s="121">
        <f>VLOOKUP($B403,'Tillförd energi'!$B$1:$AI$720,MATCH(K$1,'Tillförd energi'!$B$1:$AQ$1,0),FALSE)</f>
        <v>0</v>
      </c>
      <c r="L403" s="121">
        <f>VLOOKUP($B403,'Tillförd energi'!$B$1:$AI$720,MATCH(L$1,'Tillförd energi'!$B$1:$AQ$1,0),FALSE)</f>
        <v>0</v>
      </c>
      <c r="M403" s="121">
        <f>VLOOKUP($B403,'Tillförd energi'!$B$1:$AI$720,MATCH(M$1,'Tillförd energi'!$B$1:$AQ$1,0),FALSE)</f>
        <v>0</v>
      </c>
      <c r="N403" s="121">
        <f>VLOOKUP($B403,'Tillförd energi'!$B$1:$AI$720,MATCH(N$1,'Tillförd energi'!$B$1:$AQ$1,0),FALSE)</f>
        <v>0</v>
      </c>
      <c r="O403" s="121">
        <f>VLOOKUP($B403,'Tillförd energi'!$B$1:$AI$720,MATCH(O$1,'Tillförd energi'!$B$1:$AQ$1,0),FALSE)</f>
        <v>0</v>
      </c>
      <c r="P403" s="121">
        <f>VLOOKUP($B403,'Tillförd energi'!$B$1:$AI$720,MATCH(P$1,'Tillförd energi'!$B$1:$AQ$1,0),FALSE)</f>
        <v>4.9874700000000001</v>
      </c>
      <c r="Q403" s="121">
        <f>VLOOKUP($B403,'Tillförd energi'!$B$1:$AI$720,MATCH(Q$1,'Tillförd energi'!$B$1:$AQ$1,0),FALSE)</f>
        <v>0</v>
      </c>
      <c r="R403" s="121">
        <f>VLOOKUP($B403,'Tillförd energi'!$B$1:$AI$720,MATCH(R$1,'Tillförd energi'!$B$1:$AQ$1,0),FALSE)</f>
        <v>0</v>
      </c>
      <c r="S403" s="121">
        <f>VLOOKUP($B403,'Tillförd energi'!$B$1:$AI$720,MATCH(S$1,'Tillförd energi'!$B$1:$AQ$1,0),FALSE)</f>
        <v>0</v>
      </c>
      <c r="T403" s="121">
        <f>VLOOKUP($B403,'Tillförd energi'!$B$1:$AI$720,MATCH(T$1,'Tillförd energi'!$B$1:$AQ$1,0),FALSE)</f>
        <v>0</v>
      </c>
      <c r="U403" s="121">
        <f>VLOOKUP($B403,'Tillförd energi'!$B$1:$AI$720,MATCH(U$1,'Tillförd energi'!$B$1:$AQ$1,0),FALSE)</f>
        <v>0</v>
      </c>
      <c r="V403" s="121">
        <f>VLOOKUP($B403,'Tillförd energi'!$B$1:$AI$720,MATCH(V$1,'Tillförd energi'!$B$1:$AQ$1,0),FALSE)</f>
        <v>0</v>
      </c>
      <c r="W403" s="121">
        <f>VLOOKUP($B403,'Tillförd energi'!$B$1:$AI$720,MATCH(W$1,'Tillförd energi'!$B$1:$AQ$1,0),FALSE)</f>
        <v>1.1816199999999999</v>
      </c>
      <c r="X403" s="121">
        <f>VLOOKUP($B403,'Tillförd energi'!$B$1:$AI$720,MATCH(X$1,'Tillförd energi'!$B$1:$AQ$1,0),FALSE)</f>
        <v>0</v>
      </c>
      <c r="Y403" s="121">
        <f>VLOOKUP($B403,'Tillförd energi'!$B$1:$AI$720,MATCH(Y$1,'Tillförd energi'!$B$1:$AQ$1,0),FALSE)</f>
        <v>0</v>
      </c>
      <c r="Z403" s="121">
        <f>VLOOKUP($B403,'Tillförd energi'!$B$1:$AI$720,MATCH(Z$1,'Tillförd energi'!$B$1:$AQ$1,0),FALSE)</f>
        <v>1.3621300000000001</v>
      </c>
      <c r="AA403" s="121">
        <f>VLOOKUP($B403,'Tillförd energi'!$B$1:$AI$720,MATCH(AA$1,'Tillförd energi'!$B$1:$AQ$1,0),FALSE)</f>
        <v>0</v>
      </c>
      <c r="AB403" s="121">
        <f>VLOOKUP($B403,'Tillförd energi'!$B$1:$AI$720,MATCH(AB$1,'Tillförd energi'!$B$1:$AQ$1,0),FALSE)</f>
        <v>0</v>
      </c>
      <c r="AC403" s="121">
        <f>VLOOKUP($B403,'Tillförd energi'!$B$1:$AI$720,MATCH(AC$1,'Tillförd energi'!$B$1:$AQ$1,0),FALSE)</f>
        <v>0</v>
      </c>
      <c r="AD403" s="121">
        <f>VLOOKUP($B403,'Tillförd energi'!$B$1:$AI$720,MATCH(AD$1,'Tillförd energi'!$B$1:$AQ$1,0),FALSE)</f>
        <v>0</v>
      </c>
      <c r="AE403" s="121">
        <f>VLOOKUP($B403,'Tillförd energi'!$B$1:$AI$720,MATCH(AE$1,'Tillförd energi'!$B$1:$AQ$1,0),FALSE)</f>
        <v>0</v>
      </c>
      <c r="AF403" s="121">
        <f>VLOOKUP($B403,'Tillförd energi'!$B$1:$AI$720,MATCH(AF$1,'Tillförd energi'!$B$1:$AQ$1,0),FALSE)</f>
        <v>0.1686</v>
      </c>
      <c r="AG403" s="121">
        <f>IFERROR(VLOOKUP(B403,Miljö!$B$1:$AC$550,MATCH("Köpt mängd produktionsspecifik fjärrvärme:",Miljö!$B$1:$AC$1,0),FALSE)/1,0)</f>
        <v>0</v>
      </c>
      <c r="AH403" s="121"/>
      <c r="AI403" s="121">
        <f t="shared" si="154"/>
        <v>7.7011599999999998</v>
      </c>
      <c r="AJ403" s="121">
        <f t="shared" si="155"/>
        <v>7.7011599999999998</v>
      </c>
      <c r="AK403" s="121">
        <f>IF(ISERROR(1/VLOOKUP($B403,Leveranser!$B$1:$S$499,MATCH("såld värme (gwh)",Leveranser!$B$1:$S$1,0),FALSE)),"",VLOOKUP($B403,Leveranser!$B$1:$S$499,MATCH("såld värme (gwh)",Leveranser!$B$1:$S$1,0),FALSE))</f>
        <v>5.62</v>
      </c>
      <c r="AL403" s="121">
        <f>VLOOKUP($B403,Leveranser!$B$1:$Y$499,MATCH("Totalt såld fjärrvärme till andra fjärrvärmeföretag",Leveranser!$B$1:$AA$1,0),FALSE)</f>
        <v>0</v>
      </c>
      <c r="AM403" s="121">
        <f>IF(ISERROR(1/VLOOKUP($B403,Miljö!$B$1:$S$500,MATCH("Såld mängd produktionsspecifik fjärrvärme (GWh)",Miljö!$B$1:$R$1,0),FALSE)),0,VLOOKUP($B403,Miljö!$B$1:$S$500,MATCH("Såld mängd produktionsspecifik fjärrvärme (GWh)",Miljö!$B$1:$R$1,0),FALSE))</f>
        <v>0</v>
      </c>
      <c r="AN403" s="172">
        <f t="shared" si="156"/>
        <v>0.72976019197107966</v>
      </c>
      <c r="AO403" s="121"/>
      <c r="AP403" s="121" t="str">
        <f>IFERROR(VLOOKUP($B403,Miljövärden!$B$2:$H$550,7,FALSE),"Nej, saknas")</f>
        <v>Ja</v>
      </c>
      <c r="AQ403" s="121" t="str">
        <f>IFERROR(VLOOKUP($B403,Miljövärden!$B$2:$H$550,6,FALSE),"Nej, saknas")</f>
        <v>Nej</v>
      </c>
      <c r="AU403">
        <f t="shared" si="157"/>
        <v>1.5307300000000001</v>
      </c>
      <c r="AV403">
        <f t="shared" si="158"/>
        <v>0</v>
      </c>
      <c r="AW403">
        <f t="shared" si="159"/>
        <v>4.9874700000000001</v>
      </c>
      <c r="AX403">
        <f t="shared" si="160"/>
        <v>0</v>
      </c>
      <c r="AZ403">
        <f t="shared" si="161"/>
        <v>6.1690899999999997</v>
      </c>
      <c r="BC403">
        <f t="shared" si="162"/>
        <v>1.34E-3</v>
      </c>
      <c r="BD403">
        <f t="shared" si="163"/>
        <v>0</v>
      </c>
      <c r="BE403">
        <f t="shared" si="164"/>
        <v>6.1690899999999997</v>
      </c>
      <c r="BF403">
        <f t="shared" si="165"/>
        <v>0</v>
      </c>
      <c r="BG403">
        <f t="shared" si="166"/>
        <v>1.5307300000000001</v>
      </c>
      <c r="BH403">
        <f>VLOOKUP(B403,Miljö!$B$1:$BX$482,MATCH("Fossilandel för ursprungspecificerad el ()",Miljö!$B$1:$I$1,0),FALSE)</f>
        <v>0.03</v>
      </c>
      <c r="BI403">
        <f>VLOOKUP(B403,Miljö!$B$1:$BX$482,MATCH("Kärnkraftsandel för ursprungsspecificerad el ()",Miljö!$B$1:$O$1,0),FALSE)</f>
        <v>0</v>
      </c>
      <c r="BJ403">
        <f t="shared" si="167"/>
        <v>0</v>
      </c>
      <c r="BK403" t="str">
        <f>VLOOKUP(B403,Miljö!$B$1:$O$482,MATCH("Fossil andel i procent (%)",Miljö!$B$1:$O$1,0),FALSE)</f>
        <v>ET</v>
      </c>
      <c r="BL403">
        <f t="shared" si="168"/>
        <v>7.7011599999999998</v>
      </c>
      <c r="BO403" s="18">
        <f t="shared" si="169"/>
        <v>6.1369845581704576E-3</v>
      </c>
      <c r="BP403" s="18">
        <f t="shared" si="170"/>
        <v>0</v>
      </c>
      <c r="BQ403" s="18">
        <f t="shared" si="171"/>
        <v>0.99386301544182964</v>
      </c>
      <c r="BR403" s="18">
        <f t="shared" si="172"/>
        <v>0</v>
      </c>
      <c r="BT403" s="27">
        <f t="shared" si="173"/>
        <v>1</v>
      </c>
      <c r="BW403" s="18">
        <f>IF(AP403="ja",VLOOKUP(B403,Miljövärden!$B$2:$H$550,MATCH("Total andel fossilt",Miljövärden!$B$2:$H$2,0),FALSE),"")</f>
        <v>6.1369800000000002E-3</v>
      </c>
      <c r="BZ403" s="28">
        <f t="shared" si="174"/>
        <v>-4.5581704573999238E-9</v>
      </c>
      <c r="CA403" s="28">
        <f t="shared" si="175"/>
        <v>0</v>
      </c>
    </row>
    <row r="404" spans="1:79" x14ac:dyDescent="0.25">
      <c r="A404" s="224" t="s">
        <v>734</v>
      </c>
      <c r="B404" s="210" t="s">
        <v>737</v>
      </c>
      <c r="C404" s="121">
        <f>VLOOKUP($B404,'Tillförd energi'!$B$1:$AI$720,MATCH(C$1,'Tillförd energi'!$B$1:$AQ$1,0),FALSE)</f>
        <v>0</v>
      </c>
      <c r="D404" s="121">
        <f>VLOOKUP($B404,'Tillförd energi'!$B$1:$AI$720,MATCH(D$1,'Tillförd energi'!$B$1:$AQ$1,0),FALSE)</f>
        <v>0.40877000000000002</v>
      </c>
      <c r="E404" s="121">
        <f>VLOOKUP($B404,'Tillförd energi'!$B$1:$AI$720,MATCH(E$1,'Tillförd energi'!$B$1:$AQ$1,0),FALSE)</f>
        <v>0</v>
      </c>
      <c r="F404" s="121">
        <f>VLOOKUP($B404,'Tillförd energi'!$B$1:$AI$720,MATCH(F$1,'Tillförd energi'!$B$1:$AQ$1,0),FALSE)</f>
        <v>0</v>
      </c>
      <c r="G404" s="121">
        <f>VLOOKUP($B404,'Tillförd energi'!$B$1:$AI$720,MATCH(G$1,'Tillförd energi'!$B$1:$AQ$1,0),FALSE)</f>
        <v>0</v>
      </c>
      <c r="H404" s="121">
        <f>VLOOKUP($B404,'Tillförd energi'!$B$1:$AI$720,MATCH(H$1,'Tillförd energi'!$B$1:$AQ$1,0),FALSE)</f>
        <v>0</v>
      </c>
      <c r="I404" s="121">
        <f>VLOOKUP($B404,'Tillförd energi'!$B$1:$AI$720,MATCH(I$1,'Tillförd energi'!$B$1:$AQ$1,0),FALSE)</f>
        <v>0</v>
      </c>
      <c r="J404" s="121">
        <f>VLOOKUP($B404,'Tillförd energi'!$B$1:$AI$720,MATCH(J$1,'Tillförd energi'!$B$1:$AQ$1,0),FALSE)</f>
        <v>0</v>
      </c>
      <c r="K404" s="121">
        <f>VLOOKUP($B404,'Tillförd energi'!$B$1:$AI$720,MATCH(K$1,'Tillförd energi'!$B$1:$AQ$1,0),FALSE)</f>
        <v>0</v>
      </c>
      <c r="L404" s="121">
        <f>VLOOKUP($B404,'Tillförd energi'!$B$1:$AI$720,MATCH(L$1,'Tillförd energi'!$B$1:$AQ$1,0),FALSE)</f>
        <v>0</v>
      </c>
      <c r="M404" s="121">
        <f>VLOOKUP($B404,'Tillförd energi'!$B$1:$AI$720,MATCH(M$1,'Tillförd energi'!$B$1:$AQ$1,0),FALSE)</f>
        <v>0</v>
      </c>
      <c r="N404" s="121">
        <f>VLOOKUP($B404,'Tillförd energi'!$B$1:$AI$720,MATCH(N$1,'Tillförd energi'!$B$1:$AQ$1,0),FALSE)</f>
        <v>0</v>
      </c>
      <c r="O404" s="121">
        <f>VLOOKUP($B404,'Tillförd energi'!$B$1:$AI$720,MATCH(O$1,'Tillförd energi'!$B$1:$AQ$1,0),FALSE)</f>
        <v>0</v>
      </c>
      <c r="P404" s="121">
        <f>VLOOKUP($B404,'Tillförd energi'!$B$1:$AI$720,MATCH(P$1,'Tillförd energi'!$B$1:$AQ$1,0),FALSE)</f>
        <v>0</v>
      </c>
      <c r="Q404" s="121">
        <f>VLOOKUP($B404,'Tillförd energi'!$B$1:$AI$720,MATCH(Q$1,'Tillförd energi'!$B$1:$AQ$1,0),FALSE)</f>
        <v>2.2929400000000002</v>
      </c>
      <c r="R404" s="121">
        <f>VLOOKUP($B404,'Tillförd energi'!$B$1:$AI$720,MATCH(R$1,'Tillförd energi'!$B$1:$AQ$1,0),FALSE)</f>
        <v>0</v>
      </c>
      <c r="S404" s="121">
        <f>VLOOKUP($B404,'Tillförd energi'!$B$1:$AI$720,MATCH(S$1,'Tillförd energi'!$B$1:$AQ$1,0),FALSE)</f>
        <v>0</v>
      </c>
      <c r="T404" s="121">
        <f>VLOOKUP($B404,'Tillförd energi'!$B$1:$AI$720,MATCH(T$1,'Tillförd energi'!$B$1:$AQ$1,0),FALSE)</f>
        <v>0</v>
      </c>
      <c r="U404" s="121">
        <f>VLOOKUP($B404,'Tillförd energi'!$B$1:$AI$720,MATCH(U$1,'Tillförd energi'!$B$1:$AQ$1,0),FALSE)</f>
        <v>0</v>
      </c>
      <c r="V404" s="121">
        <f>VLOOKUP($B404,'Tillförd energi'!$B$1:$AI$720,MATCH(V$1,'Tillförd energi'!$B$1:$AQ$1,0),FALSE)</f>
        <v>0</v>
      </c>
      <c r="W404" s="121">
        <f>VLOOKUP($B404,'Tillförd energi'!$B$1:$AI$720,MATCH(W$1,'Tillförd energi'!$B$1:$AQ$1,0),FALSE)</f>
        <v>0</v>
      </c>
      <c r="X404" s="121">
        <f>VLOOKUP($B404,'Tillförd energi'!$B$1:$AI$720,MATCH(X$1,'Tillförd energi'!$B$1:$AQ$1,0),FALSE)</f>
        <v>0</v>
      </c>
      <c r="Y404" s="121">
        <f>VLOOKUP($B404,'Tillförd energi'!$B$1:$AI$720,MATCH(Y$1,'Tillförd energi'!$B$1:$AQ$1,0),FALSE)</f>
        <v>0</v>
      </c>
      <c r="Z404" s="121">
        <f>VLOOKUP($B404,'Tillförd energi'!$B$1:$AI$720,MATCH(Z$1,'Tillförd energi'!$B$1:$AQ$1,0),FALSE)</f>
        <v>0</v>
      </c>
      <c r="AA404" s="121">
        <f>VLOOKUP($B404,'Tillförd energi'!$B$1:$AI$720,MATCH(AA$1,'Tillförd energi'!$B$1:$AQ$1,0),FALSE)</f>
        <v>0</v>
      </c>
      <c r="AB404" s="121">
        <f>VLOOKUP($B404,'Tillförd energi'!$B$1:$AI$720,MATCH(AB$1,'Tillförd energi'!$B$1:$AQ$1,0),FALSE)</f>
        <v>0</v>
      </c>
      <c r="AC404" s="121">
        <f>VLOOKUP($B404,'Tillförd energi'!$B$1:$AI$720,MATCH(AC$1,'Tillförd energi'!$B$1:$AQ$1,0),FALSE)</f>
        <v>0</v>
      </c>
      <c r="AD404" s="121">
        <f>VLOOKUP($B404,'Tillförd energi'!$B$1:$AI$720,MATCH(AD$1,'Tillförd energi'!$B$1:$AQ$1,0),FALSE)</f>
        <v>6.2039</v>
      </c>
      <c r="AE404" s="121">
        <f>VLOOKUP($B404,'Tillförd energi'!$B$1:$AI$720,MATCH(AE$1,'Tillförd energi'!$B$1:$AQ$1,0),FALSE)</f>
        <v>0</v>
      </c>
      <c r="AF404" s="121">
        <f>VLOOKUP($B404,'Tillförd energi'!$B$1:$AI$720,MATCH(AF$1,'Tillförd energi'!$B$1:$AQ$1,0),FALSE)</f>
        <v>0.20399999999999999</v>
      </c>
      <c r="AG404" s="121">
        <f>IFERROR(VLOOKUP(B404,Miljö!$B$1:$AC$550,MATCH("Köpt mängd produktionsspecifik fjärrvärme:",Miljö!$B$1:$AC$1,0),FALSE)/1,0)</f>
        <v>0</v>
      </c>
      <c r="AH404" s="121"/>
      <c r="AI404" s="121">
        <f t="shared" si="154"/>
        <v>9.10961</v>
      </c>
      <c r="AJ404" s="121">
        <f t="shared" si="155"/>
        <v>9.10961</v>
      </c>
      <c r="AK404" s="121">
        <f>IF(ISERROR(1/VLOOKUP($B404,Leveranser!$B$1:$S$499,MATCH("såld värme (gwh)",Leveranser!$B$1:$S$1,0),FALSE)),"",VLOOKUP($B404,Leveranser!$B$1:$S$499,MATCH("såld värme (gwh)",Leveranser!$B$1:$S$1,0),FALSE))</f>
        <v>6.8</v>
      </c>
      <c r="AL404" s="121">
        <f>VLOOKUP($B404,Leveranser!$B$1:$Y$499,MATCH("Totalt såld fjärrvärme till andra fjärrvärmeföretag",Leveranser!$B$1:$AA$1,0),FALSE)</f>
        <v>0</v>
      </c>
      <c r="AM404" s="121">
        <f>IF(ISERROR(1/VLOOKUP($B404,Miljö!$B$1:$S$500,MATCH("Såld mängd produktionsspecifik fjärrvärme (GWh)",Miljö!$B$1:$R$1,0),FALSE)),0,VLOOKUP($B404,Miljö!$B$1:$S$500,MATCH("Såld mängd produktionsspecifik fjärrvärme (GWh)",Miljö!$B$1:$R$1,0),FALSE))</f>
        <v>0</v>
      </c>
      <c r="AN404" s="172">
        <f t="shared" si="156"/>
        <v>0.74646444798405198</v>
      </c>
      <c r="AO404" s="121"/>
      <c r="AP404" s="121" t="str">
        <f>IFERROR(VLOOKUP($B404,Miljövärden!$B$2:$H$550,7,FALSE),"Nej, saknas")</f>
        <v>Ja</v>
      </c>
      <c r="AQ404" s="121" t="str">
        <f>IFERROR(VLOOKUP($B404,Miljövärden!$B$2:$H$550,6,FALSE),"Nej, saknas")</f>
        <v>Nej</v>
      </c>
      <c r="AU404">
        <f t="shared" si="157"/>
        <v>0.20399999999999999</v>
      </c>
      <c r="AV404">
        <f t="shared" si="158"/>
        <v>0</v>
      </c>
      <c r="AW404">
        <f t="shared" si="159"/>
        <v>2.2929400000000002</v>
      </c>
      <c r="AX404">
        <f t="shared" si="160"/>
        <v>0</v>
      </c>
      <c r="AZ404">
        <f t="shared" si="161"/>
        <v>2.2929400000000002</v>
      </c>
      <c r="BC404">
        <f t="shared" si="162"/>
        <v>0.40877000000000002</v>
      </c>
      <c r="BD404">
        <f t="shared" si="163"/>
        <v>0</v>
      </c>
      <c r="BE404">
        <f t="shared" si="164"/>
        <v>2.2929400000000002</v>
      </c>
      <c r="BF404">
        <f t="shared" si="165"/>
        <v>6.2039</v>
      </c>
      <c r="BG404">
        <f t="shared" si="166"/>
        <v>0.20399999999999999</v>
      </c>
      <c r="BH404">
        <f>VLOOKUP(B404,Miljö!$B$1:$BX$482,MATCH("Fossilandel för ursprungspecificerad el ()",Miljö!$B$1:$I$1,0),FALSE)</f>
        <v>0.43</v>
      </c>
      <c r="BI404">
        <f>VLOOKUP(B404,Miljö!$B$1:$BX$482,MATCH("Kärnkraftsandel för ursprungsspecificerad el ()",Miljö!$B$1:$O$1,0),FALSE)</f>
        <v>0.40550000000000003</v>
      </c>
      <c r="BJ404">
        <f t="shared" si="167"/>
        <v>0</v>
      </c>
      <c r="BK404" t="str">
        <f>VLOOKUP(B404,Miljö!$B$1:$O$482,MATCH("Fossil andel i procent (%)",Miljö!$B$1:$O$1,0),FALSE)</f>
        <v>ET</v>
      </c>
      <c r="BL404">
        <f t="shared" si="168"/>
        <v>9.10961</v>
      </c>
      <c r="BO404" s="18">
        <f t="shared" si="169"/>
        <v>5.4501784379353234E-2</v>
      </c>
      <c r="BP404" s="18">
        <f t="shared" si="170"/>
        <v>9.0807400097259929E-3</v>
      </c>
      <c r="BQ404" s="18">
        <f t="shared" si="171"/>
        <v>0.25538941842735313</v>
      </c>
      <c r="BR404" s="18">
        <f t="shared" si="172"/>
        <v>0.68102805718356763</v>
      </c>
      <c r="BT404" s="27">
        <f t="shared" si="173"/>
        <v>1</v>
      </c>
      <c r="BW404" s="18">
        <f>IF(AP404="ja",VLOOKUP(B404,Miljövärden!$B$2:$H$550,MATCH("Total andel fossilt",Miljövärden!$B$2:$H$2,0),FALSE),"")</f>
        <v>5.4501800000000003E-2</v>
      </c>
      <c r="BZ404" s="28">
        <f t="shared" si="174"/>
        <v>1.5620646769132218E-8</v>
      </c>
      <c r="CA404" s="28">
        <f t="shared" si="175"/>
        <v>0</v>
      </c>
    </row>
    <row r="405" spans="1:79" x14ac:dyDescent="0.25">
      <c r="A405" s="224" t="s">
        <v>734</v>
      </c>
      <c r="B405" s="210" t="s">
        <v>738</v>
      </c>
      <c r="C405" s="121">
        <f>VLOOKUP($B405,'Tillförd energi'!$B$1:$AI$720,MATCH(C$1,'Tillförd energi'!$B$1:$AQ$1,0),FALSE)</f>
        <v>0</v>
      </c>
      <c r="D405" s="121">
        <f>VLOOKUP($B405,'Tillförd energi'!$B$1:$AI$720,MATCH(D$1,'Tillförd energi'!$B$1:$AQ$1,0),FALSE)</f>
        <v>5.3699999999999998E-3</v>
      </c>
      <c r="E405" s="121">
        <f>VLOOKUP($B405,'Tillförd energi'!$B$1:$AI$720,MATCH(E$1,'Tillförd energi'!$B$1:$AQ$1,0),FALSE)</f>
        <v>0</v>
      </c>
      <c r="F405" s="121">
        <f>VLOOKUP($B405,'Tillförd energi'!$B$1:$AI$720,MATCH(F$1,'Tillförd energi'!$B$1:$AQ$1,0),FALSE)</f>
        <v>0</v>
      </c>
      <c r="G405" s="121">
        <f>VLOOKUP($B405,'Tillförd energi'!$B$1:$AI$720,MATCH(G$1,'Tillförd energi'!$B$1:$AQ$1,0),FALSE)</f>
        <v>0</v>
      </c>
      <c r="H405" s="121">
        <f>VLOOKUP($B405,'Tillförd energi'!$B$1:$AI$720,MATCH(H$1,'Tillförd energi'!$B$1:$AQ$1,0),FALSE)</f>
        <v>0</v>
      </c>
      <c r="I405" s="121">
        <f>VLOOKUP($B405,'Tillförd energi'!$B$1:$AI$720,MATCH(I$1,'Tillförd energi'!$B$1:$AQ$1,0),FALSE)</f>
        <v>0</v>
      </c>
      <c r="J405" s="121">
        <f>VLOOKUP($B405,'Tillförd energi'!$B$1:$AI$720,MATCH(J$1,'Tillförd energi'!$B$1:$AQ$1,0),FALSE)</f>
        <v>0</v>
      </c>
      <c r="K405" s="121">
        <f>VLOOKUP($B405,'Tillförd energi'!$B$1:$AI$720,MATCH(K$1,'Tillförd energi'!$B$1:$AQ$1,0),FALSE)</f>
        <v>0</v>
      </c>
      <c r="L405" s="121">
        <f>VLOOKUP($B405,'Tillförd energi'!$B$1:$AI$720,MATCH(L$1,'Tillförd energi'!$B$1:$AQ$1,0),FALSE)</f>
        <v>0</v>
      </c>
      <c r="M405" s="121">
        <f>VLOOKUP($B405,'Tillförd energi'!$B$1:$AI$720,MATCH(M$1,'Tillförd energi'!$B$1:$AQ$1,0),FALSE)</f>
        <v>0</v>
      </c>
      <c r="N405" s="121">
        <f>VLOOKUP($B405,'Tillförd energi'!$B$1:$AI$720,MATCH(N$1,'Tillförd energi'!$B$1:$AQ$1,0),FALSE)</f>
        <v>0</v>
      </c>
      <c r="O405" s="121">
        <f>VLOOKUP($B405,'Tillförd energi'!$B$1:$AI$720,MATCH(O$1,'Tillförd energi'!$B$1:$AQ$1,0),FALSE)</f>
        <v>0</v>
      </c>
      <c r="P405" s="121">
        <f>VLOOKUP($B405,'Tillförd energi'!$B$1:$AI$720,MATCH(P$1,'Tillförd energi'!$B$1:$AQ$1,0),FALSE)</f>
        <v>0</v>
      </c>
      <c r="Q405" s="121">
        <f>VLOOKUP($B405,'Tillförd energi'!$B$1:$AI$720,MATCH(Q$1,'Tillförd energi'!$B$1:$AQ$1,0),FALSE)</f>
        <v>0</v>
      </c>
      <c r="R405" s="121">
        <f>VLOOKUP($B405,'Tillförd energi'!$B$1:$AI$720,MATCH(R$1,'Tillförd energi'!$B$1:$AQ$1,0),FALSE)</f>
        <v>0.71719999999999995</v>
      </c>
      <c r="S405" s="121">
        <f>VLOOKUP($B405,'Tillförd energi'!$B$1:$AI$720,MATCH(S$1,'Tillförd energi'!$B$1:$AQ$1,0),FALSE)</f>
        <v>0</v>
      </c>
      <c r="T405" s="121">
        <f>VLOOKUP($B405,'Tillförd energi'!$B$1:$AI$720,MATCH(T$1,'Tillförd energi'!$B$1:$AQ$1,0),FALSE)</f>
        <v>0</v>
      </c>
      <c r="U405" s="121">
        <f>VLOOKUP($B405,'Tillförd energi'!$B$1:$AI$720,MATCH(U$1,'Tillförd energi'!$B$1:$AQ$1,0),FALSE)</f>
        <v>0</v>
      </c>
      <c r="V405" s="121">
        <f>VLOOKUP($B405,'Tillförd energi'!$B$1:$AI$720,MATCH(V$1,'Tillförd energi'!$B$1:$AQ$1,0),FALSE)</f>
        <v>0</v>
      </c>
      <c r="W405" s="121">
        <f>VLOOKUP($B405,'Tillförd energi'!$B$1:$AI$720,MATCH(W$1,'Tillförd energi'!$B$1:$AQ$1,0),FALSE)</f>
        <v>0</v>
      </c>
      <c r="X405" s="121">
        <f>VLOOKUP($B405,'Tillförd energi'!$B$1:$AI$720,MATCH(X$1,'Tillförd energi'!$B$1:$AQ$1,0),FALSE)</f>
        <v>0</v>
      </c>
      <c r="Y405" s="121">
        <f>VLOOKUP($B405,'Tillförd energi'!$B$1:$AI$720,MATCH(Y$1,'Tillförd energi'!$B$1:$AQ$1,0),FALSE)</f>
        <v>0</v>
      </c>
      <c r="Z405" s="121">
        <f>VLOOKUP($B405,'Tillförd energi'!$B$1:$AI$720,MATCH(Z$1,'Tillförd energi'!$B$1:$AQ$1,0),FALSE)</f>
        <v>0</v>
      </c>
      <c r="AA405" s="121">
        <f>VLOOKUP($B405,'Tillförd energi'!$B$1:$AI$720,MATCH(AA$1,'Tillförd energi'!$B$1:$AQ$1,0),FALSE)</f>
        <v>0</v>
      </c>
      <c r="AB405" s="121">
        <f>VLOOKUP($B405,'Tillförd energi'!$B$1:$AI$720,MATCH(AB$1,'Tillförd energi'!$B$1:$AQ$1,0),FALSE)</f>
        <v>0</v>
      </c>
      <c r="AC405" s="121">
        <f>VLOOKUP($B405,'Tillförd energi'!$B$1:$AI$720,MATCH(AC$1,'Tillförd energi'!$B$1:$AQ$1,0),FALSE)</f>
        <v>0</v>
      </c>
      <c r="AD405" s="121">
        <f>VLOOKUP($B405,'Tillförd energi'!$B$1:$AI$720,MATCH(AD$1,'Tillförd energi'!$B$1:$AQ$1,0),FALSE)</f>
        <v>0</v>
      </c>
      <c r="AE405" s="121">
        <f>VLOOKUP($B405,'Tillförd energi'!$B$1:$AI$720,MATCH(AE$1,'Tillförd energi'!$B$1:$AQ$1,0),FALSE)</f>
        <v>0</v>
      </c>
      <c r="AF405" s="121">
        <f>VLOOKUP($B405,'Tillförd energi'!$B$1:$AI$720,MATCH(AF$1,'Tillförd energi'!$B$1:$AQ$1,0),FALSE)</f>
        <v>2.3300000000000001E-2</v>
      </c>
      <c r="AG405" s="121">
        <f>IFERROR(VLOOKUP(B405,Miljö!$B$1:$AC$550,MATCH("Köpt mängd produktionsspecifik fjärrvärme:",Miljö!$B$1:$AC$1,0),FALSE)/1,0)</f>
        <v>0</v>
      </c>
      <c r="AH405" s="121"/>
      <c r="AI405" s="121">
        <f t="shared" si="154"/>
        <v>0.74586999999999992</v>
      </c>
      <c r="AJ405" s="121">
        <f t="shared" si="155"/>
        <v>0.74586999999999992</v>
      </c>
      <c r="AK405" s="121">
        <f>IF(ISERROR(1/VLOOKUP($B405,Leveranser!$B$1:$S$499,MATCH("såld värme (gwh)",Leveranser!$B$1:$S$1,0),FALSE)),"",VLOOKUP($B405,Leveranser!$B$1:$S$499,MATCH("såld värme (gwh)",Leveranser!$B$1:$S$1,0),FALSE))</f>
        <v>0.54</v>
      </c>
      <c r="AL405" s="121">
        <f>VLOOKUP($B405,Leveranser!$B$1:$Y$499,MATCH("Totalt såld fjärrvärme till andra fjärrvärmeföretag",Leveranser!$B$1:$AA$1,0),FALSE)</f>
        <v>0</v>
      </c>
      <c r="AM405" s="121">
        <f>IF(ISERROR(1/VLOOKUP($B405,Miljö!$B$1:$S$500,MATCH("Såld mängd produktionsspecifik fjärrvärme (GWh)",Miljö!$B$1:$R$1,0),FALSE)),0,VLOOKUP($B405,Miljö!$B$1:$S$500,MATCH("Såld mängd produktionsspecifik fjärrvärme (GWh)",Miljö!$B$1:$R$1,0),FALSE))</f>
        <v>0</v>
      </c>
      <c r="AN405" s="172">
        <f t="shared" si="156"/>
        <v>0.72398675372383936</v>
      </c>
      <c r="AO405" s="121"/>
      <c r="AP405" s="121" t="str">
        <f>IFERROR(VLOOKUP($B405,Miljövärden!$B$2:$H$550,7,FALSE),"Nej, saknas")</f>
        <v>Ja</v>
      </c>
      <c r="AQ405" s="121" t="str">
        <f>IFERROR(VLOOKUP($B405,Miljövärden!$B$2:$H$550,6,FALSE),"Nej, saknas")</f>
        <v>Nej</v>
      </c>
      <c r="AU405">
        <f t="shared" si="157"/>
        <v>2.3300000000000001E-2</v>
      </c>
      <c r="AV405">
        <f t="shared" si="158"/>
        <v>0</v>
      </c>
      <c r="AW405">
        <f t="shared" si="159"/>
        <v>0</v>
      </c>
      <c r="AX405">
        <f t="shared" si="160"/>
        <v>0.71719999999999995</v>
      </c>
      <c r="AZ405">
        <f t="shared" si="161"/>
        <v>0.71719999999999995</v>
      </c>
      <c r="BC405">
        <f t="shared" si="162"/>
        <v>5.3699999999999998E-3</v>
      </c>
      <c r="BD405">
        <f t="shared" si="163"/>
        <v>0</v>
      </c>
      <c r="BE405">
        <f t="shared" si="164"/>
        <v>0.71719999999999995</v>
      </c>
      <c r="BF405">
        <f t="shared" si="165"/>
        <v>0</v>
      </c>
      <c r="BG405">
        <f t="shared" si="166"/>
        <v>2.3300000000000001E-2</v>
      </c>
      <c r="BH405">
        <f>VLOOKUP(B405,Miljö!$B$1:$BX$482,MATCH("Fossilandel för ursprungspecificerad el ()",Miljö!$B$1:$I$1,0),FALSE)</f>
        <v>0.03</v>
      </c>
      <c r="BI405">
        <f>VLOOKUP(B405,Miljö!$B$1:$BX$482,MATCH("Kärnkraftsandel för ursprungsspecificerad el ()",Miljö!$B$1:$O$1,0),FALSE)</f>
        <v>0</v>
      </c>
      <c r="BJ405">
        <f t="shared" si="167"/>
        <v>0</v>
      </c>
      <c r="BK405" t="str">
        <f>VLOOKUP(B405,Miljö!$B$1:$O$482,MATCH("Fossil andel i procent (%)",Miljö!$B$1:$O$1,0),FALSE)</f>
        <v>ET</v>
      </c>
      <c r="BL405">
        <f t="shared" si="168"/>
        <v>0.74586999999999992</v>
      </c>
      <c r="BO405" s="18">
        <f t="shared" si="169"/>
        <v>8.136806682129594E-3</v>
      </c>
      <c r="BP405" s="18">
        <f t="shared" si="170"/>
        <v>0</v>
      </c>
      <c r="BQ405" s="18">
        <f t="shared" si="171"/>
        <v>0.99186319331787043</v>
      </c>
      <c r="BR405" s="18">
        <f t="shared" si="172"/>
        <v>0</v>
      </c>
      <c r="BT405" s="27">
        <f t="shared" si="173"/>
        <v>1</v>
      </c>
      <c r="BW405" s="18">
        <f>IF(AP405="ja",VLOOKUP(B405,Miljövärden!$B$2:$H$550,MATCH("Total andel fossilt",Miljövärden!$B$2:$H$2,0),FALSE),"")</f>
        <v>8.1368099999999995E-3</v>
      </c>
      <c r="BZ405" s="28">
        <f t="shared" si="174"/>
        <v>3.3178704055003561E-9</v>
      </c>
      <c r="CA405" s="28">
        <f t="shared" si="175"/>
        <v>0</v>
      </c>
    </row>
    <row r="406" spans="1:79" x14ac:dyDescent="0.25">
      <c r="A406" s="224" t="s">
        <v>734</v>
      </c>
      <c r="B406" s="210" t="s">
        <v>739</v>
      </c>
      <c r="C406" s="121">
        <f>VLOOKUP($B406,'Tillförd energi'!$B$1:$AI$720,MATCH(C$1,'Tillförd energi'!$B$1:$AQ$1,0),FALSE)</f>
        <v>0</v>
      </c>
      <c r="D406" s="121">
        <f>VLOOKUP($B406,'Tillförd energi'!$B$1:$AI$720,MATCH(D$1,'Tillförd energi'!$B$1:$AQ$1,0),FALSE)</f>
        <v>9.6077999999999992</v>
      </c>
      <c r="E406" s="121">
        <f>VLOOKUP($B406,'Tillförd energi'!$B$1:$AI$720,MATCH(E$1,'Tillförd energi'!$B$1:$AQ$1,0),FALSE)</f>
        <v>0</v>
      </c>
      <c r="F406" s="121">
        <f>VLOOKUP($B406,'Tillförd energi'!$B$1:$AI$720,MATCH(F$1,'Tillförd energi'!$B$1:$AQ$1,0),FALSE)</f>
        <v>4.5744899999999999</v>
      </c>
      <c r="G406" s="121">
        <f>VLOOKUP($B406,'Tillförd energi'!$B$1:$AI$720,MATCH(G$1,'Tillförd energi'!$B$1:$AQ$1,0),FALSE)</f>
        <v>0</v>
      </c>
      <c r="H406" s="121">
        <f>VLOOKUP($B406,'Tillförd energi'!$B$1:$AI$720,MATCH(H$1,'Tillförd energi'!$B$1:$AQ$1,0),FALSE)</f>
        <v>0</v>
      </c>
      <c r="I406" s="121">
        <f>VLOOKUP($B406,'Tillförd energi'!$B$1:$AI$720,MATCH(I$1,'Tillförd energi'!$B$1:$AQ$1,0),FALSE)</f>
        <v>0</v>
      </c>
      <c r="J406" s="121">
        <f>VLOOKUP($B406,'Tillförd energi'!$B$1:$AI$720,MATCH(J$1,'Tillförd energi'!$B$1:$AQ$1,0),FALSE)</f>
        <v>4.4244500000000002</v>
      </c>
      <c r="K406" s="121">
        <f>VLOOKUP($B406,'Tillförd energi'!$B$1:$AI$720,MATCH(K$1,'Tillförd energi'!$B$1:$AQ$1,0),FALSE)</f>
        <v>0</v>
      </c>
      <c r="L406" s="121">
        <f>VLOOKUP($B406,'Tillförd energi'!$B$1:$AI$720,MATCH(L$1,'Tillförd energi'!$B$1:$AQ$1,0),FALSE)</f>
        <v>0</v>
      </c>
      <c r="M406" s="121">
        <f>VLOOKUP($B406,'Tillförd energi'!$B$1:$AI$720,MATCH(M$1,'Tillförd energi'!$B$1:$AQ$1,0),FALSE)</f>
        <v>115.14100000000001</v>
      </c>
      <c r="N406" s="121">
        <f>VLOOKUP($B406,'Tillförd energi'!$B$1:$AI$720,MATCH(N$1,'Tillförd energi'!$B$1:$AQ$1,0),FALSE)</f>
        <v>9.4079599999999992</v>
      </c>
      <c r="O406" s="121">
        <f>VLOOKUP($B406,'Tillförd energi'!$B$1:$AI$720,MATCH(O$1,'Tillförd energi'!$B$1:$AQ$1,0),FALSE)</f>
        <v>45.821199999999997</v>
      </c>
      <c r="P406" s="121">
        <f>VLOOKUP($B406,'Tillförd energi'!$B$1:$AI$720,MATCH(P$1,'Tillförd energi'!$B$1:$AQ$1,0),FALSE)</f>
        <v>32.734900000000003</v>
      </c>
      <c r="Q406" s="121">
        <f>VLOOKUP($B406,'Tillförd energi'!$B$1:$AI$720,MATCH(Q$1,'Tillförd energi'!$B$1:$AQ$1,0),FALSE)</f>
        <v>0</v>
      </c>
      <c r="R406" s="121">
        <f>VLOOKUP($B406,'Tillförd energi'!$B$1:$AI$720,MATCH(R$1,'Tillförd energi'!$B$1:$AQ$1,0),FALSE)</f>
        <v>0</v>
      </c>
      <c r="S406" s="121">
        <f>VLOOKUP($B406,'Tillförd energi'!$B$1:$AI$720,MATCH(S$1,'Tillförd energi'!$B$1:$AQ$1,0),FALSE)</f>
        <v>0</v>
      </c>
      <c r="T406" s="121">
        <f>VLOOKUP($B406,'Tillförd energi'!$B$1:$AI$720,MATCH(T$1,'Tillförd energi'!$B$1:$AQ$1,0),FALSE)</f>
        <v>0</v>
      </c>
      <c r="U406" s="121">
        <f>VLOOKUP($B406,'Tillförd energi'!$B$1:$AI$720,MATCH(U$1,'Tillförd energi'!$B$1:$AQ$1,0),FALSE)</f>
        <v>0</v>
      </c>
      <c r="V406" s="121">
        <f>VLOOKUP($B406,'Tillförd energi'!$B$1:$AI$720,MATCH(V$1,'Tillförd energi'!$B$1:$AQ$1,0),FALSE)</f>
        <v>0</v>
      </c>
      <c r="W406" s="121">
        <f>VLOOKUP($B406,'Tillförd energi'!$B$1:$AI$720,MATCH(W$1,'Tillförd energi'!$B$1:$AQ$1,0),FALSE)</f>
        <v>0</v>
      </c>
      <c r="X406" s="121">
        <f>VLOOKUP($B406,'Tillförd energi'!$B$1:$AI$720,MATCH(X$1,'Tillförd energi'!$B$1:$AQ$1,0),FALSE)</f>
        <v>0</v>
      </c>
      <c r="Y406" s="121">
        <f>VLOOKUP($B406,'Tillförd energi'!$B$1:$AI$720,MATCH(Y$1,'Tillförd energi'!$B$1:$AQ$1,0),FALSE)</f>
        <v>39.361499999999999</v>
      </c>
      <c r="Z406" s="121">
        <f>VLOOKUP($B406,'Tillförd energi'!$B$1:$AI$720,MATCH(Z$1,'Tillförd energi'!$B$1:$AQ$1,0),FALSE)</f>
        <v>0</v>
      </c>
      <c r="AA406" s="121">
        <f>VLOOKUP($B406,'Tillförd energi'!$B$1:$AI$720,MATCH(AA$1,'Tillförd energi'!$B$1:$AQ$1,0),FALSE)</f>
        <v>0</v>
      </c>
      <c r="AB406" s="121">
        <f>VLOOKUP($B406,'Tillförd energi'!$B$1:$AI$720,MATCH(AB$1,'Tillförd energi'!$B$1:$AQ$1,0),FALSE)</f>
        <v>0</v>
      </c>
      <c r="AC406" s="121">
        <f>VLOOKUP($B406,'Tillförd energi'!$B$1:$AI$720,MATCH(AC$1,'Tillförd energi'!$B$1:$AQ$1,0),FALSE)</f>
        <v>0</v>
      </c>
      <c r="AD406" s="121">
        <f>VLOOKUP($B406,'Tillförd energi'!$B$1:$AI$720,MATCH(AD$1,'Tillförd energi'!$B$1:$AQ$1,0),FALSE)</f>
        <v>0</v>
      </c>
      <c r="AE406" s="121">
        <f>VLOOKUP($B406,'Tillförd energi'!$B$1:$AI$720,MATCH(AE$1,'Tillförd energi'!$B$1:$AQ$1,0),FALSE)</f>
        <v>0</v>
      </c>
      <c r="AF406" s="121">
        <f>VLOOKUP($B406,'Tillförd energi'!$B$1:$AI$720,MATCH(AF$1,'Tillförd energi'!$B$1:$AQ$1,0),FALSE)</f>
        <v>9.2359500000000008</v>
      </c>
      <c r="AG406" s="121">
        <f>IFERROR(VLOOKUP(B406,Miljö!$B$1:$AC$550,MATCH("Köpt mängd produktionsspecifik fjärrvärme:",Miljö!$B$1:$AC$1,0),FALSE)/1,0)</f>
        <v>0</v>
      </c>
      <c r="AH406" s="121"/>
      <c r="AI406" s="121">
        <f t="shared" si="154"/>
        <v>270.30925000000002</v>
      </c>
      <c r="AJ406" s="121">
        <f t="shared" si="155"/>
        <v>270.30925000000002</v>
      </c>
      <c r="AK406" s="121">
        <f>IF(ISERROR(1/VLOOKUP($B406,Leveranser!$B$1:$S$499,MATCH("såld värme (gwh)",Leveranser!$B$1:$S$1,0),FALSE)),"",VLOOKUP($B406,Leveranser!$B$1:$S$499,MATCH("såld värme (gwh)",Leveranser!$B$1:$S$1,0),FALSE))</f>
        <v>277.14</v>
      </c>
      <c r="AL406" s="121">
        <f>VLOOKUP($B406,Leveranser!$B$1:$Y$499,MATCH("Totalt såld fjärrvärme till andra fjärrvärmeföretag",Leveranser!$B$1:$AA$1,0),FALSE)</f>
        <v>0</v>
      </c>
      <c r="AM406" s="121">
        <f>IF(ISERROR(1/VLOOKUP($B406,Miljö!$B$1:$S$500,MATCH("Såld mängd produktionsspecifik fjärrvärme (GWh)",Miljö!$B$1:$R$1,0),FALSE)),0,VLOOKUP($B406,Miljö!$B$1:$S$500,MATCH("Såld mängd produktionsspecifik fjärrvärme (GWh)",Miljö!$B$1:$R$1,0),FALSE))</f>
        <v>0</v>
      </c>
      <c r="AN406" s="172">
        <f t="shared" si="156"/>
        <v>1.0252701304154408</v>
      </c>
      <c r="AO406" s="121"/>
      <c r="AP406" s="121" t="str">
        <f>IFERROR(VLOOKUP($B406,Miljövärden!$B$2:$H$550,7,FALSE),"Nej, saknas")</f>
        <v>Ja</v>
      </c>
      <c r="AQ406" s="121" t="str">
        <f>IFERROR(VLOOKUP($B406,Miljövärden!$B$2:$H$550,6,FALSE),"Nej, saknas")</f>
        <v>Nej</v>
      </c>
      <c r="AU406">
        <f t="shared" si="157"/>
        <v>9.2359500000000008</v>
      </c>
      <c r="AV406">
        <f t="shared" si="158"/>
        <v>0</v>
      </c>
      <c r="AW406">
        <f t="shared" si="159"/>
        <v>203.10506000000001</v>
      </c>
      <c r="AX406">
        <f t="shared" si="160"/>
        <v>0</v>
      </c>
      <c r="AZ406">
        <f t="shared" si="161"/>
        <v>203.10506000000001</v>
      </c>
      <c r="BC406">
        <f t="shared" si="162"/>
        <v>14.182289999999998</v>
      </c>
      <c r="BD406">
        <f t="shared" si="163"/>
        <v>39.361499999999999</v>
      </c>
      <c r="BE406">
        <f t="shared" si="164"/>
        <v>203.10506000000001</v>
      </c>
      <c r="BF406">
        <f t="shared" si="165"/>
        <v>4.4244500000000002</v>
      </c>
      <c r="BG406">
        <f t="shared" si="166"/>
        <v>9.2359500000000008</v>
      </c>
      <c r="BH406">
        <f>VLOOKUP(B406,Miljö!$B$1:$BX$482,MATCH("Fossilandel för ursprungspecificerad el ()",Miljö!$B$1:$I$1,0),FALSE)</f>
        <v>0.03</v>
      </c>
      <c r="BI406">
        <f>VLOOKUP(B406,Miljö!$B$1:$BX$482,MATCH("Kärnkraftsandel för ursprungsspecificerad el ()",Miljö!$B$1:$O$1,0),FALSE)</f>
        <v>0</v>
      </c>
      <c r="BJ406">
        <f t="shared" si="167"/>
        <v>0</v>
      </c>
      <c r="BK406" t="str">
        <f>VLOOKUP(B406,Miljö!$B$1:$O$482,MATCH("Fossil andel i procent (%)",Miljö!$B$1:$O$1,0),FALSE)</f>
        <v>ET</v>
      </c>
      <c r="BL406">
        <f t="shared" si="168"/>
        <v>270.30925000000002</v>
      </c>
      <c r="BO406" s="18">
        <f t="shared" si="169"/>
        <v>5.3491948573716946E-2</v>
      </c>
      <c r="BP406" s="18">
        <f t="shared" si="170"/>
        <v>0.1456165484532993</v>
      </c>
      <c r="BQ406" s="18">
        <f t="shared" si="171"/>
        <v>0.78452339866282783</v>
      </c>
      <c r="BR406" s="18">
        <f t="shared" si="172"/>
        <v>1.6368104310155868E-2</v>
      </c>
      <c r="BT406" s="27">
        <f t="shared" si="173"/>
        <v>1</v>
      </c>
      <c r="BW406" s="18">
        <f>IF(AP406="ja",VLOOKUP(B406,Miljövärden!$B$2:$H$550,MATCH("Total andel fossilt",Miljövärden!$B$2:$H$2,0),FALSE),"")</f>
        <v>5.3492100000000001E-2</v>
      </c>
      <c r="BZ406" s="28">
        <f t="shared" si="174"/>
        <v>1.5142628305431227E-7</v>
      </c>
      <c r="CA406" s="28">
        <f t="shared" si="175"/>
        <v>0</v>
      </c>
    </row>
    <row r="407" spans="1:79" x14ac:dyDescent="0.25">
      <c r="A407" s="224" t="s">
        <v>734</v>
      </c>
      <c r="B407" s="210" t="s">
        <v>740</v>
      </c>
      <c r="C407" s="121">
        <f>VLOOKUP($B407,'Tillförd energi'!$B$1:$AI$720,MATCH(C$1,'Tillförd energi'!$B$1:$AQ$1,0),FALSE)</f>
        <v>0</v>
      </c>
      <c r="D407" s="121">
        <f>VLOOKUP($B407,'Tillförd energi'!$B$1:$AI$720,MATCH(D$1,'Tillförd energi'!$B$1:$AQ$1,0),FALSE)</f>
        <v>0.63500000000000001</v>
      </c>
      <c r="E407" s="121">
        <f>VLOOKUP($B407,'Tillförd energi'!$B$1:$AI$720,MATCH(E$1,'Tillförd energi'!$B$1:$AQ$1,0),FALSE)</f>
        <v>0</v>
      </c>
      <c r="F407" s="121">
        <f>VLOOKUP($B407,'Tillförd energi'!$B$1:$AI$720,MATCH(F$1,'Tillförd energi'!$B$1:$AQ$1,0),FALSE)</f>
        <v>0.101992</v>
      </c>
      <c r="G407" s="121">
        <f>VLOOKUP($B407,'Tillförd energi'!$B$1:$AI$720,MATCH(G$1,'Tillförd energi'!$B$1:$AQ$1,0),FALSE)</f>
        <v>0</v>
      </c>
      <c r="H407" s="121">
        <f>VLOOKUP($B407,'Tillförd energi'!$B$1:$AI$720,MATCH(H$1,'Tillförd energi'!$B$1:$AQ$1,0),FALSE)</f>
        <v>0</v>
      </c>
      <c r="I407" s="121">
        <f>VLOOKUP($B407,'Tillförd energi'!$B$1:$AI$720,MATCH(I$1,'Tillförd energi'!$B$1:$AQ$1,0),FALSE)</f>
        <v>0</v>
      </c>
      <c r="J407" s="121">
        <f>VLOOKUP($B407,'Tillförd energi'!$B$1:$AI$720,MATCH(J$1,'Tillförd energi'!$B$1:$AQ$1,0),FALSE)</f>
        <v>2.67638</v>
      </c>
      <c r="K407" s="121">
        <f>VLOOKUP($B407,'Tillförd energi'!$B$1:$AI$720,MATCH(K$1,'Tillförd energi'!$B$1:$AQ$1,0),FALSE)</f>
        <v>0</v>
      </c>
      <c r="L407" s="121">
        <f>VLOOKUP($B407,'Tillförd energi'!$B$1:$AI$720,MATCH(L$1,'Tillförd energi'!$B$1:$AQ$1,0),FALSE)</f>
        <v>0</v>
      </c>
      <c r="M407" s="121">
        <f>VLOOKUP($B407,'Tillförd energi'!$B$1:$AI$720,MATCH(M$1,'Tillförd energi'!$B$1:$AQ$1,0),FALSE)</f>
        <v>62.471299999999999</v>
      </c>
      <c r="N407" s="121">
        <f>VLOOKUP($B407,'Tillförd energi'!$B$1:$AI$720,MATCH(N$1,'Tillförd energi'!$B$1:$AQ$1,0),FALSE)</f>
        <v>3.9522699999999999</v>
      </c>
      <c r="O407" s="121">
        <f>VLOOKUP($B407,'Tillförd energi'!$B$1:$AI$720,MATCH(O$1,'Tillförd energi'!$B$1:$AQ$1,0),FALSE)</f>
        <v>23.974699999999999</v>
      </c>
      <c r="P407" s="121">
        <f>VLOOKUP($B407,'Tillförd energi'!$B$1:$AI$720,MATCH(P$1,'Tillförd energi'!$B$1:$AQ$1,0),FALSE)</f>
        <v>18.327200000000001</v>
      </c>
      <c r="Q407" s="121">
        <f>VLOOKUP($B407,'Tillförd energi'!$B$1:$AI$720,MATCH(Q$1,'Tillförd energi'!$B$1:$AQ$1,0),FALSE)</f>
        <v>0</v>
      </c>
      <c r="R407" s="121">
        <f>VLOOKUP($B407,'Tillförd energi'!$B$1:$AI$720,MATCH(R$1,'Tillförd energi'!$B$1:$AQ$1,0),FALSE)</f>
        <v>0</v>
      </c>
      <c r="S407" s="121">
        <f>VLOOKUP($B407,'Tillförd energi'!$B$1:$AI$720,MATCH(S$1,'Tillförd energi'!$B$1:$AQ$1,0),FALSE)</f>
        <v>0</v>
      </c>
      <c r="T407" s="121">
        <f>VLOOKUP($B407,'Tillförd energi'!$B$1:$AI$720,MATCH(T$1,'Tillförd energi'!$B$1:$AQ$1,0),FALSE)</f>
        <v>0</v>
      </c>
      <c r="U407" s="121">
        <f>VLOOKUP($B407,'Tillförd energi'!$B$1:$AI$720,MATCH(U$1,'Tillförd energi'!$B$1:$AQ$1,0),FALSE)</f>
        <v>0</v>
      </c>
      <c r="V407" s="121">
        <f>VLOOKUP($B407,'Tillförd energi'!$B$1:$AI$720,MATCH(V$1,'Tillförd energi'!$B$1:$AQ$1,0),FALSE)</f>
        <v>0</v>
      </c>
      <c r="W407" s="121">
        <f>VLOOKUP($B407,'Tillförd energi'!$B$1:$AI$720,MATCH(W$1,'Tillförd energi'!$B$1:$AQ$1,0),FALSE)</f>
        <v>11.022</v>
      </c>
      <c r="X407" s="121">
        <f>VLOOKUP($B407,'Tillförd energi'!$B$1:$AI$720,MATCH(X$1,'Tillförd energi'!$B$1:$AQ$1,0),FALSE)</f>
        <v>0</v>
      </c>
      <c r="Y407" s="121">
        <f>VLOOKUP($B407,'Tillförd energi'!$B$1:$AI$720,MATCH(Y$1,'Tillförd energi'!$B$1:$AQ$1,0),FALSE)</f>
        <v>22.1587</v>
      </c>
      <c r="Z407" s="121">
        <f>VLOOKUP($B407,'Tillförd energi'!$B$1:$AI$720,MATCH(Z$1,'Tillförd energi'!$B$1:$AQ$1,0),FALSE)</f>
        <v>1.0069999999999999</v>
      </c>
      <c r="AA407" s="121">
        <f>VLOOKUP($B407,'Tillförd energi'!$B$1:$AI$720,MATCH(AA$1,'Tillförd energi'!$B$1:$AQ$1,0),FALSE)</f>
        <v>0</v>
      </c>
      <c r="AB407" s="121">
        <f>VLOOKUP($B407,'Tillförd energi'!$B$1:$AI$720,MATCH(AB$1,'Tillförd energi'!$B$1:$AQ$1,0),FALSE)</f>
        <v>0</v>
      </c>
      <c r="AC407" s="121">
        <f>VLOOKUP($B407,'Tillförd energi'!$B$1:$AI$720,MATCH(AC$1,'Tillförd energi'!$B$1:$AQ$1,0),FALSE)</f>
        <v>75.570999999999998</v>
      </c>
      <c r="AD407" s="121">
        <f>VLOOKUP($B407,'Tillförd energi'!$B$1:$AI$720,MATCH(AD$1,'Tillförd energi'!$B$1:$AQ$1,0),FALSE)</f>
        <v>0</v>
      </c>
      <c r="AE407" s="121">
        <f>VLOOKUP($B407,'Tillförd energi'!$B$1:$AI$720,MATCH(AE$1,'Tillförd energi'!$B$1:$AQ$1,0),FALSE)</f>
        <v>0</v>
      </c>
      <c r="AF407" s="121">
        <f>VLOOKUP($B407,'Tillförd energi'!$B$1:$AI$720,MATCH(AF$1,'Tillförd energi'!$B$1:$AQ$1,0),FALSE)</f>
        <v>6.3315900000000003</v>
      </c>
      <c r="AG407" s="121">
        <f>IFERROR(VLOOKUP(B407,Miljö!$B$1:$AC$550,MATCH("Köpt mängd produktionsspecifik fjärrvärme:",Miljö!$B$1:$AC$1,0),FALSE)/1,0)</f>
        <v>0</v>
      </c>
      <c r="AH407" s="121"/>
      <c r="AI407" s="121">
        <f t="shared" si="154"/>
        <v>228.22913200000002</v>
      </c>
      <c r="AJ407" s="121">
        <f t="shared" si="155"/>
        <v>228.22913200000002</v>
      </c>
      <c r="AK407" s="121">
        <f>IF(ISERROR(1/VLOOKUP($B407,Leveranser!$B$1:$S$499,MATCH("såld värme (gwh)",Leveranser!$B$1:$S$1,0),FALSE)),"",VLOOKUP($B407,Leveranser!$B$1:$S$499,MATCH("såld värme (gwh)",Leveranser!$B$1:$S$1,0),FALSE))</f>
        <v>234.08</v>
      </c>
      <c r="AL407" s="121">
        <f>VLOOKUP($B407,Leveranser!$B$1:$Y$499,MATCH("Totalt såld fjärrvärme till andra fjärrvärmeföretag",Leveranser!$B$1:$AA$1,0),FALSE)</f>
        <v>0</v>
      </c>
      <c r="AM407" s="121">
        <f>IF(ISERROR(1/VLOOKUP($B407,Miljö!$B$1:$S$500,MATCH("Såld mängd produktionsspecifik fjärrvärme (GWh)",Miljö!$B$1:$R$1,0),FALSE)),0,VLOOKUP($B407,Miljö!$B$1:$S$500,MATCH("Såld mängd produktionsspecifik fjärrvärme (GWh)",Miljö!$B$1:$R$1,0),FALSE))</f>
        <v>0</v>
      </c>
      <c r="AN407" s="172">
        <f t="shared" si="156"/>
        <v>1.0256359385356641</v>
      </c>
      <c r="AO407" s="121"/>
      <c r="AP407" s="121" t="str">
        <f>IFERROR(VLOOKUP($B407,Miljövärden!$B$2:$H$550,7,FALSE),"Nej, saknas")</f>
        <v>Ja</v>
      </c>
      <c r="AQ407" s="121" t="str">
        <f>IFERROR(VLOOKUP($B407,Miljövärden!$B$2:$H$550,6,FALSE),"Nej, saknas")</f>
        <v>Ja</v>
      </c>
      <c r="AU407">
        <f t="shared" si="157"/>
        <v>7.3385899999999999</v>
      </c>
      <c r="AV407">
        <f t="shared" si="158"/>
        <v>0</v>
      </c>
      <c r="AW407">
        <f t="shared" si="159"/>
        <v>108.72547</v>
      </c>
      <c r="AX407">
        <f t="shared" si="160"/>
        <v>0</v>
      </c>
      <c r="AZ407">
        <f t="shared" si="161"/>
        <v>119.74747000000001</v>
      </c>
      <c r="BC407">
        <f t="shared" si="162"/>
        <v>0.73699199999999998</v>
      </c>
      <c r="BD407">
        <f t="shared" si="163"/>
        <v>22.1587</v>
      </c>
      <c r="BE407">
        <f t="shared" si="164"/>
        <v>119.74747000000001</v>
      </c>
      <c r="BF407">
        <f t="shared" si="165"/>
        <v>78.247379999999993</v>
      </c>
      <c r="BG407">
        <f t="shared" si="166"/>
        <v>7.3385899999999999</v>
      </c>
      <c r="BH407">
        <f>VLOOKUP(B407,Miljö!$B$1:$BX$482,MATCH("Fossilandel för ursprungspecificerad el ()",Miljö!$B$1:$I$1,0),FALSE)</f>
        <v>0.03</v>
      </c>
      <c r="BI407">
        <f>VLOOKUP(B407,Miljö!$B$1:$BX$482,MATCH("Kärnkraftsandel för ursprungsspecificerad el ()",Miljö!$B$1:$O$1,0),FALSE)</f>
        <v>0</v>
      </c>
      <c r="BJ407">
        <f t="shared" si="167"/>
        <v>0</v>
      </c>
      <c r="BK407" t="str">
        <f>VLOOKUP(B407,Miljö!$B$1:$O$482,MATCH("Fossil andel i procent (%)",Miljö!$B$1:$O$1,0),FALSE)</f>
        <v>ET</v>
      </c>
      <c r="BL407">
        <f t="shared" si="168"/>
        <v>228.22913200000002</v>
      </c>
      <c r="BO407" s="18">
        <f t="shared" si="169"/>
        <v>4.1938103677316698E-3</v>
      </c>
      <c r="BP407" s="18">
        <f t="shared" si="170"/>
        <v>9.7089708950915163E-2</v>
      </c>
      <c r="BQ407" s="18">
        <f t="shared" si="171"/>
        <v>0.55587076543760416</v>
      </c>
      <c r="BR407" s="18">
        <f t="shared" si="172"/>
        <v>0.34284571524374891</v>
      </c>
      <c r="BT407" s="27">
        <f t="shared" si="173"/>
        <v>1</v>
      </c>
      <c r="BW407" s="18">
        <f>IF(AP407="ja",VLOOKUP(B407,Miljövärden!$B$2:$H$550,MATCH("Total andel fossilt",Miljövärden!$B$2:$H$2,0),FALSE),"")</f>
        <v>4.1938100000000001E-3</v>
      </c>
      <c r="BZ407" s="28">
        <f t="shared" si="174"/>
        <v>-3.67731669767557E-10</v>
      </c>
      <c r="CA407" s="28">
        <f t="shared" si="175"/>
        <v>0</v>
      </c>
    </row>
    <row r="414" spans="1:79" x14ac:dyDescent="0.25">
      <c r="A414" s="29" t="s">
        <v>1373</v>
      </c>
      <c r="B414" s="29" t="s">
        <v>1373</v>
      </c>
      <c r="C414" s="30">
        <f t="shared" ref="C414:AG414" si="176">SUMIF($AP$2:$AP$407,"=ja",C2:C407)</f>
        <v>841.27177000000006</v>
      </c>
      <c r="D414" s="30">
        <f t="shared" si="176"/>
        <v>478.37779899999998</v>
      </c>
      <c r="E414" s="30">
        <f t="shared" si="176"/>
        <v>47.240929000000008</v>
      </c>
      <c r="F414" s="30">
        <f t="shared" si="176"/>
        <v>370.92636300000009</v>
      </c>
      <c r="G414" s="30">
        <f t="shared" si="176"/>
        <v>960.7890000000001</v>
      </c>
      <c r="H414" s="30">
        <f t="shared" si="176"/>
        <v>45.311999999999998</v>
      </c>
      <c r="I414" s="30">
        <f t="shared" si="176"/>
        <v>12085.0117357</v>
      </c>
      <c r="J414" s="30">
        <f t="shared" si="176"/>
        <v>294.41454999999991</v>
      </c>
      <c r="K414" s="30">
        <f t="shared" si="176"/>
        <v>739.5</v>
      </c>
      <c r="L414" s="30">
        <f t="shared" si="176"/>
        <v>3908.6731559999998</v>
      </c>
      <c r="M414" s="30">
        <f t="shared" si="176"/>
        <v>2331.5358699999997</v>
      </c>
      <c r="N414" s="30">
        <f t="shared" si="176"/>
        <v>6081.7415789999995</v>
      </c>
      <c r="O414" s="30">
        <f t="shared" si="176"/>
        <v>1439.6261300000003</v>
      </c>
      <c r="P414" s="30">
        <f t="shared" si="176"/>
        <v>3452.2634689999991</v>
      </c>
      <c r="Q414" s="30">
        <f t="shared" si="176"/>
        <v>2381.7363686999984</v>
      </c>
      <c r="R414" s="30">
        <f t="shared" si="176"/>
        <v>2310.9577640000002</v>
      </c>
      <c r="S414" s="30">
        <f t="shared" si="176"/>
        <v>416.74656499999998</v>
      </c>
      <c r="T414" s="30">
        <f t="shared" si="176"/>
        <v>314.98934000000003</v>
      </c>
      <c r="U414" s="30">
        <f t="shared" si="176"/>
        <v>73.143216000000024</v>
      </c>
      <c r="V414" s="30">
        <f t="shared" si="176"/>
        <v>273.34514899999999</v>
      </c>
      <c r="W414" s="30">
        <f t="shared" si="176"/>
        <v>988.126891</v>
      </c>
      <c r="X414" s="30">
        <f t="shared" si="176"/>
        <v>69.127720099999991</v>
      </c>
      <c r="Y414" s="30">
        <f t="shared" si="176"/>
        <v>1195.58403</v>
      </c>
      <c r="Z414" s="30">
        <f t="shared" si="176"/>
        <v>189.88235600000002</v>
      </c>
      <c r="AA414" s="30">
        <f t="shared" si="176"/>
        <v>1020.7434300000001</v>
      </c>
      <c r="AB414" s="30">
        <f t="shared" si="176"/>
        <v>2171.4011099999998</v>
      </c>
      <c r="AC414" s="30">
        <f t="shared" si="176"/>
        <v>5973.7537500000035</v>
      </c>
      <c r="AD414" s="30">
        <f t="shared" si="176"/>
        <v>4550.9746000000014</v>
      </c>
      <c r="AE414" s="30">
        <f t="shared" si="176"/>
        <v>0.46117599999999997</v>
      </c>
      <c r="AF414" s="30">
        <f t="shared" si="176"/>
        <v>1625.2974770000003</v>
      </c>
      <c r="AG414" s="30">
        <f t="shared" si="176"/>
        <v>1610.8330000000003</v>
      </c>
      <c r="AI414" s="30">
        <f>SUMIF($AP$2:$AP$408,"=ja",AI2:AI408)</f>
        <v>56632.955293500032</v>
      </c>
      <c r="AJ414" s="30">
        <f>SUMIF($AP$2:$AP$408,"=ja",AJ2:AJ408)</f>
        <v>58243.788293500045</v>
      </c>
      <c r="AK414" s="30">
        <f>SUMIF($AP$2:$AP$408,"=ja",AK2:AK408)</f>
        <v>50418.349010000013</v>
      </c>
      <c r="AL414" s="30">
        <f>SUMIF($AP$2:$AP$408,"=ja",AL2:AL408)</f>
        <v>1727.499</v>
      </c>
      <c r="AM414" s="30">
        <f>SUMIF($AP$2:$AP$408,"=ja",AM2:AM408)</f>
        <v>4384.6890000000003</v>
      </c>
      <c r="AU414" s="30">
        <f>SUMIF($AP$2:$AP$408,"=ja",AU2:AU408)</f>
        <v>2835.9232629999974</v>
      </c>
      <c r="AV414" s="30">
        <f>SUMIF($AP$2:$AP$408,"=ja",AV2:AV408)</f>
        <v>69.127720099999991</v>
      </c>
      <c r="AW414" s="30">
        <f>SUMIF($AP$2:$AP$408,"=ja",AW2:AW408)</f>
        <v>15686.903416699994</v>
      </c>
      <c r="AX414" s="30">
        <f>SUMIF($AP$2:$AP$408,"=ja",AX2:AX408)</f>
        <v>3115.8368849999997</v>
      </c>
      <c r="AY414" s="31"/>
      <c r="AZ414" s="30">
        <f>SUMIF($AP$2:$AP$408,"=ja",AZ2:AZ408)</f>
        <v>24042.013217800006</v>
      </c>
      <c r="BW414" s="32"/>
    </row>
    <row r="415" spans="1:79" x14ac:dyDescent="0.25">
      <c r="A415" s="111" t="s">
        <v>1521</v>
      </c>
      <c r="B415" s="111" t="s">
        <v>1522</v>
      </c>
      <c r="C415" s="115">
        <f t="shared" ref="C415:AG415" si="177">SUMIFS(C$2:C$407,$AP$2:$AP$407,"=ja",$AK$2:$AK$407,"&lt;150")</f>
        <v>1.27176</v>
      </c>
      <c r="D415" s="115">
        <f t="shared" si="177"/>
        <v>170.67543400000005</v>
      </c>
      <c r="E415" s="115">
        <f t="shared" si="177"/>
        <v>3.9570989999999999</v>
      </c>
      <c r="F415" s="115">
        <f t="shared" si="177"/>
        <v>12.912266000000001</v>
      </c>
      <c r="G415" s="115">
        <f t="shared" si="177"/>
        <v>14.155999999999997</v>
      </c>
      <c r="H415" s="115">
        <f t="shared" si="177"/>
        <v>3.8099999999999996</v>
      </c>
      <c r="I415" s="115">
        <f t="shared" si="177"/>
        <v>720.59008570000003</v>
      </c>
      <c r="J415" s="115">
        <f t="shared" si="177"/>
        <v>42.764788000000003</v>
      </c>
      <c r="K415" s="115">
        <f t="shared" si="177"/>
        <v>0</v>
      </c>
      <c r="L415" s="115">
        <f t="shared" si="177"/>
        <v>580.44984199999988</v>
      </c>
      <c r="M415" s="115">
        <f t="shared" si="177"/>
        <v>843.52147000000014</v>
      </c>
      <c r="N415" s="115">
        <f t="shared" si="177"/>
        <v>1707.5839689999993</v>
      </c>
      <c r="O415" s="115">
        <f t="shared" si="177"/>
        <v>574.75923000000012</v>
      </c>
      <c r="P415" s="115">
        <f t="shared" si="177"/>
        <v>1817.8859721999997</v>
      </c>
      <c r="Q415" s="115">
        <f t="shared" si="177"/>
        <v>1379.9481757000005</v>
      </c>
      <c r="R415" s="115">
        <f t="shared" si="177"/>
        <v>931.7609640000004</v>
      </c>
      <c r="S415" s="115">
        <f t="shared" si="177"/>
        <v>261.08830599999999</v>
      </c>
      <c r="T415" s="115">
        <f t="shared" si="177"/>
        <v>0</v>
      </c>
      <c r="U415" s="115">
        <f t="shared" si="177"/>
        <v>23.409300000000002</v>
      </c>
      <c r="V415" s="115">
        <f t="shared" si="177"/>
        <v>7.5982690000000002</v>
      </c>
      <c r="W415" s="115">
        <f t="shared" si="177"/>
        <v>275.649765</v>
      </c>
      <c r="X415" s="115">
        <f t="shared" si="177"/>
        <v>51.483080000000001</v>
      </c>
      <c r="Y415" s="115">
        <f t="shared" si="177"/>
        <v>116.63728000000002</v>
      </c>
      <c r="Z415" s="115">
        <f t="shared" si="177"/>
        <v>66.029355999999993</v>
      </c>
      <c r="AA415" s="115">
        <f t="shared" si="177"/>
        <v>26.087430000000001</v>
      </c>
      <c r="AB415" s="115">
        <f t="shared" si="177"/>
        <v>43.29601000000001</v>
      </c>
      <c r="AC415" s="115">
        <f t="shared" si="177"/>
        <v>862.86604999999997</v>
      </c>
      <c r="AD415" s="115">
        <f t="shared" si="177"/>
        <v>974.4015999999998</v>
      </c>
      <c r="AE415" s="115">
        <f t="shared" si="177"/>
        <v>0</v>
      </c>
      <c r="AF415" s="115">
        <f t="shared" si="177"/>
        <v>287.65738599999997</v>
      </c>
      <c r="AG415" s="115">
        <f t="shared" si="177"/>
        <v>93.7</v>
      </c>
      <c r="AI415" s="118">
        <f>SUMIFS(AI$2:AI$408,$AP$2:$AP$408,"=ja",$AK$2:$AK$408,"&lt;150")</f>
        <v>11802.250887600001</v>
      </c>
      <c r="AJ415" s="118">
        <f t="shared" ref="AJ415:AM415" si="178">SUMIFS(AJ$2:AJ$408,$AP$2:$AP$408,"=ja",$AK$2:$AK$408,"&lt;150")</f>
        <v>11895.950887599998</v>
      </c>
      <c r="AK415" s="118">
        <f t="shared" si="178"/>
        <v>9245.2930099999976</v>
      </c>
      <c r="AL415" s="118">
        <f>SUMIFS(AL$2:AL$408,$AP$2:$AP$408,"=ja",$AK$2:$AK$408,"&lt;150")</f>
        <v>48.342999999999996</v>
      </c>
      <c r="AM415" s="118">
        <f t="shared" si="178"/>
        <v>0</v>
      </c>
      <c r="AU415" s="117">
        <f>SUMIFS(AU$2:AU$408,$AP$2:$AP$408,"=ja",$AK$2:$AK$408,"&lt;150")</f>
        <v>379.77417200000025</v>
      </c>
      <c r="AV415" s="117">
        <f t="shared" ref="AV415:AX415" si="179">SUMIFS(AV$2:AV$408,$AP$2:$AP$408,"=ja",$AK$2:$AK$408,"&lt;150")</f>
        <v>51.483080000000001</v>
      </c>
      <c r="AW415" s="117">
        <f t="shared" si="179"/>
        <v>6323.6988169000006</v>
      </c>
      <c r="AX415" s="117">
        <f t="shared" si="179"/>
        <v>1216.25857</v>
      </c>
      <c r="AZ415" s="117">
        <f>SUMIFS(AZ$2:AZ$408,$AP$2:$AP$408,"=ja",$AK$2:$AK$408,"&lt;150")</f>
        <v>8455.1383428999961</v>
      </c>
    </row>
    <row r="416" spans="1:79" x14ac:dyDescent="0.25">
      <c r="A416" s="111" t="s">
        <v>1523</v>
      </c>
      <c r="B416" s="111" t="s">
        <v>1524</v>
      </c>
      <c r="C416" s="116">
        <f t="shared" ref="C416:AG416" si="180">SUMIFS(C$2:C$407,$AP$2:$AP$407,"=ja",$AK$2:$AK$407,"&gt;=150",$AK$2:$AK$407,"&lt;=1000")</f>
        <v>62.707999999999998</v>
      </c>
      <c r="D416" s="116">
        <f t="shared" si="180"/>
        <v>154.61760699999999</v>
      </c>
      <c r="E416" s="116">
        <f t="shared" si="180"/>
        <v>43.283829999999995</v>
      </c>
      <c r="F416" s="116">
        <f t="shared" si="180"/>
        <v>112.54733699999998</v>
      </c>
      <c r="G416" s="116">
        <f t="shared" si="180"/>
        <v>1.635</v>
      </c>
      <c r="H416" s="116">
        <f t="shared" si="180"/>
        <v>12.602</v>
      </c>
      <c r="I416" s="116">
        <f t="shared" si="180"/>
        <v>4496.1286499999997</v>
      </c>
      <c r="J416" s="116">
        <f t="shared" si="180"/>
        <v>112.33217199999999</v>
      </c>
      <c r="K416" s="116">
        <f t="shared" si="180"/>
        <v>739.5</v>
      </c>
      <c r="L416" s="116">
        <f t="shared" si="180"/>
        <v>2826.4163140000001</v>
      </c>
      <c r="M416" s="116">
        <f t="shared" si="180"/>
        <v>1351.1029999999998</v>
      </c>
      <c r="N416" s="116">
        <f t="shared" si="180"/>
        <v>2942.730610000001</v>
      </c>
      <c r="O416" s="116">
        <f t="shared" si="180"/>
        <v>652.98389999999995</v>
      </c>
      <c r="P416" s="116">
        <f t="shared" si="180"/>
        <v>1217.4824967999996</v>
      </c>
      <c r="Q416" s="116">
        <f t="shared" si="180"/>
        <v>866.87876000000017</v>
      </c>
      <c r="R416" s="116">
        <f t="shared" si="180"/>
        <v>477.07200000000006</v>
      </c>
      <c r="S416" s="116">
        <f t="shared" si="180"/>
        <v>155.65825899999999</v>
      </c>
      <c r="T416" s="116">
        <f t="shared" si="180"/>
        <v>122.44934000000001</v>
      </c>
      <c r="U416" s="116">
        <f t="shared" si="180"/>
        <v>49.733916000000001</v>
      </c>
      <c r="V416" s="116">
        <f t="shared" si="180"/>
        <v>53.542880000000004</v>
      </c>
      <c r="W416" s="116">
        <f t="shared" si="180"/>
        <v>327.877318</v>
      </c>
      <c r="X416" s="116">
        <f t="shared" si="180"/>
        <v>0.1197501</v>
      </c>
      <c r="Y416" s="116">
        <f t="shared" si="180"/>
        <v>538.60275000000001</v>
      </c>
      <c r="Z416" s="116">
        <f t="shared" si="180"/>
        <v>49</v>
      </c>
      <c r="AA416" s="116">
        <f t="shared" si="180"/>
        <v>106.48599999999999</v>
      </c>
      <c r="AB416" s="116">
        <f t="shared" si="180"/>
        <v>218.46910000000003</v>
      </c>
      <c r="AC416" s="116">
        <f t="shared" si="180"/>
        <v>2782.9736999999986</v>
      </c>
      <c r="AD416" s="116">
        <f t="shared" si="180"/>
        <v>1724.5729999999999</v>
      </c>
      <c r="AE416" s="116">
        <f t="shared" si="180"/>
        <v>0.46117599999999997</v>
      </c>
      <c r="AF416" s="116">
        <f t="shared" si="180"/>
        <v>725.98769100000015</v>
      </c>
      <c r="AG416" s="116">
        <f t="shared" si="180"/>
        <v>970.94400000000007</v>
      </c>
      <c r="AI416" s="117">
        <f>SUMIFS(AI$2:AI$408,$AP$2:$AP$408,"=ja",$AK$2:$AK$408,"&gt;=150",$AK$2:$AK$408,"&lt;=1000")</f>
        <v>22925.956556900001</v>
      </c>
      <c r="AJ416" s="117">
        <f>SUMIFS(AJ$2:AJ$408,$AP$2:$AP$408,"=ja",$AK$2:$AK$408,"&gt;=150",$AK$2:$AK$408,"&lt;=1000")</f>
        <v>23896.9005569</v>
      </c>
      <c r="AK416" s="117">
        <f>SUMIFS(AK$2:AK$408,$AP$2:$AP$408,"=ja",$AK$2:$AK$408,"&gt;=150",$AK$2:$AK$408,"&lt;=1000")</f>
        <v>20402.046000000006</v>
      </c>
      <c r="AL416" s="117">
        <f>SUMIFS(AL$2:AL$408,$AP$2:$AP$408,"=ja",$AK$2:$AK$408,"&gt;=150",$AK$2:$AK$408,"&lt;=1000")</f>
        <v>273.66500000000002</v>
      </c>
      <c r="AM416" s="117">
        <f>SUMIFS(AM$2:AM$408,$AP$2:$AP$408,"=ja",$AK$2:$AK$408,"&gt;=150",$AK$2:$AK$408,"&lt;=1000")</f>
        <v>348.08100000000002</v>
      </c>
      <c r="AU416" s="117">
        <f>SUMIFS(AU$2:AU$408,$AP$2:$AP$408,"=ja",$AK$2:$AK$408,"&gt;=150",$AK$2:$AK$408,"&lt;=1000")</f>
        <v>881.4736909999998</v>
      </c>
      <c r="AV416" s="117">
        <f t="shared" ref="AV416:AX416" si="181">SUMIFS(AV$2:AV$408,$AP$2:$AP$408,"=ja",$AK$2:$AK$408,"&gt;=150",$AK$2:$AK$408,"&lt;=1000")</f>
        <v>0.1197501</v>
      </c>
      <c r="AW416" s="117">
        <f t="shared" si="181"/>
        <v>7031.1787668000006</v>
      </c>
      <c r="AX416" s="117">
        <f t="shared" si="181"/>
        <v>804.91351500000007</v>
      </c>
      <c r="AZ416" s="117">
        <f>SUMIFS(AZ$2:AZ$408,$AP$2:$AP$408,"=ja",$AK$2:$AK$408,"&gt;=150",$AK$2:$AK$408,"&lt;=1000")</f>
        <v>11044.048543899999</v>
      </c>
    </row>
    <row r="417" spans="1:52" x14ac:dyDescent="0.25">
      <c r="A417" s="111" t="s">
        <v>1525</v>
      </c>
      <c r="B417" s="111" t="s">
        <v>1526</v>
      </c>
      <c r="C417" s="117">
        <f t="shared" ref="C417:AG417" si="182">SUMIFS(C$2:C$407,$AP$2:$AP$407,"=ja",$AK$2:$AK$407,"&gt;1000")</f>
        <v>777.29201</v>
      </c>
      <c r="D417" s="117">
        <f t="shared" si="182"/>
        <v>153.08475799999999</v>
      </c>
      <c r="E417" s="117">
        <f t="shared" si="182"/>
        <v>0</v>
      </c>
      <c r="F417" s="117">
        <f t="shared" si="182"/>
        <v>245.46675999999999</v>
      </c>
      <c r="G417" s="117">
        <f t="shared" si="182"/>
        <v>944.99800000000005</v>
      </c>
      <c r="H417" s="117">
        <f t="shared" si="182"/>
        <v>28.9</v>
      </c>
      <c r="I417" s="117">
        <f t="shared" si="182"/>
        <v>6868.2929999999997</v>
      </c>
      <c r="J417" s="117">
        <f t="shared" si="182"/>
        <v>139.31759</v>
      </c>
      <c r="K417" s="117">
        <f t="shared" si="182"/>
        <v>0</v>
      </c>
      <c r="L417" s="117">
        <f t="shared" si="182"/>
        <v>501.80700000000002</v>
      </c>
      <c r="M417" s="117">
        <f t="shared" si="182"/>
        <v>136.91139999999999</v>
      </c>
      <c r="N417" s="117">
        <f t="shared" si="182"/>
        <v>1431.4270000000001</v>
      </c>
      <c r="O417" s="117">
        <f t="shared" si="182"/>
        <v>211.88299999999998</v>
      </c>
      <c r="P417" s="117">
        <f t="shared" si="182"/>
        <v>416.89500000000004</v>
      </c>
      <c r="Q417" s="117">
        <f t="shared" si="182"/>
        <v>134.90943300000004</v>
      </c>
      <c r="R417" s="117">
        <f t="shared" si="182"/>
        <v>902.12480000000005</v>
      </c>
      <c r="S417" s="117">
        <f t="shared" si="182"/>
        <v>0</v>
      </c>
      <c r="T417" s="117">
        <f t="shared" si="182"/>
        <v>192.54</v>
      </c>
      <c r="U417" s="117">
        <f t="shared" si="182"/>
        <v>0</v>
      </c>
      <c r="V417" s="117">
        <f t="shared" si="182"/>
        <v>212.20399999999998</v>
      </c>
      <c r="W417" s="117">
        <f t="shared" si="182"/>
        <v>384.599808</v>
      </c>
      <c r="X417" s="117">
        <f t="shared" si="182"/>
        <v>17.524889999999999</v>
      </c>
      <c r="Y417" s="117">
        <f t="shared" si="182"/>
        <v>540.34400000000005</v>
      </c>
      <c r="Z417" s="117">
        <f t="shared" si="182"/>
        <v>74.853000000000009</v>
      </c>
      <c r="AA417" s="117">
        <f t="shared" si="182"/>
        <v>888.17000000000007</v>
      </c>
      <c r="AB417" s="117">
        <f t="shared" si="182"/>
        <v>1909.6360000000002</v>
      </c>
      <c r="AC417" s="117">
        <f t="shared" si="182"/>
        <v>2327.9140000000002</v>
      </c>
      <c r="AD417" s="117">
        <f t="shared" si="182"/>
        <v>1852</v>
      </c>
      <c r="AE417" s="117">
        <f t="shared" si="182"/>
        <v>0</v>
      </c>
      <c r="AF417" s="117">
        <f t="shared" si="182"/>
        <v>611.65240000000006</v>
      </c>
      <c r="AG417" s="117">
        <f t="shared" si="182"/>
        <v>546.18900000000008</v>
      </c>
      <c r="AI417" s="117">
        <f>SUMIFS(AI$2:AI$408,$AP$2:$AP$408,"=ja",$AK$2:$AK$408,"&gt;1000")</f>
        <v>21904.747848999996</v>
      </c>
      <c r="AJ417" s="117">
        <f>SUMIFS(AJ$2:AJ$408,$AP$2:$AP$408,"=ja",$AK$2:$AK$408,"&gt;1000")</f>
        <v>22450.936848999998</v>
      </c>
      <c r="AK417" s="117">
        <f t="shared" ref="AK417:AM417" si="183">SUMIFS(AK$2:AK$408,$AP$2:$AP$408,"=ja",$AK$2:$AK$408,"&gt;1000")</f>
        <v>20771.010000000002</v>
      </c>
      <c r="AL417" s="117">
        <f t="shared" si="183"/>
        <v>1405.491</v>
      </c>
      <c r="AM417" s="117">
        <f t="shared" si="183"/>
        <v>4036.6080000000002</v>
      </c>
      <c r="AU417" s="117">
        <f>SUMIFS(AU$2:AU$408,$AP$2:$AP$408,"=ja",$AK$2:$AK$408,"&gt;1000")</f>
        <v>1574.6754000000003</v>
      </c>
      <c r="AV417" s="117">
        <f t="shared" ref="AV417:AX417" si="184">SUMIFS(AV$2:AV$408,$AP$2:$AP$408,"=ja",$AK$2:$AK$408,"&gt;1000")</f>
        <v>17.524889999999999</v>
      </c>
      <c r="AW417" s="117">
        <f t="shared" si="184"/>
        <v>2332.0258330000001</v>
      </c>
      <c r="AX417" s="117">
        <f t="shared" si="184"/>
        <v>1094.6648</v>
      </c>
      <c r="AZ417" s="117">
        <f>SUMIFS(AZ$2:AZ$408,$AP$2:$AP$408,"=ja",$AK$2:$AK$408,"&gt;1000")</f>
        <v>4542.8263310000002</v>
      </c>
    </row>
    <row r="419" spans="1:52" x14ac:dyDescent="0.25">
      <c r="A419" s="112" t="s">
        <v>1527</v>
      </c>
      <c r="B419" s="113"/>
      <c r="C419" s="114">
        <f>SUM(C2:C407)</f>
        <v>841.27177000000006</v>
      </c>
      <c r="D419" s="114">
        <f t="shared" ref="D419:AG419" si="185">SUM(D2:D407)</f>
        <v>478.477799</v>
      </c>
      <c r="E419" s="114">
        <f t="shared" si="185"/>
        <v>47.240929000000008</v>
      </c>
      <c r="F419" s="114">
        <f t="shared" si="185"/>
        <v>370.92636300000009</v>
      </c>
      <c r="G419" s="114">
        <f t="shared" si="185"/>
        <v>960.7890000000001</v>
      </c>
      <c r="H419" s="114">
        <f t="shared" si="185"/>
        <v>45.311999999999998</v>
      </c>
      <c r="I419" s="114">
        <f t="shared" si="185"/>
        <v>12085.0117357</v>
      </c>
      <c r="J419" s="114">
        <f t="shared" si="185"/>
        <v>294.41454999999991</v>
      </c>
      <c r="K419" s="114">
        <f t="shared" si="185"/>
        <v>739.5</v>
      </c>
      <c r="L419" s="114">
        <f t="shared" si="185"/>
        <v>3908.6731559999998</v>
      </c>
      <c r="M419" s="114">
        <f t="shared" si="185"/>
        <v>2331.5358699999997</v>
      </c>
      <c r="N419" s="114">
        <f t="shared" si="185"/>
        <v>6081.7415789999995</v>
      </c>
      <c r="O419" s="114">
        <f t="shared" si="185"/>
        <v>1439.6261300000003</v>
      </c>
      <c r="P419" s="114">
        <f t="shared" si="185"/>
        <v>3471.0634689999993</v>
      </c>
      <c r="Q419" s="114">
        <f t="shared" si="185"/>
        <v>2381.7363686999984</v>
      </c>
      <c r="R419" s="114">
        <f t="shared" si="185"/>
        <v>2357.9577639999998</v>
      </c>
      <c r="S419" s="114">
        <f t="shared" si="185"/>
        <v>416.74656499999998</v>
      </c>
      <c r="T419" s="114">
        <f t="shared" si="185"/>
        <v>314.98934000000003</v>
      </c>
      <c r="U419" s="114">
        <f t="shared" si="185"/>
        <v>73.143216000000024</v>
      </c>
      <c r="V419" s="114">
        <f t="shared" si="185"/>
        <v>273.34514899999999</v>
      </c>
      <c r="W419" s="114">
        <f t="shared" si="185"/>
        <v>1035.1268909999999</v>
      </c>
      <c r="X419" s="114">
        <f t="shared" si="185"/>
        <v>69.127720099999991</v>
      </c>
      <c r="Y419" s="114">
        <f t="shared" si="185"/>
        <v>1195.58403</v>
      </c>
      <c r="Z419" s="114">
        <f t="shared" si="185"/>
        <v>189.88235600000002</v>
      </c>
      <c r="AA419" s="114">
        <f t="shared" si="185"/>
        <v>1087.74343</v>
      </c>
      <c r="AB419" s="114">
        <f t="shared" si="185"/>
        <v>2284.4011100000002</v>
      </c>
      <c r="AC419" s="114">
        <f t="shared" si="185"/>
        <v>5974.9467500000037</v>
      </c>
      <c r="AD419" s="114">
        <f t="shared" si="185"/>
        <v>4550.9746000000014</v>
      </c>
      <c r="AE419" s="114">
        <f t="shared" si="185"/>
        <v>0.46117599999999997</v>
      </c>
      <c r="AF419" s="114">
        <f t="shared" si="185"/>
        <v>1630.3464770000003</v>
      </c>
      <c r="AG419" s="114">
        <f t="shared" si="185"/>
        <v>1676.2330000000002</v>
      </c>
      <c r="AI419" s="114">
        <f>SUM(AI2:AI408)</f>
        <v>56932.097293500032</v>
      </c>
      <c r="AJ419" s="114">
        <f>SUM(AJ2:AJ408)</f>
        <v>58608.330293500039</v>
      </c>
      <c r="AK419" s="114">
        <f t="shared" ref="AK419:AM419" si="186">SUM(AK2:AK408)</f>
        <v>50736.399010000023</v>
      </c>
      <c r="AL419" s="114">
        <f t="shared" si="186"/>
        <v>1727.499</v>
      </c>
      <c r="AM419" s="114">
        <f t="shared" si="186"/>
        <v>4395.6890000000003</v>
      </c>
      <c r="AU419" s="114">
        <f>SUM(AU2:AU408)</f>
        <v>2907.9722629999978</v>
      </c>
      <c r="AV419" s="114">
        <f t="shared" ref="AV419:AZ419" si="187">SUM(AV2:AV408)</f>
        <v>69.127720099999991</v>
      </c>
      <c r="AW419" s="114">
        <f t="shared" si="187"/>
        <v>15705.703416699993</v>
      </c>
      <c r="AX419" s="114">
        <f t="shared" si="187"/>
        <v>3162.8368849999997</v>
      </c>
      <c r="AY419" s="114"/>
      <c r="AZ419" s="114">
        <f t="shared" si="187"/>
        <v>24154.813217800001</v>
      </c>
    </row>
  </sheetData>
  <autoFilter ref="A1:CB407"/>
  <conditionalFormatting sqref="B223:B334 B2:B221 B336:B342 B344:B400 B402:B407">
    <cfRule type="duplicateValues" dxfId="12" priority="6"/>
  </conditionalFormatting>
  <conditionalFormatting sqref="B343">
    <cfRule type="duplicateValues" dxfId="11" priority="5"/>
  </conditionalFormatting>
  <conditionalFormatting sqref="B402:B1048576 B1:B400">
    <cfRule type="duplicateValues" dxfId="10" priority="4"/>
  </conditionalFormatting>
  <conditionalFormatting sqref="B401">
    <cfRule type="duplicateValues" dxfId="9" priority="3"/>
  </conditionalFormatting>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BU359"/>
  <sheetViews>
    <sheetView topLeftCell="A331" workbookViewId="0">
      <selection activeCell="C370" sqref="C370"/>
    </sheetView>
  </sheetViews>
  <sheetFormatPr defaultRowHeight="15" x14ac:dyDescent="0.25"/>
  <cols>
    <col min="1" max="1" width="30" style="121" customWidth="1"/>
    <col min="2" max="2" width="32.140625" style="121" bestFit="1" customWidth="1"/>
    <col min="3" max="3" width="10.28515625" style="121" bestFit="1" customWidth="1"/>
    <col min="4" max="4" width="10.140625" style="121" bestFit="1" customWidth="1"/>
    <col min="5" max="5" width="9.28515625" style="121" bestFit="1" customWidth="1"/>
    <col min="6" max="6" width="10.140625" style="121" bestFit="1" customWidth="1"/>
    <col min="7" max="7" width="10.28515625" style="121" bestFit="1" customWidth="1"/>
    <col min="8" max="8" width="9.28515625" style="121" bestFit="1" customWidth="1"/>
    <col min="9" max="9" width="11.5703125" style="121" bestFit="1" customWidth="1"/>
    <col min="10" max="10" width="9.28515625" style="121" bestFit="1" customWidth="1"/>
    <col min="11" max="13" width="10.140625" style="121" bestFit="1" customWidth="1"/>
    <col min="14" max="14" width="11.5703125" style="121" bestFit="1" customWidth="1"/>
    <col min="15" max="20" width="10.140625" style="121" bestFit="1" customWidth="1"/>
    <col min="21" max="21" width="9.28515625" style="121" bestFit="1" customWidth="1"/>
    <col min="22" max="23" width="10.140625" style="121" bestFit="1" customWidth="1"/>
    <col min="24" max="24" width="9.28515625" style="121" bestFit="1" customWidth="1"/>
    <col min="25" max="25" width="10.140625" style="121" bestFit="1" customWidth="1"/>
    <col min="26" max="26" width="9.28515625" style="121" bestFit="1" customWidth="1"/>
    <col min="27" max="27" width="10.140625" style="121" bestFit="1" customWidth="1"/>
    <col min="28" max="30" width="11.5703125" style="121" bestFit="1" customWidth="1"/>
    <col min="31" max="31" width="9.28515625" style="121" bestFit="1" customWidth="1"/>
    <col min="32" max="33" width="10.140625" style="121" bestFit="1" customWidth="1"/>
    <col min="34" max="35" width="9.140625" style="121"/>
    <col min="36" max="36" width="11.7109375" style="121" bestFit="1" customWidth="1"/>
    <col min="37" max="39" width="9.140625" style="121"/>
    <col min="40" max="40" width="12" style="121" bestFit="1" customWidth="1"/>
    <col min="41" max="58" width="9.140625" style="121"/>
    <col min="59" max="60" width="9.85546875" style="121" customWidth="1"/>
    <col min="61" max="16384" width="9.140625" style="121"/>
  </cols>
  <sheetData>
    <row r="1" spans="1:73" ht="45.75" customHeight="1" x14ac:dyDescent="0.3">
      <c r="A1" s="119" t="s">
        <v>1553</v>
      </c>
      <c r="C1" s="120"/>
      <c r="AM1" s="392" t="s">
        <v>1528</v>
      </c>
      <c r="AN1" s="393"/>
      <c r="AO1" s="393"/>
      <c r="AP1" s="393"/>
      <c r="AQ1" s="394"/>
      <c r="AS1" s="395" t="s">
        <v>1529</v>
      </c>
      <c r="AT1" s="396"/>
      <c r="AV1" s="392" t="s">
        <v>1530</v>
      </c>
      <c r="AW1" s="394"/>
      <c r="AY1" s="392" t="s">
        <v>1254</v>
      </c>
      <c r="AZ1" s="393"/>
      <c r="BA1" s="393"/>
      <c r="BB1" s="393"/>
      <c r="BC1" s="393"/>
      <c r="BD1" s="394"/>
      <c r="BF1" s="397" t="s">
        <v>1531</v>
      </c>
      <c r="BG1" s="398"/>
      <c r="BH1" s="398"/>
      <c r="BI1" s="398"/>
      <c r="BJ1" s="398"/>
      <c r="BK1" s="398"/>
      <c r="BL1" s="398"/>
      <c r="BM1" s="398"/>
      <c r="BN1" s="398"/>
      <c r="BO1" s="398"/>
      <c r="BP1" s="398"/>
      <c r="BQ1" s="398"/>
      <c r="BR1" s="399"/>
    </row>
    <row r="2" spans="1:73" ht="150" x14ac:dyDescent="0.25">
      <c r="A2" s="122" t="s">
        <v>151</v>
      </c>
      <c r="B2" s="122" t="s">
        <v>2</v>
      </c>
      <c r="C2" s="122" t="s">
        <v>1256</v>
      </c>
      <c r="D2" s="122" t="s">
        <v>791</v>
      </c>
      <c r="E2" s="122" t="s">
        <v>1328</v>
      </c>
      <c r="F2" s="122" t="s">
        <v>783</v>
      </c>
      <c r="G2" s="122" t="s">
        <v>748</v>
      </c>
      <c r="H2" s="122" t="s">
        <v>1340</v>
      </c>
      <c r="I2" s="122" t="s">
        <v>747</v>
      </c>
      <c r="J2" s="123" t="s">
        <v>772</v>
      </c>
      <c r="K2" s="123" t="s">
        <v>1325</v>
      </c>
      <c r="L2" s="122" t="s">
        <v>1271</v>
      </c>
      <c r="M2" s="122" t="s">
        <v>1326</v>
      </c>
      <c r="N2" s="122" t="s">
        <v>1329</v>
      </c>
      <c r="O2" s="122" t="s">
        <v>1330</v>
      </c>
      <c r="P2" s="122" t="s">
        <v>1331</v>
      </c>
      <c r="Q2" s="122" t="s">
        <v>1342</v>
      </c>
      <c r="R2" s="122" t="s">
        <v>1335</v>
      </c>
      <c r="S2" s="122" t="s">
        <v>1334</v>
      </c>
      <c r="T2" s="122" t="s">
        <v>1336</v>
      </c>
      <c r="U2" s="122" t="s">
        <v>1341</v>
      </c>
      <c r="V2" s="122" t="s">
        <v>834</v>
      </c>
      <c r="W2" s="122" t="s">
        <v>845</v>
      </c>
      <c r="X2" s="122" t="s">
        <v>1339</v>
      </c>
      <c r="Y2" s="122" t="s">
        <v>1332</v>
      </c>
      <c r="Z2" s="122" t="s">
        <v>1327</v>
      </c>
      <c r="AA2" s="122" t="s">
        <v>1337</v>
      </c>
      <c r="AB2" s="122" t="s">
        <v>1338</v>
      </c>
      <c r="AC2" s="122" t="s">
        <v>1254</v>
      </c>
      <c r="AD2" s="122" t="s">
        <v>807</v>
      </c>
      <c r="AE2" s="122" t="s">
        <v>1265</v>
      </c>
      <c r="AF2" s="123" t="s">
        <v>1333</v>
      </c>
      <c r="AG2" s="124" t="s">
        <v>1344</v>
      </c>
      <c r="AH2" s="125" t="s">
        <v>39</v>
      </c>
      <c r="AI2" s="126" t="s">
        <v>1346</v>
      </c>
      <c r="AJ2" s="127" t="s">
        <v>1347</v>
      </c>
      <c r="AK2" s="128" t="s">
        <v>1351</v>
      </c>
      <c r="AM2" s="129" t="s">
        <v>1211</v>
      </c>
      <c r="AN2" s="4" t="s">
        <v>1532</v>
      </c>
      <c r="AO2" s="4" t="s">
        <v>1421</v>
      </c>
      <c r="AP2" s="4" t="s">
        <v>1533</v>
      </c>
      <c r="AQ2" s="4" t="s">
        <v>1534</v>
      </c>
      <c r="AS2" s="130" t="s">
        <v>1535</v>
      </c>
      <c r="AT2" s="130" t="s">
        <v>1536</v>
      </c>
      <c r="AV2" s="4" t="s">
        <v>1537</v>
      </c>
      <c r="AW2" s="4" t="s">
        <v>1538</v>
      </c>
      <c r="AY2" s="4" t="s">
        <v>1539</v>
      </c>
      <c r="AZ2" s="4" t="s">
        <v>1198</v>
      </c>
      <c r="BA2" s="4" t="s">
        <v>1199</v>
      </c>
      <c r="BB2" s="4" t="s">
        <v>1200</v>
      </c>
      <c r="BC2" s="4" t="s">
        <v>1201</v>
      </c>
      <c r="BD2" s="4" t="s">
        <v>1202</v>
      </c>
      <c r="BF2" s="130" t="s">
        <v>1540</v>
      </c>
      <c r="BG2" s="130" t="s">
        <v>1541</v>
      </c>
      <c r="BH2" s="130" t="s">
        <v>1542</v>
      </c>
      <c r="BI2" s="130" t="s">
        <v>1543</v>
      </c>
      <c r="BJ2" s="130" t="s">
        <v>1544</v>
      </c>
      <c r="BK2" s="130" t="s">
        <v>1210</v>
      </c>
      <c r="BL2" s="130" t="s">
        <v>1545</v>
      </c>
      <c r="BM2" s="130" t="s">
        <v>1546</v>
      </c>
      <c r="BN2" s="131" t="s">
        <v>1547</v>
      </c>
      <c r="BO2" s="131" t="s">
        <v>1548</v>
      </c>
      <c r="BP2" s="131" t="s">
        <v>1549</v>
      </c>
      <c r="BQ2" s="130" t="s">
        <v>1550</v>
      </c>
      <c r="BR2" s="130" t="s">
        <v>1551</v>
      </c>
      <c r="BS2" s="131" t="s">
        <v>1552</v>
      </c>
    </row>
    <row r="3" spans="1:73" x14ac:dyDescent="0.25">
      <c r="A3" s="121" t="str">
        <f>'Miljövärden för publ företag'!B5</f>
        <v>Adven Energilösningar AB</v>
      </c>
      <c r="B3" s="121" t="str">
        <f>'Miljövärden för publ företag'!C5</f>
        <v>Bara</v>
      </c>
      <c r="C3" s="173">
        <f>IFERROR(VLOOKUP($B3,Totalt!$B$1:$AQ$554,MATCH(C$2,Totalt!$B$1:$AQ$1,0),FALSE),"")</f>
        <v>0</v>
      </c>
      <c r="D3" s="173">
        <f>IFERROR(VLOOKUP($B3,Totalt!$B$1:$AQ$554,MATCH(D$2,Totalt!$B$1:$AQ$1,0),FALSE),"")</f>
        <v>0</v>
      </c>
      <c r="E3" s="173">
        <f>IFERROR(VLOOKUP($B3,Totalt!$B$1:$AQ$554,MATCH(E$2,Totalt!$B$1:$AQ$1,0),FALSE),"")</f>
        <v>0</v>
      </c>
      <c r="F3" s="173">
        <f>IFERROR(VLOOKUP($B3,Totalt!$B$1:$AQ$554,MATCH(F$2,Totalt!$B$1:$AQ$1,0),FALSE),"")</f>
        <v>0</v>
      </c>
      <c r="G3" s="173">
        <f>IFERROR(VLOOKUP($B3,Totalt!$B$1:$AQ$554,MATCH(G$2,Totalt!$B$1:$AQ$1,0),FALSE),"")</f>
        <v>0</v>
      </c>
      <c r="H3" s="173">
        <f>IFERROR(VLOOKUP($B3,Totalt!$B$1:$AQ$554,MATCH(H$2,Totalt!$B$1:$AQ$1,0),FALSE),"")</f>
        <v>0</v>
      </c>
      <c r="I3" s="173">
        <f>IFERROR(VLOOKUP($B3,Totalt!$B$1:$AQ$554,MATCH(I$2,Totalt!$B$1:$AQ$1,0),FALSE),"")</f>
        <v>0</v>
      </c>
      <c r="J3" s="173">
        <f>IFERROR(VLOOKUP($B3,Totalt!$B$1:$AQ$554,MATCH(J$2,Totalt!$B$1:$AQ$1,0),FALSE),"")</f>
        <v>0.3</v>
      </c>
      <c r="K3" s="173">
        <f>IFERROR(VLOOKUP($B3,Totalt!$B$1:$AQ$554,MATCH(K$2,Totalt!$B$1:$AQ$1,0),FALSE),"")</f>
        <v>0</v>
      </c>
      <c r="L3" s="173">
        <f>IFERROR(VLOOKUP($B3,Totalt!$B$1:$AQ$554,MATCH(L$2,Totalt!$B$1:$AQ$1,0),FALSE),"")</f>
        <v>0</v>
      </c>
      <c r="M3" s="173">
        <f>IFERROR(VLOOKUP($B3,Totalt!$B$1:$AQ$554,MATCH(M$2,Totalt!$B$1:$AQ$1,0),FALSE),"")</f>
        <v>0</v>
      </c>
      <c r="N3" s="173">
        <f>IFERROR(VLOOKUP($B3,Totalt!$B$1:$AQ$554,MATCH(N$2,Totalt!$B$1:$AQ$1,0),FALSE),"")</f>
        <v>0</v>
      </c>
      <c r="O3" s="173">
        <f>IFERROR(VLOOKUP($B3,Totalt!$B$1:$AQ$554,MATCH(O$2,Totalt!$B$1:$AQ$1,0),FALSE),"")</f>
        <v>0</v>
      </c>
      <c r="P3" s="173">
        <f>IFERROR(VLOOKUP($B3,Totalt!$B$1:$AQ$554,MATCH(P$2,Totalt!$B$1:$AQ$1,0),FALSE),"")</f>
        <v>0</v>
      </c>
      <c r="Q3" s="173">
        <f>IFERROR(VLOOKUP($B3,Totalt!$B$1:$AQ$554,MATCH(Q$2,Totalt!$B$1:$AQ$1,0),FALSE),"")</f>
        <v>0</v>
      </c>
      <c r="R3" s="173">
        <f>IFERROR(VLOOKUP($B3,Totalt!$B$1:$AQ$554,MATCH(R$2,Totalt!$B$1:$AQ$1,0),FALSE),"")</f>
        <v>8.6</v>
      </c>
      <c r="S3" s="173">
        <f>IFERROR(VLOOKUP($B3,Totalt!$B$1:$AQ$554,MATCH(S$2,Totalt!$B$1:$AQ$1,0),FALSE),"")</f>
        <v>0</v>
      </c>
      <c r="T3" s="173">
        <f>IFERROR(VLOOKUP($B3,Totalt!$B$1:$AQ$554,MATCH(T$2,Totalt!$B$1:$AQ$1,0),FALSE),"")</f>
        <v>0</v>
      </c>
      <c r="U3" s="173">
        <f>IFERROR(VLOOKUP($B3,Totalt!$B$1:$AQ$554,MATCH(U$2,Totalt!$B$1:$AQ$1,0),FALSE),"")</f>
        <v>0</v>
      </c>
      <c r="V3" s="173">
        <f>IFERROR(VLOOKUP($B3,Totalt!$B$1:$AQ$554,MATCH(V$2,Totalt!$B$1:$AQ$1,0),FALSE),"")</f>
        <v>0</v>
      </c>
      <c r="W3" s="173">
        <f>IFERROR(VLOOKUP($B3,Totalt!$B$1:$AQ$554,MATCH(W$2,Totalt!$B$1:$AQ$1,0),FALSE),"")</f>
        <v>0</v>
      </c>
      <c r="X3" s="173">
        <f>IFERROR(VLOOKUP($B3,Totalt!$B$1:$AQ$554,MATCH(X$2,Totalt!$B$1:$AQ$1,0),FALSE),"")</f>
        <v>0</v>
      </c>
      <c r="Y3" s="173">
        <f>IFERROR(VLOOKUP($B3,Totalt!$B$1:$AQ$554,MATCH(Y$2,Totalt!$B$1:$AQ$1,0),FALSE),"")</f>
        <v>0</v>
      </c>
      <c r="Z3" s="173">
        <f>IFERROR(VLOOKUP($B3,Totalt!$B$1:$AQ$554,MATCH(Z$2,Totalt!$B$1:$AQ$1,0),FALSE),"")</f>
        <v>0</v>
      </c>
      <c r="AA3" s="173">
        <f>IFERROR(VLOOKUP($B3,Totalt!$B$1:$AQ$554,MATCH(AA$2,Totalt!$B$1:$AQ$1,0),FALSE),"")</f>
        <v>0</v>
      </c>
      <c r="AB3" s="173">
        <f>IFERROR(VLOOKUP($B3,Totalt!$B$1:$AQ$554,MATCH(AB$2,Totalt!$B$1:$AQ$1,0),FALSE),"")</f>
        <v>0</v>
      </c>
      <c r="AC3" s="173">
        <f>IFERROR(VLOOKUP($B3,Totalt!$B$1:$AQ$554,MATCH(AC$2,Totalt!$B$1:$AQ$1,0),FALSE),"")</f>
        <v>0</v>
      </c>
      <c r="AD3" s="173">
        <f>IFERROR(VLOOKUP($B3,Totalt!$B$1:$AQ$554,MATCH(AD$2,Totalt!$B$1:$AQ$1,0),FALSE),"")</f>
        <v>0</v>
      </c>
      <c r="AE3" s="173">
        <f>IFERROR(VLOOKUP($B3,Totalt!$B$1:$AQ$554,MATCH(AE$2,Totalt!$B$1:$AQ$1,0),FALSE),"")</f>
        <v>0</v>
      </c>
      <c r="AF3" s="173">
        <f>IFERROR(VLOOKUP($B3,Totalt!$B$1:$AQ$554,MATCH(AF$2,Totalt!$B$1:$AQ$1,0),FALSE),"")</f>
        <v>0.1</v>
      </c>
      <c r="AG3" s="173">
        <f>IFERROR(VLOOKUP($B3,Totalt!$B$1:$AQ$554,MATCH(AG$2,Totalt!$B$1:$AQ$1,0),FALSE),"")</f>
        <v>0</v>
      </c>
      <c r="AI3" s="226">
        <f>IF(B3&lt;&gt;"",SUM(C3:AG3),"")</f>
        <v>9</v>
      </c>
      <c r="AJ3" s="226">
        <f>IF(ISERROR(1/VLOOKUP($B3,Leveranser!$B$1:$S$500,MATCH("såld värme (gwh)",Leveranser!$B$1:$S$1,0),FALSE)),"",VLOOKUP($B3,Leveranser!$B$1:$S$500,MATCH("såld värme (gwh)",Leveranser!$B$1:$S$1,0),FALSE))</f>
        <v>7.4930000000000003</v>
      </c>
      <c r="AM3" s="227" t="str">
        <f>IF(B3&lt;&gt;"",IF(VLOOKUP($B3,Totalt!$B$1:$AQ$554,MATCH("Kvalitetsgranskad:",Totalt!$B$1:$AQ$1,0),FALSE)="ja",VLOOKUP($B3,Miljö!$B$1:$AG$479,MATCH(AM$2,Miljö!$B$1:$AK$1,0),FALSE),""),"")</f>
        <v>Ja</v>
      </c>
      <c r="AN3" s="227" t="str">
        <f>IF(AM3="ja",VLOOKUP($B3,Miljö!$B$1:$J$479,MATCH("Typ av ursprungsspecificerad el   (Om inget värde anges används Nordisk residualmix, se inforuta) ()",Miljö!$B$1:$J$1,0),FALSE),IF(AM3="nej","Nordisk residualel",""))</f>
        <v>'Vattenkraft'</v>
      </c>
      <c r="AO3" s="227">
        <f>IF(AM3="","",VLOOKUP($B3,Miljö!$B$1:$J$479,MATCH("Fossilandel för ursprungspecificerad el ()",Miljö!$B$1:$J$1,0),FALSE))</f>
        <v>0</v>
      </c>
      <c r="AP3" s="227">
        <f>IF(AM3="","",IFERROR(VLOOKUP($B3,Miljö!$B$1:$J$479,MATCH("Kärnkraftsandel för ursprungsspecificerad el ()",Miljö!$B$1:$J$1,0),FALSE)/1,0))</f>
        <v>0</v>
      </c>
      <c r="AQ3" s="227">
        <f>IF(AM3="","",1-AO3-AP3)</f>
        <v>1</v>
      </c>
      <c r="AR3" s="227"/>
      <c r="AS3" s="227" t="str">
        <f>IF(B3&lt;&gt;"",IF(AND(AG3&gt;0,AG3&lt;&gt;""),"Ja","Nej"),"")</f>
        <v>Nej</v>
      </c>
      <c r="AT3" s="227" t="str">
        <f>IF(AS3="ja",VLOOKUP($B3,Miljö!$B$1:$O$500,MATCH("Fossil andel i procent (%)",Miljö!$B$1:$O$1,0),FALSE)/100,"")</f>
        <v/>
      </c>
      <c r="AU3" s="227"/>
      <c r="AV3" s="227" t="str">
        <f>IF(B3&lt;&gt;"",IF(AND(AB3&gt;0,AB3&lt;&gt;""),"Ja","Nej"),"")</f>
        <v>Nej</v>
      </c>
      <c r="AW3" s="227" t="str">
        <f>IF(AV3="ja",VLOOKUP($B3,'Egen hetvattenprod'!$B$1:$AO$500,MATCH("Värmekälla till värmepumpar ()",'Egen hetvattenprod'!$B$1:$AO$1,0),FALSE),"")</f>
        <v/>
      </c>
      <c r="AX3" s="227"/>
      <c r="AY3" s="227" t="str">
        <f>IF(B3&lt;&gt;"",IF(AND(AC3&gt;0,AC3&lt;&gt;""),"Ja","Nej"),"")</f>
        <v>Nej</v>
      </c>
      <c r="AZ3" s="228" t="str">
        <f>IF($AY3="ja",(VLOOKUP($B3,'Egen hetvattenprod'!$B$1:$BX$550,MATCH(AZ$2,'Egen hetvattenprod'!$B$1:$BX$1,0),FALSE)+VLOOKUP($B3,Kraftvärmeprod!$B$1:$BX$550,MATCH(AZ$2,Kraftvärmeprod!$B$1:$BX$1,0),FALSE))/$AC3,"")</f>
        <v/>
      </c>
      <c r="BA3" s="228" t="str">
        <f>IF($AY3="ja",(VLOOKUP($B3,'Egen hetvattenprod'!$B$1:$BX$550,MATCH(BA$2,'Egen hetvattenprod'!$B$1:$BX$1,0),FALSE)+VLOOKUP($B3,Kraftvärmeprod!$B$1:$BX$550,MATCH(BA$2,Kraftvärmeprod!$B$1:$BX$1,0),FALSE))/$AC3,"")</f>
        <v/>
      </c>
      <c r="BB3" s="228" t="str">
        <f>IF($AY3="ja",(VLOOKUP($B3,'Egen hetvattenprod'!$B$1:$BX$550,MATCH(BB$2,'Egen hetvattenprod'!$B$1:$BX$1,0),FALSE)+VLOOKUP($B3,Kraftvärmeprod!$B$1:$BX$550,MATCH(BB$2,Kraftvärmeprod!$B$1:$BX$1,0),FALSE))/$AC3,"")</f>
        <v/>
      </c>
      <c r="BC3" s="228" t="str">
        <f>IF($AY3="ja",(VLOOKUP($B3,'Egen hetvattenprod'!$B$1:$BX$550,MATCH(BC$2,'Egen hetvattenprod'!$B$1:$BX$1,0),FALSE)+VLOOKUP($B3,Kraftvärmeprod!$B$1:$BX$550,MATCH(BC$2,Kraftvärmeprod!$B$1:$BX$1,0),FALSE))/$AC3,"")</f>
        <v/>
      </c>
      <c r="BD3" s="228" t="str">
        <f>IF($AY3="ja",(VLOOKUP($B3,'Egen hetvattenprod'!$B$1:$BX$550,MATCH(BD$2,'Egen hetvattenprod'!$B$1:$BX$1,0),FALSE)+VLOOKUP($B3,Kraftvärmeprod!$B$1:$BX$550,MATCH(BD$2,Kraftvärmeprod!$B$1:$BX$1,0),FALSE))/$AC3,"")</f>
        <v/>
      </c>
      <c r="BE3" s="227"/>
      <c r="BF3" s="227" t="str">
        <f>IF(B3&lt;&gt;"",IF(AND(I3&gt;0,I3&lt;&gt;""),"Ja","Nej"),"")</f>
        <v>Nej</v>
      </c>
      <c r="BG3" s="227" t="str">
        <f>IF($BF3="ja",VLOOKUP($B3,'Egen hetvattenprod'!$B$1:$BX$550,MATCH("Andelen klimatgaser med fossilt ursprung för avfall ()",'Egen hetvattenprod'!$B$1:$BX$1,0),FALSE),"")</f>
        <v/>
      </c>
      <c r="BH3" s="227" t="str">
        <f>IF($BF3="ja",VLOOKUP($B3,Kraftvärmeprod!$B$1:$BX$550,MATCH("Andelen klimatgaser med fossilt ursprung för avfall ()",Kraftvärmeprod!$B$1:$BX$1,0),FALSE),"")</f>
        <v/>
      </c>
      <c r="BI3" s="227" t="str">
        <f>IF($BF3="ja",VLOOKUP($B3,'Egen hetvattenprod'!$B$1:$BX$550,MATCH("Avfall (GWh)",'Egen hetvattenprod'!$B$1:$BX$1,0),FALSE),"")</f>
        <v/>
      </c>
      <c r="BJ3" s="227" t="str">
        <f>IF($BF3="ja",VLOOKUP($B3,'Slutlig allokering kvv'!$B$1:$BX$550,MATCH("Avfall (GWh)",'Slutlig allokering kvv'!$B$1:$BX$1,0),FALSE),"")</f>
        <v/>
      </c>
      <c r="BK3" s="227" t="str">
        <f>IF($BF3="ja",VLOOKUP($B3,'Köpt hetvatten'!$B$1:$BX$550,MATCH("Avfall i köpt hetvatten",'Köpt hetvatten'!$B$1:$BX$1,0),FALSE),"")</f>
        <v/>
      </c>
      <c r="BL3" s="227" t="str">
        <f>IF($BF3="ja",VLOOKUP($B3,'Egen hetvattenprod'!$B$1:$BX$550,MATCH("Värde enligt ovan. (%)",'Egen hetvattenprod'!$B$1:$BX$1,0),FALSE),"")</f>
        <v/>
      </c>
      <c r="BM3" s="227" t="str">
        <f>IF($BF3="ja",VLOOKUP($B3,Kraftvärmeprod!$B$1:$BX$550,MATCH("Värde enligt ovan. (%)",Kraftvärmeprod!$B$1:$BX$1,0),FALSE),"")</f>
        <v/>
      </c>
      <c r="BN3" s="227"/>
      <c r="BO3" s="227"/>
      <c r="BP3" s="227"/>
      <c r="BQ3" s="227" t="str">
        <f>IF($BF3="ja",VLOOKUP($B3,'Egen hetvattenprod'!$B$1:$BX$550,MATCH("Tillförd olja (fossil) vid avfallsförbränning (GWh)",'Egen hetvattenprod'!$B$1:$BX$1,0),FALSE),"")</f>
        <v/>
      </c>
      <c r="BR3" s="227" t="str">
        <f>IF($BF3="ja",VLOOKUP($B3,Kraftvärmeprod!$B$1:$BX$550,MATCH("Tillförd olja (fossil) vid avfallsförbränning (GWh)",Kraftvärmeprod!$B$1:$BX$1,0),FALSE),"")</f>
        <v/>
      </c>
      <c r="BS3" s="227"/>
      <c r="BT3" s="227"/>
      <c r="BU3" s="227"/>
    </row>
    <row r="4" spans="1:73" x14ac:dyDescent="0.25">
      <c r="A4" s="121" t="str">
        <f>'Miljövärden för publ företag'!B6</f>
        <v>Adven Energilösningar AB</v>
      </c>
      <c r="B4" s="121" t="str">
        <f>'Miljövärden för publ företag'!C6</f>
        <v>Boxholm</v>
      </c>
      <c r="C4" s="173">
        <f>IFERROR(VLOOKUP($B4,Totalt!$B$1:$AQ$554,MATCH(C$2,Totalt!$B$1:$AQ$1,0),FALSE),"")</f>
        <v>0</v>
      </c>
      <c r="D4" s="173">
        <f>IFERROR(VLOOKUP($B4,Totalt!$B$1:$AQ$554,MATCH(D$2,Totalt!$B$1:$AQ$1,0),FALSE),"")</f>
        <v>3.7999999999999999E-2</v>
      </c>
      <c r="E4" s="173">
        <f>IFERROR(VLOOKUP($B4,Totalt!$B$1:$AQ$554,MATCH(E$2,Totalt!$B$1:$AQ$1,0),FALSE),"")</f>
        <v>0</v>
      </c>
      <c r="F4" s="173">
        <f>IFERROR(VLOOKUP($B4,Totalt!$B$1:$AQ$554,MATCH(F$2,Totalt!$B$1:$AQ$1,0),FALSE),"")</f>
        <v>0</v>
      </c>
      <c r="G4" s="173">
        <f>IFERROR(VLOOKUP($B4,Totalt!$B$1:$AQ$554,MATCH(G$2,Totalt!$B$1:$AQ$1,0),FALSE),"")</f>
        <v>0</v>
      </c>
      <c r="H4" s="173">
        <f>IFERROR(VLOOKUP($B4,Totalt!$B$1:$AQ$554,MATCH(H$2,Totalt!$B$1:$AQ$1,0),FALSE),"")</f>
        <v>0</v>
      </c>
      <c r="I4" s="173">
        <f>IFERROR(VLOOKUP($B4,Totalt!$B$1:$AQ$554,MATCH(I$2,Totalt!$B$1:$AQ$1,0),FALSE),"")</f>
        <v>0</v>
      </c>
      <c r="J4" s="173">
        <f>IFERROR(VLOOKUP($B4,Totalt!$B$1:$AQ$554,MATCH(J$2,Totalt!$B$1:$AQ$1,0),FALSE),"")</f>
        <v>0</v>
      </c>
      <c r="K4" s="173">
        <f>IFERROR(VLOOKUP($B4,Totalt!$B$1:$AQ$554,MATCH(K$2,Totalt!$B$1:$AQ$1,0),FALSE),"")</f>
        <v>0</v>
      </c>
      <c r="L4" s="173">
        <f>IFERROR(VLOOKUP($B4,Totalt!$B$1:$AQ$554,MATCH(L$2,Totalt!$B$1:$AQ$1,0),FALSE),"")</f>
        <v>0</v>
      </c>
      <c r="M4" s="173">
        <f>IFERROR(VLOOKUP($B4,Totalt!$B$1:$AQ$554,MATCH(M$2,Totalt!$B$1:$AQ$1,0),FALSE),"")</f>
        <v>0</v>
      </c>
      <c r="N4" s="173">
        <f>IFERROR(VLOOKUP($B4,Totalt!$B$1:$AQ$554,MATCH(N$2,Totalt!$B$1:$AQ$1,0),FALSE),"")</f>
        <v>0</v>
      </c>
      <c r="O4" s="173">
        <f>IFERROR(VLOOKUP($B4,Totalt!$B$1:$AQ$554,MATCH(O$2,Totalt!$B$1:$AQ$1,0),FALSE),"")</f>
        <v>0</v>
      </c>
      <c r="P4" s="173">
        <f>IFERROR(VLOOKUP($B4,Totalt!$B$1:$AQ$554,MATCH(P$2,Totalt!$B$1:$AQ$1,0),FALSE),"")</f>
        <v>0</v>
      </c>
      <c r="Q4" s="173">
        <f>IFERROR(VLOOKUP($B4,Totalt!$B$1:$AQ$554,MATCH(Q$2,Totalt!$B$1:$AQ$1,0),FALSE),"")</f>
        <v>21.7</v>
      </c>
      <c r="R4" s="173">
        <f>IFERROR(VLOOKUP($B4,Totalt!$B$1:$AQ$554,MATCH(R$2,Totalt!$B$1:$AQ$1,0),FALSE),"")</f>
        <v>0</v>
      </c>
      <c r="S4" s="173">
        <f>IFERROR(VLOOKUP($B4,Totalt!$B$1:$AQ$554,MATCH(S$2,Totalt!$B$1:$AQ$1,0),FALSE),"")</f>
        <v>0</v>
      </c>
      <c r="T4" s="173">
        <f>IFERROR(VLOOKUP($B4,Totalt!$B$1:$AQ$554,MATCH(T$2,Totalt!$B$1:$AQ$1,0),FALSE),"")</f>
        <v>0</v>
      </c>
      <c r="U4" s="173">
        <f>IFERROR(VLOOKUP($B4,Totalt!$B$1:$AQ$554,MATCH(U$2,Totalt!$B$1:$AQ$1,0),FALSE),"")</f>
        <v>0</v>
      </c>
      <c r="V4" s="173">
        <f>IFERROR(VLOOKUP($B4,Totalt!$B$1:$AQ$554,MATCH(V$2,Totalt!$B$1:$AQ$1,0),FALSE),"")</f>
        <v>0</v>
      </c>
      <c r="W4" s="173">
        <f>IFERROR(VLOOKUP($B4,Totalt!$B$1:$AQ$554,MATCH(W$2,Totalt!$B$1:$AQ$1,0),FALSE),"")</f>
        <v>0</v>
      </c>
      <c r="X4" s="173">
        <f>IFERROR(VLOOKUP($B4,Totalt!$B$1:$AQ$554,MATCH(X$2,Totalt!$B$1:$AQ$1,0),FALSE),"")</f>
        <v>0</v>
      </c>
      <c r="Y4" s="173">
        <f>IFERROR(VLOOKUP($B4,Totalt!$B$1:$AQ$554,MATCH(Y$2,Totalt!$B$1:$AQ$1,0),FALSE),"")</f>
        <v>0</v>
      </c>
      <c r="Z4" s="173">
        <f>IFERROR(VLOOKUP($B4,Totalt!$B$1:$AQ$554,MATCH(Z$2,Totalt!$B$1:$AQ$1,0),FALSE),"")</f>
        <v>0</v>
      </c>
      <c r="AA4" s="173">
        <f>IFERROR(VLOOKUP($B4,Totalt!$B$1:$AQ$554,MATCH(AA$2,Totalt!$B$1:$AQ$1,0),FALSE),"")</f>
        <v>0</v>
      </c>
      <c r="AB4" s="173">
        <f>IFERROR(VLOOKUP($B4,Totalt!$B$1:$AQ$554,MATCH(AB$2,Totalt!$B$1:$AQ$1,0),FALSE),"")</f>
        <v>0</v>
      </c>
      <c r="AC4" s="173">
        <f>IFERROR(VLOOKUP($B4,Totalt!$B$1:$AQ$554,MATCH(AC$2,Totalt!$B$1:$AQ$1,0),FALSE),"")</f>
        <v>0</v>
      </c>
      <c r="AD4" s="173">
        <f>IFERROR(VLOOKUP($B4,Totalt!$B$1:$AQ$554,MATCH(AD$2,Totalt!$B$1:$AQ$1,0),FALSE),"")</f>
        <v>0</v>
      </c>
      <c r="AE4" s="173">
        <f>IFERROR(VLOOKUP($B4,Totalt!$B$1:$AQ$554,MATCH(AE$2,Totalt!$B$1:$AQ$1,0),FALSE),"")</f>
        <v>0</v>
      </c>
      <c r="AF4" s="173">
        <f>IFERROR(VLOOKUP($B4,Totalt!$B$1:$AQ$554,MATCH(AF$2,Totalt!$B$1:$AQ$1,0),FALSE),"")</f>
        <v>0.6</v>
      </c>
      <c r="AG4" s="173">
        <f>IFERROR(VLOOKUP($B4,Totalt!$B$1:$AQ$554,MATCH(AG$2,Totalt!$B$1:$AQ$1,0),FALSE),"")</f>
        <v>0</v>
      </c>
      <c r="AI4" s="226">
        <f t="shared" ref="AI4:AI66" si="0">IF(B4&lt;&gt;"",SUM(C4:AG4),"")</f>
        <v>22.338000000000001</v>
      </c>
      <c r="AJ4" s="226">
        <f>IF(ISERROR(1/VLOOKUP($B4,Leveranser!$B$1:$S$500,MATCH("såld värme (gwh)",Leveranser!$B$1:$S$1,0),FALSE)),"",VLOOKUP($B4,Leveranser!$B$1:$S$500,MATCH("såld värme (gwh)",Leveranser!$B$1:$S$1,0),FALSE))</f>
        <v>16.2</v>
      </c>
      <c r="AM4" s="227" t="str">
        <f>IF(B4&lt;&gt;"",IF(VLOOKUP($B4,Totalt!$B$1:$AQ$554,MATCH("Kvalitetsgranskad:",Totalt!$B$1:$AQ$1,0),FALSE)="ja",VLOOKUP($B4,Miljö!$B$1:$AG$479,MATCH(AM$2,Miljö!$B$1:$AK$1,0),FALSE),""),"")</f>
        <v>Ja</v>
      </c>
      <c r="AN4" s="227" t="str">
        <f>IF(AM4="ja",VLOOKUP($B4,Miljö!$B$1:$J$479,MATCH("Typ av ursprungsspecificerad el   (Om inget värde anges används Nordisk residualmix, se inforuta) ()",Miljö!$B$1:$J$1,0),FALSE),IF(AM4="nej","Nordisk residualel",""))</f>
        <v>'Vattenkraft'</v>
      </c>
      <c r="AO4" s="227">
        <f>IF(AM4="","",VLOOKUP($B4,Miljö!$B$1:$J$479,MATCH("Fossilandel för ursprungspecificerad el ()",Miljö!$B$1:$J$1,0),FALSE))</f>
        <v>0</v>
      </c>
      <c r="AP4" s="227">
        <f>IF(AM4="","",IFERROR(VLOOKUP($B4,Miljö!$B$1:$J$479,MATCH("Kärnkraftsandel för ursprungsspecificerad el ()",Miljö!$B$1:$J$1,0),FALSE)/1,0))</f>
        <v>0</v>
      </c>
      <c r="AQ4" s="227">
        <f t="shared" ref="AQ4:AQ67" si="1">IF(AM4="","",1-AO4-AP4)</f>
        <v>1</v>
      </c>
      <c r="AR4" s="227"/>
      <c r="AS4" s="227" t="str">
        <f t="shared" ref="AS4:AS67" si="2">IF(B4&lt;&gt;"",IF(AND(AG4&gt;0,AG4&lt;&gt;""),"Ja","Nej"),"")</f>
        <v>Nej</v>
      </c>
      <c r="AT4" s="227" t="str">
        <f>IF(AS4="ja",VLOOKUP($B4,Miljö!$B$1:$O$500,MATCH("Fossil andel i procent (%)",Miljö!$B$1:$O$1,0),FALSE)/100,"")</f>
        <v/>
      </c>
      <c r="AU4" s="227"/>
      <c r="AV4" s="227" t="str">
        <f t="shared" ref="AV4:AV67" si="3">IF(B4&lt;&gt;"",IF(AND(AB4&gt;0,AB4&lt;&gt;""),"Ja","Nej"),"")</f>
        <v>Nej</v>
      </c>
      <c r="AW4" s="227" t="str">
        <f>IF(AV4="ja",VLOOKUP($B4,'Egen hetvattenprod'!$B$1:$AO$500,MATCH("Värmekälla till värmepumpar ()",'Egen hetvattenprod'!$B$1:$AO$1,0),FALSE),"")</f>
        <v/>
      </c>
      <c r="AX4" s="227"/>
      <c r="AY4" s="227" t="str">
        <f t="shared" ref="AY4:AY67" si="4">IF(B4&lt;&gt;"",IF(AND(AC4&gt;0,AC4&lt;&gt;""),"Ja","Nej"),"")</f>
        <v>Nej</v>
      </c>
      <c r="AZ4" s="228" t="str">
        <f>IF($AY4="ja",(VLOOKUP($B4,'Egen hetvattenprod'!$B$1:$BX$550,MATCH(AZ$2,'Egen hetvattenprod'!$B$1:$BX$1,0),FALSE)+VLOOKUP($B4,Kraftvärmeprod!$B$1:$BX$550,MATCH(AZ$2,Kraftvärmeprod!$B$1:$BX$1,0),FALSE))/$AC4,"")</f>
        <v/>
      </c>
      <c r="BA4" s="228" t="str">
        <f>IF($AY4="ja",(VLOOKUP($B4,'Egen hetvattenprod'!$B$1:$BX$550,MATCH(BA$2,'Egen hetvattenprod'!$B$1:$BX$1,0),FALSE)+VLOOKUP($B4,Kraftvärmeprod!$B$1:$BX$550,MATCH(BA$2,Kraftvärmeprod!$B$1:$BX$1,0),FALSE))/$AC4,"")</f>
        <v/>
      </c>
      <c r="BB4" s="228" t="str">
        <f>IF($AY4="ja",(VLOOKUP($B4,'Egen hetvattenprod'!$B$1:$BX$550,MATCH(BB$2,'Egen hetvattenprod'!$B$1:$BX$1,0),FALSE)+VLOOKUP($B4,Kraftvärmeprod!$B$1:$BX$550,MATCH(BB$2,Kraftvärmeprod!$B$1:$BX$1,0),FALSE))/$AC4,"")</f>
        <v/>
      </c>
      <c r="BC4" s="228" t="str">
        <f>IF($AY4="ja",(VLOOKUP($B4,'Egen hetvattenprod'!$B$1:$BX$550,MATCH(BC$2,'Egen hetvattenprod'!$B$1:$BX$1,0),FALSE)+VLOOKUP($B4,Kraftvärmeprod!$B$1:$BX$550,MATCH(BC$2,Kraftvärmeprod!$B$1:$BX$1,0),FALSE))/$AC4,"")</f>
        <v/>
      </c>
      <c r="BD4" s="228" t="str">
        <f>IF($AY4="ja",(VLOOKUP($B4,'Egen hetvattenprod'!$B$1:$BX$550,MATCH(BD$2,'Egen hetvattenprod'!$B$1:$BX$1,0),FALSE)+VLOOKUP($B4,Kraftvärmeprod!$B$1:$BX$550,MATCH(BD$2,Kraftvärmeprod!$B$1:$BX$1,0),FALSE))/$AC4,"")</f>
        <v/>
      </c>
      <c r="BE4" s="227"/>
      <c r="BF4" s="227" t="str">
        <f t="shared" ref="BF4:BF67" si="5">IF(B4&lt;&gt;"",IF(AND(I4&gt;0,I4&lt;&gt;""),"Ja","Nej"),"")</f>
        <v>Nej</v>
      </c>
      <c r="BG4" s="227" t="str">
        <f>IF($BF4="ja",VLOOKUP($B4,'Egen hetvattenprod'!$B$1:$BX$550,MATCH("Andelen klimatgaser med fossilt ursprung för avfall ()",'Egen hetvattenprod'!$B$1:$BX$1,0),FALSE),"")</f>
        <v/>
      </c>
      <c r="BH4" s="227" t="str">
        <f>IF($BF4="ja",VLOOKUP($B4,Kraftvärmeprod!$B$1:$BX$550,MATCH("Andelen klimatgaser med fossilt ursprung för avfall ()",Kraftvärmeprod!$B$1:$BX$1,0),FALSE),"")</f>
        <v/>
      </c>
      <c r="BI4" s="227" t="str">
        <f>IF($BF4="ja",VLOOKUP($B4,'Egen hetvattenprod'!$B$1:$BX$550,MATCH("Avfall (GWh)",'Egen hetvattenprod'!$B$1:$BX$1,0),FALSE),"")</f>
        <v/>
      </c>
      <c r="BJ4" s="227" t="str">
        <f>IF($BF4="ja",VLOOKUP($B4,'Slutlig allokering kvv'!$B$1:$BX$550,MATCH("Avfall (GWh)",'Slutlig allokering kvv'!$B$1:$BX$1,0),FALSE),"")</f>
        <v/>
      </c>
      <c r="BK4" s="227" t="str">
        <f>IF($BF4="ja",VLOOKUP($B4,'Köpt hetvatten'!$B$1:$BX$550,MATCH("Avfall i köpt hetvatten",'Köpt hetvatten'!$B$1:$BX$1,0),FALSE),"")</f>
        <v/>
      </c>
      <c r="BL4" s="227" t="str">
        <f>IF($BF4="ja",VLOOKUP($B4,'Egen hetvattenprod'!$B$1:$BX$550,MATCH("Värde enligt ovan. (%)",'Egen hetvattenprod'!$B$1:$BX$1,0),FALSE),"")</f>
        <v/>
      </c>
      <c r="BM4" s="227" t="str">
        <f>IF($BF4="ja",VLOOKUP($B4,Kraftvärmeprod!$B$1:$BX$550,MATCH("Värde enligt ovan. (%)",Kraftvärmeprod!$B$1:$BX$1,0),FALSE),"")</f>
        <v/>
      </c>
      <c r="BN4" s="227"/>
      <c r="BO4" s="227"/>
      <c r="BP4" s="227"/>
      <c r="BQ4" s="227" t="str">
        <f>IF($BF4="ja",VLOOKUP($B4,'Egen hetvattenprod'!$B$1:$BX$550,MATCH("Tillförd olja (fossil) vid avfallsförbränning (GWh)",'Egen hetvattenprod'!$B$1:$BX$1,0),FALSE),"")</f>
        <v/>
      </c>
      <c r="BR4" s="227" t="str">
        <f>IF($BF4="ja",VLOOKUP($B4,Kraftvärmeprod!$B$1:$BX$550,MATCH("Tillförd olja (fossil) vid avfallsförbränning (GWh)",Kraftvärmeprod!$B$1:$BX$1,0),FALSE),"")</f>
        <v/>
      </c>
      <c r="BS4" s="227"/>
      <c r="BT4" s="227"/>
      <c r="BU4" s="227"/>
    </row>
    <row r="5" spans="1:73" x14ac:dyDescent="0.25">
      <c r="A5" s="121" t="str">
        <f>'Miljövärden för publ företag'!B7</f>
        <v>Adven Energilösningar AB</v>
      </c>
      <c r="B5" s="121" t="str">
        <f>'Miljövärden för publ företag'!C7</f>
        <v>Mora</v>
      </c>
      <c r="C5" s="173">
        <f>IFERROR(VLOOKUP($B5,Totalt!$B$1:$AQ$554,MATCH(C$2,Totalt!$B$1:$AQ$1,0),FALSE),"")</f>
        <v>0</v>
      </c>
      <c r="D5" s="173">
        <f>IFERROR(VLOOKUP($B5,Totalt!$B$1:$AQ$554,MATCH(D$2,Totalt!$B$1:$AQ$1,0),FALSE),"")</f>
        <v>0.84899999999999998</v>
      </c>
      <c r="E5" s="173">
        <f>IFERROR(VLOOKUP($B5,Totalt!$B$1:$AQ$554,MATCH(E$2,Totalt!$B$1:$AQ$1,0),FALSE),"")</f>
        <v>0</v>
      </c>
      <c r="F5" s="173">
        <f>IFERROR(VLOOKUP($B5,Totalt!$B$1:$AQ$554,MATCH(F$2,Totalt!$B$1:$AQ$1,0),FALSE),"")</f>
        <v>0</v>
      </c>
      <c r="G5" s="173">
        <f>IFERROR(VLOOKUP($B5,Totalt!$B$1:$AQ$554,MATCH(G$2,Totalt!$B$1:$AQ$1,0),FALSE),"")</f>
        <v>0</v>
      </c>
      <c r="H5" s="173">
        <f>IFERROR(VLOOKUP($B5,Totalt!$B$1:$AQ$554,MATCH(H$2,Totalt!$B$1:$AQ$1,0),FALSE),"")</f>
        <v>0</v>
      </c>
      <c r="I5" s="173">
        <f>IFERROR(VLOOKUP($B5,Totalt!$B$1:$AQ$554,MATCH(I$2,Totalt!$B$1:$AQ$1,0),FALSE),"")</f>
        <v>63.664000000000001</v>
      </c>
      <c r="J5" s="173">
        <f>IFERROR(VLOOKUP($B5,Totalt!$B$1:$AQ$554,MATCH(J$2,Totalt!$B$1:$AQ$1,0),FALSE),"")</f>
        <v>0</v>
      </c>
      <c r="K5" s="173">
        <f>IFERROR(VLOOKUP($B5,Totalt!$B$1:$AQ$554,MATCH(K$2,Totalt!$B$1:$AQ$1,0),FALSE),"")</f>
        <v>0</v>
      </c>
      <c r="L5" s="173">
        <f>IFERROR(VLOOKUP($B5,Totalt!$B$1:$AQ$554,MATCH(L$2,Totalt!$B$1:$AQ$1,0),FALSE),"")</f>
        <v>0</v>
      </c>
      <c r="M5" s="173">
        <f>IFERROR(VLOOKUP($B5,Totalt!$B$1:$AQ$554,MATCH(M$2,Totalt!$B$1:$AQ$1,0),FALSE),"")</f>
        <v>0</v>
      </c>
      <c r="N5" s="173">
        <f>IFERROR(VLOOKUP($B5,Totalt!$B$1:$AQ$554,MATCH(N$2,Totalt!$B$1:$AQ$1,0),FALSE),"")</f>
        <v>0</v>
      </c>
      <c r="O5" s="173">
        <f>IFERROR(VLOOKUP($B5,Totalt!$B$1:$AQ$554,MATCH(O$2,Totalt!$B$1:$AQ$1,0),FALSE),"")</f>
        <v>0</v>
      </c>
      <c r="P5" s="173">
        <f>IFERROR(VLOOKUP($B5,Totalt!$B$1:$AQ$554,MATCH(P$2,Totalt!$B$1:$AQ$1,0),FALSE),"")</f>
        <v>0</v>
      </c>
      <c r="Q5" s="173">
        <f>IFERROR(VLOOKUP($B5,Totalt!$B$1:$AQ$554,MATCH(Q$2,Totalt!$B$1:$AQ$1,0),FALSE),"")</f>
        <v>68.141000000000005</v>
      </c>
      <c r="R5" s="173">
        <f>IFERROR(VLOOKUP($B5,Totalt!$B$1:$AQ$554,MATCH(R$2,Totalt!$B$1:$AQ$1,0),FALSE),"")</f>
        <v>0</v>
      </c>
      <c r="S5" s="173">
        <f>IFERROR(VLOOKUP($B5,Totalt!$B$1:$AQ$554,MATCH(S$2,Totalt!$B$1:$AQ$1,0),FALSE),"")</f>
        <v>0</v>
      </c>
      <c r="T5" s="173">
        <f>IFERROR(VLOOKUP($B5,Totalt!$B$1:$AQ$554,MATCH(T$2,Totalt!$B$1:$AQ$1,0),FALSE),"")</f>
        <v>0</v>
      </c>
      <c r="U5" s="173">
        <f>IFERROR(VLOOKUP($B5,Totalt!$B$1:$AQ$554,MATCH(U$2,Totalt!$B$1:$AQ$1,0),FALSE),"")</f>
        <v>0</v>
      </c>
      <c r="V5" s="173">
        <f>IFERROR(VLOOKUP($B5,Totalt!$B$1:$AQ$554,MATCH(V$2,Totalt!$B$1:$AQ$1,0),FALSE),"")</f>
        <v>0</v>
      </c>
      <c r="W5" s="173">
        <f>IFERROR(VLOOKUP($B5,Totalt!$B$1:$AQ$554,MATCH(W$2,Totalt!$B$1:$AQ$1,0),FALSE),"")</f>
        <v>0</v>
      </c>
      <c r="X5" s="173">
        <f>IFERROR(VLOOKUP($B5,Totalt!$B$1:$AQ$554,MATCH(X$2,Totalt!$B$1:$AQ$1,0),FALSE),"")</f>
        <v>0</v>
      </c>
      <c r="Y5" s="173">
        <f>IFERROR(VLOOKUP($B5,Totalt!$B$1:$AQ$554,MATCH(Y$2,Totalt!$B$1:$AQ$1,0),FALSE),"")</f>
        <v>0</v>
      </c>
      <c r="Z5" s="173">
        <f>IFERROR(VLOOKUP($B5,Totalt!$B$1:$AQ$554,MATCH(Z$2,Totalt!$B$1:$AQ$1,0),FALSE),"")</f>
        <v>0</v>
      </c>
      <c r="AA5" s="173">
        <f>IFERROR(VLOOKUP($B5,Totalt!$B$1:$AQ$554,MATCH(AA$2,Totalt!$B$1:$AQ$1,0),FALSE),"")</f>
        <v>0</v>
      </c>
      <c r="AB5" s="173">
        <f>IFERROR(VLOOKUP($B5,Totalt!$B$1:$AQ$554,MATCH(AB$2,Totalt!$B$1:$AQ$1,0),FALSE),"")</f>
        <v>0</v>
      </c>
      <c r="AC5" s="173">
        <f>IFERROR(VLOOKUP($B5,Totalt!$B$1:$AQ$554,MATCH(AC$2,Totalt!$B$1:$AQ$1,0),FALSE),"")</f>
        <v>11.101000000000001</v>
      </c>
      <c r="AD5" s="173">
        <f>IFERROR(VLOOKUP($B5,Totalt!$B$1:$AQ$554,MATCH(AD$2,Totalt!$B$1:$AQ$1,0),FALSE),"")</f>
        <v>1.8</v>
      </c>
      <c r="AE5" s="173">
        <f>IFERROR(VLOOKUP($B5,Totalt!$B$1:$AQ$554,MATCH(AE$2,Totalt!$B$1:$AQ$1,0),FALSE),"")</f>
        <v>0</v>
      </c>
      <c r="AF5" s="173">
        <f>IFERROR(VLOOKUP($B5,Totalt!$B$1:$AQ$554,MATCH(AF$2,Totalt!$B$1:$AQ$1,0),FALSE),"")</f>
        <v>4.4000000000000004</v>
      </c>
      <c r="AG5" s="173">
        <f>IFERROR(VLOOKUP($B5,Totalt!$B$1:$AQ$554,MATCH(AG$2,Totalt!$B$1:$AQ$1,0),FALSE),"")</f>
        <v>0</v>
      </c>
      <c r="AI5" s="226">
        <f t="shared" si="0"/>
        <v>149.95500000000001</v>
      </c>
      <c r="AJ5" s="226">
        <f>IF(ISERROR(1/VLOOKUP($B5,Leveranser!$B$1:$S$500,MATCH("såld värme (gwh)",Leveranser!$B$1:$S$1,0),FALSE)),"",VLOOKUP($B5,Leveranser!$B$1:$S$500,MATCH("såld värme (gwh)",Leveranser!$B$1:$S$1,0),FALSE))</f>
        <v>107.4</v>
      </c>
      <c r="AM5" s="227" t="str">
        <f>IF(B5&lt;&gt;"",IF(VLOOKUP($B5,Totalt!$B$1:$AQ$554,MATCH("Kvalitetsgranskad:",Totalt!$B$1:$AQ$1,0),FALSE)="ja",VLOOKUP($B5,Miljö!$B$1:$AG$479,MATCH(AM$2,Miljö!$B$1:$AK$1,0),FALSE),""),"")</f>
        <v>Ja</v>
      </c>
      <c r="AN5" s="227" t="str">
        <f>IF(AM5="ja",VLOOKUP($B5,Miljö!$B$1:$J$479,MATCH("Typ av ursprungsspecificerad el   (Om inget värde anges används Nordisk residualmix, se inforuta) ()",Miljö!$B$1:$J$1,0),FALSE),IF(AM5="nej","Nordisk residualel",""))</f>
        <v>'Vattenkraft'</v>
      </c>
      <c r="AO5" s="227">
        <f>IF(AM5="","",VLOOKUP($B5,Miljö!$B$1:$J$479,MATCH("Fossilandel för ursprungspecificerad el ()",Miljö!$B$1:$J$1,0),FALSE))</f>
        <v>0</v>
      </c>
      <c r="AP5" s="227">
        <f>IF(AM5="","",IFERROR(VLOOKUP($B5,Miljö!$B$1:$J$479,MATCH("Kärnkraftsandel för ursprungsspecificerad el ()",Miljö!$B$1:$J$1,0),FALSE)/1,0))</f>
        <v>0</v>
      </c>
      <c r="AQ5" s="227">
        <f t="shared" si="1"/>
        <v>1</v>
      </c>
      <c r="AR5" s="227"/>
      <c r="AS5" s="227" t="str">
        <f t="shared" si="2"/>
        <v>Nej</v>
      </c>
      <c r="AT5" s="227" t="str">
        <f>IF(AS5="ja",VLOOKUP($B5,Miljö!$B$1:$O$500,MATCH("Fossil andel i procent (%)",Miljö!$B$1:$O$1,0),FALSE)/100,"")</f>
        <v/>
      </c>
      <c r="AU5" s="227"/>
      <c r="AV5" s="227" t="str">
        <f t="shared" si="3"/>
        <v>Nej</v>
      </c>
      <c r="AW5" s="227" t="str">
        <f>IF(AV5="ja",VLOOKUP($B5,'Egen hetvattenprod'!$B$1:$AO$500,MATCH("Värmekälla till värmepumpar ()",'Egen hetvattenprod'!$B$1:$AO$1,0),FALSE),"")</f>
        <v/>
      </c>
      <c r="AX5" s="227"/>
      <c r="AY5" s="227" t="str">
        <f t="shared" si="4"/>
        <v>Ja</v>
      </c>
      <c r="AZ5" s="228">
        <f>IF($AY5="ja",(VLOOKUP($B5,'Egen hetvattenprod'!$B$1:$BX$550,MATCH(AZ$2,'Egen hetvattenprod'!$B$1:$BX$1,0),FALSE)+VLOOKUP($B5,Kraftvärmeprod!$B$1:$BX$550,MATCH(AZ$2,Kraftvärmeprod!$B$1:$BX$1,0),FALSE))/$AC5,"")</f>
        <v>1</v>
      </c>
      <c r="BA5" s="228">
        <f>IF($AY5="ja",(VLOOKUP($B5,'Egen hetvattenprod'!$B$1:$BX$550,MATCH(BA$2,'Egen hetvattenprod'!$B$1:$BX$1,0),FALSE)+VLOOKUP($B5,Kraftvärmeprod!$B$1:$BX$550,MATCH(BA$2,Kraftvärmeprod!$B$1:$BX$1,0),FALSE))/$AC5,"")</f>
        <v>0</v>
      </c>
      <c r="BB5" s="228">
        <f>IF($AY5="ja",(VLOOKUP($B5,'Egen hetvattenprod'!$B$1:$BX$550,MATCH(BB$2,'Egen hetvattenprod'!$B$1:$BX$1,0),FALSE)+VLOOKUP($B5,Kraftvärmeprod!$B$1:$BX$550,MATCH(BB$2,Kraftvärmeprod!$B$1:$BX$1,0),FALSE))/$AC5,"")</f>
        <v>0</v>
      </c>
      <c r="BC5" s="228">
        <f>IF($AY5="ja",(VLOOKUP($B5,'Egen hetvattenprod'!$B$1:$BX$550,MATCH(BC$2,'Egen hetvattenprod'!$B$1:$BX$1,0),FALSE)+VLOOKUP($B5,Kraftvärmeprod!$B$1:$BX$550,MATCH(BC$2,Kraftvärmeprod!$B$1:$BX$1,0),FALSE))/$AC5,"")</f>
        <v>0</v>
      </c>
      <c r="BD5" s="228">
        <f>IF($AY5="ja",(VLOOKUP($B5,'Egen hetvattenprod'!$B$1:$BX$550,MATCH(BD$2,'Egen hetvattenprod'!$B$1:$BX$1,0),FALSE)+VLOOKUP($B5,Kraftvärmeprod!$B$1:$BX$550,MATCH(BD$2,Kraftvärmeprod!$B$1:$BX$1,0),FALSE))/$AC5,"")</f>
        <v>0</v>
      </c>
      <c r="BE5" s="227"/>
      <c r="BF5" s="227" t="str">
        <f t="shared" si="5"/>
        <v>Ja</v>
      </c>
      <c r="BG5" s="227" t="str">
        <f>IF($BF5="ja",VLOOKUP($B5,'Egen hetvattenprod'!$B$1:$BX$550,MATCH("Andelen klimatgaser med fossilt ursprung för avfall ()",'Egen hetvattenprod'!$B$1:$BX$1,0),FALSE),"")</f>
        <v>Schablon</v>
      </c>
      <c r="BH5" s="227" t="str">
        <f>IF($BF5="ja",VLOOKUP($B5,Kraftvärmeprod!$B$1:$BX$550,MATCH("Andelen klimatgaser med fossilt ursprung för avfall ()",Kraftvärmeprod!$B$1:$BX$1,0),FALSE),"")</f>
        <v>-</v>
      </c>
      <c r="BI5" s="227">
        <f>IF($BF5="ja",VLOOKUP($B5,'Egen hetvattenprod'!$B$1:$BX$550,MATCH("Avfall (GWh)",'Egen hetvattenprod'!$B$1:$BX$1,0),FALSE),"")</f>
        <v>63.664000000000001</v>
      </c>
      <c r="BJ5" s="227">
        <f>IF($BF5="ja",VLOOKUP($B5,'Slutlig allokering kvv'!$B$1:$BX$550,MATCH("Avfall (GWh)",'Slutlig allokering kvv'!$B$1:$BX$1,0),FALSE),"")</f>
        <v>0</v>
      </c>
      <c r="BK5" s="227">
        <f>IF($BF5="ja",VLOOKUP($B5,'Köpt hetvatten'!$B$1:$BX$550,MATCH("Avfall i köpt hetvatten",'Köpt hetvatten'!$B$1:$BX$1,0),FALSE),"")</f>
        <v>0</v>
      </c>
      <c r="BL5" s="227">
        <f>IF($BF5="ja",VLOOKUP($B5,'Egen hetvattenprod'!$B$1:$BX$550,MATCH("Värde enligt ovan. (%)",'Egen hetvattenprod'!$B$1:$BX$1,0),FALSE),"")</f>
        <v>40.5</v>
      </c>
      <c r="BM5" s="227" t="str">
        <f>IF($BF5="ja",VLOOKUP($B5,Kraftvärmeprod!$B$1:$BX$550,MATCH("Värde enligt ovan. (%)",Kraftvärmeprod!$B$1:$BX$1,0),FALSE),"")</f>
        <v>ET</v>
      </c>
      <c r="BN5" s="227"/>
      <c r="BO5" s="227"/>
      <c r="BP5" s="227"/>
      <c r="BQ5" s="227">
        <f>IF($BF5="ja",VLOOKUP($B5,'Egen hetvattenprod'!$B$1:$BX$550,MATCH("Tillförd olja (fossil) vid avfallsförbränning (GWh)",'Egen hetvattenprod'!$B$1:$BX$1,0),FALSE),"")</f>
        <v>0.68700000000000006</v>
      </c>
      <c r="BR5" s="227" t="str">
        <f>IF($BF5="ja",VLOOKUP($B5,Kraftvärmeprod!$B$1:$BX$550,MATCH("Tillförd olja (fossil) vid avfallsförbränning (GWh)",Kraftvärmeprod!$B$1:$BX$1,0),FALSE),"")</f>
        <v>ET</v>
      </c>
      <c r="BS5" s="227"/>
      <c r="BT5" s="227"/>
      <c r="BU5" s="227"/>
    </row>
    <row r="6" spans="1:73" x14ac:dyDescent="0.25">
      <c r="A6" s="121" t="str">
        <f>'Miljövärden för publ företag'!B8</f>
        <v>Adven Energilösningar AB</v>
      </c>
      <c r="B6" s="121" t="str">
        <f>'Miljövärden för publ företag'!C8</f>
        <v>Orsa</v>
      </c>
      <c r="C6" s="173">
        <f>IFERROR(VLOOKUP($B6,Totalt!$B$1:$AQ$554,MATCH(C$2,Totalt!$B$1:$AQ$1,0),FALSE),"")</f>
        <v>0</v>
      </c>
      <c r="D6" s="173">
        <f>IFERROR(VLOOKUP($B6,Totalt!$B$1:$AQ$554,MATCH(D$2,Totalt!$B$1:$AQ$1,0),FALSE),"")</f>
        <v>0.06</v>
      </c>
      <c r="E6" s="173">
        <f>IFERROR(VLOOKUP($B6,Totalt!$B$1:$AQ$554,MATCH(E$2,Totalt!$B$1:$AQ$1,0),FALSE),"")</f>
        <v>0</v>
      </c>
      <c r="F6" s="173">
        <f>IFERROR(VLOOKUP($B6,Totalt!$B$1:$AQ$554,MATCH(F$2,Totalt!$B$1:$AQ$1,0),FALSE),"")</f>
        <v>0</v>
      </c>
      <c r="G6" s="173">
        <f>IFERROR(VLOOKUP($B6,Totalt!$B$1:$AQ$554,MATCH(G$2,Totalt!$B$1:$AQ$1,0),FALSE),"")</f>
        <v>0</v>
      </c>
      <c r="H6" s="173">
        <f>IFERROR(VLOOKUP($B6,Totalt!$B$1:$AQ$554,MATCH(H$2,Totalt!$B$1:$AQ$1,0),FALSE),"")</f>
        <v>0</v>
      </c>
      <c r="I6" s="173">
        <f>IFERROR(VLOOKUP($B6,Totalt!$B$1:$AQ$554,MATCH(I$2,Totalt!$B$1:$AQ$1,0),FALSE),"")</f>
        <v>0</v>
      </c>
      <c r="J6" s="173">
        <f>IFERROR(VLOOKUP($B6,Totalt!$B$1:$AQ$554,MATCH(J$2,Totalt!$B$1:$AQ$1,0),FALSE),"")</f>
        <v>0</v>
      </c>
      <c r="K6" s="173">
        <f>IFERROR(VLOOKUP($B6,Totalt!$B$1:$AQ$554,MATCH(K$2,Totalt!$B$1:$AQ$1,0),FALSE),"")</f>
        <v>0</v>
      </c>
      <c r="L6" s="173">
        <f>IFERROR(VLOOKUP($B6,Totalt!$B$1:$AQ$554,MATCH(L$2,Totalt!$B$1:$AQ$1,0),FALSE),"")</f>
        <v>0</v>
      </c>
      <c r="M6" s="173">
        <f>IFERROR(VLOOKUP($B6,Totalt!$B$1:$AQ$554,MATCH(M$2,Totalt!$B$1:$AQ$1,0),FALSE),"")</f>
        <v>0</v>
      </c>
      <c r="N6" s="173">
        <f>IFERROR(VLOOKUP($B6,Totalt!$B$1:$AQ$554,MATCH(N$2,Totalt!$B$1:$AQ$1,0),FALSE),"")</f>
        <v>0</v>
      </c>
      <c r="O6" s="173">
        <f>IFERROR(VLOOKUP($B6,Totalt!$B$1:$AQ$554,MATCH(O$2,Totalt!$B$1:$AQ$1,0),FALSE),"")</f>
        <v>0</v>
      </c>
      <c r="P6" s="173">
        <f>IFERROR(VLOOKUP($B6,Totalt!$B$1:$AQ$554,MATCH(P$2,Totalt!$B$1:$AQ$1,0),FALSE),"")</f>
        <v>0</v>
      </c>
      <c r="Q6" s="173">
        <f>IFERROR(VLOOKUP($B6,Totalt!$B$1:$AQ$554,MATCH(Q$2,Totalt!$B$1:$AQ$1,0),FALSE),"")</f>
        <v>27.9</v>
      </c>
      <c r="R6" s="173">
        <f>IFERROR(VLOOKUP($B6,Totalt!$B$1:$AQ$554,MATCH(R$2,Totalt!$B$1:$AQ$1,0),FALSE),"")</f>
        <v>0</v>
      </c>
      <c r="S6" s="173">
        <f>IFERROR(VLOOKUP($B6,Totalt!$B$1:$AQ$554,MATCH(S$2,Totalt!$B$1:$AQ$1,0),FALSE),"")</f>
        <v>0</v>
      </c>
      <c r="T6" s="173">
        <f>IFERROR(VLOOKUP($B6,Totalt!$B$1:$AQ$554,MATCH(T$2,Totalt!$B$1:$AQ$1,0),FALSE),"")</f>
        <v>0</v>
      </c>
      <c r="U6" s="173">
        <f>IFERROR(VLOOKUP($B6,Totalt!$B$1:$AQ$554,MATCH(U$2,Totalt!$B$1:$AQ$1,0),FALSE),"")</f>
        <v>0</v>
      </c>
      <c r="V6" s="173">
        <f>IFERROR(VLOOKUP($B6,Totalt!$B$1:$AQ$554,MATCH(V$2,Totalt!$B$1:$AQ$1,0),FALSE),"")</f>
        <v>0</v>
      </c>
      <c r="W6" s="173">
        <f>IFERROR(VLOOKUP($B6,Totalt!$B$1:$AQ$554,MATCH(W$2,Totalt!$B$1:$AQ$1,0),FALSE),"")</f>
        <v>0</v>
      </c>
      <c r="X6" s="173">
        <f>IFERROR(VLOOKUP($B6,Totalt!$B$1:$AQ$554,MATCH(X$2,Totalt!$B$1:$AQ$1,0),FALSE),"")</f>
        <v>0</v>
      </c>
      <c r="Y6" s="173">
        <f>IFERROR(VLOOKUP($B6,Totalt!$B$1:$AQ$554,MATCH(Y$2,Totalt!$B$1:$AQ$1,0),FALSE),"")</f>
        <v>0</v>
      </c>
      <c r="Z6" s="173">
        <f>IFERROR(VLOOKUP($B6,Totalt!$B$1:$AQ$554,MATCH(Z$2,Totalt!$B$1:$AQ$1,0),FALSE),"")</f>
        <v>0</v>
      </c>
      <c r="AA6" s="173">
        <f>IFERROR(VLOOKUP($B6,Totalt!$B$1:$AQ$554,MATCH(AA$2,Totalt!$B$1:$AQ$1,0),FALSE),"")</f>
        <v>0</v>
      </c>
      <c r="AB6" s="173">
        <f>IFERROR(VLOOKUP($B6,Totalt!$B$1:$AQ$554,MATCH(AB$2,Totalt!$B$1:$AQ$1,0),FALSE),"")</f>
        <v>0</v>
      </c>
      <c r="AC6" s="173">
        <f>IFERROR(VLOOKUP($B6,Totalt!$B$1:$AQ$554,MATCH(AC$2,Totalt!$B$1:$AQ$1,0),FALSE),"")</f>
        <v>3.3</v>
      </c>
      <c r="AD6" s="173">
        <f>IFERROR(VLOOKUP($B6,Totalt!$B$1:$AQ$554,MATCH(AD$2,Totalt!$B$1:$AQ$1,0),FALSE),"")</f>
        <v>0</v>
      </c>
      <c r="AE6" s="173">
        <f>IFERROR(VLOOKUP($B6,Totalt!$B$1:$AQ$554,MATCH(AE$2,Totalt!$B$1:$AQ$1,0),FALSE),"")</f>
        <v>0</v>
      </c>
      <c r="AF6" s="173">
        <f>IFERROR(VLOOKUP($B6,Totalt!$B$1:$AQ$554,MATCH(AF$2,Totalt!$B$1:$AQ$1,0),FALSE),"")</f>
        <v>0.5</v>
      </c>
      <c r="AG6" s="173">
        <f>IFERROR(VLOOKUP($B6,Totalt!$B$1:$AQ$554,MATCH(AG$2,Totalt!$B$1:$AQ$1,0),FALSE),"")</f>
        <v>0</v>
      </c>
      <c r="AI6" s="226">
        <f t="shared" si="0"/>
        <v>31.759999999999998</v>
      </c>
      <c r="AJ6" s="226">
        <f>IF(ISERROR(1/VLOOKUP($B6,Leveranser!$B$1:$S$500,MATCH("såld värme (gwh)",Leveranser!$B$1:$S$1,0),FALSE)),"",VLOOKUP($B6,Leveranser!$B$1:$S$500,MATCH("såld värme (gwh)",Leveranser!$B$1:$S$1,0),FALSE))</f>
        <v>22.3</v>
      </c>
      <c r="AM6" s="227" t="str">
        <f>IF(B6&lt;&gt;"",IF(VLOOKUP($B6,Totalt!$B$1:$AQ$554,MATCH("Kvalitetsgranskad:",Totalt!$B$1:$AQ$1,0),FALSE)="ja",VLOOKUP($B6,Miljö!$B$1:$AG$479,MATCH(AM$2,Miljö!$B$1:$AK$1,0),FALSE),""),"")</f>
        <v>Ja</v>
      </c>
      <c r="AN6" s="227" t="str">
        <f>IF(AM6="ja",VLOOKUP($B6,Miljö!$B$1:$J$479,MATCH("Typ av ursprungsspecificerad el   (Om inget värde anges används Nordisk residualmix, se inforuta) ()",Miljö!$B$1:$J$1,0),FALSE),IF(AM6="nej","Nordisk residualel",""))</f>
        <v>'Vattenkraft'</v>
      </c>
      <c r="AO6" s="227">
        <f>IF(AM6="","",VLOOKUP($B6,Miljö!$B$1:$J$479,MATCH("Fossilandel för ursprungspecificerad el ()",Miljö!$B$1:$J$1,0),FALSE))</f>
        <v>0</v>
      </c>
      <c r="AP6" s="227">
        <f>IF(AM6="","",IFERROR(VLOOKUP($B6,Miljö!$B$1:$J$479,MATCH("Kärnkraftsandel för ursprungsspecificerad el ()",Miljö!$B$1:$J$1,0),FALSE)/1,0))</f>
        <v>0</v>
      </c>
      <c r="AQ6" s="227">
        <f t="shared" si="1"/>
        <v>1</v>
      </c>
      <c r="AR6" s="227"/>
      <c r="AS6" s="227" t="str">
        <f t="shared" si="2"/>
        <v>Nej</v>
      </c>
      <c r="AT6" s="227" t="str">
        <f>IF(AS6="ja",VLOOKUP($B6,Miljö!$B$1:$O$500,MATCH("Fossil andel i procent (%)",Miljö!$B$1:$O$1,0),FALSE)/100,"")</f>
        <v/>
      </c>
      <c r="AU6" s="227"/>
      <c r="AV6" s="227" t="str">
        <f t="shared" si="3"/>
        <v>Nej</v>
      </c>
      <c r="AW6" s="227" t="str">
        <f>IF(AV6="ja",VLOOKUP($B6,'Egen hetvattenprod'!$B$1:$AO$500,MATCH("Värmekälla till värmepumpar ()",'Egen hetvattenprod'!$B$1:$AO$1,0),FALSE),"")</f>
        <v/>
      </c>
      <c r="AX6" s="227"/>
      <c r="AY6" s="227" t="str">
        <f t="shared" si="4"/>
        <v>Ja</v>
      </c>
      <c r="AZ6" s="228">
        <f>IF($AY6="ja",(VLOOKUP($B6,'Egen hetvattenprod'!$B$1:$BX$550,MATCH(AZ$2,'Egen hetvattenprod'!$B$1:$BX$1,0),FALSE)+VLOOKUP($B6,Kraftvärmeprod!$B$1:$BX$550,MATCH(AZ$2,Kraftvärmeprod!$B$1:$BX$1,0),FALSE))/$AC6,"")</f>
        <v>1</v>
      </c>
      <c r="BA6" s="228">
        <f>IF($AY6="ja",(VLOOKUP($B6,'Egen hetvattenprod'!$B$1:$BX$550,MATCH(BA$2,'Egen hetvattenprod'!$B$1:$BX$1,0),FALSE)+VLOOKUP($B6,Kraftvärmeprod!$B$1:$BX$550,MATCH(BA$2,Kraftvärmeprod!$B$1:$BX$1,0),FALSE))/$AC6,"")</f>
        <v>0</v>
      </c>
      <c r="BB6" s="228">
        <f>IF($AY6="ja",(VLOOKUP($B6,'Egen hetvattenprod'!$B$1:$BX$550,MATCH(BB$2,'Egen hetvattenprod'!$B$1:$BX$1,0),FALSE)+VLOOKUP($B6,Kraftvärmeprod!$B$1:$BX$550,MATCH(BB$2,Kraftvärmeprod!$B$1:$BX$1,0),FALSE))/$AC6,"")</f>
        <v>0</v>
      </c>
      <c r="BC6" s="228">
        <f>IF($AY6="ja",(VLOOKUP($B6,'Egen hetvattenprod'!$B$1:$BX$550,MATCH(BC$2,'Egen hetvattenprod'!$B$1:$BX$1,0),FALSE)+VLOOKUP($B6,Kraftvärmeprod!$B$1:$BX$550,MATCH(BC$2,Kraftvärmeprod!$B$1:$BX$1,0),FALSE))/$AC6,"")</f>
        <v>0</v>
      </c>
      <c r="BD6" s="228">
        <f>IF($AY6="ja",(VLOOKUP($B6,'Egen hetvattenprod'!$B$1:$BX$550,MATCH(BD$2,'Egen hetvattenprod'!$B$1:$BX$1,0),FALSE)+VLOOKUP($B6,Kraftvärmeprod!$B$1:$BX$550,MATCH(BD$2,Kraftvärmeprod!$B$1:$BX$1,0),FALSE))/$AC6,"")</f>
        <v>0</v>
      </c>
      <c r="BE6" s="227"/>
      <c r="BF6" s="227" t="str">
        <f t="shared" si="5"/>
        <v>Nej</v>
      </c>
      <c r="BG6" s="227" t="str">
        <f>IF($BF6="ja",VLOOKUP($B6,'Egen hetvattenprod'!$B$1:$BX$550,MATCH("Andelen klimatgaser med fossilt ursprung för avfall ()",'Egen hetvattenprod'!$B$1:$BX$1,0),FALSE),"")</f>
        <v/>
      </c>
      <c r="BH6" s="227" t="str">
        <f>IF($BF6="ja",VLOOKUP($B6,Kraftvärmeprod!$B$1:$BX$550,MATCH("Andelen klimatgaser med fossilt ursprung för avfall ()",Kraftvärmeprod!$B$1:$BX$1,0),FALSE),"")</f>
        <v/>
      </c>
      <c r="BI6" s="227" t="str">
        <f>IF($BF6="ja",VLOOKUP($B6,'Egen hetvattenprod'!$B$1:$BX$550,MATCH("Avfall (GWh)",'Egen hetvattenprod'!$B$1:$BX$1,0),FALSE),"")</f>
        <v/>
      </c>
      <c r="BJ6" s="227" t="str">
        <f>IF($BF6="ja",VLOOKUP($B6,'Slutlig allokering kvv'!$B$1:$BX$550,MATCH("Avfall (GWh)",'Slutlig allokering kvv'!$B$1:$BX$1,0),FALSE),"")</f>
        <v/>
      </c>
      <c r="BK6" s="227" t="str">
        <f>IF($BF6="ja",VLOOKUP($B6,'Köpt hetvatten'!$B$1:$BX$550,MATCH("Avfall i köpt hetvatten",'Köpt hetvatten'!$B$1:$BX$1,0),FALSE),"")</f>
        <v/>
      </c>
      <c r="BL6" s="227" t="str">
        <f>IF($BF6="ja",VLOOKUP($B6,'Egen hetvattenprod'!$B$1:$BX$550,MATCH("Värde enligt ovan. (%)",'Egen hetvattenprod'!$B$1:$BX$1,0),FALSE),"")</f>
        <v/>
      </c>
      <c r="BM6" s="227" t="str">
        <f>IF($BF6="ja",VLOOKUP($B6,Kraftvärmeprod!$B$1:$BX$550,MATCH("Värde enligt ovan. (%)",Kraftvärmeprod!$B$1:$BX$1,0),FALSE),"")</f>
        <v/>
      </c>
      <c r="BN6" s="227"/>
      <c r="BO6" s="227"/>
      <c r="BP6" s="227"/>
      <c r="BQ6" s="227" t="str">
        <f>IF($BF6="ja",VLOOKUP($B6,'Egen hetvattenprod'!$B$1:$BX$550,MATCH("Tillförd olja (fossil) vid avfallsförbränning (GWh)",'Egen hetvattenprod'!$B$1:$BX$1,0),FALSE),"")</f>
        <v/>
      </c>
      <c r="BR6" s="227" t="str">
        <f>IF($BF6="ja",VLOOKUP($B6,Kraftvärmeprod!$B$1:$BX$550,MATCH("Tillförd olja (fossil) vid avfallsförbränning (GWh)",Kraftvärmeprod!$B$1:$BX$1,0),FALSE),"")</f>
        <v/>
      </c>
      <c r="BS6" s="227"/>
      <c r="BT6" s="227"/>
      <c r="BU6" s="227"/>
    </row>
    <row r="7" spans="1:73" x14ac:dyDescent="0.25">
      <c r="A7" s="121" t="str">
        <f>'Miljövärden för publ företag'!B9</f>
        <v>Adven Energilösningar AB</v>
      </c>
      <c r="B7" s="121" t="str">
        <f>'Miljövärden för publ företag'!C9</f>
        <v>Sollefteå</v>
      </c>
      <c r="C7" s="173">
        <f>IFERROR(VLOOKUP($B7,Totalt!$B$1:$AQ$554,MATCH(C$2,Totalt!$B$1:$AQ$1,0),FALSE),"")</f>
        <v>0</v>
      </c>
      <c r="D7" s="173">
        <f>IFERROR(VLOOKUP($B7,Totalt!$B$1:$AQ$554,MATCH(D$2,Totalt!$B$1:$AQ$1,0),FALSE),"")</f>
        <v>1.1739999999999999</v>
      </c>
      <c r="E7" s="173">
        <f>IFERROR(VLOOKUP($B7,Totalt!$B$1:$AQ$554,MATCH(E$2,Totalt!$B$1:$AQ$1,0),FALSE),"")</f>
        <v>0</v>
      </c>
      <c r="F7" s="173">
        <f>IFERROR(VLOOKUP($B7,Totalt!$B$1:$AQ$554,MATCH(F$2,Totalt!$B$1:$AQ$1,0),FALSE),"")</f>
        <v>0</v>
      </c>
      <c r="G7" s="173">
        <f>IFERROR(VLOOKUP($B7,Totalt!$B$1:$AQ$554,MATCH(G$2,Totalt!$B$1:$AQ$1,0),FALSE),"")</f>
        <v>0</v>
      </c>
      <c r="H7" s="173">
        <f>IFERROR(VLOOKUP($B7,Totalt!$B$1:$AQ$554,MATCH(H$2,Totalt!$B$1:$AQ$1,0),FALSE),"")</f>
        <v>0</v>
      </c>
      <c r="I7" s="173">
        <f>IFERROR(VLOOKUP($B7,Totalt!$B$1:$AQ$554,MATCH(I$2,Totalt!$B$1:$AQ$1,0),FALSE),"")</f>
        <v>0</v>
      </c>
      <c r="J7" s="173">
        <f>IFERROR(VLOOKUP($B7,Totalt!$B$1:$AQ$554,MATCH(J$2,Totalt!$B$1:$AQ$1,0),FALSE),"")</f>
        <v>0</v>
      </c>
      <c r="K7" s="173">
        <f>IFERROR(VLOOKUP($B7,Totalt!$B$1:$AQ$554,MATCH(K$2,Totalt!$B$1:$AQ$1,0),FALSE),"")</f>
        <v>0</v>
      </c>
      <c r="L7" s="173">
        <f>IFERROR(VLOOKUP($B7,Totalt!$B$1:$AQ$554,MATCH(L$2,Totalt!$B$1:$AQ$1,0),FALSE),"")</f>
        <v>0</v>
      </c>
      <c r="M7" s="173">
        <f>IFERROR(VLOOKUP($B7,Totalt!$B$1:$AQ$554,MATCH(M$2,Totalt!$B$1:$AQ$1,0),FALSE),"")</f>
        <v>0</v>
      </c>
      <c r="N7" s="173">
        <f>IFERROR(VLOOKUP($B7,Totalt!$B$1:$AQ$554,MATCH(N$2,Totalt!$B$1:$AQ$1,0),FALSE),"")</f>
        <v>0</v>
      </c>
      <c r="O7" s="173">
        <f>IFERROR(VLOOKUP($B7,Totalt!$B$1:$AQ$554,MATCH(O$2,Totalt!$B$1:$AQ$1,0),FALSE),"")</f>
        <v>0</v>
      </c>
      <c r="P7" s="173">
        <f>IFERROR(VLOOKUP($B7,Totalt!$B$1:$AQ$554,MATCH(P$2,Totalt!$B$1:$AQ$1,0),FALSE),"")</f>
        <v>0</v>
      </c>
      <c r="Q7" s="173">
        <f>IFERROR(VLOOKUP($B7,Totalt!$B$1:$AQ$554,MATCH(Q$2,Totalt!$B$1:$AQ$1,0),FALSE),"")</f>
        <v>68.599999999999994</v>
      </c>
      <c r="R7" s="173">
        <f>IFERROR(VLOOKUP($B7,Totalt!$B$1:$AQ$554,MATCH(R$2,Totalt!$B$1:$AQ$1,0),FALSE),"")</f>
        <v>0</v>
      </c>
      <c r="S7" s="173">
        <f>IFERROR(VLOOKUP($B7,Totalt!$B$1:$AQ$554,MATCH(S$2,Totalt!$B$1:$AQ$1,0),FALSE),"")</f>
        <v>0</v>
      </c>
      <c r="T7" s="173">
        <f>IFERROR(VLOOKUP($B7,Totalt!$B$1:$AQ$554,MATCH(T$2,Totalt!$B$1:$AQ$1,0),FALSE),"")</f>
        <v>0</v>
      </c>
      <c r="U7" s="173">
        <f>IFERROR(VLOOKUP($B7,Totalt!$B$1:$AQ$554,MATCH(U$2,Totalt!$B$1:$AQ$1,0),FALSE),"")</f>
        <v>0</v>
      </c>
      <c r="V7" s="173">
        <f>IFERROR(VLOOKUP($B7,Totalt!$B$1:$AQ$554,MATCH(V$2,Totalt!$B$1:$AQ$1,0),FALSE),"")</f>
        <v>0</v>
      </c>
      <c r="W7" s="173">
        <f>IFERROR(VLOOKUP($B7,Totalt!$B$1:$AQ$554,MATCH(W$2,Totalt!$B$1:$AQ$1,0),FALSE),"")</f>
        <v>0</v>
      </c>
      <c r="X7" s="173">
        <f>IFERROR(VLOOKUP($B7,Totalt!$B$1:$AQ$554,MATCH(X$2,Totalt!$B$1:$AQ$1,0),FALSE),"")</f>
        <v>0</v>
      </c>
      <c r="Y7" s="173">
        <f>IFERROR(VLOOKUP($B7,Totalt!$B$1:$AQ$554,MATCH(Y$2,Totalt!$B$1:$AQ$1,0),FALSE),"")</f>
        <v>0</v>
      </c>
      <c r="Z7" s="173">
        <f>IFERROR(VLOOKUP($B7,Totalt!$B$1:$AQ$554,MATCH(Z$2,Totalt!$B$1:$AQ$1,0),FALSE),"")</f>
        <v>0</v>
      </c>
      <c r="AA7" s="173">
        <f>IFERROR(VLOOKUP($B7,Totalt!$B$1:$AQ$554,MATCH(AA$2,Totalt!$B$1:$AQ$1,0),FALSE),"")</f>
        <v>0</v>
      </c>
      <c r="AB7" s="173">
        <f>IFERROR(VLOOKUP($B7,Totalt!$B$1:$AQ$554,MATCH(AB$2,Totalt!$B$1:$AQ$1,0),FALSE),"")</f>
        <v>0</v>
      </c>
      <c r="AC7" s="173">
        <f>IFERROR(VLOOKUP($B7,Totalt!$B$1:$AQ$554,MATCH(AC$2,Totalt!$B$1:$AQ$1,0),FALSE),"")</f>
        <v>9.3759999999999994</v>
      </c>
      <c r="AD7" s="173">
        <f>IFERROR(VLOOKUP($B7,Totalt!$B$1:$AQ$554,MATCH(AD$2,Totalt!$B$1:$AQ$1,0),FALSE),"")</f>
        <v>0</v>
      </c>
      <c r="AE7" s="173">
        <f>IFERROR(VLOOKUP($B7,Totalt!$B$1:$AQ$554,MATCH(AE$2,Totalt!$B$1:$AQ$1,0),FALSE),"")</f>
        <v>0</v>
      </c>
      <c r="AF7" s="173">
        <f>IFERROR(VLOOKUP($B7,Totalt!$B$1:$AQ$554,MATCH(AF$2,Totalt!$B$1:$AQ$1,0),FALSE),"")</f>
        <v>2.5</v>
      </c>
      <c r="AG7" s="173">
        <f>IFERROR(VLOOKUP($B7,Totalt!$B$1:$AQ$554,MATCH(AG$2,Totalt!$B$1:$AQ$1,0),FALSE),"")</f>
        <v>0</v>
      </c>
      <c r="AI7" s="226">
        <f t="shared" si="0"/>
        <v>81.650000000000006</v>
      </c>
      <c r="AJ7" s="226">
        <f>IF(ISERROR(1/VLOOKUP($B7,Leveranser!$B$1:$S$500,MATCH("såld värme (gwh)",Leveranser!$B$1:$S$1,0),FALSE)),"",VLOOKUP($B7,Leveranser!$B$1:$S$500,MATCH("såld värme (gwh)",Leveranser!$B$1:$S$1,0),FALSE))</f>
        <v>62.1</v>
      </c>
      <c r="AM7" s="227" t="str">
        <f>IF(B7&lt;&gt;"",IF(VLOOKUP($B7,Totalt!$B$1:$AQ$554,MATCH("Kvalitetsgranskad:",Totalt!$B$1:$AQ$1,0),FALSE)="ja",VLOOKUP($B7,Miljö!$B$1:$AG$479,MATCH(AM$2,Miljö!$B$1:$AK$1,0),FALSE),""),"")</f>
        <v>Ja</v>
      </c>
      <c r="AN7" s="227" t="str">
        <f>IF(AM7="ja",VLOOKUP($B7,Miljö!$B$1:$J$479,MATCH("Typ av ursprungsspecificerad el   (Om inget värde anges används Nordisk residualmix, se inforuta) ()",Miljö!$B$1:$J$1,0),FALSE),IF(AM7="nej","Nordisk residualel",""))</f>
        <v>'Vattenkraft'</v>
      </c>
      <c r="AO7" s="227">
        <f>IF(AM7="","",VLOOKUP($B7,Miljö!$B$1:$J$479,MATCH("Fossilandel för ursprungspecificerad el ()",Miljö!$B$1:$J$1,0),FALSE))</f>
        <v>0</v>
      </c>
      <c r="AP7" s="227">
        <f>IF(AM7="","",IFERROR(VLOOKUP($B7,Miljö!$B$1:$J$479,MATCH("Kärnkraftsandel för ursprungsspecificerad el ()",Miljö!$B$1:$J$1,0),FALSE)/1,0))</f>
        <v>0</v>
      </c>
      <c r="AQ7" s="227">
        <f t="shared" si="1"/>
        <v>1</v>
      </c>
      <c r="AR7" s="227"/>
      <c r="AS7" s="227" t="str">
        <f t="shared" si="2"/>
        <v>Nej</v>
      </c>
      <c r="AT7" s="227" t="str">
        <f>IF(AS7="ja",VLOOKUP($B7,Miljö!$B$1:$O$500,MATCH("Fossil andel i procent (%)",Miljö!$B$1:$O$1,0),FALSE)/100,"")</f>
        <v/>
      </c>
      <c r="AU7" s="227"/>
      <c r="AV7" s="227" t="str">
        <f t="shared" si="3"/>
        <v>Nej</v>
      </c>
      <c r="AW7" s="227" t="str">
        <f>IF(AV7="ja",VLOOKUP($B7,'Egen hetvattenprod'!$B$1:$AO$500,MATCH("Värmekälla till värmepumpar ()",'Egen hetvattenprod'!$B$1:$AO$1,0),FALSE),"")</f>
        <v/>
      </c>
      <c r="AX7" s="227"/>
      <c r="AY7" s="227" t="str">
        <f t="shared" si="4"/>
        <v>Ja</v>
      </c>
      <c r="AZ7" s="228">
        <f>IF($AY7="ja",(VLOOKUP($B7,'Egen hetvattenprod'!$B$1:$BX$550,MATCH(AZ$2,'Egen hetvattenprod'!$B$1:$BX$1,0),FALSE)+VLOOKUP($B7,Kraftvärmeprod!$B$1:$BX$550,MATCH(AZ$2,Kraftvärmeprod!$B$1:$BX$1,0),FALSE))/$AC7,"")</f>
        <v>1</v>
      </c>
      <c r="BA7" s="228">
        <f>IF($AY7="ja",(VLOOKUP($B7,'Egen hetvattenprod'!$B$1:$BX$550,MATCH(BA$2,'Egen hetvattenprod'!$B$1:$BX$1,0),FALSE)+VLOOKUP($B7,Kraftvärmeprod!$B$1:$BX$550,MATCH(BA$2,Kraftvärmeprod!$B$1:$BX$1,0),FALSE))/$AC7,"")</f>
        <v>0</v>
      </c>
      <c r="BB7" s="228">
        <f>IF($AY7="ja",(VLOOKUP($B7,'Egen hetvattenprod'!$B$1:$BX$550,MATCH(BB$2,'Egen hetvattenprod'!$B$1:$BX$1,0),FALSE)+VLOOKUP($B7,Kraftvärmeprod!$B$1:$BX$550,MATCH(BB$2,Kraftvärmeprod!$B$1:$BX$1,0),FALSE))/$AC7,"")</f>
        <v>0</v>
      </c>
      <c r="BC7" s="228">
        <f>IF($AY7="ja",(VLOOKUP($B7,'Egen hetvattenprod'!$B$1:$BX$550,MATCH(BC$2,'Egen hetvattenprod'!$B$1:$BX$1,0),FALSE)+VLOOKUP($B7,Kraftvärmeprod!$B$1:$BX$550,MATCH(BC$2,Kraftvärmeprod!$B$1:$BX$1,0),FALSE))/$AC7,"")</f>
        <v>0</v>
      </c>
      <c r="BD7" s="228">
        <f>IF($AY7="ja",(VLOOKUP($B7,'Egen hetvattenprod'!$B$1:$BX$550,MATCH(BD$2,'Egen hetvattenprod'!$B$1:$BX$1,0),FALSE)+VLOOKUP($B7,Kraftvärmeprod!$B$1:$BX$550,MATCH(BD$2,Kraftvärmeprod!$B$1:$BX$1,0),FALSE))/$AC7,"")</f>
        <v>0</v>
      </c>
      <c r="BE7" s="227"/>
      <c r="BF7" s="227" t="str">
        <f t="shared" si="5"/>
        <v>Nej</v>
      </c>
      <c r="BG7" s="227" t="str">
        <f>IF($BF7="ja",VLOOKUP($B7,'Egen hetvattenprod'!$B$1:$BX$550,MATCH("Andelen klimatgaser med fossilt ursprung för avfall ()",'Egen hetvattenprod'!$B$1:$BX$1,0),FALSE),"")</f>
        <v/>
      </c>
      <c r="BH7" s="227" t="str">
        <f>IF($BF7="ja",VLOOKUP($B7,Kraftvärmeprod!$B$1:$BX$550,MATCH("Andelen klimatgaser med fossilt ursprung för avfall ()",Kraftvärmeprod!$B$1:$BX$1,0),FALSE),"")</f>
        <v/>
      </c>
      <c r="BI7" s="227" t="str">
        <f>IF($BF7="ja",VLOOKUP($B7,'Egen hetvattenprod'!$B$1:$BX$550,MATCH("Avfall (GWh)",'Egen hetvattenprod'!$B$1:$BX$1,0),FALSE),"")</f>
        <v/>
      </c>
      <c r="BJ7" s="227" t="str">
        <f>IF($BF7="ja",VLOOKUP($B7,'Slutlig allokering kvv'!$B$1:$BX$550,MATCH("Avfall (GWh)",'Slutlig allokering kvv'!$B$1:$BX$1,0),FALSE),"")</f>
        <v/>
      </c>
      <c r="BK7" s="227" t="str">
        <f>IF($BF7="ja",VLOOKUP($B7,'Köpt hetvatten'!$B$1:$BX$550,MATCH("Avfall i köpt hetvatten",'Köpt hetvatten'!$B$1:$BX$1,0),FALSE),"")</f>
        <v/>
      </c>
      <c r="BL7" s="227" t="str">
        <f>IF($BF7="ja",VLOOKUP($B7,'Egen hetvattenprod'!$B$1:$BX$550,MATCH("Värde enligt ovan. (%)",'Egen hetvattenprod'!$B$1:$BX$1,0),FALSE),"")</f>
        <v/>
      </c>
      <c r="BM7" s="227" t="str">
        <f>IF($BF7="ja",VLOOKUP($B7,Kraftvärmeprod!$B$1:$BX$550,MATCH("Värde enligt ovan. (%)",Kraftvärmeprod!$B$1:$BX$1,0),FALSE),"")</f>
        <v/>
      </c>
      <c r="BN7" s="227"/>
      <c r="BO7" s="227"/>
      <c r="BP7" s="227"/>
      <c r="BQ7" s="227" t="str">
        <f>IF($BF7="ja",VLOOKUP($B7,'Egen hetvattenprod'!$B$1:$BX$550,MATCH("Tillförd olja (fossil) vid avfallsförbränning (GWh)",'Egen hetvattenprod'!$B$1:$BX$1,0),FALSE),"")</f>
        <v/>
      </c>
      <c r="BR7" s="227" t="str">
        <f>IF($BF7="ja",VLOOKUP($B7,Kraftvärmeprod!$B$1:$BX$550,MATCH("Tillförd olja (fossil) vid avfallsförbränning (GWh)",Kraftvärmeprod!$B$1:$BX$1,0),FALSE),"")</f>
        <v/>
      </c>
      <c r="BS7" s="227"/>
      <c r="BT7" s="227"/>
      <c r="BU7" s="227"/>
    </row>
    <row r="8" spans="1:73" x14ac:dyDescent="0.25">
      <c r="A8" s="121" t="str">
        <f>'Miljövärden för publ företag'!B10</f>
        <v>Adven Energilösningar AB</v>
      </c>
      <c r="B8" s="121" t="str">
        <f>'Miljövärden för publ företag'!C10</f>
        <v>Staffanstorp</v>
      </c>
      <c r="C8" s="173">
        <f>IFERROR(VLOOKUP($B8,Totalt!$B$1:$AQ$554,MATCH(C$2,Totalt!$B$1:$AQ$1,0),FALSE),"")</f>
        <v>0</v>
      </c>
      <c r="D8" s="173">
        <f>IFERROR(VLOOKUP($B8,Totalt!$B$1:$AQ$554,MATCH(D$2,Totalt!$B$1:$AQ$1,0),FALSE),"")</f>
        <v>0</v>
      </c>
      <c r="E8" s="173">
        <f>IFERROR(VLOOKUP($B8,Totalt!$B$1:$AQ$554,MATCH(E$2,Totalt!$B$1:$AQ$1,0),FALSE),"")</f>
        <v>0</v>
      </c>
      <c r="F8" s="173">
        <f>IFERROR(VLOOKUP($B8,Totalt!$B$1:$AQ$554,MATCH(F$2,Totalt!$B$1:$AQ$1,0),FALSE),"")</f>
        <v>0</v>
      </c>
      <c r="G8" s="173">
        <f>IFERROR(VLOOKUP($B8,Totalt!$B$1:$AQ$554,MATCH(G$2,Totalt!$B$1:$AQ$1,0),FALSE),"")</f>
        <v>0</v>
      </c>
      <c r="H8" s="173">
        <f>IFERROR(VLOOKUP($B8,Totalt!$B$1:$AQ$554,MATCH(H$2,Totalt!$B$1:$AQ$1,0),FALSE),"")</f>
        <v>0</v>
      </c>
      <c r="I8" s="173">
        <f>IFERROR(VLOOKUP($B8,Totalt!$B$1:$AQ$554,MATCH(I$2,Totalt!$B$1:$AQ$1,0),FALSE),"")</f>
        <v>0</v>
      </c>
      <c r="J8" s="173">
        <f>IFERROR(VLOOKUP($B8,Totalt!$B$1:$AQ$554,MATCH(J$2,Totalt!$B$1:$AQ$1,0),FALSE),"")</f>
        <v>1.9450000000000001</v>
      </c>
      <c r="K8" s="173">
        <f>IFERROR(VLOOKUP($B8,Totalt!$B$1:$AQ$554,MATCH(K$2,Totalt!$B$1:$AQ$1,0),FALSE),"")</f>
        <v>0</v>
      </c>
      <c r="L8" s="173">
        <f>IFERROR(VLOOKUP($B8,Totalt!$B$1:$AQ$554,MATCH(L$2,Totalt!$B$1:$AQ$1,0),FALSE),"")</f>
        <v>0</v>
      </c>
      <c r="M8" s="173">
        <f>IFERROR(VLOOKUP($B8,Totalt!$B$1:$AQ$554,MATCH(M$2,Totalt!$B$1:$AQ$1,0),FALSE),"")</f>
        <v>0</v>
      </c>
      <c r="N8" s="173">
        <f>IFERROR(VLOOKUP($B8,Totalt!$B$1:$AQ$554,MATCH(N$2,Totalt!$B$1:$AQ$1,0),FALSE),"")</f>
        <v>0</v>
      </c>
      <c r="O8" s="173">
        <f>IFERROR(VLOOKUP($B8,Totalt!$B$1:$AQ$554,MATCH(O$2,Totalt!$B$1:$AQ$1,0),FALSE),"")</f>
        <v>0</v>
      </c>
      <c r="P8" s="173">
        <f>IFERROR(VLOOKUP($B8,Totalt!$B$1:$AQ$554,MATCH(P$2,Totalt!$B$1:$AQ$1,0),FALSE),"")</f>
        <v>0</v>
      </c>
      <c r="Q8" s="173">
        <f>IFERROR(VLOOKUP($B8,Totalt!$B$1:$AQ$554,MATCH(Q$2,Totalt!$B$1:$AQ$1,0),FALSE),"")</f>
        <v>25.917999999999999</v>
      </c>
      <c r="R8" s="173">
        <f>IFERROR(VLOOKUP($B8,Totalt!$B$1:$AQ$554,MATCH(R$2,Totalt!$B$1:$AQ$1,0),FALSE),"")</f>
        <v>0</v>
      </c>
      <c r="S8" s="173">
        <f>IFERROR(VLOOKUP($B8,Totalt!$B$1:$AQ$554,MATCH(S$2,Totalt!$B$1:$AQ$1,0),FALSE),"")</f>
        <v>0</v>
      </c>
      <c r="T8" s="173">
        <f>IFERROR(VLOOKUP($B8,Totalt!$B$1:$AQ$554,MATCH(T$2,Totalt!$B$1:$AQ$1,0),FALSE),"")</f>
        <v>0</v>
      </c>
      <c r="U8" s="173">
        <f>IFERROR(VLOOKUP($B8,Totalt!$B$1:$AQ$554,MATCH(U$2,Totalt!$B$1:$AQ$1,0),FALSE),"")</f>
        <v>0</v>
      </c>
      <c r="V8" s="173">
        <f>IFERROR(VLOOKUP($B8,Totalt!$B$1:$AQ$554,MATCH(V$2,Totalt!$B$1:$AQ$1,0),FALSE),"")</f>
        <v>0</v>
      </c>
      <c r="W8" s="173">
        <f>IFERROR(VLOOKUP($B8,Totalt!$B$1:$AQ$554,MATCH(W$2,Totalt!$B$1:$AQ$1,0),FALSE),"")</f>
        <v>0</v>
      </c>
      <c r="X8" s="173">
        <f>IFERROR(VLOOKUP($B8,Totalt!$B$1:$AQ$554,MATCH(X$2,Totalt!$B$1:$AQ$1,0),FALSE),"")</f>
        <v>0</v>
      </c>
      <c r="Y8" s="173">
        <f>IFERROR(VLOOKUP($B8,Totalt!$B$1:$AQ$554,MATCH(Y$2,Totalt!$B$1:$AQ$1,0),FALSE),"")</f>
        <v>0</v>
      </c>
      <c r="Z8" s="173">
        <f>IFERROR(VLOOKUP($B8,Totalt!$B$1:$AQ$554,MATCH(Z$2,Totalt!$B$1:$AQ$1,0),FALSE),"")</f>
        <v>0</v>
      </c>
      <c r="AA8" s="173">
        <f>IFERROR(VLOOKUP($B8,Totalt!$B$1:$AQ$554,MATCH(AA$2,Totalt!$B$1:$AQ$1,0),FALSE),"")</f>
        <v>0</v>
      </c>
      <c r="AB8" s="173">
        <f>IFERROR(VLOOKUP($B8,Totalt!$B$1:$AQ$554,MATCH(AB$2,Totalt!$B$1:$AQ$1,0),FALSE),"")</f>
        <v>0</v>
      </c>
      <c r="AC8" s="173">
        <f>IFERROR(VLOOKUP($B8,Totalt!$B$1:$AQ$554,MATCH(AC$2,Totalt!$B$1:$AQ$1,0),FALSE),"")</f>
        <v>3.5590000000000002</v>
      </c>
      <c r="AD8" s="173">
        <f>IFERROR(VLOOKUP($B8,Totalt!$B$1:$AQ$554,MATCH(AD$2,Totalt!$B$1:$AQ$1,0),FALSE),"")</f>
        <v>0</v>
      </c>
      <c r="AE8" s="173">
        <f>IFERROR(VLOOKUP($B8,Totalt!$B$1:$AQ$554,MATCH(AE$2,Totalt!$B$1:$AQ$1,0),FALSE),"")</f>
        <v>0</v>
      </c>
      <c r="AF8" s="173">
        <f>IFERROR(VLOOKUP($B8,Totalt!$B$1:$AQ$554,MATCH(AF$2,Totalt!$B$1:$AQ$1,0),FALSE),"")</f>
        <v>0.9</v>
      </c>
      <c r="AG8" s="173">
        <f>IFERROR(VLOOKUP($B8,Totalt!$B$1:$AQ$554,MATCH(AG$2,Totalt!$B$1:$AQ$1,0),FALSE),"")</f>
        <v>0</v>
      </c>
      <c r="AI8" s="226">
        <f t="shared" si="0"/>
        <v>32.322000000000003</v>
      </c>
      <c r="AJ8" s="226">
        <f>IF(ISERROR(1/VLOOKUP($B8,Leveranser!$B$1:$S$500,MATCH("såld värme (gwh)",Leveranser!$B$1:$S$1,0),FALSE)),"",VLOOKUP($B8,Leveranser!$B$1:$S$500,MATCH("såld värme (gwh)",Leveranser!$B$1:$S$1,0),FALSE))</f>
        <v>23.9</v>
      </c>
      <c r="AM8" s="227" t="str">
        <f>IF(B8&lt;&gt;"",IF(VLOOKUP($B8,Totalt!$B$1:$AQ$554,MATCH("Kvalitetsgranskad:",Totalt!$B$1:$AQ$1,0),FALSE)="ja",VLOOKUP($B8,Miljö!$B$1:$AG$479,MATCH(AM$2,Miljö!$B$1:$AK$1,0),FALSE),""),"")</f>
        <v>Ja</v>
      </c>
      <c r="AN8" s="227" t="str">
        <f>IF(AM8="ja",VLOOKUP($B8,Miljö!$B$1:$J$479,MATCH("Typ av ursprungsspecificerad el   (Om inget värde anges används Nordisk residualmix, se inforuta) ()",Miljö!$B$1:$J$1,0),FALSE),IF(AM8="nej","Nordisk residualel",""))</f>
        <v>'Vattenkraft'</v>
      </c>
      <c r="AO8" s="227">
        <f>IF(AM8="","",VLOOKUP($B8,Miljö!$B$1:$J$479,MATCH("Fossilandel för ursprungspecificerad el ()",Miljö!$B$1:$J$1,0),FALSE))</f>
        <v>0</v>
      </c>
      <c r="AP8" s="227">
        <f>IF(AM8="","",IFERROR(VLOOKUP($B8,Miljö!$B$1:$J$479,MATCH("Kärnkraftsandel för ursprungsspecificerad el ()",Miljö!$B$1:$J$1,0),FALSE)/1,0))</f>
        <v>0</v>
      </c>
      <c r="AQ8" s="227">
        <f t="shared" si="1"/>
        <v>1</v>
      </c>
      <c r="AR8" s="227"/>
      <c r="AS8" s="227" t="str">
        <f t="shared" si="2"/>
        <v>Nej</v>
      </c>
      <c r="AT8" s="227" t="str">
        <f>IF(AS8="ja",VLOOKUP($B8,Miljö!$B$1:$O$500,MATCH("Fossil andel i procent (%)",Miljö!$B$1:$O$1,0),FALSE)/100,"")</f>
        <v/>
      </c>
      <c r="AU8" s="227"/>
      <c r="AV8" s="227" t="str">
        <f t="shared" si="3"/>
        <v>Nej</v>
      </c>
      <c r="AW8" s="227" t="str">
        <f>IF(AV8="ja",VLOOKUP($B8,'Egen hetvattenprod'!$B$1:$AO$500,MATCH("Värmekälla till värmepumpar ()",'Egen hetvattenprod'!$B$1:$AO$1,0),FALSE),"")</f>
        <v/>
      </c>
      <c r="AX8" s="227"/>
      <c r="AY8" s="227" t="str">
        <f t="shared" si="4"/>
        <v>Ja</v>
      </c>
      <c r="AZ8" s="228">
        <f>IF($AY8="ja",(VLOOKUP($B8,'Egen hetvattenprod'!$B$1:$BX$550,MATCH(AZ$2,'Egen hetvattenprod'!$B$1:$BX$1,0),FALSE)+VLOOKUP($B8,Kraftvärmeprod!$B$1:$BX$550,MATCH(AZ$2,Kraftvärmeprod!$B$1:$BX$1,0),FALSE))/$AC8,"")</f>
        <v>1</v>
      </c>
      <c r="BA8" s="228">
        <f>IF($AY8="ja",(VLOOKUP($B8,'Egen hetvattenprod'!$B$1:$BX$550,MATCH(BA$2,'Egen hetvattenprod'!$B$1:$BX$1,0),FALSE)+VLOOKUP($B8,Kraftvärmeprod!$B$1:$BX$550,MATCH(BA$2,Kraftvärmeprod!$B$1:$BX$1,0),FALSE))/$AC8,"")</f>
        <v>0</v>
      </c>
      <c r="BB8" s="228">
        <f>IF($AY8="ja",(VLOOKUP($B8,'Egen hetvattenprod'!$B$1:$BX$550,MATCH(BB$2,'Egen hetvattenprod'!$B$1:$BX$1,0),FALSE)+VLOOKUP($B8,Kraftvärmeprod!$B$1:$BX$550,MATCH(BB$2,Kraftvärmeprod!$B$1:$BX$1,0),FALSE))/$AC8,"")</f>
        <v>0</v>
      </c>
      <c r="BC8" s="228">
        <f>IF($AY8="ja",(VLOOKUP($B8,'Egen hetvattenprod'!$B$1:$BX$550,MATCH(BC$2,'Egen hetvattenprod'!$B$1:$BX$1,0),FALSE)+VLOOKUP($B8,Kraftvärmeprod!$B$1:$BX$550,MATCH(BC$2,Kraftvärmeprod!$B$1:$BX$1,0),FALSE))/$AC8,"")</f>
        <v>0</v>
      </c>
      <c r="BD8" s="228">
        <f>IF($AY8="ja",(VLOOKUP($B8,'Egen hetvattenprod'!$B$1:$BX$550,MATCH(BD$2,'Egen hetvattenprod'!$B$1:$BX$1,0),FALSE)+VLOOKUP($B8,Kraftvärmeprod!$B$1:$BX$550,MATCH(BD$2,Kraftvärmeprod!$B$1:$BX$1,0),FALSE))/$AC8,"")</f>
        <v>0</v>
      </c>
      <c r="BE8" s="227"/>
      <c r="BF8" s="227" t="str">
        <f t="shared" si="5"/>
        <v>Nej</v>
      </c>
      <c r="BG8" s="227" t="str">
        <f>IF($BF8="ja",VLOOKUP($B8,'Egen hetvattenprod'!$B$1:$BX$550,MATCH("Andelen klimatgaser med fossilt ursprung för avfall ()",'Egen hetvattenprod'!$B$1:$BX$1,0),FALSE),"")</f>
        <v/>
      </c>
      <c r="BH8" s="227" t="str">
        <f>IF($BF8="ja",VLOOKUP($B8,Kraftvärmeprod!$B$1:$BX$550,MATCH("Andelen klimatgaser med fossilt ursprung för avfall ()",Kraftvärmeprod!$B$1:$BX$1,0),FALSE),"")</f>
        <v/>
      </c>
      <c r="BI8" s="227" t="str">
        <f>IF($BF8="ja",VLOOKUP($B8,'Egen hetvattenprod'!$B$1:$BX$550,MATCH("Avfall (GWh)",'Egen hetvattenprod'!$B$1:$BX$1,0),FALSE),"")</f>
        <v/>
      </c>
      <c r="BJ8" s="227" t="str">
        <f>IF($BF8="ja",VLOOKUP($B8,'Slutlig allokering kvv'!$B$1:$BX$550,MATCH("Avfall (GWh)",'Slutlig allokering kvv'!$B$1:$BX$1,0),FALSE),"")</f>
        <v/>
      </c>
      <c r="BK8" s="227" t="str">
        <f>IF($BF8="ja",VLOOKUP($B8,'Köpt hetvatten'!$B$1:$BX$550,MATCH("Avfall i köpt hetvatten",'Köpt hetvatten'!$B$1:$BX$1,0),FALSE),"")</f>
        <v/>
      </c>
      <c r="BL8" s="227" t="str">
        <f>IF($BF8="ja",VLOOKUP($B8,'Egen hetvattenprod'!$B$1:$BX$550,MATCH("Värde enligt ovan. (%)",'Egen hetvattenprod'!$B$1:$BX$1,0),FALSE),"")</f>
        <v/>
      </c>
      <c r="BM8" s="227" t="str">
        <f>IF($BF8="ja",VLOOKUP($B8,Kraftvärmeprod!$B$1:$BX$550,MATCH("Värde enligt ovan. (%)",Kraftvärmeprod!$B$1:$BX$1,0),FALSE),"")</f>
        <v/>
      </c>
      <c r="BN8" s="227"/>
      <c r="BO8" s="227"/>
      <c r="BP8" s="227"/>
      <c r="BQ8" s="227" t="str">
        <f>IF($BF8="ja",VLOOKUP($B8,'Egen hetvattenprod'!$B$1:$BX$550,MATCH("Tillförd olja (fossil) vid avfallsförbränning (GWh)",'Egen hetvattenprod'!$B$1:$BX$1,0),FALSE),"")</f>
        <v/>
      </c>
      <c r="BR8" s="227" t="str">
        <f>IF($BF8="ja",VLOOKUP($B8,Kraftvärmeprod!$B$1:$BX$550,MATCH("Tillförd olja (fossil) vid avfallsförbränning (GWh)",Kraftvärmeprod!$B$1:$BX$1,0),FALSE),"")</f>
        <v/>
      </c>
      <c r="BS8" s="227"/>
      <c r="BT8" s="227"/>
      <c r="BU8" s="227"/>
    </row>
    <row r="9" spans="1:73" x14ac:dyDescent="0.25">
      <c r="A9" s="121" t="str">
        <f>'Miljövärden för publ företag'!B12</f>
        <v>Adven Energilösningar AB</v>
      </c>
      <c r="B9" s="121" t="str">
        <f>'Miljövärden för publ företag'!C12</f>
        <v>Timrå</v>
      </c>
      <c r="C9" s="173">
        <f>IFERROR(VLOOKUP($B9,Totalt!$B$1:$AQ$554,MATCH(C$2,Totalt!$B$1:$AQ$1,0),FALSE),"")</f>
        <v>0</v>
      </c>
      <c r="D9" s="173">
        <f>IFERROR(VLOOKUP($B9,Totalt!$B$1:$AQ$554,MATCH(D$2,Totalt!$B$1:$AQ$1,0),FALSE),"")</f>
        <v>5.8</v>
      </c>
      <c r="E9" s="173">
        <f>IFERROR(VLOOKUP($B9,Totalt!$B$1:$AQ$554,MATCH(E$2,Totalt!$B$1:$AQ$1,0),FALSE),"")</f>
        <v>0</v>
      </c>
      <c r="F9" s="173">
        <f>IFERROR(VLOOKUP($B9,Totalt!$B$1:$AQ$554,MATCH(F$2,Totalt!$B$1:$AQ$1,0),FALSE),"")</f>
        <v>0</v>
      </c>
      <c r="G9" s="173">
        <f>IFERROR(VLOOKUP($B9,Totalt!$B$1:$AQ$554,MATCH(G$2,Totalt!$B$1:$AQ$1,0),FALSE),"")</f>
        <v>0</v>
      </c>
      <c r="H9" s="173">
        <f>IFERROR(VLOOKUP($B9,Totalt!$B$1:$AQ$554,MATCH(H$2,Totalt!$B$1:$AQ$1,0),FALSE),"")</f>
        <v>0</v>
      </c>
      <c r="I9" s="173">
        <f>IFERROR(VLOOKUP($B9,Totalt!$B$1:$AQ$554,MATCH(I$2,Totalt!$B$1:$AQ$1,0),FALSE),"")</f>
        <v>0</v>
      </c>
      <c r="J9" s="173">
        <f>IFERROR(VLOOKUP($B9,Totalt!$B$1:$AQ$554,MATCH(J$2,Totalt!$B$1:$AQ$1,0),FALSE),"")</f>
        <v>0</v>
      </c>
      <c r="K9" s="173">
        <f>IFERROR(VLOOKUP($B9,Totalt!$B$1:$AQ$554,MATCH(K$2,Totalt!$B$1:$AQ$1,0),FALSE),"")</f>
        <v>0</v>
      </c>
      <c r="L9" s="173">
        <f>IFERROR(VLOOKUP($B9,Totalt!$B$1:$AQ$554,MATCH(L$2,Totalt!$B$1:$AQ$1,0),FALSE),"")</f>
        <v>0</v>
      </c>
      <c r="M9" s="173">
        <f>IFERROR(VLOOKUP($B9,Totalt!$B$1:$AQ$554,MATCH(M$2,Totalt!$B$1:$AQ$1,0),FALSE),"")</f>
        <v>0</v>
      </c>
      <c r="N9" s="173">
        <f>IFERROR(VLOOKUP($B9,Totalt!$B$1:$AQ$554,MATCH(N$2,Totalt!$B$1:$AQ$1,0),FALSE),"")</f>
        <v>0</v>
      </c>
      <c r="O9" s="173">
        <f>IFERROR(VLOOKUP($B9,Totalt!$B$1:$AQ$554,MATCH(O$2,Totalt!$B$1:$AQ$1,0),FALSE),"")</f>
        <v>0</v>
      </c>
      <c r="P9" s="173">
        <f>IFERROR(VLOOKUP($B9,Totalt!$B$1:$AQ$554,MATCH(P$2,Totalt!$B$1:$AQ$1,0),FALSE),"")</f>
        <v>0</v>
      </c>
      <c r="Q9" s="173">
        <f>IFERROR(VLOOKUP($B9,Totalt!$B$1:$AQ$554,MATCH(Q$2,Totalt!$B$1:$AQ$1,0),FALSE),"")</f>
        <v>0</v>
      </c>
      <c r="R9" s="173">
        <f>IFERROR(VLOOKUP($B9,Totalt!$B$1:$AQ$554,MATCH(R$2,Totalt!$B$1:$AQ$1,0),FALSE),"")</f>
        <v>0</v>
      </c>
      <c r="S9" s="173">
        <f>IFERROR(VLOOKUP($B9,Totalt!$B$1:$AQ$554,MATCH(S$2,Totalt!$B$1:$AQ$1,0),FALSE),"")</f>
        <v>0</v>
      </c>
      <c r="T9" s="173">
        <f>IFERROR(VLOOKUP($B9,Totalt!$B$1:$AQ$554,MATCH(T$2,Totalt!$B$1:$AQ$1,0),FALSE),"")</f>
        <v>0</v>
      </c>
      <c r="U9" s="173">
        <f>IFERROR(VLOOKUP($B9,Totalt!$B$1:$AQ$554,MATCH(U$2,Totalt!$B$1:$AQ$1,0),FALSE),"")</f>
        <v>0</v>
      </c>
      <c r="V9" s="173">
        <f>IFERROR(VLOOKUP($B9,Totalt!$B$1:$AQ$554,MATCH(V$2,Totalt!$B$1:$AQ$1,0),FALSE),"")</f>
        <v>0</v>
      </c>
      <c r="W9" s="173">
        <f>IFERROR(VLOOKUP($B9,Totalt!$B$1:$AQ$554,MATCH(W$2,Totalt!$B$1:$AQ$1,0),FALSE),"")</f>
        <v>0</v>
      </c>
      <c r="X9" s="173">
        <f>IFERROR(VLOOKUP($B9,Totalt!$B$1:$AQ$554,MATCH(X$2,Totalt!$B$1:$AQ$1,0),FALSE),"")</f>
        <v>0</v>
      </c>
      <c r="Y9" s="173">
        <f>IFERROR(VLOOKUP($B9,Totalt!$B$1:$AQ$554,MATCH(Y$2,Totalt!$B$1:$AQ$1,0),FALSE),"")</f>
        <v>0</v>
      </c>
      <c r="Z9" s="173">
        <f>IFERROR(VLOOKUP($B9,Totalt!$B$1:$AQ$554,MATCH(Z$2,Totalt!$B$1:$AQ$1,0),FALSE),"")</f>
        <v>0</v>
      </c>
      <c r="AA9" s="173">
        <f>IFERROR(VLOOKUP($B9,Totalt!$B$1:$AQ$554,MATCH(AA$2,Totalt!$B$1:$AQ$1,0),FALSE),"")</f>
        <v>0</v>
      </c>
      <c r="AB9" s="173">
        <f>IFERROR(VLOOKUP($B9,Totalt!$B$1:$AQ$554,MATCH(AB$2,Totalt!$B$1:$AQ$1,0),FALSE),"")</f>
        <v>0</v>
      </c>
      <c r="AC9" s="173">
        <f>IFERROR(VLOOKUP($B9,Totalt!$B$1:$AQ$554,MATCH(AC$2,Totalt!$B$1:$AQ$1,0),FALSE),"")</f>
        <v>0</v>
      </c>
      <c r="AD9" s="173">
        <f>IFERROR(VLOOKUP($B9,Totalt!$B$1:$AQ$554,MATCH(AD$2,Totalt!$B$1:$AQ$1,0),FALSE),"")</f>
        <v>72.900000000000006</v>
      </c>
      <c r="AE9" s="173">
        <f>IFERROR(VLOOKUP($B9,Totalt!$B$1:$AQ$554,MATCH(AE$2,Totalt!$B$1:$AQ$1,0),FALSE),"")</f>
        <v>0</v>
      </c>
      <c r="AF9" s="173">
        <f>IFERROR(VLOOKUP($B9,Totalt!$B$1:$AQ$554,MATCH(AF$2,Totalt!$B$1:$AQ$1,0),FALSE),"")</f>
        <v>1.4</v>
      </c>
      <c r="AG9" s="173">
        <f>IFERROR(VLOOKUP($B9,Totalt!$B$1:$AQ$554,MATCH(AG$2,Totalt!$B$1:$AQ$1,0),FALSE),"")</f>
        <v>0</v>
      </c>
      <c r="AI9" s="226">
        <f t="shared" si="0"/>
        <v>80.100000000000009</v>
      </c>
      <c r="AJ9" s="226">
        <f>IF(ISERROR(1/VLOOKUP($B9,Leveranser!$B$1:$S$500,MATCH("såld värme (gwh)",Leveranser!$B$1:$S$1,0),FALSE)),"",VLOOKUP($B9,Leveranser!$B$1:$S$500,MATCH("såld värme (gwh)",Leveranser!$B$1:$S$1,0),FALSE))</f>
        <v>71.900000000000006</v>
      </c>
      <c r="AM9" s="227" t="str">
        <f>IF(B9&lt;&gt;"",IF(VLOOKUP($B9,Totalt!$B$1:$AQ$554,MATCH("Kvalitetsgranskad:",Totalt!$B$1:$AQ$1,0),FALSE)="ja",VLOOKUP($B9,Miljö!$B$1:$AG$479,MATCH(AM$2,Miljö!$B$1:$AK$1,0),FALSE),""),"")</f>
        <v>Ja</v>
      </c>
      <c r="AN9" s="227" t="str">
        <f>IF(AM9="ja",VLOOKUP($B9,Miljö!$B$1:$J$479,MATCH("Typ av ursprungsspecificerad el   (Om inget värde anges används Nordisk residualmix, se inforuta) ()",Miljö!$B$1:$J$1,0),FALSE),IF(AM9="nej","Nordisk residualel",""))</f>
        <v>'Vattenkraft'</v>
      </c>
      <c r="AO9" s="227">
        <f>IF(AM9="","",VLOOKUP($B9,Miljö!$B$1:$J$479,MATCH("Fossilandel för ursprungspecificerad el ()",Miljö!$B$1:$J$1,0),FALSE))</f>
        <v>0</v>
      </c>
      <c r="AP9" s="227">
        <f>IF(AM9="","",IFERROR(VLOOKUP($B9,Miljö!$B$1:$J$479,MATCH("Kärnkraftsandel för ursprungsspecificerad el ()",Miljö!$B$1:$J$1,0),FALSE)/1,0))</f>
        <v>0</v>
      </c>
      <c r="AQ9" s="227">
        <f t="shared" si="1"/>
        <v>1</v>
      </c>
      <c r="AR9" s="227"/>
      <c r="AS9" s="227" t="str">
        <f t="shared" si="2"/>
        <v>Nej</v>
      </c>
      <c r="AT9" s="227" t="str">
        <f>IF(AS9="ja",VLOOKUP($B9,Miljö!$B$1:$O$500,MATCH("Fossil andel i procent (%)",Miljö!$B$1:$O$1,0),FALSE)/100,"")</f>
        <v/>
      </c>
      <c r="AU9" s="227"/>
      <c r="AV9" s="227" t="str">
        <f t="shared" si="3"/>
        <v>Nej</v>
      </c>
      <c r="AW9" s="227" t="str">
        <f>IF(AV9="ja",VLOOKUP($B9,'Egen hetvattenprod'!$B$1:$AO$500,MATCH("Värmekälla till värmepumpar ()",'Egen hetvattenprod'!$B$1:$AO$1,0),FALSE),"")</f>
        <v/>
      </c>
      <c r="AX9" s="227"/>
      <c r="AY9" s="227" t="str">
        <f t="shared" si="4"/>
        <v>Nej</v>
      </c>
      <c r="AZ9" s="228" t="str">
        <f>IF($AY9="ja",(VLOOKUP($B9,'Egen hetvattenprod'!$B$1:$BX$550,MATCH(AZ$2,'Egen hetvattenprod'!$B$1:$BX$1,0),FALSE)+VLOOKUP($B9,Kraftvärmeprod!$B$1:$BX$550,MATCH(AZ$2,Kraftvärmeprod!$B$1:$BX$1,0),FALSE))/$AC9,"")</f>
        <v/>
      </c>
      <c r="BA9" s="228" t="str">
        <f>IF($AY9="ja",(VLOOKUP($B9,'Egen hetvattenprod'!$B$1:$BX$550,MATCH(BA$2,'Egen hetvattenprod'!$B$1:$BX$1,0),FALSE)+VLOOKUP($B9,Kraftvärmeprod!$B$1:$BX$550,MATCH(BA$2,Kraftvärmeprod!$B$1:$BX$1,0),FALSE))/$AC9,"")</f>
        <v/>
      </c>
      <c r="BB9" s="228" t="str">
        <f>IF($AY9="ja",(VLOOKUP($B9,'Egen hetvattenprod'!$B$1:$BX$550,MATCH(BB$2,'Egen hetvattenprod'!$B$1:$BX$1,0),FALSE)+VLOOKUP($B9,Kraftvärmeprod!$B$1:$BX$550,MATCH(BB$2,Kraftvärmeprod!$B$1:$BX$1,0),FALSE))/$AC9,"")</f>
        <v/>
      </c>
      <c r="BC9" s="228" t="str">
        <f>IF($AY9="ja",(VLOOKUP($B9,'Egen hetvattenprod'!$B$1:$BX$550,MATCH(BC$2,'Egen hetvattenprod'!$B$1:$BX$1,0),FALSE)+VLOOKUP($B9,Kraftvärmeprod!$B$1:$BX$550,MATCH(BC$2,Kraftvärmeprod!$B$1:$BX$1,0),FALSE))/$AC9,"")</f>
        <v/>
      </c>
      <c r="BD9" s="228" t="str">
        <f>IF($AY9="ja",(VLOOKUP($B9,'Egen hetvattenprod'!$B$1:$BX$550,MATCH(BD$2,'Egen hetvattenprod'!$B$1:$BX$1,0),FALSE)+VLOOKUP($B9,Kraftvärmeprod!$B$1:$BX$550,MATCH(BD$2,Kraftvärmeprod!$B$1:$BX$1,0),FALSE))/$AC9,"")</f>
        <v/>
      </c>
      <c r="BE9" s="227"/>
      <c r="BF9" s="227" t="str">
        <f t="shared" si="5"/>
        <v>Nej</v>
      </c>
      <c r="BG9" s="227" t="str">
        <f>IF($BF9="ja",VLOOKUP($B9,'Egen hetvattenprod'!$B$1:$BX$550,MATCH("Andelen klimatgaser med fossilt ursprung för avfall ()",'Egen hetvattenprod'!$B$1:$BX$1,0),FALSE),"")</f>
        <v/>
      </c>
      <c r="BH9" s="227" t="str">
        <f>IF($BF9="ja",VLOOKUP($B9,Kraftvärmeprod!$B$1:$BX$550,MATCH("Andelen klimatgaser med fossilt ursprung för avfall ()",Kraftvärmeprod!$B$1:$BX$1,0),FALSE),"")</f>
        <v/>
      </c>
      <c r="BI9" s="227" t="str">
        <f>IF($BF9="ja",VLOOKUP($B9,'Egen hetvattenprod'!$B$1:$BX$550,MATCH("Avfall (GWh)",'Egen hetvattenprod'!$B$1:$BX$1,0),FALSE),"")</f>
        <v/>
      </c>
      <c r="BJ9" s="227" t="str">
        <f>IF($BF9="ja",VLOOKUP($B9,'Slutlig allokering kvv'!$B$1:$BX$550,MATCH("Avfall (GWh)",'Slutlig allokering kvv'!$B$1:$BX$1,0),FALSE),"")</f>
        <v/>
      </c>
      <c r="BK9" s="227" t="str">
        <f>IF($BF9="ja",VLOOKUP($B9,'Köpt hetvatten'!$B$1:$BX$550,MATCH("Avfall i köpt hetvatten",'Köpt hetvatten'!$B$1:$BX$1,0),FALSE),"")</f>
        <v/>
      </c>
      <c r="BL9" s="227" t="str">
        <f>IF($BF9="ja",VLOOKUP($B9,'Egen hetvattenprod'!$B$1:$BX$550,MATCH("Värde enligt ovan. (%)",'Egen hetvattenprod'!$B$1:$BX$1,0),FALSE),"")</f>
        <v/>
      </c>
      <c r="BM9" s="227" t="str">
        <f>IF($BF9="ja",VLOOKUP($B9,Kraftvärmeprod!$B$1:$BX$550,MATCH("Värde enligt ovan. (%)",Kraftvärmeprod!$B$1:$BX$1,0),FALSE),"")</f>
        <v/>
      </c>
      <c r="BN9" s="227"/>
      <c r="BO9" s="227"/>
      <c r="BP9" s="227"/>
      <c r="BQ9" s="227" t="str">
        <f>IF($BF9="ja",VLOOKUP($B9,'Egen hetvattenprod'!$B$1:$BX$550,MATCH("Tillförd olja (fossil) vid avfallsförbränning (GWh)",'Egen hetvattenprod'!$B$1:$BX$1,0),FALSE),"")</f>
        <v/>
      </c>
      <c r="BR9" s="227" t="str">
        <f>IF($BF9="ja",VLOOKUP($B9,Kraftvärmeprod!$B$1:$BX$550,MATCH("Tillförd olja (fossil) vid avfallsförbränning (GWh)",Kraftvärmeprod!$B$1:$BX$1,0),FALSE),"")</f>
        <v/>
      </c>
      <c r="BS9" s="227"/>
      <c r="BT9" s="227"/>
      <c r="BU9" s="227"/>
    </row>
    <row r="10" spans="1:73" x14ac:dyDescent="0.25">
      <c r="A10" s="121" t="str">
        <f>'Miljövärden för publ företag'!B13</f>
        <v>Adven Energilösningar AB</v>
      </c>
      <c r="B10" s="121" t="str">
        <f>'Miljövärden för publ företag'!C13</f>
        <v>Vaxholm</v>
      </c>
      <c r="C10" s="173">
        <f>IFERROR(VLOOKUP($B10,Totalt!$B$1:$AQ$554,MATCH(C$2,Totalt!$B$1:$AQ$1,0),FALSE),"")</f>
        <v>0</v>
      </c>
      <c r="D10" s="173">
        <f>IFERROR(VLOOKUP($B10,Totalt!$B$1:$AQ$554,MATCH(D$2,Totalt!$B$1:$AQ$1,0),FALSE),"")</f>
        <v>0.6</v>
      </c>
      <c r="E10" s="173">
        <f>IFERROR(VLOOKUP($B10,Totalt!$B$1:$AQ$554,MATCH(E$2,Totalt!$B$1:$AQ$1,0),FALSE),"")</f>
        <v>0</v>
      </c>
      <c r="F10" s="173">
        <f>IFERROR(VLOOKUP($B10,Totalt!$B$1:$AQ$554,MATCH(F$2,Totalt!$B$1:$AQ$1,0),FALSE),"")</f>
        <v>0</v>
      </c>
      <c r="G10" s="173">
        <f>IFERROR(VLOOKUP($B10,Totalt!$B$1:$AQ$554,MATCH(G$2,Totalt!$B$1:$AQ$1,0),FALSE),"")</f>
        <v>0</v>
      </c>
      <c r="H10" s="173">
        <f>IFERROR(VLOOKUP($B10,Totalt!$B$1:$AQ$554,MATCH(H$2,Totalt!$B$1:$AQ$1,0),FALSE),"")</f>
        <v>0</v>
      </c>
      <c r="I10" s="173">
        <f>IFERROR(VLOOKUP($B10,Totalt!$B$1:$AQ$554,MATCH(I$2,Totalt!$B$1:$AQ$1,0),FALSE),"")</f>
        <v>0</v>
      </c>
      <c r="J10" s="173">
        <f>IFERROR(VLOOKUP($B10,Totalt!$B$1:$AQ$554,MATCH(J$2,Totalt!$B$1:$AQ$1,0),FALSE),"")</f>
        <v>0</v>
      </c>
      <c r="K10" s="173">
        <f>IFERROR(VLOOKUP($B10,Totalt!$B$1:$AQ$554,MATCH(K$2,Totalt!$B$1:$AQ$1,0),FALSE),"")</f>
        <v>0</v>
      </c>
      <c r="L10" s="173">
        <f>IFERROR(VLOOKUP($B10,Totalt!$B$1:$AQ$554,MATCH(L$2,Totalt!$B$1:$AQ$1,0),FALSE),"")</f>
        <v>0</v>
      </c>
      <c r="M10" s="173">
        <f>IFERROR(VLOOKUP($B10,Totalt!$B$1:$AQ$554,MATCH(M$2,Totalt!$B$1:$AQ$1,0),FALSE),"")</f>
        <v>0</v>
      </c>
      <c r="N10" s="173">
        <f>IFERROR(VLOOKUP($B10,Totalt!$B$1:$AQ$554,MATCH(N$2,Totalt!$B$1:$AQ$1,0),FALSE),"")</f>
        <v>0</v>
      </c>
      <c r="O10" s="173">
        <f>IFERROR(VLOOKUP($B10,Totalt!$B$1:$AQ$554,MATCH(O$2,Totalt!$B$1:$AQ$1,0),FALSE),"")</f>
        <v>0</v>
      </c>
      <c r="P10" s="173">
        <f>IFERROR(VLOOKUP($B10,Totalt!$B$1:$AQ$554,MATCH(P$2,Totalt!$B$1:$AQ$1,0),FALSE),"")</f>
        <v>0</v>
      </c>
      <c r="Q10" s="173">
        <f>IFERROR(VLOOKUP($B10,Totalt!$B$1:$AQ$554,MATCH(Q$2,Totalt!$B$1:$AQ$1,0),FALSE),"")</f>
        <v>25.4</v>
      </c>
      <c r="R10" s="173">
        <f>IFERROR(VLOOKUP($B10,Totalt!$B$1:$AQ$554,MATCH(R$2,Totalt!$B$1:$AQ$1,0),FALSE),"")</f>
        <v>0</v>
      </c>
      <c r="S10" s="173">
        <f>IFERROR(VLOOKUP($B10,Totalt!$B$1:$AQ$554,MATCH(S$2,Totalt!$B$1:$AQ$1,0),FALSE),"")</f>
        <v>0</v>
      </c>
      <c r="T10" s="173">
        <f>IFERROR(VLOOKUP($B10,Totalt!$B$1:$AQ$554,MATCH(T$2,Totalt!$B$1:$AQ$1,0),FALSE),"")</f>
        <v>0</v>
      </c>
      <c r="U10" s="173">
        <f>IFERROR(VLOOKUP($B10,Totalt!$B$1:$AQ$554,MATCH(U$2,Totalt!$B$1:$AQ$1,0),FALSE),"")</f>
        <v>0</v>
      </c>
      <c r="V10" s="173">
        <f>IFERROR(VLOOKUP($B10,Totalt!$B$1:$AQ$554,MATCH(V$2,Totalt!$B$1:$AQ$1,0),FALSE),"")</f>
        <v>0</v>
      </c>
      <c r="W10" s="173">
        <f>IFERROR(VLOOKUP($B10,Totalt!$B$1:$AQ$554,MATCH(W$2,Totalt!$B$1:$AQ$1,0),FALSE),"")</f>
        <v>2.8</v>
      </c>
      <c r="X10" s="173">
        <f>IFERROR(VLOOKUP($B10,Totalt!$B$1:$AQ$554,MATCH(X$2,Totalt!$B$1:$AQ$1,0),FALSE),"")</f>
        <v>0</v>
      </c>
      <c r="Y10" s="173">
        <f>IFERROR(VLOOKUP($B10,Totalt!$B$1:$AQ$554,MATCH(Y$2,Totalt!$B$1:$AQ$1,0),FALSE),"")</f>
        <v>0</v>
      </c>
      <c r="Z10" s="173">
        <f>IFERROR(VLOOKUP($B10,Totalt!$B$1:$AQ$554,MATCH(Z$2,Totalt!$B$1:$AQ$1,0),FALSE),"")</f>
        <v>0</v>
      </c>
      <c r="AA10" s="173">
        <f>IFERROR(VLOOKUP($B10,Totalt!$B$1:$AQ$554,MATCH(AA$2,Totalt!$B$1:$AQ$1,0),FALSE),"")</f>
        <v>0</v>
      </c>
      <c r="AB10" s="173">
        <f>IFERROR(VLOOKUP($B10,Totalt!$B$1:$AQ$554,MATCH(AB$2,Totalt!$B$1:$AQ$1,0),FALSE),"")</f>
        <v>0</v>
      </c>
      <c r="AC10" s="173">
        <f>IFERROR(VLOOKUP($B10,Totalt!$B$1:$AQ$554,MATCH(AC$2,Totalt!$B$1:$AQ$1,0),FALSE),"")</f>
        <v>3.6</v>
      </c>
      <c r="AD10" s="173">
        <f>IFERROR(VLOOKUP($B10,Totalt!$B$1:$AQ$554,MATCH(AD$2,Totalt!$B$1:$AQ$1,0),FALSE),"")</f>
        <v>0</v>
      </c>
      <c r="AE10" s="173">
        <f>IFERROR(VLOOKUP($B10,Totalt!$B$1:$AQ$554,MATCH(AE$2,Totalt!$B$1:$AQ$1,0),FALSE),"")</f>
        <v>0</v>
      </c>
      <c r="AF10" s="173">
        <f>IFERROR(VLOOKUP($B10,Totalt!$B$1:$AQ$554,MATCH(AF$2,Totalt!$B$1:$AQ$1,0),FALSE),"")</f>
        <v>0.9</v>
      </c>
      <c r="AG10" s="173">
        <f>IFERROR(VLOOKUP($B10,Totalt!$B$1:$AQ$554,MATCH(AG$2,Totalt!$B$1:$AQ$1,0),FALSE),"")</f>
        <v>0</v>
      </c>
      <c r="AI10" s="226">
        <f t="shared" si="0"/>
        <v>33.299999999999997</v>
      </c>
      <c r="AJ10" s="226">
        <f>IF(ISERROR(1/VLOOKUP($B10,Leveranser!$B$1:$S$500,MATCH("såld värme (gwh)",Leveranser!$B$1:$S$1,0),FALSE)),"",VLOOKUP($B10,Leveranser!$B$1:$S$500,MATCH("såld värme (gwh)",Leveranser!$B$1:$S$1,0),FALSE))</f>
        <v>23.6</v>
      </c>
      <c r="AM10" s="227" t="str">
        <f>IF(B10&lt;&gt;"",IF(VLOOKUP($B10,Totalt!$B$1:$AQ$554,MATCH("Kvalitetsgranskad:",Totalt!$B$1:$AQ$1,0),FALSE)="ja",VLOOKUP($B10,Miljö!$B$1:$AG$479,MATCH(AM$2,Miljö!$B$1:$AK$1,0),FALSE),""),"")</f>
        <v>Ja</v>
      </c>
      <c r="AN10" s="227" t="str">
        <f>IF(AM10="ja",VLOOKUP($B10,Miljö!$B$1:$J$479,MATCH("Typ av ursprungsspecificerad el   (Om inget värde anges används Nordisk residualmix, se inforuta) ()",Miljö!$B$1:$J$1,0),FALSE),IF(AM10="nej","Nordisk residualel",""))</f>
        <v>'Vattenkraft'</v>
      </c>
      <c r="AO10" s="227">
        <f>IF(AM10="","",VLOOKUP($B10,Miljö!$B$1:$J$479,MATCH("Fossilandel för ursprungspecificerad el ()",Miljö!$B$1:$J$1,0),FALSE))</f>
        <v>0</v>
      </c>
      <c r="AP10" s="227">
        <f>IF(AM10="","",IFERROR(VLOOKUP($B10,Miljö!$B$1:$J$479,MATCH("Kärnkraftsandel för ursprungsspecificerad el ()",Miljö!$B$1:$J$1,0),FALSE)/1,0))</f>
        <v>0</v>
      </c>
      <c r="AQ10" s="227">
        <f t="shared" si="1"/>
        <v>1</v>
      </c>
      <c r="AR10" s="227"/>
      <c r="AS10" s="227" t="str">
        <f t="shared" si="2"/>
        <v>Nej</v>
      </c>
      <c r="AT10" s="227" t="str">
        <f>IF(AS10="ja",VLOOKUP($B10,Miljö!$B$1:$O$500,MATCH("Fossil andel i procent (%)",Miljö!$B$1:$O$1,0),FALSE)/100,"")</f>
        <v/>
      </c>
      <c r="AU10" s="227"/>
      <c r="AV10" s="227" t="str">
        <f t="shared" si="3"/>
        <v>Nej</v>
      </c>
      <c r="AW10" s="227" t="str">
        <f>IF(AV10="ja",VLOOKUP($B10,'Egen hetvattenprod'!$B$1:$AO$500,MATCH("Värmekälla till värmepumpar ()",'Egen hetvattenprod'!$B$1:$AO$1,0),FALSE),"")</f>
        <v/>
      </c>
      <c r="AX10" s="227"/>
      <c r="AY10" s="227" t="str">
        <f t="shared" si="4"/>
        <v>Ja</v>
      </c>
      <c r="AZ10" s="228">
        <f>IF($AY10="ja",(VLOOKUP($B10,'Egen hetvattenprod'!$B$1:$BX$550,MATCH(AZ$2,'Egen hetvattenprod'!$B$1:$BX$1,0),FALSE)+VLOOKUP($B10,Kraftvärmeprod!$B$1:$BX$550,MATCH(AZ$2,Kraftvärmeprod!$B$1:$BX$1,0),FALSE))/$AC10,"")</f>
        <v>1</v>
      </c>
      <c r="BA10" s="228">
        <f>IF($AY10="ja",(VLOOKUP($B10,'Egen hetvattenprod'!$B$1:$BX$550,MATCH(BA$2,'Egen hetvattenprod'!$B$1:$BX$1,0),FALSE)+VLOOKUP($B10,Kraftvärmeprod!$B$1:$BX$550,MATCH(BA$2,Kraftvärmeprod!$B$1:$BX$1,0),FALSE))/$AC10,"")</f>
        <v>0</v>
      </c>
      <c r="BB10" s="228">
        <f>IF($AY10="ja",(VLOOKUP($B10,'Egen hetvattenprod'!$B$1:$BX$550,MATCH(BB$2,'Egen hetvattenprod'!$B$1:$BX$1,0),FALSE)+VLOOKUP($B10,Kraftvärmeprod!$B$1:$BX$550,MATCH(BB$2,Kraftvärmeprod!$B$1:$BX$1,0),FALSE))/$AC10,"")</f>
        <v>0</v>
      </c>
      <c r="BC10" s="228">
        <f>IF($AY10="ja",(VLOOKUP($B10,'Egen hetvattenprod'!$B$1:$BX$550,MATCH(BC$2,'Egen hetvattenprod'!$B$1:$BX$1,0),FALSE)+VLOOKUP($B10,Kraftvärmeprod!$B$1:$BX$550,MATCH(BC$2,Kraftvärmeprod!$B$1:$BX$1,0),FALSE))/$AC10,"")</f>
        <v>0</v>
      </c>
      <c r="BD10" s="228">
        <f>IF($AY10="ja",(VLOOKUP($B10,'Egen hetvattenprod'!$B$1:$BX$550,MATCH(BD$2,'Egen hetvattenprod'!$B$1:$BX$1,0),FALSE)+VLOOKUP($B10,Kraftvärmeprod!$B$1:$BX$550,MATCH(BD$2,Kraftvärmeprod!$B$1:$BX$1,0),FALSE))/$AC10,"")</f>
        <v>0</v>
      </c>
      <c r="BE10" s="227"/>
      <c r="BF10" s="227" t="str">
        <f t="shared" si="5"/>
        <v>Nej</v>
      </c>
      <c r="BG10" s="227" t="str">
        <f>IF($BF10="ja",VLOOKUP($B10,'Egen hetvattenprod'!$B$1:$BX$550,MATCH("Andelen klimatgaser med fossilt ursprung för avfall ()",'Egen hetvattenprod'!$B$1:$BX$1,0),FALSE),"")</f>
        <v/>
      </c>
      <c r="BH10" s="227" t="str">
        <f>IF($BF10="ja",VLOOKUP($B10,Kraftvärmeprod!$B$1:$BX$550,MATCH("Andelen klimatgaser med fossilt ursprung för avfall ()",Kraftvärmeprod!$B$1:$BX$1,0),FALSE),"")</f>
        <v/>
      </c>
      <c r="BI10" s="227" t="str">
        <f>IF($BF10="ja",VLOOKUP($B10,'Egen hetvattenprod'!$B$1:$BX$550,MATCH("Avfall (GWh)",'Egen hetvattenprod'!$B$1:$BX$1,0),FALSE),"")</f>
        <v/>
      </c>
      <c r="BJ10" s="227" t="str">
        <f>IF($BF10="ja",VLOOKUP($B10,'Slutlig allokering kvv'!$B$1:$BX$550,MATCH("Avfall (GWh)",'Slutlig allokering kvv'!$B$1:$BX$1,0),FALSE),"")</f>
        <v/>
      </c>
      <c r="BK10" s="227" t="str">
        <f>IF($BF10="ja",VLOOKUP($B10,'Köpt hetvatten'!$B$1:$BX$550,MATCH("Avfall i köpt hetvatten",'Köpt hetvatten'!$B$1:$BX$1,0),FALSE),"")</f>
        <v/>
      </c>
      <c r="BL10" s="227" t="str">
        <f>IF($BF10="ja",VLOOKUP($B10,'Egen hetvattenprod'!$B$1:$BX$550,MATCH("Värde enligt ovan. (%)",'Egen hetvattenprod'!$B$1:$BX$1,0),FALSE),"")</f>
        <v/>
      </c>
      <c r="BM10" s="227" t="str">
        <f>IF($BF10="ja",VLOOKUP($B10,Kraftvärmeprod!$B$1:$BX$550,MATCH("Värde enligt ovan. (%)",Kraftvärmeprod!$B$1:$BX$1,0),FALSE),"")</f>
        <v/>
      </c>
      <c r="BN10" s="227"/>
      <c r="BO10" s="227"/>
      <c r="BP10" s="227"/>
      <c r="BQ10" s="227" t="str">
        <f>IF($BF10="ja",VLOOKUP($B10,'Egen hetvattenprod'!$B$1:$BX$550,MATCH("Tillförd olja (fossil) vid avfallsförbränning (GWh)",'Egen hetvattenprod'!$B$1:$BX$1,0),FALSE),"")</f>
        <v/>
      </c>
      <c r="BR10" s="227" t="str">
        <f>IF($BF10="ja",VLOOKUP($B10,Kraftvärmeprod!$B$1:$BX$550,MATCH("Tillförd olja (fossil) vid avfallsförbränning (GWh)",Kraftvärmeprod!$B$1:$BX$1,0),FALSE),"")</f>
        <v/>
      </c>
      <c r="BS10" s="227"/>
      <c r="BT10" s="227"/>
      <c r="BU10" s="227"/>
    </row>
    <row r="11" spans="1:73" x14ac:dyDescent="0.25">
      <c r="A11" s="121" t="str">
        <f>'Miljövärden för publ företag'!B14</f>
        <v>Adven Energilösningar AB</v>
      </c>
      <c r="B11" s="121" t="str">
        <f>'Miljövärden för publ företag'!C14</f>
        <v>Älmhult</v>
      </c>
      <c r="C11" s="173">
        <f>IFERROR(VLOOKUP($B11,Totalt!$B$1:$AQ$554,MATCH(C$2,Totalt!$B$1:$AQ$1,0),FALSE),"")</f>
        <v>0</v>
      </c>
      <c r="D11" s="173">
        <f>IFERROR(VLOOKUP($B11,Totalt!$B$1:$AQ$554,MATCH(D$2,Totalt!$B$1:$AQ$1,0),FALSE),"")</f>
        <v>0.28899999999999998</v>
      </c>
      <c r="E11" s="173">
        <f>IFERROR(VLOOKUP($B11,Totalt!$B$1:$AQ$554,MATCH(E$2,Totalt!$B$1:$AQ$1,0),FALSE),"")</f>
        <v>0</v>
      </c>
      <c r="F11" s="173">
        <f>IFERROR(VLOOKUP($B11,Totalt!$B$1:$AQ$554,MATCH(F$2,Totalt!$B$1:$AQ$1,0),FALSE),"")</f>
        <v>0</v>
      </c>
      <c r="G11" s="173">
        <f>IFERROR(VLOOKUP($B11,Totalt!$B$1:$AQ$554,MATCH(G$2,Totalt!$B$1:$AQ$1,0),FALSE),"")</f>
        <v>0</v>
      </c>
      <c r="H11" s="173">
        <f>IFERROR(VLOOKUP($B11,Totalt!$B$1:$AQ$554,MATCH(H$2,Totalt!$B$1:$AQ$1,0),FALSE),"")</f>
        <v>0.223</v>
      </c>
      <c r="I11" s="173">
        <f>IFERROR(VLOOKUP($B11,Totalt!$B$1:$AQ$554,MATCH(I$2,Totalt!$B$1:$AQ$1,0),FALSE),"")</f>
        <v>0</v>
      </c>
      <c r="J11" s="173">
        <f>IFERROR(VLOOKUP($B11,Totalt!$B$1:$AQ$554,MATCH(J$2,Totalt!$B$1:$AQ$1,0),FALSE),"")</f>
        <v>0.44600000000000001</v>
      </c>
      <c r="K11" s="173">
        <f>IFERROR(VLOOKUP($B11,Totalt!$B$1:$AQ$554,MATCH(K$2,Totalt!$B$1:$AQ$1,0),FALSE),"")</f>
        <v>0</v>
      </c>
      <c r="L11" s="173">
        <f>IFERROR(VLOOKUP($B11,Totalt!$B$1:$AQ$554,MATCH(L$2,Totalt!$B$1:$AQ$1,0),FALSE),"")</f>
        <v>0</v>
      </c>
      <c r="M11" s="173">
        <f>IFERROR(VLOOKUP($B11,Totalt!$B$1:$AQ$554,MATCH(M$2,Totalt!$B$1:$AQ$1,0),FALSE),"")</f>
        <v>0</v>
      </c>
      <c r="N11" s="173">
        <f>IFERROR(VLOOKUP($B11,Totalt!$B$1:$AQ$554,MATCH(N$2,Totalt!$B$1:$AQ$1,0),FALSE),"")</f>
        <v>0</v>
      </c>
      <c r="O11" s="173">
        <f>IFERROR(VLOOKUP($B11,Totalt!$B$1:$AQ$554,MATCH(O$2,Totalt!$B$1:$AQ$1,0),FALSE),"")</f>
        <v>0</v>
      </c>
      <c r="P11" s="173">
        <f>IFERROR(VLOOKUP($B11,Totalt!$B$1:$AQ$554,MATCH(P$2,Totalt!$B$1:$AQ$1,0),FALSE),"")</f>
        <v>0</v>
      </c>
      <c r="Q11" s="173">
        <f>IFERROR(VLOOKUP($B11,Totalt!$B$1:$AQ$554,MATCH(Q$2,Totalt!$B$1:$AQ$1,0),FALSE),"")</f>
        <v>59.558</v>
      </c>
      <c r="R11" s="173">
        <f>IFERROR(VLOOKUP($B11,Totalt!$B$1:$AQ$554,MATCH(R$2,Totalt!$B$1:$AQ$1,0),FALSE),"")</f>
        <v>0</v>
      </c>
      <c r="S11" s="173">
        <f>IFERROR(VLOOKUP($B11,Totalt!$B$1:$AQ$554,MATCH(S$2,Totalt!$B$1:$AQ$1,0),FALSE),"")</f>
        <v>5.8920000000000003</v>
      </c>
      <c r="T11" s="173">
        <f>IFERROR(VLOOKUP($B11,Totalt!$B$1:$AQ$554,MATCH(T$2,Totalt!$B$1:$AQ$1,0),FALSE),"")</f>
        <v>0</v>
      </c>
      <c r="U11" s="173">
        <f>IFERROR(VLOOKUP($B11,Totalt!$B$1:$AQ$554,MATCH(U$2,Totalt!$B$1:$AQ$1,0),FALSE),"")</f>
        <v>0</v>
      </c>
      <c r="V11" s="173">
        <f>IFERROR(VLOOKUP($B11,Totalt!$B$1:$AQ$554,MATCH(V$2,Totalt!$B$1:$AQ$1,0),FALSE),"")</f>
        <v>0</v>
      </c>
      <c r="W11" s="173">
        <f>IFERROR(VLOOKUP($B11,Totalt!$B$1:$AQ$554,MATCH(W$2,Totalt!$B$1:$AQ$1,0),FALSE),"")</f>
        <v>2.61</v>
      </c>
      <c r="X11" s="173">
        <f>IFERROR(VLOOKUP($B11,Totalt!$B$1:$AQ$554,MATCH(X$2,Totalt!$B$1:$AQ$1,0),FALSE),"")</f>
        <v>0</v>
      </c>
      <c r="Y11" s="173">
        <f>IFERROR(VLOOKUP($B11,Totalt!$B$1:$AQ$554,MATCH(Y$2,Totalt!$B$1:$AQ$1,0),FALSE),"")</f>
        <v>0</v>
      </c>
      <c r="Z11" s="173">
        <f>IFERROR(VLOOKUP($B11,Totalt!$B$1:$AQ$554,MATCH(Z$2,Totalt!$B$1:$AQ$1,0),FALSE),"")</f>
        <v>0</v>
      </c>
      <c r="AA11" s="173">
        <f>IFERROR(VLOOKUP($B11,Totalt!$B$1:$AQ$554,MATCH(AA$2,Totalt!$B$1:$AQ$1,0),FALSE),"")</f>
        <v>0</v>
      </c>
      <c r="AB11" s="173">
        <f>IFERROR(VLOOKUP($B11,Totalt!$B$1:$AQ$554,MATCH(AB$2,Totalt!$B$1:$AQ$1,0),FALSE),"")</f>
        <v>0</v>
      </c>
      <c r="AC11" s="173">
        <f>IFERROR(VLOOKUP($B11,Totalt!$B$1:$AQ$554,MATCH(AC$2,Totalt!$B$1:$AQ$1,0),FALSE),"")</f>
        <v>13.744</v>
      </c>
      <c r="AD11" s="173">
        <f>IFERROR(VLOOKUP($B11,Totalt!$B$1:$AQ$554,MATCH(AD$2,Totalt!$B$1:$AQ$1,0),FALSE),"")</f>
        <v>13.49</v>
      </c>
      <c r="AE11" s="173">
        <f>IFERROR(VLOOKUP($B11,Totalt!$B$1:$AQ$554,MATCH(AE$2,Totalt!$B$1:$AQ$1,0),FALSE),"")</f>
        <v>0</v>
      </c>
      <c r="AF11" s="173">
        <f>IFERROR(VLOOKUP($B11,Totalt!$B$1:$AQ$554,MATCH(AF$2,Totalt!$B$1:$AQ$1,0),FALSE),"")</f>
        <v>1.7</v>
      </c>
      <c r="AG11" s="173">
        <f>IFERROR(VLOOKUP($B11,Totalt!$B$1:$AQ$554,MATCH(AG$2,Totalt!$B$1:$AQ$1,0),FALSE),"")</f>
        <v>0</v>
      </c>
      <c r="AI11" s="226">
        <f t="shared" si="0"/>
        <v>97.951999999999998</v>
      </c>
      <c r="AJ11" s="226">
        <f>IF(ISERROR(1/VLOOKUP($B11,Leveranser!$B$1:$S$500,MATCH("såld värme (gwh)",Leveranser!$B$1:$S$1,0),FALSE)),"",VLOOKUP($B11,Leveranser!$B$1:$S$500,MATCH("såld värme (gwh)",Leveranser!$B$1:$S$1,0),FALSE))</f>
        <v>86.6</v>
      </c>
      <c r="AM11" s="227" t="str">
        <f>IF(B11&lt;&gt;"",IF(VLOOKUP($B11,Totalt!$B$1:$AQ$554,MATCH("Kvalitetsgranskad:",Totalt!$B$1:$AQ$1,0),FALSE)="ja",VLOOKUP($B11,Miljö!$B$1:$AG$479,MATCH(AM$2,Miljö!$B$1:$AK$1,0),FALSE),""),"")</f>
        <v>Ja</v>
      </c>
      <c r="AN11" s="227" t="str">
        <f>IF(AM11="ja",VLOOKUP($B11,Miljö!$B$1:$J$479,MATCH("Typ av ursprungsspecificerad el   (Om inget värde anges används Nordisk residualmix, se inforuta) ()",Miljö!$B$1:$J$1,0),FALSE),IF(AM11="nej","Nordisk residualel",""))</f>
        <v>'Vattenkraft'</v>
      </c>
      <c r="AO11" s="227">
        <f>IF(AM11="","",VLOOKUP($B11,Miljö!$B$1:$J$479,MATCH("Fossilandel för ursprungspecificerad el ()",Miljö!$B$1:$J$1,0),FALSE))</f>
        <v>0</v>
      </c>
      <c r="AP11" s="227">
        <f>IF(AM11="","",IFERROR(VLOOKUP($B11,Miljö!$B$1:$J$479,MATCH("Kärnkraftsandel för ursprungsspecificerad el ()",Miljö!$B$1:$J$1,0),FALSE)/1,0))</f>
        <v>0</v>
      </c>
      <c r="AQ11" s="227">
        <f t="shared" si="1"/>
        <v>1</v>
      </c>
      <c r="AR11" s="227"/>
      <c r="AS11" s="227" t="str">
        <f t="shared" si="2"/>
        <v>Nej</v>
      </c>
      <c r="AT11" s="227" t="str">
        <f>IF(AS11="ja",VLOOKUP($B11,Miljö!$B$1:$O$500,MATCH("Fossil andel i procent (%)",Miljö!$B$1:$O$1,0),FALSE)/100,"")</f>
        <v/>
      </c>
      <c r="AU11" s="227"/>
      <c r="AV11" s="227" t="str">
        <f t="shared" si="3"/>
        <v>Nej</v>
      </c>
      <c r="AW11" s="227" t="str">
        <f>IF(AV11="ja",VLOOKUP($B11,'Egen hetvattenprod'!$B$1:$AO$500,MATCH("Värmekälla till värmepumpar ()",'Egen hetvattenprod'!$B$1:$AO$1,0),FALSE),"")</f>
        <v/>
      </c>
      <c r="AX11" s="227"/>
      <c r="AY11" s="227" t="str">
        <f t="shared" si="4"/>
        <v>Ja</v>
      </c>
      <c r="AZ11" s="228">
        <f>IF($AY11="ja",(VLOOKUP($B11,'Egen hetvattenprod'!$B$1:$BX$550,MATCH(AZ$2,'Egen hetvattenprod'!$B$1:$BX$1,0),FALSE)+VLOOKUP($B11,Kraftvärmeprod!$B$1:$BX$550,MATCH(AZ$2,Kraftvärmeprod!$B$1:$BX$1,0),FALSE))/$AC11,"")</f>
        <v>1</v>
      </c>
      <c r="BA11" s="228">
        <f>IF($AY11="ja",(VLOOKUP($B11,'Egen hetvattenprod'!$B$1:$BX$550,MATCH(BA$2,'Egen hetvattenprod'!$B$1:$BX$1,0),FALSE)+VLOOKUP($B11,Kraftvärmeprod!$B$1:$BX$550,MATCH(BA$2,Kraftvärmeprod!$B$1:$BX$1,0),FALSE))/$AC11,"")</f>
        <v>0</v>
      </c>
      <c r="BB11" s="228">
        <f>IF($AY11="ja",(VLOOKUP($B11,'Egen hetvattenprod'!$B$1:$BX$550,MATCH(BB$2,'Egen hetvattenprod'!$B$1:$BX$1,0),FALSE)+VLOOKUP($B11,Kraftvärmeprod!$B$1:$BX$550,MATCH(BB$2,Kraftvärmeprod!$B$1:$BX$1,0),FALSE))/$AC11,"")</f>
        <v>0</v>
      </c>
      <c r="BC11" s="228">
        <f>IF($AY11="ja",(VLOOKUP($B11,'Egen hetvattenprod'!$B$1:$BX$550,MATCH(BC$2,'Egen hetvattenprod'!$B$1:$BX$1,0),FALSE)+VLOOKUP($B11,Kraftvärmeprod!$B$1:$BX$550,MATCH(BC$2,Kraftvärmeprod!$B$1:$BX$1,0),FALSE))/$AC11,"")</f>
        <v>0</v>
      </c>
      <c r="BD11" s="228">
        <f>IF($AY11="ja",(VLOOKUP($B11,'Egen hetvattenprod'!$B$1:$BX$550,MATCH(BD$2,'Egen hetvattenprod'!$B$1:$BX$1,0),FALSE)+VLOOKUP($B11,Kraftvärmeprod!$B$1:$BX$550,MATCH(BD$2,Kraftvärmeprod!$B$1:$BX$1,0),FALSE))/$AC11,"")</f>
        <v>0</v>
      </c>
      <c r="BE11" s="227"/>
      <c r="BF11" s="227" t="str">
        <f t="shared" si="5"/>
        <v>Nej</v>
      </c>
      <c r="BG11" s="227" t="str">
        <f>IF($BF11="ja",VLOOKUP($B11,'Egen hetvattenprod'!$B$1:$BX$550,MATCH("Andelen klimatgaser med fossilt ursprung för avfall ()",'Egen hetvattenprod'!$B$1:$BX$1,0),FALSE),"")</f>
        <v/>
      </c>
      <c r="BH11" s="227" t="str">
        <f>IF($BF11="ja",VLOOKUP($B11,Kraftvärmeprod!$B$1:$BX$550,MATCH("Andelen klimatgaser med fossilt ursprung för avfall ()",Kraftvärmeprod!$B$1:$BX$1,0),FALSE),"")</f>
        <v/>
      </c>
      <c r="BI11" s="227" t="str">
        <f>IF($BF11="ja",VLOOKUP($B11,'Egen hetvattenprod'!$B$1:$BX$550,MATCH("Avfall (GWh)",'Egen hetvattenprod'!$B$1:$BX$1,0),FALSE),"")</f>
        <v/>
      </c>
      <c r="BJ11" s="227" t="str">
        <f>IF($BF11="ja",VLOOKUP($B11,'Slutlig allokering kvv'!$B$1:$BX$550,MATCH("Avfall (GWh)",'Slutlig allokering kvv'!$B$1:$BX$1,0),FALSE),"")</f>
        <v/>
      </c>
      <c r="BK11" s="227" t="str">
        <f>IF($BF11="ja",VLOOKUP($B11,'Köpt hetvatten'!$B$1:$BX$550,MATCH("Avfall i köpt hetvatten",'Köpt hetvatten'!$B$1:$BX$1,0),FALSE),"")</f>
        <v/>
      </c>
      <c r="BL11" s="227" t="str">
        <f>IF($BF11="ja",VLOOKUP($B11,'Egen hetvattenprod'!$B$1:$BX$550,MATCH("Värde enligt ovan. (%)",'Egen hetvattenprod'!$B$1:$BX$1,0),FALSE),"")</f>
        <v/>
      </c>
      <c r="BM11" s="227" t="str">
        <f>IF($BF11="ja",VLOOKUP($B11,Kraftvärmeprod!$B$1:$BX$550,MATCH("Värde enligt ovan. (%)",Kraftvärmeprod!$B$1:$BX$1,0),FALSE),"")</f>
        <v/>
      </c>
      <c r="BN11" s="227"/>
      <c r="BO11" s="227"/>
      <c r="BP11" s="227"/>
      <c r="BQ11" s="227" t="str">
        <f>IF($BF11="ja",VLOOKUP($B11,'Egen hetvattenprod'!$B$1:$BX$550,MATCH("Tillförd olja (fossil) vid avfallsförbränning (GWh)",'Egen hetvattenprod'!$B$1:$BX$1,0),FALSE),"")</f>
        <v/>
      </c>
      <c r="BR11" s="227" t="str">
        <f>IF($BF11="ja",VLOOKUP($B11,Kraftvärmeprod!$B$1:$BX$550,MATCH("Tillförd olja (fossil) vid avfallsförbränning (GWh)",Kraftvärmeprod!$B$1:$BX$1,0),FALSE),"")</f>
        <v/>
      </c>
      <c r="BS11" s="227"/>
      <c r="BT11" s="227"/>
      <c r="BU11" s="227"/>
    </row>
    <row r="12" spans="1:73" x14ac:dyDescent="0.25">
      <c r="A12" s="121" t="str">
        <f>'Miljövärden för publ företag'!B15</f>
        <v>Adven Värme AB.</v>
      </c>
      <c r="B12" s="121" t="str">
        <f>'Miljövärden för publ företag'!C15</f>
        <v>Bollstabruk</v>
      </c>
      <c r="C12" s="173">
        <f>IFERROR(VLOOKUP($B12,Totalt!$B$1:$AQ$554,MATCH(C$2,Totalt!$B$1:$AQ$1,0),FALSE),"")</f>
        <v>0</v>
      </c>
      <c r="D12" s="173">
        <f>IFERROR(VLOOKUP($B12,Totalt!$B$1:$AQ$554,MATCH(D$2,Totalt!$B$1:$AQ$1,0),FALSE),"")</f>
        <v>0</v>
      </c>
      <c r="E12" s="173">
        <f>IFERROR(VLOOKUP($B12,Totalt!$B$1:$AQ$554,MATCH(E$2,Totalt!$B$1:$AQ$1,0),FALSE),"")</f>
        <v>0</v>
      </c>
      <c r="F12" s="173">
        <f>IFERROR(VLOOKUP($B12,Totalt!$B$1:$AQ$554,MATCH(F$2,Totalt!$B$1:$AQ$1,0),FALSE),"")</f>
        <v>0</v>
      </c>
      <c r="G12" s="173">
        <f>IFERROR(VLOOKUP($B12,Totalt!$B$1:$AQ$554,MATCH(G$2,Totalt!$B$1:$AQ$1,0),FALSE),"")</f>
        <v>0</v>
      </c>
      <c r="H12" s="173">
        <f>IFERROR(VLOOKUP($B12,Totalt!$B$1:$AQ$554,MATCH(H$2,Totalt!$B$1:$AQ$1,0),FALSE),"")</f>
        <v>0</v>
      </c>
      <c r="I12" s="173">
        <f>IFERROR(VLOOKUP($B12,Totalt!$B$1:$AQ$554,MATCH(I$2,Totalt!$B$1:$AQ$1,0),FALSE),"")</f>
        <v>0</v>
      </c>
      <c r="J12" s="173">
        <f>IFERROR(VLOOKUP($B12,Totalt!$B$1:$AQ$554,MATCH(J$2,Totalt!$B$1:$AQ$1,0),FALSE),"")</f>
        <v>0</v>
      </c>
      <c r="K12" s="173">
        <f>IFERROR(VLOOKUP($B12,Totalt!$B$1:$AQ$554,MATCH(K$2,Totalt!$B$1:$AQ$1,0),FALSE),"")</f>
        <v>0</v>
      </c>
      <c r="L12" s="173">
        <f>IFERROR(VLOOKUP($B12,Totalt!$B$1:$AQ$554,MATCH(L$2,Totalt!$B$1:$AQ$1,0),FALSE),"")</f>
        <v>0</v>
      </c>
      <c r="M12" s="173">
        <f>IFERROR(VLOOKUP($B12,Totalt!$B$1:$AQ$554,MATCH(M$2,Totalt!$B$1:$AQ$1,0),FALSE),"")</f>
        <v>0</v>
      </c>
      <c r="N12" s="173">
        <f>IFERROR(VLOOKUP($B12,Totalt!$B$1:$AQ$554,MATCH(N$2,Totalt!$B$1:$AQ$1,0),FALSE),"")</f>
        <v>0</v>
      </c>
      <c r="O12" s="173">
        <f>IFERROR(VLOOKUP($B12,Totalt!$B$1:$AQ$554,MATCH(O$2,Totalt!$B$1:$AQ$1,0),FALSE),"")</f>
        <v>0</v>
      </c>
      <c r="P12" s="173">
        <f>IFERROR(VLOOKUP($B12,Totalt!$B$1:$AQ$554,MATCH(P$2,Totalt!$B$1:$AQ$1,0),FALSE),"")</f>
        <v>0</v>
      </c>
      <c r="Q12" s="173">
        <f>IFERROR(VLOOKUP($B12,Totalt!$B$1:$AQ$554,MATCH(Q$2,Totalt!$B$1:$AQ$1,0),FALSE),"")</f>
        <v>7.4117600000000001</v>
      </c>
      <c r="R12" s="173">
        <f>IFERROR(VLOOKUP($B12,Totalt!$B$1:$AQ$554,MATCH(R$2,Totalt!$B$1:$AQ$1,0),FALSE),"")</f>
        <v>0</v>
      </c>
      <c r="S12" s="173">
        <f>IFERROR(VLOOKUP($B12,Totalt!$B$1:$AQ$554,MATCH(S$2,Totalt!$B$1:$AQ$1,0),FALSE),"")</f>
        <v>0</v>
      </c>
      <c r="T12" s="173">
        <f>IFERROR(VLOOKUP($B12,Totalt!$B$1:$AQ$554,MATCH(T$2,Totalt!$B$1:$AQ$1,0),FALSE),"")</f>
        <v>0</v>
      </c>
      <c r="U12" s="173">
        <f>IFERROR(VLOOKUP($B12,Totalt!$B$1:$AQ$554,MATCH(U$2,Totalt!$B$1:$AQ$1,0),FALSE),"")</f>
        <v>0</v>
      </c>
      <c r="V12" s="173">
        <f>IFERROR(VLOOKUP($B12,Totalt!$B$1:$AQ$554,MATCH(V$2,Totalt!$B$1:$AQ$1,0),FALSE),"")</f>
        <v>0</v>
      </c>
      <c r="W12" s="173">
        <f>IFERROR(VLOOKUP($B12,Totalt!$B$1:$AQ$554,MATCH(W$2,Totalt!$B$1:$AQ$1,0),FALSE),"")</f>
        <v>0</v>
      </c>
      <c r="X12" s="173">
        <f>IFERROR(VLOOKUP($B12,Totalt!$B$1:$AQ$554,MATCH(X$2,Totalt!$B$1:$AQ$1,0),FALSE),"")</f>
        <v>0</v>
      </c>
      <c r="Y12" s="173">
        <f>IFERROR(VLOOKUP($B12,Totalt!$B$1:$AQ$554,MATCH(Y$2,Totalt!$B$1:$AQ$1,0),FALSE),"")</f>
        <v>0</v>
      </c>
      <c r="Z12" s="173">
        <f>IFERROR(VLOOKUP($B12,Totalt!$B$1:$AQ$554,MATCH(Z$2,Totalt!$B$1:$AQ$1,0),FALSE),"")</f>
        <v>0</v>
      </c>
      <c r="AA12" s="173">
        <f>IFERROR(VLOOKUP($B12,Totalt!$B$1:$AQ$554,MATCH(AA$2,Totalt!$B$1:$AQ$1,0),FALSE),"")</f>
        <v>0</v>
      </c>
      <c r="AB12" s="173">
        <f>IFERROR(VLOOKUP($B12,Totalt!$B$1:$AQ$554,MATCH(AB$2,Totalt!$B$1:$AQ$1,0),FALSE),"")</f>
        <v>0</v>
      </c>
      <c r="AC12" s="173">
        <f>IFERROR(VLOOKUP($B12,Totalt!$B$1:$AQ$554,MATCH(AC$2,Totalt!$B$1:$AQ$1,0),FALSE),"")</f>
        <v>0</v>
      </c>
      <c r="AD12" s="173">
        <f>IFERROR(VLOOKUP($B12,Totalt!$B$1:$AQ$554,MATCH(AD$2,Totalt!$B$1:$AQ$1,0),FALSE),"")</f>
        <v>0</v>
      </c>
      <c r="AE12" s="173">
        <f>IFERROR(VLOOKUP($B12,Totalt!$B$1:$AQ$554,MATCH(AE$2,Totalt!$B$1:$AQ$1,0),FALSE),"")</f>
        <v>0</v>
      </c>
      <c r="AF12" s="173">
        <f>IFERROR(VLOOKUP($B12,Totalt!$B$1:$AQ$554,MATCH(AF$2,Totalt!$B$1:$AQ$1,0),FALSE),"")</f>
        <v>0.159</v>
      </c>
      <c r="AG12" s="173">
        <f>IFERROR(VLOOKUP($B12,Totalt!$B$1:$AQ$554,MATCH(AG$2,Totalt!$B$1:$AQ$1,0),FALSE),"")</f>
        <v>0</v>
      </c>
      <c r="AI12" s="226">
        <f t="shared" si="0"/>
        <v>7.5707599999999999</v>
      </c>
      <c r="AJ12" s="226">
        <f>IF(ISERROR(1/VLOOKUP($B12,Leveranser!$B$1:$S$500,MATCH("såld värme (gwh)",Leveranser!$B$1:$S$1,0),FALSE)),"",VLOOKUP($B12,Leveranser!$B$1:$S$500,MATCH("såld värme (gwh)",Leveranser!$B$1:$S$1,0),FALSE))</f>
        <v>5.3</v>
      </c>
      <c r="AM12" s="227" t="str">
        <f>IF(B12&lt;&gt;"",IF(VLOOKUP($B12,Totalt!$B$1:$AQ$554,MATCH("Kvalitetsgranskad:",Totalt!$B$1:$AQ$1,0),FALSE)="ja",VLOOKUP($B12,Miljö!$B$1:$AG$479,MATCH(AM$2,Miljö!$B$1:$AK$1,0),FALSE),""),"")</f>
        <v>Ja</v>
      </c>
      <c r="AN12" s="227" t="str">
        <f>IF(AM12="ja",VLOOKUP($B12,Miljö!$B$1:$J$479,MATCH("Typ av ursprungsspecificerad el   (Om inget värde anges används Nordisk residualmix, se inforuta) ()",Miljö!$B$1:$J$1,0),FALSE),IF(AM12="nej","Nordisk residualel",""))</f>
        <v>'Sverige Förnybar el Jämtkraft'</v>
      </c>
      <c r="AO12" s="227">
        <f>IF(AM12="","",VLOOKUP($B12,Miljö!$B$1:$J$479,MATCH("Fossilandel för ursprungspecificerad el ()",Miljö!$B$1:$J$1,0),FALSE))</f>
        <v>0</v>
      </c>
      <c r="AP12" s="227">
        <f>IF(AM12="","",IFERROR(VLOOKUP($B12,Miljö!$B$1:$J$479,MATCH("Kärnkraftsandel för ursprungsspecificerad el ()",Miljö!$B$1:$J$1,0),FALSE)/1,0))</f>
        <v>0</v>
      </c>
      <c r="AQ12" s="227">
        <f t="shared" si="1"/>
        <v>1</v>
      </c>
      <c r="AR12" s="227"/>
      <c r="AS12" s="227" t="str">
        <f t="shared" si="2"/>
        <v>Nej</v>
      </c>
      <c r="AT12" s="227" t="str">
        <f>IF(AS12="ja",VLOOKUP($B12,Miljö!$B$1:$O$500,MATCH("Fossil andel i procent (%)",Miljö!$B$1:$O$1,0),FALSE)/100,"")</f>
        <v/>
      </c>
      <c r="AU12" s="227"/>
      <c r="AV12" s="227" t="str">
        <f t="shared" si="3"/>
        <v>Nej</v>
      </c>
      <c r="AW12" s="227" t="str">
        <f>IF(AV12="ja",VLOOKUP($B12,'Egen hetvattenprod'!$B$1:$AO$500,MATCH("Värmekälla till värmepumpar ()",'Egen hetvattenprod'!$B$1:$AO$1,0),FALSE),"")</f>
        <v/>
      </c>
      <c r="AX12" s="227"/>
      <c r="AY12" s="227" t="str">
        <f t="shared" si="4"/>
        <v>Nej</v>
      </c>
      <c r="AZ12" s="228" t="str">
        <f>IF($AY12="ja",(VLOOKUP($B12,'Egen hetvattenprod'!$B$1:$BX$550,MATCH(AZ$2,'Egen hetvattenprod'!$B$1:$BX$1,0),FALSE)+VLOOKUP($B12,Kraftvärmeprod!$B$1:$BX$550,MATCH(AZ$2,Kraftvärmeprod!$B$1:$BX$1,0),FALSE))/$AC12,"")</f>
        <v/>
      </c>
      <c r="BA12" s="228" t="str">
        <f>IF($AY12="ja",(VLOOKUP($B12,'Egen hetvattenprod'!$B$1:$BX$550,MATCH(BA$2,'Egen hetvattenprod'!$B$1:$BX$1,0),FALSE)+VLOOKUP($B12,Kraftvärmeprod!$B$1:$BX$550,MATCH(BA$2,Kraftvärmeprod!$B$1:$BX$1,0),FALSE))/$AC12,"")</f>
        <v/>
      </c>
      <c r="BB12" s="228" t="str">
        <f>IF($AY12="ja",(VLOOKUP($B12,'Egen hetvattenprod'!$B$1:$BX$550,MATCH(BB$2,'Egen hetvattenprod'!$B$1:$BX$1,0),FALSE)+VLOOKUP($B12,Kraftvärmeprod!$B$1:$BX$550,MATCH(BB$2,Kraftvärmeprod!$B$1:$BX$1,0),FALSE))/$AC12,"")</f>
        <v/>
      </c>
      <c r="BC12" s="228" t="str">
        <f>IF($AY12="ja",(VLOOKUP($B12,'Egen hetvattenprod'!$B$1:$BX$550,MATCH(BC$2,'Egen hetvattenprod'!$B$1:$BX$1,0),FALSE)+VLOOKUP($B12,Kraftvärmeprod!$B$1:$BX$550,MATCH(BC$2,Kraftvärmeprod!$B$1:$BX$1,0),FALSE))/$AC12,"")</f>
        <v/>
      </c>
      <c r="BD12" s="228" t="str">
        <f>IF($AY12="ja",(VLOOKUP($B12,'Egen hetvattenprod'!$B$1:$BX$550,MATCH(BD$2,'Egen hetvattenprod'!$B$1:$BX$1,0),FALSE)+VLOOKUP($B12,Kraftvärmeprod!$B$1:$BX$550,MATCH(BD$2,Kraftvärmeprod!$B$1:$BX$1,0),FALSE))/$AC12,"")</f>
        <v/>
      </c>
      <c r="BE12" s="227"/>
      <c r="BF12" s="227" t="str">
        <f t="shared" si="5"/>
        <v>Nej</v>
      </c>
      <c r="BG12" s="227" t="str">
        <f>IF($BF12="ja",VLOOKUP($B12,'Egen hetvattenprod'!$B$1:$BX$550,MATCH("Andelen klimatgaser med fossilt ursprung för avfall ()",'Egen hetvattenprod'!$B$1:$BX$1,0),FALSE),"")</f>
        <v/>
      </c>
      <c r="BH12" s="227" t="str">
        <f>IF($BF12="ja",VLOOKUP($B12,Kraftvärmeprod!$B$1:$BX$550,MATCH("Andelen klimatgaser med fossilt ursprung för avfall ()",Kraftvärmeprod!$B$1:$BX$1,0),FALSE),"")</f>
        <v/>
      </c>
      <c r="BI12" s="227" t="str">
        <f>IF($BF12="ja",VLOOKUP($B12,'Egen hetvattenprod'!$B$1:$BX$550,MATCH("Avfall (GWh)",'Egen hetvattenprod'!$B$1:$BX$1,0),FALSE),"")</f>
        <v/>
      </c>
      <c r="BJ12" s="227" t="str">
        <f>IF($BF12="ja",VLOOKUP($B12,'Slutlig allokering kvv'!$B$1:$BX$550,MATCH("Avfall (GWh)",'Slutlig allokering kvv'!$B$1:$BX$1,0),FALSE),"")</f>
        <v/>
      </c>
      <c r="BK12" s="227" t="str">
        <f>IF($BF12="ja",VLOOKUP($B12,'Köpt hetvatten'!$B$1:$BX$550,MATCH("Avfall i köpt hetvatten",'Köpt hetvatten'!$B$1:$BX$1,0),FALSE),"")</f>
        <v/>
      </c>
      <c r="BL12" s="227" t="str">
        <f>IF($BF12="ja",VLOOKUP($B12,'Egen hetvattenprod'!$B$1:$BX$550,MATCH("Värde enligt ovan. (%)",'Egen hetvattenprod'!$B$1:$BX$1,0),FALSE),"")</f>
        <v/>
      </c>
      <c r="BM12" s="227" t="str">
        <f>IF($BF12="ja",VLOOKUP($B12,Kraftvärmeprod!$B$1:$BX$550,MATCH("Värde enligt ovan. (%)",Kraftvärmeprod!$B$1:$BX$1,0),FALSE),"")</f>
        <v/>
      </c>
      <c r="BN12" s="227"/>
      <c r="BO12" s="227"/>
      <c r="BP12" s="227"/>
      <c r="BQ12" s="227" t="str">
        <f>IF($BF12="ja",VLOOKUP($B12,'Egen hetvattenprod'!$B$1:$BX$550,MATCH("Tillförd olja (fossil) vid avfallsförbränning (GWh)",'Egen hetvattenprod'!$B$1:$BX$1,0),FALSE),"")</f>
        <v/>
      </c>
      <c r="BR12" s="227" t="str">
        <f>IF($BF12="ja",VLOOKUP($B12,Kraftvärmeprod!$B$1:$BX$550,MATCH("Tillförd olja (fossil) vid avfallsförbränning (GWh)",Kraftvärmeprod!$B$1:$BX$1,0),FALSE),"")</f>
        <v/>
      </c>
      <c r="BS12" s="227"/>
      <c r="BT12" s="227"/>
      <c r="BU12" s="227"/>
    </row>
    <row r="13" spans="1:73" x14ac:dyDescent="0.25">
      <c r="A13" s="121" t="str">
        <f>'Miljövärden för publ företag'!B16</f>
        <v>Adven Värme AB.</v>
      </c>
      <c r="B13" s="121" t="str">
        <f>'Miljövärden för publ företag'!C16</f>
        <v>Bräcke, Enycon</v>
      </c>
      <c r="C13" s="173">
        <f>IFERROR(VLOOKUP($B13,Totalt!$B$1:$AQ$554,MATCH(C$2,Totalt!$B$1:$AQ$1,0),FALSE),"")</f>
        <v>0</v>
      </c>
      <c r="D13" s="173">
        <f>IFERROR(VLOOKUP($B13,Totalt!$B$1:$AQ$554,MATCH(D$2,Totalt!$B$1:$AQ$1,0),FALSE),"")</f>
        <v>0.3</v>
      </c>
      <c r="E13" s="173">
        <f>IFERROR(VLOOKUP($B13,Totalt!$B$1:$AQ$554,MATCH(E$2,Totalt!$B$1:$AQ$1,0),FALSE),"")</f>
        <v>0</v>
      </c>
      <c r="F13" s="173">
        <f>IFERROR(VLOOKUP($B13,Totalt!$B$1:$AQ$554,MATCH(F$2,Totalt!$B$1:$AQ$1,0),FALSE),"")</f>
        <v>0</v>
      </c>
      <c r="G13" s="173">
        <f>IFERROR(VLOOKUP($B13,Totalt!$B$1:$AQ$554,MATCH(G$2,Totalt!$B$1:$AQ$1,0),FALSE),"")</f>
        <v>0</v>
      </c>
      <c r="H13" s="173">
        <f>IFERROR(VLOOKUP($B13,Totalt!$B$1:$AQ$554,MATCH(H$2,Totalt!$B$1:$AQ$1,0),FALSE),"")</f>
        <v>0</v>
      </c>
      <c r="I13" s="173">
        <f>IFERROR(VLOOKUP($B13,Totalt!$B$1:$AQ$554,MATCH(I$2,Totalt!$B$1:$AQ$1,0),FALSE),"")</f>
        <v>0</v>
      </c>
      <c r="J13" s="173">
        <f>IFERROR(VLOOKUP($B13,Totalt!$B$1:$AQ$554,MATCH(J$2,Totalt!$B$1:$AQ$1,0),FALSE),"")</f>
        <v>0</v>
      </c>
      <c r="K13" s="173">
        <f>IFERROR(VLOOKUP($B13,Totalt!$B$1:$AQ$554,MATCH(K$2,Totalt!$B$1:$AQ$1,0),FALSE),"")</f>
        <v>0</v>
      </c>
      <c r="L13" s="173">
        <f>IFERROR(VLOOKUP($B13,Totalt!$B$1:$AQ$554,MATCH(L$2,Totalt!$B$1:$AQ$1,0),FALSE),"")</f>
        <v>0</v>
      </c>
      <c r="M13" s="173">
        <f>IFERROR(VLOOKUP($B13,Totalt!$B$1:$AQ$554,MATCH(M$2,Totalt!$B$1:$AQ$1,0),FALSE),"")</f>
        <v>7</v>
      </c>
      <c r="N13" s="173">
        <f>IFERROR(VLOOKUP($B13,Totalt!$B$1:$AQ$554,MATCH(N$2,Totalt!$B$1:$AQ$1,0),FALSE),"")</f>
        <v>0</v>
      </c>
      <c r="O13" s="173">
        <f>IFERROR(VLOOKUP($B13,Totalt!$B$1:$AQ$554,MATCH(O$2,Totalt!$B$1:$AQ$1,0),FALSE),"")</f>
        <v>0</v>
      </c>
      <c r="P13" s="173">
        <f>IFERROR(VLOOKUP($B13,Totalt!$B$1:$AQ$554,MATCH(P$2,Totalt!$B$1:$AQ$1,0),FALSE),"")</f>
        <v>15</v>
      </c>
      <c r="Q13" s="173">
        <f>IFERROR(VLOOKUP($B13,Totalt!$B$1:$AQ$554,MATCH(Q$2,Totalt!$B$1:$AQ$1,0),FALSE),"")</f>
        <v>0</v>
      </c>
      <c r="R13" s="173">
        <f>IFERROR(VLOOKUP($B13,Totalt!$B$1:$AQ$554,MATCH(R$2,Totalt!$B$1:$AQ$1,0),FALSE),"")</f>
        <v>3.8</v>
      </c>
      <c r="S13" s="173">
        <f>IFERROR(VLOOKUP($B13,Totalt!$B$1:$AQ$554,MATCH(S$2,Totalt!$B$1:$AQ$1,0),FALSE),"")</f>
        <v>0</v>
      </c>
      <c r="T13" s="173">
        <f>IFERROR(VLOOKUP($B13,Totalt!$B$1:$AQ$554,MATCH(T$2,Totalt!$B$1:$AQ$1,0),FALSE),"")</f>
        <v>0</v>
      </c>
      <c r="U13" s="173">
        <f>IFERROR(VLOOKUP($B13,Totalt!$B$1:$AQ$554,MATCH(U$2,Totalt!$B$1:$AQ$1,0),FALSE),"")</f>
        <v>0</v>
      </c>
      <c r="V13" s="173">
        <f>IFERROR(VLOOKUP($B13,Totalt!$B$1:$AQ$554,MATCH(V$2,Totalt!$B$1:$AQ$1,0),FALSE),"")</f>
        <v>0</v>
      </c>
      <c r="W13" s="173">
        <f>IFERROR(VLOOKUP($B13,Totalt!$B$1:$AQ$554,MATCH(W$2,Totalt!$B$1:$AQ$1,0),FALSE),"")</f>
        <v>0</v>
      </c>
      <c r="X13" s="173">
        <f>IFERROR(VLOOKUP($B13,Totalt!$B$1:$AQ$554,MATCH(X$2,Totalt!$B$1:$AQ$1,0),FALSE),"")</f>
        <v>0</v>
      </c>
      <c r="Y13" s="173">
        <f>IFERROR(VLOOKUP($B13,Totalt!$B$1:$AQ$554,MATCH(Y$2,Totalt!$B$1:$AQ$1,0),FALSE),"")</f>
        <v>0</v>
      </c>
      <c r="Z13" s="173">
        <f>IFERROR(VLOOKUP($B13,Totalt!$B$1:$AQ$554,MATCH(Z$2,Totalt!$B$1:$AQ$1,0),FALSE),"")</f>
        <v>0</v>
      </c>
      <c r="AA13" s="173">
        <f>IFERROR(VLOOKUP($B13,Totalt!$B$1:$AQ$554,MATCH(AA$2,Totalt!$B$1:$AQ$1,0),FALSE),"")</f>
        <v>0</v>
      </c>
      <c r="AB13" s="173">
        <f>IFERROR(VLOOKUP($B13,Totalt!$B$1:$AQ$554,MATCH(AB$2,Totalt!$B$1:$AQ$1,0),FALSE),"")</f>
        <v>0</v>
      </c>
      <c r="AC13" s="173">
        <f>IFERROR(VLOOKUP($B13,Totalt!$B$1:$AQ$554,MATCH(AC$2,Totalt!$B$1:$AQ$1,0),FALSE),"")</f>
        <v>0</v>
      </c>
      <c r="AD13" s="173">
        <f>IFERROR(VLOOKUP($B13,Totalt!$B$1:$AQ$554,MATCH(AD$2,Totalt!$B$1:$AQ$1,0),FALSE),"")</f>
        <v>0</v>
      </c>
      <c r="AE13" s="173">
        <f>IFERROR(VLOOKUP($B13,Totalt!$B$1:$AQ$554,MATCH(AE$2,Totalt!$B$1:$AQ$1,0),FALSE),"")</f>
        <v>0</v>
      </c>
      <c r="AF13" s="173">
        <f>IFERROR(VLOOKUP($B13,Totalt!$B$1:$AQ$554,MATCH(AF$2,Totalt!$B$1:$AQ$1,0),FALSE),"")</f>
        <v>0.4</v>
      </c>
      <c r="AG13" s="173">
        <f>IFERROR(VLOOKUP($B13,Totalt!$B$1:$AQ$554,MATCH(AG$2,Totalt!$B$1:$AQ$1,0),FALSE),"")</f>
        <v>0</v>
      </c>
      <c r="AI13" s="226">
        <f t="shared" si="0"/>
        <v>26.5</v>
      </c>
      <c r="AJ13" s="226">
        <f>IF(ISERROR(1/VLOOKUP($B13,Leveranser!$B$1:$S$500,MATCH("såld värme (gwh)",Leveranser!$B$1:$S$1,0),FALSE)),"",VLOOKUP($B13,Leveranser!$B$1:$S$500,MATCH("såld värme (gwh)",Leveranser!$B$1:$S$1,0),FALSE))</f>
        <v>18.2</v>
      </c>
      <c r="AM13" s="227" t="str">
        <f>IF(B13&lt;&gt;"",IF(VLOOKUP($B13,Totalt!$B$1:$AQ$554,MATCH("Kvalitetsgranskad:",Totalt!$B$1:$AQ$1,0),FALSE)="ja",VLOOKUP($B13,Miljö!$B$1:$AG$479,MATCH(AM$2,Miljö!$B$1:$AK$1,0),FALSE),""),"")</f>
        <v>Ja</v>
      </c>
      <c r="AN13" s="227" t="str">
        <f>IF(AM13="ja",VLOOKUP($B13,Miljö!$B$1:$J$479,MATCH("Typ av ursprungsspecificerad el   (Om inget värde anges används Nordisk residualmix, se inforuta) ()",Miljö!$B$1:$J$1,0),FALSE),IF(AM13="nej","Nordisk residualel",""))</f>
        <v>'Sverige Förnybar el Jämtkraft'</v>
      </c>
      <c r="AO13" s="227">
        <f>IF(AM13="","",VLOOKUP($B13,Miljö!$B$1:$J$479,MATCH("Fossilandel för ursprungspecificerad el ()",Miljö!$B$1:$J$1,0),FALSE))</f>
        <v>0</v>
      </c>
      <c r="AP13" s="227">
        <f>IF(AM13="","",IFERROR(VLOOKUP($B13,Miljö!$B$1:$J$479,MATCH("Kärnkraftsandel för ursprungsspecificerad el ()",Miljö!$B$1:$J$1,0),FALSE)/1,0))</f>
        <v>0</v>
      </c>
      <c r="AQ13" s="227">
        <f t="shared" si="1"/>
        <v>1</v>
      </c>
      <c r="AR13" s="227"/>
      <c r="AS13" s="227" t="str">
        <f t="shared" si="2"/>
        <v>Nej</v>
      </c>
      <c r="AT13" s="227" t="str">
        <f>IF(AS13="ja",VLOOKUP($B13,Miljö!$B$1:$O$500,MATCH("Fossil andel i procent (%)",Miljö!$B$1:$O$1,0),FALSE)/100,"")</f>
        <v/>
      </c>
      <c r="AU13" s="227"/>
      <c r="AV13" s="227" t="str">
        <f t="shared" si="3"/>
        <v>Nej</v>
      </c>
      <c r="AW13" s="227" t="str">
        <f>IF(AV13="ja",VLOOKUP($B13,'Egen hetvattenprod'!$B$1:$AO$500,MATCH("Värmekälla till värmepumpar ()",'Egen hetvattenprod'!$B$1:$AO$1,0),FALSE),"")</f>
        <v/>
      </c>
      <c r="AX13" s="227"/>
      <c r="AY13" s="227" t="str">
        <f t="shared" si="4"/>
        <v>Nej</v>
      </c>
      <c r="AZ13" s="228" t="str">
        <f>IF($AY13="ja",(VLOOKUP($B13,'Egen hetvattenprod'!$B$1:$BX$550,MATCH(AZ$2,'Egen hetvattenprod'!$B$1:$BX$1,0),FALSE)+VLOOKUP($B13,Kraftvärmeprod!$B$1:$BX$550,MATCH(AZ$2,Kraftvärmeprod!$B$1:$BX$1,0),FALSE))/$AC13,"")</f>
        <v/>
      </c>
      <c r="BA13" s="228" t="str">
        <f>IF($AY13="ja",(VLOOKUP($B13,'Egen hetvattenprod'!$B$1:$BX$550,MATCH(BA$2,'Egen hetvattenprod'!$B$1:$BX$1,0),FALSE)+VLOOKUP($B13,Kraftvärmeprod!$B$1:$BX$550,MATCH(BA$2,Kraftvärmeprod!$B$1:$BX$1,0),FALSE))/$AC13,"")</f>
        <v/>
      </c>
      <c r="BB13" s="228" t="str">
        <f>IF($AY13="ja",(VLOOKUP($B13,'Egen hetvattenprod'!$B$1:$BX$550,MATCH(BB$2,'Egen hetvattenprod'!$B$1:$BX$1,0),FALSE)+VLOOKUP($B13,Kraftvärmeprod!$B$1:$BX$550,MATCH(BB$2,Kraftvärmeprod!$B$1:$BX$1,0),FALSE))/$AC13,"")</f>
        <v/>
      </c>
      <c r="BC13" s="228" t="str">
        <f>IF($AY13="ja",(VLOOKUP($B13,'Egen hetvattenprod'!$B$1:$BX$550,MATCH(BC$2,'Egen hetvattenprod'!$B$1:$BX$1,0),FALSE)+VLOOKUP($B13,Kraftvärmeprod!$B$1:$BX$550,MATCH(BC$2,Kraftvärmeprod!$B$1:$BX$1,0),FALSE))/$AC13,"")</f>
        <v/>
      </c>
      <c r="BD13" s="228" t="str">
        <f>IF($AY13="ja",(VLOOKUP($B13,'Egen hetvattenprod'!$B$1:$BX$550,MATCH(BD$2,'Egen hetvattenprod'!$B$1:$BX$1,0),FALSE)+VLOOKUP($B13,Kraftvärmeprod!$B$1:$BX$550,MATCH(BD$2,Kraftvärmeprod!$B$1:$BX$1,0),FALSE))/$AC13,"")</f>
        <v/>
      </c>
      <c r="BE13" s="227"/>
      <c r="BF13" s="227" t="str">
        <f t="shared" si="5"/>
        <v>Nej</v>
      </c>
      <c r="BG13" s="227" t="str">
        <f>IF($BF13="ja",VLOOKUP($B13,'Egen hetvattenprod'!$B$1:$BX$550,MATCH("Andelen klimatgaser med fossilt ursprung för avfall ()",'Egen hetvattenprod'!$B$1:$BX$1,0),FALSE),"")</f>
        <v/>
      </c>
      <c r="BH13" s="227" t="str">
        <f>IF($BF13="ja",VLOOKUP($B13,Kraftvärmeprod!$B$1:$BX$550,MATCH("Andelen klimatgaser med fossilt ursprung för avfall ()",Kraftvärmeprod!$B$1:$BX$1,0),FALSE),"")</f>
        <v/>
      </c>
      <c r="BI13" s="227" t="str">
        <f>IF($BF13="ja",VLOOKUP($B13,'Egen hetvattenprod'!$B$1:$BX$550,MATCH("Avfall (GWh)",'Egen hetvattenprod'!$B$1:$BX$1,0),FALSE),"")</f>
        <v/>
      </c>
      <c r="BJ13" s="227" t="str">
        <f>IF($BF13="ja",VLOOKUP($B13,'Slutlig allokering kvv'!$B$1:$BX$550,MATCH("Avfall (GWh)",'Slutlig allokering kvv'!$B$1:$BX$1,0),FALSE),"")</f>
        <v/>
      </c>
      <c r="BK13" s="227" t="str">
        <f>IF($BF13="ja",VLOOKUP($B13,'Köpt hetvatten'!$B$1:$BX$550,MATCH("Avfall i köpt hetvatten",'Köpt hetvatten'!$B$1:$BX$1,0),FALSE),"")</f>
        <v/>
      </c>
      <c r="BL13" s="227" t="str">
        <f>IF($BF13="ja",VLOOKUP($B13,'Egen hetvattenprod'!$B$1:$BX$550,MATCH("Värde enligt ovan. (%)",'Egen hetvattenprod'!$B$1:$BX$1,0),FALSE),"")</f>
        <v/>
      </c>
      <c r="BM13" s="227" t="str">
        <f>IF($BF13="ja",VLOOKUP($B13,Kraftvärmeprod!$B$1:$BX$550,MATCH("Värde enligt ovan. (%)",Kraftvärmeprod!$B$1:$BX$1,0),FALSE),"")</f>
        <v/>
      </c>
      <c r="BN13" s="227"/>
      <c r="BO13" s="227"/>
      <c r="BP13" s="227"/>
      <c r="BQ13" s="227" t="str">
        <f>IF($BF13="ja",VLOOKUP($B13,'Egen hetvattenprod'!$B$1:$BX$550,MATCH("Tillförd olja (fossil) vid avfallsförbränning (GWh)",'Egen hetvattenprod'!$B$1:$BX$1,0),FALSE),"")</f>
        <v/>
      </c>
      <c r="BR13" s="227" t="str">
        <f>IF($BF13="ja",VLOOKUP($B13,Kraftvärmeprod!$B$1:$BX$550,MATCH("Tillförd olja (fossil) vid avfallsförbränning (GWh)",Kraftvärmeprod!$B$1:$BX$1,0),FALSE),"")</f>
        <v/>
      </c>
      <c r="BS13" s="227"/>
      <c r="BT13" s="227"/>
      <c r="BU13" s="227"/>
    </row>
    <row r="14" spans="1:73" x14ac:dyDescent="0.25">
      <c r="A14" s="121" t="str">
        <f>'Miljövärden för publ företag'!B17</f>
        <v>Adven Värme AB.</v>
      </c>
      <c r="B14" s="121" t="str">
        <f>'Miljövärden för publ företag'!C17</f>
        <v>Friggesund</v>
      </c>
      <c r="C14" s="173">
        <f>IFERROR(VLOOKUP($B14,Totalt!$B$1:$AQ$554,MATCH(C$2,Totalt!$B$1:$AQ$1,0),FALSE),"")</f>
        <v>0</v>
      </c>
      <c r="D14" s="173">
        <f>IFERROR(VLOOKUP($B14,Totalt!$B$1:$AQ$554,MATCH(D$2,Totalt!$B$1:$AQ$1,0),FALSE),"")</f>
        <v>0.2</v>
      </c>
      <c r="E14" s="173">
        <f>IFERROR(VLOOKUP($B14,Totalt!$B$1:$AQ$554,MATCH(E$2,Totalt!$B$1:$AQ$1,0),FALSE),"")</f>
        <v>0</v>
      </c>
      <c r="F14" s="173">
        <f>IFERROR(VLOOKUP($B14,Totalt!$B$1:$AQ$554,MATCH(F$2,Totalt!$B$1:$AQ$1,0),FALSE),"")</f>
        <v>0</v>
      </c>
      <c r="G14" s="173">
        <f>IFERROR(VLOOKUP($B14,Totalt!$B$1:$AQ$554,MATCH(G$2,Totalt!$B$1:$AQ$1,0),FALSE),"")</f>
        <v>0</v>
      </c>
      <c r="H14" s="173">
        <f>IFERROR(VLOOKUP($B14,Totalt!$B$1:$AQ$554,MATCH(H$2,Totalt!$B$1:$AQ$1,0),FALSE),"")</f>
        <v>0</v>
      </c>
      <c r="I14" s="173">
        <f>IFERROR(VLOOKUP($B14,Totalt!$B$1:$AQ$554,MATCH(I$2,Totalt!$B$1:$AQ$1,0),FALSE),"")</f>
        <v>0</v>
      </c>
      <c r="J14" s="173">
        <f>IFERROR(VLOOKUP($B14,Totalt!$B$1:$AQ$554,MATCH(J$2,Totalt!$B$1:$AQ$1,0),FALSE),"")</f>
        <v>0</v>
      </c>
      <c r="K14" s="173">
        <f>IFERROR(VLOOKUP($B14,Totalt!$B$1:$AQ$554,MATCH(K$2,Totalt!$B$1:$AQ$1,0),FALSE),"")</f>
        <v>0</v>
      </c>
      <c r="L14" s="173">
        <f>IFERROR(VLOOKUP($B14,Totalt!$B$1:$AQ$554,MATCH(L$2,Totalt!$B$1:$AQ$1,0),FALSE),"")</f>
        <v>0</v>
      </c>
      <c r="M14" s="173">
        <f>IFERROR(VLOOKUP($B14,Totalt!$B$1:$AQ$554,MATCH(M$2,Totalt!$B$1:$AQ$1,0),FALSE),"")</f>
        <v>0</v>
      </c>
      <c r="N14" s="173">
        <f>IFERROR(VLOOKUP($B14,Totalt!$B$1:$AQ$554,MATCH(N$2,Totalt!$B$1:$AQ$1,0),FALSE),"")</f>
        <v>0</v>
      </c>
      <c r="O14" s="173">
        <f>IFERROR(VLOOKUP($B14,Totalt!$B$1:$AQ$554,MATCH(O$2,Totalt!$B$1:$AQ$1,0),FALSE),"")</f>
        <v>0</v>
      </c>
      <c r="P14" s="173">
        <f>IFERROR(VLOOKUP($B14,Totalt!$B$1:$AQ$554,MATCH(P$2,Totalt!$B$1:$AQ$1,0),FALSE),"")</f>
        <v>4.5</v>
      </c>
      <c r="Q14" s="173">
        <f>IFERROR(VLOOKUP($B14,Totalt!$B$1:$AQ$554,MATCH(Q$2,Totalt!$B$1:$AQ$1,0),FALSE),"")</f>
        <v>0</v>
      </c>
      <c r="R14" s="173">
        <f>IFERROR(VLOOKUP($B14,Totalt!$B$1:$AQ$554,MATCH(R$2,Totalt!$B$1:$AQ$1,0),FALSE),"")</f>
        <v>0</v>
      </c>
      <c r="S14" s="173">
        <f>IFERROR(VLOOKUP($B14,Totalt!$B$1:$AQ$554,MATCH(S$2,Totalt!$B$1:$AQ$1,0),FALSE),"")</f>
        <v>0</v>
      </c>
      <c r="T14" s="173">
        <f>IFERROR(VLOOKUP($B14,Totalt!$B$1:$AQ$554,MATCH(T$2,Totalt!$B$1:$AQ$1,0),FALSE),"")</f>
        <v>0</v>
      </c>
      <c r="U14" s="173">
        <f>IFERROR(VLOOKUP($B14,Totalt!$B$1:$AQ$554,MATCH(U$2,Totalt!$B$1:$AQ$1,0),FALSE),"")</f>
        <v>0</v>
      </c>
      <c r="V14" s="173">
        <f>IFERROR(VLOOKUP($B14,Totalt!$B$1:$AQ$554,MATCH(V$2,Totalt!$B$1:$AQ$1,0),FALSE),"")</f>
        <v>0</v>
      </c>
      <c r="W14" s="173">
        <f>IFERROR(VLOOKUP($B14,Totalt!$B$1:$AQ$554,MATCH(W$2,Totalt!$B$1:$AQ$1,0),FALSE),"")</f>
        <v>0</v>
      </c>
      <c r="X14" s="173">
        <f>IFERROR(VLOOKUP($B14,Totalt!$B$1:$AQ$554,MATCH(X$2,Totalt!$B$1:$AQ$1,0),FALSE),"")</f>
        <v>0</v>
      </c>
      <c r="Y14" s="173">
        <f>IFERROR(VLOOKUP($B14,Totalt!$B$1:$AQ$554,MATCH(Y$2,Totalt!$B$1:$AQ$1,0),FALSE),"")</f>
        <v>0</v>
      </c>
      <c r="Z14" s="173">
        <f>IFERROR(VLOOKUP($B14,Totalt!$B$1:$AQ$554,MATCH(Z$2,Totalt!$B$1:$AQ$1,0),FALSE),"")</f>
        <v>0</v>
      </c>
      <c r="AA14" s="173">
        <f>IFERROR(VLOOKUP($B14,Totalt!$B$1:$AQ$554,MATCH(AA$2,Totalt!$B$1:$AQ$1,0),FALSE),"")</f>
        <v>0</v>
      </c>
      <c r="AB14" s="173">
        <f>IFERROR(VLOOKUP($B14,Totalt!$B$1:$AQ$554,MATCH(AB$2,Totalt!$B$1:$AQ$1,0),FALSE),"")</f>
        <v>0</v>
      </c>
      <c r="AC14" s="173">
        <f>IFERROR(VLOOKUP($B14,Totalt!$B$1:$AQ$554,MATCH(AC$2,Totalt!$B$1:$AQ$1,0),FALSE),"")</f>
        <v>0</v>
      </c>
      <c r="AD14" s="173">
        <f>IFERROR(VLOOKUP($B14,Totalt!$B$1:$AQ$554,MATCH(AD$2,Totalt!$B$1:$AQ$1,0),FALSE),"")</f>
        <v>0</v>
      </c>
      <c r="AE14" s="173">
        <f>IFERROR(VLOOKUP($B14,Totalt!$B$1:$AQ$554,MATCH(AE$2,Totalt!$B$1:$AQ$1,0),FALSE),"")</f>
        <v>0</v>
      </c>
      <c r="AF14" s="173">
        <f>IFERROR(VLOOKUP($B14,Totalt!$B$1:$AQ$554,MATCH(AF$2,Totalt!$B$1:$AQ$1,0),FALSE),"")</f>
        <v>0.01</v>
      </c>
      <c r="AG14" s="173">
        <f>IFERROR(VLOOKUP($B14,Totalt!$B$1:$AQ$554,MATCH(AG$2,Totalt!$B$1:$AQ$1,0),FALSE),"")</f>
        <v>0</v>
      </c>
      <c r="AI14" s="226">
        <f t="shared" si="0"/>
        <v>4.71</v>
      </c>
      <c r="AJ14" s="226">
        <f>IF(ISERROR(1/VLOOKUP($B14,Leveranser!$B$1:$S$500,MATCH("såld värme (gwh)",Leveranser!$B$1:$S$1,0),FALSE)),"",VLOOKUP($B14,Leveranser!$B$1:$S$500,MATCH("såld värme (gwh)",Leveranser!$B$1:$S$1,0),FALSE))</f>
        <v>3.5</v>
      </c>
      <c r="AM14" s="227" t="str">
        <f>IF(B14&lt;&gt;"",IF(VLOOKUP($B14,Totalt!$B$1:$AQ$554,MATCH("Kvalitetsgranskad:",Totalt!$B$1:$AQ$1,0),FALSE)="ja",VLOOKUP($B14,Miljö!$B$1:$AG$479,MATCH(AM$2,Miljö!$B$1:$AK$1,0),FALSE),""),"")</f>
        <v>Ja</v>
      </c>
      <c r="AN14" s="227" t="str">
        <f>IF(AM14="ja",VLOOKUP($B14,Miljö!$B$1:$J$479,MATCH("Typ av ursprungsspecificerad el   (Om inget värde anges används Nordisk residualmix, se inforuta) ()",Miljö!$B$1:$J$1,0),FALSE),IF(AM14="nej","Nordisk residualel",""))</f>
        <v>'Sverige Förnybar el Jämtkraft'</v>
      </c>
      <c r="AO14" s="227">
        <f>IF(AM14="","",VLOOKUP($B14,Miljö!$B$1:$J$479,MATCH("Fossilandel för ursprungspecificerad el ()",Miljö!$B$1:$J$1,0),FALSE))</f>
        <v>0</v>
      </c>
      <c r="AP14" s="227">
        <f>IF(AM14="","",IFERROR(VLOOKUP($B14,Miljö!$B$1:$J$479,MATCH("Kärnkraftsandel för ursprungsspecificerad el ()",Miljö!$B$1:$J$1,0),FALSE)/1,0))</f>
        <v>0</v>
      </c>
      <c r="AQ14" s="227">
        <f t="shared" si="1"/>
        <v>1</v>
      </c>
      <c r="AR14" s="227"/>
      <c r="AS14" s="227" t="str">
        <f t="shared" si="2"/>
        <v>Nej</v>
      </c>
      <c r="AT14" s="227" t="str">
        <f>IF(AS14="ja",VLOOKUP($B14,Miljö!$B$1:$O$500,MATCH("Fossil andel i procent (%)",Miljö!$B$1:$O$1,0),FALSE)/100,"")</f>
        <v/>
      </c>
      <c r="AU14" s="227"/>
      <c r="AV14" s="227" t="str">
        <f t="shared" si="3"/>
        <v>Nej</v>
      </c>
      <c r="AW14" s="227" t="str">
        <f>IF(AV14="ja",VLOOKUP($B14,'Egen hetvattenprod'!$B$1:$AO$500,MATCH("Värmekälla till värmepumpar ()",'Egen hetvattenprod'!$B$1:$AO$1,0),FALSE),"")</f>
        <v/>
      </c>
      <c r="AX14" s="227"/>
      <c r="AY14" s="227" t="str">
        <f t="shared" si="4"/>
        <v>Nej</v>
      </c>
      <c r="AZ14" s="228" t="str">
        <f>IF($AY14="ja",(VLOOKUP($B14,'Egen hetvattenprod'!$B$1:$BX$550,MATCH(AZ$2,'Egen hetvattenprod'!$B$1:$BX$1,0),FALSE)+VLOOKUP($B14,Kraftvärmeprod!$B$1:$BX$550,MATCH(AZ$2,Kraftvärmeprod!$B$1:$BX$1,0),FALSE))/$AC14,"")</f>
        <v/>
      </c>
      <c r="BA14" s="228" t="str">
        <f>IF($AY14="ja",(VLOOKUP($B14,'Egen hetvattenprod'!$B$1:$BX$550,MATCH(BA$2,'Egen hetvattenprod'!$B$1:$BX$1,0),FALSE)+VLOOKUP($B14,Kraftvärmeprod!$B$1:$BX$550,MATCH(BA$2,Kraftvärmeprod!$B$1:$BX$1,0),FALSE))/$AC14,"")</f>
        <v/>
      </c>
      <c r="BB14" s="228" t="str">
        <f>IF($AY14="ja",(VLOOKUP($B14,'Egen hetvattenprod'!$B$1:$BX$550,MATCH(BB$2,'Egen hetvattenprod'!$B$1:$BX$1,0),FALSE)+VLOOKUP($B14,Kraftvärmeprod!$B$1:$BX$550,MATCH(BB$2,Kraftvärmeprod!$B$1:$BX$1,0),FALSE))/$AC14,"")</f>
        <v/>
      </c>
      <c r="BC14" s="228" t="str">
        <f>IF($AY14="ja",(VLOOKUP($B14,'Egen hetvattenprod'!$B$1:$BX$550,MATCH(BC$2,'Egen hetvattenprod'!$B$1:$BX$1,0),FALSE)+VLOOKUP($B14,Kraftvärmeprod!$B$1:$BX$550,MATCH(BC$2,Kraftvärmeprod!$B$1:$BX$1,0),FALSE))/$AC14,"")</f>
        <v/>
      </c>
      <c r="BD14" s="228" t="str">
        <f>IF($AY14="ja",(VLOOKUP($B14,'Egen hetvattenprod'!$B$1:$BX$550,MATCH(BD$2,'Egen hetvattenprod'!$B$1:$BX$1,0),FALSE)+VLOOKUP($B14,Kraftvärmeprod!$B$1:$BX$550,MATCH(BD$2,Kraftvärmeprod!$B$1:$BX$1,0),FALSE))/$AC14,"")</f>
        <v/>
      </c>
      <c r="BE14" s="227"/>
      <c r="BF14" s="227" t="str">
        <f t="shared" si="5"/>
        <v>Nej</v>
      </c>
      <c r="BG14" s="227" t="str">
        <f>IF($BF14="ja",VLOOKUP($B14,'Egen hetvattenprod'!$B$1:$BX$550,MATCH("Andelen klimatgaser med fossilt ursprung för avfall ()",'Egen hetvattenprod'!$B$1:$BX$1,0),FALSE),"")</f>
        <v/>
      </c>
      <c r="BH14" s="227" t="str">
        <f>IF($BF14="ja",VLOOKUP($B14,Kraftvärmeprod!$B$1:$BX$550,MATCH("Andelen klimatgaser med fossilt ursprung för avfall ()",Kraftvärmeprod!$B$1:$BX$1,0),FALSE),"")</f>
        <v/>
      </c>
      <c r="BI14" s="227" t="str">
        <f>IF($BF14="ja",VLOOKUP($B14,'Egen hetvattenprod'!$B$1:$BX$550,MATCH("Avfall (GWh)",'Egen hetvattenprod'!$B$1:$BX$1,0),FALSE),"")</f>
        <v/>
      </c>
      <c r="BJ14" s="227" t="str">
        <f>IF($BF14="ja",VLOOKUP($B14,'Slutlig allokering kvv'!$B$1:$BX$550,MATCH("Avfall (GWh)",'Slutlig allokering kvv'!$B$1:$BX$1,0),FALSE),"")</f>
        <v/>
      </c>
      <c r="BK14" s="227" t="str">
        <f>IF($BF14="ja",VLOOKUP($B14,'Köpt hetvatten'!$B$1:$BX$550,MATCH("Avfall i köpt hetvatten",'Köpt hetvatten'!$B$1:$BX$1,0),FALSE),"")</f>
        <v/>
      </c>
      <c r="BL14" s="227" t="str">
        <f>IF($BF14="ja",VLOOKUP($B14,'Egen hetvattenprod'!$B$1:$BX$550,MATCH("Värde enligt ovan. (%)",'Egen hetvattenprod'!$B$1:$BX$1,0),FALSE),"")</f>
        <v/>
      </c>
      <c r="BM14" s="227" t="str">
        <f>IF($BF14="ja",VLOOKUP($B14,Kraftvärmeprod!$B$1:$BX$550,MATCH("Värde enligt ovan. (%)",Kraftvärmeprod!$B$1:$BX$1,0),FALSE),"")</f>
        <v/>
      </c>
      <c r="BN14" s="227"/>
      <c r="BO14" s="227"/>
      <c r="BP14" s="227"/>
      <c r="BQ14" s="227" t="str">
        <f>IF($BF14="ja",VLOOKUP($B14,'Egen hetvattenprod'!$B$1:$BX$550,MATCH("Tillförd olja (fossil) vid avfallsförbränning (GWh)",'Egen hetvattenprod'!$B$1:$BX$1,0),FALSE),"")</f>
        <v/>
      </c>
      <c r="BR14" s="227" t="str">
        <f>IF($BF14="ja",VLOOKUP($B14,Kraftvärmeprod!$B$1:$BX$550,MATCH("Tillförd olja (fossil) vid avfallsförbränning (GWh)",Kraftvärmeprod!$B$1:$BX$1,0),FALSE),"")</f>
        <v/>
      </c>
      <c r="BS14" s="227"/>
      <c r="BT14" s="227"/>
      <c r="BU14" s="227"/>
    </row>
    <row r="15" spans="1:73" x14ac:dyDescent="0.25">
      <c r="A15" s="121" t="str">
        <f>'Miljövärden för publ företag'!B18</f>
        <v>Adven Värme AB.</v>
      </c>
      <c r="B15" s="121" t="str">
        <f>'Miljövärden för publ företag'!C18</f>
        <v>Funäsdalen</v>
      </c>
      <c r="C15" s="173">
        <f>IFERROR(VLOOKUP($B15,Totalt!$B$1:$AQ$554,MATCH(C$2,Totalt!$B$1:$AQ$1,0),FALSE),"")</f>
        <v>0</v>
      </c>
      <c r="D15" s="173">
        <f>IFERROR(VLOOKUP($B15,Totalt!$B$1:$AQ$554,MATCH(D$2,Totalt!$B$1:$AQ$1,0),FALSE),"")</f>
        <v>0.8</v>
      </c>
      <c r="E15" s="173">
        <f>IFERROR(VLOOKUP($B15,Totalt!$B$1:$AQ$554,MATCH(E$2,Totalt!$B$1:$AQ$1,0),FALSE),"")</f>
        <v>0</v>
      </c>
      <c r="F15" s="173">
        <f>IFERROR(VLOOKUP($B15,Totalt!$B$1:$AQ$554,MATCH(F$2,Totalt!$B$1:$AQ$1,0),FALSE),"")</f>
        <v>0</v>
      </c>
      <c r="G15" s="173">
        <f>IFERROR(VLOOKUP($B15,Totalt!$B$1:$AQ$554,MATCH(G$2,Totalt!$B$1:$AQ$1,0),FALSE),"")</f>
        <v>0</v>
      </c>
      <c r="H15" s="173">
        <f>IFERROR(VLOOKUP($B15,Totalt!$B$1:$AQ$554,MATCH(H$2,Totalt!$B$1:$AQ$1,0),FALSE),"")</f>
        <v>0</v>
      </c>
      <c r="I15" s="173">
        <f>IFERROR(VLOOKUP($B15,Totalt!$B$1:$AQ$554,MATCH(I$2,Totalt!$B$1:$AQ$1,0),FALSE),"")</f>
        <v>0</v>
      </c>
      <c r="J15" s="173">
        <f>IFERROR(VLOOKUP($B15,Totalt!$B$1:$AQ$554,MATCH(J$2,Totalt!$B$1:$AQ$1,0),FALSE),"")</f>
        <v>0</v>
      </c>
      <c r="K15" s="173">
        <f>IFERROR(VLOOKUP($B15,Totalt!$B$1:$AQ$554,MATCH(K$2,Totalt!$B$1:$AQ$1,0),FALSE),"")</f>
        <v>0</v>
      </c>
      <c r="L15" s="173">
        <f>IFERROR(VLOOKUP($B15,Totalt!$B$1:$AQ$554,MATCH(L$2,Totalt!$B$1:$AQ$1,0),FALSE),"")</f>
        <v>0</v>
      </c>
      <c r="M15" s="173">
        <f>IFERROR(VLOOKUP($B15,Totalt!$B$1:$AQ$554,MATCH(M$2,Totalt!$B$1:$AQ$1,0),FALSE),"")</f>
        <v>0</v>
      </c>
      <c r="N15" s="173">
        <f>IFERROR(VLOOKUP($B15,Totalt!$B$1:$AQ$554,MATCH(N$2,Totalt!$B$1:$AQ$1,0),FALSE),"")</f>
        <v>0</v>
      </c>
      <c r="O15" s="173">
        <f>IFERROR(VLOOKUP($B15,Totalt!$B$1:$AQ$554,MATCH(O$2,Totalt!$B$1:$AQ$1,0),FALSE),"")</f>
        <v>8.4</v>
      </c>
      <c r="P15" s="173">
        <f>IFERROR(VLOOKUP($B15,Totalt!$B$1:$AQ$554,MATCH(P$2,Totalt!$B$1:$AQ$1,0),FALSE),"")</f>
        <v>0</v>
      </c>
      <c r="Q15" s="173">
        <f>IFERROR(VLOOKUP($B15,Totalt!$B$1:$AQ$554,MATCH(Q$2,Totalt!$B$1:$AQ$1,0),FALSE),"")</f>
        <v>0</v>
      </c>
      <c r="R15" s="173">
        <f>IFERROR(VLOOKUP($B15,Totalt!$B$1:$AQ$554,MATCH(R$2,Totalt!$B$1:$AQ$1,0),FALSE),"")</f>
        <v>0</v>
      </c>
      <c r="S15" s="173">
        <f>IFERROR(VLOOKUP($B15,Totalt!$B$1:$AQ$554,MATCH(S$2,Totalt!$B$1:$AQ$1,0),FALSE),"")</f>
        <v>0</v>
      </c>
      <c r="T15" s="173">
        <f>IFERROR(VLOOKUP($B15,Totalt!$B$1:$AQ$554,MATCH(T$2,Totalt!$B$1:$AQ$1,0),FALSE),"")</f>
        <v>0</v>
      </c>
      <c r="U15" s="173">
        <f>IFERROR(VLOOKUP($B15,Totalt!$B$1:$AQ$554,MATCH(U$2,Totalt!$B$1:$AQ$1,0),FALSE),"")</f>
        <v>0</v>
      </c>
      <c r="V15" s="173">
        <f>IFERROR(VLOOKUP($B15,Totalt!$B$1:$AQ$554,MATCH(V$2,Totalt!$B$1:$AQ$1,0),FALSE),"")</f>
        <v>0</v>
      </c>
      <c r="W15" s="173">
        <f>IFERROR(VLOOKUP($B15,Totalt!$B$1:$AQ$554,MATCH(W$2,Totalt!$B$1:$AQ$1,0),FALSE),"")</f>
        <v>0</v>
      </c>
      <c r="X15" s="173">
        <f>IFERROR(VLOOKUP($B15,Totalt!$B$1:$AQ$554,MATCH(X$2,Totalt!$B$1:$AQ$1,0),FALSE),"")</f>
        <v>0</v>
      </c>
      <c r="Y15" s="173">
        <f>IFERROR(VLOOKUP($B15,Totalt!$B$1:$AQ$554,MATCH(Y$2,Totalt!$B$1:$AQ$1,0),FALSE),"")</f>
        <v>0</v>
      </c>
      <c r="Z15" s="173">
        <f>IFERROR(VLOOKUP($B15,Totalt!$B$1:$AQ$554,MATCH(Z$2,Totalt!$B$1:$AQ$1,0),FALSE),"")</f>
        <v>0</v>
      </c>
      <c r="AA15" s="173">
        <f>IFERROR(VLOOKUP($B15,Totalt!$B$1:$AQ$554,MATCH(AA$2,Totalt!$B$1:$AQ$1,0),FALSE),"")</f>
        <v>0</v>
      </c>
      <c r="AB15" s="173">
        <f>IFERROR(VLOOKUP($B15,Totalt!$B$1:$AQ$554,MATCH(AB$2,Totalt!$B$1:$AQ$1,0),FALSE),"")</f>
        <v>0</v>
      </c>
      <c r="AC15" s="173">
        <f>IFERROR(VLOOKUP($B15,Totalt!$B$1:$AQ$554,MATCH(AC$2,Totalt!$B$1:$AQ$1,0),FALSE),"")</f>
        <v>0</v>
      </c>
      <c r="AD15" s="173">
        <f>IFERROR(VLOOKUP($B15,Totalt!$B$1:$AQ$554,MATCH(AD$2,Totalt!$B$1:$AQ$1,0),FALSE),"")</f>
        <v>0</v>
      </c>
      <c r="AE15" s="173">
        <f>IFERROR(VLOOKUP($B15,Totalt!$B$1:$AQ$554,MATCH(AE$2,Totalt!$B$1:$AQ$1,0),FALSE),"")</f>
        <v>0</v>
      </c>
      <c r="AF15" s="173">
        <f>IFERROR(VLOOKUP($B15,Totalt!$B$1:$AQ$554,MATCH(AF$2,Totalt!$B$1:$AQ$1,0),FALSE),"")</f>
        <v>0.1</v>
      </c>
      <c r="AG15" s="173">
        <f>IFERROR(VLOOKUP($B15,Totalt!$B$1:$AQ$554,MATCH(AG$2,Totalt!$B$1:$AQ$1,0),FALSE),"")</f>
        <v>0</v>
      </c>
      <c r="AI15" s="226">
        <f t="shared" si="0"/>
        <v>9.3000000000000007</v>
      </c>
      <c r="AJ15" s="226">
        <f>IF(ISERROR(1/VLOOKUP($B15,Leveranser!$B$1:$S$500,MATCH("såld värme (gwh)",Leveranser!$B$1:$S$1,0),FALSE)),"",VLOOKUP($B15,Leveranser!$B$1:$S$500,MATCH("såld värme (gwh)",Leveranser!$B$1:$S$1,0),FALSE))</f>
        <v>5.4</v>
      </c>
      <c r="AM15" s="227" t="str">
        <f>IF(B15&lt;&gt;"",IF(VLOOKUP($B15,Totalt!$B$1:$AQ$554,MATCH("Kvalitetsgranskad:",Totalt!$B$1:$AQ$1,0),FALSE)="ja",VLOOKUP($B15,Miljö!$B$1:$AG$479,MATCH(AM$2,Miljö!$B$1:$AK$1,0),FALSE),""),"")</f>
        <v>Ja</v>
      </c>
      <c r="AN15" s="227" t="str">
        <f>IF(AM15="ja",VLOOKUP($B15,Miljö!$B$1:$J$479,MATCH("Typ av ursprungsspecificerad el   (Om inget värde anges används Nordisk residualmix, se inforuta) ()",Miljö!$B$1:$J$1,0),FALSE),IF(AM15="nej","Nordisk residualel",""))</f>
        <v>'Sverige Förnybar el Jämtkraft'</v>
      </c>
      <c r="AO15" s="227">
        <f>IF(AM15="","",VLOOKUP($B15,Miljö!$B$1:$J$479,MATCH("Fossilandel för ursprungspecificerad el ()",Miljö!$B$1:$J$1,0),FALSE))</f>
        <v>0</v>
      </c>
      <c r="AP15" s="227">
        <f>IF(AM15="","",IFERROR(VLOOKUP($B15,Miljö!$B$1:$J$479,MATCH("Kärnkraftsandel för ursprungsspecificerad el ()",Miljö!$B$1:$J$1,0),FALSE)/1,0))</f>
        <v>0</v>
      </c>
      <c r="AQ15" s="227">
        <f t="shared" si="1"/>
        <v>1</v>
      </c>
      <c r="AR15" s="227"/>
      <c r="AS15" s="227" t="str">
        <f t="shared" si="2"/>
        <v>Nej</v>
      </c>
      <c r="AT15" s="227" t="str">
        <f>IF(AS15="ja",VLOOKUP($B15,Miljö!$B$1:$O$500,MATCH("Fossil andel i procent (%)",Miljö!$B$1:$O$1,0),FALSE)/100,"")</f>
        <v/>
      </c>
      <c r="AU15" s="227"/>
      <c r="AV15" s="227" t="str">
        <f t="shared" si="3"/>
        <v>Nej</v>
      </c>
      <c r="AW15" s="227" t="str">
        <f>IF(AV15="ja",VLOOKUP($B15,'Egen hetvattenprod'!$B$1:$AO$500,MATCH("Värmekälla till värmepumpar ()",'Egen hetvattenprod'!$B$1:$AO$1,0),FALSE),"")</f>
        <v/>
      </c>
      <c r="AX15" s="227"/>
      <c r="AY15" s="227" t="str">
        <f t="shared" si="4"/>
        <v>Nej</v>
      </c>
      <c r="AZ15" s="228" t="str">
        <f>IF($AY15="ja",(VLOOKUP($B15,'Egen hetvattenprod'!$B$1:$BX$550,MATCH(AZ$2,'Egen hetvattenprod'!$B$1:$BX$1,0),FALSE)+VLOOKUP($B15,Kraftvärmeprod!$B$1:$BX$550,MATCH(AZ$2,Kraftvärmeprod!$B$1:$BX$1,0),FALSE))/$AC15,"")</f>
        <v/>
      </c>
      <c r="BA15" s="228" t="str">
        <f>IF($AY15="ja",(VLOOKUP($B15,'Egen hetvattenprod'!$B$1:$BX$550,MATCH(BA$2,'Egen hetvattenprod'!$B$1:$BX$1,0),FALSE)+VLOOKUP($B15,Kraftvärmeprod!$B$1:$BX$550,MATCH(BA$2,Kraftvärmeprod!$B$1:$BX$1,0),FALSE))/$AC15,"")</f>
        <v/>
      </c>
      <c r="BB15" s="228" t="str">
        <f>IF($AY15="ja",(VLOOKUP($B15,'Egen hetvattenprod'!$B$1:$BX$550,MATCH(BB$2,'Egen hetvattenprod'!$B$1:$BX$1,0),FALSE)+VLOOKUP($B15,Kraftvärmeprod!$B$1:$BX$550,MATCH(BB$2,Kraftvärmeprod!$B$1:$BX$1,0),FALSE))/$AC15,"")</f>
        <v/>
      </c>
      <c r="BC15" s="228" t="str">
        <f>IF($AY15="ja",(VLOOKUP($B15,'Egen hetvattenprod'!$B$1:$BX$550,MATCH(BC$2,'Egen hetvattenprod'!$B$1:$BX$1,0),FALSE)+VLOOKUP($B15,Kraftvärmeprod!$B$1:$BX$550,MATCH(BC$2,Kraftvärmeprod!$B$1:$BX$1,0),FALSE))/$AC15,"")</f>
        <v/>
      </c>
      <c r="BD15" s="228" t="str">
        <f>IF($AY15="ja",(VLOOKUP($B15,'Egen hetvattenprod'!$B$1:$BX$550,MATCH(BD$2,'Egen hetvattenprod'!$B$1:$BX$1,0),FALSE)+VLOOKUP($B15,Kraftvärmeprod!$B$1:$BX$550,MATCH(BD$2,Kraftvärmeprod!$B$1:$BX$1,0),FALSE))/$AC15,"")</f>
        <v/>
      </c>
      <c r="BE15" s="227"/>
      <c r="BF15" s="227" t="str">
        <f t="shared" si="5"/>
        <v>Nej</v>
      </c>
      <c r="BG15" s="227" t="str">
        <f>IF($BF15="ja",VLOOKUP($B15,'Egen hetvattenprod'!$B$1:$BX$550,MATCH("Andelen klimatgaser med fossilt ursprung för avfall ()",'Egen hetvattenprod'!$B$1:$BX$1,0),FALSE),"")</f>
        <v/>
      </c>
      <c r="BH15" s="227" t="str">
        <f>IF($BF15="ja",VLOOKUP($B15,Kraftvärmeprod!$B$1:$BX$550,MATCH("Andelen klimatgaser med fossilt ursprung för avfall ()",Kraftvärmeprod!$B$1:$BX$1,0),FALSE),"")</f>
        <v/>
      </c>
      <c r="BI15" s="227" t="str">
        <f>IF($BF15="ja",VLOOKUP($B15,'Egen hetvattenprod'!$B$1:$BX$550,MATCH("Avfall (GWh)",'Egen hetvattenprod'!$B$1:$BX$1,0),FALSE),"")</f>
        <v/>
      </c>
      <c r="BJ15" s="227" t="str">
        <f>IF($BF15="ja",VLOOKUP($B15,'Slutlig allokering kvv'!$B$1:$BX$550,MATCH("Avfall (GWh)",'Slutlig allokering kvv'!$B$1:$BX$1,0),FALSE),"")</f>
        <v/>
      </c>
      <c r="BK15" s="227" t="str">
        <f>IF($BF15="ja",VLOOKUP($B15,'Köpt hetvatten'!$B$1:$BX$550,MATCH("Avfall i köpt hetvatten",'Köpt hetvatten'!$B$1:$BX$1,0),FALSE),"")</f>
        <v/>
      </c>
      <c r="BL15" s="227" t="str">
        <f>IF($BF15="ja",VLOOKUP($B15,'Egen hetvattenprod'!$B$1:$BX$550,MATCH("Värde enligt ovan. (%)",'Egen hetvattenprod'!$B$1:$BX$1,0),FALSE),"")</f>
        <v/>
      </c>
      <c r="BM15" s="227" t="str">
        <f>IF($BF15="ja",VLOOKUP($B15,Kraftvärmeprod!$B$1:$BX$550,MATCH("Värde enligt ovan. (%)",Kraftvärmeprod!$B$1:$BX$1,0),FALSE),"")</f>
        <v/>
      </c>
      <c r="BN15" s="227"/>
      <c r="BO15" s="227"/>
      <c r="BP15" s="227"/>
      <c r="BQ15" s="227" t="str">
        <f>IF($BF15="ja",VLOOKUP($B15,'Egen hetvattenprod'!$B$1:$BX$550,MATCH("Tillförd olja (fossil) vid avfallsförbränning (GWh)",'Egen hetvattenprod'!$B$1:$BX$1,0),FALSE),"")</f>
        <v/>
      </c>
      <c r="BR15" s="227" t="str">
        <f>IF($BF15="ja",VLOOKUP($B15,Kraftvärmeprod!$B$1:$BX$550,MATCH("Tillförd olja (fossil) vid avfallsförbränning (GWh)",Kraftvärmeprod!$B$1:$BX$1,0),FALSE),"")</f>
        <v/>
      </c>
      <c r="BS15" s="227"/>
      <c r="BT15" s="227"/>
      <c r="BU15" s="227"/>
    </row>
    <row r="16" spans="1:73" x14ac:dyDescent="0.25">
      <c r="A16" s="121" t="str">
        <f>'Miljövärden för publ företag'!B19</f>
        <v>Adven Värme AB.</v>
      </c>
      <c r="B16" s="121" t="str">
        <f>'Miljövärden för publ företag'!C19</f>
        <v>Hede</v>
      </c>
      <c r="C16" s="173">
        <f>IFERROR(VLOOKUP($B16,Totalt!$B$1:$AQ$554,MATCH(C$2,Totalt!$B$1:$AQ$1,0),FALSE),"")</f>
        <v>0</v>
      </c>
      <c r="D16" s="173">
        <f>IFERROR(VLOOKUP($B16,Totalt!$B$1:$AQ$554,MATCH(D$2,Totalt!$B$1:$AQ$1,0),FALSE),"")</f>
        <v>0.2</v>
      </c>
      <c r="E16" s="173">
        <f>IFERROR(VLOOKUP($B16,Totalt!$B$1:$AQ$554,MATCH(E$2,Totalt!$B$1:$AQ$1,0),FALSE),"")</f>
        <v>0</v>
      </c>
      <c r="F16" s="173">
        <f>IFERROR(VLOOKUP($B16,Totalt!$B$1:$AQ$554,MATCH(F$2,Totalt!$B$1:$AQ$1,0),FALSE),"")</f>
        <v>0</v>
      </c>
      <c r="G16" s="173">
        <f>IFERROR(VLOOKUP($B16,Totalt!$B$1:$AQ$554,MATCH(G$2,Totalt!$B$1:$AQ$1,0),FALSE),"")</f>
        <v>0</v>
      </c>
      <c r="H16" s="173">
        <f>IFERROR(VLOOKUP($B16,Totalt!$B$1:$AQ$554,MATCH(H$2,Totalt!$B$1:$AQ$1,0),FALSE),"")</f>
        <v>0</v>
      </c>
      <c r="I16" s="173">
        <f>IFERROR(VLOOKUP($B16,Totalt!$B$1:$AQ$554,MATCH(I$2,Totalt!$B$1:$AQ$1,0),FALSE),"")</f>
        <v>0</v>
      </c>
      <c r="J16" s="173">
        <f>IFERROR(VLOOKUP($B16,Totalt!$B$1:$AQ$554,MATCH(J$2,Totalt!$B$1:$AQ$1,0),FALSE),"")</f>
        <v>0</v>
      </c>
      <c r="K16" s="173">
        <f>IFERROR(VLOOKUP($B16,Totalt!$B$1:$AQ$554,MATCH(K$2,Totalt!$B$1:$AQ$1,0),FALSE),"")</f>
        <v>0</v>
      </c>
      <c r="L16" s="173">
        <f>IFERROR(VLOOKUP($B16,Totalt!$B$1:$AQ$554,MATCH(L$2,Totalt!$B$1:$AQ$1,0),FALSE),"")</f>
        <v>0</v>
      </c>
      <c r="M16" s="173">
        <f>IFERROR(VLOOKUP($B16,Totalt!$B$1:$AQ$554,MATCH(M$2,Totalt!$B$1:$AQ$1,0),FALSE),"")</f>
        <v>5.9</v>
      </c>
      <c r="N16" s="173">
        <f>IFERROR(VLOOKUP($B16,Totalt!$B$1:$AQ$554,MATCH(N$2,Totalt!$B$1:$AQ$1,0),FALSE),"")</f>
        <v>0</v>
      </c>
      <c r="O16" s="173">
        <f>IFERROR(VLOOKUP($B16,Totalt!$B$1:$AQ$554,MATCH(O$2,Totalt!$B$1:$AQ$1,0),FALSE),"")</f>
        <v>0</v>
      </c>
      <c r="P16" s="173">
        <f>IFERROR(VLOOKUP($B16,Totalt!$B$1:$AQ$554,MATCH(P$2,Totalt!$B$1:$AQ$1,0),FALSE),"")</f>
        <v>5.9</v>
      </c>
      <c r="Q16" s="173">
        <f>IFERROR(VLOOKUP($B16,Totalt!$B$1:$AQ$554,MATCH(Q$2,Totalt!$B$1:$AQ$1,0),FALSE),"")</f>
        <v>0</v>
      </c>
      <c r="R16" s="173">
        <f>IFERROR(VLOOKUP($B16,Totalt!$B$1:$AQ$554,MATCH(R$2,Totalt!$B$1:$AQ$1,0),FALSE),"")</f>
        <v>0</v>
      </c>
      <c r="S16" s="173">
        <f>IFERROR(VLOOKUP($B16,Totalt!$B$1:$AQ$554,MATCH(S$2,Totalt!$B$1:$AQ$1,0),FALSE),"")</f>
        <v>0</v>
      </c>
      <c r="T16" s="173">
        <f>IFERROR(VLOOKUP($B16,Totalt!$B$1:$AQ$554,MATCH(T$2,Totalt!$B$1:$AQ$1,0),FALSE),"")</f>
        <v>0</v>
      </c>
      <c r="U16" s="173">
        <f>IFERROR(VLOOKUP($B16,Totalt!$B$1:$AQ$554,MATCH(U$2,Totalt!$B$1:$AQ$1,0),FALSE),"")</f>
        <v>0</v>
      </c>
      <c r="V16" s="173">
        <f>IFERROR(VLOOKUP($B16,Totalt!$B$1:$AQ$554,MATCH(V$2,Totalt!$B$1:$AQ$1,0),FALSE),"")</f>
        <v>0</v>
      </c>
      <c r="W16" s="173">
        <f>IFERROR(VLOOKUP($B16,Totalt!$B$1:$AQ$554,MATCH(W$2,Totalt!$B$1:$AQ$1,0),FALSE),"")</f>
        <v>0</v>
      </c>
      <c r="X16" s="173">
        <f>IFERROR(VLOOKUP($B16,Totalt!$B$1:$AQ$554,MATCH(X$2,Totalt!$B$1:$AQ$1,0),FALSE),"")</f>
        <v>0</v>
      </c>
      <c r="Y16" s="173">
        <f>IFERROR(VLOOKUP($B16,Totalt!$B$1:$AQ$554,MATCH(Y$2,Totalt!$B$1:$AQ$1,0),FALSE),"")</f>
        <v>0</v>
      </c>
      <c r="Z16" s="173">
        <f>IFERROR(VLOOKUP($B16,Totalt!$B$1:$AQ$554,MATCH(Z$2,Totalt!$B$1:$AQ$1,0),FALSE),"")</f>
        <v>0</v>
      </c>
      <c r="AA16" s="173">
        <f>IFERROR(VLOOKUP($B16,Totalt!$B$1:$AQ$554,MATCH(AA$2,Totalt!$B$1:$AQ$1,0),FALSE),"")</f>
        <v>0</v>
      </c>
      <c r="AB16" s="173">
        <f>IFERROR(VLOOKUP($B16,Totalt!$B$1:$AQ$554,MATCH(AB$2,Totalt!$B$1:$AQ$1,0),FALSE),"")</f>
        <v>0</v>
      </c>
      <c r="AC16" s="173">
        <f>IFERROR(VLOOKUP($B16,Totalt!$B$1:$AQ$554,MATCH(AC$2,Totalt!$B$1:$AQ$1,0),FALSE),"")</f>
        <v>0</v>
      </c>
      <c r="AD16" s="173">
        <f>IFERROR(VLOOKUP($B16,Totalt!$B$1:$AQ$554,MATCH(AD$2,Totalt!$B$1:$AQ$1,0),FALSE),"")</f>
        <v>0</v>
      </c>
      <c r="AE16" s="173">
        <f>IFERROR(VLOOKUP($B16,Totalt!$B$1:$AQ$554,MATCH(AE$2,Totalt!$B$1:$AQ$1,0),FALSE),"")</f>
        <v>0</v>
      </c>
      <c r="AF16" s="173">
        <f>IFERROR(VLOOKUP($B16,Totalt!$B$1:$AQ$554,MATCH(AF$2,Totalt!$B$1:$AQ$1,0),FALSE),"")</f>
        <v>0.1</v>
      </c>
      <c r="AG16" s="173">
        <f>IFERROR(VLOOKUP($B16,Totalt!$B$1:$AQ$554,MATCH(AG$2,Totalt!$B$1:$AQ$1,0),FALSE),"")</f>
        <v>0</v>
      </c>
      <c r="AI16" s="226">
        <f t="shared" si="0"/>
        <v>12.1</v>
      </c>
      <c r="AJ16" s="226">
        <f>IF(ISERROR(1/VLOOKUP($B16,Leveranser!$B$1:$S$500,MATCH("såld värme (gwh)",Leveranser!$B$1:$S$1,0),FALSE)),"",VLOOKUP($B16,Leveranser!$B$1:$S$500,MATCH("såld värme (gwh)",Leveranser!$B$1:$S$1,0),FALSE))</f>
        <v>7.8</v>
      </c>
      <c r="AM16" s="227" t="str">
        <f>IF(B16&lt;&gt;"",IF(VLOOKUP($B16,Totalt!$B$1:$AQ$554,MATCH("Kvalitetsgranskad:",Totalt!$B$1:$AQ$1,0),FALSE)="ja",VLOOKUP($B16,Miljö!$B$1:$AG$479,MATCH(AM$2,Miljö!$B$1:$AK$1,0),FALSE),""),"")</f>
        <v>Ja</v>
      </c>
      <c r="AN16" s="227" t="str">
        <f>IF(AM16="ja",VLOOKUP($B16,Miljö!$B$1:$J$479,MATCH("Typ av ursprungsspecificerad el   (Om inget värde anges används Nordisk residualmix, se inforuta) ()",Miljö!$B$1:$J$1,0),FALSE),IF(AM16="nej","Nordisk residualel",""))</f>
        <v>'Sverige Förnybar el Jämtkraft'</v>
      </c>
      <c r="AO16" s="227">
        <f>IF(AM16="","",VLOOKUP($B16,Miljö!$B$1:$J$479,MATCH("Fossilandel för ursprungspecificerad el ()",Miljö!$B$1:$J$1,0),FALSE))</f>
        <v>0</v>
      </c>
      <c r="AP16" s="227">
        <f>IF(AM16="","",IFERROR(VLOOKUP($B16,Miljö!$B$1:$J$479,MATCH("Kärnkraftsandel för ursprungsspecificerad el ()",Miljö!$B$1:$J$1,0),FALSE)/1,0))</f>
        <v>0</v>
      </c>
      <c r="AQ16" s="227">
        <f t="shared" si="1"/>
        <v>1</v>
      </c>
      <c r="AR16" s="227"/>
      <c r="AS16" s="227" t="str">
        <f t="shared" si="2"/>
        <v>Nej</v>
      </c>
      <c r="AT16" s="227" t="str">
        <f>IF(AS16="ja",VLOOKUP($B16,Miljö!$B$1:$O$500,MATCH("Fossil andel i procent (%)",Miljö!$B$1:$O$1,0),FALSE)/100,"")</f>
        <v/>
      </c>
      <c r="AU16" s="227"/>
      <c r="AV16" s="227" t="str">
        <f t="shared" si="3"/>
        <v>Nej</v>
      </c>
      <c r="AW16" s="227" t="str">
        <f>IF(AV16="ja",VLOOKUP($B16,'Egen hetvattenprod'!$B$1:$AO$500,MATCH("Värmekälla till värmepumpar ()",'Egen hetvattenprod'!$B$1:$AO$1,0),FALSE),"")</f>
        <v/>
      </c>
      <c r="AX16" s="227"/>
      <c r="AY16" s="227" t="str">
        <f t="shared" si="4"/>
        <v>Nej</v>
      </c>
      <c r="AZ16" s="228" t="str">
        <f>IF($AY16="ja",(VLOOKUP($B16,'Egen hetvattenprod'!$B$1:$BX$550,MATCH(AZ$2,'Egen hetvattenprod'!$B$1:$BX$1,0),FALSE)+VLOOKUP($B16,Kraftvärmeprod!$B$1:$BX$550,MATCH(AZ$2,Kraftvärmeprod!$B$1:$BX$1,0),FALSE))/$AC16,"")</f>
        <v/>
      </c>
      <c r="BA16" s="228" t="str">
        <f>IF($AY16="ja",(VLOOKUP($B16,'Egen hetvattenprod'!$B$1:$BX$550,MATCH(BA$2,'Egen hetvattenprod'!$B$1:$BX$1,0),FALSE)+VLOOKUP($B16,Kraftvärmeprod!$B$1:$BX$550,MATCH(BA$2,Kraftvärmeprod!$B$1:$BX$1,0),FALSE))/$AC16,"")</f>
        <v/>
      </c>
      <c r="BB16" s="228" t="str">
        <f>IF($AY16="ja",(VLOOKUP($B16,'Egen hetvattenprod'!$B$1:$BX$550,MATCH(BB$2,'Egen hetvattenprod'!$B$1:$BX$1,0),FALSE)+VLOOKUP($B16,Kraftvärmeprod!$B$1:$BX$550,MATCH(BB$2,Kraftvärmeprod!$B$1:$BX$1,0),FALSE))/$AC16,"")</f>
        <v/>
      </c>
      <c r="BC16" s="228" t="str">
        <f>IF($AY16="ja",(VLOOKUP($B16,'Egen hetvattenprod'!$B$1:$BX$550,MATCH(BC$2,'Egen hetvattenprod'!$B$1:$BX$1,0),FALSE)+VLOOKUP($B16,Kraftvärmeprod!$B$1:$BX$550,MATCH(BC$2,Kraftvärmeprod!$B$1:$BX$1,0),FALSE))/$AC16,"")</f>
        <v/>
      </c>
      <c r="BD16" s="228" t="str">
        <f>IF($AY16="ja",(VLOOKUP($B16,'Egen hetvattenprod'!$B$1:$BX$550,MATCH(BD$2,'Egen hetvattenprod'!$B$1:$BX$1,0),FALSE)+VLOOKUP($B16,Kraftvärmeprod!$B$1:$BX$550,MATCH(BD$2,Kraftvärmeprod!$B$1:$BX$1,0),FALSE))/$AC16,"")</f>
        <v/>
      </c>
      <c r="BE16" s="227"/>
      <c r="BF16" s="227" t="str">
        <f t="shared" si="5"/>
        <v>Nej</v>
      </c>
      <c r="BG16" s="227" t="str">
        <f>IF($BF16="ja",VLOOKUP($B16,'Egen hetvattenprod'!$B$1:$BX$550,MATCH("Andelen klimatgaser med fossilt ursprung för avfall ()",'Egen hetvattenprod'!$B$1:$BX$1,0),FALSE),"")</f>
        <v/>
      </c>
      <c r="BH16" s="227" t="str">
        <f>IF($BF16="ja",VLOOKUP($B16,Kraftvärmeprod!$B$1:$BX$550,MATCH("Andelen klimatgaser med fossilt ursprung för avfall ()",Kraftvärmeprod!$B$1:$BX$1,0),FALSE),"")</f>
        <v/>
      </c>
      <c r="BI16" s="227" t="str">
        <f>IF($BF16="ja",VLOOKUP($B16,'Egen hetvattenprod'!$B$1:$BX$550,MATCH("Avfall (GWh)",'Egen hetvattenprod'!$B$1:$BX$1,0),FALSE),"")</f>
        <v/>
      </c>
      <c r="BJ16" s="227" t="str">
        <f>IF($BF16="ja",VLOOKUP($B16,'Slutlig allokering kvv'!$B$1:$BX$550,MATCH("Avfall (GWh)",'Slutlig allokering kvv'!$B$1:$BX$1,0),FALSE),"")</f>
        <v/>
      </c>
      <c r="BK16" s="227" t="str">
        <f>IF($BF16="ja",VLOOKUP($B16,'Köpt hetvatten'!$B$1:$BX$550,MATCH("Avfall i köpt hetvatten",'Köpt hetvatten'!$B$1:$BX$1,0),FALSE),"")</f>
        <v/>
      </c>
      <c r="BL16" s="227" t="str">
        <f>IF($BF16="ja",VLOOKUP($B16,'Egen hetvattenprod'!$B$1:$BX$550,MATCH("Värde enligt ovan. (%)",'Egen hetvattenprod'!$B$1:$BX$1,0),FALSE),"")</f>
        <v/>
      </c>
      <c r="BM16" s="227" t="str">
        <f>IF($BF16="ja",VLOOKUP($B16,Kraftvärmeprod!$B$1:$BX$550,MATCH("Värde enligt ovan. (%)",Kraftvärmeprod!$B$1:$BX$1,0),FALSE),"")</f>
        <v/>
      </c>
      <c r="BN16" s="227"/>
      <c r="BO16" s="227"/>
      <c r="BP16" s="227"/>
      <c r="BQ16" s="227" t="str">
        <f>IF($BF16="ja",VLOOKUP($B16,'Egen hetvattenprod'!$B$1:$BX$550,MATCH("Tillförd olja (fossil) vid avfallsförbränning (GWh)",'Egen hetvattenprod'!$B$1:$BX$1,0),FALSE),"")</f>
        <v/>
      </c>
      <c r="BR16" s="227" t="str">
        <f>IF($BF16="ja",VLOOKUP($B16,Kraftvärmeprod!$B$1:$BX$550,MATCH("Tillförd olja (fossil) vid avfallsförbränning (GWh)",Kraftvärmeprod!$B$1:$BX$1,0),FALSE),"")</f>
        <v/>
      </c>
      <c r="BS16" s="227"/>
      <c r="BT16" s="227"/>
      <c r="BU16" s="227"/>
    </row>
    <row r="17" spans="1:73" x14ac:dyDescent="0.25">
      <c r="A17" s="121" t="str">
        <f>'Miljövärden för publ företag'!B20</f>
        <v>Adven Värme AB.</v>
      </c>
      <c r="B17" s="121" t="str">
        <f>'Miljövärden för publ företag'!C20</f>
        <v>Lenhovda</v>
      </c>
      <c r="C17" s="173">
        <f>IFERROR(VLOOKUP($B17,Totalt!$B$1:$AQ$554,MATCH(C$2,Totalt!$B$1:$AQ$1,0),FALSE),"")</f>
        <v>0</v>
      </c>
      <c r="D17" s="173">
        <f>IFERROR(VLOOKUP($B17,Totalt!$B$1:$AQ$554,MATCH(D$2,Totalt!$B$1:$AQ$1,0),FALSE),"")</f>
        <v>0.22</v>
      </c>
      <c r="E17" s="173">
        <f>IFERROR(VLOOKUP($B17,Totalt!$B$1:$AQ$554,MATCH(E$2,Totalt!$B$1:$AQ$1,0),FALSE),"")</f>
        <v>0</v>
      </c>
      <c r="F17" s="173">
        <f>IFERROR(VLOOKUP($B17,Totalt!$B$1:$AQ$554,MATCH(F$2,Totalt!$B$1:$AQ$1,0),FALSE),"")</f>
        <v>0</v>
      </c>
      <c r="G17" s="173">
        <f>IFERROR(VLOOKUP($B17,Totalt!$B$1:$AQ$554,MATCH(G$2,Totalt!$B$1:$AQ$1,0),FALSE),"")</f>
        <v>0</v>
      </c>
      <c r="H17" s="173">
        <f>IFERROR(VLOOKUP($B17,Totalt!$B$1:$AQ$554,MATCH(H$2,Totalt!$B$1:$AQ$1,0),FALSE),"")</f>
        <v>0</v>
      </c>
      <c r="I17" s="173">
        <f>IFERROR(VLOOKUP($B17,Totalt!$B$1:$AQ$554,MATCH(I$2,Totalt!$B$1:$AQ$1,0),FALSE),"")</f>
        <v>0</v>
      </c>
      <c r="J17" s="173">
        <f>IFERROR(VLOOKUP($B17,Totalt!$B$1:$AQ$554,MATCH(J$2,Totalt!$B$1:$AQ$1,0),FALSE),"")</f>
        <v>0</v>
      </c>
      <c r="K17" s="173">
        <f>IFERROR(VLOOKUP($B17,Totalt!$B$1:$AQ$554,MATCH(K$2,Totalt!$B$1:$AQ$1,0),FALSE),"")</f>
        <v>0</v>
      </c>
      <c r="L17" s="173">
        <f>IFERROR(VLOOKUP($B17,Totalt!$B$1:$AQ$554,MATCH(L$2,Totalt!$B$1:$AQ$1,0),FALSE),"")</f>
        <v>0</v>
      </c>
      <c r="M17" s="173">
        <f>IFERROR(VLOOKUP($B17,Totalt!$B$1:$AQ$554,MATCH(M$2,Totalt!$B$1:$AQ$1,0),FALSE),"")</f>
        <v>17.3</v>
      </c>
      <c r="N17" s="173">
        <f>IFERROR(VLOOKUP($B17,Totalt!$B$1:$AQ$554,MATCH(N$2,Totalt!$B$1:$AQ$1,0),FALSE),"")</f>
        <v>0</v>
      </c>
      <c r="O17" s="173">
        <f>IFERROR(VLOOKUP($B17,Totalt!$B$1:$AQ$554,MATCH(O$2,Totalt!$B$1:$AQ$1,0),FALSE),"")</f>
        <v>0</v>
      </c>
      <c r="P17" s="173">
        <f>IFERROR(VLOOKUP($B17,Totalt!$B$1:$AQ$554,MATCH(P$2,Totalt!$B$1:$AQ$1,0),FALSE),"")</f>
        <v>4.5</v>
      </c>
      <c r="Q17" s="173">
        <f>IFERROR(VLOOKUP($B17,Totalt!$B$1:$AQ$554,MATCH(Q$2,Totalt!$B$1:$AQ$1,0),FALSE),"")</f>
        <v>0</v>
      </c>
      <c r="R17" s="173">
        <f>IFERROR(VLOOKUP($B17,Totalt!$B$1:$AQ$554,MATCH(R$2,Totalt!$B$1:$AQ$1,0),FALSE),"")</f>
        <v>0</v>
      </c>
      <c r="S17" s="173">
        <f>IFERROR(VLOOKUP($B17,Totalt!$B$1:$AQ$554,MATCH(S$2,Totalt!$B$1:$AQ$1,0),FALSE),"")</f>
        <v>0</v>
      </c>
      <c r="T17" s="173">
        <f>IFERROR(VLOOKUP($B17,Totalt!$B$1:$AQ$554,MATCH(T$2,Totalt!$B$1:$AQ$1,0),FALSE),"")</f>
        <v>0</v>
      </c>
      <c r="U17" s="173">
        <f>IFERROR(VLOOKUP($B17,Totalt!$B$1:$AQ$554,MATCH(U$2,Totalt!$B$1:$AQ$1,0),FALSE),"")</f>
        <v>0</v>
      </c>
      <c r="V17" s="173">
        <f>IFERROR(VLOOKUP($B17,Totalt!$B$1:$AQ$554,MATCH(V$2,Totalt!$B$1:$AQ$1,0),FALSE),"")</f>
        <v>0</v>
      </c>
      <c r="W17" s="173">
        <f>IFERROR(VLOOKUP($B17,Totalt!$B$1:$AQ$554,MATCH(W$2,Totalt!$B$1:$AQ$1,0),FALSE),"")</f>
        <v>0</v>
      </c>
      <c r="X17" s="173">
        <f>IFERROR(VLOOKUP($B17,Totalt!$B$1:$AQ$554,MATCH(X$2,Totalt!$B$1:$AQ$1,0),FALSE),"")</f>
        <v>0</v>
      </c>
      <c r="Y17" s="173">
        <f>IFERROR(VLOOKUP($B17,Totalt!$B$1:$AQ$554,MATCH(Y$2,Totalt!$B$1:$AQ$1,0),FALSE),"")</f>
        <v>0</v>
      </c>
      <c r="Z17" s="173">
        <f>IFERROR(VLOOKUP($B17,Totalt!$B$1:$AQ$554,MATCH(Z$2,Totalt!$B$1:$AQ$1,0),FALSE),"")</f>
        <v>0</v>
      </c>
      <c r="AA17" s="173">
        <f>IFERROR(VLOOKUP($B17,Totalt!$B$1:$AQ$554,MATCH(AA$2,Totalt!$B$1:$AQ$1,0),FALSE),"")</f>
        <v>0</v>
      </c>
      <c r="AB17" s="173">
        <f>IFERROR(VLOOKUP($B17,Totalt!$B$1:$AQ$554,MATCH(AB$2,Totalt!$B$1:$AQ$1,0),FALSE),"")</f>
        <v>0</v>
      </c>
      <c r="AC17" s="173">
        <f>IFERROR(VLOOKUP($B17,Totalt!$B$1:$AQ$554,MATCH(AC$2,Totalt!$B$1:$AQ$1,0),FALSE),"")</f>
        <v>0</v>
      </c>
      <c r="AD17" s="173">
        <f>IFERROR(VLOOKUP($B17,Totalt!$B$1:$AQ$554,MATCH(AD$2,Totalt!$B$1:$AQ$1,0),FALSE),"")</f>
        <v>0</v>
      </c>
      <c r="AE17" s="173">
        <f>IFERROR(VLOOKUP($B17,Totalt!$B$1:$AQ$554,MATCH(AE$2,Totalt!$B$1:$AQ$1,0),FALSE),"")</f>
        <v>0</v>
      </c>
      <c r="AF17" s="173">
        <f>IFERROR(VLOOKUP($B17,Totalt!$B$1:$AQ$554,MATCH(AF$2,Totalt!$B$1:$AQ$1,0),FALSE),"")</f>
        <v>0.4</v>
      </c>
      <c r="AG17" s="173">
        <f>IFERROR(VLOOKUP($B17,Totalt!$B$1:$AQ$554,MATCH(AG$2,Totalt!$B$1:$AQ$1,0),FALSE),"")</f>
        <v>0</v>
      </c>
      <c r="AI17" s="226">
        <f t="shared" si="0"/>
        <v>22.419999999999998</v>
      </c>
      <c r="AJ17" s="226">
        <f>IF(ISERROR(1/VLOOKUP($B17,Leveranser!$B$1:$S$500,MATCH("såld värme (gwh)",Leveranser!$B$1:$S$1,0),FALSE)),"",VLOOKUP($B17,Leveranser!$B$1:$S$500,MATCH("såld värme (gwh)",Leveranser!$B$1:$S$1,0),FALSE))</f>
        <v>15.7</v>
      </c>
      <c r="AM17" s="227" t="str">
        <f>IF(B17&lt;&gt;"",IF(VLOOKUP($B17,Totalt!$B$1:$AQ$554,MATCH("Kvalitetsgranskad:",Totalt!$B$1:$AQ$1,0),FALSE)="ja",VLOOKUP($B17,Miljö!$B$1:$AG$479,MATCH(AM$2,Miljö!$B$1:$AK$1,0),FALSE),""),"")</f>
        <v>Ja</v>
      </c>
      <c r="AN17" s="227" t="str">
        <f>IF(AM17="ja",VLOOKUP($B17,Miljö!$B$1:$J$479,MATCH("Typ av ursprungsspecificerad el   (Om inget värde anges används Nordisk residualmix, se inforuta) ()",Miljö!$B$1:$J$1,0),FALSE),IF(AM17="nej","Nordisk residualel",""))</f>
        <v>'Sverige Förnybar el Jämtkraft'</v>
      </c>
      <c r="AO17" s="227">
        <f>IF(AM17="","",VLOOKUP($B17,Miljö!$B$1:$J$479,MATCH("Fossilandel för ursprungspecificerad el ()",Miljö!$B$1:$J$1,0),FALSE))</f>
        <v>0</v>
      </c>
      <c r="AP17" s="227">
        <f>IF(AM17="","",IFERROR(VLOOKUP($B17,Miljö!$B$1:$J$479,MATCH("Kärnkraftsandel för ursprungsspecificerad el ()",Miljö!$B$1:$J$1,0),FALSE)/1,0))</f>
        <v>0</v>
      </c>
      <c r="AQ17" s="227">
        <f t="shared" si="1"/>
        <v>1</v>
      </c>
      <c r="AR17" s="227"/>
      <c r="AS17" s="227" t="str">
        <f t="shared" si="2"/>
        <v>Nej</v>
      </c>
      <c r="AT17" s="227" t="str">
        <f>IF(AS17="ja",VLOOKUP($B17,Miljö!$B$1:$O$500,MATCH("Fossil andel i procent (%)",Miljö!$B$1:$O$1,0),FALSE)/100,"")</f>
        <v/>
      </c>
      <c r="AU17" s="227"/>
      <c r="AV17" s="227" t="str">
        <f t="shared" si="3"/>
        <v>Nej</v>
      </c>
      <c r="AW17" s="227" t="str">
        <f>IF(AV17="ja",VLOOKUP($B17,'Egen hetvattenprod'!$B$1:$AO$500,MATCH("Värmekälla till värmepumpar ()",'Egen hetvattenprod'!$B$1:$AO$1,0),FALSE),"")</f>
        <v/>
      </c>
      <c r="AX17" s="227"/>
      <c r="AY17" s="227" t="str">
        <f t="shared" si="4"/>
        <v>Nej</v>
      </c>
      <c r="AZ17" s="228" t="str">
        <f>IF($AY17="ja",(VLOOKUP($B17,'Egen hetvattenprod'!$B$1:$BX$550,MATCH(AZ$2,'Egen hetvattenprod'!$B$1:$BX$1,0),FALSE)+VLOOKUP($B17,Kraftvärmeprod!$B$1:$BX$550,MATCH(AZ$2,Kraftvärmeprod!$B$1:$BX$1,0),FALSE))/$AC17,"")</f>
        <v/>
      </c>
      <c r="BA17" s="228" t="str">
        <f>IF($AY17="ja",(VLOOKUP($B17,'Egen hetvattenprod'!$B$1:$BX$550,MATCH(BA$2,'Egen hetvattenprod'!$B$1:$BX$1,0),FALSE)+VLOOKUP($B17,Kraftvärmeprod!$B$1:$BX$550,MATCH(BA$2,Kraftvärmeprod!$B$1:$BX$1,0),FALSE))/$AC17,"")</f>
        <v/>
      </c>
      <c r="BB17" s="228" t="str">
        <f>IF($AY17="ja",(VLOOKUP($B17,'Egen hetvattenprod'!$B$1:$BX$550,MATCH(BB$2,'Egen hetvattenprod'!$B$1:$BX$1,0),FALSE)+VLOOKUP($B17,Kraftvärmeprod!$B$1:$BX$550,MATCH(BB$2,Kraftvärmeprod!$B$1:$BX$1,0),FALSE))/$AC17,"")</f>
        <v/>
      </c>
      <c r="BC17" s="228" t="str">
        <f>IF($AY17="ja",(VLOOKUP($B17,'Egen hetvattenprod'!$B$1:$BX$550,MATCH(BC$2,'Egen hetvattenprod'!$B$1:$BX$1,0),FALSE)+VLOOKUP($B17,Kraftvärmeprod!$B$1:$BX$550,MATCH(BC$2,Kraftvärmeprod!$B$1:$BX$1,0),FALSE))/$AC17,"")</f>
        <v/>
      </c>
      <c r="BD17" s="228" t="str">
        <f>IF($AY17="ja",(VLOOKUP($B17,'Egen hetvattenprod'!$B$1:$BX$550,MATCH(BD$2,'Egen hetvattenprod'!$B$1:$BX$1,0),FALSE)+VLOOKUP($B17,Kraftvärmeprod!$B$1:$BX$550,MATCH(BD$2,Kraftvärmeprod!$B$1:$BX$1,0),FALSE))/$AC17,"")</f>
        <v/>
      </c>
      <c r="BE17" s="227"/>
      <c r="BF17" s="227" t="str">
        <f t="shared" si="5"/>
        <v>Nej</v>
      </c>
      <c r="BG17" s="227" t="str">
        <f>IF($BF17="ja",VLOOKUP($B17,'Egen hetvattenprod'!$B$1:$BX$550,MATCH("Andelen klimatgaser med fossilt ursprung för avfall ()",'Egen hetvattenprod'!$B$1:$BX$1,0),FALSE),"")</f>
        <v/>
      </c>
      <c r="BH17" s="227" t="str">
        <f>IF($BF17="ja",VLOOKUP($B17,Kraftvärmeprod!$B$1:$BX$550,MATCH("Andelen klimatgaser med fossilt ursprung för avfall ()",Kraftvärmeprod!$B$1:$BX$1,0),FALSE),"")</f>
        <v/>
      </c>
      <c r="BI17" s="227" t="str">
        <f>IF($BF17="ja",VLOOKUP($B17,'Egen hetvattenprod'!$B$1:$BX$550,MATCH("Avfall (GWh)",'Egen hetvattenprod'!$B$1:$BX$1,0),FALSE),"")</f>
        <v/>
      </c>
      <c r="BJ17" s="227" t="str">
        <f>IF($BF17="ja",VLOOKUP($B17,'Slutlig allokering kvv'!$B$1:$BX$550,MATCH("Avfall (GWh)",'Slutlig allokering kvv'!$B$1:$BX$1,0),FALSE),"")</f>
        <v/>
      </c>
      <c r="BK17" s="227" t="str">
        <f>IF($BF17="ja",VLOOKUP($B17,'Köpt hetvatten'!$B$1:$BX$550,MATCH("Avfall i köpt hetvatten",'Köpt hetvatten'!$B$1:$BX$1,0),FALSE),"")</f>
        <v/>
      </c>
      <c r="BL17" s="227" t="str">
        <f>IF($BF17="ja",VLOOKUP($B17,'Egen hetvattenprod'!$B$1:$BX$550,MATCH("Värde enligt ovan. (%)",'Egen hetvattenprod'!$B$1:$BX$1,0),FALSE),"")</f>
        <v/>
      </c>
      <c r="BM17" s="227" t="str">
        <f>IF($BF17="ja",VLOOKUP($B17,Kraftvärmeprod!$B$1:$BX$550,MATCH("Värde enligt ovan. (%)",Kraftvärmeprod!$B$1:$BX$1,0),FALSE),"")</f>
        <v/>
      </c>
      <c r="BN17" s="227"/>
      <c r="BO17" s="227"/>
      <c r="BP17" s="227"/>
      <c r="BQ17" s="227" t="str">
        <f>IF($BF17="ja",VLOOKUP($B17,'Egen hetvattenprod'!$B$1:$BX$550,MATCH("Tillförd olja (fossil) vid avfallsförbränning (GWh)",'Egen hetvattenprod'!$B$1:$BX$1,0),FALSE),"")</f>
        <v/>
      </c>
      <c r="BR17" s="227" t="str">
        <f>IF($BF17="ja",VLOOKUP($B17,Kraftvärmeprod!$B$1:$BX$550,MATCH("Tillförd olja (fossil) vid avfallsförbränning (GWh)",Kraftvärmeprod!$B$1:$BX$1,0),FALSE),"")</f>
        <v/>
      </c>
      <c r="BS17" s="227"/>
      <c r="BT17" s="227"/>
      <c r="BU17" s="227"/>
    </row>
    <row r="18" spans="1:73" x14ac:dyDescent="0.25">
      <c r="A18" s="121" t="str">
        <f>'Miljövärden för publ företag'!B21</f>
        <v>Adven Värme AB.</v>
      </c>
      <c r="B18" s="121" t="str">
        <f>'Miljövärden för publ företag'!C21</f>
        <v>Långsele</v>
      </c>
      <c r="C18" s="173">
        <f>IFERROR(VLOOKUP($B18,Totalt!$B$1:$AQ$554,MATCH(C$2,Totalt!$B$1:$AQ$1,0),FALSE),"")</f>
        <v>0</v>
      </c>
      <c r="D18" s="173">
        <f>IFERROR(VLOOKUP($B18,Totalt!$B$1:$AQ$554,MATCH(D$2,Totalt!$B$1:$AQ$1,0),FALSE),"")</f>
        <v>0.8</v>
      </c>
      <c r="E18" s="173">
        <f>IFERROR(VLOOKUP($B18,Totalt!$B$1:$AQ$554,MATCH(E$2,Totalt!$B$1:$AQ$1,0),FALSE),"")</f>
        <v>0</v>
      </c>
      <c r="F18" s="173">
        <f>IFERROR(VLOOKUP($B18,Totalt!$B$1:$AQ$554,MATCH(F$2,Totalt!$B$1:$AQ$1,0),FALSE),"")</f>
        <v>0</v>
      </c>
      <c r="G18" s="173">
        <f>IFERROR(VLOOKUP($B18,Totalt!$B$1:$AQ$554,MATCH(G$2,Totalt!$B$1:$AQ$1,0),FALSE),"")</f>
        <v>0</v>
      </c>
      <c r="H18" s="173">
        <f>IFERROR(VLOOKUP($B18,Totalt!$B$1:$AQ$554,MATCH(H$2,Totalt!$B$1:$AQ$1,0),FALSE),"")</f>
        <v>0</v>
      </c>
      <c r="I18" s="173">
        <f>IFERROR(VLOOKUP($B18,Totalt!$B$1:$AQ$554,MATCH(I$2,Totalt!$B$1:$AQ$1,0),FALSE),"")</f>
        <v>0</v>
      </c>
      <c r="J18" s="173">
        <f>IFERROR(VLOOKUP($B18,Totalt!$B$1:$AQ$554,MATCH(J$2,Totalt!$B$1:$AQ$1,0),FALSE),"")</f>
        <v>0</v>
      </c>
      <c r="K18" s="173">
        <f>IFERROR(VLOOKUP($B18,Totalt!$B$1:$AQ$554,MATCH(K$2,Totalt!$B$1:$AQ$1,0),FALSE),"")</f>
        <v>0</v>
      </c>
      <c r="L18" s="173">
        <f>IFERROR(VLOOKUP($B18,Totalt!$B$1:$AQ$554,MATCH(L$2,Totalt!$B$1:$AQ$1,0),FALSE),"")</f>
        <v>0</v>
      </c>
      <c r="M18" s="173">
        <f>IFERROR(VLOOKUP($B18,Totalt!$B$1:$AQ$554,MATCH(M$2,Totalt!$B$1:$AQ$1,0),FALSE),"")</f>
        <v>0</v>
      </c>
      <c r="N18" s="173">
        <f>IFERROR(VLOOKUP($B18,Totalt!$B$1:$AQ$554,MATCH(N$2,Totalt!$B$1:$AQ$1,0),FALSE),"")</f>
        <v>0</v>
      </c>
      <c r="O18" s="173">
        <f>IFERROR(VLOOKUP($B18,Totalt!$B$1:$AQ$554,MATCH(O$2,Totalt!$B$1:$AQ$1,0),FALSE),"")</f>
        <v>0</v>
      </c>
      <c r="P18" s="173">
        <f>IFERROR(VLOOKUP($B18,Totalt!$B$1:$AQ$554,MATCH(P$2,Totalt!$B$1:$AQ$1,0),FALSE),"")</f>
        <v>0</v>
      </c>
      <c r="Q18" s="173">
        <f>IFERROR(VLOOKUP($B18,Totalt!$B$1:$AQ$554,MATCH(Q$2,Totalt!$B$1:$AQ$1,0),FALSE),"")</f>
        <v>0</v>
      </c>
      <c r="R18" s="173">
        <f>IFERROR(VLOOKUP($B18,Totalt!$B$1:$AQ$554,MATCH(R$2,Totalt!$B$1:$AQ$1,0),FALSE),"")</f>
        <v>4.2</v>
      </c>
      <c r="S18" s="173">
        <f>IFERROR(VLOOKUP($B18,Totalt!$B$1:$AQ$554,MATCH(S$2,Totalt!$B$1:$AQ$1,0),FALSE),"")</f>
        <v>0</v>
      </c>
      <c r="T18" s="173">
        <f>IFERROR(VLOOKUP($B18,Totalt!$B$1:$AQ$554,MATCH(T$2,Totalt!$B$1:$AQ$1,0),FALSE),"")</f>
        <v>0</v>
      </c>
      <c r="U18" s="173">
        <f>IFERROR(VLOOKUP($B18,Totalt!$B$1:$AQ$554,MATCH(U$2,Totalt!$B$1:$AQ$1,0),FALSE),"")</f>
        <v>0</v>
      </c>
      <c r="V18" s="173">
        <f>IFERROR(VLOOKUP($B18,Totalt!$B$1:$AQ$554,MATCH(V$2,Totalt!$B$1:$AQ$1,0),FALSE),"")</f>
        <v>0</v>
      </c>
      <c r="W18" s="173">
        <f>IFERROR(VLOOKUP($B18,Totalt!$B$1:$AQ$554,MATCH(W$2,Totalt!$B$1:$AQ$1,0),FALSE),"")</f>
        <v>0</v>
      </c>
      <c r="X18" s="173">
        <f>IFERROR(VLOOKUP($B18,Totalt!$B$1:$AQ$554,MATCH(X$2,Totalt!$B$1:$AQ$1,0),FALSE),"")</f>
        <v>0</v>
      </c>
      <c r="Y18" s="173">
        <f>IFERROR(VLOOKUP($B18,Totalt!$B$1:$AQ$554,MATCH(Y$2,Totalt!$B$1:$AQ$1,0),FALSE),"")</f>
        <v>0</v>
      </c>
      <c r="Z18" s="173">
        <f>IFERROR(VLOOKUP($B18,Totalt!$B$1:$AQ$554,MATCH(Z$2,Totalt!$B$1:$AQ$1,0),FALSE),"")</f>
        <v>0</v>
      </c>
      <c r="AA18" s="173">
        <f>IFERROR(VLOOKUP($B18,Totalt!$B$1:$AQ$554,MATCH(AA$2,Totalt!$B$1:$AQ$1,0),FALSE),"")</f>
        <v>0</v>
      </c>
      <c r="AB18" s="173">
        <f>IFERROR(VLOOKUP($B18,Totalt!$B$1:$AQ$554,MATCH(AB$2,Totalt!$B$1:$AQ$1,0),FALSE),"")</f>
        <v>0</v>
      </c>
      <c r="AC18" s="173">
        <f>IFERROR(VLOOKUP($B18,Totalt!$B$1:$AQ$554,MATCH(AC$2,Totalt!$B$1:$AQ$1,0),FALSE),"")</f>
        <v>0</v>
      </c>
      <c r="AD18" s="173">
        <f>IFERROR(VLOOKUP($B18,Totalt!$B$1:$AQ$554,MATCH(AD$2,Totalt!$B$1:$AQ$1,0),FALSE),"")</f>
        <v>0</v>
      </c>
      <c r="AE18" s="173">
        <f>IFERROR(VLOOKUP($B18,Totalt!$B$1:$AQ$554,MATCH(AE$2,Totalt!$B$1:$AQ$1,0),FALSE),"")</f>
        <v>0</v>
      </c>
      <c r="AF18" s="173">
        <f>IFERROR(VLOOKUP($B18,Totalt!$B$1:$AQ$554,MATCH(AF$2,Totalt!$B$1:$AQ$1,0),FALSE),"")</f>
        <v>0.1</v>
      </c>
      <c r="AG18" s="173">
        <f>IFERROR(VLOOKUP($B18,Totalt!$B$1:$AQ$554,MATCH(AG$2,Totalt!$B$1:$AQ$1,0),FALSE),"")</f>
        <v>0</v>
      </c>
      <c r="AI18" s="226">
        <f t="shared" si="0"/>
        <v>5.0999999999999996</v>
      </c>
      <c r="AJ18" s="226">
        <f>IF(ISERROR(1/VLOOKUP($B18,Leveranser!$B$1:$S$500,MATCH("såld värme (gwh)",Leveranser!$B$1:$S$1,0),FALSE)),"",VLOOKUP($B18,Leveranser!$B$1:$S$500,MATCH("såld värme (gwh)",Leveranser!$B$1:$S$1,0),FALSE))</f>
        <v>4</v>
      </c>
      <c r="AM18" s="227" t="str">
        <f>IF(B18&lt;&gt;"",IF(VLOOKUP($B18,Totalt!$B$1:$AQ$554,MATCH("Kvalitetsgranskad:",Totalt!$B$1:$AQ$1,0),FALSE)="ja",VLOOKUP($B18,Miljö!$B$1:$AG$479,MATCH(AM$2,Miljö!$B$1:$AK$1,0),FALSE),""),"")</f>
        <v>Ja</v>
      </c>
      <c r="AN18" s="227" t="str">
        <f>IF(AM18="ja",VLOOKUP($B18,Miljö!$B$1:$J$479,MATCH("Typ av ursprungsspecificerad el   (Om inget värde anges används Nordisk residualmix, se inforuta) ()",Miljö!$B$1:$J$1,0),FALSE),IF(AM18="nej","Nordisk residualel",""))</f>
        <v>'Sverige Förnybar el Jämtkraft'</v>
      </c>
      <c r="AO18" s="227">
        <f>IF(AM18="","",VLOOKUP($B18,Miljö!$B$1:$J$479,MATCH("Fossilandel för ursprungspecificerad el ()",Miljö!$B$1:$J$1,0),FALSE))</f>
        <v>0</v>
      </c>
      <c r="AP18" s="227">
        <f>IF(AM18="","",IFERROR(VLOOKUP($B18,Miljö!$B$1:$J$479,MATCH("Kärnkraftsandel för ursprungsspecificerad el ()",Miljö!$B$1:$J$1,0),FALSE)/1,0))</f>
        <v>0</v>
      </c>
      <c r="AQ18" s="227">
        <f t="shared" si="1"/>
        <v>1</v>
      </c>
      <c r="AR18" s="227"/>
      <c r="AS18" s="227" t="str">
        <f t="shared" si="2"/>
        <v>Nej</v>
      </c>
      <c r="AT18" s="227" t="str">
        <f>IF(AS18="ja",VLOOKUP($B18,Miljö!$B$1:$O$500,MATCH("Fossil andel i procent (%)",Miljö!$B$1:$O$1,0),FALSE)/100,"")</f>
        <v/>
      </c>
      <c r="AU18" s="227"/>
      <c r="AV18" s="227" t="str">
        <f t="shared" si="3"/>
        <v>Nej</v>
      </c>
      <c r="AW18" s="227" t="str">
        <f>IF(AV18="ja",VLOOKUP($B18,'Egen hetvattenprod'!$B$1:$AO$500,MATCH("Värmekälla till värmepumpar ()",'Egen hetvattenprod'!$B$1:$AO$1,0),FALSE),"")</f>
        <v/>
      </c>
      <c r="AX18" s="227"/>
      <c r="AY18" s="227" t="str">
        <f t="shared" si="4"/>
        <v>Nej</v>
      </c>
      <c r="AZ18" s="228" t="str">
        <f>IF($AY18="ja",(VLOOKUP($B18,'Egen hetvattenprod'!$B$1:$BX$550,MATCH(AZ$2,'Egen hetvattenprod'!$B$1:$BX$1,0),FALSE)+VLOOKUP($B18,Kraftvärmeprod!$B$1:$BX$550,MATCH(AZ$2,Kraftvärmeprod!$B$1:$BX$1,0),FALSE))/$AC18,"")</f>
        <v/>
      </c>
      <c r="BA18" s="228" t="str">
        <f>IF($AY18="ja",(VLOOKUP($B18,'Egen hetvattenprod'!$B$1:$BX$550,MATCH(BA$2,'Egen hetvattenprod'!$B$1:$BX$1,0),FALSE)+VLOOKUP($B18,Kraftvärmeprod!$B$1:$BX$550,MATCH(BA$2,Kraftvärmeprod!$B$1:$BX$1,0),FALSE))/$AC18,"")</f>
        <v/>
      </c>
      <c r="BB18" s="228" t="str">
        <f>IF($AY18="ja",(VLOOKUP($B18,'Egen hetvattenprod'!$B$1:$BX$550,MATCH(BB$2,'Egen hetvattenprod'!$B$1:$BX$1,0),FALSE)+VLOOKUP($B18,Kraftvärmeprod!$B$1:$BX$550,MATCH(BB$2,Kraftvärmeprod!$B$1:$BX$1,0),FALSE))/$AC18,"")</f>
        <v/>
      </c>
      <c r="BC18" s="228" t="str">
        <f>IF($AY18="ja",(VLOOKUP($B18,'Egen hetvattenprod'!$B$1:$BX$550,MATCH(BC$2,'Egen hetvattenprod'!$B$1:$BX$1,0),FALSE)+VLOOKUP($B18,Kraftvärmeprod!$B$1:$BX$550,MATCH(BC$2,Kraftvärmeprod!$B$1:$BX$1,0),FALSE))/$AC18,"")</f>
        <v/>
      </c>
      <c r="BD18" s="228" t="str">
        <f>IF($AY18="ja",(VLOOKUP($B18,'Egen hetvattenprod'!$B$1:$BX$550,MATCH(BD$2,'Egen hetvattenprod'!$B$1:$BX$1,0),FALSE)+VLOOKUP($B18,Kraftvärmeprod!$B$1:$BX$550,MATCH(BD$2,Kraftvärmeprod!$B$1:$BX$1,0),FALSE))/$AC18,"")</f>
        <v/>
      </c>
      <c r="BE18" s="227"/>
      <c r="BF18" s="227" t="str">
        <f t="shared" si="5"/>
        <v>Nej</v>
      </c>
      <c r="BG18" s="227" t="str">
        <f>IF($BF18="ja",VLOOKUP($B18,'Egen hetvattenprod'!$B$1:$BX$550,MATCH("Andelen klimatgaser med fossilt ursprung för avfall ()",'Egen hetvattenprod'!$B$1:$BX$1,0),FALSE),"")</f>
        <v/>
      </c>
      <c r="BH18" s="227" t="str">
        <f>IF($BF18="ja",VLOOKUP($B18,Kraftvärmeprod!$B$1:$BX$550,MATCH("Andelen klimatgaser med fossilt ursprung för avfall ()",Kraftvärmeprod!$B$1:$BX$1,0),FALSE),"")</f>
        <v/>
      </c>
      <c r="BI18" s="227" t="str">
        <f>IF($BF18="ja",VLOOKUP($B18,'Egen hetvattenprod'!$B$1:$BX$550,MATCH("Avfall (GWh)",'Egen hetvattenprod'!$B$1:$BX$1,0),FALSE),"")</f>
        <v/>
      </c>
      <c r="BJ18" s="227" t="str">
        <f>IF($BF18="ja",VLOOKUP($B18,'Slutlig allokering kvv'!$B$1:$BX$550,MATCH("Avfall (GWh)",'Slutlig allokering kvv'!$B$1:$BX$1,0),FALSE),"")</f>
        <v/>
      </c>
      <c r="BK18" s="227" t="str">
        <f>IF($BF18="ja",VLOOKUP($B18,'Köpt hetvatten'!$B$1:$BX$550,MATCH("Avfall i köpt hetvatten",'Köpt hetvatten'!$B$1:$BX$1,0),FALSE),"")</f>
        <v/>
      </c>
      <c r="BL18" s="227" t="str">
        <f>IF($BF18="ja",VLOOKUP($B18,'Egen hetvattenprod'!$B$1:$BX$550,MATCH("Värde enligt ovan. (%)",'Egen hetvattenprod'!$B$1:$BX$1,0),FALSE),"")</f>
        <v/>
      </c>
      <c r="BM18" s="227" t="str">
        <f>IF($BF18="ja",VLOOKUP($B18,Kraftvärmeprod!$B$1:$BX$550,MATCH("Värde enligt ovan. (%)",Kraftvärmeprod!$B$1:$BX$1,0),FALSE),"")</f>
        <v/>
      </c>
      <c r="BN18" s="227"/>
      <c r="BO18" s="227"/>
      <c r="BP18" s="227"/>
      <c r="BQ18" s="227" t="str">
        <f>IF($BF18="ja",VLOOKUP($B18,'Egen hetvattenprod'!$B$1:$BX$550,MATCH("Tillförd olja (fossil) vid avfallsförbränning (GWh)",'Egen hetvattenprod'!$B$1:$BX$1,0),FALSE),"")</f>
        <v/>
      </c>
      <c r="BR18" s="227" t="str">
        <f>IF($BF18="ja",VLOOKUP($B18,Kraftvärmeprod!$B$1:$BX$550,MATCH("Tillförd olja (fossil) vid avfallsförbränning (GWh)",Kraftvärmeprod!$B$1:$BX$1,0),FALSE),"")</f>
        <v/>
      </c>
      <c r="BS18" s="227"/>
      <c r="BT18" s="227"/>
      <c r="BU18" s="227"/>
    </row>
    <row r="19" spans="1:73" x14ac:dyDescent="0.25">
      <c r="A19" s="121" t="str">
        <f>'Miljövärden för publ företag'!B22</f>
        <v>Adven Värme AB.</v>
      </c>
      <c r="B19" s="121" t="str">
        <f>'Miljövärden för publ företag'!C22</f>
        <v>Näsåker</v>
      </c>
      <c r="C19" s="173">
        <f>IFERROR(VLOOKUP($B19,Totalt!$B$1:$AQ$554,MATCH(C$2,Totalt!$B$1:$AQ$1,0),FALSE),"")</f>
        <v>0</v>
      </c>
      <c r="D19" s="173">
        <f>IFERROR(VLOOKUP($B19,Totalt!$B$1:$AQ$554,MATCH(D$2,Totalt!$B$1:$AQ$1,0),FALSE),"")</f>
        <v>0</v>
      </c>
      <c r="E19" s="173">
        <f>IFERROR(VLOOKUP($B19,Totalt!$B$1:$AQ$554,MATCH(E$2,Totalt!$B$1:$AQ$1,0),FALSE),"")</f>
        <v>0</v>
      </c>
      <c r="F19" s="173">
        <f>IFERROR(VLOOKUP($B19,Totalt!$B$1:$AQ$554,MATCH(F$2,Totalt!$B$1:$AQ$1,0),FALSE),"")</f>
        <v>0</v>
      </c>
      <c r="G19" s="173">
        <f>IFERROR(VLOOKUP($B19,Totalt!$B$1:$AQ$554,MATCH(G$2,Totalt!$B$1:$AQ$1,0),FALSE),"")</f>
        <v>0</v>
      </c>
      <c r="H19" s="173">
        <f>IFERROR(VLOOKUP($B19,Totalt!$B$1:$AQ$554,MATCH(H$2,Totalt!$B$1:$AQ$1,0),FALSE),"")</f>
        <v>0</v>
      </c>
      <c r="I19" s="173">
        <f>IFERROR(VLOOKUP($B19,Totalt!$B$1:$AQ$554,MATCH(I$2,Totalt!$B$1:$AQ$1,0),FALSE),"")</f>
        <v>0</v>
      </c>
      <c r="J19" s="173">
        <f>IFERROR(VLOOKUP($B19,Totalt!$B$1:$AQ$554,MATCH(J$2,Totalt!$B$1:$AQ$1,0),FALSE),"")</f>
        <v>0</v>
      </c>
      <c r="K19" s="173">
        <f>IFERROR(VLOOKUP($B19,Totalt!$B$1:$AQ$554,MATCH(K$2,Totalt!$B$1:$AQ$1,0),FALSE),"")</f>
        <v>0</v>
      </c>
      <c r="L19" s="173">
        <f>IFERROR(VLOOKUP($B19,Totalt!$B$1:$AQ$554,MATCH(L$2,Totalt!$B$1:$AQ$1,0),FALSE),"")</f>
        <v>0</v>
      </c>
      <c r="M19" s="173">
        <f>IFERROR(VLOOKUP($B19,Totalt!$B$1:$AQ$554,MATCH(M$2,Totalt!$B$1:$AQ$1,0),FALSE),"")</f>
        <v>0</v>
      </c>
      <c r="N19" s="173">
        <f>IFERROR(VLOOKUP($B19,Totalt!$B$1:$AQ$554,MATCH(N$2,Totalt!$B$1:$AQ$1,0),FALSE),"")</f>
        <v>0</v>
      </c>
      <c r="O19" s="173">
        <f>IFERROR(VLOOKUP($B19,Totalt!$B$1:$AQ$554,MATCH(O$2,Totalt!$B$1:$AQ$1,0),FALSE),"")</f>
        <v>0</v>
      </c>
      <c r="P19" s="173">
        <f>IFERROR(VLOOKUP($B19,Totalt!$B$1:$AQ$554,MATCH(P$2,Totalt!$B$1:$AQ$1,0),FALSE),"")</f>
        <v>0</v>
      </c>
      <c r="Q19" s="173">
        <f>IFERROR(VLOOKUP($B19,Totalt!$B$1:$AQ$554,MATCH(Q$2,Totalt!$B$1:$AQ$1,0),FALSE),"")</f>
        <v>0</v>
      </c>
      <c r="R19" s="173">
        <f>IFERROR(VLOOKUP($B19,Totalt!$B$1:$AQ$554,MATCH(R$2,Totalt!$B$1:$AQ$1,0),FALSE),"")</f>
        <v>2.2999999999999998</v>
      </c>
      <c r="S19" s="173">
        <f>IFERROR(VLOOKUP($B19,Totalt!$B$1:$AQ$554,MATCH(S$2,Totalt!$B$1:$AQ$1,0),FALSE),"")</f>
        <v>0</v>
      </c>
      <c r="T19" s="173">
        <f>IFERROR(VLOOKUP($B19,Totalt!$B$1:$AQ$554,MATCH(T$2,Totalt!$B$1:$AQ$1,0),FALSE),"")</f>
        <v>0</v>
      </c>
      <c r="U19" s="173">
        <f>IFERROR(VLOOKUP($B19,Totalt!$B$1:$AQ$554,MATCH(U$2,Totalt!$B$1:$AQ$1,0),FALSE),"")</f>
        <v>0</v>
      </c>
      <c r="V19" s="173">
        <f>IFERROR(VLOOKUP($B19,Totalt!$B$1:$AQ$554,MATCH(V$2,Totalt!$B$1:$AQ$1,0),FALSE),"")</f>
        <v>0</v>
      </c>
      <c r="W19" s="173">
        <f>IFERROR(VLOOKUP($B19,Totalt!$B$1:$AQ$554,MATCH(W$2,Totalt!$B$1:$AQ$1,0),FALSE),"")</f>
        <v>0</v>
      </c>
      <c r="X19" s="173">
        <f>IFERROR(VLOOKUP($B19,Totalt!$B$1:$AQ$554,MATCH(X$2,Totalt!$B$1:$AQ$1,0),FALSE),"")</f>
        <v>0</v>
      </c>
      <c r="Y19" s="173">
        <f>IFERROR(VLOOKUP($B19,Totalt!$B$1:$AQ$554,MATCH(Y$2,Totalt!$B$1:$AQ$1,0),FALSE),"")</f>
        <v>0</v>
      </c>
      <c r="Z19" s="173">
        <f>IFERROR(VLOOKUP($B19,Totalt!$B$1:$AQ$554,MATCH(Z$2,Totalt!$B$1:$AQ$1,0),FALSE),"")</f>
        <v>0</v>
      </c>
      <c r="AA19" s="173">
        <f>IFERROR(VLOOKUP($B19,Totalt!$B$1:$AQ$554,MATCH(AA$2,Totalt!$B$1:$AQ$1,0),FALSE),"")</f>
        <v>0</v>
      </c>
      <c r="AB19" s="173">
        <f>IFERROR(VLOOKUP($B19,Totalt!$B$1:$AQ$554,MATCH(AB$2,Totalt!$B$1:$AQ$1,0),FALSE),"")</f>
        <v>0</v>
      </c>
      <c r="AC19" s="173">
        <f>IFERROR(VLOOKUP($B19,Totalt!$B$1:$AQ$554,MATCH(AC$2,Totalt!$B$1:$AQ$1,0),FALSE),"")</f>
        <v>0</v>
      </c>
      <c r="AD19" s="173">
        <f>IFERROR(VLOOKUP($B19,Totalt!$B$1:$AQ$554,MATCH(AD$2,Totalt!$B$1:$AQ$1,0),FALSE),"")</f>
        <v>0</v>
      </c>
      <c r="AE19" s="173">
        <f>IFERROR(VLOOKUP($B19,Totalt!$B$1:$AQ$554,MATCH(AE$2,Totalt!$B$1:$AQ$1,0),FALSE),"")</f>
        <v>0</v>
      </c>
      <c r="AF19" s="173">
        <f>IFERROR(VLOOKUP($B19,Totalt!$B$1:$AQ$554,MATCH(AF$2,Totalt!$B$1:$AQ$1,0),FALSE),"")</f>
        <v>0.03</v>
      </c>
      <c r="AG19" s="173">
        <f>IFERROR(VLOOKUP($B19,Totalt!$B$1:$AQ$554,MATCH(AG$2,Totalt!$B$1:$AQ$1,0),FALSE),"")</f>
        <v>0</v>
      </c>
      <c r="AI19" s="226">
        <f t="shared" si="0"/>
        <v>2.3299999999999996</v>
      </c>
      <c r="AJ19" s="226">
        <f>IF(ISERROR(1/VLOOKUP($B19,Leveranser!$B$1:$S$500,MATCH("såld värme (gwh)",Leveranser!$B$1:$S$1,0),FALSE)),"",VLOOKUP($B19,Leveranser!$B$1:$S$500,MATCH("såld värme (gwh)",Leveranser!$B$1:$S$1,0),FALSE))</f>
        <v>1.8</v>
      </c>
      <c r="AM19" s="227" t="str">
        <f>IF(B19&lt;&gt;"",IF(VLOOKUP($B19,Totalt!$B$1:$AQ$554,MATCH("Kvalitetsgranskad:",Totalt!$B$1:$AQ$1,0),FALSE)="ja",VLOOKUP($B19,Miljö!$B$1:$AG$479,MATCH(AM$2,Miljö!$B$1:$AK$1,0),FALSE),""),"")</f>
        <v>Ja</v>
      </c>
      <c r="AN19" s="227" t="str">
        <f>IF(AM19="ja",VLOOKUP($B19,Miljö!$B$1:$J$479,MATCH("Typ av ursprungsspecificerad el   (Om inget värde anges används Nordisk residualmix, se inforuta) ()",Miljö!$B$1:$J$1,0),FALSE),IF(AM19="nej","Nordisk residualel",""))</f>
        <v>'Sverige Förnybar el Jämtkraft'</v>
      </c>
      <c r="AO19" s="227">
        <f>IF(AM19="","",VLOOKUP($B19,Miljö!$B$1:$J$479,MATCH("Fossilandel för ursprungspecificerad el ()",Miljö!$B$1:$J$1,0),FALSE))</f>
        <v>0</v>
      </c>
      <c r="AP19" s="227">
        <f>IF(AM19="","",IFERROR(VLOOKUP($B19,Miljö!$B$1:$J$479,MATCH("Kärnkraftsandel för ursprungsspecificerad el ()",Miljö!$B$1:$J$1,0),FALSE)/1,0))</f>
        <v>0</v>
      </c>
      <c r="AQ19" s="227">
        <f t="shared" si="1"/>
        <v>1</v>
      </c>
      <c r="AR19" s="227"/>
      <c r="AS19" s="227" t="str">
        <f t="shared" si="2"/>
        <v>Nej</v>
      </c>
      <c r="AT19" s="227" t="str">
        <f>IF(AS19="ja",VLOOKUP($B19,Miljö!$B$1:$O$500,MATCH("Fossil andel i procent (%)",Miljö!$B$1:$O$1,0),FALSE)/100,"")</f>
        <v/>
      </c>
      <c r="AU19" s="227"/>
      <c r="AV19" s="227" t="str">
        <f t="shared" si="3"/>
        <v>Nej</v>
      </c>
      <c r="AW19" s="227" t="str">
        <f>IF(AV19="ja",VLOOKUP($B19,'Egen hetvattenprod'!$B$1:$AO$500,MATCH("Värmekälla till värmepumpar ()",'Egen hetvattenprod'!$B$1:$AO$1,0),FALSE),"")</f>
        <v/>
      </c>
      <c r="AX19" s="227"/>
      <c r="AY19" s="227" t="str">
        <f t="shared" si="4"/>
        <v>Nej</v>
      </c>
      <c r="AZ19" s="228" t="str">
        <f>IF($AY19="ja",(VLOOKUP($B19,'Egen hetvattenprod'!$B$1:$BX$550,MATCH(AZ$2,'Egen hetvattenprod'!$B$1:$BX$1,0),FALSE)+VLOOKUP($B19,Kraftvärmeprod!$B$1:$BX$550,MATCH(AZ$2,Kraftvärmeprod!$B$1:$BX$1,0),FALSE))/$AC19,"")</f>
        <v/>
      </c>
      <c r="BA19" s="228" t="str">
        <f>IF($AY19="ja",(VLOOKUP($B19,'Egen hetvattenprod'!$B$1:$BX$550,MATCH(BA$2,'Egen hetvattenprod'!$B$1:$BX$1,0),FALSE)+VLOOKUP($B19,Kraftvärmeprod!$B$1:$BX$550,MATCH(BA$2,Kraftvärmeprod!$B$1:$BX$1,0),FALSE))/$AC19,"")</f>
        <v/>
      </c>
      <c r="BB19" s="228" t="str">
        <f>IF($AY19="ja",(VLOOKUP($B19,'Egen hetvattenprod'!$B$1:$BX$550,MATCH(BB$2,'Egen hetvattenprod'!$B$1:$BX$1,0),FALSE)+VLOOKUP($B19,Kraftvärmeprod!$B$1:$BX$550,MATCH(BB$2,Kraftvärmeprod!$B$1:$BX$1,0),FALSE))/$AC19,"")</f>
        <v/>
      </c>
      <c r="BC19" s="228" t="str">
        <f>IF($AY19="ja",(VLOOKUP($B19,'Egen hetvattenprod'!$B$1:$BX$550,MATCH(BC$2,'Egen hetvattenprod'!$B$1:$BX$1,0),FALSE)+VLOOKUP($B19,Kraftvärmeprod!$B$1:$BX$550,MATCH(BC$2,Kraftvärmeprod!$B$1:$BX$1,0),FALSE))/$AC19,"")</f>
        <v/>
      </c>
      <c r="BD19" s="228" t="str">
        <f>IF($AY19="ja",(VLOOKUP($B19,'Egen hetvattenprod'!$B$1:$BX$550,MATCH(BD$2,'Egen hetvattenprod'!$B$1:$BX$1,0),FALSE)+VLOOKUP($B19,Kraftvärmeprod!$B$1:$BX$550,MATCH(BD$2,Kraftvärmeprod!$B$1:$BX$1,0),FALSE))/$AC19,"")</f>
        <v/>
      </c>
      <c r="BE19" s="227"/>
      <c r="BF19" s="227" t="str">
        <f t="shared" si="5"/>
        <v>Nej</v>
      </c>
      <c r="BG19" s="227" t="str">
        <f>IF($BF19="ja",VLOOKUP($B19,'Egen hetvattenprod'!$B$1:$BX$550,MATCH("Andelen klimatgaser med fossilt ursprung för avfall ()",'Egen hetvattenprod'!$B$1:$BX$1,0),FALSE),"")</f>
        <v/>
      </c>
      <c r="BH19" s="227" t="str">
        <f>IF($BF19="ja",VLOOKUP($B19,Kraftvärmeprod!$B$1:$BX$550,MATCH("Andelen klimatgaser med fossilt ursprung för avfall ()",Kraftvärmeprod!$B$1:$BX$1,0),FALSE),"")</f>
        <v/>
      </c>
      <c r="BI19" s="227" t="str">
        <f>IF($BF19="ja",VLOOKUP($B19,'Egen hetvattenprod'!$B$1:$BX$550,MATCH("Avfall (GWh)",'Egen hetvattenprod'!$B$1:$BX$1,0),FALSE),"")</f>
        <v/>
      </c>
      <c r="BJ19" s="227" t="str">
        <f>IF($BF19="ja",VLOOKUP($B19,'Slutlig allokering kvv'!$B$1:$BX$550,MATCH("Avfall (GWh)",'Slutlig allokering kvv'!$B$1:$BX$1,0),FALSE),"")</f>
        <v/>
      </c>
      <c r="BK19" s="227" t="str">
        <f>IF($BF19="ja",VLOOKUP($B19,'Köpt hetvatten'!$B$1:$BX$550,MATCH("Avfall i köpt hetvatten",'Köpt hetvatten'!$B$1:$BX$1,0),FALSE),"")</f>
        <v/>
      </c>
      <c r="BL19" s="227" t="str">
        <f>IF($BF19="ja",VLOOKUP($B19,'Egen hetvattenprod'!$B$1:$BX$550,MATCH("Värde enligt ovan. (%)",'Egen hetvattenprod'!$B$1:$BX$1,0),FALSE),"")</f>
        <v/>
      </c>
      <c r="BM19" s="227" t="str">
        <f>IF($BF19="ja",VLOOKUP($B19,Kraftvärmeprod!$B$1:$BX$550,MATCH("Värde enligt ovan. (%)",Kraftvärmeprod!$B$1:$BX$1,0),FALSE),"")</f>
        <v/>
      </c>
      <c r="BN19" s="227"/>
      <c r="BO19" s="227"/>
      <c r="BP19" s="227"/>
      <c r="BQ19" s="227" t="str">
        <f>IF($BF19="ja",VLOOKUP($B19,'Egen hetvattenprod'!$B$1:$BX$550,MATCH("Tillförd olja (fossil) vid avfallsförbränning (GWh)",'Egen hetvattenprod'!$B$1:$BX$1,0),FALSE),"")</f>
        <v/>
      </c>
      <c r="BR19" s="227" t="str">
        <f>IF($BF19="ja",VLOOKUP($B19,Kraftvärmeprod!$B$1:$BX$550,MATCH("Tillförd olja (fossil) vid avfallsförbränning (GWh)",Kraftvärmeprod!$B$1:$BX$1,0),FALSE),"")</f>
        <v/>
      </c>
      <c r="BS19" s="227"/>
      <c r="BT19" s="227"/>
      <c r="BU19" s="227"/>
    </row>
    <row r="20" spans="1:73" x14ac:dyDescent="0.25">
      <c r="A20" s="121" t="str">
        <f>'Miljövärden för publ företag'!B23</f>
        <v>Adven Värme AB.</v>
      </c>
      <c r="B20" s="121" t="str">
        <f>'Miljövärden för publ företag'!C23</f>
        <v>Ramsele</v>
      </c>
      <c r="C20" s="173">
        <f>IFERROR(VLOOKUP($B20,Totalt!$B$1:$AQ$554,MATCH(C$2,Totalt!$B$1:$AQ$1,0),FALSE),"")</f>
        <v>0</v>
      </c>
      <c r="D20" s="173">
        <f>IFERROR(VLOOKUP($B20,Totalt!$B$1:$AQ$554,MATCH(D$2,Totalt!$B$1:$AQ$1,0),FALSE),"")</f>
        <v>0</v>
      </c>
      <c r="E20" s="173">
        <f>IFERROR(VLOOKUP($B20,Totalt!$B$1:$AQ$554,MATCH(E$2,Totalt!$B$1:$AQ$1,0),FALSE),"")</f>
        <v>0</v>
      </c>
      <c r="F20" s="173">
        <f>IFERROR(VLOOKUP($B20,Totalt!$B$1:$AQ$554,MATCH(F$2,Totalt!$B$1:$AQ$1,0),FALSE),"")</f>
        <v>0</v>
      </c>
      <c r="G20" s="173">
        <f>IFERROR(VLOOKUP($B20,Totalt!$B$1:$AQ$554,MATCH(G$2,Totalt!$B$1:$AQ$1,0),FALSE),"")</f>
        <v>0</v>
      </c>
      <c r="H20" s="173">
        <f>IFERROR(VLOOKUP($B20,Totalt!$B$1:$AQ$554,MATCH(H$2,Totalt!$B$1:$AQ$1,0),FALSE),"")</f>
        <v>0</v>
      </c>
      <c r="I20" s="173">
        <f>IFERROR(VLOOKUP($B20,Totalt!$B$1:$AQ$554,MATCH(I$2,Totalt!$B$1:$AQ$1,0),FALSE),"")</f>
        <v>0</v>
      </c>
      <c r="J20" s="173">
        <f>IFERROR(VLOOKUP($B20,Totalt!$B$1:$AQ$554,MATCH(J$2,Totalt!$B$1:$AQ$1,0),FALSE),"")</f>
        <v>0</v>
      </c>
      <c r="K20" s="173">
        <f>IFERROR(VLOOKUP($B20,Totalt!$B$1:$AQ$554,MATCH(K$2,Totalt!$B$1:$AQ$1,0),FALSE),"")</f>
        <v>0</v>
      </c>
      <c r="L20" s="173">
        <f>IFERROR(VLOOKUP($B20,Totalt!$B$1:$AQ$554,MATCH(L$2,Totalt!$B$1:$AQ$1,0),FALSE),"")</f>
        <v>0</v>
      </c>
      <c r="M20" s="173">
        <f>IFERROR(VLOOKUP($B20,Totalt!$B$1:$AQ$554,MATCH(M$2,Totalt!$B$1:$AQ$1,0),FALSE),"")</f>
        <v>2.8</v>
      </c>
      <c r="N20" s="173">
        <f>IFERROR(VLOOKUP($B20,Totalt!$B$1:$AQ$554,MATCH(N$2,Totalt!$B$1:$AQ$1,0),FALSE),"")</f>
        <v>0</v>
      </c>
      <c r="O20" s="173">
        <f>IFERROR(VLOOKUP($B20,Totalt!$B$1:$AQ$554,MATCH(O$2,Totalt!$B$1:$AQ$1,0),FALSE),"")</f>
        <v>0</v>
      </c>
      <c r="P20" s="173">
        <f>IFERROR(VLOOKUP($B20,Totalt!$B$1:$AQ$554,MATCH(P$2,Totalt!$B$1:$AQ$1,0),FALSE),"")</f>
        <v>4.4000000000000004</v>
      </c>
      <c r="Q20" s="173">
        <f>IFERROR(VLOOKUP($B20,Totalt!$B$1:$AQ$554,MATCH(Q$2,Totalt!$B$1:$AQ$1,0),FALSE),"")</f>
        <v>0</v>
      </c>
      <c r="R20" s="173">
        <f>IFERROR(VLOOKUP($B20,Totalt!$B$1:$AQ$554,MATCH(R$2,Totalt!$B$1:$AQ$1,0),FALSE),"")</f>
        <v>0.8</v>
      </c>
      <c r="S20" s="173">
        <f>IFERROR(VLOOKUP($B20,Totalt!$B$1:$AQ$554,MATCH(S$2,Totalt!$B$1:$AQ$1,0),FALSE),"")</f>
        <v>0</v>
      </c>
      <c r="T20" s="173">
        <f>IFERROR(VLOOKUP($B20,Totalt!$B$1:$AQ$554,MATCH(T$2,Totalt!$B$1:$AQ$1,0),FALSE),"")</f>
        <v>0</v>
      </c>
      <c r="U20" s="173">
        <f>IFERROR(VLOOKUP($B20,Totalt!$B$1:$AQ$554,MATCH(U$2,Totalt!$B$1:$AQ$1,0),FALSE),"")</f>
        <v>0</v>
      </c>
      <c r="V20" s="173">
        <f>IFERROR(VLOOKUP($B20,Totalt!$B$1:$AQ$554,MATCH(V$2,Totalt!$B$1:$AQ$1,0),FALSE),"")</f>
        <v>0</v>
      </c>
      <c r="W20" s="173">
        <f>IFERROR(VLOOKUP($B20,Totalt!$B$1:$AQ$554,MATCH(W$2,Totalt!$B$1:$AQ$1,0),FALSE),"")</f>
        <v>0</v>
      </c>
      <c r="X20" s="173">
        <f>IFERROR(VLOOKUP($B20,Totalt!$B$1:$AQ$554,MATCH(X$2,Totalt!$B$1:$AQ$1,0),FALSE),"")</f>
        <v>0</v>
      </c>
      <c r="Y20" s="173">
        <f>IFERROR(VLOOKUP($B20,Totalt!$B$1:$AQ$554,MATCH(Y$2,Totalt!$B$1:$AQ$1,0),FALSE),"")</f>
        <v>0</v>
      </c>
      <c r="Z20" s="173">
        <f>IFERROR(VLOOKUP($B20,Totalt!$B$1:$AQ$554,MATCH(Z$2,Totalt!$B$1:$AQ$1,0),FALSE),"")</f>
        <v>0</v>
      </c>
      <c r="AA20" s="173">
        <f>IFERROR(VLOOKUP($B20,Totalt!$B$1:$AQ$554,MATCH(AA$2,Totalt!$B$1:$AQ$1,0),FALSE),"")</f>
        <v>0</v>
      </c>
      <c r="AB20" s="173">
        <f>IFERROR(VLOOKUP($B20,Totalt!$B$1:$AQ$554,MATCH(AB$2,Totalt!$B$1:$AQ$1,0),FALSE),"")</f>
        <v>0</v>
      </c>
      <c r="AC20" s="173">
        <f>IFERROR(VLOOKUP($B20,Totalt!$B$1:$AQ$554,MATCH(AC$2,Totalt!$B$1:$AQ$1,0),FALSE),"")</f>
        <v>0</v>
      </c>
      <c r="AD20" s="173">
        <f>IFERROR(VLOOKUP($B20,Totalt!$B$1:$AQ$554,MATCH(AD$2,Totalt!$B$1:$AQ$1,0),FALSE),"")</f>
        <v>0</v>
      </c>
      <c r="AE20" s="173">
        <f>IFERROR(VLOOKUP($B20,Totalt!$B$1:$AQ$554,MATCH(AE$2,Totalt!$B$1:$AQ$1,0),FALSE),"")</f>
        <v>0</v>
      </c>
      <c r="AF20" s="173">
        <f>IFERROR(VLOOKUP($B20,Totalt!$B$1:$AQ$554,MATCH(AF$2,Totalt!$B$1:$AQ$1,0),FALSE),"")</f>
        <v>0.3</v>
      </c>
      <c r="AG20" s="173">
        <f>IFERROR(VLOOKUP($B20,Totalt!$B$1:$AQ$554,MATCH(AG$2,Totalt!$B$1:$AQ$1,0),FALSE),"")</f>
        <v>0</v>
      </c>
      <c r="AI20" s="226">
        <f t="shared" si="0"/>
        <v>8.3000000000000007</v>
      </c>
      <c r="AJ20" s="226">
        <f>IF(ISERROR(1/VLOOKUP($B20,Leveranser!$B$1:$S$500,MATCH("såld värme (gwh)",Leveranser!$B$1:$S$1,0),FALSE)),"",VLOOKUP($B20,Leveranser!$B$1:$S$500,MATCH("såld värme (gwh)",Leveranser!$B$1:$S$1,0),FALSE))</f>
        <v>5.5</v>
      </c>
      <c r="AM20" s="227" t="str">
        <f>IF(B20&lt;&gt;"",IF(VLOOKUP($B20,Totalt!$B$1:$AQ$554,MATCH("Kvalitetsgranskad:",Totalt!$B$1:$AQ$1,0),FALSE)="ja",VLOOKUP($B20,Miljö!$B$1:$AG$479,MATCH(AM$2,Miljö!$B$1:$AK$1,0),FALSE),""),"")</f>
        <v>Ja</v>
      </c>
      <c r="AN20" s="227" t="str">
        <f>IF(AM20="ja",VLOOKUP($B20,Miljö!$B$1:$J$479,MATCH("Typ av ursprungsspecificerad el   (Om inget värde anges används Nordisk residualmix, se inforuta) ()",Miljö!$B$1:$J$1,0),FALSE),IF(AM20="nej","Nordisk residualel",""))</f>
        <v>'Sverige Förnybar el Jämtkraft'</v>
      </c>
      <c r="AO20" s="227">
        <f>IF(AM20="","",VLOOKUP($B20,Miljö!$B$1:$J$479,MATCH("Fossilandel för ursprungspecificerad el ()",Miljö!$B$1:$J$1,0),FALSE))</f>
        <v>0</v>
      </c>
      <c r="AP20" s="227">
        <f>IF(AM20="","",IFERROR(VLOOKUP($B20,Miljö!$B$1:$J$479,MATCH("Kärnkraftsandel för ursprungsspecificerad el ()",Miljö!$B$1:$J$1,0),FALSE)/1,0))</f>
        <v>0</v>
      </c>
      <c r="AQ20" s="227">
        <f t="shared" si="1"/>
        <v>1</v>
      </c>
      <c r="AR20" s="227"/>
      <c r="AS20" s="227" t="str">
        <f t="shared" si="2"/>
        <v>Nej</v>
      </c>
      <c r="AT20" s="227" t="str">
        <f>IF(AS20="ja",VLOOKUP($B20,Miljö!$B$1:$O$500,MATCH("Fossil andel i procent (%)",Miljö!$B$1:$O$1,0),FALSE)/100,"")</f>
        <v/>
      </c>
      <c r="AU20" s="227"/>
      <c r="AV20" s="227" t="str">
        <f t="shared" si="3"/>
        <v>Nej</v>
      </c>
      <c r="AW20" s="227" t="str">
        <f>IF(AV20="ja",VLOOKUP($B20,'Egen hetvattenprod'!$B$1:$AO$500,MATCH("Värmekälla till värmepumpar ()",'Egen hetvattenprod'!$B$1:$AO$1,0),FALSE),"")</f>
        <v/>
      </c>
      <c r="AX20" s="227"/>
      <c r="AY20" s="227" t="str">
        <f t="shared" si="4"/>
        <v>Nej</v>
      </c>
      <c r="AZ20" s="228" t="str">
        <f>IF($AY20="ja",(VLOOKUP($B20,'Egen hetvattenprod'!$B$1:$BX$550,MATCH(AZ$2,'Egen hetvattenprod'!$B$1:$BX$1,0),FALSE)+VLOOKUP($B20,Kraftvärmeprod!$B$1:$BX$550,MATCH(AZ$2,Kraftvärmeprod!$B$1:$BX$1,0),FALSE))/$AC20,"")</f>
        <v/>
      </c>
      <c r="BA20" s="228" t="str">
        <f>IF($AY20="ja",(VLOOKUP($B20,'Egen hetvattenprod'!$B$1:$BX$550,MATCH(BA$2,'Egen hetvattenprod'!$B$1:$BX$1,0),FALSE)+VLOOKUP($B20,Kraftvärmeprod!$B$1:$BX$550,MATCH(BA$2,Kraftvärmeprod!$B$1:$BX$1,0),FALSE))/$AC20,"")</f>
        <v/>
      </c>
      <c r="BB20" s="228" t="str">
        <f>IF($AY20="ja",(VLOOKUP($B20,'Egen hetvattenprod'!$B$1:$BX$550,MATCH(BB$2,'Egen hetvattenprod'!$B$1:$BX$1,0),FALSE)+VLOOKUP($B20,Kraftvärmeprod!$B$1:$BX$550,MATCH(BB$2,Kraftvärmeprod!$B$1:$BX$1,0),FALSE))/$AC20,"")</f>
        <v/>
      </c>
      <c r="BC20" s="228" t="str">
        <f>IF($AY20="ja",(VLOOKUP($B20,'Egen hetvattenprod'!$B$1:$BX$550,MATCH(BC$2,'Egen hetvattenprod'!$B$1:$BX$1,0),FALSE)+VLOOKUP($B20,Kraftvärmeprod!$B$1:$BX$550,MATCH(BC$2,Kraftvärmeprod!$B$1:$BX$1,0),FALSE))/$AC20,"")</f>
        <v/>
      </c>
      <c r="BD20" s="228" t="str">
        <f>IF($AY20="ja",(VLOOKUP($B20,'Egen hetvattenprod'!$B$1:$BX$550,MATCH(BD$2,'Egen hetvattenprod'!$B$1:$BX$1,0),FALSE)+VLOOKUP($B20,Kraftvärmeprod!$B$1:$BX$550,MATCH(BD$2,Kraftvärmeprod!$B$1:$BX$1,0),FALSE))/$AC20,"")</f>
        <v/>
      </c>
      <c r="BE20" s="227"/>
      <c r="BF20" s="227" t="str">
        <f t="shared" si="5"/>
        <v>Nej</v>
      </c>
      <c r="BG20" s="227" t="str">
        <f>IF($BF20="ja",VLOOKUP($B20,'Egen hetvattenprod'!$B$1:$BX$550,MATCH("Andelen klimatgaser med fossilt ursprung för avfall ()",'Egen hetvattenprod'!$B$1:$BX$1,0),FALSE),"")</f>
        <v/>
      </c>
      <c r="BH20" s="227" t="str">
        <f>IF($BF20="ja",VLOOKUP($B20,Kraftvärmeprod!$B$1:$BX$550,MATCH("Andelen klimatgaser med fossilt ursprung för avfall ()",Kraftvärmeprod!$B$1:$BX$1,0),FALSE),"")</f>
        <v/>
      </c>
      <c r="BI20" s="227" t="str">
        <f>IF($BF20="ja",VLOOKUP($B20,'Egen hetvattenprod'!$B$1:$BX$550,MATCH("Avfall (GWh)",'Egen hetvattenprod'!$B$1:$BX$1,0),FALSE),"")</f>
        <v/>
      </c>
      <c r="BJ20" s="227" t="str">
        <f>IF($BF20="ja",VLOOKUP($B20,'Slutlig allokering kvv'!$B$1:$BX$550,MATCH("Avfall (GWh)",'Slutlig allokering kvv'!$B$1:$BX$1,0),FALSE),"")</f>
        <v/>
      </c>
      <c r="BK20" s="227" t="str">
        <f>IF($BF20="ja",VLOOKUP($B20,'Köpt hetvatten'!$B$1:$BX$550,MATCH("Avfall i köpt hetvatten",'Köpt hetvatten'!$B$1:$BX$1,0),FALSE),"")</f>
        <v/>
      </c>
      <c r="BL20" s="227" t="str">
        <f>IF($BF20="ja",VLOOKUP($B20,'Egen hetvattenprod'!$B$1:$BX$550,MATCH("Värde enligt ovan. (%)",'Egen hetvattenprod'!$B$1:$BX$1,0),FALSE),"")</f>
        <v/>
      </c>
      <c r="BM20" s="227" t="str">
        <f>IF($BF20="ja",VLOOKUP($B20,Kraftvärmeprod!$B$1:$BX$550,MATCH("Värde enligt ovan. (%)",Kraftvärmeprod!$B$1:$BX$1,0),FALSE),"")</f>
        <v/>
      </c>
      <c r="BN20" s="227"/>
      <c r="BO20" s="227"/>
      <c r="BP20" s="227"/>
      <c r="BQ20" s="227" t="str">
        <f>IF($BF20="ja",VLOOKUP($B20,'Egen hetvattenprod'!$B$1:$BX$550,MATCH("Tillförd olja (fossil) vid avfallsförbränning (GWh)",'Egen hetvattenprod'!$B$1:$BX$1,0),FALSE),"")</f>
        <v/>
      </c>
      <c r="BR20" s="227" t="str">
        <f>IF($BF20="ja",VLOOKUP($B20,Kraftvärmeprod!$B$1:$BX$550,MATCH("Tillförd olja (fossil) vid avfallsförbränning (GWh)",Kraftvärmeprod!$B$1:$BX$1,0),FALSE),"")</f>
        <v/>
      </c>
      <c r="BS20" s="227"/>
      <c r="BT20" s="227"/>
      <c r="BU20" s="227"/>
    </row>
    <row r="21" spans="1:73" x14ac:dyDescent="0.25">
      <c r="A21" s="121" t="str">
        <f>'Miljövärden för publ företag'!B24</f>
        <v>Adven Värme AB.</v>
      </c>
      <c r="B21" s="121" t="str">
        <f>'Miljövärden för publ företag'!C24</f>
        <v>Sösdala</v>
      </c>
      <c r="C21" s="173">
        <f>IFERROR(VLOOKUP($B21,Totalt!$B$1:$AQ$554,MATCH(C$2,Totalt!$B$1:$AQ$1,0),FALSE),"")</f>
        <v>0</v>
      </c>
      <c r="D21" s="173">
        <f>IFERROR(VLOOKUP($B21,Totalt!$B$1:$AQ$554,MATCH(D$2,Totalt!$B$1:$AQ$1,0),FALSE),"")</f>
        <v>0.1</v>
      </c>
      <c r="E21" s="173">
        <f>IFERROR(VLOOKUP($B21,Totalt!$B$1:$AQ$554,MATCH(E$2,Totalt!$B$1:$AQ$1,0),FALSE),"")</f>
        <v>0</v>
      </c>
      <c r="F21" s="173">
        <f>IFERROR(VLOOKUP($B21,Totalt!$B$1:$AQ$554,MATCH(F$2,Totalt!$B$1:$AQ$1,0),FALSE),"")</f>
        <v>0</v>
      </c>
      <c r="G21" s="173">
        <f>IFERROR(VLOOKUP($B21,Totalt!$B$1:$AQ$554,MATCH(G$2,Totalt!$B$1:$AQ$1,0),FALSE),"")</f>
        <v>0</v>
      </c>
      <c r="H21" s="173">
        <f>IFERROR(VLOOKUP($B21,Totalt!$B$1:$AQ$554,MATCH(H$2,Totalt!$B$1:$AQ$1,0),FALSE),"")</f>
        <v>0</v>
      </c>
      <c r="I21" s="173">
        <f>IFERROR(VLOOKUP($B21,Totalt!$B$1:$AQ$554,MATCH(I$2,Totalt!$B$1:$AQ$1,0),FALSE),"")</f>
        <v>0</v>
      </c>
      <c r="J21" s="173">
        <f>IFERROR(VLOOKUP($B21,Totalt!$B$1:$AQ$554,MATCH(J$2,Totalt!$B$1:$AQ$1,0),FALSE),"")</f>
        <v>0</v>
      </c>
      <c r="K21" s="173">
        <f>IFERROR(VLOOKUP($B21,Totalt!$B$1:$AQ$554,MATCH(K$2,Totalt!$B$1:$AQ$1,0),FALSE),"")</f>
        <v>0</v>
      </c>
      <c r="L21" s="173">
        <f>IFERROR(VLOOKUP($B21,Totalt!$B$1:$AQ$554,MATCH(L$2,Totalt!$B$1:$AQ$1,0),FALSE),"")</f>
        <v>0</v>
      </c>
      <c r="M21" s="173">
        <f>IFERROR(VLOOKUP($B21,Totalt!$B$1:$AQ$554,MATCH(M$2,Totalt!$B$1:$AQ$1,0),FALSE),"")</f>
        <v>0</v>
      </c>
      <c r="N21" s="173">
        <f>IFERROR(VLOOKUP($B21,Totalt!$B$1:$AQ$554,MATCH(N$2,Totalt!$B$1:$AQ$1,0),FALSE),"")</f>
        <v>0</v>
      </c>
      <c r="O21" s="173">
        <f>IFERROR(VLOOKUP($B21,Totalt!$B$1:$AQ$554,MATCH(O$2,Totalt!$B$1:$AQ$1,0),FALSE),"")</f>
        <v>0</v>
      </c>
      <c r="P21" s="173">
        <f>IFERROR(VLOOKUP($B21,Totalt!$B$1:$AQ$554,MATCH(P$2,Totalt!$B$1:$AQ$1,0),FALSE),"")</f>
        <v>5.3</v>
      </c>
      <c r="Q21" s="173">
        <f>IFERROR(VLOOKUP($B21,Totalt!$B$1:$AQ$554,MATCH(Q$2,Totalt!$B$1:$AQ$1,0),FALSE),"")</f>
        <v>0</v>
      </c>
      <c r="R21" s="173">
        <f>IFERROR(VLOOKUP($B21,Totalt!$B$1:$AQ$554,MATCH(R$2,Totalt!$B$1:$AQ$1,0),FALSE),"")</f>
        <v>0</v>
      </c>
      <c r="S21" s="173">
        <f>IFERROR(VLOOKUP($B21,Totalt!$B$1:$AQ$554,MATCH(S$2,Totalt!$B$1:$AQ$1,0),FALSE),"")</f>
        <v>0</v>
      </c>
      <c r="T21" s="173">
        <f>IFERROR(VLOOKUP($B21,Totalt!$B$1:$AQ$554,MATCH(T$2,Totalt!$B$1:$AQ$1,0),FALSE),"")</f>
        <v>0</v>
      </c>
      <c r="U21" s="173">
        <f>IFERROR(VLOOKUP($B21,Totalt!$B$1:$AQ$554,MATCH(U$2,Totalt!$B$1:$AQ$1,0),FALSE),"")</f>
        <v>0</v>
      </c>
      <c r="V21" s="173">
        <f>IFERROR(VLOOKUP($B21,Totalt!$B$1:$AQ$554,MATCH(V$2,Totalt!$B$1:$AQ$1,0),FALSE),"")</f>
        <v>0</v>
      </c>
      <c r="W21" s="173">
        <f>IFERROR(VLOOKUP($B21,Totalt!$B$1:$AQ$554,MATCH(W$2,Totalt!$B$1:$AQ$1,0),FALSE),"")</f>
        <v>0</v>
      </c>
      <c r="X21" s="173">
        <f>IFERROR(VLOOKUP($B21,Totalt!$B$1:$AQ$554,MATCH(X$2,Totalt!$B$1:$AQ$1,0),FALSE),"")</f>
        <v>0</v>
      </c>
      <c r="Y21" s="173">
        <f>IFERROR(VLOOKUP($B21,Totalt!$B$1:$AQ$554,MATCH(Y$2,Totalt!$B$1:$AQ$1,0),FALSE),"")</f>
        <v>0</v>
      </c>
      <c r="Z21" s="173">
        <f>IFERROR(VLOOKUP($B21,Totalt!$B$1:$AQ$554,MATCH(Z$2,Totalt!$B$1:$AQ$1,0),FALSE),"")</f>
        <v>0</v>
      </c>
      <c r="AA21" s="173">
        <f>IFERROR(VLOOKUP($B21,Totalt!$B$1:$AQ$554,MATCH(AA$2,Totalt!$B$1:$AQ$1,0),FALSE),"")</f>
        <v>0</v>
      </c>
      <c r="AB21" s="173">
        <f>IFERROR(VLOOKUP($B21,Totalt!$B$1:$AQ$554,MATCH(AB$2,Totalt!$B$1:$AQ$1,0),FALSE),"")</f>
        <v>0</v>
      </c>
      <c r="AC21" s="173">
        <f>IFERROR(VLOOKUP($B21,Totalt!$B$1:$AQ$554,MATCH(AC$2,Totalt!$B$1:$AQ$1,0),FALSE),"")</f>
        <v>0</v>
      </c>
      <c r="AD21" s="173">
        <f>IFERROR(VLOOKUP($B21,Totalt!$B$1:$AQ$554,MATCH(AD$2,Totalt!$B$1:$AQ$1,0),FALSE),"")</f>
        <v>0</v>
      </c>
      <c r="AE21" s="173">
        <f>IFERROR(VLOOKUP($B21,Totalt!$B$1:$AQ$554,MATCH(AE$2,Totalt!$B$1:$AQ$1,0),FALSE),"")</f>
        <v>0</v>
      </c>
      <c r="AF21" s="173">
        <f>IFERROR(VLOOKUP($B21,Totalt!$B$1:$AQ$554,MATCH(AF$2,Totalt!$B$1:$AQ$1,0),FALSE),"")</f>
        <v>0.02</v>
      </c>
      <c r="AG21" s="173">
        <f>IFERROR(VLOOKUP($B21,Totalt!$B$1:$AQ$554,MATCH(AG$2,Totalt!$B$1:$AQ$1,0),FALSE),"")</f>
        <v>0</v>
      </c>
      <c r="AI21" s="226">
        <f t="shared" si="0"/>
        <v>5.419999999999999</v>
      </c>
      <c r="AJ21" s="226">
        <f>IF(ISERROR(1/VLOOKUP($B21,Leveranser!$B$1:$S$500,MATCH("såld värme (gwh)",Leveranser!$B$1:$S$1,0),FALSE)),"",VLOOKUP($B21,Leveranser!$B$1:$S$500,MATCH("såld värme (gwh)",Leveranser!$B$1:$S$1,0),FALSE))</f>
        <v>3.5</v>
      </c>
      <c r="AM21" s="227" t="str">
        <f>IF(B21&lt;&gt;"",IF(VLOOKUP($B21,Totalt!$B$1:$AQ$554,MATCH("Kvalitetsgranskad:",Totalt!$B$1:$AQ$1,0),FALSE)="ja",VLOOKUP($B21,Miljö!$B$1:$AG$479,MATCH(AM$2,Miljö!$B$1:$AK$1,0),FALSE),""),"")</f>
        <v>Ja</v>
      </c>
      <c r="AN21" s="227" t="str">
        <f>IF(AM21="ja",VLOOKUP($B21,Miljö!$B$1:$J$479,MATCH("Typ av ursprungsspecificerad el   (Om inget värde anges används Nordisk residualmix, se inforuta) ()",Miljö!$B$1:$J$1,0),FALSE),IF(AM21="nej","Nordisk residualel",""))</f>
        <v>'Sverige Förnybar El Jämtkraft'</v>
      </c>
      <c r="AO21" s="227">
        <f>IF(AM21="","",VLOOKUP($B21,Miljö!$B$1:$J$479,MATCH("Fossilandel för ursprungspecificerad el ()",Miljö!$B$1:$J$1,0),FALSE))</f>
        <v>0</v>
      </c>
      <c r="AP21" s="227">
        <f>IF(AM21="","",IFERROR(VLOOKUP($B21,Miljö!$B$1:$J$479,MATCH("Kärnkraftsandel för ursprungsspecificerad el ()",Miljö!$B$1:$J$1,0),FALSE)/1,0))</f>
        <v>0</v>
      </c>
      <c r="AQ21" s="227">
        <f t="shared" si="1"/>
        <v>1</v>
      </c>
      <c r="AR21" s="227"/>
      <c r="AS21" s="227" t="str">
        <f t="shared" si="2"/>
        <v>Nej</v>
      </c>
      <c r="AT21" s="227" t="str">
        <f>IF(AS21="ja",VLOOKUP($B21,Miljö!$B$1:$O$500,MATCH("Fossil andel i procent (%)",Miljö!$B$1:$O$1,0),FALSE)/100,"")</f>
        <v/>
      </c>
      <c r="AU21" s="227"/>
      <c r="AV21" s="227" t="str">
        <f t="shared" si="3"/>
        <v>Nej</v>
      </c>
      <c r="AW21" s="227" t="str">
        <f>IF(AV21="ja",VLOOKUP($B21,'Egen hetvattenprod'!$B$1:$AO$500,MATCH("Värmekälla till värmepumpar ()",'Egen hetvattenprod'!$B$1:$AO$1,0),FALSE),"")</f>
        <v/>
      </c>
      <c r="AX21" s="227"/>
      <c r="AY21" s="227" t="str">
        <f t="shared" si="4"/>
        <v>Nej</v>
      </c>
      <c r="AZ21" s="228" t="str">
        <f>IF($AY21="ja",(VLOOKUP($B21,'Egen hetvattenprod'!$B$1:$BX$550,MATCH(AZ$2,'Egen hetvattenprod'!$B$1:$BX$1,0),FALSE)+VLOOKUP($B21,Kraftvärmeprod!$B$1:$BX$550,MATCH(AZ$2,Kraftvärmeprod!$B$1:$BX$1,0),FALSE))/$AC21,"")</f>
        <v/>
      </c>
      <c r="BA21" s="228" t="str">
        <f>IF($AY21="ja",(VLOOKUP($B21,'Egen hetvattenprod'!$B$1:$BX$550,MATCH(BA$2,'Egen hetvattenprod'!$B$1:$BX$1,0),FALSE)+VLOOKUP($B21,Kraftvärmeprod!$B$1:$BX$550,MATCH(BA$2,Kraftvärmeprod!$B$1:$BX$1,0),FALSE))/$AC21,"")</f>
        <v/>
      </c>
      <c r="BB21" s="228" t="str">
        <f>IF($AY21="ja",(VLOOKUP($B21,'Egen hetvattenprod'!$B$1:$BX$550,MATCH(BB$2,'Egen hetvattenprod'!$B$1:$BX$1,0),FALSE)+VLOOKUP($B21,Kraftvärmeprod!$B$1:$BX$550,MATCH(BB$2,Kraftvärmeprod!$B$1:$BX$1,0),FALSE))/$AC21,"")</f>
        <v/>
      </c>
      <c r="BC21" s="228" t="str">
        <f>IF($AY21="ja",(VLOOKUP($B21,'Egen hetvattenprod'!$B$1:$BX$550,MATCH(BC$2,'Egen hetvattenprod'!$B$1:$BX$1,0),FALSE)+VLOOKUP($B21,Kraftvärmeprod!$B$1:$BX$550,MATCH(BC$2,Kraftvärmeprod!$B$1:$BX$1,0),FALSE))/$AC21,"")</f>
        <v/>
      </c>
      <c r="BD21" s="228" t="str">
        <f>IF($AY21="ja",(VLOOKUP($B21,'Egen hetvattenprod'!$B$1:$BX$550,MATCH(BD$2,'Egen hetvattenprod'!$B$1:$BX$1,0),FALSE)+VLOOKUP($B21,Kraftvärmeprod!$B$1:$BX$550,MATCH(BD$2,Kraftvärmeprod!$B$1:$BX$1,0),FALSE))/$AC21,"")</f>
        <v/>
      </c>
      <c r="BE21" s="227"/>
      <c r="BF21" s="227" t="str">
        <f t="shared" si="5"/>
        <v>Nej</v>
      </c>
      <c r="BG21" s="227" t="str">
        <f>IF($BF21="ja",VLOOKUP($B21,'Egen hetvattenprod'!$B$1:$BX$550,MATCH("Andelen klimatgaser med fossilt ursprung för avfall ()",'Egen hetvattenprod'!$B$1:$BX$1,0),FALSE),"")</f>
        <v/>
      </c>
      <c r="BH21" s="227" t="str">
        <f>IF($BF21="ja",VLOOKUP($B21,Kraftvärmeprod!$B$1:$BX$550,MATCH("Andelen klimatgaser med fossilt ursprung för avfall ()",Kraftvärmeprod!$B$1:$BX$1,0),FALSE),"")</f>
        <v/>
      </c>
      <c r="BI21" s="227" t="str">
        <f>IF($BF21="ja",VLOOKUP($B21,'Egen hetvattenprod'!$B$1:$BX$550,MATCH("Avfall (GWh)",'Egen hetvattenprod'!$B$1:$BX$1,0),FALSE),"")</f>
        <v/>
      </c>
      <c r="BJ21" s="227" t="str">
        <f>IF($BF21="ja",VLOOKUP($B21,'Slutlig allokering kvv'!$B$1:$BX$550,MATCH("Avfall (GWh)",'Slutlig allokering kvv'!$B$1:$BX$1,0),FALSE),"")</f>
        <v/>
      </c>
      <c r="BK21" s="227" t="str">
        <f>IF($BF21="ja",VLOOKUP($B21,'Köpt hetvatten'!$B$1:$BX$550,MATCH("Avfall i köpt hetvatten",'Köpt hetvatten'!$B$1:$BX$1,0),FALSE),"")</f>
        <v/>
      </c>
      <c r="BL21" s="227" t="str">
        <f>IF($BF21="ja",VLOOKUP($B21,'Egen hetvattenprod'!$B$1:$BX$550,MATCH("Värde enligt ovan. (%)",'Egen hetvattenprod'!$B$1:$BX$1,0),FALSE),"")</f>
        <v/>
      </c>
      <c r="BM21" s="227" t="str">
        <f>IF($BF21="ja",VLOOKUP($B21,Kraftvärmeprod!$B$1:$BX$550,MATCH("Värde enligt ovan. (%)",Kraftvärmeprod!$B$1:$BX$1,0),FALSE),"")</f>
        <v/>
      </c>
      <c r="BN21" s="227"/>
      <c r="BO21" s="227"/>
      <c r="BP21" s="227"/>
      <c r="BQ21" s="227" t="str">
        <f>IF($BF21="ja",VLOOKUP($B21,'Egen hetvattenprod'!$B$1:$BX$550,MATCH("Tillförd olja (fossil) vid avfallsförbränning (GWh)",'Egen hetvattenprod'!$B$1:$BX$1,0),FALSE),"")</f>
        <v/>
      </c>
      <c r="BR21" s="227" t="str">
        <f>IF($BF21="ja",VLOOKUP($B21,Kraftvärmeprod!$B$1:$BX$550,MATCH("Tillförd olja (fossil) vid avfallsförbränning (GWh)",Kraftvärmeprod!$B$1:$BX$1,0),FALSE),"")</f>
        <v/>
      </c>
      <c r="BS21" s="227"/>
      <c r="BT21" s="227"/>
      <c r="BU21" s="227"/>
    </row>
    <row r="22" spans="1:73" x14ac:dyDescent="0.25">
      <c r="A22" s="121" t="str">
        <f>'Miljövärden för publ företag'!B25</f>
        <v>Affärsverken Karlskrona AB</v>
      </c>
      <c r="B22" s="121" t="str">
        <f>'Miljövärden för publ företag'!C25</f>
        <v>Fridlevstad</v>
      </c>
      <c r="C22" s="173">
        <f>IFERROR(VLOOKUP($B22,Totalt!$B$1:$AQ$554,MATCH(C$2,Totalt!$B$1:$AQ$1,0),FALSE),"")</f>
        <v>0</v>
      </c>
      <c r="D22" s="173">
        <f>IFERROR(VLOOKUP($B22,Totalt!$B$1:$AQ$554,MATCH(D$2,Totalt!$B$1:$AQ$1,0),FALSE),"")</f>
        <v>1.7999999999999999E-2</v>
      </c>
      <c r="E22" s="173">
        <f>IFERROR(VLOOKUP($B22,Totalt!$B$1:$AQ$554,MATCH(E$2,Totalt!$B$1:$AQ$1,0),FALSE),"")</f>
        <v>0</v>
      </c>
      <c r="F22" s="173">
        <f>IFERROR(VLOOKUP($B22,Totalt!$B$1:$AQ$554,MATCH(F$2,Totalt!$B$1:$AQ$1,0),FALSE),"")</f>
        <v>0</v>
      </c>
      <c r="G22" s="173">
        <f>IFERROR(VLOOKUP($B22,Totalt!$B$1:$AQ$554,MATCH(G$2,Totalt!$B$1:$AQ$1,0),FALSE),"")</f>
        <v>0</v>
      </c>
      <c r="H22" s="173">
        <f>IFERROR(VLOOKUP($B22,Totalt!$B$1:$AQ$554,MATCH(H$2,Totalt!$B$1:$AQ$1,0),FALSE),"")</f>
        <v>0</v>
      </c>
      <c r="I22" s="173">
        <f>IFERROR(VLOOKUP($B22,Totalt!$B$1:$AQ$554,MATCH(I$2,Totalt!$B$1:$AQ$1,0),FALSE),"")</f>
        <v>0</v>
      </c>
      <c r="J22" s="173">
        <f>IFERROR(VLOOKUP($B22,Totalt!$B$1:$AQ$554,MATCH(J$2,Totalt!$B$1:$AQ$1,0),FALSE),"")</f>
        <v>0</v>
      </c>
      <c r="K22" s="173">
        <f>IFERROR(VLOOKUP($B22,Totalt!$B$1:$AQ$554,MATCH(K$2,Totalt!$B$1:$AQ$1,0),FALSE),"")</f>
        <v>0</v>
      </c>
      <c r="L22" s="173">
        <f>IFERROR(VLOOKUP($B22,Totalt!$B$1:$AQ$554,MATCH(L$2,Totalt!$B$1:$AQ$1,0),FALSE),"")</f>
        <v>0</v>
      </c>
      <c r="M22" s="173">
        <f>IFERROR(VLOOKUP($B22,Totalt!$B$1:$AQ$554,MATCH(M$2,Totalt!$B$1:$AQ$1,0),FALSE),"")</f>
        <v>0</v>
      </c>
      <c r="N22" s="173">
        <f>IFERROR(VLOOKUP($B22,Totalt!$B$1:$AQ$554,MATCH(N$2,Totalt!$B$1:$AQ$1,0),FALSE),"")</f>
        <v>0</v>
      </c>
      <c r="O22" s="173">
        <f>IFERROR(VLOOKUP($B22,Totalt!$B$1:$AQ$554,MATCH(O$2,Totalt!$B$1:$AQ$1,0),FALSE),"")</f>
        <v>0</v>
      </c>
      <c r="P22" s="173">
        <f>IFERROR(VLOOKUP($B22,Totalt!$B$1:$AQ$554,MATCH(P$2,Totalt!$B$1:$AQ$1,0),FALSE),"")</f>
        <v>0</v>
      </c>
      <c r="Q22" s="173">
        <f>IFERROR(VLOOKUP($B22,Totalt!$B$1:$AQ$554,MATCH(Q$2,Totalt!$B$1:$AQ$1,0),FALSE),"")</f>
        <v>0</v>
      </c>
      <c r="R22" s="173">
        <f>IFERROR(VLOOKUP($B22,Totalt!$B$1:$AQ$554,MATCH(R$2,Totalt!$B$1:$AQ$1,0),FALSE),"")</f>
        <v>0.56599999999999995</v>
      </c>
      <c r="S22" s="173">
        <f>IFERROR(VLOOKUP($B22,Totalt!$B$1:$AQ$554,MATCH(S$2,Totalt!$B$1:$AQ$1,0),FALSE),"")</f>
        <v>0</v>
      </c>
      <c r="T22" s="173">
        <f>IFERROR(VLOOKUP($B22,Totalt!$B$1:$AQ$554,MATCH(T$2,Totalt!$B$1:$AQ$1,0),FALSE),"")</f>
        <v>0</v>
      </c>
      <c r="U22" s="173">
        <f>IFERROR(VLOOKUP($B22,Totalt!$B$1:$AQ$554,MATCH(U$2,Totalt!$B$1:$AQ$1,0),FALSE),"")</f>
        <v>0</v>
      </c>
      <c r="V22" s="173">
        <f>IFERROR(VLOOKUP($B22,Totalt!$B$1:$AQ$554,MATCH(V$2,Totalt!$B$1:$AQ$1,0),FALSE),"")</f>
        <v>0</v>
      </c>
      <c r="W22" s="173">
        <f>IFERROR(VLOOKUP($B22,Totalt!$B$1:$AQ$554,MATCH(W$2,Totalt!$B$1:$AQ$1,0),FALSE),"")</f>
        <v>0</v>
      </c>
      <c r="X22" s="173">
        <f>IFERROR(VLOOKUP($B22,Totalt!$B$1:$AQ$554,MATCH(X$2,Totalt!$B$1:$AQ$1,0),FALSE),"")</f>
        <v>0</v>
      </c>
      <c r="Y22" s="173">
        <f>IFERROR(VLOOKUP($B22,Totalt!$B$1:$AQ$554,MATCH(Y$2,Totalt!$B$1:$AQ$1,0),FALSE),"")</f>
        <v>0</v>
      </c>
      <c r="Z22" s="173">
        <f>IFERROR(VLOOKUP($B22,Totalt!$B$1:$AQ$554,MATCH(Z$2,Totalt!$B$1:$AQ$1,0),FALSE),"")</f>
        <v>0</v>
      </c>
      <c r="AA22" s="173">
        <f>IFERROR(VLOOKUP($B22,Totalt!$B$1:$AQ$554,MATCH(AA$2,Totalt!$B$1:$AQ$1,0),FALSE),"")</f>
        <v>0</v>
      </c>
      <c r="AB22" s="173">
        <f>IFERROR(VLOOKUP($B22,Totalt!$B$1:$AQ$554,MATCH(AB$2,Totalt!$B$1:$AQ$1,0),FALSE),"")</f>
        <v>0</v>
      </c>
      <c r="AC22" s="173">
        <f>IFERROR(VLOOKUP($B22,Totalt!$B$1:$AQ$554,MATCH(AC$2,Totalt!$B$1:$AQ$1,0),FALSE),"")</f>
        <v>0</v>
      </c>
      <c r="AD22" s="173">
        <f>IFERROR(VLOOKUP($B22,Totalt!$B$1:$AQ$554,MATCH(AD$2,Totalt!$B$1:$AQ$1,0),FALSE),"")</f>
        <v>0</v>
      </c>
      <c r="AE22" s="173">
        <f>IFERROR(VLOOKUP($B22,Totalt!$B$1:$AQ$554,MATCH(AE$2,Totalt!$B$1:$AQ$1,0),FALSE),"")</f>
        <v>0</v>
      </c>
      <c r="AF22" s="173">
        <f>IFERROR(VLOOKUP($B22,Totalt!$B$1:$AQ$554,MATCH(AF$2,Totalt!$B$1:$AQ$1,0),FALSE),"")</f>
        <v>1.4E-2</v>
      </c>
      <c r="AG22" s="173">
        <f>IFERROR(VLOOKUP($B22,Totalt!$B$1:$AQ$554,MATCH(AG$2,Totalt!$B$1:$AQ$1,0),FALSE),"")</f>
        <v>0</v>
      </c>
      <c r="AI22" s="226">
        <f t="shared" si="0"/>
        <v>0.59799999999999998</v>
      </c>
      <c r="AJ22" s="226">
        <f>IF(ISERROR(1/VLOOKUP($B22,Leveranser!$B$1:$S$500,MATCH("såld värme (gwh)",Leveranser!$B$1:$S$1,0),FALSE)),"",VLOOKUP($B22,Leveranser!$B$1:$S$500,MATCH("såld värme (gwh)",Leveranser!$B$1:$S$1,0),FALSE))</f>
        <v>0.38</v>
      </c>
      <c r="AM22" s="227" t="str">
        <f>IF(B22&lt;&gt;"",IF(VLOOKUP($B22,Totalt!$B$1:$AQ$554,MATCH("Kvalitetsgranskad:",Totalt!$B$1:$AQ$1,0),FALSE)="ja",VLOOKUP($B22,Miljö!$B$1:$AG$479,MATCH(AM$2,Miljö!$B$1:$AK$1,0),FALSE),""),"")</f>
        <v>Ja</v>
      </c>
      <c r="AN22" s="227" t="str">
        <f>IF(AM22="ja",VLOOKUP($B22,Miljö!$B$1:$J$479,MATCH("Typ av ursprungsspecificerad el   (Om inget värde anges används Nordisk residualmix, se inforuta) ()",Miljö!$B$1:$J$1,0),FALSE),IF(AM22="nej","Nordisk residualel",""))</f>
        <v>''Förnybar el "guarantee of origin"''</v>
      </c>
      <c r="AO22" s="227">
        <f>IF(AM22="","",VLOOKUP($B22,Miljö!$B$1:$J$479,MATCH("Fossilandel för ursprungspecificerad el ()",Miljö!$B$1:$J$1,0),FALSE))</f>
        <v>0</v>
      </c>
      <c r="AP22" s="227">
        <f>IF(AM22="","",IFERROR(VLOOKUP($B22,Miljö!$B$1:$J$479,MATCH("Kärnkraftsandel för ursprungsspecificerad el ()",Miljö!$B$1:$J$1,0),FALSE)/1,0))</f>
        <v>0</v>
      </c>
      <c r="AQ22" s="227">
        <f t="shared" si="1"/>
        <v>1</v>
      </c>
      <c r="AR22" s="227"/>
      <c r="AS22" s="227" t="str">
        <f t="shared" si="2"/>
        <v>Nej</v>
      </c>
      <c r="AT22" s="227" t="str">
        <f>IF(AS22="ja",VLOOKUP($B22,Miljö!$B$1:$O$500,MATCH("Fossil andel i procent (%)",Miljö!$B$1:$O$1,0),FALSE)/100,"")</f>
        <v/>
      </c>
      <c r="AU22" s="227"/>
      <c r="AV22" s="227" t="str">
        <f t="shared" si="3"/>
        <v>Nej</v>
      </c>
      <c r="AW22" s="227" t="str">
        <f>IF(AV22="ja",VLOOKUP($B22,'Egen hetvattenprod'!$B$1:$AO$500,MATCH("Värmekälla till värmepumpar ()",'Egen hetvattenprod'!$B$1:$AO$1,0),FALSE),"")</f>
        <v/>
      </c>
      <c r="AX22" s="227"/>
      <c r="AY22" s="227" t="str">
        <f t="shared" si="4"/>
        <v>Nej</v>
      </c>
      <c r="AZ22" s="228" t="str">
        <f>IF($AY22="ja",(VLOOKUP($B22,'Egen hetvattenprod'!$B$1:$BX$550,MATCH(AZ$2,'Egen hetvattenprod'!$B$1:$BX$1,0),FALSE)+VLOOKUP($B22,Kraftvärmeprod!$B$1:$BX$550,MATCH(AZ$2,Kraftvärmeprod!$B$1:$BX$1,0),FALSE))/$AC22,"")</f>
        <v/>
      </c>
      <c r="BA22" s="228" t="str">
        <f>IF($AY22="ja",(VLOOKUP($B22,'Egen hetvattenprod'!$B$1:$BX$550,MATCH(BA$2,'Egen hetvattenprod'!$B$1:$BX$1,0),FALSE)+VLOOKUP($B22,Kraftvärmeprod!$B$1:$BX$550,MATCH(BA$2,Kraftvärmeprod!$B$1:$BX$1,0),FALSE))/$AC22,"")</f>
        <v/>
      </c>
      <c r="BB22" s="228" t="str">
        <f>IF($AY22="ja",(VLOOKUP($B22,'Egen hetvattenprod'!$B$1:$BX$550,MATCH(BB$2,'Egen hetvattenprod'!$B$1:$BX$1,0),FALSE)+VLOOKUP($B22,Kraftvärmeprod!$B$1:$BX$550,MATCH(BB$2,Kraftvärmeprod!$B$1:$BX$1,0),FALSE))/$AC22,"")</f>
        <v/>
      </c>
      <c r="BC22" s="228" t="str">
        <f>IF($AY22="ja",(VLOOKUP($B22,'Egen hetvattenprod'!$B$1:$BX$550,MATCH(BC$2,'Egen hetvattenprod'!$B$1:$BX$1,0),FALSE)+VLOOKUP($B22,Kraftvärmeprod!$B$1:$BX$550,MATCH(BC$2,Kraftvärmeprod!$B$1:$BX$1,0),FALSE))/$AC22,"")</f>
        <v/>
      </c>
      <c r="BD22" s="228" t="str">
        <f>IF($AY22="ja",(VLOOKUP($B22,'Egen hetvattenprod'!$B$1:$BX$550,MATCH(BD$2,'Egen hetvattenprod'!$B$1:$BX$1,0),FALSE)+VLOOKUP($B22,Kraftvärmeprod!$B$1:$BX$550,MATCH(BD$2,Kraftvärmeprod!$B$1:$BX$1,0),FALSE))/$AC22,"")</f>
        <v/>
      </c>
      <c r="BE22" s="227"/>
      <c r="BF22" s="227" t="str">
        <f t="shared" si="5"/>
        <v>Nej</v>
      </c>
      <c r="BG22" s="227" t="str">
        <f>IF($BF22="ja",VLOOKUP($B22,'Egen hetvattenprod'!$B$1:$BX$550,MATCH("Andelen klimatgaser med fossilt ursprung för avfall ()",'Egen hetvattenprod'!$B$1:$BX$1,0),FALSE),"")</f>
        <v/>
      </c>
      <c r="BH22" s="227" t="str">
        <f>IF($BF22="ja",VLOOKUP($B22,Kraftvärmeprod!$B$1:$BX$550,MATCH("Andelen klimatgaser med fossilt ursprung för avfall ()",Kraftvärmeprod!$B$1:$BX$1,0),FALSE),"")</f>
        <v/>
      </c>
      <c r="BI22" s="227" t="str">
        <f>IF($BF22="ja",VLOOKUP($B22,'Egen hetvattenprod'!$B$1:$BX$550,MATCH("Avfall (GWh)",'Egen hetvattenprod'!$B$1:$BX$1,0),FALSE),"")</f>
        <v/>
      </c>
      <c r="BJ22" s="227" t="str">
        <f>IF($BF22="ja",VLOOKUP($B22,'Slutlig allokering kvv'!$B$1:$BX$550,MATCH("Avfall (GWh)",'Slutlig allokering kvv'!$B$1:$BX$1,0),FALSE),"")</f>
        <v/>
      </c>
      <c r="BK22" s="227" t="str">
        <f>IF($BF22="ja",VLOOKUP($B22,'Köpt hetvatten'!$B$1:$BX$550,MATCH("Avfall i köpt hetvatten",'Köpt hetvatten'!$B$1:$BX$1,0),FALSE),"")</f>
        <v/>
      </c>
      <c r="BL22" s="227" t="str">
        <f>IF($BF22="ja",VLOOKUP($B22,'Egen hetvattenprod'!$B$1:$BX$550,MATCH("Värde enligt ovan. (%)",'Egen hetvattenprod'!$B$1:$BX$1,0),FALSE),"")</f>
        <v/>
      </c>
      <c r="BM22" s="227" t="str">
        <f>IF($BF22="ja",VLOOKUP($B22,Kraftvärmeprod!$B$1:$BX$550,MATCH("Värde enligt ovan. (%)",Kraftvärmeprod!$B$1:$BX$1,0),FALSE),"")</f>
        <v/>
      </c>
      <c r="BN22" s="227"/>
      <c r="BO22" s="227"/>
      <c r="BP22" s="227"/>
      <c r="BQ22" s="227" t="str">
        <f>IF($BF22="ja",VLOOKUP($B22,'Egen hetvattenprod'!$B$1:$BX$550,MATCH("Tillförd olja (fossil) vid avfallsförbränning (GWh)",'Egen hetvattenprod'!$B$1:$BX$1,0),FALSE),"")</f>
        <v/>
      </c>
      <c r="BR22" s="227" t="str">
        <f>IF($BF22="ja",VLOOKUP($B22,Kraftvärmeprod!$B$1:$BX$550,MATCH("Tillförd olja (fossil) vid avfallsförbränning (GWh)",Kraftvärmeprod!$B$1:$BX$1,0),FALSE),"")</f>
        <v/>
      </c>
      <c r="BS22" s="227"/>
      <c r="BT22" s="227"/>
      <c r="BU22" s="227"/>
    </row>
    <row r="23" spans="1:73" x14ac:dyDescent="0.25">
      <c r="A23" s="121" t="str">
        <f>'Miljövärden för publ företag'!B26</f>
        <v>Affärsverken Karlskrona AB</v>
      </c>
      <c r="B23" s="121" t="str">
        <f>'Miljövärden för publ företag'!C26</f>
        <v>Jämjö</v>
      </c>
      <c r="C23" s="173">
        <f>IFERROR(VLOOKUP($B23,Totalt!$B$1:$AQ$554,MATCH(C$2,Totalt!$B$1:$AQ$1,0),FALSE),"")</f>
        <v>0</v>
      </c>
      <c r="D23" s="173">
        <f>IFERROR(VLOOKUP($B23,Totalt!$B$1:$AQ$554,MATCH(D$2,Totalt!$B$1:$AQ$1,0),FALSE),"")</f>
        <v>4.8000000000000001E-2</v>
      </c>
      <c r="E23" s="173">
        <f>IFERROR(VLOOKUP($B23,Totalt!$B$1:$AQ$554,MATCH(E$2,Totalt!$B$1:$AQ$1,0),FALSE),"")</f>
        <v>0</v>
      </c>
      <c r="F23" s="173">
        <f>IFERROR(VLOOKUP($B23,Totalt!$B$1:$AQ$554,MATCH(F$2,Totalt!$B$1:$AQ$1,0),FALSE),"")</f>
        <v>0</v>
      </c>
      <c r="G23" s="173">
        <f>IFERROR(VLOOKUP($B23,Totalt!$B$1:$AQ$554,MATCH(G$2,Totalt!$B$1:$AQ$1,0),FALSE),"")</f>
        <v>0</v>
      </c>
      <c r="H23" s="173">
        <f>IFERROR(VLOOKUP($B23,Totalt!$B$1:$AQ$554,MATCH(H$2,Totalt!$B$1:$AQ$1,0),FALSE),"")</f>
        <v>0</v>
      </c>
      <c r="I23" s="173">
        <f>IFERROR(VLOOKUP($B23,Totalt!$B$1:$AQ$554,MATCH(I$2,Totalt!$B$1:$AQ$1,0),FALSE),"")</f>
        <v>0</v>
      </c>
      <c r="J23" s="173">
        <f>IFERROR(VLOOKUP($B23,Totalt!$B$1:$AQ$554,MATCH(J$2,Totalt!$B$1:$AQ$1,0),FALSE),"")</f>
        <v>0</v>
      </c>
      <c r="K23" s="173">
        <f>IFERROR(VLOOKUP($B23,Totalt!$B$1:$AQ$554,MATCH(K$2,Totalt!$B$1:$AQ$1,0),FALSE),"")</f>
        <v>0</v>
      </c>
      <c r="L23" s="173">
        <f>IFERROR(VLOOKUP($B23,Totalt!$B$1:$AQ$554,MATCH(L$2,Totalt!$B$1:$AQ$1,0),FALSE),"")</f>
        <v>0</v>
      </c>
      <c r="M23" s="173">
        <f>IFERROR(VLOOKUP($B23,Totalt!$B$1:$AQ$554,MATCH(M$2,Totalt!$B$1:$AQ$1,0),FALSE),"")</f>
        <v>0</v>
      </c>
      <c r="N23" s="173">
        <f>IFERROR(VLOOKUP($B23,Totalt!$B$1:$AQ$554,MATCH(N$2,Totalt!$B$1:$AQ$1,0),FALSE),"")</f>
        <v>0</v>
      </c>
      <c r="O23" s="173">
        <f>IFERROR(VLOOKUP($B23,Totalt!$B$1:$AQ$554,MATCH(O$2,Totalt!$B$1:$AQ$1,0),FALSE),"")</f>
        <v>0</v>
      </c>
      <c r="P23" s="173">
        <f>IFERROR(VLOOKUP($B23,Totalt!$B$1:$AQ$554,MATCH(P$2,Totalt!$B$1:$AQ$1,0),FALSE),"")</f>
        <v>0</v>
      </c>
      <c r="Q23" s="173">
        <f>IFERROR(VLOOKUP($B23,Totalt!$B$1:$AQ$554,MATCH(Q$2,Totalt!$B$1:$AQ$1,0),FALSE),"")</f>
        <v>0</v>
      </c>
      <c r="R23" s="173">
        <f>IFERROR(VLOOKUP($B23,Totalt!$B$1:$AQ$554,MATCH(R$2,Totalt!$B$1:$AQ$1,0),FALSE),"")</f>
        <v>6.9210000000000003</v>
      </c>
      <c r="S23" s="173">
        <f>IFERROR(VLOOKUP($B23,Totalt!$B$1:$AQ$554,MATCH(S$2,Totalt!$B$1:$AQ$1,0),FALSE),"")</f>
        <v>0</v>
      </c>
      <c r="T23" s="173">
        <f>IFERROR(VLOOKUP($B23,Totalt!$B$1:$AQ$554,MATCH(T$2,Totalt!$B$1:$AQ$1,0),FALSE),"")</f>
        <v>0</v>
      </c>
      <c r="U23" s="173">
        <f>IFERROR(VLOOKUP($B23,Totalt!$B$1:$AQ$554,MATCH(U$2,Totalt!$B$1:$AQ$1,0),FALSE),"")</f>
        <v>0</v>
      </c>
      <c r="V23" s="173">
        <f>IFERROR(VLOOKUP($B23,Totalt!$B$1:$AQ$554,MATCH(V$2,Totalt!$B$1:$AQ$1,0),FALSE),"")</f>
        <v>0</v>
      </c>
      <c r="W23" s="173">
        <f>IFERROR(VLOOKUP($B23,Totalt!$B$1:$AQ$554,MATCH(W$2,Totalt!$B$1:$AQ$1,0),FALSE),"")</f>
        <v>0</v>
      </c>
      <c r="X23" s="173">
        <f>IFERROR(VLOOKUP($B23,Totalt!$B$1:$AQ$554,MATCH(X$2,Totalt!$B$1:$AQ$1,0),FALSE),"")</f>
        <v>0</v>
      </c>
      <c r="Y23" s="173">
        <f>IFERROR(VLOOKUP($B23,Totalt!$B$1:$AQ$554,MATCH(Y$2,Totalt!$B$1:$AQ$1,0),FALSE),"")</f>
        <v>0</v>
      </c>
      <c r="Z23" s="173">
        <f>IFERROR(VLOOKUP($B23,Totalt!$B$1:$AQ$554,MATCH(Z$2,Totalt!$B$1:$AQ$1,0),FALSE),"")</f>
        <v>0</v>
      </c>
      <c r="AA23" s="173">
        <f>IFERROR(VLOOKUP($B23,Totalt!$B$1:$AQ$554,MATCH(AA$2,Totalt!$B$1:$AQ$1,0),FALSE),"")</f>
        <v>0</v>
      </c>
      <c r="AB23" s="173">
        <f>IFERROR(VLOOKUP($B23,Totalt!$B$1:$AQ$554,MATCH(AB$2,Totalt!$B$1:$AQ$1,0),FALSE),"")</f>
        <v>0</v>
      </c>
      <c r="AC23" s="173">
        <f>IFERROR(VLOOKUP($B23,Totalt!$B$1:$AQ$554,MATCH(AC$2,Totalt!$B$1:$AQ$1,0),FALSE),"")</f>
        <v>0</v>
      </c>
      <c r="AD23" s="173">
        <f>IFERROR(VLOOKUP($B23,Totalt!$B$1:$AQ$554,MATCH(AD$2,Totalt!$B$1:$AQ$1,0),FALSE),"")</f>
        <v>0</v>
      </c>
      <c r="AE23" s="173">
        <f>IFERROR(VLOOKUP($B23,Totalt!$B$1:$AQ$554,MATCH(AE$2,Totalt!$B$1:$AQ$1,0),FALSE),"")</f>
        <v>0</v>
      </c>
      <c r="AF23" s="173">
        <f>IFERROR(VLOOKUP($B23,Totalt!$B$1:$AQ$554,MATCH(AF$2,Totalt!$B$1:$AQ$1,0),FALSE),"")</f>
        <v>0.104</v>
      </c>
      <c r="AG23" s="173">
        <f>IFERROR(VLOOKUP($B23,Totalt!$B$1:$AQ$554,MATCH(AG$2,Totalt!$B$1:$AQ$1,0),FALSE),"")</f>
        <v>0</v>
      </c>
      <c r="AI23" s="226">
        <f t="shared" si="0"/>
        <v>7.0730000000000004</v>
      </c>
      <c r="AJ23" s="226">
        <f>IF(ISERROR(1/VLOOKUP($B23,Leveranser!$B$1:$S$500,MATCH("såld värme (gwh)",Leveranser!$B$1:$S$1,0),FALSE)),"",VLOOKUP($B23,Leveranser!$B$1:$S$500,MATCH("såld värme (gwh)",Leveranser!$B$1:$S$1,0),FALSE))</f>
        <v>4.95</v>
      </c>
      <c r="AM23" s="227" t="str">
        <f>IF(B23&lt;&gt;"",IF(VLOOKUP($B23,Totalt!$B$1:$AQ$554,MATCH("Kvalitetsgranskad:",Totalt!$B$1:$AQ$1,0),FALSE)="ja",VLOOKUP($B23,Miljö!$B$1:$AG$479,MATCH(AM$2,Miljö!$B$1:$AK$1,0),FALSE),""),"")</f>
        <v>Ja</v>
      </c>
      <c r="AN23" s="227" t="str">
        <f>IF(AM23="ja",VLOOKUP($B23,Miljö!$B$1:$J$479,MATCH("Typ av ursprungsspecificerad el   (Om inget värde anges används Nordisk residualmix, se inforuta) ()",Miljö!$B$1:$J$1,0),FALSE),IF(AM23="nej","Nordisk residualel",""))</f>
        <v>''förnybar el "guarantee of origin"''</v>
      </c>
      <c r="AO23" s="227">
        <f>IF(AM23="","",VLOOKUP($B23,Miljö!$B$1:$J$479,MATCH("Fossilandel för ursprungspecificerad el ()",Miljö!$B$1:$J$1,0),FALSE))</f>
        <v>0</v>
      </c>
      <c r="AP23" s="227">
        <f>IF(AM23="","",IFERROR(VLOOKUP($B23,Miljö!$B$1:$J$479,MATCH("Kärnkraftsandel för ursprungsspecificerad el ()",Miljö!$B$1:$J$1,0),FALSE)/1,0))</f>
        <v>0</v>
      </c>
      <c r="AQ23" s="227">
        <f t="shared" si="1"/>
        <v>1</v>
      </c>
      <c r="AR23" s="227"/>
      <c r="AS23" s="227" t="str">
        <f t="shared" si="2"/>
        <v>Nej</v>
      </c>
      <c r="AT23" s="227" t="str">
        <f>IF(AS23="ja",VLOOKUP($B23,Miljö!$B$1:$O$500,MATCH("Fossil andel i procent (%)",Miljö!$B$1:$O$1,0),FALSE)/100,"")</f>
        <v/>
      </c>
      <c r="AU23" s="227"/>
      <c r="AV23" s="227" t="str">
        <f t="shared" si="3"/>
        <v>Nej</v>
      </c>
      <c r="AW23" s="227" t="str">
        <f>IF(AV23="ja",VLOOKUP($B23,'Egen hetvattenprod'!$B$1:$AO$500,MATCH("Värmekälla till värmepumpar ()",'Egen hetvattenprod'!$B$1:$AO$1,0),FALSE),"")</f>
        <v/>
      </c>
      <c r="AX23" s="227"/>
      <c r="AY23" s="227" t="str">
        <f t="shared" si="4"/>
        <v>Nej</v>
      </c>
      <c r="AZ23" s="228" t="str">
        <f>IF($AY23="ja",(VLOOKUP($B23,'Egen hetvattenprod'!$B$1:$BX$550,MATCH(AZ$2,'Egen hetvattenprod'!$B$1:$BX$1,0),FALSE)+VLOOKUP($B23,Kraftvärmeprod!$B$1:$BX$550,MATCH(AZ$2,Kraftvärmeprod!$B$1:$BX$1,0),FALSE))/$AC23,"")</f>
        <v/>
      </c>
      <c r="BA23" s="228" t="str">
        <f>IF($AY23="ja",(VLOOKUP($B23,'Egen hetvattenprod'!$B$1:$BX$550,MATCH(BA$2,'Egen hetvattenprod'!$B$1:$BX$1,0),FALSE)+VLOOKUP($B23,Kraftvärmeprod!$B$1:$BX$550,MATCH(BA$2,Kraftvärmeprod!$B$1:$BX$1,0),FALSE))/$AC23,"")</f>
        <v/>
      </c>
      <c r="BB23" s="228" t="str">
        <f>IF($AY23="ja",(VLOOKUP($B23,'Egen hetvattenprod'!$B$1:$BX$550,MATCH(BB$2,'Egen hetvattenprod'!$B$1:$BX$1,0),FALSE)+VLOOKUP($B23,Kraftvärmeprod!$B$1:$BX$550,MATCH(BB$2,Kraftvärmeprod!$B$1:$BX$1,0),FALSE))/$AC23,"")</f>
        <v/>
      </c>
      <c r="BC23" s="228" t="str">
        <f>IF($AY23="ja",(VLOOKUP($B23,'Egen hetvattenprod'!$B$1:$BX$550,MATCH(BC$2,'Egen hetvattenprod'!$B$1:$BX$1,0),FALSE)+VLOOKUP($B23,Kraftvärmeprod!$B$1:$BX$550,MATCH(BC$2,Kraftvärmeprod!$B$1:$BX$1,0),FALSE))/$AC23,"")</f>
        <v/>
      </c>
      <c r="BD23" s="228" t="str">
        <f>IF($AY23="ja",(VLOOKUP($B23,'Egen hetvattenprod'!$B$1:$BX$550,MATCH(BD$2,'Egen hetvattenprod'!$B$1:$BX$1,0),FALSE)+VLOOKUP($B23,Kraftvärmeprod!$B$1:$BX$550,MATCH(BD$2,Kraftvärmeprod!$B$1:$BX$1,0),FALSE))/$AC23,"")</f>
        <v/>
      </c>
      <c r="BE23" s="227"/>
      <c r="BF23" s="227" t="str">
        <f t="shared" si="5"/>
        <v>Nej</v>
      </c>
      <c r="BG23" s="227" t="str">
        <f>IF($BF23="ja",VLOOKUP($B23,'Egen hetvattenprod'!$B$1:$BX$550,MATCH("Andelen klimatgaser med fossilt ursprung för avfall ()",'Egen hetvattenprod'!$B$1:$BX$1,0),FALSE),"")</f>
        <v/>
      </c>
      <c r="BH23" s="227" t="str">
        <f>IF($BF23="ja",VLOOKUP($B23,Kraftvärmeprod!$B$1:$BX$550,MATCH("Andelen klimatgaser med fossilt ursprung för avfall ()",Kraftvärmeprod!$B$1:$BX$1,0),FALSE),"")</f>
        <v/>
      </c>
      <c r="BI23" s="227" t="str">
        <f>IF($BF23="ja",VLOOKUP($B23,'Egen hetvattenprod'!$B$1:$BX$550,MATCH("Avfall (GWh)",'Egen hetvattenprod'!$B$1:$BX$1,0),FALSE),"")</f>
        <v/>
      </c>
      <c r="BJ23" s="227" t="str">
        <f>IF($BF23="ja",VLOOKUP($B23,'Slutlig allokering kvv'!$B$1:$BX$550,MATCH("Avfall (GWh)",'Slutlig allokering kvv'!$B$1:$BX$1,0),FALSE),"")</f>
        <v/>
      </c>
      <c r="BK23" s="227" t="str">
        <f>IF($BF23="ja",VLOOKUP($B23,'Köpt hetvatten'!$B$1:$BX$550,MATCH("Avfall i köpt hetvatten",'Köpt hetvatten'!$B$1:$BX$1,0),FALSE),"")</f>
        <v/>
      </c>
      <c r="BL23" s="227" t="str">
        <f>IF($BF23="ja",VLOOKUP($B23,'Egen hetvattenprod'!$B$1:$BX$550,MATCH("Värde enligt ovan. (%)",'Egen hetvattenprod'!$B$1:$BX$1,0),FALSE),"")</f>
        <v/>
      </c>
      <c r="BM23" s="227" t="str">
        <f>IF($BF23="ja",VLOOKUP($B23,Kraftvärmeprod!$B$1:$BX$550,MATCH("Värde enligt ovan. (%)",Kraftvärmeprod!$B$1:$BX$1,0),FALSE),"")</f>
        <v/>
      </c>
      <c r="BN23" s="227"/>
      <c r="BO23" s="227"/>
      <c r="BP23" s="227"/>
      <c r="BQ23" s="227" t="str">
        <f>IF($BF23="ja",VLOOKUP($B23,'Egen hetvattenprod'!$B$1:$BX$550,MATCH("Tillförd olja (fossil) vid avfallsförbränning (GWh)",'Egen hetvattenprod'!$B$1:$BX$1,0),FALSE),"")</f>
        <v/>
      </c>
      <c r="BR23" s="227" t="str">
        <f>IF($BF23="ja",VLOOKUP($B23,Kraftvärmeprod!$B$1:$BX$550,MATCH("Tillförd olja (fossil) vid avfallsförbränning (GWh)",Kraftvärmeprod!$B$1:$BX$1,0),FALSE),"")</f>
        <v/>
      </c>
      <c r="BS23" s="227"/>
      <c r="BT23" s="227"/>
      <c r="BU23" s="227"/>
    </row>
    <row r="24" spans="1:73" x14ac:dyDescent="0.25">
      <c r="A24" s="121" t="str">
        <f>'Miljövärden för publ företag'!B27</f>
        <v>Affärsverken Karlskrona AB</v>
      </c>
      <c r="B24" s="121" t="str">
        <f>'Miljövärden för publ företag'!C27</f>
        <v>Karlskrona</v>
      </c>
      <c r="C24" s="173">
        <f>IFERROR(VLOOKUP($B24,Totalt!$B$1:$AQ$554,MATCH(C$2,Totalt!$B$1:$AQ$1,0),FALSE),"")</f>
        <v>0</v>
      </c>
      <c r="D24" s="173">
        <f>IFERROR(VLOOKUP($B24,Totalt!$B$1:$AQ$554,MATCH(D$2,Totalt!$B$1:$AQ$1,0),FALSE),"")</f>
        <v>0.37356400000000001</v>
      </c>
      <c r="E24" s="173">
        <f>IFERROR(VLOOKUP($B24,Totalt!$B$1:$AQ$554,MATCH(E$2,Totalt!$B$1:$AQ$1,0),FALSE),"")</f>
        <v>0</v>
      </c>
      <c r="F24" s="173">
        <f>IFERROR(VLOOKUP($B24,Totalt!$B$1:$AQ$554,MATCH(F$2,Totalt!$B$1:$AQ$1,0),FALSE),"")</f>
        <v>0</v>
      </c>
      <c r="G24" s="173">
        <f>IFERROR(VLOOKUP($B24,Totalt!$B$1:$AQ$554,MATCH(G$2,Totalt!$B$1:$AQ$1,0),FALSE),"")</f>
        <v>0</v>
      </c>
      <c r="H24" s="173">
        <f>IFERROR(VLOOKUP($B24,Totalt!$B$1:$AQ$554,MATCH(H$2,Totalt!$B$1:$AQ$1,0),FALSE),"")</f>
        <v>0</v>
      </c>
      <c r="I24" s="173">
        <f>IFERROR(VLOOKUP($B24,Totalt!$B$1:$AQ$554,MATCH(I$2,Totalt!$B$1:$AQ$1,0),FALSE),"")</f>
        <v>0</v>
      </c>
      <c r="J24" s="173">
        <f>IFERROR(VLOOKUP($B24,Totalt!$B$1:$AQ$554,MATCH(J$2,Totalt!$B$1:$AQ$1,0),FALSE),"")</f>
        <v>0</v>
      </c>
      <c r="K24" s="173">
        <f>IFERROR(VLOOKUP($B24,Totalt!$B$1:$AQ$554,MATCH(K$2,Totalt!$B$1:$AQ$1,0),FALSE),"")</f>
        <v>0</v>
      </c>
      <c r="L24" s="173">
        <f>IFERROR(VLOOKUP($B24,Totalt!$B$1:$AQ$554,MATCH(L$2,Totalt!$B$1:$AQ$1,0),FALSE),"")</f>
        <v>34.304099999999998</v>
      </c>
      <c r="M24" s="173">
        <f>IFERROR(VLOOKUP($B24,Totalt!$B$1:$AQ$554,MATCH(M$2,Totalt!$B$1:$AQ$1,0),FALSE),"")</f>
        <v>16.279900000000001</v>
      </c>
      <c r="N24" s="173">
        <f>IFERROR(VLOOKUP($B24,Totalt!$B$1:$AQ$554,MATCH(N$2,Totalt!$B$1:$AQ$1,0),FALSE),"")</f>
        <v>123.217</v>
      </c>
      <c r="O24" s="173">
        <f>IFERROR(VLOOKUP($B24,Totalt!$B$1:$AQ$554,MATCH(O$2,Totalt!$B$1:$AQ$1,0),FALSE),"")</f>
        <v>22.534099999999999</v>
      </c>
      <c r="P24" s="173">
        <f>IFERROR(VLOOKUP($B24,Totalt!$B$1:$AQ$554,MATCH(P$2,Totalt!$B$1:$AQ$1,0),FALSE),"")</f>
        <v>10.9314</v>
      </c>
      <c r="Q24" s="173">
        <f>IFERROR(VLOOKUP($B24,Totalt!$B$1:$AQ$554,MATCH(Q$2,Totalt!$B$1:$AQ$1,0),FALSE),"")</f>
        <v>6.2052800000000001</v>
      </c>
      <c r="R24" s="173">
        <f>IFERROR(VLOOKUP($B24,Totalt!$B$1:$AQ$554,MATCH(R$2,Totalt!$B$1:$AQ$1,0),FALSE),"")</f>
        <v>0</v>
      </c>
      <c r="S24" s="173">
        <f>IFERROR(VLOOKUP($B24,Totalt!$B$1:$AQ$554,MATCH(S$2,Totalt!$B$1:$AQ$1,0),FALSE),"")</f>
        <v>0</v>
      </c>
      <c r="T24" s="173">
        <f>IFERROR(VLOOKUP($B24,Totalt!$B$1:$AQ$554,MATCH(T$2,Totalt!$B$1:$AQ$1,0),FALSE),"")</f>
        <v>0</v>
      </c>
      <c r="U24" s="173">
        <f>IFERROR(VLOOKUP($B24,Totalt!$B$1:$AQ$554,MATCH(U$2,Totalt!$B$1:$AQ$1,0),FALSE),"")</f>
        <v>0</v>
      </c>
      <c r="V24" s="173">
        <f>IFERROR(VLOOKUP($B24,Totalt!$B$1:$AQ$554,MATCH(V$2,Totalt!$B$1:$AQ$1,0),FALSE),"")</f>
        <v>0</v>
      </c>
      <c r="W24" s="173">
        <f>IFERROR(VLOOKUP($B24,Totalt!$B$1:$AQ$554,MATCH(W$2,Totalt!$B$1:$AQ$1,0),FALSE),"")</f>
        <v>1.2749999999999999</v>
      </c>
      <c r="X24" s="173">
        <f>IFERROR(VLOOKUP($B24,Totalt!$B$1:$AQ$554,MATCH(X$2,Totalt!$B$1:$AQ$1,0),FALSE),"")</f>
        <v>0</v>
      </c>
      <c r="Y24" s="173">
        <f>IFERROR(VLOOKUP($B24,Totalt!$B$1:$AQ$554,MATCH(Y$2,Totalt!$B$1:$AQ$1,0),FALSE),"")</f>
        <v>9.2766400000000004</v>
      </c>
      <c r="Z24" s="173">
        <f>IFERROR(VLOOKUP($B24,Totalt!$B$1:$AQ$554,MATCH(Z$2,Totalt!$B$1:$AQ$1,0),FALSE),"")</f>
        <v>0</v>
      </c>
      <c r="AA24" s="173">
        <f>IFERROR(VLOOKUP($B24,Totalt!$B$1:$AQ$554,MATCH(AA$2,Totalt!$B$1:$AQ$1,0),FALSE),"")</f>
        <v>0</v>
      </c>
      <c r="AB24" s="173">
        <f>IFERROR(VLOOKUP($B24,Totalt!$B$1:$AQ$554,MATCH(AB$2,Totalt!$B$1:$AQ$1,0),FALSE),"")</f>
        <v>0</v>
      </c>
      <c r="AC24" s="173">
        <f>IFERROR(VLOOKUP($B24,Totalt!$B$1:$AQ$554,MATCH(AC$2,Totalt!$B$1:$AQ$1,0),FALSE),"")</f>
        <v>59.843000000000004</v>
      </c>
      <c r="AD24" s="173">
        <f>IFERROR(VLOOKUP($B24,Totalt!$B$1:$AQ$554,MATCH(AD$2,Totalt!$B$1:$AQ$1,0),FALSE),"")</f>
        <v>0</v>
      </c>
      <c r="AE24" s="173">
        <f>IFERROR(VLOOKUP($B24,Totalt!$B$1:$AQ$554,MATCH(AE$2,Totalt!$B$1:$AQ$1,0),FALSE),"")</f>
        <v>0</v>
      </c>
      <c r="AF24" s="173">
        <f>IFERROR(VLOOKUP($B24,Totalt!$B$1:$AQ$554,MATCH(AF$2,Totalt!$B$1:$AQ$1,0),FALSE),"")</f>
        <v>9.6985799999999998</v>
      </c>
      <c r="AG24" s="173">
        <f>IFERROR(VLOOKUP($B24,Totalt!$B$1:$AQ$554,MATCH(AG$2,Totalt!$B$1:$AQ$1,0),FALSE),"")</f>
        <v>0</v>
      </c>
      <c r="AI24" s="226">
        <f t="shared" si="0"/>
        <v>293.93856399999999</v>
      </c>
      <c r="AJ24" s="226">
        <f>IF(ISERROR(1/VLOOKUP($B24,Leveranser!$B$1:$S$500,MATCH("såld värme (gwh)",Leveranser!$B$1:$S$1,0),FALSE)),"",VLOOKUP($B24,Leveranser!$B$1:$S$500,MATCH("såld värme (gwh)",Leveranser!$B$1:$S$1,0),FALSE))</f>
        <v>243.29599999999999</v>
      </c>
      <c r="AM24" s="227" t="str">
        <f>IF(B24&lt;&gt;"",IF(VLOOKUP($B24,Totalt!$B$1:$AQ$554,MATCH("Kvalitetsgranskad:",Totalt!$B$1:$AQ$1,0),FALSE)="ja",VLOOKUP($B24,Miljö!$B$1:$AG$479,MATCH(AM$2,Miljö!$B$1:$AK$1,0),FALSE),""),"")</f>
        <v>Ja</v>
      </c>
      <c r="AN24" s="227" t="str">
        <f>IF(AM24="ja",VLOOKUP($B24,Miljö!$B$1:$J$479,MATCH("Typ av ursprungsspecificerad el   (Om inget värde anges används Nordisk residualmix, se inforuta) ()",Miljö!$B$1:$J$1,0),FALSE),IF(AM24="nej","Nordisk residualel",""))</f>
        <v>''förnybar el "guarantee of origin"''</v>
      </c>
      <c r="AO24" s="227">
        <f>IF(AM24="","",VLOOKUP($B24,Miljö!$B$1:$J$479,MATCH("Fossilandel för ursprungspecificerad el ()",Miljö!$B$1:$J$1,0),FALSE))</f>
        <v>0</v>
      </c>
      <c r="AP24" s="227">
        <f>IF(AM24="","",IFERROR(VLOOKUP($B24,Miljö!$B$1:$J$479,MATCH("Kärnkraftsandel för ursprungsspecificerad el ()",Miljö!$B$1:$J$1,0),FALSE)/1,0))</f>
        <v>0</v>
      </c>
      <c r="AQ24" s="227">
        <f t="shared" si="1"/>
        <v>1</v>
      </c>
      <c r="AR24" s="227"/>
      <c r="AS24" s="227" t="str">
        <f t="shared" si="2"/>
        <v>Nej</v>
      </c>
      <c r="AT24" s="227" t="str">
        <f>IF(AS24="ja",VLOOKUP($B24,Miljö!$B$1:$O$500,MATCH("Fossil andel i procent (%)",Miljö!$B$1:$O$1,0),FALSE)/100,"")</f>
        <v/>
      </c>
      <c r="AU24" s="227"/>
      <c r="AV24" s="227" t="str">
        <f t="shared" si="3"/>
        <v>Nej</v>
      </c>
      <c r="AW24" s="227" t="str">
        <f>IF(AV24="ja",VLOOKUP($B24,'Egen hetvattenprod'!$B$1:$AO$500,MATCH("Värmekälla till värmepumpar ()",'Egen hetvattenprod'!$B$1:$AO$1,0),FALSE),"")</f>
        <v/>
      </c>
      <c r="AX24" s="227"/>
      <c r="AY24" s="227" t="str">
        <f t="shared" si="4"/>
        <v>Ja</v>
      </c>
      <c r="AZ24" s="228">
        <f>IF($AY24="ja",(VLOOKUP($B24,'Egen hetvattenprod'!$B$1:$BX$550,MATCH(AZ$2,'Egen hetvattenprod'!$B$1:$BX$1,0),FALSE)+VLOOKUP($B24,Kraftvärmeprod!$B$1:$BX$550,MATCH(AZ$2,Kraftvärmeprod!$B$1:$BX$1,0),FALSE))/$AC24,"")</f>
        <v>0.96165967615259917</v>
      </c>
      <c r="BA24" s="228">
        <f>IF($AY24="ja",(VLOOKUP($B24,'Egen hetvattenprod'!$B$1:$BX$550,MATCH(BA$2,'Egen hetvattenprod'!$B$1:$BX$1,0),FALSE)+VLOOKUP($B24,Kraftvärmeprod!$B$1:$BX$550,MATCH(BA$2,Kraftvärmeprod!$B$1:$BX$1,0),FALSE))/$AC24,"")</f>
        <v>0</v>
      </c>
      <c r="BB24" s="228">
        <f>IF($AY24="ja",(VLOOKUP($B24,'Egen hetvattenprod'!$B$1:$BX$550,MATCH(BB$2,'Egen hetvattenprod'!$B$1:$BX$1,0),FALSE)+VLOOKUP($B24,Kraftvärmeprod!$B$1:$BX$550,MATCH(BB$2,Kraftvärmeprod!$B$1:$BX$1,0),FALSE))/$AC24,"")</f>
        <v>0</v>
      </c>
      <c r="BC24" s="228">
        <f>IF($AY24="ja",(VLOOKUP($B24,'Egen hetvattenprod'!$B$1:$BX$550,MATCH(BC$2,'Egen hetvattenprod'!$B$1:$BX$1,0),FALSE)+VLOOKUP($B24,Kraftvärmeprod!$B$1:$BX$550,MATCH(BC$2,Kraftvärmeprod!$B$1:$BX$1,0),FALSE))/$AC24,"")</f>
        <v>3.8340323847400694E-2</v>
      </c>
      <c r="BD24" s="228">
        <f>IF($AY24="ja",(VLOOKUP($B24,'Egen hetvattenprod'!$B$1:$BX$550,MATCH(BD$2,'Egen hetvattenprod'!$B$1:$BX$1,0),FALSE)+VLOOKUP($B24,Kraftvärmeprod!$B$1:$BX$550,MATCH(BD$2,Kraftvärmeprod!$B$1:$BX$1,0),FALSE))/$AC24,"")</f>
        <v>0</v>
      </c>
      <c r="BE24" s="227"/>
      <c r="BF24" s="227" t="str">
        <f t="shared" si="5"/>
        <v>Nej</v>
      </c>
      <c r="BG24" s="227" t="str">
        <f>IF($BF24="ja",VLOOKUP($B24,'Egen hetvattenprod'!$B$1:$BX$550,MATCH("Andelen klimatgaser med fossilt ursprung för avfall ()",'Egen hetvattenprod'!$B$1:$BX$1,0),FALSE),"")</f>
        <v/>
      </c>
      <c r="BH24" s="227" t="str">
        <f>IF($BF24="ja",VLOOKUP($B24,Kraftvärmeprod!$B$1:$BX$550,MATCH("Andelen klimatgaser med fossilt ursprung för avfall ()",Kraftvärmeprod!$B$1:$BX$1,0),FALSE),"")</f>
        <v/>
      </c>
      <c r="BI24" s="227" t="str">
        <f>IF($BF24="ja",VLOOKUP($B24,'Egen hetvattenprod'!$B$1:$BX$550,MATCH("Avfall (GWh)",'Egen hetvattenprod'!$B$1:$BX$1,0),FALSE),"")</f>
        <v/>
      </c>
      <c r="BJ24" s="227" t="str">
        <f>IF($BF24="ja",VLOOKUP($B24,'Slutlig allokering kvv'!$B$1:$BX$550,MATCH("Avfall (GWh)",'Slutlig allokering kvv'!$B$1:$BX$1,0),FALSE),"")</f>
        <v/>
      </c>
      <c r="BK24" s="227" t="str">
        <f>IF($BF24="ja",VLOOKUP($B24,'Köpt hetvatten'!$B$1:$BX$550,MATCH("Avfall i köpt hetvatten",'Köpt hetvatten'!$B$1:$BX$1,0),FALSE),"")</f>
        <v/>
      </c>
      <c r="BL24" s="227" t="str">
        <f>IF($BF24="ja",VLOOKUP($B24,'Egen hetvattenprod'!$B$1:$BX$550,MATCH("Värde enligt ovan. (%)",'Egen hetvattenprod'!$B$1:$BX$1,0),FALSE),"")</f>
        <v/>
      </c>
      <c r="BM24" s="227" t="str">
        <f>IF($BF24="ja",VLOOKUP($B24,Kraftvärmeprod!$B$1:$BX$550,MATCH("Värde enligt ovan. (%)",Kraftvärmeprod!$B$1:$BX$1,0),FALSE),"")</f>
        <v/>
      </c>
      <c r="BN24" s="227"/>
      <c r="BO24" s="227"/>
      <c r="BP24" s="227"/>
      <c r="BQ24" s="227" t="str">
        <f>IF($BF24="ja",VLOOKUP($B24,'Egen hetvattenprod'!$B$1:$BX$550,MATCH("Tillförd olja (fossil) vid avfallsförbränning (GWh)",'Egen hetvattenprod'!$B$1:$BX$1,0),FALSE),"")</f>
        <v/>
      </c>
      <c r="BR24" s="227" t="str">
        <f>IF($BF24="ja",VLOOKUP($B24,Kraftvärmeprod!$B$1:$BX$550,MATCH("Tillförd olja (fossil) vid avfallsförbränning (GWh)",Kraftvärmeprod!$B$1:$BX$1,0),FALSE),"")</f>
        <v/>
      </c>
      <c r="BS24" s="227"/>
      <c r="BT24" s="227"/>
      <c r="BU24" s="227"/>
    </row>
    <row r="25" spans="1:73" x14ac:dyDescent="0.25">
      <c r="A25" s="121" t="str">
        <f>'Miljövärden för publ företag'!B28</f>
        <v>Affärsverken Karlskrona AB</v>
      </c>
      <c r="B25" s="121" t="str">
        <f>'Miljövärden för publ företag'!C28</f>
        <v>Nättraby</v>
      </c>
      <c r="C25" s="173">
        <f>IFERROR(VLOOKUP($B25,Totalt!$B$1:$AQ$554,MATCH(C$2,Totalt!$B$1:$AQ$1,0),FALSE),"")</f>
        <v>0</v>
      </c>
      <c r="D25" s="173">
        <f>IFERROR(VLOOKUP($B25,Totalt!$B$1:$AQ$554,MATCH(D$2,Totalt!$B$1:$AQ$1,0),FALSE),"")</f>
        <v>0.193</v>
      </c>
      <c r="E25" s="173">
        <f>IFERROR(VLOOKUP($B25,Totalt!$B$1:$AQ$554,MATCH(E$2,Totalt!$B$1:$AQ$1,0),FALSE),"")</f>
        <v>0</v>
      </c>
      <c r="F25" s="173">
        <f>IFERROR(VLOOKUP($B25,Totalt!$B$1:$AQ$554,MATCH(F$2,Totalt!$B$1:$AQ$1,0),FALSE),"")</f>
        <v>0</v>
      </c>
      <c r="G25" s="173">
        <f>IFERROR(VLOOKUP($B25,Totalt!$B$1:$AQ$554,MATCH(G$2,Totalt!$B$1:$AQ$1,0),FALSE),"")</f>
        <v>0</v>
      </c>
      <c r="H25" s="173">
        <f>IFERROR(VLOOKUP($B25,Totalt!$B$1:$AQ$554,MATCH(H$2,Totalt!$B$1:$AQ$1,0),FALSE),"")</f>
        <v>0</v>
      </c>
      <c r="I25" s="173">
        <f>IFERROR(VLOOKUP($B25,Totalt!$B$1:$AQ$554,MATCH(I$2,Totalt!$B$1:$AQ$1,0),FALSE),"")</f>
        <v>0</v>
      </c>
      <c r="J25" s="173">
        <f>IFERROR(VLOOKUP($B25,Totalt!$B$1:$AQ$554,MATCH(J$2,Totalt!$B$1:$AQ$1,0),FALSE),"")</f>
        <v>0</v>
      </c>
      <c r="K25" s="173">
        <f>IFERROR(VLOOKUP($B25,Totalt!$B$1:$AQ$554,MATCH(K$2,Totalt!$B$1:$AQ$1,0),FALSE),"")</f>
        <v>0</v>
      </c>
      <c r="L25" s="173">
        <f>IFERROR(VLOOKUP($B25,Totalt!$B$1:$AQ$554,MATCH(L$2,Totalt!$B$1:$AQ$1,0),FALSE),"")</f>
        <v>0</v>
      </c>
      <c r="M25" s="173">
        <f>IFERROR(VLOOKUP($B25,Totalt!$B$1:$AQ$554,MATCH(M$2,Totalt!$B$1:$AQ$1,0),FALSE),"")</f>
        <v>0</v>
      </c>
      <c r="N25" s="173">
        <f>IFERROR(VLOOKUP($B25,Totalt!$B$1:$AQ$554,MATCH(N$2,Totalt!$B$1:$AQ$1,0),FALSE),"")</f>
        <v>0</v>
      </c>
      <c r="O25" s="173">
        <f>IFERROR(VLOOKUP($B25,Totalt!$B$1:$AQ$554,MATCH(O$2,Totalt!$B$1:$AQ$1,0),FALSE),"")</f>
        <v>0</v>
      </c>
      <c r="P25" s="173">
        <f>IFERROR(VLOOKUP($B25,Totalt!$B$1:$AQ$554,MATCH(P$2,Totalt!$B$1:$AQ$1,0),FALSE),"")</f>
        <v>0</v>
      </c>
      <c r="Q25" s="173">
        <f>IFERROR(VLOOKUP($B25,Totalt!$B$1:$AQ$554,MATCH(Q$2,Totalt!$B$1:$AQ$1,0),FALSE),"")</f>
        <v>0</v>
      </c>
      <c r="R25" s="173">
        <f>IFERROR(VLOOKUP($B25,Totalt!$B$1:$AQ$554,MATCH(R$2,Totalt!$B$1:$AQ$1,0),FALSE),"")</f>
        <v>5.6630000000000003</v>
      </c>
      <c r="S25" s="173">
        <f>IFERROR(VLOOKUP($B25,Totalt!$B$1:$AQ$554,MATCH(S$2,Totalt!$B$1:$AQ$1,0),FALSE),"")</f>
        <v>0</v>
      </c>
      <c r="T25" s="173">
        <f>IFERROR(VLOOKUP($B25,Totalt!$B$1:$AQ$554,MATCH(T$2,Totalt!$B$1:$AQ$1,0),FALSE),"")</f>
        <v>0</v>
      </c>
      <c r="U25" s="173">
        <f>IFERROR(VLOOKUP($B25,Totalt!$B$1:$AQ$554,MATCH(U$2,Totalt!$B$1:$AQ$1,0),FALSE),"")</f>
        <v>0</v>
      </c>
      <c r="V25" s="173">
        <f>IFERROR(VLOOKUP($B25,Totalt!$B$1:$AQ$554,MATCH(V$2,Totalt!$B$1:$AQ$1,0),FALSE),"")</f>
        <v>0</v>
      </c>
      <c r="W25" s="173">
        <f>IFERROR(VLOOKUP($B25,Totalt!$B$1:$AQ$554,MATCH(W$2,Totalt!$B$1:$AQ$1,0),FALSE),"")</f>
        <v>0</v>
      </c>
      <c r="X25" s="173">
        <f>IFERROR(VLOOKUP($B25,Totalt!$B$1:$AQ$554,MATCH(X$2,Totalt!$B$1:$AQ$1,0),FALSE),"")</f>
        <v>0</v>
      </c>
      <c r="Y25" s="173">
        <f>IFERROR(VLOOKUP($B25,Totalt!$B$1:$AQ$554,MATCH(Y$2,Totalt!$B$1:$AQ$1,0),FALSE),"")</f>
        <v>0</v>
      </c>
      <c r="Z25" s="173">
        <f>IFERROR(VLOOKUP($B25,Totalt!$B$1:$AQ$554,MATCH(Z$2,Totalt!$B$1:$AQ$1,0),FALSE),"")</f>
        <v>0</v>
      </c>
      <c r="AA25" s="173">
        <f>IFERROR(VLOOKUP($B25,Totalt!$B$1:$AQ$554,MATCH(AA$2,Totalt!$B$1:$AQ$1,0),FALSE),"")</f>
        <v>0</v>
      </c>
      <c r="AB25" s="173">
        <f>IFERROR(VLOOKUP($B25,Totalt!$B$1:$AQ$554,MATCH(AB$2,Totalt!$B$1:$AQ$1,0),FALSE),"")</f>
        <v>0</v>
      </c>
      <c r="AC25" s="173">
        <f>IFERROR(VLOOKUP($B25,Totalt!$B$1:$AQ$554,MATCH(AC$2,Totalt!$B$1:$AQ$1,0),FALSE),"")</f>
        <v>0</v>
      </c>
      <c r="AD25" s="173">
        <f>IFERROR(VLOOKUP($B25,Totalt!$B$1:$AQ$554,MATCH(AD$2,Totalt!$B$1:$AQ$1,0),FALSE),"")</f>
        <v>0</v>
      </c>
      <c r="AE25" s="173">
        <f>IFERROR(VLOOKUP($B25,Totalt!$B$1:$AQ$554,MATCH(AE$2,Totalt!$B$1:$AQ$1,0),FALSE),"")</f>
        <v>0</v>
      </c>
      <c r="AF25" s="173">
        <f>IFERROR(VLOOKUP($B25,Totalt!$B$1:$AQ$554,MATCH(AF$2,Totalt!$B$1:$AQ$1,0),FALSE),"")</f>
        <v>0.112</v>
      </c>
      <c r="AG25" s="173">
        <f>IFERROR(VLOOKUP($B25,Totalt!$B$1:$AQ$554,MATCH(AG$2,Totalt!$B$1:$AQ$1,0),FALSE),"")</f>
        <v>0</v>
      </c>
      <c r="AI25" s="226">
        <f t="shared" si="0"/>
        <v>5.968</v>
      </c>
      <c r="AJ25" s="226">
        <f>IF(ISERROR(1/VLOOKUP($B25,Leveranser!$B$1:$S$500,MATCH("såld värme (gwh)",Leveranser!$B$1:$S$1,0),FALSE)),"",VLOOKUP($B25,Leveranser!$B$1:$S$500,MATCH("såld värme (gwh)",Leveranser!$B$1:$S$1,0),FALSE))</f>
        <v>4.0970000000000004</v>
      </c>
      <c r="AM25" s="227" t="str">
        <f>IF(B25&lt;&gt;"",IF(VLOOKUP($B25,Totalt!$B$1:$AQ$554,MATCH("Kvalitetsgranskad:",Totalt!$B$1:$AQ$1,0),FALSE)="ja",VLOOKUP($B25,Miljö!$B$1:$AG$479,MATCH(AM$2,Miljö!$B$1:$AK$1,0),FALSE),""),"")</f>
        <v>Ja</v>
      </c>
      <c r="AN25" s="227" t="str">
        <f>IF(AM25="ja",VLOOKUP($B25,Miljö!$B$1:$J$479,MATCH("Typ av ursprungsspecificerad el   (Om inget värde anges används Nordisk residualmix, se inforuta) ()",Miljö!$B$1:$J$1,0),FALSE),IF(AM25="nej","Nordisk residualel",""))</f>
        <v>''förnybar el "guarantee of origin"''</v>
      </c>
      <c r="AO25" s="227">
        <f>IF(AM25="","",VLOOKUP($B25,Miljö!$B$1:$J$479,MATCH("Fossilandel för ursprungspecificerad el ()",Miljö!$B$1:$J$1,0),FALSE))</f>
        <v>0</v>
      </c>
      <c r="AP25" s="227">
        <f>IF(AM25="","",IFERROR(VLOOKUP($B25,Miljö!$B$1:$J$479,MATCH("Kärnkraftsandel för ursprungsspecificerad el ()",Miljö!$B$1:$J$1,0),FALSE)/1,0))</f>
        <v>0</v>
      </c>
      <c r="AQ25" s="227">
        <f t="shared" si="1"/>
        <v>1</v>
      </c>
      <c r="AR25" s="227"/>
      <c r="AS25" s="227" t="str">
        <f t="shared" si="2"/>
        <v>Nej</v>
      </c>
      <c r="AT25" s="227" t="str">
        <f>IF(AS25="ja",VLOOKUP($B25,Miljö!$B$1:$O$500,MATCH("Fossil andel i procent (%)",Miljö!$B$1:$O$1,0),FALSE)/100,"")</f>
        <v/>
      </c>
      <c r="AU25" s="227"/>
      <c r="AV25" s="227" t="str">
        <f t="shared" si="3"/>
        <v>Nej</v>
      </c>
      <c r="AW25" s="227" t="str">
        <f>IF(AV25="ja",VLOOKUP($B25,'Egen hetvattenprod'!$B$1:$AO$500,MATCH("Värmekälla till värmepumpar ()",'Egen hetvattenprod'!$B$1:$AO$1,0),FALSE),"")</f>
        <v/>
      </c>
      <c r="AX25" s="227"/>
      <c r="AY25" s="227" t="str">
        <f t="shared" si="4"/>
        <v>Nej</v>
      </c>
      <c r="AZ25" s="228" t="str">
        <f>IF($AY25="ja",(VLOOKUP($B25,'Egen hetvattenprod'!$B$1:$BX$550,MATCH(AZ$2,'Egen hetvattenprod'!$B$1:$BX$1,0),FALSE)+VLOOKUP($B25,Kraftvärmeprod!$B$1:$BX$550,MATCH(AZ$2,Kraftvärmeprod!$B$1:$BX$1,0),FALSE))/$AC25,"")</f>
        <v/>
      </c>
      <c r="BA25" s="228" t="str">
        <f>IF($AY25="ja",(VLOOKUP($B25,'Egen hetvattenprod'!$B$1:$BX$550,MATCH(BA$2,'Egen hetvattenprod'!$B$1:$BX$1,0),FALSE)+VLOOKUP($B25,Kraftvärmeprod!$B$1:$BX$550,MATCH(BA$2,Kraftvärmeprod!$B$1:$BX$1,0),FALSE))/$AC25,"")</f>
        <v/>
      </c>
      <c r="BB25" s="228" t="str">
        <f>IF($AY25="ja",(VLOOKUP($B25,'Egen hetvattenprod'!$B$1:$BX$550,MATCH(BB$2,'Egen hetvattenprod'!$B$1:$BX$1,0),FALSE)+VLOOKUP($B25,Kraftvärmeprod!$B$1:$BX$550,MATCH(BB$2,Kraftvärmeprod!$B$1:$BX$1,0),FALSE))/$AC25,"")</f>
        <v/>
      </c>
      <c r="BC25" s="228" t="str">
        <f>IF($AY25="ja",(VLOOKUP($B25,'Egen hetvattenprod'!$B$1:$BX$550,MATCH(BC$2,'Egen hetvattenprod'!$B$1:$BX$1,0),FALSE)+VLOOKUP($B25,Kraftvärmeprod!$B$1:$BX$550,MATCH(BC$2,Kraftvärmeprod!$B$1:$BX$1,0),FALSE))/$AC25,"")</f>
        <v/>
      </c>
      <c r="BD25" s="228" t="str">
        <f>IF($AY25="ja",(VLOOKUP($B25,'Egen hetvattenprod'!$B$1:$BX$550,MATCH(BD$2,'Egen hetvattenprod'!$B$1:$BX$1,0),FALSE)+VLOOKUP($B25,Kraftvärmeprod!$B$1:$BX$550,MATCH(BD$2,Kraftvärmeprod!$B$1:$BX$1,0),FALSE))/$AC25,"")</f>
        <v/>
      </c>
      <c r="BE25" s="227"/>
      <c r="BF25" s="227" t="str">
        <f t="shared" si="5"/>
        <v>Nej</v>
      </c>
      <c r="BG25" s="227" t="str">
        <f>IF($BF25="ja",VLOOKUP($B25,'Egen hetvattenprod'!$B$1:$BX$550,MATCH("Andelen klimatgaser med fossilt ursprung för avfall ()",'Egen hetvattenprod'!$B$1:$BX$1,0),FALSE),"")</f>
        <v/>
      </c>
      <c r="BH25" s="227" t="str">
        <f>IF($BF25="ja",VLOOKUP($B25,Kraftvärmeprod!$B$1:$BX$550,MATCH("Andelen klimatgaser med fossilt ursprung för avfall ()",Kraftvärmeprod!$B$1:$BX$1,0),FALSE),"")</f>
        <v/>
      </c>
      <c r="BI25" s="227" t="str">
        <f>IF($BF25="ja",VLOOKUP($B25,'Egen hetvattenprod'!$B$1:$BX$550,MATCH("Avfall (GWh)",'Egen hetvattenprod'!$B$1:$BX$1,0),FALSE),"")</f>
        <v/>
      </c>
      <c r="BJ25" s="227" t="str">
        <f>IF($BF25="ja",VLOOKUP($B25,'Slutlig allokering kvv'!$B$1:$BX$550,MATCH("Avfall (GWh)",'Slutlig allokering kvv'!$B$1:$BX$1,0),FALSE),"")</f>
        <v/>
      </c>
      <c r="BK25" s="227" t="str">
        <f>IF($BF25="ja",VLOOKUP($B25,'Köpt hetvatten'!$B$1:$BX$550,MATCH("Avfall i köpt hetvatten",'Köpt hetvatten'!$B$1:$BX$1,0),FALSE),"")</f>
        <v/>
      </c>
      <c r="BL25" s="227" t="str">
        <f>IF($BF25="ja",VLOOKUP($B25,'Egen hetvattenprod'!$B$1:$BX$550,MATCH("Värde enligt ovan. (%)",'Egen hetvattenprod'!$B$1:$BX$1,0),FALSE),"")</f>
        <v/>
      </c>
      <c r="BM25" s="227" t="str">
        <f>IF($BF25="ja",VLOOKUP($B25,Kraftvärmeprod!$B$1:$BX$550,MATCH("Värde enligt ovan. (%)",Kraftvärmeprod!$B$1:$BX$1,0),FALSE),"")</f>
        <v/>
      </c>
      <c r="BN25" s="227"/>
      <c r="BO25" s="227"/>
      <c r="BP25" s="227"/>
      <c r="BQ25" s="227" t="str">
        <f>IF($BF25="ja",VLOOKUP($B25,'Egen hetvattenprod'!$B$1:$BX$550,MATCH("Tillförd olja (fossil) vid avfallsförbränning (GWh)",'Egen hetvattenprod'!$B$1:$BX$1,0),FALSE),"")</f>
        <v/>
      </c>
      <c r="BR25" s="227" t="str">
        <f>IF($BF25="ja",VLOOKUP($B25,Kraftvärmeprod!$B$1:$BX$550,MATCH("Tillförd olja (fossil) vid avfallsförbränning (GWh)",Kraftvärmeprod!$B$1:$BX$1,0),FALSE),"")</f>
        <v/>
      </c>
      <c r="BS25" s="227"/>
      <c r="BT25" s="227"/>
      <c r="BU25" s="227"/>
    </row>
    <row r="26" spans="1:73" x14ac:dyDescent="0.25">
      <c r="A26" s="121" t="str">
        <f>'Miljövärden för publ företag'!B29</f>
        <v>Affärsverken Karlskrona AB</v>
      </c>
      <c r="B26" s="121" t="str">
        <f>'Miljövärden för publ företag'!C29</f>
        <v>Sturkö</v>
      </c>
      <c r="C26" s="173">
        <f>IFERROR(VLOOKUP($B26,Totalt!$B$1:$AQ$554,MATCH(C$2,Totalt!$B$1:$AQ$1,0),FALSE),"")</f>
        <v>0</v>
      </c>
      <c r="D26" s="173">
        <f>IFERROR(VLOOKUP($B26,Totalt!$B$1:$AQ$554,MATCH(D$2,Totalt!$B$1:$AQ$1,0),FALSE),"")</f>
        <v>0.17199999999999999</v>
      </c>
      <c r="E26" s="173">
        <f>IFERROR(VLOOKUP($B26,Totalt!$B$1:$AQ$554,MATCH(E$2,Totalt!$B$1:$AQ$1,0),FALSE),"")</f>
        <v>0</v>
      </c>
      <c r="F26" s="173">
        <f>IFERROR(VLOOKUP($B26,Totalt!$B$1:$AQ$554,MATCH(F$2,Totalt!$B$1:$AQ$1,0),FALSE),"")</f>
        <v>0</v>
      </c>
      <c r="G26" s="173">
        <f>IFERROR(VLOOKUP($B26,Totalt!$B$1:$AQ$554,MATCH(G$2,Totalt!$B$1:$AQ$1,0),FALSE),"")</f>
        <v>0</v>
      </c>
      <c r="H26" s="173">
        <f>IFERROR(VLOOKUP($B26,Totalt!$B$1:$AQ$554,MATCH(H$2,Totalt!$B$1:$AQ$1,0),FALSE),"")</f>
        <v>0</v>
      </c>
      <c r="I26" s="173">
        <f>IFERROR(VLOOKUP($B26,Totalt!$B$1:$AQ$554,MATCH(I$2,Totalt!$B$1:$AQ$1,0),FALSE),"")</f>
        <v>0</v>
      </c>
      <c r="J26" s="173">
        <f>IFERROR(VLOOKUP($B26,Totalt!$B$1:$AQ$554,MATCH(J$2,Totalt!$B$1:$AQ$1,0),FALSE),"")</f>
        <v>0</v>
      </c>
      <c r="K26" s="173">
        <f>IFERROR(VLOOKUP($B26,Totalt!$B$1:$AQ$554,MATCH(K$2,Totalt!$B$1:$AQ$1,0),FALSE),"")</f>
        <v>0</v>
      </c>
      <c r="L26" s="173">
        <f>IFERROR(VLOOKUP($B26,Totalt!$B$1:$AQ$554,MATCH(L$2,Totalt!$B$1:$AQ$1,0),FALSE),"")</f>
        <v>0</v>
      </c>
      <c r="M26" s="173">
        <f>IFERROR(VLOOKUP($B26,Totalt!$B$1:$AQ$554,MATCH(M$2,Totalt!$B$1:$AQ$1,0),FALSE),"")</f>
        <v>0</v>
      </c>
      <c r="N26" s="173">
        <f>IFERROR(VLOOKUP($B26,Totalt!$B$1:$AQ$554,MATCH(N$2,Totalt!$B$1:$AQ$1,0),FALSE),"")</f>
        <v>0</v>
      </c>
      <c r="O26" s="173">
        <f>IFERROR(VLOOKUP($B26,Totalt!$B$1:$AQ$554,MATCH(O$2,Totalt!$B$1:$AQ$1,0),FALSE),"")</f>
        <v>0</v>
      </c>
      <c r="P26" s="173">
        <f>IFERROR(VLOOKUP($B26,Totalt!$B$1:$AQ$554,MATCH(P$2,Totalt!$B$1:$AQ$1,0),FALSE),"")</f>
        <v>0</v>
      </c>
      <c r="Q26" s="173">
        <f>IFERROR(VLOOKUP($B26,Totalt!$B$1:$AQ$554,MATCH(Q$2,Totalt!$B$1:$AQ$1,0),FALSE),"")</f>
        <v>0</v>
      </c>
      <c r="R26" s="173">
        <f>IFERROR(VLOOKUP($B26,Totalt!$B$1:$AQ$554,MATCH(R$2,Totalt!$B$1:$AQ$1,0),FALSE),"")</f>
        <v>0.63200000000000001</v>
      </c>
      <c r="S26" s="173">
        <f>IFERROR(VLOOKUP($B26,Totalt!$B$1:$AQ$554,MATCH(S$2,Totalt!$B$1:$AQ$1,0),FALSE),"")</f>
        <v>0</v>
      </c>
      <c r="T26" s="173">
        <f>IFERROR(VLOOKUP($B26,Totalt!$B$1:$AQ$554,MATCH(T$2,Totalt!$B$1:$AQ$1,0),FALSE),"")</f>
        <v>0</v>
      </c>
      <c r="U26" s="173">
        <f>IFERROR(VLOOKUP($B26,Totalt!$B$1:$AQ$554,MATCH(U$2,Totalt!$B$1:$AQ$1,0),FALSE),"")</f>
        <v>0</v>
      </c>
      <c r="V26" s="173">
        <f>IFERROR(VLOOKUP($B26,Totalt!$B$1:$AQ$554,MATCH(V$2,Totalt!$B$1:$AQ$1,0),FALSE),"")</f>
        <v>0</v>
      </c>
      <c r="W26" s="173">
        <f>IFERROR(VLOOKUP($B26,Totalt!$B$1:$AQ$554,MATCH(W$2,Totalt!$B$1:$AQ$1,0),FALSE),"")</f>
        <v>0</v>
      </c>
      <c r="X26" s="173">
        <f>IFERROR(VLOOKUP($B26,Totalt!$B$1:$AQ$554,MATCH(X$2,Totalt!$B$1:$AQ$1,0),FALSE),"")</f>
        <v>0</v>
      </c>
      <c r="Y26" s="173">
        <f>IFERROR(VLOOKUP($B26,Totalt!$B$1:$AQ$554,MATCH(Y$2,Totalt!$B$1:$AQ$1,0),FALSE),"")</f>
        <v>0</v>
      </c>
      <c r="Z26" s="173">
        <f>IFERROR(VLOOKUP($B26,Totalt!$B$1:$AQ$554,MATCH(Z$2,Totalt!$B$1:$AQ$1,0),FALSE),"")</f>
        <v>5.2999999999999999E-2</v>
      </c>
      <c r="AA26" s="173">
        <f>IFERROR(VLOOKUP($B26,Totalt!$B$1:$AQ$554,MATCH(AA$2,Totalt!$B$1:$AQ$1,0),FALSE),"")</f>
        <v>0</v>
      </c>
      <c r="AB26" s="173">
        <f>IFERROR(VLOOKUP($B26,Totalt!$B$1:$AQ$554,MATCH(AB$2,Totalt!$B$1:$AQ$1,0),FALSE),"")</f>
        <v>0</v>
      </c>
      <c r="AC26" s="173">
        <f>IFERROR(VLOOKUP($B26,Totalt!$B$1:$AQ$554,MATCH(AC$2,Totalt!$B$1:$AQ$1,0),FALSE),"")</f>
        <v>0</v>
      </c>
      <c r="AD26" s="173">
        <f>IFERROR(VLOOKUP($B26,Totalt!$B$1:$AQ$554,MATCH(AD$2,Totalt!$B$1:$AQ$1,0),FALSE),"")</f>
        <v>0</v>
      </c>
      <c r="AE26" s="173">
        <f>IFERROR(VLOOKUP($B26,Totalt!$B$1:$AQ$554,MATCH(AE$2,Totalt!$B$1:$AQ$1,0),FALSE),"")</f>
        <v>0</v>
      </c>
      <c r="AF26" s="173">
        <f>IFERROR(VLOOKUP($B26,Totalt!$B$1:$AQ$554,MATCH(AF$2,Totalt!$B$1:$AQ$1,0),FALSE),"")</f>
        <v>1.4999999999999999E-2</v>
      </c>
      <c r="AG26" s="173">
        <f>IFERROR(VLOOKUP($B26,Totalt!$B$1:$AQ$554,MATCH(AG$2,Totalt!$B$1:$AQ$1,0),FALSE),"")</f>
        <v>0</v>
      </c>
      <c r="AI26" s="226">
        <f t="shared" si="0"/>
        <v>0.87200000000000011</v>
      </c>
      <c r="AJ26" s="226">
        <f>IF(ISERROR(1/VLOOKUP($B26,Leveranser!$B$1:$S$500,MATCH("såld värme (gwh)",Leveranser!$B$1:$S$1,0),FALSE)),"",VLOOKUP($B26,Leveranser!$B$1:$S$500,MATCH("såld värme (gwh)",Leveranser!$B$1:$S$1,0),FALSE))</f>
        <v>0.7</v>
      </c>
      <c r="AM26" s="227" t="str">
        <f>IF(B26&lt;&gt;"",IF(VLOOKUP($B26,Totalt!$B$1:$AQ$554,MATCH("Kvalitetsgranskad:",Totalt!$B$1:$AQ$1,0),FALSE)="ja",VLOOKUP($B26,Miljö!$B$1:$AG$479,MATCH(AM$2,Miljö!$B$1:$AK$1,0),FALSE),""),"")</f>
        <v>Ja</v>
      </c>
      <c r="AN26" s="227" t="str">
        <f>IF(AM26="ja",VLOOKUP($B26,Miljö!$B$1:$J$479,MATCH("Typ av ursprungsspecificerad el   (Om inget värde anges används Nordisk residualmix, se inforuta) ()",Miljö!$B$1:$J$1,0),FALSE),IF(AM26="nej","Nordisk residualel",""))</f>
        <v>''förnybar el "guarantee of origin"'</v>
      </c>
      <c r="AO26" s="227">
        <f>IF(AM26="","",VLOOKUP($B26,Miljö!$B$1:$J$479,MATCH("Fossilandel för ursprungspecificerad el ()",Miljö!$B$1:$J$1,0),FALSE))</f>
        <v>0</v>
      </c>
      <c r="AP26" s="227">
        <f>IF(AM26="","",IFERROR(VLOOKUP($B26,Miljö!$B$1:$J$479,MATCH("Kärnkraftsandel för ursprungsspecificerad el ()",Miljö!$B$1:$J$1,0),FALSE)/1,0))</f>
        <v>0</v>
      </c>
      <c r="AQ26" s="227">
        <f t="shared" si="1"/>
        <v>1</v>
      </c>
      <c r="AR26" s="227"/>
      <c r="AS26" s="227" t="str">
        <f t="shared" si="2"/>
        <v>Nej</v>
      </c>
      <c r="AT26" s="227" t="str">
        <f>IF(AS26="ja",VLOOKUP($B26,Miljö!$B$1:$O$500,MATCH("Fossil andel i procent (%)",Miljö!$B$1:$O$1,0),FALSE)/100,"")</f>
        <v/>
      </c>
      <c r="AU26" s="227"/>
      <c r="AV26" s="227" t="str">
        <f t="shared" si="3"/>
        <v>Nej</v>
      </c>
      <c r="AW26" s="227" t="str">
        <f>IF(AV26="ja",VLOOKUP($B26,'Egen hetvattenprod'!$B$1:$AO$500,MATCH("Värmekälla till värmepumpar ()",'Egen hetvattenprod'!$B$1:$AO$1,0),FALSE),"")</f>
        <v/>
      </c>
      <c r="AX26" s="227"/>
      <c r="AY26" s="227" t="str">
        <f t="shared" si="4"/>
        <v>Nej</v>
      </c>
      <c r="AZ26" s="228" t="str">
        <f>IF($AY26="ja",(VLOOKUP($B26,'Egen hetvattenprod'!$B$1:$BX$550,MATCH(AZ$2,'Egen hetvattenprod'!$B$1:$BX$1,0),FALSE)+VLOOKUP($B26,Kraftvärmeprod!$B$1:$BX$550,MATCH(AZ$2,Kraftvärmeprod!$B$1:$BX$1,0),FALSE))/$AC26,"")</f>
        <v/>
      </c>
      <c r="BA26" s="228" t="str">
        <f>IF($AY26="ja",(VLOOKUP($B26,'Egen hetvattenprod'!$B$1:$BX$550,MATCH(BA$2,'Egen hetvattenprod'!$B$1:$BX$1,0),FALSE)+VLOOKUP($B26,Kraftvärmeprod!$B$1:$BX$550,MATCH(BA$2,Kraftvärmeprod!$B$1:$BX$1,0),FALSE))/$AC26,"")</f>
        <v/>
      </c>
      <c r="BB26" s="228" t="str">
        <f>IF($AY26="ja",(VLOOKUP($B26,'Egen hetvattenprod'!$B$1:$BX$550,MATCH(BB$2,'Egen hetvattenprod'!$B$1:$BX$1,0),FALSE)+VLOOKUP($B26,Kraftvärmeprod!$B$1:$BX$550,MATCH(BB$2,Kraftvärmeprod!$B$1:$BX$1,0),FALSE))/$AC26,"")</f>
        <v/>
      </c>
      <c r="BC26" s="228" t="str">
        <f>IF($AY26="ja",(VLOOKUP($B26,'Egen hetvattenprod'!$B$1:$BX$550,MATCH(BC$2,'Egen hetvattenprod'!$B$1:$BX$1,0),FALSE)+VLOOKUP($B26,Kraftvärmeprod!$B$1:$BX$550,MATCH(BC$2,Kraftvärmeprod!$B$1:$BX$1,0),FALSE))/$AC26,"")</f>
        <v/>
      </c>
      <c r="BD26" s="228" t="str">
        <f>IF($AY26="ja",(VLOOKUP($B26,'Egen hetvattenprod'!$B$1:$BX$550,MATCH(BD$2,'Egen hetvattenprod'!$B$1:$BX$1,0),FALSE)+VLOOKUP($B26,Kraftvärmeprod!$B$1:$BX$550,MATCH(BD$2,Kraftvärmeprod!$B$1:$BX$1,0),FALSE))/$AC26,"")</f>
        <v/>
      </c>
      <c r="BE26" s="227"/>
      <c r="BF26" s="227" t="str">
        <f t="shared" si="5"/>
        <v>Nej</v>
      </c>
      <c r="BG26" s="227" t="str">
        <f>IF($BF26="ja",VLOOKUP($B26,'Egen hetvattenprod'!$B$1:$BX$550,MATCH("Andelen klimatgaser med fossilt ursprung för avfall ()",'Egen hetvattenprod'!$B$1:$BX$1,0),FALSE),"")</f>
        <v/>
      </c>
      <c r="BH26" s="227" t="str">
        <f>IF($BF26="ja",VLOOKUP($B26,Kraftvärmeprod!$B$1:$BX$550,MATCH("Andelen klimatgaser med fossilt ursprung för avfall ()",Kraftvärmeprod!$B$1:$BX$1,0),FALSE),"")</f>
        <v/>
      </c>
      <c r="BI26" s="227" t="str">
        <f>IF($BF26="ja",VLOOKUP($B26,'Egen hetvattenprod'!$B$1:$BX$550,MATCH("Avfall (GWh)",'Egen hetvattenprod'!$B$1:$BX$1,0),FALSE),"")</f>
        <v/>
      </c>
      <c r="BJ26" s="227" t="str">
        <f>IF($BF26="ja",VLOOKUP($B26,'Slutlig allokering kvv'!$B$1:$BX$550,MATCH("Avfall (GWh)",'Slutlig allokering kvv'!$B$1:$BX$1,0),FALSE),"")</f>
        <v/>
      </c>
      <c r="BK26" s="227" t="str">
        <f>IF($BF26="ja",VLOOKUP($B26,'Köpt hetvatten'!$B$1:$BX$550,MATCH("Avfall i köpt hetvatten",'Köpt hetvatten'!$B$1:$BX$1,0),FALSE),"")</f>
        <v/>
      </c>
      <c r="BL26" s="227" t="str">
        <f>IF($BF26="ja",VLOOKUP($B26,'Egen hetvattenprod'!$B$1:$BX$550,MATCH("Värde enligt ovan. (%)",'Egen hetvattenprod'!$B$1:$BX$1,0),FALSE),"")</f>
        <v/>
      </c>
      <c r="BM26" s="227" t="str">
        <f>IF($BF26="ja",VLOOKUP($B26,Kraftvärmeprod!$B$1:$BX$550,MATCH("Värde enligt ovan. (%)",Kraftvärmeprod!$B$1:$BX$1,0),FALSE),"")</f>
        <v/>
      </c>
      <c r="BN26" s="227"/>
      <c r="BO26" s="227"/>
      <c r="BP26" s="227"/>
      <c r="BQ26" s="227" t="str">
        <f>IF($BF26="ja",VLOOKUP($B26,'Egen hetvattenprod'!$B$1:$BX$550,MATCH("Tillförd olja (fossil) vid avfallsförbränning (GWh)",'Egen hetvattenprod'!$B$1:$BX$1,0),FALSE),"")</f>
        <v/>
      </c>
      <c r="BR26" s="227" t="str">
        <f>IF($BF26="ja",VLOOKUP($B26,Kraftvärmeprod!$B$1:$BX$550,MATCH("Tillförd olja (fossil) vid avfallsförbränning (GWh)",Kraftvärmeprod!$B$1:$BX$1,0),FALSE),"")</f>
        <v/>
      </c>
      <c r="BS26" s="227"/>
      <c r="BT26" s="227"/>
      <c r="BU26" s="227"/>
    </row>
    <row r="27" spans="1:73" x14ac:dyDescent="0.25">
      <c r="A27" s="121" t="str">
        <f>'Miljövärden för publ företag'!B30</f>
        <v>Alingsås Energi Nät AB</v>
      </c>
      <c r="B27" s="121" t="str">
        <f>'Miljövärden för publ företag'!C30</f>
        <v>Alingsås</v>
      </c>
      <c r="C27" s="173">
        <f>IFERROR(VLOOKUP($B27,Totalt!$B$1:$AQ$554,MATCH(C$2,Totalt!$B$1:$AQ$1,0),FALSE),"")</f>
        <v>0</v>
      </c>
      <c r="D27" s="173">
        <f>IFERROR(VLOOKUP($B27,Totalt!$B$1:$AQ$554,MATCH(D$2,Totalt!$B$1:$AQ$1,0),FALSE),"")</f>
        <v>0.06</v>
      </c>
      <c r="E27" s="173">
        <f>IFERROR(VLOOKUP($B27,Totalt!$B$1:$AQ$554,MATCH(E$2,Totalt!$B$1:$AQ$1,0),FALSE),"")</f>
        <v>0</v>
      </c>
      <c r="F27" s="173">
        <f>IFERROR(VLOOKUP($B27,Totalt!$B$1:$AQ$554,MATCH(F$2,Totalt!$B$1:$AQ$1,0),FALSE),"")</f>
        <v>0</v>
      </c>
      <c r="G27" s="173">
        <f>IFERROR(VLOOKUP($B27,Totalt!$B$1:$AQ$554,MATCH(G$2,Totalt!$B$1:$AQ$1,0),FALSE),"")</f>
        <v>0</v>
      </c>
      <c r="H27" s="173">
        <f>IFERROR(VLOOKUP($B27,Totalt!$B$1:$AQ$554,MATCH(H$2,Totalt!$B$1:$AQ$1,0),FALSE),"")</f>
        <v>0</v>
      </c>
      <c r="I27" s="173">
        <f>IFERROR(VLOOKUP($B27,Totalt!$B$1:$AQ$554,MATCH(I$2,Totalt!$B$1:$AQ$1,0),FALSE),"")</f>
        <v>0</v>
      </c>
      <c r="J27" s="173">
        <f>IFERROR(VLOOKUP($B27,Totalt!$B$1:$AQ$554,MATCH(J$2,Totalt!$B$1:$AQ$1,0),FALSE),"")</f>
        <v>1.66</v>
      </c>
      <c r="K27" s="173">
        <f>IFERROR(VLOOKUP($B27,Totalt!$B$1:$AQ$554,MATCH(K$2,Totalt!$B$1:$AQ$1,0),FALSE),"")</f>
        <v>0</v>
      </c>
      <c r="L27" s="173">
        <f>IFERROR(VLOOKUP($B27,Totalt!$B$1:$AQ$554,MATCH(L$2,Totalt!$B$1:$AQ$1,0),FALSE),"")</f>
        <v>0</v>
      </c>
      <c r="M27" s="173">
        <f>IFERROR(VLOOKUP($B27,Totalt!$B$1:$AQ$554,MATCH(M$2,Totalt!$B$1:$AQ$1,0),FALSE),"")</f>
        <v>0</v>
      </c>
      <c r="N27" s="173">
        <f>IFERROR(VLOOKUP($B27,Totalt!$B$1:$AQ$554,MATCH(N$2,Totalt!$B$1:$AQ$1,0),FALSE),"")</f>
        <v>0</v>
      </c>
      <c r="O27" s="173">
        <f>IFERROR(VLOOKUP($B27,Totalt!$B$1:$AQ$554,MATCH(O$2,Totalt!$B$1:$AQ$1,0),FALSE),"")</f>
        <v>0</v>
      </c>
      <c r="P27" s="173">
        <f>IFERROR(VLOOKUP($B27,Totalt!$B$1:$AQ$554,MATCH(P$2,Totalt!$B$1:$AQ$1,0),FALSE),"")</f>
        <v>0</v>
      </c>
      <c r="Q27" s="173">
        <f>IFERROR(VLOOKUP($B27,Totalt!$B$1:$AQ$554,MATCH(Q$2,Totalt!$B$1:$AQ$1,0),FALSE),"")</f>
        <v>124.85</v>
      </c>
      <c r="R27" s="173">
        <f>IFERROR(VLOOKUP($B27,Totalt!$B$1:$AQ$554,MATCH(R$2,Totalt!$B$1:$AQ$1,0),FALSE),"")</f>
        <v>0</v>
      </c>
      <c r="S27" s="173">
        <f>IFERROR(VLOOKUP($B27,Totalt!$B$1:$AQ$554,MATCH(S$2,Totalt!$B$1:$AQ$1,0),FALSE),"")</f>
        <v>0</v>
      </c>
      <c r="T27" s="173">
        <f>IFERROR(VLOOKUP($B27,Totalt!$B$1:$AQ$554,MATCH(T$2,Totalt!$B$1:$AQ$1,0),FALSE),"")</f>
        <v>0</v>
      </c>
      <c r="U27" s="173">
        <f>IFERROR(VLOOKUP($B27,Totalt!$B$1:$AQ$554,MATCH(U$2,Totalt!$B$1:$AQ$1,0),FALSE),"")</f>
        <v>0</v>
      </c>
      <c r="V27" s="173">
        <f>IFERROR(VLOOKUP($B27,Totalt!$B$1:$AQ$554,MATCH(V$2,Totalt!$B$1:$AQ$1,0),FALSE),"")</f>
        <v>0</v>
      </c>
      <c r="W27" s="173">
        <f>IFERROR(VLOOKUP($B27,Totalt!$B$1:$AQ$554,MATCH(W$2,Totalt!$B$1:$AQ$1,0),FALSE),"")</f>
        <v>1.52</v>
      </c>
      <c r="X27" s="173">
        <f>IFERROR(VLOOKUP($B27,Totalt!$B$1:$AQ$554,MATCH(X$2,Totalt!$B$1:$AQ$1,0),FALSE),"")</f>
        <v>0</v>
      </c>
      <c r="Y27" s="173">
        <f>IFERROR(VLOOKUP($B27,Totalt!$B$1:$AQ$554,MATCH(Y$2,Totalt!$B$1:$AQ$1,0),FALSE),"")</f>
        <v>0</v>
      </c>
      <c r="Z27" s="173">
        <f>IFERROR(VLOOKUP($B27,Totalt!$B$1:$AQ$554,MATCH(Z$2,Totalt!$B$1:$AQ$1,0),FALSE),"")</f>
        <v>0</v>
      </c>
      <c r="AA27" s="173">
        <f>IFERROR(VLOOKUP($B27,Totalt!$B$1:$AQ$554,MATCH(AA$2,Totalt!$B$1:$AQ$1,0),FALSE),"")</f>
        <v>0</v>
      </c>
      <c r="AB27" s="173">
        <f>IFERROR(VLOOKUP($B27,Totalt!$B$1:$AQ$554,MATCH(AB$2,Totalt!$B$1:$AQ$1,0),FALSE),"")</f>
        <v>0</v>
      </c>
      <c r="AC27" s="173">
        <f>IFERROR(VLOOKUP($B27,Totalt!$B$1:$AQ$554,MATCH(AC$2,Totalt!$B$1:$AQ$1,0),FALSE),"")</f>
        <v>31.52</v>
      </c>
      <c r="AD27" s="173">
        <f>IFERROR(VLOOKUP($B27,Totalt!$B$1:$AQ$554,MATCH(AD$2,Totalt!$B$1:$AQ$1,0),FALSE),"")</f>
        <v>0</v>
      </c>
      <c r="AE27" s="173">
        <f>IFERROR(VLOOKUP($B27,Totalt!$B$1:$AQ$554,MATCH(AE$2,Totalt!$B$1:$AQ$1,0),FALSE),"")</f>
        <v>0</v>
      </c>
      <c r="AF27" s="173">
        <f>IFERROR(VLOOKUP($B27,Totalt!$B$1:$AQ$554,MATCH(AF$2,Totalt!$B$1:$AQ$1,0),FALSE),"")</f>
        <v>3.2</v>
      </c>
      <c r="AG27" s="173">
        <f>IFERROR(VLOOKUP($B27,Totalt!$B$1:$AQ$554,MATCH(AG$2,Totalt!$B$1:$AQ$1,0),FALSE),"")</f>
        <v>0</v>
      </c>
      <c r="AI27" s="226">
        <f t="shared" si="0"/>
        <v>162.81</v>
      </c>
      <c r="AJ27" s="226">
        <f>IF(ISERROR(1/VLOOKUP($B27,Leveranser!$B$1:$S$500,MATCH("såld värme (gwh)",Leveranser!$B$1:$S$1,0),FALSE)),"",VLOOKUP($B27,Leveranser!$B$1:$S$500,MATCH("såld värme (gwh)",Leveranser!$B$1:$S$1,0),FALSE))</f>
        <v>121.5</v>
      </c>
      <c r="AM27" s="227" t="str">
        <f>IF(B27&lt;&gt;"",IF(VLOOKUP($B27,Totalt!$B$1:$AQ$554,MATCH("Kvalitetsgranskad:",Totalt!$B$1:$AQ$1,0),FALSE)="ja",VLOOKUP($B27,Miljö!$B$1:$AG$479,MATCH(AM$2,Miljö!$B$1:$AK$1,0),FALSE),""),"")</f>
        <v>Ja</v>
      </c>
      <c r="AN27" s="227" t="str">
        <f>IF(AM27="ja",VLOOKUP($B27,Miljö!$B$1:$J$479,MATCH("Typ av ursprungsspecificerad el   (Om inget värde anges används Nordisk residualmix, se inforuta) ()",Miljö!$B$1:$J$1,0),FALSE),IF(AM27="nej","Nordisk residualel",""))</f>
        <v>'85.9% Vind och 14.1% vattenkraft'</v>
      </c>
      <c r="AO27" s="227">
        <f>IF(AM27="","",VLOOKUP($B27,Miljö!$B$1:$J$479,MATCH("Fossilandel för ursprungspecificerad el ()",Miljö!$B$1:$J$1,0),FALSE))</f>
        <v>0</v>
      </c>
      <c r="AP27" s="227">
        <f>IF(AM27="","",IFERROR(VLOOKUP($B27,Miljö!$B$1:$J$479,MATCH("Kärnkraftsandel för ursprungsspecificerad el ()",Miljö!$B$1:$J$1,0),FALSE)/1,0))</f>
        <v>0</v>
      </c>
      <c r="AQ27" s="227">
        <f t="shared" si="1"/>
        <v>1</v>
      </c>
      <c r="AR27" s="227"/>
      <c r="AS27" s="227" t="str">
        <f t="shared" si="2"/>
        <v>Nej</v>
      </c>
      <c r="AT27" s="227" t="str">
        <f>IF(AS27="ja",VLOOKUP($B27,Miljö!$B$1:$O$500,MATCH("Fossil andel i procent (%)",Miljö!$B$1:$O$1,0),FALSE)/100,"")</f>
        <v/>
      </c>
      <c r="AU27" s="227"/>
      <c r="AV27" s="227" t="str">
        <f t="shared" si="3"/>
        <v>Nej</v>
      </c>
      <c r="AW27" s="227" t="str">
        <f>IF(AV27="ja",VLOOKUP($B27,'Egen hetvattenprod'!$B$1:$AO$500,MATCH("Värmekälla till värmepumpar ()",'Egen hetvattenprod'!$B$1:$AO$1,0),FALSE),"")</f>
        <v/>
      </c>
      <c r="AX27" s="227"/>
      <c r="AY27" s="227" t="str">
        <f t="shared" si="4"/>
        <v>Ja</v>
      </c>
      <c r="AZ27" s="228">
        <f>IF($AY27="ja",(VLOOKUP($B27,'Egen hetvattenprod'!$B$1:$BX$550,MATCH(AZ$2,'Egen hetvattenprod'!$B$1:$BX$1,0),FALSE)+VLOOKUP($B27,Kraftvärmeprod!$B$1:$BX$550,MATCH(AZ$2,Kraftvärmeprod!$B$1:$BX$1,0),FALSE))/$AC27,"")</f>
        <v>1</v>
      </c>
      <c r="BA27" s="228">
        <f>IF($AY27="ja",(VLOOKUP($B27,'Egen hetvattenprod'!$B$1:$BX$550,MATCH(BA$2,'Egen hetvattenprod'!$B$1:$BX$1,0),FALSE)+VLOOKUP($B27,Kraftvärmeprod!$B$1:$BX$550,MATCH(BA$2,Kraftvärmeprod!$B$1:$BX$1,0),FALSE))/$AC27,"")</f>
        <v>0</v>
      </c>
      <c r="BB27" s="228">
        <f>IF($AY27="ja",(VLOOKUP($B27,'Egen hetvattenprod'!$B$1:$BX$550,MATCH(BB$2,'Egen hetvattenprod'!$B$1:$BX$1,0),FALSE)+VLOOKUP($B27,Kraftvärmeprod!$B$1:$BX$550,MATCH(BB$2,Kraftvärmeprod!$B$1:$BX$1,0),FALSE))/$AC27,"")</f>
        <v>0</v>
      </c>
      <c r="BC27" s="228">
        <f>IF($AY27="ja",(VLOOKUP($B27,'Egen hetvattenprod'!$B$1:$BX$550,MATCH(BC$2,'Egen hetvattenprod'!$B$1:$BX$1,0),FALSE)+VLOOKUP($B27,Kraftvärmeprod!$B$1:$BX$550,MATCH(BC$2,Kraftvärmeprod!$B$1:$BX$1,0),FALSE))/$AC27,"")</f>
        <v>0</v>
      </c>
      <c r="BD27" s="228">
        <f>IF($AY27="ja",(VLOOKUP($B27,'Egen hetvattenprod'!$B$1:$BX$550,MATCH(BD$2,'Egen hetvattenprod'!$B$1:$BX$1,0),FALSE)+VLOOKUP($B27,Kraftvärmeprod!$B$1:$BX$550,MATCH(BD$2,Kraftvärmeprod!$B$1:$BX$1,0),FALSE))/$AC27,"")</f>
        <v>0</v>
      </c>
      <c r="BE27" s="227"/>
      <c r="BF27" s="227" t="str">
        <f t="shared" si="5"/>
        <v>Nej</v>
      </c>
      <c r="BG27" s="227" t="str">
        <f>IF($BF27="ja",VLOOKUP($B27,'Egen hetvattenprod'!$B$1:$BX$550,MATCH("Andelen klimatgaser med fossilt ursprung för avfall ()",'Egen hetvattenprod'!$B$1:$BX$1,0),FALSE),"")</f>
        <v/>
      </c>
      <c r="BH27" s="227" t="str">
        <f>IF($BF27="ja",VLOOKUP($B27,Kraftvärmeprod!$B$1:$BX$550,MATCH("Andelen klimatgaser med fossilt ursprung för avfall ()",Kraftvärmeprod!$B$1:$BX$1,0),FALSE),"")</f>
        <v/>
      </c>
      <c r="BI27" s="227" t="str">
        <f>IF($BF27="ja",VLOOKUP($B27,'Egen hetvattenprod'!$B$1:$BX$550,MATCH("Avfall (GWh)",'Egen hetvattenprod'!$B$1:$BX$1,0),FALSE),"")</f>
        <v/>
      </c>
      <c r="BJ27" s="227" t="str">
        <f>IF($BF27="ja",VLOOKUP($B27,'Slutlig allokering kvv'!$B$1:$BX$550,MATCH("Avfall (GWh)",'Slutlig allokering kvv'!$B$1:$BX$1,0),FALSE),"")</f>
        <v/>
      </c>
      <c r="BK27" s="227" t="str">
        <f>IF($BF27="ja",VLOOKUP($B27,'Köpt hetvatten'!$B$1:$BX$550,MATCH("Avfall i köpt hetvatten",'Köpt hetvatten'!$B$1:$BX$1,0),FALSE),"")</f>
        <v/>
      </c>
      <c r="BL27" s="227" t="str">
        <f>IF($BF27="ja",VLOOKUP($B27,'Egen hetvattenprod'!$B$1:$BX$550,MATCH("Värde enligt ovan. (%)",'Egen hetvattenprod'!$B$1:$BX$1,0),FALSE),"")</f>
        <v/>
      </c>
      <c r="BM27" s="227" t="str">
        <f>IF($BF27="ja",VLOOKUP($B27,Kraftvärmeprod!$B$1:$BX$550,MATCH("Värde enligt ovan. (%)",Kraftvärmeprod!$B$1:$BX$1,0),FALSE),"")</f>
        <v/>
      </c>
      <c r="BN27" s="227"/>
      <c r="BO27" s="227"/>
      <c r="BP27" s="227"/>
      <c r="BQ27" s="227" t="str">
        <f>IF($BF27="ja",VLOOKUP($B27,'Egen hetvattenprod'!$B$1:$BX$550,MATCH("Tillförd olja (fossil) vid avfallsförbränning (GWh)",'Egen hetvattenprod'!$B$1:$BX$1,0),FALSE),"")</f>
        <v/>
      </c>
      <c r="BR27" s="227" t="str">
        <f>IF($BF27="ja",VLOOKUP($B27,Kraftvärmeprod!$B$1:$BX$550,MATCH("Tillförd olja (fossil) vid avfallsförbränning (GWh)",Kraftvärmeprod!$B$1:$BX$1,0),FALSE),"")</f>
        <v/>
      </c>
      <c r="BS27" s="227"/>
      <c r="BT27" s="227"/>
      <c r="BU27" s="227"/>
    </row>
    <row r="28" spans="1:73" x14ac:dyDescent="0.25">
      <c r="A28" s="121" t="str">
        <f>'Miljövärden för publ företag'!B31</f>
        <v>Alvesta Energi AB</v>
      </c>
      <c r="B28" s="121" t="str">
        <f>'Miljövärden för publ företag'!C31</f>
        <v>Alvesta</v>
      </c>
      <c r="C28" s="173">
        <f>IFERROR(VLOOKUP($B28,Totalt!$B$1:$AQ$554,MATCH(C$2,Totalt!$B$1:$AQ$1,0),FALSE),"")</f>
        <v>0</v>
      </c>
      <c r="D28" s="173">
        <f>IFERROR(VLOOKUP($B28,Totalt!$B$1:$AQ$554,MATCH(D$2,Totalt!$B$1:$AQ$1,0),FALSE),"")</f>
        <v>0.3</v>
      </c>
      <c r="E28" s="173">
        <f>IFERROR(VLOOKUP($B28,Totalt!$B$1:$AQ$554,MATCH(E$2,Totalt!$B$1:$AQ$1,0),FALSE),"")</f>
        <v>0</v>
      </c>
      <c r="F28" s="173">
        <f>IFERROR(VLOOKUP($B28,Totalt!$B$1:$AQ$554,MATCH(F$2,Totalt!$B$1:$AQ$1,0),FALSE),"")</f>
        <v>0</v>
      </c>
      <c r="G28" s="173">
        <f>IFERROR(VLOOKUP($B28,Totalt!$B$1:$AQ$554,MATCH(G$2,Totalt!$B$1:$AQ$1,0),FALSE),"")</f>
        <v>0</v>
      </c>
      <c r="H28" s="173">
        <f>IFERROR(VLOOKUP($B28,Totalt!$B$1:$AQ$554,MATCH(H$2,Totalt!$B$1:$AQ$1,0),FALSE),"")</f>
        <v>0</v>
      </c>
      <c r="I28" s="173">
        <f>IFERROR(VLOOKUP($B28,Totalt!$B$1:$AQ$554,MATCH(I$2,Totalt!$B$1:$AQ$1,0),FALSE),"")</f>
        <v>0</v>
      </c>
      <c r="J28" s="173">
        <f>IFERROR(VLOOKUP($B28,Totalt!$B$1:$AQ$554,MATCH(J$2,Totalt!$B$1:$AQ$1,0),FALSE),"")</f>
        <v>0</v>
      </c>
      <c r="K28" s="173">
        <f>IFERROR(VLOOKUP($B28,Totalt!$B$1:$AQ$554,MATCH(K$2,Totalt!$B$1:$AQ$1,0),FALSE),"")</f>
        <v>0</v>
      </c>
      <c r="L28" s="173">
        <f>IFERROR(VLOOKUP($B28,Totalt!$B$1:$AQ$554,MATCH(L$2,Totalt!$B$1:$AQ$1,0),FALSE),"")</f>
        <v>0</v>
      </c>
      <c r="M28" s="173">
        <f>IFERROR(VLOOKUP($B28,Totalt!$B$1:$AQ$554,MATCH(M$2,Totalt!$B$1:$AQ$1,0),FALSE),"")</f>
        <v>0</v>
      </c>
      <c r="N28" s="173">
        <f>IFERROR(VLOOKUP($B28,Totalt!$B$1:$AQ$554,MATCH(N$2,Totalt!$B$1:$AQ$1,0),FALSE),"")</f>
        <v>0</v>
      </c>
      <c r="O28" s="173">
        <f>IFERROR(VLOOKUP($B28,Totalt!$B$1:$AQ$554,MATCH(O$2,Totalt!$B$1:$AQ$1,0),FALSE),"")</f>
        <v>0</v>
      </c>
      <c r="P28" s="173">
        <f>IFERROR(VLOOKUP($B28,Totalt!$B$1:$AQ$554,MATCH(P$2,Totalt!$B$1:$AQ$1,0),FALSE),"")</f>
        <v>0</v>
      </c>
      <c r="Q28" s="173">
        <f>IFERROR(VLOOKUP($B28,Totalt!$B$1:$AQ$554,MATCH(Q$2,Totalt!$B$1:$AQ$1,0),FALSE),"")</f>
        <v>78</v>
      </c>
      <c r="R28" s="173">
        <f>IFERROR(VLOOKUP($B28,Totalt!$B$1:$AQ$554,MATCH(R$2,Totalt!$B$1:$AQ$1,0),FALSE),"")</f>
        <v>0</v>
      </c>
      <c r="S28" s="173">
        <f>IFERROR(VLOOKUP($B28,Totalt!$B$1:$AQ$554,MATCH(S$2,Totalt!$B$1:$AQ$1,0),FALSE),"")</f>
        <v>0</v>
      </c>
      <c r="T28" s="173">
        <f>IFERROR(VLOOKUP($B28,Totalt!$B$1:$AQ$554,MATCH(T$2,Totalt!$B$1:$AQ$1,0),FALSE),"")</f>
        <v>0</v>
      </c>
      <c r="U28" s="173">
        <f>IFERROR(VLOOKUP($B28,Totalt!$B$1:$AQ$554,MATCH(U$2,Totalt!$B$1:$AQ$1,0),FALSE),"")</f>
        <v>0</v>
      </c>
      <c r="V28" s="173">
        <f>IFERROR(VLOOKUP($B28,Totalt!$B$1:$AQ$554,MATCH(V$2,Totalt!$B$1:$AQ$1,0),FALSE),"")</f>
        <v>0</v>
      </c>
      <c r="W28" s="173">
        <f>IFERROR(VLOOKUP($B28,Totalt!$B$1:$AQ$554,MATCH(W$2,Totalt!$B$1:$AQ$1,0),FALSE),"")</f>
        <v>0</v>
      </c>
      <c r="X28" s="173">
        <f>IFERROR(VLOOKUP($B28,Totalt!$B$1:$AQ$554,MATCH(X$2,Totalt!$B$1:$AQ$1,0),FALSE),"")</f>
        <v>0</v>
      </c>
      <c r="Y28" s="173">
        <f>IFERROR(VLOOKUP($B28,Totalt!$B$1:$AQ$554,MATCH(Y$2,Totalt!$B$1:$AQ$1,0),FALSE),"")</f>
        <v>0</v>
      </c>
      <c r="Z28" s="173">
        <f>IFERROR(VLOOKUP($B28,Totalt!$B$1:$AQ$554,MATCH(Z$2,Totalt!$B$1:$AQ$1,0),FALSE),"")</f>
        <v>0</v>
      </c>
      <c r="AA28" s="173">
        <f>IFERROR(VLOOKUP($B28,Totalt!$B$1:$AQ$554,MATCH(AA$2,Totalt!$B$1:$AQ$1,0),FALSE),"")</f>
        <v>0</v>
      </c>
      <c r="AB28" s="173">
        <f>IFERROR(VLOOKUP($B28,Totalt!$B$1:$AQ$554,MATCH(AB$2,Totalt!$B$1:$AQ$1,0),FALSE),"")</f>
        <v>0</v>
      </c>
      <c r="AC28" s="173">
        <f>IFERROR(VLOOKUP($B28,Totalt!$B$1:$AQ$554,MATCH(AC$2,Totalt!$B$1:$AQ$1,0),FALSE),"")</f>
        <v>0</v>
      </c>
      <c r="AD28" s="173">
        <f>IFERROR(VLOOKUP($B28,Totalt!$B$1:$AQ$554,MATCH(AD$2,Totalt!$B$1:$AQ$1,0),FALSE),"")</f>
        <v>0</v>
      </c>
      <c r="AE28" s="173">
        <f>IFERROR(VLOOKUP($B28,Totalt!$B$1:$AQ$554,MATCH(AE$2,Totalt!$B$1:$AQ$1,0),FALSE),"")</f>
        <v>0</v>
      </c>
      <c r="AF28" s="173">
        <f>IFERROR(VLOOKUP($B28,Totalt!$B$1:$AQ$554,MATCH(AF$2,Totalt!$B$1:$AQ$1,0),FALSE),"")</f>
        <v>1.6791</v>
      </c>
      <c r="AG28" s="173">
        <f>IFERROR(VLOOKUP($B28,Totalt!$B$1:$AQ$554,MATCH(AG$2,Totalt!$B$1:$AQ$1,0),FALSE),"")</f>
        <v>0</v>
      </c>
      <c r="AI28" s="226">
        <f t="shared" si="0"/>
        <v>79.979100000000003</v>
      </c>
      <c r="AJ28" s="226">
        <f>IF(ISERROR(1/VLOOKUP($B28,Leveranser!$B$1:$S$500,MATCH("såld värme (gwh)",Leveranser!$B$1:$S$1,0),FALSE)),"",VLOOKUP($B28,Leveranser!$B$1:$S$500,MATCH("såld värme (gwh)",Leveranser!$B$1:$S$1,0),FALSE))</f>
        <v>55.97</v>
      </c>
      <c r="AM28" s="227" t="str">
        <f>IF(B28&lt;&gt;"",IF(VLOOKUP($B28,Totalt!$B$1:$AQ$554,MATCH("Kvalitetsgranskad:",Totalt!$B$1:$AQ$1,0),FALSE)="ja",VLOOKUP($B28,Miljö!$B$1:$AG$479,MATCH(AM$2,Miljö!$B$1:$AK$1,0),FALSE),""),"")</f>
        <v>Ja</v>
      </c>
      <c r="AN28" s="227" t="str">
        <f>IF(AM28="ja",VLOOKUP($B28,Miljö!$B$1:$J$479,MATCH("Typ av ursprungsspecificerad el   (Om inget värde anges används Nordisk residualmix, se inforuta) ()",Miljö!$B$1:$J$1,0),FALSE),IF(AM28="nej","Nordisk residualel",""))</f>
        <v>'Nordisk elmix'</v>
      </c>
      <c r="AO28" s="227">
        <f>IF(AM28="","",VLOOKUP($B28,Miljö!$B$1:$J$479,MATCH("Fossilandel för ursprungspecificerad el ()",Miljö!$B$1:$J$1,0),FALSE))</f>
        <v>0.42799999999999999</v>
      </c>
      <c r="AP28" s="227">
        <f>IF(AM28="","",IFERROR(VLOOKUP($B28,Miljö!$B$1:$J$479,MATCH("Kärnkraftsandel för ursprungsspecificerad el ()",Miljö!$B$1:$J$1,0),FALSE)/1,0))</f>
        <v>0.40500000000000003</v>
      </c>
      <c r="AQ28" s="227">
        <f t="shared" si="1"/>
        <v>0.16700000000000004</v>
      </c>
      <c r="AR28" s="227"/>
      <c r="AS28" s="227" t="str">
        <f t="shared" si="2"/>
        <v>Nej</v>
      </c>
      <c r="AT28" s="227" t="str">
        <f>IF(AS28="ja",VLOOKUP($B28,Miljö!$B$1:$O$500,MATCH("Fossil andel i procent (%)",Miljö!$B$1:$O$1,0),FALSE)/100,"")</f>
        <v/>
      </c>
      <c r="AU28" s="227"/>
      <c r="AV28" s="227" t="str">
        <f t="shared" si="3"/>
        <v>Nej</v>
      </c>
      <c r="AW28" s="227" t="str">
        <f>IF(AV28="ja",VLOOKUP($B28,'Egen hetvattenprod'!$B$1:$AO$500,MATCH("Värmekälla till värmepumpar ()",'Egen hetvattenprod'!$B$1:$AO$1,0),FALSE),"")</f>
        <v/>
      </c>
      <c r="AX28" s="227"/>
      <c r="AY28" s="227" t="str">
        <f t="shared" si="4"/>
        <v>Nej</v>
      </c>
      <c r="AZ28" s="228" t="str">
        <f>IF($AY28="ja",(VLOOKUP($B28,'Egen hetvattenprod'!$B$1:$BX$550,MATCH(AZ$2,'Egen hetvattenprod'!$B$1:$BX$1,0),FALSE)+VLOOKUP($B28,Kraftvärmeprod!$B$1:$BX$550,MATCH(AZ$2,Kraftvärmeprod!$B$1:$BX$1,0),FALSE))/$AC28,"")</f>
        <v/>
      </c>
      <c r="BA28" s="228" t="str">
        <f>IF($AY28="ja",(VLOOKUP($B28,'Egen hetvattenprod'!$B$1:$BX$550,MATCH(BA$2,'Egen hetvattenprod'!$B$1:$BX$1,0),FALSE)+VLOOKUP($B28,Kraftvärmeprod!$B$1:$BX$550,MATCH(BA$2,Kraftvärmeprod!$B$1:$BX$1,0),FALSE))/$AC28,"")</f>
        <v/>
      </c>
      <c r="BB28" s="228" t="str">
        <f>IF($AY28="ja",(VLOOKUP($B28,'Egen hetvattenprod'!$B$1:$BX$550,MATCH(BB$2,'Egen hetvattenprod'!$B$1:$BX$1,0),FALSE)+VLOOKUP($B28,Kraftvärmeprod!$B$1:$BX$550,MATCH(BB$2,Kraftvärmeprod!$B$1:$BX$1,0),FALSE))/$AC28,"")</f>
        <v/>
      </c>
      <c r="BC28" s="228" t="str">
        <f>IF($AY28="ja",(VLOOKUP($B28,'Egen hetvattenprod'!$B$1:$BX$550,MATCH(BC$2,'Egen hetvattenprod'!$B$1:$BX$1,0),FALSE)+VLOOKUP($B28,Kraftvärmeprod!$B$1:$BX$550,MATCH(BC$2,Kraftvärmeprod!$B$1:$BX$1,0),FALSE))/$AC28,"")</f>
        <v/>
      </c>
      <c r="BD28" s="228" t="str">
        <f>IF($AY28="ja",(VLOOKUP($B28,'Egen hetvattenprod'!$B$1:$BX$550,MATCH(BD$2,'Egen hetvattenprod'!$B$1:$BX$1,0),FALSE)+VLOOKUP($B28,Kraftvärmeprod!$B$1:$BX$550,MATCH(BD$2,Kraftvärmeprod!$B$1:$BX$1,0),FALSE))/$AC28,"")</f>
        <v/>
      </c>
      <c r="BE28" s="227"/>
      <c r="BF28" s="227" t="str">
        <f t="shared" si="5"/>
        <v>Nej</v>
      </c>
      <c r="BG28" s="227" t="str">
        <f>IF($BF28="ja",VLOOKUP($B28,'Egen hetvattenprod'!$B$1:$BX$550,MATCH("Andelen klimatgaser med fossilt ursprung för avfall ()",'Egen hetvattenprod'!$B$1:$BX$1,0),FALSE),"")</f>
        <v/>
      </c>
      <c r="BH28" s="227" t="str">
        <f>IF($BF28="ja",VLOOKUP($B28,Kraftvärmeprod!$B$1:$BX$550,MATCH("Andelen klimatgaser med fossilt ursprung för avfall ()",Kraftvärmeprod!$B$1:$BX$1,0),FALSE),"")</f>
        <v/>
      </c>
      <c r="BI28" s="227" t="str">
        <f>IF($BF28="ja",VLOOKUP($B28,'Egen hetvattenprod'!$B$1:$BX$550,MATCH("Avfall (GWh)",'Egen hetvattenprod'!$B$1:$BX$1,0),FALSE),"")</f>
        <v/>
      </c>
      <c r="BJ28" s="227" t="str">
        <f>IF($BF28="ja",VLOOKUP($B28,'Slutlig allokering kvv'!$B$1:$BX$550,MATCH("Avfall (GWh)",'Slutlig allokering kvv'!$B$1:$BX$1,0),FALSE),"")</f>
        <v/>
      </c>
      <c r="BK28" s="227" t="str">
        <f>IF($BF28="ja",VLOOKUP($B28,'Köpt hetvatten'!$B$1:$BX$550,MATCH("Avfall i köpt hetvatten",'Köpt hetvatten'!$B$1:$BX$1,0),FALSE),"")</f>
        <v/>
      </c>
      <c r="BL28" s="227" t="str">
        <f>IF($BF28="ja",VLOOKUP($B28,'Egen hetvattenprod'!$B$1:$BX$550,MATCH("Värde enligt ovan. (%)",'Egen hetvattenprod'!$B$1:$BX$1,0),FALSE),"")</f>
        <v/>
      </c>
      <c r="BM28" s="227" t="str">
        <f>IF($BF28="ja",VLOOKUP($B28,Kraftvärmeprod!$B$1:$BX$550,MATCH("Värde enligt ovan. (%)",Kraftvärmeprod!$B$1:$BX$1,0),FALSE),"")</f>
        <v/>
      </c>
      <c r="BN28" s="227"/>
      <c r="BO28" s="227"/>
      <c r="BP28" s="227"/>
      <c r="BQ28" s="227" t="str">
        <f>IF($BF28="ja",VLOOKUP($B28,'Egen hetvattenprod'!$B$1:$BX$550,MATCH("Tillförd olja (fossil) vid avfallsförbränning (GWh)",'Egen hetvattenprod'!$B$1:$BX$1,0),FALSE),"")</f>
        <v/>
      </c>
      <c r="BR28" s="227" t="str">
        <f>IF($BF28="ja",VLOOKUP($B28,Kraftvärmeprod!$B$1:$BX$550,MATCH("Tillförd olja (fossil) vid avfallsförbränning (GWh)",Kraftvärmeprod!$B$1:$BX$1,0),FALSE),"")</f>
        <v/>
      </c>
      <c r="BS28" s="227"/>
      <c r="BT28" s="227"/>
      <c r="BU28" s="227"/>
    </row>
    <row r="29" spans="1:73" x14ac:dyDescent="0.25">
      <c r="A29" s="121" t="str">
        <f>'Miljövärden för publ företag'!B32</f>
        <v>Alvesta Energi AB</v>
      </c>
      <c r="B29" s="121" t="str">
        <f>'Miljövärden för publ företag'!C32</f>
        <v>Moheda</v>
      </c>
      <c r="C29" s="173">
        <f>IFERROR(VLOOKUP($B29,Totalt!$B$1:$AQ$554,MATCH(C$2,Totalt!$B$1:$AQ$1,0),FALSE),"")</f>
        <v>0</v>
      </c>
      <c r="D29" s="173">
        <f>IFERROR(VLOOKUP($B29,Totalt!$B$1:$AQ$554,MATCH(D$2,Totalt!$B$1:$AQ$1,0),FALSE),"")</f>
        <v>0.24</v>
      </c>
      <c r="E29" s="173">
        <f>IFERROR(VLOOKUP($B29,Totalt!$B$1:$AQ$554,MATCH(E$2,Totalt!$B$1:$AQ$1,0),FALSE),"")</f>
        <v>0</v>
      </c>
      <c r="F29" s="173">
        <f>IFERROR(VLOOKUP($B29,Totalt!$B$1:$AQ$554,MATCH(F$2,Totalt!$B$1:$AQ$1,0),FALSE),"")</f>
        <v>0</v>
      </c>
      <c r="G29" s="173">
        <f>IFERROR(VLOOKUP($B29,Totalt!$B$1:$AQ$554,MATCH(G$2,Totalt!$B$1:$AQ$1,0),FALSE),"")</f>
        <v>0</v>
      </c>
      <c r="H29" s="173">
        <f>IFERROR(VLOOKUP($B29,Totalt!$B$1:$AQ$554,MATCH(H$2,Totalt!$B$1:$AQ$1,0),FALSE),"")</f>
        <v>0</v>
      </c>
      <c r="I29" s="173">
        <f>IFERROR(VLOOKUP($B29,Totalt!$B$1:$AQ$554,MATCH(I$2,Totalt!$B$1:$AQ$1,0),FALSE),"")</f>
        <v>0</v>
      </c>
      <c r="J29" s="173">
        <f>IFERROR(VLOOKUP($B29,Totalt!$B$1:$AQ$554,MATCH(J$2,Totalt!$B$1:$AQ$1,0),FALSE),"")</f>
        <v>0</v>
      </c>
      <c r="K29" s="173">
        <f>IFERROR(VLOOKUP($B29,Totalt!$B$1:$AQ$554,MATCH(K$2,Totalt!$B$1:$AQ$1,0),FALSE),"")</f>
        <v>0</v>
      </c>
      <c r="L29" s="173">
        <f>IFERROR(VLOOKUP($B29,Totalt!$B$1:$AQ$554,MATCH(L$2,Totalt!$B$1:$AQ$1,0),FALSE),"")</f>
        <v>0</v>
      </c>
      <c r="M29" s="173">
        <f>IFERROR(VLOOKUP($B29,Totalt!$B$1:$AQ$554,MATCH(M$2,Totalt!$B$1:$AQ$1,0),FALSE),"")</f>
        <v>0</v>
      </c>
      <c r="N29" s="173">
        <f>IFERROR(VLOOKUP($B29,Totalt!$B$1:$AQ$554,MATCH(N$2,Totalt!$B$1:$AQ$1,0),FALSE),"")</f>
        <v>0</v>
      </c>
      <c r="O29" s="173">
        <f>IFERROR(VLOOKUP($B29,Totalt!$B$1:$AQ$554,MATCH(O$2,Totalt!$B$1:$AQ$1,0),FALSE),"")</f>
        <v>0</v>
      </c>
      <c r="P29" s="173">
        <f>IFERROR(VLOOKUP($B29,Totalt!$B$1:$AQ$554,MATCH(P$2,Totalt!$B$1:$AQ$1,0),FALSE),"")</f>
        <v>0</v>
      </c>
      <c r="Q29" s="173">
        <f>IFERROR(VLOOKUP($B29,Totalt!$B$1:$AQ$554,MATCH(Q$2,Totalt!$B$1:$AQ$1,0),FALSE),"")</f>
        <v>15.8</v>
      </c>
      <c r="R29" s="173">
        <f>IFERROR(VLOOKUP($B29,Totalt!$B$1:$AQ$554,MATCH(R$2,Totalt!$B$1:$AQ$1,0),FALSE),"")</f>
        <v>0</v>
      </c>
      <c r="S29" s="173">
        <f>IFERROR(VLOOKUP($B29,Totalt!$B$1:$AQ$554,MATCH(S$2,Totalt!$B$1:$AQ$1,0),FALSE),"")</f>
        <v>0</v>
      </c>
      <c r="T29" s="173">
        <f>IFERROR(VLOOKUP($B29,Totalt!$B$1:$AQ$554,MATCH(T$2,Totalt!$B$1:$AQ$1,0),FALSE),"")</f>
        <v>0</v>
      </c>
      <c r="U29" s="173">
        <f>IFERROR(VLOOKUP($B29,Totalt!$B$1:$AQ$554,MATCH(U$2,Totalt!$B$1:$AQ$1,0),FALSE),"")</f>
        <v>0</v>
      </c>
      <c r="V29" s="173">
        <f>IFERROR(VLOOKUP($B29,Totalt!$B$1:$AQ$554,MATCH(V$2,Totalt!$B$1:$AQ$1,0),FALSE),"")</f>
        <v>0</v>
      </c>
      <c r="W29" s="173">
        <f>IFERROR(VLOOKUP($B29,Totalt!$B$1:$AQ$554,MATCH(W$2,Totalt!$B$1:$AQ$1,0),FALSE),"")</f>
        <v>0</v>
      </c>
      <c r="X29" s="173">
        <f>IFERROR(VLOOKUP($B29,Totalt!$B$1:$AQ$554,MATCH(X$2,Totalt!$B$1:$AQ$1,0),FALSE),"")</f>
        <v>0</v>
      </c>
      <c r="Y29" s="173">
        <f>IFERROR(VLOOKUP($B29,Totalt!$B$1:$AQ$554,MATCH(Y$2,Totalt!$B$1:$AQ$1,0),FALSE),"")</f>
        <v>0</v>
      </c>
      <c r="Z29" s="173">
        <f>IFERROR(VLOOKUP($B29,Totalt!$B$1:$AQ$554,MATCH(Z$2,Totalt!$B$1:$AQ$1,0),FALSE),"")</f>
        <v>0</v>
      </c>
      <c r="AA29" s="173">
        <f>IFERROR(VLOOKUP($B29,Totalt!$B$1:$AQ$554,MATCH(AA$2,Totalt!$B$1:$AQ$1,0),FALSE),"")</f>
        <v>0</v>
      </c>
      <c r="AB29" s="173">
        <f>IFERROR(VLOOKUP($B29,Totalt!$B$1:$AQ$554,MATCH(AB$2,Totalt!$B$1:$AQ$1,0),FALSE),"")</f>
        <v>0</v>
      </c>
      <c r="AC29" s="173">
        <f>IFERROR(VLOOKUP($B29,Totalt!$B$1:$AQ$554,MATCH(AC$2,Totalt!$B$1:$AQ$1,0),FALSE),"")</f>
        <v>0</v>
      </c>
      <c r="AD29" s="173">
        <f>IFERROR(VLOOKUP($B29,Totalt!$B$1:$AQ$554,MATCH(AD$2,Totalt!$B$1:$AQ$1,0),FALSE),"")</f>
        <v>0</v>
      </c>
      <c r="AE29" s="173">
        <f>IFERROR(VLOOKUP($B29,Totalt!$B$1:$AQ$554,MATCH(AE$2,Totalt!$B$1:$AQ$1,0),FALSE),"")</f>
        <v>0</v>
      </c>
      <c r="AF29" s="173">
        <f>IFERROR(VLOOKUP($B29,Totalt!$B$1:$AQ$554,MATCH(AF$2,Totalt!$B$1:$AQ$1,0),FALSE),"")</f>
        <v>0.3201</v>
      </c>
      <c r="AG29" s="173">
        <f>IFERROR(VLOOKUP($B29,Totalt!$B$1:$AQ$554,MATCH(AG$2,Totalt!$B$1:$AQ$1,0),FALSE),"")</f>
        <v>0</v>
      </c>
      <c r="AI29" s="226">
        <f t="shared" si="0"/>
        <v>16.360099999999999</v>
      </c>
      <c r="AJ29" s="226">
        <f>IF(ISERROR(1/VLOOKUP($B29,Leveranser!$B$1:$S$500,MATCH("såld värme (gwh)",Leveranser!$B$1:$S$1,0),FALSE)),"",VLOOKUP($B29,Leveranser!$B$1:$S$500,MATCH("såld värme (gwh)",Leveranser!$B$1:$S$1,0),FALSE))</f>
        <v>10.67</v>
      </c>
      <c r="AM29" s="227" t="str">
        <f>IF(B29&lt;&gt;"",IF(VLOOKUP($B29,Totalt!$B$1:$AQ$554,MATCH("Kvalitetsgranskad:",Totalt!$B$1:$AQ$1,0),FALSE)="ja",VLOOKUP($B29,Miljö!$B$1:$AG$479,MATCH(AM$2,Miljö!$B$1:$AK$1,0),FALSE),""),"")</f>
        <v>Ja</v>
      </c>
      <c r="AN29" s="227" t="str">
        <f>IF(AM29="ja",VLOOKUP($B29,Miljö!$B$1:$J$479,MATCH("Typ av ursprungsspecificerad el   (Om inget värde anges används Nordisk residualmix, se inforuta) ()",Miljö!$B$1:$J$1,0),FALSE),IF(AM29="nej","Nordisk residualel",""))</f>
        <v>'Nordisk Elmix'</v>
      </c>
      <c r="AO29" s="227">
        <f>IF(AM29="","",VLOOKUP($B29,Miljö!$B$1:$J$479,MATCH("Fossilandel för ursprungspecificerad el ()",Miljö!$B$1:$J$1,0),FALSE))</f>
        <v>0.42799999999999999</v>
      </c>
      <c r="AP29" s="227">
        <f>IF(AM29="","",IFERROR(VLOOKUP($B29,Miljö!$B$1:$J$479,MATCH("Kärnkraftsandel för ursprungsspecificerad el ()",Miljö!$B$1:$J$1,0),FALSE)/1,0))</f>
        <v>0.40500000000000003</v>
      </c>
      <c r="AQ29" s="227">
        <f t="shared" si="1"/>
        <v>0.16700000000000004</v>
      </c>
      <c r="AR29" s="227"/>
      <c r="AS29" s="227" t="str">
        <f t="shared" si="2"/>
        <v>Nej</v>
      </c>
      <c r="AT29" s="227" t="str">
        <f>IF(AS29="ja",VLOOKUP($B29,Miljö!$B$1:$O$500,MATCH("Fossil andel i procent (%)",Miljö!$B$1:$O$1,0),FALSE)/100,"")</f>
        <v/>
      </c>
      <c r="AU29" s="227"/>
      <c r="AV29" s="227" t="str">
        <f t="shared" si="3"/>
        <v>Nej</v>
      </c>
      <c r="AW29" s="227" t="str">
        <f>IF(AV29="ja",VLOOKUP($B29,'Egen hetvattenprod'!$B$1:$AO$500,MATCH("Värmekälla till värmepumpar ()",'Egen hetvattenprod'!$B$1:$AO$1,0),FALSE),"")</f>
        <v/>
      </c>
      <c r="AX29" s="227"/>
      <c r="AY29" s="227" t="str">
        <f t="shared" si="4"/>
        <v>Nej</v>
      </c>
      <c r="AZ29" s="228" t="str">
        <f>IF($AY29="ja",(VLOOKUP($B29,'Egen hetvattenprod'!$B$1:$BX$550,MATCH(AZ$2,'Egen hetvattenprod'!$B$1:$BX$1,0),FALSE)+VLOOKUP($B29,Kraftvärmeprod!$B$1:$BX$550,MATCH(AZ$2,Kraftvärmeprod!$B$1:$BX$1,0),FALSE))/$AC29,"")</f>
        <v/>
      </c>
      <c r="BA29" s="228" t="str">
        <f>IF($AY29="ja",(VLOOKUP($B29,'Egen hetvattenprod'!$B$1:$BX$550,MATCH(BA$2,'Egen hetvattenprod'!$B$1:$BX$1,0),FALSE)+VLOOKUP($B29,Kraftvärmeprod!$B$1:$BX$550,MATCH(BA$2,Kraftvärmeprod!$B$1:$BX$1,0),FALSE))/$AC29,"")</f>
        <v/>
      </c>
      <c r="BB29" s="228" t="str">
        <f>IF($AY29="ja",(VLOOKUP($B29,'Egen hetvattenprod'!$B$1:$BX$550,MATCH(BB$2,'Egen hetvattenprod'!$B$1:$BX$1,0),FALSE)+VLOOKUP($B29,Kraftvärmeprod!$B$1:$BX$550,MATCH(BB$2,Kraftvärmeprod!$B$1:$BX$1,0),FALSE))/$AC29,"")</f>
        <v/>
      </c>
      <c r="BC29" s="228" t="str">
        <f>IF($AY29="ja",(VLOOKUP($B29,'Egen hetvattenprod'!$B$1:$BX$550,MATCH(BC$2,'Egen hetvattenprod'!$B$1:$BX$1,0),FALSE)+VLOOKUP($B29,Kraftvärmeprod!$B$1:$BX$550,MATCH(BC$2,Kraftvärmeprod!$B$1:$BX$1,0),FALSE))/$AC29,"")</f>
        <v/>
      </c>
      <c r="BD29" s="228" t="str">
        <f>IF($AY29="ja",(VLOOKUP($B29,'Egen hetvattenprod'!$B$1:$BX$550,MATCH(BD$2,'Egen hetvattenprod'!$B$1:$BX$1,0),FALSE)+VLOOKUP($B29,Kraftvärmeprod!$B$1:$BX$550,MATCH(BD$2,Kraftvärmeprod!$B$1:$BX$1,0),FALSE))/$AC29,"")</f>
        <v/>
      </c>
      <c r="BE29" s="227"/>
      <c r="BF29" s="227" t="str">
        <f t="shared" si="5"/>
        <v>Nej</v>
      </c>
      <c r="BG29" s="227" t="str">
        <f>IF($BF29="ja",VLOOKUP($B29,'Egen hetvattenprod'!$B$1:$BX$550,MATCH("Andelen klimatgaser med fossilt ursprung för avfall ()",'Egen hetvattenprod'!$B$1:$BX$1,0),FALSE),"")</f>
        <v/>
      </c>
      <c r="BH29" s="227" t="str">
        <f>IF($BF29="ja",VLOOKUP($B29,Kraftvärmeprod!$B$1:$BX$550,MATCH("Andelen klimatgaser med fossilt ursprung för avfall ()",Kraftvärmeprod!$B$1:$BX$1,0),FALSE),"")</f>
        <v/>
      </c>
      <c r="BI29" s="227" t="str">
        <f>IF($BF29="ja",VLOOKUP($B29,'Egen hetvattenprod'!$B$1:$BX$550,MATCH("Avfall (GWh)",'Egen hetvattenprod'!$B$1:$BX$1,0),FALSE),"")</f>
        <v/>
      </c>
      <c r="BJ29" s="227" t="str">
        <f>IF($BF29="ja",VLOOKUP($B29,'Slutlig allokering kvv'!$B$1:$BX$550,MATCH("Avfall (GWh)",'Slutlig allokering kvv'!$B$1:$BX$1,0),FALSE),"")</f>
        <v/>
      </c>
      <c r="BK29" s="227" t="str">
        <f>IF($BF29="ja",VLOOKUP($B29,'Köpt hetvatten'!$B$1:$BX$550,MATCH("Avfall i köpt hetvatten",'Köpt hetvatten'!$B$1:$BX$1,0),FALSE),"")</f>
        <v/>
      </c>
      <c r="BL29" s="227" t="str">
        <f>IF($BF29="ja",VLOOKUP($B29,'Egen hetvattenprod'!$B$1:$BX$550,MATCH("Värde enligt ovan. (%)",'Egen hetvattenprod'!$B$1:$BX$1,0),FALSE),"")</f>
        <v/>
      </c>
      <c r="BM29" s="227" t="str">
        <f>IF($BF29="ja",VLOOKUP($B29,Kraftvärmeprod!$B$1:$BX$550,MATCH("Värde enligt ovan. (%)",Kraftvärmeprod!$B$1:$BX$1,0),FALSE),"")</f>
        <v/>
      </c>
      <c r="BN29" s="227"/>
      <c r="BO29" s="227"/>
      <c r="BP29" s="227"/>
      <c r="BQ29" s="227" t="str">
        <f>IF($BF29="ja",VLOOKUP($B29,'Egen hetvattenprod'!$B$1:$BX$550,MATCH("Tillförd olja (fossil) vid avfallsförbränning (GWh)",'Egen hetvattenprod'!$B$1:$BX$1,0),FALSE),"")</f>
        <v/>
      </c>
      <c r="BR29" s="227" t="str">
        <f>IF($BF29="ja",VLOOKUP($B29,Kraftvärmeprod!$B$1:$BX$550,MATCH("Tillförd olja (fossil) vid avfallsförbränning (GWh)",Kraftvärmeprod!$B$1:$BX$1,0),FALSE),"")</f>
        <v/>
      </c>
      <c r="BS29" s="227"/>
      <c r="BT29" s="227"/>
      <c r="BU29" s="227"/>
    </row>
    <row r="30" spans="1:73" x14ac:dyDescent="0.25">
      <c r="A30" s="121" t="str">
        <f>'Miljövärden för publ företag'!B33</f>
        <v>Alvesta Energi AB</v>
      </c>
      <c r="B30" s="121" t="str">
        <f>'Miljövärden för publ företag'!C33</f>
        <v>Vislanda</v>
      </c>
      <c r="C30" s="173">
        <f>IFERROR(VLOOKUP($B30,Totalt!$B$1:$AQ$554,MATCH(C$2,Totalt!$B$1:$AQ$1,0),FALSE),"")</f>
        <v>0</v>
      </c>
      <c r="D30" s="173">
        <f>IFERROR(VLOOKUP($B30,Totalt!$B$1:$AQ$554,MATCH(D$2,Totalt!$B$1:$AQ$1,0),FALSE),"")</f>
        <v>0.06</v>
      </c>
      <c r="E30" s="173">
        <f>IFERROR(VLOOKUP($B30,Totalt!$B$1:$AQ$554,MATCH(E$2,Totalt!$B$1:$AQ$1,0),FALSE),"")</f>
        <v>0</v>
      </c>
      <c r="F30" s="173">
        <f>IFERROR(VLOOKUP($B30,Totalt!$B$1:$AQ$554,MATCH(F$2,Totalt!$B$1:$AQ$1,0),FALSE),"")</f>
        <v>0</v>
      </c>
      <c r="G30" s="173">
        <f>IFERROR(VLOOKUP($B30,Totalt!$B$1:$AQ$554,MATCH(G$2,Totalt!$B$1:$AQ$1,0),FALSE),"")</f>
        <v>0</v>
      </c>
      <c r="H30" s="173">
        <f>IFERROR(VLOOKUP($B30,Totalt!$B$1:$AQ$554,MATCH(H$2,Totalt!$B$1:$AQ$1,0),FALSE),"")</f>
        <v>0</v>
      </c>
      <c r="I30" s="173">
        <f>IFERROR(VLOOKUP($B30,Totalt!$B$1:$AQ$554,MATCH(I$2,Totalt!$B$1:$AQ$1,0),FALSE),"")</f>
        <v>0</v>
      </c>
      <c r="J30" s="173">
        <f>IFERROR(VLOOKUP($B30,Totalt!$B$1:$AQ$554,MATCH(J$2,Totalt!$B$1:$AQ$1,0),FALSE),"")</f>
        <v>0</v>
      </c>
      <c r="K30" s="173">
        <f>IFERROR(VLOOKUP($B30,Totalt!$B$1:$AQ$554,MATCH(K$2,Totalt!$B$1:$AQ$1,0),FALSE),"")</f>
        <v>0</v>
      </c>
      <c r="L30" s="173">
        <f>IFERROR(VLOOKUP($B30,Totalt!$B$1:$AQ$554,MATCH(L$2,Totalt!$B$1:$AQ$1,0),FALSE),"")</f>
        <v>0</v>
      </c>
      <c r="M30" s="173">
        <f>IFERROR(VLOOKUP($B30,Totalt!$B$1:$AQ$554,MATCH(M$2,Totalt!$B$1:$AQ$1,0),FALSE),"")</f>
        <v>0</v>
      </c>
      <c r="N30" s="173">
        <f>IFERROR(VLOOKUP($B30,Totalt!$B$1:$AQ$554,MATCH(N$2,Totalt!$B$1:$AQ$1,0),FALSE),"")</f>
        <v>0</v>
      </c>
      <c r="O30" s="173">
        <f>IFERROR(VLOOKUP($B30,Totalt!$B$1:$AQ$554,MATCH(O$2,Totalt!$B$1:$AQ$1,0),FALSE),"")</f>
        <v>0</v>
      </c>
      <c r="P30" s="173">
        <f>IFERROR(VLOOKUP($B30,Totalt!$B$1:$AQ$554,MATCH(P$2,Totalt!$B$1:$AQ$1,0),FALSE),"")</f>
        <v>0</v>
      </c>
      <c r="Q30" s="173">
        <f>IFERROR(VLOOKUP($B30,Totalt!$B$1:$AQ$554,MATCH(Q$2,Totalt!$B$1:$AQ$1,0),FALSE),"")</f>
        <v>22.8</v>
      </c>
      <c r="R30" s="173">
        <f>IFERROR(VLOOKUP($B30,Totalt!$B$1:$AQ$554,MATCH(R$2,Totalt!$B$1:$AQ$1,0),FALSE),"")</f>
        <v>0</v>
      </c>
      <c r="S30" s="173">
        <f>IFERROR(VLOOKUP($B30,Totalt!$B$1:$AQ$554,MATCH(S$2,Totalt!$B$1:$AQ$1,0),FALSE),"")</f>
        <v>0</v>
      </c>
      <c r="T30" s="173">
        <f>IFERROR(VLOOKUP($B30,Totalt!$B$1:$AQ$554,MATCH(T$2,Totalt!$B$1:$AQ$1,0),FALSE),"")</f>
        <v>0</v>
      </c>
      <c r="U30" s="173">
        <f>IFERROR(VLOOKUP($B30,Totalt!$B$1:$AQ$554,MATCH(U$2,Totalt!$B$1:$AQ$1,0),FALSE),"")</f>
        <v>0</v>
      </c>
      <c r="V30" s="173">
        <f>IFERROR(VLOOKUP($B30,Totalt!$B$1:$AQ$554,MATCH(V$2,Totalt!$B$1:$AQ$1,0),FALSE),"")</f>
        <v>0</v>
      </c>
      <c r="W30" s="173">
        <f>IFERROR(VLOOKUP($B30,Totalt!$B$1:$AQ$554,MATCH(W$2,Totalt!$B$1:$AQ$1,0),FALSE),"")</f>
        <v>0</v>
      </c>
      <c r="X30" s="173">
        <f>IFERROR(VLOOKUP($B30,Totalt!$B$1:$AQ$554,MATCH(X$2,Totalt!$B$1:$AQ$1,0),FALSE),"")</f>
        <v>0</v>
      </c>
      <c r="Y30" s="173">
        <f>IFERROR(VLOOKUP($B30,Totalt!$B$1:$AQ$554,MATCH(Y$2,Totalt!$B$1:$AQ$1,0),FALSE),"")</f>
        <v>0</v>
      </c>
      <c r="Z30" s="173">
        <f>IFERROR(VLOOKUP($B30,Totalt!$B$1:$AQ$554,MATCH(Z$2,Totalt!$B$1:$AQ$1,0),FALSE),"")</f>
        <v>0</v>
      </c>
      <c r="AA30" s="173">
        <f>IFERROR(VLOOKUP($B30,Totalt!$B$1:$AQ$554,MATCH(AA$2,Totalt!$B$1:$AQ$1,0),FALSE),"")</f>
        <v>0</v>
      </c>
      <c r="AB30" s="173">
        <f>IFERROR(VLOOKUP($B30,Totalt!$B$1:$AQ$554,MATCH(AB$2,Totalt!$B$1:$AQ$1,0),FALSE),"")</f>
        <v>0</v>
      </c>
      <c r="AC30" s="173">
        <f>IFERROR(VLOOKUP($B30,Totalt!$B$1:$AQ$554,MATCH(AC$2,Totalt!$B$1:$AQ$1,0),FALSE),"")</f>
        <v>0</v>
      </c>
      <c r="AD30" s="173">
        <f>IFERROR(VLOOKUP($B30,Totalt!$B$1:$AQ$554,MATCH(AD$2,Totalt!$B$1:$AQ$1,0),FALSE),"")</f>
        <v>0</v>
      </c>
      <c r="AE30" s="173">
        <f>IFERROR(VLOOKUP($B30,Totalt!$B$1:$AQ$554,MATCH(AE$2,Totalt!$B$1:$AQ$1,0),FALSE),"")</f>
        <v>0</v>
      </c>
      <c r="AF30" s="173">
        <f>IFERROR(VLOOKUP($B30,Totalt!$B$1:$AQ$554,MATCH(AF$2,Totalt!$B$1:$AQ$1,0),FALSE),"")</f>
        <v>0.3201</v>
      </c>
      <c r="AG30" s="173">
        <f>IFERROR(VLOOKUP($B30,Totalt!$B$1:$AQ$554,MATCH(AG$2,Totalt!$B$1:$AQ$1,0),FALSE),"")</f>
        <v>0</v>
      </c>
      <c r="AI30" s="226">
        <f t="shared" si="0"/>
        <v>23.180099999999999</v>
      </c>
      <c r="AJ30" s="226">
        <f>IF(ISERROR(1/VLOOKUP($B30,Leveranser!$B$1:$S$500,MATCH("såld värme (gwh)",Leveranser!$B$1:$S$1,0),FALSE)),"",VLOOKUP($B30,Leveranser!$B$1:$S$500,MATCH("såld värme (gwh)",Leveranser!$B$1:$S$1,0),FALSE))</f>
        <v>10.67</v>
      </c>
      <c r="AM30" s="227" t="str">
        <f>IF(B30&lt;&gt;"",IF(VLOOKUP($B30,Totalt!$B$1:$AQ$554,MATCH("Kvalitetsgranskad:",Totalt!$B$1:$AQ$1,0),FALSE)="ja",VLOOKUP($B30,Miljö!$B$1:$AG$479,MATCH(AM$2,Miljö!$B$1:$AK$1,0),FALSE),""),"")</f>
        <v>Ja</v>
      </c>
      <c r="AN30" s="227" t="str">
        <f>IF(AM30="ja",VLOOKUP($B30,Miljö!$B$1:$J$479,MATCH("Typ av ursprungsspecificerad el   (Om inget värde anges används Nordisk residualmix, se inforuta) ()",Miljö!$B$1:$J$1,0),FALSE),IF(AM30="nej","Nordisk residualel",""))</f>
        <v>'Nordisk Elmix'</v>
      </c>
      <c r="AO30" s="227">
        <f>IF(AM30="","",VLOOKUP($B30,Miljö!$B$1:$J$479,MATCH("Fossilandel för ursprungspecificerad el ()",Miljö!$B$1:$J$1,0),FALSE))</f>
        <v>0.42799999999999999</v>
      </c>
      <c r="AP30" s="227">
        <f>IF(AM30="","",IFERROR(VLOOKUP($B30,Miljö!$B$1:$J$479,MATCH("Kärnkraftsandel för ursprungsspecificerad el ()",Miljö!$B$1:$J$1,0),FALSE)/1,0))</f>
        <v>0.40500000000000003</v>
      </c>
      <c r="AQ30" s="227">
        <f t="shared" si="1"/>
        <v>0.16700000000000004</v>
      </c>
      <c r="AR30" s="227"/>
      <c r="AS30" s="227" t="str">
        <f t="shared" si="2"/>
        <v>Nej</v>
      </c>
      <c r="AT30" s="227" t="str">
        <f>IF(AS30="ja",VLOOKUP($B30,Miljö!$B$1:$O$500,MATCH("Fossil andel i procent (%)",Miljö!$B$1:$O$1,0),FALSE)/100,"")</f>
        <v/>
      </c>
      <c r="AU30" s="227"/>
      <c r="AV30" s="227" t="str">
        <f t="shared" si="3"/>
        <v>Nej</v>
      </c>
      <c r="AW30" s="227" t="str">
        <f>IF(AV30="ja",VLOOKUP($B30,'Egen hetvattenprod'!$B$1:$AO$500,MATCH("Värmekälla till värmepumpar ()",'Egen hetvattenprod'!$B$1:$AO$1,0),FALSE),"")</f>
        <v/>
      </c>
      <c r="AX30" s="227"/>
      <c r="AY30" s="227" t="str">
        <f t="shared" si="4"/>
        <v>Nej</v>
      </c>
      <c r="AZ30" s="228" t="str">
        <f>IF($AY30="ja",(VLOOKUP($B30,'Egen hetvattenprod'!$B$1:$BX$550,MATCH(AZ$2,'Egen hetvattenprod'!$B$1:$BX$1,0),FALSE)+VLOOKUP($B30,Kraftvärmeprod!$B$1:$BX$550,MATCH(AZ$2,Kraftvärmeprod!$B$1:$BX$1,0),FALSE))/$AC30,"")</f>
        <v/>
      </c>
      <c r="BA30" s="228" t="str">
        <f>IF($AY30="ja",(VLOOKUP($B30,'Egen hetvattenprod'!$B$1:$BX$550,MATCH(BA$2,'Egen hetvattenprod'!$B$1:$BX$1,0),FALSE)+VLOOKUP($B30,Kraftvärmeprod!$B$1:$BX$550,MATCH(BA$2,Kraftvärmeprod!$B$1:$BX$1,0),FALSE))/$AC30,"")</f>
        <v/>
      </c>
      <c r="BB30" s="228" t="str">
        <f>IF($AY30="ja",(VLOOKUP($B30,'Egen hetvattenprod'!$B$1:$BX$550,MATCH(BB$2,'Egen hetvattenprod'!$B$1:$BX$1,0),FALSE)+VLOOKUP($B30,Kraftvärmeprod!$B$1:$BX$550,MATCH(BB$2,Kraftvärmeprod!$B$1:$BX$1,0),FALSE))/$AC30,"")</f>
        <v/>
      </c>
      <c r="BC30" s="228" t="str">
        <f>IF($AY30="ja",(VLOOKUP($B30,'Egen hetvattenprod'!$B$1:$BX$550,MATCH(BC$2,'Egen hetvattenprod'!$B$1:$BX$1,0),FALSE)+VLOOKUP($B30,Kraftvärmeprod!$B$1:$BX$550,MATCH(BC$2,Kraftvärmeprod!$B$1:$BX$1,0),FALSE))/$AC30,"")</f>
        <v/>
      </c>
      <c r="BD30" s="228" t="str">
        <f>IF($AY30="ja",(VLOOKUP($B30,'Egen hetvattenprod'!$B$1:$BX$550,MATCH(BD$2,'Egen hetvattenprod'!$B$1:$BX$1,0),FALSE)+VLOOKUP($B30,Kraftvärmeprod!$B$1:$BX$550,MATCH(BD$2,Kraftvärmeprod!$B$1:$BX$1,0),FALSE))/$AC30,"")</f>
        <v/>
      </c>
      <c r="BE30" s="227"/>
      <c r="BF30" s="227" t="str">
        <f t="shared" si="5"/>
        <v>Nej</v>
      </c>
      <c r="BG30" s="227" t="str">
        <f>IF($BF30="ja",VLOOKUP($B30,'Egen hetvattenprod'!$B$1:$BX$550,MATCH("Andelen klimatgaser med fossilt ursprung för avfall ()",'Egen hetvattenprod'!$B$1:$BX$1,0),FALSE),"")</f>
        <v/>
      </c>
      <c r="BH30" s="227" t="str">
        <f>IF($BF30="ja",VLOOKUP($B30,Kraftvärmeprod!$B$1:$BX$550,MATCH("Andelen klimatgaser med fossilt ursprung för avfall ()",Kraftvärmeprod!$B$1:$BX$1,0),FALSE),"")</f>
        <v/>
      </c>
      <c r="BI30" s="227" t="str">
        <f>IF($BF30="ja",VLOOKUP($B30,'Egen hetvattenprod'!$B$1:$BX$550,MATCH("Avfall (GWh)",'Egen hetvattenprod'!$B$1:$BX$1,0),FALSE),"")</f>
        <v/>
      </c>
      <c r="BJ30" s="227" t="str">
        <f>IF($BF30="ja",VLOOKUP($B30,'Slutlig allokering kvv'!$B$1:$BX$550,MATCH("Avfall (GWh)",'Slutlig allokering kvv'!$B$1:$BX$1,0),FALSE),"")</f>
        <v/>
      </c>
      <c r="BK30" s="227" t="str">
        <f>IF($BF30="ja",VLOOKUP($B30,'Köpt hetvatten'!$B$1:$BX$550,MATCH("Avfall i köpt hetvatten",'Köpt hetvatten'!$B$1:$BX$1,0),FALSE),"")</f>
        <v/>
      </c>
      <c r="BL30" s="227" t="str">
        <f>IF($BF30="ja",VLOOKUP($B30,'Egen hetvattenprod'!$B$1:$BX$550,MATCH("Värde enligt ovan. (%)",'Egen hetvattenprod'!$B$1:$BX$1,0),FALSE),"")</f>
        <v/>
      </c>
      <c r="BM30" s="227" t="str">
        <f>IF($BF30="ja",VLOOKUP($B30,Kraftvärmeprod!$B$1:$BX$550,MATCH("Värde enligt ovan. (%)",Kraftvärmeprod!$B$1:$BX$1,0),FALSE),"")</f>
        <v/>
      </c>
      <c r="BN30" s="227"/>
      <c r="BO30" s="227"/>
      <c r="BP30" s="227"/>
      <c r="BQ30" s="227" t="str">
        <f>IF($BF30="ja",VLOOKUP($B30,'Egen hetvattenprod'!$B$1:$BX$550,MATCH("Tillförd olja (fossil) vid avfallsförbränning (GWh)",'Egen hetvattenprod'!$B$1:$BX$1,0),FALSE),"")</f>
        <v/>
      </c>
      <c r="BR30" s="227" t="str">
        <f>IF($BF30="ja",VLOOKUP($B30,Kraftvärmeprod!$B$1:$BX$550,MATCH("Tillförd olja (fossil) vid avfallsförbränning (GWh)",Kraftvärmeprod!$B$1:$BX$1,0),FALSE),"")</f>
        <v/>
      </c>
      <c r="BS30" s="227"/>
      <c r="BT30" s="227"/>
      <c r="BU30" s="227"/>
    </row>
    <row r="31" spans="1:73" x14ac:dyDescent="0.25">
      <c r="A31" s="121" t="str">
        <f>'Miljövärden för publ företag'!B34</f>
        <v>Aneby Miljö &amp; Vatten AB</v>
      </c>
      <c r="B31" s="121" t="str">
        <f>'Miljövärden för publ företag'!C34</f>
        <v xml:space="preserve">Aneby </v>
      </c>
      <c r="C31" s="173">
        <f>IFERROR(VLOOKUP($B31,Totalt!$B$1:$AQ$554,MATCH(C$2,Totalt!$B$1:$AQ$1,0),FALSE),"")</f>
        <v>0</v>
      </c>
      <c r="D31" s="173">
        <f>IFERROR(VLOOKUP($B31,Totalt!$B$1:$AQ$554,MATCH(D$2,Totalt!$B$1:$AQ$1,0),FALSE),"")</f>
        <v>0</v>
      </c>
      <c r="E31" s="173">
        <f>IFERROR(VLOOKUP($B31,Totalt!$B$1:$AQ$554,MATCH(E$2,Totalt!$B$1:$AQ$1,0),FALSE),"")</f>
        <v>0</v>
      </c>
      <c r="F31" s="173">
        <f>IFERROR(VLOOKUP($B31,Totalt!$B$1:$AQ$554,MATCH(F$2,Totalt!$B$1:$AQ$1,0),FALSE),"")</f>
        <v>0</v>
      </c>
      <c r="G31" s="173">
        <f>IFERROR(VLOOKUP($B31,Totalt!$B$1:$AQ$554,MATCH(G$2,Totalt!$B$1:$AQ$1,0),FALSE),"")</f>
        <v>0</v>
      </c>
      <c r="H31" s="173">
        <f>IFERROR(VLOOKUP($B31,Totalt!$B$1:$AQ$554,MATCH(H$2,Totalt!$B$1:$AQ$1,0),FALSE),"")</f>
        <v>0</v>
      </c>
      <c r="I31" s="173">
        <f>IFERROR(VLOOKUP($B31,Totalt!$B$1:$AQ$554,MATCH(I$2,Totalt!$B$1:$AQ$1,0),FALSE),"")</f>
        <v>0</v>
      </c>
      <c r="J31" s="173">
        <f>IFERROR(VLOOKUP($B31,Totalt!$B$1:$AQ$554,MATCH(J$2,Totalt!$B$1:$AQ$1,0),FALSE),"")</f>
        <v>0</v>
      </c>
      <c r="K31" s="173">
        <f>IFERROR(VLOOKUP($B31,Totalt!$B$1:$AQ$554,MATCH(K$2,Totalt!$B$1:$AQ$1,0),FALSE),"")</f>
        <v>0</v>
      </c>
      <c r="L31" s="173">
        <f>IFERROR(VLOOKUP($B31,Totalt!$B$1:$AQ$554,MATCH(L$2,Totalt!$B$1:$AQ$1,0),FALSE),"")</f>
        <v>0</v>
      </c>
      <c r="M31" s="173">
        <f>IFERROR(VLOOKUP($B31,Totalt!$B$1:$AQ$554,MATCH(M$2,Totalt!$B$1:$AQ$1,0),FALSE),"")</f>
        <v>0</v>
      </c>
      <c r="N31" s="173">
        <f>IFERROR(VLOOKUP($B31,Totalt!$B$1:$AQ$554,MATCH(N$2,Totalt!$B$1:$AQ$1,0),FALSE),"")</f>
        <v>0</v>
      </c>
      <c r="O31" s="173">
        <f>IFERROR(VLOOKUP($B31,Totalt!$B$1:$AQ$554,MATCH(O$2,Totalt!$B$1:$AQ$1,0),FALSE),"")</f>
        <v>0</v>
      </c>
      <c r="P31" s="173">
        <f>IFERROR(VLOOKUP($B31,Totalt!$B$1:$AQ$554,MATCH(P$2,Totalt!$B$1:$AQ$1,0),FALSE),"")</f>
        <v>29.55</v>
      </c>
      <c r="Q31" s="173">
        <f>IFERROR(VLOOKUP($B31,Totalt!$B$1:$AQ$554,MATCH(Q$2,Totalt!$B$1:$AQ$1,0),FALSE),"")</f>
        <v>0</v>
      </c>
      <c r="R31" s="173">
        <f>IFERROR(VLOOKUP($B31,Totalt!$B$1:$AQ$554,MATCH(R$2,Totalt!$B$1:$AQ$1,0),FALSE),"")</f>
        <v>6.68</v>
      </c>
      <c r="S31" s="173">
        <f>IFERROR(VLOOKUP($B31,Totalt!$B$1:$AQ$554,MATCH(S$2,Totalt!$B$1:$AQ$1,0),FALSE),"")</f>
        <v>0</v>
      </c>
      <c r="T31" s="173">
        <f>IFERROR(VLOOKUP($B31,Totalt!$B$1:$AQ$554,MATCH(T$2,Totalt!$B$1:$AQ$1,0),FALSE),"")</f>
        <v>0</v>
      </c>
      <c r="U31" s="173">
        <f>IFERROR(VLOOKUP($B31,Totalt!$B$1:$AQ$554,MATCH(U$2,Totalt!$B$1:$AQ$1,0),FALSE),"")</f>
        <v>0</v>
      </c>
      <c r="V31" s="173">
        <f>IFERROR(VLOOKUP($B31,Totalt!$B$1:$AQ$554,MATCH(V$2,Totalt!$B$1:$AQ$1,0),FALSE),"")</f>
        <v>0</v>
      </c>
      <c r="W31" s="173">
        <f>IFERROR(VLOOKUP($B31,Totalt!$B$1:$AQ$554,MATCH(W$2,Totalt!$B$1:$AQ$1,0),FALSE),"")</f>
        <v>0</v>
      </c>
      <c r="X31" s="173">
        <f>IFERROR(VLOOKUP($B31,Totalt!$B$1:$AQ$554,MATCH(X$2,Totalt!$B$1:$AQ$1,0),FALSE),"")</f>
        <v>0</v>
      </c>
      <c r="Y31" s="173">
        <f>IFERROR(VLOOKUP($B31,Totalt!$B$1:$AQ$554,MATCH(Y$2,Totalt!$B$1:$AQ$1,0),FALSE),"")</f>
        <v>0</v>
      </c>
      <c r="Z31" s="173">
        <f>IFERROR(VLOOKUP($B31,Totalt!$B$1:$AQ$554,MATCH(Z$2,Totalt!$B$1:$AQ$1,0),FALSE),"")</f>
        <v>0</v>
      </c>
      <c r="AA31" s="173">
        <f>IFERROR(VLOOKUP($B31,Totalt!$B$1:$AQ$554,MATCH(AA$2,Totalt!$B$1:$AQ$1,0),FALSE),"")</f>
        <v>0</v>
      </c>
      <c r="AB31" s="173">
        <f>IFERROR(VLOOKUP($B31,Totalt!$B$1:$AQ$554,MATCH(AB$2,Totalt!$B$1:$AQ$1,0),FALSE),"")</f>
        <v>0</v>
      </c>
      <c r="AC31" s="173">
        <f>IFERROR(VLOOKUP($B31,Totalt!$B$1:$AQ$554,MATCH(AC$2,Totalt!$B$1:$AQ$1,0),FALSE),"")</f>
        <v>0</v>
      </c>
      <c r="AD31" s="173">
        <f>IFERROR(VLOOKUP($B31,Totalt!$B$1:$AQ$554,MATCH(AD$2,Totalt!$B$1:$AQ$1,0),FALSE),"")</f>
        <v>0</v>
      </c>
      <c r="AE31" s="173">
        <f>IFERROR(VLOOKUP($B31,Totalt!$B$1:$AQ$554,MATCH(AE$2,Totalt!$B$1:$AQ$1,0),FALSE),"")</f>
        <v>0</v>
      </c>
      <c r="AF31" s="173">
        <f>IFERROR(VLOOKUP($B31,Totalt!$B$1:$AQ$554,MATCH(AF$2,Totalt!$B$1:$AQ$1,0),FALSE),"")</f>
        <v>0.56999999999999995</v>
      </c>
      <c r="AG31" s="173">
        <f>IFERROR(VLOOKUP($B31,Totalt!$B$1:$AQ$554,MATCH(AG$2,Totalt!$B$1:$AQ$1,0),FALSE),"")</f>
        <v>0</v>
      </c>
      <c r="AI31" s="226">
        <f t="shared" si="0"/>
        <v>36.800000000000004</v>
      </c>
      <c r="AJ31" s="226">
        <f>IF(ISERROR(1/VLOOKUP($B31,Leveranser!$B$1:$S$500,MATCH("såld värme (gwh)",Leveranser!$B$1:$S$1,0),FALSE)),"",VLOOKUP($B31,Leveranser!$B$1:$S$500,MATCH("såld värme (gwh)",Leveranser!$B$1:$S$1,0),FALSE))</f>
        <v>25.97</v>
      </c>
      <c r="AM31" s="227" t="str">
        <f>IF(B31&lt;&gt;"",IF(VLOOKUP($B31,Totalt!$B$1:$AQ$554,MATCH("Kvalitetsgranskad:",Totalt!$B$1:$AQ$1,0),FALSE)="ja",VLOOKUP($B31,Miljö!$B$1:$AG$479,MATCH(AM$2,Miljö!$B$1:$AK$1,0),FALSE),""),"")</f>
        <v>Ja</v>
      </c>
      <c r="AN31" s="227" t="str">
        <f>IF(AM31="ja",VLOOKUP($B31,Miljö!$B$1:$J$479,MATCH("Typ av ursprungsspecificerad el   (Om inget värde anges används Nordisk residualmix, se inforuta) ()",Miljö!$B$1:$J$1,0),FALSE),IF(AM31="nej","Nordisk residualel",""))</f>
        <v>'Bra miljöval'</v>
      </c>
      <c r="AO31" s="227">
        <f>IF(AM31="","",VLOOKUP($B31,Miljö!$B$1:$J$479,MATCH("Fossilandel för ursprungspecificerad el ()",Miljö!$B$1:$J$1,0),FALSE))</f>
        <v>0</v>
      </c>
      <c r="AP31" s="227">
        <f>IF(AM31="","",IFERROR(VLOOKUP($B31,Miljö!$B$1:$J$479,MATCH("Kärnkraftsandel för ursprungsspecificerad el ()",Miljö!$B$1:$J$1,0),FALSE)/1,0))</f>
        <v>0</v>
      </c>
      <c r="AQ31" s="227">
        <f t="shared" si="1"/>
        <v>1</v>
      </c>
      <c r="AR31" s="227"/>
      <c r="AS31" s="227" t="str">
        <f t="shared" si="2"/>
        <v>Nej</v>
      </c>
      <c r="AT31" s="227" t="str">
        <f>IF(AS31="ja",VLOOKUP($B31,Miljö!$B$1:$O$500,MATCH("Fossil andel i procent (%)",Miljö!$B$1:$O$1,0),FALSE)/100,"")</f>
        <v/>
      </c>
      <c r="AU31" s="227"/>
      <c r="AV31" s="227" t="str">
        <f t="shared" si="3"/>
        <v>Nej</v>
      </c>
      <c r="AW31" s="227" t="str">
        <f>IF(AV31="ja",VLOOKUP($B31,'Egen hetvattenprod'!$B$1:$AO$500,MATCH("Värmekälla till värmepumpar ()",'Egen hetvattenprod'!$B$1:$AO$1,0),FALSE),"")</f>
        <v/>
      </c>
      <c r="AX31" s="227"/>
      <c r="AY31" s="227" t="str">
        <f t="shared" si="4"/>
        <v>Nej</v>
      </c>
      <c r="AZ31" s="228" t="str">
        <f>IF($AY31="ja",(VLOOKUP($B31,'Egen hetvattenprod'!$B$1:$BX$550,MATCH(AZ$2,'Egen hetvattenprod'!$B$1:$BX$1,0),FALSE)+VLOOKUP($B31,Kraftvärmeprod!$B$1:$BX$550,MATCH(AZ$2,Kraftvärmeprod!$B$1:$BX$1,0),FALSE))/$AC31,"")</f>
        <v/>
      </c>
      <c r="BA31" s="228" t="str">
        <f>IF($AY31="ja",(VLOOKUP($B31,'Egen hetvattenprod'!$B$1:$BX$550,MATCH(BA$2,'Egen hetvattenprod'!$B$1:$BX$1,0),FALSE)+VLOOKUP($B31,Kraftvärmeprod!$B$1:$BX$550,MATCH(BA$2,Kraftvärmeprod!$B$1:$BX$1,0),FALSE))/$AC31,"")</f>
        <v/>
      </c>
      <c r="BB31" s="228" t="str">
        <f>IF($AY31="ja",(VLOOKUP($B31,'Egen hetvattenprod'!$B$1:$BX$550,MATCH(BB$2,'Egen hetvattenprod'!$B$1:$BX$1,0),FALSE)+VLOOKUP($B31,Kraftvärmeprod!$B$1:$BX$550,MATCH(BB$2,Kraftvärmeprod!$B$1:$BX$1,0),FALSE))/$AC31,"")</f>
        <v/>
      </c>
      <c r="BC31" s="228" t="str">
        <f>IF($AY31="ja",(VLOOKUP($B31,'Egen hetvattenprod'!$B$1:$BX$550,MATCH(BC$2,'Egen hetvattenprod'!$B$1:$BX$1,0),FALSE)+VLOOKUP($B31,Kraftvärmeprod!$B$1:$BX$550,MATCH(BC$2,Kraftvärmeprod!$B$1:$BX$1,0),FALSE))/$AC31,"")</f>
        <v/>
      </c>
      <c r="BD31" s="228" t="str">
        <f>IF($AY31="ja",(VLOOKUP($B31,'Egen hetvattenprod'!$B$1:$BX$550,MATCH(BD$2,'Egen hetvattenprod'!$B$1:$BX$1,0),FALSE)+VLOOKUP($B31,Kraftvärmeprod!$B$1:$BX$550,MATCH(BD$2,Kraftvärmeprod!$B$1:$BX$1,0),FALSE))/$AC31,"")</f>
        <v/>
      </c>
      <c r="BE31" s="227"/>
      <c r="BF31" s="227" t="str">
        <f t="shared" si="5"/>
        <v>Nej</v>
      </c>
      <c r="BG31" s="227" t="str">
        <f>IF($BF31="ja",VLOOKUP($B31,'Egen hetvattenprod'!$B$1:$BX$550,MATCH("Andelen klimatgaser med fossilt ursprung för avfall ()",'Egen hetvattenprod'!$B$1:$BX$1,0),FALSE),"")</f>
        <v/>
      </c>
      <c r="BH31" s="227" t="str">
        <f>IF($BF31="ja",VLOOKUP($B31,Kraftvärmeprod!$B$1:$BX$550,MATCH("Andelen klimatgaser med fossilt ursprung för avfall ()",Kraftvärmeprod!$B$1:$BX$1,0),FALSE),"")</f>
        <v/>
      </c>
      <c r="BI31" s="227" t="str">
        <f>IF($BF31="ja",VLOOKUP($B31,'Egen hetvattenprod'!$B$1:$BX$550,MATCH("Avfall (GWh)",'Egen hetvattenprod'!$B$1:$BX$1,0),FALSE),"")</f>
        <v/>
      </c>
      <c r="BJ31" s="227" t="str">
        <f>IF($BF31="ja",VLOOKUP($B31,'Slutlig allokering kvv'!$B$1:$BX$550,MATCH("Avfall (GWh)",'Slutlig allokering kvv'!$B$1:$BX$1,0),FALSE),"")</f>
        <v/>
      </c>
      <c r="BK31" s="227" t="str">
        <f>IF($BF31="ja",VLOOKUP($B31,'Köpt hetvatten'!$B$1:$BX$550,MATCH("Avfall i köpt hetvatten",'Köpt hetvatten'!$B$1:$BX$1,0),FALSE),"")</f>
        <v/>
      </c>
      <c r="BL31" s="227" t="str">
        <f>IF($BF31="ja",VLOOKUP($B31,'Egen hetvattenprod'!$B$1:$BX$550,MATCH("Värde enligt ovan. (%)",'Egen hetvattenprod'!$B$1:$BX$1,0),FALSE),"")</f>
        <v/>
      </c>
      <c r="BM31" s="227" t="str">
        <f>IF($BF31="ja",VLOOKUP($B31,Kraftvärmeprod!$B$1:$BX$550,MATCH("Värde enligt ovan. (%)",Kraftvärmeprod!$B$1:$BX$1,0),FALSE),"")</f>
        <v/>
      </c>
      <c r="BN31" s="227"/>
      <c r="BO31" s="227"/>
      <c r="BP31" s="227"/>
      <c r="BQ31" s="227" t="str">
        <f>IF($BF31="ja",VLOOKUP($B31,'Egen hetvattenprod'!$B$1:$BX$550,MATCH("Tillförd olja (fossil) vid avfallsförbränning (GWh)",'Egen hetvattenprod'!$B$1:$BX$1,0),FALSE),"")</f>
        <v/>
      </c>
      <c r="BR31" s="227" t="str">
        <f>IF($BF31="ja",VLOOKUP($B31,Kraftvärmeprod!$B$1:$BX$550,MATCH("Tillförd olja (fossil) vid avfallsförbränning (GWh)",Kraftvärmeprod!$B$1:$BX$1,0),FALSE),"")</f>
        <v/>
      </c>
      <c r="BS31" s="227"/>
      <c r="BT31" s="227"/>
      <c r="BU31" s="227"/>
    </row>
    <row r="32" spans="1:73" x14ac:dyDescent="0.25">
      <c r="A32" s="121" t="str">
        <f>'Miljövärden för publ företag'!B35</f>
        <v>Arvika Fjärrvärme AB</v>
      </c>
      <c r="B32" s="121" t="str">
        <f>'Miljövärden för publ företag'!C35</f>
        <v>Arvika</v>
      </c>
      <c r="C32" s="173">
        <f>IFERROR(VLOOKUP($B32,Totalt!$B$1:$AQ$554,MATCH(C$2,Totalt!$B$1:$AQ$1,0),FALSE),"")</f>
        <v>0</v>
      </c>
      <c r="D32" s="173">
        <f>IFERROR(VLOOKUP($B32,Totalt!$B$1:$AQ$554,MATCH(D$2,Totalt!$B$1:$AQ$1,0),FALSE),"")</f>
        <v>1.1599999999999999</v>
      </c>
      <c r="E32" s="173">
        <f>IFERROR(VLOOKUP($B32,Totalt!$B$1:$AQ$554,MATCH(E$2,Totalt!$B$1:$AQ$1,0),FALSE),"")</f>
        <v>0</v>
      </c>
      <c r="F32" s="173">
        <f>IFERROR(VLOOKUP($B32,Totalt!$B$1:$AQ$554,MATCH(F$2,Totalt!$B$1:$AQ$1,0),FALSE),"")</f>
        <v>1.38</v>
      </c>
      <c r="G32" s="173">
        <f>IFERROR(VLOOKUP($B32,Totalt!$B$1:$AQ$554,MATCH(G$2,Totalt!$B$1:$AQ$1,0),FALSE),"")</f>
        <v>0</v>
      </c>
      <c r="H32" s="173">
        <f>IFERROR(VLOOKUP($B32,Totalt!$B$1:$AQ$554,MATCH(H$2,Totalt!$B$1:$AQ$1,0),FALSE),"")</f>
        <v>0</v>
      </c>
      <c r="I32" s="173">
        <f>IFERROR(VLOOKUP($B32,Totalt!$B$1:$AQ$554,MATCH(I$2,Totalt!$B$1:$AQ$1,0),FALSE),"")</f>
        <v>0</v>
      </c>
      <c r="J32" s="173">
        <f>IFERROR(VLOOKUP($B32,Totalt!$B$1:$AQ$554,MATCH(J$2,Totalt!$B$1:$AQ$1,0),FALSE),"")</f>
        <v>0.95</v>
      </c>
      <c r="K32" s="173">
        <f>IFERROR(VLOOKUP($B32,Totalt!$B$1:$AQ$554,MATCH(K$2,Totalt!$B$1:$AQ$1,0),FALSE),"")</f>
        <v>0</v>
      </c>
      <c r="L32" s="173">
        <f>IFERROR(VLOOKUP($B32,Totalt!$B$1:$AQ$554,MATCH(L$2,Totalt!$B$1:$AQ$1,0),FALSE),"")</f>
        <v>0</v>
      </c>
      <c r="M32" s="173">
        <f>IFERROR(VLOOKUP($B32,Totalt!$B$1:$AQ$554,MATCH(M$2,Totalt!$B$1:$AQ$1,0),FALSE),"")</f>
        <v>0</v>
      </c>
      <c r="N32" s="173">
        <f>IFERROR(VLOOKUP($B32,Totalt!$B$1:$AQ$554,MATCH(N$2,Totalt!$B$1:$AQ$1,0),FALSE),"")</f>
        <v>0</v>
      </c>
      <c r="O32" s="173">
        <f>IFERROR(VLOOKUP($B32,Totalt!$B$1:$AQ$554,MATCH(O$2,Totalt!$B$1:$AQ$1,0),FALSE),"")</f>
        <v>0</v>
      </c>
      <c r="P32" s="173">
        <f>IFERROR(VLOOKUP($B32,Totalt!$B$1:$AQ$554,MATCH(P$2,Totalt!$B$1:$AQ$1,0),FALSE),"")</f>
        <v>0</v>
      </c>
      <c r="Q32" s="173">
        <f>IFERROR(VLOOKUP($B32,Totalt!$B$1:$AQ$554,MATCH(Q$2,Totalt!$B$1:$AQ$1,0),FALSE),"")</f>
        <v>82.9</v>
      </c>
      <c r="R32" s="173">
        <f>IFERROR(VLOOKUP($B32,Totalt!$B$1:$AQ$554,MATCH(R$2,Totalt!$B$1:$AQ$1,0),FALSE),"")</f>
        <v>17.8</v>
      </c>
      <c r="S32" s="173">
        <f>IFERROR(VLOOKUP($B32,Totalt!$B$1:$AQ$554,MATCH(S$2,Totalt!$B$1:$AQ$1,0),FALSE),"")</f>
        <v>0</v>
      </c>
      <c r="T32" s="173">
        <f>IFERROR(VLOOKUP($B32,Totalt!$B$1:$AQ$554,MATCH(T$2,Totalt!$B$1:$AQ$1,0),FALSE),"")</f>
        <v>0</v>
      </c>
      <c r="U32" s="173">
        <f>IFERROR(VLOOKUP($B32,Totalt!$B$1:$AQ$554,MATCH(U$2,Totalt!$B$1:$AQ$1,0),FALSE),"")</f>
        <v>0</v>
      </c>
      <c r="V32" s="173">
        <f>IFERROR(VLOOKUP($B32,Totalt!$B$1:$AQ$554,MATCH(V$2,Totalt!$B$1:$AQ$1,0),FALSE),"")</f>
        <v>0</v>
      </c>
      <c r="W32" s="173">
        <f>IFERROR(VLOOKUP($B32,Totalt!$B$1:$AQ$554,MATCH(W$2,Totalt!$B$1:$AQ$1,0),FALSE),"")</f>
        <v>0</v>
      </c>
      <c r="X32" s="173">
        <f>IFERROR(VLOOKUP($B32,Totalt!$B$1:$AQ$554,MATCH(X$2,Totalt!$B$1:$AQ$1,0),FALSE),"")</f>
        <v>0</v>
      </c>
      <c r="Y32" s="173">
        <f>IFERROR(VLOOKUP($B32,Totalt!$B$1:$AQ$554,MATCH(Y$2,Totalt!$B$1:$AQ$1,0),FALSE),"")</f>
        <v>0</v>
      </c>
      <c r="Z32" s="173">
        <f>IFERROR(VLOOKUP($B32,Totalt!$B$1:$AQ$554,MATCH(Z$2,Totalt!$B$1:$AQ$1,0),FALSE),"")</f>
        <v>0</v>
      </c>
      <c r="AA32" s="173">
        <f>IFERROR(VLOOKUP($B32,Totalt!$B$1:$AQ$554,MATCH(AA$2,Totalt!$B$1:$AQ$1,0),FALSE),"")</f>
        <v>0</v>
      </c>
      <c r="AB32" s="173">
        <f>IFERROR(VLOOKUP($B32,Totalt!$B$1:$AQ$554,MATCH(AB$2,Totalt!$B$1:$AQ$1,0),FALSE),"")</f>
        <v>0</v>
      </c>
      <c r="AC32" s="173">
        <f>IFERROR(VLOOKUP($B32,Totalt!$B$1:$AQ$554,MATCH(AC$2,Totalt!$B$1:$AQ$1,0),FALSE),"")</f>
        <v>19.399999999999999</v>
      </c>
      <c r="AD32" s="173">
        <f>IFERROR(VLOOKUP($B32,Totalt!$B$1:$AQ$554,MATCH(AD$2,Totalt!$B$1:$AQ$1,0),FALSE),"")</f>
        <v>9.1999999999999993</v>
      </c>
      <c r="AE32" s="173">
        <f>IFERROR(VLOOKUP($B32,Totalt!$B$1:$AQ$554,MATCH(AE$2,Totalt!$B$1:$AQ$1,0),FALSE),"")</f>
        <v>0</v>
      </c>
      <c r="AF32" s="173">
        <f>IFERROR(VLOOKUP($B32,Totalt!$B$1:$AQ$554,MATCH(AF$2,Totalt!$B$1:$AQ$1,0),FALSE),"")</f>
        <v>3.44</v>
      </c>
      <c r="AG32" s="173">
        <f>IFERROR(VLOOKUP($B32,Totalt!$B$1:$AQ$554,MATCH(AG$2,Totalt!$B$1:$AQ$1,0),FALSE),"")</f>
        <v>0</v>
      </c>
      <c r="AI32" s="226">
        <f t="shared" si="0"/>
        <v>136.22999999999999</v>
      </c>
      <c r="AJ32" s="226">
        <f>IF(ISERROR(1/VLOOKUP($B32,Leveranser!$B$1:$S$500,MATCH("såld värme (gwh)",Leveranser!$B$1:$S$1,0),FALSE)),"",VLOOKUP($B32,Leveranser!$B$1:$S$500,MATCH("såld värme (gwh)",Leveranser!$B$1:$S$1,0),FALSE))</f>
        <v>108.3</v>
      </c>
      <c r="AM32" s="227" t="str">
        <f>IF(B32&lt;&gt;"",IF(VLOOKUP($B32,Totalt!$B$1:$AQ$554,MATCH("Kvalitetsgranskad:",Totalt!$B$1:$AQ$1,0),FALSE)="ja",VLOOKUP($B32,Miljö!$B$1:$AG$479,MATCH(AM$2,Miljö!$B$1:$AK$1,0),FALSE),""),"")</f>
        <v>Ja</v>
      </c>
      <c r="AN32" s="227" t="str">
        <f>IF(AM32="ja",VLOOKUP($B32,Miljö!$B$1:$J$479,MATCH("Typ av ursprungsspecificerad el   (Om inget värde anges används Nordisk residualmix, se inforuta) ()",Miljö!$B$1:$J$1,0),FALSE),IF(AM32="nej","Nordisk residualel",""))</f>
        <v>'Vattenkraft'</v>
      </c>
      <c r="AO32" s="227">
        <f>IF(AM32="","",VLOOKUP($B32,Miljö!$B$1:$J$479,MATCH("Fossilandel för ursprungspecificerad el ()",Miljö!$B$1:$J$1,0),FALSE))</f>
        <v>0</v>
      </c>
      <c r="AP32" s="227">
        <f>IF(AM32="","",IFERROR(VLOOKUP($B32,Miljö!$B$1:$J$479,MATCH("Kärnkraftsandel för ursprungsspecificerad el ()",Miljö!$B$1:$J$1,0),FALSE)/1,0))</f>
        <v>0</v>
      </c>
      <c r="AQ32" s="227">
        <f t="shared" si="1"/>
        <v>1</v>
      </c>
      <c r="AR32" s="227"/>
      <c r="AS32" s="227" t="str">
        <f t="shared" si="2"/>
        <v>Nej</v>
      </c>
      <c r="AT32" s="227" t="str">
        <f>IF(AS32="ja",VLOOKUP($B32,Miljö!$B$1:$O$500,MATCH("Fossil andel i procent (%)",Miljö!$B$1:$O$1,0),FALSE)/100,"")</f>
        <v/>
      </c>
      <c r="AU32" s="227"/>
      <c r="AV32" s="227" t="str">
        <f t="shared" si="3"/>
        <v>Nej</v>
      </c>
      <c r="AW32" s="227" t="str">
        <f>IF(AV32="ja",VLOOKUP($B32,'Egen hetvattenprod'!$B$1:$AO$500,MATCH("Värmekälla till värmepumpar ()",'Egen hetvattenprod'!$B$1:$AO$1,0),FALSE),"")</f>
        <v/>
      </c>
      <c r="AX32" s="227"/>
      <c r="AY32" s="227" t="str">
        <f t="shared" si="4"/>
        <v>Ja</v>
      </c>
      <c r="AZ32" s="228">
        <f>IF($AY32="ja",(VLOOKUP($B32,'Egen hetvattenprod'!$B$1:$BX$550,MATCH(AZ$2,'Egen hetvattenprod'!$B$1:$BX$1,0),FALSE)+VLOOKUP($B32,Kraftvärmeprod!$B$1:$BX$550,MATCH(AZ$2,Kraftvärmeprod!$B$1:$BX$1,0),FALSE))/$AC32,"")</f>
        <v>1</v>
      </c>
      <c r="BA32" s="228">
        <f>IF($AY32="ja",(VLOOKUP($B32,'Egen hetvattenprod'!$B$1:$BX$550,MATCH(BA$2,'Egen hetvattenprod'!$B$1:$BX$1,0),FALSE)+VLOOKUP($B32,Kraftvärmeprod!$B$1:$BX$550,MATCH(BA$2,Kraftvärmeprod!$B$1:$BX$1,0),FALSE))/$AC32,"")</f>
        <v>0</v>
      </c>
      <c r="BB32" s="228">
        <f>IF($AY32="ja",(VLOOKUP($B32,'Egen hetvattenprod'!$B$1:$BX$550,MATCH(BB$2,'Egen hetvattenprod'!$B$1:$BX$1,0),FALSE)+VLOOKUP($B32,Kraftvärmeprod!$B$1:$BX$550,MATCH(BB$2,Kraftvärmeprod!$B$1:$BX$1,0),FALSE))/$AC32,"")</f>
        <v>0</v>
      </c>
      <c r="BC32" s="228">
        <f>IF($AY32="ja",(VLOOKUP($B32,'Egen hetvattenprod'!$B$1:$BX$550,MATCH(BC$2,'Egen hetvattenprod'!$B$1:$BX$1,0),FALSE)+VLOOKUP($B32,Kraftvärmeprod!$B$1:$BX$550,MATCH(BC$2,Kraftvärmeprod!$B$1:$BX$1,0),FALSE))/$AC32,"")</f>
        <v>0</v>
      </c>
      <c r="BD32" s="228">
        <f>IF($AY32="ja",(VLOOKUP($B32,'Egen hetvattenprod'!$B$1:$BX$550,MATCH(BD$2,'Egen hetvattenprod'!$B$1:$BX$1,0),FALSE)+VLOOKUP($B32,Kraftvärmeprod!$B$1:$BX$550,MATCH(BD$2,Kraftvärmeprod!$B$1:$BX$1,0),FALSE))/$AC32,"")</f>
        <v>0</v>
      </c>
      <c r="BE32" s="227"/>
      <c r="BF32" s="227" t="str">
        <f t="shared" si="5"/>
        <v>Nej</v>
      </c>
      <c r="BG32" s="227" t="str">
        <f>IF($BF32="ja",VLOOKUP($B32,'Egen hetvattenprod'!$B$1:$BX$550,MATCH("Andelen klimatgaser med fossilt ursprung för avfall ()",'Egen hetvattenprod'!$B$1:$BX$1,0),FALSE),"")</f>
        <v/>
      </c>
      <c r="BH32" s="227" t="str">
        <f>IF($BF32="ja",VLOOKUP($B32,Kraftvärmeprod!$B$1:$BX$550,MATCH("Andelen klimatgaser med fossilt ursprung för avfall ()",Kraftvärmeprod!$B$1:$BX$1,0),FALSE),"")</f>
        <v/>
      </c>
      <c r="BI32" s="227" t="str">
        <f>IF($BF32="ja",VLOOKUP($B32,'Egen hetvattenprod'!$B$1:$BX$550,MATCH("Avfall (GWh)",'Egen hetvattenprod'!$B$1:$BX$1,0),FALSE),"")</f>
        <v/>
      </c>
      <c r="BJ32" s="227" t="str">
        <f>IF($BF32="ja",VLOOKUP($B32,'Slutlig allokering kvv'!$B$1:$BX$550,MATCH("Avfall (GWh)",'Slutlig allokering kvv'!$B$1:$BX$1,0),FALSE),"")</f>
        <v/>
      </c>
      <c r="BK32" s="227" t="str">
        <f>IF($BF32="ja",VLOOKUP($B32,'Köpt hetvatten'!$B$1:$BX$550,MATCH("Avfall i köpt hetvatten",'Köpt hetvatten'!$B$1:$BX$1,0),FALSE),"")</f>
        <v/>
      </c>
      <c r="BL32" s="227" t="str">
        <f>IF($BF32="ja",VLOOKUP($B32,'Egen hetvattenprod'!$B$1:$BX$550,MATCH("Värde enligt ovan. (%)",'Egen hetvattenprod'!$B$1:$BX$1,0),FALSE),"")</f>
        <v/>
      </c>
      <c r="BM32" s="227" t="str">
        <f>IF($BF32="ja",VLOOKUP($B32,Kraftvärmeprod!$B$1:$BX$550,MATCH("Värde enligt ovan. (%)",Kraftvärmeprod!$B$1:$BX$1,0),FALSE),"")</f>
        <v/>
      </c>
      <c r="BN32" s="227"/>
      <c r="BO32" s="227"/>
      <c r="BP32" s="227"/>
      <c r="BQ32" s="227" t="str">
        <f>IF($BF32="ja",VLOOKUP($B32,'Egen hetvattenprod'!$B$1:$BX$550,MATCH("Tillförd olja (fossil) vid avfallsförbränning (GWh)",'Egen hetvattenprod'!$B$1:$BX$1,0),FALSE),"")</f>
        <v/>
      </c>
      <c r="BR32" s="227" t="str">
        <f>IF($BF32="ja",VLOOKUP($B32,Kraftvärmeprod!$B$1:$BX$550,MATCH("Tillförd olja (fossil) vid avfallsförbränning (GWh)",Kraftvärmeprod!$B$1:$BX$1,0),FALSE),"")</f>
        <v/>
      </c>
      <c r="BS32" s="227"/>
      <c r="BT32" s="227"/>
      <c r="BU32" s="227"/>
    </row>
    <row r="33" spans="1:73" x14ac:dyDescent="0.25">
      <c r="A33" s="121" t="str">
        <f>'Miljövärden för publ företag'!B36</f>
        <v>Bengtsfors Energi</v>
      </c>
      <c r="B33" s="121" t="str">
        <f>'Miljövärden för publ företag'!C36</f>
        <v>Bengtsfors</v>
      </c>
      <c r="C33" s="173">
        <f>IFERROR(VLOOKUP($B33,Totalt!$B$1:$AQ$554,MATCH(C$2,Totalt!$B$1:$AQ$1,0),FALSE),"")</f>
        <v>0</v>
      </c>
      <c r="D33" s="173">
        <f>IFERROR(VLOOKUP($B33,Totalt!$B$1:$AQ$554,MATCH(D$2,Totalt!$B$1:$AQ$1,0),FALSE),"")</f>
        <v>0.1</v>
      </c>
      <c r="E33" s="173">
        <f>IFERROR(VLOOKUP($B33,Totalt!$B$1:$AQ$554,MATCH(E$2,Totalt!$B$1:$AQ$1,0),FALSE),"")</f>
        <v>0</v>
      </c>
      <c r="F33" s="173">
        <f>IFERROR(VLOOKUP($B33,Totalt!$B$1:$AQ$554,MATCH(F$2,Totalt!$B$1:$AQ$1,0),FALSE),"")</f>
        <v>0</v>
      </c>
      <c r="G33" s="173">
        <f>IFERROR(VLOOKUP($B33,Totalt!$B$1:$AQ$554,MATCH(G$2,Totalt!$B$1:$AQ$1,0),FALSE),"")</f>
        <v>0</v>
      </c>
      <c r="H33" s="173">
        <f>IFERROR(VLOOKUP($B33,Totalt!$B$1:$AQ$554,MATCH(H$2,Totalt!$B$1:$AQ$1,0),FALSE),"")</f>
        <v>0</v>
      </c>
      <c r="I33" s="173">
        <f>IFERROR(VLOOKUP($B33,Totalt!$B$1:$AQ$554,MATCH(I$2,Totalt!$B$1:$AQ$1,0),FALSE),"")</f>
        <v>0</v>
      </c>
      <c r="J33" s="173">
        <f>IFERROR(VLOOKUP($B33,Totalt!$B$1:$AQ$554,MATCH(J$2,Totalt!$B$1:$AQ$1,0),FALSE),"")</f>
        <v>0</v>
      </c>
      <c r="K33" s="173">
        <f>IFERROR(VLOOKUP($B33,Totalt!$B$1:$AQ$554,MATCH(K$2,Totalt!$B$1:$AQ$1,0),FALSE),"")</f>
        <v>0</v>
      </c>
      <c r="L33" s="173">
        <f>IFERROR(VLOOKUP($B33,Totalt!$B$1:$AQ$554,MATCH(L$2,Totalt!$B$1:$AQ$1,0),FALSE),"")</f>
        <v>0</v>
      </c>
      <c r="M33" s="173">
        <f>IFERROR(VLOOKUP($B33,Totalt!$B$1:$AQ$554,MATCH(M$2,Totalt!$B$1:$AQ$1,0),FALSE),"")</f>
        <v>0</v>
      </c>
      <c r="N33" s="173">
        <f>IFERROR(VLOOKUP($B33,Totalt!$B$1:$AQ$554,MATCH(N$2,Totalt!$B$1:$AQ$1,0),FALSE),"")</f>
        <v>0</v>
      </c>
      <c r="O33" s="173">
        <f>IFERROR(VLOOKUP($B33,Totalt!$B$1:$AQ$554,MATCH(O$2,Totalt!$B$1:$AQ$1,0),FALSE),"")</f>
        <v>0</v>
      </c>
      <c r="P33" s="173">
        <f>IFERROR(VLOOKUP($B33,Totalt!$B$1:$AQ$554,MATCH(P$2,Totalt!$B$1:$AQ$1,0),FALSE),"")</f>
        <v>0</v>
      </c>
      <c r="Q33" s="173">
        <f>IFERROR(VLOOKUP($B33,Totalt!$B$1:$AQ$554,MATCH(Q$2,Totalt!$B$1:$AQ$1,0),FALSE),"")</f>
        <v>0</v>
      </c>
      <c r="R33" s="173">
        <f>IFERROR(VLOOKUP($B33,Totalt!$B$1:$AQ$554,MATCH(R$2,Totalt!$B$1:$AQ$1,0),FALSE),"")</f>
        <v>3.1</v>
      </c>
      <c r="S33" s="173">
        <f>IFERROR(VLOOKUP($B33,Totalt!$B$1:$AQ$554,MATCH(S$2,Totalt!$B$1:$AQ$1,0),FALSE),"")</f>
        <v>0</v>
      </c>
      <c r="T33" s="173">
        <f>IFERROR(VLOOKUP($B33,Totalt!$B$1:$AQ$554,MATCH(T$2,Totalt!$B$1:$AQ$1,0),FALSE),"")</f>
        <v>0</v>
      </c>
      <c r="U33" s="173">
        <f>IFERROR(VLOOKUP($B33,Totalt!$B$1:$AQ$554,MATCH(U$2,Totalt!$B$1:$AQ$1,0),FALSE),"")</f>
        <v>0</v>
      </c>
      <c r="V33" s="173">
        <f>IFERROR(VLOOKUP($B33,Totalt!$B$1:$AQ$554,MATCH(V$2,Totalt!$B$1:$AQ$1,0),FALSE),"")</f>
        <v>0</v>
      </c>
      <c r="W33" s="173">
        <f>IFERROR(VLOOKUP($B33,Totalt!$B$1:$AQ$554,MATCH(W$2,Totalt!$B$1:$AQ$1,0),FALSE),"")</f>
        <v>0</v>
      </c>
      <c r="X33" s="173">
        <f>IFERROR(VLOOKUP($B33,Totalt!$B$1:$AQ$554,MATCH(X$2,Totalt!$B$1:$AQ$1,0),FALSE),"")</f>
        <v>0</v>
      </c>
      <c r="Y33" s="173">
        <f>IFERROR(VLOOKUP($B33,Totalt!$B$1:$AQ$554,MATCH(Y$2,Totalt!$B$1:$AQ$1,0),FALSE),"")</f>
        <v>0</v>
      </c>
      <c r="Z33" s="173">
        <f>IFERROR(VLOOKUP($B33,Totalt!$B$1:$AQ$554,MATCH(Z$2,Totalt!$B$1:$AQ$1,0),FALSE),"")</f>
        <v>0</v>
      </c>
      <c r="AA33" s="173">
        <f>IFERROR(VLOOKUP($B33,Totalt!$B$1:$AQ$554,MATCH(AA$2,Totalt!$B$1:$AQ$1,0),FALSE),"")</f>
        <v>0</v>
      </c>
      <c r="AB33" s="173">
        <f>IFERROR(VLOOKUP($B33,Totalt!$B$1:$AQ$554,MATCH(AB$2,Totalt!$B$1:$AQ$1,0),FALSE),"")</f>
        <v>0</v>
      </c>
      <c r="AC33" s="173">
        <f>IFERROR(VLOOKUP($B33,Totalt!$B$1:$AQ$554,MATCH(AC$2,Totalt!$B$1:$AQ$1,0),FALSE),"")</f>
        <v>0</v>
      </c>
      <c r="AD33" s="173">
        <f>IFERROR(VLOOKUP($B33,Totalt!$B$1:$AQ$554,MATCH(AD$2,Totalt!$B$1:$AQ$1,0),FALSE),"")</f>
        <v>6.2</v>
      </c>
      <c r="AE33" s="173">
        <f>IFERROR(VLOOKUP($B33,Totalt!$B$1:$AQ$554,MATCH(AE$2,Totalt!$B$1:$AQ$1,0),FALSE),"")</f>
        <v>0</v>
      </c>
      <c r="AF33" s="173">
        <f>IFERROR(VLOOKUP($B33,Totalt!$B$1:$AQ$554,MATCH(AF$2,Totalt!$B$1:$AQ$1,0),FALSE),"")</f>
        <v>0.06</v>
      </c>
      <c r="AG33" s="173">
        <f>IFERROR(VLOOKUP($B33,Totalt!$B$1:$AQ$554,MATCH(AG$2,Totalt!$B$1:$AQ$1,0),FALSE),"")</f>
        <v>0</v>
      </c>
      <c r="AI33" s="226">
        <f t="shared" si="0"/>
        <v>9.4600000000000009</v>
      </c>
      <c r="AJ33" s="226">
        <f>IF(ISERROR(1/VLOOKUP($B33,Leveranser!$B$1:$S$500,MATCH("såld värme (gwh)",Leveranser!$B$1:$S$1,0),FALSE)),"",VLOOKUP($B33,Leveranser!$B$1:$S$500,MATCH("såld värme (gwh)",Leveranser!$B$1:$S$1,0),FALSE))</f>
        <v>8.4</v>
      </c>
      <c r="AM33" s="227" t="str">
        <f>IF(B33&lt;&gt;"",IF(VLOOKUP($B33,Totalt!$B$1:$AQ$554,MATCH("Kvalitetsgranskad:",Totalt!$B$1:$AQ$1,0),FALSE)="ja",VLOOKUP($B33,Miljö!$B$1:$AG$479,MATCH(AM$2,Miljö!$B$1:$AK$1,0),FALSE),""),"")</f>
        <v>Ja</v>
      </c>
      <c r="AN33" s="227" t="str">
        <f>IF(AM33="ja",VLOOKUP($B33,Miljö!$B$1:$J$479,MATCH("Typ av ursprungsspecificerad el   (Om inget värde anges används Nordisk residualmix, se inforuta) ()",Miljö!$B$1:$J$1,0),FALSE),IF(AM33="nej","Nordisk residualel",""))</f>
        <v>'vattenkraft'</v>
      </c>
      <c r="AO33" s="227">
        <f>IF(AM33="","",VLOOKUP($B33,Miljö!$B$1:$J$479,MATCH("Fossilandel för ursprungspecificerad el ()",Miljö!$B$1:$J$1,0),FALSE))</f>
        <v>0</v>
      </c>
      <c r="AP33" s="227">
        <f>IF(AM33="","",IFERROR(VLOOKUP($B33,Miljö!$B$1:$J$479,MATCH("Kärnkraftsandel för ursprungsspecificerad el ()",Miljö!$B$1:$J$1,0),FALSE)/1,0))</f>
        <v>0</v>
      </c>
      <c r="AQ33" s="227">
        <f t="shared" si="1"/>
        <v>1</v>
      </c>
      <c r="AR33" s="227"/>
      <c r="AS33" s="227" t="str">
        <f t="shared" si="2"/>
        <v>Nej</v>
      </c>
      <c r="AT33" s="227" t="str">
        <f>IF(AS33="ja",VLOOKUP($B33,Miljö!$B$1:$O$500,MATCH("Fossil andel i procent (%)",Miljö!$B$1:$O$1,0),FALSE)/100,"")</f>
        <v/>
      </c>
      <c r="AU33" s="227"/>
      <c r="AV33" s="227" t="str">
        <f t="shared" si="3"/>
        <v>Nej</v>
      </c>
      <c r="AW33" s="227" t="str">
        <f>IF(AV33="ja",VLOOKUP($B33,'Egen hetvattenprod'!$B$1:$AO$500,MATCH("Värmekälla till värmepumpar ()",'Egen hetvattenprod'!$B$1:$AO$1,0),FALSE),"")</f>
        <v/>
      </c>
      <c r="AX33" s="227"/>
      <c r="AY33" s="227" t="str">
        <f t="shared" si="4"/>
        <v>Nej</v>
      </c>
      <c r="AZ33" s="228" t="str">
        <f>IF($AY33="ja",(VLOOKUP($B33,'Egen hetvattenprod'!$B$1:$BX$550,MATCH(AZ$2,'Egen hetvattenprod'!$B$1:$BX$1,0),FALSE)+VLOOKUP($B33,Kraftvärmeprod!$B$1:$BX$550,MATCH(AZ$2,Kraftvärmeprod!$B$1:$BX$1,0),FALSE))/$AC33,"")</f>
        <v/>
      </c>
      <c r="BA33" s="228" t="str">
        <f>IF($AY33="ja",(VLOOKUP($B33,'Egen hetvattenprod'!$B$1:$BX$550,MATCH(BA$2,'Egen hetvattenprod'!$B$1:$BX$1,0),FALSE)+VLOOKUP($B33,Kraftvärmeprod!$B$1:$BX$550,MATCH(BA$2,Kraftvärmeprod!$B$1:$BX$1,0),FALSE))/$AC33,"")</f>
        <v/>
      </c>
      <c r="BB33" s="228" t="str">
        <f>IF($AY33="ja",(VLOOKUP($B33,'Egen hetvattenprod'!$B$1:$BX$550,MATCH(BB$2,'Egen hetvattenprod'!$B$1:$BX$1,0),FALSE)+VLOOKUP($B33,Kraftvärmeprod!$B$1:$BX$550,MATCH(BB$2,Kraftvärmeprod!$B$1:$BX$1,0),FALSE))/$AC33,"")</f>
        <v/>
      </c>
      <c r="BC33" s="228" t="str">
        <f>IF($AY33="ja",(VLOOKUP($B33,'Egen hetvattenprod'!$B$1:$BX$550,MATCH(BC$2,'Egen hetvattenprod'!$B$1:$BX$1,0),FALSE)+VLOOKUP($B33,Kraftvärmeprod!$B$1:$BX$550,MATCH(BC$2,Kraftvärmeprod!$B$1:$BX$1,0),FALSE))/$AC33,"")</f>
        <v/>
      </c>
      <c r="BD33" s="228" t="str">
        <f>IF($AY33="ja",(VLOOKUP($B33,'Egen hetvattenprod'!$B$1:$BX$550,MATCH(BD$2,'Egen hetvattenprod'!$B$1:$BX$1,0),FALSE)+VLOOKUP($B33,Kraftvärmeprod!$B$1:$BX$550,MATCH(BD$2,Kraftvärmeprod!$B$1:$BX$1,0),FALSE))/$AC33,"")</f>
        <v/>
      </c>
      <c r="BE33" s="227"/>
      <c r="BF33" s="227" t="str">
        <f t="shared" si="5"/>
        <v>Nej</v>
      </c>
      <c r="BG33" s="227" t="str">
        <f>IF($BF33="ja",VLOOKUP($B33,'Egen hetvattenprod'!$B$1:$BX$550,MATCH("Andelen klimatgaser med fossilt ursprung för avfall ()",'Egen hetvattenprod'!$B$1:$BX$1,0),FALSE),"")</f>
        <v/>
      </c>
      <c r="BH33" s="227" t="str">
        <f>IF($BF33="ja",VLOOKUP($B33,Kraftvärmeprod!$B$1:$BX$550,MATCH("Andelen klimatgaser med fossilt ursprung för avfall ()",Kraftvärmeprod!$B$1:$BX$1,0),FALSE),"")</f>
        <v/>
      </c>
      <c r="BI33" s="227" t="str">
        <f>IF($BF33="ja",VLOOKUP($B33,'Egen hetvattenprod'!$B$1:$BX$550,MATCH("Avfall (GWh)",'Egen hetvattenprod'!$B$1:$BX$1,0),FALSE),"")</f>
        <v/>
      </c>
      <c r="BJ33" s="227" t="str">
        <f>IF($BF33="ja",VLOOKUP($B33,'Slutlig allokering kvv'!$B$1:$BX$550,MATCH("Avfall (GWh)",'Slutlig allokering kvv'!$B$1:$BX$1,0),FALSE),"")</f>
        <v/>
      </c>
      <c r="BK33" s="227" t="str">
        <f>IF($BF33="ja",VLOOKUP($B33,'Köpt hetvatten'!$B$1:$BX$550,MATCH("Avfall i köpt hetvatten",'Köpt hetvatten'!$B$1:$BX$1,0),FALSE),"")</f>
        <v/>
      </c>
      <c r="BL33" s="227" t="str">
        <f>IF($BF33="ja",VLOOKUP($B33,'Egen hetvattenprod'!$B$1:$BX$550,MATCH("Värde enligt ovan. (%)",'Egen hetvattenprod'!$B$1:$BX$1,0),FALSE),"")</f>
        <v/>
      </c>
      <c r="BM33" s="227" t="str">
        <f>IF($BF33="ja",VLOOKUP($B33,Kraftvärmeprod!$B$1:$BX$550,MATCH("Värde enligt ovan. (%)",Kraftvärmeprod!$B$1:$BX$1,0),FALSE),"")</f>
        <v/>
      </c>
      <c r="BN33" s="227"/>
      <c r="BO33" s="227"/>
      <c r="BP33" s="227"/>
      <c r="BQ33" s="227" t="str">
        <f>IF($BF33="ja",VLOOKUP($B33,'Egen hetvattenprod'!$B$1:$BX$550,MATCH("Tillförd olja (fossil) vid avfallsförbränning (GWh)",'Egen hetvattenprod'!$B$1:$BX$1,0),FALSE),"")</f>
        <v/>
      </c>
      <c r="BR33" s="227" t="str">
        <f>IF($BF33="ja",VLOOKUP($B33,Kraftvärmeprod!$B$1:$BX$550,MATCH("Tillförd olja (fossil) vid avfallsförbränning (GWh)",Kraftvärmeprod!$B$1:$BX$1,0),FALSE),"")</f>
        <v/>
      </c>
      <c r="BS33" s="227"/>
      <c r="BT33" s="227"/>
      <c r="BU33" s="227"/>
    </row>
    <row r="34" spans="1:73" x14ac:dyDescent="0.25">
      <c r="A34" s="121" t="str">
        <f>'Miljövärden för publ företag'!B37</f>
        <v>Bodens Energi AB</v>
      </c>
      <c r="B34" s="121" t="str">
        <f>'Miljövärden för publ företag'!C37</f>
        <v>Boden</v>
      </c>
      <c r="C34" s="173">
        <f>IFERROR(VLOOKUP($B34,Totalt!$B$1:$AQ$554,MATCH(C$2,Totalt!$B$1:$AQ$1,0),FALSE),"")</f>
        <v>0</v>
      </c>
      <c r="D34" s="173">
        <f>IFERROR(VLOOKUP($B34,Totalt!$B$1:$AQ$554,MATCH(D$2,Totalt!$B$1:$AQ$1,0),FALSE),"")</f>
        <v>3</v>
      </c>
      <c r="E34" s="173">
        <f>IFERROR(VLOOKUP($B34,Totalt!$B$1:$AQ$554,MATCH(E$2,Totalt!$B$1:$AQ$1,0),FALSE),"")</f>
        <v>0</v>
      </c>
      <c r="F34" s="173">
        <f>IFERROR(VLOOKUP($B34,Totalt!$B$1:$AQ$554,MATCH(F$2,Totalt!$B$1:$AQ$1,0),FALSE),"")</f>
        <v>12</v>
      </c>
      <c r="G34" s="173">
        <f>IFERROR(VLOOKUP($B34,Totalt!$B$1:$AQ$554,MATCH(G$2,Totalt!$B$1:$AQ$1,0),FALSE),"")</f>
        <v>0</v>
      </c>
      <c r="H34" s="173">
        <f>IFERROR(VLOOKUP($B34,Totalt!$B$1:$AQ$554,MATCH(H$2,Totalt!$B$1:$AQ$1,0),FALSE),"")</f>
        <v>0</v>
      </c>
      <c r="I34" s="173">
        <f>IFERROR(VLOOKUP($B34,Totalt!$B$1:$AQ$554,MATCH(I$2,Totalt!$B$1:$AQ$1,0),FALSE),"")</f>
        <v>250.54300000000001</v>
      </c>
      <c r="J34" s="173">
        <f>IFERROR(VLOOKUP($B34,Totalt!$B$1:$AQ$554,MATCH(J$2,Totalt!$B$1:$AQ$1,0),FALSE),"")</f>
        <v>2.8717600000000001</v>
      </c>
      <c r="K34" s="173">
        <f>IFERROR(VLOOKUP($B34,Totalt!$B$1:$AQ$554,MATCH(K$2,Totalt!$B$1:$AQ$1,0),FALSE),"")</f>
        <v>0</v>
      </c>
      <c r="L34" s="173">
        <f>IFERROR(VLOOKUP($B34,Totalt!$B$1:$AQ$554,MATCH(L$2,Totalt!$B$1:$AQ$1,0),FALSE),"")</f>
        <v>7.8930800000000003</v>
      </c>
      <c r="M34" s="173">
        <f>IFERROR(VLOOKUP($B34,Totalt!$B$1:$AQ$554,MATCH(M$2,Totalt!$B$1:$AQ$1,0),FALSE),"")</f>
        <v>0</v>
      </c>
      <c r="N34" s="173">
        <f>IFERROR(VLOOKUP($B34,Totalt!$B$1:$AQ$554,MATCH(N$2,Totalt!$B$1:$AQ$1,0),FALSE),"")</f>
        <v>0</v>
      </c>
      <c r="O34" s="173">
        <f>IFERROR(VLOOKUP($B34,Totalt!$B$1:$AQ$554,MATCH(O$2,Totalt!$B$1:$AQ$1,0),FALSE),"")</f>
        <v>15</v>
      </c>
      <c r="P34" s="173">
        <f>IFERROR(VLOOKUP($B34,Totalt!$B$1:$AQ$554,MATCH(P$2,Totalt!$B$1:$AQ$1,0),FALSE),"")</f>
        <v>5</v>
      </c>
      <c r="Q34" s="173">
        <f>IFERROR(VLOOKUP($B34,Totalt!$B$1:$AQ$554,MATCH(Q$2,Totalt!$B$1:$AQ$1,0),FALSE),"")</f>
        <v>0</v>
      </c>
      <c r="R34" s="173">
        <f>IFERROR(VLOOKUP($B34,Totalt!$B$1:$AQ$554,MATCH(R$2,Totalt!$B$1:$AQ$1,0),FALSE),"")</f>
        <v>0</v>
      </c>
      <c r="S34" s="173">
        <f>IFERROR(VLOOKUP($B34,Totalt!$B$1:$AQ$554,MATCH(S$2,Totalt!$B$1:$AQ$1,0),FALSE),"")</f>
        <v>0</v>
      </c>
      <c r="T34" s="173">
        <f>IFERROR(VLOOKUP($B34,Totalt!$B$1:$AQ$554,MATCH(T$2,Totalt!$B$1:$AQ$1,0),FALSE),"")</f>
        <v>0</v>
      </c>
      <c r="U34" s="173">
        <f>IFERROR(VLOOKUP($B34,Totalt!$B$1:$AQ$554,MATCH(U$2,Totalt!$B$1:$AQ$1,0),FALSE),"")</f>
        <v>0</v>
      </c>
      <c r="V34" s="173">
        <f>IFERROR(VLOOKUP($B34,Totalt!$B$1:$AQ$554,MATCH(V$2,Totalt!$B$1:$AQ$1,0),FALSE),"")</f>
        <v>0</v>
      </c>
      <c r="W34" s="173">
        <f>IFERROR(VLOOKUP($B34,Totalt!$B$1:$AQ$554,MATCH(W$2,Totalt!$B$1:$AQ$1,0),FALSE),"")</f>
        <v>2</v>
      </c>
      <c r="X34" s="173">
        <f>IFERROR(VLOOKUP($B34,Totalt!$B$1:$AQ$554,MATCH(X$2,Totalt!$B$1:$AQ$1,0),FALSE),"")</f>
        <v>0</v>
      </c>
      <c r="Y34" s="173">
        <f>IFERROR(VLOOKUP($B34,Totalt!$B$1:$AQ$554,MATCH(Y$2,Totalt!$B$1:$AQ$1,0),FALSE),"")</f>
        <v>12</v>
      </c>
      <c r="Z34" s="173">
        <f>IFERROR(VLOOKUP($B34,Totalt!$B$1:$AQ$554,MATCH(Z$2,Totalt!$B$1:$AQ$1,0),FALSE),"")</f>
        <v>0</v>
      </c>
      <c r="AA34" s="173">
        <f>IFERROR(VLOOKUP($B34,Totalt!$B$1:$AQ$554,MATCH(AA$2,Totalt!$B$1:$AQ$1,0),FALSE),"")</f>
        <v>0</v>
      </c>
      <c r="AB34" s="173">
        <f>IFERROR(VLOOKUP($B34,Totalt!$B$1:$AQ$554,MATCH(AB$2,Totalt!$B$1:$AQ$1,0),FALSE),"")</f>
        <v>0</v>
      </c>
      <c r="AC34" s="173">
        <f>IFERROR(VLOOKUP($B34,Totalt!$B$1:$AQ$554,MATCH(AC$2,Totalt!$B$1:$AQ$1,0),FALSE),"")</f>
        <v>65</v>
      </c>
      <c r="AD34" s="173">
        <f>IFERROR(VLOOKUP($B34,Totalt!$B$1:$AQ$554,MATCH(AD$2,Totalt!$B$1:$AQ$1,0),FALSE),"")</f>
        <v>0</v>
      </c>
      <c r="AE34" s="173">
        <f>IFERROR(VLOOKUP($B34,Totalt!$B$1:$AQ$554,MATCH(AE$2,Totalt!$B$1:$AQ$1,0),FALSE),"")</f>
        <v>0</v>
      </c>
      <c r="AF34" s="173">
        <f>IFERROR(VLOOKUP($B34,Totalt!$B$1:$AQ$554,MATCH(AF$2,Totalt!$B$1:$AQ$1,0),FALSE),"")</f>
        <v>10.1225</v>
      </c>
      <c r="AG34" s="173">
        <f>IFERROR(VLOOKUP($B34,Totalt!$B$1:$AQ$554,MATCH(AG$2,Totalt!$B$1:$AQ$1,0),FALSE),"")</f>
        <v>0</v>
      </c>
      <c r="AI34" s="226">
        <f t="shared" si="0"/>
        <v>385.43034</v>
      </c>
      <c r="AJ34" s="226">
        <f>IF(ISERROR(1/VLOOKUP($B34,Leveranser!$B$1:$S$500,MATCH("såld värme (gwh)",Leveranser!$B$1:$S$1,0),FALSE)),"",VLOOKUP($B34,Leveranser!$B$1:$S$500,MATCH("såld värme (gwh)",Leveranser!$B$1:$S$1,0),FALSE))</f>
        <v>273</v>
      </c>
      <c r="AM34" s="227" t="str">
        <f>IF(B34&lt;&gt;"",IF(VLOOKUP($B34,Totalt!$B$1:$AQ$554,MATCH("Kvalitetsgranskad:",Totalt!$B$1:$AQ$1,0),FALSE)="ja",VLOOKUP($B34,Miljö!$B$1:$AG$479,MATCH(AM$2,Miljö!$B$1:$AK$1,0),FALSE),""),"")</f>
        <v>Nej</v>
      </c>
      <c r="AN34" s="227" t="str">
        <f>IF(AM34="ja",VLOOKUP($B34,Miljö!$B$1:$J$479,MATCH("Typ av ursprungsspecificerad el   (Om inget värde anges används Nordisk residualmix, se inforuta) ()",Miljö!$B$1:$J$1,0),FALSE),IF(AM34="nej","Nordisk residualel",""))</f>
        <v>Nordisk residualel</v>
      </c>
      <c r="AO34" s="227">
        <f>IF(AM34="","",VLOOKUP($B34,Miljö!$B$1:$J$479,MATCH("Fossilandel för ursprungspecificerad el ()",Miljö!$B$1:$J$1,0),FALSE))</f>
        <v>0.43</v>
      </c>
      <c r="AP34" s="227">
        <f>IF(AM34="","",IFERROR(VLOOKUP($B34,Miljö!$B$1:$J$479,MATCH("Kärnkraftsandel för ursprungsspecificerad el ()",Miljö!$B$1:$J$1,0),FALSE)/1,0))</f>
        <v>0.40550000000000003</v>
      </c>
      <c r="AQ34" s="227">
        <f t="shared" si="1"/>
        <v>0.16450000000000004</v>
      </c>
      <c r="AR34" s="227"/>
      <c r="AS34" s="227" t="str">
        <f t="shared" si="2"/>
        <v>Nej</v>
      </c>
      <c r="AT34" s="227" t="str">
        <f>IF(AS34="ja",VLOOKUP($B34,Miljö!$B$1:$O$500,MATCH("Fossil andel i procent (%)",Miljö!$B$1:$O$1,0),FALSE)/100,"")</f>
        <v/>
      </c>
      <c r="AU34" s="227"/>
      <c r="AV34" s="227" t="str">
        <f t="shared" si="3"/>
        <v>Nej</v>
      </c>
      <c r="AW34" s="227" t="str">
        <f>IF(AV34="ja",VLOOKUP($B34,'Egen hetvattenprod'!$B$1:$AO$500,MATCH("Värmekälla till värmepumpar ()",'Egen hetvattenprod'!$B$1:$AO$1,0),FALSE),"")</f>
        <v/>
      </c>
      <c r="AX34" s="227"/>
      <c r="AY34" s="227" t="str">
        <f t="shared" si="4"/>
        <v>Ja</v>
      </c>
      <c r="AZ34" s="228">
        <f>IF($AY34="ja",(VLOOKUP($B34,'Egen hetvattenprod'!$B$1:$BX$550,MATCH(AZ$2,'Egen hetvattenprod'!$B$1:$BX$1,0),FALSE)+VLOOKUP($B34,Kraftvärmeprod!$B$1:$BX$550,MATCH(AZ$2,Kraftvärmeprod!$B$1:$BX$1,0),FALSE))/$AC34,"")</f>
        <v>0.17261538461538461</v>
      </c>
      <c r="BA34" s="228">
        <f>IF($AY34="ja",(VLOOKUP($B34,'Egen hetvattenprod'!$B$1:$BX$550,MATCH(BA$2,'Egen hetvattenprod'!$B$1:$BX$1,0),FALSE)+VLOOKUP($B34,Kraftvärmeprod!$B$1:$BX$550,MATCH(BA$2,Kraftvärmeprod!$B$1:$BX$1,0),FALSE))/$AC34,"")</f>
        <v>0.8123076923076924</v>
      </c>
      <c r="BB34" s="228">
        <f>IF($AY34="ja",(VLOOKUP($B34,'Egen hetvattenprod'!$B$1:$BX$550,MATCH(BB$2,'Egen hetvattenprod'!$B$1:$BX$1,0),FALSE)+VLOOKUP($B34,Kraftvärmeprod!$B$1:$BX$550,MATCH(BB$2,Kraftvärmeprod!$B$1:$BX$1,0),FALSE))/$AC34,"")</f>
        <v>0</v>
      </c>
      <c r="BC34" s="228">
        <f>IF($AY34="ja",(VLOOKUP($B34,'Egen hetvattenprod'!$B$1:$BX$550,MATCH(BC$2,'Egen hetvattenprod'!$B$1:$BX$1,0),FALSE)+VLOOKUP($B34,Kraftvärmeprod!$B$1:$BX$550,MATCH(BC$2,Kraftvärmeprod!$B$1:$BX$1,0),FALSE))/$AC34,"")</f>
        <v>1.5076923076923076E-2</v>
      </c>
      <c r="BD34" s="228">
        <f>IF($AY34="ja",(VLOOKUP($B34,'Egen hetvattenprod'!$B$1:$BX$550,MATCH(BD$2,'Egen hetvattenprod'!$B$1:$BX$1,0),FALSE)+VLOOKUP($B34,Kraftvärmeprod!$B$1:$BX$550,MATCH(BD$2,Kraftvärmeprod!$B$1:$BX$1,0),FALSE))/$AC34,"")</f>
        <v>0</v>
      </c>
      <c r="BE34" s="227"/>
      <c r="BF34" s="227" t="str">
        <f t="shared" si="5"/>
        <v>Ja</v>
      </c>
      <c r="BG34" s="227" t="str">
        <f>IF($BF34="ja",VLOOKUP($B34,'Egen hetvattenprod'!$B$1:$BX$550,MATCH("Andelen klimatgaser med fossilt ursprung för avfall ()",'Egen hetvattenprod'!$B$1:$BX$1,0),FALSE),"")</f>
        <v>Schablon</v>
      </c>
      <c r="BH34" s="227" t="str">
        <f>IF($BF34="ja",VLOOKUP($B34,Kraftvärmeprod!$B$1:$BX$550,MATCH("Andelen klimatgaser med fossilt ursprung för avfall ()",Kraftvärmeprod!$B$1:$BX$1,0),FALSE),"")</f>
        <v>Schablon</v>
      </c>
      <c r="BI34" s="227">
        <f>IF($BF34="ja",VLOOKUP($B34,'Egen hetvattenprod'!$B$1:$BX$550,MATCH("Avfall (GWh)",'Egen hetvattenprod'!$B$1:$BX$1,0),FALSE),"")</f>
        <v>147</v>
      </c>
      <c r="BJ34" s="227">
        <f>IF($BF34="ja",VLOOKUP($B34,'Slutlig allokering kvv'!$B$1:$BX$550,MATCH("Avfall (GWh)",'Slutlig allokering kvv'!$B$1:$BX$1,0),FALSE),"")</f>
        <v>103.54300000000001</v>
      </c>
      <c r="BK34" s="227">
        <f>IF($BF34="ja",VLOOKUP($B34,'Köpt hetvatten'!$B$1:$BX$550,MATCH("Avfall i köpt hetvatten",'Köpt hetvatten'!$B$1:$BX$1,0),FALSE),"")</f>
        <v>0</v>
      </c>
      <c r="BL34" s="227">
        <f>IF($BF34="ja",VLOOKUP($B34,'Egen hetvattenprod'!$B$1:$BX$550,MATCH("Värde enligt ovan. (%)",'Egen hetvattenprod'!$B$1:$BX$1,0),FALSE),"")</f>
        <v>40.5</v>
      </c>
      <c r="BM34" s="227">
        <f>IF($BF34="ja",VLOOKUP($B34,Kraftvärmeprod!$B$1:$BX$550,MATCH("Värde enligt ovan. (%)",Kraftvärmeprod!$B$1:$BX$1,0),FALSE),"")</f>
        <v>40.5</v>
      </c>
      <c r="BN34" s="227"/>
      <c r="BO34" s="227"/>
      <c r="BP34" s="227"/>
      <c r="BQ34" s="227">
        <f>IF($BF34="ja",VLOOKUP($B34,'Egen hetvattenprod'!$B$1:$BX$550,MATCH("Tillförd olja (fossil) vid avfallsförbränning (GWh)",'Egen hetvattenprod'!$B$1:$BX$1,0),FALSE),"")</f>
        <v>4</v>
      </c>
      <c r="BR34" s="227">
        <f>IF($BF34="ja",VLOOKUP($B34,Kraftvärmeprod!$B$1:$BX$550,MATCH("Tillförd olja (fossil) vid avfallsförbränning (GWh)",Kraftvärmeprod!$B$1:$BX$1,0),FALSE),"")</f>
        <v>1.4</v>
      </c>
      <c r="BS34" s="227"/>
      <c r="BT34" s="227"/>
      <c r="BU34" s="227"/>
    </row>
    <row r="35" spans="1:73" x14ac:dyDescent="0.25">
      <c r="A35" s="121" t="str">
        <f>'Miljövärden för publ företag'!B38</f>
        <v>Bollnäs Energi AB</v>
      </c>
      <c r="B35" s="121" t="str">
        <f>'Miljövärden för publ företag'!C38</f>
        <v>Arbrå</v>
      </c>
      <c r="C35" s="173">
        <f>IFERROR(VLOOKUP($B35,Totalt!$B$1:$AQ$554,MATCH(C$2,Totalt!$B$1:$AQ$1,0),FALSE),"")</f>
        <v>0</v>
      </c>
      <c r="D35" s="173">
        <f>IFERROR(VLOOKUP($B35,Totalt!$B$1:$AQ$554,MATCH(D$2,Totalt!$B$1:$AQ$1,0),FALSE),"")</f>
        <v>1.93</v>
      </c>
      <c r="E35" s="173">
        <f>IFERROR(VLOOKUP($B35,Totalt!$B$1:$AQ$554,MATCH(E$2,Totalt!$B$1:$AQ$1,0),FALSE),"")</f>
        <v>0</v>
      </c>
      <c r="F35" s="173">
        <f>IFERROR(VLOOKUP($B35,Totalt!$B$1:$AQ$554,MATCH(F$2,Totalt!$B$1:$AQ$1,0),FALSE),"")</f>
        <v>0</v>
      </c>
      <c r="G35" s="173">
        <f>IFERROR(VLOOKUP($B35,Totalt!$B$1:$AQ$554,MATCH(G$2,Totalt!$B$1:$AQ$1,0),FALSE),"")</f>
        <v>0</v>
      </c>
      <c r="H35" s="173">
        <f>IFERROR(VLOOKUP($B35,Totalt!$B$1:$AQ$554,MATCH(H$2,Totalt!$B$1:$AQ$1,0),FALSE),"")</f>
        <v>0</v>
      </c>
      <c r="I35" s="173">
        <f>IFERROR(VLOOKUP($B35,Totalt!$B$1:$AQ$554,MATCH(I$2,Totalt!$B$1:$AQ$1,0),FALSE),"")</f>
        <v>0</v>
      </c>
      <c r="J35" s="173">
        <f>IFERROR(VLOOKUP($B35,Totalt!$B$1:$AQ$554,MATCH(J$2,Totalt!$B$1:$AQ$1,0),FALSE),"")</f>
        <v>0</v>
      </c>
      <c r="K35" s="173">
        <f>IFERROR(VLOOKUP($B35,Totalt!$B$1:$AQ$554,MATCH(K$2,Totalt!$B$1:$AQ$1,0),FALSE),"")</f>
        <v>0</v>
      </c>
      <c r="L35" s="173">
        <f>IFERROR(VLOOKUP($B35,Totalt!$B$1:$AQ$554,MATCH(L$2,Totalt!$B$1:$AQ$1,0),FALSE),"")</f>
        <v>0</v>
      </c>
      <c r="M35" s="173">
        <f>IFERROR(VLOOKUP($B35,Totalt!$B$1:$AQ$554,MATCH(M$2,Totalt!$B$1:$AQ$1,0),FALSE),"")</f>
        <v>0</v>
      </c>
      <c r="N35" s="173">
        <f>IFERROR(VLOOKUP($B35,Totalt!$B$1:$AQ$554,MATCH(N$2,Totalt!$B$1:$AQ$1,0),FALSE),"")</f>
        <v>0</v>
      </c>
      <c r="O35" s="173">
        <f>IFERROR(VLOOKUP($B35,Totalt!$B$1:$AQ$554,MATCH(O$2,Totalt!$B$1:$AQ$1,0),FALSE),"")</f>
        <v>6.54</v>
      </c>
      <c r="P35" s="173">
        <f>IFERROR(VLOOKUP($B35,Totalt!$B$1:$AQ$554,MATCH(P$2,Totalt!$B$1:$AQ$1,0),FALSE),"")</f>
        <v>13.8</v>
      </c>
      <c r="Q35" s="173">
        <f>IFERROR(VLOOKUP($B35,Totalt!$B$1:$AQ$554,MATCH(Q$2,Totalt!$B$1:$AQ$1,0),FALSE),"")</f>
        <v>0</v>
      </c>
      <c r="R35" s="173">
        <f>IFERROR(VLOOKUP($B35,Totalt!$B$1:$AQ$554,MATCH(R$2,Totalt!$B$1:$AQ$1,0),FALSE),"")</f>
        <v>0</v>
      </c>
      <c r="S35" s="173">
        <f>IFERROR(VLOOKUP($B35,Totalt!$B$1:$AQ$554,MATCH(S$2,Totalt!$B$1:$AQ$1,0),FALSE),"")</f>
        <v>0</v>
      </c>
      <c r="T35" s="173">
        <f>IFERROR(VLOOKUP($B35,Totalt!$B$1:$AQ$554,MATCH(T$2,Totalt!$B$1:$AQ$1,0),FALSE),"")</f>
        <v>0</v>
      </c>
      <c r="U35" s="173">
        <f>IFERROR(VLOOKUP($B35,Totalt!$B$1:$AQ$554,MATCH(U$2,Totalt!$B$1:$AQ$1,0),FALSE),"")</f>
        <v>0</v>
      </c>
      <c r="V35" s="173">
        <f>IFERROR(VLOOKUP($B35,Totalt!$B$1:$AQ$554,MATCH(V$2,Totalt!$B$1:$AQ$1,0),FALSE),"")</f>
        <v>0</v>
      </c>
      <c r="W35" s="173">
        <f>IFERROR(VLOOKUP($B35,Totalt!$B$1:$AQ$554,MATCH(W$2,Totalt!$B$1:$AQ$1,0),FALSE),"")</f>
        <v>0</v>
      </c>
      <c r="X35" s="173">
        <f>IFERROR(VLOOKUP($B35,Totalt!$B$1:$AQ$554,MATCH(X$2,Totalt!$B$1:$AQ$1,0),FALSE),"")</f>
        <v>0</v>
      </c>
      <c r="Y35" s="173">
        <f>IFERROR(VLOOKUP($B35,Totalt!$B$1:$AQ$554,MATCH(Y$2,Totalt!$B$1:$AQ$1,0),FALSE),"")</f>
        <v>0</v>
      </c>
      <c r="Z35" s="173">
        <f>IFERROR(VLOOKUP($B35,Totalt!$B$1:$AQ$554,MATCH(Z$2,Totalt!$B$1:$AQ$1,0),FALSE),"")</f>
        <v>0</v>
      </c>
      <c r="AA35" s="173">
        <f>IFERROR(VLOOKUP($B35,Totalt!$B$1:$AQ$554,MATCH(AA$2,Totalt!$B$1:$AQ$1,0),FALSE),"")</f>
        <v>0</v>
      </c>
      <c r="AB35" s="173">
        <f>IFERROR(VLOOKUP($B35,Totalt!$B$1:$AQ$554,MATCH(AB$2,Totalt!$B$1:$AQ$1,0),FALSE),"")</f>
        <v>0</v>
      </c>
      <c r="AC35" s="173">
        <f>IFERROR(VLOOKUP($B35,Totalt!$B$1:$AQ$554,MATCH(AC$2,Totalt!$B$1:$AQ$1,0),FALSE),"")</f>
        <v>1.32</v>
      </c>
      <c r="AD35" s="173">
        <f>IFERROR(VLOOKUP($B35,Totalt!$B$1:$AQ$554,MATCH(AD$2,Totalt!$B$1:$AQ$1,0),FALSE),"")</f>
        <v>0</v>
      </c>
      <c r="AE35" s="173">
        <f>IFERROR(VLOOKUP($B35,Totalt!$B$1:$AQ$554,MATCH(AE$2,Totalt!$B$1:$AQ$1,0),FALSE),"")</f>
        <v>0</v>
      </c>
      <c r="AF35" s="173">
        <f>IFERROR(VLOOKUP($B35,Totalt!$B$1:$AQ$554,MATCH(AF$2,Totalt!$B$1:$AQ$1,0),FALSE),"")</f>
        <v>0.33900000000000002</v>
      </c>
      <c r="AG35" s="173">
        <f>IFERROR(VLOOKUP($B35,Totalt!$B$1:$AQ$554,MATCH(AG$2,Totalt!$B$1:$AQ$1,0),FALSE),"")</f>
        <v>0</v>
      </c>
      <c r="AI35" s="226">
        <f t="shared" si="0"/>
        <v>23.929000000000002</v>
      </c>
      <c r="AJ35" s="226">
        <f>IF(ISERROR(1/VLOOKUP($B35,Leveranser!$B$1:$S$500,MATCH("såld värme (gwh)",Leveranser!$B$1:$S$1,0),FALSE)),"",VLOOKUP($B35,Leveranser!$B$1:$S$500,MATCH("såld värme (gwh)",Leveranser!$B$1:$S$1,0),FALSE))</f>
        <v>17.327999999999999</v>
      </c>
      <c r="AM35" s="227" t="str">
        <f>IF(B35&lt;&gt;"",IF(VLOOKUP($B35,Totalt!$B$1:$AQ$554,MATCH("Kvalitetsgranskad:",Totalt!$B$1:$AQ$1,0),FALSE)="ja",VLOOKUP($B35,Miljö!$B$1:$AG$479,MATCH(AM$2,Miljö!$B$1:$AK$1,0),FALSE),""),"")</f>
        <v>Ja</v>
      </c>
      <c r="AN35" s="227" t="str">
        <f>IF(AM35="ja",VLOOKUP($B35,Miljö!$B$1:$J$479,MATCH("Typ av ursprungsspecificerad el   (Om inget värde anges används Nordisk residualmix, se inforuta) ()",Miljö!$B$1:$J$1,0),FALSE),IF(AM35="nej","Nordisk residualel",""))</f>
        <v>'Vattenkraft'</v>
      </c>
      <c r="AO35" s="227">
        <f>IF(AM35="","",VLOOKUP($B35,Miljö!$B$1:$J$479,MATCH("Fossilandel för ursprungspecificerad el ()",Miljö!$B$1:$J$1,0),FALSE))</f>
        <v>0</v>
      </c>
      <c r="AP35" s="227">
        <f>IF(AM35="","",IFERROR(VLOOKUP($B35,Miljö!$B$1:$J$479,MATCH("Kärnkraftsandel för ursprungsspecificerad el ()",Miljö!$B$1:$J$1,0),FALSE)/1,0))</f>
        <v>0</v>
      </c>
      <c r="AQ35" s="227">
        <f t="shared" si="1"/>
        <v>1</v>
      </c>
      <c r="AR35" s="227"/>
      <c r="AS35" s="227" t="str">
        <f t="shared" si="2"/>
        <v>Nej</v>
      </c>
      <c r="AT35" s="227" t="str">
        <f>IF(AS35="ja",VLOOKUP($B35,Miljö!$B$1:$O$500,MATCH("Fossil andel i procent (%)",Miljö!$B$1:$O$1,0),FALSE)/100,"")</f>
        <v/>
      </c>
      <c r="AU35" s="227"/>
      <c r="AV35" s="227" t="str">
        <f t="shared" si="3"/>
        <v>Nej</v>
      </c>
      <c r="AW35" s="227" t="str">
        <f>IF(AV35="ja",VLOOKUP($B35,'Egen hetvattenprod'!$B$1:$AO$500,MATCH("Värmekälla till värmepumpar ()",'Egen hetvattenprod'!$B$1:$AO$1,0),FALSE),"")</f>
        <v/>
      </c>
      <c r="AX35" s="227"/>
      <c r="AY35" s="227" t="str">
        <f t="shared" si="4"/>
        <v>Ja</v>
      </c>
      <c r="AZ35" s="228">
        <f>IF($AY35="ja",(VLOOKUP($B35,'Egen hetvattenprod'!$B$1:$BX$550,MATCH(AZ$2,'Egen hetvattenprod'!$B$1:$BX$1,0),FALSE)+VLOOKUP($B35,Kraftvärmeprod!$B$1:$BX$550,MATCH(AZ$2,Kraftvärmeprod!$B$1:$BX$1,0),FALSE))/$AC35,"")</f>
        <v>1</v>
      </c>
      <c r="BA35" s="228">
        <f>IF($AY35="ja",(VLOOKUP($B35,'Egen hetvattenprod'!$B$1:$BX$550,MATCH(BA$2,'Egen hetvattenprod'!$B$1:$BX$1,0),FALSE)+VLOOKUP($B35,Kraftvärmeprod!$B$1:$BX$550,MATCH(BA$2,Kraftvärmeprod!$B$1:$BX$1,0),FALSE))/$AC35,"")</f>
        <v>0</v>
      </c>
      <c r="BB35" s="228">
        <f>IF($AY35="ja",(VLOOKUP($B35,'Egen hetvattenprod'!$B$1:$BX$550,MATCH(BB$2,'Egen hetvattenprod'!$B$1:$BX$1,0),FALSE)+VLOOKUP($B35,Kraftvärmeprod!$B$1:$BX$550,MATCH(BB$2,Kraftvärmeprod!$B$1:$BX$1,0),FALSE))/$AC35,"")</f>
        <v>0</v>
      </c>
      <c r="BC35" s="228">
        <f>IF($AY35="ja",(VLOOKUP($B35,'Egen hetvattenprod'!$B$1:$BX$550,MATCH(BC$2,'Egen hetvattenprod'!$B$1:$BX$1,0),FALSE)+VLOOKUP($B35,Kraftvärmeprod!$B$1:$BX$550,MATCH(BC$2,Kraftvärmeprod!$B$1:$BX$1,0),FALSE))/$AC35,"")</f>
        <v>0</v>
      </c>
      <c r="BD35" s="228">
        <f>IF($AY35="ja",(VLOOKUP($B35,'Egen hetvattenprod'!$B$1:$BX$550,MATCH(BD$2,'Egen hetvattenprod'!$B$1:$BX$1,0),FALSE)+VLOOKUP($B35,Kraftvärmeprod!$B$1:$BX$550,MATCH(BD$2,Kraftvärmeprod!$B$1:$BX$1,0),FALSE))/$AC35,"")</f>
        <v>0</v>
      </c>
      <c r="BE35" s="227"/>
      <c r="BF35" s="227" t="str">
        <f t="shared" si="5"/>
        <v>Nej</v>
      </c>
      <c r="BG35" s="227" t="str">
        <f>IF($BF35="ja",VLOOKUP($B35,'Egen hetvattenprod'!$B$1:$BX$550,MATCH("Andelen klimatgaser med fossilt ursprung för avfall ()",'Egen hetvattenprod'!$B$1:$BX$1,0),FALSE),"")</f>
        <v/>
      </c>
      <c r="BH35" s="227" t="str">
        <f>IF($BF35="ja",VLOOKUP($B35,Kraftvärmeprod!$B$1:$BX$550,MATCH("Andelen klimatgaser med fossilt ursprung för avfall ()",Kraftvärmeprod!$B$1:$BX$1,0),FALSE),"")</f>
        <v/>
      </c>
      <c r="BI35" s="227" t="str">
        <f>IF($BF35="ja",VLOOKUP($B35,'Egen hetvattenprod'!$B$1:$BX$550,MATCH("Avfall (GWh)",'Egen hetvattenprod'!$B$1:$BX$1,0),FALSE),"")</f>
        <v/>
      </c>
      <c r="BJ35" s="227" t="str">
        <f>IF($BF35="ja",VLOOKUP($B35,'Slutlig allokering kvv'!$B$1:$BX$550,MATCH("Avfall (GWh)",'Slutlig allokering kvv'!$B$1:$BX$1,0),FALSE),"")</f>
        <v/>
      </c>
      <c r="BK35" s="227" t="str">
        <f>IF($BF35="ja",VLOOKUP($B35,'Köpt hetvatten'!$B$1:$BX$550,MATCH("Avfall i köpt hetvatten",'Köpt hetvatten'!$B$1:$BX$1,0),FALSE),"")</f>
        <v/>
      </c>
      <c r="BL35" s="227" t="str">
        <f>IF($BF35="ja",VLOOKUP($B35,'Egen hetvattenprod'!$B$1:$BX$550,MATCH("Värde enligt ovan. (%)",'Egen hetvattenprod'!$B$1:$BX$1,0),FALSE),"")</f>
        <v/>
      </c>
      <c r="BM35" s="227" t="str">
        <f>IF($BF35="ja",VLOOKUP($B35,Kraftvärmeprod!$B$1:$BX$550,MATCH("Värde enligt ovan. (%)",Kraftvärmeprod!$B$1:$BX$1,0),FALSE),"")</f>
        <v/>
      </c>
      <c r="BN35" s="227"/>
      <c r="BO35" s="227"/>
      <c r="BP35" s="227"/>
      <c r="BQ35" s="227" t="str">
        <f>IF($BF35="ja",VLOOKUP($B35,'Egen hetvattenprod'!$B$1:$BX$550,MATCH("Tillförd olja (fossil) vid avfallsförbränning (GWh)",'Egen hetvattenprod'!$B$1:$BX$1,0),FALSE),"")</f>
        <v/>
      </c>
      <c r="BR35" s="227" t="str">
        <f>IF($BF35="ja",VLOOKUP($B35,Kraftvärmeprod!$B$1:$BX$550,MATCH("Tillförd olja (fossil) vid avfallsförbränning (GWh)",Kraftvärmeprod!$B$1:$BX$1,0),FALSE),"")</f>
        <v/>
      </c>
      <c r="BS35" s="227"/>
      <c r="BT35" s="227"/>
      <c r="BU35" s="227"/>
    </row>
    <row r="36" spans="1:73" x14ac:dyDescent="0.25">
      <c r="A36" s="121" t="str">
        <f>'Miljövärden för publ företag'!B39</f>
        <v>Bollnäs Energi AB</v>
      </c>
      <c r="B36" s="121" t="str">
        <f>'Miljövärden för publ företag'!C39</f>
        <v>Bollnäs</v>
      </c>
      <c r="C36" s="173">
        <f>IFERROR(VLOOKUP($B36,Totalt!$B$1:$AQ$554,MATCH(C$2,Totalt!$B$1:$AQ$1,0),FALSE),"")</f>
        <v>0</v>
      </c>
      <c r="D36" s="173">
        <f>IFERROR(VLOOKUP($B36,Totalt!$B$1:$AQ$554,MATCH(D$2,Totalt!$B$1:$AQ$1,0),FALSE),"")</f>
        <v>1.968</v>
      </c>
      <c r="E36" s="173">
        <f>IFERROR(VLOOKUP($B36,Totalt!$B$1:$AQ$554,MATCH(E$2,Totalt!$B$1:$AQ$1,0),FALSE),"")</f>
        <v>0</v>
      </c>
      <c r="F36" s="173">
        <f>IFERROR(VLOOKUP($B36,Totalt!$B$1:$AQ$554,MATCH(F$2,Totalt!$B$1:$AQ$1,0),FALSE),"")</f>
        <v>0</v>
      </c>
      <c r="G36" s="173">
        <f>IFERROR(VLOOKUP($B36,Totalt!$B$1:$AQ$554,MATCH(G$2,Totalt!$B$1:$AQ$1,0),FALSE),"")</f>
        <v>0</v>
      </c>
      <c r="H36" s="173">
        <f>IFERROR(VLOOKUP($B36,Totalt!$B$1:$AQ$554,MATCH(H$2,Totalt!$B$1:$AQ$1,0),FALSE),"")</f>
        <v>0</v>
      </c>
      <c r="I36" s="173">
        <f>IFERROR(VLOOKUP($B36,Totalt!$B$1:$AQ$554,MATCH(I$2,Totalt!$B$1:$AQ$1,0),FALSE),"")</f>
        <v>89.510400000000004</v>
      </c>
      <c r="J36" s="173">
        <f>IFERROR(VLOOKUP($B36,Totalt!$B$1:$AQ$554,MATCH(J$2,Totalt!$B$1:$AQ$1,0),FALSE),"")</f>
        <v>0</v>
      </c>
      <c r="K36" s="173">
        <f>IFERROR(VLOOKUP($B36,Totalt!$B$1:$AQ$554,MATCH(K$2,Totalt!$B$1:$AQ$1,0),FALSE),"")</f>
        <v>0</v>
      </c>
      <c r="L36" s="173">
        <f>IFERROR(VLOOKUP($B36,Totalt!$B$1:$AQ$554,MATCH(L$2,Totalt!$B$1:$AQ$1,0),FALSE),"")</f>
        <v>29.662600000000001</v>
      </c>
      <c r="M36" s="173">
        <f>IFERROR(VLOOKUP($B36,Totalt!$B$1:$AQ$554,MATCH(M$2,Totalt!$B$1:$AQ$1,0),FALSE),"")</f>
        <v>1.2130099999999999</v>
      </c>
      <c r="N36" s="173">
        <f>IFERROR(VLOOKUP($B36,Totalt!$B$1:$AQ$554,MATCH(N$2,Totalt!$B$1:$AQ$1,0),FALSE),"")</f>
        <v>0</v>
      </c>
      <c r="O36" s="173">
        <f>IFERROR(VLOOKUP($B36,Totalt!$B$1:$AQ$554,MATCH(O$2,Totalt!$B$1:$AQ$1,0),FALSE),"")</f>
        <v>1.06</v>
      </c>
      <c r="P36" s="173">
        <f>IFERROR(VLOOKUP($B36,Totalt!$B$1:$AQ$554,MATCH(P$2,Totalt!$B$1:$AQ$1,0),FALSE),"")</f>
        <v>1.9</v>
      </c>
      <c r="Q36" s="173">
        <f>IFERROR(VLOOKUP($B36,Totalt!$B$1:$AQ$554,MATCH(Q$2,Totalt!$B$1:$AQ$1,0),FALSE),"")</f>
        <v>0</v>
      </c>
      <c r="R36" s="173">
        <f>IFERROR(VLOOKUP($B36,Totalt!$B$1:$AQ$554,MATCH(R$2,Totalt!$B$1:$AQ$1,0),FALSE),"")</f>
        <v>0</v>
      </c>
      <c r="S36" s="173">
        <f>IFERROR(VLOOKUP($B36,Totalt!$B$1:$AQ$554,MATCH(S$2,Totalt!$B$1:$AQ$1,0),FALSE),"")</f>
        <v>0</v>
      </c>
      <c r="T36" s="173">
        <f>IFERROR(VLOOKUP($B36,Totalt!$B$1:$AQ$554,MATCH(T$2,Totalt!$B$1:$AQ$1,0),FALSE),"")</f>
        <v>0</v>
      </c>
      <c r="U36" s="173">
        <f>IFERROR(VLOOKUP($B36,Totalt!$B$1:$AQ$554,MATCH(U$2,Totalt!$B$1:$AQ$1,0),FALSE),"")</f>
        <v>0</v>
      </c>
      <c r="V36" s="173">
        <f>IFERROR(VLOOKUP($B36,Totalt!$B$1:$AQ$554,MATCH(V$2,Totalt!$B$1:$AQ$1,0),FALSE),"")</f>
        <v>0</v>
      </c>
      <c r="W36" s="173">
        <f>IFERROR(VLOOKUP($B36,Totalt!$B$1:$AQ$554,MATCH(W$2,Totalt!$B$1:$AQ$1,0),FALSE),"")</f>
        <v>0</v>
      </c>
      <c r="X36" s="173">
        <f>IFERROR(VLOOKUP($B36,Totalt!$B$1:$AQ$554,MATCH(X$2,Totalt!$B$1:$AQ$1,0),FALSE),"")</f>
        <v>0</v>
      </c>
      <c r="Y36" s="173">
        <f>IFERROR(VLOOKUP($B36,Totalt!$B$1:$AQ$554,MATCH(Y$2,Totalt!$B$1:$AQ$1,0),FALSE),"")</f>
        <v>0</v>
      </c>
      <c r="Z36" s="173">
        <f>IFERROR(VLOOKUP($B36,Totalt!$B$1:$AQ$554,MATCH(Z$2,Totalt!$B$1:$AQ$1,0),FALSE),"")</f>
        <v>0</v>
      </c>
      <c r="AA36" s="173">
        <f>IFERROR(VLOOKUP($B36,Totalt!$B$1:$AQ$554,MATCH(AA$2,Totalt!$B$1:$AQ$1,0),FALSE),"")</f>
        <v>0</v>
      </c>
      <c r="AB36" s="173">
        <f>IFERROR(VLOOKUP($B36,Totalt!$B$1:$AQ$554,MATCH(AB$2,Totalt!$B$1:$AQ$1,0),FALSE),"")</f>
        <v>0</v>
      </c>
      <c r="AC36" s="173">
        <f>IFERROR(VLOOKUP($B36,Totalt!$B$1:$AQ$554,MATCH(AC$2,Totalt!$B$1:$AQ$1,0),FALSE),"")</f>
        <v>11.55</v>
      </c>
      <c r="AD36" s="173">
        <f>IFERROR(VLOOKUP($B36,Totalt!$B$1:$AQ$554,MATCH(AD$2,Totalt!$B$1:$AQ$1,0),FALSE),"")</f>
        <v>0</v>
      </c>
      <c r="AE36" s="173">
        <f>IFERROR(VLOOKUP($B36,Totalt!$B$1:$AQ$554,MATCH(AE$2,Totalt!$B$1:$AQ$1,0),FALSE),"")</f>
        <v>0</v>
      </c>
      <c r="AF36" s="173">
        <f>IFERROR(VLOOKUP($B36,Totalt!$B$1:$AQ$554,MATCH(AF$2,Totalt!$B$1:$AQ$1,0),FALSE),"")</f>
        <v>6.2804799999999998</v>
      </c>
      <c r="AG36" s="173">
        <f>IFERROR(VLOOKUP($B36,Totalt!$B$1:$AQ$554,MATCH(AG$2,Totalt!$B$1:$AQ$1,0),FALSE),"")</f>
        <v>0</v>
      </c>
      <c r="AI36" s="226">
        <f t="shared" si="0"/>
        <v>143.14449000000002</v>
      </c>
      <c r="AJ36" s="226">
        <f>IF(ISERROR(1/VLOOKUP($B36,Leveranser!$B$1:$S$500,MATCH("såld värme (gwh)",Leveranser!$B$1:$S$1,0),FALSE)),"",VLOOKUP($B36,Leveranser!$B$1:$S$500,MATCH("såld värme (gwh)",Leveranser!$B$1:$S$1,0),FALSE))</f>
        <v>125.789</v>
      </c>
      <c r="AM36" s="227" t="str">
        <f>IF(B36&lt;&gt;"",IF(VLOOKUP($B36,Totalt!$B$1:$AQ$554,MATCH("Kvalitetsgranskad:",Totalt!$B$1:$AQ$1,0),FALSE)="ja",VLOOKUP($B36,Miljö!$B$1:$AG$479,MATCH(AM$2,Miljö!$B$1:$AK$1,0),FALSE),""),"")</f>
        <v>Ja</v>
      </c>
      <c r="AN36" s="227" t="str">
        <f>IF(AM36="ja",VLOOKUP($B36,Miljö!$B$1:$J$479,MATCH("Typ av ursprungsspecificerad el   (Om inget värde anges används Nordisk residualmix, se inforuta) ()",Miljö!$B$1:$J$1,0),FALSE),IF(AM36="nej","Nordisk residualel",""))</f>
        <v>'Vattenkraft'</v>
      </c>
      <c r="AO36" s="227">
        <f>IF(AM36="","",VLOOKUP($B36,Miljö!$B$1:$J$479,MATCH("Fossilandel för ursprungspecificerad el ()",Miljö!$B$1:$J$1,0),FALSE))</f>
        <v>0</v>
      </c>
      <c r="AP36" s="227">
        <f>IF(AM36="","",IFERROR(VLOOKUP($B36,Miljö!$B$1:$J$479,MATCH("Kärnkraftsandel för ursprungsspecificerad el ()",Miljö!$B$1:$J$1,0),FALSE)/1,0))</f>
        <v>0</v>
      </c>
      <c r="AQ36" s="227">
        <f t="shared" si="1"/>
        <v>1</v>
      </c>
      <c r="AR36" s="227"/>
      <c r="AS36" s="227" t="str">
        <f t="shared" si="2"/>
        <v>Nej</v>
      </c>
      <c r="AT36" s="227" t="str">
        <f>IF(AS36="ja",VLOOKUP($B36,Miljö!$B$1:$O$500,MATCH("Fossil andel i procent (%)",Miljö!$B$1:$O$1,0),FALSE)/100,"")</f>
        <v/>
      </c>
      <c r="AU36" s="227"/>
      <c r="AV36" s="227" t="str">
        <f t="shared" si="3"/>
        <v>Nej</v>
      </c>
      <c r="AW36" s="227" t="str">
        <f>IF(AV36="ja",VLOOKUP($B36,'Egen hetvattenprod'!$B$1:$AO$500,MATCH("Värmekälla till värmepumpar ()",'Egen hetvattenprod'!$B$1:$AO$1,0),FALSE),"")</f>
        <v/>
      </c>
      <c r="AX36" s="227"/>
      <c r="AY36" s="227" t="str">
        <f t="shared" si="4"/>
        <v>Ja</v>
      </c>
      <c r="AZ36" s="228">
        <f>IF($AY36="ja",(VLOOKUP($B36,'Egen hetvattenprod'!$B$1:$BX$550,MATCH(AZ$2,'Egen hetvattenprod'!$B$1:$BX$1,0),FALSE)+VLOOKUP($B36,Kraftvärmeprod!$B$1:$BX$550,MATCH(AZ$2,Kraftvärmeprod!$B$1:$BX$1,0),FALSE))/$AC36,"")</f>
        <v>3.7742857142857147E-2</v>
      </c>
      <c r="BA36" s="228">
        <f>IF($AY36="ja",(VLOOKUP($B36,'Egen hetvattenprod'!$B$1:$BX$550,MATCH(BA$2,'Egen hetvattenprod'!$B$1:$BX$1,0),FALSE)+VLOOKUP($B36,Kraftvärmeprod!$B$1:$BX$550,MATCH(BA$2,Kraftvärmeprod!$B$1:$BX$1,0),FALSE))/$AC36,"")</f>
        <v>0.95950649350649342</v>
      </c>
      <c r="BB36" s="228">
        <f>IF($AY36="ja",(VLOOKUP($B36,'Egen hetvattenprod'!$B$1:$BX$550,MATCH(BB$2,'Egen hetvattenprod'!$B$1:$BX$1,0),FALSE)+VLOOKUP($B36,Kraftvärmeprod!$B$1:$BX$550,MATCH(BB$2,Kraftvärmeprod!$B$1:$BX$1,0),FALSE))/$AC36,"")</f>
        <v>2.7506493506493502E-3</v>
      </c>
      <c r="BC36" s="228">
        <f>IF($AY36="ja",(VLOOKUP($B36,'Egen hetvattenprod'!$B$1:$BX$550,MATCH(BC$2,'Egen hetvattenprod'!$B$1:$BX$1,0),FALSE)+VLOOKUP($B36,Kraftvärmeprod!$B$1:$BX$550,MATCH(BC$2,Kraftvärmeprod!$B$1:$BX$1,0),FALSE))/$AC36,"")</f>
        <v>0</v>
      </c>
      <c r="BD36" s="228">
        <f>IF($AY36="ja",(VLOOKUP($B36,'Egen hetvattenprod'!$B$1:$BX$550,MATCH(BD$2,'Egen hetvattenprod'!$B$1:$BX$1,0),FALSE)+VLOOKUP($B36,Kraftvärmeprod!$B$1:$BX$550,MATCH(BD$2,Kraftvärmeprod!$B$1:$BX$1,0),FALSE))/$AC36,"")</f>
        <v>0</v>
      </c>
      <c r="BE36" s="227"/>
      <c r="BF36" s="227" t="str">
        <f t="shared" si="5"/>
        <v>Ja</v>
      </c>
      <c r="BG36" s="227" t="str">
        <f>IF($BF36="ja",VLOOKUP($B36,'Egen hetvattenprod'!$B$1:$BX$550,MATCH("Andelen klimatgaser med fossilt ursprung för avfall ()",'Egen hetvattenprod'!$B$1:$BX$1,0),FALSE),"")</f>
        <v>Schablon</v>
      </c>
      <c r="BH36" s="227" t="str">
        <f>IF($BF36="ja",VLOOKUP($B36,Kraftvärmeprod!$B$1:$BX$550,MATCH("Andelen klimatgaser med fossilt ursprung för avfall ()",Kraftvärmeprod!$B$1:$BX$1,0),FALSE),"")</f>
        <v>Schablon</v>
      </c>
      <c r="BI36" s="227">
        <f>IF($BF36="ja",VLOOKUP($B36,'Egen hetvattenprod'!$B$1:$BX$550,MATCH("Avfall (GWh)",'Egen hetvattenprod'!$B$1:$BX$1,0),FALSE),"")</f>
        <v>4.04</v>
      </c>
      <c r="BJ36" s="227">
        <f>IF($BF36="ja",VLOOKUP($B36,'Slutlig allokering kvv'!$B$1:$BX$550,MATCH("Avfall (GWh)",'Slutlig allokering kvv'!$B$1:$BX$1,0),FALSE),"")</f>
        <v>85.470399999999998</v>
      </c>
      <c r="BK36" s="227">
        <f>IF($BF36="ja",VLOOKUP($B36,'Köpt hetvatten'!$B$1:$BX$550,MATCH("Avfall i köpt hetvatten",'Köpt hetvatten'!$B$1:$BX$1,0),FALSE),"")</f>
        <v>0</v>
      </c>
      <c r="BL36" s="227">
        <f>IF($BF36="ja",VLOOKUP($B36,'Egen hetvattenprod'!$B$1:$BX$550,MATCH("Värde enligt ovan. (%)",'Egen hetvattenprod'!$B$1:$BX$1,0),FALSE),"")</f>
        <v>40.5</v>
      </c>
      <c r="BM36" s="227">
        <f>IF($BF36="ja",VLOOKUP($B36,Kraftvärmeprod!$B$1:$BX$550,MATCH("Värde enligt ovan. (%)",Kraftvärmeprod!$B$1:$BX$1,0),FALSE),"")</f>
        <v>40.5</v>
      </c>
      <c r="BN36" s="227"/>
      <c r="BO36" s="227"/>
      <c r="BP36" s="227"/>
      <c r="BQ36" s="227" t="str">
        <f>IF($BF36="ja",VLOOKUP($B36,'Egen hetvattenprod'!$B$1:$BX$550,MATCH("Tillförd olja (fossil) vid avfallsförbränning (GWh)",'Egen hetvattenprod'!$B$1:$BX$1,0),FALSE),"")</f>
        <v>ET</v>
      </c>
      <c r="BR36" s="227">
        <f>IF($BF36="ja",VLOOKUP($B36,Kraftvärmeprod!$B$1:$BX$550,MATCH("Tillförd olja (fossil) vid avfallsförbränning (GWh)",Kraftvärmeprod!$B$1:$BX$1,0),FALSE),"")</f>
        <v>1.31</v>
      </c>
      <c r="BS36" s="227"/>
      <c r="BT36" s="227"/>
      <c r="BU36" s="227"/>
    </row>
    <row r="37" spans="1:73" x14ac:dyDescent="0.25">
      <c r="A37" s="121" t="str">
        <f>'Miljövärden för publ företag'!B40</f>
        <v>Bollnäs Energi AB</v>
      </c>
      <c r="B37" s="121" t="str">
        <f>'Miljövärden för publ företag'!C40</f>
        <v>Kilafors</v>
      </c>
      <c r="C37" s="173">
        <f>IFERROR(VLOOKUP($B37,Totalt!$B$1:$AQ$554,MATCH(C$2,Totalt!$B$1:$AQ$1,0),FALSE),"")</f>
        <v>0</v>
      </c>
      <c r="D37" s="173">
        <f>IFERROR(VLOOKUP($B37,Totalt!$B$1:$AQ$554,MATCH(D$2,Totalt!$B$1:$AQ$1,0),FALSE),"")</f>
        <v>0.24</v>
      </c>
      <c r="E37" s="173">
        <f>IFERROR(VLOOKUP($B37,Totalt!$B$1:$AQ$554,MATCH(E$2,Totalt!$B$1:$AQ$1,0),FALSE),"")</f>
        <v>0</v>
      </c>
      <c r="F37" s="173">
        <f>IFERROR(VLOOKUP($B37,Totalt!$B$1:$AQ$554,MATCH(F$2,Totalt!$B$1:$AQ$1,0),FALSE),"")</f>
        <v>0</v>
      </c>
      <c r="G37" s="173">
        <f>IFERROR(VLOOKUP($B37,Totalt!$B$1:$AQ$554,MATCH(G$2,Totalt!$B$1:$AQ$1,0),FALSE),"")</f>
        <v>0</v>
      </c>
      <c r="H37" s="173">
        <f>IFERROR(VLOOKUP($B37,Totalt!$B$1:$AQ$554,MATCH(H$2,Totalt!$B$1:$AQ$1,0),FALSE),"")</f>
        <v>0</v>
      </c>
      <c r="I37" s="173">
        <f>IFERROR(VLOOKUP($B37,Totalt!$B$1:$AQ$554,MATCH(I$2,Totalt!$B$1:$AQ$1,0),FALSE),"")</f>
        <v>0</v>
      </c>
      <c r="J37" s="173">
        <f>IFERROR(VLOOKUP($B37,Totalt!$B$1:$AQ$554,MATCH(J$2,Totalt!$B$1:$AQ$1,0),FALSE),"")</f>
        <v>0</v>
      </c>
      <c r="K37" s="173">
        <f>IFERROR(VLOOKUP($B37,Totalt!$B$1:$AQ$554,MATCH(K$2,Totalt!$B$1:$AQ$1,0),FALSE),"")</f>
        <v>0</v>
      </c>
      <c r="L37" s="173">
        <f>IFERROR(VLOOKUP($B37,Totalt!$B$1:$AQ$554,MATCH(L$2,Totalt!$B$1:$AQ$1,0),FALSE),"")</f>
        <v>0</v>
      </c>
      <c r="M37" s="173">
        <f>IFERROR(VLOOKUP($B37,Totalt!$B$1:$AQ$554,MATCH(M$2,Totalt!$B$1:$AQ$1,0),FALSE),"")</f>
        <v>12</v>
      </c>
      <c r="N37" s="173">
        <f>IFERROR(VLOOKUP($B37,Totalt!$B$1:$AQ$554,MATCH(N$2,Totalt!$B$1:$AQ$1,0),FALSE),"")</f>
        <v>0</v>
      </c>
      <c r="O37" s="173">
        <f>IFERROR(VLOOKUP($B37,Totalt!$B$1:$AQ$554,MATCH(O$2,Totalt!$B$1:$AQ$1,0),FALSE),"")</f>
        <v>12.75</v>
      </c>
      <c r="P37" s="173">
        <f>IFERROR(VLOOKUP($B37,Totalt!$B$1:$AQ$554,MATCH(P$2,Totalt!$B$1:$AQ$1,0),FALSE),"")</f>
        <v>1</v>
      </c>
      <c r="Q37" s="173">
        <f>IFERROR(VLOOKUP($B37,Totalt!$B$1:$AQ$554,MATCH(Q$2,Totalt!$B$1:$AQ$1,0),FALSE),"")</f>
        <v>0</v>
      </c>
      <c r="R37" s="173">
        <f>IFERROR(VLOOKUP($B37,Totalt!$B$1:$AQ$554,MATCH(R$2,Totalt!$B$1:$AQ$1,0),FALSE),"")</f>
        <v>0</v>
      </c>
      <c r="S37" s="173">
        <f>IFERROR(VLOOKUP($B37,Totalt!$B$1:$AQ$554,MATCH(S$2,Totalt!$B$1:$AQ$1,0),FALSE),"")</f>
        <v>0</v>
      </c>
      <c r="T37" s="173">
        <f>IFERROR(VLOOKUP($B37,Totalt!$B$1:$AQ$554,MATCH(T$2,Totalt!$B$1:$AQ$1,0),FALSE),"")</f>
        <v>0</v>
      </c>
      <c r="U37" s="173">
        <f>IFERROR(VLOOKUP($B37,Totalt!$B$1:$AQ$554,MATCH(U$2,Totalt!$B$1:$AQ$1,0),FALSE),"")</f>
        <v>0</v>
      </c>
      <c r="V37" s="173">
        <f>IFERROR(VLOOKUP($B37,Totalt!$B$1:$AQ$554,MATCH(V$2,Totalt!$B$1:$AQ$1,0),FALSE),"")</f>
        <v>0</v>
      </c>
      <c r="W37" s="173">
        <f>IFERROR(VLOOKUP($B37,Totalt!$B$1:$AQ$554,MATCH(W$2,Totalt!$B$1:$AQ$1,0),FALSE),"")</f>
        <v>0</v>
      </c>
      <c r="X37" s="173">
        <f>IFERROR(VLOOKUP($B37,Totalt!$B$1:$AQ$554,MATCH(X$2,Totalt!$B$1:$AQ$1,0),FALSE),"")</f>
        <v>0</v>
      </c>
      <c r="Y37" s="173">
        <f>IFERROR(VLOOKUP($B37,Totalt!$B$1:$AQ$554,MATCH(Y$2,Totalt!$B$1:$AQ$1,0),FALSE),"")</f>
        <v>0</v>
      </c>
      <c r="Z37" s="173">
        <f>IFERROR(VLOOKUP($B37,Totalt!$B$1:$AQ$554,MATCH(Z$2,Totalt!$B$1:$AQ$1,0),FALSE),"")</f>
        <v>0</v>
      </c>
      <c r="AA37" s="173">
        <f>IFERROR(VLOOKUP($B37,Totalt!$B$1:$AQ$554,MATCH(AA$2,Totalt!$B$1:$AQ$1,0),FALSE),"")</f>
        <v>0</v>
      </c>
      <c r="AB37" s="173">
        <f>IFERROR(VLOOKUP($B37,Totalt!$B$1:$AQ$554,MATCH(AB$2,Totalt!$B$1:$AQ$1,0),FALSE),"")</f>
        <v>0</v>
      </c>
      <c r="AC37" s="173">
        <f>IFERROR(VLOOKUP($B37,Totalt!$B$1:$AQ$554,MATCH(AC$2,Totalt!$B$1:$AQ$1,0),FALSE),"")</f>
        <v>3.33</v>
      </c>
      <c r="AD37" s="173">
        <f>IFERROR(VLOOKUP($B37,Totalt!$B$1:$AQ$554,MATCH(AD$2,Totalt!$B$1:$AQ$1,0),FALSE),"")</f>
        <v>0</v>
      </c>
      <c r="AE37" s="173">
        <f>IFERROR(VLOOKUP($B37,Totalt!$B$1:$AQ$554,MATCH(AE$2,Totalt!$B$1:$AQ$1,0),FALSE),"")</f>
        <v>0</v>
      </c>
      <c r="AF37" s="173">
        <f>IFERROR(VLOOKUP($B37,Totalt!$B$1:$AQ$554,MATCH(AF$2,Totalt!$B$1:$AQ$1,0),FALSE),"")</f>
        <v>0.58399999999999996</v>
      </c>
      <c r="AG37" s="173">
        <f>IFERROR(VLOOKUP($B37,Totalt!$B$1:$AQ$554,MATCH(AG$2,Totalt!$B$1:$AQ$1,0),FALSE),"")</f>
        <v>0</v>
      </c>
      <c r="AI37" s="226">
        <f t="shared" si="0"/>
        <v>29.904</v>
      </c>
      <c r="AJ37" s="226">
        <f>IF(ISERROR(1/VLOOKUP($B37,Leveranser!$B$1:$S$500,MATCH("såld värme (gwh)",Leveranser!$B$1:$S$1,0),FALSE)),"",VLOOKUP($B37,Leveranser!$B$1:$S$500,MATCH("såld värme (gwh)",Leveranser!$B$1:$S$1,0),FALSE))</f>
        <v>22.678999999999998</v>
      </c>
      <c r="AM37" s="227" t="str">
        <f>IF(B37&lt;&gt;"",IF(VLOOKUP($B37,Totalt!$B$1:$AQ$554,MATCH("Kvalitetsgranskad:",Totalt!$B$1:$AQ$1,0),FALSE)="ja",VLOOKUP($B37,Miljö!$B$1:$AG$479,MATCH(AM$2,Miljö!$B$1:$AK$1,0),FALSE),""),"")</f>
        <v>Ja</v>
      </c>
      <c r="AN37" s="227" t="str">
        <f>IF(AM37="ja",VLOOKUP($B37,Miljö!$B$1:$J$479,MATCH("Typ av ursprungsspecificerad el   (Om inget värde anges används Nordisk residualmix, se inforuta) ()",Miljö!$B$1:$J$1,0),FALSE),IF(AM37="nej","Nordisk residualel",""))</f>
        <v>'Vattenkraft'</v>
      </c>
      <c r="AO37" s="227">
        <f>IF(AM37="","",VLOOKUP($B37,Miljö!$B$1:$J$479,MATCH("Fossilandel för ursprungspecificerad el ()",Miljö!$B$1:$J$1,0),FALSE))</f>
        <v>0</v>
      </c>
      <c r="AP37" s="227">
        <f>IF(AM37="","",IFERROR(VLOOKUP($B37,Miljö!$B$1:$J$479,MATCH("Kärnkraftsandel för ursprungsspecificerad el ()",Miljö!$B$1:$J$1,0),FALSE)/1,0))</f>
        <v>0</v>
      </c>
      <c r="AQ37" s="227">
        <f t="shared" si="1"/>
        <v>1</v>
      </c>
      <c r="AR37" s="227"/>
      <c r="AS37" s="227" t="str">
        <f t="shared" si="2"/>
        <v>Nej</v>
      </c>
      <c r="AT37" s="227" t="str">
        <f>IF(AS37="ja",VLOOKUP($B37,Miljö!$B$1:$O$500,MATCH("Fossil andel i procent (%)",Miljö!$B$1:$O$1,0),FALSE)/100,"")</f>
        <v/>
      </c>
      <c r="AU37" s="227"/>
      <c r="AV37" s="227" t="str">
        <f t="shared" si="3"/>
        <v>Nej</v>
      </c>
      <c r="AW37" s="227" t="str">
        <f>IF(AV37="ja",VLOOKUP($B37,'Egen hetvattenprod'!$B$1:$AO$500,MATCH("Värmekälla till värmepumpar ()",'Egen hetvattenprod'!$B$1:$AO$1,0),FALSE),"")</f>
        <v/>
      </c>
      <c r="AX37" s="227"/>
      <c r="AY37" s="227" t="str">
        <f t="shared" si="4"/>
        <v>Ja</v>
      </c>
      <c r="AZ37" s="228">
        <f>IF($AY37="ja",(VLOOKUP($B37,'Egen hetvattenprod'!$B$1:$BX$550,MATCH(AZ$2,'Egen hetvattenprod'!$B$1:$BX$1,0),FALSE)+VLOOKUP($B37,Kraftvärmeprod!$B$1:$BX$550,MATCH(AZ$2,Kraftvärmeprod!$B$1:$BX$1,0),FALSE))/$AC37,"")</f>
        <v>1</v>
      </c>
      <c r="BA37" s="228">
        <f>IF($AY37="ja",(VLOOKUP($B37,'Egen hetvattenprod'!$B$1:$BX$550,MATCH(BA$2,'Egen hetvattenprod'!$B$1:$BX$1,0),FALSE)+VLOOKUP($B37,Kraftvärmeprod!$B$1:$BX$550,MATCH(BA$2,Kraftvärmeprod!$B$1:$BX$1,0),FALSE))/$AC37,"")</f>
        <v>0</v>
      </c>
      <c r="BB37" s="228">
        <f>IF($AY37="ja",(VLOOKUP($B37,'Egen hetvattenprod'!$B$1:$BX$550,MATCH(BB$2,'Egen hetvattenprod'!$B$1:$BX$1,0),FALSE)+VLOOKUP($B37,Kraftvärmeprod!$B$1:$BX$550,MATCH(BB$2,Kraftvärmeprod!$B$1:$BX$1,0),FALSE))/$AC37,"")</f>
        <v>0</v>
      </c>
      <c r="BC37" s="228">
        <f>IF($AY37="ja",(VLOOKUP($B37,'Egen hetvattenprod'!$B$1:$BX$550,MATCH(BC$2,'Egen hetvattenprod'!$B$1:$BX$1,0),FALSE)+VLOOKUP($B37,Kraftvärmeprod!$B$1:$BX$550,MATCH(BC$2,Kraftvärmeprod!$B$1:$BX$1,0),FALSE))/$AC37,"")</f>
        <v>0</v>
      </c>
      <c r="BD37" s="228">
        <f>IF($AY37="ja",(VLOOKUP($B37,'Egen hetvattenprod'!$B$1:$BX$550,MATCH(BD$2,'Egen hetvattenprod'!$B$1:$BX$1,0),FALSE)+VLOOKUP($B37,Kraftvärmeprod!$B$1:$BX$550,MATCH(BD$2,Kraftvärmeprod!$B$1:$BX$1,0),FALSE))/$AC37,"")</f>
        <v>0</v>
      </c>
      <c r="BE37" s="227"/>
      <c r="BF37" s="227" t="str">
        <f t="shared" si="5"/>
        <v>Nej</v>
      </c>
      <c r="BG37" s="227" t="str">
        <f>IF($BF37="ja",VLOOKUP($B37,'Egen hetvattenprod'!$B$1:$BX$550,MATCH("Andelen klimatgaser med fossilt ursprung för avfall ()",'Egen hetvattenprod'!$B$1:$BX$1,0),FALSE),"")</f>
        <v/>
      </c>
      <c r="BH37" s="227" t="str">
        <f>IF($BF37="ja",VLOOKUP($B37,Kraftvärmeprod!$B$1:$BX$550,MATCH("Andelen klimatgaser med fossilt ursprung för avfall ()",Kraftvärmeprod!$B$1:$BX$1,0),FALSE),"")</f>
        <v/>
      </c>
      <c r="BI37" s="227" t="str">
        <f>IF($BF37="ja",VLOOKUP($B37,'Egen hetvattenprod'!$B$1:$BX$550,MATCH("Avfall (GWh)",'Egen hetvattenprod'!$B$1:$BX$1,0),FALSE),"")</f>
        <v/>
      </c>
      <c r="BJ37" s="227" t="str">
        <f>IF($BF37="ja",VLOOKUP($B37,'Slutlig allokering kvv'!$B$1:$BX$550,MATCH("Avfall (GWh)",'Slutlig allokering kvv'!$B$1:$BX$1,0),FALSE),"")</f>
        <v/>
      </c>
      <c r="BK37" s="227" t="str">
        <f>IF($BF37="ja",VLOOKUP($B37,'Köpt hetvatten'!$B$1:$BX$550,MATCH("Avfall i köpt hetvatten",'Köpt hetvatten'!$B$1:$BX$1,0),FALSE),"")</f>
        <v/>
      </c>
      <c r="BL37" s="227" t="str">
        <f>IF($BF37="ja",VLOOKUP($B37,'Egen hetvattenprod'!$B$1:$BX$550,MATCH("Värde enligt ovan. (%)",'Egen hetvattenprod'!$B$1:$BX$1,0),FALSE),"")</f>
        <v/>
      </c>
      <c r="BM37" s="227" t="str">
        <f>IF($BF37="ja",VLOOKUP($B37,Kraftvärmeprod!$B$1:$BX$550,MATCH("Värde enligt ovan. (%)",Kraftvärmeprod!$B$1:$BX$1,0),FALSE),"")</f>
        <v/>
      </c>
      <c r="BN37" s="227"/>
      <c r="BO37" s="227"/>
      <c r="BP37" s="227"/>
      <c r="BQ37" s="227" t="str">
        <f>IF($BF37="ja",VLOOKUP($B37,'Egen hetvattenprod'!$B$1:$BX$550,MATCH("Tillförd olja (fossil) vid avfallsförbränning (GWh)",'Egen hetvattenprod'!$B$1:$BX$1,0),FALSE),"")</f>
        <v/>
      </c>
      <c r="BR37" s="227" t="str">
        <f>IF($BF37="ja",VLOOKUP($B37,Kraftvärmeprod!$B$1:$BX$550,MATCH("Tillförd olja (fossil) vid avfallsförbränning (GWh)",Kraftvärmeprod!$B$1:$BX$1,0),FALSE),"")</f>
        <v/>
      </c>
      <c r="BS37" s="227"/>
      <c r="BT37" s="227"/>
      <c r="BU37" s="227"/>
    </row>
    <row r="38" spans="1:73" x14ac:dyDescent="0.25">
      <c r="A38" s="121" t="str">
        <f>'Miljövärden för publ företag'!B41</f>
        <v>Borgholm Energi AB</v>
      </c>
      <c r="B38" s="121" t="str">
        <f>'Miljövärden för publ företag'!C41</f>
        <v>Borgholm</v>
      </c>
      <c r="C38" s="173">
        <f>IFERROR(VLOOKUP($B38,Totalt!$B$1:$AQ$554,MATCH(C$2,Totalt!$B$1:$AQ$1,0),FALSE),"")</f>
        <v>0</v>
      </c>
      <c r="D38" s="173">
        <f>IFERROR(VLOOKUP($B38,Totalt!$B$1:$AQ$554,MATCH(D$2,Totalt!$B$1:$AQ$1,0),FALSE),"")</f>
        <v>2.5000000000000001E-2</v>
      </c>
      <c r="E38" s="173">
        <f>IFERROR(VLOOKUP($B38,Totalt!$B$1:$AQ$554,MATCH(E$2,Totalt!$B$1:$AQ$1,0),FALSE),"")</f>
        <v>0</v>
      </c>
      <c r="F38" s="173">
        <f>IFERROR(VLOOKUP($B38,Totalt!$B$1:$AQ$554,MATCH(F$2,Totalt!$B$1:$AQ$1,0),FALSE),"")</f>
        <v>0</v>
      </c>
      <c r="G38" s="173">
        <f>IFERROR(VLOOKUP($B38,Totalt!$B$1:$AQ$554,MATCH(G$2,Totalt!$B$1:$AQ$1,0),FALSE),"")</f>
        <v>0</v>
      </c>
      <c r="H38" s="173">
        <f>IFERROR(VLOOKUP($B38,Totalt!$B$1:$AQ$554,MATCH(H$2,Totalt!$B$1:$AQ$1,0),FALSE),"")</f>
        <v>0</v>
      </c>
      <c r="I38" s="173">
        <f>IFERROR(VLOOKUP($B38,Totalt!$B$1:$AQ$554,MATCH(I$2,Totalt!$B$1:$AQ$1,0),FALSE),"")</f>
        <v>0</v>
      </c>
      <c r="J38" s="173">
        <f>IFERROR(VLOOKUP($B38,Totalt!$B$1:$AQ$554,MATCH(J$2,Totalt!$B$1:$AQ$1,0),FALSE),"")</f>
        <v>0</v>
      </c>
      <c r="K38" s="173">
        <f>IFERROR(VLOOKUP($B38,Totalt!$B$1:$AQ$554,MATCH(K$2,Totalt!$B$1:$AQ$1,0),FALSE),"")</f>
        <v>0</v>
      </c>
      <c r="L38" s="173">
        <f>IFERROR(VLOOKUP($B38,Totalt!$B$1:$AQ$554,MATCH(L$2,Totalt!$B$1:$AQ$1,0),FALSE),"")</f>
        <v>0</v>
      </c>
      <c r="M38" s="173">
        <f>IFERROR(VLOOKUP($B38,Totalt!$B$1:$AQ$554,MATCH(M$2,Totalt!$B$1:$AQ$1,0),FALSE),"")</f>
        <v>0</v>
      </c>
      <c r="N38" s="173">
        <f>IFERROR(VLOOKUP($B38,Totalt!$B$1:$AQ$554,MATCH(N$2,Totalt!$B$1:$AQ$1,0),FALSE),"")</f>
        <v>0</v>
      </c>
      <c r="O38" s="173">
        <f>IFERROR(VLOOKUP($B38,Totalt!$B$1:$AQ$554,MATCH(O$2,Totalt!$B$1:$AQ$1,0),FALSE),"")</f>
        <v>0</v>
      </c>
      <c r="P38" s="173">
        <f>IFERROR(VLOOKUP($B38,Totalt!$B$1:$AQ$554,MATCH(P$2,Totalt!$B$1:$AQ$1,0),FALSE),"")</f>
        <v>26.951000000000001</v>
      </c>
      <c r="Q38" s="173">
        <f>IFERROR(VLOOKUP($B38,Totalt!$B$1:$AQ$554,MATCH(Q$2,Totalt!$B$1:$AQ$1,0),FALSE),"")</f>
        <v>0</v>
      </c>
      <c r="R38" s="173">
        <f>IFERROR(VLOOKUP($B38,Totalt!$B$1:$AQ$554,MATCH(R$2,Totalt!$B$1:$AQ$1,0),FALSE),"")</f>
        <v>0</v>
      </c>
      <c r="S38" s="173">
        <f>IFERROR(VLOOKUP($B38,Totalt!$B$1:$AQ$554,MATCH(S$2,Totalt!$B$1:$AQ$1,0),FALSE),"")</f>
        <v>0</v>
      </c>
      <c r="T38" s="173">
        <f>IFERROR(VLOOKUP($B38,Totalt!$B$1:$AQ$554,MATCH(T$2,Totalt!$B$1:$AQ$1,0),FALSE),"")</f>
        <v>0</v>
      </c>
      <c r="U38" s="173">
        <f>IFERROR(VLOOKUP($B38,Totalt!$B$1:$AQ$554,MATCH(U$2,Totalt!$B$1:$AQ$1,0),FALSE),"")</f>
        <v>0</v>
      </c>
      <c r="V38" s="173">
        <f>IFERROR(VLOOKUP($B38,Totalt!$B$1:$AQ$554,MATCH(V$2,Totalt!$B$1:$AQ$1,0),FALSE),"")</f>
        <v>0</v>
      </c>
      <c r="W38" s="173">
        <f>IFERROR(VLOOKUP($B38,Totalt!$B$1:$AQ$554,MATCH(W$2,Totalt!$B$1:$AQ$1,0),FALSE),"")</f>
        <v>0</v>
      </c>
      <c r="X38" s="173">
        <f>IFERROR(VLOOKUP($B38,Totalt!$B$1:$AQ$554,MATCH(X$2,Totalt!$B$1:$AQ$1,0),FALSE),"")</f>
        <v>0</v>
      </c>
      <c r="Y38" s="173">
        <f>IFERROR(VLOOKUP($B38,Totalt!$B$1:$AQ$554,MATCH(Y$2,Totalt!$B$1:$AQ$1,0),FALSE),"")</f>
        <v>0</v>
      </c>
      <c r="Z38" s="173">
        <f>IFERROR(VLOOKUP($B38,Totalt!$B$1:$AQ$554,MATCH(Z$2,Totalt!$B$1:$AQ$1,0),FALSE),"")</f>
        <v>0</v>
      </c>
      <c r="AA38" s="173">
        <f>IFERROR(VLOOKUP($B38,Totalt!$B$1:$AQ$554,MATCH(AA$2,Totalt!$B$1:$AQ$1,0),FALSE),"")</f>
        <v>0</v>
      </c>
      <c r="AB38" s="173">
        <f>IFERROR(VLOOKUP($B38,Totalt!$B$1:$AQ$554,MATCH(AB$2,Totalt!$B$1:$AQ$1,0),FALSE),"")</f>
        <v>0</v>
      </c>
      <c r="AC38" s="173">
        <f>IFERROR(VLOOKUP($B38,Totalt!$B$1:$AQ$554,MATCH(AC$2,Totalt!$B$1:$AQ$1,0),FALSE),"")</f>
        <v>4.7210000000000001</v>
      </c>
      <c r="AD38" s="173">
        <f>IFERROR(VLOOKUP($B38,Totalt!$B$1:$AQ$554,MATCH(AD$2,Totalt!$B$1:$AQ$1,0),FALSE),"")</f>
        <v>0</v>
      </c>
      <c r="AE38" s="173">
        <f>IFERROR(VLOOKUP($B38,Totalt!$B$1:$AQ$554,MATCH(AE$2,Totalt!$B$1:$AQ$1,0),FALSE),"")</f>
        <v>0</v>
      </c>
      <c r="AF38" s="173">
        <f>IFERROR(VLOOKUP($B38,Totalt!$B$1:$AQ$554,MATCH(AF$2,Totalt!$B$1:$AQ$1,0),FALSE),"")</f>
        <v>0.75185999999999997</v>
      </c>
      <c r="AG38" s="173">
        <f>IFERROR(VLOOKUP($B38,Totalt!$B$1:$AQ$554,MATCH(AG$2,Totalt!$B$1:$AQ$1,0),FALSE),"")</f>
        <v>0</v>
      </c>
      <c r="AI38" s="226">
        <f t="shared" si="0"/>
        <v>32.448859999999996</v>
      </c>
      <c r="AJ38" s="226">
        <f>IF(ISERROR(1/VLOOKUP($B38,Leveranser!$B$1:$S$500,MATCH("såld värme (gwh)",Leveranser!$B$1:$S$1,0),FALSE)),"",VLOOKUP($B38,Leveranser!$B$1:$S$500,MATCH("såld värme (gwh)",Leveranser!$B$1:$S$1,0),FALSE))</f>
        <v>25.062000000000001</v>
      </c>
      <c r="AM38" s="227" t="str">
        <f>IF(B38&lt;&gt;"",IF(VLOOKUP($B38,Totalt!$B$1:$AQ$554,MATCH("Kvalitetsgranskad:",Totalt!$B$1:$AQ$1,0),FALSE)="ja",VLOOKUP($B38,Miljö!$B$1:$AG$479,MATCH(AM$2,Miljö!$B$1:$AK$1,0),FALSE),""),"")</f>
        <v>Nej</v>
      </c>
      <c r="AN38" s="227" t="str">
        <f>IF(AM38="ja",VLOOKUP($B38,Miljö!$B$1:$J$479,MATCH("Typ av ursprungsspecificerad el   (Om inget värde anges används Nordisk residualmix, se inforuta) ()",Miljö!$B$1:$J$1,0),FALSE),IF(AM38="nej","Nordisk residualel",""))</f>
        <v>Nordisk residualel</v>
      </c>
      <c r="AO38" s="227">
        <f>IF(AM38="","",VLOOKUP($B38,Miljö!$B$1:$J$479,MATCH("Fossilandel för ursprungspecificerad el ()",Miljö!$B$1:$J$1,0),FALSE))</f>
        <v>0.43</v>
      </c>
      <c r="AP38" s="227">
        <f>IF(AM38="","",IFERROR(VLOOKUP($B38,Miljö!$B$1:$J$479,MATCH("Kärnkraftsandel för ursprungsspecificerad el ()",Miljö!$B$1:$J$1,0),FALSE)/1,0))</f>
        <v>0.40550000000000003</v>
      </c>
      <c r="AQ38" s="227">
        <f t="shared" si="1"/>
        <v>0.16450000000000004</v>
      </c>
      <c r="AR38" s="227"/>
      <c r="AS38" s="227" t="str">
        <f t="shared" si="2"/>
        <v>Nej</v>
      </c>
      <c r="AT38" s="227" t="str">
        <f>IF(AS38="ja",VLOOKUP($B38,Miljö!$B$1:$O$500,MATCH("Fossil andel i procent (%)",Miljö!$B$1:$O$1,0),FALSE)/100,"")</f>
        <v/>
      </c>
      <c r="AU38" s="227"/>
      <c r="AV38" s="227" t="str">
        <f t="shared" si="3"/>
        <v>Nej</v>
      </c>
      <c r="AW38" s="227" t="str">
        <f>IF(AV38="ja",VLOOKUP($B38,'Egen hetvattenprod'!$B$1:$AO$500,MATCH("Värmekälla till värmepumpar ()",'Egen hetvattenprod'!$B$1:$AO$1,0),FALSE),"")</f>
        <v/>
      </c>
      <c r="AX38" s="227"/>
      <c r="AY38" s="227" t="str">
        <f t="shared" si="4"/>
        <v>Ja</v>
      </c>
      <c r="AZ38" s="228">
        <f>IF($AY38="ja",(VLOOKUP($B38,'Egen hetvattenprod'!$B$1:$BX$550,MATCH(AZ$2,'Egen hetvattenprod'!$B$1:$BX$1,0),FALSE)+VLOOKUP($B38,Kraftvärmeprod!$B$1:$BX$550,MATCH(AZ$2,Kraftvärmeprod!$B$1:$BX$1,0),FALSE))/$AC38,"")</f>
        <v>1</v>
      </c>
      <c r="BA38" s="228">
        <f>IF($AY38="ja",(VLOOKUP($B38,'Egen hetvattenprod'!$B$1:$BX$550,MATCH(BA$2,'Egen hetvattenprod'!$B$1:$BX$1,0),FALSE)+VLOOKUP($B38,Kraftvärmeprod!$B$1:$BX$550,MATCH(BA$2,Kraftvärmeprod!$B$1:$BX$1,0),FALSE))/$AC38,"")</f>
        <v>0</v>
      </c>
      <c r="BB38" s="228">
        <f>IF($AY38="ja",(VLOOKUP($B38,'Egen hetvattenprod'!$B$1:$BX$550,MATCH(BB$2,'Egen hetvattenprod'!$B$1:$BX$1,0),FALSE)+VLOOKUP($B38,Kraftvärmeprod!$B$1:$BX$550,MATCH(BB$2,Kraftvärmeprod!$B$1:$BX$1,0),FALSE))/$AC38,"")</f>
        <v>0</v>
      </c>
      <c r="BC38" s="228">
        <f>IF($AY38="ja",(VLOOKUP($B38,'Egen hetvattenprod'!$B$1:$BX$550,MATCH(BC$2,'Egen hetvattenprod'!$B$1:$BX$1,0),FALSE)+VLOOKUP($B38,Kraftvärmeprod!$B$1:$BX$550,MATCH(BC$2,Kraftvärmeprod!$B$1:$BX$1,0),FALSE))/$AC38,"")</f>
        <v>0</v>
      </c>
      <c r="BD38" s="228">
        <f>IF($AY38="ja",(VLOOKUP($B38,'Egen hetvattenprod'!$B$1:$BX$550,MATCH(BD$2,'Egen hetvattenprod'!$B$1:$BX$1,0),FALSE)+VLOOKUP($B38,Kraftvärmeprod!$B$1:$BX$550,MATCH(BD$2,Kraftvärmeprod!$B$1:$BX$1,0),FALSE))/$AC38,"")</f>
        <v>0</v>
      </c>
      <c r="BE38" s="227"/>
      <c r="BF38" s="227" t="str">
        <f t="shared" si="5"/>
        <v>Nej</v>
      </c>
      <c r="BG38" s="227" t="str">
        <f>IF($BF38="ja",VLOOKUP($B38,'Egen hetvattenprod'!$B$1:$BX$550,MATCH("Andelen klimatgaser med fossilt ursprung för avfall ()",'Egen hetvattenprod'!$B$1:$BX$1,0),FALSE),"")</f>
        <v/>
      </c>
      <c r="BH38" s="227" t="str">
        <f>IF($BF38="ja",VLOOKUP($B38,Kraftvärmeprod!$B$1:$BX$550,MATCH("Andelen klimatgaser med fossilt ursprung för avfall ()",Kraftvärmeprod!$B$1:$BX$1,0),FALSE),"")</f>
        <v/>
      </c>
      <c r="BI38" s="227" t="str">
        <f>IF($BF38="ja",VLOOKUP($B38,'Egen hetvattenprod'!$B$1:$BX$550,MATCH("Avfall (GWh)",'Egen hetvattenprod'!$B$1:$BX$1,0),FALSE),"")</f>
        <v/>
      </c>
      <c r="BJ38" s="227" t="str">
        <f>IF($BF38="ja",VLOOKUP($B38,'Slutlig allokering kvv'!$B$1:$BX$550,MATCH("Avfall (GWh)",'Slutlig allokering kvv'!$B$1:$BX$1,0),FALSE),"")</f>
        <v/>
      </c>
      <c r="BK38" s="227" t="str">
        <f>IF($BF38="ja",VLOOKUP($B38,'Köpt hetvatten'!$B$1:$BX$550,MATCH("Avfall i köpt hetvatten",'Köpt hetvatten'!$B$1:$BX$1,0),FALSE),"")</f>
        <v/>
      </c>
      <c r="BL38" s="227" t="str">
        <f>IF($BF38="ja",VLOOKUP($B38,'Egen hetvattenprod'!$B$1:$BX$550,MATCH("Värde enligt ovan. (%)",'Egen hetvattenprod'!$B$1:$BX$1,0),FALSE),"")</f>
        <v/>
      </c>
      <c r="BM38" s="227" t="str">
        <f>IF($BF38="ja",VLOOKUP($B38,Kraftvärmeprod!$B$1:$BX$550,MATCH("Värde enligt ovan. (%)",Kraftvärmeprod!$B$1:$BX$1,0),FALSE),"")</f>
        <v/>
      </c>
      <c r="BN38" s="227"/>
      <c r="BO38" s="227"/>
      <c r="BP38" s="227"/>
      <c r="BQ38" s="227" t="str">
        <f>IF($BF38="ja",VLOOKUP($B38,'Egen hetvattenprod'!$B$1:$BX$550,MATCH("Tillförd olja (fossil) vid avfallsförbränning (GWh)",'Egen hetvattenprod'!$B$1:$BX$1,0),FALSE),"")</f>
        <v/>
      </c>
      <c r="BR38" s="227" t="str">
        <f>IF($BF38="ja",VLOOKUP($B38,Kraftvärmeprod!$B$1:$BX$550,MATCH("Tillförd olja (fossil) vid avfallsförbränning (GWh)",Kraftvärmeprod!$B$1:$BX$1,0),FALSE),"")</f>
        <v/>
      </c>
      <c r="BS38" s="227"/>
      <c r="BT38" s="227"/>
      <c r="BU38" s="227"/>
    </row>
    <row r="39" spans="1:73" x14ac:dyDescent="0.25">
      <c r="A39" s="121" t="str">
        <f>'Miljövärden för publ företag'!B42</f>
        <v>Borgholm Energi AB</v>
      </c>
      <c r="B39" s="121" t="str">
        <f>'Miljövärden för publ företag'!C42</f>
        <v>Löttorp</v>
      </c>
      <c r="C39" s="173">
        <f>IFERROR(VLOOKUP($B39,Totalt!$B$1:$AQ$554,MATCH(C$2,Totalt!$B$1:$AQ$1,0),FALSE),"")</f>
        <v>0</v>
      </c>
      <c r="D39" s="173">
        <f>IFERROR(VLOOKUP($B39,Totalt!$B$1:$AQ$554,MATCH(D$2,Totalt!$B$1:$AQ$1,0),FALSE),"")</f>
        <v>9.0999999999999998E-2</v>
      </c>
      <c r="E39" s="173">
        <f>IFERROR(VLOOKUP($B39,Totalt!$B$1:$AQ$554,MATCH(E$2,Totalt!$B$1:$AQ$1,0),FALSE),"")</f>
        <v>0</v>
      </c>
      <c r="F39" s="173">
        <f>IFERROR(VLOOKUP($B39,Totalt!$B$1:$AQ$554,MATCH(F$2,Totalt!$B$1:$AQ$1,0),FALSE),"")</f>
        <v>0</v>
      </c>
      <c r="G39" s="173">
        <f>IFERROR(VLOOKUP($B39,Totalt!$B$1:$AQ$554,MATCH(G$2,Totalt!$B$1:$AQ$1,0),FALSE),"")</f>
        <v>0</v>
      </c>
      <c r="H39" s="173">
        <f>IFERROR(VLOOKUP($B39,Totalt!$B$1:$AQ$554,MATCH(H$2,Totalt!$B$1:$AQ$1,0),FALSE),"")</f>
        <v>0</v>
      </c>
      <c r="I39" s="173">
        <f>IFERROR(VLOOKUP($B39,Totalt!$B$1:$AQ$554,MATCH(I$2,Totalt!$B$1:$AQ$1,0),FALSE),"")</f>
        <v>0</v>
      </c>
      <c r="J39" s="173">
        <f>IFERROR(VLOOKUP($B39,Totalt!$B$1:$AQ$554,MATCH(J$2,Totalt!$B$1:$AQ$1,0),FALSE),"")</f>
        <v>0</v>
      </c>
      <c r="K39" s="173">
        <f>IFERROR(VLOOKUP($B39,Totalt!$B$1:$AQ$554,MATCH(K$2,Totalt!$B$1:$AQ$1,0),FALSE),"")</f>
        <v>0</v>
      </c>
      <c r="L39" s="173">
        <f>IFERROR(VLOOKUP($B39,Totalt!$B$1:$AQ$554,MATCH(L$2,Totalt!$B$1:$AQ$1,0),FALSE),"")</f>
        <v>0</v>
      </c>
      <c r="M39" s="173">
        <f>IFERROR(VLOOKUP($B39,Totalt!$B$1:$AQ$554,MATCH(M$2,Totalt!$B$1:$AQ$1,0),FALSE),"")</f>
        <v>0</v>
      </c>
      <c r="N39" s="173">
        <f>IFERROR(VLOOKUP($B39,Totalt!$B$1:$AQ$554,MATCH(N$2,Totalt!$B$1:$AQ$1,0),FALSE),"")</f>
        <v>0</v>
      </c>
      <c r="O39" s="173">
        <f>IFERROR(VLOOKUP($B39,Totalt!$B$1:$AQ$554,MATCH(O$2,Totalt!$B$1:$AQ$1,0),FALSE),"")</f>
        <v>0</v>
      </c>
      <c r="P39" s="173">
        <f>IFERROR(VLOOKUP($B39,Totalt!$B$1:$AQ$554,MATCH(P$2,Totalt!$B$1:$AQ$1,0),FALSE),"")</f>
        <v>2.774</v>
      </c>
      <c r="Q39" s="173">
        <f>IFERROR(VLOOKUP($B39,Totalt!$B$1:$AQ$554,MATCH(Q$2,Totalt!$B$1:$AQ$1,0),FALSE),"")</f>
        <v>0</v>
      </c>
      <c r="R39" s="173">
        <f>IFERROR(VLOOKUP($B39,Totalt!$B$1:$AQ$554,MATCH(R$2,Totalt!$B$1:$AQ$1,0),FALSE),"")</f>
        <v>0</v>
      </c>
      <c r="S39" s="173">
        <f>IFERROR(VLOOKUP($B39,Totalt!$B$1:$AQ$554,MATCH(S$2,Totalt!$B$1:$AQ$1,0),FALSE),"")</f>
        <v>0</v>
      </c>
      <c r="T39" s="173">
        <f>IFERROR(VLOOKUP($B39,Totalt!$B$1:$AQ$554,MATCH(T$2,Totalt!$B$1:$AQ$1,0),FALSE),"")</f>
        <v>0</v>
      </c>
      <c r="U39" s="173">
        <f>IFERROR(VLOOKUP($B39,Totalt!$B$1:$AQ$554,MATCH(U$2,Totalt!$B$1:$AQ$1,0),FALSE),"")</f>
        <v>0</v>
      </c>
      <c r="V39" s="173">
        <f>IFERROR(VLOOKUP($B39,Totalt!$B$1:$AQ$554,MATCH(V$2,Totalt!$B$1:$AQ$1,0),FALSE),"")</f>
        <v>0</v>
      </c>
      <c r="W39" s="173">
        <f>IFERROR(VLOOKUP($B39,Totalt!$B$1:$AQ$554,MATCH(W$2,Totalt!$B$1:$AQ$1,0),FALSE),"")</f>
        <v>0</v>
      </c>
      <c r="X39" s="173">
        <f>IFERROR(VLOOKUP($B39,Totalt!$B$1:$AQ$554,MATCH(X$2,Totalt!$B$1:$AQ$1,0),FALSE),"")</f>
        <v>0</v>
      </c>
      <c r="Y39" s="173">
        <f>IFERROR(VLOOKUP($B39,Totalt!$B$1:$AQ$554,MATCH(Y$2,Totalt!$B$1:$AQ$1,0),FALSE),"")</f>
        <v>0</v>
      </c>
      <c r="Z39" s="173">
        <f>IFERROR(VLOOKUP($B39,Totalt!$B$1:$AQ$554,MATCH(Z$2,Totalt!$B$1:$AQ$1,0),FALSE),"")</f>
        <v>0</v>
      </c>
      <c r="AA39" s="173">
        <f>IFERROR(VLOOKUP($B39,Totalt!$B$1:$AQ$554,MATCH(AA$2,Totalt!$B$1:$AQ$1,0),FALSE),"")</f>
        <v>0</v>
      </c>
      <c r="AB39" s="173">
        <f>IFERROR(VLOOKUP($B39,Totalt!$B$1:$AQ$554,MATCH(AB$2,Totalt!$B$1:$AQ$1,0),FALSE),"")</f>
        <v>0</v>
      </c>
      <c r="AC39" s="173">
        <f>IFERROR(VLOOKUP($B39,Totalt!$B$1:$AQ$554,MATCH(AC$2,Totalt!$B$1:$AQ$1,0),FALSE),"")</f>
        <v>0</v>
      </c>
      <c r="AD39" s="173">
        <f>IFERROR(VLOOKUP($B39,Totalt!$B$1:$AQ$554,MATCH(AD$2,Totalt!$B$1:$AQ$1,0),FALSE),"")</f>
        <v>0</v>
      </c>
      <c r="AE39" s="173">
        <f>IFERROR(VLOOKUP($B39,Totalt!$B$1:$AQ$554,MATCH(AE$2,Totalt!$B$1:$AQ$1,0),FALSE),"")</f>
        <v>0</v>
      </c>
      <c r="AF39" s="173">
        <f>IFERROR(VLOOKUP($B39,Totalt!$B$1:$AQ$554,MATCH(AF$2,Totalt!$B$1:$AQ$1,0),FALSE),"")</f>
        <v>6.2969999999999998E-2</v>
      </c>
      <c r="AG39" s="173">
        <f>IFERROR(VLOOKUP($B39,Totalt!$B$1:$AQ$554,MATCH(AG$2,Totalt!$B$1:$AQ$1,0),FALSE),"")</f>
        <v>0</v>
      </c>
      <c r="AI39" s="226">
        <f t="shared" si="0"/>
        <v>2.9279700000000002</v>
      </c>
      <c r="AJ39" s="226">
        <f>IF(ISERROR(1/VLOOKUP($B39,Leveranser!$B$1:$S$500,MATCH("såld värme (gwh)",Leveranser!$B$1:$S$1,0),FALSE)),"",VLOOKUP($B39,Leveranser!$B$1:$S$500,MATCH("såld värme (gwh)",Leveranser!$B$1:$S$1,0),FALSE))</f>
        <v>2.0990000000000002</v>
      </c>
      <c r="AM39" s="227" t="str">
        <f>IF(B39&lt;&gt;"",IF(VLOOKUP($B39,Totalt!$B$1:$AQ$554,MATCH("Kvalitetsgranskad:",Totalt!$B$1:$AQ$1,0),FALSE)="ja",VLOOKUP($B39,Miljö!$B$1:$AG$479,MATCH(AM$2,Miljö!$B$1:$AK$1,0),FALSE),""),"")</f>
        <v>Nej</v>
      </c>
      <c r="AN39" s="227" t="str">
        <f>IF(AM39="ja",VLOOKUP($B39,Miljö!$B$1:$J$479,MATCH("Typ av ursprungsspecificerad el   (Om inget värde anges används Nordisk residualmix, se inforuta) ()",Miljö!$B$1:$J$1,0),FALSE),IF(AM39="nej","Nordisk residualel",""))</f>
        <v>Nordisk residualel</v>
      </c>
      <c r="AO39" s="227">
        <f>IF(AM39="","",VLOOKUP($B39,Miljö!$B$1:$J$479,MATCH("Fossilandel för ursprungspecificerad el ()",Miljö!$B$1:$J$1,0),FALSE))</f>
        <v>0.43</v>
      </c>
      <c r="AP39" s="227">
        <f>IF(AM39="","",IFERROR(VLOOKUP($B39,Miljö!$B$1:$J$479,MATCH("Kärnkraftsandel för ursprungsspecificerad el ()",Miljö!$B$1:$J$1,0),FALSE)/1,0))</f>
        <v>0.40550000000000003</v>
      </c>
      <c r="AQ39" s="227">
        <f t="shared" si="1"/>
        <v>0.16450000000000004</v>
      </c>
      <c r="AR39" s="227"/>
      <c r="AS39" s="227" t="str">
        <f t="shared" si="2"/>
        <v>Nej</v>
      </c>
      <c r="AT39" s="227" t="str">
        <f>IF(AS39="ja",VLOOKUP($B39,Miljö!$B$1:$O$500,MATCH("Fossil andel i procent (%)",Miljö!$B$1:$O$1,0),FALSE)/100,"")</f>
        <v/>
      </c>
      <c r="AU39" s="227"/>
      <c r="AV39" s="227" t="str">
        <f t="shared" si="3"/>
        <v>Nej</v>
      </c>
      <c r="AW39" s="227" t="str">
        <f>IF(AV39="ja",VLOOKUP($B39,'Egen hetvattenprod'!$B$1:$AO$500,MATCH("Värmekälla till värmepumpar ()",'Egen hetvattenprod'!$B$1:$AO$1,0),FALSE),"")</f>
        <v/>
      </c>
      <c r="AX39" s="227"/>
      <c r="AY39" s="227" t="str">
        <f t="shared" si="4"/>
        <v>Nej</v>
      </c>
      <c r="AZ39" s="228" t="str">
        <f>IF($AY39="ja",(VLOOKUP($B39,'Egen hetvattenprod'!$B$1:$BX$550,MATCH(AZ$2,'Egen hetvattenprod'!$B$1:$BX$1,0),FALSE)+VLOOKUP($B39,Kraftvärmeprod!$B$1:$BX$550,MATCH(AZ$2,Kraftvärmeprod!$B$1:$BX$1,0),FALSE))/$AC39,"")</f>
        <v/>
      </c>
      <c r="BA39" s="228" t="str">
        <f>IF($AY39="ja",(VLOOKUP($B39,'Egen hetvattenprod'!$B$1:$BX$550,MATCH(BA$2,'Egen hetvattenprod'!$B$1:$BX$1,0),FALSE)+VLOOKUP($B39,Kraftvärmeprod!$B$1:$BX$550,MATCH(BA$2,Kraftvärmeprod!$B$1:$BX$1,0),FALSE))/$AC39,"")</f>
        <v/>
      </c>
      <c r="BB39" s="228" t="str">
        <f>IF($AY39="ja",(VLOOKUP($B39,'Egen hetvattenprod'!$B$1:$BX$550,MATCH(BB$2,'Egen hetvattenprod'!$B$1:$BX$1,0),FALSE)+VLOOKUP($B39,Kraftvärmeprod!$B$1:$BX$550,MATCH(BB$2,Kraftvärmeprod!$B$1:$BX$1,0),FALSE))/$AC39,"")</f>
        <v/>
      </c>
      <c r="BC39" s="228" t="str">
        <f>IF($AY39="ja",(VLOOKUP($B39,'Egen hetvattenprod'!$B$1:$BX$550,MATCH(BC$2,'Egen hetvattenprod'!$B$1:$BX$1,0),FALSE)+VLOOKUP($B39,Kraftvärmeprod!$B$1:$BX$550,MATCH(BC$2,Kraftvärmeprod!$B$1:$BX$1,0),FALSE))/$AC39,"")</f>
        <v/>
      </c>
      <c r="BD39" s="228" t="str">
        <f>IF($AY39="ja",(VLOOKUP($B39,'Egen hetvattenprod'!$B$1:$BX$550,MATCH(BD$2,'Egen hetvattenprod'!$B$1:$BX$1,0),FALSE)+VLOOKUP($B39,Kraftvärmeprod!$B$1:$BX$550,MATCH(BD$2,Kraftvärmeprod!$B$1:$BX$1,0),FALSE))/$AC39,"")</f>
        <v/>
      </c>
      <c r="BE39" s="227"/>
      <c r="BF39" s="227" t="str">
        <f t="shared" si="5"/>
        <v>Nej</v>
      </c>
      <c r="BG39" s="227" t="str">
        <f>IF($BF39="ja",VLOOKUP($B39,'Egen hetvattenprod'!$B$1:$BX$550,MATCH("Andelen klimatgaser med fossilt ursprung för avfall ()",'Egen hetvattenprod'!$B$1:$BX$1,0),FALSE),"")</f>
        <v/>
      </c>
      <c r="BH39" s="227" t="str">
        <f>IF($BF39="ja",VLOOKUP($B39,Kraftvärmeprod!$B$1:$BX$550,MATCH("Andelen klimatgaser med fossilt ursprung för avfall ()",Kraftvärmeprod!$B$1:$BX$1,0),FALSE),"")</f>
        <v/>
      </c>
      <c r="BI39" s="227" t="str">
        <f>IF($BF39="ja",VLOOKUP($B39,'Egen hetvattenprod'!$B$1:$BX$550,MATCH("Avfall (GWh)",'Egen hetvattenprod'!$B$1:$BX$1,0),FALSE),"")</f>
        <v/>
      </c>
      <c r="BJ39" s="227" t="str">
        <f>IF($BF39="ja",VLOOKUP($B39,'Slutlig allokering kvv'!$B$1:$BX$550,MATCH("Avfall (GWh)",'Slutlig allokering kvv'!$B$1:$BX$1,0),FALSE),"")</f>
        <v/>
      </c>
      <c r="BK39" s="227" t="str">
        <f>IF($BF39="ja",VLOOKUP($B39,'Köpt hetvatten'!$B$1:$BX$550,MATCH("Avfall i köpt hetvatten",'Köpt hetvatten'!$B$1:$BX$1,0),FALSE),"")</f>
        <v/>
      </c>
      <c r="BL39" s="227" t="str">
        <f>IF($BF39="ja",VLOOKUP($B39,'Egen hetvattenprod'!$B$1:$BX$550,MATCH("Värde enligt ovan. (%)",'Egen hetvattenprod'!$B$1:$BX$1,0),FALSE),"")</f>
        <v/>
      </c>
      <c r="BM39" s="227" t="str">
        <f>IF($BF39="ja",VLOOKUP($B39,Kraftvärmeprod!$B$1:$BX$550,MATCH("Värde enligt ovan. (%)",Kraftvärmeprod!$B$1:$BX$1,0),FALSE),"")</f>
        <v/>
      </c>
      <c r="BN39" s="227"/>
      <c r="BO39" s="227"/>
      <c r="BP39" s="227"/>
      <c r="BQ39" s="227" t="str">
        <f>IF($BF39="ja",VLOOKUP($B39,'Egen hetvattenprod'!$B$1:$BX$550,MATCH("Tillförd olja (fossil) vid avfallsförbränning (GWh)",'Egen hetvattenprod'!$B$1:$BX$1,0),FALSE),"")</f>
        <v/>
      </c>
      <c r="BR39" s="227" t="str">
        <f>IF($BF39="ja",VLOOKUP($B39,Kraftvärmeprod!$B$1:$BX$550,MATCH("Tillförd olja (fossil) vid avfallsförbränning (GWh)",Kraftvärmeprod!$B$1:$BX$1,0),FALSE),"")</f>
        <v/>
      </c>
      <c r="BS39" s="227"/>
      <c r="BT39" s="227"/>
      <c r="BU39" s="227"/>
    </row>
    <row r="40" spans="1:73" x14ac:dyDescent="0.25">
      <c r="A40" s="121" t="str">
        <f>'Miljövärden för publ företag'!B43</f>
        <v>Borlänge Energi AB</v>
      </c>
      <c r="B40" s="121" t="str">
        <f>'Miljövärden för publ företag'!C43</f>
        <v>Borlänge</v>
      </c>
      <c r="C40" s="173">
        <f>IFERROR(VLOOKUP($B40,Totalt!$B$1:$AQ$554,MATCH(C$2,Totalt!$B$1:$AQ$1,0),FALSE),"")</f>
        <v>0</v>
      </c>
      <c r="D40" s="173">
        <f>IFERROR(VLOOKUP($B40,Totalt!$B$1:$AQ$554,MATCH(D$2,Totalt!$B$1:$AQ$1,0),FALSE),"")</f>
        <v>0.47399999999999998</v>
      </c>
      <c r="E40" s="173">
        <f>IFERROR(VLOOKUP($B40,Totalt!$B$1:$AQ$554,MATCH(E$2,Totalt!$B$1:$AQ$1,0),FALSE),"")</f>
        <v>1.4419999999999999</v>
      </c>
      <c r="F40" s="173">
        <f>IFERROR(VLOOKUP($B40,Totalt!$B$1:$AQ$554,MATCH(F$2,Totalt!$B$1:$AQ$1,0),FALSE),"")</f>
        <v>0</v>
      </c>
      <c r="G40" s="173">
        <f>IFERROR(VLOOKUP($B40,Totalt!$B$1:$AQ$554,MATCH(G$2,Totalt!$B$1:$AQ$1,0),FALSE),"")</f>
        <v>0</v>
      </c>
      <c r="H40" s="173">
        <f>IFERROR(VLOOKUP($B40,Totalt!$B$1:$AQ$554,MATCH(H$2,Totalt!$B$1:$AQ$1,0),FALSE),"")</f>
        <v>0</v>
      </c>
      <c r="I40" s="173">
        <f>IFERROR(VLOOKUP($B40,Totalt!$B$1:$AQ$554,MATCH(I$2,Totalt!$B$1:$AQ$1,0),FALSE),"")</f>
        <v>202.91399999999999</v>
      </c>
      <c r="J40" s="173">
        <f>IFERROR(VLOOKUP($B40,Totalt!$B$1:$AQ$554,MATCH(J$2,Totalt!$B$1:$AQ$1,0),FALSE),"")</f>
        <v>2.8620000000000001</v>
      </c>
      <c r="K40" s="173">
        <f>IFERROR(VLOOKUP($B40,Totalt!$B$1:$AQ$554,MATCH(K$2,Totalt!$B$1:$AQ$1,0),FALSE),"")</f>
        <v>0</v>
      </c>
      <c r="L40" s="173">
        <f>IFERROR(VLOOKUP($B40,Totalt!$B$1:$AQ$554,MATCH(L$2,Totalt!$B$1:$AQ$1,0),FALSE),"")</f>
        <v>5.2865000000000002</v>
      </c>
      <c r="M40" s="173">
        <f>IFERROR(VLOOKUP($B40,Totalt!$B$1:$AQ$554,MATCH(M$2,Totalt!$B$1:$AQ$1,0),FALSE),"")</f>
        <v>0</v>
      </c>
      <c r="N40" s="173">
        <f>IFERROR(VLOOKUP($B40,Totalt!$B$1:$AQ$554,MATCH(N$2,Totalt!$B$1:$AQ$1,0),FALSE),"")</f>
        <v>0</v>
      </c>
      <c r="O40" s="173">
        <f>IFERROR(VLOOKUP($B40,Totalt!$B$1:$AQ$554,MATCH(O$2,Totalt!$B$1:$AQ$1,0),FALSE),"")</f>
        <v>0</v>
      </c>
      <c r="P40" s="173">
        <f>IFERROR(VLOOKUP($B40,Totalt!$B$1:$AQ$554,MATCH(P$2,Totalt!$B$1:$AQ$1,0),FALSE),"")</f>
        <v>0</v>
      </c>
      <c r="Q40" s="173">
        <f>IFERROR(VLOOKUP($B40,Totalt!$B$1:$AQ$554,MATCH(Q$2,Totalt!$B$1:$AQ$1,0),FALSE),"")</f>
        <v>183.07599999999999</v>
      </c>
      <c r="R40" s="173">
        <f>IFERROR(VLOOKUP($B40,Totalt!$B$1:$AQ$554,MATCH(R$2,Totalt!$B$1:$AQ$1,0),FALSE),"")</f>
        <v>0</v>
      </c>
      <c r="S40" s="173">
        <f>IFERROR(VLOOKUP($B40,Totalt!$B$1:$AQ$554,MATCH(S$2,Totalt!$B$1:$AQ$1,0),FALSE),"")</f>
        <v>0</v>
      </c>
      <c r="T40" s="173">
        <f>IFERROR(VLOOKUP($B40,Totalt!$B$1:$AQ$554,MATCH(T$2,Totalt!$B$1:$AQ$1,0),FALSE),"")</f>
        <v>0</v>
      </c>
      <c r="U40" s="173">
        <f>IFERROR(VLOOKUP($B40,Totalt!$B$1:$AQ$554,MATCH(U$2,Totalt!$B$1:$AQ$1,0),FALSE),"")</f>
        <v>0</v>
      </c>
      <c r="V40" s="173">
        <f>IFERROR(VLOOKUP($B40,Totalt!$B$1:$AQ$554,MATCH(V$2,Totalt!$B$1:$AQ$1,0),FALSE),"")</f>
        <v>0</v>
      </c>
      <c r="W40" s="173">
        <f>IFERROR(VLOOKUP($B40,Totalt!$B$1:$AQ$554,MATCH(W$2,Totalt!$B$1:$AQ$1,0),FALSE),"")</f>
        <v>0.133161</v>
      </c>
      <c r="X40" s="173">
        <f>IFERROR(VLOOKUP($B40,Totalt!$B$1:$AQ$554,MATCH(X$2,Totalt!$B$1:$AQ$1,0),FALSE),"")</f>
        <v>0</v>
      </c>
      <c r="Y40" s="173">
        <f>IFERROR(VLOOKUP($B40,Totalt!$B$1:$AQ$554,MATCH(Y$2,Totalt!$B$1:$AQ$1,0),FALSE),"")</f>
        <v>0</v>
      </c>
      <c r="Z40" s="173">
        <f>IFERROR(VLOOKUP($B40,Totalt!$B$1:$AQ$554,MATCH(Z$2,Totalt!$B$1:$AQ$1,0),FALSE),"")</f>
        <v>0</v>
      </c>
      <c r="AA40" s="173">
        <f>IFERROR(VLOOKUP($B40,Totalt!$B$1:$AQ$554,MATCH(AA$2,Totalt!$B$1:$AQ$1,0),FALSE),"")</f>
        <v>0.27900000000000003</v>
      </c>
      <c r="AB40" s="173">
        <f>IFERROR(VLOOKUP($B40,Totalt!$B$1:$AQ$554,MATCH(AB$2,Totalt!$B$1:$AQ$1,0),FALSE),"")</f>
        <v>0.55700000000000005</v>
      </c>
      <c r="AC40" s="173">
        <f>IFERROR(VLOOKUP($B40,Totalt!$B$1:$AQ$554,MATCH(AC$2,Totalt!$B$1:$AQ$1,0),FALSE),"")</f>
        <v>8.5</v>
      </c>
      <c r="AD40" s="173">
        <f>IFERROR(VLOOKUP($B40,Totalt!$B$1:$AQ$554,MATCH(AD$2,Totalt!$B$1:$AQ$1,0),FALSE),"")</f>
        <v>91.956000000000003</v>
      </c>
      <c r="AE40" s="173">
        <f>IFERROR(VLOOKUP($B40,Totalt!$B$1:$AQ$554,MATCH(AE$2,Totalt!$B$1:$AQ$1,0),FALSE),"")</f>
        <v>0</v>
      </c>
      <c r="AF40" s="173">
        <f>IFERROR(VLOOKUP($B40,Totalt!$B$1:$AQ$554,MATCH(AF$2,Totalt!$B$1:$AQ$1,0),FALSE),"")</f>
        <v>8.0960199999999993</v>
      </c>
      <c r="AG40" s="173">
        <f>IFERROR(VLOOKUP($B40,Totalt!$B$1:$AQ$554,MATCH(AG$2,Totalt!$B$1:$AQ$1,0),FALSE),"")</f>
        <v>5.8289999999999997</v>
      </c>
      <c r="AI40" s="226">
        <f t="shared" si="0"/>
        <v>511.40468099999998</v>
      </c>
      <c r="AJ40" s="226">
        <f>IF(ISERROR(1/VLOOKUP($B40,Leveranser!$B$1:$S$500,MATCH("såld värme (gwh)",Leveranser!$B$1:$S$1,0),FALSE)),"",VLOOKUP($B40,Leveranser!$B$1:$S$500,MATCH("såld värme (gwh)",Leveranser!$B$1:$S$1,0),FALSE))</f>
        <v>445.13299999999998</v>
      </c>
      <c r="AM40" s="227" t="str">
        <f>IF(B40&lt;&gt;"",IF(VLOOKUP($B40,Totalt!$B$1:$AQ$554,MATCH("Kvalitetsgranskad:",Totalt!$B$1:$AQ$1,0),FALSE)="ja",VLOOKUP($B40,Miljö!$B$1:$AG$479,MATCH(AM$2,Miljö!$B$1:$AK$1,0),FALSE),""),"")</f>
        <v>Ja</v>
      </c>
      <c r="AN40" s="227" t="str">
        <f>IF(AM40="ja",VLOOKUP($B40,Miljö!$B$1:$J$479,MATCH("Typ av ursprungsspecificerad el   (Om inget värde anges används Nordisk residualmix, se inforuta) ()",Miljö!$B$1:$J$1,0),FALSE),IF(AM40="nej","Nordisk residualel",""))</f>
        <v>'Vattenkraft'</v>
      </c>
      <c r="AO40" s="227">
        <f>IF(AM40="","",VLOOKUP($B40,Miljö!$B$1:$J$479,MATCH("Fossilandel för ursprungspecificerad el ()",Miljö!$B$1:$J$1,0),FALSE))</f>
        <v>0</v>
      </c>
      <c r="AP40" s="227">
        <f>IF(AM40="","",IFERROR(VLOOKUP($B40,Miljö!$B$1:$J$479,MATCH("Kärnkraftsandel för ursprungsspecificerad el ()",Miljö!$B$1:$J$1,0),FALSE)/1,0))</f>
        <v>0</v>
      </c>
      <c r="AQ40" s="227">
        <f t="shared" si="1"/>
        <v>1</v>
      </c>
      <c r="AR40" s="227"/>
      <c r="AS40" s="227" t="str">
        <f t="shared" si="2"/>
        <v>Ja</v>
      </c>
      <c r="AT40" s="227">
        <f>IF(AS40="ja",VLOOKUP($B40,Miljö!$B$1:$O$500,MATCH("Fossil andel i procent (%)",Miljö!$B$1:$O$1,0),FALSE)/100,"")</f>
        <v>0</v>
      </c>
      <c r="AU40" s="227"/>
      <c r="AV40" s="227" t="str">
        <f t="shared" si="3"/>
        <v>Ja</v>
      </c>
      <c r="AW40" s="227" t="str">
        <f>IF(AV40="ja",VLOOKUP($B40,'Egen hetvattenprod'!$B$1:$AO$500,MATCH("Värmekälla till värmepumpar ()",'Egen hetvattenprod'!$B$1:$AO$1,0),FALSE),"")</f>
        <v>Renat avloppsvatten</v>
      </c>
      <c r="AX40" s="227"/>
      <c r="AY40" s="227" t="str">
        <f t="shared" si="4"/>
        <v>Ja</v>
      </c>
      <c r="AZ40" s="228">
        <f>IF($AY40="ja",(VLOOKUP($B40,'Egen hetvattenprod'!$B$1:$BX$550,MATCH(AZ$2,'Egen hetvattenprod'!$B$1:$BX$1,0),FALSE)+VLOOKUP($B40,Kraftvärmeprod!$B$1:$BX$550,MATCH(AZ$2,Kraftvärmeprod!$B$1:$BX$1,0),FALSE))/$AC40,"")</f>
        <v>0</v>
      </c>
      <c r="BA40" s="228">
        <f>IF($AY40="ja",(VLOOKUP($B40,'Egen hetvattenprod'!$B$1:$BX$550,MATCH(BA$2,'Egen hetvattenprod'!$B$1:$BX$1,0),FALSE)+VLOOKUP($B40,Kraftvärmeprod!$B$1:$BX$550,MATCH(BA$2,Kraftvärmeprod!$B$1:$BX$1,0),FALSE))/$AC40,"")</f>
        <v>1</v>
      </c>
      <c r="BB40" s="228">
        <f>IF($AY40="ja",(VLOOKUP($B40,'Egen hetvattenprod'!$B$1:$BX$550,MATCH(BB$2,'Egen hetvattenprod'!$B$1:$BX$1,0),FALSE)+VLOOKUP($B40,Kraftvärmeprod!$B$1:$BX$550,MATCH(BB$2,Kraftvärmeprod!$B$1:$BX$1,0),FALSE))/$AC40,"")</f>
        <v>0</v>
      </c>
      <c r="BC40" s="228">
        <f>IF($AY40="ja",(VLOOKUP($B40,'Egen hetvattenprod'!$B$1:$BX$550,MATCH(BC$2,'Egen hetvattenprod'!$B$1:$BX$1,0),FALSE)+VLOOKUP($B40,Kraftvärmeprod!$B$1:$BX$550,MATCH(BC$2,Kraftvärmeprod!$B$1:$BX$1,0),FALSE))/$AC40,"")</f>
        <v>0</v>
      </c>
      <c r="BD40" s="228">
        <f>IF($AY40="ja",(VLOOKUP($B40,'Egen hetvattenprod'!$B$1:$BX$550,MATCH(BD$2,'Egen hetvattenprod'!$B$1:$BX$1,0),FALSE)+VLOOKUP($B40,Kraftvärmeprod!$B$1:$BX$550,MATCH(BD$2,Kraftvärmeprod!$B$1:$BX$1,0),FALSE))/$AC40,"")</f>
        <v>0</v>
      </c>
      <c r="BE40" s="227"/>
      <c r="BF40" s="227" t="str">
        <f t="shared" si="5"/>
        <v>Ja</v>
      </c>
      <c r="BG40" s="227" t="str">
        <f>IF($BF40="ja",VLOOKUP($B40,'Egen hetvattenprod'!$B$1:$BX$550,MATCH("Andelen klimatgaser med fossilt ursprung för avfall ()",'Egen hetvattenprod'!$B$1:$BX$1,0),FALSE),"")</f>
        <v>Schablon</v>
      </c>
      <c r="BH40" s="227" t="str">
        <f>IF($BF40="ja",VLOOKUP($B40,Kraftvärmeprod!$B$1:$BX$550,MATCH("Andelen klimatgaser med fossilt ursprung för avfall ()",Kraftvärmeprod!$B$1:$BX$1,0),FALSE),"")</f>
        <v>Schablon</v>
      </c>
      <c r="BI40" s="227">
        <f>IF($BF40="ja",VLOOKUP($B40,'Egen hetvattenprod'!$B$1:$BX$550,MATCH("Avfall (GWh)",'Egen hetvattenprod'!$B$1:$BX$1,0),FALSE),"")</f>
        <v>55.652000000000001</v>
      </c>
      <c r="BJ40" s="227">
        <f>IF($BF40="ja",VLOOKUP($B40,'Slutlig allokering kvv'!$B$1:$BX$550,MATCH("Avfall (GWh)",'Slutlig allokering kvv'!$B$1:$BX$1,0),FALSE),"")</f>
        <v>147.262</v>
      </c>
      <c r="BK40" s="227">
        <f>IF($BF40="ja",VLOOKUP($B40,'Köpt hetvatten'!$B$1:$BX$550,MATCH("Avfall i köpt hetvatten",'Köpt hetvatten'!$B$1:$BX$1,0),FALSE),"")</f>
        <v>0</v>
      </c>
      <c r="BL40" s="227">
        <f>IF($BF40="ja",VLOOKUP($B40,'Egen hetvattenprod'!$B$1:$BX$550,MATCH("Värde enligt ovan. (%)",'Egen hetvattenprod'!$B$1:$BX$1,0),FALSE),"")</f>
        <v>40.5</v>
      </c>
      <c r="BM40" s="227">
        <f>IF($BF40="ja",VLOOKUP($B40,Kraftvärmeprod!$B$1:$BX$550,MATCH("Värde enligt ovan. (%)",Kraftvärmeprod!$B$1:$BX$1,0),FALSE),"")</f>
        <v>40.5</v>
      </c>
      <c r="BN40" s="227"/>
      <c r="BO40" s="227"/>
      <c r="BP40" s="227"/>
      <c r="BQ40" s="227" t="str">
        <f>IF($BF40="ja",VLOOKUP($B40,'Egen hetvattenprod'!$B$1:$BX$550,MATCH("Tillförd olja (fossil) vid avfallsförbränning (GWh)",'Egen hetvattenprod'!$B$1:$BX$1,0),FALSE),"")</f>
        <v>ET</v>
      </c>
      <c r="BR40" s="227">
        <f>IF($BF40="ja",VLOOKUP($B40,Kraftvärmeprod!$B$1:$BX$550,MATCH("Tillförd olja (fossil) vid avfallsförbränning (GWh)",Kraftvärmeprod!$B$1:$BX$1,0),FALSE),"")</f>
        <v>0.70899999999999996</v>
      </c>
      <c r="BS40" s="227"/>
      <c r="BT40" s="227"/>
      <c r="BU40" s="227"/>
    </row>
    <row r="41" spans="1:73" x14ac:dyDescent="0.25">
      <c r="A41" s="121" t="str">
        <f>'Miljövärden för publ företag'!B44</f>
        <v>Borlänge Energi AB</v>
      </c>
      <c r="B41" s="121" t="str">
        <f>'Miljövärden för publ företag'!C44</f>
        <v>Ornäs</v>
      </c>
      <c r="C41" s="173">
        <f>IFERROR(VLOOKUP($B41,Totalt!$B$1:$AQ$554,MATCH(C$2,Totalt!$B$1:$AQ$1,0),FALSE),"")</f>
        <v>0</v>
      </c>
      <c r="D41" s="173">
        <f>IFERROR(VLOOKUP($B41,Totalt!$B$1:$AQ$554,MATCH(D$2,Totalt!$B$1:$AQ$1,0),FALSE),"")</f>
        <v>1.1000000000000001E-3</v>
      </c>
      <c r="E41" s="173">
        <f>IFERROR(VLOOKUP($B41,Totalt!$B$1:$AQ$554,MATCH(E$2,Totalt!$B$1:$AQ$1,0),FALSE),"")</f>
        <v>0</v>
      </c>
      <c r="F41" s="173">
        <f>IFERROR(VLOOKUP($B41,Totalt!$B$1:$AQ$554,MATCH(F$2,Totalt!$B$1:$AQ$1,0),FALSE),"")</f>
        <v>0</v>
      </c>
      <c r="G41" s="173">
        <f>IFERROR(VLOOKUP($B41,Totalt!$B$1:$AQ$554,MATCH(G$2,Totalt!$B$1:$AQ$1,0),FALSE),"")</f>
        <v>0</v>
      </c>
      <c r="H41" s="173">
        <f>IFERROR(VLOOKUP($B41,Totalt!$B$1:$AQ$554,MATCH(H$2,Totalt!$B$1:$AQ$1,0),FALSE),"")</f>
        <v>0</v>
      </c>
      <c r="I41" s="173">
        <f>IFERROR(VLOOKUP($B41,Totalt!$B$1:$AQ$554,MATCH(I$2,Totalt!$B$1:$AQ$1,0),FALSE),"")</f>
        <v>0</v>
      </c>
      <c r="J41" s="173">
        <f>IFERROR(VLOOKUP($B41,Totalt!$B$1:$AQ$554,MATCH(J$2,Totalt!$B$1:$AQ$1,0),FALSE),"")</f>
        <v>0</v>
      </c>
      <c r="K41" s="173">
        <f>IFERROR(VLOOKUP($B41,Totalt!$B$1:$AQ$554,MATCH(K$2,Totalt!$B$1:$AQ$1,0),FALSE),"")</f>
        <v>0</v>
      </c>
      <c r="L41" s="173">
        <f>IFERROR(VLOOKUP($B41,Totalt!$B$1:$AQ$554,MATCH(L$2,Totalt!$B$1:$AQ$1,0),FALSE),"")</f>
        <v>0</v>
      </c>
      <c r="M41" s="173">
        <f>IFERROR(VLOOKUP($B41,Totalt!$B$1:$AQ$554,MATCH(M$2,Totalt!$B$1:$AQ$1,0),FALSE),"")</f>
        <v>0</v>
      </c>
      <c r="N41" s="173">
        <f>IFERROR(VLOOKUP($B41,Totalt!$B$1:$AQ$554,MATCH(N$2,Totalt!$B$1:$AQ$1,0),FALSE),"")</f>
        <v>0</v>
      </c>
      <c r="O41" s="173">
        <f>IFERROR(VLOOKUP($B41,Totalt!$B$1:$AQ$554,MATCH(O$2,Totalt!$B$1:$AQ$1,0),FALSE),"")</f>
        <v>0</v>
      </c>
      <c r="P41" s="173">
        <f>IFERROR(VLOOKUP($B41,Totalt!$B$1:$AQ$554,MATCH(P$2,Totalt!$B$1:$AQ$1,0),FALSE),"")</f>
        <v>0</v>
      </c>
      <c r="Q41" s="173">
        <f>IFERROR(VLOOKUP($B41,Totalt!$B$1:$AQ$554,MATCH(Q$2,Totalt!$B$1:$AQ$1,0),FALSE),"")</f>
        <v>0</v>
      </c>
      <c r="R41" s="173">
        <f>IFERROR(VLOOKUP($B41,Totalt!$B$1:$AQ$554,MATCH(R$2,Totalt!$B$1:$AQ$1,0),FALSE),"")</f>
        <v>3.016</v>
      </c>
      <c r="S41" s="173">
        <f>IFERROR(VLOOKUP($B41,Totalt!$B$1:$AQ$554,MATCH(S$2,Totalt!$B$1:$AQ$1,0),FALSE),"")</f>
        <v>0</v>
      </c>
      <c r="T41" s="173">
        <f>IFERROR(VLOOKUP($B41,Totalt!$B$1:$AQ$554,MATCH(T$2,Totalt!$B$1:$AQ$1,0),FALSE),"")</f>
        <v>0</v>
      </c>
      <c r="U41" s="173">
        <f>IFERROR(VLOOKUP($B41,Totalt!$B$1:$AQ$554,MATCH(U$2,Totalt!$B$1:$AQ$1,0),FALSE),"")</f>
        <v>0</v>
      </c>
      <c r="V41" s="173">
        <f>IFERROR(VLOOKUP($B41,Totalt!$B$1:$AQ$554,MATCH(V$2,Totalt!$B$1:$AQ$1,0),FALSE),"")</f>
        <v>0</v>
      </c>
      <c r="W41" s="173">
        <f>IFERROR(VLOOKUP($B41,Totalt!$B$1:$AQ$554,MATCH(W$2,Totalt!$B$1:$AQ$1,0),FALSE),"")</f>
        <v>0</v>
      </c>
      <c r="X41" s="173">
        <f>IFERROR(VLOOKUP($B41,Totalt!$B$1:$AQ$554,MATCH(X$2,Totalt!$B$1:$AQ$1,0),FALSE),"")</f>
        <v>0</v>
      </c>
      <c r="Y41" s="173">
        <f>IFERROR(VLOOKUP($B41,Totalt!$B$1:$AQ$554,MATCH(Y$2,Totalt!$B$1:$AQ$1,0),FALSE),"")</f>
        <v>0</v>
      </c>
      <c r="Z41" s="173">
        <f>IFERROR(VLOOKUP($B41,Totalt!$B$1:$AQ$554,MATCH(Z$2,Totalt!$B$1:$AQ$1,0),FALSE),"")</f>
        <v>0</v>
      </c>
      <c r="AA41" s="173">
        <f>IFERROR(VLOOKUP($B41,Totalt!$B$1:$AQ$554,MATCH(AA$2,Totalt!$B$1:$AQ$1,0),FALSE),"")</f>
        <v>0</v>
      </c>
      <c r="AB41" s="173">
        <f>IFERROR(VLOOKUP($B41,Totalt!$B$1:$AQ$554,MATCH(AB$2,Totalt!$B$1:$AQ$1,0),FALSE),"")</f>
        <v>0</v>
      </c>
      <c r="AC41" s="173">
        <f>IFERROR(VLOOKUP($B41,Totalt!$B$1:$AQ$554,MATCH(AC$2,Totalt!$B$1:$AQ$1,0),FALSE),"")</f>
        <v>0</v>
      </c>
      <c r="AD41" s="173">
        <f>IFERROR(VLOOKUP($B41,Totalt!$B$1:$AQ$554,MATCH(AD$2,Totalt!$B$1:$AQ$1,0),FALSE),"")</f>
        <v>0</v>
      </c>
      <c r="AE41" s="173">
        <f>IFERROR(VLOOKUP($B41,Totalt!$B$1:$AQ$554,MATCH(AE$2,Totalt!$B$1:$AQ$1,0),FALSE),"")</f>
        <v>0</v>
      </c>
      <c r="AF41" s="173">
        <f>IFERROR(VLOOKUP($B41,Totalt!$B$1:$AQ$554,MATCH(AF$2,Totalt!$B$1:$AQ$1,0),FALSE),"")</f>
        <v>6.4999999999999997E-3</v>
      </c>
      <c r="AG41" s="173">
        <f>IFERROR(VLOOKUP($B41,Totalt!$B$1:$AQ$554,MATCH(AG$2,Totalt!$B$1:$AQ$1,0),FALSE),"")</f>
        <v>0</v>
      </c>
      <c r="AI41" s="226">
        <f t="shared" si="0"/>
        <v>3.0236000000000001</v>
      </c>
      <c r="AJ41" s="226">
        <f>IF(ISERROR(1/VLOOKUP($B41,Leveranser!$B$1:$S$500,MATCH("såld värme (gwh)",Leveranser!$B$1:$S$1,0),FALSE)),"",VLOOKUP($B41,Leveranser!$B$1:$S$500,MATCH("såld värme (gwh)",Leveranser!$B$1:$S$1,0),FALSE))</f>
        <v>1.96</v>
      </c>
      <c r="AM41" s="227" t="str">
        <f>IF(B41&lt;&gt;"",IF(VLOOKUP($B41,Totalt!$B$1:$AQ$554,MATCH("Kvalitetsgranskad:",Totalt!$B$1:$AQ$1,0),FALSE)="ja",VLOOKUP($B41,Miljö!$B$1:$AG$479,MATCH(AM$2,Miljö!$B$1:$AK$1,0),FALSE),""),"")</f>
        <v>Ja</v>
      </c>
      <c r="AN41" s="227" t="str">
        <f>IF(AM41="ja",VLOOKUP($B41,Miljö!$B$1:$J$479,MATCH("Typ av ursprungsspecificerad el   (Om inget värde anges används Nordisk residualmix, se inforuta) ()",Miljö!$B$1:$J$1,0),FALSE),IF(AM41="nej","Nordisk residualel",""))</f>
        <v>'Vattenkraft'</v>
      </c>
      <c r="AO41" s="227">
        <f>IF(AM41="","",VLOOKUP($B41,Miljö!$B$1:$J$479,MATCH("Fossilandel för ursprungspecificerad el ()",Miljö!$B$1:$J$1,0),FALSE))</f>
        <v>0</v>
      </c>
      <c r="AP41" s="227">
        <f>IF(AM41="","",IFERROR(VLOOKUP($B41,Miljö!$B$1:$J$479,MATCH("Kärnkraftsandel för ursprungsspecificerad el ()",Miljö!$B$1:$J$1,0),FALSE)/1,0))</f>
        <v>0</v>
      </c>
      <c r="AQ41" s="227">
        <f t="shared" si="1"/>
        <v>1</v>
      </c>
      <c r="AR41" s="227"/>
      <c r="AS41" s="227" t="str">
        <f t="shared" si="2"/>
        <v>Nej</v>
      </c>
      <c r="AT41" s="227" t="str">
        <f>IF(AS41="ja",VLOOKUP($B41,Miljö!$B$1:$O$500,MATCH("Fossil andel i procent (%)",Miljö!$B$1:$O$1,0),FALSE)/100,"")</f>
        <v/>
      </c>
      <c r="AU41" s="227"/>
      <c r="AV41" s="227" t="str">
        <f t="shared" si="3"/>
        <v>Nej</v>
      </c>
      <c r="AW41" s="227" t="str">
        <f>IF(AV41="ja",VLOOKUP($B41,'Egen hetvattenprod'!$B$1:$AO$500,MATCH("Värmekälla till värmepumpar ()",'Egen hetvattenprod'!$B$1:$AO$1,0),FALSE),"")</f>
        <v/>
      </c>
      <c r="AX41" s="227"/>
      <c r="AY41" s="227" t="str">
        <f t="shared" si="4"/>
        <v>Nej</v>
      </c>
      <c r="AZ41" s="228" t="str">
        <f>IF($AY41="ja",(VLOOKUP($B41,'Egen hetvattenprod'!$B$1:$BX$550,MATCH(AZ$2,'Egen hetvattenprod'!$B$1:$BX$1,0),FALSE)+VLOOKUP($B41,Kraftvärmeprod!$B$1:$BX$550,MATCH(AZ$2,Kraftvärmeprod!$B$1:$BX$1,0),FALSE))/$AC41,"")</f>
        <v/>
      </c>
      <c r="BA41" s="228" t="str">
        <f>IF($AY41="ja",(VLOOKUP($B41,'Egen hetvattenprod'!$B$1:$BX$550,MATCH(BA$2,'Egen hetvattenprod'!$B$1:$BX$1,0),FALSE)+VLOOKUP($B41,Kraftvärmeprod!$B$1:$BX$550,MATCH(BA$2,Kraftvärmeprod!$B$1:$BX$1,0),FALSE))/$AC41,"")</f>
        <v/>
      </c>
      <c r="BB41" s="228" t="str">
        <f>IF($AY41="ja",(VLOOKUP($B41,'Egen hetvattenprod'!$B$1:$BX$550,MATCH(BB$2,'Egen hetvattenprod'!$B$1:$BX$1,0),FALSE)+VLOOKUP($B41,Kraftvärmeprod!$B$1:$BX$550,MATCH(BB$2,Kraftvärmeprod!$B$1:$BX$1,0),FALSE))/$AC41,"")</f>
        <v/>
      </c>
      <c r="BC41" s="228" t="str">
        <f>IF($AY41="ja",(VLOOKUP($B41,'Egen hetvattenprod'!$B$1:$BX$550,MATCH(BC$2,'Egen hetvattenprod'!$B$1:$BX$1,0),FALSE)+VLOOKUP($B41,Kraftvärmeprod!$B$1:$BX$550,MATCH(BC$2,Kraftvärmeprod!$B$1:$BX$1,0),FALSE))/$AC41,"")</f>
        <v/>
      </c>
      <c r="BD41" s="228" t="str">
        <f>IF($AY41="ja",(VLOOKUP($B41,'Egen hetvattenprod'!$B$1:$BX$550,MATCH(BD$2,'Egen hetvattenprod'!$B$1:$BX$1,0),FALSE)+VLOOKUP($B41,Kraftvärmeprod!$B$1:$BX$550,MATCH(BD$2,Kraftvärmeprod!$B$1:$BX$1,0),FALSE))/$AC41,"")</f>
        <v/>
      </c>
      <c r="BE41" s="227"/>
      <c r="BF41" s="227" t="str">
        <f t="shared" si="5"/>
        <v>Nej</v>
      </c>
      <c r="BG41" s="227" t="str">
        <f>IF($BF41="ja",VLOOKUP($B41,'Egen hetvattenprod'!$B$1:$BX$550,MATCH("Andelen klimatgaser med fossilt ursprung för avfall ()",'Egen hetvattenprod'!$B$1:$BX$1,0),FALSE),"")</f>
        <v/>
      </c>
      <c r="BH41" s="227" t="str">
        <f>IF($BF41="ja",VLOOKUP($B41,Kraftvärmeprod!$B$1:$BX$550,MATCH("Andelen klimatgaser med fossilt ursprung för avfall ()",Kraftvärmeprod!$B$1:$BX$1,0),FALSE),"")</f>
        <v/>
      </c>
      <c r="BI41" s="227" t="str">
        <f>IF($BF41="ja",VLOOKUP($B41,'Egen hetvattenprod'!$B$1:$BX$550,MATCH("Avfall (GWh)",'Egen hetvattenprod'!$B$1:$BX$1,0),FALSE),"")</f>
        <v/>
      </c>
      <c r="BJ41" s="227" t="str">
        <f>IF($BF41="ja",VLOOKUP($B41,'Slutlig allokering kvv'!$B$1:$BX$550,MATCH("Avfall (GWh)",'Slutlig allokering kvv'!$B$1:$BX$1,0),FALSE),"")</f>
        <v/>
      </c>
      <c r="BK41" s="227" t="str">
        <f>IF($BF41="ja",VLOOKUP($B41,'Köpt hetvatten'!$B$1:$BX$550,MATCH("Avfall i köpt hetvatten",'Köpt hetvatten'!$B$1:$BX$1,0),FALSE),"")</f>
        <v/>
      </c>
      <c r="BL41" s="227" t="str">
        <f>IF($BF41="ja",VLOOKUP($B41,'Egen hetvattenprod'!$B$1:$BX$550,MATCH("Värde enligt ovan. (%)",'Egen hetvattenprod'!$B$1:$BX$1,0),FALSE),"")</f>
        <v/>
      </c>
      <c r="BM41" s="227" t="str">
        <f>IF($BF41="ja",VLOOKUP($B41,Kraftvärmeprod!$B$1:$BX$550,MATCH("Värde enligt ovan. (%)",Kraftvärmeprod!$B$1:$BX$1,0),FALSE),"")</f>
        <v/>
      </c>
      <c r="BN41" s="227"/>
      <c r="BO41" s="227"/>
      <c r="BP41" s="227"/>
      <c r="BQ41" s="227" t="str">
        <f>IF($BF41="ja",VLOOKUP($B41,'Egen hetvattenprod'!$B$1:$BX$550,MATCH("Tillförd olja (fossil) vid avfallsförbränning (GWh)",'Egen hetvattenprod'!$B$1:$BX$1,0),FALSE),"")</f>
        <v/>
      </c>
      <c r="BR41" s="227" t="str">
        <f>IF($BF41="ja",VLOOKUP($B41,Kraftvärmeprod!$B$1:$BX$550,MATCH("Tillförd olja (fossil) vid avfallsförbränning (GWh)",Kraftvärmeprod!$B$1:$BX$1,0),FALSE),"")</f>
        <v/>
      </c>
      <c r="BS41" s="227"/>
      <c r="BT41" s="227"/>
      <c r="BU41" s="227"/>
    </row>
    <row r="42" spans="1:73" x14ac:dyDescent="0.25">
      <c r="A42" s="121" t="str">
        <f>'Miljövärden för publ företag'!B45</f>
        <v>Borlänge Energi AB</v>
      </c>
      <c r="B42" s="121" t="str">
        <f>'Miljövärden för publ företag'!C45</f>
        <v>Torsång</v>
      </c>
      <c r="C42" s="173">
        <f>IFERROR(VLOOKUP($B42,Totalt!$B$1:$AQ$554,MATCH(C$2,Totalt!$B$1:$AQ$1,0),FALSE),"")</f>
        <v>0</v>
      </c>
      <c r="D42" s="173">
        <f>IFERROR(VLOOKUP($B42,Totalt!$B$1:$AQ$554,MATCH(D$2,Totalt!$B$1:$AQ$1,0),FALSE),"")</f>
        <v>0</v>
      </c>
      <c r="E42" s="173">
        <f>IFERROR(VLOOKUP($B42,Totalt!$B$1:$AQ$554,MATCH(E$2,Totalt!$B$1:$AQ$1,0),FALSE),"")</f>
        <v>0</v>
      </c>
      <c r="F42" s="173">
        <f>IFERROR(VLOOKUP($B42,Totalt!$B$1:$AQ$554,MATCH(F$2,Totalt!$B$1:$AQ$1,0),FALSE),"")</f>
        <v>0</v>
      </c>
      <c r="G42" s="173">
        <f>IFERROR(VLOOKUP($B42,Totalt!$B$1:$AQ$554,MATCH(G$2,Totalt!$B$1:$AQ$1,0),FALSE),"")</f>
        <v>0</v>
      </c>
      <c r="H42" s="173">
        <f>IFERROR(VLOOKUP($B42,Totalt!$B$1:$AQ$554,MATCH(H$2,Totalt!$B$1:$AQ$1,0),FALSE),"")</f>
        <v>0</v>
      </c>
      <c r="I42" s="173">
        <f>IFERROR(VLOOKUP($B42,Totalt!$B$1:$AQ$554,MATCH(I$2,Totalt!$B$1:$AQ$1,0),FALSE),"")</f>
        <v>0</v>
      </c>
      <c r="J42" s="173">
        <f>IFERROR(VLOOKUP($B42,Totalt!$B$1:$AQ$554,MATCH(J$2,Totalt!$B$1:$AQ$1,0),FALSE),"")</f>
        <v>0</v>
      </c>
      <c r="K42" s="173">
        <f>IFERROR(VLOOKUP($B42,Totalt!$B$1:$AQ$554,MATCH(K$2,Totalt!$B$1:$AQ$1,0),FALSE),"")</f>
        <v>0</v>
      </c>
      <c r="L42" s="173">
        <f>IFERROR(VLOOKUP($B42,Totalt!$B$1:$AQ$554,MATCH(L$2,Totalt!$B$1:$AQ$1,0),FALSE),"")</f>
        <v>0</v>
      </c>
      <c r="M42" s="173">
        <f>IFERROR(VLOOKUP($B42,Totalt!$B$1:$AQ$554,MATCH(M$2,Totalt!$B$1:$AQ$1,0),FALSE),"")</f>
        <v>0</v>
      </c>
      <c r="N42" s="173">
        <f>IFERROR(VLOOKUP($B42,Totalt!$B$1:$AQ$554,MATCH(N$2,Totalt!$B$1:$AQ$1,0),FALSE),"")</f>
        <v>0</v>
      </c>
      <c r="O42" s="173">
        <f>IFERROR(VLOOKUP($B42,Totalt!$B$1:$AQ$554,MATCH(O$2,Totalt!$B$1:$AQ$1,0),FALSE),"")</f>
        <v>0</v>
      </c>
      <c r="P42" s="173">
        <f>IFERROR(VLOOKUP($B42,Totalt!$B$1:$AQ$554,MATCH(P$2,Totalt!$B$1:$AQ$1,0),FALSE),"")</f>
        <v>0</v>
      </c>
      <c r="Q42" s="173">
        <f>IFERROR(VLOOKUP($B42,Totalt!$B$1:$AQ$554,MATCH(Q$2,Totalt!$B$1:$AQ$1,0),FALSE),"")</f>
        <v>0</v>
      </c>
      <c r="R42" s="173">
        <f>IFERROR(VLOOKUP($B42,Totalt!$B$1:$AQ$554,MATCH(R$2,Totalt!$B$1:$AQ$1,0),FALSE),"")</f>
        <v>5.4710000000000001</v>
      </c>
      <c r="S42" s="173">
        <f>IFERROR(VLOOKUP($B42,Totalt!$B$1:$AQ$554,MATCH(S$2,Totalt!$B$1:$AQ$1,0),FALSE),"")</f>
        <v>0</v>
      </c>
      <c r="T42" s="173">
        <f>IFERROR(VLOOKUP($B42,Totalt!$B$1:$AQ$554,MATCH(T$2,Totalt!$B$1:$AQ$1,0),FALSE),"")</f>
        <v>0</v>
      </c>
      <c r="U42" s="173">
        <f>IFERROR(VLOOKUP($B42,Totalt!$B$1:$AQ$554,MATCH(U$2,Totalt!$B$1:$AQ$1,0),FALSE),"")</f>
        <v>0</v>
      </c>
      <c r="V42" s="173">
        <f>IFERROR(VLOOKUP($B42,Totalt!$B$1:$AQ$554,MATCH(V$2,Totalt!$B$1:$AQ$1,0),FALSE),"")</f>
        <v>0</v>
      </c>
      <c r="W42" s="173">
        <f>IFERROR(VLOOKUP($B42,Totalt!$B$1:$AQ$554,MATCH(W$2,Totalt!$B$1:$AQ$1,0),FALSE),"")</f>
        <v>0</v>
      </c>
      <c r="X42" s="173">
        <f>IFERROR(VLOOKUP($B42,Totalt!$B$1:$AQ$554,MATCH(X$2,Totalt!$B$1:$AQ$1,0),FALSE),"")</f>
        <v>0</v>
      </c>
      <c r="Y42" s="173">
        <f>IFERROR(VLOOKUP($B42,Totalt!$B$1:$AQ$554,MATCH(Y$2,Totalt!$B$1:$AQ$1,0),FALSE),"")</f>
        <v>0</v>
      </c>
      <c r="Z42" s="173">
        <f>IFERROR(VLOOKUP($B42,Totalt!$B$1:$AQ$554,MATCH(Z$2,Totalt!$B$1:$AQ$1,0),FALSE),"")</f>
        <v>7.0199999999999999E-2</v>
      </c>
      <c r="AA42" s="173">
        <f>IFERROR(VLOOKUP($B42,Totalt!$B$1:$AQ$554,MATCH(AA$2,Totalt!$B$1:$AQ$1,0),FALSE),"")</f>
        <v>0</v>
      </c>
      <c r="AB42" s="173">
        <f>IFERROR(VLOOKUP($B42,Totalt!$B$1:$AQ$554,MATCH(AB$2,Totalt!$B$1:$AQ$1,0),FALSE),"")</f>
        <v>0</v>
      </c>
      <c r="AC42" s="173">
        <f>IFERROR(VLOOKUP($B42,Totalt!$B$1:$AQ$554,MATCH(AC$2,Totalt!$B$1:$AQ$1,0),FALSE),"")</f>
        <v>0</v>
      </c>
      <c r="AD42" s="173">
        <f>IFERROR(VLOOKUP($B42,Totalt!$B$1:$AQ$554,MATCH(AD$2,Totalt!$B$1:$AQ$1,0),FALSE),"")</f>
        <v>0</v>
      </c>
      <c r="AE42" s="173">
        <f>IFERROR(VLOOKUP($B42,Totalt!$B$1:$AQ$554,MATCH(AE$2,Totalt!$B$1:$AQ$1,0),FALSE),"")</f>
        <v>0</v>
      </c>
      <c r="AF42" s="173">
        <f>IFERROR(VLOOKUP($B42,Totalt!$B$1:$AQ$554,MATCH(AF$2,Totalt!$B$1:$AQ$1,0),FALSE),"")</f>
        <v>9.5000000000000001E-2</v>
      </c>
      <c r="AG42" s="173">
        <f>IFERROR(VLOOKUP($B42,Totalt!$B$1:$AQ$554,MATCH(AG$2,Totalt!$B$1:$AQ$1,0),FALSE),"")</f>
        <v>0</v>
      </c>
      <c r="AI42" s="226">
        <f t="shared" si="0"/>
        <v>5.6361999999999997</v>
      </c>
      <c r="AJ42" s="226">
        <f>IF(ISERROR(1/VLOOKUP($B42,Leveranser!$B$1:$S$500,MATCH("såld värme (gwh)",Leveranser!$B$1:$S$1,0),FALSE)),"",VLOOKUP($B42,Leveranser!$B$1:$S$500,MATCH("såld värme (gwh)",Leveranser!$B$1:$S$1,0),FALSE))</f>
        <v>3.133</v>
      </c>
      <c r="AM42" s="227" t="str">
        <f>IF(B42&lt;&gt;"",IF(VLOOKUP($B42,Totalt!$B$1:$AQ$554,MATCH("Kvalitetsgranskad:",Totalt!$B$1:$AQ$1,0),FALSE)="ja",VLOOKUP($B42,Miljö!$B$1:$AG$479,MATCH(AM$2,Miljö!$B$1:$AK$1,0),FALSE),""),"")</f>
        <v>Ja</v>
      </c>
      <c r="AN42" s="227" t="str">
        <f>IF(AM42="ja",VLOOKUP($B42,Miljö!$B$1:$J$479,MATCH("Typ av ursprungsspecificerad el   (Om inget värde anges används Nordisk residualmix, se inforuta) ()",Miljö!$B$1:$J$1,0),FALSE),IF(AM42="nej","Nordisk residualel",""))</f>
        <v>'Vattenkraft'</v>
      </c>
      <c r="AO42" s="227">
        <f>IF(AM42="","",VLOOKUP($B42,Miljö!$B$1:$J$479,MATCH("Fossilandel för ursprungspecificerad el ()",Miljö!$B$1:$J$1,0),FALSE))</f>
        <v>0</v>
      </c>
      <c r="AP42" s="227">
        <f>IF(AM42="","",IFERROR(VLOOKUP($B42,Miljö!$B$1:$J$479,MATCH("Kärnkraftsandel för ursprungsspecificerad el ()",Miljö!$B$1:$J$1,0),FALSE)/1,0))</f>
        <v>0</v>
      </c>
      <c r="AQ42" s="227">
        <f t="shared" si="1"/>
        <v>1</v>
      </c>
      <c r="AR42" s="227"/>
      <c r="AS42" s="227" t="str">
        <f t="shared" si="2"/>
        <v>Nej</v>
      </c>
      <c r="AT42" s="227" t="str">
        <f>IF(AS42="ja",VLOOKUP($B42,Miljö!$B$1:$O$500,MATCH("Fossil andel i procent (%)",Miljö!$B$1:$O$1,0),FALSE)/100,"")</f>
        <v/>
      </c>
      <c r="AU42" s="227"/>
      <c r="AV42" s="227" t="str">
        <f t="shared" si="3"/>
        <v>Nej</v>
      </c>
      <c r="AW42" s="227" t="str">
        <f>IF(AV42="ja",VLOOKUP($B42,'Egen hetvattenprod'!$B$1:$AO$500,MATCH("Värmekälla till värmepumpar ()",'Egen hetvattenprod'!$B$1:$AO$1,0),FALSE),"")</f>
        <v/>
      </c>
      <c r="AX42" s="227"/>
      <c r="AY42" s="227" t="str">
        <f t="shared" si="4"/>
        <v>Nej</v>
      </c>
      <c r="AZ42" s="228" t="str">
        <f>IF($AY42="ja",(VLOOKUP($B42,'Egen hetvattenprod'!$B$1:$BX$550,MATCH(AZ$2,'Egen hetvattenprod'!$B$1:$BX$1,0),FALSE)+VLOOKUP($B42,Kraftvärmeprod!$B$1:$BX$550,MATCH(AZ$2,Kraftvärmeprod!$B$1:$BX$1,0),FALSE))/$AC42,"")</f>
        <v/>
      </c>
      <c r="BA42" s="228" t="str">
        <f>IF($AY42="ja",(VLOOKUP($B42,'Egen hetvattenprod'!$B$1:$BX$550,MATCH(BA$2,'Egen hetvattenprod'!$B$1:$BX$1,0),FALSE)+VLOOKUP($B42,Kraftvärmeprod!$B$1:$BX$550,MATCH(BA$2,Kraftvärmeprod!$B$1:$BX$1,0),FALSE))/$AC42,"")</f>
        <v/>
      </c>
      <c r="BB42" s="228" t="str">
        <f>IF($AY42="ja",(VLOOKUP($B42,'Egen hetvattenprod'!$B$1:$BX$550,MATCH(BB$2,'Egen hetvattenprod'!$B$1:$BX$1,0),FALSE)+VLOOKUP($B42,Kraftvärmeprod!$B$1:$BX$550,MATCH(BB$2,Kraftvärmeprod!$B$1:$BX$1,0),FALSE))/$AC42,"")</f>
        <v/>
      </c>
      <c r="BC42" s="228" t="str">
        <f>IF($AY42="ja",(VLOOKUP($B42,'Egen hetvattenprod'!$B$1:$BX$550,MATCH(BC$2,'Egen hetvattenprod'!$B$1:$BX$1,0),FALSE)+VLOOKUP($B42,Kraftvärmeprod!$B$1:$BX$550,MATCH(BC$2,Kraftvärmeprod!$B$1:$BX$1,0),FALSE))/$AC42,"")</f>
        <v/>
      </c>
      <c r="BD42" s="228" t="str">
        <f>IF($AY42="ja",(VLOOKUP($B42,'Egen hetvattenprod'!$B$1:$BX$550,MATCH(BD$2,'Egen hetvattenprod'!$B$1:$BX$1,0),FALSE)+VLOOKUP($B42,Kraftvärmeprod!$B$1:$BX$550,MATCH(BD$2,Kraftvärmeprod!$B$1:$BX$1,0),FALSE))/$AC42,"")</f>
        <v/>
      </c>
      <c r="BE42" s="227"/>
      <c r="BF42" s="227" t="str">
        <f t="shared" si="5"/>
        <v>Nej</v>
      </c>
      <c r="BG42" s="227" t="str">
        <f>IF($BF42="ja",VLOOKUP($B42,'Egen hetvattenprod'!$B$1:$BX$550,MATCH("Andelen klimatgaser med fossilt ursprung för avfall ()",'Egen hetvattenprod'!$B$1:$BX$1,0),FALSE),"")</f>
        <v/>
      </c>
      <c r="BH42" s="227" t="str">
        <f>IF($BF42="ja",VLOOKUP($B42,Kraftvärmeprod!$B$1:$BX$550,MATCH("Andelen klimatgaser med fossilt ursprung för avfall ()",Kraftvärmeprod!$B$1:$BX$1,0),FALSE),"")</f>
        <v/>
      </c>
      <c r="BI42" s="227" t="str">
        <f>IF($BF42="ja",VLOOKUP($B42,'Egen hetvattenprod'!$B$1:$BX$550,MATCH("Avfall (GWh)",'Egen hetvattenprod'!$B$1:$BX$1,0),FALSE),"")</f>
        <v/>
      </c>
      <c r="BJ42" s="227" t="str">
        <f>IF($BF42="ja",VLOOKUP($B42,'Slutlig allokering kvv'!$B$1:$BX$550,MATCH("Avfall (GWh)",'Slutlig allokering kvv'!$B$1:$BX$1,0),FALSE),"")</f>
        <v/>
      </c>
      <c r="BK42" s="227" t="str">
        <f>IF($BF42="ja",VLOOKUP($B42,'Köpt hetvatten'!$B$1:$BX$550,MATCH("Avfall i köpt hetvatten",'Köpt hetvatten'!$B$1:$BX$1,0),FALSE),"")</f>
        <v/>
      </c>
      <c r="BL42" s="227" t="str">
        <f>IF($BF42="ja",VLOOKUP($B42,'Egen hetvattenprod'!$B$1:$BX$550,MATCH("Värde enligt ovan. (%)",'Egen hetvattenprod'!$B$1:$BX$1,0),FALSE),"")</f>
        <v/>
      </c>
      <c r="BM42" s="227" t="str">
        <f>IF($BF42="ja",VLOOKUP($B42,Kraftvärmeprod!$B$1:$BX$550,MATCH("Värde enligt ovan. (%)",Kraftvärmeprod!$B$1:$BX$1,0),FALSE),"")</f>
        <v/>
      </c>
      <c r="BN42" s="227"/>
      <c r="BO42" s="227"/>
      <c r="BP42" s="227"/>
      <c r="BQ42" s="227" t="str">
        <f>IF($BF42="ja",VLOOKUP($B42,'Egen hetvattenprod'!$B$1:$BX$550,MATCH("Tillförd olja (fossil) vid avfallsförbränning (GWh)",'Egen hetvattenprod'!$B$1:$BX$1,0),FALSE),"")</f>
        <v/>
      </c>
      <c r="BR42" s="227" t="str">
        <f>IF($BF42="ja",VLOOKUP($B42,Kraftvärmeprod!$B$1:$BX$550,MATCH("Tillförd olja (fossil) vid avfallsförbränning (GWh)",Kraftvärmeprod!$B$1:$BX$1,0),FALSE),"")</f>
        <v/>
      </c>
      <c r="BS42" s="227"/>
      <c r="BT42" s="227"/>
      <c r="BU42" s="227"/>
    </row>
    <row r="43" spans="1:73" x14ac:dyDescent="0.25">
      <c r="A43" s="121" t="str">
        <f>'Miljövärden för publ företag'!B46</f>
        <v>Borås Energi &amp; Miljö AB</v>
      </c>
      <c r="B43" s="121" t="str">
        <f>'Miljövärden för publ företag'!C46</f>
        <v>Borås</v>
      </c>
      <c r="C43" s="173">
        <f>IFERROR(VLOOKUP($B43,Totalt!$B$1:$AQ$554,MATCH(C$2,Totalt!$B$1:$AQ$1,0),FALSE),"")</f>
        <v>0</v>
      </c>
      <c r="D43" s="173">
        <f>IFERROR(VLOOKUP($B43,Totalt!$B$1:$AQ$554,MATCH(D$2,Totalt!$B$1:$AQ$1,0),FALSE),"")</f>
        <v>0.12</v>
      </c>
      <c r="E43" s="173">
        <f>IFERROR(VLOOKUP($B43,Totalt!$B$1:$AQ$554,MATCH(E$2,Totalt!$B$1:$AQ$1,0),FALSE),"")</f>
        <v>7.39</v>
      </c>
      <c r="F43" s="173">
        <f>IFERROR(VLOOKUP($B43,Totalt!$B$1:$AQ$554,MATCH(F$2,Totalt!$B$1:$AQ$1,0),FALSE),"")</f>
        <v>0</v>
      </c>
      <c r="G43" s="173">
        <f>IFERROR(VLOOKUP($B43,Totalt!$B$1:$AQ$554,MATCH(G$2,Totalt!$B$1:$AQ$1,0),FALSE),"")</f>
        <v>0</v>
      </c>
      <c r="H43" s="173">
        <f>IFERROR(VLOOKUP($B43,Totalt!$B$1:$AQ$554,MATCH(H$2,Totalt!$B$1:$AQ$1,0),FALSE),"")</f>
        <v>6.23</v>
      </c>
      <c r="I43" s="173">
        <f>IFERROR(VLOOKUP($B43,Totalt!$B$1:$AQ$554,MATCH(I$2,Totalt!$B$1:$AQ$1,0),FALSE),"")</f>
        <v>195.91900000000001</v>
      </c>
      <c r="J43" s="173">
        <f>IFERROR(VLOOKUP($B43,Totalt!$B$1:$AQ$554,MATCH(J$2,Totalt!$B$1:$AQ$1,0),FALSE),"")</f>
        <v>0</v>
      </c>
      <c r="K43" s="173">
        <f>IFERROR(VLOOKUP($B43,Totalt!$B$1:$AQ$554,MATCH(K$2,Totalt!$B$1:$AQ$1,0),FALSE),"")</f>
        <v>0</v>
      </c>
      <c r="L43" s="173">
        <f>IFERROR(VLOOKUP($B43,Totalt!$B$1:$AQ$554,MATCH(L$2,Totalt!$B$1:$AQ$1,0),FALSE),"")</f>
        <v>0</v>
      </c>
      <c r="M43" s="173">
        <f>IFERROR(VLOOKUP($B43,Totalt!$B$1:$AQ$554,MATCH(M$2,Totalt!$B$1:$AQ$1,0),FALSE),"")</f>
        <v>39.6877</v>
      </c>
      <c r="N43" s="173">
        <f>IFERROR(VLOOKUP($B43,Totalt!$B$1:$AQ$554,MATCH(N$2,Totalt!$B$1:$AQ$1,0),FALSE),"")</f>
        <v>206.52500000000001</v>
      </c>
      <c r="O43" s="173">
        <f>IFERROR(VLOOKUP($B43,Totalt!$B$1:$AQ$554,MATCH(O$2,Totalt!$B$1:$AQ$1,0),FALSE),"")</f>
        <v>1.8671599999999999</v>
      </c>
      <c r="P43" s="173">
        <f>IFERROR(VLOOKUP($B43,Totalt!$B$1:$AQ$554,MATCH(P$2,Totalt!$B$1:$AQ$1,0),FALSE),"")</f>
        <v>0</v>
      </c>
      <c r="Q43" s="173">
        <f>IFERROR(VLOOKUP($B43,Totalt!$B$1:$AQ$554,MATCH(Q$2,Totalt!$B$1:$AQ$1,0),FALSE),"")</f>
        <v>58.366399999999999</v>
      </c>
      <c r="R43" s="173">
        <f>IFERROR(VLOOKUP($B43,Totalt!$B$1:$AQ$554,MATCH(R$2,Totalt!$B$1:$AQ$1,0),FALSE),"")</f>
        <v>35.32</v>
      </c>
      <c r="S43" s="173">
        <f>IFERROR(VLOOKUP($B43,Totalt!$B$1:$AQ$554,MATCH(S$2,Totalt!$B$1:$AQ$1,0),FALSE),"")</f>
        <v>2.6814100000000001</v>
      </c>
      <c r="T43" s="173">
        <f>IFERROR(VLOOKUP($B43,Totalt!$B$1:$AQ$554,MATCH(T$2,Totalt!$B$1:$AQ$1,0),FALSE),"")</f>
        <v>0</v>
      </c>
      <c r="U43" s="173">
        <f>IFERROR(VLOOKUP($B43,Totalt!$B$1:$AQ$554,MATCH(U$2,Totalt!$B$1:$AQ$1,0),FALSE),"")</f>
        <v>42.509500000000003</v>
      </c>
      <c r="V43" s="173">
        <f>IFERROR(VLOOKUP($B43,Totalt!$B$1:$AQ$554,MATCH(V$2,Totalt!$B$1:$AQ$1,0),FALSE),"")</f>
        <v>0</v>
      </c>
      <c r="W43" s="173">
        <f>IFERROR(VLOOKUP($B43,Totalt!$B$1:$AQ$554,MATCH(W$2,Totalt!$B$1:$AQ$1,0),FALSE),"")</f>
        <v>21.63</v>
      </c>
      <c r="X43" s="173">
        <f>IFERROR(VLOOKUP($B43,Totalt!$B$1:$AQ$554,MATCH(X$2,Totalt!$B$1:$AQ$1,0),FALSE),"")</f>
        <v>0</v>
      </c>
      <c r="Y43" s="173">
        <f>IFERROR(VLOOKUP($B43,Totalt!$B$1:$AQ$554,MATCH(Y$2,Totalt!$B$1:$AQ$1,0),FALSE),"")</f>
        <v>0</v>
      </c>
      <c r="Z43" s="173">
        <f>IFERROR(VLOOKUP($B43,Totalt!$B$1:$AQ$554,MATCH(Z$2,Totalt!$B$1:$AQ$1,0),FALSE),"")</f>
        <v>0.43</v>
      </c>
      <c r="AA43" s="173">
        <f>IFERROR(VLOOKUP($B43,Totalt!$B$1:$AQ$554,MATCH(AA$2,Totalt!$B$1:$AQ$1,0),FALSE),"")</f>
        <v>4.97</v>
      </c>
      <c r="AB43" s="173">
        <f>IFERROR(VLOOKUP($B43,Totalt!$B$1:$AQ$554,MATCH(AB$2,Totalt!$B$1:$AQ$1,0),FALSE),"")</f>
        <v>9.23</v>
      </c>
      <c r="AC43" s="173">
        <f>IFERROR(VLOOKUP($B43,Totalt!$B$1:$AQ$554,MATCH(AC$2,Totalt!$B$1:$AQ$1,0),FALSE),"")</f>
        <v>39.450000000000003</v>
      </c>
      <c r="AD43" s="173">
        <f>IFERROR(VLOOKUP($B43,Totalt!$B$1:$AQ$554,MATCH(AD$2,Totalt!$B$1:$AQ$1,0),FALSE),"")</f>
        <v>0</v>
      </c>
      <c r="AE43" s="173">
        <f>IFERROR(VLOOKUP($B43,Totalt!$B$1:$AQ$554,MATCH(AE$2,Totalt!$B$1:$AQ$1,0),FALSE),"")</f>
        <v>0</v>
      </c>
      <c r="AF43" s="173">
        <f>IFERROR(VLOOKUP($B43,Totalt!$B$1:$AQ$554,MATCH(AF$2,Totalt!$B$1:$AQ$1,0),FALSE),"")</f>
        <v>26.4421</v>
      </c>
      <c r="AG43" s="173">
        <f>IFERROR(VLOOKUP($B43,Totalt!$B$1:$AQ$554,MATCH(AG$2,Totalt!$B$1:$AQ$1,0),FALSE),"")</f>
        <v>0</v>
      </c>
      <c r="AI43" s="226">
        <f t="shared" si="0"/>
        <v>698.76827000000014</v>
      </c>
      <c r="AJ43" s="226">
        <f>IF(ISERROR(1/VLOOKUP($B43,Leveranser!$B$1:$S$500,MATCH("såld värme (gwh)",Leveranser!$B$1:$S$1,0),FALSE)),"",VLOOKUP($B43,Leveranser!$B$1:$S$500,MATCH("såld värme (gwh)",Leveranser!$B$1:$S$1,0),FALSE))</f>
        <v>598.46799999999996</v>
      </c>
      <c r="AM43" s="227" t="str">
        <f>IF(B43&lt;&gt;"",IF(VLOOKUP($B43,Totalt!$B$1:$AQ$554,MATCH("Kvalitetsgranskad:",Totalt!$B$1:$AQ$1,0),FALSE)="ja",VLOOKUP($B43,Miljö!$B$1:$AG$479,MATCH(AM$2,Miljö!$B$1:$AK$1,0),FALSE),""),"")</f>
        <v>Ja</v>
      </c>
      <c r="AN43" s="227" t="str">
        <f>IF(AM43="ja",VLOOKUP($B43,Miljö!$B$1:$J$479,MATCH("Typ av ursprungsspecificerad el   (Om inget värde anges används Nordisk residualmix, se inforuta) ()",Miljö!$B$1:$J$1,0),FALSE),IF(AM43="nej","Nordisk residualel",""))</f>
        <v>'Ursprungsmärkt egenproducerad el'</v>
      </c>
      <c r="AO43" s="227">
        <f>IF(AM43="","",VLOOKUP($B43,Miljö!$B$1:$J$479,MATCH("Fossilandel för ursprungspecificerad el ()",Miljö!$B$1:$J$1,0),FALSE))</f>
        <v>0</v>
      </c>
      <c r="AP43" s="227">
        <f>IF(AM43="","",IFERROR(VLOOKUP($B43,Miljö!$B$1:$J$479,MATCH("Kärnkraftsandel för ursprungsspecificerad el ()",Miljö!$B$1:$J$1,0),FALSE)/1,0))</f>
        <v>0</v>
      </c>
      <c r="AQ43" s="227">
        <f t="shared" si="1"/>
        <v>1</v>
      </c>
      <c r="AR43" s="227"/>
      <c r="AS43" s="227" t="str">
        <f t="shared" si="2"/>
        <v>Nej</v>
      </c>
      <c r="AT43" s="227" t="str">
        <f>IF(AS43="ja",VLOOKUP($B43,Miljö!$B$1:$O$500,MATCH("Fossil andel i procent (%)",Miljö!$B$1:$O$1,0),FALSE)/100,"")</f>
        <v/>
      </c>
      <c r="AU43" s="227"/>
      <c r="AV43" s="227" t="str">
        <f t="shared" si="3"/>
        <v>Ja</v>
      </c>
      <c r="AW43" s="227" t="str">
        <f>IF(AV43="ja",VLOOKUP($B43,'Egen hetvattenprod'!$B$1:$AO$500,MATCH("Värmekälla till värmepumpar ()",'Egen hetvattenprod'!$B$1:$AO$1,0),FALSE),"")</f>
        <v>Renat avloppsvatten</v>
      </c>
      <c r="AX43" s="227"/>
      <c r="AY43" s="227" t="str">
        <f t="shared" si="4"/>
        <v>Ja</v>
      </c>
      <c r="AZ43" s="228">
        <f>IF($AY43="ja",(VLOOKUP($B43,'Egen hetvattenprod'!$B$1:$BX$550,MATCH(AZ$2,'Egen hetvattenprod'!$B$1:$BX$1,0),FALSE)+VLOOKUP($B43,Kraftvärmeprod!$B$1:$BX$550,MATCH(AZ$2,Kraftvärmeprod!$B$1:$BX$1,0),FALSE))/$AC43,"")</f>
        <v>0</v>
      </c>
      <c r="BA43" s="228">
        <f>IF($AY43="ja",(VLOOKUP($B43,'Egen hetvattenprod'!$B$1:$BX$550,MATCH(BA$2,'Egen hetvattenprod'!$B$1:$BX$1,0),FALSE)+VLOOKUP($B43,Kraftvärmeprod!$B$1:$BX$550,MATCH(BA$2,Kraftvärmeprod!$B$1:$BX$1,0),FALSE))/$AC43,"")</f>
        <v>1</v>
      </c>
      <c r="BB43" s="228">
        <f>IF($AY43="ja",(VLOOKUP($B43,'Egen hetvattenprod'!$B$1:$BX$550,MATCH(BB$2,'Egen hetvattenprod'!$B$1:$BX$1,0),FALSE)+VLOOKUP($B43,Kraftvärmeprod!$B$1:$BX$550,MATCH(BB$2,Kraftvärmeprod!$B$1:$BX$1,0),FALSE))/$AC43,"")</f>
        <v>0</v>
      </c>
      <c r="BC43" s="228">
        <f>IF($AY43="ja",(VLOOKUP($B43,'Egen hetvattenprod'!$B$1:$BX$550,MATCH(BC$2,'Egen hetvattenprod'!$B$1:$BX$1,0),FALSE)+VLOOKUP($B43,Kraftvärmeprod!$B$1:$BX$550,MATCH(BC$2,Kraftvärmeprod!$B$1:$BX$1,0),FALSE))/$AC43,"")</f>
        <v>0</v>
      </c>
      <c r="BD43" s="228">
        <f>IF($AY43="ja",(VLOOKUP($B43,'Egen hetvattenprod'!$B$1:$BX$550,MATCH(BD$2,'Egen hetvattenprod'!$B$1:$BX$1,0),FALSE)+VLOOKUP($B43,Kraftvärmeprod!$B$1:$BX$550,MATCH(BD$2,Kraftvärmeprod!$B$1:$BX$1,0),FALSE))/$AC43,"")</f>
        <v>0</v>
      </c>
      <c r="BE43" s="227"/>
      <c r="BF43" s="227" t="str">
        <f t="shared" si="5"/>
        <v>Ja</v>
      </c>
      <c r="BG43" s="227" t="str">
        <f>IF($BF43="ja",VLOOKUP($B43,'Egen hetvattenprod'!$B$1:$BX$550,MATCH("Andelen klimatgaser med fossilt ursprung för avfall ()",'Egen hetvattenprod'!$B$1:$BX$1,0),FALSE),"")</f>
        <v>Ingen redovisning</v>
      </c>
      <c r="BH43" s="227" t="str">
        <f>IF($BF43="ja",VLOOKUP($B43,Kraftvärmeprod!$B$1:$BX$550,MATCH("Andelen klimatgaser med fossilt ursprung för avfall ()",Kraftvärmeprod!$B$1:$BX$1,0),FALSE),"")</f>
        <v>Schablon</v>
      </c>
      <c r="BI43" s="227" t="str">
        <f>IF($BF43="ja",VLOOKUP($B43,'Egen hetvattenprod'!$B$1:$BX$550,MATCH("Avfall (GWh)",'Egen hetvattenprod'!$B$1:$BX$1,0),FALSE),"")</f>
        <v>ET</v>
      </c>
      <c r="BJ43" s="227">
        <f>IF($BF43="ja",VLOOKUP($B43,'Slutlig allokering kvv'!$B$1:$BX$550,MATCH("Avfall (GWh)",'Slutlig allokering kvv'!$B$1:$BX$1,0),FALSE),"")</f>
        <v>195.91900000000001</v>
      </c>
      <c r="BK43" s="227">
        <f>IF($BF43="ja",VLOOKUP($B43,'Köpt hetvatten'!$B$1:$BX$550,MATCH("Avfall i köpt hetvatten",'Köpt hetvatten'!$B$1:$BX$1,0),FALSE),"")</f>
        <v>0</v>
      </c>
      <c r="BL43" s="227" t="str">
        <f>IF($BF43="ja",VLOOKUP($B43,'Egen hetvattenprod'!$B$1:$BX$550,MATCH("Värde enligt ovan. (%)",'Egen hetvattenprod'!$B$1:$BX$1,0),FALSE),"")</f>
        <v>ET</v>
      </c>
      <c r="BM43" s="227">
        <f>IF($BF43="ja",VLOOKUP($B43,Kraftvärmeprod!$B$1:$BX$550,MATCH("Värde enligt ovan. (%)",Kraftvärmeprod!$B$1:$BX$1,0),FALSE),"")</f>
        <v>40.5</v>
      </c>
      <c r="BN43" s="227"/>
      <c r="BO43" s="227"/>
      <c r="BP43" s="227"/>
      <c r="BQ43" s="227" t="str">
        <f>IF($BF43="ja",VLOOKUP($B43,'Egen hetvattenprod'!$B$1:$BX$550,MATCH("Tillförd olja (fossil) vid avfallsförbränning (GWh)",'Egen hetvattenprod'!$B$1:$BX$1,0),FALSE),"")</f>
        <v>ET</v>
      </c>
      <c r="BR43" s="227">
        <f>IF($BF43="ja",VLOOKUP($B43,Kraftvärmeprod!$B$1:$BX$550,MATCH("Tillförd olja (fossil) vid avfallsförbränning (GWh)",Kraftvärmeprod!$B$1:$BX$1,0),FALSE),"")</f>
        <v>9.86</v>
      </c>
      <c r="BS43" s="227"/>
      <c r="BT43" s="227"/>
      <c r="BU43" s="227"/>
    </row>
    <row r="44" spans="1:73" x14ac:dyDescent="0.25">
      <c r="A44" s="121" t="str">
        <f>'Miljövärden för publ företag'!B47</f>
        <v>Borås Energi &amp; Miljö AB</v>
      </c>
      <c r="B44" s="121" t="str">
        <f>'Miljövärden för publ företag'!C47</f>
        <v>Fristad</v>
      </c>
      <c r="C44" s="173">
        <f>IFERROR(VLOOKUP($B44,Totalt!$B$1:$AQ$554,MATCH(C$2,Totalt!$B$1:$AQ$1,0),FALSE),"")</f>
        <v>0</v>
      </c>
      <c r="D44" s="173">
        <f>IFERROR(VLOOKUP($B44,Totalt!$B$1:$AQ$554,MATCH(D$2,Totalt!$B$1:$AQ$1,0),FALSE),"")</f>
        <v>2.76</v>
      </c>
      <c r="E44" s="173">
        <f>IFERROR(VLOOKUP($B44,Totalt!$B$1:$AQ$554,MATCH(E$2,Totalt!$B$1:$AQ$1,0),FALSE),"")</f>
        <v>0</v>
      </c>
      <c r="F44" s="173">
        <f>IFERROR(VLOOKUP($B44,Totalt!$B$1:$AQ$554,MATCH(F$2,Totalt!$B$1:$AQ$1,0),FALSE),"")</f>
        <v>0</v>
      </c>
      <c r="G44" s="173">
        <f>IFERROR(VLOOKUP($B44,Totalt!$B$1:$AQ$554,MATCH(G$2,Totalt!$B$1:$AQ$1,0),FALSE),"")</f>
        <v>0</v>
      </c>
      <c r="H44" s="173">
        <f>IFERROR(VLOOKUP($B44,Totalt!$B$1:$AQ$554,MATCH(H$2,Totalt!$B$1:$AQ$1,0),FALSE),"")</f>
        <v>0</v>
      </c>
      <c r="I44" s="173">
        <f>IFERROR(VLOOKUP($B44,Totalt!$B$1:$AQ$554,MATCH(I$2,Totalt!$B$1:$AQ$1,0),FALSE),"")</f>
        <v>0</v>
      </c>
      <c r="J44" s="173">
        <f>IFERROR(VLOOKUP($B44,Totalt!$B$1:$AQ$554,MATCH(J$2,Totalt!$B$1:$AQ$1,0),FALSE),"")</f>
        <v>0</v>
      </c>
      <c r="K44" s="173">
        <f>IFERROR(VLOOKUP($B44,Totalt!$B$1:$AQ$554,MATCH(K$2,Totalt!$B$1:$AQ$1,0),FALSE),"")</f>
        <v>0</v>
      </c>
      <c r="L44" s="173">
        <f>IFERROR(VLOOKUP($B44,Totalt!$B$1:$AQ$554,MATCH(L$2,Totalt!$B$1:$AQ$1,0),FALSE),"")</f>
        <v>0</v>
      </c>
      <c r="M44" s="173">
        <f>IFERROR(VLOOKUP($B44,Totalt!$B$1:$AQ$554,MATCH(M$2,Totalt!$B$1:$AQ$1,0),FALSE),"")</f>
        <v>0</v>
      </c>
      <c r="N44" s="173">
        <f>IFERROR(VLOOKUP($B44,Totalt!$B$1:$AQ$554,MATCH(N$2,Totalt!$B$1:$AQ$1,0),FALSE),"")</f>
        <v>0</v>
      </c>
      <c r="O44" s="173">
        <f>IFERROR(VLOOKUP($B44,Totalt!$B$1:$AQ$554,MATCH(O$2,Totalt!$B$1:$AQ$1,0),FALSE),"")</f>
        <v>0</v>
      </c>
      <c r="P44" s="173">
        <f>IFERROR(VLOOKUP($B44,Totalt!$B$1:$AQ$554,MATCH(P$2,Totalt!$B$1:$AQ$1,0),FALSE),"")</f>
        <v>0</v>
      </c>
      <c r="Q44" s="173">
        <f>IFERROR(VLOOKUP($B44,Totalt!$B$1:$AQ$554,MATCH(Q$2,Totalt!$B$1:$AQ$1,0),FALSE),"")</f>
        <v>0</v>
      </c>
      <c r="R44" s="173">
        <f>IFERROR(VLOOKUP($B44,Totalt!$B$1:$AQ$554,MATCH(R$2,Totalt!$B$1:$AQ$1,0),FALSE),"")</f>
        <v>4.7699999999999996</v>
      </c>
      <c r="S44" s="173">
        <f>IFERROR(VLOOKUP($B44,Totalt!$B$1:$AQ$554,MATCH(S$2,Totalt!$B$1:$AQ$1,0),FALSE),"")</f>
        <v>17.59</v>
      </c>
      <c r="T44" s="173">
        <f>IFERROR(VLOOKUP($B44,Totalt!$B$1:$AQ$554,MATCH(T$2,Totalt!$B$1:$AQ$1,0),FALSE),"")</f>
        <v>0</v>
      </c>
      <c r="U44" s="173">
        <f>IFERROR(VLOOKUP($B44,Totalt!$B$1:$AQ$554,MATCH(U$2,Totalt!$B$1:$AQ$1,0),FALSE),"")</f>
        <v>0</v>
      </c>
      <c r="V44" s="173">
        <f>IFERROR(VLOOKUP($B44,Totalt!$B$1:$AQ$554,MATCH(V$2,Totalt!$B$1:$AQ$1,0),FALSE),"")</f>
        <v>0</v>
      </c>
      <c r="W44" s="173">
        <f>IFERROR(VLOOKUP($B44,Totalt!$B$1:$AQ$554,MATCH(W$2,Totalt!$B$1:$AQ$1,0),FALSE),"")</f>
        <v>0</v>
      </c>
      <c r="X44" s="173">
        <f>IFERROR(VLOOKUP($B44,Totalt!$B$1:$AQ$554,MATCH(X$2,Totalt!$B$1:$AQ$1,0),FALSE),"")</f>
        <v>0</v>
      </c>
      <c r="Y44" s="173">
        <f>IFERROR(VLOOKUP($B44,Totalt!$B$1:$AQ$554,MATCH(Y$2,Totalt!$B$1:$AQ$1,0),FALSE),"")</f>
        <v>0</v>
      </c>
      <c r="Z44" s="173">
        <f>IFERROR(VLOOKUP($B44,Totalt!$B$1:$AQ$554,MATCH(Z$2,Totalt!$B$1:$AQ$1,0),FALSE),"")</f>
        <v>0</v>
      </c>
      <c r="AA44" s="173">
        <f>IFERROR(VLOOKUP($B44,Totalt!$B$1:$AQ$554,MATCH(AA$2,Totalt!$B$1:$AQ$1,0),FALSE),"")</f>
        <v>0</v>
      </c>
      <c r="AB44" s="173">
        <f>IFERROR(VLOOKUP($B44,Totalt!$B$1:$AQ$554,MATCH(AB$2,Totalt!$B$1:$AQ$1,0),FALSE),"")</f>
        <v>0</v>
      </c>
      <c r="AC44" s="173">
        <f>IFERROR(VLOOKUP($B44,Totalt!$B$1:$AQ$554,MATCH(AC$2,Totalt!$B$1:$AQ$1,0),FALSE),"")</f>
        <v>0</v>
      </c>
      <c r="AD44" s="173">
        <f>IFERROR(VLOOKUP($B44,Totalt!$B$1:$AQ$554,MATCH(AD$2,Totalt!$B$1:$AQ$1,0),FALSE),"")</f>
        <v>0</v>
      </c>
      <c r="AE44" s="173">
        <f>IFERROR(VLOOKUP($B44,Totalt!$B$1:$AQ$554,MATCH(AE$2,Totalt!$B$1:$AQ$1,0),FALSE),"")</f>
        <v>0</v>
      </c>
      <c r="AF44" s="173">
        <f>IFERROR(VLOOKUP($B44,Totalt!$B$1:$AQ$554,MATCH(AF$2,Totalt!$B$1:$AQ$1,0),FALSE),"")</f>
        <v>0.40100000000000002</v>
      </c>
      <c r="AG44" s="173">
        <f>IFERROR(VLOOKUP($B44,Totalt!$B$1:$AQ$554,MATCH(AG$2,Totalt!$B$1:$AQ$1,0),FALSE),"")</f>
        <v>0</v>
      </c>
      <c r="AI44" s="226">
        <f t="shared" si="0"/>
        <v>25.520999999999997</v>
      </c>
      <c r="AJ44" s="226">
        <f>IF(ISERROR(1/VLOOKUP($B44,Leveranser!$B$1:$S$500,MATCH("såld värme (gwh)",Leveranser!$B$1:$S$1,0),FALSE)),"",VLOOKUP($B44,Leveranser!$B$1:$S$500,MATCH("såld värme (gwh)",Leveranser!$B$1:$S$1,0),FALSE))</f>
        <v>17.98</v>
      </c>
      <c r="AM44" s="227" t="str">
        <f>IF(B44&lt;&gt;"",IF(VLOOKUP($B44,Totalt!$B$1:$AQ$554,MATCH("Kvalitetsgranskad:",Totalt!$B$1:$AQ$1,0),FALSE)="ja",VLOOKUP($B44,Miljö!$B$1:$AG$479,MATCH(AM$2,Miljö!$B$1:$AK$1,0),FALSE),""),"")</f>
        <v>Ja</v>
      </c>
      <c r="AN44" s="227" t="str">
        <f>IF(AM44="ja",VLOOKUP($B44,Miljö!$B$1:$J$479,MATCH("Typ av ursprungsspecificerad el   (Om inget värde anges används Nordisk residualmix, se inforuta) ()",Miljö!$B$1:$J$1,0),FALSE),IF(AM44="nej","Nordisk residualel",""))</f>
        <v>'Ursprungsmärkt egenproducerad el'</v>
      </c>
      <c r="AO44" s="227">
        <f>IF(AM44="","",VLOOKUP($B44,Miljö!$B$1:$J$479,MATCH("Fossilandel för ursprungspecificerad el ()",Miljö!$B$1:$J$1,0),FALSE))</f>
        <v>0</v>
      </c>
      <c r="AP44" s="227">
        <f>IF(AM44="","",IFERROR(VLOOKUP($B44,Miljö!$B$1:$J$479,MATCH("Kärnkraftsandel för ursprungsspecificerad el ()",Miljö!$B$1:$J$1,0),FALSE)/1,0))</f>
        <v>0</v>
      </c>
      <c r="AQ44" s="227">
        <f t="shared" si="1"/>
        <v>1</v>
      </c>
      <c r="AR44" s="227"/>
      <c r="AS44" s="227" t="str">
        <f t="shared" si="2"/>
        <v>Nej</v>
      </c>
      <c r="AT44" s="227" t="str">
        <f>IF(AS44="ja",VLOOKUP($B44,Miljö!$B$1:$O$500,MATCH("Fossil andel i procent (%)",Miljö!$B$1:$O$1,0),FALSE)/100,"")</f>
        <v/>
      </c>
      <c r="AU44" s="227"/>
      <c r="AV44" s="227" t="str">
        <f t="shared" si="3"/>
        <v>Nej</v>
      </c>
      <c r="AW44" s="227" t="str">
        <f>IF(AV44="ja",VLOOKUP($B44,'Egen hetvattenprod'!$B$1:$AO$500,MATCH("Värmekälla till värmepumpar ()",'Egen hetvattenprod'!$B$1:$AO$1,0),FALSE),"")</f>
        <v/>
      </c>
      <c r="AX44" s="227"/>
      <c r="AY44" s="227" t="str">
        <f t="shared" si="4"/>
        <v>Nej</v>
      </c>
      <c r="AZ44" s="228" t="str">
        <f>IF($AY44="ja",(VLOOKUP($B44,'Egen hetvattenprod'!$B$1:$BX$550,MATCH(AZ$2,'Egen hetvattenprod'!$B$1:$BX$1,0),FALSE)+VLOOKUP($B44,Kraftvärmeprod!$B$1:$BX$550,MATCH(AZ$2,Kraftvärmeprod!$B$1:$BX$1,0),FALSE))/$AC44,"")</f>
        <v/>
      </c>
      <c r="BA44" s="228" t="str">
        <f>IF($AY44="ja",(VLOOKUP($B44,'Egen hetvattenprod'!$B$1:$BX$550,MATCH(BA$2,'Egen hetvattenprod'!$B$1:$BX$1,0),FALSE)+VLOOKUP($B44,Kraftvärmeprod!$B$1:$BX$550,MATCH(BA$2,Kraftvärmeprod!$B$1:$BX$1,0),FALSE))/$AC44,"")</f>
        <v/>
      </c>
      <c r="BB44" s="228" t="str">
        <f>IF($AY44="ja",(VLOOKUP($B44,'Egen hetvattenprod'!$B$1:$BX$550,MATCH(BB$2,'Egen hetvattenprod'!$B$1:$BX$1,0),FALSE)+VLOOKUP($B44,Kraftvärmeprod!$B$1:$BX$550,MATCH(BB$2,Kraftvärmeprod!$B$1:$BX$1,0),FALSE))/$AC44,"")</f>
        <v/>
      </c>
      <c r="BC44" s="228" t="str">
        <f>IF($AY44="ja",(VLOOKUP($B44,'Egen hetvattenprod'!$B$1:$BX$550,MATCH(BC$2,'Egen hetvattenprod'!$B$1:$BX$1,0),FALSE)+VLOOKUP($B44,Kraftvärmeprod!$B$1:$BX$550,MATCH(BC$2,Kraftvärmeprod!$B$1:$BX$1,0),FALSE))/$AC44,"")</f>
        <v/>
      </c>
      <c r="BD44" s="228" t="str">
        <f>IF($AY44="ja",(VLOOKUP($B44,'Egen hetvattenprod'!$B$1:$BX$550,MATCH(BD$2,'Egen hetvattenprod'!$B$1:$BX$1,0),FALSE)+VLOOKUP($B44,Kraftvärmeprod!$B$1:$BX$550,MATCH(BD$2,Kraftvärmeprod!$B$1:$BX$1,0),FALSE))/$AC44,"")</f>
        <v/>
      </c>
      <c r="BE44" s="227"/>
      <c r="BF44" s="227" t="str">
        <f t="shared" si="5"/>
        <v>Nej</v>
      </c>
      <c r="BG44" s="227" t="str">
        <f>IF($BF44="ja",VLOOKUP($B44,'Egen hetvattenprod'!$B$1:$BX$550,MATCH("Andelen klimatgaser med fossilt ursprung för avfall ()",'Egen hetvattenprod'!$B$1:$BX$1,0),FALSE),"")</f>
        <v/>
      </c>
      <c r="BH44" s="227" t="str">
        <f>IF($BF44="ja",VLOOKUP($B44,Kraftvärmeprod!$B$1:$BX$550,MATCH("Andelen klimatgaser med fossilt ursprung för avfall ()",Kraftvärmeprod!$B$1:$BX$1,0),FALSE),"")</f>
        <v/>
      </c>
      <c r="BI44" s="227" t="str">
        <f>IF($BF44="ja",VLOOKUP($B44,'Egen hetvattenprod'!$B$1:$BX$550,MATCH("Avfall (GWh)",'Egen hetvattenprod'!$B$1:$BX$1,0),FALSE),"")</f>
        <v/>
      </c>
      <c r="BJ44" s="227" t="str">
        <f>IF($BF44="ja",VLOOKUP($B44,'Slutlig allokering kvv'!$B$1:$BX$550,MATCH("Avfall (GWh)",'Slutlig allokering kvv'!$B$1:$BX$1,0),FALSE),"")</f>
        <v/>
      </c>
      <c r="BK44" s="227" t="str">
        <f>IF($BF44="ja",VLOOKUP($B44,'Köpt hetvatten'!$B$1:$BX$550,MATCH("Avfall i köpt hetvatten",'Köpt hetvatten'!$B$1:$BX$1,0),FALSE),"")</f>
        <v/>
      </c>
      <c r="BL44" s="227" t="str">
        <f>IF($BF44="ja",VLOOKUP($B44,'Egen hetvattenprod'!$B$1:$BX$550,MATCH("Värde enligt ovan. (%)",'Egen hetvattenprod'!$B$1:$BX$1,0),FALSE),"")</f>
        <v/>
      </c>
      <c r="BM44" s="227" t="str">
        <f>IF($BF44="ja",VLOOKUP($B44,Kraftvärmeprod!$B$1:$BX$550,MATCH("Värde enligt ovan. (%)",Kraftvärmeprod!$B$1:$BX$1,0),FALSE),"")</f>
        <v/>
      </c>
      <c r="BN44" s="227"/>
      <c r="BO44" s="227"/>
      <c r="BP44" s="227"/>
      <c r="BQ44" s="227" t="str">
        <f>IF($BF44="ja",VLOOKUP($B44,'Egen hetvattenprod'!$B$1:$BX$550,MATCH("Tillförd olja (fossil) vid avfallsförbränning (GWh)",'Egen hetvattenprod'!$B$1:$BX$1,0),FALSE),"")</f>
        <v/>
      </c>
      <c r="BR44" s="227" t="str">
        <f>IF($BF44="ja",VLOOKUP($B44,Kraftvärmeprod!$B$1:$BX$550,MATCH("Tillförd olja (fossil) vid avfallsförbränning (GWh)",Kraftvärmeprod!$B$1:$BX$1,0),FALSE),"")</f>
        <v/>
      </c>
      <c r="BS44" s="227"/>
      <c r="BT44" s="227"/>
      <c r="BU44" s="227"/>
    </row>
    <row r="45" spans="1:73" x14ac:dyDescent="0.25">
      <c r="A45" s="121" t="str">
        <f>'Miljövärden för publ företag'!B48</f>
        <v>BTEA Energi AB</v>
      </c>
      <c r="B45" s="121" t="str">
        <f>'Miljövärden för publ företag'!C48</f>
        <v>Berg</v>
      </c>
      <c r="C45" s="173">
        <f>IFERROR(VLOOKUP($B45,Totalt!$B$1:$AQ$554,MATCH(C$2,Totalt!$B$1:$AQ$1,0),FALSE),"")</f>
        <v>0</v>
      </c>
      <c r="D45" s="173">
        <f>IFERROR(VLOOKUP($B45,Totalt!$B$1:$AQ$554,MATCH(D$2,Totalt!$B$1:$AQ$1,0),FALSE),"")</f>
        <v>0.19600000000000001</v>
      </c>
      <c r="E45" s="173">
        <f>IFERROR(VLOOKUP($B45,Totalt!$B$1:$AQ$554,MATCH(E$2,Totalt!$B$1:$AQ$1,0),FALSE),"")</f>
        <v>0</v>
      </c>
      <c r="F45" s="173">
        <f>IFERROR(VLOOKUP($B45,Totalt!$B$1:$AQ$554,MATCH(F$2,Totalt!$B$1:$AQ$1,0),FALSE),"")</f>
        <v>0</v>
      </c>
      <c r="G45" s="173">
        <f>IFERROR(VLOOKUP($B45,Totalt!$B$1:$AQ$554,MATCH(G$2,Totalt!$B$1:$AQ$1,0),FALSE),"")</f>
        <v>0</v>
      </c>
      <c r="H45" s="173">
        <f>IFERROR(VLOOKUP($B45,Totalt!$B$1:$AQ$554,MATCH(H$2,Totalt!$B$1:$AQ$1,0),FALSE),"")</f>
        <v>0</v>
      </c>
      <c r="I45" s="173">
        <f>IFERROR(VLOOKUP($B45,Totalt!$B$1:$AQ$554,MATCH(I$2,Totalt!$B$1:$AQ$1,0),FALSE),"")</f>
        <v>0</v>
      </c>
      <c r="J45" s="173">
        <f>IFERROR(VLOOKUP($B45,Totalt!$B$1:$AQ$554,MATCH(J$2,Totalt!$B$1:$AQ$1,0),FALSE),"")</f>
        <v>0</v>
      </c>
      <c r="K45" s="173">
        <f>IFERROR(VLOOKUP($B45,Totalt!$B$1:$AQ$554,MATCH(K$2,Totalt!$B$1:$AQ$1,0),FALSE),"")</f>
        <v>0</v>
      </c>
      <c r="L45" s="173">
        <f>IFERROR(VLOOKUP($B45,Totalt!$B$1:$AQ$554,MATCH(L$2,Totalt!$B$1:$AQ$1,0),FALSE),"")</f>
        <v>0</v>
      </c>
      <c r="M45" s="173">
        <f>IFERROR(VLOOKUP($B45,Totalt!$B$1:$AQ$554,MATCH(M$2,Totalt!$B$1:$AQ$1,0),FALSE),"")</f>
        <v>0</v>
      </c>
      <c r="N45" s="173">
        <f>IFERROR(VLOOKUP($B45,Totalt!$B$1:$AQ$554,MATCH(N$2,Totalt!$B$1:$AQ$1,0),FALSE),"")</f>
        <v>0</v>
      </c>
      <c r="O45" s="173">
        <f>IFERROR(VLOOKUP($B45,Totalt!$B$1:$AQ$554,MATCH(O$2,Totalt!$B$1:$AQ$1,0),FALSE),"")</f>
        <v>10.72</v>
      </c>
      <c r="P45" s="173">
        <f>IFERROR(VLOOKUP($B45,Totalt!$B$1:$AQ$554,MATCH(P$2,Totalt!$B$1:$AQ$1,0),FALSE),"")</f>
        <v>2.2770000000000001</v>
      </c>
      <c r="Q45" s="173">
        <f>IFERROR(VLOOKUP($B45,Totalt!$B$1:$AQ$554,MATCH(Q$2,Totalt!$B$1:$AQ$1,0),FALSE),"")</f>
        <v>0</v>
      </c>
      <c r="R45" s="173">
        <f>IFERROR(VLOOKUP($B45,Totalt!$B$1:$AQ$554,MATCH(R$2,Totalt!$B$1:$AQ$1,0),FALSE),"")</f>
        <v>0.60199999999999998</v>
      </c>
      <c r="S45" s="173">
        <f>IFERROR(VLOOKUP($B45,Totalt!$B$1:$AQ$554,MATCH(S$2,Totalt!$B$1:$AQ$1,0),FALSE),"")</f>
        <v>0</v>
      </c>
      <c r="T45" s="173">
        <f>IFERROR(VLOOKUP($B45,Totalt!$B$1:$AQ$554,MATCH(T$2,Totalt!$B$1:$AQ$1,0),FALSE),"")</f>
        <v>0</v>
      </c>
      <c r="U45" s="173">
        <f>IFERROR(VLOOKUP($B45,Totalt!$B$1:$AQ$554,MATCH(U$2,Totalt!$B$1:$AQ$1,0),FALSE),"")</f>
        <v>0</v>
      </c>
      <c r="V45" s="173">
        <f>IFERROR(VLOOKUP($B45,Totalt!$B$1:$AQ$554,MATCH(V$2,Totalt!$B$1:$AQ$1,0),FALSE),"")</f>
        <v>0</v>
      </c>
      <c r="W45" s="173">
        <f>IFERROR(VLOOKUP($B45,Totalt!$B$1:$AQ$554,MATCH(W$2,Totalt!$B$1:$AQ$1,0),FALSE),"")</f>
        <v>0</v>
      </c>
      <c r="X45" s="173">
        <f>IFERROR(VLOOKUP($B45,Totalt!$B$1:$AQ$554,MATCH(X$2,Totalt!$B$1:$AQ$1,0),FALSE),"")</f>
        <v>0</v>
      </c>
      <c r="Y45" s="173">
        <f>IFERROR(VLOOKUP($B45,Totalt!$B$1:$AQ$554,MATCH(Y$2,Totalt!$B$1:$AQ$1,0),FALSE),"")</f>
        <v>0</v>
      </c>
      <c r="Z45" s="173">
        <f>IFERROR(VLOOKUP($B45,Totalt!$B$1:$AQ$554,MATCH(Z$2,Totalt!$B$1:$AQ$1,0),FALSE),"")</f>
        <v>0.29599999999999999</v>
      </c>
      <c r="AA45" s="173">
        <f>IFERROR(VLOOKUP($B45,Totalt!$B$1:$AQ$554,MATCH(AA$2,Totalt!$B$1:$AQ$1,0),FALSE),"")</f>
        <v>0</v>
      </c>
      <c r="AB45" s="173">
        <f>IFERROR(VLOOKUP($B45,Totalt!$B$1:$AQ$554,MATCH(AB$2,Totalt!$B$1:$AQ$1,0),FALSE),"")</f>
        <v>0</v>
      </c>
      <c r="AC45" s="173">
        <f>IFERROR(VLOOKUP($B45,Totalt!$B$1:$AQ$554,MATCH(AC$2,Totalt!$B$1:$AQ$1,0),FALSE),"")</f>
        <v>0</v>
      </c>
      <c r="AD45" s="173">
        <f>IFERROR(VLOOKUP($B45,Totalt!$B$1:$AQ$554,MATCH(AD$2,Totalt!$B$1:$AQ$1,0),FALSE),"")</f>
        <v>0</v>
      </c>
      <c r="AE45" s="173">
        <f>IFERROR(VLOOKUP($B45,Totalt!$B$1:$AQ$554,MATCH(AE$2,Totalt!$B$1:$AQ$1,0),FALSE),"")</f>
        <v>0</v>
      </c>
      <c r="AF45" s="173">
        <f>IFERROR(VLOOKUP($B45,Totalt!$B$1:$AQ$554,MATCH(AF$2,Totalt!$B$1:$AQ$1,0),FALSE),"")</f>
        <v>0.33578999999999998</v>
      </c>
      <c r="AG45" s="173">
        <f>IFERROR(VLOOKUP($B45,Totalt!$B$1:$AQ$554,MATCH(AG$2,Totalt!$B$1:$AQ$1,0),FALSE),"")</f>
        <v>0</v>
      </c>
      <c r="AI45" s="226">
        <f t="shared" si="0"/>
        <v>14.42679</v>
      </c>
      <c r="AJ45" s="226">
        <f>IF(ISERROR(1/VLOOKUP($B45,Leveranser!$B$1:$S$500,MATCH("såld värme (gwh)",Leveranser!$B$1:$S$1,0),FALSE)),"",VLOOKUP($B45,Leveranser!$B$1:$S$500,MATCH("såld värme (gwh)",Leveranser!$B$1:$S$1,0),FALSE))</f>
        <v>11.193</v>
      </c>
      <c r="AM45" s="227" t="str">
        <f>IF(B45&lt;&gt;"",IF(VLOOKUP($B45,Totalt!$B$1:$AQ$554,MATCH("Kvalitetsgranskad:",Totalt!$B$1:$AQ$1,0),FALSE)="ja",VLOOKUP($B45,Miljö!$B$1:$AG$479,MATCH(AM$2,Miljö!$B$1:$AK$1,0),FALSE),""),"")</f>
        <v>Nej</v>
      </c>
      <c r="AN45" s="227" t="str">
        <f>IF(AM45="ja",VLOOKUP($B45,Miljö!$B$1:$J$479,MATCH("Typ av ursprungsspecificerad el   (Om inget värde anges används Nordisk residualmix, se inforuta) ()",Miljö!$B$1:$J$1,0),FALSE),IF(AM45="nej","Nordisk residualel",""))</f>
        <v>Nordisk residualel</v>
      </c>
      <c r="AO45" s="227">
        <f>IF(AM45="","",VLOOKUP($B45,Miljö!$B$1:$J$479,MATCH("Fossilandel för ursprungspecificerad el ()",Miljö!$B$1:$J$1,0),FALSE))</f>
        <v>0.43</v>
      </c>
      <c r="AP45" s="227">
        <f>IF(AM45="","",IFERROR(VLOOKUP($B45,Miljö!$B$1:$J$479,MATCH("Kärnkraftsandel för ursprungsspecificerad el ()",Miljö!$B$1:$J$1,0),FALSE)/1,0))</f>
        <v>0.40550000000000003</v>
      </c>
      <c r="AQ45" s="227">
        <f t="shared" si="1"/>
        <v>0.16450000000000004</v>
      </c>
      <c r="AR45" s="227"/>
      <c r="AS45" s="227" t="str">
        <f t="shared" si="2"/>
        <v>Nej</v>
      </c>
      <c r="AT45" s="227" t="str">
        <f>IF(AS45="ja",VLOOKUP($B45,Miljö!$B$1:$O$500,MATCH("Fossil andel i procent (%)",Miljö!$B$1:$O$1,0),FALSE)/100,"")</f>
        <v/>
      </c>
      <c r="AU45" s="227"/>
      <c r="AV45" s="227" t="str">
        <f t="shared" si="3"/>
        <v>Nej</v>
      </c>
      <c r="AW45" s="227" t="str">
        <f>IF(AV45="ja",VLOOKUP($B45,'Egen hetvattenprod'!$B$1:$AO$500,MATCH("Värmekälla till värmepumpar ()",'Egen hetvattenprod'!$B$1:$AO$1,0),FALSE),"")</f>
        <v/>
      </c>
      <c r="AX45" s="227"/>
      <c r="AY45" s="227" t="str">
        <f t="shared" si="4"/>
        <v>Nej</v>
      </c>
      <c r="AZ45" s="228" t="str">
        <f>IF($AY45="ja",(VLOOKUP($B45,'Egen hetvattenprod'!$B$1:$BX$550,MATCH(AZ$2,'Egen hetvattenprod'!$B$1:$BX$1,0),FALSE)+VLOOKUP($B45,Kraftvärmeprod!$B$1:$BX$550,MATCH(AZ$2,Kraftvärmeprod!$B$1:$BX$1,0),FALSE))/$AC45,"")</f>
        <v/>
      </c>
      <c r="BA45" s="228" t="str">
        <f>IF($AY45="ja",(VLOOKUP($B45,'Egen hetvattenprod'!$B$1:$BX$550,MATCH(BA$2,'Egen hetvattenprod'!$B$1:$BX$1,0),FALSE)+VLOOKUP($B45,Kraftvärmeprod!$B$1:$BX$550,MATCH(BA$2,Kraftvärmeprod!$B$1:$BX$1,0),FALSE))/$AC45,"")</f>
        <v/>
      </c>
      <c r="BB45" s="228" t="str">
        <f>IF($AY45="ja",(VLOOKUP($B45,'Egen hetvattenprod'!$B$1:$BX$550,MATCH(BB$2,'Egen hetvattenprod'!$B$1:$BX$1,0),FALSE)+VLOOKUP($B45,Kraftvärmeprod!$B$1:$BX$550,MATCH(BB$2,Kraftvärmeprod!$B$1:$BX$1,0),FALSE))/$AC45,"")</f>
        <v/>
      </c>
      <c r="BC45" s="228" t="str">
        <f>IF($AY45="ja",(VLOOKUP($B45,'Egen hetvattenprod'!$B$1:$BX$550,MATCH(BC$2,'Egen hetvattenprod'!$B$1:$BX$1,0),FALSE)+VLOOKUP($B45,Kraftvärmeprod!$B$1:$BX$550,MATCH(BC$2,Kraftvärmeprod!$B$1:$BX$1,0),FALSE))/$AC45,"")</f>
        <v/>
      </c>
      <c r="BD45" s="228" t="str">
        <f>IF($AY45="ja",(VLOOKUP($B45,'Egen hetvattenprod'!$B$1:$BX$550,MATCH(BD$2,'Egen hetvattenprod'!$B$1:$BX$1,0),FALSE)+VLOOKUP($B45,Kraftvärmeprod!$B$1:$BX$550,MATCH(BD$2,Kraftvärmeprod!$B$1:$BX$1,0),FALSE))/$AC45,"")</f>
        <v/>
      </c>
      <c r="BE45" s="227"/>
      <c r="BF45" s="227" t="str">
        <f t="shared" si="5"/>
        <v>Nej</v>
      </c>
      <c r="BG45" s="227" t="str">
        <f>IF($BF45="ja",VLOOKUP($B45,'Egen hetvattenprod'!$B$1:$BX$550,MATCH("Andelen klimatgaser med fossilt ursprung för avfall ()",'Egen hetvattenprod'!$B$1:$BX$1,0),FALSE),"")</f>
        <v/>
      </c>
      <c r="BH45" s="227" t="str">
        <f>IF($BF45="ja",VLOOKUP($B45,Kraftvärmeprod!$B$1:$BX$550,MATCH("Andelen klimatgaser med fossilt ursprung för avfall ()",Kraftvärmeprod!$B$1:$BX$1,0),FALSE),"")</f>
        <v/>
      </c>
      <c r="BI45" s="227" t="str">
        <f>IF($BF45="ja",VLOOKUP($B45,'Egen hetvattenprod'!$B$1:$BX$550,MATCH("Avfall (GWh)",'Egen hetvattenprod'!$B$1:$BX$1,0),FALSE),"")</f>
        <v/>
      </c>
      <c r="BJ45" s="227" t="str">
        <f>IF($BF45="ja",VLOOKUP($B45,'Slutlig allokering kvv'!$B$1:$BX$550,MATCH("Avfall (GWh)",'Slutlig allokering kvv'!$B$1:$BX$1,0),FALSE),"")</f>
        <v/>
      </c>
      <c r="BK45" s="227" t="str">
        <f>IF($BF45="ja",VLOOKUP($B45,'Köpt hetvatten'!$B$1:$BX$550,MATCH("Avfall i köpt hetvatten",'Köpt hetvatten'!$B$1:$BX$1,0),FALSE),"")</f>
        <v/>
      </c>
      <c r="BL45" s="227" t="str">
        <f>IF($BF45="ja",VLOOKUP($B45,'Egen hetvattenprod'!$B$1:$BX$550,MATCH("Värde enligt ovan. (%)",'Egen hetvattenprod'!$B$1:$BX$1,0),FALSE),"")</f>
        <v/>
      </c>
      <c r="BM45" s="227" t="str">
        <f>IF($BF45="ja",VLOOKUP($B45,Kraftvärmeprod!$B$1:$BX$550,MATCH("Värde enligt ovan. (%)",Kraftvärmeprod!$B$1:$BX$1,0),FALSE),"")</f>
        <v/>
      </c>
      <c r="BN45" s="227"/>
      <c r="BO45" s="227"/>
      <c r="BP45" s="227"/>
      <c r="BQ45" s="227" t="str">
        <f>IF($BF45="ja",VLOOKUP($B45,'Egen hetvattenprod'!$B$1:$BX$550,MATCH("Tillförd olja (fossil) vid avfallsförbränning (GWh)",'Egen hetvattenprod'!$B$1:$BX$1,0),FALSE),"")</f>
        <v/>
      </c>
      <c r="BR45" s="227" t="str">
        <f>IF($BF45="ja",VLOOKUP($B45,Kraftvärmeprod!$B$1:$BX$550,MATCH("Tillförd olja (fossil) vid avfallsförbränning (GWh)",Kraftvärmeprod!$B$1:$BX$1,0),FALSE),"")</f>
        <v/>
      </c>
      <c r="BS45" s="227"/>
      <c r="BT45" s="227"/>
      <c r="BU45" s="227"/>
    </row>
    <row r="46" spans="1:73" x14ac:dyDescent="0.25">
      <c r="A46" s="121" t="str">
        <f>'Miljövärden för publ företag'!B49</f>
        <v>C4 Energi AB</v>
      </c>
      <c r="B46" s="121" t="str">
        <f>'Miljövärden för publ företag'!C49</f>
        <v>Fjälkinge</v>
      </c>
      <c r="C46" s="173">
        <f>IFERROR(VLOOKUP($B46,Totalt!$B$1:$AQ$554,MATCH(C$2,Totalt!$B$1:$AQ$1,0),FALSE),"")</f>
        <v>0</v>
      </c>
      <c r="D46" s="173">
        <f>IFERROR(VLOOKUP($B46,Totalt!$B$1:$AQ$554,MATCH(D$2,Totalt!$B$1:$AQ$1,0),FALSE),"")</f>
        <v>7.8409999999999994E-2</v>
      </c>
      <c r="E46" s="173">
        <f>IFERROR(VLOOKUP($B46,Totalt!$B$1:$AQ$554,MATCH(E$2,Totalt!$B$1:$AQ$1,0),FALSE),"")</f>
        <v>0</v>
      </c>
      <c r="F46" s="173">
        <f>IFERROR(VLOOKUP($B46,Totalt!$B$1:$AQ$554,MATCH(F$2,Totalt!$B$1:$AQ$1,0),FALSE),"")</f>
        <v>0</v>
      </c>
      <c r="G46" s="173">
        <f>IFERROR(VLOOKUP($B46,Totalt!$B$1:$AQ$554,MATCH(G$2,Totalt!$B$1:$AQ$1,0),FALSE),"")</f>
        <v>0</v>
      </c>
      <c r="H46" s="173">
        <f>IFERROR(VLOOKUP($B46,Totalt!$B$1:$AQ$554,MATCH(H$2,Totalt!$B$1:$AQ$1,0),FALSE),"")</f>
        <v>0</v>
      </c>
      <c r="I46" s="173">
        <f>IFERROR(VLOOKUP($B46,Totalt!$B$1:$AQ$554,MATCH(I$2,Totalt!$B$1:$AQ$1,0),FALSE),"")</f>
        <v>0</v>
      </c>
      <c r="J46" s="173">
        <f>IFERROR(VLOOKUP($B46,Totalt!$B$1:$AQ$554,MATCH(J$2,Totalt!$B$1:$AQ$1,0),FALSE),"")</f>
        <v>0</v>
      </c>
      <c r="K46" s="173">
        <f>IFERROR(VLOOKUP($B46,Totalt!$B$1:$AQ$554,MATCH(K$2,Totalt!$B$1:$AQ$1,0),FALSE),"")</f>
        <v>0</v>
      </c>
      <c r="L46" s="173">
        <f>IFERROR(VLOOKUP($B46,Totalt!$B$1:$AQ$554,MATCH(L$2,Totalt!$B$1:$AQ$1,0),FALSE),"")</f>
        <v>0</v>
      </c>
      <c r="M46" s="173">
        <f>IFERROR(VLOOKUP($B46,Totalt!$B$1:$AQ$554,MATCH(M$2,Totalt!$B$1:$AQ$1,0),FALSE),"")</f>
        <v>0</v>
      </c>
      <c r="N46" s="173">
        <f>IFERROR(VLOOKUP($B46,Totalt!$B$1:$AQ$554,MATCH(N$2,Totalt!$B$1:$AQ$1,0),FALSE),"")</f>
        <v>0</v>
      </c>
      <c r="O46" s="173">
        <f>IFERROR(VLOOKUP($B46,Totalt!$B$1:$AQ$554,MATCH(O$2,Totalt!$B$1:$AQ$1,0),FALSE),"")</f>
        <v>0</v>
      </c>
      <c r="P46" s="173">
        <f>IFERROR(VLOOKUP($B46,Totalt!$B$1:$AQ$554,MATCH(P$2,Totalt!$B$1:$AQ$1,0),FALSE),"")</f>
        <v>6.1292400000000002</v>
      </c>
      <c r="Q46" s="173">
        <f>IFERROR(VLOOKUP($B46,Totalt!$B$1:$AQ$554,MATCH(Q$2,Totalt!$B$1:$AQ$1,0),FALSE),"")</f>
        <v>0</v>
      </c>
      <c r="R46" s="173">
        <f>IFERROR(VLOOKUP($B46,Totalt!$B$1:$AQ$554,MATCH(R$2,Totalt!$B$1:$AQ$1,0),FALSE),"")</f>
        <v>0</v>
      </c>
      <c r="S46" s="173">
        <f>IFERROR(VLOOKUP($B46,Totalt!$B$1:$AQ$554,MATCH(S$2,Totalt!$B$1:$AQ$1,0),FALSE),"")</f>
        <v>0</v>
      </c>
      <c r="T46" s="173">
        <f>IFERROR(VLOOKUP($B46,Totalt!$B$1:$AQ$554,MATCH(T$2,Totalt!$B$1:$AQ$1,0),FALSE),"")</f>
        <v>0</v>
      </c>
      <c r="U46" s="173">
        <f>IFERROR(VLOOKUP($B46,Totalt!$B$1:$AQ$554,MATCH(U$2,Totalt!$B$1:$AQ$1,0),FALSE),"")</f>
        <v>0</v>
      </c>
      <c r="V46" s="173">
        <f>IFERROR(VLOOKUP($B46,Totalt!$B$1:$AQ$554,MATCH(V$2,Totalt!$B$1:$AQ$1,0),FALSE),"")</f>
        <v>0</v>
      </c>
      <c r="W46" s="173">
        <f>IFERROR(VLOOKUP($B46,Totalt!$B$1:$AQ$554,MATCH(W$2,Totalt!$B$1:$AQ$1,0),FALSE),"")</f>
        <v>0.99819999999999998</v>
      </c>
      <c r="X46" s="173">
        <f>IFERROR(VLOOKUP($B46,Totalt!$B$1:$AQ$554,MATCH(X$2,Totalt!$B$1:$AQ$1,0),FALSE),"")</f>
        <v>0</v>
      </c>
      <c r="Y46" s="173">
        <f>IFERROR(VLOOKUP($B46,Totalt!$B$1:$AQ$554,MATCH(Y$2,Totalt!$B$1:$AQ$1,0),FALSE),"")</f>
        <v>0</v>
      </c>
      <c r="Z46" s="173">
        <f>IFERROR(VLOOKUP($B46,Totalt!$B$1:$AQ$554,MATCH(Z$2,Totalt!$B$1:$AQ$1,0),FALSE),"")</f>
        <v>0</v>
      </c>
      <c r="AA46" s="173">
        <f>IFERROR(VLOOKUP($B46,Totalt!$B$1:$AQ$554,MATCH(AA$2,Totalt!$B$1:$AQ$1,0),FALSE),"")</f>
        <v>0</v>
      </c>
      <c r="AB46" s="173">
        <f>IFERROR(VLOOKUP($B46,Totalt!$B$1:$AQ$554,MATCH(AB$2,Totalt!$B$1:$AQ$1,0),FALSE),"")</f>
        <v>0</v>
      </c>
      <c r="AC46" s="173">
        <f>IFERROR(VLOOKUP($B46,Totalt!$B$1:$AQ$554,MATCH(AC$2,Totalt!$B$1:$AQ$1,0),FALSE),"")</f>
        <v>0</v>
      </c>
      <c r="AD46" s="173">
        <f>IFERROR(VLOOKUP($B46,Totalt!$B$1:$AQ$554,MATCH(AD$2,Totalt!$B$1:$AQ$1,0),FALSE),"")</f>
        <v>0</v>
      </c>
      <c r="AE46" s="173">
        <f>IFERROR(VLOOKUP($B46,Totalt!$B$1:$AQ$554,MATCH(AE$2,Totalt!$B$1:$AQ$1,0),FALSE),"")</f>
        <v>0</v>
      </c>
      <c r="AF46" s="173">
        <f>IFERROR(VLOOKUP($B46,Totalt!$B$1:$AQ$554,MATCH(AF$2,Totalt!$B$1:$AQ$1,0),FALSE),"")</f>
        <v>0.13700000000000001</v>
      </c>
      <c r="AG46" s="173">
        <f>IFERROR(VLOOKUP($B46,Totalt!$B$1:$AQ$554,MATCH(AG$2,Totalt!$B$1:$AQ$1,0),FALSE),"")</f>
        <v>0</v>
      </c>
      <c r="AI46" s="226">
        <f t="shared" si="0"/>
        <v>7.3428500000000003</v>
      </c>
      <c r="AJ46" s="226">
        <f>IF(ISERROR(1/VLOOKUP($B46,Leveranser!$B$1:$S$500,MATCH("såld värme (gwh)",Leveranser!$B$1:$S$1,0),FALSE)),"",VLOOKUP($B46,Leveranser!$B$1:$S$500,MATCH("såld värme (gwh)",Leveranser!$B$1:$S$1,0),FALSE))</f>
        <v>4.5830000000000002</v>
      </c>
      <c r="AM46" s="227" t="str">
        <f>IF(B46&lt;&gt;"",IF(VLOOKUP($B46,Totalt!$B$1:$AQ$554,MATCH("Kvalitetsgranskad:",Totalt!$B$1:$AQ$1,0),FALSE)="ja",VLOOKUP($B46,Miljö!$B$1:$AG$479,MATCH(AM$2,Miljö!$B$1:$AK$1,0),FALSE),""),"")</f>
        <v>Ja</v>
      </c>
      <c r="AN46" s="227" t="str">
        <f>IF(AM46="ja",VLOOKUP($B46,Miljö!$B$1:$J$479,MATCH("Typ av ursprungsspecificerad el   (Om inget värde anges används Nordisk residualmix, se inforuta) ()",Miljö!$B$1:$J$1,0),FALSE),IF(AM46="nej","Nordisk residualel",""))</f>
        <v>''C4 Energi 100% fossilfritt''</v>
      </c>
      <c r="AO46" s="227">
        <f>IF(AM46="","",VLOOKUP($B46,Miljö!$B$1:$J$479,MATCH("Fossilandel för ursprungspecificerad el ()",Miljö!$B$1:$J$1,0),FALSE))</f>
        <v>0</v>
      </c>
      <c r="AP46" s="227">
        <f>IF(AM46="","",IFERROR(VLOOKUP($B46,Miljö!$B$1:$J$479,MATCH("Kärnkraftsandel för ursprungsspecificerad el ()",Miljö!$B$1:$J$1,0),FALSE)/1,0))</f>
        <v>0</v>
      </c>
      <c r="AQ46" s="227">
        <f t="shared" si="1"/>
        <v>1</v>
      </c>
      <c r="AR46" s="227"/>
      <c r="AS46" s="227" t="str">
        <f t="shared" si="2"/>
        <v>Nej</v>
      </c>
      <c r="AT46" s="227" t="str">
        <f>IF(AS46="ja",VLOOKUP($B46,Miljö!$B$1:$O$500,MATCH("Fossil andel i procent (%)",Miljö!$B$1:$O$1,0),FALSE)/100,"")</f>
        <v/>
      </c>
      <c r="AU46" s="227"/>
      <c r="AV46" s="227" t="str">
        <f t="shared" si="3"/>
        <v>Nej</v>
      </c>
      <c r="AW46" s="227" t="str">
        <f>IF(AV46="ja",VLOOKUP($B46,'Egen hetvattenprod'!$B$1:$AO$500,MATCH("Värmekälla till värmepumpar ()",'Egen hetvattenprod'!$B$1:$AO$1,0),FALSE),"")</f>
        <v/>
      </c>
      <c r="AX46" s="227"/>
      <c r="AY46" s="227" t="str">
        <f t="shared" si="4"/>
        <v>Nej</v>
      </c>
      <c r="AZ46" s="228" t="str">
        <f>IF($AY46="ja",(VLOOKUP($B46,'Egen hetvattenprod'!$B$1:$BX$550,MATCH(AZ$2,'Egen hetvattenprod'!$B$1:$BX$1,0),FALSE)+VLOOKUP($B46,Kraftvärmeprod!$B$1:$BX$550,MATCH(AZ$2,Kraftvärmeprod!$B$1:$BX$1,0),FALSE))/$AC46,"")</f>
        <v/>
      </c>
      <c r="BA46" s="228" t="str">
        <f>IF($AY46="ja",(VLOOKUP($B46,'Egen hetvattenprod'!$B$1:$BX$550,MATCH(BA$2,'Egen hetvattenprod'!$B$1:$BX$1,0),FALSE)+VLOOKUP($B46,Kraftvärmeprod!$B$1:$BX$550,MATCH(BA$2,Kraftvärmeprod!$B$1:$BX$1,0),FALSE))/$AC46,"")</f>
        <v/>
      </c>
      <c r="BB46" s="228" t="str">
        <f>IF($AY46="ja",(VLOOKUP($B46,'Egen hetvattenprod'!$B$1:$BX$550,MATCH(BB$2,'Egen hetvattenprod'!$B$1:$BX$1,0),FALSE)+VLOOKUP($B46,Kraftvärmeprod!$B$1:$BX$550,MATCH(BB$2,Kraftvärmeprod!$B$1:$BX$1,0),FALSE))/$AC46,"")</f>
        <v/>
      </c>
      <c r="BC46" s="228" t="str">
        <f>IF($AY46="ja",(VLOOKUP($B46,'Egen hetvattenprod'!$B$1:$BX$550,MATCH(BC$2,'Egen hetvattenprod'!$B$1:$BX$1,0),FALSE)+VLOOKUP($B46,Kraftvärmeprod!$B$1:$BX$550,MATCH(BC$2,Kraftvärmeprod!$B$1:$BX$1,0),FALSE))/$AC46,"")</f>
        <v/>
      </c>
      <c r="BD46" s="228" t="str">
        <f>IF($AY46="ja",(VLOOKUP($B46,'Egen hetvattenprod'!$B$1:$BX$550,MATCH(BD$2,'Egen hetvattenprod'!$B$1:$BX$1,0),FALSE)+VLOOKUP($B46,Kraftvärmeprod!$B$1:$BX$550,MATCH(BD$2,Kraftvärmeprod!$B$1:$BX$1,0),FALSE))/$AC46,"")</f>
        <v/>
      </c>
      <c r="BE46" s="227"/>
      <c r="BF46" s="227" t="str">
        <f t="shared" si="5"/>
        <v>Nej</v>
      </c>
      <c r="BG46" s="227" t="str">
        <f>IF($BF46="ja",VLOOKUP($B46,'Egen hetvattenprod'!$B$1:$BX$550,MATCH("Andelen klimatgaser med fossilt ursprung för avfall ()",'Egen hetvattenprod'!$B$1:$BX$1,0),FALSE),"")</f>
        <v/>
      </c>
      <c r="BH46" s="227" t="str">
        <f>IF($BF46="ja",VLOOKUP($B46,Kraftvärmeprod!$B$1:$BX$550,MATCH("Andelen klimatgaser med fossilt ursprung för avfall ()",Kraftvärmeprod!$B$1:$BX$1,0),FALSE),"")</f>
        <v/>
      </c>
      <c r="BI46" s="227" t="str">
        <f>IF($BF46="ja",VLOOKUP($B46,'Egen hetvattenprod'!$B$1:$BX$550,MATCH("Avfall (GWh)",'Egen hetvattenprod'!$B$1:$BX$1,0),FALSE),"")</f>
        <v/>
      </c>
      <c r="BJ46" s="227" t="str">
        <f>IF($BF46="ja",VLOOKUP($B46,'Slutlig allokering kvv'!$B$1:$BX$550,MATCH("Avfall (GWh)",'Slutlig allokering kvv'!$B$1:$BX$1,0),FALSE),"")</f>
        <v/>
      </c>
      <c r="BK46" s="227" t="str">
        <f>IF($BF46="ja",VLOOKUP($B46,'Köpt hetvatten'!$B$1:$BX$550,MATCH("Avfall i köpt hetvatten",'Köpt hetvatten'!$B$1:$BX$1,0),FALSE),"")</f>
        <v/>
      </c>
      <c r="BL46" s="227" t="str">
        <f>IF($BF46="ja",VLOOKUP($B46,'Egen hetvattenprod'!$B$1:$BX$550,MATCH("Värde enligt ovan. (%)",'Egen hetvattenprod'!$B$1:$BX$1,0),FALSE),"")</f>
        <v/>
      </c>
      <c r="BM46" s="227" t="str">
        <f>IF($BF46="ja",VLOOKUP($B46,Kraftvärmeprod!$B$1:$BX$550,MATCH("Värde enligt ovan. (%)",Kraftvärmeprod!$B$1:$BX$1,0),FALSE),"")</f>
        <v/>
      </c>
      <c r="BN46" s="227"/>
      <c r="BO46" s="227"/>
      <c r="BP46" s="227"/>
      <c r="BQ46" s="227" t="str">
        <f>IF($BF46="ja",VLOOKUP($B46,'Egen hetvattenprod'!$B$1:$BX$550,MATCH("Tillförd olja (fossil) vid avfallsförbränning (GWh)",'Egen hetvattenprod'!$B$1:$BX$1,0),FALSE),"")</f>
        <v/>
      </c>
      <c r="BR46" s="227" t="str">
        <f>IF($BF46="ja",VLOOKUP($B46,Kraftvärmeprod!$B$1:$BX$550,MATCH("Tillförd olja (fossil) vid avfallsförbränning (GWh)",Kraftvärmeprod!$B$1:$BX$1,0),FALSE),"")</f>
        <v/>
      </c>
      <c r="BS46" s="227"/>
      <c r="BT46" s="227"/>
      <c r="BU46" s="227"/>
    </row>
    <row r="47" spans="1:73" x14ac:dyDescent="0.25">
      <c r="A47" s="121" t="str">
        <f>'Miljövärden för publ företag'!B50</f>
        <v>C4 Energi AB</v>
      </c>
      <c r="B47" s="121" t="str">
        <f>'Miljövärden för publ företag'!C50</f>
        <v>Kristianstad</v>
      </c>
      <c r="C47" s="173">
        <f>IFERROR(VLOOKUP($B47,Totalt!$B$1:$AQ$554,MATCH(C$2,Totalt!$B$1:$AQ$1,0),FALSE),"")</f>
        <v>0</v>
      </c>
      <c r="D47" s="173">
        <f>IFERROR(VLOOKUP($B47,Totalt!$B$1:$AQ$554,MATCH(D$2,Totalt!$B$1:$AQ$1,0),FALSE),"")</f>
        <v>0.39771699999999999</v>
      </c>
      <c r="E47" s="173">
        <f>IFERROR(VLOOKUP($B47,Totalt!$B$1:$AQ$554,MATCH(E$2,Totalt!$B$1:$AQ$1,0),FALSE),"")</f>
        <v>0</v>
      </c>
      <c r="F47" s="173">
        <f>IFERROR(VLOOKUP($B47,Totalt!$B$1:$AQ$554,MATCH(F$2,Totalt!$B$1:$AQ$1,0),FALSE),"")</f>
        <v>0</v>
      </c>
      <c r="G47" s="173">
        <f>IFERROR(VLOOKUP($B47,Totalt!$B$1:$AQ$554,MATCH(G$2,Totalt!$B$1:$AQ$1,0),FALSE),"")</f>
        <v>0</v>
      </c>
      <c r="H47" s="173">
        <f>IFERROR(VLOOKUP($B47,Totalt!$B$1:$AQ$554,MATCH(H$2,Totalt!$B$1:$AQ$1,0),FALSE),"")</f>
        <v>0</v>
      </c>
      <c r="I47" s="173">
        <f>IFERROR(VLOOKUP($B47,Totalt!$B$1:$AQ$554,MATCH(I$2,Totalt!$B$1:$AQ$1,0),FALSE),"")</f>
        <v>0</v>
      </c>
      <c r="J47" s="173">
        <f>IFERROR(VLOOKUP($B47,Totalt!$B$1:$AQ$554,MATCH(J$2,Totalt!$B$1:$AQ$1,0),FALSE),"")</f>
        <v>17.069600000000001</v>
      </c>
      <c r="K47" s="173">
        <f>IFERROR(VLOOKUP($B47,Totalt!$B$1:$AQ$554,MATCH(K$2,Totalt!$B$1:$AQ$1,0),FALSE),"")</f>
        <v>0</v>
      </c>
      <c r="L47" s="173">
        <f>IFERROR(VLOOKUP($B47,Totalt!$B$1:$AQ$554,MATCH(L$2,Totalt!$B$1:$AQ$1,0),FALSE),"")</f>
        <v>0</v>
      </c>
      <c r="M47" s="173">
        <f>IFERROR(VLOOKUP($B47,Totalt!$B$1:$AQ$554,MATCH(M$2,Totalt!$B$1:$AQ$1,0),FALSE),"")</f>
        <v>15.453099999999999</v>
      </c>
      <c r="N47" s="173">
        <f>IFERROR(VLOOKUP($B47,Totalt!$B$1:$AQ$554,MATCH(N$2,Totalt!$B$1:$AQ$1,0),FALSE),"")</f>
        <v>210.05099999999999</v>
      </c>
      <c r="O47" s="173">
        <f>IFERROR(VLOOKUP($B47,Totalt!$B$1:$AQ$554,MATCH(O$2,Totalt!$B$1:$AQ$1,0),FALSE),"")</f>
        <v>0</v>
      </c>
      <c r="P47" s="173">
        <f>IFERROR(VLOOKUP($B47,Totalt!$B$1:$AQ$554,MATCH(P$2,Totalt!$B$1:$AQ$1,0),FALSE),"")</f>
        <v>42.548900000000003</v>
      </c>
      <c r="Q47" s="173">
        <f>IFERROR(VLOOKUP($B47,Totalt!$B$1:$AQ$554,MATCH(Q$2,Totalt!$B$1:$AQ$1,0),FALSE),"")</f>
        <v>2.0725899999999999</v>
      </c>
      <c r="R47" s="173">
        <f>IFERROR(VLOOKUP($B47,Totalt!$B$1:$AQ$554,MATCH(R$2,Totalt!$B$1:$AQ$1,0),FALSE),"")</f>
        <v>0</v>
      </c>
      <c r="S47" s="173">
        <f>IFERROR(VLOOKUP($B47,Totalt!$B$1:$AQ$554,MATCH(S$2,Totalt!$B$1:$AQ$1,0),FALSE),"")</f>
        <v>0</v>
      </c>
      <c r="T47" s="173">
        <f>IFERROR(VLOOKUP($B47,Totalt!$B$1:$AQ$554,MATCH(T$2,Totalt!$B$1:$AQ$1,0),FALSE),"")</f>
        <v>0</v>
      </c>
      <c r="U47" s="173">
        <f>IFERROR(VLOOKUP($B47,Totalt!$B$1:$AQ$554,MATCH(U$2,Totalt!$B$1:$AQ$1,0),FALSE),"")</f>
        <v>0</v>
      </c>
      <c r="V47" s="173">
        <f>IFERROR(VLOOKUP($B47,Totalt!$B$1:$AQ$554,MATCH(V$2,Totalt!$B$1:$AQ$1,0),FALSE),"")</f>
        <v>0</v>
      </c>
      <c r="W47" s="173">
        <f>IFERROR(VLOOKUP($B47,Totalt!$B$1:$AQ$554,MATCH(W$2,Totalt!$B$1:$AQ$1,0),FALSE),"")</f>
        <v>28.9895</v>
      </c>
      <c r="X47" s="173">
        <f>IFERROR(VLOOKUP($B47,Totalt!$B$1:$AQ$554,MATCH(X$2,Totalt!$B$1:$AQ$1,0),FALSE),"")</f>
        <v>0</v>
      </c>
      <c r="Y47" s="173">
        <f>IFERROR(VLOOKUP($B47,Totalt!$B$1:$AQ$554,MATCH(Y$2,Totalt!$B$1:$AQ$1,0),FALSE),"")</f>
        <v>0</v>
      </c>
      <c r="Z47" s="173">
        <f>IFERROR(VLOOKUP($B47,Totalt!$B$1:$AQ$554,MATCH(Z$2,Totalt!$B$1:$AQ$1,0),FALSE),"")</f>
        <v>0</v>
      </c>
      <c r="AA47" s="173">
        <f>IFERROR(VLOOKUP($B47,Totalt!$B$1:$AQ$554,MATCH(AA$2,Totalt!$B$1:$AQ$1,0),FALSE),"")</f>
        <v>0</v>
      </c>
      <c r="AB47" s="173">
        <f>IFERROR(VLOOKUP($B47,Totalt!$B$1:$AQ$554,MATCH(AB$2,Totalt!$B$1:$AQ$1,0),FALSE),"")</f>
        <v>0</v>
      </c>
      <c r="AC47" s="173">
        <f>IFERROR(VLOOKUP($B47,Totalt!$B$1:$AQ$554,MATCH(AC$2,Totalt!$B$1:$AQ$1,0),FALSE),"")</f>
        <v>75.911000000000001</v>
      </c>
      <c r="AD47" s="173">
        <f>IFERROR(VLOOKUP($B47,Totalt!$B$1:$AQ$554,MATCH(AD$2,Totalt!$B$1:$AQ$1,0),FALSE),"")</f>
        <v>0.60899999999999999</v>
      </c>
      <c r="AE47" s="173">
        <f>IFERROR(VLOOKUP($B47,Totalt!$B$1:$AQ$554,MATCH(AE$2,Totalt!$B$1:$AQ$1,0),FALSE),"")</f>
        <v>0</v>
      </c>
      <c r="AF47" s="173">
        <f>IFERROR(VLOOKUP($B47,Totalt!$B$1:$AQ$554,MATCH(AF$2,Totalt!$B$1:$AQ$1,0),FALSE),"")</f>
        <v>11.6058</v>
      </c>
      <c r="AG47" s="173">
        <f>IFERROR(VLOOKUP($B47,Totalt!$B$1:$AQ$554,MATCH(AG$2,Totalt!$B$1:$AQ$1,0),FALSE),"")</f>
        <v>0</v>
      </c>
      <c r="AI47" s="226">
        <f t="shared" si="0"/>
        <v>404.70820699999996</v>
      </c>
      <c r="AJ47" s="226">
        <f>IF(ISERROR(1/VLOOKUP($B47,Leveranser!$B$1:$S$500,MATCH("såld värme (gwh)",Leveranser!$B$1:$S$1,0),FALSE)),"",VLOOKUP($B47,Leveranser!$B$1:$S$500,MATCH("såld värme (gwh)",Leveranser!$B$1:$S$1,0),FALSE))</f>
        <v>355.76600000000002</v>
      </c>
      <c r="AM47" s="227" t="str">
        <f>IF(B47&lt;&gt;"",IF(VLOOKUP($B47,Totalt!$B$1:$AQ$554,MATCH("Kvalitetsgranskad:",Totalt!$B$1:$AQ$1,0),FALSE)="ja",VLOOKUP($B47,Miljö!$B$1:$AG$479,MATCH(AM$2,Miljö!$B$1:$AK$1,0),FALSE),""),"")</f>
        <v>Ja</v>
      </c>
      <c r="AN47" s="227" t="str">
        <f>IF(AM47="ja",VLOOKUP($B47,Miljö!$B$1:$J$479,MATCH("Typ av ursprungsspecificerad el   (Om inget värde anges används Nordisk residualmix, se inforuta) ()",Miljö!$B$1:$J$1,0),FALSE),IF(AM47="nej","Nordisk residualel",""))</f>
        <v>'Egenproducerad grön 100%'</v>
      </c>
      <c r="AO47" s="227">
        <f>IF(AM47="","",VLOOKUP($B47,Miljö!$B$1:$J$479,MATCH("Fossilandel för ursprungspecificerad el ()",Miljö!$B$1:$J$1,0),FALSE))</f>
        <v>0</v>
      </c>
      <c r="AP47" s="227">
        <f>IF(AM47="","",IFERROR(VLOOKUP($B47,Miljö!$B$1:$J$479,MATCH("Kärnkraftsandel för ursprungsspecificerad el ()",Miljö!$B$1:$J$1,0),FALSE)/1,0))</f>
        <v>0</v>
      </c>
      <c r="AQ47" s="227">
        <f t="shared" si="1"/>
        <v>1</v>
      </c>
      <c r="AR47" s="227"/>
      <c r="AS47" s="227" t="str">
        <f t="shared" si="2"/>
        <v>Nej</v>
      </c>
      <c r="AT47" s="227" t="str">
        <f>IF(AS47="ja",VLOOKUP($B47,Miljö!$B$1:$O$500,MATCH("Fossil andel i procent (%)",Miljö!$B$1:$O$1,0),FALSE)/100,"")</f>
        <v/>
      </c>
      <c r="AU47" s="227"/>
      <c r="AV47" s="227" t="str">
        <f t="shared" si="3"/>
        <v>Nej</v>
      </c>
      <c r="AW47" s="227" t="str">
        <f>IF(AV47="ja",VLOOKUP($B47,'Egen hetvattenprod'!$B$1:$AO$500,MATCH("Värmekälla till värmepumpar ()",'Egen hetvattenprod'!$B$1:$AO$1,0),FALSE),"")</f>
        <v/>
      </c>
      <c r="AX47" s="227"/>
      <c r="AY47" s="227" t="str">
        <f t="shared" si="4"/>
        <v>Ja</v>
      </c>
      <c r="AZ47" s="228">
        <f>IF($AY47="ja",(VLOOKUP($B47,'Egen hetvattenprod'!$B$1:$BX$550,MATCH(AZ$2,'Egen hetvattenprod'!$B$1:$BX$1,0),FALSE)+VLOOKUP($B47,Kraftvärmeprod!$B$1:$BX$550,MATCH(AZ$2,Kraftvärmeprod!$B$1:$BX$1,0),FALSE))/$AC47,"")</f>
        <v>1</v>
      </c>
      <c r="BA47" s="228">
        <f>IF($AY47="ja",(VLOOKUP($B47,'Egen hetvattenprod'!$B$1:$BX$550,MATCH(BA$2,'Egen hetvattenprod'!$B$1:$BX$1,0),FALSE)+VLOOKUP($B47,Kraftvärmeprod!$B$1:$BX$550,MATCH(BA$2,Kraftvärmeprod!$B$1:$BX$1,0),FALSE))/$AC47,"")</f>
        <v>0</v>
      </c>
      <c r="BB47" s="228">
        <f>IF($AY47="ja",(VLOOKUP($B47,'Egen hetvattenprod'!$B$1:$BX$550,MATCH(BB$2,'Egen hetvattenprod'!$B$1:$BX$1,0),FALSE)+VLOOKUP($B47,Kraftvärmeprod!$B$1:$BX$550,MATCH(BB$2,Kraftvärmeprod!$B$1:$BX$1,0),FALSE))/$AC47,"")</f>
        <v>0</v>
      </c>
      <c r="BC47" s="228">
        <f>IF($AY47="ja",(VLOOKUP($B47,'Egen hetvattenprod'!$B$1:$BX$550,MATCH(BC$2,'Egen hetvattenprod'!$B$1:$BX$1,0),FALSE)+VLOOKUP($B47,Kraftvärmeprod!$B$1:$BX$550,MATCH(BC$2,Kraftvärmeprod!$B$1:$BX$1,0),FALSE))/$AC47,"")</f>
        <v>0</v>
      </c>
      <c r="BD47" s="228">
        <f>IF($AY47="ja",(VLOOKUP($B47,'Egen hetvattenprod'!$B$1:$BX$550,MATCH(BD$2,'Egen hetvattenprod'!$B$1:$BX$1,0),FALSE)+VLOOKUP($B47,Kraftvärmeprod!$B$1:$BX$550,MATCH(BD$2,Kraftvärmeprod!$B$1:$BX$1,0),FALSE))/$AC47,"")</f>
        <v>0</v>
      </c>
      <c r="BE47" s="227"/>
      <c r="BF47" s="227" t="str">
        <f t="shared" si="5"/>
        <v>Nej</v>
      </c>
      <c r="BG47" s="227" t="str">
        <f>IF($BF47="ja",VLOOKUP($B47,'Egen hetvattenprod'!$B$1:$BX$550,MATCH("Andelen klimatgaser med fossilt ursprung för avfall ()",'Egen hetvattenprod'!$B$1:$BX$1,0),FALSE),"")</f>
        <v/>
      </c>
      <c r="BH47" s="227" t="str">
        <f>IF($BF47="ja",VLOOKUP($B47,Kraftvärmeprod!$B$1:$BX$550,MATCH("Andelen klimatgaser med fossilt ursprung för avfall ()",Kraftvärmeprod!$B$1:$BX$1,0),FALSE),"")</f>
        <v/>
      </c>
      <c r="BI47" s="227" t="str">
        <f>IF($BF47="ja",VLOOKUP($B47,'Egen hetvattenprod'!$B$1:$BX$550,MATCH("Avfall (GWh)",'Egen hetvattenprod'!$B$1:$BX$1,0),FALSE),"")</f>
        <v/>
      </c>
      <c r="BJ47" s="227" t="str">
        <f>IF($BF47="ja",VLOOKUP($B47,'Slutlig allokering kvv'!$B$1:$BX$550,MATCH("Avfall (GWh)",'Slutlig allokering kvv'!$B$1:$BX$1,0),FALSE),"")</f>
        <v/>
      </c>
      <c r="BK47" s="227" t="str">
        <f>IF($BF47="ja",VLOOKUP($B47,'Köpt hetvatten'!$B$1:$BX$550,MATCH("Avfall i köpt hetvatten",'Köpt hetvatten'!$B$1:$BX$1,0),FALSE),"")</f>
        <v/>
      </c>
      <c r="BL47" s="227" t="str">
        <f>IF($BF47="ja",VLOOKUP($B47,'Egen hetvattenprod'!$B$1:$BX$550,MATCH("Värde enligt ovan. (%)",'Egen hetvattenprod'!$B$1:$BX$1,0),FALSE),"")</f>
        <v/>
      </c>
      <c r="BM47" s="227" t="str">
        <f>IF($BF47="ja",VLOOKUP($B47,Kraftvärmeprod!$B$1:$BX$550,MATCH("Värde enligt ovan. (%)",Kraftvärmeprod!$B$1:$BX$1,0),FALSE),"")</f>
        <v/>
      </c>
      <c r="BN47" s="227"/>
      <c r="BO47" s="227"/>
      <c r="BP47" s="227"/>
      <c r="BQ47" s="227" t="str">
        <f>IF($BF47="ja",VLOOKUP($B47,'Egen hetvattenprod'!$B$1:$BX$550,MATCH("Tillförd olja (fossil) vid avfallsförbränning (GWh)",'Egen hetvattenprod'!$B$1:$BX$1,0),FALSE),"")</f>
        <v/>
      </c>
      <c r="BR47" s="227" t="str">
        <f>IF($BF47="ja",VLOOKUP($B47,Kraftvärmeprod!$B$1:$BX$550,MATCH("Tillförd olja (fossil) vid avfallsförbränning (GWh)",Kraftvärmeprod!$B$1:$BX$1,0),FALSE),"")</f>
        <v/>
      </c>
      <c r="BS47" s="227"/>
      <c r="BT47" s="227"/>
      <c r="BU47" s="227"/>
    </row>
    <row r="48" spans="1:73" x14ac:dyDescent="0.25">
      <c r="A48" s="121" t="str">
        <f>'Miljövärden för publ företag'!B51</f>
        <v>Dala Energi Värme AB</v>
      </c>
      <c r="B48" s="121" t="str">
        <f>'Miljövärden för publ företag'!C51</f>
        <v>Insjön</v>
      </c>
      <c r="C48" s="173">
        <f>IFERROR(VLOOKUP($B48,Totalt!$B$1:$AQ$554,MATCH(C$2,Totalt!$B$1:$AQ$1,0),FALSE),"")</f>
        <v>0</v>
      </c>
      <c r="D48" s="173">
        <f>IFERROR(VLOOKUP($B48,Totalt!$B$1:$AQ$554,MATCH(D$2,Totalt!$B$1:$AQ$1,0),FALSE),"")</f>
        <v>0</v>
      </c>
      <c r="E48" s="173">
        <f>IFERROR(VLOOKUP($B48,Totalt!$B$1:$AQ$554,MATCH(E$2,Totalt!$B$1:$AQ$1,0),FALSE),"")</f>
        <v>0</v>
      </c>
      <c r="F48" s="173">
        <f>IFERROR(VLOOKUP($B48,Totalt!$B$1:$AQ$554,MATCH(F$2,Totalt!$B$1:$AQ$1,0),FALSE),"")</f>
        <v>0</v>
      </c>
      <c r="G48" s="173">
        <f>IFERROR(VLOOKUP($B48,Totalt!$B$1:$AQ$554,MATCH(G$2,Totalt!$B$1:$AQ$1,0),FALSE),"")</f>
        <v>0</v>
      </c>
      <c r="H48" s="173">
        <f>IFERROR(VLOOKUP($B48,Totalt!$B$1:$AQ$554,MATCH(H$2,Totalt!$B$1:$AQ$1,0),FALSE),"")</f>
        <v>0</v>
      </c>
      <c r="I48" s="173">
        <f>IFERROR(VLOOKUP($B48,Totalt!$B$1:$AQ$554,MATCH(I$2,Totalt!$B$1:$AQ$1,0),FALSE),"")</f>
        <v>0</v>
      </c>
      <c r="J48" s="173">
        <f>IFERROR(VLOOKUP($B48,Totalt!$B$1:$AQ$554,MATCH(J$2,Totalt!$B$1:$AQ$1,0),FALSE),"")</f>
        <v>0</v>
      </c>
      <c r="K48" s="173">
        <f>IFERROR(VLOOKUP($B48,Totalt!$B$1:$AQ$554,MATCH(K$2,Totalt!$B$1:$AQ$1,0),FALSE),"")</f>
        <v>0</v>
      </c>
      <c r="L48" s="173">
        <f>IFERROR(VLOOKUP($B48,Totalt!$B$1:$AQ$554,MATCH(L$2,Totalt!$B$1:$AQ$1,0),FALSE),"")</f>
        <v>0</v>
      </c>
      <c r="M48" s="173">
        <f>IFERROR(VLOOKUP($B48,Totalt!$B$1:$AQ$554,MATCH(M$2,Totalt!$B$1:$AQ$1,0),FALSE),"")</f>
        <v>0</v>
      </c>
      <c r="N48" s="173">
        <f>IFERROR(VLOOKUP($B48,Totalt!$B$1:$AQ$554,MATCH(N$2,Totalt!$B$1:$AQ$1,0),FALSE),"")</f>
        <v>0</v>
      </c>
      <c r="O48" s="173">
        <f>IFERROR(VLOOKUP($B48,Totalt!$B$1:$AQ$554,MATCH(O$2,Totalt!$B$1:$AQ$1,0),FALSE),"")</f>
        <v>0</v>
      </c>
      <c r="P48" s="173">
        <f>IFERROR(VLOOKUP($B48,Totalt!$B$1:$AQ$554,MATCH(P$2,Totalt!$B$1:$AQ$1,0),FALSE),"")</f>
        <v>0</v>
      </c>
      <c r="Q48" s="173">
        <f>IFERROR(VLOOKUP($B48,Totalt!$B$1:$AQ$554,MATCH(Q$2,Totalt!$B$1:$AQ$1,0),FALSE),"")</f>
        <v>13.3451</v>
      </c>
      <c r="R48" s="173">
        <f>IFERROR(VLOOKUP($B48,Totalt!$B$1:$AQ$554,MATCH(R$2,Totalt!$B$1:$AQ$1,0),FALSE),"")</f>
        <v>0</v>
      </c>
      <c r="S48" s="173">
        <f>IFERROR(VLOOKUP($B48,Totalt!$B$1:$AQ$554,MATCH(S$2,Totalt!$B$1:$AQ$1,0),FALSE),"")</f>
        <v>0</v>
      </c>
      <c r="T48" s="173">
        <f>IFERROR(VLOOKUP($B48,Totalt!$B$1:$AQ$554,MATCH(T$2,Totalt!$B$1:$AQ$1,0),FALSE),"")</f>
        <v>0</v>
      </c>
      <c r="U48" s="173">
        <f>IFERROR(VLOOKUP($B48,Totalt!$B$1:$AQ$554,MATCH(U$2,Totalt!$B$1:$AQ$1,0),FALSE),"")</f>
        <v>0</v>
      </c>
      <c r="V48" s="173">
        <f>IFERROR(VLOOKUP($B48,Totalt!$B$1:$AQ$554,MATCH(V$2,Totalt!$B$1:$AQ$1,0),FALSE),"")</f>
        <v>0</v>
      </c>
      <c r="W48" s="173">
        <f>IFERROR(VLOOKUP($B48,Totalt!$B$1:$AQ$554,MATCH(W$2,Totalt!$B$1:$AQ$1,0),FALSE),"")</f>
        <v>0</v>
      </c>
      <c r="X48" s="173">
        <f>IFERROR(VLOOKUP($B48,Totalt!$B$1:$AQ$554,MATCH(X$2,Totalt!$B$1:$AQ$1,0),FALSE),"")</f>
        <v>0</v>
      </c>
      <c r="Y48" s="173">
        <f>IFERROR(VLOOKUP($B48,Totalt!$B$1:$AQ$554,MATCH(Y$2,Totalt!$B$1:$AQ$1,0),FALSE),"")</f>
        <v>0</v>
      </c>
      <c r="Z48" s="173">
        <f>IFERROR(VLOOKUP($B48,Totalt!$B$1:$AQ$554,MATCH(Z$2,Totalt!$B$1:$AQ$1,0),FALSE),"")</f>
        <v>0</v>
      </c>
      <c r="AA48" s="173">
        <f>IFERROR(VLOOKUP($B48,Totalt!$B$1:$AQ$554,MATCH(AA$2,Totalt!$B$1:$AQ$1,0),FALSE),"")</f>
        <v>0</v>
      </c>
      <c r="AB48" s="173">
        <f>IFERROR(VLOOKUP($B48,Totalt!$B$1:$AQ$554,MATCH(AB$2,Totalt!$B$1:$AQ$1,0),FALSE),"")</f>
        <v>0</v>
      </c>
      <c r="AC48" s="173">
        <f>IFERROR(VLOOKUP($B48,Totalt!$B$1:$AQ$554,MATCH(AC$2,Totalt!$B$1:$AQ$1,0),FALSE),"")</f>
        <v>0</v>
      </c>
      <c r="AD48" s="173">
        <f>IFERROR(VLOOKUP($B48,Totalt!$B$1:$AQ$554,MATCH(AD$2,Totalt!$B$1:$AQ$1,0),FALSE),"")</f>
        <v>0</v>
      </c>
      <c r="AE48" s="173">
        <f>IFERROR(VLOOKUP($B48,Totalt!$B$1:$AQ$554,MATCH(AE$2,Totalt!$B$1:$AQ$1,0),FALSE),"")</f>
        <v>0</v>
      </c>
      <c r="AF48" s="173">
        <f>IFERROR(VLOOKUP($B48,Totalt!$B$1:$AQ$554,MATCH(AF$2,Totalt!$B$1:$AQ$1,0),FALSE),"")</f>
        <v>3.1E-2</v>
      </c>
      <c r="AG48" s="173">
        <f>IFERROR(VLOOKUP($B48,Totalt!$B$1:$AQ$554,MATCH(AG$2,Totalt!$B$1:$AQ$1,0),FALSE),"")</f>
        <v>0</v>
      </c>
      <c r="AI48" s="226">
        <f t="shared" si="0"/>
        <v>13.376100000000001</v>
      </c>
      <c r="AJ48" s="226">
        <f>IF(ISERROR(1/VLOOKUP($B48,Leveranser!$B$1:$S$500,MATCH("såld värme (gwh)",Leveranser!$B$1:$S$1,0),FALSE)),"",VLOOKUP($B48,Leveranser!$B$1:$S$500,MATCH("såld värme (gwh)",Leveranser!$B$1:$S$1,0),FALSE))</f>
        <v>10.673999999999999</v>
      </c>
      <c r="AM48" s="227" t="str">
        <f>IF(B48&lt;&gt;"",IF(VLOOKUP($B48,Totalt!$B$1:$AQ$554,MATCH("Kvalitetsgranskad:",Totalt!$B$1:$AQ$1,0),FALSE)="ja",VLOOKUP($B48,Miljö!$B$1:$AG$479,MATCH(AM$2,Miljö!$B$1:$AK$1,0),FALSE),""),"")</f>
        <v>Ja</v>
      </c>
      <c r="AN48" s="227" t="str">
        <f>IF(AM48="ja",VLOOKUP($B48,Miljö!$B$1:$J$479,MATCH("Typ av ursprungsspecificerad el   (Om inget värde anges används Nordisk residualmix, se inforuta) ()",Miljö!$B$1:$J$1,0),FALSE),IF(AM48="nej","Nordisk residualel",""))</f>
        <v>'100% förnybart från Dala Kraft'</v>
      </c>
      <c r="AO48" s="227">
        <f>IF(AM48="","",VLOOKUP($B48,Miljö!$B$1:$J$479,MATCH("Fossilandel för ursprungspecificerad el ()",Miljö!$B$1:$J$1,0),FALSE))</f>
        <v>0</v>
      </c>
      <c r="AP48" s="227">
        <f>IF(AM48="","",IFERROR(VLOOKUP($B48,Miljö!$B$1:$J$479,MATCH("Kärnkraftsandel för ursprungsspecificerad el ()",Miljö!$B$1:$J$1,0),FALSE)/1,0))</f>
        <v>0</v>
      </c>
      <c r="AQ48" s="227">
        <f t="shared" si="1"/>
        <v>1</v>
      </c>
      <c r="AR48" s="227"/>
      <c r="AS48" s="227" t="str">
        <f t="shared" si="2"/>
        <v>Nej</v>
      </c>
      <c r="AT48" s="227" t="str">
        <f>IF(AS48="ja",VLOOKUP($B48,Miljö!$B$1:$O$500,MATCH("Fossil andel i procent (%)",Miljö!$B$1:$O$1,0),FALSE)/100,"")</f>
        <v/>
      </c>
      <c r="AU48" s="227"/>
      <c r="AV48" s="227" t="str">
        <f t="shared" si="3"/>
        <v>Nej</v>
      </c>
      <c r="AW48" s="227" t="str">
        <f>IF(AV48="ja",VLOOKUP($B48,'Egen hetvattenprod'!$B$1:$AO$500,MATCH("Värmekälla till värmepumpar ()",'Egen hetvattenprod'!$B$1:$AO$1,0),FALSE),"")</f>
        <v/>
      </c>
      <c r="AX48" s="227"/>
      <c r="AY48" s="227" t="str">
        <f t="shared" si="4"/>
        <v>Nej</v>
      </c>
      <c r="AZ48" s="228" t="str">
        <f>IF($AY48="ja",(VLOOKUP($B48,'Egen hetvattenprod'!$B$1:$BX$550,MATCH(AZ$2,'Egen hetvattenprod'!$B$1:$BX$1,0),FALSE)+VLOOKUP($B48,Kraftvärmeprod!$B$1:$BX$550,MATCH(AZ$2,Kraftvärmeprod!$B$1:$BX$1,0),FALSE))/$AC48,"")</f>
        <v/>
      </c>
      <c r="BA48" s="228" t="str">
        <f>IF($AY48="ja",(VLOOKUP($B48,'Egen hetvattenprod'!$B$1:$BX$550,MATCH(BA$2,'Egen hetvattenprod'!$B$1:$BX$1,0),FALSE)+VLOOKUP($B48,Kraftvärmeprod!$B$1:$BX$550,MATCH(BA$2,Kraftvärmeprod!$B$1:$BX$1,0),FALSE))/$AC48,"")</f>
        <v/>
      </c>
      <c r="BB48" s="228" t="str">
        <f>IF($AY48="ja",(VLOOKUP($B48,'Egen hetvattenprod'!$B$1:$BX$550,MATCH(BB$2,'Egen hetvattenprod'!$B$1:$BX$1,0),FALSE)+VLOOKUP($B48,Kraftvärmeprod!$B$1:$BX$550,MATCH(BB$2,Kraftvärmeprod!$B$1:$BX$1,0),FALSE))/$AC48,"")</f>
        <v/>
      </c>
      <c r="BC48" s="228" t="str">
        <f>IF($AY48="ja",(VLOOKUP($B48,'Egen hetvattenprod'!$B$1:$BX$550,MATCH(BC$2,'Egen hetvattenprod'!$B$1:$BX$1,0),FALSE)+VLOOKUP($B48,Kraftvärmeprod!$B$1:$BX$550,MATCH(BC$2,Kraftvärmeprod!$B$1:$BX$1,0),FALSE))/$AC48,"")</f>
        <v/>
      </c>
      <c r="BD48" s="228" t="str">
        <f>IF($AY48="ja",(VLOOKUP($B48,'Egen hetvattenprod'!$B$1:$BX$550,MATCH(BD$2,'Egen hetvattenprod'!$B$1:$BX$1,0),FALSE)+VLOOKUP($B48,Kraftvärmeprod!$B$1:$BX$550,MATCH(BD$2,Kraftvärmeprod!$B$1:$BX$1,0),FALSE))/$AC48,"")</f>
        <v/>
      </c>
      <c r="BE48" s="227"/>
      <c r="BF48" s="227" t="str">
        <f t="shared" si="5"/>
        <v>Nej</v>
      </c>
      <c r="BG48" s="227" t="str">
        <f>IF($BF48="ja",VLOOKUP($B48,'Egen hetvattenprod'!$B$1:$BX$550,MATCH("Andelen klimatgaser med fossilt ursprung för avfall ()",'Egen hetvattenprod'!$B$1:$BX$1,0),FALSE),"")</f>
        <v/>
      </c>
      <c r="BH48" s="227" t="str">
        <f>IF($BF48="ja",VLOOKUP($B48,Kraftvärmeprod!$B$1:$BX$550,MATCH("Andelen klimatgaser med fossilt ursprung för avfall ()",Kraftvärmeprod!$B$1:$BX$1,0),FALSE),"")</f>
        <v/>
      </c>
      <c r="BI48" s="227" t="str">
        <f>IF($BF48="ja",VLOOKUP($B48,'Egen hetvattenprod'!$B$1:$BX$550,MATCH("Avfall (GWh)",'Egen hetvattenprod'!$B$1:$BX$1,0),FALSE),"")</f>
        <v/>
      </c>
      <c r="BJ48" s="227" t="str">
        <f>IF($BF48="ja",VLOOKUP($B48,'Slutlig allokering kvv'!$B$1:$BX$550,MATCH("Avfall (GWh)",'Slutlig allokering kvv'!$B$1:$BX$1,0),FALSE),"")</f>
        <v/>
      </c>
      <c r="BK48" s="227" t="str">
        <f>IF($BF48="ja",VLOOKUP($B48,'Köpt hetvatten'!$B$1:$BX$550,MATCH("Avfall i köpt hetvatten",'Köpt hetvatten'!$B$1:$BX$1,0),FALSE),"")</f>
        <v/>
      </c>
      <c r="BL48" s="227" t="str">
        <f>IF($BF48="ja",VLOOKUP($B48,'Egen hetvattenprod'!$B$1:$BX$550,MATCH("Värde enligt ovan. (%)",'Egen hetvattenprod'!$B$1:$BX$1,0),FALSE),"")</f>
        <v/>
      </c>
      <c r="BM48" s="227" t="str">
        <f>IF($BF48="ja",VLOOKUP($B48,Kraftvärmeprod!$B$1:$BX$550,MATCH("Värde enligt ovan. (%)",Kraftvärmeprod!$B$1:$BX$1,0),FALSE),"")</f>
        <v/>
      </c>
      <c r="BN48" s="227"/>
      <c r="BO48" s="227"/>
      <c r="BP48" s="227"/>
      <c r="BQ48" s="227" t="str">
        <f>IF($BF48="ja",VLOOKUP($B48,'Egen hetvattenprod'!$B$1:$BX$550,MATCH("Tillförd olja (fossil) vid avfallsförbränning (GWh)",'Egen hetvattenprod'!$B$1:$BX$1,0),FALSE),"")</f>
        <v/>
      </c>
      <c r="BR48" s="227" t="str">
        <f>IF($BF48="ja",VLOOKUP($B48,Kraftvärmeprod!$B$1:$BX$550,MATCH("Tillförd olja (fossil) vid avfallsförbränning (GWh)",Kraftvärmeprod!$B$1:$BX$1,0),FALSE),"")</f>
        <v/>
      </c>
      <c r="BS48" s="227"/>
      <c r="BT48" s="227"/>
      <c r="BU48" s="227"/>
    </row>
    <row r="49" spans="1:73" x14ac:dyDescent="0.25">
      <c r="A49" s="121" t="str">
        <f>'Miljövärden för publ företag'!B52</f>
        <v>Dala Energi Värme AB</v>
      </c>
      <c r="B49" s="121" t="str">
        <f>'Miljövärden för publ företag'!C52</f>
        <v>Leksand</v>
      </c>
      <c r="C49" s="173">
        <f>IFERROR(VLOOKUP($B49,Totalt!$B$1:$AQ$554,MATCH(C$2,Totalt!$B$1:$AQ$1,0),FALSE),"")</f>
        <v>0</v>
      </c>
      <c r="D49" s="173">
        <f>IFERROR(VLOOKUP($B49,Totalt!$B$1:$AQ$554,MATCH(D$2,Totalt!$B$1:$AQ$1,0),FALSE),"")</f>
        <v>3.4000000000000002E-2</v>
      </c>
      <c r="E49" s="173">
        <f>IFERROR(VLOOKUP($B49,Totalt!$B$1:$AQ$554,MATCH(E$2,Totalt!$B$1:$AQ$1,0),FALSE),"")</f>
        <v>0</v>
      </c>
      <c r="F49" s="173">
        <f>IFERROR(VLOOKUP($B49,Totalt!$B$1:$AQ$554,MATCH(F$2,Totalt!$B$1:$AQ$1,0),FALSE),"")</f>
        <v>0</v>
      </c>
      <c r="G49" s="173">
        <f>IFERROR(VLOOKUP($B49,Totalt!$B$1:$AQ$554,MATCH(G$2,Totalt!$B$1:$AQ$1,0),FALSE),"")</f>
        <v>0</v>
      </c>
      <c r="H49" s="173">
        <f>IFERROR(VLOOKUP($B49,Totalt!$B$1:$AQ$554,MATCH(H$2,Totalt!$B$1:$AQ$1,0),FALSE),"")</f>
        <v>0</v>
      </c>
      <c r="I49" s="173">
        <f>IFERROR(VLOOKUP($B49,Totalt!$B$1:$AQ$554,MATCH(I$2,Totalt!$B$1:$AQ$1,0),FALSE),"")</f>
        <v>0</v>
      </c>
      <c r="J49" s="173">
        <f>IFERROR(VLOOKUP($B49,Totalt!$B$1:$AQ$554,MATCH(J$2,Totalt!$B$1:$AQ$1,0),FALSE),"")</f>
        <v>0</v>
      </c>
      <c r="K49" s="173">
        <f>IFERROR(VLOOKUP($B49,Totalt!$B$1:$AQ$554,MATCH(K$2,Totalt!$B$1:$AQ$1,0),FALSE),"")</f>
        <v>0</v>
      </c>
      <c r="L49" s="173">
        <f>IFERROR(VLOOKUP($B49,Totalt!$B$1:$AQ$554,MATCH(L$2,Totalt!$B$1:$AQ$1,0),FALSE),"")</f>
        <v>0</v>
      </c>
      <c r="M49" s="173">
        <f>IFERROR(VLOOKUP($B49,Totalt!$B$1:$AQ$554,MATCH(M$2,Totalt!$B$1:$AQ$1,0),FALSE),"")</f>
        <v>5.6630000000000003</v>
      </c>
      <c r="N49" s="173">
        <f>IFERROR(VLOOKUP($B49,Totalt!$B$1:$AQ$554,MATCH(N$2,Totalt!$B$1:$AQ$1,0),FALSE),"")</f>
        <v>25.939</v>
      </c>
      <c r="O49" s="173">
        <f>IFERROR(VLOOKUP($B49,Totalt!$B$1:$AQ$554,MATCH(O$2,Totalt!$B$1:$AQ$1,0),FALSE),"")</f>
        <v>0</v>
      </c>
      <c r="P49" s="173">
        <f>IFERROR(VLOOKUP($B49,Totalt!$B$1:$AQ$554,MATCH(P$2,Totalt!$B$1:$AQ$1,0),FALSE),"")</f>
        <v>8.3989999999999991</v>
      </c>
      <c r="Q49" s="173">
        <f>IFERROR(VLOOKUP($B49,Totalt!$B$1:$AQ$554,MATCH(Q$2,Totalt!$B$1:$AQ$1,0),FALSE),"")</f>
        <v>0</v>
      </c>
      <c r="R49" s="173">
        <f>IFERROR(VLOOKUP($B49,Totalt!$B$1:$AQ$554,MATCH(R$2,Totalt!$B$1:$AQ$1,0),FALSE),"")</f>
        <v>0</v>
      </c>
      <c r="S49" s="173">
        <f>IFERROR(VLOOKUP($B49,Totalt!$B$1:$AQ$554,MATCH(S$2,Totalt!$B$1:$AQ$1,0),FALSE),"")</f>
        <v>0</v>
      </c>
      <c r="T49" s="173">
        <f>IFERROR(VLOOKUP($B49,Totalt!$B$1:$AQ$554,MATCH(T$2,Totalt!$B$1:$AQ$1,0),FALSE),"")</f>
        <v>0</v>
      </c>
      <c r="U49" s="173">
        <f>IFERROR(VLOOKUP($B49,Totalt!$B$1:$AQ$554,MATCH(U$2,Totalt!$B$1:$AQ$1,0),FALSE),"")</f>
        <v>0</v>
      </c>
      <c r="V49" s="173">
        <f>IFERROR(VLOOKUP($B49,Totalt!$B$1:$AQ$554,MATCH(V$2,Totalt!$B$1:$AQ$1,0),FALSE),"")</f>
        <v>0</v>
      </c>
      <c r="W49" s="173">
        <f>IFERROR(VLOOKUP($B49,Totalt!$B$1:$AQ$554,MATCH(W$2,Totalt!$B$1:$AQ$1,0),FALSE),"")</f>
        <v>0</v>
      </c>
      <c r="X49" s="173">
        <f>IFERROR(VLOOKUP($B49,Totalt!$B$1:$AQ$554,MATCH(X$2,Totalt!$B$1:$AQ$1,0),FALSE),"")</f>
        <v>0</v>
      </c>
      <c r="Y49" s="173">
        <f>IFERROR(VLOOKUP($B49,Totalt!$B$1:$AQ$554,MATCH(Y$2,Totalt!$B$1:$AQ$1,0),FALSE),"")</f>
        <v>0</v>
      </c>
      <c r="Z49" s="173">
        <f>IFERROR(VLOOKUP($B49,Totalt!$B$1:$AQ$554,MATCH(Z$2,Totalt!$B$1:$AQ$1,0),FALSE),"")</f>
        <v>0</v>
      </c>
      <c r="AA49" s="173">
        <f>IFERROR(VLOOKUP($B49,Totalt!$B$1:$AQ$554,MATCH(AA$2,Totalt!$B$1:$AQ$1,0),FALSE),"")</f>
        <v>0</v>
      </c>
      <c r="AB49" s="173">
        <f>IFERROR(VLOOKUP($B49,Totalt!$B$1:$AQ$554,MATCH(AB$2,Totalt!$B$1:$AQ$1,0),FALSE),"")</f>
        <v>0</v>
      </c>
      <c r="AC49" s="173">
        <f>IFERROR(VLOOKUP($B49,Totalt!$B$1:$AQ$554,MATCH(AC$2,Totalt!$B$1:$AQ$1,0),FALSE),"")</f>
        <v>5.6029999999999998</v>
      </c>
      <c r="AD49" s="173">
        <f>IFERROR(VLOOKUP($B49,Totalt!$B$1:$AQ$554,MATCH(AD$2,Totalt!$B$1:$AQ$1,0),FALSE),"")</f>
        <v>0</v>
      </c>
      <c r="AE49" s="173">
        <f>IFERROR(VLOOKUP($B49,Totalt!$B$1:$AQ$554,MATCH(AE$2,Totalt!$B$1:$AQ$1,0),FALSE),"")</f>
        <v>0</v>
      </c>
      <c r="AF49" s="173">
        <f>IFERROR(VLOOKUP($B49,Totalt!$B$1:$AQ$554,MATCH(AF$2,Totalt!$B$1:$AQ$1,0),FALSE),"")</f>
        <v>1.173</v>
      </c>
      <c r="AG49" s="173">
        <f>IFERROR(VLOOKUP($B49,Totalt!$B$1:$AQ$554,MATCH(AG$2,Totalt!$B$1:$AQ$1,0),FALSE),"")</f>
        <v>0</v>
      </c>
      <c r="AI49" s="226">
        <f t="shared" si="0"/>
        <v>46.811</v>
      </c>
      <c r="AJ49" s="226">
        <f>IF(ISERROR(1/VLOOKUP($B49,Leveranser!$B$1:$S$500,MATCH("såld värme (gwh)",Leveranser!$B$1:$S$1,0),FALSE)),"",VLOOKUP($B49,Leveranser!$B$1:$S$500,MATCH("såld värme (gwh)",Leveranser!$B$1:$S$1,0),FALSE))</f>
        <v>33.930999999999997</v>
      </c>
      <c r="AM49" s="227" t="str">
        <f>IF(B49&lt;&gt;"",IF(VLOOKUP($B49,Totalt!$B$1:$AQ$554,MATCH("Kvalitetsgranskad:",Totalt!$B$1:$AQ$1,0),FALSE)="ja",VLOOKUP($B49,Miljö!$B$1:$AG$479,MATCH(AM$2,Miljö!$B$1:$AK$1,0),FALSE),""),"")</f>
        <v>Ja</v>
      </c>
      <c r="AN49" s="227" t="str">
        <f>IF(AM49="ja",VLOOKUP($B49,Miljö!$B$1:$J$479,MATCH("Typ av ursprungsspecificerad el   (Om inget värde anges används Nordisk residualmix, se inforuta) ()",Miljö!$B$1:$J$1,0),FALSE),IF(AM49="nej","Nordisk residualel",""))</f>
        <v>'100% förnybar el från Dala Kraft'</v>
      </c>
      <c r="AO49" s="227">
        <f>IF(AM49="","",VLOOKUP($B49,Miljö!$B$1:$J$479,MATCH("Fossilandel för ursprungspecificerad el ()",Miljö!$B$1:$J$1,0),FALSE))</f>
        <v>0</v>
      </c>
      <c r="AP49" s="227">
        <f>IF(AM49="","",IFERROR(VLOOKUP($B49,Miljö!$B$1:$J$479,MATCH("Kärnkraftsandel för ursprungsspecificerad el ()",Miljö!$B$1:$J$1,0),FALSE)/1,0))</f>
        <v>0</v>
      </c>
      <c r="AQ49" s="227">
        <f t="shared" si="1"/>
        <v>1</v>
      </c>
      <c r="AR49" s="227"/>
      <c r="AS49" s="227" t="str">
        <f t="shared" si="2"/>
        <v>Nej</v>
      </c>
      <c r="AT49" s="227" t="str">
        <f>IF(AS49="ja",VLOOKUP($B49,Miljö!$B$1:$O$500,MATCH("Fossil andel i procent (%)",Miljö!$B$1:$O$1,0),FALSE)/100,"")</f>
        <v/>
      </c>
      <c r="AU49" s="227"/>
      <c r="AV49" s="227" t="str">
        <f t="shared" si="3"/>
        <v>Nej</v>
      </c>
      <c r="AW49" s="227" t="str">
        <f>IF(AV49="ja",VLOOKUP($B49,'Egen hetvattenprod'!$B$1:$AO$500,MATCH("Värmekälla till värmepumpar ()",'Egen hetvattenprod'!$B$1:$AO$1,0),FALSE),"")</f>
        <v/>
      </c>
      <c r="AX49" s="227"/>
      <c r="AY49" s="227" t="str">
        <f t="shared" si="4"/>
        <v>Ja</v>
      </c>
      <c r="AZ49" s="228">
        <f>IF($AY49="ja",(VLOOKUP($B49,'Egen hetvattenprod'!$B$1:$BX$550,MATCH(AZ$2,'Egen hetvattenprod'!$B$1:$BX$1,0),FALSE)+VLOOKUP($B49,Kraftvärmeprod!$B$1:$BX$550,MATCH(AZ$2,Kraftvärmeprod!$B$1:$BX$1,0),FALSE))/$AC49,"")</f>
        <v>1</v>
      </c>
      <c r="BA49" s="228">
        <f>IF($AY49="ja",(VLOOKUP($B49,'Egen hetvattenprod'!$B$1:$BX$550,MATCH(BA$2,'Egen hetvattenprod'!$B$1:$BX$1,0),FALSE)+VLOOKUP($B49,Kraftvärmeprod!$B$1:$BX$550,MATCH(BA$2,Kraftvärmeprod!$B$1:$BX$1,0),FALSE))/$AC49,"")</f>
        <v>0</v>
      </c>
      <c r="BB49" s="228">
        <f>IF($AY49="ja",(VLOOKUP($B49,'Egen hetvattenprod'!$B$1:$BX$550,MATCH(BB$2,'Egen hetvattenprod'!$B$1:$BX$1,0),FALSE)+VLOOKUP($B49,Kraftvärmeprod!$B$1:$BX$550,MATCH(BB$2,Kraftvärmeprod!$B$1:$BX$1,0),FALSE))/$AC49,"")</f>
        <v>0</v>
      </c>
      <c r="BC49" s="228">
        <f>IF($AY49="ja",(VLOOKUP($B49,'Egen hetvattenprod'!$B$1:$BX$550,MATCH(BC$2,'Egen hetvattenprod'!$B$1:$BX$1,0),FALSE)+VLOOKUP($B49,Kraftvärmeprod!$B$1:$BX$550,MATCH(BC$2,Kraftvärmeprod!$B$1:$BX$1,0),FALSE))/$AC49,"")</f>
        <v>0</v>
      </c>
      <c r="BD49" s="228">
        <f>IF($AY49="ja",(VLOOKUP($B49,'Egen hetvattenprod'!$B$1:$BX$550,MATCH(BD$2,'Egen hetvattenprod'!$B$1:$BX$1,0),FALSE)+VLOOKUP($B49,Kraftvärmeprod!$B$1:$BX$550,MATCH(BD$2,Kraftvärmeprod!$B$1:$BX$1,0),FALSE))/$AC49,"")</f>
        <v>0</v>
      </c>
      <c r="BE49" s="227"/>
      <c r="BF49" s="227" t="str">
        <f t="shared" si="5"/>
        <v>Nej</v>
      </c>
      <c r="BG49" s="227" t="str">
        <f>IF($BF49="ja",VLOOKUP($B49,'Egen hetvattenprod'!$B$1:$BX$550,MATCH("Andelen klimatgaser med fossilt ursprung för avfall ()",'Egen hetvattenprod'!$B$1:$BX$1,0),FALSE),"")</f>
        <v/>
      </c>
      <c r="BH49" s="227" t="str">
        <f>IF($BF49="ja",VLOOKUP($B49,Kraftvärmeprod!$B$1:$BX$550,MATCH("Andelen klimatgaser med fossilt ursprung för avfall ()",Kraftvärmeprod!$B$1:$BX$1,0),FALSE),"")</f>
        <v/>
      </c>
      <c r="BI49" s="227" t="str">
        <f>IF($BF49="ja",VLOOKUP($B49,'Egen hetvattenprod'!$B$1:$BX$550,MATCH("Avfall (GWh)",'Egen hetvattenprod'!$B$1:$BX$1,0),FALSE),"")</f>
        <v/>
      </c>
      <c r="BJ49" s="227" t="str">
        <f>IF($BF49="ja",VLOOKUP($B49,'Slutlig allokering kvv'!$B$1:$BX$550,MATCH("Avfall (GWh)",'Slutlig allokering kvv'!$B$1:$BX$1,0),FALSE),"")</f>
        <v/>
      </c>
      <c r="BK49" s="227" t="str">
        <f>IF($BF49="ja",VLOOKUP($B49,'Köpt hetvatten'!$B$1:$BX$550,MATCH("Avfall i köpt hetvatten",'Köpt hetvatten'!$B$1:$BX$1,0),FALSE),"")</f>
        <v/>
      </c>
      <c r="BL49" s="227" t="str">
        <f>IF($BF49="ja",VLOOKUP($B49,'Egen hetvattenprod'!$B$1:$BX$550,MATCH("Värde enligt ovan. (%)",'Egen hetvattenprod'!$B$1:$BX$1,0),FALSE),"")</f>
        <v/>
      </c>
      <c r="BM49" s="227" t="str">
        <f>IF($BF49="ja",VLOOKUP($B49,Kraftvärmeprod!$B$1:$BX$550,MATCH("Värde enligt ovan. (%)",Kraftvärmeprod!$B$1:$BX$1,0),FALSE),"")</f>
        <v/>
      </c>
      <c r="BN49" s="227"/>
      <c r="BO49" s="227"/>
      <c r="BP49" s="227"/>
      <c r="BQ49" s="227" t="str">
        <f>IF($BF49="ja",VLOOKUP($B49,'Egen hetvattenprod'!$B$1:$BX$550,MATCH("Tillförd olja (fossil) vid avfallsförbränning (GWh)",'Egen hetvattenprod'!$B$1:$BX$1,0),FALSE),"")</f>
        <v/>
      </c>
      <c r="BR49" s="227" t="str">
        <f>IF($BF49="ja",VLOOKUP($B49,Kraftvärmeprod!$B$1:$BX$550,MATCH("Tillförd olja (fossil) vid avfallsförbränning (GWh)",Kraftvärmeprod!$B$1:$BX$1,0),FALSE),"")</f>
        <v/>
      </c>
      <c r="BS49" s="227"/>
      <c r="BT49" s="227"/>
      <c r="BU49" s="227"/>
    </row>
    <row r="50" spans="1:73" x14ac:dyDescent="0.25">
      <c r="A50" s="121" t="str">
        <f>'Miljövärden för publ företag'!B53</f>
        <v>Degerfors Energi AB</v>
      </c>
      <c r="B50" s="121" t="str">
        <f>'Miljövärden för publ företag'!C53</f>
        <v>HVC Degerfors</v>
      </c>
      <c r="C50" s="173">
        <f>IFERROR(VLOOKUP($B50,Totalt!$B$1:$AQ$554,MATCH(C$2,Totalt!$B$1:$AQ$1,0),FALSE),"")</f>
        <v>0</v>
      </c>
      <c r="D50" s="173">
        <f>IFERROR(VLOOKUP($B50,Totalt!$B$1:$AQ$554,MATCH(D$2,Totalt!$B$1:$AQ$1,0),FALSE),"")</f>
        <v>0</v>
      </c>
      <c r="E50" s="173">
        <f>IFERROR(VLOOKUP($B50,Totalt!$B$1:$AQ$554,MATCH(E$2,Totalt!$B$1:$AQ$1,0),FALSE),"")</f>
        <v>0</v>
      </c>
      <c r="F50" s="173">
        <f>IFERROR(VLOOKUP($B50,Totalt!$B$1:$AQ$554,MATCH(F$2,Totalt!$B$1:$AQ$1,0),FALSE),"")</f>
        <v>0</v>
      </c>
      <c r="G50" s="173">
        <f>IFERROR(VLOOKUP($B50,Totalt!$B$1:$AQ$554,MATCH(G$2,Totalt!$B$1:$AQ$1,0),FALSE),"")</f>
        <v>0</v>
      </c>
      <c r="H50" s="173">
        <f>IFERROR(VLOOKUP($B50,Totalt!$B$1:$AQ$554,MATCH(H$2,Totalt!$B$1:$AQ$1,0),FALSE),"")</f>
        <v>0</v>
      </c>
      <c r="I50" s="173">
        <f>IFERROR(VLOOKUP($B50,Totalt!$B$1:$AQ$554,MATCH(I$2,Totalt!$B$1:$AQ$1,0),FALSE),"")</f>
        <v>0</v>
      </c>
      <c r="J50" s="173">
        <f>IFERROR(VLOOKUP($B50,Totalt!$B$1:$AQ$554,MATCH(J$2,Totalt!$B$1:$AQ$1,0),FALSE),"")</f>
        <v>0</v>
      </c>
      <c r="K50" s="173">
        <f>IFERROR(VLOOKUP($B50,Totalt!$B$1:$AQ$554,MATCH(K$2,Totalt!$B$1:$AQ$1,0),FALSE),"")</f>
        <v>0</v>
      </c>
      <c r="L50" s="173">
        <f>IFERROR(VLOOKUP($B50,Totalt!$B$1:$AQ$554,MATCH(L$2,Totalt!$B$1:$AQ$1,0),FALSE),"")</f>
        <v>0</v>
      </c>
      <c r="M50" s="173">
        <f>IFERROR(VLOOKUP($B50,Totalt!$B$1:$AQ$554,MATCH(M$2,Totalt!$B$1:$AQ$1,0),FALSE),"")</f>
        <v>10.935</v>
      </c>
      <c r="N50" s="173">
        <f>IFERROR(VLOOKUP($B50,Totalt!$B$1:$AQ$554,MATCH(N$2,Totalt!$B$1:$AQ$1,0),FALSE),"")</f>
        <v>7.0060000000000002</v>
      </c>
      <c r="O50" s="173">
        <f>IFERROR(VLOOKUP($B50,Totalt!$B$1:$AQ$554,MATCH(O$2,Totalt!$B$1:$AQ$1,0),FALSE),"")</f>
        <v>0</v>
      </c>
      <c r="P50" s="173">
        <f>IFERROR(VLOOKUP($B50,Totalt!$B$1:$AQ$554,MATCH(P$2,Totalt!$B$1:$AQ$1,0),FALSE),"")</f>
        <v>17.831</v>
      </c>
      <c r="Q50" s="173">
        <f>IFERROR(VLOOKUP($B50,Totalt!$B$1:$AQ$554,MATCH(Q$2,Totalt!$B$1:$AQ$1,0),FALSE),"")</f>
        <v>0</v>
      </c>
      <c r="R50" s="173">
        <f>IFERROR(VLOOKUP($B50,Totalt!$B$1:$AQ$554,MATCH(R$2,Totalt!$B$1:$AQ$1,0),FALSE),"")</f>
        <v>7.6999999999999999E-2</v>
      </c>
      <c r="S50" s="173">
        <f>IFERROR(VLOOKUP($B50,Totalt!$B$1:$AQ$554,MATCH(S$2,Totalt!$B$1:$AQ$1,0),FALSE),"")</f>
        <v>8.1959999999999997</v>
      </c>
      <c r="T50" s="173">
        <f>IFERROR(VLOOKUP($B50,Totalt!$B$1:$AQ$554,MATCH(T$2,Totalt!$B$1:$AQ$1,0),FALSE),"")</f>
        <v>0</v>
      </c>
      <c r="U50" s="173">
        <f>IFERROR(VLOOKUP($B50,Totalt!$B$1:$AQ$554,MATCH(U$2,Totalt!$B$1:$AQ$1,0),FALSE),"")</f>
        <v>0</v>
      </c>
      <c r="V50" s="173">
        <f>IFERROR(VLOOKUP($B50,Totalt!$B$1:$AQ$554,MATCH(V$2,Totalt!$B$1:$AQ$1,0),FALSE),"")</f>
        <v>0</v>
      </c>
      <c r="W50" s="173">
        <f>IFERROR(VLOOKUP($B50,Totalt!$B$1:$AQ$554,MATCH(W$2,Totalt!$B$1:$AQ$1,0),FALSE),"")</f>
        <v>0</v>
      </c>
      <c r="X50" s="173">
        <f>IFERROR(VLOOKUP($B50,Totalt!$B$1:$AQ$554,MATCH(X$2,Totalt!$B$1:$AQ$1,0),FALSE),"")</f>
        <v>0</v>
      </c>
      <c r="Y50" s="173">
        <f>IFERROR(VLOOKUP($B50,Totalt!$B$1:$AQ$554,MATCH(Y$2,Totalt!$B$1:$AQ$1,0),FALSE),"")</f>
        <v>0</v>
      </c>
      <c r="Z50" s="173">
        <f>IFERROR(VLOOKUP($B50,Totalt!$B$1:$AQ$554,MATCH(Z$2,Totalt!$B$1:$AQ$1,0),FALSE),"")</f>
        <v>0</v>
      </c>
      <c r="AA50" s="173">
        <f>IFERROR(VLOOKUP($B50,Totalt!$B$1:$AQ$554,MATCH(AA$2,Totalt!$B$1:$AQ$1,0),FALSE),"")</f>
        <v>0</v>
      </c>
      <c r="AB50" s="173">
        <f>IFERROR(VLOOKUP($B50,Totalt!$B$1:$AQ$554,MATCH(AB$2,Totalt!$B$1:$AQ$1,0),FALSE),"")</f>
        <v>0</v>
      </c>
      <c r="AC50" s="173">
        <f>IFERROR(VLOOKUP($B50,Totalt!$B$1:$AQ$554,MATCH(AC$2,Totalt!$B$1:$AQ$1,0),FALSE),"")</f>
        <v>7.0629999999999997</v>
      </c>
      <c r="AD50" s="173">
        <f>IFERROR(VLOOKUP($B50,Totalt!$B$1:$AQ$554,MATCH(AD$2,Totalt!$B$1:$AQ$1,0),FALSE),"")</f>
        <v>0</v>
      </c>
      <c r="AE50" s="173">
        <f>IFERROR(VLOOKUP($B50,Totalt!$B$1:$AQ$554,MATCH(AE$2,Totalt!$B$1:$AQ$1,0),FALSE),"")</f>
        <v>0</v>
      </c>
      <c r="AF50" s="173">
        <f>IFERROR(VLOOKUP($B50,Totalt!$B$1:$AQ$554,MATCH(AF$2,Totalt!$B$1:$AQ$1,0),FALSE),"")</f>
        <v>0.69099999999999995</v>
      </c>
      <c r="AG50" s="173">
        <f>IFERROR(VLOOKUP($B50,Totalt!$B$1:$AQ$554,MATCH(AG$2,Totalt!$B$1:$AQ$1,0),FALSE),"")</f>
        <v>0</v>
      </c>
      <c r="AI50" s="226">
        <f t="shared" si="0"/>
        <v>51.799000000000007</v>
      </c>
      <c r="AJ50" s="226">
        <f>IF(ISERROR(1/VLOOKUP($B50,Leveranser!$B$1:$S$500,MATCH("såld värme (gwh)",Leveranser!$B$1:$S$1,0),FALSE)),"",VLOOKUP($B50,Leveranser!$B$1:$S$500,MATCH("såld värme (gwh)",Leveranser!$B$1:$S$1,0),FALSE))</f>
        <v>35.369999999999997</v>
      </c>
      <c r="AM50" s="227" t="str">
        <f>IF(B50&lt;&gt;"",IF(VLOOKUP($B50,Totalt!$B$1:$AQ$554,MATCH("Kvalitetsgranskad:",Totalt!$B$1:$AQ$1,0),FALSE)="ja",VLOOKUP($B50,Miljö!$B$1:$AG$479,MATCH(AM$2,Miljö!$B$1:$AK$1,0),FALSE),""),"")</f>
        <v>Ja</v>
      </c>
      <c r="AN50" s="227" t="str">
        <f>IF(AM50="ja",VLOOKUP($B50,Miljö!$B$1:$J$479,MATCH("Typ av ursprungsspecificerad el   (Om inget värde anges används Nordisk residualmix, se inforuta) ()",Miljö!$B$1:$J$1,0),FALSE),IF(AM50="nej","Nordisk residualel",""))</f>
        <v>'Vattenkraft'</v>
      </c>
      <c r="AO50" s="227">
        <f>IF(AM50="","",VLOOKUP($B50,Miljö!$B$1:$J$479,MATCH("Fossilandel för ursprungspecificerad el ()",Miljö!$B$1:$J$1,0),FALSE))</f>
        <v>0</v>
      </c>
      <c r="AP50" s="227">
        <f>IF(AM50="","",IFERROR(VLOOKUP($B50,Miljö!$B$1:$J$479,MATCH("Kärnkraftsandel för ursprungsspecificerad el ()",Miljö!$B$1:$J$1,0),FALSE)/1,0))</f>
        <v>0</v>
      </c>
      <c r="AQ50" s="227">
        <f t="shared" si="1"/>
        <v>1</v>
      </c>
      <c r="AR50" s="227"/>
      <c r="AS50" s="227" t="str">
        <f t="shared" si="2"/>
        <v>Nej</v>
      </c>
      <c r="AT50" s="227" t="str">
        <f>IF(AS50="ja",VLOOKUP($B50,Miljö!$B$1:$O$500,MATCH("Fossil andel i procent (%)",Miljö!$B$1:$O$1,0),FALSE)/100,"")</f>
        <v/>
      </c>
      <c r="AU50" s="227"/>
      <c r="AV50" s="227" t="str">
        <f t="shared" si="3"/>
        <v>Nej</v>
      </c>
      <c r="AW50" s="227" t="str">
        <f>IF(AV50="ja",VLOOKUP($B50,'Egen hetvattenprod'!$B$1:$AO$500,MATCH("Värmekälla till värmepumpar ()",'Egen hetvattenprod'!$B$1:$AO$1,0),FALSE),"")</f>
        <v/>
      </c>
      <c r="AX50" s="227"/>
      <c r="AY50" s="227" t="str">
        <f t="shared" si="4"/>
        <v>Ja</v>
      </c>
      <c r="AZ50" s="228">
        <f>IF($AY50="ja",(VLOOKUP($B50,'Egen hetvattenprod'!$B$1:$BX$550,MATCH(AZ$2,'Egen hetvattenprod'!$B$1:$BX$1,0),FALSE)+VLOOKUP($B50,Kraftvärmeprod!$B$1:$BX$550,MATCH(AZ$2,Kraftvärmeprod!$B$1:$BX$1,0),FALSE))/$AC50,"")</f>
        <v>1</v>
      </c>
      <c r="BA50" s="228">
        <f>IF($AY50="ja",(VLOOKUP($B50,'Egen hetvattenprod'!$B$1:$BX$550,MATCH(BA$2,'Egen hetvattenprod'!$B$1:$BX$1,0),FALSE)+VLOOKUP($B50,Kraftvärmeprod!$B$1:$BX$550,MATCH(BA$2,Kraftvärmeprod!$B$1:$BX$1,0),FALSE))/$AC50,"")</f>
        <v>0</v>
      </c>
      <c r="BB50" s="228">
        <f>IF($AY50="ja",(VLOOKUP($B50,'Egen hetvattenprod'!$B$1:$BX$550,MATCH(BB$2,'Egen hetvattenprod'!$B$1:$BX$1,0),FALSE)+VLOOKUP($B50,Kraftvärmeprod!$B$1:$BX$550,MATCH(BB$2,Kraftvärmeprod!$B$1:$BX$1,0),FALSE))/$AC50,"")</f>
        <v>0</v>
      </c>
      <c r="BC50" s="228">
        <f>IF($AY50="ja",(VLOOKUP($B50,'Egen hetvattenprod'!$B$1:$BX$550,MATCH(BC$2,'Egen hetvattenprod'!$B$1:$BX$1,0),FALSE)+VLOOKUP($B50,Kraftvärmeprod!$B$1:$BX$550,MATCH(BC$2,Kraftvärmeprod!$B$1:$BX$1,0),FALSE))/$AC50,"")</f>
        <v>0</v>
      </c>
      <c r="BD50" s="228">
        <f>IF($AY50="ja",(VLOOKUP($B50,'Egen hetvattenprod'!$B$1:$BX$550,MATCH(BD$2,'Egen hetvattenprod'!$B$1:$BX$1,0),FALSE)+VLOOKUP($B50,Kraftvärmeprod!$B$1:$BX$550,MATCH(BD$2,Kraftvärmeprod!$B$1:$BX$1,0),FALSE))/$AC50,"")</f>
        <v>0</v>
      </c>
      <c r="BE50" s="227"/>
      <c r="BF50" s="227" t="str">
        <f t="shared" si="5"/>
        <v>Nej</v>
      </c>
      <c r="BG50" s="227" t="str">
        <f>IF($BF50="ja",VLOOKUP($B50,'Egen hetvattenprod'!$B$1:$BX$550,MATCH("Andelen klimatgaser med fossilt ursprung för avfall ()",'Egen hetvattenprod'!$B$1:$BX$1,0),FALSE),"")</f>
        <v/>
      </c>
      <c r="BH50" s="227" t="str">
        <f>IF($BF50="ja",VLOOKUP($B50,Kraftvärmeprod!$B$1:$BX$550,MATCH("Andelen klimatgaser med fossilt ursprung för avfall ()",Kraftvärmeprod!$B$1:$BX$1,0),FALSE),"")</f>
        <v/>
      </c>
      <c r="BI50" s="227" t="str">
        <f>IF($BF50="ja",VLOOKUP($B50,'Egen hetvattenprod'!$B$1:$BX$550,MATCH("Avfall (GWh)",'Egen hetvattenprod'!$B$1:$BX$1,0),FALSE),"")</f>
        <v/>
      </c>
      <c r="BJ50" s="227" t="str">
        <f>IF($BF50="ja",VLOOKUP($B50,'Slutlig allokering kvv'!$B$1:$BX$550,MATCH("Avfall (GWh)",'Slutlig allokering kvv'!$B$1:$BX$1,0),FALSE),"")</f>
        <v/>
      </c>
      <c r="BK50" s="227" t="str">
        <f>IF($BF50="ja",VLOOKUP($B50,'Köpt hetvatten'!$B$1:$BX$550,MATCH("Avfall i köpt hetvatten",'Köpt hetvatten'!$B$1:$BX$1,0),FALSE),"")</f>
        <v/>
      </c>
      <c r="BL50" s="227" t="str">
        <f>IF($BF50="ja",VLOOKUP($B50,'Egen hetvattenprod'!$B$1:$BX$550,MATCH("Värde enligt ovan. (%)",'Egen hetvattenprod'!$B$1:$BX$1,0),FALSE),"")</f>
        <v/>
      </c>
      <c r="BM50" s="227" t="str">
        <f>IF($BF50="ja",VLOOKUP($B50,Kraftvärmeprod!$B$1:$BX$550,MATCH("Värde enligt ovan. (%)",Kraftvärmeprod!$B$1:$BX$1,0),FALSE),"")</f>
        <v/>
      </c>
      <c r="BN50" s="227"/>
      <c r="BO50" s="227"/>
      <c r="BP50" s="227"/>
      <c r="BQ50" s="227" t="str">
        <f>IF($BF50="ja",VLOOKUP($B50,'Egen hetvattenprod'!$B$1:$BX$550,MATCH("Tillförd olja (fossil) vid avfallsförbränning (GWh)",'Egen hetvattenprod'!$B$1:$BX$1,0),FALSE),"")</f>
        <v/>
      </c>
      <c r="BR50" s="227" t="str">
        <f>IF($BF50="ja",VLOOKUP($B50,Kraftvärmeprod!$B$1:$BX$550,MATCH("Tillförd olja (fossil) vid avfallsförbränning (GWh)",Kraftvärmeprod!$B$1:$BX$1,0),FALSE),"")</f>
        <v/>
      </c>
      <c r="BS50" s="227"/>
      <c r="BT50" s="227"/>
      <c r="BU50" s="227"/>
    </row>
    <row r="51" spans="1:73" x14ac:dyDescent="0.25">
      <c r="A51" s="121" t="str">
        <f>'Miljövärden för publ företag'!B54</f>
        <v>Degerfors Energi AB</v>
      </c>
      <c r="B51" s="121" t="str">
        <f>'Miljövärden för publ företag'!C54</f>
        <v>Svartå</v>
      </c>
      <c r="C51" s="173">
        <f>IFERROR(VLOOKUP($B51,Totalt!$B$1:$AQ$554,MATCH(C$2,Totalt!$B$1:$AQ$1,0),FALSE),"")</f>
        <v>0</v>
      </c>
      <c r="D51" s="173">
        <f>IFERROR(VLOOKUP($B51,Totalt!$B$1:$AQ$554,MATCH(D$2,Totalt!$B$1:$AQ$1,0),FALSE),"")</f>
        <v>1.4999999999999999E-2</v>
      </c>
      <c r="E51" s="173">
        <f>IFERROR(VLOOKUP($B51,Totalt!$B$1:$AQ$554,MATCH(E$2,Totalt!$B$1:$AQ$1,0),FALSE),"")</f>
        <v>0</v>
      </c>
      <c r="F51" s="173">
        <f>IFERROR(VLOOKUP($B51,Totalt!$B$1:$AQ$554,MATCH(F$2,Totalt!$B$1:$AQ$1,0),FALSE),"")</f>
        <v>0</v>
      </c>
      <c r="G51" s="173">
        <f>IFERROR(VLOOKUP($B51,Totalt!$B$1:$AQ$554,MATCH(G$2,Totalt!$B$1:$AQ$1,0),FALSE),"")</f>
        <v>0</v>
      </c>
      <c r="H51" s="173">
        <f>IFERROR(VLOOKUP($B51,Totalt!$B$1:$AQ$554,MATCH(H$2,Totalt!$B$1:$AQ$1,0),FALSE),"")</f>
        <v>0</v>
      </c>
      <c r="I51" s="173">
        <f>IFERROR(VLOOKUP($B51,Totalt!$B$1:$AQ$554,MATCH(I$2,Totalt!$B$1:$AQ$1,0),FALSE),"")</f>
        <v>0</v>
      </c>
      <c r="J51" s="173">
        <f>IFERROR(VLOOKUP($B51,Totalt!$B$1:$AQ$554,MATCH(J$2,Totalt!$B$1:$AQ$1,0),FALSE),"")</f>
        <v>0</v>
      </c>
      <c r="K51" s="173">
        <f>IFERROR(VLOOKUP($B51,Totalt!$B$1:$AQ$554,MATCH(K$2,Totalt!$B$1:$AQ$1,0),FALSE),"")</f>
        <v>0</v>
      </c>
      <c r="L51" s="173">
        <f>IFERROR(VLOOKUP($B51,Totalt!$B$1:$AQ$554,MATCH(L$2,Totalt!$B$1:$AQ$1,0),FALSE),"")</f>
        <v>0</v>
      </c>
      <c r="M51" s="173">
        <f>IFERROR(VLOOKUP($B51,Totalt!$B$1:$AQ$554,MATCH(M$2,Totalt!$B$1:$AQ$1,0),FALSE),"")</f>
        <v>0</v>
      </c>
      <c r="N51" s="173">
        <f>IFERROR(VLOOKUP($B51,Totalt!$B$1:$AQ$554,MATCH(N$2,Totalt!$B$1:$AQ$1,0),FALSE),"")</f>
        <v>0</v>
      </c>
      <c r="O51" s="173">
        <f>IFERROR(VLOOKUP($B51,Totalt!$B$1:$AQ$554,MATCH(O$2,Totalt!$B$1:$AQ$1,0),FALSE),"")</f>
        <v>0</v>
      </c>
      <c r="P51" s="173">
        <f>IFERROR(VLOOKUP($B51,Totalt!$B$1:$AQ$554,MATCH(P$2,Totalt!$B$1:$AQ$1,0),FALSE),"")</f>
        <v>0</v>
      </c>
      <c r="Q51" s="173">
        <f>IFERROR(VLOOKUP($B51,Totalt!$B$1:$AQ$554,MATCH(Q$2,Totalt!$B$1:$AQ$1,0),FALSE),"")</f>
        <v>0</v>
      </c>
      <c r="R51" s="173">
        <f>IFERROR(VLOOKUP($B51,Totalt!$B$1:$AQ$554,MATCH(R$2,Totalt!$B$1:$AQ$1,0),FALSE),"")</f>
        <v>1.851</v>
      </c>
      <c r="S51" s="173">
        <f>IFERROR(VLOOKUP($B51,Totalt!$B$1:$AQ$554,MATCH(S$2,Totalt!$B$1:$AQ$1,0),FALSE),"")</f>
        <v>0</v>
      </c>
      <c r="T51" s="173">
        <f>IFERROR(VLOOKUP($B51,Totalt!$B$1:$AQ$554,MATCH(T$2,Totalt!$B$1:$AQ$1,0),FALSE),"")</f>
        <v>0</v>
      </c>
      <c r="U51" s="173">
        <f>IFERROR(VLOOKUP($B51,Totalt!$B$1:$AQ$554,MATCH(U$2,Totalt!$B$1:$AQ$1,0),FALSE),"")</f>
        <v>0</v>
      </c>
      <c r="V51" s="173">
        <f>IFERROR(VLOOKUP($B51,Totalt!$B$1:$AQ$554,MATCH(V$2,Totalt!$B$1:$AQ$1,0),FALSE),"")</f>
        <v>0</v>
      </c>
      <c r="W51" s="173">
        <f>IFERROR(VLOOKUP($B51,Totalt!$B$1:$AQ$554,MATCH(W$2,Totalt!$B$1:$AQ$1,0),FALSE),"")</f>
        <v>0</v>
      </c>
      <c r="X51" s="173">
        <f>IFERROR(VLOOKUP($B51,Totalt!$B$1:$AQ$554,MATCH(X$2,Totalt!$B$1:$AQ$1,0),FALSE),"")</f>
        <v>0</v>
      </c>
      <c r="Y51" s="173">
        <f>IFERROR(VLOOKUP($B51,Totalt!$B$1:$AQ$554,MATCH(Y$2,Totalt!$B$1:$AQ$1,0),FALSE),"")</f>
        <v>0</v>
      </c>
      <c r="Z51" s="173">
        <f>IFERROR(VLOOKUP($B51,Totalt!$B$1:$AQ$554,MATCH(Z$2,Totalt!$B$1:$AQ$1,0),FALSE),"")</f>
        <v>0</v>
      </c>
      <c r="AA51" s="173">
        <f>IFERROR(VLOOKUP($B51,Totalt!$B$1:$AQ$554,MATCH(AA$2,Totalt!$B$1:$AQ$1,0),FALSE),"")</f>
        <v>0</v>
      </c>
      <c r="AB51" s="173">
        <f>IFERROR(VLOOKUP($B51,Totalt!$B$1:$AQ$554,MATCH(AB$2,Totalt!$B$1:$AQ$1,0),FALSE),"")</f>
        <v>0</v>
      </c>
      <c r="AC51" s="173">
        <f>IFERROR(VLOOKUP($B51,Totalt!$B$1:$AQ$554,MATCH(AC$2,Totalt!$B$1:$AQ$1,0),FALSE),"")</f>
        <v>0</v>
      </c>
      <c r="AD51" s="173">
        <f>IFERROR(VLOOKUP($B51,Totalt!$B$1:$AQ$554,MATCH(AD$2,Totalt!$B$1:$AQ$1,0),FALSE),"")</f>
        <v>0</v>
      </c>
      <c r="AE51" s="173">
        <f>IFERROR(VLOOKUP($B51,Totalt!$B$1:$AQ$554,MATCH(AE$2,Totalt!$B$1:$AQ$1,0),FALSE),"")</f>
        <v>0</v>
      </c>
      <c r="AF51" s="173">
        <f>IFERROR(VLOOKUP($B51,Totalt!$B$1:$AQ$554,MATCH(AF$2,Totalt!$B$1:$AQ$1,0),FALSE),"")</f>
        <v>4.5999999999999999E-2</v>
      </c>
      <c r="AG51" s="173">
        <f>IFERROR(VLOOKUP($B51,Totalt!$B$1:$AQ$554,MATCH(AG$2,Totalt!$B$1:$AQ$1,0),FALSE),"")</f>
        <v>0</v>
      </c>
      <c r="AI51" s="226">
        <f t="shared" si="0"/>
        <v>1.9119999999999999</v>
      </c>
      <c r="AJ51" s="226">
        <f>IF(ISERROR(1/VLOOKUP($B51,Leveranser!$B$1:$S$500,MATCH("såld värme (gwh)",Leveranser!$B$1:$S$1,0),FALSE)),"",VLOOKUP($B51,Leveranser!$B$1:$S$500,MATCH("såld värme (gwh)",Leveranser!$B$1:$S$1,0),FALSE))</f>
        <v>1.78</v>
      </c>
      <c r="AM51" s="227" t="str">
        <f>IF(B51&lt;&gt;"",IF(VLOOKUP($B51,Totalt!$B$1:$AQ$554,MATCH("Kvalitetsgranskad:",Totalt!$B$1:$AQ$1,0),FALSE)="ja",VLOOKUP($B51,Miljö!$B$1:$AG$479,MATCH(AM$2,Miljö!$B$1:$AK$1,0),FALSE),""),"")</f>
        <v>Ja</v>
      </c>
      <c r="AN51" s="227" t="str">
        <f>IF(AM51="ja",VLOOKUP($B51,Miljö!$B$1:$J$479,MATCH("Typ av ursprungsspecificerad el   (Om inget värde anges används Nordisk residualmix, se inforuta) ()",Miljö!$B$1:$J$1,0),FALSE),IF(AM51="nej","Nordisk residualel",""))</f>
        <v>'Vattenkraft'</v>
      </c>
      <c r="AO51" s="227">
        <f>IF(AM51="","",VLOOKUP($B51,Miljö!$B$1:$J$479,MATCH("Fossilandel för ursprungspecificerad el ()",Miljö!$B$1:$J$1,0),FALSE))</f>
        <v>0</v>
      </c>
      <c r="AP51" s="227">
        <f>IF(AM51="","",IFERROR(VLOOKUP($B51,Miljö!$B$1:$J$479,MATCH("Kärnkraftsandel för ursprungsspecificerad el ()",Miljö!$B$1:$J$1,0),FALSE)/1,0))</f>
        <v>0</v>
      </c>
      <c r="AQ51" s="227">
        <f t="shared" si="1"/>
        <v>1</v>
      </c>
      <c r="AR51" s="227"/>
      <c r="AS51" s="227" t="str">
        <f t="shared" si="2"/>
        <v>Nej</v>
      </c>
      <c r="AT51" s="227" t="str">
        <f>IF(AS51="ja",VLOOKUP($B51,Miljö!$B$1:$O$500,MATCH("Fossil andel i procent (%)",Miljö!$B$1:$O$1,0),FALSE)/100,"")</f>
        <v/>
      </c>
      <c r="AU51" s="227"/>
      <c r="AV51" s="227" t="str">
        <f t="shared" si="3"/>
        <v>Nej</v>
      </c>
      <c r="AW51" s="227" t="str">
        <f>IF(AV51="ja",VLOOKUP($B51,'Egen hetvattenprod'!$B$1:$AO$500,MATCH("Värmekälla till värmepumpar ()",'Egen hetvattenprod'!$B$1:$AO$1,0),FALSE),"")</f>
        <v/>
      </c>
      <c r="AX51" s="227"/>
      <c r="AY51" s="227" t="str">
        <f t="shared" si="4"/>
        <v>Nej</v>
      </c>
      <c r="AZ51" s="228" t="str">
        <f>IF($AY51="ja",(VLOOKUP($B51,'Egen hetvattenprod'!$B$1:$BX$550,MATCH(AZ$2,'Egen hetvattenprod'!$B$1:$BX$1,0),FALSE)+VLOOKUP($B51,Kraftvärmeprod!$B$1:$BX$550,MATCH(AZ$2,Kraftvärmeprod!$B$1:$BX$1,0),FALSE))/$AC51,"")</f>
        <v/>
      </c>
      <c r="BA51" s="228" t="str">
        <f>IF($AY51="ja",(VLOOKUP($B51,'Egen hetvattenprod'!$B$1:$BX$550,MATCH(BA$2,'Egen hetvattenprod'!$B$1:$BX$1,0),FALSE)+VLOOKUP($B51,Kraftvärmeprod!$B$1:$BX$550,MATCH(BA$2,Kraftvärmeprod!$B$1:$BX$1,0),FALSE))/$AC51,"")</f>
        <v/>
      </c>
      <c r="BB51" s="228" t="str">
        <f>IF($AY51="ja",(VLOOKUP($B51,'Egen hetvattenprod'!$B$1:$BX$550,MATCH(BB$2,'Egen hetvattenprod'!$B$1:$BX$1,0),FALSE)+VLOOKUP($B51,Kraftvärmeprod!$B$1:$BX$550,MATCH(BB$2,Kraftvärmeprod!$B$1:$BX$1,0),FALSE))/$AC51,"")</f>
        <v/>
      </c>
      <c r="BC51" s="228" t="str">
        <f>IF($AY51="ja",(VLOOKUP($B51,'Egen hetvattenprod'!$B$1:$BX$550,MATCH(BC$2,'Egen hetvattenprod'!$B$1:$BX$1,0),FALSE)+VLOOKUP($B51,Kraftvärmeprod!$B$1:$BX$550,MATCH(BC$2,Kraftvärmeprod!$B$1:$BX$1,0),FALSE))/$AC51,"")</f>
        <v/>
      </c>
      <c r="BD51" s="228" t="str">
        <f>IF($AY51="ja",(VLOOKUP($B51,'Egen hetvattenprod'!$B$1:$BX$550,MATCH(BD$2,'Egen hetvattenprod'!$B$1:$BX$1,0),FALSE)+VLOOKUP($B51,Kraftvärmeprod!$B$1:$BX$550,MATCH(BD$2,Kraftvärmeprod!$B$1:$BX$1,0),FALSE))/$AC51,"")</f>
        <v/>
      </c>
      <c r="BE51" s="227"/>
      <c r="BF51" s="227" t="str">
        <f t="shared" si="5"/>
        <v>Nej</v>
      </c>
      <c r="BG51" s="227" t="str">
        <f>IF($BF51="ja",VLOOKUP($B51,'Egen hetvattenprod'!$B$1:$BX$550,MATCH("Andelen klimatgaser med fossilt ursprung för avfall ()",'Egen hetvattenprod'!$B$1:$BX$1,0),FALSE),"")</f>
        <v/>
      </c>
      <c r="BH51" s="227" t="str">
        <f>IF($BF51="ja",VLOOKUP($B51,Kraftvärmeprod!$B$1:$BX$550,MATCH("Andelen klimatgaser med fossilt ursprung för avfall ()",Kraftvärmeprod!$B$1:$BX$1,0),FALSE),"")</f>
        <v/>
      </c>
      <c r="BI51" s="227" t="str">
        <f>IF($BF51="ja",VLOOKUP($B51,'Egen hetvattenprod'!$B$1:$BX$550,MATCH("Avfall (GWh)",'Egen hetvattenprod'!$B$1:$BX$1,0),FALSE),"")</f>
        <v/>
      </c>
      <c r="BJ51" s="227" t="str">
        <f>IF($BF51="ja",VLOOKUP($B51,'Slutlig allokering kvv'!$B$1:$BX$550,MATCH("Avfall (GWh)",'Slutlig allokering kvv'!$B$1:$BX$1,0),FALSE),"")</f>
        <v/>
      </c>
      <c r="BK51" s="227" t="str">
        <f>IF($BF51="ja",VLOOKUP($B51,'Köpt hetvatten'!$B$1:$BX$550,MATCH("Avfall i köpt hetvatten",'Köpt hetvatten'!$B$1:$BX$1,0),FALSE),"")</f>
        <v/>
      </c>
      <c r="BL51" s="227" t="str">
        <f>IF($BF51="ja",VLOOKUP($B51,'Egen hetvattenprod'!$B$1:$BX$550,MATCH("Värde enligt ovan. (%)",'Egen hetvattenprod'!$B$1:$BX$1,0),FALSE),"")</f>
        <v/>
      </c>
      <c r="BM51" s="227" t="str">
        <f>IF($BF51="ja",VLOOKUP($B51,Kraftvärmeprod!$B$1:$BX$550,MATCH("Värde enligt ovan. (%)",Kraftvärmeprod!$B$1:$BX$1,0),FALSE),"")</f>
        <v/>
      </c>
      <c r="BN51" s="227"/>
      <c r="BO51" s="227"/>
      <c r="BP51" s="227"/>
      <c r="BQ51" s="227" t="str">
        <f>IF($BF51="ja",VLOOKUP($B51,'Egen hetvattenprod'!$B$1:$BX$550,MATCH("Tillförd olja (fossil) vid avfallsförbränning (GWh)",'Egen hetvattenprod'!$B$1:$BX$1,0),FALSE),"")</f>
        <v/>
      </c>
      <c r="BR51" s="227" t="str">
        <f>IF($BF51="ja",VLOOKUP($B51,Kraftvärmeprod!$B$1:$BX$550,MATCH("Tillförd olja (fossil) vid avfallsförbränning (GWh)",Kraftvärmeprod!$B$1:$BX$1,0),FALSE),"")</f>
        <v/>
      </c>
      <c r="BS51" s="227"/>
      <c r="BT51" s="227"/>
      <c r="BU51" s="227"/>
    </row>
    <row r="52" spans="1:73" x14ac:dyDescent="0.25">
      <c r="A52" s="121" t="str">
        <f>'Miljövärden för publ företag'!B55</f>
        <v>Degerfors Energi AB</v>
      </c>
      <c r="B52" s="121" t="str">
        <f>'Miljövärden för publ företag'!C55</f>
        <v>Åtorp</v>
      </c>
      <c r="C52" s="173">
        <f>IFERROR(VLOOKUP($B52,Totalt!$B$1:$AQ$554,MATCH(C$2,Totalt!$B$1:$AQ$1,0),FALSE),"")</f>
        <v>0</v>
      </c>
      <c r="D52" s="173">
        <f>IFERROR(VLOOKUP($B52,Totalt!$B$1:$AQ$554,MATCH(D$2,Totalt!$B$1:$AQ$1,0),FALSE),"")</f>
        <v>1.17E-2</v>
      </c>
      <c r="E52" s="173">
        <f>IFERROR(VLOOKUP($B52,Totalt!$B$1:$AQ$554,MATCH(E$2,Totalt!$B$1:$AQ$1,0),FALSE),"")</f>
        <v>0</v>
      </c>
      <c r="F52" s="173">
        <f>IFERROR(VLOOKUP($B52,Totalt!$B$1:$AQ$554,MATCH(F$2,Totalt!$B$1:$AQ$1,0),FALSE),"")</f>
        <v>0</v>
      </c>
      <c r="G52" s="173">
        <f>IFERROR(VLOOKUP($B52,Totalt!$B$1:$AQ$554,MATCH(G$2,Totalt!$B$1:$AQ$1,0),FALSE),"")</f>
        <v>0</v>
      </c>
      <c r="H52" s="173">
        <f>IFERROR(VLOOKUP($B52,Totalt!$B$1:$AQ$554,MATCH(H$2,Totalt!$B$1:$AQ$1,0),FALSE),"")</f>
        <v>0</v>
      </c>
      <c r="I52" s="173">
        <f>IFERROR(VLOOKUP($B52,Totalt!$B$1:$AQ$554,MATCH(I$2,Totalt!$B$1:$AQ$1,0),FALSE),"")</f>
        <v>0</v>
      </c>
      <c r="J52" s="173">
        <f>IFERROR(VLOOKUP($B52,Totalt!$B$1:$AQ$554,MATCH(J$2,Totalt!$B$1:$AQ$1,0),FALSE),"")</f>
        <v>0</v>
      </c>
      <c r="K52" s="173">
        <f>IFERROR(VLOOKUP($B52,Totalt!$B$1:$AQ$554,MATCH(K$2,Totalt!$B$1:$AQ$1,0),FALSE),"")</f>
        <v>0</v>
      </c>
      <c r="L52" s="173">
        <f>IFERROR(VLOOKUP($B52,Totalt!$B$1:$AQ$554,MATCH(L$2,Totalt!$B$1:$AQ$1,0),FALSE),"")</f>
        <v>0</v>
      </c>
      <c r="M52" s="173">
        <f>IFERROR(VLOOKUP($B52,Totalt!$B$1:$AQ$554,MATCH(M$2,Totalt!$B$1:$AQ$1,0),FALSE),"")</f>
        <v>0</v>
      </c>
      <c r="N52" s="173">
        <f>IFERROR(VLOOKUP($B52,Totalt!$B$1:$AQ$554,MATCH(N$2,Totalt!$B$1:$AQ$1,0),FALSE),"")</f>
        <v>0</v>
      </c>
      <c r="O52" s="173">
        <f>IFERROR(VLOOKUP($B52,Totalt!$B$1:$AQ$554,MATCH(O$2,Totalt!$B$1:$AQ$1,0),FALSE),"")</f>
        <v>0</v>
      </c>
      <c r="P52" s="173">
        <f>IFERROR(VLOOKUP($B52,Totalt!$B$1:$AQ$554,MATCH(P$2,Totalt!$B$1:$AQ$1,0),FALSE),"")</f>
        <v>0</v>
      </c>
      <c r="Q52" s="173">
        <f>IFERROR(VLOOKUP($B52,Totalt!$B$1:$AQ$554,MATCH(Q$2,Totalt!$B$1:$AQ$1,0),FALSE),"")</f>
        <v>0</v>
      </c>
      <c r="R52" s="173">
        <f>IFERROR(VLOOKUP($B52,Totalt!$B$1:$AQ$554,MATCH(R$2,Totalt!$B$1:$AQ$1,0),FALSE),"")</f>
        <v>0.60399999999999998</v>
      </c>
      <c r="S52" s="173">
        <f>IFERROR(VLOOKUP($B52,Totalt!$B$1:$AQ$554,MATCH(S$2,Totalt!$B$1:$AQ$1,0),FALSE),"")</f>
        <v>0</v>
      </c>
      <c r="T52" s="173">
        <f>IFERROR(VLOOKUP($B52,Totalt!$B$1:$AQ$554,MATCH(T$2,Totalt!$B$1:$AQ$1,0),FALSE),"")</f>
        <v>0</v>
      </c>
      <c r="U52" s="173">
        <f>IFERROR(VLOOKUP($B52,Totalt!$B$1:$AQ$554,MATCH(U$2,Totalt!$B$1:$AQ$1,0),FALSE),"")</f>
        <v>0</v>
      </c>
      <c r="V52" s="173">
        <f>IFERROR(VLOOKUP($B52,Totalt!$B$1:$AQ$554,MATCH(V$2,Totalt!$B$1:$AQ$1,0),FALSE),"")</f>
        <v>0</v>
      </c>
      <c r="W52" s="173">
        <f>IFERROR(VLOOKUP($B52,Totalt!$B$1:$AQ$554,MATCH(W$2,Totalt!$B$1:$AQ$1,0),FALSE),"")</f>
        <v>0</v>
      </c>
      <c r="X52" s="173">
        <f>IFERROR(VLOOKUP($B52,Totalt!$B$1:$AQ$554,MATCH(X$2,Totalt!$B$1:$AQ$1,0),FALSE),"")</f>
        <v>0</v>
      </c>
      <c r="Y52" s="173">
        <f>IFERROR(VLOOKUP($B52,Totalt!$B$1:$AQ$554,MATCH(Y$2,Totalt!$B$1:$AQ$1,0),FALSE),"")</f>
        <v>0</v>
      </c>
      <c r="Z52" s="173">
        <f>IFERROR(VLOOKUP($B52,Totalt!$B$1:$AQ$554,MATCH(Z$2,Totalt!$B$1:$AQ$1,0),FALSE),"")</f>
        <v>0</v>
      </c>
      <c r="AA52" s="173">
        <f>IFERROR(VLOOKUP($B52,Totalt!$B$1:$AQ$554,MATCH(AA$2,Totalt!$B$1:$AQ$1,0),FALSE),"")</f>
        <v>0</v>
      </c>
      <c r="AB52" s="173">
        <f>IFERROR(VLOOKUP($B52,Totalt!$B$1:$AQ$554,MATCH(AB$2,Totalt!$B$1:$AQ$1,0),FALSE),"")</f>
        <v>0</v>
      </c>
      <c r="AC52" s="173">
        <f>IFERROR(VLOOKUP($B52,Totalt!$B$1:$AQ$554,MATCH(AC$2,Totalt!$B$1:$AQ$1,0),FALSE),"")</f>
        <v>0</v>
      </c>
      <c r="AD52" s="173">
        <f>IFERROR(VLOOKUP($B52,Totalt!$B$1:$AQ$554,MATCH(AD$2,Totalt!$B$1:$AQ$1,0),FALSE),"")</f>
        <v>0</v>
      </c>
      <c r="AE52" s="173">
        <f>IFERROR(VLOOKUP($B52,Totalt!$B$1:$AQ$554,MATCH(AE$2,Totalt!$B$1:$AQ$1,0),FALSE),"")</f>
        <v>0</v>
      </c>
      <c r="AF52" s="173">
        <f>IFERROR(VLOOKUP($B52,Totalt!$B$1:$AQ$554,MATCH(AF$2,Totalt!$B$1:$AQ$1,0),FALSE),"")</f>
        <v>1.6619999999999999E-2</v>
      </c>
      <c r="AG52" s="173">
        <f>IFERROR(VLOOKUP($B52,Totalt!$B$1:$AQ$554,MATCH(AG$2,Totalt!$B$1:$AQ$1,0),FALSE),"")</f>
        <v>0</v>
      </c>
      <c r="AI52" s="226">
        <f t="shared" si="0"/>
        <v>0.63231999999999999</v>
      </c>
      <c r="AJ52" s="226">
        <f>IF(ISERROR(1/VLOOKUP($B52,Leveranser!$B$1:$S$500,MATCH("såld värme (gwh)",Leveranser!$B$1:$S$1,0),FALSE)),"",VLOOKUP($B52,Leveranser!$B$1:$S$500,MATCH("såld värme (gwh)",Leveranser!$B$1:$S$1,0),FALSE))</f>
        <v>0.55400000000000005</v>
      </c>
      <c r="AM52" s="227" t="str">
        <f>IF(B52&lt;&gt;"",IF(VLOOKUP($B52,Totalt!$B$1:$AQ$554,MATCH("Kvalitetsgranskad:",Totalt!$B$1:$AQ$1,0),FALSE)="ja",VLOOKUP($B52,Miljö!$B$1:$AG$479,MATCH(AM$2,Miljö!$B$1:$AK$1,0),FALSE),""),"")</f>
        <v>Ja</v>
      </c>
      <c r="AN52" s="227" t="str">
        <f>IF(AM52="ja",VLOOKUP($B52,Miljö!$B$1:$J$479,MATCH("Typ av ursprungsspecificerad el   (Om inget värde anges används Nordisk residualmix, se inforuta) ()",Miljö!$B$1:$J$1,0),FALSE),IF(AM52="nej","Nordisk residualel",""))</f>
        <v>'Vattenkraft'</v>
      </c>
      <c r="AO52" s="227">
        <f>IF(AM52="","",VLOOKUP($B52,Miljö!$B$1:$J$479,MATCH("Fossilandel för ursprungspecificerad el ()",Miljö!$B$1:$J$1,0),FALSE))</f>
        <v>0</v>
      </c>
      <c r="AP52" s="227">
        <f>IF(AM52="","",IFERROR(VLOOKUP($B52,Miljö!$B$1:$J$479,MATCH("Kärnkraftsandel för ursprungsspecificerad el ()",Miljö!$B$1:$J$1,0),FALSE)/1,0))</f>
        <v>0</v>
      </c>
      <c r="AQ52" s="227">
        <f t="shared" si="1"/>
        <v>1</v>
      </c>
      <c r="AR52" s="227"/>
      <c r="AS52" s="227" t="str">
        <f t="shared" si="2"/>
        <v>Nej</v>
      </c>
      <c r="AT52" s="227" t="str">
        <f>IF(AS52="ja",VLOOKUP($B52,Miljö!$B$1:$O$500,MATCH("Fossil andel i procent (%)",Miljö!$B$1:$O$1,0),FALSE)/100,"")</f>
        <v/>
      </c>
      <c r="AU52" s="227"/>
      <c r="AV52" s="227" t="str">
        <f t="shared" si="3"/>
        <v>Nej</v>
      </c>
      <c r="AW52" s="227" t="str">
        <f>IF(AV52="ja",VLOOKUP($B52,'Egen hetvattenprod'!$B$1:$AO$500,MATCH("Värmekälla till värmepumpar ()",'Egen hetvattenprod'!$B$1:$AO$1,0),FALSE),"")</f>
        <v/>
      </c>
      <c r="AX52" s="227"/>
      <c r="AY52" s="227" t="str">
        <f t="shared" si="4"/>
        <v>Nej</v>
      </c>
      <c r="AZ52" s="228" t="str">
        <f>IF($AY52="ja",(VLOOKUP($B52,'Egen hetvattenprod'!$B$1:$BX$550,MATCH(AZ$2,'Egen hetvattenprod'!$B$1:$BX$1,0),FALSE)+VLOOKUP($B52,Kraftvärmeprod!$B$1:$BX$550,MATCH(AZ$2,Kraftvärmeprod!$B$1:$BX$1,0),FALSE))/$AC52,"")</f>
        <v/>
      </c>
      <c r="BA52" s="228" t="str">
        <f>IF($AY52="ja",(VLOOKUP($B52,'Egen hetvattenprod'!$B$1:$BX$550,MATCH(BA$2,'Egen hetvattenprod'!$B$1:$BX$1,0),FALSE)+VLOOKUP($B52,Kraftvärmeprod!$B$1:$BX$550,MATCH(BA$2,Kraftvärmeprod!$B$1:$BX$1,0),FALSE))/$AC52,"")</f>
        <v/>
      </c>
      <c r="BB52" s="228" t="str">
        <f>IF($AY52="ja",(VLOOKUP($B52,'Egen hetvattenprod'!$B$1:$BX$550,MATCH(BB$2,'Egen hetvattenprod'!$B$1:$BX$1,0),FALSE)+VLOOKUP($B52,Kraftvärmeprod!$B$1:$BX$550,MATCH(BB$2,Kraftvärmeprod!$B$1:$BX$1,0),FALSE))/$AC52,"")</f>
        <v/>
      </c>
      <c r="BC52" s="228" t="str">
        <f>IF($AY52="ja",(VLOOKUP($B52,'Egen hetvattenprod'!$B$1:$BX$550,MATCH(BC$2,'Egen hetvattenprod'!$B$1:$BX$1,0),FALSE)+VLOOKUP($B52,Kraftvärmeprod!$B$1:$BX$550,MATCH(BC$2,Kraftvärmeprod!$B$1:$BX$1,0),FALSE))/$AC52,"")</f>
        <v/>
      </c>
      <c r="BD52" s="228" t="str">
        <f>IF($AY52="ja",(VLOOKUP($B52,'Egen hetvattenprod'!$B$1:$BX$550,MATCH(BD$2,'Egen hetvattenprod'!$B$1:$BX$1,0),FALSE)+VLOOKUP($B52,Kraftvärmeprod!$B$1:$BX$550,MATCH(BD$2,Kraftvärmeprod!$B$1:$BX$1,0),FALSE))/$AC52,"")</f>
        <v/>
      </c>
      <c r="BE52" s="227"/>
      <c r="BF52" s="227" t="str">
        <f t="shared" si="5"/>
        <v>Nej</v>
      </c>
      <c r="BG52" s="227" t="str">
        <f>IF($BF52="ja",VLOOKUP($B52,'Egen hetvattenprod'!$B$1:$BX$550,MATCH("Andelen klimatgaser med fossilt ursprung för avfall ()",'Egen hetvattenprod'!$B$1:$BX$1,0),FALSE),"")</f>
        <v/>
      </c>
      <c r="BH52" s="227" t="str">
        <f>IF($BF52="ja",VLOOKUP($B52,Kraftvärmeprod!$B$1:$BX$550,MATCH("Andelen klimatgaser med fossilt ursprung för avfall ()",Kraftvärmeprod!$B$1:$BX$1,0),FALSE),"")</f>
        <v/>
      </c>
      <c r="BI52" s="227" t="str">
        <f>IF($BF52="ja",VLOOKUP($B52,'Egen hetvattenprod'!$B$1:$BX$550,MATCH("Avfall (GWh)",'Egen hetvattenprod'!$B$1:$BX$1,0),FALSE),"")</f>
        <v/>
      </c>
      <c r="BJ52" s="227" t="str">
        <f>IF($BF52="ja",VLOOKUP($B52,'Slutlig allokering kvv'!$B$1:$BX$550,MATCH("Avfall (GWh)",'Slutlig allokering kvv'!$B$1:$BX$1,0),FALSE),"")</f>
        <v/>
      </c>
      <c r="BK52" s="227" t="str">
        <f>IF($BF52="ja",VLOOKUP($B52,'Köpt hetvatten'!$B$1:$BX$550,MATCH("Avfall i köpt hetvatten",'Köpt hetvatten'!$B$1:$BX$1,0),FALSE),"")</f>
        <v/>
      </c>
      <c r="BL52" s="227" t="str">
        <f>IF($BF52="ja",VLOOKUP($B52,'Egen hetvattenprod'!$B$1:$BX$550,MATCH("Värde enligt ovan. (%)",'Egen hetvattenprod'!$B$1:$BX$1,0),FALSE),"")</f>
        <v/>
      </c>
      <c r="BM52" s="227" t="str">
        <f>IF($BF52="ja",VLOOKUP($B52,Kraftvärmeprod!$B$1:$BX$550,MATCH("Värde enligt ovan. (%)",Kraftvärmeprod!$B$1:$BX$1,0),FALSE),"")</f>
        <v/>
      </c>
      <c r="BN52" s="227"/>
      <c r="BO52" s="227"/>
      <c r="BP52" s="227"/>
      <c r="BQ52" s="227" t="str">
        <f>IF($BF52="ja",VLOOKUP($B52,'Egen hetvattenprod'!$B$1:$BX$550,MATCH("Tillförd olja (fossil) vid avfallsförbränning (GWh)",'Egen hetvattenprod'!$B$1:$BX$1,0),FALSE),"")</f>
        <v/>
      </c>
      <c r="BR52" s="227" t="str">
        <f>IF($BF52="ja",VLOOKUP($B52,Kraftvärmeprod!$B$1:$BX$550,MATCH("Tillförd olja (fossil) vid avfallsförbränning (GWh)",Kraftvärmeprod!$B$1:$BX$1,0),FALSE),"")</f>
        <v/>
      </c>
      <c r="BS52" s="227"/>
      <c r="BT52" s="227"/>
      <c r="BU52" s="227"/>
    </row>
    <row r="53" spans="1:73" x14ac:dyDescent="0.25">
      <c r="A53" s="121" t="str">
        <f>'Miljövärden för publ företag'!B56</f>
        <v>E.ON Värme Sverige AB</v>
      </c>
      <c r="B53" s="121" t="str">
        <f>'Miljövärden för publ företag'!C56</f>
        <v>Bro</v>
      </c>
      <c r="C53" s="173">
        <f>IFERROR(VLOOKUP($B53,Totalt!$B$1:$AQ$554,MATCH(C$2,Totalt!$B$1:$AQ$1,0),FALSE),"")</f>
        <v>0</v>
      </c>
      <c r="D53" s="173">
        <f>IFERROR(VLOOKUP($B53,Totalt!$B$1:$AQ$554,MATCH(D$2,Totalt!$B$1:$AQ$1,0),FALSE),"")</f>
        <v>0</v>
      </c>
      <c r="E53" s="173">
        <f>IFERROR(VLOOKUP($B53,Totalt!$B$1:$AQ$554,MATCH(E$2,Totalt!$B$1:$AQ$1,0),FALSE),"")</f>
        <v>0</v>
      </c>
      <c r="F53" s="173">
        <f>IFERROR(VLOOKUP($B53,Totalt!$B$1:$AQ$554,MATCH(F$2,Totalt!$B$1:$AQ$1,0),FALSE),"")</f>
        <v>0</v>
      </c>
      <c r="G53" s="173">
        <f>IFERROR(VLOOKUP($B53,Totalt!$B$1:$AQ$554,MATCH(G$2,Totalt!$B$1:$AQ$1,0),FALSE),"")</f>
        <v>0</v>
      </c>
      <c r="H53" s="173">
        <f>IFERROR(VLOOKUP($B53,Totalt!$B$1:$AQ$554,MATCH(H$2,Totalt!$B$1:$AQ$1,0),FALSE),"")</f>
        <v>0</v>
      </c>
      <c r="I53" s="173">
        <f>IFERROR(VLOOKUP($B53,Totalt!$B$1:$AQ$554,MATCH(I$2,Totalt!$B$1:$AQ$1,0),FALSE),"")</f>
        <v>0</v>
      </c>
      <c r="J53" s="173">
        <f>IFERROR(VLOOKUP($B53,Totalt!$B$1:$AQ$554,MATCH(J$2,Totalt!$B$1:$AQ$1,0),FALSE),"")</f>
        <v>2.427</v>
      </c>
      <c r="K53" s="173">
        <f>IFERROR(VLOOKUP($B53,Totalt!$B$1:$AQ$554,MATCH(K$2,Totalt!$B$1:$AQ$1,0),FALSE),"")</f>
        <v>0</v>
      </c>
      <c r="L53" s="173">
        <f>IFERROR(VLOOKUP($B53,Totalt!$B$1:$AQ$554,MATCH(L$2,Totalt!$B$1:$AQ$1,0),FALSE),"")</f>
        <v>0</v>
      </c>
      <c r="M53" s="173">
        <f>IFERROR(VLOOKUP($B53,Totalt!$B$1:$AQ$554,MATCH(M$2,Totalt!$B$1:$AQ$1,0),FALSE),"")</f>
        <v>0</v>
      </c>
      <c r="N53" s="173">
        <f>IFERROR(VLOOKUP($B53,Totalt!$B$1:$AQ$554,MATCH(N$2,Totalt!$B$1:$AQ$1,0),FALSE),"")</f>
        <v>0</v>
      </c>
      <c r="O53" s="173">
        <f>IFERROR(VLOOKUP($B53,Totalt!$B$1:$AQ$554,MATCH(O$2,Totalt!$B$1:$AQ$1,0),FALSE),"")</f>
        <v>0</v>
      </c>
      <c r="P53" s="173">
        <f>IFERROR(VLOOKUP($B53,Totalt!$B$1:$AQ$554,MATCH(P$2,Totalt!$B$1:$AQ$1,0),FALSE),"")</f>
        <v>0</v>
      </c>
      <c r="Q53" s="173">
        <f>IFERROR(VLOOKUP($B53,Totalt!$B$1:$AQ$554,MATCH(Q$2,Totalt!$B$1:$AQ$1,0),FALSE),"")</f>
        <v>0</v>
      </c>
      <c r="R53" s="173">
        <f>IFERROR(VLOOKUP($B53,Totalt!$B$1:$AQ$554,MATCH(R$2,Totalt!$B$1:$AQ$1,0),FALSE),"")</f>
        <v>0</v>
      </c>
      <c r="S53" s="173">
        <f>IFERROR(VLOOKUP($B53,Totalt!$B$1:$AQ$554,MATCH(S$2,Totalt!$B$1:$AQ$1,0),FALSE),"")</f>
        <v>0</v>
      </c>
      <c r="T53" s="173">
        <f>IFERROR(VLOOKUP($B53,Totalt!$B$1:$AQ$554,MATCH(T$2,Totalt!$B$1:$AQ$1,0),FALSE),"")</f>
        <v>0</v>
      </c>
      <c r="U53" s="173">
        <f>IFERROR(VLOOKUP($B53,Totalt!$B$1:$AQ$554,MATCH(U$2,Totalt!$B$1:$AQ$1,0),FALSE),"")</f>
        <v>0</v>
      </c>
      <c r="V53" s="173">
        <f>IFERROR(VLOOKUP($B53,Totalt!$B$1:$AQ$554,MATCH(V$2,Totalt!$B$1:$AQ$1,0),FALSE),"")</f>
        <v>0</v>
      </c>
      <c r="W53" s="173">
        <f>IFERROR(VLOOKUP($B53,Totalt!$B$1:$AQ$554,MATCH(W$2,Totalt!$B$1:$AQ$1,0),FALSE),"")</f>
        <v>2</v>
      </c>
      <c r="X53" s="173">
        <f>IFERROR(VLOOKUP($B53,Totalt!$B$1:$AQ$554,MATCH(X$2,Totalt!$B$1:$AQ$1,0),FALSE),"")</f>
        <v>0</v>
      </c>
      <c r="Y53" s="173">
        <f>IFERROR(VLOOKUP($B53,Totalt!$B$1:$AQ$554,MATCH(Y$2,Totalt!$B$1:$AQ$1,0),FALSE),"")</f>
        <v>0</v>
      </c>
      <c r="Z53" s="173">
        <f>IFERROR(VLOOKUP($B53,Totalt!$B$1:$AQ$554,MATCH(Z$2,Totalt!$B$1:$AQ$1,0),FALSE),"")</f>
        <v>0</v>
      </c>
      <c r="AA53" s="173">
        <f>IFERROR(VLOOKUP($B53,Totalt!$B$1:$AQ$554,MATCH(AA$2,Totalt!$B$1:$AQ$1,0),FALSE),"")</f>
        <v>0</v>
      </c>
      <c r="AB53" s="173">
        <f>IFERROR(VLOOKUP($B53,Totalt!$B$1:$AQ$554,MATCH(AB$2,Totalt!$B$1:$AQ$1,0),FALSE),"")</f>
        <v>0</v>
      </c>
      <c r="AC53" s="173">
        <f>IFERROR(VLOOKUP($B53,Totalt!$B$1:$AQ$554,MATCH(AC$2,Totalt!$B$1:$AQ$1,0),FALSE),"")</f>
        <v>0</v>
      </c>
      <c r="AD53" s="173">
        <f>IFERROR(VLOOKUP($B53,Totalt!$B$1:$AQ$554,MATCH(AD$2,Totalt!$B$1:$AQ$1,0),FALSE),"")</f>
        <v>0</v>
      </c>
      <c r="AE53" s="173">
        <f>IFERROR(VLOOKUP($B53,Totalt!$B$1:$AQ$554,MATCH(AE$2,Totalt!$B$1:$AQ$1,0),FALSE),"")</f>
        <v>0</v>
      </c>
      <c r="AF53" s="173">
        <f>IFERROR(VLOOKUP($B53,Totalt!$B$1:$AQ$554,MATCH(AF$2,Totalt!$B$1:$AQ$1,0),FALSE),"")</f>
        <v>0.93589999999999995</v>
      </c>
      <c r="AG53" s="173">
        <f>IFERROR(VLOOKUP($B53,Totalt!$B$1:$AQ$554,MATCH(AG$2,Totalt!$B$1:$AQ$1,0),FALSE),"")</f>
        <v>0</v>
      </c>
      <c r="AI53" s="226">
        <f t="shared" si="0"/>
        <v>5.3628999999999998</v>
      </c>
      <c r="AJ53" s="226">
        <f>IF(ISERROR(1/VLOOKUP($B53,Leveranser!$B$1:$S$500,MATCH("såld värme (gwh)",Leveranser!$B$1:$S$1,0),FALSE)),"",VLOOKUP($B53,Leveranser!$B$1:$S$500,MATCH("såld värme (gwh)",Leveranser!$B$1:$S$1,0),FALSE))</f>
        <v>28.38</v>
      </c>
      <c r="AM53" s="227" t="str">
        <f>IF(B53&lt;&gt;"",IF(VLOOKUP($B53,Totalt!$B$1:$AQ$554,MATCH("Kvalitetsgranskad:",Totalt!$B$1:$AQ$1,0),FALSE)="ja",VLOOKUP($B53,Miljö!$B$1:$AG$479,MATCH(AM$2,Miljö!$B$1:$AK$1,0),FALSE),""),"")</f>
        <v>Nej</v>
      </c>
      <c r="AN53" s="227" t="str">
        <f>IF(AM53="ja",VLOOKUP($B53,Miljö!$B$1:$J$479,MATCH("Typ av ursprungsspecificerad el   (Om inget värde anges används Nordisk residualmix, se inforuta) ()",Miljö!$B$1:$J$1,0),FALSE),IF(AM53="nej","Nordisk residualel",""))</f>
        <v>Nordisk residualel</v>
      </c>
      <c r="AO53" s="227">
        <f>IF(AM53="","",VLOOKUP($B53,Miljö!$B$1:$J$479,MATCH("Fossilandel för ursprungspecificerad el ()",Miljö!$B$1:$J$1,0),FALSE))</f>
        <v>0.43</v>
      </c>
      <c r="AP53" s="227">
        <f>IF(AM53="","",IFERROR(VLOOKUP($B53,Miljö!$B$1:$J$479,MATCH("Kärnkraftsandel för ursprungsspecificerad el ()",Miljö!$B$1:$J$1,0),FALSE)/1,0))</f>
        <v>0.40550000000000003</v>
      </c>
      <c r="AQ53" s="227">
        <f t="shared" si="1"/>
        <v>0.16450000000000004</v>
      </c>
      <c r="AR53" s="227"/>
      <c r="AS53" s="227" t="str">
        <f t="shared" si="2"/>
        <v>Nej</v>
      </c>
      <c r="AT53" s="227" t="str">
        <f>IF(AS53="ja",VLOOKUP($B53,Miljö!$B$1:$O$500,MATCH("Fossil andel i procent (%)",Miljö!$B$1:$O$1,0),FALSE)/100,"")</f>
        <v/>
      </c>
      <c r="AU53" s="227"/>
      <c r="AV53" s="227" t="str">
        <f t="shared" si="3"/>
        <v>Nej</v>
      </c>
      <c r="AW53" s="227" t="str">
        <f>IF(AV53="ja",VLOOKUP($B53,'Egen hetvattenprod'!$B$1:$AO$500,MATCH("Värmekälla till värmepumpar ()",'Egen hetvattenprod'!$B$1:$AO$1,0),FALSE),"")</f>
        <v/>
      </c>
      <c r="AX53" s="227"/>
      <c r="AY53" s="227" t="str">
        <f t="shared" si="4"/>
        <v>Nej</v>
      </c>
      <c r="AZ53" s="228" t="str">
        <f>IF($AY53="ja",(VLOOKUP($B53,'Egen hetvattenprod'!$B$1:$BX$550,MATCH(AZ$2,'Egen hetvattenprod'!$B$1:$BX$1,0),FALSE)+VLOOKUP($B53,Kraftvärmeprod!$B$1:$BX$550,MATCH(AZ$2,Kraftvärmeprod!$B$1:$BX$1,0),FALSE))/$AC53,"")</f>
        <v/>
      </c>
      <c r="BA53" s="228" t="str">
        <f>IF($AY53="ja",(VLOOKUP($B53,'Egen hetvattenprod'!$B$1:$BX$550,MATCH(BA$2,'Egen hetvattenprod'!$B$1:$BX$1,0),FALSE)+VLOOKUP($B53,Kraftvärmeprod!$B$1:$BX$550,MATCH(BA$2,Kraftvärmeprod!$B$1:$BX$1,0),FALSE))/$AC53,"")</f>
        <v/>
      </c>
      <c r="BB53" s="228" t="str">
        <f>IF($AY53="ja",(VLOOKUP($B53,'Egen hetvattenprod'!$B$1:$BX$550,MATCH(BB$2,'Egen hetvattenprod'!$B$1:$BX$1,0),FALSE)+VLOOKUP($B53,Kraftvärmeprod!$B$1:$BX$550,MATCH(BB$2,Kraftvärmeprod!$B$1:$BX$1,0),FALSE))/$AC53,"")</f>
        <v/>
      </c>
      <c r="BC53" s="228" t="str">
        <f>IF($AY53="ja",(VLOOKUP($B53,'Egen hetvattenprod'!$B$1:$BX$550,MATCH(BC$2,'Egen hetvattenprod'!$B$1:$BX$1,0),FALSE)+VLOOKUP($B53,Kraftvärmeprod!$B$1:$BX$550,MATCH(BC$2,Kraftvärmeprod!$B$1:$BX$1,0),FALSE))/$AC53,"")</f>
        <v/>
      </c>
      <c r="BD53" s="228" t="str">
        <f>IF($AY53="ja",(VLOOKUP($B53,'Egen hetvattenprod'!$B$1:$BX$550,MATCH(BD$2,'Egen hetvattenprod'!$B$1:$BX$1,0),FALSE)+VLOOKUP($B53,Kraftvärmeprod!$B$1:$BX$550,MATCH(BD$2,Kraftvärmeprod!$B$1:$BX$1,0),FALSE))/$AC53,"")</f>
        <v/>
      </c>
      <c r="BE53" s="227"/>
      <c r="BF53" s="227" t="str">
        <f t="shared" si="5"/>
        <v>Nej</v>
      </c>
      <c r="BG53" s="227" t="str">
        <f>IF($BF53="ja",VLOOKUP($B53,'Egen hetvattenprod'!$B$1:$BX$550,MATCH("Andelen klimatgaser med fossilt ursprung för avfall ()",'Egen hetvattenprod'!$B$1:$BX$1,0),FALSE),"")</f>
        <v/>
      </c>
      <c r="BH53" s="227" t="str">
        <f>IF($BF53="ja",VLOOKUP($B53,Kraftvärmeprod!$B$1:$BX$550,MATCH("Andelen klimatgaser med fossilt ursprung för avfall ()",Kraftvärmeprod!$B$1:$BX$1,0),FALSE),"")</f>
        <v/>
      </c>
      <c r="BI53" s="227" t="str">
        <f>IF($BF53="ja",VLOOKUP($B53,'Egen hetvattenprod'!$B$1:$BX$550,MATCH("Avfall (GWh)",'Egen hetvattenprod'!$B$1:$BX$1,0),FALSE),"")</f>
        <v/>
      </c>
      <c r="BJ53" s="227" t="str">
        <f>IF($BF53="ja",VLOOKUP($B53,'Slutlig allokering kvv'!$B$1:$BX$550,MATCH("Avfall (GWh)",'Slutlig allokering kvv'!$B$1:$BX$1,0),FALSE),"")</f>
        <v/>
      </c>
      <c r="BK53" s="227" t="str">
        <f>IF($BF53="ja",VLOOKUP($B53,'Köpt hetvatten'!$B$1:$BX$550,MATCH("Avfall i köpt hetvatten",'Köpt hetvatten'!$B$1:$BX$1,0),FALSE),"")</f>
        <v/>
      </c>
      <c r="BL53" s="227" t="str">
        <f>IF($BF53="ja",VLOOKUP($B53,'Egen hetvattenprod'!$B$1:$BX$550,MATCH("Värde enligt ovan. (%)",'Egen hetvattenprod'!$B$1:$BX$1,0),FALSE),"")</f>
        <v/>
      </c>
      <c r="BM53" s="227" t="str">
        <f>IF($BF53="ja",VLOOKUP($B53,Kraftvärmeprod!$B$1:$BX$550,MATCH("Värde enligt ovan. (%)",Kraftvärmeprod!$B$1:$BX$1,0),FALSE),"")</f>
        <v/>
      </c>
      <c r="BN53" s="227"/>
      <c r="BO53" s="227"/>
      <c r="BP53" s="227"/>
      <c r="BQ53" s="227" t="str">
        <f>IF($BF53="ja",VLOOKUP($B53,'Egen hetvattenprod'!$B$1:$BX$550,MATCH("Tillförd olja (fossil) vid avfallsförbränning (GWh)",'Egen hetvattenprod'!$B$1:$BX$1,0),FALSE),"")</f>
        <v/>
      </c>
      <c r="BR53" s="227" t="str">
        <f>IF($BF53="ja",VLOOKUP($B53,Kraftvärmeprod!$B$1:$BX$550,MATCH("Tillförd olja (fossil) vid avfallsförbränning (GWh)",Kraftvärmeprod!$B$1:$BX$1,0),FALSE),"")</f>
        <v/>
      </c>
      <c r="BS53" s="227"/>
      <c r="BT53" s="227"/>
      <c r="BU53" s="227"/>
    </row>
    <row r="54" spans="1:73" x14ac:dyDescent="0.25">
      <c r="A54" s="121" t="str">
        <f>'Miljövärden för publ företag'!B57</f>
        <v>E.ON Värme Sverige AB</v>
      </c>
      <c r="B54" s="121" t="str">
        <f>'Miljövärden för publ företag'!C57</f>
        <v>Bålsta</v>
      </c>
      <c r="C54" s="173">
        <f>IFERROR(VLOOKUP($B54,Totalt!$B$1:$AQ$554,MATCH(C$2,Totalt!$B$1:$AQ$1,0),FALSE),"")</f>
        <v>0</v>
      </c>
      <c r="D54" s="173">
        <f>IFERROR(VLOOKUP($B54,Totalt!$B$1:$AQ$554,MATCH(D$2,Totalt!$B$1:$AQ$1,0),FALSE),"")</f>
        <v>0.7</v>
      </c>
      <c r="E54" s="173">
        <f>IFERROR(VLOOKUP($B54,Totalt!$B$1:$AQ$554,MATCH(E$2,Totalt!$B$1:$AQ$1,0),FALSE),"")</f>
        <v>0</v>
      </c>
      <c r="F54" s="173">
        <f>IFERROR(VLOOKUP($B54,Totalt!$B$1:$AQ$554,MATCH(F$2,Totalt!$B$1:$AQ$1,0),FALSE),"")</f>
        <v>0</v>
      </c>
      <c r="G54" s="173">
        <f>IFERROR(VLOOKUP($B54,Totalt!$B$1:$AQ$554,MATCH(G$2,Totalt!$B$1:$AQ$1,0),FALSE),"")</f>
        <v>0</v>
      </c>
      <c r="H54" s="173">
        <f>IFERROR(VLOOKUP($B54,Totalt!$B$1:$AQ$554,MATCH(H$2,Totalt!$B$1:$AQ$1,0),FALSE),"")</f>
        <v>0</v>
      </c>
      <c r="I54" s="173">
        <f>IFERROR(VLOOKUP($B54,Totalt!$B$1:$AQ$554,MATCH(I$2,Totalt!$B$1:$AQ$1,0),FALSE),"")</f>
        <v>0</v>
      </c>
      <c r="J54" s="173">
        <f>IFERROR(VLOOKUP($B54,Totalt!$B$1:$AQ$554,MATCH(J$2,Totalt!$B$1:$AQ$1,0),FALSE),"")</f>
        <v>0</v>
      </c>
      <c r="K54" s="173">
        <f>IFERROR(VLOOKUP($B54,Totalt!$B$1:$AQ$554,MATCH(K$2,Totalt!$B$1:$AQ$1,0),FALSE),"")</f>
        <v>0</v>
      </c>
      <c r="L54" s="173">
        <f>IFERROR(VLOOKUP($B54,Totalt!$B$1:$AQ$554,MATCH(L$2,Totalt!$B$1:$AQ$1,0),FALSE),"")</f>
        <v>0</v>
      </c>
      <c r="M54" s="173">
        <f>IFERROR(VLOOKUP($B54,Totalt!$B$1:$AQ$554,MATCH(M$2,Totalt!$B$1:$AQ$1,0),FALSE),"")</f>
        <v>0</v>
      </c>
      <c r="N54" s="173">
        <f>IFERROR(VLOOKUP($B54,Totalt!$B$1:$AQ$554,MATCH(N$2,Totalt!$B$1:$AQ$1,0),FALSE),"")</f>
        <v>0</v>
      </c>
      <c r="O54" s="173">
        <f>IFERROR(VLOOKUP($B54,Totalt!$B$1:$AQ$554,MATCH(O$2,Totalt!$B$1:$AQ$1,0),FALSE),"")</f>
        <v>0</v>
      </c>
      <c r="P54" s="173">
        <f>IFERROR(VLOOKUP($B54,Totalt!$B$1:$AQ$554,MATCH(P$2,Totalt!$B$1:$AQ$1,0),FALSE),"")</f>
        <v>24.186</v>
      </c>
      <c r="Q54" s="173">
        <f>IFERROR(VLOOKUP($B54,Totalt!$B$1:$AQ$554,MATCH(Q$2,Totalt!$B$1:$AQ$1,0),FALSE),"")</f>
        <v>0</v>
      </c>
      <c r="R54" s="173">
        <f>IFERROR(VLOOKUP($B54,Totalt!$B$1:$AQ$554,MATCH(R$2,Totalt!$B$1:$AQ$1,0),FALSE),"")</f>
        <v>7.9</v>
      </c>
      <c r="S54" s="173">
        <f>IFERROR(VLOOKUP($B54,Totalt!$B$1:$AQ$554,MATCH(S$2,Totalt!$B$1:$AQ$1,0),FALSE),"")</f>
        <v>0</v>
      </c>
      <c r="T54" s="173">
        <f>IFERROR(VLOOKUP($B54,Totalt!$B$1:$AQ$554,MATCH(T$2,Totalt!$B$1:$AQ$1,0),FALSE),"")</f>
        <v>0</v>
      </c>
      <c r="U54" s="173">
        <f>IFERROR(VLOOKUP($B54,Totalt!$B$1:$AQ$554,MATCH(U$2,Totalt!$B$1:$AQ$1,0),FALSE),"")</f>
        <v>0</v>
      </c>
      <c r="V54" s="173">
        <f>IFERROR(VLOOKUP($B54,Totalt!$B$1:$AQ$554,MATCH(V$2,Totalt!$B$1:$AQ$1,0),FALSE),"")</f>
        <v>0</v>
      </c>
      <c r="W54" s="173">
        <f>IFERROR(VLOOKUP($B54,Totalt!$B$1:$AQ$554,MATCH(W$2,Totalt!$B$1:$AQ$1,0),FALSE),"")</f>
        <v>1.9</v>
      </c>
      <c r="X54" s="173">
        <f>IFERROR(VLOOKUP($B54,Totalt!$B$1:$AQ$554,MATCH(X$2,Totalt!$B$1:$AQ$1,0),FALSE),"")</f>
        <v>0</v>
      </c>
      <c r="Y54" s="173">
        <f>IFERROR(VLOOKUP($B54,Totalt!$B$1:$AQ$554,MATCH(Y$2,Totalt!$B$1:$AQ$1,0),FALSE),"")</f>
        <v>0</v>
      </c>
      <c r="Z54" s="173">
        <f>IFERROR(VLOOKUP($B54,Totalt!$B$1:$AQ$554,MATCH(Z$2,Totalt!$B$1:$AQ$1,0),FALSE),"")</f>
        <v>0</v>
      </c>
      <c r="AA54" s="173">
        <f>IFERROR(VLOOKUP($B54,Totalt!$B$1:$AQ$554,MATCH(AA$2,Totalt!$B$1:$AQ$1,0),FALSE),"")</f>
        <v>0</v>
      </c>
      <c r="AB54" s="173">
        <f>IFERROR(VLOOKUP($B54,Totalt!$B$1:$AQ$554,MATCH(AB$2,Totalt!$B$1:$AQ$1,0),FALSE),"")</f>
        <v>0</v>
      </c>
      <c r="AC54" s="173">
        <f>IFERROR(VLOOKUP($B54,Totalt!$B$1:$AQ$554,MATCH(AC$2,Totalt!$B$1:$AQ$1,0),FALSE),"")</f>
        <v>0</v>
      </c>
      <c r="AD54" s="173">
        <f>IFERROR(VLOOKUP($B54,Totalt!$B$1:$AQ$554,MATCH(AD$2,Totalt!$B$1:$AQ$1,0),FALSE),"")</f>
        <v>8</v>
      </c>
      <c r="AE54" s="173">
        <f>IFERROR(VLOOKUP($B54,Totalt!$B$1:$AQ$554,MATCH(AE$2,Totalt!$B$1:$AQ$1,0),FALSE),"")</f>
        <v>0</v>
      </c>
      <c r="AF54" s="173">
        <f>IFERROR(VLOOKUP($B54,Totalt!$B$1:$AQ$554,MATCH(AF$2,Totalt!$B$1:$AQ$1,0),FALSE),"")</f>
        <v>0.96699999999999997</v>
      </c>
      <c r="AG54" s="173">
        <f>IFERROR(VLOOKUP($B54,Totalt!$B$1:$AQ$554,MATCH(AG$2,Totalt!$B$1:$AQ$1,0),FALSE),"")</f>
        <v>0</v>
      </c>
      <c r="AI54" s="226">
        <f t="shared" si="0"/>
        <v>43.652999999999999</v>
      </c>
      <c r="AJ54" s="226">
        <f>IF(ISERROR(1/VLOOKUP($B54,Leveranser!$B$1:$S$500,MATCH("såld värme (gwh)",Leveranser!$B$1:$S$1,0),FALSE)),"",VLOOKUP($B54,Leveranser!$B$1:$S$500,MATCH("såld värme (gwh)",Leveranser!$B$1:$S$1,0),FALSE))</f>
        <v>32.5</v>
      </c>
      <c r="AM54" s="227" t="str">
        <f>IF(B54&lt;&gt;"",IF(VLOOKUP($B54,Totalt!$B$1:$AQ$554,MATCH("Kvalitetsgranskad:",Totalt!$B$1:$AQ$1,0),FALSE)="ja",VLOOKUP($B54,Miljö!$B$1:$AG$479,MATCH(AM$2,Miljö!$B$1:$AK$1,0),FALSE),""),"")</f>
        <v>Nej</v>
      </c>
      <c r="AN54" s="227" t="str">
        <f>IF(AM54="ja",VLOOKUP($B54,Miljö!$B$1:$J$479,MATCH("Typ av ursprungsspecificerad el   (Om inget värde anges används Nordisk residualmix, se inforuta) ()",Miljö!$B$1:$J$1,0),FALSE),IF(AM54="nej","Nordisk residualel",""))</f>
        <v>Nordisk residualel</v>
      </c>
      <c r="AO54" s="227">
        <f>IF(AM54="","",VLOOKUP($B54,Miljö!$B$1:$J$479,MATCH("Fossilandel för ursprungspecificerad el ()",Miljö!$B$1:$J$1,0),FALSE))</f>
        <v>0.43</v>
      </c>
      <c r="AP54" s="227">
        <f>IF(AM54="","",IFERROR(VLOOKUP($B54,Miljö!$B$1:$J$479,MATCH("Kärnkraftsandel för ursprungsspecificerad el ()",Miljö!$B$1:$J$1,0),FALSE)/1,0))</f>
        <v>0.40550000000000003</v>
      </c>
      <c r="AQ54" s="227">
        <f t="shared" si="1"/>
        <v>0.16450000000000004</v>
      </c>
      <c r="AR54" s="227"/>
      <c r="AS54" s="227" t="str">
        <f t="shared" si="2"/>
        <v>Nej</v>
      </c>
      <c r="AT54" s="227" t="str">
        <f>IF(AS54="ja",VLOOKUP($B54,Miljö!$B$1:$O$500,MATCH("Fossil andel i procent (%)",Miljö!$B$1:$O$1,0),FALSE)/100,"")</f>
        <v/>
      </c>
      <c r="AU54" s="227"/>
      <c r="AV54" s="227" t="str">
        <f t="shared" si="3"/>
        <v>Nej</v>
      </c>
      <c r="AW54" s="227" t="str">
        <f>IF(AV54="ja",VLOOKUP($B54,'Egen hetvattenprod'!$B$1:$AO$500,MATCH("Värmekälla till värmepumpar ()",'Egen hetvattenprod'!$B$1:$AO$1,0),FALSE),"")</f>
        <v/>
      </c>
      <c r="AX54" s="227"/>
      <c r="AY54" s="227" t="str">
        <f t="shared" si="4"/>
        <v>Nej</v>
      </c>
      <c r="AZ54" s="228" t="str">
        <f>IF($AY54="ja",(VLOOKUP($B54,'Egen hetvattenprod'!$B$1:$BX$550,MATCH(AZ$2,'Egen hetvattenprod'!$B$1:$BX$1,0),FALSE)+VLOOKUP($B54,Kraftvärmeprod!$B$1:$BX$550,MATCH(AZ$2,Kraftvärmeprod!$B$1:$BX$1,0),FALSE))/$AC54,"")</f>
        <v/>
      </c>
      <c r="BA54" s="228" t="str">
        <f>IF($AY54="ja",(VLOOKUP($B54,'Egen hetvattenprod'!$B$1:$BX$550,MATCH(BA$2,'Egen hetvattenprod'!$B$1:$BX$1,0),FALSE)+VLOOKUP($B54,Kraftvärmeprod!$B$1:$BX$550,MATCH(BA$2,Kraftvärmeprod!$B$1:$BX$1,0),FALSE))/$AC54,"")</f>
        <v/>
      </c>
      <c r="BB54" s="228" t="str">
        <f>IF($AY54="ja",(VLOOKUP($B54,'Egen hetvattenprod'!$B$1:$BX$550,MATCH(BB$2,'Egen hetvattenprod'!$B$1:$BX$1,0),FALSE)+VLOOKUP($B54,Kraftvärmeprod!$B$1:$BX$550,MATCH(BB$2,Kraftvärmeprod!$B$1:$BX$1,0),FALSE))/$AC54,"")</f>
        <v/>
      </c>
      <c r="BC54" s="228" t="str">
        <f>IF($AY54="ja",(VLOOKUP($B54,'Egen hetvattenprod'!$B$1:$BX$550,MATCH(BC$2,'Egen hetvattenprod'!$B$1:$BX$1,0),FALSE)+VLOOKUP($B54,Kraftvärmeprod!$B$1:$BX$550,MATCH(BC$2,Kraftvärmeprod!$B$1:$BX$1,0),FALSE))/$AC54,"")</f>
        <v/>
      </c>
      <c r="BD54" s="228" t="str">
        <f>IF($AY54="ja",(VLOOKUP($B54,'Egen hetvattenprod'!$B$1:$BX$550,MATCH(BD$2,'Egen hetvattenprod'!$B$1:$BX$1,0),FALSE)+VLOOKUP($B54,Kraftvärmeprod!$B$1:$BX$550,MATCH(BD$2,Kraftvärmeprod!$B$1:$BX$1,0),FALSE))/$AC54,"")</f>
        <v/>
      </c>
      <c r="BE54" s="227"/>
      <c r="BF54" s="227" t="str">
        <f t="shared" si="5"/>
        <v>Nej</v>
      </c>
      <c r="BG54" s="227" t="str">
        <f>IF($BF54="ja",VLOOKUP($B54,'Egen hetvattenprod'!$B$1:$BX$550,MATCH("Andelen klimatgaser med fossilt ursprung för avfall ()",'Egen hetvattenprod'!$B$1:$BX$1,0),FALSE),"")</f>
        <v/>
      </c>
      <c r="BH54" s="227" t="str">
        <f>IF($BF54="ja",VLOOKUP($B54,Kraftvärmeprod!$B$1:$BX$550,MATCH("Andelen klimatgaser med fossilt ursprung för avfall ()",Kraftvärmeprod!$B$1:$BX$1,0),FALSE),"")</f>
        <v/>
      </c>
      <c r="BI54" s="227" t="str">
        <f>IF($BF54="ja",VLOOKUP($B54,'Egen hetvattenprod'!$B$1:$BX$550,MATCH("Avfall (GWh)",'Egen hetvattenprod'!$B$1:$BX$1,0),FALSE),"")</f>
        <v/>
      </c>
      <c r="BJ54" s="227" t="str">
        <f>IF($BF54="ja",VLOOKUP($B54,'Slutlig allokering kvv'!$B$1:$BX$550,MATCH("Avfall (GWh)",'Slutlig allokering kvv'!$B$1:$BX$1,0),FALSE),"")</f>
        <v/>
      </c>
      <c r="BK54" s="227" t="str">
        <f>IF($BF54="ja",VLOOKUP($B54,'Köpt hetvatten'!$B$1:$BX$550,MATCH("Avfall i köpt hetvatten",'Köpt hetvatten'!$B$1:$BX$1,0),FALSE),"")</f>
        <v/>
      </c>
      <c r="BL54" s="227" t="str">
        <f>IF($BF54="ja",VLOOKUP($B54,'Egen hetvattenprod'!$B$1:$BX$550,MATCH("Värde enligt ovan. (%)",'Egen hetvattenprod'!$B$1:$BX$1,0),FALSE),"")</f>
        <v/>
      </c>
      <c r="BM54" s="227" t="str">
        <f>IF($BF54="ja",VLOOKUP($B54,Kraftvärmeprod!$B$1:$BX$550,MATCH("Värde enligt ovan. (%)",Kraftvärmeprod!$B$1:$BX$1,0),FALSE),"")</f>
        <v/>
      </c>
      <c r="BN54" s="227"/>
      <c r="BO54" s="227"/>
      <c r="BP54" s="227"/>
      <c r="BQ54" s="227" t="str">
        <f>IF($BF54="ja",VLOOKUP($B54,'Egen hetvattenprod'!$B$1:$BX$550,MATCH("Tillförd olja (fossil) vid avfallsförbränning (GWh)",'Egen hetvattenprod'!$B$1:$BX$1,0),FALSE),"")</f>
        <v/>
      </c>
      <c r="BR54" s="227" t="str">
        <f>IF($BF54="ja",VLOOKUP($B54,Kraftvärmeprod!$B$1:$BX$550,MATCH("Tillförd olja (fossil) vid avfallsförbränning (GWh)",Kraftvärmeprod!$B$1:$BX$1,0),FALSE),"")</f>
        <v/>
      </c>
      <c r="BS54" s="227"/>
      <c r="BT54" s="227"/>
      <c r="BU54" s="227"/>
    </row>
    <row r="55" spans="1:73" x14ac:dyDescent="0.25">
      <c r="A55" s="121" t="str">
        <f>'Miljövärden för publ företag'!B58</f>
        <v>E.ON Värme Sverige AB</v>
      </c>
      <c r="B55" s="121" t="str">
        <f>'Miljövärden för publ företag'!C58</f>
        <v>Coop</v>
      </c>
      <c r="C55" s="173">
        <f>IFERROR(VLOOKUP($B55,Totalt!$B$1:$AQ$554,MATCH(C$2,Totalt!$B$1:$AQ$1,0),FALSE),"")</f>
        <v>0</v>
      </c>
      <c r="D55" s="173">
        <f>IFERROR(VLOOKUP($B55,Totalt!$B$1:$AQ$554,MATCH(D$2,Totalt!$B$1:$AQ$1,0),FALSE),"")</f>
        <v>0</v>
      </c>
      <c r="E55" s="173">
        <f>IFERROR(VLOOKUP($B55,Totalt!$B$1:$AQ$554,MATCH(E$2,Totalt!$B$1:$AQ$1,0),FALSE),"")</f>
        <v>0</v>
      </c>
      <c r="F55" s="173">
        <f>IFERROR(VLOOKUP($B55,Totalt!$B$1:$AQ$554,MATCH(F$2,Totalt!$B$1:$AQ$1,0),FALSE),"")</f>
        <v>0</v>
      </c>
      <c r="G55" s="173">
        <f>IFERROR(VLOOKUP($B55,Totalt!$B$1:$AQ$554,MATCH(G$2,Totalt!$B$1:$AQ$1,0),FALSE),"")</f>
        <v>0</v>
      </c>
      <c r="H55" s="173">
        <f>IFERROR(VLOOKUP($B55,Totalt!$B$1:$AQ$554,MATCH(H$2,Totalt!$B$1:$AQ$1,0),FALSE),"")</f>
        <v>0</v>
      </c>
      <c r="I55" s="173">
        <f>IFERROR(VLOOKUP($B55,Totalt!$B$1:$AQ$554,MATCH(I$2,Totalt!$B$1:$AQ$1,0),FALSE),"")</f>
        <v>0</v>
      </c>
      <c r="J55" s="173">
        <f>IFERROR(VLOOKUP($B55,Totalt!$B$1:$AQ$554,MATCH(J$2,Totalt!$B$1:$AQ$1,0),FALSE),"")</f>
        <v>0</v>
      </c>
      <c r="K55" s="173">
        <f>IFERROR(VLOOKUP($B55,Totalt!$B$1:$AQ$554,MATCH(K$2,Totalt!$B$1:$AQ$1,0),FALSE),"")</f>
        <v>0</v>
      </c>
      <c r="L55" s="173">
        <f>IFERROR(VLOOKUP($B55,Totalt!$B$1:$AQ$554,MATCH(L$2,Totalt!$B$1:$AQ$1,0),FALSE),"")</f>
        <v>0</v>
      </c>
      <c r="M55" s="173">
        <f>IFERROR(VLOOKUP($B55,Totalt!$B$1:$AQ$554,MATCH(M$2,Totalt!$B$1:$AQ$1,0),FALSE),"")</f>
        <v>0</v>
      </c>
      <c r="N55" s="173">
        <f>IFERROR(VLOOKUP($B55,Totalt!$B$1:$AQ$554,MATCH(N$2,Totalt!$B$1:$AQ$1,0),FALSE),"")</f>
        <v>0</v>
      </c>
      <c r="O55" s="173">
        <f>IFERROR(VLOOKUP($B55,Totalt!$B$1:$AQ$554,MATCH(O$2,Totalt!$B$1:$AQ$1,0),FALSE),"")</f>
        <v>0</v>
      </c>
      <c r="P55" s="173">
        <f>IFERROR(VLOOKUP($B55,Totalt!$B$1:$AQ$554,MATCH(P$2,Totalt!$B$1:$AQ$1,0),FALSE),"")</f>
        <v>21.8</v>
      </c>
      <c r="Q55" s="173">
        <f>IFERROR(VLOOKUP($B55,Totalt!$B$1:$AQ$554,MATCH(Q$2,Totalt!$B$1:$AQ$1,0),FALSE),"")</f>
        <v>0</v>
      </c>
      <c r="R55" s="173">
        <f>IFERROR(VLOOKUP($B55,Totalt!$B$1:$AQ$554,MATCH(R$2,Totalt!$B$1:$AQ$1,0),FALSE),"")</f>
        <v>18.600000000000001</v>
      </c>
      <c r="S55" s="173">
        <f>IFERROR(VLOOKUP($B55,Totalt!$B$1:$AQ$554,MATCH(S$2,Totalt!$B$1:$AQ$1,0),FALSE),"")</f>
        <v>0</v>
      </c>
      <c r="T55" s="173">
        <f>IFERROR(VLOOKUP($B55,Totalt!$B$1:$AQ$554,MATCH(T$2,Totalt!$B$1:$AQ$1,0),FALSE),"")</f>
        <v>0</v>
      </c>
      <c r="U55" s="173">
        <f>IFERROR(VLOOKUP($B55,Totalt!$B$1:$AQ$554,MATCH(U$2,Totalt!$B$1:$AQ$1,0),FALSE),"")</f>
        <v>0</v>
      </c>
      <c r="V55" s="173">
        <f>IFERROR(VLOOKUP($B55,Totalt!$B$1:$AQ$554,MATCH(V$2,Totalt!$B$1:$AQ$1,0),FALSE),"")</f>
        <v>0</v>
      </c>
      <c r="W55" s="173">
        <f>IFERROR(VLOOKUP($B55,Totalt!$B$1:$AQ$554,MATCH(W$2,Totalt!$B$1:$AQ$1,0),FALSE),"")</f>
        <v>0</v>
      </c>
      <c r="X55" s="173">
        <f>IFERROR(VLOOKUP($B55,Totalt!$B$1:$AQ$554,MATCH(X$2,Totalt!$B$1:$AQ$1,0),FALSE),"")</f>
        <v>0</v>
      </c>
      <c r="Y55" s="173">
        <f>IFERROR(VLOOKUP($B55,Totalt!$B$1:$AQ$554,MATCH(Y$2,Totalt!$B$1:$AQ$1,0),FALSE),"")</f>
        <v>0</v>
      </c>
      <c r="Z55" s="173">
        <f>IFERROR(VLOOKUP($B55,Totalt!$B$1:$AQ$554,MATCH(Z$2,Totalt!$B$1:$AQ$1,0),FALSE),"")</f>
        <v>0</v>
      </c>
      <c r="AA55" s="173">
        <f>IFERROR(VLOOKUP($B55,Totalt!$B$1:$AQ$554,MATCH(AA$2,Totalt!$B$1:$AQ$1,0),FALSE),"")</f>
        <v>0</v>
      </c>
      <c r="AB55" s="173">
        <f>IFERROR(VLOOKUP($B55,Totalt!$B$1:$AQ$554,MATCH(AB$2,Totalt!$B$1:$AQ$1,0),FALSE),"")</f>
        <v>0</v>
      </c>
      <c r="AC55" s="173">
        <f>IFERROR(VLOOKUP($B55,Totalt!$B$1:$AQ$554,MATCH(AC$2,Totalt!$B$1:$AQ$1,0),FALSE),"")</f>
        <v>0</v>
      </c>
      <c r="AD55" s="173">
        <f>IFERROR(VLOOKUP($B55,Totalt!$B$1:$AQ$554,MATCH(AD$2,Totalt!$B$1:$AQ$1,0),FALSE),"")</f>
        <v>0</v>
      </c>
      <c r="AE55" s="173">
        <f>IFERROR(VLOOKUP($B55,Totalt!$B$1:$AQ$554,MATCH(AE$2,Totalt!$B$1:$AQ$1,0),FALSE),"")</f>
        <v>0</v>
      </c>
      <c r="AF55" s="173">
        <f>IFERROR(VLOOKUP($B55,Totalt!$B$1:$AQ$554,MATCH(AF$2,Totalt!$B$1:$AQ$1,0),FALSE),"")</f>
        <v>0.48</v>
      </c>
      <c r="AG55" s="173">
        <f>IFERROR(VLOOKUP($B55,Totalt!$B$1:$AQ$554,MATCH(AG$2,Totalt!$B$1:$AQ$1,0),FALSE),"")</f>
        <v>0</v>
      </c>
      <c r="AI55" s="226">
        <f t="shared" si="0"/>
        <v>40.880000000000003</v>
      </c>
      <c r="AJ55" s="226">
        <f>IF(ISERROR(1/VLOOKUP($B55,Leveranser!$B$1:$S$500,MATCH("såld värme (gwh)",Leveranser!$B$1:$S$1,0),FALSE)),"",VLOOKUP($B55,Leveranser!$B$1:$S$500,MATCH("såld värme (gwh)",Leveranser!$B$1:$S$1,0),FALSE))</f>
        <v>16</v>
      </c>
      <c r="AM55" s="227" t="str">
        <f>IF(B55&lt;&gt;"",IF(VLOOKUP($B55,Totalt!$B$1:$AQ$554,MATCH("Kvalitetsgranskad:",Totalt!$B$1:$AQ$1,0),FALSE)="ja",VLOOKUP($B55,Miljö!$B$1:$AG$479,MATCH(AM$2,Miljö!$B$1:$AK$1,0),FALSE),""),"")</f>
        <v>Nej</v>
      </c>
      <c r="AN55" s="227" t="str">
        <f>IF(AM55="ja",VLOOKUP($B55,Miljö!$B$1:$J$479,MATCH("Typ av ursprungsspecificerad el   (Om inget värde anges används Nordisk residualmix, se inforuta) ()",Miljö!$B$1:$J$1,0),FALSE),IF(AM55="nej","Nordisk residualel",""))</f>
        <v>Nordisk residualel</v>
      </c>
      <c r="AO55" s="227">
        <f>IF(AM55="","",VLOOKUP($B55,Miljö!$B$1:$J$479,MATCH("Fossilandel för ursprungspecificerad el ()",Miljö!$B$1:$J$1,0),FALSE))</f>
        <v>0.43</v>
      </c>
      <c r="AP55" s="227">
        <f>IF(AM55="","",IFERROR(VLOOKUP($B55,Miljö!$B$1:$J$479,MATCH("Kärnkraftsandel för ursprungsspecificerad el ()",Miljö!$B$1:$J$1,0),FALSE)/1,0))</f>
        <v>0.40550000000000003</v>
      </c>
      <c r="AQ55" s="227">
        <f t="shared" si="1"/>
        <v>0.16450000000000004</v>
      </c>
      <c r="AR55" s="227"/>
      <c r="AS55" s="227" t="str">
        <f t="shared" si="2"/>
        <v>Nej</v>
      </c>
      <c r="AT55" s="227" t="str">
        <f>IF(AS55="ja",VLOOKUP($B55,Miljö!$B$1:$O$500,MATCH("Fossil andel i procent (%)",Miljö!$B$1:$O$1,0),FALSE)/100,"")</f>
        <v/>
      </c>
      <c r="AU55" s="227"/>
      <c r="AV55" s="227" t="str">
        <f t="shared" si="3"/>
        <v>Nej</v>
      </c>
      <c r="AW55" s="227" t="str">
        <f>IF(AV55="ja",VLOOKUP($B55,'Egen hetvattenprod'!$B$1:$AO$500,MATCH("Värmekälla till värmepumpar ()",'Egen hetvattenprod'!$B$1:$AO$1,0),FALSE),"")</f>
        <v/>
      </c>
      <c r="AX55" s="227"/>
      <c r="AY55" s="227" t="str">
        <f t="shared" si="4"/>
        <v>Nej</v>
      </c>
      <c r="AZ55" s="228" t="str">
        <f>IF($AY55="ja",(VLOOKUP($B55,'Egen hetvattenprod'!$B$1:$BX$550,MATCH(AZ$2,'Egen hetvattenprod'!$B$1:$BX$1,0),FALSE)+VLOOKUP($B55,Kraftvärmeprod!$B$1:$BX$550,MATCH(AZ$2,Kraftvärmeprod!$B$1:$BX$1,0),FALSE))/$AC55,"")</f>
        <v/>
      </c>
      <c r="BA55" s="228" t="str">
        <f>IF($AY55="ja",(VLOOKUP($B55,'Egen hetvattenprod'!$B$1:$BX$550,MATCH(BA$2,'Egen hetvattenprod'!$B$1:$BX$1,0),FALSE)+VLOOKUP($B55,Kraftvärmeprod!$B$1:$BX$550,MATCH(BA$2,Kraftvärmeprod!$B$1:$BX$1,0),FALSE))/$AC55,"")</f>
        <v/>
      </c>
      <c r="BB55" s="228" t="str">
        <f>IF($AY55="ja",(VLOOKUP($B55,'Egen hetvattenprod'!$B$1:$BX$550,MATCH(BB$2,'Egen hetvattenprod'!$B$1:$BX$1,0),FALSE)+VLOOKUP($B55,Kraftvärmeprod!$B$1:$BX$550,MATCH(BB$2,Kraftvärmeprod!$B$1:$BX$1,0),FALSE))/$AC55,"")</f>
        <v/>
      </c>
      <c r="BC55" s="228" t="str">
        <f>IF($AY55="ja",(VLOOKUP($B55,'Egen hetvattenprod'!$B$1:$BX$550,MATCH(BC$2,'Egen hetvattenprod'!$B$1:$BX$1,0),FALSE)+VLOOKUP($B55,Kraftvärmeprod!$B$1:$BX$550,MATCH(BC$2,Kraftvärmeprod!$B$1:$BX$1,0),FALSE))/$AC55,"")</f>
        <v/>
      </c>
      <c r="BD55" s="228" t="str">
        <f>IF($AY55="ja",(VLOOKUP($B55,'Egen hetvattenprod'!$B$1:$BX$550,MATCH(BD$2,'Egen hetvattenprod'!$B$1:$BX$1,0),FALSE)+VLOOKUP($B55,Kraftvärmeprod!$B$1:$BX$550,MATCH(BD$2,Kraftvärmeprod!$B$1:$BX$1,0),FALSE))/$AC55,"")</f>
        <v/>
      </c>
      <c r="BE55" s="227"/>
      <c r="BF55" s="227" t="str">
        <f t="shared" si="5"/>
        <v>Nej</v>
      </c>
      <c r="BG55" s="227" t="str">
        <f>IF($BF55="ja",VLOOKUP($B55,'Egen hetvattenprod'!$B$1:$BX$550,MATCH("Andelen klimatgaser med fossilt ursprung för avfall ()",'Egen hetvattenprod'!$B$1:$BX$1,0),FALSE),"")</f>
        <v/>
      </c>
      <c r="BH55" s="227" t="str">
        <f>IF($BF55="ja",VLOOKUP($B55,Kraftvärmeprod!$B$1:$BX$550,MATCH("Andelen klimatgaser med fossilt ursprung för avfall ()",Kraftvärmeprod!$B$1:$BX$1,0),FALSE),"")</f>
        <v/>
      </c>
      <c r="BI55" s="227" t="str">
        <f>IF($BF55="ja",VLOOKUP($B55,'Egen hetvattenprod'!$B$1:$BX$550,MATCH("Avfall (GWh)",'Egen hetvattenprod'!$B$1:$BX$1,0),FALSE),"")</f>
        <v/>
      </c>
      <c r="BJ55" s="227" t="str">
        <f>IF($BF55="ja",VLOOKUP($B55,'Slutlig allokering kvv'!$B$1:$BX$550,MATCH("Avfall (GWh)",'Slutlig allokering kvv'!$B$1:$BX$1,0),FALSE),"")</f>
        <v/>
      </c>
      <c r="BK55" s="227" t="str">
        <f>IF($BF55="ja",VLOOKUP($B55,'Köpt hetvatten'!$B$1:$BX$550,MATCH("Avfall i köpt hetvatten",'Köpt hetvatten'!$B$1:$BX$1,0),FALSE),"")</f>
        <v/>
      </c>
      <c r="BL55" s="227" t="str">
        <f>IF($BF55="ja",VLOOKUP($B55,'Egen hetvattenprod'!$B$1:$BX$550,MATCH("Värde enligt ovan. (%)",'Egen hetvattenprod'!$B$1:$BX$1,0),FALSE),"")</f>
        <v/>
      </c>
      <c r="BM55" s="227" t="str">
        <f>IF($BF55="ja",VLOOKUP($B55,Kraftvärmeprod!$B$1:$BX$550,MATCH("Värde enligt ovan. (%)",Kraftvärmeprod!$B$1:$BX$1,0),FALSE),"")</f>
        <v/>
      </c>
      <c r="BN55" s="227"/>
      <c r="BO55" s="227"/>
      <c r="BP55" s="227"/>
      <c r="BQ55" s="227" t="str">
        <f>IF($BF55="ja",VLOOKUP($B55,'Egen hetvattenprod'!$B$1:$BX$550,MATCH("Tillförd olja (fossil) vid avfallsförbränning (GWh)",'Egen hetvattenprod'!$B$1:$BX$1,0),FALSE),"")</f>
        <v/>
      </c>
      <c r="BR55" s="227" t="str">
        <f>IF($BF55="ja",VLOOKUP($B55,Kraftvärmeprod!$B$1:$BX$550,MATCH("Tillförd olja (fossil) vid avfallsförbränning (GWh)",Kraftvärmeprod!$B$1:$BX$1,0),FALSE),"")</f>
        <v/>
      </c>
      <c r="BS55" s="227"/>
      <c r="BT55" s="227"/>
      <c r="BU55" s="227"/>
    </row>
    <row r="56" spans="1:73" x14ac:dyDescent="0.25">
      <c r="A56" s="121" t="str">
        <f>'Miljövärden för publ företag'!B59</f>
        <v>E.ON Värme Sverige AB</v>
      </c>
      <c r="B56" s="121" t="str">
        <f>'Miljövärden för publ företag'!C59</f>
        <v>HÖK</v>
      </c>
      <c r="C56" s="173">
        <f>IFERROR(VLOOKUP($B56,Totalt!$B$1:$AQ$554,MATCH(C$2,Totalt!$B$1:$AQ$1,0),FALSE),"")</f>
        <v>5.7120100000000003</v>
      </c>
      <c r="D56" s="173">
        <f>IFERROR(VLOOKUP($B56,Totalt!$B$1:$AQ$554,MATCH(D$2,Totalt!$B$1:$AQ$1,0),FALSE),"")</f>
        <v>0.88691200000000003</v>
      </c>
      <c r="E56" s="173">
        <f>IFERROR(VLOOKUP($B56,Totalt!$B$1:$AQ$554,MATCH(E$2,Totalt!$B$1:$AQ$1,0),FALSE),"")</f>
        <v>0</v>
      </c>
      <c r="F56" s="173">
        <f>IFERROR(VLOOKUP($B56,Totalt!$B$1:$AQ$554,MATCH(F$2,Totalt!$B$1:$AQ$1,0),FALSE),"")</f>
        <v>33.912100000000002</v>
      </c>
      <c r="G56" s="173">
        <f>IFERROR(VLOOKUP($B56,Totalt!$B$1:$AQ$554,MATCH(G$2,Totalt!$B$1:$AQ$1,0),FALSE),"")</f>
        <v>0</v>
      </c>
      <c r="H56" s="173">
        <f>IFERROR(VLOOKUP($B56,Totalt!$B$1:$AQ$554,MATCH(H$2,Totalt!$B$1:$AQ$1,0),FALSE),"")</f>
        <v>0</v>
      </c>
      <c r="I56" s="173">
        <f>IFERROR(VLOOKUP($B56,Totalt!$B$1:$AQ$554,MATCH(I$2,Totalt!$B$1:$AQ$1,0),FALSE),"")</f>
        <v>238.82400000000001</v>
      </c>
      <c r="J56" s="173">
        <f>IFERROR(VLOOKUP($B56,Totalt!$B$1:$AQ$554,MATCH(J$2,Totalt!$B$1:$AQ$1,0),FALSE),"")</f>
        <v>0</v>
      </c>
      <c r="K56" s="173">
        <f>IFERROR(VLOOKUP($B56,Totalt!$B$1:$AQ$554,MATCH(K$2,Totalt!$B$1:$AQ$1,0),FALSE),"")</f>
        <v>0</v>
      </c>
      <c r="L56" s="173">
        <f>IFERROR(VLOOKUP($B56,Totalt!$B$1:$AQ$554,MATCH(L$2,Totalt!$B$1:$AQ$1,0),FALSE),"")</f>
        <v>0</v>
      </c>
      <c r="M56" s="173">
        <f>IFERROR(VLOOKUP($B56,Totalt!$B$1:$AQ$554,MATCH(M$2,Totalt!$B$1:$AQ$1,0),FALSE),"")</f>
        <v>49.821399999999997</v>
      </c>
      <c r="N56" s="173">
        <f>IFERROR(VLOOKUP($B56,Totalt!$B$1:$AQ$554,MATCH(N$2,Totalt!$B$1:$AQ$1,0),FALSE),"")</f>
        <v>108.55800000000001</v>
      </c>
      <c r="O56" s="173">
        <f>IFERROR(VLOOKUP($B56,Totalt!$B$1:$AQ$554,MATCH(O$2,Totalt!$B$1:$AQ$1,0),FALSE),"")</f>
        <v>109.083</v>
      </c>
      <c r="P56" s="173">
        <f>IFERROR(VLOOKUP($B56,Totalt!$B$1:$AQ$554,MATCH(P$2,Totalt!$B$1:$AQ$1,0),FALSE),"")</f>
        <v>122.194</v>
      </c>
      <c r="Q56" s="173">
        <f>IFERROR(VLOOKUP($B56,Totalt!$B$1:$AQ$554,MATCH(Q$2,Totalt!$B$1:$AQ$1,0),FALSE),"")</f>
        <v>71.847700000000003</v>
      </c>
      <c r="R56" s="173">
        <f>IFERROR(VLOOKUP($B56,Totalt!$B$1:$AQ$554,MATCH(R$2,Totalt!$B$1:$AQ$1,0),FALSE),"")</f>
        <v>0</v>
      </c>
      <c r="S56" s="173">
        <f>IFERROR(VLOOKUP($B56,Totalt!$B$1:$AQ$554,MATCH(S$2,Totalt!$B$1:$AQ$1,0),FALSE),"")</f>
        <v>0</v>
      </c>
      <c r="T56" s="173">
        <f>IFERROR(VLOOKUP($B56,Totalt!$B$1:$AQ$554,MATCH(T$2,Totalt!$B$1:$AQ$1,0),FALSE),"")</f>
        <v>0</v>
      </c>
      <c r="U56" s="173">
        <f>IFERROR(VLOOKUP($B56,Totalt!$B$1:$AQ$554,MATCH(U$2,Totalt!$B$1:$AQ$1,0),FALSE),"")</f>
        <v>0</v>
      </c>
      <c r="V56" s="173">
        <f>IFERROR(VLOOKUP($B56,Totalt!$B$1:$AQ$554,MATCH(V$2,Totalt!$B$1:$AQ$1,0),FALSE),"")</f>
        <v>0</v>
      </c>
      <c r="W56" s="173">
        <f>IFERROR(VLOOKUP($B56,Totalt!$B$1:$AQ$554,MATCH(W$2,Totalt!$B$1:$AQ$1,0),FALSE),"")</f>
        <v>0</v>
      </c>
      <c r="X56" s="173">
        <f>IFERROR(VLOOKUP($B56,Totalt!$B$1:$AQ$554,MATCH(X$2,Totalt!$B$1:$AQ$1,0),FALSE),"")</f>
        <v>12.7751</v>
      </c>
      <c r="Y56" s="173">
        <f>IFERROR(VLOOKUP($B56,Totalt!$B$1:$AQ$554,MATCH(Y$2,Totalt!$B$1:$AQ$1,0),FALSE),"")</f>
        <v>88.270200000000003</v>
      </c>
      <c r="Z56" s="173">
        <f>IFERROR(VLOOKUP($B56,Totalt!$B$1:$AQ$554,MATCH(Z$2,Totalt!$B$1:$AQ$1,0),FALSE),"")</f>
        <v>0.4</v>
      </c>
      <c r="AA56" s="173">
        <f>IFERROR(VLOOKUP($B56,Totalt!$B$1:$AQ$554,MATCH(AA$2,Totalt!$B$1:$AQ$1,0),FALSE),"")</f>
        <v>17</v>
      </c>
      <c r="AB56" s="173">
        <f>IFERROR(VLOOKUP($B56,Totalt!$B$1:$AQ$554,MATCH(AB$2,Totalt!$B$1:$AQ$1,0),FALSE),"")</f>
        <v>39</v>
      </c>
      <c r="AC56" s="173">
        <f>IFERROR(VLOOKUP($B56,Totalt!$B$1:$AQ$554,MATCH(AC$2,Totalt!$B$1:$AQ$1,0),FALSE),"")</f>
        <v>173</v>
      </c>
      <c r="AD56" s="173">
        <f>IFERROR(VLOOKUP($B56,Totalt!$B$1:$AQ$554,MATCH(AD$2,Totalt!$B$1:$AQ$1,0),FALSE),"")</f>
        <v>71</v>
      </c>
      <c r="AE56" s="173">
        <f>IFERROR(VLOOKUP($B56,Totalt!$B$1:$AQ$554,MATCH(AE$2,Totalt!$B$1:$AQ$1,0),FALSE),"")</f>
        <v>0</v>
      </c>
      <c r="AF56" s="173">
        <f>IFERROR(VLOOKUP($B56,Totalt!$B$1:$AQ$554,MATCH(AF$2,Totalt!$B$1:$AQ$1,0),FALSE),"")</f>
        <v>54.915500000000002</v>
      </c>
      <c r="AG56" s="173">
        <f>IFERROR(VLOOKUP($B56,Totalt!$B$1:$AQ$554,MATCH(AG$2,Totalt!$B$1:$AQ$1,0),FALSE),"")</f>
        <v>0</v>
      </c>
      <c r="AI56" s="226">
        <f t="shared" si="0"/>
        <v>1197.199922</v>
      </c>
      <c r="AJ56" s="226">
        <f>IF(ISERROR(1/VLOOKUP($B56,Leveranser!$B$1:$S$500,MATCH("såld värme (gwh)",Leveranser!$B$1:$S$1,0),FALSE)),"",VLOOKUP($B56,Leveranser!$B$1:$S$500,MATCH("såld värme (gwh)",Leveranser!$B$1:$S$1,0),FALSE))</f>
        <v>1034</v>
      </c>
      <c r="AM56" s="227" t="str">
        <f>IF(B56&lt;&gt;"",IF(VLOOKUP($B56,Totalt!$B$1:$AQ$554,MATCH("Kvalitetsgranskad:",Totalt!$B$1:$AQ$1,0),FALSE)="ja",VLOOKUP($B56,Miljö!$B$1:$AG$479,MATCH(AM$2,Miljö!$B$1:$AK$1,0),FALSE),""),"")</f>
        <v>Ja</v>
      </c>
      <c r="AN56" s="227" t="str">
        <f>IF(AM56="ja",VLOOKUP($B56,Miljö!$B$1:$J$479,MATCH("Typ av ursprungsspecificerad el   (Om inget värde anges används Nordisk residualmix, se inforuta) ()",Miljö!$B$1:$J$1,0),FALSE),IF(AM56="nej","Nordisk residualel",""))</f>
        <v>''Biokraft samt Nordisk residualmix''</v>
      </c>
      <c r="AO56" s="227">
        <f>IF(AM56="","",VLOOKUP($B56,Miljö!$B$1:$J$479,MATCH("Fossilandel för ursprungspecificerad el ()",Miljö!$B$1:$J$1,0),FALSE))</f>
        <v>0</v>
      </c>
      <c r="AP56" s="227">
        <f>IF(AM56="","",IFERROR(VLOOKUP($B56,Miljö!$B$1:$J$479,MATCH("Kärnkraftsandel för ursprungsspecificerad el ()",Miljö!$B$1:$J$1,0),FALSE)/1,0))</f>
        <v>0</v>
      </c>
      <c r="AQ56" s="227">
        <f t="shared" si="1"/>
        <v>1</v>
      </c>
      <c r="AR56" s="227"/>
      <c r="AS56" s="227" t="str">
        <f t="shared" si="2"/>
        <v>Nej</v>
      </c>
      <c r="AT56" s="227" t="str">
        <f>IF(AS56="ja",VLOOKUP($B56,Miljö!$B$1:$O$500,MATCH("Fossil andel i procent (%)",Miljö!$B$1:$O$1,0),FALSE)/100,"")</f>
        <v/>
      </c>
      <c r="AU56" s="227"/>
      <c r="AV56" s="227" t="str">
        <f t="shared" si="3"/>
        <v>Ja</v>
      </c>
      <c r="AW56" s="227" t="str">
        <f>IF(AV56="ja",VLOOKUP($B56,'Egen hetvattenprod'!$B$1:$AO$500,MATCH("Värmekälla till värmepumpar ()",'Egen hetvattenprod'!$B$1:$AO$1,0),FALSE),"")</f>
        <v>Renat avloppsvatten</v>
      </c>
      <c r="AX56" s="227"/>
      <c r="AY56" s="227" t="str">
        <f t="shared" si="4"/>
        <v>Ja</v>
      </c>
      <c r="AZ56" s="228">
        <f>IF($AY56="ja",(VLOOKUP($B56,'Egen hetvattenprod'!$B$1:$BX$550,MATCH(AZ$2,'Egen hetvattenprod'!$B$1:$BX$1,0),FALSE)+VLOOKUP($B56,Kraftvärmeprod!$B$1:$BX$550,MATCH(AZ$2,Kraftvärmeprod!$B$1:$BX$1,0),FALSE))/$AC56,"")</f>
        <v>0</v>
      </c>
      <c r="BA56" s="228">
        <f>IF($AY56="ja",(VLOOKUP($B56,'Egen hetvattenprod'!$B$1:$BX$550,MATCH(BA$2,'Egen hetvattenprod'!$B$1:$BX$1,0),FALSE)+VLOOKUP($B56,Kraftvärmeprod!$B$1:$BX$550,MATCH(BA$2,Kraftvärmeprod!$B$1:$BX$1,0),FALSE))/$AC56,"")</f>
        <v>0</v>
      </c>
      <c r="BB56" s="228">
        <f>IF($AY56="ja",(VLOOKUP($B56,'Egen hetvattenprod'!$B$1:$BX$550,MATCH(BB$2,'Egen hetvattenprod'!$B$1:$BX$1,0),FALSE)+VLOOKUP($B56,Kraftvärmeprod!$B$1:$BX$550,MATCH(BB$2,Kraftvärmeprod!$B$1:$BX$1,0),FALSE))/$AC56,"")</f>
        <v>0</v>
      </c>
      <c r="BC56" s="228">
        <f>IF($AY56="ja",(VLOOKUP($B56,'Egen hetvattenprod'!$B$1:$BX$550,MATCH(BC$2,'Egen hetvattenprod'!$B$1:$BX$1,0),FALSE)+VLOOKUP($B56,Kraftvärmeprod!$B$1:$BX$550,MATCH(BC$2,Kraftvärmeprod!$B$1:$BX$1,0),FALSE))/$AC56,"")</f>
        <v>0</v>
      </c>
      <c r="BD56" s="228">
        <f>IF($AY56="ja",(VLOOKUP($B56,'Egen hetvattenprod'!$B$1:$BX$550,MATCH(BD$2,'Egen hetvattenprod'!$B$1:$BX$1,0),FALSE)+VLOOKUP($B56,Kraftvärmeprod!$B$1:$BX$550,MATCH(BD$2,Kraftvärmeprod!$B$1:$BX$1,0),FALSE))/$AC56,"")</f>
        <v>1</v>
      </c>
      <c r="BE56" s="227"/>
      <c r="BF56" s="227" t="str">
        <f t="shared" si="5"/>
        <v>Ja</v>
      </c>
      <c r="BG56" s="227" t="str">
        <f>IF($BF56="ja",VLOOKUP($B56,'Egen hetvattenprod'!$B$1:$BX$550,MATCH("Andelen klimatgaser med fossilt ursprung för avfall ()",'Egen hetvattenprod'!$B$1:$BX$1,0),FALSE),"")</f>
        <v>Ingen redovisning</v>
      </c>
      <c r="BH56" s="227" t="str">
        <f>IF($BF56="ja",VLOOKUP($B56,Kraftvärmeprod!$B$1:$BX$550,MATCH("Andelen klimatgaser med fossilt ursprung för avfall ()",Kraftvärmeprod!$B$1:$BX$1,0),FALSE),"")</f>
        <v>Ingen redovisning</v>
      </c>
      <c r="BI56" s="227">
        <f>IF($BF56="ja",VLOOKUP($B56,'Egen hetvattenprod'!$B$1:$BX$550,MATCH("Avfall (GWh)",'Egen hetvattenprod'!$B$1:$BX$1,0),FALSE),"")</f>
        <v>0</v>
      </c>
      <c r="BJ56" s="227">
        <f>IF($BF56="ja",VLOOKUP($B56,'Slutlig allokering kvv'!$B$1:$BX$550,MATCH("Avfall (GWh)",'Slutlig allokering kvv'!$B$1:$BX$1,0),FALSE),"")</f>
        <v>0</v>
      </c>
      <c r="BK56" s="227">
        <f>IF($BF56="ja",VLOOKUP($B56,'Köpt hetvatten'!$B$1:$BX$550,MATCH("Avfall i köpt hetvatten",'Köpt hetvatten'!$B$1:$BX$1,0),FALSE),"")</f>
        <v>238.82352941176472</v>
      </c>
      <c r="BL56" s="227" t="str">
        <f>IF($BF56="ja",VLOOKUP($B56,'Egen hetvattenprod'!$B$1:$BX$550,MATCH("Värde enligt ovan. (%)",'Egen hetvattenprod'!$B$1:$BX$1,0),FALSE),"")</f>
        <v>ET</v>
      </c>
      <c r="BM56" s="227" t="str">
        <f>IF($BF56="ja",VLOOKUP($B56,Kraftvärmeprod!$B$1:$BX$550,MATCH("Värde enligt ovan. (%)",Kraftvärmeprod!$B$1:$BX$1,0),FALSE),"")</f>
        <v>ET</v>
      </c>
      <c r="BN56" s="227"/>
      <c r="BO56" s="227"/>
      <c r="BP56" s="227"/>
      <c r="BQ56" s="227">
        <f>IF($BF56="ja",VLOOKUP($B56,'Egen hetvattenprod'!$B$1:$BX$550,MATCH("Tillförd olja (fossil) vid avfallsförbränning (GWh)",'Egen hetvattenprod'!$B$1:$BX$1,0),FALSE),"")</f>
        <v>0</v>
      </c>
      <c r="BR56" s="227" t="str">
        <f>IF($BF56="ja",VLOOKUP($B56,Kraftvärmeprod!$B$1:$BX$550,MATCH("Tillförd olja (fossil) vid avfallsförbränning (GWh)",Kraftvärmeprod!$B$1:$BX$1,0),FALSE),"")</f>
        <v>ET</v>
      </c>
      <c r="BS56" s="227"/>
      <c r="BT56" s="227"/>
      <c r="BU56" s="227"/>
    </row>
    <row r="57" spans="1:73" x14ac:dyDescent="0.25">
      <c r="A57" s="121" t="str">
        <f>'Miljövärden för publ företag'!B60</f>
        <v>E.ON Värme Sverige AB</v>
      </c>
      <c r="B57" s="121" t="str">
        <f>'Miljövärden för publ företag'!C60</f>
        <v>Kungsängen</v>
      </c>
      <c r="C57" s="173">
        <f>IFERROR(VLOOKUP($B57,Totalt!$B$1:$AQ$554,MATCH(C$2,Totalt!$B$1:$AQ$1,0),FALSE),"")</f>
        <v>0</v>
      </c>
      <c r="D57" s="173">
        <f>IFERROR(VLOOKUP($B57,Totalt!$B$1:$AQ$554,MATCH(D$2,Totalt!$B$1:$AQ$1,0),FALSE),"")</f>
        <v>0.7</v>
      </c>
      <c r="E57" s="173">
        <f>IFERROR(VLOOKUP($B57,Totalt!$B$1:$AQ$554,MATCH(E$2,Totalt!$B$1:$AQ$1,0),FALSE),"")</f>
        <v>0</v>
      </c>
      <c r="F57" s="173">
        <f>IFERROR(VLOOKUP($B57,Totalt!$B$1:$AQ$554,MATCH(F$2,Totalt!$B$1:$AQ$1,0),FALSE),"")</f>
        <v>0</v>
      </c>
      <c r="G57" s="173">
        <f>IFERROR(VLOOKUP($B57,Totalt!$B$1:$AQ$554,MATCH(G$2,Totalt!$B$1:$AQ$1,0),FALSE),"")</f>
        <v>0</v>
      </c>
      <c r="H57" s="173">
        <f>IFERROR(VLOOKUP($B57,Totalt!$B$1:$AQ$554,MATCH(H$2,Totalt!$B$1:$AQ$1,0),FALSE),"")</f>
        <v>0</v>
      </c>
      <c r="I57" s="173">
        <f>IFERROR(VLOOKUP($B57,Totalt!$B$1:$AQ$554,MATCH(I$2,Totalt!$B$1:$AQ$1,0),FALSE),"")</f>
        <v>0</v>
      </c>
      <c r="J57" s="173">
        <f>IFERROR(VLOOKUP($B57,Totalt!$B$1:$AQ$554,MATCH(J$2,Totalt!$B$1:$AQ$1,0),FALSE),"")</f>
        <v>0</v>
      </c>
      <c r="K57" s="173">
        <f>IFERROR(VLOOKUP($B57,Totalt!$B$1:$AQ$554,MATCH(K$2,Totalt!$B$1:$AQ$1,0),FALSE),"")</f>
        <v>0</v>
      </c>
      <c r="L57" s="173">
        <f>IFERROR(VLOOKUP($B57,Totalt!$B$1:$AQ$554,MATCH(L$2,Totalt!$B$1:$AQ$1,0),FALSE),"")</f>
        <v>0</v>
      </c>
      <c r="M57" s="173">
        <f>IFERROR(VLOOKUP($B57,Totalt!$B$1:$AQ$554,MATCH(M$2,Totalt!$B$1:$AQ$1,0),FALSE),"")</f>
        <v>0</v>
      </c>
      <c r="N57" s="173">
        <f>IFERROR(VLOOKUP($B57,Totalt!$B$1:$AQ$554,MATCH(N$2,Totalt!$B$1:$AQ$1,0),FALSE),"")</f>
        <v>0</v>
      </c>
      <c r="O57" s="173">
        <f>IFERROR(VLOOKUP($B57,Totalt!$B$1:$AQ$554,MATCH(O$2,Totalt!$B$1:$AQ$1,0),FALSE),"")</f>
        <v>0</v>
      </c>
      <c r="P57" s="173">
        <f>IFERROR(VLOOKUP($B57,Totalt!$B$1:$AQ$554,MATCH(P$2,Totalt!$B$1:$AQ$1,0),FALSE),"")</f>
        <v>0</v>
      </c>
      <c r="Q57" s="173">
        <f>IFERROR(VLOOKUP($B57,Totalt!$B$1:$AQ$554,MATCH(Q$2,Totalt!$B$1:$AQ$1,0),FALSE),"")</f>
        <v>0</v>
      </c>
      <c r="R57" s="173">
        <f>IFERROR(VLOOKUP($B57,Totalt!$B$1:$AQ$554,MATCH(R$2,Totalt!$B$1:$AQ$1,0),FALSE),"")</f>
        <v>13.9</v>
      </c>
      <c r="S57" s="173">
        <f>IFERROR(VLOOKUP($B57,Totalt!$B$1:$AQ$554,MATCH(S$2,Totalt!$B$1:$AQ$1,0),FALSE),"")</f>
        <v>24.7</v>
      </c>
      <c r="T57" s="173">
        <f>IFERROR(VLOOKUP($B57,Totalt!$B$1:$AQ$554,MATCH(T$2,Totalt!$B$1:$AQ$1,0),FALSE),"")</f>
        <v>0</v>
      </c>
      <c r="U57" s="173">
        <f>IFERROR(VLOOKUP($B57,Totalt!$B$1:$AQ$554,MATCH(U$2,Totalt!$B$1:$AQ$1,0),FALSE),"")</f>
        <v>0</v>
      </c>
      <c r="V57" s="173">
        <f>IFERROR(VLOOKUP($B57,Totalt!$B$1:$AQ$554,MATCH(V$2,Totalt!$B$1:$AQ$1,0),FALSE),"")</f>
        <v>0</v>
      </c>
      <c r="W57" s="173">
        <f>IFERROR(VLOOKUP($B57,Totalt!$B$1:$AQ$554,MATCH(W$2,Totalt!$B$1:$AQ$1,0),FALSE),"")</f>
        <v>9.3000000000000007</v>
      </c>
      <c r="X57" s="173">
        <f>IFERROR(VLOOKUP($B57,Totalt!$B$1:$AQ$554,MATCH(X$2,Totalt!$B$1:$AQ$1,0),FALSE),"")</f>
        <v>0</v>
      </c>
      <c r="Y57" s="173">
        <f>IFERROR(VLOOKUP($B57,Totalt!$B$1:$AQ$554,MATCH(Y$2,Totalt!$B$1:$AQ$1,0),FALSE),"")</f>
        <v>0</v>
      </c>
      <c r="Z57" s="173">
        <f>IFERROR(VLOOKUP($B57,Totalt!$B$1:$AQ$554,MATCH(Z$2,Totalt!$B$1:$AQ$1,0),FALSE),"")</f>
        <v>0</v>
      </c>
      <c r="AA57" s="173">
        <f>IFERROR(VLOOKUP($B57,Totalt!$B$1:$AQ$554,MATCH(AA$2,Totalt!$B$1:$AQ$1,0),FALSE),"")</f>
        <v>8.6999999999999993</v>
      </c>
      <c r="AB57" s="173">
        <f>IFERROR(VLOOKUP($B57,Totalt!$B$1:$AQ$554,MATCH(AB$2,Totalt!$B$1:$AQ$1,0),FALSE),"")</f>
        <v>8.5</v>
      </c>
      <c r="AC57" s="173">
        <f>IFERROR(VLOOKUP($B57,Totalt!$B$1:$AQ$554,MATCH(AC$2,Totalt!$B$1:$AQ$1,0),FALSE),"")</f>
        <v>0</v>
      </c>
      <c r="AD57" s="173">
        <f>IFERROR(VLOOKUP($B57,Totalt!$B$1:$AQ$554,MATCH(AD$2,Totalt!$B$1:$AQ$1,0),FALSE),"")</f>
        <v>0</v>
      </c>
      <c r="AE57" s="173">
        <f>IFERROR(VLOOKUP($B57,Totalt!$B$1:$AQ$554,MATCH(AE$2,Totalt!$B$1:$AQ$1,0),FALSE),"")</f>
        <v>0</v>
      </c>
      <c r="AF57" s="173">
        <f>IFERROR(VLOOKUP($B57,Totalt!$B$1:$AQ$554,MATCH(AF$2,Totalt!$B$1:$AQ$1,0),FALSE),"")</f>
        <v>0.5</v>
      </c>
      <c r="AG57" s="173">
        <f>IFERROR(VLOOKUP($B57,Totalt!$B$1:$AQ$554,MATCH(AG$2,Totalt!$B$1:$AQ$1,0),FALSE),"")</f>
        <v>0</v>
      </c>
      <c r="AI57" s="226">
        <f t="shared" si="0"/>
        <v>66.3</v>
      </c>
      <c r="AJ57" s="226">
        <f>IF(ISERROR(1/VLOOKUP($B57,Leveranser!$B$1:$S$500,MATCH("såld värme (gwh)",Leveranser!$B$1:$S$1,0),FALSE)),"",VLOOKUP($B57,Leveranser!$B$1:$S$500,MATCH("såld värme (gwh)",Leveranser!$B$1:$S$1,0),FALSE))</f>
        <v>54.2</v>
      </c>
      <c r="AM57" s="227" t="str">
        <f>IF(B57&lt;&gt;"",IF(VLOOKUP($B57,Totalt!$B$1:$AQ$554,MATCH("Kvalitetsgranskad:",Totalt!$B$1:$AQ$1,0),FALSE)="ja",VLOOKUP($B57,Miljö!$B$1:$AG$479,MATCH(AM$2,Miljö!$B$1:$AK$1,0),FALSE),""),"")</f>
        <v>Nej</v>
      </c>
      <c r="AN57" s="227" t="str">
        <f>IF(AM57="ja",VLOOKUP($B57,Miljö!$B$1:$J$479,MATCH("Typ av ursprungsspecificerad el   (Om inget värde anges används Nordisk residualmix, se inforuta) ()",Miljö!$B$1:$J$1,0),FALSE),IF(AM57="nej","Nordisk residualel",""))</f>
        <v>Nordisk residualel</v>
      </c>
      <c r="AO57" s="227">
        <f>IF(AM57="","",VLOOKUP($B57,Miljö!$B$1:$J$479,MATCH("Fossilandel för ursprungspecificerad el ()",Miljö!$B$1:$J$1,0),FALSE))</f>
        <v>0.43</v>
      </c>
      <c r="AP57" s="227">
        <f>IF(AM57="","",IFERROR(VLOOKUP($B57,Miljö!$B$1:$J$479,MATCH("Kärnkraftsandel för ursprungsspecificerad el ()",Miljö!$B$1:$J$1,0),FALSE)/1,0))</f>
        <v>0.40550000000000003</v>
      </c>
      <c r="AQ57" s="227">
        <f t="shared" si="1"/>
        <v>0.16450000000000004</v>
      </c>
      <c r="AR57" s="227"/>
      <c r="AS57" s="227" t="str">
        <f t="shared" si="2"/>
        <v>Nej</v>
      </c>
      <c r="AT57" s="227" t="str">
        <f>IF(AS57="ja",VLOOKUP($B57,Miljö!$B$1:$O$500,MATCH("Fossil andel i procent (%)",Miljö!$B$1:$O$1,0),FALSE)/100,"")</f>
        <v/>
      </c>
      <c r="AU57" s="227"/>
      <c r="AV57" s="227" t="str">
        <f t="shared" si="3"/>
        <v>Ja</v>
      </c>
      <c r="AW57" s="227" t="str">
        <f>IF(AV57="ja",VLOOKUP($B57,'Egen hetvattenprod'!$B$1:$AO$500,MATCH("Värmekälla till värmepumpar ()",'Egen hetvattenprod'!$B$1:$AO$1,0),FALSE),"")</f>
        <v>Lågtempererad spillvärme</v>
      </c>
      <c r="AX57" s="227"/>
      <c r="AY57" s="227" t="str">
        <f t="shared" si="4"/>
        <v>Nej</v>
      </c>
      <c r="AZ57" s="228" t="str">
        <f>IF($AY57="ja",(VLOOKUP($B57,'Egen hetvattenprod'!$B$1:$BX$550,MATCH(AZ$2,'Egen hetvattenprod'!$B$1:$BX$1,0),FALSE)+VLOOKUP($B57,Kraftvärmeprod!$B$1:$BX$550,MATCH(AZ$2,Kraftvärmeprod!$B$1:$BX$1,0),FALSE))/$AC57,"")</f>
        <v/>
      </c>
      <c r="BA57" s="228" t="str">
        <f>IF($AY57="ja",(VLOOKUP($B57,'Egen hetvattenprod'!$B$1:$BX$550,MATCH(BA$2,'Egen hetvattenprod'!$B$1:$BX$1,0),FALSE)+VLOOKUP($B57,Kraftvärmeprod!$B$1:$BX$550,MATCH(BA$2,Kraftvärmeprod!$B$1:$BX$1,0),FALSE))/$AC57,"")</f>
        <v/>
      </c>
      <c r="BB57" s="228" t="str">
        <f>IF($AY57="ja",(VLOOKUP($B57,'Egen hetvattenprod'!$B$1:$BX$550,MATCH(BB$2,'Egen hetvattenprod'!$B$1:$BX$1,0),FALSE)+VLOOKUP($B57,Kraftvärmeprod!$B$1:$BX$550,MATCH(BB$2,Kraftvärmeprod!$B$1:$BX$1,0),FALSE))/$AC57,"")</f>
        <v/>
      </c>
      <c r="BC57" s="228" t="str">
        <f>IF($AY57="ja",(VLOOKUP($B57,'Egen hetvattenprod'!$B$1:$BX$550,MATCH(BC$2,'Egen hetvattenprod'!$B$1:$BX$1,0),FALSE)+VLOOKUP($B57,Kraftvärmeprod!$B$1:$BX$550,MATCH(BC$2,Kraftvärmeprod!$B$1:$BX$1,0),FALSE))/$AC57,"")</f>
        <v/>
      </c>
      <c r="BD57" s="228" t="str">
        <f>IF($AY57="ja",(VLOOKUP($B57,'Egen hetvattenprod'!$B$1:$BX$550,MATCH(BD$2,'Egen hetvattenprod'!$B$1:$BX$1,0),FALSE)+VLOOKUP($B57,Kraftvärmeprod!$B$1:$BX$550,MATCH(BD$2,Kraftvärmeprod!$B$1:$BX$1,0),FALSE))/$AC57,"")</f>
        <v/>
      </c>
      <c r="BE57" s="227"/>
      <c r="BF57" s="227" t="str">
        <f t="shared" si="5"/>
        <v>Nej</v>
      </c>
      <c r="BG57" s="227" t="str">
        <f>IF($BF57="ja",VLOOKUP($B57,'Egen hetvattenprod'!$B$1:$BX$550,MATCH("Andelen klimatgaser med fossilt ursprung för avfall ()",'Egen hetvattenprod'!$B$1:$BX$1,0),FALSE),"")</f>
        <v/>
      </c>
      <c r="BH57" s="227" t="str">
        <f>IF($BF57="ja",VLOOKUP($B57,Kraftvärmeprod!$B$1:$BX$550,MATCH("Andelen klimatgaser med fossilt ursprung för avfall ()",Kraftvärmeprod!$B$1:$BX$1,0),FALSE),"")</f>
        <v/>
      </c>
      <c r="BI57" s="227" t="str">
        <f>IF($BF57="ja",VLOOKUP($B57,'Egen hetvattenprod'!$B$1:$BX$550,MATCH("Avfall (GWh)",'Egen hetvattenprod'!$B$1:$BX$1,0),FALSE),"")</f>
        <v/>
      </c>
      <c r="BJ57" s="227" t="str">
        <f>IF($BF57="ja",VLOOKUP($B57,'Slutlig allokering kvv'!$B$1:$BX$550,MATCH("Avfall (GWh)",'Slutlig allokering kvv'!$B$1:$BX$1,0),FALSE),"")</f>
        <v/>
      </c>
      <c r="BK57" s="227" t="str">
        <f>IF($BF57="ja",VLOOKUP($B57,'Köpt hetvatten'!$B$1:$BX$550,MATCH("Avfall i köpt hetvatten",'Köpt hetvatten'!$B$1:$BX$1,0),FALSE),"")</f>
        <v/>
      </c>
      <c r="BL57" s="227" t="str">
        <f>IF($BF57="ja",VLOOKUP($B57,'Egen hetvattenprod'!$B$1:$BX$550,MATCH("Värde enligt ovan. (%)",'Egen hetvattenprod'!$B$1:$BX$1,0),FALSE),"")</f>
        <v/>
      </c>
      <c r="BM57" s="227" t="str">
        <f>IF($BF57="ja",VLOOKUP($B57,Kraftvärmeprod!$B$1:$BX$550,MATCH("Värde enligt ovan. (%)",Kraftvärmeprod!$B$1:$BX$1,0),FALSE),"")</f>
        <v/>
      </c>
      <c r="BN57" s="227"/>
      <c r="BO57" s="227"/>
      <c r="BP57" s="227"/>
      <c r="BQ57" s="227" t="str">
        <f>IF($BF57="ja",VLOOKUP($B57,'Egen hetvattenprod'!$B$1:$BX$550,MATCH("Tillförd olja (fossil) vid avfallsförbränning (GWh)",'Egen hetvattenprod'!$B$1:$BX$1,0),FALSE),"")</f>
        <v/>
      </c>
      <c r="BR57" s="227" t="str">
        <f>IF($BF57="ja",VLOOKUP($B57,Kraftvärmeprod!$B$1:$BX$550,MATCH("Tillförd olja (fossil) vid avfallsförbränning (GWh)",Kraftvärmeprod!$B$1:$BX$1,0),FALSE),"")</f>
        <v/>
      </c>
      <c r="BS57" s="227"/>
      <c r="BT57" s="227"/>
      <c r="BU57" s="227"/>
    </row>
    <row r="58" spans="1:73" x14ac:dyDescent="0.25">
      <c r="A58" s="121" t="str">
        <f>'Miljövärden för publ företag'!B61</f>
        <v>E.ON Värme Sverige AB</v>
      </c>
      <c r="B58" s="121" t="str">
        <f>'Miljövärden för publ företag'!C61</f>
        <v>Malmö</v>
      </c>
      <c r="C58" s="173">
        <f>IFERROR(VLOOKUP($B58,Totalt!$B$1:$AQ$554,MATCH(C$2,Totalt!$B$1:$AQ$1,0),FALSE),"")</f>
        <v>0</v>
      </c>
      <c r="D58" s="173">
        <f>IFERROR(VLOOKUP($B58,Totalt!$B$1:$AQ$554,MATCH(D$2,Totalt!$B$1:$AQ$1,0),FALSE),"")</f>
        <v>0.20644599999999999</v>
      </c>
      <c r="E58" s="173">
        <f>IFERROR(VLOOKUP($B58,Totalt!$B$1:$AQ$554,MATCH(E$2,Totalt!$B$1:$AQ$1,0),FALSE),"")</f>
        <v>0</v>
      </c>
      <c r="F58" s="173">
        <f>IFERROR(VLOOKUP($B58,Totalt!$B$1:$AQ$554,MATCH(F$2,Totalt!$B$1:$AQ$1,0),FALSE),"")</f>
        <v>3.3352599999999999</v>
      </c>
      <c r="G58" s="173">
        <f>IFERROR(VLOOKUP($B58,Totalt!$B$1:$AQ$554,MATCH(G$2,Totalt!$B$1:$AQ$1,0),FALSE),"")</f>
        <v>511.27800000000002</v>
      </c>
      <c r="H58" s="173">
        <f>IFERROR(VLOOKUP($B58,Totalt!$B$1:$AQ$554,MATCH(H$2,Totalt!$B$1:$AQ$1,0),FALSE),"")</f>
        <v>0</v>
      </c>
      <c r="I58" s="173">
        <f>IFERROR(VLOOKUP($B58,Totalt!$B$1:$AQ$554,MATCH(I$2,Totalt!$B$1:$AQ$1,0),FALSE),"")</f>
        <v>1019.27</v>
      </c>
      <c r="J58" s="173">
        <f>IFERROR(VLOOKUP($B58,Totalt!$B$1:$AQ$554,MATCH(J$2,Totalt!$B$1:$AQ$1,0),FALSE),"")</f>
        <v>61.3</v>
      </c>
      <c r="K58" s="173">
        <f>IFERROR(VLOOKUP($B58,Totalt!$B$1:$AQ$554,MATCH(K$2,Totalt!$B$1:$AQ$1,0),FALSE),"")</f>
        <v>0</v>
      </c>
      <c r="L58" s="173">
        <f>IFERROR(VLOOKUP($B58,Totalt!$B$1:$AQ$554,MATCH(L$2,Totalt!$B$1:$AQ$1,0),FALSE),"")</f>
        <v>0</v>
      </c>
      <c r="M58" s="173">
        <f>IFERROR(VLOOKUP($B58,Totalt!$B$1:$AQ$554,MATCH(M$2,Totalt!$B$1:$AQ$1,0),FALSE),"")</f>
        <v>0</v>
      </c>
      <c r="N58" s="173">
        <f>IFERROR(VLOOKUP($B58,Totalt!$B$1:$AQ$554,MATCH(N$2,Totalt!$B$1:$AQ$1,0),FALSE),"")</f>
        <v>0</v>
      </c>
      <c r="O58" s="173">
        <f>IFERROR(VLOOKUP($B58,Totalt!$B$1:$AQ$554,MATCH(O$2,Totalt!$B$1:$AQ$1,0),FALSE),"")</f>
        <v>0</v>
      </c>
      <c r="P58" s="173">
        <f>IFERROR(VLOOKUP($B58,Totalt!$B$1:$AQ$554,MATCH(P$2,Totalt!$B$1:$AQ$1,0),FALSE),"")</f>
        <v>120.9</v>
      </c>
      <c r="Q58" s="173">
        <f>IFERROR(VLOOKUP($B58,Totalt!$B$1:$AQ$554,MATCH(Q$2,Totalt!$B$1:$AQ$1,0),FALSE),"")</f>
        <v>0</v>
      </c>
      <c r="R58" s="173">
        <f>IFERROR(VLOOKUP($B58,Totalt!$B$1:$AQ$554,MATCH(R$2,Totalt!$B$1:$AQ$1,0),FALSE),"")</f>
        <v>0</v>
      </c>
      <c r="S58" s="173">
        <f>IFERROR(VLOOKUP($B58,Totalt!$B$1:$AQ$554,MATCH(S$2,Totalt!$B$1:$AQ$1,0),FALSE),"")</f>
        <v>0</v>
      </c>
      <c r="T58" s="173">
        <f>IFERROR(VLOOKUP($B58,Totalt!$B$1:$AQ$554,MATCH(T$2,Totalt!$B$1:$AQ$1,0),FALSE),"")</f>
        <v>0</v>
      </c>
      <c r="U58" s="173">
        <f>IFERROR(VLOOKUP($B58,Totalt!$B$1:$AQ$554,MATCH(U$2,Totalt!$B$1:$AQ$1,0),FALSE),"")</f>
        <v>0</v>
      </c>
      <c r="V58" s="173">
        <f>IFERROR(VLOOKUP($B58,Totalt!$B$1:$AQ$554,MATCH(V$2,Totalt!$B$1:$AQ$1,0),FALSE),"")</f>
        <v>0</v>
      </c>
      <c r="W58" s="173">
        <f>IFERROR(VLOOKUP($B58,Totalt!$B$1:$AQ$554,MATCH(W$2,Totalt!$B$1:$AQ$1,0),FALSE),"")</f>
        <v>0</v>
      </c>
      <c r="X58" s="173">
        <f>IFERROR(VLOOKUP($B58,Totalt!$B$1:$AQ$554,MATCH(X$2,Totalt!$B$1:$AQ$1,0),FALSE),"")</f>
        <v>0</v>
      </c>
      <c r="Y58" s="173">
        <f>IFERROR(VLOOKUP($B58,Totalt!$B$1:$AQ$554,MATCH(Y$2,Totalt!$B$1:$AQ$1,0),FALSE),"")</f>
        <v>0</v>
      </c>
      <c r="Z58" s="173">
        <f>IFERROR(VLOOKUP($B58,Totalt!$B$1:$AQ$554,MATCH(Z$2,Totalt!$B$1:$AQ$1,0),FALSE),"")</f>
        <v>0</v>
      </c>
      <c r="AA58" s="173">
        <f>IFERROR(VLOOKUP($B58,Totalt!$B$1:$AQ$554,MATCH(AA$2,Totalt!$B$1:$AQ$1,0),FALSE),"")</f>
        <v>17.5</v>
      </c>
      <c r="AB58" s="173">
        <f>IFERROR(VLOOKUP($B58,Totalt!$B$1:$AQ$554,MATCH(AB$2,Totalt!$B$1:$AQ$1,0),FALSE),"")</f>
        <v>39.299999999999997</v>
      </c>
      <c r="AC58" s="173">
        <f>IFERROR(VLOOKUP($B58,Totalt!$B$1:$AQ$554,MATCH(AC$2,Totalt!$B$1:$AQ$1,0),FALSE),"")</f>
        <v>67</v>
      </c>
      <c r="AD58" s="173">
        <f>IFERROR(VLOOKUP($B58,Totalt!$B$1:$AQ$554,MATCH(AD$2,Totalt!$B$1:$AQ$1,0),FALSE),"")</f>
        <v>155</v>
      </c>
      <c r="AE58" s="173">
        <f>IFERROR(VLOOKUP($B58,Totalt!$B$1:$AQ$554,MATCH(AE$2,Totalt!$B$1:$AQ$1,0),FALSE),"")</f>
        <v>0</v>
      </c>
      <c r="AF58" s="173">
        <f>IFERROR(VLOOKUP($B58,Totalt!$B$1:$AQ$554,MATCH(AF$2,Totalt!$B$1:$AQ$1,0),FALSE),"")</f>
        <v>36.9375</v>
      </c>
      <c r="AG58" s="173">
        <f>IFERROR(VLOOKUP($B58,Totalt!$B$1:$AQ$554,MATCH(AG$2,Totalt!$B$1:$AQ$1,0),FALSE),"")</f>
        <v>0</v>
      </c>
      <c r="AI58" s="226">
        <f t="shared" si="0"/>
        <v>2032.027206</v>
      </c>
      <c r="AJ58" s="226">
        <f>IF(ISERROR(1/VLOOKUP($B58,Leveranser!$B$1:$S$500,MATCH("såld värme (gwh)",Leveranser!$B$1:$S$1,0),FALSE)),"",VLOOKUP($B58,Leveranser!$B$1:$S$500,MATCH("såld värme (gwh)",Leveranser!$B$1:$S$1,0),FALSE))</f>
        <v>2074</v>
      </c>
      <c r="AM58" s="227" t="str">
        <f>IF(B58&lt;&gt;"",IF(VLOOKUP($B58,Totalt!$B$1:$AQ$554,MATCH("Kvalitetsgranskad:",Totalt!$B$1:$AQ$1,0),FALSE)="ja",VLOOKUP($B58,Miljö!$B$1:$AG$479,MATCH(AM$2,Miljö!$B$1:$AK$1,0),FALSE),""),"")</f>
        <v>Ja</v>
      </c>
      <c r="AN58" s="227" t="str">
        <f>IF(AM58="ja",VLOOKUP($B58,Miljö!$B$1:$J$479,MATCH("Typ av ursprungsspecificerad el   (Om inget värde anges används Nordisk residualmix, se inforuta) ()",Miljö!$B$1:$J$1,0),FALSE),IF(AM58="nej","Nordisk residualel",""))</f>
        <v>'Biokraft och residualel'</v>
      </c>
      <c r="AO58" s="227">
        <f>IF(AM58="","",VLOOKUP($B58,Miljö!$B$1:$J$479,MATCH("Fossilandel för ursprungspecificerad el ()",Miljö!$B$1:$J$1,0),FALSE))</f>
        <v>0</v>
      </c>
      <c r="AP58" s="227">
        <f>IF(AM58="","",IFERROR(VLOOKUP($B58,Miljö!$B$1:$J$479,MATCH("Kärnkraftsandel för ursprungsspecificerad el ()",Miljö!$B$1:$J$1,0),FALSE)/1,0))</f>
        <v>0</v>
      </c>
      <c r="AQ58" s="227">
        <f t="shared" si="1"/>
        <v>1</v>
      </c>
      <c r="AR58" s="227"/>
      <c r="AS58" s="227" t="str">
        <f t="shared" si="2"/>
        <v>Nej</v>
      </c>
      <c r="AT58" s="227" t="str">
        <f>IF(AS58="ja",VLOOKUP($B58,Miljö!$B$1:$O$500,MATCH("Fossil andel i procent (%)",Miljö!$B$1:$O$1,0),FALSE)/100,"")</f>
        <v/>
      </c>
      <c r="AU58" s="227"/>
      <c r="AV58" s="227" t="str">
        <f t="shared" si="3"/>
        <v>Ja</v>
      </c>
      <c r="AW58" s="227" t="str">
        <f>IF(AV58="ja",VLOOKUP($B58,'Egen hetvattenprod'!$B$1:$AO$500,MATCH("Värmekälla till värmepumpar ()",'Egen hetvattenprod'!$B$1:$AO$1,0),FALSE),"")</f>
        <v>Renat avloppsvatten</v>
      </c>
      <c r="AX58" s="227"/>
      <c r="AY58" s="227" t="str">
        <f t="shared" si="4"/>
        <v>Ja</v>
      </c>
      <c r="AZ58" s="228">
        <f>IF($AY58="ja",(VLOOKUP($B58,'Egen hetvattenprod'!$B$1:$BX$550,MATCH(AZ$2,'Egen hetvattenprod'!$B$1:$BX$1,0),FALSE)+VLOOKUP($B58,Kraftvärmeprod!$B$1:$BX$550,MATCH(AZ$2,Kraftvärmeprod!$B$1:$BX$1,0),FALSE))/$AC58,"")</f>
        <v>0.43283582089552236</v>
      </c>
      <c r="BA58" s="228">
        <f>IF($AY58="ja",(VLOOKUP($B58,'Egen hetvattenprod'!$B$1:$BX$550,MATCH(BA$2,'Egen hetvattenprod'!$B$1:$BX$1,0),FALSE)+VLOOKUP($B58,Kraftvärmeprod!$B$1:$BX$550,MATCH(BA$2,Kraftvärmeprod!$B$1:$BX$1,0),FALSE))/$AC58,"")</f>
        <v>0</v>
      </c>
      <c r="BB58" s="228">
        <f>IF($AY58="ja",(VLOOKUP($B58,'Egen hetvattenprod'!$B$1:$BX$550,MATCH(BB$2,'Egen hetvattenprod'!$B$1:$BX$1,0),FALSE)+VLOOKUP($B58,Kraftvärmeprod!$B$1:$BX$550,MATCH(BB$2,Kraftvärmeprod!$B$1:$BX$1,0),FALSE))/$AC58,"")</f>
        <v>0.56716417910447758</v>
      </c>
      <c r="BC58" s="228">
        <f>IF($AY58="ja",(VLOOKUP($B58,'Egen hetvattenprod'!$B$1:$BX$550,MATCH(BC$2,'Egen hetvattenprod'!$B$1:$BX$1,0),FALSE)+VLOOKUP($B58,Kraftvärmeprod!$B$1:$BX$550,MATCH(BC$2,Kraftvärmeprod!$B$1:$BX$1,0),FALSE))/$AC58,"")</f>
        <v>0</v>
      </c>
      <c r="BD58" s="228">
        <f>IF($AY58="ja",(VLOOKUP($B58,'Egen hetvattenprod'!$B$1:$BX$550,MATCH(BD$2,'Egen hetvattenprod'!$B$1:$BX$1,0),FALSE)+VLOOKUP($B58,Kraftvärmeprod!$B$1:$BX$550,MATCH(BD$2,Kraftvärmeprod!$B$1:$BX$1,0),FALSE))/$AC58,"")</f>
        <v>0</v>
      </c>
      <c r="BE58" s="227"/>
      <c r="BF58" s="227" t="str">
        <f t="shared" si="5"/>
        <v>Ja</v>
      </c>
      <c r="BG58" s="227" t="str">
        <f>IF($BF58="ja",VLOOKUP($B58,'Egen hetvattenprod'!$B$1:$BX$550,MATCH("Andelen klimatgaser med fossilt ursprung för avfall ()",'Egen hetvattenprod'!$B$1:$BX$1,0),FALSE),"")</f>
        <v>Ingen redovisning</v>
      </c>
      <c r="BH58" s="227" t="str">
        <f>IF($BF58="ja",VLOOKUP($B58,Kraftvärmeprod!$B$1:$BX$550,MATCH("Andelen klimatgaser med fossilt ursprung för avfall ()",Kraftvärmeprod!$B$1:$BX$1,0),FALSE),"")</f>
        <v>-</v>
      </c>
      <c r="BI58" s="227" t="str">
        <f>IF($BF58="ja",VLOOKUP($B58,'Egen hetvattenprod'!$B$1:$BX$550,MATCH("Avfall (GWh)",'Egen hetvattenprod'!$B$1:$BX$1,0),FALSE),"")</f>
        <v>ET</v>
      </c>
      <c r="BJ58" s="227">
        <f>IF($BF58="ja",VLOOKUP($B58,'Slutlig allokering kvv'!$B$1:$BX$550,MATCH("Avfall (GWh)",'Slutlig allokering kvv'!$B$1:$BX$1,0),FALSE),"")</f>
        <v>1019.27</v>
      </c>
      <c r="BK58" s="227">
        <f>IF($BF58="ja",VLOOKUP($B58,'Köpt hetvatten'!$B$1:$BX$550,MATCH("Avfall i köpt hetvatten",'Köpt hetvatten'!$B$1:$BX$1,0),FALSE),"")</f>
        <v>0</v>
      </c>
      <c r="BL58" s="227" t="str">
        <f>IF($BF58="ja",VLOOKUP($B58,'Egen hetvattenprod'!$B$1:$BX$550,MATCH("Värde enligt ovan. (%)",'Egen hetvattenprod'!$B$1:$BX$1,0),FALSE),"")</f>
        <v>ET</v>
      </c>
      <c r="BM58" s="227" t="str">
        <f>IF($BF58="ja",VLOOKUP($B58,Kraftvärmeprod!$B$1:$BX$550,MATCH("Värde enligt ovan. (%)",Kraftvärmeprod!$B$1:$BX$1,0),FALSE),"")</f>
        <v>ET</v>
      </c>
      <c r="BN58" s="227"/>
      <c r="BO58" s="227"/>
      <c r="BP58" s="227"/>
      <c r="BQ58" s="227" t="str">
        <f>IF($BF58="ja",VLOOKUP($B58,'Egen hetvattenprod'!$B$1:$BX$550,MATCH("Tillförd olja (fossil) vid avfallsförbränning (GWh)",'Egen hetvattenprod'!$B$1:$BX$1,0),FALSE),"")</f>
        <v>ET</v>
      </c>
      <c r="BR58" s="227" t="str">
        <f>IF($BF58="ja",VLOOKUP($B58,Kraftvärmeprod!$B$1:$BX$550,MATCH("Tillförd olja (fossil) vid avfallsförbränning (GWh)",Kraftvärmeprod!$B$1:$BX$1,0),FALSE),"")</f>
        <v>ET</v>
      </c>
      <c r="BS58" s="227"/>
      <c r="BT58" s="227"/>
      <c r="BU58" s="227"/>
    </row>
    <row r="59" spans="1:73" x14ac:dyDescent="0.25">
      <c r="A59" s="121" t="str">
        <f>'Miljövärden för publ företag'!B62</f>
        <v>E.ON Värme Sverige AB</v>
      </c>
      <c r="B59" s="121" t="str">
        <f>'Miljövärden för publ företag'!C62</f>
        <v>Norrköping - Söderköping</v>
      </c>
      <c r="C59" s="173">
        <f>IFERROR(VLOOKUP($B59,Totalt!$B$1:$AQ$554,MATCH(C$2,Totalt!$B$1:$AQ$1,0),FALSE),"")</f>
        <v>62.707999999999998</v>
      </c>
      <c r="D59" s="173">
        <f>IFERROR(VLOOKUP($B59,Totalt!$B$1:$AQ$554,MATCH(D$2,Totalt!$B$1:$AQ$1,0),FALSE),"")</f>
        <v>0.92719300000000004</v>
      </c>
      <c r="E59" s="173">
        <f>IFERROR(VLOOKUP($B59,Totalt!$B$1:$AQ$554,MATCH(E$2,Totalt!$B$1:$AQ$1,0),FALSE),"")</f>
        <v>0</v>
      </c>
      <c r="F59" s="173">
        <f>IFERROR(VLOOKUP($B59,Totalt!$B$1:$AQ$554,MATCH(F$2,Totalt!$B$1:$AQ$1,0),FALSE),"")</f>
        <v>3.7</v>
      </c>
      <c r="G59" s="173">
        <f>IFERROR(VLOOKUP($B59,Totalt!$B$1:$AQ$554,MATCH(G$2,Totalt!$B$1:$AQ$1,0),FALSE),"")</f>
        <v>0</v>
      </c>
      <c r="H59" s="173">
        <f>IFERROR(VLOOKUP($B59,Totalt!$B$1:$AQ$554,MATCH(H$2,Totalt!$B$1:$AQ$1,0),FALSE),"")</f>
        <v>0</v>
      </c>
      <c r="I59" s="173">
        <f>IFERROR(VLOOKUP($B59,Totalt!$B$1:$AQ$554,MATCH(I$2,Totalt!$B$1:$AQ$1,0),FALSE),"")</f>
        <v>667.65899999999999</v>
      </c>
      <c r="J59" s="173">
        <f>IFERROR(VLOOKUP($B59,Totalt!$B$1:$AQ$554,MATCH(J$2,Totalt!$B$1:$AQ$1,0),FALSE),"")</f>
        <v>0</v>
      </c>
      <c r="K59" s="173">
        <f>IFERROR(VLOOKUP($B59,Totalt!$B$1:$AQ$554,MATCH(K$2,Totalt!$B$1:$AQ$1,0),FALSE),"")</f>
        <v>0</v>
      </c>
      <c r="L59" s="173">
        <f>IFERROR(VLOOKUP($B59,Totalt!$B$1:$AQ$554,MATCH(L$2,Totalt!$B$1:$AQ$1,0),FALSE),"")</f>
        <v>50.700200000000002</v>
      </c>
      <c r="M59" s="173">
        <f>IFERROR(VLOOKUP($B59,Totalt!$B$1:$AQ$554,MATCH(M$2,Totalt!$B$1:$AQ$1,0),FALSE),"")</f>
        <v>0</v>
      </c>
      <c r="N59" s="173">
        <f>IFERROR(VLOOKUP($B59,Totalt!$B$1:$AQ$554,MATCH(N$2,Totalt!$B$1:$AQ$1,0),FALSE),"")</f>
        <v>48.351500000000001</v>
      </c>
      <c r="O59" s="173">
        <f>IFERROR(VLOOKUP($B59,Totalt!$B$1:$AQ$554,MATCH(O$2,Totalt!$B$1:$AQ$1,0),FALSE),"")</f>
        <v>0</v>
      </c>
      <c r="P59" s="173">
        <f>IFERROR(VLOOKUP($B59,Totalt!$B$1:$AQ$554,MATCH(P$2,Totalt!$B$1:$AQ$1,0),FALSE),"")</f>
        <v>0</v>
      </c>
      <c r="Q59" s="173">
        <f>IFERROR(VLOOKUP($B59,Totalt!$B$1:$AQ$554,MATCH(Q$2,Totalt!$B$1:$AQ$1,0),FALSE),"")</f>
        <v>0</v>
      </c>
      <c r="R59" s="173">
        <f>IFERROR(VLOOKUP($B59,Totalt!$B$1:$AQ$554,MATCH(R$2,Totalt!$B$1:$AQ$1,0),FALSE),"")</f>
        <v>0</v>
      </c>
      <c r="S59" s="173">
        <f>IFERROR(VLOOKUP($B59,Totalt!$B$1:$AQ$554,MATCH(S$2,Totalt!$B$1:$AQ$1,0),FALSE),"")</f>
        <v>0</v>
      </c>
      <c r="T59" s="173">
        <f>IFERROR(VLOOKUP($B59,Totalt!$B$1:$AQ$554,MATCH(T$2,Totalt!$B$1:$AQ$1,0),FALSE),"")</f>
        <v>0</v>
      </c>
      <c r="U59" s="173">
        <f>IFERROR(VLOOKUP($B59,Totalt!$B$1:$AQ$554,MATCH(U$2,Totalt!$B$1:$AQ$1,0),FALSE),"")</f>
        <v>0</v>
      </c>
      <c r="V59" s="173">
        <f>IFERROR(VLOOKUP($B59,Totalt!$B$1:$AQ$554,MATCH(V$2,Totalt!$B$1:$AQ$1,0),FALSE),"")</f>
        <v>0</v>
      </c>
      <c r="W59" s="173">
        <f>IFERROR(VLOOKUP($B59,Totalt!$B$1:$AQ$554,MATCH(W$2,Totalt!$B$1:$AQ$1,0),FALSE),"")</f>
        <v>1.1000000000000001</v>
      </c>
      <c r="X59" s="173">
        <f>IFERROR(VLOOKUP($B59,Totalt!$B$1:$AQ$554,MATCH(X$2,Totalt!$B$1:$AQ$1,0),FALSE),"")</f>
        <v>0</v>
      </c>
      <c r="Y59" s="173">
        <f>IFERROR(VLOOKUP($B59,Totalt!$B$1:$AQ$554,MATCH(Y$2,Totalt!$B$1:$AQ$1,0),FALSE),"")</f>
        <v>0</v>
      </c>
      <c r="Z59" s="173">
        <f>IFERROR(VLOOKUP($B59,Totalt!$B$1:$AQ$554,MATCH(Z$2,Totalt!$B$1:$AQ$1,0),FALSE),"")</f>
        <v>0</v>
      </c>
      <c r="AA59" s="173">
        <f>IFERROR(VLOOKUP($B59,Totalt!$B$1:$AQ$554,MATCH(AA$2,Totalt!$B$1:$AQ$1,0),FALSE),"")</f>
        <v>0</v>
      </c>
      <c r="AB59" s="173">
        <f>IFERROR(VLOOKUP($B59,Totalt!$B$1:$AQ$554,MATCH(AB$2,Totalt!$B$1:$AQ$1,0),FALSE),"")</f>
        <v>0</v>
      </c>
      <c r="AC59" s="173">
        <f>IFERROR(VLOOKUP($B59,Totalt!$B$1:$AQ$554,MATCH(AC$2,Totalt!$B$1:$AQ$1,0),FALSE),"")</f>
        <v>71.2</v>
      </c>
      <c r="AD59" s="173">
        <f>IFERROR(VLOOKUP($B59,Totalt!$B$1:$AQ$554,MATCH(AD$2,Totalt!$B$1:$AQ$1,0),FALSE),"")</f>
        <v>0</v>
      </c>
      <c r="AE59" s="173">
        <f>IFERROR(VLOOKUP($B59,Totalt!$B$1:$AQ$554,MATCH(AE$2,Totalt!$B$1:$AQ$1,0),FALSE),"")</f>
        <v>0</v>
      </c>
      <c r="AF59" s="173">
        <f>IFERROR(VLOOKUP($B59,Totalt!$B$1:$AQ$554,MATCH(AF$2,Totalt!$B$1:$AQ$1,0),FALSE),"")</f>
        <v>42.984200000000001</v>
      </c>
      <c r="AG59" s="173">
        <f>IFERROR(VLOOKUP($B59,Totalt!$B$1:$AQ$554,MATCH(AG$2,Totalt!$B$1:$AQ$1,0),FALSE),"")</f>
        <v>0</v>
      </c>
      <c r="AI59" s="226">
        <f t="shared" si="0"/>
        <v>949.33009300000003</v>
      </c>
      <c r="AJ59" s="226">
        <f>IF(ISERROR(1/VLOOKUP($B59,Leveranser!$B$1:$S$500,MATCH("såld värme (gwh)",Leveranser!$B$1:$S$1,0),FALSE)),"",VLOOKUP($B59,Leveranser!$B$1:$S$500,MATCH("såld värme (gwh)",Leveranser!$B$1:$S$1,0),FALSE))</f>
        <v>901</v>
      </c>
      <c r="AM59" s="227" t="str">
        <f>IF(B59&lt;&gt;"",IF(VLOOKUP($B59,Totalt!$B$1:$AQ$554,MATCH("Kvalitetsgranskad:",Totalt!$B$1:$AQ$1,0),FALSE)="ja",VLOOKUP($B59,Miljö!$B$1:$AG$479,MATCH(AM$2,Miljö!$B$1:$AK$1,0),FALSE),""),"")</f>
        <v>Ja</v>
      </c>
      <c r="AN59" s="227" t="str">
        <f>IF(AM59="ja",VLOOKUP($B59,Miljö!$B$1:$J$479,MATCH("Typ av ursprungsspecificerad el   (Om inget värde anges används Nordisk residualmix, se inforuta) ()",Miljö!$B$1:$J$1,0),FALSE),IF(AM59="nej","Nordisk residualel",""))</f>
        <v>''Biokraft samt Nordisk residualmix''</v>
      </c>
      <c r="AO59" s="227">
        <f>IF(AM59="","",VLOOKUP($B59,Miljö!$B$1:$J$479,MATCH("Fossilandel för ursprungspecificerad el ()",Miljö!$B$1:$J$1,0),FALSE))</f>
        <v>0</v>
      </c>
      <c r="AP59" s="227">
        <f>IF(AM59="","",IFERROR(VLOOKUP($B59,Miljö!$B$1:$J$479,MATCH("Kärnkraftsandel för ursprungsspecificerad el ()",Miljö!$B$1:$J$1,0),FALSE)/1,0))</f>
        <v>0</v>
      </c>
      <c r="AQ59" s="227">
        <f t="shared" si="1"/>
        <v>1</v>
      </c>
      <c r="AR59" s="227"/>
      <c r="AS59" s="227" t="str">
        <f t="shared" si="2"/>
        <v>Nej</v>
      </c>
      <c r="AT59" s="227" t="str">
        <f>IF(AS59="ja",VLOOKUP($B59,Miljö!$B$1:$O$500,MATCH("Fossil andel i procent (%)",Miljö!$B$1:$O$1,0),FALSE)/100,"")</f>
        <v/>
      </c>
      <c r="AU59" s="227"/>
      <c r="AV59" s="227" t="str">
        <f t="shared" si="3"/>
        <v>Nej</v>
      </c>
      <c r="AW59" s="227" t="str">
        <f>IF(AV59="ja",VLOOKUP($B59,'Egen hetvattenprod'!$B$1:$AO$500,MATCH("Värmekälla till värmepumpar ()",'Egen hetvattenprod'!$B$1:$AO$1,0),FALSE),"")</f>
        <v/>
      </c>
      <c r="AX59" s="227"/>
      <c r="AY59" s="227" t="str">
        <f t="shared" si="4"/>
        <v>Ja</v>
      </c>
      <c r="AZ59" s="228">
        <f>IF($AY59="ja",(VLOOKUP($B59,'Egen hetvattenprod'!$B$1:$BX$550,MATCH(AZ$2,'Egen hetvattenprod'!$B$1:$BX$1,0),FALSE)+VLOOKUP($B59,Kraftvärmeprod!$B$1:$BX$550,MATCH(AZ$2,Kraftvärmeprod!$B$1:$BX$1,0),FALSE))/$AC59,"")</f>
        <v>1</v>
      </c>
      <c r="BA59" s="228">
        <f>IF($AY59="ja",(VLOOKUP($B59,'Egen hetvattenprod'!$B$1:$BX$550,MATCH(BA$2,'Egen hetvattenprod'!$B$1:$BX$1,0),FALSE)+VLOOKUP($B59,Kraftvärmeprod!$B$1:$BX$550,MATCH(BA$2,Kraftvärmeprod!$B$1:$BX$1,0),FALSE))/$AC59,"")</f>
        <v>0</v>
      </c>
      <c r="BB59" s="228">
        <f>IF($AY59="ja",(VLOOKUP($B59,'Egen hetvattenprod'!$B$1:$BX$550,MATCH(BB$2,'Egen hetvattenprod'!$B$1:$BX$1,0),FALSE)+VLOOKUP($B59,Kraftvärmeprod!$B$1:$BX$550,MATCH(BB$2,Kraftvärmeprod!$B$1:$BX$1,0),FALSE))/$AC59,"")</f>
        <v>0</v>
      </c>
      <c r="BC59" s="228">
        <f>IF($AY59="ja",(VLOOKUP($B59,'Egen hetvattenprod'!$B$1:$BX$550,MATCH(BC$2,'Egen hetvattenprod'!$B$1:$BX$1,0),FALSE)+VLOOKUP($B59,Kraftvärmeprod!$B$1:$BX$550,MATCH(BC$2,Kraftvärmeprod!$B$1:$BX$1,0),FALSE))/$AC59,"")</f>
        <v>0</v>
      </c>
      <c r="BD59" s="228">
        <f>IF($AY59="ja",(VLOOKUP($B59,'Egen hetvattenprod'!$B$1:$BX$550,MATCH(BD$2,'Egen hetvattenprod'!$B$1:$BX$1,0),FALSE)+VLOOKUP($B59,Kraftvärmeprod!$B$1:$BX$550,MATCH(BD$2,Kraftvärmeprod!$B$1:$BX$1,0),FALSE))/$AC59,"")</f>
        <v>0</v>
      </c>
      <c r="BE59" s="227"/>
      <c r="BF59" s="227" t="str">
        <f t="shared" si="5"/>
        <v>Ja</v>
      </c>
      <c r="BG59" s="227" t="str">
        <f>IF($BF59="ja",VLOOKUP($B59,'Egen hetvattenprod'!$B$1:$BX$550,MATCH("Andelen klimatgaser med fossilt ursprung för avfall ()",'Egen hetvattenprod'!$B$1:$BX$1,0),FALSE),"")</f>
        <v>-</v>
      </c>
      <c r="BH59" s="227" t="str">
        <f>IF($BF59="ja",VLOOKUP($B59,Kraftvärmeprod!$B$1:$BX$550,MATCH("Andelen klimatgaser med fossilt ursprung för avfall ()",Kraftvärmeprod!$B$1:$BX$1,0),FALSE),"")</f>
        <v>-</v>
      </c>
      <c r="BI59" s="227">
        <f>IF($BF59="ja",VLOOKUP($B59,'Egen hetvattenprod'!$B$1:$BX$550,MATCH("Avfall (GWh)",'Egen hetvattenprod'!$B$1:$BX$1,0),FALSE),"")</f>
        <v>98.1</v>
      </c>
      <c r="BJ59" s="227">
        <f>IF($BF59="ja",VLOOKUP($B59,'Slutlig allokering kvv'!$B$1:$BX$550,MATCH("Avfall (GWh)",'Slutlig allokering kvv'!$B$1:$BX$1,0),FALSE),"")</f>
        <v>569.55899999999997</v>
      </c>
      <c r="BK59" s="227">
        <f>IF($BF59="ja",VLOOKUP($B59,'Köpt hetvatten'!$B$1:$BX$550,MATCH("Avfall i köpt hetvatten",'Köpt hetvatten'!$B$1:$BX$1,0),FALSE),"")</f>
        <v>0</v>
      </c>
      <c r="BL59" s="227" t="str">
        <f>IF($BF59="ja",VLOOKUP($B59,'Egen hetvattenprod'!$B$1:$BX$550,MATCH("Värde enligt ovan. (%)",'Egen hetvattenprod'!$B$1:$BX$1,0),FALSE),"")</f>
        <v>ET</v>
      </c>
      <c r="BM59" s="227" t="str">
        <f>IF($BF59="ja",VLOOKUP($B59,Kraftvärmeprod!$B$1:$BX$550,MATCH("Värde enligt ovan. (%)",Kraftvärmeprod!$B$1:$BX$1,0),FALSE),"")</f>
        <v>ET</v>
      </c>
      <c r="BN59" s="227"/>
      <c r="BO59" s="227"/>
      <c r="BP59" s="227"/>
      <c r="BQ59" s="227" t="str">
        <f>IF($BF59="ja",VLOOKUP($B59,'Egen hetvattenprod'!$B$1:$BX$550,MATCH("Tillförd olja (fossil) vid avfallsförbränning (GWh)",'Egen hetvattenprod'!$B$1:$BX$1,0),FALSE),"")</f>
        <v>ET</v>
      </c>
      <c r="BR59" s="227">
        <f>IF($BF59="ja",VLOOKUP($B59,Kraftvärmeprod!$B$1:$BX$550,MATCH("Tillförd olja (fossil) vid avfallsförbränning (GWh)",Kraftvärmeprod!$B$1:$BX$1,0),FALSE),"")</f>
        <v>10</v>
      </c>
      <c r="BS59" s="227"/>
      <c r="BT59" s="227"/>
      <c r="BU59" s="227"/>
    </row>
    <row r="60" spans="1:73" x14ac:dyDescent="0.25">
      <c r="A60" s="121" t="str">
        <f>'Miljövärden för publ företag'!B63</f>
        <v>E.ON Värme Sverige AB</v>
      </c>
      <c r="B60" s="121" t="str">
        <f>'Miljövärden för publ företag'!C63</f>
        <v>Täby E.ON.</v>
      </c>
      <c r="C60" s="173">
        <f>IFERROR(VLOOKUP($B60,Totalt!$B$1:$AQ$554,MATCH(C$2,Totalt!$B$1:$AQ$1,0),FALSE),"")</f>
        <v>0</v>
      </c>
      <c r="D60" s="173">
        <f>IFERROR(VLOOKUP($B60,Totalt!$B$1:$AQ$554,MATCH(D$2,Totalt!$B$1:$AQ$1,0),FALSE),"")</f>
        <v>1.3</v>
      </c>
      <c r="E60" s="173">
        <f>IFERROR(VLOOKUP($B60,Totalt!$B$1:$AQ$554,MATCH(E$2,Totalt!$B$1:$AQ$1,0),FALSE),"")</f>
        <v>0</v>
      </c>
      <c r="F60" s="173">
        <f>IFERROR(VLOOKUP($B60,Totalt!$B$1:$AQ$554,MATCH(F$2,Totalt!$B$1:$AQ$1,0),FALSE),"")</f>
        <v>0</v>
      </c>
      <c r="G60" s="173">
        <f>IFERROR(VLOOKUP($B60,Totalt!$B$1:$AQ$554,MATCH(G$2,Totalt!$B$1:$AQ$1,0),FALSE),"")</f>
        <v>0</v>
      </c>
      <c r="H60" s="173">
        <f>IFERROR(VLOOKUP($B60,Totalt!$B$1:$AQ$554,MATCH(H$2,Totalt!$B$1:$AQ$1,0),FALSE),"")</f>
        <v>0</v>
      </c>
      <c r="I60" s="173">
        <f>IFERROR(VLOOKUP($B60,Totalt!$B$1:$AQ$554,MATCH(I$2,Totalt!$B$1:$AQ$1,0),FALSE),"")</f>
        <v>0</v>
      </c>
      <c r="J60" s="173">
        <f>IFERROR(VLOOKUP($B60,Totalt!$B$1:$AQ$554,MATCH(J$2,Totalt!$B$1:$AQ$1,0),FALSE),"")</f>
        <v>0</v>
      </c>
      <c r="K60" s="173">
        <f>IFERROR(VLOOKUP($B60,Totalt!$B$1:$AQ$554,MATCH(K$2,Totalt!$B$1:$AQ$1,0),FALSE),"")</f>
        <v>0</v>
      </c>
      <c r="L60" s="173">
        <f>IFERROR(VLOOKUP($B60,Totalt!$B$1:$AQ$554,MATCH(L$2,Totalt!$B$1:$AQ$1,0),FALSE),"")</f>
        <v>0</v>
      </c>
      <c r="M60" s="173">
        <f>IFERROR(VLOOKUP($B60,Totalt!$B$1:$AQ$554,MATCH(M$2,Totalt!$B$1:$AQ$1,0),FALSE),"")</f>
        <v>0</v>
      </c>
      <c r="N60" s="173">
        <f>IFERROR(VLOOKUP($B60,Totalt!$B$1:$AQ$554,MATCH(N$2,Totalt!$B$1:$AQ$1,0),FALSE),"")</f>
        <v>0</v>
      </c>
      <c r="O60" s="173">
        <f>IFERROR(VLOOKUP($B60,Totalt!$B$1:$AQ$554,MATCH(O$2,Totalt!$B$1:$AQ$1,0),FALSE),"")</f>
        <v>0</v>
      </c>
      <c r="P60" s="173">
        <f>IFERROR(VLOOKUP($B60,Totalt!$B$1:$AQ$554,MATCH(P$2,Totalt!$B$1:$AQ$1,0),FALSE),"")</f>
        <v>74</v>
      </c>
      <c r="Q60" s="173">
        <f>IFERROR(VLOOKUP($B60,Totalt!$B$1:$AQ$554,MATCH(Q$2,Totalt!$B$1:$AQ$1,0),FALSE),"")</f>
        <v>0</v>
      </c>
      <c r="R60" s="173">
        <f>IFERROR(VLOOKUP($B60,Totalt!$B$1:$AQ$554,MATCH(R$2,Totalt!$B$1:$AQ$1,0),FALSE),"")</f>
        <v>4.7</v>
      </c>
      <c r="S60" s="173">
        <f>IFERROR(VLOOKUP($B60,Totalt!$B$1:$AQ$554,MATCH(S$2,Totalt!$B$1:$AQ$1,0),FALSE),"")</f>
        <v>0</v>
      </c>
      <c r="T60" s="173">
        <f>IFERROR(VLOOKUP($B60,Totalt!$B$1:$AQ$554,MATCH(T$2,Totalt!$B$1:$AQ$1,0),FALSE),"")</f>
        <v>0</v>
      </c>
      <c r="U60" s="173">
        <f>IFERROR(VLOOKUP($B60,Totalt!$B$1:$AQ$554,MATCH(U$2,Totalt!$B$1:$AQ$1,0),FALSE),"")</f>
        <v>0</v>
      </c>
      <c r="V60" s="173">
        <f>IFERROR(VLOOKUP($B60,Totalt!$B$1:$AQ$554,MATCH(V$2,Totalt!$B$1:$AQ$1,0),FALSE),"")</f>
        <v>0</v>
      </c>
      <c r="W60" s="173">
        <f>IFERROR(VLOOKUP($B60,Totalt!$B$1:$AQ$554,MATCH(W$2,Totalt!$B$1:$AQ$1,0),FALSE),"")</f>
        <v>2.1</v>
      </c>
      <c r="X60" s="173">
        <f>IFERROR(VLOOKUP($B60,Totalt!$B$1:$AQ$554,MATCH(X$2,Totalt!$B$1:$AQ$1,0),FALSE),"")</f>
        <v>0</v>
      </c>
      <c r="Y60" s="173">
        <f>IFERROR(VLOOKUP($B60,Totalt!$B$1:$AQ$554,MATCH(Y$2,Totalt!$B$1:$AQ$1,0),FALSE),"")</f>
        <v>0</v>
      </c>
      <c r="Z60" s="173">
        <f>IFERROR(VLOOKUP($B60,Totalt!$B$1:$AQ$554,MATCH(Z$2,Totalt!$B$1:$AQ$1,0),FALSE),"")</f>
        <v>0</v>
      </c>
      <c r="AA60" s="173">
        <f>IFERROR(VLOOKUP($B60,Totalt!$B$1:$AQ$554,MATCH(AA$2,Totalt!$B$1:$AQ$1,0),FALSE),"")</f>
        <v>0</v>
      </c>
      <c r="AB60" s="173">
        <f>IFERROR(VLOOKUP($B60,Totalt!$B$1:$AQ$554,MATCH(AB$2,Totalt!$B$1:$AQ$1,0),FALSE),"")</f>
        <v>0</v>
      </c>
      <c r="AC60" s="173">
        <f>IFERROR(VLOOKUP($B60,Totalt!$B$1:$AQ$554,MATCH(AC$2,Totalt!$B$1:$AQ$1,0),FALSE),"")</f>
        <v>11.7</v>
      </c>
      <c r="AD60" s="173">
        <f>IFERROR(VLOOKUP($B60,Totalt!$B$1:$AQ$554,MATCH(AD$2,Totalt!$B$1:$AQ$1,0),FALSE),"")</f>
        <v>0</v>
      </c>
      <c r="AE60" s="173">
        <f>IFERROR(VLOOKUP($B60,Totalt!$B$1:$AQ$554,MATCH(AE$2,Totalt!$B$1:$AQ$1,0),FALSE),"")</f>
        <v>0</v>
      </c>
      <c r="AF60" s="173">
        <f>IFERROR(VLOOKUP($B60,Totalt!$B$1:$AQ$554,MATCH(AF$2,Totalt!$B$1:$AQ$1,0),FALSE),"")</f>
        <v>2.2999999999999998</v>
      </c>
      <c r="AG60" s="173">
        <f>IFERROR(VLOOKUP($B60,Totalt!$B$1:$AQ$554,MATCH(AG$2,Totalt!$B$1:$AQ$1,0),FALSE),"")</f>
        <v>0</v>
      </c>
      <c r="AI60" s="226">
        <f t="shared" si="0"/>
        <v>96.1</v>
      </c>
      <c r="AJ60" s="226">
        <f>IF(ISERROR(1/VLOOKUP($B60,Leveranser!$B$1:$S$500,MATCH("såld värme (gwh)",Leveranser!$B$1:$S$1,0),FALSE)),"",VLOOKUP($B60,Leveranser!$B$1:$S$500,MATCH("såld värme (gwh)",Leveranser!$B$1:$S$1,0),FALSE))</f>
        <v>72.3</v>
      </c>
      <c r="AM60" s="227" t="str">
        <f>IF(B60&lt;&gt;"",IF(VLOOKUP($B60,Totalt!$B$1:$AQ$554,MATCH("Kvalitetsgranskad:",Totalt!$B$1:$AQ$1,0),FALSE)="ja",VLOOKUP($B60,Miljö!$B$1:$AG$479,MATCH(AM$2,Miljö!$B$1:$AK$1,0),FALSE),""),"")</f>
        <v>Nej</v>
      </c>
      <c r="AN60" s="227" t="str">
        <f>IF(AM60="ja",VLOOKUP($B60,Miljö!$B$1:$J$479,MATCH("Typ av ursprungsspecificerad el   (Om inget värde anges används Nordisk residualmix, se inforuta) ()",Miljö!$B$1:$J$1,0),FALSE),IF(AM60="nej","Nordisk residualel",""))</f>
        <v>Nordisk residualel</v>
      </c>
      <c r="AO60" s="227">
        <f>IF(AM60="","",VLOOKUP($B60,Miljö!$B$1:$J$479,MATCH("Fossilandel för ursprungspecificerad el ()",Miljö!$B$1:$J$1,0),FALSE))</f>
        <v>0.43</v>
      </c>
      <c r="AP60" s="227">
        <f>IF(AM60="","",IFERROR(VLOOKUP($B60,Miljö!$B$1:$J$479,MATCH("Kärnkraftsandel för ursprungsspecificerad el ()",Miljö!$B$1:$J$1,0),FALSE)/1,0))</f>
        <v>0.40550000000000003</v>
      </c>
      <c r="AQ60" s="227">
        <f t="shared" si="1"/>
        <v>0.16450000000000004</v>
      </c>
      <c r="AR60" s="227"/>
      <c r="AS60" s="227" t="str">
        <f t="shared" si="2"/>
        <v>Nej</v>
      </c>
      <c r="AT60" s="227" t="str">
        <f>IF(AS60="ja",VLOOKUP($B60,Miljö!$B$1:$O$500,MATCH("Fossil andel i procent (%)",Miljö!$B$1:$O$1,0),FALSE)/100,"")</f>
        <v/>
      </c>
      <c r="AU60" s="227"/>
      <c r="AV60" s="227" t="str">
        <f t="shared" si="3"/>
        <v>Nej</v>
      </c>
      <c r="AW60" s="227" t="str">
        <f>IF(AV60="ja",VLOOKUP($B60,'Egen hetvattenprod'!$B$1:$AO$500,MATCH("Värmekälla till värmepumpar ()",'Egen hetvattenprod'!$B$1:$AO$1,0),FALSE),"")</f>
        <v/>
      </c>
      <c r="AX60" s="227"/>
      <c r="AY60" s="227" t="str">
        <f t="shared" si="4"/>
        <v>Ja</v>
      </c>
      <c r="AZ60" s="228">
        <f>IF($AY60="ja",(VLOOKUP($B60,'Egen hetvattenprod'!$B$1:$BX$550,MATCH(AZ$2,'Egen hetvattenprod'!$B$1:$BX$1,0),FALSE)+VLOOKUP($B60,Kraftvärmeprod!$B$1:$BX$550,MATCH(AZ$2,Kraftvärmeprod!$B$1:$BX$1,0),FALSE))/$AC60,"")</f>
        <v>1</v>
      </c>
      <c r="BA60" s="228">
        <f>IF($AY60="ja",(VLOOKUP($B60,'Egen hetvattenprod'!$B$1:$BX$550,MATCH(BA$2,'Egen hetvattenprod'!$B$1:$BX$1,0),FALSE)+VLOOKUP($B60,Kraftvärmeprod!$B$1:$BX$550,MATCH(BA$2,Kraftvärmeprod!$B$1:$BX$1,0),FALSE))/$AC60,"")</f>
        <v>0</v>
      </c>
      <c r="BB60" s="228">
        <f>IF($AY60="ja",(VLOOKUP($B60,'Egen hetvattenprod'!$B$1:$BX$550,MATCH(BB$2,'Egen hetvattenprod'!$B$1:$BX$1,0),FALSE)+VLOOKUP($B60,Kraftvärmeprod!$B$1:$BX$550,MATCH(BB$2,Kraftvärmeprod!$B$1:$BX$1,0),FALSE))/$AC60,"")</f>
        <v>0</v>
      </c>
      <c r="BC60" s="228">
        <f>IF($AY60="ja",(VLOOKUP($B60,'Egen hetvattenprod'!$B$1:$BX$550,MATCH(BC$2,'Egen hetvattenprod'!$B$1:$BX$1,0),FALSE)+VLOOKUP($B60,Kraftvärmeprod!$B$1:$BX$550,MATCH(BC$2,Kraftvärmeprod!$B$1:$BX$1,0),FALSE))/$AC60,"")</f>
        <v>0</v>
      </c>
      <c r="BD60" s="228">
        <f>IF($AY60="ja",(VLOOKUP($B60,'Egen hetvattenprod'!$B$1:$BX$550,MATCH(BD$2,'Egen hetvattenprod'!$B$1:$BX$1,0),FALSE)+VLOOKUP($B60,Kraftvärmeprod!$B$1:$BX$550,MATCH(BD$2,Kraftvärmeprod!$B$1:$BX$1,0),FALSE))/$AC60,"")</f>
        <v>0</v>
      </c>
      <c r="BE60" s="227"/>
      <c r="BF60" s="227" t="str">
        <f t="shared" si="5"/>
        <v>Nej</v>
      </c>
      <c r="BG60" s="227" t="str">
        <f>IF($BF60="ja",VLOOKUP($B60,'Egen hetvattenprod'!$B$1:$BX$550,MATCH("Andelen klimatgaser med fossilt ursprung för avfall ()",'Egen hetvattenprod'!$B$1:$BX$1,0),FALSE),"")</f>
        <v/>
      </c>
      <c r="BH60" s="227" t="str">
        <f>IF($BF60="ja",VLOOKUP($B60,Kraftvärmeprod!$B$1:$BX$550,MATCH("Andelen klimatgaser med fossilt ursprung för avfall ()",Kraftvärmeprod!$B$1:$BX$1,0),FALSE),"")</f>
        <v/>
      </c>
      <c r="BI60" s="227" t="str">
        <f>IF($BF60="ja",VLOOKUP($B60,'Egen hetvattenprod'!$B$1:$BX$550,MATCH("Avfall (GWh)",'Egen hetvattenprod'!$B$1:$BX$1,0),FALSE),"")</f>
        <v/>
      </c>
      <c r="BJ60" s="227" t="str">
        <f>IF($BF60="ja",VLOOKUP($B60,'Slutlig allokering kvv'!$B$1:$BX$550,MATCH("Avfall (GWh)",'Slutlig allokering kvv'!$B$1:$BX$1,0),FALSE),"")</f>
        <v/>
      </c>
      <c r="BK60" s="227" t="str">
        <f>IF($BF60="ja",VLOOKUP($B60,'Köpt hetvatten'!$B$1:$BX$550,MATCH("Avfall i köpt hetvatten",'Köpt hetvatten'!$B$1:$BX$1,0),FALSE),"")</f>
        <v/>
      </c>
      <c r="BL60" s="227" t="str">
        <f>IF($BF60="ja",VLOOKUP($B60,'Egen hetvattenprod'!$B$1:$BX$550,MATCH("Värde enligt ovan. (%)",'Egen hetvattenprod'!$B$1:$BX$1,0),FALSE),"")</f>
        <v/>
      </c>
      <c r="BM60" s="227" t="str">
        <f>IF($BF60="ja",VLOOKUP($B60,Kraftvärmeprod!$B$1:$BX$550,MATCH("Värde enligt ovan. (%)",Kraftvärmeprod!$B$1:$BX$1,0),FALSE),"")</f>
        <v/>
      </c>
      <c r="BN60" s="227"/>
      <c r="BO60" s="227"/>
      <c r="BP60" s="227"/>
      <c r="BQ60" s="227" t="str">
        <f>IF($BF60="ja",VLOOKUP($B60,'Egen hetvattenprod'!$B$1:$BX$550,MATCH("Tillförd olja (fossil) vid avfallsförbränning (GWh)",'Egen hetvattenprod'!$B$1:$BX$1,0),FALSE),"")</f>
        <v/>
      </c>
      <c r="BR60" s="227" t="str">
        <f>IF($BF60="ja",VLOOKUP($B60,Kraftvärmeprod!$B$1:$BX$550,MATCH("Tillförd olja (fossil) vid avfallsförbränning (GWh)",Kraftvärmeprod!$B$1:$BX$1,0),FALSE),"")</f>
        <v/>
      </c>
      <c r="BS60" s="227"/>
      <c r="BT60" s="227"/>
      <c r="BU60" s="227"/>
    </row>
    <row r="61" spans="1:73" x14ac:dyDescent="0.25">
      <c r="A61" s="121" t="str">
        <f>'Miljövärden för publ företag'!B64</f>
        <v>E.ON Värme Sverige AB</v>
      </c>
      <c r="B61" s="121" t="str">
        <f>'Miljövärden för publ företag'!C64</f>
        <v>Vallentuna</v>
      </c>
      <c r="C61" s="173">
        <f>IFERROR(VLOOKUP($B61,Totalt!$B$1:$AQ$554,MATCH(C$2,Totalt!$B$1:$AQ$1,0),FALSE),"")</f>
        <v>0</v>
      </c>
      <c r="D61" s="173">
        <f>IFERROR(VLOOKUP($B61,Totalt!$B$1:$AQ$554,MATCH(D$2,Totalt!$B$1:$AQ$1,0),FALSE),"")</f>
        <v>0</v>
      </c>
      <c r="E61" s="173">
        <f>IFERROR(VLOOKUP($B61,Totalt!$B$1:$AQ$554,MATCH(E$2,Totalt!$B$1:$AQ$1,0),FALSE),"")</f>
        <v>0</v>
      </c>
      <c r="F61" s="173">
        <f>IFERROR(VLOOKUP($B61,Totalt!$B$1:$AQ$554,MATCH(F$2,Totalt!$B$1:$AQ$1,0),FALSE),"")</f>
        <v>0</v>
      </c>
      <c r="G61" s="173">
        <f>IFERROR(VLOOKUP($B61,Totalt!$B$1:$AQ$554,MATCH(G$2,Totalt!$B$1:$AQ$1,0),FALSE),"")</f>
        <v>0</v>
      </c>
      <c r="H61" s="173">
        <f>IFERROR(VLOOKUP($B61,Totalt!$B$1:$AQ$554,MATCH(H$2,Totalt!$B$1:$AQ$1,0),FALSE),"")</f>
        <v>0</v>
      </c>
      <c r="I61" s="173">
        <f>IFERROR(VLOOKUP($B61,Totalt!$B$1:$AQ$554,MATCH(I$2,Totalt!$B$1:$AQ$1,0),FALSE),"")</f>
        <v>0</v>
      </c>
      <c r="J61" s="173">
        <f>IFERROR(VLOOKUP($B61,Totalt!$B$1:$AQ$554,MATCH(J$2,Totalt!$B$1:$AQ$1,0),FALSE),"")</f>
        <v>0</v>
      </c>
      <c r="K61" s="173">
        <f>IFERROR(VLOOKUP($B61,Totalt!$B$1:$AQ$554,MATCH(K$2,Totalt!$B$1:$AQ$1,0),FALSE),"")</f>
        <v>0</v>
      </c>
      <c r="L61" s="173">
        <f>IFERROR(VLOOKUP($B61,Totalt!$B$1:$AQ$554,MATCH(L$2,Totalt!$B$1:$AQ$1,0),FALSE),"")</f>
        <v>0</v>
      </c>
      <c r="M61" s="173">
        <f>IFERROR(VLOOKUP($B61,Totalt!$B$1:$AQ$554,MATCH(M$2,Totalt!$B$1:$AQ$1,0),FALSE),"")</f>
        <v>0</v>
      </c>
      <c r="N61" s="173">
        <f>IFERROR(VLOOKUP($B61,Totalt!$B$1:$AQ$554,MATCH(N$2,Totalt!$B$1:$AQ$1,0),FALSE),"")</f>
        <v>0</v>
      </c>
      <c r="O61" s="173">
        <f>IFERROR(VLOOKUP($B61,Totalt!$B$1:$AQ$554,MATCH(O$2,Totalt!$B$1:$AQ$1,0),FALSE),"")</f>
        <v>0</v>
      </c>
      <c r="P61" s="173">
        <f>IFERROR(VLOOKUP($B61,Totalt!$B$1:$AQ$554,MATCH(P$2,Totalt!$B$1:$AQ$1,0),FALSE),"")</f>
        <v>37</v>
      </c>
      <c r="Q61" s="173">
        <f>IFERROR(VLOOKUP($B61,Totalt!$B$1:$AQ$554,MATCH(Q$2,Totalt!$B$1:$AQ$1,0),FALSE),"")</f>
        <v>0</v>
      </c>
      <c r="R61" s="173">
        <f>IFERROR(VLOOKUP($B61,Totalt!$B$1:$AQ$554,MATCH(R$2,Totalt!$B$1:$AQ$1,0),FALSE),"")</f>
        <v>0</v>
      </c>
      <c r="S61" s="173">
        <f>IFERROR(VLOOKUP($B61,Totalt!$B$1:$AQ$554,MATCH(S$2,Totalt!$B$1:$AQ$1,0),FALSE),"")</f>
        <v>0</v>
      </c>
      <c r="T61" s="173">
        <f>IFERROR(VLOOKUP($B61,Totalt!$B$1:$AQ$554,MATCH(T$2,Totalt!$B$1:$AQ$1,0),FALSE),"")</f>
        <v>0</v>
      </c>
      <c r="U61" s="173">
        <f>IFERROR(VLOOKUP($B61,Totalt!$B$1:$AQ$554,MATCH(U$2,Totalt!$B$1:$AQ$1,0),FALSE),"")</f>
        <v>0</v>
      </c>
      <c r="V61" s="173">
        <f>IFERROR(VLOOKUP($B61,Totalt!$B$1:$AQ$554,MATCH(V$2,Totalt!$B$1:$AQ$1,0),FALSE),"")</f>
        <v>0</v>
      </c>
      <c r="W61" s="173">
        <f>IFERROR(VLOOKUP($B61,Totalt!$B$1:$AQ$554,MATCH(W$2,Totalt!$B$1:$AQ$1,0),FALSE),"")</f>
        <v>6.3</v>
      </c>
      <c r="X61" s="173">
        <f>IFERROR(VLOOKUP($B61,Totalt!$B$1:$AQ$554,MATCH(X$2,Totalt!$B$1:$AQ$1,0),FALSE),"")</f>
        <v>0</v>
      </c>
      <c r="Y61" s="173">
        <f>IFERROR(VLOOKUP($B61,Totalt!$B$1:$AQ$554,MATCH(Y$2,Totalt!$B$1:$AQ$1,0),FALSE),"")</f>
        <v>0</v>
      </c>
      <c r="Z61" s="173">
        <f>IFERROR(VLOOKUP($B61,Totalt!$B$1:$AQ$554,MATCH(Z$2,Totalt!$B$1:$AQ$1,0),FALSE),"")</f>
        <v>0</v>
      </c>
      <c r="AA61" s="173">
        <f>IFERROR(VLOOKUP($B61,Totalt!$B$1:$AQ$554,MATCH(AA$2,Totalt!$B$1:$AQ$1,0),FALSE),"")</f>
        <v>9</v>
      </c>
      <c r="AB61" s="173">
        <f>IFERROR(VLOOKUP($B61,Totalt!$B$1:$AQ$554,MATCH(AB$2,Totalt!$B$1:$AQ$1,0),FALSE),"")</f>
        <v>17.7</v>
      </c>
      <c r="AC61" s="173">
        <f>IFERROR(VLOOKUP($B61,Totalt!$B$1:$AQ$554,MATCH(AC$2,Totalt!$B$1:$AQ$1,0),FALSE),"")</f>
        <v>0</v>
      </c>
      <c r="AD61" s="173">
        <f>IFERROR(VLOOKUP($B61,Totalt!$B$1:$AQ$554,MATCH(AD$2,Totalt!$B$1:$AQ$1,0),FALSE),"")</f>
        <v>0</v>
      </c>
      <c r="AE61" s="173">
        <f>IFERROR(VLOOKUP($B61,Totalt!$B$1:$AQ$554,MATCH(AE$2,Totalt!$B$1:$AQ$1,0),FALSE),"")</f>
        <v>0</v>
      </c>
      <c r="AF61" s="173">
        <f>IFERROR(VLOOKUP($B61,Totalt!$B$1:$AQ$554,MATCH(AF$2,Totalt!$B$1:$AQ$1,0),FALSE),"")</f>
        <v>4.7</v>
      </c>
      <c r="AG61" s="173">
        <f>IFERROR(VLOOKUP($B61,Totalt!$B$1:$AQ$554,MATCH(AG$2,Totalt!$B$1:$AQ$1,0),FALSE),"")</f>
        <v>0</v>
      </c>
      <c r="AI61" s="226">
        <f t="shared" si="0"/>
        <v>74.7</v>
      </c>
      <c r="AJ61" s="226">
        <f>IF(ISERROR(1/VLOOKUP($B61,Leveranser!$B$1:$S$500,MATCH("såld värme (gwh)",Leveranser!$B$1:$S$1,0),FALSE)),"",VLOOKUP($B61,Leveranser!$B$1:$S$500,MATCH("såld värme (gwh)",Leveranser!$B$1:$S$1,0),FALSE))</f>
        <v>61</v>
      </c>
      <c r="AM61" s="227" t="str">
        <f>IF(B61&lt;&gt;"",IF(VLOOKUP($B61,Totalt!$B$1:$AQ$554,MATCH("Kvalitetsgranskad:",Totalt!$B$1:$AQ$1,0),FALSE)="ja",VLOOKUP($B61,Miljö!$B$1:$AG$479,MATCH(AM$2,Miljö!$B$1:$AK$1,0),FALSE),""),"")</f>
        <v>Nej</v>
      </c>
      <c r="AN61" s="227" t="str">
        <f>IF(AM61="ja",VLOOKUP($B61,Miljö!$B$1:$J$479,MATCH("Typ av ursprungsspecificerad el   (Om inget värde anges används Nordisk residualmix, se inforuta) ()",Miljö!$B$1:$J$1,0),FALSE),IF(AM61="nej","Nordisk residualel",""))</f>
        <v>Nordisk residualel</v>
      </c>
      <c r="AO61" s="227">
        <f>IF(AM61="","",VLOOKUP($B61,Miljö!$B$1:$J$479,MATCH("Fossilandel för ursprungspecificerad el ()",Miljö!$B$1:$J$1,0),FALSE))</f>
        <v>0.43</v>
      </c>
      <c r="AP61" s="227">
        <f>IF(AM61="","",IFERROR(VLOOKUP($B61,Miljö!$B$1:$J$479,MATCH("Kärnkraftsandel för ursprungsspecificerad el ()",Miljö!$B$1:$J$1,0),FALSE)/1,0))</f>
        <v>0.40550000000000003</v>
      </c>
      <c r="AQ61" s="227">
        <f t="shared" si="1"/>
        <v>0.16450000000000004</v>
      </c>
      <c r="AR61" s="227"/>
      <c r="AS61" s="227" t="str">
        <f t="shared" si="2"/>
        <v>Nej</v>
      </c>
      <c r="AT61" s="227" t="str">
        <f>IF(AS61="ja",VLOOKUP($B61,Miljö!$B$1:$O$500,MATCH("Fossil andel i procent (%)",Miljö!$B$1:$O$1,0),FALSE)/100,"")</f>
        <v/>
      </c>
      <c r="AU61" s="227"/>
      <c r="AV61" s="227" t="str">
        <f t="shared" si="3"/>
        <v>Ja</v>
      </c>
      <c r="AW61" s="227" t="str">
        <f>IF(AV61="ja",VLOOKUP($B61,'Egen hetvattenprod'!$B$1:$AO$500,MATCH("Värmekälla till värmepumpar ()",'Egen hetvattenprod'!$B$1:$AO$1,0),FALSE),"")</f>
        <v>Sjövatten</v>
      </c>
      <c r="AX61" s="227"/>
      <c r="AY61" s="227" t="str">
        <f t="shared" si="4"/>
        <v>Nej</v>
      </c>
      <c r="AZ61" s="228" t="str">
        <f>IF($AY61="ja",(VLOOKUP($B61,'Egen hetvattenprod'!$B$1:$BX$550,MATCH(AZ$2,'Egen hetvattenprod'!$B$1:$BX$1,0),FALSE)+VLOOKUP($B61,Kraftvärmeprod!$B$1:$BX$550,MATCH(AZ$2,Kraftvärmeprod!$B$1:$BX$1,0),FALSE))/$AC61,"")</f>
        <v/>
      </c>
      <c r="BA61" s="228" t="str">
        <f>IF($AY61="ja",(VLOOKUP($B61,'Egen hetvattenprod'!$B$1:$BX$550,MATCH(BA$2,'Egen hetvattenprod'!$B$1:$BX$1,0),FALSE)+VLOOKUP($B61,Kraftvärmeprod!$B$1:$BX$550,MATCH(BA$2,Kraftvärmeprod!$B$1:$BX$1,0),FALSE))/$AC61,"")</f>
        <v/>
      </c>
      <c r="BB61" s="228" t="str">
        <f>IF($AY61="ja",(VLOOKUP($B61,'Egen hetvattenprod'!$B$1:$BX$550,MATCH(BB$2,'Egen hetvattenprod'!$B$1:$BX$1,0),FALSE)+VLOOKUP($B61,Kraftvärmeprod!$B$1:$BX$550,MATCH(BB$2,Kraftvärmeprod!$B$1:$BX$1,0),FALSE))/$AC61,"")</f>
        <v/>
      </c>
      <c r="BC61" s="228" t="str">
        <f>IF($AY61="ja",(VLOOKUP($B61,'Egen hetvattenprod'!$B$1:$BX$550,MATCH(BC$2,'Egen hetvattenprod'!$B$1:$BX$1,0),FALSE)+VLOOKUP($B61,Kraftvärmeprod!$B$1:$BX$550,MATCH(BC$2,Kraftvärmeprod!$B$1:$BX$1,0),FALSE))/$AC61,"")</f>
        <v/>
      </c>
      <c r="BD61" s="228" t="str">
        <f>IF($AY61="ja",(VLOOKUP($B61,'Egen hetvattenprod'!$B$1:$BX$550,MATCH(BD$2,'Egen hetvattenprod'!$B$1:$BX$1,0),FALSE)+VLOOKUP($B61,Kraftvärmeprod!$B$1:$BX$550,MATCH(BD$2,Kraftvärmeprod!$B$1:$BX$1,0),FALSE))/$AC61,"")</f>
        <v/>
      </c>
      <c r="BE61" s="227"/>
      <c r="BF61" s="227" t="str">
        <f t="shared" si="5"/>
        <v>Nej</v>
      </c>
      <c r="BG61" s="227" t="str">
        <f>IF($BF61="ja",VLOOKUP($B61,'Egen hetvattenprod'!$B$1:$BX$550,MATCH("Andelen klimatgaser med fossilt ursprung för avfall ()",'Egen hetvattenprod'!$B$1:$BX$1,0),FALSE),"")</f>
        <v/>
      </c>
      <c r="BH61" s="227" t="str">
        <f>IF($BF61="ja",VLOOKUP($B61,Kraftvärmeprod!$B$1:$BX$550,MATCH("Andelen klimatgaser med fossilt ursprung för avfall ()",Kraftvärmeprod!$B$1:$BX$1,0),FALSE),"")</f>
        <v/>
      </c>
      <c r="BI61" s="227" t="str">
        <f>IF($BF61="ja",VLOOKUP($B61,'Egen hetvattenprod'!$B$1:$BX$550,MATCH("Avfall (GWh)",'Egen hetvattenprod'!$B$1:$BX$1,0),FALSE),"")</f>
        <v/>
      </c>
      <c r="BJ61" s="227" t="str">
        <f>IF($BF61="ja",VLOOKUP($B61,'Slutlig allokering kvv'!$B$1:$BX$550,MATCH("Avfall (GWh)",'Slutlig allokering kvv'!$B$1:$BX$1,0),FALSE),"")</f>
        <v/>
      </c>
      <c r="BK61" s="227" t="str">
        <f>IF($BF61="ja",VLOOKUP($B61,'Köpt hetvatten'!$B$1:$BX$550,MATCH("Avfall i köpt hetvatten",'Köpt hetvatten'!$B$1:$BX$1,0),FALSE),"")</f>
        <v/>
      </c>
      <c r="BL61" s="227" t="str">
        <f>IF($BF61="ja",VLOOKUP($B61,'Egen hetvattenprod'!$B$1:$BX$550,MATCH("Värde enligt ovan. (%)",'Egen hetvattenprod'!$B$1:$BX$1,0),FALSE),"")</f>
        <v/>
      </c>
      <c r="BM61" s="227" t="str">
        <f>IF($BF61="ja",VLOOKUP($B61,Kraftvärmeprod!$B$1:$BX$550,MATCH("Värde enligt ovan. (%)",Kraftvärmeprod!$B$1:$BX$1,0),FALSE),"")</f>
        <v/>
      </c>
      <c r="BN61" s="227"/>
      <c r="BO61" s="227"/>
      <c r="BP61" s="227"/>
      <c r="BQ61" s="227" t="str">
        <f>IF($BF61="ja",VLOOKUP($B61,'Egen hetvattenprod'!$B$1:$BX$550,MATCH("Tillförd olja (fossil) vid avfallsförbränning (GWh)",'Egen hetvattenprod'!$B$1:$BX$1,0),FALSE),"")</f>
        <v/>
      </c>
      <c r="BR61" s="227" t="str">
        <f>IF($BF61="ja",VLOOKUP($B61,Kraftvärmeprod!$B$1:$BX$550,MATCH("Tillförd olja (fossil) vid avfallsförbränning (GWh)",Kraftvärmeprod!$B$1:$BX$1,0),FALSE),"")</f>
        <v/>
      </c>
      <c r="BS61" s="227"/>
      <c r="BT61" s="227"/>
      <c r="BU61" s="227"/>
    </row>
    <row r="62" spans="1:73" x14ac:dyDescent="0.25">
      <c r="A62" s="121" t="str">
        <f>'Miljövärden för publ företag'!B65</f>
        <v>E.ON Värme Sverige AB</v>
      </c>
      <c r="B62" s="121" t="str">
        <f>'Miljövärden för publ företag'!C65</f>
        <v>Österåker</v>
      </c>
      <c r="C62" s="173">
        <f>IFERROR(VLOOKUP($B62,Totalt!$B$1:$AQ$554,MATCH(C$2,Totalt!$B$1:$AQ$1,0),FALSE),"")</f>
        <v>0</v>
      </c>
      <c r="D62" s="173">
        <f>IFERROR(VLOOKUP($B62,Totalt!$B$1:$AQ$554,MATCH(D$2,Totalt!$B$1:$AQ$1,0),FALSE),"")</f>
        <v>0.7</v>
      </c>
      <c r="E62" s="173">
        <f>IFERROR(VLOOKUP($B62,Totalt!$B$1:$AQ$554,MATCH(E$2,Totalt!$B$1:$AQ$1,0),FALSE),"")</f>
        <v>0</v>
      </c>
      <c r="F62" s="173">
        <f>IFERROR(VLOOKUP($B62,Totalt!$B$1:$AQ$554,MATCH(F$2,Totalt!$B$1:$AQ$1,0),FALSE),"")</f>
        <v>0</v>
      </c>
      <c r="G62" s="173">
        <f>IFERROR(VLOOKUP($B62,Totalt!$B$1:$AQ$554,MATCH(G$2,Totalt!$B$1:$AQ$1,0),FALSE),"")</f>
        <v>0</v>
      </c>
      <c r="H62" s="173">
        <f>IFERROR(VLOOKUP($B62,Totalt!$B$1:$AQ$554,MATCH(H$2,Totalt!$B$1:$AQ$1,0),FALSE),"")</f>
        <v>0</v>
      </c>
      <c r="I62" s="173">
        <f>IFERROR(VLOOKUP($B62,Totalt!$B$1:$AQ$554,MATCH(I$2,Totalt!$B$1:$AQ$1,0),FALSE),"")</f>
        <v>0</v>
      </c>
      <c r="J62" s="173">
        <f>IFERROR(VLOOKUP($B62,Totalt!$B$1:$AQ$554,MATCH(J$2,Totalt!$B$1:$AQ$1,0),FALSE),"")</f>
        <v>0</v>
      </c>
      <c r="K62" s="173">
        <f>IFERROR(VLOOKUP($B62,Totalt!$B$1:$AQ$554,MATCH(K$2,Totalt!$B$1:$AQ$1,0),FALSE),"")</f>
        <v>0</v>
      </c>
      <c r="L62" s="173">
        <f>IFERROR(VLOOKUP($B62,Totalt!$B$1:$AQ$554,MATCH(L$2,Totalt!$B$1:$AQ$1,0),FALSE),"")</f>
        <v>0</v>
      </c>
      <c r="M62" s="173">
        <f>IFERROR(VLOOKUP($B62,Totalt!$B$1:$AQ$554,MATCH(M$2,Totalt!$B$1:$AQ$1,0),FALSE),"")</f>
        <v>0</v>
      </c>
      <c r="N62" s="173">
        <f>IFERROR(VLOOKUP($B62,Totalt!$B$1:$AQ$554,MATCH(N$2,Totalt!$B$1:$AQ$1,0),FALSE),"")</f>
        <v>0</v>
      </c>
      <c r="O62" s="173">
        <f>IFERROR(VLOOKUP($B62,Totalt!$B$1:$AQ$554,MATCH(O$2,Totalt!$B$1:$AQ$1,0),FALSE),"")</f>
        <v>0</v>
      </c>
      <c r="P62" s="173">
        <f>IFERROR(VLOOKUP($B62,Totalt!$B$1:$AQ$554,MATCH(P$2,Totalt!$B$1:$AQ$1,0),FALSE),"")</f>
        <v>63</v>
      </c>
      <c r="Q62" s="173">
        <f>IFERROR(VLOOKUP($B62,Totalt!$B$1:$AQ$554,MATCH(Q$2,Totalt!$B$1:$AQ$1,0),FALSE),"")</f>
        <v>0</v>
      </c>
      <c r="R62" s="173">
        <f>IFERROR(VLOOKUP($B62,Totalt!$B$1:$AQ$554,MATCH(R$2,Totalt!$B$1:$AQ$1,0),FALSE),"")</f>
        <v>6.8</v>
      </c>
      <c r="S62" s="173">
        <f>IFERROR(VLOOKUP($B62,Totalt!$B$1:$AQ$554,MATCH(S$2,Totalt!$B$1:$AQ$1,0),FALSE),"")</f>
        <v>0</v>
      </c>
      <c r="T62" s="173">
        <f>IFERROR(VLOOKUP($B62,Totalt!$B$1:$AQ$554,MATCH(T$2,Totalt!$B$1:$AQ$1,0),FALSE),"")</f>
        <v>0</v>
      </c>
      <c r="U62" s="173">
        <f>IFERROR(VLOOKUP($B62,Totalt!$B$1:$AQ$554,MATCH(U$2,Totalt!$B$1:$AQ$1,0),FALSE),"")</f>
        <v>0</v>
      </c>
      <c r="V62" s="173">
        <f>IFERROR(VLOOKUP($B62,Totalt!$B$1:$AQ$554,MATCH(V$2,Totalt!$B$1:$AQ$1,0),FALSE),"")</f>
        <v>0</v>
      </c>
      <c r="W62" s="173">
        <f>IFERROR(VLOOKUP($B62,Totalt!$B$1:$AQ$554,MATCH(W$2,Totalt!$B$1:$AQ$1,0),FALSE),"")</f>
        <v>4.5</v>
      </c>
      <c r="X62" s="173">
        <f>IFERROR(VLOOKUP($B62,Totalt!$B$1:$AQ$554,MATCH(X$2,Totalt!$B$1:$AQ$1,0),FALSE),"")</f>
        <v>0</v>
      </c>
      <c r="Y62" s="173">
        <f>IFERROR(VLOOKUP($B62,Totalt!$B$1:$AQ$554,MATCH(Y$2,Totalt!$B$1:$AQ$1,0),FALSE),"")</f>
        <v>0</v>
      </c>
      <c r="Z62" s="173">
        <f>IFERROR(VLOOKUP($B62,Totalt!$B$1:$AQ$554,MATCH(Z$2,Totalt!$B$1:$AQ$1,0),FALSE),"")</f>
        <v>0</v>
      </c>
      <c r="AA62" s="173">
        <f>IFERROR(VLOOKUP($B62,Totalt!$B$1:$AQ$554,MATCH(AA$2,Totalt!$B$1:$AQ$1,0),FALSE),"")</f>
        <v>0</v>
      </c>
      <c r="AB62" s="173">
        <f>IFERROR(VLOOKUP($B62,Totalt!$B$1:$AQ$554,MATCH(AB$2,Totalt!$B$1:$AQ$1,0),FALSE),"")</f>
        <v>0</v>
      </c>
      <c r="AC62" s="173">
        <f>IFERROR(VLOOKUP($B62,Totalt!$B$1:$AQ$554,MATCH(AC$2,Totalt!$B$1:$AQ$1,0),FALSE),"")</f>
        <v>12</v>
      </c>
      <c r="AD62" s="173">
        <f>IFERROR(VLOOKUP($B62,Totalt!$B$1:$AQ$554,MATCH(AD$2,Totalt!$B$1:$AQ$1,0),FALSE),"")</f>
        <v>0</v>
      </c>
      <c r="AE62" s="173">
        <f>IFERROR(VLOOKUP($B62,Totalt!$B$1:$AQ$554,MATCH(AE$2,Totalt!$B$1:$AQ$1,0),FALSE),"")</f>
        <v>0</v>
      </c>
      <c r="AF62" s="173">
        <f>IFERROR(VLOOKUP($B62,Totalt!$B$1:$AQ$554,MATCH(AF$2,Totalt!$B$1:$AQ$1,0),FALSE),"")</f>
        <v>1.6</v>
      </c>
      <c r="AG62" s="173">
        <f>IFERROR(VLOOKUP($B62,Totalt!$B$1:$AQ$554,MATCH(AG$2,Totalt!$B$1:$AQ$1,0),FALSE),"")</f>
        <v>0</v>
      </c>
      <c r="AI62" s="226">
        <f t="shared" si="0"/>
        <v>88.6</v>
      </c>
      <c r="AJ62" s="226">
        <f>IF(ISERROR(1/VLOOKUP($B62,Leveranser!$B$1:$S$500,MATCH("såld värme (gwh)",Leveranser!$B$1:$S$1,0),FALSE)),"",VLOOKUP($B62,Leveranser!$B$1:$S$500,MATCH("såld värme (gwh)",Leveranser!$B$1:$S$1,0),FALSE))</f>
        <v>68</v>
      </c>
      <c r="AM62" s="227" t="str">
        <f>IF(B62&lt;&gt;"",IF(VLOOKUP($B62,Totalt!$B$1:$AQ$554,MATCH("Kvalitetsgranskad:",Totalt!$B$1:$AQ$1,0),FALSE)="ja",VLOOKUP($B62,Miljö!$B$1:$AG$479,MATCH(AM$2,Miljö!$B$1:$AK$1,0),FALSE),""),"")</f>
        <v>Nej</v>
      </c>
      <c r="AN62" s="227" t="str">
        <f>IF(AM62="ja",VLOOKUP($B62,Miljö!$B$1:$J$479,MATCH("Typ av ursprungsspecificerad el   (Om inget värde anges används Nordisk residualmix, se inforuta) ()",Miljö!$B$1:$J$1,0),FALSE),IF(AM62="nej","Nordisk residualel",""))</f>
        <v>Nordisk residualel</v>
      </c>
      <c r="AO62" s="227">
        <f>IF(AM62="","",VLOOKUP($B62,Miljö!$B$1:$J$479,MATCH("Fossilandel för ursprungspecificerad el ()",Miljö!$B$1:$J$1,0),FALSE))</f>
        <v>0.43</v>
      </c>
      <c r="AP62" s="227">
        <f>IF(AM62="","",IFERROR(VLOOKUP($B62,Miljö!$B$1:$J$479,MATCH("Kärnkraftsandel för ursprungsspecificerad el ()",Miljö!$B$1:$J$1,0),FALSE)/1,0))</f>
        <v>0.40550000000000003</v>
      </c>
      <c r="AQ62" s="227">
        <f t="shared" si="1"/>
        <v>0.16450000000000004</v>
      </c>
      <c r="AR62" s="227"/>
      <c r="AS62" s="227" t="str">
        <f t="shared" si="2"/>
        <v>Nej</v>
      </c>
      <c r="AT62" s="227" t="str">
        <f>IF(AS62="ja",VLOOKUP($B62,Miljö!$B$1:$O$500,MATCH("Fossil andel i procent (%)",Miljö!$B$1:$O$1,0),FALSE)/100,"")</f>
        <v/>
      </c>
      <c r="AU62" s="227"/>
      <c r="AV62" s="227" t="str">
        <f t="shared" si="3"/>
        <v>Nej</v>
      </c>
      <c r="AW62" s="227" t="str">
        <f>IF(AV62="ja",VLOOKUP($B62,'Egen hetvattenprod'!$B$1:$AO$500,MATCH("Värmekälla till värmepumpar ()",'Egen hetvattenprod'!$B$1:$AO$1,0),FALSE),"")</f>
        <v/>
      </c>
      <c r="AX62" s="227"/>
      <c r="AY62" s="227" t="str">
        <f t="shared" si="4"/>
        <v>Ja</v>
      </c>
      <c r="AZ62" s="228">
        <f>IF($AY62="ja",(VLOOKUP($B62,'Egen hetvattenprod'!$B$1:$BX$550,MATCH(AZ$2,'Egen hetvattenprod'!$B$1:$BX$1,0),FALSE)+VLOOKUP($B62,Kraftvärmeprod!$B$1:$BX$550,MATCH(AZ$2,Kraftvärmeprod!$B$1:$BX$1,0),FALSE))/$AC62,"")</f>
        <v>1</v>
      </c>
      <c r="BA62" s="228">
        <f>IF($AY62="ja",(VLOOKUP($B62,'Egen hetvattenprod'!$B$1:$BX$550,MATCH(BA$2,'Egen hetvattenprod'!$B$1:$BX$1,0),FALSE)+VLOOKUP($B62,Kraftvärmeprod!$B$1:$BX$550,MATCH(BA$2,Kraftvärmeprod!$B$1:$BX$1,0),FALSE))/$AC62,"")</f>
        <v>0</v>
      </c>
      <c r="BB62" s="228">
        <f>IF($AY62="ja",(VLOOKUP($B62,'Egen hetvattenprod'!$B$1:$BX$550,MATCH(BB$2,'Egen hetvattenprod'!$B$1:$BX$1,0),FALSE)+VLOOKUP($B62,Kraftvärmeprod!$B$1:$BX$550,MATCH(BB$2,Kraftvärmeprod!$B$1:$BX$1,0),FALSE))/$AC62,"")</f>
        <v>0</v>
      </c>
      <c r="BC62" s="228">
        <f>IF($AY62="ja",(VLOOKUP($B62,'Egen hetvattenprod'!$B$1:$BX$550,MATCH(BC$2,'Egen hetvattenprod'!$B$1:$BX$1,0),FALSE)+VLOOKUP($B62,Kraftvärmeprod!$B$1:$BX$550,MATCH(BC$2,Kraftvärmeprod!$B$1:$BX$1,0),FALSE))/$AC62,"")</f>
        <v>0</v>
      </c>
      <c r="BD62" s="228">
        <f>IF($AY62="ja",(VLOOKUP($B62,'Egen hetvattenprod'!$B$1:$BX$550,MATCH(BD$2,'Egen hetvattenprod'!$B$1:$BX$1,0),FALSE)+VLOOKUP($B62,Kraftvärmeprod!$B$1:$BX$550,MATCH(BD$2,Kraftvärmeprod!$B$1:$BX$1,0),FALSE))/$AC62,"")</f>
        <v>0</v>
      </c>
      <c r="BE62" s="227"/>
      <c r="BF62" s="227" t="str">
        <f t="shared" si="5"/>
        <v>Nej</v>
      </c>
      <c r="BG62" s="227" t="str">
        <f>IF($BF62="ja",VLOOKUP($B62,'Egen hetvattenprod'!$B$1:$BX$550,MATCH("Andelen klimatgaser med fossilt ursprung för avfall ()",'Egen hetvattenprod'!$B$1:$BX$1,0),FALSE),"")</f>
        <v/>
      </c>
      <c r="BH62" s="227" t="str">
        <f>IF($BF62="ja",VLOOKUP($B62,Kraftvärmeprod!$B$1:$BX$550,MATCH("Andelen klimatgaser med fossilt ursprung för avfall ()",Kraftvärmeprod!$B$1:$BX$1,0),FALSE),"")</f>
        <v/>
      </c>
      <c r="BI62" s="227" t="str">
        <f>IF($BF62="ja",VLOOKUP($B62,'Egen hetvattenprod'!$B$1:$BX$550,MATCH("Avfall (GWh)",'Egen hetvattenprod'!$B$1:$BX$1,0),FALSE),"")</f>
        <v/>
      </c>
      <c r="BJ62" s="227" t="str">
        <f>IF($BF62="ja",VLOOKUP($B62,'Slutlig allokering kvv'!$B$1:$BX$550,MATCH("Avfall (GWh)",'Slutlig allokering kvv'!$B$1:$BX$1,0),FALSE),"")</f>
        <v/>
      </c>
      <c r="BK62" s="227" t="str">
        <f>IF($BF62="ja",VLOOKUP($B62,'Köpt hetvatten'!$B$1:$BX$550,MATCH("Avfall i köpt hetvatten",'Köpt hetvatten'!$B$1:$BX$1,0),FALSE),"")</f>
        <v/>
      </c>
      <c r="BL62" s="227" t="str">
        <f>IF($BF62="ja",VLOOKUP($B62,'Egen hetvattenprod'!$B$1:$BX$550,MATCH("Värde enligt ovan. (%)",'Egen hetvattenprod'!$B$1:$BX$1,0),FALSE),"")</f>
        <v/>
      </c>
      <c r="BM62" s="227" t="str">
        <f>IF($BF62="ja",VLOOKUP($B62,Kraftvärmeprod!$B$1:$BX$550,MATCH("Värde enligt ovan. (%)",Kraftvärmeprod!$B$1:$BX$1,0),FALSE),"")</f>
        <v/>
      </c>
      <c r="BN62" s="227"/>
      <c r="BO62" s="227"/>
      <c r="BP62" s="227"/>
      <c r="BQ62" s="227" t="str">
        <f>IF($BF62="ja",VLOOKUP($B62,'Egen hetvattenprod'!$B$1:$BX$550,MATCH("Tillförd olja (fossil) vid avfallsförbränning (GWh)",'Egen hetvattenprod'!$B$1:$BX$1,0),FALSE),"")</f>
        <v/>
      </c>
      <c r="BR62" s="227" t="str">
        <f>IF($BF62="ja",VLOOKUP($B62,Kraftvärmeprod!$B$1:$BX$550,MATCH("Tillförd olja (fossil) vid avfallsförbränning (GWh)",Kraftvärmeprod!$B$1:$BX$1,0),FALSE),"")</f>
        <v/>
      </c>
      <c r="BS62" s="227"/>
      <c r="BT62" s="227"/>
      <c r="BU62" s="227"/>
    </row>
    <row r="63" spans="1:73" x14ac:dyDescent="0.25">
      <c r="A63" s="121" t="str">
        <f>'Miljövärden för publ företag'!B66</f>
        <v>Eksjö Energi AB</v>
      </c>
      <c r="B63" s="121" t="str">
        <f>'Miljövärden för publ företag'!C66</f>
        <v>Eksjö</v>
      </c>
      <c r="C63" s="173">
        <f>IFERROR(VLOOKUP($B63,Totalt!$B$1:$AQ$554,MATCH(C$2,Totalt!$B$1:$AQ$1,0),FALSE),"")</f>
        <v>0</v>
      </c>
      <c r="D63" s="173">
        <f>IFERROR(VLOOKUP($B63,Totalt!$B$1:$AQ$554,MATCH(D$2,Totalt!$B$1:$AQ$1,0),FALSE),"")</f>
        <v>9.2999999999999999E-2</v>
      </c>
      <c r="E63" s="173">
        <f>IFERROR(VLOOKUP($B63,Totalt!$B$1:$AQ$554,MATCH(E$2,Totalt!$B$1:$AQ$1,0),FALSE),"")</f>
        <v>0</v>
      </c>
      <c r="F63" s="173">
        <f>IFERROR(VLOOKUP($B63,Totalt!$B$1:$AQ$554,MATCH(F$2,Totalt!$B$1:$AQ$1,0),FALSE),"")</f>
        <v>0</v>
      </c>
      <c r="G63" s="173">
        <f>IFERROR(VLOOKUP($B63,Totalt!$B$1:$AQ$554,MATCH(G$2,Totalt!$B$1:$AQ$1,0),FALSE),"")</f>
        <v>0</v>
      </c>
      <c r="H63" s="173">
        <f>IFERROR(VLOOKUP($B63,Totalt!$B$1:$AQ$554,MATCH(H$2,Totalt!$B$1:$AQ$1,0),FALSE),"")</f>
        <v>0</v>
      </c>
      <c r="I63" s="173">
        <f>IFERROR(VLOOKUP($B63,Totalt!$B$1:$AQ$554,MATCH(I$2,Totalt!$B$1:$AQ$1,0),FALSE),"")</f>
        <v>113.18300000000001</v>
      </c>
      <c r="J63" s="173">
        <f>IFERROR(VLOOKUP($B63,Totalt!$B$1:$AQ$554,MATCH(J$2,Totalt!$B$1:$AQ$1,0),FALSE),"")</f>
        <v>0</v>
      </c>
      <c r="K63" s="173">
        <f>IFERROR(VLOOKUP($B63,Totalt!$B$1:$AQ$554,MATCH(K$2,Totalt!$B$1:$AQ$1,0),FALSE),"")</f>
        <v>0</v>
      </c>
      <c r="L63" s="173">
        <f>IFERROR(VLOOKUP($B63,Totalt!$B$1:$AQ$554,MATCH(L$2,Totalt!$B$1:$AQ$1,0),FALSE),"")</f>
        <v>0</v>
      </c>
      <c r="M63" s="173">
        <f>IFERROR(VLOOKUP($B63,Totalt!$B$1:$AQ$554,MATCH(M$2,Totalt!$B$1:$AQ$1,0),FALSE),"")</f>
        <v>4.3</v>
      </c>
      <c r="N63" s="173">
        <f>IFERROR(VLOOKUP($B63,Totalt!$B$1:$AQ$554,MATCH(N$2,Totalt!$B$1:$AQ$1,0),FALSE),"")</f>
        <v>0</v>
      </c>
      <c r="O63" s="173">
        <f>IFERROR(VLOOKUP($B63,Totalt!$B$1:$AQ$554,MATCH(O$2,Totalt!$B$1:$AQ$1,0),FALSE),"")</f>
        <v>4.3</v>
      </c>
      <c r="P63" s="173">
        <f>IFERROR(VLOOKUP($B63,Totalt!$B$1:$AQ$554,MATCH(P$2,Totalt!$B$1:$AQ$1,0),FALSE),"")</f>
        <v>19</v>
      </c>
      <c r="Q63" s="173">
        <f>IFERROR(VLOOKUP($B63,Totalt!$B$1:$AQ$554,MATCH(Q$2,Totalt!$B$1:$AQ$1,0),FALSE),"")</f>
        <v>1.9294100000000001</v>
      </c>
      <c r="R63" s="173">
        <f>IFERROR(VLOOKUP($B63,Totalt!$B$1:$AQ$554,MATCH(R$2,Totalt!$B$1:$AQ$1,0),FALSE),"")</f>
        <v>0</v>
      </c>
      <c r="S63" s="173">
        <f>IFERROR(VLOOKUP($B63,Totalt!$B$1:$AQ$554,MATCH(S$2,Totalt!$B$1:$AQ$1,0),FALSE),"")</f>
        <v>0</v>
      </c>
      <c r="T63" s="173">
        <f>IFERROR(VLOOKUP($B63,Totalt!$B$1:$AQ$554,MATCH(T$2,Totalt!$B$1:$AQ$1,0),FALSE),"")</f>
        <v>0</v>
      </c>
      <c r="U63" s="173">
        <f>IFERROR(VLOOKUP($B63,Totalt!$B$1:$AQ$554,MATCH(U$2,Totalt!$B$1:$AQ$1,0),FALSE),"")</f>
        <v>0</v>
      </c>
      <c r="V63" s="173">
        <f>IFERROR(VLOOKUP($B63,Totalt!$B$1:$AQ$554,MATCH(V$2,Totalt!$B$1:$AQ$1,0),FALSE),"")</f>
        <v>0</v>
      </c>
      <c r="W63" s="173">
        <f>IFERROR(VLOOKUP($B63,Totalt!$B$1:$AQ$554,MATCH(W$2,Totalt!$B$1:$AQ$1,0),FALSE),"")</f>
        <v>0.49594500000000002</v>
      </c>
      <c r="X63" s="173">
        <f>IFERROR(VLOOKUP($B63,Totalt!$B$1:$AQ$554,MATCH(X$2,Totalt!$B$1:$AQ$1,0),FALSE),"")</f>
        <v>0</v>
      </c>
      <c r="Y63" s="173">
        <f>IFERROR(VLOOKUP($B63,Totalt!$B$1:$AQ$554,MATCH(Y$2,Totalt!$B$1:$AQ$1,0),FALSE),"")</f>
        <v>0</v>
      </c>
      <c r="Z63" s="173">
        <f>IFERROR(VLOOKUP($B63,Totalt!$B$1:$AQ$554,MATCH(Z$2,Totalt!$B$1:$AQ$1,0),FALSE),"")</f>
        <v>0</v>
      </c>
      <c r="AA63" s="173">
        <f>IFERROR(VLOOKUP($B63,Totalt!$B$1:$AQ$554,MATCH(AA$2,Totalt!$B$1:$AQ$1,0),FALSE),"")</f>
        <v>0</v>
      </c>
      <c r="AB63" s="173">
        <f>IFERROR(VLOOKUP($B63,Totalt!$B$1:$AQ$554,MATCH(AB$2,Totalt!$B$1:$AQ$1,0),FALSE),"")</f>
        <v>0</v>
      </c>
      <c r="AC63" s="173">
        <f>IFERROR(VLOOKUP($B63,Totalt!$B$1:$AQ$554,MATCH(AC$2,Totalt!$B$1:$AQ$1,0),FALSE),"")</f>
        <v>11.5</v>
      </c>
      <c r="AD63" s="173">
        <f>IFERROR(VLOOKUP($B63,Totalt!$B$1:$AQ$554,MATCH(AD$2,Totalt!$B$1:$AQ$1,0),FALSE),"")</f>
        <v>0</v>
      </c>
      <c r="AE63" s="173">
        <f>IFERROR(VLOOKUP($B63,Totalt!$B$1:$AQ$554,MATCH(AE$2,Totalt!$B$1:$AQ$1,0),FALSE),"")</f>
        <v>0</v>
      </c>
      <c r="AF63" s="173">
        <f>IFERROR(VLOOKUP($B63,Totalt!$B$1:$AQ$554,MATCH(AF$2,Totalt!$B$1:$AQ$1,0),FALSE),"")</f>
        <v>5.9959899999999999</v>
      </c>
      <c r="AG63" s="173">
        <f>IFERROR(VLOOKUP($B63,Totalt!$B$1:$AQ$554,MATCH(AG$2,Totalt!$B$1:$AQ$1,0),FALSE),"")</f>
        <v>0</v>
      </c>
      <c r="AI63" s="226">
        <f t="shared" si="0"/>
        <v>160.79734500000001</v>
      </c>
      <c r="AJ63" s="226">
        <f>IF(ISERROR(1/VLOOKUP($B63,Leveranser!$B$1:$S$500,MATCH("såld värme (gwh)",Leveranser!$B$1:$S$1,0),FALSE)),"",VLOOKUP($B63,Leveranser!$B$1:$S$500,MATCH("såld värme (gwh)",Leveranser!$B$1:$S$1,0),FALSE))</f>
        <v>106.69499999999999</v>
      </c>
      <c r="AM63" s="227" t="str">
        <f>IF(B63&lt;&gt;"",IF(VLOOKUP($B63,Totalt!$B$1:$AQ$554,MATCH("Kvalitetsgranskad:",Totalt!$B$1:$AQ$1,0),FALSE)="ja",VLOOKUP($B63,Miljö!$B$1:$AG$479,MATCH(AM$2,Miljö!$B$1:$AK$1,0),FALSE),""),"")</f>
        <v>Nej</v>
      </c>
      <c r="AN63" s="227" t="str">
        <f>IF(AM63="ja",VLOOKUP($B63,Miljö!$B$1:$J$479,MATCH("Typ av ursprungsspecificerad el   (Om inget värde anges används Nordisk residualmix, se inforuta) ()",Miljö!$B$1:$J$1,0),FALSE),IF(AM63="nej","Nordisk residualel",""))</f>
        <v>Nordisk residualel</v>
      </c>
      <c r="AO63" s="227">
        <f>IF(AM63="","",VLOOKUP($B63,Miljö!$B$1:$J$479,MATCH("Fossilandel för ursprungspecificerad el ()",Miljö!$B$1:$J$1,0),FALSE))</f>
        <v>0.43</v>
      </c>
      <c r="AP63" s="227">
        <f>IF(AM63="","",IFERROR(VLOOKUP($B63,Miljö!$B$1:$J$479,MATCH("Kärnkraftsandel för ursprungsspecificerad el ()",Miljö!$B$1:$J$1,0),FALSE)/1,0))</f>
        <v>0.40550000000000003</v>
      </c>
      <c r="AQ63" s="227">
        <f t="shared" si="1"/>
        <v>0.16450000000000004</v>
      </c>
      <c r="AR63" s="227"/>
      <c r="AS63" s="227" t="str">
        <f t="shared" si="2"/>
        <v>Nej</v>
      </c>
      <c r="AT63" s="227" t="str">
        <f>IF(AS63="ja",VLOOKUP($B63,Miljö!$B$1:$O$500,MATCH("Fossil andel i procent (%)",Miljö!$B$1:$O$1,0),FALSE)/100,"")</f>
        <v/>
      </c>
      <c r="AU63" s="227"/>
      <c r="AV63" s="227" t="str">
        <f t="shared" si="3"/>
        <v>Nej</v>
      </c>
      <c r="AW63" s="227" t="str">
        <f>IF(AV63="ja",VLOOKUP($B63,'Egen hetvattenprod'!$B$1:$AO$500,MATCH("Värmekälla till värmepumpar ()",'Egen hetvattenprod'!$B$1:$AO$1,0),FALSE),"")</f>
        <v/>
      </c>
      <c r="AX63" s="227"/>
      <c r="AY63" s="227" t="str">
        <f t="shared" si="4"/>
        <v>Ja</v>
      </c>
      <c r="AZ63" s="228">
        <f>IF($AY63="ja",(VLOOKUP($B63,'Egen hetvattenprod'!$B$1:$BX$550,MATCH(AZ$2,'Egen hetvattenprod'!$B$1:$BX$1,0),FALSE)+VLOOKUP($B63,Kraftvärmeprod!$B$1:$BX$550,MATCH(AZ$2,Kraftvärmeprod!$B$1:$BX$1,0),FALSE))/$AC63,"")</f>
        <v>0</v>
      </c>
      <c r="BA63" s="228">
        <f>IF($AY63="ja",(VLOOKUP($B63,'Egen hetvattenprod'!$B$1:$BX$550,MATCH(BA$2,'Egen hetvattenprod'!$B$1:$BX$1,0),FALSE)+VLOOKUP($B63,Kraftvärmeprod!$B$1:$BX$550,MATCH(BA$2,Kraftvärmeprod!$B$1:$BX$1,0),FALSE))/$AC63,"")</f>
        <v>0</v>
      </c>
      <c r="BB63" s="228">
        <f>IF($AY63="ja",(VLOOKUP($B63,'Egen hetvattenprod'!$B$1:$BX$550,MATCH(BB$2,'Egen hetvattenprod'!$B$1:$BX$1,0),FALSE)+VLOOKUP($B63,Kraftvärmeprod!$B$1:$BX$550,MATCH(BB$2,Kraftvärmeprod!$B$1:$BX$1,0),FALSE))/$AC63,"")</f>
        <v>0</v>
      </c>
      <c r="BC63" s="228">
        <f>IF($AY63="ja",(VLOOKUP($B63,'Egen hetvattenprod'!$B$1:$BX$550,MATCH(BC$2,'Egen hetvattenprod'!$B$1:$BX$1,0),FALSE)+VLOOKUP($B63,Kraftvärmeprod!$B$1:$BX$550,MATCH(BC$2,Kraftvärmeprod!$B$1:$BX$1,0),FALSE))/$AC63,"")</f>
        <v>0</v>
      </c>
      <c r="BD63" s="228">
        <f>IF($AY63="ja",(VLOOKUP($B63,'Egen hetvattenprod'!$B$1:$BX$550,MATCH(BD$2,'Egen hetvattenprod'!$B$1:$BX$1,0),FALSE)+VLOOKUP($B63,Kraftvärmeprod!$B$1:$BX$550,MATCH(BD$2,Kraftvärmeprod!$B$1:$BX$1,0),FALSE))/$AC63,"")</f>
        <v>1</v>
      </c>
      <c r="BE63" s="227"/>
      <c r="BF63" s="227" t="str">
        <f t="shared" si="5"/>
        <v>Ja</v>
      </c>
      <c r="BG63" s="227" t="str">
        <f>IF($BF63="ja",VLOOKUP($B63,'Egen hetvattenprod'!$B$1:$BX$550,MATCH("Andelen klimatgaser med fossilt ursprung för avfall ()",'Egen hetvattenprod'!$B$1:$BX$1,0),FALSE),"")</f>
        <v>Ingen redovisning</v>
      </c>
      <c r="BH63" s="227" t="str">
        <f>IF($BF63="ja",VLOOKUP($B63,Kraftvärmeprod!$B$1:$BX$550,MATCH("Andelen klimatgaser med fossilt ursprung för avfall ()",Kraftvärmeprod!$B$1:$BX$1,0),FALSE),"")</f>
        <v>Schablon</v>
      </c>
      <c r="BI63" s="227" t="str">
        <f>IF($BF63="ja",VLOOKUP($B63,'Egen hetvattenprod'!$B$1:$BX$550,MATCH("Avfall (GWh)",'Egen hetvattenprod'!$B$1:$BX$1,0),FALSE),"")</f>
        <v>ET</v>
      </c>
      <c r="BJ63" s="227">
        <f>IF($BF63="ja",VLOOKUP($B63,'Slutlig allokering kvv'!$B$1:$BX$550,MATCH("Avfall (GWh)",'Slutlig allokering kvv'!$B$1:$BX$1,0),FALSE),"")</f>
        <v>113.18300000000001</v>
      </c>
      <c r="BK63" s="227">
        <f>IF($BF63="ja",VLOOKUP($B63,'Köpt hetvatten'!$B$1:$BX$550,MATCH("Avfall i köpt hetvatten",'Köpt hetvatten'!$B$1:$BX$1,0),FALSE),"")</f>
        <v>0</v>
      </c>
      <c r="BL63" s="227" t="str">
        <f>IF($BF63="ja",VLOOKUP($B63,'Egen hetvattenprod'!$B$1:$BX$550,MATCH("Värde enligt ovan. (%)",'Egen hetvattenprod'!$B$1:$BX$1,0),FALSE),"")</f>
        <v>ET</v>
      </c>
      <c r="BM63" s="227">
        <f>IF($BF63="ja",VLOOKUP($B63,Kraftvärmeprod!$B$1:$BX$550,MATCH("Värde enligt ovan. (%)",Kraftvärmeprod!$B$1:$BX$1,0),FALSE),"")</f>
        <v>40.5</v>
      </c>
      <c r="BN63" s="227"/>
      <c r="BO63" s="227"/>
      <c r="BP63" s="227"/>
      <c r="BQ63" s="227" t="str">
        <f>IF($BF63="ja",VLOOKUP($B63,'Egen hetvattenprod'!$B$1:$BX$550,MATCH("Tillförd olja (fossil) vid avfallsförbränning (GWh)",'Egen hetvattenprod'!$B$1:$BX$1,0),FALSE),"")</f>
        <v>ET</v>
      </c>
      <c r="BR63" s="227" t="str">
        <f>IF($BF63="ja",VLOOKUP($B63,Kraftvärmeprod!$B$1:$BX$550,MATCH("Tillförd olja (fossil) vid avfallsförbränning (GWh)",Kraftvärmeprod!$B$1:$BX$1,0),FALSE),"")</f>
        <v>ET</v>
      </c>
      <c r="BS63" s="227"/>
      <c r="BT63" s="227"/>
      <c r="BU63" s="227"/>
    </row>
    <row r="64" spans="1:73" x14ac:dyDescent="0.25">
      <c r="A64" s="121" t="str">
        <f>'Miljövärden för publ företag'!B67</f>
        <v>Eksjö Energi AB</v>
      </c>
      <c r="B64" s="121" t="str">
        <f>'Miljövärden för publ företag'!C67</f>
        <v>Ingatorp</v>
      </c>
      <c r="C64" s="173">
        <f>IFERROR(VLOOKUP($B64,Totalt!$B$1:$AQ$554,MATCH(C$2,Totalt!$B$1:$AQ$1,0),FALSE),"")</f>
        <v>0</v>
      </c>
      <c r="D64" s="173">
        <f>IFERROR(VLOOKUP($B64,Totalt!$B$1:$AQ$554,MATCH(D$2,Totalt!$B$1:$AQ$1,0),FALSE),"")</f>
        <v>0</v>
      </c>
      <c r="E64" s="173">
        <f>IFERROR(VLOOKUP($B64,Totalt!$B$1:$AQ$554,MATCH(E$2,Totalt!$B$1:$AQ$1,0),FALSE),"")</f>
        <v>0</v>
      </c>
      <c r="F64" s="173">
        <f>IFERROR(VLOOKUP($B64,Totalt!$B$1:$AQ$554,MATCH(F$2,Totalt!$B$1:$AQ$1,0),FALSE),"")</f>
        <v>0</v>
      </c>
      <c r="G64" s="173">
        <f>IFERROR(VLOOKUP($B64,Totalt!$B$1:$AQ$554,MATCH(G$2,Totalt!$B$1:$AQ$1,0),FALSE),"")</f>
        <v>0</v>
      </c>
      <c r="H64" s="173">
        <f>IFERROR(VLOOKUP($B64,Totalt!$B$1:$AQ$554,MATCH(H$2,Totalt!$B$1:$AQ$1,0),FALSE),"")</f>
        <v>0</v>
      </c>
      <c r="I64" s="173">
        <f>IFERROR(VLOOKUP($B64,Totalt!$B$1:$AQ$554,MATCH(I$2,Totalt!$B$1:$AQ$1,0),FALSE),"")</f>
        <v>0</v>
      </c>
      <c r="J64" s="173">
        <f>IFERROR(VLOOKUP($B64,Totalt!$B$1:$AQ$554,MATCH(J$2,Totalt!$B$1:$AQ$1,0),FALSE),"")</f>
        <v>0</v>
      </c>
      <c r="K64" s="173">
        <f>IFERROR(VLOOKUP($B64,Totalt!$B$1:$AQ$554,MATCH(K$2,Totalt!$B$1:$AQ$1,0),FALSE),"")</f>
        <v>0</v>
      </c>
      <c r="L64" s="173">
        <f>IFERROR(VLOOKUP($B64,Totalt!$B$1:$AQ$554,MATCH(L$2,Totalt!$B$1:$AQ$1,0),FALSE),"")</f>
        <v>0</v>
      </c>
      <c r="M64" s="173">
        <f>IFERROR(VLOOKUP($B64,Totalt!$B$1:$AQ$554,MATCH(M$2,Totalt!$B$1:$AQ$1,0),FALSE),"")</f>
        <v>1.49</v>
      </c>
      <c r="N64" s="173">
        <f>IFERROR(VLOOKUP($B64,Totalt!$B$1:$AQ$554,MATCH(N$2,Totalt!$B$1:$AQ$1,0),FALSE),"")</f>
        <v>0</v>
      </c>
      <c r="O64" s="173">
        <f>IFERROR(VLOOKUP($B64,Totalt!$B$1:$AQ$554,MATCH(O$2,Totalt!$B$1:$AQ$1,0),FALSE),"")</f>
        <v>1.49</v>
      </c>
      <c r="P64" s="173">
        <f>IFERROR(VLOOKUP($B64,Totalt!$B$1:$AQ$554,MATCH(P$2,Totalt!$B$1:$AQ$1,0),FALSE),"")</f>
        <v>1.49</v>
      </c>
      <c r="Q64" s="173">
        <f>IFERROR(VLOOKUP($B64,Totalt!$B$1:$AQ$554,MATCH(Q$2,Totalt!$B$1:$AQ$1,0),FALSE),"")</f>
        <v>0</v>
      </c>
      <c r="R64" s="173">
        <f>IFERROR(VLOOKUP($B64,Totalt!$B$1:$AQ$554,MATCH(R$2,Totalt!$B$1:$AQ$1,0),FALSE),"")</f>
        <v>0</v>
      </c>
      <c r="S64" s="173">
        <f>IFERROR(VLOOKUP($B64,Totalt!$B$1:$AQ$554,MATCH(S$2,Totalt!$B$1:$AQ$1,0),FALSE),"")</f>
        <v>0</v>
      </c>
      <c r="T64" s="173">
        <f>IFERROR(VLOOKUP($B64,Totalt!$B$1:$AQ$554,MATCH(T$2,Totalt!$B$1:$AQ$1,0),FALSE),"")</f>
        <v>0</v>
      </c>
      <c r="U64" s="173">
        <f>IFERROR(VLOOKUP($B64,Totalt!$B$1:$AQ$554,MATCH(U$2,Totalt!$B$1:$AQ$1,0),FALSE),"")</f>
        <v>0</v>
      </c>
      <c r="V64" s="173">
        <f>IFERROR(VLOOKUP($B64,Totalt!$B$1:$AQ$554,MATCH(V$2,Totalt!$B$1:$AQ$1,0),FALSE),"")</f>
        <v>0</v>
      </c>
      <c r="W64" s="173">
        <f>IFERROR(VLOOKUP($B64,Totalt!$B$1:$AQ$554,MATCH(W$2,Totalt!$B$1:$AQ$1,0),FALSE),"")</f>
        <v>0.13</v>
      </c>
      <c r="X64" s="173">
        <f>IFERROR(VLOOKUP($B64,Totalt!$B$1:$AQ$554,MATCH(X$2,Totalt!$B$1:$AQ$1,0),FALSE),"")</f>
        <v>0</v>
      </c>
      <c r="Y64" s="173">
        <f>IFERROR(VLOOKUP($B64,Totalt!$B$1:$AQ$554,MATCH(Y$2,Totalt!$B$1:$AQ$1,0),FALSE),"")</f>
        <v>0</v>
      </c>
      <c r="Z64" s="173">
        <f>IFERROR(VLOOKUP($B64,Totalt!$B$1:$AQ$554,MATCH(Z$2,Totalt!$B$1:$AQ$1,0),FALSE),"")</f>
        <v>0</v>
      </c>
      <c r="AA64" s="173">
        <f>IFERROR(VLOOKUP($B64,Totalt!$B$1:$AQ$554,MATCH(AA$2,Totalt!$B$1:$AQ$1,0),FALSE),"")</f>
        <v>0</v>
      </c>
      <c r="AB64" s="173">
        <f>IFERROR(VLOOKUP($B64,Totalt!$B$1:$AQ$554,MATCH(AB$2,Totalt!$B$1:$AQ$1,0),FALSE),"")</f>
        <v>0</v>
      </c>
      <c r="AC64" s="173">
        <f>IFERROR(VLOOKUP($B64,Totalt!$B$1:$AQ$554,MATCH(AC$2,Totalt!$B$1:$AQ$1,0),FALSE),"")</f>
        <v>0</v>
      </c>
      <c r="AD64" s="173">
        <f>IFERROR(VLOOKUP($B64,Totalt!$B$1:$AQ$554,MATCH(AD$2,Totalt!$B$1:$AQ$1,0),FALSE),"")</f>
        <v>0</v>
      </c>
      <c r="AE64" s="173">
        <f>IFERROR(VLOOKUP($B64,Totalt!$B$1:$AQ$554,MATCH(AE$2,Totalt!$B$1:$AQ$1,0),FALSE),"")</f>
        <v>0</v>
      </c>
      <c r="AF64" s="173">
        <f>IFERROR(VLOOKUP($B64,Totalt!$B$1:$AQ$554,MATCH(AF$2,Totalt!$B$1:$AQ$1,0),FALSE),"")</f>
        <v>0.13</v>
      </c>
      <c r="AG64" s="173">
        <f>IFERROR(VLOOKUP($B64,Totalt!$B$1:$AQ$554,MATCH(AG$2,Totalt!$B$1:$AQ$1,0),FALSE),"")</f>
        <v>0</v>
      </c>
      <c r="AI64" s="226">
        <f t="shared" si="0"/>
        <v>4.7299999999999995</v>
      </c>
      <c r="AJ64" s="226">
        <f>IF(ISERROR(1/VLOOKUP($B64,Leveranser!$B$1:$S$500,MATCH("såld värme (gwh)",Leveranser!$B$1:$S$1,0),FALSE)),"",VLOOKUP($B64,Leveranser!$B$1:$S$500,MATCH("såld värme (gwh)",Leveranser!$B$1:$S$1,0),FALSE))</f>
        <v>2.9169999999999998</v>
      </c>
      <c r="AM64" s="227" t="str">
        <f>IF(B64&lt;&gt;"",IF(VLOOKUP($B64,Totalt!$B$1:$AQ$554,MATCH("Kvalitetsgranskad:",Totalt!$B$1:$AQ$1,0),FALSE)="ja",VLOOKUP($B64,Miljö!$B$1:$AG$479,MATCH(AM$2,Miljö!$B$1:$AK$1,0),FALSE),""),"")</f>
        <v>Nej</v>
      </c>
      <c r="AN64" s="227" t="str">
        <f>IF(AM64="ja",VLOOKUP($B64,Miljö!$B$1:$J$479,MATCH("Typ av ursprungsspecificerad el   (Om inget värde anges används Nordisk residualmix, se inforuta) ()",Miljö!$B$1:$J$1,0),FALSE),IF(AM64="nej","Nordisk residualel",""))</f>
        <v>Nordisk residualel</v>
      </c>
      <c r="AO64" s="227">
        <f>IF(AM64="","",VLOOKUP($B64,Miljö!$B$1:$J$479,MATCH("Fossilandel för ursprungspecificerad el ()",Miljö!$B$1:$J$1,0),FALSE))</f>
        <v>0.43</v>
      </c>
      <c r="AP64" s="227">
        <f>IF(AM64="","",IFERROR(VLOOKUP($B64,Miljö!$B$1:$J$479,MATCH("Kärnkraftsandel för ursprungsspecificerad el ()",Miljö!$B$1:$J$1,0),FALSE)/1,0))</f>
        <v>0.40550000000000003</v>
      </c>
      <c r="AQ64" s="227">
        <f t="shared" si="1"/>
        <v>0.16450000000000004</v>
      </c>
      <c r="AR64" s="227"/>
      <c r="AS64" s="227" t="str">
        <f t="shared" si="2"/>
        <v>Nej</v>
      </c>
      <c r="AT64" s="227" t="str">
        <f>IF(AS64="ja",VLOOKUP($B64,Miljö!$B$1:$O$500,MATCH("Fossil andel i procent (%)",Miljö!$B$1:$O$1,0),FALSE)/100,"")</f>
        <v/>
      </c>
      <c r="AU64" s="227"/>
      <c r="AV64" s="227" t="str">
        <f t="shared" si="3"/>
        <v>Nej</v>
      </c>
      <c r="AW64" s="227" t="str">
        <f>IF(AV64="ja",VLOOKUP($B64,'Egen hetvattenprod'!$B$1:$AO$500,MATCH("Värmekälla till värmepumpar ()",'Egen hetvattenprod'!$B$1:$AO$1,0),FALSE),"")</f>
        <v/>
      </c>
      <c r="AX64" s="227"/>
      <c r="AY64" s="227" t="str">
        <f t="shared" si="4"/>
        <v>Nej</v>
      </c>
      <c r="AZ64" s="228" t="str">
        <f>IF($AY64="ja",(VLOOKUP($B64,'Egen hetvattenprod'!$B$1:$BX$550,MATCH(AZ$2,'Egen hetvattenprod'!$B$1:$BX$1,0),FALSE)+VLOOKUP($B64,Kraftvärmeprod!$B$1:$BX$550,MATCH(AZ$2,Kraftvärmeprod!$B$1:$BX$1,0),FALSE))/$AC64,"")</f>
        <v/>
      </c>
      <c r="BA64" s="228" t="str">
        <f>IF($AY64="ja",(VLOOKUP($B64,'Egen hetvattenprod'!$B$1:$BX$550,MATCH(BA$2,'Egen hetvattenprod'!$B$1:$BX$1,0),FALSE)+VLOOKUP($B64,Kraftvärmeprod!$B$1:$BX$550,MATCH(BA$2,Kraftvärmeprod!$B$1:$BX$1,0),FALSE))/$AC64,"")</f>
        <v/>
      </c>
      <c r="BB64" s="228" t="str">
        <f>IF($AY64="ja",(VLOOKUP($B64,'Egen hetvattenprod'!$B$1:$BX$550,MATCH(BB$2,'Egen hetvattenprod'!$B$1:$BX$1,0),FALSE)+VLOOKUP($B64,Kraftvärmeprod!$B$1:$BX$550,MATCH(BB$2,Kraftvärmeprod!$B$1:$BX$1,0),FALSE))/$AC64,"")</f>
        <v/>
      </c>
      <c r="BC64" s="228" t="str">
        <f>IF($AY64="ja",(VLOOKUP($B64,'Egen hetvattenprod'!$B$1:$BX$550,MATCH(BC$2,'Egen hetvattenprod'!$B$1:$BX$1,0),FALSE)+VLOOKUP($B64,Kraftvärmeprod!$B$1:$BX$550,MATCH(BC$2,Kraftvärmeprod!$B$1:$BX$1,0),FALSE))/$AC64,"")</f>
        <v/>
      </c>
      <c r="BD64" s="228" t="str">
        <f>IF($AY64="ja",(VLOOKUP($B64,'Egen hetvattenprod'!$B$1:$BX$550,MATCH(BD$2,'Egen hetvattenprod'!$B$1:$BX$1,0),FALSE)+VLOOKUP($B64,Kraftvärmeprod!$B$1:$BX$550,MATCH(BD$2,Kraftvärmeprod!$B$1:$BX$1,0),FALSE))/$AC64,"")</f>
        <v/>
      </c>
      <c r="BE64" s="227"/>
      <c r="BF64" s="227" t="str">
        <f t="shared" si="5"/>
        <v>Nej</v>
      </c>
      <c r="BG64" s="227" t="str">
        <f>IF($BF64="ja",VLOOKUP($B64,'Egen hetvattenprod'!$B$1:$BX$550,MATCH("Andelen klimatgaser med fossilt ursprung för avfall ()",'Egen hetvattenprod'!$B$1:$BX$1,0),FALSE),"")</f>
        <v/>
      </c>
      <c r="BH64" s="227" t="str">
        <f>IF($BF64="ja",VLOOKUP($B64,Kraftvärmeprod!$B$1:$BX$550,MATCH("Andelen klimatgaser med fossilt ursprung för avfall ()",Kraftvärmeprod!$B$1:$BX$1,0),FALSE),"")</f>
        <v/>
      </c>
      <c r="BI64" s="227" t="str">
        <f>IF($BF64="ja",VLOOKUP($B64,'Egen hetvattenprod'!$B$1:$BX$550,MATCH("Avfall (GWh)",'Egen hetvattenprod'!$B$1:$BX$1,0),FALSE),"")</f>
        <v/>
      </c>
      <c r="BJ64" s="227" t="str">
        <f>IF($BF64="ja",VLOOKUP($B64,'Slutlig allokering kvv'!$B$1:$BX$550,MATCH("Avfall (GWh)",'Slutlig allokering kvv'!$B$1:$BX$1,0),FALSE),"")</f>
        <v/>
      </c>
      <c r="BK64" s="227" t="str">
        <f>IF($BF64="ja",VLOOKUP($B64,'Köpt hetvatten'!$B$1:$BX$550,MATCH("Avfall i köpt hetvatten",'Köpt hetvatten'!$B$1:$BX$1,0),FALSE),"")</f>
        <v/>
      </c>
      <c r="BL64" s="227" t="str">
        <f>IF($BF64="ja",VLOOKUP($B64,'Egen hetvattenprod'!$B$1:$BX$550,MATCH("Värde enligt ovan. (%)",'Egen hetvattenprod'!$B$1:$BX$1,0),FALSE),"")</f>
        <v/>
      </c>
      <c r="BM64" s="227" t="str">
        <f>IF($BF64="ja",VLOOKUP($B64,Kraftvärmeprod!$B$1:$BX$550,MATCH("Värde enligt ovan. (%)",Kraftvärmeprod!$B$1:$BX$1,0),FALSE),"")</f>
        <v/>
      </c>
      <c r="BN64" s="227"/>
      <c r="BO64" s="227"/>
      <c r="BP64" s="227"/>
      <c r="BQ64" s="227" t="str">
        <f>IF($BF64="ja",VLOOKUP($B64,'Egen hetvattenprod'!$B$1:$BX$550,MATCH("Tillförd olja (fossil) vid avfallsförbränning (GWh)",'Egen hetvattenprod'!$B$1:$BX$1,0),FALSE),"")</f>
        <v/>
      </c>
      <c r="BR64" s="227" t="str">
        <f>IF($BF64="ja",VLOOKUP($B64,Kraftvärmeprod!$B$1:$BX$550,MATCH("Tillförd olja (fossil) vid avfallsförbränning (GWh)",Kraftvärmeprod!$B$1:$BX$1,0),FALSE),"")</f>
        <v/>
      </c>
      <c r="BS64" s="227"/>
      <c r="BT64" s="227"/>
      <c r="BU64" s="227"/>
    </row>
    <row r="65" spans="1:73" x14ac:dyDescent="0.25">
      <c r="A65" s="121" t="str">
        <f>'Miljövärden för publ företag'!B68</f>
        <v>Eksjö Energi AB</v>
      </c>
      <c r="B65" s="121" t="str">
        <f>'Miljövärden för publ företag'!C68</f>
        <v>Mariannelund</v>
      </c>
      <c r="C65" s="173">
        <f>IFERROR(VLOOKUP($B65,Totalt!$B$1:$AQ$554,MATCH(C$2,Totalt!$B$1:$AQ$1,0),FALSE),"")</f>
        <v>0</v>
      </c>
      <c r="D65" s="173">
        <f>IFERROR(VLOOKUP($B65,Totalt!$B$1:$AQ$554,MATCH(D$2,Totalt!$B$1:$AQ$1,0),FALSE),"")</f>
        <v>0</v>
      </c>
      <c r="E65" s="173">
        <f>IFERROR(VLOOKUP($B65,Totalt!$B$1:$AQ$554,MATCH(E$2,Totalt!$B$1:$AQ$1,0),FALSE),"")</f>
        <v>0</v>
      </c>
      <c r="F65" s="173">
        <f>IFERROR(VLOOKUP($B65,Totalt!$B$1:$AQ$554,MATCH(F$2,Totalt!$B$1:$AQ$1,0),FALSE),"")</f>
        <v>0</v>
      </c>
      <c r="G65" s="173">
        <f>IFERROR(VLOOKUP($B65,Totalt!$B$1:$AQ$554,MATCH(G$2,Totalt!$B$1:$AQ$1,0),FALSE),"")</f>
        <v>0</v>
      </c>
      <c r="H65" s="173">
        <f>IFERROR(VLOOKUP($B65,Totalt!$B$1:$AQ$554,MATCH(H$2,Totalt!$B$1:$AQ$1,0),FALSE),"")</f>
        <v>0</v>
      </c>
      <c r="I65" s="173">
        <f>IFERROR(VLOOKUP($B65,Totalt!$B$1:$AQ$554,MATCH(I$2,Totalt!$B$1:$AQ$1,0),FALSE),"")</f>
        <v>0</v>
      </c>
      <c r="J65" s="173">
        <f>IFERROR(VLOOKUP($B65,Totalt!$B$1:$AQ$554,MATCH(J$2,Totalt!$B$1:$AQ$1,0),FALSE),"")</f>
        <v>0</v>
      </c>
      <c r="K65" s="173">
        <f>IFERROR(VLOOKUP($B65,Totalt!$B$1:$AQ$554,MATCH(K$2,Totalt!$B$1:$AQ$1,0),FALSE),"")</f>
        <v>0</v>
      </c>
      <c r="L65" s="173">
        <f>IFERROR(VLOOKUP($B65,Totalt!$B$1:$AQ$554,MATCH(L$2,Totalt!$B$1:$AQ$1,0),FALSE),"")</f>
        <v>0</v>
      </c>
      <c r="M65" s="173">
        <f>IFERROR(VLOOKUP($B65,Totalt!$B$1:$AQ$554,MATCH(M$2,Totalt!$B$1:$AQ$1,0),FALSE),"")</f>
        <v>7.04</v>
      </c>
      <c r="N65" s="173">
        <f>IFERROR(VLOOKUP($B65,Totalt!$B$1:$AQ$554,MATCH(N$2,Totalt!$B$1:$AQ$1,0),FALSE),"")</f>
        <v>0</v>
      </c>
      <c r="O65" s="173">
        <f>IFERROR(VLOOKUP($B65,Totalt!$B$1:$AQ$554,MATCH(O$2,Totalt!$B$1:$AQ$1,0),FALSE),"")</f>
        <v>7.04</v>
      </c>
      <c r="P65" s="173">
        <f>IFERROR(VLOOKUP($B65,Totalt!$B$1:$AQ$554,MATCH(P$2,Totalt!$B$1:$AQ$1,0),FALSE),"")</f>
        <v>7.04</v>
      </c>
      <c r="Q65" s="173">
        <f>IFERROR(VLOOKUP($B65,Totalt!$B$1:$AQ$554,MATCH(Q$2,Totalt!$B$1:$AQ$1,0),FALSE),"")</f>
        <v>0</v>
      </c>
      <c r="R65" s="173">
        <f>IFERROR(VLOOKUP($B65,Totalt!$B$1:$AQ$554,MATCH(R$2,Totalt!$B$1:$AQ$1,0),FALSE),"")</f>
        <v>0</v>
      </c>
      <c r="S65" s="173">
        <f>IFERROR(VLOOKUP($B65,Totalt!$B$1:$AQ$554,MATCH(S$2,Totalt!$B$1:$AQ$1,0),FALSE),"")</f>
        <v>0</v>
      </c>
      <c r="T65" s="173">
        <f>IFERROR(VLOOKUP($B65,Totalt!$B$1:$AQ$554,MATCH(T$2,Totalt!$B$1:$AQ$1,0),FALSE),"")</f>
        <v>0</v>
      </c>
      <c r="U65" s="173">
        <f>IFERROR(VLOOKUP($B65,Totalt!$B$1:$AQ$554,MATCH(U$2,Totalt!$B$1:$AQ$1,0),FALSE),"")</f>
        <v>0</v>
      </c>
      <c r="V65" s="173">
        <f>IFERROR(VLOOKUP($B65,Totalt!$B$1:$AQ$554,MATCH(V$2,Totalt!$B$1:$AQ$1,0),FALSE),"")</f>
        <v>0</v>
      </c>
      <c r="W65" s="173">
        <f>IFERROR(VLOOKUP($B65,Totalt!$B$1:$AQ$554,MATCH(W$2,Totalt!$B$1:$AQ$1,0),FALSE),"")</f>
        <v>0.15</v>
      </c>
      <c r="X65" s="173">
        <f>IFERROR(VLOOKUP($B65,Totalt!$B$1:$AQ$554,MATCH(X$2,Totalt!$B$1:$AQ$1,0),FALSE),"")</f>
        <v>0</v>
      </c>
      <c r="Y65" s="173">
        <f>IFERROR(VLOOKUP($B65,Totalt!$B$1:$AQ$554,MATCH(Y$2,Totalt!$B$1:$AQ$1,0),FALSE),"")</f>
        <v>0</v>
      </c>
      <c r="Z65" s="173">
        <f>IFERROR(VLOOKUP($B65,Totalt!$B$1:$AQ$554,MATCH(Z$2,Totalt!$B$1:$AQ$1,0),FALSE),"")</f>
        <v>0</v>
      </c>
      <c r="AA65" s="173">
        <f>IFERROR(VLOOKUP($B65,Totalt!$B$1:$AQ$554,MATCH(AA$2,Totalt!$B$1:$AQ$1,0),FALSE),"")</f>
        <v>0</v>
      </c>
      <c r="AB65" s="173">
        <f>IFERROR(VLOOKUP($B65,Totalt!$B$1:$AQ$554,MATCH(AB$2,Totalt!$B$1:$AQ$1,0),FALSE),"")</f>
        <v>0</v>
      </c>
      <c r="AC65" s="173">
        <f>IFERROR(VLOOKUP($B65,Totalt!$B$1:$AQ$554,MATCH(AC$2,Totalt!$B$1:$AQ$1,0),FALSE),"")</f>
        <v>0</v>
      </c>
      <c r="AD65" s="173">
        <f>IFERROR(VLOOKUP($B65,Totalt!$B$1:$AQ$554,MATCH(AD$2,Totalt!$B$1:$AQ$1,0),FALSE),"")</f>
        <v>0</v>
      </c>
      <c r="AE65" s="173">
        <f>IFERROR(VLOOKUP($B65,Totalt!$B$1:$AQ$554,MATCH(AE$2,Totalt!$B$1:$AQ$1,0),FALSE),"")</f>
        <v>0</v>
      </c>
      <c r="AF65" s="173">
        <f>IFERROR(VLOOKUP($B65,Totalt!$B$1:$AQ$554,MATCH(AF$2,Totalt!$B$1:$AQ$1,0),FALSE),"")</f>
        <v>0.35</v>
      </c>
      <c r="AG65" s="173">
        <f>IFERROR(VLOOKUP($B65,Totalt!$B$1:$AQ$554,MATCH(AG$2,Totalt!$B$1:$AQ$1,0),FALSE),"")</f>
        <v>0</v>
      </c>
      <c r="AI65" s="226">
        <f t="shared" si="0"/>
        <v>21.62</v>
      </c>
      <c r="AJ65" s="226">
        <f>IF(ISERROR(1/VLOOKUP($B65,Leveranser!$B$1:$S$500,MATCH("såld värme (gwh)",Leveranser!$B$1:$S$1,0),FALSE)),"",VLOOKUP($B65,Leveranser!$B$1:$S$500,MATCH("såld värme (gwh)",Leveranser!$B$1:$S$1,0),FALSE))</f>
        <v>14.026</v>
      </c>
      <c r="AM65" s="227" t="str">
        <f>IF(B65&lt;&gt;"",IF(VLOOKUP($B65,Totalt!$B$1:$AQ$554,MATCH("Kvalitetsgranskad:",Totalt!$B$1:$AQ$1,0),FALSE)="ja",VLOOKUP($B65,Miljö!$B$1:$AG$479,MATCH(AM$2,Miljö!$B$1:$AK$1,0),FALSE),""),"")</f>
        <v>Nej</v>
      </c>
      <c r="AN65" s="227" t="str">
        <f>IF(AM65="ja",VLOOKUP($B65,Miljö!$B$1:$J$479,MATCH("Typ av ursprungsspecificerad el   (Om inget värde anges används Nordisk residualmix, se inforuta) ()",Miljö!$B$1:$J$1,0),FALSE),IF(AM65="nej","Nordisk residualel",""))</f>
        <v>Nordisk residualel</v>
      </c>
      <c r="AO65" s="227">
        <f>IF(AM65="","",VLOOKUP($B65,Miljö!$B$1:$J$479,MATCH("Fossilandel för ursprungspecificerad el ()",Miljö!$B$1:$J$1,0),FALSE))</f>
        <v>0.43</v>
      </c>
      <c r="AP65" s="227">
        <f>IF(AM65="","",IFERROR(VLOOKUP($B65,Miljö!$B$1:$J$479,MATCH("Kärnkraftsandel för ursprungsspecificerad el ()",Miljö!$B$1:$J$1,0),FALSE)/1,0))</f>
        <v>0.40550000000000003</v>
      </c>
      <c r="AQ65" s="227">
        <f t="shared" si="1"/>
        <v>0.16450000000000004</v>
      </c>
      <c r="AR65" s="227"/>
      <c r="AS65" s="227" t="str">
        <f t="shared" si="2"/>
        <v>Nej</v>
      </c>
      <c r="AT65" s="227" t="str">
        <f>IF(AS65="ja",VLOOKUP($B65,Miljö!$B$1:$O$500,MATCH("Fossil andel i procent (%)",Miljö!$B$1:$O$1,0),FALSE)/100,"")</f>
        <v/>
      </c>
      <c r="AU65" s="227"/>
      <c r="AV65" s="227" t="str">
        <f t="shared" si="3"/>
        <v>Nej</v>
      </c>
      <c r="AW65" s="227" t="str">
        <f>IF(AV65="ja",VLOOKUP($B65,'Egen hetvattenprod'!$B$1:$AO$500,MATCH("Värmekälla till värmepumpar ()",'Egen hetvattenprod'!$B$1:$AO$1,0),FALSE),"")</f>
        <v/>
      </c>
      <c r="AX65" s="227"/>
      <c r="AY65" s="227" t="str">
        <f t="shared" si="4"/>
        <v>Nej</v>
      </c>
      <c r="AZ65" s="228" t="str">
        <f>IF($AY65="ja",(VLOOKUP($B65,'Egen hetvattenprod'!$B$1:$BX$550,MATCH(AZ$2,'Egen hetvattenprod'!$B$1:$BX$1,0),FALSE)+VLOOKUP($B65,Kraftvärmeprod!$B$1:$BX$550,MATCH(AZ$2,Kraftvärmeprod!$B$1:$BX$1,0),FALSE))/$AC65,"")</f>
        <v/>
      </c>
      <c r="BA65" s="228" t="str">
        <f>IF($AY65="ja",(VLOOKUP($B65,'Egen hetvattenprod'!$B$1:$BX$550,MATCH(BA$2,'Egen hetvattenprod'!$B$1:$BX$1,0),FALSE)+VLOOKUP($B65,Kraftvärmeprod!$B$1:$BX$550,MATCH(BA$2,Kraftvärmeprod!$B$1:$BX$1,0),FALSE))/$AC65,"")</f>
        <v/>
      </c>
      <c r="BB65" s="228" t="str">
        <f>IF($AY65="ja",(VLOOKUP($B65,'Egen hetvattenprod'!$B$1:$BX$550,MATCH(BB$2,'Egen hetvattenprod'!$B$1:$BX$1,0),FALSE)+VLOOKUP($B65,Kraftvärmeprod!$B$1:$BX$550,MATCH(BB$2,Kraftvärmeprod!$B$1:$BX$1,0),FALSE))/$AC65,"")</f>
        <v/>
      </c>
      <c r="BC65" s="228" t="str">
        <f>IF($AY65="ja",(VLOOKUP($B65,'Egen hetvattenprod'!$B$1:$BX$550,MATCH(BC$2,'Egen hetvattenprod'!$B$1:$BX$1,0),FALSE)+VLOOKUP($B65,Kraftvärmeprod!$B$1:$BX$550,MATCH(BC$2,Kraftvärmeprod!$B$1:$BX$1,0),FALSE))/$AC65,"")</f>
        <v/>
      </c>
      <c r="BD65" s="228" t="str">
        <f>IF($AY65="ja",(VLOOKUP($B65,'Egen hetvattenprod'!$B$1:$BX$550,MATCH(BD$2,'Egen hetvattenprod'!$B$1:$BX$1,0),FALSE)+VLOOKUP($B65,Kraftvärmeprod!$B$1:$BX$550,MATCH(BD$2,Kraftvärmeprod!$B$1:$BX$1,0),FALSE))/$AC65,"")</f>
        <v/>
      </c>
      <c r="BE65" s="227"/>
      <c r="BF65" s="227" t="str">
        <f t="shared" si="5"/>
        <v>Nej</v>
      </c>
      <c r="BG65" s="227" t="str">
        <f>IF($BF65="ja",VLOOKUP($B65,'Egen hetvattenprod'!$B$1:$BX$550,MATCH("Andelen klimatgaser med fossilt ursprung för avfall ()",'Egen hetvattenprod'!$B$1:$BX$1,0),FALSE),"")</f>
        <v/>
      </c>
      <c r="BH65" s="227" t="str">
        <f>IF($BF65="ja",VLOOKUP($B65,Kraftvärmeprod!$B$1:$BX$550,MATCH("Andelen klimatgaser med fossilt ursprung för avfall ()",Kraftvärmeprod!$B$1:$BX$1,0),FALSE),"")</f>
        <v/>
      </c>
      <c r="BI65" s="227" t="str">
        <f>IF($BF65="ja",VLOOKUP($B65,'Egen hetvattenprod'!$B$1:$BX$550,MATCH("Avfall (GWh)",'Egen hetvattenprod'!$B$1:$BX$1,0),FALSE),"")</f>
        <v/>
      </c>
      <c r="BJ65" s="227" t="str">
        <f>IF($BF65="ja",VLOOKUP($B65,'Slutlig allokering kvv'!$B$1:$BX$550,MATCH("Avfall (GWh)",'Slutlig allokering kvv'!$B$1:$BX$1,0),FALSE),"")</f>
        <v/>
      </c>
      <c r="BK65" s="227" t="str">
        <f>IF($BF65="ja",VLOOKUP($B65,'Köpt hetvatten'!$B$1:$BX$550,MATCH("Avfall i köpt hetvatten",'Köpt hetvatten'!$B$1:$BX$1,0),FALSE),"")</f>
        <v/>
      </c>
      <c r="BL65" s="227" t="str">
        <f>IF($BF65="ja",VLOOKUP($B65,'Egen hetvattenprod'!$B$1:$BX$550,MATCH("Värde enligt ovan. (%)",'Egen hetvattenprod'!$B$1:$BX$1,0),FALSE),"")</f>
        <v/>
      </c>
      <c r="BM65" s="227" t="str">
        <f>IF($BF65="ja",VLOOKUP($B65,Kraftvärmeprod!$B$1:$BX$550,MATCH("Värde enligt ovan. (%)",Kraftvärmeprod!$B$1:$BX$1,0),FALSE),"")</f>
        <v/>
      </c>
      <c r="BN65" s="227"/>
      <c r="BO65" s="227"/>
      <c r="BP65" s="227"/>
      <c r="BQ65" s="227" t="str">
        <f>IF($BF65="ja",VLOOKUP($B65,'Egen hetvattenprod'!$B$1:$BX$550,MATCH("Tillförd olja (fossil) vid avfallsförbränning (GWh)",'Egen hetvattenprod'!$B$1:$BX$1,0),FALSE),"")</f>
        <v/>
      </c>
      <c r="BR65" s="227" t="str">
        <f>IF($BF65="ja",VLOOKUP($B65,Kraftvärmeprod!$B$1:$BX$550,MATCH("Tillförd olja (fossil) vid avfallsförbränning (GWh)",Kraftvärmeprod!$B$1:$BX$1,0),FALSE),"")</f>
        <v/>
      </c>
      <c r="BS65" s="227"/>
      <c r="BT65" s="227"/>
      <c r="BU65" s="227"/>
    </row>
    <row r="66" spans="1:73" x14ac:dyDescent="0.25">
      <c r="A66" s="121" t="str">
        <f>'Miljövärden för publ företag'!B69</f>
        <v>Emmaboda Energi och Miljö AB</v>
      </c>
      <c r="B66" s="121" t="str">
        <f>'Miljövärden för publ företag'!C69</f>
        <v>Emmaboda</v>
      </c>
      <c r="C66" s="173">
        <f>IFERROR(VLOOKUP($B66,Totalt!$B$1:$AQ$554,MATCH(C$2,Totalt!$B$1:$AQ$1,0),FALSE),"")</f>
        <v>0</v>
      </c>
      <c r="D66" s="173">
        <f>IFERROR(VLOOKUP($B66,Totalt!$B$1:$AQ$554,MATCH(D$2,Totalt!$B$1:$AQ$1,0),FALSE),"")</f>
        <v>0.93</v>
      </c>
      <c r="E66" s="173">
        <f>IFERROR(VLOOKUP($B66,Totalt!$B$1:$AQ$554,MATCH(E$2,Totalt!$B$1:$AQ$1,0),FALSE),"")</f>
        <v>0</v>
      </c>
      <c r="F66" s="173">
        <f>IFERROR(VLOOKUP($B66,Totalt!$B$1:$AQ$554,MATCH(F$2,Totalt!$B$1:$AQ$1,0),FALSE),"")</f>
        <v>0</v>
      </c>
      <c r="G66" s="173">
        <f>IFERROR(VLOOKUP($B66,Totalt!$B$1:$AQ$554,MATCH(G$2,Totalt!$B$1:$AQ$1,0),FALSE),"")</f>
        <v>0</v>
      </c>
      <c r="H66" s="173">
        <f>IFERROR(VLOOKUP($B66,Totalt!$B$1:$AQ$554,MATCH(H$2,Totalt!$B$1:$AQ$1,0),FALSE),"")</f>
        <v>0</v>
      </c>
      <c r="I66" s="173">
        <f>IFERROR(VLOOKUP($B66,Totalt!$B$1:$AQ$554,MATCH(I$2,Totalt!$B$1:$AQ$1,0),FALSE),"")</f>
        <v>0</v>
      </c>
      <c r="J66" s="173">
        <f>IFERROR(VLOOKUP($B66,Totalt!$B$1:$AQ$554,MATCH(J$2,Totalt!$B$1:$AQ$1,0),FALSE),"")</f>
        <v>0</v>
      </c>
      <c r="K66" s="173">
        <f>IFERROR(VLOOKUP($B66,Totalt!$B$1:$AQ$554,MATCH(K$2,Totalt!$B$1:$AQ$1,0),FALSE),"")</f>
        <v>0</v>
      </c>
      <c r="L66" s="173">
        <f>IFERROR(VLOOKUP($B66,Totalt!$B$1:$AQ$554,MATCH(L$2,Totalt!$B$1:$AQ$1,0),FALSE),"")</f>
        <v>0</v>
      </c>
      <c r="M66" s="173">
        <f>IFERROR(VLOOKUP($B66,Totalt!$B$1:$AQ$554,MATCH(M$2,Totalt!$B$1:$AQ$1,0),FALSE),"")</f>
        <v>0</v>
      </c>
      <c r="N66" s="173">
        <f>IFERROR(VLOOKUP($B66,Totalt!$B$1:$AQ$554,MATCH(N$2,Totalt!$B$1:$AQ$1,0),FALSE),"")</f>
        <v>0</v>
      </c>
      <c r="O66" s="173">
        <f>IFERROR(VLOOKUP($B66,Totalt!$B$1:$AQ$554,MATCH(O$2,Totalt!$B$1:$AQ$1,0),FALSE),"")</f>
        <v>0</v>
      </c>
      <c r="P66" s="173">
        <f>IFERROR(VLOOKUP($B66,Totalt!$B$1:$AQ$554,MATCH(P$2,Totalt!$B$1:$AQ$1,0),FALSE),"")</f>
        <v>0</v>
      </c>
      <c r="Q66" s="173">
        <f>IFERROR(VLOOKUP($B66,Totalt!$B$1:$AQ$554,MATCH(Q$2,Totalt!$B$1:$AQ$1,0),FALSE),"")</f>
        <v>48.6</v>
      </c>
      <c r="R66" s="173">
        <f>IFERROR(VLOOKUP($B66,Totalt!$B$1:$AQ$554,MATCH(R$2,Totalt!$B$1:$AQ$1,0),FALSE),"")</f>
        <v>4.5</v>
      </c>
      <c r="S66" s="173">
        <f>IFERROR(VLOOKUP($B66,Totalt!$B$1:$AQ$554,MATCH(S$2,Totalt!$B$1:$AQ$1,0),FALSE),"")</f>
        <v>0</v>
      </c>
      <c r="T66" s="173">
        <f>IFERROR(VLOOKUP($B66,Totalt!$B$1:$AQ$554,MATCH(T$2,Totalt!$B$1:$AQ$1,0),FALSE),"")</f>
        <v>0</v>
      </c>
      <c r="U66" s="173">
        <f>IFERROR(VLOOKUP($B66,Totalt!$B$1:$AQ$554,MATCH(U$2,Totalt!$B$1:$AQ$1,0),FALSE),"")</f>
        <v>0</v>
      </c>
      <c r="V66" s="173">
        <f>IFERROR(VLOOKUP($B66,Totalt!$B$1:$AQ$554,MATCH(V$2,Totalt!$B$1:$AQ$1,0),FALSE),"")</f>
        <v>0</v>
      </c>
      <c r="W66" s="173">
        <f>IFERROR(VLOOKUP($B66,Totalt!$B$1:$AQ$554,MATCH(W$2,Totalt!$B$1:$AQ$1,0),FALSE),"")</f>
        <v>0</v>
      </c>
      <c r="X66" s="173">
        <f>IFERROR(VLOOKUP($B66,Totalt!$B$1:$AQ$554,MATCH(X$2,Totalt!$B$1:$AQ$1,0),FALSE),"")</f>
        <v>0</v>
      </c>
      <c r="Y66" s="173">
        <f>IFERROR(VLOOKUP($B66,Totalt!$B$1:$AQ$554,MATCH(Y$2,Totalt!$B$1:$AQ$1,0),FALSE),"")</f>
        <v>0</v>
      </c>
      <c r="Z66" s="173">
        <f>IFERROR(VLOOKUP($B66,Totalt!$B$1:$AQ$554,MATCH(Z$2,Totalt!$B$1:$AQ$1,0),FALSE),"")</f>
        <v>0</v>
      </c>
      <c r="AA66" s="173">
        <f>IFERROR(VLOOKUP($B66,Totalt!$B$1:$AQ$554,MATCH(AA$2,Totalt!$B$1:$AQ$1,0),FALSE),"")</f>
        <v>0</v>
      </c>
      <c r="AB66" s="173">
        <f>IFERROR(VLOOKUP($B66,Totalt!$B$1:$AQ$554,MATCH(AB$2,Totalt!$B$1:$AQ$1,0),FALSE),"")</f>
        <v>0</v>
      </c>
      <c r="AC66" s="173">
        <f>IFERROR(VLOOKUP($B66,Totalt!$B$1:$AQ$554,MATCH(AC$2,Totalt!$B$1:$AQ$1,0),FALSE),"")</f>
        <v>8.5</v>
      </c>
      <c r="AD66" s="173">
        <f>IFERROR(VLOOKUP($B66,Totalt!$B$1:$AQ$554,MATCH(AD$2,Totalt!$B$1:$AQ$1,0),FALSE),"")</f>
        <v>0</v>
      </c>
      <c r="AE66" s="173">
        <f>IFERROR(VLOOKUP($B66,Totalt!$B$1:$AQ$554,MATCH(AE$2,Totalt!$B$1:$AQ$1,0),FALSE),"")</f>
        <v>0</v>
      </c>
      <c r="AF66" s="173">
        <f>IFERROR(VLOOKUP($B66,Totalt!$B$1:$AQ$554,MATCH(AF$2,Totalt!$B$1:$AQ$1,0),FALSE),"")</f>
        <v>1.59</v>
      </c>
      <c r="AG66" s="173">
        <f>IFERROR(VLOOKUP($B66,Totalt!$B$1:$AQ$554,MATCH(AG$2,Totalt!$B$1:$AQ$1,0),FALSE),"")</f>
        <v>0</v>
      </c>
      <c r="AI66" s="226">
        <f t="shared" si="0"/>
        <v>64.12</v>
      </c>
      <c r="AJ66" s="226">
        <f>IF(ISERROR(1/VLOOKUP($B66,Leveranser!$B$1:$S$500,MATCH("såld värme (gwh)",Leveranser!$B$1:$S$1,0),FALSE)),"",VLOOKUP($B66,Leveranser!$B$1:$S$500,MATCH("såld värme (gwh)",Leveranser!$B$1:$S$1,0),FALSE))</f>
        <v>46.8</v>
      </c>
      <c r="AM66" s="227" t="str">
        <f>IF(B66&lt;&gt;"",IF(VLOOKUP($B66,Totalt!$B$1:$AQ$554,MATCH("Kvalitetsgranskad:",Totalt!$B$1:$AQ$1,0),FALSE)="ja",VLOOKUP($B66,Miljö!$B$1:$AG$479,MATCH(AM$2,Miljö!$B$1:$AK$1,0),FALSE),""),"")</f>
        <v>Ja</v>
      </c>
      <c r="AN66" s="227" t="str">
        <f>IF(AM66="ja",VLOOKUP($B66,Miljö!$B$1:$J$479,MATCH("Typ av ursprungsspecificerad el   (Om inget värde anges används Nordisk residualmix, se inforuta) ()",Miljö!$B$1:$J$1,0),FALSE),IF(AM66="nej","Nordisk residualel",""))</f>
        <v>' ' 100% Förnybart vind.vatten o biobränsle'   '</v>
      </c>
      <c r="AO66" s="227">
        <f>IF(AM66="","",VLOOKUP($B66,Miljö!$B$1:$J$479,MATCH("Fossilandel för ursprungspecificerad el ()",Miljö!$B$1:$J$1,0),FALSE))</f>
        <v>0</v>
      </c>
      <c r="AP66" s="227">
        <f>IF(AM66="","",IFERROR(VLOOKUP($B66,Miljö!$B$1:$J$479,MATCH("Kärnkraftsandel för ursprungsspecificerad el ()",Miljö!$B$1:$J$1,0),FALSE)/1,0))</f>
        <v>0</v>
      </c>
      <c r="AQ66" s="227">
        <f t="shared" si="1"/>
        <v>1</v>
      </c>
      <c r="AR66" s="227"/>
      <c r="AS66" s="227" t="str">
        <f t="shared" si="2"/>
        <v>Nej</v>
      </c>
      <c r="AT66" s="227" t="str">
        <f>IF(AS66="ja",VLOOKUP($B66,Miljö!$B$1:$O$500,MATCH("Fossil andel i procent (%)",Miljö!$B$1:$O$1,0),FALSE)/100,"")</f>
        <v/>
      </c>
      <c r="AU66" s="227"/>
      <c r="AV66" s="227" t="str">
        <f t="shared" si="3"/>
        <v>Nej</v>
      </c>
      <c r="AW66" s="227" t="str">
        <f>IF(AV66="ja",VLOOKUP($B66,'Egen hetvattenprod'!$B$1:$AO$500,MATCH("Värmekälla till värmepumpar ()",'Egen hetvattenprod'!$B$1:$AO$1,0),FALSE),"")</f>
        <v/>
      </c>
      <c r="AX66" s="227"/>
      <c r="AY66" s="227" t="str">
        <f t="shared" si="4"/>
        <v>Ja</v>
      </c>
      <c r="AZ66" s="228">
        <f>IF($AY66="ja",(VLOOKUP($B66,'Egen hetvattenprod'!$B$1:$BX$550,MATCH(AZ$2,'Egen hetvattenprod'!$B$1:$BX$1,0),FALSE)+VLOOKUP($B66,Kraftvärmeprod!$B$1:$BX$550,MATCH(AZ$2,Kraftvärmeprod!$B$1:$BX$1,0),FALSE))/$AC66,"")</f>
        <v>1</v>
      </c>
      <c r="BA66" s="228">
        <f>IF($AY66="ja",(VLOOKUP($B66,'Egen hetvattenprod'!$B$1:$BX$550,MATCH(BA$2,'Egen hetvattenprod'!$B$1:$BX$1,0),FALSE)+VLOOKUP($B66,Kraftvärmeprod!$B$1:$BX$550,MATCH(BA$2,Kraftvärmeprod!$B$1:$BX$1,0),FALSE))/$AC66,"")</f>
        <v>0</v>
      </c>
      <c r="BB66" s="228">
        <f>IF($AY66="ja",(VLOOKUP($B66,'Egen hetvattenprod'!$B$1:$BX$550,MATCH(BB$2,'Egen hetvattenprod'!$B$1:$BX$1,0),FALSE)+VLOOKUP($B66,Kraftvärmeprod!$B$1:$BX$550,MATCH(BB$2,Kraftvärmeprod!$B$1:$BX$1,0),FALSE))/$AC66,"")</f>
        <v>0</v>
      </c>
      <c r="BC66" s="228">
        <f>IF($AY66="ja",(VLOOKUP($B66,'Egen hetvattenprod'!$B$1:$BX$550,MATCH(BC$2,'Egen hetvattenprod'!$B$1:$BX$1,0),FALSE)+VLOOKUP($B66,Kraftvärmeprod!$B$1:$BX$550,MATCH(BC$2,Kraftvärmeprod!$B$1:$BX$1,0),FALSE))/$AC66,"")</f>
        <v>0</v>
      </c>
      <c r="BD66" s="228">
        <f>IF($AY66="ja",(VLOOKUP($B66,'Egen hetvattenprod'!$B$1:$BX$550,MATCH(BD$2,'Egen hetvattenprod'!$B$1:$BX$1,0),FALSE)+VLOOKUP($B66,Kraftvärmeprod!$B$1:$BX$550,MATCH(BD$2,Kraftvärmeprod!$B$1:$BX$1,0),FALSE))/$AC66,"")</f>
        <v>0</v>
      </c>
      <c r="BE66" s="227"/>
      <c r="BF66" s="227" t="str">
        <f t="shared" si="5"/>
        <v>Nej</v>
      </c>
      <c r="BG66" s="227" t="str">
        <f>IF($BF66="ja",VLOOKUP($B66,'Egen hetvattenprod'!$B$1:$BX$550,MATCH("Andelen klimatgaser med fossilt ursprung för avfall ()",'Egen hetvattenprod'!$B$1:$BX$1,0),FALSE),"")</f>
        <v/>
      </c>
      <c r="BH66" s="227" t="str">
        <f>IF($BF66="ja",VLOOKUP($B66,Kraftvärmeprod!$B$1:$BX$550,MATCH("Andelen klimatgaser med fossilt ursprung för avfall ()",Kraftvärmeprod!$B$1:$BX$1,0),FALSE),"")</f>
        <v/>
      </c>
      <c r="BI66" s="227" t="str">
        <f>IF($BF66="ja",VLOOKUP($B66,'Egen hetvattenprod'!$B$1:$BX$550,MATCH("Avfall (GWh)",'Egen hetvattenprod'!$B$1:$BX$1,0),FALSE),"")</f>
        <v/>
      </c>
      <c r="BJ66" s="227" t="str">
        <f>IF($BF66="ja",VLOOKUP($B66,'Slutlig allokering kvv'!$B$1:$BX$550,MATCH("Avfall (GWh)",'Slutlig allokering kvv'!$B$1:$BX$1,0),FALSE),"")</f>
        <v/>
      </c>
      <c r="BK66" s="227" t="str">
        <f>IF($BF66="ja",VLOOKUP($B66,'Köpt hetvatten'!$B$1:$BX$550,MATCH("Avfall i köpt hetvatten",'Köpt hetvatten'!$B$1:$BX$1,0),FALSE),"")</f>
        <v/>
      </c>
      <c r="BL66" s="227" t="str">
        <f>IF($BF66="ja",VLOOKUP($B66,'Egen hetvattenprod'!$B$1:$BX$550,MATCH("Värde enligt ovan. (%)",'Egen hetvattenprod'!$B$1:$BX$1,0),FALSE),"")</f>
        <v/>
      </c>
      <c r="BM66" s="227" t="str">
        <f>IF($BF66="ja",VLOOKUP($B66,Kraftvärmeprod!$B$1:$BX$550,MATCH("Värde enligt ovan. (%)",Kraftvärmeprod!$B$1:$BX$1,0),FALSE),"")</f>
        <v/>
      </c>
      <c r="BN66" s="227"/>
      <c r="BO66" s="227"/>
      <c r="BP66" s="227"/>
      <c r="BQ66" s="227" t="str">
        <f>IF($BF66="ja",VLOOKUP($B66,'Egen hetvattenprod'!$B$1:$BX$550,MATCH("Tillförd olja (fossil) vid avfallsförbränning (GWh)",'Egen hetvattenprod'!$B$1:$BX$1,0),FALSE),"")</f>
        <v/>
      </c>
      <c r="BR66" s="227" t="str">
        <f>IF($BF66="ja",VLOOKUP($B66,Kraftvärmeprod!$B$1:$BX$550,MATCH("Tillförd olja (fossil) vid avfallsförbränning (GWh)",Kraftvärmeprod!$B$1:$BX$1,0),FALSE),"")</f>
        <v/>
      </c>
      <c r="BS66" s="227"/>
      <c r="BT66" s="227"/>
      <c r="BU66" s="227"/>
    </row>
    <row r="67" spans="1:73" x14ac:dyDescent="0.25">
      <c r="A67" s="121" t="str">
        <f>'Miljövärden för publ företag'!B70</f>
        <v>Ena Energi AB</v>
      </c>
      <c r="B67" s="121" t="str">
        <f>'Miljövärden för publ företag'!C70</f>
        <v>Enköping</v>
      </c>
      <c r="C67" s="173">
        <f>IFERROR(VLOOKUP($B67,Totalt!$B$1:$AQ$554,MATCH(C$2,Totalt!$B$1:$AQ$1,0),FALSE),"")</f>
        <v>0</v>
      </c>
      <c r="D67" s="173">
        <f>IFERROR(VLOOKUP($B67,Totalt!$B$1:$AQ$554,MATCH(D$2,Totalt!$B$1:$AQ$1,0),FALSE),"")</f>
        <v>1.0649900000000001</v>
      </c>
      <c r="E67" s="173">
        <f>IFERROR(VLOOKUP($B67,Totalt!$B$1:$AQ$554,MATCH(E$2,Totalt!$B$1:$AQ$1,0),FALSE),"")</f>
        <v>2.5</v>
      </c>
      <c r="F67" s="173">
        <f>IFERROR(VLOOKUP($B67,Totalt!$B$1:$AQ$554,MATCH(F$2,Totalt!$B$1:$AQ$1,0),FALSE),"")</f>
        <v>0</v>
      </c>
      <c r="G67" s="173">
        <f>IFERROR(VLOOKUP($B67,Totalt!$B$1:$AQ$554,MATCH(G$2,Totalt!$B$1:$AQ$1,0),FALSE),"")</f>
        <v>0</v>
      </c>
      <c r="H67" s="173">
        <f>IFERROR(VLOOKUP($B67,Totalt!$B$1:$AQ$554,MATCH(H$2,Totalt!$B$1:$AQ$1,0),FALSE),"")</f>
        <v>0</v>
      </c>
      <c r="I67" s="173">
        <f>IFERROR(VLOOKUP($B67,Totalt!$B$1:$AQ$554,MATCH(I$2,Totalt!$B$1:$AQ$1,0),FALSE),"")</f>
        <v>0</v>
      </c>
      <c r="J67" s="173">
        <f>IFERROR(VLOOKUP($B67,Totalt!$B$1:$AQ$554,MATCH(J$2,Totalt!$B$1:$AQ$1,0),FALSE),"")</f>
        <v>2.6</v>
      </c>
      <c r="K67" s="173">
        <f>IFERROR(VLOOKUP($B67,Totalt!$B$1:$AQ$554,MATCH(K$2,Totalt!$B$1:$AQ$1,0),FALSE),"")</f>
        <v>0</v>
      </c>
      <c r="L67" s="173">
        <f>IFERROR(VLOOKUP($B67,Totalt!$B$1:$AQ$554,MATCH(L$2,Totalt!$B$1:$AQ$1,0),FALSE),"")</f>
        <v>155.62200000000001</v>
      </c>
      <c r="M67" s="173">
        <f>IFERROR(VLOOKUP($B67,Totalt!$B$1:$AQ$554,MATCH(M$2,Totalt!$B$1:$AQ$1,0),FALSE),"")</f>
        <v>0</v>
      </c>
      <c r="N67" s="173">
        <f>IFERROR(VLOOKUP($B67,Totalt!$B$1:$AQ$554,MATCH(N$2,Totalt!$B$1:$AQ$1,0),FALSE),"")</f>
        <v>21.702300000000001</v>
      </c>
      <c r="O67" s="173">
        <f>IFERROR(VLOOKUP($B67,Totalt!$B$1:$AQ$554,MATCH(O$2,Totalt!$B$1:$AQ$1,0),FALSE),"")</f>
        <v>0</v>
      </c>
      <c r="P67" s="173">
        <f>IFERROR(VLOOKUP($B67,Totalt!$B$1:$AQ$554,MATCH(P$2,Totalt!$B$1:$AQ$1,0),FALSE),"")</f>
        <v>6.3518999999999997</v>
      </c>
      <c r="Q67" s="173">
        <f>IFERROR(VLOOKUP($B67,Totalt!$B$1:$AQ$554,MATCH(Q$2,Totalt!$B$1:$AQ$1,0),FALSE),"")</f>
        <v>0</v>
      </c>
      <c r="R67" s="173">
        <f>IFERROR(VLOOKUP($B67,Totalt!$B$1:$AQ$554,MATCH(R$2,Totalt!$B$1:$AQ$1,0),FALSE),"")</f>
        <v>34</v>
      </c>
      <c r="S67" s="173">
        <f>IFERROR(VLOOKUP($B67,Totalt!$B$1:$AQ$554,MATCH(S$2,Totalt!$B$1:$AQ$1,0),FALSE),"")</f>
        <v>0</v>
      </c>
      <c r="T67" s="173">
        <f>IFERROR(VLOOKUP($B67,Totalt!$B$1:$AQ$554,MATCH(T$2,Totalt!$B$1:$AQ$1,0),FALSE),"")</f>
        <v>0</v>
      </c>
      <c r="U67" s="173">
        <f>IFERROR(VLOOKUP($B67,Totalt!$B$1:$AQ$554,MATCH(U$2,Totalt!$B$1:$AQ$1,0),FALSE),"")</f>
        <v>0</v>
      </c>
      <c r="V67" s="173">
        <f>IFERROR(VLOOKUP($B67,Totalt!$B$1:$AQ$554,MATCH(V$2,Totalt!$B$1:$AQ$1,0),FALSE),"")</f>
        <v>0</v>
      </c>
      <c r="W67" s="173">
        <f>IFERROR(VLOOKUP($B67,Totalt!$B$1:$AQ$554,MATCH(W$2,Totalt!$B$1:$AQ$1,0),FALSE),"")</f>
        <v>0</v>
      </c>
      <c r="X67" s="173">
        <f>IFERROR(VLOOKUP($B67,Totalt!$B$1:$AQ$554,MATCH(X$2,Totalt!$B$1:$AQ$1,0),FALSE),"")</f>
        <v>0</v>
      </c>
      <c r="Y67" s="173">
        <f>IFERROR(VLOOKUP($B67,Totalt!$B$1:$AQ$554,MATCH(Y$2,Totalt!$B$1:$AQ$1,0),FALSE),"")</f>
        <v>0</v>
      </c>
      <c r="Z67" s="173">
        <f>IFERROR(VLOOKUP($B67,Totalt!$B$1:$AQ$554,MATCH(Z$2,Totalt!$B$1:$AQ$1,0),FALSE),"")</f>
        <v>4.5</v>
      </c>
      <c r="AA67" s="173">
        <f>IFERROR(VLOOKUP($B67,Totalt!$B$1:$AQ$554,MATCH(AA$2,Totalt!$B$1:$AQ$1,0),FALSE),"")</f>
        <v>0</v>
      </c>
      <c r="AB67" s="173">
        <f>IFERROR(VLOOKUP($B67,Totalt!$B$1:$AQ$554,MATCH(AB$2,Totalt!$B$1:$AQ$1,0),FALSE),"")</f>
        <v>0</v>
      </c>
      <c r="AC67" s="173">
        <f>IFERROR(VLOOKUP($B67,Totalt!$B$1:$AQ$554,MATCH(AC$2,Totalt!$B$1:$AQ$1,0),FALSE),"")</f>
        <v>22.6</v>
      </c>
      <c r="AD67" s="173">
        <f>IFERROR(VLOOKUP($B67,Totalt!$B$1:$AQ$554,MATCH(AD$2,Totalt!$B$1:$AQ$1,0),FALSE),"")</f>
        <v>0</v>
      </c>
      <c r="AE67" s="173">
        <f>IFERROR(VLOOKUP($B67,Totalt!$B$1:$AQ$554,MATCH(AE$2,Totalt!$B$1:$AQ$1,0),FALSE),"")</f>
        <v>0</v>
      </c>
      <c r="AF67" s="173">
        <f>IFERROR(VLOOKUP($B67,Totalt!$B$1:$AQ$554,MATCH(AF$2,Totalt!$B$1:$AQ$1,0),FALSE),"")</f>
        <v>13.784599999999999</v>
      </c>
      <c r="AG67" s="173">
        <f>IFERROR(VLOOKUP($B67,Totalt!$B$1:$AQ$554,MATCH(AG$2,Totalt!$B$1:$AQ$1,0),FALSE),"")</f>
        <v>0</v>
      </c>
      <c r="AI67" s="226">
        <f t="shared" ref="AI67:AI130" si="6">IF(B67&lt;&gt;"",SUM(C67:AG67),"")</f>
        <v>264.72579000000002</v>
      </c>
      <c r="AJ67" s="226">
        <f>IF(ISERROR(1/VLOOKUP($B67,Leveranser!$B$1:$S$500,MATCH("såld värme (gwh)",Leveranser!$B$1:$S$1,0),FALSE)),"",VLOOKUP($B67,Leveranser!$B$1:$S$500,MATCH("såld värme (gwh)",Leveranser!$B$1:$S$1,0),FALSE))</f>
        <v>213</v>
      </c>
      <c r="AM67" s="227" t="str">
        <f>IF(B67&lt;&gt;"",IF(VLOOKUP($B67,Totalt!$B$1:$AQ$554,MATCH("Kvalitetsgranskad:",Totalt!$B$1:$AQ$1,0),FALSE)="ja",VLOOKUP($B67,Miljö!$B$1:$AG$479,MATCH(AM$2,Miljö!$B$1:$AK$1,0),FALSE),""),"")</f>
        <v>Ja</v>
      </c>
      <c r="AN67" s="227" t="str">
        <f>IF(AM67="ja",VLOOKUP($B67,Miljö!$B$1:$J$479,MATCH("Typ av ursprungsspecificerad el   (Om inget värde anges används Nordisk residualmix, se inforuta) ()",Miljö!$B$1:$J$1,0),FALSE),IF(AM67="nej","Nordisk residualel",""))</f>
        <v>'Biokraft'</v>
      </c>
      <c r="AO67" s="227">
        <f>IF(AM67="","",VLOOKUP($B67,Miljö!$B$1:$J$479,MATCH("Fossilandel för ursprungspecificerad el ()",Miljö!$B$1:$J$1,0),FALSE))</f>
        <v>0.5</v>
      </c>
      <c r="AP67" s="227">
        <f>IF(AM67="","",IFERROR(VLOOKUP($B67,Miljö!$B$1:$J$479,MATCH("Kärnkraftsandel för ursprungsspecificerad el ()",Miljö!$B$1:$J$1,0),FALSE)/1,0))</f>
        <v>0</v>
      </c>
      <c r="AQ67" s="227">
        <f t="shared" si="1"/>
        <v>0.5</v>
      </c>
      <c r="AR67" s="227"/>
      <c r="AS67" s="227" t="str">
        <f t="shared" si="2"/>
        <v>Nej</v>
      </c>
      <c r="AT67" s="227" t="str">
        <f>IF(AS67="ja",VLOOKUP($B67,Miljö!$B$1:$O$500,MATCH("Fossil andel i procent (%)",Miljö!$B$1:$O$1,0),FALSE)/100,"")</f>
        <v/>
      </c>
      <c r="AU67" s="227"/>
      <c r="AV67" s="227" t="str">
        <f t="shared" si="3"/>
        <v>Nej</v>
      </c>
      <c r="AW67" s="227" t="str">
        <f>IF(AV67="ja",VLOOKUP($B67,'Egen hetvattenprod'!$B$1:$AO$500,MATCH("Värmekälla till värmepumpar ()",'Egen hetvattenprod'!$B$1:$AO$1,0),FALSE),"")</f>
        <v/>
      </c>
      <c r="AX67" s="227"/>
      <c r="AY67" s="227" t="str">
        <f t="shared" si="4"/>
        <v>Ja</v>
      </c>
      <c r="AZ67" s="228">
        <f>IF($AY67="ja",(VLOOKUP($B67,'Egen hetvattenprod'!$B$1:$BX$550,MATCH(AZ$2,'Egen hetvattenprod'!$B$1:$BX$1,0),FALSE)+VLOOKUP($B67,Kraftvärmeprod!$B$1:$BX$550,MATCH(AZ$2,Kraftvärmeprod!$B$1:$BX$1,0),FALSE))/$AC67,"")</f>
        <v>1</v>
      </c>
      <c r="BA67" s="228">
        <f>IF($AY67="ja",(VLOOKUP($B67,'Egen hetvattenprod'!$B$1:$BX$550,MATCH(BA$2,'Egen hetvattenprod'!$B$1:$BX$1,0),FALSE)+VLOOKUP($B67,Kraftvärmeprod!$B$1:$BX$550,MATCH(BA$2,Kraftvärmeprod!$B$1:$BX$1,0),FALSE))/$AC67,"")</f>
        <v>0</v>
      </c>
      <c r="BB67" s="228">
        <f>IF($AY67="ja",(VLOOKUP($B67,'Egen hetvattenprod'!$B$1:$BX$550,MATCH(BB$2,'Egen hetvattenprod'!$B$1:$BX$1,0),FALSE)+VLOOKUP($B67,Kraftvärmeprod!$B$1:$BX$550,MATCH(BB$2,Kraftvärmeprod!$B$1:$BX$1,0),FALSE))/$AC67,"")</f>
        <v>0</v>
      </c>
      <c r="BC67" s="228">
        <f>IF($AY67="ja",(VLOOKUP($B67,'Egen hetvattenprod'!$B$1:$BX$550,MATCH(BC$2,'Egen hetvattenprod'!$B$1:$BX$1,0),FALSE)+VLOOKUP($B67,Kraftvärmeprod!$B$1:$BX$550,MATCH(BC$2,Kraftvärmeprod!$B$1:$BX$1,0),FALSE))/$AC67,"")</f>
        <v>0</v>
      </c>
      <c r="BD67" s="228">
        <f>IF($AY67="ja",(VLOOKUP($B67,'Egen hetvattenprod'!$B$1:$BX$550,MATCH(BD$2,'Egen hetvattenprod'!$B$1:$BX$1,0),FALSE)+VLOOKUP($B67,Kraftvärmeprod!$B$1:$BX$550,MATCH(BD$2,Kraftvärmeprod!$B$1:$BX$1,0),FALSE))/$AC67,"")</f>
        <v>0</v>
      </c>
      <c r="BE67" s="227"/>
      <c r="BF67" s="227" t="str">
        <f t="shared" si="5"/>
        <v>Nej</v>
      </c>
      <c r="BG67" s="227" t="str">
        <f>IF($BF67="ja",VLOOKUP($B67,'Egen hetvattenprod'!$B$1:$BX$550,MATCH("Andelen klimatgaser med fossilt ursprung för avfall ()",'Egen hetvattenprod'!$B$1:$BX$1,0),FALSE),"")</f>
        <v/>
      </c>
      <c r="BH67" s="227" t="str">
        <f>IF($BF67="ja",VLOOKUP($B67,Kraftvärmeprod!$B$1:$BX$550,MATCH("Andelen klimatgaser med fossilt ursprung för avfall ()",Kraftvärmeprod!$B$1:$BX$1,0),FALSE),"")</f>
        <v/>
      </c>
      <c r="BI67" s="227" t="str">
        <f>IF($BF67="ja",VLOOKUP($B67,'Egen hetvattenprod'!$B$1:$BX$550,MATCH("Avfall (GWh)",'Egen hetvattenprod'!$B$1:$BX$1,0),FALSE),"")</f>
        <v/>
      </c>
      <c r="BJ67" s="227" t="str">
        <f>IF($BF67="ja",VLOOKUP($B67,'Slutlig allokering kvv'!$B$1:$BX$550,MATCH("Avfall (GWh)",'Slutlig allokering kvv'!$B$1:$BX$1,0),FALSE),"")</f>
        <v/>
      </c>
      <c r="BK67" s="227" t="str">
        <f>IF($BF67="ja",VLOOKUP($B67,'Köpt hetvatten'!$B$1:$BX$550,MATCH("Avfall i köpt hetvatten",'Köpt hetvatten'!$B$1:$BX$1,0),FALSE),"")</f>
        <v/>
      </c>
      <c r="BL67" s="227" t="str">
        <f>IF($BF67="ja",VLOOKUP($B67,'Egen hetvattenprod'!$B$1:$BX$550,MATCH("Värde enligt ovan. (%)",'Egen hetvattenprod'!$B$1:$BX$1,0),FALSE),"")</f>
        <v/>
      </c>
      <c r="BM67" s="227" t="str">
        <f>IF($BF67="ja",VLOOKUP($B67,Kraftvärmeprod!$B$1:$BX$550,MATCH("Värde enligt ovan. (%)",Kraftvärmeprod!$B$1:$BX$1,0),FALSE),"")</f>
        <v/>
      </c>
      <c r="BN67" s="227"/>
      <c r="BO67" s="227"/>
      <c r="BP67" s="227"/>
      <c r="BQ67" s="227" t="str">
        <f>IF($BF67="ja",VLOOKUP($B67,'Egen hetvattenprod'!$B$1:$BX$550,MATCH("Tillförd olja (fossil) vid avfallsförbränning (GWh)",'Egen hetvattenprod'!$B$1:$BX$1,0),FALSE),"")</f>
        <v/>
      </c>
      <c r="BR67" s="227" t="str">
        <f>IF($BF67="ja",VLOOKUP($B67,Kraftvärmeprod!$B$1:$BX$550,MATCH("Tillförd olja (fossil) vid avfallsförbränning (GWh)",Kraftvärmeprod!$B$1:$BX$1,0),FALSE),"")</f>
        <v/>
      </c>
      <c r="BS67" s="227"/>
      <c r="BT67" s="227"/>
      <c r="BU67" s="227"/>
    </row>
    <row r="68" spans="1:73" x14ac:dyDescent="0.25">
      <c r="A68" s="121" t="str">
        <f>'Miljövärden för publ företag'!B71</f>
        <v>Eskilstuna Energi &amp; Miljö AB</v>
      </c>
      <c r="B68" s="121" t="str">
        <f>'Miljövärden för publ företag'!C71</f>
        <v>Eskilstuna-Torshälla</v>
      </c>
      <c r="C68" s="173">
        <f>IFERROR(VLOOKUP($B68,Totalt!$B$1:$AQ$554,MATCH(C$2,Totalt!$B$1:$AQ$1,0),FALSE),"")</f>
        <v>0</v>
      </c>
      <c r="D68" s="173">
        <f>IFERROR(VLOOKUP($B68,Totalt!$B$1:$AQ$554,MATCH(D$2,Totalt!$B$1:$AQ$1,0),FALSE),"")</f>
        <v>1.8466499999999999</v>
      </c>
      <c r="E68" s="173">
        <f>IFERROR(VLOOKUP($B68,Totalt!$B$1:$AQ$554,MATCH(E$2,Totalt!$B$1:$AQ$1,0),FALSE),"")</f>
        <v>0</v>
      </c>
      <c r="F68" s="173">
        <f>IFERROR(VLOOKUP($B68,Totalt!$B$1:$AQ$554,MATCH(F$2,Totalt!$B$1:$AQ$1,0),FALSE),"")</f>
        <v>2.629</v>
      </c>
      <c r="G68" s="173">
        <f>IFERROR(VLOOKUP($B68,Totalt!$B$1:$AQ$554,MATCH(G$2,Totalt!$B$1:$AQ$1,0),FALSE),"")</f>
        <v>0</v>
      </c>
      <c r="H68" s="173">
        <f>IFERROR(VLOOKUP($B68,Totalt!$B$1:$AQ$554,MATCH(H$2,Totalt!$B$1:$AQ$1,0),FALSE),"")</f>
        <v>0</v>
      </c>
      <c r="I68" s="173">
        <f>IFERROR(VLOOKUP($B68,Totalt!$B$1:$AQ$554,MATCH(I$2,Totalt!$B$1:$AQ$1,0),FALSE),"")</f>
        <v>0</v>
      </c>
      <c r="J68" s="173">
        <f>IFERROR(VLOOKUP($B68,Totalt!$B$1:$AQ$554,MATCH(J$2,Totalt!$B$1:$AQ$1,0),FALSE),"")</f>
        <v>0</v>
      </c>
      <c r="K68" s="173">
        <f>IFERROR(VLOOKUP($B68,Totalt!$B$1:$AQ$554,MATCH(K$2,Totalt!$B$1:$AQ$1,0),FALSE),"")</f>
        <v>0</v>
      </c>
      <c r="L68" s="173">
        <f>IFERROR(VLOOKUP($B68,Totalt!$B$1:$AQ$554,MATCH(L$2,Totalt!$B$1:$AQ$1,0),FALSE),"")</f>
        <v>0</v>
      </c>
      <c r="M68" s="173">
        <f>IFERROR(VLOOKUP($B68,Totalt!$B$1:$AQ$554,MATCH(M$2,Totalt!$B$1:$AQ$1,0),FALSE),"")</f>
        <v>159.77099999999999</v>
      </c>
      <c r="N68" s="173">
        <f>IFERROR(VLOOKUP($B68,Totalt!$B$1:$AQ$554,MATCH(N$2,Totalt!$B$1:$AQ$1,0),FALSE),"")</f>
        <v>389.47</v>
      </c>
      <c r="O68" s="173">
        <f>IFERROR(VLOOKUP($B68,Totalt!$B$1:$AQ$554,MATCH(O$2,Totalt!$B$1:$AQ$1,0),FALSE),"")</f>
        <v>0</v>
      </c>
      <c r="P68" s="173">
        <f>IFERROR(VLOOKUP($B68,Totalt!$B$1:$AQ$554,MATCH(P$2,Totalt!$B$1:$AQ$1,0),FALSE),"")</f>
        <v>0</v>
      </c>
      <c r="Q68" s="173">
        <f>IFERROR(VLOOKUP($B68,Totalt!$B$1:$AQ$554,MATCH(Q$2,Totalt!$B$1:$AQ$1,0),FALSE),"")</f>
        <v>0</v>
      </c>
      <c r="R68" s="173">
        <f>IFERROR(VLOOKUP($B68,Totalt!$B$1:$AQ$554,MATCH(R$2,Totalt!$B$1:$AQ$1,0),FALSE),"")</f>
        <v>0</v>
      </c>
      <c r="S68" s="173">
        <f>IFERROR(VLOOKUP($B68,Totalt!$B$1:$AQ$554,MATCH(S$2,Totalt!$B$1:$AQ$1,0),FALSE),"")</f>
        <v>0</v>
      </c>
      <c r="T68" s="173">
        <f>IFERROR(VLOOKUP($B68,Totalt!$B$1:$AQ$554,MATCH(T$2,Totalt!$B$1:$AQ$1,0),FALSE),"")</f>
        <v>0</v>
      </c>
      <c r="U68" s="173">
        <f>IFERROR(VLOOKUP($B68,Totalt!$B$1:$AQ$554,MATCH(U$2,Totalt!$B$1:$AQ$1,0),FALSE),"")</f>
        <v>0</v>
      </c>
      <c r="V68" s="173">
        <f>IFERROR(VLOOKUP($B68,Totalt!$B$1:$AQ$554,MATCH(V$2,Totalt!$B$1:$AQ$1,0),FALSE),"")</f>
        <v>0</v>
      </c>
      <c r="W68" s="173">
        <f>IFERROR(VLOOKUP($B68,Totalt!$B$1:$AQ$554,MATCH(W$2,Totalt!$B$1:$AQ$1,0),FALSE),"")</f>
        <v>14.686999999999999</v>
      </c>
      <c r="X68" s="173">
        <f>IFERROR(VLOOKUP($B68,Totalt!$B$1:$AQ$554,MATCH(X$2,Totalt!$B$1:$AQ$1,0),FALSE),"")</f>
        <v>0</v>
      </c>
      <c r="Y68" s="173">
        <f>IFERROR(VLOOKUP($B68,Totalt!$B$1:$AQ$554,MATCH(Y$2,Totalt!$B$1:$AQ$1,0),FALSE),"")</f>
        <v>0</v>
      </c>
      <c r="Z68" s="173">
        <f>IFERROR(VLOOKUP($B68,Totalt!$B$1:$AQ$554,MATCH(Z$2,Totalt!$B$1:$AQ$1,0),FALSE),"")</f>
        <v>0</v>
      </c>
      <c r="AA68" s="173">
        <f>IFERROR(VLOOKUP($B68,Totalt!$B$1:$AQ$554,MATCH(AA$2,Totalt!$B$1:$AQ$1,0),FALSE),"")</f>
        <v>0</v>
      </c>
      <c r="AB68" s="173">
        <f>IFERROR(VLOOKUP($B68,Totalt!$B$1:$AQ$554,MATCH(AB$2,Totalt!$B$1:$AQ$1,0),FALSE),"")</f>
        <v>0</v>
      </c>
      <c r="AC68" s="173">
        <f>IFERROR(VLOOKUP($B68,Totalt!$B$1:$AQ$554,MATCH(AC$2,Totalt!$B$1:$AQ$1,0),FALSE),"")</f>
        <v>138.559</v>
      </c>
      <c r="AD68" s="173">
        <f>IFERROR(VLOOKUP($B68,Totalt!$B$1:$AQ$554,MATCH(AD$2,Totalt!$B$1:$AQ$1,0),FALSE),"")</f>
        <v>0</v>
      </c>
      <c r="AE68" s="173">
        <f>IFERROR(VLOOKUP($B68,Totalt!$B$1:$AQ$554,MATCH(AE$2,Totalt!$B$1:$AQ$1,0),FALSE),"")</f>
        <v>0</v>
      </c>
      <c r="AF68" s="173">
        <f>IFERROR(VLOOKUP($B68,Totalt!$B$1:$AQ$554,MATCH(AF$2,Totalt!$B$1:$AQ$1,0),FALSE),"")</f>
        <v>24.9635</v>
      </c>
      <c r="AG68" s="173">
        <f>IFERROR(VLOOKUP($B68,Totalt!$B$1:$AQ$554,MATCH(AG$2,Totalt!$B$1:$AQ$1,0),FALSE),"")</f>
        <v>0</v>
      </c>
      <c r="AI68" s="226">
        <f t="shared" si="6"/>
        <v>731.92615000000001</v>
      </c>
      <c r="AJ68" s="226">
        <f>IF(ISERROR(1/VLOOKUP($B68,Leveranser!$B$1:$S$500,MATCH("såld värme (gwh)",Leveranser!$B$1:$S$1,0),FALSE)),"",VLOOKUP($B68,Leveranser!$B$1:$S$500,MATCH("såld värme (gwh)",Leveranser!$B$1:$S$1,0),FALSE))</f>
        <v>628.12400000000002</v>
      </c>
      <c r="AM68" s="227" t="str">
        <f>IF(B68&lt;&gt;"",IF(VLOOKUP($B68,Totalt!$B$1:$AQ$554,MATCH("Kvalitetsgranskad:",Totalt!$B$1:$AQ$1,0),FALSE)="ja",VLOOKUP($B68,Miljö!$B$1:$AG$479,MATCH(AM$2,Miljö!$B$1:$AK$1,0),FALSE),""),"")</f>
        <v>Ja</v>
      </c>
      <c r="AN68" s="227" t="str">
        <f>IF(AM68="ja",VLOOKUP($B68,Miljö!$B$1:$J$479,MATCH("Typ av ursprungsspecificerad el   (Om inget värde anges används Nordisk residualmix, se inforuta) ()",Miljö!$B$1:$J$1,0),FALSE),IF(AM68="nej","Nordisk residualel",""))</f>
        <v>'Eskilstuna Bioel'</v>
      </c>
      <c r="AO68" s="227">
        <f>IF(AM68="","",VLOOKUP($B68,Miljö!$B$1:$J$479,MATCH("Fossilandel för ursprungspecificerad el ()",Miljö!$B$1:$J$1,0),FALSE))</f>
        <v>0</v>
      </c>
      <c r="AP68" s="227">
        <f>IF(AM68="","",IFERROR(VLOOKUP($B68,Miljö!$B$1:$J$479,MATCH("Kärnkraftsandel för ursprungsspecificerad el ()",Miljö!$B$1:$J$1,0),FALSE)/1,0))</f>
        <v>0</v>
      </c>
      <c r="AQ68" s="227">
        <f t="shared" ref="AQ68:AQ131" si="7">IF(AM68="","",1-AO68-AP68)</f>
        <v>1</v>
      </c>
      <c r="AR68" s="227"/>
      <c r="AS68" s="227" t="str">
        <f t="shared" ref="AS68:AS131" si="8">IF(B68&lt;&gt;"",IF(AND(AG68&gt;0,AG68&lt;&gt;""),"Ja","Nej"),"")</f>
        <v>Nej</v>
      </c>
      <c r="AT68" s="227" t="str">
        <f>IF(AS68="ja",VLOOKUP($B68,Miljö!$B$1:$O$500,MATCH("Fossil andel i procent (%)",Miljö!$B$1:$O$1,0),FALSE)/100,"")</f>
        <v/>
      </c>
      <c r="AU68" s="227"/>
      <c r="AV68" s="227" t="str">
        <f t="shared" ref="AV68:AV131" si="9">IF(B68&lt;&gt;"",IF(AND(AB68&gt;0,AB68&lt;&gt;""),"Ja","Nej"),"")</f>
        <v>Nej</v>
      </c>
      <c r="AW68" s="227" t="str">
        <f>IF(AV68="ja",VLOOKUP($B68,'Egen hetvattenprod'!$B$1:$AO$500,MATCH("Värmekälla till värmepumpar ()",'Egen hetvattenprod'!$B$1:$AO$1,0),FALSE),"")</f>
        <v/>
      </c>
      <c r="AX68" s="227"/>
      <c r="AY68" s="227" t="str">
        <f t="shared" ref="AY68:AY131" si="10">IF(B68&lt;&gt;"",IF(AND(AC68&gt;0,AC68&lt;&gt;""),"Ja","Nej"),"")</f>
        <v>Ja</v>
      </c>
      <c r="AZ68" s="228">
        <f>IF($AY68="ja",(VLOOKUP($B68,'Egen hetvattenprod'!$B$1:$BX$550,MATCH(AZ$2,'Egen hetvattenprod'!$B$1:$BX$1,0),FALSE)+VLOOKUP($B68,Kraftvärmeprod!$B$1:$BX$550,MATCH(AZ$2,Kraftvärmeprod!$B$1:$BX$1,0),FALSE))/$AC68,"")</f>
        <v>1</v>
      </c>
      <c r="BA68" s="228">
        <f>IF($AY68="ja",(VLOOKUP($B68,'Egen hetvattenprod'!$B$1:$BX$550,MATCH(BA$2,'Egen hetvattenprod'!$B$1:$BX$1,0),FALSE)+VLOOKUP($B68,Kraftvärmeprod!$B$1:$BX$550,MATCH(BA$2,Kraftvärmeprod!$B$1:$BX$1,0),FALSE))/$AC68,"")</f>
        <v>0</v>
      </c>
      <c r="BB68" s="228">
        <f>IF($AY68="ja",(VLOOKUP($B68,'Egen hetvattenprod'!$B$1:$BX$550,MATCH(BB$2,'Egen hetvattenprod'!$B$1:$BX$1,0),FALSE)+VLOOKUP($B68,Kraftvärmeprod!$B$1:$BX$550,MATCH(BB$2,Kraftvärmeprod!$B$1:$BX$1,0),FALSE))/$AC68,"")</f>
        <v>0</v>
      </c>
      <c r="BC68" s="228">
        <f>IF($AY68="ja",(VLOOKUP($B68,'Egen hetvattenprod'!$B$1:$BX$550,MATCH(BC$2,'Egen hetvattenprod'!$B$1:$BX$1,0),FALSE)+VLOOKUP($B68,Kraftvärmeprod!$B$1:$BX$550,MATCH(BC$2,Kraftvärmeprod!$B$1:$BX$1,0),FALSE))/$AC68,"")</f>
        <v>0</v>
      </c>
      <c r="BD68" s="228">
        <f>IF($AY68="ja",(VLOOKUP($B68,'Egen hetvattenprod'!$B$1:$BX$550,MATCH(BD$2,'Egen hetvattenprod'!$B$1:$BX$1,0),FALSE)+VLOOKUP($B68,Kraftvärmeprod!$B$1:$BX$550,MATCH(BD$2,Kraftvärmeprod!$B$1:$BX$1,0),FALSE))/$AC68,"")</f>
        <v>0</v>
      </c>
      <c r="BE68" s="227"/>
      <c r="BF68" s="227" t="str">
        <f t="shared" ref="BF68:BF131" si="11">IF(B68&lt;&gt;"",IF(AND(I68&gt;0,I68&lt;&gt;""),"Ja","Nej"),"")</f>
        <v>Nej</v>
      </c>
      <c r="BG68" s="227" t="str">
        <f>IF($BF68="ja",VLOOKUP($B68,'Egen hetvattenprod'!$B$1:$BX$550,MATCH("Andelen klimatgaser med fossilt ursprung för avfall ()",'Egen hetvattenprod'!$B$1:$BX$1,0),FALSE),"")</f>
        <v/>
      </c>
      <c r="BH68" s="227" t="str">
        <f>IF($BF68="ja",VLOOKUP($B68,Kraftvärmeprod!$B$1:$BX$550,MATCH("Andelen klimatgaser med fossilt ursprung för avfall ()",Kraftvärmeprod!$B$1:$BX$1,0),FALSE),"")</f>
        <v/>
      </c>
      <c r="BI68" s="227" t="str">
        <f>IF($BF68="ja",VLOOKUP($B68,'Egen hetvattenprod'!$B$1:$BX$550,MATCH("Avfall (GWh)",'Egen hetvattenprod'!$B$1:$BX$1,0),FALSE),"")</f>
        <v/>
      </c>
      <c r="BJ68" s="227" t="str">
        <f>IF($BF68="ja",VLOOKUP($B68,'Slutlig allokering kvv'!$B$1:$BX$550,MATCH("Avfall (GWh)",'Slutlig allokering kvv'!$B$1:$BX$1,0),FALSE),"")</f>
        <v/>
      </c>
      <c r="BK68" s="227" t="str">
        <f>IF($BF68="ja",VLOOKUP($B68,'Köpt hetvatten'!$B$1:$BX$550,MATCH("Avfall i köpt hetvatten",'Köpt hetvatten'!$B$1:$BX$1,0),FALSE),"")</f>
        <v/>
      </c>
      <c r="BL68" s="227" t="str">
        <f>IF($BF68="ja",VLOOKUP($B68,'Egen hetvattenprod'!$B$1:$BX$550,MATCH("Värde enligt ovan. (%)",'Egen hetvattenprod'!$B$1:$BX$1,0),FALSE),"")</f>
        <v/>
      </c>
      <c r="BM68" s="227" t="str">
        <f>IF($BF68="ja",VLOOKUP($B68,Kraftvärmeprod!$B$1:$BX$550,MATCH("Värde enligt ovan. (%)",Kraftvärmeprod!$B$1:$BX$1,0),FALSE),"")</f>
        <v/>
      </c>
      <c r="BN68" s="227"/>
      <c r="BO68" s="227"/>
      <c r="BP68" s="227"/>
      <c r="BQ68" s="227" t="str">
        <f>IF($BF68="ja",VLOOKUP($B68,'Egen hetvattenprod'!$B$1:$BX$550,MATCH("Tillförd olja (fossil) vid avfallsförbränning (GWh)",'Egen hetvattenprod'!$B$1:$BX$1,0),FALSE),"")</f>
        <v/>
      </c>
      <c r="BR68" s="227" t="str">
        <f>IF($BF68="ja",VLOOKUP($B68,Kraftvärmeprod!$B$1:$BX$550,MATCH("Tillförd olja (fossil) vid avfallsförbränning (GWh)",Kraftvärmeprod!$B$1:$BX$1,0),FALSE),"")</f>
        <v/>
      </c>
      <c r="BS68" s="227"/>
      <c r="BT68" s="227"/>
      <c r="BU68" s="227"/>
    </row>
    <row r="69" spans="1:73" x14ac:dyDescent="0.25">
      <c r="A69" s="121" t="str">
        <f>'Miljövärden för publ företag'!B72</f>
        <v>Eskilstuna Energi &amp; Miljö AB</v>
      </c>
      <c r="B69" s="121" t="str">
        <f>'Miljövärden för publ företag'!C72</f>
        <v>Kvicksund</v>
      </c>
      <c r="C69" s="173">
        <f>IFERROR(VLOOKUP($B69,Totalt!$B$1:$AQ$554,MATCH(C$2,Totalt!$B$1:$AQ$1,0),FALSE),"")</f>
        <v>0</v>
      </c>
      <c r="D69" s="173">
        <f>IFERROR(VLOOKUP($B69,Totalt!$B$1:$AQ$554,MATCH(D$2,Totalt!$B$1:$AQ$1,0),FALSE),"")</f>
        <v>0.14000000000000001</v>
      </c>
      <c r="E69" s="173">
        <f>IFERROR(VLOOKUP($B69,Totalt!$B$1:$AQ$554,MATCH(E$2,Totalt!$B$1:$AQ$1,0),FALSE),"")</f>
        <v>0</v>
      </c>
      <c r="F69" s="173">
        <f>IFERROR(VLOOKUP($B69,Totalt!$B$1:$AQ$554,MATCH(F$2,Totalt!$B$1:$AQ$1,0),FALSE),"")</f>
        <v>0</v>
      </c>
      <c r="G69" s="173">
        <f>IFERROR(VLOOKUP($B69,Totalt!$B$1:$AQ$554,MATCH(G$2,Totalt!$B$1:$AQ$1,0),FALSE),"")</f>
        <v>0</v>
      </c>
      <c r="H69" s="173">
        <f>IFERROR(VLOOKUP($B69,Totalt!$B$1:$AQ$554,MATCH(H$2,Totalt!$B$1:$AQ$1,0),FALSE),"")</f>
        <v>0</v>
      </c>
      <c r="I69" s="173">
        <f>IFERROR(VLOOKUP($B69,Totalt!$B$1:$AQ$554,MATCH(I$2,Totalt!$B$1:$AQ$1,0),FALSE),"")</f>
        <v>0</v>
      </c>
      <c r="J69" s="173">
        <f>IFERROR(VLOOKUP($B69,Totalt!$B$1:$AQ$554,MATCH(J$2,Totalt!$B$1:$AQ$1,0),FALSE),"")</f>
        <v>0</v>
      </c>
      <c r="K69" s="173">
        <f>IFERROR(VLOOKUP($B69,Totalt!$B$1:$AQ$554,MATCH(K$2,Totalt!$B$1:$AQ$1,0),FALSE),"")</f>
        <v>0</v>
      </c>
      <c r="L69" s="173">
        <f>IFERROR(VLOOKUP($B69,Totalt!$B$1:$AQ$554,MATCH(L$2,Totalt!$B$1:$AQ$1,0),FALSE),"")</f>
        <v>0</v>
      </c>
      <c r="M69" s="173">
        <f>IFERROR(VLOOKUP($B69,Totalt!$B$1:$AQ$554,MATCH(M$2,Totalt!$B$1:$AQ$1,0),FALSE),"")</f>
        <v>0</v>
      </c>
      <c r="N69" s="173">
        <f>IFERROR(VLOOKUP($B69,Totalt!$B$1:$AQ$554,MATCH(N$2,Totalt!$B$1:$AQ$1,0),FALSE),"")</f>
        <v>0</v>
      </c>
      <c r="O69" s="173">
        <f>IFERROR(VLOOKUP($B69,Totalt!$B$1:$AQ$554,MATCH(O$2,Totalt!$B$1:$AQ$1,0),FALSE),"")</f>
        <v>0</v>
      </c>
      <c r="P69" s="173">
        <f>IFERROR(VLOOKUP($B69,Totalt!$B$1:$AQ$554,MATCH(P$2,Totalt!$B$1:$AQ$1,0),FALSE),"")</f>
        <v>0</v>
      </c>
      <c r="Q69" s="173">
        <f>IFERROR(VLOOKUP($B69,Totalt!$B$1:$AQ$554,MATCH(Q$2,Totalt!$B$1:$AQ$1,0),FALSE),"")</f>
        <v>0</v>
      </c>
      <c r="R69" s="173">
        <f>IFERROR(VLOOKUP($B69,Totalt!$B$1:$AQ$554,MATCH(R$2,Totalt!$B$1:$AQ$1,0),FALSE),"")</f>
        <v>0.85899999999999999</v>
      </c>
      <c r="S69" s="173">
        <f>IFERROR(VLOOKUP($B69,Totalt!$B$1:$AQ$554,MATCH(S$2,Totalt!$B$1:$AQ$1,0),FALSE),"")</f>
        <v>0</v>
      </c>
      <c r="T69" s="173">
        <f>IFERROR(VLOOKUP($B69,Totalt!$B$1:$AQ$554,MATCH(T$2,Totalt!$B$1:$AQ$1,0),FALSE),"")</f>
        <v>0</v>
      </c>
      <c r="U69" s="173">
        <f>IFERROR(VLOOKUP($B69,Totalt!$B$1:$AQ$554,MATCH(U$2,Totalt!$B$1:$AQ$1,0),FALSE),"")</f>
        <v>0</v>
      </c>
      <c r="V69" s="173">
        <f>IFERROR(VLOOKUP($B69,Totalt!$B$1:$AQ$554,MATCH(V$2,Totalt!$B$1:$AQ$1,0),FALSE),"")</f>
        <v>0</v>
      </c>
      <c r="W69" s="173">
        <f>IFERROR(VLOOKUP($B69,Totalt!$B$1:$AQ$554,MATCH(W$2,Totalt!$B$1:$AQ$1,0),FALSE),"")</f>
        <v>0</v>
      </c>
      <c r="X69" s="173">
        <f>IFERROR(VLOOKUP($B69,Totalt!$B$1:$AQ$554,MATCH(X$2,Totalt!$B$1:$AQ$1,0),FALSE),"")</f>
        <v>0</v>
      </c>
      <c r="Y69" s="173">
        <f>IFERROR(VLOOKUP($B69,Totalt!$B$1:$AQ$554,MATCH(Y$2,Totalt!$B$1:$AQ$1,0),FALSE),"")</f>
        <v>0</v>
      </c>
      <c r="Z69" s="173">
        <f>IFERROR(VLOOKUP($B69,Totalt!$B$1:$AQ$554,MATCH(Z$2,Totalt!$B$1:$AQ$1,0),FALSE),"")</f>
        <v>0</v>
      </c>
      <c r="AA69" s="173">
        <f>IFERROR(VLOOKUP($B69,Totalt!$B$1:$AQ$554,MATCH(AA$2,Totalt!$B$1:$AQ$1,0),FALSE),"")</f>
        <v>0</v>
      </c>
      <c r="AB69" s="173">
        <f>IFERROR(VLOOKUP($B69,Totalt!$B$1:$AQ$554,MATCH(AB$2,Totalt!$B$1:$AQ$1,0),FALSE),"")</f>
        <v>0</v>
      </c>
      <c r="AC69" s="173">
        <f>IFERROR(VLOOKUP($B69,Totalt!$B$1:$AQ$554,MATCH(AC$2,Totalt!$B$1:$AQ$1,0),FALSE),"")</f>
        <v>0</v>
      </c>
      <c r="AD69" s="173">
        <f>IFERROR(VLOOKUP($B69,Totalt!$B$1:$AQ$554,MATCH(AD$2,Totalt!$B$1:$AQ$1,0),FALSE),"")</f>
        <v>0</v>
      </c>
      <c r="AE69" s="173">
        <f>IFERROR(VLOOKUP($B69,Totalt!$B$1:$AQ$554,MATCH(AE$2,Totalt!$B$1:$AQ$1,0),FALSE),"")</f>
        <v>0</v>
      </c>
      <c r="AF69" s="173">
        <f>IFERROR(VLOOKUP($B69,Totalt!$B$1:$AQ$554,MATCH(AF$2,Totalt!$B$1:$AQ$1,0),FALSE),"")</f>
        <v>1.9E-2</v>
      </c>
      <c r="AG69" s="173">
        <f>IFERROR(VLOOKUP($B69,Totalt!$B$1:$AQ$554,MATCH(AG$2,Totalt!$B$1:$AQ$1,0),FALSE),"")</f>
        <v>0</v>
      </c>
      <c r="AI69" s="226">
        <f t="shared" si="6"/>
        <v>1.018</v>
      </c>
      <c r="AJ69" s="226">
        <f>IF(ISERROR(1/VLOOKUP($B69,Leveranser!$B$1:$S$500,MATCH("såld värme (gwh)",Leveranser!$B$1:$S$1,0),FALSE)),"",VLOOKUP($B69,Leveranser!$B$1:$S$500,MATCH("såld värme (gwh)",Leveranser!$B$1:$S$1,0),FALSE))</f>
        <v>0.76939999999999997</v>
      </c>
      <c r="AM69" s="227" t="str">
        <f>IF(B69&lt;&gt;"",IF(VLOOKUP($B69,Totalt!$B$1:$AQ$554,MATCH("Kvalitetsgranskad:",Totalt!$B$1:$AQ$1,0),FALSE)="ja",VLOOKUP($B69,Miljö!$B$1:$AG$479,MATCH(AM$2,Miljö!$B$1:$AK$1,0),FALSE),""),"")</f>
        <v>Ja</v>
      </c>
      <c r="AN69" s="227" t="str">
        <f>IF(AM69="ja",VLOOKUP($B69,Miljö!$B$1:$J$479,MATCH("Typ av ursprungsspecificerad el   (Om inget värde anges används Nordisk residualmix, se inforuta) ()",Miljö!$B$1:$J$1,0),FALSE),IF(AM69="nej","Nordisk residualel",""))</f>
        <v>'Eskilstuna Bioel'</v>
      </c>
      <c r="AO69" s="227">
        <f>IF(AM69="","",VLOOKUP($B69,Miljö!$B$1:$J$479,MATCH("Fossilandel för ursprungspecificerad el ()",Miljö!$B$1:$J$1,0),FALSE))</f>
        <v>0</v>
      </c>
      <c r="AP69" s="227">
        <f>IF(AM69="","",IFERROR(VLOOKUP($B69,Miljö!$B$1:$J$479,MATCH("Kärnkraftsandel för ursprungsspecificerad el ()",Miljö!$B$1:$J$1,0),FALSE)/1,0))</f>
        <v>0</v>
      </c>
      <c r="AQ69" s="227">
        <f t="shared" si="7"/>
        <v>1</v>
      </c>
      <c r="AR69" s="227"/>
      <c r="AS69" s="227" t="str">
        <f t="shared" si="8"/>
        <v>Nej</v>
      </c>
      <c r="AT69" s="227" t="str">
        <f>IF(AS69="ja",VLOOKUP($B69,Miljö!$B$1:$O$500,MATCH("Fossil andel i procent (%)",Miljö!$B$1:$O$1,0),FALSE)/100,"")</f>
        <v/>
      </c>
      <c r="AU69" s="227"/>
      <c r="AV69" s="227" t="str">
        <f t="shared" si="9"/>
        <v>Nej</v>
      </c>
      <c r="AW69" s="227" t="str">
        <f>IF(AV69="ja",VLOOKUP($B69,'Egen hetvattenprod'!$B$1:$AO$500,MATCH("Värmekälla till värmepumpar ()",'Egen hetvattenprod'!$B$1:$AO$1,0),FALSE),"")</f>
        <v/>
      </c>
      <c r="AX69" s="227"/>
      <c r="AY69" s="227" t="str">
        <f t="shared" si="10"/>
        <v>Nej</v>
      </c>
      <c r="AZ69" s="228" t="str">
        <f>IF($AY69="ja",(VLOOKUP($B69,'Egen hetvattenprod'!$B$1:$BX$550,MATCH(AZ$2,'Egen hetvattenprod'!$B$1:$BX$1,0),FALSE)+VLOOKUP($B69,Kraftvärmeprod!$B$1:$BX$550,MATCH(AZ$2,Kraftvärmeprod!$B$1:$BX$1,0),FALSE))/$AC69,"")</f>
        <v/>
      </c>
      <c r="BA69" s="228" t="str">
        <f>IF($AY69="ja",(VLOOKUP($B69,'Egen hetvattenprod'!$B$1:$BX$550,MATCH(BA$2,'Egen hetvattenprod'!$B$1:$BX$1,0),FALSE)+VLOOKUP($B69,Kraftvärmeprod!$B$1:$BX$550,MATCH(BA$2,Kraftvärmeprod!$B$1:$BX$1,0),FALSE))/$AC69,"")</f>
        <v/>
      </c>
      <c r="BB69" s="228" t="str">
        <f>IF($AY69="ja",(VLOOKUP($B69,'Egen hetvattenprod'!$B$1:$BX$550,MATCH(BB$2,'Egen hetvattenprod'!$B$1:$BX$1,0),FALSE)+VLOOKUP($B69,Kraftvärmeprod!$B$1:$BX$550,MATCH(BB$2,Kraftvärmeprod!$B$1:$BX$1,0),FALSE))/$AC69,"")</f>
        <v/>
      </c>
      <c r="BC69" s="228" t="str">
        <f>IF($AY69="ja",(VLOOKUP($B69,'Egen hetvattenprod'!$B$1:$BX$550,MATCH(BC$2,'Egen hetvattenprod'!$B$1:$BX$1,0),FALSE)+VLOOKUP($B69,Kraftvärmeprod!$B$1:$BX$550,MATCH(BC$2,Kraftvärmeprod!$B$1:$BX$1,0),FALSE))/$AC69,"")</f>
        <v/>
      </c>
      <c r="BD69" s="228" t="str">
        <f>IF($AY69="ja",(VLOOKUP($B69,'Egen hetvattenprod'!$B$1:$BX$550,MATCH(BD$2,'Egen hetvattenprod'!$B$1:$BX$1,0),FALSE)+VLOOKUP($B69,Kraftvärmeprod!$B$1:$BX$550,MATCH(BD$2,Kraftvärmeprod!$B$1:$BX$1,0),FALSE))/$AC69,"")</f>
        <v/>
      </c>
      <c r="BE69" s="227"/>
      <c r="BF69" s="227" t="str">
        <f t="shared" si="11"/>
        <v>Nej</v>
      </c>
      <c r="BG69" s="227" t="str">
        <f>IF($BF69="ja",VLOOKUP($B69,'Egen hetvattenprod'!$B$1:$BX$550,MATCH("Andelen klimatgaser med fossilt ursprung för avfall ()",'Egen hetvattenprod'!$B$1:$BX$1,0),FALSE),"")</f>
        <v/>
      </c>
      <c r="BH69" s="227" t="str">
        <f>IF($BF69="ja",VLOOKUP($B69,Kraftvärmeprod!$B$1:$BX$550,MATCH("Andelen klimatgaser med fossilt ursprung för avfall ()",Kraftvärmeprod!$B$1:$BX$1,0),FALSE),"")</f>
        <v/>
      </c>
      <c r="BI69" s="227" t="str">
        <f>IF($BF69="ja",VLOOKUP($B69,'Egen hetvattenprod'!$B$1:$BX$550,MATCH("Avfall (GWh)",'Egen hetvattenprod'!$B$1:$BX$1,0),FALSE),"")</f>
        <v/>
      </c>
      <c r="BJ69" s="227" t="str">
        <f>IF($BF69="ja",VLOOKUP($B69,'Slutlig allokering kvv'!$B$1:$BX$550,MATCH("Avfall (GWh)",'Slutlig allokering kvv'!$B$1:$BX$1,0),FALSE),"")</f>
        <v/>
      </c>
      <c r="BK69" s="227" t="str">
        <f>IF($BF69="ja",VLOOKUP($B69,'Köpt hetvatten'!$B$1:$BX$550,MATCH("Avfall i köpt hetvatten",'Köpt hetvatten'!$B$1:$BX$1,0),FALSE),"")</f>
        <v/>
      </c>
      <c r="BL69" s="227" t="str">
        <f>IF($BF69="ja",VLOOKUP($B69,'Egen hetvattenprod'!$B$1:$BX$550,MATCH("Värde enligt ovan. (%)",'Egen hetvattenprod'!$B$1:$BX$1,0),FALSE),"")</f>
        <v/>
      </c>
      <c r="BM69" s="227" t="str">
        <f>IF($BF69="ja",VLOOKUP($B69,Kraftvärmeprod!$B$1:$BX$550,MATCH("Värde enligt ovan. (%)",Kraftvärmeprod!$B$1:$BX$1,0),FALSE),"")</f>
        <v/>
      </c>
      <c r="BN69" s="227"/>
      <c r="BO69" s="227"/>
      <c r="BP69" s="227"/>
      <c r="BQ69" s="227" t="str">
        <f>IF($BF69="ja",VLOOKUP($B69,'Egen hetvattenprod'!$B$1:$BX$550,MATCH("Tillförd olja (fossil) vid avfallsförbränning (GWh)",'Egen hetvattenprod'!$B$1:$BX$1,0),FALSE),"")</f>
        <v/>
      </c>
      <c r="BR69" s="227" t="str">
        <f>IF($BF69="ja",VLOOKUP($B69,Kraftvärmeprod!$B$1:$BX$550,MATCH("Tillförd olja (fossil) vid avfallsförbränning (GWh)",Kraftvärmeprod!$B$1:$BX$1,0),FALSE),"")</f>
        <v/>
      </c>
      <c r="BS69" s="227"/>
      <c r="BT69" s="227"/>
      <c r="BU69" s="227"/>
    </row>
    <row r="70" spans="1:73" x14ac:dyDescent="0.25">
      <c r="A70" s="121" t="str">
        <f>'Miljövärden för publ företag'!B73</f>
        <v>Eskilstuna Energi &amp; Miljö AB</v>
      </c>
      <c r="B70" s="121" t="str">
        <f>'Miljövärden för publ företag'!C73</f>
        <v>Ärla</v>
      </c>
      <c r="C70" s="173">
        <f>IFERROR(VLOOKUP($B70,Totalt!$B$1:$AQ$554,MATCH(C$2,Totalt!$B$1:$AQ$1,0),FALSE),"")</f>
        <v>0</v>
      </c>
      <c r="D70" s="173">
        <f>IFERROR(VLOOKUP($B70,Totalt!$B$1:$AQ$554,MATCH(D$2,Totalt!$B$1:$AQ$1,0),FALSE),"")</f>
        <v>0</v>
      </c>
      <c r="E70" s="173">
        <f>IFERROR(VLOOKUP($B70,Totalt!$B$1:$AQ$554,MATCH(E$2,Totalt!$B$1:$AQ$1,0),FALSE),"")</f>
        <v>0</v>
      </c>
      <c r="F70" s="173">
        <f>IFERROR(VLOOKUP($B70,Totalt!$B$1:$AQ$554,MATCH(F$2,Totalt!$B$1:$AQ$1,0),FALSE),"")</f>
        <v>0</v>
      </c>
      <c r="G70" s="173">
        <f>IFERROR(VLOOKUP($B70,Totalt!$B$1:$AQ$554,MATCH(G$2,Totalt!$B$1:$AQ$1,0),FALSE),"")</f>
        <v>0</v>
      </c>
      <c r="H70" s="173">
        <f>IFERROR(VLOOKUP($B70,Totalt!$B$1:$AQ$554,MATCH(H$2,Totalt!$B$1:$AQ$1,0),FALSE),"")</f>
        <v>0</v>
      </c>
      <c r="I70" s="173">
        <f>IFERROR(VLOOKUP($B70,Totalt!$B$1:$AQ$554,MATCH(I$2,Totalt!$B$1:$AQ$1,0),FALSE),"")</f>
        <v>0</v>
      </c>
      <c r="J70" s="173">
        <f>IFERROR(VLOOKUP($B70,Totalt!$B$1:$AQ$554,MATCH(J$2,Totalt!$B$1:$AQ$1,0),FALSE),"")</f>
        <v>0</v>
      </c>
      <c r="K70" s="173">
        <f>IFERROR(VLOOKUP($B70,Totalt!$B$1:$AQ$554,MATCH(K$2,Totalt!$B$1:$AQ$1,0),FALSE),"")</f>
        <v>0</v>
      </c>
      <c r="L70" s="173">
        <f>IFERROR(VLOOKUP($B70,Totalt!$B$1:$AQ$554,MATCH(L$2,Totalt!$B$1:$AQ$1,0),FALSE),"")</f>
        <v>0</v>
      </c>
      <c r="M70" s="173">
        <f>IFERROR(VLOOKUP($B70,Totalt!$B$1:$AQ$554,MATCH(M$2,Totalt!$B$1:$AQ$1,0),FALSE),"")</f>
        <v>0</v>
      </c>
      <c r="N70" s="173">
        <f>IFERROR(VLOOKUP($B70,Totalt!$B$1:$AQ$554,MATCH(N$2,Totalt!$B$1:$AQ$1,0),FALSE),"")</f>
        <v>0</v>
      </c>
      <c r="O70" s="173">
        <f>IFERROR(VLOOKUP($B70,Totalt!$B$1:$AQ$554,MATCH(O$2,Totalt!$B$1:$AQ$1,0),FALSE),"")</f>
        <v>0</v>
      </c>
      <c r="P70" s="173">
        <f>IFERROR(VLOOKUP($B70,Totalt!$B$1:$AQ$554,MATCH(P$2,Totalt!$B$1:$AQ$1,0),FALSE),"")</f>
        <v>0</v>
      </c>
      <c r="Q70" s="173">
        <f>IFERROR(VLOOKUP($B70,Totalt!$B$1:$AQ$554,MATCH(Q$2,Totalt!$B$1:$AQ$1,0),FALSE),"")</f>
        <v>0</v>
      </c>
      <c r="R70" s="173">
        <f>IFERROR(VLOOKUP($B70,Totalt!$B$1:$AQ$554,MATCH(R$2,Totalt!$B$1:$AQ$1,0),FALSE),"")</f>
        <v>5.3819999999999997</v>
      </c>
      <c r="S70" s="173">
        <f>IFERROR(VLOOKUP($B70,Totalt!$B$1:$AQ$554,MATCH(S$2,Totalt!$B$1:$AQ$1,0),FALSE),"")</f>
        <v>0</v>
      </c>
      <c r="T70" s="173">
        <f>IFERROR(VLOOKUP($B70,Totalt!$B$1:$AQ$554,MATCH(T$2,Totalt!$B$1:$AQ$1,0),FALSE),"")</f>
        <v>0</v>
      </c>
      <c r="U70" s="173">
        <f>IFERROR(VLOOKUP($B70,Totalt!$B$1:$AQ$554,MATCH(U$2,Totalt!$B$1:$AQ$1,0),FALSE),"")</f>
        <v>0</v>
      </c>
      <c r="V70" s="173">
        <f>IFERROR(VLOOKUP($B70,Totalt!$B$1:$AQ$554,MATCH(V$2,Totalt!$B$1:$AQ$1,0),FALSE),"")</f>
        <v>0</v>
      </c>
      <c r="W70" s="173">
        <f>IFERROR(VLOOKUP($B70,Totalt!$B$1:$AQ$554,MATCH(W$2,Totalt!$B$1:$AQ$1,0),FALSE),"")</f>
        <v>3.2450000000000001</v>
      </c>
      <c r="X70" s="173">
        <f>IFERROR(VLOOKUP($B70,Totalt!$B$1:$AQ$554,MATCH(X$2,Totalt!$B$1:$AQ$1,0),FALSE),"")</f>
        <v>0</v>
      </c>
      <c r="Y70" s="173">
        <f>IFERROR(VLOOKUP($B70,Totalt!$B$1:$AQ$554,MATCH(Y$2,Totalt!$B$1:$AQ$1,0),FALSE),"")</f>
        <v>0</v>
      </c>
      <c r="Z70" s="173">
        <f>IFERROR(VLOOKUP($B70,Totalt!$B$1:$AQ$554,MATCH(Z$2,Totalt!$B$1:$AQ$1,0),FALSE),"")</f>
        <v>0</v>
      </c>
      <c r="AA70" s="173">
        <f>IFERROR(VLOOKUP($B70,Totalt!$B$1:$AQ$554,MATCH(AA$2,Totalt!$B$1:$AQ$1,0),FALSE),"")</f>
        <v>0</v>
      </c>
      <c r="AB70" s="173">
        <f>IFERROR(VLOOKUP($B70,Totalt!$B$1:$AQ$554,MATCH(AB$2,Totalt!$B$1:$AQ$1,0),FALSE),"")</f>
        <v>0</v>
      </c>
      <c r="AC70" s="173">
        <f>IFERROR(VLOOKUP($B70,Totalt!$B$1:$AQ$554,MATCH(AC$2,Totalt!$B$1:$AQ$1,0),FALSE),"")</f>
        <v>0</v>
      </c>
      <c r="AD70" s="173">
        <f>IFERROR(VLOOKUP($B70,Totalt!$B$1:$AQ$554,MATCH(AD$2,Totalt!$B$1:$AQ$1,0),FALSE),"")</f>
        <v>0</v>
      </c>
      <c r="AE70" s="173">
        <f>IFERROR(VLOOKUP($B70,Totalt!$B$1:$AQ$554,MATCH(AE$2,Totalt!$B$1:$AQ$1,0),FALSE),"")</f>
        <v>0</v>
      </c>
      <c r="AF70" s="173">
        <f>IFERROR(VLOOKUP($B70,Totalt!$B$1:$AQ$554,MATCH(AF$2,Totalt!$B$1:$AQ$1,0),FALSE),"")</f>
        <v>0.125</v>
      </c>
      <c r="AG70" s="173">
        <f>IFERROR(VLOOKUP($B70,Totalt!$B$1:$AQ$554,MATCH(AG$2,Totalt!$B$1:$AQ$1,0),FALSE),"")</f>
        <v>0</v>
      </c>
      <c r="AI70" s="226">
        <f t="shared" si="6"/>
        <v>8.7519999999999989</v>
      </c>
      <c r="AJ70" s="226">
        <f>IF(ISERROR(1/VLOOKUP($B70,Leveranser!$B$1:$S$500,MATCH("såld värme (gwh)",Leveranser!$B$1:$S$1,0),FALSE)),"",VLOOKUP($B70,Leveranser!$B$1:$S$500,MATCH("såld värme (gwh)",Leveranser!$B$1:$S$1,0),FALSE))</f>
        <v>5.8570000000000002</v>
      </c>
      <c r="AM70" s="227" t="str">
        <f>IF(B70&lt;&gt;"",IF(VLOOKUP($B70,Totalt!$B$1:$AQ$554,MATCH("Kvalitetsgranskad:",Totalt!$B$1:$AQ$1,0),FALSE)="ja",VLOOKUP($B70,Miljö!$B$1:$AG$479,MATCH(AM$2,Miljö!$B$1:$AK$1,0),FALSE),""),"")</f>
        <v>Ja</v>
      </c>
      <c r="AN70" s="227" t="str">
        <f>IF(AM70="ja",VLOOKUP($B70,Miljö!$B$1:$J$479,MATCH("Typ av ursprungsspecificerad el   (Om inget värde anges används Nordisk residualmix, se inforuta) ()",Miljö!$B$1:$J$1,0),FALSE),IF(AM70="nej","Nordisk residualel",""))</f>
        <v>'Eskilstuna Bioel'</v>
      </c>
      <c r="AO70" s="227">
        <f>IF(AM70="","",VLOOKUP($B70,Miljö!$B$1:$J$479,MATCH("Fossilandel för ursprungspecificerad el ()",Miljö!$B$1:$J$1,0),FALSE))</f>
        <v>0</v>
      </c>
      <c r="AP70" s="227">
        <f>IF(AM70="","",IFERROR(VLOOKUP($B70,Miljö!$B$1:$J$479,MATCH("Kärnkraftsandel för ursprungsspecificerad el ()",Miljö!$B$1:$J$1,0),FALSE)/1,0))</f>
        <v>0</v>
      </c>
      <c r="AQ70" s="227">
        <f t="shared" si="7"/>
        <v>1</v>
      </c>
      <c r="AR70" s="227"/>
      <c r="AS70" s="227" t="str">
        <f t="shared" si="8"/>
        <v>Nej</v>
      </c>
      <c r="AT70" s="227" t="str">
        <f>IF(AS70="ja",VLOOKUP($B70,Miljö!$B$1:$O$500,MATCH("Fossil andel i procent (%)",Miljö!$B$1:$O$1,0),FALSE)/100,"")</f>
        <v/>
      </c>
      <c r="AU70" s="227"/>
      <c r="AV70" s="227" t="str">
        <f t="shared" si="9"/>
        <v>Nej</v>
      </c>
      <c r="AW70" s="227" t="str">
        <f>IF(AV70="ja",VLOOKUP($B70,'Egen hetvattenprod'!$B$1:$AO$500,MATCH("Värmekälla till värmepumpar ()",'Egen hetvattenprod'!$B$1:$AO$1,0),FALSE),"")</f>
        <v/>
      </c>
      <c r="AX70" s="227"/>
      <c r="AY70" s="227" t="str">
        <f t="shared" si="10"/>
        <v>Nej</v>
      </c>
      <c r="AZ70" s="228" t="str">
        <f>IF($AY70="ja",(VLOOKUP($B70,'Egen hetvattenprod'!$B$1:$BX$550,MATCH(AZ$2,'Egen hetvattenprod'!$B$1:$BX$1,0),FALSE)+VLOOKUP($B70,Kraftvärmeprod!$B$1:$BX$550,MATCH(AZ$2,Kraftvärmeprod!$B$1:$BX$1,0),FALSE))/$AC70,"")</f>
        <v/>
      </c>
      <c r="BA70" s="228" t="str">
        <f>IF($AY70="ja",(VLOOKUP($B70,'Egen hetvattenprod'!$B$1:$BX$550,MATCH(BA$2,'Egen hetvattenprod'!$B$1:$BX$1,0),FALSE)+VLOOKUP($B70,Kraftvärmeprod!$B$1:$BX$550,MATCH(BA$2,Kraftvärmeprod!$B$1:$BX$1,0),FALSE))/$AC70,"")</f>
        <v/>
      </c>
      <c r="BB70" s="228" t="str">
        <f>IF($AY70="ja",(VLOOKUP($B70,'Egen hetvattenprod'!$B$1:$BX$550,MATCH(BB$2,'Egen hetvattenprod'!$B$1:$BX$1,0),FALSE)+VLOOKUP($B70,Kraftvärmeprod!$B$1:$BX$550,MATCH(BB$2,Kraftvärmeprod!$B$1:$BX$1,0),FALSE))/$AC70,"")</f>
        <v/>
      </c>
      <c r="BC70" s="228" t="str">
        <f>IF($AY70="ja",(VLOOKUP($B70,'Egen hetvattenprod'!$B$1:$BX$550,MATCH(BC$2,'Egen hetvattenprod'!$B$1:$BX$1,0),FALSE)+VLOOKUP($B70,Kraftvärmeprod!$B$1:$BX$550,MATCH(BC$2,Kraftvärmeprod!$B$1:$BX$1,0),FALSE))/$AC70,"")</f>
        <v/>
      </c>
      <c r="BD70" s="228" t="str">
        <f>IF($AY70="ja",(VLOOKUP($B70,'Egen hetvattenprod'!$B$1:$BX$550,MATCH(BD$2,'Egen hetvattenprod'!$B$1:$BX$1,0),FALSE)+VLOOKUP($B70,Kraftvärmeprod!$B$1:$BX$550,MATCH(BD$2,Kraftvärmeprod!$B$1:$BX$1,0),FALSE))/$AC70,"")</f>
        <v/>
      </c>
      <c r="BE70" s="227"/>
      <c r="BF70" s="227" t="str">
        <f t="shared" si="11"/>
        <v>Nej</v>
      </c>
      <c r="BG70" s="227" t="str">
        <f>IF($BF70="ja",VLOOKUP($B70,'Egen hetvattenprod'!$B$1:$BX$550,MATCH("Andelen klimatgaser med fossilt ursprung för avfall ()",'Egen hetvattenprod'!$B$1:$BX$1,0),FALSE),"")</f>
        <v/>
      </c>
      <c r="BH70" s="227" t="str">
        <f>IF($BF70="ja",VLOOKUP($B70,Kraftvärmeprod!$B$1:$BX$550,MATCH("Andelen klimatgaser med fossilt ursprung för avfall ()",Kraftvärmeprod!$B$1:$BX$1,0),FALSE),"")</f>
        <v/>
      </c>
      <c r="BI70" s="227" t="str">
        <f>IF($BF70="ja",VLOOKUP($B70,'Egen hetvattenprod'!$B$1:$BX$550,MATCH("Avfall (GWh)",'Egen hetvattenprod'!$B$1:$BX$1,0),FALSE),"")</f>
        <v/>
      </c>
      <c r="BJ70" s="227" t="str">
        <f>IF($BF70="ja",VLOOKUP($B70,'Slutlig allokering kvv'!$B$1:$BX$550,MATCH("Avfall (GWh)",'Slutlig allokering kvv'!$B$1:$BX$1,0),FALSE),"")</f>
        <v/>
      </c>
      <c r="BK70" s="227" t="str">
        <f>IF($BF70="ja",VLOOKUP($B70,'Köpt hetvatten'!$B$1:$BX$550,MATCH("Avfall i köpt hetvatten",'Köpt hetvatten'!$B$1:$BX$1,0),FALSE),"")</f>
        <v/>
      </c>
      <c r="BL70" s="227" t="str">
        <f>IF($BF70="ja",VLOOKUP($B70,'Egen hetvattenprod'!$B$1:$BX$550,MATCH("Värde enligt ovan. (%)",'Egen hetvattenprod'!$B$1:$BX$1,0),FALSE),"")</f>
        <v/>
      </c>
      <c r="BM70" s="227" t="str">
        <f>IF($BF70="ja",VLOOKUP($B70,Kraftvärmeprod!$B$1:$BX$550,MATCH("Värde enligt ovan. (%)",Kraftvärmeprod!$B$1:$BX$1,0),FALSE),"")</f>
        <v/>
      </c>
      <c r="BN70" s="227"/>
      <c r="BO70" s="227"/>
      <c r="BP70" s="227"/>
      <c r="BQ70" s="227" t="str">
        <f>IF($BF70="ja",VLOOKUP($B70,'Egen hetvattenprod'!$B$1:$BX$550,MATCH("Tillförd olja (fossil) vid avfallsförbränning (GWh)",'Egen hetvattenprod'!$B$1:$BX$1,0),FALSE),"")</f>
        <v/>
      </c>
      <c r="BR70" s="227" t="str">
        <f>IF($BF70="ja",VLOOKUP($B70,Kraftvärmeprod!$B$1:$BX$550,MATCH("Tillförd olja (fossil) vid avfallsförbränning (GWh)",Kraftvärmeprod!$B$1:$BX$1,0),FALSE),"")</f>
        <v/>
      </c>
      <c r="BS70" s="227"/>
      <c r="BT70" s="227"/>
      <c r="BU70" s="227"/>
    </row>
    <row r="71" spans="1:73" x14ac:dyDescent="0.25">
      <c r="A71" s="121" t="str">
        <f>'Miljövärden för publ företag'!B74</f>
        <v>Falbygdens Energi AB</v>
      </c>
      <c r="B71" s="121" t="str">
        <f>'Miljövärden för publ företag'!C74</f>
        <v>Falköping</v>
      </c>
      <c r="C71" s="173">
        <f>IFERROR(VLOOKUP($B71,Totalt!$B$1:$AQ$554,MATCH(C$2,Totalt!$B$1:$AQ$1,0),FALSE),"")</f>
        <v>0</v>
      </c>
      <c r="D71" s="173">
        <f>IFERROR(VLOOKUP($B71,Totalt!$B$1:$AQ$554,MATCH(D$2,Totalt!$B$1:$AQ$1,0),FALSE),"")</f>
        <v>0</v>
      </c>
      <c r="E71" s="173">
        <f>IFERROR(VLOOKUP($B71,Totalt!$B$1:$AQ$554,MATCH(E$2,Totalt!$B$1:$AQ$1,0),FALSE),"")</f>
        <v>0</v>
      </c>
      <c r="F71" s="173">
        <f>IFERROR(VLOOKUP($B71,Totalt!$B$1:$AQ$554,MATCH(F$2,Totalt!$B$1:$AQ$1,0),FALSE),"")</f>
        <v>0</v>
      </c>
      <c r="G71" s="173">
        <f>IFERROR(VLOOKUP($B71,Totalt!$B$1:$AQ$554,MATCH(G$2,Totalt!$B$1:$AQ$1,0),FALSE),"")</f>
        <v>0</v>
      </c>
      <c r="H71" s="173">
        <f>IFERROR(VLOOKUP($B71,Totalt!$B$1:$AQ$554,MATCH(H$2,Totalt!$B$1:$AQ$1,0),FALSE),"")</f>
        <v>0</v>
      </c>
      <c r="I71" s="173">
        <f>IFERROR(VLOOKUP($B71,Totalt!$B$1:$AQ$554,MATCH(I$2,Totalt!$B$1:$AQ$1,0),FALSE),"")</f>
        <v>0</v>
      </c>
      <c r="J71" s="173">
        <f>IFERROR(VLOOKUP($B71,Totalt!$B$1:$AQ$554,MATCH(J$2,Totalt!$B$1:$AQ$1,0),FALSE),"")</f>
        <v>0</v>
      </c>
      <c r="K71" s="173">
        <f>IFERROR(VLOOKUP($B71,Totalt!$B$1:$AQ$554,MATCH(K$2,Totalt!$B$1:$AQ$1,0),FALSE),"")</f>
        <v>0</v>
      </c>
      <c r="L71" s="173">
        <f>IFERROR(VLOOKUP($B71,Totalt!$B$1:$AQ$554,MATCH(L$2,Totalt!$B$1:$AQ$1,0),FALSE),"")</f>
        <v>0</v>
      </c>
      <c r="M71" s="173">
        <f>IFERROR(VLOOKUP($B71,Totalt!$B$1:$AQ$554,MATCH(M$2,Totalt!$B$1:$AQ$1,0),FALSE),"")</f>
        <v>6.8791900000000004</v>
      </c>
      <c r="N71" s="173">
        <f>IFERROR(VLOOKUP($B71,Totalt!$B$1:$AQ$554,MATCH(N$2,Totalt!$B$1:$AQ$1,0),FALSE),"")</f>
        <v>57.925899999999999</v>
      </c>
      <c r="O71" s="173">
        <f>IFERROR(VLOOKUP($B71,Totalt!$B$1:$AQ$554,MATCH(O$2,Totalt!$B$1:$AQ$1,0),FALSE),"")</f>
        <v>0</v>
      </c>
      <c r="P71" s="173">
        <f>IFERROR(VLOOKUP($B71,Totalt!$B$1:$AQ$554,MATCH(P$2,Totalt!$B$1:$AQ$1,0),FALSE),"")</f>
        <v>24.233499999999999</v>
      </c>
      <c r="Q71" s="173">
        <f>IFERROR(VLOOKUP($B71,Totalt!$B$1:$AQ$554,MATCH(Q$2,Totalt!$B$1:$AQ$1,0),FALSE),"")</f>
        <v>12.585800000000001</v>
      </c>
      <c r="R71" s="173">
        <f>IFERROR(VLOOKUP($B71,Totalt!$B$1:$AQ$554,MATCH(R$2,Totalt!$B$1:$AQ$1,0),FALSE),"")</f>
        <v>0</v>
      </c>
      <c r="S71" s="173">
        <f>IFERROR(VLOOKUP($B71,Totalt!$B$1:$AQ$554,MATCH(S$2,Totalt!$B$1:$AQ$1,0),FALSE),"")</f>
        <v>7.8</v>
      </c>
      <c r="T71" s="173">
        <f>IFERROR(VLOOKUP($B71,Totalt!$B$1:$AQ$554,MATCH(T$2,Totalt!$B$1:$AQ$1,0),FALSE),"")</f>
        <v>0</v>
      </c>
      <c r="U71" s="173">
        <f>IFERROR(VLOOKUP($B71,Totalt!$B$1:$AQ$554,MATCH(U$2,Totalt!$B$1:$AQ$1,0),FALSE),"")</f>
        <v>0</v>
      </c>
      <c r="V71" s="173">
        <f>IFERROR(VLOOKUP($B71,Totalt!$B$1:$AQ$554,MATCH(V$2,Totalt!$B$1:$AQ$1,0),FALSE),"")</f>
        <v>0</v>
      </c>
      <c r="W71" s="173">
        <f>IFERROR(VLOOKUP($B71,Totalt!$B$1:$AQ$554,MATCH(W$2,Totalt!$B$1:$AQ$1,0),FALSE),"")</f>
        <v>1.0465599999999999</v>
      </c>
      <c r="X71" s="173">
        <f>IFERROR(VLOOKUP($B71,Totalt!$B$1:$AQ$554,MATCH(X$2,Totalt!$B$1:$AQ$1,0),FALSE),"")</f>
        <v>0</v>
      </c>
      <c r="Y71" s="173">
        <f>IFERROR(VLOOKUP($B71,Totalt!$B$1:$AQ$554,MATCH(Y$2,Totalt!$B$1:$AQ$1,0),FALSE),"")</f>
        <v>0</v>
      </c>
      <c r="Z71" s="173">
        <f>IFERROR(VLOOKUP($B71,Totalt!$B$1:$AQ$554,MATCH(Z$2,Totalt!$B$1:$AQ$1,0),FALSE),"")</f>
        <v>0</v>
      </c>
      <c r="AA71" s="173">
        <f>IFERROR(VLOOKUP($B71,Totalt!$B$1:$AQ$554,MATCH(AA$2,Totalt!$B$1:$AQ$1,0),FALSE),"")</f>
        <v>0</v>
      </c>
      <c r="AB71" s="173">
        <f>IFERROR(VLOOKUP($B71,Totalt!$B$1:$AQ$554,MATCH(AB$2,Totalt!$B$1:$AQ$1,0),FALSE),"")</f>
        <v>0</v>
      </c>
      <c r="AC71" s="173">
        <f>IFERROR(VLOOKUP($B71,Totalt!$B$1:$AQ$554,MATCH(AC$2,Totalt!$B$1:$AQ$1,0),FALSE),"")</f>
        <v>24.3</v>
      </c>
      <c r="AD71" s="173">
        <f>IFERROR(VLOOKUP($B71,Totalt!$B$1:$AQ$554,MATCH(AD$2,Totalt!$B$1:$AQ$1,0),FALSE),"")</f>
        <v>0</v>
      </c>
      <c r="AE71" s="173">
        <f>IFERROR(VLOOKUP($B71,Totalt!$B$1:$AQ$554,MATCH(AE$2,Totalt!$B$1:$AQ$1,0),FALSE),"")</f>
        <v>0</v>
      </c>
      <c r="AF71" s="173">
        <f>IFERROR(VLOOKUP($B71,Totalt!$B$1:$AQ$554,MATCH(AF$2,Totalt!$B$1:$AQ$1,0),FALSE),"")</f>
        <v>3.1210900000000001</v>
      </c>
      <c r="AG71" s="173">
        <f>IFERROR(VLOOKUP($B71,Totalt!$B$1:$AQ$554,MATCH(AG$2,Totalt!$B$1:$AQ$1,0),FALSE),"")</f>
        <v>0</v>
      </c>
      <c r="AI71" s="226">
        <f t="shared" si="6"/>
        <v>137.89204000000001</v>
      </c>
      <c r="AJ71" s="226">
        <f>IF(ISERROR(1/VLOOKUP($B71,Leveranser!$B$1:$S$500,MATCH("såld värme (gwh)",Leveranser!$B$1:$S$1,0),FALSE)),"",VLOOKUP($B71,Leveranser!$B$1:$S$500,MATCH("såld värme (gwh)",Leveranser!$B$1:$S$1,0),FALSE))</f>
        <v>103.4</v>
      </c>
      <c r="AM71" s="227" t="str">
        <f>IF(B71&lt;&gt;"",IF(VLOOKUP($B71,Totalt!$B$1:$AQ$554,MATCH("Kvalitetsgranskad:",Totalt!$B$1:$AQ$1,0),FALSE)="ja",VLOOKUP($B71,Miljö!$B$1:$AG$479,MATCH(AM$2,Miljö!$B$1:$AK$1,0),FALSE),""),"")</f>
        <v>Ja</v>
      </c>
      <c r="AN71" s="227" t="str">
        <f>IF(AM71="ja",VLOOKUP($B71,Miljö!$B$1:$J$479,MATCH("Typ av ursprungsspecificerad el   (Om inget värde anges används Nordisk residualmix, se inforuta) ()",Miljö!$B$1:$J$1,0),FALSE),IF(AM71="nej","Nordisk residualel",""))</f>
        <v>'Bra Miljöval'</v>
      </c>
      <c r="AO71" s="227">
        <f>IF(AM71="","",VLOOKUP($B71,Miljö!$B$1:$J$479,MATCH("Fossilandel för ursprungspecificerad el ()",Miljö!$B$1:$J$1,0),FALSE))</f>
        <v>0</v>
      </c>
      <c r="AP71" s="227">
        <f>IF(AM71="","",IFERROR(VLOOKUP($B71,Miljö!$B$1:$J$479,MATCH("Kärnkraftsandel för ursprungsspecificerad el ()",Miljö!$B$1:$J$1,0),FALSE)/1,0))</f>
        <v>0</v>
      </c>
      <c r="AQ71" s="227">
        <f t="shared" si="7"/>
        <v>1</v>
      </c>
      <c r="AR71" s="227"/>
      <c r="AS71" s="227" t="str">
        <f t="shared" si="8"/>
        <v>Nej</v>
      </c>
      <c r="AT71" s="227" t="str">
        <f>IF(AS71="ja",VLOOKUP($B71,Miljö!$B$1:$O$500,MATCH("Fossil andel i procent (%)",Miljö!$B$1:$O$1,0),FALSE)/100,"")</f>
        <v/>
      </c>
      <c r="AU71" s="227"/>
      <c r="AV71" s="227" t="str">
        <f t="shared" si="9"/>
        <v>Nej</v>
      </c>
      <c r="AW71" s="227" t="str">
        <f>IF(AV71="ja",VLOOKUP($B71,'Egen hetvattenprod'!$B$1:$AO$500,MATCH("Värmekälla till värmepumpar ()",'Egen hetvattenprod'!$B$1:$AO$1,0),FALSE),"")</f>
        <v/>
      </c>
      <c r="AX71" s="227"/>
      <c r="AY71" s="227" t="str">
        <f t="shared" si="10"/>
        <v>Ja</v>
      </c>
      <c r="AZ71" s="228">
        <f>IF($AY71="ja",(VLOOKUP($B71,'Egen hetvattenprod'!$B$1:$BX$550,MATCH(AZ$2,'Egen hetvattenprod'!$B$1:$BX$1,0),FALSE)+VLOOKUP($B71,Kraftvärmeprod!$B$1:$BX$550,MATCH(AZ$2,Kraftvärmeprod!$B$1:$BX$1,0),FALSE))/$AC71,"")</f>
        <v>1</v>
      </c>
      <c r="BA71" s="228">
        <f>IF($AY71="ja",(VLOOKUP($B71,'Egen hetvattenprod'!$B$1:$BX$550,MATCH(BA$2,'Egen hetvattenprod'!$B$1:$BX$1,0),FALSE)+VLOOKUP($B71,Kraftvärmeprod!$B$1:$BX$550,MATCH(BA$2,Kraftvärmeprod!$B$1:$BX$1,0),FALSE))/$AC71,"")</f>
        <v>0</v>
      </c>
      <c r="BB71" s="228">
        <f>IF($AY71="ja",(VLOOKUP($B71,'Egen hetvattenprod'!$B$1:$BX$550,MATCH(BB$2,'Egen hetvattenprod'!$B$1:$BX$1,0),FALSE)+VLOOKUP($B71,Kraftvärmeprod!$B$1:$BX$550,MATCH(BB$2,Kraftvärmeprod!$B$1:$BX$1,0),FALSE))/$AC71,"")</f>
        <v>0</v>
      </c>
      <c r="BC71" s="228">
        <f>IF($AY71="ja",(VLOOKUP($B71,'Egen hetvattenprod'!$B$1:$BX$550,MATCH(BC$2,'Egen hetvattenprod'!$B$1:$BX$1,0),FALSE)+VLOOKUP($B71,Kraftvärmeprod!$B$1:$BX$550,MATCH(BC$2,Kraftvärmeprod!$B$1:$BX$1,0),FALSE))/$AC71,"")</f>
        <v>0</v>
      </c>
      <c r="BD71" s="228">
        <f>IF($AY71="ja",(VLOOKUP($B71,'Egen hetvattenprod'!$B$1:$BX$550,MATCH(BD$2,'Egen hetvattenprod'!$B$1:$BX$1,0),FALSE)+VLOOKUP($B71,Kraftvärmeprod!$B$1:$BX$550,MATCH(BD$2,Kraftvärmeprod!$B$1:$BX$1,0),FALSE))/$AC71,"")</f>
        <v>0</v>
      </c>
      <c r="BE71" s="227"/>
      <c r="BF71" s="227" t="str">
        <f t="shared" si="11"/>
        <v>Nej</v>
      </c>
      <c r="BG71" s="227" t="str">
        <f>IF($BF71="ja",VLOOKUP($B71,'Egen hetvattenprod'!$B$1:$BX$550,MATCH("Andelen klimatgaser med fossilt ursprung för avfall ()",'Egen hetvattenprod'!$B$1:$BX$1,0),FALSE),"")</f>
        <v/>
      </c>
      <c r="BH71" s="227" t="str">
        <f>IF($BF71="ja",VLOOKUP($B71,Kraftvärmeprod!$B$1:$BX$550,MATCH("Andelen klimatgaser med fossilt ursprung för avfall ()",Kraftvärmeprod!$B$1:$BX$1,0),FALSE),"")</f>
        <v/>
      </c>
      <c r="BI71" s="227" t="str">
        <f>IF($BF71="ja",VLOOKUP($B71,'Egen hetvattenprod'!$B$1:$BX$550,MATCH("Avfall (GWh)",'Egen hetvattenprod'!$B$1:$BX$1,0),FALSE),"")</f>
        <v/>
      </c>
      <c r="BJ71" s="227" t="str">
        <f>IF($BF71="ja",VLOOKUP($B71,'Slutlig allokering kvv'!$B$1:$BX$550,MATCH("Avfall (GWh)",'Slutlig allokering kvv'!$B$1:$BX$1,0),FALSE),"")</f>
        <v/>
      </c>
      <c r="BK71" s="227" t="str">
        <f>IF($BF71="ja",VLOOKUP($B71,'Köpt hetvatten'!$B$1:$BX$550,MATCH("Avfall i köpt hetvatten",'Köpt hetvatten'!$B$1:$BX$1,0),FALSE),"")</f>
        <v/>
      </c>
      <c r="BL71" s="227" t="str">
        <f>IF($BF71="ja",VLOOKUP($B71,'Egen hetvattenprod'!$B$1:$BX$550,MATCH("Värde enligt ovan. (%)",'Egen hetvattenprod'!$B$1:$BX$1,0),FALSE),"")</f>
        <v/>
      </c>
      <c r="BM71" s="227" t="str">
        <f>IF($BF71="ja",VLOOKUP($B71,Kraftvärmeprod!$B$1:$BX$550,MATCH("Värde enligt ovan. (%)",Kraftvärmeprod!$B$1:$BX$1,0),FALSE),"")</f>
        <v/>
      </c>
      <c r="BN71" s="227"/>
      <c r="BO71" s="227"/>
      <c r="BP71" s="227"/>
      <c r="BQ71" s="227" t="str">
        <f>IF($BF71="ja",VLOOKUP($B71,'Egen hetvattenprod'!$B$1:$BX$550,MATCH("Tillförd olja (fossil) vid avfallsförbränning (GWh)",'Egen hetvattenprod'!$B$1:$BX$1,0),FALSE),"")</f>
        <v/>
      </c>
      <c r="BR71" s="227" t="str">
        <f>IF($BF71="ja",VLOOKUP($B71,Kraftvärmeprod!$B$1:$BX$550,MATCH("Tillförd olja (fossil) vid avfallsförbränning (GWh)",Kraftvärmeprod!$B$1:$BX$1,0),FALSE),"")</f>
        <v/>
      </c>
      <c r="BS71" s="227"/>
      <c r="BT71" s="227"/>
      <c r="BU71" s="227"/>
    </row>
    <row r="72" spans="1:73" x14ac:dyDescent="0.25">
      <c r="A72" s="121" t="str">
        <f>'Miljövärden för publ företag'!B75</f>
        <v>Falbygdens Energi AB</v>
      </c>
      <c r="B72" s="121" t="str">
        <f>'Miljövärden för publ företag'!C75</f>
        <v>Floby</v>
      </c>
      <c r="C72" s="173">
        <f>IFERROR(VLOOKUP($B72,Totalt!$B$1:$AQ$554,MATCH(C$2,Totalt!$B$1:$AQ$1,0),FALSE),"")</f>
        <v>0</v>
      </c>
      <c r="D72" s="173">
        <f>IFERROR(VLOOKUP($B72,Totalt!$B$1:$AQ$554,MATCH(D$2,Totalt!$B$1:$AQ$1,0),FALSE),"")</f>
        <v>0</v>
      </c>
      <c r="E72" s="173">
        <f>IFERROR(VLOOKUP($B72,Totalt!$B$1:$AQ$554,MATCH(E$2,Totalt!$B$1:$AQ$1,0),FALSE),"")</f>
        <v>0</v>
      </c>
      <c r="F72" s="173">
        <f>IFERROR(VLOOKUP($B72,Totalt!$B$1:$AQ$554,MATCH(F$2,Totalt!$B$1:$AQ$1,0),FALSE),"")</f>
        <v>0</v>
      </c>
      <c r="G72" s="173">
        <f>IFERROR(VLOOKUP($B72,Totalt!$B$1:$AQ$554,MATCH(G$2,Totalt!$B$1:$AQ$1,0),FALSE),"")</f>
        <v>0</v>
      </c>
      <c r="H72" s="173">
        <f>IFERROR(VLOOKUP($B72,Totalt!$B$1:$AQ$554,MATCH(H$2,Totalt!$B$1:$AQ$1,0),FALSE),"")</f>
        <v>0</v>
      </c>
      <c r="I72" s="173">
        <f>IFERROR(VLOOKUP($B72,Totalt!$B$1:$AQ$554,MATCH(I$2,Totalt!$B$1:$AQ$1,0),FALSE),"")</f>
        <v>0</v>
      </c>
      <c r="J72" s="173">
        <f>IFERROR(VLOOKUP($B72,Totalt!$B$1:$AQ$554,MATCH(J$2,Totalt!$B$1:$AQ$1,0),FALSE),"")</f>
        <v>0</v>
      </c>
      <c r="K72" s="173">
        <f>IFERROR(VLOOKUP($B72,Totalt!$B$1:$AQ$554,MATCH(K$2,Totalt!$B$1:$AQ$1,0),FALSE),"")</f>
        <v>0</v>
      </c>
      <c r="L72" s="173">
        <f>IFERROR(VLOOKUP($B72,Totalt!$B$1:$AQ$554,MATCH(L$2,Totalt!$B$1:$AQ$1,0),FALSE),"")</f>
        <v>0</v>
      </c>
      <c r="M72" s="173">
        <f>IFERROR(VLOOKUP($B72,Totalt!$B$1:$AQ$554,MATCH(M$2,Totalt!$B$1:$AQ$1,0),FALSE),"")</f>
        <v>0</v>
      </c>
      <c r="N72" s="173">
        <f>IFERROR(VLOOKUP($B72,Totalt!$B$1:$AQ$554,MATCH(N$2,Totalt!$B$1:$AQ$1,0),FALSE),"")</f>
        <v>0</v>
      </c>
      <c r="O72" s="173">
        <f>IFERROR(VLOOKUP($B72,Totalt!$B$1:$AQ$554,MATCH(O$2,Totalt!$B$1:$AQ$1,0),FALSE),"")</f>
        <v>0</v>
      </c>
      <c r="P72" s="173">
        <f>IFERROR(VLOOKUP($B72,Totalt!$B$1:$AQ$554,MATCH(P$2,Totalt!$B$1:$AQ$1,0),FALSE),"")</f>
        <v>0</v>
      </c>
      <c r="Q72" s="173">
        <f>IFERROR(VLOOKUP($B72,Totalt!$B$1:$AQ$554,MATCH(Q$2,Totalt!$B$1:$AQ$1,0),FALSE),"")</f>
        <v>0</v>
      </c>
      <c r="R72" s="173">
        <f>IFERROR(VLOOKUP($B72,Totalt!$B$1:$AQ$554,MATCH(R$2,Totalt!$B$1:$AQ$1,0),FALSE),"")</f>
        <v>0</v>
      </c>
      <c r="S72" s="173">
        <f>IFERROR(VLOOKUP($B72,Totalt!$B$1:$AQ$554,MATCH(S$2,Totalt!$B$1:$AQ$1,0),FALSE),"")</f>
        <v>12.1</v>
      </c>
      <c r="T72" s="173">
        <f>IFERROR(VLOOKUP($B72,Totalt!$B$1:$AQ$554,MATCH(T$2,Totalt!$B$1:$AQ$1,0),FALSE),"")</f>
        <v>0</v>
      </c>
      <c r="U72" s="173">
        <f>IFERROR(VLOOKUP($B72,Totalt!$B$1:$AQ$554,MATCH(U$2,Totalt!$B$1:$AQ$1,0),FALSE),"")</f>
        <v>0</v>
      </c>
      <c r="V72" s="173">
        <f>IFERROR(VLOOKUP($B72,Totalt!$B$1:$AQ$554,MATCH(V$2,Totalt!$B$1:$AQ$1,0),FALSE),"")</f>
        <v>0</v>
      </c>
      <c r="W72" s="173">
        <f>IFERROR(VLOOKUP($B72,Totalt!$B$1:$AQ$554,MATCH(W$2,Totalt!$B$1:$AQ$1,0),FALSE),"")</f>
        <v>0.18099999999999999</v>
      </c>
      <c r="X72" s="173">
        <f>IFERROR(VLOOKUP($B72,Totalt!$B$1:$AQ$554,MATCH(X$2,Totalt!$B$1:$AQ$1,0),FALSE),"")</f>
        <v>0</v>
      </c>
      <c r="Y72" s="173">
        <f>IFERROR(VLOOKUP($B72,Totalt!$B$1:$AQ$554,MATCH(Y$2,Totalt!$B$1:$AQ$1,0),FALSE),"")</f>
        <v>0</v>
      </c>
      <c r="Z72" s="173">
        <f>IFERROR(VLOOKUP($B72,Totalt!$B$1:$AQ$554,MATCH(Z$2,Totalt!$B$1:$AQ$1,0),FALSE),"")</f>
        <v>0</v>
      </c>
      <c r="AA72" s="173">
        <f>IFERROR(VLOOKUP($B72,Totalt!$B$1:$AQ$554,MATCH(AA$2,Totalt!$B$1:$AQ$1,0),FALSE),"")</f>
        <v>0</v>
      </c>
      <c r="AB72" s="173">
        <f>IFERROR(VLOOKUP($B72,Totalt!$B$1:$AQ$554,MATCH(AB$2,Totalt!$B$1:$AQ$1,0),FALSE),"")</f>
        <v>0</v>
      </c>
      <c r="AC72" s="173">
        <f>IFERROR(VLOOKUP($B72,Totalt!$B$1:$AQ$554,MATCH(AC$2,Totalt!$B$1:$AQ$1,0),FALSE),"")</f>
        <v>0</v>
      </c>
      <c r="AD72" s="173">
        <f>IFERROR(VLOOKUP($B72,Totalt!$B$1:$AQ$554,MATCH(AD$2,Totalt!$B$1:$AQ$1,0),FALSE),"")</f>
        <v>0</v>
      </c>
      <c r="AE72" s="173">
        <f>IFERROR(VLOOKUP($B72,Totalt!$B$1:$AQ$554,MATCH(AE$2,Totalt!$B$1:$AQ$1,0),FALSE),"")</f>
        <v>0</v>
      </c>
      <c r="AF72" s="173">
        <f>IFERROR(VLOOKUP($B72,Totalt!$B$1:$AQ$554,MATCH(AF$2,Totalt!$B$1:$AQ$1,0),FALSE),"")</f>
        <v>0.12</v>
      </c>
      <c r="AG72" s="173">
        <f>IFERROR(VLOOKUP($B72,Totalt!$B$1:$AQ$554,MATCH(AG$2,Totalt!$B$1:$AQ$1,0),FALSE),"")</f>
        <v>0</v>
      </c>
      <c r="AI72" s="226">
        <f t="shared" si="6"/>
        <v>12.400999999999998</v>
      </c>
      <c r="AJ72" s="226">
        <f>IF(ISERROR(1/VLOOKUP($B72,Leveranser!$B$1:$S$500,MATCH("såld värme (gwh)",Leveranser!$B$1:$S$1,0),FALSE)),"",VLOOKUP($B72,Leveranser!$B$1:$S$500,MATCH("såld värme (gwh)",Leveranser!$B$1:$S$1,0),FALSE))</f>
        <v>10.9</v>
      </c>
      <c r="AM72" s="227" t="str">
        <f>IF(B72&lt;&gt;"",IF(VLOOKUP($B72,Totalt!$B$1:$AQ$554,MATCH("Kvalitetsgranskad:",Totalt!$B$1:$AQ$1,0),FALSE)="ja",VLOOKUP($B72,Miljö!$B$1:$AG$479,MATCH(AM$2,Miljö!$B$1:$AK$1,0),FALSE),""),"")</f>
        <v>Ja</v>
      </c>
      <c r="AN72" s="227" t="str">
        <f>IF(AM72="ja",VLOOKUP($B72,Miljö!$B$1:$J$479,MATCH("Typ av ursprungsspecificerad el   (Om inget värde anges används Nordisk residualmix, se inforuta) ()",Miljö!$B$1:$J$1,0),FALSE),IF(AM72="nej","Nordisk residualel",""))</f>
        <v>'Bra Miljöval'</v>
      </c>
      <c r="AO72" s="227">
        <f>IF(AM72="","",VLOOKUP($B72,Miljö!$B$1:$J$479,MATCH("Fossilandel för ursprungspecificerad el ()",Miljö!$B$1:$J$1,0),FALSE))</f>
        <v>0</v>
      </c>
      <c r="AP72" s="227">
        <f>IF(AM72="","",IFERROR(VLOOKUP($B72,Miljö!$B$1:$J$479,MATCH("Kärnkraftsandel för ursprungsspecificerad el ()",Miljö!$B$1:$J$1,0),FALSE)/1,0))</f>
        <v>0</v>
      </c>
      <c r="AQ72" s="227">
        <f t="shared" si="7"/>
        <v>1</v>
      </c>
      <c r="AR72" s="227"/>
      <c r="AS72" s="227" t="str">
        <f t="shared" si="8"/>
        <v>Nej</v>
      </c>
      <c r="AT72" s="227" t="str">
        <f>IF(AS72="ja",VLOOKUP($B72,Miljö!$B$1:$O$500,MATCH("Fossil andel i procent (%)",Miljö!$B$1:$O$1,0),FALSE)/100,"")</f>
        <v/>
      </c>
      <c r="AU72" s="227"/>
      <c r="AV72" s="227" t="str">
        <f t="shared" si="9"/>
        <v>Nej</v>
      </c>
      <c r="AW72" s="227" t="str">
        <f>IF(AV72="ja",VLOOKUP($B72,'Egen hetvattenprod'!$B$1:$AO$500,MATCH("Värmekälla till värmepumpar ()",'Egen hetvattenprod'!$B$1:$AO$1,0),FALSE),"")</f>
        <v/>
      </c>
      <c r="AX72" s="227"/>
      <c r="AY72" s="227" t="str">
        <f t="shared" si="10"/>
        <v>Nej</v>
      </c>
      <c r="AZ72" s="228" t="str">
        <f>IF($AY72="ja",(VLOOKUP($B72,'Egen hetvattenprod'!$B$1:$BX$550,MATCH(AZ$2,'Egen hetvattenprod'!$B$1:$BX$1,0),FALSE)+VLOOKUP($B72,Kraftvärmeprod!$B$1:$BX$550,MATCH(AZ$2,Kraftvärmeprod!$B$1:$BX$1,0),FALSE))/$AC72,"")</f>
        <v/>
      </c>
      <c r="BA72" s="228" t="str">
        <f>IF($AY72="ja",(VLOOKUP($B72,'Egen hetvattenprod'!$B$1:$BX$550,MATCH(BA$2,'Egen hetvattenprod'!$B$1:$BX$1,0),FALSE)+VLOOKUP($B72,Kraftvärmeprod!$B$1:$BX$550,MATCH(BA$2,Kraftvärmeprod!$B$1:$BX$1,0),FALSE))/$AC72,"")</f>
        <v/>
      </c>
      <c r="BB72" s="228" t="str">
        <f>IF($AY72="ja",(VLOOKUP($B72,'Egen hetvattenprod'!$B$1:$BX$550,MATCH(BB$2,'Egen hetvattenprod'!$B$1:$BX$1,0),FALSE)+VLOOKUP($B72,Kraftvärmeprod!$B$1:$BX$550,MATCH(BB$2,Kraftvärmeprod!$B$1:$BX$1,0),FALSE))/$AC72,"")</f>
        <v/>
      </c>
      <c r="BC72" s="228" t="str">
        <f>IF($AY72="ja",(VLOOKUP($B72,'Egen hetvattenprod'!$B$1:$BX$550,MATCH(BC$2,'Egen hetvattenprod'!$B$1:$BX$1,0),FALSE)+VLOOKUP($B72,Kraftvärmeprod!$B$1:$BX$550,MATCH(BC$2,Kraftvärmeprod!$B$1:$BX$1,0),FALSE))/$AC72,"")</f>
        <v/>
      </c>
      <c r="BD72" s="228" t="str">
        <f>IF($AY72="ja",(VLOOKUP($B72,'Egen hetvattenprod'!$B$1:$BX$550,MATCH(BD$2,'Egen hetvattenprod'!$B$1:$BX$1,0),FALSE)+VLOOKUP($B72,Kraftvärmeprod!$B$1:$BX$550,MATCH(BD$2,Kraftvärmeprod!$B$1:$BX$1,0),FALSE))/$AC72,"")</f>
        <v/>
      </c>
      <c r="BE72" s="227"/>
      <c r="BF72" s="227" t="str">
        <f t="shared" si="11"/>
        <v>Nej</v>
      </c>
      <c r="BG72" s="227" t="str">
        <f>IF($BF72="ja",VLOOKUP($B72,'Egen hetvattenprod'!$B$1:$BX$550,MATCH("Andelen klimatgaser med fossilt ursprung för avfall ()",'Egen hetvattenprod'!$B$1:$BX$1,0),FALSE),"")</f>
        <v/>
      </c>
      <c r="BH72" s="227" t="str">
        <f>IF($BF72="ja",VLOOKUP($B72,Kraftvärmeprod!$B$1:$BX$550,MATCH("Andelen klimatgaser med fossilt ursprung för avfall ()",Kraftvärmeprod!$B$1:$BX$1,0),FALSE),"")</f>
        <v/>
      </c>
      <c r="BI72" s="227" t="str">
        <f>IF($BF72="ja",VLOOKUP($B72,'Egen hetvattenprod'!$B$1:$BX$550,MATCH("Avfall (GWh)",'Egen hetvattenprod'!$B$1:$BX$1,0),FALSE),"")</f>
        <v/>
      </c>
      <c r="BJ72" s="227" t="str">
        <f>IF($BF72="ja",VLOOKUP($B72,'Slutlig allokering kvv'!$B$1:$BX$550,MATCH("Avfall (GWh)",'Slutlig allokering kvv'!$B$1:$BX$1,0),FALSE),"")</f>
        <v/>
      </c>
      <c r="BK72" s="227" t="str">
        <f>IF($BF72="ja",VLOOKUP($B72,'Köpt hetvatten'!$B$1:$BX$550,MATCH("Avfall i köpt hetvatten",'Köpt hetvatten'!$B$1:$BX$1,0),FALSE),"")</f>
        <v/>
      </c>
      <c r="BL72" s="227" t="str">
        <f>IF($BF72="ja",VLOOKUP($B72,'Egen hetvattenprod'!$B$1:$BX$550,MATCH("Värde enligt ovan. (%)",'Egen hetvattenprod'!$B$1:$BX$1,0),FALSE),"")</f>
        <v/>
      </c>
      <c r="BM72" s="227" t="str">
        <f>IF($BF72="ja",VLOOKUP($B72,Kraftvärmeprod!$B$1:$BX$550,MATCH("Värde enligt ovan. (%)",Kraftvärmeprod!$B$1:$BX$1,0),FALSE),"")</f>
        <v/>
      </c>
      <c r="BN72" s="227"/>
      <c r="BO72" s="227"/>
      <c r="BP72" s="227"/>
      <c r="BQ72" s="227" t="str">
        <f>IF($BF72="ja",VLOOKUP($B72,'Egen hetvattenprod'!$B$1:$BX$550,MATCH("Tillförd olja (fossil) vid avfallsförbränning (GWh)",'Egen hetvattenprod'!$B$1:$BX$1,0),FALSE),"")</f>
        <v/>
      </c>
      <c r="BR72" s="227" t="str">
        <f>IF($BF72="ja",VLOOKUP($B72,Kraftvärmeprod!$B$1:$BX$550,MATCH("Tillförd olja (fossil) vid avfallsförbränning (GWh)",Kraftvärmeprod!$B$1:$BX$1,0),FALSE),"")</f>
        <v/>
      </c>
      <c r="BS72" s="227"/>
      <c r="BT72" s="227"/>
      <c r="BU72" s="227"/>
    </row>
    <row r="73" spans="1:73" x14ac:dyDescent="0.25">
      <c r="A73" s="121" t="str">
        <f>'Miljövärden för publ företag'!B76</f>
        <v>Falbygdens Energi AB</v>
      </c>
      <c r="B73" s="121" t="str">
        <f>'Miljövärden för publ företag'!C76</f>
        <v>Stenstorp</v>
      </c>
      <c r="C73" s="173">
        <f>IFERROR(VLOOKUP($B73,Totalt!$B$1:$AQ$554,MATCH(C$2,Totalt!$B$1:$AQ$1,0),FALSE),"")</f>
        <v>0</v>
      </c>
      <c r="D73" s="173">
        <f>IFERROR(VLOOKUP($B73,Totalt!$B$1:$AQ$554,MATCH(D$2,Totalt!$B$1:$AQ$1,0),FALSE),"")</f>
        <v>0</v>
      </c>
      <c r="E73" s="173">
        <f>IFERROR(VLOOKUP($B73,Totalt!$B$1:$AQ$554,MATCH(E$2,Totalt!$B$1:$AQ$1,0),FALSE),"")</f>
        <v>0</v>
      </c>
      <c r="F73" s="173">
        <f>IFERROR(VLOOKUP($B73,Totalt!$B$1:$AQ$554,MATCH(F$2,Totalt!$B$1:$AQ$1,0),FALSE),"")</f>
        <v>0</v>
      </c>
      <c r="G73" s="173">
        <f>IFERROR(VLOOKUP($B73,Totalt!$B$1:$AQ$554,MATCH(G$2,Totalt!$B$1:$AQ$1,0),FALSE),"")</f>
        <v>0</v>
      </c>
      <c r="H73" s="173">
        <f>IFERROR(VLOOKUP($B73,Totalt!$B$1:$AQ$554,MATCH(H$2,Totalt!$B$1:$AQ$1,0),FALSE),"")</f>
        <v>0</v>
      </c>
      <c r="I73" s="173">
        <f>IFERROR(VLOOKUP($B73,Totalt!$B$1:$AQ$554,MATCH(I$2,Totalt!$B$1:$AQ$1,0),FALSE),"")</f>
        <v>0</v>
      </c>
      <c r="J73" s="173">
        <f>IFERROR(VLOOKUP($B73,Totalt!$B$1:$AQ$554,MATCH(J$2,Totalt!$B$1:$AQ$1,0),FALSE),"")</f>
        <v>0</v>
      </c>
      <c r="K73" s="173">
        <f>IFERROR(VLOOKUP($B73,Totalt!$B$1:$AQ$554,MATCH(K$2,Totalt!$B$1:$AQ$1,0),FALSE),"")</f>
        <v>0</v>
      </c>
      <c r="L73" s="173">
        <f>IFERROR(VLOOKUP($B73,Totalt!$B$1:$AQ$554,MATCH(L$2,Totalt!$B$1:$AQ$1,0),FALSE),"")</f>
        <v>0</v>
      </c>
      <c r="M73" s="173">
        <f>IFERROR(VLOOKUP($B73,Totalt!$B$1:$AQ$554,MATCH(M$2,Totalt!$B$1:$AQ$1,0),FALSE),"")</f>
        <v>0</v>
      </c>
      <c r="N73" s="173">
        <f>IFERROR(VLOOKUP($B73,Totalt!$B$1:$AQ$554,MATCH(N$2,Totalt!$B$1:$AQ$1,0),FALSE),"")</f>
        <v>0</v>
      </c>
      <c r="O73" s="173">
        <f>IFERROR(VLOOKUP($B73,Totalt!$B$1:$AQ$554,MATCH(O$2,Totalt!$B$1:$AQ$1,0),FALSE),"")</f>
        <v>0</v>
      </c>
      <c r="P73" s="173">
        <f>IFERROR(VLOOKUP($B73,Totalt!$B$1:$AQ$554,MATCH(P$2,Totalt!$B$1:$AQ$1,0),FALSE),"")</f>
        <v>0</v>
      </c>
      <c r="Q73" s="173">
        <f>IFERROR(VLOOKUP($B73,Totalt!$B$1:$AQ$554,MATCH(Q$2,Totalt!$B$1:$AQ$1,0),FALSE),"")</f>
        <v>0</v>
      </c>
      <c r="R73" s="173">
        <f>IFERROR(VLOOKUP($B73,Totalt!$B$1:$AQ$554,MATCH(R$2,Totalt!$B$1:$AQ$1,0),FALSE),"")</f>
        <v>4.2270000000000003</v>
      </c>
      <c r="S73" s="173">
        <f>IFERROR(VLOOKUP($B73,Totalt!$B$1:$AQ$554,MATCH(S$2,Totalt!$B$1:$AQ$1,0),FALSE),"")</f>
        <v>0</v>
      </c>
      <c r="T73" s="173">
        <f>IFERROR(VLOOKUP($B73,Totalt!$B$1:$AQ$554,MATCH(T$2,Totalt!$B$1:$AQ$1,0),FALSE),"")</f>
        <v>0</v>
      </c>
      <c r="U73" s="173">
        <f>IFERROR(VLOOKUP($B73,Totalt!$B$1:$AQ$554,MATCH(U$2,Totalt!$B$1:$AQ$1,0),FALSE),"")</f>
        <v>0</v>
      </c>
      <c r="V73" s="173">
        <f>IFERROR(VLOOKUP($B73,Totalt!$B$1:$AQ$554,MATCH(V$2,Totalt!$B$1:$AQ$1,0),FALSE),"")</f>
        <v>0</v>
      </c>
      <c r="W73" s="173">
        <f>IFERROR(VLOOKUP($B73,Totalt!$B$1:$AQ$554,MATCH(W$2,Totalt!$B$1:$AQ$1,0),FALSE),"")</f>
        <v>0</v>
      </c>
      <c r="X73" s="173">
        <f>IFERROR(VLOOKUP($B73,Totalt!$B$1:$AQ$554,MATCH(X$2,Totalt!$B$1:$AQ$1,0),FALSE),"")</f>
        <v>0</v>
      </c>
      <c r="Y73" s="173">
        <f>IFERROR(VLOOKUP($B73,Totalt!$B$1:$AQ$554,MATCH(Y$2,Totalt!$B$1:$AQ$1,0),FALSE),"")</f>
        <v>0</v>
      </c>
      <c r="Z73" s="173">
        <f>IFERROR(VLOOKUP($B73,Totalt!$B$1:$AQ$554,MATCH(Z$2,Totalt!$B$1:$AQ$1,0),FALSE),"")</f>
        <v>0.5</v>
      </c>
      <c r="AA73" s="173">
        <f>IFERROR(VLOOKUP($B73,Totalt!$B$1:$AQ$554,MATCH(AA$2,Totalt!$B$1:$AQ$1,0),FALSE),"")</f>
        <v>0</v>
      </c>
      <c r="AB73" s="173">
        <f>IFERROR(VLOOKUP($B73,Totalt!$B$1:$AQ$554,MATCH(AB$2,Totalt!$B$1:$AQ$1,0),FALSE),"")</f>
        <v>0</v>
      </c>
      <c r="AC73" s="173">
        <f>IFERROR(VLOOKUP($B73,Totalt!$B$1:$AQ$554,MATCH(AC$2,Totalt!$B$1:$AQ$1,0),FALSE),"")</f>
        <v>0</v>
      </c>
      <c r="AD73" s="173">
        <f>IFERROR(VLOOKUP($B73,Totalt!$B$1:$AQ$554,MATCH(AD$2,Totalt!$B$1:$AQ$1,0),FALSE),"")</f>
        <v>0</v>
      </c>
      <c r="AE73" s="173">
        <f>IFERROR(VLOOKUP($B73,Totalt!$B$1:$AQ$554,MATCH(AE$2,Totalt!$B$1:$AQ$1,0),FALSE),"")</f>
        <v>0</v>
      </c>
      <c r="AF73" s="173">
        <f>IFERROR(VLOOKUP($B73,Totalt!$B$1:$AQ$554,MATCH(AF$2,Totalt!$B$1:$AQ$1,0),FALSE),"")</f>
        <v>0.56000000000000005</v>
      </c>
      <c r="AG73" s="173">
        <f>IFERROR(VLOOKUP($B73,Totalt!$B$1:$AQ$554,MATCH(AG$2,Totalt!$B$1:$AQ$1,0),FALSE),"")</f>
        <v>0</v>
      </c>
      <c r="AI73" s="226">
        <f t="shared" si="6"/>
        <v>5.2870000000000008</v>
      </c>
      <c r="AJ73" s="226">
        <f>IF(ISERROR(1/VLOOKUP($B73,Leveranser!$B$1:$S$500,MATCH("såld värme (gwh)",Leveranser!$B$1:$S$1,0),FALSE)),"",VLOOKUP($B73,Leveranser!$B$1:$S$500,MATCH("såld värme (gwh)",Leveranser!$B$1:$S$1,0),FALSE))</f>
        <v>4.0999999999999996</v>
      </c>
      <c r="AM73" s="227" t="str">
        <f>IF(B73&lt;&gt;"",IF(VLOOKUP($B73,Totalt!$B$1:$AQ$554,MATCH("Kvalitetsgranskad:",Totalt!$B$1:$AQ$1,0),FALSE)="ja",VLOOKUP($B73,Miljö!$B$1:$AG$479,MATCH(AM$2,Miljö!$B$1:$AK$1,0),FALSE),""),"")</f>
        <v>Ja</v>
      </c>
      <c r="AN73" s="227" t="str">
        <f>IF(AM73="ja",VLOOKUP($B73,Miljö!$B$1:$J$479,MATCH("Typ av ursprungsspecificerad el   (Om inget värde anges används Nordisk residualmix, se inforuta) ()",Miljö!$B$1:$J$1,0),FALSE),IF(AM73="nej","Nordisk residualel",""))</f>
        <v>'Bra Miljöval'</v>
      </c>
      <c r="AO73" s="227">
        <f>IF(AM73="","",VLOOKUP($B73,Miljö!$B$1:$J$479,MATCH("Fossilandel för ursprungspecificerad el ()",Miljö!$B$1:$J$1,0),FALSE))</f>
        <v>0</v>
      </c>
      <c r="AP73" s="227">
        <f>IF(AM73="","",IFERROR(VLOOKUP($B73,Miljö!$B$1:$J$479,MATCH("Kärnkraftsandel för ursprungsspecificerad el ()",Miljö!$B$1:$J$1,0),FALSE)/1,0))</f>
        <v>0</v>
      </c>
      <c r="AQ73" s="227">
        <f t="shared" si="7"/>
        <v>1</v>
      </c>
      <c r="AR73" s="227"/>
      <c r="AS73" s="227" t="str">
        <f t="shared" si="8"/>
        <v>Nej</v>
      </c>
      <c r="AT73" s="227" t="str">
        <f>IF(AS73="ja",VLOOKUP($B73,Miljö!$B$1:$O$500,MATCH("Fossil andel i procent (%)",Miljö!$B$1:$O$1,0),FALSE)/100,"")</f>
        <v/>
      </c>
      <c r="AU73" s="227"/>
      <c r="AV73" s="227" t="str">
        <f t="shared" si="9"/>
        <v>Nej</v>
      </c>
      <c r="AW73" s="227" t="str">
        <f>IF(AV73="ja",VLOOKUP($B73,'Egen hetvattenprod'!$B$1:$AO$500,MATCH("Värmekälla till värmepumpar ()",'Egen hetvattenprod'!$B$1:$AO$1,0),FALSE),"")</f>
        <v/>
      </c>
      <c r="AX73" s="227"/>
      <c r="AY73" s="227" t="str">
        <f t="shared" si="10"/>
        <v>Nej</v>
      </c>
      <c r="AZ73" s="228" t="str">
        <f>IF($AY73="ja",(VLOOKUP($B73,'Egen hetvattenprod'!$B$1:$BX$550,MATCH(AZ$2,'Egen hetvattenprod'!$B$1:$BX$1,0),FALSE)+VLOOKUP($B73,Kraftvärmeprod!$B$1:$BX$550,MATCH(AZ$2,Kraftvärmeprod!$B$1:$BX$1,0),FALSE))/$AC73,"")</f>
        <v/>
      </c>
      <c r="BA73" s="228" t="str">
        <f>IF($AY73="ja",(VLOOKUP($B73,'Egen hetvattenprod'!$B$1:$BX$550,MATCH(BA$2,'Egen hetvattenprod'!$B$1:$BX$1,0),FALSE)+VLOOKUP($B73,Kraftvärmeprod!$B$1:$BX$550,MATCH(BA$2,Kraftvärmeprod!$B$1:$BX$1,0),FALSE))/$AC73,"")</f>
        <v/>
      </c>
      <c r="BB73" s="228" t="str">
        <f>IF($AY73="ja",(VLOOKUP($B73,'Egen hetvattenprod'!$B$1:$BX$550,MATCH(BB$2,'Egen hetvattenprod'!$B$1:$BX$1,0),FALSE)+VLOOKUP($B73,Kraftvärmeprod!$B$1:$BX$550,MATCH(BB$2,Kraftvärmeprod!$B$1:$BX$1,0),FALSE))/$AC73,"")</f>
        <v/>
      </c>
      <c r="BC73" s="228" t="str">
        <f>IF($AY73="ja",(VLOOKUP($B73,'Egen hetvattenprod'!$B$1:$BX$550,MATCH(BC$2,'Egen hetvattenprod'!$B$1:$BX$1,0),FALSE)+VLOOKUP($B73,Kraftvärmeprod!$B$1:$BX$550,MATCH(BC$2,Kraftvärmeprod!$B$1:$BX$1,0),FALSE))/$AC73,"")</f>
        <v/>
      </c>
      <c r="BD73" s="228" t="str">
        <f>IF($AY73="ja",(VLOOKUP($B73,'Egen hetvattenprod'!$B$1:$BX$550,MATCH(BD$2,'Egen hetvattenprod'!$B$1:$BX$1,0),FALSE)+VLOOKUP($B73,Kraftvärmeprod!$B$1:$BX$550,MATCH(BD$2,Kraftvärmeprod!$B$1:$BX$1,0),FALSE))/$AC73,"")</f>
        <v/>
      </c>
      <c r="BE73" s="227"/>
      <c r="BF73" s="227" t="str">
        <f t="shared" si="11"/>
        <v>Nej</v>
      </c>
      <c r="BG73" s="227" t="str">
        <f>IF($BF73="ja",VLOOKUP($B73,'Egen hetvattenprod'!$B$1:$BX$550,MATCH("Andelen klimatgaser med fossilt ursprung för avfall ()",'Egen hetvattenprod'!$B$1:$BX$1,0),FALSE),"")</f>
        <v/>
      </c>
      <c r="BH73" s="227" t="str">
        <f>IF($BF73="ja",VLOOKUP($B73,Kraftvärmeprod!$B$1:$BX$550,MATCH("Andelen klimatgaser med fossilt ursprung för avfall ()",Kraftvärmeprod!$B$1:$BX$1,0),FALSE),"")</f>
        <v/>
      </c>
      <c r="BI73" s="227" t="str">
        <f>IF($BF73="ja",VLOOKUP($B73,'Egen hetvattenprod'!$B$1:$BX$550,MATCH("Avfall (GWh)",'Egen hetvattenprod'!$B$1:$BX$1,0),FALSE),"")</f>
        <v/>
      </c>
      <c r="BJ73" s="227" t="str">
        <f>IF($BF73="ja",VLOOKUP($B73,'Slutlig allokering kvv'!$B$1:$BX$550,MATCH("Avfall (GWh)",'Slutlig allokering kvv'!$B$1:$BX$1,0),FALSE),"")</f>
        <v/>
      </c>
      <c r="BK73" s="227" t="str">
        <f>IF($BF73="ja",VLOOKUP($B73,'Köpt hetvatten'!$B$1:$BX$550,MATCH("Avfall i köpt hetvatten",'Köpt hetvatten'!$B$1:$BX$1,0),FALSE),"")</f>
        <v/>
      </c>
      <c r="BL73" s="227" t="str">
        <f>IF($BF73="ja",VLOOKUP($B73,'Egen hetvattenprod'!$B$1:$BX$550,MATCH("Värde enligt ovan. (%)",'Egen hetvattenprod'!$B$1:$BX$1,0),FALSE),"")</f>
        <v/>
      </c>
      <c r="BM73" s="227" t="str">
        <f>IF($BF73="ja",VLOOKUP($B73,Kraftvärmeprod!$B$1:$BX$550,MATCH("Värde enligt ovan. (%)",Kraftvärmeprod!$B$1:$BX$1,0),FALSE),"")</f>
        <v/>
      </c>
      <c r="BN73" s="227"/>
      <c r="BO73" s="227"/>
      <c r="BP73" s="227"/>
      <c r="BQ73" s="227" t="str">
        <f>IF($BF73="ja",VLOOKUP($B73,'Egen hetvattenprod'!$B$1:$BX$550,MATCH("Tillförd olja (fossil) vid avfallsförbränning (GWh)",'Egen hetvattenprod'!$B$1:$BX$1,0),FALSE),"")</f>
        <v/>
      </c>
      <c r="BR73" s="227" t="str">
        <f>IF($BF73="ja",VLOOKUP($B73,Kraftvärmeprod!$B$1:$BX$550,MATCH("Tillförd olja (fossil) vid avfallsförbränning (GWh)",Kraftvärmeprod!$B$1:$BX$1,0),FALSE),"")</f>
        <v/>
      </c>
      <c r="BS73" s="227"/>
      <c r="BT73" s="227"/>
      <c r="BU73" s="227"/>
    </row>
    <row r="74" spans="1:73" x14ac:dyDescent="0.25">
      <c r="A74" s="121" t="str">
        <f>'Miljövärden för publ företag'!B77</f>
        <v>Falkenberg Energi AB</v>
      </c>
      <c r="B74" s="121" t="str">
        <f>'Miljövärden för publ företag'!C77</f>
        <v>Falkenberg</v>
      </c>
      <c r="C74" s="173">
        <f>IFERROR(VLOOKUP($B74,Totalt!$B$1:$AQ$554,MATCH(C$2,Totalt!$B$1:$AQ$1,0),FALSE),"")</f>
        <v>0</v>
      </c>
      <c r="D74" s="173">
        <f>IFERROR(VLOOKUP($B74,Totalt!$B$1:$AQ$554,MATCH(D$2,Totalt!$B$1:$AQ$1,0),FALSE),"")</f>
        <v>0.56499999999999995</v>
      </c>
      <c r="E74" s="173">
        <f>IFERROR(VLOOKUP($B74,Totalt!$B$1:$AQ$554,MATCH(E$2,Totalt!$B$1:$AQ$1,0),FALSE),"")</f>
        <v>0</v>
      </c>
      <c r="F74" s="173">
        <f>IFERROR(VLOOKUP($B74,Totalt!$B$1:$AQ$554,MATCH(F$2,Totalt!$B$1:$AQ$1,0),FALSE),"")</f>
        <v>0</v>
      </c>
      <c r="G74" s="173">
        <f>IFERROR(VLOOKUP($B74,Totalt!$B$1:$AQ$554,MATCH(G$2,Totalt!$B$1:$AQ$1,0),FALSE),"")</f>
        <v>0</v>
      </c>
      <c r="H74" s="173">
        <f>IFERROR(VLOOKUP($B74,Totalt!$B$1:$AQ$554,MATCH(H$2,Totalt!$B$1:$AQ$1,0),FALSE),"")</f>
        <v>0</v>
      </c>
      <c r="I74" s="173">
        <f>IFERROR(VLOOKUP($B74,Totalt!$B$1:$AQ$554,MATCH(I$2,Totalt!$B$1:$AQ$1,0),FALSE),"")</f>
        <v>0</v>
      </c>
      <c r="J74" s="173">
        <f>IFERROR(VLOOKUP($B74,Totalt!$B$1:$AQ$554,MATCH(J$2,Totalt!$B$1:$AQ$1,0),FALSE),"")</f>
        <v>3.3719999999999999</v>
      </c>
      <c r="K74" s="173">
        <f>IFERROR(VLOOKUP($B74,Totalt!$B$1:$AQ$554,MATCH(K$2,Totalt!$B$1:$AQ$1,0),FALSE),"")</f>
        <v>0</v>
      </c>
      <c r="L74" s="173">
        <f>IFERROR(VLOOKUP($B74,Totalt!$B$1:$AQ$554,MATCH(L$2,Totalt!$B$1:$AQ$1,0),FALSE),"")</f>
        <v>0</v>
      </c>
      <c r="M74" s="173">
        <f>IFERROR(VLOOKUP($B74,Totalt!$B$1:$AQ$554,MATCH(M$2,Totalt!$B$1:$AQ$1,0),FALSE),"")</f>
        <v>0</v>
      </c>
      <c r="N74" s="173">
        <f>IFERROR(VLOOKUP($B74,Totalt!$B$1:$AQ$554,MATCH(N$2,Totalt!$B$1:$AQ$1,0),FALSE),"")</f>
        <v>50.393999999999998</v>
      </c>
      <c r="O74" s="173">
        <f>IFERROR(VLOOKUP($B74,Totalt!$B$1:$AQ$554,MATCH(O$2,Totalt!$B$1:$AQ$1,0),FALSE),"")</f>
        <v>0</v>
      </c>
      <c r="P74" s="173">
        <f>IFERROR(VLOOKUP($B74,Totalt!$B$1:$AQ$554,MATCH(P$2,Totalt!$B$1:$AQ$1,0),FALSE),"")</f>
        <v>21.178000000000001</v>
      </c>
      <c r="Q74" s="173">
        <f>IFERROR(VLOOKUP($B74,Totalt!$B$1:$AQ$554,MATCH(Q$2,Totalt!$B$1:$AQ$1,0),FALSE),"")</f>
        <v>0</v>
      </c>
      <c r="R74" s="173">
        <f>IFERROR(VLOOKUP($B74,Totalt!$B$1:$AQ$554,MATCH(R$2,Totalt!$B$1:$AQ$1,0),FALSE),"")</f>
        <v>0</v>
      </c>
      <c r="S74" s="173">
        <f>IFERROR(VLOOKUP($B74,Totalt!$B$1:$AQ$554,MATCH(S$2,Totalt!$B$1:$AQ$1,0),FALSE),"")</f>
        <v>0</v>
      </c>
      <c r="T74" s="173">
        <f>IFERROR(VLOOKUP($B74,Totalt!$B$1:$AQ$554,MATCH(T$2,Totalt!$B$1:$AQ$1,0),FALSE),"")</f>
        <v>0</v>
      </c>
      <c r="U74" s="173">
        <f>IFERROR(VLOOKUP($B74,Totalt!$B$1:$AQ$554,MATCH(U$2,Totalt!$B$1:$AQ$1,0),FALSE),"")</f>
        <v>0</v>
      </c>
      <c r="V74" s="173">
        <f>IFERROR(VLOOKUP($B74,Totalt!$B$1:$AQ$554,MATCH(V$2,Totalt!$B$1:$AQ$1,0),FALSE),"")</f>
        <v>0</v>
      </c>
      <c r="W74" s="173">
        <f>IFERROR(VLOOKUP($B74,Totalt!$B$1:$AQ$554,MATCH(W$2,Totalt!$B$1:$AQ$1,0),FALSE),"")</f>
        <v>1.083</v>
      </c>
      <c r="X74" s="173">
        <f>IFERROR(VLOOKUP($B74,Totalt!$B$1:$AQ$554,MATCH(X$2,Totalt!$B$1:$AQ$1,0),FALSE),"")</f>
        <v>0</v>
      </c>
      <c r="Y74" s="173">
        <f>IFERROR(VLOOKUP($B74,Totalt!$B$1:$AQ$554,MATCH(Y$2,Totalt!$B$1:$AQ$1,0),FALSE),"")</f>
        <v>0</v>
      </c>
      <c r="Z74" s="173">
        <f>IFERROR(VLOOKUP($B74,Totalt!$B$1:$AQ$554,MATCH(Z$2,Totalt!$B$1:$AQ$1,0),FALSE),"")</f>
        <v>0</v>
      </c>
      <c r="AA74" s="173">
        <f>IFERROR(VLOOKUP($B74,Totalt!$B$1:$AQ$554,MATCH(AA$2,Totalt!$B$1:$AQ$1,0),FALSE),"")</f>
        <v>0</v>
      </c>
      <c r="AB74" s="173">
        <f>IFERROR(VLOOKUP($B74,Totalt!$B$1:$AQ$554,MATCH(AB$2,Totalt!$B$1:$AQ$1,0),FALSE),"")</f>
        <v>0</v>
      </c>
      <c r="AC74" s="173">
        <f>IFERROR(VLOOKUP($B74,Totalt!$B$1:$AQ$554,MATCH(AC$2,Totalt!$B$1:$AQ$1,0),FALSE),"")</f>
        <v>8.1820000000000004</v>
      </c>
      <c r="AD74" s="173">
        <f>IFERROR(VLOOKUP($B74,Totalt!$B$1:$AQ$554,MATCH(AD$2,Totalt!$B$1:$AQ$1,0),FALSE),"")</f>
        <v>0</v>
      </c>
      <c r="AE74" s="173">
        <f>IFERROR(VLOOKUP($B74,Totalt!$B$1:$AQ$554,MATCH(AE$2,Totalt!$B$1:$AQ$1,0),FALSE),"")</f>
        <v>0</v>
      </c>
      <c r="AF74" s="173">
        <f>IFERROR(VLOOKUP($B74,Totalt!$B$1:$AQ$554,MATCH(AF$2,Totalt!$B$1:$AQ$1,0),FALSE),"")</f>
        <v>1.7230000000000001</v>
      </c>
      <c r="AG74" s="173">
        <f>IFERROR(VLOOKUP($B74,Totalt!$B$1:$AQ$554,MATCH(AG$2,Totalt!$B$1:$AQ$1,0),FALSE),"")</f>
        <v>0</v>
      </c>
      <c r="AI74" s="226">
        <f t="shared" si="6"/>
        <v>86.497</v>
      </c>
      <c r="AJ74" s="226">
        <f>IF(ISERROR(1/VLOOKUP($B74,Leveranser!$B$1:$S$500,MATCH("såld värme (gwh)",Leveranser!$B$1:$S$1,0),FALSE)),"",VLOOKUP($B74,Leveranser!$B$1:$S$500,MATCH("såld värme (gwh)",Leveranser!$B$1:$S$1,0),FALSE))</f>
        <v>63.59</v>
      </c>
      <c r="AM74" s="227" t="str">
        <f>IF(B74&lt;&gt;"",IF(VLOOKUP($B74,Totalt!$B$1:$AQ$554,MATCH("Kvalitetsgranskad:",Totalt!$B$1:$AQ$1,0),FALSE)="ja",VLOOKUP($B74,Miljö!$B$1:$AG$479,MATCH(AM$2,Miljö!$B$1:$AK$1,0),FALSE),""),"")</f>
        <v>Ja</v>
      </c>
      <c r="AN74" s="227" t="str">
        <f>IF(AM74="ja",VLOOKUP($B74,Miljö!$B$1:$J$479,MATCH("Typ av ursprungsspecificerad el   (Om inget värde anges används Nordisk residualmix, se inforuta) ()",Miljö!$B$1:$J$1,0),FALSE),IF(AM74="nej","Nordisk residualel",""))</f>
        <v>'"FEAB Bra Miljöval"'</v>
      </c>
      <c r="AO74" s="227">
        <f>IF(AM74="","",VLOOKUP($B74,Miljö!$B$1:$J$479,MATCH("Fossilandel för ursprungspecificerad el ()",Miljö!$B$1:$J$1,0),FALSE))</f>
        <v>0</v>
      </c>
      <c r="AP74" s="227">
        <f>IF(AM74="","",IFERROR(VLOOKUP($B74,Miljö!$B$1:$J$479,MATCH("Kärnkraftsandel för ursprungsspecificerad el ()",Miljö!$B$1:$J$1,0),FALSE)/1,0))</f>
        <v>0</v>
      </c>
      <c r="AQ74" s="227">
        <f t="shared" si="7"/>
        <v>1</v>
      </c>
      <c r="AR74" s="227"/>
      <c r="AS74" s="227" t="str">
        <f t="shared" si="8"/>
        <v>Nej</v>
      </c>
      <c r="AT74" s="227" t="str">
        <f>IF(AS74="ja",VLOOKUP($B74,Miljö!$B$1:$O$500,MATCH("Fossil andel i procent (%)",Miljö!$B$1:$O$1,0),FALSE)/100,"")</f>
        <v/>
      </c>
      <c r="AU74" s="227"/>
      <c r="AV74" s="227" t="str">
        <f t="shared" si="9"/>
        <v>Nej</v>
      </c>
      <c r="AW74" s="227" t="str">
        <f>IF(AV74="ja",VLOOKUP($B74,'Egen hetvattenprod'!$B$1:$AO$500,MATCH("Värmekälla till värmepumpar ()",'Egen hetvattenprod'!$B$1:$AO$1,0),FALSE),"")</f>
        <v/>
      </c>
      <c r="AX74" s="227"/>
      <c r="AY74" s="227" t="str">
        <f t="shared" si="10"/>
        <v>Ja</v>
      </c>
      <c r="AZ74" s="228">
        <f>IF($AY74="ja",(VLOOKUP($B74,'Egen hetvattenprod'!$B$1:$BX$550,MATCH(AZ$2,'Egen hetvattenprod'!$B$1:$BX$1,0),FALSE)+VLOOKUP($B74,Kraftvärmeprod!$B$1:$BX$550,MATCH(AZ$2,Kraftvärmeprod!$B$1:$BX$1,0),FALSE))/$AC74,"")</f>
        <v>1</v>
      </c>
      <c r="BA74" s="228">
        <f>IF($AY74="ja",(VLOOKUP($B74,'Egen hetvattenprod'!$B$1:$BX$550,MATCH(BA$2,'Egen hetvattenprod'!$B$1:$BX$1,0),FALSE)+VLOOKUP($B74,Kraftvärmeprod!$B$1:$BX$550,MATCH(BA$2,Kraftvärmeprod!$B$1:$BX$1,0),FALSE))/$AC74,"")</f>
        <v>0</v>
      </c>
      <c r="BB74" s="228">
        <f>IF($AY74="ja",(VLOOKUP($B74,'Egen hetvattenprod'!$B$1:$BX$550,MATCH(BB$2,'Egen hetvattenprod'!$B$1:$BX$1,0),FALSE)+VLOOKUP($B74,Kraftvärmeprod!$B$1:$BX$550,MATCH(BB$2,Kraftvärmeprod!$B$1:$BX$1,0),FALSE))/$AC74,"")</f>
        <v>0</v>
      </c>
      <c r="BC74" s="228">
        <f>IF($AY74="ja",(VLOOKUP($B74,'Egen hetvattenprod'!$B$1:$BX$550,MATCH(BC$2,'Egen hetvattenprod'!$B$1:$BX$1,0),FALSE)+VLOOKUP($B74,Kraftvärmeprod!$B$1:$BX$550,MATCH(BC$2,Kraftvärmeprod!$B$1:$BX$1,0),FALSE))/$AC74,"")</f>
        <v>0</v>
      </c>
      <c r="BD74" s="228">
        <f>IF($AY74="ja",(VLOOKUP($B74,'Egen hetvattenprod'!$B$1:$BX$550,MATCH(BD$2,'Egen hetvattenprod'!$B$1:$BX$1,0),FALSE)+VLOOKUP($B74,Kraftvärmeprod!$B$1:$BX$550,MATCH(BD$2,Kraftvärmeprod!$B$1:$BX$1,0),FALSE))/$AC74,"")</f>
        <v>0</v>
      </c>
      <c r="BE74" s="227"/>
      <c r="BF74" s="227" t="str">
        <f t="shared" si="11"/>
        <v>Nej</v>
      </c>
      <c r="BG74" s="227" t="str">
        <f>IF($BF74="ja",VLOOKUP($B74,'Egen hetvattenprod'!$B$1:$BX$550,MATCH("Andelen klimatgaser med fossilt ursprung för avfall ()",'Egen hetvattenprod'!$B$1:$BX$1,0),FALSE),"")</f>
        <v/>
      </c>
      <c r="BH74" s="227" t="str">
        <f>IF($BF74="ja",VLOOKUP($B74,Kraftvärmeprod!$B$1:$BX$550,MATCH("Andelen klimatgaser med fossilt ursprung för avfall ()",Kraftvärmeprod!$B$1:$BX$1,0),FALSE),"")</f>
        <v/>
      </c>
      <c r="BI74" s="227" t="str">
        <f>IF($BF74="ja",VLOOKUP($B74,'Egen hetvattenprod'!$B$1:$BX$550,MATCH("Avfall (GWh)",'Egen hetvattenprod'!$B$1:$BX$1,0),FALSE),"")</f>
        <v/>
      </c>
      <c r="BJ74" s="227" t="str">
        <f>IF($BF74="ja",VLOOKUP($B74,'Slutlig allokering kvv'!$B$1:$BX$550,MATCH("Avfall (GWh)",'Slutlig allokering kvv'!$B$1:$BX$1,0),FALSE),"")</f>
        <v/>
      </c>
      <c r="BK74" s="227" t="str">
        <f>IF($BF74="ja",VLOOKUP($B74,'Köpt hetvatten'!$B$1:$BX$550,MATCH("Avfall i köpt hetvatten",'Köpt hetvatten'!$B$1:$BX$1,0),FALSE),"")</f>
        <v/>
      </c>
      <c r="BL74" s="227" t="str">
        <f>IF($BF74="ja",VLOOKUP($B74,'Egen hetvattenprod'!$B$1:$BX$550,MATCH("Värde enligt ovan. (%)",'Egen hetvattenprod'!$B$1:$BX$1,0),FALSE),"")</f>
        <v/>
      </c>
      <c r="BM74" s="227" t="str">
        <f>IF($BF74="ja",VLOOKUP($B74,Kraftvärmeprod!$B$1:$BX$550,MATCH("Värde enligt ovan. (%)",Kraftvärmeprod!$B$1:$BX$1,0),FALSE),"")</f>
        <v/>
      </c>
      <c r="BN74" s="227"/>
      <c r="BO74" s="227"/>
      <c r="BP74" s="227"/>
      <c r="BQ74" s="227" t="str">
        <f>IF($BF74="ja",VLOOKUP($B74,'Egen hetvattenprod'!$B$1:$BX$550,MATCH("Tillförd olja (fossil) vid avfallsförbränning (GWh)",'Egen hetvattenprod'!$B$1:$BX$1,0),FALSE),"")</f>
        <v/>
      </c>
      <c r="BR74" s="227" t="str">
        <f>IF($BF74="ja",VLOOKUP($B74,Kraftvärmeprod!$B$1:$BX$550,MATCH("Tillförd olja (fossil) vid avfallsförbränning (GWh)",Kraftvärmeprod!$B$1:$BX$1,0),FALSE),"")</f>
        <v/>
      </c>
      <c r="BS74" s="227"/>
      <c r="BT74" s="227"/>
      <c r="BU74" s="227"/>
    </row>
    <row r="75" spans="1:73" x14ac:dyDescent="0.25">
      <c r="A75" s="121" t="str">
        <f>'Miljövärden för publ företag'!B78</f>
        <v>Falkenberg Energi AB</v>
      </c>
      <c r="B75" s="121" t="str">
        <f>'Miljövärden för publ företag'!C78</f>
        <v>Ullared-närvärme</v>
      </c>
      <c r="C75" s="173">
        <f>IFERROR(VLOOKUP($B75,Totalt!$B$1:$AQ$554,MATCH(C$2,Totalt!$B$1:$AQ$1,0),FALSE),"")</f>
        <v>0</v>
      </c>
      <c r="D75" s="173">
        <f>IFERROR(VLOOKUP($B75,Totalt!$B$1:$AQ$554,MATCH(D$2,Totalt!$B$1:$AQ$1,0),FALSE),"")</f>
        <v>2.8000000000000001E-2</v>
      </c>
      <c r="E75" s="173">
        <f>IFERROR(VLOOKUP($B75,Totalt!$B$1:$AQ$554,MATCH(E$2,Totalt!$B$1:$AQ$1,0),FALSE),"")</f>
        <v>0</v>
      </c>
      <c r="F75" s="173">
        <f>IFERROR(VLOOKUP($B75,Totalt!$B$1:$AQ$554,MATCH(F$2,Totalt!$B$1:$AQ$1,0),FALSE),"")</f>
        <v>0</v>
      </c>
      <c r="G75" s="173">
        <f>IFERROR(VLOOKUP($B75,Totalt!$B$1:$AQ$554,MATCH(G$2,Totalt!$B$1:$AQ$1,0),FALSE),"")</f>
        <v>0</v>
      </c>
      <c r="H75" s="173">
        <f>IFERROR(VLOOKUP($B75,Totalt!$B$1:$AQ$554,MATCH(H$2,Totalt!$B$1:$AQ$1,0),FALSE),"")</f>
        <v>0</v>
      </c>
      <c r="I75" s="173">
        <f>IFERROR(VLOOKUP($B75,Totalt!$B$1:$AQ$554,MATCH(I$2,Totalt!$B$1:$AQ$1,0),FALSE),"")</f>
        <v>0</v>
      </c>
      <c r="J75" s="173">
        <f>IFERROR(VLOOKUP($B75,Totalt!$B$1:$AQ$554,MATCH(J$2,Totalt!$B$1:$AQ$1,0),FALSE),"")</f>
        <v>0</v>
      </c>
      <c r="K75" s="173">
        <f>IFERROR(VLOOKUP($B75,Totalt!$B$1:$AQ$554,MATCH(K$2,Totalt!$B$1:$AQ$1,0),FALSE),"")</f>
        <v>0</v>
      </c>
      <c r="L75" s="173">
        <f>IFERROR(VLOOKUP($B75,Totalt!$B$1:$AQ$554,MATCH(L$2,Totalt!$B$1:$AQ$1,0),FALSE),"")</f>
        <v>0</v>
      </c>
      <c r="M75" s="173">
        <f>IFERROR(VLOOKUP($B75,Totalt!$B$1:$AQ$554,MATCH(M$2,Totalt!$B$1:$AQ$1,0),FALSE),"")</f>
        <v>0</v>
      </c>
      <c r="N75" s="173">
        <f>IFERROR(VLOOKUP($B75,Totalt!$B$1:$AQ$554,MATCH(N$2,Totalt!$B$1:$AQ$1,0),FALSE),"")</f>
        <v>0</v>
      </c>
      <c r="O75" s="173">
        <f>IFERROR(VLOOKUP($B75,Totalt!$B$1:$AQ$554,MATCH(O$2,Totalt!$B$1:$AQ$1,0),FALSE),"")</f>
        <v>0</v>
      </c>
      <c r="P75" s="173">
        <f>IFERROR(VLOOKUP($B75,Totalt!$B$1:$AQ$554,MATCH(P$2,Totalt!$B$1:$AQ$1,0),FALSE),"")</f>
        <v>0</v>
      </c>
      <c r="Q75" s="173">
        <f>IFERROR(VLOOKUP($B75,Totalt!$B$1:$AQ$554,MATCH(Q$2,Totalt!$B$1:$AQ$1,0),FALSE),"")</f>
        <v>0</v>
      </c>
      <c r="R75" s="173">
        <f>IFERROR(VLOOKUP($B75,Totalt!$B$1:$AQ$554,MATCH(R$2,Totalt!$B$1:$AQ$1,0),FALSE),"")</f>
        <v>3.0910000000000002</v>
      </c>
      <c r="S75" s="173">
        <f>IFERROR(VLOOKUP($B75,Totalt!$B$1:$AQ$554,MATCH(S$2,Totalt!$B$1:$AQ$1,0),FALSE),"")</f>
        <v>0</v>
      </c>
      <c r="T75" s="173">
        <f>IFERROR(VLOOKUP($B75,Totalt!$B$1:$AQ$554,MATCH(T$2,Totalt!$B$1:$AQ$1,0),FALSE),"")</f>
        <v>0</v>
      </c>
      <c r="U75" s="173">
        <f>IFERROR(VLOOKUP($B75,Totalt!$B$1:$AQ$554,MATCH(U$2,Totalt!$B$1:$AQ$1,0),FALSE),"")</f>
        <v>0</v>
      </c>
      <c r="V75" s="173">
        <f>IFERROR(VLOOKUP($B75,Totalt!$B$1:$AQ$554,MATCH(V$2,Totalt!$B$1:$AQ$1,0),FALSE),"")</f>
        <v>0</v>
      </c>
      <c r="W75" s="173">
        <f>IFERROR(VLOOKUP($B75,Totalt!$B$1:$AQ$554,MATCH(W$2,Totalt!$B$1:$AQ$1,0),FALSE),"")</f>
        <v>0</v>
      </c>
      <c r="X75" s="173">
        <f>IFERROR(VLOOKUP($B75,Totalt!$B$1:$AQ$554,MATCH(X$2,Totalt!$B$1:$AQ$1,0),FALSE),"")</f>
        <v>0</v>
      </c>
      <c r="Y75" s="173">
        <f>IFERROR(VLOOKUP($B75,Totalt!$B$1:$AQ$554,MATCH(Y$2,Totalt!$B$1:$AQ$1,0),FALSE),"")</f>
        <v>0</v>
      </c>
      <c r="Z75" s="173">
        <f>IFERROR(VLOOKUP($B75,Totalt!$B$1:$AQ$554,MATCH(Z$2,Totalt!$B$1:$AQ$1,0),FALSE),"")</f>
        <v>0</v>
      </c>
      <c r="AA75" s="173">
        <f>IFERROR(VLOOKUP($B75,Totalt!$B$1:$AQ$554,MATCH(AA$2,Totalt!$B$1:$AQ$1,0),FALSE),"")</f>
        <v>0</v>
      </c>
      <c r="AB75" s="173">
        <f>IFERROR(VLOOKUP($B75,Totalt!$B$1:$AQ$554,MATCH(AB$2,Totalt!$B$1:$AQ$1,0),FALSE),"")</f>
        <v>0</v>
      </c>
      <c r="AC75" s="173">
        <f>IFERROR(VLOOKUP($B75,Totalt!$B$1:$AQ$554,MATCH(AC$2,Totalt!$B$1:$AQ$1,0),FALSE),"")</f>
        <v>0</v>
      </c>
      <c r="AD75" s="173">
        <f>IFERROR(VLOOKUP($B75,Totalt!$B$1:$AQ$554,MATCH(AD$2,Totalt!$B$1:$AQ$1,0),FALSE),"")</f>
        <v>0</v>
      </c>
      <c r="AE75" s="173">
        <f>IFERROR(VLOOKUP($B75,Totalt!$B$1:$AQ$554,MATCH(AE$2,Totalt!$B$1:$AQ$1,0),FALSE),"")</f>
        <v>0</v>
      </c>
      <c r="AF75" s="173">
        <f>IFERROR(VLOOKUP($B75,Totalt!$B$1:$AQ$554,MATCH(AF$2,Totalt!$B$1:$AQ$1,0),FALSE),"")</f>
        <v>5.0999999999999997E-2</v>
      </c>
      <c r="AG75" s="173">
        <f>IFERROR(VLOOKUP($B75,Totalt!$B$1:$AQ$554,MATCH(AG$2,Totalt!$B$1:$AQ$1,0),FALSE),"")</f>
        <v>0</v>
      </c>
      <c r="AI75" s="226">
        <f t="shared" si="6"/>
        <v>3.1700000000000004</v>
      </c>
      <c r="AJ75" s="226">
        <f>IF(ISERROR(1/VLOOKUP($B75,Leveranser!$B$1:$S$500,MATCH("såld värme (gwh)",Leveranser!$B$1:$S$1,0),FALSE)),"",VLOOKUP($B75,Leveranser!$B$1:$S$500,MATCH("såld värme (gwh)",Leveranser!$B$1:$S$1,0),FALSE))</f>
        <v>2.4660000000000002</v>
      </c>
      <c r="AM75" s="227" t="str">
        <f>IF(B75&lt;&gt;"",IF(VLOOKUP($B75,Totalt!$B$1:$AQ$554,MATCH("Kvalitetsgranskad:",Totalt!$B$1:$AQ$1,0),FALSE)="ja",VLOOKUP($B75,Miljö!$B$1:$AG$479,MATCH(AM$2,Miljö!$B$1:$AK$1,0),FALSE),""),"")</f>
        <v>Ja</v>
      </c>
      <c r="AN75" s="227" t="str">
        <f>IF(AM75="ja",VLOOKUP($B75,Miljö!$B$1:$J$479,MATCH("Typ av ursprungsspecificerad el   (Om inget värde anges används Nordisk residualmix, se inforuta) ()",Miljö!$B$1:$J$1,0),FALSE),IF(AM75="nej","Nordisk residualel",""))</f>
        <v>'"FEAB Bra Miljöval"'</v>
      </c>
      <c r="AO75" s="227">
        <f>IF(AM75="","",VLOOKUP($B75,Miljö!$B$1:$J$479,MATCH("Fossilandel för ursprungspecificerad el ()",Miljö!$B$1:$J$1,0),FALSE))</f>
        <v>0</v>
      </c>
      <c r="AP75" s="227">
        <f>IF(AM75="","",IFERROR(VLOOKUP($B75,Miljö!$B$1:$J$479,MATCH("Kärnkraftsandel för ursprungsspecificerad el ()",Miljö!$B$1:$J$1,0),FALSE)/1,0))</f>
        <v>0</v>
      </c>
      <c r="AQ75" s="227">
        <f t="shared" si="7"/>
        <v>1</v>
      </c>
      <c r="AR75" s="227"/>
      <c r="AS75" s="227" t="str">
        <f t="shared" si="8"/>
        <v>Nej</v>
      </c>
      <c r="AT75" s="227" t="str">
        <f>IF(AS75="ja",VLOOKUP($B75,Miljö!$B$1:$O$500,MATCH("Fossil andel i procent (%)",Miljö!$B$1:$O$1,0),FALSE)/100,"")</f>
        <v/>
      </c>
      <c r="AU75" s="227"/>
      <c r="AV75" s="227" t="str">
        <f t="shared" si="9"/>
        <v>Nej</v>
      </c>
      <c r="AW75" s="227" t="str">
        <f>IF(AV75="ja",VLOOKUP($B75,'Egen hetvattenprod'!$B$1:$AO$500,MATCH("Värmekälla till värmepumpar ()",'Egen hetvattenprod'!$B$1:$AO$1,0),FALSE),"")</f>
        <v/>
      </c>
      <c r="AX75" s="227"/>
      <c r="AY75" s="227" t="str">
        <f t="shared" si="10"/>
        <v>Nej</v>
      </c>
      <c r="AZ75" s="228" t="str">
        <f>IF($AY75="ja",(VLOOKUP($B75,'Egen hetvattenprod'!$B$1:$BX$550,MATCH(AZ$2,'Egen hetvattenprod'!$B$1:$BX$1,0),FALSE)+VLOOKUP($B75,Kraftvärmeprod!$B$1:$BX$550,MATCH(AZ$2,Kraftvärmeprod!$B$1:$BX$1,0),FALSE))/$AC75,"")</f>
        <v/>
      </c>
      <c r="BA75" s="228" t="str">
        <f>IF($AY75="ja",(VLOOKUP($B75,'Egen hetvattenprod'!$B$1:$BX$550,MATCH(BA$2,'Egen hetvattenprod'!$B$1:$BX$1,0),FALSE)+VLOOKUP($B75,Kraftvärmeprod!$B$1:$BX$550,MATCH(BA$2,Kraftvärmeprod!$B$1:$BX$1,0),FALSE))/$AC75,"")</f>
        <v/>
      </c>
      <c r="BB75" s="228" t="str">
        <f>IF($AY75="ja",(VLOOKUP($B75,'Egen hetvattenprod'!$B$1:$BX$550,MATCH(BB$2,'Egen hetvattenprod'!$B$1:$BX$1,0),FALSE)+VLOOKUP($B75,Kraftvärmeprod!$B$1:$BX$550,MATCH(BB$2,Kraftvärmeprod!$B$1:$BX$1,0),FALSE))/$AC75,"")</f>
        <v/>
      </c>
      <c r="BC75" s="228" t="str">
        <f>IF($AY75="ja",(VLOOKUP($B75,'Egen hetvattenprod'!$B$1:$BX$550,MATCH(BC$2,'Egen hetvattenprod'!$B$1:$BX$1,0),FALSE)+VLOOKUP($B75,Kraftvärmeprod!$B$1:$BX$550,MATCH(BC$2,Kraftvärmeprod!$B$1:$BX$1,0),FALSE))/$AC75,"")</f>
        <v/>
      </c>
      <c r="BD75" s="228" t="str">
        <f>IF($AY75="ja",(VLOOKUP($B75,'Egen hetvattenprod'!$B$1:$BX$550,MATCH(BD$2,'Egen hetvattenprod'!$B$1:$BX$1,0),FALSE)+VLOOKUP($B75,Kraftvärmeprod!$B$1:$BX$550,MATCH(BD$2,Kraftvärmeprod!$B$1:$BX$1,0),FALSE))/$AC75,"")</f>
        <v/>
      </c>
      <c r="BE75" s="227"/>
      <c r="BF75" s="227" t="str">
        <f t="shared" si="11"/>
        <v>Nej</v>
      </c>
      <c r="BG75" s="227" t="str">
        <f>IF($BF75="ja",VLOOKUP($B75,'Egen hetvattenprod'!$B$1:$BX$550,MATCH("Andelen klimatgaser med fossilt ursprung för avfall ()",'Egen hetvattenprod'!$B$1:$BX$1,0),FALSE),"")</f>
        <v/>
      </c>
      <c r="BH75" s="227" t="str">
        <f>IF($BF75="ja",VLOOKUP($B75,Kraftvärmeprod!$B$1:$BX$550,MATCH("Andelen klimatgaser med fossilt ursprung för avfall ()",Kraftvärmeprod!$B$1:$BX$1,0),FALSE),"")</f>
        <v/>
      </c>
      <c r="BI75" s="227" t="str">
        <f>IF($BF75="ja",VLOOKUP($B75,'Egen hetvattenprod'!$B$1:$BX$550,MATCH("Avfall (GWh)",'Egen hetvattenprod'!$B$1:$BX$1,0),FALSE),"")</f>
        <v/>
      </c>
      <c r="BJ75" s="227" t="str">
        <f>IF($BF75="ja",VLOOKUP($B75,'Slutlig allokering kvv'!$B$1:$BX$550,MATCH("Avfall (GWh)",'Slutlig allokering kvv'!$B$1:$BX$1,0),FALSE),"")</f>
        <v/>
      </c>
      <c r="BK75" s="227" t="str">
        <f>IF($BF75="ja",VLOOKUP($B75,'Köpt hetvatten'!$B$1:$BX$550,MATCH("Avfall i köpt hetvatten",'Köpt hetvatten'!$B$1:$BX$1,0),FALSE),"")</f>
        <v/>
      </c>
      <c r="BL75" s="227" t="str">
        <f>IF($BF75="ja",VLOOKUP($B75,'Egen hetvattenprod'!$B$1:$BX$550,MATCH("Värde enligt ovan. (%)",'Egen hetvattenprod'!$B$1:$BX$1,0),FALSE),"")</f>
        <v/>
      </c>
      <c r="BM75" s="227" t="str">
        <f>IF($BF75="ja",VLOOKUP($B75,Kraftvärmeprod!$B$1:$BX$550,MATCH("Värde enligt ovan. (%)",Kraftvärmeprod!$B$1:$BX$1,0),FALSE),"")</f>
        <v/>
      </c>
      <c r="BN75" s="227"/>
      <c r="BO75" s="227"/>
      <c r="BP75" s="227"/>
      <c r="BQ75" s="227" t="str">
        <f>IF($BF75="ja",VLOOKUP($B75,'Egen hetvattenprod'!$B$1:$BX$550,MATCH("Tillförd olja (fossil) vid avfallsförbränning (GWh)",'Egen hetvattenprod'!$B$1:$BX$1,0),FALSE),"")</f>
        <v/>
      </c>
      <c r="BR75" s="227" t="str">
        <f>IF($BF75="ja",VLOOKUP($B75,Kraftvärmeprod!$B$1:$BX$550,MATCH("Tillförd olja (fossil) vid avfallsförbränning (GWh)",Kraftvärmeprod!$B$1:$BX$1,0),FALSE),"")</f>
        <v/>
      </c>
      <c r="BS75" s="227"/>
      <c r="BT75" s="227"/>
      <c r="BU75" s="227"/>
    </row>
    <row r="76" spans="1:73" x14ac:dyDescent="0.25">
      <c r="A76" s="121" t="str">
        <f>'Miljövärden för publ företag'!B79</f>
        <v>Falkenberg Energi AB</v>
      </c>
      <c r="B76" s="121" t="str">
        <f>'Miljövärden för publ företag'!C79</f>
        <v>Vessigebro-närvärme</v>
      </c>
      <c r="C76" s="173">
        <f>IFERROR(VLOOKUP($B76,Totalt!$B$1:$AQ$554,MATCH(C$2,Totalt!$B$1:$AQ$1,0),FALSE),"")</f>
        <v>0</v>
      </c>
      <c r="D76" s="173">
        <f>IFERROR(VLOOKUP($B76,Totalt!$B$1:$AQ$554,MATCH(D$2,Totalt!$B$1:$AQ$1,0),FALSE),"")</f>
        <v>0.27800000000000002</v>
      </c>
      <c r="E76" s="173">
        <f>IFERROR(VLOOKUP($B76,Totalt!$B$1:$AQ$554,MATCH(E$2,Totalt!$B$1:$AQ$1,0),FALSE),"")</f>
        <v>0</v>
      </c>
      <c r="F76" s="173">
        <f>IFERROR(VLOOKUP($B76,Totalt!$B$1:$AQ$554,MATCH(F$2,Totalt!$B$1:$AQ$1,0),FALSE),"")</f>
        <v>0</v>
      </c>
      <c r="G76" s="173">
        <f>IFERROR(VLOOKUP($B76,Totalt!$B$1:$AQ$554,MATCH(G$2,Totalt!$B$1:$AQ$1,0),FALSE),"")</f>
        <v>0</v>
      </c>
      <c r="H76" s="173">
        <f>IFERROR(VLOOKUP($B76,Totalt!$B$1:$AQ$554,MATCH(H$2,Totalt!$B$1:$AQ$1,0),FALSE),"")</f>
        <v>0</v>
      </c>
      <c r="I76" s="173">
        <f>IFERROR(VLOOKUP($B76,Totalt!$B$1:$AQ$554,MATCH(I$2,Totalt!$B$1:$AQ$1,0),FALSE),"")</f>
        <v>0</v>
      </c>
      <c r="J76" s="173">
        <f>IFERROR(VLOOKUP($B76,Totalt!$B$1:$AQ$554,MATCH(J$2,Totalt!$B$1:$AQ$1,0),FALSE),"")</f>
        <v>0</v>
      </c>
      <c r="K76" s="173">
        <f>IFERROR(VLOOKUP($B76,Totalt!$B$1:$AQ$554,MATCH(K$2,Totalt!$B$1:$AQ$1,0),FALSE),"")</f>
        <v>0</v>
      </c>
      <c r="L76" s="173">
        <f>IFERROR(VLOOKUP($B76,Totalt!$B$1:$AQ$554,MATCH(L$2,Totalt!$B$1:$AQ$1,0),FALSE),"")</f>
        <v>0</v>
      </c>
      <c r="M76" s="173">
        <f>IFERROR(VLOOKUP($B76,Totalt!$B$1:$AQ$554,MATCH(M$2,Totalt!$B$1:$AQ$1,0),FALSE),"")</f>
        <v>0</v>
      </c>
      <c r="N76" s="173">
        <f>IFERROR(VLOOKUP($B76,Totalt!$B$1:$AQ$554,MATCH(N$2,Totalt!$B$1:$AQ$1,0),FALSE),"")</f>
        <v>0</v>
      </c>
      <c r="O76" s="173">
        <f>IFERROR(VLOOKUP($B76,Totalt!$B$1:$AQ$554,MATCH(O$2,Totalt!$B$1:$AQ$1,0),FALSE),"")</f>
        <v>0</v>
      </c>
      <c r="P76" s="173">
        <f>IFERROR(VLOOKUP($B76,Totalt!$B$1:$AQ$554,MATCH(P$2,Totalt!$B$1:$AQ$1,0),FALSE),"")</f>
        <v>0</v>
      </c>
      <c r="Q76" s="173">
        <f>IFERROR(VLOOKUP($B76,Totalt!$B$1:$AQ$554,MATCH(Q$2,Totalt!$B$1:$AQ$1,0),FALSE),"")</f>
        <v>0</v>
      </c>
      <c r="R76" s="173">
        <f>IFERROR(VLOOKUP($B76,Totalt!$B$1:$AQ$554,MATCH(R$2,Totalt!$B$1:$AQ$1,0),FALSE),"")</f>
        <v>3.8290000000000002</v>
      </c>
      <c r="S76" s="173">
        <f>IFERROR(VLOOKUP($B76,Totalt!$B$1:$AQ$554,MATCH(S$2,Totalt!$B$1:$AQ$1,0),FALSE),"")</f>
        <v>0</v>
      </c>
      <c r="T76" s="173">
        <f>IFERROR(VLOOKUP($B76,Totalt!$B$1:$AQ$554,MATCH(T$2,Totalt!$B$1:$AQ$1,0),FALSE),"")</f>
        <v>0</v>
      </c>
      <c r="U76" s="173">
        <f>IFERROR(VLOOKUP($B76,Totalt!$B$1:$AQ$554,MATCH(U$2,Totalt!$B$1:$AQ$1,0),FALSE),"")</f>
        <v>0</v>
      </c>
      <c r="V76" s="173">
        <f>IFERROR(VLOOKUP($B76,Totalt!$B$1:$AQ$554,MATCH(V$2,Totalt!$B$1:$AQ$1,0),FALSE),"")</f>
        <v>0</v>
      </c>
      <c r="W76" s="173">
        <f>IFERROR(VLOOKUP($B76,Totalt!$B$1:$AQ$554,MATCH(W$2,Totalt!$B$1:$AQ$1,0),FALSE),"")</f>
        <v>0</v>
      </c>
      <c r="X76" s="173">
        <f>IFERROR(VLOOKUP($B76,Totalt!$B$1:$AQ$554,MATCH(X$2,Totalt!$B$1:$AQ$1,0),FALSE),"")</f>
        <v>0</v>
      </c>
      <c r="Y76" s="173">
        <f>IFERROR(VLOOKUP($B76,Totalt!$B$1:$AQ$554,MATCH(Y$2,Totalt!$B$1:$AQ$1,0),FALSE),"")</f>
        <v>0</v>
      </c>
      <c r="Z76" s="173">
        <f>IFERROR(VLOOKUP($B76,Totalt!$B$1:$AQ$554,MATCH(Z$2,Totalt!$B$1:$AQ$1,0),FALSE),"")</f>
        <v>0</v>
      </c>
      <c r="AA76" s="173">
        <f>IFERROR(VLOOKUP($B76,Totalt!$B$1:$AQ$554,MATCH(AA$2,Totalt!$B$1:$AQ$1,0),FALSE),"")</f>
        <v>0</v>
      </c>
      <c r="AB76" s="173">
        <f>IFERROR(VLOOKUP($B76,Totalt!$B$1:$AQ$554,MATCH(AB$2,Totalt!$B$1:$AQ$1,0),FALSE),"")</f>
        <v>0</v>
      </c>
      <c r="AC76" s="173">
        <f>IFERROR(VLOOKUP($B76,Totalt!$B$1:$AQ$554,MATCH(AC$2,Totalt!$B$1:$AQ$1,0),FALSE),"")</f>
        <v>0</v>
      </c>
      <c r="AD76" s="173">
        <f>IFERROR(VLOOKUP($B76,Totalt!$B$1:$AQ$554,MATCH(AD$2,Totalt!$B$1:$AQ$1,0),FALSE),"")</f>
        <v>0</v>
      </c>
      <c r="AE76" s="173">
        <f>IFERROR(VLOOKUP($B76,Totalt!$B$1:$AQ$554,MATCH(AE$2,Totalt!$B$1:$AQ$1,0),FALSE),"")</f>
        <v>0</v>
      </c>
      <c r="AF76" s="173">
        <f>IFERROR(VLOOKUP($B76,Totalt!$B$1:$AQ$554,MATCH(AF$2,Totalt!$B$1:$AQ$1,0),FALSE),"")</f>
        <v>5.5E-2</v>
      </c>
      <c r="AG76" s="173">
        <f>IFERROR(VLOOKUP($B76,Totalt!$B$1:$AQ$554,MATCH(AG$2,Totalt!$B$1:$AQ$1,0),FALSE),"")</f>
        <v>0</v>
      </c>
      <c r="AI76" s="226">
        <f t="shared" si="6"/>
        <v>4.1619999999999999</v>
      </c>
      <c r="AJ76" s="226">
        <f>IF(ISERROR(1/VLOOKUP($B76,Leveranser!$B$1:$S$500,MATCH("såld värme (gwh)",Leveranser!$B$1:$S$1,0),FALSE)),"",VLOOKUP($B76,Leveranser!$B$1:$S$500,MATCH("såld värme (gwh)",Leveranser!$B$1:$S$1,0),FALSE))</f>
        <v>3.2919999999999998</v>
      </c>
      <c r="AM76" s="227" t="str">
        <f>IF(B76&lt;&gt;"",IF(VLOOKUP($B76,Totalt!$B$1:$AQ$554,MATCH("Kvalitetsgranskad:",Totalt!$B$1:$AQ$1,0),FALSE)="ja",VLOOKUP($B76,Miljö!$B$1:$AG$479,MATCH(AM$2,Miljö!$B$1:$AK$1,0),FALSE),""),"")</f>
        <v>Ja</v>
      </c>
      <c r="AN76" s="227" t="str">
        <f>IF(AM76="ja",VLOOKUP($B76,Miljö!$B$1:$J$479,MATCH("Typ av ursprungsspecificerad el   (Om inget värde anges används Nordisk residualmix, se inforuta) ()",Miljö!$B$1:$J$1,0),FALSE),IF(AM76="nej","Nordisk residualel",""))</f>
        <v>'100% Vattenkraftsel'</v>
      </c>
      <c r="AO76" s="227">
        <f>IF(AM76="","",VLOOKUP($B76,Miljö!$B$1:$J$479,MATCH("Fossilandel för ursprungspecificerad el ()",Miljö!$B$1:$J$1,0),FALSE))</f>
        <v>0.01</v>
      </c>
      <c r="AP76" s="227">
        <f>IF(AM76="","",IFERROR(VLOOKUP($B76,Miljö!$B$1:$J$479,MATCH("Kärnkraftsandel för ursprungsspecificerad el ()",Miljö!$B$1:$J$1,0),FALSE)/1,0))</f>
        <v>0</v>
      </c>
      <c r="AQ76" s="227">
        <f t="shared" si="7"/>
        <v>0.99</v>
      </c>
      <c r="AR76" s="227"/>
      <c r="AS76" s="227" t="str">
        <f t="shared" si="8"/>
        <v>Nej</v>
      </c>
      <c r="AT76" s="227" t="str">
        <f>IF(AS76="ja",VLOOKUP($B76,Miljö!$B$1:$O$500,MATCH("Fossil andel i procent (%)",Miljö!$B$1:$O$1,0),FALSE)/100,"")</f>
        <v/>
      </c>
      <c r="AU76" s="227"/>
      <c r="AV76" s="227" t="str">
        <f t="shared" si="9"/>
        <v>Nej</v>
      </c>
      <c r="AW76" s="227" t="str">
        <f>IF(AV76="ja",VLOOKUP($B76,'Egen hetvattenprod'!$B$1:$AO$500,MATCH("Värmekälla till värmepumpar ()",'Egen hetvattenprod'!$B$1:$AO$1,0),FALSE),"")</f>
        <v/>
      </c>
      <c r="AX76" s="227"/>
      <c r="AY76" s="227" t="str">
        <f t="shared" si="10"/>
        <v>Nej</v>
      </c>
      <c r="AZ76" s="228" t="str">
        <f>IF($AY76="ja",(VLOOKUP($B76,'Egen hetvattenprod'!$B$1:$BX$550,MATCH(AZ$2,'Egen hetvattenprod'!$B$1:$BX$1,0),FALSE)+VLOOKUP($B76,Kraftvärmeprod!$B$1:$BX$550,MATCH(AZ$2,Kraftvärmeprod!$B$1:$BX$1,0),FALSE))/$AC76,"")</f>
        <v/>
      </c>
      <c r="BA76" s="228" t="str">
        <f>IF($AY76="ja",(VLOOKUP($B76,'Egen hetvattenprod'!$B$1:$BX$550,MATCH(BA$2,'Egen hetvattenprod'!$B$1:$BX$1,0),FALSE)+VLOOKUP($B76,Kraftvärmeprod!$B$1:$BX$550,MATCH(BA$2,Kraftvärmeprod!$B$1:$BX$1,0),FALSE))/$AC76,"")</f>
        <v/>
      </c>
      <c r="BB76" s="228" t="str">
        <f>IF($AY76="ja",(VLOOKUP($B76,'Egen hetvattenprod'!$B$1:$BX$550,MATCH(BB$2,'Egen hetvattenprod'!$B$1:$BX$1,0),FALSE)+VLOOKUP($B76,Kraftvärmeprod!$B$1:$BX$550,MATCH(BB$2,Kraftvärmeprod!$B$1:$BX$1,0),FALSE))/$AC76,"")</f>
        <v/>
      </c>
      <c r="BC76" s="228" t="str">
        <f>IF($AY76="ja",(VLOOKUP($B76,'Egen hetvattenprod'!$B$1:$BX$550,MATCH(BC$2,'Egen hetvattenprod'!$B$1:$BX$1,0),FALSE)+VLOOKUP($B76,Kraftvärmeprod!$B$1:$BX$550,MATCH(BC$2,Kraftvärmeprod!$B$1:$BX$1,0),FALSE))/$AC76,"")</f>
        <v/>
      </c>
      <c r="BD76" s="228" t="str">
        <f>IF($AY76="ja",(VLOOKUP($B76,'Egen hetvattenprod'!$B$1:$BX$550,MATCH(BD$2,'Egen hetvattenprod'!$B$1:$BX$1,0),FALSE)+VLOOKUP($B76,Kraftvärmeprod!$B$1:$BX$550,MATCH(BD$2,Kraftvärmeprod!$B$1:$BX$1,0),FALSE))/$AC76,"")</f>
        <v/>
      </c>
      <c r="BE76" s="227"/>
      <c r="BF76" s="227" t="str">
        <f t="shared" si="11"/>
        <v>Nej</v>
      </c>
      <c r="BG76" s="227" t="str">
        <f>IF($BF76="ja",VLOOKUP($B76,'Egen hetvattenprod'!$B$1:$BX$550,MATCH("Andelen klimatgaser med fossilt ursprung för avfall ()",'Egen hetvattenprod'!$B$1:$BX$1,0),FALSE),"")</f>
        <v/>
      </c>
      <c r="BH76" s="227" t="str">
        <f>IF($BF76="ja",VLOOKUP($B76,Kraftvärmeprod!$B$1:$BX$550,MATCH("Andelen klimatgaser med fossilt ursprung för avfall ()",Kraftvärmeprod!$B$1:$BX$1,0),FALSE),"")</f>
        <v/>
      </c>
      <c r="BI76" s="227" t="str">
        <f>IF($BF76="ja",VLOOKUP($B76,'Egen hetvattenprod'!$B$1:$BX$550,MATCH("Avfall (GWh)",'Egen hetvattenprod'!$B$1:$BX$1,0),FALSE),"")</f>
        <v/>
      </c>
      <c r="BJ76" s="227" t="str">
        <f>IF($BF76="ja",VLOOKUP($B76,'Slutlig allokering kvv'!$B$1:$BX$550,MATCH("Avfall (GWh)",'Slutlig allokering kvv'!$B$1:$BX$1,0),FALSE),"")</f>
        <v/>
      </c>
      <c r="BK76" s="227" t="str">
        <f>IF($BF76="ja",VLOOKUP($B76,'Köpt hetvatten'!$B$1:$BX$550,MATCH("Avfall i köpt hetvatten",'Köpt hetvatten'!$B$1:$BX$1,0),FALSE),"")</f>
        <v/>
      </c>
      <c r="BL76" s="227" t="str">
        <f>IF($BF76="ja",VLOOKUP($B76,'Egen hetvattenprod'!$B$1:$BX$550,MATCH("Värde enligt ovan. (%)",'Egen hetvattenprod'!$B$1:$BX$1,0),FALSE),"")</f>
        <v/>
      </c>
      <c r="BM76" s="227" t="str">
        <f>IF($BF76="ja",VLOOKUP($B76,Kraftvärmeprod!$B$1:$BX$550,MATCH("Värde enligt ovan. (%)",Kraftvärmeprod!$B$1:$BX$1,0),FALSE),"")</f>
        <v/>
      </c>
      <c r="BN76" s="227"/>
      <c r="BO76" s="227"/>
      <c r="BP76" s="227"/>
      <c r="BQ76" s="227" t="str">
        <f>IF($BF76="ja",VLOOKUP($B76,'Egen hetvattenprod'!$B$1:$BX$550,MATCH("Tillförd olja (fossil) vid avfallsförbränning (GWh)",'Egen hetvattenprod'!$B$1:$BX$1,0),FALSE),"")</f>
        <v/>
      </c>
      <c r="BR76" s="227" t="str">
        <f>IF($BF76="ja",VLOOKUP($B76,Kraftvärmeprod!$B$1:$BX$550,MATCH("Tillförd olja (fossil) vid avfallsförbränning (GWh)",Kraftvärmeprod!$B$1:$BX$1,0),FALSE),"")</f>
        <v/>
      </c>
      <c r="BS76" s="227"/>
      <c r="BT76" s="227"/>
      <c r="BU76" s="227"/>
    </row>
    <row r="77" spans="1:73" x14ac:dyDescent="0.25">
      <c r="A77" s="121" t="str">
        <f>'Miljövärden för publ företag'!B80</f>
        <v>Falu Energi &amp; Vatten AB</v>
      </c>
      <c r="B77" s="121" t="str">
        <f>'Miljövärden för publ företag'!C80</f>
        <v>Bjursås</v>
      </c>
      <c r="C77" s="173">
        <f>IFERROR(VLOOKUP($B77,Totalt!$B$1:$AQ$554,MATCH(C$2,Totalt!$B$1:$AQ$1,0),FALSE),"")</f>
        <v>0</v>
      </c>
      <c r="D77" s="173">
        <f>IFERROR(VLOOKUP($B77,Totalt!$B$1:$AQ$554,MATCH(D$2,Totalt!$B$1:$AQ$1,0),FALSE),"")</f>
        <v>1.4E-2</v>
      </c>
      <c r="E77" s="173">
        <f>IFERROR(VLOOKUP($B77,Totalt!$B$1:$AQ$554,MATCH(E$2,Totalt!$B$1:$AQ$1,0),FALSE),"")</f>
        <v>0</v>
      </c>
      <c r="F77" s="173">
        <f>IFERROR(VLOOKUP($B77,Totalt!$B$1:$AQ$554,MATCH(F$2,Totalt!$B$1:$AQ$1,0),FALSE),"")</f>
        <v>0</v>
      </c>
      <c r="G77" s="173">
        <f>IFERROR(VLOOKUP($B77,Totalt!$B$1:$AQ$554,MATCH(G$2,Totalt!$B$1:$AQ$1,0),FALSE),"")</f>
        <v>0</v>
      </c>
      <c r="H77" s="173">
        <f>IFERROR(VLOOKUP($B77,Totalt!$B$1:$AQ$554,MATCH(H$2,Totalt!$B$1:$AQ$1,0),FALSE),"")</f>
        <v>0</v>
      </c>
      <c r="I77" s="173">
        <f>IFERROR(VLOOKUP($B77,Totalt!$B$1:$AQ$554,MATCH(I$2,Totalt!$B$1:$AQ$1,0),FALSE),"")</f>
        <v>0</v>
      </c>
      <c r="J77" s="173">
        <f>IFERROR(VLOOKUP($B77,Totalt!$B$1:$AQ$554,MATCH(J$2,Totalt!$B$1:$AQ$1,0),FALSE),"")</f>
        <v>0</v>
      </c>
      <c r="K77" s="173">
        <f>IFERROR(VLOOKUP($B77,Totalt!$B$1:$AQ$554,MATCH(K$2,Totalt!$B$1:$AQ$1,0),FALSE),"")</f>
        <v>0</v>
      </c>
      <c r="L77" s="173">
        <f>IFERROR(VLOOKUP($B77,Totalt!$B$1:$AQ$554,MATCH(L$2,Totalt!$B$1:$AQ$1,0),FALSE),"")</f>
        <v>0</v>
      </c>
      <c r="M77" s="173">
        <f>IFERROR(VLOOKUP($B77,Totalt!$B$1:$AQ$554,MATCH(M$2,Totalt!$B$1:$AQ$1,0),FALSE),"")</f>
        <v>0</v>
      </c>
      <c r="N77" s="173">
        <f>IFERROR(VLOOKUP($B77,Totalt!$B$1:$AQ$554,MATCH(N$2,Totalt!$B$1:$AQ$1,0),FALSE),"")</f>
        <v>0</v>
      </c>
      <c r="O77" s="173">
        <f>IFERROR(VLOOKUP($B77,Totalt!$B$1:$AQ$554,MATCH(O$2,Totalt!$B$1:$AQ$1,0),FALSE),"")</f>
        <v>0</v>
      </c>
      <c r="P77" s="173">
        <f>IFERROR(VLOOKUP($B77,Totalt!$B$1:$AQ$554,MATCH(P$2,Totalt!$B$1:$AQ$1,0),FALSE),"")</f>
        <v>0</v>
      </c>
      <c r="Q77" s="173">
        <f>IFERROR(VLOOKUP($B77,Totalt!$B$1:$AQ$554,MATCH(Q$2,Totalt!$B$1:$AQ$1,0),FALSE),"")</f>
        <v>0</v>
      </c>
      <c r="R77" s="173">
        <f>IFERROR(VLOOKUP($B77,Totalt!$B$1:$AQ$554,MATCH(R$2,Totalt!$B$1:$AQ$1,0),FALSE),"")</f>
        <v>5.8</v>
      </c>
      <c r="S77" s="173">
        <f>IFERROR(VLOOKUP($B77,Totalt!$B$1:$AQ$554,MATCH(S$2,Totalt!$B$1:$AQ$1,0),FALSE),"")</f>
        <v>0</v>
      </c>
      <c r="T77" s="173">
        <f>IFERROR(VLOOKUP($B77,Totalt!$B$1:$AQ$554,MATCH(T$2,Totalt!$B$1:$AQ$1,0),FALSE),"")</f>
        <v>0</v>
      </c>
      <c r="U77" s="173">
        <f>IFERROR(VLOOKUP($B77,Totalt!$B$1:$AQ$554,MATCH(U$2,Totalt!$B$1:$AQ$1,0),FALSE),"")</f>
        <v>0</v>
      </c>
      <c r="V77" s="173">
        <f>IFERROR(VLOOKUP($B77,Totalt!$B$1:$AQ$554,MATCH(V$2,Totalt!$B$1:$AQ$1,0),FALSE),"")</f>
        <v>0</v>
      </c>
      <c r="W77" s="173">
        <f>IFERROR(VLOOKUP($B77,Totalt!$B$1:$AQ$554,MATCH(W$2,Totalt!$B$1:$AQ$1,0),FALSE),"")</f>
        <v>0</v>
      </c>
      <c r="X77" s="173">
        <f>IFERROR(VLOOKUP($B77,Totalt!$B$1:$AQ$554,MATCH(X$2,Totalt!$B$1:$AQ$1,0),FALSE),"")</f>
        <v>0</v>
      </c>
      <c r="Y77" s="173">
        <f>IFERROR(VLOOKUP($B77,Totalt!$B$1:$AQ$554,MATCH(Y$2,Totalt!$B$1:$AQ$1,0),FALSE),"")</f>
        <v>0</v>
      </c>
      <c r="Z77" s="173">
        <f>IFERROR(VLOOKUP($B77,Totalt!$B$1:$AQ$554,MATCH(Z$2,Totalt!$B$1:$AQ$1,0),FALSE),"")</f>
        <v>0</v>
      </c>
      <c r="AA77" s="173">
        <f>IFERROR(VLOOKUP($B77,Totalt!$B$1:$AQ$554,MATCH(AA$2,Totalt!$B$1:$AQ$1,0),FALSE),"")</f>
        <v>0</v>
      </c>
      <c r="AB77" s="173">
        <f>IFERROR(VLOOKUP($B77,Totalt!$B$1:$AQ$554,MATCH(AB$2,Totalt!$B$1:$AQ$1,0),FALSE),"")</f>
        <v>0</v>
      </c>
      <c r="AC77" s="173">
        <f>IFERROR(VLOOKUP($B77,Totalt!$B$1:$AQ$554,MATCH(AC$2,Totalt!$B$1:$AQ$1,0),FALSE),"")</f>
        <v>0</v>
      </c>
      <c r="AD77" s="173">
        <f>IFERROR(VLOOKUP($B77,Totalt!$B$1:$AQ$554,MATCH(AD$2,Totalt!$B$1:$AQ$1,0),FALSE),"")</f>
        <v>0</v>
      </c>
      <c r="AE77" s="173">
        <f>IFERROR(VLOOKUP($B77,Totalt!$B$1:$AQ$554,MATCH(AE$2,Totalt!$B$1:$AQ$1,0),FALSE),"")</f>
        <v>0</v>
      </c>
      <c r="AF77" s="173">
        <f>IFERROR(VLOOKUP($B77,Totalt!$B$1:$AQ$554,MATCH(AF$2,Totalt!$B$1:$AQ$1,0),FALSE),"")</f>
        <v>0.06</v>
      </c>
      <c r="AG77" s="173">
        <f>IFERROR(VLOOKUP($B77,Totalt!$B$1:$AQ$554,MATCH(AG$2,Totalt!$B$1:$AQ$1,0),FALSE),"")</f>
        <v>0</v>
      </c>
      <c r="AI77" s="226">
        <f t="shared" si="6"/>
        <v>5.8739999999999997</v>
      </c>
      <c r="AJ77" s="226">
        <f>IF(ISERROR(1/VLOOKUP($B77,Leveranser!$B$1:$S$500,MATCH("såld värme (gwh)",Leveranser!$B$1:$S$1,0),FALSE)),"",VLOOKUP($B77,Leveranser!$B$1:$S$500,MATCH("såld värme (gwh)",Leveranser!$B$1:$S$1,0),FALSE))</f>
        <v>3.71</v>
      </c>
      <c r="AM77" s="227" t="str">
        <f>IF(B77&lt;&gt;"",IF(VLOOKUP($B77,Totalt!$B$1:$AQ$554,MATCH("Kvalitetsgranskad:",Totalt!$B$1:$AQ$1,0),FALSE)="ja",VLOOKUP($B77,Miljö!$B$1:$AG$479,MATCH(AM$2,Miljö!$B$1:$AK$1,0),FALSE),""),"")</f>
        <v>Ja</v>
      </c>
      <c r="AN77" s="227" t="str">
        <f>IF(AM77="ja",VLOOKUP($B77,Miljö!$B$1:$J$479,MATCH("Typ av ursprungsspecificerad el   (Om inget värde anges används Nordisk residualmix, se inforuta) ()",Miljö!$B$1:$J$1,0),FALSE),IF(AM77="nej","Nordisk residualel",""))</f>
        <v>'Bio. vatten. vind'</v>
      </c>
      <c r="AO77" s="227">
        <f>IF(AM77="","",VLOOKUP($B77,Miljö!$B$1:$J$479,MATCH("Fossilandel för ursprungspecificerad el ()",Miljö!$B$1:$J$1,0),FALSE))</f>
        <v>0</v>
      </c>
      <c r="AP77" s="227">
        <f>IF(AM77="","",IFERROR(VLOOKUP($B77,Miljö!$B$1:$J$479,MATCH("Kärnkraftsandel för ursprungsspecificerad el ()",Miljö!$B$1:$J$1,0),FALSE)/1,0))</f>
        <v>0</v>
      </c>
      <c r="AQ77" s="227">
        <f t="shared" si="7"/>
        <v>1</v>
      </c>
      <c r="AR77" s="227"/>
      <c r="AS77" s="227" t="str">
        <f t="shared" si="8"/>
        <v>Nej</v>
      </c>
      <c r="AT77" s="227" t="str">
        <f>IF(AS77="ja",VLOOKUP($B77,Miljö!$B$1:$O$500,MATCH("Fossil andel i procent (%)",Miljö!$B$1:$O$1,0),FALSE)/100,"")</f>
        <v/>
      </c>
      <c r="AU77" s="227"/>
      <c r="AV77" s="227" t="str">
        <f t="shared" si="9"/>
        <v>Nej</v>
      </c>
      <c r="AW77" s="227" t="str">
        <f>IF(AV77="ja",VLOOKUP($B77,'Egen hetvattenprod'!$B$1:$AO$500,MATCH("Värmekälla till värmepumpar ()",'Egen hetvattenprod'!$B$1:$AO$1,0),FALSE),"")</f>
        <v/>
      </c>
      <c r="AX77" s="227"/>
      <c r="AY77" s="227" t="str">
        <f t="shared" si="10"/>
        <v>Nej</v>
      </c>
      <c r="AZ77" s="228" t="str">
        <f>IF($AY77="ja",(VLOOKUP($B77,'Egen hetvattenprod'!$B$1:$BX$550,MATCH(AZ$2,'Egen hetvattenprod'!$B$1:$BX$1,0),FALSE)+VLOOKUP($B77,Kraftvärmeprod!$B$1:$BX$550,MATCH(AZ$2,Kraftvärmeprod!$B$1:$BX$1,0),FALSE))/$AC77,"")</f>
        <v/>
      </c>
      <c r="BA77" s="228" t="str">
        <f>IF($AY77="ja",(VLOOKUP($B77,'Egen hetvattenprod'!$B$1:$BX$550,MATCH(BA$2,'Egen hetvattenprod'!$B$1:$BX$1,0),FALSE)+VLOOKUP($B77,Kraftvärmeprod!$B$1:$BX$550,MATCH(BA$2,Kraftvärmeprod!$B$1:$BX$1,0),FALSE))/$AC77,"")</f>
        <v/>
      </c>
      <c r="BB77" s="228" t="str">
        <f>IF($AY77="ja",(VLOOKUP($B77,'Egen hetvattenprod'!$B$1:$BX$550,MATCH(BB$2,'Egen hetvattenprod'!$B$1:$BX$1,0),FALSE)+VLOOKUP($B77,Kraftvärmeprod!$B$1:$BX$550,MATCH(BB$2,Kraftvärmeprod!$B$1:$BX$1,0),FALSE))/$AC77,"")</f>
        <v/>
      </c>
      <c r="BC77" s="228" t="str">
        <f>IF($AY77="ja",(VLOOKUP($B77,'Egen hetvattenprod'!$B$1:$BX$550,MATCH(BC$2,'Egen hetvattenprod'!$B$1:$BX$1,0),FALSE)+VLOOKUP($B77,Kraftvärmeprod!$B$1:$BX$550,MATCH(BC$2,Kraftvärmeprod!$B$1:$BX$1,0),FALSE))/$AC77,"")</f>
        <v/>
      </c>
      <c r="BD77" s="228" t="str">
        <f>IF($AY77="ja",(VLOOKUP($B77,'Egen hetvattenprod'!$B$1:$BX$550,MATCH(BD$2,'Egen hetvattenprod'!$B$1:$BX$1,0),FALSE)+VLOOKUP($B77,Kraftvärmeprod!$B$1:$BX$550,MATCH(BD$2,Kraftvärmeprod!$B$1:$BX$1,0),FALSE))/$AC77,"")</f>
        <v/>
      </c>
      <c r="BE77" s="227"/>
      <c r="BF77" s="227" t="str">
        <f t="shared" si="11"/>
        <v>Nej</v>
      </c>
      <c r="BG77" s="227" t="str">
        <f>IF($BF77="ja",VLOOKUP($B77,'Egen hetvattenprod'!$B$1:$BX$550,MATCH("Andelen klimatgaser med fossilt ursprung för avfall ()",'Egen hetvattenprod'!$B$1:$BX$1,0),FALSE),"")</f>
        <v/>
      </c>
      <c r="BH77" s="227" t="str">
        <f>IF($BF77="ja",VLOOKUP($B77,Kraftvärmeprod!$B$1:$BX$550,MATCH("Andelen klimatgaser med fossilt ursprung för avfall ()",Kraftvärmeprod!$B$1:$BX$1,0),FALSE),"")</f>
        <v/>
      </c>
      <c r="BI77" s="227" t="str">
        <f>IF($BF77="ja",VLOOKUP($B77,'Egen hetvattenprod'!$B$1:$BX$550,MATCH("Avfall (GWh)",'Egen hetvattenprod'!$B$1:$BX$1,0),FALSE),"")</f>
        <v/>
      </c>
      <c r="BJ77" s="227" t="str">
        <f>IF($BF77="ja",VLOOKUP($B77,'Slutlig allokering kvv'!$B$1:$BX$550,MATCH("Avfall (GWh)",'Slutlig allokering kvv'!$B$1:$BX$1,0),FALSE),"")</f>
        <v/>
      </c>
      <c r="BK77" s="227" t="str">
        <f>IF($BF77="ja",VLOOKUP($B77,'Köpt hetvatten'!$B$1:$BX$550,MATCH("Avfall i köpt hetvatten",'Köpt hetvatten'!$B$1:$BX$1,0),FALSE),"")</f>
        <v/>
      </c>
      <c r="BL77" s="227" t="str">
        <f>IF($BF77="ja",VLOOKUP($B77,'Egen hetvattenprod'!$B$1:$BX$550,MATCH("Värde enligt ovan. (%)",'Egen hetvattenprod'!$B$1:$BX$1,0),FALSE),"")</f>
        <v/>
      </c>
      <c r="BM77" s="227" t="str">
        <f>IF($BF77="ja",VLOOKUP($B77,Kraftvärmeprod!$B$1:$BX$550,MATCH("Värde enligt ovan. (%)",Kraftvärmeprod!$B$1:$BX$1,0),FALSE),"")</f>
        <v/>
      </c>
      <c r="BN77" s="227"/>
      <c r="BO77" s="227"/>
      <c r="BP77" s="227"/>
      <c r="BQ77" s="227" t="str">
        <f>IF($BF77="ja",VLOOKUP($B77,'Egen hetvattenprod'!$B$1:$BX$550,MATCH("Tillförd olja (fossil) vid avfallsförbränning (GWh)",'Egen hetvattenprod'!$B$1:$BX$1,0),FALSE),"")</f>
        <v/>
      </c>
      <c r="BR77" s="227" t="str">
        <f>IF($BF77="ja",VLOOKUP($B77,Kraftvärmeprod!$B$1:$BX$550,MATCH("Tillförd olja (fossil) vid avfallsförbränning (GWh)",Kraftvärmeprod!$B$1:$BX$1,0),FALSE),"")</f>
        <v/>
      </c>
      <c r="BS77" s="227"/>
      <c r="BT77" s="227"/>
      <c r="BU77" s="227"/>
    </row>
    <row r="78" spans="1:73" x14ac:dyDescent="0.25">
      <c r="A78" s="121" t="str">
        <f>'Miljövärden för publ företag'!B81</f>
        <v>Falu Energi &amp; Vatten AB</v>
      </c>
      <c r="B78" s="121" t="str">
        <f>'Miljövärden för publ företag'!C81</f>
        <v>Falun</v>
      </c>
      <c r="C78" s="173">
        <f>IFERROR(VLOOKUP($B78,Totalt!$B$1:$AQ$554,MATCH(C$2,Totalt!$B$1:$AQ$1,0),FALSE),"")</f>
        <v>0</v>
      </c>
      <c r="D78" s="173">
        <f>IFERROR(VLOOKUP($B78,Totalt!$B$1:$AQ$554,MATCH(D$2,Totalt!$B$1:$AQ$1,0),FALSE),"")</f>
        <v>3.32</v>
      </c>
      <c r="E78" s="173">
        <f>IFERROR(VLOOKUP($B78,Totalt!$B$1:$AQ$554,MATCH(E$2,Totalt!$B$1:$AQ$1,0),FALSE),"")</f>
        <v>0</v>
      </c>
      <c r="F78" s="173">
        <f>IFERROR(VLOOKUP($B78,Totalt!$B$1:$AQ$554,MATCH(F$2,Totalt!$B$1:$AQ$1,0),FALSE),"")</f>
        <v>0</v>
      </c>
      <c r="G78" s="173">
        <f>IFERROR(VLOOKUP($B78,Totalt!$B$1:$AQ$554,MATCH(G$2,Totalt!$B$1:$AQ$1,0),FALSE),"")</f>
        <v>0</v>
      </c>
      <c r="H78" s="173">
        <f>IFERROR(VLOOKUP($B78,Totalt!$B$1:$AQ$554,MATCH(H$2,Totalt!$B$1:$AQ$1,0),FALSE),"")</f>
        <v>5.16</v>
      </c>
      <c r="I78" s="173">
        <f>IFERROR(VLOOKUP($B78,Totalt!$B$1:$AQ$554,MATCH(I$2,Totalt!$B$1:$AQ$1,0),FALSE),"")</f>
        <v>0</v>
      </c>
      <c r="J78" s="173">
        <f>IFERROR(VLOOKUP($B78,Totalt!$B$1:$AQ$554,MATCH(J$2,Totalt!$B$1:$AQ$1,0),FALSE),"")</f>
        <v>0</v>
      </c>
      <c r="K78" s="173">
        <f>IFERROR(VLOOKUP($B78,Totalt!$B$1:$AQ$554,MATCH(K$2,Totalt!$B$1:$AQ$1,0),FALSE),"")</f>
        <v>0</v>
      </c>
      <c r="L78" s="173">
        <f>IFERROR(VLOOKUP($B78,Totalt!$B$1:$AQ$554,MATCH(L$2,Totalt!$B$1:$AQ$1,0),FALSE),"")</f>
        <v>43.390900000000002</v>
      </c>
      <c r="M78" s="173">
        <f>IFERROR(VLOOKUP($B78,Totalt!$B$1:$AQ$554,MATCH(M$2,Totalt!$B$1:$AQ$1,0),FALSE),"")</f>
        <v>83.492900000000006</v>
      </c>
      <c r="N78" s="173">
        <f>IFERROR(VLOOKUP($B78,Totalt!$B$1:$AQ$554,MATCH(N$2,Totalt!$B$1:$AQ$1,0),FALSE),"")</f>
        <v>33.812600000000003</v>
      </c>
      <c r="O78" s="173">
        <f>IFERROR(VLOOKUP($B78,Totalt!$B$1:$AQ$554,MATCH(O$2,Totalt!$B$1:$AQ$1,0),FALSE),"")</f>
        <v>2.30803</v>
      </c>
      <c r="P78" s="173">
        <f>IFERROR(VLOOKUP($B78,Totalt!$B$1:$AQ$554,MATCH(P$2,Totalt!$B$1:$AQ$1,0),FALSE),"")</f>
        <v>63.7729</v>
      </c>
      <c r="Q78" s="173">
        <f>IFERROR(VLOOKUP($B78,Totalt!$B$1:$AQ$554,MATCH(Q$2,Totalt!$B$1:$AQ$1,0),FALSE),"")</f>
        <v>20.887599999999999</v>
      </c>
      <c r="R78" s="173">
        <f>IFERROR(VLOOKUP($B78,Totalt!$B$1:$AQ$554,MATCH(R$2,Totalt!$B$1:$AQ$1,0),FALSE),"")</f>
        <v>0</v>
      </c>
      <c r="S78" s="173">
        <f>IFERROR(VLOOKUP($B78,Totalt!$B$1:$AQ$554,MATCH(S$2,Totalt!$B$1:$AQ$1,0),FALSE),"")</f>
        <v>0</v>
      </c>
      <c r="T78" s="173">
        <f>IFERROR(VLOOKUP($B78,Totalt!$B$1:$AQ$554,MATCH(T$2,Totalt!$B$1:$AQ$1,0),FALSE),"")</f>
        <v>0</v>
      </c>
      <c r="U78" s="173">
        <f>IFERROR(VLOOKUP($B78,Totalt!$B$1:$AQ$554,MATCH(U$2,Totalt!$B$1:$AQ$1,0),FALSE),"")</f>
        <v>0</v>
      </c>
      <c r="V78" s="173">
        <f>IFERROR(VLOOKUP($B78,Totalt!$B$1:$AQ$554,MATCH(V$2,Totalt!$B$1:$AQ$1,0),FALSE),"")</f>
        <v>0</v>
      </c>
      <c r="W78" s="173">
        <f>IFERROR(VLOOKUP($B78,Totalt!$B$1:$AQ$554,MATCH(W$2,Totalt!$B$1:$AQ$1,0),FALSE),"")</f>
        <v>0</v>
      </c>
      <c r="X78" s="173">
        <f>IFERROR(VLOOKUP($B78,Totalt!$B$1:$AQ$554,MATCH(X$2,Totalt!$B$1:$AQ$1,0),FALSE),"")</f>
        <v>0</v>
      </c>
      <c r="Y78" s="173">
        <f>IFERROR(VLOOKUP($B78,Totalt!$B$1:$AQ$554,MATCH(Y$2,Totalt!$B$1:$AQ$1,0),FALSE),"")</f>
        <v>0</v>
      </c>
      <c r="Z78" s="173">
        <f>IFERROR(VLOOKUP($B78,Totalt!$B$1:$AQ$554,MATCH(Z$2,Totalt!$B$1:$AQ$1,0),FALSE),"")</f>
        <v>0</v>
      </c>
      <c r="AA78" s="173">
        <f>IFERROR(VLOOKUP($B78,Totalt!$B$1:$AQ$554,MATCH(AA$2,Totalt!$B$1:$AQ$1,0),FALSE),"")</f>
        <v>0</v>
      </c>
      <c r="AB78" s="173">
        <f>IFERROR(VLOOKUP($B78,Totalt!$B$1:$AQ$554,MATCH(AB$2,Totalt!$B$1:$AQ$1,0),FALSE),"")</f>
        <v>0</v>
      </c>
      <c r="AC78" s="173">
        <f>IFERROR(VLOOKUP($B78,Totalt!$B$1:$AQ$554,MATCH(AC$2,Totalt!$B$1:$AQ$1,0),FALSE),"")</f>
        <v>61.44</v>
      </c>
      <c r="AD78" s="173">
        <f>IFERROR(VLOOKUP($B78,Totalt!$B$1:$AQ$554,MATCH(AD$2,Totalt!$B$1:$AQ$1,0),FALSE),"")</f>
        <v>0.124</v>
      </c>
      <c r="AE78" s="173">
        <f>IFERROR(VLOOKUP($B78,Totalt!$B$1:$AQ$554,MATCH(AE$2,Totalt!$B$1:$AQ$1,0),FALSE),"")</f>
        <v>0</v>
      </c>
      <c r="AF78" s="173">
        <f>IFERROR(VLOOKUP($B78,Totalt!$B$1:$AQ$554,MATCH(AF$2,Totalt!$B$1:$AQ$1,0),FALSE),"")</f>
        <v>9.9985700000000008</v>
      </c>
      <c r="AG78" s="173">
        <f>IFERROR(VLOOKUP($B78,Totalt!$B$1:$AQ$554,MATCH(AG$2,Totalt!$B$1:$AQ$1,0),FALSE),"")</f>
        <v>64.599999999999994</v>
      </c>
      <c r="AI78" s="226">
        <f t="shared" si="6"/>
        <v>392.30750000000012</v>
      </c>
      <c r="AJ78" s="226">
        <f>IF(ISERROR(1/VLOOKUP($B78,Leveranser!$B$1:$S$500,MATCH("såld värme (gwh)",Leveranser!$B$1:$S$1,0),FALSE)),"",VLOOKUP($B78,Leveranser!$B$1:$S$500,MATCH("såld värme (gwh)",Leveranser!$B$1:$S$1,0),FALSE))</f>
        <v>357.8</v>
      </c>
      <c r="AM78" s="227" t="str">
        <f>IF(B78&lt;&gt;"",IF(VLOOKUP($B78,Totalt!$B$1:$AQ$554,MATCH("Kvalitetsgranskad:",Totalt!$B$1:$AQ$1,0),FALSE)="ja",VLOOKUP($B78,Miljö!$B$1:$AG$479,MATCH(AM$2,Miljö!$B$1:$AK$1,0),FALSE),""),"")</f>
        <v>Ja</v>
      </c>
      <c r="AN78" s="227" t="str">
        <f>IF(AM78="ja",VLOOKUP($B78,Miljö!$B$1:$J$479,MATCH("Typ av ursprungsspecificerad el   (Om inget värde anges används Nordisk residualmix, se inforuta) ()",Miljö!$B$1:$J$1,0),FALSE),IF(AM78="nej","Nordisk residualel",""))</f>
        <v>'Bio. vatten. vind'</v>
      </c>
      <c r="AO78" s="227">
        <f>IF(AM78="","",VLOOKUP($B78,Miljö!$B$1:$J$479,MATCH("Fossilandel för ursprungspecificerad el ()",Miljö!$B$1:$J$1,0),FALSE))</f>
        <v>0</v>
      </c>
      <c r="AP78" s="227">
        <f>IF(AM78="","",IFERROR(VLOOKUP($B78,Miljö!$B$1:$J$479,MATCH("Kärnkraftsandel för ursprungsspecificerad el ()",Miljö!$B$1:$J$1,0),FALSE)/1,0))</f>
        <v>0</v>
      </c>
      <c r="AQ78" s="227">
        <f t="shared" si="7"/>
        <v>1</v>
      </c>
      <c r="AR78" s="227"/>
      <c r="AS78" s="227" t="str">
        <f t="shared" si="8"/>
        <v>Ja</v>
      </c>
      <c r="AT78" s="227">
        <f>IF(AS78="ja",VLOOKUP($B78,Miljö!$B$1:$O$500,MATCH("Fossil andel i procent (%)",Miljö!$B$1:$O$1,0),FALSE)/100,"")</f>
        <v>0</v>
      </c>
      <c r="AU78" s="227"/>
      <c r="AV78" s="227" t="str">
        <f t="shared" si="9"/>
        <v>Nej</v>
      </c>
      <c r="AW78" s="227" t="str">
        <f>IF(AV78="ja",VLOOKUP($B78,'Egen hetvattenprod'!$B$1:$AO$500,MATCH("Värmekälla till värmepumpar ()",'Egen hetvattenprod'!$B$1:$AO$1,0),FALSE),"")</f>
        <v/>
      </c>
      <c r="AX78" s="227"/>
      <c r="AY78" s="227" t="str">
        <f t="shared" si="10"/>
        <v>Ja</v>
      </c>
      <c r="AZ78" s="228">
        <f>IF($AY78="ja",(VLOOKUP($B78,'Egen hetvattenprod'!$B$1:$BX$550,MATCH(AZ$2,'Egen hetvattenprod'!$B$1:$BX$1,0),FALSE)+VLOOKUP($B78,Kraftvärmeprod!$B$1:$BX$550,MATCH(AZ$2,Kraftvärmeprod!$B$1:$BX$1,0),FALSE))/$AC78,"")</f>
        <v>1</v>
      </c>
      <c r="BA78" s="228">
        <f>IF($AY78="ja",(VLOOKUP($B78,'Egen hetvattenprod'!$B$1:$BX$550,MATCH(BA$2,'Egen hetvattenprod'!$B$1:$BX$1,0),FALSE)+VLOOKUP($B78,Kraftvärmeprod!$B$1:$BX$550,MATCH(BA$2,Kraftvärmeprod!$B$1:$BX$1,0),FALSE))/$AC78,"")</f>
        <v>0</v>
      </c>
      <c r="BB78" s="228">
        <f>IF($AY78="ja",(VLOOKUP($B78,'Egen hetvattenprod'!$B$1:$BX$550,MATCH(BB$2,'Egen hetvattenprod'!$B$1:$BX$1,0),FALSE)+VLOOKUP($B78,Kraftvärmeprod!$B$1:$BX$550,MATCH(BB$2,Kraftvärmeprod!$B$1:$BX$1,0),FALSE))/$AC78,"")</f>
        <v>0</v>
      </c>
      <c r="BC78" s="228">
        <f>IF($AY78="ja",(VLOOKUP($B78,'Egen hetvattenprod'!$B$1:$BX$550,MATCH(BC$2,'Egen hetvattenprod'!$B$1:$BX$1,0),FALSE)+VLOOKUP($B78,Kraftvärmeprod!$B$1:$BX$550,MATCH(BC$2,Kraftvärmeprod!$B$1:$BX$1,0),FALSE))/$AC78,"")</f>
        <v>0</v>
      </c>
      <c r="BD78" s="228">
        <f>IF($AY78="ja",(VLOOKUP($B78,'Egen hetvattenprod'!$B$1:$BX$550,MATCH(BD$2,'Egen hetvattenprod'!$B$1:$BX$1,0),FALSE)+VLOOKUP($B78,Kraftvärmeprod!$B$1:$BX$550,MATCH(BD$2,Kraftvärmeprod!$B$1:$BX$1,0),FALSE))/$AC78,"")</f>
        <v>0</v>
      </c>
      <c r="BE78" s="227"/>
      <c r="BF78" s="227" t="str">
        <f t="shared" si="11"/>
        <v>Nej</v>
      </c>
      <c r="BG78" s="227" t="str">
        <f>IF($BF78="ja",VLOOKUP($B78,'Egen hetvattenprod'!$B$1:$BX$550,MATCH("Andelen klimatgaser med fossilt ursprung för avfall ()",'Egen hetvattenprod'!$B$1:$BX$1,0),FALSE),"")</f>
        <v/>
      </c>
      <c r="BH78" s="227" t="str">
        <f>IF($BF78="ja",VLOOKUP($B78,Kraftvärmeprod!$B$1:$BX$550,MATCH("Andelen klimatgaser med fossilt ursprung för avfall ()",Kraftvärmeprod!$B$1:$BX$1,0),FALSE),"")</f>
        <v/>
      </c>
      <c r="BI78" s="227" t="str">
        <f>IF($BF78="ja",VLOOKUP($B78,'Egen hetvattenprod'!$B$1:$BX$550,MATCH("Avfall (GWh)",'Egen hetvattenprod'!$B$1:$BX$1,0),FALSE),"")</f>
        <v/>
      </c>
      <c r="BJ78" s="227" t="str">
        <f>IF($BF78="ja",VLOOKUP($B78,'Slutlig allokering kvv'!$B$1:$BX$550,MATCH("Avfall (GWh)",'Slutlig allokering kvv'!$B$1:$BX$1,0),FALSE),"")</f>
        <v/>
      </c>
      <c r="BK78" s="227" t="str">
        <f>IF($BF78="ja",VLOOKUP($B78,'Köpt hetvatten'!$B$1:$BX$550,MATCH("Avfall i köpt hetvatten",'Köpt hetvatten'!$B$1:$BX$1,0),FALSE),"")</f>
        <v/>
      </c>
      <c r="BL78" s="227" t="str">
        <f>IF($BF78="ja",VLOOKUP($B78,'Egen hetvattenprod'!$B$1:$BX$550,MATCH("Värde enligt ovan. (%)",'Egen hetvattenprod'!$B$1:$BX$1,0),FALSE),"")</f>
        <v/>
      </c>
      <c r="BM78" s="227" t="str">
        <f>IF($BF78="ja",VLOOKUP($B78,Kraftvärmeprod!$B$1:$BX$550,MATCH("Värde enligt ovan. (%)",Kraftvärmeprod!$B$1:$BX$1,0),FALSE),"")</f>
        <v/>
      </c>
      <c r="BN78" s="227"/>
      <c r="BO78" s="227"/>
      <c r="BP78" s="227"/>
      <c r="BQ78" s="227" t="str">
        <f>IF($BF78="ja",VLOOKUP($B78,'Egen hetvattenprod'!$B$1:$BX$550,MATCH("Tillförd olja (fossil) vid avfallsförbränning (GWh)",'Egen hetvattenprod'!$B$1:$BX$1,0),FALSE),"")</f>
        <v/>
      </c>
      <c r="BR78" s="227" t="str">
        <f>IF($BF78="ja",VLOOKUP($B78,Kraftvärmeprod!$B$1:$BX$550,MATCH("Tillförd olja (fossil) vid avfallsförbränning (GWh)",Kraftvärmeprod!$B$1:$BX$1,0),FALSE),"")</f>
        <v/>
      </c>
      <c r="BS78" s="227"/>
      <c r="BT78" s="227"/>
      <c r="BU78" s="227"/>
    </row>
    <row r="79" spans="1:73" x14ac:dyDescent="0.25">
      <c r="A79" s="121" t="str">
        <f>'Miljövärden för publ företag'!B82</f>
        <v>Falu Energi &amp; Vatten AB</v>
      </c>
      <c r="B79" s="121" t="str">
        <f>'Miljövärden för publ företag'!C82</f>
        <v>Grycksbo</v>
      </c>
      <c r="C79" s="173">
        <f>IFERROR(VLOOKUP($B79,Totalt!$B$1:$AQ$554,MATCH(C$2,Totalt!$B$1:$AQ$1,0),FALSE),"")</f>
        <v>0</v>
      </c>
      <c r="D79" s="173">
        <f>IFERROR(VLOOKUP($B79,Totalt!$B$1:$AQ$554,MATCH(D$2,Totalt!$B$1:$AQ$1,0),FALSE),"")</f>
        <v>0.09</v>
      </c>
      <c r="E79" s="173">
        <f>IFERROR(VLOOKUP($B79,Totalt!$B$1:$AQ$554,MATCH(E$2,Totalt!$B$1:$AQ$1,0),FALSE),"")</f>
        <v>0</v>
      </c>
      <c r="F79" s="173">
        <f>IFERROR(VLOOKUP($B79,Totalt!$B$1:$AQ$554,MATCH(F$2,Totalt!$B$1:$AQ$1,0),FALSE),"")</f>
        <v>0</v>
      </c>
      <c r="G79" s="173">
        <f>IFERROR(VLOOKUP($B79,Totalt!$B$1:$AQ$554,MATCH(G$2,Totalt!$B$1:$AQ$1,0),FALSE),"")</f>
        <v>0</v>
      </c>
      <c r="H79" s="173">
        <f>IFERROR(VLOOKUP($B79,Totalt!$B$1:$AQ$554,MATCH(H$2,Totalt!$B$1:$AQ$1,0),FALSE),"")</f>
        <v>0</v>
      </c>
      <c r="I79" s="173">
        <f>IFERROR(VLOOKUP($B79,Totalt!$B$1:$AQ$554,MATCH(I$2,Totalt!$B$1:$AQ$1,0),FALSE),"")</f>
        <v>0</v>
      </c>
      <c r="J79" s="173">
        <f>IFERROR(VLOOKUP($B79,Totalt!$B$1:$AQ$554,MATCH(J$2,Totalt!$B$1:$AQ$1,0),FALSE),"")</f>
        <v>0</v>
      </c>
      <c r="K79" s="173">
        <f>IFERROR(VLOOKUP($B79,Totalt!$B$1:$AQ$554,MATCH(K$2,Totalt!$B$1:$AQ$1,0),FALSE),"")</f>
        <v>0</v>
      </c>
      <c r="L79" s="173">
        <f>IFERROR(VLOOKUP($B79,Totalt!$B$1:$AQ$554,MATCH(L$2,Totalt!$B$1:$AQ$1,0),FALSE),"")</f>
        <v>0</v>
      </c>
      <c r="M79" s="173">
        <f>IFERROR(VLOOKUP($B79,Totalt!$B$1:$AQ$554,MATCH(M$2,Totalt!$B$1:$AQ$1,0),FALSE),"")</f>
        <v>0</v>
      </c>
      <c r="N79" s="173">
        <f>IFERROR(VLOOKUP($B79,Totalt!$B$1:$AQ$554,MATCH(N$2,Totalt!$B$1:$AQ$1,0),FALSE),"")</f>
        <v>0</v>
      </c>
      <c r="O79" s="173">
        <f>IFERROR(VLOOKUP($B79,Totalt!$B$1:$AQ$554,MATCH(O$2,Totalt!$B$1:$AQ$1,0),FALSE),"")</f>
        <v>0</v>
      </c>
      <c r="P79" s="173">
        <f>IFERROR(VLOOKUP($B79,Totalt!$B$1:$AQ$554,MATCH(P$2,Totalt!$B$1:$AQ$1,0),FALSE),"")</f>
        <v>0</v>
      </c>
      <c r="Q79" s="173">
        <f>IFERROR(VLOOKUP($B79,Totalt!$B$1:$AQ$554,MATCH(Q$2,Totalt!$B$1:$AQ$1,0),FALSE),"")</f>
        <v>0</v>
      </c>
      <c r="R79" s="173">
        <f>IFERROR(VLOOKUP($B79,Totalt!$B$1:$AQ$554,MATCH(R$2,Totalt!$B$1:$AQ$1,0),FALSE),"")</f>
        <v>5</v>
      </c>
      <c r="S79" s="173">
        <f>IFERROR(VLOOKUP($B79,Totalt!$B$1:$AQ$554,MATCH(S$2,Totalt!$B$1:$AQ$1,0),FALSE),"")</f>
        <v>0</v>
      </c>
      <c r="T79" s="173">
        <f>IFERROR(VLOOKUP($B79,Totalt!$B$1:$AQ$554,MATCH(T$2,Totalt!$B$1:$AQ$1,0),FALSE),"")</f>
        <v>0</v>
      </c>
      <c r="U79" s="173">
        <f>IFERROR(VLOOKUP($B79,Totalt!$B$1:$AQ$554,MATCH(U$2,Totalt!$B$1:$AQ$1,0),FALSE),"")</f>
        <v>0</v>
      </c>
      <c r="V79" s="173">
        <f>IFERROR(VLOOKUP($B79,Totalt!$B$1:$AQ$554,MATCH(V$2,Totalt!$B$1:$AQ$1,0),FALSE),"")</f>
        <v>0</v>
      </c>
      <c r="W79" s="173">
        <f>IFERROR(VLOOKUP($B79,Totalt!$B$1:$AQ$554,MATCH(W$2,Totalt!$B$1:$AQ$1,0),FALSE),"")</f>
        <v>0</v>
      </c>
      <c r="X79" s="173">
        <f>IFERROR(VLOOKUP($B79,Totalt!$B$1:$AQ$554,MATCH(X$2,Totalt!$B$1:$AQ$1,0),FALSE),"")</f>
        <v>0</v>
      </c>
      <c r="Y79" s="173">
        <f>IFERROR(VLOOKUP($B79,Totalt!$B$1:$AQ$554,MATCH(Y$2,Totalt!$B$1:$AQ$1,0),FALSE),"")</f>
        <v>0</v>
      </c>
      <c r="Z79" s="173">
        <f>IFERROR(VLOOKUP($B79,Totalt!$B$1:$AQ$554,MATCH(Z$2,Totalt!$B$1:$AQ$1,0),FALSE),"")</f>
        <v>0</v>
      </c>
      <c r="AA79" s="173">
        <f>IFERROR(VLOOKUP($B79,Totalt!$B$1:$AQ$554,MATCH(AA$2,Totalt!$B$1:$AQ$1,0),FALSE),"")</f>
        <v>0</v>
      </c>
      <c r="AB79" s="173">
        <f>IFERROR(VLOOKUP($B79,Totalt!$B$1:$AQ$554,MATCH(AB$2,Totalt!$B$1:$AQ$1,0),FALSE),"")</f>
        <v>0</v>
      </c>
      <c r="AC79" s="173">
        <f>IFERROR(VLOOKUP($B79,Totalt!$B$1:$AQ$554,MATCH(AC$2,Totalt!$B$1:$AQ$1,0),FALSE),"")</f>
        <v>0</v>
      </c>
      <c r="AD79" s="173">
        <f>IFERROR(VLOOKUP($B79,Totalt!$B$1:$AQ$554,MATCH(AD$2,Totalt!$B$1:$AQ$1,0),FALSE),"")</f>
        <v>0</v>
      </c>
      <c r="AE79" s="173">
        <f>IFERROR(VLOOKUP($B79,Totalt!$B$1:$AQ$554,MATCH(AE$2,Totalt!$B$1:$AQ$1,0),FALSE),"")</f>
        <v>0</v>
      </c>
      <c r="AF79" s="173">
        <f>IFERROR(VLOOKUP($B79,Totalt!$B$1:$AQ$554,MATCH(AF$2,Totalt!$B$1:$AQ$1,0),FALSE),"")</f>
        <v>5.5E-2</v>
      </c>
      <c r="AG79" s="173">
        <f>IFERROR(VLOOKUP($B79,Totalt!$B$1:$AQ$554,MATCH(AG$2,Totalt!$B$1:$AQ$1,0),FALSE),"")</f>
        <v>0</v>
      </c>
      <c r="AI79" s="226">
        <f t="shared" si="6"/>
        <v>5.1449999999999996</v>
      </c>
      <c r="AJ79" s="226">
        <f>IF(ISERROR(1/VLOOKUP($B79,Leveranser!$B$1:$S$500,MATCH("såld värme (gwh)",Leveranser!$B$1:$S$1,0),FALSE)),"",VLOOKUP($B79,Leveranser!$B$1:$S$500,MATCH("såld värme (gwh)",Leveranser!$B$1:$S$1,0),FALSE))</f>
        <v>4.93</v>
      </c>
      <c r="AM79" s="227" t="str">
        <f>IF(B79&lt;&gt;"",IF(VLOOKUP($B79,Totalt!$B$1:$AQ$554,MATCH("Kvalitetsgranskad:",Totalt!$B$1:$AQ$1,0),FALSE)="ja",VLOOKUP($B79,Miljö!$B$1:$AG$479,MATCH(AM$2,Miljö!$B$1:$AK$1,0),FALSE),""),"")</f>
        <v>Ja</v>
      </c>
      <c r="AN79" s="227" t="str">
        <f>IF(AM79="ja",VLOOKUP($B79,Miljö!$B$1:$J$479,MATCH("Typ av ursprungsspecificerad el   (Om inget värde anges används Nordisk residualmix, se inforuta) ()",Miljö!$B$1:$J$1,0),FALSE),IF(AM79="nej","Nordisk residualel",""))</f>
        <v>'Bio. vatten. vind'</v>
      </c>
      <c r="AO79" s="227">
        <f>IF(AM79="","",VLOOKUP($B79,Miljö!$B$1:$J$479,MATCH("Fossilandel för ursprungspecificerad el ()",Miljö!$B$1:$J$1,0),FALSE))</f>
        <v>0</v>
      </c>
      <c r="AP79" s="227">
        <f>IF(AM79="","",IFERROR(VLOOKUP($B79,Miljö!$B$1:$J$479,MATCH("Kärnkraftsandel för ursprungsspecificerad el ()",Miljö!$B$1:$J$1,0),FALSE)/1,0))</f>
        <v>0</v>
      </c>
      <c r="AQ79" s="227">
        <f t="shared" si="7"/>
        <v>1</v>
      </c>
      <c r="AR79" s="227"/>
      <c r="AS79" s="227" t="str">
        <f t="shared" si="8"/>
        <v>Nej</v>
      </c>
      <c r="AT79" s="227" t="str">
        <f>IF(AS79="ja",VLOOKUP($B79,Miljö!$B$1:$O$500,MATCH("Fossil andel i procent (%)",Miljö!$B$1:$O$1,0),FALSE)/100,"")</f>
        <v/>
      </c>
      <c r="AU79" s="227"/>
      <c r="AV79" s="227" t="str">
        <f t="shared" si="9"/>
        <v>Nej</v>
      </c>
      <c r="AW79" s="227" t="str">
        <f>IF(AV79="ja",VLOOKUP($B79,'Egen hetvattenprod'!$B$1:$AO$500,MATCH("Värmekälla till värmepumpar ()",'Egen hetvattenprod'!$B$1:$AO$1,0),FALSE),"")</f>
        <v/>
      </c>
      <c r="AX79" s="227"/>
      <c r="AY79" s="227" t="str">
        <f t="shared" si="10"/>
        <v>Nej</v>
      </c>
      <c r="AZ79" s="228" t="str">
        <f>IF($AY79="ja",(VLOOKUP($B79,'Egen hetvattenprod'!$B$1:$BX$550,MATCH(AZ$2,'Egen hetvattenprod'!$B$1:$BX$1,0),FALSE)+VLOOKUP($B79,Kraftvärmeprod!$B$1:$BX$550,MATCH(AZ$2,Kraftvärmeprod!$B$1:$BX$1,0),FALSE))/$AC79,"")</f>
        <v/>
      </c>
      <c r="BA79" s="228" t="str">
        <f>IF($AY79="ja",(VLOOKUP($B79,'Egen hetvattenprod'!$B$1:$BX$550,MATCH(BA$2,'Egen hetvattenprod'!$B$1:$BX$1,0),FALSE)+VLOOKUP($B79,Kraftvärmeprod!$B$1:$BX$550,MATCH(BA$2,Kraftvärmeprod!$B$1:$BX$1,0),FALSE))/$AC79,"")</f>
        <v/>
      </c>
      <c r="BB79" s="228" t="str">
        <f>IF($AY79="ja",(VLOOKUP($B79,'Egen hetvattenprod'!$B$1:$BX$550,MATCH(BB$2,'Egen hetvattenprod'!$B$1:$BX$1,0),FALSE)+VLOOKUP($B79,Kraftvärmeprod!$B$1:$BX$550,MATCH(BB$2,Kraftvärmeprod!$B$1:$BX$1,0),FALSE))/$AC79,"")</f>
        <v/>
      </c>
      <c r="BC79" s="228" t="str">
        <f>IF($AY79="ja",(VLOOKUP($B79,'Egen hetvattenprod'!$B$1:$BX$550,MATCH(BC$2,'Egen hetvattenprod'!$B$1:$BX$1,0),FALSE)+VLOOKUP($B79,Kraftvärmeprod!$B$1:$BX$550,MATCH(BC$2,Kraftvärmeprod!$B$1:$BX$1,0),FALSE))/$AC79,"")</f>
        <v/>
      </c>
      <c r="BD79" s="228" t="str">
        <f>IF($AY79="ja",(VLOOKUP($B79,'Egen hetvattenprod'!$B$1:$BX$550,MATCH(BD$2,'Egen hetvattenprod'!$B$1:$BX$1,0),FALSE)+VLOOKUP($B79,Kraftvärmeprod!$B$1:$BX$550,MATCH(BD$2,Kraftvärmeprod!$B$1:$BX$1,0),FALSE))/$AC79,"")</f>
        <v/>
      </c>
      <c r="BE79" s="227"/>
      <c r="BF79" s="227" t="str">
        <f t="shared" si="11"/>
        <v>Nej</v>
      </c>
      <c r="BG79" s="227" t="str">
        <f>IF($BF79="ja",VLOOKUP($B79,'Egen hetvattenprod'!$B$1:$BX$550,MATCH("Andelen klimatgaser med fossilt ursprung för avfall ()",'Egen hetvattenprod'!$B$1:$BX$1,0),FALSE),"")</f>
        <v/>
      </c>
      <c r="BH79" s="227" t="str">
        <f>IF($BF79="ja",VLOOKUP($B79,Kraftvärmeprod!$B$1:$BX$550,MATCH("Andelen klimatgaser med fossilt ursprung för avfall ()",Kraftvärmeprod!$B$1:$BX$1,0),FALSE),"")</f>
        <v/>
      </c>
      <c r="BI79" s="227" t="str">
        <f>IF($BF79="ja",VLOOKUP($B79,'Egen hetvattenprod'!$B$1:$BX$550,MATCH("Avfall (GWh)",'Egen hetvattenprod'!$B$1:$BX$1,0),FALSE),"")</f>
        <v/>
      </c>
      <c r="BJ79" s="227" t="str">
        <f>IF($BF79="ja",VLOOKUP($B79,'Slutlig allokering kvv'!$B$1:$BX$550,MATCH("Avfall (GWh)",'Slutlig allokering kvv'!$B$1:$BX$1,0),FALSE),"")</f>
        <v/>
      </c>
      <c r="BK79" s="227" t="str">
        <f>IF($BF79="ja",VLOOKUP($B79,'Köpt hetvatten'!$B$1:$BX$550,MATCH("Avfall i köpt hetvatten",'Köpt hetvatten'!$B$1:$BX$1,0),FALSE),"")</f>
        <v/>
      </c>
      <c r="BL79" s="227" t="str">
        <f>IF($BF79="ja",VLOOKUP($B79,'Egen hetvattenprod'!$B$1:$BX$550,MATCH("Värde enligt ovan. (%)",'Egen hetvattenprod'!$B$1:$BX$1,0),FALSE),"")</f>
        <v/>
      </c>
      <c r="BM79" s="227" t="str">
        <f>IF($BF79="ja",VLOOKUP($B79,Kraftvärmeprod!$B$1:$BX$550,MATCH("Värde enligt ovan. (%)",Kraftvärmeprod!$B$1:$BX$1,0),FALSE),"")</f>
        <v/>
      </c>
      <c r="BN79" s="227"/>
      <c r="BO79" s="227"/>
      <c r="BP79" s="227"/>
      <c r="BQ79" s="227" t="str">
        <f>IF($BF79="ja",VLOOKUP($B79,'Egen hetvattenprod'!$B$1:$BX$550,MATCH("Tillförd olja (fossil) vid avfallsförbränning (GWh)",'Egen hetvattenprod'!$B$1:$BX$1,0),FALSE),"")</f>
        <v/>
      </c>
      <c r="BR79" s="227" t="str">
        <f>IF($BF79="ja",VLOOKUP($B79,Kraftvärmeprod!$B$1:$BX$550,MATCH("Tillförd olja (fossil) vid avfallsförbränning (GWh)",Kraftvärmeprod!$B$1:$BX$1,0),FALSE),"")</f>
        <v/>
      </c>
      <c r="BS79" s="227"/>
      <c r="BT79" s="227"/>
      <c r="BU79" s="227"/>
    </row>
    <row r="80" spans="1:73" x14ac:dyDescent="0.25">
      <c r="A80" s="121" t="str">
        <f>'Miljövärden för publ företag'!B83</f>
        <v>Falu Energi &amp; Vatten AB</v>
      </c>
      <c r="B80" s="121" t="str">
        <f>'Miljövärden för publ företag'!C83</f>
        <v>Svärdsjö</v>
      </c>
      <c r="C80" s="173">
        <f>IFERROR(VLOOKUP($B80,Totalt!$B$1:$AQ$554,MATCH(C$2,Totalt!$B$1:$AQ$1,0),FALSE),"")</f>
        <v>0</v>
      </c>
      <c r="D80" s="173">
        <f>IFERROR(VLOOKUP($B80,Totalt!$B$1:$AQ$554,MATCH(D$2,Totalt!$B$1:$AQ$1,0),FALSE),"")</f>
        <v>0.05</v>
      </c>
      <c r="E80" s="173">
        <f>IFERROR(VLOOKUP($B80,Totalt!$B$1:$AQ$554,MATCH(E$2,Totalt!$B$1:$AQ$1,0),FALSE),"")</f>
        <v>0</v>
      </c>
      <c r="F80" s="173">
        <f>IFERROR(VLOOKUP($B80,Totalt!$B$1:$AQ$554,MATCH(F$2,Totalt!$B$1:$AQ$1,0),FALSE),"")</f>
        <v>0</v>
      </c>
      <c r="G80" s="173">
        <f>IFERROR(VLOOKUP($B80,Totalt!$B$1:$AQ$554,MATCH(G$2,Totalt!$B$1:$AQ$1,0),FALSE),"")</f>
        <v>0</v>
      </c>
      <c r="H80" s="173">
        <f>IFERROR(VLOOKUP($B80,Totalt!$B$1:$AQ$554,MATCH(H$2,Totalt!$B$1:$AQ$1,0),FALSE),"")</f>
        <v>0</v>
      </c>
      <c r="I80" s="173">
        <f>IFERROR(VLOOKUP($B80,Totalt!$B$1:$AQ$554,MATCH(I$2,Totalt!$B$1:$AQ$1,0),FALSE),"")</f>
        <v>0</v>
      </c>
      <c r="J80" s="173">
        <f>IFERROR(VLOOKUP($B80,Totalt!$B$1:$AQ$554,MATCH(J$2,Totalt!$B$1:$AQ$1,0),FALSE),"")</f>
        <v>0</v>
      </c>
      <c r="K80" s="173">
        <f>IFERROR(VLOOKUP($B80,Totalt!$B$1:$AQ$554,MATCH(K$2,Totalt!$B$1:$AQ$1,0),FALSE),"")</f>
        <v>0</v>
      </c>
      <c r="L80" s="173">
        <f>IFERROR(VLOOKUP($B80,Totalt!$B$1:$AQ$554,MATCH(L$2,Totalt!$B$1:$AQ$1,0),FALSE),"")</f>
        <v>0</v>
      </c>
      <c r="M80" s="173">
        <f>IFERROR(VLOOKUP($B80,Totalt!$B$1:$AQ$554,MATCH(M$2,Totalt!$B$1:$AQ$1,0),FALSE),"")</f>
        <v>0</v>
      </c>
      <c r="N80" s="173">
        <f>IFERROR(VLOOKUP($B80,Totalt!$B$1:$AQ$554,MATCH(N$2,Totalt!$B$1:$AQ$1,0),FALSE),"")</f>
        <v>0</v>
      </c>
      <c r="O80" s="173">
        <f>IFERROR(VLOOKUP($B80,Totalt!$B$1:$AQ$554,MATCH(O$2,Totalt!$B$1:$AQ$1,0),FALSE),"")</f>
        <v>0</v>
      </c>
      <c r="P80" s="173">
        <f>IFERROR(VLOOKUP($B80,Totalt!$B$1:$AQ$554,MATCH(P$2,Totalt!$B$1:$AQ$1,0),FALSE),"")</f>
        <v>0</v>
      </c>
      <c r="Q80" s="173">
        <f>IFERROR(VLOOKUP($B80,Totalt!$B$1:$AQ$554,MATCH(Q$2,Totalt!$B$1:$AQ$1,0),FALSE),"")</f>
        <v>0</v>
      </c>
      <c r="R80" s="173">
        <f>IFERROR(VLOOKUP($B80,Totalt!$B$1:$AQ$554,MATCH(R$2,Totalt!$B$1:$AQ$1,0),FALSE),"")</f>
        <v>5.8</v>
      </c>
      <c r="S80" s="173">
        <f>IFERROR(VLOOKUP($B80,Totalt!$B$1:$AQ$554,MATCH(S$2,Totalt!$B$1:$AQ$1,0),FALSE),"")</f>
        <v>0</v>
      </c>
      <c r="T80" s="173">
        <f>IFERROR(VLOOKUP($B80,Totalt!$B$1:$AQ$554,MATCH(T$2,Totalt!$B$1:$AQ$1,0),FALSE),"")</f>
        <v>0</v>
      </c>
      <c r="U80" s="173">
        <f>IFERROR(VLOOKUP($B80,Totalt!$B$1:$AQ$554,MATCH(U$2,Totalt!$B$1:$AQ$1,0),FALSE),"")</f>
        <v>0</v>
      </c>
      <c r="V80" s="173">
        <f>IFERROR(VLOOKUP($B80,Totalt!$B$1:$AQ$554,MATCH(V$2,Totalt!$B$1:$AQ$1,0),FALSE),"")</f>
        <v>0</v>
      </c>
      <c r="W80" s="173">
        <f>IFERROR(VLOOKUP($B80,Totalt!$B$1:$AQ$554,MATCH(W$2,Totalt!$B$1:$AQ$1,0),FALSE),"")</f>
        <v>0</v>
      </c>
      <c r="X80" s="173">
        <f>IFERROR(VLOOKUP($B80,Totalt!$B$1:$AQ$554,MATCH(X$2,Totalt!$B$1:$AQ$1,0),FALSE),"")</f>
        <v>0</v>
      </c>
      <c r="Y80" s="173">
        <f>IFERROR(VLOOKUP($B80,Totalt!$B$1:$AQ$554,MATCH(Y$2,Totalt!$B$1:$AQ$1,0),FALSE),"")</f>
        <v>0</v>
      </c>
      <c r="Z80" s="173">
        <f>IFERROR(VLOOKUP($B80,Totalt!$B$1:$AQ$554,MATCH(Z$2,Totalt!$B$1:$AQ$1,0),FALSE),"")</f>
        <v>0</v>
      </c>
      <c r="AA80" s="173">
        <f>IFERROR(VLOOKUP($B80,Totalt!$B$1:$AQ$554,MATCH(AA$2,Totalt!$B$1:$AQ$1,0),FALSE),"")</f>
        <v>0</v>
      </c>
      <c r="AB80" s="173">
        <f>IFERROR(VLOOKUP($B80,Totalt!$B$1:$AQ$554,MATCH(AB$2,Totalt!$B$1:$AQ$1,0),FALSE),"")</f>
        <v>0</v>
      </c>
      <c r="AC80" s="173">
        <f>IFERROR(VLOOKUP($B80,Totalt!$B$1:$AQ$554,MATCH(AC$2,Totalt!$B$1:$AQ$1,0),FALSE),"")</f>
        <v>0</v>
      </c>
      <c r="AD80" s="173">
        <f>IFERROR(VLOOKUP($B80,Totalt!$B$1:$AQ$554,MATCH(AD$2,Totalt!$B$1:$AQ$1,0),FALSE),"")</f>
        <v>0</v>
      </c>
      <c r="AE80" s="173">
        <f>IFERROR(VLOOKUP($B80,Totalt!$B$1:$AQ$554,MATCH(AE$2,Totalt!$B$1:$AQ$1,0),FALSE),"")</f>
        <v>0</v>
      </c>
      <c r="AF80" s="173">
        <f>IFERROR(VLOOKUP($B80,Totalt!$B$1:$AQ$554,MATCH(AF$2,Totalt!$B$1:$AQ$1,0),FALSE),"")</f>
        <v>0.105</v>
      </c>
      <c r="AG80" s="173">
        <f>IFERROR(VLOOKUP($B80,Totalt!$B$1:$AQ$554,MATCH(AG$2,Totalt!$B$1:$AQ$1,0),FALSE),"")</f>
        <v>0</v>
      </c>
      <c r="AI80" s="226">
        <f t="shared" si="6"/>
        <v>5.9550000000000001</v>
      </c>
      <c r="AJ80" s="226">
        <f>IF(ISERROR(1/VLOOKUP($B80,Leveranser!$B$1:$S$500,MATCH("såld värme (gwh)",Leveranser!$B$1:$S$1,0),FALSE)),"",VLOOKUP($B80,Leveranser!$B$1:$S$500,MATCH("såld värme (gwh)",Leveranser!$B$1:$S$1,0),FALSE))</f>
        <v>4.88</v>
      </c>
      <c r="AM80" s="227" t="str">
        <f>IF(B80&lt;&gt;"",IF(VLOOKUP($B80,Totalt!$B$1:$AQ$554,MATCH("Kvalitetsgranskad:",Totalt!$B$1:$AQ$1,0),FALSE)="ja",VLOOKUP($B80,Miljö!$B$1:$AG$479,MATCH(AM$2,Miljö!$B$1:$AK$1,0),FALSE),""),"")</f>
        <v>Ja</v>
      </c>
      <c r="AN80" s="227" t="str">
        <f>IF(AM80="ja",VLOOKUP($B80,Miljö!$B$1:$J$479,MATCH("Typ av ursprungsspecificerad el   (Om inget värde anges används Nordisk residualmix, se inforuta) ()",Miljö!$B$1:$J$1,0),FALSE),IF(AM80="nej","Nordisk residualel",""))</f>
        <v>'Bio. vatten. vind'</v>
      </c>
      <c r="AO80" s="227">
        <f>IF(AM80="","",VLOOKUP($B80,Miljö!$B$1:$J$479,MATCH("Fossilandel för ursprungspecificerad el ()",Miljö!$B$1:$J$1,0),FALSE))</f>
        <v>0</v>
      </c>
      <c r="AP80" s="227">
        <f>IF(AM80="","",IFERROR(VLOOKUP($B80,Miljö!$B$1:$J$479,MATCH("Kärnkraftsandel för ursprungsspecificerad el ()",Miljö!$B$1:$J$1,0),FALSE)/1,0))</f>
        <v>0</v>
      </c>
      <c r="AQ80" s="227">
        <f t="shared" si="7"/>
        <v>1</v>
      </c>
      <c r="AR80" s="227"/>
      <c r="AS80" s="227" t="str">
        <f t="shared" si="8"/>
        <v>Nej</v>
      </c>
      <c r="AT80" s="227" t="str">
        <f>IF(AS80="ja",VLOOKUP($B80,Miljö!$B$1:$O$500,MATCH("Fossil andel i procent (%)",Miljö!$B$1:$O$1,0),FALSE)/100,"")</f>
        <v/>
      </c>
      <c r="AU80" s="227"/>
      <c r="AV80" s="227" t="str">
        <f t="shared" si="9"/>
        <v>Nej</v>
      </c>
      <c r="AW80" s="227" t="str">
        <f>IF(AV80="ja",VLOOKUP($B80,'Egen hetvattenprod'!$B$1:$AO$500,MATCH("Värmekälla till värmepumpar ()",'Egen hetvattenprod'!$B$1:$AO$1,0),FALSE),"")</f>
        <v/>
      </c>
      <c r="AX80" s="227"/>
      <c r="AY80" s="227" t="str">
        <f t="shared" si="10"/>
        <v>Nej</v>
      </c>
      <c r="AZ80" s="228" t="str">
        <f>IF($AY80="ja",(VLOOKUP($B80,'Egen hetvattenprod'!$B$1:$BX$550,MATCH(AZ$2,'Egen hetvattenprod'!$B$1:$BX$1,0),FALSE)+VLOOKUP($B80,Kraftvärmeprod!$B$1:$BX$550,MATCH(AZ$2,Kraftvärmeprod!$B$1:$BX$1,0),FALSE))/$AC80,"")</f>
        <v/>
      </c>
      <c r="BA80" s="228" t="str">
        <f>IF($AY80="ja",(VLOOKUP($B80,'Egen hetvattenprod'!$B$1:$BX$550,MATCH(BA$2,'Egen hetvattenprod'!$B$1:$BX$1,0),FALSE)+VLOOKUP($B80,Kraftvärmeprod!$B$1:$BX$550,MATCH(BA$2,Kraftvärmeprod!$B$1:$BX$1,0),FALSE))/$AC80,"")</f>
        <v/>
      </c>
      <c r="BB80" s="228" t="str">
        <f>IF($AY80="ja",(VLOOKUP($B80,'Egen hetvattenprod'!$B$1:$BX$550,MATCH(BB$2,'Egen hetvattenprod'!$B$1:$BX$1,0),FALSE)+VLOOKUP($B80,Kraftvärmeprod!$B$1:$BX$550,MATCH(BB$2,Kraftvärmeprod!$B$1:$BX$1,0),FALSE))/$AC80,"")</f>
        <v/>
      </c>
      <c r="BC80" s="228" t="str">
        <f>IF($AY80="ja",(VLOOKUP($B80,'Egen hetvattenprod'!$B$1:$BX$550,MATCH(BC$2,'Egen hetvattenprod'!$B$1:$BX$1,0),FALSE)+VLOOKUP($B80,Kraftvärmeprod!$B$1:$BX$550,MATCH(BC$2,Kraftvärmeprod!$B$1:$BX$1,0),FALSE))/$AC80,"")</f>
        <v/>
      </c>
      <c r="BD80" s="228" t="str">
        <f>IF($AY80="ja",(VLOOKUP($B80,'Egen hetvattenprod'!$B$1:$BX$550,MATCH(BD$2,'Egen hetvattenprod'!$B$1:$BX$1,0),FALSE)+VLOOKUP($B80,Kraftvärmeprod!$B$1:$BX$550,MATCH(BD$2,Kraftvärmeprod!$B$1:$BX$1,0),FALSE))/$AC80,"")</f>
        <v/>
      </c>
      <c r="BE80" s="227"/>
      <c r="BF80" s="227" t="str">
        <f t="shared" si="11"/>
        <v>Nej</v>
      </c>
      <c r="BG80" s="227" t="str">
        <f>IF($BF80="ja",VLOOKUP($B80,'Egen hetvattenprod'!$B$1:$BX$550,MATCH("Andelen klimatgaser med fossilt ursprung för avfall ()",'Egen hetvattenprod'!$B$1:$BX$1,0),FALSE),"")</f>
        <v/>
      </c>
      <c r="BH80" s="227" t="str">
        <f>IF($BF80="ja",VLOOKUP($B80,Kraftvärmeprod!$B$1:$BX$550,MATCH("Andelen klimatgaser med fossilt ursprung för avfall ()",Kraftvärmeprod!$B$1:$BX$1,0),FALSE),"")</f>
        <v/>
      </c>
      <c r="BI80" s="227" t="str">
        <f>IF($BF80="ja",VLOOKUP($B80,'Egen hetvattenprod'!$B$1:$BX$550,MATCH("Avfall (GWh)",'Egen hetvattenprod'!$B$1:$BX$1,0),FALSE),"")</f>
        <v/>
      </c>
      <c r="BJ80" s="227" t="str">
        <f>IF($BF80="ja",VLOOKUP($B80,'Slutlig allokering kvv'!$B$1:$BX$550,MATCH("Avfall (GWh)",'Slutlig allokering kvv'!$B$1:$BX$1,0),FALSE),"")</f>
        <v/>
      </c>
      <c r="BK80" s="227" t="str">
        <f>IF($BF80="ja",VLOOKUP($B80,'Köpt hetvatten'!$B$1:$BX$550,MATCH("Avfall i köpt hetvatten",'Köpt hetvatten'!$B$1:$BX$1,0),FALSE),"")</f>
        <v/>
      </c>
      <c r="BL80" s="227" t="str">
        <f>IF($BF80="ja",VLOOKUP($B80,'Egen hetvattenprod'!$B$1:$BX$550,MATCH("Värde enligt ovan. (%)",'Egen hetvattenprod'!$B$1:$BX$1,0),FALSE),"")</f>
        <v/>
      </c>
      <c r="BM80" s="227" t="str">
        <f>IF($BF80="ja",VLOOKUP($B80,Kraftvärmeprod!$B$1:$BX$550,MATCH("Värde enligt ovan. (%)",Kraftvärmeprod!$B$1:$BX$1,0),FALSE),"")</f>
        <v/>
      </c>
      <c r="BN80" s="227"/>
      <c r="BO80" s="227"/>
      <c r="BP80" s="227"/>
      <c r="BQ80" s="227" t="str">
        <f>IF($BF80="ja",VLOOKUP($B80,'Egen hetvattenprod'!$B$1:$BX$550,MATCH("Tillförd olja (fossil) vid avfallsförbränning (GWh)",'Egen hetvattenprod'!$B$1:$BX$1,0),FALSE),"")</f>
        <v/>
      </c>
      <c r="BR80" s="227" t="str">
        <f>IF($BF80="ja",VLOOKUP($B80,Kraftvärmeprod!$B$1:$BX$550,MATCH("Tillförd olja (fossil) vid avfallsförbränning (GWh)",Kraftvärmeprod!$B$1:$BX$1,0),FALSE),"")</f>
        <v/>
      </c>
      <c r="BS80" s="227"/>
      <c r="BT80" s="227"/>
      <c r="BU80" s="227"/>
    </row>
    <row r="81" spans="1:73" x14ac:dyDescent="0.25">
      <c r="A81" s="121" t="str">
        <f>'Miljövärden för publ företag'!B84</f>
        <v>Finspångs Tekniska Verk AB</v>
      </c>
      <c r="B81" s="121" t="str">
        <f>'Miljövärden för publ företag'!C84</f>
        <v>Finspång</v>
      </c>
      <c r="C81" s="173">
        <f>IFERROR(VLOOKUP($B81,Totalt!$B$1:$AQ$554,MATCH(C$2,Totalt!$B$1:$AQ$1,0),FALSE),"")</f>
        <v>0</v>
      </c>
      <c r="D81" s="173">
        <f>IFERROR(VLOOKUP($B81,Totalt!$B$1:$AQ$554,MATCH(D$2,Totalt!$B$1:$AQ$1,0),FALSE),"")</f>
        <v>5</v>
      </c>
      <c r="E81" s="173">
        <f>IFERROR(VLOOKUP($B81,Totalt!$B$1:$AQ$554,MATCH(E$2,Totalt!$B$1:$AQ$1,0),FALSE),"")</f>
        <v>0</v>
      </c>
      <c r="F81" s="173">
        <f>IFERROR(VLOOKUP($B81,Totalt!$B$1:$AQ$554,MATCH(F$2,Totalt!$B$1:$AQ$1,0),FALSE),"")</f>
        <v>0</v>
      </c>
      <c r="G81" s="173">
        <f>IFERROR(VLOOKUP($B81,Totalt!$B$1:$AQ$554,MATCH(G$2,Totalt!$B$1:$AQ$1,0),FALSE),"")</f>
        <v>0</v>
      </c>
      <c r="H81" s="173">
        <f>IFERROR(VLOOKUP($B81,Totalt!$B$1:$AQ$554,MATCH(H$2,Totalt!$B$1:$AQ$1,0),FALSE),"")</f>
        <v>0</v>
      </c>
      <c r="I81" s="173">
        <f>IFERROR(VLOOKUP($B81,Totalt!$B$1:$AQ$554,MATCH(I$2,Totalt!$B$1:$AQ$1,0),FALSE),"")</f>
        <v>71.3</v>
      </c>
      <c r="J81" s="173">
        <f>IFERROR(VLOOKUP($B81,Totalt!$B$1:$AQ$554,MATCH(J$2,Totalt!$B$1:$AQ$1,0),FALSE),"")</f>
        <v>0</v>
      </c>
      <c r="K81" s="173">
        <f>IFERROR(VLOOKUP($B81,Totalt!$B$1:$AQ$554,MATCH(K$2,Totalt!$B$1:$AQ$1,0),FALSE),"")</f>
        <v>0</v>
      </c>
      <c r="L81" s="173">
        <f>IFERROR(VLOOKUP($B81,Totalt!$B$1:$AQ$554,MATCH(L$2,Totalt!$B$1:$AQ$1,0),FALSE),"")</f>
        <v>2.7</v>
      </c>
      <c r="M81" s="173">
        <f>IFERROR(VLOOKUP($B81,Totalt!$B$1:$AQ$554,MATCH(M$2,Totalt!$B$1:$AQ$1,0),FALSE),"")</f>
        <v>0</v>
      </c>
      <c r="N81" s="173">
        <f>IFERROR(VLOOKUP($B81,Totalt!$B$1:$AQ$554,MATCH(N$2,Totalt!$B$1:$AQ$1,0),FALSE),"")</f>
        <v>38.700000000000003</v>
      </c>
      <c r="O81" s="173">
        <f>IFERROR(VLOOKUP($B81,Totalt!$B$1:$AQ$554,MATCH(O$2,Totalt!$B$1:$AQ$1,0),FALSE),"")</f>
        <v>0</v>
      </c>
      <c r="P81" s="173">
        <f>IFERROR(VLOOKUP($B81,Totalt!$B$1:$AQ$554,MATCH(P$2,Totalt!$B$1:$AQ$1,0),FALSE),"")</f>
        <v>0</v>
      </c>
      <c r="Q81" s="173">
        <f>IFERROR(VLOOKUP($B81,Totalt!$B$1:$AQ$554,MATCH(Q$2,Totalt!$B$1:$AQ$1,0),FALSE),"")</f>
        <v>0</v>
      </c>
      <c r="R81" s="173">
        <f>IFERROR(VLOOKUP($B81,Totalt!$B$1:$AQ$554,MATCH(R$2,Totalt!$B$1:$AQ$1,0),FALSE),"")</f>
        <v>0</v>
      </c>
      <c r="S81" s="173">
        <f>IFERROR(VLOOKUP($B81,Totalt!$B$1:$AQ$554,MATCH(S$2,Totalt!$B$1:$AQ$1,0),FALSE),"")</f>
        <v>0</v>
      </c>
      <c r="T81" s="173">
        <f>IFERROR(VLOOKUP($B81,Totalt!$B$1:$AQ$554,MATCH(T$2,Totalt!$B$1:$AQ$1,0),FALSE),"")</f>
        <v>0</v>
      </c>
      <c r="U81" s="173">
        <f>IFERROR(VLOOKUP($B81,Totalt!$B$1:$AQ$554,MATCH(U$2,Totalt!$B$1:$AQ$1,0),FALSE),"")</f>
        <v>0</v>
      </c>
      <c r="V81" s="173">
        <f>IFERROR(VLOOKUP($B81,Totalt!$B$1:$AQ$554,MATCH(V$2,Totalt!$B$1:$AQ$1,0),FALSE),"")</f>
        <v>0</v>
      </c>
      <c r="W81" s="173">
        <f>IFERROR(VLOOKUP($B81,Totalt!$B$1:$AQ$554,MATCH(W$2,Totalt!$B$1:$AQ$1,0),FALSE),"")</f>
        <v>11.1</v>
      </c>
      <c r="X81" s="173">
        <f>IFERROR(VLOOKUP($B81,Totalt!$B$1:$AQ$554,MATCH(X$2,Totalt!$B$1:$AQ$1,0),FALSE),"")</f>
        <v>0</v>
      </c>
      <c r="Y81" s="173">
        <f>IFERROR(VLOOKUP($B81,Totalt!$B$1:$AQ$554,MATCH(Y$2,Totalt!$B$1:$AQ$1,0),FALSE),"")</f>
        <v>0</v>
      </c>
      <c r="Z81" s="173">
        <f>IFERROR(VLOOKUP($B81,Totalt!$B$1:$AQ$554,MATCH(Z$2,Totalt!$B$1:$AQ$1,0),FALSE),"")</f>
        <v>0</v>
      </c>
      <c r="AA81" s="173">
        <f>IFERROR(VLOOKUP($B81,Totalt!$B$1:$AQ$554,MATCH(AA$2,Totalt!$B$1:$AQ$1,0),FALSE),"")</f>
        <v>0</v>
      </c>
      <c r="AB81" s="173">
        <f>IFERROR(VLOOKUP($B81,Totalt!$B$1:$AQ$554,MATCH(AB$2,Totalt!$B$1:$AQ$1,0),FALSE),"")</f>
        <v>0</v>
      </c>
      <c r="AC81" s="173">
        <f>IFERROR(VLOOKUP($B81,Totalt!$B$1:$AQ$554,MATCH(AC$2,Totalt!$B$1:$AQ$1,0),FALSE),"")</f>
        <v>0</v>
      </c>
      <c r="AD81" s="173">
        <f>IFERROR(VLOOKUP($B81,Totalt!$B$1:$AQ$554,MATCH(AD$2,Totalt!$B$1:$AQ$1,0),FALSE),"")</f>
        <v>15.4</v>
      </c>
      <c r="AE81" s="173">
        <f>IFERROR(VLOOKUP($B81,Totalt!$B$1:$AQ$554,MATCH(AE$2,Totalt!$B$1:$AQ$1,0),FALSE),"")</f>
        <v>0</v>
      </c>
      <c r="AF81" s="173">
        <f>IFERROR(VLOOKUP($B81,Totalt!$B$1:$AQ$554,MATCH(AF$2,Totalt!$B$1:$AQ$1,0),FALSE),"")</f>
        <v>3.9</v>
      </c>
      <c r="AG81" s="173">
        <f>IFERROR(VLOOKUP($B81,Totalt!$B$1:$AQ$554,MATCH(AG$2,Totalt!$B$1:$AQ$1,0),FALSE),"")</f>
        <v>0</v>
      </c>
      <c r="AI81" s="226">
        <f t="shared" si="6"/>
        <v>148.10000000000002</v>
      </c>
      <c r="AJ81" s="226">
        <f>IF(ISERROR(1/VLOOKUP($B81,Leveranser!$B$1:$S$500,MATCH("såld värme (gwh)",Leveranser!$B$1:$S$1,0),FALSE)),"",VLOOKUP($B81,Leveranser!$B$1:$S$500,MATCH("såld värme (gwh)",Leveranser!$B$1:$S$1,0),FALSE))</f>
        <v>107</v>
      </c>
      <c r="AM81" s="227" t="str">
        <f>IF(B81&lt;&gt;"",IF(VLOOKUP($B81,Totalt!$B$1:$AQ$554,MATCH("Kvalitetsgranskad:",Totalt!$B$1:$AQ$1,0),FALSE)="ja",VLOOKUP($B81,Miljö!$B$1:$AG$479,MATCH(AM$2,Miljö!$B$1:$AK$1,0),FALSE),""),"")</f>
        <v>Ja</v>
      </c>
      <c r="AN81" s="227" t="str">
        <f>IF(AM81="ja",VLOOKUP($B81,Miljö!$B$1:$J$479,MATCH("Typ av ursprungsspecificerad el   (Om inget värde anges används Nordisk residualmix, se inforuta) ()",Miljö!$B$1:$J$1,0),FALSE),IF(AM81="nej","Nordisk residualel",""))</f>
        <v>'1.1'</v>
      </c>
      <c r="AO81" s="227">
        <f>IF(AM81="","",VLOOKUP($B81,Miljö!$B$1:$J$479,MATCH("Fossilandel för ursprungspecificerad el ()",Miljö!$B$1:$J$1,0),FALSE))</f>
        <v>0</v>
      </c>
      <c r="AP81" s="227">
        <f>IF(AM81="","",IFERROR(VLOOKUP($B81,Miljö!$B$1:$J$479,MATCH("Kärnkraftsandel för ursprungsspecificerad el ()",Miljö!$B$1:$J$1,0),FALSE)/1,0))</f>
        <v>0</v>
      </c>
      <c r="AQ81" s="227">
        <f t="shared" si="7"/>
        <v>1</v>
      </c>
      <c r="AR81" s="227"/>
      <c r="AS81" s="227" t="str">
        <f t="shared" si="8"/>
        <v>Nej</v>
      </c>
      <c r="AT81" s="227" t="str">
        <f>IF(AS81="ja",VLOOKUP($B81,Miljö!$B$1:$O$500,MATCH("Fossil andel i procent (%)",Miljö!$B$1:$O$1,0),FALSE)/100,"")</f>
        <v/>
      </c>
      <c r="AU81" s="227"/>
      <c r="AV81" s="227" t="str">
        <f t="shared" si="9"/>
        <v>Nej</v>
      </c>
      <c r="AW81" s="227" t="str">
        <f>IF(AV81="ja",VLOOKUP($B81,'Egen hetvattenprod'!$B$1:$AO$500,MATCH("Värmekälla till värmepumpar ()",'Egen hetvattenprod'!$B$1:$AO$1,0),FALSE),"")</f>
        <v/>
      </c>
      <c r="AX81" s="227"/>
      <c r="AY81" s="227" t="str">
        <f t="shared" si="10"/>
        <v>Nej</v>
      </c>
      <c r="AZ81" s="228" t="str">
        <f>IF($AY81="ja",(VLOOKUP($B81,'Egen hetvattenprod'!$B$1:$BX$550,MATCH(AZ$2,'Egen hetvattenprod'!$B$1:$BX$1,0),FALSE)+VLOOKUP($B81,Kraftvärmeprod!$B$1:$BX$550,MATCH(AZ$2,Kraftvärmeprod!$B$1:$BX$1,0),FALSE))/$AC81,"")</f>
        <v/>
      </c>
      <c r="BA81" s="228" t="str">
        <f>IF($AY81="ja",(VLOOKUP($B81,'Egen hetvattenprod'!$B$1:$BX$550,MATCH(BA$2,'Egen hetvattenprod'!$B$1:$BX$1,0),FALSE)+VLOOKUP($B81,Kraftvärmeprod!$B$1:$BX$550,MATCH(BA$2,Kraftvärmeprod!$B$1:$BX$1,0),FALSE))/$AC81,"")</f>
        <v/>
      </c>
      <c r="BB81" s="228" t="str">
        <f>IF($AY81="ja",(VLOOKUP($B81,'Egen hetvattenprod'!$B$1:$BX$550,MATCH(BB$2,'Egen hetvattenprod'!$B$1:$BX$1,0),FALSE)+VLOOKUP($B81,Kraftvärmeprod!$B$1:$BX$550,MATCH(BB$2,Kraftvärmeprod!$B$1:$BX$1,0),FALSE))/$AC81,"")</f>
        <v/>
      </c>
      <c r="BC81" s="228" t="str">
        <f>IF($AY81="ja",(VLOOKUP($B81,'Egen hetvattenprod'!$B$1:$BX$550,MATCH(BC$2,'Egen hetvattenprod'!$B$1:$BX$1,0),FALSE)+VLOOKUP($B81,Kraftvärmeprod!$B$1:$BX$550,MATCH(BC$2,Kraftvärmeprod!$B$1:$BX$1,0),FALSE))/$AC81,"")</f>
        <v/>
      </c>
      <c r="BD81" s="228" t="str">
        <f>IF($AY81="ja",(VLOOKUP($B81,'Egen hetvattenprod'!$B$1:$BX$550,MATCH(BD$2,'Egen hetvattenprod'!$B$1:$BX$1,0),FALSE)+VLOOKUP($B81,Kraftvärmeprod!$B$1:$BX$550,MATCH(BD$2,Kraftvärmeprod!$B$1:$BX$1,0),FALSE))/$AC81,"")</f>
        <v/>
      </c>
      <c r="BE81" s="227"/>
      <c r="BF81" s="227" t="str">
        <f t="shared" si="11"/>
        <v>Ja</v>
      </c>
      <c r="BG81" s="227" t="str">
        <f>IF($BF81="ja",VLOOKUP($B81,'Egen hetvattenprod'!$B$1:$BX$550,MATCH("Andelen klimatgaser med fossilt ursprung för avfall ()",'Egen hetvattenprod'!$B$1:$BX$1,0),FALSE),"")</f>
        <v>Schablon</v>
      </c>
      <c r="BH81" s="227" t="str">
        <f>IF($BF81="ja",VLOOKUP($B81,Kraftvärmeprod!$B$1:$BX$550,MATCH("Andelen klimatgaser med fossilt ursprung för avfall ()",Kraftvärmeprod!$B$1:$BX$1,0),FALSE),"")</f>
        <v>Ingen redovisning</v>
      </c>
      <c r="BI81" s="227">
        <f>IF($BF81="ja",VLOOKUP($B81,'Egen hetvattenprod'!$B$1:$BX$550,MATCH("Avfall (GWh)",'Egen hetvattenprod'!$B$1:$BX$1,0),FALSE),"")</f>
        <v>71.3</v>
      </c>
      <c r="BJ81" s="227">
        <f>IF($BF81="ja",VLOOKUP($B81,'Slutlig allokering kvv'!$B$1:$BX$550,MATCH("Avfall (GWh)",'Slutlig allokering kvv'!$B$1:$BX$1,0),FALSE),"")</f>
        <v>0</v>
      </c>
      <c r="BK81" s="227">
        <f>IF($BF81="ja",VLOOKUP($B81,'Köpt hetvatten'!$B$1:$BX$550,MATCH("Avfall i köpt hetvatten",'Köpt hetvatten'!$B$1:$BX$1,0),FALSE),"")</f>
        <v>0</v>
      </c>
      <c r="BL81" s="227">
        <f>IF($BF81="ja",VLOOKUP($B81,'Egen hetvattenprod'!$B$1:$BX$550,MATCH("Värde enligt ovan. (%)",'Egen hetvattenprod'!$B$1:$BX$1,0),FALSE),"")</f>
        <v>40.5</v>
      </c>
      <c r="BM81" s="227" t="str">
        <f>IF($BF81="ja",VLOOKUP($B81,Kraftvärmeprod!$B$1:$BX$550,MATCH("Värde enligt ovan. (%)",Kraftvärmeprod!$B$1:$BX$1,0),FALSE),"")</f>
        <v>ET</v>
      </c>
      <c r="BN81" s="227"/>
      <c r="BO81" s="227"/>
      <c r="BP81" s="227"/>
      <c r="BQ81" s="227">
        <f>IF($BF81="ja",VLOOKUP($B81,'Egen hetvattenprod'!$B$1:$BX$550,MATCH("Tillförd olja (fossil) vid avfallsförbränning (GWh)",'Egen hetvattenprod'!$B$1:$BX$1,0),FALSE),"")</f>
        <v>0.5</v>
      </c>
      <c r="BR81" s="227" t="str">
        <f>IF($BF81="ja",VLOOKUP($B81,Kraftvärmeprod!$B$1:$BX$550,MATCH("Tillförd olja (fossil) vid avfallsförbränning (GWh)",Kraftvärmeprod!$B$1:$BX$1,0),FALSE),"")</f>
        <v>ET</v>
      </c>
      <c r="BS81" s="227"/>
      <c r="BT81" s="227"/>
      <c r="BU81" s="227"/>
    </row>
    <row r="82" spans="1:73" x14ac:dyDescent="0.25">
      <c r="A82" s="121" t="str">
        <f>'Miljövärden för publ företag'!B85</f>
        <v>Gislaved Energi AB</v>
      </c>
      <c r="B82" s="121" t="str">
        <f>'Miljövärden för publ företag'!C85</f>
        <v>Gislaved</v>
      </c>
      <c r="C82" s="173">
        <f>IFERROR(VLOOKUP($B82,Totalt!$B$1:$AQ$554,MATCH(C$2,Totalt!$B$1:$AQ$1,0),FALSE),"")</f>
        <v>0</v>
      </c>
      <c r="D82" s="173">
        <f>IFERROR(VLOOKUP($B82,Totalt!$B$1:$AQ$554,MATCH(D$2,Totalt!$B$1:$AQ$1,0),FALSE),"")</f>
        <v>0.40100000000000002</v>
      </c>
      <c r="E82" s="173">
        <f>IFERROR(VLOOKUP($B82,Totalt!$B$1:$AQ$554,MATCH(E$2,Totalt!$B$1:$AQ$1,0),FALSE),"")</f>
        <v>0</v>
      </c>
      <c r="F82" s="173">
        <f>IFERROR(VLOOKUP($B82,Totalt!$B$1:$AQ$554,MATCH(F$2,Totalt!$B$1:$AQ$1,0),FALSE),"")</f>
        <v>0</v>
      </c>
      <c r="G82" s="173">
        <f>IFERROR(VLOOKUP($B82,Totalt!$B$1:$AQ$554,MATCH(G$2,Totalt!$B$1:$AQ$1,0),FALSE),"")</f>
        <v>0.26400000000000001</v>
      </c>
      <c r="H82" s="173">
        <f>IFERROR(VLOOKUP($B82,Totalt!$B$1:$AQ$554,MATCH(H$2,Totalt!$B$1:$AQ$1,0),FALSE),"")</f>
        <v>0</v>
      </c>
      <c r="I82" s="173">
        <f>IFERROR(VLOOKUP($B82,Totalt!$B$1:$AQ$554,MATCH(I$2,Totalt!$B$1:$AQ$1,0),FALSE),"")</f>
        <v>0</v>
      </c>
      <c r="J82" s="173">
        <f>IFERROR(VLOOKUP($B82,Totalt!$B$1:$AQ$554,MATCH(J$2,Totalt!$B$1:$AQ$1,0),FALSE),"")</f>
        <v>0</v>
      </c>
      <c r="K82" s="173">
        <f>IFERROR(VLOOKUP($B82,Totalt!$B$1:$AQ$554,MATCH(K$2,Totalt!$B$1:$AQ$1,0),FALSE),"")</f>
        <v>0</v>
      </c>
      <c r="L82" s="173">
        <f>IFERROR(VLOOKUP($B82,Totalt!$B$1:$AQ$554,MATCH(L$2,Totalt!$B$1:$AQ$1,0),FALSE),"")</f>
        <v>0</v>
      </c>
      <c r="M82" s="173">
        <f>IFERROR(VLOOKUP($B82,Totalt!$B$1:$AQ$554,MATCH(M$2,Totalt!$B$1:$AQ$1,0),FALSE),"")</f>
        <v>9</v>
      </c>
      <c r="N82" s="173">
        <f>IFERROR(VLOOKUP($B82,Totalt!$B$1:$AQ$554,MATCH(N$2,Totalt!$B$1:$AQ$1,0),FALSE),"")</f>
        <v>15</v>
      </c>
      <c r="O82" s="173">
        <f>IFERROR(VLOOKUP($B82,Totalt!$B$1:$AQ$554,MATCH(O$2,Totalt!$B$1:$AQ$1,0),FALSE),"")</f>
        <v>0</v>
      </c>
      <c r="P82" s="173">
        <f>IFERROR(VLOOKUP($B82,Totalt!$B$1:$AQ$554,MATCH(P$2,Totalt!$B$1:$AQ$1,0),FALSE),"")</f>
        <v>10.5</v>
      </c>
      <c r="Q82" s="173">
        <f>IFERROR(VLOOKUP($B82,Totalt!$B$1:$AQ$554,MATCH(Q$2,Totalt!$B$1:$AQ$1,0),FALSE),"")</f>
        <v>0</v>
      </c>
      <c r="R82" s="173">
        <f>IFERROR(VLOOKUP($B82,Totalt!$B$1:$AQ$554,MATCH(R$2,Totalt!$B$1:$AQ$1,0),FALSE),"")</f>
        <v>2.093</v>
      </c>
      <c r="S82" s="173">
        <f>IFERROR(VLOOKUP($B82,Totalt!$B$1:$AQ$554,MATCH(S$2,Totalt!$B$1:$AQ$1,0),FALSE),"")</f>
        <v>0</v>
      </c>
      <c r="T82" s="173">
        <f>IFERROR(VLOOKUP($B82,Totalt!$B$1:$AQ$554,MATCH(T$2,Totalt!$B$1:$AQ$1,0),FALSE),"")</f>
        <v>0</v>
      </c>
      <c r="U82" s="173">
        <f>IFERROR(VLOOKUP($B82,Totalt!$B$1:$AQ$554,MATCH(U$2,Totalt!$B$1:$AQ$1,0),FALSE),"")</f>
        <v>0</v>
      </c>
      <c r="V82" s="173">
        <f>IFERROR(VLOOKUP($B82,Totalt!$B$1:$AQ$554,MATCH(V$2,Totalt!$B$1:$AQ$1,0),FALSE),"")</f>
        <v>0</v>
      </c>
      <c r="W82" s="173">
        <f>IFERROR(VLOOKUP($B82,Totalt!$B$1:$AQ$554,MATCH(W$2,Totalt!$B$1:$AQ$1,0),FALSE),"")</f>
        <v>0</v>
      </c>
      <c r="X82" s="173">
        <f>IFERROR(VLOOKUP($B82,Totalt!$B$1:$AQ$554,MATCH(X$2,Totalt!$B$1:$AQ$1,0),FALSE),"")</f>
        <v>0</v>
      </c>
      <c r="Y82" s="173">
        <f>IFERROR(VLOOKUP($B82,Totalt!$B$1:$AQ$554,MATCH(Y$2,Totalt!$B$1:$AQ$1,0),FALSE),"")</f>
        <v>0</v>
      </c>
      <c r="Z82" s="173">
        <f>IFERROR(VLOOKUP($B82,Totalt!$B$1:$AQ$554,MATCH(Z$2,Totalt!$B$1:$AQ$1,0),FALSE),"")</f>
        <v>0.06</v>
      </c>
      <c r="AA82" s="173">
        <f>IFERROR(VLOOKUP($B82,Totalt!$B$1:$AQ$554,MATCH(AA$2,Totalt!$B$1:$AQ$1,0),FALSE),"")</f>
        <v>0</v>
      </c>
      <c r="AB82" s="173">
        <f>IFERROR(VLOOKUP($B82,Totalt!$B$1:$AQ$554,MATCH(AB$2,Totalt!$B$1:$AQ$1,0),FALSE),"")</f>
        <v>0</v>
      </c>
      <c r="AC82" s="173">
        <f>IFERROR(VLOOKUP($B82,Totalt!$B$1:$AQ$554,MATCH(AC$2,Totalt!$B$1:$AQ$1,0),FALSE),"")</f>
        <v>5.2</v>
      </c>
      <c r="AD82" s="173">
        <f>IFERROR(VLOOKUP($B82,Totalt!$B$1:$AQ$554,MATCH(AD$2,Totalt!$B$1:$AQ$1,0),FALSE),"")</f>
        <v>0.90300000000000002</v>
      </c>
      <c r="AE82" s="173">
        <f>IFERROR(VLOOKUP($B82,Totalt!$B$1:$AQ$554,MATCH(AE$2,Totalt!$B$1:$AQ$1,0),FALSE),"")</f>
        <v>0</v>
      </c>
      <c r="AF82" s="173">
        <f>IFERROR(VLOOKUP($B82,Totalt!$B$1:$AQ$554,MATCH(AF$2,Totalt!$B$1:$AQ$1,0),FALSE),"")</f>
        <v>1.00335</v>
      </c>
      <c r="AG82" s="173">
        <f>IFERROR(VLOOKUP($B82,Totalt!$B$1:$AQ$554,MATCH(AG$2,Totalt!$B$1:$AQ$1,0),FALSE),"")</f>
        <v>0</v>
      </c>
      <c r="AI82" s="226">
        <f t="shared" si="6"/>
        <v>44.424349999999997</v>
      </c>
      <c r="AJ82" s="226">
        <f>IF(ISERROR(1/VLOOKUP($B82,Leveranser!$B$1:$S$500,MATCH("såld värme (gwh)",Leveranser!$B$1:$S$1,0),FALSE)),"",VLOOKUP($B82,Leveranser!$B$1:$S$500,MATCH("såld värme (gwh)",Leveranser!$B$1:$S$1,0),FALSE))</f>
        <v>33.445</v>
      </c>
      <c r="AM82" s="227" t="str">
        <f>IF(B82&lt;&gt;"",IF(VLOOKUP($B82,Totalt!$B$1:$AQ$554,MATCH("Kvalitetsgranskad:",Totalt!$B$1:$AQ$1,0),FALSE)="ja",VLOOKUP($B82,Miljö!$B$1:$AG$479,MATCH(AM$2,Miljö!$B$1:$AK$1,0),FALSE),""),"")</f>
        <v>Ja</v>
      </c>
      <c r="AN82" s="227" t="str">
        <f>IF(AM82="ja",VLOOKUP($B82,Miljö!$B$1:$J$479,MATCH("Typ av ursprungsspecificerad el   (Om inget värde anges används Nordisk residualmix, se inforuta) ()",Miljö!$B$1:$J$1,0),FALSE),IF(AM82="nej","Nordisk residualel",""))</f>
        <v>'förnybart'</v>
      </c>
      <c r="AO82" s="227">
        <f>IF(AM82="","",VLOOKUP($B82,Miljö!$B$1:$J$479,MATCH("Fossilandel för ursprungspecificerad el ()",Miljö!$B$1:$J$1,0),FALSE))</f>
        <v>0</v>
      </c>
      <c r="AP82" s="227">
        <f>IF(AM82="","",IFERROR(VLOOKUP($B82,Miljö!$B$1:$J$479,MATCH("Kärnkraftsandel för ursprungsspecificerad el ()",Miljö!$B$1:$J$1,0),FALSE)/1,0))</f>
        <v>0</v>
      </c>
      <c r="AQ82" s="227">
        <f t="shared" si="7"/>
        <v>1</v>
      </c>
      <c r="AR82" s="227"/>
      <c r="AS82" s="227" t="str">
        <f t="shared" si="8"/>
        <v>Nej</v>
      </c>
      <c r="AT82" s="227" t="str">
        <f>IF(AS82="ja",VLOOKUP($B82,Miljö!$B$1:$O$500,MATCH("Fossil andel i procent (%)",Miljö!$B$1:$O$1,0),FALSE)/100,"")</f>
        <v/>
      </c>
      <c r="AU82" s="227"/>
      <c r="AV82" s="227" t="str">
        <f t="shared" si="9"/>
        <v>Nej</v>
      </c>
      <c r="AW82" s="227" t="str">
        <f>IF(AV82="ja",VLOOKUP($B82,'Egen hetvattenprod'!$B$1:$AO$500,MATCH("Värmekälla till värmepumpar ()",'Egen hetvattenprod'!$B$1:$AO$1,0),FALSE),"")</f>
        <v/>
      </c>
      <c r="AX82" s="227"/>
      <c r="AY82" s="227" t="str">
        <f t="shared" si="10"/>
        <v>Ja</v>
      </c>
      <c r="AZ82" s="228">
        <f>IF($AY82="ja",(VLOOKUP($B82,'Egen hetvattenprod'!$B$1:$BX$550,MATCH(AZ$2,'Egen hetvattenprod'!$B$1:$BX$1,0),FALSE)+VLOOKUP($B82,Kraftvärmeprod!$B$1:$BX$550,MATCH(AZ$2,Kraftvärmeprod!$B$1:$BX$1,0),FALSE))/$AC82,"")</f>
        <v>1</v>
      </c>
      <c r="BA82" s="228">
        <f>IF($AY82="ja",(VLOOKUP($B82,'Egen hetvattenprod'!$B$1:$BX$550,MATCH(BA$2,'Egen hetvattenprod'!$B$1:$BX$1,0),FALSE)+VLOOKUP($B82,Kraftvärmeprod!$B$1:$BX$550,MATCH(BA$2,Kraftvärmeprod!$B$1:$BX$1,0),FALSE))/$AC82,"")</f>
        <v>0</v>
      </c>
      <c r="BB82" s="228">
        <f>IF($AY82="ja",(VLOOKUP($B82,'Egen hetvattenprod'!$B$1:$BX$550,MATCH(BB$2,'Egen hetvattenprod'!$B$1:$BX$1,0),FALSE)+VLOOKUP($B82,Kraftvärmeprod!$B$1:$BX$550,MATCH(BB$2,Kraftvärmeprod!$B$1:$BX$1,0),FALSE))/$AC82,"")</f>
        <v>0</v>
      </c>
      <c r="BC82" s="228">
        <f>IF($AY82="ja",(VLOOKUP($B82,'Egen hetvattenprod'!$B$1:$BX$550,MATCH(BC$2,'Egen hetvattenprod'!$B$1:$BX$1,0),FALSE)+VLOOKUP($B82,Kraftvärmeprod!$B$1:$BX$550,MATCH(BC$2,Kraftvärmeprod!$B$1:$BX$1,0),FALSE))/$AC82,"")</f>
        <v>0</v>
      </c>
      <c r="BD82" s="228">
        <f>IF($AY82="ja",(VLOOKUP($B82,'Egen hetvattenprod'!$B$1:$BX$550,MATCH(BD$2,'Egen hetvattenprod'!$B$1:$BX$1,0),FALSE)+VLOOKUP($B82,Kraftvärmeprod!$B$1:$BX$550,MATCH(BD$2,Kraftvärmeprod!$B$1:$BX$1,0),FALSE))/$AC82,"")</f>
        <v>0</v>
      </c>
      <c r="BE82" s="227"/>
      <c r="BF82" s="227" t="str">
        <f t="shared" si="11"/>
        <v>Nej</v>
      </c>
      <c r="BG82" s="227" t="str">
        <f>IF($BF82="ja",VLOOKUP($B82,'Egen hetvattenprod'!$B$1:$BX$550,MATCH("Andelen klimatgaser med fossilt ursprung för avfall ()",'Egen hetvattenprod'!$B$1:$BX$1,0),FALSE),"")</f>
        <v/>
      </c>
      <c r="BH82" s="227" t="str">
        <f>IF($BF82="ja",VLOOKUP($B82,Kraftvärmeprod!$B$1:$BX$550,MATCH("Andelen klimatgaser med fossilt ursprung för avfall ()",Kraftvärmeprod!$B$1:$BX$1,0),FALSE),"")</f>
        <v/>
      </c>
      <c r="BI82" s="227" t="str">
        <f>IF($BF82="ja",VLOOKUP($B82,'Egen hetvattenprod'!$B$1:$BX$550,MATCH("Avfall (GWh)",'Egen hetvattenprod'!$B$1:$BX$1,0),FALSE),"")</f>
        <v/>
      </c>
      <c r="BJ82" s="227" t="str">
        <f>IF($BF82="ja",VLOOKUP($B82,'Slutlig allokering kvv'!$B$1:$BX$550,MATCH("Avfall (GWh)",'Slutlig allokering kvv'!$B$1:$BX$1,0),FALSE),"")</f>
        <v/>
      </c>
      <c r="BK82" s="227" t="str">
        <f>IF($BF82="ja",VLOOKUP($B82,'Köpt hetvatten'!$B$1:$BX$550,MATCH("Avfall i köpt hetvatten",'Köpt hetvatten'!$B$1:$BX$1,0),FALSE),"")</f>
        <v/>
      </c>
      <c r="BL82" s="227" t="str">
        <f>IF($BF82="ja",VLOOKUP($B82,'Egen hetvattenprod'!$B$1:$BX$550,MATCH("Värde enligt ovan. (%)",'Egen hetvattenprod'!$B$1:$BX$1,0),FALSE),"")</f>
        <v/>
      </c>
      <c r="BM82" s="227" t="str">
        <f>IF($BF82="ja",VLOOKUP($B82,Kraftvärmeprod!$B$1:$BX$550,MATCH("Värde enligt ovan. (%)",Kraftvärmeprod!$B$1:$BX$1,0),FALSE),"")</f>
        <v/>
      </c>
      <c r="BN82" s="227"/>
      <c r="BO82" s="227"/>
      <c r="BP82" s="227"/>
      <c r="BQ82" s="227" t="str">
        <f>IF($BF82="ja",VLOOKUP($B82,'Egen hetvattenprod'!$B$1:$BX$550,MATCH("Tillförd olja (fossil) vid avfallsförbränning (GWh)",'Egen hetvattenprod'!$B$1:$BX$1,0),FALSE),"")</f>
        <v/>
      </c>
      <c r="BR82" s="227" t="str">
        <f>IF($BF82="ja",VLOOKUP($B82,Kraftvärmeprod!$B$1:$BX$550,MATCH("Tillförd olja (fossil) vid avfallsförbränning (GWh)",Kraftvärmeprod!$B$1:$BX$1,0),FALSE),"")</f>
        <v/>
      </c>
      <c r="BS82" s="227"/>
      <c r="BT82" s="227"/>
      <c r="BU82" s="227"/>
    </row>
    <row r="83" spans="1:73" x14ac:dyDescent="0.25">
      <c r="A83" s="121" t="str">
        <f>'Miljövärden för publ företag'!B86</f>
        <v>Gislaved Energi AB</v>
      </c>
      <c r="B83" s="121" t="str">
        <f>'Miljövärden för publ företag'!C86</f>
        <v>Hestra</v>
      </c>
      <c r="C83" s="173">
        <f>IFERROR(VLOOKUP($B83,Totalt!$B$1:$AQ$554,MATCH(C$2,Totalt!$B$1:$AQ$1,0),FALSE),"")</f>
        <v>0</v>
      </c>
      <c r="D83" s="173">
        <f>IFERROR(VLOOKUP($B83,Totalt!$B$1:$AQ$554,MATCH(D$2,Totalt!$B$1:$AQ$1,0),FALSE),"")</f>
        <v>0</v>
      </c>
      <c r="E83" s="173">
        <f>IFERROR(VLOOKUP($B83,Totalt!$B$1:$AQ$554,MATCH(E$2,Totalt!$B$1:$AQ$1,0),FALSE),"")</f>
        <v>0</v>
      </c>
      <c r="F83" s="173">
        <f>IFERROR(VLOOKUP($B83,Totalt!$B$1:$AQ$554,MATCH(F$2,Totalt!$B$1:$AQ$1,0),FALSE),"")</f>
        <v>0</v>
      </c>
      <c r="G83" s="173">
        <f>IFERROR(VLOOKUP($B83,Totalt!$B$1:$AQ$554,MATCH(G$2,Totalt!$B$1:$AQ$1,0),FALSE),"")</f>
        <v>0</v>
      </c>
      <c r="H83" s="173">
        <f>IFERROR(VLOOKUP($B83,Totalt!$B$1:$AQ$554,MATCH(H$2,Totalt!$B$1:$AQ$1,0),FALSE),"")</f>
        <v>0</v>
      </c>
      <c r="I83" s="173">
        <f>IFERROR(VLOOKUP($B83,Totalt!$B$1:$AQ$554,MATCH(I$2,Totalt!$B$1:$AQ$1,0),FALSE),"")</f>
        <v>0</v>
      </c>
      <c r="J83" s="173">
        <f>IFERROR(VLOOKUP($B83,Totalt!$B$1:$AQ$554,MATCH(J$2,Totalt!$B$1:$AQ$1,0),FALSE),"")</f>
        <v>0</v>
      </c>
      <c r="K83" s="173">
        <f>IFERROR(VLOOKUP($B83,Totalt!$B$1:$AQ$554,MATCH(K$2,Totalt!$B$1:$AQ$1,0),FALSE),"")</f>
        <v>0</v>
      </c>
      <c r="L83" s="173">
        <f>IFERROR(VLOOKUP($B83,Totalt!$B$1:$AQ$554,MATCH(L$2,Totalt!$B$1:$AQ$1,0),FALSE),"")</f>
        <v>0</v>
      </c>
      <c r="M83" s="173">
        <f>IFERROR(VLOOKUP($B83,Totalt!$B$1:$AQ$554,MATCH(M$2,Totalt!$B$1:$AQ$1,0),FALSE),"")</f>
        <v>0</v>
      </c>
      <c r="N83" s="173">
        <f>IFERROR(VLOOKUP($B83,Totalt!$B$1:$AQ$554,MATCH(N$2,Totalt!$B$1:$AQ$1,0),FALSE),"")</f>
        <v>0</v>
      </c>
      <c r="O83" s="173">
        <f>IFERROR(VLOOKUP($B83,Totalt!$B$1:$AQ$554,MATCH(O$2,Totalt!$B$1:$AQ$1,0),FALSE),"")</f>
        <v>0</v>
      </c>
      <c r="P83" s="173">
        <f>IFERROR(VLOOKUP($B83,Totalt!$B$1:$AQ$554,MATCH(P$2,Totalt!$B$1:$AQ$1,0),FALSE),"")</f>
        <v>0</v>
      </c>
      <c r="Q83" s="173">
        <f>IFERROR(VLOOKUP($B83,Totalt!$B$1:$AQ$554,MATCH(Q$2,Totalt!$B$1:$AQ$1,0),FALSE),"")</f>
        <v>5.91059</v>
      </c>
      <c r="R83" s="173">
        <f>IFERROR(VLOOKUP($B83,Totalt!$B$1:$AQ$554,MATCH(R$2,Totalt!$B$1:$AQ$1,0),FALSE),"")</f>
        <v>0</v>
      </c>
      <c r="S83" s="173">
        <f>IFERROR(VLOOKUP($B83,Totalt!$B$1:$AQ$554,MATCH(S$2,Totalt!$B$1:$AQ$1,0),FALSE),"")</f>
        <v>0</v>
      </c>
      <c r="T83" s="173">
        <f>IFERROR(VLOOKUP($B83,Totalt!$B$1:$AQ$554,MATCH(T$2,Totalt!$B$1:$AQ$1,0),FALSE),"")</f>
        <v>0</v>
      </c>
      <c r="U83" s="173">
        <f>IFERROR(VLOOKUP($B83,Totalt!$B$1:$AQ$554,MATCH(U$2,Totalt!$B$1:$AQ$1,0),FALSE),"")</f>
        <v>0</v>
      </c>
      <c r="V83" s="173">
        <f>IFERROR(VLOOKUP($B83,Totalt!$B$1:$AQ$554,MATCH(V$2,Totalt!$B$1:$AQ$1,0),FALSE),"")</f>
        <v>0</v>
      </c>
      <c r="W83" s="173">
        <f>IFERROR(VLOOKUP($B83,Totalt!$B$1:$AQ$554,MATCH(W$2,Totalt!$B$1:$AQ$1,0),FALSE),"")</f>
        <v>0</v>
      </c>
      <c r="X83" s="173">
        <f>IFERROR(VLOOKUP($B83,Totalt!$B$1:$AQ$554,MATCH(X$2,Totalt!$B$1:$AQ$1,0),FALSE),"")</f>
        <v>0</v>
      </c>
      <c r="Y83" s="173">
        <f>IFERROR(VLOOKUP($B83,Totalt!$B$1:$AQ$554,MATCH(Y$2,Totalt!$B$1:$AQ$1,0),FALSE),"")</f>
        <v>0</v>
      </c>
      <c r="Z83" s="173">
        <f>IFERROR(VLOOKUP($B83,Totalt!$B$1:$AQ$554,MATCH(Z$2,Totalt!$B$1:$AQ$1,0),FALSE),"")</f>
        <v>0</v>
      </c>
      <c r="AA83" s="173">
        <f>IFERROR(VLOOKUP($B83,Totalt!$B$1:$AQ$554,MATCH(AA$2,Totalt!$B$1:$AQ$1,0),FALSE),"")</f>
        <v>0</v>
      </c>
      <c r="AB83" s="173">
        <f>IFERROR(VLOOKUP($B83,Totalt!$B$1:$AQ$554,MATCH(AB$2,Totalt!$B$1:$AQ$1,0),FALSE),"")</f>
        <v>0</v>
      </c>
      <c r="AC83" s="173">
        <f>IFERROR(VLOOKUP($B83,Totalt!$B$1:$AQ$554,MATCH(AC$2,Totalt!$B$1:$AQ$1,0),FALSE),"")</f>
        <v>0</v>
      </c>
      <c r="AD83" s="173">
        <f>IFERROR(VLOOKUP($B83,Totalt!$B$1:$AQ$554,MATCH(AD$2,Totalt!$B$1:$AQ$1,0),FALSE),"")</f>
        <v>0</v>
      </c>
      <c r="AE83" s="173">
        <f>IFERROR(VLOOKUP($B83,Totalt!$B$1:$AQ$554,MATCH(AE$2,Totalt!$B$1:$AQ$1,0),FALSE),"")</f>
        <v>0</v>
      </c>
      <c r="AF83" s="173">
        <f>IFERROR(VLOOKUP($B83,Totalt!$B$1:$AQ$554,MATCH(AF$2,Totalt!$B$1:$AQ$1,0),FALSE),"")</f>
        <v>0.13100999999999999</v>
      </c>
      <c r="AG83" s="173">
        <f>IFERROR(VLOOKUP($B83,Totalt!$B$1:$AQ$554,MATCH(AG$2,Totalt!$B$1:$AQ$1,0),FALSE),"")</f>
        <v>0</v>
      </c>
      <c r="AI83" s="226">
        <f t="shared" si="6"/>
        <v>6.0415999999999999</v>
      </c>
      <c r="AJ83" s="226">
        <f>IF(ISERROR(1/VLOOKUP($B83,Leveranser!$B$1:$S$500,MATCH("såld värme (gwh)",Leveranser!$B$1:$S$1,0),FALSE)),"",VLOOKUP($B83,Leveranser!$B$1:$S$500,MATCH("såld värme (gwh)",Leveranser!$B$1:$S$1,0),FALSE))</f>
        <v>4.367</v>
      </c>
      <c r="AM83" s="227" t="str">
        <f>IF(B83&lt;&gt;"",IF(VLOOKUP($B83,Totalt!$B$1:$AQ$554,MATCH("Kvalitetsgranskad:",Totalt!$B$1:$AQ$1,0),FALSE)="ja",VLOOKUP($B83,Miljö!$B$1:$AG$479,MATCH(AM$2,Miljö!$B$1:$AK$1,0),FALSE),""),"")</f>
        <v>Nej</v>
      </c>
      <c r="AN83" s="227" t="str">
        <f>IF(AM83="ja",VLOOKUP($B83,Miljö!$B$1:$J$479,MATCH("Typ av ursprungsspecificerad el   (Om inget värde anges används Nordisk residualmix, se inforuta) ()",Miljö!$B$1:$J$1,0),FALSE),IF(AM83="nej","Nordisk residualel",""))</f>
        <v>Nordisk residualel</v>
      </c>
      <c r="AO83" s="227">
        <f>IF(AM83="","",VLOOKUP($B83,Miljö!$B$1:$J$479,MATCH("Fossilandel för ursprungspecificerad el ()",Miljö!$B$1:$J$1,0),FALSE))</f>
        <v>0.43</v>
      </c>
      <c r="AP83" s="227">
        <f>IF(AM83="","",IFERROR(VLOOKUP($B83,Miljö!$B$1:$J$479,MATCH("Kärnkraftsandel för ursprungsspecificerad el ()",Miljö!$B$1:$J$1,0),FALSE)/1,0))</f>
        <v>0.40550000000000003</v>
      </c>
      <c r="AQ83" s="227">
        <f t="shared" si="7"/>
        <v>0.16450000000000004</v>
      </c>
      <c r="AR83" s="227"/>
      <c r="AS83" s="227" t="str">
        <f t="shared" si="8"/>
        <v>Nej</v>
      </c>
      <c r="AT83" s="227" t="str">
        <f>IF(AS83="ja",VLOOKUP($B83,Miljö!$B$1:$O$500,MATCH("Fossil andel i procent (%)",Miljö!$B$1:$O$1,0),FALSE)/100,"")</f>
        <v/>
      </c>
      <c r="AU83" s="227"/>
      <c r="AV83" s="227" t="str">
        <f t="shared" si="9"/>
        <v>Nej</v>
      </c>
      <c r="AW83" s="227" t="str">
        <f>IF(AV83="ja",VLOOKUP($B83,'Egen hetvattenprod'!$B$1:$AO$500,MATCH("Värmekälla till värmepumpar ()",'Egen hetvattenprod'!$B$1:$AO$1,0),FALSE),"")</f>
        <v/>
      </c>
      <c r="AX83" s="227"/>
      <c r="AY83" s="227" t="str">
        <f t="shared" si="10"/>
        <v>Nej</v>
      </c>
      <c r="AZ83" s="228" t="str">
        <f>IF($AY83="ja",(VLOOKUP($B83,'Egen hetvattenprod'!$B$1:$BX$550,MATCH(AZ$2,'Egen hetvattenprod'!$B$1:$BX$1,0),FALSE)+VLOOKUP($B83,Kraftvärmeprod!$B$1:$BX$550,MATCH(AZ$2,Kraftvärmeprod!$B$1:$BX$1,0),FALSE))/$AC83,"")</f>
        <v/>
      </c>
      <c r="BA83" s="228" t="str">
        <f>IF($AY83="ja",(VLOOKUP($B83,'Egen hetvattenprod'!$B$1:$BX$550,MATCH(BA$2,'Egen hetvattenprod'!$B$1:$BX$1,0),FALSE)+VLOOKUP($B83,Kraftvärmeprod!$B$1:$BX$550,MATCH(BA$2,Kraftvärmeprod!$B$1:$BX$1,0),FALSE))/$AC83,"")</f>
        <v/>
      </c>
      <c r="BB83" s="228" t="str">
        <f>IF($AY83="ja",(VLOOKUP($B83,'Egen hetvattenprod'!$B$1:$BX$550,MATCH(BB$2,'Egen hetvattenprod'!$B$1:$BX$1,0),FALSE)+VLOOKUP($B83,Kraftvärmeprod!$B$1:$BX$550,MATCH(BB$2,Kraftvärmeprod!$B$1:$BX$1,0),FALSE))/$AC83,"")</f>
        <v/>
      </c>
      <c r="BC83" s="228" t="str">
        <f>IF($AY83="ja",(VLOOKUP($B83,'Egen hetvattenprod'!$B$1:$BX$550,MATCH(BC$2,'Egen hetvattenprod'!$B$1:$BX$1,0),FALSE)+VLOOKUP($B83,Kraftvärmeprod!$B$1:$BX$550,MATCH(BC$2,Kraftvärmeprod!$B$1:$BX$1,0),FALSE))/$AC83,"")</f>
        <v/>
      </c>
      <c r="BD83" s="228" t="str">
        <f>IF($AY83="ja",(VLOOKUP($B83,'Egen hetvattenprod'!$B$1:$BX$550,MATCH(BD$2,'Egen hetvattenprod'!$B$1:$BX$1,0),FALSE)+VLOOKUP($B83,Kraftvärmeprod!$B$1:$BX$550,MATCH(BD$2,Kraftvärmeprod!$B$1:$BX$1,0),FALSE))/$AC83,"")</f>
        <v/>
      </c>
      <c r="BE83" s="227"/>
      <c r="BF83" s="227" t="str">
        <f t="shared" si="11"/>
        <v>Nej</v>
      </c>
      <c r="BG83" s="227" t="str">
        <f>IF($BF83="ja",VLOOKUP($B83,'Egen hetvattenprod'!$B$1:$BX$550,MATCH("Andelen klimatgaser med fossilt ursprung för avfall ()",'Egen hetvattenprod'!$B$1:$BX$1,0),FALSE),"")</f>
        <v/>
      </c>
      <c r="BH83" s="227" t="str">
        <f>IF($BF83="ja",VLOOKUP($B83,Kraftvärmeprod!$B$1:$BX$550,MATCH("Andelen klimatgaser med fossilt ursprung för avfall ()",Kraftvärmeprod!$B$1:$BX$1,0),FALSE),"")</f>
        <v/>
      </c>
      <c r="BI83" s="227" t="str">
        <f>IF($BF83="ja",VLOOKUP($B83,'Egen hetvattenprod'!$B$1:$BX$550,MATCH("Avfall (GWh)",'Egen hetvattenprod'!$B$1:$BX$1,0),FALSE),"")</f>
        <v/>
      </c>
      <c r="BJ83" s="227" t="str">
        <f>IF($BF83="ja",VLOOKUP($B83,'Slutlig allokering kvv'!$B$1:$BX$550,MATCH("Avfall (GWh)",'Slutlig allokering kvv'!$B$1:$BX$1,0),FALSE),"")</f>
        <v/>
      </c>
      <c r="BK83" s="227" t="str">
        <f>IF($BF83="ja",VLOOKUP($B83,'Köpt hetvatten'!$B$1:$BX$550,MATCH("Avfall i köpt hetvatten",'Köpt hetvatten'!$B$1:$BX$1,0),FALSE),"")</f>
        <v/>
      </c>
      <c r="BL83" s="227" t="str">
        <f>IF($BF83="ja",VLOOKUP($B83,'Egen hetvattenprod'!$B$1:$BX$550,MATCH("Värde enligt ovan. (%)",'Egen hetvattenprod'!$B$1:$BX$1,0),FALSE),"")</f>
        <v/>
      </c>
      <c r="BM83" s="227" t="str">
        <f>IF($BF83="ja",VLOOKUP($B83,Kraftvärmeprod!$B$1:$BX$550,MATCH("Värde enligt ovan. (%)",Kraftvärmeprod!$B$1:$BX$1,0),FALSE),"")</f>
        <v/>
      </c>
      <c r="BN83" s="227"/>
      <c r="BO83" s="227"/>
      <c r="BP83" s="227"/>
      <c r="BQ83" s="227" t="str">
        <f>IF($BF83="ja",VLOOKUP($B83,'Egen hetvattenprod'!$B$1:$BX$550,MATCH("Tillförd olja (fossil) vid avfallsförbränning (GWh)",'Egen hetvattenprod'!$B$1:$BX$1,0),FALSE),"")</f>
        <v/>
      </c>
      <c r="BR83" s="227" t="str">
        <f>IF($BF83="ja",VLOOKUP($B83,Kraftvärmeprod!$B$1:$BX$550,MATCH("Tillförd olja (fossil) vid avfallsförbränning (GWh)",Kraftvärmeprod!$B$1:$BX$1,0),FALSE),"")</f>
        <v/>
      </c>
      <c r="BS83" s="227"/>
      <c r="BT83" s="227"/>
      <c r="BU83" s="227"/>
    </row>
    <row r="84" spans="1:73" x14ac:dyDescent="0.25">
      <c r="A84" s="121" t="str">
        <f>'Miljövärden för publ företag'!B87</f>
        <v>Gislaved Energi AB</v>
      </c>
      <c r="B84" s="121" t="str">
        <f>'Miljövärden för publ företag'!C87</f>
        <v>Reftele</v>
      </c>
      <c r="C84" s="173">
        <f>IFERROR(VLOOKUP($B84,Totalt!$B$1:$AQ$554,MATCH(C$2,Totalt!$B$1:$AQ$1,0),FALSE),"")</f>
        <v>0</v>
      </c>
      <c r="D84" s="173">
        <f>IFERROR(VLOOKUP($B84,Totalt!$B$1:$AQ$554,MATCH(D$2,Totalt!$B$1:$AQ$1,0),FALSE),"")</f>
        <v>0</v>
      </c>
      <c r="E84" s="173">
        <f>IFERROR(VLOOKUP($B84,Totalt!$B$1:$AQ$554,MATCH(E$2,Totalt!$B$1:$AQ$1,0),FALSE),"")</f>
        <v>0</v>
      </c>
      <c r="F84" s="173">
        <f>IFERROR(VLOOKUP($B84,Totalt!$B$1:$AQ$554,MATCH(F$2,Totalt!$B$1:$AQ$1,0),FALSE),"")</f>
        <v>0</v>
      </c>
      <c r="G84" s="173">
        <f>IFERROR(VLOOKUP($B84,Totalt!$B$1:$AQ$554,MATCH(G$2,Totalt!$B$1:$AQ$1,0),FALSE),"")</f>
        <v>0</v>
      </c>
      <c r="H84" s="173">
        <f>IFERROR(VLOOKUP($B84,Totalt!$B$1:$AQ$554,MATCH(H$2,Totalt!$B$1:$AQ$1,0),FALSE),"")</f>
        <v>0</v>
      </c>
      <c r="I84" s="173">
        <f>IFERROR(VLOOKUP($B84,Totalt!$B$1:$AQ$554,MATCH(I$2,Totalt!$B$1:$AQ$1,0),FALSE),"")</f>
        <v>0</v>
      </c>
      <c r="J84" s="173">
        <f>IFERROR(VLOOKUP($B84,Totalt!$B$1:$AQ$554,MATCH(J$2,Totalt!$B$1:$AQ$1,0),FALSE),"")</f>
        <v>0</v>
      </c>
      <c r="K84" s="173">
        <f>IFERROR(VLOOKUP($B84,Totalt!$B$1:$AQ$554,MATCH(K$2,Totalt!$B$1:$AQ$1,0),FALSE),"")</f>
        <v>0</v>
      </c>
      <c r="L84" s="173">
        <f>IFERROR(VLOOKUP($B84,Totalt!$B$1:$AQ$554,MATCH(L$2,Totalt!$B$1:$AQ$1,0),FALSE),"")</f>
        <v>0</v>
      </c>
      <c r="M84" s="173">
        <f>IFERROR(VLOOKUP($B84,Totalt!$B$1:$AQ$554,MATCH(M$2,Totalt!$B$1:$AQ$1,0),FALSE),"")</f>
        <v>0</v>
      </c>
      <c r="N84" s="173">
        <f>IFERROR(VLOOKUP($B84,Totalt!$B$1:$AQ$554,MATCH(N$2,Totalt!$B$1:$AQ$1,0),FALSE),"")</f>
        <v>0</v>
      </c>
      <c r="O84" s="173">
        <f>IFERROR(VLOOKUP($B84,Totalt!$B$1:$AQ$554,MATCH(O$2,Totalt!$B$1:$AQ$1,0),FALSE),"")</f>
        <v>0</v>
      </c>
      <c r="P84" s="173">
        <f>IFERROR(VLOOKUP($B84,Totalt!$B$1:$AQ$554,MATCH(P$2,Totalt!$B$1:$AQ$1,0),FALSE),"")</f>
        <v>0</v>
      </c>
      <c r="Q84" s="173">
        <f>IFERROR(VLOOKUP($B84,Totalt!$B$1:$AQ$554,MATCH(Q$2,Totalt!$B$1:$AQ$1,0),FALSE),"")</f>
        <v>0</v>
      </c>
      <c r="R84" s="173">
        <f>IFERROR(VLOOKUP($B84,Totalt!$B$1:$AQ$554,MATCH(R$2,Totalt!$B$1:$AQ$1,0),FALSE),"")</f>
        <v>0</v>
      </c>
      <c r="S84" s="173">
        <f>IFERROR(VLOOKUP($B84,Totalt!$B$1:$AQ$554,MATCH(S$2,Totalt!$B$1:$AQ$1,0),FALSE),"")</f>
        <v>1.986</v>
      </c>
      <c r="T84" s="173">
        <f>IFERROR(VLOOKUP($B84,Totalt!$B$1:$AQ$554,MATCH(T$2,Totalt!$B$1:$AQ$1,0),FALSE),"")</f>
        <v>0</v>
      </c>
      <c r="U84" s="173">
        <f>IFERROR(VLOOKUP($B84,Totalt!$B$1:$AQ$554,MATCH(U$2,Totalt!$B$1:$AQ$1,0),FALSE),"")</f>
        <v>0</v>
      </c>
      <c r="V84" s="173">
        <f>IFERROR(VLOOKUP($B84,Totalt!$B$1:$AQ$554,MATCH(V$2,Totalt!$B$1:$AQ$1,0),FALSE),"")</f>
        <v>0</v>
      </c>
      <c r="W84" s="173">
        <f>IFERROR(VLOOKUP($B84,Totalt!$B$1:$AQ$554,MATCH(W$2,Totalt!$B$1:$AQ$1,0),FALSE),"")</f>
        <v>0</v>
      </c>
      <c r="X84" s="173">
        <f>IFERROR(VLOOKUP($B84,Totalt!$B$1:$AQ$554,MATCH(X$2,Totalt!$B$1:$AQ$1,0),FALSE),"")</f>
        <v>0</v>
      </c>
      <c r="Y84" s="173">
        <f>IFERROR(VLOOKUP($B84,Totalt!$B$1:$AQ$554,MATCH(Y$2,Totalt!$B$1:$AQ$1,0),FALSE),"")</f>
        <v>0</v>
      </c>
      <c r="Z84" s="173">
        <f>IFERROR(VLOOKUP($B84,Totalt!$B$1:$AQ$554,MATCH(Z$2,Totalt!$B$1:$AQ$1,0),FALSE),"")</f>
        <v>0.497</v>
      </c>
      <c r="AA84" s="173">
        <f>IFERROR(VLOOKUP($B84,Totalt!$B$1:$AQ$554,MATCH(AA$2,Totalt!$B$1:$AQ$1,0),FALSE),"")</f>
        <v>0</v>
      </c>
      <c r="AB84" s="173">
        <f>IFERROR(VLOOKUP($B84,Totalt!$B$1:$AQ$554,MATCH(AB$2,Totalt!$B$1:$AQ$1,0),FALSE),"")</f>
        <v>0</v>
      </c>
      <c r="AC84" s="173">
        <f>IFERROR(VLOOKUP($B84,Totalt!$B$1:$AQ$554,MATCH(AC$2,Totalt!$B$1:$AQ$1,0),FALSE),"")</f>
        <v>0</v>
      </c>
      <c r="AD84" s="173">
        <f>IFERROR(VLOOKUP($B84,Totalt!$B$1:$AQ$554,MATCH(AD$2,Totalt!$B$1:$AQ$1,0),FALSE),"")</f>
        <v>0</v>
      </c>
      <c r="AE84" s="173">
        <f>IFERROR(VLOOKUP($B84,Totalt!$B$1:$AQ$554,MATCH(AE$2,Totalt!$B$1:$AQ$1,0),FALSE),"")</f>
        <v>0</v>
      </c>
      <c r="AF84" s="173">
        <f>IFERROR(VLOOKUP($B84,Totalt!$B$1:$AQ$554,MATCH(AF$2,Totalt!$B$1:$AQ$1,0),FALSE),"")</f>
        <v>6.4649999999999999E-2</v>
      </c>
      <c r="AG84" s="173">
        <f>IFERROR(VLOOKUP($B84,Totalt!$B$1:$AQ$554,MATCH(AG$2,Totalt!$B$1:$AQ$1,0),FALSE),"")</f>
        <v>0</v>
      </c>
      <c r="AI84" s="226">
        <f t="shared" si="6"/>
        <v>2.54765</v>
      </c>
      <c r="AJ84" s="226">
        <f>IF(ISERROR(1/VLOOKUP($B84,Leveranser!$B$1:$S$500,MATCH("såld värme (gwh)",Leveranser!$B$1:$S$1,0),FALSE)),"",VLOOKUP($B84,Leveranser!$B$1:$S$500,MATCH("såld värme (gwh)",Leveranser!$B$1:$S$1,0),FALSE))</f>
        <v>2.1549999999999998</v>
      </c>
      <c r="AM84" s="227" t="str">
        <f>IF(B84&lt;&gt;"",IF(VLOOKUP($B84,Totalt!$B$1:$AQ$554,MATCH("Kvalitetsgranskad:",Totalt!$B$1:$AQ$1,0),FALSE)="ja",VLOOKUP($B84,Miljö!$B$1:$AG$479,MATCH(AM$2,Miljö!$B$1:$AK$1,0),FALSE),""),"")</f>
        <v>Ja</v>
      </c>
      <c r="AN84" s="227" t="str">
        <f>IF(AM84="ja",VLOOKUP($B84,Miljö!$B$1:$J$479,MATCH("Typ av ursprungsspecificerad el   (Om inget värde anges används Nordisk residualmix, se inforuta) ()",Miljö!$B$1:$J$1,0),FALSE),IF(AM84="nej","Nordisk residualel",""))</f>
        <v>'förnybar'</v>
      </c>
      <c r="AO84" s="227">
        <f>IF(AM84="","",VLOOKUP($B84,Miljö!$B$1:$J$479,MATCH("Fossilandel för ursprungspecificerad el ()",Miljö!$B$1:$J$1,0),FALSE))</f>
        <v>0</v>
      </c>
      <c r="AP84" s="227">
        <f>IF(AM84="","",IFERROR(VLOOKUP($B84,Miljö!$B$1:$J$479,MATCH("Kärnkraftsandel för ursprungsspecificerad el ()",Miljö!$B$1:$J$1,0),FALSE)/1,0))</f>
        <v>0</v>
      </c>
      <c r="AQ84" s="227">
        <f t="shared" si="7"/>
        <v>1</v>
      </c>
      <c r="AR84" s="227"/>
      <c r="AS84" s="227" t="str">
        <f t="shared" si="8"/>
        <v>Nej</v>
      </c>
      <c r="AT84" s="227" t="str">
        <f>IF(AS84="ja",VLOOKUP($B84,Miljö!$B$1:$O$500,MATCH("Fossil andel i procent (%)",Miljö!$B$1:$O$1,0),FALSE)/100,"")</f>
        <v/>
      </c>
      <c r="AU84" s="227"/>
      <c r="AV84" s="227" t="str">
        <f t="shared" si="9"/>
        <v>Nej</v>
      </c>
      <c r="AW84" s="227" t="str">
        <f>IF(AV84="ja",VLOOKUP($B84,'Egen hetvattenprod'!$B$1:$AO$500,MATCH("Värmekälla till värmepumpar ()",'Egen hetvattenprod'!$B$1:$AO$1,0),FALSE),"")</f>
        <v/>
      </c>
      <c r="AX84" s="227"/>
      <c r="AY84" s="227" t="str">
        <f t="shared" si="10"/>
        <v>Nej</v>
      </c>
      <c r="AZ84" s="228" t="str">
        <f>IF($AY84="ja",(VLOOKUP($B84,'Egen hetvattenprod'!$B$1:$BX$550,MATCH(AZ$2,'Egen hetvattenprod'!$B$1:$BX$1,0),FALSE)+VLOOKUP($B84,Kraftvärmeprod!$B$1:$BX$550,MATCH(AZ$2,Kraftvärmeprod!$B$1:$BX$1,0),FALSE))/$AC84,"")</f>
        <v/>
      </c>
      <c r="BA84" s="228" t="str">
        <f>IF($AY84="ja",(VLOOKUP($B84,'Egen hetvattenprod'!$B$1:$BX$550,MATCH(BA$2,'Egen hetvattenprod'!$B$1:$BX$1,0),FALSE)+VLOOKUP($B84,Kraftvärmeprod!$B$1:$BX$550,MATCH(BA$2,Kraftvärmeprod!$B$1:$BX$1,0),FALSE))/$AC84,"")</f>
        <v/>
      </c>
      <c r="BB84" s="228" t="str">
        <f>IF($AY84="ja",(VLOOKUP($B84,'Egen hetvattenprod'!$B$1:$BX$550,MATCH(BB$2,'Egen hetvattenprod'!$B$1:$BX$1,0),FALSE)+VLOOKUP($B84,Kraftvärmeprod!$B$1:$BX$550,MATCH(BB$2,Kraftvärmeprod!$B$1:$BX$1,0),FALSE))/$AC84,"")</f>
        <v/>
      </c>
      <c r="BC84" s="228" t="str">
        <f>IF($AY84="ja",(VLOOKUP($B84,'Egen hetvattenprod'!$B$1:$BX$550,MATCH(BC$2,'Egen hetvattenprod'!$B$1:$BX$1,0),FALSE)+VLOOKUP($B84,Kraftvärmeprod!$B$1:$BX$550,MATCH(BC$2,Kraftvärmeprod!$B$1:$BX$1,0),FALSE))/$AC84,"")</f>
        <v/>
      </c>
      <c r="BD84" s="228" t="str">
        <f>IF($AY84="ja",(VLOOKUP($B84,'Egen hetvattenprod'!$B$1:$BX$550,MATCH(BD$2,'Egen hetvattenprod'!$B$1:$BX$1,0),FALSE)+VLOOKUP($B84,Kraftvärmeprod!$B$1:$BX$550,MATCH(BD$2,Kraftvärmeprod!$B$1:$BX$1,0),FALSE))/$AC84,"")</f>
        <v/>
      </c>
      <c r="BE84" s="227"/>
      <c r="BF84" s="227" t="str">
        <f t="shared" si="11"/>
        <v>Nej</v>
      </c>
      <c r="BG84" s="227" t="str">
        <f>IF($BF84="ja",VLOOKUP($B84,'Egen hetvattenprod'!$B$1:$BX$550,MATCH("Andelen klimatgaser med fossilt ursprung för avfall ()",'Egen hetvattenprod'!$B$1:$BX$1,0),FALSE),"")</f>
        <v/>
      </c>
      <c r="BH84" s="227" t="str">
        <f>IF($BF84="ja",VLOOKUP($B84,Kraftvärmeprod!$B$1:$BX$550,MATCH("Andelen klimatgaser med fossilt ursprung för avfall ()",Kraftvärmeprod!$B$1:$BX$1,0),FALSE),"")</f>
        <v/>
      </c>
      <c r="BI84" s="227" t="str">
        <f>IF($BF84="ja",VLOOKUP($B84,'Egen hetvattenprod'!$B$1:$BX$550,MATCH("Avfall (GWh)",'Egen hetvattenprod'!$B$1:$BX$1,0),FALSE),"")</f>
        <v/>
      </c>
      <c r="BJ84" s="227" t="str">
        <f>IF($BF84="ja",VLOOKUP($B84,'Slutlig allokering kvv'!$B$1:$BX$550,MATCH("Avfall (GWh)",'Slutlig allokering kvv'!$B$1:$BX$1,0),FALSE),"")</f>
        <v/>
      </c>
      <c r="BK84" s="227" t="str">
        <f>IF($BF84="ja",VLOOKUP($B84,'Köpt hetvatten'!$B$1:$BX$550,MATCH("Avfall i köpt hetvatten",'Köpt hetvatten'!$B$1:$BX$1,0),FALSE),"")</f>
        <v/>
      </c>
      <c r="BL84" s="227" t="str">
        <f>IF($BF84="ja",VLOOKUP($B84,'Egen hetvattenprod'!$B$1:$BX$550,MATCH("Värde enligt ovan. (%)",'Egen hetvattenprod'!$B$1:$BX$1,0),FALSE),"")</f>
        <v/>
      </c>
      <c r="BM84" s="227" t="str">
        <f>IF($BF84="ja",VLOOKUP($B84,Kraftvärmeprod!$B$1:$BX$550,MATCH("Värde enligt ovan. (%)",Kraftvärmeprod!$B$1:$BX$1,0),FALSE),"")</f>
        <v/>
      </c>
      <c r="BN84" s="227"/>
      <c r="BO84" s="227"/>
      <c r="BP84" s="227"/>
      <c r="BQ84" s="227" t="str">
        <f>IF($BF84="ja",VLOOKUP($B84,'Egen hetvattenprod'!$B$1:$BX$550,MATCH("Tillförd olja (fossil) vid avfallsförbränning (GWh)",'Egen hetvattenprod'!$B$1:$BX$1,0),FALSE),"")</f>
        <v/>
      </c>
      <c r="BR84" s="227" t="str">
        <f>IF($BF84="ja",VLOOKUP($B84,Kraftvärmeprod!$B$1:$BX$550,MATCH("Tillförd olja (fossil) vid avfallsförbränning (GWh)",Kraftvärmeprod!$B$1:$BX$1,0),FALSE),"")</f>
        <v/>
      </c>
      <c r="BS84" s="227"/>
      <c r="BT84" s="227"/>
      <c r="BU84" s="227"/>
    </row>
    <row r="85" spans="1:73" x14ac:dyDescent="0.25">
      <c r="A85" s="121" t="str">
        <f>'Miljövärden för publ företag'!B88</f>
        <v>Gotlands Energi AB</v>
      </c>
      <c r="B85" s="121" t="str">
        <f>'Miljövärden för publ företag'!C88</f>
        <v>Hemse</v>
      </c>
      <c r="C85" s="173">
        <f>IFERROR(VLOOKUP($B85,Totalt!$B$1:$AQ$554,MATCH(C$2,Totalt!$B$1:$AQ$1,0),FALSE),"")</f>
        <v>0</v>
      </c>
      <c r="D85" s="173">
        <f>IFERROR(VLOOKUP($B85,Totalt!$B$1:$AQ$554,MATCH(D$2,Totalt!$B$1:$AQ$1,0),FALSE),"")</f>
        <v>0.316</v>
      </c>
      <c r="E85" s="173">
        <f>IFERROR(VLOOKUP($B85,Totalt!$B$1:$AQ$554,MATCH(E$2,Totalt!$B$1:$AQ$1,0),FALSE),"")</f>
        <v>0</v>
      </c>
      <c r="F85" s="173">
        <f>IFERROR(VLOOKUP($B85,Totalt!$B$1:$AQ$554,MATCH(F$2,Totalt!$B$1:$AQ$1,0),FALSE),"")</f>
        <v>0</v>
      </c>
      <c r="G85" s="173">
        <f>IFERROR(VLOOKUP($B85,Totalt!$B$1:$AQ$554,MATCH(G$2,Totalt!$B$1:$AQ$1,0),FALSE),"")</f>
        <v>0</v>
      </c>
      <c r="H85" s="173">
        <f>IFERROR(VLOOKUP($B85,Totalt!$B$1:$AQ$554,MATCH(H$2,Totalt!$B$1:$AQ$1,0),FALSE),"")</f>
        <v>0</v>
      </c>
      <c r="I85" s="173">
        <f>IFERROR(VLOOKUP($B85,Totalt!$B$1:$AQ$554,MATCH(I$2,Totalt!$B$1:$AQ$1,0),FALSE),"")</f>
        <v>0</v>
      </c>
      <c r="J85" s="173">
        <f>IFERROR(VLOOKUP($B85,Totalt!$B$1:$AQ$554,MATCH(J$2,Totalt!$B$1:$AQ$1,0),FALSE),"")</f>
        <v>0</v>
      </c>
      <c r="K85" s="173">
        <f>IFERROR(VLOOKUP($B85,Totalt!$B$1:$AQ$554,MATCH(K$2,Totalt!$B$1:$AQ$1,0),FALSE),"")</f>
        <v>0</v>
      </c>
      <c r="L85" s="173">
        <f>IFERROR(VLOOKUP($B85,Totalt!$B$1:$AQ$554,MATCH(L$2,Totalt!$B$1:$AQ$1,0),FALSE),"")</f>
        <v>0</v>
      </c>
      <c r="M85" s="173">
        <f>IFERROR(VLOOKUP($B85,Totalt!$B$1:$AQ$554,MATCH(M$2,Totalt!$B$1:$AQ$1,0),FALSE),"")</f>
        <v>0</v>
      </c>
      <c r="N85" s="173">
        <f>IFERROR(VLOOKUP($B85,Totalt!$B$1:$AQ$554,MATCH(N$2,Totalt!$B$1:$AQ$1,0),FALSE),"")</f>
        <v>13.849</v>
      </c>
      <c r="O85" s="173">
        <f>IFERROR(VLOOKUP($B85,Totalt!$B$1:$AQ$554,MATCH(O$2,Totalt!$B$1:$AQ$1,0),FALSE),"")</f>
        <v>0</v>
      </c>
      <c r="P85" s="173">
        <f>IFERROR(VLOOKUP($B85,Totalt!$B$1:$AQ$554,MATCH(P$2,Totalt!$B$1:$AQ$1,0),FALSE),"")</f>
        <v>0</v>
      </c>
      <c r="Q85" s="173">
        <f>IFERROR(VLOOKUP($B85,Totalt!$B$1:$AQ$554,MATCH(Q$2,Totalt!$B$1:$AQ$1,0),FALSE),"")</f>
        <v>0</v>
      </c>
      <c r="R85" s="173">
        <f>IFERROR(VLOOKUP($B85,Totalt!$B$1:$AQ$554,MATCH(R$2,Totalt!$B$1:$AQ$1,0),FALSE),"")</f>
        <v>0</v>
      </c>
      <c r="S85" s="173">
        <f>IFERROR(VLOOKUP($B85,Totalt!$B$1:$AQ$554,MATCH(S$2,Totalt!$B$1:$AQ$1,0),FALSE),"")</f>
        <v>0</v>
      </c>
      <c r="T85" s="173">
        <f>IFERROR(VLOOKUP($B85,Totalt!$B$1:$AQ$554,MATCH(T$2,Totalt!$B$1:$AQ$1,0),FALSE),"")</f>
        <v>0</v>
      </c>
      <c r="U85" s="173">
        <f>IFERROR(VLOOKUP($B85,Totalt!$B$1:$AQ$554,MATCH(U$2,Totalt!$B$1:$AQ$1,0),FALSE),"")</f>
        <v>0</v>
      </c>
      <c r="V85" s="173">
        <f>IFERROR(VLOOKUP($B85,Totalt!$B$1:$AQ$554,MATCH(V$2,Totalt!$B$1:$AQ$1,0),FALSE),"")</f>
        <v>0</v>
      </c>
      <c r="W85" s="173">
        <f>IFERROR(VLOOKUP($B85,Totalt!$B$1:$AQ$554,MATCH(W$2,Totalt!$B$1:$AQ$1,0),FALSE),"")</f>
        <v>0</v>
      </c>
      <c r="X85" s="173">
        <f>IFERROR(VLOOKUP($B85,Totalt!$B$1:$AQ$554,MATCH(X$2,Totalt!$B$1:$AQ$1,0),FALSE),"")</f>
        <v>0</v>
      </c>
      <c r="Y85" s="173">
        <f>IFERROR(VLOOKUP($B85,Totalt!$B$1:$AQ$554,MATCH(Y$2,Totalt!$B$1:$AQ$1,0),FALSE),"")</f>
        <v>0</v>
      </c>
      <c r="Z85" s="173">
        <f>IFERROR(VLOOKUP($B85,Totalt!$B$1:$AQ$554,MATCH(Z$2,Totalt!$B$1:$AQ$1,0),FALSE),"")</f>
        <v>0</v>
      </c>
      <c r="AA85" s="173">
        <f>IFERROR(VLOOKUP($B85,Totalt!$B$1:$AQ$554,MATCH(AA$2,Totalt!$B$1:$AQ$1,0),FALSE),"")</f>
        <v>0</v>
      </c>
      <c r="AB85" s="173">
        <f>IFERROR(VLOOKUP($B85,Totalt!$B$1:$AQ$554,MATCH(AB$2,Totalt!$B$1:$AQ$1,0),FALSE),"")</f>
        <v>0</v>
      </c>
      <c r="AC85" s="173">
        <f>IFERROR(VLOOKUP($B85,Totalt!$B$1:$AQ$554,MATCH(AC$2,Totalt!$B$1:$AQ$1,0),FALSE),"")</f>
        <v>0</v>
      </c>
      <c r="AD85" s="173">
        <f>IFERROR(VLOOKUP($B85,Totalt!$B$1:$AQ$554,MATCH(AD$2,Totalt!$B$1:$AQ$1,0),FALSE),"")</f>
        <v>0</v>
      </c>
      <c r="AE85" s="173">
        <f>IFERROR(VLOOKUP($B85,Totalt!$B$1:$AQ$554,MATCH(AE$2,Totalt!$B$1:$AQ$1,0),FALSE),"")</f>
        <v>0</v>
      </c>
      <c r="AF85" s="173">
        <f>IFERROR(VLOOKUP($B85,Totalt!$B$1:$AQ$554,MATCH(AF$2,Totalt!$B$1:$AQ$1,0),FALSE),"")</f>
        <v>0.35457</v>
      </c>
      <c r="AG85" s="173">
        <f>IFERROR(VLOOKUP($B85,Totalt!$B$1:$AQ$554,MATCH(AG$2,Totalt!$B$1:$AQ$1,0),FALSE),"")</f>
        <v>0</v>
      </c>
      <c r="AI85" s="226">
        <f t="shared" si="6"/>
        <v>14.519570000000002</v>
      </c>
      <c r="AJ85" s="226">
        <f>IF(ISERROR(1/VLOOKUP($B85,Leveranser!$B$1:$S$500,MATCH("såld värme (gwh)",Leveranser!$B$1:$S$1,0),FALSE)),"",VLOOKUP($B85,Leveranser!$B$1:$S$500,MATCH("såld värme (gwh)",Leveranser!$B$1:$S$1,0),FALSE))</f>
        <v>11.819000000000001</v>
      </c>
      <c r="AM85" s="227" t="str">
        <f>IF(B85&lt;&gt;"",IF(VLOOKUP($B85,Totalt!$B$1:$AQ$554,MATCH("Kvalitetsgranskad:",Totalt!$B$1:$AQ$1,0),FALSE)="ja",VLOOKUP($B85,Miljö!$B$1:$AG$479,MATCH(AM$2,Miljö!$B$1:$AK$1,0),FALSE),""),"")</f>
        <v>Ja</v>
      </c>
      <c r="AN85" s="227" t="str">
        <f>IF(AM85="ja",VLOOKUP($B85,Miljö!$B$1:$J$479,MATCH("Typ av ursprungsspecificerad el   (Om inget värde anges används Nordisk residualmix, se inforuta) ()",Miljö!$B$1:$J$1,0),FALSE),IF(AM85="nej","Nordisk residualel",""))</f>
        <v>'EPD-EL Miljöcertifierad Vattenkraft'</v>
      </c>
      <c r="AO85" s="227">
        <f>IF(AM85="","",VLOOKUP($B85,Miljö!$B$1:$J$479,MATCH("Fossilandel för ursprungspecificerad el ()",Miljö!$B$1:$J$1,0),FALSE))</f>
        <v>0</v>
      </c>
      <c r="AP85" s="227">
        <f>IF(AM85="","",IFERROR(VLOOKUP($B85,Miljö!$B$1:$J$479,MATCH("Kärnkraftsandel för ursprungsspecificerad el ()",Miljö!$B$1:$J$1,0),FALSE)/1,0))</f>
        <v>0</v>
      </c>
      <c r="AQ85" s="227">
        <f t="shared" si="7"/>
        <v>1</v>
      </c>
      <c r="AR85" s="227"/>
      <c r="AS85" s="227" t="str">
        <f t="shared" si="8"/>
        <v>Nej</v>
      </c>
      <c r="AT85" s="227" t="str">
        <f>IF(AS85="ja",VLOOKUP($B85,Miljö!$B$1:$O$500,MATCH("Fossil andel i procent (%)",Miljö!$B$1:$O$1,0),FALSE)/100,"")</f>
        <v/>
      </c>
      <c r="AU85" s="227"/>
      <c r="AV85" s="227" t="str">
        <f t="shared" si="9"/>
        <v>Nej</v>
      </c>
      <c r="AW85" s="227" t="str">
        <f>IF(AV85="ja",VLOOKUP($B85,'Egen hetvattenprod'!$B$1:$AO$500,MATCH("Värmekälla till värmepumpar ()",'Egen hetvattenprod'!$B$1:$AO$1,0),FALSE),"")</f>
        <v/>
      </c>
      <c r="AX85" s="227"/>
      <c r="AY85" s="227" t="str">
        <f t="shared" si="10"/>
        <v>Nej</v>
      </c>
      <c r="AZ85" s="228" t="str">
        <f>IF($AY85="ja",(VLOOKUP($B85,'Egen hetvattenprod'!$B$1:$BX$550,MATCH(AZ$2,'Egen hetvattenprod'!$B$1:$BX$1,0),FALSE)+VLOOKUP($B85,Kraftvärmeprod!$B$1:$BX$550,MATCH(AZ$2,Kraftvärmeprod!$B$1:$BX$1,0),FALSE))/$AC85,"")</f>
        <v/>
      </c>
      <c r="BA85" s="228" t="str">
        <f>IF($AY85="ja",(VLOOKUP($B85,'Egen hetvattenprod'!$B$1:$BX$550,MATCH(BA$2,'Egen hetvattenprod'!$B$1:$BX$1,0),FALSE)+VLOOKUP($B85,Kraftvärmeprod!$B$1:$BX$550,MATCH(BA$2,Kraftvärmeprod!$B$1:$BX$1,0),FALSE))/$AC85,"")</f>
        <v/>
      </c>
      <c r="BB85" s="228" t="str">
        <f>IF($AY85="ja",(VLOOKUP($B85,'Egen hetvattenprod'!$B$1:$BX$550,MATCH(BB$2,'Egen hetvattenprod'!$B$1:$BX$1,0),FALSE)+VLOOKUP($B85,Kraftvärmeprod!$B$1:$BX$550,MATCH(BB$2,Kraftvärmeprod!$B$1:$BX$1,0),FALSE))/$AC85,"")</f>
        <v/>
      </c>
      <c r="BC85" s="228" t="str">
        <f>IF($AY85="ja",(VLOOKUP($B85,'Egen hetvattenprod'!$B$1:$BX$550,MATCH(BC$2,'Egen hetvattenprod'!$B$1:$BX$1,0),FALSE)+VLOOKUP($B85,Kraftvärmeprod!$B$1:$BX$550,MATCH(BC$2,Kraftvärmeprod!$B$1:$BX$1,0),FALSE))/$AC85,"")</f>
        <v/>
      </c>
      <c r="BD85" s="228" t="str">
        <f>IF($AY85="ja",(VLOOKUP($B85,'Egen hetvattenprod'!$B$1:$BX$550,MATCH(BD$2,'Egen hetvattenprod'!$B$1:$BX$1,0),FALSE)+VLOOKUP($B85,Kraftvärmeprod!$B$1:$BX$550,MATCH(BD$2,Kraftvärmeprod!$B$1:$BX$1,0),FALSE))/$AC85,"")</f>
        <v/>
      </c>
      <c r="BE85" s="227"/>
      <c r="BF85" s="227" t="str">
        <f t="shared" si="11"/>
        <v>Nej</v>
      </c>
      <c r="BG85" s="227" t="str">
        <f>IF($BF85="ja",VLOOKUP($B85,'Egen hetvattenprod'!$B$1:$BX$550,MATCH("Andelen klimatgaser med fossilt ursprung för avfall ()",'Egen hetvattenprod'!$B$1:$BX$1,0),FALSE),"")</f>
        <v/>
      </c>
      <c r="BH85" s="227" t="str">
        <f>IF($BF85="ja",VLOOKUP($B85,Kraftvärmeprod!$B$1:$BX$550,MATCH("Andelen klimatgaser med fossilt ursprung för avfall ()",Kraftvärmeprod!$B$1:$BX$1,0),FALSE),"")</f>
        <v/>
      </c>
      <c r="BI85" s="227" t="str">
        <f>IF($BF85="ja",VLOOKUP($B85,'Egen hetvattenprod'!$B$1:$BX$550,MATCH("Avfall (GWh)",'Egen hetvattenprod'!$B$1:$BX$1,0),FALSE),"")</f>
        <v/>
      </c>
      <c r="BJ85" s="227" t="str">
        <f>IF($BF85="ja",VLOOKUP($B85,'Slutlig allokering kvv'!$B$1:$BX$550,MATCH("Avfall (GWh)",'Slutlig allokering kvv'!$B$1:$BX$1,0),FALSE),"")</f>
        <v/>
      </c>
      <c r="BK85" s="227" t="str">
        <f>IF($BF85="ja",VLOOKUP($B85,'Köpt hetvatten'!$B$1:$BX$550,MATCH("Avfall i köpt hetvatten",'Köpt hetvatten'!$B$1:$BX$1,0),FALSE),"")</f>
        <v/>
      </c>
      <c r="BL85" s="227" t="str">
        <f>IF($BF85="ja",VLOOKUP($B85,'Egen hetvattenprod'!$B$1:$BX$550,MATCH("Värde enligt ovan. (%)",'Egen hetvattenprod'!$B$1:$BX$1,0),FALSE),"")</f>
        <v/>
      </c>
      <c r="BM85" s="227" t="str">
        <f>IF($BF85="ja",VLOOKUP($B85,Kraftvärmeprod!$B$1:$BX$550,MATCH("Värde enligt ovan. (%)",Kraftvärmeprod!$B$1:$BX$1,0),FALSE),"")</f>
        <v/>
      </c>
      <c r="BN85" s="227"/>
      <c r="BO85" s="227"/>
      <c r="BP85" s="227"/>
      <c r="BQ85" s="227" t="str">
        <f>IF($BF85="ja",VLOOKUP($B85,'Egen hetvattenprod'!$B$1:$BX$550,MATCH("Tillförd olja (fossil) vid avfallsförbränning (GWh)",'Egen hetvattenprod'!$B$1:$BX$1,0),FALSE),"")</f>
        <v/>
      </c>
      <c r="BR85" s="227" t="str">
        <f>IF($BF85="ja",VLOOKUP($B85,Kraftvärmeprod!$B$1:$BX$550,MATCH("Tillförd olja (fossil) vid avfallsförbränning (GWh)",Kraftvärmeprod!$B$1:$BX$1,0),FALSE),"")</f>
        <v/>
      </c>
      <c r="BS85" s="227"/>
      <c r="BT85" s="227"/>
      <c r="BU85" s="227"/>
    </row>
    <row r="86" spans="1:73" x14ac:dyDescent="0.25">
      <c r="A86" s="121" t="str">
        <f>'Miljövärden för publ företag'!B89</f>
        <v>Gotlands Energi AB</v>
      </c>
      <c r="B86" s="121" t="str">
        <f>'Miljövärden för publ företag'!C89</f>
        <v>Klintehamn</v>
      </c>
      <c r="C86" s="173">
        <f>IFERROR(VLOOKUP($B86,Totalt!$B$1:$AQ$554,MATCH(C$2,Totalt!$B$1:$AQ$1,0),FALSE),"")</f>
        <v>0</v>
      </c>
      <c r="D86" s="173">
        <f>IFERROR(VLOOKUP($B86,Totalt!$B$1:$AQ$554,MATCH(D$2,Totalt!$B$1:$AQ$1,0),FALSE),"")</f>
        <v>0.28899999999999998</v>
      </c>
      <c r="E86" s="173">
        <f>IFERROR(VLOOKUP($B86,Totalt!$B$1:$AQ$554,MATCH(E$2,Totalt!$B$1:$AQ$1,0),FALSE),"")</f>
        <v>0</v>
      </c>
      <c r="F86" s="173">
        <f>IFERROR(VLOOKUP($B86,Totalt!$B$1:$AQ$554,MATCH(F$2,Totalt!$B$1:$AQ$1,0),FALSE),"")</f>
        <v>0</v>
      </c>
      <c r="G86" s="173">
        <f>IFERROR(VLOOKUP($B86,Totalt!$B$1:$AQ$554,MATCH(G$2,Totalt!$B$1:$AQ$1,0),FALSE),"")</f>
        <v>0</v>
      </c>
      <c r="H86" s="173">
        <f>IFERROR(VLOOKUP($B86,Totalt!$B$1:$AQ$554,MATCH(H$2,Totalt!$B$1:$AQ$1,0),FALSE),"")</f>
        <v>0</v>
      </c>
      <c r="I86" s="173">
        <f>IFERROR(VLOOKUP($B86,Totalt!$B$1:$AQ$554,MATCH(I$2,Totalt!$B$1:$AQ$1,0),FALSE),"")</f>
        <v>0</v>
      </c>
      <c r="J86" s="173">
        <f>IFERROR(VLOOKUP($B86,Totalt!$B$1:$AQ$554,MATCH(J$2,Totalt!$B$1:$AQ$1,0),FALSE),"")</f>
        <v>0</v>
      </c>
      <c r="K86" s="173">
        <f>IFERROR(VLOOKUP($B86,Totalt!$B$1:$AQ$554,MATCH(K$2,Totalt!$B$1:$AQ$1,0),FALSE),"")</f>
        <v>0</v>
      </c>
      <c r="L86" s="173">
        <f>IFERROR(VLOOKUP($B86,Totalt!$B$1:$AQ$554,MATCH(L$2,Totalt!$B$1:$AQ$1,0),FALSE),"")</f>
        <v>0</v>
      </c>
      <c r="M86" s="173">
        <f>IFERROR(VLOOKUP($B86,Totalt!$B$1:$AQ$554,MATCH(M$2,Totalt!$B$1:$AQ$1,0),FALSE),"")</f>
        <v>0</v>
      </c>
      <c r="N86" s="173">
        <f>IFERROR(VLOOKUP($B86,Totalt!$B$1:$AQ$554,MATCH(N$2,Totalt!$B$1:$AQ$1,0),FALSE),"")</f>
        <v>0</v>
      </c>
      <c r="O86" s="173">
        <f>IFERROR(VLOOKUP($B86,Totalt!$B$1:$AQ$554,MATCH(O$2,Totalt!$B$1:$AQ$1,0),FALSE),"")</f>
        <v>0</v>
      </c>
      <c r="P86" s="173">
        <f>IFERROR(VLOOKUP($B86,Totalt!$B$1:$AQ$554,MATCH(P$2,Totalt!$B$1:$AQ$1,0),FALSE),"")</f>
        <v>0</v>
      </c>
      <c r="Q86" s="173">
        <f>IFERROR(VLOOKUP($B86,Totalt!$B$1:$AQ$554,MATCH(Q$2,Totalt!$B$1:$AQ$1,0),FALSE),"")</f>
        <v>0</v>
      </c>
      <c r="R86" s="173">
        <f>IFERROR(VLOOKUP($B86,Totalt!$B$1:$AQ$554,MATCH(R$2,Totalt!$B$1:$AQ$1,0),FALSE),"")</f>
        <v>0</v>
      </c>
      <c r="S86" s="173">
        <f>IFERROR(VLOOKUP($B86,Totalt!$B$1:$AQ$554,MATCH(S$2,Totalt!$B$1:$AQ$1,0),FALSE),"")</f>
        <v>0</v>
      </c>
      <c r="T86" s="173">
        <f>IFERROR(VLOOKUP($B86,Totalt!$B$1:$AQ$554,MATCH(T$2,Totalt!$B$1:$AQ$1,0),FALSE),"")</f>
        <v>0</v>
      </c>
      <c r="U86" s="173">
        <f>IFERROR(VLOOKUP($B86,Totalt!$B$1:$AQ$554,MATCH(U$2,Totalt!$B$1:$AQ$1,0),FALSE),"")</f>
        <v>0</v>
      </c>
      <c r="V86" s="173">
        <f>IFERROR(VLOOKUP($B86,Totalt!$B$1:$AQ$554,MATCH(V$2,Totalt!$B$1:$AQ$1,0),FALSE),"")</f>
        <v>0</v>
      </c>
      <c r="W86" s="173">
        <f>IFERROR(VLOOKUP($B86,Totalt!$B$1:$AQ$554,MATCH(W$2,Totalt!$B$1:$AQ$1,0),FALSE),"")</f>
        <v>0</v>
      </c>
      <c r="X86" s="173">
        <f>IFERROR(VLOOKUP($B86,Totalt!$B$1:$AQ$554,MATCH(X$2,Totalt!$B$1:$AQ$1,0),FALSE),"")</f>
        <v>9.9623500000000007</v>
      </c>
      <c r="Y86" s="173">
        <f>IFERROR(VLOOKUP($B86,Totalt!$B$1:$AQ$554,MATCH(Y$2,Totalt!$B$1:$AQ$1,0),FALSE),"")</f>
        <v>0</v>
      </c>
      <c r="Z86" s="173">
        <f>IFERROR(VLOOKUP($B86,Totalt!$B$1:$AQ$554,MATCH(Z$2,Totalt!$B$1:$AQ$1,0),FALSE),"")</f>
        <v>0</v>
      </c>
      <c r="AA86" s="173">
        <f>IFERROR(VLOOKUP($B86,Totalt!$B$1:$AQ$554,MATCH(AA$2,Totalt!$B$1:$AQ$1,0),FALSE),"")</f>
        <v>0</v>
      </c>
      <c r="AB86" s="173">
        <f>IFERROR(VLOOKUP($B86,Totalt!$B$1:$AQ$554,MATCH(AB$2,Totalt!$B$1:$AQ$1,0),FALSE),"")</f>
        <v>0</v>
      </c>
      <c r="AC86" s="173">
        <f>IFERROR(VLOOKUP($B86,Totalt!$B$1:$AQ$554,MATCH(AC$2,Totalt!$B$1:$AQ$1,0),FALSE),"")</f>
        <v>0</v>
      </c>
      <c r="AD86" s="173">
        <f>IFERROR(VLOOKUP($B86,Totalt!$B$1:$AQ$554,MATCH(AD$2,Totalt!$B$1:$AQ$1,0),FALSE),"")</f>
        <v>0</v>
      </c>
      <c r="AE86" s="173">
        <f>IFERROR(VLOOKUP($B86,Totalt!$B$1:$AQ$554,MATCH(AE$2,Totalt!$B$1:$AQ$1,0),FALSE),"")</f>
        <v>0</v>
      </c>
      <c r="AF86" s="173">
        <f>IFERROR(VLOOKUP($B86,Totalt!$B$1:$AQ$554,MATCH(AF$2,Totalt!$B$1:$AQ$1,0),FALSE),"")</f>
        <v>0.21446999999999999</v>
      </c>
      <c r="AG86" s="173">
        <f>IFERROR(VLOOKUP($B86,Totalt!$B$1:$AQ$554,MATCH(AG$2,Totalt!$B$1:$AQ$1,0),FALSE),"")</f>
        <v>0</v>
      </c>
      <c r="AI86" s="226">
        <f t="shared" si="6"/>
        <v>10.465820000000001</v>
      </c>
      <c r="AJ86" s="226">
        <f>IF(ISERROR(1/VLOOKUP($B86,Leveranser!$B$1:$S$500,MATCH("såld värme (gwh)",Leveranser!$B$1:$S$1,0),FALSE)),"",VLOOKUP($B86,Leveranser!$B$1:$S$500,MATCH("såld värme (gwh)",Leveranser!$B$1:$S$1,0),FALSE))</f>
        <v>7.149</v>
      </c>
      <c r="AM86" s="227" t="str">
        <f>IF(B86&lt;&gt;"",IF(VLOOKUP($B86,Totalt!$B$1:$AQ$554,MATCH("Kvalitetsgranskad:",Totalt!$B$1:$AQ$1,0),FALSE)="ja",VLOOKUP($B86,Miljö!$B$1:$AG$479,MATCH(AM$2,Miljö!$B$1:$AK$1,0),FALSE),""),"")</f>
        <v>Ja</v>
      </c>
      <c r="AN86" s="227" t="str">
        <f>IF(AM86="ja",VLOOKUP($B86,Miljö!$B$1:$J$479,MATCH("Typ av ursprungsspecificerad el   (Om inget värde anges används Nordisk residualmix, se inforuta) ()",Miljö!$B$1:$J$1,0),FALSE),IF(AM86="nej","Nordisk residualel",""))</f>
        <v>'EPD-EL Miljöcertifierad Vattenkraft'</v>
      </c>
      <c r="AO86" s="227">
        <f>IF(AM86="","",VLOOKUP($B86,Miljö!$B$1:$J$479,MATCH("Fossilandel för ursprungspecificerad el ()",Miljö!$B$1:$J$1,0),FALSE))</f>
        <v>0</v>
      </c>
      <c r="AP86" s="227">
        <f>IF(AM86="","",IFERROR(VLOOKUP($B86,Miljö!$B$1:$J$479,MATCH("Kärnkraftsandel för ursprungsspecificerad el ()",Miljö!$B$1:$J$1,0),FALSE)/1,0))</f>
        <v>0</v>
      </c>
      <c r="AQ86" s="227">
        <f t="shared" si="7"/>
        <v>1</v>
      </c>
      <c r="AR86" s="227"/>
      <c r="AS86" s="227" t="str">
        <f t="shared" si="8"/>
        <v>Nej</v>
      </c>
      <c r="AT86" s="227" t="str">
        <f>IF(AS86="ja",VLOOKUP($B86,Miljö!$B$1:$O$500,MATCH("Fossil andel i procent (%)",Miljö!$B$1:$O$1,0),FALSE)/100,"")</f>
        <v/>
      </c>
      <c r="AU86" s="227"/>
      <c r="AV86" s="227" t="str">
        <f t="shared" si="9"/>
        <v>Nej</v>
      </c>
      <c r="AW86" s="227" t="str">
        <f>IF(AV86="ja",VLOOKUP($B86,'Egen hetvattenprod'!$B$1:$AO$500,MATCH("Värmekälla till värmepumpar ()",'Egen hetvattenprod'!$B$1:$AO$1,0),FALSE),"")</f>
        <v/>
      </c>
      <c r="AX86" s="227"/>
      <c r="AY86" s="227" t="str">
        <f t="shared" si="10"/>
        <v>Nej</v>
      </c>
      <c r="AZ86" s="228" t="str">
        <f>IF($AY86="ja",(VLOOKUP($B86,'Egen hetvattenprod'!$B$1:$BX$550,MATCH(AZ$2,'Egen hetvattenprod'!$B$1:$BX$1,0),FALSE)+VLOOKUP($B86,Kraftvärmeprod!$B$1:$BX$550,MATCH(AZ$2,Kraftvärmeprod!$B$1:$BX$1,0),FALSE))/$AC86,"")</f>
        <v/>
      </c>
      <c r="BA86" s="228" t="str">
        <f>IF($AY86="ja",(VLOOKUP($B86,'Egen hetvattenprod'!$B$1:$BX$550,MATCH(BA$2,'Egen hetvattenprod'!$B$1:$BX$1,0),FALSE)+VLOOKUP($B86,Kraftvärmeprod!$B$1:$BX$550,MATCH(BA$2,Kraftvärmeprod!$B$1:$BX$1,0),FALSE))/$AC86,"")</f>
        <v/>
      </c>
      <c r="BB86" s="228" t="str">
        <f>IF($AY86="ja",(VLOOKUP($B86,'Egen hetvattenprod'!$B$1:$BX$550,MATCH(BB$2,'Egen hetvattenprod'!$B$1:$BX$1,0),FALSE)+VLOOKUP($B86,Kraftvärmeprod!$B$1:$BX$550,MATCH(BB$2,Kraftvärmeprod!$B$1:$BX$1,0),FALSE))/$AC86,"")</f>
        <v/>
      </c>
      <c r="BC86" s="228" t="str">
        <f>IF($AY86="ja",(VLOOKUP($B86,'Egen hetvattenprod'!$B$1:$BX$550,MATCH(BC$2,'Egen hetvattenprod'!$B$1:$BX$1,0),FALSE)+VLOOKUP($B86,Kraftvärmeprod!$B$1:$BX$550,MATCH(BC$2,Kraftvärmeprod!$B$1:$BX$1,0),FALSE))/$AC86,"")</f>
        <v/>
      </c>
      <c r="BD86" s="228" t="str">
        <f>IF($AY86="ja",(VLOOKUP($B86,'Egen hetvattenprod'!$B$1:$BX$550,MATCH(BD$2,'Egen hetvattenprod'!$B$1:$BX$1,0),FALSE)+VLOOKUP($B86,Kraftvärmeprod!$B$1:$BX$550,MATCH(BD$2,Kraftvärmeprod!$B$1:$BX$1,0),FALSE))/$AC86,"")</f>
        <v/>
      </c>
      <c r="BE86" s="227"/>
      <c r="BF86" s="227" t="str">
        <f t="shared" si="11"/>
        <v>Nej</v>
      </c>
      <c r="BG86" s="227" t="str">
        <f>IF($BF86="ja",VLOOKUP($B86,'Egen hetvattenprod'!$B$1:$BX$550,MATCH("Andelen klimatgaser med fossilt ursprung för avfall ()",'Egen hetvattenprod'!$B$1:$BX$1,0),FALSE),"")</f>
        <v/>
      </c>
      <c r="BH86" s="227" t="str">
        <f>IF($BF86="ja",VLOOKUP($B86,Kraftvärmeprod!$B$1:$BX$550,MATCH("Andelen klimatgaser med fossilt ursprung för avfall ()",Kraftvärmeprod!$B$1:$BX$1,0),FALSE),"")</f>
        <v/>
      </c>
      <c r="BI86" s="227" t="str">
        <f>IF($BF86="ja",VLOOKUP($B86,'Egen hetvattenprod'!$B$1:$BX$550,MATCH("Avfall (GWh)",'Egen hetvattenprod'!$B$1:$BX$1,0),FALSE),"")</f>
        <v/>
      </c>
      <c r="BJ86" s="227" t="str">
        <f>IF($BF86="ja",VLOOKUP($B86,'Slutlig allokering kvv'!$B$1:$BX$550,MATCH("Avfall (GWh)",'Slutlig allokering kvv'!$B$1:$BX$1,0),FALSE),"")</f>
        <v/>
      </c>
      <c r="BK86" s="227" t="str">
        <f>IF($BF86="ja",VLOOKUP($B86,'Köpt hetvatten'!$B$1:$BX$550,MATCH("Avfall i köpt hetvatten",'Köpt hetvatten'!$B$1:$BX$1,0),FALSE),"")</f>
        <v/>
      </c>
      <c r="BL86" s="227" t="str">
        <f>IF($BF86="ja",VLOOKUP($B86,'Egen hetvattenprod'!$B$1:$BX$550,MATCH("Värde enligt ovan. (%)",'Egen hetvattenprod'!$B$1:$BX$1,0),FALSE),"")</f>
        <v/>
      </c>
      <c r="BM86" s="227" t="str">
        <f>IF($BF86="ja",VLOOKUP($B86,Kraftvärmeprod!$B$1:$BX$550,MATCH("Värde enligt ovan. (%)",Kraftvärmeprod!$B$1:$BX$1,0),FALSE),"")</f>
        <v/>
      </c>
      <c r="BN86" s="227"/>
      <c r="BO86" s="227"/>
      <c r="BP86" s="227"/>
      <c r="BQ86" s="227" t="str">
        <f>IF($BF86="ja",VLOOKUP($B86,'Egen hetvattenprod'!$B$1:$BX$550,MATCH("Tillförd olja (fossil) vid avfallsförbränning (GWh)",'Egen hetvattenprod'!$B$1:$BX$1,0),FALSE),"")</f>
        <v/>
      </c>
      <c r="BR86" s="227" t="str">
        <f>IF($BF86="ja",VLOOKUP($B86,Kraftvärmeprod!$B$1:$BX$550,MATCH("Tillförd olja (fossil) vid avfallsförbränning (GWh)",Kraftvärmeprod!$B$1:$BX$1,0),FALSE),"")</f>
        <v/>
      </c>
      <c r="BS86" s="227"/>
      <c r="BT86" s="227"/>
      <c r="BU86" s="227"/>
    </row>
    <row r="87" spans="1:73" x14ac:dyDescent="0.25">
      <c r="A87" s="121" t="str">
        <f>'Miljövärden för publ företag'!B90</f>
        <v>Gotlands Energi AB</v>
      </c>
      <c r="B87" s="121" t="str">
        <f>'Miljövärden för publ företag'!C90</f>
        <v>Slite</v>
      </c>
      <c r="C87" s="173">
        <f>IFERROR(VLOOKUP($B87,Totalt!$B$1:$AQ$554,MATCH(C$2,Totalt!$B$1:$AQ$1,0),FALSE),"")</f>
        <v>0</v>
      </c>
      <c r="D87" s="173">
        <f>IFERROR(VLOOKUP($B87,Totalt!$B$1:$AQ$554,MATCH(D$2,Totalt!$B$1:$AQ$1,0),FALSE),"")</f>
        <v>0.246</v>
      </c>
      <c r="E87" s="173">
        <f>IFERROR(VLOOKUP($B87,Totalt!$B$1:$AQ$554,MATCH(E$2,Totalt!$B$1:$AQ$1,0),FALSE),"")</f>
        <v>0</v>
      </c>
      <c r="F87" s="173">
        <f>IFERROR(VLOOKUP($B87,Totalt!$B$1:$AQ$554,MATCH(F$2,Totalt!$B$1:$AQ$1,0),FALSE),"")</f>
        <v>0</v>
      </c>
      <c r="G87" s="173">
        <f>IFERROR(VLOOKUP($B87,Totalt!$B$1:$AQ$554,MATCH(G$2,Totalt!$B$1:$AQ$1,0),FALSE),"")</f>
        <v>0</v>
      </c>
      <c r="H87" s="173">
        <f>IFERROR(VLOOKUP($B87,Totalt!$B$1:$AQ$554,MATCH(H$2,Totalt!$B$1:$AQ$1,0),FALSE),"")</f>
        <v>0</v>
      </c>
      <c r="I87" s="173">
        <f>IFERROR(VLOOKUP($B87,Totalt!$B$1:$AQ$554,MATCH(I$2,Totalt!$B$1:$AQ$1,0),FALSE),"")</f>
        <v>0</v>
      </c>
      <c r="J87" s="173">
        <f>IFERROR(VLOOKUP($B87,Totalt!$B$1:$AQ$554,MATCH(J$2,Totalt!$B$1:$AQ$1,0),FALSE),"")</f>
        <v>0</v>
      </c>
      <c r="K87" s="173">
        <f>IFERROR(VLOOKUP($B87,Totalt!$B$1:$AQ$554,MATCH(K$2,Totalt!$B$1:$AQ$1,0),FALSE),"")</f>
        <v>0</v>
      </c>
      <c r="L87" s="173">
        <f>IFERROR(VLOOKUP($B87,Totalt!$B$1:$AQ$554,MATCH(L$2,Totalt!$B$1:$AQ$1,0),FALSE),"")</f>
        <v>0</v>
      </c>
      <c r="M87" s="173">
        <f>IFERROR(VLOOKUP($B87,Totalt!$B$1:$AQ$554,MATCH(M$2,Totalt!$B$1:$AQ$1,0),FALSE),"")</f>
        <v>0</v>
      </c>
      <c r="N87" s="173">
        <f>IFERROR(VLOOKUP($B87,Totalt!$B$1:$AQ$554,MATCH(N$2,Totalt!$B$1:$AQ$1,0),FALSE),"")</f>
        <v>0</v>
      </c>
      <c r="O87" s="173">
        <f>IFERROR(VLOOKUP($B87,Totalt!$B$1:$AQ$554,MATCH(O$2,Totalt!$B$1:$AQ$1,0),FALSE),"")</f>
        <v>0</v>
      </c>
      <c r="P87" s="173">
        <f>IFERROR(VLOOKUP($B87,Totalt!$B$1:$AQ$554,MATCH(P$2,Totalt!$B$1:$AQ$1,0),FALSE),"")</f>
        <v>0</v>
      </c>
      <c r="Q87" s="173">
        <f>IFERROR(VLOOKUP($B87,Totalt!$B$1:$AQ$554,MATCH(Q$2,Totalt!$B$1:$AQ$1,0),FALSE),"")</f>
        <v>0</v>
      </c>
      <c r="R87" s="173">
        <f>IFERROR(VLOOKUP($B87,Totalt!$B$1:$AQ$554,MATCH(R$2,Totalt!$B$1:$AQ$1,0),FALSE),"")</f>
        <v>0</v>
      </c>
      <c r="S87" s="173">
        <f>IFERROR(VLOOKUP($B87,Totalt!$B$1:$AQ$554,MATCH(S$2,Totalt!$B$1:$AQ$1,0),FALSE),"")</f>
        <v>0</v>
      </c>
      <c r="T87" s="173">
        <f>IFERROR(VLOOKUP($B87,Totalt!$B$1:$AQ$554,MATCH(T$2,Totalt!$B$1:$AQ$1,0),FALSE),"")</f>
        <v>0</v>
      </c>
      <c r="U87" s="173">
        <f>IFERROR(VLOOKUP($B87,Totalt!$B$1:$AQ$554,MATCH(U$2,Totalt!$B$1:$AQ$1,0),FALSE),"")</f>
        <v>0</v>
      </c>
      <c r="V87" s="173">
        <f>IFERROR(VLOOKUP($B87,Totalt!$B$1:$AQ$554,MATCH(V$2,Totalt!$B$1:$AQ$1,0),FALSE),"")</f>
        <v>0</v>
      </c>
      <c r="W87" s="173">
        <f>IFERROR(VLOOKUP($B87,Totalt!$B$1:$AQ$554,MATCH(W$2,Totalt!$B$1:$AQ$1,0),FALSE),"")</f>
        <v>2.714</v>
      </c>
      <c r="X87" s="173">
        <f>IFERROR(VLOOKUP($B87,Totalt!$B$1:$AQ$554,MATCH(X$2,Totalt!$B$1:$AQ$1,0),FALSE),"")</f>
        <v>0</v>
      </c>
      <c r="Y87" s="173">
        <f>IFERROR(VLOOKUP($B87,Totalt!$B$1:$AQ$554,MATCH(Y$2,Totalt!$B$1:$AQ$1,0),FALSE),"")</f>
        <v>0</v>
      </c>
      <c r="Z87" s="173">
        <f>IFERROR(VLOOKUP($B87,Totalt!$B$1:$AQ$554,MATCH(Z$2,Totalt!$B$1:$AQ$1,0),FALSE),"")</f>
        <v>0</v>
      </c>
      <c r="AA87" s="173">
        <f>IFERROR(VLOOKUP($B87,Totalt!$B$1:$AQ$554,MATCH(AA$2,Totalt!$B$1:$AQ$1,0),FALSE),"")</f>
        <v>0</v>
      </c>
      <c r="AB87" s="173">
        <f>IFERROR(VLOOKUP($B87,Totalt!$B$1:$AQ$554,MATCH(AB$2,Totalt!$B$1:$AQ$1,0),FALSE),"")</f>
        <v>0</v>
      </c>
      <c r="AC87" s="173">
        <f>IFERROR(VLOOKUP($B87,Totalt!$B$1:$AQ$554,MATCH(AC$2,Totalt!$B$1:$AQ$1,0),FALSE),"")</f>
        <v>0</v>
      </c>
      <c r="AD87" s="173">
        <f>IFERROR(VLOOKUP($B87,Totalt!$B$1:$AQ$554,MATCH(AD$2,Totalt!$B$1:$AQ$1,0),FALSE),"")</f>
        <v>14.407999999999999</v>
      </c>
      <c r="AE87" s="173">
        <f>IFERROR(VLOOKUP($B87,Totalt!$B$1:$AQ$554,MATCH(AE$2,Totalt!$B$1:$AQ$1,0),FALSE),"")</f>
        <v>0</v>
      </c>
      <c r="AF87" s="173">
        <f>IFERROR(VLOOKUP($B87,Totalt!$B$1:$AQ$554,MATCH(AF$2,Totalt!$B$1:$AQ$1,0),FALSE),"")</f>
        <v>0.47181000000000001</v>
      </c>
      <c r="AG87" s="173">
        <f>IFERROR(VLOOKUP($B87,Totalt!$B$1:$AQ$554,MATCH(AG$2,Totalt!$B$1:$AQ$1,0),FALSE),"")</f>
        <v>0</v>
      </c>
      <c r="AI87" s="226">
        <f t="shared" si="6"/>
        <v>17.83981</v>
      </c>
      <c r="AJ87" s="226">
        <f>IF(ISERROR(1/VLOOKUP($B87,Leveranser!$B$1:$S$500,MATCH("såld värme (gwh)",Leveranser!$B$1:$S$1,0),FALSE)),"",VLOOKUP($B87,Leveranser!$B$1:$S$500,MATCH("såld värme (gwh)",Leveranser!$B$1:$S$1,0),FALSE))</f>
        <v>15.727</v>
      </c>
      <c r="AM87" s="227" t="str">
        <f>IF(B87&lt;&gt;"",IF(VLOOKUP($B87,Totalt!$B$1:$AQ$554,MATCH("Kvalitetsgranskad:",Totalt!$B$1:$AQ$1,0),FALSE)="ja",VLOOKUP($B87,Miljö!$B$1:$AG$479,MATCH(AM$2,Miljö!$B$1:$AK$1,0),FALSE),""),"")</f>
        <v>Ja</v>
      </c>
      <c r="AN87" s="227" t="str">
        <f>IF(AM87="ja",VLOOKUP($B87,Miljö!$B$1:$J$479,MATCH("Typ av ursprungsspecificerad el   (Om inget värde anges används Nordisk residualmix, se inforuta) ()",Miljö!$B$1:$J$1,0),FALSE),IF(AM87="nej","Nordisk residualel",""))</f>
        <v>'EPD-EL Miljöcertifierad Vattenkraft'</v>
      </c>
      <c r="AO87" s="227">
        <f>IF(AM87="","",VLOOKUP($B87,Miljö!$B$1:$J$479,MATCH("Fossilandel för ursprungspecificerad el ()",Miljö!$B$1:$J$1,0),FALSE))</f>
        <v>0</v>
      </c>
      <c r="AP87" s="227">
        <f>IF(AM87="","",IFERROR(VLOOKUP($B87,Miljö!$B$1:$J$479,MATCH("Kärnkraftsandel för ursprungsspecificerad el ()",Miljö!$B$1:$J$1,0),FALSE)/1,0))</f>
        <v>0</v>
      </c>
      <c r="AQ87" s="227">
        <f t="shared" si="7"/>
        <v>1</v>
      </c>
      <c r="AR87" s="227"/>
      <c r="AS87" s="227" t="str">
        <f t="shared" si="8"/>
        <v>Nej</v>
      </c>
      <c r="AT87" s="227" t="str">
        <f>IF(AS87="ja",VLOOKUP($B87,Miljö!$B$1:$O$500,MATCH("Fossil andel i procent (%)",Miljö!$B$1:$O$1,0),FALSE)/100,"")</f>
        <v/>
      </c>
      <c r="AU87" s="227"/>
      <c r="AV87" s="227" t="str">
        <f t="shared" si="9"/>
        <v>Nej</v>
      </c>
      <c r="AW87" s="227" t="str">
        <f>IF(AV87="ja",VLOOKUP($B87,'Egen hetvattenprod'!$B$1:$AO$500,MATCH("Värmekälla till värmepumpar ()",'Egen hetvattenprod'!$B$1:$AO$1,0),FALSE),"")</f>
        <v/>
      </c>
      <c r="AX87" s="227"/>
      <c r="AY87" s="227" t="str">
        <f t="shared" si="10"/>
        <v>Nej</v>
      </c>
      <c r="AZ87" s="228" t="str">
        <f>IF($AY87="ja",(VLOOKUP($B87,'Egen hetvattenprod'!$B$1:$BX$550,MATCH(AZ$2,'Egen hetvattenprod'!$B$1:$BX$1,0),FALSE)+VLOOKUP($B87,Kraftvärmeprod!$B$1:$BX$550,MATCH(AZ$2,Kraftvärmeprod!$B$1:$BX$1,0),FALSE))/$AC87,"")</f>
        <v/>
      </c>
      <c r="BA87" s="228" t="str">
        <f>IF($AY87="ja",(VLOOKUP($B87,'Egen hetvattenprod'!$B$1:$BX$550,MATCH(BA$2,'Egen hetvattenprod'!$B$1:$BX$1,0),FALSE)+VLOOKUP($B87,Kraftvärmeprod!$B$1:$BX$550,MATCH(BA$2,Kraftvärmeprod!$B$1:$BX$1,0),FALSE))/$AC87,"")</f>
        <v/>
      </c>
      <c r="BB87" s="228" t="str">
        <f>IF($AY87="ja",(VLOOKUP($B87,'Egen hetvattenprod'!$B$1:$BX$550,MATCH(BB$2,'Egen hetvattenprod'!$B$1:$BX$1,0),FALSE)+VLOOKUP($B87,Kraftvärmeprod!$B$1:$BX$550,MATCH(BB$2,Kraftvärmeprod!$B$1:$BX$1,0),FALSE))/$AC87,"")</f>
        <v/>
      </c>
      <c r="BC87" s="228" t="str">
        <f>IF($AY87="ja",(VLOOKUP($B87,'Egen hetvattenprod'!$B$1:$BX$550,MATCH(BC$2,'Egen hetvattenprod'!$B$1:$BX$1,0),FALSE)+VLOOKUP($B87,Kraftvärmeprod!$B$1:$BX$550,MATCH(BC$2,Kraftvärmeprod!$B$1:$BX$1,0),FALSE))/$AC87,"")</f>
        <v/>
      </c>
      <c r="BD87" s="228" t="str">
        <f>IF($AY87="ja",(VLOOKUP($B87,'Egen hetvattenprod'!$B$1:$BX$550,MATCH(BD$2,'Egen hetvattenprod'!$B$1:$BX$1,0),FALSE)+VLOOKUP($B87,Kraftvärmeprod!$B$1:$BX$550,MATCH(BD$2,Kraftvärmeprod!$B$1:$BX$1,0),FALSE))/$AC87,"")</f>
        <v/>
      </c>
      <c r="BE87" s="227"/>
      <c r="BF87" s="227" t="str">
        <f t="shared" si="11"/>
        <v>Nej</v>
      </c>
      <c r="BG87" s="227" t="str">
        <f>IF($BF87="ja",VLOOKUP($B87,'Egen hetvattenprod'!$B$1:$BX$550,MATCH("Andelen klimatgaser med fossilt ursprung för avfall ()",'Egen hetvattenprod'!$B$1:$BX$1,0),FALSE),"")</f>
        <v/>
      </c>
      <c r="BH87" s="227" t="str">
        <f>IF($BF87="ja",VLOOKUP($B87,Kraftvärmeprod!$B$1:$BX$550,MATCH("Andelen klimatgaser med fossilt ursprung för avfall ()",Kraftvärmeprod!$B$1:$BX$1,0),FALSE),"")</f>
        <v/>
      </c>
      <c r="BI87" s="227" t="str">
        <f>IF($BF87="ja",VLOOKUP($B87,'Egen hetvattenprod'!$B$1:$BX$550,MATCH("Avfall (GWh)",'Egen hetvattenprod'!$B$1:$BX$1,0),FALSE),"")</f>
        <v/>
      </c>
      <c r="BJ87" s="227" t="str">
        <f>IF($BF87="ja",VLOOKUP($B87,'Slutlig allokering kvv'!$B$1:$BX$550,MATCH("Avfall (GWh)",'Slutlig allokering kvv'!$B$1:$BX$1,0),FALSE),"")</f>
        <v/>
      </c>
      <c r="BK87" s="227" t="str">
        <f>IF($BF87="ja",VLOOKUP($B87,'Köpt hetvatten'!$B$1:$BX$550,MATCH("Avfall i köpt hetvatten",'Köpt hetvatten'!$B$1:$BX$1,0),FALSE),"")</f>
        <v/>
      </c>
      <c r="BL87" s="227" t="str">
        <f>IF($BF87="ja",VLOOKUP($B87,'Egen hetvattenprod'!$B$1:$BX$550,MATCH("Värde enligt ovan. (%)",'Egen hetvattenprod'!$B$1:$BX$1,0),FALSE),"")</f>
        <v/>
      </c>
      <c r="BM87" s="227" t="str">
        <f>IF($BF87="ja",VLOOKUP($B87,Kraftvärmeprod!$B$1:$BX$550,MATCH("Värde enligt ovan. (%)",Kraftvärmeprod!$B$1:$BX$1,0),FALSE),"")</f>
        <v/>
      </c>
      <c r="BN87" s="227"/>
      <c r="BO87" s="227"/>
      <c r="BP87" s="227"/>
      <c r="BQ87" s="227" t="str">
        <f>IF($BF87="ja",VLOOKUP($B87,'Egen hetvattenprod'!$B$1:$BX$550,MATCH("Tillförd olja (fossil) vid avfallsförbränning (GWh)",'Egen hetvattenprod'!$B$1:$BX$1,0),FALSE),"")</f>
        <v/>
      </c>
      <c r="BR87" s="227" t="str">
        <f>IF($BF87="ja",VLOOKUP($B87,Kraftvärmeprod!$B$1:$BX$550,MATCH("Tillförd olja (fossil) vid avfallsförbränning (GWh)",Kraftvärmeprod!$B$1:$BX$1,0),FALSE),"")</f>
        <v/>
      </c>
      <c r="BS87" s="227"/>
      <c r="BT87" s="227"/>
      <c r="BU87" s="227"/>
    </row>
    <row r="88" spans="1:73" x14ac:dyDescent="0.25">
      <c r="A88" s="121" t="str">
        <f>'Miljövärden för publ företag'!B91</f>
        <v>Gotlands Energi AB</v>
      </c>
      <c r="B88" s="121" t="str">
        <f>'Miljövärden för publ företag'!C91</f>
        <v>Visby</v>
      </c>
      <c r="C88" s="173">
        <f>IFERROR(VLOOKUP($B88,Totalt!$B$1:$AQ$554,MATCH(C$2,Totalt!$B$1:$AQ$1,0),FALSE),"")</f>
        <v>0</v>
      </c>
      <c r="D88" s="173">
        <f>IFERROR(VLOOKUP($B88,Totalt!$B$1:$AQ$554,MATCH(D$2,Totalt!$B$1:$AQ$1,0),FALSE),"")</f>
        <v>0</v>
      </c>
      <c r="E88" s="173">
        <f>IFERROR(VLOOKUP($B88,Totalt!$B$1:$AQ$554,MATCH(E$2,Totalt!$B$1:$AQ$1,0),FALSE),"")</f>
        <v>0</v>
      </c>
      <c r="F88" s="173">
        <f>IFERROR(VLOOKUP($B88,Totalt!$B$1:$AQ$554,MATCH(F$2,Totalt!$B$1:$AQ$1,0),FALSE),"")</f>
        <v>0</v>
      </c>
      <c r="G88" s="173">
        <f>IFERROR(VLOOKUP($B88,Totalt!$B$1:$AQ$554,MATCH(G$2,Totalt!$B$1:$AQ$1,0),FALSE),"")</f>
        <v>0</v>
      </c>
      <c r="H88" s="173">
        <f>IFERROR(VLOOKUP($B88,Totalt!$B$1:$AQ$554,MATCH(H$2,Totalt!$B$1:$AQ$1,0),FALSE),"")</f>
        <v>0</v>
      </c>
      <c r="I88" s="173">
        <f>IFERROR(VLOOKUP($B88,Totalt!$B$1:$AQ$554,MATCH(I$2,Totalt!$B$1:$AQ$1,0),FALSE),"")</f>
        <v>0</v>
      </c>
      <c r="J88" s="173">
        <f>IFERROR(VLOOKUP($B88,Totalt!$B$1:$AQ$554,MATCH(J$2,Totalt!$B$1:$AQ$1,0),FALSE),"")</f>
        <v>1.03</v>
      </c>
      <c r="K88" s="173">
        <f>IFERROR(VLOOKUP($B88,Totalt!$B$1:$AQ$554,MATCH(K$2,Totalt!$B$1:$AQ$1,0),FALSE),"")</f>
        <v>0</v>
      </c>
      <c r="L88" s="173">
        <f>IFERROR(VLOOKUP($B88,Totalt!$B$1:$AQ$554,MATCH(L$2,Totalt!$B$1:$AQ$1,0),FALSE),"")</f>
        <v>0</v>
      </c>
      <c r="M88" s="173">
        <f>IFERROR(VLOOKUP($B88,Totalt!$B$1:$AQ$554,MATCH(M$2,Totalt!$B$1:$AQ$1,0),FALSE),"")</f>
        <v>62.027999999999999</v>
      </c>
      <c r="N88" s="173">
        <f>IFERROR(VLOOKUP($B88,Totalt!$B$1:$AQ$554,MATCH(N$2,Totalt!$B$1:$AQ$1,0),FALSE),"")</f>
        <v>82.260999999999996</v>
      </c>
      <c r="O88" s="173">
        <f>IFERROR(VLOOKUP($B88,Totalt!$B$1:$AQ$554,MATCH(O$2,Totalt!$B$1:$AQ$1,0),FALSE),"")</f>
        <v>0</v>
      </c>
      <c r="P88" s="173">
        <f>IFERROR(VLOOKUP($B88,Totalt!$B$1:$AQ$554,MATCH(P$2,Totalt!$B$1:$AQ$1,0),FALSE),"")</f>
        <v>3.3959999999999999</v>
      </c>
      <c r="Q88" s="173">
        <f>IFERROR(VLOOKUP($B88,Totalt!$B$1:$AQ$554,MATCH(Q$2,Totalt!$B$1:$AQ$1,0),FALSE),"")</f>
        <v>0</v>
      </c>
      <c r="R88" s="173">
        <f>IFERROR(VLOOKUP($B88,Totalt!$B$1:$AQ$554,MATCH(R$2,Totalt!$B$1:$AQ$1,0),FALSE),"")</f>
        <v>0</v>
      </c>
      <c r="S88" s="173">
        <f>IFERROR(VLOOKUP($B88,Totalt!$B$1:$AQ$554,MATCH(S$2,Totalt!$B$1:$AQ$1,0),FALSE),"")</f>
        <v>0</v>
      </c>
      <c r="T88" s="173">
        <f>IFERROR(VLOOKUP($B88,Totalt!$B$1:$AQ$554,MATCH(T$2,Totalt!$B$1:$AQ$1,0),FALSE),"")</f>
        <v>0</v>
      </c>
      <c r="U88" s="173">
        <f>IFERROR(VLOOKUP($B88,Totalt!$B$1:$AQ$554,MATCH(U$2,Totalt!$B$1:$AQ$1,0),FALSE),"")</f>
        <v>0</v>
      </c>
      <c r="V88" s="173">
        <f>IFERROR(VLOOKUP($B88,Totalt!$B$1:$AQ$554,MATCH(V$2,Totalt!$B$1:$AQ$1,0),FALSE),"")</f>
        <v>0</v>
      </c>
      <c r="W88" s="173">
        <f>IFERROR(VLOOKUP($B88,Totalt!$B$1:$AQ$554,MATCH(W$2,Totalt!$B$1:$AQ$1,0),FALSE),"")</f>
        <v>8.907</v>
      </c>
      <c r="X88" s="173">
        <f>IFERROR(VLOOKUP($B88,Totalt!$B$1:$AQ$554,MATCH(X$2,Totalt!$B$1:$AQ$1,0),FALSE),"")</f>
        <v>0</v>
      </c>
      <c r="Y88" s="173">
        <f>IFERROR(VLOOKUP($B88,Totalt!$B$1:$AQ$554,MATCH(Y$2,Totalt!$B$1:$AQ$1,0),FALSE),"")</f>
        <v>0</v>
      </c>
      <c r="Z88" s="173">
        <f>IFERROR(VLOOKUP($B88,Totalt!$B$1:$AQ$554,MATCH(Z$2,Totalt!$B$1:$AQ$1,0),FALSE),"")</f>
        <v>4.5999999999999999E-2</v>
      </c>
      <c r="AA88" s="173">
        <f>IFERROR(VLOOKUP($B88,Totalt!$B$1:$AQ$554,MATCH(AA$2,Totalt!$B$1:$AQ$1,0),FALSE),"")</f>
        <v>12.922000000000001</v>
      </c>
      <c r="AB88" s="173">
        <f>IFERROR(VLOOKUP($B88,Totalt!$B$1:$AQ$554,MATCH(AB$2,Totalt!$B$1:$AQ$1,0),FALSE),"")</f>
        <v>19.093</v>
      </c>
      <c r="AC88" s="173">
        <f>IFERROR(VLOOKUP($B88,Totalt!$B$1:$AQ$554,MATCH(AC$2,Totalt!$B$1:$AQ$1,0),FALSE),"")</f>
        <v>33.462000000000003</v>
      </c>
      <c r="AD88" s="173">
        <f>IFERROR(VLOOKUP($B88,Totalt!$B$1:$AQ$554,MATCH(AD$2,Totalt!$B$1:$AQ$1,0),FALSE),"")</f>
        <v>0</v>
      </c>
      <c r="AE88" s="173">
        <f>IFERROR(VLOOKUP($B88,Totalt!$B$1:$AQ$554,MATCH(AE$2,Totalt!$B$1:$AQ$1,0),FALSE),"")</f>
        <v>0</v>
      </c>
      <c r="AF88" s="173">
        <f>IFERROR(VLOOKUP($B88,Totalt!$B$1:$AQ$554,MATCH(AF$2,Totalt!$B$1:$AQ$1,0),FALSE),"")</f>
        <v>5.1299099999999997</v>
      </c>
      <c r="AG88" s="173">
        <f>IFERROR(VLOOKUP($B88,Totalt!$B$1:$AQ$554,MATCH(AG$2,Totalt!$B$1:$AQ$1,0),FALSE),"")</f>
        <v>0</v>
      </c>
      <c r="AI88" s="226">
        <f t="shared" si="6"/>
        <v>228.27490999999998</v>
      </c>
      <c r="AJ88" s="226">
        <f>IF(ISERROR(1/VLOOKUP($B88,Leveranser!$B$1:$S$500,MATCH("såld värme (gwh)",Leveranser!$B$1:$S$1,0),FALSE)),"",VLOOKUP($B88,Leveranser!$B$1:$S$500,MATCH("såld värme (gwh)",Leveranser!$B$1:$S$1,0),FALSE))</f>
        <v>170.99700000000001</v>
      </c>
      <c r="AM88" s="227" t="str">
        <f>IF(B88&lt;&gt;"",IF(VLOOKUP($B88,Totalt!$B$1:$AQ$554,MATCH("Kvalitetsgranskad:",Totalt!$B$1:$AQ$1,0),FALSE)="ja",VLOOKUP($B88,Miljö!$B$1:$AG$479,MATCH(AM$2,Miljö!$B$1:$AK$1,0),FALSE),""),"")</f>
        <v>Ja</v>
      </c>
      <c r="AN88" s="227" t="str">
        <f>IF(AM88="ja",VLOOKUP($B88,Miljö!$B$1:$J$479,MATCH("Typ av ursprungsspecificerad el   (Om inget värde anges används Nordisk residualmix, se inforuta) ()",Miljö!$B$1:$J$1,0),FALSE),IF(AM88="nej","Nordisk residualel",""))</f>
        <v>'EPD-L Miljöcertifierad Vattenkraft'</v>
      </c>
      <c r="AO88" s="227">
        <f>IF(AM88="","",VLOOKUP($B88,Miljö!$B$1:$J$479,MATCH("Fossilandel för ursprungspecificerad el ()",Miljö!$B$1:$J$1,0),FALSE))</f>
        <v>0</v>
      </c>
      <c r="AP88" s="227">
        <f>IF(AM88="","",IFERROR(VLOOKUP($B88,Miljö!$B$1:$J$479,MATCH("Kärnkraftsandel för ursprungsspecificerad el ()",Miljö!$B$1:$J$1,0),FALSE)/1,0))</f>
        <v>0</v>
      </c>
      <c r="AQ88" s="227">
        <f t="shared" si="7"/>
        <v>1</v>
      </c>
      <c r="AR88" s="227"/>
      <c r="AS88" s="227" t="str">
        <f t="shared" si="8"/>
        <v>Nej</v>
      </c>
      <c r="AT88" s="227" t="str">
        <f>IF(AS88="ja",VLOOKUP($B88,Miljö!$B$1:$O$500,MATCH("Fossil andel i procent (%)",Miljö!$B$1:$O$1,0),FALSE)/100,"")</f>
        <v/>
      </c>
      <c r="AU88" s="227"/>
      <c r="AV88" s="227" t="str">
        <f t="shared" si="9"/>
        <v>Ja</v>
      </c>
      <c r="AW88" s="227" t="str">
        <f>IF(AV88="ja",VLOOKUP($B88,'Egen hetvattenprod'!$B$1:$AO$500,MATCH("Värmekälla till värmepumpar ()",'Egen hetvattenprod'!$B$1:$AO$1,0),FALSE),"")</f>
        <v>Sjövatten</v>
      </c>
      <c r="AX88" s="227"/>
      <c r="AY88" s="227" t="str">
        <f t="shared" si="10"/>
        <v>Ja</v>
      </c>
      <c r="AZ88" s="228">
        <f>IF($AY88="ja",(VLOOKUP($B88,'Egen hetvattenprod'!$B$1:$BX$550,MATCH(AZ$2,'Egen hetvattenprod'!$B$1:$BX$1,0),FALSE)+VLOOKUP($B88,Kraftvärmeprod!$B$1:$BX$550,MATCH(AZ$2,Kraftvärmeprod!$B$1:$BX$1,0),FALSE))/$AC88,"")</f>
        <v>1</v>
      </c>
      <c r="BA88" s="228">
        <f>IF($AY88="ja",(VLOOKUP($B88,'Egen hetvattenprod'!$B$1:$BX$550,MATCH(BA$2,'Egen hetvattenprod'!$B$1:$BX$1,0),FALSE)+VLOOKUP($B88,Kraftvärmeprod!$B$1:$BX$550,MATCH(BA$2,Kraftvärmeprod!$B$1:$BX$1,0),FALSE))/$AC88,"")</f>
        <v>0</v>
      </c>
      <c r="BB88" s="228">
        <f>IF($AY88="ja",(VLOOKUP($B88,'Egen hetvattenprod'!$B$1:$BX$550,MATCH(BB$2,'Egen hetvattenprod'!$B$1:$BX$1,0),FALSE)+VLOOKUP($B88,Kraftvärmeprod!$B$1:$BX$550,MATCH(BB$2,Kraftvärmeprod!$B$1:$BX$1,0),FALSE))/$AC88,"")</f>
        <v>0</v>
      </c>
      <c r="BC88" s="228">
        <f>IF($AY88="ja",(VLOOKUP($B88,'Egen hetvattenprod'!$B$1:$BX$550,MATCH(BC$2,'Egen hetvattenprod'!$B$1:$BX$1,0),FALSE)+VLOOKUP($B88,Kraftvärmeprod!$B$1:$BX$550,MATCH(BC$2,Kraftvärmeprod!$B$1:$BX$1,0),FALSE))/$AC88,"")</f>
        <v>0</v>
      </c>
      <c r="BD88" s="228">
        <f>IF($AY88="ja",(VLOOKUP($B88,'Egen hetvattenprod'!$B$1:$BX$550,MATCH(BD$2,'Egen hetvattenprod'!$B$1:$BX$1,0),FALSE)+VLOOKUP($B88,Kraftvärmeprod!$B$1:$BX$550,MATCH(BD$2,Kraftvärmeprod!$B$1:$BX$1,0),FALSE))/$AC88,"")</f>
        <v>0</v>
      </c>
      <c r="BE88" s="227"/>
      <c r="BF88" s="227" t="str">
        <f t="shared" si="11"/>
        <v>Nej</v>
      </c>
      <c r="BG88" s="227" t="str">
        <f>IF($BF88="ja",VLOOKUP($B88,'Egen hetvattenprod'!$B$1:$BX$550,MATCH("Andelen klimatgaser med fossilt ursprung för avfall ()",'Egen hetvattenprod'!$B$1:$BX$1,0),FALSE),"")</f>
        <v/>
      </c>
      <c r="BH88" s="227" t="str">
        <f>IF($BF88="ja",VLOOKUP($B88,Kraftvärmeprod!$B$1:$BX$550,MATCH("Andelen klimatgaser med fossilt ursprung för avfall ()",Kraftvärmeprod!$B$1:$BX$1,0),FALSE),"")</f>
        <v/>
      </c>
      <c r="BI88" s="227" t="str">
        <f>IF($BF88="ja",VLOOKUP($B88,'Egen hetvattenprod'!$B$1:$BX$550,MATCH("Avfall (GWh)",'Egen hetvattenprod'!$B$1:$BX$1,0),FALSE),"")</f>
        <v/>
      </c>
      <c r="BJ88" s="227" t="str">
        <f>IF($BF88="ja",VLOOKUP($B88,'Slutlig allokering kvv'!$B$1:$BX$550,MATCH("Avfall (GWh)",'Slutlig allokering kvv'!$B$1:$BX$1,0),FALSE),"")</f>
        <v/>
      </c>
      <c r="BK88" s="227" t="str">
        <f>IF($BF88="ja",VLOOKUP($B88,'Köpt hetvatten'!$B$1:$BX$550,MATCH("Avfall i köpt hetvatten",'Köpt hetvatten'!$B$1:$BX$1,0),FALSE),"")</f>
        <v/>
      </c>
      <c r="BL88" s="227" t="str">
        <f>IF($BF88="ja",VLOOKUP($B88,'Egen hetvattenprod'!$B$1:$BX$550,MATCH("Värde enligt ovan. (%)",'Egen hetvattenprod'!$B$1:$BX$1,0),FALSE),"")</f>
        <v/>
      </c>
      <c r="BM88" s="227" t="str">
        <f>IF($BF88="ja",VLOOKUP($B88,Kraftvärmeprod!$B$1:$BX$550,MATCH("Värde enligt ovan. (%)",Kraftvärmeprod!$B$1:$BX$1,0),FALSE),"")</f>
        <v/>
      </c>
      <c r="BN88" s="227"/>
      <c r="BO88" s="227"/>
      <c r="BP88" s="227"/>
      <c r="BQ88" s="227" t="str">
        <f>IF($BF88="ja",VLOOKUP($B88,'Egen hetvattenprod'!$B$1:$BX$550,MATCH("Tillförd olja (fossil) vid avfallsförbränning (GWh)",'Egen hetvattenprod'!$B$1:$BX$1,0),FALSE),"")</f>
        <v/>
      </c>
      <c r="BR88" s="227" t="str">
        <f>IF($BF88="ja",VLOOKUP($B88,Kraftvärmeprod!$B$1:$BX$550,MATCH("Tillförd olja (fossil) vid avfallsförbränning (GWh)",Kraftvärmeprod!$B$1:$BX$1,0),FALSE),"")</f>
        <v/>
      </c>
      <c r="BS88" s="227"/>
      <c r="BT88" s="227"/>
      <c r="BU88" s="227"/>
    </row>
    <row r="89" spans="1:73" x14ac:dyDescent="0.25">
      <c r="A89" s="121" t="str">
        <f>'Miljövärden för publ företag'!B92</f>
        <v>Gällivare Energi AB</v>
      </c>
      <c r="B89" s="121" t="str">
        <f>'Miljövärden för publ företag'!C92</f>
        <v>Gällivare-Malmberget</v>
      </c>
      <c r="C89" s="173">
        <f>IFERROR(VLOOKUP($B89,Totalt!$B$1:$AQ$554,MATCH(C$2,Totalt!$B$1:$AQ$1,0),FALSE),"")</f>
        <v>0</v>
      </c>
      <c r="D89" s="173">
        <f>IFERROR(VLOOKUP($B89,Totalt!$B$1:$AQ$554,MATCH(D$2,Totalt!$B$1:$AQ$1,0),FALSE),"")</f>
        <v>0.4</v>
      </c>
      <c r="E89" s="173">
        <f>IFERROR(VLOOKUP($B89,Totalt!$B$1:$AQ$554,MATCH(E$2,Totalt!$B$1:$AQ$1,0),FALSE),"")</f>
        <v>0</v>
      </c>
      <c r="F89" s="173">
        <f>IFERROR(VLOOKUP($B89,Totalt!$B$1:$AQ$554,MATCH(F$2,Totalt!$B$1:$AQ$1,0),FALSE),"")</f>
        <v>1.3</v>
      </c>
      <c r="G89" s="173">
        <f>IFERROR(VLOOKUP($B89,Totalt!$B$1:$AQ$554,MATCH(G$2,Totalt!$B$1:$AQ$1,0),FALSE),"")</f>
        <v>0</v>
      </c>
      <c r="H89" s="173">
        <f>IFERROR(VLOOKUP($B89,Totalt!$B$1:$AQ$554,MATCH(H$2,Totalt!$B$1:$AQ$1,0),FALSE),"")</f>
        <v>0</v>
      </c>
      <c r="I89" s="173">
        <f>IFERROR(VLOOKUP($B89,Totalt!$B$1:$AQ$554,MATCH(I$2,Totalt!$B$1:$AQ$1,0),FALSE),"")</f>
        <v>0</v>
      </c>
      <c r="J89" s="173">
        <f>IFERROR(VLOOKUP($B89,Totalt!$B$1:$AQ$554,MATCH(J$2,Totalt!$B$1:$AQ$1,0),FALSE),"")</f>
        <v>0</v>
      </c>
      <c r="K89" s="173">
        <f>IFERROR(VLOOKUP($B89,Totalt!$B$1:$AQ$554,MATCH(K$2,Totalt!$B$1:$AQ$1,0),FALSE),"")</f>
        <v>0</v>
      </c>
      <c r="L89" s="173">
        <f>IFERROR(VLOOKUP($B89,Totalt!$B$1:$AQ$554,MATCH(L$2,Totalt!$B$1:$AQ$1,0),FALSE),"")</f>
        <v>0</v>
      </c>
      <c r="M89" s="173">
        <f>IFERROR(VLOOKUP($B89,Totalt!$B$1:$AQ$554,MATCH(M$2,Totalt!$B$1:$AQ$1,0),FALSE),"")</f>
        <v>6.0747</v>
      </c>
      <c r="N89" s="173">
        <f>IFERROR(VLOOKUP($B89,Totalt!$B$1:$AQ$554,MATCH(N$2,Totalt!$B$1:$AQ$1,0),FALSE),"")</f>
        <v>2.3623799999999999</v>
      </c>
      <c r="O89" s="173">
        <f>IFERROR(VLOOKUP($B89,Totalt!$B$1:$AQ$554,MATCH(O$2,Totalt!$B$1:$AQ$1,0),FALSE),"")</f>
        <v>51.297499999999999</v>
      </c>
      <c r="P89" s="173">
        <f>IFERROR(VLOOKUP($B89,Totalt!$B$1:$AQ$554,MATCH(P$2,Totalt!$B$1:$AQ$1,0),FALSE),"")</f>
        <v>21.5989</v>
      </c>
      <c r="Q89" s="173">
        <f>IFERROR(VLOOKUP($B89,Totalt!$B$1:$AQ$554,MATCH(Q$2,Totalt!$B$1:$AQ$1,0),FALSE),"")</f>
        <v>0</v>
      </c>
      <c r="R89" s="173">
        <f>IFERROR(VLOOKUP($B89,Totalt!$B$1:$AQ$554,MATCH(R$2,Totalt!$B$1:$AQ$1,0),FALSE),"")</f>
        <v>8.6999999999999993</v>
      </c>
      <c r="S89" s="173">
        <f>IFERROR(VLOOKUP($B89,Totalt!$B$1:$AQ$554,MATCH(S$2,Totalt!$B$1:$AQ$1,0),FALSE),"")</f>
        <v>0</v>
      </c>
      <c r="T89" s="173">
        <f>IFERROR(VLOOKUP($B89,Totalt!$B$1:$AQ$554,MATCH(T$2,Totalt!$B$1:$AQ$1,0),FALSE),"")</f>
        <v>0</v>
      </c>
      <c r="U89" s="173">
        <f>IFERROR(VLOOKUP($B89,Totalt!$B$1:$AQ$554,MATCH(U$2,Totalt!$B$1:$AQ$1,0),FALSE),"")</f>
        <v>0</v>
      </c>
      <c r="V89" s="173">
        <f>IFERROR(VLOOKUP($B89,Totalt!$B$1:$AQ$554,MATCH(V$2,Totalt!$B$1:$AQ$1,0),FALSE),"")</f>
        <v>0</v>
      </c>
      <c r="W89" s="173">
        <f>IFERROR(VLOOKUP($B89,Totalt!$B$1:$AQ$554,MATCH(W$2,Totalt!$B$1:$AQ$1,0),FALSE),"")</f>
        <v>0</v>
      </c>
      <c r="X89" s="173">
        <f>IFERROR(VLOOKUP($B89,Totalt!$B$1:$AQ$554,MATCH(X$2,Totalt!$B$1:$AQ$1,0),FALSE),"")</f>
        <v>0</v>
      </c>
      <c r="Y89" s="173">
        <f>IFERROR(VLOOKUP($B89,Totalt!$B$1:$AQ$554,MATCH(Y$2,Totalt!$B$1:$AQ$1,0),FALSE),"")</f>
        <v>86.680400000000006</v>
      </c>
      <c r="Z89" s="173">
        <f>IFERROR(VLOOKUP($B89,Totalt!$B$1:$AQ$554,MATCH(Z$2,Totalt!$B$1:$AQ$1,0),FALSE),"")</f>
        <v>0</v>
      </c>
      <c r="AA89" s="173">
        <f>IFERROR(VLOOKUP($B89,Totalt!$B$1:$AQ$554,MATCH(AA$2,Totalt!$B$1:$AQ$1,0),FALSE),"")</f>
        <v>0</v>
      </c>
      <c r="AB89" s="173">
        <f>IFERROR(VLOOKUP($B89,Totalt!$B$1:$AQ$554,MATCH(AB$2,Totalt!$B$1:$AQ$1,0),FALSE),"")</f>
        <v>0</v>
      </c>
      <c r="AC89" s="173">
        <f>IFERROR(VLOOKUP($B89,Totalt!$B$1:$AQ$554,MATCH(AC$2,Totalt!$B$1:$AQ$1,0),FALSE),"")</f>
        <v>22</v>
      </c>
      <c r="AD89" s="173">
        <f>IFERROR(VLOOKUP($B89,Totalt!$B$1:$AQ$554,MATCH(AD$2,Totalt!$B$1:$AQ$1,0),FALSE),"")</f>
        <v>0</v>
      </c>
      <c r="AE89" s="173">
        <f>IFERROR(VLOOKUP($B89,Totalt!$B$1:$AQ$554,MATCH(AE$2,Totalt!$B$1:$AQ$1,0),FALSE),"")</f>
        <v>0</v>
      </c>
      <c r="AF89" s="173">
        <f>IFERROR(VLOOKUP($B89,Totalt!$B$1:$AQ$554,MATCH(AF$2,Totalt!$B$1:$AQ$1,0),FALSE),"")</f>
        <v>7.0270200000000003</v>
      </c>
      <c r="AG89" s="173">
        <f>IFERROR(VLOOKUP($B89,Totalt!$B$1:$AQ$554,MATCH(AG$2,Totalt!$B$1:$AQ$1,0),FALSE),"")</f>
        <v>0</v>
      </c>
      <c r="AI89" s="226">
        <f t="shared" si="6"/>
        <v>207.4409</v>
      </c>
      <c r="AJ89" s="226">
        <f>IF(ISERROR(1/VLOOKUP($B89,Leveranser!$B$1:$S$500,MATCH("såld värme (gwh)",Leveranser!$B$1:$S$1,0),FALSE)),"",VLOOKUP($B89,Leveranser!$B$1:$S$500,MATCH("såld värme (gwh)",Leveranser!$B$1:$S$1,0),FALSE))</f>
        <v>162</v>
      </c>
      <c r="AM89" s="227" t="str">
        <f>IF(B89&lt;&gt;"",IF(VLOOKUP($B89,Totalt!$B$1:$AQ$554,MATCH("Kvalitetsgranskad:",Totalt!$B$1:$AQ$1,0),FALSE)="ja",VLOOKUP($B89,Miljö!$B$1:$AG$479,MATCH(AM$2,Miljö!$B$1:$AK$1,0),FALSE),""),"")</f>
        <v>Nej</v>
      </c>
      <c r="AN89" s="227" t="str">
        <f>IF(AM89="ja",VLOOKUP($B89,Miljö!$B$1:$J$479,MATCH("Typ av ursprungsspecificerad el   (Om inget värde anges används Nordisk residualmix, se inforuta) ()",Miljö!$B$1:$J$1,0),FALSE),IF(AM89="nej","Nordisk residualel",""))</f>
        <v>Nordisk residualel</v>
      </c>
      <c r="AO89" s="227">
        <f>IF(AM89="","",VLOOKUP($B89,Miljö!$B$1:$J$479,MATCH("Fossilandel för ursprungspecificerad el ()",Miljö!$B$1:$J$1,0),FALSE))</f>
        <v>0.43</v>
      </c>
      <c r="AP89" s="227">
        <f>IF(AM89="","",IFERROR(VLOOKUP($B89,Miljö!$B$1:$J$479,MATCH("Kärnkraftsandel för ursprungsspecificerad el ()",Miljö!$B$1:$J$1,0),FALSE)/1,0))</f>
        <v>0.40550000000000003</v>
      </c>
      <c r="AQ89" s="227">
        <f t="shared" si="7"/>
        <v>0.16450000000000004</v>
      </c>
      <c r="AR89" s="227"/>
      <c r="AS89" s="227" t="str">
        <f t="shared" si="8"/>
        <v>Nej</v>
      </c>
      <c r="AT89" s="227" t="str">
        <f>IF(AS89="ja",VLOOKUP($B89,Miljö!$B$1:$O$500,MATCH("Fossil andel i procent (%)",Miljö!$B$1:$O$1,0),FALSE)/100,"")</f>
        <v/>
      </c>
      <c r="AU89" s="227"/>
      <c r="AV89" s="227" t="str">
        <f t="shared" si="9"/>
        <v>Nej</v>
      </c>
      <c r="AW89" s="227" t="str">
        <f>IF(AV89="ja",VLOOKUP($B89,'Egen hetvattenprod'!$B$1:$AO$500,MATCH("Värmekälla till värmepumpar ()",'Egen hetvattenprod'!$B$1:$AO$1,0),FALSE),"")</f>
        <v/>
      </c>
      <c r="AX89" s="227"/>
      <c r="AY89" s="227" t="str">
        <f t="shared" si="10"/>
        <v>Ja</v>
      </c>
      <c r="AZ89" s="228">
        <f>IF($AY89="ja",(VLOOKUP($B89,'Egen hetvattenprod'!$B$1:$BX$550,MATCH(AZ$2,'Egen hetvattenprod'!$B$1:$BX$1,0),FALSE)+VLOOKUP($B89,Kraftvärmeprod!$B$1:$BX$550,MATCH(AZ$2,Kraftvärmeprod!$B$1:$BX$1,0),FALSE))/$AC89,"")</f>
        <v>0.57999999999999996</v>
      </c>
      <c r="BA89" s="228">
        <f>IF($AY89="ja",(VLOOKUP($B89,'Egen hetvattenprod'!$B$1:$BX$550,MATCH(BA$2,'Egen hetvattenprod'!$B$1:$BX$1,0),FALSE)+VLOOKUP($B89,Kraftvärmeprod!$B$1:$BX$550,MATCH(BA$2,Kraftvärmeprod!$B$1:$BX$1,0),FALSE))/$AC89,"")</f>
        <v>0</v>
      </c>
      <c r="BB89" s="228">
        <f>IF($AY89="ja",(VLOOKUP($B89,'Egen hetvattenprod'!$B$1:$BX$550,MATCH(BB$2,'Egen hetvattenprod'!$B$1:$BX$1,0),FALSE)+VLOOKUP($B89,Kraftvärmeprod!$B$1:$BX$550,MATCH(BB$2,Kraftvärmeprod!$B$1:$BX$1,0),FALSE))/$AC89,"")</f>
        <v>0</v>
      </c>
      <c r="BC89" s="228">
        <f>IF($AY89="ja",(VLOOKUP($B89,'Egen hetvattenprod'!$B$1:$BX$550,MATCH(BC$2,'Egen hetvattenprod'!$B$1:$BX$1,0),FALSE)+VLOOKUP($B89,Kraftvärmeprod!$B$1:$BX$550,MATCH(BC$2,Kraftvärmeprod!$B$1:$BX$1,0),FALSE))/$AC89,"")</f>
        <v>0.42</v>
      </c>
      <c r="BD89" s="228">
        <f>IF($AY89="ja",(VLOOKUP($B89,'Egen hetvattenprod'!$B$1:$BX$550,MATCH(BD$2,'Egen hetvattenprod'!$B$1:$BX$1,0),FALSE)+VLOOKUP($B89,Kraftvärmeprod!$B$1:$BX$550,MATCH(BD$2,Kraftvärmeprod!$B$1:$BX$1,0),FALSE))/$AC89,"")</f>
        <v>0</v>
      </c>
      <c r="BE89" s="227"/>
      <c r="BF89" s="227" t="str">
        <f t="shared" si="11"/>
        <v>Nej</v>
      </c>
      <c r="BG89" s="227" t="str">
        <f>IF($BF89="ja",VLOOKUP($B89,'Egen hetvattenprod'!$B$1:$BX$550,MATCH("Andelen klimatgaser med fossilt ursprung för avfall ()",'Egen hetvattenprod'!$B$1:$BX$1,0),FALSE),"")</f>
        <v/>
      </c>
      <c r="BH89" s="227" t="str">
        <f>IF($BF89="ja",VLOOKUP($B89,Kraftvärmeprod!$B$1:$BX$550,MATCH("Andelen klimatgaser med fossilt ursprung för avfall ()",Kraftvärmeprod!$B$1:$BX$1,0),FALSE),"")</f>
        <v/>
      </c>
      <c r="BI89" s="227" t="str">
        <f>IF($BF89="ja",VLOOKUP($B89,'Egen hetvattenprod'!$B$1:$BX$550,MATCH("Avfall (GWh)",'Egen hetvattenprod'!$B$1:$BX$1,0),FALSE),"")</f>
        <v/>
      </c>
      <c r="BJ89" s="227" t="str">
        <f>IF($BF89="ja",VLOOKUP($B89,'Slutlig allokering kvv'!$B$1:$BX$550,MATCH("Avfall (GWh)",'Slutlig allokering kvv'!$B$1:$BX$1,0),FALSE),"")</f>
        <v/>
      </c>
      <c r="BK89" s="227" t="str">
        <f>IF($BF89="ja",VLOOKUP($B89,'Köpt hetvatten'!$B$1:$BX$550,MATCH("Avfall i köpt hetvatten",'Köpt hetvatten'!$B$1:$BX$1,0),FALSE),"")</f>
        <v/>
      </c>
      <c r="BL89" s="227" t="str">
        <f>IF($BF89="ja",VLOOKUP($B89,'Egen hetvattenprod'!$B$1:$BX$550,MATCH("Värde enligt ovan. (%)",'Egen hetvattenprod'!$B$1:$BX$1,0),FALSE),"")</f>
        <v/>
      </c>
      <c r="BM89" s="227" t="str">
        <f>IF($BF89="ja",VLOOKUP($B89,Kraftvärmeprod!$B$1:$BX$550,MATCH("Värde enligt ovan. (%)",Kraftvärmeprod!$B$1:$BX$1,0),FALSE),"")</f>
        <v/>
      </c>
      <c r="BN89" s="227"/>
      <c r="BO89" s="227"/>
      <c r="BP89" s="227"/>
      <c r="BQ89" s="227" t="str">
        <f>IF($BF89="ja",VLOOKUP($B89,'Egen hetvattenprod'!$B$1:$BX$550,MATCH("Tillförd olja (fossil) vid avfallsförbränning (GWh)",'Egen hetvattenprod'!$B$1:$BX$1,0),FALSE),"")</f>
        <v/>
      </c>
      <c r="BR89" s="227" t="str">
        <f>IF($BF89="ja",VLOOKUP($B89,Kraftvärmeprod!$B$1:$BX$550,MATCH("Tillförd olja (fossil) vid avfallsförbränning (GWh)",Kraftvärmeprod!$B$1:$BX$1,0),FALSE),"")</f>
        <v/>
      </c>
      <c r="BS89" s="227"/>
      <c r="BT89" s="227"/>
      <c r="BU89" s="227"/>
    </row>
    <row r="90" spans="1:73" x14ac:dyDescent="0.25">
      <c r="A90" s="121" t="str">
        <f>'Miljövärden för publ företag'!B93</f>
        <v>Gävle Energi AB</v>
      </c>
      <c r="B90" s="121" t="str">
        <f>'Miljövärden för publ företag'!C93</f>
        <v>Gävle</v>
      </c>
      <c r="C90" s="173">
        <f>IFERROR(VLOOKUP($B90,Totalt!$B$1:$AQ$554,MATCH(C$2,Totalt!$B$1:$AQ$1,0),FALSE),"")</f>
        <v>0</v>
      </c>
      <c r="D90" s="173">
        <f>IFERROR(VLOOKUP($B90,Totalt!$B$1:$AQ$554,MATCH(D$2,Totalt!$B$1:$AQ$1,0),FALSE),"")</f>
        <v>0</v>
      </c>
      <c r="E90" s="173">
        <f>IFERROR(VLOOKUP($B90,Totalt!$B$1:$AQ$554,MATCH(E$2,Totalt!$B$1:$AQ$1,0),FALSE),"")</f>
        <v>0</v>
      </c>
      <c r="F90" s="173">
        <f>IFERROR(VLOOKUP($B90,Totalt!$B$1:$AQ$554,MATCH(F$2,Totalt!$B$1:$AQ$1,0),FALSE),"")</f>
        <v>0.168235</v>
      </c>
      <c r="G90" s="173">
        <f>IFERROR(VLOOKUP($B90,Totalt!$B$1:$AQ$554,MATCH(G$2,Totalt!$B$1:$AQ$1,0),FALSE),"")</f>
        <v>0</v>
      </c>
      <c r="H90" s="173">
        <f>IFERROR(VLOOKUP($B90,Totalt!$B$1:$AQ$554,MATCH(H$2,Totalt!$B$1:$AQ$1,0),FALSE),"")</f>
        <v>0</v>
      </c>
      <c r="I90" s="173">
        <f>IFERROR(VLOOKUP($B90,Totalt!$B$1:$AQ$554,MATCH(I$2,Totalt!$B$1:$AQ$1,0),FALSE),"")</f>
        <v>0</v>
      </c>
      <c r="J90" s="173">
        <f>IFERROR(VLOOKUP($B90,Totalt!$B$1:$AQ$554,MATCH(J$2,Totalt!$B$1:$AQ$1,0),FALSE),"")</f>
        <v>0</v>
      </c>
      <c r="K90" s="173">
        <f>IFERROR(VLOOKUP($B90,Totalt!$B$1:$AQ$554,MATCH(K$2,Totalt!$B$1:$AQ$1,0),FALSE),"")</f>
        <v>0</v>
      </c>
      <c r="L90" s="173">
        <f>IFERROR(VLOOKUP($B90,Totalt!$B$1:$AQ$554,MATCH(L$2,Totalt!$B$1:$AQ$1,0),FALSE),"")</f>
        <v>74.868300000000005</v>
      </c>
      <c r="M90" s="173">
        <f>IFERROR(VLOOKUP($B90,Totalt!$B$1:$AQ$554,MATCH(M$2,Totalt!$B$1:$AQ$1,0),FALSE),"")</f>
        <v>93.888999999999996</v>
      </c>
      <c r="N90" s="173">
        <f>IFERROR(VLOOKUP($B90,Totalt!$B$1:$AQ$554,MATCH(N$2,Totalt!$B$1:$AQ$1,0),FALSE),"")</f>
        <v>13.781000000000001</v>
      </c>
      <c r="O90" s="173">
        <f>IFERROR(VLOOKUP($B90,Totalt!$B$1:$AQ$554,MATCH(O$2,Totalt!$B$1:$AQ$1,0),FALSE),"")</f>
        <v>0</v>
      </c>
      <c r="P90" s="173">
        <f>IFERROR(VLOOKUP($B90,Totalt!$B$1:$AQ$554,MATCH(P$2,Totalt!$B$1:$AQ$1,0),FALSE),"")</f>
        <v>7.8771100000000001</v>
      </c>
      <c r="Q90" s="173">
        <f>IFERROR(VLOOKUP($B90,Totalt!$B$1:$AQ$554,MATCH(Q$2,Totalt!$B$1:$AQ$1,0),FALSE),"")</f>
        <v>87.988200000000006</v>
      </c>
      <c r="R90" s="173">
        <f>IFERROR(VLOOKUP($B90,Totalt!$B$1:$AQ$554,MATCH(R$2,Totalt!$B$1:$AQ$1,0),FALSE),"")</f>
        <v>0</v>
      </c>
      <c r="S90" s="173">
        <f>IFERROR(VLOOKUP($B90,Totalt!$B$1:$AQ$554,MATCH(S$2,Totalt!$B$1:$AQ$1,0),FALSE),"")</f>
        <v>0</v>
      </c>
      <c r="T90" s="173">
        <f>IFERROR(VLOOKUP($B90,Totalt!$B$1:$AQ$554,MATCH(T$2,Totalt!$B$1:$AQ$1,0),FALSE),"")</f>
        <v>0</v>
      </c>
      <c r="U90" s="173">
        <f>IFERROR(VLOOKUP($B90,Totalt!$B$1:$AQ$554,MATCH(U$2,Totalt!$B$1:$AQ$1,0),FALSE),"")</f>
        <v>0</v>
      </c>
      <c r="V90" s="173">
        <f>IFERROR(VLOOKUP($B90,Totalt!$B$1:$AQ$554,MATCH(V$2,Totalt!$B$1:$AQ$1,0),FALSE),"")</f>
        <v>0</v>
      </c>
      <c r="W90" s="173">
        <f>IFERROR(VLOOKUP($B90,Totalt!$B$1:$AQ$554,MATCH(W$2,Totalt!$B$1:$AQ$1,0),FALSE),"")</f>
        <v>0.88360799999999995</v>
      </c>
      <c r="X90" s="173">
        <f>IFERROR(VLOOKUP($B90,Totalt!$B$1:$AQ$554,MATCH(X$2,Totalt!$B$1:$AQ$1,0),FALSE),"")</f>
        <v>0</v>
      </c>
      <c r="Y90" s="173">
        <f>IFERROR(VLOOKUP($B90,Totalt!$B$1:$AQ$554,MATCH(Y$2,Totalt!$B$1:$AQ$1,0),FALSE),"")</f>
        <v>0</v>
      </c>
      <c r="Z90" s="173">
        <f>IFERROR(VLOOKUP($B90,Totalt!$B$1:$AQ$554,MATCH(Z$2,Totalt!$B$1:$AQ$1,0),FALSE),"")</f>
        <v>0</v>
      </c>
      <c r="AA90" s="173">
        <f>IFERROR(VLOOKUP($B90,Totalt!$B$1:$AQ$554,MATCH(AA$2,Totalt!$B$1:$AQ$1,0),FALSE),"")</f>
        <v>0</v>
      </c>
      <c r="AB90" s="173">
        <f>IFERROR(VLOOKUP($B90,Totalt!$B$1:$AQ$554,MATCH(AB$2,Totalt!$B$1:$AQ$1,0),FALSE),"")</f>
        <v>0</v>
      </c>
      <c r="AC90" s="173">
        <f>IFERROR(VLOOKUP($B90,Totalt!$B$1:$AQ$554,MATCH(AC$2,Totalt!$B$1:$AQ$1,0),FALSE),"")</f>
        <v>84.256</v>
      </c>
      <c r="AD90" s="173">
        <f>IFERROR(VLOOKUP($B90,Totalt!$B$1:$AQ$554,MATCH(AD$2,Totalt!$B$1:$AQ$1,0),FALSE),"")</f>
        <v>375.12</v>
      </c>
      <c r="AE90" s="173">
        <f>IFERROR(VLOOKUP($B90,Totalt!$B$1:$AQ$554,MATCH(AE$2,Totalt!$B$1:$AQ$1,0),FALSE),"")</f>
        <v>0</v>
      </c>
      <c r="AF90" s="173">
        <f>IFERROR(VLOOKUP($B90,Totalt!$B$1:$AQ$554,MATCH(AF$2,Totalt!$B$1:$AQ$1,0),FALSE),"")</f>
        <v>11.3766</v>
      </c>
      <c r="AG90" s="173">
        <f>IFERROR(VLOOKUP($B90,Totalt!$B$1:$AQ$554,MATCH(AG$2,Totalt!$B$1:$AQ$1,0),FALSE),"")</f>
        <v>0</v>
      </c>
      <c r="AI90" s="226">
        <f t="shared" si="6"/>
        <v>750.20805300000006</v>
      </c>
      <c r="AJ90" s="226">
        <f>IF(ISERROR(1/VLOOKUP($B90,Leveranser!$B$1:$S$500,MATCH("såld värme (gwh)",Leveranser!$B$1:$S$1,0),FALSE)),"",VLOOKUP($B90,Leveranser!$B$1:$S$500,MATCH("såld värme (gwh)",Leveranser!$B$1:$S$1,0),FALSE))</f>
        <v>680</v>
      </c>
      <c r="AM90" s="227" t="str">
        <f>IF(B90&lt;&gt;"",IF(VLOOKUP($B90,Totalt!$B$1:$AQ$554,MATCH("Kvalitetsgranskad:",Totalt!$B$1:$AQ$1,0),FALSE)="ja",VLOOKUP($B90,Miljö!$B$1:$AG$479,MATCH(AM$2,Miljö!$B$1:$AK$1,0),FALSE),""),"")</f>
        <v>Ja</v>
      </c>
      <c r="AN90" s="227" t="str">
        <f>IF(AM90="ja",VLOOKUP($B90,Miljö!$B$1:$J$479,MATCH("Typ av ursprungsspecificerad el   (Om inget värde anges används Nordisk residualmix, se inforuta) ()",Miljö!$B$1:$J$1,0),FALSE),IF(AM90="nej","Nordisk residualel",""))</f>
        <v>'Källmärkt Gävle Energi'</v>
      </c>
      <c r="AO90" s="227">
        <f>IF(AM90="","",VLOOKUP($B90,Miljö!$B$1:$J$479,MATCH("Fossilandel för ursprungspecificerad el ()",Miljö!$B$1:$J$1,0),FALSE))</f>
        <v>0</v>
      </c>
      <c r="AP90" s="227">
        <f>IF(AM90="","",IFERROR(VLOOKUP($B90,Miljö!$B$1:$J$479,MATCH("Kärnkraftsandel för ursprungsspecificerad el ()",Miljö!$B$1:$J$1,0),FALSE)/1,0))</f>
        <v>0</v>
      </c>
      <c r="AQ90" s="227">
        <f t="shared" si="7"/>
        <v>1</v>
      </c>
      <c r="AR90" s="227"/>
      <c r="AS90" s="227" t="str">
        <f t="shared" si="8"/>
        <v>Nej</v>
      </c>
      <c r="AT90" s="227" t="str">
        <f>IF(AS90="ja",VLOOKUP($B90,Miljö!$B$1:$O$500,MATCH("Fossil andel i procent (%)",Miljö!$B$1:$O$1,0),FALSE)/100,"")</f>
        <v/>
      </c>
      <c r="AU90" s="227"/>
      <c r="AV90" s="227" t="str">
        <f t="shared" si="9"/>
        <v>Nej</v>
      </c>
      <c r="AW90" s="227" t="str">
        <f>IF(AV90="ja",VLOOKUP($B90,'Egen hetvattenprod'!$B$1:$AO$500,MATCH("Värmekälla till värmepumpar ()",'Egen hetvattenprod'!$B$1:$AO$1,0),FALSE),"")</f>
        <v/>
      </c>
      <c r="AX90" s="227"/>
      <c r="AY90" s="227" t="str">
        <f t="shared" si="10"/>
        <v>Ja</v>
      </c>
      <c r="AZ90" s="228">
        <f>IF($AY90="ja",(VLOOKUP($B90,'Egen hetvattenprod'!$B$1:$BX$550,MATCH(AZ$2,'Egen hetvattenprod'!$B$1:$BX$1,0),FALSE)+VLOOKUP($B90,Kraftvärmeprod!$B$1:$BX$550,MATCH(AZ$2,Kraftvärmeprod!$B$1:$BX$1,0),FALSE))/$AC90,"")</f>
        <v>1</v>
      </c>
      <c r="BA90" s="228">
        <f>IF($AY90="ja",(VLOOKUP($B90,'Egen hetvattenprod'!$B$1:$BX$550,MATCH(BA$2,'Egen hetvattenprod'!$B$1:$BX$1,0),FALSE)+VLOOKUP($B90,Kraftvärmeprod!$B$1:$BX$550,MATCH(BA$2,Kraftvärmeprod!$B$1:$BX$1,0),FALSE))/$AC90,"")</f>
        <v>0</v>
      </c>
      <c r="BB90" s="228">
        <f>IF($AY90="ja",(VLOOKUP($B90,'Egen hetvattenprod'!$B$1:$BX$550,MATCH(BB$2,'Egen hetvattenprod'!$B$1:$BX$1,0),FALSE)+VLOOKUP($B90,Kraftvärmeprod!$B$1:$BX$550,MATCH(BB$2,Kraftvärmeprod!$B$1:$BX$1,0),FALSE))/$AC90,"")</f>
        <v>0</v>
      </c>
      <c r="BC90" s="228">
        <f>IF($AY90="ja",(VLOOKUP($B90,'Egen hetvattenprod'!$B$1:$BX$550,MATCH(BC$2,'Egen hetvattenprod'!$B$1:$BX$1,0),FALSE)+VLOOKUP($B90,Kraftvärmeprod!$B$1:$BX$550,MATCH(BC$2,Kraftvärmeprod!$B$1:$BX$1,0),FALSE))/$AC90,"")</f>
        <v>0</v>
      </c>
      <c r="BD90" s="228">
        <f>IF($AY90="ja",(VLOOKUP($B90,'Egen hetvattenprod'!$B$1:$BX$550,MATCH(BD$2,'Egen hetvattenprod'!$B$1:$BX$1,0),FALSE)+VLOOKUP($B90,Kraftvärmeprod!$B$1:$BX$550,MATCH(BD$2,Kraftvärmeprod!$B$1:$BX$1,0),FALSE))/$AC90,"")</f>
        <v>0</v>
      </c>
      <c r="BE90" s="227"/>
      <c r="BF90" s="227" t="str">
        <f t="shared" si="11"/>
        <v>Nej</v>
      </c>
      <c r="BG90" s="227" t="str">
        <f>IF($BF90="ja",VLOOKUP($B90,'Egen hetvattenprod'!$B$1:$BX$550,MATCH("Andelen klimatgaser med fossilt ursprung för avfall ()",'Egen hetvattenprod'!$B$1:$BX$1,0),FALSE),"")</f>
        <v/>
      </c>
      <c r="BH90" s="227" t="str">
        <f>IF($BF90="ja",VLOOKUP($B90,Kraftvärmeprod!$B$1:$BX$550,MATCH("Andelen klimatgaser med fossilt ursprung för avfall ()",Kraftvärmeprod!$B$1:$BX$1,0),FALSE),"")</f>
        <v/>
      </c>
      <c r="BI90" s="227" t="str">
        <f>IF($BF90="ja",VLOOKUP($B90,'Egen hetvattenprod'!$B$1:$BX$550,MATCH("Avfall (GWh)",'Egen hetvattenprod'!$B$1:$BX$1,0),FALSE),"")</f>
        <v/>
      </c>
      <c r="BJ90" s="227" t="str">
        <f>IF($BF90="ja",VLOOKUP($B90,'Slutlig allokering kvv'!$B$1:$BX$550,MATCH("Avfall (GWh)",'Slutlig allokering kvv'!$B$1:$BX$1,0),FALSE),"")</f>
        <v/>
      </c>
      <c r="BK90" s="227" t="str">
        <f>IF($BF90="ja",VLOOKUP($B90,'Köpt hetvatten'!$B$1:$BX$550,MATCH("Avfall i köpt hetvatten",'Köpt hetvatten'!$B$1:$BX$1,0),FALSE),"")</f>
        <v/>
      </c>
      <c r="BL90" s="227" t="str">
        <f>IF($BF90="ja",VLOOKUP($B90,'Egen hetvattenprod'!$B$1:$BX$550,MATCH("Värde enligt ovan. (%)",'Egen hetvattenprod'!$B$1:$BX$1,0),FALSE),"")</f>
        <v/>
      </c>
      <c r="BM90" s="227" t="str">
        <f>IF($BF90="ja",VLOOKUP($B90,Kraftvärmeprod!$B$1:$BX$550,MATCH("Värde enligt ovan. (%)",Kraftvärmeprod!$B$1:$BX$1,0),FALSE),"")</f>
        <v/>
      </c>
      <c r="BN90" s="227"/>
      <c r="BO90" s="227"/>
      <c r="BP90" s="227"/>
      <c r="BQ90" s="227" t="str">
        <f>IF($BF90="ja",VLOOKUP($B90,'Egen hetvattenprod'!$B$1:$BX$550,MATCH("Tillförd olja (fossil) vid avfallsförbränning (GWh)",'Egen hetvattenprod'!$B$1:$BX$1,0),FALSE),"")</f>
        <v/>
      </c>
      <c r="BR90" s="227" t="str">
        <f>IF($BF90="ja",VLOOKUP($B90,Kraftvärmeprod!$B$1:$BX$550,MATCH("Tillförd olja (fossil) vid avfallsförbränning (GWh)",Kraftvärmeprod!$B$1:$BX$1,0),FALSE),"")</f>
        <v/>
      </c>
      <c r="BS90" s="227"/>
      <c r="BT90" s="227"/>
      <c r="BU90" s="227"/>
    </row>
    <row r="91" spans="1:73" x14ac:dyDescent="0.25">
      <c r="A91" s="121" t="str">
        <f>'Miljövärden för publ företag'!B94</f>
        <v>Göteborg Energi AB</v>
      </c>
      <c r="B91" s="121" t="str">
        <f>'Miljövärden för publ företag'!C94</f>
        <v>Göteborg Ale</v>
      </c>
      <c r="C91" s="173">
        <f>IFERROR(VLOOKUP($B91,Totalt!$B$1:$AQ$554,MATCH(C$2,Totalt!$B$1:$AQ$1,0),FALSE),"")</f>
        <v>0</v>
      </c>
      <c r="D91" s="173">
        <f>IFERROR(VLOOKUP($B91,Totalt!$B$1:$AQ$554,MATCH(D$2,Totalt!$B$1:$AQ$1,0),FALSE),"")</f>
        <v>1.383</v>
      </c>
      <c r="E91" s="173">
        <f>IFERROR(VLOOKUP($B91,Totalt!$B$1:$AQ$554,MATCH(E$2,Totalt!$B$1:$AQ$1,0),FALSE),"")</f>
        <v>0</v>
      </c>
      <c r="F91" s="173">
        <f>IFERROR(VLOOKUP($B91,Totalt!$B$1:$AQ$554,MATCH(F$2,Totalt!$B$1:$AQ$1,0),FALSE),"")</f>
        <v>4.4450000000000003</v>
      </c>
      <c r="G91" s="173">
        <f>IFERROR(VLOOKUP($B91,Totalt!$B$1:$AQ$554,MATCH(G$2,Totalt!$B$1:$AQ$1,0),FALSE),"")</f>
        <v>433.72</v>
      </c>
      <c r="H91" s="173">
        <f>IFERROR(VLOOKUP($B91,Totalt!$B$1:$AQ$554,MATCH(H$2,Totalt!$B$1:$AQ$1,0),FALSE),"")</f>
        <v>0</v>
      </c>
      <c r="I91" s="173">
        <f>IFERROR(VLOOKUP($B91,Totalt!$B$1:$AQ$554,MATCH(I$2,Totalt!$B$1:$AQ$1,0),FALSE),"")</f>
        <v>875.61599999999999</v>
      </c>
      <c r="J91" s="173">
        <f>IFERROR(VLOOKUP($B91,Totalt!$B$1:$AQ$554,MATCH(J$2,Totalt!$B$1:$AQ$1,0),FALSE),"")</f>
        <v>67.346999999999994</v>
      </c>
      <c r="K91" s="173">
        <f>IFERROR(VLOOKUP($B91,Totalt!$B$1:$AQ$554,MATCH(K$2,Totalt!$B$1:$AQ$1,0),FALSE),"")</f>
        <v>0</v>
      </c>
      <c r="L91" s="173">
        <f>IFERROR(VLOOKUP($B91,Totalt!$B$1:$AQ$554,MATCH(L$2,Totalt!$B$1:$AQ$1,0),FALSE),"")</f>
        <v>0</v>
      </c>
      <c r="M91" s="173">
        <f>IFERROR(VLOOKUP($B91,Totalt!$B$1:$AQ$554,MATCH(M$2,Totalt!$B$1:$AQ$1,0),FALSE),"")</f>
        <v>28.841000000000001</v>
      </c>
      <c r="N91" s="173">
        <f>IFERROR(VLOOKUP($B91,Totalt!$B$1:$AQ$554,MATCH(N$2,Totalt!$B$1:$AQ$1,0),FALSE),"")</f>
        <v>56.429000000000002</v>
      </c>
      <c r="O91" s="173">
        <f>IFERROR(VLOOKUP($B91,Totalt!$B$1:$AQ$554,MATCH(O$2,Totalt!$B$1:$AQ$1,0),FALSE),"")</f>
        <v>0</v>
      </c>
      <c r="P91" s="173">
        <f>IFERROR(VLOOKUP($B91,Totalt!$B$1:$AQ$554,MATCH(P$2,Totalt!$B$1:$AQ$1,0),FALSE),"")</f>
        <v>22.571000000000002</v>
      </c>
      <c r="Q91" s="173">
        <f>IFERROR(VLOOKUP($B91,Totalt!$B$1:$AQ$554,MATCH(Q$2,Totalt!$B$1:$AQ$1,0),FALSE),"")</f>
        <v>20.720500000000001</v>
      </c>
      <c r="R91" s="173">
        <f>IFERROR(VLOOKUP($B91,Totalt!$B$1:$AQ$554,MATCH(R$2,Totalt!$B$1:$AQ$1,0),FALSE),"")</f>
        <v>144.43899999999999</v>
      </c>
      <c r="S91" s="173">
        <f>IFERROR(VLOOKUP($B91,Totalt!$B$1:$AQ$554,MATCH(S$2,Totalt!$B$1:$AQ$1,0),FALSE),"")</f>
        <v>0</v>
      </c>
      <c r="T91" s="173">
        <f>IFERROR(VLOOKUP($B91,Totalt!$B$1:$AQ$554,MATCH(T$2,Totalt!$B$1:$AQ$1,0),FALSE),"")</f>
        <v>0</v>
      </c>
      <c r="U91" s="173">
        <f>IFERROR(VLOOKUP($B91,Totalt!$B$1:$AQ$554,MATCH(U$2,Totalt!$B$1:$AQ$1,0),FALSE),"")</f>
        <v>0</v>
      </c>
      <c r="V91" s="173">
        <f>IFERROR(VLOOKUP($B91,Totalt!$B$1:$AQ$554,MATCH(V$2,Totalt!$B$1:$AQ$1,0),FALSE),"")</f>
        <v>0</v>
      </c>
      <c r="W91" s="173">
        <f>IFERROR(VLOOKUP($B91,Totalt!$B$1:$AQ$554,MATCH(W$2,Totalt!$B$1:$AQ$1,0),FALSE),"")</f>
        <v>3.1179999999999999</v>
      </c>
      <c r="X91" s="173">
        <f>IFERROR(VLOOKUP($B91,Totalt!$B$1:$AQ$554,MATCH(X$2,Totalt!$B$1:$AQ$1,0),FALSE),"")</f>
        <v>0</v>
      </c>
      <c r="Y91" s="173">
        <f>IFERROR(VLOOKUP($B91,Totalt!$B$1:$AQ$554,MATCH(Y$2,Totalt!$B$1:$AQ$1,0),FALSE),"")</f>
        <v>0</v>
      </c>
      <c r="Z91" s="173">
        <f>IFERROR(VLOOKUP($B91,Totalt!$B$1:$AQ$554,MATCH(Z$2,Totalt!$B$1:$AQ$1,0),FALSE),"")</f>
        <v>0</v>
      </c>
      <c r="AA91" s="173">
        <f>IFERROR(VLOOKUP($B91,Totalt!$B$1:$AQ$554,MATCH(AA$2,Totalt!$B$1:$AQ$1,0),FALSE),"")</f>
        <v>121.14400000000001</v>
      </c>
      <c r="AB91" s="173">
        <f>IFERROR(VLOOKUP($B91,Totalt!$B$1:$AQ$554,MATCH(AB$2,Totalt!$B$1:$AQ$1,0),FALSE),"")</f>
        <v>292.68400000000003</v>
      </c>
      <c r="AC91" s="173">
        <f>IFERROR(VLOOKUP($B91,Totalt!$B$1:$AQ$554,MATCH(AC$2,Totalt!$B$1:$AQ$1,0),FALSE),"")</f>
        <v>386.97399999999999</v>
      </c>
      <c r="AD91" s="173">
        <f>IFERROR(VLOOKUP($B91,Totalt!$B$1:$AQ$554,MATCH(AD$2,Totalt!$B$1:$AQ$1,0),FALSE),"")</f>
        <v>1212.21</v>
      </c>
      <c r="AE91" s="173">
        <f>IFERROR(VLOOKUP($B91,Totalt!$B$1:$AQ$554,MATCH(AE$2,Totalt!$B$1:$AQ$1,0),FALSE),"")</f>
        <v>0</v>
      </c>
      <c r="AF91" s="173">
        <f>IFERROR(VLOOKUP($B91,Totalt!$B$1:$AQ$554,MATCH(AF$2,Totalt!$B$1:$AQ$1,0),FALSE),"")</f>
        <v>49.591000000000001</v>
      </c>
      <c r="AG91" s="173">
        <f>IFERROR(VLOOKUP($B91,Totalt!$B$1:$AQ$554,MATCH(AG$2,Totalt!$B$1:$AQ$1,0),FALSE),"")</f>
        <v>98.918999999999997</v>
      </c>
      <c r="AI91" s="226">
        <f t="shared" si="6"/>
        <v>3820.1514999999999</v>
      </c>
      <c r="AJ91" s="226">
        <f>IF(ISERROR(1/VLOOKUP($B91,Leveranser!$B$1:$S$500,MATCH("såld värme (gwh)",Leveranser!$B$1:$S$1,0),FALSE)),"",VLOOKUP($B91,Leveranser!$B$1:$S$500,MATCH("såld värme (gwh)",Leveranser!$B$1:$S$1,0),FALSE))</f>
        <v>3363.53</v>
      </c>
      <c r="AM91" s="227" t="str">
        <f>IF(B91&lt;&gt;"",IF(VLOOKUP($B91,Totalt!$B$1:$AQ$554,MATCH("Kvalitetsgranskad:",Totalt!$B$1:$AQ$1,0),FALSE)="ja",VLOOKUP($B91,Miljö!$B$1:$AG$479,MATCH(AM$2,Miljö!$B$1:$AK$1,0),FALSE),""),"")</f>
        <v>Ja</v>
      </c>
      <c r="AN91" s="227" t="str">
        <f>IF(AM91="ja",VLOOKUP($B91,Miljö!$B$1:$J$479,MATCH("Typ av ursprungsspecificerad el   (Om inget värde anges används Nordisk residualmix, se inforuta) ()",Miljö!$B$1:$J$1,0),FALSE),IF(AM91="nej","Nordisk residualel",""))</f>
        <v>'Bra Miljöval el'</v>
      </c>
      <c r="AO91" s="227">
        <f>IF(AM91="","",VLOOKUP($B91,Miljö!$B$1:$J$479,MATCH("Fossilandel för ursprungspecificerad el ()",Miljö!$B$1:$J$1,0),FALSE))</f>
        <v>0</v>
      </c>
      <c r="AP91" s="227">
        <f>IF(AM91="","",IFERROR(VLOOKUP($B91,Miljö!$B$1:$J$479,MATCH("Kärnkraftsandel för ursprungsspecificerad el ()",Miljö!$B$1:$J$1,0),FALSE)/1,0))</f>
        <v>0</v>
      </c>
      <c r="AQ91" s="227">
        <f t="shared" si="7"/>
        <v>1</v>
      </c>
      <c r="AR91" s="227"/>
      <c r="AS91" s="227" t="str">
        <f t="shared" si="8"/>
        <v>Ja</v>
      </c>
      <c r="AT91" s="227">
        <f>IF(AS91="ja",VLOOKUP($B91,Miljö!$B$1:$O$500,MATCH("Fossil andel i procent (%)",Miljö!$B$1:$O$1,0),FALSE)/100,"")</f>
        <v>0</v>
      </c>
      <c r="AU91" s="227"/>
      <c r="AV91" s="227" t="str">
        <f t="shared" si="9"/>
        <v>Ja</v>
      </c>
      <c r="AW91" s="227" t="str">
        <f>IF(AV91="ja",VLOOKUP($B91,'Egen hetvattenprod'!$B$1:$AO$500,MATCH("Värmekälla till värmepumpar ()",'Egen hetvattenprod'!$B$1:$AO$1,0),FALSE),"")</f>
        <v>Renat avloppsvatten</v>
      </c>
      <c r="AX91" s="227"/>
      <c r="AY91" s="227" t="str">
        <f t="shared" si="10"/>
        <v>Ja</v>
      </c>
      <c r="AZ91" s="228">
        <f>IF($AY91="ja",(VLOOKUP($B91,'Egen hetvattenprod'!$B$1:$BX$550,MATCH(AZ$2,'Egen hetvattenprod'!$B$1:$BX$1,0),FALSE)+VLOOKUP($B91,Kraftvärmeprod!$B$1:$BX$550,MATCH(AZ$2,Kraftvärmeprod!$B$1:$BX$1,0),FALSE))/$AC91,"")</f>
        <v>9.7065952751347634E-2</v>
      </c>
      <c r="BA91" s="228">
        <f>IF($AY91="ja",(VLOOKUP($B91,'Egen hetvattenprod'!$B$1:$BX$550,MATCH(BA$2,'Egen hetvattenprod'!$B$1:$BX$1,0),FALSE)+VLOOKUP($B91,Kraftvärmeprod!$B$1:$BX$550,MATCH(BA$2,Kraftvärmeprod!$B$1:$BX$1,0),FALSE))/$AC91,"")</f>
        <v>0.89236971889584304</v>
      </c>
      <c r="BB91" s="228">
        <f>IF($AY91="ja",(VLOOKUP($B91,'Egen hetvattenprod'!$B$1:$BX$550,MATCH(BB$2,'Egen hetvattenprod'!$B$1:$BX$1,0),FALSE)+VLOOKUP($B91,Kraftvärmeprod!$B$1:$BX$550,MATCH(BB$2,Kraftvärmeprod!$B$1:$BX$1,0),FALSE))/$AC91,"")</f>
        <v>1.0564328352809231E-2</v>
      </c>
      <c r="BC91" s="228">
        <f>IF($AY91="ja",(VLOOKUP($B91,'Egen hetvattenprod'!$B$1:$BX$550,MATCH(BC$2,'Egen hetvattenprod'!$B$1:$BX$1,0),FALSE)+VLOOKUP($B91,Kraftvärmeprod!$B$1:$BX$550,MATCH(BC$2,Kraftvärmeprod!$B$1:$BX$1,0),FALSE))/$AC91,"")</f>
        <v>0</v>
      </c>
      <c r="BD91" s="228">
        <f>IF($AY91="ja",(VLOOKUP($B91,'Egen hetvattenprod'!$B$1:$BX$550,MATCH(BD$2,'Egen hetvattenprod'!$B$1:$BX$1,0),FALSE)+VLOOKUP($B91,Kraftvärmeprod!$B$1:$BX$550,MATCH(BD$2,Kraftvärmeprod!$B$1:$BX$1,0),FALSE))/$AC91,"")</f>
        <v>1.4689208799766397E-16</v>
      </c>
      <c r="BE91" s="227"/>
      <c r="BF91" s="227" t="str">
        <f t="shared" si="11"/>
        <v>Ja</v>
      </c>
      <c r="BG91" s="227" t="str">
        <f>IF($BF91="ja",VLOOKUP($B91,'Egen hetvattenprod'!$B$1:$BX$550,MATCH("Andelen klimatgaser med fossilt ursprung för avfall ()",'Egen hetvattenprod'!$B$1:$BX$1,0),FALSE),"")</f>
        <v>Mätvärde</v>
      </c>
      <c r="BH91" s="227" t="str">
        <f>IF($BF91="ja",VLOOKUP($B91,Kraftvärmeprod!$B$1:$BX$550,MATCH("Andelen klimatgaser med fossilt ursprung för avfall ()",Kraftvärmeprod!$B$1:$BX$1,0),FALSE),"")</f>
        <v>Ingen redovisning</v>
      </c>
      <c r="BI91" s="227" t="str">
        <f>IF($BF91="ja",VLOOKUP($B91,'Egen hetvattenprod'!$B$1:$BX$550,MATCH("Avfall (GWh)",'Egen hetvattenprod'!$B$1:$BX$1,0),FALSE),"")</f>
        <v>ET</v>
      </c>
      <c r="BJ91" s="227">
        <f>IF($BF91="ja",VLOOKUP($B91,'Slutlig allokering kvv'!$B$1:$BX$550,MATCH("Avfall (GWh)",'Slutlig allokering kvv'!$B$1:$BX$1,0),FALSE),"")</f>
        <v>0</v>
      </c>
      <c r="BK91" s="227">
        <f>IF($BF91="ja",VLOOKUP($B91,'Köpt hetvatten'!$B$1:$BX$550,MATCH("Avfall i köpt hetvatten",'Köpt hetvatten'!$B$1:$BX$1,0),FALSE),"")</f>
        <v>875.61599999999999</v>
      </c>
      <c r="BL91" s="227">
        <f>IF($BF91="ja",VLOOKUP($B91,'Egen hetvattenprod'!$B$1:$BX$550,MATCH("Värde enligt ovan. (%)",'Egen hetvattenprod'!$B$1:$BX$1,0),FALSE),"")</f>
        <v>37</v>
      </c>
      <c r="BM91" s="227" t="str">
        <f>IF($BF91="ja",VLOOKUP($B91,Kraftvärmeprod!$B$1:$BX$550,MATCH("Värde enligt ovan. (%)",Kraftvärmeprod!$B$1:$BX$1,0),FALSE),"")</f>
        <v>ET</v>
      </c>
      <c r="BN91" s="227"/>
      <c r="BO91" s="227"/>
      <c r="BP91" s="227"/>
      <c r="BQ91" s="227" t="str">
        <f>IF($BF91="ja",VLOOKUP($B91,'Egen hetvattenprod'!$B$1:$BX$550,MATCH("Tillförd olja (fossil) vid avfallsförbränning (GWh)",'Egen hetvattenprod'!$B$1:$BX$1,0),FALSE),"")</f>
        <v>ET</v>
      </c>
      <c r="BR91" s="227" t="str">
        <f>IF($BF91="ja",VLOOKUP($B91,Kraftvärmeprod!$B$1:$BX$550,MATCH("Tillförd olja (fossil) vid avfallsförbränning (GWh)",Kraftvärmeprod!$B$1:$BX$1,0),FALSE),"")</f>
        <v>ET</v>
      </c>
      <c r="BS91" s="227"/>
      <c r="BT91" s="227"/>
      <c r="BU91" s="227"/>
    </row>
    <row r="92" spans="1:73" x14ac:dyDescent="0.25">
      <c r="A92" s="121" t="str">
        <f>'Miljövärden för publ företag'!B95</f>
        <v>Göteborg Energi AB</v>
      </c>
      <c r="B92" s="121" t="str">
        <f>'Miljövärden för publ företag'!C95</f>
        <v>Göteborg Ale Bra Miljöval</v>
      </c>
      <c r="C92" s="173">
        <f>IFERROR(VLOOKUP($B92,Totalt!$B$1:$AQ$554,MATCH(C$2,Totalt!$B$1:$AQ$1,0),FALSE),"")</f>
        <v>0</v>
      </c>
      <c r="D92" s="173">
        <f>IFERROR(VLOOKUP($B92,Totalt!$B$1:$AQ$554,MATCH(D$2,Totalt!$B$1:$AQ$1,0),FALSE),"")</f>
        <v>0</v>
      </c>
      <c r="E92" s="173">
        <f>IFERROR(VLOOKUP($B92,Totalt!$B$1:$AQ$554,MATCH(E$2,Totalt!$B$1:$AQ$1,0),FALSE),"")</f>
        <v>0</v>
      </c>
      <c r="F92" s="173">
        <f>IFERROR(VLOOKUP($B92,Totalt!$B$1:$AQ$554,MATCH(F$2,Totalt!$B$1:$AQ$1,0),FALSE),"")</f>
        <v>0</v>
      </c>
      <c r="G92" s="173">
        <f>IFERROR(VLOOKUP($B92,Totalt!$B$1:$AQ$554,MATCH(G$2,Totalt!$B$1:$AQ$1,0),FALSE),"")</f>
        <v>0</v>
      </c>
      <c r="H92" s="173">
        <f>IFERROR(VLOOKUP($B92,Totalt!$B$1:$AQ$554,MATCH(H$2,Totalt!$B$1:$AQ$1,0),FALSE),"")</f>
        <v>0</v>
      </c>
      <c r="I92" s="173">
        <f>IFERROR(VLOOKUP($B92,Totalt!$B$1:$AQ$554,MATCH(I$2,Totalt!$B$1:$AQ$1,0),FALSE),"")</f>
        <v>0</v>
      </c>
      <c r="J92" s="173">
        <f>IFERROR(VLOOKUP($B92,Totalt!$B$1:$AQ$554,MATCH(J$2,Totalt!$B$1:$AQ$1,0),FALSE),"")</f>
        <v>0</v>
      </c>
      <c r="K92" s="173">
        <f>IFERROR(VLOOKUP($B92,Totalt!$B$1:$AQ$554,MATCH(K$2,Totalt!$B$1:$AQ$1,0),FALSE),"")</f>
        <v>0</v>
      </c>
      <c r="L92" s="173">
        <f>IFERROR(VLOOKUP($B92,Totalt!$B$1:$AQ$554,MATCH(L$2,Totalt!$B$1:$AQ$1,0),FALSE),"")</f>
        <v>0</v>
      </c>
      <c r="M92" s="173">
        <f>IFERROR(VLOOKUP($B92,Totalt!$B$1:$AQ$554,MATCH(M$2,Totalt!$B$1:$AQ$1,0),FALSE),"")</f>
        <v>31.954999999999998</v>
      </c>
      <c r="N92" s="173">
        <f>IFERROR(VLOOKUP($B92,Totalt!$B$1:$AQ$554,MATCH(N$2,Totalt!$B$1:$AQ$1,0),FALSE),"")</f>
        <v>62.521999999999998</v>
      </c>
      <c r="O92" s="173">
        <f>IFERROR(VLOOKUP($B92,Totalt!$B$1:$AQ$554,MATCH(O$2,Totalt!$B$1:$AQ$1,0),FALSE),"")</f>
        <v>0</v>
      </c>
      <c r="P92" s="173">
        <f>IFERROR(VLOOKUP($B92,Totalt!$B$1:$AQ$554,MATCH(P$2,Totalt!$B$1:$AQ$1,0),FALSE),"")</f>
        <v>25.009</v>
      </c>
      <c r="Q92" s="173">
        <f>IFERROR(VLOOKUP($B92,Totalt!$B$1:$AQ$554,MATCH(Q$2,Totalt!$B$1:$AQ$1,0),FALSE),"")</f>
        <v>19.451000000000001</v>
      </c>
      <c r="R92" s="173">
        <f>IFERROR(VLOOKUP($B92,Totalt!$B$1:$AQ$554,MATCH(R$2,Totalt!$B$1:$AQ$1,0),FALSE),"")</f>
        <v>0</v>
      </c>
      <c r="S92" s="173">
        <f>IFERROR(VLOOKUP($B92,Totalt!$B$1:$AQ$554,MATCH(S$2,Totalt!$B$1:$AQ$1,0),FALSE),"")</f>
        <v>0</v>
      </c>
      <c r="T92" s="173">
        <f>IFERROR(VLOOKUP($B92,Totalt!$B$1:$AQ$554,MATCH(T$2,Totalt!$B$1:$AQ$1,0),FALSE),"")</f>
        <v>0</v>
      </c>
      <c r="U92" s="173">
        <f>IFERROR(VLOOKUP($B92,Totalt!$B$1:$AQ$554,MATCH(U$2,Totalt!$B$1:$AQ$1,0),FALSE),"")</f>
        <v>0</v>
      </c>
      <c r="V92" s="173">
        <f>IFERROR(VLOOKUP($B92,Totalt!$B$1:$AQ$554,MATCH(V$2,Totalt!$B$1:$AQ$1,0),FALSE),"")</f>
        <v>0</v>
      </c>
      <c r="W92" s="173">
        <f>IFERROR(VLOOKUP($B92,Totalt!$B$1:$AQ$554,MATCH(W$2,Totalt!$B$1:$AQ$1,0),FALSE),"")</f>
        <v>0.550315</v>
      </c>
      <c r="X92" s="173">
        <f>IFERROR(VLOOKUP($B92,Totalt!$B$1:$AQ$554,MATCH(X$2,Totalt!$B$1:$AQ$1,0),FALSE),"")</f>
        <v>0</v>
      </c>
      <c r="Y92" s="173">
        <f>IFERROR(VLOOKUP($B92,Totalt!$B$1:$AQ$554,MATCH(Y$2,Totalt!$B$1:$AQ$1,0),FALSE),"")</f>
        <v>0</v>
      </c>
      <c r="Z92" s="173">
        <f>IFERROR(VLOOKUP($B92,Totalt!$B$1:$AQ$554,MATCH(Z$2,Totalt!$B$1:$AQ$1,0),FALSE),"")</f>
        <v>0</v>
      </c>
      <c r="AA92" s="173">
        <f>IFERROR(VLOOKUP($B92,Totalt!$B$1:$AQ$554,MATCH(AA$2,Totalt!$B$1:$AQ$1,0),FALSE),"")</f>
        <v>0</v>
      </c>
      <c r="AB92" s="173">
        <f>IFERROR(VLOOKUP($B92,Totalt!$B$1:$AQ$554,MATCH(AB$2,Totalt!$B$1:$AQ$1,0),FALSE),"")</f>
        <v>0</v>
      </c>
      <c r="AC92" s="173">
        <f>IFERROR(VLOOKUP($B92,Totalt!$B$1:$AQ$554,MATCH(AC$2,Totalt!$B$1:$AQ$1,0),FALSE),"")</f>
        <v>41.618000000000002</v>
      </c>
      <c r="AD92" s="173">
        <f>IFERROR(VLOOKUP($B92,Totalt!$B$1:$AQ$554,MATCH(AD$2,Totalt!$B$1:$AQ$1,0),FALSE),"")</f>
        <v>0</v>
      </c>
      <c r="AE92" s="173">
        <f>IFERROR(VLOOKUP($B92,Totalt!$B$1:$AQ$554,MATCH(AE$2,Totalt!$B$1:$AQ$1,0),FALSE),"")</f>
        <v>0</v>
      </c>
      <c r="AF92" s="173">
        <f>IFERROR(VLOOKUP($B92,Totalt!$B$1:$AQ$554,MATCH(AF$2,Totalt!$B$1:$AQ$1,0),FALSE),"")</f>
        <v>7.5789999999999997</v>
      </c>
      <c r="AG92" s="173">
        <f>IFERROR(VLOOKUP($B92,Totalt!$B$1:$AQ$554,MATCH(AG$2,Totalt!$B$1:$AQ$1,0),FALSE),"")</f>
        <v>0</v>
      </c>
      <c r="AI92" s="226">
        <f t="shared" si="6"/>
        <v>188.68431500000003</v>
      </c>
      <c r="AJ92" s="226">
        <f>IF(ISERROR(1/VLOOKUP($B92,Leveranser!$B$1:$S$500,MATCH("såld värme (gwh)",Leveranser!$B$1:$S$1,0),FALSE)),"",VLOOKUP($B92,Leveranser!$B$1:$S$500,MATCH("såld värme (gwh)",Leveranser!$B$1:$S$1,0),FALSE))</f>
        <v>165.02</v>
      </c>
      <c r="AM92" s="227" t="str">
        <f>IF(B92&lt;&gt;"",IF(VLOOKUP($B92,Totalt!$B$1:$AQ$554,MATCH("Kvalitetsgranskad:",Totalt!$B$1:$AQ$1,0),FALSE)="ja",VLOOKUP($B92,Miljö!$B$1:$AG$479,MATCH(AM$2,Miljö!$B$1:$AK$1,0),FALSE),""),"")</f>
        <v>Ja</v>
      </c>
      <c r="AN92" s="227" t="str">
        <f>IF(AM92="ja",VLOOKUP($B92,Miljö!$B$1:$J$479,MATCH("Typ av ursprungsspecificerad el   (Om inget värde anges används Nordisk residualmix, se inforuta) ()",Miljö!$B$1:$J$1,0),FALSE),IF(AM92="nej","Nordisk residualel",""))</f>
        <v>'Bra Miljöval'</v>
      </c>
      <c r="AO92" s="227">
        <f>IF(AM92="","",VLOOKUP($B92,Miljö!$B$1:$J$479,MATCH("Fossilandel för ursprungspecificerad el ()",Miljö!$B$1:$J$1,0),FALSE))</f>
        <v>0</v>
      </c>
      <c r="AP92" s="227">
        <f>IF(AM92="","",IFERROR(VLOOKUP($B92,Miljö!$B$1:$J$479,MATCH("Kärnkraftsandel för ursprungsspecificerad el ()",Miljö!$B$1:$J$1,0),FALSE)/1,0))</f>
        <v>0</v>
      </c>
      <c r="AQ92" s="227">
        <f t="shared" si="7"/>
        <v>1</v>
      </c>
      <c r="AR92" s="227"/>
      <c r="AS92" s="227" t="str">
        <f t="shared" si="8"/>
        <v>Nej</v>
      </c>
      <c r="AT92" s="227" t="str">
        <f>IF(AS92="ja",VLOOKUP($B92,Miljö!$B$1:$O$500,MATCH("Fossil andel i procent (%)",Miljö!$B$1:$O$1,0),FALSE)/100,"")</f>
        <v/>
      </c>
      <c r="AU92" s="227"/>
      <c r="AV92" s="227" t="str">
        <f t="shared" si="9"/>
        <v>Nej</v>
      </c>
      <c r="AW92" s="227" t="str">
        <f>IF(AV92="ja",VLOOKUP($B92,'Egen hetvattenprod'!$B$1:$AO$500,MATCH("Värmekälla till värmepumpar ()",'Egen hetvattenprod'!$B$1:$AO$1,0),FALSE),"")</f>
        <v/>
      </c>
      <c r="AX92" s="227"/>
      <c r="AY92" s="227" t="str">
        <f t="shared" si="10"/>
        <v>Ja</v>
      </c>
      <c r="AZ92" s="228">
        <f>IF($AY92="ja",(VLOOKUP($B92,'Egen hetvattenprod'!$B$1:$BX$550,MATCH(AZ$2,'Egen hetvattenprod'!$B$1:$BX$1,0),FALSE)+VLOOKUP($B92,Kraftvärmeprod!$B$1:$BX$550,MATCH(AZ$2,Kraftvärmeprod!$B$1:$BX$1,0),FALSE))/$AC92,"")</f>
        <v>1</v>
      </c>
      <c r="BA92" s="228">
        <f>IF($AY92="ja",(VLOOKUP($B92,'Egen hetvattenprod'!$B$1:$BX$550,MATCH(BA$2,'Egen hetvattenprod'!$B$1:$BX$1,0),FALSE)+VLOOKUP($B92,Kraftvärmeprod!$B$1:$BX$550,MATCH(BA$2,Kraftvärmeprod!$B$1:$BX$1,0),FALSE))/$AC92,"")</f>
        <v>0</v>
      </c>
      <c r="BB92" s="228">
        <f>IF($AY92="ja",(VLOOKUP($B92,'Egen hetvattenprod'!$B$1:$BX$550,MATCH(BB$2,'Egen hetvattenprod'!$B$1:$BX$1,0),FALSE)+VLOOKUP($B92,Kraftvärmeprod!$B$1:$BX$550,MATCH(BB$2,Kraftvärmeprod!$B$1:$BX$1,0),FALSE))/$AC92,"")</f>
        <v>0</v>
      </c>
      <c r="BC92" s="228">
        <f>IF($AY92="ja",(VLOOKUP($B92,'Egen hetvattenprod'!$B$1:$BX$550,MATCH(BC$2,'Egen hetvattenprod'!$B$1:$BX$1,0),FALSE)+VLOOKUP($B92,Kraftvärmeprod!$B$1:$BX$550,MATCH(BC$2,Kraftvärmeprod!$B$1:$BX$1,0),FALSE))/$AC92,"")</f>
        <v>0</v>
      </c>
      <c r="BD92" s="228">
        <f>IF($AY92="ja",(VLOOKUP($B92,'Egen hetvattenprod'!$B$1:$BX$550,MATCH(BD$2,'Egen hetvattenprod'!$B$1:$BX$1,0),FALSE)+VLOOKUP($B92,Kraftvärmeprod!$B$1:$BX$550,MATCH(BD$2,Kraftvärmeprod!$B$1:$BX$1,0),FALSE))/$AC92,"")</f>
        <v>0</v>
      </c>
      <c r="BE92" s="227"/>
      <c r="BF92" s="227" t="str">
        <f t="shared" si="11"/>
        <v>Nej</v>
      </c>
      <c r="BG92" s="227" t="str">
        <f>IF($BF92="ja",VLOOKUP($B92,'Egen hetvattenprod'!$B$1:$BX$550,MATCH("Andelen klimatgaser med fossilt ursprung för avfall ()",'Egen hetvattenprod'!$B$1:$BX$1,0),FALSE),"")</f>
        <v/>
      </c>
      <c r="BH92" s="227" t="str">
        <f>IF($BF92="ja",VLOOKUP($B92,Kraftvärmeprod!$B$1:$BX$550,MATCH("Andelen klimatgaser med fossilt ursprung för avfall ()",Kraftvärmeprod!$B$1:$BX$1,0),FALSE),"")</f>
        <v/>
      </c>
      <c r="BI92" s="227" t="str">
        <f>IF($BF92="ja",VLOOKUP($B92,'Egen hetvattenprod'!$B$1:$BX$550,MATCH("Avfall (GWh)",'Egen hetvattenprod'!$B$1:$BX$1,0),FALSE),"")</f>
        <v/>
      </c>
      <c r="BJ92" s="227" t="str">
        <f>IF($BF92="ja",VLOOKUP($B92,'Slutlig allokering kvv'!$B$1:$BX$550,MATCH("Avfall (GWh)",'Slutlig allokering kvv'!$B$1:$BX$1,0),FALSE),"")</f>
        <v/>
      </c>
      <c r="BK92" s="227" t="str">
        <f>IF($BF92="ja",VLOOKUP($B92,'Köpt hetvatten'!$B$1:$BX$550,MATCH("Avfall i köpt hetvatten",'Köpt hetvatten'!$B$1:$BX$1,0),FALSE),"")</f>
        <v/>
      </c>
      <c r="BL92" s="227" t="str">
        <f>IF($BF92="ja",VLOOKUP($B92,'Egen hetvattenprod'!$B$1:$BX$550,MATCH("Värde enligt ovan. (%)",'Egen hetvattenprod'!$B$1:$BX$1,0),FALSE),"")</f>
        <v/>
      </c>
      <c r="BM92" s="227" t="str">
        <f>IF($BF92="ja",VLOOKUP($B92,Kraftvärmeprod!$B$1:$BX$550,MATCH("Värde enligt ovan. (%)",Kraftvärmeprod!$B$1:$BX$1,0),FALSE),"")</f>
        <v/>
      </c>
      <c r="BN92" s="227"/>
      <c r="BO92" s="227"/>
      <c r="BP92" s="227"/>
      <c r="BQ92" s="227" t="str">
        <f>IF($BF92="ja",VLOOKUP($B92,'Egen hetvattenprod'!$B$1:$BX$550,MATCH("Tillförd olja (fossil) vid avfallsförbränning (GWh)",'Egen hetvattenprod'!$B$1:$BX$1,0),FALSE),"")</f>
        <v/>
      </c>
      <c r="BR92" s="227" t="str">
        <f>IF($BF92="ja",VLOOKUP($B92,Kraftvärmeprod!$B$1:$BX$550,MATCH("Tillförd olja (fossil) vid avfallsförbränning (GWh)",Kraftvärmeprod!$B$1:$BX$1,0),FALSE),"")</f>
        <v/>
      </c>
      <c r="BS92" s="227"/>
      <c r="BT92" s="227"/>
      <c r="BU92" s="227"/>
    </row>
    <row r="93" spans="1:73" x14ac:dyDescent="0.25">
      <c r="A93" s="121" t="str">
        <f>'Miljövärden för publ företag'!B96</f>
        <v>Götene Vatten &amp; Värme AB</v>
      </c>
      <c r="B93" s="121" t="str">
        <f>'Miljövärden för publ företag'!C96</f>
        <v>Götene</v>
      </c>
      <c r="C93" s="173">
        <f>IFERROR(VLOOKUP($B93,Totalt!$B$1:$AQ$554,MATCH(C$2,Totalt!$B$1:$AQ$1,0),FALSE),"")</f>
        <v>0</v>
      </c>
      <c r="D93" s="173">
        <f>IFERROR(VLOOKUP($B93,Totalt!$B$1:$AQ$554,MATCH(D$2,Totalt!$B$1:$AQ$1,0),FALSE),"")</f>
        <v>4.6630000000000003</v>
      </c>
      <c r="E93" s="173">
        <f>IFERROR(VLOOKUP($B93,Totalt!$B$1:$AQ$554,MATCH(E$2,Totalt!$B$1:$AQ$1,0),FALSE),"")</f>
        <v>0</v>
      </c>
      <c r="F93" s="173">
        <f>IFERROR(VLOOKUP($B93,Totalt!$B$1:$AQ$554,MATCH(F$2,Totalt!$B$1:$AQ$1,0),FALSE),"")</f>
        <v>0</v>
      </c>
      <c r="G93" s="173">
        <f>IFERROR(VLOOKUP($B93,Totalt!$B$1:$AQ$554,MATCH(G$2,Totalt!$B$1:$AQ$1,0),FALSE),"")</f>
        <v>0</v>
      </c>
      <c r="H93" s="173">
        <f>IFERROR(VLOOKUP($B93,Totalt!$B$1:$AQ$554,MATCH(H$2,Totalt!$B$1:$AQ$1,0),FALSE),"")</f>
        <v>0</v>
      </c>
      <c r="I93" s="173">
        <f>IFERROR(VLOOKUP($B93,Totalt!$B$1:$AQ$554,MATCH(I$2,Totalt!$B$1:$AQ$1,0),FALSE),"")</f>
        <v>0</v>
      </c>
      <c r="J93" s="173">
        <f>IFERROR(VLOOKUP($B93,Totalt!$B$1:$AQ$554,MATCH(J$2,Totalt!$B$1:$AQ$1,0),FALSE),"")</f>
        <v>0</v>
      </c>
      <c r="K93" s="173">
        <f>IFERROR(VLOOKUP($B93,Totalt!$B$1:$AQ$554,MATCH(K$2,Totalt!$B$1:$AQ$1,0),FALSE),"")</f>
        <v>0</v>
      </c>
      <c r="L93" s="173">
        <f>IFERROR(VLOOKUP($B93,Totalt!$B$1:$AQ$554,MATCH(L$2,Totalt!$B$1:$AQ$1,0),FALSE),"")</f>
        <v>0</v>
      </c>
      <c r="M93" s="173">
        <f>IFERROR(VLOOKUP($B93,Totalt!$B$1:$AQ$554,MATCH(M$2,Totalt!$B$1:$AQ$1,0),FALSE),"")</f>
        <v>37.591999999999999</v>
      </c>
      <c r="N93" s="173">
        <f>IFERROR(VLOOKUP($B93,Totalt!$B$1:$AQ$554,MATCH(N$2,Totalt!$B$1:$AQ$1,0),FALSE),"")</f>
        <v>96.972999999999999</v>
      </c>
      <c r="O93" s="173">
        <f>IFERROR(VLOOKUP($B93,Totalt!$B$1:$AQ$554,MATCH(O$2,Totalt!$B$1:$AQ$1,0),FALSE),"")</f>
        <v>0</v>
      </c>
      <c r="P93" s="173">
        <f>IFERROR(VLOOKUP($B93,Totalt!$B$1:$AQ$554,MATCH(P$2,Totalt!$B$1:$AQ$1,0),FALSE),"")</f>
        <v>0</v>
      </c>
      <c r="Q93" s="173">
        <f>IFERROR(VLOOKUP($B93,Totalt!$B$1:$AQ$554,MATCH(Q$2,Totalt!$B$1:$AQ$1,0),FALSE),"")</f>
        <v>0</v>
      </c>
      <c r="R93" s="173">
        <f>IFERROR(VLOOKUP($B93,Totalt!$B$1:$AQ$554,MATCH(R$2,Totalt!$B$1:$AQ$1,0),FALSE),"")</f>
        <v>0</v>
      </c>
      <c r="S93" s="173">
        <f>IFERROR(VLOOKUP($B93,Totalt!$B$1:$AQ$554,MATCH(S$2,Totalt!$B$1:$AQ$1,0),FALSE),"")</f>
        <v>0</v>
      </c>
      <c r="T93" s="173">
        <f>IFERROR(VLOOKUP($B93,Totalt!$B$1:$AQ$554,MATCH(T$2,Totalt!$B$1:$AQ$1,0),FALSE),"")</f>
        <v>0</v>
      </c>
      <c r="U93" s="173">
        <f>IFERROR(VLOOKUP($B93,Totalt!$B$1:$AQ$554,MATCH(U$2,Totalt!$B$1:$AQ$1,0),FALSE),"")</f>
        <v>0</v>
      </c>
      <c r="V93" s="173">
        <f>IFERROR(VLOOKUP($B93,Totalt!$B$1:$AQ$554,MATCH(V$2,Totalt!$B$1:$AQ$1,0),FALSE),"")</f>
        <v>0</v>
      </c>
      <c r="W93" s="173">
        <f>IFERROR(VLOOKUP($B93,Totalt!$B$1:$AQ$554,MATCH(W$2,Totalt!$B$1:$AQ$1,0),FALSE),"")</f>
        <v>0</v>
      </c>
      <c r="X93" s="173">
        <f>IFERROR(VLOOKUP($B93,Totalt!$B$1:$AQ$554,MATCH(X$2,Totalt!$B$1:$AQ$1,0),FALSE),"")</f>
        <v>0</v>
      </c>
      <c r="Y93" s="173">
        <f>IFERROR(VLOOKUP($B93,Totalt!$B$1:$AQ$554,MATCH(Y$2,Totalt!$B$1:$AQ$1,0),FALSE),"")</f>
        <v>0</v>
      </c>
      <c r="Z93" s="173">
        <f>IFERROR(VLOOKUP($B93,Totalt!$B$1:$AQ$554,MATCH(Z$2,Totalt!$B$1:$AQ$1,0),FALSE),"")</f>
        <v>0</v>
      </c>
      <c r="AA93" s="173">
        <f>IFERROR(VLOOKUP($B93,Totalt!$B$1:$AQ$554,MATCH(AA$2,Totalt!$B$1:$AQ$1,0),FALSE),"")</f>
        <v>0</v>
      </c>
      <c r="AB93" s="173">
        <f>IFERROR(VLOOKUP($B93,Totalt!$B$1:$AQ$554,MATCH(AB$2,Totalt!$B$1:$AQ$1,0),FALSE),"")</f>
        <v>0</v>
      </c>
      <c r="AC93" s="173">
        <f>IFERROR(VLOOKUP($B93,Totalt!$B$1:$AQ$554,MATCH(AC$2,Totalt!$B$1:$AQ$1,0),FALSE),"")</f>
        <v>10.898</v>
      </c>
      <c r="AD93" s="173">
        <f>IFERROR(VLOOKUP($B93,Totalt!$B$1:$AQ$554,MATCH(AD$2,Totalt!$B$1:$AQ$1,0),FALSE),"")</f>
        <v>0</v>
      </c>
      <c r="AE93" s="173">
        <f>IFERROR(VLOOKUP($B93,Totalt!$B$1:$AQ$554,MATCH(AE$2,Totalt!$B$1:$AQ$1,0),FALSE),"")</f>
        <v>0</v>
      </c>
      <c r="AF93" s="173">
        <f>IFERROR(VLOOKUP($B93,Totalt!$B$1:$AQ$554,MATCH(AF$2,Totalt!$B$1:$AQ$1,0),FALSE),"")</f>
        <v>3.3780000000000001</v>
      </c>
      <c r="AG93" s="173">
        <f>IFERROR(VLOOKUP($B93,Totalt!$B$1:$AQ$554,MATCH(AG$2,Totalt!$B$1:$AQ$1,0),FALSE),"")</f>
        <v>0</v>
      </c>
      <c r="AI93" s="226">
        <f t="shared" si="6"/>
        <v>153.50400000000002</v>
      </c>
      <c r="AJ93" s="226">
        <f>IF(ISERROR(1/VLOOKUP($B93,Leveranser!$B$1:$S$500,MATCH("såld värme (gwh)",Leveranser!$B$1:$S$1,0),FALSE)),"",VLOOKUP($B93,Leveranser!$B$1:$S$500,MATCH("såld värme (gwh)",Leveranser!$B$1:$S$1,0),FALSE))</f>
        <v>113.941</v>
      </c>
      <c r="AM93" s="227" t="str">
        <f>IF(B93&lt;&gt;"",IF(VLOOKUP($B93,Totalt!$B$1:$AQ$554,MATCH("Kvalitetsgranskad:",Totalt!$B$1:$AQ$1,0),FALSE)="ja",VLOOKUP($B93,Miljö!$B$1:$AG$479,MATCH(AM$2,Miljö!$B$1:$AK$1,0),FALSE),""),"")</f>
        <v>Ja</v>
      </c>
      <c r="AN93" s="227" t="str">
        <f>IF(AM93="ja",VLOOKUP($B93,Miljö!$B$1:$J$479,MATCH("Typ av ursprungsspecificerad el   (Om inget värde anges används Nordisk residualmix, se inforuta) ()",Miljö!$B$1:$J$1,0),FALSE),IF(AM93="nej","Nordisk residualel",""))</f>
        <v>'Vattenkraft'</v>
      </c>
      <c r="AO93" s="227">
        <f>IF(AM93="","",VLOOKUP($B93,Miljö!$B$1:$J$479,MATCH("Fossilandel för ursprungspecificerad el ()",Miljö!$B$1:$J$1,0),FALSE))</f>
        <v>0</v>
      </c>
      <c r="AP93" s="227">
        <f>IF(AM93="","",IFERROR(VLOOKUP($B93,Miljö!$B$1:$J$479,MATCH("Kärnkraftsandel för ursprungsspecificerad el ()",Miljö!$B$1:$J$1,0),FALSE)/1,0))</f>
        <v>0</v>
      </c>
      <c r="AQ93" s="227">
        <f t="shared" si="7"/>
        <v>1</v>
      </c>
      <c r="AR93" s="227"/>
      <c r="AS93" s="227" t="str">
        <f t="shared" si="8"/>
        <v>Nej</v>
      </c>
      <c r="AT93" s="227" t="str">
        <f>IF(AS93="ja",VLOOKUP($B93,Miljö!$B$1:$O$500,MATCH("Fossil andel i procent (%)",Miljö!$B$1:$O$1,0),FALSE)/100,"")</f>
        <v/>
      </c>
      <c r="AU93" s="227"/>
      <c r="AV93" s="227" t="str">
        <f t="shared" si="9"/>
        <v>Nej</v>
      </c>
      <c r="AW93" s="227" t="str">
        <f>IF(AV93="ja",VLOOKUP($B93,'Egen hetvattenprod'!$B$1:$AO$500,MATCH("Värmekälla till värmepumpar ()",'Egen hetvattenprod'!$B$1:$AO$1,0),FALSE),"")</f>
        <v/>
      </c>
      <c r="AX93" s="227"/>
      <c r="AY93" s="227" t="str">
        <f t="shared" si="10"/>
        <v>Ja</v>
      </c>
      <c r="AZ93" s="228">
        <f>IF($AY93="ja",(VLOOKUP($B93,'Egen hetvattenprod'!$B$1:$BX$550,MATCH(AZ$2,'Egen hetvattenprod'!$B$1:$BX$1,0),FALSE)+VLOOKUP($B93,Kraftvärmeprod!$B$1:$BX$550,MATCH(AZ$2,Kraftvärmeprod!$B$1:$BX$1,0),FALSE))/$AC93,"")</f>
        <v>0</v>
      </c>
      <c r="BA93" s="228">
        <f>IF($AY93="ja",(VLOOKUP($B93,'Egen hetvattenprod'!$B$1:$BX$550,MATCH(BA$2,'Egen hetvattenprod'!$B$1:$BX$1,0),FALSE)+VLOOKUP($B93,Kraftvärmeprod!$B$1:$BX$550,MATCH(BA$2,Kraftvärmeprod!$B$1:$BX$1,0),FALSE))/$AC93,"")</f>
        <v>0</v>
      </c>
      <c r="BB93" s="228">
        <f>IF($AY93="ja",(VLOOKUP($B93,'Egen hetvattenprod'!$B$1:$BX$550,MATCH(BB$2,'Egen hetvattenprod'!$B$1:$BX$1,0),FALSE)+VLOOKUP($B93,Kraftvärmeprod!$B$1:$BX$550,MATCH(BB$2,Kraftvärmeprod!$B$1:$BX$1,0),FALSE))/$AC93,"")</f>
        <v>0</v>
      </c>
      <c r="BC93" s="228">
        <f>IF($AY93="ja",(VLOOKUP($B93,'Egen hetvattenprod'!$B$1:$BX$550,MATCH(BC$2,'Egen hetvattenprod'!$B$1:$BX$1,0),FALSE)+VLOOKUP($B93,Kraftvärmeprod!$B$1:$BX$550,MATCH(BC$2,Kraftvärmeprod!$B$1:$BX$1,0),FALSE))/$AC93,"")</f>
        <v>0</v>
      </c>
      <c r="BD93" s="228">
        <f>IF($AY93="ja",(VLOOKUP($B93,'Egen hetvattenprod'!$B$1:$BX$550,MATCH(BD$2,'Egen hetvattenprod'!$B$1:$BX$1,0),FALSE)+VLOOKUP($B93,Kraftvärmeprod!$B$1:$BX$550,MATCH(BD$2,Kraftvärmeprod!$B$1:$BX$1,0),FALSE))/$AC93,"")</f>
        <v>1</v>
      </c>
      <c r="BE93" s="227"/>
      <c r="BF93" s="227" t="str">
        <f t="shared" si="11"/>
        <v>Nej</v>
      </c>
      <c r="BG93" s="227" t="str">
        <f>IF($BF93="ja",VLOOKUP($B93,'Egen hetvattenprod'!$B$1:$BX$550,MATCH("Andelen klimatgaser med fossilt ursprung för avfall ()",'Egen hetvattenprod'!$B$1:$BX$1,0),FALSE),"")</f>
        <v/>
      </c>
      <c r="BH93" s="227" t="str">
        <f>IF($BF93="ja",VLOOKUP($B93,Kraftvärmeprod!$B$1:$BX$550,MATCH("Andelen klimatgaser med fossilt ursprung för avfall ()",Kraftvärmeprod!$B$1:$BX$1,0),FALSE),"")</f>
        <v/>
      </c>
      <c r="BI93" s="227" t="str">
        <f>IF($BF93="ja",VLOOKUP($B93,'Egen hetvattenprod'!$B$1:$BX$550,MATCH("Avfall (GWh)",'Egen hetvattenprod'!$B$1:$BX$1,0),FALSE),"")</f>
        <v/>
      </c>
      <c r="BJ93" s="227" t="str">
        <f>IF($BF93="ja",VLOOKUP($B93,'Slutlig allokering kvv'!$B$1:$BX$550,MATCH("Avfall (GWh)",'Slutlig allokering kvv'!$B$1:$BX$1,0),FALSE),"")</f>
        <v/>
      </c>
      <c r="BK93" s="227" t="str">
        <f>IF($BF93="ja",VLOOKUP($B93,'Köpt hetvatten'!$B$1:$BX$550,MATCH("Avfall i köpt hetvatten",'Köpt hetvatten'!$B$1:$BX$1,0),FALSE),"")</f>
        <v/>
      </c>
      <c r="BL93" s="227" t="str">
        <f>IF($BF93="ja",VLOOKUP($B93,'Egen hetvattenprod'!$B$1:$BX$550,MATCH("Värde enligt ovan. (%)",'Egen hetvattenprod'!$B$1:$BX$1,0),FALSE),"")</f>
        <v/>
      </c>
      <c r="BM93" s="227" t="str">
        <f>IF($BF93="ja",VLOOKUP($B93,Kraftvärmeprod!$B$1:$BX$550,MATCH("Värde enligt ovan. (%)",Kraftvärmeprod!$B$1:$BX$1,0),FALSE),"")</f>
        <v/>
      </c>
      <c r="BN93" s="227"/>
      <c r="BO93" s="227"/>
      <c r="BP93" s="227"/>
      <c r="BQ93" s="227" t="str">
        <f>IF($BF93="ja",VLOOKUP($B93,'Egen hetvattenprod'!$B$1:$BX$550,MATCH("Tillförd olja (fossil) vid avfallsförbränning (GWh)",'Egen hetvattenprod'!$B$1:$BX$1,0),FALSE),"")</f>
        <v/>
      </c>
      <c r="BR93" s="227" t="str">
        <f>IF($BF93="ja",VLOOKUP($B93,Kraftvärmeprod!$B$1:$BX$550,MATCH("Tillförd olja (fossil) vid avfallsförbränning (GWh)",Kraftvärmeprod!$B$1:$BX$1,0),FALSE),"")</f>
        <v/>
      </c>
      <c r="BS93" s="227"/>
      <c r="BT93" s="227"/>
      <c r="BU93" s="227"/>
    </row>
    <row r="94" spans="1:73" x14ac:dyDescent="0.25">
      <c r="A94" s="121" t="str">
        <f>'Miljövärden för publ företag'!B97</f>
        <v>Götene Vatten &amp; Värme AB</v>
      </c>
      <c r="B94" s="121" t="str">
        <f>'Miljövärden för publ företag'!C97</f>
        <v>Hällekis</v>
      </c>
      <c r="C94" s="173">
        <f>IFERROR(VLOOKUP($B94,Totalt!$B$1:$AQ$554,MATCH(C$2,Totalt!$B$1:$AQ$1,0),FALSE),"")</f>
        <v>0</v>
      </c>
      <c r="D94" s="173">
        <f>IFERROR(VLOOKUP($B94,Totalt!$B$1:$AQ$554,MATCH(D$2,Totalt!$B$1:$AQ$1,0),FALSE),"")</f>
        <v>8.5000000000000006E-2</v>
      </c>
      <c r="E94" s="173">
        <f>IFERROR(VLOOKUP($B94,Totalt!$B$1:$AQ$554,MATCH(E$2,Totalt!$B$1:$AQ$1,0),FALSE),"")</f>
        <v>0</v>
      </c>
      <c r="F94" s="173">
        <f>IFERROR(VLOOKUP($B94,Totalt!$B$1:$AQ$554,MATCH(F$2,Totalt!$B$1:$AQ$1,0),FALSE),"")</f>
        <v>0</v>
      </c>
      <c r="G94" s="173">
        <f>IFERROR(VLOOKUP($B94,Totalt!$B$1:$AQ$554,MATCH(G$2,Totalt!$B$1:$AQ$1,0),FALSE),"")</f>
        <v>0</v>
      </c>
      <c r="H94" s="173">
        <f>IFERROR(VLOOKUP($B94,Totalt!$B$1:$AQ$554,MATCH(H$2,Totalt!$B$1:$AQ$1,0),FALSE),"")</f>
        <v>0</v>
      </c>
      <c r="I94" s="173">
        <f>IFERROR(VLOOKUP($B94,Totalt!$B$1:$AQ$554,MATCH(I$2,Totalt!$B$1:$AQ$1,0),FALSE),"")</f>
        <v>0</v>
      </c>
      <c r="J94" s="173">
        <f>IFERROR(VLOOKUP($B94,Totalt!$B$1:$AQ$554,MATCH(J$2,Totalt!$B$1:$AQ$1,0),FALSE),"")</f>
        <v>0</v>
      </c>
      <c r="K94" s="173">
        <f>IFERROR(VLOOKUP($B94,Totalt!$B$1:$AQ$554,MATCH(K$2,Totalt!$B$1:$AQ$1,0),FALSE),"")</f>
        <v>0</v>
      </c>
      <c r="L94" s="173">
        <f>IFERROR(VLOOKUP($B94,Totalt!$B$1:$AQ$554,MATCH(L$2,Totalt!$B$1:$AQ$1,0),FALSE),"")</f>
        <v>0</v>
      </c>
      <c r="M94" s="173">
        <f>IFERROR(VLOOKUP($B94,Totalt!$B$1:$AQ$554,MATCH(M$2,Totalt!$B$1:$AQ$1,0),FALSE),"")</f>
        <v>0</v>
      </c>
      <c r="N94" s="173">
        <f>IFERROR(VLOOKUP($B94,Totalt!$B$1:$AQ$554,MATCH(N$2,Totalt!$B$1:$AQ$1,0),FALSE),"")</f>
        <v>0</v>
      </c>
      <c r="O94" s="173">
        <f>IFERROR(VLOOKUP($B94,Totalt!$B$1:$AQ$554,MATCH(O$2,Totalt!$B$1:$AQ$1,0),FALSE),"")</f>
        <v>0</v>
      </c>
      <c r="P94" s="173">
        <f>IFERROR(VLOOKUP($B94,Totalt!$B$1:$AQ$554,MATCH(P$2,Totalt!$B$1:$AQ$1,0),FALSE),"")</f>
        <v>0</v>
      </c>
      <c r="Q94" s="173">
        <f>IFERROR(VLOOKUP($B94,Totalt!$B$1:$AQ$554,MATCH(Q$2,Totalt!$B$1:$AQ$1,0),FALSE),"")</f>
        <v>0</v>
      </c>
      <c r="R94" s="173">
        <f>IFERROR(VLOOKUP($B94,Totalt!$B$1:$AQ$554,MATCH(R$2,Totalt!$B$1:$AQ$1,0),FALSE),"")</f>
        <v>0.17</v>
      </c>
      <c r="S94" s="173">
        <f>IFERROR(VLOOKUP($B94,Totalt!$B$1:$AQ$554,MATCH(S$2,Totalt!$B$1:$AQ$1,0),FALSE),"")</f>
        <v>0</v>
      </c>
      <c r="T94" s="173">
        <f>IFERROR(VLOOKUP($B94,Totalt!$B$1:$AQ$554,MATCH(T$2,Totalt!$B$1:$AQ$1,0),FALSE),"")</f>
        <v>0</v>
      </c>
      <c r="U94" s="173">
        <f>IFERROR(VLOOKUP($B94,Totalt!$B$1:$AQ$554,MATCH(U$2,Totalt!$B$1:$AQ$1,0),FALSE),"")</f>
        <v>0</v>
      </c>
      <c r="V94" s="173">
        <f>IFERROR(VLOOKUP($B94,Totalt!$B$1:$AQ$554,MATCH(V$2,Totalt!$B$1:$AQ$1,0),FALSE),"")</f>
        <v>0</v>
      </c>
      <c r="W94" s="173">
        <f>IFERROR(VLOOKUP($B94,Totalt!$B$1:$AQ$554,MATCH(W$2,Totalt!$B$1:$AQ$1,0),FALSE),"")</f>
        <v>0</v>
      </c>
      <c r="X94" s="173">
        <f>IFERROR(VLOOKUP($B94,Totalt!$B$1:$AQ$554,MATCH(X$2,Totalt!$B$1:$AQ$1,0),FALSE),"")</f>
        <v>0</v>
      </c>
      <c r="Y94" s="173">
        <f>IFERROR(VLOOKUP($B94,Totalt!$B$1:$AQ$554,MATCH(Y$2,Totalt!$B$1:$AQ$1,0),FALSE),"")</f>
        <v>0</v>
      </c>
      <c r="Z94" s="173">
        <f>IFERROR(VLOOKUP($B94,Totalt!$B$1:$AQ$554,MATCH(Z$2,Totalt!$B$1:$AQ$1,0),FALSE),"")</f>
        <v>0</v>
      </c>
      <c r="AA94" s="173">
        <f>IFERROR(VLOOKUP($B94,Totalt!$B$1:$AQ$554,MATCH(AA$2,Totalt!$B$1:$AQ$1,0),FALSE),"")</f>
        <v>0</v>
      </c>
      <c r="AB94" s="173">
        <f>IFERROR(VLOOKUP($B94,Totalt!$B$1:$AQ$554,MATCH(AB$2,Totalt!$B$1:$AQ$1,0),FALSE),"")</f>
        <v>0</v>
      </c>
      <c r="AC94" s="173">
        <f>IFERROR(VLOOKUP($B94,Totalt!$B$1:$AQ$554,MATCH(AC$2,Totalt!$B$1:$AQ$1,0),FALSE),"")</f>
        <v>0</v>
      </c>
      <c r="AD94" s="173">
        <f>IFERROR(VLOOKUP($B94,Totalt!$B$1:$AQ$554,MATCH(AD$2,Totalt!$B$1:$AQ$1,0),FALSE),"")</f>
        <v>3.0110000000000001</v>
      </c>
      <c r="AE94" s="173">
        <f>IFERROR(VLOOKUP($B94,Totalt!$B$1:$AQ$554,MATCH(AE$2,Totalt!$B$1:$AQ$1,0),FALSE),"")</f>
        <v>0</v>
      </c>
      <c r="AF94" s="173">
        <f>IFERROR(VLOOKUP($B94,Totalt!$B$1:$AQ$554,MATCH(AF$2,Totalt!$B$1:$AQ$1,0),FALSE),"")</f>
        <v>7.5689999999999993E-2</v>
      </c>
      <c r="AG94" s="173">
        <f>IFERROR(VLOOKUP($B94,Totalt!$B$1:$AQ$554,MATCH(AG$2,Totalt!$B$1:$AQ$1,0),FALSE),"")</f>
        <v>0</v>
      </c>
      <c r="AI94" s="226">
        <f t="shared" si="6"/>
        <v>3.3416899999999998</v>
      </c>
      <c r="AJ94" s="226">
        <f>IF(ISERROR(1/VLOOKUP($B94,Leveranser!$B$1:$S$500,MATCH("såld värme (gwh)",Leveranser!$B$1:$S$1,0),FALSE)),"",VLOOKUP($B94,Leveranser!$B$1:$S$500,MATCH("såld värme (gwh)",Leveranser!$B$1:$S$1,0),FALSE))</f>
        <v>2.5230000000000001</v>
      </c>
      <c r="AM94" s="227" t="str">
        <f>IF(B94&lt;&gt;"",IF(VLOOKUP($B94,Totalt!$B$1:$AQ$554,MATCH("Kvalitetsgranskad:",Totalt!$B$1:$AQ$1,0),FALSE)="ja",VLOOKUP($B94,Miljö!$B$1:$AG$479,MATCH(AM$2,Miljö!$B$1:$AK$1,0),FALSE),""),"")</f>
        <v>Ja</v>
      </c>
      <c r="AN94" s="227" t="str">
        <f>IF(AM94="ja",VLOOKUP($B94,Miljö!$B$1:$J$479,MATCH("Typ av ursprungsspecificerad el   (Om inget värde anges används Nordisk residualmix, se inforuta) ()",Miljö!$B$1:$J$1,0),FALSE),IF(AM94="nej","Nordisk residualel",""))</f>
        <v>'Vattenkraft'</v>
      </c>
      <c r="AO94" s="227">
        <f>IF(AM94="","",VLOOKUP($B94,Miljö!$B$1:$J$479,MATCH("Fossilandel för ursprungspecificerad el ()",Miljö!$B$1:$J$1,0),FALSE))</f>
        <v>0</v>
      </c>
      <c r="AP94" s="227">
        <f>IF(AM94="","",IFERROR(VLOOKUP($B94,Miljö!$B$1:$J$479,MATCH("Kärnkraftsandel för ursprungsspecificerad el ()",Miljö!$B$1:$J$1,0),FALSE)/1,0))</f>
        <v>0</v>
      </c>
      <c r="AQ94" s="227">
        <f t="shared" si="7"/>
        <v>1</v>
      </c>
      <c r="AR94" s="227"/>
      <c r="AS94" s="227" t="str">
        <f t="shared" si="8"/>
        <v>Nej</v>
      </c>
      <c r="AT94" s="227" t="str">
        <f>IF(AS94="ja",VLOOKUP($B94,Miljö!$B$1:$O$500,MATCH("Fossil andel i procent (%)",Miljö!$B$1:$O$1,0),FALSE)/100,"")</f>
        <v/>
      </c>
      <c r="AU94" s="227"/>
      <c r="AV94" s="227" t="str">
        <f t="shared" si="9"/>
        <v>Nej</v>
      </c>
      <c r="AW94" s="227" t="str">
        <f>IF(AV94="ja",VLOOKUP($B94,'Egen hetvattenprod'!$B$1:$AO$500,MATCH("Värmekälla till värmepumpar ()",'Egen hetvattenprod'!$B$1:$AO$1,0),FALSE),"")</f>
        <v/>
      </c>
      <c r="AX94" s="227"/>
      <c r="AY94" s="227" t="str">
        <f t="shared" si="10"/>
        <v>Nej</v>
      </c>
      <c r="AZ94" s="228" t="str">
        <f>IF($AY94="ja",(VLOOKUP($B94,'Egen hetvattenprod'!$B$1:$BX$550,MATCH(AZ$2,'Egen hetvattenprod'!$B$1:$BX$1,0),FALSE)+VLOOKUP($B94,Kraftvärmeprod!$B$1:$BX$550,MATCH(AZ$2,Kraftvärmeprod!$B$1:$BX$1,0),FALSE))/$AC94,"")</f>
        <v/>
      </c>
      <c r="BA94" s="228" t="str">
        <f>IF($AY94="ja",(VLOOKUP($B94,'Egen hetvattenprod'!$B$1:$BX$550,MATCH(BA$2,'Egen hetvattenprod'!$B$1:$BX$1,0),FALSE)+VLOOKUP($B94,Kraftvärmeprod!$B$1:$BX$550,MATCH(BA$2,Kraftvärmeprod!$B$1:$BX$1,0),FALSE))/$AC94,"")</f>
        <v/>
      </c>
      <c r="BB94" s="228" t="str">
        <f>IF($AY94="ja",(VLOOKUP($B94,'Egen hetvattenprod'!$B$1:$BX$550,MATCH(BB$2,'Egen hetvattenprod'!$B$1:$BX$1,0),FALSE)+VLOOKUP($B94,Kraftvärmeprod!$B$1:$BX$550,MATCH(BB$2,Kraftvärmeprod!$B$1:$BX$1,0),FALSE))/$AC94,"")</f>
        <v/>
      </c>
      <c r="BC94" s="228" t="str">
        <f>IF($AY94="ja",(VLOOKUP($B94,'Egen hetvattenprod'!$B$1:$BX$550,MATCH(BC$2,'Egen hetvattenprod'!$B$1:$BX$1,0),FALSE)+VLOOKUP($B94,Kraftvärmeprod!$B$1:$BX$550,MATCH(BC$2,Kraftvärmeprod!$B$1:$BX$1,0),FALSE))/$AC94,"")</f>
        <v/>
      </c>
      <c r="BD94" s="228" t="str">
        <f>IF($AY94="ja",(VLOOKUP($B94,'Egen hetvattenprod'!$B$1:$BX$550,MATCH(BD$2,'Egen hetvattenprod'!$B$1:$BX$1,0),FALSE)+VLOOKUP($B94,Kraftvärmeprod!$B$1:$BX$550,MATCH(BD$2,Kraftvärmeprod!$B$1:$BX$1,0),FALSE))/$AC94,"")</f>
        <v/>
      </c>
      <c r="BE94" s="227"/>
      <c r="BF94" s="227" t="str">
        <f t="shared" si="11"/>
        <v>Nej</v>
      </c>
      <c r="BG94" s="227" t="str">
        <f>IF($BF94="ja",VLOOKUP($B94,'Egen hetvattenprod'!$B$1:$BX$550,MATCH("Andelen klimatgaser med fossilt ursprung för avfall ()",'Egen hetvattenprod'!$B$1:$BX$1,0),FALSE),"")</f>
        <v/>
      </c>
      <c r="BH94" s="227" t="str">
        <f>IF($BF94="ja",VLOOKUP($B94,Kraftvärmeprod!$B$1:$BX$550,MATCH("Andelen klimatgaser med fossilt ursprung för avfall ()",Kraftvärmeprod!$B$1:$BX$1,0),FALSE),"")</f>
        <v/>
      </c>
      <c r="BI94" s="227" t="str">
        <f>IF($BF94="ja",VLOOKUP($B94,'Egen hetvattenprod'!$B$1:$BX$550,MATCH("Avfall (GWh)",'Egen hetvattenprod'!$B$1:$BX$1,0),FALSE),"")</f>
        <v/>
      </c>
      <c r="BJ94" s="227" t="str">
        <f>IF($BF94="ja",VLOOKUP($B94,'Slutlig allokering kvv'!$B$1:$BX$550,MATCH("Avfall (GWh)",'Slutlig allokering kvv'!$B$1:$BX$1,0),FALSE),"")</f>
        <v/>
      </c>
      <c r="BK94" s="227" t="str">
        <f>IF($BF94="ja",VLOOKUP($B94,'Köpt hetvatten'!$B$1:$BX$550,MATCH("Avfall i köpt hetvatten",'Köpt hetvatten'!$B$1:$BX$1,0),FALSE),"")</f>
        <v/>
      </c>
      <c r="BL94" s="227" t="str">
        <f>IF($BF94="ja",VLOOKUP($B94,'Egen hetvattenprod'!$B$1:$BX$550,MATCH("Värde enligt ovan. (%)",'Egen hetvattenprod'!$B$1:$BX$1,0),FALSE),"")</f>
        <v/>
      </c>
      <c r="BM94" s="227" t="str">
        <f>IF($BF94="ja",VLOOKUP($B94,Kraftvärmeprod!$B$1:$BX$550,MATCH("Värde enligt ovan. (%)",Kraftvärmeprod!$B$1:$BX$1,0),FALSE),"")</f>
        <v/>
      </c>
      <c r="BN94" s="227"/>
      <c r="BO94" s="227"/>
      <c r="BP94" s="227"/>
      <c r="BQ94" s="227" t="str">
        <f>IF($BF94="ja",VLOOKUP($B94,'Egen hetvattenprod'!$B$1:$BX$550,MATCH("Tillförd olja (fossil) vid avfallsförbränning (GWh)",'Egen hetvattenprod'!$B$1:$BX$1,0),FALSE),"")</f>
        <v/>
      </c>
      <c r="BR94" s="227" t="str">
        <f>IF($BF94="ja",VLOOKUP($B94,Kraftvärmeprod!$B$1:$BX$550,MATCH("Tillförd olja (fossil) vid avfallsförbränning (GWh)",Kraftvärmeprod!$B$1:$BX$1,0),FALSE),"")</f>
        <v/>
      </c>
      <c r="BS94" s="227"/>
      <c r="BT94" s="227"/>
      <c r="BU94" s="227"/>
    </row>
    <row r="95" spans="1:73" x14ac:dyDescent="0.25">
      <c r="A95" s="121" t="str">
        <f>'Miljövärden för publ företag'!B98</f>
        <v>Habo Energi AB</v>
      </c>
      <c r="B95" s="121" t="str">
        <f>'Miljövärden för publ företag'!C98</f>
        <v>Habo</v>
      </c>
      <c r="C95" s="173">
        <f>IFERROR(VLOOKUP($B95,Totalt!$B$1:$AQ$554,MATCH(C$2,Totalt!$B$1:$AQ$1,0),FALSE),"")</f>
        <v>0</v>
      </c>
      <c r="D95" s="173">
        <f>IFERROR(VLOOKUP($B95,Totalt!$B$1:$AQ$554,MATCH(D$2,Totalt!$B$1:$AQ$1,0),FALSE),"")</f>
        <v>0</v>
      </c>
      <c r="E95" s="173">
        <f>IFERROR(VLOOKUP($B95,Totalt!$B$1:$AQ$554,MATCH(E$2,Totalt!$B$1:$AQ$1,0),FALSE),"")</f>
        <v>0</v>
      </c>
      <c r="F95" s="173">
        <f>IFERROR(VLOOKUP($B95,Totalt!$B$1:$AQ$554,MATCH(F$2,Totalt!$B$1:$AQ$1,0),FALSE),"")</f>
        <v>0</v>
      </c>
      <c r="G95" s="173">
        <f>IFERROR(VLOOKUP($B95,Totalt!$B$1:$AQ$554,MATCH(G$2,Totalt!$B$1:$AQ$1,0),FALSE),"")</f>
        <v>0</v>
      </c>
      <c r="H95" s="173">
        <f>IFERROR(VLOOKUP($B95,Totalt!$B$1:$AQ$554,MATCH(H$2,Totalt!$B$1:$AQ$1,0),FALSE),"")</f>
        <v>0</v>
      </c>
      <c r="I95" s="173">
        <f>IFERROR(VLOOKUP($B95,Totalt!$B$1:$AQ$554,MATCH(I$2,Totalt!$B$1:$AQ$1,0),FALSE),"")</f>
        <v>0</v>
      </c>
      <c r="J95" s="173">
        <f>IFERROR(VLOOKUP($B95,Totalt!$B$1:$AQ$554,MATCH(J$2,Totalt!$B$1:$AQ$1,0),FALSE),"")</f>
        <v>0</v>
      </c>
      <c r="K95" s="173">
        <f>IFERROR(VLOOKUP($B95,Totalt!$B$1:$AQ$554,MATCH(K$2,Totalt!$B$1:$AQ$1,0),FALSE),"")</f>
        <v>0</v>
      </c>
      <c r="L95" s="173">
        <f>IFERROR(VLOOKUP($B95,Totalt!$B$1:$AQ$554,MATCH(L$2,Totalt!$B$1:$AQ$1,0),FALSE),"")</f>
        <v>0</v>
      </c>
      <c r="M95" s="173">
        <f>IFERROR(VLOOKUP($B95,Totalt!$B$1:$AQ$554,MATCH(M$2,Totalt!$B$1:$AQ$1,0),FALSE),"")</f>
        <v>0</v>
      </c>
      <c r="N95" s="173">
        <f>IFERROR(VLOOKUP($B95,Totalt!$B$1:$AQ$554,MATCH(N$2,Totalt!$B$1:$AQ$1,0),FALSE),"")</f>
        <v>4.4000000000000004</v>
      </c>
      <c r="O95" s="173">
        <f>IFERROR(VLOOKUP($B95,Totalt!$B$1:$AQ$554,MATCH(O$2,Totalt!$B$1:$AQ$1,0),FALSE),"")</f>
        <v>0</v>
      </c>
      <c r="P95" s="173">
        <f>IFERROR(VLOOKUP($B95,Totalt!$B$1:$AQ$554,MATCH(P$2,Totalt!$B$1:$AQ$1,0),FALSE),"")</f>
        <v>27.4</v>
      </c>
      <c r="Q95" s="173">
        <f>IFERROR(VLOOKUP($B95,Totalt!$B$1:$AQ$554,MATCH(Q$2,Totalt!$B$1:$AQ$1,0),FALSE),"")</f>
        <v>0</v>
      </c>
      <c r="R95" s="173">
        <f>IFERROR(VLOOKUP($B95,Totalt!$B$1:$AQ$554,MATCH(R$2,Totalt!$B$1:$AQ$1,0),FALSE),"")</f>
        <v>0</v>
      </c>
      <c r="S95" s="173">
        <f>IFERROR(VLOOKUP($B95,Totalt!$B$1:$AQ$554,MATCH(S$2,Totalt!$B$1:$AQ$1,0),FALSE),"")</f>
        <v>0</v>
      </c>
      <c r="T95" s="173">
        <f>IFERROR(VLOOKUP($B95,Totalt!$B$1:$AQ$554,MATCH(T$2,Totalt!$B$1:$AQ$1,0),FALSE),"")</f>
        <v>0</v>
      </c>
      <c r="U95" s="173">
        <f>IFERROR(VLOOKUP($B95,Totalt!$B$1:$AQ$554,MATCH(U$2,Totalt!$B$1:$AQ$1,0),FALSE),"")</f>
        <v>0</v>
      </c>
      <c r="V95" s="173">
        <f>IFERROR(VLOOKUP($B95,Totalt!$B$1:$AQ$554,MATCH(V$2,Totalt!$B$1:$AQ$1,0),FALSE),"")</f>
        <v>0</v>
      </c>
      <c r="W95" s="173">
        <f>IFERROR(VLOOKUP($B95,Totalt!$B$1:$AQ$554,MATCH(W$2,Totalt!$B$1:$AQ$1,0),FALSE),"")</f>
        <v>1.3</v>
      </c>
      <c r="X95" s="173">
        <f>IFERROR(VLOOKUP($B95,Totalt!$B$1:$AQ$554,MATCH(X$2,Totalt!$B$1:$AQ$1,0),FALSE),"")</f>
        <v>0</v>
      </c>
      <c r="Y95" s="173">
        <f>IFERROR(VLOOKUP($B95,Totalt!$B$1:$AQ$554,MATCH(Y$2,Totalt!$B$1:$AQ$1,0),FALSE),"")</f>
        <v>0</v>
      </c>
      <c r="Z95" s="173">
        <f>IFERROR(VLOOKUP($B95,Totalt!$B$1:$AQ$554,MATCH(Z$2,Totalt!$B$1:$AQ$1,0),FALSE),"")</f>
        <v>0</v>
      </c>
      <c r="AA95" s="173">
        <f>IFERROR(VLOOKUP($B95,Totalt!$B$1:$AQ$554,MATCH(AA$2,Totalt!$B$1:$AQ$1,0),FALSE),"")</f>
        <v>0</v>
      </c>
      <c r="AB95" s="173">
        <f>IFERROR(VLOOKUP($B95,Totalt!$B$1:$AQ$554,MATCH(AB$2,Totalt!$B$1:$AQ$1,0),FALSE),"")</f>
        <v>0</v>
      </c>
      <c r="AC95" s="173">
        <f>IFERROR(VLOOKUP($B95,Totalt!$B$1:$AQ$554,MATCH(AC$2,Totalt!$B$1:$AQ$1,0),FALSE),"")</f>
        <v>0</v>
      </c>
      <c r="AD95" s="173">
        <f>IFERROR(VLOOKUP($B95,Totalt!$B$1:$AQ$554,MATCH(AD$2,Totalt!$B$1:$AQ$1,0),FALSE),"")</f>
        <v>0</v>
      </c>
      <c r="AE95" s="173">
        <f>IFERROR(VLOOKUP($B95,Totalt!$B$1:$AQ$554,MATCH(AE$2,Totalt!$B$1:$AQ$1,0),FALSE),"")</f>
        <v>0</v>
      </c>
      <c r="AF95" s="173">
        <f>IFERROR(VLOOKUP($B95,Totalt!$B$1:$AQ$554,MATCH(AF$2,Totalt!$B$1:$AQ$1,0),FALSE),"")</f>
        <v>0.27</v>
      </c>
      <c r="AG95" s="173">
        <f>IFERROR(VLOOKUP($B95,Totalt!$B$1:$AQ$554,MATCH(AG$2,Totalt!$B$1:$AQ$1,0),FALSE),"")</f>
        <v>0</v>
      </c>
      <c r="AI95" s="226">
        <f t="shared" si="6"/>
        <v>33.369999999999997</v>
      </c>
      <c r="AJ95" s="226">
        <f>IF(ISERROR(1/VLOOKUP($B95,Leveranser!$B$1:$S$500,MATCH("såld värme (gwh)",Leveranser!$B$1:$S$1,0),FALSE)),"",VLOOKUP($B95,Leveranser!$B$1:$S$500,MATCH("såld värme (gwh)",Leveranser!$B$1:$S$1,0),FALSE))</f>
        <v>21.3</v>
      </c>
      <c r="AM95" s="227" t="str">
        <f>IF(B95&lt;&gt;"",IF(VLOOKUP($B95,Totalt!$B$1:$AQ$554,MATCH("Kvalitetsgranskad:",Totalt!$B$1:$AQ$1,0),FALSE)="ja",VLOOKUP($B95,Miljö!$B$1:$AG$479,MATCH(AM$2,Miljö!$B$1:$AK$1,0),FALSE),""),"")</f>
        <v>Ja</v>
      </c>
      <c r="AN95" s="227" t="str">
        <f>IF(AM95="ja",VLOOKUP($B95,Miljö!$B$1:$J$479,MATCH("Typ av ursprungsspecificerad el   (Om inget värde anges används Nordisk residualmix, se inforuta) ()",Miljö!$B$1:$J$1,0),FALSE),IF(AM95="nej","Nordisk residualel",""))</f>
        <v>'Förnybar vattenkraft'</v>
      </c>
      <c r="AO95" s="227">
        <f>IF(AM95="","",VLOOKUP($B95,Miljö!$B$1:$J$479,MATCH("Fossilandel för ursprungspecificerad el ()",Miljö!$B$1:$J$1,0),FALSE))</f>
        <v>0</v>
      </c>
      <c r="AP95" s="227">
        <f>IF(AM95="","",IFERROR(VLOOKUP($B95,Miljö!$B$1:$J$479,MATCH("Kärnkraftsandel för ursprungsspecificerad el ()",Miljö!$B$1:$J$1,0),FALSE)/1,0))</f>
        <v>0</v>
      </c>
      <c r="AQ95" s="227">
        <f t="shared" si="7"/>
        <v>1</v>
      </c>
      <c r="AR95" s="227"/>
      <c r="AS95" s="227" t="str">
        <f t="shared" si="8"/>
        <v>Nej</v>
      </c>
      <c r="AT95" s="227" t="str">
        <f>IF(AS95="ja",VLOOKUP($B95,Miljö!$B$1:$O$500,MATCH("Fossil andel i procent (%)",Miljö!$B$1:$O$1,0),FALSE)/100,"")</f>
        <v/>
      </c>
      <c r="AU95" s="227"/>
      <c r="AV95" s="227" t="str">
        <f t="shared" si="9"/>
        <v>Nej</v>
      </c>
      <c r="AW95" s="227" t="str">
        <f>IF(AV95="ja",VLOOKUP($B95,'Egen hetvattenprod'!$B$1:$AO$500,MATCH("Värmekälla till värmepumpar ()",'Egen hetvattenprod'!$B$1:$AO$1,0),FALSE),"")</f>
        <v/>
      </c>
      <c r="AX95" s="227"/>
      <c r="AY95" s="227" t="str">
        <f t="shared" si="10"/>
        <v>Nej</v>
      </c>
      <c r="AZ95" s="228" t="str">
        <f>IF($AY95="ja",(VLOOKUP($B95,'Egen hetvattenprod'!$B$1:$BX$550,MATCH(AZ$2,'Egen hetvattenprod'!$B$1:$BX$1,0),FALSE)+VLOOKUP($B95,Kraftvärmeprod!$B$1:$BX$550,MATCH(AZ$2,Kraftvärmeprod!$B$1:$BX$1,0),FALSE))/$AC95,"")</f>
        <v/>
      </c>
      <c r="BA95" s="228" t="str">
        <f>IF($AY95="ja",(VLOOKUP($B95,'Egen hetvattenprod'!$B$1:$BX$550,MATCH(BA$2,'Egen hetvattenprod'!$B$1:$BX$1,0),FALSE)+VLOOKUP($B95,Kraftvärmeprod!$B$1:$BX$550,MATCH(BA$2,Kraftvärmeprod!$B$1:$BX$1,0),FALSE))/$AC95,"")</f>
        <v/>
      </c>
      <c r="BB95" s="228" t="str">
        <f>IF($AY95="ja",(VLOOKUP($B95,'Egen hetvattenprod'!$B$1:$BX$550,MATCH(BB$2,'Egen hetvattenprod'!$B$1:$BX$1,0),FALSE)+VLOOKUP($B95,Kraftvärmeprod!$B$1:$BX$550,MATCH(BB$2,Kraftvärmeprod!$B$1:$BX$1,0),FALSE))/$AC95,"")</f>
        <v/>
      </c>
      <c r="BC95" s="228" t="str">
        <f>IF($AY95="ja",(VLOOKUP($B95,'Egen hetvattenprod'!$B$1:$BX$550,MATCH(BC$2,'Egen hetvattenprod'!$B$1:$BX$1,0),FALSE)+VLOOKUP($B95,Kraftvärmeprod!$B$1:$BX$550,MATCH(BC$2,Kraftvärmeprod!$B$1:$BX$1,0),FALSE))/$AC95,"")</f>
        <v/>
      </c>
      <c r="BD95" s="228" t="str">
        <f>IF($AY95="ja",(VLOOKUP($B95,'Egen hetvattenprod'!$B$1:$BX$550,MATCH(BD$2,'Egen hetvattenprod'!$B$1:$BX$1,0),FALSE)+VLOOKUP($B95,Kraftvärmeprod!$B$1:$BX$550,MATCH(BD$2,Kraftvärmeprod!$B$1:$BX$1,0),FALSE))/$AC95,"")</f>
        <v/>
      </c>
      <c r="BE95" s="227"/>
      <c r="BF95" s="227" t="str">
        <f t="shared" si="11"/>
        <v>Nej</v>
      </c>
      <c r="BG95" s="227" t="str">
        <f>IF($BF95="ja",VLOOKUP($B95,'Egen hetvattenprod'!$B$1:$BX$550,MATCH("Andelen klimatgaser med fossilt ursprung för avfall ()",'Egen hetvattenprod'!$B$1:$BX$1,0),FALSE),"")</f>
        <v/>
      </c>
      <c r="BH95" s="227" t="str">
        <f>IF($BF95="ja",VLOOKUP($B95,Kraftvärmeprod!$B$1:$BX$550,MATCH("Andelen klimatgaser med fossilt ursprung för avfall ()",Kraftvärmeprod!$B$1:$BX$1,0),FALSE),"")</f>
        <v/>
      </c>
      <c r="BI95" s="227" t="str">
        <f>IF($BF95="ja",VLOOKUP($B95,'Egen hetvattenprod'!$B$1:$BX$550,MATCH("Avfall (GWh)",'Egen hetvattenprod'!$B$1:$BX$1,0),FALSE),"")</f>
        <v/>
      </c>
      <c r="BJ95" s="227" t="str">
        <f>IF($BF95="ja",VLOOKUP($B95,'Slutlig allokering kvv'!$B$1:$BX$550,MATCH("Avfall (GWh)",'Slutlig allokering kvv'!$B$1:$BX$1,0),FALSE),"")</f>
        <v/>
      </c>
      <c r="BK95" s="227" t="str">
        <f>IF($BF95="ja",VLOOKUP($B95,'Köpt hetvatten'!$B$1:$BX$550,MATCH("Avfall i köpt hetvatten",'Köpt hetvatten'!$B$1:$BX$1,0),FALSE),"")</f>
        <v/>
      </c>
      <c r="BL95" s="227" t="str">
        <f>IF($BF95="ja",VLOOKUP($B95,'Egen hetvattenprod'!$B$1:$BX$550,MATCH("Värde enligt ovan. (%)",'Egen hetvattenprod'!$B$1:$BX$1,0),FALSE),"")</f>
        <v/>
      </c>
      <c r="BM95" s="227" t="str">
        <f>IF($BF95="ja",VLOOKUP($B95,Kraftvärmeprod!$B$1:$BX$550,MATCH("Värde enligt ovan. (%)",Kraftvärmeprod!$B$1:$BX$1,0),FALSE),"")</f>
        <v/>
      </c>
      <c r="BN95" s="227"/>
      <c r="BO95" s="227"/>
      <c r="BP95" s="227"/>
      <c r="BQ95" s="227" t="str">
        <f>IF($BF95="ja",VLOOKUP($B95,'Egen hetvattenprod'!$B$1:$BX$550,MATCH("Tillförd olja (fossil) vid avfallsförbränning (GWh)",'Egen hetvattenprod'!$B$1:$BX$1,0),FALSE),"")</f>
        <v/>
      </c>
      <c r="BR95" s="227" t="str">
        <f>IF($BF95="ja",VLOOKUP($B95,Kraftvärmeprod!$B$1:$BX$550,MATCH("Tillförd olja (fossil) vid avfallsförbränning (GWh)",Kraftvärmeprod!$B$1:$BX$1,0),FALSE),"")</f>
        <v/>
      </c>
      <c r="BS95" s="227"/>
      <c r="BT95" s="227"/>
      <c r="BU95" s="227"/>
    </row>
    <row r="96" spans="1:73" x14ac:dyDescent="0.25">
      <c r="A96" s="121" t="str">
        <f>'Miljövärden för publ företag'!B99</f>
        <v>Hagfors Energi</v>
      </c>
      <c r="B96" s="121" t="str">
        <f>'Miljövärden för publ företag'!C99</f>
        <v>Ekshärad</v>
      </c>
      <c r="C96" s="173">
        <f>IFERROR(VLOOKUP($B96,Totalt!$B$1:$AQ$554,MATCH(C$2,Totalt!$B$1:$AQ$1,0),FALSE),"")</f>
        <v>0</v>
      </c>
      <c r="D96" s="173">
        <f>IFERROR(VLOOKUP($B96,Totalt!$B$1:$AQ$554,MATCH(D$2,Totalt!$B$1:$AQ$1,0),FALSE),"")</f>
        <v>0.50900000000000001</v>
      </c>
      <c r="E96" s="173">
        <f>IFERROR(VLOOKUP($B96,Totalt!$B$1:$AQ$554,MATCH(E$2,Totalt!$B$1:$AQ$1,0),FALSE),"")</f>
        <v>0</v>
      </c>
      <c r="F96" s="173">
        <f>IFERROR(VLOOKUP($B96,Totalt!$B$1:$AQ$554,MATCH(F$2,Totalt!$B$1:$AQ$1,0),FALSE),"")</f>
        <v>0</v>
      </c>
      <c r="G96" s="173">
        <f>IFERROR(VLOOKUP($B96,Totalt!$B$1:$AQ$554,MATCH(G$2,Totalt!$B$1:$AQ$1,0),FALSE),"")</f>
        <v>0</v>
      </c>
      <c r="H96" s="173">
        <f>IFERROR(VLOOKUP($B96,Totalt!$B$1:$AQ$554,MATCH(H$2,Totalt!$B$1:$AQ$1,0),FALSE),"")</f>
        <v>0</v>
      </c>
      <c r="I96" s="173">
        <f>IFERROR(VLOOKUP($B96,Totalt!$B$1:$AQ$554,MATCH(I$2,Totalt!$B$1:$AQ$1,0),FALSE),"")</f>
        <v>0</v>
      </c>
      <c r="J96" s="173">
        <f>IFERROR(VLOOKUP($B96,Totalt!$B$1:$AQ$554,MATCH(J$2,Totalt!$B$1:$AQ$1,0),FALSE),"")</f>
        <v>0</v>
      </c>
      <c r="K96" s="173">
        <f>IFERROR(VLOOKUP($B96,Totalt!$B$1:$AQ$554,MATCH(K$2,Totalt!$B$1:$AQ$1,0),FALSE),"")</f>
        <v>0</v>
      </c>
      <c r="L96" s="173">
        <f>IFERROR(VLOOKUP($B96,Totalt!$B$1:$AQ$554,MATCH(L$2,Totalt!$B$1:$AQ$1,0),FALSE),"")</f>
        <v>0</v>
      </c>
      <c r="M96" s="173">
        <f>IFERROR(VLOOKUP($B96,Totalt!$B$1:$AQ$554,MATCH(M$2,Totalt!$B$1:$AQ$1,0),FALSE),"")</f>
        <v>1.62</v>
      </c>
      <c r="N96" s="173">
        <f>IFERROR(VLOOKUP($B96,Totalt!$B$1:$AQ$554,MATCH(N$2,Totalt!$B$1:$AQ$1,0),FALSE),"")</f>
        <v>4.59</v>
      </c>
      <c r="O96" s="173">
        <f>IFERROR(VLOOKUP($B96,Totalt!$B$1:$AQ$554,MATCH(O$2,Totalt!$B$1:$AQ$1,0),FALSE),"")</f>
        <v>0</v>
      </c>
      <c r="P96" s="173">
        <f>IFERROR(VLOOKUP($B96,Totalt!$B$1:$AQ$554,MATCH(P$2,Totalt!$B$1:$AQ$1,0),FALSE),"")</f>
        <v>5.3</v>
      </c>
      <c r="Q96" s="173">
        <f>IFERROR(VLOOKUP($B96,Totalt!$B$1:$AQ$554,MATCH(Q$2,Totalt!$B$1:$AQ$1,0),FALSE),"")</f>
        <v>4.5999999999999996</v>
      </c>
      <c r="R96" s="173">
        <f>IFERROR(VLOOKUP($B96,Totalt!$B$1:$AQ$554,MATCH(R$2,Totalt!$B$1:$AQ$1,0),FALSE),"")</f>
        <v>0</v>
      </c>
      <c r="S96" s="173">
        <f>IFERROR(VLOOKUP($B96,Totalt!$B$1:$AQ$554,MATCH(S$2,Totalt!$B$1:$AQ$1,0),FALSE),"")</f>
        <v>0</v>
      </c>
      <c r="T96" s="173">
        <f>IFERROR(VLOOKUP($B96,Totalt!$B$1:$AQ$554,MATCH(T$2,Totalt!$B$1:$AQ$1,0),FALSE),"")</f>
        <v>0</v>
      </c>
      <c r="U96" s="173">
        <f>IFERROR(VLOOKUP($B96,Totalt!$B$1:$AQ$554,MATCH(U$2,Totalt!$B$1:$AQ$1,0),FALSE),"")</f>
        <v>0</v>
      </c>
      <c r="V96" s="173">
        <f>IFERROR(VLOOKUP($B96,Totalt!$B$1:$AQ$554,MATCH(V$2,Totalt!$B$1:$AQ$1,0),FALSE),"")</f>
        <v>0</v>
      </c>
      <c r="W96" s="173">
        <f>IFERROR(VLOOKUP($B96,Totalt!$B$1:$AQ$554,MATCH(W$2,Totalt!$B$1:$AQ$1,0),FALSE),"")</f>
        <v>0</v>
      </c>
      <c r="X96" s="173">
        <f>IFERROR(VLOOKUP($B96,Totalt!$B$1:$AQ$554,MATCH(X$2,Totalt!$B$1:$AQ$1,0),FALSE),"")</f>
        <v>0</v>
      </c>
      <c r="Y96" s="173">
        <f>IFERROR(VLOOKUP($B96,Totalt!$B$1:$AQ$554,MATCH(Y$2,Totalt!$B$1:$AQ$1,0),FALSE),"")</f>
        <v>0</v>
      </c>
      <c r="Z96" s="173">
        <f>IFERROR(VLOOKUP($B96,Totalt!$B$1:$AQ$554,MATCH(Z$2,Totalt!$B$1:$AQ$1,0),FALSE),"")</f>
        <v>0</v>
      </c>
      <c r="AA96" s="173">
        <f>IFERROR(VLOOKUP($B96,Totalt!$B$1:$AQ$554,MATCH(AA$2,Totalt!$B$1:$AQ$1,0),FALSE),"")</f>
        <v>0</v>
      </c>
      <c r="AB96" s="173">
        <f>IFERROR(VLOOKUP($B96,Totalt!$B$1:$AQ$554,MATCH(AB$2,Totalt!$B$1:$AQ$1,0),FALSE),"")</f>
        <v>0</v>
      </c>
      <c r="AC96" s="173">
        <f>IFERROR(VLOOKUP($B96,Totalt!$B$1:$AQ$554,MATCH(AC$2,Totalt!$B$1:$AQ$1,0),FALSE),"")</f>
        <v>2.6960000000000002</v>
      </c>
      <c r="AD96" s="173">
        <f>IFERROR(VLOOKUP($B96,Totalt!$B$1:$AQ$554,MATCH(AD$2,Totalt!$B$1:$AQ$1,0),FALSE),"")</f>
        <v>0</v>
      </c>
      <c r="AE96" s="173">
        <f>IFERROR(VLOOKUP($B96,Totalt!$B$1:$AQ$554,MATCH(AE$2,Totalt!$B$1:$AQ$1,0),FALSE),"")</f>
        <v>0</v>
      </c>
      <c r="AF96" s="173">
        <f>IFERROR(VLOOKUP($B96,Totalt!$B$1:$AQ$554,MATCH(AF$2,Totalt!$B$1:$AQ$1,0),FALSE),"")</f>
        <v>0.216</v>
      </c>
      <c r="AG96" s="173">
        <f>IFERROR(VLOOKUP($B96,Totalt!$B$1:$AQ$554,MATCH(AG$2,Totalt!$B$1:$AQ$1,0),FALSE),"")</f>
        <v>0</v>
      </c>
      <c r="AI96" s="226">
        <f t="shared" si="6"/>
        <v>19.531000000000002</v>
      </c>
      <c r="AJ96" s="226">
        <f>IF(ISERROR(1/VLOOKUP($B96,Leveranser!$B$1:$S$500,MATCH("såld värme (gwh)",Leveranser!$B$1:$S$1,0),FALSE)),"",VLOOKUP($B96,Leveranser!$B$1:$S$500,MATCH("såld värme (gwh)",Leveranser!$B$1:$S$1,0),FALSE))</f>
        <v>11.32</v>
      </c>
      <c r="AM96" s="227" t="str">
        <f>IF(B96&lt;&gt;"",IF(VLOOKUP($B96,Totalt!$B$1:$AQ$554,MATCH("Kvalitetsgranskad:",Totalt!$B$1:$AQ$1,0),FALSE)="ja",VLOOKUP($B96,Miljö!$B$1:$AG$479,MATCH(AM$2,Miljö!$B$1:$AK$1,0),FALSE),""),"")</f>
        <v>Nej</v>
      </c>
      <c r="AN96" s="227" t="str">
        <f>IF(AM96="ja",VLOOKUP($B96,Miljö!$B$1:$J$479,MATCH("Typ av ursprungsspecificerad el   (Om inget värde anges används Nordisk residualmix, se inforuta) ()",Miljö!$B$1:$J$1,0),FALSE),IF(AM96="nej","Nordisk residualel",""))</f>
        <v>Nordisk residualel</v>
      </c>
      <c r="AO96" s="227">
        <f>IF(AM96="","",VLOOKUP($B96,Miljö!$B$1:$J$479,MATCH("Fossilandel för ursprungspecificerad el ()",Miljö!$B$1:$J$1,0),FALSE))</f>
        <v>0.43</v>
      </c>
      <c r="AP96" s="227">
        <f>IF(AM96="","",IFERROR(VLOOKUP($B96,Miljö!$B$1:$J$479,MATCH("Kärnkraftsandel för ursprungsspecificerad el ()",Miljö!$B$1:$J$1,0),FALSE)/1,0))</f>
        <v>0.40550000000000003</v>
      </c>
      <c r="AQ96" s="227">
        <f t="shared" si="7"/>
        <v>0.16450000000000004</v>
      </c>
      <c r="AR96" s="227"/>
      <c r="AS96" s="227" t="str">
        <f t="shared" si="8"/>
        <v>Nej</v>
      </c>
      <c r="AT96" s="227" t="str">
        <f>IF(AS96="ja",VLOOKUP($B96,Miljö!$B$1:$O$500,MATCH("Fossil andel i procent (%)",Miljö!$B$1:$O$1,0),FALSE)/100,"")</f>
        <v/>
      </c>
      <c r="AU96" s="227"/>
      <c r="AV96" s="227" t="str">
        <f t="shared" si="9"/>
        <v>Nej</v>
      </c>
      <c r="AW96" s="227" t="str">
        <f>IF(AV96="ja",VLOOKUP($B96,'Egen hetvattenprod'!$B$1:$AO$500,MATCH("Värmekälla till värmepumpar ()",'Egen hetvattenprod'!$B$1:$AO$1,0),FALSE),"")</f>
        <v/>
      </c>
      <c r="AX96" s="227"/>
      <c r="AY96" s="227" t="str">
        <f t="shared" si="10"/>
        <v>Ja</v>
      </c>
      <c r="AZ96" s="228">
        <f>IF($AY96="ja",(VLOOKUP($B96,'Egen hetvattenprod'!$B$1:$BX$550,MATCH(AZ$2,'Egen hetvattenprod'!$B$1:$BX$1,0),FALSE)+VLOOKUP($B96,Kraftvärmeprod!$B$1:$BX$550,MATCH(AZ$2,Kraftvärmeprod!$B$1:$BX$1,0),FALSE))/$AC96,"")</f>
        <v>1</v>
      </c>
      <c r="BA96" s="228">
        <f>IF($AY96="ja",(VLOOKUP($B96,'Egen hetvattenprod'!$B$1:$BX$550,MATCH(BA$2,'Egen hetvattenprod'!$B$1:$BX$1,0),FALSE)+VLOOKUP($B96,Kraftvärmeprod!$B$1:$BX$550,MATCH(BA$2,Kraftvärmeprod!$B$1:$BX$1,0),FALSE))/$AC96,"")</f>
        <v>0</v>
      </c>
      <c r="BB96" s="228">
        <f>IF($AY96="ja",(VLOOKUP($B96,'Egen hetvattenprod'!$B$1:$BX$550,MATCH(BB$2,'Egen hetvattenprod'!$B$1:$BX$1,0),FALSE)+VLOOKUP($B96,Kraftvärmeprod!$B$1:$BX$550,MATCH(BB$2,Kraftvärmeprod!$B$1:$BX$1,0),FALSE))/$AC96,"")</f>
        <v>0</v>
      </c>
      <c r="BC96" s="228">
        <f>IF($AY96="ja",(VLOOKUP($B96,'Egen hetvattenprod'!$B$1:$BX$550,MATCH(BC$2,'Egen hetvattenprod'!$B$1:$BX$1,0),FALSE)+VLOOKUP($B96,Kraftvärmeprod!$B$1:$BX$550,MATCH(BC$2,Kraftvärmeprod!$B$1:$BX$1,0),FALSE))/$AC96,"")</f>
        <v>0</v>
      </c>
      <c r="BD96" s="228">
        <f>IF($AY96="ja",(VLOOKUP($B96,'Egen hetvattenprod'!$B$1:$BX$550,MATCH(BD$2,'Egen hetvattenprod'!$B$1:$BX$1,0),FALSE)+VLOOKUP($B96,Kraftvärmeprod!$B$1:$BX$550,MATCH(BD$2,Kraftvärmeprod!$B$1:$BX$1,0),FALSE))/$AC96,"")</f>
        <v>0</v>
      </c>
      <c r="BE96" s="227"/>
      <c r="BF96" s="227" t="str">
        <f t="shared" si="11"/>
        <v>Nej</v>
      </c>
      <c r="BG96" s="227" t="str">
        <f>IF($BF96="ja",VLOOKUP($B96,'Egen hetvattenprod'!$B$1:$BX$550,MATCH("Andelen klimatgaser med fossilt ursprung för avfall ()",'Egen hetvattenprod'!$B$1:$BX$1,0),FALSE),"")</f>
        <v/>
      </c>
      <c r="BH96" s="227" t="str">
        <f>IF($BF96="ja",VLOOKUP($B96,Kraftvärmeprod!$B$1:$BX$550,MATCH("Andelen klimatgaser med fossilt ursprung för avfall ()",Kraftvärmeprod!$B$1:$BX$1,0),FALSE),"")</f>
        <v/>
      </c>
      <c r="BI96" s="227" t="str">
        <f>IF($BF96="ja",VLOOKUP($B96,'Egen hetvattenprod'!$B$1:$BX$550,MATCH("Avfall (GWh)",'Egen hetvattenprod'!$B$1:$BX$1,0),FALSE),"")</f>
        <v/>
      </c>
      <c r="BJ96" s="227" t="str">
        <f>IF($BF96="ja",VLOOKUP($B96,'Slutlig allokering kvv'!$B$1:$BX$550,MATCH("Avfall (GWh)",'Slutlig allokering kvv'!$B$1:$BX$1,0),FALSE),"")</f>
        <v/>
      </c>
      <c r="BK96" s="227" t="str">
        <f>IF($BF96="ja",VLOOKUP($B96,'Köpt hetvatten'!$B$1:$BX$550,MATCH("Avfall i köpt hetvatten",'Köpt hetvatten'!$B$1:$BX$1,0),FALSE),"")</f>
        <v/>
      </c>
      <c r="BL96" s="227" t="str">
        <f>IF($BF96="ja",VLOOKUP($B96,'Egen hetvattenprod'!$B$1:$BX$550,MATCH("Värde enligt ovan. (%)",'Egen hetvattenprod'!$B$1:$BX$1,0),FALSE),"")</f>
        <v/>
      </c>
      <c r="BM96" s="227" t="str">
        <f>IF($BF96="ja",VLOOKUP($B96,Kraftvärmeprod!$B$1:$BX$550,MATCH("Värde enligt ovan. (%)",Kraftvärmeprod!$B$1:$BX$1,0),FALSE),"")</f>
        <v/>
      </c>
      <c r="BN96" s="227"/>
      <c r="BO96" s="227"/>
      <c r="BP96" s="227"/>
      <c r="BQ96" s="227" t="str">
        <f>IF($BF96="ja",VLOOKUP($B96,'Egen hetvattenprod'!$B$1:$BX$550,MATCH("Tillförd olja (fossil) vid avfallsförbränning (GWh)",'Egen hetvattenprod'!$B$1:$BX$1,0),FALSE),"")</f>
        <v/>
      </c>
      <c r="BR96" s="227" t="str">
        <f>IF($BF96="ja",VLOOKUP($B96,Kraftvärmeprod!$B$1:$BX$550,MATCH("Tillförd olja (fossil) vid avfallsförbränning (GWh)",Kraftvärmeprod!$B$1:$BX$1,0),FALSE),"")</f>
        <v/>
      </c>
      <c r="BS96" s="227"/>
      <c r="BT96" s="227"/>
      <c r="BU96" s="227"/>
    </row>
    <row r="97" spans="1:73" x14ac:dyDescent="0.25">
      <c r="A97" s="121" t="str">
        <f>'Miljövärden för publ företag'!B100</f>
        <v>Hagfors Energi</v>
      </c>
      <c r="B97" s="121" t="str">
        <f>'Miljövärden för publ företag'!C100</f>
        <v>Hagfors</v>
      </c>
      <c r="C97" s="173">
        <f>IFERROR(VLOOKUP($B97,Totalt!$B$1:$AQ$554,MATCH(C$2,Totalt!$B$1:$AQ$1,0),FALSE),"")</f>
        <v>0</v>
      </c>
      <c r="D97" s="173">
        <f>IFERROR(VLOOKUP($B97,Totalt!$B$1:$AQ$554,MATCH(D$2,Totalt!$B$1:$AQ$1,0),FALSE),"")</f>
        <v>0.57799999999999996</v>
      </c>
      <c r="E97" s="173">
        <f>IFERROR(VLOOKUP($B97,Totalt!$B$1:$AQ$554,MATCH(E$2,Totalt!$B$1:$AQ$1,0),FALSE),"")</f>
        <v>0</v>
      </c>
      <c r="F97" s="173">
        <f>IFERROR(VLOOKUP($B97,Totalt!$B$1:$AQ$554,MATCH(F$2,Totalt!$B$1:$AQ$1,0),FALSE),"")</f>
        <v>0</v>
      </c>
      <c r="G97" s="173">
        <f>IFERROR(VLOOKUP($B97,Totalt!$B$1:$AQ$554,MATCH(G$2,Totalt!$B$1:$AQ$1,0),FALSE),"")</f>
        <v>8.6999999999999993</v>
      </c>
      <c r="H97" s="173">
        <f>IFERROR(VLOOKUP($B97,Totalt!$B$1:$AQ$554,MATCH(H$2,Totalt!$B$1:$AQ$1,0),FALSE),"")</f>
        <v>0</v>
      </c>
      <c r="I97" s="173">
        <f>IFERROR(VLOOKUP($B97,Totalt!$B$1:$AQ$554,MATCH(I$2,Totalt!$B$1:$AQ$1,0),FALSE),"")</f>
        <v>0</v>
      </c>
      <c r="J97" s="173">
        <f>IFERROR(VLOOKUP($B97,Totalt!$B$1:$AQ$554,MATCH(J$2,Totalt!$B$1:$AQ$1,0),FALSE),"")</f>
        <v>0</v>
      </c>
      <c r="K97" s="173">
        <f>IFERROR(VLOOKUP($B97,Totalt!$B$1:$AQ$554,MATCH(K$2,Totalt!$B$1:$AQ$1,0),FALSE),"")</f>
        <v>0</v>
      </c>
      <c r="L97" s="173">
        <f>IFERROR(VLOOKUP($B97,Totalt!$B$1:$AQ$554,MATCH(L$2,Totalt!$B$1:$AQ$1,0),FALSE),"")</f>
        <v>0</v>
      </c>
      <c r="M97" s="173">
        <f>IFERROR(VLOOKUP($B97,Totalt!$B$1:$AQ$554,MATCH(M$2,Totalt!$B$1:$AQ$1,0),FALSE),"")</f>
        <v>8.7899999999999991</v>
      </c>
      <c r="N97" s="173">
        <f>IFERROR(VLOOKUP($B97,Totalt!$B$1:$AQ$554,MATCH(N$2,Totalt!$B$1:$AQ$1,0),FALSE),"")</f>
        <v>14.26</v>
      </c>
      <c r="O97" s="173">
        <f>IFERROR(VLOOKUP($B97,Totalt!$B$1:$AQ$554,MATCH(O$2,Totalt!$B$1:$AQ$1,0),FALSE),"")</f>
        <v>0</v>
      </c>
      <c r="P97" s="173">
        <f>IFERROR(VLOOKUP($B97,Totalt!$B$1:$AQ$554,MATCH(P$2,Totalt!$B$1:$AQ$1,0),FALSE),"")</f>
        <v>21.72</v>
      </c>
      <c r="Q97" s="173">
        <f>IFERROR(VLOOKUP($B97,Totalt!$B$1:$AQ$554,MATCH(Q$2,Totalt!$B$1:$AQ$1,0),FALSE),"")</f>
        <v>7.03</v>
      </c>
      <c r="R97" s="173">
        <f>IFERROR(VLOOKUP($B97,Totalt!$B$1:$AQ$554,MATCH(R$2,Totalt!$B$1:$AQ$1,0),FALSE),"")</f>
        <v>0</v>
      </c>
      <c r="S97" s="173">
        <f>IFERROR(VLOOKUP($B97,Totalt!$B$1:$AQ$554,MATCH(S$2,Totalt!$B$1:$AQ$1,0),FALSE),"")</f>
        <v>0</v>
      </c>
      <c r="T97" s="173">
        <f>IFERROR(VLOOKUP($B97,Totalt!$B$1:$AQ$554,MATCH(T$2,Totalt!$B$1:$AQ$1,0),FALSE),"")</f>
        <v>0</v>
      </c>
      <c r="U97" s="173">
        <f>IFERROR(VLOOKUP($B97,Totalt!$B$1:$AQ$554,MATCH(U$2,Totalt!$B$1:$AQ$1,0),FALSE),"")</f>
        <v>0</v>
      </c>
      <c r="V97" s="173">
        <f>IFERROR(VLOOKUP($B97,Totalt!$B$1:$AQ$554,MATCH(V$2,Totalt!$B$1:$AQ$1,0),FALSE),"")</f>
        <v>0</v>
      </c>
      <c r="W97" s="173">
        <f>IFERROR(VLOOKUP($B97,Totalt!$B$1:$AQ$554,MATCH(W$2,Totalt!$B$1:$AQ$1,0),FALSE),"")</f>
        <v>0</v>
      </c>
      <c r="X97" s="173">
        <f>IFERROR(VLOOKUP($B97,Totalt!$B$1:$AQ$554,MATCH(X$2,Totalt!$B$1:$AQ$1,0),FALSE),"")</f>
        <v>0</v>
      </c>
      <c r="Y97" s="173">
        <f>IFERROR(VLOOKUP($B97,Totalt!$B$1:$AQ$554,MATCH(Y$2,Totalt!$B$1:$AQ$1,0),FALSE),"")</f>
        <v>0</v>
      </c>
      <c r="Z97" s="173">
        <f>IFERROR(VLOOKUP($B97,Totalt!$B$1:$AQ$554,MATCH(Z$2,Totalt!$B$1:$AQ$1,0),FALSE),"")</f>
        <v>0</v>
      </c>
      <c r="AA97" s="173">
        <f>IFERROR(VLOOKUP($B97,Totalt!$B$1:$AQ$554,MATCH(AA$2,Totalt!$B$1:$AQ$1,0),FALSE),"")</f>
        <v>0</v>
      </c>
      <c r="AB97" s="173">
        <f>IFERROR(VLOOKUP($B97,Totalt!$B$1:$AQ$554,MATCH(AB$2,Totalt!$B$1:$AQ$1,0),FALSE),"")</f>
        <v>0</v>
      </c>
      <c r="AC97" s="173">
        <f>IFERROR(VLOOKUP($B97,Totalt!$B$1:$AQ$554,MATCH(AC$2,Totalt!$B$1:$AQ$1,0),FALSE),"")</f>
        <v>6.6</v>
      </c>
      <c r="AD97" s="173">
        <f>IFERROR(VLOOKUP($B97,Totalt!$B$1:$AQ$554,MATCH(AD$2,Totalt!$B$1:$AQ$1,0),FALSE),"")</f>
        <v>9.9000000000000005E-2</v>
      </c>
      <c r="AE97" s="173">
        <f>IFERROR(VLOOKUP($B97,Totalt!$B$1:$AQ$554,MATCH(AE$2,Totalt!$B$1:$AQ$1,0),FALSE),"")</f>
        <v>0</v>
      </c>
      <c r="AF97" s="173">
        <f>IFERROR(VLOOKUP($B97,Totalt!$B$1:$AQ$554,MATCH(AF$2,Totalt!$B$1:$AQ$1,0),FALSE),"")</f>
        <v>0.96299999999999997</v>
      </c>
      <c r="AG97" s="173">
        <f>IFERROR(VLOOKUP($B97,Totalt!$B$1:$AQ$554,MATCH(AG$2,Totalt!$B$1:$AQ$1,0),FALSE),"")</f>
        <v>0</v>
      </c>
      <c r="AI97" s="226">
        <f t="shared" si="6"/>
        <v>68.739999999999995</v>
      </c>
      <c r="AJ97" s="226">
        <f>IF(ISERROR(1/VLOOKUP($B97,Leveranser!$B$1:$S$500,MATCH("såld värme (gwh)",Leveranser!$B$1:$S$1,0),FALSE)),"",VLOOKUP($B97,Leveranser!$B$1:$S$500,MATCH("såld värme (gwh)",Leveranser!$B$1:$S$1,0),FALSE))</f>
        <v>51.68</v>
      </c>
      <c r="AM97" s="227" t="str">
        <f>IF(B97&lt;&gt;"",IF(VLOOKUP($B97,Totalt!$B$1:$AQ$554,MATCH("Kvalitetsgranskad:",Totalt!$B$1:$AQ$1,0),FALSE)="ja",VLOOKUP($B97,Miljö!$B$1:$AG$479,MATCH(AM$2,Miljö!$B$1:$AK$1,0),FALSE),""),"")</f>
        <v>Nej</v>
      </c>
      <c r="AN97" s="227" t="str">
        <f>IF(AM97="ja",VLOOKUP($B97,Miljö!$B$1:$J$479,MATCH("Typ av ursprungsspecificerad el   (Om inget värde anges används Nordisk residualmix, se inforuta) ()",Miljö!$B$1:$J$1,0),FALSE),IF(AM97="nej","Nordisk residualel",""))</f>
        <v>Nordisk residualel</v>
      </c>
      <c r="AO97" s="227">
        <f>IF(AM97="","",VLOOKUP($B97,Miljö!$B$1:$J$479,MATCH("Fossilandel för ursprungspecificerad el ()",Miljö!$B$1:$J$1,0),FALSE))</f>
        <v>0.43</v>
      </c>
      <c r="AP97" s="227">
        <f>IF(AM97="","",IFERROR(VLOOKUP($B97,Miljö!$B$1:$J$479,MATCH("Kärnkraftsandel för ursprungsspecificerad el ()",Miljö!$B$1:$J$1,0),FALSE)/1,0))</f>
        <v>0.40550000000000003</v>
      </c>
      <c r="AQ97" s="227">
        <f t="shared" si="7"/>
        <v>0.16450000000000004</v>
      </c>
      <c r="AR97" s="227"/>
      <c r="AS97" s="227" t="str">
        <f t="shared" si="8"/>
        <v>Nej</v>
      </c>
      <c r="AT97" s="227" t="str">
        <f>IF(AS97="ja",VLOOKUP($B97,Miljö!$B$1:$O$500,MATCH("Fossil andel i procent (%)",Miljö!$B$1:$O$1,0),FALSE)/100,"")</f>
        <v/>
      </c>
      <c r="AU97" s="227"/>
      <c r="AV97" s="227" t="str">
        <f t="shared" si="9"/>
        <v>Nej</v>
      </c>
      <c r="AW97" s="227" t="str">
        <f>IF(AV97="ja",VLOOKUP($B97,'Egen hetvattenprod'!$B$1:$AO$500,MATCH("Värmekälla till värmepumpar ()",'Egen hetvattenprod'!$B$1:$AO$1,0),FALSE),"")</f>
        <v/>
      </c>
      <c r="AX97" s="227"/>
      <c r="AY97" s="227" t="str">
        <f t="shared" si="10"/>
        <v>Ja</v>
      </c>
      <c r="AZ97" s="228">
        <f>IF($AY97="ja",(VLOOKUP($B97,'Egen hetvattenprod'!$B$1:$BX$550,MATCH(AZ$2,'Egen hetvattenprod'!$B$1:$BX$1,0),FALSE)+VLOOKUP($B97,Kraftvärmeprod!$B$1:$BX$550,MATCH(AZ$2,Kraftvärmeprod!$B$1:$BX$1,0),FALSE))/$AC97,"")</f>
        <v>1</v>
      </c>
      <c r="BA97" s="228">
        <f>IF($AY97="ja",(VLOOKUP($B97,'Egen hetvattenprod'!$B$1:$BX$550,MATCH(BA$2,'Egen hetvattenprod'!$B$1:$BX$1,0),FALSE)+VLOOKUP($B97,Kraftvärmeprod!$B$1:$BX$550,MATCH(BA$2,Kraftvärmeprod!$B$1:$BX$1,0),FALSE))/$AC97,"")</f>
        <v>0</v>
      </c>
      <c r="BB97" s="228">
        <f>IF($AY97="ja",(VLOOKUP($B97,'Egen hetvattenprod'!$B$1:$BX$550,MATCH(BB$2,'Egen hetvattenprod'!$B$1:$BX$1,0),FALSE)+VLOOKUP($B97,Kraftvärmeprod!$B$1:$BX$550,MATCH(BB$2,Kraftvärmeprod!$B$1:$BX$1,0),FALSE))/$AC97,"")</f>
        <v>0</v>
      </c>
      <c r="BC97" s="228">
        <f>IF($AY97="ja",(VLOOKUP($B97,'Egen hetvattenprod'!$B$1:$BX$550,MATCH(BC$2,'Egen hetvattenprod'!$B$1:$BX$1,0),FALSE)+VLOOKUP($B97,Kraftvärmeprod!$B$1:$BX$550,MATCH(BC$2,Kraftvärmeprod!$B$1:$BX$1,0),FALSE))/$AC97,"")</f>
        <v>0</v>
      </c>
      <c r="BD97" s="228">
        <f>IF($AY97="ja",(VLOOKUP($B97,'Egen hetvattenprod'!$B$1:$BX$550,MATCH(BD$2,'Egen hetvattenprod'!$B$1:$BX$1,0),FALSE)+VLOOKUP($B97,Kraftvärmeprod!$B$1:$BX$550,MATCH(BD$2,Kraftvärmeprod!$B$1:$BX$1,0),FALSE))/$AC97,"")</f>
        <v>0</v>
      </c>
      <c r="BE97" s="227"/>
      <c r="BF97" s="227" t="str">
        <f t="shared" si="11"/>
        <v>Nej</v>
      </c>
      <c r="BG97" s="227" t="str">
        <f>IF($BF97="ja",VLOOKUP($B97,'Egen hetvattenprod'!$B$1:$BX$550,MATCH("Andelen klimatgaser med fossilt ursprung för avfall ()",'Egen hetvattenprod'!$B$1:$BX$1,0),FALSE),"")</f>
        <v/>
      </c>
      <c r="BH97" s="227" t="str">
        <f>IF($BF97="ja",VLOOKUP($B97,Kraftvärmeprod!$B$1:$BX$550,MATCH("Andelen klimatgaser med fossilt ursprung för avfall ()",Kraftvärmeprod!$B$1:$BX$1,0),FALSE),"")</f>
        <v/>
      </c>
      <c r="BI97" s="227" t="str">
        <f>IF($BF97="ja",VLOOKUP($B97,'Egen hetvattenprod'!$B$1:$BX$550,MATCH("Avfall (GWh)",'Egen hetvattenprod'!$B$1:$BX$1,0),FALSE),"")</f>
        <v/>
      </c>
      <c r="BJ97" s="227" t="str">
        <f>IF($BF97="ja",VLOOKUP($B97,'Slutlig allokering kvv'!$B$1:$BX$550,MATCH("Avfall (GWh)",'Slutlig allokering kvv'!$B$1:$BX$1,0),FALSE),"")</f>
        <v/>
      </c>
      <c r="BK97" s="227" t="str">
        <f>IF($BF97="ja",VLOOKUP($B97,'Köpt hetvatten'!$B$1:$BX$550,MATCH("Avfall i köpt hetvatten",'Köpt hetvatten'!$B$1:$BX$1,0),FALSE),"")</f>
        <v/>
      </c>
      <c r="BL97" s="227" t="str">
        <f>IF($BF97="ja",VLOOKUP($B97,'Egen hetvattenprod'!$B$1:$BX$550,MATCH("Värde enligt ovan. (%)",'Egen hetvattenprod'!$B$1:$BX$1,0),FALSE),"")</f>
        <v/>
      </c>
      <c r="BM97" s="227" t="str">
        <f>IF($BF97="ja",VLOOKUP($B97,Kraftvärmeprod!$B$1:$BX$550,MATCH("Värde enligt ovan. (%)",Kraftvärmeprod!$B$1:$BX$1,0),FALSE),"")</f>
        <v/>
      </c>
      <c r="BN97" s="227"/>
      <c r="BO97" s="227"/>
      <c r="BP97" s="227"/>
      <c r="BQ97" s="227" t="str">
        <f>IF($BF97="ja",VLOOKUP($B97,'Egen hetvattenprod'!$B$1:$BX$550,MATCH("Tillförd olja (fossil) vid avfallsförbränning (GWh)",'Egen hetvattenprod'!$B$1:$BX$1,0),FALSE),"")</f>
        <v/>
      </c>
      <c r="BR97" s="227" t="str">
        <f>IF($BF97="ja",VLOOKUP($B97,Kraftvärmeprod!$B$1:$BX$550,MATCH("Tillförd olja (fossil) vid avfallsförbränning (GWh)",Kraftvärmeprod!$B$1:$BX$1,0),FALSE),"")</f>
        <v/>
      </c>
      <c r="BS97" s="227"/>
      <c r="BT97" s="227"/>
      <c r="BU97" s="227"/>
    </row>
    <row r="98" spans="1:73" x14ac:dyDescent="0.25">
      <c r="A98" s="121" t="str">
        <f>'Miljövärden för publ företag'!B101</f>
        <v>Hagfors Energi</v>
      </c>
      <c r="B98" s="121" t="str">
        <f>'Miljövärden för publ företag'!C101</f>
        <v>Sunnemo</v>
      </c>
      <c r="C98" s="173">
        <f>IFERROR(VLOOKUP($B98,Totalt!$B$1:$AQ$554,MATCH(C$2,Totalt!$B$1:$AQ$1,0),FALSE),"")</f>
        <v>0</v>
      </c>
      <c r="D98" s="173">
        <f>IFERROR(VLOOKUP($B98,Totalt!$B$1:$AQ$554,MATCH(D$2,Totalt!$B$1:$AQ$1,0),FALSE),"")</f>
        <v>4.1000000000000002E-2</v>
      </c>
      <c r="E98" s="173">
        <f>IFERROR(VLOOKUP($B98,Totalt!$B$1:$AQ$554,MATCH(E$2,Totalt!$B$1:$AQ$1,0),FALSE),"")</f>
        <v>0</v>
      </c>
      <c r="F98" s="173">
        <f>IFERROR(VLOOKUP($B98,Totalt!$B$1:$AQ$554,MATCH(F$2,Totalt!$B$1:$AQ$1,0),FALSE),"")</f>
        <v>0</v>
      </c>
      <c r="G98" s="173">
        <f>IFERROR(VLOOKUP($B98,Totalt!$B$1:$AQ$554,MATCH(G$2,Totalt!$B$1:$AQ$1,0),FALSE),"")</f>
        <v>0</v>
      </c>
      <c r="H98" s="173">
        <f>IFERROR(VLOOKUP($B98,Totalt!$B$1:$AQ$554,MATCH(H$2,Totalt!$B$1:$AQ$1,0),FALSE),"")</f>
        <v>0</v>
      </c>
      <c r="I98" s="173">
        <f>IFERROR(VLOOKUP($B98,Totalt!$B$1:$AQ$554,MATCH(I$2,Totalt!$B$1:$AQ$1,0),FALSE),"")</f>
        <v>0</v>
      </c>
      <c r="J98" s="173">
        <f>IFERROR(VLOOKUP($B98,Totalt!$B$1:$AQ$554,MATCH(J$2,Totalt!$B$1:$AQ$1,0),FALSE),"")</f>
        <v>0</v>
      </c>
      <c r="K98" s="173">
        <f>IFERROR(VLOOKUP($B98,Totalt!$B$1:$AQ$554,MATCH(K$2,Totalt!$B$1:$AQ$1,0),FALSE),"")</f>
        <v>0</v>
      </c>
      <c r="L98" s="173">
        <f>IFERROR(VLOOKUP($B98,Totalt!$B$1:$AQ$554,MATCH(L$2,Totalt!$B$1:$AQ$1,0),FALSE),"")</f>
        <v>0</v>
      </c>
      <c r="M98" s="173">
        <f>IFERROR(VLOOKUP($B98,Totalt!$B$1:$AQ$554,MATCH(M$2,Totalt!$B$1:$AQ$1,0),FALSE),"")</f>
        <v>0</v>
      </c>
      <c r="N98" s="173">
        <f>IFERROR(VLOOKUP($B98,Totalt!$B$1:$AQ$554,MATCH(N$2,Totalt!$B$1:$AQ$1,0),FALSE),"")</f>
        <v>0</v>
      </c>
      <c r="O98" s="173">
        <f>IFERROR(VLOOKUP($B98,Totalt!$B$1:$AQ$554,MATCH(O$2,Totalt!$B$1:$AQ$1,0),FALSE),"")</f>
        <v>0</v>
      </c>
      <c r="P98" s="173">
        <f>IFERROR(VLOOKUP($B98,Totalt!$B$1:$AQ$554,MATCH(P$2,Totalt!$B$1:$AQ$1,0),FALSE),"")</f>
        <v>0</v>
      </c>
      <c r="Q98" s="173">
        <f>IFERROR(VLOOKUP($B98,Totalt!$B$1:$AQ$554,MATCH(Q$2,Totalt!$B$1:$AQ$1,0),FALSE),"")</f>
        <v>0</v>
      </c>
      <c r="R98" s="173">
        <f>IFERROR(VLOOKUP($B98,Totalt!$B$1:$AQ$554,MATCH(R$2,Totalt!$B$1:$AQ$1,0),FALSE),"")</f>
        <v>0.222</v>
      </c>
      <c r="S98" s="173">
        <f>IFERROR(VLOOKUP($B98,Totalt!$B$1:$AQ$554,MATCH(S$2,Totalt!$B$1:$AQ$1,0),FALSE),"")</f>
        <v>0</v>
      </c>
      <c r="T98" s="173">
        <f>IFERROR(VLOOKUP($B98,Totalt!$B$1:$AQ$554,MATCH(T$2,Totalt!$B$1:$AQ$1,0),FALSE),"")</f>
        <v>0</v>
      </c>
      <c r="U98" s="173">
        <f>IFERROR(VLOOKUP($B98,Totalt!$B$1:$AQ$554,MATCH(U$2,Totalt!$B$1:$AQ$1,0),FALSE),"")</f>
        <v>0</v>
      </c>
      <c r="V98" s="173">
        <f>IFERROR(VLOOKUP($B98,Totalt!$B$1:$AQ$554,MATCH(V$2,Totalt!$B$1:$AQ$1,0),FALSE),"")</f>
        <v>0</v>
      </c>
      <c r="W98" s="173">
        <f>IFERROR(VLOOKUP($B98,Totalt!$B$1:$AQ$554,MATCH(W$2,Totalt!$B$1:$AQ$1,0),FALSE),"")</f>
        <v>0</v>
      </c>
      <c r="X98" s="173">
        <f>IFERROR(VLOOKUP($B98,Totalt!$B$1:$AQ$554,MATCH(X$2,Totalt!$B$1:$AQ$1,0),FALSE),"")</f>
        <v>0</v>
      </c>
      <c r="Y98" s="173">
        <f>IFERROR(VLOOKUP($B98,Totalt!$B$1:$AQ$554,MATCH(Y$2,Totalt!$B$1:$AQ$1,0),FALSE),"")</f>
        <v>0</v>
      </c>
      <c r="Z98" s="173">
        <f>IFERROR(VLOOKUP($B98,Totalt!$B$1:$AQ$554,MATCH(Z$2,Totalt!$B$1:$AQ$1,0),FALSE),"")</f>
        <v>0</v>
      </c>
      <c r="AA98" s="173">
        <f>IFERROR(VLOOKUP($B98,Totalt!$B$1:$AQ$554,MATCH(AA$2,Totalt!$B$1:$AQ$1,0),FALSE),"")</f>
        <v>0</v>
      </c>
      <c r="AB98" s="173">
        <f>IFERROR(VLOOKUP($B98,Totalt!$B$1:$AQ$554,MATCH(AB$2,Totalt!$B$1:$AQ$1,0),FALSE),"")</f>
        <v>0</v>
      </c>
      <c r="AC98" s="173">
        <f>IFERROR(VLOOKUP($B98,Totalt!$B$1:$AQ$554,MATCH(AC$2,Totalt!$B$1:$AQ$1,0),FALSE),"")</f>
        <v>0</v>
      </c>
      <c r="AD98" s="173">
        <f>IFERROR(VLOOKUP($B98,Totalt!$B$1:$AQ$554,MATCH(AD$2,Totalt!$B$1:$AQ$1,0),FALSE),"")</f>
        <v>0</v>
      </c>
      <c r="AE98" s="173">
        <f>IFERROR(VLOOKUP($B98,Totalt!$B$1:$AQ$554,MATCH(AE$2,Totalt!$B$1:$AQ$1,0),FALSE),"")</f>
        <v>0</v>
      </c>
      <c r="AF98" s="173">
        <f>IFERROR(VLOOKUP($B98,Totalt!$B$1:$AQ$554,MATCH(AF$2,Totalt!$B$1:$AQ$1,0),FALSE),"")</f>
        <v>7.62E-3</v>
      </c>
      <c r="AG98" s="173">
        <f>IFERROR(VLOOKUP($B98,Totalt!$B$1:$AQ$554,MATCH(AG$2,Totalt!$B$1:$AQ$1,0),FALSE),"")</f>
        <v>0</v>
      </c>
      <c r="AI98" s="226">
        <f t="shared" si="6"/>
        <v>0.27062000000000003</v>
      </c>
      <c r="AJ98" s="226">
        <f>IF(ISERROR(1/VLOOKUP($B98,Leveranser!$B$1:$S$500,MATCH("såld värme (gwh)",Leveranser!$B$1:$S$1,0),FALSE)),"",VLOOKUP($B98,Leveranser!$B$1:$S$500,MATCH("såld värme (gwh)",Leveranser!$B$1:$S$1,0),FALSE))</f>
        <v>0.254</v>
      </c>
      <c r="AM98" s="227" t="str">
        <f>IF(B98&lt;&gt;"",IF(VLOOKUP($B98,Totalt!$B$1:$AQ$554,MATCH("Kvalitetsgranskad:",Totalt!$B$1:$AQ$1,0),FALSE)="ja",VLOOKUP($B98,Miljö!$B$1:$AG$479,MATCH(AM$2,Miljö!$B$1:$AK$1,0),FALSE),""),"")</f>
        <v>Nej</v>
      </c>
      <c r="AN98" s="227" t="str">
        <f>IF(AM98="ja",VLOOKUP($B98,Miljö!$B$1:$J$479,MATCH("Typ av ursprungsspecificerad el   (Om inget värde anges används Nordisk residualmix, se inforuta) ()",Miljö!$B$1:$J$1,0),FALSE),IF(AM98="nej","Nordisk residualel",""))</f>
        <v>Nordisk residualel</v>
      </c>
      <c r="AO98" s="227">
        <f>IF(AM98="","",VLOOKUP($B98,Miljö!$B$1:$J$479,MATCH("Fossilandel för ursprungspecificerad el ()",Miljö!$B$1:$J$1,0),FALSE))</f>
        <v>0.43</v>
      </c>
      <c r="AP98" s="227">
        <f>IF(AM98="","",IFERROR(VLOOKUP($B98,Miljö!$B$1:$J$479,MATCH("Kärnkraftsandel för ursprungsspecificerad el ()",Miljö!$B$1:$J$1,0),FALSE)/1,0))</f>
        <v>0.40550000000000003</v>
      </c>
      <c r="AQ98" s="227">
        <f t="shared" si="7"/>
        <v>0.16450000000000004</v>
      </c>
      <c r="AR98" s="227"/>
      <c r="AS98" s="227" t="str">
        <f t="shared" si="8"/>
        <v>Nej</v>
      </c>
      <c r="AT98" s="227" t="str">
        <f>IF(AS98="ja",VLOOKUP($B98,Miljö!$B$1:$O$500,MATCH("Fossil andel i procent (%)",Miljö!$B$1:$O$1,0),FALSE)/100,"")</f>
        <v/>
      </c>
      <c r="AU98" s="227"/>
      <c r="AV98" s="227" t="str">
        <f t="shared" si="9"/>
        <v>Nej</v>
      </c>
      <c r="AW98" s="227" t="str">
        <f>IF(AV98="ja",VLOOKUP($B98,'Egen hetvattenprod'!$B$1:$AO$500,MATCH("Värmekälla till värmepumpar ()",'Egen hetvattenprod'!$B$1:$AO$1,0),FALSE),"")</f>
        <v/>
      </c>
      <c r="AX98" s="227"/>
      <c r="AY98" s="227" t="str">
        <f t="shared" si="10"/>
        <v>Nej</v>
      </c>
      <c r="AZ98" s="228" t="str">
        <f>IF($AY98="ja",(VLOOKUP($B98,'Egen hetvattenprod'!$B$1:$BX$550,MATCH(AZ$2,'Egen hetvattenprod'!$B$1:$BX$1,0),FALSE)+VLOOKUP($B98,Kraftvärmeprod!$B$1:$BX$550,MATCH(AZ$2,Kraftvärmeprod!$B$1:$BX$1,0),FALSE))/$AC98,"")</f>
        <v/>
      </c>
      <c r="BA98" s="228" t="str">
        <f>IF($AY98="ja",(VLOOKUP($B98,'Egen hetvattenprod'!$B$1:$BX$550,MATCH(BA$2,'Egen hetvattenprod'!$B$1:$BX$1,0),FALSE)+VLOOKUP($B98,Kraftvärmeprod!$B$1:$BX$550,MATCH(BA$2,Kraftvärmeprod!$B$1:$BX$1,0),FALSE))/$AC98,"")</f>
        <v/>
      </c>
      <c r="BB98" s="228" t="str">
        <f>IF($AY98="ja",(VLOOKUP($B98,'Egen hetvattenprod'!$B$1:$BX$550,MATCH(BB$2,'Egen hetvattenprod'!$B$1:$BX$1,0),FALSE)+VLOOKUP($B98,Kraftvärmeprod!$B$1:$BX$550,MATCH(BB$2,Kraftvärmeprod!$B$1:$BX$1,0),FALSE))/$AC98,"")</f>
        <v/>
      </c>
      <c r="BC98" s="228" t="str">
        <f>IF($AY98="ja",(VLOOKUP($B98,'Egen hetvattenprod'!$B$1:$BX$550,MATCH(BC$2,'Egen hetvattenprod'!$B$1:$BX$1,0),FALSE)+VLOOKUP($B98,Kraftvärmeprod!$B$1:$BX$550,MATCH(BC$2,Kraftvärmeprod!$B$1:$BX$1,0),FALSE))/$AC98,"")</f>
        <v/>
      </c>
      <c r="BD98" s="228" t="str">
        <f>IF($AY98="ja",(VLOOKUP($B98,'Egen hetvattenprod'!$B$1:$BX$550,MATCH(BD$2,'Egen hetvattenprod'!$B$1:$BX$1,0),FALSE)+VLOOKUP($B98,Kraftvärmeprod!$B$1:$BX$550,MATCH(BD$2,Kraftvärmeprod!$B$1:$BX$1,0),FALSE))/$AC98,"")</f>
        <v/>
      </c>
      <c r="BE98" s="227"/>
      <c r="BF98" s="227" t="str">
        <f t="shared" si="11"/>
        <v>Nej</v>
      </c>
      <c r="BG98" s="227" t="str">
        <f>IF($BF98="ja",VLOOKUP($B98,'Egen hetvattenprod'!$B$1:$BX$550,MATCH("Andelen klimatgaser med fossilt ursprung för avfall ()",'Egen hetvattenprod'!$B$1:$BX$1,0),FALSE),"")</f>
        <v/>
      </c>
      <c r="BH98" s="227" t="str">
        <f>IF($BF98="ja",VLOOKUP($B98,Kraftvärmeprod!$B$1:$BX$550,MATCH("Andelen klimatgaser med fossilt ursprung för avfall ()",Kraftvärmeprod!$B$1:$BX$1,0),FALSE),"")</f>
        <v/>
      </c>
      <c r="BI98" s="227" t="str">
        <f>IF($BF98="ja",VLOOKUP($B98,'Egen hetvattenprod'!$B$1:$BX$550,MATCH("Avfall (GWh)",'Egen hetvattenprod'!$B$1:$BX$1,0),FALSE),"")</f>
        <v/>
      </c>
      <c r="BJ98" s="227" t="str">
        <f>IF($BF98="ja",VLOOKUP($B98,'Slutlig allokering kvv'!$B$1:$BX$550,MATCH("Avfall (GWh)",'Slutlig allokering kvv'!$B$1:$BX$1,0),FALSE),"")</f>
        <v/>
      </c>
      <c r="BK98" s="227" t="str">
        <f>IF($BF98="ja",VLOOKUP($B98,'Köpt hetvatten'!$B$1:$BX$550,MATCH("Avfall i köpt hetvatten",'Köpt hetvatten'!$B$1:$BX$1,0),FALSE),"")</f>
        <v/>
      </c>
      <c r="BL98" s="227" t="str">
        <f>IF($BF98="ja",VLOOKUP($B98,'Egen hetvattenprod'!$B$1:$BX$550,MATCH("Värde enligt ovan. (%)",'Egen hetvattenprod'!$B$1:$BX$1,0),FALSE),"")</f>
        <v/>
      </c>
      <c r="BM98" s="227" t="str">
        <f>IF($BF98="ja",VLOOKUP($B98,Kraftvärmeprod!$B$1:$BX$550,MATCH("Värde enligt ovan. (%)",Kraftvärmeprod!$B$1:$BX$1,0),FALSE),"")</f>
        <v/>
      </c>
      <c r="BN98" s="227"/>
      <c r="BO98" s="227"/>
      <c r="BP98" s="227"/>
      <c r="BQ98" s="227" t="str">
        <f>IF($BF98="ja",VLOOKUP($B98,'Egen hetvattenprod'!$B$1:$BX$550,MATCH("Tillförd olja (fossil) vid avfallsförbränning (GWh)",'Egen hetvattenprod'!$B$1:$BX$1,0),FALSE),"")</f>
        <v/>
      </c>
      <c r="BR98" s="227" t="str">
        <f>IF($BF98="ja",VLOOKUP($B98,Kraftvärmeprod!$B$1:$BX$550,MATCH("Tillförd olja (fossil) vid avfallsförbränning (GWh)",Kraftvärmeprod!$B$1:$BX$1,0),FALSE),"")</f>
        <v/>
      </c>
      <c r="BS98" s="227"/>
      <c r="BT98" s="227"/>
      <c r="BU98" s="227"/>
    </row>
    <row r="99" spans="1:73" x14ac:dyDescent="0.25">
      <c r="A99" s="121" t="str">
        <f>'Miljövärden för publ företag'!B102</f>
        <v>Halmstads Energi och Miljö AB</v>
      </c>
      <c r="B99" s="121" t="str">
        <f>'Miljövärden för publ företag'!C102</f>
        <v>Halmstad</v>
      </c>
      <c r="C99" s="173">
        <f>IFERROR(VLOOKUP($B99,Totalt!$B$1:$AQ$554,MATCH(C$2,Totalt!$B$1:$AQ$1,0),FALSE),"")</f>
        <v>0</v>
      </c>
      <c r="D99" s="173">
        <f>IFERROR(VLOOKUP($B99,Totalt!$B$1:$AQ$554,MATCH(D$2,Totalt!$B$1:$AQ$1,0),FALSE),"")</f>
        <v>1</v>
      </c>
      <c r="E99" s="173">
        <f>IFERROR(VLOOKUP($B99,Totalt!$B$1:$AQ$554,MATCH(E$2,Totalt!$B$1:$AQ$1,0),FALSE),"")</f>
        <v>0</v>
      </c>
      <c r="F99" s="173">
        <f>IFERROR(VLOOKUP($B99,Totalt!$B$1:$AQ$554,MATCH(F$2,Totalt!$B$1:$AQ$1,0),FALSE),"")</f>
        <v>0</v>
      </c>
      <c r="G99" s="173">
        <f>IFERROR(VLOOKUP($B99,Totalt!$B$1:$AQ$554,MATCH(G$2,Totalt!$B$1:$AQ$1,0),FALSE),"")</f>
        <v>0</v>
      </c>
      <c r="H99" s="173">
        <f>IFERROR(VLOOKUP($B99,Totalt!$B$1:$AQ$554,MATCH(H$2,Totalt!$B$1:$AQ$1,0),FALSE),"")</f>
        <v>0</v>
      </c>
      <c r="I99" s="173">
        <f>IFERROR(VLOOKUP($B99,Totalt!$B$1:$AQ$554,MATCH(I$2,Totalt!$B$1:$AQ$1,0),FALSE),"")</f>
        <v>409.32900000000001</v>
      </c>
      <c r="J99" s="173">
        <f>IFERROR(VLOOKUP($B99,Totalt!$B$1:$AQ$554,MATCH(J$2,Totalt!$B$1:$AQ$1,0),FALSE),"")</f>
        <v>33.4</v>
      </c>
      <c r="K99" s="173">
        <f>IFERROR(VLOOKUP($B99,Totalt!$B$1:$AQ$554,MATCH(K$2,Totalt!$B$1:$AQ$1,0),FALSE),"")</f>
        <v>0</v>
      </c>
      <c r="L99" s="173">
        <f>IFERROR(VLOOKUP($B99,Totalt!$B$1:$AQ$554,MATCH(L$2,Totalt!$B$1:$AQ$1,0),FALSE),"")</f>
        <v>0</v>
      </c>
      <c r="M99" s="173">
        <f>IFERROR(VLOOKUP($B99,Totalt!$B$1:$AQ$554,MATCH(M$2,Totalt!$B$1:$AQ$1,0),FALSE),"")</f>
        <v>0</v>
      </c>
      <c r="N99" s="173">
        <f>IFERROR(VLOOKUP($B99,Totalt!$B$1:$AQ$554,MATCH(N$2,Totalt!$B$1:$AQ$1,0),FALSE),"")</f>
        <v>152.58600000000001</v>
      </c>
      <c r="O99" s="173">
        <f>IFERROR(VLOOKUP($B99,Totalt!$B$1:$AQ$554,MATCH(O$2,Totalt!$B$1:$AQ$1,0),FALSE),"")</f>
        <v>0</v>
      </c>
      <c r="P99" s="173">
        <f>IFERROR(VLOOKUP($B99,Totalt!$B$1:$AQ$554,MATCH(P$2,Totalt!$B$1:$AQ$1,0),FALSE),"")</f>
        <v>0</v>
      </c>
      <c r="Q99" s="173">
        <f>IFERROR(VLOOKUP($B99,Totalt!$B$1:$AQ$554,MATCH(Q$2,Totalt!$B$1:$AQ$1,0),FALSE),"")</f>
        <v>0</v>
      </c>
      <c r="R99" s="173">
        <f>IFERROR(VLOOKUP($B99,Totalt!$B$1:$AQ$554,MATCH(R$2,Totalt!$B$1:$AQ$1,0),FALSE),"")</f>
        <v>0</v>
      </c>
      <c r="S99" s="173">
        <f>IFERROR(VLOOKUP($B99,Totalt!$B$1:$AQ$554,MATCH(S$2,Totalt!$B$1:$AQ$1,0),FALSE),"")</f>
        <v>0</v>
      </c>
      <c r="T99" s="173">
        <f>IFERROR(VLOOKUP($B99,Totalt!$B$1:$AQ$554,MATCH(T$2,Totalt!$B$1:$AQ$1,0),FALSE),"")</f>
        <v>0</v>
      </c>
      <c r="U99" s="173">
        <f>IFERROR(VLOOKUP($B99,Totalt!$B$1:$AQ$554,MATCH(U$2,Totalt!$B$1:$AQ$1,0),FALSE),"")</f>
        <v>0</v>
      </c>
      <c r="V99" s="173">
        <f>IFERROR(VLOOKUP($B99,Totalt!$B$1:$AQ$554,MATCH(V$2,Totalt!$B$1:$AQ$1,0),FALSE),"")</f>
        <v>0</v>
      </c>
      <c r="W99" s="173">
        <f>IFERROR(VLOOKUP($B99,Totalt!$B$1:$AQ$554,MATCH(W$2,Totalt!$B$1:$AQ$1,0),FALSE),"")</f>
        <v>0.41199999999999998</v>
      </c>
      <c r="X99" s="173">
        <f>IFERROR(VLOOKUP($B99,Totalt!$B$1:$AQ$554,MATCH(X$2,Totalt!$B$1:$AQ$1,0),FALSE),"")</f>
        <v>0</v>
      </c>
      <c r="Y99" s="173">
        <f>IFERROR(VLOOKUP($B99,Totalt!$B$1:$AQ$554,MATCH(Y$2,Totalt!$B$1:$AQ$1,0),FALSE),"")</f>
        <v>0</v>
      </c>
      <c r="Z99" s="173">
        <f>IFERROR(VLOOKUP($B99,Totalt!$B$1:$AQ$554,MATCH(Z$2,Totalt!$B$1:$AQ$1,0),FALSE),"")</f>
        <v>0</v>
      </c>
      <c r="AA99" s="173">
        <f>IFERROR(VLOOKUP($B99,Totalt!$B$1:$AQ$554,MATCH(AA$2,Totalt!$B$1:$AQ$1,0),FALSE),"")</f>
        <v>0</v>
      </c>
      <c r="AB99" s="173">
        <f>IFERROR(VLOOKUP($B99,Totalt!$B$1:$AQ$554,MATCH(AB$2,Totalt!$B$1:$AQ$1,0),FALSE),"")</f>
        <v>0</v>
      </c>
      <c r="AC99" s="173">
        <f>IFERROR(VLOOKUP($B99,Totalt!$B$1:$AQ$554,MATCH(AC$2,Totalt!$B$1:$AQ$1,0),FALSE),"")</f>
        <v>104.6</v>
      </c>
      <c r="AD99" s="173">
        <f>IFERROR(VLOOKUP($B99,Totalt!$B$1:$AQ$554,MATCH(AD$2,Totalt!$B$1:$AQ$1,0),FALSE),"")</f>
        <v>13.6</v>
      </c>
      <c r="AE99" s="173">
        <f>IFERROR(VLOOKUP($B99,Totalt!$B$1:$AQ$554,MATCH(AE$2,Totalt!$B$1:$AQ$1,0),FALSE),"")</f>
        <v>0</v>
      </c>
      <c r="AF99" s="173">
        <f>IFERROR(VLOOKUP($B99,Totalt!$B$1:$AQ$554,MATCH(AF$2,Totalt!$B$1:$AQ$1,0),FALSE),"")</f>
        <v>22.542200000000001</v>
      </c>
      <c r="AG99" s="173">
        <f>IFERROR(VLOOKUP($B99,Totalt!$B$1:$AQ$554,MATCH(AG$2,Totalt!$B$1:$AQ$1,0),FALSE),"")</f>
        <v>0</v>
      </c>
      <c r="AI99" s="226">
        <f t="shared" si="6"/>
        <v>737.46920000000011</v>
      </c>
      <c r="AJ99" s="226">
        <f>IF(ISERROR(1/VLOOKUP($B99,Leveranser!$B$1:$S$500,MATCH("såld värme (gwh)",Leveranser!$B$1:$S$1,0),FALSE)),"",VLOOKUP($B99,Leveranser!$B$1:$S$500,MATCH("såld värme (gwh)",Leveranser!$B$1:$S$1,0),FALSE))</f>
        <v>575</v>
      </c>
      <c r="AM99" s="227" t="str">
        <f>IF(B99&lt;&gt;"",IF(VLOOKUP($B99,Totalt!$B$1:$AQ$554,MATCH("Kvalitetsgranskad:",Totalt!$B$1:$AQ$1,0),FALSE)="ja",VLOOKUP($B99,Miljö!$B$1:$AG$479,MATCH(AM$2,Miljö!$B$1:$AK$1,0),FALSE),""),"")</f>
        <v>Ja</v>
      </c>
      <c r="AN99" s="227" t="str">
        <f>IF(AM99="ja",VLOOKUP($B99,Miljö!$B$1:$J$479,MATCH("Typ av ursprungsspecificerad el   (Om inget värde anges används Nordisk residualmix, se inforuta) ()",Miljö!$B$1:$J$1,0),FALSE),IF(AM99="nej","Nordisk residualel",""))</f>
        <v>'Vattenkraftsel'</v>
      </c>
      <c r="AO99" s="227">
        <f>IF(AM99="","",VLOOKUP($B99,Miljö!$B$1:$J$479,MATCH("Fossilandel för ursprungspecificerad el ()",Miljö!$B$1:$J$1,0),FALSE))</f>
        <v>0</v>
      </c>
      <c r="AP99" s="227">
        <f>IF(AM99="","",IFERROR(VLOOKUP($B99,Miljö!$B$1:$J$479,MATCH("Kärnkraftsandel för ursprungsspecificerad el ()",Miljö!$B$1:$J$1,0),FALSE)/1,0))</f>
        <v>0</v>
      </c>
      <c r="AQ99" s="227">
        <f t="shared" si="7"/>
        <v>1</v>
      </c>
      <c r="AR99" s="227"/>
      <c r="AS99" s="227" t="str">
        <f t="shared" si="8"/>
        <v>Nej</v>
      </c>
      <c r="AT99" s="227" t="str">
        <f>IF(AS99="ja",VLOOKUP($B99,Miljö!$B$1:$O$500,MATCH("Fossil andel i procent (%)",Miljö!$B$1:$O$1,0),FALSE)/100,"")</f>
        <v/>
      </c>
      <c r="AU99" s="227"/>
      <c r="AV99" s="227" t="str">
        <f t="shared" si="9"/>
        <v>Nej</v>
      </c>
      <c r="AW99" s="227" t="str">
        <f>IF(AV99="ja",VLOOKUP($B99,'Egen hetvattenprod'!$B$1:$AO$500,MATCH("Värmekälla till värmepumpar ()",'Egen hetvattenprod'!$B$1:$AO$1,0),FALSE),"")</f>
        <v/>
      </c>
      <c r="AX99" s="227"/>
      <c r="AY99" s="227" t="str">
        <f t="shared" si="10"/>
        <v>Ja</v>
      </c>
      <c r="AZ99" s="228">
        <f>IF($AY99="ja",(VLOOKUP($B99,'Egen hetvattenprod'!$B$1:$BX$550,MATCH(AZ$2,'Egen hetvattenprod'!$B$1:$BX$1,0),FALSE)+VLOOKUP($B99,Kraftvärmeprod!$B$1:$BX$550,MATCH(AZ$2,Kraftvärmeprod!$B$1:$BX$1,0),FALSE))/$AC99,"")</f>
        <v>0.28114722753346078</v>
      </c>
      <c r="BA99" s="228">
        <f>IF($AY99="ja",(VLOOKUP($B99,'Egen hetvattenprod'!$B$1:$BX$550,MATCH(BA$2,'Egen hetvattenprod'!$B$1:$BX$1,0),FALSE)+VLOOKUP($B99,Kraftvärmeprod!$B$1:$BX$550,MATCH(BA$2,Kraftvärmeprod!$B$1:$BX$1,0),FALSE))/$AC99,"")</f>
        <v>0.718852772466539</v>
      </c>
      <c r="BB99" s="228">
        <f>IF($AY99="ja",(VLOOKUP($B99,'Egen hetvattenprod'!$B$1:$BX$550,MATCH(BB$2,'Egen hetvattenprod'!$B$1:$BX$1,0),FALSE)+VLOOKUP($B99,Kraftvärmeprod!$B$1:$BX$550,MATCH(BB$2,Kraftvärmeprod!$B$1:$BX$1,0),FALSE))/$AC99,"")</f>
        <v>0</v>
      </c>
      <c r="BC99" s="228">
        <f>IF($AY99="ja",(VLOOKUP($B99,'Egen hetvattenprod'!$B$1:$BX$550,MATCH(BC$2,'Egen hetvattenprod'!$B$1:$BX$1,0),FALSE)+VLOOKUP($B99,Kraftvärmeprod!$B$1:$BX$550,MATCH(BC$2,Kraftvärmeprod!$B$1:$BX$1,0),FALSE))/$AC99,"")</f>
        <v>0</v>
      </c>
      <c r="BD99" s="228">
        <f>IF($AY99="ja",(VLOOKUP($B99,'Egen hetvattenprod'!$B$1:$BX$550,MATCH(BD$2,'Egen hetvattenprod'!$B$1:$BX$1,0),FALSE)+VLOOKUP($B99,Kraftvärmeprod!$B$1:$BX$550,MATCH(BD$2,Kraftvärmeprod!$B$1:$BX$1,0),FALSE))/$AC99,"")</f>
        <v>6.7929515847045908E-17</v>
      </c>
      <c r="BE99" s="227"/>
      <c r="BF99" s="227" t="str">
        <f t="shared" si="11"/>
        <v>Ja</v>
      </c>
      <c r="BG99" s="227" t="str">
        <f>IF($BF99="ja",VLOOKUP($B99,'Egen hetvattenprod'!$B$1:$BX$550,MATCH("Andelen klimatgaser med fossilt ursprung för avfall ()",'Egen hetvattenprod'!$B$1:$BX$1,0),FALSE),"")</f>
        <v>Mätvärde</v>
      </c>
      <c r="BH99" s="227" t="str">
        <f>IF($BF99="ja",VLOOKUP($B99,Kraftvärmeprod!$B$1:$BX$550,MATCH("Andelen klimatgaser med fossilt ursprung för avfall ()",Kraftvärmeprod!$B$1:$BX$1,0),FALSE),"")</f>
        <v>Mätvärde</v>
      </c>
      <c r="BI99" s="227">
        <f>IF($BF99="ja",VLOOKUP($B99,'Egen hetvattenprod'!$B$1:$BX$550,MATCH("Avfall (GWh)",'Egen hetvattenprod'!$B$1:$BX$1,0),FALSE),"")</f>
        <v>212.9</v>
      </c>
      <c r="BJ99" s="227">
        <f>IF($BF99="ja",VLOOKUP($B99,'Slutlig allokering kvv'!$B$1:$BX$550,MATCH("Avfall (GWh)",'Slutlig allokering kvv'!$B$1:$BX$1,0),FALSE),"")</f>
        <v>196.429</v>
      </c>
      <c r="BK99" s="227">
        <f>IF($BF99="ja",VLOOKUP($B99,'Köpt hetvatten'!$B$1:$BX$550,MATCH("Avfall i köpt hetvatten",'Köpt hetvatten'!$B$1:$BX$1,0),FALSE),"")</f>
        <v>0</v>
      </c>
      <c r="BL99" s="227">
        <f>IF($BF99="ja",VLOOKUP($B99,'Egen hetvattenprod'!$B$1:$BX$550,MATCH("Värde enligt ovan. (%)",'Egen hetvattenprod'!$B$1:$BX$1,0),FALSE),"")</f>
        <v>40.68</v>
      </c>
      <c r="BM99" s="227">
        <f>IF($BF99="ja",VLOOKUP($B99,Kraftvärmeprod!$B$1:$BX$550,MATCH("Värde enligt ovan. (%)",Kraftvärmeprod!$B$1:$BX$1,0),FALSE),"")</f>
        <v>46.68</v>
      </c>
      <c r="BN99" s="227"/>
      <c r="BO99" s="227"/>
      <c r="BP99" s="227"/>
      <c r="BQ99" s="227">
        <f>IF($BF99="ja",VLOOKUP($B99,'Egen hetvattenprod'!$B$1:$BX$550,MATCH("Tillförd olja (fossil) vid avfallsförbränning (GWh)",'Egen hetvattenprod'!$B$1:$BX$1,0),FALSE),"")</f>
        <v>0.4</v>
      </c>
      <c r="BR99" s="227">
        <f>IF($BF99="ja",VLOOKUP($B99,Kraftvärmeprod!$B$1:$BX$550,MATCH("Tillförd olja (fossil) vid avfallsförbränning (GWh)",Kraftvärmeprod!$B$1:$BX$1,0),FALSE),"")</f>
        <v>1.8740000000000001</v>
      </c>
      <c r="BS99" s="227"/>
      <c r="BT99" s="227"/>
      <c r="BU99" s="227"/>
    </row>
    <row r="100" spans="1:73" x14ac:dyDescent="0.25">
      <c r="A100" s="121" t="str">
        <f>'Miljövärden för publ företag'!B103</f>
        <v>Hammarö Energi AB</v>
      </c>
      <c r="B100" s="121" t="str">
        <f>'Miljövärden för publ företag'!C103</f>
        <v>Skoghall</v>
      </c>
      <c r="C100" s="173">
        <f>IFERROR(VLOOKUP($B100,Totalt!$B$1:$AQ$554,MATCH(C$2,Totalt!$B$1:$AQ$1,0),FALSE),"")</f>
        <v>0</v>
      </c>
      <c r="D100" s="173">
        <f>IFERROR(VLOOKUP($B100,Totalt!$B$1:$AQ$554,MATCH(D$2,Totalt!$B$1:$AQ$1,0),FALSE),"")</f>
        <v>0.14000000000000001</v>
      </c>
      <c r="E100" s="173">
        <f>IFERROR(VLOOKUP($B100,Totalt!$B$1:$AQ$554,MATCH(E$2,Totalt!$B$1:$AQ$1,0),FALSE),"")</f>
        <v>0</v>
      </c>
      <c r="F100" s="173">
        <f>IFERROR(VLOOKUP($B100,Totalt!$B$1:$AQ$554,MATCH(F$2,Totalt!$B$1:$AQ$1,0),FALSE),"")</f>
        <v>0</v>
      </c>
      <c r="G100" s="173">
        <f>IFERROR(VLOOKUP($B100,Totalt!$B$1:$AQ$554,MATCH(G$2,Totalt!$B$1:$AQ$1,0),FALSE),"")</f>
        <v>0</v>
      </c>
      <c r="H100" s="173">
        <f>IFERROR(VLOOKUP($B100,Totalt!$B$1:$AQ$554,MATCH(H$2,Totalt!$B$1:$AQ$1,0),FALSE),"")</f>
        <v>0</v>
      </c>
      <c r="I100" s="173">
        <f>IFERROR(VLOOKUP($B100,Totalt!$B$1:$AQ$554,MATCH(I$2,Totalt!$B$1:$AQ$1,0),FALSE),"")</f>
        <v>0</v>
      </c>
      <c r="J100" s="173">
        <f>IFERROR(VLOOKUP($B100,Totalt!$B$1:$AQ$554,MATCH(J$2,Totalt!$B$1:$AQ$1,0),FALSE),"")</f>
        <v>0</v>
      </c>
      <c r="K100" s="173">
        <f>IFERROR(VLOOKUP($B100,Totalt!$B$1:$AQ$554,MATCH(K$2,Totalt!$B$1:$AQ$1,0),FALSE),"")</f>
        <v>0</v>
      </c>
      <c r="L100" s="173">
        <f>IFERROR(VLOOKUP($B100,Totalt!$B$1:$AQ$554,MATCH(L$2,Totalt!$B$1:$AQ$1,0),FALSE),"")</f>
        <v>0</v>
      </c>
      <c r="M100" s="173">
        <f>IFERROR(VLOOKUP($B100,Totalt!$B$1:$AQ$554,MATCH(M$2,Totalt!$B$1:$AQ$1,0),FALSE),"")</f>
        <v>0</v>
      </c>
      <c r="N100" s="173">
        <f>IFERROR(VLOOKUP($B100,Totalt!$B$1:$AQ$554,MATCH(N$2,Totalt!$B$1:$AQ$1,0),FALSE),"")</f>
        <v>0</v>
      </c>
      <c r="O100" s="173">
        <f>IFERROR(VLOOKUP($B100,Totalt!$B$1:$AQ$554,MATCH(O$2,Totalt!$B$1:$AQ$1,0),FALSE),"")</f>
        <v>0</v>
      </c>
      <c r="P100" s="173">
        <f>IFERROR(VLOOKUP($B100,Totalt!$B$1:$AQ$554,MATCH(P$2,Totalt!$B$1:$AQ$1,0),FALSE),"")</f>
        <v>0</v>
      </c>
      <c r="Q100" s="173">
        <f>IFERROR(VLOOKUP($B100,Totalt!$B$1:$AQ$554,MATCH(Q$2,Totalt!$B$1:$AQ$1,0),FALSE),"")</f>
        <v>0</v>
      </c>
      <c r="R100" s="173">
        <f>IFERROR(VLOOKUP($B100,Totalt!$B$1:$AQ$554,MATCH(R$2,Totalt!$B$1:$AQ$1,0),FALSE),"")</f>
        <v>3.7</v>
      </c>
      <c r="S100" s="173">
        <f>IFERROR(VLOOKUP($B100,Totalt!$B$1:$AQ$554,MATCH(S$2,Totalt!$B$1:$AQ$1,0),FALSE),"")</f>
        <v>0</v>
      </c>
      <c r="T100" s="173">
        <f>IFERROR(VLOOKUP($B100,Totalt!$B$1:$AQ$554,MATCH(T$2,Totalt!$B$1:$AQ$1,0),FALSE),"")</f>
        <v>0</v>
      </c>
      <c r="U100" s="173">
        <f>IFERROR(VLOOKUP($B100,Totalt!$B$1:$AQ$554,MATCH(U$2,Totalt!$B$1:$AQ$1,0),FALSE),"")</f>
        <v>0</v>
      </c>
      <c r="V100" s="173">
        <f>IFERROR(VLOOKUP($B100,Totalt!$B$1:$AQ$554,MATCH(V$2,Totalt!$B$1:$AQ$1,0),FALSE),"")</f>
        <v>0</v>
      </c>
      <c r="W100" s="173">
        <f>IFERROR(VLOOKUP($B100,Totalt!$B$1:$AQ$554,MATCH(W$2,Totalt!$B$1:$AQ$1,0),FALSE),"")</f>
        <v>0</v>
      </c>
      <c r="X100" s="173">
        <f>IFERROR(VLOOKUP($B100,Totalt!$B$1:$AQ$554,MATCH(X$2,Totalt!$B$1:$AQ$1,0),FALSE),"")</f>
        <v>0</v>
      </c>
      <c r="Y100" s="173">
        <f>IFERROR(VLOOKUP($B100,Totalt!$B$1:$AQ$554,MATCH(Y$2,Totalt!$B$1:$AQ$1,0),FALSE),"")</f>
        <v>0</v>
      </c>
      <c r="Z100" s="173">
        <f>IFERROR(VLOOKUP($B100,Totalt!$B$1:$AQ$554,MATCH(Z$2,Totalt!$B$1:$AQ$1,0),FALSE),"")</f>
        <v>0</v>
      </c>
      <c r="AA100" s="173">
        <f>IFERROR(VLOOKUP($B100,Totalt!$B$1:$AQ$554,MATCH(AA$2,Totalt!$B$1:$AQ$1,0),FALSE),"")</f>
        <v>0</v>
      </c>
      <c r="AB100" s="173">
        <f>IFERROR(VLOOKUP($B100,Totalt!$B$1:$AQ$554,MATCH(AB$2,Totalt!$B$1:$AQ$1,0),FALSE),"")</f>
        <v>0</v>
      </c>
      <c r="AC100" s="173">
        <f>IFERROR(VLOOKUP($B100,Totalt!$B$1:$AQ$554,MATCH(AC$2,Totalt!$B$1:$AQ$1,0),FALSE),"")</f>
        <v>0</v>
      </c>
      <c r="AD100" s="173">
        <f>IFERROR(VLOOKUP($B100,Totalt!$B$1:$AQ$554,MATCH(AD$2,Totalt!$B$1:$AQ$1,0),FALSE),"")</f>
        <v>0</v>
      </c>
      <c r="AE100" s="173">
        <f>IFERROR(VLOOKUP($B100,Totalt!$B$1:$AQ$554,MATCH(AE$2,Totalt!$B$1:$AQ$1,0),FALSE),"")</f>
        <v>0</v>
      </c>
      <c r="AF100" s="173">
        <f>IFERROR(VLOOKUP($B100,Totalt!$B$1:$AQ$554,MATCH(AF$2,Totalt!$B$1:$AQ$1,0),FALSE),"")</f>
        <v>0.38</v>
      </c>
      <c r="AG100" s="173">
        <f>IFERROR(VLOOKUP($B100,Totalt!$B$1:$AQ$554,MATCH(AG$2,Totalt!$B$1:$AQ$1,0),FALSE),"")</f>
        <v>61.5</v>
      </c>
      <c r="AI100" s="226">
        <f t="shared" si="6"/>
        <v>65.72</v>
      </c>
      <c r="AJ100" s="226">
        <f>IF(ISERROR(1/VLOOKUP($B100,Leveranser!$B$1:$S$500,MATCH("såld värme (gwh)",Leveranser!$B$1:$S$1,0),FALSE)),"",VLOOKUP($B100,Leveranser!$B$1:$S$500,MATCH("såld värme (gwh)",Leveranser!$B$1:$S$1,0),FALSE))</f>
        <v>47.3</v>
      </c>
      <c r="AM100" s="227" t="str">
        <f>IF(B100&lt;&gt;"",IF(VLOOKUP($B100,Totalt!$B$1:$AQ$554,MATCH("Kvalitetsgranskad:",Totalt!$B$1:$AQ$1,0),FALSE)="ja",VLOOKUP($B100,Miljö!$B$1:$AG$479,MATCH(AM$2,Miljö!$B$1:$AK$1,0),FALSE),""),"")</f>
        <v>Ja</v>
      </c>
      <c r="AN100" s="227" t="str">
        <f>IF(AM100="ja",VLOOKUP($B100,Miljö!$B$1:$J$479,MATCH("Typ av ursprungsspecificerad el   (Om inget värde anges används Nordisk residualmix, se inforuta) ()",Miljö!$B$1:$J$1,0),FALSE),IF(AM100="nej","Nordisk residualel",""))</f>
        <v>'Förnybar'</v>
      </c>
      <c r="AO100" s="227">
        <f>IF(AM100="","",VLOOKUP($B100,Miljö!$B$1:$J$479,MATCH("Fossilandel för ursprungspecificerad el ()",Miljö!$B$1:$J$1,0),FALSE))</f>
        <v>0</v>
      </c>
      <c r="AP100" s="227">
        <f>IF(AM100="","",IFERROR(VLOOKUP($B100,Miljö!$B$1:$J$479,MATCH("Kärnkraftsandel för ursprungsspecificerad el ()",Miljö!$B$1:$J$1,0),FALSE)/1,0))</f>
        <v>0</v>
      </c>
      <c r="AQ100" s="227">
        <f t="shared" si="7"/>
        <v>1</v>
      </c>
      <c r="AR100" s="227"/>
      <c r="AS100" s="227" t="str">
        <f t="shared" si="8"/>
        <v>Ja</v>
      </c>
      <c r="AT100" s="227">
        <f>IF(AS100="ja",VLOOKUP($B100,Miljö!$B$1:$O$500,MATCH("Fossil andel i procent (%)",Miljö!$B$1:$O$1,0),FALSE)/100,"")</f>
        <v>0.01</v>
      </c>
      <c r="AU100" s="227"/>
      <c r="AV100" s="227" t="str">
        <f t="shared" si="9"/>
        <v>Nej</v>
      </c>
      <c r="AW100" s="227" t="str">
        <f>IF(AV100="ja",VLOOKUP($B100,'Egen hetvattenprod'!$B$1:$AO$500,MATCH("Värmekälla till värmepumpar ()",'Egen hetvattenprod'!$B$1:$AO$1,0),FALSE),"")</f>
        <v/>
      </c>
      <c r="AX100" s="227"/>
      <c r="AY100" s="227" t="str">
        <f t="shared" si="10"/>
        <v>Nej</v>
      </c>
      <c r="AZ100" s="228" t="str">
        <f>IF($AY100="ja",(VLOOKUP($B100,'Egen hetvattenprod'!$B$1:$BX$550,MATCH(AZ$2,'Egen hetvattenprod'!$B$1:$BX$1,0),FALSE)+VLOOKUP($B100,Kraftvärmeprod!$B$1:$BX$550,MATCH(AZ$2,Kraftvärmeprod!$B$1:$BX$1,0),FALSE))/$AC100,"")</f>
        <v/>
      </c>
      <c r="BA100" s="228" t="str">
        <f>IF($AY100="ja",(VLOOKUP($B100,'Egen hetvattenprod'!$B$1:$BX$550,MATCH(BA$2,'Egen hetvattenprod'!$B$1:$BX$1,0),FALSE)+VLOOKUP($B100,Kraftvärmeprod!$B$1:$BX$550,MATCH(BA$2,Kraftvärmeprod!$B$1:$BX$1,0),FALSE))/$AC100,"")</f>
        <v/>
      </c>
      <c r="BB100" s="228" t="str">
        <f>IF($AY100="ja",(VLOOKUP($B100,'Egen hetvattenprod'!$B$1:$BX$550,MATCH(BB$2,'Egen hetvattenprod'!$B$1:$BX$1,0),FALSE)+VLOOKUP($B100,Kraftvärmeprod!$B$1:$BX$550,MATCH(BB$2,Kraftvärmeprod!$B$1:$BX$1,0),FALSE))/$AC100,"")</f>
        <v/>
      </c>
      <c r="BC100" s="228" t="str">
        <f>IF($AY100="ja",(VLOOKUP($B100,'Egen hetvattenprod'!$B$1:$BX$550,MATCH(BC$2,'Egen hetvattenprod'!$B$1:$BX$1,0),FALSE)+VLOOKUP($B100,Kraftvärmeprod!$B$1:$BX$550,MATCH(BC$2,Kraftvärmeprod!$B$1:$BX$1,0),FALSE))/$AC100,"")</f>
        <v/>
      </c>
      <c r="BD100" s="228" t="str">
        <f>IF($AY100="ja",(VLOOKUP($B100,'Egen hetvattenprod'!$B$1:$BX$550,MATCH(BD$2,'Egen hetvattenprod'!$B$1:$BX$1,0),FALSE)+VLOOKUP($B100,Kraftvärmeprod!$B$1:$BX$550,MATCH(BD$2,Kraftvärmeprod!$B$1:$BX$1,0),FALSE))/$AC100,"")</f>
        <v/>
      </c>
      <c r="BE100" s="227"/>
      <c r="BF100" s="227" t="str">
        <f t="shared" si="11"/>
        <v>Nej</v>
      </c>
      <c r="BG100" s="227" t="str">
        <f>IF($BF100="ja",VLOOKUP($B100,'Egen hetvattenprod'!$B$1:$BX$550,MATCH("Andelen klimatgaser med fossilt ursprung för avfall ()",'Egen hetvattenprod'!$B$1:$BX$1,0),FALSE),"")</f>
        <v/>
      </c>
      <c r="BH100" s="227" t="str">
        <f>IF($BF100="ja",VLOOKUP($B100,Kraftvärmeprod!$B$1:$BX$550,MATCH("Andelen klimatgaser med fossilt ursprung för avfall ()",Kraftvärmeprod!$B$1:$BX$1,0),FALSE),"")</f>
        <v/>
      </c>
      <c r="BI100" s="227" t="str">
        <f>IF($BF100="ja",VLOOKUP($B100,'Egen hetvattenprod'!$B$1:$BX$550,MATCH("Avfall (GWh)",'Egen hetvattenprod'!$B$1:$BX$1,0),FALSE),"")</f>
        <v/>
      </c>
      <c r="BJ100" s="227" t="str">
        <f>IF($BF100="ja",VLOOKUP($B100,'Slutlig allokering kvv'!$B$1:$BX$550,MATCH("Avfall (GWh)",'Slutlig allokering kvv'!$B$1:$BX$1,0),FALSE),"")</f>
        <v/>
      </c>
      <c r="BK100" s="227" t="str">
        <f>IF($BF100="ja",VLOOKUP($B100,'Köpt hetvatten'!$B$1:$BX$550,MATCH("Avfall i köpt hetvatten",'Köpt hetvatten'!$B$1:$BX$1,0),FALSE),"")</f>
        <v/>
      </c>
      <c r="BL100" s="227" t="str">
        <f>IF($BF100="ja",VLOOKUP($B100,'Egen hetvattenprod'!$B$1:$BX$550,MATCH("Värde enligt ovan. (%)",'Egen hetvattenprod'!$B$1:$BX$1,0),FALSE),"")</f>
        <v/>
      </c>
      <c r="BM100" s="227" t="str">
        <f>IF($BF100="ja",VLOOKUP($B100,Kraftvärmeprod!$B$1:$BX$550,MATCH("Värde enligt ovan. (%)",Kraftvärmeprod!$B$1:$BX$1,0),FALSE),"")</f>
        <v/>
      </c>
      <c r="BN100" s="227"/>
      <c r="BO100" s="227"/>
      <c r="BP100" s="227"/>
      <c r="BQ100" s="227" t="str">
        <f>IF($BF100="ja",VLOOKUP($B100,'Egen hetvattenprod'!$B$1:$BX$550,MATCH("Tillförd olja (fossil) vid avfallsförbränning (GWh)",'Egen hetvattenprod'!$B$1:$BX$1,0),FALSE),"")</f>
        <v/>
      </c>
      <c r="BR100" s="227" t="str">
        <f>IF($BF100="ja",VLOOKUP($B100,Kraftvärmeprod!$B$1:$BX$550,MATCH("Tillförd olja (fossil) vid avfallsförbränning (GWh)",Kraftvärmeprod!$B$1:$BX$1,0),FALSE),"")</f>
        <v/>
      </c>
      <c r="BS100" s="227"/>
      <c r="BT100" s="227"/>
      <c r="BU100" s="227"/>
    </row>
    <row r="101" spans="1:73" x14ac:dyDescent="0.25">
      <c r="A101" s="121" t="str">
        <f>'Miljövärden för publ företag'!B104</f>
        <v>Haparanda Värmeverk AB</v>
      </c>
      <c r="B101" s="121" t="str">
        <f>'Miljövärden för publ företag'!C104</f>
        <v>Min miljö</v>
      </c>
      <c r="C101" s="173">
        <f>IFERROR(VLOOKUP($B101,Totalt!$B$1:$AQ$554,MATCH(C$2,Totalt!$B$1:$AQ$1,0),FALSE),"")</f>
        <v>0</v>
      </c>
      <c r="D101" s="173">
        <f>IFERROR(VLOOKUP($B101,Totalt!$B$1:$AQ$554,MATCH(D$2,Totalt!$B$1:$AQ$1,0),FALSE),"")</f>
        <v>0</v>
      </c>
      <c r="E101" s="173">
        <f>IFERROR(VLOOKUP($B101,Totalt!$B$1:$AQ$554,MATCH(E$2,Totalt!$B$1:$AQ$1,0),FALSE),"")</f>
        <v>0</v>
      </c>
      <c r="F101" s="173">
        <f>IFERROR(VLOOKUP($B101,Totalt!$B$1:$AQ$554,MATCH(F$2,Totalt!$B$1:$AQ$1,0),FALSE),"")</f>
        <v>0</v>
      </c>
      <c r="G101" s="173">
        <f>IFERROR(VLOOKUP($B101,Totalt!$B$1:$AQ$554,MATCH(G$2,Totalt!$B$1:$AQ$1,0),FALSE),"")</f>
        <v>0</v>
      </c>
      <c r="H101" s="173">
        <f>IFERROR(VLOOKUP($B101,Totalt!$B$1:$AQ$554,MATCH(H$2,Totalt!$B$1:$AQ$1,0),FALSE),"")</f>
        <v>0</v>
      </c>
      <c r="I101" s="173">
        <f>IFERROR(VLOOKUP($B101,Totalt!$B$1:$AQ$554,MATCH(I$2,Totalt!$B$1:$AQ$1,0),FALSE),"")</f>
        <v>0</v>
      </c>
      <c r="J101" s="173">
        <f>IFERROR(VLOOKUP($B101,Totalt!$B$1:$AQ$554,MATCH(J$2,Totalt!$B$1:$AQ$1,0),FALSE),"")</f>
        <v>0</v>
      </c>
      <c r="K101" s="173">
        <f>IFERROR(VLOOKUP($B101,Totalt!$B$1:$AQ$554,MATCH(K$2,Totalt!$B$1:$AQ$1,0),FALSE),"")</f>
        <v>0</v>
      </c>
      <c r="L101" s="173">
        <f>IFERROR(VLOOKUP($B101,Totalt!$B$1:$AQ$554,MATCH(L$2,Totalt!$B$1:$AQ$1,0),FALSE),"")</f>
        <v>0</v>
      </c>
      <c r="M101" s="173">
        <f>IFERROR(VLOOKUP($B101,Totalt!$B$1:$AQ$554,MATCH(M$2,Totalt!$B$1:$AQ$1,0),FALSE),"")</f>
        <v>0</v>
      </c>
      <c r="N101" s="173">
        <f>IFERROR(VLOOKUP($B101,Totalt!$B$1:$AQ$554,MATCH(N$2,Totalt!$B$1:$AQ$1,0),FALSE),"")</f>
        <v>0</v>
      </c>
      <c r="O101" s="173">
        <f>IFERROR(VLOOKUP($B101,Totalt!$B$1:$AQ$554,MATCH(O$2,Totalt!$B$1:$AQ$1,0),FALSE),"")</f>
        <v>0</v>
      </c>
      <c r="P101" s="173">
        <f>IFERROR(VLOOKUP($B101,Totalt!$B$1:$AQ$554,MATCH(P$2,Totalt!$B$1:$AQ$1,0),FALSE),"")</f>
        <v>6.3559999999999999</v>
      </c>
      <c r="Q101" s="173">
        <f>IFERROR(VLOOKUP($B101,Totalt!$B$1:$AQ$554,MATCH(Q$2,Totalt!$B$1:$AQ$1,0),FALSE),"")</f>
        <v>0</v>
      </c>
      <c r="R101" s="173">
        <f>IFERROR(VLOOKUP($B101,Totalt!$B$1:$AQ$554,MATCH(R$2,Totalt!$B$1:$AQ$1,0),FALSE),"")</f>
        <v>3.4489999999999998</v>
      </c>
      <c r="S101" s="173">
        <f>IFERROR(VLOOKUP($B101,Totalt!$B$1:$AQ$554,MATCH(S$2,Totalt!$B$1:$AQ$1,0),FALSE),"")</f>
        <v>0</v>
      </c>
      <c r="T101" s="173">
        <f>IFERROR(VLOOKUP($B101,Totalt!$B$1:$AQ$554,MATCH(T$2,Totalt!$B$1:$AQ$1,0),FALSE),"")</f>
        <v>0</v>
      </c>
      <c r="U101" s="173">
        <f>IFERROR(VLOOKUP($B101,Totalt!$B$1:$AQ$554,MATCH(U$2,Totalt!$B$1:$AQ$1,0),FALSE),"")</f>
        <v>0</v>
      </c>
      <c r="V101" s="173">
        <f>IFERROR(VLOOKUP($B101,Totalt!$B$1:$AQ$554,MATCH(V$2,Totalt!$B$1:$AQ$1,0),FALSE),"")</f>
        <v>0</v>
      </c>
      <c r="W101" s="173">
        <f>IFERROR(VLOOKUP($B101,Totalt!$B$1:$AQ$554,MATCH(W$2,Totalt!$B$1:$AQ$1,0),FALSE),"")</f>
        <v>2.4039999999999999</v>
      </c>
      <c r="X101" s="173">
        <f>IFERROR(VLOOKUP($B101,Totalt!$B$1:$AQ$554,MATCH(X$2,Totalt!$B$1:$AQ$1,0),FALSE),"")</f>
        <v>1.11111</v>
      </c>
      <c r="Y101" s="173">
        <f>IFERROR(VLOOKUP($B101,Totalt!$B$1:$AQ$554,MATCH(Y$2,Totalt!$B$1:$AQ$1,0),FALSE),"")</f>
        <v>0</v>
      </c>
      <c r="Z101" s="173">
        <f>IFERROR(VLOOKUP($B101,Totalt!$B$1:$AQ$554,MATCH(Z$2,Totalt!$B$1:$AQ$1,0),FALSE),"")</f>
        <v>0</v>
      </c>
      <c r="AA101" s="173">
        <f>IFERROR(VLOOKUP($B101,Totalt!$B$1:$AQ$554,MATCH(AA$2,Totalt!$B$1:$AQ$1,0),FALSE),"")</f>
        <v>0</v>
      </c>
      <c r="AB101" s="173">
        <f>IFERROR(VLOOKUP($B101,Totalt!$B$1:$AQ$554,MATCH(AB$2,Totalt!$B$1:$AQ$1,0),FALSE),"")</f>
        <v>0</v>
      </c>
      <c r="AC101" s="173">
        <f>IFERROR(VLOOKUP($B101,Totalt!$B$1:$AQ$554,MATCH(AC$2,Totalt!$B$1:$AQ$1,0),FALSE),"")</f>
        <v>0</v>
      </c>
      <c r="AD101" s="173">
        <f>IFERROR(VLOOKUP($B101,Totalt!$B$1:$AQ$554,MATCH(AD$2,Totalt!$B$1:$AQ$1,0),FALSE),"")</f>
        <v>0</v>
      </c>
      <c r="AE101" s="173">
        <f>IFERROR(VLOOKUP($B101,Totalt!$B$1:$AQ$554,MATCH(AE$2,Totalt!$B$1:$AQ$1,0),FALSE),"")</f>
        <v>0</v>
      </c>
      <c r="AF101" s="173">
        <f>IFERROR(VLOOKUP($B101,Totalt!$B$1:$AQ$554,MATCH(AF$2,Totalt!$B$1:$AQ$1,0),FALSE),"")</f>
        <v>0.09</v>
      </c>
      <c r="AG101" s="173">
        <f>IFERROR(VLOOKUP($B101,Totalt!$B$1:$AQ$554,MATCH(AG$2,Totalt!$B$1:$AQ$1,0),FALSE),"")</f>
        <v>0</v>
      </c>
      <c r="AI101" s="226">
        <f t="shared" si="6"/>
        <v>13.41011</v>
      </c>
      <c r="AJ101" s="226">
        <f>IF(ISERROR(1/VLOOKUP($B101,Leveranser!$B$1:$S$500,MATCH("såld värme (gwh)",Leveranser!$B$1:$S$1,0),FALSE)),"",VLOOKUP($B101,Leveranser!$B$1:$S$500,MATCH("såld värme (gwh)",Leveranser!$B$1:$S$1,0),FALSE))</f>
        <v>10</v>
      </c>
      <c r="AM101" s="227" t="str">
        <f>IF(B101&lt;&gt;"",IF(VLOOKUP($B101,Totalt!$B$1:$AQ$554,MATCH("Kvalitetsgranskad:",Totalt!$B$1:$AQ$1,0),FALSE)="ja",VLOOKUP($B101,Miljö!$B$1:$AG$479,MATCH(AM$2,Miljö!$B$1:$AK$1,0),FALSE),""),"")</f>
        <v>Nej</v>
      </c>
      <c r="AN101" s="227" t="str">
        <f>IF(AM101="ja",VLOOKUP($B101,Miljö!$B$1:$J$479,MATCH("Typ av ursprungsspecificerad el   (Om inget värde anges används Nordisk residualmix, se inforuta) ()",Miljö!$B$1:$J$1,0),FALSE),IF(AM101="nej","Nordisk residualel",""))</f>
        <v>Nordisk residualel</v>
      </c>
      <c r="AO101" s="227">
        <f>IF(AM101="","",VLOOKUP($B101,Miljö!$B$1:$J$479,MATCH("Fossilandel för ursprungspecificerad el ()",Miljö!$B$1:$J$1,0),FALSE))</f>
        <v>0.43</v>
      </c>
      <c r="AP101" s="227">
        <f>IF(AM101="","",IFERROR(VLOOKUP($B101,Miljö!$B$1:$J$479,MATCH("Kärnkraftsandel för ursprungsspecificerad el ()",Miljö!$B$1:$J$1,0),FALSE)/1,0))</f>
        <v>0.40550000000000003</v>
      </c>
      <c r="AQ101" s="227">
        <f t="shared" si="7"/>
        <v>0.16450000000000004</v>
      </c>
      <c r="AR101" s="227"/>
      <c r="AS101" s="227" t="str">
        <f t="shared" si="8"/>
        <v>Nej</v>
      </c>
      <c r="AT101" s="227" t="str">
        <f>IF(AS101="ja",VLOOKUP($B101,Miljö!$B$1:$O$500,MATCH("Fossil andel i procent (%)",Miljö!$B$1:$O$1,0),FALSE)/100,"")</f>
        <v/>
      </c>
      <c r="AU101" s="227"/>
      <c r="AV101" s="227" t="str">
        <f t="shared" si="9"/>
        <v>Nej</v>
      </c>
      <c r="AW101" s="227" t="str">
        <f>IF(AV101="ja",VLOOKUP($B101,'Egen hetvattenprod'!$B$1:$AO$500,MATCH("Värmekälla till värmepumpar ()",'Egen hetvattenprod'!$B$1:$AO$1,0),FALSE),"")</f>
        <v/>
      </c>
      <c r="AX101" s="227"/>
      <c r="AY101" s="227" t="str">
        <f t="shared" si="10"/>
        <v>Nej</v>
      </c>
      <c r="AZ101" s="228" t="str">
        <f>IF($AY101="ja",(VLOOKUP($B101,'Egen hetvattenprod'!$B$1:$BX$550,MATCH(AZ$2,'Egen hetvattenprod'!$B$1:$BX$1,0),FALSE)+VLOOKUP($B101,Kraftvärmeprod!$B$1:$BX$550,MATCH(AZ$2,Kraftvärmeprod!$B$1:$BX$1,0),FALSE))/$AC101,"")</f>
        <v/>
      </c>
      <c r="BA101" s="228" t="str">
        <f>IF($AY101="ja",(VLOOKUP($B101,'Egen hetvattenprod'!$B$1:$BX$550,MATCH(BA$2,'Egen hetvattenprod'!$B$1:$BX$1,0),FALSE)+VLOOKUP($B101,Kraftvärmeprod!$B$1:$BX$550,MATCH(BA$2,Kraftvärmeprod!$B$1:$BX$1,0),FALSE))/$AC101,"")</f>
        <v/>
      </c>
      <c r="BB101" s="228" t="str">
        <f>IF($AY101="ja",(VLOOKUP($B101,'Egen hetvattenprod'!$B$1:$BX$550,MATCH(BB$2,'Egen hetvattenprod'!$B$1:$BX$1,0),FALSE)+VLOOKUP($B101,Kraftvärmeprod!$B$1:$BX$550,MATCH(BB$2,Kraftvärmeprod!$B$1:$BX$1,0),FALSE))/$AC101,"")</f>
        <v/>
      </c>
      <c r="BC101" s="228" t="str">
        <f>IF($AY101="ja",(VLOOKUP($B101,'Egen hetvattenprod'!$B$1:$BX$550,MATCH(BC$2,'Egen hetvattenprod'!$B$1:$BX$1,0),FALSE)+VLOOKUP($B101,Kraftvärmeprod!$B$1:$BX$550,MATCH(BC$2,Kraftvärmeprod!$B$1:$BX$1,0),FALSE))/$AC101,"")</f>
        <v/>
      </c>
      <c r="BD101" s="228" t="str">
        <f>IF($AY101="ja",(VLOOKUP($B101,'Egen hetvattenprod'!$B$1:$BX$550,MATCH(BD$2,'Egen hetvattenprod'!$B$1:$BX$1,0),FALSE)+VLOOKUP($B101,Kraftvärmeprod!$B$1:$BX$550,MATCH(BD$2,Kraftvärmeprod!$B$1:$BX$1,0),FALSE))/$AC101,"")</f>
        <v/>
      </c>
      <c r="BE101" s="227"/>
      <c r="BF101" s="227" t="str">
        <f t="shared" si="11"/>
        <v>Nej</v>
      </c>
      <c r="BG101" s="227" t="str">
        <f>IF($BF101="ja",VLOOKUP($B101,'Egen hetvattenprod'!$B$1:$BX$550,MATCH("Andelen klimatgaser med fossilt ursprung för avfall ()",'Egen hetvattenprod'!$B$1:$BX$1,0),FALSE),"")</f>
        <v/>
      </c>
      <c r="BH101" s="227" t="str">
        <f>IF($BF101="ja",VLOOKUP($B101,Kraftvärmeprod!$B$1:$BX$550,MATCH("Andelen klimatgaser med fossilt ursprung för avfall ()",Kraftvärmeprod!$B$1:$BX$1,0),FALSE),"")</f>
        <v/>
      </c>
      <c r="BI101" s="227" t="str">
        <f>IF($BF101="ja",VLOOKUP($B101,'Egen hetvattenprod'!$B$1:$BX$550,MATCH("Avfall (GWh)",'Egen hetvattenprod'!$B$1:$BX$1,0),FALSE),"")</f>
        <v/>
      </c>
      <c r="BJ101" s="227" t="str">
        <f>IF($BF101="ja",VLOOKUP($B101,'Slutlig allokering kvv'!$B$1:$BX$550,MATCH("Avfall (GWh)",'Slutlig allokering kvv'!$B$1:$BX$1,0),FALSE),"")</f>
        <v/>
      </c>
      <c r="BK101" s="227" t="str">
        <f>IF($BF101="ja",VLOOKUP($B101,'Köpt hetvatten'!$B$1:$BX$550,MATCH("Avfall i köpt hetvatten",'Köpt hetvatten'!$B$1:$BX$1,0),FALSE),"")</f>
        <v/>
      </c>
      <c r="BL101" s="227" t="str">
        <f>IF($BF101="ja",VLOOKUP($B101,'Egen hetvattenprod'!$B$1:$BX$550,MATCH("Värde enligt ovan. (%)",'Egen hetvattenprod'!$B$1:$BX$1,0),FALSE),"")</f>
        <v/>
      </c>
      <c r="BM101" s="227" t="str">
        <f>IF($BF101="ja",VLOOKUP($B101,Kraftvärmeprod!$B$1:$BX$550,MATCH("Värde enligt ovan. (%)",Kraftvärmeprod!$B$1:$BX$1,0),FALSE),"")</f>
        <v/>
      </c>
      <c r="BN101" s="227"/>
      <c r="BO101" s="227"/>
      <c r="BP101" s="227"/>
      <c r="BQ101" s="227" t="str">
        <f>IF($BF101="ja",VLOOKUP($B101,'Egen hetvattenprod'!$B$1:$BX$550,MATCH("Tillförd olja (fossil) vid avfallsförbränning (GWh)",'Egen hetvattenprod'!$B$1:$BX$1,0),FALSE),"")</f>
        <v/>
      </c>
      <c r="BR101" s="227" t="str">
        <f>IF($BF101="ja",VLOOKUP($B101,Kraftvärmeprod!$B$1:$BX$550,MATCH("Tillförd olja (fossil) vid avfallsförbränning (GWh)",Kraftvärmeprod!$B$1:$BX$1,0),FALSE),"")</f>
        <v/>
      </c>
      <c r="BS101" s="227"/>
      <c r="BT101" s="227"/>
      <c r="BU101" s="227"/>
    </row>
    <row r="102" spans="1:73" x14ac:dyDescent="0.25">
      <c r="A102" s="121" t="str">
        <f>'Miljövärden för publ företag'!B105</f>
        <v>Haparanda Värmeverk AB</v>
      </c>
      <c r="B102" s="121" t="str">
        <f>'Miljövärden för publ företag'!C105</f>
        <v>Övriga nät</v>
      </c>
      <c r="C102" s="173">
        <f>IFERROR(VLOOKUP($B102,Totalt!$B$1:$AQ$554,MATCH(C$2,Totalt!$B$1:$AQ$1,0),FALSE),"")</f>
        <v>0</v>
      </c>
      <c r="D102" s="173">
        <f>IFERROR(VLOOKUP($B102,Totalt!$B$1:$AQ$554,MATCH(D$2,Totalt!$B$1:$AQ$1,0),FALSE),"")</f>
        <v>0.84252899999999997</v>
      </c>
      <c r="E102" s="173">
        <f>IFERROR(VLOOKUP($B102,Totalt!$B$1:$AQ$554,MATCH(E$2,Totalt!$B$1:$AQ$1,0),FALSE),"")</f>
        <v>0</v>
      </c>
      <c r="F102" s="173">
        <f>IFERROR(VLOOKUP($B102,Totalt!$B$1:$AQ$554,MATCH(F$2,Totalt!$B$1:$AQ$1,0),FALSE),"")</f>
        <v>0</v>
      </c>
      <c r="G102" s="173">
        <f>IFERROR(VLOOKUP($B102,Totalt!$B$1:$AQ$554,MATCH(G$2,Totalt!$B$1:$AQ$1,0),FALSE),"")</f>
        <v>0</v>
      </c>
      <c r="H102" s="173">
        <f>IFERROR(VLOOKUP($B102,Totalt!$B$1:$AQ$554,MATCH(H$2,Totalt!$B$1:$AQ$1,0),FALSE),"")</f>
        <v>0</v>
      </c>
      <c r="I102" s="173">
        <f>IFERROR(VLOOKUP($B102,Totalt!$B$1:$AQ$554,MATCH(I$2,Totalt!$B$1:$AQ$1,0),FALSE),"")</f>
        <v>0</v>
      </c>
      <c r="J102" s="173">
        <f>IFERROR(VLOOKUP($B102,Totalt!$B$1:$AQ$554,MATCH(J$2,Totalt!$B$1:$AQ$1,0),FALSE),"")</f>
        <v>0</v>
      </c>
      <c r="K102" s="173">
        <f>IFERROR(VLOOKUP($B102,Totalt!$B$1:$AQ$554,MATCH(K$2,Totalt!$B$1:$AQ$1,0),FALSE),"")</f>
        <v>0</v>
      </c>
      <c r="L102" s="173">
        <f>IFERROR(VLOOKUP($B102,Totalt!$B$1:$AQ$554,MATCH(L$2,Totalt!$B$1:$AQ$1,0),FALSE),"")</f>
        <v>0</v>
      </c>
      <c r="M102" s="173">
        <f>IFERROR(VLOOKUP($B102,Totalt!$B$1:$AQ$554,MATCH(M$2,Totalt!$B$1:$AQ$1,0),FALSE),"")</f>
        <v>0</v>
      </c>
      <c r="N102" s="173">
        <f>IFERROR(VLOOKUP($B102,Totalt!$B$1:$AQ$554,MATCH(N$2,Totalt!$B$1:$AQ$1,0),FALSE),"")</f>
        <v>0</v>
      </c>
      <c r="O102" s="173">
        <f>IFERROR(VLOOKUP($B102,Totalt!$B$1:$AQ$554,MATCH(O$2,Totalt!$B$1:$AQ$1,0),FALSE),"")</f>
        <v>0</v>
      </c>
      <c r="P102" s="173">
        <f>IFERROR(VLOOKUP($B102,Totalt!$B$1:$AQ$554,MATCH(P$2,Totalt!$B$1:$AQ$1,0),FALSE),"")</f>
        <v>0</v>
      </c>
      <c r="Q102" s="173">
        <f>IFERROR(VLOOKUP($B102,Totalt!$B$1:$AQ$554,MATCH(Q$2,Totalt!$B$1:$AQ$1,0),FALSE),"")</f>
        <v>0</v>
      </c>
      <c r="R102" s="173">
        <f>IFERROR(VLOOKUP($B102,Totalt!$B$1:$AQ$554,MATCH(R$2,Totalt!$B$1:$AQ$1,0),FALSE),"")</f>
        <v>0</v>
      </c>
      <c r="S102" s="173">
        <f>IFERROR(VLOOKUP($B102,Totalt!$B$1:$AQ$554,MATCH(S$2,Totalt!$B$1:$AQ$1,0),FALSE),"")</f>
        <v>0</v>
      </c>
      <c r="T102" s="173">
        <f>IFERROR(VLOOKUP($B102,Totalt!$B$1:$AQ$554,MATCH(T$2,Totalt!$B$1:$AQ$1,0),FALSE),"")</f>
        <v>0</v>
      </c>
      <c r="U102" s="173">
        <f>IFERROR(VLOOKUP($B102,Totalt!$B$1:$AQ$554,MATCH(U$2,Totalt!$B$1:$AQ$1,0),FALSE),"")</f>
        <v>0</v>
      </c>
      <c r="V102" s="173">
        <f>IFERROR(VLOOKUP($B102,Totalt!$B$1:$AQ$554,MATCH(V$2,Totalt!$B$1:$AQ$1,0),FALSE),"")</f>
        <v>0</v>
      </c>
      <c r="W102" s="173">
        <f>IFERROR(VLOOKUP($B102,Totalt!$B$1:$AQ$554,MATCH(W$2,Totalt!$B$1:$AQ$1,0),FALSE),"")</f>
        <v>0</v>
      </c>
      <c r="X102" s="173">
        <f>IFERROR(VLOOKUP($B102,Totalt!$B$1:$AQ$554,MATCH(X$2,Totalt!$B$1:$AQ$1,0),FALSE),"")</f>
        <v>0</v>
      </c>
      <c r="Y102" s="173">
        <f>IFERROR(VLOOKUP($B102,Totalt!$B$1:$AQ$554,MATCH(Y$2,Totalt!$B$1:$AQ$1,0),FALSE),"")</f>
        <v>63.435400000000001</v>
      </c>
      <c r="Z102" s="173">
        <f>IFERROR(VLOOKUP($B102,Totalt!$B$1:$AQ$554,MATCH(Z$2,Totalt!$B$1:$AQ$1,0),FALSE),"")</f>
        <v>0</v>
      </c>
      <c r="AA102" s="173">
        <f>IFERROR(VLOOKUP($B102,Totalt!$B$1:$AQ$554,MATCH(AA$2,Totalt!$B$1:$AQ$1,0),FALSE),"")</f>
        <v>0</v>
      </c>
      <c r="AB102" s="173">
        <f>IFERROR(VLOOKUP($B102,Totalt!$B$1:$AQ$554,MATCH(AB$2,Totalt!$B$1:$AQ$1,0),FALSE),"")</f>
        <v>0</v>
      </c>
      <c r="AC102" s="173">
        <f>IFERROR(VLOOKUP($B102,Totalt!$B$1:$AQ$554,MATCH(AC$2,Totalt!$B$1:$AQ$1,0),FALSE),"")</f>
        <v>0</v>
      </c>
      <c r="AD102" s="173">
        <f>IFERROR(VLOOKUP($B102,Totalt!$B$1:$AQ$554,MATCH(AD$2,Totalt!$B$1:$AQ$1,0),FALSE),"")</f>
        <v>0</v>
      </c>
      <c r="AE102" s="173">
        <f>IFERROR(VLOOKUP($B102,Totalt!$B$1:$AQ$554,MATCH(AE$2,Totalt!$B$1:$AQ$1,0),FALSE),"")</f>
        <v>0</v>
      </c>
      <c r="AF102" s="173">
        <f>IFERROR(VLOOKUP($B102,Totalt!$B$1:$AQ$554,MATCH(AF$2,Totalt!$B$1:$AQ$1,0),FALSE),"")</f>
        <v>0.42399999999999999</v>
      </c>
      <c r="AG102" s="173">
        <f>IFERROR(VLOOKUP($B102,Totalt!$B$1:$AQ$554,MATCH(AG$2,Totalt!$B$1:$AQ$1,0),FALSE),"")</f>
        <v>0</v>
      </c>
      <c r="AI102" s="226">
        <f t="shared" si="6"/>
        <v>64.701929000000007</v>
      </c>
      <c r="AJ102" s="226">
        <f>IF(ISERROR(1/VLOOKUP($B102,Leveranser!$B$1:$S$500,MATCH("såld värme (gwh)",Leveranser!$B$1:$S$1,0),FALSE)),"",VLOOKUP($B102,Leveranser!$B$1:$S$500,MATCH("såld värme (gwh)",Leveranser!$B$1:$S$1,0),FALSE))</f>
        <v>46</v>
      </c>
      <c r="AM102" s="227" t="str">
        <f>IF(B102&lt;&gt;"",IF(VLOOKUP($B102,Totalt!$B$1:$AQ$554,MATCH("Kvalitetsgranskad:",Totalt!$B$1:$AQ$1,0),FALSE)="ja",VLOOKUP($B102,Miljö!$B$1:$AG$479,MATCH(AM$2,Miljö!$B$1:$AK$1,0),FALSE),""),"")</f>
        <v>Nej</v>
      </c>
      <c r="AN102" s="227" t="str">
        <f>IF(AM102="ja",VLOOKUP($B102,Miljö!$B$1:$J$479,MATCH("Typ av ursprungsspecificerad el   (Om inget värde anges används Nordisk residualmix, se inforuta) ()",Miljö!$B$1:$J$1,0),FALSE),IF(AM102="nej","Nordisk residualel",""))</f>
        <v>Nordisk residualel</v>
      </c>
      <c r="AO102" s="227">
        <f>IF(AM102="","",VLOOKUP($B102,Miljö!$B$1:$J$479,MATCH("Fossilandel för ursprungspecificerad el ()",Miljö!$B$1:$J$1,0),FALSE))</f>
        <v>0.43</v>
      </c>
      <c r="AP102" s="227">
        <f>IF(AM102="","",IFERROR(VLOOKUP($B102,Miljö!$B$1:$J$479,MATCH("Kärnkraftsandel för ursprungsspecificerad el ()",Miljö!$B$1:$J$1,0),FALSE)/1,0))</f>
        <v>0.40550000000000003</v>
      </c>
      <c r="AQ102" s="227">
        <f t="shared" si="7"/>
        <v>0.16450000000000004</v>
      </c>
      <c r="AR102" s="227"/>
      <c r="AS102" s="227" t="str">
        <f t="shared" si="8"/>
        <v>Nej</v>
      </c>
      <c r="AT102" s="227" t="str">
        <f>IF(AS102="ja",VLOOKUP($B102,Miljö!$B$1:$O$500,MATCH("Fossil andel i procent (%)",Miljö!$B$1:$O$1,0),FALSE)/100,"")</f>
        <v/>
      </c>
      <c r="AU102" s="227"/>
      <c r="AV102" s="227" t="str">
        <f t="shared" si="9"/>
        <v>Nej</v>
      </c>
      <c r="AW102" s="227" t="str">
        <f>IF(AV102="ja",VLOOKUP($B102,'Egen hetvattenprod'!$B$1:$AO$500,MATCH("Värmekälla till värmepumpar ()",'Egen hetvattenprod'!$B$1:$AO$1,0),FALSE),"")</f>
        <v/>
      </c>
      <c r="AX102" s="227"/>
      <c r="AY102" s="227" t="str">
        <f t="shared" si="10"/>
        <v>Nej</v>
      </c>
      <c r="AZ102" s="228" t="str">
        <f>IF($AY102="ja",(VLOOKUP($B102,'Egen hetvattenprod'!$B$1:$BX$550,MATCH(AZ$2,'Egen hetvattenprod'!$B$1:$BX$1,0),FALSE)+VLOOKUP($B102,Kraftvärmeprod!$B$1:$BX$550,MATCH(AZ$2,Kraftvärmeprod!$B$1:$BX$1,0),FALSE))/$AC102,"")</f>
        <v/>
      </c>
      <c r="BA102" s="228" t="str">
        <f>IF($AY102="ja",(VLOOKUP($B102,'Egen hetvattenprod'!$B$1:$BX$550,MATCH(BA$2,'Egen hetvattenprod'!$B$1:$BX$1,0),FALSE)+VLOOKUP($B102,Kraftvärmeprod!$B$1:$BX$550,MATCH(BA$2,Kraftvärmeprod!$B$1:$BX$1,0),FALSE))/$AC102,"")</f>
        <v/>
      </c>
      <c r="BB102" s="228" t="str">
        <f>IF($AY102="ja",(VLOOKUP($B102,'Egen hetvattenprod'!$B$1:$BX$550,MATCH(BB$2,'Egen hetvattenprod'!$B$1:$BX$1,0),FALSE)+VLOOKUP($B102,Kraftvärmeprod!$B$1:$BX$550,MATCH(BB$2,Kraftvärmeprod!$B$1:$BX$1,0),FALSE))/$AC102,"")</f>
        <v/>
      </c>
      <c r="BC102" s="228" t="str">
        <f>IF($AY102="ja",(VLOOKUP($B102,'Egen hetvattenprod'!$B$1:$BX$550,MATCH(BC$2,'Egen hetvattenprod'!$B$1:$BX$1,0),FALSE)+VLOOKUP($B102,Kraftvärmeprod!$B$1:$BX$550,MATCH(BC$2,Kraftvärmeprod!$B$1:$BX$1,0),FALSE))/$AC102,"")</f>
        <v/>
      </c>
      <c r="BD102" s="228" t="str">
        <f>IF($AY102="ja",(VLOOKUP($B102,'Egen hetvattenprod'!$B$1:$BX$550,MATCH(BD$2,'Egen hetvattenprod'!$B$1:$BX$1,0),FALSE)+VLOOKUP($B102,Kraftvärmeprod!$B$1:$BX$550,MATCH(BD$2,Kraftvärmeprod!$B$1:$BX$1,0),FALSE))/$AC102,"")</f>
        <v/>
      </c>
      <c r="BE102" s="227"/>
      <c r="BF102" s="227" t="str">
        <f t="shared" si="11"/>
        <v>Nej</v>
      </c>
      <c r="BG102" s="227" t="str">
        <f>IF($BF102="ja",VLOOKUP($B102,'Egen hetvattenprod'!$B$1:$BX$550,MATCH("Andelen klimatgaser med fossilt ursprung för avfall ()",'Egen hetvattenprod'!$B$1:$BX$1,0),FALSE),"")</f>
        <v/>
      </c>
      <c r="BH102" s="227" t="str">
        <f>IF($BF102="ja",VLOOKUP($B102,Kraftvärmeprod!$B$1:$BX$550,MATCH("Andelen klimatgaser med fossilt ursprung för avfall ()",Kraftvärmeprod!$B$1:$BX$1,0),FALSE),"")</f>
        <v/>
      </c>
      <c r="BI102" s="227" t="str">
        <f>IF($BF102="ja",VLOOKUP($B102,'Egen hetvattenprod'!$B$1:$BX$550,MATCH("Avfall (GWh)",'Egen hetvattenprod'!$B$1:$BX$1,0),FALSE),"")</f>
        <v/>
      </c>
      <c r="BJ102" s="227" t="str">
        <f>IF($BF102="ja",VLOOKUP($B102,'Slutlig allokering kvv'!$B$1:$BX$550,MATCH("Avfall (GWh)",'Slutlig allokering kvv'!$B$1:$BX$1,0),FALSE),"")</f>
        <v/>
      </c>
      <c r="BK102" s="227" t="str">
        <f>IF($BF102="ja",VLOOKUP($B102,'Köpt hetvatten'!$B$1:$BX$550,MATCH("Avfall i köpt hetvatten",'Köpt hetvatten'!$B$1:$BX$1,0),FALSE),"")</f>
        <v/>
      </c>
      <c r="BL102" s="227" t="str">
        <f>IF($BF102="ja",VLOOKUP($B102,'Egen hetvattenprod'!$B$1:$BX$550,MATCH("Värde enligt ovan. (%)",'Egen hetvattenprod'!$B$1:$BX$1,0),FALSE),"")</f>
        <v/>
      </c>
      <c r="BM102" s="227" t="str">
        <f>IF($BF102="ja",VLOOKUP($B102,Kraftvärmeprod!$B$1:$BX$550,MATCH("Värde enligt ovan. (%)",Kraftvärmeprod!$B$1:$BX$1,0),FALSE),"")</f>
        <v/>
      </c>
      <c r="BN102" s="227"/>
      <c r="BO102" s="227"/>
      <c r="BP102" s="227"/>
      <c r="BQ102" s="227" t="str">
        <f>IF($BF102="ja",VLOOKUP($B102,'Egen hetvattenprod'!$B$1:$BX$550,MATCH("Tillförd olja (fossil) vid avfallsförbränning (GWh)",'Egen hetvattenprod'!$B$1:$BX$1,0),FALSE),"")</f>
        <v/>
      </c>
      <c r="BR102" s="227" t="str">
        <f>IF($BF102="ja",VLOOKUP($B102,Kraftvärmeprod!$B$1:$BX$550,MATCH("Tillförd olja (fossil) vid avfallsförbränning (GWh)",Kraftvärmeprod!$B$1:$BX$1,0),FALSE),"")</f>
        <v/>
      </c>
      <c r="BS102" s="227"/>
      <c r="BT102" s="227"/>
      <c r="BU102" s="227"/>
    </row>
    <row r="103" spans="1:73" x14ac:dyDescent="0.25">
      <c r="A103" s="121" t="str">
        <f>'Miljövärden för publ företag'!B106</f>
        <v>Hedemora Energi AB</v>
      </c>
      <c r="B103" s="121" t="str">
        <f>'Miljövärden för publ företag'!C106</f>
        <v>Hedemora</v>
      </c>
      <c r="C103" s="173">
        <f>IFERROR(VLOOKUP($B103,Totalt!$B$1:$AQ$554,MATCH(C$2,Totalt!$B$1:$AQ$1,0),FALSE),"")</f>
        <v>0</v>
      </c>
      <c r="D103" s="173">
        <f>IFERROR(VLOOKUP($B103,Totalt!$B$1:$AQ$554,MATCH(D$2,Totalt!$B$1:$AQ$1,0),FALSE),"")</f>
        <v>1.7</v>
      </c>
      <c r="E103" s="173">
        <f>IFERROR(VLOOKUP($B103,Totalt!$B$1:$AQ$554,MATCH(E$2,Totalt!$B$1:$AQ$1,0),FALSE),"")</f>
        <v>0</v>
      </c>
      <c r="F103" s="173">
        <f>IFERROR(VLOOKUP($B103,Totalt!$B$1:$AQ$554,MATCH(F$2,Totalt!$B$1:$AQ$1,0),FALSE),"")</f>
        <v>0</v>
      </c>
      <c r="G103" s="173">
        <f>IFERROR(VLOOKUP($B103,Totalt!$B$1:$AQ$554,MATCH(G$2,Totalt!$B$1:$AQ$1,0),FALSE),"")</f>
        <v>0</v>
      </c>
      <c r="H103" s="173">
        <f>IFERROR(VLOOKUP($B103,Totalt!$B$1:$AQ$554,MATCH(H$2,Totalt!$B$1:$AQ$1,0),FALSE),"")</f>
        <v>0</v>
      </c>
      <c r="I103" s="173">
        <f>IFERROR(VLOOKUP($B103,Totalt!$B$1:$AQ$554,MATCH(I$2,Totalt!$B$1:$AQ$1,0),FALSE),"")</f>
        <v>0</v>
      </c>
      <c r="J103" s="173">
        <f>IFERROR(VLOOKUP($B103,Totalt!$B$1:$AQ$554,MATCH(J$2,Totalt!$B$1:$AQ$1,0),FALSE),"")</f>
        <v>0</v>
      </c>
      <c r="K103" s="173">
        <f>IFERROR(VLOOKUP($B103,Totalt!$B$1:$AQ$554,MATCH(K$2,Totalt!$B$1:$AQ$1,0),FALSE),"")</f>
        <v>0</v>
      </c>
      <c r="L103" s="173">
        <f>IFERROR(VLOOKUP($B103,Totalt!$B$1:$AQ$554,MATCH(L$2,Totalt!$B$1:$AQ$1,0),FALSE),"")</f>
        <v>0</v>
      </c>
      <c r="M103" s="173">
        <f>IFERROR(VLOOKUP($B103,Totalt!$B$1:$AQ$554,MATCH(M$2,Totalt!$B$1:$AQ$1,0),FALSE),"")</f>
        <v>11.8001</v>
      </c>
      <c r="N103" s="173">
        <f>IFERROR(VLOOKUP($B103,Totalt!$B$1:$AQ$554,MATCH(N$2,Totalt!$B$1:$AQ$1,0),FALSE),"")</f>
        <v>11.8001</v>
      </c>
      <c r="O103" s="173">
        <f>IFERROR(VLOOKUP($B103,Totalt!$B$1:$AQ$554,MATCH(O$2,Totalt!$B$1:$AQ$1,0),FALSE),"")</f>
        <v>11.8001</v>
      </c>
      <c r="P103" s="173">
        <f>IFERROR(VLOOKUP($B103,Totalt!$B$1:$AQ$554,MATCH(P$2,Totalt!$B$1:$AQ$1,0),FALSE),"")</f>
        <v>11.8001</v>
      </c>
      <c r="Q103" s="173">
        <f>IFERROR(VLOOKUP($B103,Totalt!$B$1:$AQ$554,MATCH(Q$2,Totalt!$B$1:$AQ$1,0),FALSE),"")</f>
        <v>11.8001</v>
      </c>
      <c r="R103" s="173">
        <f>IFERROR(VLOOKUP($B103,Totalt!$B$1:$AQ$554,MATCH(R$2,Totalt!$B$1:$AQ$1,0),FALSE),"")</f>
        <v>0</v>
      </c>
      <c r="S103" s="173">
        <f>IFERROR(VLOOKUP($B103,Totalt!$B$1:$AQ$554,MATCH(S$2,Totalt!$B$1:$AQ$1,0),FALSE),"")</f>
        <v>0</v>
      </c>
      <c r="T103" s="173">
        <f>IFERROR(VLOOKUP($B103,Totalt!$B$1:$AQ$554,MATCH(T$2,Totalt!$B$1:$AQ$1,0),FALSE),"")</f>
        <v>0</v>
      </c>
      <c r="U103" s="173">
        <f>IFERROR(VLOOKUP($B103,Totalt!$B$1:$AQ$554,MATCH(U$2,Totalt!$B$1:$AQ$1,0),FALSE),"")</f>
        <v>0</v>
      </c>
      <c r="V103" s="173">
        <f>IFERROR(VLOOKUP($B103,Totalt!$B$1:$AQ$554,MATCH(V$2,Totalt!$B$1:$AQ$1,0),FALSE),"")</f>
        <v>0</v>
      </c>
      <c r="W103" s="173">
        <f>IFERROR(VLOOKUP($B103,Totalt!$B$1:$AQ$554,MATCH(W$2,Totalt!$B$1:$AQ$1,0),FALSE),"")</f>
        <v>0</v>
      </c>
      <c r="X103" s="173">
        <f>IFERROR(VLOOKUP($B103,Totalt!$B$1:$AQ$554,MATCH(X$2,Totalt!$B$1:$AQ$1,0),FALSE),"")</f>
        <v>0</v>
      </c>
      <c r="Y103" s="173">
        <f>IFERROR(VLOOKUP($B103,Totalt!$B$1:$AQ$554,MATCH(Y$2,Totalt!$B$1:$AQ$1,0),FALSE),"")</f>
        <v>0</v>
      </c>
      <c r="Z103" s="173">
        <f>IFERROR(VLOOKUP($B103,Totalt!$B$1:$AQ$554,MATCH(Z$2,Totalt!$B$1:$AQ$1,0),FALSE),"")</f>
        <v>0</v>
      </c>
      <c r="AA103" s="173">
        <f>IFERROR(VLOOKUP($B103,Totalt!$B$1:$AQ$554,MATCH(AA$2,Totalt!$B$1:$AQ$1,0),FALSE),"")</f>
        <v>0</v>
      </c>
      <c r="AB103" s="173">
        <f>IFERROR(VLOOKUP($B103,Totalt!$B$1:$AQ$554,MATCH(AB$2,Totalt!$B$1:$AQ$1,0),FALSE),"")</f>
        <v>0</v>
      </c>
      <c r="AC103" s="173">
        <f>IFERROR(VLOOKUP($B103,Totalt!$B$1:$AQ$554,MATCH(AC$2,Totalt!$B$1:$AQ$1,0),FALSE),"")</f>
        <v>10.5</v>
      </c>
      <c r="AD103" s="173">
        <f>IFERROR(VLOOKUP($B103,Totalt!$B$1:$AQ$554,MATCH(AD$2,Totalt!$B$1:$AQ$1,0),FALSE),"")</f>
        <v>0</v>
      </c>
      <c r="AE103" s="173">
        <f>IFERROR(VLOOKUP($B103,Totalt!$B$1:$AQ$554,MATCH(AE$2,Totalt!$B$1:$AQ$1,0),FALSE),"")</f>
        <v>0</v>
      </c>
      <c r="AF103" s="173">
        <f>IFERROR(VLOOKUP($B103,Totalt!$B$1:$AQ$554,MATCH(AF$2,Totalt!$B$1:$AQ$1,0),FALSE),"")</f>
        <v>2.19597</v>
      </c>
      <c r="AG103" s="173">
        <f>IFERROR(VLOOKUP($B103,Totalt!$B$1:$AQ$554,MATCH(AG$2,Totalt!$B$1:$AQ$1,0),FALSE),"")</f>
        <v>0</v>
      </c>
      <c r="AI103" s="226">
        <f t="shared" si="6"/>
        <v>73.396470000000008</v>
      </c>
      <c r="AJ103" s="226">
        <f>IF(ISERROR(1/VLOOKUP($B103,Leveranser!$B$1:$S$500,MATCH("såld värme (gwh)",Leveranser!$B$1:$S$1,0),FALSE)),"",VLOOKUP($B103,Leveranser!$B$1:$S$500,MATCH("såld värme (gwh)",Leveranser!$B$1:$S$1,0),FALSE))</f>
        <v>56.1</v>
      </c>
      <c r="AM103" s="227" t="str">
        <f>IF(B103&lt;&gt;"",IF(VLOOKUP($B103,Totalt!$B$1:$AQ$554,MATCH("Kvalitetsgranskad:",Totalt!$B$1:$AQ$1,0),FALSE)="ja",VLOOKUP($B103,Miljö!$B$1:$AG$479,MATCH(AM$2,Miljö!$B$1:$AK$1,0),FALSE),""),"")</f>
        <v>Nej</v>
      </c>
      <c r="AN103" s="227" t="str">
        <f>IF(AM103="ja",VLOOKUP($B103,Miljö!$B$1:$J$479,MATCH("Typ av ursprungsspecificerad el   (Om inget värde anges används Nordisk residualmix, se inforuta) ()",Miljö!$B$1:$J$1,0),FALSE),IF(AM103="nej","Nordisk residualel",""))</f>
        <v>Nordisk residualel</v>
      </c>
      <c r="AO103" s="227">
        <f>IF(AM103="","",VLOOKUP($B103,Miljö!$B$1:$J$479,MATCH("Fossilandel för ursprungspecificerad el ()",Miljö!$B$1:$J$1,0),FALSE))</f>
        <v>0.43</v>
      </c>
      <c r="AP103" s="227">
        <f>IF(AM103="","",IFERROR(VLOOKUP($B103,Miljö!$B$1:$J$479,MATCH("Kärnkraftsandel för ursprungsspecificerad el ()",Miljö!$B$1:$J$1,0),FALSE)/1,0))</f>
        <v>0.40550000000000003</v>
      </c>
      <c r="AQ103" s="227">
        <f t="shared" si="7"/>
        <v>0.16450000000000004</v>
      </c>
      <c r="AR103" s="227"/>
      <c r="AS103" s="227" t="str">
        <f t="shared" si="8"/>
        <v>Nej</v>
      </c>
      <c r="AT103" s="227" t="str">
        <f>IF(AS103="ja",VLOOKUP($B103,Miljö!$B$1:$O$500,MATCH("Fossil andel i procent (%)",Miljö!$B$1:$O$1,0),FALSE)/100,"")</f>
        <v/>
      </c>
      <c r="AU103" s="227"/>
      <c r="AV103" s="227" t="str">
        <f t="shared" si="9"/>
        <v>Nej</v>
      </c>
      <c r="AW103" s="227" t="str">
        <f>IF(AV103="ja",VLOOKUP($B103,'Egen hetvattenprod'!$B$1:$AO$500,MATCH("Värmekälla till värmepumpar ()",'Egen hetvattenprod'!$B$1:$AO$1,0),FALSE),"")</f>
        <v/>
      </c>
      <c r="AX103" s="227"/>
      <c r="AY103" s="227" t="str">
        <f t="shared" si="10"/>
        <v>Ja</v>
      </c>
      <c r="AZ103" s="228">
        <f>IF($AY103="ja",(VLOOKUP($B103,'Egen hetvattenprod'!$B$1:$BX$550,MATCH(AZ$2,'Egen hetvattenprod'!$B$1:$BX$1,0),FALSE)+VLOOKUP($B103,Kraftvärmeprod!$B$1:$BX$550,MATCH(AZ$2,Kraftvärmeprod!$B$1:$BX$1,0),FALSE))/$AC103,"")</f>
        <v>1</v>
      </c>
      <c r="BA103" s="228">
        <f>IF($AY103="ja",(VLOOKUP($B103,'Egen hetvattenprod'!$B$1:$BX$550,MATCH(BA$2,'Egen hetvattenprod'!$B$1:$BX$1,0),FALSE)+VLOOKUP($B103,Kraftvärmeprod!$B$1:$BX$550,MATCH(BA$2,Kraftvärmeprod!$B$1:$BX$1,0),FALSE))/$AC103,"")</f>
        <v>0</v>
      </c>
      <c r="BB103" s="228">
        <f>IF($AY103="ja",(VLOOKUP($B103,'Egen hetvattenprod'!$B$1:$BX$550,MATCH(BB$2,'Egen hetvattenprod'!$B$1:$BX$1,0),FALSE)+VLOOKUP($B103,Kraftvärmeprod!$B$1:$BX$550,MATCH(BB$2,Kraftvärmeprod!$B$1:$BX$1,0),FALSE))/$AC103,"")</f>
        <v>0</v>
      </c>
      <c r="BC103" s="228">
        <f>IF($AY103="ja",(VLOOKUP($B103,'Egen hetvattenprod'!$B$1:$BX$550,MATCH(BC$2,'Egen hetvattenprod'!$B$1:$BX$1,0),FALSE)+VLOOKUP($B103,Kraftvärmeprod!$B$1:$BX$550,MATCH(BC$2,Kraftvärmeprod!$B$1:$BX$1,0),FALSE))/$AC103,"")</f>
        <v>0</v>
      </c>
      <c r="BD103" s="228">
        <f>IF($AY103="ja",(VLOOKUP($B103,'Egen hetvattenprod'!$B$1:$BX$550,MATCH(BD$2,'Egen hetvattenprod'!$B$1:$BX$1,0),FALSE)+VLOOKUP($B103,Kraftvärmeprod!$B$1:$BX$550,MATCH(BD$2,Kraftvärmeprod!$B$1:$BX$1,0),FALSE))/$AC103,"")</f>
        <v>0</v>
      </c>
      <c r="BE103" s="227"/>
      <c r="BF103" s="227" t="str">
        <f t="shared" si="11"/>
        <v>Nej</v>
      </c>
      <c r="BG103" s="227" t="str">
        <f>IF($BF103="ja",VLOOKUP($B103,'Egen hetvattenprod'!$B$1:$BX$550,MATCH("Andelen klimatgaser med fossilt ursprung för avfall ()",'Egen hetvattenprod'!$B$1:$BX$1,0),FALSE),"")</f>
        <v/>
      </c>
      <c r="BH103" s="227" t="str">
        <f>IF($BF103="ja",VLOOKUP($B103,Kraftvärmeprod!$B$1:$BX$550,MATCH("Andelen klimatgaser med fossilt ursprung för avfall ()",Kraftvärmeprod!$B$1:$BX$1,0),FALSE),"")</f>
        <v/>
      </c>
      <c r="BI103" s="227" t="str">
        <f>IF($BF103="ja",VLOOKUP($B103,'Egen hetvattenprod'!$B$1:$BX$550,MATCH("Avfall (GWh)",'Egen hetvattenprod'!$B$1:$BX$1,0),FALSE),"")</f>
        <v/>
      </c>
      <c r="BJ103" s="227" t="str">
        <f>IF($BF103="ja",VLOOKUP($B103,'Slutlig allokering kvv'!$B$1:$BX$550,MATCH("Avfall (GWh)",'Slutlig allokering kvv'!$B$1:$BX$1,0),FALSE),"")</f>
        <v/>
      </c>
      <c r="BK103" s="227" t="str">
        <f>IF($BF103="ja",VLOOKUP($B103,'Köpt hetvatten'!$B$1:$BX$550,MATCH("Avfall i köpt hetvatten",'Köpt hetvatten'!$B$1:$BX$1,0),FALSE),"")</f>
        <v/>
      </c>
      <c r="BL103" s="227" t="str">
        <f>IF($BF103="ja",VLOOKUP($B103,'Egen hetvattenprod'!$B$1:$BX$550,MATCH("Värde enligt ovan. (%)",'Egen hetvattenprod'!$B$1:$BX$1,0),FALSE),"")</f>
        <v/>
      </c>
      <c r="BM103" s="227" t="str">
        <f>IF($BF103="ja",VLOOKUP($B103,Kraftvärmeprod!$B$1:$BX$550,MATCH("Värde enligt ovan. (%)",Kraftvärmeprod!$B$1:$BX$1,0),FALSE),"")</f>
        <v/>
      </c>
      <c r="BN103" s="227"/>
      <c r="BO103" s="227"/>
      <c r="BP103" s="227"/>
      <c r="BQ103" s="227" t="str">
        <f>IF($BF103="ja",VLOOKUP($B103,'Egen hetvattenprod'!$B$1:$BX$550,MATCH("Tillförd olja (fossil) vid avfallsförbränning (GWh)",'Egen hetvattenprod'!$B$1:$BX$1,0),FALSE),"")</f>
        <v/>
      </c>
      <c r="BR103" s="227" t="str">
        <f>IF($BF103="ja",VLOOKUP($B103,Kraftvärmeprod!$B$1:$BX$550,MATCH("Tillförd olja (fossil) vid avfallsförbränning (GWh)",Kraftvärmeprod!$B$1:$BX$1,0),FALSE),"")</f>
        <v/>
      </c>
      <c r="BS103" s="227"/>
      <c r="BT103" s="227"/>
      <c r="BU103" s="227"/>
    </row>
    <row r="104" spans="1:73" x14ac:dyDescent="0.25">
      <c r="A104" s="121" t="str">
        <f>'Miljövärden för publ företag'!B107</f>
        <v>Hedemora Energi AB</v>
      </c>
      <c r="B104" s="121" t="str">
        <f>'Miljövärden för publ företag'!C107</f>
        <v>Långshyttan</v>
      </c>
      <c r="C104" s="173">
        <f>IFERROR(VLOOKUP($B104,Totalt!$B$1:$AQ$554,MATCH(C$2,Totalt!$B$1:$AQ$1,0),FALSE),"")</f>
        <v>0</v>
      </c>
      <c r="D104" s="173">
        <f>IFERROR(VLOOKUP($B104,Totalt!$B$1:$AQ$554,MATCH(D$2,Totalt!$B$1:$AQ$1,0),FALSE),"")</f>
        <v>0.16</v>
      </c>
      <c r="E104" s="173">
        <f>IFERROR(VLOOKUP($B104,Totalt!$B$1:$AQ$554,MATCH(E$2,Totalt!$B$1:$AQ$1,0),FALSE),"")</f>
        <v>0</v>
      </c>
      <c r="F104" s="173">
        <f>IFERROR(VLOOKUP($B104,Totalt!$B$1:$AQ$554,MATCH(F$2,Totalt!$B$1:$AQ$1,0),FALSE),"")</f>
        <v>0</v>
      </c>
      <c r="G104" s="173">
        <f>IFERROR(VLOOKUP($B104,Totalt!$B$1:$AQ$554,MATCH(G$2,Totalt!$B$1:$AQ$1,0),FALSE),"")</f>
        <v>0</v>
      </c>
      <c r="H104" s="173">
        <f>IFERROR(VLOOKUP($B104,Totalt!$B$1:$AQ$554,MATCH(H$2,Totalt!$B$1:$AQ$1,0),FALSE),"")</f>
        <v>0</v>
      </c>
      <c r="I104" s="173">
        <f>IFERROR(VLOOKUP($B104,Totalt!$B$1:$AQ$554,MATCH(I$2,Totalt!$B$1:$AQ$1,0),FALSE),"")</f>
        <v>0</v>
      </c>
      <c r="J104" s="173">
        <f>IFERROR(VLOOKUP($B104,Totalt!$B$1:$AQ$554,MATCH(J$2,Totalt!$B$1:$AQ$1,0),FALSE),"")</f>
        <v>0</v>
      </c>
      <c r="K104" s="173">
        <f>IFERROR(VLOOKUP($B104,Totalt!$B$1:$AQ$554,MATCH(K$2,Totalt!$B$1:$AQ$1,0),FALSE),"")</f>
        <v>0</v>
      </c>
      <c r="L104" s="173">
        <f>IFERROR(VLOOKUP($B104,Totalt!$B$1:$AQ$554,MATCH(L$2,Totalt!$B$1:$AQ$1,0),FALSE),"")</f>
        <v>0</v>
      </c>
      <c r="M104" s="173">
        <f>IFERROR(VLOOKUP($B104,Totalt!$B$1:$AQ$554,MATCH(M$2,Totalt!$B$1:$AQ$1,0),FALSE),"")</f>
        <v>0</v>
      </c>
      <c r="N104" s="173">
        <f>IFERROR(VLOOKUP($B104,Totalt!$B$1:$AQ$554,MATCH(N$2,Totalt!$B$1:$AQ$1,0),FALSE),"")</f>
        <v>0</v>
      </c>
      <c r="O104" s="173">
        <f>IFERROR(VLOOKUP($B104,Totalt!$B$1:$AQ$554,MATCH(O$2,Totalt!$B$1:$AQ$1,0),FALSE),"")</f>
        <v>0</v>
      </c>
      <c r="P104" s="173">
        <f>IFERROR(VLOOKUP($B104,Totalt!$B$1:$AQ$554,MATCH(P$2,Totalt!$B$1:$AQ$1,0),FALSE),"")</f>
        <v>8.1999999999999993</v>
      </c>
      <c r="Q104" s="173">
        <f>IFERROR(VLOOKUP($B104,Totalt!$B$1:$AQ$554,MATCH(Q$2,Totalt!$B$1:$AQ$1,0),FALSE),"")</f>
        <v>0</v>
      </c>
      <c r="R104" s="173">
        <f>IFERROR(VLOOKUP($B104,Totalt!$B$1:$AQ$554,MATCH(R$2,Totalt!$B$1:$AQ$1,0),FALSE),"")</f>
        <v>0</v>
      </c>
      <c r="S104" s="173">
        <f>IFERROR(VLOOKUP($B104,Totalt!$B$1:$AQ$554,MATCH(S$2,Totalt!$B$1:$AQ$1,0),FALSE),"")</f>
        <v>0</v>
      </c>
      <c r="T104" s="173">
        <f>IFERROR(VLOOKUP($B104,Totalt!$B$1:$AQ$554,MATCH(T$2,Totalt!$B$1:$AQ$1,0),FALSE),"")</f>
        <v>0</v>
      </c>
      <c r="U104" s="173">
        <f>IFERROR(VLOOKUP($B104,Totalt!$B$1:$AQ$554,MATCH(U$2,Totalt!$B$1:$AQ$1,0),FALSE),"")</f>
        <v>0</v>
      </c>
      <c r="V104" s="173">
        <f>IFERROR(VLOOKUP($B104,Totalt!$B$1:$AQ$554,MATCH(V$2,Totalt!$B$1:$AQ$1,0),FALSE),"")</f>
        <v>0</v>
      </c>
      <c r="W104" s="173">
        <f>IFERROR(VLOOKUP($B104,Totalt!$B$1:$AQ$554,MATCH(W$2,Totalt!$B$1:$AQ$1,0),FALSE),"")</f>
        <v>0</v>
      </c>
      <c r="X104" s="173">
        <f>IFERROR(VLOOKUP($B104,Totalt!$B$1:$AQ$554,MATCH(X$2,Totalt!$B$1:$AQ$1,0),FALSE),"")</f>
        <v>0</v>
      </c>
      <c r="Y104" s="173">
        <f>IFERROR(VLOOKUP($B104,Totalt!$B$1:$AQ$554,MATCH(Y$2,Totalt!$B$1:$AQ$1,0),FALSE),"")</f>
        <v>0</v>
      </c>
      <c r="Z104" s="173">
        <f>IFERROR(VLOOKUP($B104,Totalt!$B$1:$AQ$554,MATCH(Z$2,Totalt!$B$1:$AQ$1,0),FALSE),"")</f>
        <v>0</v>
      </c>
      <c r="AA104" s="173">
        <f>IFERROR(VLOOKUP($B104,Totalt!$B$1:$AQ$554,MATCH(AA$2,Totalt!$B$1:$AQ$1,0),FALSE),"")</f>
        <v>0</v>
      </c>
      <c r="AB104" s="173">
        <f>IFERROR(VLOOKUP($B104,Totalt!$B$1:$AQ$554,MATCH(AB$2,Totalt!$B$1:$AQ$1,0),FALSE),"")</f>
        <v>0</v>
      </c>
      <c r="AC104" s="173">
        <f>IFERROR(VLOOKUP($B104,Totalt!$B$1:$AQ$554,MATCH(AC$2,Totalt!$B$1:$AQ$1,0),FALSE),"")</f>
        <v>0</v>
      </c>
      <c r="AD104" s="173">
        <f>IFERROR(VLOOKUP($B104,Totalt!$B$1:$AQ$554,MATCH(AD$2,Totalt!$B$1:$AQ$1,0),FALSE),"")</f>
        <v>0</v>
      </c>
      <c r="AE104" s="173">
        <f>IFERROR(VLOOKUP($B104,Totalt!$B$1:$AQ$554,MATCH(AE$2,Totalt!$B$1:$AQ$1,0),FALSE),"")</f>
        <v>0</v>
      </c>
      <c r="AF104" s="173">
        <f>IFERROR(VLOOKUP($B104,Totalt!$B$1:$AQ$554,MATCH(AF$2,Totalt!$B$1:$AQ$1,0),FALSE),"")</f>
        <v>0.18</v>
      </c>
      <c r="AG104" s="173">
        <f>IFERROR(VLOOKUP($B104,Totalt!$B$1:$AQ$554,MATCH(AG$2,Totalt!$B$1:$AQ$1,0),FALSE),"")</f>
        <v>0</v>
      </c>
      <c r="AI104" s="226">
        <f t="shared" si="6"/>
        <v>8.5399999999999991</v>
      </c>
      <c r="AJ104" s="226">
        <f>IF(ISERROR(1/VLOOKUP($B104,Leveranser!$B$1:$S$500,MATCH("såld värme (gwh)",Leveranser!$B$1:$S$1,0),FALSE)),"",VLOOKUP($B104,Leveranser!$B$1:$S$500,MATCH("såld värme (gwh)",Leveranser!$B$1:$S$1,0),FALSE))</f>
        <v>6.59</v>
      </c>
      <c r="AM104" s="227" t="str">
        <f>IF(B104&lt;&gt;"",IF(VLOOKUP($B104,Totalt!$B$1:$AQ$554,MATCH("Kvalitetsgranskad:",Totalt!$B$1:$AQ$1,0),FALSE)="ja",VLOOKUP($B104,Miljö!$B$1:$AG$479,MATCH(AM$2,Miljö!$B$1:$AK$1,0),FALSE),""),"")</f>
        <v>Nej</v>
      </c>
      <c r="AN104" s="227" t="str">
        <f>IF(AM104="ja",VLOOKUP($B104,Miljö!$B$1:$J$479,MATCH("Typ av ursprungsspecificerad el   (Om inget värde anges används Nordisk residualmix, se inforuta) ()",Miljö!$B$1:$J$1,0),FALSE),IF(AM104="nej","Nordisk residualel",""))</f>
        <v>Nordisk residualel</v>
      </c>
      <c r="AO104" s="227">
        <f>IF(AM104="","",VLOOKUP($B104,Miljö!$B$1:$J$479,MATCH("Fossilandel för ursprungspecificerad el ()",Miljö!$B$1:$J$1,0),FALSE))</f>
        <v>0.43</v>
      </c>
      <c r="AP104" s="227">
        <f>IF(AM104="","",IFERROR(VLOOKUP($B104,Miljö!$B$1:$J$479,MATCH("Kärnkraftsandel för ursprungsspecificerad el ()",Miljö!$B$1:$J$1,0),FALSE)/1,0))</f>
        <v>0.40550000000000003</v>
      </c>
      <c r="AQ104" s="227">
        <f t="shared" si="7"/>
        <v>0.16450000000000004</v>
      </c>
      <c r="AR104" s="227"/>
      <c r="AS104" s="227" t="str">
        <f t="shared" si="8"/>
        <v>Nej</v>
      </c>
      <c r="AT104" s="227" t="str">
        <f>IF(AS104="ja",VLOOKUP($B104,Miljö!$B$1:$O$500,MATCH("Fossil andel i procent (%)",Miljö!$B$1:$O$1,0),FALSE)/100,"")</f>
        <v/>
      </c>
      <c r="AU104" s="227"/>
      <c r="AV104" s="227" t="str">
        <f t="shared" si="9"/>
        <v>Nej</v>
      </c>
      <c r="AW104" s="227" t="str">
        <f>IF(AV104="ja",VLOOKUP($B104,'Egen hetvattenprod'!$B$1:$AO$500,MATCH("Värmekälla till värmepumpar ()",'Egen hetvattenprod'!$B$1:$AO$1,0),FALSE),"")</f>
        <v/>
      </c>
      <c r="AX104" s="227"/>
      <c r="AY104" s="227" t="str">
        <f t="shared" si="10"/>
        <v>Nej</v>
      </c>
      <c r="AZ104" s="228" t="str">
        <f>IF($AY104="ja",(VLOOKUP($B104,'Egen hetvattenprod'!$B$1:$BX$550,MATCH(AZ$2,'Egen hetvattenprod'!$B$1:$BX$1,0),FALSE)+VLOOKUP($B104,Kraftvärmeprod!$B$1:$BX$550,MATCH(AZ$2,Kraftvärmeprod!$B$1:$BX$1,0),FALSE))/$AC104,"")</f>
        <v/>
      </c>
      <c r="BA104" s="228" t="str">
        <f>IF($AY104="ja",(VLOOKUP($B104,'Egen hetvattenprod'!$B$1:$BX$550,MATCH(BA$2,'Egen hetvattenprod'!$B$1:$BX$1,0),FALSE)+VLOOKUP($B104,Kraftvärmeprod!$B$1:$BX$550,MATCH(BA$2,Kraftvärmeprod!$B$1:$BX$1,0),FALSE))/$AC104,"")</f>
        <v/>
      </c>
      <c r="BB104" s="228" t="str">
        <f>IF($AY104="ja",(VLOOKUP($B104,'Egen hetvattenprod'!$B$1:$BX$550,MATCH(BB$2,'Egen hetvattenprod'!$B$1:$BX$1,0),FALSE)+VLOOKUP($B104,Kraftvärmeprod!$B$1:$BX$550,MATCH(BB$2,Kraftvärmeprod!$B$1:$BX$1,0),FALSE))/$AC104,"")</f>
        <v/>
      </c>
      <c r="BC104" s="228" t="str">
        <f>IF($AY104="ja",(VLOOKUP($B104,'Egen hetvattenprod'!$B$1:$BX$550,MATCH(BC$2,'Egen hetvattenprod'!$B$1:$BX$1,0),FALSE)+VLOOKUP($B104,Kraftvärmeprod!$B$1:$BX$550,MATCH(BC$2,Kraftvärmeprod!$B$1:$BX$1,0),FALSE))/$AC104,"")</f>
        <v/>
      </c>
      <c r="BD104" s="228" t="str">
        <f>IF($AY104="ja",(VLOOKUP($B104,'Egen hetvattenprod'!$B$1:$BX$550,MATCH(BD$2,'Egen hetvattenprod'!$B$1:$BX$1,0),FALSE)+VLOOKUP($B104,Kraftvärmeprod!$B$1:$BX$550,MATCH(BD$2,Kraftvärmeprod!$B$1:$BX$1,0),FALSE))/$AC104,"")</f>
        <v/>
      </c>
      <c r="BE104" s="227"/>
      <c r="BF104" s="227" t="str">
        <f t="shared" si="11"/>
        <v>Nej</v>
      </c>
      <c r="BG104" s="227" t="str">
        <f>IF($BF104="ja",VLOOKUP($B104,'Egen hetvattenprod'!$B$1:$BX$550,MATCH("Andelen klimatgaser med fossilt ursprung för avfall ()",'Egen hetvattenprod'!$B$1:$BX$1,0),FALSE),"")</f>
        <v/>
      </c>
      <c r="BH104" s="227" t="str">
        <f>IF($BF104="ja",VLOOKUP($B104,Kraftvärmeprod!$B$1:$BX$550,MATCH("Andelen klimatgaser med fossilt ursprung för avfall ()",Kraftvärmeprod!$B$1:$BX$1,0),FALSE),"")</f>
        <v/>
      </c>
      <c r="BI104" s="227" t="str">
        <f>IF($BF104="ja",VLOOKUP($B104,'Egen hetvattenprod'!$B$1:$BX$550,MATCH("Avfall (GWh)",'Egen hetvattenprod'!$B$1:$BX$1,0),FALSE),"")</f>
        <v/>
      </c>
      <c r="BJ104" s="227" t="str">
        <f>IF($BF104="ja",VLOOKUP($B104,'Slutlig allokering kvv'!$B$1:$BX$550,MATCH("Avfall (GWh)",'Slutlig allokering kvv'!$B$1:$BX$1,0),FALSE),"")</f>
        <v/>
      </c>
      <c r="BK104" s="227" t="str">
        <f>IF($BF104="ja",VLOOKUP($B104,'Köpt hetvatten'!$B$1:$BX$550,MATCH("Avfall i köpt hetvatten",'Köpt hetvatten'!$B$1:$BX$1,0),FALSE),"")</f>
        <v/>
      </c>
      <c r="BL104" s="227" t="str">
        <f>IF($BF104="ja",VLOOKUP($B104,'Egen hetvattenprod'!$B$1:$BX$550,MATCH("Värde enligt ovan. (%)",'Egen hetvattenprod'!$B$1:$BX$1,0),FALSE),"")</f>
        <v/>
      </c>
      <c r="BM104" s="227" t="str">
        <f>IF($BF104="ja",VLOOKUP($B104,Kraftvärmeprod!$B$1:$BX$550,MATCH("Värde enligt ovan. (%)",Kraftvärmeprod!$B$1:$BX$1,0),FALSE),"")</f>
        <v/>
      </c>
      <c r="BN104" s="227"/>
      <c r="BO104" s="227"/>
      <c r="BP104" s="227"/>
      <c r="BQ104" s="227" t="str">
        <f>IF($BF104="ja",VLOOKUP($B104,'Egen hetvattenprod'!$B$1:$BX$550,MATCH("Tillförd olja (fossil) vid avfallsförbränning (GWh)",'Egen hetvattenprod'!$B$1:$BX$1,0),FALSE),"")</f>
        <v/>
      </c>
      <c r="BR104" s="227" t="str">
        <f>IF($BF104="ja",VLOOKUP($B104,Kraftvärmeprod!$B$1:$BX$550,MATCH("Tillförd olja (fossil) vid avfallsförbränning (GWh)",Kraftvärmeprod!$B$1:$BX$1,0),FALSE),"")</f>
        <v/>
      </c>
      <c r="BS104" s="227"/>
      <c r="BT104" s="227"/>
      <c r="BU104" s="227"/>
    </row>
    <row r="105" spans="1:73" x14ac:dyDescent="0.25">
      <c r="A105" s="121" t="str">
        <f>'Miljövärden för publ företag'!B108</f>
        <v>Hedemora Energi AB</v>
      </c>
      <c r="B105" s="121" t="str">
        <f>'Miljövärden för publ företag'!C108</f>
        <v>St Skedvi</v>
      </c>
      <c r="C105" s="173">
        <f>IFERROR(VLOOKUP($B105,Totalt!$B$1:$AQ$554,MATCH(C$2,Totalt!$B$1:$AQ$1,0),FALSE),"")</f>
        <v>0</v>
      </c>
      <c r="D105" s="173">
        <f>IFERROR(VLOOKUP($B105,Totalt!$B$1:$AQ$554,MATCH(D$2,Totalt!$B$1:$AQ$1,0),FALSE),"")</f>
        <v>0.17</v>
      </c>
      <c r="E105" s="173">
        <f>IFERROR(VLOOKUP($B105,Totalt!$B$1:$AQ$554,MATCH(E$2,Totalt!$B$1:$AQ$1,0),FALSE),"")</f>
        <v>0</v>
      </c>
      <c r="F105" s="173">
        <f>IFERROR(VLOOKUP($B105,Totalt!$B$1:$AQ$554,MATCH(F$2,Totalt!$B$1:$AQ$1,0),FALSE),"")</f>
        <v>0</v>
      </c>
      <c r="G105" s="173">
        <f>IFERROR(VLOOKUP($B105,Totalt!$B$1:$AQ$554,MATCH(G$2,Totalt!$B$1:$AQ$1,0),FALSE),"")</f>
        <v>0</v>
      </c>
      <c r="H105" s="173">
        <f>IFERROR(VLOOKUP($B105,Totalt!$B$1:$AQ$554,MATCH(H$2,Totalt!$B$1:$AQ$1,0),FALSE),"")</f>
        <v>0</v>
      </c>
      <c r="I105" s="173">
        <f>IFERROR(VLOOKUP($B105,Totalt!$B$1:$AQ$554,MATCH(I$2,Totalt!$B$1:$AQ$1,0),FALSE),"")</f>
        <v>0</v>
      </c>
      <c r="J105" s="173">
        <f>IFERROR(VLOOKUP($B105,Totalt!$B$1:$AQ$554,MATCH(J$2,Totalt!$B$1:$AQ$1,0),FALSE),"")</f>
        <v>0</v>
      </c>
      <c r="K105" s="173">
        <f>IFERROR(VLOOKUP($B105,Totalt!$B$1:$AQ$554,MATCH(K$2,Totalt!$B$1:$AQ$1,0),FALSE),"")</f>
        <v>0</v>
      </c>
      <c r="L105" s="173">
        <f>IFERROR(VLOOKUP($B105,Totalt!$B$1:$AQ$554,MATCH(L$2,Totalt!$B$1:$AQ$1,0),FALSE),"")</f>
        <v>0</v>
      </c>
      <c r="M105" s="173">
        <f>IFERROR(VLOOKUP($B105,Totalt!$B$1:$AQ$554,MATCH(M$2,Totalt!$B$1:$AQ$1,0),FALSE),"")</f>
        <v>0</v>
      </c>
      <c r="N105" s="173">
        <f>IFERROR(VLOOKUP($B105,Totalt!$B$1:$AQ$554,MATCH(N$2,Totalt!$B$1:$AQ$1,0),FALSE),"")</f>
        <v>0</v>
      </c>
      <c r="O105" s="173">
        <f>IFERROR(VLOOKUP($B105,Totalt!$B$1:$AQ$554,MATCH(O$2,Totalt!$B$1:$AQ$1,0),FALSE),"")</f>
        <v>0</v>
      </c>
      <c r="P105" s="173">
        <f>IFERROR(VLOOKUP($B105,Totalt!$B$1:$AQ$554,MATCH(P$2,Totalt!$B$1:$AQ$1,0),FALSE),"")</f>
        <v>2.6</v>
      </c>
      <c r="Q105" s="173">
        <f>IFERROR(VLOOKUP($B105,Totalt!$B$1:$AQ$554,MATCH(Q$2,Totalt!$B$1:$AQ$1,0),FALSE),"")</f>
        <v>0</v>
      </c>
      <c r="R105" s="173">
        <f>IFERROR(VLOOKUP($B105,Totalt!$B$1:$AQ$554,MATCH(R$2,Totalt!$B$1:$AQ$1,0),FALSE),"")</f>
        <v>0</v>
      </c>
      <c r="S105" s="173">
        <f>IFERROR(VLOOKUP($B105,Totalt!$B$1:$AQ$554,MATCH(S$2,Totalt!$B$1:$AQ$1,0),FALSE),"")</f>
        <v>0</v>
      </c>
      <c r="T105" s="173">
        <f>IFERROR(VLOOKUP($B105,Totalt!$B$1:$AQ$554,MATCH(T$2,Totalt!$B$1:$AQ$1,0),FALSE),"")</f>
        <v>0</v>
      </c>
      <c r="U105" s="173">
        <f>IFERROR(VLOOKUP($B105,Totalt!$B$1:$AQ$554,MATCH(U$2,Totalt!$B$1:$AQ$1,0),FALSE),"")</f>
        <v>0</v>
      </c>
      <c r="V105" s="173">
        <f>IFERROR(VLOOKUP($B105,Totalt!$B$1:$AQ$554,MATCH(V$2,Totalt!$B$1:$AQ$1,0),FALSE),"")</f>
        <v>0</v>
      </c>
      <c r="W105" s="173">
        <f>IFERROR(VLOOKUP($B105,Totalt!$B$1:$AQ$554,MATCH(W$2,Totalt!$B$1:$AQ$1,0),FALSE),"")</f>
        <v>0</v>
      </c>
      <c r="X105" s="173">
        <f>IFERROR(VLOOKUP($B105,Totalt!$B$1:$AQ$554,MATCH(X$2,Totalt!$B$1:$AQ$1,0),FALSE),"")</f>
        <v>0</v>
      </c>
      <c r="Y105" s="173">
        <f>IFERROR(VLOOKUP($B105,Totalt!$B$1:$AQ$554,MATCH(Y$2,Totalt!$B$1:$AQ$1,0),FALSE),"")</f>
        <v>0</v>
      </c>
      <c r="Z105" s="173">
        <f>IFERROR(VLOOKUP($B105,Totalt!$B$1:$AQ$554,MATCH(Z$2,Totalt!$B$1:$AQ$1,0),FALSE),"")</f>
        <v>0</v>
      </c>
      <c r="AA105" s="173">
        <f>IFERROR(VLOOKUP($B105,Totalt!$B$1:$AQ$554,MATCH(AA$2,Totalt!$B$1:$AQ$1,0),FALSE),"")</f>
        <v>0</v>
      </c>
      <c r="AB105" s="173">
        <f>IFERROR(VLOOKUP($B105,Totalt!$B$1:$AQ$554,MATCH(AB$2,Totalt!$B$1:$AQ$1,0),FALSE),"")</f>
        <v>0</v>
      </c>
      <c r="AC105" s="173">
        <f>IFERROR(VLOOKUP($B105,Totalt!$B$1:$AQ$554,MATCH(AC$2,Totalt!$B$1:$AQ$1,0),FALSE),"")</f>
        <v>0</v>
      </c>
      <c r="AD105" s="173">
        <f>IFERROR(VLOOKUP($B105,Totalt!$B$1:$AQ$554,MATCH(AD$2,Totalt!$B$1:$AQ$1,0),FALSE),"")</f>
        <v>0</v>
      </c>
      <c r="AE105" s="173">
        <f>IFERROR(VLOOKUP($B105,Totalt!$B$1:$AQ$554,MATCH(AE$2,Totalt!$B$1:$AQ$1,0),FALSE),"")</f>
        <v>0</v>
      </c>
      <c r="AF105" s="173">
        <f>IFERROR(VLOOKUP($B105,Totalt!$B$1:$AQ$554,MATCH(AF$2,Totalt!$B$1:$AQ$1,0),FALSE),"")</f>
        <v>5.3999999999999999E-2</v>
      </c>
      <c r="AG105" s="173">
        <f>IFERROR(VLOOKUP($B105,Totalt!$B$1:$AQ$554,MATCH(AG$2,Totalt!$B$1:$AQ$1,0),FALSE),"")</f>
        <v>0</v>
      </c>
      <c r="AI105" s="226">
        <f t="shared" si="6"/>
        <v>2.8239999999999998</v>
      </c>
      <c r="AJ105" s="226">
        <f>IF(ISERROR(1/VLOOKUP($B105,Leveranser!$B$1:$S$500,MATCH("såld värme (gwh)",Leveranser!$B$1:$S$1,0),FALSE)),"",VLOOKUP($B105,Leveranser!$B$1:$S$500,MATCH("såld värme (gwh)",Leveranser!$B$1:$S$1,0),FALSE))</f>
        <v>2.27</v>
      </c>
      <c r="AM105" s="227" t="str">
        <f>IF(B105&lt;&gt;"",IF(VLOOKUP($B105,Totalt!$B$1:$AQ$554,MATCH("Kvalitetsgranskad:",Totalt!$B$1:$AQ$1,0),FALSE)="ja",VLOOKUP($B105,Miljö!$B$1:$AG$479,MATCH(AM$2,Miljö!$B$1:$AK$1,0),FALSE),""),"")</f>
        <v>Nej</v>
      </c>
      <c r="AN105" s="227" t="str">
        <f>IF(AM105="ja",VLOOKUP($B105,Miljö!$B$1:$J$479,MATCH("Typ av ursprungsspecificerad el   (Om inget värde anges används Nordisk residualmix, se inforuta) ()",Miljö!$B$1:$J$1,0),FALSE),IF(AM105="nej","Nordisk residualel",""))</f>
        <v>Nordisk residualel</v>
      </c>
      <c r="AO105" s="227">
        <f>IF(AM105="","",VLOOKUP($B105,Miljö!$B$1:$J$479,MATCH("Fossilandel för ursprungspecificerad el ()",Miljö!$B$1:$J$1,0),FALSE))</f>
        <v>0.43</v>
      </c>
      <c r="AP105" s="227">
        <f>IF(AM105="","",IFERROR(VLOOKUP($B105,Miljö!$B$1:$J$479,MATCH("Kärnkraftsandel för ursprungsspecificerad el ()",Miljö!$B$1:$J$1,0),FALSE)/1,0))</f>
        <v>0.40550000000000003</v>
      </c>
      <c r="AQ105" s="227">
        <f t="shared" si="7"/>
        <v>0.16450000000000004</v>
      </c>
      <c r="AR105" s="227"/>
      <c r="AS105" s="227" t="str">
        <f t="shared" si="8"/>
        <v>Nej</v>
      </c>
      <c r="AT105" s="227" t="str">
        <f>IF(AS105="ja",VLOOKUP($B105,Miljö!$B$1:$O$500,MATCH("Fossil andel i procent (%)",Miljö!$B$1:$O$1,0),FALSE)/100,"")</f>
        <v/>
      </c>
      <c r="AU105" s="227"/>
      <c r="AV105" s="227" t="str">
        <f t="shared" si="9"/>
        <v>Nej</v>
      </c>
      <c r="AW105" s="227" t="str">
        <f>IF(AV105="ja",VLOOKUP($B105,'Egen hetvattenprod'!$B$1:$AO$500,MATCH("Värmekälla till värmepumpar ()",'Egen hetvattenprod'!$B$1:$AO$1,0),FALSE),"")</f>
        <v/>
      </c>
      <c r="AX105" s="227"/>
      <c r="AY105" s="227" t="str">
        <f t="shared" si="10"/>
        <v>Nej</v>
      </c>
      <c r="AZ105" s="228" t="str">
        <f>IF($AY105="ja",(VLOOKUP($B105,'Egen hetvattenprod'!$B$1:$BX$550,MATCH(AZ$2,'Egen hetvattenprod'!$B$1:$BX$1,0),FALSE)+VLOOKUP($B105,Kraftvärmeprod!$B$1:$BX$550,MATCH(AZ$2,Kraftvärmeprod!$B$1:$BX$1,0),FALSE))/$AC105,"")</f>
        <v/>
      </c>
      <c r="BA105" s="228" t="str">
        <f>IF($AY105="ja",(VLOOKUP($B105,'Egen hetvattenprod'!$B$1:$BX$550,MATCH(BA$2,'Egen hetvattenprod'!$B$1:$BX$1,0),FALSE)+VLOOKUP($B105,Kraftvärmeprod!$B$1:$BX$550,MATCH(BA$2,Kraftvärmeprod!$B$1:$BX$1,0),FALSE))/$AC105,"")</f>
        <v/>
      </c>
      <c r="BB105" s="228" t="str">
        <f>IF($AY105="ja",(VLOOKUP($B105,'Egen hetvattenprod'!$B$1:$BX$550,MATCH(BB$2,'Egen hetvattenprod'!$B$1:$BX$1,0),FALSE)+VLOOKUP($B105,Kraftvärmeprod!$B$1:$BX$550,MATCH(BB$2,Kraftvärmeprod!$B$1:$BX$1,0),FALSE))/$AC105,"")</f>
        <v/>
      </c>
      <c r="BC105" s="228" t="str">
        <f>IF($AY105="ja",(VLOOKUP($B105,'Egen hetvattenprod'!$B$1:$BX$550,MATCH(BC$2,'Egen hetvattenprod'!$B$1:$BX$1,0),FALSE)+VLOOKUP($B105,Kraftvärmeprod!$B$1:$BX$550,MATCH(BC$2,Kraftvärmeprod!$B$1:$BX$1,0),FALSE))/$AC105,"")</f>
        <v/>
      </c>
      <c r="BD105" s="228" t="str">
        <f>IF($AY105="ja",(VLOOKUP($B105,'Egen hetvattenprod'!$B$1:$BX$550,MATCH(BD$2,'Egen hetvattenprod'!$B$1:$BX$1,0),FALSE)+VLOOKUP($B105,Kraftvärmeprod!$B$1:$BX$550,MATCH(BD$2,Kraftvärmeprod!$B$1:$BX$1,0),FALSE))/$AC105,"")</f>
        <v/>
      </c>
      <c r="BE105" s="227"/>
      <c r="BF105" s="227" t="str">
        <f t="shared" si="11"/>
        <v>Nej</v>
      </c>
      <c r="BG105" s="227" t="str">
        <f>IF($BF105="ja",VLOOKUP($B105,'Egen hetvattenprod'!$B$1:$BX$550,MATCH("Andelen klimatgaser med fossilt ursprung för avfall ()",'Egen hetvattenprod'!$B$1:$BX$1,0),FALSE),"")</f>
        <v/>
      </c>
      <c r="BH105" s="227" t="str">
        <f>IF($BF105="ja",VLOOKUP($B105,Kraftvärmeprod!$B$1:$BX$550,MATCH("Andelen klimatgaser med fossilt ursprung för avfall ()",Kraftvärmeprod!$B$1:$BX$1,0),FALSE),"")</f>
        <v/>
      </c>
      <c r="BI105" s="227" t="str">
        <f>IF($BF105="ja",VLOOKUP($B105,'Egen hetvattenprod'!$B$1:$BX$550,MATCH("Avfall (GWh)",'Egen hetvattenprod'!$B$1:$BX$1,0),FALSE),"")</f>
        <v/>
      </c>
      <c r="BJ105" s="227" t="str">
        <f>IF($BF105="ja",VLOOKUP($B105,'Slutlig allokering kvv'!$B$1:$BX$550,MATCH("Avfall (GWh)",'Slutlig allokering kvv'!$B$1:$BX$1,0),FALSE),"")</f>
        <v/>
      </c>
      <c r="BK105" s="227" t="str">
        <f>IF($BF105="ja",VLOOKUP($B105,'Köpt hetvatten'!$B$1:$BX$550,MATCH("Avfall i köpt hetvatten",'Köpt hetvatten'!$B$1:$BX$1,0),FALSE),"")</f>
        <v/>
      </c>
      <c r="BL105" s="227" t="str">
        <f>IF($BF105="ja",VLOOKUP($B105,'Egen hetvattenprod'!$B$1:$BX$550,MATCH("Värde enligt ovan. (%)",'Egen hetvattenprod'!$B$1:$BX$1,0),FALSE),"")</f>
        <v/>
      </c>
      <c r="BM105" s="227" t="str">
        <f>IF($BF105="ja",VLOOKUP($B105,Kraftvärmeprod!$B$1:$BX$550,MATCH("Värde enligt ovan. (%)",Kraftvärmeprod!$B$1:$BX$1,0),FALSE),"")</f>
        <v/>
      </c>
      <c r="BN105" s="227"/>
      <c r="BO105" s="227"/>
      <c r="BP105" s="227"/>
      <c r="BQ105" s="227" t="str">
        <f>IF($BF105="ja",VLOOKUP($B105,'Egen hetvattenprod'!$B$1:$BX$550,MATCH("Tillförd olja (fossil) vid avfallsförbränning (GWh)",'Egen hetvattenprod'!$B$1:$BX$1,0),FALSE),"")</f>
        <v/>
      </c>
      <c r="BR105" s="227" t="str">
        <f>IF($BF105="ja",VLOOKUP($B105,Kraftvärmeprod!$B$1:$BX$550,MATCH("Tillförd olja (fossil) vid avfallsförbränning (GWh)",Kraftvärmeprod!$B$1:$BX$1,0),FALSE),"")</f>
        <v/>
      </c>
      <c r="BS105" s="227"/>
      <c r="BT105" s="227"/>
      <c r="BU105" s="227"/>
    </row>
    <row r="106" spans="1:73" x14ac:dyDescent="0.25">
      <c r="A106" s="121" t="str">
        <f>'Miljövärden för publ företag'!B109</f>
        <v>Hedemora Energi AB</v>
      </c>
      <c r="B106" s="121" t="str">
        <f>'Miljövärden för publ företag'!C109</f>
        <v>Säter</v>
      </c>
      <c r="C106" s="173">
        <f>IFERROR(VLOOKUP($B106,Totalt!$B$1:$AQ$554,MATCH(C$2,Totalt!$B$1:$AQ$1,0),FALSE),"")</f>
        <v>0</v>
      </c>
      <c r="D106" s="173">
        <f>IFERROR(VLOOKUP($B106,Totalt!$B$1:$AQ$554,MATCH(D$2,Totalt!$B$1:$AQ$1,0),FALSE),"")</f>
        <v>2.2000000000000002</v>
      </c>
      <c r="E106" s="173">
        <f>IFERROR(VLOOKUP($B106,Totalt!$B$1:$AQ$554,MATCH(E$2,Totalt!$B$1:$AQ$1,0),FALSE),"")</f>
        <v>0</v>
      </c>
      <c r="F106" s="173">
        <f>IFERROR(VLOOKUP($B106,Totalt!$B$1:$AQ$554,MATCH(F$2,Totalt!$B$1:$AQ$1,0),FALSE),"")</f>
        <v>0</v>
      </c>
      <c r="G106" s="173">
        <f>IFERROR(VLOOKUP($B106,Totalt!$B$1:$AQ$554,MATCH(G$2,Totalt!$B$1:$AQ$1,0),FALSE),"")</f>
        <v>0</v>
      </c>
      <c r="H106" s="173">
        <f>IFERROR(VLOOKUP($B106,Totalt!$B$1:$AQ$554,MATCH(H$2,Totalt!$B$1:$AQ$1,0),FALSE),"")</f>
        <v>0</v>
      </c>
      <c r="I106" s="173">
        <f>IFERROR(VLOOKUP($B106,Totalt!$B$1:$AQ$554,MATCH(I$2,Totalt!$B$1:$AQ$1,0),FALSE),"")</f>
        <v>0</v>
      </c>
      <c r="J106" s="173">
        <f>IFERROR(VLOOKUP($B106,Totalt!$B$1:$AQ$554,MATCH(J$2,Totalt!$B$1:$AQ$1,0),FALSE),"")</f>
        <v>0</v>
      </c>
      <c r="K106" s="173">
        <f>IFERROR(VLOOKUP($B106,Totalt!$B$1:$AQ$554,MATCH(K$2,Totalt!$B$1:$AQ$1,0),FALSE),"")</f>
        <v>0</v>
      </c>
      <c r="L106" s="173">
        <f>IFERROR(VLOOKUP($B106,Totalt!$B$1:$AQ$554,MATCH(L$2,Totalt!$B$1:$AQ$1,0),FALSE),"")</f>
        <v>0</v>
      </c>
      <c r="M106" s="173">
        <f>IFERROR(VLOOKUP($B106,Totalt!$B$1:$AQ$554,MATCH(M$2,Totalt!$B$1:$AQ$1,0),FALSE),"")</f>
        <v>10.033200000000001</v>
      </c>
      <c r="N106" s="173">
        <f>IFERROR(VLOOKUP($B106,Totalt!$B$1:$AQ$554,MATCH(N$2,Totalt!$B$1:$AQ$1,0),FALSE),"")</f>
        <v>10.101900000000001</v>
      </c>
      <c r="O106" s="173">
        <f>IFERROR(VLOOKUP($B106,Totalt!$B$1:$AQ$554,MATCH(O$2,Totalt!$B$1:$AQ$1,0),FALSE),"")</f>
        <v>10.101900000000001</v>
      </c>
      <c r="P106" s="173">
        <f>IFERROR(VLOOKUP($B106,Totalt!$B$1:$AQ$554,MATCH(P$2,Totalt!$B$1:$AQ$1,0),FALSE),"")</f>
        <v>10.033200000000001</v>
      </c>
      <c r="Q106" s="173">
        <f>IFERROR(VLOOKUP($B106,Totalt!$B$1:$AQ$554,MATCH(Q$2,Totalt!$B$1:$AQ$1,0),FALSE),"")</f>
        <v>10.101900000000001</v>
      </c>
      <c r="R106" s="173">
        <f>IFERROR(VLOOKUP($B106,Totalt!$B$1:$AQ$554,MATCH(R$2,Totalt!$B$1:$AQ$1,0),FALSE),"")</f>
        <v>0</v>
      </c>
      <c r="S106" s="173">
        <f>IFERROR(VLOOKUP($B106,Totalt!$B$1:$AQ$554,MATCH(S$2,Totalt!$B$1:$AQ$1,0),FALSE),"")</f>
        <v>0</v>
      </c>
      <c r="T106" s="173">
        <f>IFERROR(VLOOKUP($B106,Totalt!$B$1:$AQ$554,MATCH(T$2,Totalt!$B$1:$AQ$1,0),FALSE),"")</f>
        <v>0</v>
      </c>
      <c r="U106" s="173">
        <f>IFERROR(VLOOKUP($B106,Totalt!$B$1:$AQ$554,MATCH(U$2,Totalt!$B$1:$AQ$1,0),FALSE),"")</f>
        <v>0</v>
      </c>
      <c r="V106" s="173">
        <f>IFERROR(VLOOKUP($B106,Totalt!$B$1:$AQ$554,MATCH(V$2,Totalt!$B$1:$AQ$1,0),FALSE),"")</f>
        <v>0</v>
      </c>
      <c r="W106" s="173">
        <f>IFERROR(VLOOKUP($B106,Totalt!$B$1:$AQ$554,MATCH(W$2,Totalt!$B$1:$AQ$1,0),FALSE),"")</f>
        <v>0</v>
      </c>
      <c r="X106" s="173">
        <f>IFERROR(VLOOKUP($B106,Totalt!$B$1:$AQ$554,MATCH(X$2,Totalt!$B$1:$AQ$1,0),FALSE),"")</f>
        <v>0</v>
      </c>
      <c r="Y106" s="173">
        <f>IFERROR(VLOOKUP($B106,Totalt!$B$1:$AQ$554,MATCH(Y$2,Totalt!$B$1:$AQ$1,0),FALSE),"")</f>
        <v>0</v>
      </c>
      <c r="Z106" s="173">
        <f>IFERROR(VLOOKUP($B106,Totalt!$B$1:$AQ$554,MATCH(Z$2,Totalt!$B$1:$AQ$1,0),FALSE),"")</f>
        <v>0</v>
      </c>
      <c r="AA106" s="173">
        <f>IFERROR(VLOOKUP($B106,Totalt!$B$1:$AQ$554,MATCH(AA$2,Totalt!$B$1:$AQ$1,0),FALSE),"")</f>
        <v>0</v>
      </c>
      <c r="AB106" s="173">
        <f>IFERROR(VLOOKUP($B106,Totalt!$B$1:$AQ$554,MATCH(AB$2,Totalt!$B$1:$AQ$1,0),FALSE),"")</f>
        <v>0</v>
      </c>
      <c r="AC106" s="173">
        <f>IFERROR(VLOOKUP($B106,Totalt!$B$1:$AQ$554,MATCH(AC$2,Totalt!$B$1:$AQ$1,0),FALSE),"")</f>
        <v>6.28</v>
      </c>
      <c r="AD106" s="173">
        <f>IFERROR(VLOOKUP($B106,Totalt!$B$1:$AQ$554,MATCH(AD$2,Totalt!$B$1:$AQ$1,0),FALSE),"")</f>
        <v>0</v>
      </c>
      <c r="AE106" s="173">
        <f>IFERROR(VLOOKUP($B106,Totalt!$B$1:$AQ$554,MATCH(AE$2,Totalt!$B$1:$AQ$1,0),FALSE),"")</f>
        <v>0</v>
      </c>
      <c r="AF106" s="173">
        <f>IFERROR(VLOOKUP($B106,Totalt!$B$1:$AQ$554,MATCH(AF$2,Totalt!$B$1:$AQ$1,0),FALSE),"")</f>
        <v>2.1621999999999999</v>
      </c>
      <c r="AG106" s="173">
        <f>IFERROR(VLOOKUP($B106,Totalt!$B$1:$AQ$554,MATCH(AG$2,Totalt!$B$1:$AQ$1,0),FALSE),"")</f>
        <v>0</v>
      </c>
      <c r="AI106" s="226">
        <f t="shared" si="6"/>
        <v>61.014299999999999</v>
      </c>
      <c r="AJ106" s="226">
        <f>IF(ISERROR(1/VLOOKUP($B106,Leveranser!$B$1:$S$500,MATCH("såld värme (gwh)",Leveranser!$B$1:$S$1,0),FALSE)),"",VLOOKUP($B106,Leveranser!$B$1:$S$500,MATCH("såld värme (gwh)",Leveranser!$B$1:$S$1,0),FALSE))</f>
        <v>50.14</v>
      </c>
      <c r="AM106" s="227" t="str">
        <f>IF(B106&lt;&gt;"",IF(VLOOKUP($B106,Totalt!$B$1:$AQ$554,MATCH("Kvalitetsgranskad:",Totalt!$B$1:$AQ$1,0),FALSE)="ja",VLOOKUP($B106,Miljö!$B$1:$AG$479,MATCH(AM$2,Miljö!$B$1:$AK$1,0),FALSE),""),"")</f>
        <v>Nej</v>
      </c>
      <c r="AN106" s="227" t="str">
        <f>IF(AM106="ja",VLOOKUP($B106,Miljö!$B$1:$J$479,MATCH("Typ av ursprungsspecificerad el   (Om inget värde anges används Nordisk residualmix, se inforuta) ()",Miljö!$B$1:$J$1,0),FALSE),IF(AM106="nej","Nordisk residualel",""))</f>
        <v>Nordisk residualel</v>
      </c>
      <c r="AO106" s="227">
        <f>IF(AM106="","",VLOOKUP($B106,Miljö!$B$1:$J$479,MATCH("Fossilandel för ursprungspecificerad el ()",Miljö!$B$1:$J$1,0),FALSE))</f>
        <v>0.43</v>
      </c>
      <c r="AP106" s="227">
        <f>IF(AM106="","",IFERROR(VLOOKUP($B106,Miljö!$B$1:$J$479,MATCH("Kärnkraftsandel för ursprungsspecificerad el ()",Miljö!$B$1:$J$1,0),FALSE)/1,0))</f>
        <v>0.40550000000000003</v>
      </c>
      <c r="AQ106" s="227">
        <f t="shared" si="7"/>
        <v>0.16450000000000004</v>
      </c>
      <c r="AR106" s="227"/>
      <c r="AS106" s="227" t="str">
        <f t="shared" si="8"/>
        <v>Nej</v>
      </c>
      <c r="AT106" s="227" t="str">
        <f>IF(AS106="ja",VLOOKUP($B106,Miljö!$B$1:$O$500,MATCH("Fossil andel i procent (%)",Miljö!$B$1:$O$1,0),FALSE)/100,"")</f>
        <v/>
      </c>
      <c r="AU106" s="227"/>
      <c r="AV106" s="227" t="str">
        <f t="shared" si="9"/>
        <v>Nej</v>
      </c>
      <c r="AW106" s="227" t="str">
        <f>IF(AV106="ja",VLOOKUP($B106,'Egen hetvattenprod'!$B$1:$AO$500,MATCH("Värmekälla till värmepumpar ()",'Egen hetvattenprod'!$B$1:$AO$1,0),FALSE),"")</f>
        <v/>
      </c>
      <c r="AX106" s="227"/>
      <c r="AY106" s="227" t="str">
        <f t="shared" si="10"/>
        <v>Ja</v>
      </c>
      <c r="AZ106" s="228">
        <f>IF($AY106="ja",(VLOOKUP($B106,'Egen hetvattenprod'!$B$1:$BX$550,MATCH(AZ$2,'Egen hetvattenprod'!$B$1:$BX$1,0),FALSE)+VLOOKUP($B106,Kraftvärmeprod!$B$1:$BX$550,MATCH(AZ$2,Kraftvärmeprod!$B$1:$BX$1,0),FALSE))/$AC106,"")</f>
        <v>0.99999999999999989</v>
      </c>
      <c r="BA106" s="228">
        <f>IF($AY106="ja",(VLOOKUP($B106,'Egen hetvattenprod'!$B$1:$BX$550,MATCH(BA$2,'Egen hetvattenprod'!$B$1:$BX$1,0),FALSE)+VLOOKUP($B106,Kraftvärmeprod!$B$1:$BX$550,MATCH(BA$2,Kraftvärmeprod!$B$1:$BX$1,0),FALSE))/$AC106,"")</f>
        <v>0</v>
      </c>
      <c r="BB106" s="228">
        <f>IF($AY106="ja",(VLOOKUP($B106,'Egen hetvattenprod'!$B$1:$BX$550,MATCH(BB$2,'Egen hetvattenprod'!$B$1:$BX$1,0),FALSE)+VLOOKUP($B106,Kraftvärmeprod!$B$1:$BX$550,MATCH(BB$2,Kraftvärmeprod!$B$1:$BX$1,0),FALSE))/$AC106,"")</f>
        <v>0</v>
      </c>
      <c r="BC106" s="228">
        <f>IF($AY106="ja",(VLOOKUP($B106,'Egen hetvattenprod'!$B$1:$BX$550,MATCH(BC$2,'Egen hetvattenprod'!$B$1:$BX$1,0),FALSE)+VLOOKUP($B106,Kraftvärmeprod!$B$1:$BX$550,MATCH(BC$2,Kraftvärmeprod!$B$1:$BX$1,0),FALSE))/$AC106,"")</f>
        <v>0</v>
      </c>
      <c r="BD106" s="228">
        <f>IF($AY106="ja",(VLOOKUP($B106,'Egen hetvattenprod'!$B$1:$BX$550,MATCH(BD$2,'Egen hetvattenprod'!$B$1:$BX$1,0),FALSE)+VLOOKUP($B106,Kraftvärmeprod!$B$1:$BX$550,MATCH(BD$2,Kraftvärmeprod!$B$1:$BX$1,0),FALSE))/$AC106,"")</f>
        <v>0</v>
      </c>
      <c r="BE106" s="227"/>
      <c r="BF106" s="227" t="str">
        <f t="shared" si="11"/>
        <v>Nej</v>
      </c>
      <c r="BG106" s="227" t="str">
        <f>IF($BF106="ja",VLOOKUP($B106,'Egen hetvattenprod'!$B$1:$BX$550,MATCH("Andelen klimatgaser med fossilt ursprung för avfall ()",'Egen hetvattenprod'!$B$1:$BX$1,0),FALSE),"")</f>
        <v/>
      </c>
      <c r="BH106" s="227" t="str">
        <f>IF($BF106="ja",VLOOKUP($B106,Kraftvärmeprod!$B$1:$BX$550,MATCH("Andelen klimatgaser med fossilt ursprung för avfall ()",Kraftvärmeprod!$B$1:$BX$1,0),FALSE),"")</f>
        <v/>
      </c>
      <c r="BI106" s="227" t="str">
        <f>IF($BF106="ja",VLOOKUP($B106,'Egen hetvattenprod'!$B$1:$BX$550,MATCH("Avfall (GWh)",'Egen hetvattenprod'!$B$1:$BX$1,0),FALSE),"")</f>
        <v/>
      </c>
      <c r="BJ106" s="227" t="str">
        <f>IF($BF106="ja",VLOOKUP($B106,'Slutlig allokering kvv'!$B$1:$BX$550,MATCH("Avfall (GWh)",'Slutlig allokering kvv'!$B$1:$BX$1,0),FALSE),"")</f>
        <v/>
      </c>
      <c r="BK106" s="227" t="str">
        <f>IF($BF106="ja",VLOOKUP($B106,'Köpt hetvatten'!$B$1:$BX$550,MATCH("Avfall i köpt hetvatten",'Köpt hetvatten'!$B$1:$BX$1,0),FALSE),"")</f>
        <v/>
      </c>
      <c r="BL106" s="227" t="str">
        <f>IF($BF106="ja",VLOOKUP($B106,'Egen hetvattenprod'!$B$1:$BX$550,MATCH("Värde enligt ovan. (%)",'Egen hetvattenprod'!$B$1:$BX$1,0),FALSE),"")</f>
        <v/>
      </c>
      <c r="BM106" s="227" t="str">
        <f>IF($BF106="ja",VLOOKUP($B106,Kraftvärmeprod!$B$1:$BX$550,MATCH("Värde enligt ovan. (%)",Kraftvärmeprod!$B$1:$BX$1,0),FALSE),"")</f>
        <v/>
      </c>
      <c r="BN106" s="227"/>
      <c r="BO106" s="227"/>
      <c r="BP106" s="227"/>
      <c r="BQ106" s="227" t="str">
        <f>IF($BF106="ja",VLOOKUP($B106,'Egen hetvattenprod'!$B$1:$BX$550,MATCH("Tillförd olja (fossil) vid avfallsförbränning (GWh)",'Egen hetvattenprod'!$B$1:$BX$1,0),FALSE),"")</f>
        <v/>
      </c>
      <c r="BR106" s="227" t="str">
        <f>IF($BF106="ja",VLOOKUP($B106,Kraftvärmeprod!$B$1:$BX$550,MATCH("Tillförd olja (fossil) vid avfallsförbränning (GWh)",Kraftvärmeprod!$B$1:$BX$1,0),FALSE),"")</f>
        <v/>
      </c>
      <c r="BS106" s="227"/>
      <c r="BT106" s="227"/>
      <c r="BU106" s="227"/>
    </row>
    <row r="107" spans="1:73" x14ac:dyDescent="0.25">
      <c r="A107" s="121" t="str">
        <f>'Miljövärden för publ företag'!B110</f>
        <v>Herrljunga Elektriska AB</v>
      </c>
      <c r="B107" s="121" t="str">
        <f>'Miljövärden för publ företag'!C110</f>
        <v>Herrljunga</v>
      </c>
      <c r="C107" s="173">
        <f>IFERROR(VLOOKUP($B107,Totalt!$B$1:$AQ$554,MATCH(C$2,Totalt!$B$1:$AQ$1,0),FALSE),"")</f>
        <v>0</v>
      </c>
      <c r="D107" s="173">
        <f>IFERROR(VLOOKUP($B107,Totalt!$B$1:$AQ$554,MATCH(D$2,Totalt!$B$1:$AQ$1,0),FALSE),"")</f>
        <v>0.50346999999999997</v>
      </c>
      <c r="E107" s="173">
        <f>IFERROR(VLOOKUP($B107,Totalt!$B$1:$AQ$554,MATCH(E$2,Totalt!$B$1:$AQ$1,0),FALSE),"")</f>
        <v>0</v>
      </c>
      <c r="F107" s="173">
        <f>IFERROR(VLOOKUP($B107,Totalt!$B$1:$AQ$554,MATCH(F$2,Totalt!$B$1:$AQ$1,0),FALSE),"")</f>
        <v>0</v>
      </c>
      <c r="G107" s="173">
        <f>IFERROR(VLOOKUP($B107,Totalt!$B$1:$AQ$554,MATCH(G$2,Totalt!$B$1:$AQ$1,0),FALSE),"")</f>
        <v>0</v>
      </c>
      <c r="H107" s="173">
        <f>IFERROR(VLOOKUP($B107,Totalt!$B$1:$AQ$554,MATCH(H$2,Totalt!$B$1:$AQ$1,0),FALSE),"")</f>
        <v>0</v>
      </c>
      <c r="I107" s="173">
        <f>IFERROR(VLOOKUP($B107,Totalt!$B$1:$AQ$554,MATCH(I$2,Totalt!$B$1:$AQ$1,0),FALSE),"")</f>
        <v>0</v>
      </c>
      <c r="J107" s="173">
        <f>IFERROR(VLOOKUP($B107,Totalt!$B$1:$AQ$554,MATCH(J$2,Totalt!$B$1:$AQ$1,0),FALSE),"")</f>
        <v>0</v>
      </c>
      <c r="K107" s="173">
        <f>IFERROR(VLOOKUP($B107,Totalt!$B$1:$AQ$554,MATCH(K$2,Totalt!$B$1:$AQ$1,0),FALSE),"")</f>
        <v>0</v>
      </c>
      <c r="L107" s="173">
        <f>IFERROR(VLOOKUP($B107,Totalt!$B$1:$AQ$554,MATCH(L$2,Totalt!$B$1:$AQ$1,0),FALSE),"")</f>
        <v>0</v>
      </c>
      <c r="M107" s="173">
        <f>IFERROR(VLOOKUP($B107,Totalt!$B$1:$AQ$554,MATCH(M$2,Totalt!$B$1:$AQ$1,0),FALSE),"")</f>
        <v>0</v>
      </c>
      <c r="N107" s="173">
        <f>IFERROR(VLOOKUP($B107,Totalt!$B$1:$AQ$554,MATCH(N$2,Totalt!$B$1:$AQ$1,0),FALSE),"")</f>
        <v>0</v>
      </c>
      <c r="O107" s="173">
        <f>IFERROR(VLOOKUP($B107,Totalt!$B$1:$AQ$554,MATCH(O$2,Totalt!$B$1:$AQ$1,0),FALSE),"")</f>
        <v>0</v>
      </c>
      <c r="P107" s="173">
        <f>IFERROR(VLOOKUP($B107,Totalt!$B$1:$AQ$554,MATCH(P$2,Totalt!$B$1:$AQ$1,0),FALSE),"")</f>
        <v>0</v>
      </c>
      <c r="Q107" s="173">
        <f>IFERROR(VLOOKUP($B107,Totalt!$B$1:$AQ$554,MATCH(Q$2,Totalt!$B$1:$AQ$1,0),FALSE),"")</f>
        <v>26.267099999999999</v>
      </c>
      <c r="R107" s="173">
        <f>IFERROR(VLOOKUP($B107,Totalt!$B$1:$AQ$554,MATCH(R$2,Totalt!$B$1:$AQ$1,0),FALSE),"")</f>
        <v>0</v>
      </c>
      <c r="S107" s="173">
        <f>IFERROR(VLOOKUP($B107,Totalt!$B$1:$AQ$554,MATCH(S$2,Totalt!$B$1:$AQ$1,0),FALSE),"")</f>
        <v>0</v>
      </c>
      <c r="T107" s="173">
        <f>IFERROR(VLOOKUP($B107,Totalt!$B$1:$AQ$554,MATCH(T$2,Totalt!$B$1:$AQ$1,0),FALSE),"")</f>
        <v>0</v>
      </c>
      <c r="U107" s="173">
        <f>IFERROR(VLOOKUP($B107,Totalt!$B$1:$AQ$554,MATCH(U$2,Totalt!$B$1:$AQ$1,0),FALSE),"")</f>
        <v>0</v>
      </c>
      <c r="V107" s="173">
        <f>IFERROR(VLOOKUP($B107,Totalt!$B$1:$AQ$554,MATCH(V$2,Totalt!$B$1:$AQ$1,0),FALSE),"")</f>
        <v>0</v>
      </c>
      <c r="W107" s="173">
        <f>IFERROR(VLOOKUP($B107,Totalt!$B$1:$AQ$554,MATCH(W$2,Totalt!$B$1:$AQ$1,0),FALSE),"")</f>
        <v>0</v>
      </c>
      <c r="X107" s="173">
        <f>IFERROR(VLOOKUP($B107,Totalt!$B$1:$AQ$554,MATCH(X$2,Totalt!$B$1:$AQ$1,0),FALSE),"")</f>
        <v>0</v>
      </c>
      <c r="Y107" s="173">
        <f>IFERROR(VLOOKUP($B107,Totalt!$B$1:$AQ$554,MATCH(Y$2,Totalt!$B$1:$AQ$1,0),FALSE),"")</f>
        <v>0</v>
      </c>
      <c r="Z107" s="173">
        <f>IFERROR(VLOOKUP($B107,Totalt!$B$1:$AQ$554,MATCH(Z$2,Totalt!$B$1:$AQ$1,0),FALSE),"")</f>
        <v>0</v>
      </c>
      <c r="AA107" s="173">
        <f>IFERROR(VLOOKUP($B107,Totalt!$B$1:$AQ$554,MATCH(AA$2,Totalt!$B$1:$AQ$1,0),FALSE),"")</f>
        <v>0</v>
      </c>
      <c r="AB107" s="173">
        <f>IFERROR(VLOOKUP($B107,Totalt!$B$1:$AQ$554,MATCH(AB$2,Totalt!$B$1:$AQ$1,0),FALSE),"")</f>
        <v>0</v>
      </c>
      <c r="AC107" s="173">
        <f>IFERROR(VLOOKUP($B107,Totalt!$B$1:$AQ$554,MATCH(AC$2,Totalt!$B$1:$AQ$1,0),FALSE),"")</f>
        <v>0</v>
      </c>
      <c r="AD107" s="173">
        <f>IFERROR(VLOOKUP($B107,Totalt!$B$1:$AQ$554,MATCH(AD$2,Totalt!$B$1:$AQ$1,0),FALSE),"")</f>
        <v>0</v>
      </c>
      <c r="AE107" s="173">
        <f>IFERROR(VLOOKUP($B107,Totalt!$B$1:$AQ$554,MATCH(AE$2,Totalt!$B$1:$AQ$1,0),FALSE),"")</f>
        <v>0</v>
      </c>
      <c r="AF107" s="173">
        <f>IFERROR(VLOOKUP($B107,Totalt!$B$1:$AQ$554,MATCH(AF$2,Totalt!$B$1:$AQ$1,0),FALSE),"")</f>
        <v>4.752E-2</v>
      </c>
      <c r="AG107" s="173">
        <f>IFERROR(VLOOKUP($B107,Totalt!$B$1:$AQ$554,MATCH(AG$2,Totalt!$B$1:$AQ$1,0),FALSE),"")</f>
        <v>0</v>
      </c>
      <c r="AI107" s="226">
        <f t="shared" si="6"/>
        <v>26.818089999999998</v>
      </c>
      <c r="AJ107" s="226">
        <f>IF(ISERROR(1/VLOOKUP($B107,Leveranser!$B$1:$S$500,MATCH("såld värme (gwh)",Leveranser!$B$1:$S$1,0),FALSE)),"",VLOOKUP($B107,Leveranser!$B$1:$S$500,MATCH("såld värme (gwh)",Leveranser!$B$1:$S$1,0),FALSE))</f>
        <v>18.896000000000001</v>
      </c>
      <c r="AM107" s="227" t="str">
        <f>IF(B107&lt;&gt;"",IF(VLOOKUP($B107,Totalt!$B$1:$AQ$554,MATCH("Kvalitetsgranskad:",Totalt!$B$1:$AQ$1,0),FALSE)="ja",VLOOKUP($B107,Miljö!$B$1:$AG$479,MATCH(AM$2,Miljö!$B$1:$AK$1,0),FALSE),""),"")</f>
        <v>Ja</v>
      </c>
      <c r="AN107" s="227" t="str">
        <f>IF(AM107="ja",VLOOKUP($B107,Miljö!$B$1:$J$479,MATCH("Typ av ursprungsspecificerad el   (Om inget värde anges används Nordisk residualmix, se inforuta) ()",Miljö!$B$1:$J$1,0),FALSE),IF(AM107="nej","Nordisk residualel",""))</f>
        <v>-</v>
      </c>
      <c r="AO107" s="227">
        <f>IF(AM107="","",VLOOKUP($B107,Miljö!$B$1:$J$479,MATCH("Fossilandel för ursprungspecificerad el ()",Miljö!$B$1:$J$1,0),FALSE))</f>
        <v>0.42699999999999999</v>
      </c>
      <c r="AP107" s="227">
        <f>IF(AM107="","",IFERROR(VLOOKUP($B107,Miljö!$B$1:$J$479,MATCH("Kärnkraftsandel för ursprungsspecificerad el ()",Miljö!$B$1:$J$1,0),FALSE)/1,0))</f>
        <v>0.40600000000000003</v>
      </c>
      <c r="AQ107" s="227">
        <f t="shared" si="7"/>
        <v>0.16699999999999993</v>
      </c>
      <c r="AR107" s="227"/>
      <c r="AS107" s="227" t="str">
        <f t="shared" si="8"/>
        <v>Nej</v>
      </c>
      <c r="AT107" s="227" t="str">
        <f>IF(AS107="ja",VLOOKUP($B107,Miljö!$B$1:$O$500,MATCH("Fossil andel i procent (%)",Miljö!$B$1:$O$1,0),FALSE)/100,"")</f>
        <v/>
      </c>
      <c r="AU107" s="227"/>
      <c r="AV107" s="227" t="str">
        <f t="shared" si="9"/>
        <v>Nej</v>
      </c>
      <c r="AW107" s="227" t="str">
        <f>IF(AV107="ja",VLOOKUP($B107,'Egen hetvattenprod'!$B$1:$AO$500,MATCH("Värmekälla till värmepumpar ()",'Egen hetvattenprod'!$B$1:$AO$1,0),FALSE),"")</f>
        <v/>
      </c>
      <c r="AX107" s="227"/>
      <c r="AY107" s="227" t="str">
        <f t="shared" si="10"/>
        <v>Nej</v>
      </c>
      <c r="AZ107" s="228" t="str">
        <f>IF($AY107="ja",(VLOOKUP($B107,'Egen hetvattenprod'!$B$1:$BX$550,MATCH(AZ$2,'Egen hetvattenprod'!$B$1:$BX$1,0),FALSE)+VLOOKUP($B107,Kraftvärmeprod!$B$1:$BX$550,MATCH(AZ$2,Kraftvärmeprod!$B$1:$BX$1,0),FALSE))/$AC107,"")</f>
        <v/>
      </c>
      <c r="BA107" s="228" t="str">
        <f>IF($AY107="ja",(VLOOKUP($B107,'Egen hetvattenprod'!$B$1:$BX$550,MATCH(BA$2,'Egen hetvattenprod'!$B$1:$BX$1,0),FALSE)+VLOOKUP($B107,Kraftvärmeprod!$B$1:$BX$550,MATCH(BA$2,Kraftvärmeprod!$B$1:$BX$1,0),FALSE))/$AC107,"")</f>
        <v/>
      </c>
      <c r="BB107" s="228" t="str">
        <f>IF($AY107="ja",(VLOOKUP($B107,'Egen hetvattenprod'!$B$1:$BX$550,MATCH(BB$2,'Egen hetvattenprod'!$B$1:$BX$1,0),FALSE)+VLOOKUP($B107,Kraftvärmeprod!$B$1:$BX$550,MATCH(BB$2,Kraftvärmeprod!$B$1:$BX$1,0),FALSE))/$AC107,"")</f>
        <v/>
      </c>
      <c r="BC107" s="228" t="str">
        <f>IF($AY107="ja",(VLOOKUP($B107,'Egen hetvattenprod'!$B$1:$BX$550,MATCH(BC$2,'Egen hetvattenprod'!$B$1:$BX$1,0),FALSE)+VLOOKUP($B107,Kraftvärmeprod!$B$1:$BX$550,MATCH(BC$2,Kraftvärmeprod!$B$1:$BX$1,0),FALSE))/$AC107,"")</f>
        <v/>
      </c>
      <c r="BD107" s="228" t="str">
        <f>IF($AY107="ja",(VLOOKUP($B107,'Egen hetvattenprod'!$B$1:$BX$550,MATCH(BD$2,'Egen hetvattenprod'!$B$1:$BX$1,0),FALSE)+VLOOKUP($B107,Kraftvärmeprod!$B$1:$BX$550,MATCH(BD$2,Kraftvärmeprod!$B$1:$BX$1,0),FALSE))/$AC107,"")</f>
        <v/>
      </c>
      <c r="BE107" s="227"/>
      <c r="BF107" s="227" t="str">
        <f t="shared" si="11"/>
        <v>Nej</v>
      </c>
      <c r="BG107" s="227" t="str">
        <f>IF($BF107="ja",VLOOKUP($B107,'Egen hetvattenprod'!$B$1:$BX$550,MATCH("Andelen klimatgaser med fossilt ursprung för avfall ()",'Egen hetvattenprod'!$B$1:$BX$1,0),FALSE),"")</f>
        <v/>
      </c>
      <c r="BH107" s="227" t="str">
        <f>IF($BF107="ja",VLOOKUP($B107,Kraftvärmeprod!$B$1:$BX$550,MATCH("Andelen klimatgaser med fossilt ursprung för avfall ()",Kraftvärmeprod!$B$1:$BX$1,0),FALSE),"")</f>
        <v/>
      </c>
      <c r="BI107" s="227" t="str">
        <f>IF($BF107="ja",VLOOKUP($B107,'Egen hetvattenprod'!$B$1:$BX$550,MATCH("Avfall (GWh)",'Egen hetvattenprod'!$B$1:$BX$1,0),FALSE),"")</f>
        <v/>
      </c>
      <c r="BJ107" s="227" t="str">
        <f>IF($BF107="ja",VLOOKUP($B107,'Slutlig allokering kvv'!$B$1:$BX$550,MATCH("Avfall (GWh)",'Slutlig allokering kvv'!$B$1:$BX$1,0),FALSE),"")</f>
        <v/>
      </c>
      <c r="BK107" s="227" t="str">
        <f>IF($BF107="ja",VLOOKUP($B107,'Köpt hetvatten'!$B$1:$BX$550,MATCH("Avfall i köpt hetvatten",'Köpt hetvatten'!$B$1:$BX$1,0),FALSE),"")</f>
        <v/>
      </c>
      <c r="BL107" s="227" t="str">
        <f>IF($BF107="ja",VLOOKUP($B107,'Egen hetvattenprod'!$B$1:$BX$550,MATCH("Värde enligt ovan. (%)",'Egen hetvattenprod'!$B$1:$BX$1,0),FALSE),"")</f>
        <v/>
      </c>
      <c r="BM107" s="227" t="str">
        <f>IF($BF107="ja",VLOOKUP($B107,Kraftvärmeprod!$B$1:$BX$550,MATCH("Värde enligt ovan. (%)",Kraftvärmeprod!$B$1:$BX$1,0),FALSE),"")</f>
        <v/>
      </c>
      <c r="BN107" s="227"/>
      <c r="BO107" s="227"/>
      <c r="BP107" s="227"/>
      <c r="BQ107" s="227" t="str">
        <f>IF($BF107="ja",VLOOKUP($B107,'Egen hetvattenprod'!$B$1:$BX$550,MATCH("Tillförd olja (fossil) vid avfallsförbränning (GWh)",'Egen hetvattenprod'!$B$1:$BX$1,0),FALSE),"")</f>
        <v/>
      </c>
      <c r="BR107" s="227" t="str">
        <f>IF($BF107="ja",VLOOKUP($B107,Kraftvärmeprod!$B$1:$BX$550,MATCH("Tillförd olja (fossil) vid avfallsförbränning (GWh)",Kraftvärmeprod!$B$1:$BX$1,0),FALSE),"")</f>
        <v/>
      </c>
      <c r="BS107" s="227"/>
      <c r="BT107" s="227"/>
      <c r="BU107" s="227"/>
    </row>
    <row r="108" spans="1:73" x14ac:dyDescent="0.25">
      <c r="A108" s="121" t="str">
        <f>'Miljövärden för publ företag'!B111</f>
        <v>Hjo Energi AB</v>
      </c>
      <c r="B108" s="121" t="str">
        <f>'Miljövärden för publ företag'!C111</f>
        <v>Hjo</v>
      </c>
      <c r="C108" s="173">
        <f>IFERROR(VLOOKUP($B108,Totalt!$B$1:$AQ$554,MATCH(C$2,Totalt!$B$1:$AQ$1,0),FALSE),"")</f>
        <v>0</v>
      </c>
      <c r="D108" s="173">
        <f>IFERROR(VLOOKUP($B108,Totalt!$B$1:$AQ$554,MATCH(D$2,Totalt!$B$1:$AQ$1,0),FALSE),"")</f>
        <v>0.3</v>
      </c>
      <c r="E108" s="173">
        <f>IFERROR(VLOOKUP($B108,Totalt!$B$1:$AQ$554,MATCH(E$2,Totalt!$B$1:$AQ$1,0),FALSE),"")</f>
        <v>0</v>
      </c>
      <c r="F108" s="173">
        <f>IFERROR(VLOOKUP($B108,Totalt!$B$1:$AQ$554,MATCH(F$2,Totalt!$B$1:$AQ$1,0),FALSE),"")</f>
        <v>0</v>
      </c>
      <c r="G108" s="173">
        <f>IFERROR(VLOOKUP($B108,Totalt!$B$1:$AQ$554,MATCH(G$2,Totalt!$B$1:$AQ$1,0),FALSE),"")</f>
        <v>0</v>
      </c>
      <c r="H108" s="173">
        <f>IFERROR(VLOOKUP($B108,Totalt!$B$1:$AQ$554,MATCH(H$2,Totalt!$B$1:$AQ$1,0),FALSE),"")</f>
        <v>0</v>
      </c>
      <c r="I108" s="173">
        <f>IFERROR(VLOOKUP($B108,Totalt!$B$1:$AQ$554,MATCH(I$2,Totalt!$B$1:$AQ$1,0),FALSE),"")</f>
        <v>0</v>
      </c>
      <c r="J108" s="173">
        <f>IFERROR(VLOOKUP($B108,Totalt!$B$1:$AQ$554,MATCH(J$2,Totalt!$B$1:$AQ$1,0),FALSE),"")</f>
        <v>0</v>
      </c>
      <c r="K108" s="173">
        <f>IFERROR(VLOOKUP($B108,Totalt!$B$1:$AQ$554,MATCH(K$2,Totalt!$B$1:$AQ$1,0),FALSE),"")</f>
        <v>0</v>
      </c>
      <c r="L108" s="173">
        <f>IFERROR(VLOOKUP($B108,Totalt!$B$1:$AQ$554,MATCH(L$2,Totalt!$B$1:$AQ$1,0),FALSE),"")</f>
        <v>0</v>
      </c>
      <c r="M108" s="173">
        <f>IFERROR(VLOOKUP($B108,Totalt!$B$1:$AQ$554,MATCH(M$2,Totalt!$B$1:$AQ$1,0),FALSE),"")</f>
        <v>0</v>
      </c>
      <c r="N108" s="173">
        <f>IFERROR(VLOOKUP($B108,Totalt!$B$1:$AQ$554,MATCH(N$2,Totalt!$B$1:$AQ$1,0),FALSE),"")</f>
        <v>40.5</v>
      </c>
      <c r="O108" s="173">
        <f>IFERROR(VLOOKUP($B108,Totalt!$B$1:$AQ$554,MATCH(O$2,Totalt!$B$1:$AQ$1,0),FALSE),"")</f>
        <v>0</v>
      </c>
      <c r="P108" s="173">
        <f>IFERROR(VLOOKUP($B108,Totalt!$B$1:$AQ$554,MATCH(P$2,Totalt!$B$1:$AQ$1,0),FALSE),"")</f>
        <v>2.2999999999999998</v>
      </c>
      <c r="Q108" s="173">
        <f>IFERROR(VLOOKUP($B108,Totalt!$B$1:$AQ$554,MATCH(Q$2,Totalt!$B$1:$AQ$1,0),FALSE),"")</f>
        <v>0</v>
      </c>
      <c r="R108" s="173">
        <f>IFERROR(VLOOKUP($B108,Totalt!$B$1:$AQ$554,MATCH(R$2,Totalt!$B$1:$AQ$1,0),FALSE),"")</f>
        <v>0</v>
      </c>
      <c r="S108" s="173">
        <f>IFERROR(VLOOKUP($B108,Totalt!$B$1:$AQ$554,MATCH(S$2,Totalt!$B$1:$AQ$1,0),FALSE),"")</f>
        <v>0</v>
      </c>
      <c r="T108" s="173">
        <f>IFERROR(VLOOKUP($B108,Totalt!$B$1:$AQ$554,MATCH(T$2,Totalt!$B$1:$AQ$1,0),FALSE),"")</f>
        <v>0</v>
      </c>
      <c r="U108" s="173">
        <f>IFERROR(VLOOKUP($B108,Totalt!$B$1:$AQ$554,MATCH(U$2,Totalt!$B$1:$AQ$1,0),FALSE),"")</f>
        <v>0</v>
      </c>
      <c r="V108" s="173">
        <f>IFERROR(VLOOKUP($B108,Totalt!$B$1:$AQ$554,MATCH(V$2,Totalt!$B$1:$AQ$1,0),FALSE),"")</f>
        <v>0</v>
      </c>
      <c r="W108" s="173">
        <f>IFERROR(VLOOKUP($B108,Totalt!$B$1:$AQ$554,MATCH(W$2,Totalt!$B$1:$AQ$1,0),FALSE),"")</f>
        <v>0</v>
      </c>
      <c r="X108" s="173">
        <f>IFERROR(VLOOKUP($B108,Totalt!$B$1:$AQ$554,MATCH(X$2,Totalt!$B$1:$AQ$1,0),FALSE),"")</f>
        <v>0</v>
      </c>
      <c r="Y108" s="173">
        <f>IFERROR(VLOOKUP($B108,Totalt!$B$1:$AQ$554,MATCH(Y$2,Totalt!$B$1:$AQ$1,0),FALSE),"")</f>
        <v>0</v>
      </c>
      <c r="Z108" s="173">
        <f>IFERROR(VLOOKUP($B108,Totalt!$B$1:$AQ$554,MATCH(Z$2,Totalt!$B$1:$AQ$1,0),FALSE),"")</f>
        <v>0</v>
      </c>
      <c r="AA108" s="173">
        <f>IFERROR(VLOOKUP($B108,Totalt!$B$1:$AQ$554,MATCH(AA$2,Totalt!$B$1:$AQ$1,0),FALSE),"")</f>
        <v>0</v>
      </c>
      <c r="AB108" s="173">
        <f>IFERROR(VLOOKUP($B108,Totalt!$B$1:$AQ$554,MATCH(AB$2,Totalt!$B$1:$AQ$1,0),FALSE),"")</f>
        <v>0</v>
      </c>
      <c r="AC108" s="173">
        <f>IFERROR(VLOOKUP($B108,Totalt!$B$1:$AQ$554,MATCH(AC$2,Totalt!$B$1:$AQ$1,0),FALSE),"")</f>
        <v>6</v>
      </c>
      <c r="AD108" s="173">
        <f>IFERROR(VLOOKUP($B108,Totalt!$B$1:$AQ$554,MATCH(AD$2,Totalt!$B$1:$AQ$1,0),FALSE),"")</f>
        <v>0</v>
      </c>
      <c r="AE108" s="173">
        <f>IFERROR(VLOOKUP($B108,Totalt!$B$1:$AQ$554,MATCH(AE$2,Totalt!$B$1:$AQ$1,0),FALSE),"")</f>
        <v>0</v>
      </c>
      <c r="AF108" s="173">
        <f>IFERROR(VLOOKUP($B108,Totalt!$B$1:$AQ$554,MATCH(AF$2,Totalt!$B$1:$AQ$1,0),FALSE),"")</f>
        <v>0.88300000000000001</v>
      </c>
      <c r="AG108" s="173">
        <f>IFERROR(VLOOKUP($B108,Totalt!$B$1:$AQ$554,MATCH(AG$2,Totalt!$B$1:$AQ$1,0),FALSE),"")</f>
        <v>0</v>
      </c>
      <c r="AI108" s="226">
        <f t="shared" si="6"/>
        <v>49.982999999999997</v>
      </c>
      <c r="AJ108" s="226">
        <f>IF(ISERROR(1/VLOOKUP($B108,Leveranser!$B$1:$S$500,MATCH("såld värme (gwh)",Leveranser!$B$1:$S$1,0),FALSE)),"",VLOOKUP($B108,Leveranser!$B$1:$S$500,MATCH("såld värme (gwh)",Leveranser!$B$1:$S$1,0),FALSE))</f>
        <v>33.927999999999997</v>
      </c>
      <c r="AM108" s="227" t="str">
        <f>IF(B108&lt;&gt;"",IF(VLOOKUP($B108,Totalt!$B$1:$AQ$554,MATCH("Kvalitetsgranskad:",Totalt!$B$1:$AQ$1,0),FALSE)="ja",VLOOKUP($B108,Miljö!$B$1:$AG$479,MATCH(AM$2,Miljö!$B$1:$AK$1,0),FALSE),""),"")</f>
        <v>Ja</v>
      </c>
      <c r="AN108" s="227" t="str">
        <f>IF(AM108="ja",VLOOKUP($B108,Miljö!$B$1:$J$479,MATCH("Typ av ursprungsspecificerad el   (Om inget värde anges används Nordisk residualmix, se inforuta) ()",Miljö!$B$1:$J$1,0),FALSE),IF(AM108="nej","Nordisk residualel",""))</f>
        <v>'Vatten El'</v>
      </c>
      <c r="AO108" s="227">
        <f>IF(AM108="","",VLOOKUP($B108,Miljö!$B$1:$J$479,MATCH("Fossilandel för ursprungspecificerad el ()",Miljö!$B$1:$J$1,0),FALSE))</f>
        <v>0</v>
      </c>
      <c r="AP108" s="227">
        <f>IF(AM108="","",IFERROR(VLOOKUP($B108,Miljö!$B$1:$J$479,MATCH("Kärnkraftsandel för ursprungsspecificerad el ()",Miljö!$B$1:$J$1,0),FALSE)/1,0))</f>
        <v>0</v>
      </c>
      <c r="AQ108" s="227">
        <f t="shared" si="7"/>
        <v>1</v>
      </c>
      <c r="AR108" s="227"/>
      <c r="AS108" s="227" t="str">
        <f t="shared" si="8"/>
        <v>Nej</v>
      </c>
      <c r="AT108" s="227" t="str">
        <f>IF(AS108="ja",VLOOKUP($B108,Miljö!$B$1:$O$500,MATCH("Fossil andel i procent (%)",Miljö!$B$1:$O$1,0),FALSE)/100,"")</f>
        <v/>
      </c>
      <c r="AU108" s="227"/>
      <c r="AV108" s="227" t="str">
        <f t="shared" si="9"/>
        <v>Nej</v>
      </c>
      <c r="AW108" s="227" t="str">
        <f>IF(AV108="ja",VLOOKUP($B108,'Egen hetvattenprod'!$B$1:$AO$500,MATCH("Värmekälla till värmepumpar ()",'Egen hetvattenprod'!$B$1:$AO$1,0),FALSE),"")</f>
        <v/>
      </c>
      <c r="AX108" s="227"/>
      <c r="AY108" s="227" t="str">
        <f t="shared" si="10"/>
        <v>Ja</v>
      </c>
      <c r="AZ108" s="228">
        <f>IF($AY108="ja",(VLOOKUP($B108,'Egen hetvattenprod'!$B$1:$BX$550,MATCH(AZ$2,'Egen hetvattenprod'!$B$1:$BX$1,0),FALSE)+VLOOKUP($B108,Kraftvärmeprod!$B$1:$BX$550,MATCH(AZ$2,Kraftvärmeprod!$B$1:$BX$1,0),FALSE))/$AC108,"")</f>
        <v>1</v>
      </c>
      <c r="BA108" s="228">
        <f>IF($AY108="ja",(VLOOKUP($B108,'Egen hetvattenprod'!$B$1:$BX$550,MATCH(BA$2,'Egen hetvattenprod'!$B$1:$BX$1,0),FALSE)+VLOOKUP($B108,Kraftvärmeprod!$B$1:$BX$550,MATCH(BA$2,Kraftvärmeprod!$B$1:$BX$1,0),FALSE))/$AC108,"")</f>
        <v>0</v>
      </c>
      <c r="BB108" s="228">
        <f>IF($AY108="ja",(VLOOKUP($B108,'Egen hetvattenprod'!$B$1:$BX$550,MATCH(BB$2,'Egen hetvattenprod'!$B$1:$BX$1,0),FALSE)+VLOOKUP($B108,Kraftvärmeprod!$B$1:$BX$550,MATCH(BB$2,Kraftvärmeprod!$B$1:$BX$1,0),FALSE))/$AC108,"")</f>
        <v>0</v>
      </c>
      <c r="BC108" s="228">
        <f>IF($AY108="ja",(VLOOKUP($B108,'Egen hetvattenprod'!$B$1:$BX$550,MATCH(BC$2,'Egen hetvattenprod'!$B$1:$BX$1,0),FALSE)+VLOOKUP($B108,Kraftvärmeprod!$B$1:$BX$550,MATCH(BC$2,Kraftvärmeprod!$B$1:$BX$1,0),FALSE))/$AC108,"")</f>
        <v>0</v>
      </c>
      <c r="BD108" s="228">
        <f>IF($AY108="ja",(VLOOKUP($B108,'Egen hetvattenprod'!$B$1:$BX$550,MATCH(BD$2,'Egen hetvattenprod'!$B$1:$BX$1,0),FALSE)+VLOOKUP($B108,Kraftvärmeprod!$B$1:$BX$550,MATCH(BD$2,Kraftvärmeprod!$B$1:$BX$1,0),FALSE))/$AC108,"")</f>
        <v>0</v>
      </c>
      <c r="BE108" s="227"/>
      <c r="BF108" s="227" t="str">
        <f t="shared" si="11"/>
        <v>Nej</v>
      </c>
      <c r="BG108" s="227" t="str">
        <f>IF($BF108="ja",VLOOKUP($B108,'Egen hetvattenprod'!$B$1:$BX$550,MATCH("Andelen klimatgaser med fossilt ursprung för avfall ()",'Egen hetvattenprod'!$B$1:$BX$1,0),FALSE),"")</f>
        <v/>
      </c>
      <c r="BH108" s="227" t="str">
        <f>IF($BF108="ja",VLOOKUP($B108,Kraftvärmeprod!$B$1:$BX$550,MATCH("Andelen klimatgaser med fossilt ursprung för avfall ()",Kraftvärmeprod!$B$1:$BX$1,0),FALSE),"")</f>
        <v/>
      </c>
      <c r="BI108" s="227" t="str">
        <f>IF($BF108="ja",VLOOKUP($B108,'Egen hetvattenprod'!$B$1:$BX$550,MATCH("Avfall (GWh)",'Egen hetvattenprod'!$B$1:$BX$1,0),FALSE),"")</f>
        <v/>
      </c>
      <c r="BJ108" s="227" t="str">
        <f>IF($BF108="ja",VLOOKUP($B108,'Slutlig allokering kvv'!$B$1:$BX$550,MATCH("Avfall (GWh)",'Slutlig allokering kvv'!$B$1:$BX$1,0),FALSE),"")</f>
        <v/>
      </c>
      <c r="BK108" s="227" t="str">
        <f>IF($BF108="ja",VLOOKUP($B108,'Köpt hetvatten'!$B$1:$BX$550,MATCH("Avfall i köpt hetvatten",'Köpt hetvatten'!$B$1:$BX$1,0),FALSE),"")</f>
        <v/>
      </c>
      <c r="BL108" s="227" t="str">
        <f>IF($BF108="ja",VLOOKUP($B108,'Egen hetvattenprod'!$B$1:$BX$550,MATCH("Värde enligt ovan. (%)",'Egen hetvattenprod'!$B$1:$BX$1,0),FALSE),"")</f>
        <v/>
      </c>
      <c r="BM108" s="227" t="str">
        <f>IF($BF108="ja",VLOOKUP($B108,Kraftvärmeprod!$B$1:$BX$550,MATCH("Värde enligt ovan. (%)",Kraftvärmeprod!$B$1:$BX$1,0),FALSE),"")</f>
        <v/>
      </c>
      <c r="BN108" s="227"/>
      <c r="BO108" s="227"/>
      <c r="BP108" s="227"/>
      <c r="BQ108" s="227" t="str">
        <f>IF($BF108="ja",VLOOKUP($B108,'Egen hetvattenprod'!$B$1:$BX$550,MATCH("Tillförd olja (fossil) vid avfallsförbränning (GWh)",'Egen hetvattenprod'!$B$1:$BX$1,0),FALSE),"")</f>
        <v/>
      </c>
      <c r="BR108" s="227" t="str">
        <f>IF($BF108="ja",VLOOKUP($B108,Kraftvärmeprod!$B$1:$BX$550,MATCH("Tillförd olja (fossil) vid avfallsförbränning (GWh)",Kraftvärmeprod!$B$1:$BX$1,0),FALSE),"")</f>
        <v/>
      </c>
      <c r="BS108" s="227"/>
      <c r="BT108" s="227"/>
      <c r="BU108" s="227"/>
    </row>
    <row r="109" spans="1:73" x14ac:dyDescent="0.25">
      <c r="A109" s="121" t="str">
        <f>'Miljövärden för publ företag'!B112</f>
        <v>Härnösand Energi &amp; Miljö AB</v>
      </c>
      <c r="B109" s="121" t="str">
        <f>'Miljövärden för publ företag'!C112</f>
        <v>Härnösand</v>
      </c>
      <c r="C109" s="173">
        <f>IFERROR(VLOOKUP($B109,Totalt!$B$1:$AQ$554,MATCH(C$2,Totalt!$B$1:$AQ$1,0),FALSE),"")</f>
        <v>0</v>
      </c>
      <c r="D109" s="173">
        <f>IFERROR(VLOOKUP($B109,Totalt!$B$1:$AQ$554,MATCH(D$2,Totalt!$B$1:$AQ$1,0),FALSE),"")</f>
        <v>0</v>
      </c>
      <c r="E109" s="173">
        <f>IFERROR(VLOOKUP($B109,Totalt!$B$1:$AQ$554,MATCH(E$2,Totalt!$B$1:$AQ$1,0),FALSE),"")</f>
        <v>2.4</v>
      </c>
      <c r="F109" s="173">
        <f>IFERROR(VLOOKUP($B109,Totalt!$B$1:$AQ$554,MATCH(F$2,Totalt!$B$1:$AQ$1,0),FALSE),"")</f>
        <v>0</v>
      </c>
      <c r="G109" s="173">
        <f>IFERROR(VLOOKUP($B109,Totalt!$B$1:$AQ$554,MATCH(G$2,Totalt!$B$1:$AQ$1,0),FALSE),"")</f>
        <v>0</v>
      </c>
      <c r="H109" s="173">
        <f>IFERROR(VLOOKUP($B109,Totalt!$B$1:$AQ$554,MATCH(H$2,Totalt!$B$1:$AQ$1,0),FALSE),"")</f>
        <v>0</v>
      </c>
      <c r="I109" s="173">
        <f>IFERROR(VLOOKUP($B109,Totalt!$B$1:$AQ$554,MATCH(I$2,Totalt!$B$1:$AQ$1,0),FALSE),"")</f>
        <v>0</v>
      </c>
      <c r="J109" s="173">
        <f>IFERROR(VLOOKUP($B109,Totalt!$B$1:$AQ$554,MATCH(J$2,Totalt!$B$1:$AQ$1,0),FALSE),"")</f>
        <v>1.6</v>
      </c>
      <c r="K109" s="173">
        <f>IFERROR(VLOOKUP($B109,Totalt!$B$1:$AQ$554,MATCH(K$2,Totalt!$B$1:$AQ$1,0),FALSE),"")</f>
        <v>0</v>
      </c>
      <c r="L109" s="173">
        <f>IFERROR(VLOOKUP($B109,Totalt!$B$1:$AQ$554,MATCH(L$2,Totalt!$B$1:$AQ$1,0),FALSE),"")</f>
        <v>0</v>
      </c>
      <c r="M109" s="173">
        <f>IFERROR(VLOOKUP($B109,Totalt!$B$1:$AQ$554,MATCH(M$2,Totalt!$B$1:$AQ$1,0),FALSE),"")</f>
        <v>36.8249</v>
      </c>
      <c r="N109" s="173">
        <f>IFERROR(VLOOKUP($B109,Totalt!$B$1:$AQ$554,MATCH(N$2,Totalt!$B$1:$AQ$1,0),FALSE),"")</f>
        <v>13.7949</v>
      </c>
      <c r="O109" s="173">
        <f>IFERROR(VLOOKUP($B109,Totalt!$B$1:$AQ$554,MATCH(O$2,Totalt!$B$1:$AQ$1,0),FALSE),"")</f>
        <v>1.9416100000000001</v>
      </c>
      <c r="P109" s="173">
        <f>IFERROR(VLOOKUP($B109,Totalt!$B$1:$AQ$554,MATCH(P$2,Totalt!$B$1:$AQ$1,0),FALSE),"")</f>
        <v>42.334400000000002</v>
      </c>
      <c r="Q109" s="173">
        <f>IFERROR(VLOOKUP($B109,Totalt!$B$1:$AQ$554,MATCH(Q$2,Totalt!$B$1:$AQ$1,0),FALSE),"")</f>
        <v>0</v>
      </c>
      <c r="R109" s="173">
        <f>IFERROR(VLOOKUP($B109,Totalt!$B$1:$AQ$554,MATCH(R$2,Totalt!$B$1:$AQ$1,0),FALSE),"")</f>
        <v>5</v>
      </c>
      <c r="S109" s="173">
        <f>IFERROR(VLOOKUP($B109,Totalt!$B$1:$AQ$554,MATCH(S$2,Totalt!$B$1:$AQ$1,0),FALSE),"")</f>
        <v>0</v>
      </c>
      <c r="T109" s="173">
        <f>IFERROR(VLOOKUP($B109,Totalt!$B$1:$AQ$554,MATCH(T$2,Totalt!$B$1:$AQ$1,0),FALSE),"")</f>
        <v>0</v>
      </c>
      <c r="U109" s="173">
        <f>IFERROR(VLOOKUP($B109,Totalt!$B$1:$AQ$554,MATCH(U$2,Totalt!$B$1:$AQ$1,0),FALSE),"")</f>
        <v>0</v>
      </c>
      <c r="V109" s="173">
        <f>IFERROR(VLOOKUP($B109,Totalt!$B$1:$AQ$554,MATCH(V$2,Totalt!$B$1:$AQ$1,0),FALSE),"")</f>
        <v>0</v>
      </c>
      <c r="W109" s="173">
        <f>IFERROR(VLOOKUP($B109,Totalt!$B$1:$AQ$554,MATCH(W$2,Totalt!$B$1:$AQ$1,0),FALSE),"")</f>
        <v>0</v>
      </c>
      <c r="X109" s="173">
        <f>IFERROR(VLOOKUP($B109,Totalt!$B$1:$AQ$554,MATCH(X$2,Totalt!$B$1:$AQ$1,0),FALSE),"")</f>
        <v>0</v>
      </c>
      <c r="Y109" s="173">
        <f>IFERROR(VLOOKUP($B109,Totalt!$B$1:$AQ$554,MATCH(Y$2,Totalt!$B$1:$AQ$1,0),FALSE),"")</f>
        <v>23.249400000000001</v>
      </c>
      <c r="Z109" s="173">
        <f>IFERROR(VLOOKUP($B109,Totalt!$B$1:$AQ$554,MATCH(Z$2,Totalt!$B$1:$AQ$1,0),FALSE),"")</f>
        <v>2.7</v>
      </c>
      <c r="AA109" s="173">
        <f>IFERROR(VLOOKUP($B109,Totalt!$B$1:$AQ$554,MATCH(AA$2,Totalt!$B$1:$AQ$1,0),FALSE),"")</f>
        <v>0</v>
      </c>
      <c r="AB109" s="173">
        <f>IFERROR(VLOOKUP($B109,Totalt!$B$1:$AQ$554,MATCH(AB$2,Totalt!$B$1:$AQ$1,0),FALSE),"")</f>
        <v>0</v>
      </c>
      <c r="AC109" s="173">
        <f>IFERROR(VLOOKUP($B109,Totalt!$B$1:$AQ$554,MATCH(AC$2,Totalt!$B$1:$AQ$1,0),FALSE),"")</f>
        <v>34</v>
      </c>
      <c r="AD109" s="173">
        <f>IFERROR(VLOOKUP($B109,Totalt!$B$1:$AQ$554,MATCH(AD$2,Totalt!$B$1:$AQ$1,0),FALSE),"")</f>
        <v>33.5</v>
      </c>
      <c r="AE109" s="173">
        <f>IFERROR(VLOOKUP($B109,Totalt!$B$1:$AQ$554,MATCH(AE$2,Totalt!$B$1:$AQ$1,0),FALSE),"")</f>
        <v>0</v>
      </c>
      <c r="AF109" s="173">
        <f>IFERROR(VLOOKUP($B109,Totalt!$B$1:$AQ$554,MATCH(AF$2,Totalt!$B$1:$AQ$1,0),FALSE),"")</f>
        <v>6.5547899999999997</v>
      </c>
      <c r="AG109" s="173">
        <f>IFERROR(VLOOKUP($B109,Totalt!$B$1:$AQ$554,MATCH(AG$2,Totalt!$B$1:$AQ$1,0),FALSE),"")</f>
        <v>0</v>
      </c>
      <c r="AI109" s="226">
        <f t="shared" si="6"/>
        <v>203.89999999999998</v>
      </c>
      <c r="AJ109" s="226">
        <f>IF(ISERROR(1/VLOOKUP($B109,Leveranser!$B$1:$S$500,MATCH("såld värme (gwh)",Leveranser!$B$1:$S$1,0),FALSE)),"",VLOOKUP($B109,Leveranser!$B$1:$S$500,MATCH("såld värme (gwh)",Leveranser!$B$1:$S$1,0),FALSE))</f>
        <v>180.9</v>
      </c>
      <c r="AM109" s="227" t="str">
        <f>IF(B109&lt;&gt;"",IF(VLOOKUP($B109,Totalt!$B$1:$AQ$554,MATCH("Kvalitetsgranskad:",Totalt!$B$1:$AQ$1,0),FALSE)="ja",VLOOKUP($B109,Miljö!$B$1:$AG$479,MATCH(AM$2,Miljö!$B$1:$AK$1,0),FALSE),""),"")</f>
        <v>Ja</v>
      </c>
      <c r="AN109" s="227" t="str">
        <f>IF(AM109="ja",VLOOKUP($B109,Miljö!$B$1:$J$479,MATCH("Typ av ursprungsspecificerad el   (Om inget värde anges används Nordisk residualmix, se inforuta) ()",Miljö!$B$1:$J$1,0),FALSE),IF(AM109="nej","Nordisk residualel",""))</f>
        <v>'Biokraft'</v>
      </c>
      <c r="AO109" s="227">
        <f>IF(AM109="","",VLOOKUP($B109,Miljö!$B$1:$J$479,MATCH("Fossilandel för ursprungspecificerad el ()",Miljö!$B$1:$J$1,0),FALSE))</f>
        <v>0</v>
      </c>
      <c r="AP109" s="227">
        <f>IF(AM109="","",IFERROR(VLOOKUP($B109,Miljö!$B$1:$J$479,MATCH("Kärnkraftsandel för ursprungsspecificerad el ()",Miljö!$B$1:$J$1,0),FALSE)/1,0))</f>
        <v>0</v>
      </c>
      <c r="AQ109" s="227">
        <f t="shared" si="7"/>
        <v>1</v>
      </c>
      <c r="AR109" s="227"/>
      <c r="AS109" s="227" t="str">
        <f t="shared" si="8"/>
        <v>Nej</v>
      </c>
      <c r="AT109" s="227" t="str">
        <f>IF(AS109="ja",VLOOKUP($B109,Miljö!$B$1:$O$500,MATCH("Fossil andel i procent (%)",Miljö!$B$1:$O$1,0),FALSE)/100,"")</f>
        <v/>
      </c>
      <c r="AU109" s="227"/>
      <c r="AV109" s="227" t="str">
        <f t="shared" si="9"/>
        <v>Nej</v>
      </c>
      <c r="AW109" s="227" t="str">
        <f>IF(AV109="ja",VLOOKUP($B109,'Egen hetvattenprod'!$B$1:$AO$500,MATCH("Värmekälla till värmepumpar ()",'Egen hetvattenprod'!$B$1:$AO$1,0),FALSE),"")</f>
        <v/>
      </c>
      <c r="AX109" s="227"/>
      <c r="AY109" s="227" t="str">
        <f t="shared" si="10"/>
        <v>Ja</v>
      </c>
      <c r="AZ109" s="228">
        <f>IF($AY109="ja",(VLOOKUP($B109,'Egen hetvattenprod'!$B$1:$BX$550,MATCH(AZ$2,'Egen hetvattenprod'!$B$1:$BX$1,0),FALSE)+VLOOKUP($B109,Kraftvärmeprod!$B$1:$BX$550,MATCH(AZ$2,Kraftvärmeprod!$B$1:$BX$1,0),FALSE))/$AC109,"")</f>
        <v>0.80999999999999994</v>
      </c>
      <c r="BA109" s="228">
        <f>IF($AY109="ja",(VLOOKUP($B109,'Egen hetvattenprod'!$B$1:$BX$550,MATCH(BA$2,'Egen hetvattenprod'!$B$1:$BX$1,0),FALSE)+VLOOKUP($B109,Kraftvärmeprod!$B$1:$BX$550,MATCH(BA$2,Kraftvärmeprod!$B$1:$BX$1,0),FALSE))/$AC109,"")</f>
        <v>0</v>
      </c>
      <c r="BB109" s="228">
        <f>IF($AY109="ja",(VLOOKUP($B109,'Egen hetvattenprod'!$B$1:$BX$550,MATCH(BB$2,'Egen hetvattenprod'!$B$1:$BX$1,0),FALSE)+VLOOKUP($B109,Kraftvärmeprod!$B$1:$BX$550,MATCH(BB$2,Kraftvärmeprod!$B$1:$BX$1,0),FALSE))/$AC109,"")</f>
        <v>4.4117647058823529E-3</v>
      </c>
      <c r="BC109" s="228">
        <f>IF($AY109="ja",(VLOOKUP($B109,'Egen hetvattenprod'!$B$1:$BX$550,MATCH(BC$2,'Egen hetvattenprod'!$B$1:$BX$1,0),FALSE)+VLOOKUP($B109,Kraftvärmeprod!$B$1:$BX$550,MATCH(BC$2,Kraftvärmeprod!$B$1:$BX$1,0),FALSE))/$AC109,"")</f>
        <v>0.18558823529411766</v>
      </c>
      <c r="BD109" s="228">
        <f>IF($AY109="ja",(VLOOKUP($B109,'Egen hetvattenprod'!$B$1:$BX$550,MATCH(BD$2,'Egen hetvattenprod'!$B$1:$BX$1,0),FALSE)+VLOOKUP($B109,Kraftvärmeprod!$B$1:$BX$550,MATCH(BD$2,Kraftvärmeprod!$B$1:$BX$1,0),FALSE))/$AC109,"")</f>
        <v>0</v>
      </c>
      <c r="BE109" s="227"/>
      <c r="BF109" s="227" t="str">
        <f t="shared" si="11"/>
        <v>Nej</v>
      </c>
      <c r="BG109" s="227" t="str">
        <f>IF($BF109="ja",VLOOKUP($B109,'Egen hetvattenprod'!$B$1:$BX$550,MATCH("Andelen klimatgaser med fossilt ursprung för avfall ()",'Egen hetvattenprod'!$B$1:$BX$1,0),FALSE),"")</f>
        <v/>
      </c>
      <c r="BH109" s="227" t="str">
        <f>IF($BF109="ja",VLOOKUP($B109,Kraftvärmeprod!$B$1:$BX$550,MATCH("Andelen klimatgaser med fossilt ursprung för avfall ()",Kraftvärmeprod!$B$1:$BX$1,0),FALSE),"")</f>
        <v/>
      </c>
      <c r="BI109" s="227" t="str">
        <f>IF($BF109="ja",VLOOKUP($B109,'Egen hetvattenprod'!$B$1:$BX$550,MATCH("Avfall (GWh)",'Egen hetvattenprod'!$B$1:$BX$1,0),FALSE),"")</f>
        <v/>
      </c>
      <c r="BJ109" s="227" t="str">
        <f>IF($BF109="ja",VLOOKUP($B109,'Slutlig allokering kvv'!$B$1:$BX$550,MATCH("Avfall (GWh)",'Slutlig allokering kvv'!$B$1:$BX$1,0),FALSE),"")</f>
        <v/>
      </c>
      <c r="BK109" s="227" t="str">
        <f>IF($BF109="ja",VLOOKUP($B109,'Köpt hetvatten'!$B$1:$BX$550,MATCH("Avfall i köpt hetvatten",'Köpt hetvatten'!$B$1:$BX$1,0),FALSE),"")</f>
        <v/>
      </c>
      <c r="BL109" s="227" t="str">
        <f>IF($BF109="ja",VLOOKUP($B109,'Egen hetvattenprod'!$B$1:$BX$550,MATCH("Värde enligt ovan. (%)",'Egen hetvattenprod'!$B$1:$BX$1,0),FALSE),"")</f>
        <v/>
      </c>
      <c r="BM109" s="227" t="str">
        <f>IF($BF109="ja",VLOOKUP($B109,Kraftvärmeprod!$B$1:$BX$550,MATCH("Värde enligt ovan. (%)",Kraftvärmeprod!$B$1:$BX$1,0),FALSE),"")</f>
        <v/>
      </c>
      <c r="BN109" s="227"/>
      <c r="BO109" s="227"/>
      <c r="BP109" s="227"/>
      <c r="BQ109" s="227" t="str">
        <f>IF($BF109="ja",VLOOKUP($B109,'Egen hetvattenprod'!$B$1:$BX$550,MATCH("Tillförd olja (fossil) vid avfallsförbränning (GWh)",'Egen hetvattenprod'!$B$1:$BX$1,0),FALSE),"")</f>
        <v/>
      </c>
      <c r="BR109" s="227" t="str">
        <f>IF($BF109="ja",VLOOKUP($B109,Kraftvärmeprod!$B$1:$BX$550,MATCH("Tillförd olja (fossil) vid avfallsförbränning (GWh)",Kraftvärmeprod!$B$1:$BX$1,0),FALSE),"")</f>
        <v/>
      </c>
      <c r="BS109" s="227"/>
      <c r="BT109" s="227"/>
      <c r="BU109" s="227"/>
    </row>
    <row r="110" spans="1:73" x14ac:dyDescent="0.25">
      <c r="A110" s="121" t="str">
        <f>'Miljövärden för publ företag'!B113</f>
        <v>Hässleholm Miljö AB</v>
      </c>
      <c r="B110" s="121" t="str">
        <f>'Miljövärden för publ företag'!C113</f>
        <v>Hässleholm</v>
      </c>
      <c r="C110" s="173">
        <f>IFERROR(VLOOKUP($B110,Totalt!$B$1:$AQ$554,MATCH(C$2,Totalt!$B$1:$AQ$1,0),FALSE),"")</f>
        <v>0</v>
      </c>
      <c r="D110" s="173">
        <f>IFERROR(VLOOKUP($B110,Totalt!$B$1:$AQ$554,MATCH(D$2,Totalt!$B$1:$AQ$1,0),FALSE),"")</f>
        <v>1.1268100000000001</v>
      </c>
      <c r="E110" s="173">
        <f>IFERROR(VLOOKUP($B110,Totalt!$B$1:$AQ$554,MATCH(E$2,Totalt!$B$1:$AQ$1,0),FALSE),"")</f>
        <v>0</v>
      </c>
      <c r="F110" s="173">
        <f>IFERROR(VLOOKUP($B110,Totalt!$B$1:$AQ$554,MATCH(F$2,Totalt!$B$1:$AQ$1,0),FALSE),"")</f>
        <v>0</v>
      </c>
      <c r="G110" s="173">
        <f>IFERROR(VLOOKUP($B110,Totalt!$B$1:$AQ$554,MATCH(G$2,Totalt!$B$1:$AQ$1,0),FALSE),"")</f>
        <v>0</v>
      </c>
      <c r="H110" s="173">
        <f>IFERROR(VLOOKUP($B110,Totalt!$B$1:$AQ$554,MATCH(H$2,Totalt!$B$1:$AQ$1,0),FALSE),"")</f>
        <v>0</v>
      </c>
      <c r="I110" s="173">
        <f>IFERROR(VLOOKUP($B110,Totalt!$B$1:$AQ$554,MATCH(I$2,Totalt!$B$1:$AQ$1,0),FALSE),"")</f>
        <v>119.027</v>
      </c>
      <c r="J110" s="173">
        <f>IFERROR(VLOOKUP($B110,Totalt!$B$1:$AQ$554,MATCH(J$2,Totalt!$B$1:$AQ$1,0),FALSE),"")</f>
        <v>0</v>
      </c>
      <c r="K110" s="173">
        <f>IFERROR(VLOOKUP($B110,Totalt!$B$1:$AQ$554,MATCH(K$2,Totalt!$B$1:$AQ$1,0),FALSE),"")</f>
        <v>0</v>
      </c>
      <c r="L110" s="173">
        <f>IFERROR(VLOOKUP($B110,Totalt!$B$1:$AQ$554,MATCH(L$2,Totalt!$B$1:$AQ$1,0),FALSE),"")</f>
        <v>0</v>
      </c>
      <c r="M110" s="173">
        <f>IFERROR(VLOOKUP($B110,Totalt!$B$1:$AQ$554,MATCH(M$2,Totalt!$B$1:$AQ$1,0),FALSE),"")</f>
        <v>0</v>
      </c>
      <c r="N110" s="173">
        <f>IFERROR(VLOOKUP($B110,Totalt!$B$1:$AQ$554,MATCH(N$2,Totalt!$B$1:$AQ$1,0),FALSE),"")</f>
        <v>0</v>
      </c>
      <c r="O110" s="173">
        <f>IFERROR(VLOOKUP($B110,Totalt!$B$1:$AQ$554,MATCH(O$2,Totalt!$B$1:$AQ$1,0),FALSE),"")</f>
        <v>0</v>
      </c>
      <c r="P110" s="173">
        <f>IFERROR(VLOOKUP($B110,Totalt!$B$1:$AQ$554,MATCH(P$2,Totalt!$B$1:$AQ$1,0),FALSE),"")</f>
        <v>95.8</v>
      </c>
      <c r="Q110" s="173">
        <f>IFERROR(VLOOKUP($B110,Totalt!$B$1:$AQ$554,MATCH(Q$2,Totalt!$B$1:$AQ$1,0),FALSE),"")</f>
        <v>0</v>
      </c>
      <c r="R110" s="173">
        <f>IFERROR(VLOOKUP($B110,Totalt!$B$1:$AQ$554,MATCH(R$2,Totalt!$B$1:$AQ$1,0),FALSE),"")</f>
        <v>0</v>
      </c>
      <c r="S110" s="173">
        <f>IFERROR(VLOOKUP($B110,Totalt!$B$1:$AQ$554,MATCH(S$2,Totalt!$B$1:$AQ$1,0),FALSE),"")</f>
        <v>0</v>
      </c>
      <c r="T110" s="173">
        <f>IFERROR(VLOOKUP($B110,Totalt!$B$1:$AQ$554,MATCH(T$2,Totalt!$B$1:$AQ$1,0),FALSE),"")</f>
        <v>0</v>
      </c>
      <c r="U110" s="173">
        <f>IFERROR(VLOOKUP($B110,Totalt!$B$1:$AQ$554,MATCH(U$2,Totalt!$B$1:$AQ$1,0),FALSE),"")</f>
        <v>0</v>
      </c>
      <c r="V110" s="173">
        <f>IFERROR(VLOOKUP($B110,Totalt!$B$1:$AQ$554,MATCH(V$2,Totalt!$B$1:$AQ$1,0),FALSE),"")</f>
        <v>0</v>
      </c>
      <c r="W110" s="173">
        <f>IFERROR(VLOOKUP($B110,Totalt!$B$1:$AQ$554,MATCH(W$2,Totalt!$B$1:$AQ$1,0),FALSE),"")</f>
        <v>0.37681399999999998</v>
      </c>
      <c r="X110" s="173">
        <f>IFERROR(VLOOKUP($B110,Totalt!$B$1:$AQ$554,MATCH(X$2,Totalt!$B$1:$AQ$1,0),FALSE),"")</f>
        <v>0</v>
      </c>
      <c r="Y110" s="173">
        <f>IFERROR(VLOOKUP($B110,Totalt!$B$1:$AQ$554,MATCH(Y$2,Totalt!$B$1:$AQ$1,0),FALSE),"")</f>
        <v>0</v>
      </c>
      <c r="Z110" s="173">
        <f>IFERROR(VLOOKUP($B110,Totalt!$B$1:$AQ$554,MATCH(Z$2,Totalt!$B$1:$AQ$1,0),FALSE),"")</f>
        <v>0</v>
      </c>
      <c r="AA110" s="173">
        <f>IFERROR(VLOOKUP($B110,Totalt!$B$1:$AQ$554,MATCH(AA$2,Totalt!$B$1:$AQ$1,0),FALSE),"")</f>
        <v>0</v>
      </c>
      <c r="AB110" s="173">
        <f>IFERROR(VLOOKUP($B110,Totalt!$B$1:$AQ$554,MATCH(AB$2,Totalt!$B$1:$AQ$1,0),FALSE),"")</f>
        <v>0</v>
      </c>
      <c r="AC110" s="173">
        <f>IFERROR(VLOOKUP($B110,Totalt!$B$1:$AQ$554,MATCH(AC$2,Totalt!$B$1:$AQ$1,0),FALSE),"")</f>
        <v>15.6</v>
      </c>
      <c r="AD110" s="173">
        <f>IFERROR(VLOOKUP($B110,Totalt!$B$1:$AQ$554,MATCH(AD$2,Totalt!$B$1:$AQ$1,0),FALSE),"")</f>
        <v>2.08</v>
      </c>
      <c r="AE110" s="173">
        <f>IFERROR(VLOOKUP($B110,Totalt!$B$1:$AQ$554,MATCH(AE$2,Totalt!$B$1:$AQ$1,0),FALSE),"")</f>
        <v>0</v>
      </c>
      <c r="AF110" s="173">
        <f>IFERROR(VLOOKUP($B110,Totalt!$B$1:$AQ$554,MATCH(AF$2,Totalt!$B$1:$AQ$1,0),FALSE),"")</f>
        <v>8.1999999999999993</v>
      </c>
      <c r="AG110" s="173">
        <f>IFERROR(VLOOKUP($B110,Totalt!$B$1:$AQ$554,MATCH(AG$2,Totalt!$B$1:$AQ$1,0),FALSE),"")</f>
        <v>0</v>
      </c>
      <c r="AI110" s="226">
        <f t="shared" si="6"/>
        <v>242.210624</v>
      </c>
      <c r="AJ110" s="226">
        <f>IF(ISERROR(1/VLOOKUP($B110,Leveranser!$B$1:$S$500,MATCH("såld värme (gwh)",Leveranser!$B$1:$S$1,0),FALSE)),"",VLOOKUP($B110,Leveranser!$B$1:$S$500,MATCH("såld värme (gwh)",Leveranser!$B$1:$S$1,0),FALSE))</f>
        <v>179.5</v>
      </c>
      <c r="AM110" s="227" t="str">
        <f>IF(B110&lt;&gt;"",IF(VLOOKUP($B110,Totalt!$B$1:$AQ$554,MATCH("Kvalitetsgranskad:",Totalt!$B$1:$AQ$1,0),FALSE)="ja",VLOOKUP($B110,Miljö!$B$1:$AG$479,MATCH(AM$2,Miljö!$B$1:$AK$1,0),FALSE),""),"")</f>
        <v>Ja</v>
      </c>
      <c r="AN110" s="227" t="str">
        <f>IF(AM110="ja",VLOOKUP($B110,Miljö!$B$1:$J$479,MATCH("Typ av ursprungsspecificerad el   (Om inget värde anges används Nordisk residualmix, se inforuta) ()",Miljö!$B$1:$J$1,0),FALSE),IF(AM110="nej","Nordisk residualel",""))</f>
        <v>'Vattenkraft'</v>
      </c>
      <c r="AO110" s="227">
        <f>IF(AM110="","",VLOOKUP($B110,Miljö!$B$1:$J$479,MATCH("Fossilandel för ursprungspecificerad el ()",Miljö!$B$1:$J$1,0),FALSE))</f>
        <v>0</v>
      </c>
      <c r="AP110" s="227">
        <f>IF(AM110="","",IFERROR(VLOOKUP($B110,Miljö!$B$1:$J$479,MATCH("Kärnkraftsandel för ursprungsspecificerad el ()",Miljö!$B$1:$J$1,0),FALSE)/1,0))</f>
        <v>0</v>
      </c>
      <c r="AQ110" s="227">
        <f t="shared" si="7"/>
        <v>1</v>
      </c>
      <c r="AR110" s="227"/>
      <c r="AS110" s="227" t="str">
        <f t="shared" si="8"/>
        <v>Nej</v>
      </c>
      <c r="AT110" s="227" t="str">
        <f>IF(AS110="ja",VLOOKUP($B110,Miljö!$B$1:$O$500,MATCH("Fossil andel i procent (%)",Miljö!$B$1:$O$1,0),FALSE)/100,"")</f>
        <v/>
      </c>
      <c r="AU110" s="227"/>
      <c r="AV110" s="227" t="str">
        <f t="shared" si="9"/>
        <v>Nej</v>
      </c>
      <c r="AW110" s="227" t="str">
        <f>IF(AV110="ja",VLOOKUP($B110,'Egen hetvattenprod'!$B$1:$AO$500,MATCH("Värmekälla till värmepumpar ()",'Egen hetvattenprod'!$B$1:$AO$1,0),FALSE),"")</f>
        <v/>
      </c>
      <c r="AX110" s="227"/>
      <c r="AY110" s="227" t="str">
        <f t="shared" si="10"/>
        <v>Ja</v>
      </c>
      <c r="AZ110" s="228">
        <f>IF($AY110="ja",(VLOOKUP($B110,'Egen hetvattenprod'!$B$1:$BX$550,MATCH(AZ$2,'Egen hetvattenprod'!$B$1:$BX$1,0),FALSE)+VLOOKUP($B110,Kraftvärmeprod!$B$1:$BX$550,MATCH(AZ$2,Kraftvärmeprod!$B$1:$BX$1,0),FALSE))/$AC110,"")</f>
        <v>1</v>
      </c>
      <c r="BA110" s="228">
        <f>IF($AY110="ja",(VLOOKUP($B110,'Egen hetvattenprod'!$B$1:$BX$550,MATCH(BA$2,'Egen hetvattenprod'!$B$1:$BX$1,0),FALSE)+VLOOKUP($B110,Kraftvärmeprod!$B$1:$BX$550,MATCH(BA$2,Kraftvärmeprod!$B$1:$BX$1,0),FALSE))/$AC110,"")</f>
        <v>0</v>
      </c>
      <c r="BB110" s="228">
        <f>IF($AY110="ja",(VLOOKUP($B110,'Egen hetvattenprod'!$B$1:$BX$550,MATCH(BB$2,'Egen hetvattenprod'!$B$1:$BX$1,0),FALSE)+VLOOKUP($B110,Kraftvärmeprod!$B$1:$BX$550,MATCH(BB$2,Kraftvärmeprod!$B$1:$BX$1,0),FALSE))/$AC110,"")</f>
        <v>0</v>
      </c>
      <c r="BC110" s="228">
        <f>IF($AY110="ja",(VLOOKUP($B110,'Egen hetvattenprod'!$B$1:$BX$550,MATCH(BC$2,'Egen hetvattenprod'!$B$1:$BX$1,0),FALSE)+VLOOKUP($B110,Kraftvärmeprod!$B$1:$BX$550,MATCH(BC$2,Kraftvärmeprod!$B$1:$BX$1,0),FALSE))/$AC110,"")</f>
        <v>0</v>
      </c>
      <c r="BD110" s="228">
        <f>IF($AY110="ja",(VLOOKUP($B110,'Egen hetvattenprod'!$B$1:$BX$550,MATCH(BD$2,'Egen hetvattenprod'!$B$1:$BX$1,0),FALSE)+VLOOKUP($B110,Kraftvärmeprod!$B$1:$BX$550,MATCH(BD$2,Kraftvärmeprod!$B$1:$BX$1,0),FALSE))/$AC110,"")</f>
        <v>0</v>
      </c>
      <c r="BE110" s="227"/>
      <c r="BF110" s="227" t="str">
        <f t="shared" si="11"/>
        <v>Ja</v>
      </c>
      <c r="BG110" s="227" t="str">
        <f>IF($BF110="ja",VLOOKUP($B110,'Egen hetvattenprod'!$B$1:$BX$550,MATCH("Andelen klimatgaser med fossilt ursprung för avfall ()",'Egen hetvattenprod'!$B$1:$BX$1,0),FALSE),"")</f>
        <v>Ingen redovisning</v>
      </c>
      <c r="BH110" s="227" t="str">
        <f>IF($BF110="ja",VLOOKUP($B110,Kraftvärmeprod!$B$1:$BX$550,MATCH("Andelen klimatgaser med fossilt ursprung för avfall ()",Kraftvärmeprod!$B$1:$BX$1,0),FALSE),"")</f>
        <v>Schablon</v>
      </c>
      <c r="BI110" s="227" t="str">
        <f>IF($BF110="ja",VLOOKUP($B110,'Egen hetvattenprod'!$B$1:$BX$550,MATCH("Avfall (GWh)",'Egen hetvattenprod'!$B$1:$BX$1,0),FALSE),"")</f>
        <v>ET</v>
      </c>
      <c r="BJ110" s="227">
        <f>IF($BF110="ja",VLOOKUP($B110,'Slutlig allokering kvv'!$B$1:$BX$550,MATCH("Avfall (GWh)",'Slutlig allokering kvv'!$B$1:$BX$1,0),FALSE),"")</f>
        <v>119.027</v>
      </c>
      <c r="BK110" s="227">
        <f>IF($BF110="ja",VLOOKUP($B110,'Köpt hetvatten'!$B$1:$BX$550,MATCH("Avfall i köpt hetvatten",'Köpt hetvatten'!$B$1:$BX$1,0),FALSE),"")</f>
        <v>0</v>
      </c>
      <c r="BL110" s="227" t="str">
        <f>IF($BF110="ja",VLOOKUP($B110,'Egen hetvattenprod'!$B$1:$BX$550,MATCH("Värde enligt ovan. (%)",'Egen hetvattenprod'!$B$1:$BX$1,0),FALSE),"")</f>
        <v>ET</v>
      </c>
      <c r="BM110" s="227">
        <f>IF($BF110="ja",VLOOKUP($B110,Kraftvärmeprod!$B$1:$BX$550,MATCH("Värde enligt ovan. (%)",Kraftvärmeprod!$B$1:$BX$1,0),FALSE),"")</f>
        <v>40.5</v>
      </c>
      <c r="BN110" s="227"/>
      <c r="BO110" s="227"/>
      <c r="BP110" s="227"/>
      <c r="BQ110" s="227" t="str">
        <f>IF($BF110="ja",VLOOKUP($B110,'Egen hetvattenprod'!$B$1:$BX$550,MATCH("Tillförd olja (fossil) vid avfallsförbränning (GWh)",'Egen hetvattenprod'!$B$1:$BX$1,0),FALSE),"")</f>
        <v>ET</v>
      </c>
      <c r="BR110" s="227">
        <f>IF($BF110="ja",VLOOKUP($B110,Kraftvärmeprod!$B$1:$BX$550,MATCH("Tillförd olja (fossil) vid avfallsförbränning (GWh)",Kraftvärmeprod!$B$1:$BX$1,0),FALSE),"")</f>
        <v>0.45</v>
      </c>
      <c r="BS110" s="227"/>
      <c r="BT110" s="227"/>
      <c r="BU110" s="227"/>
    </row>
    <row r="111" spans="1:73" x14ac:dyDescent="0.25">
      <c r="A111" s="121" t="str">
        <f>'Miljövärden för publ företag'!B114</f>
        <v>Hässleholm Miljö AB</v>
      </c>
      <c r="B111" s="121" t="str">
        <f>'Miljövärden för publ företag'!C114</f>
        <v>Tyringe</v>
      </c>
      <c r="C111" s="173">
        <f>IFERROR(VLOOKUP($B111,Totalt!$B$1:$AQ$554,MATCH(C$2,Totalt!$B$1:$AQ$1,0),FALSE),"")</f>
        <v>0</v>
      </c>
      <c r="D111" s="173">
        <f>IFERROR(VLOOKUP($B111,Totalt!$B$1:$AQ$554,MATCH(D$2,Totalt!$B$1:$AQ$1,0),FALSE),"")</f>
        <v>0</v>
      </c>
      <c r="E111" s="173">
        <f>IFERROR(VLOOKUP($B111,Totalt!$B$1:$AQ$554,MATCH(E$2,Totalt!$B$1:$AQ$1,0),FALSE),"")</f>
        <v>0</v>
      </c>
      <c r="F111" s="173">
        <f>IFERROR(VLOOKUP($B111,Totalt!$B$1:$AQ$554,MATCH(F$2,Totalt!$B$1:$AQ$1,0),FALSE),"")</f>
        <v>0</v>
      </c>
      <c r="G111" s="173">
        <f>IFERROR(VLOOKUP($B111,Totalt!$B$1:$AQ$554,MATCH(G$2,Totalt!$B$1:$AQ$1,0),FALSE),"")</f>
        <v>0</v>
      </c>
      <c r="H111" s="173">
        <f>IFERROR(VLOOKUP($B111,Totalt!$B$1:$AQ$554,MATCH(H$2,Totalt!$B$1:$AQ$1,0),FALSE),"")</f>
        <v>0</v>
      </c>
      <c r="I111" s="173">
        <f>IFERROR(VLOOKUP($B111,Totalt!$B$1:$AQ$554,MATCH(I$2,Totalt!$B$1:$AQ$1,0),FALSE),"")</f>
        <v>0</v>
      </c>
      <c r="J111" s="173">
        <f>IFERROR(VLOOKUP($B111,Totalt!$B$1:$AQ$554,MATCH(J$2,Totalt!$B$1:$AQ$1,0),FALSE),"")</f>
        <v>0</v>
      </c>
      <c r="K111" s="173">
        <f>IFERROR(VLOOKUP($B111,Totalt!$B$1:$AQ$554,MATCH(K$2,Totalt!$B$1:$AQ$1,0),FALSE),"")</f>
        <v>0</v>
      </c>
      <c r="L111" s="173">
        <f>IFERROR(VLOOKUP($B111,Totalt!$B$1:$AQ$554,MATCH(L$2,Totalt!$B$1:$AQ$1,0),FALSE),"")</f>
        <v>0</v>
      </c>
      <c r="M111" s="173">
        <f>IFERROR(VLOOKUP($B111,Totalt!$B$1:$AQ$554,MATCH(M$2,Totalt!$B$1:$AQ$1,0),FALSE),"")</f>
        <v>0</v>
      </c>
      <c r="N111" s="173">
        <f>IFERROR(VLOOKUP($B111,Totalt!$B$1:$AQ$554,MATCH(N$2,Totalt!$B$1:$AQ$1,0),FALSE),"")</f>
        <v>0</v>
      </c>
      <c r="O111" s="173">
        <f>IFERROR(VLOOKUP($B111,Totalt!$B$1:$AQ$554,MATCH(O$2,Totalt!$B$1:$AQ$1,0),FALSE),"")</f>
        <v>0</v>
      </c>
      <c r="P111" s="173">
        <f>IFERROR(VLOOKUP($B111,Totalt!$B$1:$AQ$554,MATCH(P$2,Totalt!$B$1:$AQ$1,0),FALSE),"")</f>
        <v>24.1</v>
      </c>
      <c r="Q111" s="173">
        <f>IFERROR(VLOOKUP($B111,Totalt!$B$1:$AQ$554,MATCH(Q$2,Totalt!$B$1:$AQ$1,0),FALSE),"")</f>
        <v>0</v>
      </c>
      <c r="R111" s="173">
        <f>IFERROR(VLOOKUP($B111,Totalt!$B$1:$AQ$554,MATCH(R$2,Totalt!$B$1:$AQ$1,0),FALSE),"")</f>
        <v>0</v>
      </c>
      <c r="S111" s="173">
        <f>IFERROR(VLOOKUP($B111,Totalt!$B$1:$AQ$554,MATCH(S$2,Totalt!$B$1:$AQ$1,0),FALSE),"")</f>
        <v>0</v>
      </c>
      <c r="T111" s="173">
        <f>IFERROR(VLOOKUP($B111,Totalt!$B$1:$AQ$554,MATCH(T$2,Totalt!$B$1:$AQ$1,0),FALSE),"")</f>
        <v>0</v>
      </c>
      <c r="U111" s="173">
        <f>IFERROR(VLOOKUP($B111,Totalt!$B$1:$AQ$554,MATCH(U$2,Totalt!$B$1:$AQ$1,0),FALSE),"")</f>
        <v>0</v>
      </c>
      <c r="V111" s="173">
        <f>IFERROR(VLOOKUP($B111,Totalt!$B$1:$AQ$554,MATCH(V$2,Totalt!$B$1:$AQ$1,0),FALSE),"")</f>
        <v>0</v>
      </c>
      <c r="W111" s="173">
        <f>IFERROR(VLOOKUP($B111,Totalt!$B$1:$AQ$554,MATCH(W$2,Totalt!$B$1:$AQ$1,0),FALSE),"")</f>
        <v>0.33</v>
      </c>
      <c r="X111" s="173">
        <f>IFERROR(VLOOKUP($B111,Totalt!$B$1:$AQ$554,MATCH(X$2,Totalt!$B$1:$AQ$1,0),FALSE),"")</f>
        <v>0</v>
      </c>
      <c r="Y111" s="173">
        <f>IFERROR(VLOOKUP($B111,Totalt!$B$1:$AQ$554,MATCH(Y$2,Totalt!$B$1:$AQ$1,0),FALSE),"")</f>
        <v>0</v>
      </c>
      <c r="Z111" s="173">
        <f>IFERROR(VLOOKUP($B111,Totalt!$B$1:$AQ$554,MATCH(Z$2,Totalt!$B$1:$AQ$1,0),FALSE),"")</f>
        <v>0</v>
      </c>
      <c r="AA111" s="173">
        <f>IFERROR(VLOOKUP($B111,Totalt!$B$1:$AQ$554,MATCH(AA$2,Totalt!$B$1:$AQ$1,0),FALSE),"")</f>
        <v>0</v>
      </c>
      <c r="AB111" s="173">
        <f>IFERROR(VLOOKUP($B111,Totalt!$B$1:$AQ$554,MATCH(AB$2,Totalt!$B$1:$AQ$1,0),FALSE),"")</f>
        <v>0</v>
      </c>
      <c r="AC111" s="173">
        <f>IFERROR(VLOOKUP($B111,Totalt!$B$1:$AQ$554,MATCH(AC$2,Totalt!$B$1:$AQ$1,0),FALSE),"")</f>
        <v>0</v>
      </c>
      <c r="AD111" s="173">
        <f>IFERROR(VLOOKUP($B111,Totalt!$B$1:$AQ$554,MATCH(AD$2,Totalt!$B$1:$AQ$1,0),FALSE),"")</f>
        <v>0</v>
      </c>
      <c r="AE111" s="173">
        <f>IFERROR(VLOOKUP($B111,Totalt!$B$1:$AQ$554,MATCH(AE$2,Totalt!$B$1:$AQ$1,0),FALSE),"")</f>
        <v>0</v>
      </c>
      <c r="AF111" s="173">
        <f>IFERROR(VLOOKUP($B111,Totalt!$B$1:$AQ$554,MATCH(AF$2,Totalt!$B$1:$AQ$1,0),FALSE),"")</f>
        <v>0.52</v>
      </c>
      <c r="AG111" s="173">
        <f>IFERROR(VLOOKUP($B111,Totalt!$B$1:$AQ$554,MATCH(AG$2,Totalt!$B$1:$AQ$1,0),FALSE),"")</f>
        <v>0</v>
      </c>
      <c r="AI111" s="226">
        <f t="shared" si="6"/>
        <v>24.95</v>
      </c>
      <c r="AJ111" s="226">
        <f>IF(ISERROR(1/VLOOKUP($B111,Leveranser!$B$1:$S$500,MATCH("såld värme (gwh)",Leveranser!$B$1:$S$1,0),FALSE)),"",VLOOKUP($B111,Leveranser!$B$1:$S$500,MATCH("såld värme (gwh)",Leveranser!$B$1:$S$1,0),FALSE))</f>
        <v>17</v>
      </c>
      <c r="AM111" s="227" t="str">
        <f>IF(B111&lt;&gt;"",IF(VLOOKUP($B111,Totalt!$B$1:$AQ$554,MATCH("Kvalitetsgranskad:",Totalt!$B$1:$AQ$1,0),FALSE)="ja",VLOOKUP($B111,Miljö!$B$1:$AG$479,MATCH(AM$2,Miljö!$B$1:$AK$1,0),FALSE),""),"")</f>
        <v>Ja</v>
      </c>
      <c r="AN111" s="227" t="str">
        <f>IF(AM111="ja",VLOOKUP($B111,Miljö!$B$1:$J$479,MATCH("Typ av ursprungsspecificerad el   (Om inget värde anges används Nordisk residualmix, se inforuta) ()",Miljö!$B$1:$J$1,0),FALSE),IF(AM111="nej","Nordisk residualel",""))</f>
        <v>'Vattenkraft'</v>
      </c>
      <c r="AO111" s="227">
        <f>IF(AM111="","",VLOOKUP($B111,Miljö!$B$1:$J$479,MATCH("Fossilandel för ursprungspecificerad el ()",Miljö!$B$1:$J$1,0),FALSE))</f>
        <v>0</v>
      </c>
      <c r="AP111" s="227">
        <f>IF(AM111="","",IFERROR(VLOOKUP($B111,Miljö!$B$1:$J$479,MATCH("Kärnkraftsandel för ursprungsspecificerad el ()",Miljö!$B$1:$J$1,0),FALSE)/1,0))</f>
        <v>0</v>
      </c>
      <c r="AQ111" s="227">
        <f t="shared" si="7"/>
        <v>1</v>
      </c>
      <c r="AR111" s="227"/>
      <c r="AS111" s="227" t="str">
        <f t="shared" si="8"/>
        <v>Nej</v>
      </c>
      <c r="AT111" s="227" t="str">
        <f>IF(AS111="ja",VLOOKUP($B111,Miljö!$B$1:$O$500,MATCH("Fossil andel i procent (%)",Miljö!$B$1:$O$1,0),FALSE)/100,"")</f>
        <v/>
      </c>
      <c r="AU111" s="227"/>
      <c r="AV111" s="227" t="str">
        <f t="shared" si="9"/>
        <v>Nej</v>
      </c>
      <c r="AW111" s="227" t="str">
        <f>IF(AV111="ja",VLOOKUP($B111,'Egen hetvattenprod'!$B$1:$AO$500,MATCH("Värmekälla till värmepumpar ()",'Egen hetvattenprod'!$B$1:$AO$1,0),FALSE),"")</f>
        <v/>
      </c>
      <c r="AX111" s="227"/>
      <c r="AY111" s="227" t="str">
        <f t="shared" si="10"/>
        <v>Nej</v>
      </c>
      <c r="AZ111" s="228" t="str">
        <f>IF($AY111="ja",(VLOOKUP($B111,'Egen hetvattenprod'!$B$1:$BX$550,MATCH(AZ$2,'Egen hetvattenprod'!$B$1:$BX$1,0),FALSE)+VLOOKUP($B111,Kraftvärmeprod!$B$1:$BX$550,MATCH(AZ$2,Kraftvärmeprod!$B$1:$BX$1,0),FALSE))/$AC111,"")</f>
        <v/>
      </c>
      <c r="BA111" s="228" t="str">
        <f>IF($AY111="ja",(VLOOKUP($B111,'Egen hetvattenprod'!$B$1:$BX$550,MATCH(BA$2,'Egen hetvattenprod'!$B$1:$BX$1,0),FALSE)+VLOOKUP($B111,Kraftvärmeprod!$B$1:$BX$550,MATCH(BA$2,Kraftvärmeprod!$B$1:$BX$1,0),FALSE))/$AC111,"")</f>
        <v/>
      </c>
      <c r="BB111" s="228" t="str">
        <f>IF($AY111="ja",(VLOOKUP($B111,'Egen hetvattenprod'!$B$1:$BX$550,MATCH(BB$2,'Egen hetvattenprod'!$B$1:$BX$1,0),FALSE)+VLOOKUP($B111,Kraftvärmeprod!$B$1:$BX$550,MATCH(BB$2,Kraftvärmeprod!$B$1:$BX$1,0),FALSE))/$AC111,"")</f>
        <v/>
      </c>
      <c r="BC111" s="228" t="str">
        <f>IF($AY111="ja",(VLOOKUP($B111,'Egen hetvattenprod'!$B$1:$BX$550,MATCH(BC$2,'Egen hetvattenprod'!$B$1:$BX$1,0),FALSE)+VLOOKUP($B111,Kraftvärmeprod!$B$1:$BX$550,MATCH(BC$2,Kraftvärmeprod!$B$1:$BX$1,0),FALSE))/$AC111,"")</f>
        <v/>
      </c>
      <c r="BD111" s="228" t="str">
        <f>IF($AY111="ja",(VLOOKUP($B111,'Egen hetvattenprod'!$B$1:$BX$550,MATCH(BD$2,'Egen hetvattenprod'!$B$1:$BX$1,0),FALSE)+VLOOKUP($B111,Kraftvärmeprod!$B$1:$BX$550,MATCH(BD$2,Kraftvärmeprod!$B$1:$BX$1,0),FALSE))/$AC111,"")</f>
        <v/>
      </c>
      <c r="BE111" s="227"/>
      <c r="BF111" s="227" t="str">
        <f t="shared" si="11"/>
        <v>Nej</v>
      </c>
      <c r="BG111" s="227" t="str">
        <f>IF($BF111="ja",VLOOKUP($B111,'Egen hetvattenprod'!$B$1:$BX$550,MATCH("Andelen klimatgaser med fossilt ursprung för avfall ()",'Egen hetvattenprod'!$B$1:$BX$1,0),FALSE),"")</f>
        <v/>
      </c>
      <c r="BH111" s="227" t="str">
        <f>IF($BF111="ja",VLOOKUP($B111,Kraftvärmeprod!$B$1:$BX$550,MATCH("Andelen klimatgaser med fossilt ursprung för avfall ()",Kraftvärmeprod!$B$1:$BX$1,0),FALSE),"")</f>
        <v/>
      </c>
      <c r="BI111" s="227" t="str">
        <f>IF($BF111="ja",VLOOKUP($B111,'Egen hetvattenprod'!$B$1:$BX$550,MATCH("Avfall (GWh)",'Egen hetvattenprod'!$B$1:$BX$1,0),FALSE),"")</f>
        <v/>
      </c>
      <c r="BJ111" s="227" t="str">
        <f>IF($BF111="ja",VLOOKUP($B111,'Slutlig allokering kvv'!$B$1:$BX$550,MATCH("Avfall (GWh)",'Slutlig allokering kvv'!$B$1:$BX$1,0),FALSE),"")</f>
        <v/>
      </c>
      <c r="BK111" s="227" t="str">
        <f>IF($BF111="ja",VLOOKUP($B111,'Köpt hetvatten'!$B$1:$BX$550,MATCH("Avfall i köpt hetvatten",'Köpt hetvatten'!$B$1:$BX$1,0),FALSE),"")</f>
        <v/>
      </c>
      <c r="BL111" s="227" t="str">
        <f>IF($BF111="ja",VLOOKUP($B111,'Egen hetvattenprod'!$B$1:$BX$550,MATCH("Värde enligt ovan. (%)",'Egen hetvattenprod'!$B$1:$BX$1,0),FALSE),"")</f>
        <v/>
      </c>
      <c r="BM111" s="227" t="str">
        <f>IF($BF111="ja",VLOOKUP($B111,Kraftvärmeprod!$B$1:$BX$550,MATCH("Värde enligt ovan. (%)",Kraftvärmeprod!$B$1:$BX$1,0),FALSE),"")</f>
        <v/>
      </c>
      <c r="BN111" s="227"/>
      <c r="BO111" s="227"/>
      <c r="BP111" s="227"/>
      <c r="BQ111" s="227" t="str">
        <f>IF($BF111="ja",VLOOKUP($B111,'Egen hetvattenprod'!$B$1:$BX$550,MATCH("Tillförd olja (fossil) vid avfallsförbränning (GWh)",'Egen hetvattenprod'!$B$1:$BX$1,0),FALSE),"")</f>
        <v/>
      </c>
      <c r="BR111" s="227" t="str">
        <f>IF($BF111="ja",VLOOKUP($B111,Kraftvärmeprod!$B$1:$BX$550,MATCH("Tillförd olja (fossil) vid avfallsförbränning (GWh)",Kraftvärmeprod!$B$1:$BX$1,0),FALSE),"")</f>
        <v/>
      </c>
      <c r="BS111" s="227"/>
      <c r="BT111" s="227"/>
      <c r="BU111" s="227"/>
    </row>
    <row r="112" spans="1:73" x14ac:dyDescent="0.25">
      <c r="A112" s="121" t="str">
        <f>'Miljövärden för publ företag'!B115</f>
        <v>Höganäs Energi AB</v>
      </c>
      <c r="B112" s="121" t="str">
        <f>'Miljövärden för publ företag'!C115</f>
        <v>Höganäs</v>
      </c>
      <c r="C112" s="173">
        <f>IFERROR(VLOOKUP($B112,Totalt!$B$1:$AQ$554,MATCH(C$2,Totalt!$B$1:$AQ$1,0),FALSE),"")</f>
        <v>0</v>
      </c>
      <c r="D112" s="173">
        <f>IFERROR(VLOOKUP($B112,Totalt!$B$1:$AQ$554,MATCH(D$2,Totalt!$B$1:$AQ$1,0),FALSE),"")</f>
        <v>0</v>
      </c>
      <c r="E112" s="173">
        <f>IFERROR(VLOOKUP($B112,Totalt!$B$1:$AQ$554,MATCH(E$2,Totalt!$B$1:$AQ$1,0),FALSE),"")</f>
        <v>0</v>
      </c>
      <c r="F112" s="173">
        <f>IFERROR(VLOOKUP($B112,Totalt!$B$1:$AQ$554,MATCH(F$2,Totalt!$B$1:$AQ$1,0),FALSE),"")</f>
        <v>0</v>
      </c>
      <c r="G112" s="173">
        <f>IFERROR(VLOOKUP($B112,Totalt!$B$1:$AQ$554,MATCH(G$2,Totalt!$B$1:$AQ$1,0),FALSE),"")</f>
        <v>1.4E-2</v>
      </c>
      <c r="H112" s="173">
        <f>IFERROR(VLOOKUP($B112,Totalt!$B$1:$AQ$554,MATCH(H$2,Totalt!$B$1:$AQ$1,0),FALSE),"")</f>
        <v>0</v>
      </c>
      <c r="I112" s="173">
        <f>IFERROR(VLOOKUP($B112,Totalt!$B$1:$AQ$554,MATCH(I$2,Totalt!$B$1:$AQ$1,0),FALSE),"")</f>
        <v>0</v>
      </c>
      <c r="J112" s="173">
        <f>IFERROR(VLOOKUP($B112,Totalt!$B$1:$AQ$554,MATCH(J$2,Totalt!$B$1:$AQ$1,0),FALSE),"")</f>
        <v>0</v>
      </c>
      <c r="K112" s="173">
        <f>IFERROR(VLOOKUP($B112,Totalt!$B$1:$AQ$554,MATCH(K$2,Totalt!$B$1:$AQ$1,0),FALSE),"")</f>
        <v>0</v>
      </c>
      <c r="L112" s="173">
        <f>IFERROR(VLOOKUP($B112,Totalt!$B$1:$AQ$554,MATCH(L$2,Totalt!$B$1:$AQ$1,0),FALSE),"")</f>
        <v>0</v>
      </c>
      <c r="M112" s="173">
        <f>IFERROR(VLOOKUP($B112,Totalt!$B$1:$AQ$554,MATCH(M$2,Totalt!$B$1:$AQ$1,0),FALSE),"")</f>
        <v>0</v>
      </c>
      <c r="N112" s="173">
        <f>IFERROR(VLOOKUP($B112,Totalt!$B$1:$AQ$554,MATCH(N$2,Totalt!$B$1:$AQ$1,0),FALSE),"")</f>
        <v>0</v>
      </c>
      <c r="O112" s="173">
        <f>IFERROR(VLOOKUP($B112,Totalt!$B$1:$AQ$554,MATCH(O$2,Totalt!$B$1:$AQ$1,0),FALSE),"")</f>
        <v>0</v>
      </c>
      <c r="P112" s="173">
        <f>IFERROR(VLOOKUP($B112,Totalt!$B$1:$AQ$554,MATCH(P$2,Totalt!$B$1:$AQ$1,0),FALSE),"")</f>
        <v>0</v>
      </c>
      <c r="Q112" s="173">
        <f>IFERROR(VLOOKUP($B112,Totalt!$B$1:$AQ$554,MATCH(Q$2,Totalt!$B$1:$AQ$1,0),FALSE),"")</f>
        <v>0</v>
      </c>
      <c r="R112" s="173">
        <f>IFERROR(VLOOKUP($B112,Totalt!$B$1:$AQ$554,MATCH(R$2,Totalt!$B$1:$AQ$1,0),FALSE),"")</f>
        <v>0</v>
      </c>
      <c r="S112" s="173">
        <f>IFERROR(VLOOKUP($B112,Totalt!$B$1:$AQ$554,MATCH(S$2,Totalt!$B$1:$AQ$1,0),FALSE),"")</f>
        <v>0</v>
      </c>
      <c r="T112" s="173">
        <f>IFERROR(VLOOKUP($B112,Totalt!$B$1:$AQ$554,MATCH(T$2,Totalt!$B$1:$AQ$1,0),FALSE),"")</f>
        <v>0</v>
      </c>
      <c r="U112" s="173">
        <f>IFERROR(VLOOKUP($B112,Totalt!$B$1:$AQ$554,MATCH(U$2,Totalt!$B$1:$AQ$1,0),FALSE),"")</f>
        <v>0</v>
      </c>
      <c r="V112" s="173">
        <f>IFERROR(VLOOKUP($B112,Totalt!$B$1:$AQ$554,MATCH(V$2,Totalt!$B$1:$AQ$1,0),FALSE),"")</f>
        <v>0</v>
      </c>
      <c r="W112" s="173">
        <f>IFERROR(VLOOKUP($B112,Totalt!$B$1:$AQ$554,MATCH(W$2,Totalt!$B$1:$AQ$1,0),FALSE),"")</f>
        <v>6.2969999999999997</v>
      </c>
      <c r="X112" s="173">
        <f>IFERROR(VLOOKUP($B112,Totalt!$B$1:$AQ$554,MATCH(X$2,Totalt!$B$1:$AQ$1,0),FALSE),"")</f>
        <v>0</v>
      </c>
      <c r="Y112" s="173">
        <f>IFERROR(VLOOKUP($B112,Totalt!$B$1:$AQ$554,MATCH(Y$2,Totalt!$B$1:$AQ$1,0),FALSE),"")</f>
        <v>0</v>
      </c>
      <c r="Z112" s="173">
        <f>IFERROR(VLOOKUP($B112,Totalt!$B$1:$AQ$554,MATCH(Z$2,Totalt!$B$1:$AQ$1,0),FALSE),"")</f>
        <v>0</v>
      </c>
      <c r="AA112" s="173">
        <f>IFERROR(VLOOKUP($B112,Totalt!$B$1:$AQ$554,MATCH(AA$2,Totalt!$B$1:$AQ$1,0),FALSE),"")</f>
        <v>0</v>
      </c>
      <c r="AB112" s="173">
        <f>IFERROR(VLOOKUP($B112,Totalt!$B$1:$AQ$554,MATCH(AB$2,Totalt!$B$1:$AQ$1,0),FALSE),"")</f>
        <v>0</v>
      </c>
      <c r="AC112" s="173">
        <f>IFERROR(VLOOKUP($B112,Totalt!$B$1:$AQ$554,MATCH(AC$2,Totalt!$B$1:$AQ$1,0),FALSE),"")</f>
        <v>0</v>
      </c>
      <c r="AD112" s="173">
        <f>IFERROR(VLOOKUP($B112,Totalt!$B$1:$AQ$554,MATCH(AD$2,Totalt!$B$1:$AQ$1,0),FALSE),"")</f>
        <v>42.887999999999998</v>
      </c>
      <c r="AE112" s="173">
        <f>IFERROR(VLOOKUP($B112,Totalt!$B$1:$AQ$554,MATCH(AE$2,Totalt!$B$1:$AQ$1,0),FALSE),"")</f>
        <v>0</v>
      </c>
      <c r="AF112" s="173">
        <f>IFERROR(VLOOKUP($B112,Totalt!$B$1:$AQ$554,MATCH(AF$2,Totalt!$B$1:$AQ$1,0),FALSE),"")</f>
        <v>0.37866899999999998</v>
      </c>
      <c r="AG112" s="173">
        <f>IFERROR(VLOOKUP($B112,Totalt!$B$1:$AQ$554,MATCH(AG$2,Totalt!$B$1:$AQ$1,0),FALSE),"")</f>
        <v>0</v>
      </c>
      <c r="AI112" s="226">
        <f t="shared" si="6"/>
        <v>49.577669</v>
      </c>
      <c r="AJ112" s="226">
        <f>IF(ISERROR(1/VLOOKUP($B112,Leveranser!$B$1:$S$500,MATCH("såld värme (gwh)",Leveranser!$B$1:$S$1,0),FALSE)),"",VLOOKUP($B112,Leveranser!$B$1:$S$500,MATCH("såld värme (gwh)",Leveranser!$B$1:$S$1,0),FALSE))</f>
        <v>42.759</v>
      </c>
      <c r="AM112" s="227" t="str">
        <f>IF(B112&lt;&gt;"",IF(VLOOKUP($B112,Totalt!$B$1:$AQ$554,MATCH("Kvalitetsgranskad:",Totalt!$B$1:$AQ$1,0),FALSE)="ja",VLOOKUP($B112,Miljö!$B$1:$AG$479,MATCH(AM$2,Miljö!$B$1:$AK$1,0),FALSE),""),"")</f>
        <v>Ja</v>
      </c>
      <c r="AN112" s="227" t="str">
        <f>IF(AM112="ja",VLOOKUP($B112,Miljö!$B$1:$J$479,MATCH("Typ av ursprungsspecificerad el   (Om inget värde anges används Nordisk residualmix, se inforuta) ()",Miljö!$B$1:$J$1,0),FALSE),IF(AM112="nej","Nordisk residualel",""))</f>
        <v>'Vattenkraft'</v>
      </c>
      <c r="AO112" s="227">
        <f>IF(AM112="","",VLOOKUP($B112,Miljö!$B$1:$J$479,MATCH("Fossilandel för ursprungspecificerad el ()",Miljö!$B$1:$J$1,0),FALSE))</f>
        <v>0</v>
      </c>
      <c r="AP112" s="227">
        <f>IF(AM112="","",IFERROR(VLOOKUP($B112,Miljö!$B$1:$J$479,MATCH("Kärnkraftsandel för ursprungsspecificerad el ()",Miljö!$B$1:$J$1,0),FALSE)/1,0))</f>
        <v>0</v>
      </c>
      <c r="AQ112" s="227">
        <f t="shared" si="7"/>
        <v>1</v>
      </c>
      <c r="AR112" s="227"/>
      <c r="AS112" s="227" t="str">
        <f t="shared" si="8"/>
        <v>Nej</v>
      </c>
      <c r="AT112" s="227" t="str">
        <f>IF(AS112="ja",VLOOKUP($B112,Miljö!$B$1:$O$500,MATCH("Fossil andel i procent (%)",Miljö!$B$1:$O$1,0),FALSE)/100,"")</f>
        <v/>
      </c>
      <c r="AU112" s="227"/>
      <c r="AV112" s="227" t="str">
        <f t="shared" si="9"/>
        <v>Nej</v>
      </c>
      <c r="AW112" s="227" t="str">
        <f>IF(AV112="ja",VLOOKUP($B112,'Egen hetvattenprod'!$B$1:$AO$500,MATCH("Värmekälla till värmepumpar ()",'Egen hetvattenprod'!$B$1:$AO$1,0),FALSE),"")</f>
        <v/>
      </c>
      <c r="AX112" s="227"/>
      <c r="AY112" s="227" t="str">
        <f t="shared" si="10"/>
        <v>Nej</v>
      </c>
      <c r="AZ112" s="228" t="str">
        <f>IF($AY112="ja",(VLOOKUP($B112,'Egen hetvattenprod'!$B$1:$BX$550,MATCH(AZ$2,'Egen hetvattenprod'!$B$1:$BX$1,0),FALSE)+VLOOKUP($B112,Kraftvärmeprod!$B$1:$BX$550,MATCH(AZ$2,Kraftvärmeprod!$B$1:$BX$1,0),FALSE))/$AC112,"")</f>
        <v/>
      </c>
      <c r="BA112" s="228" t="str">
        <f>IF($AY112="ja",(VLOOKUP($B112,'Egen hetvattenprod'!$B$1:$BX$550,MATCH(BA$2,'Egen hetvattenprod'!$B$1:$BX$1,0),FALSE)+VLOOKUP($B112,Kraftvärmeprod!$B$1:$BX$550,MATCH(BA$2,Kraftvärmeprod!$B$1:$BX$1,0),FALSE))/$AC112,"")</f>
        <v/>
      </c>
      <c r="BB112" s="228" t="str">
        <f>IF($AY112="ja",(VLOOKUP($B112,'Egen hetvattenprod'!$B$1:$BX$550,MATCH(BB$2,'Egen hetvattenprod'!$B$1:$BX$1,0),FALSE)+VLOOKUP($B112,Kraftvärmeprod!$B$1:$BX$550,MATCH(BB$2,Kraftvärmeprod!$B$1:$BX$1,0),FALSE))/$AC112,"")</f>
        <v/>
      </c>
      <c r="BC112" s="228" t="str">
        <f>IF($AY112="ja",(VLOOKUP($B112,'Egen hetvattenprod'!$B$1:$BX$550,MATCH(BC$2,'Egen hetvattenprod'!$B$1:$BX$1,0),FALSE)+VLOOKUP($B112,Kraftvärmeprod!$B$1:$BX$550,MATCH(BC$2,Kraftvärmeprod!$B$1:$BX$1,0),FALSE))/$AC112,"")</f>
        <v/>
      </c>
      <c r="BD112" s="228" t="str">
        <f>IF($AY112="ja",(VLOOKUP($B112,'Egen hetvattenprod'!$B$1:$BX$550,MATCH(BD$2,'Egen hetvattenprod'!$B$1:$BX$1,0),FALSE)+VLOOKUP($B112,Kraftvärmeprod!$B$1:$BX$550,MATCH(BD$2,Kraftvärmeprod!$B$1:$BX$1,0),FALSE))/$AC112,"")</f>
        <v/>
      </c>
      <c r="BE112" s="227"/>
      <c r="BF112" s="227" t="str">
        <f t="shared" si="11"/>
        <v>Nej</v>
      </c>
      <c r="BG112" s="227" t="str">
        <f>IF($BF112="ja",VLOOKUP($B112,'Egen hetvattenprod'!$B$1:$BX$550,MATCH("Andelen klimatgaser med fossilt ursprung för avfall ()",'Egen hetvattenprod'!$B$1:$BX$1,0),FALSE),"")</f>
        <v/>
      </c>
      <c r="BH112" s="227" t="str">
        <f>IF($BF112="ja",VLOOKUP($B112,Kraftvärmeprod!$B$1:$BX$550,MATCH("Andelen klimatgaser med fossilt ursprung för avfall ()",Kraftvärmeprod!$B$1:$BX$1,0),FALSE),"")</f>
        <v/>
      </c>
      <c r="BI112" s="227" t="str">
        <f>IF($BF112="ja",VLOOKUP($B112,'Egen hetvattenprod'!$B$1:$BX$550,MATCH("Avfall (GWh)",'Egen hetvattenprod'!$B$1:$BX$1,0),FALSE),"")</f>
        <v/>
      </c>
      <c r="BJ112" s="227" t="str">
        <f>IF($BF112="ja",VLOOKUP($B112,'Slutlig allokering kvv'!$B$1:$BX$550,MATCH("Avfall (GWh)",'Slutlig allokering kvv'!$B$1:$BX$1,0),FALSE),"")</f>
        <v/>
      </c>
      <c r="BK112" s="227" t="str">
        <f>IF($BF112="ja",VLOOKUP($B112,'Köpt hetvatten'!$B$1:$BX$550,MATCH("Avfall i köpt hetvatten",'Köpt hetvatten'!$B$1:$BX$1,0),FALSE),"")</f>
        <v/>
      </c>
      <c r="BL112" s="227" t="str">
        <f>IF($BF112="ja",VLOOKUP($B112,'Egen hetvattenprod'!$B$1:$BX$550,MATCH("Värde enligt ovan. (%)",'Egen hetvattenprod'!$B$1:$BX$1,0),FALSE),"")</f>
        <v/>
      </c>
      <c r="BM112" s="227" t="str">
        <f>IF($BF112="ja",VLOOKUP($B112,Kraftvärmeprod!$B$1:$BX$550,MATCH("Värde enligt ovan. (%)",Kraftvärmeprod!$B$1:$BX$1,0),FALSE),"")</f>
        <v/>
      </c>
      <c r="BN112" s="227"/>
      <c r="BO112" s="227"/>
      <c r="BP112" s="227"/>
      <c r="BQ112" s="227" t="str">
        <f>IF($BF112="ja",VLOOKUP($B112,'Egen hetvattenprod'!$B$1:$BX$550,MATCH("Tillförd olja (fossil) vid avfallsförbränning (GWh)",'Egen hetvattenprod'!$B$1:$BX$1,0),FALSE),"")</f>
        <v/>
      </c>
      <c r="BR112" s="227" t="str">
        <f>IF($BF112="ja",VLOOKUP($B112,Kraftvärmeprod!$B$1:$BX$550,MATCH("Tillförd olja (fossil) vid avfallsförbränning (GWh)",Kraftvärmeprod!$B$1:$BX$1,0),FALSE),"")</f>
        <v/>
      </c>
      <c r="BS112" s="227"/>
      <c r="BT112" s="227"/>
      <c r="BU112" s="227"/>
    </row>
    <row r="113" spans="1:73" x14ac:dyDescent="0.25">
      <c r="A113" s="121" t="str">
        <f>'Miljövärden för publ företag'!B116</f>
        <v>Jokkmokks Värmeverk AB</v>
      </c>
      <c r="B113" s="121" t="str">
        <f>'Miljövärden för publ företag'!C116</f>
        <v>Jokkmokk</v>
      </c>
      <c r="C113" s="173">
        <f>IFERROR(VLOOKUP($B113,Totalt!$B$1:$AQ$554,MATCH(C$2,Totalt!$B$1:$AQ$1,0),FALSE),"")</f>
        <v>0</v>
      </c>
      <c r="D113" s="173">
        <f>IFERROR(VLOOKUP($B113,Totalt!$B$1:$AQ$554,MATCH(D$2,Totalt!$B$1:$AQ$1,0),FALSE),"")</f>
        <v>0.3</v>
      </c>
      <c r="E113" s="173">
        <f>IFERROR(VLOOKUP($B113,Totalt!$B$1:$AQ$554,MATCH(E$2,Totalt!$B$1:$AQ$1,0),FALSE),"")</f>
        <v>0</v>
      </c>
      <c r="F113" s="173">
        <f>IFERROR(VLOOKUP($B113,Totalt!$B$1:$AQ$554,MATCH(F$2,Totalt!$B$1:$AQ$1,0),FALSE),"")</f>
        <v>0</v>
      </c>
      <c r="G113" s="173">
        <f>IFERROR(VLOOKUP($B113,Totalt!$B$1:$AQ$554,MATCH(G$2,Totalt!$B$1:$AQ$1,0),FALSE),"")</f>
        <v>0</v>
      </c>
      <c r="H113" s="173">
        <f>IFERROR(VLOOKUP($B113,Totalt!$B$1:$AQ$554,MATCH(H$2,Totalt!$B$1:$AQ$1,0),FALSE),"")</f>
        <v>0</v>
      </c>
      <c r="I113" s="173">
        <f>IFERROR(VLOOKUP($B113,Totalt!$B$1:$AQ$554,MATCH(I$2,Totalt!$B$1:$AQ$1,0),FALSE),"")</f>
        <v>0</v>
      </c>
      <c r="J113" s="173">
        <f>IFERROR(VLOOKUP($B113,Totalt!$B$1:$AQ$554,MATCH(J$2,Totalt!$B$1:$AQ$1,0),FALSE),"")</f>
        <v>0</v>
      </c>
      <c r="K113" s="173">
        <f>IFERROR(VLOOKUP($B113,Totalt!$B$1:$AQ$554,MATCH(K$2,Totalt!$B$1:$AQ$1,0),FALSE),"")</f>
        <v>0</v>
      </c>
      <c r="L113" s="173">
        <f>IFERROR(VLOOKUP($B113,Totalt!$B$1:$AQ$554,MATCH(L$2,Totalt!$B$1:$AQ$1,0),FALSE),"")</f>
        <v>0</v>
      </c>
      <c r="M113" s="173">
        <f>IFERROR(VLOOKUP($B113,Totalt!$B$1:$AQ$554,MATCH(M$2,Totalt!$B$1:$AQ$1,0),FALSE),"")</f>
        <v>0</v>
      </c>
      <c r="N113" s="173">
        <f>IFERROR(VLOOKUP($B113,Totalt!$B$1:$AQ$554,MATCH(N$2,Totalt!$B$1:$AQ$1,0),FALSE),"")</f>
        <v>0</v>
      </c>
      <c r="O113" s="173">
        <f>IFERROR(VLOOKUP($B113,Totalt!$B$1:$AQ$554,MATCH(O$2,Totalt!$B$1:$AQ$1,0),FALSE),"")</f>
        <v>0</v>
      </c>
      <c r="P113" s="173">
        <f>IFERROR(VLOOKUP($B113,Totalt!$B$1:$AQ$554,MATCH(P$2,Totalt!$B$1:$AQ$1,0),FALSE),"")</f>
        <v>39</v>
      </c>
      <c r="Q113" s="173">
        <f>IFERROR(VLOOKUP($B113,Totalt!$B$1:$AQ$554,MATCH(Q$2,Totalt!$B$1:$AQ$1,0),FALSE),"")</f>
        <v>0</v>
      </c>
      <c r="R113" s="173">
        <f>IFERROR(VLOOKUP($B113,Totalt!$B$1:$AQ$554,MATCH(R$2,Totalt!$B$1:$AQ$1,0),FALSE),"")</f>
        <v>5</v>
      </c>
      <c r="S113" s="173">
        <f>IFERROR(VLOOKUP($B113,Totalt!$B$1:$AQ$554,MATCH(S$2,Totalt!$B$1:$AQ$1,0),FALSE),"")</f>
        <v>0</v>
      </c>
      <c r="T113" s="173">
        <f>IFERROR(VLOOKUP($B113,Totalt!$B$1:$AQ$554,MATCH(T$2,Totalt!$B$1:$AQ$1,0),FALSE),"")</f>
        <v>0</v>
      </c>
      <c r="U113" s="173">
        <f>IFERROR(VLOOKUP($B113,Totalt!$B$1:$AQ$554,MATCH(U$2,Totalt!$B$1:$AQ$1,0),FALSE),"")</f>
        <v>0</v>
      </c>
      <c r="V113" s="173">
        <f>IFERROR(VLOOKUP($B113,Totalt!$B$1:$AQ$554,MATCH(V$2,Totalt!$B$1:$AQ$1,0),FALSE),"")</f>
        <v>0</v>
      </c>
      <c r="W113" s="173">
        <f>IFERROR(VLOOKUP($B113,Totalt!$B$1:$AQ$554,MATCH(W$2,Totalt!$B$1:$AQ$1,0),FALSE),"")</f>
        <v>0</v>
      </c>
      <c r="X113" s="173">
        <f>IFERROR(VLOOKUP($B113,Totalt!$B$1:$AQ$554,MATCH(X$2,Totalt!$B$1:$AQ$1,0),FALSE),"")</f>
        <v>0</v>
      </c>
      <c r="Y113" s="173">
        <f>IFERROR(VLOOKUP($B113,Totalt!$B$1:$AQ$554,MATCH(Y$2,Totalt!$B$1:$AQ$1,0),FALSE),"")</f>
        <v>0</v>
      </c>
      <c r="Z113" s="173">
        <f>IFERROR(VLOOKUP($B113,Totalt!$B$1:$AQ$554,MATCH(Z$2,Totalt!$B$1:$AQ$1,0),FALSE),"")</f>
        <v>0</v>
      </c>
      <c r="AA113" s="173">
        <f>IFERROR(VLOOKUP($B113,Totalt!$B$1:$AQ$554,MATCH(AA$2,Totalt!$B$1:$AQ$1,0),FALSE),"")</f>
        <v>0</v>
      </c>
      <c r="AB113" s="173">
        <f>IFERROR(VLOOKUP($B113,Totalt!$B$1:$AQ$554,MATCH(AB$2,Totalt!$B$1:$AQ$1,0),FALSE),"")</f>
        <v>0</v>
      </c>
      <c r="AC113" s="173">
        <f>IFERROR(VLOOKUP($B113,Totalt!$B$1:$AQ$554,MATCH(AC$2,Totalt!$B$1:$AQ$1,0),FALSE),"")</f>
        <v>6</v>
      </c>
      <c r="AD113" s="173">
        <f>IFERROR(VLOOKUP($B113,Totalt!$B$1:$AQ$554,MATCH(AD$2,Totalt!$B$1:$AQ$1,0),FALSE),"")</f>
        <v>0</v>
      </c>
      <c r="AE113" s="173">
        <f>IFERROR(VLOOKUP($B113,Totalt!$B$1:$AQ$554,MATCH(AE$2,Totalt!$B$1:$AQ$1,0),FALSE),"")</f>
        <v>0</v>
      </c>
      <c r="AF113" s="173">
        <f>IFERROR(VLOOKUP($B113,Totalt!$B$1:$AQ$554,MATCH(AF$2,Totalt!$B$1:$AQ$1,0),FALSE),"")</f>
        <v>1.3</v>
      </c>
      <c r="AG113" s="173">
        <f>IFERROR(VLOOKUP($B113,Totalt!$B$1:$AQ$554,MATCH(AG$2,Totalt!$B$1:$AQ$1,0),FALSE),"")</f>
        <v>0</v>
      </c>
      <c r="AI113" s="226">
        <f t="shared" si="6"/>
        <v>51.599999999999994</v>
      </c>
      <c r="AJ113" s="226">
        <f>IF(ISERROR(1/VLOOKUP($B113,Leveranser!$B$1:$S$500,MATCH("såld värme (gwh)",Leveranser!$B$1:$S$1,0),FALSE)),"",VLOOKUP($B113,Leveranser!$B$1:$S$500,MATCH("såld värme (gwh)",Leveranser!$B$1:$S$1,0),FALSE))</f>
        <v>34.799999999999997</v>
      </c>
      <c r="AM113" s="227" t="str">
        <f>IF(B113&lt;&gt;"",IF(VLOOKUP($B113,Totalt!$B$1:$AQ$554,MATCH("Kvalitetsgranskad:",Totalt!$B$1:$AQ$1,0),FALSE)="ja",VLOOKUP($B113,Miljö!$B$1:$AG$479,MATCH(AM$2,Miljö!$B$1:$AK$1,0),FALSE),""),"")</f>
        <v>Nej</v>
      </c>
      <c r="AN113" s="227" t="str">
        <f>IF(AM113="ja",VLOOKUP($B113,Miljö!$B$1:$J$479,MATCH("Typ av ursprungsspecificerad el   (Om inget värde anges används Nordisk residualmix, se inforuta) ()",Miljö!$B$1:$J$1,0),FALSE),IF(AM113="nej","Nordisk residualel",""))</f>
        <v>Nordisk residualel</v>
      </c>
      <c r="AO113" s="227">
        <f>IF(AM113="","",VLOOKUP($B113,Miljö!$B$1:$J$479,MATCH("Fossilandel för ursprungspecificerad el ()",Miljö!$B$1:$J$1,0),FALSE))</f>
        <v>0.43</v>
      </c>
      <c r="AP113" s="227">
        <f>IF(AM113="","",IFERROR(VLOOKUP($B113,Miljö!$B$1:$J$479,MATCH("Kärnkraftsandel för ursprungsspecificerad el ()",Miljö!$B$1:$J$1,0),FALSE)/1,0))</f>
        <v>0.40550000000000003</v>
      </c>
      <c r="AQ113" s="227">
        <f t="shared" si="7"/>
        <v>0.16450000000000004</v>
      </c>
      <c r="AR113" s="227"/>
      <c r="AS113" s="227" t="str">
        <f t="shared" si="8"/>
        <v>Nej</v>
      </c>
      <c r="AT113" s="227" t="str">
        <f>IF(AS113="ja",VLOOKUP($B113,Miljö!$B$1:$O$500,MATCH("Fossil andel i procent (%)",Miljö!$B$1:$O$1,0),FALSE)/100,"")</f>
        <v/>
      </c>
      <c r="AU113" s="227"/>
      <c r="AV113" s="227" t="str">
        <f t="shared" si="9"/>
        <v>Nej</v>
      </c>
      <c r="AW113" s="227" t="str">
        <f>IF(AV113="ja",VLOOKUP($B113,'Egen hetvattenprod'!$B$1:$AO$500,MATCH("Värmekälla till värmepumpar ()",'Egen hetvattenprod'!$B$1:$AO$1,0),FALSE),"")</f>
        <v/>
      </c>
      <c r="AX113" s="227"/>
      <c r="AY113" s="227" t="str">
        <f t="shared" si="10"/>
        <v>Ja</v>
      </c>
      <c r="AZ113" s="228">
        <f>IF($AY113="ja",(VLOOKUP($B113,'Egen hetvattenprod'!$B$1:$BX$550,MATCH(AZ$2,'Egen hetvattenprod'!$B$1:$BX$1,0),FALSE)+VLOOKUP($B113,Kraftvärmeprod!$B$1:$BX$550,MATCH(AZ$2,Kraftvärmeprod!$B$1:$BX$1,0),FALSE))/$AC113,"")</f>
        <v>1</v>
      </c>
      <c r="BA113" s="228">
        <f>IF($AY113="ja",(VLOOKUP($B113,'Egen hetvattenprod'!$B$1:$BX$550,MATCH(BA$2,'Egen hetvattenprod'!$B$1:$BX$1,0),FALSE)+VLOOKUP($B113,Kraftvärmeprod!$B$1:$BX$550,MATCH(BA$2,Kraftvärmeprod!$B$1:$BX$1,0),FALSE))/$AC113,"")</f>
        <v>0</v>
      </c>
      <c r="BB113" s="228">
        <f>IF($AY113="ja",(VLOOKUP($B113,'Egen hetvattenprod'!$B$1:$BX$550,MATCH(BB$2,'Egen hetvattenprod'!$B$1:$BX$1,0),FALSE)+VLOOKUP($B113,Kraftvärmeprod!$B$1:$BX$550,MATCH(BB$2,Kraftvärmeprod!$B$1:$BX$1,0),FALSE))/$AC113,"")</f>
        <v>0</v>
      </c>
      <c r="BC113" s="228">
        <f>IF($AY113="ja",(VLOOKUP($B113,'Egen hetvattenprod'!$B$1:$BX$550,MATCH(BC$2,'Egen hetvattenprod'!$B$1:$BX$1,0),FALSE)+VLOOKUP($B113,Kraftvärmeprod!$B$1:$BX$550,MATCH(BC$2,Kraftvärmeprod!$B$1:$BX$1,0),FALSE))/$AC113,"")</f>
        <v>0</v>
      </c>
      <c r="BD113" s="228">
        <f>IF($AY113="ja",(VLOOKUP($B113,'Egen hetvattenprod'!$B$1:$BX$550,MATCH(BD$2,'Egen hetvattenprod'!$B$1:$BX$1,0),FALSE)+VLOOKUP($B113,Kraftvärmeprod!$B$1:$BX$550,MATCH(BD$2,Kraftvärmeprod!$B$1:$BX$1,0),FALSE))/$AC113,"")</f>
        <v>0</v>
      </c>
      <c r="BE113" s="227"/>
      <c r="BF113" s="227" t="str">
        <f t="shared" si="11"/>
        <v>Nej</v>
      </c>
      <c r="BG113" s="227" t="str">
        <f>IF($BF113="ja",VLOOKUP($B113,'Egen hetvattenprod'!$B$1:$BX$550,MATCH("Andelen klimatgaser med fossilt ursprung för avfall ()",'Egen hetvattenprod'!$B$1:$BX$1,0),FALSE),"")</f>
        <v/>
      </c>
      <c r="BH113" s="227" t="str">
        <f>IF($BF113="ja",VLOOKUP($B113,Kraftvärmeprod!$B$1:$BX$550,MATCH("Andelen klimatgaser med fossilt ursprung för avfall ()",Kraftvärmeprod!$B$1:$BX$1,0),FALSE),"")</f>
        <v/>
      </c>
      <c r="BI113" s="227" t="str">
        <f>IF($BF113="ja",VLOOKUP($B113,'Egen hetvattenprod'!$B$1:$BX$550,MATCH("Avfall (GWh)",'Egen hetvattenprod'!$B$1:$BX$1,0),FALSE),"")</f>
        <v/>
      </c>
      <c r="BJ113" s="227" t="str">
        <f>IF($BF113="ja",VLOOKUP($B113,'Slutlig allokering kvv'!$B$1:$BX$550,MATCH("Avfall (GWh)",'Slutlig allokering kvv'!$B$1:$BX$1,0),FALSE),"")</f>
        <v/>
      </c>
      <c r="BK113" s="227" t="str">
        <f>IF($BF113="ja",VLOOKUP($B113,'Köpt hetvatten'!$B$1:$BX$550,MATCH("Avfall i köpt hetvatten",'Köpt hetvatten'!$B$1:$BX$1,0),FALSE),"")</f>
        <v/>
      </c>
      <c r="BL113" s="227" t="str">
        <f>IF($BF113="ja",VLOOKUP($B113,'Egen hetvattenprod'!$B$1:$BX$550,MATCH("Värde enligt ovan. (%)",'Egen hetvattenprod'!$B$1:$BX$1,0),FALSE),"")</f>
        <v/>
      </c>
      <c r="BM113" s="227" t="str">
        <f>IF($BF113="ja",VLOOKUP($B113,Kraftvärmeprod!$B$1:$BX$550,MATCH("Värde enligt ovan. (%)",Kraftvärmeprod!$B$1:$BX$1,0),FALSE),"")</f>
        <v/>
      </c>
      <c r="BN113" s="227"/>
      <c r="BO113" s="227"/>
      <c r="BP113" s="227"/>
      <c r="BQ113" s="227" t="str">
        <f>IF($BF113="ja",VLOOKUP($B113,'Egen hetvattenprod'!$B$1:$BX$550,MATCH("Tillförd olja (fossil) vid avfallsförbränning (GWh)",'Egen hetvattenprod'!$B$1:$BX$1,0),FALSE),"")</f>
        <v/>
      </c>
      <c r="BR113" s="227" t="str">
        <f>IF($BF113="ja",VLOOKUP($B113,Kraftvärmeprod!$B$1:$BX$550,MATCH("Tillförd olja (fossil) vid avfallsförbränning (GWh)",Kraftvärmeprod!$B$1:$BX$1,0),FALSE),"")</f>
        <v/>
      </c>
      <c r="BS113" s="227"/>
      <c r="BT113" s="227"/>
      <c r="BU113" s="227"/>
    </row>
    <row r="114" spans="1:73" x14ac:dyDescent="0.25">
      <c r="A114" s="121" t="str">
        <f>'Miljövärden för publ företag'!B117</f>
        <v>Jämtkraft AB</v>
      </c>
      <c r="B114" s="121" t="str">
        <f>'Miljövärden för publ företag'!C117</f>
        <v>Krokom</v>
      </c>
      <c r="C114" s="173">
        <f>IFERROR(VLOOKUP($B114,Totalt!$B$1:$AQ$554,MATCH(C$2,Totalt!$B$1:$AQ$1,0),FALSE),"")</f>
        <v>0</v>
      </c>
      <c r="D114" s="173">
        <f>IFERROR(VLOOKUP($B114,Totalt!$B$1:$AQ$554,MATCH(D$2,Totalt!$B$1:$AQ$1,0),FALSE),"")</f>
        <v>0.3</v>
      </c>
      <c r="E114" s="173">
        <f>IFERROR(VLOOKUP($B114,Totalt!$B$1:$AQ$554,MATCH(E$2,Totalt!$B$1:$AQ$1,0),FALSE),"")</f>
        <v>0</v>
      </c>
      <c r="F114" s="173">
        <f>IFERROR(VLOOKUP($B114,Totalt!$B$1:$AQ$554,MATCH(F$2,Totalt!$B$1:$AQ$1,0),FALSE),"")</f>
        <v>0</v>
      </c>
      <c r="G114" s="173">
        <f>IFERROR(VLOOKUP($B114,Totalt!$B$1:$AQ$554,MATCH(G$2,Totalt!$B$1:$AQ$1,0),FALSE),"")</f>
        <v>0</v>
      </c>
      <c r="H114" s="173">
        <f>IFERROR(VLOOKUP($B114,Totalt!$B$1:$AQ$554,MATCH(H$2,Totalt!$B$1:$AQ$1,0),FALSE),"")</f>
        <v>0</v>
      </c>
      <c r="I114" s="173">
        <f>IFERROR(VLOOKUP($B114,Totalt!$B$1:$AQ$554,MATCH(I$2,Totalt!$B$1:$AQ$1,0),FALSE),"")</f>
        <v>0</v>
      </c>
      <c r="J114" s="173">
        <f>IFERROR(VLOOKUP($B114,Totalt!$B$1:$AQ$554,MATCH(J$2,Totalt!$B$1:$AQ$1,0),FALSE),"")</f>
        <v>0</v>
      </c>
      <c r="K114" s="173">
        <f>IFERROR(VLOOKUP($B114,Totalt!$B$1:$AQ$554,MATCH(K$2,Totalt!$B$1:$AQ$1,0),FALSE),"")</f>
        <v>0</v>
      </c>
      <c r="L114" s="173">
        <f>IFERROR(VLOOKUP($B114,Totalt!$B$1:$AQ$554,MATCH(L$2,Totalt!$B$1:$AQ$1,0),FALSE),"")</f>
        <v>0</v>
      </c>
      <c r="M114" s="173">
        <f>IFERROR(VLOOKUP($B114,Totalt!$B$1:$AQ$554,MATCH(M$2,Totalt!$B$1:$AQ$1,0),FALSE),"")</f>
        <v>0</v>
      </c>
      <c r="N114" s="173">
        <f>IFERROR(VLOOKUP($B114,Totalt!$B$1:$AQ$554,MATCH(N$2,Totalt!$B$1:$AQ$1,0),FALSE),"")</f>
        <v>0</v>
      </c>
      <c r="O114" s="173">
        <f>IFERROR(VLOOKUP($B114,Totalt!$B$1:$AQ$554,MATCH(O$2,Totalt!$B$1:$AQ$1,0),FALSE),"")</f>
        <v>0</v>
      </c>
      <c r="P114" s="173">
        <f>IFERROR(VLOOKUP($B114,Totalt!$B$1:$AQ$554,MATCH(P$2,Totalt!$B$1:$AQ$1,0),FALSE),"")</f>
        <v>0</v>
      </c>
      <c r="Q114" s="173">
        <f>IFERROR(VLOOKUP($B114,Totalt!$B$1:$AQ$554,MATCH(Q$2,Totalt!$B$1:$AQ$1,0),FALSE),"")</f>
        <v>17.647099999999998</v>
      </c>
      <c r="R114" s="173">
        <f>IFERROR(VLOOKUP($B114,Totalt!$B$1:$AQ$554,MATCH(R$2,Totalt!$B$1:$AQ$1,0),FALSE),"")</f>
        <v>6.7</v>
      </c>
      <c r="S114" s="173">
        <f>IFERROR(VLOOKUP($B114,Totalt!$B$1:$AQ$554,MATCH(S$2,Totalt!$B$1:$AQ$1,0),FALSE),"")</f>
        <v>0</v>
      </c>
      <c r="T114" s="173">
        <f>IFERROR(VLOOKUP($B114,Totalt!$B$1:$AQ$554,MATCH(T$2,Totalt!$B$1:$AQ$1,0),FALSE),"")</f>
        <v>0</v>
      </c>
      <c r="U114" s="173">
        <f>IFERROR(VLOOKUP($B114,Totalt!$B$1:$AQ$554,MATCH(U$2,Totalt!$B$1:$AQ$1,0),FALSE),"")</f>
        <v>0</v>
      </c>
      <c r="V114" s="173">
        <f>IFERROR(VLOOKUP($B114,Totalt!$B$1:$AQ$554,MATCH(V$2,Totalt!$B$1:$AQ$1,0),FALSE),"")</f>
        <v>0</v>
      </c>
      <c r="W114" s="173">
        <f>IFERROR(VLOOKUP($B114,Totalt!$B$1:$AQ$554,MATCH(W$2,Totalt!$B$1:$AQ$1,0),FALSE),"")</f>
        <v>0.1</v>
      </c>
      <c r="X114" s="173">
        <f>IFERROR(VLOOKUP($B114,Totalt!$B$1:$AQ$554,MATCH(X$2,Totalt!$B$1:$AQ$1,0),FALSE),"")</f>
        <v>0</v>
      </c>
      <c r="Y114" s="173">
        <f>IFERROR(VLOOKUP($B114,Totalt!$B$1:$AQ$554,MATCH(Y$2,Totalt!$B$1:$AQ$1,0),FALSE),"")</f>
        <v>0</v>
      </c>
      <c r="Z114" s="173">
        <f>IFERROR(VLOOKUP($B114,Totalt!$B$1:$AQ$554,MATCH(Z$2,Totalt!$B$1:$AQ$1,0),FALSE),"")</f>
        <v>0.7</v>
      </c>
      <c r="AA114" s="173">
        <f>IFERROR(VLOOKUP($B114,Totalt!$B$1:$AQ$554,MATCH(AA$2,Totalt!$B$1:$AQ$1,0),FALSE),"")</f>
        <v>0</v>
      </c>
      <c r="AB114" s="173">
        <f>IFERROR(VLOOKUP($B114,Totalt!$B$1:$AQ$554,MATCH(AB$2,Totalt!$B$1:$AQ$1,0),FALSE),"")</f>
        <v>0</v>
      </c>
      <c r="AC114" s="173">
        <f>IFERROR(VLOOKUP($B114,Totalt!$B$1:$AQ$554,MATCH(AC$2,Totalt!$B$1:$AQ$1,0),FALSE),"")</f>
        <v>0</v>
      </c>
      <c r="AD114" s="173">
        <f>IFERROR(VLOOKUP($B114,Totalt!$B$1:$AQ$554,MATCH(AD$2,Totalt!$B$1:$AQ$1,0),FALSE),"")</f>
        <v>0</v>
      </c>
      <c r="AE114" s="173">
        <f>IFERROR(VLOOKUP($B114,Totalt!$B$1:$AQ$554,MATCH(AE$2,Totalt!$B$1:$AQ$1,0),FALSE),"")</f>
        <v>0</v>
      </c>
      <c r="AF114" s="173">
        <f>IFERROR(VLOOKUP($B114,Totalt!$B$1:$AQ$554,MATCH(AF$2,Totalt!$B$1:$AQ$1,0),FALSE),"")</f>
        <v>0.55889999999999995</v>
      </c>
      <c r="AG114" s="173">
        <f>IFERROR(VLOOKUP($B114,Totalt!$B$1:$AQ$554,MATCH(AG$2,Totalt!$B$1:$AQ$1,0),FALSE),"")</f>
        <v>0</v>
      </c>
      <c r="AI114" s="226">
        <f t="shared" si="6"/>
        <v>26.006</v>
      </c>
      <c r="AJ114" s="226">
        <f>IF(ISERROR(1/VLOOKUP($B114,Leveranser!$B$1:$S$500,MATCH("såld värme (gwh)",Leveranser!$B$1:$S$1,0),FALSE)),"",VLOOKUP($B114,Leveranser!$B$1:$S$500,MATCH("såld värme (gwh)",Leveranser!$B$1:$S$1,0),FALSE))</f>
        <v>18.63</v>
      </c>
      <c r="AM114" s="227" t="str">
        <f>IF(B114&lt;&gt;"",IF(VLOOKUP($B114,Totalt!$B$1:$AQ$554,MATCH("Kvalitetsgranskad:",Totalt!$B$1:$AQ$1,0),FALSE)="ja",VLOOKUP($B114,Miljö!$B$1:$AG$479,MATCH(AM$2,Miljö!$B$1:$AK$1,0),FALSE),""),"")</f>
        <v>Ja</v>
      </c>
      <c r="AN114" s="227" t="str">
        <f>IF(AM114="ja",VLOOKUP($B114,Miljö!$B$1:$J$479,MATCH("Typ av ursprungsspecificerad el   (Om inget värde anges används Nordisk residualmix, se inforuta) ()",Miljö!$B$1:$J$1,0),FALSE),IF(AM114="nej","Nordisk residualel",""))</f>
        <v>'Jämtkrafts lokalel'</v>
      </c>
      <c r="AO114" s="227">
        <f>IF(AM114="","",VLOOKUP($B114,Miljö!$B$1:$J$479,MATCH("Fossilandel för ursprungspecificerad el ()",Miljö!$B$1:$J$1,0),FALSE))</f>
        <v>0</v>
      </c>
      <c r="AP114" s="227">
        <f>IF(AM114="","",IFERROR(VLOOKUP($B114,Miljö!$B$1:$J$479,MATCH("Kärnkraftsandel för ursprungsspecificerad el ()",Miljö!$B$1:$J$1,0),FALSE)/1,0))</f>
        <v>0</v>
      </c>
      <c r="AQ114" s="227">
        <f t="shared" si="7"/>
        <v>1</v>
      </c>
      <c r="AR114" s="227"/>
      <c r="AS114" s="227" t="str">
        <f t="shared" si="8"/>
        <v>Nej</v>
      </c>
      <c r="AT114" s="227" t="str">
        <f>IF(AS114="ja",VLOOKUP($B114,Miljö!$B$1:$O$500,MATCH("Fossil andel i procent (%)",Miljö!$B$1:$O$1,0),FALSE)/100,"")</f>
        <v/>
      </c>
      <c r="AU114" s="227"/>
      <c r="AV114" s="227" t="str">
        <f t="shared" si="9"/>
        <v>Nej</v>
      </c>
      <c r="AW114" s="227" t="str">
        <f>IF(AV114="ja",VLOOKUP($B114,'Egen hetvattenprod'!$B$1:$AO$500,MATCH("Värmekälla till värmepumpar ()",'Egen hetvattenprod'!$B$1:$AO$1,0),FALSE),"")</f>
        <v/>
      </c>
      <c r="AX114" s="227"/>
      <c r="AY114" s="227" t="str">
        <f t="shared" si="10"/>
        <v>Nej</v>
      </c>
      <c r="AZ114" s="228" t="str">
        <f>IF($AY114="ja",(VLOOKUP($B114,'Egen hetvattenprod'!$B$1:$BX$550,MATCH(AZ$2,'Egen hetvattenprod'!$B$1:$BX$1,0),FALSE)+VLOOKUP($B114,Kraftvärmeprod!$B$1:$BX$550,MATCH(AZ$2,Kraftvärmeprod!$B$1:$BX$1,0),FALSE))/$AC114,"")</f>
        <v/>
      </c>
      <c r="BA114" s="228" t="str">
        <f>IF($AY114="ja",(VLOOKUP($B114,'Egen hetvattenprod'!$B$1:$BX$550,MATCH(BA$2,'Egen hetvattenprod'!$B$1:$BX$1,0),FALSE)+VLOOKUP($B114,Kraftvärmeprod!$B$1:$BX$550,MATCH(BA$2,Kraftvärmeprod!$B$1:$BX$1,0),FALSE))/$AC114,"")</f>
        <v/>
      </c>
      <c r="BB114" s="228" t="str">
        <f>IF($AY114="ja",(VLOOKUP($B114,'Egen hetvattenprod'!$B$1:$BX$550,MATCH(BB$2,'Egen hetvattenprod'!$B$1:$BX$1,0),FALSE)+VLOOKUP($B114,Kraftvärmeprod!$B$1:$BX$550,MATCH(BB$2,Kraftvärmeprod!$B$1:$BX$1,0),FALSE))/$AC114,"")</f>
        <v/>
      </c>
      <c r="BC114" s="228" t="str">
        <f>IF($AY114="ja",(VLOOKUP($B114,'Egen hetvattenprod'!$B$1:$BX$550,MATCH(BC$2,'Egen hetvattenprod'!$B$1:$BX$1,0),FALSE)+VLOOKUP($B114,Kraftvärmeprod!$B$1:$BX$550,MATCH(BC$2,Kraftvärmeprod!$B$1:$BX$1,0),FALSE))/$AC114,"")</f>
        <v/>
      </c>
      <c r="BD114" s="228" t="str">
        <f>IF($AY114="ja",(VLOOKUP($B114,'Egen hetvattenprod'!$B$1:$BX$550,MATCH(BD$2,'Egen hetvattenprod'!$B$1:$BX$1,0),FALSE)+VLOOKUP($B114,Kraftvärmeprod!$B$1:$BX$550,MATCH(BD$2,Kraftvärmeprod!$B$1:$BX$1,0),FALSE))/$AC114,"")</f>
        <v/>
      </c>
      <c r="BE114" s="227"/>
      <c r="BF114" s="227" t="str">
        <f t="shared" si="11"/>
        <v>Nej</v>
      </c>
      <c r="BG114" s="227" t="str">
        <f>IF($BF114="ja",VLOOKUP($B114,'Egen hetvattenprod'!$B$1:$BX$550,MATCH("Andelen klimatgaser med fossilt ursprung för avfall ()",'Egen hetvattenprod'!$B$1:$BX$1,0),FALSE),"")</f>
        <v/>
      </c>
      <c r="BH114" s="227" t="str">
        <f>IF($BF114="ja",VLOOKUP($B114,Kraftvärmeprod!$B$1:$BX$550,MATCH("Andelen klimatgaser med fossilt ursprung för avfall ()",Kraftvärmeprod!$B$1:$BX$1,0),FALSE),"")</f>
        <v/>
      </c>
      <c r="BI114" s="227" t="str">
        <f>IF($BF114="ja",VLOOKUP($B114,'Egen hetvattenprod'!$B$1:$BX$550,MATCH("Avfall (GWh)",'Egen hetvattenprod'!$B$1:$BX$1,0),FALSE),"")</f>
        <v/>
      </c>
      <c r="BJ114" s="227" t="str">
        <f>IF($BF114="ja",VLOOKUP($B114,'Slutlig allokering kvv'!$B$1:$BX$550,MATCH("Avfall (GWh)",'Slutlig allokering kvv'!$B$1:$BX$1,0),FALSE),"")</f>
        <v/>
      </c>
      <c r="BK114" s="227" t="str">
        <f>IF($BF114="ja",VLOOKUP($B114,'Köpt hetvatten'!$B$1:$BX$550,MATCH("Avfall i köpt hetvatten",'Köpt hetvatten'!$B$1:$BX$1,0),FALSE),"")</f>
        <v/>
      </c>
      <c r="BL114" s="227" t="str">
        <f>IF($BF114="ja",VLOOKUP($B114,'Egen hetvattenprod'!$B$1:$BX$550,MATCH("Värde enligt ovan. (%)",'Egen hetvattenprod'!$B$1:$BX$1,0),FALSE),"")</f>
        <v/>
      </c>
      <c r="BM114" s="227" t="str">
        <f>IF($BF114="ja",VLOOKUP($B114,Kraftvärmeprod!$B$1:$BX$550,MATCH("Värde enligt ovan. (%)",Kraftvärmeprod!$B$1:$BX$1,0),FALSE),"")</f>
        <v/>
      </c>
      <c r="BN114" s="227"/>
      <c r="BO114" s="227"/>
      <c r="BP114" s="227"/>
      <c r="BQ114" s="227" t="str">
        <f>IF($BF114="ja",VLOOKUP($B114,'Egen hetvattenprod'!$B$1:$BX$550,MATCH("Tillförd olja (fossil) vid avfallsförbränning (GWh)",'Egen hetvattenprod'!$B$1:$BX$1,0),FALSE),"")</f>
        <v/>
      </c>
      <c r="BR114" s="227" t="str">
        <f>IF($BF114="ja",VLOOKUP($B114,Kraftvärmeprod!$B$1:$BX$550,MATCH("Tillförd olja (fossil) vid avfallsförbränning (GWh)",Kraftvärmeprod!$B$1:$BX$1,0),FALSE),"")</f>
        <v/>
      </c>
      <c r="BS114" s="227"/>
      <c r="BT114" s="227"/>
      <c r="BU114" s="227"/>
    </row>
    <row r="115" spans="1:73" x14ac:dyDescent="0.25">
      <c r="A115" s="121" t="str">
        <f>'Miljövärden för publ företag'!B118</f>
        <v>Jämtkraft AB</v>
      </c>
      <c r="B115" s="121" t="str">
        <f>'Miljövärden för publ företag'!C118</f>
        <v>Åre</v>
      </c>
      <c r="C115" s="173">
        <f>IFERROR(VLOOKUP($B115,Totalt!$B$1:$AQ$554,MATCH(C$2,Totalt!$B$1:$AQ$1,0),FALSE),"")</f>
        <v>0</v>
      </c>
      <c r="D115" s="173">
        <f>IFERROR(VLOOKUP($B115,Totalt!$B$1:$AQ$554,MATCH(D$2,Totalt!$B$1:$AQ$1,0),FALSE),"")</f>
        <v>0.3</v>
      </c>
      <c r="E115" s="173">
        <f>IFERROR(VLOOKUP($B115,Totalt!$B$1:$AQ$554,MATCH(E$2,Totalt!$B$1:$AQ$1,0),FALSE),"")</f>
        <v>0</v>
      </c>
      <c r="F115" s="173">
        <f>IFERROR(VLOOKUP($B115,Totalt!$B$1:$AQ$554,MATCH(F$2,Totalt!$B$1:$AQ$1,0),FALSE),"")</f>
        <v>0</v>
      </c>
      <c r="G115" s="173">
        <f>IFERROR(VLOOKUP($B115,Totalt!$B$1:$AQ$554,MATCH(G$2,Totalt!$B$1:$AQ$1,0),FALSE),"")</f>
        <v>0</v>
      </c>
      <c r="H115" s="173">
        <f>IFERROR(VLOOKUP($B115,Totalt!$B$1:$AQ$554,MATCH(H$2,Totalt!$B$1:$AQ$1,0),FALSE),"")</f>
        <v>0</v>
      </c>
      <c r="I115" s="173">
        <f>IFERROR(VLOOKUP($B115,Totalt!$B$1:$AQ$554,MATCH(I$2,Totalt!$B$1:$AQ$1,0),FALSE),"")</f>
        <v>0</v>
      </c>
      <c r="J115" s="173">
        <f>IFERROR(VLOOKUP($B115,Totalt!$B$1:$AQ$554,MATCH(J$2,Totalt!$B$1:$AQ$1,0),FALSE),"")</f>
        <v>0</v>
      </c>
      <c r="K115" s="173">
        <f>IFERROR(VLOOKUP($B115,Totalt!$B$1:$AQ$554,MATCH(K$2,Totalt!$B$1:$AQ$1,0),FALSE),"")</f>
        <v>0</v>
      </c>
      <c r="L115" s="173">
        <f>IFERROR(VLOOKUP($B115,Totalt!$B$1:$AQ$554,MATCH(L$2,Totalt!$B$1:$AQ$1,0),FALSE),"")</f>
        <v>0</v>
      </c>
      <c r="M115" s="173">
        <f>IFERROR(VLOOKUP($B115,Totalt!$B$1:$AQ$554,MATCH(M$2,Totalt!$B$1:$AQ$1,0),FALSE),"")</f>
        <v>0</v>
      </c>
      <c r="N115" s="173">
        <f>IFERROR(VLOOKUP($B115,Totalt!$B$1:$AQ$554,MATCH(N$2,Totalt!$B$1:$AQ$1,0),FALSE),"")</f>
        <v>0</v>
      </c>
      <c r="O115" s="173">
        <f>IFERROR(VLOOKUP($B115,Totalt!$B$1:$AQ$554,MATCH(O$2,Totalt!$B$1:$AQ$1,0),FALSE),"")</f>
        <v>0</v>
      </c>
      <c r="P115" s="173">
        <f>IFERROR(VLOOKUP($B115,Totalt!$B$1:$AQ$554,MATCH(P$2,Totalt!$B$1:$AQ$1,0),FALSE),"")</f>
        <v>59.5</v>
      </c>
      <c r="Q115" s="173">
        <f>IFERROR(VLOOKUP($B115,Totalt!$B$1:$AQ$554,MATCH(Q$2,Totalt!$B$1:$AQ$1,0),FALSE),"")</f>
        <v>0</v>
      </c>
      <c r="R115" s="173">
        <f>IFERROR(VLOOKUP($B115,Totalt!$B$1:$AQ$554,MATCH(R$2,Totalt!$B$1:$AQ$1,0),FALSE),"")</f>
        <v>8.5</v>
      </c>
      <c r="S115" s="173">
        <f>IFERROR(VLOOKUP($B115,Totalt!$B$1:$AQ$554,MATCH(S$2,Totalt!$B$1:$AQ$1,0),FALSE),"")</f>
        <v>0</v>
      </c>
      <c r="T115" s="173">
        <f>IFERROR(VLOOKUP($B115,Totalt!$B$1:$AQ$554,MATCH(T$2,Totalt!$B$1:$AQ$1,0),FALSE),"")</f>
        <v>0</v>
      </c>
      <c r="U115" s="173">
        <f>IFERROR(VLOOKUP($B115,Totalt!$B$1:$AQ$554,MATCH(U$2,Totalt!$B$1:$AQ$1,0),FALSE),"")</f>
        <v>0</v>
      </c>
      <c r="V115" s="173">
        <f>IFERROR(VLOOKUP($B115,Totalt!$B$1:$AQ$554,MATCH(V$2,Totalt!$B$1:$AQ$1,0),FALSE),"")</f>
        <v>0</v>
      </c>
      <c r="W115" s="173">
        <f>IFERROR(VLOOKUP($B115,Totalt!$B$1:$AQ$554,MATCH(W$2,Totalt!$B$1:$AQ$1,0),FALSE),"")</f>
        <v>6.8</v>
      </c>
      <c r="X115" s="173">
        <f>IFERROR(VLOOKUP($B115,Totalt!$B$1:$AQ$554,MATCH(X$2,Totalt!$B$1:$AQ$1,0),FALSE),"")</f>
        <v>0</v>
      </c>
      <c r="Y115" s="173">
        <f>IFERROR(VLOOKUP($B115,Totalt!$B$1:$AQ$554,MATCH(Y$2,Totalt!$B$1:$AQ$1,0),FALSE),"")</f>
        <v>0</v>
      </c>
      <c r="Z115" s="173">
        <f>IFERROR(VLOOKUP($B115,Totalt!$B$1:$AQ$554,MATCH(Z$2,Totalt!$B$1:$AQ$1,0),FALSE),"")</f>
        <v>0.4</v>
      </c>
      <c r="AA115" s="173">
        <f>IFERROR(VLOOKUP($B115,Totalt!$B$1:$AQ$554,MATCH(AA$2,Totalt!$B$1:$AQ$1,0),FALSE),"")</f>
        <v>0</v>
      </c>
      <c r="AB115" s="173">
        <f>IFERROR(VLOOKUP($B115,Totalt!$B$1:$AQ$554,MATCH(AB$2,Totalt!$B$1:$AQ$1,0),FALSE),"")</f>
        <v>0</v>
      </c>
      <c r="AC115" s="173">
        <f>IFERROR(VLOOKUP($B115,Totalt!$B$1:$AQ$554,MATCH(AC$2,Totalt!$B$1:$AQ$1,0),FALSE),"")</f>
        <v>4.8</v>
      </c>
      <c r="AD115" s="173">
        <f>IFERROR(VLOOKUP($B115,Totalt!$B$1:$AQ$554,MATCH(AD$2,Totalt!$B$1:$AQ$1,0),FALSE),"")</f>
        <v>0</v>
      </c>
      <c r="AE115" s="173">
        <f>IFERROR(VLOOKUP($B115,Totalt!$B$1:$AQ$554,MATCH(AE$2,Totalt!$B$1:$AQ$1,0),FALSE),"")</f>
        <v>0</v>
      </c>
      <c r="AF115" s="173">
        <f>IFERROR(VLOOKUP($B115,Totalt!$B$1:$AQ$554,MATCH(AF$2,Totalt!$B$1:$AQ$1,0),FALSE),"")</f>
        <v>1.716</v>
      </c>
      <c r="AG115" s="173">
        <f>IFERROR(VLOOKUP($B115,Totalt!$B$1:$AQ$554,MATCH(AG$2,Totalt!$B$1:$AQ$1,0),FALSE),"")</f>
        <v>0</v>
      </c>
      <c r="AI115" s="226">
        <f t="shared" si="6"/>
        <v>82.015999999999991</v>
      </c>
      <c r="AJ115" s="226">
        <f>IF(ISERROR(1/VLOOKUP($B115,Leveranser!$B$1:$S$500,MATCH("såld värme (gwh)",Leveranser!$B$1:$S$1,0),FALSE)),"",VLOOKUP($B115,Leveranser!$B$1:$S$500,MATCH("såld värme (gwh)",Leveranser!$B$1:$S$1,0),FALSE))</f>
        <v>57.2</v>
      </c>
      <c r="AM115" s="227" t="str">
        <f>IF(B115&lt;&gt;"",IF(VLOOKUP($B115,Totalt!$B$1:$AQ$554,MATCH("Kvalitetsgranskad:",Totalt!$B$1:$AQ$1,0),FALSE)="ja",VLOOKUP($B115,Miljö!$B$1:$AG$479,MATCH(AM$2,Miljö!$B$1:$AK$1,0),FALSE),""),"")</f>
        <v>Ja</v>
      </c>
      <c r="AN115" s="227" t="str">
        <f>IF(AM115="ja",VLOOKUP($B115,Miljö!$B$1:$J$479,MATCH("Typ av ursprungsspecificerad el   (Om inget värde anges används Nordisk residualmix, se inforuta) ()",Miljö!$B$1:$J$1,0),FALSE),IF(AM115="nej","Nordisk residualel",""))</f>
        <v>'Jämtkrafts lokalel'</v>
      </c>
      <c r="AO115" s="227">
        <f>IF(AM115="","",VLOOKUP($B115,Miljö!$B$1:$J$479,MATCH("Fossilandel för ursprungspecificerad el ()",Miljö!$B$1:$J$1,0),FALSE))</f>
        <v>0</v>
      </c>
      <c r="AP115" s="227">
        <f>IF(AM115="","",IFERROR(VLOOKUP($B115,Miljö!$B$1:$J$479,MATCH("Kärnkraftsandel för ursprungsspecificerad el ()",Miljö!$B$1:$J$1,0),FALSE)/1,0))</f>
        <v>0</v>
      </c>
      <c r="AQ115" s="227">
        <f t="shared" si="7"/>
        <v>1</v>
      </c>
      <c r="AR115" s="227"/>
      <c r="AS115" s="227" t="str">
        <f t="shared" si="8"/>
        <v>Nej</v>
      </c>
      <c r="AT115" s="227" t="str">
        <f>IF(AS115="ja",VLOOKUP($B115,Miljö!$B$1:$O$500,MATCH("Fossil andel i procent (%)",Miljö!$B$1:$O$1,0),FALSE)/100,"")</f>
        <v/>
      </c>
      <c r="AU115" s="227"/>
      <c r="AV115" s="227" t="str">
        <f t="shared" si="9"/>
        <v>Nej</v>
      </c>
      <c r="AW115" s="227" t="str">
        <f>IF(AV115="ja",VLOOKUP($B115,'Egen hetvattenprod'!$B$1:$AO$500,MATCH("Värmekälla till värmepumpar ()",'Egen hetvattenprod'!$B$1:$AO$1,0),FALSE),"")</f>
        <v/>
      </c>
      <c r="AX115" s="227"/>
      <c r="AY115" s="227" t="str">
        <f t="shared" si="10"/>
        <v>Ja</v>
      </c>
      <c r="AZ115" s="228">
        <f>IF($AY115="ja",(VLOOKUP($B115,'Egen hetvattenprod'!$B$1:$BX$550,MATCH(AZ$2,'Egen hetvattenprod'!$B$1:$BX$1,0),FALSE)+VLOOKUP($B115,Kraftvärmeprod!$B$1:$BX$550,MATCH(AZ$2,Kraftvärmeprod!$B$1:$BX$1,0),FALSE))/$AC115,"")</f>
        <v>1</v>
      </c>
      <c r="BA115" s="228">
        <f>IF($AY115="ja",(VLOOKUP($B115,'Egen hetvattenprod'!$B$1:$BX$550,MATCH(BA$2,'Egen hetvattenprod'!$B$1:$BX$1,0),FALSE)+VLOOKUP($B115,Kraftvärmeprod!$B$1:$BX$550,MATCH(BA$2,Kraftvärmeprod!$B$1:$BX$1,0),FALSE))/$AC115,"")</f>
        <v>0</v>
      </c>
      <c r="BB115" s="228">
        <f>IF($AY115="ja",(VLOOKUP($B115,'Egen hetvattenprod'!$B$1:$BX$550,MATCH(BB$2,'Egen hetvattenprod'!$B$1:$BX$1,0),FALSE)+VLOOKUP($B115,Kraftvärmeprod!$B$1:$BX$550,MATCH(BB$2,Kraftvärmeprod!$B$1:$BX$1,0),FALSE))/$AC115,"")</f>
        <v>0</v>
      </c>
      <c r="BC115" s="228">
        <f>IF($AY115="ja",(VLOOKUP($B115,'Egen hetvattenprod'!$B$1:$BX$550,MATCH(BC$2,'Egen hetvattenprod'!$B$1:$BX$1,0),FALSE)+VLOOKUP($B115,Kraftvärmeprod!$B$1:$BX$550,MATCH(BC$2,Kraftvärmeprod!$B$1:$BX$1,0),FALSE))/$AC115,"")</f>
        <v>0</v>
      </c>
      <c r="BD115" s="228">
        <f>IF($AY115="ja",(VLOOKUP($B115,'Egen hetvattenprod'!$B$1:$BX$550,MATCH(BD$2,'Egen hetvattenprod'!$B$1:$BX$1,0),FALSE)+VLOOKUP($B115,Kraftvärmeprod!$B$1:$BX$550,MATCH(BD$2,Kraftvärmeprod!$B$1:$BX$1,0),FALSE))/$AC115,"")</f>
        <v>0</v>
      </c>
      <c r="BE115" s="227"/>
      <c r="BF115" s="227" t="str">
        <f t="shared" si="11"/>
        <v>Nej</v>
      </c>
      <c r="BG115" s="227" t="str">
        <f>IF($BF115="ja",VLOOKUP($B115,'Egen hetvattenprod'!$B$1:$BX$550,MATCH("Andelen klimatgaser med fossilt ursprung för avfall ()",'Egen hetvattenprod'!$B$1:$BX$1,0),FALSE),"")</f>
        <v/>
      </c>
      <c r="BH115" s="227" t="str">
        <f>IF($BF115="ja",VLOOKUP($B115,Kraftvärmeprod!$B$1:$BX$550,MATCH("Andelen klimatgaser med fossilt ursprung för avfall ()",Kraftvärmeprod!$B$1:$BX$1,0),FALSE),"")</f>
        <v/>
      </c>
      <c r="BI115" s="227" t="str">
        <f>IF($BF115="ja",VLOOKUP($B115,'Egen hetvattenprod'!$B$1:$BX$550,MATCH("Avfall (GWh)",'Egen hetvattenprod'!$B$1:$BX$1,0),FALSE),"")</f>
        <v/>
      </c>
      <c r="BJ115" s="227" t="str">
        <f>IF($BF115="ja",VLOOKUP($B115,'Slutlig allokering kvv'!$B$1:$BX$550,MATCH("Avfall (GWh)",'Slutlig allokering kvv'!$B$1:$BX$1,0),FALSE),"")</f>
        <v/>
      </c>
      <c r="BK115" s="227" t="str">
        <f>IF($BF115="ja",VLOOKUP($B115,'Köpt hetvatten'!$B$1:$BX$550,MATCH("Avfall i köpt hetvatten",'Köpt hetvatten'!$B$1:$BX$1,0),FALSE),"")</f>
        <v/>
      </c>
      <c r="BL115" s="227" t="str">
        <f>IF($BF115="ja",VLOOKUP($B115,'Egen hetvattenprod'!$B$1:$BX$550,MATCH("Värde enligt ovan. (%)",'Egen hetvattenprod'!$B$1:$BX$1,0),FALSE),"")</f>
        <v/>
      </c>
      <c r="BM115" s="227" t="str">
        <f>IF($BF115="ja",VLOOKUP($B115,Kraftvärmeprod!$B$1:$BX$550,MATCH("Värde enligt ovan. (%)",Kraftvärmeprod!$B$1:$BX$1,0),FALSE),"")</f>
        <v/>
      </c>
      <c r="BN115" s="227"/>
      <c r="BO115" s="227"/>
      <c r="BP115" s="227"/>
      <c r="BQ115" s="227" t="str">
        <f>IF($BF115="ja",VLOOKUP($B115,'Egen hetvattenprod'!$B$1:$BX$550,MATCH("Tillförd olja (fossil) vid avfallsförbränning (GWh)",'Egen hetvattenprod'!$B$1:$BX$1,0),FALSE),"")</f>
        <v/>
      </c>
      <c r="BR115" s="227" t="str">
        <f>IF($BF115="ja",VLOOKUP($B115,Kraftvärmeprod!$B$1:$BX$550,MATCH("Tillförd olja (fossil) vid avfallsförbränning (GWh)",Kraftvärmeprod!$B$1:$BX$1,0),FALSE),"")</f>
        <v/>
      </c>
      <c r="BS115" s="227"/>
      <c r="BT115" s="227"/>
      <c r="BU115" s="227"/>
    </row>
    <row r="116" spans="1:73" x14ac:dyDescent="0.25">
      <c r="A116" s="121" t="str">
        <f>'Miljövärden för publ företag'!B119</f>
        <v>Jämtkraft AB</v>
      </c>
      <c r="B116" s="121" t="str">
        <f>'Miljövärden för publ företag'!C119</f>
        <v>Östersund</v>
      </c>
      <c r="C116" s="173">
        <f>IFERROR(VLOOKUP($B116,Totalt!$B$1:$AQ$554,MATCH(C$2,Totalt!$B$1:$AQ$1,0),FALSE),"")</f>
        <v>0</v>
      </c>
      <c r="D116" s="173">
        <f>IFERROR(VLOOKUP($B116,Totalt!$B$1:$AQ$554,MATCH(D$2,Totalt!$B$1:$AQ$1,0),FALSE),"")</f>
        <v>2.9</v>
      </c>
      <c r="E116" s="173">
        <f>IFERROR(VLOOKUP($B116,Totalt!$B$1:$AQ$554,MATCH(E$2,Totalt!$B$1:$AQ$1,0),FALSE),"")</f>
        <v>0</v>
      </c>
      <c r="F116" s="173">
        <f>IFERROR(VLOOKUP($B116,Totalt!$B$1:$AQ$554,MATCH(F$2,Totalt!$B$1:$AQ$1,0),FALSE),"")</f>
        <v>8.1</v>
      </c>
      <c r="G116" s="173">
        <f>IFERROR(VLOOKUP($B116,Totalt!$B$1:$AQ$554,MATCH(G$2,Totalt!$B$1:$AQ$1,0),FALSE),"")</f>
        <v>0</v>
      </c>
      <c r="H116" s="173">
        <f>IFERROR(VLOOKUP($B116,Totalt!$B$1:$AQ$554,MATCH(H$2,Totalt!$B$1:$AQ$1,0),FALSE),"")</f>
        <v>0</v>
      </c>
      <c r="I116" s="173">
        <f>IFERROR(VLOOKUP($B116,Totalt!$B$1:$AQ$554,MATCH(I$2,Totalt!$B$1:$AQ$1,0),FALSE),"")</f>
        <v>0</v>
      </c>
      <c r="J116" s="173">
        <f>IFERROR(VLOOKUP($B116,Totalt!$B$1:$AQ$554,MATCH(J$2,Totalt!$B$1:$AQ$1,0),FALSE),"")</f>
        <v>0</v>
      </c>
      <c r="K116" s="173">
        <f>IFERROR(VLOOKUP($B116,Totalt!$B$1:$AQ$554,MATCH(K$2,Totalt!$B$1:$AQ$1,0),FALSE),"")</f>
        <v>0</v>
      </c>
      <c r="L116" s="173">
        <f>IFERROR(VLOOKUP($B116,Totalt!$B$1:$AQ$554,MATCH(L$2,Totalt!$B$1:$AQ$1,0),FALSE),"")</f>
        <v>66.3078</v>
      </c>
      <c r="M116" s="173">
        <f>IFERROR(VLOOKUP($B116,Totalt!$B$1:$AQ$554,MATCH(M$2,Totalt!$B$1:$AQ$1,0),FALSE),"")</f>
        <v>77.185400000000001</v>
      </c>
      <c r="N116" s="173">
        <f>IFERROR(VLOOKUP($B116,Totalt!$B$1:$AQ$554,MATCH(N$2,Totalt!$B$1:$AQ$1,0),FALSE),"")</f>
        <v>19.9954</v>
      </c>
      <c r="O116" s="173">
        <f>IFERROR(VLOOKUP($B116,Totalt!$B$1:$AQ$554,MATCH(O$2,Totalt!$B$1:$AQ$1,0),FALSE),"")</f>
        <v>71.988600000000005</v>
      </c>
      <c r="P116" s="173">
        <f>IFERROR(VLOOKUP($B116,Totalt!$B$1:$AQ$554,MATCH(P$2,Totalt!$B$1:$AQ$1,0),FALSE),"")</f>
        <v>130.351</v>
      </c>
      <c r="Q116" s="173">
        <f>IFERROR(VLOOKUP($B116,Totalt!$B$1:$AQ$554,MATCH(Q$2,Totalt!$B$1:$AQ$1,0),FALSE),"")</f>
        <v>0</v>
      </c>
      <c r="R116" s="173">
        <f>IFERROR(VLOOKUP($B116,Totalt!$B$1:$AQ$554,MATCH(R$2,Totalt!$B$1:$AQ$1,0),FALSE),"")</f>
        <v>0</v>
      </c>
      <c r="S116" s="173">
        <f>IFERROR(VLOOKUP($B116,Totalt!$B$1:$AQ$554,MATCH(S$2,Totalt!$B$1:$AQ$1,0),FALSE),"")</f>
        <v>0</v>
      </c>
      <c r="T116" s="173">
        <f>IFERROR(VLOOKUP($B116,Totalt!$B$1:$AQ$554,MATCH(T$2,Totalt!$B$1:$AQ$1,0),FALSE),"")</f>
        <v>0</v>
      </c>
      <c r="U116" s="173">
        <f>IFERROR(VLOOKUP($B116,Totalt!$B$1:$AQ$554,MATCH(U$2,Totalt!$B$1:$AQ$1,0),FALSE),"")</f>
        <v>0</v>
      </c>
      <c r="V116" s="173">
        <f>IFERROR(VLOOKUP($B116,Totalt!$B$1:$AQ$554,MATCH(V$2,Totalt!$B$1:$AQ$1,0),FALSE),"")</f>
        <v>0</v>
      </c>
      <c r="W116" s="173">
        <f>IFERROR(VLOOKUP($B116,Totalt!$B$1:$AQ$554,MATCH(W$2,Totalt!$B$1:$AQ$1,0),FALSE),"")</f>
        <v>1.2</v>
      </c>
      <c r="X116" s="173">
        <f>IFERROR(VLOOKUP($B116,Totalt!$B$1:$AQ$554,MATCH(X$2,Totalt!$B$1:$AQ$1,0),FALSE),"")</f>
        <v>0</v>
      </c>
      <c r="Y116" s="173">
        <f>IFERROR(VLOOKUP($B116,Totalt!$B$1:$AQ$554,MATCH(Y$2,Totalt!$B$1:$AQ$1,0),FALSE),"")</f>
        <v>28.8704</v>
      </c>
      <c r="Z116" s="173">
        <f>IFERROR(VLOOKUP($B116,Totalt!$B$1:$AQ$554,MATCH(Z$2,Totalt!$B$1:$AQ$1,0),FALSE),"")</f>
        <v>0</v>
      </c>
      <c r="AA116" s="173">
        <f>IFERROR(VLOOKUP($B116,Totalt!$B$1:$AQ$554,MATCH(AA$2,Totalt!$B$1:$AQ$1,0),FALSE),"")</f>
        <v>0</v>
      </c>
      <c r="AB116" s="173">
        <f>IFERROR(VLOOKUP($B116,Totalt!$B$1:$AQ$554,MATCH(AB$2,Totalt!$B$1:$AQ$1,0),FALSE),"")</f>
        <v>0</v>
      </c>
      <c r="AC116" s="173">
        <f>IFERROR(VLOOKUP($B116,Totalt!$B$1:$AQ$554,MATCH(AC$2,Totalt!$B$1:$AQ$1,0),FALSE),"")</f>
        <v>124.3</v>
      </c>
      <c r="AD116" s="173">
        <f>IFERROR(VLOOKUP($B116,Totalt!$B$1:$AQ$554,MATCH(AD$2,Totalt!$B$1:$AQ$1,0),FALSE),"")</f>
        <v>4.5</v>
      </c>
      <c r="AE116" s="173">
        <f>IFERROR(VLOOKUP($B116,Totalt!$B$1:$AQ$554,MATCH(AE$2,Totalt!$B$1:$AQ$1,0),FALSE),"")</f>
        <v>0</v>
      </c>
      <c r="AF116" s="173">
        <f>IFERROR(VLOOKUP($B116,Totalt!$B$1:$AQ$554,MATCH(AF$2,Totalt!$B$1:$AQ$1,0),FALSE),"")</f>
        <v>16.534199999999998</v>
      </c>
      <c r="AG116" s="173">
        <f>IFERROR(VLOOKUP($B116,Totalt!$B$1:$AQ$554,MATCH(AG$2,Totalt!$B$1:$AQ$1,0),FALSE),"")</f>
        <v>0</v>
      </c>
      <c r="AI116" s="226">
        <f t="shared" si="6"/>
        <v>552.2328</v>
      </c>
      <c r="AJ116" s="226">
        <f>IF(ISERROR(1/VLOOKUP($B116,Leveranser!$B$1:$S$500,MATCH("såld värme (gwh)",Leveranser!$B$1:$S$1,0),FALSE)),"",VLOOKUP($B116,Leveranser!$B$1:$S$500,MATCH("såld värme (gwh)",Leveranser!$B$1:$S$1,0),FALSE))</f>
        <v>551.14</v>
      </c>
      <c r="AM116" s="227" t="str">
        <f>IF(B116&lt;&gt;"",IF(VLOOKUP($B116,Totalt!$B$1:$AQ$554,MATCH("Kvalitetsgranskad:",Totalt!$B$1:$AQ$1,0),FALSE)="ja",VLOOKUP($B116,Miljö!$B$1:$AG$479,MATCH(AM$2,Miljö!$B$1:$AK$1,0),FALSE),""),"")</f>
        <v>Ja</v>
      </c>
      <c r="AN116" s="227" t="str">
        <f>IF(AM116="ja",VLOOKUP($B116,Miljö!$B$1:$J$479,MATCH("Typ av ursprungsspecificerad el   (Om inget värde anges används Nordisk residualmix, se inforuta) ()",Miljö!$B$1:$J$1,0),FALSE),IF(AM116="nej","Nordisk residualel",""))</f>
        <v>'Jämtkraft lokalel'</v>
      </c>
      <c r="AO116" s="227">
        <f>IF(AM116="","",VLOOKUP($B116,Miljö!$B$1:$J$479,MATCH("Fossilandel för ursprungspecificerad el ()",Miljö!$B$1:$J$1,0),FALSE))</f>
        <v>0</v>
      </c>
      <c r="AP116" s="227">
        <f>IF(AM116="","",IFERROR(VLOOKUP($B116,Miljö!$B$1:$J$479,MATCH("Kärnkraftsandel för ursprungsspecificerad el ()",Miljö!$B$1:$J$1,0),FALSE)/1,0))</f>
        <v>0</v>
      </c>
      <c r="AQ116" s="227">
        <f t="shared" si="7"/>
        <v>1</v>
      </c>
      <c r="AR116" s="227"/>
      <c r="AS116" s="227" t="str">
        <f t="shared" si="8"/>
        <v>Nej</v>
      </c>
      <c r="AT116" s="227" t="str">
        <f>IF(AS116="ja",VLOOKUP($B116,Miljö!$B$1:$O$500,MATCH("Fossil andel i procent (%)",Miljö!$B$1:$O$1,0),FALSE)/100,"")</f>
        <v/>
      </c>
      <c r="AU116" s="227"/>
      <c r="AV116" s="227" t="str">
        <f t="shared" si="9"/>
        <v>Nej</v>
      </c>
      <c r="AW116" s="227" t="str">
        <f>IF(AV116="ja",VLOOKUP($B116,'Egen hetvattenprod'!$B$1:$AO$500,MATCH("Värmekälla till värmepumpar ()",'Egen hetvattenprod'!$B$1:$AO$1,0),FALSE),"")</f>
        <v/>
      </c>
      <c r="AX116" s="227"/>
      <c r="AY116" s="227" t="str">
        <f t="shared" si="10"/>
        <v>Ja</v>
      </c>
      <c r="AZ116" s="228">
        <f>IF($AY116="ja",(VLOOKUP($B116,'Egen hetvattenprod'!$B$1:$BX$550,MATCH(AZ$2,'Egen hetvattenprod'!$B$1:$BX$1,0),FALSE)+VLOOKUP($B116,Kraftvärmeprod!$B$1:$BX$550,MATCH(AZ$2,Kraftvärmeprod!$B$1:$BX$1,0),FALSE))/$AC116,"")</f>
        <v>0.92732099758648423</v>
      </c>
      <c r="BA116" s="228">
        <f>IF($AY116="ja",(VLOOKUP($B116,'Egen hetvattenprod'!$B$1:$BX$550,MATCH(BA$2,'Egen hetvattenprod'!$B$1:$BX$1,0),FALSE)+VLOOKUP($B116,Kraftvärmeprod!$B$1:$BX$550,MATCH(BA$2,Kraftvärmeprod!$B$1:$BX$1,0),FALSE))/$AC116,"")</f>
        <v>0</v>
      </c>
      <c r="BB116" s="228">
        <f>IF($AY116="ja",(VLOOKUP($B116,'Egen hetvattenprod'!$B$1:$BX$550,MATCH(BB$2,'Egen hetvattenprod'!$B$1:$BX$1,0),FALSE)+VLOOKUP($B116,Kraftvärmeprod!$B$1:$BX$550,MATCH(BB$2,Kraftvärmeprod!$B$1:$BX$1,0),FALSE))/$AC116,"")</f>
        <v>0</v>
      </c>
      <c r="BC116" s="228">
        <f>IF($AY116="ja",(VLOOKUP($B116,'Egen hetvattenprod'!$B$1:$BX$550,MATCH(BC$2,'Egen hetvattenprod'!$B$1:$BX$1,0),FALSE)+VLOOKUP($B116,Kraftvärmeprod!$B$1:$BX$550,MATCH(BC$2,Kraftvärmeprod!$B$1:$BX$1,0),FALSE))/$AC116,"")</f>
        <v>7.2679002413515686E-2</v>
      </c>
      <c r="BD116" s="228">
        <f>IF($AY116="ja",(VLOOKUP($B116,'Egen hetvattenprod'!$B$1:$BX$550,MATCH(BD$2,'Egen hetvattenprod'!$B$1:$BX$1,0),FALSE)+VLOOKUP($B116,Kraftvärmeprod!$B$1:$BX$550,MATCH(BD$2,Kraftvärmeprod!$B$1:$BX$1,0),FALSE))/$AC116,"")</f>
        <v>0</v>
      </c>
      <c r="BE116" s="227"/>
      <c r="BF116" s="227" t="str">
        <f t="shared" si="11"/>
        <v>Nej</v>
      </c>
      <c r="BG116" s="227" t="str">
        <f>IF($BF116="ja",VLOOKUP($B116,'Egen hetvattenprod'!$B$1:$BX$550,MATCH("Andelen klimatgaser med fossilt ursprung för avfall ()",'Egen hetvattenprod'!$B$1:$BX$1,0),FALSE),"")</f>
        <v/>
      </c>
      <c r="BH116" s="227" t="str">
        <f>IF($BF116="ja",VLOOKUP($B116,Kraftvärmeprod!$B$1:$BX$550,MATCH("Andelen klimatgaser med fossilt ursprung för avfall ()",Kraftvärmeprod!$B$1:$BX$1,0),FALSE),"")</f>
        <v/>
      </c>
      <c r="BI116" s="227" t="str">
        <f>IF($BF116="ja",VLOOKUP($B116,'Egen hetvattenprod'!$B$1:$BX$550,MATCH("Avfall (GWh)",'Egen hetvattenprod'!$B$1:$BX$1,0),FALSE),"")</f>
        <v/>
      </c>
      <c r="BJ116" s="227" t="str">
        <f>IF($BF116="ja",VLOOKUP($B116,'Slutlig allokering kvv'!$B$1:$BX$550,MATCH("Avfall (GWh)",'Slutlig allokering kvv'!$B$1:$BX$1,0),FALSE),"")</f>
        <v/>
      </c>
      <c r="BK116" s="227" t="str">
        <f>IF($BF116="ja",VLOOKUP($B116,'Köpt hetvatten'!$B$1:$BX$550,MATCH("Avfall i köpt hetvatten",'Köpt hetvatten'!$B$1:$BX$1,0),FALSE),"")</f>
        <v/>
      </c>
      <c r="BL116" s="227" t="str">
        <f>IF($BF116="ja",VLOOKUP($B116,'Egen hetvattenprod'!$B$1:$BX$550,MATCH("Värde enligt ovan. (%)",'Egen hetvattenprod'!$B$1:$BX$1,0),FALSE),"")</f>
        <v/>
      </c>
      <c r="BM116" s="227" t="str">
        <f>IF($BF116="ja",VLOOKUP($B116,Kraftvärmeprod!$B$1:$BX$550,MATCH("Värde enligt ovan. (%)",Kraftvärmeprod!$B$1:$BX$1,0),FALSE),"")</f>
        <v/>
      </c>
      <c r="BN116" s="227"/>
      <c r="BO116" s="227"/>
      <c r="BP116" s="227"/>
      <c r="BQ116" s="227" t="str">
        <f>IF($BF116="ja",VLOOKUP($B116,'Egen hetvattenprod'!$B$1:$BX$550,MATCH("Tillförd olja (fossil) vid avfallsförbränning (GWh)",'Egen hetvattenprod'!$B$1:$BX$1,0),FALSE),"")</f>
        <v/>
      </c>
      <c r="BR116" s="227" t="str">
        <f>IF($BF116="ja",VLOOKUP($B116,Kraftvärmeprod!$B$1:$BX$550,MATCH("Tillförd olja (fossil) vid avfallsförbränning (GWh)",Kraftvärmeprod!$B$1:$BX$1,0),FALSE),"")</f>
        <v/>
      </c>
      <c r="BS116" s="227"/>
      <c r="BT116" s="227"/>
      <c r="BU116" s="227"/>
    </row>
    <row r="117" spans="1:73" x14ac:dyDescent="0.25">
      <c r="A117" s="121" t="str">
        <f>'Miljövärden för publ företag'!B120</f>
        <v>Jämtlands Värme AB</v>
      </c>
      <c r="B117" s="121" t="str">
        <f>'Miljövärden för publ företag'!C120</f>
        <v>Strömsund</v>
      </c>
      <c r="C117" s="173">
        <f>IFERROR(VLOOKUP($B117,Totalt!$B$1:$AQ$554,MATCH(C$2,Totalt!$B$1:$AQ$1,0),FALSE),"")</f>
        <v>0</v>
      </c>
      <c r="D117" s="173">
        <f>IFERROR(VLOOKUP($B117,Totalt!$B$1:$AQ$554,MATCH(D$2,Totalt!$B$1:$AQ$1,0),FALSE),"")</f>
        <v>1</v>
      </c>
      <c r="E117" s="173">
        <f>IFERROR(VLOOKUP($B117,Totalt!$B$1:$AQ$554,MATCH(E$2,Totalt!$B$1:$AQ$1,0),FALSE),"")</f>
        <v>0</v>
      </c>
      <c r="F117" s="173">
        <f>IFERROR(VLOOKUP($B117,Totalt!$B$1:$AQ$554,MATCH(F$2,Totalt!$B$1:$AQ$1,0),FALSE),"")</f>
        <v>0</v>
      </c>
      <c r="G117" s="173">
        <f>IFERROR(VLOOKUP($B117,Totalt!$B$1:$AQ$554,MATCH(G$2,Totalt!$B$1:$AQ$1,0),FALSE),"")</f>
        <v>0</v>
      </c>
      <c r="H117" s="173">
        <f>IFERROR(VLOOKUP($B117,Totalt!$B$1:$AQ$554,MATCH(H$2,Totalt!$B$1:$AQ$1,0),FALSE),"")</f>
        <v>0</v>
      </c>
      <c r="I117" s="173">
        <f>IFERROR(VLOOKUP($B117,Totalt!$B$1:$AQ$554,MATCH(I$2,Totalt!$B$1:$AQ$1,0),FALSE),"")</f>
        <v>0</v>
      </c>
      <c r="J117" s="173">
        <f>IFERROR(VLOOKUP($B117,Totalt!$B$1:$AQ$554,MATCH(J$2,Totalt!$B$1:$AQ$1,0),FALSE),"")</f>
        <v>0</v>
      </c>
      <c r="K117" s="173">
        <f>IFERROR(VLOOKUP($B117,Totalt!$B$1:$AQ$554,MATCH(K$2,Totalt!$B$1:$AQ$1,0),FALSE),"")</f>
        <v>0</v>
      </c>
      <c r="L117" s="173">
        <f>IFERROR(VLOOKUP($B117,Totalt!$B$1:$AQ$554,MATCH(L$2,Totalt!$B$1:$AQ$1,0),FALSE),"")</f>
        <v>0</v>
      </c>
      <c r="M117" s="173">
        <f>IFERROR(VLOOKUP($B117,Totalt!$B$1:$AQ$554,MATCH(M$2,Totalt!$B$1:$AQ$1,0),FALSE),"")</f>
        <v>0</v>
      </c>
      <c r="N117" s="173">
        <f>IFERROR(VLOOKUP($B117,Totalt!$B$1:$AQ$554,MATCH(N$2,Totalt!$B$1:$AQ$1,0),FALSE),"")</f>
        <v>0</v>
      </c>
      <c r="O117" s="173">
        <f>IFERROR(VLOOKUP($B117,Totalt!$B$1:$AQ$554,MATCH(O$2,Totalt!$B$1:$AQ$1,0),FALSE),"")</f>
        <v>16.899999999999999</v>
      </c>
      <c r="P117" s="173">
        <f>IFERROR(VLOOKUP($B117,Totalt!$B$1:$AQ$554,MATCH(P$2,Totalt!$B$1:$AQ$1,0),FALSE),"")</f>
        <v>16.5</v>
      </c>
      <c r="Q117" s="173">
        <f>IFERROR(VLOOKUP($B117,Totalt!$B$1:$AQ$554,MATCH(Q$2,Totalt!$B$1:$AQ$1,0),FALSE),"")</f>
        <v>30.8</v>
      </c>
      <c r="R117" s="173">
        <f>IFERROR(VLOOKUP($B117,Totalt!$B$1:$AQ$554,MATCH(R$2,Totalt!$B$1:$AQ$1,0),FALSE),"")</f>
        <v>12</v>
      </c>
      <c r="S117" s="173">
        <f>IFERROR(VLOOKUP($B117,Totalt!$B$1:$AQ$554,MATCH(S$2,Totalt!$B$1:$AQ$1,0),FALSE),"")</f>
        <v>0</v>
      </c>
      <c r="T117" s="173">
        <f>IFERROR(VLOOKUP($B117,Totalt!$B$1:$AQ$554,MATCH(T$2,Totalt!$B$1:$AQ$1,0),FALSE),"")</f>
        <v>0</v>
      </c>
      <c r="U117" s="173">
        <f>IFERROR(VLOOKUP($B117,Totalt!$B$1:$AQ$554,MATCH(U$2,Totalt!$B$1:$AQ$1,0),FALSE),"")</f>
        <v>0</v>
      </c>
      <c r="V117" s="173">
        <f>IFERROR(VLOOKUP($B117,Totalt!$B$1:$AQ$554,MATCH(V$2,Totalt!$B$1:$AQ$1,0),FALSE),"")</f>
        <v>0</v>
      </c>
      <c r="W117" s="173">
        <f>IFERROR(VLOOKUP($B117,Totalt!$B$1:$AQ$554,MATCH(W$2,Totalt!$B$1:$AQ$1,0),FALSE),"")</f>
        <v>4.47</v>
      </c>
      <c r="X117" s="173">
        <f>IFERROR(VLOOKUP($B117,Totalt!$B$1:$AQ$554,MATCH(X$2,Totalt!$B$1:$AQ$1,0),FALSE),"")</f>
        <v>0</v>
      </c>
      <c r="Y117" s="173">
        <f>IFERROR(VLOOKUP($B117,Totalt!$B$1:$AQ$554,MATCH(Y$2,Totalt!$B$1:$AQ$1,0),FALSE),"")</f>
        <v>0</v>
      </c>
      <c r="Z117" s="173">
        <f>IFERROR(VLOOKUP($B117,Totalt!$B$1:$AQ$554,MATCH(Z$2,Totalt!$B$1:$AQ$1,0),FALSE),"")</f>
        <v>0</v>
      </c>
      <c r="AA117" s="173">
        <f>IFERROR(VLOOKUP($B117,Totalt!$B$1:$AQ$554,MATCH(AA$2,Totalt!$B$1:$AQ$1,0),FALSE),"")</f>
        <v>0</v>
      </c>
      <c r="AB117" s="173">
        <f>IFERROR(VLOOKUP($B117,Totalt!$B$1:$AQ$554,MATCH(AB$2,Totalt!$B$1:$AQ$1,0),FALSE),"")</f>
        <v>0</v>
      </c>
      <c r="AC117" s="173">
        <f>IFERROR(VLOOKUP($B117,Totalt!$B$1:$AQ$554,MATCH(AC$2,Totalt!$B$1:$AQ$1,0),FALSE),"")</f>
        <v>2.2000000000000002</v>
      </c>
      <c r="AD117" s="173">
        <f>IFERROR(VLOOKUP($B117,Totalt!$B$1:$AQ$554,MATCH(AD$2,Totalt!$B$1:$AQ$1,0),FALSE),"")</f>
        <v>0</v>
      </c>
      <c r="AE117" s="173">
        <f>IFERROR(VLOOKUP($B117,Totalt!$B$1:$AQ$554,MATCH(AE$2,Totalt!$B$1:$AQ$1,0),FALSE),"")</f>
        <v>0</v>
      </c>
      <c r="AF117" s="173">
        <f>IFERROR(VLOOKUP($B117,Totalt!$B$1:$AQ$554,MATCH(AF$2,Totalt!$B$1:$AQ$1,0),FALSE),"")</f>
        <v>1.671</v>
      </c>
      <c r="AG117" s="173">
        <f>IFERROR(VLOOKUP($B117,Totalt!$B$1:$AQ$554,MATCH(AG$2,Totalt!$B$1:$AQ$1,0),FALSE),"")</f>
        <v>0</v>
      </c>
      <c r="AI117" s="226">
        <f t="shared" si="6"/>
        <v>85.541000000000011</v>
      </c>
      <c r="AJ117" s="226">
        <f>IF(ISERROR(1/VLOOKUP($B117,Leveranser!$B$1:$S$500,MATCH("såld värme (gwh)",Leveranser!$B$1:$S$1,0),FALSE)),"",VLOOKUP($B117,Leveranser!$B$1:$S$500,MATCH("såld värme (gwh)",Leveranser!$B$1:$S$1,0),FALSE))</f>
        <v>55.7</v>
      </c>
      <c r="AM117" s="227" t="str">
        <f>IF(B117&lt;&gt;"",IF(VLOOKUP($B117,Totalt!$B$1:$AQ$554,MATCH("Kvalitetsgranskad:",Totalt!$B$1:$AQ$1,0),FALSE)="ja",VLOOKUP($B117,Miljö!$B$1:$AG$479,MATCH(AM$2,Miljö!$B$1:$AK$1,0),FALSE),""),"")</f>
        <v>Nej</v>
      </c>
      <c r="AN117" s="227" t="str">
        <f>IF(AM117="ja",VLOOKUP($B117,Miljö!$B$1:$J$479,MATCH("Typ av ursprungsspecificerad el   (Om inget värde anges används Nordisk residualmix, se inforuta) ()",Miljö!$B$1:$J$1,0),FALSE),IF(AM117="nej","Nordisk residualel",""))</f>
        <v>Nordisk residualel</v>
      </c>
      <c r="AO117" s="227">
        <f>IF(AM117="","",VLOOKUP($B117,Miljö!$B$1:$J$479,MATCH("Fossilandel för ursprungspecificerad el ()",Miljö!$B$1:$J$1,0),FALSE))</f>
        <v>0.43</v>
      </c>
      <c r="AP117" s="227">
        <f>IF(AM117="","",IFERROR(VLOOKUP($B117,Miljö!$B$1:$J$479,MATCH("Kärnkraftsandel för ursprungsspecificerad el ()",Miljö!$B$1:$J$1,0),FALSE)/1,0))</f>
        <v>0.40550000000000003</v>
      </c>
      <c r="AQ117" s="227">
        <f t="shared" si="7"/>
        <v>0.16450000000000004</v>
      </c>
      <c r="AR117" s="227"/>
      <c r="AS117" s="227" t="str">
        <f t="shared" si="8"/>
        <v>Nej</v>
      </c>
      <c r="AT117" s="227" t="str">
        <f>IF(AS117="ja",VLOOKUP($B117,Miljö!$B$1:$O$500,MATCH("Fossil andel i procent (%)",Miljö!$B$1:$O$1,0),FALSE)/100,"")</f>
        <v/>
      </c>
      <c r="AU117" s="227"/>
      <c r="AV117" s="227" t="str">
        <f t="shared" si="9"/>
        <v>Nej</v>
      </c>
      <c r="AW117" s="227" t="str">
        <f>IF(AV117="ja",VLOOKUP($B117,'Egen hetvattenprod'!$B$1:$AO$500,MATCH("Värmekälla till värmepumpar ()",'Egen hetvattenprod'!$B$1:$AO$1,0),FALSE),"")</f>
        <v/>
      </c>
      <c r="AX117" s="227"/>
      <c r="AY117" s="227" t="str">
        <f t="shared" si="10"/>
        <v>Ja</v>
      </c>
      <c r="AZ117" s="228">
        <f>IF($AY117="ja",(VLOOKUP($B117,'Egen hetvattenprod'!$B$1:$BX$550,MATCH(AZ$2,'Egen hetvattenprod'!$B$1:$BX$1,0),FALSE)+VLOOKUP($B117,Kraftvärmeprod!$B$1:$BX$550,MATCH(AZ$2,Kraftvärmeprod!$B$1:$BX$1,0),FALSE))/$AC117,"")</f>
        <v>1</v>
      </c>
      <c r="BA117" s="228">
        <f>IF($AY117="ja",(VLOOKUP($B117,'Egen hetvattenprod'!$B$1:$BX$550,MATCH(BA$2,'Egen hetvattenprod'!$B$1:$BX$1,0),FALSE)+VLOOKUP($B117,Kraftvärmeprod!$B$1:$BX$550,MATCH(BA$2,Kraftvärmeprod!$B$1:$BX$1,0),FALSE))/$AC117,"")</f>
        <v>0</v>
      </c>
      <c r="BB117" s="228">
        <f>IF($AY117="ja",(VLOOKUP($B117,'Egen hetvattenprod'!$B$1:$BX$550,MATCH(BB$2,'Egen hetvattenprod'!$B$1:$BX$1,0),FALSE)+VLOOKUP($B117,Kraftvärmeprod!$B$1:$BX$550,MATCH(BB$2,Kraftvärmeprod!$B$1:$BX$1,0),FALSE))/$AC117,"")</f>
        <v>0</v>
      </c>
      <c r="BC117" s="228">
        <f>IF($AY117="ja",(VLOOKUP($B117,'Egen hetvattenprod'!$B$1:$BX$550,MATCH(BC$2,'Egen hetvattenprod'!$B$1:$BX$1,0),FALSE)+VLOOKUP($B117,Kraftvärmeprod!$B$1:$BX$550,MATCH(BC$2,Kraftvärmeprod!$B$1:$BX$1,0),FALSE))/$AC117,"")</f>
        <v>0</v>
      </c>
      <c r="BD117" s="228">
        <f>IF($AY117="ja",(VLOOKUP($B117,'Egen hetvattenprod'!$B$1:$BX$550,MATCH(BD$2,'Egen hetvattenprod'!$B$1:$BX$1,0),FALSE)+VLOOKUP($B117,Kraftvärmeprod!$B$1:$BX$550,MATCH(BD$2,Kraftvärmeprod!$B$1:$BX$1,0),FALSE))/$AC117,"")</f>
        <v>0</v>
      </c>
      <c r="BE117" s="227"/>
      <c r="BF117" s="227" t="str">
        <f t="shared" si="11"/>
        <v>Nej</v>
      </c>
      <c r="BG117" s="227" t="str">
        <f>IF($BF117="ja",VLOOKUP($B117,'Egen hetvattenprod'!$B$1:$BX$550,MATCH("Andelen klimatgaser med fossilt ursprung för avfall ()",'Egen hetvattenprod'!$B$1:$BX$1,0),FALSE),"")</f>
        <v/>
      </c>
      <c r="BH117" s="227" t="str">
        <f>IF($BF117="ja",VLOOKUP($B117,Kraftvärmeprod!$B$1:$BX$550,MATCH("Andelen klimatgaser med fossilt ursprung för avfall ()",Kraftvärmeprod!$B$1:$BX$1,0),FALSE),"")</f>
        <v/>
      </c>
      <c r="BI117" s="227" t="str">
        <f>IF($BF117="ja",VLOOKUP($B117,'Egen hetvattenprod'!$B$1:$BX$550,MATCH("Avfall (GWh)",'Egen hetvattenprod'!$B$1:$BX$1,0),FALSE),"")</f>
        <v/>
      </c>
      <c r="BJ117" s="227" t="str">
        <f>IF($BF117="ja",VLOOKUP($B117,'Slutlig allokering kvv'!$B$1:$BX$550,MATCH("Avfall (GWh)",'Slutlig allokering kvv'!$B$1:$BX$1,0),FALSE),"")</f>
        <v/>
      </c>
      <c r="BK117" s="227" t="str">
        <f>IF($BF117="ja",VLOOKUP($B117,'Köpt hetvatten'!$B$1:$BX$550,MATCH("Avfall i köpt hetvatten",'Köpt hetvatten'!$B$1:$BX$1,0),FALSE),"")</f>
        <v/>
      </c>
      <c r="BL117" s="227" t="str">
        <f>IF($BF117="ja",VLOOKUP($B117,'Egen hetvattenprod'!$B$1:$BX$550,MATCH("Värde enligt ovan. (%)",'Egen hetvattenprod'!$B$1:$BX$1,0),FALSE),"")</f>
        <v/>
      </c>
      <c r="BM117" s="227" t="str">
        <f>IF($BF117="ja",VLOOKUP($B117,Kraftvärmeprod!$B$1:$BX$550,MATCH("Värde enligt ovan. (%)",Kraftvärmeprod!$B$1:$BX$1,0),FALSE),"")</f>
        <v/>
      </c>
      <c r="BN117" s="227"/>
      <c r="BO117" s="227"/>
      <c r="BP117" s="227"/>
      <c r="BQ117" s="227" t="str">
        <f>IF($BF117="ja",VLOOKUP($B117,'Egen hetvattenprod'!$B$1:$BX$550,MATCH("Tillförd olja (fossil) vid avfallsförbränning (GWh)",'Egen hetvattenprod'!$B$1:$BX$1,0),FALSE),"")</f>
        <v/>
      </c>
      <c r="BR117" s="227" t="str">
        <f>IF($BF117="ja",VLOOKUP($B117,Kraftvärmeprod!$B$1:$BX$550,MATCH("Tillförd olja (fossil) vid avfallsförbränning (GWh)",Kraftvärmeprod!$B$1:$BX$1,0),FALSE),"")</f>
        <v/>
      </c>
      <c r="BS117" s="227"/>
      <c r="BT117" s="227"/>
      <c r="BU117" s="227"/>
    </row>
    <row r="118" spans="1:73" x14ac:dyDescent="0.25">
      <c r="A118" s="121" t="str">
        <f>'Miljövärden för publ företag'!B121</f>
        <v>Jönköping Energi AB</v>
      </c>
      <c r="B118" s="121" t="str">
        <f>'Miljövärden för publ företag'!C121</f>
        <v>Gränna</v>
      </c>
      <c r="C118" s="173">
        <f>IFERROR(VLOOKUP($B118,Totalt!$B$1:$AQ$554,MATCH(C$2,Totalt!$B$1:$AQ$1,0),FALSE),"")</f>
        <v>0</v>
      </c>
      <c r="D118" s="173">
        <f>IFERROR(VLOOKUP($B118,Totalt!$B$1:$AQ$554,MATCH(D$2,Totalt!$B$1:$AQ$1,0),FALSE),"")</f>
        <v>0.28000000000000003</v>
      </c>
      <c r="E118" s="173">
        <f>IFERROR(VLOOKUP($B118,Totalt!$B$1:$AQ$554,MATCH(E$2,Totalt!$B$1:$AQ$1,0),FALSE),"")</f>
        <v>0</v>
      </c>
      <c r="F118" s="173">
        <f>IFERROR(VLOOKUP($B118,Totalt!$B$1:$AQ$554,MATCH(F$2,Totalt!$B$1:$AQ$1,0),FALSE),"")</f>
        <v>0</v>
      </c>
      <c r="G118" s="173">
        <f>IFERROR(VLOOKUP($B118,Totalt!$B$1:$AQ$554,MATCH(G$2,Totalt!$B$1:$AQ$1,0),FALSE),"")</f>
        <v>0</v>
      </c>
      <c r="H118" s="173">
        <f>IFERROR(VLOOKUP($B118,Totalt!$B$1:$AQ$554,MATCH(H$2,Totalt!$B$1:$AQ$1,0),FALSE),"")</f>
        <v>0</v>
      </c>
      <c r="I118" s="173">
        <f>IFERROR(VLOOKUP($B118,Totalt!$B$1:$AQ$554,MATCH(I$2,Totalt!$B$1:$AQ$1,0),FALSE),"")</f>
        <v>0</v>
      </c>
      <c r="J118" s="173">
        <f>IFERROR(VLOOKUP($B118,Totalt!$B$1:$AQ$554,MATCH(J$2,Totalt!$B$1:$AQ$1,0),FALSE),"")</f>
        <v>0</v>
      </c>
      <c r="K118" s="173">
        <f>IFERROR(VLOOKUP($B118,Totalt!$B$1:$AQ$554,MATCH(K$2,Totalt!$B$1:$AQ$1,0),FALSE),"")</f>
        <v>0</v>
      </c>
      <c r="L118" s="173">
        <f>IFERROR(VLOOKUP($B118,Totalt!$B$1:$AQ$554,MATCH(L$2,Totalt!$B$1:$AQ$1,0),FALSE),"")</f>
        <v>0</v>
      </c>
      <c r="M118" s="173">
        <f>IFERROR(VLOOKUP($B118,Totalt!$B$1:$AQ$554,MATCH(M$2,Totalt!$B$1:$AQ$1,0),FALSE),"")</f>
        <v>0</v>
      </c>
      <c r="N118" s="173">
        <f>IFERROR(VLOOKUP($B118,Totalt!$B$1:$AQ$554,MATCH(N$2,Totalt!$B$1:$AQ$1,0),FALSE),"")</f>
        <v>0</v>
      </c>
      <c r="O118" s="173">
        <f>IFERROR(VLOOKUP($B118,Totalt!$B$1:$AQ$554,MATCH(O$2,Totalt!$B$1:$AQ$1,0),FALSE),"")</f>
        <v>0</v>
      </c>
      <c r="P118" s="173">
        <f>IFERROR(VLOOKUP($B118,Totalt!$B$1:$AQ$554,MATCH(P$2,Totalt!$B$1:$AQ$1,0),FALSE),"")</f>
        <v>15.32</v>
      </c>
      <c r="Q118" s="173">
        <f>IFERROR(VLOOKUP($B118,Totalt!$B$1:$AQ$554,MATCH(Q$2,Totalt!$B$1:$AQ$1,0),FALSE),"")</f>
        <v>0</v>
      </c>
      <c r="R118" s="173">
        <f>IFERROR(VLOOKUP($B118,Totalt!$B$1:$AQ$554,MATCH(R$2,Totalt!$B$1:$AQ$1,0),FALSE),"")</f>
        <v>0</v>
      </c>
      <c r="S118" s="173">
        <f>IFERROR(VLOOKUP($B118,Totalt!$B$1:$AQ$554,MATCH(S$2,Totalt!$B$1:$AQ$1,0),FALSE),"")</f>
        <v>0</v>
      </c>
      <c r="T118" s="173">
        <f>IFERROR(VLOOKUP($B118,Totalt!$B$1:$AQ$554,MATCH(T$2,Totalt!$B$1:$AQ$1,0),FALSE),"")</f>
        <v>0</v>
      </c>
      <c r="U118" s="173">
        <f>IFERROR(VLOOKUP($B118,Totalt!$B$1:$AQ$554,MATCH(U$2,Totalt!$B$1:$AQ$1,0),FALSE),"")</f>
        <v>0</v>
      </c>
      <c r="V118" s="173">
        <f>IFERROR(VLOOKUP($B118,Totalt!$B$1:$AQ$554,MATCH(V$2,Totalt!$B$1:$AQ$1,0),FALSE),"")</f>
        <v>0</v>
      </c>
      <c r="W118" s="173">
        <f>IFERROR(VLOOKUP($B118,Totalt!$B$1:$AQ$554,MATCH(W$2,Totalt!$B$1:$AQ$1,0),FALSE),"")</f>
        <v>0</v>
      </c>
      <c r="X118" s="173">
        <f>IFERROR(VLOOKUP($B118,Totalt!$B$1:$AQ$554,MATCH(X$2,Totalt!$B$1:$AQ$1,0),FALSE),"")</f>
        <v>0</v>
      </c>
      <c r="Y118" s="173">
        <f>IFERROR(VLOOKUP($B118,Totalt!$B$1:$AQ$554,MATCH(Y$2,Totalt!$B$1:$AQ$1,0),FALSE),"")</f>
        <v>0</v>
      </c>
      <c r="Z118" s="173">
        <f>IFERROR(VLOOKUP($B118,Totalt!$B$1:$AQ$554,MATCH(Z$2,Totalt!$B$1:$AQ$1,0),FALSE),"")</f>
        <v>0</v>
      </c>
      <c r="AA118" s="173">
        <f>IFERROR(VLOOKUP($B118,Totalt!$B$1:$AQ$554,MATCH(AA$2,Totalt!$B$1:$AQ$1,0),FALSE),"")</f>
        <v>0</v>
      </c>
      <c r="AB118" s="173">
        <f>IFERROR(VLOOKUP($B118,Totalt!$B$1:$AQ$554,MATCH(AB$2,Totalt!$B$1:$AQ$1,0),FALSE),"")</f>
        <v>0</v>
      </c>
      <c r="AC118" s="173">
        <f>IFERROR(VLOOKUP($B118,Totalt!$B$1:$AQ$554,MATCH(AC$2,Totalt!$B$1:$AQ$1,0),FALSE),"")</f>
        <v>2.4300000000000002</v>
      </c>
      <c r="AD118" s="173">
        <f>IFERROR(VLOOKUP($B118,Totalt!$B$1:$AQ$554,MATCH(AD$2,Totalt!$B$1:$AQ$1,0),FALSE),"")</f>
        <v>0</v>
      </c>
      <c r="AE118" s="173">
        <f>IFERROR(VLOOKUP($B118,Totalt!$B$1:$AQ$554,MATCH(AE$2,Totalt!$B$1:$AQ$1,0),FALSE),"")</f>
        <v>0</v>
      </c>
      <c r="AF118" s="173">
        <f>IFERROR(VLOOKUP($B118,Totalt!$B$1:$AQ$554,MATCH(AF$2,Totalt!$B$1:$AQ$1,0),FALSE),"")</f>
        <v>0.49</v>
      </c>
      <c r="AG118" s="173">
        <f>IFERROR(VLOOKUP($B118,Totalt!$B$1:$AQ$554,MATCH(AG$2,Totalt!$B$1:$AQ$1,0),FALSE),"")</f>
        <v>0</v>
      </c>
      <c r="AI118" s="226">
        <f t="shared" si="6"/>
        <v>18.52</v>
      </c>
      <c r="AJ118" s="226">
        <f>IF(ISERROR(1/VLOOKUP($B118,Leveranser!$B$1:$S$500,MATCH("såld värme (gwh)",Leveranser!$B$1:$S$1,0),FALSE)),"",VLOOKUP($B118,Leveranser!$B$1:$S$500,MATCH("såld värme (gwh)",Leveranser!$B$1:$S$1,0),FALSE))</f>
        <v>11.7</v>
      </c>
      <c r="AM118" s="227" t="str">
        <f>IF(B118&lt;&gt;"",IF(VLOOKUP($B118,Totalt!$B$1:$AQ$554,MATCH("Kvalitetsgranskad:",Totalt!$B$1:$AQ$1,0),FALSE)="ja",VLOOKUP($B118,Miljö!$B$1:$AG$479,MATCH(AM$2,Miljö!$B$1:$AK$1,0),FALSE),""),"")</f>
        <v>Ja</v>
      </c>
      <c r="AN118" s="227" t="str">
        <f>IF(AM118="ja",VLOOKUP($B118,Miljö!$B$1:$J$479,MATCH("Typ av ursprungsspecificerad el   (Om inget värde anges används Nordisk residualmix, se inforuta) ()",Miljö!$B$1:$J$1,0),FALSE),IF(AM118="nej","Nordisk residualel",""))</f>
        <v>'Biokraft'</v>
      </c>
      <c r="AO118" s="227">
        <f>IF(AM118="","",VLOOKUP($B118,Miljö!$B$1:$J$479,MATCH("Fossilandel för ursprungspecificerad el ()",Miljö!$B$1:$J$1,0),FALSE))</f>
        <v>0</v>
      </c>
      <c r="AP118" s="227">
        <f>IF(AM118="","",IFERROR(VLOOKUP($B118,Miljö!$B$1:$J$479,MATCH("Kärnkraftsandel för ursprungsspecificerad el ()",Miljö!$B$1:$J$1,0),FALSE)/1,0))</f>
        <v>0</v>
      </c>
      <c r="AQ118" s="227">
        <f t="shared" si="7"/>
        <v>1</v>
      </c>
      <c r="AR118" s="227"/>
      <c r="AS118" s="227" t="str">
        <f t="shared" si="8"/>
        <v>Nej</v>
      </c>
      <c r="AT118" s="227" t="str">
        <f>IF(AS118="ja",VLOOKUP($B118,Miljö!$B$1:$O$500,MATCH("Fossil andel i procent (%)",Miljö!$B$1:$O$1,0),FALSE)/100,"")</f>
        <v/>
      </c>
      <c r="AU118" s="227"/>
      <c r="AV118" s="227" t="str">
        <f t="shared" si="9"/>
        <v>Nej</v>
      </c>
      <c r="AW118" s="227" t="str">
        <f>IF(AV118="ja",VLOOKUP($B118,'Egen hetvattenprod'!$B$1:$AO$500,MATCH("Värmekälla till värmepumpar ()",'Egen hetvattenprod'!$B$1:$AO$1,0),FALSE),"")</f>
        <v/>
      </c>
      <c r="AX118" s="227"/>
      <c r="AY118" s="227" t="str">
        <f t="shared" si="10"/>
        <v>Ja</v>
      </c>
      <c r="AZ118" s="228">
        <f>IF($AY118="ja",(VLOOKUP($B118,'Egen hetvattenprod'!$B$1:$BX$550,MATCH(AZ$2,'Egen hetvattenprod'!$B$1:$BX$1,0),FALSE)+VLOOKUP($B118,Kraftvärmeprod!$B$1:$BX$550,MATCH(AZ$2,Kraftvärmeprod!$B$1:$BX$1,0),FALSE))/$AC118,"")</f>
        <v>1</v>
      </c>
      <c r="BA118" s="228">
        <f>IF($AY118="ja",(VLOOKUP($B118,'Egen hetvattenprod'!$B$1:$BX$550,MATCH(BA$2,'Egen hetvattenprod'!$B$1:$BX$1,0),FALSE)+VLOOKUP($B118,Kraftvärmeprod!$B$1:$BX$550,MATCH(BA$2,Kraftvärmeprod!$B$1:$BX$1,0),FALSE))/$AC118,"")</f>
        <v>0</v>
      </c>
      <c r="BB118" s="228">
        <f>IF($AY118="ja",(VLOOKUP($B118,'Egen hetvattenprod'!$B$1:$BX$550,MATCH(BB$2,'Egen hetvattenprod'!$B$1:$BX$1,0),FALSE)+VLOOKUP($B118,Kraftvärmeprod!$B$1:$BX$550,MATCH(BB$2,Kraftvärmeprod!$B$1:$BX$1,0),FALSE))/$AC118,"")</f>
        <v>0</v>
      </c>
      <c r="BC118" s="228">
        <f>IF($AY118="ja",(VLOOKUP($B118,'Egen hetvattenprod'!$B$1:$BX$550,MATCH(BC$2,'Egen hetvattenprod'!$B$1:$BX$1,0),FALSE)+VLOOKUP($B118,Kraftvärmeprod!$B$1:$BX$550,MATCH(BC$2,Kraftvärmeprod!$B$1:$BX$1,0),FALSE))/$AC118,"")</f>
        <v>0</v>
      </c>
      <c r="BD118" s="228">
        <f>IF($AY118="ja",(VLOOKUP($B118,'Egen hetvattenprod'!$B$1:$BX$550,MATCH(BD$2,'Egen hetvattenprod'!$B$1:$BX$1,0),FALSE)+VLOOKUP($B118,Kraftvärmeprod!$B$1:$BX$550,MATCH(BD$2,Kraftvärmeprod!$B$1:$BX$1,0),FALSE))/$AC118,"")</f>
        <v>0</v>
      </c>
      <c r="BE118" s="227"/>
      <c r="BF118" s="227" t="str">
        <f t="shared" si="11"/>
        <v>Nej</v>
      </c>
      <c r="BG118" s="227" t="str">
        <f>IF($BF118="ja",VLOOKUP($B118,'Egen hetvattenprod'!$B$1:$BX$550,MATCH("Andelen klimatgaser med fossilt ursprung för avfall ()",'Egen hetvattenprod'!$B$1:$BX$1,0),FALSE),"")</f>
        <v/>
      </c>
      <c r="BH118" s="227" t="str">
        <f>IF($BF118="ja",VLOOKUP($B118,Kraftvärmeprod!$B$1:$BX$550,MATCH("Andelen klimatgaser med fossilt ursprung för avfall ()",Kraftvärmeprod!$B$1:$BX$1,0),FALSE),"")</f>
        <v/>
      </c>
      <c r="BI118" s="227" t="str">
        <f>IF($BF118="ja",VLOOKUP($B118,'Egen hetvattenprod'!$B$1:$BX$550,MATCH("Avfall (GWh)",'Egen hetvattenprod'!$B$1:$BX$1,0),FALSE),"")</f>
        <v/>
      </c>
      <c r="BJ118" s="227" t="str">
        <f>IF($BF118="ja",VLOOKUP($B118,'Slutlig allokering kvv'!$B$1:$BX$550,MATCH("Avfall (GWh)",'Slutlig allokering kvv'!$B$1:$BX$1,0),FALSE),"")</f>
        <v/>
      </c>
      <c r="BK118" s="227" t="str">
        <f>IF($BF118="ja",VLOOKUP($B118,'Köpt hetvatten'!$B$1:$BX$550,MATCH("Avfall i köpt hetvatten",'Köpt hetvatten'!$B$1:$BX$1,0),FALSE),"")</f>
        <v/>
      </c>
      <c r="BL118" s="227" t="str">
        <f>IF($BF118="ja",VLOOKUP($B118,'Egen hetvattenprod'!$B$1:$BX$550,MATCH("Värde enligt ovan. (%)",'Egen hetvattenprod'!$B$1:$BX$1,0),FALSE),"")</f>
        <v/>
      </c>
      <c r="BM118" s="227" t="str">
        <f>IF($BF118="ja",VLOOKUP($B118,Kraftvärmeprod!$B$1:$BX$550,MATCH("Värde enligt ovan. (%)",Kraftvärmeprod!$B$1:$BX$1,0),FALSE),"")</f>
        <v/>
      </c>
      <c r="BN118" s="227"/>
      <c r="BO118" s="227"/>
      <c r="BP118" s="227"/>
      <c r="BQ118" s="227" t="str">
        <f>IF($BF118="ja",VLOOKUP($B118,'Egen hetvattenprod'!$B$1:$BX$550,MATCH("Tillförd olja (fossil) vid avfallsförbränning (GWh)",'Egen hetvattenprod'!$B$1:$BX$1,0),FALSE),"")</f>
        <v/>
      </c>
      <c r="BR118" s="227" t="str">
        <f>IF($BF118="ja",VLOOKUP($B118,Kraftvärmeprod!$B$1:$BX$550,MATCH("Tillförd olja (fossil) vid avfallsförbränning (GWh)",Kraftvärmeprod!$B$1:$BX$1,0),FALSE),"")</f>
        <v/>
      </c>
      <c r="BS118" s="227"/>
      <c r="BT118" s="227"/>
      <c r="BU118" s="227"/>
    </row>
    <row r="119" spans="1:73" x14ac:dyDescent="0.25">
      <c r="A119" s="121" t="str">
        <f>'Miljövärden för publ företag'!B122</f>
        <v>Jönköping Energi AB</v>
      </c>
      <c r="B119" s="121" t="str">
        <f>'Miljövärden för publ företag'!C122</f>
        <v>Jönköping</v>
      </c>
      <c r="C119" s="173">
        <f>IFERROR(VLOOKUP($B119,Totalt!$B$1:$AQ$554,MATCH(C$2,Totalt!$B$1:$AQ$1,0),FALSE),"")</f>
        <v>0</v>
      </c>
      <c r="D119" s="173">
        <f>IFERROR(VLOOKUP($B119,Totalt!$B$1:$AQ$554,MATCH(D$2,Totalt!$B$1:$AQ$1,0),FALSE),"")</f>
        <v>2.5331199999999998</v>
      </c>
      <c r="E119" s="173">
        <f>IFERROR(VLOOKUP($B119,Totalt!$B$1:$AQ$554,MATCH(E$2,Totalt!$B$1:$AQ$1,0),FALSE),"")</f>
        <v>0</v>
      </c>
      <c r="F119" s="173">
        <f>IFERROR(VLOOKUP($B119,Totalt!$B$1:$AQ$554,MATCH(F$2,Totalt!$B$1:$AQ$1,0),FALSE),"")</f>
        <v>14.96</v>
      </c>
      <c r="G119" s="173">
        <f>IFERROR(VLOOKUP($B119,Totalt!$B$1:$AQ$554,MATCH(G$2,Totalt!$B$1:$AQ$1,0),FALSE),"")</f>
        <v>0</v>
      </c>
      <c r="H119" s="173">
        <f>IFERROR(VLOOKUP($B119,Totalt!$B$1:$AQ$554,MATCH(H$2,Totalt!$B$1:$AQ$1,0),FALSE),"")</f>
        <v>0</v>
      </c>
      <c r="I119" s="173">
        <f>IFERROR(VLOOKUP($B119,Totalt!$B$1:$AQ$554,MATCH(I$2,Totalt!$B$1:$AQ$1,0),FALSE),"")</f>
        <v>247.31700000000001</v>
      </c>
      <c r="J119" s="173">
        <f>IFERROR(VLOOKUP($B119,Totalt!$B$1:$AQ$554,MATCH(J$2,Totalt!$B$1:$AQ$1,0),FALSE),"")</f>
        <v>0</v>
      </c>
      <c r="K119" s="173">
        <f>IFERROR(VLOOKUP($B119,Totalt!$B$1:$AQ$554,MATCH(K$2,Totalt!$B$1:$AQ$1,0),FALSE),"")</f>
        <v>0</v>
      </c>
      <c r="L119" s="173">
        <f>IFERROR(VLOOKUP($B119,Totalt!$B$1:$AQ$554,MATCH(L$2,Totalt!$B$1:$AQ$1,0),FALSE),"")</f>
        <v>0.82783399999999996</v>
      </c>
      <c r="M119" s="173">
        <f>IFERROR(VLOOKUP($B119,Totalt!$B$1:$AQ$554,MATCH(M$2,Totalt!$B$1:$AQ$1,0),FALSE),"")</f>
        <v>48.540199999999999</v>
      </c>
      <c r="N119" s="173">
        <f>IFERROR(VLOOKUP($B119,Totalt!$B$1:$AQ$554,MATCH(N$2,Totalt!$B$1:$AQ$1,0),FALSE),"")</f>
        <v>133.01</v>
      </c>
      <c r="O119" s="173">
        <f>IFERROR(VLOOKUP($B119,Totalt!$B$1:$AQ$554,MATCH(O$2,Totalt!$B$1:$AQ$1,0),FALSE),"")</f>
        <v>12.5633</v>
      </c>
      <c r="P119" s="173">
        <f>IFERROR(VLOOKUP($B119,Totalt!$B$1:$AQ$554,MATCH(P$2,Totalt!$B$1:$AQ$1,0),FALSE),"")</f>
        <v>18.326899999999998</v>
      </c>
      <c r="Q119" s="173">
        <f>IFERROR(VLOOKUP($B119,Totalt!$B$1:$AQ$554,MATCH(Q$2,Totalt!$B$1:$AQ$1,0),FALSE),"")</f>
        <v>35.643700000000003</v>
      </c>
      <c r="R119" s="173">
        <f>IFERROR(VLOOKUP($B119,Totalt!$B$1:$AQ$554,MATCH(R$2,Totalt!$B$1:$AQ$1,0),FALSE),"")</f>
        <v>20.23</v>
      </c>
      <c r="S119" s="173">
        <f>IFERROR(VLOOKUP($B119,Totalt!$B$1:$AQ$554,MATCH(S$2,Totalt!$B$1:$AQ$1,0),FALSE),"")</f>
        <v>0</v>
      </c>
      <c r="T119" s="173">
        <f>IFERROR(VLOOKUP($B119,Totalt!$B$1:$AQ$554,MATCH(T$2,Totalt!$B$1:$AQ$1,0),FALSE),"")</f>
        <v>57.21</v>
      </c>
      <c r="U119" s="173">
        <f>IFERROR(VLOOKUP($B119,Totalt!$B$1:$AQ$554,MATCH(U$2,Totalt!$B$1:$AQ$1,0),FALSE),"")</f>
        <v>0</v>
      </c>
      <c r="V119" s="173">
        <f>IFERROR(VLOOKUP($B119,Totalt!$B$1:$AQ$554,MATCH(V$2,Totalt!$B$1:$AQ$1,0),FALSE),"")</f>
        <v>0</v>
      </c>
      <c r="W119" s="173">
        <f>IFERROR(VLOOKUP($B119,Totalt!$B$1:$AQ$554,MATCH(W$2,Totalt!$B$1:$AQ$1,0),FALSE),"")</f>
        <v>0</v>
      </c>
      <c r="X119" s="173">
        <f>IFERROR(VLOOKUP($B119,Totalt!$B$1:$AQ$554,MATCH(X$2,Totalt!$B$1:$AQ$1,0),FALSE),"")</f>
        <v>0</v>
      </c>
      <c r="Y119" s="173">
        <f>IFERROR(VLOOKUP($B119,Totalt!$B$1:$AQ$554,MATCH(Y$2,Totalt!$B$1:$AQ$1,0),FALSE),"")</f>
        <v>5.1601100000000004</v>
      </c>
      <c r="Z119" s="173">
        <f>IFERROR(VLOOKUP($B119,Totalt!$B$1:$AQ$554,MATCH(Z$2,Totalt!$B$1:$AQ$1,0),FALSE),"")</f>
        <v>0</v>
      </c>
      <c r="AA119" s="173">
        <f>IFERROR(VLOOKUP($B119,Totalt!$B$1:$AQ$554,MATCH(AA$2,Totalt!$B$1:$AQ$1,0),FALSE),"")</f>
        <v>3.19</v>
      </c>
      <c r="AB119" s="173">
        <f>IFERROR(VLOOKUP($B119,Totalt!$B$1:$AQ$554,MATCH(AB$2,Totalt!$B$1:$AQ$1,0),FALSE),"")</f>
        <v>9.39</v>
      </c>
      <c r="AC119" s="173">
        <f>IFERROR(VLOOKUP($B119,Totalt!$B$1:$AQ$554,MATCH(AC$2,Totalt!$B$1:$AQ$1,0),FALSE),"")</f>
        <v>125.35</v>
      </c>
      <c r="AD119" s="173">
        <f>IFERROR(VLOOKUP($B119,Totalt!$B$1:$AQ$554,MATCH(AD$2,Totalt!$B$1:$AQ$1,0),FALSE),"")</f>
        <v>0</v>
      </c>
      <c r="AE119" s="173">
        <f>IFERROR(VLOOKUP($B119,Totalt!$B$1:$AQ$554,MATCH(AE$2,Totalt!$B$1:$AQ$1,0),FALSE),"")</f>
        <v>0</v>
      </c>
      <c r="AF119" s="173">
        <f>IFERROR(VLOOKUP($B119,Totalt!$B$1:$AQ$554,MATCH(AF$2,Totalt!$B$1:$AQ$1,0),FALSE),"")</f>
        <v>28.017199999999999</v>
      </c>
      <c r="AG119" s="173">
        <f>IFERROR(VLOOKUP($B119,Totalt!$B$1:$AQ$554,MATCH(AG$2,Totalt!$B$1:$AQ$1,0),FALSE),"")</f>
        <v>0</v>
      </c>
      <c r="AI119" s="226">
        <f t="shared" si="6"/>
        <v>762.26936400000011</v>
      </c>
      <c r="AJ119" s="226">
        <f>IF(ISERROR(1/VLOOKUP($B119,Leveranser!$B$1:$S$500,MATCH("såld värme (gwh)",Leveranser!$B$1:$S$1,0),FALSE)),"",VLOOKUP($B119,Leveranser!$B$1:$S$500,MATCH("såld värme (gwh)",Leveranser!$B$1:$S$1,0),FALSE))</f>
        <v>710.64</v>
      </c>
      <c r="AM119" s="227" t="str">
        <f>IF(B119&lt;&gt;"",IF(VLOOKUP($B119,Totalt!$B$1:$AQ$554,MATCH("Kvalitetsgranskad:",Totalt!$B$1:$AQ$1,0),FALSE)="ja",VLOOKUP($B119,Miljö!$B$1:$AG$479,MATCH(AM$2,Miljö!$B$1:$AK$1,0),FALSE),""),"")</f>
        <v>Ja</v>
      </c>
      <c r="AN119" s="227" t="str">
        <f>IF(AM119="ja",VLOOKUP($B119,Miljö!$B$1:$J$479,MATCH("Typ av ursprungsspecificerad el   (Om inget värde anges används Nordisk residualmix, se inforuta) ()",Miljö!$B$1:$J$1,0),FALSE),IF(AM119="nej","Nordisk residualel",""))</f>
        <v>'Biokraft'</v>
      </c>
      <c r="AO119" s="227">
        <f>IF(AM119="","",VLOOKUP($B119,Miljö!$B$1:$J$479,MATCH("Fossilandel för ursprungspecificerad el ()",Miljö!$B$1:$J$1,0),FALSE))</f>
        <v>0</v>
      </c>
      <c r="AP119" s="227">
        <f>IF(AM119="","",IFERROR(VLOOKUP($B119,Miljö!$B$1:$J$479,MATCH("Kärnkraftsandel för ursprungsspecificerad el ()",Miljö!$B$1:$J$1,0),FALSE)/1,0))</f>
        <v>0</v>
      </c>
      <c r="AQ119" s="227">
        <f t="shared" si="7"/>
        <v>1</v>
      </c>
      <c r="AR119" s="227"/>
      <c r="AS119" s="227" t="str">
        <f t="shared" si="8"/>
        <v>Nej</v>
      </c>
      <c r="AT119" s="227" t="str">
        <f>IF(AS119="ja",VLOOKUP($B119,Miljö!$B$1:$O$500,MATCH("Fossil andel i procent (%)",Miljö!$B$1:$O$1,0),FALSE)/100,"")</f>
        <v/>
      </c>
      <c r="AU119" s="227"/>
      <c r="AV119" s="227" t="str">
        <f t="shared" si="9"/>
        <v>Ja</v>
      </c>
      <c r="AW119" s="227" t="str">
        <f>IF(AV119="ja",VLOOKUP($B119,'Egen hetvattenprod'!$B$1:$AO$500,MATCH("Värmekälla till värmepumpar ()",'Egen hetvattenprod'!$B$1:$AO$1,0),FALSE),"")</f>
        <v>Lågtempererad spillvärme</v>
      </c>
      <c r="AX119" s="227"/>
      <c r="AY119" s="227" t="str">
        <f t="shared" si="10"/>
        <v>Ja</v>
      </c>
      <c r="AZ119" s="228">
        <f>IF($AY119="ja",(VLOOKUP($B119,'Egen hetvattenprod'!$B$1:$BX$550,MATCH(AZ$2,'Egen hetvattenprod'!$B$1:$BX$1,0),FALSE)+VLOOKUP($B119,Kraftvärmeprod!$B$1:$BX$550,MATCH(AZ$2,Kraftvärmeprod!$B$1:$BX$1,0),FALSE))/$AC119,"")</f>
        <v>0.55702433187076184</v>
      </c>
      <c r="BA119" s="228">
        <f>IF($AY119="ja",(VLOOKUP($B119,'Egen hetvattenprod'!$B$1:$BX$550,MATCH(BA$2,'Egen hetvattenprod'!$B$1:$BX$1,0),FALSE)+VLOOKUP($B119,Kraftvärmeprod!$B$1:$BX$550,MATCH(BA$2,Kraftvärmeprod!$B$1:$BX$1,0),FALSE))/$AC119,"")</f>
        <v>0.43304347826086953</v>
      </c>
      <c r="BB119" s="228">
        <f>IF($AY119="ja",(VLOOKUP($B119,'Egen hetvattenprod'!$B$1:$BX$550,MATCH(BB$2,'Egen hetvattenprod'!$B$1:$BX$1,0),FALSE)+VLOOKUP($B119,Kraftvärmeprod!$B$1:$BX$550,MATCH(BB$2,Kraftvärmeprod!$B$1:$BX$1,0),FALSE))/$AC119,"")</f>
        <v>0</v>
      </c>
      <c r="BC119" s="228">
        <f>IF($AY119="ja",(VLOOKUP($B119,'Egen hetvattenprod'!$B$1:$BX$550,MATCH(BC$2,'Egen hetvattenprod'!$B$1:$BX$1,0),FALSE)+VLOOKUP($B119,Kraftvärmeprod!$B$1:$BX$550,MATCH(BC$2,Kraftvärmeprod!$B$1:$BX$1,0),FALSE))/$AC119,"")</f>
        <v>9.932189868368569E-3</v>
      </c>
      <c r="BD119" s="228">
        <f>IF($AY119="ja",(VLOOKUP($B119,'Egen hetvattenprod'!$B$1:$BX$550,MATCH(BD$2,'Egen hetvattenprod'!$B$1:$BX$1,0),FALSE)+VLOOKUP($B119,Kraftvärmeprod!$B$1:$BX$550,MATCH(BD$2,Kraftvärmeprod!$B$1:$BX$1,0),FALSE))/$AC119,"")</f>
        <v>0</v>
      </c>
      <c r="BE119" s="227"/>
      <c r="BF119" s="227" t="str">
        <f t="shared" si="11"/>
        <v>Ja</v>
      </c>
      <c r="BG119" s="227" t="str">
        <f>IF($BF119="ja",VLOOKUP($B119,'Egen hetvattenprod'!$B$1:$BX$550,MATCH("Andelen klimatgaser med fossilt ursprung för avfall ()",'Egen hetvattenprod'!$B$1:$BX$1,0),FALSE),"")</f>
        <v>Schablon</v>
      </c>
      <c r="BH119" s="227" t="str">
        <f>IF($BF119="ja",VLOOKUP($B119,Kraftvärmeprod!$B$1:$BX$550,MATCH("Andelen klimatgaser med fossilt ursprung för avfall ()",Kraftvärmeprod!$B$1:$BX$1,0),FALSE),"")</f>
        <v>Schablon</v>
      </c>
      <c r="BI119" s="227">
        <f>IF($BF119="ja",VLOOKUP($B119,'Egen hetvattenprod'!$B$1:$BX$550,MATCH("Avfall (GWh)",'Egen hetvattenprod'!$B$1:$BX$1,0),FALSE),"")</f>
        <v>0</v>
      </c>
      <c r="BJ119" s="227">
        <f>IF($BF119="ja",VLOOKUP($B119,'Slutlig allokering kvv'!$B$1:$BX$550,MATCH("Avfall (GWh)",'Slutlig allokering kvv'!$B$1:$BX$1,0),FALSE),"")</f>
        <v>247.31700000000001</v>
      </c>
      <c r="BK119" s="227">
        <f>IF($BF119="ja",VLOOKUP($B119,'Köpt hetvatten'!$B$1:$BX$550,MATCH("Avfall i köpt hetvatten",'Köpt hetvatten'!$B$1:$BX$1,0),FALSE),"")</f>
        <v>0</v>
      </c>
      <c r="BL119" s="227">
        <f>IF($BF119="ja",VLOOKUP($B119,'Egen hetvattenprod'!$B$1:$BX$550,MATCH("Värde enligt ovan. (%)",'Egen hetvattenprod'!$B$1:$BX$1,0),FALSE),"")</f>
        <v>40.5</v>
      </c>
      <c r="BM119" s="227">
        <f>IF($BF119="ja",VLOOKUP($B119,Kraftvärmeprod!$B$1:$BX$550,MATCH("Värde enligt ovan. (%)",Kraftvärmeprod!$B$1:$BX$1,0),FALSE),"")</f>
        <v>40.5</v>
      </c>
      <c r="BN119" s="227"/>
      <c r="BO119" s="227"/>
      <c r="BP119" s="227"/>
      <c r="BQ119" s="227">
        <f>IF($BF119="ja",VLOOKUP($B119,'Egen hetvattenprod'!$B$1:$BX$550,MATCH("Tillförd olja (fossil) vid avfallsförbränning (GWh)",'Egen hetvattenprod'!$B$1:$BX$1,0),FALSE),"")</f>
        <v>0</v>
      </c>
      <c r="BR119" s="227">
        <f>IF($BF119="ja",VLOOKUP($B119,Kraftvärmeprod!$B$1:$BX$550,MATCH("Tillförd olja (fossil) vid avfallsförbränning (GWh)",Kraftvärmeprod!$B$1:$BX$1,0),FALSE),"")</f>
        <v>1.3</v>
      </c>
      <c r="BS119" s="227"/>
      <c r="BT119" s="227"/>
      <c r="BU119" s="227"/>
    </row>
    <row r="120" spans="1:73" x14ac:dyDescent="0.25">
      <c r="A120" s="121" t="str">
        <f>'Miljövärden för publ företag'!B123</f>
        <v>Jönköping Energi AB</v>
      </c>
      <c r="B120" s="121" t="str">
        <f>'Miljövärden för publ företag'!C123</f>
        <v>Stigamo</v>
      </c>
      <c r="C120" s="173">
        <f>IFERROR(VLOOKUP($B120,Totalt!$B$1:$AQ$554,MATCH(C$2,Totalt!$B$1:$AQ$1,0),FALSE),"")</f>
        <v>0</v>
      </c>
      <c r="D120" s="173">
        <f>IFERROR(VLOOKUP($B120,Totalt!$B$1:$AQ$554,MATCH(D$2,Totalt!$B$1:$AQ$1,0),FALSE),"")</f>
        <v>0.14000000000000001</v>
      </c>
      <c r="E120" s="173">
        <f>IFERROR(VLOOKUP($B120,Totalt!$B$1:$AQ$554,MATCH(E$2,Totalt!$B$1:$AQ$1,0),FALSE),"")</f>
        <v>0</v>
      </c>
      <c r="F120" s="173">
        <f>IFERROR(VLOOKUP($B120,Totalt!$B$1:$AQ$554,MATCH(F$2,Totalt!$B$1:$AQ$1,0),FALSE),"")</f>
        <v>0</v>
      </c>
      <c r="G120" s="173">
        <f>IFERROR(VLOOKUP($B120,Totalt!$B$1:$AQ$554,MATCH(G$2,Totalt!$B$1:$AQ$1,0),FALSE),"")</f>
        <v>0</v>
      </c>
      <c r="H120" s="173">
        <f>IFERROR(VLOOKUP($B120,Totalt!$B$1:$AQ$554,MATCH(H$2,Totalt!$B$1:$AQ$1,0),FALSE),"")</f>
        <v>0</v>
      </c>
      <c r="I120" s="173">
        <f>IFERROR(VLOOKUP($B120,Totalt!$B$1:$AQ$554,MATCH(I$2,Totalt!$B$1:$AQ$1,0),FALSE),"")</f>
        <v>0</v>
      </c>
      <c r="J120" s="173">
        <f>IFERROR(VLOOKUP($B120,Totalt!$B$1:$AQ$554,MATCH(J$2,Totalt!$B$1:$AQ$1,0),FALSE),"")</f>
        <v>0</v>
      </c>
      <c r="K120" s="173">
        <f>IFERROR(VLOOKUP($B120,Totalt!$B$1:$AQ$554,MATCH(K$2,Totalt!$B$1:$AQ$1,0),FALSE),"")</f>
        <v>0</v>
      </c>
      <c r="L120" s="173">
        <f>IFERROR(VLOOKUP($B120,Totalt!$B$1:$AQ$554,MATCH(L$2,Totalt!$B$1:$AQ$1,0),FALSE),"")</f>
        <v>0</v>
      </c>
      <c r="M120" s="173">
        <f>IFERROR(VLOOKUP($B120,Totalt!$B$1:$AQ$554,MATCH(M$2,Totalt!$B$1:$AQ$1,0),FALSE),"")</f>
        <v>0</v>
      </c>
      <c r="N120" s="173">
        <f>IFERROR(VLOOKUP($B120,Totalt!$B$1:$AQ$554,MATCH(N$2,Totalt!$B$1:$AQ$1,0),FALSE),"")</f>
        <v>0</v>
      </c>
      <c r="O120" s="173">
        <f>IFERROR(VLOOKUP($B120,Totalt!$B$1:$AQ$554,MATCH(O$2,Totalt!$B$1:$AQ$1,0),FALSE),"")</f>
        <v>0</v>
      </c>
      <c r="P120" s="173">
        <f>IFERROR(VLOOKUP($B120,Totalt!$B$1:$AQ$554,MATCH(P$2,Totalt!$B$1:$AQ$1,0),FALSE),"")</f>
        <v>0</v>
      </c>
      <c r="Q120" s="173">
        <f>IFERROR(VLOOKUP($B120,Totalt!$B$1:$AQ$554,MATCH(Q$2,Totalt!$B$1:$AQ$1,0),FALSE),"")</f>
        <v>0</v>
      </c>
      <c r="R120" s="173">
        <f>IFERROR(VLOOKUP($B120,Totalt!$B$1:$AQ$554,MATCH(R$2,Totalt!$B$1:$AQ$1,0),FALSE),"")</f>
        <v>4.37</v>
      </c>
      <c r="S120" s="173">
        <f>IFERROR(VLOOKUP($B120,Totalt!$B$1:$AQ$554,MATCH(S$2,Totalt!$B$1:$AQ$1,0),FALSE),"")</f>
        <v>0</v>
      </c>
      <c r="T120" s="173">
        <f>IFERROR(VLOOKUP($B120,Totalt!$B$1:$AQ$554,MATCH(T$2,Totalt!$B$1:$AQ$1,0),FALSE),"")</f>
        <v>0</v>
      </c>
      <c r="U120" s="173">
        <f>IFERROR(VLOOKUP($B120,Totalt!$B$1:$AQ$554,MATCH(U$2,Totalt!$B$1:$AQ$1,0),FALSE),"")</f>
        <v>0</v>
      </c>
      <c r="V120" s="173">
        <f>IFERROR(VLOOKUP($B120,Totalt!$B$1:$AQ$554,MATCH(V$2,Totalt!$B$1:$AQ$1,0),FALSE),"")</f>
        <v>0</v>
      </c>
      <c r="W120" s="173">
        <f>IFERROR(VLOOKUP($B120,Totalt!$B$1:$AQ$554,MATCH(W$2,Totalt!$B$1:$AQ$1,0),FALSE),"")</f>
        <v>0</v>
      </c>
      <c r="X120" s="173">
        <f>IFERROR(VLOOKUP($B120,Totalt!$B$1:$AQ$554,MATCH(X$2,Totalt!$B$1:$AQ$1,0),FALSE),"")</f>
        <v>0</v>
      </c>
      <c r="Y120" s="173">
        <f>IFERROR(VLOOKUP($B120,Totalt!$B$1:$AQ$554,MATCH(Y$2,Totalt!$B$1:$AQ$1,0),FALSE),"")</f>
        <v>0</v>
      </c>
      <c r="Z120" s="173">
        <f>IFERROR(VLOOKUP($B120,Totalt!$B$1:$AQ$554,MATCH(Z$2,Totalt!$B$1:$AQ$1,0),FALSE),"")</f>
        <v>0</v>
      </c>
      <c r="AA120" s="173">
        <f>IFERROR(VLOOKUP($B120,Totalt!$B$1:$AQ$554,MATCH(AA$2,Totalt!$B$1:$AQ$1,0),FALSE),"")</f>
        <v>0</v>
      </c>
      <c r="AB120" s="173">
        <f>IFERROR(VLOOKUP($B120,Totalt!$B$1:$AQ$554,MATCH(AB$2,Totalt!$B$1:$AQ$1,0),FALSE),"")</f>
        <v>0</v>
      </c>
      <c r="AC120" s="173">
        <f>IFERROR(VLOOKUP($B120,Totalt!$B$1:$AQ$554,MATCH(AC$2,Totalt!$B$1:$AQ$1,0),FALSE),"")</f>
        <v>0</v>
      </c>
      <c r="AD120" s="173">
        <f>IFERROR(VLOOKUP($B120,Totalt!$B$1:$AQ$554,MATCH(AD$2,Totalt!$B$1:$AQ$1,0),FALSE),"")</f>
        <v>0</v>
      </c>
      <c r="AE120" s="173">
        <f>IFERROR(VLOOKUP($B120,Totalt!$B$1:$AQ$554,MATCH(AE$2,Totalt!$B$1:$AQ$1,0),FALSE),"")</f>
        <v>0</v>
      </c>
      <c r="AF120" s="173">
        <f>IFERROR(VLOOKUP($B120,Totalt!$B$1:$AQ$554,MATCH(AF$2,Totalt!$B$1:$AQ$1,0),FALSE),"")</f>
        <v>0.09</v>
      </c>
      <c r="AG120" s="173">
        <f>IFERROR(VLOOKUP($B120,Totalt!$B$1:$AQ$554,MATCH(AG$2,Totalt!$B$1:$AQ$1,0),FALSE),"")</f>
        <v>0</v>
      </c>
      <c r="AI120" s="226">
        <f t="shared" si="6"/>
        <v>4.5999999999999996</v>
      </c>
      <c r="AJ120" s="226">
        <f>IF(ISERROR(1/VLOOKUP($B120,Leveranser!$B$1:$S$500,MATCH("såld värme (gwh)",Leveranser!$B$1:$S$1,0),FALSE)),"",VLOOKUP($B120,Leveranser!$B$1:$S$500,MATCH("såld värme (gwh)",Leveranser!$B$1:$S$1,0),FALSE))</f>
        <v>3.14</v>
      </c>
      <c r="AM120" s="227" t="str">
        <f>IF(B120&lt;&gt;"",IF(VLOOKUP($B120,Totalt!$B$1:$AQ$554,MATCH("Kvalitetsgranskad:",Totalt!$B$1:$AQ$1,0),FALSE)="ja",VLOOKUP($B120,Miljö!$B$1:$AG$479,MATCH(AM$2,Miljö!$B$1:$AK$1,0),FALSE),""),"")</f>
        <v>Ja</v>
      </c>
      <c r="AN120" s="227" t="str">
        <f>IF(AM120="ja",VLOOKUP($B120,Miljö!$B$1:$J$479,MATCH("Typ av ursprungsspecificerad el   (Om inget värde anges används Nordisk residualmix, se inforuta) ()",Miljö!$B$1:$J$1,0),FALSE),IF(AM120="nej","Nordisk residualel",""))</f>
        <v>'Biokraft'</v>
      </c>
      <c r="AO120" s="227">
        <f>IF(AM120="","",VLOOKUP($B120,Miljö!$B$1:$J$479,MATCH("Fossilandel för ursprungspecificerad el ()",Miljö!$B$1:$J$1,0),FALSE))</f>
        <v>0</v>
      </c>
      <c r="AP120" s="227">
        <f>IF(AM120="","",IFERROR(VLOOKUP($B120,Miljö!$B$1:$J$479,MATCH("Kärnkraftsandel för ursprungsspecificerad el ()",Miljö!$B$1:$J$1,0),FALSE)/1,0))</f>
        <v>0</v>
      </c>
      <c r="AQ120" s="227">
        <f t="shared" si="7"/>
        <v>1</v>
      </c>
      <c r="AR120" s="227"/>
      <c r="AS120" s="227" t="str">
        <f t="shared" si="8"/>
        <v>Nej</v>
      </c>
      <c r="AT120" s="227" t="str">
        <f>IF(AS120="ja",VLOOKUP($B120,Miljö!$B$1:$O$500,MATCH("Fossil andel i procent (%)",Miljö!$B$1:$O$1,0),FALSE)/100,"")</f>
        <v/>
      </c>
      <c r="AU120" s="227"/>
      <c r="AV120" s="227" t="str">
        <f t="shared" si="9"/>
        <v>Nej</v>
      </c>
      <c r="AW120" s="227" t="str">
        <f>IF(AV120="ja",VLOOKUP($B120,'Egen hetvattenprod'!$B$1:$AO$500,MATCH("Värmekälla till värmepumpar ()",'Egen hetvattenprod'!$B$1:$AO$1,0),FALSE),"")</f>
        <v/>
      </c>
      <c r="AX120" s="227"/>
      <c r="AY120" s="227" t="str">
        <f t="shared" si="10"/>
        <v>Nej</v>
      </c>
      <c r="AZ120" s="228" t="str">
        <f>IF($AY120="ja",(VLOOKUP($B120,'Egen hetvattenprod'!$B$1:$BX$550,MATCH(AZ$2,'Egen hetvattenprod'!$B$1:$BX$1,0),FALSE)+VLOOKUP($B120,Kraftvärmeprod!$B$1:$BX$550,MATCH(AZ$2,Kraftvärmeprod!$B$1:$BX$1,0),FALSE))/$AC120,"")</f>
        <v/>
      </c>
      <c r="BA120" s="228" t="str">
        <f>IF($AY120="ja",(VLOOKUP($B120,'Egen hetvattenprod'!$B$1:$BX$550,MATCH(BA$2,'Egen hetvattenprod'!$B$1:$BX$1,0),FALSE)+VLOOKUP($B120,Kraftvärmeprod!$B$1:$BX$550,MATCH(BA$2,Kraftvärmeprod!$B$1:$BX$1,0),FALSE))/$AC120,"")</f>
        <v/>
      </c>
      <c r="BB120" s="228" t="str">
        <f>IF($AY120="ja",(VLOOKUP($B120,'Egen hetvattenprod'!$B$1:$BX$550,MATCH(BB$2,'Egen hetvattenprod'!$B$1:$BX$1,0),FALSE)+VLOOKUP($B120,Kraftvärmeprod!$B$1:$BX$550,MATCH(BB$2,Kraftvärmeprod!$B$1:$BX$1,0),FALSE))/$AC120,"")</f>
        <v/>
      </c>
      <c r="BC120" s="228" t="str">
        <f>IF($AY120="ja",(VLOOKUP($B120,'Egen hetvattenprod'!$B$1:$BX$550,MATCH(BC$2,'Egen hetvattenprod'!$B$1:$BX$1,0),FALSE)+VLOOKUP($B120,Kraftvärmeprod!$B$1:$BX$550,MATCH(BC$2,Kraftvärmeprod!$B$1:$BX$1,0),FALSE))/$AC120,"")</f>
        <v/>
      </c>
      <c r="BD120" s="228" t="str">
        <f>IF($AY120="ja",(VLOOKUP($B120,'Egen hetvattenprod'!$B$1:$BX$550,MATCH(BD$2,'Egen hetvattenprod'!$B$1:$BX$1,0),FALSE)+VLOOKUP($B120,Kraftvärmeprod!$B$1:$BX$550,MATCH(BD$2,Kraftvärmeprod!$B$1:$BX$1,0),FALSE))/$AC120,"")</f>
        <v/>
      </c>
      <c r="BE120" s="227"/>
      <c r="BF120" s="227" t="str">
        <f t="shared" si="11"/>
        <v>Nej</v>
      </c>
      <c r="BG120" s="227" t="str">
        <f>IF($BF120="ja",VLOOKUP($B120,'Egen hetvattenprod'!$B$1:$BX$550,MATCH("Andelen klimatgaser med fossilt ursprung för avfall ()",'Egen hetvattenprod'!$B$1:$BX$1,0),FALSE),"")</f>
        <v/>
      </c>
      <c r="BH120" s="227" t="str">
        <f>IF($BF120="ja",VLOOKUP($B120,Kraftvärmeprod!$B$1:$BX$550,MATCH("Andelen klimatgaser med fossilt ursprung för avfall ()",Kraftvärmeprod!$B$1:$BX$1,0),FALSE),"")</f>
        <v/>
      </c>
      <c r="BI120" s="227" t="str">
        <f>IF($BF120="ja",VLOOKUP($B120,'Egen hetvattenprod'!$B$1:$BX$550,MATCH("Avfall (GWh)",'Egen hetvattenprod'!$B$1:$BX$1,0),FALSE),"")</f>
        <v/>
      </c>
      <c r="BJ120" s="227" t="str">
        <f>IF($BF120="ja",VLOOKUP($B120,'Slutlig allokering kvv'!$B$1:$BX$550,MATCH("Avfall (GWh)",'Slutlig allokering kvv'!$B$1:$BX$1,0),FALSE),"")</f>
        <v/>
      </c>
      <c r="BK120" s="227" t="str">
        <f>IF($BF120="ja",VLOOKUP($B120,'Köpt hetvatten'!$B$1:$BX$550,MATCH("Avfall i köpt hetvatten",'Köpt hetvatten'!$B$1:$BX$1,0),FALSE),"")</f>
        <v/>
      </c>
      <c r="BL120" s="227" t="str">
        <f>IF($BF120="ja",VLOOKUP($B120,'Egen hetvattenprod'!$B$1:$BX$550,MATCH("Värde enligt ovan. (%)",'Egen hetvattenprod'!$B$1:$BX$1,0),FALSE),"")</f>
        <v/>
      </c>
      <c r="BM120" s="227" t="str">
        <f>IF($BF120="ja",VLOOKUP($B120,Kraftvärmeprod!$B$1:$BX$550,MATCH("Värde enligt ovan. (%)",Kraftvärmeprod!$B$1:$BX$1,0),FALSE),"")</f>
        <v/>
      </c>
      <c r="BN120" s="227"/>
      <c r="BO120" s="227"/>
      <c r="BP120" s="227"/>
      <c r="BQ120" s="227" t="str">
        <f>IF($BF120="ja",VLOOKUP($B120,'Egen hetvattenprod'!$B$1:$BX$550,MATCH("Tillförd olja (fossil) vid avfallsförbränning (GWh)",'Egen hetvattenprod'!$B$1:$BX$1,0),FALSE),"")</f>
        <v/>
      </c>
      <c r="BR120" s="227" t="str">
        <f>IF($BF120="ja",VLOOKUP($B120,Kraftvärmeprod!$B$1:$BX$550,MATCH("Tillförd olja (fossil) vid avfallsförbränning (GWh)",Kraftvärmeprod!$B$1:$BX$1,0),FALSE),"")</f>
        <v/>
      </c>
      <c r="BS120" s="227"/>
      <c r="BT120" s="227"/>
      <c r="BU120" s="227"/>
    </row>
    <row r="121" spans="1:73" x14ac:dyDescent="0.25">
      <c r="A121" s="121" t="str">
        <f>'Miljövärden för publ företag'!B124</f>
        <v>Kalmar Energi Värme AB</v>
      </c>
      <c r="B121" s="121" t="str">
        <f>'Miljövärden för publ företag'!C124</f>
        <v>Kalmar</v>
      </c>
      <c r="C121" s="173">
        <f>IFERROR(VLOOKUP($B121,Totalt!$B$1:$AQ$554,MATCH(C$2,Totalt!$B$1:$AQ$1,0),FALSE),"")</f>
        <v>0</v>
      </c>
      <c r="D121" s="173">
        <f>IFERROR(VLOOKUP($B121,Totalt!$B$1:$AQ$554,MATCH(D$2,Totalt!$B$1:$AQ$1,0),FALSE),"")</f>
        <v>0.66</v>
      </c>
      <c r="E121" s="173">
        <f>IFERROR(VLOOKUP($B121,Totalt!$B$1:$AQ$554,MATCH(E$2,Totalt!$B$1:$AQ$1,0),FALSE),"")</f>
        <v>0</v>
      </c>
      <c r="F121" s="173">
        <f>IFERROR(VLOOKUP($B121,Totalt!$B$1:$AQ$554,MATCH(F$2,Totalt!$B$1:$AQ$1,0),FALSE),"")</f>
        <v>0.73</v>
      </c>
      <c r="G121" s="173">
        <f>IFERROR(VLOOKUP($B121,Totalt!$B$1:$AQ$554,MATCH(G$2,Totalt!$B$1:$AQ$1,0),FALSE),"")</f>
        <v>0</v>
      </c>
      <c r="H121" s="173">
        <f>IFERROR(VLOOKUP($B121,Totalt!$B$1:$AQ$554,MATCH(H$2,Totalt!$B$1:$AQ$1,0),FALSE),"")</f>
        <v>0</v>
      </c>
      <c r="I121" s="173">
        <f>IFERROR(VLOOKUP($B121,Totalt!$B$1:$AQ$554,MATCH(I$2,Totalt!$B$1:$AQ$1,0),FALSE),"")</f>
        <v>0</v>
      </c>
      <c r="J121" s="173">
        <f>IFERROR(VLOOKUP($B121,Totalt!$B$1:$AQ$554,MATCH(J$2,Totalt!$B$1:$AQ$1,0),FALSE),"")</f>
        <v>0</v>
      </c>
      <c r="K121" s="173">
        <f>IFERROR(VLOOKUP($B121,Totalt!$B$1:$AQ$554,MATCH(K$2,Totalt!$B$1:$AQ$1,0),FALSE),"")</f>
        <v>0</v>
      </c>
      <c r="L121" s="173">
        <f>IFERROR(VLOOKUP($B121,Totalt!$B$1:$AQ$554,MATCH(L$2,Totalt!$B$1:$AQ$1,0),FALSE),"")</f>
        <v>0</v>
      </c>
      <c r="M121" s="173">
        <f>IFERROR(VLOOKUP($B121,Totalt!$B$1:$AQ$554,MATCH(M$2,Totalt!$B$1:$AQ$1,0),FALSE),"")</f>
        <v>65.518500000000003</v>
      </c>
      <c r="N121" s="173">
        <f>IFERROR(VLOOKUP($B121,Totalt!$B$1:$AQ$554,MATCH(N$2,Totalt!$B$1:$AQ$1,0),FALSE),"")</f>
        <v>123.318</v>
      </c>
      <c r="O121" s="173">
        <f>IFERROR(VLOOKUP($B121,Totalt!$B$1:$AQ$554,MATCH(O$2,Totalt!$B$1:$AQ$1,0),FALSE),"")</f>
        <v>25.683599999999998</v>
      </c>
      <c r="P121" s="173">
        <f>IFERROR(VLOOKUP($B121,Totalt!$B$1:$AQ$554,MATCH(P$2,Totalt!$B$1:$AQ$1,0),FALSE),"")</f>
        <v>0</v>
      </c>
      <c r="Q121" s="173">
        <f>IFERROR(VLOOKUP($B121,Totalt!$B$1:$AQ$554,MATCH(Q$2,Totalt!$B$1:$AQ$1,0),FALSE),"")</f>
        <v>0</v>
      </c>
      <c r="R121" s="173">
        <f>IFERROR(VLOOKUP($B121,Totalt!$B$1:$AQ$554,MATCH(R$2,Totalt!$B$1:$AQ$1,0),FALSE),"")</f>
        <v>0</v>
      </c>
      <c r="S121" s="173">
        <f>IFERROR(VLOOKUP($B121,Totalt!$B$1:$AQ$554,MATCH(S$2,Totalt!$B$1:$AQ$1,0),FALSE),"")</f>
        <v>0</v>
      </c>
      <c r="T121" s="173">
        <f>IFERROR(VLOOKUP($B121,Totalt!$B$1:$AQ$554,MATCH(T$2,Totalt!$B$1:$AQ$1,0),FALSE),"")</f>
        <v>64</v>
      </c>
      <c r="U121" s="173">
        <f>IFERROR(VLOOKUP($B121,Totalt!$B$1:$AQ$554,MATCH(U$2,Totalt!$B$1:$AQ$1,0),FALSE),"")</f>
        <v>0</v>
      </c>
      <c r="V121" s="173">
        <f>IFERROR(VLOOKUP($B121,Totalt!$B$1:$AQ$554,MATCH(V$2,Totalt!$B$1:$AQ$1,0),FALSE),"")</f>
        <v>0</v>
      </c>
      <c r="W121" s="173">
        <f>IFERROR(VLOOKUP($B121,Totalt!$B$1:$AQ$554,MATCH(W$2,Totalt!$B$1:$AQ$1,0),FALSE),"")</f>
        <v>0</v>
      </c>
      <c r="X121" s="173">
        <f>IFERROR(VLOOKUP($B121,Totalt!$B$1:$AQ$554,MATCH(X$2,Totalt!$B$1:$AQ$1,0),FALSE),"")</f>
        <v>0</v>
      </c>
      <c r="Y121" s="173">
        <f>IFERROR(VLOOKUP($B121,Totalt!$B$1:$AQ$554,MATCH(Y$2,Totalt!$B$1:$AQ$1,0),FALSE),"")</f>
        <v>0</v>
      </c>
      <c r="Z121" s="173">
        <f>IFERROR(VLOOKUP($B121,Totalt!$B$1:$AQ$554,MATCH(Z$2,Totalt!$B$1:$AQ$1,0),FALSE),"")</f>
        <v>0</v>
      </c>
      <c r="AA121" s="173">
        <f>IFERROR(VLOOKUP($B121,Totalt!$B$1:$AQ$554,MATCH(AA$2,Totalt!$B$1:$AQ$1,0),FALSE),"")</f>
        <v>0</v>
      </c>
      <c r="AB121" s="173">
        <f>IFERROR(VLOOKUP($B121,Totalt!$B$1:$AQ$554,MATCH(AB$2,Totalt!$B$1:$AQ$1,0),FALSE),"")</f>
        <v>0</v>
      </c>
      <c r="AC121" s="173">
        <f>IFERROR(VLOOKUP($B121,Totalt!$B$1:$AQ$554,MATCH(AC$2,Totalt!$B$1:$AQ$1,0),FALSE),"")</f>
        <v>89.3</v>
      </c>
      <c r="AD121" s="173">
        <f>IFERROR(VLOOKUP($B121,Totalt!$B$1:$AQ$554,MATCH(AD$2,Totalt!$B$1:$AQ$1,0),FALSE),"")</f>
        <v>0</v>
      </c>
      <c r="AE121" s="173">
        <f>IFERROR(VLOOKUP($B121,Totalt!$B$1:$AQ$554,MATCH(AE$2,Totalt!$B$1:$AQ$1,0),FALSE),"")</f>
        <v>0</v>
      </c>
      <c r="AF121" s="173">
        <f>IFERROR(VLOOKUP($B121,Totalt!$B$1:$AQ$554,MATCH(AF$2,Totalt!$B$1:$AQ$1,0),FALSE),"")</f>
        <v>15.3162</v>
      </c>
      <c r="AG121" s="173">
        <f>IFERROR(VLOOKUP($B121,Totalt!$B$1:$AQ$554,MATCH(AG$2,Totalt!$B$1:$AQ$1,0),FALSE),"")</f>
        <v>0</v>
      </c>
      <c r="AI121" s="226">
        <f t="shared" si="6"/>
        <v>384.52629999999999</v>
      </c>
      <c r="AJ121" s="226">
        <f>IF(ISERROR(1/VLOOKUP($B121,Leveranser!$B$1:$S$500,MATCH("såld värme (gwh)",Leveranser!$B$1:$S$1,0),FALSE)),"",VLOOKUP($B121,Leveranser!$B$1:$S$500,MATCH("såld värme (gwh)",Leveranser!$B$1:$S$1,0),FALSE))</f>
        <v>368.9</v>
      </c>
      <c r="AM121" s="227" t="str">
        <f>IF(B121&lt;&gt;"",IF(VLOOKUP($B121,Totalt!$B$1:$AQ$554,MATCH("Kvalitetsgranskad:",Totalt!$B$1:$AQ$1,0),FALSE)="ja",VLOOKUP($B121,Miljö!$B$1:$AG$479,MATCH(AM$2,Miljö!$B$1:$AK$1,0),FALSE),""),"")</f>
        <v>Ja</v>
      </c>
      <c r="AN121" s="227" t="str">
        <f>IF(AM121="ja",VLOOKUP($B121,Miljö!$B$1:$J$479,MATCH("Typ av ursprungsspecificerad el   (Om inget värde anges används Nordisk residualmix, se inforuta) ()",Miljö!$B$1:$J$1,0),FALSE),IF(AM121="nej","Nordisk residualel",""))</f>
        <v>'100% förnybar el'</v>
      </c>
      <c r="AO121" s="227">
        <f>IF(AM121="","",VLOOKUP($B121,Miljö!$B$1:$J$479,MATCH("Fossilandel för ursprungspecificerad el ()",Miljö!$B$1:$J$1,0),FALSE))</f>
        <v>0</v>
      </c>
      <c r="AP121" s="227">
        <f>IF(AM121="","",IFERROR(VLOOKUP($B121,Miljö!$B$1:$J$479,MATCH("Kärnkraftsandel för ursprungsspecificerad el ()",Miljö!$B$1:$J$1,0),FALSE)/1,0))</f>
        <v>0</v>
      </c>
      <c r="AQ121" s="227">
        <f t="shared" si="7"/>
        <v>1</v>
      </c>
      <c r="AR121" s="227"/>
      <c r="AS121" s="227" t="str">
        <f t="shared" si="8"/>
        <v>Nej</v>
      </c>
      <c r="AT121" s="227" t="str">
        <f>IF(AS121="ja",VLOOKUP($B121,Miljö!$B$1:$O$500,MATCH("Fossil andel i procent (%)",Miljö!$B$1:$O$1,0),FALSE)/100,"")</f>
        <v/>
      </c>
      <c r="AU121" s="227"/>
      <c r="AV121" s="227" t="str">
        <f t="shared" si="9"/>
        <v>Nej</v>
      </c>
      <c r="AW121" s="227" t="str">
        <f>IF(AV121="ja",VLOOKUP($B121,'Egen hetvattenprod'!$B$1:$AO$500,MATCH("Värmekälla till värmepumpar ()",'Egen hetvattenprod'!$B$1:$AO$1,0),FALSE),"")</f>
        <v/>
      </c>
      <c r="AX121" s="227"/>
      <c r="AY121" s="227" t="str">
        <f t="shared" si="10"/>
        <v>Ja</v>
      </c>
      <c r="AZ121" s="228">
        <f>IF($AY121="ja",(VLOOKUP($B121,'Egen hetvattenprod'!$B$1:$BX$550,MATCH(AZ$2,'Egen hetvattenprod'!$B$1:$BX$1,0),FALSE)+VLOOKUP($B121,Kraftvärmeprod!$B$1:$BX$550,MATCH(AZ$2,Kraftvärmeprod!$B$1:$BX$1,0),FALSE))/$AC121,"")</f>
        <v>1</v>
      </c>
      <c r="BA121" s="228">
        <f>IF($AY121="ja",(VLOOKUP($B121,'Egen hetvattenprod'!$B$1:$BX$550,MATCH(BA$2,'Egen hetvattenprod'!$B$1:$BX$1,0),FALSE)+VLOOKUP($B121,Kraftvärmeprod!$B$1:$BX$550,MATCH(BA$2,Kraftvärmeprod!$B$1:$BX$1,0),FALSE))/$AC121,"")</f>
        <v>0</v>
      </c>
      <c r="BB121" s="228">
        <f>IF($AY121="ja",(VLOOKUP($B121,'Egen hetvattenprod'!$B$1:$BX$550,MATCH(BB$2,'Egen hetvattenprod'!$B$1:$BX$1,0),FALSE)+VLOOKUP($B121,Kraftvärmeprod!$B$1:$BX$550,MATCH(BB$2,Kraftvärmeprod!$B$1:$BX$1,0),FALSE))/$AC121,"")</f>
        <v>0</v>
      </c>
      <c r="BC121" s="228">
        <f>IF($AY121="ja",(VLOOKUP($B121,'Egen hetvattenprod'!$B$1:$BX$550,MATCH(BC$2,'Egen hetvattenprod'!$B$1:$BX$1,0),FALSE)+VLOOKUP($B121,Kraftvärmeprod!$B$1:$BX$550,MATCH(BC$2,Kraftvärmeprod!$B$1:$BX$1,0),FALSE))/$AC121,"")</f>
        <v>0</v>
      </c>
      <c r="BD121" s="228">
        <f>IF($AY121="ja",(VLOOKUP($B121,'Egen hetvattenprod'!$B$1:$BX$550,MATCH(BD$2,'Egen hetvattenprod'!$B$1:$BX$1,0),FALSE)+VLOOKUP($B121,Kraftvärmeprod!$B$1:$BX$550,MATCH(BD$2,Kraftvärmeprod!$B$1:$BX$1,0),FALSE))/$AC121,"")</f>
        <v>0</v>
      </c>
      <c r="BE121" s="227"/>
      <c r="BF121" s="227" t="str">
        <f t="shared" si="11"/>
        <v>Nej</v>
      </c>
      <c r="BG121" s="227" t="str">
        <f>IF($BF121="ja",VLOOKUP($B121,'Egen hetvattenprod'!$B$1:$BX$550,MATCH("Andelen klimatgaser med fossilt ursprung för avfall ()",'Egen hetvattenprod'!$B$1:$BX$1,0),FALSE),"")</f>
        <v/>
      </c>
      <c r="BH121" s="227" t="str">
        <f>IF($BF121="ja",VLOOKUP($B121,Kraftvärmeprod!$B$1:$BX$550,MATCH("Andelen klimatgaser med fossilt ursprung för avfall ()",Kraftvärmeprod!$B$1:$BX$1,0),FALSE),"")</f>
        <v/>
      </c>
      <c r="BI121" s="227" t="str">
        <f>IF($BF121="ja",VLOOKUP($B121,'Egen hetvattenprod'!$B$1:$BX$550,MATCH("Avfall (GWh)",'Egen hetvattenprod'!$B$1:$BX$1,0),FALSE),"")</f>
        <v/>
      </c>
      <c r="BJ121" s="227" t="str">
        <f>IF($BF121="ja",VLOOKUP($B121,'Slutlig allokering kvv'!$B$1:$BX$550,MATCH("Avfall (GWh)",'Slutlig allokering kvv'!$B$1:$BX$1,0),FALSE),"")</f>
        <v/>
      </c>
      <c r="BK121" s="227" t="str">
        <f>IF($BF121="ja",VLOOKUP($B121,'Köpt hetvatten'!$B$1:$BX$550,MATCH("Avfall i köpt hetvatten",'Köpt hetvatten'!$B$1:$BX$1,0),FALSE),"")</f>
        <v/>
      </c>
      <c r="BL121" s="227" t="str">
        <f>IF($BF121="ja",VLOOKUP($B121,'Egen hetvattenprod'!$B$1:$BX$550,MATCH("Värde enligt ovan. (%)",'Egen hetvattenprod'!$B$1:$BX$1,0),FALSE),"")</f>
        <v/>
      </c>
      <c r="BM121" s="227" t="str">
        <f>IF($BF121="ja",VLOOKUP($B121,Kraftvärmeprod!$B$1:$BX$550,MATCH("Värde enligt ovan. (%)",Kraftvärmeprod!$B$1:$BX$1,0),FALSE),"")</f>
        <v/>
      </c>
      <c r="BN121" s="227"/>
      <c r="BO121" s="227"/>
      <c r="BP121" s="227"/>
      <c r="BQ121" s="227" t="str">
        <f>IF($BF121="ja",VLOOKUP($B121,'Egen hetvattenprod'!$B$1:$BX$550,MATCH("Tillförd olja (fossil) vid avfallsförbränning (GWh)",'Egen hetvattenprod'!$B$1:$BX$1,0),FALSE),"")</f>
        <v/>
      </c>
      <c r="BR121" s="227" t="str">
        <f>IF($BF121="ja",VLOOKUP($B121,Kraftvärmeprod!$B$1:$BX$550,MATCH("Tillförd olja (fossil) vid avfallsförbränning (GWh)",Kraftvärmeprod!$B$1:$BX$1,0),FALSE),"")</f>
        <v/>
      </c>
      <c r="BS121" s="227"/>
      <c r="BT121" s="227"/>
      <c r="BU121" s="227"/>
    </row>
    <row r="122" spans="1:73" x14ac:dyDescent="0.25">
      <c r="A122" s="121" t="str">
        <f>'Miljövärden för publ företag'!B125</f>
        <v>Karlsborgs Värme AB</v>
      </c>
      <c r="B122" s="121" t="str">
        <f>'Miljövärden för publ företag'!C125</f>
        <v>Karlsborg</v>
      </c>
      <c r="C122" s="173">
        <f>IFERROR(VLOOKUP($B122,Totalt!$B$1:$AQ$554,MATCH(C$2,Totalt!$B$1:$AQ$1,0),FALSE),"")</f>
        <v>0</v>
      </c>
      <c r="D122" s="173">
        <f>IFERROR(VLOOKUP($B122,Totalt!$B$1:$AQ$554,MATCH(D$2,Totalt!$B$1:$AQ$1,0),FALSE),"")</f>
        <v>0.64200000000000002</v>
      </c>
      <c r="E122" s="173">
        <f>IFERROR(VLOOKUP($B122,Totalt!$B$1:$AQ$554,MATCH(E$2,Totalt!$B$1:$AQ$1,0),FALSE),"")</f>
        <v>0</v>
      </c>
      <c r="F122" s="173">
        <f>IFERROR(VLOOKUP($B122,Totalt!$B$1:$AQ$554,MATCH(F$2,Totalt!$B$1:$AQ$1,0),FALSE),"")</f>
        <v>0</v>
      </c>
      <c r="G122" s="173">
        <f>IFERROR(VLOOKUP($B122,Totalt!$B$1:$AQ$554,MATCH(G$2,Totalt!$B$1:$AQ$1,0),FALSE),"")</f>
        <v>0</v>
      </c>
      <c r="H122" s="173">
        <f>IFERROR(VLOOKUP($B122,Totalt!$B$1:$AQ$554,MATCH(H$2,Totalt!$B$1:$AQ$1,0),FALSE),"")</f>
        <v>0</v>
      </c>
      <c r="I122" s="173">
        <f>IFERROR(VLOOKUP($B122,Totalt!$B$1:$AQ$554,MATCH(I$2,Totalt!$B$1:$AQ$1,0),FALSE),"")</f>
        <v>0</v>
      </c>
      <c r="J122" s="173">
        <f>IFERROR(VLOOKUP($B122,Totalt!$B$1:$AQ$554,MATCH(J$2,Totalt!$B$1:$AQ$1,0),FALSE),"")</f>
        <v>0</v>
      </c>
      <c r="K122" s="173">
        <f>IFERROR(VLOOKUP($B122,Totalt!$B$1:$AQ$554,MATCH(K$2,Totalt!$B$1:$AQ$1,0),FALSE),"")</f>
        <v>0</v>
      </c>
      <c r="L122" s="173">
        <f>IFERROR(VLOOKUP($B122,Totalt!$B$1:$AQ$554,MATCH(L$2,Totalt!$B$1:$AQ$1,0),FALSE),"")</f>
        <v>0</v>
      </c>
      <c r="M122" s="173">
        <f>IFERROR(VLOOKUP($B122,Totalt!$B$1:$AQ$554,MATCH(M$2,Totalt!$B$1:$AQ$1,0),FALSE),"")</f>
        <v>0</v>
      </c>
      <c r="N122" s="173">
        <f>IFERROR(VLOOKUP($B122,Totalt!$B$1:$AQ$554,MATCH(N$2,Totalt!$B$1:$AQ$1,0),FALSE),"")</f>
        <v>0</v>
      </c>
      <c r="O122" s="173">
        <f>IFERROR(VLOOKUP($B122,Totalt!$B$1:$AQ$554,MATCH(O$2,Totalt!$B$1:$AQ$1,0),FALSE),"")</f>
        <v>0</v>
      </c>
      <c r="P122" s="173">
        <f>IFERROR(VLOOKUP($B122,Totalt!$B$1:$AQ$554,MATCH(P$2,Totalt!$B$1:$AQ$1,0),FALSE),"")</f>
        <v>18.353000000000002</v>
      </c>
      <c r="Q122" s="173">
        <f>IFERROR(VLOOKUP($B122,Totalt!$B$1:$AQ$554,MATCH(Q$2,Totalt!$B$1:$AQ$1,0),FALSE),"")</f>
        <v>0</v>
      </c>
      <c r="R122" s="173">
        <f>IFERROR(VLOOKUP($B122,Totalt!$B$1:$AQ$554,MATCH(R$2,Totalt!$B$1:$AQ$1,0),FALSE),"")</f>
        <v>0</v>
      </c>
      <c r="S122" s="173">
        <f>IFERROR(VLOOKUP($B122,Totalt!$B$1:$AQ$554,MATCH(S$2,Totalt!$B$1:$AQ$1,0),FALSE),"")</f>
        <v>0</v>
      </c>
      <c r="T122" s="173">
        <f>IFERROR(VLOOKUP($B122,Totalt!$B$1:$AQ$554,MATCH(T$2,Totalt!$B$1:$AQ$1,0),FALSE),"")</f>
        <v>0</v>
      </c>
      <c r="U122" s="173">
        <f>IFERROR(VLOOKUP($B122,Totalt!$B$1:$AQ$554,MATCH(U$2,Totalt!$B$1:$AQ$1,0),FALSE),"")</f>
        <v>0</v>
      </c>
      <c r="V122" s="173">
        <f>IFERROR(VLOOKUP($B122,Totalt!$B$1:$AQ$554,MATCH(V$2,Totalt!$B$1:$AQ$1,0),FALSE),"")</f>
        <v>0</v>
      </c>
      <c r="W122" s="173">
        <f>IFERROR(VLOOKUP($B122,Totalt!$B$1:$AQ$554,MATCH(W$2,Totalt!$B$1:$AQ$1,0),FALSE),"")</f>
        <v>0</v>
      </c>
      <c r="X122" s="173">
        <f>IFERROR(VLOOKUP($B122,Totalt!$B$1:$AQ$554,MATCH(X$2,Totalt!$B$1:$AQ$1,0),FALSE),"")</f>
        <v>0.22352900000000001</v>
      </c>
      <c r="Y122" s="173">
        <f>IFERROR(VLOOKUP($B122,Totalt!$B$1:$AQ$554,MATCH(Y$2,Totalt!$B$1:$AQ$1,0),FALSE),"")</f>
        <v>0</v>
      </c>
      <c r="Z122" s="173">
        <f>IFERROR(VLOOKUP($B122,Totalt!$B$1:$AQ$554,MATCH(Z$2,Totalt!$B$1:$AQ$1,0),FALSE),"")</f>
        <v>0</v>
      </c>
      <c r="AA122" s="173">
        <f>IFERROR(VLOOKUP($B122,Totalt!$B$1:$AQ$554,MATCH(AA$2,Totalt!$B$1:$AQ$1,0),FALSE),"")</f>
        <v>0</v>
      </c>
      <c r="AB122" s="173">
        <f>IFERROR(VLOOKUP($B122,Totalt!$B$1:$AQ$554,MATCH(AB$2,Totalt!$B$1:$AQ$1,0),FALSE),"")</f>
        <v>0</v>
      </c>
      <c r="AC122" s="173">
        <f>IFERROR(VLOOKUP($B122,Totalt!$B$1:$AQ$554,MATCH(AC$2,Totalt!$B$1:$AQ$1,0),FALSE),"")</f>
        <v>2.4089999999999998</v>
      </c>
      <c r="AD122" s="173">
        <f>IFERROR(VLOOKUP($B122,Totalt!$B$1:$AQ$554,MATCH(AD$2,Totalt!$B$1:$AQ$1,0),FALSE),"")</f>
        <v>0</v>
      </c>
      <c r="AE122" s="173">
        <f>IFERROR(VLOOKUP($B122,Totalt!$B$1:$AQ$554,MATCH(AE$2,Totalt!$B$1:$AQ$1,0),FALSE),"")</f>
        <v>0</v>
      </c>
      <c r="AF122" s="173">
        <f>IFERROR(VLOOKUP($B122,Totalt!$B$1:$AQ$554,MATCH(AF$2,Totalt!$B$1:$AQ$1,0),FALSE),"")</f>
        <v>0.45300000000000001</v>
      </c>
      <c r="AG122" s="173">
        <f>IFERROR(VLOOKUP($B122,Totalt!$B$1:$AQ$554,MATCH(AG$2,Totalt!$B$1:$AQ$1,0),FALSE),"")</f>
        <v>0</v>
      </c>
      <c r="AI122" s="226">
        <f t="shared" si="6"/>
        <v>22.080528999999999</v>
      </c>
      <c r="AJ122" s="226">
        <f>IF(ISERROR(1/VLOOKUP($B122,Leveranser!$B$1:$S$500,MATCH("såld värme (gwh)",Leveranser!$B$1:$S$1,0),FALSE)),"",VLOOKUP($B122,Leveranser!$B$1:$S$500,MATCH("såld värme (gwh)",Leveranser!$B$1:$S$1,0),FALSE))</f>
        <v>15.1</v>
      </c>
      <c r="AM122" s="227" t="str">
        <f>IF(B122&lt;&gt;"",IF(VLOOKUP($B122,Totalt!$B$1:$AQ$554,MATCH("Kvalitetsgranskad:",Totalt!$B$1:$AQ$1,0),FALSE)="ja",VLOOKUP($B122,Miljö!$B$1:$AG$479,MATCH(AM$2,Miljö!$B$1:$AK$1,0),FALSE),""),"")</f>
        <v>Nej</v>
      </c>
      <c r="AN122" s="227" t="str">
        <f>IF(AM122="ja",VLOOKUP($B122,Miljö!$B$1:$J$479,MATCH("Typ av ursprungsspecificerad el   (Om inget värde anges används Nordisk residualmix, se inforuta) ()",Miljö!$B$1:$J$1,0),FALSE),IF(AM122="nej","Nordisk residualel",""))</f>
        <v>Nordisk residualel</v>
      </c>
      <c r="AO122" s="227">
        <f>IF(AM122="","",VLOOKUP($B122,Miljö!$B$1:$J$479,MATCH("Fossilandel för ursprungspecificerad el ()",Miljö!$B$1:$J$1,0),FALSE))</f>
        <v>0.43</v>
      </c>
      <c r="AP122" s="227">
        <f>IF(AM122="","",IFERROR(VLOOKUP($B122,Miljö!$B$1:$J$479,MATCH("Kärnkraftsandel för ursprungsspecificerad el ()",Miljö!$B$1:$J$1,0),FALSE)/1,0))</f>
        <v>0.40550000000000003</v>
      </c>
      <c r="AQ122" s="227">
        <f t="shared" si="7"/>
        <v>0.16450000000000004</v>
      </c>
      <c r="AR122" s="227"/>
      <c r="AS122" s="227" t="str">
        <f t="shared" si="8"/>
        <v>Nej</v>
      </c>
      <c r="AT122" s="227" t="str">
        <f>IF(AS122="ja",VLOOKUP($B122,Miljö!$B$1:$O$500,MATCH("Fossil andel i procent (%)",Miljö!$B$1:$O$1,0),FALSE)/100,"")</f>
        <v/>
      </c>
      <c r="AU122" s="227"/>
      <c r="AV122" s="227" t="str">
        <f t="shared" si="9"/>
        <v>Nej</v>
      </c>
      <c r="AW122" s="227" t="str">
        <f>IF(AV122="ja",VLOOKUP($B122,'Egen hetvattenprod'!$B$1:$AO$500,MATCH("Värmekälla till värmepumpar ()",'Egen hetvattenprod'!$B$1:$AO$1,0),FALSE),"")</f>
        <v/>
      </c>
      <c r="AX122" s="227"/>
      <c r="AY122" s="227" t="str">
        <f t="shared" si="10"/>
        <v>Ja</v>
      </c>
      <c r="AZ122" s="228">
        <f>IF($AY122="ja",(VLOOKUP($B122,'Egen hetvattenprod'!$B$1:$BX$550,MATCH(AZ$2,'Egen hetvattenprod'!$B$1:$BX$1,0),FALSE)+VLOOKUP($B122,Kraftvärmeprod!$B$1:$BX$550,MATCH(AZ$2,Kraftvärmeprod!$B$1:$BX$1,0),FALSE))/$AC122,"")</f>
        <v>1</v>
      </c>
      <c r="BA122" s="228">
        <f>IF($AY122="ja",(VLOOKUP($B122,'Egen hetvattenprod'!$B$1:$BX$550,MATCH(BA$2,'Egen hetvattenprod'!$B$1:$BX$1,0),FALSE)+VLOOKUP($B122,Kraftvärmeprod!$B$1:$BX$550,MATCH(BA$2,Kraftvärmeprod!$B$1:$BX$1,0),FALSE))/$AC122,"")</f>
        <v>0</v>
      </c>
      <c r="BB122" s="228">
        <f>IF($AY122="ja",(VLOOKUP($B122,'Egen hetvattenprod'!$B$1:$BX$550,MATCH(BB$2,'Egen hetvattenprod'!$B$1:$BX$1,0),FALSE)+VLOOKUP($B122,Kraftvärmeprod!$B$1:$BX$550,MATCH(BB$2,Kraftvärmeprod!$B$1:$BX$1,0),FALSE))/$AC122,"")</f>
        <v>0</v>
      </c>
      <c r="BC122" s="228">
        <f>IF($AY122="ja",(VLOOKUP($B122,'Egen hetvattenprod'!$B$1:$BX$550,MATCH(BC$2,'Egen hetvattenprod'!$B$1:$BX$1,0),FALSE)+VLOOKUP($B122,Kraftvärmeprod!$B$1:$BX$550,MATCH(BC$2,Kraftvärmeprod!$B$1:$BX$1,0),FALSE))/$AC122,"")</f>
        <v>0</v>
      </c>
      <c r="BD122" s="228">
        <f>IF($AY122="ja",(VLOOKUP($B122,'Egen hetvattenprod'!$B$1:$BX$550,MATCH(BD$2,'Egen hetvattenprod'!$B$1:$BX$1,0),FALSE)+VLOOKUP($B122,Kraftvärmeprod!$B$1:$BX$550,MATCH(BD$2,Kraftvärmeprod!$B$1:$BX$1,0),FALSE))/$AC122,"")</f>
        <v>0</v>
      </c>
      <c r="BE122" s="227"/>
      <c r="BF122" s="227" t="str">
        <f t="shared" si="11"/>
        <v>Nej</v>
      </c>
      <c r="BG122" s="227" t="str">
        <f>IF($BF122="ja",VLOOKUP($B122,'Egen hetvattenprod'!$B$1:$BX$550,MATCH("Andelen klimatgaser med fossilt ursprung för avfall ()",'Egen hetvattenprod'!$B$1:$BX$1,0),FALSE),"")</f>
        <v/>
      </c>
      <c r="BH122" s="227" t="str">
        <f>IF($BF122="ja",VLOOKUP($B122,Kraftvärmeprod!$B$1:$BX$550,MATCH("Andelen klimatgaser med fossilt ursprung för avfall ()",Kraftvärmeprod!$B$1:$BX$1,0),FALSE),"")</f>
        <v/>
      </c>
      <c r="BI122" s="227" t="str">
        <f>IF($BF122="ja",VLOOKUP($B122,'Egen hetvattenprod'!$B$1:$BX$550,MATCH("Avfall (GWh)",'Egen hetvattenprod'!$B$1:$BX$1,0),FALSE),"")</f>
        <v/>
      </c>
      <c r="BJ122" s="227" t="str">
        <f>IF($BF122="ja",VLOOKUP($B122,'Slutlig allokering kvv'!$B$1:$BX$550,MATCH("Avfall (GWh)",'Slutlig allokering kvv'!$B$1:$BX$1,0),FALSE),"")</f>
        <v/>
      </c>
      <c r="BK122" s="227" t="str">
        <f>IF($BF122="ja",VLOOKUP($B122,'Köpt hetvatten'!$B$1:$BX$550,MATCH("Avfall i köpt hetvatten",'Köpt hetvatten'!$B$1:$BX$1,0),FALSE),"")</f>
        <v/>
      </c>
      <c r="BL122" s="227" t="str">
        <f>IF($BF122="ja",VLOOKUP($B122,'Egen hetvattenprod'!$B$1:$BX$550,MATCH("Värde enligt ovan. (%)",'Egen hetvattenprod'!$B$1:$BX$1,0),FALSE),"")</f>
        <v/>
      </c>
      <c r="BM122" s="227" t="str">
        <f>IF($BF122="ja",VLOOKUP($B122,Kraftvärmeprod!$B$1:$BX$550,MATCH("Värde enligt ovan. (%)",Kraftvärmeprod!$B$1:$BX$1,0),FALSE),"")</f>
        <v/>
      </c>
      <c r="BN122" s="227"/>
      <c r="BO122" s="227"/>
      <c r="BP122" s="227"/>
      <c r="BQ122" s="227" t="str">
        <f>IF($BF122="ja",VLOOKUP($B122,'Egen hetvattenprod'!$B$1:$BX$550,MATCH("Tillförd olja (fossil) vid avfallsförbränning (GWh)",'Egen hetvattenprod'!$B$1:$BX$1,0),FALSE),"")</f>
        <v/>
      </c>
      <c r="BR122" s="227" t="str">
        <f>IF($BF122="ja",VLOOKUP($B122,Kraftvärmeprod!$B$1:$BX$550,MATCH("Tillförd olja (fossil) vid avfallsförbränning (GWh)",Kraftvärmeprod!$B$1:$BX$1,0),FALSE),"")</f>
        <v/>
      </c>
      <c r="BS122" s="227"/>
      <c r="BT122" s="227"/>
      <c r="BU122" s="227"/>
    </row>
    <row r="123" spans="1:73" x14ac:dyDescent="0.25">
      <c r="A123" s="121" t="str">
        <f>'Miljövärden för publ företag'!B126</f>
        <v>Karlshamn Energi AB</v>
      </c>
      <c r="B123" s="121" t="str">
        <f>'Miljövärden för publ företag'!C126</f>
        <v>Karlshamn</v>
      </c>
      <c r="C123" s="173">
        <f>IFERROR(VLOOKUP($B123,Totalt!$B$1:$AQ$554,MATCH(C$2,Totalt!$B$1:$AQ$1,0),FALSE),"")</f>
        <v>0</v>
      </c>
      <c r="D123" s="173">
        <f>IFERROR(VLOOKUP($B123,Totalt!$B$1:$AQ$554,MATCH(D$2,Totalt!$B$1:$AQ$1,0),FALSE),"")</f>
        <v>2.008</v>
      </c>
      <c r="E123" s="173">
        <f>IFERROR(VLOOKUP($B123,Totalt!$B$1:$AQ$554,MATCH(E$2,Totalt!$B$1:$AQ$1,0),FALSE),"")</f>
        <v>0</v>
      </c>
      <c r="F123" s="173">
        <f>IFERROR(VLOOKUP($B123,Totalt!$B$1:$AQ$554,MATCH(F$2,Totalt!$B$1:$AQ$1,0),FALSE),"")</f>
        <v>0</v>
      </c>
      <c r="G123" s="173">
        <f>IFERROR(VLOOKUP($B123,Totalt!$B$1:$AQ$554,MATCH(G$2,Totalt!$B$1:$AQ$1,0),FALSE),"")</f>
        <v>1.1990000000000001</v>
      </c>
      <c r="H123" s="173">
        <f>IFERROR(VLOOKUP($B123,Totalt!$B$1:$AQ$554,MATCH(H$2,Totalt!$B$1:$AQ$1,0),FALSE),"")</f>
        <v>0</v>
      </c>
      <c r="I123" s="173">
        <f>IFERROR(VLOOKUP($B123,Totalt!$B$1:$AQ$554,MATCH(I$2,Totalt!$B$1:$AQ$1,0),FALSE),"")</f>
        <v>0</v>
      </c>
      <c r="J123" s="173">
        <f>IFERROR(VLOOKUP($B123,Totalt!$B$1:$AQ$554,MATCH(J$2,Totalt!$B$1:$AQ$1,0),FALSE),"")</f>
        <v>0</v>
      </c>
      <c r="K123" s="173">
        <f>IFERROR(VLOOKUP($B123,Totalt!$B$1:$AQ$554,MATCH(K$2,Totalt!$B$1:$AQ$1,0),FALSE),"")</f>
        <v>0</v>
      </c>
      <c r="L123" s="173">
        <f>IFERROR(VLOOKUP($B123,Totalt!$B$1:$AQ$554,MATCH(L$2,Totalt!$B$1:$AQ$1,0),FALSE),"")</f>
        <v>0</v>
      </c>
      <c r="M123" s="173">
        <f>IFERROR(VLOOKUP($B123,Totalt!$B$1:$AQ$554,MATCH(M$2,Totalt!$B$1:$AQ$1,0),FALSE),"")</f>
        <v>0</v>
      </c>
      <c r="N123" s="173">
        <f>IFERROR(VLOOKUP($B123,Totalt!$B$1:$AQ$554,MATCH(N$2,Totalt!$B$1:$AQ$1,0),FALSE),"")</f>
        <v>0</v>
      </c>
      <c r="O123" s="173">
        <f>IFERROR(VLOOKUP($B123,Totalt!$B$1:$AQ$554,MATCH(O$2,Totalt!$B$1:$AQ$1,0),FALSE),"")</f>
        <v>0</v>
      </c>
      <c r="P123" s="173">
        <f>IFERROR(VLOOKUP($B123,Totalt!$B$1:$AQ$554,MATCH(P$2,Totalt!$B$1:$AQ$1,0),FALSE),"")</f>
        <v>0</v>
      </c>
      <c r="Q123" s="173">
        <f>IFERROR(VLOOKUP($B123,Totalt!$B$1:$AQ$554,MATCH(Q$2,Totalt!$B$1:$AQ$1,0),FALSE),"")</f>
        <v>0</v>
      </c>
      <c r="R123" s="173">
        <f>IFERROR(VLOOKUP($B123,Totalt!$B$1:$AQ$554,MATCH(R$2,Totalt!$B$1:$AQ$1,0),FALSE),"")</f>
        <v>11.427</v>
      </c>
      <c r="S123" s="173">
        <f>IFERROR(VLOOKUP($B123,Totalt!$B$1:$AQ$554,MATCH(S$2,Totalt!$B$1:$AQ$1,0),FALSE),"")</f>
        <v>0</v>
      </c>
      <c r="T123" s="173">
        <f>IFERROR(VLOOKUP($B123,Totalt!$B$1:$AQ$554,MATCH(T$2,Totalt!$B$1:$AQ$1,0),FALSE),"")</f>
        <v>0</v>
      </c>
      <c r="U123" s="173">
        <f>IFERROR(VLOOKUP($B123,Totalt!$B$1:$AQ$554,MATCH(U$2,Totalt!$B$1:$AQ$1,0),FALSE),"")</f>
        <v>0</v>
      </c>
      <c r="V123" s="173">
        <f>IFERROR(VLOOKUP($B123,Totalt!$B$1:$AQ$554,MATCH(V$2,Totalt!$B$1:$AQ$1,0),FALSE),"")</f>
        <v>0</v>
      </c>
      <c r="W123" s="173">
        <f>IFERROR(VLOOKUP($B123,Totalt!$B$1:$AQ$554,MATCH(W$2,Totalt!$B$1:$AQ$1,0),FALSE),"")</f>
        <v>0</v>
      </c>
      <c r="X123" s="173">
        <f>IFERROR(VLOOKUP($B123,Totalt!$B$1:$AQ$554,MATCH(X$2,Totalt!$B$1:$AQ$1,0),FALSE),"")</f>
        <v>0</v>
      </c>
      <c r="Y123" s="173">
        <f>IFERROR(VLOOKUP($B123,Totalt!$B$1:$AQ$554,MATCH(Y$2,Totalt!$B$1:$AQ$1,0),FALSE),"")</f>
        <v>0</v>
      </c>
      <c r="Z123" s="173">
        <f>IFERROR(VLOOKUP($B123,Totalt!$B$1:$AQ$554,MATCH(Z$2,Totalt!$B$1:$AQ$1,0),FALSE),"")</f>
        <v>0</v>
      </c>
      <c r="AA123" s="173">
        <f>IFERROR(VLOOKUP($B123,Totalt!$B$1:$AQ$554,MATCH(AA$2,Totalt!$B$1:$AQ$1,0),FALSE),"")</f>
        <v>0</v>
      </c>
      <c r="AB123" s="173">
        <f>IFERROR(VLOOKUP($B123,Totalt!$B$1:$AQ$554,MATCH(AB$2,Totalt!$B$1:$AQ$1,0),FALSE),"")</f>
        <v>0</v>
      </c>
      <c r="AC123" s="173">
        <f>IFERROR(VLOOKUP($B123,Totalt!$B$1:$AQ$554,MATCH(AC$2,Totalt!$B$1:$AQ$1,0),FALSE),"")</f>
        <v>0</v>
      </c>
      <c r="AD123" s="173">
        <f>IFERROR(VLOOKUP($B123,Totalt!$B$1:$AQ$554,MATCH(AD$2,Totalt!$B$1:$AQ$1,0),FALSE),"")</f>
        <v>176.923</v>
      </c>
      <c r="AE123" s="173">
        <f>IFERROR(VLOOKUP($B123,Totalt!$B$1:$AQ$554,MATCH(AE$2,Totalt!$B$1:$AQ$1,0),FALSE),"")</f>
        <v>0</v>
      </c>
      <c r="AF123" s="173">
        <f>IFERROR(VLOOKUP($B123,Totalt!$B$1:$AQ$554,MATCH(AF$2,Totalt!$B$1:$AQ$1,0),FALSE),"")</f>
        <v>5.0346900000000003</v>
      </c>
      <c r="AG123" s="173">
        <f>IFERROR(VLOOKUP($B123,Totalt!$B$1:$AQ$554,MATCH(AG$2,Totalt!$B$1:$AQ$1,0),FALSE),"")</f>
        <v>0</v>
      </c>
      <c r="AI123" s="226">
        <f t="shared" si="6"/>
        <v>196.59169000000003</v>
      </c>
      <c r="AJ123" s="226">
        <f>IF(ISERROR(1/VLOOKUP($B123,Leveranser!$B$1:$S$500,MATCH("såld värme (gwh)",Leveranser!$B$1:$S$1,0),FALSE)),"",VLOOKUP($B123,Leveranser!$B$1:$S$500,MATCH("såld värme (gwh)",Leveranser!$B$1:$S$1,0),FALSE))</f>
        <v>167.82300000000001</v>
      </c>
      <c r="AM123" s="227" t="str">
        <f>IF(B123&lt;&gt;"",IF(VLOOKUP($B123,Totalt!$B$1:$AQ$554,MATCH("Kvalitetsgranskad:",Totalt!$B$1:$AQ$1,0),FALSE)="ja",VLOOKUP($B123,Miljö!$B$1:$AG$479,MATCH(AM$2,Miljö!$B$1:$AK$1,0),FALSE),""),"")</f>
        <v>Ja</v>
      </c>
      <c r="AN123" s="227" t="str">
        <f>IF(AM123="ja",VLOOKUP($B123,Miljö!$B$1:$J$479,MATCH("Typ av ursprungsspecificerad el   (Om inget värde anges används Nordisk residualmix, se inforuta) ()",Miljö!$B$1:$J$1,0),FALSE),IF(AM123="nej","Nordisk residualel",""))</f>
        <v>'100% vindkraft'</v>
      </c>
      <c r="AO123" s="227">
        <f>IF(AM123="","",VLOOKUP($B123,Miljö!$B$1:$J$479,MATCH("Fossilandel för ursprungspecificerad el ()",Miljö!$B$1:$J$1,0),FALSE))</f>
        <v>0</v>
      </c>
      <c r="AP123" s="227">
        <f>IF(AM123="","",IFERROR(VLOOKUP($B123,Miljö!$B$1:$J$479,MATCH("Kärnkraftsandel för ursprungsspecificerad el ()",Miljö!$B$1:$J$1,0),FALSE)/1,0))</f>
        <v>0</v>
      </c>
      <c r="AQ123" s="227">
        <f t="shared" si="7"/>
        <v>1</v>
      </c>
      <c r="AR123" s="227"/>
      <c r="AS123" s="227" t="str">
        <f t="shared" si="8"/>
        <v>Nej</v>
      </c>
      <c r="AT123" s="227" t="str">
        <f>IF(AS123="ja",VLOOKUP($B123,Miljö!$B$1:$O$500,MATCH("Fossil andel i procent (%)",Miljö!$B$1:$O$1,0),FALSE)/100,"")</f>
        <v/>
      </c>
      <c r="AU123" s="227"/>
      <c r="AV123" s="227" t="str">
        <f t="shared" si="9"/>
        <v>Nej</v>
      </c>
      <c r="AW123" s="227" t="str">
        <f>IF(AV123="ja",VLOOKUP($B123,'Egen hetvattenprod'!$B$1:$AO$500,MATCH("Värmekälla till värmepumpar ()",'Egen hetvattenprod'!$B$1:$AO$1,0),FALSE),"")</f>
        <v/>
      </c>
      <c r="AX123" s="227"/>
      <c r="AY123" s="227" t="str">
        <f t="shared" si="10"/>
        <v>Nej</v>
      </c>
      <c r="AZ123" s="228" t="str">
        <f>IF($AY123="ja",(VLOOKUP($B123,'Egen hetvattenprod'!$B$1:$BX$550,MATCH(AZ$2,'Egen hetvattenprod'!$B$1:$BX$1,0),FALSE)+VLOOKUP($B123,Kraftvärmeprod!$B$1:$BX$550,MATCH(AZ$2,Kraftvärmeprod!$B$1:$BX$1,0),FALSE))/$AC123,"")</f>
        <v/>
      </c>
      <c r="BA123" s="228" t="str">
        <f>IF($AY123="ja",(VLOOKUP($B123,'Egen hetvattenprod'!$B$1:$BX$550,MATCH(BA$2,'Egen hetvattenprod'!$B$1:$BX$1,0),FALSE)+VLOOKUP($B123,Kraftvärmeprod!$B$1:$BX$550,MATCH(BA$2,Kraftvärmeprod!$B$1:$BX$1,0),FALSE))/$AC123,"")</f>
        <v/>
      </c>
      <c r="BB123" s="228" t="str">
        <f>IF($AY123="ja",(VLOOKUP($B123,'Egen hetvattenprod'!$B$1:$BX$550,MATCH(BB$2,'Egen hetvattenprod'!$B$1:$BX$1,0),FALSE)+VLOOKUP($B123,Kraftvärmeprod!$B$1:$BX$550,MATCH(BB$2,Kraftvärmeprod!$B$1:$BX$1,0),FALSE))/$AC123,"")</f>
        <v/>
      </c>
      <c r="BC123" s="228" t="str">
        <f>IF($AY123="ja",(VLOOKUP($B123,'Egen hetvattenprod'!$B$1:$BX$550,MATCH(BC$2,'Egen hetvattenprod'!$B$1:$BX$1,0),FALSE)+VLOOKUP($B123,Kraftvärmeprod!$B$1:$BX$550,MATCH(BC$2,Kraftvärmeprod!$B$1:$BX$1,0),FALSE))/$AC123,"")</f>
        <v/>
      </c>
      <c r="BD123" s="228" t="str">
        <f>IF($AY123="ja",(VLOOKUP($B123,'Egen hetvattenprod'!$B$1:$BX$550,MATCH(BD$2,'Egen hetvattenprod'!$B$1:$BX$1,0),FALSE)+VLOOKUP($B123,Kraftvärmeprod!$B$1:$BX$550,MATCH(BD$2,Kraftvärmeprod!$B$1:$BX$1,0),FALSE))/$AC123,"")</f>
        <v/>
      </c>
      <c r="BE123" s="227"/>
      <c r="BF123" s="227" t="str">
        <f t="shared" si="11"/>
        <v>Nej</v>
      </c>
      <c r="BG123" s="227" t="str">
        <f>IF($BF123="ja",VLOOKUP($B123,'Egen hetvattenprod'!$B$1:$BX$550,MATCH("Andelen klimatgaser med fossilt ursprung för avfall ()",'Egen hetvattenprod'!$B$1:$BX$1,0),FALSE),"")</f>
        <v/>
      </c>
      <c r="BH123" s="227" t="str">
        <f>IF($BF123="ja",VLOOKUP($B123,Kraftvärmeprod!$B$1:$BX$550,MATCH("Andelen klimatgaser med fossilt ursprung för avfall ()",Kraftvärmeprod!$B$1:$BX$1,0),FALSE),"")</f>
        <v/>
      </c>
      <c r="BI123" s="227" t="str">
        <f>IF($BF123="ja",VLOOKUP($B123,'Egen hetvattenprod'!$B$1:$BX$550,MATCH("Avfall (GWh)",'Egen hetvattenprod'!$B$1:$BX$1,0),FALSE),"")</f>
        <v/>
      </c>
      <c r="BJ123" s="227" t="str">
        <f>IF($BF123="ja",VLOOKUP($B123,'Slutlig allokering kvv'!$B$1:$BX$550,MATCH("Avfall (GWh)",'Slutlig allokering kvv'!$B$1:$BX$1,0),FALSE),"")</f>
        <v/>
      </c>
      <c r="BK123" s="227" t="str">
        <f>IF($BF123="ja",VLOOKUP($B123,'Köpt hetvatten'!$B$1:$BX$550,MATCH("Avfall i köpt hetvatten",'Köpt hetvatten'!$B$1:$BX$1,0),FALSE),"")</f>
        <v/>
      </c>
      <c r="BL123" s="227" t="str">
        <f>IF($BF123="ja",VLOOKUP($B123,'Egen hetvattenprod'!$B$1:$BX$550,MATCH("Värde enligt ovan. (%)",'Egen hetvattenprod'!$B$1:$BX$1,0),FALSE),"")</f>
        <v/>
      </c>
      <c r="BM123" s="227" t="str">
        <f>IF($BF123="ja",VLOOKUP($B123,Kraftvärmeprod!$B$1:$BX$550,MATCH("Värde enligt ovan. (%)",Kraftvärmeprod!$B$1:$BX$1,0),FALSE),"")</f>
        <v/>
      </c>
      <c r="BN123" s="227"/>
      <c r="BO123" s="227"/>
      <c r="BP123" s="227"/>
      <c r="BQ123" s="227" t="str">
        <f>IF($BF123="ja",VLOOKUP($B123,'Egen hetvattenprod'!$B$1:$BX$550,MATCH("Tillförd olja (fossil) vid avfallsförbränning (GWh)",'Egen hetvattenprod'!$B$1:$BX$1,0),FALSE),"")</f>
        <v/>
      </c>
      <c r="BR123" s="227" t="str">
        <f>IF($BF123="ja",VLOOKUP($B123,Kraftvärmeprod!$B$1:$BX$550,MATCH("Tillförd olja (fossil) vid avfallsförbränning (GWh)",Kraftvärmeprod!$B$1:$BX$1,0),FALSE),"")</f>
        <v/>
      </c>
      <c r="BS123" s="227"/>
      <c r="BT123" s="227"/>
      <c r="BU123" s="227"/>
    </row>
    <row r="124" spans="1:73" x14ac:dyDescent="0.25">
      <c r="A124" s="121" t="str">
        <f>'Miljövärden för publ företag'!B127</f>
        <v>Karlskoga Kraftvärmeverk AB</v>
      </c>
      <c r="B124" s="121" t="str">
        <f>'Miljövärden för publ företag'!C127</f>
        <v>Karlskoga</v>
      </c>
      <c r="C124" s="173">
        <f>IFERROR(VLOOKUP($B124,Totalt!$B$1:$AQ$554,MATCH(C$2,Totalt!$B$1:$AQ$1,0),FALSE),"")</f>
        <v>0</v>
      </c>
      <c r="D124" s="173">
        <f>IFERROR(VLOOKUP($B124,Totalt!$B$1:$AQ$554,MATCH(D$2,Totalt!$B$1:$AQ$1,0),FALSE),"")</f>
        <v>17.923300000000001</v>
      </c>
      <c r="E124" s="173">
        <f>IFERROR(VLOOKUP($B124,Totalt!$B$1:$AQ$554,MATCH(E$2,Totalt!$B$1:$AQ$1,0),FALSE),"")</f>
        <v>0</v>
      </c>
      <c r="F124" s="173">
        <f>IFERROR(VLOOKUP($B124,Totalt!$B$1:$AQ$554,MATCH(F$2,Totalt!$B$1:$AQ$1,0),FALSE),"")</f>
        <v>0</v>
      </c>
      <c r="G124" s="173">
        <f>IFERROR(VLOOKUP($B124,Totalt!$B$1:$AQ$554,MATCH(G$2,Totalt!$B$1:$AQ$1,0),FALSE),"")</f>
        <v>0</v>
      </c>
      <c r="H124" s="173">
        <f>IFERROR(VLOOKUP($B124,Totalt!$B$1:$AQ$554,MATCH(H$2,Totalt!$B$1:$AQ$1,0),FALSE),"")</f>
        <v>0</v>
      </c>
      <c r="I124" s="173">
        <f>IFERROR(VLOOKUP($B124,Totalt!$B$1:$AQ$554,MATCH(I$2,Totalt!$B$1:$AQ$1,0),FALSE),"")</f>
        <v>72.571299999999994</v>
      </c>
      <c r="J124" s="173">
        <f>IFERROR(VLOOKUP($B124,Totalt!$B$1:$AQ$554,MATCH(J$2,Totalt!$B$1:$AQ$1,0),FALSE),"")</f>
        <v>0</v>
      </c>
      <c r="K124" s="173">
        <f>IFERROR(VLOOKUP($B124,Totalt!$B$1:$AQ$554,MATCH(K$2,Totalt!$B$1:$AQ$1,0),FALSE),"")</f>
        <v>0</v>
      </c>
      <c r="L124" s="173">
        <f>IFERROR(VLOOKUP($B124,Totalt!$B$1:$AQ$554,MATCH(L$2,Totalt!$B$1:$AQ$1,0),FALSE),"")</f>
        <v>163.732</v>
      </c>
      <c r="M124" s="173">
        <f>IFERROR(VLOOKUP($B124,Totalt!$B$1:$AQ$554,MATCH(M$2,Totalt!$B$1:$AQ$1,0),FALSE),"")</f>
        <v>0</v>
      </c>
      <c r="N124" s="173">
        <f>IFERROR(VLOOKUP($B124,Totalt!$B$1:$AQ$554,MATCH(N$2,Totalt!$B$1:$AQ$1,0),FALSE),"")</f>
        <v>0</v>
      </c>
      <c r="O124" s="173">
        <f>IFERROR(VLOOKUP($B124,Totalt!$B$1:$AQ$554,MATCH(O$2,Totalt!$B$1:$AQ$1,0),FALSE),"")</f>
        <v>0</v>
      </c>
      <c r="P124" s="173">
        <f>IFERROR(VLOOKUP($B124,Totalt!$B$1:$AQ$554,MATCH(P$2,Totalt!$B$1:$AQ$1,0),FALSE),"")</f>
        <v>0</v>
      </c>
      <c r="Q124" s="173">
        <f>IFERROR(VLOOKUP($B124,Totalt!$B$1:$AQ$554,MATCH(Q$2,Totalt!$B$1:$AQ$1,0),FALSE),"")</f>
        <v>0</v>
      </c>
      <c r="R124" s="173">
        <f>IFERROR(VLOOKUP($B124,Totalt!$B$1:$AQ$554,MATCH(R$2,Totalt!$B$1:$AQ$1,0),FALSE),"")</f>
        <v>0</v>
      </c>
      <c r="S124" s="173">
        <f>IFERROR(VLOOKUP($B124,Totalt!$B$1:$AQ$554,MATCH(S$2,Totalt!$B$1:$AQ$1,0),FALSE),"")</f>
        <v>0</v>
      </c>
      <c r="T124" s="173">
        <f>IFERROR(VLOOKUP($B124,Totalt!$B$1:$AQ$554,MATCH(T$2,Totalt!$B$1:$AQ$1,0),FALSE),"")</f>
        <v>0</v>
      </c>
      <c r="U124" s="173">
        <f>IFERROR(VLOOKUP($B124,Totalt!$B$1:$AQ$554,MATCH(U$2,Totalt!$B$1:$AQ$1,0),FALSE),"")</f>
        <v>6.2479800000000001</v>
      </c>
      <c r="V124" s="173">
        <f>IFERROR(VLOOKUP($B124,Totalt!$B$1:$AQ$554,MATCH(V$2,Totalt!$B$1:$AQ$1,0),FALSE),"")</f>
        <v>0</v>
      </c>
      <c r="W124" s="173">
        <f>IFERROR(VLOOKUP($B124,Totalt!$B$1:$AQ$554,MATCH(W$2,Totalt!$B$1:$AQ$1,0),FALSE),"")</f>
        <v>26.384699999999999</v>
      </c>
      <c r="X124" s="173">
        <f>IFERROR(VLOOKUP($B124,Totalt!$B$1:$AQ$554,MATCH(X$2,Totalt!$B$1:$AQ$1,0),FALSE),"")</f>
        <v>0</v>
      </c>
      <c r="Y124" s="173">
        <f>IFERROR(VLOOKUP($B124,Totalt!$B$1:$AQ$554,MATCH(Y$2,Totalt!$B$1:$AQ$1,0),FALSE),"")</f>
        <v>52.188899999999997</v>
      </c>
      <c r="Z124" s="173">
        <f>IFERROR(VLOOKUP($B124,Totalt!$B$1:$AQ$554,MATCH(Z$2,Totalt!$B$1:$AQ$1,0),FALSE),"")</f>
        <v>0</v>
      </c>
      <c r="AA124" s="173">
        <f>IFERROR(VLOOKUP($B124,Totalt!$B$1:$AQ$554,MATCH(AA$2,Totalt!$B$1:$AQ$1,0),FALSE),"")</f>
        <v>0</v>
      </c>
      <c r="AB124" s="173">
        <f>IFERROR(VLOOKUP($B124,Totalt!$B$1:$AQ$554,MATCH(AB$2,Totalt!$B$1:$AQ$1,0),FALSE),"")</f>
        <v>0</v>
      </c>
      <c r="AC124" s="173">
        <f>IFERROR(VLOOKUP($B124,Totalt!$B$1:$AQ$554,MATCH(AC$2,Totalt!$B$1:$AQ$1,0),FALSE),"")</f>
        <v>22.4</v>
      </c>
      <c r="AD124" s="173">
        <f>IFERROR(VLOOKUP($B124,Totalt!$B$1:$AQ$554,MATCH(AD$2,Totalt!$B$1:$AQ$1,0),FALSE),"")</f>
        <v>0</v>
      </c>
      <c r="AE124" s="173">
        <f>IFERROR(VLOOKUP($B124,Totalt!$B$1:$AQ$554,MATCH(AE$2,Totalt!$B$1:$AQ$1,0),FALSE),"")</f>
        <v>0</v>
      </c>
      <c r="AF124" s="173">
        <f>IFERROR(VLOOKUP($B124,Totalt!$B$1:$AQ$554,MATCH(AF$2,Totalt!$B$1:$AQ$1,0),FALSE),"")</f>
        <v>13.027100000000001</v>
      </c>
      <c r="AG124" s="173">
        <f>IFERROR(VLOOKUP($B124,Totalt!$B$1:$AQ$554,MATCH(AG$2,Totalt!$B$1:$AQ$1,0),FALSE),"")</f>
        <v>0</v>
      </c>
      <c r="AI124" s="226">
        <f t="shared" si="6"/>
        <v>374.47528</v>
      </c>
      <c r="AJ124" s="226">
        <f>IF(ISERROR(1/VLOOKUP($B124,Leveranser!$B$1:$S$500,MATCH("såld värme (gwh)",Leveranser!$B$1:$S$1,0),FALSE)),"",VLOOKUP($B124,Leveranser!$B$1:$S$500,MATCH("såld värme (gwh)",Leveranser!$B$1:$S$1,0),FALSE))</f>
        <v>305.2</v>
      </c>
      <c r="AM124" s="227" t="str">
        <f>IF(B124&lt;&gt;"",IF(VLOOKUP($B124,Totalt!$B$1:$AQ$554,MATCH("Kvalitetsgranskad:",Totalt!$B$1:$AQ$1,0),FALSE)="ja",VLOOKUP($B124,Miljö!$B$1:$AG$479,MATCH(AM$2,Miljö!$B$1:$AK$1,0),FALSE),""),"")</f>
        <v>Ja</v>
      </c>
      <c r="AN124" s="227" t="str">
        <f>IF(AM124="ja",VLOOKUP($B124,Miljö!$B$1:$J$479,MATCH("Typ av ursprungsspecificerad el   (Om inget värde anges används Nordisk residualmix, se inforuta) ()",Miljö!$B$1:$J$1,0),FALSE),IF(AM124="nej","Nordisk residualel",""))</f>
        <v>'Vattenkraft'</v>
      </c>
      <c r="AO124" s="227">
        <f>IF(AM124="","",VLOOKUP($B124,Miljö!$B$1:$J$479,MATCH("Fossilandel för ursprungspecificerad el ()",Miljö!$B$1:$J$1,0),FALSE))</f>
        <v>0</v>
      </c>
      <c r="AP124" s="227">
        <f>IF(AM124="","",IFERROR(VLOOKUP($B124,Miljö!$B$1:$J$479,MATCH("Kärnkraftsandel för ursprungsspecificerad el ()",Miljö!$B$1:$J$1,0),FALSE)/1,0))</f>
        <v>0</v>
      </c>
      <c r="AQ124" s="227">
        <f t="shared" si="7"/>
        <v>1</v>
      </c>
      <c r="AR124" s="227"/>
      <c r="AS124" s="227" t="str">
        <f t="shared" si="8"/>
        <v>Nej</v>
      </c>
      <c r="AT124" s="227" t="str">
        <f>IF(AS124="ja",VLOOKUP($B124,Miljö!$B$1:$O$500,MATCH("Fossil andel i procent (%)",Miljö!$B$1:$O$1,0),FALSE)/100,"")</f>
        <v/>
      </c>
      <c r="AU124" s="227"/>
      <c r="AV124" s="227" t="str">
        <f t="shared" si="9"/>
        <v>Nej</v>
      </c>
      <c r="AW124" s="227" t="str">
        <f>IF(AV124="ja",VLOOKUP($B124,'Egen hetvattenprod'!$B$1:$AO$500,MATCH("Värmekälla till värmepumpar ()",'Egen hetvattenprod'!$B$1:$AO$1,0),FALSE),"")</f>
        <v/>
      </c>
      <c r="AX124" s="227"/>
      <c r="AY124" s="227" t="str">
        <f t="shared" si="10"/>
        <v>Ja</v>
      </c>
      <c r="AZ124" s="228">
        <f>IF($AY124="ja",(VLOOKUP($B124,'Egen hetvattenprod'!$B$1:$BX$550,MATCH(AZ$2,'Egen hetvattenprod'!$B$1:$BX$1,0),FALSE)+VLOOKUP($B124,Kraftvärmeprod!$B$1:$BX$550,MATCH(AZ$2,Kraftvärmeprod!$B$1:$BX$1,0),FALSE))/$AC124,"")</f>
        <v>0.7</v>
      </c>
      <c r="BA124" s="228">
        <f>IF($AY124="ja",(VLOOKUP($B124,'Egen hetvattenprod'!$B$1:$BX$550,MATCH(BA$2,'Egen hetvattenprod'!$B$1:$BX$1,0),FALSE)+VLOOKUP($B124,Kraftvärmeprod!$B$1:$BX$550,MATCH(BA$2,Kraftvärmeprod!$B$1:$BX$1,0),FALSE))/$AC124,"")</f>
        <v>0</v>
      </c>
      <c r="BB124" s="228">
        <f>IF($AY124="ja",(VLOOKUP($B124,'Egen hetvattenprod'!$B$1:$BX$550,MATCH(BB$2,'Egen hetvattenprod'!$B$1:$BX$1,0),FALSE)+VLOOKUP($B124,Kraftvärmeprod!$B$1:$BX$550,MATCH(BB$2,Kraftvärmeprod!$B$1:$BX$1,0),FALSE))/$AC124,"")</f>
        <v>0</v>
      </c>
      <c r="BC124" s="228">
        <f>IF($AY124="ja",(VLOOKUP($B124,'Egen hetvattenprod'!$B$1:$BX$550,MATCH(BC$2,'Egen hetvattenprod'!$B$1:$BX$1,0),FALSE)+VLOOKUP($B124,Kraftvärmeprod!$B$1:$BX$550,MATCH(BC$2,Kraftvärmeprod!$B$1:$BX$1,0),FALSE))/$AC124,"")</f>
        <v>0.3</v>
      </c>
      <c r="BD124" s="228">
        <f>IF($AY124="ja",(VLOOKUP($B124,'Egen hetvattenprod'!$B$1:$BX$550,MATCH(BD$2,'Egen hetvattenprod'!$B$1:$BX$1,0),FALSE)+VLOOKUP($B124,Kraftvärmeprod!$B$1:$BX$550,MATCH(BD$2,Kraftvärmeprod!$B$1:$BX$1,0),FALSE))/$AC124,"")</f>
        <v>0</v>
      </c>
      <c r="BE124" s="227"/>
      <c r="BF124" s="227" t="str">
        <f t="shared" si="11"/>
        <v>Ja</v>
      </c>
      <c r="BG124" s="227" t="str">
        <f>IF($BF124="ja",VLOOKUP($B124,'Egen hetvattenprod'!$B$1:$BX$550,MATCH("Andelen klimatgaser med fossilt ursprung för avfall ()",'Egen hetvattenprod'!$B$1:$BX$1,0),FALSE),"")</f>
        <v>Schablon</v>
      </c>
      <c r="BH124" s="227" t="str">
        <f>IF($BF124="ja",VLOOKUP($B124,Kraftvärmeprod!$B$1:$BX$550,MATCH("Andelen klimatgaser med fossilt ursprung för avfall ()",Kraftvärmeprod!$B$1:$BX$1,0),FALSE),"")</f>
        <v>Schablon</v>
      </c>
      <c r="BI124" s="227">
        <f>IF($BF124="ja",VLOOKUP($B124,'Egen hetvattenprod'!$B$1:$BX$550,MATCH("Avfall (GWh)",'Egen hetvattenprod'!$B$1:$BX$1,0),FALSE),"")</f>
        <v>13.7</v>
      </c>
      <c r="BJ124" s="227">
        <f>IF($BF124="ja",VLOOKUP($B124,'Slutlig allokering kvv'!$B$1:$BX$550,MATCH("Avfall (GWh)",'Slutlig allokering kvv'!$B$1:$BX$1,0),FALSE),"")</f>
        <v>0</v>
      </c>
      <c r="BK124" s="227">
        <f>IF($BF124="ja",VLOOKUP($B124,'Köpt hetvatten'!$B$1:$BX$550,MATCH("Avfall i köpt hetvatten",'Köpt hetvatten'!$B$1:$BX$1,0),FALSE),"")</f>
        <v>0</v>
      </c>
      <c r="BL124" s="227">
        <f>IF($BF124="ja",VLOOKUP($B124,'Egen hetvattenprod'!$B$1:$BX$550,MATCH("Värde enligt ovan. (%)",'Egen hetvattenprod'!$B$1:$BX$1,0),FALSE),"")</f>
        <v>40.5</v>
      </c>
      <c r="BM124" s="227">
        <f>IF($BF124="ja",VLOOKUP($B124,Kraftvärmeprod!$B$1:$BX$550,MATCH("Värde enligt ovan. (%)",Kraftvärmeprod!$B$1:$BX$1,0),FALSE),"")</f>
        <v>40.5</v>
      </c>
      <c r="BN124" s="227"/>
      <c r="BO124" s="227"/>
      <c r="BP124" s="227"/>
      <c r="BQ124" s="227" t="str">
        <f>IF($BF124="ja",VLOOKUP($B124,'Egen hetvattenprod'!$B$1:$BX$550,MATCH("Tillförd olja (fossil) vid avfallsförbränning (GWh)",'Egen hetvattenprod'!$B$1:$BX$1,0),FALSE),"")</f>
        <v>ET</v>
      </c>
      <c r="BR124" s="227">
        <f>IF($BF124="ja",VLOOKUP($B124,Kraftvärmeprod!$B$1:$BX$550,MATCH("Tillförd olja (fossil) vid avfallsförbränning (GWh)",Kraftvärmeprod!$B$1:$BX$1,0),FALSE),"")</f>
        <v>10.6</v>
      </c>
      <c r="BS124" s="227"/>
      <c r="BT124" s="227"/>
      <c r="BU124" s="227"/>
    </row>
    <row r="125" spans="1:73" x14ac:dyDescent="0.25">
      <c r="A125" s="121" t="str">
        <f>'Miljövärden för publ företag'!B128</f>
        <v>Karlstads Energi AB</v>
      </c>
      <c r="B125" s="121" t="str">
        <f>'Miljövärden för publ företag'!C128</f>
        <v>Karlstad</v>
      </c>
      <c r="C125" s="173">
        <f>IFERROR(VLOOKUP($B125,Totalt!$B$1:$AQ$554,MATCH(C$2,Totalt!$B$1:$AQ$1,0),FALSE),"")</f>
        <v>0</v>
      </c>
      <c r="D125" s="173">
        <f>IFERROR(VLOOKUP($B125,Totalt!$B$1:$AQ$554,MATCH(D$2,Totalt!$B$1:$AQ$1,0),FALSE),"")</f>
        <v>7.1043900000000004</v>
      </c>
      <c r="E125" s="173">
        <f>IFERROR(VLOOKUP($B125,Totalt!$B$1:$AQ$554,MATCH(E$2,Totalt!$B$1:$AQ$1,0),FALSE),"")</f>
        <v>0</v>
      </c>
      <c r="F125" s="173">
        <f>IFERROR(VLOOKUP($B125,Totalt!$B$1:$AQ$554,MATCH(F$2,Totalt!$B$1:$AQ$1,0),FALSE),"")</f>
        <v>1.7035199999999999</v>
      </c>
      <c r="G125" s="173">
        <f>IFERROR(VLOOKUP($B125,Totalt!$B$1:$AQ$554,MATCH(G$2,Totalt!$B$1:$AQ$1,0),FALSE),"")</f>
        <v>0</v>
      </c>
      <c r="H125" s="173">
        <f>IFERROR(VLOOKUP($B125,Totalt!$B$1:$AQ$554,MATCH(H$2,Totalt!$B$1:$AQ$1,0),FALSE),"")</f>
        <v>0</v>
      </c>
      <c r="I125" s="173">
        <f>IFERROR(VLOOKUP($B125,Totalt!$B$1:$AQ$554,MATCH(I$2,Totalt!$B$1:$AQ$1,0),FALSE),"")</f>
        <v>146.11000000000001</v>
      </c>
      <c r="J125" s="173">
        <f>IFERROR(VLOOKUP($B125,Totalt!$B$1:$AQ$554,MATCH(J$2,Totalt!$B$1:$AQ$1,0),FALSE),"")</f>
        <v>0</v>
      </c>
      <c r="K125" s="173">
        <f>IFERROR(VLOOKUP($B125,Totalt!$B$1:$AQ$554,MATCH(K$2,Totalt!$B$1:$AQ$1,0),FALSE),"")</f>
        <v>0</v>
      </c>
      <c r="L125" s="173">
        <f>IFERROR(VLOOKUP($B125,Totalt!$B$1:$AQ$554,MATCH(L$2,Totalt!$B$1:$AQ$1,0),FALSE),"")</f>
        <v>0</v>
      </c>
      <c r="M125" s="173">
        <f>IFERROR(VLOOKUP($B125,Totalt!$B$1:$AQ$554,MATCH(M$2,Totalt!$B$1:$AQ$1,0),FALSE),"")</f>
        <v>0</v>
      </c>
      <c r="N125" s="173">
        <f>IFERROR(VLOOKUP($B125,Totalt!$B$1:$AQ$554,MATCH(N$2,Totalt!$B$1:$AQ$1,0),FALSE),"")</f>
        <v>0</v>
      </c>
      <c r="O125" s="173">
        <f>IFERROR(VLOOKUP($B125,Totalt!$B$1:$AQ$554,MATCH(O$2,Totalt!$B$1:$AQ$1,0),FALSE),"")</f>
        <v>0</v>
      </c>
      <c r="P125" s="173">
        <f>IFERROR(VLOOKUP($B125,Totalt!$B$1:$AQ$554,MATCH(P$2,Totalt!$B$1:$AQ$1,0),FALSE),"")</f>
        <v>0</v>
      </c>
      <c r="Q125" s="173">
        <f>IFERROR(VLOOKUP($B125,Totalt!$B$1:$AQ$554,MATCH(Q$2,Totalt!$B$1:$AQ$1,0),FALSE),"")</f>
        <v>340.73</v>
      </c>
      <c r="R125" s="173">
        <f>IFERROR(VLOOKUP($B125,Totalt!$B$1:$AQ$554,MATCH(R$2,Totalt!$B$1:$AQ$1,0),FALSE),"")</f>
        <v>0</v>
      </c>
      <c r="S125" s="173">
        <f>IFERROR(VLOOKUP($B125,Totalt!$B$1:$AQ$554,MATCH(S$2,Totalt!$B$1:$AQ$1,0),FALSE),"")</f>
        <v>0</v>
      </c>
      <c r="T125" s="173">
        <f>IFERROR(VLOOKUP($B125,Totalt!$B$1:$AQ$554,MATCH(T$2,Totalt!$B$1:$AQ$1,0),FALSE),"")</f>
        <v>0</v>
      </c>
      <c r="U125" s="173">
        <f>IFERROR(VLOOKUP($B125,Totalt!$B$1:$AQ$554,MATCH(U$2,Totalt!$B$1:$AQ$1,0),FALSE),"")</f>
        <v>0</v>
      </c>
      <c r="V125" s="173">
        <f>IFERROR(VLOOKUP($B125,Totalt!$B$1:$AQ$554,MATCH(V$2,Totalt!$B$1:$AQ$1,0),FALSE),"")</f>
        <v>0</v>
      </c>
      <c r="W125" s="173">
        <f>IFERROR(VLOOKUP($B125,Totalt!$B$1:$AQ$554,MATCH(W$2,Totalt!$B$1:$AQ$1,0),FALSE),"")</f>
        <v>9.1</v>
      </c>
      <c r="X125" s="173">
        <f>IFERROR(VLOOKUP($B125,Totalt!$B$1:$AQ$554,MATCH(X$2,Totalt!$B$1:$AQ$1,0),FALSE),"")</f>
        <v>0</v>
      </c>
      <c r="Y125" s="173">
        <f>IFERROR(VLOOKUP($B125,Totalt!$B$1:$AQ$554,MATCH(Y$2,Totalt!$B$1:$AQ$1,0),FALSE),"")</f>
        <v>0</v>
      </c>
      <c r="Z125" s="173">
        <f>IFERROR(VLOOKUP($B125,Totalt!$B$1:$AQ$554,MATCH(Z$2,Totalt!$B$1:$AQ$1,0),FALSE),"")</f>
        <v>0</v>
      </c>
      <c r="AA125" s="173">
        <f>IFERROR(VLOOKUP($B125,Totalt!$B$1:$AQ$554,MATCH(AA$2,Totalt!$B$1:$AQ$1,0),FALSE),"")</f>
        <v>0</v>
      </c>
      <c r="AB125" s="173">
        <f>IFERROR(VLOOKUP($B125,Totalt!$B$1:$AQ$554,MATCH(AB$2,Totalt!$B$1:$AQ$1,0),FALSE),"")</f>
        <v>0</v>
      </c>
      <c r="AC125" s="173">
        <f>IFERROR(VLOOKUP($B125,Totalt!$B$1:$AQ$554,MATCH(AC$2,Totalt!$B$1:$AQ$1,0),FALSE),"")</f>
        <v>153.05099999999999</v>
      </c>
      <c r="AD125" s="173">
        <f>IFERROR(VLOOKUP($B125,Totalt!$B$1:$AQ$554,MATCH(AD$2,Totalt!$B$1:$AQ$1,0),FALSE),"")</f>
        <v>5.0119999999999996</v>
      </c>
      <c r="AE125" s="173">
        <f>IFERROR(VLOOKUP($B125,Totalt!$B$1:$AQ$554,MATCH(AE$2,Totalt!$B$1:$AQ$1,0),FALSE),"")</f>
        <v>0</v>
      </c>
      <c r="AF125" s="173">
        <f>IFERROR(VLOOKUP($B125,Totalt!$B$1:$AQ$554,MATCH(AF$2,Totalt!$B$1:$AQ$1,0),FALSE),"")</f>
        <v>27.029199999999999</v>
      </c>
      <c r="AG125" s="173">
        <f>IFERROR(VLOOKUP($B125,Totalt!$B$1:$AQ$554,MATCH(AG$2,Totalt!$B$1:$AQ$1,0),FALSE),"")</f>
        <v>0</v>
      </c>
      <c r="AI125" s="226">
        <f t="shared" si="6"/>
        <v>689.84010999999987</v>
      </c>
      <c r="AJ125" s="226">
        <f>IF(ISERROR(1/VLOOKUP($B125,Leveranser!$B$1:$S$500,MATCH("såld värme (gwh)",Leveranser!$B$1:$S$1,0),FALSE)),"",VLOOKUP($B125,Leveranser!$B$1:$S$500,MATCH("såld värme (gwh)",Leveranser!$B$1:$S$1,0),FALSE))</f>
        <v>576.79999999999995</v>
      </c>
      <c r="AM125" s="227" t="str">
        <f>IF(B125&lt;&gt;"",IF(VLOOKUP($B125,Totalt!$B$1:$AQ$554,MATCH("Kvalitetsgranskad:",Totalt!$B$1:$AQ$1,0),FALSE)="ja",VLOOKUP($B125,Miljö!$B$1:$AG$479,MATCH(AM$2,Miljö!$B$1:$AK$1,0),FALSE),""),"")</f>
        <v>Ja</v>
      </c>
      <c r="AN125" s="227" t="str">
        <f>IF(AM125="ja",VLOOKUP($B125,Miljö!$B$1:$J$479,MATCH("Typ av ursprungsspecificerad el   (Om inget värde anges används Nordisk residualmix, se inforuta) ()",Miljö!$B$1:$J$1,0),FALSE),IF(AM125="nej","Nordisk residualel",""))</f>
        <v>'Förnybar'</v>
      </c>
      <c r="AO125" s="227">
        <f>IF(AM125="","",VLOOKUP($B125,Miljö!$B$1:$J$479,MATCH("Fossilandel för ursprungspecificerad el ()",Miljö!$B$1:$J$1,0),FALSE))</f>
        <v>0</v>
      </c>
      <c r="AP125" s="227">
        <f>IF(AM125="","",IFERROR(VLOOKUP($B125,Miljö!$B$1:$J$479,MATCH("Kärnkraftsandel för ursprungsspecificerad el ()",Miljö!$B$1:$J$1,0),FALSE)/1,0))</f>
        <v>0</v>
      </c>
      <c r="AQ125" s="227">
        <f t="shared" si="7"/>
        <v>1</v>
      </c>
      <c r="AR125" s="227"/>
      <c r="AS125" s="227" t="str">
        <f t="shared" si="8"/>
        <v>Nej</v>
      </c>
      <c r="AT125" s="227" t="str">
        <f>IF(AS125="ja",VLOOKUP($B125,Miljö!$B$1:$O$500,MATCH("Fossil andel i procent (%)",Miljö!$B$1:$O$1,0),FALSE)/100,"")</f>
        <v/>
      </c>
      <c r="AU125" s="227"/>
      <c r="AV125" s="227" t="str">
        <f t="shared" si="9"/>
        <v>Nej</v>
      </c>
      <c r="AW125" s="227" t="str">
        <f>IF(AV125="ja",VLOOKUP($B125,'Egen hetvattenprod'!$B$1:$AO$500,MATCH("Värmekälla till värmepumpar ()",'Egen hetvattenprod'!$B$1:$AO$1,0),FALSE),"")</f>
        <v/>
      </c>
      <c r="AX125" s="227"/>
      <c r="AY125" s="227" t="str">
        <f t="shared" si="10"/>
        <v>Ja</v>
      </c>
      <c r="AZ125" s="228">
        <f>IF($AY125="ja",(VLOOKUP($B125,'Egen hetvattenprod'!$B$1:$BX$550,MATCH(AZ$2,'Egen hetvattenprod'!$B$1:$BX$1,0),FALSE)+VLOOKUP($B125,Kraftvärmeprod!$B$1:$BX$550,MATCH(AZ$2,Kraftvärmeprod!$B$1:$BX$1,0),FALSE))/$AC125,"")</f>
        <v>0.898948716440925</v>
      </c>
      <c r="BA125" s="228">
        <f>IF($AY125="ja",(VLOOKUP($B125,'Egen hetvattenprod'!$B$1:$BX$550,MATCH(BA$2,'Egen hetvattenprod'!$B$1:$BX$1,0),FALSE)+VLOOKUP($B125,Kraftvärmeprod!$B$1:$BX$550,MATCH(BA$2,Kraftvärmeprod!$B$1:$BX$1,0),FALSE))/$AC125,"")</f>
        <v>0.10105128355907508</v>
      </c>
      <c r="BB125" s="228">
        <f>IF($AY125="ja",(VLOOKUP($B125,'Egen hetvattenprod'!$B$1:$BX$550,MATCH(BB$2,'Egen hetvattenprod'!$B$1:$BX$1,0),FALSE)+VLOOKUP($B125,Kraftvärmeprod!$B$1:$BX$550,MATCH(BB$2,Kraftvärmeprod!$B$1:$BX$1,0),FALSE))/$AC125,"")</f>
        <v>0</v>
      </c>
      <c r="BC125" s="228">
        <f>IF($AY125="ja",(VLOOKUP($B125,'Egen hetvattenprod'!$B$1:$BX$550,MATCH(BC$2,'Egen hetvattenprod'!$B$1:$BX$1,0),FALSE)+VLOOKUP($B125,Kraftvärmeprod!$B$1:$BX$550,MATCH(BC$2,Kraftvärmeprod!$B$1:$BX$1,0),FALSE))/$AC125,"")</f>
        <v>0</v>
      </c>
      <c r="BD125" s="228">
        <f>IF($AY125="ja",(VLOOKUP($B125,'Egen hetvattenprod'!$B$1:$BX$550,MATCH(BD$2,'Egen hetvattenprod'!$B$1:$BX$1,0),FALSE)+VLOOKUP($B125,Kraftvärmeprod!$B$1:$BX$550,MATCH(BD$2,Kraftvärmeprod!$B$1:$BX$1,0),FALSE))/$AC125,"")</f>
        <v>0</v>
      </c>
      <c r="BE125" s="227"/>
      <c r="BF125" s="227" t="str">
        <f t="shared" si="11"/>
        <v>Ja</v>
      </c>
      <c r="BG125" s="227" t="str">
        <f>IF($BF125="ja",VLOOKUP($B125,'Egen hetvattenprod'!$B$1:$BX$550,MATCH("Andelen klimatgaser med fossilt ursprung för avfall ()",'Egen hetvattenprod'!$B$1:$BX$1,0),FALSE),"")</f>
        <v>Schablon</v>
      </c>
      <c r="BH125" s="227" t="str">
        <f>IF($BF125="ja",VLOOKUP($B125,Kraftvärmeprod!$B$1:$BX$550,MATCH("Andelen klimatgaser med fossilt ursprung för avfall ()",Kraftvärmeprod!$B$1:$BX$1,0),FALSE),"")</f>
        <v>-</v>
      </c>
      <c r="BI125" s="227">
        <f>IF($BF125="ja",VLOOKUP($B125,'Egen hetvattenprod'!$B$1:$BX$550,MATCH("Avfall (GWh)",'Egen hetvattenprod'!$B$1:$BX$1,0),FALSE),"")</f>
        <v>146.11000000000001</v>
      </c>
      <c r="BJ125" s="227">
        <f>IF($BF125="ja",VLOOKUP($B125,'Slutlig allokering kvv'!$B$1:$BX$550,MATCH("Avfall (GWh)",'Slutlig allokering kvv'!$B$1:$BX$1,0),FALSE),"")</f>
        <v>0</v>
      </c>
      <c r="BK125" s="227">
        <f>IF($BF125="ja",VLOOKUP($B125,'Köpt hetvatten'!$B$1:$BX$550,MATCH("Avfall i köpt hetvatten",'Köpt hetvatten'!$B$1:$BX$1,0),FALSE),"")</f>
        <v>0</v>
      </c>
      <c r="BL125" s="227">
        <f>IF($BF125="ja",VLOOKUP($B125,'Egen hetvattenprod'!$B$1:$BX$550,MATCH("Värde enligt ovan. (%)",'Egen hetvattenprod'!$B$1:$BX$1,0),FALSE),"")</f>
        <v>40.5</v>
      </c>
      <c r="BM125" s="227" t="str">
        <f>IF($BF125="ja",VLOOKUP($B125,Kraftvärmeprod!$B$1:$BX$550,MATCH("Värde enligt ovan. (%)",Kraftvärmeprod!$B$1:$BX$1,0),FALSE),"")</f>
        <v>ET</v>
      </c>
      <c r="BN125" s="227"/>
      <c r="BO125" s="227"/>
      <c r="BP125" s="227"/>
      <c r="BQ125" s="227">
        <f>IF($BF125="ja",VLOOKUP($B125,'Egen hetvattenprod'!$B$1:$BX$550,MATCH("Tillförd olja (fossil) vid avfallsförbränning (GWh)",'Egen hetvattenprod'!$B$1:$BX$1,0),FALSE),"")</f>
        <v>2.331</v>
      </c>
      <c r="BR125" s="227" t="str">
        <f>IF($BF125="ja",VLOOKUP($B125,Kraftvärmeprod!$B$1:$BX$550,MATCH("Tillförd olja (fossil) vid avfallsförbränning (GWh)",Kraftvärmeprod!$B$1:$BX$1,0),FALSE),"")</f>
        <v>ET</v>
      </c>
      <c r="BS125" s="227"/>
      <c r="BT125" s="227"/>
      <c r="BU125" s="227"/>
    </row>
    <row r="126" spans="1:73" x14ac:dyDescent="0.25">
      <c r="A126" s="121" t="str">
        <f>'Miljövärden för publ företag'!B129</f>
        <v>Kils Energi AB</v>
      </c>
      <c r="B126" s="121" t="str">
        <f>'Miljövärden för publ företag'!C129</f>
        <v>Kil</v>
      </c>
      <c r="C126" s="173">
        <f>IFERROR(VLOOKUP($B126,Totalt!$B$1:$AQ$554,MATCH(C$2,Totalt!$B$1:$AQ$1,0),FALSE),"")</f>
        <v>0</v>
      </c>
      <c r="D126" s="173">
        <f>IFERROR(VLOOKUP($B126,Totalt!$B$1:$AQ$554,MATCH(D$2,Totalt!$B$1:$AQ$1,0),FALSE),"")</f>
        <v>0.6</v>
      </c>
      <c r="E126" s="173">
        <f>IFERROR(VLOOKUP($B126,Totalt!$B$1:$AQ$554,MATCH(E$2,Totalt!$B$1:$AQ$1,0),FALSE),"")</f>
        <v>0</v>
      </c>
      <c r="F126" s="173">
        <f>IFERROR(VLOOKUP($B126,Totalt!$B$1:$AQ$554,MATCH(F$2,Totalt!$B$1:$AQ$1,0),FALSE),"")</f>
        <v>0</v>
      </c>
      <c r="G126" s="173">
        <f>IFERROR(VLOOKUP($B126,Totalt!$B$1:$AQ$554,MATCH(G$2,Totalt!$B$1:$AQ$1,0),FALSE),"")</f>
        <v>0</v>
      </c>
      <c r="H126" s="173">
        <f>IFERROR(VLOOKUP($B126,Totalt!$B$1:$AQ$554,MATCH(H$2,Totalt!$B$1:$AQ$1,0),FALSE),"")</f>
        <v>0</v>
      </c>
      <c r="I126" s="173">
        <f>IFERROR(VLOOKUP($B126,Totalt!$B$1:$AQ$554,MATCH(I$2,Totalt!$B$1:$AQ$1,0),FALSE),"")</f>
        <v>0</v>
      </c>
      <c r="J126" s="173">
        <f>IFERROR(VLOOKUP($B126,Totalt!$B$1:$AQ$554,MATCH(J$2,Totalt!$B$1:$AQ$1,0),FALSE),"")</f>
        <v>0.235294</v>
      </c>
      <c r="K126" s="173">
        <f>IFERROR(VLOOKUP($B126,Totalt!$B$1:$AQ$554,MATCH(K$2,Totalt!$B$1:$AQ$1,0),FALSE),"")</f>
        <v>0</v>
      </c>
      <c r="L126" s="173">
        <f>IFERROR(VLOOKUP($B126,Totalt!$B$1:$AQ$554,MATCH(L$2,Totalt!$B$1:$AQ$1,0),FALSE),"")</f>
        <v>42.9</v>
      </c>
      <c r="M126" s="173">
        <f>IFERROR(VLOOKUP($B126,Totalt!$B$1:$AQ$554,MATCH(M$2,Totalt!$B$1:$AQ$1,0),FALSE),"")</f>
        <v>0</v>
      </c>
      <c r="N126" s="173">
        <f>IFERROR(VLOOKUP($B126,Totalt!$B$1:$AQ$554,MATCH(N$2,Totalt!$B$1:$AQ$1,0),FALSE),"")</f>
        <v>0</v>
      </c>
      <c r="O126" s="173">
        <f>IFERROR(VLOOKUP($B126,Totalt!$B$1:$AQ$554,MATCH(O$2,Totalt!$B$1:$AQ$1,0),FALSE),"")</f>
        <v>0</v>
      </c>
      <c r="P126" s="173">
        <f>IFERROR(VLOOKUP($B126,Totalt!$B$1:$AQ$554,MATCH(P$2,Totalt!$B$1:$AQ$1,0),FALSE),"")</f>
        <v>0</v>
      </c>
      <c r="Q126" s="173">
        <f>IFERROR(VLOOKUP($B126,Totalt!$B$1:$AQ$554,MATCH(Q$2,Totalt!$B$1:$AQ$1,0),FALSE),"")</f>
        <v>0</v>
      </c>
      <c r="R126" s="173">
        <f>IFERROR(VLOOKUP($B126,Totalt!$B$1:$AQ$554,MATCH(R$2,Totalt!$B$1:$AQ$1,0),FALSE),"")</f>
        <v>3.2</v>
      </c>
      <c r="S126" s="173">
        <f>IFERROR(VLOOKUP($B126,Totalt!$B$1:$AQ$554,MATCH(S$2,Totalt!$B$1:$AQ$1,0),FALSE),"")</f>
        <v>0</v>
      </c>
      <c r="T126" s="173">
        <f>IFERROR(VLOOKUP($B126,Totalt!$B$1:$AQ$554,MATCH(T$2,Totalt!$B$1:$AQ$1,0),FALSE),"")</f>
        <v>0</v>
      </c>
      <c r="U126" s="173">
        <f>IFERROR(VLOOKUP($B126,Totalt!$B$1:$AQ$554,MATCH(U$2,Totalt!$B$1:$AQ$1,0),FALSE),"")</f>
        <v>0</v>
      </c>
      <c r="V126" s="173">
        <f>IFERROR(VLOOKUP($B126,Totalt!$B$1:$AQ$554,MATCH(V$2,Totalt!$B$1:$AQ$1,0),FALSE),"")</f>
        <v>0</v>
      </c>
      <c r="W126" s="173">
        <f>IFERROR(VLOOKUP($B126,Totalt!$B$1:$AQ$554,MATCH(W$2,Totalt!$B$1:$AQ$1,0),FALSE),"")</f>
        <v>0</v>
      </c>
      <c r="X126" s="173">
        <f>IFERROR(VLOOKUP($B126,Totalt!$B$1:$AQ$554,MATCH(X$2,Totalt!$B$1:$AQ$1,0),FALSE),"")</f>
        <v>0</v>
      </c>
      <c r="Y126" s="173">
        <f>IFERROR(VLOOKUP($B126,Totalt!$B$1:$AQ$554,MATCH(Y$2,Totalt!$B$1:$AQ$1,0),FALSE),"")</f>
        <v>0</v>
      </c>
      <c r="Z126" s="173">
        <f>IFERROR(VLOOKUP($B126,Totalt!$B$1:$AQ$554,MATCH(Z$2,Totalt!$B$1:$AQ$1,0),FALSE),"")</f>
        <v>0</v>
      </c>
      <c r="AA126" s="173">
        <f>IFERROR(VLOOKUP($B126,Totalt!$B$1:$AQ$554,MATCH(AA$2,Totalt!$B$1:$AQ$1,0),FALSE),"")</f>
        <v>0</v>
      </c>
      <c r="AB126" s="173">
        <f>IFERROR(VLOOKUP($B126,Totalt!$B$1:$AQ$554,MATCH(AB$2,Totalt!$B$1:$AQ$1,0),FALSE),"")</f>
        <v>0</v>
      </c>
      <c r="AC126" s="173">
        <f>IFERROR(VLOOKUP($B126,Totalt!$B$1:$AQ$554,MATCH(AC$2,Totalt!$B$1:$AQ$1,0),FALSE),"")</f>
        <v>0</v>
      </c>
      <c r="AD126" s="173">
        <f>IFERROR(VLOOKUP($B126,Totalt!$B$1:$AQ$554,MATCH(AD$2,Totalt!$B$1:$AQ$1,0),FALSE),"")</f>
        <v>0</v>
      </c>
      <c r="AE126" s="173">
        <f>IFERROR(VLOOKUP($B126,Totalt!$B$1:$AQ$554,MATCH(AE$2,Totalt!$B$1:$AQ$1,0),FALSE),"")</f>
        <v>0</v>
      </c>
      <c r="AF126" s="173">
        <f>IFERROR(VLOOKUP($B126,Totalt!$B$1:$AQ$554,MATCH(AF$2,Totalt!$B$1:$AQ$1,0),FALSE),"")</f>
        <v>1.9</v>
      </c>
      <c r="AG126" s="173">
        <f>IFERROR(VLOOKUP($B126,Totalt!$B$1:$AQ$554,MATCH(AG$2,Totalt!$B$1:$AQ$1,0),FALSE),"")</f>
        <v>0</v>
      </c>
      <c r="AI126" s="226">
        <f t="shared" si="6"/>
        <v>48.835293999999998</v>
      </c>
      <c r="AJ126" s="226">
        <f>IF(ISERROR(1/VLOOKUP($B126,Leveranser!$B$1:$S$500,MATCH("såld värme (gwh)",Leveranser!$B$1:$S$1,0),FALSE)),"",VLOOKUP($B126,Leveranser!$B$1:$S$500,MATCH("såld värme (gwh)",Leveranser!$B$1:$S$1,0),FALSE))</f>
        <v>36.6</v>
      </c>
      <c r="AM126" s="227" t="str">
        <f>IF(B126&lt;&gt;"",IF(VLOOKUP($B126,Totalt!$B$1:$AQ$554,MATCH("Kvalitetsgranskad:",Totalt!$B$1:$AQ$1,0),FALSE)="ja",VLOOKUP($B126,Miljö!$B$1:$AG$479,MATCH(AM$2,Miljö!$B$1:$AK$1,0),FALSE),""),"")</f>
        <v>Ja</v>
      </c>
      <c r="AN126" s="227" t="str">
        <f>IF(AM126="ja",VLOOKUP($B126,Miljö!$B$1:$J$479,MATCH("Typ av ursprungsspecificerad el   (Om inget värde anges används Nordisk residualmix, se inforuta) ()",Miljö!$B$1:$J$1,0),FALSE),IF(AM126="nej","Nordisk residualel",""))</f>
        <v>'Miljö el'</v>
      </c>
      <c r="AO126" s="227">
        <f>IF(AM126="","",VLOOKUP($B126,Miljö!$B$1:$J$479,MATCH("Fossilandel för ursprungspecificerad el ()",Miljö!$B$1:$J$1,0),FALSE))</f>
        <v>0</v>
      </c>
      <c r="AP126" s="227">
        <f>IF(AM126="","",IFERROR(VLOOKUP($B126,Miljö!$B$1:$J$479,MATCH("Kärnkraftsandel för ursprungsspecificerad el ()",Miljö!$B$1:$J$1,0),FALSE)/1,0))</f>
        <v>0</v>
      </c>
      <c r="AQ126" s="227">
        <f t="shared" si="7"/>
        <v>1</v>
      </c>
      <c r="AR126" s="227"/>
      <c r="AS126" s="227" t="str">
        <f t="shared" si="8"/>
        <v>Nej</v>
      </c>
      <c r="AT126" s="227" t="str">
        <f>IF(AS126="ja",VLOOKUP($B126,Miljö!$B$1:$O$500,MATCH("Fossil andel i procent (%)",Miljö!$B$1:$O$1,0),FALSE)/100,"")</f>
        <v/>
      </c>
      <c r="AU126" s="227"/>
      <c r="AV126" s="227" t="str">
        <f t="shared" si="9"/>
        <v>Nej</v>
      </c>
      <c r="AW126" s="227" t="str">
        <f>IF(AV126="ja",VLOOKUP($B126,'Egen hetvattenprod'!$B$1:$AO$500,MATCH("Värmekälla till värmepumpar ()",'Egen hetvattenprod'!$B$1:$AO$1,0),FALSE),"")</f>
        <v/>
      </c>
      <c r="AX126" s="227"/>
      <c r="AY126" s="227" t="str">
        <f t="shared" si="10"/>
        <v>Nej</v>
      </c>
      <c r="AZ126" s="228" t="str">
        <f>IF($AY126="ja",(VLOOKUP($B126,'Egen hetvattenprod'!$B$1:$BX$550,MATCH(AZ$2,'Egen hetvattenprod'!$B$1:$BX$1,0),FALSE)+VLOOKUP($B126,Kraftvärmeprod!$B$1:$BX$550,MATCH(AZ$2,Kraftvärmeprod!$B$1:$BX$1,0),FALSE))/$AC126,"")</f>
        <v/>
      </c>
      <c r="BA126" s="228" t="str">
        <f>IF($AY126="ja",(VLOOKUP($B126,'Egen hetvattenprod'!$B$1:$BX$550,MATCH(BA$2,'Egen hetvattenprod'!$B$1:$BX$1,0),FALSE)+VLOOKUP($B126,Kraftvärmeprod!$B$1:$BX$550,MATCH(BA$2,Kraftvärmeprod!$B$1:$BX$1,0),FALSE))/$AC126,"")</f>
        <v/>
      </c>
      <c r="BB126" s="228" t="str">
        <f>IF($AY126="ja",(VLOOKUP($B126,'Egen hetvattenprod'!$B$1:$BX$550,MATCH(BB$2,'Egen hetvattenprod'!$B$1:$BX$1,0),FALSE)+VLOOKUP($B126,Kraftvärmeprod!$B$1:$BX$550,MATCH(BB$2,Kraftvärmeprod!$B$1:$BX$1,0),FALSE))/$AC126,"")</f>
        <v/>
      </c>
      <c r="BC126" s="228" t="str">
        <f>IF($AY126="ja",(VLOOKUP($B126,'Egen hetvattenprod'!$B$1:$BX$550,MATCH(BC$2,'Egen hetvattenprod'!$B$1:$BX$1,0),FALSE)+VLOOKUP($B126,Kraftvärmeprod!$B$1:$BX$550,MATCH(BC$2,Kraftvärmeprod!$B$1:$BX$1,0),FALSE))/$AC126,"")</f>
        <v/>
      </c>
      <c r="BD126" s="228" t="str">
        <f>IF($AY126="ja",(VLOOKUP($B126,'Egen hetvattenprod'!$B$1:$BX$550,MATCH(BD$2,'Egen hetvattenprod'!$B$1:$BX$1,0),FALSE)+VLOOKUP($B126,Kraftvärmeprod!$B$1:$BX$550,MATCH(BD$2,Kraftvärmeprod!$B$1:$BX$1,0),FALSE))/$AC126,"")</f>
        <v/>
      </c>
      <c r="BE126" s="227"/>
      <c r="BF126" s="227" t="str">
        <f t="shared" si="11"/>
        <v>Nej</v>
      </c>
      <c r="BG126" s="227" t="str">
        <f>IF($BF126="ja",VLOOKUP($B126,'Egen hetvattenprod'!$B$1:$BX$550,MATCH("Andelen klimatgaser med fossilt ursprung för avfall ()",'Egen hetvattenprod'!$B$1:$BX$1,0),FALSE),"")</f>
        <v/>
      </c>
      <c r="BH126" s="227" t="str">
        <f>IF($BF126="ja",VLOOKUP($B126,Kraftvärmeprod!$B$1:$BX$550,MATCH("Andelen klimatgaser med fossilt ursprung för avfall ()",Kraftvärmeprod!$B$1:$BX$1,0),FALSE),"")</f>
        <v/>
      </c>
      <c r="BI126" s="227" t="str">
        <f>IF($BF126="ja",VLOOKUP($B126,'Egen hetvattenprod'!$B$1:$BX$550,MATCH("Avfall (GWh)",'Egen hetvattenprod'!$B$1:$BX$1,0),FALSE),"")</f>
        <v/>
      </c>
      <c r="BJ126" s="227" t="str">
        <f>IF($BF126="ja",VLOOKUP($B126,'Slutlig allokering kvv'!$B$1:$BX$550,MATCH("Avfall (GWh)",'Slutlig allokering kvv'!$B$1:$BX$1,0),FALSE),"")</f>
        <v/>
      </c>
      <c r="BK126" s="227" t="str">
        <f>IF($BF126="ja",VLOOKUP($B126,'Köpt hetvatten'!$B$1:$BX$550,MATCH("Avfall i köpt hetvatten",'Köpt hetvatten'!$B$1:$BX$1,0),FALSE),"")</f>
        <v/>
      </c>
      <c r="BL126" s="227" t="str">
        <f>IF($BF126="ja",VLOOKUP($B126,'Egen hetvattenprod'!$B$1:$BX$550,MATCH("Värde enligt ovan. (%)",'Egen hetvattenprod'!$B$1:$BX$1,0),FALSE),"")</f>
        <v/>
      </c>
      <c r="BM126" s="227" t="str">
        <f>IF($BF126="ja",VLOOKUP($B126,Kraftvärmeprod!$B$1:$BX$550,MATCH("Värde enligt ovan. (%)",Kraftvärmeprod!$B$1:$BX$1,0),FALSE),"")</f>
        <v/>
      </c>
      <c r="BN126" s="227"/>
      <c r="BO126" s="227"/>
      <c r="BP126" s="227"/>
      <c r="BQ126" s="227" t="str">
        <f>IF($BF126="ja",VLOOKUP($B126,'Egen hetvattenprod'!$B$1:$BX$550,MATCH("Tillförd olja (fossil) vid avfallsförbränning (GWh)",'Egen hetvattenprod'!$B$1:$BX$1,0),FALSE),"")</f>
        <v/>
      </c>
      <c r="BR126" s="227" t="str">
        <f>IF($BF126="ja",VLOOKUP($B126,Kraftvärmeprod!$B$1:$BX$550,MATCH("Tillförd olja (fossil) vid avfallsförbränning (GWh)",Kraftvärmeprod!$B$1:$BX$1,0),FALSE),"")</f>
        <v/>
      </c>
      <c r="BS126" s="227"/>
      <c r="BT126" s="227"/>
      <c r="BU126" s="227"/>
    </row>
    <row r="127" spans="1:73" x14ac:dyDescent="0.25">
      <c r="A127" s="121" t="str">
        <f>'Miljövärden för publ företag'!B130</f>
        <v>Kiruna Kraft AB</v>
      </c>
      <c r="B127" s="121" t="str">
        <f>'Miljövärden för publ företag'!C130</f>
        <v>Kiruna C</v>
      </c>
      <c r="C127" s="173">
        <f>IFERROR(VLOOKUP($B127,Totalt!$B$1:$AQ$554,MATCH(C$2,Totalt!$B$1:$AQ$1,0),FALSE),"")</f>
        <v>0</v>
      </c>
      <c r="D127" s="173">
        <f>IFERROR(VLOOKUP($B127,Totalt!$B$1:$AQ$554,MATCH(D$2,Totalt!$B$1:$AQ$1,0),FALSE),"")</f>
        <v>13.426</v>
      </c>
      <c r="E127" s="173">
        <f>IFERROR(VLOOKUP($B127,Totalt!$B$1:$AQ$554,MATCH(E$2,Totalt!$B$1:$AQ$1,0),FALSE),"")</f>
        <v>0</v>
      </c>
      <c r="F127" s="173">
        <f>IFERROR(VLOOKUP($B127,Totalt!$B$1:$AQ$554,MATCH(F$2,Totalt!$B$1:$AQ$1,0),FALSE),"")</f>
        <v>0</v>
      </c>
      <c r="G127" s="173">
        <f>IFERROR(VLOOKUP($B127,Totalt!$B$1:$AQ$554,MATCH(G$2,Totalt!$B$1:$AQ$1,0),FALSE),"")</f>
        <v>0</v>
      </c>
      <c r="H127" s="173">
        <f>IFERROR(VLOOKUP($B127,Totalt!$B$1:$AQ$554,MATCH(H$2,Totalt!$B$1:$AQ$1,0),FALSE),"")</f>
        <v>0</v>
      </c>
      <c r="I127" s="173">
        <f>IFERROR(VLOOKUP($B127,Totalt!$B$1:$AQ$554,MATCH(I$2,Totalt!$B$1:$AQ$1,0),FALSE),"")</f>
        <v>127.937</v>
      </c>
      <c r="J127" s="173">
        <f>IFERROR(VLOOKUP($B127,Totalt!$B$1:$AQ$554,MATCH(J$2,Totalt!$B$1:$AQ$1,0),FALSE),"")</f>
        <v>0</v>
      </c>
      <c r="K127" s="173">
        <f>IFERROR(VLOOKUP($B127,Totalt!$B$1:$AQ$554,MATCH(K$2,Totalt!$B$1:$AQ$1,0),FALSE),"")</f>
        <v>0</v>
      </c>
      <c r="L127" s="173">
        <f>IFERROR(VLOOKUP($B127,Totalt!$B$1:$AQ$554,MATCH(L$2,Totalt!$B$1:$AQ$1,0),FALSE),"")</f>
        <v>68.956800000000001</v>
      </c>
      <c r="M127" s="173">
        <f>IFERROR(VLOOKUP($B127,Totalt!$B$1:$AQ$554,MATCH(M$2,Totalt!$B$1:$AQ$1,0),FALSE),"")</f>
        <v>0</v>
      </c>
      <c r="N127" s="173">
        <f>IFERROR(VLOOKUP($B127,Totalt!$B$1:$AQ$554,MATCH(N$2,Totalt!$B$1:$AQ$1,0),FALSE),"")</f>
        <v>0</v>
      </c>
      <c r="O127" s="173">
        <f>IFERROR(VLOOKUP($B127,Totalt!$B$1:$AQ$554,MATCH(O$2,Totalt!$B$1:$AQ$1,0),FALSE),"")</f>
        <v>0</v>
      </c>
      <c r="P127" s="173">
        <f>IFERROR(VLOOKUP($B127,Totalt!$B$1:$AQ$554,MATCH(P$2,Totalt!$B$1:$AQ$1,0),FALSE),"")</f>
        <v>9.1365999999999996</v>
      </c>
      <c r="Q127" s="173">
        <f>IFERROR(VLOOKUP($B127,Totalt!$B$1:$AQ$554,MATCH(Q$2,Totalt!$B$1:$AQ$1,0),FALSE),"")</f>
        <v>0</v>
      </c>
      <c r="R127" s="173">
        <f>IFERROR(VLOOKUP($B127,Totalt!$B$1:$AQ$554,MATCH(R$2,Totalt!$B$1:$AQ$1,0),FALSE),"")</f>
        <v>2.8450000000000002</v>
      </c>
      <c r="S127" s="173">
        <f>IFERROR(VLOOKUP($B127,Totalt!$B$1:$AQ$554,MATCH(S$2,Totalt!$B$1:$AQ$1,0),FALSE),"")</f>
        <v>0</v>
      </c>
      <c r="T127" s="173">
        <f>IFERROR(VLOOKUP($B127,Totalt!$B$1:$AQ$554,MATCH(T$2,Totalt!$B$1:$AQ$1,0),FALSE),"")</f>
        <v>0</v>
      </c>
      <c r="U127" s="173">
        <f>IFERROR(VLOOKUP($B127,Totalt!$B$1:$AQ$554,MATCH(U$2,Totalt!$B$1:$AQ$1,0),FALSE),"")</f>
        <v>0</v>
      </c>
      <c r="V127" s="173">
        <f>IFERROR(VLOOKUP($B127,Totalt!$B$1:$AQ$554,MATCH(V$2,Totalt!$B$1:$AQ$1,0),FALSE),"")</f>
        <v>0</v>
      </c>
      <c r="W127" s="173">
        <f>IFERROR(VLOOKUP($B127,Totalt!$B$1:$AQ$554,MATCH(W$2,Totalt!$B$1:$AQ$1,0),FALSE),"")</f>
        <v>12.061</v>
      </c>
      <c r="X127" s="173">
        <f>IFERROR(VLOOKUP($B127,Totalt!$B$1:$AQ$554,MATCH(X$2,Totalt!$B$1:$AQ$1,0),FALSE),"")</f>
        <v>0</v>
      </c>
      <c r="Y127" s="173">
        <f>IFERROR(VLOOKUP($B127,Totalt!$B$1:$AQ$554,MATCH(Y$2,Totalt!$B$1:$AQ$1,0),FALSE),"")</f>
        <v>0</v>
      </c>
      <c r="Z127" s="173">
        <f>IFERROR(VLOOKUP($B127,Totalt!$B$1:$AQ$554,MATCH(Z$2,Totalt!$B$1:$AQ$1,0),FALSE),"")</f>
        <v>4.0380000000000003</v>
      </c>
      <c r="AA127" s="173">
        <f>IFERROR(VLOOKUP($B127,Totalt!$B$1:$AQ$554,MATCH(AA$2,Totalt!$B$1:$AQ$1,0),FALSE),"")</f>
        <v>0</v>
      </c>
      <c r="AB127" s="173">
        <f>IFERROR(VLOOKUP($B127,Totalt!$B$1:$AQ$554,MATCH(AB$2,Totalt!$B$1:$AQ$1,0),FALSE),"")</f>
        <v>0</v>
      </c>
      <c r="AC127" s="173">
        <f>IFERROR(VLOOKUP($B127,Totalt!$B$1:$AQ$554,MATCH(AC$2,Totalt!$B$1:$AQ$1,0),FALSE),"")</f>
        <v>17.306000000000001</v>
      </c>
      <c r="AD127" s="173">
        <f>IFERROR(VLOOKUP($B127,Totalt!$B$1:$AQ$554,MATCH(AD$2,Totalt!$B$1:$AQ$1,0),FALSE),"")</f>
        <v>27.863</v>
      </c>
      <c r="AE127" s="173">
        <f>IFERROR(VLOOKUP($B127,Totalt!$B$1:$AQ$554,MATCH(AE$2,Totalt!$B$1:$AQ$1,0),FALSE),"")</f>
        <v>0</v>
      </c>
      <c r="AF127" s="173">
        <f>IFERROR(VLOOKUP($B127,Totalt!$B$1:$AQ$554,MATCH(AF$2,Totalt!$B$1:$AQ$1,0),FALSE),"")</f>
        <v>9.8164300000000004</v>
      </c>
      <c r="AG127" s="173">
        <f>IFERROR(VLOOKUP($B127,Totalt!$B$1:$AQ$554,MATCH(AG$2,Totalt!$B$1:$AQ$1,0),FALSE),"")</f>
        <v>0</v>
      </c>
      <c r="AI127" s="226">
        <f t="shared" si="6"/>
        <v>293.38583</v>
      </c>
      <c r="AJ127" s="226">
        <f>IF(ISERROR(1/VLOOKUP($B127,Leveranser!$B$1:$S$500,MATCH("såld värme (gwh)",Leveranser!$B$1:$S$1,0),FALSE)),"",VLOOKUP($B127,Leveranser!$B$1:$S$500,MATCH("såld värme (gwh)",Leveranser!$B$1:$S$1,0),FALSE))</f>
        <v>200.06800000000001</v>
      </c>
      <c r="AM127" s="227" t="str">
        <f>IF(B127&lt;&gt;"",IF(VLOOKUP($B127,Totalt!$B$1:$AQ$554,MATCH("Kvalitetsgranskad:",Totalt!$B$1:$AQ$1,0),FALSE)="ja",VLOOKUP($B127,Miljö!$B$1:$AG$479,MATCH(AM$2,Miljö!$B$1:$AK$1,0),FALSE),""),"")</f>
        <v>Ja</v>
      </c>
      <c r="AN127" s="227" t="str">
        <f>IF(AM127="ja",VLOOKUP($B127,Miljö!$B$1:$J$479,MATCH("Typ av ursprungsspecificerad el   (Om inget värde anges används Nordisk residualmix, se inforuta) ()",Miljö!$B$1:$J$1,0),FALSE),IF(AM127="nej","Nordisk residualel",""))</f>
        <v>'Mix av nordisk residualmix och förnyelsebart'</v>
      </c>
      <c r="AO127" s="227">
        <f>IF(AM127="","",VLOOKUP($B127,Miljö!$B$1:$J$479,MATCH("Fossilandel för ursprungspecificerad el ()",Miljö!$B$1:$J$1,0),FALSE))</f>
        <v>0.32</v>
      </c>
      <c r="AP127" s="227">
        <f>IF(AM127="","",IFERROR(VLOOKUP($B127,Miljö!$B$1:$J$479,MATCH("Kärnkraftsandel för ursprungsspecificerad el ()",Miljö!$B$1:$J$1,0),FALSE)/1,0))</f>
        <v>0.3</v>
      </c>
      <c r="AQ127" s="227">
        <f t="shared" si="7"/>
        <v>0.37999999999999995</v>
      </c>
      <c r="AR127" s="227"/>
      <c r="AS127" s="227" t="str">
        <f t="shared" si="8"/>
        <v>Nej</v>
      </c>
      <c r="AT127" s="227" t="str">
        <f>IF(AS127="ja",VLOOKUP($B127,Miljö!$B$1:$O$500,MATCH("Fossil andel i procent (%)",Miljö!$B$1:$O$1,0),FALSE)/100,"")</f>
        <v/>
      </c>
      <c r="AU127" s="227"/>
      <c r="AV127" s="227" t="str">
        <f t="shared" si="9"/>
        <v>Nej</v>
      </c>
      <c r="AW127" s="227" t="str">
        <f>IF(AV127="ja",VLOOKUP($B127,'Egen hetvattenprod'!$B$1:$AO$500,MATCH("Värmekälla till värmepumpar ()",'Egen hetvattenprod'!$B$1:$AO$1,0),FALSE),"")</f>
        <v/>
      </c>
      <c r="AX127" s="227"/>
      <c r="AY127" s="227" t="str">
        <f t="shared" si="10"/>
        <v>Ja</v>
      </c>
      <c r="AZ127" s="228">
        <f>IF($AY127="ja",(VLOOKUP($B127,'Egen hetvattenprod'!$B$1:$BX$550,MATCH(AZ$2,'Egen hetvattenprod'!$B$1:$BX$1,0),FALSE)+VLOOKUP($B127,Kraftvärmeprod!$B$1:$BX$550,MATCH(AZ$2,Kraftvärmeprod!$B$1:$BX$1,0),FALSE))/$AC127,"")</f>
        <v>0.05</v>
      </c>
      <c r="BA127" s="228">
        <f>IF($AY127="ja",(VLOOKUP($B127,'Egen hetvattenprod'!$B$1:$BX$550,MATCH(BA$2,'Egen hetvattenprod'!$B$1:$BX$1,0),FALSE)+VLOOKUP($B127,Kraftvärmeprod!$B$1:$BX$550,MATCH(BA$2,Kraftvärmeprod!$B$1:$BX$1,0),FALSE))/$AC127,"")</f>
        <v>0.95</v>
      </c>
      <c r="BB127" s="228">
        <f>IF($AY127="ja",(VLOOKUP($B127,'Egen hetvattenprod'!$B$1:$BX$550,MATCH(BB$2,'Egen hetvattenprod'!$B$1:$BX$1,0),FALSE)+VLOOKUP($B127,Kraftvärmeprod!$B$1:$BX$550,MATCH(BB$2,Kraftvärmeprod!$B$1:$BX$1,0),FALSE))/$AC127,"")</f>
        <v>0</v>
      </c>
      <c r="BC127" s="228">
        <f>IF($AY127="ja",(VLOOKUP($B127,'Egen hetvattenprod'!$B$1:$BX$550,MATCH(BC$2,'Egen hetvattenprod'!$B$1:$BX$1,0),FALSE)+VLOOKUP($B127,Kraftvärmeprod!$B$1:$BX$550,MATCH(BC$2,Kraftvärmeprod!$B$1:$BX$1,0),FALSE))/$AC127,"")</f>
        <v>0</v>
      </c>
      <c r="BD127" s="228">
        <f>IF($AY127="ja",(VLOOKUP($B127,'Egen hetvattenprod'!$B$1:$BX$550,MATCH(BD$2,'Egen hetvattenprod'!$B$1:$BX$1,0),FALSE)+VLOOKUP($B127,Kraftvärmeprod!$B$1:$BX$550,MATCH(BD$2,Kraftvärmeprod!$B$1:$BX$1,0),FALSE))/$AC127,"")</f>
        <v>0</v>
      </c>
      <c r="BE127" s="227"/>
      <c r="BF127" s="227" t="str">
        <f t="shared" si="11"/>
        <v>Ja</v>
      </c>
      <c r="BG127" s="227" t="str">
        <f>IF($BF127="ja",VLOOKUP($B127,'Egen hetvattenprod'!$B$1:$BX$550,MATCH("Andelen klimatgaser med fossilt ursprung för avfall ()",'Egen hetvattenprod'!$B$1:$BX$1,0),FALSE),"")</f>
        <v>Ingen redovisning</v>
      </c>
      <c r="BH127" s="227" t="str">
        <f>IF($BF127="ja",VLOOKUP($B127,Kraftvärmeprod!$B$1:$BX$550,MATCH("Andelen klimatgaser med fossilt ursprung för avfall ()",Kraftvärmeprod!$B$1:$BX$1,0),FALSE),"")</f>
        <v>Schablon</v>
      </c>
      <c r="BI127" s="227" t="str">
        <f>IF($BF127="ja",VLOOKUP($B127,'Egen hetvattenprod'!$B$1:$BX$550,MATCH("Avfall (GWh)",'Egen hetvattenprod'!$B$1:$BX$1,0),FALSE),"")</f>
        <v>ET</v>
      </c>
      <c r="BJ127" s="227">
        <f>IF($BF127="ja",VLOOKUP($B127,'Slutlig allokering kvv'!$B$1:$BX$550,MATCH("Avfall (GWh)",'Slutlig allokering kvv'!$B$1:$BX$1,0),FALSE),"")</f>
        <v>127.937</v>
      </c>
      <c r="BK127" s="227">
        <f>IF($BF127="ja",VLOOKUP($B127,'Köpt hetvatten'!$B$1:$BX$550,MATCH("Avfall i köpt hetvatten",'Köpt hetvatten'!$B$1:$BX$1,0),FALSE),"")</f>
        <v>0</v>
      </c>
      <c r="BL127" s="227" t="str">
        <f>IF($BF127="ja",VLOOKUP($B127,'Egen hetvattenprod'!$B$1:$BX$550,MATCH("Värde enligt ovan. (%)",'Egen hetvattenprod'!$B$1:$BX$1,0),FALSE),"")</f>
        <v>ET</v>
      </c>
      <c r="BM127" s="227">
        <f>IF($BF127="ja",VLOOKUP($B127,Kraftvärmeprod!$B$1:$BX$550,MATCH("Värde enligt ovan. (%)",Kraftvärmeprod!$B$1:$BX$1,0),FALSE),"")</f>
        <v>40.5</v>
      </c>
      <c r="BN127" s="227"/>
      <c r="BO127" s="227"/>
      <c r="BP127" s="227"/>
      <c r="BQ127" s="227" t="str">
        <f>IF($BF127="ja",VLOOKUP($B127,'Egen hetvattenprod'!$B$1:$BX$550,MATCH("Tillförd olja (fossil) vid avfallsförbränning (GWh)",'Egen hetvattenprod'!$B$1:$BX$1,0),FALSE),"")</f>
        <v>ET</v>
      </c>
      <c r="BR127" s="227" t="str">
        <f>IF($BF127="ja",VLOOKUP($B127,Kraftvärmeprod!$B$1:$BX$550,MATCH("Tillförd olja (fossil) vid avfallsförbränning (GWh)",Kraftvärmeprod!$B$1:$BX$1,0),FALSE),"")</f>
        <v>DS</v>
      </c>
      <c r="BS127" s="227"/>
      <c r="BT127" s="227"/>
      <c r="BU127" s="227"/>
    </row>
    <row r="128" spans="1:73" x14ac:dyDescent="0.25">
      <c r="A128" s="121" t="str">
        <f>'Miljövärden för publ företag'!B131</f>
        <v>Kiruna Kraft AB</v>
      </c>
      <c r="B128" s="121" t="str">
        <f>'Miljövärden för publ företag'!C131</f>
        <v>Vittangi</v>
      </c>
      <c r="C128" s="173">
        <f>IFERROR(VLOOKUP($B128,Totalt!$B$1:$AQ$554,MATCH(C$2,Totalt!$B$1:$AQ$1,0),FALSE),"")</f>
        <v>0</v>
      </c>
      <c r="D128" s="173">
        <f>IFERROR(VLOOKUP($B128,Totalt!$B$1:$AQ$554,MATCH(D$2,Totalt!$B$1:$AQ$1,0),FALSE),"")</f>
        <v>1.9470000000000001</v>
      </c>
      <c r="E128" s="173">
        <f>IFERROR(VLOOKUP($B128,Totalt!$B$1:$AQ$554,MATCH(E$2,Totalt!$B$1:$AQ$1,0),FALSE),"")</f>
        <v>0</v>
      </c>
      <c r="F128" s="173">
        <f>IFERROR(VLOOKUP($B128,Totalt!$B$1:$AQ$554,MATCH(F$2,Totalt!$B$1:$AQ$1,0),FALSE),"")</f>
        <v>0</v>
      </c>
      <c r="G128" s="173">
        <f>IFERROR(VLOOKUP($B128,Totalt!$B$1:$AQ$554,MATCH(G$2,Totalt!$B$1:$AQ$1,0),FALSE),"")</f>
        <v>0</v>
      </c>
      <c r="H128" s="173">
        <f>IFERROR(VLOOKUP($B128,Totalt!$B$1:$AQ$554,MATCH(H$2,Totalt!$B$1:$AQ$1,0),FALSE),"")</f>
        <v>0</v>
      </c>
      <c r="I128" s="173">
        <f>IFERROR(VLOOKUP($B128,Totalt!$B$1:$AQ$554,MATCH(I$2,Totalt!$B$1:$AQ$1,0),FALSE),"")</f>
        <v>0</v>
      </c>
      <c r="J128" s="173">
        <f>IFERROR(VLOOKUP($B128,Totalt!$B$1:$AQ$554,MATCH(J$2,Totalt!$B$1:$AQ$1,0),FALSE),"")</f>
        <v>0</v>
      </c>
      <c r="K128" s="173">
        <f>IFERROR(VLOOKUP($B128,Totalt!$B$1:$AQ$554,MATCH(K$2,Totalt!$B$1:$AQ$1,0),FALSE),"")</f>
        <v>0</v>
      </c>
      <c r="L128" s="173">
        <f>IFERROR(VLOOKUP($B128,Totalt!$B$1:$AQ$554,MATCH(L$2,Totalt!$B$1:$AQ$1,0),FALSE),"")</f>
        <v>0</v>
      </c>
      <c r="M128" s="173">
        <f>IFERROR(VLOOKUP($B128,Totalt!$B$1:$AQ$554,MATCH(M$2,Totalt!$B$1:$AQ$1,0),FALSE),"")</f>
        <v>0</v>
      </c>
      <c r="N128" s="173">
        <f>IFERROR(VLOOKUP($B128,Totalt!$B$1:$AQ$554,MATCH(N$2,Totalt!$B$1:$AQ$1,0),FALSE),"")</f>
        <v>0</v>
      </c>
      <c r="O128" s="173">
        <f>IFERROR(VLOOKUP($B128,Totalt!$B$1:$AQ$554,MATCH(O$2,Totalt!$B$1:$AQ$1,0),FALSE),"")</f>
        <v>0</v>
      </c>
      <c r="P128" s="173">
        <f>IFERROR(VLOOKUP($B128,Totalt!$B$1:$AQ$554,MATCH(P$2,Totalt!$B$1:$AQ$1,0),FALSE),"")</f>
        <v>8.6809999999999992</v>
      </c>
      <c r="Q128" s="173">
        <f>IFERROR(VLOOKUP($B128,Totalt!$B$1:$AQ$554,MATCH(Q$2,Totalt!$B$1:$AQ$1,0),FALSE),"")</f>
        <v>0</v>
      </c>
      <c r="R128" s="173">
        <f>IFERROR(VLOOKUP($B128,Totalt!$B$1:$AQ$554,MATCH(R$2,Totalt!$B$1:$AQ$1,0),FALSE),"")</f>
        <v>0</v>
      </c>
      <c r="S128" s="173">
        <f>IFERROR(VLOOKUP($B128,Totalt!$B$1:$AQ$554,MATCH(S$2,Totalt!$B$1:$AQ$1,0),FALSE),"")</f>
        <v>0</v>
      </c>
      <c r="T128" s="173">
        <f>IFERROR(VLOOKUP($B128,Totalt!$B$1:$AQ$554,MATCH(T$2,Totalt!$B$1:$AQ$1,0),FALSE),"")</f>
        <v>0</v>
      </c>
      <c r="U128" s="173">
        <f>IFERROR(VLOOKUP($B128,Totalt!$B$1:$AQ$554,MATCH(U$2,Totalt!$B$1:$AQ$1,0),FALSE),"")</f>
        <v>0</v>
      </c>
      <c r="V128" s="173">
        <f>IFERROR(VLOOKUP($B128,Totalt!$B$1:$AQ$554,MATCH(V$2,Totalt!$B$1:$AQ$1,0),FALSE),"")</f>
        <v>0</v>
      </c>
      <c r="W128" s="173">
        <f>IFERROR(VLOOKUP($B128,Totalt!$B$1:$AQ$554,MATCH(W$2,Totalt!$B$1:$AQ$1,0),FALSE),"")</f>
        <v>0</v>
      </c>
      <c r="X128" s="173">
        <f>IFERROR(VLOOKUP($B128,Totalt!$B$1:$AQ$554,MATCH(X$2,Totalt!$B$1:$AQ$1,0),FALSE),"")</f>
        <v>0</v>
      </c>
      <c r="Y128" s="173">
        <f>IFERROR(VLOOKUP($B128,Totalt!$B$1:$AQ$554,MATCH(Y$2,Totalt!$B$1:$AQ$1,0),FALSE),"")</f>
        <v>0</v>
      </c>
      <c r="Z128" s="173">
        <f>IFERROR(VLOOKUP($B128,Totalt!$B$1:$AQ$554,MATCH(Z$2,Totalt!$B$1:$AQ$1,0),FALSE),"")</f>
        <v>0.443</v>
      </c>
      <c r="AA128" s="173">
        <f>IFERROR(VLOOKUP($B128,Totalt!$B$1:$AQ$554,MATCH(AA$2,Totalt!$B$1:$AQ$1,0),FALSE),"")</f>
        <v>0</v>
      </c>
      <c r="AB128" s="173">
        <f>IFERROR(VLOOKUP($B128,Totalt!$B$1:$AQ$554,MATCH(AB$2,Totalt!$B$1:$AQ$1,0),FALSE),"")</f>
        <v>0</v>
      </c>
      <c r="AC128" s="173">
        <f>IFERROR(VLOOKUP($B128,Totalt!$B$1:$AQ$554,MATCH(AC$2,Totalt!$B$1:$AQ$1,0),FALSE),"")</f>
        <v>0</v>
      </c>
      <c r="AD128" s="173">
        <f>IFERROR(VLOOKUP($B128,Totalt!$B$1:$AQ$554,MATCH(AD$2,Totalt!$B$1:$AQ$1,0),FALSE),"")</f>
        <v>0</v>
      </c>
      <c r="AE128" s="173">
        <f>IFERROR(VLOOKUP($B128,Totalt!$B$1:$AQ$554,MATCH(AE$2,Totalt!$B$1:$AQ$1,0),FALSE),"")</f>
        <v>0</v>
      </c>
      <c r="AF128" s="173">
        <f>IFERROR(VLOOKUP($B128,Totalt!$B$1:$AQ$554,MATCH(AF$2,Totalt!$B$1:$AQ$1,0),FALSE),"")</f>
        <v>0.154</v>
      </c>
      <c r="AG128" s="173">
        <f>IFERROR(VLOOKUP($B128,Totalt!$B$1:$AQ$554,MATCH(AG$2,Totalt!$B$1:$AQ$1,0),FALSE),"")</f>
        <v>0</v>
      </c>
      <c r="AI128" s="226">
        <f t="shared" si="6"/>
        <v>11.225</v>
      </c>
      <c r="AJ128" s="226">
        <f>IF(ISERROR(1/VLOOKUP($B128,Leveranser!$B$1:$S$500,MATCH("såld värme (gwh)",Leveranser!$B$1:$S$1,0),FALSE)),"",VLOOKUP($B128,Leveranser!$B$1:$S$500,MATCH("såld värme (gwh)",Leveranser!$B$1:$S$1,0),FALSE))</f>
        <v>5.7569999999999997</v>
      </c>
      <c r="AM128" s="227" t="str">
        <f>IF(B128&lt;&gt;"",IF(VLOOKUP($B128,Totalt!$B$1:$AQ$554,MATCH("Kvalitetsgranskad:",Totalt!$B$1:$AQ$1,0),FALSE)="ja",VLOOKUP($B128,Miljö!$B$1:$AG$479,MATCH(AM$2,Miljö!$B$1:$AK$1,0),FALSE),""),"")</f>
        <v>Ja</v>
      </c>
      <c r="AN128" s="227" t="str">
        <f>IF(AM128="ja",VLOOKUP($B128,Miljö!$B$1:$J$479,MATCH("Typ av ursprungsspecificerad el   (Om inget värde anges används Nordisk residualmix, se inforuta) ()",Miljö!$B$1:$J$1,0),FALSE),IF(AM128="nej","Nordisk residualel",""))</f>
        <v>'Mix av Nordisk residualmix och förnyelsebart'</v>
      </c>
      <c r="AO128" s="227">
        <f>IF(AM128="","",VLOOKUP($B128,Miljö!$B$1:$J$479,MATCH("Fossilandel för ursprungspecificerad el ()",Miljö!$B$1:$J$1,0),FALSE))</f>
        <v>0.11</v>
      </c>
      <c r="AP128" s="227">
        <f>IF(AM128="","",IFERROR(VLOOKUP($B128,Miljö!$B$1:$J$479,MATCH("Kärnkraftsandel för ursprungsspecificerad el ()",Miljö!$B$1:$J$1,0),FALSE)/1,0))</f>
        <v>0.1</v>
      </c>
      <c r="AQ128" s="227">
        <f t="shared" si="7"/>
        <v>0.79</v>
      </c>
      <c r="AR128" s="227"/>
      <c r="AS128" s="227" t="str">
        <f t="shared" si="8"/>
        <v>Nej</v>
      </c>
      <c r="AT128" s="227" t="str">
        <f>IF(AS128="ja",VLOOKUP($B128,Miljö!$B$1:$O$500,MATCH("Fossil andel i procent (%)",Miljö!$B$1:$O$1,0),FALSE)/100,"")</f>
        <v/>
      </c>
      <c r="AU128" s="227"/>
      <c r="AV128" s="227" t="str">
        <f t="shared" si="9"/>
        <v>Nej</v>
      </c>
      <c r="AW128" s="227" t="str">
        <f>IF(AV128="ja",VLOOKUP($B128,'Egen hetvattenprod'!$B$1:$AO$500,MATCH("Värmekälla till värmepumpar ()",'Egen hetvattenprod'!$B$1:$AO$1,0),FALSE),"")</f>
        <v/>
      </c>
      <c r="AX128" s="227"/>
      <c r="AY128" s="227" t="str">
        <f t="shared" si="10"/>
        <v>Nej</v>
      </c>
      <c r="AZ128" s="228" t="str">
        <f>IF($AY128="ja",(VLOOKUP($B128,'Egen hetvattenprod'!$B$1:$BX$550,MATCH(AZ$2,'Egen hetvattenprod'!$B$1:$BX$1,0),FALSE)+VLOOKUP($B128,Kraftvärmeprod!$B$1:$BX$550,MATCH(AZ$2,Kraftvärmeprod!$B$1:$BX$1,0),FALSE))/$AC128,"")</f>
        <v/>
      </c>
      <c r="BA128" s="228" t="str">
        <f>IF($AY128="ja",(VLOOKUP($B128,'Egen hetvattenprod'!$B$1:$BX$550,MATCH(BA$2,'Egen hetvattenprod'!$B$1:$BX$1,0),FALSE)+VLOOKUP($B128,Kraftvärmeprod!$B$1:$BX$550,MATCH(BA$2,Kraftvärmeprod!$B$1:$BX$1,0),FALSE))/$AC128,"")</f>
        <v/>
      </c>
      <c r="BB128" s="228" t="str">
        <f>IF($AY128="ja",(VLOOKUP($B128,'Egen hetvattenprod'!$B$1:$BX$550,MATCH(BB$2,'Egen hetvattenprod'!$B$1:$BX$1,0),FALSE)+VLOOKUP($B128,Kraftvärmeprod!$B$1:$BX$550,MATCH(BB$2,Kraftvärmeprod!$B$1:$BX$1,0),FALSE))/$AC128,"")</f>
        <v/>
      </c>
      <c r="BC128" s="228" t="str">
        <f>IF($AY128="ja",(VLOOKUP($B128,'Egen hetvattenprod'!$B$1:$BX$550,MATCH(BC$2,'Egen hetvattenprod'!$B$1:$BX$1,0),FALSE)+VLOOKUP($B128,Kraftvärmeprod!$B$1:$BX$550,MATCH(BC$2,Kraftvärmeprod!$B$1:$BX$1,0),FALSE))/$AC128,"")</f>
        <v/>
      </c>
      <c r="BD128" s="228" t="str">
        <f>IF($AY128="ja",(VLOOKUP($B128,'Egen hetvattenprod'!$B$1:$BX$550,MATCH(BD$2,'Egen hetvattenprod'!$B$1:$BX$1,0),FALSE)+VLOOKUP($B128,Kraftvärmeprod!$B$1:$BX$550,MATCH(BD$2,Kraftvärmeprod!$B$1:$BX$1,0),FALSE))/$AC128,"")</f>
        <v/>
      </c>
      <c r="BE128" s="227"/>
      <c r="BF128" s="227" t="str">
        <f t="shared" si="11"/>
        <v>Nej</v>
      </c>
      <c r="BG128" s="227" t="str">
        <f>IF($BF128="ja",VLOOKUP($B128,'Egen hetvattenprod'!$B$1:$BX$550,MATCH("Andelen klimatgaser med fossilt ursprung för avfall ()",'Egen hetvattenprod'!$B$1:$BX$1,0),FALSE),"")</f>
        <v/>
      </c>
      <c r="BH128" s="227" t="str">
        <f>IF($BF128="ja",VLOOKUP($B128,Kraftvärmeprod!$B$1:$BX$550,MATCH("Andelen klimatgaser med fossilt ursprung för avfall ()",Kraftvärmeprod!$B$1:$BX$1,0),FALSE),"")</f>
        <v/>
      </c>
      <c r="BI128" s="227" t="str">
        <f>IF($BF128="ja",VLOOKUP($B128,'Egen hetvattenprod'!$B$1:$BX$550,MATCH("Avfall (GWh)",'Egen hetvattenprod'!$B$1:$BX$1,0),FALSE),"")</f>
        <v/>
      </c>
      <c r="BJ128" s="227" t="str">
        <f>IF($BF128="ja",VLOOKUP($B128,'Slutlig allokering kvv'!$B$1:$BX$550,MATCH("Avfall (GWh)",'Slutlig allokering kvv'!$B$1:$BX$1,0),FALSE),"")</f>
        <v/>
      </c>
      <c r="BK128" s="227" t="str">
        <f>IF($BF128="ja",VLOOKUP($B128,'Köpt hetvatten'!$B$1:$BX$550,MATCH("Avfall i köpt hetvatten",'Köpt hetvatten'!$B$1:$BX$1,0),FALSE),"")</f>
        <v/>
      </c>
      <c r="BL128" s="227" t="str">
        <f>IF($BF128="ja",VLOOKUP($B128,'Egen hetvattenprod'!$B$1:$BX$550,MATCH("Värde enligt ovan. (%)",'Egen hetvattenprod'!$B$1:$BX$1,0),FALSE),"")</f>
        <v/>
      </c>
      <c r="BM128" s="227" t="str">
        <f>IF($BF128="ja",VLOOKUP($B128,Kraftvärmeprod!$B$1:$BX$550,MATCH("Värde enligt ovan. (%)",Kraftvärmeprod!$B$1:$BX$1,0),FALSE),"")</f>
        <v/>
      </c>
      <c r="BN128" s="227"/>
      <c r="BO128" s="227"/>
      <c r="BP128" s="227"/>
      <c r="BQ128" s="227" t="str">
        <f>IF($BF128="ja",VLOOKUP($B128,'Egen hetvattenprod'!$B$1:$BX$550,MATCH("Tillförd olja (fossil) vid avfallsförbränning (GWh)",'Egen hetvattenprod'!$B$1:$BX$1,0),FALSE),"")</f>
        <v/>
      </c>
      <c r="BR128" s="227" t="str">
        <f>IF($BF128="ja",VLOOKUP($B128,Kraftvärmeprod!$B$1:$BX$550,MATCH("Tillförd olja (fossil) vid avfallsförbränning (GWh)",Kraftvärmeprod!$B$1:$BX$1,0),FALSE),"")</f>
        <v/>
      </c>
      <c r="BS128" s="227"/>
      <c r="BT128" s="227"/>
      <c r="BU128" s="227"/>
    </row>
    <row r="129" spans="1:73" x14ac:dyDescent="0.25">
      <c r="A129" s="121" t="str">
        <f>'Miljövärden för publ företag'!B132</f>
        <v>Kraftringen Energi AB (publ)</v>
      </c>
      <c r="B129" s="121" t="str">
        <f>'Miljövärden för publ företag'!C132</f>
        <v>Eslöv-Lund-Lomma m fl</v>
      </c>
      <c r="C129" s="173">
        <f>IFERROR(VLOOKUP($B129,Totalt!$B$1:$AQ$554,MATCH(C$2,Totalt!$B$1:$AQ$1,0),FALSE),"")</f>
        <v>0</v>
      </c>
      <c r="D129" s="173">
        <f>IFERROR(VLOOKUP($B129,Totalt!$B$1:$AQ$554,MATCH(D$2,Totalt!$B$1:$AQ$1,0),FALSE),"")</f>
        <v>0</v>
      </c>
      <c r="E129" s="173">
        <f>IFERROR(VLOOKUP($B129,Totalt!$B$1:$AQ$554,MATCH(E$2,Totalt!$B$1:$AQ$1,0),FALSE),"")</f>
        <v>0</v>
      </c>
      <c r="F129" s="173">
        <f>IFERROR(VLOOKUP($B129,Totalt!$B$1:$AQ$554,MATCH(F$2,Totalt!$B$1:$AQ$1,0),FALSE),"")</f>
        <v>0</v>
      </c>
      <c r="G129" s="173">
        <f>IFERROR(VLOOKUP($B129,Totalt!$B$1:$AQ$554,MATCH(G$2,Totalt!$B$1:$AQ$1,0),FALSE),"")</f>
        <v>0</v>
      </c>
      <c r="H129" s="173">
        <f>IFERROR(VLOOKUP($B129,Totalt!$B$1:$AQ$554,MATCH(H$2,Totalt!$B$1:$AQ$1,0),FALSE),"")</f>
        <v>0</v>
      </c>
      <c r="I129" s="173">
        <f>IFERROR(VLOOKUP($B129,Totalt!$B$1:$AQ$554,MATCH(I$2,Totalt!$B$1:$AQ$1,0),FALSE),"")</f>
        <v>0</v>
      </c>
      <c r="J129" s="173">
        <f>IFERROR(VLOOKUP($B129,Totalt!$B$1:$AQ$554,MATCH(J$2,Totalt!$B$1:$AQ$1,0),FALSE),"")</f>
        <v>26.567</v>
      </c>
      <c r="K129" s="173">
        <f>IFERROR(VLOOKUP($B129,Totalt!$B$1:$AQ$554,MATCH(K$2,Totalt!$B$1:$AQ$1,0),FALSE),"")</f>
        <v>0</v>
      </c>
      <c r="L129" s="173">
        <f>IFERROR(VLOOKUP($B129,Totalt!$B$1:$AQ$554,MATCH(L$2,Totalt!$B$1:$AQ$1,0),FALSE),"")</f>
        <v>174.846</v>
      </c>
      <c r="M129" s="173">
        <f>IFERROR(VLOOKUP($B129,Totalt!$B$1:$AQ$554,MATCH(M$2,Totalt!$B$1:$AQ$1,0),FALSE),"")</f>
        <v>0</v>
      </c>
      <c r="N129" s="173">
        <f>IFERROR(VLOOKUP($B129,Totalt!$B$1:$AQ$554,MATCH(N$2,Totalt!$B$1:$AQ$1,0),FALSE),"")</f>
        <v>0</v>
      </c>
      <c r="O129" s="173">
        <f>IFERROR(VLOOKUP($B129,Totalt!$B$1:$AQ$554,MATCH(O$2,Totalt!$B$1:$AQ$1,0),FALSE),"")</f>
        <v>0</v>
      </c>
      <c r="P129" s="173">
        <f>IFERROR(VLOOKUP($B129,Totalt!$B$1:$AQ$554,MATCH(P$2,Totalt!$B$1:$AQ$1,0),FALSE),"")</f>
        <v>198.958</v>
      </c>
      <c r="Q129" s="173">
        <f>IFERROR(VLOOKUP($B129,Totalt!$B$1:$AQ$554,MATCH(Q$2,Totalt!$B$1:$AQ$1,0),FALSE),"")</f>
        <v>27.692900000000002</v>
      </c>
      <c r="R129" s="173">
        <f>IFERROR(VLOOKUP($B129,Totalt!$B$1:$AQ$554,MATCH(R$2,Totalt!$B$1:$AQ$1,0),FALSE),"")</f>
        <v>8.7390000000000008</v>
      </c>
      <c r="S129" s="173">
        <f>IFERROR(VLOOKUP($B129,Totalt!$B$1:$AQ$554,MATCH(S$2,Totalt!$B$1:$AQ$1,0),FALSE),"")</f>
        <v>0</v>
      </c>
      <c r="T129" s="173">
        <f>IFERROR(VLOOKUP($B129,Totalt!$B$1:$AQ$554,MATCH(T$2,Totalt!$B$1:$AQ$1,0),FALSE),"")</f>
        <v>0</v>
      </c>
      <c r="U129" s="173">
        <f>IFERROR(VLOOKUP($B129,Totalt!$B$1:$AQ$554,MATCH(U$2,Totalt!$B$1:$AQ$1,0),FALSE),"")</f>
        <v>0</v>
      </c>
      <c r="V129" s="173">
        <f>IFERROR(VLOOKUP($B129,Totalt!$B$1:$AQ$554,MATCH(V$2,Totalt!$B$1:$AQ$1,0),FALSE),"")</f>
        <v>0</v>
      </c>
      <c r="W129" s="173">
        <f>IFERROR(VLOOKUP($B129,Totalt!$B$1:$AQ$554,MATCH(W$2,Totalt!$B$1:$AQ$1,0),FALSE),"")</f>
        <v>72.75</v>
      </c>
      <c r="X129" s="173">
        <f>IFERROR(VLOOKUP($B129,Totalt!$B$1:$AQ$554,MATCH(X$2,Totalt!$B$1:$AQ$1,0),FALSE),"")</f>
        <v>0</v>
      </c>
      <c r="Y129" s="173">
        <f>IFERROR(VLOOKUP($B129,Totalt!$B$1:$AQ$554,MATCH(Y$2,Totalt!$B$1:$AQ$1,0),FALSE),"")</f>
        <v>8.9529999999999994</v>
      </c>
      <c r="Z129" s="173">
        <f>IFERROR(VLOOKUP($B129,Totalt!$B$1:$AQ$554,MATCH(Z$2,Totalt!$B$1:$AQ$1,0),FALSE),"")</f>
        <v>0</v>
      </c>
      <c r="AA129" s="173">
        <f>IFERROR(VLOOKUP($B129,Totalt!$B$1:$AQ$554,MATCH(AA$2,Totalt!$B$1:$AQ$1,0),FALSE),"")</f>
        <v>67.361999999999995</v>
      </c>
      <c r="AB129" s="173">
        <f>IFERROR(VLOOKUP($B129,Totalt!$B$1:$AQ$554,MATCH(AB$2,Totalt!$B$1:$AQ$1,0),FALSE),"")</f>
        <v>147.76400000000001</v>
      </c>
      <c r="AC129" s="173">
        <f>IFERROR(VLOOKUP($B129,Totalt!$B$1:$AQ$554,MATCH(AC$2,Totalt!$B$1:$AQ$1,0),FALSE),"")</f>
        <v>87.361000000000004</v>
      </c>
      <c r="AD129" s="173">
        <f>IFERROR(VLOOKUP($B129,Totalt!$B$1:$AQ$554,MATCH(AD$2,Totalt!$B$1:$AQ$1,0),FALSE),"")</f>
        <v>21.547999999999998</v>
      </c>
      <c r="AE129" s="173">
        <f>IFERROR(VLOOKUP($B129,Totalt!$B$1:$AQ$554,MATCH(AE$2,Totalt!$B$1:$AQ$1,0),FALSE),"")</f>
        <v>0</v>
      </c>
      <c r="AF129" s="173">
        <f>IFERROR(VLOOKUP($B129,Totalt!$B$1:$AQ$554,MATCH(AF$2,Totalt!$B$1:$AQ$1,0),FALSE),"")</f>
        <v>25.08</v>
      </c>
      <c r="AG129" s="173">
        <f>IFERROR(VLOOKUP($B129,Totalt!$B$1:$AQ$554,MATCH(AG$2,Totalt!$B$1:$AQ$1,0),FALSE),"")</f>
        <v>155.64599999999999</v>
      </c>
      <c r="AI129" s="226">
        <f t="shared" si="6"/>
        <v>1023.2669</v>
      </c>
      <c r="AJ129" s="226">
        <f>IF(ISERROR(1/VLOOKUP($B129,Leveranser!$B$1:$S$500,MATCH("såld värme (gwh)",Leveranser!$B$1:$S$1,0),FALSE)),"",VLOOKUP($B129,Leveranser!$B$1:$S$500,MATCH("såld värme (gwh)",Leveranser!$B$1:$S$1,0),FALSE))</f>
        <v>836</v>
      </c>
      <c r="AM129" s="227" t="str">
        <f>IF(B129&lt;&gt;"",IF(VLOOKUP($B129,Totalt!$B$1:$AQ$554,MATCH("Kvalitetsgranskad:",Totalt!$B$1:$AQ$1,0),FALSE)="ja",VLOOKUP($B129,Miljö!$B$1:$AG$479,MATCH(AM$2,Miljö!$B$1:$AK$1,0),FALSE),""),"")</f>
        <v>Ja</v>
      </c>
      <c r="AN129" s="227" t="str">
        <f>IF(AM129="ja",VLOOKUP($B129,Miljö!$B$1:$J$479,MATCH("Typ av ursprungsspecificerad el   (Om inget värde anges används Nordisk residualmix, se inforuta) ()",Miljö!$B$1:$J$1,0),FALSE),IF(AM129="nej","Nordisk residualel",""))</f>
        <v>'biokraft. vindkraft'</v>
      </c>
      <c r="AO129" s="227">
        <f>IF(AM129="","",VLOOKUP($B129,Miljö!$B$1:$J$479,MATCH("Fossilandel för ursprungspecificerad el ()",Miljö!$B$1:$J$1,0),FALSE))</f>
        <v>0</v>
      </c>
      <c r="AP129" s="227">
        <f>IF(AM129="","",IFERROR(VLOOKUP($B129,Miljö!$B$1:$J$479,MATCH("Kärnkraftsandel för ursprungsspecificerad el ()",Miljö!$B$1:$J$1,0),FALSE)/1,0))</f>
        <v>0</v>
      </c>
      <c r="AQ129" s="227">
        <f t="shared" si="7"/>
        <v>1</v>
      </c>
      <c r="AR129" s="227"/>
      <c r="AS129" s="227" t="str">
        <f t="shared" si="8"/>
        <v>Ja</v>
      </c>
      <c r="AT129" s="227">
        <f>IF(AS129="ja",VLOOKUP($B129,Miljö!$B$1:$O$500,MATCH("Fossil andel i procent (%)",Miljö!$B$1:$O$1,0),FALSE)/100,"")</f>
        <v>1.8000000000000002E-2</v>
      </c>
      <c r="AU129" s="227"/>
      <c r="AV129" s="227" t="str">
        <f t="shared" si="9"/>
        <v>Ja</v>
      </c>
      <c r="AW129" s="227" t="str">
        <f>IF(AV129="ja",VLOOKUP($B129,'Egen hetvattenprod'!$B$1:$AO$500,MATCH("Värmekälla till värmepumpar ()",'Egen hetvattenprod'!$B$1:$AO$1,0),FALSE),"")</f>
        <v>Geotermi</v>
      </c>
      <c r="AX129" s="227"/>
      <c r="AY129" s="227" t="str">
        <f t="shared" si="10"/>
        <v>Ja</v>
      </c>
      <c r="AZ129" s="228">
        <f>IF($AY129="ja",(VLOOKUP($B129,'Egen hetvattenprod'!$B$1:$BX$550,MATCH(AZ$2,'Egen hetvattenprod'!$B$1:$BX$1,0),FALSE)+VLOOKUP($B129,Kraftvärmeprod!$B$1:$BX$550,MATCH(AZ$2,Kraftvärmeprod!$B$1:$BX$1,0),FALSE))/$AC129,"")</f>
        <v>0.97394573093256709</v>
      </c>
      <c r="BA129" s="228">
        <f>IF($AY129="ja",(VLOOKUP($B129,'Egen hetvattenprod'!$B$1:$BX$550,MATCH(BA$2,'Egen hetvattenprod'!$B$1:$BX$1,0),FALSE)+VLOOKUP($B129,Kraftvärmeprod!$B$1:$BX$550,MATCH(BA$2,Kraftvärmeprod!$B$1:$BX$1,0),FALSE))/$AC129,"")</f>
        <v>0</v>
      </c>
      <c r="BB129" s="228">
        <f>IF($AY129="ja",(VLOOKUP($B129,'Egen hetvattenprod'!$B$1:$BX$550,MATCH(BB$2,'Egen hetvattenprod'!$B$1:$BX$1,0),FALSE)+VLOOKUP($B129,Kraftvärmeprod!$B$1:$BX$550,MATCH(BB$2,Kraftvärmeprod!$B$1:$BX$1,0),FALSE))/$AC129,"")</f>
        <v>0</v>
      </c>
      <c r="BC129" s="228">
        <f>IF($AY129="ja",(VLOOKUP($B129,'Egen hetvattenprod'!$B$1:$BX$550,MATCH(BC$2,'Egen hetvattenprod'!$B$1:$BX$1,0),FALSE)+VLOOKUP($B129,Kraftvärmeprod!$B$1:$BX$550,MATCH(BC$2,Kraftvärmeprod!$B$1:$BX$1,0),FALSE))/$AC129,"")</f>
        <v>2.6054269067432839E-2</v>
      </c>
      <c r="BD129" s="228">
        <f>IF($AY129="ja",(VLOOKUP($B129,'Egen hetvattenprod'!$B$1:$BX$550,MATCH(BD$2,'Egen hetvattenprod'!$B$1:$BX$1,0),FALSE)+VLOOKUP($B129,Kraftvärmeprod!$B$1:$BX$550,MATCH(BD$2,Kraftvärmeprod!$B$1:$BX$1,0),FALSE))/$AC129,"")</f>
        <v>0</v>
      </c>
      <c r="BE129" s="227"/>
      <c r="BF129" s="227" t="str">
        <f t="shared" si="11"/>
        <v>Nej</v>
      </c>
      <c r="BG129" s="227" t="str">
        <f>IF($BF129="ja",VLOOKUP($B129,'Egen hetvattenprod'!$B$1:$BX$550,MATCH("Andelen klimatgaser med fossilt ursprung för avfall ()",'Egen hetvattenprod'!$B$1:$BX$1,0),FALSE),"")</f>
        <v/>
      </c>
      <c r="BH129" s="227" t="str">
        <f>IF($BF129="ja",VLOOKUP($B129,Kraftvärmeprod!$B$1:$BX$550,MATCH("Andelen klimatgaser med fossilt ursprung för avfall ()",Kraftvärmeprod!$B$1:$BX$1,0),FALSE),"")</f>
        <v/>
      </c>
      <c r="BI129" s="227" t="str">
        <f>IF($BF129="ja",VLOOKUP($B129,'Egen hetvattenprod'!$B$1:$BX$550,MATCH("Avfall (GWh)",'Egen hetvattenprod'!$B$1:$BX$1,0),FALSE),"")</f>
        <v/>
      </c>
      <c r="BJ129" s="227" t="str">
        <f>IF($BF129="ja",VLOOKUP($B129,'Slutlig allokering kvv'!$B$1:$BX$550,MATCH("Avfall (GWh)",'Slutlig allokering kvv'!$B$1:$BX$1,0),FALSE),"")</f>
        <v/>
      </c>
      <c r="BK129" s="227" t="str">
        <f>IF($BF129="ja",VLOOKUP($B129,'Köpt hetvatten'!$B$1:$BX$550,MATCH("Avfall i köpt hetvatten",'Köpt hetvatten'!$B$1:$BX$1,0),FALSE),"")</f>
        <v/>
      </c>
      <c r="BL129" s="227" t="str">
        <f>IF($BF129="ja",VLOOKUP($B129,'Egen hetvattenprod'!$B$1:$BX$550,MATCH("Värde enligt ovan. (%)",'Egen hetvattenprod'!$B$1:$BX$1,0),FALSE),"")</f>
        <v/>
      </c>
      <c r="BM129" s="227" t="str">
        <f>IF($BF129="ja",VLOOKUP($B129,Kraftvärmeprod!$B$1:$BX$550,MATCH("Värde enligt ovan. (%)",Kraftvärmeprod!$B$1:$BX$1,0),FALSE),"")</f>
        <v/>
      </c>
      <c r="BN129" s="227"/>
      <c r="BO129" s="227"/>
      <c r="BP129" s="227"/>
      <c r="BQ129" s="227" t="str">
        <f>IF($BF129="ja",VLOOKUP($B129,'Egen hetvattenprod'!$B$1:$BX$550,MATCH("Tillförd olja (fossil) vid avfallsförbränning (GWh)",'Egen hetvattenprod'!$B$1:$BX$1,0),FALSE),"")</f>
        <v/>
      </c>
      <c r="BR129" s="227" t="str">
        <f>IF($BF129="ja",VLOOKUP($B129,Kraftvärmeprod!$B$1:$BX$550,MATCH("Tillförd olja (fossil) vid avfallsförbränning (GWh)",Kraftvärmeprod!$B$1:$BX$1,0),FALSE),"")</f>
        <v/>
      </c>
      <c r="BS129" s="227"/>
      <c r="BT129" s="227"/>
      <c r="BU129" s="227"/>
    </row>
    <row r="130" spans="1:73" x14ac:dyDescent="0.25">
      <c r="A130" s="121" t="str">
        <f>'Miljövärden för publ företag'!B133</f>
        <v>Kraftringen Energi AB (publ)</v>
      </c>
      <c r="B130" s="121" t="str">
        <f>'Miljövärden för publ företag'!C133</f>
        <v>Klippan-Ljungbyhed-Östra Ljungby</v>
      </c>
      <c r="C130" s="173">
        <f>IFERROR(VLOOKUP($B130,Totalt!$B$1:$AQ$554,MATCH(C$2,Totalt!$B$1:$AQ$1,0),FALSE),"")</f>
        <v>0</v>
      </c>
      <c r="D130" s="173">
        <f>IFERROR(VLOOKUP($B130,Totalt!$B$1:$AQ$554,MATCH(D$2,Totalt!$B$1:$AQ$1,0),FALSE),"")</f>
        <v>0</v>
      </c>
      <c r="E130" s="173">
        <f>IFERROR(VLOOKUP($B130,Totalt!$B$1:$AQ$554,MATCH(E$2,Totalt!$B$1:$AQ$1,0),FALSE),"")</f>
        <v>0</v>
      </c>
      <c r="F130" s="173">
        <f>IFERROR(VLOOKUP($B130,Totalt!$B$1:$AQ$554,MATCH(F$2,Totalt!$B$1:$AQ$1,0),FALSE),"")</f>
        <v>0</v>
      </c>
      <c r="G130" s="173">
        <f>IFERROR(VLOOKUP($B130,Totalt!$B$1:$AQ$554,MATCH(G$2,Totalt!$B$1:$AQ$1,0),FALSE),"")</f>
        <v>0</v>
      </c>
      <c r="H130" s="173">
        <f>IFERROR(VLOOKUP($B130,Totalt!$B$1:$AQ$554,MATCH(H$2,Totalt!$B$1:$AQ$1,0),FALSE),"")</f>
        <v>0</v>
      </c>
      <c r="I130" s="173">
        <f>IFERROR(VLOOKUP($B130,Totalt!$B$1:$AQ$554,MATCH(I$2,Totalt!$B$1:$AQ$1,0),FALSE),"")</f>
        <v>0</v>
      </c>
      <c r="J130" s="173">
        <f>IFERROR(VLOOKUP($B130,Totalt!$B$1:$AQ$554,MATCH(J$2,Totalt!$B$1:$AQ$1,0),FALSE),"")</f>
        <v>2.3860000000000001</v>
      </c>
      <c r="K130" s="173">
        <f>IFERROR(VLOOKUP($B130,Totalt!$B$1:$AQ$554,MATCH(K$2,Totalt!$B$1:$AQ$1,0),FALSE),"")</f>
        <v>0</v>
      </c>
      <c r="L130" s="173">
        <f>IFERROR(VLOOKUP($B130,Totalt!$B$1:$AQ$554,MATCH(L$2,Totalt!$B$1:$AQ$1,0),FALSE),"")</f>
        <v>0</v>
      </c>
      <c r="M130" s="173">
        <f>IFERROR(VLOOKUP($B130,Totalt!$B$1:$AQ$554,MATCH(M$2,Totalt!$B$1:$AQ$1,0),FALSE),"")</f>
        <v>0</v>
      </c>
      <c r="N130" s="173">
        <f>IFERROR(VLOOKUP($B130,Totalt!$B$1:$AQ$554,MATCH(N$2,Totalt!$B$1:$AQ$1,0),FALSE),"")</f>
        <v>0</v>
      </c>
      <c r="O130" s="173">
        <f>IFERROR(VLOOKUP($B130,Totalt!$B$1:$AQ$554,MATCH(O$2,Totalt!$B$1:$AQ$1,0),FALSE),"")</f>
        <v>0</v>
      </c>
      <c r="P130" s="173">
        <f>IFERROR(VLOOKUP($B130,Totalt!$B$1:$AQ$554,MATCH(P$2,Totalt!$B$1:$AQ$1,0),FALSE),"")</f>
        <v>44.725999999999999</v>
      </c>
      <c r="Q130" s="173">
        <f>IFERROR(VLOOKUP($B130,Totalt!$B$1:$AQ$554,MATCH(Q$2,Totalt!$B$1:$AQ$1,0),FALSE),"")</f>
        <v>0</v>
      </c>
      <c r="R130" s="173">
        <f>IFERROR(VLOOKUP($B130,Totalt!$B$1:$AQ$554,MATCH(R$2,Totalt!$B$1:$AQ$1,0),FALSE),"")</f>
        <v>3.3660000000000001</v>
      </c>
      <c r="S130" s="173">
        <f>IFERROR(VLOOKUP($B130,Totalt!$B$1:$AQ$554,MATCH(S$2,Totalt!$B$1:$AQ$1,0),FALSE),"")</f>
        <v>13.488</v>
      </c>
      <c r="T130" s="173">
        <f>IFERROR(VLOOKUP($B130,Totalt!$B$1:$AQ$554,MATCH(T$2,Totalt!$B$1:$AQ$1,0),FALSE),"")</f>
        <v>0</v>
      </c>
      <c r="U130" s="173">
        <f>IFERROR(VLOOKUP($B130,Totalt!$B$1:$AQ$554,MATCH(U$2,Totalt!$B$1:$AQ$1,0),FALSE),"")</f>
        <v>0</v>
      </c>
      <c r="V130" s="173">
        <f>IFERROR(VLOOKUP($B130,Totalt!$B$1:$AQ$554,MATCH(V$2,Totalt!$B$1:$AQ$1,0),FALSE),"")</f>
        <v>0</v>
      </c>
      <c r="W130" s="173">
        <f>IFERROR(VLOOKUP($B130,Totalt!$B$1:$AQ$554,MATCH(W$2,Totalt!$B$1:$AQ$1,0),FALSE),"")</f>
        <v>4.383</v>
      </c>
      <c r="X130" s="173">
        <f>IFERROR(VLOOKUP($B130,Totalt!$B$1:$AQ$554,MATCH(X$2,Totalt!$B$1:$AQ$1,0),FALSE),"")</f>
        <v>0</v>
      </c>
      <c r="Y130" s="173">
        <f>IFERROR(VLOOKUP($B130,Totalt!$B$1:$AQ$554,MATCH(Y$2,Totalt!$B$1:$AQ$1,0),FALSE),"")</f>
        <v>0</v>
      </c>
      <c r="Z130" s="173">
        <f>IFERROR(VLOOKUP($B130,Totalt!$B$1:$AQ$554,MATCH(Z$2,Totalt!$B$1:$AQ$1,0),FALSE),"")</f>
        <v>0.41399999999999998</v>
      </c>
      <c r="AA130" s="173">
        <f>IFERROR(VLOOKUP($B130,Totalt!$B$1:$AQ$554,MATCH(AA$2,Totalt!$B$1:$AQ$1,0),FALSE),"")</f>
        <v>0</v>
      </c>
      <c r="AB130" s="173">
        <f>IFERROR(VLOOKUP($B130,Totalt!$B$1:$AQ$554,MATCH(AB$2,Totalt!$B$1:$AQ$1,0),FALSE),"")</f>
        <v>0</v>
      </c>
      <c r="AC130" s="173">
        <f>IFERROR(VLOOKUP($B130,Totalt!$B$1:$AQ$554,MATCH(AC$2,Totalt!$B$1:$AQ$1,0),FALSE),"")</f>
        <v>2.8889999999999998</v>
      </c>
      <c r="AD130" s="173">
        <f>IFERROR(VLOOKUP($B130,Totalt!$B$1:$AQ$554,MATCH(AD$2,Totalt!$B$1:$AQ$1,0),FALSE),"")</f>
        <v>0</v>
      </c>
      <c r="AE130" s="173">
        <f>IFERROR(VLOOKUP($B130,Totalt!$B$1:$AQ$554,MATCH(AE$2,Totalt!$B$1:$AQ$1,0),FALSE),"")</f>
        <v>0</v>
      </c>
      <c r="AF130" s="173">
        <f>IFERROR(VLOOKUP($B130,Totalt!$B$1:$AQ$554,MATCH(AF$2,Totalt!$B$1:$AQ$1,0),FALSE),"")</f>
        <v>1.59</v>
      </c>
      <c r="AG130" s="173">
        <f>IFERROR(VLOOKUP($B130,Totalt!$B$1:$AQ$554,MATCH(AG$2,Totalt!$B$1:$AQ$1,0),FALSE),"")</f>
        <v>0</v>
      </c>
      <c r="AI130" s="226">
        <f t="shared" si="6"/>
        <v>73.242000000000004</v>
      </c>
      <c r="AJ130" s="226">
        <f>IF(ISERROR(1/VLOOKUP($B130,Leveranser!$B$1:$S$500,MATCH("såld värme (gwh)",Leveranser!$B$1:$S$1,0),FALSE)),"",VLOOKUP($B130,Leveranser!$B$1:$S$500,MATCH("såld värme (gwh)",Leveranser!$B$1:$S$1,0),FALSE))</f>
        <v>53</v>
      </c>
      <c r="AM130" s="227" t="str">
        <f>IF(B130&lt;&gt;"",IF(VLOOKUP($B130,Totalt!$B$1:$AQ$554,MATCH("Kvalitetsgranskad:",Totalt!$B$1:$AQ$1,0),FALSE)="ja",VLOOKUP($B130,Miljö!$B$1:$AG$479,MATCH(AM$2,Miljö!$B$1:$AK$1,0),FALSE),""),"")</f>
        <v>Ja</v>
      </c>
      <c r="AN130" s="227" t="str">
        <f>IF(AM130="ja",VLOOKUP($B130,Miljö!$B$1:$J$479,MATCH("Typ av ursprungsspecificerad el   (Om inget värde anges används Nordisk residualmix, se inforuta) ()",Miljö!$B$1:$J$1,0),FALSE),IF(AM130="nej","Nordisk residualel",""))</f>
        <v>'biokraft. vindkraft'</v>
      </c>
      <c r="AO130" s="227">
        <f>IF(AM130="","",VLOOKUP($B130,Miljö!$B$1:$J$479,MATCH("Fossilandel för ursprungspecificerad el ()",Miljö!$B$1:$J$1,0),FALSE))</f>
        <v>0</v>
      </c>
      <c r="AP130" s="227">
        <f>IF(AM130="","",IFERROR(VLOOKUP($B130,Miljö!$B$1:$J$479,MATCH("Kärnkraftsandel för ursprungsspecificerad el ()",Miljö!$B$1:$J$1,0),FALSE)/1,0))</f>
        <v>0</v>
      </c>
      <c r="AQ130" s="227">
        <f t="shared" si="7"/>
        <v>1</v>
      </c>
      <c r="AR130" s="227"/>
      <c r="AS130" s="227" t="str">
        <f t="shared" si="8"/>
        <v>Nej</v>
      </c>
      <c r="AT130" s="227" t="str">
        <f>IF(AS130="ja",VLOOKUP($B130,Miljö!$B$1:$O$500,MATCH("Fossil andel i procent (%)",Miljö!$B$1:$O$1,0),FALSE)/100,"")</f>
        <v/>
      </c>
      <c r="AU130" s="227"/>
      <c r="AV130" s="227" t="str">
        <f t="shared" si="9"/>
        <v>Nej</v>
      </c>
      <c r="AW130" s="227" t="str">
        <f>IF(AV130="ja",VLOOKUP($B130,'Egen hetvattenprod'!$B$1:$AO$500,MATCH("Värmekälla till värmepumpar ()",'Egen hetvattenprod'!$B$1:$AO$1,0),FALSE),"")</f>
        <v/>
      </c>
      <c r="AX130" s="227"/>
      <c r="AY130" s="227" t="str">
        <f t="shared" si="10"/>
        <v>Ja</v>
      </c>
      <c r="AZ130" s="228">
        <f>IF($AY130="ja",(VLOOKUP($B130,'Egen hetvattenprod'!$B$1:$BX$550,MATCH(AZ$2,'Egen hetvattenprod'!$B$1:$BX$1,0),FALSE)+VLOOKUP($B130,Kraftvärmeprod!$B$1:$BX$550,MATCH(AZ$2,Kraftvärmeprod!$B$1:$BX$1,0),FALSE))/$AC130,"")</f>
        <v>1</v>
      </c>
      <c r="BA130" s="228">
        <f>IF($AY130="ja",(VLOOKUP($B130,'Egen hetvattenprod'!$B$1:$BX$550,MATCH(BA$2,'Egen hetvattenprod'!$B$1:$BX$1,0),FALSE)+VLOOKUP($B130,Kraftvärmeprod!$B$1:$BX$550,MATCH(BA$2,Kraftvärmeprod!$B$1:$BX$1,0),FALSE))/$AC130,"")</f>
        <v>0</v>
      </c>
      <c r="BB130" s="228">
        <f>IF($AY130="ja",(VLOOKUP($B130,'Egen hetvattenprod'!$B$1:$BX$550,MATCH(BB$2,'Egen hetvattenprod'!$B$1:$BX$1,0),FALSE)+VLOOKUP($B130,Kraftvärmeprod!$B$1:$BX$550,MATCH(BB$2,Kraftvärmeprod!$B$1:$BX$1,0),FALSE))/$AC130,"")</f>
        <v>0</v>
      </c>
      <c r="BC130" s="228">
        <f>IF($AY130="ja",(VLOOKUP($B130,'Egen hetvattenprod'!$B$1:$BX$550,MATCH(BC$2,'Egen hetvattenprod'!$B$1:$BX$1,0),FALSE)+VLOOKUP($B130,Kraftvärmeprod!$B$1:$BX$550,MATCH(BC$2,Kraftvärmeprod!$B$1:$BX$1,0),FALSE))/$AC130,"")</f>
        <v>0</v>
      </c>
      <c r="BD130" s="228">
        <f>IF($AY130="ja",(VLOOKUP($B130,'Egen hetvattenprod'!$B$1:$BX$550,MATCH(BD$2,'Egen hetvattenprod'!$B$1:$BX$1,0),FALSE)+VLOOKUP($B130,Kraftvärmeprod!$B$1:$BX$550,MATCH(BD$2,Kraftvärmeprod!$B$1:$BX$1,0),FALSE))/$AC130,"")</f>
        <v>0</v>
      </c>
      <c r="BE130" s="227"/>
      <c r="BF130" s="227" t="str">
        <f t="shared" si="11"/>
        <v>Nej</v>
      </c>
      <c r="BG130" s="227" t="str">
        <f>IF($BF130="ja",VLOOKUP($B130,'Egen hetvattenprod'!$B$1:$BX$550,MATCH("Andelen klimatgaser med fossilt ursprung för avfall ()",'Egen hetvattenprod'!$B$1:$BX$1,0),FALSE),"")</f>
        <v/>
      </c>
      <c r="BH130" s="227" t="str">
        <f>IF($BF130="ja",VLOOKUP($B130,Kraftvärmeprod!$B$1:$BX$550,MATCH("Andelen klimatgaser med fossilt ursprung för avfall ()",Kraftvärmeprod!$B$1:$BX$1,0),FALSE),"")</f>
        <v/>
      </c>
      <c r="BI130" s="227" t="str">
        <f>IF($BF130="ja",VLOOKUP($B130,'Egen hetvattenprod'!$B$1:$BX$550,MATCH("Avfall (GWh)",'Egen hetvattenprod'!$B$1:$BX$1,0),FALSE),"")</f>
        <v/>
      </c>
      <c r="BJ130" s="227" t="str">
        <f>IF($BF130="ja",VLOOKUP($B130,'Slutlig allokering kvv'!$B$1:$BX$550,MATCH("Avfall (GWh)",'Slutlig allokering kvv'!$B$1:$BX$1,0),FALSE),"")</f>
        <v/>
      </c>
      <c r="BK130" s="227" t="str">
        <f>IF($BF130="ja",VLOOKUP($B130,'Köpt hetvatten'!$B$1:$BX$550,MATCH("Avfall i köpt hetvatten",'Köpt hetvatten'!$B$1:$BX$1,0),FALSE),"")</f>
        <v/>
      </c>
      <c r="BL130" s="227" t="str">
        <f>IF($BF130="ja",VLOOKUP($B130,'Egen hetvattenprod'!$B$1:$BX$550,MATCH("Värde enligt ovan. (%)",'Egen hetvattenprod'!$B$1:$BX$1,0),FALSE),"")</f>
        <v/>
      </c>
      <c r="BM130" s="227" t="str">
        <f>IF($BF130="ja",VLOOKUP($B130,Kraftvärmeprod!$B$1:$BX$550,MATCH("Värde enligt ovan. (%)",Kraftvärmeprod!$B$1:$BX$1,0),FALSE),"")</f>
        <v/>
      </c>
      <c r="BN130" s="227"/>
      <c r="BO130" s="227"/>
      <c r="BP130" s="227"/>
      <c r="BQ130" s="227" t="str">
        <f>IF($BF130="ja",VLOOKUP($B130,'Egen hetvattenprod'!$B$1:$BX$550,MATCH("Tillförd olja (fossil) vid avfallsförbränning (GWh)",'Egen hetvattenprod'!$B$1:$BX$1,0),FALSE),"")</f>
        <v/>
      </c>
      <c r="BR130" s="227" t="str">
        <f>IF($BF130="ja",VLOOKUP($B130,Kraftvärmeprod!$B$1:$BX$550,MATCH("Tillförd olja (fossil) vid avfallsförbränning (GWh)",Kraftvärmeprod!$B$1:$BX$1,0),FALSE),"")</f>
        <v/>
      </c>
      <c r="BS130" s="227"/>
      <c r="BT130" s="227"/>
      <c r="BU130" s="227"/>
    </row>
    <row r="131" spans="1:73" x14ac:dyDescent="0.25">
      <c r="A131" s="121" t="str">
        <f>'Miljövärden för publ företag'!B134</f>
        <v>Kungälv Energi AB</v>
      </c>
      <c r="B131" s="121" t="str">
        <f>'Miljövärden för publ företag'!C134</f>
        <v>HVC Kode</v>
      </c>
      <c r="C131" s="173">
        <f>IFERROR(VLOOKUP($B131,Totalt!$B$1:$AQ$554,MATCH(C$2,Totalt!$B$1:$AQ$1,0),FALSE),"")</f>
        <v>0</v>
      </c>
      <c r="D131" s="173">
        <f>IFERROR(VLOOKUP($B131,Totalt!$B$1:$AQ$554,MATCH(D$2,Totalt!$B$1:$AQ$1,0),FALSE),"")</f>
        <v>4.8000000000000001E-2</v>
      </c>
      <c r="E131" s="173">
        <f>IFERROR(VLOOKUP($B131,Totalt!$B$1:$AQ$554,MATCH(E$2,Totalt!$B$1:$AQ$1,0),FALSE),"")</f>
        <v>0</v>
      </c>
      <c r="F131" s="173">
        <f>IFERROR(VLOOKUP($B131,Totalt!$B$1:$AQ$554,MATCH(F$2,Totalt!$B$1:$AQ$1,0),FALSE),"")</f>
        <v>0</v>
      </c>
      <c r="G131" s="173">
        <f>IFERROR(VLOOKUP($B131,Totalt!$B$1:$AQ$554,MATCH(G$2,Totalt!$B$1:$AQ$1,0),FALSE),"")</f>
        <v>0</v>
      </c>
      <c r="H131" s="173">
        <f>IFERROR(VLOOKUP($B131,Totalt!$B$1:$AQ$554,MATCH(H$2,Totalt!$B$1:$AQ$1,0),FALSE),"")</f>
        <v>0</v>
      </c>
      <c r="I131" s="173">
        <f>IFERROR(VLOOKUP($B131,Totalt!$B$1:$AQ$554,MATCH(I$2,Totalt!$B$1:$AQ$1,0),FALSE),"")</f>
        <v>0</v>
      </c>
      <c r="J131" s="173">
        <f>IFERROR(VLOOKUP($B131,Totalt!$B$1:$AQ$554,MATCH(J$2,Totalt!$B$1:$AQ$1,0),FALSE),"")</f>
        <v>0</v>
      </c>
      <c r="K131" s="173">
        <f>IFERROR(VLOOKUP($B131,Totalt!$B$1:$AQ$554,MATCH(K$2,Totalt!$B$1:$AQ$1,0),FALSE),"")</f>
        <v>0</v>
      </c>
      <c r="L131" s="173">
        <f>IFERROR(VLOOKUP($B131,Totalt!$B$1:$AQ$554,MATCH(L$2,Totalt!$B$1:$AQ$1,0),FALSE),"")</f>
        <v>0</v>
      </c>
      <c r="M131" s="173">
        <f>IFERROR(VLOOKUP($B131,Totalt!$B$1:$AQ$554,MATCH(M$2,Totalt!$B$1:$AQ$1,0),FALSE),"")</f>
        <v>0</v>
      </c>
      <c r="N131" s="173">
        <f>IFERROR(VLOOKUP($B131,Totalt!$B$1:$AQ$554,MATCH(N$2,Totalt!$B$1:$AQ$1,0),FALSE),"")</f>
        <v>0</v>
      </c>
      <c r="O131" s="173">
        <f>IFERROR(VLOOKUP($B131,Totalt!$B$1:$AQ$554,MATCH(O$2,Totalt!$B$1:$AQ$1,0),FALSE),"")</f>
        <v>0</v>
      </c>
      <c r="P131" s="173">
        <f>IFERROR(VLOOKUP($B131,Totalt!$B$1:$AQ$554,MATCH(P$2,Totalt!$B$1:$AQ$1,0),FALSE),"")</f>
        <v>0</v>
      </c>
      <c r="Q131" s="173">
        <f>IFERROR(VLOOKUP($B131,Totalt!$B$1:$AQ$554,MATCH(Q$2,Totalt!$B$1:$AQ$1,0),FALSE),"")</f>
        <v>0</v>
      </c>
      <c r="R131" s="173">
        <f>IFERROR(VLOOKUP($B131,Totalt!$B$1:$AQ$554,MATCH(R$2,Totalt!$B$1:$AQ$1,0),FALSE),"")</f>
        <v>1.31</v>
      </c>
      <c r="S131" s="173">
        <f>IFERROR(VLOOKUP($B131,Totalt!$B$1:$AQ$554,MATCH(S$2,Totalt!$B$1:$AQ$1,0),FALSE),"")</f>
        <v>0</v>
      </c>
      <c r="T131" s="173">
        <f>IFERROR(VLOOKUP($B131,Totalt!$B$1:$AQ$554,MATCH(T$2,Totalt!$B$1:$AQ$1,0),FALSE),"")</f>
        <v>0</v>
      </c>
      <c r="U131" s="173">
        <f>IFERROR(VLOOKUP($B131,Totalt!$B$1:$AQ$554,MATCH(U$2,Totalt!$B$1:$AQ$1,0),FALSE),"")</f>
        <v>0</v>
      </c>
      <c r="V131" s="173">
        <f>IFERROR(VLOOKUP($B131,Totalt!$B$1:$AQ$554,MATCH(V$2,Totalt!$B$1:$AQ$1,0),FALSE),"")</f>
        <v>0</v>
      </c>
      <c r="W131" s="173">
        <f>IFERROR(VLOOKUP($B131,Totalt!$B$1:$AQ$554,MATCH(W$2,Totalt!$B$1:$AQ$1,0),FALSE),"")</f>
        <v>0</v>
      </c>
      <c r="X131" s="173">
        <f>IFERROR(VLOOKUP($B131,Totalt!$B$1:$AQ$554,MATCH(X$2,Totalt!$B$1:$AQ$1,0),FALSE),"")</f>
        <v>0</v>
      </c>
      <c r="Y131" s="173">
        <f>IFERROR(VLOOKUP($B131,Totalt!$B$1:$AQ$554,MATCH(Y$2,Totalt!$B$1:$AQ$1,0),FALSE),"")</f>
        <v>0</v>
      </c>
      <c r="Z131" s="173">
        <f>IFERROR(VLOOKUP($B131,Totalt!$B$1:$AQ$554,MATCH(Z$2,Totalt!$B$1:$AQ$1,0),FALSE),"")</f>
        <v>0</v>
      </c>
      <c r="AA131" s="173">
        <f>IFERROR(VLOOKUP($B131,Totalt!$B$1:$AQ$554,MATCH(AA$2,Totalt!$B$1:$AQ$1,0),FALSE),"")</f>
        <v>0</v>
      </c>
      <c r="AB131" s="173">
        <f>IFERROR(VLOOKUP($B131,Totalt!$B$1:$AQ$554,MATCH(AB$2,Totalt!$B$1:$AQ$1,0),FALSE),"")</f>
        <v>0</v>
      </c>
      <c r="AC131" s="173">
        <f>IFERROR(VLOOKUP($B131,Totalt!$B$1:$AQ$554,MATCH(AC$2,Totalt!$B$1:$AQ$1,0),FALSE),"")</f>
        <v>0</v>
      </c>
      <c r="AD131" s="173">
        <f>IFERROR(VLOOKUP($B131,Totalt!$B$1:$AQ$554,MATCH(AD$2,Totalt!$B$1:$AQ$1,0),FALSE),"")</f>
        <v>0</v>
      </c>
      <c r="AE131" s="173">
        <f>IFERROR(VLOOKUP($B131,Totalt!$B$1:$AQ$554,MATCH(AE$2,Totalt!$B$1:$AQ$1,0),FALSE),"")</f>
        <v>0</v>
      </c>
      <c r="AF131" s="173">
        <f>IFERROR(VLOOKUP($B131,Totalt!$B$1:$AQ$554,MATCH(AF$2,Totalt!$B$1:$AQ$1,0),FALSE),"")</f>
        <v>2.8000000000000001E-2</v>
      </c>
      <c r="AG131" s="173">
        <f>IFERROR(VLOOKUP($B131,Totalt!$B$1:$AQ$554,MATCH(AG$2,Totalt!$B$1:$AQ$1,0),FALSE),"")</f>
        <v>0</v>
      </c>
      <c r="AI131" s="226">
        <f t="shared" ref="AI131:AI194" si="12">IF(B131&lt;&gt;"",SUM(C131:AG131),"")</f>
        <v>1.3860000000000001</v>
      </c>
      <c r="AJ131" s="226">
        <f>IF(ISERROR(1/VLOOKUP($B131,Leveranser!$B$1:$S$500,MATCH("såld värme (gwh)",Leveranser!$B$1:$S$1,0),FALSE)),"",VLOOKUP($B131,Leveranser!$B$1:$S$500,MATCH("såld värme (gwh)",Leveranser!$B$1:$S$1,0),FALSE))</f>
        <v>1.1025</v>
      </c>
      <c r="AM131" s="227" t="str">
        <f>IF(B131&lt;&gt;"",IF(VLOOKUP($B131,Totalt!$B$1:$AQ$554,MATCH("Kvalitetsgranskad:",Totalt!$B$1:$AQ$1,0),FALSE)="ja",VLOOKUP($B131,Miljö!$B$1:$AG$479,MATCH(AM$2,Miljö!$B$1:$AK$1,0),FALSE),""),"")</f>
        <v>Ja</v>
      </c>
      <c r="AN131" s="227" t="str">
        <f>IF(AM131="ja",VLOOKUP($B131,Miljö!$B$1:$J$479,MATCH("Typ av ursprungsspecificerad el   (Om inget värde anges används Nordisk residualmix, se inforuta) ()",Miljö!$B$1:$J$1,0),FALSE),IF(AM131="nej","Nordisk residualel",""))</f>
        <v>'Vattenkraft'</v>
      </c>
      <c r="AO131" s="227">
        <f>IF(AM131="","",VLOOKUP($B131,Miljö!$B$1:$J$479,MATCH("Fossilandel för ursprungspecificerad el ()",Miljö!$B$1:$J$1,0),FALSE))</f>
        <v>0</v>
      </c>
      <c r="AP131" s="227">
        <f>IF(AM131="","",IFERROR(VLOOKUP($B131,Miljö!$B$1:$J$479,MATCH("Kärnkraftsandel för ursprungsspecificerad el ()",Miljö!$B$1:$J$1,0),FALSE)/1,0))</f>
        <v>0</v>
      </c>
      <c r="AQ131" s="227">
        <f t="shared" si="7"/>
        <v>1</v>
      </c>
      <c r="AR131" s="227"/>
      <c r="AS131" s="227" t="str">
        <f t="shared" si="8"/>
        <v>Nej</v>
      </c>
      <c r="AT131" s="227" t="str">
        <f>IF(AS131="ja",VLOOKUP($B131,Miljö!$B$1:$O$500,MATCH("Fossil andel i procent (%)",Miljö!$B$1:$O$1,0),FALSE)/100,"")</f>
        <v/>
      </c>
      <c r="AU131" s="227"/>
      <c r="AV131" s="227" t="str">
        <f t="shared" si="9"/>
        <v>Nej</v>
      </c>
      <c r="AW131" s="227" t="str">
        <f>IF(AV131="ja",VLOOKUP($B131,'Egen hetvattenprod'!$B$1:$AO$500,MATCH("Värmekälla till värmepumpar ()",'Egen hetvattenprod'!$B$1:$AO$1,0),FALSE),"")</f>
        <v/>
      </c>
      <c r="AX131" s="227"/>
      <c r="AY131" s="227" t="str">
        <f t="shared" si="10"/>
        <v>Nej</v>
      </c>
      <c r="AZ131" s="228" t="str">
        <f>IF($AY131="ja",(VLOOKUP($B131,'Egen hetvattenprod'!$B$1:$BX$550,MATCH(AZ$2,'Egen hetvattenprod'!$B$1:$BX$1,0),FALSE)+VLOOKUP($B131,Kraftvärmeprod!$B$1:$BX$550,MATCH(AZ$2,Kraftvärmeprod!$B$1:$BX$1,0),FALSE))/$AC131,"")</f>
        <v/>
      </c>
      <c r="BA131" s="228" t="str">
        <f>IF($AY131="ja",(VLOOKUP($B131,'Egen hetvattenprod'!$B$1:$BX$550,MATCH(BA$2,'Egen hetvattenprod'!$B$1:$BX$1,0),FALSE)+VLOOKUP($B131,Kraftvärmeprod!$B$1:$BX$550,MATCH(BA$2,Kraftvärmeprod!$B$1:$BX$1,0),FALSE))/$AC131,"")</f>
        <v/>
      </c>
      <c r="BB131" s="228" t="str">
        <f>IF($AY131="ja",(VLOOKUP($B131,'Egen hetvattenprod'!$B$1:$BX$550,MATCH(BB$2,'Egen hetvattenprod'!$B$1:$BX$1,0),FALSE)+VLOOKUP($B131,Kraftvärmeprod!$B$1:$BX$550,MATCH(BB$2,Kraftvärmeprod!$B$1:$BX$1,0),FALSE))/$AC131,"")</f>
        <v/>
      </c>
      <c r="BC131" s="228" t="str">
        <f>IF($AY131="ja",(VLOOKUP($B131,'Egen hetvattenprod'!$B$1:$BX$550,MATCH(BC$2,'Egen hetvattenprod'!$B$1:$BX$1,0),FALSE)+VLOOKUP($B131,Kraftvärmeprod!$B$1:$BX$550,MATCH(BC$2,Kraftvärmeprod!$B$1:$BX$1,0),FALSE))/$AC131,"")</f>
        <v/>
      </c>
      <c r="BD131" s="228" t="str">
        <f>IF($AY131="ja",(VLOOKUP($B131,'Egen hetvattenprod'!$B$1:$BX$550,MATCH(BD$2,'Egen hetvattenprod'!$B$1:$BX$1,0),FALSE)+VLOOKUP($B131,Kraftvärmeprod!$B$1:$BX$550,MATCH(BD$2,Kraftvärmeprod!$B$1:$BX$1,0),FALSE))/$AC131,"")</f>
        <v/>
      </c>
      <c r="BE131" s="227"/>
      <c r="BF131" s="227" t="str">
        <f t="shared" si="11"/>
        <v>Nej</v>
      </c>
      <c r="BG131" s="227" t="str">
        <f>IF($BF131="ja",VLOOKUP($B131,'Egen hetvattenprod'!$B$1:$BX$550,MATCH("Andelen klimatgaser med fossilt ursprung för avfall ()",'Egen hetvattenprod'!$B$1:$BX$1,0),FALSE),"")</f>
        <v/>
      </c>
      <c r="BH131" s="227" t="str">
        <f>IF($BF131="ja",VLOOKUP($B131,Kraftvärmeprod!$B$1:$BX$550,MATCH("Andelen klimatgaser med fossilt ursprung för avfall ()",Kraftvärmeprod!$B$1:$BX$1,0),FALSE),"")</f>
        <v/>
      </c>
      <c r="BI131" s="227" t="str">
        <f>IF($BF131="ja",VLOOKUP($B131,'Egen hetvattenprod'!$B$1:$BX$550,MATCH("Avfall (GWh)",'Egen hetvattenprod'!$B$1:$BX$1,0),FALSE),"")</f>
        <v/>
      </c>
      <c r="BJ131" s="227" t="str">
        <f>IF($BF131="ja",VLOOKUP($B131,'Slutlig allokering kvv'!$B$1:$BX$550,MATCH("Avfall (GWh)",'Slutlig allokering kvv'!$B$1:$BX$1,0),FALSE),"")</f>
        <v/>
      </c>
      <c r="BK131" s="227" t="str">
        <f>IF($BF131="ja",VLOOKUP($B131,'Köpt hetvatten'!$B$1:$BX$550,MATCH("Avfall i köpt hetvatten",'Köpt hetvatten'!$B$1:$BX$1,0),FALSE),"")</f>
        <v/>
      </c>
      <c r="BL131" s="227" t="str">
        <f>IF($BF131="ja",VLOOKUP($B131,'Egen hetvattenprod'!$B$1:$BX$550,MATCH("Värde enligt ovan. (%)",'Egen hetvattenprod'!$B$1:$BX$1,0),FALSE),"")</f>
        <v/>
      </c>
      <c r="BM131" s="227" t="str">
        <f>IF($BF131="ja",VLOOKUP($B131,Kraftvärmeprod!$B$1:$BX$550,MATCH("Värde enligt ovan. (%)",Kraftvärmeprod!$B$1:$BX$1,0),FALSE),"")</f>
        <v/>
      </c>
      <c r="BN131" s="227"/>
      <c r="BO131" s="227"/>
      <c r="BP131" s="227"/>
      <c r="BQ131" s="227" t="str">
        <f>IF($BF131="ja",VLOOKUP($B131,'Egen hetvattenprod'!$B$1:$BX$550,MATCH("Tillförd olja (fossil) vid avfallsförbränning (GWh)",'Egen hetvattenprod'!$B$1:$BX$1,0),FALSE),"")</f>
        <v/>
      </c>
      <c r="BR131" s="227" t="str">
        <f>IF($BF131="ja",VLOOKUP($B131,Kraftvärmeprod!$B$1:$BX$550,MATCH("Tillförd olja (fossil) vid avfallsförbränning (GWh)",Kraftvärmeprod!$B$1:$BX$1,0),FALSE),"")</f>
        <v/>
      </c>
      <c r="BS131" s="227"/>
      <c r="BT131" s="227"/>
      <c r="BU131" s="227"/>
    </row>
    <row r="132" spans="1:73" x14ac:dyDescent="0.25">
      <c r="A132" s="121" t="str">
        <f>'Miljövärden för publ företag'!B135</f>
        <v>Kungälv Energi AB</v>
      </c>
      <c r="B132" s="121" t="str">
        <f>'Miljövärden för publ företag'!C135</f>
        <v>HVC Kärna</v>
      </c>
      <c r="C132" s="173">
        <f>IFERROR(VLOOKUP($B132,Totalt!$B$1:$AQ$554,MATCH(C$2,Totalt!$B$1:$AQ$1,0),FALSE),"")</f>
        <v>0</v>
      </c>
      <c r="D132" s="173">
        <f>IFERROR(VLOOKUP($B132,Totalt!$B$1:$AQ$554,MATCH(D$2,Totalt!$B$1:$AQ$1,0),FALSE),"")</f>
        <v>0.02</v>
      </c>
      <c r="E132" s="173">
        <f>IFERROR(VLOOKUP($B132,Totalt!$B$1:$AQ$554,MATCH(E$2,Totalt!$B$1:$AQ$1,0),FALSE),"")</f>
        <v>0</v>
      </c>
      <c r="F132" s="173">
        <f>IFERROR(VLOOKUP($B132,Totalt!$B$1:$AQ$554,MATCH(F$2,Totalt!$B$1:$AQ$1,0),FALSE),"")</f>
        <v>0</v>
      </c>
      <c r="G132" s="173">
        <f>IFERROR(VLOOKUP($B132,Totalt!$B$1:$AQ$554,MATCH(G$2,Totalt!$B$1:$AQ$1,0),FALSE),"")</f>
        <v>0</v>
      </c>
      <c r="H132" s="173">
        <f>IFERROR(VLOOKUP($B132,Totalt!$B$1:$AQ$554,MATCH(H$2,Totalt!$B$1:$AQ$1,0),FALSE),"")</f>
        <v>0</v>
      </c>
      <c r="I132" s="173">
        <f>IFERROR(VLOOKUP($B132,Totalt!$B$1:$AQ$554,MATCH(I$2,Totalt!$B$1:$AQ$1,0),FALSE),"")</f>
        <v>0</v>
      </c>
      <c r="J132" s="173">
        <f>IFERROR(VLOOKUP($B132,Totalt!$B$1:$AQ$554,MATCH(J$2,Totalt!$B$1:$AQ$1,0),FALSE),"")</f>
        <v>0</v>
      </c>
      <c r="K132" s="173">
        <f>IFERROR(VLOOKUP($B132,Totalt!$B$1:$AQ$554,MATCH(K$2,Totalt!$B$1:$AQ$1,0),FALSE),"")</f>
        <v>0</v>
      </c>
      <c r="L132" s="173">
        <f>IFERROR(VLOOKUP($B132,Totalt!$B$1:$AQ$554,MATCH(L$2,Totalt!$B$1:$AQ$1,0),FALSE),"")</f>
        <v>0</v>
      </c>
      <c r="M132" s="173">
        <f>IFERROR(VLOOKUP($B132,Totalt!$B$1:$AQ$554,MATCH(M$2,Totalt!$B$1:$AQ$1,0),FALSE),"")</f>
        <v>0</v>
      </c>
      <c r="N132" s="173">
        <f>IFERROR(VLOOKUP($B132,Totalt!$B$1:$AQ$554,MATCH(N$2,Totalt!$B$1:$AQ$1,0),FALSE),"")</f>
        <v>0</v>
      </c>
      <c r="O132" s="173">
        <f>IFERROR(VLOOKUP($B132,Totalt!$B$1:$AQ$554,MATCH(O$2,Totalt!$B$1:$AQ$1,0),FALSE),"")</f>
        <v>0</v>
      </c>
      <c r="P132" s="173">
        <f>IFERROR(VLOOKUP($B132,Totalt!$B$1:$AQ$554,MATCH(P$2,Totalt!$B$1:$AQ$1,0),FALSE),"")</f>
        <v>0</v>
      </c>
      <c r="Q132" s="173">
        <f>IFERROR(VLOOKUP($B132,Totalt!$B$1:$AQ$554,MATCH(Q$2,Totalt!$B$1:$AQ$1,0),FALSE),"")</f>
        <v>0</v>
      </c>
      <c r="R132" s="173">
        <f>IFERROR(VLOOKUP($B132,Totalt!$B$1:$AQ$554,MATCH(R$2,Totalt!$B$1:$AQ$1,0),FALSE),"")</f>
        <v>0.98</v>
      </c>
      <c r="S132" s="173">
        <f>IFERROR(VLOOKUP($B132,Totalt!$B$1:$AQ$554,MATCH(S$2,Totalt!$B$1:$AQ$1,0),FALSE),"")</f>
        <v>0</v>
      </c>
      <c r="T132" s="173">
        <f>IFERROR(VLOOKUP($B132,Totalt!$B$1:$AQ$554,MATCH(T$2,Totalt!$B$1:$AQ$1,0),FALSE),"")</f>
        <v>0</v>
      </c>
      <c r="U132" s="173">
        <f>IFERROR(VLOOKUP($B132,Totalt!$B$1:$AQ$554,MATCH(U$2,Totalt!$B$1:$AQ$1,0),FALSE),"")</f>
        <v>0</v>
      </c>
      <c r="V132" s="173">
        <f>IFERROR(VLOOKUP($B132,Totalt!$B$1:$AQ$554,MATCH(V$2,Totalt!$B$1:$AQ$1,0),FALSE),"")</f>
        <v>0</v>
      </c>
      <c r="W132" s="173">
        <f>IFERROR(VLOOKUP($B132,Totalt!$B$1:$AQ$554,MATCH(W$2,Totalt!$B$1:$AQ$1,0),FALSE),"")</f>
        <v>0</v>
      </c>
      <c r="X132" s="173">
        <f>IFERROR(VLOOKUP($B132,Totalt!$B$1:$AQ$554,MATCH(X$2,Totalt!$B$1:$AQ$1,0),FALSE),"")</f>
        <v>0</v>
      </c>
      <c r="Y132" s="173">
        <f>IFERROR(VLOOKUP($B132,Totalt!$B$1:$AQ$554,MATCH(Y$2,Totalt!$B$1:$AQ$1,0),FALSE),"")</f>
        <v>0</v>
      </c>
      <c r="Z132" s="173">
        <f>IFERROR(VLOOKUP($B132,Totalt!$B$1:$AQ$554,MATCH(Z$2,Totalt!$B$1:$AQ$1,0),FALSE),"")</f>
        <v>0</v>
      </c>
      <c r="AA132" s="173">
        <f>IFERROR(VLOOKUP($B132,Totalt!$B$1:$AQ$554,MATCH(AA$2,Totalt!$B$1:$AQ$1,0),FALSE),"")</f>
        <v>0</v>
      </c>
      <c r="AB132" s="173">
        <f>IFERROR(VLOOKUP($B132,Totalt!$B$1:$AQ$554,MATCH(AB$2,Totalt!$B$1:$AQ$1,0),FALSE),"")</f>
        <v>0</v>
      </c>
      <c r="AC132" s="173">
        <f>IFERROR(VLOOKUP($B132,Totalt!$B$1:$AQ$554,MATCH(AC$2,Totalt!$B$1:$AQ$1,0),FALSE),"")</f>
        <v>0</v>
      </c>
      <c r="AD132" s="173">
        <f>IFERROR(VLOOKUP($B132,Totalt!$B$1:$AQ$554,MATCH(AD$2,Totalt!$B$1:$AQ$1,0),FALSE),"")</f>
        <v>0</v>
      </c>
      <c r="AE132" s="173">
        <f>IFERROR(VLOOKUP($B132,Totalt!$B$1:$AQ$554,MATCH(AE$2,Totalt!$B$1:$AQ$1,0),FALSE),"")</f>
        <v>0</v>
      </c>
      <c r="AF132" s="173">
        <f>IFERROR(VLOOKUP($B132,Totalt!$B$1:$AQ$554,MATCH(AF$2,Totalt!$B$1:$AQ$1,0),FALSE),"")</f>
        <v>2.93E-2</v>
      </c>
      <c r="AG132" s="173">
        <f>IFERROR(VLOOKUP($B132,Totalt!$B$1:$AQ$554,MATCH(AG$2,Totalt!$B$1:$AQ$1,0),FALSE),"")</f>
        <v>0</v>
      </c>
      <c r="AI132" s="226">
        <f t="shared" si="12"/>
        <v>1.0293000000000001</v>
      </c>
      <c r="AJ132" s="226">
        <f>IF(ISERROR(1/VLOOKUP($B132,Leveranser!$B$1:$S$500,MATCH("såld värme (gwh)",Leveranser!$B$1:$S$1,0),FALSE)),"",VLOOKUP($B132,Leveranser!$B$1:$S$500,MATCH("såld värme (gwh)",Leveranser!$B$1:$S$1,0),FALSE))</f>
        <v>0.81089999999999995</v>
      </c>
      <c r="AM132" s="227" t="str">
        <f>IF(B132&lt;&gt;"",IF(VLOOKUP($B132,Totalt!$B$1:$AQ$554,MATCH("Kvalitetsgranskad:",Totalt!$B$1:$AQ$1,0),FALSE)="ja",VLOOKUP($B132,Miljö!$B$1:$AG$479,MATCH(AM$2,Miljö!$B$1:$AK$1,0),FALSE),""),"")</f>
        <v>Ja</v>
      </c>
      <c r="AN132" s="227" t="str">
        <f>IF(AM132="ja",VLOOKUP($B132,Miljö!$B$1:$J$479,MATCH("Typ av ursprungsspecificerad el   (Om inget värde anges används Nordisk residualmix, se inforuta) ()",Miljö!$B$1:$J$1,0),FALSE),IF(AM132="nej","Nordisk residualel",""))</f>
        <v>'Vattenkraft'</v>
      </c>
      <c r="AO132" s="227">
        <f>IF(AM132="","",VLOOKUP($B132,Miljö!$B$1:$J$479,MATCH("Fossilandel för ursprungspecificerad el ()",Miljö!$B$1:$J$1,0),FALSE))</f>
        <v>0</v>
      </c>
      <c r="AP132" s="227">
        <f>IF(AM132="","",IFERROR(VLOOKUP($B132,Miljö!$B$1:$J$479,MATCH("Kärnkraftsandel för ursprungsspecificerad el ()",Miljö!$B$1:$J$1,0),FALSE)/1,0))</f>
        <v>0</v>
      </c>
      <c r="AQ132" s="227">
        <f t="shared" ref="AQ132:AQ195" si="13">IF(AM132="","",1-AO132-AP132)</f>
        <v>1</v>
      </c>
      <c r="AR132" s="227"/>
      <c r="AS132" s="227" t="str">
        <f t="shared" ref="AS132:AS195" si="14">IF(B132&lt;&gt;"",IF(AND(AG132&gt;0,AG132&lt;&gt;""),"Ja","Nej"),"")</f>
        <v>Nej</v>
      </c>
      <c r="AT132" s="227" t="str">
        <f>IF(AS132="ja",VLOOKUP($B132,Miljö!$B$1:$O$500,MATCH("Fossil andel i procent (%)",Miljö!$B$1:$O$1,0),FALSE)/100,"")</f>
        <v/>
      </c>
      <c r="AU132" s="227"/>
      <c r="AV132" s="227" t="str">
        <f t="shared" ref="AV132:AV195" si="15">IF(B132&lt;&gt;"",IF(AND(AB132&gt;0,AB132&lt;&gt;""),"Ja","Nej"),"")</f>
        <v>Nej</v>
      </c>
      <c r="AW132" s="227" t="str">
        <f>IF(AV132="ja",VLOOKUP($B132,'Egen hetvattenprod'!$B$1:$AO$500,MATCH("Värmekälla till värmepumpar ()",'Egen hetvattenprod'!$B$1:$AO$1,0),FALSE),"")</f>
        <v/>
      </c>
      <c r="AX132" s="227"/>
      <c r="AY132" s="227" t="str">
        <f t="shared" ref="AY132:AY195" si="16">IF(B132&lt;&gt;"",IF(AND(AC132&gt;0,AC132&lt;&gt;""),"Ja","Nej"),"")</f>
        <v>Nej</v>
      </c>
      <c r="AZ132" s="228" t="str">
        <f>IF($AY132="ja",(VLOOKUP($B132,'Egen hetvattenprod'!$B$1:$BX$550,MATCH(AZ$2,'Egen hetvattenprod'!$B$1:$BX$1,0),FALSE)+VLOOKUP($B132,Kraftvärmeprod!$B$1:$BX$550,MATCH(AZ$2,Kraftvärmeprod!$B$1:$BX$1,0),FALSE))/$AC132,"")</f>
        <v/>
      </c>
      <c r="BA132" s="228" t="str">
        <f>IF($AY132="ja",(VLOOKUP($B132,'Egen hetvattenprod'!$B$1:$BX$550,MATCH(BA$2,'Egen hetvattenprod'!$B$1:$BX$1,0),FALSE)+VLOOKUP($B132,Kraftvärmeprod!$B$1:$BX$550,MATCH(BA$2,Kraftvärmeprod!$B$1:$BX$1,0),FALSE))/$AC132,"")</f>
        <v/>
      </c>
      <c r="BB132" s="228" t="str">
        <f>IF($AY132="ja",(VLOOKUP($B132,'Egen hetvattenprod'!$B$1:$BX$550,MATCH(BB$2,'Egen hetvattenprod'!$B$1:$BX$1,0),FALSE)+VLOOKUP($B132,Kraftvärmeprod!$B$1:$BX$550,MATCH(BB$2,Kraftvärmeprod!$B$1:$BX$1,0),FALSE))/$AC132,"")</f>
        <v/>
      </c>
      <c r="BC132" s="228" t="str">
        <f>IF($AY132="ja",(VLOOKUP($B132,'Egen hetvattenprod'!$B$1:$BX$550,MATCH(BC$2,'Egen hetvattenprod'!$B$1:$BX$1,0),FALSE)+VLOOKUP($B132,Kraftvärmeprod!$B$1:$BX$550,MATCH(BC$2,Kraftvärmeprod!$B$1:$BX$1,0),FALSE))/$AC132,"")</f>
        <v/>
      </c>
      <c r="BD132" s="228" t="str">
        <f>IF($AY132="ja",(VLOOKUP($B132,'Egen hetvattenprod'!$B$1:$BX$550,MATCH(BD$2,'Egen hetvattenprod'!$B$1:$BX$1,0),FALSE)+VLOOKUP($B132,Kraftvärmeprod!$B$1:$BX$550,MATCH(BD$2,Kraftvärmeprod!$B$1:$BX$1,0),FALSE))/$AC132,"")</f>
        <v/>
      </c>
      <c r="BE132" s="227"/>
      <c r="BF132" s="227" t="str">
        <f t="shared" ref="BF132:BF195" si="17">IF(B132&lt;&gt;"",IF(AND(I132&gt;0,I132&lt;&gt;""),"Ja","Nej"),"")</f>
        <v>Nej</v>
      </c>
      <c r="BG132" s="227" t="str">
        <f>IF($BF132="ja",VLOOKUP($B132,'Egen hetvattenprod'!$B$1:$BX$550,MATCH("Andelen klimatgaser med fossilt ursprung för avfall ()",'Egen hetvattenprod'!$B$1:$BX$1,0),FALSE),"")</f>
        <v/>
      </c>
      <c r="BH132" s="227" t="str">
        <f>IF($BF132="ja",VLOOKUP($B132,Kraftvärmeprod!$B$1:$BX$550,MATCH("Andelen klimatgaser med fossilt ursprung för avfall ()",Kraftvärmeprod!$B$1:$BX$1,0),FALSE),"")</f>
        <v/>
      </c>
      <c r="BI132" s="227" t="str">
        <f>IF($BF132="ja",VLOOKUP($B132,'Egen hetvattenprod'!$B$1:$BX$550,MATCH("Avfall (GWh)",'Egen hetvattenprod'!$B$1:$BX$1,0),FALSE),"")</f>
        <v/>
      </c>
      <c r="BJ132" s="227" t="str">
        <f>IF($BF132="ja",VLOOKUP($B132,'Slutlig allokering kvv'!$B$1:$BX$550,MATCH("Avfall (GWh)",'Slutlig allokering kvv'!$B$1:$BX$1,0),FALSE),"")</f>
        <v/>
      </c>
      <c r="BK132" s="227" t="str">
        <f>IF($BF132="ja",VLOOKUP($B132,'Köpt hetvatten'!$B$1:$BX$550,MATCH("Avfall i köpt hetvatten",'Köpt hetvatten'!$B$1:$BX$1,0),FALSE),"")</f>
        <v/>
      </c>
      <c r="BL132" s="227" t="str">
        <f>IF($BF132="ja",VLOOKUP($B132,'Egen hetvattenprod'!$B$1:$BX$550,MATCH("Värde enligt ovan. (%)",'Egen hetvattenprod'!$B$1:$BX$1,0),FALSE),"")</f>
        <v/>
      </c>
      <c r="BM132" s="227" t="str">
        <f>IF($BF132="ja",VLOOKUP($B132,Kraftvärmeprod!$B$1:$BX$550,MATCH("Värde enligt ovan. (%)",Kraftvärmeprod!$B$1:$BX$1,0),FALSE),"")</f>
        <v/>
      </c>
      <c r="BN132" s="227"/>
      <c r="BO132" s="227"/>
      <c r="BP132" s="227"/>
      <c r="BQ132" s="227" t="str">
        <f>IF($BF132="ja",VLOOKUP($B132,'Egen hetvattenprod'!$B$1:$BX$550,MATCH("Tillförd olja (fossil) vid avfallsförbränning (GWh)",'Egen hetvattenprod'!$B$1:$BX$1,0),FALSE),"")</f>
        <v/>
      </c>
      <c r="BR132" s="227" t="str">
        <f>IF($BF132="ja",VLOOKUP($B132,Kraftvärmeprod!$B$1:$BX$550,MATCH("Tillförd olja (fossil) vid avfallsförbränning (GWh)",Kraftvärmeprod!$B$1:$BX$1,0),FALSE),"")</f>
        <v/>
      </c>
      <c r="BS132" s="227"/>
      <c r="BT132" s="227"/>
      <c r="BU132" s="227"/>
    </row>
    <row r="133" spans="1:73" x14ac:dyDescent="0.25">
      <c r="A133" s="121" t="str">
        <f>'Miljövärden för publ företag'!B136</f>
        <v>Kungälv Energi AB</v>
      </c>
      <c r="B133" s="121" t="str">
        <f>'Miljövärden för publ företag'!C136</f>
        <v>HVC Stålkullen</v>
      </c>
      <c r="C133" s="173">
        <f>IFERROR(VLOOKUP($B133,Totalt!$B$1:$AQ$554,MATCH(C$2,Totalt!$B$1:$AQ$1,0),FALSE),"")</f>
        <v>0</v>
      </c>
      <c r="D133" s="173">
        <f>IFERROR(VLOOKUP($B133,Totalt!$B$1:$AQ$554,MATCH(D$2,Totalt!$B$1:$AQ$1,0),FALSE),"")</f>
        <v>6.5000000000000002E-2</v>
      </c>
      <c r="E133" s="173">
        <f>IFERROR(VLOOKUP($B133,Totalt!$B$1:$AQ$554,MATCH(E$2,Totalt!$B$1:$AQ$1,0),FALSE),"")</f>
        <v>0</v>
      </c>
      <c r="F133" s="173">
        <f>IFERROR(VLOOKUP($B133,Totalt!$B$1:$AQ$554,MATCH(F$2,Totalt!$B$1:$AQ$1,0),FALSE),"")</f>
        <v>0</v>
      </c>
      <c r="G133" s="173">
        <f>IFERROR(VLOOKUP($B133,Totalt!$B$1:$AQ$554,MATCH(G$2,Totalt!$B$1:$AQ$1,0),FALSE),"")</f>
        <v>0</v>
      </c>
      <c r="H133" s="173">
        <f>IFERROR(VLOOKUP($B133,Totalt!$B$1:$AQ$554,MATCH(H$2,Totalt!$B$1:$AQ$1,0),FALSE),"")</f>
        <v>0</v>
      </c>
      <c r="I133" s="173">
        <f>IFERROR(VLOOKUP($B133,Totalt!$B$1:$AQ$554,MATCH(I$2,Totalt!$B$1:$AQ$1,0),FALSE),"")</f>
        <v>0</v>
      </c>
      <c r="J133" s="173">
        <f>IFERROR(VLOOKUP($B133,Totalt!$B$1:$AQ$554,MATCH(J$2,Totalt!$B$1:$AQ$1,0),FALSE),"")</f>
        <v>0</v>
      </c>
      <c r="K133" s="173">
        <f>IFERROR(VLOOKUP($B133,Totalt!$B$1:$AQ$554,MATCH(K$2,Totalt!$B$1:$AQ$1,0),FALSE),"")</f>
        <v>0</v>
      </c>
      <c r="L133" s="173">
        <f>IFERROR(VLOOKUP($B133,Totalt!$B$1:$AQ$554,MATCH(L$2,Totalt!$B$1:$AQ$1,0),FALSE),"")</f>
        <v>0</v>
      </c>
      <c r="M133" s="173">
        <f>IFERROR(VLOOKUP($B133,Totalt!$B$1:$AQ$554,MATCH(M$2,Totalt!$B$1:$AQ$1,0),FALSE),"")</f>
        <v>0</v>
      </c>
      <c r="N133" s="173">
        <f>IFERROR(VLOOKUP($B133,Totalt!$B$1:$AQ$554,MATCH(N$2,Totalt!$B$1:$AQ$1,0),FALSE),"")</f>
        <v>0</v>
      </c>
      <c r="O133" s="173">
        <f>IFERROR(VLOOKUP($B133,Totalt!$B$1:$AQ$554,MATCH(O$2,Totalt!$B$1:$AQ$1,0),FALSE),"")</f>
        <v>0</v>
      </c>
      <c r="P133" s="173">
        <f>IFERROR(VLOOKUP($B133,Totalt!$B$1:$AQ$554,MATCH(P$2,Totalt!$B$1:$AQ$1,0),FALSE),"")</f>
        <v>0</v>
      </c>
      <c r="Q133" s="173">
        <f>IFERROR(VLOOKUP($B133,Totalt!$B$1:$AQ$554,MATCH(Q$2,Totalt!$B$1:$AQ$1,0),FALSE),"")</f>
        <v>0</v>
      </c>
      <c r="R133" s="173">
        <f>IFERROR(VLOOKUP($B133,Totalt!$B$1:$AQ$554,MATCH(R$2,Totalt!$B$1:$AQ$1,0),FALSE),"")</f>
        <v>3.512</v>
      </c>
      <c r="S133" s="173">
        <f>IFERROR(VLOOKUP($B133,Totalt!$B$1:$AQ$554,MATCH(S$2,Totalt!$B$1:$AQ$1,0),FALSE),"")</f>
        <v>0</v>
      </c>
      <c r="T133" s="173">
        <f>IFERROR(VLOOKUP($B133,Totalt!$B$1:$AQ$554,MATCH(T$2,Totalt!$B$1:$AQ$1,0),FALSE),"")</f>
        <v>0</v>
      </c>
      <c r="U133" s="173">
        <f>IFERROR(VLOOKUP($B133,Totalt!$B$1:$AQ$554,MATCH(U$2,Totalt!$B$1:$AQ$1,0),FALSE),"")</f>
        <v>0</v>
      </c>
      <c r="V133" s="173">
        <f>IFERROR(VLOOKUP($B133,Totalt!$B$1:$AQ$554,MATCH(V$2,Totalt!$B$1:$AQ$1,0),FALSE),"")</f>
        <v>0</v>
      </c>
      <c r="W133" s="173">
        <f>IFERROR(VLOOKUP($B133,Totalt!$B$1:$AQ$554,MATCH(W$2,Totalt!$B$1:$AQ$1,0),FALSE),"")</f>
        <v>0</v>
      </c>
      <c r="X133" s="173">
        <f>IFERROR(VLOOKUP($B133,Totalt!$B$1:$AQ$554,MATCH(X$2,Totalt!$B$1:$AQ$1,0),FALSE),"")</f>
        <v>0</v>
      </c>
      <c r="Y133" s="173">
        <f>IFERROR(VLOOKUP($B133,Totalt!$B$1:$AQ$554,MATCH(Y$2,Totalt!$B$1:$AQ$1,0),FALSE),"")</f>
        <v>0</v>
      </c>
      <c r="Z133" s="173">
        <f>IFERROR(VLOOKUP($B133,Totalt!$B$1:$AQ$554,MATCH(Z$2,Totalt!$B$1:$AQ$1,0),FALSE),"")</f>
        <v>0</v>
      </c>
      <c r="AA133" s="173">
        <f>IFERROR(VLOOKUP($B133,Totalt!$B$1:$AQ$554,MATCH(AA$2,Totalt!$B$1:$AQ$1,0),FALSE),"")</f>
        <v>0</v>
      </c>
      <c r="AB133" s="173">
        <f>IFERROR(VLOOKUP($B133,Totalt!$B$1:$AQ$554,MATCH(AB$2,Totalt!$B$1:$AQ$1,0),FALSE),"")</f>
        <v>0</v>
      </c>
      <c r="AC133" s="173">
        <f>IFERROR(VLOOKUP($B133,Totalt!$B$1:$AQ$554,MATCH(AC$2,Totalt!$B$1:$AQ$1,0),FALSE),"")</f>
        <v>0</v>
      </c>
      <c r="AD133" s="173">
        <f>IFERROR(VLOOKUP($B133,Totalt!$B$1:$AQ$554,MATCH(AD$2,Totalt!$B$1:$AQ$1,0),FALSE),"")</f>
        <v>0</v>
      </c>
      <c r="AE133" s="173">
        <f>IFERROR(VLOOKUP($B133,Totalt!$B$1:$AQ$554,MATCH(AE$2,Totalt!$B$1:$AQ$1,0),FALSE),"")</f>
        <v>0</v>
      </c>
      <c r="AF133" s="173">
        <f>IFERROR(VLOOKUP($B133,Totalt!$B$1:$AQ$554,MATCH(AF$2,Totalt!$B$1:$AQ$1,0),FALSE),"")</f>
        <v>4.9000000000000002E-2</v>
      </c>
      <c r="AG133" s="173">
        <f>IFERROR(VLOOKUP($B133,Totalt!$B$1:$AQ$554,MATCH(AG$2,Totalt!$B$1:$AQ$1,0),FALSE),"")</f>
        <v>0</v>
      </c>
      <c r="AI133" s="226">
        <f t="shared" si="12"/>
        <v>3.6259999999999999</v>
      </c>
      <c r="AJ133" s="226">
        <f>IF(ISERROR(1/VLOOKUP($B133,Leveranser!$B$1:$S$500,MATCH("såld värme (gwh)",Leveranser!$B$1:$S$1,0),FALSE)),"",VLOOKUP($B133,Leveranser!$B$1:$S$500,MATCH("såld värme (gwh)",Leveranser!$B$1:$S$1,0),FALSE))</f>
        <v>3</v>
      </c>
      <c r="AM133" s="227" t="str">
        <f>IF(B133&lt;&gt;"",IF(VLOOKUP($B133,Totalt!$B$1:$AQ$554,MATCH("Kvalitetsgranskad:",Totalt!$B$1:$AQ$1,0),FALSE)="ja",VLOOKUP($B133,Miljö!$B$1:$AG$479,MATCH(AM$2,Miljö!$B$1:$AK$1,0),FALSE),""),"")</f>
        <v>Ja</v>
      </c>
      <c r="AN133" s="227" t="str">
        <f>IF(AM133="ja",VLOOKUP($B133,Miljö!$B$1:$J$479,MATCH("Typ av ursprungsspecificerad el   (Om inget värde anges används Nordisk residualmix, se inforuta) ()",Miljö!$B$1:$J$1,0),FALSE),IF(AM133="nej","Nordisk residualel",""))</f>
        <v>''Vattenkraft''</v>
      </c>
      <c r="AO133" s="227">
        <f>IF(AM133="","",VLOOKUP($B133,Miljö!$B$1:$J$479,MATCH("Fossilandel för ursprungspecificerad el ()",Miljö!$B$1:$J$1,0),FALSE))</f>
        <v>0</v>
      </c>
      <c r="AP133" s="227">
        <f>IF(AM133="","",IFERROR(VLOOKUP($B133,Miljö!$B$1:$J$479,MATCH("Kärnkraftsandel för ursprungsspecificerad el ()",Miljö!$B$1:$J$1,0),FALSE)/1,0))</f>
        <v>0</v>
      </c>
      <c r="AQ133" s="227">
        <f t="shared" si="13"/>
        <v>1</v>
      </c>
      <c r="AR133" s="227"/>
      <c r="AS133" s="227" t="str">
        <f t="shared" si="14"/>
        <v>Nej</v>
      </c>
      <c r="AT133" s="227" t="str">
        <f>IF(AS133="ja",VLOOKUP($B133,Miljö!$B$1:$O$500,MATCH("Fossil andel i procent (%)",Miljö!$B$1:$O$1,0),FALSE)/100,"")</f>
        <v/>
      </c>
      <c r="AU133" s="227"/>
      <c r="AV133" s="227" t="str">
        <f t="shared" si="15"/>
        <v>Nej</v>
      </c>
      <c r="AW133" s="227" t="str">
        <f>IF(AV133="ja",VLOOKUP($B133,'Egen hetvattenprod'!$B$1:$AO$500,MATCH("Värmekälla till värmepumpar ()",'Egen hetvattenprod'!$B$1:$AO$1,0),FALSE),"")</f>
        <v/>
      </c>
      <c r="AX133" s="227"/>
      <c r="AY133" s="227" t="str">
        <f t="shared" si="16"/>
        <v>Nej</v>
      </c>
      <c r="AZ133" s="228" t="str">
        <f>IF($AY133="ja",(VLOOKUP($B133,'Egen hetvattenprod'!$B$1:$BX$550,MATCH(AZ$2,'Egen hetvattenprod'!$B$1:$BX$1,0),FALSE)+VLOOKUP($B133,Kraftvärmeprod!$B$1:$BX$550,MATCH(AZ$2,Kraftvärmeprod!$B$1:$BX$1,0),FALSE))/$AC133,"")</f>
        <v/>
      </c>
      <c r="BA133" s="228" t="str">
        <f>IF($AY133="ja",(VLOOKUP($B133,'Egen hetvattenprod'!$B$1:$BX$550,MATCH(BA$2,'Egen hetvattenprod'!$B$1:$BX$1,0),FALSE)+VLOOKUP($B133,Kraftvärmeprod!$B$1:$BX$550,MATCH(BA$2,Kraftvärmeprod!$B$1:$BX$1,0),FALSE))/$AC133,"")</f>
        <v/>
      </c>
      <c r="BB133" s="228" t="str">
        <f>IF($AY133="ja",(VLOOKUP($B133,'Egen hetvattenprod'!$B$1:$BX$550,MATCH(BB$2,'Egen hetvattenprod'!$B$1:$BX$1,0),FALSE)+VLOOKUP($B133,Kraftvärmeprod!$B$1:$BX$550,MATCH(BB$2,Kraftvärmeprod!$B$1:$BX$1,0),FALSE))/$AC133,"")</f>
        <v/>
      </c>
      <c r="BC133" s="228" t="str">
        <f>IF($AY133="ja",(VLOOKUP($B133,'Egen hetvattenprod'!$B$1:$BX$550,MATCH(BC$2,'Egen hetvattenprod'!$B$1:$BX$1,0),FALSE)+VLOOKUP($B133,Kraftvärmeprod!$B$1:$BX$550,MATCH(BC$2,Kraftvärmeprod!$B$1:$BX$1,0),FALSE))/$AC133,"")</f>
        <v/>
      </c>
      <c r="BD133" s="228" t="str">
        <f>IF($AY133="ja",(VLOOKUP($B133,'Egen hetvattenprod'!$B$1:$BX$550,MATCH(BD$2,'Egen hetvattenprod'!$B$1:$BX$1,0),FALSE)+VLOOKUP($B133,Kraftvärmeprod!$B$1:$BX$550,MATCH(BD$2,Kraftvärmeprod!$B$1:$BX$1,0),FALSE))/$AC133,"")</f>
        <v/>
      </c>
      <c r="BE133" s="227"/>
      <c r="BF133" s="227" t="str">
        <f t="shared" si="17"/>
        <v>Nej</v>
      </c>
      <c r="BG133" s="227" t="str">
        <f>IF($BF133="ja",VLOOKUP($B133,'Egen hetvattenprod'!$B$1:$BX$550,MATCH("Andelen klimatgaser med fossilt ursprung för avfall ()",'Egen hetvattenprod'!$B$1:$BX$1,0),FALSE),"")</f>
        <v/>
      </c>
      <c r="BH133" s="227" t="str">
        <f>IF($BF133="ja",VLOOKUP($B133,Kraftvärmeprod!$B$1:$BX$550,MATCH("Andelen klimatgaser med fossilt ursprung för avfall ()",Kraftvärmeprod!$B$1:$BX$1,0),FALSE),"")</f>
        <v/>
      </c>
      <c r="BI133" s="227" t="str">
        <f>IF($BF133="ja",VLOOKUP($B133,'Egen hetvattenprod'!$B$1:$BX$550,MATCH("Avfall (GWh)",'Egen hetvattenprod'!$B$1:$BX$1,0),FALSE),"")</f>
        <v/>
      </c>
      <c r="BJ133" s="227" t="str">
        <f>IF($BF133="ja",VLOOKUP($B133,'Slutlig allokering kvv'!$B$1:$BX$550,MATCH("Avfall (GWh)",'Slutlig allokering kvv'!$B$1:$BX$1,0),FALSE),"")</f>
        <v/>
      </c>
      <c r="BK133" s="227" t="str">
        <f>IF($BF133="ja",VLOOKUP($B133,'Köpt hetvatten'!$B$1:$BX$550,MATCH("Avfall i köpt hetvatten",'Köpt hetvatten'!$B$1:$BX$1,0),FALSE),"")</f>
        <v/>
      </c>
      <c r="BL133" s="227" t="str">
        <f>IF($BF133="ja",VLOOKUP($B133,'Egen hetvattenprod'!$B$1:$BX$550,MATCH("Värde enligt ovan. (%)",'Egen hetvattenprod'!$B$1:$BX$1,0),FALSE),"")</f>
        <v/>
      </c>
      <c r="BM133" s="227" t="str">
        <f>IF($BF133="ja",VLOOKUP($B133,Kraftvärmeprod!$B$1:$BX$550,MATCH("Värde enligt ovan. (%)",Kraftvärmeprod!$B$1:$BX$1,0),FALSE),"")</f>
        <v/>
      </c>
      <c r="BN133" s="227"/>
      <c r="BO133" s="227"/>
      <c r="BP133" s="227"/>
      <c r="BQ133" s="227" t="str">
        <f>IF($BF133="ja",VLOOKUP($B133,'Egen hetvattenprod'!$B$1:$BX$550,MATCH("Tillförd olja (fossil) vid avfallsförbränning (GWh)",'Egen hetvattenprod'!$B$1:$BX$1,0),FALSE),"")</f>
        <v/>
      </c>
      <c r="BR133" s="227" t="str">
        <f>IF($BF133="ja",VLOOKUP($B133,Kraftvärmeprod!$B$1:$BX$550,MATCH("Tillförd olja (fossil) vid avfallsförbränning (GWh)",Kraftvärmeprod!$B$1:$BX$1,0),FALSE),"")</f>
        <v/>
      </c>
      <c r="BS133" s="227"/>
      <c r="BT133" s="227"/>
      <c r="BU133" s="227"/>
    </row>
    <row r="134" spans="1:73" x14ac:dyDescent="0.25">
      <c r="A134" s="121" t="str">
        <f>'Miljövärden för publ företag'!B137</f>
        <v>Kungälv Energi AB</v>
      </c>
      <c r="B134" s="121" t="str">
        <f>'Miljövärden för publ företag'!C137</f>
        <v>Kungälv</v>
      </c>
      <c r="C134" s="173">
        <f>IFERROR(VLOOKUP($B134,Totalt!$B$1:$AQ$554,MATCH(C$2,Totalt!$B$1:$AQ$1,0),FALSE),"")</f>
        <v>0</v>
      </c>
      <c r="D134" s="173">
        <f>IFERROR(VLOOKUP($B134,Totalt!$B$1:$AQ$554,MATCH(D$2,Totalt!$B$1:$AQ$1,0),FALSE),"")</f>
        <v>0</v>
      </c>
      <c r="E134" s="173">
        <f>IFERROR(VLOOKUP($B134,Totalt!$B$1:$AQ$554,MATCH(E$2,Totalt!$B$1:$AQ$1,0),FALSE),"")</f>
        <v>0</v>
      </c>
      <c r="F134" s="173">
        <f>IFERROR(VLOOKUP($B134,Totalt!$B$1:$AQ$554,MATCH(F$2,Totalt!$B$1:$AQ$1,0),FALSE),"")</f>
        <v>0</v>
      </c>
      <c r="G134" s="173">
        <f>IFERROR(VLOOKUP($B134,Totalt!$B$1:$AQ$554,MATCH(G$2,Totalt!$B$1:$AQ$1,0),FALSE),"")</f>
        <v>0</v>
      </c>
      <c r="H134" s="173">
        <f>IFERROR(VLOOKUP($B134,Totalt!$B$1:$AQ$554,MATCH(H$2,Totalt!$B$1:$AQ$1,0),FALSE),"")</f>
        <v>0</v>
      </c>
      <c r="I134" s="173">
        <f>IFERROR(VLOOKUP($B134,Totalt!$B$1:$AQ$554,MATCH(I$2,Totalt!$B$1:$AQ$1,0),FALSE),"")</f>
        <v>0</v>
      </c>
      <c r="J134" s="173">
        <f>IFERROR(VLOOKUP($B134,Totalt!$B$1:$AQ$554,MATCH(J$2,Totalt!$B$1:$AQ$1,0),FALSE),"")</f>
        <v>0</v>
      </c>
      <c r="K134" s="173">
        <f>IFERROR(VLOOKUP($B134,Totalt!$B$1:$AQ$554,MATCH(K$2,Totalt!$B$1:$AQ$1,0),FALSE),"")</f>
        <v>0</v>
      </c>
      <c r="L134" s="173">
        <f>IFERROR(VLOOKUP($B134,Totalt!$B$1:$AQ$554,MATCH(L$2,Totalt!$B$1:$AQ$1,0),FALSE),"")</f>
        <v>0</v>
      </c>
      <c r="M134" s="173">
        <f>IFERROR(VLOOKUP($B134,Totalt!$B$1:$AQ$554,MATCH(M$2,Totalt!$B$1:$AQ$1,0),FALSE),"")</f>
        <v>22.862300000000001</v>
      </c>
      <c r="N134" s="173">
        <f>IFERROR(VLOOKUP($B134,Totalt!$B$1:$AQ$554,MATCH(N$2,Totalt!$B$1:$AQ$1,0),FALSE),"")</f>
        <v>38.154800000000002</v>
      </c>
      <c r="O134" s="173">
        <f>IFERROR(VLOOKUP($B134,Totalt!$B$1:$AQ$554,MATCH(O$2,Totalt!$B$1:$AQ$1,0),FALSE),"")</f>
        <v>0</v>
      </c>
      <c r="P134" s="173">
        <f>IFERROR(VLOOKUP($B134,Totalt!$B$1:$AQ$554,MATCH(P$2,Totalt!$B$1:$AQ$1,0),FALSE),"")</f>
        <v>15.2925</v>
      </c>
      <c r="Q134" s="173">
        <f>IFERROR(VLOOKUP($B134,Totalt!$B$1:$AQ$554,MATCH(Q$2,Totalt!$B$1:$AQ$1,0),FALSE),"")</f>
        <v>0</v>
      </c>
      <c r="R134" s="173">
        <f>IFERROR(VLOOKUP($B134,Totalt!$B$1:$AQ$554,MATCH(R$2,Totalt!$B$1:$AQ$1,0),FALSE),"")</f>
        <v>0</v>
      </c>
      <c r="S134" s="173">
        <f>IFERROR(VLOOKUP($B134,Totalt!$B$1:$AQ$554,MATCH(S$2,Totalt!$B$1:$AQ$1,0),FALSE),"")</f>
        <v>0</v>
      </c>
      <c r="T134" s="173">
        <f>IFERROR(VLOOKUP($B134,Totalt!$B$1:$AQ$554,MATCH(T$2,Totalt!$B$1:$AQ$1,0),FALSE),"")</f>
        <v>0</v>
      </c>
      <c r="U134" s="173">
        <f>IFERROR(VLOOKUP($B134,Totalt!$B$1:$AQ$554,MATCH(U$2,Totalt!$B$1:$AQ$1,0),FALSE),"")</f>
        <v>0</v>
      </c>
      <c r="V134" s="173">
        <f>IFERROR(VLOOKUP($B134,Totalt!$B$1:$AQ$554,MATCH(V$2,Totalt!$B$1:$AQ$1,0),FALSE),"")</f>
        <v>0</v>
      </c>
      <c r="W134" s="173">
        <f>IFERROR(VLOOKUP($B134,Totalt!$B$1:$AQ$554,MATCH(W$2,Totalt!$B$1:$AQ$1,0),FALSE),"")</f>
        <v>0.48299999999999998</v>
      </c>
      <c r="X134" s="173">
        <f>IFERROR(VLOOKUP($B134,Totalt!$B$1:$AQ$554,MATCH(X$2,Totalt!$B$1:$AQ$1,0),FALSE),"")</f>
        <v>0</v>
      </c>
      <c r="Y134" s="173">
        <f>IFERROR(VLOOKUP($B134,Totalt!$B$1:$AQ$554,MATCH(Y$2,Totalt!$B$1:$AQ$1,0),FALSE),"")</f>
        <v>0</v>
      </c>
      <c r="Z134" s="173">
        <f>IFERROR(VLOOKUP($B134,Totalt!$B$1:$AQ$554,MATCH(Z$2,Totalt!$B$1:$AQ$1,0),FALSE),"")</f>
        <v>0</v>
      </c>
      <c r="AA134" s="173">
        <f>IFERROR(VLOOKUP($B134,Totalt!$B$1:$AQ$554,MATCH(AA$2,Totalt!$B$1:$AQ$1,0),FALSE),"")</f>
        <v>0</v>
      </c>
      <c r="AB134" s="173">
        <f>IFERROR(VLOOKUP($B134,Totalt!$B$1:$AQ$554,MATCH(AB$2,Totalt!$B$1:$AQ$1,0),FALSE),"")</f>
        <v>0</v>
      </c>
      <c r="AC134" s="173">
        <f>IFERROR(VLOOKUP($B134,Totalt!$B$1:$AQ$554,MATCH(AC$2,Totalt!$B$1:$AQ$1,0),FALSE),"")</f>
        <v>26.8</v>
      </c>
      <c r="AD134" s="173">
        <f>IFERROR(VLOOKUP($B134,Totalt!$B$1:$AQ$554,MATCH(AD$2,Totalt!$B$1:$AQ$1,0),FALSE),"")</f>
        <v>0</v>
      </c>
      <c r="AE134" s="173">
        <f>IFERROR(VLOOKUP($B134,Totalt!$B$1:$AQ$554,MATCH(AE$2,Totalt!$B$1:$AQ$1,0),FALSE),"")</f>
        <v>0</v>
      </c>
      <c r="AF134" s="173">
        <f>IFERROR(VLOOKUP($B134,Totalt!$B$1:$AQ$554,MATCH(AF$2,Totalt!$B$1:$AQ$1,0),FALSE),"")</f>
        <v>3.0814400000000002</v>
      </c>
      <c r="AG134" s="173">
        <f>IFERROR(VLOOKUP($B134,Totalt!$B$1:$AQ$554,MATCH(AG$2,Totalt!$B$1:$AQ$1,0),FALSE),"")</f>
        <v>32.200000000000003</v>
      </c>
      <c r="AI134" s="226">
        <f t="shared" si="12"/>
        <v>138.87404000000001</v>
      </c>
      <c r="AJ134" s="226">
        <f>IF(ISERROR(1/VLOOKUP($B134,Leveranser!$B$1:$S$500,MATCH("såld värme (gwh)",Leveranser!$B$1:$S$1,0),FALSE)),"",VLOOKUP($B134,Leveranser!$B$1:$S$500,MATCH("såld värme (gwh)",Leveranser!$B$1:$S$1,0),FALSE))</f>
        <v>116</v>
      </c>
      <c r="AM134" s="227" t="str">
        <f>IF(B134&lt;&gt;"",IF(VLOOKUP($B134,Totalt!$B$1:$AQ$554,MATCH("Kvalitetsgranskad:",Totalt!$B$1:$AQ$1,0),FALSE)="ja",VLOOKUP($B134,Miljö!$B$1:$AG$479,MATCH(AM$2,Miljö!$B$1:$AK$1,0),FALSE),""),"")</f>
        <v>Ja</v>
      </c>
      <c r="AN134" s="227" t="str">
        <f>IF(AM134="ja",VLOOKUP($B134,Miljö!$B$1:$J$479,MATCH("Typ av ursprungsspecificerad el   (Om inget värde anges används Nordisk residualmix, se inforuta) ()",Miljö!$B$1:$J$1,0),FALSE),IF(AM134="nej","Nordisk residualel",""))</f>
        <v>'Vattenkraft'</v>
      </c>
      <c r="AO134" s="227">
        <f>IF(AM134="","",VLOOKUP($B134,Miljö!$B$1:$J$479,MATCH("Fossilandel för ursprungspecificerad el ()",Miljö!$B$1:$J$1,0),FALSE))</f>
        <v>0</v>
      </c>
      <c r="AP134" s="227">
        <f>IF(AM134="","",IFERROR(VLOOKUP($B134,Miljö!$B$1:$J$479,MATCH("Kärnkraftsandel för ursprungsspecificerad el ()",Miljö!$B$1:$J$1,0),FALSE)/1,0))</f>
        <v>0</v>
      </c>
      <c r="AQ134" s="227">
        <f t="shared" si="13"/>
        <v>1</v>
      </c>
      <c r="AR134" s="227"/>
      <c r="AS134" s="227" t="str">
        <f t="shared" si="14"/>
        <v>Ja</v>
      </c>
      <c r="AT134" s="227">
        <f>IF(AS134="ja",VLOOKUP($B134,Miljö!$B$1:$O$500,MATCH("Fossil andel i procent (%)",Miljö!$B$1:$O$1,0),FALSE)/100,"")</f>
        <v>0.13</v>
      </c>
      <c r="AU134" s="227"/>
      <c r="AV134" s="227" t="str">
        <f t="shared" si="15"/>
        <v>Nej</v>
      </c>
      <c r="AW134" s="227" t="str">
        <f>IF(AV134="ja",VLOOKUP($B134,'Egen hetvattenprod'!$B$1:$AO$500,MATCH("Värmekälla till värmepumpar ()",'Egen hetvattenprod'!$B$1:$AO$1,0),FALSE),"")</f>
        <v/>
      </c>
      <c r="AX134" s="227"/>
      <c r="AY134" s="227" t="str">
        <f t="shared" si="16"/>
        <v>Ja</v>
      </c>
      <c r="AZ134" s="228">
        <f>IF($AY134="ja",(VLOOKUP($B134,'Egen hetvattenprod'!$B$1:$BX$550,MATCH(AZ$2,'Egen hetvattenprod'!$B$1:$BX$1,0),FALSE)+VLOOKUP($B134,Kraftvärmeprod!$B$1:$BX$550,MATCH(AZ$2,Kraftvärmeprod!$B$1:$BX$1,0),FALSE))/$AC134,"")</f>
        <v>1</v>
      </c>
      <c r="BA134" s="228">
        <f>IF($AY134="ja",(VLOOKUP($B134,'Egen hetvattenprod'!$B$1:$BX$550,MATCH(BA$2,'Egen hetvattenprod'!$B$1:$BX$1,0),FALSE)+VLOOKUP($B134,Kraftvärmeprod!$B$1:$BX$550,MATCH(BA$2,Kraftvärmeprod!$B$1:$BX$1,0),FALSE))/$AC134,"")</f>
        <v>0</v>
      </c>
      <c r="BB134" s="228">
        <f>IF($AY134="ja",(VLOOKUP($B134,'Egen hetvattenprod'!$B$1:$BX$550,MATCH(BB$2,'Egen hetvattenprod'!$B$1:$BX$1,0),FALSE)+VLOOKUP($B134,Kraftvärmeprod!$B$1:$BX$550,MATCH(BB$2,Kraftvärmeprod!$B$1:$BX$1,0),FALSE))/$AC134,"")</f>
        <v>0</v>
      </c>
      <c r="BC134" s="228">
        <f>IF($AY134="ja",(VLOOKUP($B134,'Egen hetvattenprod'!$B$1:$BX$550,MATCH(BC$2,'Egen hetvattenprod'!$B$1:$BX$1,0),FALSE)+VLOOKUP($B134,Kraftvärmeprod!$B$1:$BX$550,MATCH(BC$2,Kraftvärmeprod!$B$1:$BX$1,0),FALSE))/$AC134,"")</f>
        <v>0</v>
      </c>
      <c r="BD134" s="228">
        <f>IF($AY134="ja",(VLOOKUP($B134,'Egen hetvattenprod'!$B$1:$BX$550,MATCH(BD$2,'Egen hetvattenprod'!$B$1:$BX$1,0),FALSE)+VLOOKUP($B134,Kraftvärmeprod!$B$1:$BX$550,MATCH(BD$2,Kraftvärmeprod!$B$1:$BX$1,0),FALSE))/$AC134,"")</f>
        <v>0</v>
      </c>
      <c r="BE134" s="227"/>
      <c r="BF134" s="227" t="str">
        <f t="shared" si="17"/>
        <v>Nej</v>
      </c>
      <c r="BG134" s="227" t="str">
        <f>IF($BF134="ja",VLOOKUP($B134,'Egen hetvattenprod'!$B$1:$BX$550,MATCH("Andelen klimatgaser med fossilt ursprung för avfall ()",'Egen hetvattenprod'!$B$1:$BX$1,0),FALSE),"")</f>
        <v/>
      </c>
      <c r="BH134" s="227" t="str">
        <f>IF($BF134="ja",VLOOKUP($B134,Kraftvärmeprod!$B$1:$BX$550,MATCH("Andelen klimatgaser med fossilt ursprung för avfall ()",Kraftvärmeprod!$B$1:$BX$1,0),FALSE),"")</f>
        <v/>
      </c>
      <c r="BI134" s="227" t="str">
        <f>IF($BF134="ja",VLOOKUP($B134,'Egen hetvattenprod'!$B$1:$BX$550,MATCH("Avfall (GWh)",'Egen hetvattenprod'!$B$1:$BX$1,0),FALSE),"")</f>
        <v/>
      </c>
      <c r="BJ134" s="227" t="str">
        <f>IF($BF134="ja",VLOOKUP($B134,'Slutlig allokering kvv'!$B$1:$BX$550,MATCH("Avfall (GWh)",'Slutlig allokering kvv'!$B$1:$BX$1,0),FALSE),"")</f>
        <v/>
      </c>
      <c r="BK134" s="227" t="str">
        <f>IF($BF134="ja",VLOOKUP($B134,'Köpt hetvatten'!$B$1:$BX$550,MATCH("Avfall i köpt hetvatten",'Köpt hetvatten'!$B$1:$BX$1,0),FALSE),"")</f>
        <v/>
      </c>
      <c r="BL134" s="227" t="str">
        <f>IF($BF134="ja",VLOOKUP($B134,'Egen hetvattenprod'!$B$1:$BX$550,MATCH("Värde enligt ovan. (%)",'Egen hetvattenprod'!$B$1:$BX$1,0),FALSE),"")</f>
        <v/>
      </c>
      <c r="BM134" s="227" t="str">
        <f>IF($BF134="ja",VLOOKUP($B134,Kraftvärmeprod!$B$1:$BX$550,MATCH("Värde enligt ovan. (%)",Kraftvärmeprod!$B$1:$BX$1,0),FALSE),"")</f>
        <v/>
      </c>
      <c r="BN134" s="227"/>
      <c r="BO134" s="227"/>
      <c r="BP134" s="227"/>
      <c r="BQ134" s="227" t="str">
        <f>IF($BF134="ja",VLOOKUP($B134,'Egen hetvattenprod'!$B$1:$BX$550,MATCH("Tillförd olja (fossil) vid avfallsförbränning (GWh)",'Egen hetvattenprod'!$B$1:$BX$1,0),FALSE),"")</f>
        <v/>
      </c>
      <c r="BR134" s="227" t="str">
        <f>IF($BF134="ja",VLOOKUP($B134,Kraftvärmeprod!$B$1:$BX$550,MATCH("Tillförd olja (fossil) vid avfallsförbränning (GWh)",Kraftvärmeprod!$B$1:$BX$1,0),FALSE),"")</f>
        <v/>
      </c>
      <c r="BS134" s="227"/>
      <c r="BT134" s="227"/>
      <c r="BU134" s="227"/>
    </row>
    <row r="135" spans="1:73" x14ac:dyDescent="0.25">
      <c r="A135" s="121" t="str">
        <f>'Miljövärden för publ företag'!B138</f>
        <v>Landskrona Energi AB</v>
      </c>
      <c r="B135" s="121" t="str">
        <f>'Miljövärden för publ företag'!C138</f>
        <v>Landskrona</v>
      </c>
      <c r="C135" s="173">
        <f>IFERROR(VLOOKUP($B135,Totalt!$B$1:$AQ$554,MATCH(C$2,Totalt!$B$1:$AQ$1,0),FALSE),"")</f>
        <v>0</v>
      </c>
      <c r="D135" s="173">
        <f>IFERROR(VLOOKUP($B135,Totalt!$B$1:$AQ$554,MATCH(D$2,Totalt!$B$1:$AQ$1,0),FALSE),"")</f>
        <v>1.27712</v>
      </c>
      <c r="E135" s="173">
        <f>IFERROR(VLOOKUP($B135,Totalt!$B$1:$AQ$554,MATCH(E$2,Totalt!$B$1:$AQ$1,0),FALSE),"")</f>
        <v>0</v>
      </c>
      <c r="F135" s="173">
        <f>IFERROR(VLOOKUP($B135,Totalt!$B$1:$AQ$554,MATCH(F$2,Totalt!$B$1:$AQ$1,0),FALSE),"")</f>
        <v>0</v>
      </c>
      <c r="G135" s="173">
        <f>IFERROR(VLOOKUP($B135,Totalt!$B$1:$AQ$554,MATCH(G$2,Totalt!$B$1:$AQ$1,0),FALSE),"")</f>
        <v>0.436</v>
      </c>
      <c r="H135" s="173">
        <f>IFERROR(VLOOKUP($B135,Totalt!$B$1:$AQ$554,MATCH(H$2,Totalt!$B$1:$AQ$1,0),FALSE),"")</f>
        <v>0</v>
      </c>
      <c r="I135" s="173">
        <f>IFERROR(VLOOKUP($B135,Totalt!$B$1:$AQ$554,MATCH(I$2,Totalt!$B$1:$AQ$1,0),FALSE),"")</f>
        <v>136.16900000000001</v>
      </c>
      <c r="J135" s="173">
        <f>IFERROR(VLOOKUP($B135,Totalt!$B$1:$AQ$554,MATCH(J$2,Totalt!$B$1:$AQ$1,0),FALSE),"")</f>
        <v>9.6199999999999992</v>
      </c>
      <c r="K135" s="173">
        <f>IFERROR(VLOOKUP($B135,Totalt!$B$1:$AQ$554,MATCH(K$2,Totalt!$B$1:$AQ$1,0),FALSE),"")</f>
        <v>0</v>
      </c>
      <c r="L135" s="173">
        <f>IFERROR(VLOOKUP($B135,Totalt!$B$1:$AQ$554,MATCH(L$2,Totalt!$B$1:$AQ$1,0),FALSE),"")</f>
        <v>57.672199999999997</v>
      </c>
      <c r="M135" s="173">
        <f>IFERROR(VLOOKUP($B135,Totalt!$B$1:$AQ$554,MATCH(M$2,Totalt!$B$1:$AQ$1,0),FALSE),"")</f>
        <v>0</v>
      </c>
      <c r="N135" s="173">
        <f>IFERROR(VLOOKUP($B135,Totalt!$B$1:$AQ$554,MATCH(N$2,Totalt!$B$1:$AQ$1,0),FALSE),"")</f>
        <v>0</v>
      </c>
      <c r="O135" s="173">
        <f>IFERROR(VLOOKUP($B135,Totalt!$B$1:$AQ$554,MATCH(O$2,Totalt!$B$1:$AQ$1,0),FALSE),"")</f>
        <v>0</v>
      </c>
      <c r="P135" s="173">
        <f>IFERROR(VLOOKUP($B135,Totalt!$B$1:$AQ$554,MATCH(P$2,Totalt!$B$1:$AQ$1,0),FALSE),"")</f>
        <v>25.2</v>
      </c>
      <c r="Q135" s="173">
        <f>IFERROR(VLOOKUP($B135,Totalt!$B$1:$AQ$554,MATCH(Q$2,Totalt!$B$1:$AQ$1,0),FALSE),"")</f>
        <v>0</v>
      </c>
      <c r="R135" s="173">
        <f>IFERROR(VLOOKUP($B135,Totalt!$B$1:$AQ$554,MATCH(R$2,Totalt!$B$1:$AQ$1,0),FALSE),"")</f>
        <v>0</v>
      </c>
      <c r="S135" s="173">
        <f>IFERROR(VLOOKUP($B135,Totalt!$B$1:$AQ$554,MATCH(S$2,Totalt!$B$1:$AQ$1,0),FALSE),"")</f>
        <v>0</v>
      </c>
      <c r="T135" s="173">
        <f>IFERROR(VLOOKUP($B135,Totalt!$B$1:$AQ$554,MATCH(T$2,Totalt!$B$1:$AQ$1,0),FALSE),"")</f>
        <v>0</v>
      </c>
      <c r="U135" s="173">
        <f>IFERROR(VLOOKUP($B135,Totalt!$B$1:$AQ$554,MATCH(U$2,Totalt!$B$1:$AQ$1,0),FALSE),"")</f>
        <v>0</v>
      </c>
      <c r="V135" s="173">
        <f>IFERROR(VLOOKUP($B135,Totalt!$B$1:$AQ$554,MATCH(V$2,Totalt!$B$1:$AQ$1,0),FALSE),"")</f>
        <v>0</v>
      </c>
      <c r="W135" s="173">
        <f>IFERROR(VLOOKUP($B135,Totalt!$B$1:$AQ$554,MATCH(W$2,Totalt!$B$1:$AQ$1,0),FALSE),"")</f>
        <v>0</v>
      </c>
      <c r="X135" s="173">
        <f>IFERROR(VLOOKUP($B135,Totalt!$B$1:$AQ$554,MATCH(X$2,Totalt!$B$1:$AQ$1,0),FALSE),"")</f>
        <v>0</v>
      </c>
      <c r="Y135" s="173">
        <f>IFERROR(VLOOKUP($B135,Totalt!$B$1:$AQ$554,MATCH(Y$2,Totalt!$B$1:$AQ$1,0),FALSE),"")</f>
        <v>0</v>
      </c>
      <c r="Z135" s="173">
        <f>IFERROR(VLOOKUP($B135,Totalt!$B$1:$AQ$554,MATCH(Z$2,Totalt!$B$1:$AQ$1,0),FALSE),"")</f>
        <v>0</v>
      </c>
      <c r="AA135" s="173">
        <f>IFERROR(VLOOKUP($B135,Totalt!$B$1:$AQ$554,MATCH(AA$2,Totalt!$B$1:$AQ$1,0),FALSE),"")</f>
        <v>0</v>
      </c>
      <c r="AB135" s="173">
        <f>IFERROR(VLOOKUP($B135,Totalt!$B$1:$AQ$554,MATCH(AB$2,Totalt!$B$1:$AQ$1,0),FALSE),"")</f>
        <v>0</v>
      </c>
      <c r="AC135" s="173">
        <f>IFERROR(VLOOKUP($B135,Totalt!$B$1:$AQ$554,MATCH(AC$2,Totalt!$B$1:$AQ$1,0),FALSE),"")</f>
        <v>12.797000000000001</v>
      </c>
      <c r="AD135" s="173">
        <f>IFERROR(VLOOKUP($B135,Totalt!$B$1:$AQ$554,MATCH(AD$2,Totalt!$B$1:$AQ$1,0),FALSE),"")</f>
        <v>66.081000000000003</v>
      </c>
      <c r="AE135" s="173">
        <f>IFERROR(VLOOKUP($B135,Totalt!$B$1:$AQ$554,MATCH(AE$2,Totalt!$B$1:$AQ$1,0),FALSE),"")</f>
        <v>0</v>
      </c>
      <c r="AF135" s="173">
        <f>IFERROR(VLOOKUP($B135,Totalt!$B$1:$AQ$554,MATCH(AF$2,Totalt!$B$1:$AQ$1,0),FALSE),"")</f>
        <v>7.0475399999999997</v>
      </c>
      <c r="AG135" s="173">
        <f>IFERROR(VLOOKUP($B135,Totalt!$B$1:$AQ$554,MATCH(AG$2,Totalt!$B$1:$AQ$1,0),FALSE),"")</f>
        <v>46.2</v>
      </c>
      <c r="AI135" s="226">
        <f t="shared" si="12"/>
        <v>362.49986000000001</v>
      </c>
      <c r="AJ135" s="226">
        <f>IF(ISERROR(1/VLOOKUP($B135,Leveranser!$B$1:$S$500,MATCH("såld värme (gwh)",Leveranser!$B$1:$S$1,0),FALSE)),"",VLOOKUP($B135,Leveranser!$B$1:$S$500,MATCH("såld värme (gwh)",Leveranser!$B$1:$S$1,0),FALSE))</f>
        <v>254.3</v>
      </c>
      <c r="AM135" s="227" t="str">
        <f>IF(B135&lt;&gt;"",IF(VLOOKUP($B135,Totalt!$B$1:$AQ$554,MATCH("Kvalitetsgranskad:",Totalt!$B$1:$AQ$1,0),FALSE)="ja",VLOOKUP($B135,Miljö!$B$1:$AG$479,MATCH(AM$2,Miljö!$B$1:$AK$1,0),FALSE),""),"")</f>
        <v>Ja</v>
      </c>
      <c r="AN135" s="227" t="str">
        <f>IF(AM135="ja",VLOOKUP($B135,Miljö!$B$1:$J$479,MATCH("Typ av ursprungsspecificerad el   (Om inget värde anges används Nordisk residualmix, se inforuta) ()",Miljö!$B$1:$J$1,0),FALSE),IF(AM135="nej","Nordisk residualel",""))</f>
        <v>'Vattenkraft'</v>
      </c>
      <c r="AO135" s="227">
        <f>IF(AM135="","",VLOOKUP($B135,Miljö!$B$1:$J$479,MATCH("Fossilandel för ursprungspecificerad el ()",Miljö!$B$1:$J$1,0),FALSE))</f>
        <v>0</v>
      </c>
      <c r="AP135" s="227">
        <f>IF(AM135="","",IFERROR(VLOOKUP($B135,Miljö!$B$1:$J$479,MATCH("Kärnkraftsandel för ursprungsspecificerad el ()",Miljö!$B$1:$J$1,0),FALSE)/1,0))</f>
        <v>0</v>
      </c>
      <c r="AQ135" s="227">
        <f t="shared" si="13"/>
        <v>1</v>
      </c>
      <c r="AR135" s="227"/>
      <c r="AS135" s="227" t="str">
        <f t="shared" si="14"/>
        <v>Ja</v>
      </c>
      <c r="AT135" s="227">
        <f>IF(AS135="ja",VLOOKUP($B135,Miljö!$B$1:$O$500,MATCH("Fossil andel i procent (%)",Miljö!$B$1:$O$1,0),FALSE)/100,"")</f>
        <v>0</v>
      </c>
      <c r="AU135" s="227"/>
      <c r="AV135" s="227" t="str">
        <f t="shared" si="15"/>
        <v>Nej</v>
      </c>
      <c r="AW135" s="227" t="str">
        <f>IF(AV135="ja",VLOOKUP($B135,'Egen hetvattenprod'!$B$1:$AO$500,MATCH("Värmekälla till värmepumpar ()",'Egen hetvattenprod'!$B$1:$AO$1,0),FALSE),"")</f>
        <v/>
      </c>
      <c r="AX135" s="227"/>
      <c r="AY135" s="227" t="str">
        <f t="shared" si="16"/>
        <v>Ja</v>
      </c>
      <c r="AZ135" s="228">
        <f>IF($AY135="ja",(VLOOKUP($B135,'Egen hetvattenprod'!$B$1:$BX$550,MATCH(AZ$2,'Egen hetvattenprod'!$B$1:$BX$1,0),FALSE)+VLOOKUP($B135,Kraftvärmeprod!$B$1:$BX$550,MATCH(AZ$2,Kraftvärmeprod!$B$1:$BX$1,0),FALSE))/$AC135,"")</f>
        <v>0</v>
      </c>
      <c r="BA135" s="228">
        <f>IF($AY135="ja",(VLOOKUP($B135,'Egen hetvattenprod'!$B$1:$BX$550,MATCH(BA$2,'Egen hetvattenprod'!$B$1:$BX$1,0),FALSE)+VLOOKUP($B135,Kraftvärmeprod!$B$1:$BX$550,MATCH(BA$2,Kraftvärmeprod!$B$1:$BX$1,0),FALSE))/$AC135,"")</f>
        <v>1</v>
      </c>
      <c r="BB135" s="228">
        <f>IF($AY135="ja",(VLOOKUP($B135,'Egen hetvattenprod'!$B$1:$BX$550,MATCH(BB$2,'Egen hetvattenprod'!$B$1:$BX$1,0),FALSE)+VLOOKUP($B135,Kraftvärmeprod!$B$1:$BX$550,MATCH(BB$2,Kraftvärmeprod!$B$1:$BX$1,0),FALSE))/$AC135,"")</f>
        <v>0</v>
      </c>
      <c r="BC135" s="228">
        <f>IF($AY135="ja",(VLOOKUP($B135,'Egen hetvattenprod'!$B$1:$BX$550,MATCH(BC$2,'Egen hetvattenprod'!$B$1:$BX$1,0),FALSE)+VLOOKUP($B135,Kraftvärmeprod!$B$1:$BX$550,MATCH(BC$2,Kraftvärmeprod!$B$1:$BX$1,0),FALSE))/$AC135,"")</f>
        <v>0</v>
      </c>
      <c r="BD135" s="228">
        <f>IF($AY135="ja",(VLOOKUP($B135,'Egen hetvattenprod'!$B$1:$BX$550,MATCH(BD$2,'Egen hetvattenprod'!$B$1:$BX$1,0),FALSE)+VLOOKUP($B135,Kraftvärmeprod!$B$1:$BX$550,MATCH(BD$2,Kraftvärmeprod!$B$1:$BX$1,0),FALSE))/$AC135,"")</f>
        <v>0</v>
      </c>
      <c r="BE135" s="227"/>
      <c r="BF135" s="227" t="str">
        <f t="shared" si="17"/>
        <v>Ja</v>
      </c>
      <c r="BG135" s="227" t="str">
        <f>IF($BF135="ja",VLOOKUP($B135,'Egen hetvattenprod'!$B$1:$BX$550,MATCH("Andelen klimatgaser med fossilt ursprung för avfall ()",'Egen hetvattenprod'!$B$1:$BX$1,0),FALSE),"")</f>
        <v>Ingen redovisning</v>
      </c>
      <c r="BH135" s="227" t="str">
        <f>IF($BF135="ja",VLOOKUP($B135,Kraftvärmeprod!$B$1:$BX$550,MATCH("Andelen klimatgaser med fossilt ursprung för avfall ()",Kraftvärmeprod!$B$1:$BX$1,0),FALSE),"")</f>
        <v>Ingen redovisning</v>
      </c>
      <c r="BI135" s="227" t="str">
        <f>IF($BF135="ja",VLOOKUP($B135,'Egen hetvattenprod'!$B$1:$BX$550,MATCH("Avfall (GWh)",'Egen hetvattenprod'!$B$1:$BX$1,0),FALSE),"")</f>
        <v>ET</v>
      </c>
      <c r="BJ135" s="227">
        <f>IF($BF135="ja",VLOOKUP($B135,'Slutlig allokering kvv'!$B$1:$BX$550,MATCH("Avfall (GWh)",'Slutlig allokering kvv'!$B$1:$BX$1,0),FALSE),"")</f>
        <v>136.16900000000001</v>
      </c>
      <c r="BK135" s="227">
        <f>IF($BF135="ja",VLOOKUP($B135,'Köpt hetvatten'!$B$1:$BX$550,MATCH("Avfall i köpt hetvatten",'Köpt hetvatten'!$B$1:$BX$1,0),FALSE),"")</f>
        <v>0</v>
      </c>
      <c r="BL135" s="227" t="str">
        <f>IF($BF135="ja",VLOOKUP($B135,'Egen hetvattenprod'!$B$1:$BX$550,MATCH("Värde enligt ovan. (%)",'Egen hetvattenprod'!$B$1:$BX$1,0),FALSE),"")</f>
        <v>ET</v>
      </c>
      <c r="BM135" s="227" t="str">
        <f>IF($BF135="ja",VLOOKUP($B135,Kraftvärmeprod!$B$1:$BX$550,MATCH("Värde enligt ovan. (%)",Kraftvärmeprod!$B$1:$BX$1,0),FALSE),"")</f>
        <v>ET</v>
      </c>
      <c r="BN135" s="227"/>
      <c r="BO135" s="227"/>
      <c r="BP135" s="227"/>
      <c r="BQ135" s="227" t="str">
        <f>IF($BF135="ja",VLOOKUP($B135,'Egen hetvattenprod'!$B$1:$BX$550,MATCH("Tillförd olja (fossil) vid avfallsförbränning (GWh)",'Egen hetvattenprod'!$B$1:$BX$1,0),FALSE),"")</f>
        <v>ET</v>
      </c>
      <c r="BR135" s="227" t="str">
        <f>IF($BF135="ja",VLOOKUP($B135,Kraftvärmeprod!$B$1:$BX$550,MATCH("Tillförd olja (fossil) vid avfallsförbränning (GWh)",Kraftvärmeprod!$B$1:$BX$1,0),FALSE),"")</f>
        <v>ET</v>
      </c>
      <c r="BS135" s="227"/>
      <c r="BT135" s="227"/>
      <c r="BU135" s="227"/>
    </row>
    <row r="136" spans="1:73" x14ac:dyDescent="0.25">
      <c r="A136" s="121" t="str">
        <f>'Miljövärden för publ företag'!B139</f>
        <v>Lantmännen Agrovärme AB</v>
      </c>
      <c r="B136" s="121" t="str">
        <f>'Miljövärden för publ företag'!C139</f>
        <v>Bjärnum</v>
      </c>
      <c r="C136" s="173">
        <f>IFERROR(VLOOKUP($B136,Totalt!$B$1:$AQ$554,MATCH(C$2,Totalt!$B$1:$AQ$1,0),FALSE),"")</f>
        <v>0</v>
      </c>
      <c r="D136" s="173">
        <f>IFERROR(VLOOKUP($B136,Totalt!$B$1:$AQ$554,MATCH(D$2,Totalt!$B$1:$AQ$1,0),FALSE),"")</f>
        <v>1.4</v>
      </c>
      <c r="E136" s="173">
        <f>IFERROR(VLOOKUP($B136,Totalt!$B$1:$AQ$554,MATCH(E$2,Totalt!$B$1:$AQ$1,0),FALSE),"")</f>
        <v>0</v>
      </c>
      <c r="F136" s="173">
        <f>IFERROR(VLOOKUP($B136,Totalt!$B$1:$AQ$554,MATCH(F$2,Totalt!$B$1:$AQ$1,0),FALSE),"")</f>
        <v>0</v>
      </c>
      <c r="G136" s="173">
        <f>IFERROR(VLOOKUP($B136,Totalt!$B$1:$AQ$554,MATCH(G$2,Totalt!$B$1:$AQ$1,0),FALSE),"")</f>
        <v>0</v>
      </c>
      <c r="H136" s="173">
        <f>IFERROR(VLOOKUP($B136,Totalt!$B$1:$AQ$554,MATCH(H$2,Totalt!$B$1:$AQ$1,0),FALSE),"")</f>
        <v>0</v>
      </c>
      <c r="I136" s="173">
        <f>IFERROR(VLOOKUP($B136,Totalt!$B$1:$AQ$554,MATCH(I$2,Totalt!$B$1:$AQ$1,0),FALSE),"")</f>
        <v>0</v>
      </c>
      <c r="J136" s="173">
        <f>IFERROR(VLOOKUP($B136,Totalt!$B$1:$AQ$554,MATCH(J$2,Totalt!$B$1:$AQ$1,0),FALSE),"")</f>
        <v>0</v>
      </c>
      <c r="K136" s="173">
        <f>IFERROR(VLOOKUP($B136,Totalt!$B$1:$AQ$554,MATCH(K$2,Totalt!$B$1:$AQ$1,0),FALSE),"")</f>
        <v>0</v>
      </c>
      <c r="L136" s="173">
        <f>IFERROR(VLOOKUP($B136,Totalt!$B$1:$AQ$554,MATCH(L$2,Totalt!$B$1:$AQ$1,0),FALSE),"")</f>
        <v>0</v>
      </c>
      <c r="M136" s="173">
        <f>IFERROR(VLOOKUP($B136,Totalt!$B$1:$AQ$554,MATCH(M$2,Totalt!$B$1:$AQ$1,0),FALSE),"")</f>
        <v>0</v>
      </c>
      <c r="N136" s="173">
        <f>IFERROR(VLOOKUP($B136,Totalt!$B$1:$AQ$554,MATCH(N$2,Totalt!$B$1:$AQ$1,0),FALSE),"")</f>
        <v>0</v>
      </c>
      <c r="O136" s="173">
        <f>IFERROR(VLOOKUP($B136,Totalt!$B$1:$AQ$554,MATCH(O$2,Totalt!$B$1:$AQ$1,0),FALSE),"")</f>
        <v>0</v>
      </c>
      <c r="P136" s="173">
        <f>IFERROR(VLOOKUP($B136,Totalt!$B$1:$AQ$554,MATCH(P$2,Totalt!$B$1:$AQ$1,0),FALSE),"")</f>
        <v>9.77</v>
      </c>
      <c r="Q136" s="173">
        <f>IFERROR(VLOOKUP($B136,Totalt!$B$1:$AQ$554,MATCH(Q$2,Totalt!$B$1:$AQ$1,0),FALSE),"")</f>
        <v>0</v>
      </c>
      <c r="R136" s="173">
        <f>IFERROR(VLOOKUP($B136,Totalt!$B$1:$AQ$554,MATCH(R$2,Totalt!$B$1:$AQ$1,0),FALSE),"")</f>
        <v>0.65300000000000002</v>
      </c>
      <c r="S136" s="173">
        <f>IFERROR(VLOOKUP($B136,Totalt!$B$1:$AQ$554,MATCH(S$2,Totalt!$B$1:$AQ$1,0),FALSE),"")</f>
        <v>0</v>
      </c>
      <c r="T136" s="173">
        <f>IFERROR(VLOOKUP($B136,Totalt!$B$1:$AQ$554,MATCH(T$2,Totalt!$B$1:$AQ$1,0),FALSE),"")</f>
        <v>0</v>
      </c>
      <c r="U136" s="173">
        <f>IFERROR(VLOOKUP($B136,Totalt!$B$1:$AQ$554,MATCH(U$2,Totalt!$B$1:$AQ$1,0),FALSE),"")</f>
        <v>0</v>
      </c>
      <c r="V136" s="173">
        <f>IFERROR(VLOOKUP($B136,Totalt!$B$1:$AQ$554,MATCH(V$2,Totalt!$B$1:$AQ$1,0),FALSE),"")</f>
        <v>0</v>
      </c>
      <c r="W136" s="173">
        <f>IFERROR(VLOOKUP($B136,Totalt!$B$1:$AQ$554,MATCH(W$2,Totalt!$B$1:$AQ$1,0),FALSE),"")</f>
        <v>0</v>
      </c>
      <c r="X136" s="173">
        <f>IFERROR(VLOOKUP($B136,Totalt!$B$1:$AQ$554,MATCH(X$2,Totalt!$B$1:$AQ$1,0),FALSE),"")</f>
        <v>0</v>
      </c>
      <c r="Y136" s="173">
        <f>IFERROR(VLOOKUP($B136,Totalt!$B$1:$AQ$554,MATCH(Y$2,Totalt!$B$1:$AQ$1,0),FALSE),"")</f>
        <v>0</v>
      </c>
      <c r="Z136" s="173">
        <f>IFERROR(VLOOKUP($B136,Totalt!$B$1:$AQ$554,MATCH(Z$2,Totalt!$B$1:$AQ$1,0),FALSE),"")</f>
        <v>0</v>
      </c>
      <c r="AA136" s="173">
        <f>IFERROR(VLOOKUP($B136,Totalt!$B$1:$AQ$554,MATCH(AA$2,Totalt!$B$1:$AQ$1,0),FALSE),"")</f>
        <v>0</v>
      </c>
      <c r="AB136" s="173">
        <f>IFERROR(VLOOKUP($B136,Totalt!$B$1:$AQ$554,MATCH(AB$2,Totalt!$B$1:$AQ$1,0),FALSE),"")</f>
        <v>0</v>
      </c>
      <c r="AC136" s="173">
        <f>IFERROR(VLOOKUP($B136,Totalt!$B$1:$AQ$554,MATCH(AC$2,Totalt!$B$1:$AQ$1,0),FALSE),"")</f>
        <v>0</v>
      </c>
      <c r="AD136" s="173">
        <f>IFERROR(VLOOKUP($B136,Totalt!$B$1:$AQ$554,MATCH(AD$2,Totalt!$B$1:$AQ$1,0),FALSE),"")</f>
        <v>0</v>
      </c>
      <c r="AE136" s="173">
        <f>IFERROR(VLOOKUP($B136,Totalt!$B$1:$AQ$554,MATCH(AE$2,Totalt!$B$1:$AQ$1,0),FALSE),"")</f>
        <v>0</v>
      </c>
      <c r="AF136" s="173">
        <f>IFERROR(VLOOKUP($B136,Totalt!$B$1:$AQ$554,MATCH(AF$2,Totalt!$B$1:$AQ$1,0),FALSE),"")</f>
        <v>0.17699999999999999</v>
      </c>
      <c r="AG136" s="173">
        <f>IFERROR(VLOOKUP($B136,Totalt!$B$1:$AQ$554,MATCH(AG$2,Totalt!$B$1:$AQ$1,0),FALSE),"")</f>
        <v>0</v>
      </c>
      <c r="AI136" s="226">
        <f t="shared" si="12"/>
        <v>12</v>
      </c>
      <c r="AJ136" s="226">
        <f>IF(ISERROR(1/VLOOKUP($B136,Leveranser!$B$1:$S$500,MATCH("såld värme (gwh)",Leveranser!$B$1:$S$1,0),FALSE)),"",VLOOKUP($B136,Leveranser!$B$1:$S$500,MATCH("såld värme (gwh)",Leveranser!$B$1:$S$1,0),FALSE))</f>
        <v>8.68</v>
      </c>
      <c r="AM136" s="227" t="str">
        <f>IF(B136&lt;&gt;"",IF(VLOOKUP($B136,Totalt!$B$1:$AQ$554,MATCH("Kvalitetsgranskad:",Totalt!$B$1:$AQ$1,0),FALSE)="ja",VLOOKUP($B136,Miljö!$B$1:$AG$479,MATCH(AM$2,Miljö!$B$1:$AK$1,0),FALSE),""),"")</f>
        <v>Ja</v>
      </c>
      <c r="AN136" s="227" t="str">
        <f>IF(AM136="ja",VLOOKUP($B136,Miljö!$B$1:$J$479,MATCH("Typ av ursprungsspecificerad el   (Om inget värde anges används Nordisk residualmix, se inforuta) ()",Miljö!$B$1:$J$1,0),FALSE),IF(AM136="nej","Nordisk residualel",""))</f>
        <v>'vattenkraft'</v>
      </c>
      <c r="AO136" s="227">
        <f>IF(AM136="","",VLOOKUP($B136,Miljö!$B$1:$J$479,MATCH("Fossilandel för ursprungspecificerad el ()",Miljö!$B$1:$J$1,0),FALSE))</f>
        <v>0</v>
      </c>
      <c r="AP136" s="227">
        <f>IF(AM136="","",IFERROR(VLOOKUP($B136,Miljö!$B$1:$J$479,MATCH("Kärnkraftsandel för ursprungsspecificerad el ()",Miljö!$B$1:$J$1,0),FALSE)/1,0))</f>
        <v>0</v>
      </c>
      <c r="AQ136" s="227">
        <f t="shared" si="13"/>
        <v>1</v>
      </c>
      <c r="AR136" s="227"/>
      <c r="AS136" s="227" t="str">
        <f t="shared" si="14"/>
        <v>Nej</v>
      </c>
      <c r="AT136" s="227" t="str">
        <f>IF(AS136="ja",VLOOKUP($B136,Miljö!$B$1:$O$500,MATCH("Fossil andel i procent (%)",Miljö!$B$1:$O$1,0),FALSE)/100,"")</f>
        <v/>
      </c>
      <c r="AU136" s="227"/>
      <c r="AV136" s="227" t="str">
        <f t="shared" si="15"/>
        <v>Nej</v>
      </c>
      <c r="AW136" s="227" t="str">
        <f>IF(AV136="ja",VLOOKUP($B136,'Egen hetvattenprod'!$B$1:$AO$500,MATCH("Värmekälla till värmepumpar ()",'Egen hetvattenprod'!$B$1:$AO$1,0),FALSE),"")</f>
        <v/>
      </c>
      <c r="AX136" s="227"/>
      <c r="AY136" s="227" t="str">
        <f t="shared" si="16"/>
        <v>Nej</v>
      </c>
      <c r="AZ136" s="228" t="str">
        <f>IF($AY136="ja",(VLOOKUP($B136,'Egen hetvattenprod'!$B$1:$BX$550,MATCH(AZ$2,'Egen hetvattenprod'!$B$1:$BX$1,0),FALSE)+VLOOKUP($B136,Kraftvärmeprod!$B$1:$BX$550,MATCH(AZ$2,Kraftvärmeprod!$B$1:$BX$1,0),FALSE))/$AC136,"")</f>
        <v/>
      </c>
      <c r="BA136" s="228" t="str">
        <f>IF($AY136="ja",(VLOOKUP($B136,'Egen hetvattenprod'!$B$1:$BX$550,MATCH(BA$2,'Egen hetvattenprod'!$B$1:$BX$1,0),FALSE)+VLOOKUP($B136,Kraftvärmeprod!$B$1:$BX$550,MATCH(BA$2,Kraftvärmeprod!$B$1:$BX$1,0),FALSE))/$AC136,"")</f>
        <v/>
      </c>
      <c r="BB136" s="228" t="str">
        <f>IF($AY136="ja",(VLOOKUP($B136,'Egen hetvattenprod'!$B$1:$BX$550,MATCH(BB$2,'Egen hetvattenprod'!$B$1:$BX$1,0),FALSE)+VLOOKUP($B136,Kraftvärmeprod!$B$1:$BX$550,MATCH(BB$2,Kraftvärmeprod!$B$1:$BX$1,0),FALSE))/$AC136,"")</f>
        <v/>
      </c>
      <c r="BC136" s="228" t="str">
        <f>IF($AY136="ja",(VLOOKUP($B136,'Egen hetvattenprod'!$B$1:$BX$550,MATCH(BC$2,'Egen hetvattenprod'!$B$1:$BX$1,0),FALSE)+VLOOKUP($B136,Kraftvärmeprod!$B$1:$BX$550,MATCH(BC$2,Kraftvärmeprod!$B$1:$BX$1,0),FALSE))/$AC136,"")</f>
        <v/>
      </c>
      <c r="BD136" s="228" t="str">
        <f>IF($AY136="ja",(VLOOKUP($B136,'Egen hetvattenprod'!$B$1:$BX$550,MATCH(BD$2,'Egen hetvattenprod'!$B$1:$BX$1,0),FALSE)+VLOOKUP($B136,Kraftvärmeprod!$B$1:$BX$550,MATCH(BD$2,Kraftvärmeprod!$B$1:$BX$1,0),FALSE))/$AC136,"")</f>
        <v/>
      </c>
      <c r="BE136" s="227"/>
      <c r="BF136" s="227" t="str">
        <f t="shared" si="17"/>
        <v>Nej</v>
      </c>
      <c r="BG136" s="227" t="str">
        <f>IF($BF136="ja",VLOOKUP($B136,'Egen hetvattenprod'!$B$1:$BX$550,MATCH("Andelen klimatgaser med fossilt ursprung för avfall ()",'Egen hetvattenprod'!$B$1:$BX$1,0),FALSE),"")</f>
        <v/>
      </c>
      <c r="BH136" s="227" t="str">
        <f>IF($BF136="ja",VLOOKUP($B136,Kraftvärmeprod!$B$1:$BX$550,MATCH("Andelen klimatgaser med fossilt ursprung för avfall ()",Kraftvärmeprod!$B$1:$BX$1,0),FALSE),"")</f>
        <v/>
      </c>
      <c r="BI136" s="227" t="str">
        <f>IF($BF136="ja",VLOOKUP($B136,'Egen hetvattenprod'!$B$1:$BX$550,MATCH("Avfall (GWh)",'Egen hetvattenprod'!$B$1:$BX$1,0),FALSE),"")</f>
        <v/>
      </c>
      <c r="BJ136" s="227" t="str">
        <f>IF($BF136="ja",VLOOKUP($B136,'Slutlig allokering kvv'!$B$1:$BX$550,MATCH("Avfall (GWh)",'Slutlig allokering kvv'!$B$1:$BX$1,0),FALSE),"")</f>
        <v/>
      </c>
      <c r="BK136" s="227" t="str">
        <f>IF($BF136="ja",VLOOKUP($B136,'Köpt hetvatten'!$B$1:$BX$550,MATCH("Avfall i köpt hetvatten",'Köpt hetvatten'!$B$1:$BX$1,0),FALSE),"")</f>
        <v/>
      </c>
      <c r="BL136" s="227" t="str">
        <f>IF($BF136="ja",VLOOKUP($B136,'Egen hetvattenprod'!$B$1:$BX$550,MATCH("Värde enligt ovan. (%)",'Egen hetvattenprod'!$B$1:$BX$1,0),FALSE),"")</f>
        <v/>
      </c>
      <c r="BM136" s="227" t="str">
        <f>IF($BF136="ja",VLOOKUP($B136,Kraftvärmeprod!$B$1:$BX$550,MATCH("Värde enligt ovan. (%)",Kraftvärmeprod!$B$1:$BX$1,0),FALSE),"")</f>
        <v/>
      </c>
      <c r="BN136" s="227"/>
      <c r="BO136" s="227"/>
      <c r="BP136" s="227"/>
      <c r="BQ136" s="227" t="str">
        <f>IF($BF136="ja",VLOOKUP($B136,'Egen hetvattenprod'!$B$1:$BX$550,MATCH("Tillförd olja (fossil) vid avfallsförbränning (GWh)",'Egen hetvattenprod'!$B$1:$BX$1,0),FALSE),"")</f>
        <v/>
      </c>
      <c r="BR136" s="227" t="str">
        <f>IF($BF136="ja",VLOOKUP($B136,Kraftvärmeprod!$B$1:$BX$550,MATCH("Tillförd olja (fossil) vid avfallsförbränning (GWh)",Kraftvärmeprod!$B$1:$BX$1,0),FALSE),"")</f>
        <v/>
      </c>
      <c r="BS136" s="227"/>
      <c r="BT136" s="227"/>
      <c r="BU136" s="227"/>
    </row>
    <row r="137" spans="1:73" x14ac:dyDescent="0.25">
      <c r="A137" s="121" t="str">
        <f>'Miljövärden för publ företag'!B140</f>
        <v>Lantmännen Agrovärme AB</v>
      </c>
      <c r="B137" s="121" t="str">
        <f>'Miljövärden för publ företag'!C140</f>
        <v>Ed</v>
      </c>
      <c r="C137" s="173">
        <f>IFERROR(VLOOKUP($B137,Totalt!$B$1:$AQ$554,MATCH(C$2,Totalt!$B$1:$AQ$1,0),FALSE),"")</f>
        <v>0</v>
      </c>
      <c r="D137" s="173">
        <f>IFERROR(VLOOKUP($B137,Totalt!$B$1:$AQ$554,MATCH(D$2,Totalt!$B$1:$AQ$1,0),FALSE),"")</f>
        <v>0.79</v>
      </c>
      <c r="E137" s="173">
        <f>IFERROR(VLOOKUP($B137,Totalt!$B$1:$AQ$554,MATCH(E$2,Totalt!$B$1:$AQ$1,0),FALSE),"")</f>
        <v>0</v>
      </c>
      <c r="F137" s="173">
        <f>IFERROR(VLOOKUP($B137,Totalt!$B$1:$AQ$554,MATCH(F$2,Totalt!$B$1:$AQ$1,0),FALSE),"")</f>
        <v>0</v>
      </c>
      <c r="G137" s="173">
        <f>IFERROR(VLOOKUP($B137,Totalt!$B$1:$AQ$554,MATCH(G$2,Totalt!$B$1:$AQ$1,0),FALSE),"")</f>
        <v>0</v>
      </c>
      <c r="H137" s="173">
        <f>IFERROR(VLOOKUP($B137,Totalt!$B$1:$AQ$554,MATCH(H$2,Totalt!$B$1:$AQ$1,0),FALSE),"")</f>
        <v>0</v>
      </c>
      <c r="I137" s="173">
        <f>IFERROR(VLOOKUP($B137,Totalt!$B$1:$AQ$554,MATCH(I$2,Totalt!$B$1:$AQ$1,0),FALSE),"")</f>
        <v>0</v>
      </c>
      <c r="J137" s="173">
        <f>IFERROR(VLOOKUP($B137,Totalt!$B$1:$AQ$554,MATCH(J$2,Totalt!$B$1:$AQ$1,0),FALSE),"")</f>
        <v>0</v>
      </c>
      <c r="K137" s="173">
        <f>IFERROR(VLOOKUP($B137,Totalt!$B$1:$AQ$554,MATCH(K$2,Totalt!$B$1:$AQ$1,0),FALSE),"")</f>
        <v>0</v>
      </c>
      <c r="L137" s="173">
        <f>IFERROR(VLOOKUP($B137,Totalt!$B$1:$AQ$554,MATCH(L$2,Totalt!$B$1:$AQ$1,0),FALSE),"")</f>
        <v>0</v>
      </c>
      <c r="M137" s="173">
        <f>IFERROR(VLOOKUP($B137,Totalt!$B$1:$AQ$554,MATCH(M$2,Totalt!$B$1:$AQ$1,0),FALSE),"")</f>
        <v>0</v>
      </c>
      <c r="N137" s="173">
        <f>IFERROR(VLOOKUP($B137,Totalt!$B$1:$AQ$554,MATCH(N$2,Totalt!$B$1:$AQ$1,0),FALSE),"")</f>
        <v>0</v>
      </c>
      <c r="O137" s="173">
        <f>IFERROR(VLOOKUP($B137,Totalt!$B$1:$AQ$554,MATCH(O$2,Totalt!$B$1:$AQ$1,0),FALSE),"")</f>
        <v>0</v>
      </c>
      <c r="P137" s="173">
        <f>IFERROR(VLOOKUP($B137,Totalt!$B$1:$AQ$554,MATCH(P$2,Totalt!$B$1:$AQ$1,0),FALSE),"")</f>
        <v>9</v>
      </c>
      <c r="Q137" s="173">
        <f>IFERROR(VLOOKUP($B137,Totalt!$B$1:$AQ$554,MATCH(Q$2,Totalt!$B$1:$AQ$1,0),FALSE),"")</f>
        <v>0</v>
      </c>
      <c r="R137" s="173">
        <f>IFERROR(VLOOKUP($B137,Totalt!$B$1:$AQ$554,MATCH(R$2,Totalt!$B$1:$AQ$1,0),FALSE),"")</f>
        <v>0</v>
      </c>
      <c r="S137" s="173">
        <f>IFERROR(VLOOKUP($B137,Totalt!$B$1:$AQ$554,MATCH(S$2,Totalt!$B$1:$AQ$1,0),FALSE),"")</f>
        <v>0</v>
      </c>
      <c r="T137" s="173">
        <f>IFERROR(VLOOKUP($B137,Totalt!$B$1:$AQ$554,MATCH(T$2,Totalt!$B$1:$AQ$1,0),FALSE),"")</f>
        <v>0</v>
      </c>
      <c r="U137" s="173">
        <f>IFERROR(VLOOKUP($B137,Totalt!$B$1:$AQ$554,MATCH(U$2,Totalt!$B$1:$AQ$1,0),FALSE),"")</f>
        <v>0</v>
      </c>
      <c r="V137" s="173">
        <f>IFERROR(VLOOKUP($B137,Totalt!$B$1:$AQ$554,MATCH(V$2,Totalt!$B$1:$AQ$1,0),FALSE),"")</f>
        <v>0</v>
      </c>
      <c r="W137" s="173">
        <f>IFERROR(VLOOKUP($B137,Totalt!$B$1:$AQ$554,MATCH(W$2,Totalt!$B$1:$AQ$1,0),FALSE),"")</f>
        <v>0</v>
      </c>
      <c r="X137" s="173">
        <f>IFERROR(VLOOKUP($B137,Totalt!$B$1:$AQ$554,MATCH(X$2,Totalt!$B$1:$AQ$1,0),FALSE),"")</f>
        <v>0</v>
      </c>
      <c r="Y137" s="173">
        <f>IFERROR(VLOOKUP($B137,Totalt!$B$1:$AQ$554,MATCH(Y$2,Totalt!$B$1:$AQ$1,0),FALSE),"")</f>
        <v>0</v>
      </c>
      <c r="Z137" s="173">
        <f>IFERROR(VLOOKUP($B137,Totalt!$B$1:$AQ$554,MATCH(Z$2,Totalt!$B$1:$AQ$1,0),FALSE),"")</f>
        <v>0</v>
      </c>
      <c r="AA137" s="173">
        <f>IFERROR(VLOOKUP($B137,Totalt!$B$1:$AQ$554,MATCH(AA$2,Totalt!$B$1:$AQ$1,0),FALSE),"")</f>
        <v>0</v>
      </c>
      <c r="AB137" s="173">
        <f>IFERROR(VLOOKUP($B137,Totalt!$B$1:$AQ$554,MATCH(AB$2,Totalt!$B$1:$AQ$1,0),FALSE),"")</f>
        <v>0</v>
      </c>
      <c r="AC137" s="173">
        <f>IFERROR(VLOOKUP($B137,Totalt!$B$1:$AQ$554,MATCH(AC$2,Totalt!$B$1:$AQ$1,0),FALSE),"")</f>
        <v>0</v>
      </c>
      <c r="AD137" s="173">
        <f>IFERROR(VLOOKUP($B137,Totalt!$B$1:$AQ$554,MATCH(AD$2,Totalt!$B$1:$AQ$1,0),FALSE),"")</f>
        <v>0</v>
      </c>
      <c r="AE137" s="173">
        <f>IFERROR(VLOOKUP($B137,Totalt!$B$1:$AQ$554,MATCH(AE$2,Totalt!$B$1:$AQ$1,0),FALSE),"")</f>
        <v>0</v>
      </c>
      <c r="AF137" s="173">
        <f>IFERROR(VLOOKUP($B137,Totalt!$B$1:$AQ$554,MATCH(AF$2,Totalt!$B$1:$AQ$1,0),FALSE),"")</f>
        <v>8.4000000000000005E-2</v>
      </c>
      <c r="AG137" s="173">
        <f>IFERROR(VLOOKUP($B137,Totalt!$B$1:$AQ$554,MATCH(AG$2,Totalt!$B$1:$AQ$1,0),FALSE),"")</f>
        <v>0</v>
      </c>
      <c r="AI137" s="226">
        <f t="shared" si="12"/>
        <v>9.8739999999999988</v>
      </c>
      <c r="AJ137" s="226">
        <f>IF(ISERROR(1/VLOOKUP($B137,Leveranser!$B$1:$S$500,MATCH("såld värme (gwh)",Leveranser!$B$1:$S$1,0),FALSE)),"",VLOOKUP($B137,Leveranser!$B$1:$S$500,MATCH("såld värme (gwh)",Leveranser!$B$1:$S$1,0),FALSE))</f>
        <v>6.98</v>
      </c>
      <c r="AM137" s="227" t="str">
        <f>IF(B137&lt;&gt;"",IF(VLOOKUP($B137,Totalt!$B$1:$AQ$554,MATCH("Kvalitetsgranskad:",Totalt!$B$1:$AQ$1,0),FALSE)="ja",VLOOKUP($B137,Miljö!$B$1:$AG$479,MATCH(AM$2,Miljö!$B$1:$AK$1,0),FALSE),""),"")</f>
        <v>Ja</v>
      </c>
      <c r="AN137" s="227" t="str">
        <f>IF(AM137="ja",VLOOKUP($B137,Miljö!$B$1:$J$479,MATCH("Typ av ursprungsspecificerad el   (Om inget värde anges används Nordisk residualmix, se inforuta) ()",Miljö!$B$1:$J$1,0),FALSE),IF(AM137="nej","Nordisk residualel",""))</f>
        <v>'vattenkraft'</v>
      </c>
      <c r="AO137" s="227">
        <f>IF(AM137="","",VLOOKUP($B137,Miljö!$B$1:$J$479,MATCH("Fossilandel för ursprungspecificerad el ()",Miljö!$B$1:$J$1,0),FALSE))</f>
        <v>0</v>
      </c>
      <c r="AP137" s="227">
        <f>IF(AM137="","",IFERROR(VLOOKUP($B137,Miljö!$B$1:$J$479,MATCH("Kärnkraftsandel för ursprungsspecificerad el ()",Miljö!$B$1:$J$1,0),FALSE)/1,0))</f>
        <v>0</v>
      </c>
      <c r="AQ137" s="227">
        <f t="shared" si="13"/>
        <v>1</v>
      </c>
      <c r="AR137" s="227"/>
      <c r="AS137" s="227" t="str">
        <f t="shared" si="14"/>
        <v>Nej</v>
      </c>
      <c r="AT137" s="227" t="str">
        <f>IF(AS137="ja",VLOOKUP($B137,Miljö!$B$1:$O$500,MATCH("Fossil andel i procent (%)",Miljö!$B$1:$O$1,0),FALSE)/100,"")</f>
        <v/>
      </c>
      <c r="AU137" s="227"/>
      <c r="AV137" s="227" t="str">
        <f t="shared" si="15"/>
        <v>Nej</v>
      </c>
      <c r="AW137" s="227" t="str">
        <f>IF(AV137="ja",VLOOKUP($B137,'Egen hetvattenprod'!$B$1:$AO$500,MATCH("Värmekälla till värmepumpar ()",'Egen hetvattenprod'!$B$1:$AO$1,0),FALSE),"")</f>
        <v/>
      </c>
      <c r="AX137" s="227"/>
      <c r="AY137" s="227" t="str">
        <f t="shared" si="16"/>
        <v>Nej</v>
      </c>
      <c r="AZ137" s="228" t="str">
        <f>IF($AY137="ja",(VLOOKUP($B137,'Egen hetvattenprod'!$B$1:$BX$550,MATCH(AZ$2,'Egen hetvattenprod'!$B$1:$BX$1,0),FALSE)+VLOOKUP($B137,Kraftvärmeprod!$B$1:$BX$550,MATCH(AZ$2,Kraftvärmeprod!$B$1:$BX$1,0),FALSE))/$AC137,"")</f>
        <v/>
      </c>
      <c r="BA137" s="228" t="str">
        <f>IF($AY137="ja",(VLOOKUP($B137,'Egen hetvattenprod'!$B$1:$BX$550,MATCH(BA$2,'Egen hetvattenprod'!$B$1:$BX$1,0),FALSE)+VLOOKUP($B137,Kraftvärmeprod!$B$1:$BX$550,MATCH(BA$2,Kraftvärmeprod!$B$1:$BX$1,0),FALSE))/$AC137,"")</f>
        <v/>
      </c>
      <c r="BB137" s="228" t="str">
        <f>IF($AY137="ja",(VLOOKUP($B137,'Egen hetvattenprod'!$B$1:$BX$550,MATCH(BB$2,'Egen hetvattenprod'!$B$1:$BX$1,0),FALSE)+VLOOKUP($B137,Kraftvärmeprod!$B$1:$BX$550,MATCH(BB$2,Kraftvärmeprod!$B$1:$BX$1,0),FALSE))/$AC137,"")</f>
        <v/>
      </c>
      <c r="BC137" s="228" t="str">
        <f>IF($AY137="ja",(VLOOKUP($B137,'Egen hetvattenprod'!$B$1:$BX$550,MATCH(BC$2,'Egen hetvattenprod'!$B$1:$BX$1,0),FALSE)+VLOOKUP($B137,Kraftvärmeprod!$B$1:$BX$550,MATCH(BC$2,Kraftvärmeprod!$B$1:$BX$1,0),FALSE))/$AC137,"")</f>
        <v/>
      </c>
      <c r="BD137" s="228" t="str">
        <f>IF($AY137="ja",(VLOOKUP($B137,'Egen hetvattenprod'!$B$1:$BX$550,MATCH(BD$2,'Egen hetvattenprod'!$B$1:$BX$1,0),FALSE)+VLOOKUP($B137,Kraftvärmeprod!$B$1:$BX$550,MATCH(BD$2,Kraftvärmeprod!$B$1:$BX$1,0),FALSE))/$AC137,"")</f>
        <v/>
      </c>
      <c r="BE137" s="227"/>
      <c r="BF137" s="227" t="str">
        <f t="shared" si="17"/>
        <v>Nej</v>
      </c>
      <c r="BG137" s="227" t="str">
        <f>IF($BF137="ja",VLOOKUP($B137,'Egen hetvattenprod'!$B$1:$BX$550,MATCH("Andelen klimatgaser med fossilt ursprung för avfall ()",'Egen hetvattenprod'!$B$1:$BX$1,0),FALSE),"")</f>
        <v/>
      </c>
      <c r="BH137" s="227" t="str">
        <f>IF($BF137="ja",VLOOKUP($B137,Kraftvärmeprod!$B$1:$BX$550,MATCH("Andelen klimatgaser med fossilt ursprung för avfall ()",Kraftvärmeprod!$B$1:$BX$1,0),FALSE),"")</f>
        <v/>
      </c>
      <c r="BI137" s="227" t="str">
        <f>IF($BF137="ja",VLOOKUP($B137,'Egen hetvattenprod'!$B$1:$BX$550,MATCH("Avfall (GWh)",'Egen hetvattenprod'!$B$1:$BX$1,0),FALSE),"")</f>
        <v/>
      </c>
      <c r="BJ137" s="227" t="str">
        <f>IF($BF137="ja",VLOOKUP($B137,'Slutlig allokering kvv'!$B$1:$BX$550,MATCH("Avfall (GWh)",'Slutlig allokering kvv'!$B$1:$BX$1,0),FALSE),"")</f>
        <v/>
      </c>
      <c r="BK137" s="227" t="str">
        <f>IF($BF137="ja",VLOOKUP($B137,'Köpt hetvatten'!$B$1:$BX$550,MATCH("Avfall i köpt hetvatten",'Köpt hetvatten'!$B$1:$BX$1,0),FALSE),"")</f>
        <v/>
      </c>
      <c r="BL137" s="227" t="str">
        <f>IF($BF137="ja",VLOOKUP($B137,'Egen hetvattenprod'!$B$1:$BX$550,MATCH("Värde enligt ovan. (%)",'Egen hetvattenprod'!$B$1:$BX$1,0),FALSE),"")</f>
        <v/>
      </c>
      <c r="BM137" s="227" t="str">
        <f>IF($BF137="ja",VLOOKUP($B137,Kraftvärmeprod!$B$1:$BX$550,MATCH("Värde enligt ovan. (%)",Kraftvärmeprod!$B$1:$BX$1,0),FALSE),"")</f>
        <v/>
      </c>
      <c r="BN137" s="227"/>
      <c r="BO137" s="227"/>
      <c r="BP137" s="227"/>
      <c r="BQ137" s="227" t="str">
        <f>IF($BF137="ja",VLOOKUP($B137,'Egen hetvattenprod'!$B$1:$BX$550,MATCH("Tillförd olja (fossil) vid avfallsförbränning (GWh)",'Egen hetvattenprod'!$B$1:$BX$1,0),FALSE),"")</f>
        <v/>
      </c>
      <c r="BR137" s="227" t="str">
        <f>IF($BF137="ja",VLOOKUP($B137,Kraftvärmeprod!$B$1:$BX$550,MATCH("Tillförd olja (fossil) vid avfallsförbränning (GWh)",Kraftvärmeprod!$B$1:$BX$1,0),FALSE),"")</f>
        <v/>
      </c>
      <c r="BS137" s="227"/>
      <c r="BT137" s="227"/>
      <c r="BU137" s="227"/>
    </row>
    <row r="138" spans="1:73" x14ac:dyDescent="0.25">
      <c r="A138" s="121" t="str">
        <f>'Miljövärden för publ företag'!B141</f>
        <v>Lantmännen Agrovärme AB</v>
      </c>
      <c r="B138" s="121" t="str">
        <f>'Miljövärden för publ företag'!C141</f>
        <v>Grästorp</v>
      </c>
      <c r="C138" s="173">
        <f>IFERROR(VLOOKUP($B138,Totalt!$B$1:$AQ$554,MATCH(C$2,Totalt!$B$1:$AQ$1,0),FALSE),"")</f>
        <v>0</v>
      </c>
      <c r="D138" s="173">
        <f>IFERROR(VLOOKUP($B138,Totalt!$B$1:$AQ$554,MATCH(D$2,Totalt!$B$1:$AQ$1,0),FALSE),"")</f>
        <v>0.15</v>
      </c>
      <c r="E138" s="173">
        <f>IFERROR(VLOOKUP($B138,Totalt!$B$1:$AQ$554,MATCH(E$2,Totalt!$B$1:$AQ$1,0),FALSE),"")</f>
        <v>0</v>
      </c>
      <c r="F138" s="173">
        <f>IFERROR(VLOOKUP($B138,Totalt!$B$1:$AQ$554,MATCH(F$2,Totalt!$B$1:$AQ$1,0),FALSE),"")</f>
        <v>0</v>
      </c>
      <c r="G138" s="173">
        <f>IFERROR(VLOOKUP($B138,Totalt!$B$1:$AQ$554,MATCH(G$2,Totalt!$B$1:$AQ$1,0),FALSE),"")</f>
        <v>0</v>
      </c>
      <c r="H138" s="173">
        <f>IFERROR(VLOOKUP($B138,Totalt!$B$1:$AQ$554,MATCH(H$2,Totalt!$B$1:$AQ$1,0),FALSE),"")</f>
        <v>0</v>
      </c>
      <c r="I138" s="173">
        <f>IFERROR(VLOOKUP($B138,Totalt!$B$1:$AQ$554,MATCH(I$2,Totalt!$B$1:$AQ$1,0),FALSE),"")</f>
        <v>0</v>
      </c>
      <c r="J138" s="173">
        <f>IFERROR(VLOOKUP($B138,Totalt!$B$1:$AQ$554,MATCH(J$2,Totalt!$B$1:$AQ$1,0),FALSE),"")</f>
        <v>0</v>
      </c>
      <c r="K138" s="173">
        <f>IFERROR(VLOOKUP($B138,Totalt!$B$1:$AQ$554,MATCH(K$2,Totalt!$B$1:$AQ$1,0),FALSE),"")</f>
        <v>0</v>
      </c>
      <c r="L138" s="173">
        <f>IFERROR(VLOOKUP($B138,Totalt!$B$1:$AQ$554,MATCH(L$2,Totalt!$B$1:$AQ$1,0),FALSE),"")</f>
        <v>0</v>
      </c>
      <c r="M138" s="173">
        <f>IFERROR(VLOOKUP($B138,Totalt!$B$1:$AQ$554,MATCH(M$2,Totalt!$B$1:$AQ$1,0),FALSE),"")</f>
        <v>0</v>
      </c>
      <c r="N138" s="173">
        <f>IFERROR(VLOOKUP($B138,Totalt!$B$1:$AQ$554,MATCH(N$2,Totalt!$B$1:$AQ$1,0),FALSE),"")</f>
        <v>0</v>
      </c>
      <c r="O138" s="173">
        <f>IFERROR(VLOOKUP($B138,Totalt!$B$1:$AQ$554,MATCH(O$2,Totalt!$B$1:$AQ$1,0),FALSE),"")</f>
        <v>0</v>
      </c>
      <c r="P138" s="173">
        <f>IFERROR(VLOOKUP($B138,Totalt!$B$1:$AQ$554,MATCH(P$2,Totalt!$B$1:$AQ$1,0),FALSE),"")</f>
        <v>12.14</v>
      </c>
      <c r="Q138" s="173">
        <f>IFERROR(VLOOKUP($B138,Totalt!$B$1:$AQ$554,MATCH(Q$2,Totalt!$B$1:$AQ$1,0),FALSE),"")</f>
        <v>0</v>
      </c>
      <c r="R138" s="173">
        <f>IFERROR(VLOOKUP($B138,Totalt!$B$1:$AQ$554,MATCH(R$2,Totalt!$B$1:$AQ$1,0),FALSE),"")</f>
        <v>0</v>
      </c>
      <c r="S138" s="173">
        <f>IFERROR(VLOOKUP($B138,Totalt!$B$1:$AQ$554,MATCH(S$2,Totalt!$B$1:$AQ$1,0),FALSE),"")</f>
        <v>0</v>
      </c>
      <c r="T138" s="173">
        <f>IFERROR(VLOOKUP($B138,Totalt!$B$1:$AQ$554,MATCH(T$2,Totalt!$B$1:$AQ$1,0),FALSE),"")</f>
        <v>0</v>
      </c>
      <c r="U138" s="173">
        <f>IFERROR(VLOOKUP($B138,Totalt!$B$1:$AQ$554,MATCH(U$2,Totalt!$B$1:$AQ$1,0),FALSE),"")</f>
        <v>0</v>
      </c>
      <c r="V138" s="173">
        <f>IFERROR(VLOOKUP($B138,Totalt!$B$1:$AQ$554,MATCH(V$2,Totalt!$B$1:$AQ$1,0),FALSE),"")</f>
        <v>0</v>
      </c>
      <c r="W138" s="173">
        <f>IFERROR(VLOOKUP($B138,Totalt!$B$1:$AQ$554,MATCH(W$2,Totalt!$B$1:$AQ$1,0),FALSE),"")</f>
        <v>0</v>
      </c>
      <c r="X138" s="173">
        <f>IFERROR(VLOOKUP($B138,Totalt!$B$1:$AQ$554,MATCH(X$2,Totalt!$B$1:$AQ$1,0),FALSE),"")</f>
        <v>3.67</v>
      </c>
      <c r="Y138" s="173">
        <f>IFERROR(VLOOKUP($B138,Totalt!$B$1:$AQ$554,MATCH(Y$2,Totalt!$B$1:$AQ$1,0),FALSE),"")</f>
        <v>0</v>
      </c>
      <c r="Z138" s="173">
        <f>IFERROR(VLOOKUP($B138,Totalt!$B$1:$AQ$554,MATCH(Z$2,Totalt!$B$1:$AQ$1,0),FALSE),"")</f>
        <v>0</v>
      </c>
      <c r="AA138" s="173">
        <f>IFERROR(VLOOKUP($B138,Totalt!$B$1:$AQ$554,MATCH(AA$2,Totalt!$B$1:$AQ$1,0),FALSE),"")</f>
        <v>0</v>
      </c>
      <c r="AB138" s="173">
        <f>IFERROR(VLOOKUP($B138,Totalt!$B$1:$AQ$554,MATCH(AB$2,Totalt!$B$1:$AQ$1,0),FALSE),"")</f>
        <v>0</v>
      </c>
      <c r="AC138" s="173">
        <f>IFERROR(VLOOKUP($B138,Totalt!$B$1:$AQ$554,MATCH(AC$2,Totalt!$B$1:$AQ$1,0),FALSE),"")</f>
        <v>0</v>
      </c>
      <c r="AD138" s="173">
        <f>IFERROR(VLOOKUP($B138,Totalt!$B$1:$AQ$554,MATCH(AD$2,Totalt!$B$1:$AQ$1,0),FALSE),"")</f>
        <v>0</v>
      </c>
      <c r="AE138" s="173">
        <f>IFERROR(VLOOKUP($B138,Totalt!$B$1:$AQ$554,MATCH(AE$2,Totalt!$B$1:$AQ$1,0),FALSE),"")</f>
        <v>0</v>
      </c>
      <c r="AF138" s="173">
        <f>IFERROR(VLOOKUP($B138,Totalt!$B$1:$AQ$554,MATCH(AF$2,Totalt!$B$1:$AQ$1,0),FALSE),"")</f>
        <v>0.247</v>
      </c>
      <c r="AG138" s="173">
        <f>IFERROR(VLOOKUP($B138,Totalt!$B$1:$AQ$554,MATCH(AG$2,Totalt!$B$1:$AQ$1,0),FALSE),"")</f>
        <v>0</v>
      </c>
      <c r="AI138" s="226">
        <f t="shared" si="12"/>
        <v>16.207000000000001</v>
      </c>
      <c r="AJ138" s="226">
        <f>IF(ISERROR(1/VLOOKUP($B138,Leveranser!$B$1:$S$500,MATCH("såld värme (gwh)",Leveranser!$B$1:$S$1,0),FALSE)),"",VLOOKUP($B138,Leveranser!$B$1:$S$500,MATCH("såld värme (gwh)",Leveranser!$B$1:$S$1,0),FALSE))</f>
        <v>10.95</v>
      </c>
      <c r="AM138" s="227" t="str">
        <f>IF(B138&lt;&gt;"",IF(VLOOKUP($B138,Totalt!$B$1:$AQ$554,MATCH("Kvalitetsgranskad:",Totalt!$B$1:$AQ$1,0),FALSE)="ja",VLOOKUP($B138,Miljö!$B$1:$AG$479,MATCH(AM$2,Miljö!$B$1:$AK$1,0),FALSE),""),"")</f>
        <v>Ja</v>
      </c>
      <c r="AN138" s="227" t="str">
        <f>IF(AM138="ja",VLOOKUP($B138,Miljö!$B$1:$J$479,MATCH("Typ av ursprungsspecificerad el   (Om inget värde anges används Nordisk residualmix, se inforuta) ()",Miljö!$B$1:$J$1,0),FALSE),IF(AM138="nej","Nordisk residualel",""))</f>
        <v>'Vattenkraft'</v>
      </c>
      <c r="AO138" s="227">
        <f>IF(AM138="","",VLOOKUP($B138,Miljö!$B$1:$J$479,MATCH("Fossilandel för ursprungspecificerad el ()",Miljö!$B$1:$J$1,0),FALSE))</f>
        <v>0</v>
      </c>
      <c r="AP138" s="227">
        <f>IF(AM138="","",IFERROR(VLOOKUP($B138,Miljö!$B$1:$J$479,MATCH("Kärnkraftsandel för ursprungsspecificerad el ()",Miljö!$B$1:$J$1,0),FALSE)/1,0))</f>
        <v>0</v>
      </c>
      <c r="AQ138" s="227">
        <f t="shared" si="13"/>
        <v>1</v>
      </c>
      <c r="AR138" s="227"/>
      <c r="AS138" s="227" t="str">
        <f t="shared" si="14"/>
        <v>Nej</v>
      </c>
      <c r="AT138" s="227" t="str">
        <f>IF(AS138="ja",VLOOKUP($B138,Miljö!$B$1:$O$500,MATCH("Fossil andel i procent (%)",Miljö!$B$1:$O$1,0),FALSE)/100,"")</f>
        <v/>
      </c>
      <c r="AU138" s="227"/>
      <c r="AV138" s="227" t="str">
        <f t="shared" si="15"/>
        <v>Nej</v>
      </c>
      <c r="AW138" s="227" t="str">
        <f>IF(AV138="ja",VLOOKUP($B138,'Egen hetvattenprod'!$B$1:$AO$500,MATCH("Värmekälla till värmepumpar ()",'Egen hetvattenprod'!$B$1:$AO$1,0),FALSE),"")</f>
        <v/>
      </c>
      <c r="AX138" s="227"/>
      <c r="AY138" s="227" t="str">
        <f t="shared" si="16"/>
        <v>Nej</v>
      </c>
      <c r="AZ138" s="228" t="str">
        <f>IF($AY138="ja",(VLOOKUP($B138,'Egen hetvattenprod'!$B$1:$BX$550,MATCH(AZ$2,'Egen hetvattenprod'!$B$1:$BX$1,0),FALSE)+VLOOKUP($B138,Kraftvärmeprod!$B$1:$BX$550,MATCH(AZ$2,Kraftvärmeprod!$B$1:$BX$1,0),FALSE))/$AC138,"")</f>
        <v/>
      </c>
      <c r="BA138" s="228" t="str">
        <f>IF($AY138="ja",(VLOOKUP($B138,'Egen hetvattenprod'!$B$1:$BX$550,MATCH(BA$2,'Egen hetvattenprod'!$B$1:$BX$1,0),FALSE)+VLOOKUP($B138,Kraftvärmeprod!$B$1:$BX$550,MATCH(BA$2,Kraftvärmeprod!$B$1:$BX$1,0),FALSE))/$AC138,"")</f>
        <v/>
      </c>
      <c r="BB138" s="228" t="str">
        <f>IF($AY138="ja",(VLOOKUP($B138,'Egen hetvattenprod'!$B$1:$BX$550,MATCH(BB$2,'Egen hetvattenprod'!$B$1:$BX$1,0),FALSE)+VLOOKUP($B138,Kraftvärmeprod!$B$1:$BX$550,MATCH(BB$2,Kraftvärmeprod!$B$1:$BX$1,0),FALSE))/$AC138,"")</f>
        <v/>
      </c>
      <c r="BC138" s="228" t="str">
        <f>IF($AY138="ja",(VLOOKUP($B138,'Egen hetvattenprod'!$B$1:$BX$550,MATCH(BC$2,'Egen hetvattenprod'!$B$1:$BX$1,0),FALSE)+VLOOKUP($B138,Kraftvärmeprod!$B$1:$BX$550,MATCH(BC$2,Kraftvärmeprod!$B$1:$BX$1,0),FALSE))/$AC138,"")</f>
        <v/>
      </c>
      <c r="BD138" s="228" t="str">
        <f>IF($AY138="ja",(VLOOKUP($B138,'Egen hetvattenprod'!$B$1:$BX$550,MATCH(BD$2,'Egen hetvattenprod'!$B$1:$BX$1,0),FALSE)+VLOOKUP($B138,Kraftvärmeprod!$B$1:$BX$550,MATCH(BD$2,Kraftvärmeprod!$B$1:$BX$1,0),FALSE))/$AC138,"")</f>
        <v/>
      </c>
      <c r="BE138" s="227"/>
      <c r="BF138" s="227" t="str">
        <f t="shared" si="17"/>
        <v>Nej</v>
      </c>
      <c r="BG138" s="227" t="str">
        <f>IF($BF138="ja",VLOOKUP($B138,'Egen hetvattenprod'!$B$1:$BX$550,MATCH("Andelen klimatgaser med fossilt ursprung för avfall ()",'Egen hetvattenprod'!$B$1:$BX$1,0),FALSE),"")</f>
        <v/>
      </c>
      <c r="BH138" s="227" t="str">
        <f>IF($BF138="ja",VLOOKUP($B138,Kraftvärmeprod!$B$1:$BX$550,MATCH("Andelen klimatgaser med fossilt ursprung för avfall ()",Kraftvärmeprod!$B$1:$BX$1,0),FALSE),"")</f>
        <v/>
      </c>
      <c r="BI138" s="227" t="str">
        <f>IF($BF138="ja",VLOOKUP($B138,'Egen hetvattenprod'!$B$1:$BX$550,MATCH("Avfall (GWh)",'Egen hetvattenprod'!$B$1:$BX$1,0),FALSE),"")</f>
        <v/>
      </c>
      <c r="BJ138" s="227" t="str">
        <f>IF($BF138="ja",VLOOKUP($B138,'Slutlig allokering kvv'!$B$1:$BX$550,MATCH("Avfall (GWh)",'Slutlig allokering kvv'!$B$1:$BX$1,0),FALSE),"")</f>
        <v/>
      </c>
      <c r="BK138" s="227" t="str">
        <f>IF($BF138="ja",VLOOKUP($B138,'Köpt hetvatten'!$B$1:$BX$550,MATCH("Avfall i köpt hetvatten",'Köpt hetvatten'!$B$1:$BX$1,0),FALSE),"")</f>
        <v/>
      </c>
      <c r="BL138" s="227" t="str">
        <f>IF($BF138="ja",VLOOKUP($B138,'Egen hetvattenprod'!$B$1:$BX$550,MATCH("Värde enligt ovan. (%)",'Egen hetvattenprod'!$B$1:$BX$1,0),FALSE),"")</f>
        <v/>
      </c>
      <c r="BM138" s="227" t="str">
        <f>IF($BF138="ja",VLOOKUP($B138,Kraftvärmeprod!$B$1:$BX$550,MATCH("Värde enligt ovan. (%)",Kraftvärmeprod!$B$1:$BX$1,0),FALSE),"")</f>
        <v/>
      </c>
      <c r="BN138" s="227"/>
      <c r="BO138" s="227"/>
      <c r="BP138" s="227"/>
      <c r="BQ138" s="227" t="str">
        <f>IF($BF138="ja",VLOOKUP($B138,'Egen hetvattenprod'!$B$1:$BX$550,MATCH("Tillförd olja (fossil) vid avfallsförbränning (GWh)",'Egen hetvattenprod'!$B$1:$BX$1,0),FALSE),"")</f>
        <v/>
      </c>
      <c r="BR138" s="227" t="str">
        <f>IF($BF138="ja",VLOOKUP($B138,Kraftvärmeprod!$B$1:$BX$550,MATCH("Tillförd olja (fossil) vid avfallsförbränning (GWh)",Kraftvärmeprod!$B$1:$BX$1,0),FALSE),"")</f>
        <v/>
      </c>
      <c r="BS138" s="227"/>
      <c r="BT138" s="227"/>
      <c r="BU138" s="227"/>
    </row>
    <row r="139" spans="1:73" x14ac:dyDescent="0.25">
      <c r="A139" s="121" t="str">
        <f>'Miljövärden för publ företag'!B142</f>
        <v>Lantmännen Agrovärme AB</v>
      </c>
      <c r="B139" s="121" t="str">
        <f>'Miljövärden för publ företag'!C142</f>
        <v>Horred</v>
      </c>
      <c r="C139" s="173">
        <f>IFERROR(VLOOKUP($B139,Totalt!$B$1:$AQ$554,MATCH(C$2,Totalt!$B$1:$AQ$1,0),FALSE),"")</f>
        <v>0</v>
      </c>
      <c r="D139" s="173">
        <f>IFERROR(VLOOKUP($B139,Totalt!$B$1:$AQ$554,MATCH(D$2,Totalt!$B$1:$AQ$1,0),FALSE),"")</f>
        <v>0.27</v>
      </c>
      <c r="E139" s="173">
        <f>IFERROR(VLOOKUP($B139,Totalt!$B$1:$AQ$554,MATCH(E$2,Totalt!$B$1:$AQ$1,0),FALSE),"")</f>
        <v>0</v>
      </c>
      <c r="F139" s="173">
        <f>IFERROR(VLOOKUP($B139,Totalt!$B$1:$AQ$554,MATCH(F$2,Totalt!$B$1:$AQ$1,0),FALSE),"")</f>
        <v>0</v>
      </c>
      <c r="G139" s="173">
        <f>IFERROR(VLOOKUP($B139,Totalt!$B$1:$AQ$554,MATCH(G$2,Totalt!$B$1:$AQ$1,0),FALSE),"")</f>
        <v>0</v>
      </c>
      <c r="H139" s="173">
        <f>IFERROR(VLOOKUP($B139,Totalt!$B$1:$AQ$554,MATCH(H$2,Totalt!$B$1:$AQ$1,0),FALSE),"")</f>
        <v>0</v>
      </c>
      <c r="I139" s="173">
        <f>IFERROR(VLOOKUP($B139,Totalt!$B$1:$AQ$554,MATCH(I$2,Totalt!$B$1:$AQ$1,0),FALSE),"")</f>
        <v>0</v>
      </c>
      <c r="J139" s="173">
        <f>IFERROR(VLOOKUP($B139,Totalt!$B$1:$AQ$554,MATCH(J$2,Totalt!$B$1:$AQ$1,0),FALSE),"")</f>
        <v>0</v>
      </c>
      <c r="K139" s="173">
        <f>IFERROR(VLOOKUP($B139,Totalt!$B$1:$AQ$554,MATCH(K$2,Totalt!$B$1:$AQ$1,0),FALSE),"")</f>
        <v>0</v>
      </c>
      <c r="L139" s="173">
        <f>IFERROR(VLOOKUP($B139,Totalt!$B$1:$AQ$554,MATCH(L$2,Totalt!$B$1:$AQ$1,0),FALSE),"")</f>
        <v>0</v>
      </c>
      <c r="M139" s="173">
        <f>IFERROR(VLOOKUP($B139,Totalt!$B$1:$AQ$554,MATCH(M$2,Totalt!$B$1:$AQ$1,0),FALSE),"")</f>
        <v>0</v>
      </c>
      <c r="N139" s="173">
        <f>IFERROR(VLOOKUP($B139,Totalt!$B$1:$AQ$554,MATCH(N$2,Totalt!$B$1:$AQ$1,0),FALSE),"")</f>
        <v>0</v>
      </c>
      <c r="O139" s="173">
        <f>IFERROR(VLOOKUP($B139,Totalt!$B$1:$AQ$554,MATCH(O$2,Totalt!$B$1:$AQ$1,0),FALSE),"")</f>
        <v>0</v>
      </c>
      <c r="P139" s="173">
        <f>IFERROR(VLOOKUP($B139,Totalt!$B$1:$AQ$554,MATCH(P$2,Totalt!$B$1:$AQ$1,0),FALSE),"")</f>
        <v>0</v>
      </c>
      <c r="Q139" s="173">
        <f>IFERROR(VLOOKUP($B139,Totalt!$B$1:$AQ$554,MATCH(Q$2,Totalt!$B$1:$AQ$1,0),FALSE),"")</f>
        <v>0</v>
      </c>
      <c r="R139" s="173">
        <f>IFERROR(VLOOKUP($B139,Totalt!$B$1:$AQ$554,MATCH(R$2,Totalt!$B$1:$AQ$1,0),FALSE),"")</f>
        <v>0</v>
      </c>
      <c r="S139" s="173">
        <f>IFERROR(VLOOKUP($B139,Totalt!$B$1:$AQ$554,MATCH(S$2,Totalt!$B$1:$AQ$1,0),FALSE),"")</f>
        <v>7.82</v>
      </c>
      <c r="T139" s="173">
        <f>IFERROR(VLOOKUP($B139,Totalt!$B$1:$AQ$554,MATCH(T$2,Totalt!$B$1:$AQ$1,0),FALSE),"")</f>
        <v>0</v>
      </c>
      <c r="U139" s="173">
        <f>IFERROR(VLOOKUP($B139,Totalt!$B$1:$AQ$554,MATCH(U$2,Totalt!$B$1:$AQ$1,0),FALSE),"")</f>
        <v>0</v>
      </c>
      <c r="V139" s="173">
        <f>IFERROR(VLOOKUP($B139,Totalt!$B$1:$AQ$554,MATCH(V$2,Totalt!$B$1:$AQ$1,0),FALSE),"")</f>
        <v>0</v>
      </c>
      <c r="W139" s="173">
        <f>IFERROR(VLOOKUP($B139,Totalt!$B$1:$AQ$554,MATCH(W$2,Totalt!$B$1:$AQ$1,0),FALSE),"")</f>
        <v>0</v>
      </c>
      <c r="X139" s="173">
        <f>IFERROR(VLOOKUP($B139,Totalt!$B$1:$AQ$554,MATCH(X$2,Totalt!$B$1:$AQ$1,0),FALSE),"")</f>
        <v>0</v>
      </c>
      <c r="Y139" s="173">
        <f>IFERROR(VLOOKUP($B139,Totalt!$B$1:$AQ$554,MATCH(Y$2,Totalt!$B$1:$AQ$1,0),FALSE),"")</f>
        <v>0</v>
      </c>
      <c r="Z139" s="173">
        <f>IFERROR(VLOOKUP($B139,Totalt!$B$1:$AQ$554,MATCH(Z$2,Totalt!$B$1:$AQ$1,0),FALSE),"")</f>
        <v>0</v>
      </c>
      <c r="AA139" s="173">
        <f>IFERROR(VLOOKUP($B139,Totalt!$B$1:$AQ$554,MATCH(AA$2,Totalt!$B$1:$AQ$1,0),FALSE),"")</f>
        <v>0</v>
      </c>
      <c r="AB139" s="173">
        <f>IFERROR(VLOOKUP($B139,Totalt!$B$1:$AQ$554,MATCH(AB$2,Totalt!$B$1:$AQ$1,0),FALSE),"")</f>
        <v>0</v>
      </c>
      <c r="AC139" s="173">
        <f>IFERROR(VLOOKUP($B139,Totalt!$B$1:$AQ$554,MATCH(AC$2,Totalt!$B$1:$AQ$1,0),FALSE),"")</f>
        <v>0</v>
      </c>
      <c r="AD139" s="173">
        <f>IFERROR(VLOOKUP($B139,Totalt!$B$1:$AQ$554,MATCH(AD$2,Totalt!$B$1:$AQ$1,0),FALSE),"")</f>
        <v>0</v>
      </c>
      <c r="AE139" s="173">
        <f>IFERROR(VLOOKUP($B139,Totalt!$B$1:$AQ$554,MATCH(AE$2,Totalt!$B$1:$AQ$1,0),FALSE),"")</f>
        <v>0</v>
      </c>
      <c r="AF139" s="173">
        <f>IFERROR(VLOOKUP($B139,Totalt!$B$1:$AQ$554,MATCH(AF$2,Totalt!$B$1:$AQ$1,0),FALSE),"")</f>
        <v>0.12</v>
      </c>
      <c r="AG139" s="173">
        <f>IFERROR(VLOOKUP($B139,Totalt!$B$1:$AQ$554,MATCH(AG$2,Totalt!$B$1:$AQ$1,0),FALSE),"")</f>
        <v>0</v>
      </c>
      <c r="AI139" s="226">
        <f t="shared" si="12"/>
        <v>8.2099999999999991</v>
      </c>
      <c r="AJ139" s="226">
        <f>IF(ISERROR(1/VLOOKUP($B139,Leveranser!$B$1:$S$500,MATCH("såld värme (gwh)",Leveranser!$B$1:$S$1,0),FALSE)),"",VLOOKUP($B139,Leveranser!$B$1:$S$500,MATCH("såld värme (gwh)",Leveranser!$B$1:$S$1,0),FALSE))</f>
        <v>5.46</v>
      </c>
      <c r="AM139" s="227" t="str">
        <f>IF(B139&lt;&gt;"",IF(VLOOKUP($B139,Totalt!$B$1:$AQ$554,MATCH("Kvalitetsgranskad:",Totalt!$B$1:$AQ$1,0),FALSE)="ja",VLOOKUP($B139,Miljö!$B$1:$AG$479,MATCH(AM$2,Miljö!$B$1:$AK$1,0),FALSE),""),"")</f>
        <v>Ja</v>
      </c>
      <c r="AN139" s="227" t="str">
        <f>IF(AM139="ja",VLOOKUP($B139,Miljö!$B$1:$J$479,MATCH("Typ av ursprungsspecificerad el   (Om inget värde anges används Nordisk residualmix, se inforuta) ()",Miljö!$B$1:$J$1,0),FALSE),IF(AM139="nej","Nordisk residualel",""))</f>
        <v>'vattenkraft'</v>
      </c>
      <c r="AO139" s="227">
        <f>IF(AM139="","",VLOOKUP($B139,Miljö!$B$1:$J$479,MATCH("Fossilandel för ursprungspecificerad el ()",Miljö!$B$1:$J$1,0),FALSE))</f>
        <v>0</v>
      </c>
      <c r="AP139" s="227">
        <f>IF(AM139="","",IFERROR(VLOOKUP($B139,Miljö!$B$1:$J$479,MATCH("Kärnkraftsandel för ursprungsspecificerad el ()",Miljö!$B$1:$J$1,0),FALSE)/1,0))</f>
        <v>0</v>
      </c>
      <c r="AQ139" s="227">
        <f t="shared" si="13"/>
        <v>1</v>
      </c>
      <c r="AR139" s="227"/>
      <c r="AS139" s="227" t="str">
        <f t="shared" si="14"/>
        <v>Nej</v>
      </c>
      <c r="AT139" s="227" t="str">
        <f>IF(AS139="ja",VLOOKUP($B139,Miljö!$B$1:$O$500,MATCH("Fossil andel i procent (%)",Miljö!$B$1:$O$1,0),FALSE)/100,"")</f>
        <v/>
      </c>
      <c r="AU139" s="227"/>
      <c r="AV139" s="227" t="str">
        <f t="shared" si="15"/>
        <v>Nej</v>
      </c>
      <c r="AW139" s="227" t="str">
        <f>IF(AV139="ja",VLOOKUP($B139,'Egen hetvattenprod'!$B$1:$AO$500,MATCH("Värmekälla till värmepumpar ()",'Egen hetvattenprod'!$B$1:$AO$1,0),FALSE),"")</f>
        <v/>
      </c>
      <c r="AX139" s="227"/>
      <c r="AY139" s="227" t="str">
        <f t="shared" si="16"/>
        <v>Nej</v>
      </c>
      <c r="AZ139" s="228" t="str">
        <f>IF($AY139="ja",(VLOOKUP($B139,'Egen hetvattenprod'!$B$1:$BX$550,MATCH(AZ$2,'Egen hetvattenprod'!$B$1:$BX$1,0),FALSE)+VLOOKUP($B139,Kraftvärmeprod!$B$1:$BX$550,MATCH(AZ$2,Kraftvärmeprod!$B$1:$BX$1,0),FALSE))/$AC139,"")</f>
        <v/>
      </c>
      <c r="BA139" s="228" t="str">
        <f>IF($AY139="ja",(VLOOKUP($B139,'Egen hetvattenprod'!$B$1:$BX$550,MATCH(BA$2,'Egen hetvattenprod'!$B$1:$BX$1,0),FALSE)+VLOOKUP($B139,Kraftvärmeprod!$B$1:$BX$550,MATCH(BA$2,Kraftvärmeprod!$B$1:$BX$1,0),FALSE))/$AC139,"")</f>
        <v/>
      </c>
      <c r="BB139" s="228" t="str">
        <f>IF($AY139="ja",(VLOOKUP($B139,'Egen hetvattenprod'!$B$1:$BX$550,MATCH(BB$2,'Egen hetvattenprod'!$B$1:$BX$1,0),FALSE)+VLOOKUP($B139,Kraftvärmeprod!$B$1:$BX$550,MATCH(BB$2,Kraftvärmeprod!$B$1:$BX$1,0),FALSE))/$AC139,"")</f>
        <v/>
      </c>
      <c r="BC139" s="228" t="str">
        <f>IF($AY139="ja",(VLOOKUP($B139,'Egen hetvattenprod'!$B$1:$BX$550,MATCH(BC$2,'Egen hetvattenprod'!$B$1:$BX$1,0),FALSE)+VLOOKUP($B139,Kraftvärmeprod!$B$1:$BX$550,MATCH(BC$2,Kraftvärmeprod!$B$1:$BX$1,0),FALSE))/$AC139,"")</f>
        <v/>
      </c>
      <c r="BD139" s="228" t="str">
        <f>IF($AY139="ja",(VLOOKUP($B139,'Egen hetvattenprod'!$B$1:$BX$550,MATCH(BD$2,'Egen hetvattenprod'!$B$1:$BX$1,0),FALSE)+VLOOKUP($B139,Kraftvärmeprod!$B$1:$BX$550,MATCH(BD$2,Kraftvärmeprod!$B$1:$BX$1,0),FALSE))/$AC139,"")</f>
        <v/>
      </c>
      <c r="BE139" s="227"/>
      <c r="BF139" s="227" t="str">
        <f t="shared" si="17"/>
        <v>Nej</v>
      </c>
      <c r="BG139" s="227" t="str">
        <f>IF($BF139="ja",VLOOKUP($B139,'Egen hetvattenprod'!$B$1:$BX$550,MATCH("Andelen klimatgaser med fossilt ursprung för avfall ()",'Egen hetvattenprod'!$B$1:$BX$1,0),FALSE),"")</f>
        <v/>
      </c>
      <c r="BH139" s="227" t="str">
        <f>IF($BF139="ja",VLOOKUP($B139,Kraftvärmeprod!$B$1:$BX$550,MATCH("Andelen klimatgaser med fossilt ursprung för avfall ()",Kraftvärmeprod!$B$1:$BX$1,0),FALSE),"")</f>
        <v/>
      </c>
      <c r="BI139" s="227" t="str">
        <f>IF($BF139="ja",VLOOKUP($B139,'Egen hetvattenprod'!$B$1:$BX$550,MATCH("Avfall (GWh)",'Egen hetvattenprod'!$B$1:$BX$1,0),FALSE),"")</f>
        <v/>
      </c>
      <c r="BJ139" s="227" t="str">
        <f>IF($BF139="ja",VLOOKUP($B139,'Slutlig allokering kvv'!$B$1:$BX$550,MATCH("Avfall (GWh)",'Slutlig allokering kvv'!$B$1:$BX$1,0),FALSE),"")</f>
        <v/>
      </c>
      <c r="BK139" s="227" t="str">
        <f>IF($BF139="ja",VLOOKUP($B139,'Köpt hetvatten'!$B$1:$BX$550,MATCH("Avfall i köpt hetvatten",'Köpt hetvatten'!$B$1:$BX$1,0),FALSE),"")</f>
        <v/>
      </c>
      <c r="BL139" s="227" t="str">
        <f>IF($BF139="ja",VLOOKUP($B139,'Egen hetvattenprod'!$B$1:$BX$550,MATCH("Värde enligt ovan. (%)",'Egen hetvattenprod'!$B$1:$BX$1,0),FALSE),"")</f>
        <v/>
      </c>
      <c r="BM139" s="227" t="str">
        <f>IF($BF139="ja",VLOOKUP($B139,Kraftvärmeprod!$B$1:$BX$550,MATCH("Värde enligt ovan. (%)",Kraftvärmeprod!$B$1:$BX$1,0),FALSE),"")</f>
        <v/>
      </c>
      <c r="BN139" s="227"/>
      <c r="BO139" s="227"/>
      <c r="BP139" s="227"/>
      <c r="BQ139" s="227" t="str">
        <f>IF($BF139="ja",VLOOKUP($B139,'Egen hetvattenprod'!$B$1:$BX$550,MATCH("Tillförd olja (fossil) vid avfallsförbränning (GWh)",'Egen hetvattenprod'!$B$1:$BX$1,0),FALSE),"")</f>
        <v/>
      </c>
      <c r="BR139" s="227" t="str">
        <f>IF($BF139="ja",VLOOKUP($B139,Kraftvärmeprod!$B$1:$BX$550,MATCH("Tillförd olja (fossil) vid avfallsförbränning (GWh)",Kraftvärmeprod!$B$1:$BX$1,0),FALSE),"")</f>
        <v/>
      </c>
      <c r="BS139" s="227"/>
      <c r="BT139" s="227"/>
      <c r="BU139" s="227"/>
    </row>
    <row r="140" spans="1:73" x14ac:dyDescent="0.25">
      <c r="A140" s="121" t="str">
        <f>'Miljövärden för publ företag'!B143</f>
        <v>Lantmännen Agrovärme AB</v>
      </c>
      <c r="B140" s="121" t="str">
        <f>'Miljövärden för publ företag'!C143</f>
        <v>Kvänum</v>
      </c>
      <c r="C140" s="173">
        <f>IFERROR(VLOOKUP($B140,Totalt!$B$1:$AQ$554,MATCH(C$2,Totalt!$B$1:$AQ$1,0),FALSE),"")</f>
        <v>0</v>
      </c>
      <c r="D140" s="173">
        <f>IFERROR(VLOOKUP($B140,Totalt!$B$1:$AQ$554,MATCH(D$2,Totalt!$B$1:$AQ$1,0),FALSE),"")</f>
        <v>4.5999999999999999E-2</v>
      </c>
      <c r="E140" s="173">
        <f>IFERROR(VLOOKUP($B140,Totalt!$B$1:$AQ$554,MATCH(E$2,Totalt!$B$1:$AQ$1,0),FALSE),"")</f>
        <v>0</v>
      </c>
      <c r="F140" s="173">
        <f>IFERROR(VLOOKUP($B140,Totalt!$B$1:$AQ$554,MATCH(F$2,Totalt!$B$1:$AQ$1,0),FALSE),"")</f>
        <v>0</v>
      </c>
      <c r="G140" s="173">
        <f>IFERROR(VLOOKUP($B140,Totalt!$B$1:$AQ$554,MATCH(G$2,Totalt!$B$1:$AQ$1,0),FALSE),"")</f>
        <v>0</v>
      </c>
      <c r="H140" s="173">
        <f>IFERROR(VLOOKUP($B140,Totalt!$B$1:$AQ$554,MATCH(H$2,Totalt!$B$1:$AQ$1,0),FALSE),"")</f>
        <v>0</v>
      </c>
      <c r="I140" s="173">
        <f>IFERROR(VLOOKUP($B140,Totalt!$B$1:$AQ$554,MATCH(I$2,Totalt!$B$1:$AQ$1,0),FALSE),"")</f>
        <v>0</v>
      </c>
      <c r="J140" s="173">
        <f>IFERROR(VLOOKUP($B140,Totalt!$B$1:$AQ$554,MATCH(J$2,Totalt!$B$1:$AQ$1,0),FALSE),"")</f>
        <v>0</v>
      </c>
      <c r="K140" s="173">
        <f>IFERROR(VLOOKUP($B140,Totalt!$B$1:$AQ$554,MATCH(K$2,Totalt!$B$1:$AQ$1,0),FALSE),"")</f>
        <v>0</v>
      </c>
      <c r="L140" s="173">
        <f>IFERROR(VLOOKUP($B140,Totalt!$B$1:$AQ$554,MATCH(L$2,Totalt!$B$1:$AQ$1,0),FALSE),"")</f>
        <v>0</v>
      </c>
      <c r="M140" s="173">
        <f>IFERROR(VLOOKUP($B140,Totalt!$B$1:$AQ$554,MATCH(M$2,Totalt!$B$1:$AQ$1,0),FALSE),"")</f>
        <v>0</v>
      </c>
      <c r="N140" s="173">
        <f>IFERROR(VLOOKUP($B140,Totalt!$B$1:$AQ$554,MATCH(N$2,Totalt!$B$1:$AQ$1,0),FALSE),"")</f>
        <v>0</v>
      </c>
      <c r="O140" s="173">
        <f>IFERROR(VLOOKUP($B140,Totalt!$B$1:$AQ$554,MATCH(O$2,Totalt!$B$1:$AQ$1,0),FALSE),"")</f>
        <v>0</v>
      </c>
      <c r="P140" s="173">
        <f>IFERROR(VLOOKUP($B140,Totalt!$B$1:$AQ$554,MATCH(P$2,Totalt!$B$1:$AQ$1,0),FALSE),"")</f>
        <v>0</v>
      </c>
      <c r="Q140" s="173">
        <f>IFERROR(VLOOKUP($B140,Totalt!$B$1:$AQ$554,MATCH(Q$2,Totalt!$B$1:$AQ$1,0),FALSE),"")</f>
        <v>0</v>
      </c>
      <c r="R140" s="173">
        <f>IFERROR(VLOOKUP($B140,Totalt!$B$1:$AQ$554,MATCH(R$2,Totalt!$B$1:$AQ$1,0),FALSE),"")</f>
        <v>0.16</v>
      </c>
      <c r="S140" s="173">
        <f>IFERROR(VLOOKUP($B140,Totalt!$B$1:$AQ$554,MATCH(S$2,Totalt!$B$1:$AQ$1,0),FALSE),"")</f>
        <v>5.4</v>
      </c>
      <c r="T140" s="173">
        <f>IFERROR(VLOOKUP($B140,Totalt!$B$1:$AQ$554,MATCH(T$2,Totalt!$B$1:$AQ$1,0),FALSE),"")</f>
        <v>0</v>
      </c>
      <c r="U140" s="173">
        <f>IFERROR(VLOOKUP($B140,Totalt!$B$1:$AQ$554,MATCH(U$2,Totalt!$B$1:$AQ$1,0),FALSE),"")</f>
        <v>0</v>
      </c>
      <c r="V140" s="173">
        <f>IFERROR(VLOOKUP($B140,Totalt!$B$1:$AQ$554,MATCH(V$2,Totalt!$B$1:$AQ$1,0),FALSE),"")</f>
        <v>0</v>
      </c>
      <c r="W140" s="173">
        <f>IFERROR(VLOOKUP($B140,Totalt!$B$1:$AQ$554,MATCH(W$2,Totalt!$B$1:$AQ$1,0),FALSE),"")</f>
        <v>0</v>
      </c>
      <c r="X140" s="173">
        <f>IFERROR(VLOOKUP($B140,Totalt!$B$1:$AQ$554,MATCH(X$2,Totalt!$B$1:$AQ$1,0),FALSE),"")</f>
        <v>7.5</v>
      </c>
      <c r="Y140" s="173">
        <f>IFERROR(VLOOKUP($B140,Totalt!$B$1:$AQ$554,MATCH(Y$2,Totalt!$B$1:$AQ$1,0),FALSE),"")</f>
        <v>0</v>
      </c>
      <c r="Z140" s="173">
        <f>IFERROR(VLOOKUP($B140,Totalt!$B$1:$AQ$554,MATCH(Z$2,Totalt!$B$1:$AQ$1,0),FALSE),"")</f>
        <v>0</v>
      </c>
      <c r="AA140" s="173">
        <f>IFERROR(VLOOKUP($B140,Totalt!$B$1:$AQ$554,MATCH(AA$2,Totalt!$B$1:$AQ$1,0),FALSE),"")</f>
        <v>0</v>
      </c>
      <c r="AB140" s="173">
        <f>IFERROR(VLOOKUP($B140,Totalt!$B$1:$AQ$554,MATCH(AB$2,Totalt!$B$1:$AQ$1,0),FALSE),"")</f>
        <v>0</v>
      </c>
      <c r="AC140" s="173">
        <f>IFERROR(VLOOKUP($B140,Totalt!$B$1:$AQ$554,MATCH(AC$2,Totalt!$B$1:$AQ$1,0),FALSE),"")</f>
        <v>0</v>
      </c>
      <c r="AD140" s="173">
        <f>IFERROR(VLOOKUP($B140,Totalt!$B$1:$AQ$554,MATCH(AD$2,Totalt!$B$1:$AQ$1,0),FALSE),"")</f>
        <v>0</v>
      </c>
      <c r="AE140" s="173">
        <f>IFERROR(VLOOKUP($B140,Totalt!$B$1:$AQ$554,MATCH(AE$2,Totalt!$B$1:$AQ$1,0),FALSE),"")</f>
        <v>0</v>
      </c>
      <c r="AF140" s="173">
        <f>IFERROR(VLOOKUP($B140,Totalt!$B$1:$AQ$554,MATCH(AF$2,Totalt!$B$1:$AQ$1,0),FALSE),"")</f>
        <v>0.27600000000000002</v>
      </c>
      <c r="AG140" s="173">
        <f>IFERROR(VLOOKUP($B140,Totalt!$B$1:$AQ$554,MATCH(AG$2,Totalt!$B$1:$AQ$1,0),FALSE),"")</f>
        <v>0</v>
      </c>
      <c r="AI140" s="226">
        <f t="shared" si="12"/>
        <v>13.382000000000001</v>
      </c>
      <c r="AJ140" s="226">
        <f>IF(ISERROR(1/VLOOKUP($B140,Leveranser!$B$1:$S$500,MATCH("såld värme (gwh)",Leveranser!$B$1:$S$1,0),FALSE)),"",VLOOKUP($B140,Leveranser!$B$1:$S$500,MATCH("såld värme (gwh)",Leveranser!$B$1:$S$1,0),FALSE))</f>
        <v>11.65</v>
      </c>
      <c r="AM140" s="227" t="str">
        <f>IF(B140&lt;&gt;"",IF(VLOOKUP($B140,Totalt!$B$1:$AQ$554,MATCH("Kvalitetsgranskad:",Totalt!$B$1:$AQ$1,0),FALSE)="ja",VLOOKUP($B140,Miljö!$B$1:$AG$479,MATCH(AM$2,Miljö!$B$1:$AK$1,0),FALSE),""),"")</f>
        <v>Ja</v>
      </c>
      <c r="AN140" s="227" t="str">
        <f>IF(AM140="ja",VLOOKUP($B140,Miljö!$B$1:$J$479,MATCH("Typ av ursprungsspecificerad el   (Om inget värde anges används Nordisk residualmix, se inforuta) ()",Miljö!$B$1:$J$1,0),FALSE),IF(AM140="nej","Nordisk residualel",""))</f>
        <v>'vattenkraft'</v>
      </c>
      <c r="AO140" s="227">
        <f>IF(AM140="","",VLOOKUP($B140,Miljö!$B$1:$J$479,MATCH("Fossilandel för ursprungspecificerad el ()",Miljö!$B$1:$J$1,0),FALSE))</f>
        <v>0</v>
      </c>
      <c r="AP140" s="227">
        <f>IF(AM140="","",IFERROR(VLOOKUP($B140,Miljö!$B$1:$J$479,MATCH("Kärnkraftsandel för ursprungsspecificerad el ()",Miljö!$B$1:$J$1,0),FALSE)/1,0))</f>
        <v>0</v>
      </c>
      <c r="AQ140" s="227">
        <f t="shared" si="13"/>
        <v>1</v>
      </c>
      <c r="AR140" s="227"/>
      <c r="AS140" s="227" t="str">
        <f t="shared" si="14"/>
        <v>Nej</v>
      </c>
      <c r="AT140" s="227" t="str">
        <f>IF(AS140="ja",VLOOKUP($B140,Miljö!$B$1:$O$500,MATCH("Fossil andel i procent (%)",Miljö!$B$1:$O$1,0),FALSE)/100,"")</f>
        <v/>
      </c>
      <c r="AU140" s="227"/>
      <c r="AV140" s="227" t="str">
        <f t="shared" si="15"/>
        <v>Nej</v>
      </c>
      <c r="AW140" s="227" t="str">
        <f>IF(AV140="ja",VLOOKUP($B140,'Egen hetvattenprod'!$B$1:$AO$500,MATCH("Värmekälla till värmepumpar ()",'Egen hetvattenprod'!$B$1:$AO$1,0),FALSE),"")</f>
        <v/>
      </c>
      <c r="AX140" s="227"/>
      <c r="AY140" s="227" t="str">
        <f t="shared" si="16"/>
        <v>Nej</v>
      </c>
      <c r="AZ140" s="228" t="str">
        <f>IF($AY140="ja",(VLOOKUP($B140,'Egen hetvattenprod'!$B$1:$BX$550,MATCH(AZ$2,'Egen hetvattenprod'!$B$1:$BX$1,0),FALSE)+VLOOKUP($B140,Kraftvärmeprod!$B$1:$BX$550,MATCH(AZ$2,Kraftvärmeprod!$B$1:$BX$1,0),FALSE))/$AC140,"")</f>
        <v/>
      </c>
      <c r="BA140" s="228" t="str">
        <f>IF($AY140="ja",(VLOOKUP($B140,'Egen hetvattenprod'!$B$1:$BX$550,MATCH(BA$2,'Egen hetvattenprod'!$B$1:$BX$1,0),FALSE)+VLOOKUP($B140,Kraftvärmeprod!$B$1:$BX$550,MATCH(BA$2,Kraftvärmeprod!$B$1:$BX$1,0),FALSE))/$AC140,"")</f>
        <v/>
      </c>
      <c r="BB140" s="228" t="str">
        <f>IF($AY140="ja",(VLOOKUP($B140,'Egen hetvattenprod'!$B$1:$BX$550,MATCH(BB$2,'Egen hetvattenprod'!$B$1:$BX$1,0),FALSE)+VLOOKUP($B140,Kraftvärmeprod!$B$1:$BX$550,MATCH(BB$2,Kraftvärmeprod!$B$1:$BX$1,0),FALSE))/$AC140,"")</f>
        <v/>
      </c>
      <c r="BC140" s="228" t="str">
        <f>IF($AY140="ja",(VLOOKUP($B140,'Egen hetvattenprod'!$B$1:$BX$550,MATCH(BC$2,'Egen hetvattenprod'!$B$1:$BX$1,0),FALSE)+VLOOKUP($B140,Kraftvärmeprod!$B$1:$BX$550,MATCH(BC$2,Kraftvärmeprod!$B$1:$BX$1,0),FALSE))/$AC140,"")</f>
        <v/>
      </c>
      <c r="BD140" s="228" t="str">
        <f>IF($AY140="ja",(VLOOKUP($B140,'Egen hetvattenprod'!$B$1:$BX$550,MATCH(BD$2,'Egen hetvattenprod'!$B$1:$BX$1,0),FALSE)+VLOOKUP($B140,Kraftvärmeprod!$B$1:$BX$550,MATCH(BD$2,Kraftvärmeprod!$B$1:$BX$1,0),FALSE))/$AC140,"")</f>
        <v/>
      </c>
      <c r="BE140" s="227"/>
      <c r="BF140" s="227" t="str">
        <f t="shared" si="17"/>
        <v>Nej</v>
      </c>
      <c r="BG140" s="227" t="str">
        <f>IF($BF140="ja",VLOOKUP($B140,'Egen hetvattenprod'!$B$1:$BX$550,MATCH("Andelen klimatgaser med fossilt ursprung för avfall ()",'Egen hetvattenprod'!$B$1:$BX$1,0),FALSE),"")</f>
        <v/>
      </c>
      <c r="BH140" s="227" t="str">
        <f>IF($BF140="ja",VLOOKUP($B140,Kraftvärmeprod!$B$1:$BX$550,MATCH("Andelen klimatgaser med fossilt ursprung för avfall ()",Kraftvärmeprod!$B$1:$BX$1,0),FALSE),"")</f>
        <v/>
      </c>
      <c r="BI140" s="227" t="str">
        <f>IF($BF140="ja",VLOOKUP($B140,'Egen hetvattenprod'!$B$1:$BX$550,MATCH("Avfall (GWh)",'Egen hetvattenprod'!$B$1:$BX$1,0),FALSE),"")</f>
        <v/>
      </c>
      <c r="BJ140" s="227" t="str">
        <f>IF($BF140="ja",VLOOKUP($B140,'Slutlig allokering kvv'!$B$1:$BX$550,MATCH("Avfall (GWh)",'Slutlig allokering kvv'!$B$1:$BX$1,0),FALSE),"")</f>
        <v/>
      </c>
      <c r="BK140" s="227" t="str">
        <f>IF($BF140="ja",VLOOKUP($B140,'Köpt hetvatten'!$B$1:$BX$550,MATCH("Avfall i köpt hetvatten",'Köpt hetvatten'!$B$1:$BX$1,0),FALSE),"")</f>
        <v/>
      </c>
      <c r="BL140" s="227" t="str">
        <f>IF($BF140="ja",VLOOKUP($B140,'Egen hetvattenprod'!$B$1:$BX$550,MATCH("Värde enligt ovan. (%)",'Egen hetvattenprod'!$B$1:$BX$1,0),FALSE),"")</f>
        <v/>
      </c>
      <c r="BM140" s="227" t="str">
        <f>IF($BF140="ja",VLOOKUP($B140,Kraftvärmeprod!$B$1:$BX$550,MATCH("Värde enligt ovan. (%)",Kraftvärmeprod!$B$1:$BX$1,0),FALSE),"")</f>
        <v/>
      </c>
      <c r="BN140" s="227"/>
      <c r="BO140" s="227"/>
      <c r="BP140" s="227"/>
      <c r="BQ140" s="227" t="str">
        <f>IF($BF140="ja",VLOOKUP($B140,'Egen hetvattenprod'!$B$1:$BX$550,MATCH("Tillförd olja (fossil) vid avfallsförbränning (GWh)",'Egen hetvattenprod'!$B$1:$BX$1,0),FALSE),"")</f>
        <v/>
      </c>
      <c r="BR140" s="227" t="str">
        <f>IF($BF140="ja",VLOOKUP($B140,Kraftvärmeprod!$B$1:$BX$550,MATCH("Tillförd olja (fossil) vid avfallsförbränning (GWh)",Kraftvärmeprod!$B$1:$BX$1,0),FALSE),"")</f>
        <v/>
      </c>
      <c r="BS140" s="227"/>
      <c r="BT140" s="227"/>
      <c r="BU140" s="227"/>
    </row>
    <row r="141" spans="1:73" x14ac:dyDescent="0.25">
      <c r="A141" s="121" t="str">
        <f>'Miljövärden för publ företag'!B144</f>
        <v>Lantmännen Agrovärme AB</v>
      </c>
      <c r="B141" s="121" t="str">
        <f>'Miljövärden för publ företag'!C144</f>
        <v>Skurup</v>
      </c>
      <c r="C141" s="173">
        <f>IFERROR(VLOOKUP($B141,Totalt!$B$1:$AQ$554,MATCH(C$2,Totalt!$B$1:$AQ$1,0),FALSE),"")</f>
        <v>0</v>
      </c>
      <c r="D141" s="173">
        <f>IFERROR(VLOOKUP($B141,Totalt!$B$1:$AQ$554,MATCH(D$2,Totalt!$B$1:$AQ$1,0),FALSE),"")</f>
        <v>2</v>
      </c>
      <c r="E141" s="173">
        <f>IFERROR(VLOOKUP($B141,Totalt!$B$1:$AQ$554,MATCH(E$2,Totalt!$B$1:$AQ$1,0),FALSE),"")</f>
        <v>0</v>
      </c>
      <c r="F141" s="173">
        <f>IFERROR(VLOOKUP($B141,Totalt!$B$1:$AQ$554,MATCH(F$2,Totalt!$B$1:$AQ$1,0),FALSE),"")</f>
        <v>0</v>
      </c>
      <c r="G141" s="173">
        <f>IFERROR(VLOOKUP($B141,Totalt!$B$1:$AQ$554,MATCH(G$2,Totalt!$B$1:$AQ$1,0),FALSE),"")</f>
        <v>0</v>
      </c>
      <c r="H141" s="173">
        <f>IFERROR(VLOOKUP($B141,Totalt!$B$1:$AQ$554,MATCH(H$2,Totalt!$B$1:$AQ$1,0),FALSE),"")</f>
        <v>0</v>
      </c>
      <c r="I141" s="173">
        <f>IFERROR(VLOOKUP($B141,Totalt!$B$1:$AQ$554,MATCH(I$2,Totalt!$B$1:$AQ$1,0),FALSE),"")</f>
        <v>0</v>
      </c>
      <c r="J141" s="173">
        <f>IFERROR(VLOOKUP($B141,Totalt!$B$1:$AQ$554,MATCH(J$2,Totalt!$B$1:$AQ$1,0),FALSE),"")</f>
        <v>0</v>
      </c>
      <c r="K141" s="173">
        <f>IFERROR(VLOOKUP($B141,Totalt!$B$1:$AQ$554,MATCH(K$2,Totalt!$B$1:$AQ$1,0),FALSE),"")</f>
        <v>0</v>
      </c>
      <c r="L141" s="173">
        <f>IFERROR(VLOOKUP($B141,Totalt!$B$1:$AQ$554,MATCH(L$2,Totalt!$B$1:$AQ$1,0),FALSE),"")</f>
        <v>0</v>
      </c>
      <c r="M141" s="173">
        <f>IFERROR(VLOOKUP($B141,Totalt!$B$1:$AQ$554,MATCH(M$2,Totalt!$B$1:$AQ$1,0),FALSE),"")</f>
        <v>0</v>
      </c>
      <c r="N141" s="173">
        <f>IFERROR(VLOOKUP($B141,Totalt!$B$1:$AQ$554,MATCH(N$2,Totalt!$B$1:$AQ$1,0),FALSE),"")</f>
        <v>0</v>
      </c>
      <c r="O141" s="173">
        <f>IFERROR(VLOOKUP($B141,Totalt!$B$1:$AQ$554,MATCH(O$2,Totalt!$B$1:$AQ$1,0),FALSE),"")</f>
        <v>0</v>
      </c>
      <c r="P141" s="173">
        <f>IFERROR(VLOOKUP($B141,Totalt!$B$1:$AQ$554,MATCH(P$2,Totalt!$B$1:$AQ$1,0),FALSE),"")</f>
        <v>11.57</v>
      </c>
      <c r="Q141" s="173">
        <f>IFERROR(VLOOKUP($B141,Totalt!$B$1:$AQ$554,MATCH(Q$2,Totalt!$B$1:$AQ$1,0),FALSE),"")</f>
        <v>0</v>
      </c>
      <c r="R141" s="173">
        <f>IFERROR(VLOOKUP($B141,Totalt!$B$1:$AQ$554,MATCH(R$2,Totalt!$B$1:$AQ$1,0),FALSE),"")</f>
        <v>0</v>
      </c>
      <c r="S141" s="173">
        <f>IFERROR(VLOOKUP($B141,Totalt!$B$1:$AQ$554,MATCH(S$2,Totalt!$B$1:$AQ$1,0),FALSE),"")</f>
        <v>0</v>
      </c>
      <c r="T141" s="173">
        <f>IFERROR(VLOOKUP($B141,Totalt!$B$1:$AQ$554,MATCH(T$2,Totalt!$B$1:$AQ$1,0),FALSE),"")</f>
        <v>0</v>
      </c>
      <c r="U141" s="173">
        <f>IFERROR(VLOOKUP($B141,Totalt!$B$1:$AQ$554,MATCH(U$2,Totalt!$B$1:$AQ$1,0),FALSE),"")</f>
        <v>0</v>
      </c>
      <c r="V141" s="173">
        <f>IFERROR(VLOOKUP($B141,Totalt!$B$1:$AQ$554,MATCH(V$2,Totalt!$B$1:$AQ$1,0),FALSE),"")</f>
        <v>0</v>
      </c>
      <c r="W141" s="173">
        <f>IFERROR(VLOOKUP($B141,Totalt!$B$1:$AQ$554,MATCH(W$2,Totalt!$B$1:$AQ$1,0),FALSE),"")</f>
        <v>0</v>
      </c>
      <c r="X141" s="173">
        <f>IFERROR(VLOOKUP($B141,Totalt!$B$1:$AQ$554,MATCH(X$2,Totalt!$B$1:$AQ$1,0),FALSE),"")</f>
        <v>22.54</v>
      </c>
      <c r="Y141" s="173">
        <f>IFERROR(VLOOKUP($B141,Totalt!$B$1:$AQ$554,MATCH(Y$2,Totalt!$B$1:$AQ$1,0),FALSE),"")</f>
        <v>0</v>
      </c>
      <c r="Z141" s="173">
        <f>IFERROR(VLOOKUP($B141,Totalt!$B$1:$AQ$554,MATCH(Z$2,Totalt!$B$1:$AQ$1,0),FALSE),"")</f>
        <v>0</v>
      </c>
      <c r="AA141" s="173">
        <f>IFERROR(VLOOKUP($B141,Totalt!$B$1:$AQ$554,MATCH(AA$2,Totalt!$B$1:$AQ$1,0),FALSE),"")</f>
        <v>0</v>
      </c>
      <c r="AB141" s="173">
        <f>IFERROR(VLOOKUP($B141,Totalt!$B$1:$AQ$554,MATCH(AB$2,Totalt!$B$1:$AQ$1,0),FALSE),"")</f>
        <v>0</v>
      </c>
      <c r="AC141" s="173">
        <f>IFERROR(VLOOKUP($B141,Totalt!$B$1:$AQ$554,MATCH(AC$2,Totalt!$B$1:$AQ$1,0),FALSE),"")</f>
        <v>0</v>
      </c>
      <c r="AD141" s="173">
        <f>IFERROR(VLOOKUP($B141,Totalt!$B$1:$AQ$554,MATCH(AD$2,Totalt!$B$1:$AQ$1,0),FALSE),"")</f>
        <v>0</v>
      </c>
      <c r="AE141" s="173">
        <f>IFERROR(VLOOKUP($B141,Totalt!$B$1:$AQ$554,MATCH(AE$2,Totalt!$B$1:$AQ$1,0),FALSE),"")</f>
        <v>0</v>
      </c>
      <c r="AF141" s="173">
        <f>IFERROR(VLOOKUP($B141,Totalt!$B$1:$AQ$554,MATCH(AF$2,Totalt!$B$1:$AQ$1,0),FALSE),"")</f>
        <v>0.52800000000000002</v>
      </c>
      <c r="AG141" s="173">
        <f>IFERROR(VLOOKUP($B141,Totalt!$B$1:$AQ$554,MATCH(AG$2,Totalt!$B$1:$AQ$1,0),FALSE),"")</f>
        <v>0</v>
      </c>
      <c r="AI141" s="226">
        <f t="shared" si="12"/>
        <v>36.637999999999998</v>
      </c>
      <c r="AJ141" s="226">
        <f>IF(ISERROR(1/VLOOKUP($B141,Leveranser!$B$1:$S$500,MATCH("såld värme (gwh)",Leveranser!$B$1:$S$1,0),FALSE)),"",VLOOKUP($B141,Leveranser!$B$1:$S$500,MATCH("såld värme (gwh)",Leveranser!$B$1:$S$1,0),FALSE))</f>
        <v>28</v>
      </c>
      <c r="AM141" s="227" t="str">
        <f>IF(B141&lt;&gt;"",IF(VLOOKUP($B141,Totalt!$B$1:$AQ$554,MATCH("Kvalitetsgranskad:",Totalt!$B$1:$AQ$1,0),FALSE)="ja",VLOOKUP($B141,Miljö!$B$1:$AG$479,MATCH(AM$2,Miljö!$B$1:$AK$1,0),FALSE),""),"")</f>
        <v>Ja</v>
      </c>
      <c r="AN141" s="227" t="str">
        <f>IF(AM141="ja",VLOOKUP($B141,Miljö!$B$1:$J$479,MATCH("Typ av ursprungsspecificerad el   (Om inget värde anges används Nordisk residualmix, se inforuta) ()",Miljö!$B$1:$J$1,0),FALSE),IF(AM141="nej","Nordisk residualel",""))</f>
        <v>'vattenkraft'</v>
      </c>
      <c r="AO141" s="227">
        <f>IF(AM141="","",VLOOKUP($B141,Miljö!$B$1:$J$479,MATCH("Fossilandel för ursprungspecificerad el ()",Miljö!$B$1:$J$1,0),FALSE))</f>
        <v>0</v>
      </c>
      <c r="AP141" s="227">
        <f>IF(AM141="","",IFERROR(VLOOKUP($B141,Miljö!$B$1:$J$479,MATCH("Kärnkraftsandel för ursprungsspecificerad el ()",Miljö!$B$1:$J$1,0),FALSE)/1,0))</f>
        <v>0</v>
      </c>
      <c r="AQ141" s="227">
        <f t="shared" si="13"/>
        <v>1</v>
      </c>
      <c r="AR141" s="227"/>
      <c r="AS141" s="227" t="str">
        <f t="shared" si="14"/>
        <v>Nej</v>
      </c>
      <c r="AT141" s="227" t="str">
        <f>IF(AS141="ja",VLOOKUP($B141,Miljö!$B$1:$O$500,MATCH("Fossil andel i procent (%)",Miljö!$B$1:$O$1,0),FALSE)/100,"")</f>
        <v/>
      </c>
      <c r="AU141" s="227"/>
      <c r="AV141" s="227" t="str">
        <f t="shared" si="15"/>
        <v>Nej</v>
      </c>
      <c r="AW141" s="227" t="str">
        <f>IF(AV141="ja",VLOOKUP($B141,'Egen hetvattenprod'!$B$1:$AO$500,MATCH("Värmekälla till värmepumpar ()",'Egen hetvattenprod'!$B$1:$AO$1,0),FALSE),"")</f>
        <v/>
      </c>
      <c r="AX141" s="227"/>
      <c r="AY141" s="227" t="str">
        <f t="shared" si="16"/>
        <v>Nej</v>
      </c>
      <c r="AZ141" s="228" t="str">
        <f>IF($AY141="ja",(VLOOKUP($B141,'Egen hetvattenprod'!$B$1:$BX$550,MATCH(AZ$2,'Egen hetvattenprod'!$B$1:$BX$1,0),FALSE)+VLOOKUP($B141,Kraftvärmeprod!$B$1:$BX$550,MATCH(AZ$2,Kraftvärmeprod!$B$1:$BX$1,0),FALSE))/$AC141,"")</f>
        <v/>
      </c>
      <c r="BA141" s="228" t="str">
        <f>IF($AY141="ja",(VLOOKUP($B141,'Egen hetvattenprod'!$B$1:$BX$550,MATCH(BA$2,'Egen hetvattenprod'!$B$1:$BX$1,0),FALSE)+VLOOKUP($B141,Kraftvärmeprod!$B$1:$BX$550,MATCH(BA$2,Kraftvärmeprod!$B$1:$BX$1,0),FALSE))/$AC141,"")</f>
        <v/>
      </c>
      <c r="BB141" s="228" t="str">
        <f>IF($AY141="ja",(VLOOKUP($B141,'Egen hetvattenprod'!$B$1:$BX$550,MATCH(BB$2,'Egen hetvattenprod'!$B$1:$BX$1,0),FALSE)+VLOOKUP($B141,Kraftvärmeprod!$B$1:$BX$550,MATCH(BB$2,Kraftvärmeprod!$B$1:$BX$1,0),FALSE))/$AC141,"")</f>
        <v/>
      </c>
      <c r="BC141" s="228" t="str">
        <f>IF($AY141="ja",(VLOOKUP($B141,'Egen hetvattenprod'!$B$1:$BX$550,MATCH(BC$2,'Egen hetvattenprod'!$B$1:$BX$1,0),FALSE)+VLOOKUP($B141,Kraftvärmeprod!$B$1:$BX$550,MATCH(BC$2,Kraftvärmeprod!$B$1:$BX$1,0),FALSE))/$AC141,"")</f>
        <v/>
      </c>
      <c r="BD141" s="228" t="str">
        <f>IF($AY141="ja",(VLOOKUP($B141,'Egen hetvattenprod'!$B$1:$BX$550,MATCH(BD$2,'Egen hetvattenprod'!$B$1:$BX$1,0),FALSE)+VLOOKUP($B141,Kraftvärmeprod!$B$1:$BX$550,MATCH(BD$2,Kraftvärmeprod!$B$1:$BX$1,0),FALSE))/$AC141,"")</f>
        <v/>
      </c>
      <c r="BE141" s="227"/>
      <c r="BF141" s="227" t="str">
        <f t="shared" si="17"/>
        <v>Nej</v>
      </c>
      <c r="BG141" s="227" t="str">
        <f>IF($BF141="ja",VLOOKUP($B141,'Egen hetvattenprod'!$B$1:$BX$550,MATCH("Andelen klimatgaser med fossilt ursprung för avfall ()",'Egen hetvattenprod'!$B$1:$BX$1,0),FALSE),"")</f>
        <v/>
      </c>
      <c r="BH141" s="227" t="str">
        <f>IF($BF141="ja",VLOOKUP($B141,Kraftvärmeprod!$B$1:$BX$550,MATCH("Andelen klimatgaser med fossilt ursprung för avfall ()",Kraftvärmeprod!$B$1:$BX$1,0),FALSE),"")</f>
        <v/>
      </c>
      <c r="BI141" s="227" t="str">
        <f>IF($BF141="ja",VLOOKUP($B141,'Egen hetvattenprod'!$B$1:$BX$550,MATCH("Avfall (GWh)",'Egen hetvattenprod'!$B$1:$BX$1,0),FALSE),"")</f>
        <v/>
      </c>
      <c r="BJ141" s="227" t="str">
        <f>IF($BF141="ja",VLOOKUP($B141,'Slutlig allokering kvv'!$B$1:$BX$550,MATCH("Avfall (GWh)",'Slutlig allokering kvv'!$B$1:$BX$1,0),FALSE),"")</f>
        <v/>
      </c>
      <c r="BK141" s="227" t="str">
        <f>IF($BF141="ja",VLOOKUP($B141,'Köpt hetvatten'!$B$1:$BX$550,MATCH("Avfall i köpt hetvatten",'Köpt hetvatten'!$B$1:$BX$1,0),FALSE),"")</f>
        <v/>
      </c>
      <c r="BL141" s="227" t="str">
        <f>IF($BF141="ja",VLOOKUP($B141,'Egen hetvattenprod'!$B$1:$BX$550,MATCH("Värde enligt ovan. (%)",'Egen hetvattenprod'!$B$1:$BX$1,0),FALSE),"")</f>
        <v/>
      </c>
      <c r="BM141" s="227" t="str">
        <f>IF($BF141="ja",VLOOKUP($B141,Kraftvärmeprod!$B$1:$BX$550,MATCH("Värde enligt ovan. (%)",Kraftvärmeprod!$B$1:$BX$1,0),FALSE),"")</f>
        <v/>
      </c>
      <c r="BN141" s="227"/>
      <c r="BO141" s="227"/>
      <c r="BP141" s="227"/>
      <c r="BQ141" s="227" t="str">
        <f>IF($BF141="ja",VLOOKUP($B141,'Egen hetvattenprod'!$B$1:$BX$550,MATCH("Tillförd olja (fossil) vid avfallsförbränning (GWh)",'Egen hetvattenprod'!$B$1:$BX$1,0),FALSE),"")</f>
        <v/>
      </c>
      <c r="BR141" s="227" t="str">
        <f>IF($BF141="ja",VLOOKUP($B141,Kraftvärmeprod!$B$1:$BX$550,MATCH("Tillförd olja (fossil) vid avfallsförbränning (GWh)",Kraftvärmeprod!$B$1:$BX$1,0),FALSE),"")</f>
        <v/>
      </c>
      <c r="BS141" s="227"/>
      <c r="BT141" s="227"/>
      <c r="BU141" s="227"/>
    </row>
    <row r="142" spans="1:73" x14ac:dyDescent="0.25">
      <c r="A142" s="121" t="str">
        <f>'Miljövärden för publ företag'!B145</f>
        <v>Lantmännen Agrovärme AB</v>
      </c>
      <c r="B142" s="121" t="str">
        <f>'Miljövärden för publ företag'!C145</f>
        <v>Vinslöv</v>
      </c>
      <c r="C142" s="173">
        <f>IFERROR(VLOOKUP($B142,Totalt!$B$1:$AQ$554,MATCH(C$2,Totalt!$B$1:$AQ$1,0),FALSE),"")</f>
        <v>0</v>
      </c>
      <c r="D142" s="173">
        <f>IFERROR(VLOOKUP($B142,Totalt!$B$1:$AQ$554,MATCH(D$2,Totalt!$B$1:$AQ$1,0),FALSE),"")</f>
        <v>5.1999999999999998E-2</v>
      </c>
      <c r="E142" s="173">
        <f>IFERROR(VLOOKUP($B142,Totalt!$B$1:$AQ$554,MATCH(E$2,Totalt!$B$1:$AQ$1,0),FALSE),"")</f>
        <v>0</v>
      </c>
      <c r="F142" s="173">
        <f>IFERROR(VLOOKUP($B142,Totalt!$B$1:$AQ$554,MATCH(F$2,Totalt!$B$1:$AQ$1,0),FALSE),"")</f>
        <v>0</v>
      </c>
      <c r="G142" s="173">
        <f>IFERROR(VLOOKUP($B142,Totalt!$B$1:$AQ$554,MATCH(G$2,Totalt!$B$1:$AQ$1,0),FALSE),"")</f>
        <v>0</v>
      </c>
      <c r="H142" s="173">
        <f>IFERROR(VLOOKUP($B142,Totalt!$B$1:$AQ$554,MATCH(H$2,Totalt!$B$1:$AQ$1,0),FALSE),"")</f>
        <v>0</v>
      </c>
      <c r="I142" s="173">
        <f>IFERROR(VLOOKUP($B142,Totalt!$B$1:$AQ$554,MATCH(I$2,Totalt!$B$1:$AQ$1,0),FALSE),"")</f>
        <v>0</v>
      </c>
      <c r="J142" s="173">
        <f>IFERROR(VLOOKUP($B142,Totalt!$B$1:$AQ$554,MATCH(J$2,Totalt!$B$1:$AQ$1,0),FALSE),"")</f>
        <v>0</v>
      </c>
      <c r="K142" s="173">
        <f>IFERROR(VLOOKUP($B142,Totalt!$B$1:$AQ$554,MATCH(K$2,Totalt!$B$1:$AQ$1,0),FALSE),"")</f>
        <v>0</v>
      </c>
      <c r="L142" s="173">
        <f>IFERROR(VLOOKUP($B142,Totalt!$B$1:$AQ$554,MATCH(L$2,Totalt!$B$1:$AQ$1,0),FALSE),"")</f>
        <v>0</v>
      </c>
      <c r="M142" s="173">
        <f>IFERROR(VLOOKUP($B142,Totalt!$B$1:$AQ$554,MATCH(M$2,Totalt!$B$1:$AQ$1,0),FALSE),"")</f>
        <v>0</v>
      </c>
      <c r="N142" s="173">
        <f>IFERROR(VLOOKUP($B142,Totalt!$B$1:$AQ$554,MATCH(N$2,Totalt!$B$1:$AQ$1,0),FALSE),"")</f>
        <v>0</v>
      </c>
      <c r="O142" s="173">
        <f>IFERROR(VLOOKUP($B142,Totalt!$B$1:$AQ$554,MATCH(O$2,Totalt!$B$1:$AQ$1,0),FALSE),"")</f>
        <v>0</v>
      </c>
      <c r="P142" s="173">
        <f>IFERROR(VLOOKUP($B142,Totalt!$B$1:$AQ$554,MATCH(P$2,Totalt!$B$1:$AQ$1,0),FALSE),"")</f>
        <v>12.28</v>
      </c>
      <c r="Q142" s="173">
        <f>IFERROR(VLOOKUP($B142,Totalt!$B$1:$AQ$554,MATCH(Q$2,Totalt!$B$1:$AQ$1,0),FALSE),"")</f>
        <v>0</v>
      </c>
      <c r="R142" s="173">
        <f>IFERROR(VLOOKUP($B142,Totalt!$B$1:$AQ$554,MATCH(R$2,Totalt!$B$1:$AQ$1,0),FALSE),"")</f>
        <v>0</v>
      </c>
      <c r="S142" s="173">
        <f>IFERROR(VLOOKUP($B142,Totalt!$B$1:$AQ$554,MATCH(S$2,Totalt!$B$1:$AQ$1,0),FALSE),"")</f>
        <v>0</v>
      </c>
      <c r="T142" s="173">
        <f>IFERROR(VLOOKUP($B142,Totalt!$B$1:$AQ$554,MATCH(T$2,Totalt!$B$1:$AQ$1,0),FALSE),"")</f>
        <v>0</v>
      </c>
      <c r="U142" s="173">
        <f>IFERROR(VLOOKUP($B142,Totalt!$B$1:$AQ$554,MATCH(U$2,Totalt!$B$1:$AQ$1,0),FALSE),"")</f>
        <v>0</v>
      </c>
      <c r="V142" s="173">
        <f>IFERROR(VLOOKUP($B142,Totalt!$B$1:$AQ$554,MATCH(V$2,Totalt!$B$1:$AQ$1,0),FALSE),"")</f>
        <v>0</v>
      </c>
      <c r="W142" s="173">
        <f>IFERROR(VLOOKUP($B142,Totalt!$B$1:$AQ$554,MATCH(W$2,Totalt!$B$1:$AQ$1,0),FALSE),"")</f>
        <v>0</v>
      </c>
      <c r="X142" s="173">
        <f>IFERROR(VLOOKUP($B142,Totalt!$B$1:$AQ$554,MATCH(X$2,Totalt!$B$1:$AQ$1,0),FALSE),"")</f>
        <v>0</v>
      </c>
      <c r="Y142" s="173">
        <f>IFERROR(VLOOKUP($B142,Totalt!$B$1:$AQ$554,MATCH(Y$2,Totalt!$B$1:$AQ$1,0),FALSE),"")</f>
        <v>0</v>
      </c>
      <c r="Z142" s="173">
        <f>IFERROR(VLOOKUP($B142,Totalt!$B$1:$AQ$554,MATCH(Z$2,Totalt!$B$1:$AQ$1,0),FALSE),"")</f>
        <v>0</v>
      </c>
      <c r="AA142" s="173">
        <f>IFERROR(VLOOKUP($B142,Totalt!$B$1:$AQ$554,MATCH(AA$2,Totalt!$B$1:$AQ$1,0),FALSE),"")</f>
        <v>0</v>
      </c>
      <c r="AB142" s="173">
        <f>IFERROR(VLOOKUP($B142,Totalt!$B$1:$AQ$554,MATCH(AB$2,Totalt!$B$1:$AQ$1,0),FALSE),"")</f>
        <v>0</v>
      </c>
      <c r="AC142" s="173">
        <f>IFERROR(VLOOKUP($B142,Totalt!$B$1:$AQ$554,MATCH(AC$2,Totalt!$B$1:$AQ$1,0),FALSE),"")</f>
        <v>0</v>
      </c>
      <c r="AD142" s="173">
        <f>IFERROR(VLOOKUP($B142,Totalt!$B$1:$AQ$554,MATCH(AD$2,Totalt!$B$1:$AQ$1,0),FALSE),"")</f>
        <v>0</v>
      </c>
      <c r="AE142" s="173">
        <f>IFERROR(VLOOKUP($B142,Totalt!$B$1:$AQ$554,MATCH(AE$2,Totalt!$B$1:$AQ$1,0),FALSE),"")</f>
        <v>0</v>
      </c>
      <c r="AF142" s="173">
        <f>IFERROR(VLOOKUP($B142,Totalt!$B$1:$AQ$554,MATCH(AF$2,Totalt!$B$1:$AQ$1,0),FALSE),"")</f>
        <v>0.186</v>
      </c>
      <c r="AG142" s="173">
        <f>IFERROR(VLOOKUP($B142,Totalt!$B$1:$AQ$554,MATCH(AG$2,Totalt!$B$1:$AQ$1,0),FALSE),"")</f>
        <v>0</v>
      </c>
      <c r="AI142" s="226">
        <f t="shared" si="12"/>
        <v>12.517999999999999</v>
      </c>
      <c r="AJ142" s="226">
        <f>IF(ISERROR(1/VLOOKUP($B142,Leveranser!$B$1:$S$500,MATCH("såld värme (gwh)",Leveranser!$B$1:$S$1,0),FALSE)),"",VLOOKUP($B142,Leveranser!$B$1:$S$500,MATCH("såld värme (gwh)",Leveranser!$B$1:$S$1,0),FALSE))</f>
        <v>7.74</v>
      </c>
      <c r="AM142" s="227" t="str">
        <f>IF(B142&lt;&gt;"",IF(VLOOKUP($B142,Totalt!$B$1:$AQ$554,MATCH("Kvalitetsgranskad:",Totalt!$B$1:$AQ$1,0),FALSE)="ja",VLOOKUP($B142,Miljö!$B$1:$AG$479,MATCH(AM$2,Miljö!$B$1:$AK$1,0),FALSE),""),"")</f>
        <v>Ja</v>
      </c>
      <c r="AN142" s="227" t="str">
        <f>IF(AM142="ja",VLOOKUP($B142,Miljö!$B$1:$J$479,MATCH("Typ av ursprungsspecificerad el   (Om inget värde anges används Nordisk residualmix, se inforuta) ()",Miljö!$B$1:$J$1,0),FALSE),IF(AM142="nej","Nordisk residualel",""))</f>
        <v>'vattenkraft'</v>
      </c>
      <c r="AO142" s="227">
        <f>IF(AM142="","",VLOOKUP($B142,Miljö!$B$1:$J$479,MATCH("Fossilandel för ursprungspecificerad el ()",Miljö!$B$1:$J$1,0),FALSE))</f>
        <v>0</v>
      </c>
      <c r="AP142" s="227">
        <f>IF(AM142="","",IFERROR(VLOOKUP($B142,Miljö!$B$1:$J$479,MATCH("Kärnkraftsandel för ursprungsspecificerad el ()",Miljö!$B$1:$J$1,0),FALSE)/1,0))</f>
        <v>0</v>
      </c>
      <c r="AQ142" s="227">
        <f t="shared" si="13"/>
        <v>1</v>
      </c>
      <c r="AR142" s="227"/>
      <c r="AS142" s="227" t="str">
        <f t="shared" si="14"/>
        <v>Nej</v>
      </c>
      <c r="AT142" s="227" t="str">
        <f>IF(AS142="ja",VLOOKUP($B142,Miljö!$B$1:$O$500,MATCH("Fossil andel i procent (%)",Miljö!$B$1:$O$1,0),FALSE)/100,"")</f>
        <v/>
      </c>
      <c r="AU142" s="227"/>
      <c r="AV142" s="227" t="str">
        <f t="shared" si="15"/>
        <v>Nej</v>
      </c>
      <c r="AW142" s="227" t="str">
        <f>IF(AV142="ja",VLOOKUP($B142,'Egen hetvattenprod'!$B$1:$AO$500,MATCH("Värmekälla till värmepumpar ()",'Egen hetvattenprod'!$B$1:$AO$1,0),FALSE),"")</f>
        <v/>
      </c>
      <c r="AX142" s="227"/>
      <c r="AY142" s="227" t="str">
        <f t="shared" si="16"/>
        <v>Nej</v>
      </c>
      <c r="AZ142" s="228" t="str">
        <f>IF($AY142="ja",(VLOOKUP($B142,'Egen hetvattenprod'!$B$1:$BX$550,MATCH(AZ$2,'Egen hetvattenprod'!$B$1:$BX$1,0),FALSE)+VLOOKUP($B142,Kraftvärmeprod!$B$1:$BX$550,MATCH(AZ$2,Kraftvärmeprod!$B$1:$BX$1,0),FALSE))/$AC142,"")</f>
        <v/>
      </c>
      <c r="BA142" s="228" t="str">
        <f>IF($AY142="ja",(VLOOKUP($B142,'Egen hetvattenprod'!$B$1:$BX$550,MATCH(BA$2,'Egen hetvattenprod'!$B$1:$BX$1,0),FALSE)+VLOOKUP($B142,Kraftvärmeprod!$B$1:$BX$550,MATCH(BA$2,Kraftvärmeprod!$B$1:$BX$1,0),FALSE))/$AC142,"")</f>
        <v/>
      </c>
      <c r="BB142" s="228" t="str">
        <f>IF($AY142="ja",(VLOOKUP($B142,'Egen hetvattenprod'!$B$1:$BX$550,MATCH(BB$2,'Egen hetvattenprod'!$B$1:$BX$1,0),FALSE)+VLOOKUP($B142,Kraftvärmeprod!$B$1:$BX$550,MATCH(BB$2,Kraftvärmeprod!$B$1:$BX$1,0),FALSE))/$AC142,"")</f>
        <v/>
      </c>
      <c r="BC142" s="228" t="str">
        <f>IF($AY142="ja",(VLOOKUP($B142,'Egen hetvattenprod'!$B$1:$BX$550,MATCH(BC$2,'Egen hetvattenprod'!$B$1:$BX$1,0),FALSE)+VLOOKUP($B142,Kraftvärmeprod!$B$1:$BX$550,MATCH(BC$2,Kraftvärmeprod!$B$1:$BX$1,0),FALSE))/$AC142,"")</f>
        <v/>
      </c>
      <c r="BD142" s="228" t="str">
        <f>IF($AY142="ja",(VLOOKUP($B142,'Egen hetvattenprod'!$B$1:$BX$550,MATCH(BD$2,'Egen hetvattenprod'!$B$1:$BX$1,0),FALSE)+VLOOKUP($B142,Kraftvärmeprod!$B$1:$BX$550,MATCH(BD$2,Kraftvärmeprod!$B$1:$BX$1,0),FALSE))/$AC142,"")</f>
        <v/>
      </c>
      <c r="BE142" s="227"/>
      <c r="BF142" s="227" t="str">
        <f t="shared" si="17"/>
        <v>Nej</v>
      </c>
      <c r="BG142" s="227" t="str">
        <f>IF($BF142="ja",VLOOKUP($B142,'Egen hetvattenprod'!$B$1:$BX$550,MATCH("Andelen klimatgaser med fossilt ursprung för avfall ()",'Egen hetvattenprod'!$B$1:$BX$1,0),FALSE),"")</f>
        <v/>
      </c>
      <c r="BH142" s="227" t="str">
        <f>IF($BF142="ja",VLOOKUP($B142,Kraftvärmeprod!$B$1:$BX$550,MATCH("Andelen klimatgaser med fossilt ursprung för avfall ()",Kraftvärmeprod!$B$1:$BX$1,0),FALSE),"")</f>
        <v/>
      </c>
      <c r="BI142" s="227" t="str">
        <f>IF($BF142="ja",VLOOKUP($B142,'Egen hetvattenprod'!$B$1:$BX$550,MATCH("Avfall (GWh)",'Egen hetvattenprod'!$B$1:$BX$1,0),FALSE),"")</f>
        <v/>
      </c>
      <c r="BJ142" s="227" t="str">
        <f>IF($BF142="ja",VLOOKUP($B142,'Slutlig allokering kvv'!$B$1:$BX$550,MATCH("Avfall (GWh)",'Slutlig allokering kvv'!$B$1:$BX$1,0),FALSE),"")</f>
        <v/>
      </c>
      <c r="BK142" s="227" t="str">
        <f>IF($BF142="ja",VLOOKUP($B142,'Köpt hetvatten'!$B$1:$BX$550,MATCH("Avfall i köpt hetvatten",'Köpt hetvatten'!$B$1:$BX$1,0),FALSE),"")</f>
        <v/>
      </c>
      <c r="BL142" s="227" t="str">
        <f>IF($BF142="ja",VLOOKUP($B142,'Egen hetvattenprod'!$B$1:$BX$550,MATCH("Värde enligt ovan. (%)",'Egen hetvattenprod'!$B$1:$BX$1,0),FALSE),"")</f>
        <v/>
      </c>
      <c r="BM142" s="227" t="str">
        <f>IF($BF142="ja",VLOOKUP($B142,Kraftvärmeprod!$B$1:$BX$550,MATCH("Värde enligt ovan. (%)",Kraftvärmeprod!$B$1:$BX$1,0),FALSE),"")</f>
        <v/>
      </c>
      <c r="BN142" s="227"/>
      <c r="BO142" s="227"/>
      <c r="BP142" s="227"/>
      <c r="BQ142" s="227" t="str">
        <f>IF($BF142="ja",VLOOKUP($B142,'Egen hetvattenprod'!$B$1:$BX$550,MATCH("Tillförd olja (fossil) vid avfallsförbränning (GWh)",'Egen hetvattenprod'!$B$1:$BX$1,0),FALSE),"")</f>
        <v/>
      </c>
      <c r="BR142" s="227" t="str">
        <f>IF($BF142="ja",VLOOKUP($B142,Kraftvärmeprod!$B$1:$BX$550,MATCH("Tillförd olja (fossil) vid avfallsförbränning (GWh)",Kraftvärmeprod!$B$1:$BX$1,0),FALSE),"")</f>
        <v/>
      </c>
      <c r="BS142" s="227"/>
      <c r="BT142" s="227"/>
      <c r="BU142" s="227"/>
    </row>
    <row r="143" spans="1:73" x14ac:dyDescent="0.25">
      <c r="A143" s="121" t="str">
        <f>'Miljövärden för publ företag'!B146</f>
        <v>Lantmännen Agrovärme AB</v>
      </c>
      <c r="B143" s="121" t="str">
        <f>'Miljövärden för publ företag'!C146</f>
        <v>Ödeshög</v>
      </c>
      <c r="C143" s="173">
        <f>IFERROR(VLOOKUP($B143,Totalt!$B$1:$AQ$554,MATCH(C$2,Totalt!$B$1:$AQ$1,0),FALSE),"")</f>
        <v>0</v>
      </c>
      <c r="D143" s="173">
        <f>IFERROR(VLOOKUP($B143,Totalt!$B$1:$AQ$554,MATCH(D$2,Totalt!$B$1:$AQ$1,0),FALSE),"")</f>
        <v>2.5999999999999999E-2</v>
      </c>
      <c r="E143" s="173">
        <f>IFERROR(VLOOKUP($B143,Totalt!$B$1:$AQ$554,MATCH(E$2,Totalt!$B$1:$AQ$1,0),FALSE),"")</f>
        <v>0</v>
      </c>
      <c r="F143" s="173">
        <f>IFERROR(VLOOKUP($B143,Totalt!$B$1:$AQ$554,MATCH(F$2,Totalt!$B$1:$AQ$1,0),FALSE),"")</f>
        <v>0</v>
      </c>
      <c r="G143" s="173">
        <f>IFERROR(VLOOKUP($B143,Totalt!$B$1:$AQ$554,MATCH(G$2,Totalt!$B$1:$AQ$1,0),FALSE),"")</f>
        <v>0</v>
      </c>
      <c r="H143" s="173">
        <f>IFERROR(VLOOKUP($B143,Totalt!$B$1:$AQ$554,MATCH(H$2,Totalt!$B$1:$AQ$1,0),FALSE),"")</f>
        <v>0</v>
      </c>
      <c r="I143" s="173">
        <f>IFERROR(VLOOKUP($B143,Totalt!$B$1:$AQ$554,MATCH(I$2,Totalt!$B$1:$AQ$1,0),FALSE),"")</f>
        <v>0</v>
      </c>
      <c r="J143" s="173">
        <f>IFERROR(VLOOKUP($B143,Totalt!$B$1:$AQ$554,MATCH(J$2,Totalt!$B$1:$AQ$1,0),FALSE),"")</f>
        <v>0</v>
      </c>
      <c r="K143" s="173">
        <f>IFERROR(VLOOKUP($B143,Totalt!$B$1:$AQ$554,MATCH(K$2,Totalt!$B$1:$AQ$1,0),FALSE),"")</f>
        <v>0</v>
      </c>
      <c r="L143" s="173">
        <f>IFERROR(VLOOKUP($B143,Totalt!$B$1:$AQ$554,MATCH(L$2,Totalt!$B$1:$AQ$1,0),FALSE),"")</f>
        <v>0</v>
      </c>
      <c r="M143" s="173">
        <f>IFERROR(VLOOKUP($B143,Totalt!$B$1:$AQ$554,MATCH(M$2,Totalt!$B$1:$AQ$1,0),FALSE),"")</f>
        <v>0</v>
      </c>
      <c r="N143" s="173">
        <f>IFERROR(VLOOKUP($B143,Totalt!$B$1:$AQ$554,MATCH(N$2,Totalt!$B$1:$AQ$1,0),FALSE),"")</f>
        <v>0</v>
      </c>
      <c r="O143" s="173">
        <f>IFERROR(VLOOKUP($B143,Totalt!$B$1:$AQ$554,MATCH(O$2,Totalt!$B$1:$AQ$1,0),FALSE),"")</f>
        <v>0</v>
      </c>
      <c r="P143" s="173">
        <f>IFERROR(VLOOKUP($B143,Totalt!$B$1:$AQ$554,MATCH(P$2,Totalt!$B$1:$AQ$1,0),FALSE),"")</f>
        <v>16.850000000000001</v>
      </c>
      <c r="Q143" s="173">
        <f>IFERROR(VLOOKUP($B143,Totalt!$B$1:$AQ$554,MATCH(Q$2,Totalt!$B$1:$AQ$1,0),FALSE),"")</f>
        <v>0</v>
      </c>
      <c r="R143" s="173">
        <f>IFERROR(VLOOKUP($B143,Totalt!$B$1:$AQ$554,MATCH(R$2,Totalt!$B$1:$AQ$1,0),FALSE),"")</f>
        <v>0</v>
      </c>
      <c r="S143" s="173">
        <f>IFERROR(VLOOKUP($B143,Totalt!$B$1:$AQ$554,MATCH(S$2,Totalt!$B$1:$AQ$1,0),FALSE),"")</f>
        <v>0</v>
      </c>
      <c r="T143" s="173">
        <f>IFERROR(VLOOKUP($B143,Totalt!$B$1:$AQ$554,MATCH(T$2,Totalt!$B$1:$AQ$1,0),FALSE),"")</f>
        <v>0</v>
      </c>
      <c r="U143" s="173">
        <f>IFERROR(VLOOKUP($B143,Totalt!$B$1:$AQ$554,MATCH(U$2,Totalt!$B$1:$AQ$1,0),FALSE),"")</f>
        <v>0</v>
      </c>
      <c r="V143" s="173">
        <f>IFERROR(VLOOKUP($B143,Totalt!$B$1:$AQ$554,MATCH(V$2,Totalt!$B$1:$AQ$1,0),FALSE),"")</f>
        <v>0</v>
      </c>
      <c r="W143" s="173">
        <f>IFERROR(VLOOKUP($B143,Totalt!$B$1:$AQ$554,MATCH(W$2,Totalt!$B$1:$AQ$1,0),FALSE),"")</f>
        <v>0</v>
      </c>
      <c r="X143" s="173">
        <f>IFERROR(VLOOKUP($B143,Totalt!$B$1:$AQ$554,MATCH(X$2,Totalt!$B$1:$AQ$1,0),FALSE),"")</f>
        <v>0</v>
      </c>
      <c r="Y143" s="173">
        <f>IFERROR(VLOOKUP($B143,Totalt!$B$1:$AQ$554,MATCH(Y$2,Totalt!$B$1:$AQ$1,0),FALSE),"")</f>
        <v>0</v>
      </c>
      <c r="Z143" s="173">
        <f>IFERROR(VLOOKUP($B143,Totalt!$B$1:$AQ$554,MATCH(Z$2,Totalt!$B$1:$AQ$1,0),FALSE),"")</f>
        <v>0</v>
      </c>
      <c r="AA143" s="173">
        <f>IFERROR(VLOOKUP($B143,Totalt!$B$1:$AQ$554,MATCH(AA$2,Totalt!$B$1:$AQ$1,0),FALSE),"")</f>
        <v>0</v>
      </c>
      <c r="AB143" s="173">
        <f>IFERROR(VLOOKUP($B143,Totalt!$B$1:$AQ$554,MATCH(AB$2,Totalt!$B$1:$AQ$1,0),FALSE),"")</f>
        <v>0</v>
      </c>
      <c r="AC143" s="173">
        <f>IFERROR(VLOOKUP($B143,Totalt!$B$1:$AQ$554,MATCH(AC$2,Totalt!$B$1:$AQ$1,0),FALSE),"")</f>
        <v>0</v>
      </c>
      <c r="AD143" s="173">
        <f>IFERROR(VLOOKUP($B143,Totalt!$B$1:$AQ$554,MATCH(AD$2,Totalt!$B$1:$AQ$1,0),FALSE),"")</f>
        <v>0</v>
      </c>
      <c r="AE143" s="173">
        <f>IFERROR(VLOOKUP($B143,Totalt!$B$1:$AQ$554,MATCH(AE$2,Totalt!$B$1:$AQ$1,0),FALSE),"")</f>
        <v>0</v>
      </c>
      <c r="AF143" s="173">
        <f>IFERROR(VLOOKUP($B143,Totalt!$B$1:$AQ$554,MATCH(AF$2,Totalt!$B$1:$AQ$1,0),FALSE),"")</f>
        <v>0.27500000000000002</v>
      </c>
      <c r="AG143" s="173">
        <f>IFERROR(VLOOKUP($B143,Totalt!$B$1:$AQ$554,MATCH(AG$2,Totalt!$B$1:$AQ$1,0),FALSE),"")</f>
        <v>0</v>
      </c>
      <c r="AI143" s="226">
        <f t="shared" si="12"/>
        <v>17.151</v>
      </c>
      <c r="AJ143" s="226">
        <f>IF(ISERROR(1/VLOOKUP($B143,Leveranser!$B$1:$S$500,MATCH("såld värme (gwh)",Leveranser!$B$1:$S$1,0),FALSE)),"",VLOOKUP($B143,Leveranser!$B$1:$S$500,MATCH("såld värme (gwh)",Leveranser!$B$1:$S$1,0),FALSE))</f>
        <v>11.76</v>
      </c>
      <c r="AM143" s="227" t="str">
        <f>IF(B143&lt;&gt;"",IF(VLOOKUP($B143,Totalt!$B$1:$AQ$554,MATCH("Kvalitetsgranskad:",Totalt!$B$1:$AQ$1,0),FALSE)="ja",VLOOKUP($B143,Miljö!$B$1:$AG$479,MATCH(AM$2,Miljö!$B$1:$AK$1,0),FALSE),""),"")</f>
        <v>Ja</v>
      </c>
      <c r="AN143" s="227" t="str">
        <f>IF(AM143="ja",VLOOKUP($B143,Miljö!$B$1:$J$479,MATCH("Typ av ursprungsspecificerad el   (Om inget värde anges används Nordisk residualmix, se inforuta) ()",Miljö!$B$1:$J$1,0),FALSE),IF(AM143="nej","Nordisk residualel",""))</f>
        <v>'vattenkraft'</v>
      </c>
      <c r="AO143" s="227">
        <f>IF(AM143="","",VLOOKUP($B143,Miljö!$B$1:$J$479,MATCH("Fossilandel för ursprungspecificerad el ()",Miljö!$B$1:$J$1,0),FALSE))</f>
        <v>0</v>
      </c>
      <c r="AP143" s="227">
        <f>IF(AM143="","",IFERROR(VLOOKUP($B143,Miljö!$B$1:$J$479,MATCH("Kärnkraftsandel för ursprungsspecificerad el ()",Miljö!$B$1:$J$1,0),FALSE)/1,0))</f>
        <v>0</v>
      </c>
      <c r="AQ143" s="227">
        <f t="shared" si="13"/>
        <v>1</v>
      </c>
      <c r="AR143" s="227"/>
      <c r="AS143" s="227" t="str">
        <f t="shared" si="14"/>
        <v>Nej</v>
      </c>
      <c r="AT143" s="227" t="str">
        <f>IF(AS143="ja",VLOOKUP($B143,Miljö!$B$1:$O$500,MATCH("Fossil andel i procent (%)",Miljö!$B$1:$O$1,0),FALSE)/100,"")</f>
        <v/>
      </c>
      <c r="AU143" s="227"/>
      <c r="AV143" s="227" t="str">
        <f t="shared" si="15"/>
        <v>Nej</v>
      </c>
      <c r="AW143" s="227" t="str">
        <f>IF(AV143="ja",VLOOKUP($B143,'Egen hetvattenprod'!$B$1:$AO$500,MATCH("Värmekälla till värmepumpar ()",'Egen hetvattenprod'!$B$1:$AO$1,0),FALSE),"")</f>
        <v/>
      </c>
      <c r="AX143" s="227"/>
      <c r="AY143" s="227" t="str">
        <f t="shared" si="16"/>
        <v>Nej</v>
      </c>
      <c r="AZ143" s="228" t="str">
        <f>IF($AY143="ja",(VLOOKUP($B143,'Egen hetvattenprod'!$B$1:$BX$550,MATCH(AZ$2,'Egen hetvattenprod'!$B$1:$BX$1,0),FALSE)+VLOOKUP($B143,Kraftvärmeprod!$B$1:$BX$550,MATCH(AZ$2,Kraftvärmeprod!$B$1:$BX$1,0),FALSE))/$AC143,"")</f>
        <v/>
      </c>
      <c r="BA143" s="228" t="str">
        <f>IF($AY143="ja",(VLOOKUP($B143,'Egen hetvattenprod'!$B$1:$BX$550,MATCH(BA$2,'Egen hetvattenprod'!$B$1:$BX$1,0),FALSE)+VLOOKUP($B143,Kraftvärmeprod!$B$1:$BX$550,MATCH(BA$2,Kraftvärmeprod!$B$1:$BX$1,0),FALSE))/$AC143,"")</f>
        <v/>
      </c>
      <c r="BB143" s="228" t="str">
        <f>IF($AY143="ja",(VLOOKUP($B143,'Egen hetvattenprod'!$B$1:$BX$550,MATCH(BB$2,'Egen hetvattenprod'!$B$1:$BX$1,0),FALSE)+VLOOKUP($B143,Kraftvärmeprod!$B$1:$BX$550,MATCH(BB$2,Kraftvärmeprod!$B$1:$BX$1,0),FALSE))/$AC143,"")</f>
        <v/>
      </c>
      <c r="BC143" s="228" t="str">
        <f>IF($AY143="ja",(VLOOKUP($B143,'Egen hetvattenprod'!$B$1:$BX$550,MATCH(BC$2,'Egen hetvattenprod'!$B$1:$BX$1,0),FALSE)+VLOOKUP($B143,Kraftvärmeprod!$B$1:$BX$550,MATCH(BC$2,Kraftvärmeprod!$B$1:$BX$1,0),FALSE))/$AC143,"")</f>
        <v/>
      </c>
      <c r="BD143" s="228" t="str">
        <f>IF($AY143="ja",(VLOOKUP($B143,'Egen hetvattenprod'!$B$1:$BX$550,MATCH(BD$2,'Egen hetvattenprod'!$B$1:$BX$1,0),FALSE)+VLOOKUP($B143,Kraftvärmeprod!$B$1:$BX$550,MATCH(BD$2,Kraftvärmeprod!$B$1:$BX$1,0),FALSE))/$AC143,"")</f>
        <v/>
      </c>
      <c r="BE143" s="227"/>
      <c r="BF143" s="227" t="str">
        <f t="shared" si="17"/>
        <v>Nej</v>
      </c>
      <c r="BG143" s="227" t="str">
        <f>IF($BF143="ja",VLOOKUP($B143,'Egen hetvattenprod'!$B$1:$BX$550,MATCH("Andelen klimatgaser med fossilt ursprung för avfall ()",'Egen hetvattenprod'!$B$1:$BX$1,0),FALSE),"")</f>
        <v/>
      </c>
      <c r="BH143" s="227" t="str">
        <f>IF($BF143="ja",VLOOKUP($B143,Kraftvärmeprod!$B$1:$BX$550,MATCH("Andelen klimatgaser med fossilt ursprung för avfall ()",Kraftvärmeprod!$B$1:$BX$1,0),FALSE),"")</f>
        <v/>
      </c>
      <c r="BI143" s="227" t="str">
        <f>IF($BF143="ja",VLOOKUP($B143,'Egen hetvattenprod'!$B$1:$BX$550,MATCH("Avfall (GWh)",'Egen hetvattenprod'!$B$1:$BX$1,0),FALSE),"")</f>
        <v/>
      </c>
      <c r="BJ143" s="227" t="str">
        <f>IF($BF143="ja",VLOOKUP($B143,'Slutlig allokering kvv'!$B$1:$BX$550,MATCH("Avfall (GWh)",'Slutlig allokering kvv'!$B$1:$BX$1,0),FALSE),"")</f>
        <v/>
      </c>
      <c r="BK143" s="227" t="str">
        <f>IF($BF143="ja",VLOOKUP($B143,'Köpt hetvatten'!$B$1:$BX$550,MATCH("Avfall i köpt hetvatten",'Köpt hetvatten'!$B$1:$BX$1,0),FALSE),"")</f>
        <v/>
      </c>
      <c r="BL143" s="227" t="str">
        <f>IF($BF143="ja",VLOOKUP($B143,'Egen hetvattenprod'!$B$1:$BX$550,MATCH("Värde enligt ovan. (%)",'Egen hetvattenprod'!$B$1:$BX$1,0),FALSE),"")</f>
        <v/>
      </c>
      <c r="BM143" s="227" t="str">
        <f>IF($BF143="ja",VLOOKUP($B143,Kraftvärmeprod!$B$1:$BX$550,MATCH("Värde enligt ovan. (%)",Kraftvärmeprod!$B$1:$BX$1,0),FALSE),"")</f>
        <v/>
      </c>
      <c r="BN143" s="227"/>
      <c r="BO143" s="227"/>
      <c r="BP143" s="227"/>
      <c r="BQ143" s="227" t="str">
        <f>IF($BF143="ja",VLOOKUP($B143,'Egen hetvattenprod'!$B$1:$BX$550,MATCH("Tillförd olja (fossil) vid avfallsförbränning (GWh)",'Egen hetvattenprod'!$B$1:$BX$1,0),FALSE),"")</f>
        <v/>
      </c>
      <c r="BR143" s="227" t="str">
        <f>IF($BF143="ja",VLOOKUP($B143,Kraftvärmeprod!$B$1:$BX$550,MATCH("Tillförd olja (fossil) vid avfallsförbränning (GWh)",Kraftvärmeprod!$B$1:$BX$1,0),FALSE),"")</f>
        <v/>
      </c>
      <c r="BS143" s="227"/>
      <c r="BT143" s="227"/>
      <c r="BU143" s="227"/>
    </row>
    <row r="144" spans="1:73" x14ac:dyDescent="0.25">
      <c r="A144" s="121" t="str">
        <f>'Miljövärden för publ företag'!B147</f>
        <v>Lantmännen Agrovärme AB</v>
      </c>
      <c r="B144" s="121" t="str">
        <f>'Miljövärden för publ företag'!C147</f>
        <v>Örsundsbro</v>
      </c>
      <c r="C144" s="173">
        <f>IFERROR(VLOOKUP($B144,Totalt!$B$1:$AQ$554,MATCH(C$2,Totalt!$B$1:$AQ$1,0),FALSE),"")</f>
        <v>0</v>
      </c>
      <c r="D144" s="173">
        <f>IFERROR(VLOOKUP($B144,Totalt!$B$1:$AQ$554,MATCH(D$2,Totalt!$B$1:$AQ$1,0),FALSE),"")</f>
        <v>6.3E-2</v>
      </c>
      <c r="E144" s="173">
        <f>IFERROR(VLOOKUP($B144,Totalt!$B$1:$AQ$554,MATCH(E$2,Totalt!$B$1:$AQ$1,0),FALSE),"")</f>
        <v>0</v>
      </c>
      <c r="F144" s="173">
        <f>IFERROR(VLOOKUP($B144,Totalt!$B$1:$AQ$554,MATCH(F$2,Totalt!$B$1:$AQ$1,0),FALSE),"")</f>
        <v>0</v>
      </c>
      <c r="G144" s="173">
        <f>IFERROR(VLOOKUP($B144,Totalt!$B$1:$AQ$554,MATCH(G$2,Totalt!$B$1:$AQ$1,0),FALSE),"")</f>
        <v>0</v>
      </c>
      <c r="H144" s="173">
        <f>IFERROR(VLOOKUP($B144,Totalt!$B$1:$AQ$554,MATCH(H$2,Totalt!$B$1:$AQ$1,0),FALSE),"")</f>
        <v>0</v>
      </c>
      <c r="I144" s="173">
        <f>IFERROR(VLOOKUP($B144,Totalt!$B$1:$AQ$554,MATCH(I$2,Totalt!$B$1:$AQ$1,0),FALSE),"")</f>
        <v>0</v>
      </c>
      <c r="J144" s="173">
        <f>IFERROR(VLOOKUP($B144,Totalt!$B$1:$AQ$554,MATCH(J$2,Totalt!$B$1:$AQ$1,0),FALSE),"")</f>
        <v>0</v>
      </c>
      <c r="K144" s="173">
        <f>IFERROR(VLOOKUP($B144,Totalt!$B$1:$AQ$554,MATCH(K$2,Totalt!$B$1:$AQ$1,0),FALSE),"")</f>
        <v>0</v>
      </c>
      <c r="L144" s="173">
        <f>IFERROR(VLOOKUP($B144,Totalt!$B$1:$AQ$554,MATCH(L$2,Totalt!$B$1:$AQ$1,0),FALSE),"")</f>
        <v>0</v>
      </c>
      <c r="M144" s="173">
        <f>IFERROR(VLOOKUP($B144,Totalt!$B$1:$AQ$554,MATCH(M$2,Totalt!$B$1:$AQ$1,0),FALSE),"")</f>
        <v>0</v>
      </c>
      <c r="N144" s="173">
        <f>IFERROR(VLOOKUP($B144,Totalt!$B$1:$AQ$554,MATCH(N$2,Totalt!$B$1:$AQ$1,0),FALSE),"")</f>
        <v>0</v>
      </c>
      <c r="O144" s="173">
        <f>IFERROR(VLOOKUP($B144,Totalt!$B$1:$AQ$554,MATCH(O$2,Totalt!$B$1:$AQ$1,0),FALSE),"")</f>
        <v>0</v>
      </c>
      <c r="P144" s="173">
        <f>IFERROR(VLOOKUP($B144,Totalt!$B$1:$AQ$554,MATCH(P$2,Totalt!$B$1:$AQ$1,0),FALSE),"")</f>
        <v>7.48</v>
      </c>
      <c r="Q144" s="173">
        <f>IFERROR(VLOOKUP($B144,Totalt!$B$1:$AQ$554,MATCH(Q$2,Totalt!$B$1:$AQ$1,0),FALSE),"")</f>
        <v>0</v>
      </c>
      <c r="R144" s="173">
        <f>IFERROR(VLOOKUP($B144,Totalt!$B$1:$AQ$554,MATCH(R$2,Totalt!$B$1:$AQ$1,0),FALSE),"")</f>
        <v>0</v>
      </c>
      <c r="S144" s="173">
        <f>IFERROR(VLOOKUP($B144,Totalt!$B$1:$AQ$554,MATCH(S$2,Totalt!$B$1:$AQ$1,0),FALSE),"")</f>
        <v>0</v>
      </c>
      <c r="T144" s="173">
        <f>IFERROR(VLOOKUP($B144,Totalt!$B$1:$AQ$554,MATCH(T$2,Totalt!$B$1:$AQ$1,0),FALSE),"")</f>
        <v>0</v>
      </c>
      <c r="U144" s="173">
        <f>IFERROR(VLOOKUP($B144,Totalt!$B$1:$AQ$554,MATCH(U$2,Totalt!$B$1:$AQ$1,0),FALSE),"")</f>
        <v>0</v>
      </c>
      <c r="V144" s="173">
        <f>IFERROR(VLOOKUP($B144,Totalt!$B$1:$AQ$554,MATCH(V$2,Totalt!$B$1:$AQ$1,0),FALSE),"")</f>
        <v>0</v>
      </c>
      <c r="W144" s="173">
        <f>IFERROR(VLOOKUP($B144,Totalt!$B$1:$AQ$554,MATCH(W$2,Totalt!$B$1:$AQ$1,0),FALSE),"")</f>
        <v>0</v>
      </c>
      <c r="X144" s="173">
        <f>IFERROR(VLOOKUP($B144,Totalt!$B$1:$AQ$554,MATCH(X$2,Totalt!$B$1:$AQ$1,0),FALSE),"")</f>
        <v>0</v>
      </c>
      <c r="Y144" s="173">
        <f>IFERROR(VLOOKUP($B144,Totalt!$B$1:$AQ$554,MATCH(Y$2,Totalt!$B$1:$AQ$1,0),FALSE),"")</f>
        <v>0</v>
      </c>
      <c r="Z144" s="173">
        <f>IFERROR(VLOOKUP($B144,Totalt!$B$1:$AQ$554,MATCH(Z$2,Totalt!$B$1:$AQ$1,0),FALSE),"")</f>
        <v>0</v>
      </c>
      <c r="AA144" s="173">
        <f>IFERROR(VLOOKUP($B144,Totalt!$B$1:$AQ$554,MATCH(AA$2,Totalt!$B$1:$AQ$1,0),FALSE),"")</f>
        <v>0</v>
      </c>
      <c r="AB144" s="173">
        <f>IFERROR(VLOOKUP($B144,Totalt!$B$1:$AQ$554,MATCH(AB$2,Totalt!$B$1:$AQ$1,0),FALSE),"")</f>
        <v>0</v>
      </c>
      <c r="AC144" s="173">
        <f>IFERROR(VLOOKUP($B144,Totalt!$B$1:$AQ$554,MATCH(AC$2,Totalt!$B$1:$AQ$1,0),FALSE),"")</f>
        <v>0</v>
      </c>
      <c r="AD144" s="173">
        <f>IFERROR(VLOOKUP($B144,Totalt!$B$1:$AQ$554,MATCH(AD$2,Totalt!$B$1:$AQ$1,0),FALSE),"")</f>
        <v>0</v>
      </c>
      <c r="AE144" s="173">
        <f>IFERROR(VLOOKUP($B144,Totalt!$B$1:$AQ$554,MATCH(AE$2,Totalt!$B$1:$AQ$1,0),FALSE),"")</f>
        <v>0</v>
      </c>
      <c r="AF144" s="173">
        <f>IFERROR(VLOOKUP($B144,Totalt!$B$1:$AQ$554,MATCH(AF$2,Totalt!$B$1:$AQ$1,0),FALSE),"")</f>
        <v>0.114</v>
      </c>
      <c r="AG144" s="173">
        <f>IFERROR(VLOOKUP($B144,Totalt!$B$1:$AQ$554,MATCH(AG$2,Totalt!$B$1:$AQ$1,0),FALSE),"")</f>
        <v>0</v>
      </c>
      <c r="AI144" s="226">
        <f t="shared" si="12"/>
        <v>7.657</v>
      </c>
      <c r="AJ144" s="226">
        <f>IF(ISERROR(1/VLOOKUP($B144,Leveranser!$B$1:$S$500,MATCH("såld värme (gwh)",Leveranser!$B$1:$S$1,0),FALSE)),"",VLOOKUP($B144,Leveranser!$B$1:$S$500,MATCH("såld värme (gwh)",Leveranser!$B$1:$S$1,0),FALSE))</f>
        <v>5.41</v>
      </c>
      <c r="AM144" s="227" t="str">
        <f>IF(B144&lt;&gt;"",IF(VLOOKUP($B144,Totalt!$B$1:$AQ$554,MATCH("Kvalitetsgranskad:",Totalt!$B$1:$AQ$1,0),FALSE)="ja",VLOOKUP($B144,Miljö!$B$1:$AG$479,MATCH(AM$2,Miljö!$B$1:$AK$1,0),FALSE),""),"")</f>
        <v>Ja</v>
      </c>
      <c r="AN144" s="227" t="str">
        <f>IF(AM144="ja",VLOOKUP($B144,Miljö!$B$1:$J$479,MATCH("Typ av ursprungsspecificerad el   (Om inget värde anges används Nordisk residualmix, se inforuta) ()",Miljö!$B$1:$J$1,0),FALSE),IF(AM144="nej","Nordisk residualel",""))</f>
        <v>'vattenkraft'</v>
      </c>
      <c r="AO144" s="227">
        <f>IF(AM144="","",VLOOKUP($B144,Miljö!$B$1:$J$479,MATCH("Fossilandel för ursprungspecificerad el ()",Miljö!$B$1:$J$1,0),FALSE))</f>
        <v>0</v>
      </c>
      <c r="AP144" s="227">
        <f>IF(AM144="","",IFERROR(VLOOKUP($B144,Miljö!$B$1:$J$479,MATCH("Kärnkraftsandel för ursprungsspecificerad el ()",Miljö!$B$1:$J$1,0),FALSE)/1,0))</f>
        <v>0</v>
      </c>
      <c r="AQ144" s="227">
        <f t="shared" si="13"/>
        <v>1</v>
      </c>
      <c r="AR144" s="227"/>
      <c r="AS144" s="227" t="str">
        <f t="shared" si="14"/>
        <v>Nej</v>
      </c>
      <c r="AT144" s="227" t="str">
        <f>IF(AS144="ja",VLOOKUP($B144,Miljö!$B$1:$O$500,MATCH("Fossil andel i procent (%)",Miljö!$B$1:$O$1,0),FALSE)/100,"")</f>
        <v/>
      </c>
      <c r="AU144" s="227"/>
      <c r="AV144" s="227" t="str">
        <f t="shared" si="15"/>
        <v>Nej</v>
      </c>
      <c r="AW144" s="227" t="str">
        <f>IF(AV144="ja",VLOOKUP($B144,'Egen hetvattenprod'!$B$1:$AO$500,MATCH("Värmekälla till värmepumpar ()",'Egen hetvattenprod'!$B$1:$AO$1,0),FALSE),"")</f>
        <v/>
      </c>
      <c r="AX144" s="227"/>
      <c r="AY144" s="227" t="str">
        <f t="shared" si="16"/>
        <v>Nej</v>
      </c>
      <c r="AZ144" s="228" t="str">
        <f>IF($AY144="ja",(VLOOKUP($B144,'Egen hetvattenprod'!$B$1:$BX$550,MATCH(AZ$2,'Egen hetvattenprod'!$B$1:$BX$1,0),FALSE)+VLOOKUP($B144,Kraftvärmeprod!$B$1:$BX$550,MATCH(AZ$2,Kraftvärmeprod!$B$1:$BX$1,0),FALSE))/$AC144,"")</f>
        <v/>
      </c>
      <c r="BA144" s="228" t="str">
        <f>IF($AY144="ja",(VLOOKUP($B144,'Egen hetvattenprod'!$B$1:$BX$550,MATCH(BA$2,'Egen hetvattenprod'!$B$1:$BX$1,0),FALSE)+VLOOKUP($B144,Kraftvärmeprod!$B$1:$BX$550,MATCH(BA$2,Kraftvärmeprod!$B$1:$BX$1,0),FALSE))/$AC144,"")</f>
        <v/>
      </c>
      <c r="BB144" s="228" t="str">
        <f>IF($AY144="ja",(VLOOKUP($B144,'Egen hetvattenprod'!$B$1:$BX$550,MATCH(BB$2,'Egen hetvattenprod'!$B$1:$BX$1,0),FALSE)+VLOOKUP($B144,Kraftvärmeprod!$B$1:$BX$550,MATCH(BB$2,Kraftvärmeprod!$B$1:$BX$1,0),FALSE))/$AC144,"")</f>
        <v/>
      </c>
      <c r="BC144" s="228" t="str">
        <f>IF($AY144="ja",(VLOOKUP($B144,'Egen hetvattenprod'!$B$1:$BX$550,MATCH(BC$2,'Egen hetvattenprod'!$B$1:$BX$1,0),FALSE)+VLOOKUP($B144,Kraftvärmeprod!$B$1:$BX$550,MATCH(BC$2,Kraftvärmeprod!$B$1:$BX$1,0),FALSE))/$AC144,"")</f>
        <v/>
      </c>
      <c r="BD144" s="228" t="str">
        <f>IF($AY144="ja",(VLOOKUP($B144,'Egen hetvattenprod'!$B$1:$BX$550,MATCH(BD$2,'Egen hetvattenprod'!$B$1:$BX$1,0),FALSE)+VLOOKUP($B144,Kraftvärmeprod!$B$1:$BX$550,MATCH(BD$2,Kraftvärmeprod!$B$1:$BX$1,0),FALSE))/$AC144,"")</f>
        <v/>
      </c>
      <c r="BE144" s="227"/>
      <c r="BF144" s="227" t="str">
        <f t="shared" si="17"/>
        <v>Nej</v>
      </c>
      <c r="BG144" s="227" t="str">
        <f>IF($BF144="ja",VLOOKUP($B144,'Egen hetvattenprod'!$B$1:$BX$550,MATCH("Andelen klimatgaser med fossilt ursprung för avfall ()",'Egen hetvattenprod'!$B$1:$BX$1,0),FALSE),"")</f>
        <v/>
      </c>
      <c r="BH144" s="227" t="str">
        <f>IF($BF144="ja",VLOOKUP($B144,Kraftvärmeprod!$B$1:$BX$550,MATCH("Andelen klimatgaser med fossilt ursprung för avfall ()",Kraftvärmeprod!$B$1:$BX$1,0),FALSE),"")</f>
        <v/>
      </c>
      <c r="BI144" s="227" t="str">
        <f>IF($BF144="ja",VLOOKUP($B144,'Egen hetvattenprod'!$B$1:$BX$550,MATCH("Avfall (GWh)",'Egen hetvattenprod'!$B$1:$BX$1,0),FALSE),"")</f>
        <v/>
      </c>
      <c r="BJ144" s="227" t="str">
        <f>IF($BF144="ja",VLOOKUP($B144,'Slutlig allokering kvv'!$B$1:$BX$550,MATCH("Avfall (GWh)",'Slutlig allokering kvv'!$B$1:$BX$1,0),FALSE),"")</f>
        <v/>
      </c>
      <c r="BK144" s="227" t="str">
        <f>IF($BF144="ja",VLOOKUP($B144,'Köpt hetvatten'!$B$1:$BX$550,MATCH("Avfall i köpt hetvatten",'Köpt hetvatten'!$B$1:$BX$1,0),FALSE),"")</f>
        <v/>
      </c>
      <c r="BL144" s="227" t="str">
        <f>IF($BF144="ja",VLOOKUP($B144,'Egen hetvattenprod'!$B$1:$BX$550,MATCH("Värde enligt ovan. (%)",'Egen hetvattenprod'!$B$1:$BX$1,0),FALSE),"")</f>
        <v/>
      </c>
      <c r="BM144" s="227" t="str">
        <f>IF($BF144="ja",VLOOKUP($B144,Kraftvärmeprod!$B$1:$BX$550,MATCH("Värde enligt ovan. (%)",Kraftvärmeprod!$B$1:$BX$1,0),FALSE),"")</f>
        <v/>
      </c>
      <c r="BN144" s="227"/>
      <c r="BO144" s="227"/>
      <c r="BP144" s="227"/>
      <c r="BQ144" s="227" t="str">
        <f>IF($BF144="ja",VLOOKUP($B144,'Egen hetvattenprod'!$B$1:$BX$550,MATCH("Tillförd olja (fossil) vid avfallsförbränning (GWh)",'Egen hetvattenprod'!$B$1:$BX$1,0),FALSE),"")</f>
        <v/>
      </c>
      <c r="BR144" s="227" t="str">
        <f>IF($BF144="ja",VLOOKUP($B144,Kraftvärmeprod!$B$1:$BX$550,MATCH("Tillförd olja (fossil) vid avfallsförbränning (GWh)",Kraftvärmeprod!$B$1:$BX$1,0),FALSE),"")</f>
        <v/>
      </c>
      <c r="BS144" s="227"/>
      <c r="BT144" s="227"/>
      <c r="BU144" s="227"/>
    </row>
    <row r="145" spans="1:73" x14ac:dyDescent="0.25">
      <c r="A145" s="121" t="str">
        <f>'Miljövärden för publ företag'!B148</f>
        <v>Laxå Värme AB</v>
      </c>
      <c r="B145" s="121" t="str">
        <f>'Miljövärden för publ företag'!C148</f>
        <v>Laxå</v>
      </c>
      <c r="C145" s="173">
        <f>IFERROR(VLOOKUP($B145,Totalt!$B$1:$AQ$554,MATCH(C$2,Totalt!$B$1:$AQ$1,0),FALSE),"")</f>
        <v>0</v>
      </c>
      <c r="D145" s="173">
        <f>IFERROR(VLOOKUP($B145,Totalt!$B$1:$AQ$554,MATCH(D$2,Totalt!$B$1:$AQ$1,0),FALSE),"")</f>
        <v>0.39</v>
      </c>
      <c r="E145" s="173">
        <f>IFERROR(VLOOKUP($B145,Totalt!$B$1:$AQ$554,MATCH(E$2,Totalt!$B$1:$AQ$1,0),FALSE),"")</f>
        <v>0</v>
      </c>
      <c r="F145" s="173">
        <f>IFERROR(VLOOKUP($B145,Totalt!$B$1:$AQ$554,MATCH(F$2,Totalt!$B$1:$AQ$1,0),FALSE),"")</f>
        <v>0</v>
      </c>
      <c r="G145" s="173">
        <f>IFERROR(VLOOKUP($B145,Totalt!$B$1:$AQ$554,MATCH(G$2,Totalt!$B$1:$AQ$1,0),FALSE),"")</f>
        <v>0</v>
      </c>
      <c r="H145" s="173">
        <f>IFERROR(VLOOKUP($B145,Totalt!$B$1:$AQ$554,MATCH(H$2,Totalt!$B$1:$AQ$1,0),FALSE),"")</f>
        <v>0</v>
      </c>
      <c r="I145" s="173">
        <f>IFERROR(VLOOKUP($B145,Totalt!$B$1:$AQ$554,MATCH(I$2,Totalt!$B$1:$AQ$1,0),FALSE),"")</f>
        <v>0</v>
      </c>
      <c r="J145" s="173">
        <f>IFERROR(VLOOKUP($B145,Totalt!$B$1:$AQ$554,MATCH(J$2,Totalt!$B$1:$AQ$1,0),FALSE),"")</f>
        <v>0</v>
      </c>
      <c r="K145" s="173">
        <f>IFERROR(VLOOKUP($B145,Totalt!$B$1:$AQ$554,MATCH(K$2,Totalt!$B$1:$AQ$1,0),FALSE),"")</f>
        <v>0</v>
      </c>
      <c r="L145" s="173">
        <f>IFERROR(VLOOKUP($B145,Totalt!$B$1:$AQ$554,MATCH(L$2,Totalt!$B$1:$AQ$1,0),FALSE),"")</f>
        <v>0</v>
      </c>
      <c r="M145" s="173">
        <f>IFERROR(VLOOKUP($B145,Totalt!$B$1:$AQ$554,MATCH(M$2,Totalt!$B$1:$AQ$1,0),FALSE),"")</f>
        <v>0</v>
      </c>
      <c r="N145" s="173">
        <f>IFERROR(VLOOKUP($B145,Totalt!$B$1:$AQ$554,MATCH(N$2,Totalt!$B$1:$AQ$1,0),FALSE),"")</f>
        <v>0</v>
      </c>
      <c r="O145" s="173">
        <f>IFERROR(VLOOKUP($B145,Totalt!$B$1:$AQ$554,MATCH(O$2,Totalt!$B$1:$AQ$1,0),FALSE),"")</f>
        <v>0</v>
      </c>
      <c r="P145" s="173">
        <f>IFERROR(VLOOKUP($B145,Totalt!$B$1:$AQ$554,MATCH(P$2,Totalt!$B$1:$AQ$1,0),FALSE),"")</f>
        <v>0</v>
      </c>
      <c r="Q145" s="173">
        <f>IFERROR(VLOOKUP($B145,Totalt!$B$1:$AQ$554,MATCH(Q$2,Totalt!$B$1:$AQ$1,0),FALSE),"")</f>
        <v>0</v>
      </c>
      <c r="R145" s="173">
        <f>IFERROR(VLOOKUP($B145,Totalt!$B$1:$AQ$554,MATCH(R$2,Totalt!$B$1:$AQ$1,0),FALSE),"")</f>
        <v>5.7469999999999999</v>
      </c>
      <c r="S145" s="173">
        <f>IFERROR(VLOOKUP($B145,Totalt!$B$1:$AQ$554,MATCH(S$2,Totalt!$B$1:$AQ$1,0),FALSE),"")</f>
        <v>31.108000000000001</v>
      </c>
      <c r="T145" s="173">
        <f>IFERROR(VLOOKUP($B145,Totalt!$B$1:$AQ$554,MATCH(T$2,Totalt!$B$1:$AQ$1,0),FALSE),"")</f>
        <v>0</v>
      </c>
      <c r="U145" s="173">
        <f>IFERROR(VLOOKUP($B145,Totalt!$B$1:$AQ$554,MATCH(U$2,Totalt!$B$1:$AQ$1,0),FALSE),"")</f>
        <v>0</v>
      </c>
      <c r="V145" s="173">
        <f>IFERROR(VLOOKUP($B145,Totalt!$B$1:$AQ$554,MATCH(V$2,Totalt!$B$1:$AQ$1,0),FALSE),"")</f>
        <v>0</v>
      </c>
      <c r="W145" s="173">
        <f>IFERROR(VLOOKUP($B145,Totalt!$B$1:$AQ$554,MATCH(W$2,Totalt!$B$1:$AQ$1,0),FALSE),"")</f>
        <v>0</v>
      </c>
      <c r="X145" s="173">
        <f>IFERROR(VLOOKUP($B145,Totalt!$B$1:$AQ$554,MATCH(X$2,Totalt!$B$1:$AQ$1,0),FALSE),"")</f>
        <v>0</v>
      </c>
      <c r="Y145" s="173">
        <f>IFERROR(VLOOKUP($B145,Totalt!$B$1:$AQ$554,MATCH(Y$2,Totalt!$B$1:$AQ$1,0),FALSE),"")</f>
        <v>0</v>
      </c>
      <c r="Z145" s="173">
        <f>IFERROR(VLOOKUP($B145,Totalt!$B$1:$AQ$554,MATCH(Z$2,Totalt!$B$1:$AQ$1,0),FALSE),"")</f>
        <v>0</v>
      </c>
      <c r="AA145" s="173">
        <f>IFERROR(VLOOKUP($B145,Totalt!$B$1:$AQ$554,MATCH(AA$2,Totalt!$B$1:$AQ$1,0),FALSE),"")</f>
        <v>0</v>
      </c>
      <c r="AB145" s="173">
        <f>IFERROR(VLOOKUP($B145,Totalt!$B$1:$AQ$554,MATCH(AB$2,Totalt!$B$1:$AQ$1,0),FALSE),"")</f>
        <v>0</v>
      </c>
      <c r="AC145" s="173">
        <f>IFERROR(VLOOKUP($B145,Totalt!$B$1:$AQ$554,MATCH(AC$2,Totalt!$B$1:$AQ$1,0),FALSE),"")</f>
        <v>0</v>
      </c>
      <c r="AD145" s="173">
        <f>IFERROR(VLOOKUP($B145,Totalt!$B$1:$AQ$554,MATCH(AD$2,Totalt!$B$1:$AQ$1,0),FALSE),"")</f>
        <v>0</v>
      </c>
      <c r="AE145" s="173">
        <f>IFERROR(VLOOKUP($B145,Totalt!$B$1:$AQ$554,MATCH(AE$2,Totalt!$B$1:$AQ$1,0),FALSE),"")</f>
        <v>0</v>
      </c>
      <c r="AF145" s="173">
        <f>IFERROR(VLOOKUP($B145,Totalt!$B$1:$AQ$554,MATCH(AF$2,Totalt!$B$1:$AQ$1,0),FALSE),"")</f>
        <v>0.47899999999999998</v>
      </c>
      <c r="AG145" s="173">
        <f>IFERROR(VLOOKUP($B145,Totalt!$B$1:$AQ$554,MATCH(AG$2,Totalt!$B$1:$AQ$1,0),FALSE),"")</f>
        <v>0</v>
      </c>
      <c r="AI145" s="226">
        <f t="shared" si="12"/>
        <v>37.723999999999997</v>
      </c>
      <c r="AJ145" s="226">
        <f>IF(ISERROR(1/VLOOKUP($B145,Leveranser!$B$1:$S$500,MATCH("såld värme (gwh)",Leveranser!$B$1:$S$1,0),FALSE)),"",VLOOKUP($B145,Leveranser!$B$1:$S$500,MATCH("såld värme (gwh)",Leveranser!$B$1:$S$1,0),FALSE))</f>
        <v>29.670999999999999</v>
      </c>
      <c r="AM145" s="227" t="str">
        <f>IF(B145&lt;&gt;"",IF(VLOOKUP($B145,Totalt!$B$1:$AQ$554,MATCH("Kvalitetsgranskad:",Totalt!$B$1:$AQ$1,0),FALSE)="ja",VLOOKUP($B145,Miljö!$B$1:$AG$479,MATCH(AM$2,Miljö!$B$1:$AK$1,0),FALSE),""),"")</f>
        <v>Ja</v>
      </c>
      <c r="AN145" s="227" t="str">
        <f>IF(AM145="ja",VLOOKUP($B145,Miljö!$B$1:$J$479,MATCH("Typ av ursprungsspecificerad el   (Om inget värde anges används Nordisk residualmix, se inforuta) ()",Miljö!$B$1:$J$1,0),FALSE),IF(AM145="nej","Nordisk residualel",""))</f>
        <v>'100% förnyelsebar'</v>
      </c>
      <c r="AO145" s="227">
        <f>IF(AM145="","",VLOOKUP($B145,Miljö!$B$1:$J$479,MATCH("Fossilandel för ursprungspecificerad el ()",Miljö!$B$1:$J$1,0),FALSE))</f>
        <v>0</v>
      </c>
      <c r="AP145" s="227">
        <f>IF(AM145="","",IFERROR(VLOOKUP($B145,Miljö!$B$1:$J$479,MATCH("Kärnkraftsandel för ursprungsspecificerad el ()",Miljö!$B$1:$J$1,0),FALSE)/1,0))</f>
        <v>0</v>
      </c>
      <c r="AQ145" s="227">
        <f t="shared" si="13"/>
        <v>1</v>
      </c>
      <c r="AR145" s="227"/>
      <c r="AS145" s="227" t="str">
        <f t="shared" si="14"/>
        <v>Nej</v>
      </c>
      <c r="AT145" s="227" t="str">
        <f>IF(AS145="ja",VLOOKUP($B145,Miljö!$B$1:$O$500,MATCH("Fossil andel i procent (%)",Miljö!$B$1:$O$1,0),FALSE)/100,"")</f>
        <v/>
      </c>
      <c r="AU145" s="227"/>
      <c r="AV145" s="227" t="str">
        <f t="shared" si="15"/>
        <v>Nej</v>
      </c>
      <c r="AW145" s="227" t="str">
        <f>IF(AV145="ja",VLOOKUP($B145,'Egen hetvattenprod'!$B$1:$AO$500,MATCH("Värmekälla till värmepumpar ()",'Egen hetvattenprod'!$B$1:$AO$1,0),FALSE),"")</f>
        <v/>
      </c>
      <c r="AX145" s="227"/>
      <c r="AY145" s="227" t="str">
        <f t="shared" si="16"/>
        <v>Nej</v>
      </c>
      <c r="AZ145" s="228" t="str">
        <f>IF($AY145="ja",(VLOOKUP($B145,'Egen hetvattenprod'!$B$1:$BX$550,MATCH(AZ$2,'Egen hetvattenprod'!$B$1:$BX$1,0),FALSE)+VLOOKUP($B145,Kraftvärmeprod!$B$1:$BX$550,MATCH(AZ$2,Kraftvärmeprod!$B$1:$BX$1,0),FALSE))/$AC145,"")</f>
        <v/>
      </c>
      <c r="BA145" s="228" t="str">
        <f>IF($AY145="ja",(VLOOKUP($B145,'Egen hetvattenprod'!$B$1:$BX$550,MATCH(BA$2,'Egen hetvattenprod'!$B$1:$BX$1,0),FALSE)+VLOOKUP($B145,Kraftvärmeprod!$B$1:$BX$550,MATCH(BA$2,Kraftvärmeprod!$B$1:$BX$1,0),FALSE))/$AC145,"")</f>
        <v/>
      </c>
      <c r="BB145" s="228" t="str">
        <f>IF($AY145="ja",(VLOOKUP($B145,'Egen hetvattenprod'!$B$1:$BX$550,MATCH(BB$2,'Egen hetvattenprod'!$B$1:$BX$1,0),FALSE)+VLOOKUP($B145,Kraftvärmeprod!$B$1:$BX$550,MATCH(BB$2,Kraftvärmeprod!$B$1:$BX$1,0),FALSE))/$AC145,"")</f>
        <v/>
      </c>
      <c r="BC145" s="228" t="str">
        <f>IF($AY145="ja",(VLOOKUP($B145,'Egen hetvattenprod'!$B$1:$BX$550,MATCH(BC$2,'Egen hetvattenprod'!$B$1:$BX$1,0),FALSE)+VLOOKUP($B145,Kraftvärmeprod!$B$1:$BX$550,MATCH(BC$2,Kraftvärmeprod!$B$1:$BX$1,0),FALSE))/$AC145,"")</f>
        <v/>
      </c>
      <c r="BD145" s="228" t="str">
        <f>IF($AY145="ja",(VLOOKUP($B145,'Egen hetvattenprod'!$B$1:$BX$550,MATCH(BD$2,'Egen hetvattenprod'!$B$1:$BX$1,0),FALSE)+VLOOKUP($B145,Kraftvärmeprod!$B$1:$BX$550,MATCH(BD$2,Kraftvärmeprod!$B$1:$BX$1,0),FALSE))/$AC145,"")</f>
        <v/>
      </c>
      <c r="BE145" s="227"/>
      <c r="BF145" s="227" t="str">
        <f t="shared" si="17"/>
        <v>Nej</v>
      </c>
      <c r="BG145" s="227" t="str">
        <f>IF($BF145="ja",VLOOKUP($B145,'Egen hetvattenprod'!$B$1:$BX$550,MATCH("Andelen klimatgaser med fossilt ursprung för avfall ()",'Egen hetvattenprod'!$B$1:$BX$1,0),FALSE),"")</f>
        <v/>
      </c>
      <c r="BH145" s="227" t="str">
        <f>IF($BF145="ja",VLOOKUP($B145,Kraftvärmeprod!$B$1:$BX$550,MATCH("Andelen klimatgaser med fossilt ursprung för avfall ()",Kraftvärmeprod!$B$1:$BX$1,0),FALSE),"")</f>
        <v/>
      </c>
      <c r="BI145" s="227" t="str">
        <f>IF($BF145="ja",VLOOKUP($B145,'Egen hetvattenprod'!$B$1:$BX$550,MATCH("Avfall (GWh)",'Egen hetvattenprod'!$B$1:$BX$1,0),FALSE),"")</f>
        <v/>
      </c>
      <c r="BJ145" s="227" t="str">
        <f>IF($BF145="ja",VLOOKUP($B145,'Slutlig allokering kvv'!$B$1:$BX$550,MATCH("Avfall (GWh)",'Slutlig allokering kvv'!$B$1:$BX$1,0),FALSE),"")</f>
        <v/>
      </c>
      <c r="BK145" s="227" t="str">
        <f>IF($BF145="ja",VLOOKUP($B145,'Köpt hetvatten'!$B$1:$BX$550,MATCH("Avfall i köpt hetvatten",'Köpt hetvatten'!$B$1:$BX$1,0),FALSE),"")</f>
        <v/>
      </c>
      <c r="BL145" s="227" t="str">
        <f>IF($BF145="ja",VLOOKUP($B145,'Egen hetvattenprod'!$B$1:$BX$550,MATCH("Värde enligt ovan. (%)",'Egen hetvattenprod'!$B$1:$BX$1,0),FALSE),"")</f>
        <v/>
      </c>
      <c r="BM145" s="227" t="str">
        <f>IF($BF145="ja",VLOOKUP($B145,Kraftvärmeprod!$B$1:$BX$550,MATCH("Värde enligt ovan. (%)",Kraftvärmeprod!$B$1:$BX$1,0),FALSE),"")</f>
        <v/>
      </c>
      <c r="BN145" s="227"/>
      <c r="BO145" s="227"/>
      <c r="BP145" s="227"/>
      <c r="BQ145" s="227" t="str">
        <f>IF($BF145="ja",VLOOKUP($B145,'Egen hetvattenprod'!$B$1:$BX$550,MATCH("Tillförd olja (fossil) vid avfallsförbränning (GWh)",'Egen hetvattenprod'!$B$1:$BX$1,0),FALSE),"")</f>
        <v/>
      </c>
      <c r="BR145" s="227" t="str">
        <f>IF($BF145="ja",VLOOKUP($B145,Kraftvärmeprod!$B$1:$BX$550,MATCH("Tillförd olja (fossil) vid avfallsförbränning (GWh)",Kraftvärmeprod!$B$1:$BX$1,0),FALSE),"")</f>
        <v/>
      </c>
      <c r="BS145" s="227"/>
      <c r="BT145" s="227"/>
      <c r="BU145" s="227"/>
    </row>
    <row r="146" spans="1:73" x14ac:dyDescent="0.25">
      <c r="A146" s="121" t="str">
        <f>'Miljövärden för publ företag'!B149</f>
        <v>Lerum Fjärrvärme AB</v>
      </c>
      <c r="B146" s="121" t="str">
        <f>'Miljövärden för publ företag'!C149</f>
        <v>Floda</v>
      </c>
      <c r="C146" s="173">
        <f>IFERROR(VLOOKUP($B146,Totalt!$B$1:$AQ$554,MATCH(C$2,Totalt!$B$1:$AQ$1,0),FALSE),"")</f>
        <v>0</v>
      </c>
      <c r="D146" s="173">
        <f>IFERROR(VLOOKUP($B146,Totalt!$B$1:$AQ$554,MATCH(D$2,Totalt!$B$1:$AQ$1,0),FALSE),"")</f>
        <v>0.9</v>
      </c>
      <c r="E146" s="173">
        <f>IFERROR(VLOOKUP($B146,Totalt!$B$1:$AQ$554,MATCH(E$2,Totalt!$B$1:$AQ$1,0),FALSE),"")</f>
        <v>0</v>
      </c>
      <c r="F146" s="173">
        <f>IFERROR(VLOOKUP($B146,Totalt!$B$1:$AQ$554,MATCH(F$2,Totalt!$B$1:$AQ$1,0),FALSE),"")</f>
        <v>0</v>
      </c>
      <c r="G146" s="173">
        <f>IFERROR(VLOOKUP($B146,Totalt!$B$1:$AQ$554,MATCH(G$2,Totalt!$B$1:$AQ$1,0),FALSE),"")</f>
        <v>0</v>
      </c>
      <c r="H146" s="173">
        <f>IFERROR(VLOOKUP($B146,Totalt!$B$1:$AQ$554,MATCH(H$2,Totalt!$B$1:$AQ$1,0),FALSE),"")</f>
        <v>0</v>
      </c>
      <c r="I146" s="173">
        <f>IFERROR(VLOOKUP($B146,Totalt!$B$1:$AQ$554,MATCH(I$2,Totalt!$B$1:$AQ$1,0),FALSE),"")</f>
        <v>0</v>
      </c>
      <c r="J146" s="173">
        <f>IFERROR(VLOOKUP($B146,Totalt!$B$1:$AQ$554,MATCH(J$2,Totalt!$B$1:$AQ$1,0),FALSE),"")</f>
        <v>0</v>
      </c>
      <c r="K146" s="173">
        <f>IFERROR(VLOOKUP($B146,Totalt!$B$1:$AQ$554,MATCH(K$2,Totalt!$B$1:$AQ$1,0),FALSE),"")</f>
        <v>0</v>
      </c>
      <c r="L146" s="173">
        <f>IFERROR(VLOOKUP($B146,Totalt!$B$1:$AQ$554,MATCH(L$2,Totalt!$B$1:$AQ$1,0),FALSE),"")</f>
        <v>0</v>
      </c>
      <c r="M146" s="173">
        <f>IFERROR(VLOOKUP($B146,Totalt!$B$1:$AQ$554,MATCH(M$2,Totalt!$B$1:$AQ$1,0),FALSE),"")</f>
        <v>0</v>
      </c>
      <c r="N146" s="173">
        <f>IFERROR(VLOOKUP($B146,Totalt!$B$1:$AQ$554,MATCH(N$2,Totalt!$B$1:$AQ$1,0),FALSE),"")</f>
        <v>0</v>
      </c>
      <c r="O146" s="173">
        <f>IFERROR(VLOOKUP($B146,Totalt!$B$1:$AQ$554,MATCH(O$2,Totalt!$B$1:$AQ$1,0),FALSE),"")</f>
        <v>0</v>
      </c>
      <c r="P146" s="173">
        <f>IFERROR(VLOOKUP($B146,Totalt!$B$1:$AQ$554,MATCH(P$2,Totalt!$B$1:$AQ$1,0),FALSE),"")</f>
        <v>9</v>
      </c>
      <c r="Q146" s="173">
        <f>IFERROR(VLOOKUP($B146,Totalt!$B$1:$AQ$554,MATCH(Q$2,Totalt!$B$1:$AQ$1,0),FALSE),"")</f>
        <v>0</v>
      </c>
      <c r="R146" s="173">
        <f>IFERROR(VLOOKUP($B146,Totalt!$B$1:$AQ$554,MATCH(R$2,Totalt!$B$1:$AQ$1,0),FALSE),"")</f>
        <v>0.1</v>
      </c>
      <c r="S146" s="173">
        <f>IFERROR(VLOOKUP($B146,Totalt!$B$1:$AQ$554,MATCH(S$2,Totalt!$B$1:$AQ$1,0),FALSE),"")</f>
        <v>0</v>
      </c>
      <c r="T146" s="173">
        <f>IFERROR(VLOOKUP($B146,Totalt!$B$1:$AQ$554,MATCH(T$2,Totalt!$B$1:$AQ$1,0),FALSE),"")</f>
        <v>0</v>
      </c>
      <c r="U146" s="173">
        <f>IFERROR(VLOOKUP($B146,Totalt!$B$1:$AQ$554,MATCH(U$2,Totalt!$B$1:$AQ$1,0),FALSE),"")</f>
        <v>0</v>
      </c>
      <c r="V146" s="173">
        <f>IFERROR(VLOOKUP($B146,Totalt!$B$1:$AQ$554,MATCH(V$2,Totalt!$B$1:$AQ$1,0),FALSE),"")</f>
        <v>0</v>
      </c>
      <c r="W146" s="173">
        <f>IFERROR(VLOOKUP($B146,Totalt!$B$1:$AQ$554,MATCH(W$2,Totalt!$B$1:$AQ$1,0),FALSE),"")</f>
        <v>0</v>
      </c>
      <c r="X146" s="173">
        <f>IFERROR(VLOOKUP($B146,Totalt!$B$1:$AQ$554,MATCH(X$2,Totalt!$B$1:$AQ$1,0),FALSE),"")</f>
        <v>0</v>
      </c>
      <c r="Y146" s="173">
        <f>IFERROR(VLOOKUP($B146,Totalt!$B$1:$AQ$554,MATCH(Y$2,Totalt!$B$1:$AQ$1,0),FALSE),"")</f>
        <v>0</v>
      </c>
      <c r="Z146" s="173">
        <f>IFERROR(VLOOKUP($B146,Totalt!$B$1:$AQ$554,MATCH(Z$2,Totalt!$B$1:$AQ$1,0),FALSE),"")</f>
        <v>0</v>
      </c>
      <c r="AA146" s="173">
        <f>IFERROR(VLOOKUP($B146,Totalt!$B$1:$AQ$554,MATCH(AA$2,Totalt!$B$1:$AQ$1,0),FALSE),"")</f>
        <v>0</v>
      </c>
      <c r="AB146" s="173">
        <f>IFERROR(VLOOKUP($B146,Totalt!$B$1:$AQ$554,MATCH(AB$2,Totalt!$B$1:$AQ$1,0),FALSE),"")</f>
        <v>0</v>
      </c>
      <c r="AC146" s="173">
        <f>IFERROR(VLOOKUP($B146,Totalt!$B$1:$AQ$554,MATCH(AC$2,Totalt!$B$1:$AQ$1,0),FALSE),"")</f>
        <v>0</v>
      </c>
      <c r="AD146" s="173">
        <f>IFERROR(VLOOKUP($B146,Totalt!$B$1:$AQ$554,MATCH(AD$2,Totalt!$B$1:$AQ$1,0),FALSE),"")</f>
        <v>0</v>
      </c>
      <c r="AE146" s="173">
        <f>IFERROR(VLOOKUP($B146,Totalt!$B$1:$AQ$554,MATCH(AE$2,Totalt!$B$1:$AQ$1,0),FALSE),"")</f>
        <v>0</v>
      </c>
      <c r="AF146" s="173">
        <f>IFERROR(VLOOKUP($B146,Totalt!$B$1:$AQ$554,MATCH(AF$2,Totalt!$B$1:$AQ$1,0),FALSE),"")</f>
        <v>0.216</v>
      </c>
      <c r="AG146" s="173">
        <f>IFERROR(VLOOKUP($B146,Totalt!$B$1:$AQ$554,MATCH(AG$2,Totalt!$B$1:$AQ$1,0),FALSE),"")</f>
        <v>0</v>
      </c>
      <c r="AI146" s="226">
        <f t="shared" si="12"/>
        <v>10.215999999999999</v>
      </c>
      <c r="AJ146" s="226">
        <f>IF(ISERROR(1/VLOOKUP($B146,Leveranser!$B$1:$S$500,MATCH("såld värme (gwh)",Leveranser!$B$1:$S$1,0),FALSE)),"",VLOOKUP($B146,Leveranser!$B$1:$S$500,MATCH("såld värme (gwh)",Leveranser!$B$1:$S$1,0),FALSE))</f>
        <v>8.3000000000000007</v>
      </c>
      <c r="AM146" s="227" t="str">
        <f>IF(B146&lt;&gt;"",IF(VLOOKUP($B146,Totalt!$B$1:$AQ$554,MATCH("Kvalitetsgranskad:",Totalt!$B$1:$AQ$1,0),FALSE)="ja",VLOOKUP($B146,Miljö!$B$1:$AG$479,MATCH(AM$2,Miljö!$B$1:$AK$1,0),FALSE),""),"")</f>
        <v>Ja</v>
      </c>
      <c r="AN146" s="227" t="str">
        <f>IF(AM146="ja",VLOOKUP($B146,Miljö!$B$1:$J$479,MATCH("Typ av ursprungsspecificerad el   (Om inget värde anges används Nordisk residualmix, se inforuta) ()",Miljö!$B$1:$J$1,0),FALSE),IF(AM146="nej","Nordisk residualel",""))</f>
        <v>'Lokal Vindel "Din El" GE'</v>
      </c>
      <c r="AO146" s="227">
        <f>IF(AM146="","",VLOOKUP($B146,Miljö!$B$1:$J$479,MATCH("Fossilandel för ursprungspecificerad el ()",Miljö!$B$1:$J$1,0),FALSE))</f>
        <v>0</v>
      </c>
      <c r="AP146" s="227">
        <f>IF(AM146="","",IFERROR(VLOOKUP($B146,Miljö!$B$1:$J$479,MATCH("Kärnkraftsandel för ursprungsspecificerad el ()",Miljö!$B$1:$J$1,0),FALSE)/1,0))</f>
        <v>0</v>
      </c>
      <c r="AQ146" s="227">
        <f t="shared" si="13"/>
        <v>1</v>
      </c>
      <c r="AR146" s="227"/>
      <c r="AS146" s="227" t="str">
        <f t="shared" si="14"/>
        <v>Nej</v>
      </c>
      <c r="AT146" s="227" t="str">
        <f>IF(AS146="ja",VLOOKUP($B146,Miljö!$B$1:$O$500,MATCH("Fossil andel i procent (%)",Miljö!$B$1:$O$1,0),FALSE)/100,"")</f>
        <v/>
      </c>
      <c r="AU146" s="227"/>
      <c r="AV146" s="227" t="str">
        <f t="shared" si="15"/>
        <v>Nej</v>
      </c>
      <c r="AW146" s="227" t="str">
        <f>IF(AV146="ja",VLOOKUP($B146,'Egen hetvattenprod'!$B$1:$AO$500,MATCH("Värmekälla till värmepumpar ()",'Egen hetvattenprod'!$B$1:$AO$1,0),FALSE),"")</f>
        <v/>
      </c>
      <c r="AX146" s="227"/>
      <c r="AY146" s="227" t="str">
        <f t="shared" si="16"/>
        <v>Nej</v>
      </c>
      <c r="AZ146" s="228" t="str">
        <f>IF($AY146="ja",(VLOOKUP($B146,'Egen hetvattenprod'!$B$1:$BX$550,MATCH(AZ$2,'Egen hetvattenprod'!$B$1:$BX$1,0),FALSE)+VLOOKUP($B146,Kraftvärmeprod!$B$1:$BX$550,MATCH(AZ$2,Kraftvärmeprod!$B$1:$BX$1,0),FALSE))/$AC146,"")</f>
        <v/>
      </c>
      <c r="BA146" s="228" t="str">
        <f>IF($AY146="ja",(VLOOKUP($B146,'Egen hetvattenprod'!$B$1:$BX$550,MATCH(BA$2,'Egen hetvattenprod'!$B$1:$BX$1,0),FALSE)+VLOOKUP($B146,Kraftvärmeprod!$B$1:$BX$550,MATCH(BA$2,Kraftvärmeprod!$B$1:$BX$1,0),FALSE))/$AC146,"")</f>
        <v/>
      </c>
      <c r="BB146" s="228" t="str">
        <f>IF($AY146="ja",(VLOOKUP($B146,'Egen hetvattenprod'!$B$1:$BX$550,MATCH(BB$2,'Egen hetvattenprod'!$B$1:$BX$1,0),FALSE)+VLOOKUP($B146,Kraftvärmeprod!$B$1:$BX$550,MATCH(BB$2,Kraftvärmeprod!$B$1:$BX$1,0),FALSE))/$AC146,"")</f>
        <v/>
      </c>
      <c r="BC146" s="228" t="str">
        <f>IF($AY146="ja",(VLOOKUP($B146,'Egen hetvattenprod'!$B$1:$BX$550,MATCH(BC$2,'Egen hetvattenprod'!$B$1:$BX$1,0),FALSE)+VLOOKUP($B146,Kraftvärmeprod!$B$1:$BX$550,MATCH(BC$2,Kraftvärmeprod!$B$1:$BX$1,0),FALSE))/$AC146,"")</f>
        <v/>
      </c>
      <c r="BD146" s="228" t="str">
        <f>IF($AY146="ja",(VLOOKUP($B146,'Egen hetvattenprod'!$B$1:$BX$550,MATCH(BD$2,'Egen hetvattenprod'!$B$1:$BX$1,0),FALSE)+VLOOKUP($B146,Kraftvärmeprod!$B$1:$BX$550,MATCH(BD$2,Kraftvärmeprod!$B$1:$BX$1,0),FALSE))/$AC146,"")</f>
        <v/>
      </c>
      <c r="BE146" s="227"/>
      <c r="BF146" s="227" t="str">
        <f t="shared" si="17"/>
        <v>Nej</v>
      </c>
      <c r="BG146" s="227" t="str">
        <f>IF($BF146="ja",VLOOKUP($B146,'Egen hetvattenprod'!$B$1:$BX$550,MATCH("Andelen klimatgaser med fossilt ursprung för avfall ()",'Egen hetvattenprod'!$B$1:$BX$1,0),FALSE),"")</f>
        <v/>
      </c>
      <c r="BH146" s="227" t="str">
        <f>IF($BF146="ja",VLOOKUP($B146,Kraftvärmeprod!$B$1:$BX$550,MATCH("Andelen klimatgaser med fossilt ursprung för avfall ()",Kraftvärmeprod!$B$1:$BX$1,0),FALSE),"")</f>
        <v/>
      </c>
      <c r="BI146" s="227" t="str">
        <f>IF($BF146="ja",VLOOKUP($B146,'Egen hetvattenprod'!$B$1:$BX$550,MATCH("Avfall (GWh)",'Egen hetvattenprod'!$B$1:$BX$1,0),FALSE),"")</f>
        <v/>
      </c>
      <c r="BJ146" s="227" t="str">
        <f>IF($BF146="ja",VLOOKUP($B146,'Slutlig allokering kvv'!$B$1:$BX$550,MATCH("Avfall (GWh)",'Slutlig allokering kvv'!$B$1:$BX$1,0),FALSE),"")</f>
        <v/>
      </c>
      <c r="BK146" s="227" t="str">
        <f>IF($BF146="ja",VLOOKUP($B146,'Köpt hetvatten'!$B$1:$BX$550,MATCH("Avfall i köpt hetvatten",'Köpt hetvatten'!$B$1:$BX$1,0),FALSE),"")</f>
        <v/>
      </c>
      <c r="BL146" s="227" t="str">
        <f>IF($BF146="ja",VLOOKUP($B146,'Egen hetvattenprod'!$B$1:$BX$550,MATCH("Värde enligt ovan. (%)",'Egen hetvattenprod'!$B$1:$BX$1,0),FALSE),"")</f>
        <v/>
      </c>
      <c r="BM146" s="227" t="str">
        <f>IF($BF146="ja",VLOOKUP($B146,Kraftvärmeprod!$B$1:$BX$550,MATCH("Värde enligt ovan. (%)",Kraftvärmeprod!$B$1:$BX$1,0),FALSE),"")</f>
        <v/>
      </c>
      <c r="BN146" s="227"/>
      <c r="BO146" s="227"/>
      <c r="BP146" s="227"/>
      <c r="BQ146" s="227" t="str">
        <f>IF($BF146="ja",VLOOKUP($B146,'Egen hetvattenprod'!$B$1:$BX$550,MATCH("Tillförd olja (fossil) vid avfallsförbränning (GWh)",'Egen hetvattenprod'!$B$1:$BX$1,0),FALSE),"")</f>
        <v/>
      </c>
      <c r="BR146" s="227" t="str">
        <f>IF($BF146="ja",VLOOKUP($B146,Kraftvärmeprod!$B$1:$BX$550,MATCH("Tillförd olja (fossil) vid avfallsförbränning (GWh)",Kraftvärmeprod!$B$1:$BX$1,0),FALSE),"")</f>
        <v/>
      </c>
      <c r="BS146" s="227"/>
      <c r="BT146" s="227"/>
      <c r="BU146" s="227"/>
    </row>
    <row r="147" spans="1:73" x14ac:dyDescent="0.25">
      <c r="A147" s="121" t="str">
        <f>'Miljövärden för publ företag'!B150</f>
        <v>Lerum Fjärrvärme AB</v>
      </c>
      <c r="B147" s="121" t="str">
        <f>'Miljövärden för publ företag'!C150</f>
        <v>Gråbo</v>
      </c>
      <c r="C147" s="173">
        <f>IFERROR(VLOOKUP($B147,Totalt!$B$1:$AQ$554,MATCH(C$2,Totalt!$B$1:$AQ$1,0),FALSE),"")</f>
        <v>0</v>
      </c>
      <c r="D147" s="173">
        <f>IFERROR(VLOOKUP($B147,Totalt!$B$1:$AQ$554,MATCH(D$2,Totalt!$B$1:$AQ$1,0),FALSE),"")</f>
        <v>0.67600000000000005</v>
      </c>
      <c r="E147" s="173">
        <f>IFERROR(VLOOKUP($B147,Totalt!$B$1:$AQ$554,MATCH(E$2,Totalt!$B$1:$AQ$1,0),FALSE),"")</f>
        <v>0</v>
      </c>
      <c r="F147" s="173">
        <f>IFERROR(VLOOKUP($B147,Totalt!$B$1:$AQ$554,MATCH(F$2,Totalt!$B$1:$AQ$1,0),FALSE),"")</f>
        <v>0</v>
      </c>
      <c r="G147" s="173">
        <f>IFERROR(VLOOKUP($B147,Totalt!$B$1:$AQ$554,MATCH(G$2,Totalt!$B$1:$AQ$1,0),FALSE),"")</f>
        <v>0</v>
      </c>
      <c r="H147" s="173">
        <f>IFERROR(VLOOKUP($B147,Totalt!$B$1:$AQ$554,MATCH(H$2,Totalt!$B$1:$AQ$1,0),FALSE),"")</f>
        <v>0</v>
      </c>
      <c r="I147" s="173">
        <f>IFERROR(VLOOKUP($B147,Totalt!$B$1:$AQ$554,MATCH(I$2,Totalt!$B$1:$AQ$1,0),FALSE),"")</f>
        <v>0</v>
      </c>
      <c r="J147" s="173">
        <f>IFERROR(VLOOKUP($B147,Totalt!$B$1:$AQ$554,MATCH(J$2,Totalt!$B$1:$AQ$1,0),FALSE),"")</f>
        <v>0</v>
      </c>
      <c r="K147" s="173">
        <f>IFERROR(VLOOKUP($B147,Totalt!$B$1:$AQ$554,MATCH(K$2,Totalt!$B$1:$AQ$1,0),FALSE),"")</f>
        <v>0</v>
      </c>
      <c r="L147" s="173">
        <f>IFERROR(VLOOKUP($B147,Totalt!$B$1:$AQ$554,MATCH(L$2,Totalt!$B$1:$AQ$1,0),FALSE),"")</f>
        <v>0</v>
      </c>
      <c r="M147" s="173">
        <f>IFERROR(VLOOKUP($B147,Totalt!$B$1:$AQ$554,MATCH(M$2,Totalt!$B$1:$AQ$1,0),FALSE),"")</f>
        <v>0</v>
      </c>
      <c r="N147" s="173">
        <f>IFERROR(VLOOKUP($B147,Totalt!$B$1:$AQ$554,MATCH(N$2,Totalt!$B$1:$AQ$1,0),FALSE),"")</f>
        <v>0</v>
      </c>
      <c r="O147" s="173">
        <f>IFERROR(VLOOKUP($B147,Totalt!$B$1:$AQ$554,MATCH(O$2,Totalt!$B$1:$AQ$1,0),FALSE),"")</f>
        <v>0</v>
      </c>
      <c r="P147" s="173">
        <f>IFERROR(VLOOKUP($B147,Totalt!$B$1:$AQ$554,MATCH(P$2,Totalt!$B$1:$AQ$1,0),FALSE),"")</f>
        <v>0</v>
      </c>
      <c r="Q147" s="173">
        <f>IFERROR(VLOOKUP($B147,Totalt!$B$1:$AQ$554,MATCH(Q$2,Totalt!$B$1:$AQ$1,0),FALSE),"")</f>
        <v>0</v>
      </c>
      <c r="R147" s="173">
        <f>IFERROR(VLOOKUP($B147,Totalt!$B$1:$AQ$554,MATCH(R$2,Totalt!$B$1:$AQ$1,0),FALSE),"")</f>
        <v>2.2999999999999998</v>
      </c>
      <c r="S147" s="173">
        <f>IFERROR(VLOOKUP($B147,Totalt!$B$1:$AQ$554,MATCH(S$2,Totalt!$B$1:$AQ$1,0),FALSE),"")</f>
        <v>9.1</v>
      </c>
      <c r="T147" s="173">
        <f>IFERROR(VLOOKUP($B147,Totalt!$B$1:$AQ$554,MATCH(T$2,Totalt!$B$1:$AQ$1,0),FALSE),"")</f>
        <v>0</v>
      </c>
      <c r="U147" s="173">
        <f>IFERROR(VLOOKUP($B147,Totalt!$B$1:$AQ$554,MATCH(U$2,Totalt!$B$1:$AQ$1,0),FALSE),"")</f>
        <v>0</v>
      </c>
      <c r="V147" s="173">
        <f>IFERROR(VLOOKUP($B147,Totalt!$B$1:$AQ$554,MATCH(V$2,Totalt!$B$1:$AQ$1,0),FALSE),"")</f>
        <v>0</v>
      </c>
      <c r="W147" s="173">
        <f>IFERROR(VLOOKUP($B147,Totalt!$B$1:$AQ$554,MATCH(W$2,Totalt!$B$1:$AQ$1,0),FALSE),"")</f>
        <v>0</v>
      </c>
      <c r="X147" s="173">
        <f>IFERROR(VLOOKUP($B147,Totalt!$B$1:$AQ$554,MATCH(X$2,Totalt!$B$1:$AQ$1,0),FALSE),"")</f>
        <v>0</v>
      </c>
      <c r="Y147" s="173">
        <f>IFERROR(VLOOKUP($B147,Totalt!$B$1:$AQ$554,MATCH(Y$2,Totalt!$B$1:$AQ$1,0),FALSE),"")</f>
        <v>0</v>
      </c>
      <c r="Z147" s="173">
        <f>IFERROR(VLOOKUP($B147,Totalt!$B$1:$AQ$554,MATCH(Z$2,Totalt!$B$1:$AQ$1,0),FALSE),"")</f>
        <v>0</v>
      </c>
      <c r="AA147" s="173">
        <f>IFERROR(VLOOKUP($B147,Totalt!$B$1:$AQ$554,MATCH(AA$2,Totalt!$B$1:$AQ$1,0),FALSE),"")</f>
        <v>0</v>
      </c>
      <c r="AB147" s="173">
        <f>IFERROR(VLOOKUP($B147,Totalt!$B$1:$AQ$554,MATCH(AB$2,Totalt!$B$1:$AQ$1,0),FALSE),"")</f>
        <v>0</v>
      </c>
      <c r="AC147" s="173">
        <f>IFERROR(VLOOKUP($B147,Totalt!$B$1:$AQ$554,MATCH(AC$2,Totalt!$B$1:$AQ$1,0),FALSE),"")</f>
        <v>0</v>
      </c>
      <c r="AD147" s="173">
        <f>IFERROR(VLOOKUP($B147,Totalt!$B$1:$AQ$554,MATCH(AD$2,Totalt!$B$1:$AQ$1,0),FALSE),"")</f>
        <v>0</v>
      </c>
      <c r="AE147" s="173">
        <f>IFERROR(VLOOKUP($B147,Totalt!$B$1:$AQ$554,MATCH(AE$2,Totalt!$B$1:$AQ$1,0),FALSE),"")</f>
        <v>0</v>
      </c>
      <c r="AF147" s="173">
        <f>IFERROR(VLOOKUP($B147,Totalt!$B$1:$AQ$554,MATCH(AF$2,Totalt!$B$1:$AQ$1,0),FALSE),"")</f>
        <v>0.23599999999999999</v>
      </c>
      <c r="AG147" s="173">
        <f>IFERROR(VLOOKUP($B147,Totalt!$B$1:$AQ$554,MATCH(AG$2,Totalt!$B$1:$AQ$1,0),FALSE),"")</f>
        <v>0</v>
      </c>
      <c r="AI147" s="226">
        <f t="shared" si="12"/>
        <v>12.312000000000001</v>
      </c>
      <c r="AJ147" s="226">
        <f>IF(ISERROR(1/VLOOKUP($B147,Leveranser!$B$1:$S$500,MATCH("såld värme (gwh)",Leveranser!$B$1:$S$1,0),FALSE)),"",VLOOKUP($B147,Leveranser!$B$1:$S$500,MATCH("såld värme (gwh)",Leveranser!$B$1:$S$1,0),FALSE))</f>
        <v>10.7</v>
      </c>
      <c r="AM147" s="227" t="str">
        <f>IF(B147&lt;&gt;"",IF(VLOOKUP($B147,Totalt!$B$1:$AQ$554,MATCH("Kvalitetsgranskad:",Totalt!$B$1:$AQ$1,0),FALSE)="ja",VLOOKUP($B147,Miljö!$B$1:$AG$479,MATCH(AM$2,Miljö!$B$1:$AK$1,0),FALSE),""),"")</f>
        <v>Ja</v>
      </c>
      <c r="AN147" s="227" t="str">
        <f>IF(AM147="ja",VLOOKUP($B147,Miljö!$B$1:$J$479,MATCH("Typ av ursprungsspecificerad el   (Om inget värde anges används Nordisk residualmix, se inforuta) ()",Miljö!$B$1:$J$1,0),FALSE),IF(AM147="nej","Nordisk residualel",""))</f>
        <v>'Lokal Vindel från GE'</v>
      </c>
      <c r="AO147" s="227">
        <f>IF(AM147="","",VLOOKUP($B147,Miljö!$B$1:$J$479,MATCH("Fossilandel för ursprungspecificerad el ()",Miljö!$B$1:$J$1,0),FALSE))</f>
        <v>0</v>
      </c>
      <c r="AP147" s="227">
        <f>IF(AM147="","",IFERROR(VLOOKUP($B147,Miljö!$B$1:$J$479,MATCH("Kärnkraftsandel för ursprungsspecificerad el ()",Miljö!$B$1:$J$1,0),FALSE)/1,0))</f>
        <v>0</v>
      </c>
      <c r="AQ147" s="227">
        <f t="shared" si="13"/>
        <v>1</v>
      </c>
      <c r="AR147" s="227"/>
      <c r="AS147" s="227" t="str">
        <f t="shared" si="14"/>
        <v>Nej</v>
      </c>
      <c r="AT147" s="227" t="str">
        <f>IF(AS147="ja",VLOOKUP($B147,Miljö!$B$1:$O$500,MATCH("Fossil andel i procent (%)",Miljö!$B$1:$O$1,0),FALSE)/100,"")</f>
        <v/>
      </c>
      <c r="AU147" s="227"/>
      <c r="AV147" s="227" t="str">
        <f t="shared" si="15"/>
        <v>Nej</v>
      </c>
      <c r="AW147" s="227" t="str">
        <f>IF(AV147="ja",VLOOKUP($B147,'Egen hetvattenprod'!$B$1:$AO$500,MATCH("Värmekälla till värmepumpar ()",'Egen hetvattenprod'!$B$1:$AO$1,0),FALSE),"")</f>
        <v/>
      </c>
      <c r="AX147" s="227"/>
      <c r="AY147" s="227" t="str">
        <f t="shared" si="16"/>
        <v>Nej</v>
      </c>
      <c r="AZ147" s="228" t="str">
        <f>IF($AY147="ja",(VLOOKUP($B147,'Egen hetvattenprod'!$B$1:$BX$550,MATCH(AZ$2,'Egen hetvattenprod'!$B$1:$BX$1,0),FALSE)+VLOOKUP($B147,Kraftvärmeprod!$B$1:$BX$550,MATCH(AZ$2,Kraftvärmeprod!$B$1:$BX$1,0),FALSE))/$AC147,"")</f>
        <v/>
      </c>
      <c r="BA147" s="228" t="str">
        <f>IF($AY147="ja",(VLOOKUP($B147,'Egen hetvattenprod'!$B$1:$BX$550,MATCH(BA$2,'Egen hetvattenprod'!$B$1:$BX$1,0),FALSE)+VLOOKUP($B147,Kraftvärmeprod!$B$1:$BX$550,MATCH(BA$2,Kraftvärmeprod!$B$1:$BX$1,0),FALSE))/$AC147,"")</f>
        <v/>
      </c>
      <c r="BB147" s="228" t="str">
        <f>IF($AY147="ja",(VLOOKUP($B147,'Egen hetvattenprod'!$B$1:$BX$550,MATCH(BB$2,'Egen hetvattenprod'!$B$1:$BX$1,0),FALSE)+VLOOKUP($B147,Kraftvärmeprod!$B$1:$BX$550,MATCH(BB$2,Kraftvärmeprod!$B$1:$BX$1,0),FALSE))/$AC147,"")</f>
        <v/>
      </c>
      <c r="BC147" s="228" t="str">
        <f>IF($AY147="ja",(VLOOKUP($B147,'Egen hetvattenprod'!$B$1:$BX$550,MATCH(BC$2,'Egen hetvattenprod'!$B$1:$BX$1,0),FALSE)+VLOOKUP($B147,Kraftvärmeprod!$B$1:$BX$550,MATCH(BC$2,Kraftvärmeprod!$B$1:$BX$1,0),FALSE))/$AC147,"")</f>
        <v/>
      </c>
      <c r="BD147" s="228" t="str">
        <f>IF($AY147="ja",(VLOOKUP($B147,'Egen hetvattenprod'!$B$1:$BX$550,MATCH(BD$2,'Egen hetvattenprod'!$B$1:$BX$1,0),FALSE)+VLOOKUP($B147,Kraftvärmeprod!$B$1:$BX$550,MATCH(BD$2,Kraftvärmeprod!$B$1:$BX$1,0),FALSE))/$AC147,"")</f>
        <v/>
      </c>
      <c r="BE147" s="227"/>
      <c r="BF147" s="227" t="str">
        <f t="shared" si="17"/>
        <v>Nej</v>
      </c>
      <c r="BG147" s="227" t="str">
        <f>IF($BF147="ja",VLOOKUP($B147,'Egen hetvattenprod'!$B$1:$BX$550,MATCH("Andelen klimatgaser med fossilt ursprung för avfall ()",'Egen hetvattenprod'!$B$1:$BX$1,0),FALSE),"")</f>
        <v/>
      </c>
      <c r="BH147" s="227" t="str">
        <f>IF($BF147="ja",VLOOKUP($B147,Kraftvärmeprod!$B$1:$BX$550,MATCH("Andelen klimatgaser med fossilt ursprung för avfall ()",Kraftvärmeprod!$B$1:$BX$1,0),FALSE),"")</f>
        <v/>
      </c>
      <c r="BI147" s="227" t="str">
        <f>IF($BF147="ja",VLOOKUP($B147,'Egen hetvattenprod'!$B$1:$BX$550,MATCH("Avfall (GWh)",'Egen hetvattenprod'!$B$1:$BX$1,0),FALSE),"")</f>
        <v/>
      </c>
      <c r="BJ147" s="227" t="str">
        <f>IF($BF147="ja",VLOOKUP($B147,'Slutlig allokering kvv'!$B$1:$BX$550,MATCH("Avfall (GWh)",'Slutlig allokering kvv'!$B$1:$BX$1,0),FALSE),"")</f>
        <v/>
      </c>
      <c r="BK147" s="227" t="str">
        <f>IF($BF147="ja",VLOOKUP($B147,'Köpt hetvatten'!$B$1:$BX$550,MATCH("Avfall i köpt hetvatten",'Köpt hetvatten'!$B$1:$BX$1,0),FALSE),"")</f>
        <v/>
      </c>
      <c r="BL147" s="227" t="str">
        <f>IF($BF147="ja",VLOOKUP($B147,'Egen hetvattenprod'!$B$1:$BX$550,MATCH("Värde enligt ovan. (%)",'Egen hetvattenprod'!$B$1:$BX$1,0),FALSE),"")</f>
        <v/>
      </c>
      <c r="BM147" s="227" t="str">
        <f>IF($BF147="ja",VLOOKUP($B147,Kraftvärmeprod!$B$1:$BX$550,MATCH("Värde enligt ovan. (%)",Kraftvärmeprod!$B$1:$BX$1,0),FALSE),"")</f>
        <v/>
      </c>
      <c r="BN147" s="227"/>
      <c r="BO147" s="227"/>
      <c r="BP147" s="227"/>
      <c r="BQ147" s="227" t="str">
        <f>IF($BF147="ja",VLOOKUP($B147,'Egen hetvattenprod'!$B$1:$BX$550,MATCH("Tillförd olja (fossil) vid avfallsförbränning (GWh)",'Egen hetvattenprod'!$B$1:$BX$1,0),FALSE),"")</f>
        <v/>
      </c>
      <c r="BR147" s="227" t="str">
        <f>IF($BF147="ja",VLOOKUP($B147,Kraftvärmeprod!$B$1:$BX$550,MATCH("Tillförd olja (fossil) vid avfallsförbränning (GWh)",Kraftvärmeprod!$B$1:$BX$1,0),FALSE),"")</f>
        <v/>
      </c>
      <c r="BS147" s="227"/>
      <c r="BT147" s="227"/>
      <c r="BU147" s="227"/>
    </row>
    <row r="148" spans="1:73" x14ac:dyDescent="0.25">
      <c r="A148" s="121" t="str">
        <f>'Miljövärden för publ företag'!B151</f>
        <v>Lerum Fjärrvärme AB</v>
      </c>
      <c r="B148" s="121" t="str">
        <f>'Miljövärden för publ företag'!C151</f>
        <v>Lerum</v>
      </c>
      <c r="C148" s="173">
        <f>IFERROR(VLOOKUP($B148,Totalt!$B$1:$AQ$554,MATCH(C$2,Totalt!$B$1:$AQ$1,0),FALSE),"")</f>
        <v>0</v>
      </c>
      <c r="D148" s="173">
        <f>IFERROR(VLOOKUP($B148,Totalt!$B$1:$AQ$554,MATCH(D$2,Totalt!$B$1:$AQ$1,0),FALSE),"")</f>
        <v>7.0000000000000007E-2</v>
      </c>
      <c r="E148" s="173">
        <f>IFERROR(VLOOKUP($B148,Totalt!$B$1:$AQ$554,MATCH(E$2,Totalt!$B$1:$AQ$1,0),FALSE),"")</f>
        <v>0</v>
      </c>
      <c r="F148" s="173">
        <f>IFERROR(VLOOKUP($B148,Totalt!$B$1:$AQ$554,MATCH(F$2,Totalt!$B$1:$AQ$1,0),FALSE),"")</f>
        <v>0</v>
      </c>
      <c r="G148" s="173">
        <f>IFERROR(VLOOKUP($B148,Totalt!$B$1:$AQ$554,MATCH(G$2,Totalt!$B$1:$AQ$1,0),FALSE),"")</f>
        <v>0</v>
      </c>
      <c r="H148" s="173">
        <f>IFERROR(VLOOKUP($B148,Totalt!$B$1:$AQ$554,MATCH(H$2,Totalt!$B$1:$AQ$1,0),FALSE),"")</f>
        <v>0</v>
      </c>
      <c r="I148" s="173">
        <f>IFERROR(VLOOKUP($B148,Totalt!$B$1:$AQ$554,MATCH(I$2,Totalt!$B$1:$AQ$1,0),FALSE),"")</f>
        <v>0</v>
      </c>
      <c r="J148" s="173">
        <f>IFERROR(VLOOKUP($B148,Totalt!$B$1:$AQ$554,MATCH(J$2,Totalt!$B$1:$AQ$1,0),FALSE),"")</f>
        <v>0</v>
      </c>
      <c r="K148" s="173">
        <f>IFERROR(VLOOKUP($B148,Totalt!$B$1:$AQ$554,MATCH(K$2,Totalt!$B$1:$AQ$1,0),FALSE),"")</f>
        <v>0</v>
      </c>
      <c r="L148" s="173">
        <f>IFERROR(VLOOKUP($B148,Totalt!$B$1:$AQ$554,MATCH(L$2,Totalt!$B$1:$AQ$1,0),FALSE),"")</f>
        <v>0</v>
      </c>
      <c r="M148" s="173">
        <f>IFERROR(VLOOKUP($B148,Totalt!$B$1:$AQ$554,MATCH(M$2,Totalt!$B$1:$AQ$1,0),FALSE),"")</f>
        <v>0</v>
      </c>
      <c r="N148" s="173">
        <f>IFERROR(VLOOKUP($B148,Totalt!$B$1:$AQ$554,MATCH(N$2,Totalt!$B$1:$AQ$1,0),FALSE),"")</f>
        <v>0</v>
      </c>
      <c r="O148" s="173">
        <f>IFERROR(VLOOKUP($B148,Totalt!$B$1:$AQ$554,MATCH(O$2,Totalt!$B$1:$AQ$1,0),FALSE),"")</f>
        <v>0</v>
      </c>
      <c r="P148" s="173">
        <f>IFERROR(VLOOKUP($B148,Totalt!$B$1:$AQ$554,MATCH(P$2,Totalt!$B$1:$AQ$1,0),FALSE),"")</f>
        <v>16.399999999999999</v>
      </c>
      <c r="Q148" s="173">
        <f>IFERROR(VLOOKUP($B148,Totalt!$B$1:$AQ$554,MATCH(Q$2,Totalt!$B$1:$AQ$1,0),FALSE),"")</f>
        <v>0</v>
      </c>
      <c r="R148" s="173">
        <f>IFERROR(VLOOKUP($B148,Totalt!$B$1:$AQ$554,MATCH(R$2,Totalt!$B$1:$AQ$1,0),FALSE),"")</f>
        <v>12.8</v>
      </c>
      <c r="S148" s="173">
        <f>IFERROR(VLOOKUP($B148,Totalt!$B$1:$AQ$554,MATCH(S$2,Totalt!$B$1:$AQ$1,0),FALSE),"")</f>
        <v>0</v>
      </c>
      <c r="T148" s="173">
        <f>IFERROR(VLOOKUP($B148,Totalt!$B$1:$AQ$554,MATCH(T$2,Totalt!$B$1:$AQ$1,0),FALSE),"")</f>
        <v>0</v>
      </c>
      <c r="U148" s="173">
        <f>IFERROR(VLOOKUP($B148,Totalt!$B$1:$AQ$554,MATCH(U$2,Totalt!$B$1:$AQ$1,0),FALSE),"")</f>
        <v>6</v>
      </c>
      <c r="V148" s="173">
        <f>IFERROR(VLOOKUP($B148,Totalt!$B$1:$AQ$554,MATCH(V$2,Totalt!$B$1:$AQ$1,0),FALSE),"")</f>
        <v>0</v>
      </c>
      <c r="W148" s="173">
        <f>IFERROR(VLOOKUP($B148,Totalt!$B$1:$AQ$554,MATCH(W$2,Totalt!$B$1:$AQ$1,0),FALSE),"")</f>
        <v>0</v>
      </c>
      <c r="X148" s="173">
        <f>IFERROR(VLOOKUP($B148,Totalt!$B$1:$AQ$554,MATCH(X$2,Totalt!$B$1:$AQ$1,0),FALSE),"")</f>
        <v>0</v>
      </c>
      <c r="Y148" s="173">
        <f>IFERROR(VLOOKUP($B148,Totalt!$B$1:$AQ$554,MATCH(Y$2,Totalt!$B$1:$AQ$1,0),FALSE),"")</f>
        <v>0</v>
      </c>
      <c r="Z148" s="173">
        <f>IFERROR(VLOOKUP($B148,Totalt!$B$1:$AQ$554,MATCH(Z$2,Totalt!$B$1:$AQ$1,0),FALSE),"")</f>
        <v>0</v>
      </c>
      <c r="AA148" s="173">
        <f>IFERROR(VLOOKUP($B148,Totalt!$B$1:$AQ$554,MATCH(AA$2,Totalt!$B$1:$AQ$1,0),FALSE),"")</f>
        <v>0</v>
      </c>
      <c r="AB148" s="173">
        <f>IFERROR(VLOOKUP($B148,Totalt!$B$1:$AQ$554,MATCH(AB$2,Totalt!$B$1:$AQ$1,0),FALSE),"")</f>
        <v>0</v>
      </c>
      <c r="AC148" s="173">
        <f>IFERROR(VLOOKUP($B148,Totalt!$B$1:$AQ$554,MATCH(AC$2,Totalt!$B$1:$AQ$1,0),FALSE),"")</f>
        <v>1.5</v>
      </c>
      <c r="AD148" s="173">
        <f>IFERROR(VLOOKUP($B148,Totalt!$B$1:$AQ$554,MATCH(AD$2,Totalt!$B$1:$AQ$1,0),FALSE),"")</f>
        <v>0</v>
      </c>
      <c r="AE148" s="173">
        <f>IFERROR(VLOOKUP($B148,Totalt!$B$1:$AQ$554,MATCH(AE$2,Totalt!$B$1:$AQ$1,0),FALSE),"")</f>
        <v>0</v>
      </c>
      <c r="AF148" s="173">
        <f>IFERROR(VLOOKUP($B148,Totalt!$B$1:$AQ$554,MATCH(AF$2,Totalt!$B$1:$AQ$1,0),FALSE),"")</f>
        <v>0.55000000000000004</v>
      </c>
      <c r="AG148" s="173">
        <f>IFERROR(VLOOKUP($B148,Totalt!$B$1:$AQ$554,MATCH(AG$2,Totalt!$B$1:$AQ$1,0),FALSE),"")</f>
        <v>0</v>
      </c>
      <c r="AI148" s="226">
        <f t="shared" si="12"/>
        <v>37.319999999999993</v>
      </c>
      <c r="AJ148" s="226">
        <f>IF(ISERROR(1/VLOOKUP($B148,Leveranser!$B$1:$S$500,MATCH("såld värme (gwh)",Leveranser!$B$1:$S$1,0),FALSE)),"",VLOOKUP($B148,Leveranser!$B$1:$S$500,MATCH("såld värme (gwh)",Leveranser!$B$1:$S$1,0),FALSE))</f>
        <v>29</v>
      </c>
      <c r="AM148" s="227" t="str">
        <f>IF(B148&lt;&gt;"",IF(VLOOKUP($B148,Totalt!$B$1:$AQ$554,MATCH("Kvalitetsgranskad:",Totalt!$B$1:$AQ$1,0),FALSE)="ja",VLOOKUP($B148,Miljö!$B$1:$AG$479,MATCH(AM$2,Miljö!$B$1:$AK$1,0),FALSE),""),"")</f>
        <v>Ja</v>
      </c>
      <c r="AN148" s="227" t="str">
        <f>IF(AM148="ja",VLOOKUP($B148,Miljö!$B$1:$J$479,MATCH("Typ av ursprungsspecificerad el   (Om inget värde anges används Nordisk residualmix, se inforuta) ()",Miljö!$B$1:$J$1,0),FALSE),IF(AM148="nej","Nordisk residualel",""))</f>
        <v>'Lokal Vindel Din El GE'</v>
      </c>
      <c r="AO148" s="227">
        <f>IF(AM148="","",VLOOKUP($B148,Miljö!$B$1:$J$479,MATCH("Fossilandel för ursprungspecificerad el ()",Miljö!$B$1:$J$1,0),FALSE))</f>
        <v>0</v>
      </c>
      <c r="AP148" s="227">
        <f>IF(AM148="","",IFERROR(VLOOKUP($B148,Miljö!$B$1:$J$479,MATCH("Kärnkraftsandel för ursprungsspecificerad el ()",Miljö!$B$1:$J$1,0),FALSE)/1,0))</f>
        <v>0</v>
      </c>
      <c r="AQ148" s="227">
        <f t="shared" si="13"/>
        <v>1</v>
      </c>
      <c r="AR148" s="227"/>
      <c r="AS148" s="227" t="str">
        <f t="shared" si="14"/>
        <v>Nej</v>
      </c>
      <c r="AT148" s="227" t="str">
        <f>IF(AS148="ja",VLOOKUP($B148,Miljö!$B$1:$O$500,MATCH("Fossil andel i procent (%)",Miljö!$B$1:$O$1,0),FALSE)/100,"")</f>
        <v/>
      </c>
      <c r="AU148" s="227"/>
      <c r="AV148" s="227" t="str">
        <f t="shared" si="15"/>
        <v>Nej</v>
      </c>
      <c r="AW148" s="227" t="str">
        <f>IF(AV148="ja",VLOOKUP($B148,'Egen hetvattenprod'!$B$1:$AO$500,MATCH("Värmekälla till värmepumpar ()",'Egen hetvattenprod'!$B$1:$AO$1,0),FALSE),"")</f>
        <v/>
      </c>
      <c r="AX148" s="227"/>
      <c r="AY148" s="227" t="str">
        <f t="shared" si="16"/>
        <v>Ja</v>
      </c>
      <c r="AZ148" s="228">
        <f>IF($AY148="ja",(VLOOKUP($B148,'Egen hetvattenprod'!$B$1:$BX$550,MATCH(AZ$2,'Egen hetvattenprod'!$B$1:$BX$1,0),FALSE)+VLOOKUP($B148,Kraftvärmeprod!$B$1:$BX$550,MATCH(AZ$2,Kraftvärmeprod!$B$1:$BX$1,0),FALSE))/$AC148,"")</f>
        <v>1</v>
      </c>
      <c r="BA148" s="228">
        <f>IF($AY148="ja",(VLOOKUP($B148,'Egen hetvattenprod'!$B$1:$BX$550,MATCH(BA$2,'Egen hetvattenprod'!$B$1:$BX$1,0),FALSE)+VLOOKUP($B148,Kraftvärmeprod!$B$1:$BX$550,MATCH(BA$2,Kraftvärmeprod!$B$1:$BX$1,0),FALSE))/$AC148,"")</f>
        <v>0</v>
      </c>
      <c r="BB148" s="228">
        <f>IF($AY148="ja",(VLOOKUP($B148,'Egen hetvattenprod'!$B$1:$BX$550,MATCH(BB$2,'Egen hetvattenprod'!$B$1:$BX$1,0),FALSE)+VLOOKUP($B148,Kraftvärmeprod!$B$1:$BX$550,MATCH(BB$2,Kraftvärmeprod!$B$1:$BX$1,0),FALSE))/$AC148,"")</f>
        <v>0</v>
      </c>
      <c r="BC148" s="228">
        <f>IF($AY148="ja",(VLOOKUP($B148,'Egen hetvattenprod'!$B$1:$BX$550,MATCH(BC$2,'Egen hetvattenprod'!$B$1:$BX$1,0),FALSE)+VLOOKUP($B148,Kraftvärmeprod!$B$1:$BX$550,MATCH(BC$2,Kraftvärmeprod!$B$1:$BX$1,0),FALSE))/$AC148,"")</f>
        <v>0</v>
      </c>
      <c r="BD148" s="228">
        <f>IF($AY148="ja",(VLOOKUP($B148,'Egen hetvattenprod'!$B$1:$BX$550,MATCH(BD$2,'Egen hetvattenprod'!$B$1:$BX$1,0),FALSE)+VLOOKUP($B148,Kraftvärmeprod!$B$1:$BX$550,MATCH(BD$2,Kraftvärmeprod!$B$1:$BX$1,0),FALSE))/$AC148,"")</f>
        <v>0</v>
      </c>
      <c r="BE148" s="227"/>
      <c r="BF148" s="227" t="str">
        <f t="shared" si="17"/>
        <v>Nej</v>
      </c>
      <c r="BG148" s="227" t="str">
        <f>IF($BF148="ja",VLOOKUP($B148,'Egen hetvattenprod'!$B$1:$BX$550,MATCH("Andelen klimatgaser med fossilt ursprung för avfall ()",'Egen hetvattenprod'!$B$1:$BX$1,0),FALSE),"")</f>
        <v/>
      </c>
      <c r="BH148" s="227" t="str">
        <f>IF($BF148="ja",VLOOKUP($B148,Kraftvärmeprod!$B$1:$BX$550,MATCH("Andelen klimatgaser med fossilt ursprung för avfall ()",Kraftvärmeprod!$B$1:$BX$1,0),FALSE),"")</f>
        <v/>
      </c>
      <c r="BI148" s="227" t="str">
        <f>IF($BF148="ja",VLOOKUP($B148,'Egen hetvattenprod'!$B$1:$BX$550,MATCH("Avfall (GWh)",'Egen hetvattenprod'!$B$1:$BX$1,0),FALSE),"")</f>
        <v/>
      </c>
      <c r="BJ148" s="227" t="str">
        <f>IF($BF148="ja",VLOOKUP($B148,'Slutlig allokering kvv'!$B$1:$BX$550,MATCH("Avfall (GWh)",'Slutlig allokering kvv'!$B$1:$BX$1,0),FALSE),"")</f>
        <v/>
      </c>
      <c r="BK148" s="227" t="str">
        <f>IF($BF148="ja",VLOOKUP($B148,'Köpt hetvatten'!$B$1:$BX$550,MATCH("Avfall i köpt hetvatten",'Köpt hetvatten'!$B$1:$BX$1,0),FALSE),"")</f>
        <v/>
      </c>
      <c r="BL148" s="227" t="str">
        <f>IF($BF148="ja",VLOOKUP($B148,'Egen hetvattenprod'!$B$1:$BX$550,MATCH("Värde enligt ovan. (%)",'Egen hetvattenprod'!$B$1:$BX$1,0),FALSE),"")</f>
        <v/>
      </c>
      <c r="BM148" s="227" t="str">
        <f>IF($BF148="ja",VLOOKUP($B148,Kraftvärmeprod!$B$1:$BX$550,MATCH("Värde enligt ovan. (%)",Kraftvärmeprod!$B$1:$BX$1,0),FALSE),"")</f>
        <v/>
      </c>
      <c r="BN148" s="227"/>
      <c r="BO148" s="227"/>
      <c r="BP148" s="227"/>
      <c r="BQ148" s="227" t="str">
        <f>IF($BF148="ja",VLOOKUP($B148,'Egen hetvattenprod'!$B$1:$BX$550,MATCH("Tillförd olja (fossil) vid avfallsförbränning (GWh)",'Egen hetvattenprod'!$B$1:$BX$1,0),FALSE),"")</f>
        <v/>
      </c>
      <c r="BR148" s="227" t="str">
        <f>IF($BF148="ja",VLOOKUP($B148,Kraftvärmeprod!$B$1:$BX$550,MATCH("Tillförd olja (fossil) vid avfallsförbränning (GWh)",Kraftvärmeprod!$B$1:$BX$1,0),FALSE),"")</f>
        <v/>
      </c>
      <c r="BS148" s="227"/>
      <c r="BT148" s="227"/>
      <c r="BU148" s="227"/>
    </row>
    <row r="149" spans="1:73" x14ac:dyDescent="0.25">
      <c r="A149" s="121" t="str">
        <f>'Miljövärden för publ företag'!B152</f>
        <v>Lerum Fjärrvärme AB</v>
      </c>
      <c r="B149" s="121" t="str">
        <f>'Miljövärden för publ företag'!C152</f>
        <v>Stenkullen</v>
      </c>
      <c r="C149" s="173">
        <f>IFERROR(VLOOKUP($B149,Totalt!$B$1:$AQ$554,MATCH(C$2,Totalt!$B$1:$AQ$1,0),FALSE),"")</f>
        <v>0</v>
      </c>
      <c r="D149" s="173">
        <f>IFERROR(VLOOKUP($B149,Totalt!$B$1:$AQ$554,MATCH(D$2,Totalt!$B$1:$AQ$1,0),FALSE),"")</f>
        <v>0.124</v>
      </c>
      <c r="E149" s="173">
        <f>IFERROR(VLOOKUP($B149,Totalt!$B$1:$AQ$554,MATCH(E$2,Totalt!$B$1:$AQ$1,0),FALSE),"")</f>
        <v>0</v>
      </c>
      <c r="F149" s="173">
        <f>IFERROR(VLOOKUP($B149,Totalt!$B$1:$AQ$554,MATCH(F$2,Totalt!$B$1:$AQ$1,0),FALSE),"")</f>
        <v>0</v>
      </c>
      <c r="G149" s="173">
        <f>IFERROR(VLOOKUP($B149,Totalt!$B$1:$AQ$554,MATCH(G$2,Totalt!$B$1:$AQ$1,0),FALSE),"")</f>
        <v>0</v>
      </c>
      <c r="H149" s="173">
        <f>IFERROR(VLOOKUP($B149,Totalt!$B$1:$AQ$554,MATCH(H$2,Totalt!$B$1:$AQ$1,0),FALSE),"")</f>
        <v>0</v>
      </c>
      <c r="I149" s="173">
        <f>IFERROR(VLOOKUP($B149,Totalt!$B$1:$AQ$554,MATCH(I$2,Totalt!$B$1:$AQ$1,0),FALSE),"")</f>
        <v>0</v>
      </c>
      <c r="J149" s="173">
        <f>IFERROR(VLOOKUP($B149,Totalt!$B$1:$AQ$554,MATCH(J$2,Totalt!$B$1:$AQ$1,0),FALSE),"")</f>
        <v>0</v>
      </c>
      <c r="K149" s="173">
        <f>IFERROR(VLOOKUP($B149,Totalt!$B$1:$AQ$554,MATCH(K$2,Totalt!$B$1:$AQ$1,0),FALSE),"")</f>
        <v>0</v>
      </c>
      <c r="L149" s="173">
        <f>IFERROR(VLOOKUP($B149,Totalt!$B$1:$AQ$554,MATCH(L$2,Totalt!$B$1:$AQ$1,0),FALSE),"")</f>
        <v>0</v>
      </c>
      <c r="M149" s="173">
        <f>IFERROR(VLOOKUP($B149,Totalt!$B$1:$AQ$554,MATCH(M$2,Totalt!$B$1:$AQ$1,0),FALSE),"")</f>
        <v>0</v>
      </c>
      <c r="N149" s="173">
        <f>IFERROR(VLOOKUP($B149,Totalt!$B$1:$AQ$554,MATCH(N$2,Totalt!$B$1:$AQ$1,0),FALSE),"")</f>
        <v>0</v>
      </c>
      <c r="O149" s="173">
        <f>IFERROR(VLOOKUP($B149,Totalt!$B$1:$AQ$554,MATCH(O$2,Totalt!$B$1:$AQ$1,0),FALSE),"")</f>
        <v>0</v>
      </c>
      <c r="P149" s="173">
        <f>IFERROR(VLOOKUP($B149,Totalt!$B$1:$AQ$554,MATCH(P$2,Totalt!$B$1:$AQ$1,0),FALSE),"")</f>
        <v>0</v>
      </c>
      <c r="Q149" s="173">
        <f>IFERROR(VLOOKUP($B149,Totalt!$B$1:$AQ$554,MATCH(Q$2,Totalt!$B$1:$AQ$1,0),FALSE),"")</f>
        <v>0</v>
      </c>
      <c r="R149" s="173">
        <f>IFERROR(VLOOKUP($B149,Totalt!$B$1:$AQ$554,MATCH(R$2,Totalt!$B$1:$AQ$1,0),FALSE),"")</f>
        <v>3.4</v>
      </c>
      <c r="S149" s="173">
        <f>IFERROR(VLOOKUP($B149,Totalt!$B$1:$AQ$554,MATCH(S$2,Totalt!$B$1:$AQ$1,0),FALSE),"")</f>
        <v>0</v>
      </c>
      <c r="T149" s="173">
        <f>IFERROR(VLOOKUP($B149,Totalt!$B$1:$AQ$554,MATCH(T$2,Totalt!$B$1:$AQ$1,0),FALSE),"")</f>
        <v>0</v>
      </c>
      <c r="U149" s="173">
        <f>IFERROR(VLOOKUP($B149,Totalt!$B$1:$AQ$554,MATCH(U$2,Totalt!$B$1:$AQ$1,0),FALSE),"")</f>
        <v>0</v>
      </c>
      <c r="V149" s="173">
        <f>IFERROR(VLOOKUP($B149,Totalt!$B$1:$AQ$554,MATCH(V$2,Totalt!$B$1:$AQ$1,0),FALSE),"")</f>
        <v>0</v>
      </c>
      <c r="W149" s="173">
        <f>IFERROR(VLOOKUP($B149,Totalt!$B$1:$AQ$554,MATCH(W$2,Totalt!$B$1:$AQ$1,0),FALSE),"")</f>
        <v>0</v>
      </c>
      <c r="X149" s="173">
        <f>IFERROR(VLOOKUP($B149,Totalt!$B$1:$AQ$554,MATCH(X$2,Totalt!$B$1:$AQ$1,0),FALSE),"")</f>
        <v>0</v>
      </c>
      <c r="Y149" s="173">
        <f>IFERROR(VLOOKUP($B149,Totalt!$B$1:$AQ$554,MATCH(Y$2,Totalt!$B$1:$AQ$1,0),FALSE),"")</f>
        <v>0</v>
      </c>
      <c r="Z149" s="173">
        <f>IFERROR(VLOOKUP($B149,Totalt!$B$1:$AQ$554,MATCH(Z$2,Totalt!$B$1:$AQ$1,0),FALSE),"")</f>
        <v>0</v>
      </c>
      <c r="AA149" s="173">
        <f>IFERROR(VLOOKUP($B149,Totalt!$B$1:$AQ$554,MATCH(AA$2,Totalt!$B$1:$AQ$1,0),FALSE),"")</f>
        <v>0</v>
      </c>
      <c r="AB149" s="173">
        <f>IFERROR(VLOOKUP($B149,Totalt!$B$1:$AQ$554,MATCH(AB$2,Totalt!$B$1:$AQ$1,0),FALSE),"")</f>
        <v>0</v>
      </c>
      <c r="AC149" s="173">
        <f>IFERROR(VLOOKUP($B149,Totalt!$B$1:$AQ$554,MATCH(AC$2,Totalt!$B$1:$AQ$1,0),FALSE),"")</f>
        <v>0</v>
      </c>
      <c r="AD149" s="173">
        <f>IFERROR(VLOOKUP($B149,Totalt!$B$1:$AQ$554,MATCH(AD$2,Totalt!$B$1:$AQ$1,0),FALSE),"")</f>
        <v>0</v>
      </c>
      <c r="AE149" s="173">
        <f>IFERROR(VLOOKUP($B149,Totalt!$B$1:$AQ$554,MATCH(AE$2,Totalt!$B$1:$AQ$1,0),FALSE),"")</f>
        <v>0</v>
      </c>
      <c r="AF149" s="173">
        <f>IFERROR(VLOOKUP($B149,Totalt!$B$1:$AQ$554,MATCH(AF$2,Totalt!$B$1:$AQ$1,0),FALSE),"")</f>
        <v>3.3099999999999997E-2</v>
      </c>
      <c r="AG149" s="173">
        <f>IFERROR(VLOOKUP($B149,Totalt!$B$1:$AQ$554,MATCH(AG$2,Totalt!$B$1:$AQ$1,0),FALSE),"")</f>
        <v>0</v>
      </c>
      <c r="AI149" s="226">
        <f t="shared" si="12"/>
        <v>3.5571000000000002</v>
      </c>
      <c r="AJ149" s="226">
        <f>IF(ISERROR(1/VLOOKUP($B149,Leveranser!$B$1:$S$500,MATCH("såld värme (gwh)",Leveranser!$B$1:$S$1,0),FALSE)),"",VLOOKUP($B149,Leveranser!$B$1:$S$500,MATCH("såld värme (gwh)",Leveranser!$B$1:$S$1,0),FALSE))</f>
        <v>3.1</v>
      </c>
      <c r="AM149" s="227" t="str">
        <f>IF(B149&lt;&gt;"",IF(VLOOKUP($B149,Totalt!$B$1:$AQ$554,MATCH("Kvalitetsgranskad:",Totalt!$B$1:$AQ$1,0),FALSE)="ja",VLOOKUP($B149,Miljö!$B$1:$AG$479,MATCH(AM$2,Miljö!$B$1:$AK$1,0),FALSE),""),"")</f>
        <v>Ja</v>
      </c>
      <c r="AN149" s="227" t="str">
        <f>IF(AM149="ja",VLOOKUP($B149,Miljö!$B$1:$J$479,MATCH("Typ av ursprungsspecificerad el   (Om inget värde anges används Nordisk residualmix, se inforuta) ()",Miljö!$B$1:$J$1,0),FALSE),IF(AM149="nej","Nordisk residualel",""))</f>
        <v>'Lokal Vindel GE'</v>
      </c>
      <c r="AO149" s="227">
        <f>IF(AM149="","",VLOOKUP($B149,Miljö!$B$1:$J$479,MATCH("Fossilandel för ursprungspecificerad el ()",Miljö!$B$1:$J$1,0),FALSE))</f>
        <v>0</v>
      </c>
      <c r="AP149" s="227">
        <f>IF(AM149="","",IFERROR(VLOOKUP($B149,Miljö!$B$1:$J$479,MATCH("Kärnkraftsandel för ursprungsspecificerad el ()",Miljö!$B$1:$J$1,0),FALSE)/1,0))</f>
        <v>0</v>
      </c>
      <c r="AQ149" s="227">
        <f t="shared" si="13"/>
        <v>1</v>
      </c>
      <c r="AR149" s="227"/>
      <c r="AS149" s="227" t="str">
        <f t="shared" si="14"/>
        <v>Nej</v>
      </c>
      <c r="AT149" s="227" t="str">
        <f>IF(AS149="ja",VLOOKUP($B149,Miljö!$B$1:$O$500,MATCH("Fossil andel i procent (%)",Miljö!$B$1:$O$1,0),FALSE)/100,"")</f>
        <v/>
      </c>
      <c r="AU149" s="227"/>
      <c r="AV149" s="227" t="str">
        <f t="shared" si="15"/>
        <v>Nej</v>
      </c>
      <c r="AW149" s="227" t="str">
        <f>IF(AV149="ja",VLOOKUP($B149,'Egen hetvattenprod'!$B$1:$AO$500,MATCH("Värmekälla till värmepumpar ()",'Egen hetvattenprod'!$B$1:$AO$1,0),FALSE),"")</f>
        <v/>
      </c>
      <c r="AX149" s="227"/>
      <c r="AY149" s="227" t="str">
        <f t="shared" si="16"/>
        <v>Nej</v>
      </c>
      <c r="AZ149" s="228" t="str">
        <f>IF($AY149="ja",(VLOOKUP($B149,'Egen hetvattenprod'!$B$1:$BX$550,MATCH(AZ$2,'Egen hetvattenprod'!$B$1:$BX$1,0),FALSE)+VLOOKUP($B149,Kraftvärmeprod!$B$1:$BX$550,MATCH(AZ$2,Kraftvärmeprod!$B$1:$BX$1,0),FALSE))/$AC149,"")</f>
        <v/>
      </c>
      <c r="BA149" s="228" t="str">
        <f>IF($AY149="ja",(VLOOKUP($B149,'Egen hetvattenprod'!$B$1:$BX$550,MATCH(BA$2,'Egen hetvattenprod'!$B$1:$BX$1,0),FALSE)+VLOOKUP($B149,Kraftvärmeprod!$B$1:$BX$550,MATCH(BA$2,Kraftvärmeprod!$B$1:$BX$1,0),FALSE))/$AC149,"")</f>
        <v/>
      </c>
      <c r="BB149" s="228" t="str">
        <f>IF($AY149="ja",(VLOOKUP($B149,'Egen hetvattenprod'!$B$1:$BX$550,MATCH(BB$2,'Egen hetvattenprod'!$B$1:$BX$1,0),FALSE)+VLOOKUP($B149,Kraftvärmeprod!$B$1:$BX$550,MATCH(BB$2,Kraftvärmeprod!$B$1:$BX$1,0),FALSE))/$AC149,"")</f>
        <v/>
      </c>
      <c r="BC149" s="228" t="str">
        <f>IF($AY149="ja",(VLOOKUP($B149,'Egen hetvattenprod'!$B$1:$BX$550,MATCH(BC$2,'Egen hetvattenprod'!$B$1:$BX$1,0),FALSE)+VLOOKUP($B149,Kraftvärmeprod!$B$1:$BX$550,MATCH(BC$2,Kraftvärmeprod!$B$1:$BX$1,0),FALSE))/$AC149,"")</f>
        <v/>
      </c>
      <c r="BD149" s="228" t="str">
        <f>IF($AY149="ja",(VLOOKUP($B149,'Egen hetvattenprod'!$B$1:$BX$550,MATCH(BD$2,'Egen hetvattenprod'!$B$1:$BX$1,0),FALSE)+VLOOKUP($B149,Kraftvärmeprod!$B$1:$BX$550,MATCH(BD$2,Kraftvärmeprod!$B$1:$BX$1,0),FALSE))/$AC149,"")</f>
        <v/>
      </c>
      <c r="BE149" s="227"/>
      <c r="BF149" s="227" t="str">
        <f t="shared" si="17"/>
        <v>Nej</v>
      </c>
      <c r="BG149" s="227" t="str">
        <f>IF($BF149="ja",VLOOKUP($B149,'Egen hetvattenprod'!$B$1:$BX$550,MATCH("Andelen klimatgaser med fossilt ursprung för avfall ()",'Egen hetvattenprod'!$B$1:$BX$1,0),FALSE),"")</f>
        <v/>
      </c>
      <c r="BH149" s="227" t="str">
        <f>IF($BF149="ja",VLOOKUP($B149,Kraftvärmeprod!$B$1:$BX$550,MATCH("Andelen klimatgaser med fossilt ursprung för avfall ()",Kraftvärmeprod!$B$1:$BX$1,0),FALSE),"")</f>
        <v/>
      </c>
      <c r="BI149" s="227" t="str">
        <f>IF($BF149="ja",VLOOKUP($B149,'Egen hetvattenprod'!$B$1:$BX$550,MATCH("Avfall (GWh)",'Egen hetvattenprod'!$B$1:$BX$1,0),FALSE),"")</f>
        <v/>
      </c>
      <c r="BJ149" s="227" t="str">
        <f>IF($BF149="ja",VLOOKUP($B149,'Slutlig allokering kvv'!$B$1:$BX$550,MATCH("Avfall (GWh)",'Slutlig allokering kvv'!$B$1:$BX$1,0),FALSE),"")</f>
        <v/>
      </c>
      <c r="BK149" s="227" t="str">
        <f>IF($BF149="ja",VLOOKUP($B149,'Köpt hetvatten'!$B$1:$BX$550,MATCH("Avfall i köpt hetvatten",'Köpt hetvatten'!$B$1:$BX$1,0),FALSE),"")</f>
        <v/>
      </c>
      <c r="BL149" s="227" t="str">
        <f>IF($BF149="ja",VLOOKUP($B149,'Egen hetvattenprod'!$B$1:$BX$550,MATCH("Värde enligt ovan. (%)",'Egen hetvattenprod'!$B$1:$BX$1,0),FALSE),"")</f>
        <v/>
      </c>
      <c r="BM149" s="227" t="str">
        <f>IF($BF149="ja",VLOOKUP($B149,Kraftvärmeprod!$B$1:$BX$550,MATCH("Värde enligt ovan. (%)",Kraftvärmeprod!$B$1:$BX$1,0),FALSE),"")</f>
        <v/>
      </c>
      <c r="BN149" s="227"/>
      <c r="BO149" s="227"/>
      <c r="BP149" s="227"/>
      <c r="BQ149" s="227" t="str">
        <f>IF($BF149="ja",VLOOKUP($B149,'Egen hetvattenprod'!$B$1:$BX$550,MATCH("Tillförd olja (fossil) vid avfallsförbränning (GWh)",'Egen hetvattenprod'!$B$1:$BX$1,0),FALSE),"")</f>
        <v/>
      </c>
      <c r="BR149" s="227" t="str">
        <f>IF($BF149="ja",VLOOKUP($B149,Kraftvärmeprod!$B$1:$BX$550,MATCH("Tillförd olja (fossil) vid avfallsförbränning (GWh)",Kraftvärmeprod!$B$1:$BX$1,0),FALSE),"")</f>
        <v/>
      </c>
      <c r="BS149" s="227"/>
      <c r="BT149" s="227"/>
      <c r="BU149" s="227"/>
    </row>
    <row r="150" spans="1:73" x14ac:dyDescent="0.25">
      <c r="A150" s="121" t="str">
        <f>'Miljövärden för publ företag'!B153</f>
        <v>LEVA i Lysekil AB</v>
      </c>
      <c r="B150" s="121" t="str">
        <f>'Miljövärden för publ företag'!C153</f>
        <v>Lysekil</v>
      </c>
      <c r="C150" s="173">
        <f>IFERROR(VLOOKUP($B150,Totalt!$B$1:$AQ$554,MATCH(C$2,Totalt!$B$1:$AQ$1,0),FALSE),"")</f>
        <v>0</v>
      </c>
      <c r="D150" s="173">
        <f>IFERROR(VLOOKUP($B150,Totalt!$B$1:$AQ$554,MATCH(D$2,Totalt!$B$1:$AQ$1,0),FALSE),"")</f>
        <v>2.06</v>
      </c>
      <c r="E150" s="173">
        <f>IFERROR(VLOOKUP($B150,Totalt!$B$1:$AQ$554,MATCH(E$2,Totalt!$B$1:$AQ$1,0),FALSE),"")</f>
        <v>0</v>
      </c>
      <c r="F150" s="173">
        <f>IFERROR(VLOOKUP($B150,Totalt!$B$1:$AQ$554,MATCH(F$2,Totalt!$B$1:$AQ$1,0),FALSE),"")</f>
        <v>0</v>
      </c>
      <c r="G150" s="173">
        <f>IFERROR(VLOOKUP($B150,Totalt!$B$1:$AQ$554,MATCH(G$2,Totalt!$B$1:$AQ$1,0),FALSE),"")</f>
        <v>0</v>
      </c>
      <c r="H150" s="173">
        <f>IFERROR(VLOOKUP($B150,Totalt!$B$1:$AQ$554,MATCH(H$2,Totalt!$B$1:$AQ$1,0),FALSE),"")</f>
        <v>0</v>
      </c>
      <c r="I150" s="173">
        <f>IFERROR(VLOOKUP($B150,Totalt!$B$1:$AQ$554,MATCH(I$2,Totalt!$B$1:$AQ$1,0),FALSE),"")</f>
        <v>0</v>
      </c>
      <c r="J150" s="173">
        <f>IFERROR(VLOOKUP($B150,Totalt!$B$1:$AQ$554,MATCH(J$2,Totalt!$B$1:$AQ$1,0),FALSE),"")</f>
        <v>0</v>
      </c>
      <c r="K150" s="173">
        <f>IFERROR(VLOOKUP($B150,Totalt!$B$1:$AQ$554,MATCH(K$2,Totalt!$B$1:$AQ$1,0),FALSE),"")</f>
        <v>0</v>
      </c>
      <c r="L150" s="173">
        <f>IFERROR(VLOOKUP($B150,Totalt!$B$1:$AQ$554,MATCH(L$2,Totalt!$B$1:$AQ$1,0),FALSE),"")</f>
        <v>0</v>
      </c>
      <c r="M150" s="173">
        <f>IFERROR(VLOOKUP($B150,Totalt!$B$1:$AQ$554,MATCH(M$2,Totalt!$B$1:$AQ$1,0),FALSE),"")</f>
        <v>0</v>
      </c>
      <c r="N150" s="173">
        <f>IFERROR(VLOOKUP($B150,Totalt!$B$1:$AQ$554,MATCH(N$2,Totalt!$B$1:$AQ$1,0),FALSE),"")</f>
        <v>0</v>
      </c>
      <c r="O150" s="173">
        <f>IFERROR(VLOOKUP($B150,Totalt!$B$1:$AQ$554,MATCH(O$2,Totalt!$B$1:$AQ$1,0),FALSE),"")</f>
        <v>0</v>
      </c>
      <c r="P150" s="173">
        <f>IFERROR(VLOOKUP($B150,Totalt!$B$1:$AQ$554,MATCH(P$2,Totalt!$B$1:$AQ$1,0),FALSE),"")</f>
        <v>0</v>
      </c>
      <c r="Q150" s="173">
        <f>IFERROR(VLOOKUP($B150,Totalt!$B$1:$AQ$554,MATCH(Q$2,Totalt!$B$1:$AQ$1,0),FALSE),"")</f>
        <v>0</v>
      </c>
      <c r="R150" s="173">
        <f>IFERROR(VLOOKUP($B150,Totalt!$B$1:$AQ$554,MATCH(R$2,Totalt!$B$1:$AQ$1,0),FALSE),"")</f>
        <v>0</v>
      </c>
      <c r="S150" s="173">
        <f>IFERROR(VLOOKUP($B150,Totalt!$B$1:$AQ$554,MATCH(S$2,Totalt!$B$1:$AQ$1,0),FALSE),"")</f>
        <v>0</v>
      </c>
      <c r="T150" s="173">
        <f>IFERROR(VLOOKUP($B150,Totalt!$B$1:$AQ$554,MATCH(T$2,Totalt!$B$1:$AQ$1,0),FALSE),"")</f>
        <v>0</v>
      </c>
      <c r="U150" s="173">
        <f>IFERROR(VLOOKUP($B150,Totalt!$B$1:$AQ$554,MATCH(U$2,Totalt!$B$1:$AQ$1,0),FALSE),"")</f>
        <v>0</v>
      </c>
      <c r="V150" s="173">
        <f>IFERROR(VLOOKUP($B150,Totalt!$B$1:$AQ$554,MATCH(V$2,Totalt!$B$1:$AQ$1,0),FALSE),"")</f>
        <v>0</v>
      </c>
      <c r="W150" s="173">
        <f>IFERROR(VLOOKUP($B150,Totalt!$B$1:$AQ$554,MATCH(W$2,Totalt!$B$1:$AQ$1,0),FALSE),"")</f>
        <v>0</v>
      </c>
      <c r="X150" s="173">
        <f>IFERROR(VLOOKUP($B150,Totalt!$B$1:$AQ$554,MATCH(X$2,Totalt!$B$1:$AQ$1,0),FALSE),"")</f>
        <v>0</v>
      </c>
      <c r="Y150" s="173">
        <f>IFERROR(VLOOKUP($B150,Totalt!$B$1:$AQ$554,MATCH(Y$2,Totalt!$B$1:$AQ$1,0),FALSE),"")</f>
        <v>0</v>
      </c>
      <c r="Z150" s="173">
        <f>IFERROR(VLOOKUP($B150,Totalt!$B$1:$AQ$554,MATCH(Z$2,Totalt!$B$1:$AQ$1,0),FALSE),"")</f>
        <v>0</v>
      </c>
      <c r="AA150" s="173">
        <f>IFERROR(VLOOKUP($B150,Totalt!$B$1:$AQ$554,MATCH(AA$2,Totalt!$B$1:$AQ$1,0),FALSE),"")</f>
        <v>0</v>
      </c>
      <c r="AB150" s="173">
        <f>IFERROR(VLOOKUP($B150,Totalt!$B$1:$AQ$554,MATCH(AB$2,Totalt!$B$1:$AQ$1,0),FALSE),"")</f>
        <v>0</v>
      </c>
      <c r="AC150" s="173">
        <f>IFERROR(VLOOKUP($B150,Totalt!$B$1:$AQ$554,MATCH(AC$2,Totalt!$B$1:$AQ$1,0),FALSE),"")</f>
        <v>0</v>
      </c>
      <c r="AD150" s="173">
        <f>IFERROR(VLOOKUP($B150,Totalt!$B$1:$AQ$554,MATCH(AD$2,Totalt!$B$1:$AQ$1,0),FALSE),"")</f>
        <v>55.55</v>
      </c>
      <c r="AE150" s="173">
        <f>IFERROR(VLOOKUP($B150,Totalt!$B$1:$AQ$554,MATCH(AE$2,Totalt!$B$1:$AQ$1,0),FALSE),"")</f>
        <v>0</v>
      </c>
      <c r="AF150" s="173">
        <f>IFERROR(VLOOKUP($B150,Totalt!$B$1:$AQ$554,MATCH(AF$2,Totalt!$B$1:$AQ$1,0),FALSE),"")</f>
        <v>1.3312200000000001</v>
      </c>
      <c r="AG150" s="173">
        <f>IFERROR(VLOOKUP($B150,Totalt!$B$1:$AQ$554,MATCH(AG$2,Totalt!$B$1:$AQ$1,0),FALSE),"")</f>
        <v>0</v>
      </c>
      <c r="AI150" s="226">
        <f t="shared" si="12"/>
        <v>58.941220000000001</v>
      </c>
      <c r="AJ150" s="226">
        <f>IF(ISERROR(1/VLOOKUP($B150,Leveranser!$B$1:$S$500,MATCH("såld värme (gwh)",Leveranser!$B$1:$S$1,0),FALSE)),"",VLOOKUP($B150,Leveranser!$B$1:$S$500,MATCH("såld värme (gwh)",Leveranser!$B$1:$S$1,0),FALSE))</f>
        <v>44.374000000000002</v>
      </c>
      <c r="AM150" s="227" t="str">
        <f>IF(B150&lt;&gt;"",IF(VLOOKUP($B150,Totalt!$B$1:$AQ$554,MATCH("Kvalitetsgranskad:",Totalt!$B$1:$AQ$1,0),FALSE)="ja",VLOOKUP($B150,Miljö!$B$1:$AG$479,MATCH(AM$2,Miljö!$B$1:$AK$1,0),FALSE),""),"")</f>
        <v>Nej</v>
      </c>
      <c r="AN150" s="227" t="str">
        <f>IF(AM150="ja",VLOOKUP($B150,Miljö!$B$1:$J$479,MATCH("Typ av ursprungsspecificerad el   (Om inget värde anges används Nordisk residualmix, se inforuta) ()",Miljö!$B$1:$J$1,0),FALSE),IF(AM150="nej","Nordisk residualel",""))</f>
        <v>Nordisk residualel</v>
      </c>
      <c r="AO150" s="227">
        <f>IF(AM150="","",VLOOKUP($B150,Miljö!$B$1:$J$479,MATCH("Fossilandel för ursprungspecificerad el ()",Miljö!$B$1:$J$1,0),FALSE))</f>
        <v>0.43</v>
      </c>
      <c r="AP150" s="227">
        <f>IF(AM150="","",IFERROR(VLOOKUP($B150,Miljö!$B$1:$J$479,MATCH("Kärnkraftsandel för ursprungsspecificerad el ()",Miljö!$B$1:$J$1,0),FALSE)/1,0))</f>
        <v>0.40550000000000003</v>
      </c>
      <c r="AQ150" s="227">
        <f t="shared" si="13"/>
        <v>0.16450000000000004</v>
      </c>
      <c r="AR150" s="227"/>
      <c r="AS150" s="227" t="str">
        <f t="shared" si="14"/>
        <v>Nej</v>
      </c>
      <c r="AT150" s="227" t="str">
        <f>IF(AS150="ja",VLOOKUP($B150,Miljö!$B$1:$O$500,MATCH("Fossil andel i procent (%)",Miljö!$B$1:$O$1,0),FALSE)/100,"")</f>
        <v/>
      </c>
      <c r="AU150" s="227"/>
      <c r="AV150" s="227" t="str">
        <f t="shared" si="15"/>
        <v>Nej</v>
      </c>
      <c r="AW150" s="227" t="str">
        <f>IF(AV150="ja",VLOOKUP($B150,'Egen hetvattenprod'!$B$1:$AO$500,MATCH("Värmekälla till värmepumpar ()",'Egen hetvattenprod'!$B$1:$AO$1,0),FALSE),"")</f>
        <v/>
      </c>
      <c r="AX150" s="227"/>
      <c r="AY150" s="227" t="str">
        <f t="shared" si="16"/>
        <v>Nej</v>
      </c>
      <c r="AZ150" s="228" t="str">
        <f>IF($AY150="ja",(VLOOKUP($B150,'Egen hetvattenprod'!$B$1:$BX$550,MATCH(AZ$2,'Egen hetvattenprod'!$B$1:$BX$1,0),FALSE)+VLOOKUP($B150,Kraftvärmeprod!$B$1:$BX$550,MATCH(AZ$2,Kraftvärmeprod!$B$1:$BX$1,0),FALSE))/$AC150,"")</f>
        <v/>
      </c>
      <c r="BA150" s="228" t="str">
        <f>IF($AY150="ja",(VLOOKUP($B150,'Egen hetvattenprod'!$B$1:$BX$550,MATCH(BA$2,'Egen hetvattenprod'!$B$1:$BX$1,0),FALSE)+VLOOKUP($B150,Kraftvärmeprod!$B$1:$BX$550,MATCH(BA$2,Kraftvärmeprod!$B$1:$BX$1,0),FALSE))/$AC150,"")</f>
        <v/>
      </c>
      <c r="BB150" s="228" t="str">
        <f>IF($AY150="ja",(VLOOKUP($B150,'Egen hetvattenprod'!$B$1:$BX$550,MATCH(BB$2,'Egen hetvattenprod'!$B$1:$BX$1,0),FALSE)+VLOOKUP($B150,Kraftvärmeprod!$B$1:$BX$550,MATCH(BB$2,Kraftvärmeprod!$B$1:$BX$1,0),FALSE))/$AC150,"")</f>
        <v/>
      </c>
      <c r="BC150" s="228" t="str">
        <f>IF($AY150="ja",(VLOOKUP($B150,'Egen hetvattenprod'!$B$1:$BX$550,MATCH(BC$2,'Egen hetvattenprod'!$B$1:$BX$1,0),FALSE)+VLOOKUP($B150,Kraftvärmeprod!$B$1:$BX$550,MATCH(BC$2,Kraftvärmeprod!$B$1:$BX$1,0),FALSE))/$AC150,"")</f>
        <v/>
      </c>
      <c r="BD150" s="228" t="str">
        <f>IF($AY150="ja",(VLOOKUP($B150,'Egen hetvattenprod'!$B$1:$BX$550,MATCH(BD$2,'Egen hetvattenprod'!$B$1:$BX$1,0),FALSE)+VLOOKUP($B150,Kraftvärmeprod!$B$1:$BX$550,MATCH(BD$2,Kraftvärmeprod!$B$1:$BX$1,0),FALSE))/$AC150,"")</f>
        <v/>
      </c>
      <c r="BE150" s="227"/>
      <c r="BF150" s="227" t="str">
        <f t="shared" si="17"/>
        <v>Nej</v>
      </c>
      <c r="BG150" s="227" t="str">
        <f>IF($BF150="ja",VLOOKUP($B150,'Egen hetvattenprod'!$B$1:$BX$550,MATCH("Andelen klimatgaser med fossilt ursprung för avfall ()",'Egen hetvattenprod'!$B$1:$BX$1,0),FALSE),"")</f>
        <v/>
      </c>
      <c r="BH150" s="227" t="str">
        <f>IF($BF150="ja",VLOOKUP($B150,Kraftvärmeprod!$B$1:$BX$550,MATCH("Andelen klimatgaser med fossilt ursprung för avfall ()",Kraftvärmeprod!$B$1:$BX$1,0),FALSE),"")</f>
        <v/>
      </c>
      <c r="BI150" s="227" t="str">
        <f>IF($BF150="ja",VLOOKUP($B150,'Egen hetvattenprod'!$B$1:$BX$550,MATCH("Avfall (GWh)",'Egen hetvattenprod'!$B$1:$BX$1,0),FALSE),"")</f>
        <v/>
      </c>
      <c r="BJ150" s="227" t="str">
        <f>IF($BF150="ja",VLOOKUP($B150,'Slutlig allokering kvv'!$B$1:$BX$550,MATCH("Avfall (GWh)",'Slutlig allokering kvv'!$B$1:$BX$1,0),FALSE),"")</f>
        <v/>
      </c>
      <c r="BK150" s="227" t="str">
        <f>IF($BF150="ja",VLOOKUP($B150,'Köpt hetvatten'!$B$1:$BX$550,MATCH("Avfall i köpt hetvatten",'Köpt hetvatten'!$B$1:$BX$1,0),FALSE),"")</f>
        <v/>
      </c>
      <c r="BL150" s="227" t="str">
        <f>IF($BF150="ja",VLOOKUP($B150,'Egen hetvattenprod'!$B$1:$BX$550,MATCH("Värde enligt ovan. (%)",'Egen hetvattenprod'!$B$1:$BX$1,0),FALSE),"")</f>
        <v/>
      </c>
      <c r="BM150" s="227" t="str">
        <f>IF($BF150="ja",VLOOKUP($B150,Kraftvärmeprod!$B$1:$BX$550,MATCH("Värde enligt ovan. (%)",Kraftvärmeprod!$B$1:$BX$1,0),FALSE),"")</f>
        <v/>
      </c>
      <c r="BN150" s="227"/>
      <c r="BO150" s="227"/>
      <c r="BP150" s="227"/>
      <c r="BQ150" s="227" t="str">
        <f>IF($BF150="ja",VLOOKUP($B150,'Egen hetvattenprod'!$B$1:$BX$550,MATCH("Tillförd olja (fossil) vid avfallsförbränning (GWh)",'Egen hetvattenprod'!$B$1:$BX$1,0),FALSE),"")</f>
        <v/>
      </c>
      <c r="BR150" s="227" t="str">
        <f>IF($BF150="ja",VLOOKUP($B150,Kraftvärmeprod!$B$1:$BX$550,MATCH("Tillförd olja (fossil) vid avfallsförbränning (GWh)",Kraftvärmeprod!$B$1:$BX$1,0),FALSE),"")</f>
        <v/>
      </c>
      <c r="BS150" s="227"/>
      <c r="BT150" s="227"/>
      <c r="BU150" s="227"/>
    </row>
    <row r="151" spans="1:73" x14ac:dyDescent="0.25">
      <c r="A151" s="121" t="str">
        <f>'Miljövärden för publ företag'!B154</f>
        <v>Lidköping Energi AB</v>
      </c>
      <c r="B151" s="121" t="str">
        <f>'Miljövärden för publ företag'!C154</f>
        <v>Klimateffektiv fjärrvärme</v>
      </c>
      <c r="C151" s="173">
        <f>IFERROR(VLOOKUP($B151,Totalt!$B$1:$AQ$554,MATCH(C$2,Totalt!$B$1:$AQ$1,0),FALSE),"")</f>
        <v>0</v>
      </c>
      <c r="D151" s="173">
        <f>IFERROR(VLOOKUP($B151,Totalt!$B$1:$AQ$554,MATCH(D$2,Totalt!$B$1:$AQ$1,0),FALSE),"")</f>
        <v>0</v>
      </c>
      <c r="E151" s="173">
        <f>IFERROR(VLOOKUP($B151,Totalt!$B$1:$AQ$554,MATCH(E$2,Totalt!$B$1:$AQ$1,0),FALSE),"")</f>
        <v>0</v>
      </c>
      <c r="F151" s="173">
        <f>IFERROR(VLOOKUP($B151,Totalt!$B$1:$AQ$554,MATCH(F$2,Totalt!$B$1:$AQ$1,0),FALSE),"")</f>
        <v>0</v>
      </c>
      <c r="G151" s="173">
        <f>IFERROR(VLOOKUP($B151,Totalt!$B$1:$AQ$554,MATCH(G$2,Totalt!$B$1:$AQ$1,0),FALSE),"")</f>
        <v>0</v>
      </c>
      <c r="H151" s="173">
        <f>IFERROR(VLOOKUP($B151,Totalt!$B$1:$AQ$554,MATCH(H$2,Totalt!$B$1:$AQ$1,0),FALSE),"")</f>
        <v>0</v>
      </c>
      <c r="I151" s="173">
        <f>IFERROR(VLOOKUP($B151,Totalt!$B$1:$AQ$554,MATCH(I$2,Totalt!$B$1:$AQ$1,0),FALSE),"")</f>
        <v>55.46</v>
      </c>
      <c r="J151" s="173">
        <f>IFERROR(VLOOKUP($B151,Totalt!$B$1:$AQ$554,MATCH(J$2,Totalt!$B$1:$AQ$1,0),FALSE),"")</f>
        <v>0</v>
      </c>
      <c r="K151" s="173">
        <f>IFERROR(VLOOKUP($B151,Totalt!$B$1:$AQ$554,MATCH(K$2,Totalt!$B$1:$AQ$1,0),FALSE),"")</f>
        <v>0</v>
      </c>
      <c r="L151" s="173">
        <f>IFERROR(VLOOKUP($B151,Totalt!$B$1:$AQ$554,MATCH(L$2,Totalt!$B$1:$AQ$1,0),FALSE),"")</f>
        <v>0</v>
      </c>
      <c r="M151" s="173">
        <f>IFERROR(VLOOKUP($B151,Totalt!$B$1:$AQ$554,MATCH(M$2,Totalt!$B$1:$AQ$1,0),FALSE),"")</f>
        <v>0</v>
      </c>
      <c r="N151" s="173">
        <f>IFERROR(VLOOKUP($B151,Totalt!$B$1:$AQ$554,MATCH(N$2,Totalt!$B$1:$AQ$1,0),FALSE),"")</f>
        <v>0</v>
      </c>
      <c r="O151" s="173">
        <f>IFERROR(VLOOKUP($B151,Totalt!$B$1:$AQ$554,MATCH(O$2,Totalt!$B$1:$AQ$1,0),FALSE),"")</f>
        <v>0</v>
      </c>
      <c r="P151" s="173">
        <f>IFERROR(VLOOKUP($B151,Totalt!$B$1:$AQ$554,MATCH(P$2,Totalt!$B$1:$AQ$1,0),FALSE),"")</f>
        <v>0</v>
      </c>
      <c r="Q151" s="173">
        <f>IFERROR(VLOOKUP($B151,Totalt!$B$1:$AQ$554,MATCH(Q$2,Totalt!$B$1:$AQ$1,0),FALSE),"")</f>
        <v>0</v>
      </c>
      <c r="R151" s="173">
        <f>IFERROR(VLOOKUP($B151,Totalt!$B$1:$AQ$554,MATCH(R$2,Totalt!$B$1:$AQ$1,0),FALSE),"")</f>
        <v>0</v>
      </c>
      <c r="S151" s="173">
        <f>IFERROR(VLOOKUP($B151,Totalt!$B$1:$AQ$554,MATCH(S$2,Totalt!$B$1:$AQ$1,0),FALSE),"")</f>
        <v>0</v>
      </c>
      <c r="T151" s="173">
        <f>IFERROR(VLOOKUP($B151,Totalt!$B$1:$AQ$554,MATCH(T$2,Totalt!$B$1:$AQ$1,0),FALSE),"")</f>
        <v>0</v>
      </c>
      <c r="U151" s="173">
        <f>IFERROR(VLOOKUP($B151,Totalt!$B$1:$AQ$554,MATCH(U$2,Totalt!$B$1:$AQ$1,0),FALSE),"")</f>
        <v>0</v>
      </c>
      <c r="V151" s="173">
        <f>IFERROR(VLOOKUP($B151,Totalt!$B$1:$AQ$554,MATCH(V$2,Totalt!$B$1:$AQ$1,0),FALSE),"")</f>
        <v>0</v>
      </c>
      <c r="W151" s="173">
        <f>IFERROR(VLOOKUP($B151,Totalt!$B$1:$AQ$554,MATCH(W$2,Totalt!$B$1:$AQ$1,0),FALSE),"")</f>
        <v>0</v>
      </c>
      <c r="X151" s="173">
        <f>IFERROR(VLOOKUP($B151,Totalt!$B$1:$AQ$554,MATCH(X$2,Totalt!$B$1:$AQ$1,0),FALSE),"")</f>
        <v>0</v>
      </c>
      <c r="Y151" s="173">
        <f>IFERROR(VLOOKUP($B151,Totalt!$B$1:$AQ$554,MATCH(Y$2,Totalt!$B$1:$AQ$1,0),FALSE),"")</f>
        <v>0</v>
      </c>
      <c r="Z151" s="173">
        <f>IFERROR(VLOOKUP($B151,Totalt!$B$1:$AQ$554,MATCH(Z$2,Totalt!$B$1:$AQ$1,0),FALSE),"")</f>
        <v>0</v>
      </c>
      <c r="AA151" s="173">
        <f>IFERROR(VLOOKUP($B151,Totalt!$B$1:$AQ$554,MATCH(AA$2,Totalt!$B$1:$AQ$1,0),FALSE),"")</f>
        <v>0</v>
      </c>
      <c r="AB151" s="173">
        <f>IFERROR(VLOOKUP($B151,Totalt!$B$1:$AQ$554,MATCH(AB$2,Totalt!$B$1:$AQ$1,0),FALSE),"")</f>
        <v>0</v>
      </c>
      <c r="AC151" s="173">
        <f>IFERROR(VLOOKUP($B151,Totalt!$B$1:$AQ$554,MATCH(AC$2,Totalt!$B$1:$AQ$1,0),FALSE),"")</f>
        <v>0</v>
      </c>
      <c r="AD151" s="173">
        <f>IFERROR(VLOOKUP($B151,Totalt!$B$1:$AQ$554,MATCH(AD$2,Totalt!$B$1:$AQ$1,0),FALSE),"")</f>
        <v>11.773999999999999</v>
      </c>
      <c r="AE151" s="173">
        <f>IFERROR(VLOOKUP($B151,Totalt!$B$1:$AQ$554,MATCH(AE$2,Totalt!$B$1:$AQ$1,0),FALSE),"")</f>
        <v>0</v>
      </c>
      <c r="AF151" s="173">
        <f>IFERROR(VLOOKUP($B151,Totalt!$B$1:$AQ$554,MATCH(AF$2,Totalt!$B$1:$AQ$1,0),FALSE),"")</f>
        <v>27.625</v>
      </c>
      <c r="AG151" s="173">
        <f>IFERROR(VLOOKUP($B151,Totalt!$B$1:$AQ$554,MATCH(AG$2,Totalt!$B$1:$AQ$1,0),FALSE),"")</f>
        <v>0</v>
      </c>
      <c r="AI151" s="226">
        <f t="shared" si="12"/>
        <v>94.858999999999995</v>
      </c>
      <c r="AJ151" s="226">
        <f>IF(ISERROR(1/VLOOKUP($B151,Leveranser!$B$1:$S$500,MATCH("såld värme (gwh)",Leveranser!$B$1:$S$1,0),FALSE)),"",VLOOKUP($B151,Leveranser!$B$1:$S$500,MATCH("såld värme (gwh)",Leveranser!$B$1:$S$1,0),FALSE))</f>
        <v>75.518000000000001</v>
      </c>
      <c r="AM151" s="227" t="str">
        <f>IF(B151&lt;&gt;"",IF(VLOOKUP($B151,Totalt!$B$1:$AQ$554,MATCH("Kvalitetsgranskad:",Totalt!$B$1:$AQ$1,0),FALSE)="ja",VLOOKUP($B151,Miljö!$B$1:$AG$479,MATCH(AM$2,Miljö!$B$1:$AK$1,0),FALSE),""),"")</f>
        <v>Ja</v>
      </c>
      <c r="AN151" s="227" t="str">
        <f>IF(AM151="ja",VLOOKUP($B151,Miljö!$B$1:$J$479,MATCH("Typ av ursprungsspecificerad el   (Om inget värde anges används Nordisk residualmix, se inforuta) ()",Miljö!$B$1:$J$1,0),FALSE),IF(AM151="nej","Nordisk residualel",""))</f>
        <v>'Vattenkraft'</v>
      </c>
      <c r="AO151" s="227">
        <f>IF(AM151="","",VLOOKUP($B151,Miljö!$B$1:$J$479,MATCH("Fossilandel för ursprungspecificerad el ()",Miljö!$B$1:$J$1,0),FALSE))</f>
        <v>0</v>
      </c>
      <c r="AP151" s="227">
        <f>IF(AM151="","",IFERROR(VLOOKUP($B151,Miljö!$B$1:$J$479,MATCH("Kärnkraftsandel för ursprungsspecificerad el ()",Miljö!$B$1:$J$1,0),FALSE)/1,0))</f>
        <v>0</v>
      </c>
      <c r="AQ151" s="227">
        <f t="shared" si="13"/>
        <v>1</v>
      </c>
      <c r="AR151" s="227"/>
      <c r="AS151" s="227" t="str">
        <f t="shared" si="14"/>
        <v>Nej</v>
      </c>
      <c r="AT151" s="227" t="str">
        <f>IF(AS151="ja",VLOOKUP($B151,Miljö!$B$1:$O$500,MATCH("Fossil andel i procent (%)",Miljö!$B$1:$O$1,0),FALSE)/100,"")</f>
        <v/>
      </c>
      <c r="AU151" s="227"/>
      <c r="AV151" s="227" t="str">
        <f t="shared" si="15"/>
        <v>Nej</v>
      </c>
      <c r="AW151" s="227" t="str">
        <f>IF(AV151="ja",VLOOKUP($B151,'Egen hetvattenprod'!$B$1:$AO$500,MATCH("Värmekälla till värmepumpar ()",'Egen hetvattenprod'!$B$1:$AO$1,0),FALSE),"")</f>
        <v/>
      </c>
      <c r="AX151" s="227"/>
      <c r="AY151" s="227" t="str">
        <f t="shared" si="16"/>
        <v>Nej</v>
      </c>
      <c r="AZ151" s="228" t="str">
        <f>IF($AY151="ja",(VLOOKUP($B151,'Egen hetvattenprod'!$B$1:$BX$550,MATCH(AZ$2,'Egen hetvattenprod'!$B$1:$BX$1,0),FALSE)+VLOOKUP($B151,Kraftvärmeprod!$B$1:$BX$550,MATCH(AZ$2,Kraftvärmeprod!$B$1:$BX$1,0),FALSE))/$AC151,"")</f>
        <v/>
      </c>
      <c r="BA151" s="228" t="str">
        <f>IF($AY151="ja",(VLOOKUP($B151,'Egen hetvattenprod'!$B$1:$BX$550,MATCH(BA$2,'Egen hetvattenprod'!$B$1:$BX$1,0),FALSE)+VLOOKUP($B151,Kraftvärmeprod!$B$1:$BX$550,MATCH(BA$2,Kraftvärmeprod!$B$1:$BX$1,0),FALSE))/$AC151,"")</f>
        <v/>
      </c>
      <c r="BB151" s="228" t="str">
        <f>IF($AY151="ja",(VLOOKUP($B151,'Egen hetvattenprod'!$B$1:$BX$550,MATCH(BB$2,'Egen hetvattenprod'!$B$1:$BX$1,0),FALSE)+VLOOKUP($B151,Kraftvärmeprod!$B$1:$BX$550,MATCH(BB$2,Kraftvärmeprod!$B$1:$BX$1,0),FALSE))/$AC151,"")</f>
        <v/>
      </c>
      <c r="BC151" s="228" t="str">
        <f>IF($AY151="ja",(VLOOKUP($B151,'Egen hetvattenprod'!$B$1:$BX$550,MATCH(BC$2,'Egen hetvattenprod'!$B$1:$BX$1,0),FALSE)+VLOOKUP($B151,Kraftvärmeprod!$B$1:$BX$550,MATCH(BC$2,Kraftvärmeprod!$B$1:$BX$1,0),FALSE))/$AC151,"")</f>
        <v/>
      </c>
      <c r="BD151" s="228" t="str">
        <f>IF($AY151="ja",(VLOOKUP($B151,'Egen hetvattenprod'!$B$1:$BX$550,MATCH(BD$2,'Egen hetvattenprod'!$B$1:$BX$1,0),FALSE)+VLOOKUP($B151,Kraftvärmeprod!$B$1:$BX$550,MATCH(BD$2,Kraftvärmeprod!$B$1:$BX$1,0),FALSE))/$AC151,"")</f>
        <v/>
      </c>
      <c r="BE151" s="227"/>
      <c r="BF151" s="227" t="str">
        <f t="shared" si="17"/>
        <v>Ja</v>
      </c>
      <c r="BG151" s="227" t="str">
        <f>IF($BF151="ja",VLOOKUP($B151,'Egen hetvattenprod'!$B$1:$BX$550,MATCH("Andelen klimatgaser med fossilt ursprung för avfall ()",'Egen hetvattenprod'!$B$1:$BX$1,0),FALSE),"")</f>
        <v>Ingen redovisning</v>
      </c>
      <c r="BH151" s="227" t="str">
        <f>IF($BF151="ja",VLOOKUP($B151,Kraftvärmeprod!$B$1:$BX$550,MATCH("Andelen klimatgaser med fossilt ursprung för avfall ()",Kraftvärmeprod!$B$1:$BX$1,0),FALSE),"")</f>
        <v>Ingen redovisning</v>
      </c>
      <c r="BI151" s="227" t="str">
        <f>IF($BF151="ja",VLOOKUP($B151,'Egen hetvattenprod'!$B$1:$BX$550,MATCH("Avfall (GWh)",'Egen hetvattenprod'!$B$1:$BX$1,0),FALSE),"")</f>
        <v>ET</v>
      </c>
      <c r="BJ151" s="227">
        <f>IF($BF151="ja",VLOOKUP($B151,'Slutlig allokering kvv'!$B$1:$BX$550,MATCH("Avfall (GWh)",'Slutlig allokering kvv'!$B$1:$BX$1,0),FALSE),"")</f>
        <v>55.46</v>
      </c>
      <c r="BK151" s="227">
        <f>IF($BF151="ja",VLOOKUP($B151,'Köpt hetvatten'!$B$1:$BX$550,MATCH("Avfall i köpt hetvatten",'Köpt hetvatten'!$B$1:$BX$1,0),FALSE),"")</f>
        <v>0</v>
      </c>
      <c r="BL151" s="227" t="str">
        <f>IF($BF151="ja",VLOOKUP($B151,'Egen hetvattenprod'!$B$1:$BX$550,MATCH("Värde enligt ovan. (%)",'Egen hetvattenprod'!$B$1:$BX$1,0),FALSE),"")</f>
        <v>ET</v>
      </c>
      <c r="BM151" s="227" t="str">
        <f>IF($BF151="ja",VLOOKUP($B151,Kraftvärmeprod!$B$1:$BX$550,MATCH("Värde enligt ovan. (%)",Kraftvärmeprod!$B$1:$BX$1,0),FALSE),"")</f>
        <v>ET</v>
      </c>
      <c r="BN151" s="227"/>
      <c r="BO151" s="227"/>
      <c r="BP151" s="227"/>
      <c r="BQ151" s="227" t="str">
        <f>IF($BF151="ja",VLOOKUP($B151,'Egen hetvattenprod'!$B$1:$BX$550,MATCH("Tillförd olja (fossil) vid avfallsförbränning (GWh)",'Egen hetvattenprod'!$B$1:$BX$1,0),FALSE),"")</f>
        <v>ET</v>
      </c>
      <c r="BR151" s="227" t="str">
        <f>IF($BF151="ja",VLOOKUP($B151,Kraftvärmeprod!$B$1:$BX$550,MATCH("Tillförd olja (fossil) vid avfallsförbränning (GWh)",Kraftvärmeprod!$B$1:$BX$1,0),FALSE),"")</f>
        <v>ET</v>
      </c>
      <c r="BS151" s="227"/>
      <c r="BT151" s="227"/>
      <c r="BU151" s="227"/>
    </row>
    <row r="152" spans="1:73" x14ac:dyDescent="0.25">
      <c r="A152" s="121" t="str">
        <f>'Miljövärden för publ företag'!B155</f>
        <v>Lidköping Energi AB</v>
      </c>
      <c r="B152" s="121" t="str">
        <f>'Miljövärden för publ företag'!C155</f>
        <v>Lidköping</v>
      </c>
      <c r="C152" s="173">
        <f>IFERROR(VLOOKUP($B152,Totalt!$B$1:$AQ$554,MATCH(C$2,Totalt!$B$1:$AQ$1,0),FALSE),"")</f>
        <v>0</v>
      </c>
      <c r="D152" s="173">
        <f>IFERROR(VLOOKUP($B152,Totalt!$B$1:$AQ$554,MATCH(D$2,Totalt!$B$1:$AQ$1,0),FALSE),"")</f>
        <v>3.8860000000000001</v>
      </c>
      <c r="E152" s="173">
        <f>IFERROR(VLOOKUP($B152,Totalt!$B$1:$AQ$554,MATCH(E$2,Totalt!$B$1:$AQ$1,0),FALSE),"")</f>
        <v>0</v>
      </c>
      <c r="F152" s="173">
        <f>IFERROR(VLOOKUP($B152,Totalt!$B$1:$AQ$554,MATCH(F$2,Totalt!$B$1:$AQ$1,0),FALSE),"")</f>
        <v>0</v>
      </c>
      <c r="G152" s="173">
        <f>IFERROR(VLOOKUP($B152,Totalt!$B$1:$AQ$554,MATCH(G$2,Totalt!$B$1:$AQ$1,0),FALSE),"")</f>
        <v>0</v>
      </c>
      <c r="H152" s="173">
        <f>IFERROR(VLOOKUP($B152,Totalt!$B$1:$AQ$554,MATCH(H$2,Totalt!$B$1:$AQ$1,0),FALSE),"")</f>
        <v>0</v>
      </c>
      <c r="I152" s="173">
        <f>IFERROR(VLOOKUP($B152,Totalt!$B$1:$AQ$554,MATCH(I$2,Totalt!$B$1:$AQ$1,0),FALSE),"")</f>
        <v>266.88099999999997</v>
      </c>
      <c r="J152" s="173">
        <f>IFERROR(VLOOKUP($B152,Totalt!$B$1:$AQ$554,MATCH(J$2,Totalt!$B$1:$AQ$1,0),FALSE),"")</f>
        <v>0</v>
      </c>
      <c r="K152" s="173">
        <f>IFERROR(VLOOKUP($B152,Totalt!$B$1:$AQ$554,MATCH(K$2,Totalt!$B$1:$AQ$1,0),FALSE),"")</f>
        <v>0</v>
      </c>
      <c r="L152" s="173">
        <f>IFERROR(VLOOKUP($B152,Totalt!$B$1:$AQ$554,MATCH(L$2,Totalt!$B$1:$AQ$1,0),FALSE),"")</f>
        <v>0</v>
      </c>
      <c r="M152" s="173">
        <f>IFERROR(VLOOKUP($B152,Totalt!$B$1:$AQ$554,MATCH(M$2,Totalt!$B$1:$AQ$1,0),FALSE),"")</f>
        <v>0</v>
      </c>
      <c r="N152" s="173">
        <f>IFERROR(VLOOKUP($B152,Totalt!$B$1:$AQ$554,MATCH(N$2,Totalt!$B$1:$AQ$1,0),FALSE),"")</f>
        <v>0</v>
      </c>
      <c r="O152" s="173">
        <f>IFERROR(VLOOKUP($B152,Totalt!$B$1:$AQ$554,MATCH(O$2,Totalt!$B$1:$AQ$1,0),FALSE),"")</f>
        <v>0</v>
      </c>
      <c r="P152" s="173">
        <f>IFERROR(VLOOKUP($B152,Totalt!$B$1:$AQ$554,MATCH(P$2,Totalt!$B$1:$AQ$1,0),FALSE),"")</f>
        <v>0</v>
      </c>
      <c r="Q152" s="173">
        <f>IFERROR(VLOOKUP($B152,Totalt!$B$1:$AQ$554,MATCH(Q$2,Totalt!$B$1:$AQ$1,0),FALSE),"")</f>
        <v>0</v>
      </c>
      <c r="R152" s="173">
        <f>IFERROR(VLOOKUP($B152,Totalt!$B$1:$AQ$554,MATCH(R$2,Totalt!$B$1:$AQ$1,0),FALSE),"")</f>
        <v>0</v>
      </c>
      <c r="S152" s="173">
        <f>IFERROR(VLOOKUP($B152,Totalt!$B$1:$AQ$554,MATCH(S$2,Totalt!$B$1:$AQ$1,0),FALSE),"")</f>
        <v>0</v>
      </c>
      <c r="T152" s="173">
        <f>IFERROR(VLOOKUP($B152,Totalt!$B$1:$AQ$554,MATCH(T$2,Totalt!$B$1:$AQ$1,0),FALSE),"")</f>
        <v>0</v>
      </c>
      <c r="U152" s="173">
        <f>IFERROR(VLOOKUP($B152,Totalt!$B$1:$AQ$554,MATCH(U$2,Totalt!$B$1:$AQ$1,0),FALSE),"")</f>
        <v>0</v>
      </c>
      <c r="V152" s="173">
        <f>IFERROR(VLOOKUP($B152,Totalt!$B$1:$AQ$554,MATCH(V$2,Totalt!$B$1:$AQ$1,0),FALSE),"")</f>
        <v>0</v>
      </c>
      <c r="W152" s="173">
        <f>IFERROR(VLOOKUP($B152,Totalt!$B$1:$AQ$554,MATCH(W$2,Totalt!$B$1:$AQ$1,0),FALSE),"")</f>
        <v>4.6749999999999998</v>
      </c>
      <c r="X152" s="173">
        <f>IFERROR(VLOOKUP($B152,Totalt!$B$1:$AQ$554,MATCH(X$2,Totalt!$B$1:$AQ$1,0),FALSE),"")</f>
        <v>0</v>
      </c>
      <c r="Y152" s="173">
        <f>IFERROR(VLOOKUP($B152,Totalt!$B$1:$AQ$554,MATCH(Y$2,Totalt!$B$1:$AQ$1,0),FALSE),"")</f>
        <v>0</v>
      </c>
      <c r="Z152" s="173">
        <f>IFERROR(VLOOKUP($B152,Totalt!$B$1:$AQ$554,MATCH(Z$2,Totalt!$B$1:$AQ$1,0),FALSE),"")</f>
        <v>0</v>
      </c>
      <c r="AA152" s="173">
        <f>IFERROR(VLOOKUP($B152,Totalt!$B$1:$AQ$554,MATCH(AA$2,Totalt!$B$1:$AQ$1,0),FALSE),"")</f>
        <v>0</v>
      </c>
      <c r="AB152" s="173">
        <f>IFERROR(VLOOKUP($B152,Totalt!$B$1:$AQ$554,MATCH(AB$2,Totalt!$B$1:$AQ$1,0),FALSE),"")</f>
        <v>0</v>
      </c>
      <c r="AC152" s="173">
        <f>IFERROR(VLOOKUP($B152,Totalt!$B$1:$AQ$554,MATCH(AC$2,Totalt!$B$1:$AQ$1,0),FALSE),"")</f>
        <v>19.329999999999998</v>
      </c>
      <c r="AD152" s="173">
        <f>IFERROR(VLOOKUP($B152,Totalt!$B$1:$AQ$554,MATCH(AD$2,Totalt!$B$1:$AQ$1,0),FALSE),"")</f>
        <v>0</v>
      </c>
      <c r="AE152" s="173">
        <f>IFERROR(VLOOKUP($B152,Totalt!$B$1:$AQ$554,MATCH(AE$2,Totalt!$B$1:$AQ$1,0),FALSE),"")</f>
        <v>0</v>
      </c>
      <c r="AF152" s="173">
        <f>IFERROR(VLOOKUP($B152,Totalt!$B$1:$AQ$554,MATCH(AF$2,Totalt!$B$1:$AQ$1,0),FALSE),"")</f>
        <v>6.6128999999999998</v>
      </c>
      <c r="AG152" s="173">
        <f>IFERROR(VLOOKUP($B152,Totalt!$B$1:$AQ$554,MATCH(AG$2,Totalt!$B$1:$AQ$1,0),FALSE),"")</f>
        <v>0</v>
      </c>
      <c r="AI152" s="226">
        <f t="shared" si="12"/>
        <v>301.38490000000002</v>
      </c>
      <c r="AJ152" s="226">
        <f>IF(ISERROR(1/VLOOKUP($B152,Leveranser!$B$1:$S$500,MATCH("såld värme (gwh)",Leveranser!$B$1:$S$1,0),FALSE)),"",VLOOKUP($B152,Leveranser!$B$1:$S$500,MATCH("såld värme (gwh)",Leveranser!$B$1:$S$1,0),FALSE))</f>
        <v>220.43</v>
      </c>
      <c r="AM152" s="227" t="str">
        <f>IF(B152&lt;&gt;"",IF(VLOOKUP($B152,Totalt!$B$1:$AQ$554,MATCH("Kvalitetsgranskad:",Totalt!$B$1:$AQ$1,0),FALSE)="ja",VLOOKUP($B152,Miljö!$B$1:$AG$479,MATCH(AM$2,Miljö!$B$1:$AK$1,0),FALSE),""),"")</f>
        <v>Ja</v>
      </c>
      <c r="AN152" s="227" t="str">
        <f>IF(AM152="ja",VLOOKUP($B152,Miljö!$B$1:$J$479,MATCH("Typ av ursprungsspecificerad el   (Om inget värde anges används Nordisk residualmix, se inforuta) ()",Miljö!$B$1:$J$1,0),FALSE),IF(AM152="nej","Nordisk residualel",""))</f>
        <v>'Vattenkraft'</v>
      </c>
      <c r="AO152" s="227">
        <f>IF(AM152="","",VLOOKUP($B152,Miljö!$B$1:$J$479,MATCH("Fossilandel för ursprungspecificerad el ()",Miljö!$B$1:$J$1,0),FALSE))</f>
        <v>0</v>
      </c>
      <c r="AP152" s="227">
        <f>IF(AM152="","",IFERROR(VLOOKUP($B152,Miljö!$B$1:$J$479,MATCH("Kärnkraftsandel för ursprungsspecificerad el ()",Miljö!$B$1:$J$1,0),FALSE)/1,0))</f>
        <v>0</v>
      </c>
      <c r="AQ152" s="227">
        <f t="shared" si="13"/>
        <v>1</v>
      </c>
      <c r="AR152" s="227"/>
      <c r="AS152" s="227" t="str">
        <f t="shared" si="14"/>
        <v>Nej</v>
      </c>
      <c r="AT152" s="227" t="str">
        <f>IF(AS152="ja",VLOOKUP($B152,Miljö!$B$1:$O$500,MATCH("Fossil andel i procent (%)",Miljö!$B$1:$O$1,0),FALSE)/100,"")</f>
        <v/>
      </c>
      <c r="AU152" s="227"/>
      <c r="AV152" s="227" t="str">
        <f t="shared" si="15"/>
        <v>Nej</v>
      </c>
      <c r="AW152" s="227" t="str">
        <f>IF(AV152="ja",VLOOKUP($B152,'Egen hetvattenprod'!$B$1:$AO$500,MATCH("Värmekälla till värmepumpar ()",'Egen hetvattenprod'!$B$1:$AO$1,0),FALSE),"")</f>
        <v/>
      </c>
      <c r="AX152" s="227"/>
      <c r="AY152" s="227" t="str">
        <f t="shared" si="16"/>
        <v>Ja</v>
      </c>
      <c r="AZ152" s="228">
        <f>IF($AY152="ja",(VLOOKUP($B152,'Egen hetvattenprod'!$B$1:$BX$550,MATCH(AZ$2,'Egen hetvattenprod'!$B$1:$BX$1,0),FALSE)+VLOOKUP($B152,Kraftvärmeprod!$B$1:$BX$550,MATCH(AZ$2,Kraftvärmeprod!$B$1:$BX$1,0),FALSE))/$AC152,"")</f>
        <v>0</v>
      </c>
      <c r="BA152" s="228">
        <f>IF($AY152="ja",(VLOOKUP($B152,'Egen hetvattenprod'!$B$1:$BX$550,MATCH(BA$2,'Egen hetvattenprod'!$B$1:$BX$1,0),FALSE)+VLOOKUP($B152,Kraftvärmeprod!$B$1:$BX$550,MATCH(BA$2,Kraftvärmeprod!$B$1:$BX$1,0),FALSE))/$AC152,"")</f>
        <v>1</v>
      </c>
      <c r="BB152" s="228">
        <f>IF($AY152="ja",(VLOOKUP($B152,'Egen hetvattenprod'!$B$1:$BX$550,MATCH(BB$2,'Egen hetvattenprod'!$B$1:$BX$1,0),FALSE)+VLOOKUP($B152,Kraftvärmeprod!$B$1:$BX$550,MATCH(BB$2,Kraftvärmeprod!$B$1:$BX$1,0),FALSE))/$AC152,"")</f>
        <v>0</v>
      </c>
      <c r="BC152" s="228">
        <f>IF($AY152="ja",(VLOOKUP($B152,'Egen hetvattenprod'!$B$1:$BX$550,MATCH(BC$2,'Egen hetvattenprod'!$B$1:$BX$1,0),FALSE)+VLOOKUP($B152,Kraftvärmeprod!$B$1:$BX$550,MATCH(BC$2,Kraftvärmeprod!$B$1:$BX$1,0),FALSE))/$AC152,"")</f>
        <v>0</v>
      </c>
      <c r="BD152" s="228">
        <f>IF($AY152="ja",(VLOOKUP($B152,'Egen hetvattenprod'!$B$1:$BX$550,MATCH(BD$2,'Egen hetvattenprod'!$B$1:$BX$1,0),FALSE)+VLOOKUP($B152,Kraftvärmeprod!$B$1:$BX$550,MATCH(BD$2,Kraftvärmeprod!$B$1:$BX$1,0),FALSE))/$AC152,"")</f>
        <v>0</v>
      </c>
      <c r="BE152" s="227"/>
      <c r="BF152" s="227" t="str">
        <f t="shared" si="17"/>
        <v>Ja</v>
      </c>
      <c r="BG152" s="227" t="str">
        <f>IF($BF152="ja",VLOOKUP($B152,'Egen hetvattenprod'!$B$1:$BX$550,MATCH("Andelen klimatgaser med fossilt ursprung för avfall ()",'Egen hetvattenprod'!$B$1:$BX$1,0),FALSE),"")</f>
        <v>Ingen redovisning</v>
      </c>
      <c r="BH152" s="227" t="str">
        <f>IF($BF152="ja",VLOOKUP($B152,Kraftvärmeprod!$B$1:$BX$550,MATCH("Andelen klimatgaser med fossilt ursprung för avfall ()",Kraftvärmeprod!$B$1:$BX$1,0),FALSE),"")</f>
        <v>Ingen redovisning</v>
      </c>
      <c r="BI152" s="227">
        <f>IF($BF152="ja",VLOOKUP($B152,'Egen hetvattenprod'!$B$1:$BX$550,MATCH("Avfall (GWh)",'Egen hetvattenprod'!$B$1:$BX$1,0),FALSE),"")</f>
        <v>206.31</v>
      </c>
      <c r="BJ152" s="227">
        <f>IF($BF152="ja",VLOOKUP($B152,'Slutlig allokering kvv'!$B$1:$BX$550,MATCH("Avfall (GWh)",'Slutlig allokering kvv'!$B$1:$BX$1,0),FALSE),"")</f>
        <v>60.571300000000001</v>
      </c>
      <c r="BK152" s="227">
        <f>IF($BF152="ja",VLOOKUP($B152,'Köpt hetvatten'!$B$1:$BX$550,MATCH("Avfall i köpt hetvatten",'Köpt hetvatten'!$B$1:$BX$1,0),FALSE),"")</f>
        <v>0</v>
      </c>
      <c r="BL152" s="227" t="str">
        <f>IF($BF152="ja",VLOOKUP($B152,'Egen hetvattenprod'!$B$1:$BX$550,MATCH("Värde enligt ovan. (%)",'Egen hetvattenprod'!$B$1:$BX$1,0),FALSE),"")</f>
        <v>ET</v>
      </c>
      <c r="BM152" s="227" t="str">
        <f>IF($BF152="ja",VLOOKUP($B152,Kraftvärmeprod!$B$1:$BX$550,MATCH("Värde enligt ovan. (%)",Kraftvärmeprod!$B$1:$BX$1,0),FALSE),"")</f>
        <v>ET</v>
      </c>
      <c r="BN152" s="227"/>
      <c r="BO152" s="227"/>
      <c r="BP152" s="227"/>
      <c r="BQ152" s="227" t="str">
        <f>IF($BF152="ja",VLOOKUP($B152,'Egen hetvattenprod'!$B$1:$BX$550,MATCH("Tillförd olja (fossil) vid avfallsförbränning (GWh)",'Egen hetvattenprod'!$B$1:$BX$1,0),FALSE),"")</f>
        <v>ET</v>
      </c>
      <c r="BR152" s="227" t="str">
        <f>IF($BF152="ja",VLOOKUP($B152,Kraftvärmeprod!$B$1:$BX$550,MATCH("Tillförd olja (fossil) vid avfallsförbränning (GWh)",Kraftvärmeprod!$B$1:$BX$1,0),FALSE),"")</f>
        <v>ET</v>
      </c>
      <c r="BS152" s="227"/>
      <c r="BT152" s="227"/>
      <c r="BU152" s="227"/>
    </row>
    <row r="153" spans="1:73" x14ac:dyDescent="0.25">
      <c r="A153" s="121" t="str">
        <f>'Miljövärden för publ företag'!B156</f>
        <v>Lilla Edets Fjärrvärme AB</v>
      </c>
      <c r="B153" s="121" t="str">
        <f>'Miljövärden för publ företag'!C156</f>
        <v>Lilla Edet</v>
      </c>
      <c r="C153" s="173">
        <f>IFERROR(VLOOKUP($B153,Totalt!$B$1:$AQ$554,MATCH(C$2,Totalt!$B$1:$AQ$1,0),FALSE),"")</f>
        <v>0</v>
      </c>
      <c r="D153" s="173">
        <f>IFERROR(VLOOKUP($B153,Totalt!$B$1:$AQ$554,MATCH(D$2,Totalt!$B$1:$AQ$1,0),FALSE),"")</f>
        <v>0.45800000000000002</v>
      </c>
      <c r="E153" s="173">
        <f>IFERROR(VLOOKUP($B153,Totalt!$B$1:$AQ$554,MATCH(E$2,Totalt!$B$1:$AQ$1,0),FALSE),"")</f>
        <v>0</v>
      </c>
      <c r="F153" s="173">
        <f>IFERROR(VLOOKUP($B153,Totalt!$B$1:$AQ$554,MATCH(F$2,Totalt!$B$1:$AQ$1,0),FALSE),"")</f>
        <v>0</v>
      </c>
      <c r="G153" s="173">
        <f>IFERROR(VLOOKUP($B153,Totalt!$B$1:$AQ$554,MATCH(G$2,Totalt!$B$1:$AQ$1,0),FALSE),"")</f>
        <v>0</v>
      </c>
      <c r="H153" s="173">
        <f>IFERROR(VLOOKUP($B153,Totalt!$B$1:$AQ$554,MATCH(H$2,Totalt!$B$1:$AQ$1,0),FALSE),"")</f>
        <v>0</v>
      </c>
      <c r="I153" s="173">
        <f>IFERROR(VLOOKUP($B153,Totalt!$B$1:$AQ$554,MATCH(I$2,Totalt!$B$1:$AQ$1,0),FALSE),"")</f>
        <v>0</v>
      </c>
      <c r="J153" s="173">
        <f>IFERROR(VLOOKUP($B153,Totalt!$B$1:$AQ$554,MATCH(J$2,Totalt!$B$1:$AQ$1,0),FALSE),"")</f>
        <v>0</v>
      </c>
      <c r="K153" s="173">
        <f>IFERROR(VLOOKUP($B153,Totalt!$B$1:$AQ$554,MATCH(K$2,Totalt!$B$1:$AQ$1,0),FALSE),"")</f>
        <v>0</v>
      </c>
      <c r="L153" s="173">
        <f>IFERROR(VLOOKUP($B153,Totalt!$B$1:$AQ$554,MATCH(L$2,Totalt!$B$1:$AQ$1,0),FALSE),"")</f>
        <v>0</v>
      </c>
      <c r="M153" s="173">
        <f>IFERROR(VLOOKUP($B153,Totalt!$B$1:$AQ$554,MATCH(M$2,Totalt!$B$1:$AQ$1,0),FALSE),"")</f>
        <v>0</v>
      </c>
      <c r="N153" s="173">
        <f>IFERROR(VLOOKUP($B153,Totalt!$B$1:$AQ$554,MATCH(N$2,Totalt!$B$1:$AQ$1,0),FALSE),"")</f>
        <v>0</v>
      </c>
      <c r="O153" s="173">
        <f>IFERROR(VLOOKUP($B153,Totalt!$B$1:$AQ$554,MATCH(O$2,Totalt!$B$1:$AQ$1,0),FALSE),"")</f>
        <v>0</v>
      </c>
      <c r="P153" s="173">
        <f>IFERROR(VLOOKUP($B153,Totalt!$B$1:$AQ$554,MATCH(P$2,Totalt!$B$1:$AQ$1,0),FALSE),"")</f>
        <v>0</v>
      </c>
      <c r="Q153" s="173">
        <f>IFERROR(VLOOKUP($B153,Totalt!$B$1:$AQ$554,MATCH(Q$2,Totalt!$B$1:$AQ$1,0),FALSE),"")</f>
        <v>15.8</v>
      </c>
      <c r="R153" s="173">
        <f>IFERROR(VLOOKUP($B153,Totalt!$B$1:$AQ$554,MATCH(R$2,Totalt!$B$1:$AQ$1,0),FALSE),"")</f>
        <v>0</v>
      </c>
      <c r="S153" s="173">
        <f>IFERROR(VLOOKUP($B153,Totalt!$B$1:$AQ$554,MATCH(S$2,Totalt!$B$1:$AQ$1,0),FALSE),"")</f>
        <v>0</v>
      </c>
      <c r="T153" s="173">
        <f>IFERROR(VLOOKUP($B153,Totalt!$B$1:$AQ$554,MATCH(T$2,Totalt!$B$1:$AQ$1,0),FALSE),"")</f>
        <v>0</v>
      </c>
      <c r="U153" s="173">
        <f>IFERROR(VLOOKUP($B153,Totalt!$B$1:$AQ$554,MATCH(U$2,Totalt!$B$1:$AQ$1,0),FALSE),"")</f>
        <v>0</v>
      </c>
      <c r="V153" s="173">
        <f>IFERROR(VLOOKUP($B153,Totalt!$B$1:$AQ$554,MATCH(V$2,Totalt!$B$1:$AQ$1,0),FALSE),"")</f>
        <v>0</v>
      </c>
      <c r="W153" s="173">
        <f>IFERROR(VLOOKUP($B153,Totalt!$B$1:$AQ$554,MATCH(W$2,Totalt!$B$1:$AQ$1,0),FALSE),"")</f>
        <v>0</v>
      </c>
      <c r="X153" s="173">
        <f>IFERROR(VLOOKUP($B153,Totalt!$B$1:$AQ$554,MATCH(X$2,Totalt!$B$1:$AQ$1,0),FALSE),"")</f>
        <v>0</v>
      </c>
      <c r="Y153" s="173">
        <f>IFERROR(VLOOKUP($B153,Totalt!$B$1:$AQ$554,MATCH(Y$2,Totalt!$B$1:$AQ$1,0),FALSE),"")</f>
        <v>0</v>
      </c>
      <c r="Z153" s="173">
        <f>IFERROR(VLOOKUP($B153,Totalt!$B$1:$AQ$554,MATCH(Z$2,Totalt!$B$1:$AQ$1,0),FALSE),"")</f>
        <v>0</v>
      </c>
      <c r="AA153" s="173">
        <f>IFERROR(VLOOKUP($B153,Totalt!$B$1:$AQ$554,MATCH(AA$2,Totalt!$B$1:$AQ$1,0),FALSE),"")</f>
        <v>0</v>
      </c>
      <c r="AB153" s="173">
        <f>IFERROR(VLOOKUP($B153,Totalt!$B$1:$AQ$554,MATCH(AB$2,Totalt!$B$1:$AQ$1,0),FALSE),"")</f>
        <v>0</v>
      </c>
      <c r="AC153" s="173">
        <f>IFERROR(VLOOKUP($B153,Totalt!$B$1:$AQ$554,MATCH(AC$2,Totalt!$B$1:$AQ$1,0),FALSE),"")</f>
        <v>0</v>
      </c>
      <c r="AD153" s="173">
        <f>IFERROR(VLOOKUP($B153,Totalt!$B$1:$AQ$554,MATCH(AD$2,Totalt!$B$1:$AQ$1,0),FALSE),"")</f>
        <v>0</v>
      </c>
      <c r="AE153" s="173">
        <f>IFERROR(VLOOKUP($B153,Totalt!$B$1:$AQ$554,MATCH(AE$2,Totalt!$B$1:$AQ$1,0),FALSE),"")</f>
        <v>0</v>
      </c>
      <c r="AF153" s="173">
        <f>IFERROR(VLOOKUP($B153,Totalt!$B$1:$AQ$554,MATCH(AF$2,Totalt!$B$1:$AQ$1,0),FALSE),"")</f>
        <v>0.36969000000000002</v>
      </c>
      <c r="AG153" s="173">
        <f>IFERROR(VLOOKUP($B153,Totalt!$B$1:$AQ$554,MATCH(AG$2,Totalt!$B$1:$AQ$1,0),FALSE),"")</f>
        <v>0</v>
      </c>
      <c r="AI153" s="226">
        <f t="shared" si="12"/>
        <v>16.627689999999998</v>
      </c>
      <c r="AJ153" s="226">
        <f>IF(ISERROR(1/VLOOKUP($B153,Leveranser!$B$1:$S$500,MATCH("såld värme (gwh)",Leveranser!$B$1:$S$1,0),FALSE)),"",VLOOKUP($B153,Leveranser!$B$1:$S$500,MATCH("såld värme (gwh)",Leveranser!$B$1:$S$1,0),FALSE))</f>
        <v>12.323</v>
      </c>
      <c r="AM153" s="227" t="str">
        <f>IF(B153&lt;&gt;"",IF(VLOOKUP($B153,Totalt!$B$1:$AQ$554,MATCH("Kvalitetsgranskad:",Totalt!$B$1:$AQ$1,0),FALSE)="ja",VLOOKUP($B153,Miljö!$B$1:$AG$479,MATCH(AM$2,Miljö!$B$1:$AK$1,0),FALSE),""),"")</f>
        <v>Ja</v>
      </c>
      <c r="AN153" s="227" t="str">
        <f>IF(AM153="ja",VLOOKUP($B153,Miljö!$B$1:$J$479,MATCH("Typ av ursprungsspecificerad el   (Om inget värde anges används Nordisk residualmix, se inforuta) ()",Miljö!$B$1:$J$1,0),FALSE),IF(AM153="nej","Nordisk residualel",""))</f>
        <v>-</v>
      </c>
      <c r="AO153" s="227">
        <f>IF(AM153="","",VLOOKUP($B153,Miljö!$B$1:$J$479,MATCH("Fossilandel för ursprungspecificerad el ()",Miljö!$B$1:$J$1,0),FALSE))</f>
        <v>0.43</v>
      </c>
      <c r="AP153" s="227">
        <f>IF(AM153="","",IFERROR(VLOOKUP($B153,Miljö!$B$1:$J$479,MATCH("Kärnkraftsandel för ursprungsspecificerad el ()",Miljö!$B$1:$J$1,0),FALSE)/1,0))</f>
        <v>0.40550000000000003</v>
      </c>
      <c r="AQ153" s="227">
        <f t="shared" si="13"/>
        <v>0.16450000000000004</v>
      </c>
      <c r="AR153" s="227"/>
      <c r="AS153" s="227" t="str">
        <f t="shared" si="14"/>
        <v>Nej</v>
      </c>
      <c r="AT153" s="227" t="str">
        <f>IF(AS153="ja",VLOOKUP($B153,Miljö!$B$1:$O$500,MATCH("Fossil andel i procent (%)",Miljö!$B$1:$O$1,0),FALSE)/100,"")</f>
        <v/>
      </c>
      <c r="AU153" s="227"/>
      <c r="AV153" s="227" t="str">
        <f t="shared" si="15"/>
        <v>Nej</v>
      </c>
      <c r="AW153" s="227" t="str">
        <f>IF(AV153="ja",VLOOKUP($B153,'Egen hetvattenprod'!$B$1:$AO$500,MATCH("Värmekälla till värmepumpar ()",'Egen hetvattenprod'!$B$1:$AO$1,0),FALSE),"")</f>
        <v/>
      </c>
      <c r="AX153" s="227"/>
      <c r="AY153" s="227" t="str">
        <f t="shared" si="16"/>
        <v>Nej</v>
      </c>
      <c r="AZ153" s="228" t="str">
        <f>IF($AY153="ja",(VLOOKUP($B153,'Egen hetvattenprod'!$B$1:$BX$550,MATCH(AZ$2,'Egen hetvattenprod'!$B$1:$BX$1,0),FALSE)+VLOOKUP($B153,Kraftvärmeprod!$B$1:$BX$550,MATCH(AZ$2,Kraftvärmeprod!$B$1:$BX$1,0),FALSE))/$AC153,"")</f>
        <v/>
      </c>
      <c r="BA153" s="228" t="str">
        <f>IF($AY153="ja",(VLOOKUP($B153,'Egen hetvattenprod'!$B$1:$BX$550,MATCH(BA$2,'Egen hetvattenprod'!$B$1:$BX$1,0),FALSE)+VLOOKUP($B153,Kraftvärmeprod!$B$1:$BX$550,MATCH(BA$2,Kraftvärmeprod!$B$1:$BX$1,0),FALSE))/$AC153,"")</f>
        <v/>
      </c>
      <c r="BB153" s="228" t="str">
        <f>IF($AY153="ja",(VLOOKUP($B153,'Egen hetvattenprod'!$B$1:$BX$550,MATCH(BB$2,'Egen hetvattenprod'!$B$1:$BX$1,0),FALSE)+VLOOKUP($B153,Kraftvärmeprod!$B$1:$BX$550,MATCH(BB$2,Kraftvärmeprod!$B$1:$BX$1,0),FALSE))/$AC153,"")</f>
        <v/>
      </c>
      <c r="BC153" s="228" t="str">
        <f>IF($AY153="ja",(VLOOKUP($B153,'Egen hetvattenprod'!$B$1:$BX$550,MATCH(BC$2,'Egen hetvattenprod'!$B$1:$BX$1,0),FALSE)+VLOOKUP($B153,Kraftvärmeprod!$B$1:$BX$550,MATCH(BC$2,Kraftvärmeprod!$B$1:$BX$1,0),FALSE))/$AC153,"")</f>
        <v/>
      </c>
      <c r="BD153" s="228" t="str">
        <f>IF($AY153="ja",(VLOOKUP($B153,'Egen hetvattenprod'!$B$1:$BX$550,MATCH(BD$2,'Egen hetvattenprod'!$B$1:$BX$1,0),FALSE)+VLOOKUP($B153,Kraftvärmeprod!$B$1:$BX$550,MATCH(BD$2,Kraftvärmeprod!$B$1:$BX$1,0),FALSE))/$AC153,"")</f>
        <v/>
      </c>
      <c r="BE153" s="227"/>
      <c r="BF153" s="227" t="str">
        <f t="shared" si="17"/>
        <v>Nej</v>
      </c>
      <c r="BG153" s="227" t="str">
        <f>IF($BF153="ja",VLOOKUP($B153,'Egen hetvattenprod'!$B$1:$BX$550,MATCH("Andelen klimatgaser med fossilt ursprung för avfall ()",'Egen hetvattenprod'!$B$1:$BX$1,0),FALSE),"")</f>
        <v/>
      </c>
      <c r="BH153" s="227" t="str">
        <f>IF($BF153="ja",VLOOKUP($B153,Kraftvärmeprod!$B$1:$BX$550,MATCH("Andelen klimatgaser med fossilt ursprung för avfall ()",Kraftvärmeprod!$B$1:$BX$1,0),FALSE),"")</f>
        <v/>
      </c>
      <c r="BI153" s="227" t="str">
        <f>IF($BF153="ja",VLOOKUP($B153,'Egen hetvattenprod'!$B$1:$BX$550,MATCH("Avfall (GWh)",'Egen hetvattenprod'!$B$1:$BX$1,0),FALSE),"")</f>
        <v/>
      </c>
      <c r="BJ153" s="227" t="str">
        <f>IF($BF153="ja",VLOOKUP($B153,'Slutlig allokering kvv'!$B$1:$BX$550,MATCH("Avfall (GWh)",'Slutlig allokering kvv'!$B$1:$BX$1,0),FALSE),"")</f>
        <v/>
      </c>
      <c r="BK153" s="227" t="str">
        <f>IF($BF153="ja",VLOOKUP($B153,'Köpt hetvatten'!$B$1:$BX$550,MATCH("Avfall i köpt hetvatten",'Köpt hetvatten'!$B$1:$BX$1,0),FALSE),"")</f>
        <v/>
      </c>
      <c r="BL153" s="227" t="str">
        <f>IF($BF153="ja",VLOOKUP($B153,'Egen hetvattenprod'!$B$1:$BX$550,MATCH("Värde enligt ovan. (%)",'Egen hetvattenprod'!$B$1:$BX$1,0),FALSE),"")</f>
        <v/>
      </c>
      <c r="BM153" s="227" t="str">
        <f>IF($BF153="ja",VLOOKUP($B153,Kraftvärmeprod!$B$1:$BX$550,MATCH("Värde enligt ovan. (%)",Kraftvärmeprod!$B$1:$BX$1,0),FALSE),"")</f>
        <v/>
      </c>
      <c r="BN153" s="227"/>
      <c r="BO153" s="227"/>
      <c r="BP153" s="227"/>
      <c r="BQ153" s="227" t="str">
        <f>IF($BF153="ja",VLOOKUP($B153,'Egen hetvattenprod'!$B$1:$BX$550,MATCH("Tillförd olja (fossil) vid avfallsförbränning (GWh)",'Egen hetvattenprod'!$B$1:$BX$1,0),FALSE),"")</f>
        <v/>
      </c>
      <c r="BR153" s="227" t="str">
        <f>IF($BF153="ja",VLOOKUP($B153,Kraftvärmeprod!$B$1:$BX$550,MATCH("Tillförd olja (fossil) vid avfallsförbränning (GWh)",Kraftvärmeprod!$B$1:$BX$1,0),FALSE),"")</f>
        <v/>
      </c>
      <c r="BS153" s="227"/>
      <c r="BT153" s="227"/>
      <c r="BU153" s="227"/>
    </row>
    <row r="154" spans="1:73" x14ac:dyDescent="0.25">
      <c r="A154" s="121" t="str">
        <f>'Miljövärden för publ företag'!B157</f>
        <v>Linde Energi AB</v>
      </c>
      <c r="B154" s="121" t="str">
        <f>'Miljövärden för publ företag'!C157</f>
        <v>Frövi</v>
      </c>
      <c r="C154" s="173">
        <f>IFERROR(VLOOKUP($B154,Totalt!$B$1:$AQ$554,MATCH(C$2,Totalt!$B$1:$AQ$1,0),FALSE),"")</f>
        <v>0</v>
      </c>
      <c r="D154" s="173">
        <f>IFERROR(VLOOKUP($B154,Totalt!$B$1:$AQ$554,MATCH(D$2,Totalt!$B$1:$AQ$1,0),FALSE),"")</f>
        <v>0.56599999999999995</v>
      </c>
      <c r="E154" s="173">
        <f>IFERROR(VLOOKUP($B154,Totalt!$B$1:$AQ$554,MATCH(E$2,Totalt!$B$1:$AQ$1,0),FALSE),"")</f>
        <v>0</v>
      </c>
      <c r="F154" s="173">
        <f>IFERROR(VLOOKUP($B154,Totalt!$B$1:$AQ$554,MATCH(F$2,Totalt!$B$1:$AQ$1,0),FALSE),"")</f>
        <v>0</v>
      </c>
      <c r="G154" s="173">
        <f>IFERROR(VLOOKUP($B154,Totalt!$B$1:$AQ$554,MATCH(G$2,Totalt!$B$1:$AQ$1,0),FALSE),"")</f>
        <v>0</v>
      </c>
      <c r="H154" s="173">
        <f>IFERROR(VLOOKUP($B154,Totalt!$B$1:$AQ$554,MATCH(H$2,Totalt!$B$1:$AQ$1,0),FALSE),"")</f>
        <v>0</v>
      </c>
      <c r="I154" s="173">
        <f>IFERROR(VLOOKUP($B154,Totalt!$B$1:$AQ$554,MATCH(I$2,Totalt!$B$1:$AQ$1,0),FALSE),"")</f>
        <v>0</v>
      </c>
      <c r="J154" s="173">
        <f>IFERROR(VLOOKUP($B154,Totalt!$B$1:$AQ$554,MATCH(J$2,Totalt!$B$1:$AQ$1,0),FALSE),"")</f>
        <v>0</v>
      </c>
      <c r="K154" s="173">
        <f>IFERROR(VLOOKUP($B154,Totalt!$B$1:$AQ$554,MATCH(K$2,Totalt!$B$1:$AQ$1,0),FALSE),"")</f>
        <v>0</v>
      </c>
      <c r="L154" s="173">
        <f>IFERROR(VLOOKUP($B154,Totalt!$B$1:$AQ$554,MATCH(L$2,Totalt!$B$1:$AQ$1,0),FALSE),"")</f>
        <v>0</v>
      </c>
      <c r="M154" s="173">
        <f>IFERROR(VLOOKUP($B154,Totalt!$B$1:$AQ$554,MATCH(M$2,Totalt!$B$1:$AQ$1,0),FALSE),"")</f>
        <v>0</v>
      </c>
      <c r="N154" s="173">
        <f>IFERROR(VLOOKUP($B154,Totalt!$B$1:$AQ$554,MATCH(N$2,Totalt!$B$1:$AQ$1,0),FALSE),"")</f>
        <v>0</v>
      </c>
      <c r="O154" s="173">
        <f>IFERROR(VLOOKUP($B154,Totalt!$B$1:$AQ$554,MATCH(O$2,Totalt!$B$1:$AQ$1,0),FALSE),"")</f>
        <v>0</v>
      </c>
      <c r="P154" s="173">
        <f>IFERROR(VLOOKUP($B154,Totalt!$B$1:$AQ$554,MATCH(P$2,Totalt!$B$1:$AQ$1,0),FALSE),"")</f>
        <v>0</v>
      </c>
      <c r="Q154" s="173">
        <f>IFERROR(VLOOKUP($B154,Totalt!$B$1:$AQ$554,MATCH(Q$2,Totalt!$B$1:$AQ$1,0),FALSE),"")</f>
        <v>0.28235300000000002</v>
      </c>
      <c r="R154" s="173">
        <f>IFERROR(VLOOKUP($B154,Totalt!$B$1:$AQ$554,MATCH(R$2,Totalt!$B$1:$AQ$1,0),FALSE),"")</f>
        <v>0</v>
      </c>
      <c r="S154" s="173">
        <f>IFERROR(VLOOKUP($B154,Totalt!$B$1:$AQ$554,MATCH(S$2,Totalt!$B$1:$AQ$1,0),FALSE),"")</f>
        <v>0</v>
      </c>
      <c r="T154" s="173">
        <f>IFERROR(VLOOKUP($B154,Totalt!$B$1:$AQ$554,MATCH(T$2,Totalt!$B$1:$AQ$1,0),FALSE),"")</f>
        <v>0</v>
      </c>
      <c r="U154" s="173">
        <f>IFERROR(VLOOKUP($B154,Totalt!$B$1:$AQ$554,MATCH(U$2,Totalt!$B$1:$AQ$1,0),FALSE),"")</f>
        <v>0</v>
      </c>
      <c r="V154" s="173">
        <f>IFERROR(VLOOKUP($B154,Totalt!$B$1:$AQ$554,MATCH(V$2,Totalt!$B$1:$AQ$1,0),FALSE),"")</f>
        <v>0</v>
      </c>
      <c r="W154" s="173">
        <f>IFERROR(VLOOKUP($B154,Totalt!$B$1:$AQ$554,MATCH(W$2,Totalt!$B$1:$AQ$1,0),FALSE),"")</f>
        <v>0</v>
      </c>
      <c r="X154" s="173">
        <f>IFERROR(VLOOKUP($B154,Totalt!$B$1:$AQ$554,MATCH(X$2,Totalt!$B$1:$AQ$1,0),FALSE),"")</f>
        <v>0</v>
      </c>
      <c r="Y154" s="173">
        <f>IFERROR(VLOOKUP($B154,Totalt!$B$1:$AQ$554,MATCH(Y$2,Totalt!$B$1:$AQ$1,0),FALSE),"")</f>
        <v>0</v>
      </c>
      <c r="Z154" s="173">
        <f>IFERROR(VLOOKUP($B154,Totalt!$B$1:$AQ$554,MATCH(Z$2,Totalt!$B$1:$AQ$1,0),FALSE),"")</f>
        <v>0</v>
      </c>
      <c r="AA154" s="173">
        <f>IFERROR(VLOOKUP($B154,Totalt!$B$1:$AQ$554,MATCH(AA$2,Totalt!$B$1:$AQ$1,0),FALSE),"")</f>
        <v>0</v>
      </c>
      <c r="AB154" s="173">
        <f>IFERROR(VLOOKUP($B154,Totalt!$B$1:$AQ$554,MATCH(AB$2,Totalt!$B$1:$AQ$1,0),FALSE),"")</f>
        <v>0</v>
      </c>
      <c r="AC154" s="173">
        <f>IFERROR(VLOOKUP($B154,Totalt!$B$1:$AQ$554,MATCH(AC$2,Totalt!$B$1:$AQ$1,0),FALSE),"")</f>
        <v>0</v>
      </c>
      <c r="AD154" s="173">
        <f>IFERROR(VLOOKUP($B154,Totalt!$B$1:$AQ$554,MATCH(AD$2,Totalt!$B$1:$AQ$1,0),FALSE),"")</f>
        <v>17.600000000000001</v>
      </c>
      <c r="AE154" s="173">
        <f>IFERROR(VLOOKUP($B154,Totalt!$B$1:$AQ$554,MATCH(AE$2,Totalt!$B$1:$AQ$1,0),FALSE),"")</f>
        <v>0</v>
      </c>
      <c r="AF154" s="173">
        <f>IFERROR(VLOOKUP($B154,Totalt!$B$1:$AQ$554,MATCH(AF$2,Totalt!$B$1:$AQ$1,0),FALSE),"")</f>
        <v>8.6999999999999994E-2</v>
      </c>
      <c r="AG154" s="173">
        <f>IFERROR(VLOOKUP($B154,Totalt!$B$1:$AQ$554,MATCH(AG$2,Totalt!$B$1:$AQ$1,0),FALSE),"")</f>
        <v>0</v>
      </c>
      <c r="AI154" s="226">
        <f t="shared" si="12"/>
        <v>18.535353000000001</v>
      </c>
      <c r="AJ154" s="226">
        <f>IF(ISERROR(1/VLOOKUP($B154,Leveranser!$B$1:$S$500,MATCH("såld värme (gwh)",Leveranser!$B$1:$S$1,0),FALSE)),"",VLOOKUP($B154,Leveranser!$B$1:$S$500,MATCH("såld värme (gwh)",Leveranser!$B$1:$S$1,0),FALSE))</f>
        <v>14.1</v>
      </c>
      <c r="AM154" s="227" t="str">
        <f>IF(B154&lt;&gt;"",IF(VLOOKUP($B154,Totalt!$B$1:$AQ$554,MATCH("Kvalitetsgranskad:",Totalt!$B$1:$AQ$1,0),FALSE)="ja",VLOOKUP($B154,Miljö!$B$1:$AG$479,MATCH(AM$2,Miljö!$B$1:$AK$1,0),FALSE),""),"")</f>
        <v>Ja</v>
      </c>
      <c r="AN154" s="227" t="str">
        <f>IF(AM154="ja",VLOOKUP($B154,Miljö!$B$1:$J$479,MATCH("Typ av ursprungsspecificerad el   (Om inget värde anges används Nordisk residualmix, se inforuta) ()",Miljö!$B$1:$J$1,0),FALSE),IF(AM154="nej","Nordisk residualel",""))</f>
        <v>'Vattenkraft'</v>
      </c>
      <c r="AO154" s="227">
        <f>IF(AM154="","",VLOOKUP($B154,Miljö!$B$1:$J$479,MATCH("Fossilandel för ursprungspecificerad el ()",Miljö!$B$1:$J$1,0),FALSE))</f>
        <v>0</v>
      </c>
      <c r="AP154" s="227">
        <f>IF(AM154="","",IFERROR(VLOOKUP($B154,Miljö!$B$1:$J$479,MATCH("Kärnkraftsandel för ursprungsspecificerad el ()",Miljö!$B$1:$J$1,0),FALSE)/1,0))</f>
        <v>0</v>
      </c>
      <c r="AQ154" s="227">
        <f t="shared" si="13"/>
        <v>1</v>
      </c>
      <c r="AR154" s="227"/>
      <c r="AS154" s="227" t="str">
        <f t="shared" si="14"/>
        <v>Nej</v>
      </c>
      <c r="AT154" s="227" t="str">
        <f>IF(AS154="ja",VLOOKUP($B154,Miljö!$B$1:$O$500,MATCH("Fossil andel i procent (%)",Miljö!$B$1:$O$1,0),FALSE)/100,"")</f>
        <v/>
      </c>
      <c r="AU154" s="227"/>
      <c r="AV154" s="227" t="str">
        <f t="shared" si="15"/>
        <v>Nej</v>
      </c>
      <c r="AW154" s="227" t="str">
        <f>IF(AV154="ja",VLOOKUP($B154,'Egen hetvattenprod'!$B$1:$AO$500,MATCH("Värmekälla till värmepumpar ()",'Egen hetvattenprod'!$B$1:$AO$1,0),FALSE),"")</f>
        <v/>
      </c>
      <c r="AX154" s="227"/>
      <c r="AY154" s="227" t="str">
        <f t="shared" si="16"/>
        <v>Nej</v>
      </c>
      <c r="AZ154" s="228" t="str">
        <f>IF($AY154="ja",(VLOOKUP($B154,'Egen hetvattenprod'!$B$1:$BX$550,MATCH(AZ$2,'Egen hetvattenprod'!$B$1:$BX$1,0),FALSE)+VLOOKUP($B154,Kraftvärmeprod!$B$1:$BX$550,MATCH(AZ$2,Kraftvärmeprod!$B$1:$BX$1,0),FALSE))/$AC154,"")</f>
        <v/>
      </c>
      <c r="BA154" s="228" t="str">
        <f>IF($AY154="ja",(VLOOKUP($B154,'Egen hetvattenprod'!$B$1:$BX$550,MATCH(BA$2,'Egen hetvattenprod'!$B$1:$BX$1,0),FALSE)+VLOOKUP($B154,Kraftvärmeprod!$B$1:$BX$550,MATCH(BA$2,Kraftvärmeprod!$B$1:$BX$1,0),FALSE))/$AC154,"")</f>
        <v/>
      </c>
      <c r="BB154" s="228" t="str">
        <f>IF($AY154="ja",(VLOOKUP($B154,'Egen hetvattenprod'!$B$1:$BX$550,MATCH(BB$2,'Egen hetvattenprod'!$B$1:$BX$1,0),FALSE)+VLOOKUP($B154,Kraftvärmeprod!$B$1:$BX$550,MATCH(BB$2,Kraftvärmeprod!$B$1:$BX$1,0),FALSE))/$AC154,"")</f>
        <v/>
      </c>
      <c r="BC154" s="228" t="str">
        <f>IF($AY154="ja",(VLOOKUP($B154,'Egen hetvattenprod'!$B$1:$BX$550,MATCH(BC$2,'Egen hetvattenprod'!$B$1:$BX$1,0),FALSE)+VLOOKUP($B154,Kraftvärmeprod!$B$1:$BX$550,MATCH(BC$2,Kraftvärmeprod!$B$1:$BX$1,0),FALSE))/$AC154,"")</f>
        <v/>
      </c>
      <c r="BD154" s="228" t="str">
        <f>IF($AY154="ja",(VLOOKUP($B154,'Egen hetvattenprod'!$B$1:$BX$550,MATCH(BD$2,'Egen hetvattenprod'!$B$1:$BX$1,0),FALSE)+VLOOKUP($B154,Kraftvärmeprod!$B$1:$BX$550,MATCH(BD$2,Kraftvärmeprod!$B$1:$BX$1,0),FALSE))/$AC154,"")</f>
        <v/>
      </c>
      <c r="BE154" s="227"/>
      <c r="BF154" s="227" t="str">
        <f t="shared" si="17"/>
        <v>Nej</v>
      </c>
      <c r="BG154" s="227" t="str">
        <f>IF($BF154="ja",VLOOKUP($B154,'Egen hetvattenprod'!$B$1:$BX$550,MATCH("Andelen klimatgaser med fossilt ursprung för avfall ()",'Egen hetvattenprod'!$B$1:$BX$1,0),FALSE),"")</f>
        <v/>
      </c>
      <c r="BH154" s="227" t="str">
        <f>IF($BF154="ja",VLOOKUP($B154,Kraftvärmeprod!$B$1:$BX$550,MATCH("Andelen klimatgaser med fossilt ursprung för avfall ()",Kraftvärmeprod!$B$1:$BX$1,0),FALSE),"")</f>
        <v/>
      </c>
      <c r="BI154" s="227" t="str">
        <f>IF($BF154="ja",VLOOKUP($B154,'Egen hetvattenprod'!$B$1:$BX$550,MATCH("Avfall (GWh)",'Egen hetvattenprod'!$B$1:$BX$1,0),FALSE),"")</f>
        <v/>
      </c>
      <c r="BJ154" s="227" t="str">
        <f>IF($BF154="ja",VLOOKUP($B154,'Slutlig allokering kvv'!$B$1:$BX$550,MATCH("Avfall (GWh)",'Slutlig allokering kvv'!$B$1:$BX$1,0),FALSE),"")</f>
        <v/>
      </c>
      <c r="BK154" s="227" t="str">
        <f>IF($BF154="ja",VLOOKUP($B154,'Köpt hetvatten'!$B$1:$BX$550,MATCH("Avfall i köpt hetvatten",'Köpt hetvatten'!$B$1:$BX$1,0),FALSE),"")</f>
        <v/>
      </c>
      <c r="BL154" s="227" t="str">
        <f>IF($BF154="ja",VLOOKUP($B154,'Egen hetvattenprod'!$B$1:$BX$550,MATCH("Värde enligt ovan. (%)",'Egen hetvattenprod'!$B$1:$BX$1,0),FALSE),"")</f>
        <v/>
      </c>
      <c r="BM154" s="227" t="str">
        <f>IF($BF154="ja",VLOOKUP($B154,Kraftvärmeprod!$B$1:$BX$550,MATCH("Värde enligt ovan. (%)",Kraftvärmeprod!$B$1:$BX$1,0),FALSE),"")</f>
        <v/>
      </c>
      <c r="BN154" s="227"/>
      <c r="BO154" s="227"/>
      <c r="BP154" s="227"/>
      <c r="BQ154" s="227" t="str">
        <f>IF($BF154="ja",VLOOKUP($B154,'Egen hetvattenprod'!$B$1:$BX$550,MATCH("Tillförd olja (fossil) vid avfallsförbränning (GWh)",'Egen hetvattenprod'!$B$1:$BX$1,0),FALSE),"")</f>
        <v/>
      </c>
      <c r="BR154" s="227" t="str">
        <f>IF($BF154="ja",VLOOKUP($B154,Kraftvärmeprod!$B$1:$BX$550,MATCH("Tillförd olja (fossil) vid avfallsförbränning (GWh)",Kraftvärmeprod!$B$1:$BX$1,0),FALSE),"")</f>
        <v/>
      </c>
      <c r="BS154" s="227"/>
      <c r="BT154" s="227"/>
      <c r="BU154" s="227"/>
    </row>
    <row r="155" spans="1:73" x14ac:dyDescent="0.25">
      <c r="A155" s="121" t="str">
        <f>'Miljövärden för publ företag'!B158</f>
        <v>Linde Energi AB</v>
      </c>
      <c r="B155" s="121" t="str">
        <f>'Miljövärden för publ företag'!C158</f>
        <v>Guldsmedhyttan</v>
      </c>
      <c r="C155" s="173">
        <f>IFERROR(VLOOKUP($B155,Totalt!$B$1:$AQ$554,MATCH(C$2,Totalt!$B$1:$AQ$1,0),FALSE),"")</f>
        <v>0</v>
      </c>
      <c r="D155" s="173">
        <f>IFERROR(VLOOKUP($B155,Totalt!$B$1:$AQ$554,MATCH(D$2,Totalt!$B$1:$AQ$1,0),FALSE),"")</f>
        <v>0</v>
      </c>
      <c r="E155" s="173">
        <f>IFERROR(VLOOKUP($B155,Totalt!$B$1:$AQ$554,MATCH(E$2,Totalt!$B$1:$AQ$1,0),FALSE),"")</f>
        <v>0</v>
      </c>
      <c r="F155" s="173">
        <f>IFERROR(VLOOKUP($B155,Totalt!$B$1:$AQ$554,MATCH(F$2,Totalt!$B$1:$AQ$1,0),FALSE),"")</f>
        <v>0</v>
      </c>
      <c r="G155" s="173">
        <f>IFERROR(VLOOKUP($B155,Totalt!$B$1:$AQ$554,MATCH(G$2,Totalt!$B$1:$AQ$1,0),FALSE),"")</f>
        <v>0</v>
      </c>
      <c r="H155" s="173">
        <f>IFERROR(VLOOKUP($B155,Totalt!$B$1:$AQ$554,MATCH(H$2,Totalt!$B$1:$AQ$1,0),FALSE),"")</f>
        <v>0</v>
      </c>
      <c r="I155" s="173">
        <f>IFERROR(VLOOKUP($B155,Totalt!$B$1:$AQ$554,MATCH(I$2,Totalt!$B$1:$AQ$1,0),FALSE),"")</f>
        <v>0</v>
      </c>
      <c r="J155" s="173">
        <f>IFERROR(VLOOKUP($B155,Totalt!$B$1:$AQ$554,MATCH(J$2,Totalt!$B$1:$AQ$1,0),FALSE),"")</f>
        <v>0</v>
      </c>
      <c r="K155" s="173">
        <f>IFERROR(VLOOKUP($B155,Totalt!$B$1:$AQ$554,MATCH(K$2,Totalt!$B$1:$AQ$1,0),FALSE),"")</f>
        <v>0</v>
      </c>
      <c r="L155" s="173">
        <f>IFERROR(VLOOKUP($B155,Totalt!$B$1:$AQ$554,MATCH(L$2,Totalt!$B$1:$AQ$1,0),FALSE),"")</f>
        <v>0</v>
      </c>
      <c r="M155" s="173">
        <f>IFERROR(VLOOKUP($B155,Totalt!$B$1:$AQ$554,MATCH(M$2,Totalt!$B$1:$AQ$1,0),FALSE),"")</f>
        <v>0</v>
      </c>
      <c r="N155" s="173">
        <f>IFERROR(VLOOKUP($B155,Totalt!$B$1:$AQ$554,MATCH(N$2,Totalt!$B$1:$AQ$1,0),FALSE),"")</f>
        <v>0</v>
      </c>
      <c r="O155" s="173">
        <f>IFERROR(VLOOKUP($B155,Totalt!$B$1:$AQ$554,MATCH(O$2,Totalt!$B$1:$AQ$1,0),FALSE),"")</f>
        <v>0</v>
      </c>
      <c r="P155" s="173">
        <f>IFERROR(VLOOKUP($B155,Totalt!$B$1:$AQ$554,MATCH(P$2,Totalt!$B$1:$AQ$1,0),FALSE),"")</f>
        <v>0</v>
      </c>
      <c r="Q155" s="173">
        <f>IFERROR(VLOOKUP($B155,Totalt!$B$1:$AQ$554,MATCH(Q$2,Totalt!$B$1:$AQ$1,0),FALSE),"")</f>
        <v>0</v>
      </c>
      <c r="R155" s="173">
        <f>IFERROR(VLOOKUP($B155,Totalt!$B$1:$AQ$554,MATCH(R$2,Totalt!$B$1:$AQ$1,0),FALSE),"")</f>
        <v>3.948</v>
      </c>
      <c r="S155" s="173">
        <f>IFERROR(VLOOKUP($B155,Totalt!$B$1:$AQ$554,MATCH(S$2,Totalt!$B$1:$AQ$1,0),FALSE),"")</f>
        <v>0</v>
      </c>
      <c r="T155" s="173">
        <f>IFERROR(VLOOKUP($B155,Totalt!$B$1:$AQ$554,MATCH(T$2,Totalt!$B$1:$AQ$1,0),FALSE),"")</f>
        <v>0</v>
      </c>
      <c r="U155" s="173">
        <f>IFERROR(VLOOKUP($B155,Totalt!$B$1:$AQ$554,MATCH(U$2,Totalt!$B$1:$AQ$1,0),FALSE),"")</f>
        <v>0</v>
      </c>
      <c r="V155" s="173">
        <f>IFERROR(VLOOKUP($B155,Totalt!$B$1:$AQ$554,MATCH(V$2,Totalt!$B$1:$AQ$1,0),FALSE),"")</f>
        <v>0</v>
      </c>
      <c r="W155" s="173">
        <f>IFERROR(VLOOKUP($B155,Totalt!$B$1:$AQ$554,MATCH(W$2,Totalt!$B$1:$AQ$1,0),FALSE),"")</f>
        <v>0</v>
      </c>
      <c r="X155" s="173">
        <f>IFERROR(VLOOKUP($B155,Totalt!$B$1:$AQ$554,MATCH(X$2,Totalt!$B$1:$AQ$1,0),FALSE),"")</f>
        <v>0</v>
      </c>
      <c r="Y155" s="173">
        <f>IFERROR(VLOOKUP($B155,Totalt!$B$1:$AQ$554,MATCH(Y$2,Totalt!$B$1:$AQ$1,0),FALSE),"")</f>
        <v>0</v>
      </c>
      <c r="Z155" s="173">
        <f>IFERROR(VLOOKUP($B155,Totalt!$B$1:$AQ$554,MATCH(Z$2,Totalt!$B$1:$AQ$1,0),FALSE),"")</f>
        <v>0.75411799999999996</v>
      </c>
      <c r="AA155" s="173">
        <f>IFERROR(VLOOKUP($B155,Totalt!$B$1:$AQ$554,MATCH(AA$2,Totalt!$B$1:$AQ$1,0),FALSE),"")</f>
        <v>0</v>
      </c>
      <c r="AB155" s="173">
        <f>IFERROR(VLOOKUP($B155,Totalt!$B$1:$AQ$554,MATCH(AB$2,Totalt!$B$1:$AQ$1,0),FALSE),"")</f>
        <v>0</v>
      </c>
      <c r="AC155" s="173">
        <f>IFERROR(VLOOKUP($B155,Totalt!$B$1:$AQ$554,MATCH(AC$2,Totalt!$B$1:$AQ$1,0),FALSE),"")</f>
        <v>0</v>
      </c>
      <c r="AD155" s="173">
        <f>IFERROR(VLOOKUP($B155,Totalt!$B$1:$AQ$554,MATCH(AD$2,Totalt!$B$1:$AQ$1,0),FALSE),"")</f>
        <v>0.64100000000000001</v>
      </c>
      <c r="AE155" s="173">
        <f>IFERROR(VLOOKUP($B155,Totalt!$B$1:$AQ$554,MATCH(AE$2,Totalt!$B$1:$AQ$1,0),FALSE),"")</f>
        <v>0</v>
      </c>
      <c r="AF155" s="173">
        <f>IFERROR(VLOOKUP($B155,Totalt!$B$1:$AQ$554,MATCH(AF$2,Totalt!$B$1:$AQ$1,0),FALSE),"")</f>
        <v>0.23</v>
      </c>
      <c r="AG155" s="173">
        <f>IFERROR(VLOOKUP($B155,Totalt!$B$1:$AQ$554,MATCH(AG$2,Totalt!$B$1:$AQ$1,0),FALSE),"")</f>
        <v>0</v>
      </c>
      <c r="AI155" s="226">
        <f t="shared" si="12"/>
        <v>5.573118</v>
      </c>
      <c r="AJ155" s="226">
        <f>IF(ISERROR(1/VLOOKUP($B155,Leveranser!$B$1:$S$500,MATCH("såld värme (gwh)",Leveranser!$B$1:$S$1,0),FALSE)),"",VLOOKUP($B155,Leveranser!$B$1:$S$500,MATCH("såld värme (gwh)",Leveranser!$B$1:$S$1,0),FALSE))</f>
        <v>4.4000000000000004</v>
      </c>
      <c r="AM155" s="227" t="str">
        <f>IF(B155&lt;&gt;"",IF(VLOOKUP($B155,Totalt!$B$1:$AQ$554,MATCH("Kvalitetsgranskad:",Totalt!$B$1:$AQ$1,0),FALSE)="ja",VLOOKUP($B155,Miljö!$B$1:$AG$479,MATCH(AM$2,Miljö!$B$1:$AK$1,0),FALSE),""),"")</f>
        <v>Ja</v>
      </c>
      <c r="AN155" s="227" t="str">
        <f>IF(AM155="ja",VLOOKUP($B155,Miljö!$B$1:$J$479,MATCH("Typ av ursprungsspecificerad el   (Om inget värde anges används Nordisk residualmix, se inforuta) ()",Miljö!$B$1:$J$1,0),FALSE),IF(AM155="nej","Nordisk residualel",""))</f>
        <v>'Vattenkraft'</v>
      </c>
      <c r="AO155" s="227">
        <f>IF(AM155="","",VLOOKUP($B155,Miljö!$B$1:$J$479,MATCH("Fossilandel för ursprungspecificerad el ()",Miljö!$B$1:$J$1,0),FALSE))</f>
        <v>0</v>
      </c>
      <c r="AP155" s="227">
        <f>IF(AM155="","",IFERROR(VLOOKUP($B155,Miljö!$B$1:$J$479,MATCH("Kärnkraftsandel för ursprungsspecificerad el ()",Miljö!$B$1:$J$1,0),FALSE)/1,0))</f>
        <v>0</v>
      </c>
      <c r="AQ155" s="227">
        <f t="shared" si="13"/>
        <v>1</v>
      </c>
      <c r="AR155" s="227"/>
      <c r="AS155" s="227" t="str">
        <f t="shared" si="14"/>
        <v>Nej</v>
      </c>
      <c r="AT155" s="227" t="str">
        <f>IF(AS155="ja",VLOOKUP($B155,Miljö!$B$1:$O$500,MATCH("Fossil andel i procent (%)",Miljö!$B$1:$O$1,0),FALSE)/100,"")</f>
        <v/>
      </c>
      <c r="AU155" s="227"/>
      <c r="AV155" s="227" t="str">
        <f t="shared" si="15"/>
        <v>Nej</v>
      </c>
      <c r="AW155" s="227" t="str">
        <f>IF(AV155="ja",VLOOKUP($B155,'Egen hetvattenprod'!$B$1:$AO$500,MATCH("Värmekälla till värmepumpar ()",'Egen hetvattenprod'!$B$1:$AO$1,0),FALSE),"")</f>
        <v/>
      </c>
      <c r="AX155" s="227"/>
      <c r="AY155" s="227" t="str">
        <f t="shared" si="16"/>
        <v>Nej</v>
      </c>
      <c r="AZ155" s="228" t="str">
        <f>IF($AY155="ja",(VLOOKUP($B155,'Egen hetvattenprod'!$B$1:$BX$550,MATCH(AZ$2,'Egen hetvattenprod'!$B$1:$BX$1,0),FALSE)+VLOOKUP($B155,Kraftvärmeprod!$B$1:$BX$550,MATCH(AZ$2,Kraftvärmeprod!$B$1:$BX$1,0),FALSE))/$AC155,"")</f>
        <v/>
      </c>
      <c r="BA155" s="228" t="str">
        <f>IF($AY155="ja",(VLOOKUP($B155,'Egen hetvattenprod'!$B$1:$BX$550,MATCH(BA$2,'Egen hetvattenprod'!$B$1:$BX$1,0),FALSE)+VLOOKUP($B155,Kraftvärmeprod!$B$1:$BX$550,MATCH(BA$2,Kraftvärmeprod!$B$1:$BX$1,0),FALSE))/$AC155,"")</f>
        <v/>
      </c>
      <c r="BB155" s="228" t="str">
        <f>IF($AY155="ja",(VLOOKUP($B155,'Egen hetvattenprod'!$B$1:$BX$550,MATCH(BB$2,'Egen hetvattenprod'!$B$1:$BX$1,0),FALSE)+VLOOKUP($B155,Kraftvärmeprod!$B$1:$BX$550,MATCH(BB$2,Kraftvärmeprod!$B$1:$BX$1,0),FALSE))/$AC155,"")</f>
        <v/>
      </c>
      <c r="BC155" s="228" t="str">
        <f>IF($AY155="ja",(VLOOKUP($B155,'Egen hetvattenprod'!$B$1:$BX$550,MATCH(BC$2,'Egen hetvattenprod'!$B$1:$BX$1,0),FALSE)+VLOOKUP($B155,Kraftvärmeprod!$B$1:$BX$550,MATCH(BC$2,Kraftvärmeprod!$B$1:$BX$1,0),FALSE))/$AC155,"")</f>
        <v/>
      </c>
      <c r="BD155" s="228" t="str">
        <f>IF($AY155="ja",(VLOOKUP($B155,'Egen hetvattenprod'!$B$1:$BX$550,MATCH(BD$2,'Egen hetvattenprod'!$B$1:$BX$1,0),FALSE)+VLOOKUP($B155,Kraftvärmeprod!$B$1:$BX$550,MATCH(BD$2,Kraftvärmeprod!$B$1:$BX$1,0),FALSE))/$AC155,"")</f>
        <v/>
      </c>
      <c r="BE155" s="227"/>
      <c r="BF155" s="227" t="str">
        <f t="shared" si="17"/>
        <v>Nej</v>
      </c>
      <c r="BG155" s="227" t="str">
        <f>IF($BF155="ja",VLOOKUP($B155,'Egen hetvattenprod'!$B$1:$BX$550,MATCH("Andelen klimatgaser med fossilt ursprung för avfall ()",'Egen hetvattenprod'!$B$1:$BX$1,0),FALSE),"")</f>
        <v/>
      </c>
      <c r="BH155" s="227" t="str">
        <f>IF($BF155="ja",VLOOKUP($B155,Kraftvärmeprod!$B$1:$BX$550,MATCH("Andelen klimatgaser med fossilt ursprung för avfall ()",Kraftvärmeprod!$B$1:$BX$1,0),FALSE),"")</f>
        <v/>
      </c>
      <c r="BI155" s="227" t="str">
        <f>IF($BF155="ja",VLOOKUP($B155,'Egen hetvattenprod'!$B$1:$BX$550,MATCH("Avfall (GWh)",'Egen hetvattenprod'!$B$1:$BX$1,0),FALSE),"")</f>
        <v/>
      </c>
      <c r="BJ155" s="227" t="str">
        <f>IF($BF155="ja",VLOOKUP($B155,'Slutlig allokering kvv'!$B$1:$BX$550,MATCH("Avfall (GWh)",'Slutlig allokering kvv'!$B$1:$BX$1,0),FALSE),"")</f>
        <v/>
      </c>
      <c r="BK155" s="227" t="str">
        <f>IF($BF155="ja",VLOOKUP($B155,'Köpt hetvatten'!$B$1:$BX$550,MATCH("Avfall i köpt hetvatten",'Köpt hetvatten'!$B$1:$BX$1,0),FALSE),"")</f>
        <v/>
      </c>
      <c r="BL155" s="227" t="str">
        <f>IF($BF155="ja",VLOOKUP($B155,'Egen hetvattenprod'!$B$1:$BX$550,MATCH("Värde enligt ovan. (%)",'Egen hetvattenprod'!$B$1:$BX$1,0),FALSE),"")</f>
        <v/>
      </c>
      <c r="BM155" s="227" t="str">
        <f>IF($BF155="ja",VLOOKUP($B155,Kraftvärmeprod!$B$1:$BX$550,MATCH("Värde enligt ovan. (%)",Kraftvärmeprod!$B$1:$BX$1,0),FALSE),"")</f>
        <v/>
      </c>
      <c r="BN155" s="227"/>
      <c r="BO155" s="227"/>
      <c r="BP155" s="227"/>
      <c r="BQ155" s="227" t="str">
        <f>IF($BF155="ja",VLOOKUP($B155,'Egen hetvattenprod'!$B$1:$BX$550,MATCH("Tillförd olja (fossil) vid avfallsförbränning (GWh)",'Egen hetvattenprod'!$B$1:$BX$1,0),FALSE),"")</f>
        <v/>
      </c>
      <c r="BR155" s="227" t="str">
        <f>IF($BF155="ja",VLOOKUP($B155,Kraftvärmeprod!$B$1:$BX$550,MATCH("Tillförd olja (fossil) vid avfallsförbränning (GWh)",Kraftvärmeprod!$B$1:$BX$1,0),FALSE),"")</f>
        <v/>
      </c>
      <c r="BS155" s="227"/>
      <c r="BT155" s="227"/>
      <c r="BU155" s="227"/>
    </row>
    <row r="156" spans="1:73" x14ac:dyDescent="0.25">
      <c r="A156" s="121" t="str">
        <f>'Miljövärden för publ företag'!B159</f>
        <v>Linde Energi AB</v>
      </c>
      <c r="B156" s="121" t="str">
        <f>'Miljövärden för publ företag'!C159</f>
        <v>Lindesberg</v>
      </c>
      <c r="C156" s="173">
        <f>IFERROR(VLOOKUP($B156,Totalt!$B$1:$AQ$554,MATCH(C$2,Totalt!$B$1:$AQ$1,0),FALSE),"")</f>
        <v>0</v>
      </c>
      <c r="D156" s="173">
        <f>IFERROR(VLOOKUP($B156,Totalt!$B$1:$AQ$554,MATCH(D$2,Totalt!$B$1:$AQ$1,0),FALSE),"")</f>
        <v>0.76200000000000001</v>
      </c>
      <c r="E156" s="173">
        <f>IFERROR(VLOOKUP($B156,Totalt!$B$1:$AQ$554,MATCH(E$2,Totalt!$B$1:$AQ$1,0),FALSE),"")</f>
        <v>0</v>
      </c>
      <c r="F156" s="173">
        <f>IFERROR(VLOOKUP($B156,Totalt!$B$1:$AQ$554,MATCH(F$2,Totalt!$B$1:$AQ$1,0),FALSE),"")</f>
        <v>0</v>
      </c>
      <c r="G156" s="173">
        <f>IFERROR(VLOOKUP($B156,Totalt!$B$1:$AQ$554,MATCH(G$2,Totalt!$B$1:$AQ$1,0),FALSE),"")</f>
        <v>0</v>
      </c>
      <c r="H156" s="173">
        <f>IFERROR(VLOOKUP($B156,Totalt!$B$1:$AQ$554,MATCH(H$2,Totalt!$B$1:$AQ$1,0),FALSE),"")</f>
        <v>0</v>
      </c>
      <c r="I156" s="173">
        <f>IFERROR(VLOOKUP($B156,Totalt!$B$1:$AQ$554,MATCH(I$2,Totalt!$B$1:$AQ$1,0),FALSE),"")</f>
        <v>0</v>
      </c>
      <c r="J156" s="173">
        <f>IFERROR(VLOOKUP($B156,Totalt!$B$1:$AQ$554,MATCH(J$2,Totalt!$B$1:$AQ$1,0),FALSE),"")</f>
        <v>0</v>
      </c>
      <c r="K156" s="173">
        <f>IFERROR(VLOOKUP($B156,Totalt!$B$1:$AQ$554,MATCH(K$2,Totalt!$B$1:$AQ$1,0),FALSE),"")</f>
        <v>0</v>
      </c>
      <c r="L156" s="173">
        <f>IFERROR(VLOOKUP($B156,Totalt!$B$1:$AQ$554,MATCH(L$2,Totalt!$B$1:$AQ$1,0),FALSE),"")</f>
        <v>0</v>
      </c>
      <c r="M156" s="173">
        <f>IFERROR(VLOOKUP($B156,Totalt!$B$1:$AQ$554,MATCH(M$2,Totalt!$B$1:$AQ$1,0),FALSE),"")</f>
        <v>0</v>
      </c>
      <c r="N156" s="173">
        <f>IFERROR(VLOOKUP($B156,Totalt!$B$1:$AQ$554,MATCH(N$2,Totalt!$B$1:$AQ$1,0),FALSE),"")</f>
        <v>0</v>
      </c>
      <c r="O156" s="173">
        <f>IFERROR(VLOOKUP($B156,Totalt!$B$1:$AQ$554,MATCH(O$2,Totalt!$B$1:$AQ$1,0),FALSE),"")</f>
        <v>0</v>
      </c>
      <c r="P156" s="173">
        <f>IFERROR(VLOOKUP($B156,Totalt!$B$1:$AQ$554,MATCH(P$2,Totalt!$B$1:$AQ$1,0),FALSE),"")</f>
        <v>0</v>
      </c>
      <c r="Q156" s="173">
        <f>IFERROR(VLOOKUP($B156,Totalt!$B$1:$AQ$554,MATCH(Q$2,Totalt!$B$1:$AQ$1,0),FALSE),"")</f>
        <v>6.1176500000000003</v>
      </c>
      <c r="R156" s="173">
        <f>IFERROR(VLOOKUP($B156,Totalt!$B$1:$AQ$554,MATCH(R$2,Totalt!$B$1:$AQ$1,0),FALSE),"")</f>
        <v>5.0359999999999996</v>
      </c>
      <c r="S156" s="173">
        <f>IFERROR(VLOOKUP($B156,Totalt!$B$1:$AQ$554,MATCH(S$2,Totalt!$B$1:$AQ$1,0),FALSE),"")</f>
        <v>0</v>
      </c>
      <c r="T156" s="173">
        <f>IFERROR(VLOOKUP($B156,Totalt!$B$1:$AQ$554,MATCH(T$2,Totalt!$B$1:$AQ$1,0),FALSE),"")</f>
        <v>0</v>
      </c>
      <c r="U156" s="173">
        <f>IFERROR(VLOOKUP($B156,Totalt!$B$1:$AQ$554,MATCH(U$2,Totalt!$B$1:$AQ$1,0),FALSE),"")</f>
        <v>0</v>
      </c>
      <c r="V156" s="173">
        <f>IFERROR(VLOOKUP($B156,Totalt!$B$1:$AQ$554,MATCH(V$2,Totalt!$B$1:$AQ$1,0),FALSE),"")</f>
        <v>0</v>
      </c>
      <c r="W156" s="173">
        <f>IFERROR(VLOOKUP($B156,Totalt!$B$1:$AQ$554,MATCH(W$2,Totalt!$B$1:$AQ$1,0),FALSE),"")</f>
        <v>3.5</v>
      </c>
      <c r="X156" s="173">
        <f>IFERROR(VLOOKUP($B156,Totalt!$B$1:$AQ$554,MATCH(X$2,Totalt!$B$1:$AQ$1,0),FALSE),"")</f>
        <v>0</v>
      </c>
      <c r="Y156" s="173">
        <f>IFERROR(VLOOKUP($B156,Totalt!$B$1:$AQ$554,MATCH(Y$2,Totalt!$B$1:$AQ$1,0),FALSE),"")</f>
        <v>0</v>
      </c>
      <c r="Z156" s="173">
        <f>IFERROR(VLOOKUP($B156,Totalt!$B$1:$AQ$554,MATCH(Z$2,Totalt!$B$1:$AQ$1,0),FALSE),"")</f>
        <v>3.7890000000000001</v>
      </c>
      <c r="AA156" s="173">
        <f>IFERROR(VLOOKUP($B156,Totalt!$B$1:$AQ$554,MATCH(AA$2,Totalt!$B$1:$AQ$1,0),FALSE),"")</f>
        <v>0</v>
      </c>
      <c r="AB156" s="173">
        <f>IFERROR(VLOOKUP($B156,Totalt!$B$1:$AQ$554,MATCH(AB$2,Totalt!$B$1:$AQ$1,0),FALSE),"")</f>
        <v>0</v>
      </c>
      <c r="AC156" s="173">
        <f>IFERROR(VLOOKUP($B156,Totalt!$B$1:$AQ$554,MATCH(AC$2,Totalt!$B$1:$AQ$1,0),FALSE),"")</f>
        <v>0</v>
      </c>
      <c r="AD156" s="173">
        <f>IFERROR(VLOOKUP($B156,Totalt!$B$1:$AQ$554,MATCH(AD$2,Totalt!$B$1:$AQ$1,0),FALSE),"")</f>
        <v>77.7</v>
      </c>
      <c r="AE156" s="173">
        <f>IFERROR(VLOOKUP($B156,Totalt!$B$1:$AQ$554,MATCH(AE$2,Totalt!$B$1:$AQ$1,0),FALSE),"")</f>
        <v>0</v>
      </c>
      <c r="AF156" s="173">
        <f>IFERROR(VLOOKUP($B156,Totalt!$B$1:$AQ$554,MATCH(AF$2,Totalt!$B$1:$AQ$1,0),FALSE),"")</f>
        <v>1.57</v>
      </c>
      <c r="AG156" s="173">
        <f>IFERROR(VLOOKUP($B156,Totalt!$B$1:$AQ$554,MATCH(AG$2,Totalt!$B$1:$AQ$1,0),FALSE),"")</f>
        <v>0</v>
      </c>
      <c r="AI156" s="226">
        <f t="shared" si="12"/>
        <v>98.474649999999997</v>
      </c>
      <c r="AJ156" s="226">
        <f>IF(ISERROR(1/VLOOKUP($B156,Leveranser!$B$1:$S$500,MATCH("såld värme (gwh)",Leveranser!$B$1:$S$1,0),FALSE)),"",VLOOKUP($B156,Leveranser!$B$1:$S$500,MATCH("såld värme (gwh)",Leveranser!$B$1:$S$1,0),FALSE))</f>
        <v>85</v>
      </c>
      <c r="AM156" s="227" t="str">
        <f>IF(B156&lt;&gt;"",IF(VLOOKUP($B156,Totalt!$B$1:$AQ$554,MATCH("Kvalitetsgranskad:",Totalt!$B$1:$AQ$1,0),FALSE)="ja",VLOOKUP($B156,Miljö!$B$1:$AG$479,MATCH(AM$2,Miljö!$B$1:$AK$1,0),FALSE),""),"")</f>
        <v>Ja</v>
      </c>
      <c r="AN156" s="227" t="str">
        <f>IF(AM156="ja",VLOOKUP($B156,Miljö!$B$1:$J$479,MATCH("Typ av ursprungsspecificerad el   (Om inget värde anges används Nordisk residualmix, se inforuta) ()",Miljö!$B$1:$J$1,0),FALSE),IF(AM156="nej","Nordisk residualel",""))</f>
        <v>'Vattenkraft'</v>
      </c>
      <c r="AO156" s="227">
        <f>IF(AM156="","",VLOOKUP($B156,Miljö!$B$1:$J$479,MATCH("Fossilandel för ursprungspecificerad el ()",Miljö!$B$1:$J$1,0),FALSE))</f>
        <v>0</v>
      </c>
      <c r="AP156" s="227">
        <f>IF(AM156="","",IFERROR(VLOOKUP($B156,Miljö!$B$1:$J$479,MATCH("Kärnkraftsandel för ursprungsspecificerad el ()",Miljö!$B$1:$J$1,0),FALSE)/1,0))</f>
        <v>0</v>
      </c>
      <c r="AQ156" s="227">
        <f t="shared" si="13"/>
        <v>1</v>
      </c>
      <c r="AR156" s="227"/>
      <c r="AS156" s="227" t="str">
        <f t="shared" si="14"/>
        <v>Nej</v>
      </c>
      <c r="AT156" s="227" t="str">
        <f>IF(AS156="ja",VLOOKUP($B156,Miljö!$B$1:$O$500,MATCH("Fossil andel i procent (%)",Miljö!$B$1:$O$1,0),FALSE)/100,"")</f>
        <v/>
      </c>
      <c r="AU156" s="227"/>
      <c r="AV156" s="227" t="str">
        <f t="shared" si="15"/>
        <v>Nej</v>
      </c>
      <c r="AW156" s="227" t="str">
        <f>IF(AV156="ja",VLOOKUP($B156,'Egen hetvattenprod'!$B$1:$AO$500,MATCH("Värmekälla till värmepumpar ()",'Egen hetvattenprod'!$B$1:$AO$1,0),FALSE),"")</f>
        <v/>
      </c>
      <c r="AX156" s="227"/>
      <c r="AY156" s="227" t="str">
        <f t="shared" si="16"/>
        <v>Nej</v>
      </c>
      <c r="AZ156" s="228" t="str">
        <f>IF($AY156="ja",(VLOOKUP($B156,'Egen hetvattenprod'!$B$1:$BX$550,MATCH(AZ$2,'Egen hetvattenprod'!$B$1:$BX$1,0),FALSE)+VLOOKUP($B156,Kraftvärmeprod!$B$1:$BX$550,MATCH(AZ$2,Kraftvärmeprod!$B$1:$BX$1,0),FALSE))/$AC156,"")</f>
        <v/>
      </c>
      <c r="BA156" s="228" t="str">
        <f>IF($AY156="ja",(VLOOKUP($B156,'Egen hetvattenprod'!$B$1:$BX$550,MATCH(BA$2,'Egen hetvattenprod'!$B$1:$BX$1,0),FALSE)+VLOOKUP($B156,Kraftvärmeprod!$B$1:$BX$550,MATCH(BA$2,Kraftvärmeprod!$B$1:$BX$1,0),FALSE))/$AC156,"")</f>
        <v/>
      </c>
      <c r="BB156" s="228" t="str">
        <f>IF($AY156="ja",(VLOOKUP($B156,'Egen hetvattenprod'!$B$1:$BX$550,MATCH(BB$2,'Egen hetvattenprod'!$B$1:$BX$1,0),FALSE)+VLOOKUP($B156,Kraftvärmeprod!$B$1:$BX$550,MATCH(BB$2,Kraftvärmeprod!$B$1:$BX$1,0),FALSE))/$AC156,"")</f>
        <v/>
      </c>
      <c r="BC156" s="228" t="str">
        <f>IF($AY156="ja",(VLOOKUP($B156,'Egen hetvattenprod'!$B$1:$BX$550,MATCH(BC$2,'Egen hetvattenprod'!$B$1:$BX$1,0),FALSE)+VLOOKUP($B156,Kraftvärmeprod!$B$1:$BX$550,MATCH(BC$2,Kraftvärmeprod!$B$1:$BX$1,0),FALSE))/$AC156,"")</f>
        <v/>
      </c>
      <c r="BD156" s="228" t="str">
        <f>IF($AY156="ja",(VLOOKUP($B156,'Egen hetvattenprod'!$B$1:$BX$550,MATCH(BD$2,'Egen hetvattenprod'!$B$1:$BX$1,0),FALSE)+VLOOKUP($B156,Kraftvärmeprod!$B$1:$BX$550,MATCH(BD$2,Kraftvärmeprod!$B$1:$BX$1,0),FALSE))/$AC156,"")</f>
        <v/>
      </c>
      <c r="BE156" s="227"/>
      <c r="BF156" s="227" t="str">
        <f t="shared" si="17"/>
        <v>Nej</v>
      </c>
      <c r="BG156" s="227" t="str">
        <f>IF($BF156="ja",VLOOKUP($B156,'Egen hetvattenprod'!$B$1:$BX$550,MATCH("Andelen klimatgaser med fossilt ursprung för avfall ()",'Egen hetvattenprod'!$B$1:$BX$1,0),FALSE),"")</f>
        <v/>
      </c>
      <c r="BH156" s="227" t="str">
        <f>IF($BF156="ja",VLOOKUP($B156,Kraftvärmeprod!$B$1:$BX$550,MATCH("Andelen klimatgaser med fossilt ursprung för avfall ()",Kraftvärmeprod!$B$1:$BX$1,0),FALSE),"")</f>
        <v/>
      </c>
      <c r="BI156" s="227" t="str">
        <f>IF($BF156="ja",VLOOKUP($B156,'Egen hetvattenprod'!$B$1:$BX$550,MATCH("Avfall (GWh)",'Egen hetvattenprod'!$B$1:$BX$1,0),FALSE),"")</f>
        <v/>
      </c>
      <c r="BJ156" s="227" t="str">
        <f>IF($BF156="ja",VLOOKUP($B156,'Slutlig allokering kvv'!$B$1:$BX$550,MATCH("Avfall (GWh)",'Slutlig allokering kvv'!$B$1:$BX$1,0),FALSE),"")</f>
        <v/>
      </c>
      <c r="BK156" s="227" t="str">
        <f>IF($BF156="ja",VLOOKUP($B156,'Köpt hetvatten'!$B$1:$BX$550,MATCH("Avfall i köpt hetvatten",'Köpt hetvatten'!$B$1:$BX$1,0),FALSE),"")</f>
        <v/>
      </c>
      <c r="BL156" s="227" t="str">
        <f>IF($BF156="ja",VLOOKUP($B156,'Egen hetvattenprod'!$B$1:$BX$550,MATCH("Värde enligt ovan. (%)",'Egen hetvattenprod'!$B$1:$BX$1,0),FALSE),"")</f>
        <v/>
      </c>
      <c r="BM156" s="227" t="str">
        <f>IF($BF156="ja",VLOOKUP($B156,Kraftvärmeprod!$B$1:$BX$550,MATCH("Värde enligt ovan. (%)",Kraftvärmeprod!$B$1:$BX$1,0),FALSE),"")</f>
        <v/>
      </c>
      <c r="BN156" s="227"/>
      <c r="BO156" s="227"/>
      <c r="BP156" s="227"/>
      <c r="BQ156" s="227" t="str">
        <f>IF($BF156="ja",VLOOKUP($B156,'Egen hetvattenprod'!$B$1:$BX$550,MATCH("Tillförd olja (fossil) vid avfallsförbränning (GWh)",'Egen hetvattenprod'!$B$1:$BX$1,0),FALSE),"")</f>
        <v/>
      </c>
      <c r="BR156" s="227" t="str">
        <f>IF($BF156="ja",VLOOKUP($B156,Kraftvärmeprod!$B$1:$BX$550,MATCH("Tillförd olja (fossil) vid avfallsförbränning (GWh)",Kraftvärmeprod!$B$1:$BX$1,0),FALSE),"")</f>
        <v/>
      </c>
      <c r="BS156" s="227"/>
      <c r="BT156" s="227"/>
      <c r="BU156" s="227"/>
    </row>
    <row r="157" spans="1:73" x14ac:dyDescent="0.25">
      <c r="A157" s="121" t="str">
        <f>'Miljövärden för publ företag'!B160</f>
        <v>Linde Energi AB</v>
      </c>
      <c r="B157" s="121" t="str">
        <f>'Miljövärden för publ företag'!C160</f>
        <v>Vedevåg</v>
      </c>
      <c r="C157" s="173">
        <f>IFERROR(VLOOKUP($B157,Totalt!$B$1:$AQ$554,MATCH(C$2,Totalt!$B$1:$AQ$1,0),FALSE),"")</f>
        <v>0</v>
      </c>
      <c r="D157" s="173">
        <f>IFERROR(VLOOKUP($B157,Totalt!$B$1:$AQ$554,MATCH(D$2,Totalt!$B$1:$AQ$1,0),FALSE),"")</f>
        <v>0.23799999999999999</v>
      </c>
      <c r="E157" s="173">
        <f>IFERROR(VLOOKUP($B157,Totalt!$B$1:$AQ$554,MATCH(E$2,Totalt!$B$1:$AQ$1,0),FALSE),"")</f>
        <v>0</v>
      </c>
      <c r="F157" s="173">
        <f>IFERROR(VLOOKUP($B157,Totalt!$B$1:$AQ$554,MATCH(F$2,Totalt!$B$1:$AQ$1,0),FALSE),"")</f>
        <v>0</v>
      </c>
      <c r="G157" s="173">
        <f>IFERROR(VLOOKUP($B157,Totalt!$B$1:$AQ$554,MATCH(G$2,Totalt!$B$1:$AQ$1,0),FALSE),"")</f>
        <v>0</v>
      </c>
      <c r="H157" s="173">
        <f>IFERROR(VLOOKUP($B157,Totalt!$B$1:$AQ$554,MATCH(H$2,Totalt!$B$1:$AQ$1,0),FALSE),"")</f>
        <v>0</v>
      </c>
      <c r="I157" s="173">
        <f>IFERROR(VLOOKUP($B157,Totalt!$B$1:$AQ$554,MATCH(I$2,Totalt!$B$1:$AQ$1,0),FALSE),"")</f>
        <v>0</v>
      </c>
      <c r="J157" s="173">
        <f>IFERROR(VLOOKUP($B157,Totalt!$B$1:$AQ$554,MATCH(J$2,Totalt!$B$1:$AQ$1,0),FALSE),"")</f>
        <v>0</v>
      </c>
      <c r="K157" s="173">
        <f>IFERROR(VLOOKUP($B157,Totalt!$B$1:$AQ$554,MATCH(K$2,Totalt!$B$1:$AQ$1,0),FALSE),"")</f>
        <v>0</v>
      </c>
      <c r="L157" s="173">
        <f>IFERROR(VLOOKUP($B157,Totalt!$B$1:$AQ$554,MATCH(L$2,Totalt!$B$1:$AQ$1,0),FALSE),"")</f>
        <v>0</v>
      </c>
      <c r="M157" s="173">
        <f>IFERROR(VLOOKUP($B157,Totalt!$B$1:$AQ$554,MATCH(M$2,Totalt!$B$1:$AQ$1,0),FALSE),"")</f>
        <v>0</v>
      </c>
      <c r="N157" s="173">
        <f>IFERROR(VLOOKUP($B157,Totalt!$B$1:$AQ$554,MATCH(N$2,Totalt!$B$1:$AQ$1,0),FALSE),"")</f>
        <v>0</v>
      </c>
      <c r="O157" s="173">
        <f>IFERROR(VLOOKUP($B157,Totalt!$B$1:$AQ$554,MATCH(O$2,Totalt!$B$1:$AQ$1,0),FALSE),"")</f>
        <v>0</v>
      </c>
      <c r="P157" s="173">
        <f>IFERROR(VLOOKUP($B157,Totalt!$B$1:$AQ$554,MATCH(P$2,Totalt!$B$1:$AQ$1,0),FALSE),"")</f>
        <v>0</v>
      </c>
      <c r="Q157" s="173">
        <f>IFERROR(VLOOKUP($B157,Totalt!$B$1:$AQ$554,MATCH(Q$2,Totalt!$B$1:$AQ$1,0),FALSE),"")</f>
        <v>0.31764700000000001</v>
      </c>
      <c r="R157" s="173">
        <f>IFERROR(VLOOKUP($B157,Totalt!$B$1:$AQ$554,MATCH(R$2,Totalt!$B$1:$AQ$1,0),FALSE),"")</f>
        <v>0</v>
      </c>
      <c r="S157" s="173">
        <f>IFERROR(VLOOKUP($B157,Totalt!$B$1:$AQ$554,MATCH(S$2,Totalt!$B$1:$AQ$1,0),FALSE),"")</f>
        <v>0</v>
      </c>
      <c r="T157" s="173">
        <f>IFERROR(VLOOKUP($B157,Totalt!$B$1:$AQ$554,MATCH(T$2,Totalt!$B$1:$AQ$1,0),FALSE),"")</f>
        <v>0</v>
      </c>
      <c r="U157" s="173">
        <f>IFERROR(VLOOKUP($B157,Totalt!$B$1:$AQ$554,MATCH(U$2,Totalt!$B$1:$AQ$1,0),FALSE),"")</f>
        <v>0</v>
      </c>
      <c r="V157" s="173">
        <f>IFERROR(VLOOKUP($B157,Totalt!$B$1:$AQ$554,MATCH(V$2,Totalt!$B$1:$AQ$1,0),FALSE),"")</f>
        <v>0</v>
      </c>
      <c r="W157" s="173">
        <f>IFERROR(VLOOKUP($B157,Totalt!$B$1:$AQ$554,MATCH(W$2,Totalt!$B$1:$AQ$1,0),FALSE),"")</f>
        <v>0</v>
      </c>
      <c r="X157" s="173">
        <f>IFERROR(VLOOKUP($B157,Totalt!$B$1:$AQ$554,MATCH(X$2,Totalt!$B$1:$AQ$1,0),FALSE),"")</f>
        <v>0</v>
      </c>
      <c r="Y157" s="173">
        <f>IFERROR(VLOOKUP($B157,Totalt!$B$1:$AQ$554,MATCH(Y$2,Totalt!$B$1:$AQ$1,0),FALSE),"")</f>
        <v>0</v>
      </c>
      <c r="Z157" s="173">
        <f>IFERROR(VLOOKUP($B157,Totalt!$B$1:$AQ$554,MATCH(Z$2,Totalt!$B$1:$AQ$1,0),FALSE),"")</f>
        <v>0</v>
      </c>
      <c r="AA157" s="173">
        <f>IFERROR(VLOOKUP($B157,Totalt!$B$1:$AQ$554,MATCH(AA$2,Totalt!$B$1:$AQ$1,0),FALSE),"")</f>
        <v>0</v>
      </c>
      <c r="AB157" s="173">
        <f>IFERROR(VLOOKUP($B157,Totalt!$B$1:$AQ$554,MATCH(AB$2,Totalt!$B$1:$AQ$1,0),FALSE),"")</f>
        <v>0</v>
      </c>
      <c r="AC157" s="173">
        <f>IFERROR(VLOOKUP($B157,Totalt!$B$1:$AQ$554,MATCH(AC$2,Totalt!$B$1:$AQ$1,0),FALSE),"")</f>
        <v>0</v>
      </c>
      <c r="AD157" s="173">
        <f>IFERROR(VLOOKUP($B157,Totalt!$B$1:$AQ$554,MATCH(AD$2,Totalt!$B$1:$AQ$1,0),FALSE),"")</f>
        <v>4.09</v>
      </c>
      <c r="AE157" s="173">
        <f>IFERROR(VLOOKUP($B157,Totalt!$B$1:$AQ$554,MATCH(AE$2,Totalt!$B$1:$AQ$1,0),FALSE),"")</f>
        <v>0</v>
      </c>
      <c r="AF157" s="173">
        <f>IFERROR(VLOOKUP($B157,Totalt!$B$1:$AQ$554,MATCH(AF$2,Totalt!$B$1:$AQ$1,0),FALSE),"")</f>
        <v>2.7E-2</v>
      </c>
      <c r="AG157" s="173">
        <f>IFERROR(VLOOKUP($B157,Totalt!$B$1:$AQ$554,MATCH(AG$2,Totalt!$B$1:$AQ$1,0),FALSE),"")</f>
        <v>0</v>
      </c>
      <c r="AI157" s="226">
        <f t="shared" si="12"/>
        <v>4.6726470000000004</v>
      </c>
      <c r="AJ157" s="226">
        <f>IF(ISERROR(1/VLOOKUP($B157,Leveranser!$B$1:$S$500,MATCH("såld värme (gwh)",Leveranser!$B$1:$S$1,0),FALSE)),"",VLOOKUP($B157,Leveranser!$B$1:$S$500,MATCH("såld värme (gwh)",Leveranser!$B$1:$S$1,0),FALSE))</f>
        <v>3.8</v>
      </c>
      <c r="AM157" s="227" t="str">
        <f>IF(B157&lt;&gt;"",IF(VLOOKUP($B157,Totalt!$B$1:$AQ$554,MATCH("Kvalitetsgranskad:",Totalt!$B$1:$AQ$1,0),FALSE)="ja",VLOOKUP($B157,Miljö!$B$1:$AG$479,MATCH(AM$2,Miljö!$B$1:$AK$1,0),FALSE),""),"")</f>
        <v>Ja</v>
      </c>
      <c r="AN157" s="227" t="str">
        <f>IF(AM157="ja",VLOOKUP($B157,Miljö!$B$1:$J$479,MATCH("Typ av ursprungsspecificerad el   (Om inget värde anges används Nordisk residualmix, se inforuta) ()",Miljö!$B$1:$J$1,0),FALSE),IF(AM157="nej","Nordisk residualel",""))</f>
        <v>'Vattenkraft'</v>
      </c>
      <c r="AO157" s="227">
        <f>IF(AM157="","",VLOOKUP($B157,Miljö!$B$1:$J$479,MATCH("Fossilandel för ursprungspecificerad el ()",Miljö!$B$1:$J$1,0),FALSE))</f>
        <v>0</v>
      </c>
      <c r="AP157" s="227">
        <f>IF(AM157="","",IFERROR(VLOOKUP($B157,Miljö!$B$1:$J$479,MATCH("Kärnkraftsandel för ursprungsspecificerad el ()",Miljö!$B$1:$J$1,0),FALSE)/1,0))</f>
        <v>0</v>
      </c>
      <c r="AQ157" s="227">
        <f t="shared" si="13"/>
        <v>1</v>
      </c>
      <c r="AR157" s="227"/>
      <c r="AS157" s="227" t="str">
        <f t="shared" si="14"/>
        <v>Nej</v>
      </c>
      <c r="AT157" s="227" t="str">
        <f>IF(AS157="ja",VLOOKUP($B157,Miljö!$B$1:$O$500,MATCH("Fossil andel i procent (%)",Miljö!$B$1:$O$1,0),FALSE)/100,"")</f>
        <v/>
      </c>
      <c r="AU157" s="227"/>
      <c r="AV157" s="227" t="str">
        <f t="shared" si="15"/>
        <v>Nej</v>
      </c>
      <c r="AW157" s="227" t="str">
        <f>IF(AV157="ja",VLOOKUP($B157,'Egen hetvattenprod'!$B$1:$AO$500,MATCH("Värmekälla till värmepumpar ()",'Egen hetvattenprod'!$B$1:$AO$1,0),FALSE),"")</f>
        <v/>
      </c>
      <c r="AX157" s="227"/>
      <c r="AY157" s="227" t="str">
        <f t="shared" si="16"/>
        <v>Nej</v>
      </c>
      <c r="AZ157" s="228" t="str">
        <f>IF($AY157="ja",(VLOOKUP($B157,'Egen hetvattenprod'!$B$1:$BX$550,MATCH(AZ$2,'Egen hetvattenprod'!$B$1:$BX$1,0),FALSE)+VLOOKUP($B157,Kraftvärmeprod!$B$1:$BX$550,MATCH(AZ$2,Kraftvärmeprod!$B$1:$BX$1,0),FALSE))/$AC157,"")</f>
        <v/>
      </c>
      <c r="BA157" s="228" t="str">
        <f>IF($AY157="ja",(VLOOKUP($B157,'Egen hetvattenprod'!$B$1:$BX$550,MATCH(BA$2,'Egen hetvattenprod'!$B$1:$BX$1,0),FALSE)+VLOOKUP($B157,Kraftvärmeprod!$B$1:$BX$550,MATCH(BA$2,Kraftvärmeprod!$B$1:$BX$1,0),FALSE))/$AC157,"")</f>
        <v/>
      </c>
      <c r="BB157" s="228" t="str">
        <f>IF($AY157="ja",(VLOOKUP($B157,'Egen hetvattenprod'!$B$1:$BX$550,MATCH(BB$2,'Egen hetvattenprod'!$B$1:$BX$1,0),FALSE)+VLOOKUP($B157,Kraftvärmeprod!$B$1:$BX$550,MATCH(BB$2,Kraftvärmeprod!$B$1:$BX$1,0),FALSE))/$AC157,"")</f>
        <v/>
      </c>
      <c r="BC157" s="228" t="str">
        <f>IF($AY157="ja",(VLOOKUP($B157,'Egen hetvattenprod'!$B$1:$BX$550,MATCH(BC$2,'Egen hetvattenprod'!$B$1:$BX$1,0),FALSE)+VLOOKUP($B157,Kraftvärmeprod!$B$1:$BX$550,MATCH(BC$2,Kraftvärmeprod!$B$1:$BX$1,0),FALSE))/$AC157,"")</f>
        <v/>
      </c>
      <c r="BD157" s="228" t="str">
        <f>IF($AY157="ja",(VLOOKUP($B157,'Egen hetvattenprod'!$B$1:$BX$550,MATCH(BD$2,'Egen hetvattenprod'!$B$1:$BX$1,0),FALSE)+VLOOKUP($B157,Kraftvärmeprod!$B$1:$BX$550,MATCH(BD$2,Kraftvärmeprod!$B$1:$BX$1,0),FALSE))/$AC157,"")</f>
        <v/>
      </c>
      <c r="BE157" s="227"/>
      <c r="BF157" s="227" t="str">
        <f t="shared" si="17"/>
        <v>Nej</v>
      </c>
      <c r="BG157" s="227" t="str">
        <f>IF($BF157="ja",VLOOKUP($B157,'Egen hetvattenprod'!$B$1:$BX$550,MATCH("Andelen klimatgaser med fossilt ursprung för avfall ()",'Egen hetvattenprod'!$B$1:$BX$1,0),FALSE),"")</f>
        <v/>
      </c>
      <c r="BH157" s="227" t="str">
        <f>IF($BF157="ja",VLOOKUP($B157,Kraftvärmeprod!$B$1:$BX$550,MATCH("Andelen klimatgaser med fossilt ursprung för avfall ()",Kraftvärmeprod!$B$1:$BX$1,0),FALSE),"")</f>
        <v/>
      </c>
      <c r="BI157" s="227" t="str">
        <f>IF($BF157="ja",VLOOKUP($B157,'Egen hetvattenprod'!$B$1:$BX$550,MATCH("Avfall (GWh)",'Egen hetvattenprod'!$B$1:$BX$1,0),FALSE),"")</f>
        <v/>
      </c>
      <c r="BJ157" s="227" t="str">
        <f>IF($BF157="ja",VLOOKUP($B157,'Slutlig allokering kvv'!$B$1:$BX$550,MATCH("Avfall (GWh)",'Slutlig allokering kvv'!$B$1:$BX$1,0),FALSE),"")</f>
        <v/>
      </c>
      <c r="BK157" s="227" t="str">
        <f>IF($BF157="ja",VLOOKUP($B157,'Köpt hetvatten'!$B$1:$BX$550,MATCH("Avfall i köpt hetvatten",'Köpt hetvatten'!$B$1:$BX$1,0),FALSE),"")</f>
        <v/>
      </c>
      <c r="BL157" s="227" t="str">
        <f>IF($BF157="ja",VLOOKUP($B157,'Egen hetvattenprod'!$B$1:$BX$550,MATCH("Värde enligt ovan. (%)",'Egen hetvattenprod'!$B$1:$BX$1,0),FALSE),"")</f>
        <v/>
      </c>
      <c r="BM157" s="227" t="str">
        <f>IF($BF157="ja",VLOOKUP($B157,Kraftvärmeprod!$B$1:$BX$550,MATCH("Värde enligt ovan. (%)",Kraftvärmeprod!$B$1:$BX$1,0),FALSE),"")</f>
        <v/>
      </c>
      <c r="BN157" s="227"/>
      <c r="BO157" s="227"/>
      <c r="BP157" s="227"/>
      <c r="BQ157" s="227" t="str">
        <f>IF($BF157="ja",VLOOKUP($B157,'Egen hetvattenprod'!$B$1:$BX$550,MATCH("Tillförd olja (fossil) vid avfallsförbränning (GWh)",'Egen hetvattenprod'!$B$1:$BX$1,0),FALSE),"")</f>
        <v/>
      </c>
      <c r="BR157" s="227" t="str">
        <f>IF($BF157="ja",VLOOKUP($B157,Kraftvärmeprod!$B$1:$BX$550,MATCH("Tillförd olja (fossil) vid avfallsförbränning (GWh)",Kraftvärmeprod!$B$1:$BX$1,0),FALSE),"")</f>
        <v/>
      </c>
      <c r="BS157" s="227"/>
      <c r="BT157" s="227"/>
      <c r="BU157" s="227"/>
    </row>
    <row r="158" spans="1:73" x14ac:dyDescent="0.25">
      <c r="A158" s="121" t="str">
        <f>'Miljövärden för publ företag'!B161</f>
        <v>Ljungby Energi AB</v>
      </c>
      <c r="B158" s="121" t="str">
        <f>'Miljövärden för publ företag'!C161</f>
        <v>Ljungby</v>
      </c>
      <c r="C158" s="173">
        <f>IFERROR(VLOOKUP($B158,Totalt!$B$1:$AQ$554,MATCH(C$2,Totalt!$B$1:$AQ$1,0),FALSE),"")</f>
        <v>0</v>
      </c>
      <c r="D158" s="173">
        <f>IFERROR(VLOOKUP($B158,Totalt!$B$1:$AQ$554,MATCH(D$2,Totalt!$B$1:$AQ$1,0),FALSE),"")</f>
        <v>2.58</v>
      </c>
      <c r="E158" s="173">
        <f>IFERROR(VLOOKUP($B158,Totalt!$B$1:$AQ$554,MATCH(E$2,Totalt!$B$1:$AQ$1,0),FALSE),"")</f>
        <v>0</v>
      </c>
      <c r="F158" s="173">
        <f>IFERROR(VLOOKUP($B158,Totalt!$B$1:$AQ$554,MATCH(F$2,Totalt!$B$1:$AQ$1,0),FALSE),"")</f>
        <v>0</v>
      </c>
      <c r="G158" s="173">
        <f>IFERROR(VLOOKUP($B158,Totalt!$B$1:$AQ$554,MATCH(G$2,Totalt!$B$1:$AQ$1,0),FALSE),"")</f>
        <v>0</v>
      </c>
      <c r="H158" s="173">
        <f>IFERROR(VLOOKUP($B158,Totalt!$B$1:$AQ$554,MATCH(H$2,Totalt!$B$1:$AQ$1,0),FALSE),"")</f>
        <v>0</v>
      </c>
      <c r="I158" s="173">
        <f>IFERROR(VLOOKUP($B158,Totalt!$B$1:$AQ$554,MATCH(I$2,Totalt!$B$1:$AQ$1,0),FALSE),"")</f>
        <v>112.348</v>
      </c>
      <c r="J158" s="173">
        <f>IFERROR(VLOOKUP($B158,Totalt!$B$1:$AQ$554,MATCH(J$2,Totalt!$B$1:$AQ$1,0),FALSE),"")</f>
        <v>0</v>
      </c>
      <c r="K158" s="173">
        <f>IFERROR(VLOOKUP($B158,Totalt!$B$1:$AQ$554,MATCH(K$2,Totalt!$B$1:$AQ$1,0),FALSE),"")</f>
        <v>0</v>
      </c>
      <c r="L158" s="173">
        <f>IFERROR(VLOOKUP($B158,Totalt!$B$1:$AQ$554,MATCH(L$2,Totalt!$B$1:$AQ$1,0),FALSE),"")</f>
        <v>19.059699999999999</v>
      </c>
      <c r="M158" s="173">
        <f>IFERROR(VLOOKUP($B158,Totalt!$B$1:$AQ$554,MATCH(M$2,Totalt!$B$1:$AQ$1,0),FALSE),"")</f>
        <v>0</v>
      </c>
      <c r="N158" s="173">
        <f>IFERROR(VLOOKUP($B158,Totalt!$B$1:$AQ$554,MATCH(N$2,Totalt!$B$1:$AQ$1,0),FALSE),"")</f>
        <v>45.082099999999997</v>
      </c>
      <c r="O158" s="173">
        <f>IFERROR(VLOOKUP($B158,Totalt!$B$1:$AQ$554,MATCH(O$2,Totalt!$B$1:$AQ$1,0),FALSE),"")</f>
        <v>0</v>
      </c>
      <c r="P158" s="173">
        <f>IFERROR(VLOOKUP($B158,Totalt!$B$1:$AQ$554,MATCH(P$2,Totalt!$B$1:$AQ$1,0),FALSE),"")</f>
        <v>0</v>
      </c>
      <c r="Q158" s="173">
        <f>IFERROR(VLOOKUP($B158,Totalt!$B$1:$AQ$554,MATCH(Q$2,Totalt!$B$1:$AQ$1,0),FALSE),"")</f>
        <v>0</v>
      </c>
      <c r="R158" s="173">
        <f>IFERROR(VLOOKUP($B158,Totalt!$B$1:$AQ$554,MATCH(R$2,Totalt!$B$1:$AQ$1,0),FALSE),"")</f>
        <v>10.06</v>
      </c>
      <c r="S158" s="173">
        <f>IFERROR(VLOOKUP($B158,Totalt!$B$1:$AQ$554,MATCH(S$2,Totalt!$B$1:$AQ$1,0),FALSE),"")</f>
        <v>0</v>
      </c>
      <c r="T158" s="173">
        <f>IFERROR(VLOOKUP($B158,Totalt!$B$1:$AQ$554,MATCH(T$2,Totalt!$B$1:$AQ$1,0),FALSE),"")</f>
        <v>0</v>
      </c>
      <c r="U158" s="173">
        <f>IFERROR(VLOOKUP($B158,Totalt!$B$1:$AQ$554,MATCH(U$2,Totalt!$B$1:$AQ$1,0),FALSE),"")</f>
        <v>0</v>
      </c>
      <c r="V158" s="173">
        <f>IFERROR(VLOOKUP($B158,Totalt!$B$1:$AQ$554,MATCH(V$2,Totalt!$B$1:$AQ$1,0),FALSE),"")</f>
        <v>0</v>
      </c>
      <c r="W158" s="173">
        <f>IFERROR(VLOOKUP($B158,Totalt!$B$1:$AQ$554,MATCH(W$2,Totalt!$B$1:$AQ$1,0),FALSE),"")</f>
        <v>0</v>
      </c>
      <c r="X158" s="173">
        <f>IFERROR(VLOOKUP($B158,Totalt!$B$1:$AQ$554,MATCH(X$2,Totalt!$B$1:$AQ$1,0),FALSE),"")</f>
        <v>0</v>
      </c>
      <c r="Y158" s="173">
        <f>IFERROR(VLOOKUP($B158,Totalt!$B$1:$AQ$554,MATCH(Y$2,Totalt!$B$1:$AQ$1,0),FALSE),"")</f>
        <v>4.2357800000000001</v>
      </c>
      <c r="Z158" s="173">
        <f>IFERROR(VLOOKUP($B158,Totalt!$B$1:$AQ$554,MATCH(Z$2,Totalt!$B$1:$AQ$1,0),FALSE),"")</f>
        <v>0</v>
      </c>
      <c r="AA158" s="173">
        <f>IFERROR(VLOOKUP($B158,Totalt!$B$1:$AQ$554,MATCH(AA$2,Totalt!$B$1:$AQ$1,0),FALSE),"")</f>
        <v>0</v>
      </c>
      <c r="AB158" s="173">
        <f>IFERROR(VLOOKUP($B158,Totalt!$B$1:$AQ$554,MATCH(AB$2,Totalt!$B$1:$AQ$1,0),FALSE),"")</f>
        <v>0</v>
      </c>
      <c r="AC158" s="173">
        <f>IFERROR(VLOOKUP($B158,Totalt!$B$1:$AQ$554,MATCH(AC$2,Totalt!$B$1:$AQ$1,0),FALSE),"")</f>
        <v>0</v>
      </c>
      <c r="AD158" s="173">
        <f>IFERROR(VLOOKUP($B158,Totalt!$B$1:$AQ$554,MATCH(AD$2,Totalt!$B$1:$AQ$1,0),FALSE),"")</f>
        <v>0</v>
      </c>
      <c r="AE158" s="173">
        <f>IFERROR(VLOOKUP($B158,Totalt!$B$1:$AQ$554,MATCH(AE$2,Totalt!$B$1:$AQ$1,0),FALSE),"")</f>
        <v>0</v>
      </c>
      <c r="AF158" s="173">
        <f>IFERROR(VLOOKUP($B158,Totalt!$B$1:$AQ$554,MATCH(AF$2,Totalt!$B$1:$AQ$1,0),FALSE),"")</f>
        <v>4.2869999999999999</v>
      </c>
      <c r="AG158" s="173">
        <f>IFERROR(VLOOKUP($B158,Totalt!$B$1:$AQ$554,MATCH(AG$2,Totalt!$B$1:$AQ$1,0),FALSE),"")</f>
        <v>0</v>
      </c>
      <c r="AI158" s="226">
        <f t="shared" si="12"/>
        <v>197.65258</v>
      </c>
      <c r="AJ158" s="226">
        <f>IF(ISERROR(1/VLOOKUP($B158,Leveranser!$B$1:$S$500,MATCH("såld värme (gwh)",Leveranser!$B$1:$S$1,0),FALSE)),"",VLOOKUP($B158,Leveranser!$B$1:$S$500,MATCH("såld värme (gwh)",Leveranser!$B$1:$S$1,0),FALSE))</f>
        <v>142.9</v>
      </c>
      <c r="AM158" s="227" t="str">
        <f>IF(B158&lt;&gt;"",IF(VLOOKUP($B158,Totalt!$B$1:$AQ$554,MATCH("Kvalitetsgranskad:",Totalt!$B$1:$AQ$1,0),FALSE)="ja",VLOOKUP($B158,Miljö!$B$1:$AG$479,MATCH(AM$2,Miljö!$B$1:$AK$1,0),FALSE),""),"")</f>
        <v>Ja</v>
      </c>
      <c r="AN158" s="227" t="str">
        <f>IF(AM158="ja",VLOOKUP($B158,Miljö!$B$1:$J$479,MATCH("Typ av ursprungsspecificerad el   (Om inget värde anges används Nordisk residualmix, se inforuta) ()",Miljö!$B$1:$J$1,0),FALSE),IF(AM158="nej","Nordisk residualel",""))</f>
        <v>''Bixias  mix '</v>
      </c>
      <c r="AO158" s="227">
        <f>IF(AM158="","",VLOOKUP($B158,Miljö!$B$1:$J$479,MATCH("Fossilandel för ursprungspecificerad el ()",Miljö!$B$1:$J$1,0),FALSE))</f>
        <v>0.14799999999999999</v>
      </c>
      <c r="AP158" s="227">
        <f>IF(AM158="","",IFERROR(VLOOKUP($B158,Miljö!$B$1:$J$479,MATCH("Kärnkraftsandel för ursprungsspecificerad el ()",Miljö!$B$1:$J$1,0),FALSE)/1,0))</f>
        <v>0.13900000000000001</v>
      </c>
      <c r="AQ158" s="227">
        <f t="shared" si="13"/>
        <v>0.71299999999999997</v>
      </c>
      <c r="AR158" s="227"/>
      <c r="AS158" s="227" t="str">
        <f t="shared" si="14"/>
        <v>Nej</v>
      </c>
      <c r="AT158" s="227" t="str">
        <f>IF(AS158="ja",VLOOKUP($B158,Miljö!$B$1:$O$500,MATCH("Fossil andel i procent (%)",Miljö!$B$1:$O$1,0),FALSE)/100,"")</f>
        <v/>
      </c>
      <c r="AU158" s="227"/>
      <c r="AV158" s="227" t="str">
        <f t="shared" si="15"/>
        <v>Nej</v>
      </c>
      <c r="AW158" s="227" t="str">
        <f>IF(AV158="ja",VLOOKUP($B158,'Egen hetvattenprod'!$B$1:$AO$500,MATCH("Värmekälla till värmepumpar ()",'Egen hetvattenprod'!$B$1:$AO$1,0),FALSE),"")</f>
        <v/>
      </c>
      <c r="AX158" s="227"/>
      <c r="AY158" s="227" t="str">
        <f t="shared" si="16"/>
        <v>Nej</v>
      </c>
      <c r="AZ158" s="228" t="str">
        <f>IF($AY158="ja",(VLOOKUP($B158,'Egen hetvattenprod'!$B$1:$BX$550,MATCH(AZ$2,'Egen hetvattenprod'!$B$1:$BX$1,0),FALSE)+VLOOKUP($B158,Kraftvärmeprod!$B$1:$BX$550,MATCH(AZ$2,Kraftvärmeprod!$B$1:$BX$1,0),FALSE))/$AC158,"")</f>
        <v/>
      </c>
      <c r="BA158" s="228" t="str">
        <f>IF($AY158="ja",(VLOOKUP($B158,'Egen hetvattenprod'!$B$1:$BX$550,MATCH(BA$2,'Egen hetvattenprod'!$B$1:$BX$1,0),FALSE)+VLOOKUP($B158,Kraftvärmeprod!$B$1:$BX$550,MATCH(BA$2,Kraftvärmeprod!$B$1:$BX$1,0),FALSE))/$AC158,"")</f>
        <v/>
      </c>
      <c r="BB158" s="228" t="str">
        <f>IF($AY158="ja",(VLOOKUP($B158,'Egen hetvattenprod'!$B$1:$BX$550,MATCH(BB$2,'Egen hetvattenprod'!$B$1:$BX$1,0),FALSE)+VLOOKUP($B158,Kraftvärmeprod!$B$1:$BX$550,MATCH(BB$2,Kraftvärmeprod!$B$1:$BX$1,0),FALSE))/$AC158,"")</f>
        <v/>
      </c>
      <c r="BC158" s="228" t="str">
        <f>IF($AY158="ja",(VLOOKUP($B158,'Egen hetvattenprod'!$B$1:$BX$550,MATCH(BC$2,'Egen hetvattenprod'!$B$1:$BX$1,0),FALSE)+VLOOKUP($B158,Kraftvärmeprod!$B$1:$BX$550,MATCH(BC$2,Kraftvärmeprod!$B$1:$BX$1,0),FALSE))/$AC158,"")</f>
        <v/>
      </c>
      <c r="BD158" s="228" t="str">
        <f>IF($AY158="ja",(VLOOKUP($B158,'Egen hetvattenprod'!$B$1:$BX$550,MATCH(BD$2,'Egen hetvattenprod'!$B$1:$BX$1,0),FALSE)+VLOOKUP($B158,Kraftvärmeprod!$B$1:$BX$550,MATCH(BD$2,Kraftvärmeprod!$B$1:$BX$1,0),FALSE))/$AC158,"")</f>
        <v/>
      </c>
      <c r="BE158" s="227"/>
      <c r="BF158" s="227" t="str">
        <f t="shared" si="17"/>
        <v>Ja</v>
      </c>
      <c r="BG158" s="227" t="str">
        <f>IF($BF158="ja",VLOOKUP($B158,'Egen hetvattenprod'!$B$1:$BX$550,MATCH("Andelen klimatgaser med fossilt ursprung för avfall ()",'Egen hetvattenprod'!$B$1:$BX$1,0),FALSE),"")</f>
        <v>Ingen redovisning</v>
      </c>
      <c r="BH158" s="227" t="str">
        <f>IF($BF158="ja",VLOOKUP($B158,Kraftvärmeprod!$B$1:$BX$550,MATCH("Andelen klimatgaser med fossilt ursprung för avfall ()",Kraftvärmeprod!$B$1:$BX$1,0),FALSE),"")</f>
        <v>Schablon</v>
      </c>
      <c r="BI158" s="227" t="str">
        <f>IF($BF158="ja",VLOOKUP($B158,'Egen hetvattenprod'!$B$1:$BX$550,MATCH("Avfall (GWh)",'Egen hetvattenprod'!$B$1:$BX$1,0),FALSE),"")</f>
        <v>ET</v>
      </c>
      <c r="BJ158" s="227">
        <f>IF($BF158="ja",VLOOKUP($B158,'Slutlig allokering kvv'!$B$1:$BX$550,MATCH("Avfall (GWh)",'Slutlig allokering kvv'!$B$1:$BX$1,0),FALSE),"")</f>
        <v>112.348</v>
      </c>
      <c r="BK158" s="227">
        <f>IF($BF158="ja",VLOOKUP($B158,'Köpt hetvatten'!$B$1:$BX$550,MATCH("Avfall i köpt hetvatten",'Köpt hetvatten'!$B$1:$BX$1,0),FALSE),"")</f>
        <v>0</v>
      </c>
      <c r="BL158" s="227" t="str">
        <f>IF($BF158="ja",VLOOKUP($B158,'Egen hetvattenprod'!$B$1:$BX$550,MATCH("Värde enligt ovan. (%)",'Egen hetvattenprod'!$B$1:$BX$1,0),FALSE),"")</f>
        <v>ET</v>
      </c>
      <c r="BM158" s="227">
        <f>IF($BF158="ja",VLOOKUP($B158,Kraftvärmeprod!$B$1:$BX$550,MATCH("Värde enligt ovan. (%)",Kraftvärmeprod!$B$1:$BX$1,0),FALSE),"")</f>
        <v>40.5</v>
      </c>
      <c r="BN158" s="227"/>
      <c r="BO158" s="227"/>
      <c r="BP158" s="227"/>
      <c r="BQ158" s="227" t="str">
        <f>IF($BF158="ja",VLOOKUP($B158,'Egen hetvattenprod'!$B$1:$BX$550,MATCH("Tillförd olja (fossil) vid avfallsförbränning (GWh)",'Egen hetvattenprod'!$B$1:$BX$1,0),FALSE),"")</f>
        <v>ET</v>
      </c>
      <c r="BR158" s="227">
        <f>IF($BF158="ja",VLOOKUP($B158,Kraftvärmeprod!$B$1:$BX$550,MATCH("Tillförd olja (fossil) vid avfallsförbränning (GWh)",Kraftvärmeprod!$B$1:$BX$1,0),FALSE),"")</f>
        <v>0.15</v>
      </c>
      <c r="BS158" s="227"/>
      <c r="BT158" s="227"/>
      <c r="BU158" s="227"/>
    </row>
    <row r="159" spans="1:73" x14ac:dyDescent="0.25">
      <c r="A159" s="121" t="str">
        <f>'Miljövärden för publ företag'!B162</f>
        <v>Ljusdal Energi AB</v>
      </c>
      <c r="B159" s="121" t="str">
        <f>'Miljövärden för publ företag'!C162</f>
        <v>Färila</v>
      </c>
      <c r="C159" s="173">
        <f>IFERROR(VLOOKUP($B159,Totalt!$B$1:$AQ$554,MATCH(C$2,Totalt!$B$1:$AQ$1,0),FALSE),"")</f>
        <v>0</v>
      </c>
      <c r="D159" s="173">
        <f>IFERROR(VLOOKUP($B159,Totalt!$B$1:$AQ$554,MATCH(D$2,Totalt!$B$1:$AQ$1,0),FALSE),"")</f>
        <v>0.2</v>
      </c>
      <c r="E159" s="173">
        <f>IFERROR(VLOOKUP($B159,Totalt!$B$1:$AQ$554,MATCH(E$2,Totalt!$B$1:$AQ$1,0),FALSE),"")</f>
        <v>0</v>
      </c>
      <c r="F159" s="173">
        <f>IFERROR(VLOOKUP($B159,Totalt!$B$1:$AQ$554,MATCH(F$2,Totalt!$B$1:$AQ$1,0),FALSE),"")</f>
        <v>0</v>
      </c>
      <c r="G159" s="173">
        <f>IFERROR(VLOOKUP($B159,Totalt!$B$1:$AQ$554,MATCH(G$2,Totalt!$B$1:$AQ$1,0),FALSE),"")</f>
        <v>0</v>
      </c>
      <c r="H159" s="173">
        <f>IFERROR(VLOOKUP($B159,Totalt!$B$1:$AQ$554,MATCH(H$2,Totalt!$B$1:$AQ$1,0),FALSE),"")</f>
        <v>0</v>
      </c>
      <c r="I159" s="173">
        <f>IFERROR(VLOOKUP($B159,Totalt!$B$1:$AQ$554,MATCH(I$2,Totalt!$B$1:$AQ$1,0),FALSE),"")</f>
        <v>0</v>
      </c>
      <c r="J159" s="173">
        <f>IFERROR(VLOOKUP($B159,Totalt!$B$1:$AQ$554,MATCH(J$2,Totalt!$B$1:$AQ$1,0),FALSE),"")</f>
        <v>0</v>
      </c>
      <c r="K159" s="173">
        <f>IFERROR(VLOOKUP($B159,Totalt!$B$1:$AQ$554,MATCH(K$2,Totalt!$B$1:$AQ$1,0),FALSE),"")</f>
        <v>0</v>
      </c>
      <c r="L159" s="173">
        <f>IFERROR(VLOOKUP($B159,Totalt!$B$1:$AQ$554,MATCH(L$2,Totalt!$B$1:$AQ$1,0),FALSE),"")</f>
        <v>0</v>
      </c>
      <c r="M159" s="173">
        <f>IFERROR(VLOOKUP($B159,Totalt!$B$1:$AQ$554,MATCH(M$2,Totalt!$B$1:$AQ$1,0),FALSE),"")</f>
        <v>0</v>
      </c>
      <c r="N159" s="173">
        <f>IFERROR(VLOOKUP($B159,Totalt!$B$1:$AQ$554,MATCH(N$2,Totalt!$B$1:$AQ$1,0),FALSE),"")</f>
        <v>0</v>
      </c>
      <c r="O159" s="173">
        <f>IFERROR(VLOOKUP($B159,Totalt!$B$1:$AQ$554,MATCH(O$2,Totalt!$B$1:$AQ$1,0),FALSE),"")</f>
        <v>0</v>
      </c>
      <c r="P159" s="173">
        <f>IFERROR(VLOOKUP($B159,Totalt!$B$1:$AQ$554,MATCH(P$2,Totalt!$B$1:$AQ$1,0),FALSE),"")</f>
        <v>0</v>
      </c>
      <c r="Q159" s="173">
        <f>IFERROR(VLOOKUP($B159,Totalt!$B$1:$AQ$554,MATCH(Q$2,Totalt!$B$1:$AQ$1,0),FALSE),"")</f>
        <v>6.8</v>
      </c>
      <c r="R159" s="173">
        <f>IFERROR(VLOOKUP($B159,Totalt!$B$1:$AQ$554,MATCH(R$2,Totalt!$B$1:$AQ$1,0),FALSE),"")</f>
        <v>1.6</v>
      </c>
      <c r="S159" s="173">
        <f>IFERROR(VLOOKUP($B159,Totalt!$B$1:$AQ$554,MATCH(S$2,Totalt!$B$1:$AQ$1,0),FALSE),"")</f>
        <v>0</v>
      </c>
      <c r="T159" s="173">
        <f>IFERROR(VLOOKUP($B159,Totalt!$B$1:$AQ$554,MATCH(T$2,Totalt!$B$1:$AQ$1,0),FALSE),"")</f>
        <v>0</v>
      </c>
      <c r="U159" s="173">
        <f>IFERROR(VLOOKUP($B159,Totalt!$B$1:$AQ$554,MATCH(U$2,Totalt!$B$1:$AQ$1,0),FALSE),"")</f>
        <v>0</v>
      </c>
      <c r="V159" s="173">
        <f>IFERROR(VLOOKUP($B159,Totalt!$B$1:$AQ$554,MATCH(V$2,Totalt!$B$1:$AQ$1,0),FALSE),"")</f>
        <v>0</v>
      </c>
      <c r="W159" s="173">
        <f>IFERROR(VLOOKUP($B159,Totalt!$B$1:$AQ$554,MATCH(W$2,Totalt!$B$1:$AQ$1,0),FALSE),"")</f>
        <v>0</v>
      </c>
      <c r="X159" s="173">
        <f>IFERROR(VLOOKUP($B159,Totalt!$B$1:$AQ$554,MATCH(X$2,Totalt!$B$1:$AQ$1,0),FALSE),"")</f>
        <v>0</v>
      </c>
      <c r="Y159" s="173">
        <f>IFERROR(VLOOKUP($B159,Totalt!$B$1:$AQ$554,MATCH(Y$2,Totalt!$B$1:$AQ$1,0),FALSE),"")</f>
        <v>0</v>
      </c>
      <c r="Z159" s="173">
        <f>IFERROR(VLOOKUP($B159,Totalt!$B$1:$AQ$554,MATCH(Z$2,Totalt!$B$1:$AQ$1,0),FALSE),"")</f>
        <v>0</v>
      </c>
      <c r="AA159" s="173">
        <f>IFERROR(VLOOKUP($B159,Totalt!$B$1:$AQ$554,MATCH(AA$2,Totalt!$B$1:$AQ$1,0),FALSE),"")</f>
        <v>0</v>
      </c>
      <c r="AB159" s="173">
        <f>IFERROR(VLOOKUP($B159,Totalt!$B$1:$AQ$554,MATCH(AB$2,Totalt!$B$1:$AQ$1,0),FALSE),"")</f>
        <v>0</v>
      </c>
      <c r="AC159" s="173">
        <f>IFERROR(VLOOKUP($B159,Totalt!$B$1:$AQ$554,MATCH(AC$2,Totalt!$B$1:$AQ$1,0),FALSE),"")</f>
        <v>0</v>
      </c>
      <c r="AD159" s="173">
        <f>IFERROR(VLOOKUP($B159,Totalt!$B$1:$AQ$554,MATCH(AD$2,Totalt!$B$1:$AQ$1,0),FALSE),"")</f>
        <v>0</v>
      </c>
      <c r="AE159" s="173">
        <f>IFERROR(VLOOKUP($B159,Totalt!$B$1:$AQ$554,MATCH(AE$2,Totalt!$B$1:$AQ$1,0),FALSE),"")</f>
        <v>0</v>
      </c>
      <c r="AF159" s="173">
        <f>IFERROR(VLOOKUP($B159,Totalt!$B$1:$AQ$554,MATCH(AF$2,Totalt!$B$1:$AQ$1,0),FALSE),"")</f>
        <v>0.16400000000000001</v>
      </c>
      <c r="AG159" s="173">
        <f>IFERROR(VLOOKUP($B159,Totalt!$B$1:$AQ$554,MATCH(AG$2,Totalt!$B$1:$AQ$1,0),FALSE),"")</f>
        <v>0</v>
      </c>
      <c r="AI159" s="226">
        <f t="shared" si="12"/>
        <v>8.7639999999999993</v>
      </c>
      <c r="AJ159" s="226">
        <f>IF(ISERROR(1/VLOOKUP($B159,Leveranser!$B$1:$S$500,MATCH("såld värme (gwh)",Leveranser!$B$1:$S$1,0),FALSE)),"",VLOOKUP($B159,Leveranser!$B$1:$S$500,MATCH("såld värme (gwh)",Leveranser!$B$1:$S$1,0),FALSE))</f>
        <v>8.1</v>
      </c>
      <c r="AM159" s="227" t="str">
        <f>IF(B159&lt;&gt;"",IF(VLOOKUP($B159,Totalt!$B$1:$AQ$554,MATCH("Kvalitetsgranskad:",Totalt!$B$1:$AQ$1,0),FALSE)="ja",VLOOKUP($B159,Miljö!$B$1:$AG$479,MATCH(AM$2,Miljö!$B$1:$AK$1,0),FALSE),""),"")</f>
        <v>Ja</v>
      </c>
      <c r="AN159" s="227" t="str">
        <f>IF(AM159="ja",VLOOKUP($B159,Miljö!$B$1:$J$479,MATCH("Typ av ursprungsspecificerad el   (Om inget värde anges används Nordisk residualmix, se inforuta) ()",Miljö!$B$1:$J$1,0),FALSE),IF(AM159="nej","Nordisk residualel",""))</f>
        <v>'Vattenkraft el'</v>
      </c>
      <c r="AO159" s="227">
        <f>IF(AM159="","",VLOOKUP($B159,Miljö!$B$1:$J$479,MATCH("Fossilandel för ursprungspecificerad el ()",Miljö!$B$1:$J$1,0),FALSE))</f>
        <v>0</v>
      </c>
      <c r="AP159" s="227">
        <f>IF(AM159="","",IFERROR(VLOOKUP($B159,Miljö!$B$1:$J$479,MATCH("Kärnkraftsandel för ursprungsspecificerad el ()",Miljö!$B$1:$J$1,0),FALSE)/1,0))</f>
        <v>0</v>
      </c>
      <c r="AQ159" s="227">
        <f t="shared" si="13"/>
        <v>1</v>
      </c>
      <c r="AR159" s="227"/>
      <c r="AS159" s="227" t="str">
        <f t="shared" si="14"/>
        <v>Nej</v>
      </c>
      <c r="AT159" s="227" t="str">
        <f>IF(AS159="ja",VLOOKUP($B159,Miljö!$B$1:$O$500,MATCH("Fossil andel i procent (%)",Miljö!$B$1:$O$1,0),FALSE)/100,"")</f>
        <v/>
      </c>
      <c r="AU159" s="227"/>
      <c r="AV159" s="227" t="str">
        <f t="shared" si="15"/>
        <v>Nej</v>
      </c>
      <c r="AW159" s="227" t="str">
        <f>IF(AV159="ja",VLOOKUP($B159,'Egen hetvattenprod'!$B$1:$AO$500,MATCH("Värmekälla till värmepumpar ()",'Egen hetvattenprod'!$B$1:$AO$1,0),FALSE),"")</f>
        <v/>
      </c>
      <c r="AX159" s="227"/>
      <c r="AY159" s="227" t="str">
        <f t="shared" si="16"/>
        <v>Nej</v>
      </c>
      <c r="AZ159" s="228" t="str">
        <f>IF($AY159="ja",(VLOOKUP($B159,'Egen hetvattenprod'!$B$1:$BX$550,MATCH(AZ$2,'Egen hetvattenprod'!$B$1:$BX$1,0),FALSE)+VLOOKUP($B159,Kraftvärmeprod!$B$1:$BX$550,MATCH(AZ$2,Kraftvärmeprod!$B$1:$BX$1,0),FALSE))/$AC159,"")</f>
        <v/>
      </c>
      <c r="BA159" s="228" t="str">
        <f>IF($AY159="ja",(VLOOKUP($B159,'Egen hetvattenprod'!$B$1:$BX$550,MATCH(BA$2,'Egen hetvattenprod'!$B$1:$BX$1,0),FALSE)+VLOOKUP($B159,Kraftvärmeprod!$B$1:$BX$550,MATCH(BA$2,Kraftvärmeprod!$B$1:$BX$1,0),FALSE))/$AC159,"")</f>
        <v/>
      </c>
      <c r="BB159" s="228" t="str">
        <f>IF($AY159="ja",(VLOOKUP($B159,'Egen hetvattenprod'!$B$1:$BX$550,MATCH(BB$2,'Egen hetvattenprod'!$B$1:$BX$1,0),FALSE)+VLOOKUP($B159,Kraftvärmeprod!$B$1:$BX$550,MATCH(BB$2,Kraftvärmeprod!$B$1:$BX$1,0),FALSE))/$AC159,"")</f>
        <v/>
      </c>
      <c r="BC159" s="228" t="str">
        <f>IF($AY159="ja",(VLOOKUP($B159,'Egen hetvattenprod'!$B$1:$BX$550,MATCH(BC$2,'Egen hetvattenprod'!$B$1:$BX$1,0),FALSE)+VLOOKUP($B159,Kraftvärmeprod!$B$1:$BX$550,MATCH(BC$2,Kraftvärmeprod!$B$1:$BX$1,0),FALSE))/$AC159,"")</f>
        <v/>
      </c>
      <c r="BD159" s="228" t="str">
        <f>IF($AY159="ja",(VLOOKUP($B159,'Egen hetvattenprod'!$B$1:$BX$550,MATCH(BD$2,'Egen hetvattenprod'!$B$1:$BX$1,0),FALSE)+VLOOKUP($B159,Kraftvärmeprod!$B$1:$BX$550,MATCH(BD$2,Kraftvärmeprod!$B$1:$BX$1,0),FALSE))/$AC159,"")</f>
        <v/>
      </c>
      <c r="BE159" s="227"/>
      <c r="BF159" s="227" t="str">
        <f t="shared" si="17"/>
        <v>Nej</v>
      </c>
      <c r="BG159" s="227" t="str">
        <f>IF($BF159="ja",VLOOKUP($B159,'Egen hetvattenprod'!$B$1:$BX$550,MATCH("Andelen klimatgaser med fossilt ursprung för avfall ()",'Egen hetvattenprod'!$B$1:$BX$1,0),FALSE),"")</f>
        <v/>
      </c>
      <c r="BH159" s="227" t="str">
        <f>IF($BF159="ja",VLOOKUP($B159,Kraftvärmeprod!$B$1:$BX$550,MATCH("Andelen klimatgaser med fossilt ursprung för avfall ()",Kraftvärmeprod!$B$1:$BX$1,0),FALSE),"")</f>
        <v/>
      </c>
      <c r="BI159" s="227" t="str">
        <f>IF($BF159="ja",VLOOKUP($B159,'Egen hetvattenprod'!$B$1:$BX$550,MATCH("Avfall (GWh)",'Egen hetvattenprod'!$B$1:$BX$1,0),FALSE),"")</f>
        <v/>
      </c>
      <c r="BJ159" s="227" t="str">
        <f>IF($BF159="ja",VLOOKUP($B159,'Slutlig allokering kvv'!$B$1:$BX$550,MATCH("Avfall (GWh)",'Slutlig allokering kvv'!$B$1:$BX$1,0),FALSE),"")</f>
        <v/>
      </c>
      <c r="BK159" s="227" t="str">
        <f>IF($BF159="ja",VLOOKUP($B159,'Köpt hetvatten'!$B$1:$BX$550,MATCH("Avfall i köpt hetvatten",'Köpt hetvatten'!$B$1:$BX$1,0),FALSE),"")</f>
        <v/>
      </c>
      <c r="BL159" s="227" t="str">
        <f>IF($BF159="ja",VLOOKUP($B159,'Egen hetvattenprod'!$B$1:$BX$550,MATCH("Värde enligt ovan. (%)",'Egen hetvattenprod'!$B$1:$BX$1,0),FALSE),"")</f>
        <v/>
      </c>
      <c r="BM159" s="227" t="str">
        <f>IF($BF159="ja",VLOOKUP($B159,Kraftvärmeprod!$B$1:$BX$550,MATCH("Värde enligt ovan. (%)",Kraftvärmeprod!$B$1:$BX$1,0),FALSE),"")</f>
        <v/>
      </c>
      <c r="BN159" s="227"/>
      <c r="BO159" s="227"/>
      <c r="BP159" s="227"/>
      <c r="BQ159" s="227" t="str">
        <f>IF($BF159="ja",VLOOKUP($B159,'Egen hetvattenprod'!$B$1:$BX$550,MATCH("Tillförd olja (fossil) vid avfallsförbränning (GWh)",'Egen hetvattenprod'!$B$1:$BX$1,0),FALSE),"")</f>
        <v/>
      </c>
      <c r="BR159" s="227" t="str">
        <f>IF($BF159="ja",VLOOKUP($B159,Kraftvärmeprod!$B$1:$BX$550,MATCH("Tillförd olja (fossil) vid avfallsförbränning (GWh)",Kraftvärmeprod!$B$1:$BX$1,0),FALSE),"")</f>
        <v/>
      </c>
      <c r="BS159" s="227"/>
      <c r="BT159" s="227"/>
      <c r="BU159" s="227"/>
    </row>
    <row r="160" spans="1:73" x14ac:dyDescent="0.25">
      <c r="A160" s="121" t="str">
        <f>'Miljövärden för publ företag'!B163</f>
        <v>Ljusdal Energi AB</v>
      </c>
      <c r="B160" s="121" t="str">
        <f>'Miljövärden för publ företag'!C163</f>
        <v>Järvsö</v>
      </c>
      <c r="C160" s="173">
        <f>IFERROR(VLOOKUP($B160,Totalt!$B$1:$AQ$554,MATCH(C$2,Totalt!$B$1:$AQ$1,0),FALSE),"")</f>
        <v>0</v>
      </c>
      <c r="D160" s="173">
        <f>IFERROR(VLOOKUP($B160,Totalt!$B$1:$AQ$554,MATCH(D$2,Totalt!$B$1:$AQ$1,0),FALSE),"")</f>
        <v>0.9</v>
      </c>
      <c r="E160" s="173">
        <f>IFERROR(VLOOKUP($B160,Totalt!$B$1:$AQ$554,MATCH(E$2,Totalt!$B$1:$AQ$1,0),FALSE),"")</f>
        <v>0</v>
      </c>
      <c r="F160" s="173">
        <f>IFERROR(VLOOKUP($B160,Totalt!$B$1:$AQ$554,MATCH(F$2,Totalt!$B$1:$AQ$1,0),FALSE),"")</f>
        <v>0</v>
      </c>
      <c r="G160" s="173">
        <f>IFERROR(VLOOKUP($B160,Totalt!$B$1:$AQ$554,MATCH(G$2,Totalt!$B$1:$AQ$1,0),FALSE),"")</f>
        <v>0</v>
      </c>
      <c r="H160" s="173">
        <f>IFERROR(VLOOKUP($B160,Totalt!$B$1:$AQ$554,MATCH(H$2,Totalt!$B$1:$AQ$1,0),FALSE),"")</f>
        <v>0</v>
      </c>
      <c r="I160" s="173">
        <f>IFERROR(VLOOKUP($B160,Totalt!$B$1:$AQ$554,MATCH(I$2,Totalt!$B$1:$AQ$1,0),FALSE),"")</f>
        <v>0</v>
      </c>
      <c r="J160" s="173">
        <f>IFERROR(VLOOKUP($B160,Totalt!$B$1:$AQ$554,MATCH(J$2,Totalt!$B$1:$AQ$1,0),FALSE),"")</f>
        <v>0</v>
      </c>
      <c r="K160" s="173">
        <f>IFERROR(VLOOKUP($B160,Totalt!$B$1:$AQ$554,MATCH(K$2,Totalt!$B$1:$AQ$1,0),FALSE),"")</f>
        <v>0</v>
      </c>
      <c r="L160" s="173">
        <f>IFERROR(VLOOKUP($B160,Totalt!$B$1:$AQ$554,MATCH(L$2,Totalt!$B$1:$AQ$1,0),FALSE),"")</f>
        <v>0</v>
      </c>
      <c r="M160" s="173">
        <f>IFERROR(VLOOKUP($B160,Totalt!$B$1:$AQ$554,MATCH(M$2,Totalt!$B$1:$AQ$1,0),FALSE),"")</f>
        <v>0</v>
      </c>
      <c r="N160" s="173">
        <f>IFERROR(VLOOKUP($B160,Totalt!$B$1:$AQ$554,MATCH(N$2,Totalt!$B$1:$AQ$1,0),FALSE),"")</f>
        <v>0</v>
      </c>
      <c r="O160" s="173">
        <f>IFERROR(VLOOKUP($B160,Totalt!$B$1:$AQ$554,MATCH(O$2,Totalt!$B$1:$AQ$1,0),FALSE),"")</f>
        <v>0</v>
      </c>
      <c r="P160" s="173">
        <f>IFERROR(VLOOKUP($B160,Totalt!$B$1:$AQ$554,MATCH(P$2,Totalt!$B$1:$AQ$1,0),FALSE),"")</f>
        <v>12.8</v>
      </c>
      <c r="Q160" s="173">
        <f>IFERROR(VLOOKUP($B160,Totalt!$B$1:$AQ$554,MATCH(Q$2,Totalt!$B$1:$AQ$1,0),FALSE),"")</f>
        <v>0</v>
      </c>
      <c r="R160" s="173">
        <f>IFERROR(VLOOKUP($B160,Totalt!$B$1:$AQ$554,MATCH(R$2,Totalt!$B$1:$AQ$1,0),FALSE),"")</f>
        <v>0</v>
      </c>
      <c r="S160" s="173">
        <f>IFERROR(VLOOKUP($B160,Totalt!$B$1:$AQ$554,MATCH(S$2,Totalt!$B$1:$AQ$1,0),FALSE),"")</f>
        <v>0</v>
      </c>
      <c r="T160" s="173">
        <f>IFERROR(VLOOKUP($B160,Totalt!$B$1:$AQ$554,MATCH(T$2,Totalt!$B$1:$AQ$1,0),FALSE),"")</f>
        <v>0</v>
      </c>
      <c r="U160" s="173">
        <f>IFERROR(VLOOKUP($B160,Totalt!$B$1:$AQ$554,MATCH(U$2,Totalt!$B$1:$AQ$1,0),FALSE),"")</f>
        <v>0</v>
      </c>
      <c r="V160" s="173">
        <f>IFERROR(VLOOKUP($B160,Totalt!$B$1:$AQ$554,MATCH(V$2,Totalt!$B$1:$AQ$1,0),FALSE),"")</f>
        <v>0</v>
      </c>
      <c r="W160" s="173">
        <f>IFERROR(VLOOKUP($B160,Totalt!$B$1:$AQ$554,MATCH(W$2,Totalt!$B$1:$AQ$1,0),FALSE),"")</f>
        <v>0</v>
      </c>
      <c r="X160" s="173">
        <f>IFERROR(VLOOKUP($B160,Totalt!$B$1:$AQ$554,MATCH(X$2,Totalt!$B$1:$AQ$1,0),FALSE),"")</f>
        <v>0</v>
      </c>
      <c r="Y160" s="173">
        <f>IFERROR(VLOOKUP($B160,Totalt!$B$1:$AQ$554,MATCH(Y$2,Totalt!$B$1:$AQ$1,0),FALSE),"")</f>
        <v>0</v>
      </c>
      <c r="Z160" s="173">
        <f>IFERROR(VLOOKUP($B160,Totalt!$B$1:$AQ$554,MATCH(Z$2,Totalt!$B$1:$AQ$1,0),FALSE),"")</f>
        <v>0</v>
      </c>
      <c r="AA160" s="173">
        <f>IFERROR(VLOOKUP($B160,Totalt!$B$1:$AQ$554,MATCH(AA$2,Totalt!$B$1:$AQ$1,0),FALSE),"")</f>
        <v>0</v>
      </c>
      <c r="AB160" s="173">
        <f>IFERROR(VLOOKUP($B160,Totalt!$B$1:$AQ$554,MATCH(AB$2,Totalt!$B$1:$AQ$1,0),FALSE),"")</f>
        <v>0</v>
      </c>
      <c r="AC160" s="173">
        <f>IFERROR(VLOOKUP($B160,Totalt!$B$1:$AQ$554,MATCH(AC$2,Totalt!$B$1:$AQ$1,0),FALSE),"")</f>
        <v>1.2</v>
      </c>
      <c r="AD160" s="173">
        <f>IFERROR(VLOOKUP($B160,Totalt!$B$1:$AQ$554,MATCH(AD$2,Totalt!$B$1:$AQ$1,0),FALSE),"")</f>
        <v>0</v>
      </c>
      <c r="AE160" s="173">
        <f>IFERROR(VLOOKUP($B160,Totalt!$B$1:$AQ$554,MATCH(AE$2,Totalt!$B$1:$AQ$1,0),FALSE),"")</f>
        <v>0</v>
      </c>
      <c r="AF160" s="173">
        <f>IFERROR(VLOOKUP($B160,Totalt!$B$1:$AQ$554,MATCH(AF$2,Totalt!$B$1:$AQ$1,0),FALSE),"")</f>
        <v>0.39</v>
      </c>
      <c r="AG160" s="173">
        <f>IFERROR(VLOOKUP($B160,Totalt!$B$1:$AQ$554,MATCH(AG$2,Totalt!$B$1:$AQ$1,0),FALSE),"")</f>
        <v>0</v>
      </c>
      <c r="AI160" s="226">
        <f t="shared" si="12"/>
        <v>15.290000000000001</v>
      </c>
      <c r="AJ160" s="226">
        <f>IF(ISERROR(1/VLOOKUP($B160,Leveranser!$B$1:$S$500,MATCH("såld värme (gwh)",Leveranser!$B$1:$S$1,0),FALSE)),"",VLOOKUP($B160,Leveranser!$B$1:$S$500,MATCH("såld värme (gwh)",Leveranser!$B$1:$S$1,0),FALSE))</f>
        <v>10.5</v>
      </c>
      <c r="AM160" s="227" t="str">
        <f>IF(B160&lt;&gt;"",IF(VLOOKUP($B160,Totalt!$B$1:$AQ$554,MATCH("Kvalitetsgranskad:",Totalt!$B$1:$AQ$1,0),FALSE)="ja",VLOOKUP($B160,Miljö!$B$1:$AG$479,MATCH(AM$2,Miljö!$B$1:$AK$1,0),FALSE),""),"")</f>
        <v>Ja</v>
      </c>
      <c r="AN160" s="227" t="str">
        <f>IF(AM160="ja",VLOOKUP($B160,Miljö!$B$1:$J$479,MATCH("Typ av ursprungsspecificerad el   (Om inget värde anges används Nordisk residualmix, se inforuta) ()",Miljö!$B$1:$J$1,0),FALSE),IF(AM160="nej","Nordisk residualel",""))</f>
        <v>'Vattenkraft'</v>
      </c>
      <c r="AO160" s="227">
        <f>IF(AM160="","",VLOOKUP($B160,Miljö!$B$1:$J$479,MATCH("Fossilandel för ursprungspecificerad el ()",Miljö!$B$1:$J$1,0),FALSE))</f>
        <v>0</v>
      </c>
      <c r="AP160" s="227">
        <f>IF(AM160="","",IFERROR(VLOOKUP($B160,Miljö!$B$1:$J$479,MATCH("Kärnkraftsandel för ursprungsspecificerad el ()",Miljö!$B$1:$J$1,0),FALSE)/1,0))</f>
        <v>0</v>
      </c>
      <c r="AQ160" s="227">
        <f t="shared" si="13"/>
        <v>1</v>
      </c>
      <c r="AR160" s="227"/>
      <c r="AS160" s="227" t="str">
        <f t="shared" si="14"/>
        <v>Nej</v>
      </c>
      <c r="AT160" s="227" t="str">
        <f>IF(AS160="ja",VLOOKUP($B160,Miljö!$B$1:$O$500,MATCH("Fossil andel i procent (%)",Miljö!$B$1:$O$1,0),FALSE)/100,"")</f>
        <v/>
      </c>
      <c r="AU160" s="227"/>
      <c r="AV160" s="227" t="str">
        <f t="shared" si="15"/>
        <v>Nej</v>
      </c>
      <c r="AW160" s="227" t="str">
        <f>IF(AV160="ja",VLOOKUP($B160,'Egen hetvattenprod'!$B$1:$AO$500,MATCH("Värmekälla till värmepumpar ()",'Egen hetvattenprod'!$B$1:$AO$1,0),FALSE),"")</f>
        <v/>
      </c>
      <c r="AX160" s="227"/>
      <c r="AY160" s="227" t="str">
        <f t="shared" si="16"/>
        <v>Ja</v>
      </c>
      <c r="AZ160" s="228">
        <f>IF($AY160="ja",(VLOOKUP($B160,'Egen hetvattenprod'!$B$1:$BX$550,MATCH(AZ$2,'Egen hetvattenprod'!$B$1:$BX$1,0),FALSE)+VLOOKUP($B160,Kraftvärmeprod!$B$1:$BX$550,MATCH(AZ$2,Kraftvärmeprod!$B$1:$BX$1,0),FALSE))/$AC160,"")</f>
        <v>1</v>
      </c>
      <c r="BA160" s="228">
        <f>IF($AY160="ja",(VLOOKUP($B160,'Egen hetvattenprod'!$B$1:$BX$550,MATCH(BA$2,'Egen hetvattenprod'!$B$1:$BX$1,0),FALSE)+VLOOKUP($B160,Kraftvärmeprod!$B$1:$BX$550,MATCH(BA$2,Kraftvärmeprod!$B$1:$BX$1,0),FALSE))/$AC160,"")</f>
        <v>0</v>
      </c>
      <c r="BB160" s="228">
        <f>IF($AY160="ja",(VLOOKUP($B160,'Egen hetvattenprod'!$B$1:$BX$550,MATCH(BB$2,'Egen hetvattenprod'!$B$1:$BX$1,0),FALSE)+VLOOKUP($B160,Kraftvärmeprod!$B$1:$BX$550,MATCH(BB$2,Kraftvärmeprod!$B$1:$BX$1,0),FALSE))/$AC160,"")</f>
        <v>0</v>
      </c>
      <c r="BC160" s="228">
        <f>IF($AY160="ja",(VLOOKUP($B160,'Egen hetvattenprod'!$B$1:$BX$550,MATCH(BC$2,'Egen hetvattenprod'!$B$1:$BX$1,0),FALSE)+VLOOKUP($B160,Kraftvärmeprod!$B$1:$BX$550,MATCH(BC$2,Kraftvärmeprod!$B$1:$BX$1,0),FALSE))/$AC160,"")</f>
        <v>0</v>
      </c>
      <c r="BD160" s="228">
        <f>IF($AY160="ja",(VLOOKUP($B160,'Egen hetvattenprod'!$B$1:$BX$550,MATCH(BD$2,'Egen hetvattenprod'!$B$1:$BX$1,0),FALSE)+VLOOKUP($B160,Kraftvärmeprod!$B$1:$BX$550,MATCH(BD$2,Kraftvärmeprod!$B$1:$BX$1,0),FALSE))/$AC160,"")</f>
        <v>0</v>
      </c>
      <c r="BE160" s="227"/>
      <c r="BF160" s="227" t="str">
        <f t="shared" si="17"/>
        <v>Nej</v>
      </c>
      <c r="BG160" s="227" t="str">
        <f>IF($BF160="ja",VLOOKUP($B160,'Egen hetvattenprod'!$B$1:$BX$550,MATCH("Andelen klimatgaser med fossilt ursprung för avfall ()",'Egen hetvattenprod'!$B$1:$BX$1,0),FALSE),"")</f>
        <v/>
      </c>
      <c r="BH160" s="227" t="str">
        <f>IF($BF160="ja",VLOOKUP($B160,Kraftvärmeprod!$B$1:$BX$550,MATCH("Andelen klimatgaser med fossilt ursprung för avfall ()",Kraftvärmeprod!$B$1:$BX$1,0),FALSE),"")</f>
        <v/>
      </c>
      <c r="BI160" s="227" t="str">
        <f>IF($BF160="ja",VLOOKUP($B160,'Egen hetvattenprod'!$B$1:$BX$550,MATCH("Avfall (GWh)",'Egen hetvattenprod'!$B$1:$BX$1,0),FALSE),"")</f>
        <v/>
      </c>
      <c r="BJ160" s="227" t="str">
        <f>IF($BF160="ja",VLOOKUP($B160,'Slutlig allokering kvv'!$B$1:$BX$550,MATCH("Avfall (GWh)",'Slutlig allokering kvv'!$B$1:$BX$1,0),FALSE),"")</f>
        <v/>
      </c>
      <c r="BK160" s="227" t="str">
        <f>IF($BF160="ja",VLOOKUP($B160,'Köpt hetvatten'!$B$1:$BX$550,MATCH("Avfall i köpt hetvatten",'Köpt hetvatten'!$B$1:$BX$1,0),FALSE),"")</f>
        <v/>
      </c>
      <c r="BL160" s="227" t="str">
        <f>IF($BF160="ja",VLOOKUP($B160,'Egen hetvattenprod'!$B$1:$BX$550,MATCH("Värde enligt ovan. (%)",'Egen hetvattenprod'!$B$1:$BX$1,0),FALSE),"")</f>
        <v/>
      </c>
      <c r="BM160" s="227" t="str">
        <f>IF($BF160="ja",VLOOKUP($B160,Kraftvärmeprod!$B$1:$BX$550,MATCH("Värde enligt ovan. (%)",Kraftvärmeprod!$B$1:$BX$1,0),FALSE),"")</f>
        <v/>
      </c>
      <c r="BN160" s="227"/>
      <c r="BO160" s="227"/>
      <c r="BP160" s="227"/>
      <c r="BQ160" s="227" t="str">
        <f>IF($BF160="ja",VLOOKUP($B160,'Egen hetvattenprod'!$B$1:$BX$550,MATCH("Tillförd olja (fossil) vid avfallsförbränning (GWh)",'Egen hetvattenprod'!$B$1:$BX$1,0),FALSE),"")</f>
        <v/>
      </c>
      <c r="BR160" s="227" t="str">
        <f>IF($BF160="ja",VLOOKUP($B160,Kraftvärmeprod!$B$1:$BX$550,MATCH("Tillförd olja (fossil) vid avfallsförbränning (GWh)",Kraftvärmeprod!$B$1:$BX$1,0),FALSE),"")</f>
        <v/>
      </c>
      <c r="BS160" s="227"/>
      <c r="BT160" s="227"/>
      <c r="BU160" s="227"/>
    </row>
    <row r="161" spans="1:73" x14ac:dyDescent="0.25">
      <c r="A161" s="121" t="str">
        <f>'Miljövärden för publ företag'!B164</f>
        <v>Ljusdal Energi AB</v>
      </c>
      <c r="B161" s="121" t="str">
        <f>'Miljövärden för publ företag'!C164</f>
        <v>Ljusdal</v>
      </c>
      <c r="C161" s="173">
        <f>IFERROR(VLOOKUP($B161,Totalt!$B$1:$AQ$554,MATCH(C$2,Totalt!$B$1:$AQ$1,0),FALSE),"")</f>
        <v>0</v>
      </c>
      <c r="D161" s="173">
        <f>IFERROR(VLOOKUP($B161,Totalt!$B$1:$AQ$554,MATCH(D$2,Totalt!$B$1:$AQ$1,0),FALSE),"")</f>
        <v>0.56000000000000005</v>
      </c>
      <c r="E161" s="173">
        <f>IFERROR(VLOOKUP($B161,Totalt!$B$1:$AQ$554,MATCH(E$2,Totalt!$B$1:$AQ$1,0),FALSE),"")</f>
        <v>0</v>
      </c>
      <c r="F161" s="173">
        <f>IFERROR(VLOOKUP($B161,Totalt!$B$1:$AQ$554,MATCH(F$2,Totalt!$B$1:$AQ$1,0),FALSE),"")</f>
        <v>0</v>
      </c>
      <c r="G161" s="173">
        <f>IFERROR(VLOOKUP($B161,Totalt!$B$1:$AQ$554,MATCH(G$2,Totalt!$B$1:$AQ$1,0),FALSE),"")</f>
        <v>0</v>
      </c>
      <c r="H161" s="173">
        <f>IFERROR(VLOOKUP($B161,Totalt!$B$1:$AQ$554,MATCH(H$2,Totalt!$B$1:$AQ$1,0),FALSE),"")</f>
        <v>0</v>
      </c>
      <c r="I161" s="173">
        <f>IFERROR(VLOOKUP($B161,Totalt!$B$1:$AQ$554,MATCH(I$2,Totalt!$B$1:$AQ$1,0),FALSE),"")</f>
        <v>0</v>
      </c>
      <c r="J161" s="173">
        <f>IFERROR(VLOOKUP($B161,Totalt!$B$1:$AQ$554,MATCH(J$2,Totalt!$B$1:$AQ$1,0),FALSE),"")</f>
        <v>0</v>
      </c>
      <c r="K161" s="173">
        <f>IFERROR(VLOOKUP($B161,Totalt!$B$1:$AQ$554,MATCH(K$2,Totalt!$B$1:$AQ$1,0),FALSE),"")</f>
        <v>0</v>
      </c>
      <c r="L161" s="173">
        <f>IFERROR(VLOOKUP($B161,Totalt!$B$1:$AQ$554,MATCH(L$2,Totalt!$B$1:$AQ$1,0),FALSE),"")</f>
        <v>0</v>
      </c>
      <c r="M161" s="173">
        <f>IFERROR(VLOOKUP($B161,Totalt!$B$1:$AQ$554,MATCH(M$2,Totalt!$B$1:$AQ$1,0),FALSE),"")</f>
        <v>7.6</v>
      </c>
      <c r="N161" s="173">
        <f>IFERROR(VLOOKUP($B161,Totalt!$B$1:$AQ$554,MATCH(N$2,Totalt!$B$1:$AQ$1,0),FALSE),"")</f>
        <v>65.8</v>
      </c>
      <c r="O161" s="173">
        <f>IFERROR(VLOOKUP($B161,Totalt!$B$1:$AQ$554,MATCH(O$2,Totalt!$B$1:$AQ$1,0),FALSE),"")</f>
        <v>0</v>
      </c>
      <c r="P161" s="173">
        <f>IFERROR(VLOOKUP($B161,Totalt!$B$1:$AQ$554,MATCH(P$2,Totalt!$B$1:$AQ$1,0),FALSE),"")</f>
        <v>0</v>
      </c>
      <c r="Q161" s="173">
        <f>IFERROR(VLOOKUP($B161,Totalt!$B$1:$AQ$554,MATCH(Q$2,Totalt!$B$1:$AQ$1,0),FALSE),"")</f>
        <v>0</v>
      </c>
      <c r="R161" s="173">
        <f>IFERROR(VLOOKUP($B161,Totalt!$B$1:$AQ$554,MATCH(R$2,Totalt!$B$1:$AQ$1,0),FALSE),"")</f>
        <v>0</v>
      </c>
      <c r="S161" s="173">
        <f>IFERROR(VLOOKUP($B161,Totalt!$B$1:$AQ$554,MATCH(S$2,Totalt!$B$1:$AQ$1,0),FALSE),"")</f>
        <v>0</v>
      </c>
      <c r="T161" s="173">
        <f>IFERROR(VLOOKUP($B161,Totalt!$B$1:$AQ$554,MATCH(T$2,Totalt!$B$1:$AQ$1,0),FALSE),"")</f>
        <v>0</v>
      </c>
      <c r="U161" s="173">
        <f>IFERROR(VLOOKUP($B161,Totalt!$B$1:$AQ$554,MATCH(U$2,Totalt!$B$1:$AQ$1,0),FALSE),"")</f>
        <v>0</v>
      </c>
      <c r="V161" s="173">
        <f>IFERROR(VLOOKUP($B161,Totalt!$B$1:$AQ$554,MATCH(V$2,Totalt!$B$1:$AQ$1,0),FALSE),"")</f>
        <v>0</v>
      </c>
      <c r="W161" s="173">
        <f>IFERROR(VLOOKUP($B161,Totalt!$B$1:$AQ$554,MATCH(W$2,Totalt!$B$1:$AQ$1,0),FALSE),"")</f>
        <v>0</v>
      </c>
      <c r="X161" s="173">
        <f>IFERROR(VLOOKUP($B161,Totalt!$B$1:$AQ$554,MATCH(X$2,Totalt!$B$1:$AQ$1,0),FALSE),"")</f>
        <v>0</v>
      </c>
      <c r="Y161" s="173">
        <f>IFERROR(VLOOKUP($B161,Totalt!$B$1:$AQ$554,MATCH(Y$2,Totalt!$B$1:$AQ$1,0),FALSE),"")</f>
        <v>0</v>
      </c>
      <c r="Z161" s="173">
        <f>IFERROR(VLOOKUP($B161,Totalt!$B$1:$AQ$554,MATCH(Z$2,Totalt!$B$1:$AQ$1,0),FALSE),"")</f>
        <v>0</v>
      </c>
      <c r="AA161" s="173">
        <f>IFERROR(VLOOKUP($B161,Totalt!$B$1:$AQ$554,MATCH(AA$2,Totalt!$B$1:$AQ$1,0),FALSE),"")</f>
        <v>0</v>
      </c>
      <c r="AB161" s="173">
        <f>IFERROR(VLOOKUP($B161,Totalt!$B$1:$AQ$554,MATCH(AB$2,Totalt!$B$1:$AQ$1,0),FALSE),"")</f>
        <v>0</v>
      </c>
      <c r="AC161" s="173">
        <f>IFERROR(VLOOKUP($B161,Totalt!$B$1:$AQ$554,MATCH(AC$2,Totalt!$B$1:$AQ$1,0),FALSE),"")</f>
        <v>10.8</v>
      </c>
      <c r="AD161" s="173">
        <f>IFERROR(VLOOKUP($B161,Totalt!$B$1:$AQ$554,MATCH(AD$2,Totalt!$B$1:$AQ$1,0),FALSE),"")</f>
        <v>0</v>
      </c>
      <c r="AE161" s="173">
        <f>IFERROR(VLOOKUP($B161,Totalt!$B$1:$AQ$554,MATCH(AE$2,Totalt!$B$1:$AQ$1,0),FALSE),"")</f>
        <v>0</v>
      </c>
      <c r="AF161" s="173">
        <f>IFERROR(VLOOKUP($B161,Totalt!$B$1:$AQ$554,MATCH(AF$2,Totalt!$B$1:$AQ$1,0),FALSE),"")</f>
        <v>2.38</v>
      </c>
      <c r="AG161" s="173">
        <f>IFERROR(VLOOKUP($B161,Totalt!$B$1:$AQ$554,MATCH(AG$2,Totalt!$B$1:$AQ$1,0),FALSE),"")</f>
        <v>0</v>
      </c>
      <c r="AI161" s="226">
        <f t="shared" si="12"/>
        <v>87.139999999999986</v>
      </c>
      <c r="AJ161" s="226">
        <f>IF(ISERROR(1/VLOOKUP($B161,Leveranser!$B$1:$S$500,MATCH("såld värme (gwh)",Leveranser!$B$1:$S$1,0),FALSE)),"",VLOOKUP($B161,Leveranser!$B$1:$S$500,MATCH("såld värme (gwh)",Leveranser!$B$1:$S$1,0),FALSE))</f>
        <v>63.1</v>
      </c>
      <c r="AM161" s="227" t="str">
        <f>IF(B161&lt;&gt;"",IF(VLOOKUP($B161,Totalt!$B$1:$AQ$554,MATCH("Kvalitetsgranskad:",Totalt!$B$1:$AQ$1,0),FALSE)="ja",VLOOKUP($B161,Miljö!$B$1:$AG$479,MATCH(AM$2,Miljö!$B$1:$AK$1,0),FALSE),""),"")</f>
        <v>Ja</v>
      </c>
      <c r="AN161" s="227" t="str">
        <f>IF(AM161="ja",VLOOKUP($B161,Miljö!$B$1:$J$479,MATCH("Typ av ursprungsspecificerad el   (Om inget värde anges används Nordisk residualmix, se inforuta) ()",Miljö!$B$1:$J$1,0),FALSE),IF(AM161="nej","Nordisk residualel",""))</f>
        <v>'Vattekraft'</v>
      </c>
      <c r="AO161" s="227">
        <f>IF(AM161="","",VLOOKUP($B161,Miljö!$B$1:$J$479,MATCH("Fossilandel för ursprungspecificerad el ()",Miljö!$B$1:$J$1,0),FALSE))</f>
        <v>0</v>
      </c>
      <c r="AP161" s="227">
        <f>IF(AM161="","",IFERROR(VLOOKUP($B161,Miljö!$B$1:$J$479,MATCH("Kärnkraftsandel för ursprungsspecificerad el ()",Miljö!$B$1:$J$1,0),FALSE)/1,0))</f>
        <v>0</v>
      </c>
      <c r="AQ161" s="227">
        <f t="shared" si="13"/>
        <v>1</v>
      </c>
      <c r="AR161" s="227"/>
      <c r="AS161" s="227" t="str">
        <f t="shared" si="14"/>
        <v>Nej</v>
      </c>
      <c r="AT161" s="227" t="str">
        <f>IF(AS161="ja",VLOOKUP($B161,Miljö!$B$1:$O$500,MATCH("Fossil andel i procent (%)",Miljö!$B$1:$O$1,0),FALSE)/100,"")</f>
        <v/>
      </c>
      <c r="AU161" s="227"/>
      <c r="AV161" s="227" t="str">
        <f t="shared" si="15"/>
        <v>Nej</v>
      </c>
      <c r="AW161" s="227" t="str">
        <f>IF(AV161="ja",VLOOKUP($B161,'Egen hetvattenprod'!$B$1:$AO$500,MATCH("Värmekälla till värmepumpar ()",'Egen hetvattenprod'!$B$1:$AO$1,0),FALSE),"")</f>
        <v/>
      </c>
      <c r="AX161" s="227"/>
      <c r="AY161" s="227" t="str">
        <f t="shared" si="16"/>
        <v>Ja</v>
      </c>
      <c r="AZ161" s="228">
        <f>IF($AY161="ja",(VLOOKUP($B161,'Egen hetvattenprod'!$B$1:$BX$550,MATCH(AZ$2,'Egen hetvattenprod'!$B$1:$BX$1,0),FALSE)+VLOOKUP($B161,Kraftvärmeprod!$B$1:$BX$550,MATCH(AZ$2,Kraftvärmeprod!$B$1:$BX$1,0),FALSE))/$AC161,"")</f>
        <v>1</v>
      </c>
      <c r="BA161" s="228">
        <f>IF($AY161="ja",(VLOOKUP($B161,'Egen hetvattenprod'!$B$1:$BX$550,MATCH(BA$2,'Egen hetvattenprod'!$B$1:$BX$1,0),FALSE)+VLOOKUP($B161,Kraftvärmeprod!$B$1:$BX$550,MATCH(BA$2,Kraftvärmeprod!$B$1:$BX$1,0),FALSE))/$AC161,"")</f>
        <v>0</v>
      </c>
      <c r="BB161" s="228">
        <f>IF($AY161="ja",(VLOOKUP($B161,'Egen hetvattenprod'!$B$1:$BX$550,MATCH(BB$2,'Egen hetvattenprod'!$B$1:$BX$1,0),FALSE)+VLOOKUP($B161,Kraftvärmeprod!$B$1:$BX$550,MATCH(BB$2,Kraftvärmeprod!$B$1:$BX$1,0),FALSE))/$AC161,"")</f>
        <v>0</v>
      </c>
      <c r="BC161" s="228">
        <f>IF($AY161="ja",(VLOOKUP($B161,'Egen hetvattenprod'!$B$1:$BX$550,MATCH(BC$2,'Egen hetvattenprod'!$B$1:$BX$1,0),FALSE)+VLOOKUP($B161,Kraftvärmeprod!$B$1:$BX$550,MATCH(BC$2,Kraftvärmeprod!$B$1:$BX$1,0),FALSE))/$AC161,"")</f>
        <v>0</v>
      </c>
      <c r="BD161" s="228">
        <f>IF($AY161="ja",(VLOOKUP($B161,'Egen hetvattenprod'!$B$1:$BX$550,MATCH(BD$2,'Egen hetvattenprod'!$B$1:$BX$1,0),FALSE)+VLOOKUP($B161,Kraftvärmeprod!$B$1:$BX$550,MATCH(BD$2,Kraftvärmeprod!$B$1:$BX$1,0),FALSE))/$AC161,"")</f>
        <v>0</v>
      </c>
      <c r="BE161" s="227"/>
      <c r="BF161" s="227" t="str">
        <f t="shared" si="17"/>
        <v>Nej</v>
      </c>
      <c r="BG161" s="227" t="str">
        <f>IF($BF161="ja",VLOOKUP($B161,'Egen hetvattenprod'!$B$1:$BX$550,MATCH("Andelen klimatgaser med fossilt ursprung för avfall ()",'Egen hetvattenprod'!$B$1:$BX$1,0),FALSE),"")</f>
        <v/>
      </c>
      <c r="BH161" s="227" t="str">
        <f>IF($BF161="ja",VLOOKUP($B161,Kraftvärmeprod!$B$1:$BX$550,MATCH("Andelen klimatgaser med fossilt ursprung för avfall ()",Kraftvärmeprod!$B$1:$BX$1,0),FALSE),"")</f>
        <v/>
      </c>
      <c r="BI161" s="227" t="str">
        <f>IF($BF161="ja",VLOOKUP($B161,'Egen hetvattenprod'!$B$1:$BX$550,MATCH("Avfall (GWh)",'Egen hetvattenprod'!$B$1:$BX$1,0),FALSE),"")</f>
        <v/>
      </c>
      <c r="BJ161" s="227" t="str">
        <f>IF($BF161="ja",VLOOKUP($B161,'Slutlig allokering kvv'!$B$1:$BX$550,MATCH("Avfall (GWh)",'Slutlig allokering kvv'!$B$1:$BX$1,0),FALSE),"")</f>
        <v/>
      </c>
      <c r="BK161" s="227" t="str">
        <f>IF($BF161="ja",VLOOKUP($B161,'Köpt hetvatten'!$B$1:$BX$550,MATCH("Avfall i köpt hetvatten",'Köpt hetvatten'!$B$1:$BX$1,0),FALSE),"")</f>
        <v/>
      </c>
      <c r="BL161" s="227" t="str">
        <f>IF($BF161="ja",VLOOKUP($B161,'Egen hetvattenprod'!$B$1:$BX$550,MATCH("Värde enligt ovan. (%)",'Egen hetvattenprod'!$B$1:$BX$1,0),FALSE),"")</f>
        <v/>
      </c>
      <c r="BM161" s="227" t="str">
        <f>IF($BF161="ja",VLOOKUP($B161,Kraftvärmeprod!$B$1:$BX$550,MATCH("Värde enligt ovan. (%)",Kraftvärmeprod!$B$1:$BX$1,0),FALSE),"")</f>
        <v/>
      </c>
      <c r="BN161" s="227"/>
      <c r="BO161" s="227"/>
      <c r="BP161" s="227"/>
      <c r="BQ161" s="227" t="str">
        <f>IF($BF161="ja",VLOOKUP($B161,'Egen hetvattenprod'!$B$1:$BX$550,MATCH("Tillförd olja (fossil) vid avfallsförbränning (GWh)",'Egen hetvattenprod'!$B$1:$BX$1,0),FALSE),"")</f>
        <v/>
      </c>
      <c r="BR161" s="227" t="str">
        <f>IF($BF161="ja",VLOOKUP($B161,Kraftvärmeprod!$B$1:$BX$550,MATCH("Tillförd olja (fossil) vid avfallsförbränning (GWh)",Kraftvärmeprod!$B$1:$BX$1,0),FALSE),"")</f>
        <v/>
      </c>
      <c r="BS161" s="227"/>
      <c r="BT161" s="227"/>
      <c r="BU161" s="227"/>
    </row>
    <row r="162" spans="1:73" x14ac:dyDescent="0.25">
      <c r="A162" s="121" t="str">
        <f>'Miljövärden för publ företag'!B165</f>
        <v>Luleå Energi AB</v>
      </c>
      <c r="B162" s="121" t="str">
        <f>'Miljövärden för publ företag'!C165</f>
        <v>Luleå</v>
      </c>
      <c r="C162" s="173">
        <f>IFERROR(VLOOKUP($B162,Totalt!$B$1:$AQ$554,MATCH(C$2,Totalt!$B$1:$AQ$1,0),FALSE),"")</f>
        <v>0</v>
      </c>
      <c r="D162" s="173">
        <f>IFERROR(VLOOKUP($B162,Totalt!$B$1:$AQ$554,MATCH(D$2,Totalt!$B$1:$AQ$1,0),FALSE),"")</f>
        <v>0.2</v>
      </c>
      <c r="E162" s="173">
        <f>IFERROR(VLOOKUP($B162,Totalt!$B$1:$AQ$554,MATCH(E$2,Totalt!$B$1:$AQ$1,0),FALSE),"")</f>
        <v>0</v>
      </c>
      <c r="F162" s="173">
        <f>IFERROR(VLOOKUP($B162,Totalt!$B$1:$AQ$554,MATCH(F$2,Totalt!$B$1:$AQ$1,0),FALSE),"")</f>
        <v>36.299999999999997</v>
      </c>
      <c r="G162" s="173">
        <f>IFERROR(VLOOKUP($B162,Totalt!$B$1:$AQ$554,MATCH(G$2,Totalt!$B$1:$AQ$1,0),FALSE),"")</f>
        <v>0</v>
      </c>
      <c r="H162" s="173">
        <f>IFERROR(VLOOKUP($B162,Totalt!$B$1:$AQ$554,MATCH(H$2,Totalt!$B$1:$AQ$1,0),FALSE),"")</f>
        <v>0</v>
      </c>
      <c r="I162" s="173">
        <f>IFERROR(VLOOKUP($B162,Totalt!$B$1:$AQ$554,MATCH(I$2,Totalt!$B$1:$AQ$1,0),FALSE),"")</f>
        <v>0</v>
      </c>
      <c r="J162" s="173">
        <f>IFERROR(VLOOKUP($B162,Totalt!$B$1:$AQ$554,MATCH(J$2,Totalt!$B$1:$AQ$1,0),FALSE),"")</f>
        <v>0</v>
      </c>
      <c r="K162" s="173">
        <f>IFERROR(VLOOKUP($B162,Totalt!$B$1:$AQ$554,MATCH(K$2,Totalt!$B$1:$AQ$1,0),FALSE),"")</f>
        <v>739.5</v>
      </c>
      <c r="L162" s="173">
        <f>IFERROR(VLOOKUP($B162,Totalt!$B$1:$AQ$554,MATCH(L$2,Totalt!$B$1:$AQ$1,0),FALSE),"")</f>
        <v>0</v>
      </c>
      <c r="M162" s="173">
        <f>IFERROR(VLOOKUP($B162,Totalt!$B$1:$AQ$554,MATCH(M$2,Totalt!$B$1:$AQ$1,0),FALSE),"")</f>
        <v>0</v>
      </c>
      <c r="N162" s="173">
        <f>IFERROR(VLOOKUP($B162,Totalt!$B$1:$AQ$554,MATCH(N$2,Totalt!$B$1:$AQ$1,0),FALSE),"")</f>
        <v>0</v>
      </c>
      <c r="O162" s="173">
        <f>IFERROR(VLOOKUP($B162,Totalt!$B$1:$AQ$554,MATCH(O$2,Totalt!$B$1:$AQ$1,0),FALSE),"")</f>
        <v>0</v>
      </c>
      <c r="P162" s="173">
        <f>IFERROR(VLOOKUP($B162,Totalt!$B$1:$AQ$554,MATCH(P$2,Totalt!$B$1:$AQ$1,0),FALSE),"")</f>
        <v>0</v>
      </c>
      <c r="Q162" s="173">
        <f>IFERROR(VLOOKUP($B162,Totalt!$B$1:$AQ$554,MATCH(Q$2,Totalt!$B$1:$AQ$1,0),FALSE),"")</f>
        <v>0</v>
      </c>
      <c r="R162" s="173">
        <f>IFERROR(VLOOKUP($B162,Totalt!$B$1:$AQ$554,MATCH(R$2,Totalt!$B$1:$AQ$1,0),FALSE),"")</f>
        <v>26.2</v>
      </c>
      <c r="S162" s="173">
        <f>IFERROR(VLOOKUP($B162,Totalt!$B$1:$AQ$554,MATCH(S$2,Totalt!$B$1:$AQ$1,0),FALSE),"")</f>
        <v>0</v>
      </c>
      <c r="T162" s="173">
        <f>IFERROR(VLOOKUP($B162,Totalt!$B$1:$AQ$554,MATCH(T$2,Totalt!$B$1:$AQ$1,0),FALSE),"")</f>
        <v>0</v>
      </c>
      <c r="U162" s="173">
        <f>IFERROR(VLOOKUP($B162,Totalt!$B$1:$AQ$554,MATCH(U$2,Totalt!$B$1:$AQ$1,0),FALSE),"")</f>
        <v>0</v>
      </c>
      <c r="V162" s="173">
        <f>IFERROR(VLOOKUP($B162,Totalt!$B$1:$AQ$554,MATCH(V$2,Totalt!$B$1:$AQ$1,0),FALSE),"")</f>
        <v>0</v>
      </c>
      <c r="W162" s="173">
        <f>IFERROR(VLOOKUP($B162,Totalt!$B$1:$AQ$554,MATCH(W$2,Totalt!$B$1:$AQ$1,0),FALSE),"")</f>
        <v>4.7</v>
      </c>
      <c r="X162" s="173">
        <f>IFERROR(VLOOKUP($B162,Totalt!$B$1:$AQ$554,MATCH(X$2,Totalt!$B$1:$AQ$1,0),FALSE),"")</f>
        <v>0</v>
      </c>
      <c r="Y162" s="173">
        <f>IFERROR(VLOOKUP($B162,Totalt!$B$1:$AQ$554,MATCH(Y$2,Totalt!$B$1:$AQ$1,0),FALSE),"")</f>
        <v>0</v>
      </c>
      <c r="Z162" s="173">
        <f>IFERROR(VLOOKUP($B162,Totalt!$B$1:$AQ$554,MATCH(Z$2,Totalt!$B$1:$AQ$1,0),FALSE),"")</f>
        <v>8.1</v>
      </c>
      <c r="AA162" s="173">
        <f>IFERROR(VLOOKUP($B162,Totalt!$B$1:$AQ$554,MATCH(AA$2,Totalt!$B$1:$AQ$1,0),FALSE),"")</f>
        <v>0</v>
      </c>
      <c r="AB162" s="173">
        <f>IFERROR(VLOOKUP($B162,Totalt!$B$1:$AQ$554,MATCH(AB$2,Totalt!$B$1:$AQ$1,0),FALSE),"")</f>
        <v>0</v>
      </c>
      <c r="AC162" s="173">
        <f>IFERROR(VLOOKUP($B162,Totalt!$B$1:$AQ$554,MATCH(AC$2,Totalt!$B$1:$AQ$1,0),FALSE),"")</f>
        <v>0</v>
      </c>
      <c r="AD162" s="173">
        <f>IFERROR(VLOOKUP($B162,Totalt!$B$1:$AQ$554,MATCH(AD$2,Totalt!$B$1:$AQ$1,0),FALSE),"")</f>
        <v>0</v>
      </c>
      <c r="AE162" s="173">
        <f>IFERROR(VLOOKUP($B162,Totalt!$B$1:$AQ$554,MATCH(AE$2,Totalt!$B$1:$AQ$1,0),FALSE),"")</f>
        <v>0</v>
      </c>
      <c r="AF162" s="173">
        <f>IFERROR(VLOOKUP($B162,Totalt!$B$1:$AQ$554,MATCH(AF$2,Totalt!$B$1:$AQ$1,0),FALSE),"")</f>
        <v>25.6</v>
      </c>
      <c r="AG162" s="173">
        <f>IFERROR(VLOOKUP($B162,Totalt!$B$1:$AQ$554,MATCH(AG$2,Totalt!$B$1:$AQ$1,0),FALSE),"")</f>
        <v>0</v>
      </c>
      <c r="AI162" s="226">
        <f t="shared" si="12"/>
        <v>840.60000000000014</v>
      </c>
      <c r="AJ162" s="226">
        <f>IF(ISERROR(1/VLOOKUP($B162,Leveranser!$B$1:$S$500,MATCH("såld värme (gwh)",Leveranser!$B$1:$S$1,0),FALSE)),"",VLOOKUP($B162,Leveranser!$B$1:$S$500,MATCH("såld värme (gwh)",Leveranser!$B$1:$S$1,0),FALSE))</f>
        <v>789.2</v>
      </c>
      <c r="AM162" s="227" t="str">
        <f>IF(B162&lt;&gt;"",IF(VLOOKUP($B162,Totalt!$B$1:$AQ$554,MATCH("Kvalitetsgranskad:",Totalt!$B$1:$AQ$1,0),FALSE)="ja",VLOOKUP($B162,Miljö!$B$1:$AG$479,MATCH(AM$2,Miljö!$B$1:$AK$1,0),FALSE),""),"")</f>
        <v>Ja</v>
      </c>
      <c r="AN162" s="227" t="str">
        <f>IF(AM162="ja",VLOOKUP($B162,Miljö!$B$1:$J$479,MATCH("Typ av ursprungsspecificerad el   (Om inget värde anges används Nordisk residualmix, se inforuta) ()",Miljö!$B$1:$J$1,0),FALSE),IF(AM162="nej","Nordisk residualel",""))</f>
        <v>'VindEl+El från KVV'</v>
      </c>
      <c r="AO162" s="227">
        <f>IF(AM162="","",VLOOKUP($B162,Miljö!$B$1:$J$479,MATCH("Fossilandel för ursprungspecificerad el ()",Miljö!$B$1:$J$1,0),FALSE))</f>
        <v>2.1000000000000001E-2</v>
      </c>
      <c r="AP162" s="227">
        <f>IF(AM162="","",IFERROR(VLOOKUP($B162,Miljö!$B$1:$J$479,MATCH("Kärnkraftsandel för ursprungsspecificerad el ()",Miljö!$B$1:$J$1,0),FALSE)/1,0))</f>
        <v>0</v>
      </c>
      <c r="AQ162" s="227">
        <f t="shared" si="13"/>
        <v>0.97899999999999998</v>
      </c>
      <c r="AR162" s="227"/>
      <c r="AS162" s="227" t="str">
        <f t="shared" si="14"/>
        <v>Nej</v>
      </c>
      <c r="AT162" s="227" t="str">
        <f>IF(AS162="ja",VLOOKUP($B162,Miljö!$B$1:$O$500,MATCH("Fossil andel i procent (%)",Miljö!$B$1:$O$1,0),FALSE)/100,"")</f>
        <v/>
      </c>
      <c r="AU162" s="227"/>
      <c r="AV162" s="227" t="str">
        <f t="shared" si="15"/>
        <v>Nej</v>
      </c>
      <c r="AW162" s="227" t="str">
        <f>IF(AV162="ja",VLOOKUP($B162,'Egen hetvattenprod'!$B$1:$AO$500,MATCH("Värmekälla till värmepumpar ()",'Egen hetvattenprod'!$B$1:$AO$1,0),FALSE),"")</f>
        <v/>
      </c>
      <c r="AX162" s="227"/>
      <c r="AY162" s="227" t="str">
        <f t="shared" si="16"/>
        <v>Nej</v>
      </c>
      <c r="AZ162" s="228" t="str">
        <f>IF($AY162="ja",(VLOOKUP($B162,'Egen hetvattenprod'!$B$1:$BX$550,MATCH(AZ$2,'Egen hetvattenprod'!$B$1:$BX$1,0),FALSE)+VLOOKUP($B162,Kraftvärmeprod!$B$1:$BX$550,MATCH(AZ$2,Kraftvärmeprod!$B$1:$BX$1,0),FALSE))/$AC162,"")</f>
        <v/>
      </c>
      <c r="BA162" s="228" t="str">
        <f>IF($AY162="ja",(VLOOKUP($B162,'Egen hetvattenprod'!$B$1:$BX$550,MATCH(BA$2,'Egen hetvattenprod'!$B$1:$BX$1,0),FALSE)+VLOOKUP($B162,Kraftvärmeprod!$B$1:$BX$550,MATCH(BA$2,Kraftvärmeprod!$B$1:$BX$1,0),FALSE))/$AC162,"")</f>
        <v/>
      </c>
      <c r="BB162" s="228" t="str">
        <f>IF($AY162="ja",(VLOOKUP($B162,'Egen hetvattenprod'!$B$1:$BX$550,MATCH(BB$2,'Egen hetvattenprod'!$B$1:$BX$1,0),FALSE)+VLOOKUP($B162,Kraftvärmeprod!$B$1:$BX$550,MATCH(BB$2,Kraftvärmeprod!$B$1:$BX$1,0),FALSE))/$AC162,"")</f>
        <v/>
      </c>
      <c r="BC162" s="228" t="str">
        <f>IF($AY162="ja",(VLOOKUP($B162,'Egen hetvattenprod'!$B$1:$BX$550,MATCH(BC$2,'Egen hetvattenprod'!$B$1:$BX$1,0),FALSE)+VLOOKUP($B162,Kraftvärmeprod!$B$1:$BX$550,MATCH(BC$2,Kraftvärmeprod!$B$1:$BX$1,0),FALSE))/$AC162,"")</f>
        <v/>
      </c>
      <c r="BD162" s="228" t="str">
        <f>IF($AY162="ja",(VLOOKUP($B162,'Egen hetvattenprod'!$B$1:$BX$550,MATCH(BD$2,'Egen hetvattenprod'!$B$1:$BX$1,0),FALSE)+VLOOKUP($B162,Kraftvärmeprod!$B$1:$BX$550,MATCH(BD$2,Kraftvärmeprod!$B$1:$BX$1,0),FALSE))/$AC162,"")</f>
        <v/>
      </c>
      <c r="BE162" s="227"/>
      <c r="BF162" s="227" t="str">
        <f t="shared" si="17"/>
        <v>Nej</v>
      </c>
      <c r="BG162" s="227" t="str">
        <f>IF($BF162="ja",VLOOKUP($B162,'Egen hetvattenprod'!$B$1:$BX$550,MATCH("Andelen klimatgaser med fossilt ursprung för avfall ()",'Egen hetvattenprod'!$B$1:$BX$1,0),FALSE),"")</f>
        <v/>
      </c>
      <c r="BH162" s="227" t="str">
        <f>IF($BF162="ja",VLOOKUP($B162,Kraftvärmeprod!$B$1:$BX$550,MATCH("Andelen klimatgaser med fossilt ursprung för avfall ()",Kraftvärmeprod!$B$1:$BX$1,0),FALSE),"")</f>
        <v/>
      </c>
      <c r="BI162" s="227" t="str">
        <f>IF($BF162="ja",VLOOKUP($B162,'Egen hetvattenprod'!$B$1:$BX$550,MATCH("Avfall (GWh)",'Egen hetvattenprod'!$B$1:$BX$1,0),FALSE),"")</f>
        <v/>
      </c>
      <c r="BJ162" s="227" t="str">
        <f>IF($BF162="ja",VLOOKUP($B162,'Slutlig allokering kvv'!$B$1:$BX$550,MATCH("Avfall (GWh)",'Slutlig allokering kvv'!$B$1:$BX$1,0),FALSE),"")</f>
        <v/>
      </c>
      <c r="BK162" s="227" t="str">
        <f>IF($BF162="ja",VLOOKUP($B162,'Köpt hetvatten'!$B$1:$BX$550,MATCH("Avfall i köpt hetvatten",'Köpt hetvatten'!$B$1:$BX$1,0),FALSE),"")</f>
        <v/>
      </c>
      <c r="BL162" s="227" t="str">
        <f>IF($BF162="ja",VLOOKUP($B162,'Egen hetvattenprod'!$B$1:$BX$550,MATCH("Värde enligt ovan. (%)",'Egen hetvattenprod'!$B$1:$BX$1,0),FALSE),"")</f>
        <v/>
      </c>
      <c r="BM162" s="227" t="str">
        <f>IF($BF162="ja",VLOOKUP($B162,Kraftvärmeprod!$B$1:$BX$550,MATCH("Värde enligt ovan. (%)",Kraftvärmeprod!$B$1:$BX$1,0),FALSE),"")</f>
        <v/>
      </c>
      <c r="BN162" s="227"/>
      <c r="BO162" s="227"/>
      <c r="BP162" s="227"/>
      <c r="BQ162" s="227" t="str">
        <f>IF($BF162="ja",VLOOKUP($B162,'Egen hetvattenprod'!$B$1:$BX$550,MATCH("Tillförd olja (fossil) vid avfallsförbränning (GWh)",'Egen hetvattenprod'!$B$1:$BX$1,0),FALSE),"")</f>
        <v/>
      </c>
      <c r="BR162" s="227" t="str">
        <f>IF($BF162="ja",VLOOKUP($B162,Kraftvärmeprod!$B$1:$BX$550,MATCH("Tillförd olja (fossil) vid avfallsförbränning (GWh)",Kraftvärmeprod!$B$1:$BX$1,0),FALSE),"")</f>
        <v/>
      </c>
      <c r="BS162" s="227"/>
      <c r="BT162" s="227"/>
      <c r="BU162" s="227"/>
    </row>
    <row r="163" spans="1:73" x14ac:dyDescent="0.25">
      <c r="A163" s="121" t="str">
        <f>'Miljövärden för publ företag'!B166</f>
        <v>Luleå Energi AB</v>
      </c>
      <c r="B163" s="121" t="str">
        <f>'Miljövärden för publ företag'!C166</f>
        <v>Luleå Klimatneutral</v>
      </c>
      <c r="C163" s="173">
        <f>IFERROR(VLOOKUP($B163,Totalt!$B$1:$AQ$554,MATCH(C$2,Totalt!$B$1:$AQ$1,0),FALSE),"")</f>
        <v>0</v>
      </c>
      <c r="D163" s="173">
        <f>IFERROR(VLOOKUP($B163,Totalt!$B$1:$AQ$554,MATCH(D$2,Totalt!$B$1:$AQ$1,0),FALSE),"")</f>
        <v>0</v>
      </c>
      <c r="E163" s="173">
        <f>IFERROR(VLOOKUP($B163,Totalt!$B$1:$AQ$554,MATCH(E$2,Totalt!$B$1:$AQ$1,0),FALSE),"")</f>
        <v>0</v>
      </c>
      <c r="F163" s="173">
        <f>IFERROR(VLOOKUP($B163,Totalt!$B$1:$AQ$554,MATCH(F$2,Totalt!$B$1:$AQ$1,0),FALSE),"")</f>
        <v>0</v>
      </c>
      <c r="G163" s="173">
        <f>IFERROR(VLOOKUP($B163,Totalt!$B$1:$AQ$554,MATCH(G$2,Totalt!$B$1:$AQ$1,0),FALSE),"")</f>
        <v>0</v>
      </c>
      <c r="H163" s="173">
        <f>IFERROR(VLOOKUP($B163,Totalt!$B$1:$AQ$554,MATCH(H$2,Totalt!$B$1:$AQ$1,0),FALSE),"")</f>
        <v>0</v>
      </c>
      <c r="I163" s="173">
        <f>IFERROR(VLOOKUP($B163,Totalt!$B$1:$AQ$554,MATCH(I$2,Totalt!$B$1:$AQ$1,0),FALSE),"")</f>
        <v>0</v>
      </c>
      <c r="J163" s="173">
        <f>IFERROR(VLOOKUP($B163,Totalt!$B$1:$AQ$554,MATCH(J$2,Totalt!$B$1:$AQ$1,0),FALSE),"")</f>
        <v>0</v>
      </c>
      <c r="K163" s="173">
        <f>IFERROR(VLOOKUP($B163,Totalt!$B$1:$AQ$554,MATCH(K$2,Totalt!$B$1:$AQ$1,0),FALSE),"")</f>
        <v>0</v>
      </c>
      <c r="L163" s="173">
        <f>IFERROR(VLOOKUP($B163,Totalt!$B$1:$AQ$554,MATCH(L$2,Totalt!$B$1:$AQ$1,0),FALSE),"")</f>
        <v>0</v>
      </c>
      <c r="M163" s="173">
        <f>IFERROR(VLOOKUP($B163,Totalt!$B$1:$AQ$554,MATCH(M$2,Totalt!$B$1:$AQ$1,0),FALSE),"")</f>
        <v>0</v>
      </c>
      <c r="N163" s="173">
        <f>IFERROR(VLOOKUP($B163,Totalt!$B$1:$AQ$554,MATCH(N$2,Totalt!$B$1:$AQ$1,0),FALSE),"")</f>
        <v>0</v>
      </c>
      <c r="O163" s="173">
        <f>IFERROR(VLOOKUP($B163,Totalt!$B$1:$AQ$554,MATCH(O$2,Totalt!$B$1:$AQ$1,0),FALSE),"")</f>
        <v>0</v>
      </c>
      <c r="P163" s="173">
        <f>IFERROR(VLOOKUP($B163,Totalt!$B$1:$AQ$554,MATCH(P$2,Totalt!$B$1:$AQ$1,0),FALSE),"")</f>
        <v>0</v>
      </c>
      <c r="Q163" s="173">
        <f>IFERROR(VLOOKUP($B163,Totalt!$B$1:$AQ$554,MATCH(Q$2,Totalt!$B$1:$AQ$1,0),FALSE),"")</f>
        <v>0</v>
      </c>
      <c r="R163" s="173">
        <f>IFERROR(VLOOKUP($B163,Totalt!$B$1:$AQ$554,MATCH(R$2,Totalt!$B$1:$AQ$1,0),FALSE),"")</f>
        <v>0.25</v>
      </c>
      <c r="S163" s="173">
        <f>IFERROR(VLOOKUP($B163,Totalt!$B$1:$AQ$554,MATCH(S$2,Totalt!$B$1:$AQ$1,0),FALSE),"")</f>
        <v>0</v>
      </c>
      <c r="T163" s="173">
        <f>IFERROR(VLOOKUP($B163,Totalt!$B$1:$AQ$554,MATCH(T$2,Totalt!$B$1:$AQ$1,0),FALSE),"")</f>
        <v>0</v>
      </c>
      <c r="U163" s="173">
        <f>IFERROR(VLOOKUP($B163,Totalt!$B$1:$AQ$554,MATCH(U$2,Totalt!$B$1:$AQ$1,0),FALSE),"")</f>
        <v>0</v>
      </c>
      <c r="V163" s="173">
        <f>IFERROR(VLOOKUP($B163,Totalt!$B$1:$AQ$554,MATCH(V$2,Totalt!$B$1:$AQ$1,0),FALSE),"")</f>
        <v>0</v>
      </c>
      <c r="W163" s="173">
        <f>IFERROR(VLOOKUP($B163,Totalt!$B$1:$AQ$554,MATCH(W$2,Totalt!$B$1:$AQ$1,0),FALSE),"")</f>
        <v>0.05</v>
      </c>
      <c r="X163" s="173">
        <f>IFERROR(VLOOKUP($B163,Totalt!$B$1:$AQ$554,MATCH(X$2,Totalt!$B$1:$AQ$1,0),FALSE),"")</f>
        <v>0</v>
      </c>
      <c r="Y163" s="173">
        <f>IFERROR(VLOOKUP($B163,Totalt!$B$1:$AQ$554,MATCH(Y$2,Totalt!$B$1:$AQ$1,0),FALSE),"")</f>
        <v>0</v>
      </c>
      <c r="Z163" s="173">
        <f>IFERROR(VLOOKUP($B163,Totalt!$B$1:$AQ$554,MATCH(Z$2,Totalt!$B$1:$AQ$1,0),FALSE),"")</f>
        <v>7.0000000000000007E-2</v>
      </c>
      <c r="AA163" s="173">
        <f>IFERROR(VLOOKUP($B163,Totalt!$B$1:$AQ$554,MATCH(AA$2,Totalt!$B$1:$AQ$1,0),FALSE),"")</f>
        <v>0</v>
      </c>
      <c r="AB163" s="173">
        <f>IFERROR(VLOOKUP($B163,Totalt!$B$1:$AQ$554,MATCH(AB$2,Totalt!$B$1:$AQ$1,0),FALSE),"")</f>
        <v>0</v>
      </c>
      <c r="AC163" s="173">
        <f>IFERROR(VLOOKUP($B163,Totalt!$B$1:$AQ$554,MATCH(AC$2,Totalt!$B$1:$AQ$1,0),FALSE),"")</f>
        <v>0</v>
      </c>
      <c r="AD163" s="173">
        <f>IFERROR(VLOOKUP($B163,Totalt!$B$1:$AQ$554,MATCH(AD$2,Totalt!$B$1:$AQ$1,0),FALSE),"")</f>
        <v>6.6</v>
      </c>
      <c r="AE163" s="173">
        <f>IFERROR(VLOOKUP($B163,Totalt!$B$1:$AQ$554,MATCH(AE$2,Totalt!$B$1:$AQ$1,0),FALSE),"")</f>
        <v>0</v>
      </c>
      <c r="AF163" s="173">
        <f>IFERROR(VLOOKUP($B163,Totalt!$B$1:$AQ$554,MATCH(AF$2,Totalt!$B$1:$AQ$1,0),FALSE),"")</f>
        <v>0.21</v>
      </c>
      <c r="AG163" s="173">
        <f>IFERROR(VLOOKUP($B163,Totalt!$B$1:$AQ$554,MATCH(AG$2,Totalt!$B$1:$AQ$1,0),FALSE),"")</f>
        <v>0</v>
      </c>
      <c r="AI163" s="226">
        <f t="shared" si="12"/>
        <v>7.18</v>
      </c>
      <c r="AJ163" s="226">
        <f>IF(ISERROR(1/VLOOKUP($B163,Leveranser!$B$1:$S$500,MATCH("såld värme (gwh)",Leveranser!$B$1:$S$1,0),FALSE)),"",VLOOKUP($B163,Leveranser!$B$1:$S$500,MATCH("såld värme (gwh)",Leveranser!$B$1:$S$1,0),FALSE))</f>
        <v>6.14</v>
      </c>
      <c r="AM163" s="227" t="str">
        <f>IF(B163&lt;&gt;"",IF(VLOOKUP($B163,Totalt!$B$1:$AQ$554,MATCH("Kvalitetsgranskad:",Totalt!$B$1:$AQ$1,0),FALSE)="ja",VLOOKUP($B163,Miljö!$B$1:$AG$479,MATCH(AM$2,Miljö!$B$1:$AK$1,0),FALSE),""),"")</f>
        <v>Ja</v>
      </c>
      <c r="AN163" s="227" t="str">
        <f>IF(AM163="ja",VLOOKUP($B163,Miljö!$B$1:$J$479,MATCH("Typ av ursprungsspecificerad el   (Om inget värde anges används Nordisk residualmix, se inforuta) ()",Miljö!$B$1:$J$1,0),FALSE),IF(AM163="nej","Nordisk residualel",""))</f>
        <v>'VindEl+El från KVV'</v>
      </c>
      <c r="AO163" s="227">
        <f>IF(AM163="","",VLOOKUP($B163,Miljö!$B$1:$J$479,MATCH("Fossilandel för ursprungspecificerad el ()",Miljö!$B$1:$J$1,0),FALSE))</f>
        <v>0</v>
      </c>
      <c r="AP163" s="227">
        <f>IF(AM163="","",IFERROR(VLOOKUP($B163,Miljö!$B$1:$J$479,MATCH("Kärnkraftsandel för ursprungsspecificerad el ()",Miljö!$B$1:$J$1,0),FALSE)/1,0))</f>
        <v>0</v>
      </c>
      <c r="AQ163" s="227">
        <f t="shared" si="13"/>
        <v>1</v>
      </c>
      <c r="AR163" s="227"/>
      <c r="AS163" s="227" t="str">
        <f t="shared" si="14"/>
        <v>Nej</v>
      </c>
      <c r="AT163" s="227" t="str">
        <f>IF(AS163="ja",VLOOKUP($B163,Miljö!$B$1:$O$500,MATCH("Fossil andel i procent (%)",Miljö!$B$1:$O$1,0),FALSE)/100,"")</f>
        <v/>
      </c>
      <c r="AU163" s="227"/>
      <c r="AV163" s="227" t="str">
        <f t="shared" si="15"/>
        <v>Nej</v>
      </c>
      <c r="AW163" s="227" t="str">
        <f>IF(AV163="ja",VLOOKUP($B163,'Egen hetvattenprod'!$B$1:$AO$500,MATCH("Värmekälla till värmepumpar ()",'Egen hetvattenprod'!$B$1:$AO$1,0),FALSE),"")</f>
        <v/>
      </c>
      <c r="AX163" s="227"/>
      <c r="AY163" s="227" t="str">
        <f t="shared" si="16"/>
        <v>Nej</v>
      </c>
      <c r="AZ163" s="228" t="str">
        <f>IF($AY163="ja",(VLOOKUP($B163,'Egen hetvattenprod'!$B$1:$BX$550,MATCH(AZ$2,'Egen hetvattenprod'!$B$1:$BX$1,0),FALSE)+VLOOKUP($B163,Kraftvärmeprod!$B$1:$BX$550,MATCH(AZ$2,Kraftvärmeprod!$B$1:$BX$1,0),FALSE))/$AC163,"")</f>
        <v/>
      </c>
      <c r="BA163" s="228" t="str">
        <f>IF($AY163="ja",(VLOOKUP($B163,'Egen hetvattenprod'!$B$1:$BX$550,MATCH(BA$2,'Egen hetvattenprod'!$B$1:$BX$1,0),FALSE)+VLOOKUP($B163,Kraftvärmeprod!$B$1:$BX$550,MATCH(BA$2,Kraftvärmeprod!$B$1:$BX$1,0),FALSE))/$AC163,"")</f>
        <v/>
      </c>
      <c r="BB163" s="228" t="str">
        <f>IF($AY163="ja",(VLOOKUP($B163,'Egen hetvattenprod'!$B$1:$BX$550,MATCH(BB$2,'Egen hetvattenprod'!$B$1:$BX$1,0),FALSE)+VLOOKUP($B163,Kraftvärmeprod!$B$1:$BX$550,MATCH(BB$2,Kraftvärmeprod!$B$1:$BX$1,0),FALSE))/$AC163,"")</f>
        <v/>
      </c>
      <c r="BC163" s="228" t="str">
        <f>IF($AY163="ja",(VLOOKUP($B163,'Egen hetvattenprod'!$B$1:$BX$550,MATCH(BC$2,'Egen hetvattenprod'!$B$1:$BX$1,0),FALSE)+VLOOKUP($B163,Kraftvärmeprod!$B$1:$BX$550,MATCH(BC$2,Kraftvärmeprod!$B$1:$BX$1,0),FALSE))/$AC163,"")</f>
        <v/>
      </c>
      <c r="BD163" s="228" t="str">
        <f>IF($AY163="ja",(VLOOKUP($B163,'Egen hetvattenprod'!$B$1:$BX$550,MATCH(BD$2,'Egen hetvattenprod'!$B$1:$BX$1,0),FALSE)+VLOOKUP($B163,Kraftvärmeprod!$B$1:$BX$550,MATCH(BD$2,Kraftvärmeprod!$B$1:$BX$1,0),FALSE))/$AC163,"")</f>
        <v/>
      </c>
      <c r="BE163" s="227"/>
      <c r="BF163" s="227" t="str">
        <f t="shared" si="17"/>
        <v>Nej</v>
      </c>
      <c r="BG163" s="227" t="str">
        <f>IF($BF163="ja",VLOOKUP($B163,'Egen hetvattenprod'!$B$1:$BX$550,MATCH("Andelen klimatgaser med fossilt ursprung för avfall ()",'Egen hetvattenprod'!$B$1:$BX$1,0),FALSE),"")</f>
        <v/>
      </c>
      <c r="BH163" s="227" t="str">
        <f>IF($BF163="ja",VLOOKUP($B163,Kraftvärmeprod!$B$1:$BX$550,MATCH("Andelen klimatgaser med fossilt ursprung för avfall ()",Kraftvärmeprod!$B$1:$BX$1,0),FALSE),"")</f>
        <v/>
      </c>
      <c r="BI163" s="227" t="str">
        <f>IF($BF163="ja",VLOOKUP($B163,'Egen hetvattenprod'!$B$1:$BX$550,MATCH("Avfall (GWh)",'Egen hetvattenprod'!$B$1:$BX$1,0),FALSE),"")</f>
        <v/>
      </c>
      <c r="BJ163" s="227" t="str">
        <f>IF($BF163="ja",VLOOKUP($B163,'Slutlig allokering kvv'!$B$1:$BX$550,MATCH("Avfall (GWh)",'Slutlig allokering kvv'!$B$1:$BX$1,0),FALSE),"")</f>
        <v/>
      </c>
      <c r="BK163" s="227" t="str">
        <f>IF($BF163="ja",VLOOKUP($B163,'Köpt hetvatten'!$B$1:$BX$550,MATCH("Avfall i köpt hetvatten",'Köpt hetvatten'!$B$1:$BX$1,0),FALSE),"")</f>
        <v/>
      </c>
      <c r="BL163" s="227" t="str">
        <f>IF($BF163="ja",VLOOKUP($B163,'Egen hetvattenprod'!$B$1:$BX$550,MATCH("Värde enligt ovan. (%)",'Egen hetvattenprod'!$B$1:$BX$1,0),FALSE),"")</f>
        <v/>
      </c>
      <c r="BM163" s="227" t="str">
        <f>IF($BF163="ja",VLOOKUP($B163,Kraftvärmeprod!$B$1:$BX$550,MATCH("Värde enligt ovan. (%)",Kraftvärmeprod!$B$1:$BX$1,0),FALSE),"")</f>
        <v/>
      </c>
      <c r="BN163" s="227"/>
      <c r="BO163" s="227"/>
      <c r="BP163" s="227"/>
      <c r="BQ163" s="227" t="str">
        <f>IF($BF163="ja",VLOOKUP($B163,'Egen hetvattenprod'!$B$1:$BX$550,MATCH("Tillförd olja (fossil) vid avfallsförbränning (GWh)",'Egen hetvattenprod'!$B$1:$BX$1,0),FALSE),"")</f>
        <v/>
      </c>
      <c r="BR163" s="227" t="str">
        <f>IF($BF163="ja",VLOOKUP($B163,Kraftvärmeprod!$B$1:$BX$550,MATCH("Tillförd olja (fossil) vid avfallsförbränning (GWh)",Kraftvärmeprod!$B$1:$BX$1,0),FALSE),"")</f>
        <v/>
      </c>
      <c r="BS163" s="227"/>
      <c r="BT163" s="227"/>
      <c r="BU163" s="227"/>
    </row>
    <row r="164" spans="1:73" x14ac:dyDescent="0.25">
      <c r="A164" s="121" t="str">
        <f>'Miljövärden för publ företag'!B167</f>
        <v>Luleå Energi AB</v>
      </c>
      <c r="B164" s="121" t="str">
        <f>'Miljövärden för publ företag'!C167</f>
        <v>Råneå</v>
      </c>
      <c r="C164" s="173">
        <f>IFERROR(VLOOKUP($B164,Totalt!$B$1:$AQ$554,MATCH(C$2,Totalt!$B$1:$AQ$1,0),FALSE),"")</f>
        <v>0</v>
      </c>
      <c r="D164" s="173">
        <f>IFERROR(VLOOKUP($B164,Totalt!$B$1:$AQ$554,MATCH(D$2,Totalt!$B$1:$AQ$1,0),FALSE),"")</f>
        <v>1.4</v>
      </c>
      <c r="E164" s="173">
        <f>IFERROR(VLOOKUP($B164,Totalt!$B$1:$AQ$554,MATCH(E$2,Totalt!$B$1:$AQ$1,0),FALSE),"")</f>
        <v>0</v>
      </c>
      <c r="F164" s="173">
        <f>IFERROR(VLOOKUP($B164,Totalt!$B$1:$AQ$554,MATCH(F$2,Totalt!$B$1:$AQ$1,0),FALSE),"")</f>
        <v>0</v>
      </c>
      <c r="G164" s="173">
        <f>IFERROR(VLOOKUP($B164,Totalt!$B$1:$AQ$554,MATCH(G$2,Totalt!$B$1:$AQ$1,0),FALSE),"")</f>
        <v>0</v>
      </c>
      <c r="H164" s="173">
        <f>IFERROR(VLOOKUP($B164,Totalt!$B$1:$AQ$554,MATCH(H$2,Totalt!$B$1:$AQ$1,0),FALSE),"")</f>
        <v>0</v>
      </c>
      <c r="I164" s="173">
        <f>IFERROR(VLOOKUP($B164,Totalt!$B$1:$AQ$554,MATCH(I$2,Totalt!$B$1:$AQ$1,0),FALSE),"")</f>
        <v>0</v>
      </c>
      <c r="J164" s="173">
        <f>IFERROR(VLOOKUP($B164,Totalt!$B$1:$AQ$554,MATCH(J$2,Totalt!$B$1:$AQ$1,0),FALSE),"")</f>
        <v>0</v>
      </c>
      <c r="K164" s="173">
        <f>IFERROR(VLOOKUP($B164,Totalt!$B$1:$AQ$554,MATCH(K$2,Totalt!$B$1:$AQ$1,0),FALSE),"")</f>
        <v>0</v>
      </c>
      <c r="L164" s="173">
        <f>IFERROR(VLOOKUP($B164,Totalt!$B$1:$AQ$554,MATCH(L$2,Totalt!$B$1:$AQ$1,0),FALSE),"")</f>
        <v>0</v>
      </c>
      <c r="M164" s="173">
        <f>IFERROR(VLOOKUP($B164,Totalt!$B$1:$AQ$554,MATCH(M$2,Totalt!$B$1:$AQ$1,0),FALSE),"")</f>
        <v>0</v>
      </c>
      <c r="N164" s="173">
        <f>IFERROR(VLOOKUP($B164,Totalt!$B$1:$AQ$554,MATCH(N$2,Totalt!$B$1:$AQ$1,0),FALSE),"")</f>
        <v>0</v>
      </c>
      <c r="O164" s="173">
        <f>IFERROR(VLOOKUP($B164,Totalt!$B$1:$AQ$554,MATCH(O$2,Totalt!$B$1:$AQ$1,0),FALSE),"")</f>
        <v>0</v>
      </c>
      <c r="P164" s="173">
        <f>IFERROR(VLOOKUP($B164,Totalt!$B$1:$AQ$554,MATCH(P$2,Totalt!$B$1:$AQ$1,0),FALSE),"")</f>
        <v>12</v>
      </c>
      <c r="Q164" s="173">
        <f>IFERROR(VLOOKUP($B164,Totalt!$B$1:$AQ$554,MATCH(Q$2,Totalt!$B$1:$AQ$1,0),FALSE),"")</f>
        <v>0</v>
      </c>
      <c r="R164" s="173">
        <f>IFERROR(VLOOKUP($B164,Totalt!$B$1:$AQ$554,MATCH(R$2,Totalt!$B$1:$AQ$1,0),FALSE),"")</f>
        <v>17.8</v>
      </c>
      <c r="S164" s="173">
        <f>IFERROR(VLOOKUP($B164,Totalt!$B$1:$AQ$554,MATCH(S$2,Totalt!$B$1:$AQ$1,0),FALSE),"")</f>
        <v>0</v>
      </c>
      <c r="T164" s="173">
        <f>IFERROR(VLOOKUP($B164,Totalt!$B$1:$AQ$554,MATCH(T$2,Totalt!$B$1:$AQ$1,0),FALSE),"")</f>
        <v>0</v>
      </c>
      <c r="U164" s="173">
        <f>IFERROR(VLOOKUP($B164,Totalt!$B$1:$AQ$554,MATCH(U$2,Totalt!$B$1:$AQ$1,0),FALSE),"")</f>
        <v>0</v>
      </c>
      <c r="V164" s="173">
        <f>IFERROR(VLOOKUP($B164,Totalt!$B$1:$AQ$554,MATCH(V$2,Totalt!$B$1:$AQ$1,0),FALSE),"")</f>
        <v>0</v>
      </c>
      <c r="W164" s="173">
        <f>IFERROR(VLOOKUP($B164,Totalt!$B$1:$AQ$554,MATCH(W$2,Totalt!$B$1:$AQ$1,0),FALSE),"")</f>
        <v>0</v>
      </c>
      <c r="X164" s="173">
        <f>IFERROR(VLOOKUP($B164,Totalt!$B$1:$AQ$554,MATCH(X$2,Totalt!$B$1:$AQ$1,0),FALSE),"")</f>
        <v>0</v>
      </c>
      <c r="Y164" s="173">
        <f>IFERROR(VLOOKUP($B164,Totalt!$B$1:$AQ$554,MATCH(Y$2,Totalt!$B$1:$AQ$1,0),FALSE),"")</f>
        <v>0</v>
      </c>
      <c r="Z164" s="173">
        <f>IFERROR(VLOOKUP($B164,Totalt!$B$1:$AQ$554,MATCH(Z$2,Totalt!$B$1:$AQ$1,0),FALSE),"")</f>
        <v>0</v>
      </c>
      <c r="AA164" s="173">
        <f>IFERROR(VLOOKUP($B164,Totalt!$B$1:$AQ$554,MATCH(AA$2,Totalt!$B$1:$AQ$1,0),FALSE),"")</f>
        <v>0</v>
      </c>
      <c r="AB164" s="173">
        <f>IFERROR(VLOOKUP($B164,Totalt!$B$1:$AQ$554,MATCH(AB$2,Totalt!$B$1:$AQ$1,0),FALSE),"")</f>
        <v>0</v>
      </c>
      <c r="AC164" s="173">
        <f>IFERROR(VLOOKUP($B164,Totalt!$B$1:$AQ$554,MATCH(AC$2,Totalt!$B$1:$AQ$1,0),FALSE),"")</f>
        <v>0</v>
      </c>
      <c r="AD164" s="173">
        <f>IFERROR(VLOOKUP($B164,Totalt!$B$1:$AQ$554,MATCH(AD$2,Totalt!$B$1:$AQ$1,0),FALSE),"")</f>
        <v>0</v>
      </c>
      <c r="AE164" s="173">
        <f>IFERROR(VLOOKUP($B164,Totalt!$B$1:$AQ$554,MATCH(AE$2,Totalt!$B$1:$AQ$1,0),FALSE),"")</f>
        <v>0</v>
      </c>
      <c r="AF164" s="173">
        <f>IFERROR(VLOOKUP($B164,Totalt!$B$1:$AQ$554,MATCH(AF$2,Totalt!$B$1:$AQ$1,0),FALSE),"")</f>
        <v>0.42</v>
      </c>
      <c r="AG164" s="173">
        <f>IFERROR(VLOOKUP($B164,Totalt!$B$1:$AQ$554,MATCH(AG$2,Totalt!$B$1:$AQ$1,0),FALSE),"")</f>
        <v>0</v>
      </c>
      <c r="AI164" s="226">
        <f t="shared" si="12"/>
        <v>31.620000000000005</v>
      </c>
      <c r="AJ164" s="226">
        <f>IF(ISERROR(1/VLOOKUP($B164,Leveranser!$B$1:$S$500,MATCH("såld värme (gwh)",Leveranser!$B$1:$S$1,0),FALSE)),"",VLOOKUP($B164,Leveranser!$B$1:$S$500,MATCH("såld värme (gwh)",Leveranser!$B$1:$S$1,0),FALSE))</f>
        <v>22.4</v>
      </c>
      <c r="AM164" s="227" t="str">
        <f>IF(B164&lt;&gt;"",IF(VLOOKUP($B164,Totalt!$B$1:$AQ$554,MATCH("Kvalitetsgranskad:",Totalt!$B$1:$AQ$1,0),FALSE)="ja",VLOOKUP($B164,Miljö!$B$1:$AG$479,MATCH(AM$2,Miljö!$B$1:$AK$1,0),FALSE),""),"")</f>
        <v>Ja</v>
      </c>
      <c r="AN164" s="227" t="str">
        <f>IF(AM164="ja",VLOOKUP($B164,Miljö!$B$1:$J$479,MATCH("Typ av ursprungsspecificerad el   (Om inget värde anges används Nordisk residualmix, se inforuta) ()",Miljö!$B$1:$J$1,0),FALSE),IF(AM164="nej","Nordisk residualel",""))</f>
        <v>'Vindel'</v>
      </c>
      <c r="AO164" s="227">
        <f>IF(AM164="","",VLOOKUP($B164,Miljö!$B$1:$J$479,MATCH("Fossilandel för ursprungspecificerad el ()",Miljö!$B$1:$J$1,0),FALSE))</f>
        <v>0</v>
      </c>
      <c r="AP164" s="227">
        <f>IF(AM164="","",IFERROR(VLOOKUP($B164,Miljö!$B$1:$J$479,MATCH("Kärnkraftsandel för ursprungsspecificerad el ()",Miljö!$B$1:$J$1,0),FALSE)/1,0))</f>
        <v>0</v>
      </c>
      <c r="AQ164" s="227">
        <f t="shared" si="13"/>
        <v>1</v>
      </c>
      <c r="AR164" s="227"/>
      <c r="AS164" s="227" t="str">
        <f t="shared" si="14"/>
        <v>Nej</v>
      </c>
      <c r="AT164" s="227" t="str">
        <f>IF(AS164="ja",VLOOKUP($B164,Miljö!$B$1:$O$500,MATCH("Fossil andel i procent (%)",Miljö!$B$1:$O$1,0),FALSE)/100,"")</f>
        <v/>
      </c>
      <c r="AU164" s="227"/>
      <c r="AV164" s="227" t="str">
        <f t="shared" si="15"/>
        <v>Nej</v>
      </c>
      <c r="AW164" s="227" t="str">
        <f>IF(AV164="ja",VLOOKUP($B164,'Egen hetvattenprod'!$B$1:$AO$500,MATCH("Värmekälla till värmepumpar ()",'Egen hetvattenprod'!$B$1:$AO$1,0),FALSE),"")</f>
        <v/>
      </c>
      <c r="AX164" s="227"/>
      <c r="AY164" s="227" t="str">
        <f t="shared" si="16"/>
        <v>Nej</v>
      </c>
      <c r="AZ164" s="228" t="str">
        <f>IF($AY164="ja",(VLOOKUP($B164,'Egen hetvattenprod'!$B$1:$BX$550,MATCH(AZ$2,'Egen hetvattenprod'!$B$1:$BX$1,0),FALSE)+VLOOKUP($B164,Kraftvärmeprod!$B$1:$BX$550,MATCH(AZ$2,Kraftvärmeprod!$B$1:$BX$1,0),FALSE))/$AC164,"")</f>
        <v/>
      </c>
      <c r="BA164" s="228" t="str">
        <f>IF($AY164="ja",(VLOOKUP($B164,'Egen hetvattenprod'!$B$1:$BX$550,MATCH(BA$2,'Egen hetvattenprod'!$B$1:$BX$1,0),FALSE)+VLOOKUP($B164,Kraftvärmeprod!$B$1:$BX$550,MATCH(BA$2,Kraftvärmeprod!$B$1:$BX$1,0),FALSE))/$AC164,"")</f>
        <v/>
      </c>
      <c r="BB164" s="228" t="str">
        <f>IF($AY164="ja",(VLOOKUP($B164,'Egen hetvattenprod'!$B$1:$BX$550,MATCH(BB$2,'Egen hetvattenprod'!$B$1:$BX$1,0),FALSE)+VLOOKUP($B164,Kraftvärmeprod!$B$1:$BX$550,MATCH(BB$2,Kraftvärmeprod!$B$1:$BX$1,0),FALSE))/$AC164,"")</f>
        <v/>
      </c>
      <c r="BC164" s="228" t="str">
        <f>IF($AY164="ja",(VLOOKUP($B164,'Egen hetvattenprod'!$B$1:$BX$550,MATCH(BC$2,'Egen hetvattenprod'!$B$1:$BX$1,0),FALSE)+VLOOKUP($B164,Kraftvärmeprod!$B$1:$BX$550,MATCH(BC$2,Kraftvärmeprod!$B$1:$BX$1,0),FALSE))/$AC164,"")</f>
        <v/>
      </c>
      <c r="BD164" s="228" t="str">
        <f>IF($AY164="ja",(VLOOKUP($B164,'Egen hetvattenprod'!$B$1:$BX$550,MATCH(BD$2,'Egen hetvattenprod'!$B$1:$BX$1,0),FALSE)+VLOOKUP($B164,Kraftvärmeprod!$B$1:$BX$550,MATCH(BD$2,Kraftvärmeprod!$B$1:$BX$1,0),FALSE))/$AC164,"")</f>
        <v/>
      </c>
      <c r="BE164" s="227"/>
      <c r="BF164" s="227" t="str">
        <f t="shared" si="17"/>
        <v>Nej</v>
      </c>
      <c r="BG164" s="227" t="str">
        <f>IF($BF164="ja",VLOOKUP($B164,'Egen hetvattenprod'!$B$1:$BX$550,MATCH("Andelen klimatgaser med fossilt ursprung för avfall ()",'Egen hetvattenprod'!$B$1:$BX$1,0),FALSE),"")</f>
        <v/>
      </c>
      <c r="BH164" s="227" t="str">
        <f>IF($BF164="ja",VLOOKUP($B164,Kraftvärmeprod!$B$1:$BX$550,MATCH("Andelen klimatgaser med fossilt ursprung för avfall ()",Kraftvärmeprod!$B$1:$BX$1,0),FALSE),"")</f>
        <v/>
      </c>
      <c r="BI164" s="227" t="str">
        <f>IF($BF164="ja",VLOOKUP($B164,'Egen hetvattenprod'!$B$1:$BX$550,MATCH("Avfall (GWh)",'Egen hetvattenprod'!$B$1:$BX$1,0),FALSE),"")</f>
        <v/>
      </c>
      <c r="BJ164" s="227" t="str">
        <f>IF($BF164="ja",VLOOKUP($B164,'Slutlig allokering kvv'!$B$1:$BX$550,MATCH("Avfall (GWh)",'Slutlig allokering kvv'!$B$1:$BX$1,0),FALSE),"")</f>
        <v/>
      </c>
      <c r="BK164" s="227" t="str">
        <f>IF($BF164="ja",VLOOKUP($B164,'Köpt hetvatten'!$B$1:$BX$550,MATCH("Avfall i köpt hetvatten",'Köpt hetvatten'!$B$1:$BX$1,0),FALSE),"")</f>
        <v/>
      </c>
      <c r="BL164" s="227" t="str">
        <f>IF($BF164="ja",VLOOKUP($B164,'Egen hetvattenprod'!$B$1:$BX$550,MATCH("Värde enligt ovan. (%)",'Egen hetvattenprod'!$B$1:$BX$1,0),FALSE),"")</f>
        <v/>
      </c>
      <c r="BM164" s="227" t="str">
        <f>IF($BF164="ja",VLOOKUP($B164,Kraftvärmeprod!$B$1:$BX$550,MATCH("Värde enligt ovan. (%)",Kraftvärmeprod!$B$1:$BX$1,0),FALSE),"")</f>
        <v/>
      </c>
      <c r="BN164" s="227"/>
      <c r="BO164" s="227"/>
      <c r="BP164" s="227"/>
      <c r="BQ164" s="227" t="str">
        <f>IF($BF164="ja",VLOOKUP($B164,'Egen hetvattenprod'!$B$1:$BX$550,MATCH("Tillförd olja (fossil) vid avfallsförbränning (GWh)",'Egen hetvattenprod'!$B$1:$BX$1,0),FALSE),"")</f>
        <v/>
      </c>
      <c r="BR164" s="227" t="str">
        <f>IF($BF164="ja",VLOOKUP($B164,Kraftvärmeprod!$B$1:$BX$550,MATCH("Tillförd olja (fossil) vid avfallsförbränning (GWh)",Kraftvärmeprod!$B$1:$BX$1,0),FALSE),"")</f>
        <v/>
      </c>
      <c r="BS164" s="227"/>
      <c r="BT164" s="227"/>
      <c r="BU164" s="227"/>
    </row>
    <row r="165" spans="1:73" x14ac:dyDescent="0.25">
      <c r="A165" s="121" t="str">
        <f>'Miljövärden för publ företag'!B168</f>
        <v>Malung-Sälens kommun</v>
      </c>
      <c r="B165" s="121" t="str">
        <f>'Miljövärden för publ företag'!C168</f>
        <v>Malung</v>
      </c>
      <c r="C165" s="173">
        <f>IFERROR(VLOOKUP($B165,Totalt!$B$1:$AQ$554,MATCH(C$2,Totalt!$B$1:$AQ$1,0),FALSE),"")</f>
        <v>0</v>
      </c>
      <c r="D165" s="173">
        <f>IFERROR(VLOOKUP($B165,Totalt!$B$1:$AQ$554,MATCH(D$2,Totalt!$B$1:$AQ$1,0),FALSE),"")</f>
        <v>0.13</v>
      </c>
      <c r="E165" s="173">
        <f>IFERROR(VLOOKUP($B165,Totalt!$B$1:$AQ$554,MATCH(E$2,Totalt!$B$1:$AQ$1,0),FALSE),"")</f>
        <v>0</v>
      </c>
      <c r="F165" s="173">
        <f>IFERROR(VLOOKUP($B165,Totalt!$B$1:$AQ$554,MATCH(F$2,Totalt!$B$1:$AQ$1,0),FALSE),"")</f>
        <v>0</v>
      </c>
      <c r="G165" s="173">
        <f>IFERROR(VLOOKUP($B165,Totalt!$B$1:$AQ$554,MATCH(G$2,Totalt!$B$1:$AQ$1,0),FALSE),"")</f>
        <v>0</v>
      </c>
      <c r="H165" s="173">
        <f>IFERROR(VLOOKUP($B165,Totalt!$B$1:$AQ$554,MATCH(H$2,Totalt!$B$1:$AQ$1,0),FALSE),"")</f>
        <v>0</v>
      </c>
      <c r="I165" s="173">
        <f>IFERROR(VLOOKUP($B165,Totalt!$B$1:$AQ$554,MATCH(I$2,Totalt!$B$1:$AQ$1,0),FALSE),"")</f>
        <v>0</v>
      </c>
      <c r="J165" s="173">
        <f>IFERROR(VLOOKUP($B165,Totalt!$B$1:$AQ$554,MATCH(J$2,Totalt!$B$1:$AQ$1,0),FALSE),"")</f>
        <v>0</v>
      </c>
      <c r="K165" s="173">
        <f>IFERROR(VLOOKUP($B165,Totalt!$B$1:$AQ$554,MATCH(K$2,Totalt!$B$1:$AQ$1,0),FALSE),"")</f>
        <v>0</v>
      </c>
      <c r="L165" s="173">
        <f>IFERROR(VLOOKUP($B165,Totalt!$B$1:$AQ$554,MATCH(L$2,Totalt!$B$1:$AQ$1,0),FALSE),"")</f>
        <v>0</v>
      </c>
      <c r="M165" s="173">
        <f>IFERROR(VLOOKUP($B165,Totalt!$B$1:$AQ$554,MATCH(M$2,Totalt!$B$1:$AQ$1,0),FALSE),"")</f>
        <v>0</v>
      </c>
      <c r="N165" s="173">
        <f>IFERROR(VLOOKUP($B165,Totalt!$B$1:$AQ$554,MATCH(N$2,Totalt!$B$1:$AQ$1,0),FALSE),"")</f>
        <v>0</v>
      </c>
      <c r="O165" s="173">
        <f>IFERROR(VLOOKUP($B165,Totalt!$B$1:$AQ$554,MATCH(O$2,Totalt!$B$1:$AQ$1,0),FALSE),"")</f>
        <v>0</v>
      </c>
      <c r="P165" s="173">
        <f>IFERROR(VLOOKUP($B165,Totalt!$B$1:$AQ$554,MATCH(P$2,Totalt!$B$1:$AQ$1,0),FALSE),"")</f>
        <v>29.1</v>
      </c>
      <c r="Q165" s="173">
        <f>IFERROR(VLOOKUP($B165,Totalt!$B$1:$AQ$554,MATCH(Q$2,Totalt!$B$1:$AQ$1,0),FALSE),"")</f>
        <v>0</v>
      </c>
      <c r="R165" s="173">
        <f>IFERROR(VLOOKUP($B165,Totalt!$B$1:$AQ$554,MATCH(R$2,Totalt!$B$1:$AQ$1,0),FALSE),"")</f>
        <v>0</v>
      </c>
      <c r="S165" s="173">
        <f>IFERROR(VLOOKUP($B165,Totalt!$B$1:$AQ$554,MATCH(S$2,Totalt!$B$1:$AQ$1,0),FALSE),"")</f>
        <v>0</v>
      </c>
      <c r="T165" s="173">
        <f>IFERROR(VLOOKUP($B165,Totalt!$B$1:$AQ$554,MATCH(T$2,Totalt!$B$1:$AQ$1,0),FALSE),"")</f>
        <v>0</v>
      </c>
      <c r="U165" s="173">
        <f>IFERROR(VLOOKUP($B165,Totalt!$B$1:$AQ$554,MATCH(U$2,Totalt!$B$1:$AQ$1,0),FALSE),"")</f>
        <v>0</v>
      </c>
      <c r="V165" s="173">
        <f>IFERROR(VLOOKUP($B165,Totalt!$B$1:$AQ$554,MATCH(V$2,Totalt!$B$1:$AQ$1,0),FALSE),"")</f>
        <v>0</v>
      </c>
      <c r="W165" s="173">
        <f>IFERROR(VLOOKUP($B165,Totalt!$B$1:$AQ$554,MATCH(W$2,Totalt!$B$1:$AQ$1,0),FALSE),"")</f>
        <v>0</v>
      </c>
      <c r="X165" s="173">
        <f>IFERROR(VLOOKUP($B165,Totalt!$B$1:$AQ$554,MATCH(X$2,Totalt!$B$1:$AQ$1,0),FALSE),"")</f>
        <v>0</v>
      </c>
      <c r="Y165" s="173">
        <f>IFERROR(VLOOKUP($B165,Totalt!$B$1:$AQ$554,MATCH(Y$2,Totalt!$B$1:$AQ$1,0),FALSE),"")</f>
        <v>0</v>
      </c>
      <c r="Z165" s="173">
        <f>IFERROR(VLOOKUP($B165,Totalt!$B$1:$AQ$554,MATCH(Z$2,Totalt!$B$1:$AQ$1,0),FALSE),"")</f>
        <v>0</v>
      </c>
      <c r="AA165" s="173">
        <f>IFERROR(VLOOKUP($B165,Totalt!$B$1:$AQ$554,MATCH(AA$2,Totalt!$B$1:$AQ$1,0),FALSE),"")</f>
        <v>0</v>
      </c>
      <c r="AB165" s="173">
        <f>IFERROR(VLOOKUP($B165,Totalt!$B$1:$AQ$554,MATCH(AB$2,Totalt!$B$1:$AQ$1,0),FALSE),"")</f>
        <v>0</v>
      </c>
      <c r="AC165" s="173">
        <f>IFERROR(VLOOKUP($B165,Totalt!$B$1:$AQ$554,MATCH(AC$2,Totalt!$B$1:$AQ$1,0),FALSE),"")</f>
        <v>3.8</v>
      </c>
      <c r="AD165" s="173">
        <f>IFERROR(VLOOKUP($B165,Totalt!$B$1:$AQ$554,MATCH(AD$2,Totalt!$B$1:$AQ$1,0),FALSE),"")</f>
        <v>0</v>
      </c>
      <c r="AE165" s="173">
        <f>IFERROR(VLOOKUP($B165,Totalt!$B$1:$AQ$554,MATCH(AE$2,Totalt!$B$1:$AQ$1,0),FALSE),"")</f>
        <v>0</v>
      </c>
      <c r="AF165" s="173">
        <f>IFERROR(VLOOKUP($B165,Totalt!$B$1:$AQ$554,MATCH(AF$2,Totalt!$B$1:$AQ$1,0),FALSE),"")</f>
        <v>0.5</v>
      </c>
      <c r="AG165" s="173">
        <f>IFERROR(VLOOKUP($B165,Totalt!$B$1:$AQ$554,MATCH(AG$2,Totalt!$B$1:$AQ$1,0),FALSE),"")</f>
        <v>0</v>
      </c>
      <c r="AI165" s="226">
        <f t="shared" si="12"/>
        <v>33.53</v>
      </c>
      <c r="AJ165" s="226">
        <f>IF(ISERROR(1/VLOOKUP($B165,Leveranser!$B$1:$S$500,MATCH("såld värme (gwh)",Leveranser!$B$1:$S$1,0),FALSE)),"",VLOOKUP($B165,Leveranser!$B$1:$S$500,MATCH("såld värme (gwh)",Leveranser!$B$1:$S$1,0),FALSE))</f>
        <v>27</v>
      </c>
      <c r="AM165" s="227" t="str">
        <f>IF(B165&lt;&gt;"",IF(VLOOKUP($B165,Totalt!$B$1:$AQ$554,MATCH("Kvalitetsgranskad:",Totalt!$B$1:$AQ$1,0),FALSE)="ja",VLOOKUP($B165,Miljö!$B$1:$AG$479,MATCH(AM$2,Miljö!$B$1:$AK$1,0),FALSE),""),"")</f>
        <v>Ja</v>
      </c>
      <c r="AN165" s="227" t="str">
        <f>IF(AM165="ja",VLOOKUP($B165,Miljö!$B$1:$J$479,MATCH("Typ av ursprungsspecificerad el   (Om inget värde anges används Nordisk residualmix, se inforuta) ()",Miljö!$B$1:$J$1,0),FALSE),IF(AM165="nej","Nordisk residualel",""))</f>
        <v>'84%vatten 16%vind'</v>
      </c>
      <c r="AO165" s="227">
        <f>IF(AM165="","",VLOOKUP($B165,Miljö!$B$1:$J$479,MATCH("Fossilandel för ursprungspecificerad el ()",Miljö!$B$1:$J$1,0),FALSE))</f>
        <v>0</v>
      </c>
      <c r="AP165" s="227">
        <f>IF(AM165="","",IFERROR(VLOOKUP($B165,Miljö!$B$1:$J$479,MATCH("Kärnkraftsandel för ursprungsspecificerad el ()",Miljö!$B$1:$J$1,0),FALSE)/1,0))</f>
        <v>0</v>
      </c>
      <c r="AQ165" s="227">
        <f t="shared" si="13"/>
        <v>1</v>
      </c>
      <c r="AR165" s="227"/>
      <c r="AS165" s="227" t="str">
        <f t="shared" si="14"/>
        <v>Nej</v>
      </c>
      <c r="AT165" s="227" t="str">
        <f>IF(AS165="ja",VLOOKUP($B165,Miljö!$B$1:$O$500,MATCH("Fossil andel i procent (%)",Miljö!$B$1:$O$1,0),FALSE)/100,"")</f>
        <v/>
      </c>
      <c r="AU165" s="227"/>
      <c r="AV165" s="227" t="str">
        <f t="shared" si="15"/>
        <v>Nej</v>
      </c>
      <c r="AW165" s="227" t="str">
        <f>IF(AV165="ja",VLOOKUP($B165,'Egen hetvattenprod'!$B$1:$AO$500,MATCH("Värmekälla till värmepumpar ()",'Egen hetvattenprod'!$B$1:$AO$1,0),FALSE),"")</f>
        <v/>
      </c>
      <c r="AX165" s="227"/>
      <c r="AY165" s="227" t="str">
        <f t="shared" si="16"/>
        <v>Ja</v>
      </c>
      <c r="AZ165" s="228">
        <f>IF($AY165="ja",(VLOOKUP($B165,'Egen hetvattenprod'!$B$1:$BX$550,MATCH(AZ$2,'Egen hetvattenprod'!$B$1:$BX$1,0),FALSE)+VLOOKUP($B165,Kraftvärmeprod!$B$1:$BX$550,MATCH(AZ$2,Kraftvärmeprod!$B$1:$BX$1,0),FALSE))/$AC165,"")</f>
        <v>1</v>
      </c>
      <c r="BA165" s="228">
        <f>IF($AY165="ja",(VLOOKUP($B165,'Egen hetvattenprod'!$B$1:$BX$550,MATCH(BA$2,'Egen hetvattenprod'!$B$1:$BX$1,0),FALSE)+VLOOKUP($B165,Kraftvärmeprod!$B$1:$BX$550,MATCH(BA$2,Kraftvärmeprod!$B$1:$BX$1,0),FALSE))/$AC165,"")</f>
        <v>0</v>
      </c>
      <c r="BB165" s="228">
        <f>IF($AY165="ja",(VLOOKUP($B165,'Egen hetvattenprod'!$B$1:$BX$550,MATCH(BB$2,'Egen hetvattenprod'!$B$1:$BX$1,0),FALSE)+VLOOKUP($B165,Kraftvärmeprod!$B$1:$BX$550,MATCH(BB$2,Kraftvärmeprod!$B$1:$BX$1,0),FALSE))/$AC165,"")</f>
        <v>0</v>
      </c>
      <c r="BC165" s="228">
        <f>IF($AY165="ja",(VLOOKUP($B165,'Egen hetvattenprod'!$B$1:$BX$550,MATCH(BC$2,'Egen hetvattenprod'!$B$1:$BX$1,0),FALSE)+VLOOKUP($B165,Kraftvärmeprod!$B$1:$BX$550,MATCH(BC$2,Kraftvärmeprod!$B$1:$BX$1,0),FALSE))/$AC165,"")</f>
        <v>0</v>
      </c>
      <c r="BD165" s="228">
        <f>IF($AY165="ja",(VLOOKUP($B165,'Egen hetvattenprod'!$B$1:$BX$550,MATCH(BD$2,'Egen hetvattenprod'!$B$1:$BX$1,0),FALSE)+VLOOKUP($B165,Kraftvärmeprod!$B$1:$BX$550,MATCH(BD$2,Kraftvärmeprod!$B$1:$BX$1,0),FALSE))/$AC165,"")</f>
        <v>0</v>
      </c>
      <c r="BE165" s="227"/>
      <c r="BF165" s="227" t="str">
        <f t="shared" si="17"/>
        <v>Nej</v>
      </c>
      <c r="BG165" s="227" t="str">
        <f>IF($BF165="ja",VLOOKUP($B165,'Egen hetvattenprod'!$B$1:$BX$550,MATCH("Andelen klimatgaser med fossilt ursprung för avfall ()",'Egen hetvattenprod'!$B$1:$BX$1,0),FALSE),"")</f>
        <v/>
      </c>
      <c r="BH165" s="227" t="str">
        <f>IF($BF165="ja",VLOOKUP($B165,Kraftvärmeprod!$B$1:$BX$550,MATCH("Andelen klimatgaser med fossilt ursprung för avfall ()",Kraftvärmeprod!$B$1:$BX$1,0),FALSE),"")</f>
        <v/>
      </c>
      <c r="BI165" s="227" t="str">
        <f>IF($BF165="ja",VLOOKUP($B165,'Egen hetvattenprod'!$B$1:$BX$550,MATCH("Avfall (GWh)",'Egen hetvattenprod'!$B$1:$BX$1,0),FALSE),"")</f>
        <v/>
      </c>
      <c r="BJ165" s="227" t="str">
        <f>IF($BF165="ja",VLOOKUP($B165,'Slutlig allokering kvv'!$B$1:$BX$550,MATCH("Avfall (GWh)",'Slutlig allokering kvv'!$B$1:$BX$1,0),FALSE),"")</f>
        <v/>
      </c>
      <c r="BK165" s="227" t="str">
        <f>IF($BF165="ja",VLOOKUP($B165,'Köpt hetvatten'!$B$1:$BX$550,MATCH("Avfall i köpt hetvatten",'Köpt hetvatten'!$B$1:$BX$1,0),FALSE),"")</f>
        <v/>
      </c>
      <c r="BL165" s="227" t="str">
        <f>IF($BF165="ja",VLOOKUP($B165,'Egen hetvattenprod'!$B$1:$BX$550,MATCH("Värde enligt ovan. (%)",'Egen hetvattenprod'!$B$1:$BX$1,0),FALSE),"")</f>
        <v/>
      </c>
      <c r="BM165" s="227" t="str">
        <f>IF($BF165="ja",VLOOKUP($B165,Kraftvärmeprod!$B$1:$BX$550,MATCH("Värde enligt ovan. (%)",Kraftvärmeprod!$B$1:$BX$1,0),FALSE),"")</f>
        <v/>
      </c>
      <c r="BN165" s="227"/>
      <c r="BO165" s="227"/>
      <c r="BP165" s="227"/>
      <c r="BQ165" s="227" t="str">
        <f>IF($BF165="ja",VLOOKUP($B165,'Egen hetvattenprod'!$B$1:$BX$550,MATCH("Tillförd olja (fossil) vid avfallsförbränning (GWh)",'Egen hetvattenprod'!$B$1:$BX$1,0),FALSE),"")</f>
        <v/>
      </c>
      <c r="BR165" s="227" t="str">
        <f>IF($BF165="ja",VLOOKUP($B165,Kraftvärmeprod!$B$1:$BX$550,MATCH("Tillförd olja (fossil) vid avfallsförbränning (GWh)",Kraftvärmeprod!$B$1:$BX$1,0),FALSE),"")</f>
        <v/>
      </c>
      <c r="BS165" s="227"/>
      <c r="BT165" s="227"/>
      <c r="BU165" s="227"/>
    </row>
    <row r="166" spans="1:73" x14ac:dyDescent="0.25">
      <c r="A166" s="121" t="str">
        <f>'Miljövärden för publ företag'!B169</f>
        <v>Mark Kraftvärme AB</v>
      </c>
      <c r="B166" s="121" t="str">
        <f>'Miljövärden för publ företag'!C169</f>
        <v>Assberg - Fritslanäten</v>
      </c>
      <c r="C166" s="173">
        <f>IFERROR(VLOOKUP($B166,Totalt!$B$1:$AQ$554,MATCH(C$2,Totalt!$B$1:$AQ$1,0),FALSE),"")</f>
        <v>0</v>
      </c>
      <c r="D166" s="173">
        <f>IFERROR(VLOOKUP($B166,Totalt!$B$1:$AQ$554,MATCH(D$2,Totalt!$B$1:$AQ$1,0),FALSE),"")</f>
        <v>0.82699999999999996</v>
      </c>
      <c r="E166" s="173">
        <f>IFERROR(VLOOKUP($B166,Totalt!$B$1:$AQ$554,MATCH(E$2,Totalt!$B$1:$AQ$1,0),FALSE),"")</f>
        <v>0</v>
      </c>
      <c r="F166" s="173">
        <f>IFERROR(VLOOKUP($B166,Totalt!$B$1:$AQ$554,MATCH(F$2,Totalt!$B$1:$AQ$1,0),FALSE),"")</f>
        <v>0</v>
      </c>
      <c r="G166" s="173">
        <f>IFERROR(VLOOKUP($B166,Totalt!$B$1:$AQ$554,MATCH(G$2,Totalt!$B$1:$AQ$1,0),FALSE),"")</f>
        <v>0</v>
      </c>
      <c r="H166" s="173">
        <f>IFERROR(VLOOKUP($B166,Totalt!$B$1:$AQ$554,MATCH(H$2,Totalt!$B$1:$AQ$1,0),FALSE),"")</f>
        <v>0</v>
      </c>
      <c r="I166" s="173">
        <f>IFERROR(VLOOKUP($B166,Totalt!$B$1:$AQ$554,MATCH(I$2,Totalt!$B$1:$AQ$1,0),FALSE),"")</f>
        <v>0</v>
      </c>
      <c r="J166" s="173">
        <f>IFERROR(VLOOKUP($B166,Totalt!$B$1:$AQ$554,MATCH(J$2,Totalt!$B$1:$AQ$1,0),FALSE),"")</f>
        <v>0</v>
      </c>
      <c r="K166" s="173">
        <f>IFERROR(VLOOKUP($B166,Totalt!$B$1:$AQ$554,MATCH(K$2,Totalt!$B$1:$AQ$1,0),FALSE),"")</f>
        <v>0</v>
      </c>
      <c r="L166" s="173">
        <f>IFERROR(VLOOKUP($B166,Totalt!$B$1:$AQ$554,MATCH(L$2,Totalt!$B$1:$AQ$1,0),FALSE),"")</f>
        <v>0</v>
      </c>
      <c r="M166" s="173">
        <f>IFERROR(VLOOKUP($B166,Totalt!$B$1:$AQ$554,MATCH(M$2,Totalt!$B$1:$AQ$1,0),FALSE),"")</f>
        <v>5.6034899999999999</v>
      </c>
      <c r="N166" s="173">
        <f>IFERROR(VLOOKUP($B166,Totalt!$B$1:$AQ$554,MATCH(N$2,Totalt!$B$1:$AQ$1,0),FALSE),"")</f>
        <v>59.289900000000003</v>
      </c>
      <c r="O166" s="173">
        <f>IFERROR(VLOOKUP($B166,Totalt!$B$1:$AQ$554,MATCH(O$2,Totalt!$B$1:$AQ$1,0),FALSE),"")</f>
        <v>0</v>
      </c>
      <c r="P166" s="173">
        <f>IFERROR(VLOOKUP($B166,Totalt!$B$1:$AQ$554,MATCH(P$2,Totalt!$B$1:$AQ$1,0),FALSE),"")</f>
        <v>45.291899999999998</v>
      </c>
      <c r="Q166" s="173">
        <f>IFERROR(VLOOKUP($B166,Totalt!$B$1:$AQ$554,MATCH(Q$2,Totalt!$B$1:$AQ$1,0),FALSE),"")</f>
        <v>0</v>
      </c>
      <c r="R166" s="173">
        <f>IFERROR(VLOOKUP($B166,Totalt!$B$1:$AQ$554,MATCH(R$2,Totalt!$B$1:$AQ$1,0),FALSE),"")</f>
        <v>0</v>
      </c>
      <c r="S166" s="173">
        <f>IFERROR(VLOOKUP($B166,Totalt!$B$1:$AQ$554,MATCH(S$2,Totalt!$B$1:$AQ$1,0),FALSE),"")</f>
        <v>4.71</v>
      </c>
      <c r="T166" s="173">
        <f>IFERROR(VLOOKUP($B166,Totalt!$B$1:$AQ$554,MATCH(T$2,Totalt!$B$1:$AQ$1,0),FALSE),"")</f>
        <v>0</v>
      </c>
      <c r="U166" s="173">
        <f>IFERROR(VLOOKUP($B166,Totalt!$B$1:$AQ$554,MATCH(U$2,Totalt!$B$1:$AQ$1,0),FALSE),"")</f>
        <v>0</v>
      </c>
      <c r="V166" s="173">
        <f>IFERROR(VLOOKUP($B166,Totalt!$B$1:$AQ$554,MATCH(V$2,Totalt!$B$1:$AQ$1,0),FALSE),"")</f>
        <v>0</v>
      </c>
      <c r="W166" s="173">
        <f>IFERROR(VLOOKUP($B166,Totalt!$B$1:$AQ$554,MATCH(W$2,Totalt!$B$1:$AQ$1,0),FALSE),"")</f>
        <v>0</v>
      </c>
      <c r="X166" s="173">
        <f>IFERROR(VLOOKUP($B166,Totalt!$B$1:$AQ$554,MATCH(X$2,Totalt!$B$1:$AQ$1,0),FALSE),"")</f>
        <v>0</v>
      </c>
      <c r="Y166" s="173">
        <f>IFERROR(VLOOKUP($B166,Totalt!$B$1:$AQ$554,MATCH(Y$2,Totalt!$B$1:$AQ$1,0),FALSE),"")</f>
        <v>0</v>
      </c>
      <c r="Z166" s="173">
        <f>IFERROR(VLOOKUP($B166,Totalt!$B$1:$AQ$554,MATCH(Z$2,Totalt!$B$1:$AQ$1,0),FALSE),"")</f>
        <v>0</v>
      </c>
      <c r="AA166" s="173">
        <f>IFERROR(VLOOKUP($B166,Totalt!$B$1:$AQ$554,MATCH(AA$2,Totalt!$B$1:$AQ$1,0),FALSE),"")</f>
        <v>0</v>
      </c>
      <c r="AB166" s="173">
        <f>IFERROR(VLOOKUP($B166,Totalt!$B$1:$AQ$554,MATCH(AB$2,Totalt!$B$1:$AQ$1,0),FALSE),"")</f>
        <v>0</v>
      </c>
      <c r="AC166" s="173">
        <f>IFERROR(VLOOKUP($B166,Totalt!$B$1:$AQ$554,MATCH(AC$2,Totalt!$B$1:$AQ$1,0),FALSE),"")</f>
        <v>17.79</v>
      </c>
      <c r="AD166" s="173">
        <f>IFERROR(VLOOKUP($B166,Totalt!$B$1:$AQ$554,MATCH(AD$2,Totalt!$B$1:$AQ$1,0),FALSE),"")</f>
        <v>0</v>
      </c>
      <c r="AE166" s="173">
        <f>IFERROR(VLOOKUP($B166,Totalt!$B$1:$AQ$554,MATCH(AE$2,Totalt!$B$1:$AQ$1,0),FALSE),"")</f>
        <v>0</v>
      </c>
      <c r="AF166" s="173">
        <f>IFERROR(VLOOKUP($B166,Totalt!$B$1:$AQ$554,MATCH(AF$2,Totalt!$B$1:$AQ$1,0),FALSE),"")</f>
        <v>3.7203900000000001</v>
      </c>
      <c r="AG166" s="173">
        <f>IFERROR(VLOOKUP($B166,Totalt!$B$1:$AQ$554,MATCH(AG$2,Totalt!$B$1:$AQ$1,0),FALSE),"")</f>
        <v>0</v>
      </c>
      <c r="AI166" s="226">
        <f t="shared" si="12"/>
        <v>137.23268000000002</v>
      </c>
      <c r="AJ166" s="226">
        <f>IF(ISERROR(1/VLOOKUP($B166,Leveranser!$B$1:$S$500,MATCH("såld värme (gwh)",Leveranser!$B$1:$S$1,0),FALSE)),"",VLOOKUP($B166,Leveranser!$B$1:$S$500,MATCH("såld värme (gwh)",Leveranser!$B$1:$S$1,0),FALSE))</f>
        <v>93.07</v>
      </c>
      <c r="AM166" s="227" t="str">
        <f>IF(B166&lt;&gt;"",IF(VLOOKUP($B166,Totalt!$B$1:$AQ$554,MATCH("Kvalitetsgranskad:",Totalt!$B$1:$AQ$1,0),FALSE)="ja",VLOOKUP($B166,Miljö!$B$1:$AG$479,MATCH(AM$2,Miljö!$B$1:$AK$1,0),FALSE),""),"")</f>
        <v>Ja</v>
      </c>
      <c r="AN166" s="227" t="str">
        <f>IF(AM166="ja",VLOOKUP($B166,Miljö!$B$1:$J$479,MATCH("Typ av ursprungsspecificerad el   (Om inget värde anges används Nordisk residualmix, se inforuta) ()",Miljö!$B$1:$J$1,0),FALSE),IF(AM166="nej","Nordisk residualel",""))</f>
        <v>'Bra Miljöval'</v>
      </c>
      <c r="AO166" s="227">
        <f>IF(AM166="","",VLOOKUP($B166,Miljö!$B$1:$J$479,MATCH("Fossilandel för ursprungspecificerad el ()",Miljö!$B$1:$J$1,0),FALSE))</f>
        <v>0</v>
      </c>
      <c r="AP166" s="227">
        <f>IF(AM166="","",IFERROR(VLOOKUP($B166,Miljö!$B$1:$J$479,MATCH("Kärnkraftsandel för ursprungsspecificerad el ()",Miljö!$B$1:$J$1,0),FALSE)/1,0))</f>
        <v>0</v>
      </c>
      <c r="AQ166" s="227">
        <f t="shared" si="13"/>
        <v>1</v>
      </c>
      <c r="AR166" s="227"/>
      <c r="AS166" s="227" t="str">
        <f t="shared" si="14"/>
        <v>Nej</v>
      </c>
      <c r="AT166" s="227" t="str">
        <f>IF(AS166="ja",VLOOKUP($B166,Miljö!$B$1:$O$500,MATCH("Fossil andel i procent (%)",Miljö!$B$1:$O$1,0),FALSE)/100,"")</f>
        <v/>
      </c>
      <c r="AU166" s="227"/>
      <c r="AV166" s="227" t="str">
        <f t="shared" si="15"/>
        <v>Nej</v>
      </c>
      <c r="AW166" s="227" t="str">
        <f>IF(AV166="ja",VLOOKUP($B166,'Egen hetvattenprod'!$B$1:$AO$500,MATCH("Värmekälla till värmepumpar ()",'Egen hetvattenprod'!$B$1:$AO$1,0),FALSE),"")</f>
        <v/>
      </c>
      <c r="AX166" s="227"/>
      <c r="AY166" s="227" t="str">
        <f t="shared" si="16"/>
        <v>Ja</v>
      </c>
      <c r="AZ166" s="228">
        <f>IF($AY166="ja",(VLOOKUP($B166,'Egen hetvattenprod'!$B$1:$BX$550,MATCH(AZ$2,'Egen hetvattenprod'!$B$1:$BX$1,0),FALSE)+VLOOKUP($B166,Kraftvärmeprod!$B$1:$BX$550,MATCH(AZ$2,Kraftvärmeprod!$B$1:$BX$1,0),FALSE))/$AC166,"")</f>
        <v>1</v>
      </c>
      <c r="BA166" s="228">
        <f>IF($AY166="ja",(VLOOKUP($B166,'Egen hetvattenprod'!$B$1:$BX$550,MATCH(BA$2,'Egen hetvattenprod'!$B$1:$BX$1,0),FALSE)+VLOOKUP($B166,Kraftvärmeprod!$B$1:$BX$550,MATCH(BA$2,Kraftvärmeprod!$B$1:$BX$1,0),FALSE))/$AC166,"")</f>
        <v>0</v>
      </c>
      <c r="BB166" s="228">
        <f>IF($AY166="ja",(VLOOKUP($B166,'Egen hetvattenprod'!$B$1:$BX$550,MATCH(BB$2,'Egen hetvattenprod'!$B$1:$BX$1,0),FALSE)+VLOOKUP($B166,Kraftvärmeprod!$B$1:$BX$550,MATCH(BB$2,Kraftvärmeprod!$B$1:$BX$1,0),FALSE))/$AC166,"")</f>
        <v>0</v>
      </c>
      <c r="BC166" s="228">
        <f>IF($AY166="ja",(VLOOKUP($B166,'Egen hetvattenprod'!$B$1:$BX$550,MATCH(BC$2,'Egen hetvattenprod'!$B$1:$BX$1,0),FALSE)+VLOOKUP($B166,Kraftvärmeprod!$B$1:$BX$550,MATCH(BC$2,Kraftvärmeprod!$B$1:$BX$1,0),FALSE))/$AC166,"")</f>
        <v>0</v>
      </c>
      <c r="BD166" s="228">
        <f>IF($AY166="ja",(VLOOKUP($B166,'Egen hetvattenprod'!$B$1:$BX$550,MATCH(BD$2,'Egen hetvattenprod'!$B$1:$BX$1,0),FALSE)+VLOOKUP($B166,Kraftvärmeprod!$B$1:$BX$550,MATCH(BD$2,Kraftvärmeprod!$B$1:$BX$1,0),FALSE))/$AC166,"")</f>
        <v>0</v>
      </c>
      <c r="BE166" s="227"/>
      <c r="BF166" s="227" t="str">
        <f t="shared" si="17"/>
        <v>Nej</v>
      </c>
      <c r="BG166" s="227" t="str">
        <f>IF($BF166="ja",VLOOKUP($B166,'Egen hetvattenprod'!$B$1:$BX$550,MATCH("Andelen klimatgaser med fossilt ursprung för avfall ()",'Egen hetvattenprod'!$B$1:$BX$1,0),FALSE),"")</f>
        <v/>
      </c>
      <c r="BH166" s="227" t="str">
        <f>IF($BF166="ja",VLOOKUP($B166,Kraftvärmeprod!$B$1:$BX$550,MATCH("Andelen klimatgaser med fossilt ursprung för avfall ()",Kraftvärmeprod!$B$1:$BX$1,0),FALSE),"")</f>
        <v/>
      </c>
      <c r="BI166" s="227" t="str">
        <f>IF($BF166="ja",VLOOKUP($B166,'Egen hetvattenprod'!$B$1:$BX$550,MATCH("Avfall (GWh)",'Egen hetvattenprod'!$B$1:$BX$1,0),FALSE),"")</f>
        <v/>
      </c>
      <c r="BJ166" s="227" t="str">
        <f>IF($BF166="ja",VLOOKUP($B166,'Slutlig allokering kvv'!$B$1:$BX$550,MATCH("Avfall (GWh)",'Slutlig allokering kvv'!$B$1:$BX$1,0),FALSE),"")</f>
        <v/>
      </c>
      <c r="BK166" s="227" t="str">
        <f>IF($BF166="ja",VLOOKUP($B166,'Köpt hetvatten'!$B$1:$BX$550,MATCH("Avfall i köpt hetvatten",'Köpt hetvatten'!$B$1:$BX$1,0),FALSE),"")</f>
        <v/>
      </c>
      <c r="BL166" s="227" t="str">
        <f>IF($BF166="ja",VLOOKUP($B166,'Egen hetvattenprod'!$B$1:$BX$550,MATCH("Värde enligt ovan. (%)",'Egen hetvattenprod'!$B$1:$BX$1,0),FALSE),"")</f>
        <v/>
      </c>
      <c r="BM166" s="227" t="str">
        <f>IF($BF166="ja",VLOOKUP($B166,Kraftvärmeprod!$B$1:$BX$550,MATCH("Värde enligt ovan. (%)",Kraftvärmeprod!$B$1:$BX$1,0),FALSE),"")</f>
        <v/>
      </c>
      <c r="BN166" s="227"/>
      <c r="BO166" s="227"/>
      <c r="BP166" s="227"/>
      <c r="BQ166" s="227" t="str">
        <f>IF($BF166="ja",VLOOKUP($B166,'Egen hetvattenprod'!$B$1:$BX$550,MATCH("Tillförd olja (fossil) vid avfallsförbränning (GWh)",'Egen hetvattenprod'!$B$1:$BX$1,0),FALSE),"")</f>
        <v/>
      </c>
      <c r="BR166" s="227" t="str">
        <f>IF($BF166="ja",VLOOKUP($B166,Kraftvärmeprod!$B$1:$BX$550,MATCH("Tillförd olja (fossil) vid avfallsförbränning (GWh)",Kraftvärmeprod!$B$1:$BX$1,0),FALSE),"")</f>
        <v/>
      </c>
      <c r="BS166" s="227"/>
      <c r="BT166" s="227"/>
      <c r="BU166" s="227"/>
    </row>
    <row r="167" spans="1:73" x14ac:dyDescent="0.25">
      <c r="A167" s="121" t="str">
        <f>'Miljövärden för publ företag'!B170</f>
        <v>Mark Kraftvärme AB</v>
      </c>
      <c r="B167" s="121" t="str">
        <f>'Miljövärden för publ företag'!C170</f>
        <v>Hyssna</v>
      </c>
      <c r="C167" s="173">
        <f>IFERROR(VLOOKUP($B167,Totalt!$B$1:$AQ$554,MATCH(C$2,Totalt!$B$1:$AQ$1,0),FALSE),"")</f>
        <v>0</v>
      </c>
      <c r="D167" s="173">
        <f>IFERROR(VLOOKUP($B167,Totalt!$B$1:$AQ$554,MATCH(D$2,Totalt!$B$1:$AQ$1,0),FALSE),"")</f>
        <v>8.8999999999999999E-3</v>
      </c>
      <c r="E167" s="173">
        <f>IFERROR(VLOOKUP($B167,Totalt!$B$1:$AQ$554,MATCH(E$2,Totalt!$B$1:$AQ$1,0),FALSE),"")</f>
        <v>0</v>
      </c>
      <c r="F167" s="173">
        <f>IFERROR(VLOOKUP($B167,Totalt!$B$1:$AQ$554,MATCH(F$2,Totalt!$B$1:$AQ$1,0),FALSE),"")</f>
        <v>0</v>
      </c>
      <c r="G167" s="173">
        <f>IFERROR(VLOOKUP($B167,Totalt!$B$1:$AQ$554,MATCH(G$2,Totalt!$B$1:$AQ$1,0),FALSE),"")</f>
        <v>0</v>
      </c>
      <c r="H167" s="173">
        <f>IFERROR(VLOOKUP($B167,Totalt!$B$1:$AQ$554,MATCH(H$2,Totalt!$B$1:$AQ$1,0),FALSE),"")</f>
        <v>0</v>
      </c>
      <c r="I167" s="173">
        <f>IFERROR(VLOOKUP($B167,Totalt!$B$1:$AQ$554,MATCH(I$2,Totalt!$B$1:$AQ$1,0),FALSE),"")</f>
        <v>0</v>
      </c>
      <c r="J167" s="173">
        <f>IFERROR(VLOOKUP($B167,Totalt!$B$1:$AQ$554,MATCH(J$2,Totalt!$B$1:$AQ$1,0),FALSE),"")</f>
        <v>0</v>
      </c>
      <c r="K167" s="173">
        <f>IFERROR(VLOOKUP($B167,Totalt!$B$1:$AQ$554,MATCH(K$2,Totalt!$B$1:$AQ$1,0),FALSE),"")</f>
        <v>0</v>
      </c>
      <c r="L167" s="173">
        <f>IFERROR(VLOOKUP($B167,Totalt!$B$1:$AQ$554,MATCH(L$2,Totalt!$B$1:$AQ$1,0),FALSE),"")</f>
        <v>0</v>
      </c>
      <c r="M167" s="173">
        <f>IFERROR(VLOOKUP($B167,Totalt!$B$1:$AQ$554,MATCH(M$2,Totalt!$B$1:$AQ$1,0),FALSE),"")</f>
        <v>0</v>
      </c>
      <c r="N167" s="173">
        <f>IFERROR(VLOOKUP($B167,Totalt!$B$1:$AQ$554,MATCH(N$2,Totalt!$B$1:$AQ$1,0),FALSE),"")</f>
        <v>0</v>
      </c>
      <c r="O167" s="173">
        <f>IFERROR(VLOOKUP($B167,Totalt!$B$1:$AQ$554,MATCH(O$2,Totalt!$B$1:$AQ$1,0),FALSE),"")</f>
        <v>0</v>
      </c>
      <c r="P167" s="173">
        <f>IFERROR(VLOOKUP($B167,Totalt!$B$1:$AQ$554,MATCH(P$2,Totalt!$B$1:$AQ$1,0),FALSE),"")</f>
        <v>0</v>
      </c>
      <c r="Q167" s="173">
        <f>IFERROR(VLOOKUP($B167,Totalt!$B$1:$AQ$554,MATCH(Q$2,Totalt!$B$1:$AQ$1,0),FALSE),"")</f>
        <v>0</v>
      </c>
      <c r="R167" s="173">
        <f>IFERROR(VLOOKUP($B167,Totalt!$B$1:$AQ$554,MATCH(R$2,Totalt!$B$1:$AQ$1,0),FALSE),"")</f>
        <v>0</v>
      </c>
      <c r="S167" s="173">
        <f>IFERROR(VLOOKUP($B167,Totalt!$B$1:$AQ$554,MATCH(S$2,Totalt!$B$1:$AQ$1,0),FALSE),"")</f>
        <v>1.5169999999999999</v>
      </c>
      <c r="T167" s="173">
        <f>IFERROR(VLOOKUP($B167,Totalt!$B$1:$AQ$554,MATCH(T$2,Totalt!$B$1:$AQ$1,0),FALSE),"")</f>
        <v>0</v>
      </c>
      <c r="U167" s="173">
        <f>IFERROR(VLOOKUP($B167,Totalt!$B$1:$AQ$554,MATCH(U$2,Totalt!$B$1:$AQ$1,0),FALSE),"")</f>
        <v>0</v>
      </c>
      <c r="V167" s="173">
        <f>IFERROR(VLOOKUP($B167,Totalt!$B$1:$AQ$554,MATCH(V$2,Totalt!$B$1:$AQ$1,0),FALSE),"")</f>
        <v>0</v>
      </c>
      <c r="W167" s="173">
        <f>IFERROR(VLOOKUP($B167,Totalt!$B$1:$AQ$554,MATCH(W$2,Totalt!$B$1:$AQ$1,0),FALSE),"")</f>
        <v>0</v>
      </c>
      <c r="X167" s="173">
        <f>IFERROR(VLOOKUP($B167,Totalt!$B$1:$AQ$554,MATCH(X$2,Totalt!$B$1:$AQ$1,0),FALSE),"")</f>
        <v>0</v>
      </c>
      <c r="Y167" s="173">
        <f>IFERROR(VLOOKUP($B167,Totalt!$B$1:$AQ$554,MATCH(Y$2,Totalt!$B$1:$AQ$1,0),FALSE),"")</f>
        <v>0</v>
      </c>
      <c r="Z167" s="173">
        <f>IFERROR(VLOOKUP($B167,Totalt!$B$1:$AQ$554,MATCH(Z$2,Totalt!$B$1:$AQ$1,0),FALSE),"")</f>
        <v>0</v>
      </c>
      <c r="AA167" s="173">
        <f>IFERROR(VLOOKUP($B167,Totalt!$B$1:$AQ$554,MATCH(AA$2,Totalt!$B$1:$AQ$1,0),FALSE),"")</f>
        <v>0</v>
      </c>
      <c r="AB167" s="173">
        <f>IFERROR(VLOOKUP($B167,Totalt!$B$1:$AQ$554,MATCH(AB$2,Totalt!$B$1:$AQ$1,0),FALSE),"")</f>
        <v>0</v>
      </c>
      <c r="AC167" s="173">
        <f>IFERROR(VLOOKUP($B167,Totalt!$B$1:$AQ$554,MATCH(AC$2,Totalt!$B$1:$AQ$1,0),FALSE),"")</f>
        <v>0</v>
      </c>
      <c r="AD167" s="173">
        <f>IFERROR(VLOOKUP($B167,Totalt!$B$1:$AQ$554,MATCH(AD$2,Totalt!$B$1:$AQ$1,0),FALSE),"")</f>
        <v>0</v>
      </c>
      <c r="AE167" s="173">
        <f>IFERROR(VLOOKUP($B167,Totalt!$B$1:$AQ$554,MATCH(AE$2,Totalt!$B$1:$AQ$1,0),FALSE),"")</f>
        <v>0</v>
      </c>
      <c r="AF167" s="173">
        <f>IFERROR(VLOOKUP($B167,Totalt!$B$1:$AQ$554,MATCH(AF$2,Totalt!$B$1:$AQ$1,0),FALSE),"")</f>
        <v>0.04</v>
      </c>
      <c r="AG167" s="173">
        <f>IFERROR(VLOOKUP($B167,Totalt!$B$1:$AQ$554,MATCH(AG$2,Totalt!$B$1:$AQ$1,0),FALSE),"")</f>
        <v>0</v>
      </c>
      <c r="AI167" s="226">
        <f t="shared" si="12"/>
        <v>1.5658999999999998</v>
      </c>
      <c r="AJ167" s="226">
        <f>IF(ISERROR(1/VLOOKUP($B167,Leveranser!$B$1:$S$500,MATCH("såld värme (gwh)",Leveranser!$B$1:$S$1,0),FALSE)),"",VLOOKUP($B167,Leveranser!$B$1:$S$500,MATCH("såld värme (gwh)",Leveranser!$B$1:$S$1,0),FALSE))</f>
        <v>1.226</v>
      </c>
      <c r="AM167" s="227" t="str">
        <f>IF(B167&lt;&gt;"",IF(VLOOKUP($B167,Totalt!$B$1:$AQ$554,MATCH("Kvalitetsgranskad:",Totalt!$B$1:$AQ$1,0),FALSE)="ja",VLOOKUP($B167,Miljö!$B$1:$AG$479,MATCH(AM$2,Miljö!$B$1:$AK$1,0),FALSE),""),"")</f>
        <v>Ja</v>
      </c>
      <c r="AN167" s="227" t="str">
        <f>IF(AM167="ja",VLOOKUP($B167,Miljö!$B$1:$J$479,MATCH("Typ av ursprungsspecificerad el   (Om inget värde anges används Nordisk residualmix, se inforuta) ()",Miljö!$B$1:$J$1,0),FALSE),IF(AM167="nej","Nordisk residualel",""))</f>
        <v>'Bramiljöval'</v>
      </c>
      <c r="AO167" s="227">
        <f>IF(AM167="","",VLOOKUP($B167,Miljö!$B$1:$J$479,MATCH("Fossilandel för ursprungspecificerad el ()",Miljö!$B$1:$J$1,0),FALSE))</f>
        <v>0</v>
      </c>
      <c r="AP167" s="227">
        <f>IF(AM167="","",IFERROR(VLOOKUP($B167,Miljö!$B$1:$J$479,MATCH("Kärnkraftsandel för ursprungsspecificerad el ()",Miljö!$B$1:$J$1,0),FALSE)/1,0))</f>
        <v>0</v>
      </c>
      <c r="AQ167" s="227">
        <f t="shared" si="13"/>
        <v>1</v>
      </c>
      <c r="AR167" s="227"/>
      <c r="AS167" s="227" t="str">
        <f t="shared" si="14"/>
        <v>Nej</v>
      </c>
      <c r="AT167" s="227" t="str">
        <f>IF(AS167="ja",VLOOKUP($B167,Miljö!$B$1:$O$500,MATCH("Fossil andel i procent (%)",Miljö!$B$1:$O$1,0),FALSE)/100,"")</f>
        <v/>
      </c>
      <c r="AU167" s="227"/>
      <c r="AV167" s="227" t="str">
        <f t="shared" si="15"/>
        <v>Nej</v>
      </c>
      <c r="AW167" s="227" t="str">
        <f>IF(AV167="ja",VLOOKUP($B167,'Egen hetvattenprod'!$B$1:$AO$500,MATCH("Värmekälla till värmepumpar ()",'Egen hetvattenprod'!$B$1:$AO$1,0),FALSE),"")</f>
        <v/>
      </c>
      <c r="AX167" s="227"/>
      <c r="AY167" s="227" t="str">
        <f t="shared" si="16"/>
        <v>Nej</v>
      </c>
      <c r="AZ167" s="228" t="str">
        <f>IF($AY167="ja",(VLOOKUP($B167,'Egen hetvattenprod'!$B$1:$BX$550,MATCH(AZ$2,'Egen hetvattenprod'!$B$1:$BX$1,0),FALSE)+VLOOKUP($B167,Kraftvärmeprod!$B$1:$BX$550,MATCH(AZ$2,Kraftvärmeprod!$B$1:$BX$1,0),FALSE))/$AC167,"")</f>
        <v/>
      </c>
      <c r="BA167" s="228" t="str">
        <f>IF($AY167="ja",(VLOOKUP($B167,'Egen hetvattenprod'!$B$1:$BX$550,MATCH(BA$2,'Egen hetvattenprod'!$B$1:$BX$1,0),FALSE)+VLOOKUP($B167,Kraftvärmeprod!$B$1:$BX$550,MATCH(BA$2,Kraftvärmeprod!$B$1:$BX$1,0),FALSE))/$AC167,"")</f>
        <v/>
      </c>
      <c r="BB167" s="228" t="str">
        <f>IF($AY167="ja",(VLOOKUP($B167,'Egen hetvattenprod'!$B$1:$BX$550,MATCH(BB$2,'Egen hetvattenprod'!$B$1:$BX$1,0),FALSE)+VLOOKUP($B167,Kraftvärmeprod!$B$1:$BX$550,MATCH(BB$2,Kraftvärmeprod!$B$1:$BX$1,0),FALSE))/$AC167,"")</f>
        <v/>
      </c>
      <c r="BC167" s="228" t="str">
        <f>IF($AY167="ja",(VLOOKUP($B167,'Egen hetvattenprod'!$B$1:$BX$550,MATCH(BC$2,'Egen hetvattenprod'!$B$1:$BX$1,0),FALSE)+VLOOKUP($B167,Kraftvärmeprod!$B$1:$BX$550,MATCH(BC$2,Kraftvärmeprod!$B$1:$BX$1,0),FALSE))/$AC167,"")</f>
        <v/>
      </c>
      <c r="BD167" s="228" t="str">
        <f>IF($AY167="ja",(VLOOKUP($B167,'Egen hetvattenprod'!$B$1:$BX$550,MATCH(BD$2,'Egen hetvattenprod'!$B$1:$BX$1,0),FALSE)+VLOOKUP($B167,Kraftvärmeprod!$B$1:$BX$550,MATCH(BD$2,Kraftvärmeprod!$B$1:$BX$1,0),FALSE))/$AC167,"")</f>
        <v/>
      </c>
      <c r="BE167" s="227"/>
      <c r="BF167" s="227" t="str">
        <f t="shared" si="17"/>
        <v>Nej</v>
      </c>
      <c r="BG167" s="227" t="str">
        <f>IF($BF167="ja",VLOOKUP($B167,'Egen hetvattenprod'!$B$1:$BX$550,MATCH("Andelen klimatgaser med fossilt ursprung för avfall ()",'Egen hetvattenprod'!$B$1:$BX$1,0),FALSE),"")</f>
        <v/>
      </c>
      <c r="BH167" s="227" t="str">
        <f>IF($BF167="ja",VLOOKUP($B167,Kraftvärmeprod!$B$1:$BX$550,MATCH("Andelen klimatgaser med fossilt ursprung för avfall ()",Kraftvärmeprod!$B$1:$BX$1,0),FALSE),"")</f>
        <v/>
      </c>
      <c r="BI167" s="227" t="str">
        <f>IF($BF167="ja",VLOOKUP($B167,'Egen hetvattenprod'!$B$1:$BX$550,MATCH("Avfall (GWh)",'Egen hetvattenprod'!$B$1:$BX$1,0),FALSE),"")</f>
        <v/>
      </c>
      <c r="BJ167" s="227" t="str">
        <f>IF($BF167="ja",VLOOKUP($B167,'Slutlig allokering kvv'!$B$1:$BX$550,MATCH("Avfall (GWh)",'Slutlig allokering kvv'!$B$1:$BX$1,0),FALSE),"")</f>
        <v/>
      </c>
      <c r="BK167" s="227" t="str">
        <f>IF($BF167="ja",VLOOKUP($B167,'Köpt hetvatten'!$B$1:$BX$550,MATCH("Avfall i köpt hetvatten",'Köpt hetvatten'!$B$1:$BX$1,0),FALSE),"")</f>
        <v/>
      </c>
      <c r="BL167" s="227" t="str">
        <f>IF($BF167="ja",VLOOKUP($B167,'Egen hetvattenprod'!$B$1:$BX$550,MATCH("Värde enligt ovan. (%)",'Egen hetvattenprod'!$B$1:$BX$1,0),FALSE),"")</f>
        <v/>
      </c>
      <c r="BM167" s="227" t="str">
        <f>IF($BF167="ja",VLOOKUP($B167,Kraftvärmeprod!$B$1:$BX$550,MATCH("Värde enligt ovan. (%)",Kraftvärmeprod!$B$1:$BX$1,0),FALSE),"")</f>
        <v/>
      </c>
      <c r="BN167" s="227"/>
      <c r="BO167" s="227"/>
      <c r="BP167" s="227"/>
      <c r="BQ167" s="227" t="str">
        <f>IF($BF167="ja",VLOOKUP($B167,'Egen hetvattenprod'!$B$1:$BX$550,MATCH("Tillförd olja (fossil) vid avfallsförbränning (GWh)",'Egen hetvattenprod'!$B$1:$BX$1,0),FALSE),"")</f>
        <v/>
      </c>
      <c r="BR167" s="227" t="str">
        <f>IF($BF167="ja",VLOOKUP($B167,Kraftvärmeprod!$B$1:$BX$550,MATCH("Tillförd olja (fossil) vid avfallsförbränning (GWh)",Kraftvärmeprod!$B$1:$BX$1,0),FALSE),"")</f>
        <v/>
      </c>
      <c r="BS167" s="227"/>
      <c r="BT167" s="227"/>
      <c r="BU167" s="227"/>
    </row>
    <row r="168" spans="1:73" x14ac:dyDescent="0.25">
      <c r="A168" s="121" t="str">
        <f>'Miljövärden för publ företag'!B171</f>
        <v>Mjölby-Svartådalen Energi AB</v>
      </c>
      <c r="B168" s="121" t="str">
        <f>'Miljövärden för publ företag'!C171</f>
        <v>Mjölby</v>
      </c>
      <c r="C168" s="173">
        <f>IFERROR(VLOOKUP($B168,Totalt!$B$1:$AQ$554,MATCH(C$2,Totalt!$B$1:$AQ$1,0),FALSE),"")</f>
        <v>0</v>
      </c>
      <c r="D168" s="173">
        <f>IFERROR(VLOOKUP($B168,Totalt!$B$1:$AQ$554,MATCH(D$2,Totalt!$B$1:$AQ$1,0),FALSE),"")</f>
        <v>0.79581999999999997</v>
      </c>
      <c r="E168" s="173">
        <f>IFERROR(VLOOKUP($B168,Totalt!$B$1:$AQ$554,MATCH(E$2,Totalt!$B$1:$AQ$1,0),FALSE),"")</f>
        <v>0</v>
      </c>
      <c r="F168" s="173">
        <f>IFERROR(VLOOKUP($B168,Totalt!$B$1:$AQ$554,MATCH(F$2,Totalt!$B$1:$AQ$1,0),FALSE),"")</f>
        <v>0</v>
      </c>
      <c r="G168" s="173">
        <f>IFERROR(VLOOKUP($B168,Totalt!$B$1:$AQ$554,MATCH(G$2,Totalt!$B$1:$AQ$1,0),FALSE),"")</f>
        <v>0</v>
      </c>
      <c r="H168" s="173">
        <f>IFERROR(VLOOKUP($B168,Totalt!$B$1:$AQ$554,MATCH(H$2,Totalt!$B$1:$AQ$1,0),FALSE),"")</f>
        <v>0</v>
      </c>
      <c r="I168" s="173">
        <f>IFERROR(VLOOKUP($B168,Totalt!$B$1:$AQ$554,MATCH(I$2,Totalt!$B$1:$AQ$1,0),FALSE),"")</f>
        <v>0</v>
      </c>
      <c r="J168" s="173">
        <f>IFERROR(VLOOKUP($B168,Totalt!$B$1:$AQ$554,MATCH(J$2,Totalt!$B$1:$AQ$1,0),FALSE),"")</f>
        <v>0</v>
      </c>
      <c r="K168" s="173">
        <f>IFERROR(VLOOKUP($B168,Totalt!$B$1:$AQ$554,MATCH(K$2,Totalt!$B$1:$AQ$1,0),FALSE),"")</f>
        <v>0</v>
      </c>
      <c r="L168" s="173">
        <f>IFERROR(VLOOKUP($B168,Totalt!$B$1:$AQ$554,MATCH(L$2,Totalt!$B$1:$AQ$1,0),FALSE),"")</f>
        <v>0</v>
      </c>
      <c r="M168" s="173">
        <f>IFERROR(VLOOKUP($B168,Totalt!$B$1:$AQ$554,MATCH(M$2,Totalt!$B$1:$AQ$1,0),FALSE),"")</f>
        <v>5.3</v>
      </c>
      <c r="N168" s="173">
        <f>IFERROR(VLOOKUP($B168,Totalt!$B$1:$AQ$554,MATCH(N$2,Totalt!$B$1:$AQ$1,0),FALSE),"")</f>
        <v>102.167</v>
      </c>
      <c r="O168" s="173">
        <f>IFERROR(VLOOKUP($B168,Totalt!$B$1:$AQ$554,MATCH(O$2,Totalt!$B$1:$AQ$1,0),FALSE),"")</f>
        <v>5.3</v>
      </c>
      <c r="P168" s="173">
        <f>IFERROR(VLOOKUP($B168,Totalt!$B$1:$AQ$554,MATCH(P$2,Totalt!$B$1:$AQ$1,0),FALSE),"")</f>
        <v>16.1493</v>
      </c>
      <c r="Q168" s="173">
        <f>IFERROR(VLOOKUP($B168,Totalt!$B$1:$AQ$554,MATCH(Q$2,Totalt!$B$1:$AQ$1,0),FALSE),"")</f>
        <v>9.4117599999999992</v>
      </c>
      <c r="R168" s="173">
        <f>IFERROR(VLOOKUP($B168,Totalt!$B$1:$AQ$554,MATCH(R$2,Totalt!$B$1:$AQ$1,0),FALSE),"")</f>
        <v>0</v>
      </c>
      <c r="S168" s="173">
        <f>IFERROR(VLOOKUP($B168,Totalt!$B$1:$AQ$554,MATCH(S$2,Totalt!$B$1:$AQ$1,0),FALSE),"")</f>
        <v>0</v>
      </c>
      <c r="T168" s="173">
        <f>IFERROR(VLOOKUP($B168,Totalt!$B$1:$AQ$554,MATCH(T$2,Totalt!$B$1:$AQ$1,0),FALSE),"")</f>
        <v>0</v>
      </c>
      <c r="U168" s="173">
        <f>IFERROR(VLOOKUP($B168,Totalt!$B$1:$AQ$554,MATCH(U$2,Totalt!$B$1:$AQ$1,0),FALSE),"")</f>
        <v>0</v>
      </c>
      <c r="V168" s="173">
        <f>IFERROR(VLOOKUP($B168,Totalt!$B$1:$AQ$554,MATCH(V$2,Totalt!$B$1:$AQ$1,0),FALSE),"")</f>
        <v>0</v>
      </c>
      <c r="W168" s="173">
        <f>IFERROR(VLOOKUP($B168,Totalt!$B$1:$AQ$554,MATCH(W$2,Totalt!$B$1:$AQ$1,0),FALSE),"")</f>
        <v>0</v>
      </c>
      <c r="X168" s="173">
        <f>IFERROR(VLOOKUP($B168,Totalt!$B$1:$AQ$554,MATCH(X$2,Totalt!$B$1:$AQ$1,0),FALSE),"")</f>
        <v>0</v>
      </c>
      <c r="Y168" s="173">
        <f>IFERROR(VLOOKUP($B168,Totalt!$B$1:$AQ$554,MATCH(Y$2,Totalt!$B$1:$AQ$1,0),FALSE),"")</f>
        <v>0</v>
      </c>
      <c r="Z168" s="173">
        <f>IFERROR(VLOOKUP($B168,Totalt!$B$1:$AQ$554,MATCH(Z$2,Totalt!$B$1:$AQ$1,0),FALSE),"")</f>
        <v>0</v>
      </c>
      <c r="AA168" s="173">
        <f>IFERROR(VLOOKUP($B168,Totalt!$B$1:$AQ$554,MATCH(AA$2,Totalt!$B$1:$AQ$1,0),FALSE),"")</f>
        <v>0</v>
      </c>
      <c r="AB168" s="173">
        <f>IFERROR(VLOOKUP($B168,Totalt!$B$1:$AQ$554,MATCH(AB$2,Totalt!$B$1:$AQ$1,0),FALSE),"")</f>
        <v>0</v>
      </c>
      <c r="AC168" s="173">
        <f>IFERROR(VLOOKUP($B168,Totalt!$B$1:$AQ$554,MATCH(AC$2,Totalt!$B$1:$AQ$1,0),FALSE),"")</f>
        <v>0</v>
      </c>
      <c r="AD168" s="173">
        <f>IFERROR(VLOOKUP($B168,Totalt!$B$1:$AQ$554,MATCH(AD$2,Totalt!$B$1:$AQ$1,0),FALSE),"")</f>
        <v>0</v>
      </c>
      <c r="AE168" s="173">
        <f>IFERROR(VLOOKUP($B168,Totalt!$B$1:$AQ$554,MATCH(AE$2,Totalt!$B$1:$AQ$1,0),FALSE),"")</f>
        <v>0</v>
      </c>
      <c r="AF168" s="173">
        <f>IFERROR(VLOOKUP($B168,Totalt!$B$1:$AQ$554,MATCH(AF$2,Totalt!$B$1:$AQ$1,0),FALSE),"")</f>
        <v>5.0341699999999996</v>
      </c>
      <c r="AG168" s="173">
        <f>IFERROR(VLOOKUP($B168,Totalt!$B$1:$AQ$554,MATCH(AG$2,Totalt!$B$1:$AQ$1,0),FALSE),"")</f>
        <v>68.900000000000006</v>
      </c>
      <c r="AI168" s="226">
        <f t="shared" si="12"/>
        <v>213.05804999999998</v>
      </c>
      <c r="AJ168" s="226">
        <f>IF(ISERROR(1/VLOOKUP($B168,Leveranser!$B$1:$S$500,MATCH("såld värme (gwh)",Leveranser!$B$1:$S$1,0),FALSE)),"",VLOOKUP($B168,Leveranser!$B$1:$S$500,MATCH("såld värme (gwh)",Leveranser!$B$1:$S$1,0),FALSE))</f>
        <v>176.1</v>
      </c>
      <c r="AM168" s="227" t="str">
        <f>IF(B168&lt;&gt;"",IF(VLOOKUP($B168,Totalt!$B$1:$AQ$554,MATCH("Kvalitetsgranskad:",Totalt!$B$1:$AQ$1,0),FALSE)="ja",VLOOKUP($B168,Miljö!$B$1:$AG$479,MATCH(AM$2,Miljö!$B$1:$AK$1,0),FALSE),""),"")</f>
        <v>Ja</v>
      </c>
      <c r="AN168" s="227" t="str">
        <f>IF(AM168="ja",VLOOKUP($B168,Miljö!$B$1:$J$479,MATCH("Typ av ursprungsspecificerad el   (Om inget värde anges används Nordisk residualmix, se inforuta) ()",Miljö!$B$1:$J$1,0),FALSE),IF(AM168="nej","Nordisk residualel",""))</f>
        <v>'Nordisk mix för inköpt el'</v>
      </c>
      <c r="AO168" s="227">
        <f>IF(AM168="","",VLOOKUP($B168,Miljö!$B$1:$J$479,MATCH("Fossilandel för ursprungspecificerad el ()",Miljö!$B$1:$J$1,0),FALSE))</f>
        <v>0.08</v>
      </c>
      <c r="AP168" s="227">
        <f>IF(AM168="","",IFERROR(VLOOKUP($B168,Miljö!$B$1:$J$479,MATCH("Kärnkraftsandel för ursprungsspecificerad el ()",Miljö!$B$1:$J$1,0),FALSE)/1,0))</f>
        <v>0.08</v>
      </c>
      <c r="AQ168" s="227">
        <f t="shared" si="13"/>
        <v>0.84000000000000008</v>
      </c>
      <c r="AR168" s="227"/>
      <c r="AS168" s="227" t="str">
        <f t="shared" si="14"/>
        <v>Ja</v>
      </c>
      <c r="AT168" s="227">
        <f>IF(AS168="ja",VLOOKUP($B168,Miljö!$B$1:$O$500,MATCH("Fossil andel i procent (%)",Miljö!$B$1:$O$1,0),FALSE)/100,"")</f>
        <v>4.2999999999999997E-2</v>
      </c>
      <c r="AU168" s="227"/>
      <c r="AV168" s="227" t="str">
        <f t="shared" si="15"/>
        <v>Nej</v>
      </c>
      <c r="AW168" s="227" t="str">
        <f>IF(AV168="ja",VLOOKUP($B168,'Egen hetvattenprod'!$B$1:$AO$500,MATCH("Värmekälla till värmepumpar ()",'Egen hetvattenprod'!$B$1:$AO$1,0),FALSE),"")</f>
        <v/>
      </c>
      <c r="AX168" s="227"/>
      <c r="AY168" s="227" t="str">
        <f t="shared" si="16"/>
        <v>Nej</v>
      </c>
      <c r="AZ168" s="228" t="str">
        <f>IF($AY168="ja",(VLOOKUP($B168,'Egen hetvattenprod'!$B$1:$BX$550,MATCH(AZ$2,'Egen hetvattenprod'!$B$1:$BX$1,0),FALSE)+VLOOKUP($B168,Kraftvärmeprod!$B$1:$BX$550,MATCH(AZ$2,Kraftvärmeprod!$B$1:$BX$1,0),FALSE))/$AC168,"")</f>
        <v/>
      </c>
      <c r="BA168" s="228" t="str">
        <f>IF($AY168="ja",(VLOOKUP($B168,'Egen hetvattenprod'!$B$1:$BX$550,MATCH(BA$2,'Egen hetvattenprod'!$B$1:$BX$1,0),FALSE)+VLOOKUP($B168,Kraftvärmeprod!$B$1:$BX$550,MATCH(BA$2,Kraftvärmeprod!$B$1:$BX$1,0),FALSE))/$AC168,"")</f>
        <v/>
      </c>
      <c r="BB168" s="228" t="str">
        <f>IF($AY168="ja",(VLOOKUP($B168,'Egen hetvattenprod'!$B$1:$BX$550,MATCH(BB$2,'Egen hetvattenprod'!$B$1:$BX$1,0),FALSE)+VLOOKUP($B168,Kraftvärmeprod!$B$1:$BX$550,MATCH(BB$2,Kraftvärmeprod!$B$1:$BX$1,0),FALSE))/$AC168,"")</f>
        <v/>
      </c>
      <c r="BC168" s="228" t="str">
        <f>IF($AY168="ja",(VLOOKUP($B168,'Egen hetvattenprod'!$B$1:$BX$550,MATCH(BC$2,'Egen hetvattenprod'!$B$1:$BX$1,0),FALSE)+VLOOKUP($B168,Kraftvärmeprod!$B$1:$BX$550,MATCH(BC$2,Kraftvärmeprod!$B$1:$BX$1,0),FALSE))/$AC168,"")</f>
        <v/>
      </c>
      <c r="BD168" s="228" t="str">
        <f>IF($AY168="ja",(VLOOKUP($B168,'Egen hetvattenprod'!$B$1:$BX$550,MATCH(BD$2,'Egen hetvattenprod'!$B$1:$BX$1,0),FALSE)+VLOOKUP($B168,Kraftvärmeprod!$B$1:$BX$550,MATCH(BD$2,Kraftvärmeprod!$B$1:$BX$1,0),FALSE))/$AC168,"")</f>
        <v/>
      </c>
      <c r="BE168" s="227"/>
      <c r="BF168" s="227" t="str">
        <f t="shared" si="17"/>
        <v>Nej</v>
      </c>
      <c r="BG168" s="227" t="str">
        <f>IF($BF168="ja",VLOOKUP($B168,'Egen hetvattenprod'!$B$1:$BX$550,MATCH("Andelen klimatgaser med fossilt ursprung för avfall ()",'Egen hetvattenprod'!$B$1:$BX$1,0),FALSE),"")</f>
        <v/>
      </c>
      <c r="BH168" s="227" t="str">
        <f>IF($BF168="ja",VLOOKUP($B168,Kraftvärmeprod!$B$1:$BX$550,MATCH("Andelen klimatgaser med fossilt ursprung för avfall ()",Kraftvärmeprod!$B$1:$BX$1,0),FALSE),"")</f>
        <v/>
      </c>
      <c r="BI168" s="227" t="str">
        <f>IF($BF168="ja",VLOOKUP($B168,'Egen hetvattenprod'!$B$1:$BX$550,MATCH("Avfall (GWh)",'Egen hetvattenprod'!$B$1:$BX$1,0),FALSE),"")</f>
        <v/>
      </c>
      <c r="BJ168" s="227" t="str">
        <f>IF($BF168="ja",VLOOKUP($B168,'Slutlig allokering kvv'!$B$1:$BX$550,MATCH("Avfall (GWh)",'Slutlig allokering kvv'!$B$1:$BX$1,0),FALSE),"")</f>
        <v/>
      </c>
      <c r="BK168" s="227" t="str">
        <f>IF($BF168="ja",VLOOKUP($B168,'Köpt hetvatten'!$B$1:$BX$550,MATCH("Avfall i köpt hetvatten",'Köpt hetvatten'!$B$1:$BX$1,0),FALSE),"")</f>
        <v/>
      </c>
      <c r="BL168" s="227" t="str">
        <f>IF($BF168="ja",VLOOKUP($B168,'Egen hetvattenprod'!$B$1:$BX$550,MATCH("Värde enligt ovan. (%)",'Egen hetvattenprod'!$B$1:$BX$1,0),FALSE),"")</f>
        <v/>
      </c>
      <c r="BM168" s="227" t="str">
        <f>IF($BF168="ja",VLOOKUP($B168,Kraftvärmeprod!$B$1:$BX$550,MATCH("Värde enligt ovan. (%)",Kraftvärmeprod!$B$1:$BX$1,0),FALSE),"")</f>
        <v/>
      </c>
      <c r="BN168" s="227"/>
      <c r="BO168" s="227"/>
      <c r="BP168" s="227"/>
      <c r="BQ168" s="227" t="str">
        <f>IF($BF168="ja",VLOOKUP($B168,'Egen hetvattenprod'!$B$1:$BX$550,MATCH("Tillförd olja (fossil) vid avfallsförbränning (GWh)",'Egen hetvattenprod'!$B$1:$BX$1,0),FALSE),"")</f>
        <v/>
      </c>
      <c r="BR168" s="227" t="str">
        <f>IF($BF168="ja",VLOOKUP($B168,Kraftvärmeprod!$B$1:$BX$550,MATCH("Tillförd olja (fossil) vid avfallsförbränning (GWh)",Kraftvärmeprod!$B$1:$BX$1,0),FALSE),"")</f>
        <v/>
      </c>
      <c r="BS168" s="227"/>
      <c r="BT168" s="227"/>
      <c r="BU168" s="227"/>
    </row>
    <row r="169" spans="1:73" x14ac:dyDescent="0.25">
      <c r="A169" s="121" t="str">
        <f>'Miljövärden för publ företag'!B172</f>
        <v>Mullsjö Energi &amp; Miljö AB</v>
      </c>
      <c r="B169" s="121" t="str">
        <f>'Miljövärden för publ företag'!C172</f>
        <v>Mullsjö</v>
      </c>
      <c r="C169" s="173">
        <f>IFERROR(VLOOKUP($B169,Totalt!$B$1:$AQ$554,MATCH(C$2,Totalt!$B$1:$AQ$1,0),FALSE),"")</f>
        <v>0</v>
      </c>
      <c r="D169" s="173">
        <f>IFERROR(VLOOKUP($B169,Totalt!$B$1:$AQ$554,MATCH(D$2,Totalt!$B$1:$AQ$1,0),FALSE),"")</f>
        <v>0</v>
      </c>
      <c r="E169" s="173">
        <f>IFERROR(VLOOKUP($B169,Totalt!$B$1:$AQ$554,MATCH(E$2,Totalt!$B$1:$AQ$1,0),FALSE),"")</f>
        <v>0</v>
      </c>
      <c r="F169" s="173">
        <f>IFERROR(VLOOKUP($B169,Totalt!$B$1:$AQ$554,MATCH(F$2,Totalt!$B$1:$AQ$1,0),FALSE),"")</f>
        <v>0</v>
      </c>
      <c r="G169" s="173">
        <f>IFERROR(VLOOKUP($B169,Totalt!$B$1:$AQ$554,MATCH(G$2,Totalt!$B$1:$AQ$1,0),FALSE),"")</f>
        <v>0</v>
      </c>
      <c r="H169" s="173">
        <f>IFERROR(VLOOKUP($B169,Totalt!$B$1:$AQ$554,MATCH(H$2,Totalt!$B$1:$AQ$1,0),FALSE),"")</f>
        <v>0</v>
      </c>
      <c r="I169" s="173">
        <f>IFERROR(VLOOKUP($B169,Totalt!$B$1:$AQ$554,MATCH(I$2,Totalt!$B$1:$AQ$1,0),FALSE),"")</f>
        <v>0</v>
      </c>
      <c r="J169" s="173">
        <f>IFERROR(VLOOKUP($B169,Totalt!$B$1:$AQ$554,MATCH(J$2,Totalt!$B$1:$AQ$1,0),FALSE),"")</f>
        <v>0</v>
      </c>
      <c r="K169" s="173">
        <f>IFERROR(VLOOKUP($B169,Totalt!$B$1:$AQ$554,MATCH(K$2,Totalt!$B$1:$AQ$1,0),FALSE),"")</f>
        <v>0</v>
      </c>
      <c r="L169" s="173">
        <f>IFERROR(VLOOKUP($B169,Totalt!$B$1:$AQ$554,MATCH(L$2,Totalt!$B$1:$AQ$1,0),FALSE),"")</f>
        <v>0</v>
      </c>
      <c r="M169" s="173">
        <f>IFERROR(VLOOKUP($B169,Totalt!$B$1:$AQ$554,MATCH(M$2,Totalt!$B$1:$AQ$1,0),FALSE),"")</f>
        <v>0</v>
      </c>
      <c r="N169" s="173">
        <f>IFERROR(VLOOKUP($B169,Totalt!$B$1:$AQ$554,MATCH(N$2,Totalt!$B$1:$AQ$1,0),FALSE),"")</f>
        <v>0</v>
      </c>
      <c r="O169" s="173">
        <f>IFERROR(VLOOKUP($B169,Totalt!$B$1:$AQ$554,MATCH(O$2,Totalt!$B$1:$AQ$1,0),FALSE),"")</f>
        <v>0</v>
      </c>
      <c r="P169" s="173">
        <f>IFERROR(VLOOKUP($B169,Totalt!$B$1:$AQ$554,MATCH(P$2,Totalt!$B$1:$AQ$1,0),FALSE),"")</f>
        <v>22.1</v>
      </c>
      <c r="Q169" s="173">
        <f>IFERROR(VLOOKUP($B169,Totalt!$B$1:$AQ$554,MATCH(Q$2,Totalt!$B$1:$AQ$1,0),FALSE),"")</f>
        <v>0</v>
      </c>
      <c r="R169" s="173">
        <f>IFERROR(VLOOKUP($B169,Totalt!$B$1:$AQ$554,MATCH(R$2,Totalt!$B$1:$AQ$1,0),FALSE),"")</f>
        <v>4.3</v>
      </c>
      <c r="S169" s="173">
        <f>IFERROR(VLOOKUP($B169,Totalt!$B$1:$AQ$554,MATCH(S$2,Totalt!$B$1:$AQ$1,0),FALSE),"")</f>
        <v>0</v>
      </c>
      <c r="T169" s="173">
        <f>IFERROR(VLOOKUP($B169,Totalt!$B$1:$AQ$554,MATCH(T$2,Totalt!$B$1:$AQ$1,0),FALSE),"")</f>
        <v>0</v>
      </c>
      <c r="U169" s="173">
        <f>IFERROR(VLOOKUP($B169,Totalt!$B$1:$AQ$554,MATCH(U$2,Totalt!$B$1:$AQ$1,0),FALSE),"")</f>
        <v>0</v>
      </c>
      <c r="V169" s="173">
        <f>IFERROR(VLOOKUP($B169,Totalt!$B$1:$AQ$554,MATCH(V$2,Totalt!$B$1:$AQ$1,0),FALSE),"")</f>
        <v>0</v>
      </c>
      <c r="W169" s="173">
        <f>IFERROR(VLOOKUP($B169,Totalt!$B$1:$AQ$554,MATCH(W$2,Totalt!$B$1:$AQ$1,0),FALSE),"")</f>
        <v>0</v>
      </c>
      <c r="X169" s="173">
        <f>IFERROR(VLOOKUP($B169,Totalt!$B$1:$AQ$554,MATCH(X$2,Totalt!$B$1:$AQ$1,0),FALSE),"")</f>
        <v>0</v>
      </c>
      <c r="Y169" s="173">
        <f>IFERROR(VLOOKUP($B169,Totalt!$B$1:$AQ$554,MATCH(Y$2,Totalt!$B$1:$AQ$1,0),FALSE),"")</f>
        <v>0</v>
      </c>
      <c r="Z169" s="173">
        <f>IFERROR(VLOOKUP($B169,Totalt!$B$1:$AQ$554,MATCH(Z$2,Totalt!$B$1:$AQ$1,0),FALSE),"")</f>
        <v>0</v>
      </c>
      <c r="AA169" s="173">
        <f>IFERROR(VLOOKUP($B169,Totalt!$B$1:$AQ$554,MATCH(AA$2,Totalt!$B$1:$AQ$1,0),FALSE),"")</f>
        <v>0</v>
      </c>
      <c r="AB169" s="173">
        <f>IFERROR(VLOOKUP($B169,Totalt!$B$1:$AQ$554,MATCH(AB$2,Totalt!$B$1:$AQ$1,0),FALSE),"")</f>
        <v>0</v>
      </c>
      <c r="AC169" s="173">
        <f>IFERROR(VLOOKUP($B169,Totalt!$B$1:$AQ$554,MATCH(AC$2,Totalt!$B$1:$AQ$1,0),FALSE),"")</f>
        <v>0</v>
      </c>
      <c r="AD169" s="173">
        <f>IFERROR(VLOOKUP($B169,Totalt!$B$1:$AQ$554,MATCH(AD$2,Totalt!$B$1:$AQ$1,0),FALSE),"")</f>
        <v>0</v>
      </c>
      <c r="AE169" s="173">
        <f>IFERROR(VLOOKUP($B169,Totalt!$B$1:$AQ$554,MATCH(AE$2,Totalt!$B$1:$AQ$1,0),FALSE),"")</f>
        <v>0</v>
      </c>
      <c r="AF169" s="173">
        <f>IFERROR(VLOOKUP($B169,Totalt!$B$1:$AQ$554,MATCH(AF$2,Totalt!$B$1:$AQ$1,0),FALSE),"")</f>
        <v>0.26</v>
      </c>
      <c r="AG169" s="173">
        <f>IFERROR(VLOOKUP($B169,Totalt!$B$1:$AQ$554,MATCH(AG$2,Totalt!$B$1:$AQ$1,0),FALSE),"")</f>
        <v>0</v>
      </c>
      <c r="AI169" s="226">
        <f t="shared" si="12"/>
        <v>26.660000000000004</v>
      </c>
      <c r="AJ169" s="226">
        <f>IF(ISERROR(1/VLOOKUP($B169,Leveranser!$B$1:$S$500,MATCH("såld värme (gwh)",Leveranser!$B$1:$S$1,0),FALSE)),"",VLOOKUP($B169,Leveranser!$B$1:$S$500,MATCH("såld värme (gwh)",Leveranser!$B$1:$S$1,0),FALSE))</f>
        <v>17.8</v>
      </c>
      <c r="AM169" s="227" t="str">
        <f>IF(B169&lt;&gt;"",IF(VLOOKUP($B169,Totalt!$B$1:$AQ$554,MATCH("Kvalitetsgranskad:",Totalt!$B$1:$AQ$1,0),FALSE)="ja",VLOOKUP($B169,Miljö!$B$1:$AG$479,MATCH(AM$2,Miljö!$B$1:$AK$1,0),FALSE),""),"")</f>
        <v>Nej</v>
      </c>
      <c r="AN169" s="227" t="str">
        <f>IF(AM169="ja",VLOOKUP($B169,Miljö!$B$1:$J$479,MATCH("Typ av ursprungsspecificerad el   (Om inget värde anges används Nordisk residualmix, se inforuta) ()",Miljö!$B$1:$J$1,0),FALSE),IF(AM169="nej","Nordisk residualel",""))</f>
        <v>Nordisk residualel</v>
      </c>
      <c r="AO169" s="227">
        <f>IF(AM169="","",VLOOKUP($B169,Miljö!$B$1:$J$479,MATCH("Fossilandel för ursprungspecificerad el ()",Miljö!$B$1:$J$1,0),FALSE))</f>
        <v>0.43</v>
      </c>
      <c r="AP169" s="227">
        <f>IF(AM169="","",IFERROR(VLOOKUP($B169,Miljö!$B$1:$J$479,MATCH("Kärnkraftsandel för ursprungsspecificerad el ()",Miljö!$B$1:$J$1,0),FALSE)/1,0))</f>
        <v>0.40550000000000003</v>
      </c>
      <c r="AQ169" s="227">
        <f t="shared" si="13"/>
        <v>0.16450000000000004</v>
      </c>
      <c r="AR169" s="227"/>
      <c r="AS169" s="227" t="str">
        <f t="shared" si="14"/>
        <v>Nej</v>
      </c>
      <c r="AT169" s="227" t="str">
        <f>IF(AS169="ja",VLOOKUP($B169,Miljö!$B$1:$O$500,MATCH("Fossil andel i procent (%)",Miljö!$B$1:$O$1,0),FALSE)/100,"")</f>
        <v/>
      </c>
      <c r="AU169" s="227"/>
      <c r="AV169" s="227" t="str">
        <f t="shared" si="15"/>
        <v>Nej</v>
      </c>
      <c r="AW169" s="227" t="str">
        <f>IF(AV169="ja",VLOOKUP($B169,'Egen hetvattenprod'!$B$1:$AO$500,MATCH("Värmekälla till värmepumpar ()",'Egen hetvattenprod'!$B$1:$AO$1,0),FALSE),"")</f>
        <v/>
      </c>
      <c r="AX169" s="227"/>
      <c r="AY169" s="227" t="str">
        <f t="shared" si="16"/>
        <v>Nej</v>
      </c>
      <c r="AZ169" s="228" t="str">
        <f>IF($AY169="ja",(VLOOKUP($B169,'Egen hetvattenprod'!$B$1:$BX$550,MATCH(AZ$2,'Egen hetvattenprod'!$B$1:$BX$1,0),FALSE)+VLOOKUP($B169,Kraftvärmeprod!$B$1:$BX$550,MATCH(AZ$2,Kraftvärmeprod!$B$1:$BX$1,0),FALSE))/$AC169,"")</f>
        <v/>
      </c>
      <c r="BA169" s="228" t="str">
        <f>IF($AY169="ja",(VLOOKUP($B169,'Egen hetvattenprod'!$B$1:$BX$550,MATCH(BA$2,'Egen hetvattenprod'!$B$1:$BX$1,0),FALSE)+VLOOKUP($B169,Kraftvärmeprod!$B$1:$BX$550,MATCH(BA$2,Kraftvärmeprod!$B$1:$BX$1,0),FALSE))/$AC169,"")</f>
        <v/>
      </c>
      <c r="BB169" s="228" t="str">
        <f>IF($AY169="ja",(VLOOKUP($B169,'Egen hetvattenprod'!$B$1:$BX$550,MATCH(BB$2,'Egen hetvattenprod'!$B$1:$BX$1,0),FALSE)+VLOOKUP($B169,Kraftvärmeprod!$B$1:$BX$550,MATCH(BB$2,Kraftvärmeprod!$B$1:$BX$1,0),FALSE))/$AC169,"")</f>
        <v/>
      </c>
      <c r="BC169" s="228" t="str">
        <f>IF($AY169="ja",(VLOOKUP($B169,'Egen hetvattenprod'!$B$1:$BX$550,MATCH(BC$2,'Egen hetvattenprod'!$B$1:$BX$1,0),FALSE)+VLOOKUP($B169,Kraftvärmeprod!$B$1:$BX$550,MATCH(BC$2,Kraftvärmeprod!$B$1:$BX$1,0),FALSE))/$AC169,"")</f>
        <v/>
      </c>
      <c r="BD169" s="228" t="str">
        <f>IF($AY169="ja",(VLOOKUP($B169,'Egen hetvattenprod'!$B$1:$BX$550,MATCH(BD$2,'Egen hetvattenprod'!$B$1:$BX$1,0),FALSE)+VLOOKUP($B169,Kraftvärmeprod!$B$1:$BX$550,MATCH(BD$2,Kraftvärmeprod!$B$1:$BX$1,0),FALSE))/$AC169,"")</f>
        <v/>
      </c>
      <c r="BE169" s="227"/>
      <c r="BF169" s="227" t="str">
        <f t="shared" si="17"/>
        <v>Nej</v>
      </c>
      <c r="BG169" s="227" t="str">
        <f>IF($BF169="ja",VLOOKUP($B169,'Egen hetvattenprod'!$B$1:$BX$550,MATCH("Andelen klimatgaser med fossilt ursprung för avfall ()",'Egen hetvattenprod'!$B$1:$BX$1,0),FALSE),"")</f>
        <v/>
      </c>
      <c r="BH169" s="227" t="str">
        <f>IF($BF169="ja",VLOOKUP($B169,Kraftvärmeprod!$B$1:$BX$550,MATCH("Andelen klimatgaser med fossilt ursprung för avfall ()",Kraftvärmeprod!$B$1:$BX$1,0),FALSE),"")</f>
        <v/>
      </c>
      <c r="BI169" s="227" t="str">
        <f>IF($BF169="ja",VLOOKUP($B169,'Egen hetvattenprod'!$B$1:$BX$550,MATCH("Avfall (GWh)",'Egen hetvattenprod'!$B$1:$BX$1,0),FALSE),"")</f>
        <v/>
      </c>
      <c r="BJ169" s="227" t="str">
        <f>IF($BF169="ja",VLOOKUP($B169,'Slutlig allokering kvv'!$B$1:$BX$550,MATCH("Avfall (GWh)",'Slutlig allokering kvv'!$B$1:$BX$1,0),FALSE),"")</f>
        <v/>
      </c>
      <c r="BK169" s="227" t="str">
        <f>IF($BF169="ja",VLOOKUP($B169,'Köpt hetvatten'!$B$1:$BX$550,MATCH("Avfall i köpt hetvatten",'Köpt hetvatten'!$B$1:$BX$1,0),FALSE),"")</f>
        <v/>
      </c>
      <c r="BL169" s="227" t="str">
        <f>IF($BF169="ja",VLOOKUP($B169,'Egen hetvattenprod'!$B$1:$BX$550,MATCH("Värde enligt ovan. (%)",'Egen hetvattenprod'!$B$1:$BX$1,0),FALSE),"")</f>
        <v/>
      </c>
      <c r="BM169" s="227" t="str">
        <f>IF($BF169="ja",VLOOKUP($B169,Kraftvärmeprod!$B$1:$BX$550,MATCH("Värde enligt ovan. (%)",Kraftvärmeprod!$B$1:$BX$1,0),FALSE),"")</f>
        <v/>
      </c>
      <c r="BN169" s="227"/>
      <c r="BO169" s="227"/>
      <c r="BP169" s="227"/>
      <c r="BQ169" s="227" t="str">
        <f>IF($BF169="ja",VLOOKUP($B169,'Egen hetvattenprod'!$B$1:$BX$550,MATCH("Tillförd olja (fossil) vid avfallsförbränning (GWh)",'Egen hetvattenprod'!$B$1:$BX$1,0),FALSE),"")</f>
        <v/>
      </c>
      <c r="BR169" s="227" t="str">
        <f>IF($BF169="ja",VLOOKUP($B169,Kraftvärmeprod!$B$1:$BX$550,MATCH("Tillförd olja (fossil) vid avfallsförbränning (GWh)",Kraftvärmeprod!$B$1:$BX$1,0),FALSE),"")</f>
        <v/>
      </c>
      <c r="BS169" s="227"/>
      <c r="BT169" s="227"/>
      <c r="BU169" s="227"/>
    </row>
    <row r="170" spans="1:73" x14ac:dyDescent="0.25">
      <c r="A170" s="121" t="str">
        <f>'Miljövärden för publ företag'!B173</f>
        <v>Mälarenergi AB</v>
      </c>
      <c r="B170" s="121" t="str">
        <f>'Miljövärden för publ företag'!C173</f>
        <v>Kungsör</v>
      </c>
      <c r="C170" s="173">
        <f>IFERROR(VLOOKUP($B170,Totalt!$B$1:$AQ$554,MATCH(C$2,Totalt!$B$1:$AQ$1,0),FALSE),"")</f>
        <v>0</v>
      </c>
      <c r="D170" s="173">
        <f>IFERROR(VLOOKUP($B170,Totalt!$B$1:$AQ$554,MATCH(D$2,Totalt!$B$1:$AQ$1,0),FALSE),"")</f>
        <v>0.92</v>
      </c>
      <c r="E170" s="173">
        <f>IFERROR(VLOOKUP($B170,Totalt!$B$1:$AQ$554,MATCH(E$2,Totalt!$B$1:$AQ$1,0),FALSE),"")</f>
        <v>0</v>
      </c>
      <c r="F170" s="173">
        <f>IFERROR(VLOOKUP($B170,Totalt!$B$1:$AQ$554,MATCH(F$2,Totalt!$B$1:$AQ$1,0),FALSE),"")</f>
        <v>0</v>
      </c>
      <c r="G170" s="173">
        <f>IFERROR(VLOOKUP($B170,Totalt!$B$1:$AQ$554,MATCH(G$2,Totalt!$B$1:$AQ$1,0),FALSE),"")</f>
        <v>0</v>
      </c>
      <c r="H170" s="173">
        <f>IFERROR(VLOOKUP($B170,Totalt!$B$1:$AQ$554,MATCH(H$2,Totalt!$B$1:$AQ$1,0),FALSE),"")</f>
        <v>0</v>
      </c>
      <c r="I170" s="173">
        <f>IFERROR(VLOOKUP($B170,Totalt!$B$1:$AQ$554,MATCH(I$2,Totalt!$B$1:$AQ$1,0),FALSE),"")</f>
        <v>0</v>
      </c>
      <c r="J170" s="173">
        <f>IFERROR(VLOOKUP($B170,Totalt!$B$1:$AQ$554,MATCH(J$2,Totalt!$B$1:$AQ$1,0),FALSE),"")</f>
        <v>0</v>
      </c>
      <c r="K170" s="173">
        <f>IFERROR(VLOOKUP($B170,Totalt!$B$1:$AQ$554,MATCH(K$2,Totalt!$B$1:$AQ$1,0),FALSE),"")</f>
        <v>0</v>
      </c>
      <c r="L170" s="173">
        <f>IFERROR(VLOOKUP($B170,Totalt!$B$1:$AQ$554,MATCH(L$2,Totalt!$B$1:$AQ$1,0),FALSE),"")</f>
        <v>24.6</v>
      </c>
      <c r="M170" s="173">
        <f>IFERROR(VLOOKUP($B170,Totalt!$B$1:$AQ$554,MATCH(M$2,Totalt!$B$1:$AQ$1,0),FALSE),"")</f>
        <v>0</v>
      </c>
      <c r="N170" s="173">
        <f>IFERROR(VLOOKUP($B170,Totalt!$B$1:$AQ$554,MATCH(N$2,Totalt!$B$1:$AQ$1,0),FALSE),"")</f>
        <v>10.8</v>
      </c>
      <c r="O170" s="173">
        <f>IFERROR(VLOOKUP($B170,Totalt!$B$1:$AQ$554,MATCH(O$2,Totalt!$B$1:$AQ$1,0),FALSE),"")</f>
        <v>0</v>
      </c>
      <c r="P170" s="173">
        <f>IFERROR(VLOOKUP($B170,Totalt!$B$1:$AQ$554,MATCH(P$2,Totalt!$B$1:$AQ$1,0),FALSE),"")</f>
        <v>0</v>
      </c>
      <c r="Q170" s="173">
        <f>IFERROR(VLOOKUP($B170,Totalt!$B$1:$AQ$554,MATCH(Q$2,Totalt!$B$1:$AQ$1,0),FALSE),"")</f>
        <v>0</v>
      </c>
      <c r="R170" s="173">
        <f>IFERROR(VLOOKUP($B170,Totalt!$B$1:$AQ$554,MATCH(R$2,Totalt!$B$1:$AQ$1,0),FALSE),"")</f>
        <v>10.88</v>
      </c>
      <c r="S170" s="173">
        <f>IFERROR(VLOOKUP($B170,Totalt!$B$1:$AQ$554,MATCH(S$2,Totalt!$B$1:$AQ$1,0),FALSE),"")</f>
        <v>0</v>
      </c>
      <c r="T170" s="173">
        <f>IFERROR(VLOOKUP($B170,Totalt!$B$1:$AQ$554,MATCH(T$2,Totalt!$B$1:$AQ$1,0),FALSE),"")</f>
        <v>0</v>
      </c>
      <c r="U170" s="173">
        <f>IFERROR(VLOOKUP($B170,Totalt!$B$1:$AQ$554,MATCH(U$2,Totalt!$B$1:$AQ$1,0),FALSE),"")</f>
        <v>0</v>
      </c>
      <c r="V170" s="173">
        <f>IFERROR(VLOOKUP($B170,Totalt!$B$1:$AQ$554,MATCH(V$2,Totalt!$B$1:$AQ$1,0),FALSE),"")</f>
        <v>0</v>
      </c>
      <c r="W170" s="173">
        <f>IFERROR(VLOOKUP($B170,Totalt!$B$1:$AQ$554,MATCH(W$2,Totalt!$B$1:$AQ$1,0),FALSE),"")</f>
        <v>0</v>
      </c>
      <c r="X170" s="173">
        <f>IFERROR(VLOOKUP($B170,Totalt!$B$1:$AQ$554,MATCH(X$2,Totalt!$B$1:$AQ$1,0),FALSE),"")</f>
        <v>0</v>
      </c>
      <c r="Y170" s="173">
        <f>IFERROR(VLOOKUP($B170,Totalt!$B$1:$AQ$554,MATCH(Y$2,Totalt!$B$1:$AQ$1,0),FALSE),"")</f>
        <v>0</v>
      </c>
      <c r="Z170" s="173">
        <f>IFERROR(VLOOKUP($B170,Totalt!$B$1:$AQ$554,MATCH(Z$2,Totalt!$B$1:$AQ$1,0),FALSE),"")</f>
        <v>0</v>
      </c>
      <c r="AA170" s="173">
        <f>IFERROR(VLOOKUP($B170,Totalt!$B$1:$AQ$554,MATCH(AA$2,Totalt!$B$1:$AQ$1,0),FALSE),"")</f>
        <v>0</v>
      </c>
      <c r="AB170" s="173">
        <f>IFERROR(VLOOKUP($B170,Totalt!$B$1:$AQ$554,MATCH(AB$2,Totalt!$B$1:$AQ$1,0),FALSE),"")</f>
        <v>0</v>
      </c>
      <c r="AC170" s="173">
        <f>IFERROR(VLOOKUP($B170,Totalt!$B$1:$AQ$554,MATCH(AC$2,Totalt!$B$1:$AQ$1,0),FALSE),"")</f>
        <v>3.7</v>
      </c>
      <c r="AD170" s="173">
        <f>IFERROR(VLOOKUP($B170,Totalt!$B$1:$AQ$554,MATCH(AD$2,Totalt!$B$1:$AQ$1,0),FALSE),"")</f>
        <v>0</v>
      </c>
      <c r="AE170" s="173">
        <f>IFERROR(VLOOKUP($B170,Totalt!$B$1:$AQ$554,MATCH(AE$2,Totalt!$B$1:$AQ$1,0),FALSE),"")</f>
        <v>0</v>
      </c>
      <c r="AF170" s="173">
        <f>IFERROR(VLOOKUP($B170,Totalt!$B$1:$AQ$554,MATCH(AF$2,Totalt!$B$1:$AQ$1,0),FALSE),"")</f>
        <v>0.96299999999999997</v>
      </c>
      <c r="AG170" s="173">
        <f>IFERROR(VLOOKUP($B170,Totalt!$B$1:$AQ$554,MATCH(AG$2,Totalt!$B$1:$AQ$1,0),FALSE),"")</f>
        <v>0</v>
      </c>
      <c r="AI170" s="226">
        <f t="shared" si="12"/>
        <v>51.863000000000014</v>
      </c>
      <c r="AJ170" s="226">
        <f>IF(ISERROR(1/VLOOKUP($B170,Leveranser!$B$1:$S$500,MATCH("såld värme (gwh)",Leveranser!$B$1:$S$1,0),FALSE)),"",VLOOKUP($B170,Leveranser!$B$1:$S$500,MATCH("såld värme (gwh)",Leveranser!$B$1:$S$1,0),FALSE))</f>
        <v>37.799999999999997</v>
      </c>
      <c r="AM170" s="227" t="str">
        <f>IF(B170&lt;&gt;"",IF(VLOOKUP($B170,Totalt!$B$1:$AQ$554,MATCH("Kvalitetsgranskad:",Totalt!$B$1:$AQ$1,0),FALSE)="ja",VLOOKUP($B170,Miljö!$B$1:$AG$479,MATCH(AM$2,Miljö!$B$1:$AK$1,0),FALSE),""),"")</f>
        <v>Ja</v>
      </c>
      <c r="AN170" s="227" t="str">
        <f>IF(AM170="ja",VLOOKUP($B170,Miljö!$B$1:$J$479,MATCH("Typ av ursprungsspecificerad el   (Om inget värde anges används Nordisk residualmix, se inforuta) ()",Miljö!$B$1:$J$1,0),FALSE),IF(AM170="nej","Nordisk residualel",""))</f>
        <v>'Ursprungsmärkt vattenkraft'</v>
      </c>
      <c r="AO170" s="227">
        <f>IF(AM170="","",VLOOKUP($B170,Miljö!$B$1:$J$479,MATCH("Fossilandel för ursprungspecificerad el ()",Miljö!$B$1:$J$1,0),FALSE))</f>
        <v>0</v>
      </c>
      <c r="AP170" s="227">
        <f>IF(AM170="","",IFERROR(VLOOKUP($B170,Miljö!$B$1:$J$479,MATCH("Kärnkraftsandel för ursprungsspecificerad el ()",Miljö!$B$1:$J$1,0),FALSE)/1,0))</f>
        <v>0</v>
      </c>
      <c r="AQ170" s="227">
        <f t="shared" si="13"/>
        <v>1</v>
      </c>
      <c r="AR170" s="227"/>
      <c r="AS170" s="227" t="str">
        <f t="shared" si="14"/>
        <v>Nej</v>
      </c>
      <c r="AT170" s="227" t="str">
        <f>IF(AS170="ja",VLOOKUP($B170,Miljö!$B$1:$O$500,MATCH("Fossil andel i procent (%)",Miljö!$B$1:$O$1,0),FALSE)/100,"")</f>
        <v/>
      </c>
      <c r="AU170" s="227"/>
      <c r="AV170" s="227" t="str">
        <f t="shared" si="15"/>
        <v>Nej</v>
      </c>
      <c r="AW170" s="227" t="str">
        <f>IF(AV170="ja",VLOOKUP($B170,'Egen hetvattenprod'!$B$1:$AO$500,MATCH("Värmekälla till värmepumpar ()",'Egen hetvattenprod'!$B$1:$AO$1,0),FALSE),"")</f>
        <v/>
      </c>
      <c r="AX170" s="227"/>
      <c r="AY170" s="227" t="str">
        <f t="shared" si="16"/>
        <v>Ja</v>
      </c>
      <c r="AZ170" s="228">
        <f>IF($AY170="ja",(VLOOKUP($B170,'Egen hetvattenprod'!$B$1:$BX$550,MATCH(AZ$2,'Egen hetvattenprod'!$B$1:$BX$1,0),FALSE)+VLOOKUP($B170,Kraftvärmeprod!$B$1:$BX$550,MATCH(AZ$2,Kraftvärmeprod!$B$1:$BX$1,0),FALSE))/$AC170,"")</f>
        <v>1</v>
      </c>
      <c r="BA170" s="228">
        <f>IF($AY170="ja",(VLOOKUP($B170,'Egen hetvattenprod'!$B$1:$BX$550,MATCH(BA$2,'Egen hetvattenprod'!$B$1:$BX$1,0),FALSE)+VLOOKUP($B170,Kraftvärmeprod!$B$1:$BX$550,MATCH(BA$2,Kraftvärmeprod!$B$1:$BX$1,0),FALSE))/$AC170,"")</f>
        <v>0</v>
      </c>
      <c r="BB170" s="228">
        <f>IF($AY170="ja",(VLOOKUP($B170,'Egen hetvattenprod'!$B$1:$BX$550,MATCH(BB$2,'Egen hetvattenprod'!$B$1:$BX$1,0),FALSE)+VLOOKUP($B170,Kraftvärmeprod!$B$1:$BX$550,MATCH(BB$2,Kraftvärmeprod!$B$1:$BX$1,0),FALSE))/$AC170,"")</f>
        <v>0</v>
      </c>
      <c r="BC170" s="228">
        <f>IF($AY170="ja",(VLOOKUP($B170,'Egen hetvattenprod'!$B$1:$BX$550,MATCH(BC$2,'Egen hetvattenprod'!$B$1:$BX$1,0),FALSE)+VLOOKUP($B170,Kraftvärmeprod!$B$1:$BX$550,MATCH(BC$2,Kraftvärmeprod!$B$1:$BX$1,0),FALSE))/$AC170,"")</f>
        <v>0</v>
      </c>
      <c r="BD170" s="228">
        <f>IF($AY170="ja",(VLOOKUP($B170,'Egen hetvattenprod'!$B$1:$BX$550,MATCH(BD$2,'Egen hetvattenprod'!$B$1:$BX$1,0),FALSE)+VLOOKUP($B170,Kraftvärmeprod!$B$1:$BX$550,MATCH(BD$2,Kraftvärmeprod!$B$1:$BX$1,0),FALSE))/$AC170,"")</f>
        <v>0</v>
      </c>
      <c r="BE170" s="227"/>
      <c r="BF170" s="227" t="str">
        <f t="shared" si="17"/>
        <v>Nej</v>
      </c>
      <c r="BG170" s="227" t="str">
        <f>IF($BF170="ja",VLOOKUP($B170,'Egen hetvattenprod'!$B$1:$BX$550,MATCH("Andelen klimatgaser med fossilt ursprung för avfall ()",'Egen hetvattenprod'!$B$1:$BX$1,0),FALSE),"")</f>
        <v/>
      </c>
      <c r="BH170" s="227" t="str">
        <f>IF($BF170="ja",VLOOKUP($B170,Kraftvärmeprod!$B$1:$BX$550,MATCH("Andelen klimatgaser med fossilt ursprung för avfall ()",Kraftvärmeprod!$B$1:$BX$1,0),FALSE),"")</f>
        <v/>
      </c>
      <c r="BI170" s="227" t="str">
        <f>IF($BF170="ja",VLOOKUP($B170,'Egen hetvattenprod'!$B$1:$BX$550,MATCH("Avfall (GWh)",'Egen hetvattenprod'!$B$1:$BX$1,0),FALSE),"")</f>
        <v/>
      </c>
      <c r="BJ170" s="227" t="str">
        <f>IF($BF170="ja",VLOOKUP($B170,'Slutlig allokering kvv'!$B$1:$BX$550,MATCH("Avfall (GWh)",'Slutlig allokering kvv'!$B$1:$BX$1,0),FALSE),"")</f>
        <v/>
      </c>
      <c r="BK170" s="227" t="str">
        <f>IF($BF170="ja",VLOOKUP($B170,'Köpt hetvatten'!$B$1:$BX$550,MATCH("Avfall i köpt hetvatten",'Köpt hetvatten'!$B$1:$BX$1,0),FALSE),"")</f>
        <v/>
      </c>
      <c r="BL170" s="227" t="str">
        <f>IF($BF170="ja",VLOOKUP($B170,'Egen hetvattenprod'!$B$1:$BX$550,MATCH("Värde enligt ovan. (%)",'Egen hetvattenprod'!$B$1:$BX$1,0),FALSE),"")</f>
        <v/>
      </c>
      <c r="BM170" s="227" t="str">
        <f>IF($BF170="ja",VLOOKUP($B170,Kraftvärmeprod!$B$1:$BX$550,MATCH("Värde enligt ovan. (%)",Kraftvärmeprod!$B$1:$BX$1,0),FALSE),"")</f>
        <v/>
      </c>
      <c r="BN170" s="227"/>
      <c r="BO170" s="227"/>
      <c r="BP170" s="227"/>
      <c r="BQ170" s="227" t="str">
        <f>IF($BF170="ja",VLOOKUP($B170,'Egen hetvattenprod'!$B$1:$BX$550,MATCH("Tillförd olja (fossil) vid avfallsförbränning (GWh)",'Egen hetvattenprod'!$B$1:$BX$1,0),FALSE),"")</f>
        <v/>
      </c>
      <c r="BR170" s="227" t="str">
        <f>IF($BF170="ja",VLOOKUP($B170,Kraftvärmeprod!$B$1:$BX$550,MATCH("Tillförd olja (fossil) vid avfallsförbränning (GWh)",Kraftvärmeprod!$B$1:$BX$1,0),FALSE),"")</f>
        <v/>
      </c>
      <c r="BS170" s="227"/>
      <c r="BT170" s="227"/>
      <c r="BU170" s="227"/>
    </row>
    <row r="171" spans="1:73" x14ac:dyDescent="0.25">
      <c r="A171" s="121" t="str">
        <f>'Miljövärden för publ företag'!B174</f>
        <v>Mälarenergi AB</v>
      </c>
      <c r="B171" s="121" t="str">
        <f>'Miljövärden för publ företag'!C174</f>
        <v>Västerås</v>
      </c>
      <c r="C171" s="173">
        <f>IFERROR(VLOOKUP($B171,Totalt!$B$1:$AQ$554,MATCH(C$2,Totalt!$B$1:$AQ$1,0),FALSE),"")</f>
        <v>100.21</v>
      </c>
      <c r="D171" s="173">
        <f>IFERROR(VLOOKUP($B171,Totalt!$B$1:$AQ$554,MATCH(D$2,Totalt!$B$1:$AQ$1,0),FALSE),"")</f>
        <v>5.7148000000000003</v>
      </c>
      <c r="E171" s="173">
        <f>IFERROR(VLOOKUP($B171,Totalt!$B$1:$AQ$554,MATCH(E$2,Totalt!$B$1:$AQ$1,0),FALSE),"")</f>
        <v>0</v>
      </c>
      <c r="F171" s="173">
        <f>IFERROR(VLOOKUP($B171,Totalt!$B$1:$AQ$554,MATCH(F$2,Totalt!$B$1:$AQ$1,0),FALSE),"")</f>
        <v>2.66</v>
      </c>
      <c r="G171" s="173">
        <f>IFERROR(VLOOKUP($B171,Totalt!$B$1:$AQ$554,MATCH(G$2,Totalt!$B$1:$AQ$1,0),FALSE),"")</f>
        <v>0</v>
      </c>
      <c r="H171" s="173">
        <f>IFERROR(VLOOKUP($B171,Totalt!$B$1:$AQ$554,MATCH(H$2,Totalt!$B$1:$AQ$1,0),FALSE),"")</f>
        <v>0</v>
      </c>
      <c r="I171" s="173">
        <f>IFERROR(VLOOKUP($B171,Totalt!$B$1:$AQ$554,MATCH(I$2,Totalt!$B$1:$AQ$1,0),FALSE),"")</f>
        <v>522.51</v>
      </c>
      <c r="J171" s="173">
        <f>IFERROR(VLOOKUP($B171,Totalt!$B$1:$AQ$554,MATCH(J$2,Totalt!$B$1:$AQ$1,0),FALSE),"")</f>
        <v>2.57647</v>
      </c>
      <c r="K171" s="173">
        <f>IFERROR(VLOOKUP($B171,Totalt!$B$1:$AQ$554,MATCH(K$2,Totalt!$B$1:$AQ$1,0),FALSE),"")</f>
        <v>0</v>
      </c>
      <c r="L171" s="173">
        <f>IFERROR(VLOOKUP($B171,Totalt!$B$1:$AQ$554,MATCH(L$2,Totalt!$B$1:$AQ$1,0),FALSE),"")</f>
        <v>162.83000000000001</v>
      </c>
      <c r="M171" s="173">
        <f>IFERROR(VLOOKUP($B171,Totalt!$B$1:$AQ$554,MATCH(M$2,Totalt!$B$1:$AQ$1,0),FALSE),"")</f>
        <v>57.048999999999999</v>
      </c>
      <c r="N171" s="173">
        <f>IFERROR(VLOOKUP($B171,Totalt!$B$1:$AQ$554,MATCH(N$2,Totalt!$B$1:$AQ$1,0),FALSE),"")</f>
        <v>102.7</v>
      </c>
      <c r="O171" s="173">
        <f>IFERROR(VLOOKUP($B171,Totalt!$B$1:$AQ$554,MATCH(O$2,Totalt!$B$1:$AQ$1,0),FALSE),"")</f>
        <v>102.8</v>
      </c>
      <c r="P171" s="173">
        <f>IFERROR(VLOOKUP($B171,Totalt!$B$1:$AQ$554,MATCH(P$2,Totalt!$B$1:$AQ$1,0),FALSE),"")</f>
        <v>147.93</v>
      </c>
      <c r="Q171" s="173">
        <f>IFERROR(VLOOKUP($B171,Totalt!$B$1:$AQ$554,MATCH(Q$2,Totalt!$B$1:$AQ$1,0),FALSE),"")</f>
        <v>0</v>
      </c>
      <c r="R171" s="173">
        <f>IFERROR(VLOOKUP($B171,Totalt!$B$1:$AQ$554,MATCH(R$2,Totalt!$B$1:$AQ$1,0),FALSE),"")</f>
        <v>0</v>
      </c>
      <c r="S171" s="173">
        <f>IFERROR(VLOOKUP($B171,Totalt!$B$1:$AQ$554,MATCH(S$2,Totalt!$B$1:$AQ$1,0),FALSE),"")</f>
        <v>0</v>
      </c>
      <c r="T171" s="173">
        <f>IFERROR(VLOOKUP($B171,Totalt!$B$1:$AQ$554,MATCH(T$2,Totalt!$B$1:$AQ$1,0),FALSE),"")</f>
        <v>0</v>
      </c>
      <c r="U171" s="173">
        <f>IFERROR(VLOOKUP($B171,Totalt!$B$1:$AQ$554,MATCH(U$2,Totalt!$B$1:$AQ$1,0),FALSE),"")</f>
        <v>0</v>
      </c>
      <c r="V171" s="173">
        <f>IFERROR(VLOOKUP($B171,Totalt!$B$1:$AQ$554,MATCH(V$2,Totalt!$B$1:$AQ$1,0),FALSE),"")</f>
        <v>9.36</v>
      </c>
      <c r="W171" s="173">
        <f>IFERROR(VLOOKUP($B171,Totalt!$B$1:$AQ$554,MATCH(W$2,Totalt!$B$1:$AQ$1,0),FALSE),"")</f>
        <v>0</v>
      </c>
      <c r="X171" s="173">
        <f>IFERROR(VLOOKUP($B171,Totalt!$B$1:$AQ$554,MATCH(X$2,Totalt!$B$1:$AQ$1,0),FALSE),"")</f>
        <v>4.74979</v>
      </c>
      <c r="Y171" s="173">
        <f>IFERROR(VLOOKUP($B171,Totalt!$B$1:$AQ$554,MATCH(Y$2,Totalt!$B$1:$AQ$1,0),FALSE),"")</f>
        <v>85.002799999999993</v>
      </c>
      <c r="Z171" s="173">
        <f>IFERROR(VLOOKUP($B171,Totalt!$B$1:$AQ$554,MATCH(Z$2,Totalt!$B$1:$AQ$1,0),FALSE),"")</f>
        <v>7.0000000000000007E-2</v>
      </c>
      <c r="AA171" s="173">
        <f>IFERROR(VLOOKUP($B171,Totalt!$B$1:$AQ$554,MATCH(AA$2,Totalt!$B$1:$AQ$1,0),FALSE),"")</f>
        <v>4.5199999999999996</v>
      </c>
      <c r="AB171" s="173">
        <f>IFERROR(VLOOKUP($B171,Totalt!$B$1:$AQ$554,MATCH(AB$2,Totalt!$B$1:$AQ$1,0),FALSE),"")</f>
        <v>8.9499999999999993</v>
      </c>
      <c r="AC171" s="173">
        <f>IFERROR(VLOOKUP($B171,Totalt!$B$1:$AQ$554,MATCH(AC$2,Totalt!$B$1:$AQ$1,0),FALSE),"")</f>
        <v>196.65</v>
      </c>
      <c r="AD171" s="173">
        <f>IFERROR(VLOOKUP($B171,Totalt!$B$1:$AQ$554,MATCH(AD$2,Totalt!$B$1:$AQ$1,0),FALSE),"")</f>
        <v>0</v>
      </c>
      <c r="AE171" s="173">
        <f>IFERROR(VLOOKUP($B171,Totalt!$B$1:$AQ$554,MATCH(AE$2,Totalt!$B$1:$AQ$1,0),FALSE),"")</f>
        <v>0</v>
      </c>
      <c r="AF171" s="173">
        <f>IFERROR(VLOOKUP($B171,Totalt!$B$1:$AQ$554,MATCH(AF$2,Totalt!$B$1:$AQ$1,0),FALSE),"")</f>
        <v>60.205599999999997</v>
      </c>
      <c r="AG171" s="173">
        <f>IFERROR(VLOOKUP($B171,Totalt!$B$1:$AQ$554,MATCH(AG$2,Totalt!$B$1:$AQ$1,0),FALSE),"")</f>
        <v>0</v>
      </c>
      <c r="AI171" s="226">
        <f t="shared" si="12"/>
        <v>1576.48846</v>
      </c>
      <c r="AJ171" s="226">
        <f>IF(ISERROR(1/VLOOKUP($B171,Leveranser!$B$1:$S$500,MATCH("såld värme (gwh)",Leveranser!$B$1:$S$1,0),FALSE)),"",VLOOKUP($B171,Leveranser!$B$1:$S$500,MATCH("såld värme (gwh)",Leveranser!$B$1:$S$1,0),FALSE))</f>
        <v>1419.33</v>
      </c>
      <c r="AM171" s="227" t="str">
        <f>IF(B171&lt;&gt;"",IF(VLOOKUP($B171,Totalt!$B$1:$AQ$554,MATCH("Kvalitetsgranskad:",Totalt!$B$1:$AQ$1,0),FALSE)="ja",VLOOKUP($B171,Miljö!$B$1:$AG$479,MATCH(AM$2,Miljö!$B$1:$AK$1,0),FALSE),""),"")</f>
        <v>Ja</v>
      </c>
      <c r="AN171" s="227" t="str">
        <f>IF(AM171="ja",VLOOKUP($B171,Miljö!$B$1:$J$479,MATCH("Typ av ursprungsspecificerad el   (Om inget värde anges används Nordisk residualmix, se inforuta) ()",Miljö!$B$1:$J$1,0),FALSE),IF(AM171="nej","Nordisk residualel",""))</f>
        <v>'ursprungsmätkt egen produktion av BIO samt Vatten</v>
      </c>
      <c r="AO171" s="227">
        <f>IF(AM171="","",VLOOKUP($B171,Miljö!$B$1:$J$479,MATCH("Fossilandel för ursprungspecificerad el ()",Miljö!$B$1:$J$1,0),FALSE))</f>
        <v>0.08</v>
      </c>
      <c r="AP171" s="227">
        <f>IF(AM171="","",IFERROR(VLOOKUP($B171,Miljö!$B$1:$J$479,MATCH("Kärnkraftsandel för ursprungsspecificerad el ()",Miljö!$B$1:$J$1,0),FALSE)/1,0))</f>
        <v>0</v>
      </c>
      <c r="AQ171" s="227">
        <f t="shared" si="13"/>
        <v>0.92</v>
      </c>
      <c r="AR171" s="227"/>
      <c r="AS171" s="227" t="str">
        <f t="shared" si="14"/>
        <v>Nej</v>
      </c>
      <c r="AT171" s="227" t="str">
        <f>IF(AS171="ja",VLOOKUP($B171,Miljö!$B$1:$O$500,MATCH("Fossil andel i procent (%)",Miljö!$B$1:$O$1,0),FALSE)/100,"")</f>
        <v/>
      </c>
      <c r="AU171" s="227"/>
      <c r="AV171" s="227" t="str">
        <f t="shared" si="15"/>
        <v>Ja</v>
      </c>
      <c r="AW171" s="227" t="str">
        <f>IF(AV171="ja",VLOOKUP($B171,'Egen hetvattenprod'!$B$1:$AO$500,MATCH("Värmekälla till värmepumpar ()",'Egen hetvattenprod'!$B$1:$AO$1,0),FALSE),"")</f>
        <v>Renat avloppsvatten</v>
      </c>
      <c r="AX171" s="227"/>
      <c r="AY171" s="227" t="str">
        <f t="shared" si="16"/>
        <v>Ja</v>
      </c>
      <c r="AZ171" s="228">
        <f>IF($AY171="ja",(VLOOKUP($B171,'Egen hetvattenprod'!$B$1:$BX$550,MATCH(AZ$2,'Egen hetvattenprod'!$B$1:$BX$1,0),FALSE)+VLOOKUP($B171,Kraftvärmeprod!$B$1:$BX$550,MATCH(AZ$2,Kraftvärmeprod!$B$1:$BX$1,0),FALSE))/$AC171,"")</f>
        <v>0.36699999999999999</v>
      </c>
      <c r="BA171" s="228">
        <f>IF($AY171="ja",(VLOOKUP($B171,'Egen hetvattenprod'!$B$1:$BX$550,MATCH(BA$2,'Egen hetvattenprod'!$B$1:$BX$1,0),FALSE)+VLOOKUP($B171,Kraftvärmeprod!$B$1:$BX$550,MATCH(BA$2,Kraftvärmeprod!$B$1:$BX$1,0),FALSE))/$AC171,"")</f>
        <v>0.41</v>
      </c>
      <c r="BB171" s="228">
        <f>IF($AY171="ja",(VLOOKUP($B171,'Egen hetvattenprod'!$B$1:$BX$550,MATCH(BB$2,'Egen hetvattenprod'!$B$1:$BX$1,0),FALSE)+VLOOKUP($B171,Kraftvärmeprod!$B$1:$BX$550,MATCH(BB$2,Kraftvärmeprod!$B$1:$BX$1,0),FALSE))/$AC171,"")</f>
        <v>0</v>
      </c>
      <c r="BC171" s="228">
        <f>IF($AY171="ja",(VLOOKUP($B171,'Egen hetvattenprod'!$B$1:$BX$550,MATCH(BC$2,'Egen hetvattenprod'!$B$1:$BX$1,0),FALSE)+VLOOKUP($B171,Kraftvärmeprod!$B$1:$BX$550,MATCH(BC$2,Kraftvärmeprod!$B$1:$BX$1,0),FALSE))/$AC171,"")</f>
        <v>0.223</v>
      </c>
      <c r="BD171" s="228">
        <f>IF($AY171="ja",(VLOOKUP($B171,'Egen hetvattenprod'!$B$1:$BX$550,MATCH(BD$2,'Egen hetvattenprod'!$B$1:$BX$1,0),FALSE)+VLOOKUP($B171,Kraftvärmeprod!$B$1:$BX$550,MATCH(BD$2,Kraftvärmeprod!$B$1:$BX$1,0),FALSE))/$AC171,"")</f>
        <v>0</v>
      </c>
      <c r="BE171" s="227"/>
      <c r="BF171" s="227" t="str">
        <f t="shared" si="17"/>
        <v>Ja</v>
      </c>
      <c r="BG171" s="227" t="str">
        <f>IF($BF171="ja",VLOOKUP($B171,'Egen hetvattenprod'!$B$1:$BX$550,MATCH("Andelen klimatgaser med fossilt ursprung för avfall ()",'Egen hetvattenprod'!$B$1:$BX$1,0),FALSE),"")</f>
        <v>Mätvärde</v>
      </c>
      <c r="BH171" s="227" t="str">
        <f>IF($BF171="ja",VLOOKUP($B171,Kraftvärmeprod!$B$1:$BX$550,MATCH("Andelen klimatgaser med fossilt ursprung för avfall ()",Kraftvärmeprod!$B$1:$BX$1,0),FALSE),"")</f>
        <v>Mätvärde</v>
      </c>
      <c r="BI171" s="227">
        <f>IF($BF171="ja",VLOOKUP($B171,'Egen hetvattenprod'!$B$1:$BX$550,MATCH("Avfall (GWh)",'Egen hetvattenprod'!$B$1:$BX$1,0),FALSE),"")</f>
        <v>99.97</v>
      </c>
      <c r="BJ171" s="227">
        <f>IF($BF171="ja",VLOOKUP($B171,'Slutlig allokering kvv'!$B$1:$BX$550,MATCH("Avfall (GWh)",'Slutlig allokering kvv'!$B$1:$BX$1,0),FALSE),"")</f>
        <v>422.54</v>
      </c>
      <c r="BK171" s="227">
        <f>IF($BF171="ja",VLOOKUP($B171,'Köpt hetvatten'!$B$1:$BX$550,MATCH("Avfall i köpt hetvatten",'Köpt hetvatten'!$B$1:$BX$1,0),FALSE),"")</f>
        <v>0</v>
      </c>
      <c r="BL171" s="227">
        <f>IF($BF171="ja",VLOOKUP($B171,'Egen hetvattenprod'!$B$1:$BX$550,MATCH("Värde enligt ovan. (%)",'Egen hetvattenprod'!$B$1:$BX$1,0),FALSE),"")</f>
        <v>41.6</v>
      </c>
      <c r="BM171" s="227">
        <f>IF($BF171="ja",VLOOKUP($B171,Kraftvärmeprod!$B$1:$BX$550,MATCH("Värde enligt ovan. (%)",Kraftvärmeprod!$B$1:$BX$1,0),FALSE),"")</f>
        <v>41.6</v>
      </c>
      <c r="BN171" s="227"/>
      <c r="BO171" s="227"/>
      <c r="BP171" s="227"/>
      <c r="BQ171" s="227">
        <f>IF($BF171="ja",VLOOKUP($B171,'Egen hetvattenprod'!$B$1:$BX$550,MATCH("Tillförd olja (fossil) vid avfallsförbränning (GWh)",'Egen hetvattenprod'!$B$1:$BX$1,0),FALSE),"")</f>
        <v>3.02</v>
      </c>
      <c r="BR171" s="227" t="str">
        <f>IF($BF171="ja",VLOOKUP($B171,Kraftvärmeprod!$B$1:$BX$550,MATCH("Tillförd olja (fossil) vid avfallsförbränning (GWh)",Kraftvärmeprod!$B$1:$BX$1,0),FALSE),"")</f>
        <v>ET</v>
      </c>
      <c r="BS171" s="227"/>
      <c r="BT171" s="227"/>
      <c r="BU171" s="227"/>
    </row>
    <row r="172" spans="1:73" x14ac:dyDescent="0.25">
      <c r="A172" s="121" t="str">
        <f>'Miljövärden för publ företag'!B175</f>
        <v>Mälarenergi AB</v>
      </c>
      <c r="B172" s="121" t="str">
        <f>'Miljövärden för publ företag'!C175</f>
        <v>Västerås Miljömärkt</v>
      </c>
      <c r="C172" s="173">
        <f>IFERROR(VLOOKUP($B172,Totalt!$B$1:$AQ$554,MATCH(C$2,Totalt!$B$1:$AQ$1,0),FALSE),"")</f>
        <v>1.27176</v>
      </c>
      <c r="D172" s="173">
        <f>IFERROR(VLOOKUP($B172,Totalt!$B$1:$AQ$554,MATCH(D$2,Totalt!$B$1:$AQ$1,0),FALSE),"")</f>
        <v>7.9533999999999994E-2</v>
      </c>
      <c r="E172" s="173">
        <f>IFERROR(VLOOKUP($B172,Totalt!$B$1:$AQ$554,MATCH(E$2,Totalt!$B$1:$AQ$1,0),FALSE),"")</f>
        <v>0</v>
      </c>
      <c r="F172" s="173">
        <f>IFERROR(VLOOKUP($B172,Totalt!$B$1:$AQ$554,MATCH(F$2,Totalt!$B$1:$AQ$1,0),FALSE),"")</f>
        <v>0</v>
      </c>
      <c r="G172" s="173">
        <f>IFERROR(VLOOKUP($B172,Totalt!$B$1:$AQ$554,MATCH(G$2,Totalt!$B$1:$AQ$1,0),FALSE),"")</f>
        <v>0</v>
      </c>
      <c r="H172" s="173">
        <f>IFERROR(VLOOKUP($B172,Totalt!$B$1:$AQ$554,MATCH(H$2,Totalt!$B$1:$AQ$1,0),FALSE),"")</f>
        <v>0</v>
      </c>
      <c r="I172" s="173">
        <f>IFERROR(VLOOKUP($B172,Totalt!$B$1:$AQ$554,MATCH(I$2,Totalt!$B$1:$AQ$1,0),FALSE),"")</f>
        <v>16.145600000000002</v>
      </c>
      <c r="J172" s="173">
        <f>IFERROR(VLOOKUP($B172,Totalt!$B$1:$AQ$554,MATCH(J$2,Totalt!$B$1:$AQ$1,0),FALSE),"")</f>
        <v>0.10509400000000001</v>
      </c>
      <c r="K172" s="173">
        <f>IFERROR(VLOOKUP($B172,Totalt!$B$1:$AQ$554,MATCH(K$2,Totalt!$B$1:$AQ$1,0),FALSE),"")</f>
        <v>0</v>
      </c>
      <c r="L172" s="173">
        <f>IFERROR(VLOOKUP($B172,Totalt!$B$1:$AQ$554,MATCH(L$2,Totalt!$B$1:$AQ$1,0),FALSE),"")</f>
        <v>7.5581500000000004</v>
      </c>
      <c r="M172" s="173">
        <f>IFERROR(VLOOKUP($B172,Totalt!$B$1:$AQ$554,MATCH(M$2,Totalt!$B$1:$AQ$1,0),FALSE),"")</f>
        <v>2.7926799999999998</v>
      </c>
      <c r="N172" s="173">
        <f>IFERROR(VLOOKUP($B172,Totalt!$B$1:$AQ$554,MATCH(N$2,Totalt!$B$1:$AQ$1,0),FALSE),"")</f>
        <v>5.0279400000000001</v>
      </c>
      <c r="O172" s="173">
        <f>IFERROR(VLOOKUP($B172,Totalt!$B$1:$AQ$554,MATCH(O$2,Totalt!$B$1:$AQ$1,0),FALSE),"")</f>
        <v>5.0328099999999996</v>
      </c>
      <c r="P172" s="173">
        <f>IFERROR(VLOOKUP($B172,Totalt!$B$1:$AQ$554,MATCH(P$2,Totalt!$B$1:$AQ$1,0),FALSE),"")</f>
        <v>7.2512299999999996</v>
      </c>
      <c r="Q172" s="173">
        <f>IFERROR(VLOOKUP($B172,Totalt!$B$1:$AQ$554,MATCH(Q$2,Totalt!$B$1:$AQ$1,0),FALSE),"")</f>
        <v>0</v>
      </c>
      <c r="R172" s="173">
        <f>IFERROR(VLOOKUP($B172,Totalt!$B$1:$AQ$554,MATCH(R$2,Totalt!$B$1:$AQ$1,0),FALSE),"")</f>
        <v>0</v>
      </c>
      <c r="S172" s="173">
        <f>IFERROR(VLOOKUP($B172,Totalt!$B$1:$AQ$554,MATCH(S$2,Totalt!$B$1:$AQ$1,0),FALSE),"")</f>
        <v>0</v>
      </c>
      <c r="T172" s="173">
        <f>IFERROR(VLOOKUP($B172,Totalt!$B$1:$AQ$554,MATCH(T$2,Totalt!$B$1:$AQ$1,0),FALSE),"")</f>
        <v>0</v>
      </c>
      <c r="U172" s="173">
        <f>IFERROR(VLOOKUP($B172,Totalt!$B$1:$AQ$554,MATCH(U$2,Totalt!$B$1:$AQ$1,0),FALSE),"")</f>
        <v>0</v>
      </c>
      <c r="V172" s="173">
        <f>IFERROR(VLOOKUP($B172,Totalt!$B$1:$AQ$554,MATCH(V$2,Totalt!$B$1:$AQ$1,0),FALSE),"")</f>
        <v>0.50226899999999997</v>
      </c>
      <c r="W172" s="173">
        <f>IFERROR(VLOOKUP($B172,Totalt!$B$1:$AQ$554,MATCH(W$2,Totalt!$B$1:$AQ$1,0),FALSE),"")</f>
        <v>0</v>
      </c>
      <c r="X172" s="173">
        <f>IFERROR(VLOOKUP($B172,Totalt!$B$1:$AQ$554,MATCH(X$2,Totalt!$B$1:$AQ$1,0),FALSE),"")</f>
        <v>0.21585099999999999</v>
      </c>
      <c r="Y172" s="173">
        <f>IFERROR(VLOOKUP($B172,Totalt!$B$1:$AQ$554,MATCH(Y$2,Totalt!$B$1:$AQ$1,0),FALSE),"")</f>
        <v>1.0787</v>
      </c>
      <c r="Z172" s="173">
        <f>IFERROR(VLOOKUP($B172,Totalt!$B$1:$AQ$554,MATCH(Z$2,Totalt!$B$1:$AQ$1,0),FALSE),"")</f>
        <v>8.0999999999999996E-4</v>
      </c>
      <c r="AA172" s="173">
        <f>IFERROR(VLOOKUP($B172,Totalt!$B$1:$AQ$554,MATCH(AA$2,Totalt!$B$1:$AQ$1,0),FALSE),"")</f>
        <v>0.18043000000000001</v>
      </c>
      <c r="AB172" s="173">
        <f>IFERROR(VLOOKUP($B172,Totalt!$B$1:$AQ$554,MATCH(AB$2,Totalt!$B$1:$AQ$1,0),FALSE),"")</f>
        <v>0.36501</v>
      </c>
      <c r="AC172" s="173">
        <f>IFERROR(VLOOKUP($B172,Totalt!$B$1:$AQ$554,MATCH(AC$2,Totalt!$B$1:$AQ$1,0),FALSE),"")</f>
        <v>8.0830500000000001</v>
      </c>
      <c r="AD172" s="173">
        <f>IFERROR(VLOOKUP($B172,Totalt!$B$1:$AQ$554,MATCH(AD$2,Totalt!$B$1:$AQ$1,0),FALSE),"")</f>
        <v>0</v>
      </c>
      <c r="AE172" s="173">
        <f>IFERROR(VLOOKUP($B172,Totalt!$B$1:$AQ$554,MATCH(AE$2,Totalt!$B$1:$AQ$1,0),FALSE),"")</f>
        <v>0</v>
      </c>
      <c r="AF172" s="173">
        <f>IFERROR(VLOOKUP($B172,Totalt!$B$1:$AQ$554,MATCH(AF$2,Totalt!$B$1:$AQ$1,0),FALSE),"")</f>
        <v>2.5283099999999998</v>
      </c>
      <c r="AG172" s="173">
        <f>IFERROR(VLOOKUP($B172,Totalt!$B$1:$AQ$554,MATCH(AG$2,Totalt!$B$1:$AQ$1,0),FALSE),"")</f>
        <v>0</v>
      </c>
      <c r="AI172" s="226">
        <f t="shared" si="12"/>
        <v>58.219227999999994</v>
      </c>
      <c r="AJ172" s="226">
        <f>IF(ISERROR(1/VLOOKUP($B172,Leveranser!$B$1:$S$500,MATCH("såld värme (gwh)",Leveranser!$B$1:$S$1,0),FALSE)),"",VLOOKUP($B172,Leveranser!$B$1:$S$500,MATCH("såld värme (gwh)",Leveranser!$B$1:$S$1,0),FALSE))</f>
        <v>46.040999999999997</v>
      </c>
      <c r="AM172" s="227" t="str">
        <f>IF(B172&lt;&gt;"",IF(VLOOKUP($B172,Totalt!$B$1:$AQ$554,MATCH("Kvalitetsgranskad:",Totalt!$B$1:$AQ$1,0),FALSE)="ja",VLOOKUP($B172,Miljö!$B$1:$AG$479,MATCH(AM$2,Miljö!$B$1:$AK$1,0),FALSE),""),"")</f>
        <v>Ja</v>
      </c>
      <c r="AN172" s="227" t="str">
        <f>IF(AM172="ja",VLOOKUP($B172,Miljö!$B$1:$J$479,MATCH("Typ av ursprungsspecificerad el   (Om inget värde anges används Nordisk residualmix, se inforuta) ()",Miljö!$B$1:$J$1,0),FALSE),IF(AM172="nej","Nordisk residualel",""))</f>
        <v>'ursprungsmärkt egenproducerad Bio'</v>
      </c>
      <c r="AO172" s="227">
        <f>IF(AM172="","",VLOOKUP($B172,Miljö!$B$1:$J$479,MATCH("Fossilandel för ursprungspecificerad el ()",Miljö!$B$1:$J$1,0),FALSE))</f>
        <v>0.08</v>
      </c>
      <c r="AP172" s="227">
        <f>IF(AM172="","",IFERROR(VLOOKUP($B172,Miljö!$B$1:$J$479,MATCH("Kärnkraftsandel för ursprungsspecificerad el ()",Miljö!$B$1:$J$1,0),FALSE)/1,0))</f>
        <v>0.40550000000000003</v>
      </c>
      <c r="AQ172" s="227">
        <f t="shared" si="13"/>
        <v>0.51449999999999996</v>
      </c>
      <c r="AR172" s="227"/>
      <c r="AS172" s="227" t="str">
        <f t="shared" si="14"/>
        <v>Nej</v>
      </c>
      <c r="AT172" s="227" t="str">
        <f>IF(AS172="ja",VLOOKUP($B172,Miljö!$B$1:$O$500,MATCH("Fossil andel i procent (%)",Miljö!$B$1:$O$1,0),FALSE)/100,"")</f>
        <v/>
      </c>
      <c r="AU172" s="227"/>
      <c r="AV172" s="227" t="str">
        <f t="shared" si="15"/>
        <v>Ja</v>
      </c>
      <c r="AW172" s="227" t="str">
        <f>IF(AV172="ja",VLOOKUP($B172,'Egen hetvattenprod'!$B$1:$AO$500,MATCH("Värmekälla till värmepumpar ()",'Egen hetvattenprod'!$B$1:$AO$1,0),FALSE),"")</f>
        <v>Renat avloppsvatten</v>
      </c>
      <c r="AX172" s="227"/>
      <c r="AY172" s="227" t="str">
        <f t="shared" si="16"/>
        <v>Ja</v>
      </c>
      <c r="AZ172" s="228">
        <f>IF($AY172="ja",(VLOOKUP($B172,'Egen hetvattenprod'!$B$1:$BX$550,MATCH(AZ$2,'Egen hetvattenprod'!$B$1:$BX$1,0),FALSE)+VLOOKUP($B172,Kraftvärmeprod!$B$1:$BX$550,MATCH(AZ$2,Kraftvärmeprod!$B$1:$BX$1,0),FALSE))/$AC172,"")</f>
        <v>0.36090000000000005</v>
      </c>
      <c r="BA172" s="228">
        <f>IF($AY172="ja",(VLOOKUP($B172,'Egen hetvattenprod'!$B$1:$BX$550,MATCH(BA$2,'Egen hetvattenprod'!$B$1:$BX$1,0),FALSE)+VLOOKUP($B172,Kraftvärmeprod!$B$1:$BX$550,MATCH(BA$2,Kraftvärmeprod!$B$1:$BX$1,0),FALSE))/$AC172,"")</f>
        <v>0.41020000000000001</v>
      </c>
      <c r="BB172" s="228">
        <f>IF($AY172="ja",(VLOOKUP($B172,'Egen hetvattenprod'!$B$1:$BX$550,MATCH(BB$2,'Egen hetvattenprod'!$B$1:$BX$1,0),FALSE)+VLOOKUP($B172,Kraftvärmeprod!$B$1:$BX$550,MATCH(BB$2,Kraftvärmeprod!$B$1:$BX$1,0),FALSE))/$AC172,"")</f>
        <v>0</v>
      </c>
      <c r="BC172" s="228">
        <f>IF($AY172="ja",(VLOOKUP($B172,'Egen hetvattenprod'!$B$1:$BX$550,MATCH(BC$2,'Egen hetvattenprod'!$B$1:$BX$1,0),FALSE)+VLOOKUP($B172,Kraftvärmeprod!$B$1:$BX$550,MATCH(BC$2,Kraftvärmeprod!$B$1:$BX$1,0),FALSE))/$AC172,"")</f>
        <v>0.223</v>
      </c>
      <c r="BD172" s="228">
        <f>IF($AY172="ja",(VLOOKUP($B172,'Egen hetvattenprod'!$B$1:$BX$550,MATCH(BD$2,'Egen hetvattenprod'!$B$1:$BX$1,0),FALSE)+VLOOKUP($B172,Kraftvärmeprod!$B$1:$BX$550,MATCH(BD$2,Kraftvärmeprod!$B$1:$BX$1,0),FALSE))/$AC172,"")</f>
        <v>5.899999999999868E-3</v>
      </c>
      <c r="BE172" s="227"/>
      <c r="BF172" s="227" t="str">
        <f t="shared" si="17"/>
        <v>Ja</v>
      </c>
      <c r="BG172" s="227" t="str">
        <f>IF($BF172="ja",VLOOKUP($B172,'Egen hetvattenprod'!$B$1:$BX$550,MATCH("Andelen klimatgaser med fossilt ursprung för avfall ()",'Egen hetvattenprod'!$B$1:$BX$1,0),FALSE),"")</f>
        <v>Mätvärde</v>
      </c>
      <c r="BH172" s="227" t="str">
        <f>IF($BF172="ja",VLOOKUP($B172,Kraftvärmeprod!$B$1:$BX$550,MATCH("Andelen klimatgaser med fossilt ursprung för avfall ()",Kraftvärmeprod!$B$1:$BX$1,0),FALSE),"")</f>
        <v>Mätvärde</v>
      </c>
      <c r="BI172" s="227">
        <f>IF($BF172="ja",VLOOKUP($B172,'Egen hetvattenprod'!$B$1:$BX$550,MATCH("Avfall (GWh)",'Egen hetvattenprod'!$B$1:$BX$1,0),FALSE),"")</f>
        <v>5.49559</v>
      </c>
      <c r="BJ172" s="227">
        <f>IF($BF172="ja",VLOOKUP($B172,'Slutlig allokering kvv'!$B$1:$BX$550,MATCH("Avfall (GWh)",'Slutlig allokering kvv'!$B$1:$BX$1,0),FALSE),"")</f>
        <v>10.65</v>
      </c>
      <c r="BK172" s="227">
        <f>IF($BF172="ja",VLOOKUP($B172,'Köpt hetvatten'!$B$1:$BX$550,MATCH("Avfall i köpt hetvatten",'Köpt hetvatten'!$B$1:$BX$1,0),FALSE),"")</f>
        <v>0</v>
      </c>
      <c r="BL172" s="227">
        <f>IF($BF172="ja",VLOOKUP($B172,'Egen hetvattenprod'!$B$1:$BX$550,MATCH("Värde enligt ovan. (%)",'Egen hetvattenprod'!$B$1:$BX$1,0),FALSE),"")</f>
        <v>41.6</v>
      </c>
      <c r="BM172" s="227">
        <f>IF($BF172="ja",VLOOKUP($B172,Kraftvärmeprod!$B$1:$BX$550,MATCH("Värde enligt ovan. (%)",Kraftvärmeprod!$B$1:$BX$1,0),FALSE),"")</f>
        <v>41.6</v>
      </c>
      <c r="BN172" s="227"/>
      <c r="BO172" s="227"/>
      <c r="BP172" s="227"/>
      <c r="BQ172" s="227" t="str">
        <f>IF($BF172="ja",VLOOKUP($B172,'Egen hetvattenprod'!$B$1:$BX$550,MATCH("Tillförd olja (fossil) vid avfallsförbränning (GWh)",'Egen hetvattenprod'!$B$1:$BX$1,0),FALSE),"")</f>
        <v>ET</v>
      </c>
      <c r="BR172" s="227" t="str">
        <f>IF($BF172="ja",VLOOKUP($B172,Kraftvärmeprod!$B$1:$BX$550,MATCH("Tillförd olja (fossil) vid avfallsförbränning (GWh)",Kraftvärmeprod!$B$1:$BX$1,0),FALSE),"")</f>
        <v>ET</v>
      </c>
      <c r="BS172" s="227"/>
      <c r="BT172" s="227"/>
      <c r="BU172" s="227"/>
    </row>
    <row r="173" spans="1:73" x14ac:dyDescent="0.25">
      <c r="A173" s="121" t="str">
        <f>'Miljövärden för publ företag'!B176</f>
        <v>Mölndal Energi AB</v>
      </c>
      <c r="B173" s="121" t="str">
        <f>'Miljövärden för publ företag'!C176</f>
        <v>Mölndal</v>
      </c>
      <c r="C173" s="173">
        <f>IFERROR(VLOOKUP($B173,Totalt!$B$1:$AQ$554,MATCH(C$2,Totalt!$B$1:$AQ$1,0),FALSE),"")</f>
        <v>0</v>
      </c>
      <c r="D173" s="173">
        <f>IFERROR(VLOOKUP($B173,Totalt!$B$1:$AQ$554,MATCH(D$2,Totalt!$B$1:$AQ$1,0),FALSE),"")</f>
        <v>0.65261999999999998</v>
      </c>
      <c r="E173" s="173">
        <f>IFERROR(VLOOKUP($B173,Totalt!$B$1:$AQ$554,MATCH(E$2,Totalt!$B$1:$AQ$1,0),FALSE),"")</f>
        <v>0</v>
      </c>
      <c r="F173" s="173">
        <f>IFERROR(VLOOKUP($B173,Totalt!$B$1:$AQ$554,MATCH(F$2,Totalt!$B$1:$AQ$1,0),FALSE),"")</f>
        <v>0</v>
      </c>
      <c r="G173" s="173">
        <f>IFERROR(VLOOKUP($B173,Totalt!$B$1:$AQ$554,MATCH(G$2,Totalt!$B$1:$AQ$1,0),FALSE),"")</f>
        <v>0</v>
      </c>
      <c r="H173" s="173">
        <f>IFERROR(VLOOKUP($B173,Totalt!$B$1:$AQ$554,MATCH(H$2,Totalt!$B$1:$AQ$1,0),FALSE),"")</f>
        <v>0</v>
      </c>
      <c r="I173" s="173">
        <f>IFERROR(VLOOKUP($B173,Totalt!$B$1:$AQ$554,MATCH(I$2,Totalt!$B$1:$AQ$1,0),FALSE),"")</f>
        <v>0</v>
      </c>
      <c r="J173" s="173">
        <f>IFERROR(VLOOKUP($B173,Totalt!$B$1:$AQ$554,MATCH(J$2,Totalt!$B$1:$AQ$1,0),FALSE),"")</f>
        <v>0</v>
      </c>
      <c r="K173" s="173">
        <f>IFERROR(VLOOKUP($B173,Totalt!$B$1:$AQ$554,MATCH(K$2,Totalt!$B$1:$AQ$1,0),FALSE),"")</f>
        <v>0</v>
      </c>
      <c r="L173" s="173">
        <f>IFERROR(VLOOKUP($B173,Totalt!$B$1:$AQ$554,MATCH(L$2,Totalt!$B$1:$AQ$1,0),FALSE),"")</f>
        <v>69.0745</v>
      </c>
      <c r="M173" s="173">
        <f>IFERROR(VLOOKUP($B173,Totalt!$B$1:$AQ$554,MATCH(M$2,Totalt!$B$1:$AQ$1,0),FALSE),"")</f>
        <v>101.26600000000001</v>
      </c>
      <c r="N173" s="173">
        <f>IFERROR(VLOOKUP($B173,Totalt!$B$1:$AQ$554,MATCH(N$2,Totalt!$B$1:$AQ$1,0),FALSE),"")</f>
        <v>24.338999999999999</v>
      </c>
      <c r="O173" s="173">
        <f>IFERROR(VLOOKUP($B173,Totalt!$B$1:$AQ$554,MATCH(O$2,Totalt!$B$1:$AQ$1,0),FALSE),"")</f>
        <v>0</v>
      </c>
      <c r="P173" s="173">
        <f>IFERROR(VLOOKUP($B173,Totalt!$B$1:$AQ$554,MATCH(P$2,Totalt!$B$1:$AQ$1,0),FALSE),"")</f>
        <v>5.9482299999999997</v>
      </c>
      <c r="Q173" s="173">
        <f>IFERROR(VLOOKUP($B173,Totalt!$B$1:$AQ$554,MATCH(Q$2,Totalt!$B$1:$AQ$1,0),FALSE),"")</f>
        <v>0</v>
      </c>
      <c r="R173" s="173">
        <f>IFERROR(VLOOKUP($B173,Totalt!$B$1:$AQ$554,MATCH(R$2,Totalt!$B$1:$AQ$1,0),FALSE),"")</f>
        <v>0</v>
      </c>
      <c r="S173" s="173">
        <f>IFERROR(VLOOKUP($B173,Totalt!$B$1:$AQ$554,MATCH(S$2,Totalt!$B$1:$AQ$1,0),FALSE),"")</f>
        <v>0</v>
      </c>
      <c r="T173" s="173">
        <f>IFERROR(VLOOKUP($B173,Totalt!$B$1:$AQ$554,MATCH(T$2,Totalt!$B$1:$AQ$1,0),FALSE),"")</f>
        <v>0</v>
      </c>
      <c r="U173" s="173">
        <f>IFERROR(VLOOKUP($B173,Totalt!$B$1:$AQ$554,MATCH(U$2,Totalt!$B$1:$AQ$1,0),FALSE),"")</f>
        <v>0</v>
      </c>
      <c r="V173" s="173">
        <f>IFERROR(VLOOKUP($B173,Totalt!$B$1:$AQ$554,MATCH(V$2,Totalt!$B$1:$AQ$1,0),FALSE),"")</f>
        <v>0</v>
      </c>
      <c r="W173" s="173">
        <f>IFERROR(VLOOKUP($B173,Totalt!$B$1:$AQ$554,MATCH(W$2,Totalt!$B$1:$AQ$1,0),FALSE),"")</f>
        <v>0</v>
      </c>
      <c r="X173" s="173">
        <f>IFERROR(VLOOKUP($B173,Totalt!$B$1:$AQ$554,MATCH(X$2,Totalt!$B$1:$AQ$1,0),FALSE),"")</f>
        <v>0</v>
      </c>
      <c r="Y173" s="173">
        <f>IFERROR(VLOOKUP($B173,Totalt!$B$1:$AQ$554,MATCH(Y$2,Totalt!$B$1:$AQ$1,0),FALSE),"")</f>
        <v>0</v>
      </c>
      <c r="Z173" s="173">
        <f>IFERROR(VLOOKUP($B173,Totalt!$B$1:$AQ$554,MATCH(Z$2,Totalt!$B$1:$AQ$1,0),FALSE),"")</f>
        <v>0</v>
      </c>
      <c r="AA173" s="173">
        <f>IFERROR(VLOOKUP($B173,Totalt!$B$1:$AQ$554,MATCH(AA$2,Totalt!$B$1:$AQ$1,0),FALSE),"")</f>
        <v>0</v>
      </c>
      <c r="AB173" s="173">
        <f>IFERROR(VLOOKUP($B173,Totalt!$B$1:$AQ$554,MATCH(AB$2,Totalt!$B$1:$AQ$1,0),FALSE),"")</f>
        <v>0</v>
      </c>
      <c r="AC173" s="173">
        <f>IFERROR(VLOOKUP($B173,Totalt!$B$1:$AQ$554,MATCH(AC$2,Totalt!$B$1:$AQ$1,0),FALSE),"")</f>
        <v>99.519199999999998</v>
      </c>
      <c r="AD173" s="173">
        <f>IFERROR(VLOOKUP($B173,Totalt!$B$1:$AQ$554,MATCH(AD$2,Totalt!$B$1:$AQ$1,0),FALSE),"")</f>
        <v>0</v>
      </c>
      <c r="AE173" s="173">
        <f>IFERROR(VLOOKUP($B173,Totalt!$B$1:$AQ$554,MATCH(AE$2,Totalt!$B$1:$AQ$1,0),FALSE),"")</f>
        <v>0</v>
      </c>
      <c r="AF173" s="173">
        <f>IFERROR(VLOOKUP($B173,Totalt!$B$1:$AQ$554,MATCH(AF$2,Totalt!$B$1:$AQ$1,0),FALSE),"")</f>
        <v>9.4852900000000009</v>
      </c>
      <c r="AG173" s="173">
        <f>IFERROR(VLOOKUP($B173,Totalt!$B$1:$AQ$554,MATCH(AG$2,Totalt!$B$1:$AQ$1,0),FALSE),"")</f>
        <v>22.7</v>
      </c>
      <c r="AI173" s="226">
        <f t="shared" si="12"/>
        <v>332.98484000000002</v>
      </c>
      <c r="AJ173" s="226">
        <f>IF(ISERROR(1/VLOOKUP($B173,Leveranser!$B$1:$S$500,MATCH("såld värme (gwh)",Leveranser!$B$1:$S$1,0),FALSE)),"",VLOOKUP($B173,Leveranser!$B$1:$S$500,MATCH("såld värme (gwh)",Leveranser!$B$1:$S$1,0),FALSE))</f>
        <v>322.29599999999999</v>
      </c>
      <c r="AM173" s="227" t="str">
        <f>IF(B173&lt;&gt;"",IF(VLOOKUP($B173,Totalt!$B$1:$AQ$554,MATCH("Kvalitetsgranskad:",Totalt!$B$1:$AQ$1,0),FALSE)="ja",VLOOKUP($B173,Miljö!$B$1:$AG$479,MATCH(AM$2,Miljö!$B$1:$AK$1,0),FALSE),""),"")</f>
        <v>Ja</v>
      </c>
      <c r="AN173" s="227" t="str">
        <f>IF(AM173="ja",VLOOKUP($B173,Miljö!$B$1:$J$479,MATCH("Typ av ursprungsspecificerad el   (Om inget värde anges används Nordisk residualmix, se inforuta) ()",Miljö!$B$1:$J$1,0),FALSE),IF(AM173="nej","Nordisk residualel",""))</f>
        <v>'Förnybar el från egen produktion'</v>
      </c>
      <c r="AO173" s="227">
        <f>IF(AM173="","",VLOOKUP($B173,Miljö!$B$1:$J$479,MATCH("Fossilandel för ursprungspecificerad el ()",Miljö!$B$1:$J$1,0),FALSE))</f>
        <v>0</v>
      </c>
      <c r="AP173" s="227">
        <f>IF(AM173="","",IFERROR(VLOOKUP($B173,Miljö!$B$1:$J$479,MATCH("Kärnkraftsandel för ursprungsspecificerad el ()",Miljö!$B$1:$J$1,0),FALSE)/1,0))</f>
        <v>0</v>
      </c>
      <c r="AQ173" s="227">
        <f t="shared" si="13"/>
        <v>1</v>
      </c>
      <c r="AR173" s="227"/>
      <c r="AS173" s="227" t="str">
        <f t="shared" si="14"/>
        <v>Ja</v>
      </c>
      <c r="AT173" s="227">
        <f>IF(AS173="ja",VLOOKUP($B173,Miljö!$B$1:$O$500,MATCH("Fossil andel i procent (%)",Miljö!$B$1:$O$1,0),FALSE)/100,"")</f>
        <v>3.0000000000000001E-3</v>
      </c>
      <c r="AU173" s="227"/>
      <c r="AV173" s="227" t="str">
        <f t="shared" si="15"/>
        <v>Nej</v>
      </c>
      <c r="AW173" s="227" t="str">
        <f>IF(AV173="ja",VLOOKUP($B173,'Egen hetvattenprod'!$B$1:$AO$500,MATCH("Värmekälla till värmepumpar ()",'Egen hetvattenprod'!$B$1:$AO$1,0),FALSE),"")</f>
        <v/>
      </c>
      <c r="AX173" s="227"/>
      <c r="AY173" s="227" t="str">
        <f t="shared" si="16"/>
        <v>Ja</v>
      </c>
      <c r="AZ173" s="228">
        <f>IF($AY173="ja",(VLOOKUP($B173,'Egen hetvattenprod'!$B$1:$BX$550,MATCH(AZ$2,'Egen hetvattenprod'!$B$1:$BX$1,0),FALSE)+VLOOKUP($B173,Kraftvärmeprod!$B$1:$BX$550,MATCH(AZ$2,Kraftvärmeprod!$B$1:$BX$1,0),FALSE))/$AC173,"")</f>
        <v>1</v>
      </c>
      <c r="BA173" s="228">
        <f>IF($AY173="ja",(VLOOKUP($B173,'Egen hetvattenprod'!$B$1:$BX$550,MATCH(BA$2,'Egen hetvattenprod'!$B$1:$BX$1,0),FALSE)+VLOOKUP($B173,Kraftvärmeprod!$B$1:$BX$550,MATCH(BA$2,Kraftvärmeprod!$B$1:$BX$1,0),FALSE))/$AC173,"")</f>
        <v>0</v>
      </c>
      <c r="BB173" s="228">
        <f>IF($AY173="ja",(VLOOKUP($B173,'Egen hetvattenprod'!$B$1:$BX$550,MATCH(BB$2,'Egen hetvattenprod'!$B$1:$BX$1,0),FALSE)+VLOOKUP($B173,Kraftvärmeprod!$B$1:$BX$550,MATCH(BB$2,Kraftvärmeprod!$B$1:$BX$1,0),FALSE))/$AC173,"")</f>
        <v>0</v>
      </c>
      <c r="BC173" s="228">
        <f>IF($AY173="ja",(VLOOKUP($B173,'Egen hetvattenprod'!$B$1:$BX$550,MATCH(BC$2,'Egen hetvattenprod'!$B$1:$BX$1,0),FALSE)+VLOOKUP($B173,Kraftvärmeprod!$B$1:$BX$550,MATCH(BC$2,Kraftvärmeprod!$B$1:$BX$1,0),FALSE))/$AC173,"")</f>
        <v>0</v>
      </c>
      <c r="BD173" s="228">
        <f>IF($AY173="ja",(VLOOKUP($B173,'Egen hetvattenprod'!$B$1:$BX$550,MATCH(BD$2,'Egen hetvattenprod'!$B$1:$BX$1,0),FALSE)+VLOOKUP($B173,Kraftvärmeprod!$B$1:$BX$550,MATCH(BD$2,Kraftvärmeprod!$B$1:$BX$1,0),FALSE))/$AC173,"")</f>
        <v>0</v>
      </c>
      <c r="BE173" s="227"/>
      <c r="BF173" s="227" t="str">
        <f t="shared" si="17"/>
        <v>Nej</v>
      </c>
      <c r="BG173" s="227" t="str">
        <f>IF($BF173="ja",VLOOKUP($B173,'Egen hetvattenprod'!$B$1:$BX$550,MATCH("Andelen klimatgaser med fossilt ursprung för avfall ()",'Egen hetvattenprod'!$B$1:$BX$1,0),FALSE),"")</f>
        <v/>
      </c>
      <c r="BH173" s="227" t="str">
        <f>IF($BF173="ja",VLOOKUP($B173,Kraftvärmeprod!$B$1:$BX$550,MATCH("Andelen klimatgaser med fossilt ursprung för avfall ()",Kraftvärmeprod!$B$1:$BX$1,0),FALSE),"")</f>
        <v/>
      </c>
      <c r="BI173" s="227" t="str">
        <f>IF($BF173="ja",VLOOKUP($B173,'Egen hetvattenprod'!$B$1:$BX$550,MATCH("Avfall (GWh)",'Egen hetvattenprod'!$B$1:$BX$1,0),FALSE),"")</f>
        <v/>
      </c>
      <c r="BJ173" s="227" t="str">
        <f>IF($BF173="ja",VLOOKUP($B173,'Slutlig allokering kvv'!$B$1:$BX$550,MATCH("Avfall (GWh)",'Slutlig allokering kvv'!$B$1:$BX$1,0),FALSE),"")</f>
        <v/>
      </c>
      <c r="BK173" s="227" t="str">
        <f>IF($BF173="ja",VLOOKUP($B173,'Köpt hetvatten'!$B$1:$BX$550,MATCH("Avfall i köpt hetvatten",'Köpt hetvatten'!$B$1:$BX$1,0),FALSE),"")</f>
        <v/>
      </c>
      <c r="BL173" s="227" t="str">
        <f>IF($BF173="ja",VLOOKUP($B173,'Egen hetvattenprod'!$B$1:$BX$550,MATCH("Värde enligt ovan. (%)",'Egen hetvattenprod'!$B$1:$BX$1,0),FALSE),"")</f>
        <v/>
      </c>
      <c r="BM173" s="227" t="str">
        <f>IF($BF173="ja",VLOOKUP($B173,Kraftvärmeprod!$B$1:$BX$550,MATCH("Värde enligt ovan. (%)",Kraftvärmeprod!$B$1:$BX$1,0),FALSE),"")</f>
        <v/>
      </c>
      <c r="BN173" s="227"/>
      <c r="BO173" s="227"/>
      <c r="BP173" s="227"/>
      <c r="BQ173" s="227" t="str">
        <f>IF($BF173="ja",VLOOKUP($B173,'Egen hetvattenprod'!$B$1:$BX$550,MATCH("Tillförd olja (fossil) vid avfallsförbränning (GWh)",'Egen hetvattenprod'!$B$1:$BX$1,0),FALSE),"")</f>
        <v/>
      </c>
      <c r="BR173" s="227" t="str">
        <f>IF($BF173="ja",VLOOKUP($B173,Kraftvärmeprod!$B$1:$BX$550,MATCH("Tillförd olja (fossil) vid avfallsförbränning (GWh)",Kraftvärmeprod!$B$1:$BX$1,0),FALSE),"")</f>
        <v/>
      </c>
      <c r="BS173" s="227"/>
      <c r="BT173" s="227"/>
      <c r="BU173" s="227"/>
    </row>
    <row r="174" spans="1:73" x14ac:dyDescent="0.25">
      <c r="A174" s="121" t="str">
        <f>'Miljövärden för publ företag'!B177</f>
        <v>Mölndal Energi AB</v>
      </c>
      <c r="B174" s="121" t="str">
        <f>'Miljövärden för publ företag'!C177</f>
        <v>Mölndal Biovärmepaket</v>
      </c>
      <c r="C174" s="173">
        <f>IFERROR(VLOOKUP($B174,Totalt!$B$1:$AQ$554,MATCH(C$2,Totalt!$B$1:$AQ$1,0),FALSE),"")</f>
        <v>0</v>
      </c>
      <c r="D174" s="173">
        <f>IFERROR(VLOOKUP($B174,Totalt!$B$1:$AQ$554,MATCH(D$2,Totalt!$B$1:$AQ$1,0),FALSE),"")</f>
        <v>0</v>
      </c>
      <c r="E174" s="173">
        <f>IFERROR(VLOOKUP($B174,Totalt!$B$1:$AQ$554,MATCH(E$2,Totalt!$B$1:$AQ$1,0),FALSE),"")</f>
        <v>0</v>
      </c>
      <c r="F174" s="173">
        <f>IFERROR(VLOOKUP($B174,Totalt!$B$1:$AQ$554,MATCH(F$2,Totalt!$B$1:$AQ$1,0),FALSE),"")</f>
        <v>0</v>
      </c>
      <c r="G174" s="173">
        <f>IFERROR(VLOOKUP($B174,Totalt!$B$1:$AQ$554,MATCH(G$2,Totalt!$B$1:$AQ$1,0),FALSE),"")</f>
        <v>0</v>
      </c>
      <c r="H174" s="173">
        <f>IFERROR(VLOOKUP($B174,Totalt!$B$1:$AQ$554,MATCH(H$2,Totalt!$B$1:$AQ$1,0),FALSE),"")</f>
        <v>0</v>
      </c>
      <c r="I174" s="173">
        <f>IFERROR(VLOOKUP($B174,Totalt!$B$1:$AQ$554,MATCH(I$2,Totalt!$B$1:$AQ$1,0),FALSE),"")</f>
        <v>0</v>
      </c>
      <c r="J174" s="173">
        <f>IFERROR(VLOOKUP($B174,Totalt!$B$1:$AQ$554,MATCH(J$2,Totalt!$B$1:$AQ$1,0),FALSE),"")</f>
        <v>0</v>
      </c>
      <c r="K174" s="173">
        <f>IFERROR(VLOOKUP($B174,Totalt!$B$1:$AQ$554,MATCH(K$2,Totalt!$B$1:$AQ$1,0),FALSE),"")</f>
        <v>0</v>
      </c>
      <c r="L174" s="173">
        <f>IFERROR(VLOOKUP($B174,Totalt!$B$1:$AQ$554,MATCH(L$2,Totalt!$B$1:$AQ$1,0),FALSE),"")</f>
        <v>0</v>
      </c>
      <c r="M174" s="173">
        <f>IFERROR(VLOOKUP($B174,Totalt!$B$1:$AQ$554,MATCH(M$2,Totalt!$B$1:$AQ$1,0),FALSE),"")</f>
        <v>0</v>
      </c>
      <c r="N174" s="173">
        <f>IFERROR(VLOOKUP($B174,Totalt!$B$1:$AQ$554,MATCH(N$2,Totalt!$B$1:$AQ$1,0),FALSE),"")</f>
        <v>30.2178</v>
      </c>
      <c r="O174" s="173">
        <f>IFERROR(VLOOKUP($B174,Totalt!$B$1:$AQ$554,MATCH(O$2,Totalt!$B$1:$AQ$1,0),FALSE),"")</f>
        <v>0</v>
      </c>
      <c r="P174" s="173">
        <f>IFERROR(VLOOKUP($B174,Totalt!$B$1:$AQ$554,MATCH(P$2,Totalt!$B$1:$AQ$1,0),FALSE),"")</f>
        <v>0</v>
      </c>
      <c r="Q174" s="173">
        <f>IFERROR(VLOOKUP($B174,Totalt!$B$1:$AQ$554,MATCH(Q$2,Totalt!$B$1:$AQ$1,0),FALSE),"")</f>
        <v>0</v>
      </c>
      <c r="R174" s="173">
        <f>IFERROR(VLOOKUP($B174,Totalt!$B$1:$AQ$554,MATCH(R$2,Totalt!$B$1:$AQ$1,0),FALSE),"")</f>
        <v>0</v>
      </c>
      <c r="S174" s="173">
        <f>IFERROR(VLOOKUP($B174,Totalt!$B$1:$AQ$554,MATCH(S$2,Totalt!$B$1:$AQ$1,0),FALSE),"")</f>
        <v>0</v>
      </c>
      <c r="T174" s="173">
        <f>IFERROR(VLOOKUP($B174,Totalt!$B$1:$AQ$554,MATCH(T$2,Totalt!$B$1:$AQ$1,0),FALSE),"")</f>
        <v>0</v>
      </c>
      <c r="U174" s="173">
        <f>IFERROR(VLOOKUP($B174,Totalt!$B$1:$AQ$554,MATCH(U$2,Totalt!$B$1:$AQ$1,0),FALSE),"")</f>
        <v>0</v>
      </c>
      <c r="V174" s="173">
        <f>IFERROR(VLOOKUP($B174,Totalt!$B$1:$AQ$554,MATCH(V$2,Totalt!$B$1:$AQ$1,0),FALSE),"")</f>
        <v>0</v>
      </c>
      <c r="W174" s="173">
        <f>IFERROR(VLOOKUP($B174,Totalt!$B$1:$AQ$554,MATCH(W$2,Totalt!$B$1:$AQ$1,0),FALSE),"")</f>
        <v>0</v>
      </c>
      <c r="X174" s="173">
        <f>IFERROR(VLOOKUP($B174,Totalt!$B$1:$AQ$554,MATCH(X$2,Totalt!$B$1:$AQ$1,0),FALSE),"")</f>
        <v>0</v>
      </c>
      <c r="Y174" s="173">
        <f>IFERROR(VLOOKUP($B174,Totalt!$B$1:$AQ$554,MATCH(Y$2,Totalt!$B$1:$AQ$1,0),FALSE),"")</f>
        <v>0</v>
      </c>
      <c r="Z174" s="173">
        <f>IFERROR(VLOOKUP($B174,Totalt!$B$1:$AQ$554,MATCH(Z$2,Totalt!$B$1:$AQ$1,0),FALSE),"")</f>
        <v>0</v>
      </c>
      <c r="AA174" s="173">
        <f>IFERROR(VLOOKUP($B174,Totalt!$B$1:$AQ$554,MATCH(AA$2,Totalt!$B$1:$AQ$1,0),FALSE),"")</f>
        <v>0</v>
      </c>
      <c r="AB174" s="173">
        <f>IFERROR(VLOOKUP($B174,Totalt!$B$1:$AQ$554,MATCH(AB$2,Totalt!$B$1:$AQ$1,0),FALSE),"")</f>
        <v>0</v>
      </c>
      <c r="AC174" s="173">
        <f>IFERROR(VLOOKUP($B174,Totalt!$B$1:$AQ$554,MATCH(AC$2,Totalt!$B$1:$AQ$1,0),FALSE),"")</f>
        <v>16.21</v>
      </c>
      <c r="AD174" s="173">
        <f>IFERROR(VLOOKUP($B174,Totalt!$B$1:$AQ$554,MATCH(AD$2,Totalt!$B$1:$AQ$1,0),FALSE),"")</f>
        <v>0</v>
      </c>
      <c r="AE174" s="173">
        <f>IFERROR(VLOOKUP($B174,Totalt!$B$1:$AQ$554,MATCH(AE$2,Totalt!$B$1:$AQ$1,0),FALSE),"")</f>
        <v>0</v>
      </c>
      <c r="AF174" s="173">
        <f>IFERROR(VLOOKUP($B174,Totalt!$B$1:$AQ$554,MATCH(AF$2,Totalt!$B$1:$AQ$1,0),FALSE),"")</f>
        <v>1.2359100000000001</v>
      </c>
      <c r="AG174" s="173">
        <f>IFERROR(VLOOKUP($B174,Totalt!$B$1:$AQ$554,MATCH(AG$2,Totalt!$B$1:$AQ$1,0),FALSE),"")</f>
        <v>0</v>
      </c>
      <c r="AI174" s="226">
        <f t="shared" si="12"/>
        <v>47.663710000000002</v>
      </c>
      <c r="AJ174" s="226">
        <f>IF(ISERROR(1/VLOOKUP($B174,Leveranser!$B$1:$S$500,MATCH("såld värme (gwh)",Leveranser!$B$1:$S$1,0),FALSE)),"",VLOOKUP($B174,Leveranser!$B$1:$S$500,MATCH("såld värme (gwh)",Leveranser!$B$1:$S$1,0),FALSE))</f>
        <v>48.192</v>
      </c>
      <c r="AM174" s="227" t="str">
        <f>IF(B174&lt;&gt;"",IF(VLOOKUP($B174,Totalt!$B$1:$AQ$554,MATCH("Kvalitetsgranskad:",Totalt!$B$1:$AQ$1,0),FALSE)="ja",VLOOKUP($B174,Miljö!$B$1:$AG$479,MATCH(AM$2,Miljö!$B$1:$AK$1,0),FALSE),""),"")</f>
        <v>Ja</v>
      </c>
      <c r="AN174" s="227" t="str">
        <f>IF(AM174="ja",VLOOKUP($B174,Miljö!$B$1:$J$479,MATCH("Typ av ursprungsspecificerad el   (Om inget värde anges används Nordisk residualmix, se inforuta) ()",Miljö!$B$1:$J$1,0),FALSE),IF(AM174="nej","Nordisk residualel",""))</f>
        <v>'Förnybar el från egen produktion'</v>
      </c>
      <c r="AO174" s="227">
        <f>IF(AM174="","",VLOOKUP($B174,Miljö!$B$1:$J$479,MATCH("Fossilandel för ursprungspecificerad el ()",Miljö!$B$1:$J$1,0),FALSE))</f>
        <v>0</v>
      </c>
      <c r="AP174" s="227">
        <f>IF(AM174="","",IFERROR(VLOOKUP($B174,Miljö!$B$1:$J$479,MATCH("Kärnkraftsandel för ursprungsspecificerad el ()",Miljö!$B$1:$J$1,0),FALSE)/1,0))</f>
        <v>0</v>
      </c>
      <c r="AQ174" s="227">
        <f t="shared" si="13"/>
        <v>1</v>
      </c>
      <c r="AR174" s="227"/>
      <c r="AS174" s="227" t="str">
        <f t="shared" si="14"/>
        <v>Nej</v>
      </c>
      <c r="AT174" s="227" t="str">
        <f>IF(AS174="ja",VLOOKUP($B174,Miljö!$B$1:$O$500,MATCH("Fossil andel i procent (%)",Miljö!$B$1:$O$1,0),FALSE)/100,"")</f>
        <v/>
      </c>
      <c r="AU174" s="227"/>
      <c r="AV174" s="227" t="str">
        <f t="shared" si="15"/>
        <v>Nej</v>
      </c>
      <c r="AW174" s="227" t="str">
        <f>IF(AV174="ja",VLOOKUP($B174,'Egen hetvattenprod'!$B$1:$AO$500,MATCH("Värmekälla till värmepumpar ()",'Egen hetvattenprod'!$B$1:$AO$1,0),FALSE),"")</f>
        <v/>
      </c>
      <c r="AX174" s="227"/>
      <c r="AY174" s="227" t="str">
        <f t="shared" si="16"/>
        <v>Ja</v>
      </c>
      <c r="AZ174" s="228">
        <f>IF($AY174="ja",(VLOOKUP($B174,'Egen hetvattenprod'!$B$1:$BX$550,MATCH(AZ$2,'Egen hetvattenprod'!$B$1:$BX$1,0),FALSE)+VLOOKUP($B174,Kraftvärmeprod!$B$1:$BX$550,MATCH(AZ$2,Kraftvärmeprod!$B$1:$BX$1,0),FALSE))/$AC174,"")</f>
        <v>1</v>
      </c>
      <c r="BA174" s="228">
        <f>IF($AY174="ja",(VLOOKUP($B174,'Egen hetvattenprod'!$B$1:$BX$550,MATCH(BA$2,'Egen hetvattenprod'!$B$1:$BX$1,0),FALSE)+VLOOKUP($B174,Kraftvärmeprod!$B$1:$BX$550,MATCH(BA$2,Kraftvärmeprod!$B$1:$BX$1,0),FALSE))/$AC174,"")</f>
        <v>0</v>
      </c>
      <c r="BB174" s="228">
        <f>IF($AY174="ja",(VLOOKUP($B174,'Egen hetvattenprod'!$B$1:$BX$550,MATCH(BB$2,'Egen hetvattenprod'!$B$1:$BX$1,0),FALSE)+VLOOKUP($B174,Kraftvärmeprod!$B$1:$BX$550,MATCH(BB$2,Kraftvärmeprod!$B$1:$BX$1,0),FALSE))/$AC174,"")</f>
        <v>0</v>
      </c>
      <c r="BC174" s="228">
        <f>IF($AY174="ja",(VLOOKUP($B174,'Egen hetvattenprod'!$B$1:$BX$550,MATCH(BC$2,'Egen hetvattenprod'!$B$1:$BX$1,0),FALSE)+VLOOKUP($B174,Kraftvärmeprod!$B$1:$BX$550,MATCH(BC$2,Kraftvärmeprod!$B$1:$BX$1,0),FALSE))/$AC174,"")</f>
        <v>0</v>
      </c>
      <c r="BD174" s="228">
        <f>IF($AY174="ja",(VLOOKUP($B174,'Egen hetvattenprod'!$B$1:$BX$550,MATCH(BD$2,'Egen hetvattenprod'!$B$1:$BX$1,0),FALSE)+VLOOKUP($B174,Kraftvärmeprod!$B$1:$BX$550,MATCH(BD$2,Kraftvärmeprod!$B$1:$BX$1,0),FALSE))/$AC174,"")</f>
        <v>0</v>
      </c>
      <c r="BE174" s="227"/>
      <c r="BF174" s="227" t="str">
        <f t="shared" si="17"/>
        <v>Nej</v>
      </c>
      <c r="BG174" s="227" t="str">
        <f>IF($BF174="ja",VLOOKUP($B174,'Egen hetvattenprod'!$B$1:$BX$550,MATCH("Andelen klimatgaser med fossilt ursprung för avfall ()",'Egen hetvattenprod'!$B$1:$BX$1,0),FALSE),"")</f>
        <v/>
      </c>
      <c r="BH174" s="227" t="str">
        <f>IF($BF174="ja",VLOOKUP($B174,Kraftvärmeprod!$B$1:$BX$550,MATCH("Andelen klimatgaser med fossilt ursprung för avfall ()",Kraftvärmeprod!$B$1:$BX$1,0),FALSE),"")</f>
        <v/>
      </c>
      <c r="BI174" s="227" t="str">
        <f>IF($BF174="ja",VLOOKUP($B174,'Egen hetvattenprod'!$B$1:$BX$550,MATCH("Avfall (GWh)",'Egen hetvattenprod'!$B$1:$BX$1,0),FALSE),"")</f>
        <v/>
      </c>
      <c r="BJ174" s="227" t="str">
        <f>IF($BF174="ja",VLOOKUP($B174,'Slutlig allokering kvv'!$B$1:$BX$550,MATCH("Avfall (GWh)",'Slutlig allokering kvv'!$B$1:$BX$1,0),FALSE),"")</f>
        <v/>
      </c>
      <c r="BK174" s="227" t="str">
        <f>IF($BF174="ja",VLOOKUP($B174,'Köpt hetvatten'!$B$1:$BX$550,MATCH("Avfall i köpt hetvatten",'Köpt hetvatten'!$B$1:$BX$1,0),FALSE),"")</f>
        <v/>
      </c>
      <c r="BL174" s="227" t="str">
        <f>IF($BF174="ja",VLOOKUP($B174,'Egen hetvattenprod'!$B$1:$BX$550,MATCH("Värde enligt ovan. (%)",'Egen hetvattenprod'!$B$1:$BX$1,0),FALSE),"")</f>
        <v/>
      </c>
      <c r="BM174" s="227" t="str">
        <f>IF($BF174="ja",VLOOKUP($B174,Kraftvärmeprod!$B$1:$BX$550,MATCH("Värde enligt ovan. (%)",Kraftvärmeprod!$B$1:$BX$1,0),FALSE),"")</f>
        <v/>
      </c>
      <c r="BN174" s="227"/>
      <c r="BO174" s="227"/>
      <c r="BP174" s="227"/>
      <c r="BQ174" s="227" t="str">
        <f>IF($BF174="ja",VLOOKUP($B174,'Egen hetvattenprod'!$B$1:$BX$550,MATCH("Tillförd olja (fossil) vid avfallsförbränning (GWh)",'Egen hetvattenprod'!$B$1:$BX$1,0),FALSE),"")</f>
        <v/>
      </c>
      <c r="BR174" s="227" t="str">
        <f>IF($BF174="ja",VLOOKUP($B174,Kraftvärmeprod!$B$1:$BX$550,MATCH("Tillförd olja (fossil) vid avfallsförbränning (GWh)",Kraftvärmeprod!$B$1:$BX$1,0),FALSE),"")</f>
        <v/>
      </c>
      <c r="BS174" s="227"/>
      <c r="BT174" s="227"/>
      <c r="BU174" s="227"/>
    </row>
    <row r="175" spans="1:73" x14ac:dyDescent="0.25">
      <c r="A175" s="121" t="str">
        <f>'Miljövärden för publ företag'!B178</f>
        <v>Mölndal Energi AB</v>
      </c>
      <c r="B175" s="121" t="str">
        <f>'Miljövärden för publ företag'!C178</f>
        <v>Mölndal Bra Miljöval</v>
      </c>
      <c r="C175" s="173">
        <f>IFERROR(VLOOKUP($B175,Totalt!$B$1:$AQ$554,MATCH(C$2,Totalt!$B$1:$AQ$1,0),FALSE),"")</f>
        <v>0</v>
      </c>
      <c r="D175" s="173">
        <f>IFERROR(VLOOKUP($B175,Totalt!$B$1:$AQ$554,MATCH(D$2,Totalt!$B$1:$AQ$1,0),FALSE),"")</f>
        <v>0</v>
      </c>
      <c r="E175" s="173">
        <f>IFERROR(VLOOKUP($B175,Totalt!$B$1:$AQ$554,MATCH(E$2,Totalt!$B$1:$AQ$1,0),FALSE),"")</f>
        <v>0</v>
      </c>
      <c r="F175" s="173">
        <f>IFERROR(VLOOKUP($B175,Totalt!$B$1:$AQ$554,MATCH(F$2,Totalt!$B$1:$AQ$1,0),FALSE),"")</f>
        <v>0</v>
      </c>
      <c r="G175" s="173">
        <f>IFERROR(VLOOKUP($B175,Totalt!$B$1:$AQ$554,MATCH(G$2,Totalt!$B$1:$AQ$1,0),FALSE),"")</f>
        <v>0</v>
      </c>
      <c r="H175" s="173">
        <f>IFERROR(VLOOKUP($B175,Totalt!$B$1:$AQ$554,MATCH(H$2,Totalt!$B$1:$AQ$1,0),FALSE),"")</f>
        <v>0</v>
      </c>
      <c r="I175" s="173">
        <f>IFERROR(VLOOKUP($B175,Totalt!$B$1:$AQ$554,MATCH(I$2,Totalt!$B$1:$AQ$1,0),FALSE),"")</f>
        <v>0</v>
      </c>
      <c r="J175" s="173">
        <f>IFERROR(VLOOKUP($B175,Totalt!$B$1:$AQ$554,MATCH(J$2,Totalt!$B$1:$AQ$1,0),FALSE),"")</f>
        <v>0</v>
      </c>
      <c r="K175" s="173">
        <f>IFERROR(VLOOKUP($B175,Totalt!$B$1:$AQ$554,MATCH(K$2,Totalt!$B$1:$AQ$1,0),FALSE),"")</f>
        <v>0</v>
      </c>
      <c r="L175" s="173">
        <f>IFERROR(VLOOKUP($B175,Totalt!$B$1:$AQ$554,MATCH(L$2,Totalt!$B$1:$AQ$1,0),FALSE),"")</f>
        <v>0</v>
      </c>
      <c r="M175" s="173">
        <f>IFERROR(VLOOKUP($B175,Totalt!$B$1:$AQ$554,MATCH(M$2,Totalt!$B$1:$AQ$1,0),FALSE),"")</f>
        <v>2.5399600000000002</v>
      </c>
      <c r="N175" s="173">
        <f>IFERROR(VLOOKUP($B175,Totalt!$B$1:$AQ$554,MATCH(N$2,Totalt!$B$1:$AQ$1,0),FALSE),"")</f>
        <v>4.0941099999999997</v>
      </c>
      <c r="O175" s="173">
        <f>IFERROR(VLOOKUP($B175,Totalt!$B$1:$AQ$554,MATCH(O$2,Totalt!$B$1:$AQ$1,0),FALSE),"")</f>
        <v>0</v>
      </c>
      <c r="P175" s="173">
        <f>IFERROR(VLOOKUP($B175,Totalt!$B$1:$AQ$554,MATCH(P$2,Totalt!$B$1:$AQ$1,0),FALSE),"")</f>
        <v>0.20297499999999999</v>
      </c>
      <c r="Q175" s="173">
        <f>IFERROR(VLOOKUP($B175,Totalt!$B$1:$AQ$554,MATCH(Q$2,Totalt!$B$1:$AQ$1,0),FALSE),"")</f>
        <v>0</v>
      </c>
      <c r="R175" s="173">
        <f>IFERROR(VLOOKUP($B175,Totalt!$B$1:$AQ$554,MATCH(R$2,Totalt!$B$1:$AQ$1,0),FALSE),"")</f>
        <v>0</v>
      </c>
      <c r="S175" s="173">
        <f>IFERROR(VLOOKUP($B175,Totalt!$B$1:$AQ$554,MATCH(S$2,Totalt!$B$1:$AQ$1,0),FALSE),"")</f>
        <v>0</v>
      </c>
      <c r="T175" s="173">
        <f>IFERROR(VLOOKUP($B175,Totalt!$B$1:$AQ$554,MATCH(T$2,Totalt!$B$1:$AQ$1,0),FALSE),"")</f>
        <v>0</v>
      </c>
      <c r="U175" s="173">
        <f>IFERROR(VLOOKUP($B175,Totalt!$B$1:$AQ$554,MATCH(U$2,Totalt!$B$1:$AQ$1,0),FALSE),"")</f>
        <v>0</v>
      </c>
      <c r="V175" s="173">
        <f>IFERROR(VLOOKUP($B175,Totalt!$B$1:$AQ$554,MATCH(V$2,Totalt!$B$1:$AQ$1,0),FALSE),"")</f>
        <v>0</v>
      </c>
      <c r="W175" s="173">
        <f>IFERROR(VLOOKUP($B175,Totalt!$B$1:$AQ$554,MATCH(W$2,Totalt!$B$1:$AQ$1,0),FALSE),"")</f>
        <v>0</v>
      </c>
      <c r="X175" s="173">
        <f>IFERROR(VLOOKUP($B175,Totalt!$B$1:$AQ$554,MATCH(X$2,Totalt!$B$1:$AQ$1,0),FALSE),"")</f>
        <v>0</v>
      </c>
      <c r="Y175" s="173">
        <f>IFERROR(VLOOKUP($B175,Totalt!$B$1:$AQ$554,MATCH(Y$2,Totalt!$B$1:$AQ$1,0),FALSE),"")</f>
        <v>0</v>
      </c>
      <c r="Z175" s="173">
        <f>IFERROR(VLOOKUP($B175,Totalt!$B$1:$AQ$554,MATCH(Z$2,Totalt!$B$1:$AQ$1,0),FALSE),"")</f>
        <v>0</v>
      </c>
      <c r="AA175" s="173">
        <f>IFERROR(VLOOKUP($B175,Totalt!$B$1:$AQ$554,MATCH(AA$2,Totalt!$B$1:$AQ$1,0),FALSE),"")</f>
        <v>0</v>
      </c>
      <c r="AB175" s="173">
        <f>IFERROR(VLOOKUP($B175,Totalt!$B$1:$AQ$554,MATCH(AB$2,Totalt!$B$1:$AQ$1,0),FALSE),"")</f>
        <v>0</v>
      </c>
      <c r="AC175" s="173">
        <f>IFERROR(VLOOKUP($B175,Totalt!$B$1:$AQ$554,MATCH(AC$2,Totalt!$B$1:$AQ$1,0),FALSE),"")</f>
        <v>3.6680000000000001</v>
      </c>
      <c r="AD175" s="173">
        <f>IFERROR(VLOOKUP($B175,Totalt!$B$1:$AQ$554,MATCH(AD$2,Totalt!$B$1:$AQ$1,0),FALSE),"")</f>
        <v>0</v>
      </c>
      <c r="AE175" s="173">
        <f>IFERROR(VLOOKUP($B175,Totalt!$B$1:$AQ$554,MATCH(AE$2,Totalt!$B$1:$AQ$1,0),FALSE),"")</f>
        <v>0</v>
      </c>
      <c r="AF175" s="173">
        <f>IFERROR(VLOOKUP($B175,Totalt!$B$1:$AQ$554,MATCH(AF$2,Totalt!$B$1:$AQ$1,0),FALSE),"")</f>
        <v>0.279553</v>
      </c>
      <c r="AG175" s="173">
        <f>IFERROR(VLOOKUP($B175,Totalt!$B$1:$AQ$554,MATCH(AG$2,Totalt!$B$1:$AQ$1,0),FALSE),"")</f>
        <v>0</v>
      </c>
      <c r="AI175" s="226">
        <f t="shared" si="12"/>
        <v>10.784597999999999</v>
      </c>
      <c r="AJ175" s="226">
        <f>IF(ISERROR(1/VLOOKUP($B175,Leveranser!$B$1:$S$500,MATCH("såld värme (gwh)",Leveranser!$B$1:$S$1,0),FALSE)),"",VLOOKUP($B175,Leveranser!$B$1:$S$500,MATCH("såld värme (gwh)",Leveranser!$B$1:$S$1,0),FALSE))</f>
        <v>10.904</v>
      </c>
      <c r="AM175" s="227" t="str">
        <f>IF(B175&lt;&gt;"",IF(VLOOKUP($B175,Totalt!$B$1:$AQ$554,MATCH("Kvalitetsgranskad:",Totalt!$B$1:$AQ$1,0),FALSE)="ja",VLOOKUP($B175,Miljö!$B$1:$AG$479,MATCH(AM$2,Miljö!$B$1:$AK$1,0),FALSE),""),"")</f>
        <v>Ja</v>
      </c>
      <c r="AN175" s="227" t="str">
        <f>IF(AM175="ja",VLOOKUP($B175,Miljö!$B$1:$J$479,MATCH("Typ av ursprungsspecificerad el   (Om inget värde anges används Nordisk residualmix, se inforuta) ()",Miljö!$B$1:$J$1,0),FALSE),IF(AM175="nej","Nordisk residualel",""))</f>
        <v>'Förnybar el från egen produktion'</v>
      </c>
      <c r="AO175" s="227">
        <f>IF(AM175="","",VLOOKUP($B175,Miljö!$B$1:$J$479,MATCH("Fossilandel för ursprungspecificerad el ()",Miljö!$B$1:$J$1,0),FALSE))</f>
        <v>0</v>
      </c>
      <c r="AP175" s="227">
        <f>IF(AM175="","",IFERROR(VLOOKUP($B175,Miljö!$B$1:$J$479,MATCH("Kärnkraftsandel för ursprungsspecificerad el ()",Miljö!$B$1:$J$1,0),FALSE)/1,0))</f>
        <v>0</v>
      </c>
      <c r="AQ175" s="227">
        <f t="shared" si="13"/>
        <v>1</v>
      </c>
      <c r="AR175" s="227"/>
      <c r="AS175" s="227" t="str">
        <f t="shared" si="14"/>
        <v>Nej</v>
      </c>
      <c r="AT175" s="227" t="str">
        <f>IF(AS175="ja",VLOOKUP($B175,Miljö!$B$1:$O$500,MATCH("Fossil andel i procent (%)",Miljö!$B$1:$O$1,0),FALSE)/100,"")</f>
        <v/>
      </c>
      <c r="AU175" s="227"/>
      <c r="AV175" s="227" t="str">
        <f t="shared" si="15"/>
        <v>Nej</v>
      </c>
      <c r="AW175" s="227" t="str">
        <f>IF(AV175="ja",VLOOKUP($B175,'Egen hetvattenprod'!$B$1:$AO$500,MATCH("Värmekälla till värmepumpar ()",'Egen hetvattenprod'!$B$1:$AO$1,0),FALSE),"")</f>
        <v/>
      </c>
      <c r="AX175" s="227"/>
      <c r="AY175" s="227" t="str">
        <f t="shared" si="16"/>
        <v>Ja</v>
      </c>
      <c r="AZ175" s="228">
        <f>IF($AY175="ja",(VLOOKUP($B175,'Egen hetvattenprod'!$B$1:$BX$550,MATCH(AZ$2,'Egen hetvattenprod'!$B$1:$BX$1,0),FALSE)+VLOOKUP($B175,Kraftvärmeprod!$B$1:$BX$550,MATCH(AZ$2,Kraftvärmeprod!$B$1:$BX$1,0),FALSE))/$AC175,"")</f>
        <v>1</v>
      </c>
      <c r="BA175" s="228">
        <f>IF($AY175="ja",(VLOOKUP($B175,'Egen hetvattenprod'!$B$1:$BX$550,MATCH(BA$2,'Egen hetvattenprod'!$B$1:$BX$1,0),FALSE)+VLOOKUP($B175,Kraftvärmeprod!$B$1:$BX$550,MATCH(BA$2,Kraftvärmeprod!$B$1:$BX$1,0),FALSE))/$AC175,"")</f>
        <v>0</v>
      </c>
      <c r="BB175" s="228">
        <f>IF($AY175="ja",(VLOOKUP($B175,'Egen hetvattenprod'!$B$1:$BX$550,MATCH(BB$2,'Egen hetvattenprod'!$B$1:$BX$1,0),FALSE)+VLOOKUP($B175,Kraftvärmeprod!$B$1:$BX$550,MATCH(BB$2,Kraftvärmeprod!$B$1:$BX$1,0),FALSE))/$AC175,"")</f>
        <v>0</v>
      </c>
      <c r="BC175" s="228">
        <f>IF($AY175="ja",(VLOOKUP($B175,'Egen hetvattenprod'!$B$1:$BX$550,MATCH(BC$2,'Egen hetvattenprod'!$B$1:$BX$1,0),FALSE)+VLOOKUP($B175,Kraftvärmeprod!$B$1:$BX$550,MATCH(BC$2,Kraftvärmeprod!$B$1:$BX$1,0),FALSE))/$AC175,"")</f>
        <v>0</v>
      </c>
      <c r="BD175" s="228">
        <f>IF($AY175="ja",(VLOOKUP($B175,'Egen hetvattenprod'!$B$1:$BX$550,MATCH(BD$2,'Egen hetvattenprod'!$B$1:$BX$1,0),FALSE)+VLOOKUP($B175,Kraftvärmeprod!$B$1:$BX$550,MATCH(BD$2,Kraftvärmeprod!$B$1:$BX$1,0),FALSE))/$AC175,"")</f>
        <v>0</v>
      </c>
      <c r="BE175" s="227"/>
      <c r="BF175" s="227" t="str">
        <f t="shared" si="17"/>
        <v>Nej</v>
      </c>
      <c r="BG175" s="227" t="str">
        <f>IF($BF175="ja",VLOOKUP($B175,'Egen hetvattenprod'!$B$1:$BX$550,MATCH("Andelen klimatgaser med fossilt ursprung för avfall ()",'Egen hetvattenprod'!$B$1:$BX$1,0),FALSE),"")</f>
        <v/>
      </c>
      <c r="BH175" s="227" t="str">
        <f>IF($BF175="ja",VLOOKUP($B175,Kraftvärmeprod!$B$1:$BX$550,MATCH("Andelen klimatgaser med fossilt ursprung för avfall ()",Kraftvärmeprod!$B$1:$BX$1,0),FALSE),"")</f>
        <v/>
      </c>
      <c r="BI175" s="227" t="str">
        <f>IF($BF175="ja",VLOOKUP($B175,'Egen hetvattenprod'!$B$1:$BX$550,MATCH("Avfall (GWh)",'Egen hetvattenprod'!$B$1:$BX$1,0),FALSE),"")</f>
        <v/>
      </c>
      <c r="BJ175" s="227" t="str">
        <f>IF($BF175="ja",VLOOKUP($B175,'Slutlig allokering kvv'!$B$1:$BX$550,MATCH("Avfall (GWh)",'Slutlig allokering kvv'!$B$1:$BX$1,0),FALSE),"")</f>
        <v/>
      </c>
      <c r="BK175" s="227" t="str">
        <f>IF($BF175="ja",VLOOKUP($B175,'Köpt hetvatten'!$B$1:$BX$550,MATCH("Avfall i köpt hetvatten",'Köpt hetvatten'!$B$1:$BX$1,0),FALSE),"")</f>
        <v/>
      </c>
      <c r="BL175" s="227" t="str">
        <f>IF($BF175="ja",VLOOKUP($B175,'Egen hetvattenprod'!$B$1:$BX$550,MATCH("Värde enligt ovan. (%)",'Egen hetvattenprod'!$B$1:$BX$1,0),FALSE),"")</f>
        <v/>
      </c>
      <c r="BM175" s="227" t="str">
        <f>IF($BF175="ja",VLOOKUP($B175,Kraftvärmeprod!$B$1:$BX$550,MATCH("Värde enligt ovan. (%)",Kraftvärmeprod!$B$1:$BX$1,0),FALSE),"")</f>
        <v/>
      </c>
      <c r="BN175" s="227"/>
      <c r="BO175" s="227"/>
      <c r="BP175" s="227"/>
      <c r="BQ175" s="227" t="str">
        <f>IF($BF175="ja",VLOOKUP($B175,'Egen hetvattenprod'!$B$1:$BX$550,MATCH("Tillförd olja (fossil) vid avfallsförbränning (GWh)",'Egen hetvattenprod'!$B$1:$BX$1,0),FALSE),"")</f>
        <v/>
      </c>
      <c r="BR175" s="227" t="str">
        <f>IF($BF175="ja",VLOOKUP($B175,Kraftvärmeprod!$B$1:$BX$550,MATCH("Tillförd olja (fossil) vid avfallsförbränning (GWh)",Kraftvärmeprod!$B$1:$BX$1,0),FALSE),"")</f>
        <v/>
      </c>
      <c r="BS175" s="227"/>
      <c r="BT175" s="227"/>
      <c r="BU175" s="227"/>
    </row>
    <row r="176" spans="1:73" x14ac:dyDescent="0.25">
      <c r="A176" s="121" t="str">
        <f>'Miljövärden för publ företag'!B179</f>
        <v>Neova AB</v>
      </c>
      <c r="B176" s="121" t="str">
        <f>'Miljövärden för publ företag'!C179</f>
        <v>Billesholm</v>
      </c>
      <c r="C176" s="173">
        <f>IFERROR(VLOOKUP($B176,Totalt!$B$1:$AQ$554,MATCH(C$2,Totalt!$B$1:$AQ$1,0),FALSE),"")</f>
        <v>0</v>
      </c>
      <c r="D176" s="173">
        <f>IFERROR(VLOOKUP($B176,Totalt!$B$1:$AQ$554,MATCH(D$2,Totalt!$B$1:$AQ$1,0),FALSE),"")</f>
        <v>0.313</v>
      </c>
      <c r="E176" s="173">
        <f>IFERROR(VLOOKUP($B176,Totalt!$B$1:$AQ$554,MATCH(E$2,Totalt!$B$1:$AQ$1,0),FALSE),"")</f>
        <v>0</v>
      </c>
      <c r="F176" s="173">
        <f>IFERROR(VLOOKUP($B176,Totalt!$B$1:$AQ$554,MATCH(F$2,Totalt!$B$1:$AQ$1,0),FALSE),"")</f>
        <v>0</v>
      </c>
      <c r="G176" s="173">
        <f>IFERROR(VLOOKUP($B176,Totalt!$B$1:$AQ$554,MATCH(G$2,Totalt!$B$1:$AQ$1,0),FALSE),"")</f>
        <v>0</v>
      </c>
      <c r="H176" s="173">
        <f>IFERROR(VLOOKUP($B176,Totalt!$B$1:$AQ$554,MATCH(H$2,Totalt!$B$1:$AQ$1,0),FALSE),"")</f>
        <v>0</v>
      </c>
      <c r="I176" s="173">
        <f>IFERROR(VLOOKUP($B176,Totalt!$B$1:$AQ$554,MATCH(I$2,Totalt!$B$1:$AQ$1,0),FALSE),"")</f>
        <v>0</v>
      </c>
      <c r="J176" s="173">
        <f>IFERROR(VLOOKUP($B176,Totalt!$B$1:$AQ$554,MATCH(J$2,Totalt!$B$1:$AQ$1,0),FALSE),"")</f>
        <v>0</v>
      </c>
      <c r="K176" s="173">
        <f>IFERROR(VLOOKUP($B176,Totalt!$B$1:$AQ$554,MATCH(K$2,Totalt!$B$1:$AQ$1,0),FALSE),"")</f>
        <v>0</v>
      </c>
      <c r="L176" s="173">
        <f>IFERROR(VLOOKUP($B176,Totalt!$B$1:$AQ$554,MATCH(L$2,Totalt!$B$1:$AQ$1,0),FALSE),"")</f>
        <v>0</v>
      </c>
      <c r="M176" s="173">
        <f>IFERROR(VLOOKUP($B176,Totalt!$B$1:$AQ$554,MATCH(M$2,Totalt!$B$1:$AQ$1,0),FALSE),"")</f>
        <v>0</v>
      </c>
      <c r="N176" s="173">
        <f>IFERROR(VLOOKUP($B176,Totalt!$B$1:$AQ$554,MATCH(N$2,Totalt!$B$1:$AQ$1,0),FALSE),"")</f>
        <v>0</v>
      </c>
      <c r="O176" s="173">
        <f>IFERROR(VLOOKUP($B176,Totalt!$B$1:$AQ$554,MATCH(O$2,Totalt!$B$1:$AQ$1,0),FALSE),"")</f>
        <v>0</v>
      </c>
      <c r="P176" s="173">
        <f>IFERROR(VLOOKUP($B176,Totalt!$B$1:$AQ$554,MATCH(P$2,Totalt!$B$1:$AQ$1,0),FALSE),"")</f>
        <v>0</v>
      </c>
      <c r="Q176" s="173">
        <f>IFERROR(VLOOKUP($B176,Totalt!$B$1:$AQ$554,MATCH(Q$2,Totalt!$B$1:$AQ$1,0),FALSE),"")</f>
        <v>0</v>
      </c>
      <c r="R176" s="173">
        <f>IFERROR(VLOOKUP($B176,Totalt!$B$1:$AQ$554,MATCH(R$2,Totalt!$B$1:$AQ$1,0),FALSE),"")</f>
        <v>3.484</v>
      </c>
      <c r="S176" s="173">
        <f>IFERROR(VLOOKUP($B176,Totalt!$B$1:$AQ$554,MATCH(S$2,Totalt!$B$1:$AQ$1,0),FALSE),"")</f>
        <v>0</v>
      </c>
      <c r="T176" s="173">
        <f>IFERROR(VLOOKUP($B176,Totalt!$B$1:$AQ$554,MATCH(T$2,Totalt!$B$1:$AQ$1,0),FALSE),"")</f>
        <v>0</v>
      </c>
      <c r="U176" s="173">
        <f>IFERROR(VLOOKUP($B176,Totalt!$B$1:$AQ$554,MATCH(U$2,Totalt!$B$1:$AQ$1,0),FALSE),"")</f>
        <v>0</v>
      </c>
      <c r="V176" s="173">
        <f>IFERROR(VLOOKUP($B176,Totalt!$B$1:$AQ$554,MATCH(V$2,Totalt!$B$1:$AQ$1,0),FALSE),"")</f>
        <v>0</v>
      </c>
      <c r="W176" s="173">
        <f>IFERROR(VLOOKUP($B176,Totalt!$B$1:$AQ$554,MATCH(W$2,Totalt!$B$1:$AQ$1,0),FALSE),"")</f>
        <v>0</v>
      </c>
      <c r="X176" s="173">
        <f>IFERROR(VLOOKUP($B176,Totalt!$B$1:$AQ$554,MATCH(X$2,Totalt!$B$1:$AQ$1,0),FALSE),"")</f>
        <v>0</v>
      </c>
      <c r="Y176" s="173">
        <f>IFERROR(VLOOKUP($B176,Totalt!$B$1:$AQ$554,MATCH(Y$2,Totalt!$B$1:$AQ$1,0),FALSE),"")</f>
        <v>0</v>
      </c>
      <c r="Z176" s="173">
        <f>IFERROR(VLOOKUP($B176,Totalt!$B$1:$AQ$554,MATCH(Z$2,Totalt!$B$1:$AQ$1,0),FALSE),"")</f>
        <v>0</v>
      </c>
      <c r="AA176" s="173">
        <f>IFERROR(VLOOKUP($B176,Totalt!$B$1:$AQ$554,MATCH(AA$2,Totalt!$B$1:$AQ$1,0),FALSE),"")</f>
        <v>0</v>
      </c>
      <c r="AB176" s="173">
        <f>IFERROR(VLOOKUP($B176,Totalt!$B$1:$AQ$554,MATCH(AB$2,Totalt!$B$1:$AQ$1,0),FALSE),"")</f>
        <v>0</v>
      </c>
      <c r="AC176" s="173">
        <f>IFERROR(VLOOKUP($B176,Totalt!$B$1:$AQ$554,MATCH(AC$2,Totalt!$B$1:$AQ$1,0),FALSE),"")</f>
        <v>0</v>
      </c>
      <c r="AD176" s="173">
        <f>IFERROR(VLOOKUP($B176,Totalt!$B$1:$AQ$554,MATCH(AD$2,Totalt!$B$1:$AQ$1,0),FALSE),"")</f>
        <v>0</v>
      </c>
      <c r="AE176" s="173">
        <f>IFERROR(VLOOKUP($B176,Totalt!$B$1:$AQ$554,MATCH(AE$2,Totalt!$B$1:$AQ$1,0),FALSE),"")</f>
        <v>0</v>
      </c>
      <c r="AF176" s="173">
        <f>IFERROR(VLOOKUP($B176,Totalt!$B$1:$AQ$554,MATCH(AF$2,Totalt!$B$1:$AQ$1,0),FALSE),"")</f>
        <v>5.1499999999999997E-2</v>
      </c>
      <c r="AG176" s="173">
        <f>IFERROR(VLOOKUP($B176,Totalt!$B$1:$AQ$554,MATCH(AG$2,Totalt!$B$1:$AQ$1,0),FALSE),"")</f>
        <v>0</v>
      </c>
      <c r="AI176" s="226">
        <f t="shared" si="12"/>
        <v>3.8485</v>
      </c>
      <c r="AJ176" s="226">
        <f>IF(ISERROR(1/VLOOKUP($B176,Leveranser!$B$1:$S$500,MATCH("såld värme (gwh)",Leveranser!$B$1:$S$1,0),FALSE)),"",VLOOKUP($B176,Leveranser!$B$1:$S$500,MATCH("såld värme (gwh)",Leveranser!$B$1:$S$1,0),FALSE))</f>
        <v>3.2170000000000001</v>
      </c>
      <c r="AM176" s="227" t="str">
        <f>IF(B176&lt;&gt;"",IF(VLOOKUP($B176,Totalt!$B$1:$AQ$554,MATCH("Kvalitetsgranskad:",Totalt!$B$1:$AQ$1,0),FALSE)="ja",VLOOKUP($B176,Miljö!$B$1:$AG$479,MATCH(AM$2,Miljö!$B$1:$AK$1,0),FALSE),""),"")</f>
        <v>Ja</v>
      </c>
      <c r="AN176" s="227" t="str">
        <f>IF(AM176="ja",VLOOKUP($B176,Miljö!$B$1:$J$479,MATCH("Typ av ursprungsspecificerad el   (Om inget värde anges används Nordisk residualmix, se inforuta) ()",Miljö!$B$1:$J$1,0),FALSE),IF(AM176="nej","Nordisk residualel",""))</f>
        <v>'Ursprungsmärkt Vattenkraft'</v>
      </c>
      <c r="AO176" s="227">
        <f>IF(AM176="","",VLOOKUP($B176,Miljö!$B$1:$J$479,MATCH("Fossilandel för ursprungspecificerad el ()",Miljö!$B$1:$J$1,0),FALSE))</f>
        <v>0</v>
      </c>
      <c r="AP176" s="227">
        <f>IF(AM176="","",IFERROR(VLOOKUP($B176,Miljö!$B$1:$J$479,MATCH("Kärnkraftsandel för ursprungsspecificerad el ()",Miljö!$B$1:$J$1,0),FALSE)/1,0))</f>
        <v>0</v>
      </c>
      <c r="AQ176" s="227">
        <f t="shared" si="13"/>
        <v>1</v>
      </c>
      <c r="AR176" s="227"/>
      <c r="AS176" s="227" t="str">
        <f t="shared" si="14"/>
        <v>Nej</v>
      </c>
      <c r="AT176" s="227" t="str">
        <f>IF(AS176="ja",VLOOKUP($B176,Miljö!$B$1:$O$500,MATCH("Fossil andel i procent (%)",Miljö!$B$1:$O$1,0),FALSE)/100,"")</f>
        <v/>
      </c>
      <c r="AU176" s="227"/>
      <c r="AV176" s="227" t="str">
        <f t="shared" si="15"/>
        <v>Nej</v>
      </c>
      <c r="AW176" s="227" t="str">
        <f>IF(AV176="ja",VLOOKUP($B176,'Egen hetvattenprod'!$B$1:$AO$500,MATCH("Värmekälla till värmepumpar ()",'Egen hetvattenprod'!$B$1:$AO$1,0),FALSE),"")</f>
        <v/>
      </c>
      <c r="AX176" s="227"/>
      <c r="AY176" s="227" t="str">
        <f t="shared" si="16"/>
        <v>Nej</v>
      </c>
      <c r="AZ176" s="228" t="str">
        <f>IF($AY176="ja",(VLOOKUP($B176,'Egen hetvattenprod'!$B$1:$BX$550,MATCH(AZ$2,'Egen hetvattenprod'!$B$1:$BX$1,0),FALSE)+VLOOKUP($B176,Kraftvärmeprod!$B$1:$BX$550,MATCH(AZ$2,Kraftvärmeprod!$B$1:$BX$1,0),FALSE))/$AC176,"")</f>
        <v/>
      </c>
      <c r="BA176" s="228" t="str">
        <f>IF($AY176="ja",(VLOOKUP($B176,'Egen hetvattenprod'!$B$1:$BX$550,MATCH(BA$2,'Egen hetvattenprod'!$B$1:$BX$1,0),FALSE)+VLOOKUP($B176,Kraftvärmeprod!$B$1:$BX$550,MATCH(BA$2,Kraftvärmeprod!$B$1:$BX$1,0),FALSE))/$AC176,"")</f>
        <v/>
      </c>
      <c r="BB176" s="228" t="str">
        <f>IF($AY176="ja",(VLOOKUP($B176,'Egen hetvattenprod'!$B$1:$BX$550,MATCH(BB$2,'Egen hetvattenprod'!$B$1:$BX$1,0),FALSE)+VLOOKUP($B176,Kraftvärmeprod!$B$1:$BX$550,MATCH(BB$2,Kraftvärmeprod!$B$1:$BX$1,0),FALSE))/$AC176,"")</f>
        <v/>
      </c>
      <c r="BC176" s="228" t="str">
        <f>IF($AY176="ja",(VLOOKUP($B176,'Egen hetvattenprod'!$B$1:$BX$550,MATCH(BC$2,'Egen hetvattenprod'!$B$1:$BX$1,0),FALSE)+VLOOKUP($B176,Kraftvärmeprod!$B$1:$BX$550,MATCH(BC$2,Kraftvärmeprod!$B$1:$BX$1,0),FALSE))/$AC176,"")</f>
        <v/>
      </c>
      <c r="BD176" s="228" t="str">
        <f>IF($AY176="ja",(VLOOKUP($B176,'Egen hetvattenprod'!$B$1:$BX$550,MATCH(BD$2,'Egen hetvattenprod'!$B$1:$BX$1,0),FALSE)+VLOOKUP($B176,Kraftvärmeprod!$B$1:$BX$550,MATCH(BD$2,Kraftvärmeprod!$B$1:$BX$1,0),FALSE))/$AC176,"")</f>
        <v/>
      </c>
      <c r="BE176" s="227"/>
      <c r="BF176" s="227" t="str">
        <f t="shared" si="17"/>
        <v>Nej</v>
      </c>
      <c r="BG176" s="227" t="str">
        <f>IF($BF176="ja",VLOOKUP($B176,'Egen hetvattenprod'!$B$1:$BX$550,MATCH("Andelen klimatgaser med fossilt ursprung för avfall ()",'Egen hetvattenprod'!$B$1:$BX$1,0),FALSE),"")</f>
        <v/>
      </c>
      <c r="BH176" s="227" t="str">
        <f>IF($BF176="ja",VLOOKUP($B176,Kraftvärmeprod!$B$1:$BX$550,MATCH("Andelen klimatgaser med fossilt ursprung för avfall ()",Kraftvärmeprod!$B$1:$BX$1,0),FALSE),"")</f>
        <v/>
      </c>
      <c r="BI176" s="227" t="str">
        <f>IF($BF176="ja",VLOOKUP($B176,'Egen hetvattenprod'!$B$1:$BX$550,MATCH("Avfall (GWh)",'Egen hetvattenprod'!$B$1:$BX$1,0),FALSE),"")</f>
        <v/>
      </c>
      <c r="BJ176" s="227" t="str">
        <f>IF($BF176="ja",VLOOKUP($B176,'Slutlig allokering kvv'!$B$1:$BX$550,MATCH("Avfall (GWh)",'Slutlig allokering kvv'!$B$1:$BX$1,0),FALSE),"")</f>
        <v/>
      </c>
      <c r="BK176" s="227" t="str">
        <f>IF($BF176="ja",VLOOKUP($B176,'Köpt hetvatten'!$B$1:$BX$550,MATCH("Avfall i köpt hetvatten",'Köpt hetvatten'!$B$1:$BX$1,0),FALSE),"")</f>
        <v/>
      </c>
      <c r="BL176" s="227" t="str">
        <f>IF($BF176="ja",VLOOKUP($B176,'Egen hetvattenprod'!$B$1:$BX$550,MATCH("Värde enligt ovan. (%)",'Egen hetvattenprod'!$B$1:$BX$1,0),FALSE),"")</f>
        <v/>
      </c>
      <c r="BM176" s="227" t="str">
        <f>IF($BF176="ja",VLOOKUP($B176,Kraftvärmeprod!$B$1:$BX$550,MATCH("Värde enligt ovan. (%)",Kraftvärmeprod!$B$1:$BX$1,0),FALSE),"")</f>
        <v/>
      </c>
      <c r="BN176" s="227"/>
      <c r="BO176" s="227"/>
      <c r="BP176" s="227"/>
      <c r="BQ176" s="227" t="str">
        <f>IF($BF176="ja",VLOOKUP($B176,'Egen hetvattenprod'!$B$1:$BX$550,MATCH("Tillförd olja (fossil) vid avfallsförbränning (GWh)",'Egen hetvattenprod'!$B$1:$BX$1,0),FALSE),"")</f>
        <v/>
      </c>
      <c r="BR176" s="227" t="str">
        <f>IF($BF176="ja",VLOOKUP($B176,Kraftvärmeprod!$B$1:$BX$550,MATCH("Tillförd olja (fossil) vid avfallsförbränning (GWh)",Kraftvärmeprod!$B$1:$BX$1,0),FALSE),"")</f>
        <v/>
      </c>
      <c r="BS176" s="227"/>
      <c r="BT176" s="227"/>
      <c r="BU176" s="227"/>
    </row>
    <row r="177" spans="1:73" x14ac:dyDescent="0.25">
      <c r="A177" s="121" t="str">
        <f>'Miljövärden för publ företag'!B180</f>
        <v>Neova AB</v>
      </c>
      <c r="B177" s="121" t="str">
        <f>'Miljövärden för publ företag'!C180</f>
        <v>Bjuv</v>
      </c>
      <c r="C177" s="173">
        <f>IFERROR(VLOOKUP($B177,Totalt!$B$1:$AQ$554,MATCH(C$2,Totalt!$B$1:$AQ$1,0),FALSE),"")</f>
        <v>0</v>
      </c>
      <c r="D177" s="173">
        <f>IFERROR(VLOOKUP($B177,Totalt!$B$1:$AQ$554,MATCH(D$2,Totalt!$B$1:$AQ$1,0),FALSE),"")</f>
        <v>0</v>
      </c>
      <c r="E177" s="173">
        <f>IFERROR(VLOOKUP($B177,Totalt!$B$1:$AQ$554,MATCH(E$2,Totalt!$B$1:$AQ$1,0),FALSE),"")</f>
        <v>0</v>
      </c>
      <c r="F177" s="173">
        <f>IFERROR(VLOOKUP($B177,Totalt!$B$1:$AQ$554,MATCH(F$2,Totalt!$B$1:$AQ$1,0),FALSE),"")</f>
        <v>0</v>
      </c>
      <c r="G177" s="173">
        <f>IFERROR(VLOOKUP($B177,Totalt!$B$1:$AQ$554,MATCH(G$2,Totalt!$B$1:$AQ$1,0),FALSE),"")</f>
        <v>2.5979999999999999</v>
      </c>
      <c r="H177" s="173">
        <f>IFERROR(VLOOKUP($B177,Totalt!$B$1:$AQ$554,MATCH(H$2,Totalt!$B$1:$AQ$1,0),FALSE),"")</f>
        <v>0</v>
      </c>
      <c r="I177" s="173">
        <f>IFERROR(VLOOKUP($B177,Totalt!$B$1:$AQ$554,MATCH(I$2,Totalt!$B$1:$AQ$1,0),FALSE),"")</f>
        <v>0</v>
      </c>
      <c r="J177" s="173">
        <f>IFERROR(VLOOKUP($B177,Totalt!$B$1:$AQ$554,MATCH(J$2,Totalt!$B$1:$AQ$1,0),FALSE),"")</f>
        <v>0</v>
      </c>
      <c r="K177" s="173">
        <f>IFERROR(VLOOKUP($B177,Totalt!$B$1:$AQ$554,MATCH(K$2,Totalt!$B$1:$AQ$1,0),FALSE),"")</f>
        <v>0</v>
      </c>
      <c r="L177" s="173">
        <f>IFERROR(VLOOKUP($B177,Totalt!$B$1:$AQ$554,MATCH(L$2,Totalt!$B$1:$AQ$1,0),FALSE),"")</f>
        <v>0</v>
      </c>
      <c r="M177" s="173">
        <f>IFERROR(VLOOKUP($B177,Totalt!$B$1:$AQ$554,MATCH(M$2,Totalt!$B$1:$AQ$1,0),FALSE),"")</f>
        <v>0</v>
      </c>
      <c r="N177" s="173">
        <f>IFERROR(VLOOKUP($B177,Totalt!$B$1:$AQ$554,MATCH(N$2,Totalt!$B$1:$AQ$1,0),FALSE),"")</f>
        <v>0</v>
      </c>
      <c r="O177" s="173">
        <f>IFERROR(VLOOKUP($B177,Totalt!$B$1:$AQ$554,MATCH(O$2,Totalt!$B$1:$AQ$1,0),FALSE),"")</f>
        <v>0</v>
      </c>
      <c r="P177" s="173">
        <f>IFERROR(VLOOKUP($B177,Totalt!$B$1:$AQ$554,MATCH(P$2,Totalt!$B$1:$AQ$1,0),FALSE),"")</f>
        <v>25.164000000000001</v>
      </c>
      <c r="Q177" s="173">
        <f>IFERROR(VLOOKUP($B177,Totalt!$B$1:$AQ$554,MATCH(Q$2,Totalt!$B$1:$AQ$1,0),FALSE),"")</f>
        <v>0</v>
      </c>
      <c r="R177" s="173">
        <f>IFERROR(VLOOKUP($B177,Totalt!$B$1:$AQ$554,MATCH(R$2,Totalt!$B$1:$AQ$1,0),FALSE),"")</f>
        <v>0.66200000000000003</v>
      </c>
      <c r="S177" s="173">
        <f>IFERROR(VLOOKUP($B177,Totalt!$B$1:$AQ$554,MATCH(S$2,Totalt!$B$1:$AQ$1,0),FALSE),"")</f>
        <v>0</v>
      </c>
      <c r="T177" s="173">
        <f>IFERROR(VLOOKUP($B177,Totalt!$B$1:$AQ$554,MATCH(T$2,Totalt!$B$1:$AQ$1,0),FALSE),"")</f>
        <v>0</v>
      </c>
      <c r="U177" s="173">
        <f>IFERROR(VLOOKUP($B177,Totalt!$B$1:$AQ$554,MATCH(U$2,Totalt!$B$1:$AQ$1,0),FALSE),"")</f>
        <v>0</v>
      </c>
      <c r="V177" s="173">
        <f>IFERROR(VLOOKUP($B177,Totalt!$B$1:$AQ$554,MATCH(V$2,Totalt!$B$1:$AQ$1,0),FALSE),"")</f>
        <v>0</v>
      </c>
      <c r="W177" s="173">
        <f>IFERROR(VLOOKUP($B177,Totalt!$B$1:$AQ$554,MATCH(W$2,Totalt!$B$1:$AQ$1,0),FALSE),"")</f>
        <v>0</v>
      </c>
      <c r="X177" s="173">
        <f>IFERROR(VLOOKUP($B177,Totalt!$B$1:$AQ$554,MATCH(X$2,Totalt!$B$1:$AQ$1,0),FALSE),"")</f>
        <v>0</v>
      </c>
      <c r="Y177" s="173">
        <f>IFERROR(VLOOKUP($B177,Totalt!$B$1:$AQ$554,MATCH(Y$2,Totalt!$B$1:$AQ$1,0),FALSE),"")</f>
        <v>0</v>
      </c>
      <c r="Z177" s="173">
        <f>IFERROR(VLOOKUP($B177,Totalt!$B$1:$AQ$554,MATCH(Z$2,Totalt!$B$1:$AQ$1,0),FALSE),"")</f>
        <v>0</v>
      </c>
      <c r="AA177" s="173">
        <f>IFERROR(VLOOKUP($B177,Totalt!$B$1:$AQ$554,MATCH(AA$2,Totalt!$B$1:$AQ$1,0),FALSE),"")</f>
        <v>0</v>
      </c>
      <c r="AB177" s="173">
        <f>IFERROR(VLOOKUP($B177,Totalt!$B$1:$AQ$554,MATCH(AB$2,Totalt!$B$1:$AQ$1,0),FALSE),"")</f>
        <v>0</v>
      </c>
      <c r="AC177" s="173">
        <f>IFERROR(VLOOKUP($B177,Totalt!$B$1:$AQ$554,MATCH(AC$2,Totalt!$B$1:$AQ$1,0),FALSE),"")</f>
        <v>0</v>
      </c>
      <c r="AD177" s="173">
        <f>IFERROR(VLOOKUP($B177,Totalt!$B$1:$AQ$554,MATCH(AD$2,Totalt!$B$1:$AQ$1,0),FALSE),"")</f>
        <v>2.375</v>
      </c>
      <c r="AE177" s="173">
        <f>IFERROR(VLOOKUP($B177,Totalt!$B$1:$AQ$554,MATCH(AE$2,Totalt!$B$1:$AQ$1,0),FALSE),"")</f>
        <v>0</v>
      </c>
      <c r="AF177" s="173">
        <f>IFERROR(VLOOKUP($B177,Totalt!$B$1:$AQ$554,MATCH(AF$2,Totalt!$B$1:$AQ$1,0),FALSE),"")</f>
        <v>0.69569999999999999</v>
      </c>
      <c r="AG177" s="173">
        <f>IFERROR(VLOOKUP($B177,Totalt!$B$1:$AQ$554,MATCH(AG$2,Totalt!$B$1:$AQ$1,0),FALSE),"")</f>
        <v>0</v>
      </c>
      <c r="AI177" s="226">
        <f t="shared" si="12"/>
        <v>31.494699999999998</v>
      </c>
      <c r="AJ177" s="226">
        <f>IF(ISERROR(1/VLOOKUP($B177,Leveranser!$B$1:$S$500,MATCH("såld värme (gwh)",Leveranser!$B$1:$S$1,0),FALSE)),"",VLOOKUP($B177,Leveranser!$B$1:$S$500,MATCH("såld värme (gwh)",Leveranser!$B$1:$S$1,0),FALSE))</f>
        <v>22.4</v>
      </c>
      <c r="AM177" s="227" t="str">
        <f>IF(B177&lt;&gt;"",IF(VLOOKUP($B177,Totalt!$B$1:$AQ$554,MATCH("Kvalitetsgranskad:",Totalt!$B$1:$AQ$1,0),FALSE)="ja",VLOOKUP($B177,Miljö!$B$1:$AG$479,MATCH(AM$2,Miljö!$B$1:$AK$1,0),FALSE),""),"")</f>
        <v>Ja</v>
      </c>
      <c r="AN177" s="227" t="str">
        <f>IF(AM177="ja",VLOOKUP($B177,Miljö!$B$1:$J$479,MATCH("Typ av ursprungsspecificerad el   (Om inget värde anges används Nordisk residualmix, se inforuta) ()",Miljö!$B$1:$J$1,0),FALSE),IF(AM177="nej","Nordisk residualel",""))</f>
        <v>'Ursprungsmärkt Vattenkraft'</v>
      </c>
      <c r="AO177" s="227">
        <f>IF(AM177="","",VLOOKUP($B177,Miljö!$B$1:$J$479,MATCH("Fossilandel för ursprungspecificerad el ()",Miljö!$B$1:$J$1,0),FALSE))</f>
        <v>0</v>
      </c>
      <c r="AP177" s="227">
        <f>IF(AM177="","",IFERROR(VLOOKUP($B177,Miljö!$B$1:$J$479,MATCH("Kärnkraftsandel för ursprungsspecificerad el ()",Miljö!$B$1:$J$1,0),FALSE)/1,0))</f>
        <v>0</v>
      </c>
      <c r="AQ177" s="227">
        <f t="shared" si="13"/>
        <v>1</v>
      </c>
      <c r="AR177" s="227"/>
      <c r="AS177" s="227" t="str">
        <f t="shared" si="14"/>
        <v>Nej</v>
      </c>
      <c r="AT177" s="227" t="str">
        <f>IF(AS177="ja",VLOOKUP($B177,Miljö!$B$1:$O$500,MATCH("Fossil andel i procent (%)",Miljö!$B$1:$O$1,0),FALSE)/100,"")</f>
        <v/>
      </c>
      <c r="AU177" s="227"/>
      <c r="AV177" s="227" t="str">
        <f t="shared" si="15"/>
        <v>Nej</v>
      </c>
      <c r="AW177" s="227" t="str">
        <f>IF(AV177="ja",VLOOKUP($B177,'Egen hetvattenprod'!$B$1:$AO$500,MATCH("Värmekälla till värmepumpar ()",'Egen hetvattenprod'!$B$1:$AO$1,0),FALSE),"")</f>
        <v/>
      </c>
      <c r="AX177" s="227"/>
      <c r="AY177" s="227" t="str">
        <f t="shared" si="16"/>
        <v>Nej</v>
      </c>
      <c r="AZ177" s="228" t="str">
        <f>IF($AY177="ja",(VLOOKUP($B177,'Egen hetvattenprod'!$B$1:$BX$550,MATCH(AZ$2,'Egen hetvattenprod'!$B$1:$BX$1,0),FALSE)+VLOOKUP($B177,Kraftvärmeprod!$B$1:$BX$550,MATCH(AZ$2,Kraftvärmeprod!$B$1:$BX$1,0),FALSE))/$AC177,"")</f>
        <v/>
      </c>
      <c r="BA177" s="228" t="str">
        <f>IF($AY177="ja",(VLOOKUP($B177,'Egen hetvattenprod'!$B$1:$BX$550,MATCH(BA$2,'Egen hetvattenprod'!$B$1:$BX$1,0),FALSE)+VLOOKUP($B177,Kraftvärmeprod!$B$1:$BX$550,MATCH(BA$2,Kraftvärmeprod!$B$1:$BX$1,0),FALSE))/$AC177,"")</f>
        <v/>
      </c>
      <c r="BB177" s="228" t="str">
        <f>IF($AY177="ja",(VLOOKUP($B177,'Egen hetvattenprod'!$B$1:$BX$550,MATCH(BB$2,'Egen hetvattenprod'!$B$1:$BX$1,0),FALSE)+VLOOKUP($B177,Kraftvärmeprod!$B$1:$BX$550,MATCH(BB$2,Kraftvärmeprod!$B$1:$BX$1,0),FALSE))/$AC177,"")</f>
        <v/>
      </c>
      <c r="BC177" s="228" t="str">
        <f>IF($AY177="ja",(VLOOKUP($B177,'Egen hetvattenprod'!$B$1:$BX$550,MATCH(BC$2,'Egen hetvattenprod'!$B$1:$BX$1,0),FALSE)+VLOOKUP($B177,Kraftvärmeprod!$B$1:$BX$550,MATCH(BC$2,Kraftvärmeprod!$B$1:$BX$1,0),FALSE))/$AC177,"")</f>
        <v/>
      </c>
      <c r="BD177" s="228" t="str">
        <f>IF($AY177="ja",(VLOOKUP($B177,'Egen hetvattenprod'!$B$1:$BX$550,MATCH(BD$2,'Egen hetvattenprod'!$B$1:$BX$1,0),FALSE)+VLOOKUP($B177,Kraftvärmeprod!$B$1:$BX$550,MATCH(BD$2,Kraftvärmeprod!$B$1:$BX$1,0),FALSE))/$AC177,"")</f>
        <v/>
      </c>
      <c r="BE177" s="227"/>
      <c r="BF177" s="227" t="str">
        <f t="shared" si="17"/>
        <v>Nej</v>
      </c>
      <c r="BG177" s="227" t="str">
        <f>IF($BF177="ja",VLOOKUP($B177,'Egen hetvattenprod'!$B$1:$BX$550,MATCH("Andelen klimatgaser med fossilt ursprung för avfall ()",'Egen hetvattenprod'!$B$1:$BX$1,0),FALSE),"")</f>
        <v/>
      </c>
      <c r="BH177" s="227" t="str">
        <f>IF($BF177="ja",VLOOKUP($B177,Kraftvärmeprod!$B$1:$BX$550,MATCH("Andelen klimatgaser med fossilt ursprung för avfall ()",Kraftvärmeprod!$B$1:$BX$1,0),FALSE),"")</f>
        <v/>
      </c>
      <c r="BI177" s="227" t="str">
        <f>IF($BF177="ja",VLOOKUP($B177,'Egen hetvattenprod'!$B$1:$BX$550,MATCH("Avfall (GWh)",'Egen hetvattenprod'!$B$1:$BX$1,0),FALSE),"")</f>
        <v/>
      </c>
      <c r="BJ177" s="227" t="str">
        <f>IF($BF177="ja",VLOOKUP($B177,'Slutlig allokering kvv'!$B$1:$BX$550,MATCH("Avfall (GWh)",'Slutlig allokering kvv'!$B$1:$BX$1,0),FALSE),"")</f>
        <v/>
      </c>
      <c r="BK177" s="227" t="str">
        <f>IF($BF177="ja",VLOOKUP($B177,'Köpt hetvatten'!$B$1:$BX$550,MATCH("Avfall i köpt hetvatten",'Köpt hetvatten'!$B$1:$BX$1,0),FALSE),"")</f>
        <v/>
      </c>
      <c r="BL177" s="227" t="str">
        <f>IF($BF177="ja",VLOOKUP($B177,'Egen hetvattenprod'!$B$1:$BX$550,MATCH("Värde enligt ovan. (%)",'Egen hetvattenprod'!$B$1:$BX$1,0),FALSE),"")</f>
        <v/>
      </c>
      <c r="BM177" s="227" t="str">
        <f>IF($BF177="ja",VLOOKUP($B177,Kraftvärmeprod!$B$1:$BX$550,MATCH("Värde enligt ovan. (%)",Kraftvärmeprod!$B$1:$BX$1,0),FALSE),"")</f>
        <v/>
      </c>
      <c r="BN177" s="227"/>
      <c r="BO177" s="227"/>
      <c r="BP177" s="227"/>
      <c r="BQ177" s="227" t="str">
        <f>IF($BF177="ja",VLOOKUP($B177,'Egen hetvattenprod'!$B$1:$BX$550,MATCH("Tillförd olja (fossil) vid avfallsförbränning (GWh)",'Egen hetvattenprod'!$B$1:$BX$1,0),FALSE),"")</f>
        <v/>
      </c>
      <c r="BR177" s="227" t="str">
        <f>IF($BF177="ja",VLOOKUP($B177,Kraftvärmeprod!$B$1:$BX$550,MATCH("Tillförd olja (fossil) vid avfallsförbränning (GWh)",Kraftvärmeprod!$B$1:$BX$1,0),FALSE),"")</f>
        <v/>
      </c>
      <c r="BS177" s="227"/>
      <c r="BT177" s="227"/>
      <c r="BU177" s="227"/>
    </row>
    <row r="178" spans="1:73" x14ac:dyDescent="0.25">
      <c r="A178" s="121" t="str">
        <f>'Miljövärden för publ företag'!B181</f>
        <v>Neova AB</v>
      </c>
      <c r="B178" s="121" t="str">
        <f>'Miljövärden för publ företag'!C181</f>
        <v>Gimo</v>
      </c>
      <c r="C178" s="173">
        <f>IFERROR(VLOOKUP($B178,Totalt!$B$1:$AQ$554,MATCH(C$2,Totalt!$B$1:$AQ$1,0),FALSE),"")</f>
        <v>0</v>
      </c>
      <c r="D178" s="173">
        <f>IFERROR(VLOOKUP($B178,Totalt!$B$1:$AQ$554,MATCH(D$2,Totalt!$B$1:$AQ$1,0),FALSE),"")</f>
        <v>2.649</v>
      </c>
      <c r="E178" s="173">
        <f>IFERROR(VLOOKUP($B178,Totalt!$B$1:$AQ$554,MATCH(E$2,Totalt!$B$1:$AQ$1,0),FALSE),"")</f>
        <v>0</v>
      </c>
      <c r="F178" s="173">
        <f>IFERROR(VLOOKUP($B178,Totalt!$B$1:$AQ$554,MATCH(F$2,Totalt!$B$1:$AQ$1,0),FALSE),"")</f>
        <v>0</v>
      </c>
      <c r="G178" s="173">
        <f>IFERROR(VLOOKUP($B178,Totalt!$B$1:$AQ$554,MATCH(G$2,Totalt!$B$1:$AQ$1,0),FALSE),"")</f>
        <v>0</v>
      </c>
      <c r="H178" s="173">
        <f>IFERROR(VLOOKUP($B178,Totalt!$B$1:$AQ$554,MATCH(H$2,Totalt!$B$1:$AQ$1,0),FALSE),"")</f>
        <v>0</v>
      </c>
      <c r="I178" s="173">
        <f>IFERROR(VLOOKUP($B178,Totalt!$B$1:$AQ$554,MATCH(I$2,Totalt!$B$1:$AQ$1,0),FALSE),"")</f>
        <v>0</v>
      </c>
      <c r="J178" s="173">
        <f>IFERROR(VLOOKUP($B178,Totalt!$B$1:$AQ$554,MATCH(J$2,Totalt!$B$1:$AQ$1,0),FALSE),"")</f>
        <v>0</v>
      </c>
      <c r="K178" s="173">
        <f>IFERROR(VLOOKUP($B178,Totalt!$B$1:$AQ$554,MATCH(K$2,Totalt!$B$1:$AQ$1,0),FALSE),"")</f>
        <v>0</v>
      </c>
      <c r="L178" s="173">
        <f>IFERROR(VLOOKUP($B178,Totalt!$B$1:$AQ$554,MATCH(L$2,Totalt!$B$1:$AQ$1,0),FALSE),"")</f>
        <v>0</v>
      </c>
      <c r="M178" s="173">
        <f>IFERROR(VLOOKUP($B178,Totalt!$B$1:$AQ$554,MATCH(M$2,Totalt!$B$1:$AQ$1,0),FALSE),"")</f>
        <v>0</v>
      </c>
      <c r="N178" s="173">
        <f>IFERROR(VLOOKUP($B178,Totalt!$B$1:$AQ$554,MATCH(N$2,Totalt!$B$1:$AQ$1,0),FALSE),"")</f>
        <v>4.63</v>
      </c>
      <c r="O178" s="173">
        <f>IFERROR(VLOOKUP($B178,Totalt!$B$1:$AQ$554,MATCH(O$2,Totalt!$B$1:$AQ$1,0),FALSE),"")</f>
        <v>0</v>
      </c>
      <c r="P178" s="173">
        <f>IFERROR(VLOOKUP($B178,Totalt!$B$1:$AQ$554,MATCH(P$2,Totalt!$B$1:$AQ$1,0),FALSE),"")</f>
        <v>10</v>
      </c>
      <c r="Q178" s="173">
        <f>IFERROR(VLOOKUP($B178,Totalt!$B$1:$AQ$554,MATCH(Q$2,Totalt!$B$1:$AQ$1,0),FALSE),"")</f>
        <v>0</v>
      </c>
      <c r="R178" s="173">
        <f>IFERROR(VLOOKUP($B178,Totalt!$B$1:$AQ$554,MATCH(R$2,Totalt!$B$1:$AQ$1,0),FALSE),"")</f>
        <v>0</v>
      </c>
      <c r="S178" s="173">
        <f>IFERROR(VLOOKUP($B178,Totalt!$B$1:$AQ$554,MATCH(S$2,Totalt!$B$1:$AQ$1,0),FALSE),"")</f>
        <v>0</v>
      </c>
      <c r="T178" s="173">
        <f>IFERROR(VLOOKUP($B178,Totalt!$B$1:$AQ$554,MATCH(T$2,Totalt!$B$1:$AQ$1,0),FALSE),"")</f>
        <v>0</v>
      </c>
      <c r="U178" s="173">
        <f>IFERROR(VLOOKUP($B178,Totalt!$B$1:$AQ$554,MATCH(U$2,Totalt!$B$1:$AQ$1,0),FALSE),"")</f>
        <v>0</v>
      </c>
      <c r="V178" s="173">
        <f>IFERROR(VLOOKUP($B178,Totalt!$B$1:$AQ$554,MATCH(V$2,Totalt!$B$1:$AQ$1,0),FALSE),"")</f>
        <v>0</v>
      </c>
      <c r="W178" s="173">
        <f>IFERROR(VLOOKUP($B178,Totalt!$B$1:$AQ$554,MATCH(W$2,Totalt!$B$1:$AQ$1,0),FALSE),"")</f>
        <v>0</v>
      </c>
      <c r="X178" s="173">
        <f>IFERROR(VLOOKUP($B178,Totalt!$B$1:$AQ$554,MATCH(X$2,Totalt!$B$1:$AQ$1,0),FALSE),"")</f>
        <v>0</v>
      </c>
      <c r="Y178" s="173">
        <f>IFERROR(VLOOKUP($B178,Totalt!$B$1:$AQ$554,MATCH(Y$2,Totalt!$B$1:$AQ$1,0),FALSE),"")</f>
        <v>0</v>
      </c>
      <c r="Z178" s="173">
        <f>IFERROR(VLOOKUP($B178,Totalt!$B$1:$AQ$554,MATCH(Z$2,Totalt!$B$1:$AQ$1,0),FALSE),"")</f>
        <v>0</v>
      </c>
      <c r="AA178" s="173">
        <f>IFERROR(VLOOKUP($B178,Totalt!$B$1:$AQ$554,MATCH(AA$2,Totalt!$B$1:$AQ$1,0),FALSE),"")</f>
        <v>0</v>
      </c>
      <c r="AB178" s="173">
        <f>IFERROR(VLOOKUP($B178,Totalt!$B$1:$AQ$554,MATCH(AB$2,Totalt!$B$1:$AQ$1,0),FALSE),"")</f>
        <v>0</v>
      </c>
      <c r="AC178" s="173">
        <f>IFERROR(VLOOKUP($B178,Totalt!$B$1:$AQ$554,MATCH(AC$2,Totalt!$B$1:$AQ$1,0),FALSE),"")</f>
        <v>0</v>
      </c>
      <c r="AD178" s="173">
        <f>IFERROR(VLOOKUP($B178,Totalt!$B$1:$AQ$554,MATCH(AD$2,Totalt!$B$1:$AQ$1,0),FALSE),"")</f>
        <v>0</v>
      </c>
      <c r="AE178" s="173">
        <f>IFERROR(VLOOKUP($B178,Totalt!$B$1:$AQ$554,MATCH(AE$2,Totalt!$B$1:$AQ$1,0),FALSE),"")</f>
        <v>0</v>
      </c>
      <c r="AF178" s="173">
        <f>IFERROR(VLOOKUP($B178,Totalt!$B$1:$AQ$554,MATCH(AF$2,Totalt!$B$1:$AQ$1,0),FALSE),"")</f>
        <v>0.245</v>
      </c>
      <c r="AG178" s="173">
        <f>IFERROR(VLOOKUP($B178,Totalt!$B$1:$AQ$554,MATCH(AG$2,Totalt!$B$1:$AQ$1,0),FALSE),"")</f>
        <v>0</v>
      </c>
      <c r="AI178" s="226">
        <f t="shared" si="12"/>
        <v>17.524000000000001</v>
      </c>
      <c r="AJ178" s="226">
        <f>IF(ISERROR(1/VLOOKUP($B178,Leveranser!$B$1:$S$500,MATCH("såld värme (gwh)",Leveranser!$B$1:$S$1,0),FALSE)),"",VLOOKUP($B178,Leveranser!$B$1:$S$500,MATCH("såld värme (gwh)",Leveranser!$B$1:$S$1,0),FALSE))</f>
        <v>12.478999999999999</v>
      </c>
      <c r="AM178" s="227" t="str">
        <f>IF(B178&lt;&gt;"",IF(VLOOKUP($B178,Totalt!$B$1:$AQ$554,MATCH("Kvalitetsgranskad:",Totalt!$B$1:$AQ$1,0),FALSE)="ja",VLOOKUP($B178,Miljö!$B$1:$AG$479,MATCH(AM$2,Miljö!$B$1:$AK$1,0),FALSE),""),"")</f>
        <v>Ja</v>
      </c>
      <c r="AN178" s="227" t="str">
        <f>IF(AM178="ja",VLOOKUP($B178,Miljö!$B$1:$J$479,MATCH("Typ av ursprungsspecificerad el   (Om inget värde anges används Nordisk residualmix, se inforuta) ()",Miljö!$B$1:$J$1,0),FALSE),IF(AM178="nej","Nordisk residualel",""))</f>
        <v>'Ursprungsmärkt Vattenkraft'</v>
      </c>
      <c r="AO178" s="227">
        <f>IF(AM178="","",VLOOKUP($B178,Miljö!$B$1:$J$479,MATCH("Fossilandel för ursprungspecificerad el ()",Miljö!$B$1:$J$1,0),FALSE))</f>
        <v>0</v>
      </c>
      <c r="AP178" s="227">
        <f>IF(AM178="","",IFERROR(VLOOKUP($B178,Miljö!$B$1:$J$479,MATCH("Kärnkraftsandel för ursprungsspecificerad el ()",Miljö!$B$1:$J$1,0),FALSE)/1,0))</f>
        <v>0</v>
      </c>
      <c r="AQ178" s="227">
        <f t="shared" si="13"/>
        <v>1</v>
      </c>
      <c r="AR178" s="227"/>
      <c r="AS178" s="227" t="str">
        <f t="shared" si="14"/>
        <v>Nej</v>
      </c>
      <c r="AT178" s="227" t="str">
        <f>IF(AS178="ja",VLOOKUP($B178,Miljö!$B$1:$O$500,MATCH("Fossil andel i procent (%)",Miljö!$B$1:$O$1,0),FALSE)/100,"")</f>
        <v/>
      </c>
      <c r="AU178" s="227"/>
      <c r="AV178" s="227" t="str">
        <f t="shared" si="15"/>
        <v>Nej</v>
      </c>
      <c r="AW178" s="227" t="str">
        <f>IF(AV178="ja",VLOOKUP($B178,'Egen hetvattenprod'!$B$1:$AO$500,MATCH("Värmekälla till värmepumpar ()",'Egen hetvattenprod'!$B$1:$AO$1,0),FALSE),"")</f>
        <v/>
      </c>
      <c r="AX178" s="227"/>
      <c r="AY178" s="227" t="str">
        <f t="shared" si="16"/>
        <v>Nej</v>
      </c>
      <c r="AZ178" s="228" t="str">
        <f>IF($AY178="ja",(VLOOKUP($B178,'Egen hetvattenprod'!$B$1:$BX$550,MATCH(AZ$2,'Egen hetvattenprod'!$B$1:$BX$1,0),FALSE)+VLOOKUP($B178,Kraftvärmeprod!$B$1:$BX$550,MATCH(AZ$2,Kraftvärmeprod!$B$1:$BX$1,0),FALSE))/$AC178,"")</f>
        <v/>
      </c>
      <c r="BA178" s="228" t="str">
        <f>IF($AY178="ja",(VLOOKUP($B178,'Egen hetvattenprod'!$B$1:$BX$550,MATCH(BA$2,'Egen hetvattenprod'!$B$1:$BX$1,0),FALSE)+VLOOKUP($B178,Kraftvärmeprod!$B$1:$BX$550,MATCH(BA$2,Kraftvärmeprod!$B$1:$BX$1,0),FALSE))/$AC178,"")</f>
        <v/>
      </c>
      <c r="BB178" s="228" t="str">
        <f>IF($AY178="ja",(VLOOKUP($B178,'Egen hetvattenprod'!$B$1:$BX$550,MATCH(BB$2,'Egen hetvattenprod'!$B$1:$BX$1,0),FALSE)+VLOOKUP($B178,Kraftvärmeprod!$B$1:$BX$550,MATCH(BB$2,Kraftvärmeprod!$B$1:$BX$1,0),FALSE))/$AC178,"")</f>
        <v/>
      </c>
      <c r="BC178" s="228" t="str">
        <f>IF($AY178="ja",(VLOOKUP($B178,'Egen hetvattenprod'!$B$1:$BX$550,MATCH(BC$2,'Egen hetvattenprod'!$B$1:$BX$1,0),FALSE)+VLOOKUP($B178,Kraftvärmeprod!$B$1:$BX$550,MATCH(BC$2,Kraftvärmeprod!$B$1:$BX$1,0),FALSE))/$AC178,"")</f>
        <v/>
      </c>
      <c r="BD178" s="228" t="str">
        <f>IF($AY178="ja",(VLOOKUP($B178,'Egen hetvattenprod'!$B$1:$BX$550,MATCH(BD$2,'Egen hetvattenprod'!$B$1:$BX$1,0),FALSE)+VLOOKUP($B178,Kraftvärmeprod!$B$1:$BX$550,MATCH(BD$2,Kraftvärmeprod!$B$1:$BX$1,0),FALSE))/$AC178,"")</f>
        <v/>
      </c>
      <c r="BE178" s="227"/>
      <c r="BF178" s="227" t="str">
        <f t="shared" si="17"/>
        <v>Nej</v>
      </c>
      <c r="BG178" s="227" t="str">
        <f>IF($BF178="ja",VLOOKUP($B178,'Egen hetvattenprod'!$B$1:$BX$550,MATCH("Andelen klimatgaser med fossilt ursprung för avfall ()",'Egen hetvattenprod'!$B$1:$BX$1,0),FALSE),"")</f>
        <v/>
      </c>
      <c r="BH178" s="227" t="str">
        <f>IF($BF178="ja",VLOOKUP($B178,Kraftvärmeprod!$B$1:$BX$550,MATCH("Andelen klimatgaser med fossilt ursprung för avfall ()",Kraftvärmeprod!$B$1:$BX$1,0),FALSE),"")</f>
        <v/>
      </c>
      <c r="BI178" s="227" t="str">
        <f>IF($BF178="ja",VLOOKUP($B178,'Egen hetvattenprod'!$B$1:$BX$550,MATCH("Avfall (GWh)",'Egen hetvattenprod'!$B$1:$BX$1,0),FALSE),"")</f>
        <v/>
      </c>
      <c r="BJ178" s="227" t="str">
        <f>IF($BF178="ja",VLOOKUP($B178,'Slutlig allokering kvv'!$B$1:$BX$550,MATCH("Avfall (GWh)",'Slutlig allokering kvv'!$B$1:$BX$1,0),FALSE),"")</f>
        <v/>
      </c>
      <c r="BK178" s="227" t="str">
        <f>IF($BF178="ja",VLOOKUP($B178,'Köpt hetvatten'!$B$1:$BX$550,MATCH("Avfall i köpt hetvatten",'Köpt hetvatten'!$B$1:$BX$1,0),FALSE),"")</f>
        <v/>
      </c>
      <c r="BL178" s="227" t="str">
        <f>IF($BF178="ja",VLOOKUP($B178,'Egen hetvattenprod'!$B$1:$BX$550,MATCH("Värde enligt ovan. (%)",'Egen hetvattenprod'!$B$1:$BX$1,0),FALSE),"")</f>
        <v/>
      </c>
      <c r="BM178" s="227" t="str">
        <f>IF($BF178="ja",VLOOKUP($B178,Kraftvärmeprod!$B$1:$BX$550,MATCH("Värde enligt ovan. (%)",Kraftvärmeprod!$B$1:$BX$1,0),FALSE),"")</f>
        <v/>
      </c>
      <c r="BN178" s="227"/>
      <c r="BO178" s="227"/>
      <c r="BP178" s="227"/>
      <c r="BQ178" s="227" t="str">
        <f>IF($BF178="ja",VLOOKUP($B178,'Egen hetvattenprod'!$B$1:$BX$550,MATCH("Tillförd olja (fossil) vid avfallsförbränning (GWh)",'Egen hetvattenprod'!$B$1:$BX$1,0),FALSE),"")</f>
        <v/>
      </c>
      <c r="BR178" s="227" t="str">
        <f>IF($BF178="ja",VLOOKUP($B178,Kraftvärmeprod!$B$1:$BX$550,MATCH("Tillförd olja (fossil) vid avfallsförbränning (GWh)",Kraftvärmeprod!$B$1:$BX$1,0),FALSE),"")</f>
        <v/>
      </c>
      <c r="BS178" s="227"/>
      <c r="BT178" s="227"/>
      <c r="BU178" s="227"/>
    </row>
    <row r="179" spans="1:73" x14ac:dyDescent="0.25">
      <c r="A179" s="121" t="str">
        <f>'Miljövärden för publ företag'!B182</f>
        <v>Neova AB</v>
      </c>
      <c r="B179" s="121" t="str">
        <f>'Miljövärden för publ företag'!C182</f>
        <v>Hultsfred</v>
      </c>
      <c r="C179" s="173">
        <f>IFERROR(VLOOKUP($B179,Totalt!$B$1:$AQ$554,MATCH(C$2,Totalt!$B$1:$AQ$1,0),FALSE),"")</f>
        <v>0</v>
      </c>
      <c r="D179" s="173">
        <f>IFERROR(VLOOKUP($B179,Totalt!$B$1:$AQ$554,MATCH(D$2,Totalt!$B$1:$AQ$1,0),FALSE),"")</f>
        <v>0.108</v>
      </c>
      <c r="E179" s="173">
        <f>IFERROR(VLOOKUP($B179,Totalt!$B$1:$AQ$554,MATCH(E$2,Totalt!$B$1:$AQ$1,0),FALSE),"")</f>
        <v>0</v>
      </c>
      <c r="F179" s="173">
        <f>IFERROR(VLOOKUP($B179,Totalt!$B$1:$AQ$554,MATCH(F$2,Totalt!$B$1:$AQ$1,0),FALSE),"")</f>
        <v>0</v>
      </c>
      <c r="G179" s="173">
        <f>IFERROR(VLOOKUP($B179,Totalt!$B$1:$AQ$554,MATCH(G$2,Totalt!$B$1:$AQ$1,0),FALSE),"")</f>
        <v>0</v>
      </c>
      <c r="H179" s="173">
        <f>IFERROR(VLOOKUP($B179,Totalt!$B$1:$AQ$554,MATCH(H$2,Totalt!$B$1:$AQ$1,0),FALSE),"")</f>
        <v>0</v>
      </c>
      <c r="I179" s="173">
        <f>IFERROR(VLOOKUP($B179,Totalt!$B$1:$AQ$554,MATCH(I$2,Totalt!$B$1:$AQ$1,0),FALSE),"")</f>
        <v>0</v>
      </c>
      <c r="J179" s="173">
        <f>IFERROR(VLOOKUP($B179,Totalt!$B$1:$AQ$554,MATCH(J$2,Totalt!$B$1:$AQ$1,0),FALSE),"")</f>
        <v>0</v>
      </c>
      <c r="K179" s="173">
        <f>IFERROR(VLOOKUP($B179,Totalt!$B$1:$AQ$554,MATCH(K$2,Totalt!$B$1:$AQ$1,0),FALSE),"")</f>
        <v>0</v>
      </c>
      <c r="L179" s="173">
        <f>IFERROR(VLOOKUP($B179,Totalt!$B$1:$AQ$554,MATCH(L$2,Totalt!$B$1:$AQ$1,0),FALSE),"")</f>
        <v>0</v>
      </c>
      <c r="M179" s="173">
        <f>IFERROR(VLOOKUP($B179,Totalt!$B$1:$AQ$554,MATCH(M$2,Totalt!$B$1:$AQ$1,0),FALSE),"")</f>
        <v>0</v>
      </c>
      <c r="N179" s="173">
        <f>IFERROR(VLOOKUP($B179,Totalt!$B$1:$AQ$554,MATCH(N$2,Totalt!$B$1:$AQ$1,0),FALSE),"")</f>
        <v>0</v>
      </c>
      <c r="O179" s="173">
        <f>IFERROR(VLOOKUP($B179,Totalt!$B$1:$AQ$554,MATCH(O$2,Totalt!$B$1:$AQ$1,0),FALSE),"")</f>
        <v>0</v>
      </c>
      <c r="P179" s="173">
        <f>IFERROR(VLOOKUP($B179,Totalt!$B$1:$AQ$554,MATCH(P$2,Totalt!$B$1:$AQ$1,0),FALSE),"")</f>
        <v>39.893999999999998</v>
      </c>
      <c r="Q179" s="173">
        <f>IFERROR(VLOOKUP($B179,Totalt!$B$1:$AQ$554,MATCH(Q$2,Totalt!$B$1:$AQ$1,0),FALSE),"")</f>
        <v>0</v>
      </c>
      <c r="R179" s="173">
        <f>IFERROR(VLOOKUP($B179,Totalt!$B$1:$AQ$554,MATCH(R$2,Totalt!$B$1:$AQ$1,0),FALSE),"")</f>
        <v>0</v>
      </c>
      <c r="S179" s="173">
        <f>IFERROR(VLOOKUP($B179,Totalt!$B$1:$AQ$554,MATCH(S$2,Totalt!$B$1:$AQ$1,0),FALSE),"")</f>
        <v>0</v>
      </c>
      <c r="T179" s="173">
        <f>IFERROR(VLOOKUP($B179,Totalt!$B$1:$AQ$554,MATCH(T$2,Totalt!$B$1:$AQ$1,0),FALSE),"")</f>
        <v>0</v>
      </c>
      <c r="U179" s="173">
        <f>IFERROR(VLOOKUP($B179,Totalt!$B$1:$AQ$554,MATCH(U$2,Totalt!$B$1:$AQ$1,0),FALSE),"")</f>
        <v>0</v>
      </c>
      <c r="V179" s="173">
        <f>IFERROR(VLOOKUP($B179,Totalt!$B$1:$AQ$554,MATCH(V$2,Totalt!$B$1:$AQ$1,0),FALSE),"")</f>
        <v>0</v>
      </c>
      <c r="W179" s="173">
        <f>IFERROR(VLOOKUP($B179,Totalt!$B$1:$AQ$554,MATCH(W$2,Totalt!$B$1:$AQ$1,0),FALSE),"")</f>
        <v>0</v>
      </c>
      <c r="X179" s="173">
        <f>IFERROR(VLOOKUP($B179,Totalt!$B$1:$AQ$554,MATCH(X$2,Totalt!$B$1:$AQ$1,0),FALSE),"")</f>
        <v>0</v>
      </c>
      <c r="Y179" s="173">
        <f>IFERROR(VLOOKUP($B179,Totalt!$B$1:$AQ$554,MATCH(Y$2,Totalt!$B$1:$AQ$1,0),FALSE),"")</f>
        <v>0</v>
      </c>
      <c r="Z179" s="173">
        <f>IFERROR(VLOOKUP($B179,Totalt!$B$1:$AQ$554,MATCH(Z$2,Totalt!$B$1:$AQ$1,0),FALSE),"")</f>
        <v>0</v>
      </c>
      <c r="AA179" s="173">
        <f>IFERROR(VLOOKUP($B179,Totalt!$B$1:$AQ$554,MATCH(AA$2,Totalt!$B$1:$AQ$1,0),FALSE),"")</f>
        <v>0</v>
      </c>
      <c r="AB179" s="173">
        <f>IFERROR(VLOOKUP($B179,Totalt!$B$1:$AQ$554,MATCH(AB$2,Totalt!$B$1:$AQ$1,0),FALSE),"")</f>
        <v>0</v>
      </c>
      <c r="AC179" s="173">
        <f>IFERROR(VLOOKUP($B179,Totalt!$B$1:$AQ$554,MATCH(AC$2,Totalt!$B$1:$AQ$1,0),FALSE),"")</f>
        <v>5.625</v>
      </c>
      <c r="AD179" s="173">
        <f>IFERROR(VLOOKUP($B179,Totalt!$B$1:$AQ$554,MATCH(AD$2,Totalt!$B$1:$AQ$1,0),FALSE),"")</f>
        <v>0</v>
      </c>
      <c r="AE179" s="173">
        <f>IFERROR(VLOOKUP($B179,Totalt!$B$1:$AQ$554,MATCH(AE$2,Totalt!$B$1:$AQ$1,0),FALSE),"")</f>
        <v>0</v>
      </c>
      <c r="AF179" s="173">
        <f>IFERROR(VLOOKUP($B179,Totalt!$B$1:$AQ$554,MATCH(AF$2,Totalt!$B$1:$AQ$1,0),FALSE),"")</f>
        <v>0.85399999999999998</v>
      </c>
      <c r="AG179" s="173">
        <f>IFERROR(VLOOKUP($B179,Totalt!$B$1:$AQ$554,MATCH(AG$2,Totalt!$B$1:$AQ$1,0),FALSE),"")</f>
        <v>0</v>
      </c>
      <c r="AI179" s="226">
        <f t="shared" si="12"/>
        <v>46.480999999999995</v>
      </c>
      <c r="AJ179" s="226">
        <f>IF(ISERROR(1/VLOOKUP($B179,Leveranser!$B$1:$S$500,MATCH("såld värme (gwh)",Leveranser!$B$1:$S$1,0),FALSE)),"",VLOOKUP($B179,Leveranser!$B$1:$S$500,MATCH("såld värme (gwh)",Leveranser!$B$1:$S$1,0),FALSE))</f>
        <v>32.593000000000004</v>
      </c>
      <c r="AM179" s="227" t="str">
        <f>IF(B179&lt;&gt;"",IF(VLOOKUP($B179,Totalt!$B$1:$AQ$554,MATCH("Kvalitetsgranskad:",Totalt!$B$1:$AQ$1,0),FALSE)="ja",VLOOKUP($B179,Miljö!$B$1:$AG$479,MATCH(AM$2,Miljö!$B$1:$AK$1,0),FALSE),""),"")</f>
        <v>Ja</v>
      </c>
      <c r="AN179" s="227" t="str">
        <f>IF(AM179="ja",VLOOKUP($B179,Miljö!$B$1:$J$479,MATCH("Typ av ursprungsspecificerad el   (Om inget värde anges används Nordisk residualmix, se inforuta) ()",Miljö!$B$1:$J$1,0),FALSE),IF(AM179="nej","Nordisk residualel",""))</f>
        <v>'ursprungsmärkt vattenkraft'</v>
      </c>
      <c r="AO179" s="227">
        <f>IF(AM179="","",VLOOKUP($B179,Miljö!$B$1:$J$479,MATCH("Fossilandel för ursprungspecificerad el ()",Miljö!$B$1:$J$1,0),FALSE))</f>
        <v>0</v>
      </c>
      <c r="AP179" s="227">
        <f>IF(AM179="","",IFERROR(VLOOKUP($B179,Miljö!$B$1:$J$479,MATCH("Kärnkraftsandel för ursprungsspecificerad el ()",Miljö!$B$1:$J$1,0),FALSE)/1,0))</f>
        <v>0</v>
      </c>
      <c r="AQ179" s="227">
        <f t="shared" si="13"/>
        <v>1</v>
      </c>
      <c r="AR179" s="227"/>
      <c r="AS179" s="227" t="str">
        <f t="shared" si="14"/>
        <v>Nej</v>
      </c>
      <c r="AT179" s="227" t="str">
        <f>IF(AS179="ja",VLOOKUP($B179,Miljö!$B$1:$O$500,MATCH("Fossil andel i procent (%)",Miljö!$B$1:$O$1,0),FALSE)/100,"")</f>
        <v/>
      </c>
      <c r="AU179" s="227"/>
      <c r="AV179" s="227" t="str">
        <f t="shared" si="15"/>
        <v>Nej</v>
      </c>
      <c r="AW179" s="227" t="str">
        <f>IF(AV179="ja",VLOOKUP($B179,'Egen hetvattenprod'!$B$1:$AO$500,MATCH("Värmekälla till värmepumpar ()",'Egen hetvattenprod'!$B$1:$AO$1,0),FALSE),"")</f>
        <v/>
      </c>
      <c r="AX179" s="227"/>
      <c r="AY179" s="227" t="str">
        <f t="shared" si="16"/>
        <v>Ja</v>
      </c>
      <c r="AZ179" s="228">
        <f>IF($AY179="ja",(VLOOKUP($B179,'Egen hetvattenprod'!$B$1:$BX$550,MATCH(AZ$2,'Egen hetvattenprod'!$B$1:$BX$1,0),FALSE)+VLOOKUP($B179,Kraftvärmeprod!$B$1:$BX$550,MATCH(AZ$2,Kraftvärmeprod!$B$1:$BX$1,0),FALSE))/$AC179,"")</f>
        <v>1</v>
      </c>
      <c r="BA179" s="228">
        <f>IF($AY179="ja",(VLOOKUP($B179,'Egen hetvattenprod'!$B$1:$BX$550,MATCH(BA$2,'Egen hetvattenprod'!$B$1:$BX$1,0),FALSE)+VLOOKUP($B179,Kraftvärmeprod!$B$1:$BX$550,MATCH(BA$2,Kraftvärmeprod!$B$1:$BX$1,0),FALSE))/$AC179,"")</f>
        <v>0</v>
      </c>
      <c r="BB179" s="228">
        <f>IF($AY179="ja",(VLOOKUP($B179,'Egen hetvattenprod'!$B$1:$BX$550,MATCH(BB$2,'Egen hetvattenprod'!$B$1:$BX$1,0),FALSE)+VLOOKUP($B179,Kraftvärmeprod!$B$1:$BX$550,MATCH(BB$2,Kraftvärmeprod!$B$1:$BX$1,0),FALSE))/$AC179,"")</f>
        <v>0</v>
      </c>
      <c r="BC179" s="228">
        <f>IF($AY179="ja",(VLOOKUP($B179,'Egen hetvattenprod'!$B$1:$BX$550,MATCH(BC$2,'Egen hetvattenprod'!$B$1:$BX$1,0),FALSE)+VLOOKUP($B179,Kraftvärmeprod!$B$1:$BX$550,MATCH(BC$2,Kraftvärmeprod!$B$1:$BX$1,0),FALSE))/$AC179,"")</f>
        <v>0</v>
      </c>
      <c r="BD179" s="228">
        <f>IF($AY179="ja",(VLOOKUP($B179,'Egen hetvattenprod'!$B$1:$BX$550,MATCH(BD$2,'Egen hetvattenprod'!$B$1:$BX$1,0),FALSE)+VLOOKUP($B179,Kraftvärmeprod!$B$1:$BX$550,MATCH(BD$2,Kraftvärmeprod!$B$1:$BX$1,0),FALSE))/$AC179,"")</f>
        <v>0</v>
      </c>
      <c r="BE179" s="227"/>
      <c r="BF179" s="227" t="str">
        <f t="shared" si="17"/>
        <v>Nej</v>
      </c>
      <c r="BG179" s="227" t="str">
        <f>IF($BF179="ja",VLOOKUP($B179,'Egen hetvattenprod'!$B$1:$BX$550,MATCH("Andelen klimatgaser med fossilt ursprung för avfall ()",'Egen hetvattenprod'!$B$1:$BX$1,0),FALSE),"")</f>
        <v/>
      </c>
      <c r="BH179" s="227" t="str">
        <f>IF($BF179="ja",VLOOKUP($B179,Kraftvärmeprod!$B$1:$BX$550,MATCH("Andelen klimatgaser med fossilt ursprung för avfall ()",Kraftvärmeprod!$B$1:$BX$1,0),FALSE),"")</f>
        <v/>
      </c>
      <c r="BI179" s="227" t="str">
        <f>IF($BF179="ja",VLOOKUP($B179,'Egen hetvattenprod'!$B$1:$BX$550,MATCH("Avfall (GWh)",'Egen hetvattenprod'!$B$1:$BX$1,0),FALSE),"")</f>
        <v/>
      </c>
      <c r="BJ179" s="227" t="str">
        <f>IF($BF179="ja",VLOOKUP($B179,'Slutlig allokering kvv'!$B$1:$BX$550,MATCH("Avfall (GWh)",'Slutlig allokering kvv'!$B$1:$BX$1,0),FALSE),"")</f>
        <v/>
      </c>
      <c r="BK179" s="227" t="str">
        <f>IF($BF179="ja",VLOOKUP($B179,'Köpt hetvatten'!$B$1:$BX$550,MATCH("Avfall i köpt hetvatten",'Köpt hetvatten'!$B$1:$BX$1,0),FALSE),"")</f>
        <v/>
      </c>
      <c r="BL179" s="227" t="str">
        <f>IF($BF179="ja",VLOOKUP($B179,'Egen hetvattenprod'!$B$1:$BX$550,MATCH("Värde enligt ovan. (%)",'Egen hetvattenprod'!$B$1:$BX$1,0),FALSE),"")</f>
        <v/>
      </c>
      <c r="BM179" s="227" t="str">
        <f>IF($BF179="ja",VLOOKUP($B179,Kraftvärmeprod!$B$1:$BX$550,MATCH("Värde enligt ovan. (%)",Kraftvärmeprod!$B$1:$BX$1,0),FALSE),"")</f>
        <v/>
      </c>
      <c r="BN179" s="227"/>
      <c r="BO179" s="227"/>
      <c r="BP179" s="227"/>
      <c r="BQ179" s="227" t="str">
        <f>IF($BF179="ja",VLOOKUP($B179,'Egen hetvattenprod'!$B$1:$BX$550,MATCH("Tillförd olja (fossil) vid avfallsförbränning (GWh)",'Egen hetvattenprod'!$B$1:$BX$1,0),FALSE),"")</f>
        <v/>
      </c>
      <c r="BR179" s="227" t="str">
        <f>IF($BF179="ja",VLOOKUP($B179,Kraftvärmeprod!$B$1:$BX$550,MATCH("Tillförd olja (fossil) vid avfallsförbränning (GWh)",Kraftvärmeprod!$B$1:$BX$1,0),FALSE),"")</f>
        <v/>
      </c>
      <c r="BS179" s="227"/>
      <c r="BT179" s="227"/>
      <c r="BU179" s="227"/>
    </row>
    <row r="180" spans="1:73" x14ac:dyDescent="0.25">
      <c r="A180" s="121" t="str">
        <f>'Miljövärden för publ företag'!B183</f>
        <v>Neova AB</v>
      </c>
      <c r="B180" s="121" t="str">
        <f>'Miljövärden för publ företag'!C183</f>
        <v>Kramfors</v>
      </c>
      <c r="C180" s="173">
        <f>IFERROR(VLOOKUP($B180,Totalt!$B$1:$AQ$554,MATCH(C$2,Totalt!$B$1:$AQ$1,0),FALSE),"")</f>
        <v>0</v>
      </c>
      <c r="D180" s="173">
        <f>IFERROR(VLOOKUP($B180,Totalt!$B$1:$AQ$554,MATCH(D$2,Totalt!$B$1:$AQ$1,0),FALSE),"")</f>
        <v>0.82199999999999995</v>
      </c>
      <c r="E180" s="173">
        <f>IFERROR(VLOOKUP($B180,Totalt!$B$1:$AQ$554,MATCH(E$2,Totalt!$B$1:$AQ$1,0),FALSE),"")</f>
        <v>0</v>
      </c>
      <c r="F180" s="173">
        <f>IFERROR(VLOOKUP($B180,Totalt!$B$1:$AQ$554,MATCH(F$2,Totalt!$B$1:$AQ$1,0),FALSE),"")</f>
        <v>0</v>
      </c>
      <c r="G180" s="173">
        <f>IFERROR(VLOOKUP($B180,Totalt!$B$1:$AQ$554,MATCH(G$2,Totalt!$B$1:$AQ$1,0),FALSE),"")</f>
        <v>0</v>
      </c>
      <c r="H180" s="173">
        <f>IFERROR(VLOOKUP($B180,Totalt!$B$1:$AQ$554,MATCH(H$2,Totalt!$B$1:$AQ$1,0),FALSE),"")</f>
        <v>0</v>
      </c>
      <c r="I180" s="173">
        <f>IFERROR(VLOOKUP($B180,Totalt!$B$1:$AQ$554,MATCH(I$2,Totalt!$B$1:$AQ$1,0),FALSE),"")</f>
        <v>0</v>
      </c>
      <c r="J180" s="173">
        <f>IFERROR(VLOOKUP($B180,Totalt!$B$1:$AQ$554,MATCH(J$2,Totalt!$B$1:$AQ$1,0),FALSE),"")</f>
        <v>0</v>
      </c>
      <c r="K180" s="173">
        <f>IFERROR(VLOOKUP($B180,Totalt!$B$1:$AQ$554,MATCH(K$2,Totalt!$B$1:$AQ$1,0),FALSE),"")</f>
        <v>0</v>
      </c>
      <c r="L180" s="173">
        <f>IFERROR(VLOOKUP($B180,Totalt!$B$1:$AQ$554,MATCH(L$2,Totalt!$B$1:$AQ$1,0),FALSE),"")</f>
        <v>0</v>
      </c>
      <c r="M180" s="173">
        <f>IFERROR(VLOOKUP($B180,Totalt!$B$1:$AQ$554,MATCH(M$2,Totalt!$B$1:$AQ$1,0),FALSE),"")</f>
        <v>0</v>
      </c>
      <c r="N180" s="173">
        <f>IFERROR(VLOOKUP($B180,Totalt!$B$1:$AQ$554,MATCH(N$2,Totalt!$B$1:$AQ$1,0),FALSE),"")</f>
        <v>0</v>
      </c>
      <c r="O180" s="173">
        <f>IFERROR(VLOOKUP($B180,Totalt!$B$1:$AQ$554,MATCH(O$2,Totalt!$B$1:$AQ$1,0),FALSE),"")</f>
        <v>0</v>
      </c>
      <c r="P180" s="173">
        <f>IFERROR(VLOOKUP($B180,Totalt!$B$1:$AQ$554,MATCH(P$2,Totalt!$B$1:$AQ$1,0),FALSE),"")</f>
        <v>27.856999999999999</v>
      </c>
      <c r="Q180" s="173">
        <f>IFERROR(VLOOKUP($B180,Totalt!$B$1:$AQ$554,MATCH(Q$2,Totalt!$B$1:$AQ$1,0),FALSE),"")</f>
        <v>0</v>
      </c>
      <c r="R180" s="173">
        <f>IFERROR(VLOOKUP($B180,Totalt!$B$1:$AQ$554,MATCH(R$2,Totalt!$B$1:$AQ$1,0),FALSE),"")</f>
        <v>9.0250000000000004</v>
      </c>
      <c r="S180" s="173">
        <f>IFERROR(VLOOKUP($B180,Totalt!$B$1:$AQ$554,MATCH(S$2,Totalt!$B$1:$AQ$1,0),FALSE),"")</f>
        <v>0</v>
      </c>
      <c r="T180" s="173">
        <f>IFERROR(VLOOKUP($B180,Totalt!$B$1:$AQ$554,MATCH(T$2,Totalt!$B$1:$AQ$1,0),FALSE),"")</f>
        <v>0</v>
      </c>
      <c r="U180" s="173">
        <f>IFERROR(VLOOKUP($B180,Totalt!$B$1:$AQ$554,MATCH(U$2,Totalt!$B$1:$AQ$1,0),FALSE),"")</f>
        <v>0</v>
      </c>
      <c r="V180" s="173">
        <f>IFERROR(VLOOKUP($B180,Totalt!$B$1:$AQ$554,MATCH(V$2,Totalt!$B$1:$AQ$1,0),FALSE),"")</f>
        <v>0</v>
      </c>
      <c r="W180" s="173">
        <f>IFERROR(VLOOKUP($B180,Totalt!$B$1:$AQ$554,MATCH(W$2,Totalt!$B$1:$AQ$1,0),FALSE),"")</f>
        <v>0</v>
      </c>
      <c r="X180" s="173">
        <f>IFERROR(VLOOKUP($B180,Totalt!$B$1:$AQ$554,MATCH(X$2,Totalt!$B$1:$AQ$1,0),FALSE),"")</f>
        <v>0</v>
      </c>
      <c r="Y180" s="173">
        <f>IFERROR(VLOOKUP($B180,Totalt!$B$1:$AQ$554,MATCH(Y$2,Totalt!$B$1:$AQ$1,0),FALSE),"")</f>
        <v>19.849</v>
      </c>
      <c r="Z180" s="173">
        <f>IFERROR(VLOOKUP($B180,Totalt!$B$1:$AQ$554,MATCH(Z$2,Totalt!$B$1:$AQ$1,0),FALSE),"")</f>
        <v>0</v>
      </c>
      <c r="AA180" s="173">
        <f>IFERROR(VLOOKUP($B180,Totalt!$B$1:$AQ$554,MATCH(AA$2,Totalt!$B$1:$AQ$1,0),FALSE),"")</f>
        <v>0</v>
      </c>
      <c r="AB180" s="173">
        <f>IFERROR(VLOOKUP($B180,Totalt!$B$1:$AQ$554,MATCH(AB$2,Totalt!$B$1:$AQ$1,0),FALSE),"")</f>
        <v>0</v>
      </c>
      <c r="AC180" s="173">
        <f>IFERROR(VLOOKUP($B180,Totalt!$B$1:$AQ$554,MATCH(AC$2,Totalt!$B$1:$AQ$1,0),FALSE),"")</f>
        <v>5.681</v>
      </c>
      <c r="AD180" s="173">
        <f>IFERROR(VLOOKUP($B180,Totalt!$B$1:$AQ$554,MATCH(AD$2,Totalt!$B$1:$AQ$1,0),FALSE),"")</f>
        <v>0.19500000000000001</v>
      </c>
      <c r="AE180" s="173">
        <f>IFERROR(VLOOKUP($B180,Totalt!$B$1:$AQ$554,MATCH(AE$2,Totalt!$B$1:$AQ$1,0),FALSE),"")</f>
        <v>0</v>
      </c>
      <c r="AF180" s="173">
        <f>IFERROR(VLOOKUP($B180,Totalt!$B$1:$AQ$554,MATCH(AF$2,Totalt!$B$1:$AQ$1,0),FALSE),"")</f>
        <v>1.4670000000000001</v>
      </c>
      <c r="AG180" s="173">
        <f>IFERROR(VLOOKUP($B180,Totalt!$B$1:$AQ$554,MATCH(AG$2,Totalt!$B$1:$AQ$1,0),FALSE),"")</f>
        <v>0</v>
      </c>
      <c r="AI180" s="226">
        <f t="shared" si="12"/>
        <v>64.896000000000001</v>
      </c>
      <c r="AJ180" s="226">
        <f>IF(ISERROR(1/VLOOKUP($B180,Leveranser!$B$1:$S$500,MATCH("såld värme (gwh)",Leveranser!$B$1:$S$1,0),FALSE)),"",VLOOKUP($B180,Leveranser!$B$1:$S$500,MATCH("såld värme (gwh)",Leveranser!$B$1:$S$1,0),FALSE))</f>
        <v>45.156999999999996</v>
      </c>
      <c r="AM180" s="227" t="str">
        <f>IF(B180&lt;&gt;"",IF(VLOOKUP($B180,Totalt!$B$1:$AQ$554,MATCH("Kvalitetsgranskad:",Totalt!$B$1:$AQ$1,0),FALSE)="ja",VLOOKUP($B180,Miljö!$B$1:$AG$479,MATCH(AM$2,Miljö!$B$1:$AK$1,0),FALSE),""),"")</f>
        <v>Ja</v>
      </c>
      <c r="AN180" s="227" t="str">
        <f>IF(AM180="ja",VLOOKUP($B180,Miljö!$B$1:$J$479,MATCH("Typ av ursprungsspecificerad el   (Om inget värde anges används Nordisk residualmix, se inforuta) ()",Miljö!$B$1:$J$1,0),FALSE),IF(AM180="nej","Nordisk residualel",""))</f>
        <v>'Ursprungsmärkt Vattenkraft'</v>
      </c>
      <c r="AO180" s="227">
        <f>IF(AM180="","",VLOOKUP($B180,Miljö!$B$1:$J$479,MATCH("Fossilandel för ursprungspecificerad el ()",Miljö!$B$1:$J$1,0),FALSE))</f>
        <v>0</v>
      </c>
      <c r="AP180" s="227">
        <f>IF(AM180="","",IFERROR(VLOOKUP($B180,Miljö!$B$1:$J$479,MATCH("Kärnkraftsandel för ursprungsspecificerad el ()",Miljö!$B$1:$J$1,0),FALSE)/1,0))</f>
        <v>0</v>
      </c>
      <c r="AQ180" s="227">
        <f t="shared" si="13"/>
        <v>1</v>
      </c>
      <c r="AR180" s="227"/>
      <c r="AS180" s="227" t="str">
        <f t="shared" si="14"/>
        <v>Nej</v>
      </c>
      <c r="AT180" s="227" t="str">
        <f>IF(AS180="ja",VLOOKUP($B180,Miljö!$B$1:$O$500,MATCH("Fossil andel i procent (%)",Miljö!$B$1:$O$1,0),FALSE)/100,"")</f>
        <v/>
      </c>
      <c r="AU180" s="227"/>
      <c r="AV180" s="227" t="str">
        <f t="shared" si="15"/>
        <v>Nej</v>
      </c>
      <c r="AW180" s="227" t="str">
        <f>IF(AV180="ja",VLOOKUP($B180,'Egen hetvattenprod'!$B$1:$AO$500,MATCH("Värmekälla till värmepumpar ()",'Egen hetvattenprod'!$B$1:$AO$1,0),FALSE),"")</f>
        <v/>
      </c>
      <c r="AX180" s="227"/>
      <c r="AY180" s="227" t="str">
        <f t="shared" si="16"/>
        <v>Ja</v>
      </c>
      <c r="AZ180" s="228">
        <f>IF($AY180="ja",(VLOOKUP($B180,'Egen hetvattenprod'!$B$1:$BX$550,MATCH(AZ$2,'Egen hetvattenprod'!$B$1:$BX$1,0),FALSE)+VLOOKUP($B180,Kraftvärmeprod!$B$1:$BX$550,MATCH(AZ$2,Kraftvärmeprod!$B$1:$BX$1,0),FALSE))/$AC180,"")</f>
        <v>0.57999999999999996</v>
      </c>
      <c r="BA180" s="228">
        <f>IF($AY180="ja",(VLOOKUP($B180,'Egen hetvattenprod'!$B$1:$BX$550,MATCH(BA$2,'Egen hetvattenprod'!$B$1:$BX$1,0),FALSE)+VLOOKUP($B180,Kraftvärmeprod!$B$1:$BX$550,MATCH(BA$2,Kraftvärmeprod!$B$1:$BX$1,0),FALSE))/$AC180,"")</f>
        <v>0</v>
      </c>
      <c r="BB180" s="228">
        <f>IF($AY180="ja",(VLOOKUP($B180,'Egen hetvattenprod'!$B$1:$BX$550,MATCH(BB$2,'Egen hetvattenprod'!$B$1:$BX$1,0),FALSE)+VLOOKUP($B180,Kraftvärmeprod!$B$1:$BX$550,MATCH(BB$2,Kraftvärmeprod!$B$1:$BX$1,0),FALSE))/$AC180,"")</f>
        <v>0</v>
      </c>
      <c r="BC180" s="228">
        <f>IF($AY180="ja",(VLOOKUP($B180,'Egen hetvattenprod'!$B$1:$BX$550,MATCH(BC$2,'Egen hetvattenprod'!$B$1:$BX$1,0),FALSE)+VLOOKUP($B180,Kraftvärmeprod!$B$1:$BX$550,MATCH(BC$2,Kraftvärmeprod!$B$1:$BX$1,0),FALSE))/$AC180,"")</f>
        <v>0.42</v>
      </c>
      <c r="BD180" s="228">
        <f>IF($AY180="ja",(VLOOKUP($B180,'Egen hetvattenprod'!$B$1:$BX$550,MATCH(BD$2,'Egen hetvattenprod'!$B$1:$BX$1,0),FALSE)+VLOOKUP($B180,Kraftvärmeprod!$B$1:$BX$550,MATCH(BD$2,Kraftvärmeprod!$B$1:$BX$1,0),FALSE))/$AC180,"")</f>
        <v>1.5634191510299688E-16</v>
      </c>
      <c r="BE180" s="227"/>
      <c r="BF180" s="227" t="str">
        <f t="shared" si="17"/>
        <v>Nej</v>
      </c>
      <c r="BG180" s="227" t="str">
        <f>IF($BF180="ja",VLOOKUP($B180,'Egen hetvattenprod'!$B$1:$BX$550,MATCH("Andelen klimatgaser med fossilt ursprung för avfall ()",'Egen hetvattenprod'!$B$1:$BX$1,0),FALSE),"")</f>
        <v/>
      </c>
      <c r="BH180" s="227" t="str">
        <f>IF($BF180="ja",VLOOKUP($B180,Kraftvärmeprod!$B$1:$BX$550,MATCH("Andelen klimatgaser med fossilt ursprung för avfall ()",Kraftvärmeprod!$B$1:$BX$1,0),FALSE),"")</f>
        <v/>
      </c>
      <c r="BI180" s="227" t="str">
        <f>IF($BF180="ja",VLOOKUP($B180,'Egen hetvattenprod'!$B$1:$BX$550,MATCH("Avfall (GWh)",'Egen hetvattenprod'!$B$1:$BX$1,0),FALSE),"")</f>
        <v/>
      </c>
      <c r="BJ180" s="227" t="str">
        <f>IF($BF180="ja",VLOOKUP($B180,'Slutlig allokering kvv'!$B$1:$BX$550,MATCH("Avfall (GWh)",'Slutlig allokering kvv'!$B$1:$BX$1,0),FALSE),"")</f>
        <v/>
      </c>
      <c r="BK180" s="227" t="str">
        <f>IF($BF180="ja",VLOOKUP($B180,'Köpt hetvatten'!$B$1:$BX$550,MATCH("Avfall i köpt hetvatten",'Köpt hetvatten'!$B$1:$BX$1,0),FALSE),"")</f>
        <v/>
      </c>
      <c r="BL180" s="227" t="str">
        <f>IF($BF180="ja",VLOOKUP($B180,'Egen hetvattenprod'!$B$1:$BX$550,MATCH("Värde enligt ovan. (%)",'Egen hetvattenprod'!$B$1:$BX$1,0),FALSE),"")</f>
        <v/>
      </c>
      <c r="BM180" s="227" t="str">
        <f>IF($BF180="ja",VLOOKUP($B180,Kraftvärmeprod!$B$1:$BX$550,MATCH("Värde enligt ovan. (%)",Kraftvärmeprod!$B$1:$BX$1,0),FALSE),"")</f>
        <v/>
      </c>
      <c r="BN180" s="227"/>
      <c r="BO180" s="227"/>
      <c r="BP180" s="227"/>
      <c r="BQ180" s="227" t="str">
        <f>IF($BF180="ja",VLOOKUP($B180,'Egen hetvattenprod'!$B$1:$BX$550,MATCH("Tillförd olja (fossil) vid avfallsförbränning (GWh)",'Egen hetvattenprod'!$B$1:$BX$1,0),FALSE),"")</f>
        <v/>
      </c>
      <c r="BR180" s="227" t="str">
        <f>IF($BF180="ja",VLOOKUP($B180,Kraftvärmeprod!$B$1:$BX$550,MATCH("Tillförd olja (fossil) vid avfallsförbränning (GWh)",Kraftvärmeprod!$B$1:$BX$1,0),FALSE),"")</f>
        <v/>
      </c>
      <c r="BS180" s="227"/>
      <c r="BT180" s="227"/>
      <c r="BU180" s="227"/>
    </row>
    <row r="181" spans="1:73" x14ac:dyDescent="0.25">
      <c r="A181" s="121" t="str">
        <f>'Miljövärden för publ företag'!B184</f>
        <v>Neova AB</v>
      </c>
      <c r="B181" s="121" t="str">
        <f>'Miljövärden för publ företag'!C184</f>
        <v>Smålandsstenar</v>
      </c>
      <c r="C181" s="173">
        <f>IFERROR(VLOOKUP($B181,Totalt!$B$1:$AQ$554,MATCH(C$2,Totalt!$B$1:$AQ$1,0),FALSE),"")</f>
        <v>0</v>
      </c>
      <c r="D181" s="173">
        <f>IFERROR(VLOOKUP($B181,Totalt!$B$1:$AQ$554,MATCH(D$2,Totalt!$B$1:$AQ$1,0),FALSE),"")</f>
        <v>0.23</v>
      </c>
      <c r="E181" s="173">
        <f>IFERROR(VLOOKUP($B181,Totalt!$B$1:$AQ$554,MATCH(E$2,Totalt!$B$1:$AQ$1,0),FALSE),"")</f>
        <v>0</v>
      </c>
      <c r="F181" s="173">
        <f>IFERROR(VLOOKUP($B181,Totalt!$B$1:$AQ$554,MATCH(F$2,Totalt!$B$1:$AQ$1,0),FALSE),"")</f>
        <v>0</v>
      </c>
      <c r="G181" s="173">
        <f>IFERROR(VLOOKUP($B181,Totalt!$B$1:$AQ$554,MATCH(G$2,Totalt!$B$1:$AQ$1,0),FALSE),"")</f>
        <v>0</v>
      </c>
      <c r="H181" s="173">
        <f>IFERROR(VLOOKUP($B181,Totalt!$B$1:$AQ$554,MATCH(H$2,Totalt!$B$1:$AQ$1,0),FALSE),"")</f>
        <v>0</v>
      </c>
      <c r="I181" s="173">
        <f>IFERROR(VLOOKUP($B181,Totalt!$B$1:$AQ$554,MATCH(I$2,Totalt!$B$1:$AQ$1,0),FALSE),"")</f>
        <v>0</v>
      </c>
      <c r="J181" s="173">
        <f>IFERROR(VLOOKUP($B181,Totalt!$B$1:$AQ$554,MATCH(J$2,Totalt!$B$1:$AQ$1,0),FALSE),"")</f>
        <v>0</v>
      </c>
      <c r="K181" s="173">
        <f>IFERROR(VLOOKUP($B181,Totalt!$B$1:$AQ$554,MATCH(K$2,Totalt!$B$1:$AQ$1,0),FALSE),"")</f>
        <v>0</v>
      </c>
      <c r="L181" s="173">
        <f>IFERROR(VLOOKUP($B181,Totalt!$B$1:$AQ$554,MATCH(L$2,Totalt!$B$1:$AQ$1,0),FALSE),"")</f>
        <v>0</v>
      </c>
      <c r="M181" s="173">
        <f>IFERROR(VLOOKUP($B181,Totalt!$B$1:$AQ$554,MATCH(M$2,Totalt!$B$1:$AQ$1,0),FALSE),"")</f>
        <v>0</v>
      </c>
      <c r="N181" s="173">
        <f>IFERROR(VLOOKUP($B181,Totalt!$B$1:$AQ$554,MATCH(N$2,Totalt!$B$1:$AQ$1,0),FALSE),"")</f>
        <v>0</v>
      </c>
      <c r="O181" s="173">
        <f>IFERROR(VLOOKUP($B181,Totalt!$B$1:$AQ$554,MATCH(O$2,Totalt!$B$1:$AQ$1,0),FALSE),"")</f>
        <v>0</v>
      </c>
      <c r="P181" s="173">
        <f>IFERROR(VLOOKUP($B181,Totalt!$B$1:$AQ$554,MATCH(P$2,Totalt!$B$1:$AQ$1,0),FALSE),"")</f>
        <v>0</v>
      </c>
      <c r="Q181" s="173">
        <f>IFERROR(VLOOKUP($B181,Totalt!$B$1:$AQ$554,MATCH(Q$2,Totalt!$B$1:$AQ$1,0),FALSE),"")</f>
        <v>0</v>
      </c>
      <c r="R181" s="173">
        <f>IFERROR(VLOOKUP($B181,Totalt!$B$1:$AQ$554,MATCH(R$2,Totalt!$B$1:$AQ$1,0),FALSE),"")</f>
        <v>3.6459999999999999</v>
      </c>
      <c r="S181" s="173">
        <f>IFERROR(VLOOKUP($B181,Totalt!$B$1:$AQ$554,MATCH(S$2,Totalt!$B$1:$AQ$1,0),FALSE),"")</f>
        <v>0</v>
      </c>
      <c r="T181" s="173">
        <f>IFERROR(VLOOKUP($B181,Totalt!$B$1:$AQ$554,MATCH(T$2,Totalt!$B$1:$AQ$1,0),FALSE),"")</f>
        <v>0</v>
      </c>
      <c r="U181" s="173">
        <f>IFERROR(VLOOKUP($B181,Totalt!$B$1:$AQ$554,MATCH(U$2,Totalt!$B$1:$AQ$1,0),FALSE),"")</f>
        <v>0</v>
      </c>
      <c r="V181" s="173">
        <f>IFERROR(VLOOKUP($B181,Totalt!$B$1:$AQ$554,MATCH(V$2,Totalt!$B$1:$AQ$1,0),FALSE),"")</f>
        <v>0</v>
      </c>
      <c r="W181" s="173">
        <f>IFERROR(VLOOKUP($B181,Totalt!$B$1:$AQ$554,MATCH(W$2,Totalt!$B$1:$AQ$1,0),FALSE),"")</f>
        <v>0</v>
      </c>
      <c r="X181" s="173">
        <f>IFERROR(VLOOKUP($B181,Totalt!$B$1:$AQ$554,MATCH(X$2,Totalt!$B$1:$AQ$1,0),FALSE),"")</f>
        <v>0</v>
      </c>
      <c r="Y181" s="173">
        <f>IFERROR(VLOOKUP($B181,Totalt!$B$1:$AQ$554,MATCH(Y$2,Totalt!$B$1:$AQ$1,0),FALSE),"")</f>
        <v>0</v>
      </c>
      <c r="Z181" s="173">
        <f>IFERROR(VLOOKUP($B181,Totalt!$B$1:$AQ$554,MATCH(Z$2,Totalt!$B$1:$AQ$1,0),FALSE),"")</f>
        <v>0</v>
      </c>
      <c r="AA181" s="173">
        <f>IFERROR(VLOOKUP($B181,Totalt!$B$1:$AQ$554,MATCH(AA$2,Totalt!$B$1:$AQ$1,0),FALSE),"")</f>
        <v>0</v>
      </c>
      <c r="AB181" s="173">
        <f>IFERROR(VLOOKUP($B181,Totalt!$B$1:$AQ$554,MATCH(AB$2,Totalt!$B$1:$AQ$1,0),FALSE),"")</f>
        <v>0</v>
      </c>
      <c r="AC181" s="173">
        <f>IFERROR(VLOOKUP($B181,Totalt!$B$1:$AQ$554,MATCH(AC$2,Totalt!$B$1:$AQ$1,0),FALSE),"")</f>
        <v>0</v>
      </c>
      <c r="AD181" s="173">
        <f>IFERROR(VLOOKUP($B181,Totalt!$B$1:$AQ$554,MATCH(AD$2,Totalt!$B$1:$AQ$1,0),FALSE),"")</f>
        <v>0</v>
      </c>
      <c r="AE181" s="173">
        <f>IFERROR(VLOOKUP($B181,Totalt!$B$1:$AQ$554,MATCH(AE$2,Totalt!$B$1:$AQ$1,0),FALSE),"")</f>
        <v>0</v>
      </c>
      <c r="AF181" s="173">
        <f>IFERROR(VLOOKUP($B181,Totalt!$B$1:$AQ$554,MATCH(AF$2,Totalt!$B$1:$AQ$1,0),FALSE),"")</f>
        <v>9.1999999999999998E-2</v>
      </c>
      <c r="AG181" s="173">
        <f>IFERROR(VLOOKUP($B181,Totalt!$B$1:$AQ$554,MATCH(AG$2,Totalt!$B$1:$AQ$1,0),FALSE),"")</f>
        <v>0</v>
      </c>
      <c r="AI181" s="226">
        <f t="shared" si="12"/>
        <v>3.968</v>
      </c>
      <c r="AJ181" s="226">
        <f>IF(ISERROR(1/VLOOKUP($B181,Leveranser!$B$1:$S$500,MATCH("såld värme (gwh)",Leveranser!$B$1:$S$1,0),FALSE)),"",VLOOKUP($B181,Leveranser!$B$1:$S$500,MATCH("såld värme (gwh)",Leveranser!$B$1:$S$1,0),FALSE))</f>
        <v>3.0550000000000002</v>
      </c>
      <c r="AM181" s="227" t="str">
        <f>IF(B181&lt;&gt;"",IF(VLOOKUP($B181,Totalt!$B$1:$AQ$554,MATCH("Kvalitetsgranskad:",Totalt!$B$1:$AQ$1,0),FALSE)="ja",VLOOKUP($B181,Miljö!$B$1:$AG$479,MATCH(AM$2,Miljö!$B$1:$AK$1,0),FALSE),""),"")</f>
        <v>Ja</v>
      </c>
      <c r="AN181" s="227" t="str">
        <f>IF(AM181="ja",VLOOKUP($B181,Miljö!$B$1:$J$479,MATCH("Typ av ursprungsspecificerad el   (Om inget värde anges används Nordisk residualmix, se inforuta) ()",Miljö!$B$1:$J$1,0),FALSE),IF(AM181="nej","Nordisk residualel",""))</f>
        <v>'Ursprungsmärkt vattenkraft'</v>
      </c>
      <c r="AO181" s="227">
        <f>IF(AM181="","",VLOOKUP($B181,Miljö!$B$1:$J$479,MATCH("Fossilandel för ursprungspecificerad el ()",Miljö!$B$1:$J$1,0),FALSE))</f>
        <v>0</v>
      </c>
      <c r="AP181" s="227">
        <f>IF(AM181="","",IFERROR(VLOOKUP($B181,Miljö!$B$1:$J$479,MATCH("Kärnkraftsandel för ursprungsspecificerad el ()",Miljö!$B$1:$J$1,0),FALSE)/1,0))</f>
        <v>0</v>
      </c>
      <c r="AQ181" s="227">
        <f t="shared" si="13"/>
        <v>1</v>
      </c>
      <c r="AR181" s="227"/>
      <c r="AS181" s="227" t="str">
        <f t="shared" si="14"/>
        <v>Nej</v>
      </c>
      <c r="AT181" s="227" t="str">
        <f>IF(AS181="ja",VLOOKUP($B181,Miljö!$B$1:$O$500,MATCH("Fossil andel i procent (%)",Miljö!$B$1:$O$1,0),FALSE)/100,"")</f>
        <v/>
      </c>
      <c r="AU181" s="227"/>
      <c r="AV181" s="227" t="str">
        <f t="shared" si="15"/>
        <v>Nej</v>
      </c>
      <c r="AW181" s="227" t="str">
        <f>IF(AV181="ja",VLOOKUP($B181,'Egen hetvattenprod'!$B$1:$AO$500,MATCH("Värmekälla till värmepumpar ()",'Egen hetvattenprod'!$B$1:$AO$1,0),FALSE),"")</f>
        <v/>
      </c>
      <c r="AX181" s="227"/>
      <c r="AY181" s="227" t="str">
        <f t="shared" si="16"/>
        <v>Nej</v>
      </c>
      <c r="AZ181" s="228" t="str">
        <f>IF($AY181="ja",(VLOOKUP($B181,'Egen hetvattenprod'!$B$1:$BX$550,MATCH(AZ$2,'Egen hetvattenprod'!$B$1:$BX$1,0),FALSE)+VLOOKUP($B181,Kraftvärmeprod!$B$1:$BX$550,MATCH(AZ$2,Kraftvärmeprod!$B$1:$BX$1,0),FALSE))/$AC181,"")</f>
        <v/>
      </c>
      <c r="BA181" s="228" t="str">
        <f>IF($AY181="ja",(VLOOKUP($B181,'Egen hetvattenprod'!$B$1:$BX$550,MATCH(BA$2,'Egen hetvattenprod'!$B$1:$BX$1,0),FALSE)+VLOOKUP($B181,Kraftvärmeprod!$B$1:$BX$550,MATCH(BA$2,Kraftvärmeprod!$B$1:$BX$1,0),FALSE))/$AC181,"")</f>
        <v/>
      </c>
      <c r="BB181" s="228" t="str">
        <f>IF($AY181="ja",(VLOOKUP($B181,'Egen hetvattenprod'!$B$1:$BX$550,MATCH(BB$2,'Egen hetvattenprod'!$B$1:$BX$1,0),FALSE)+VLOOKUP($B181,Kraftvärmeprod!$B$1:$BX$550,MATCH(BB$2,Kraftvärmeprod!$B$1:$BX$1,0),FALSE))/$AC181,"")</f>
        <v/>
      </c>
      <c r="BC181" s="228" t="str">
        <f>IF($AY181="ja",(VLOOKUP($B181,'Egen hetvattenprod'!$B$1:$BX$550,MATCH(BC$2,'Egen hetvattenprod'!$B$1:$BX$1,0),FALSE)+VLOOKUP($B181,Kraftvärmeprod!$B$1:$BX$550,MATCH(BC$2,Kraftvärmeprod!$B$1:$BX$1,0),FALSE))/$AC181,"")</f>
        <v/>
      </c>
      <c r="BD181" s="228" t="str">
        <f>IF($AY181="ja",(VLOOKUP($B181,'Egen hetvattenprod'!$B$1:$BX$550,MATCH(BD$2,'Egen hetvattenprod'!$B$1:$BX$1,0),FALSE)+VLOOKUP($B181,Kraftvärmeprod!$B$1:$BX$550,MATCH(BD$2,Kraftvärmeprod!$B$1:$BX$1,0),FALSE))/$AC181,"")</f>
        <v/>
      </c>
      <c r="BE181" s="227"/>
      <c r="BF181" s="227" t="str">
        <f t="shared" si="17"/>
        <v>Nej</v>
      </c>
      <c r="BG181" s="227" t="str">
        <f>IF($BF181="ja",VLOOKUP($B181,'Egen hetvattenprod'!$B$1:$BX$550,MATCH("Andelen klimatgaser med fossilt ursprung för avfall ()",'Egen hetvattenprod'!$B$1:$BX$1,0),FALSE),"")</f>
        <v/>
      </c>
      <c r="BH181" s="227" t="str">
        <f>IF($BF181="ja",VLOOKUP($B181,Kraftvärmeprod!$B$1:$BX$550,MATCH("Andelen klimatgaser med fossilt ursprung för avfall ()",Kraftvärmeprod!$B$1:$BX$1,0),FALSE),"")</f>
        <v/>
      </c>
      <c r="BI181" s="227" t="str">
        <f>IF($BF181="ja",VLOOKUP($B181,'Egen hetvattenprod'!$B$1:$BX$550,MATCH("Avfall (GWh)",'Egen hetvattenprod'!$B$1:$BX$1,0),FALSE),"")</f>
        <v/>
      </c>
      <c r="BJ181" s="227" t="str">
        <f>IF($BF181="ja",VLOOKUP($B181,'Slutlig allokering kvv'!$B$1:$BX$550,MATCH("Avfall (GWh)",'Slutlig allokering kvv'!$B$1:$BX$1,0),FALSE),"")</f>
        <v/>
      </c>
      <c r="BK181" s="227" t="str">
        <f>IF($BF181="ja",VLOOKUP($B181,'Köpt hetvatten'!$B$1:$BX$550,MATCH("Avfall i köpt hetvatten",'Köpt hetvatten'!$B$1:$BX$1,0),FALSE),"")</f>
        <v/>
      </c>
      <c r="BL181" s="227" t="str">
        <f>IF($BF181="ja",VLOOKUP($B181,'Egen hetvattenprod'!$B$1:$BX$550,MATCH("Värde enligt ovan. (%)",'Egen hetvattenprod'!$B$1:$BX$1,0),FALSE),"")</f>
        <v/>
      </c>
      <c r="BM181" s="227" t="str">
        <f>IF($BF181="ja",VLOOKUP($B181,Kraftvärmeprod!$B$1:$BX$550,MATCH("Värde enligt ovan. (%)",Kraftvärmeprod!$B$1:$BX$1,0),FALSE),"")</f>
        <v/>
      </c>
      <c r="BN181" s="227"/>
      <c r="BO181" s="227"/>
      <c r="BP181" s="227"/>
      <c r="BQ181" s="227" t="str">
        <f>IF($BF181="ja",VLOOKUP($B181,'Egen hetvattenprod'!$B$1:$BX$550,MATCH("Tillförd olja (fossil) vid avfallsförbränning (GWh)",'Egen hetvattenprod'!$B$1:$BX$1,0),FALSE),"")</f>
        <v/>
      </c>
      <c r="BR181" s="227" t="str">
        <f>IF($BF181="ja",VLOOKUP($B181,Kraftvärmeprod!$B$1:$BX$550,MATCH("Tillförd olja (fossil) vid avfallsförbränning (GWh)",Kraftvärmeprod!$B$1:$BX$1,0),FALSE),"")</f>
        <v/>
      </c>
      <c r="BS181" s="227"/>
      <c r="BT181" s="227"/>
      <c r="BU181" s="227"/>
    </row>
    <row r="182" spans="1:73" x14ac:dyDescent="0.25">
      <c r="A182" s="121" t="str">
        <f>'Miljövärden för publ företag'!B185</f>
        <v>Neova AB</v>
      </c>
      <c r="B182" s="121" t="str">
        <f>'Miljövärden för publ företag'!C185</f>
        <v>Tanum</v>
      </c>
      <c r="C182" s="173">
        <f>IFERROR(VLOOKUP($B182,Totalt!$B$1:$AQ$554,MATCH(C$2,Totalt!$B$1:$AQ$1,0),FALSE),"")</f>
        <v>0</v>
      </c>
      <c r="D182" s="173">
        <f>IFERROR(VLOOKUP($B182,Totalt!$B$1:$AQ$554,MATCH(D$2,Totalt!$B$1:$AQ$1,0),FALSE),"")</f>
        <v>0.127</v>
      </c>
      <c r="E182" s="173">
        <f>IFERROR(VLOOKUP($B182,Totalt!$B$1:$AQ$554,MATCH(E$2,Totalt!$B$1:$AQ$1,0),FALSE),"")</f>
        <v>0</v>
      </c>
      <c r="F182" s="173">
        <f>IFERROR(VLOOKUP($B182,Totalt!$B$1:$AQ$554,MATCH(F$2,Totalt!$B$1:$AQ$1,0),FALSE),"")</f>
        <v>0</v>
      </c>
      <c r="G182" s="173">
        <f>IFERROR(VLOOKUP($B182,Totalt!$B$1:$AQ$554,MATCH(G$2,Totalt!$B$1:$AQ$1,0),FALSE),"")</f>
        <v>0</v>
      </c>
      <c r="H182" s="173">
        <f>IFERROR(VLOOKUP($B182,Totalt!$B$1:$AQ$554,MATCH(H$2,Totalt!$B$1:$AQ$1,0),FALSE),"")</f>
        <v>0</v>
      </c>
      <c r="I182" s="173">
        <f>IFERROR(VLOOKUP($B182,Totalt!$B$1:$AQ$554,MATCH(I$2,Totalt!$B$1:$AQ$1,0),FALSE),"")</f>
        <v>0</v>
      </c>
      <c r="J182" s="173">
        <f>IFERROR(VLOOKUP($B182,Totalt!$B$1:$AQ$554,MATCH(J$2,Totalt!$B$1:$AQ$1,0),FALSE),"")</f>
        <v>0</v>
      </c>
      <c r="K182" s="173">
        <f>IFERROR(VLOOKUP($B182,Totalt!$B$1:$AQ$554,MATCH(K$2,Totalt!$B$1:$AQ$1,0),FALSE),"")</f>
        <v>0</v>
      </c>
      <c r="L182" s="173">
        <f>IFERROR(VLOOKUP($B182,Totalt!$B$1:$AQ$554,MATCH(L$2,Totalt!$B$1:$AQ$1,0),FALSE),"")</f>
        <v>0</v>
      </c>
      <c r="M182" s="173">
        <f>IFERROR(VLOOKUP($B182,Totalt!$B$1:$AQ$554,MATCH(M$2,Totalt!$B$1:$AQ$1,0),FALSE),"")</f>
        <v>0</v>
      </c>
      <c r="N182" s="173">
        <f>IFERROR(VLOOKUP($B182,Totalt!$B$1:$AQ$554,MATCH(N$2,Totalt!$B$1:$AQ$1,0),FALSE),"")</f>
        <v>0</v>
      </c>
      <c r="O182" s="173">
        <f>IFERROR(VLOOKUP($B182,Totalt!$B$1:$AQ$554,MATCH(O$2,Totalt!$B$1:$AQ$1,0),FALSE),"")</f>
        <v>0</v>
      </c>
      <c r="P182" s="173">
        <f>IFERROR(VLOOKUP($B182,Totalt!$B$1:$AQ$554,MATCH(P$2,Totalt!$B$1:$AQ$1,0),FALSE),"")</f>
        <v>0</v>
      </c>
      <c r="Q182" s="173">
        <f>IFERROR(VLOOKUP($B182,Totalt!$B$1:$AQ$554,MATCH(Q$2,Totalt!$B$1:$AQ$1,0),FALSE),"")</f>
        <v>0</v>
      </c>
      <c r="R182" s="173">
        <f>IFERROR(VLOOKUP($B182,Totalt!$B$1:$AQ$554,MATCH(R$2,Totalt!$B$1:$AQ$1,0),FALSE),"")</f>
        <v>9.5340000000000007</v>
      </c>
      <c r="S182" s="173">
        <f>IFERROR(VLOOKUP($B182,Totalt!$B$1:$AQ$554,MATCH(S$2,Totalt!$B$1:$AQ$1,0),FALSE),"")</f>
        <v>0</v>
      </c>
      <c r="T182" s="173">
        <f>IFERROR(VLOOKUP($B182,Totalt!$B$1:$AQ$554,MATCH(T$2,Totalt!$B$1:$AQ$1,0),FALSE),"")</f>
        <v>0</v>
      </c>
      <c r="U182" s="173">
        <f>IFERROR(VLOOKUP($B182,Totalt!$B$1:$AQ$554,MATCH(U$2,Totalt!$B$1:$AQ$1,0),FALSE),"")</f>
        <v>0</v>
      </c>
      <c r="V182" s="173">
        <f>IFERROR(VLOOKUP($B182,Totalt!$B$1:$AQ$554,MATCH(V$2,Totalt!$B$1:$AQ$1,0),FALSE),"")</f>
        <v>0</v>
      </c>
      <c r="W182" s="173">
        <f>IFERROR(VLOOKUP($B182,Totalt!$B$1:$AQ$554,MATCH(W$2,Totalt!$B$1:$AQ$1,0),FALSE),"")</f>
        <v>0</v>
      </c>
      <c r="X182" s="173">
        <f>IFERROR(VLOOKUP($B182,Totalt!$B$1:$AQ$554,MATCH(X$2,Totalt!$B$1:$AQ$1,0),FALSE),"")</f>
        <v>0</v>
      </c>
      <c r="Y182" s="173">
        <f>IFERROR(VLOOKUP($B182,Totalt!$B$1:$AQ$554,MATCH(Y$2,Totalt!$B$1:$AQ$1,0),FALSE),"")</f>
        <v>0</v>
      </c>
      <c r="Z182" s="173">
        <f>IFERROR(VLOOKUP($B182,Totalt!$B$1:$AQ$554,MATCH(Z$2,Totalt!$B$1:$AQ$1,0),FALSE),"")</f>
        <v>0</v>
      </c>
      <c r="AA182" s="173">
        <f>IFERROR(VLOOKUP($B182,Totalt!$B$1:$AQ$554,MATCH(AA$2,Totalt!$B$1:$AQ$1,0),FALSE),"")</f>
        <v>0</v>
      </c>
      <c r="AB182" s="173">
        <f>IFERROR(VLOOKUP($B182,Totalt!$B$1:$AQ$554,MATCH(AB$2,Totalt!$B$1:$AQ$1,0),FALSE),"")</f>
        <v>0</v>
      </c>
      <c r="AC182" s="173">
        <f>IFERROR(VLOOKUP($B182,Totalt!$B$1:$AQ$554,MATCH(AC$2,Totalt!$B$1:$AQ$1,0),FALSE),"")</f>
        <v>0</v>
      </c>
      <c r="AD182" s="173">
        <f>IFERROR(VLOOKUP($B182,Totalt!$B$1:$AQ$554,MATCH(AD$2,Totalt!$B$1:$AQ$1,0),FALSE),"")</f>
        <v>0</v>
      </c>
      <c r="AE182" s="173">
        <f>IFERROR(VLOOKUP($B182,Totalt!$B$1:$AQ$554,MATCH(AE$2,Totalt!$B$1:$AQ$1,0),FALSE),"")</f>
        <v>0</v>
      </c>
      <c r="AF182" s="173">
        <f>IFERROR(VLOOKUP($B182,Totalt!$B$1:$AQ$554,MATCH(AF$2,Totalt!$B$1:$AQ$1,0),FALSE),"")</f>
        <v>0.128</v>
      </c>
      <c r="AG182" s="173">
        <f>IFERROR(VLOOKUP($B182,Totalt!$B$1:$AQ$554,MATCH(AG$2,Totalt!$B$1:$AQ$1,0),FALSE),"")</f>
        <v>0</v>
      </c>
      <c r="AI182" s="226">
        <f t="shared" si="12"/>
        <v>9.7890000000000015</v>
      </c>
      <c r="AJ182" s="226">
        <f>IF(ISERROR(1/VLOOKUP($B182,Leveranser!$B$1:$S$500,MATCH("såld värme (gwh)",Leveranser!$B$1:$S$1,0),FALSE)),"",VLOOKUP($B182,Leveranser!$B$1:$S$500,MATCH("såld värme (gwh)",Leveranser!$B$1:$S$1,0),FALSE))</f>
        <v>8.5459999999999994</v>
      </c>
      <c r="AM182" s="227" t="str">
        <f>IF(B182&lt;&gt;"",IF(VLOOKUP($B182,Totalt!$B$1:$AQ$554,MATCH("Kvalitetsgranskad:",Totalt!$B$1:$AQ$1,0),FALSE)="ja",VLOOKUP($B182,Miljö!$B$1:$AG$479,MATCH(AM$2,Miljö!$B$1:$AK$1,0),FALSE),""),"")</f>
        <v>Ja</v>
      </c>
      <c r="AN182" s="227" t="str">
        <f>IF(AM182="ja",VLOOKUP($B182,Miljö!$B$1:$J$479,MATCH("Typ av ursprungsspecificerad el   (Om inget värde anges används Nordisk residualmix, se inforuta) ()",Miljö!$B$1:$J$1,0),FALSE),IF(AM182="nej","Nordisk residualel",""))</f>
        <v>'ursprungsmärkt Vattenkraft'</v>
      </c>
      <c r="AO182" s="227">
        <f>IF(AM182="","",VLOOKUP($B182,Miljö!$B$1:$J$479,MATCH("Fossilandel för ursprungspecificerad el ()",Miljö!$B$1:$J$1,0),FALSE))</f>
        <v>0</v>
      </c>
      <c r="AP182" s="227">
        <f>IF(AM182="","",IFERROR(VLOOKUP($B182,Miljö!$B$1:$J$479,MATCH("Kärnkraftsandel för ursprungsspecificerad el ()",Miljö!$B$1:$J$1,0),FALSE)/1,0))</f>
        <v>0</v>
      </c>
      <c r="AQ182" s="227">
        <f t="shared" si="13"/>
        <v>1</v>
      </c>
      <c r="AR182" s="227"/>
      <c r="AS182" s="227" t="str">
        <f t="shared" si="14"/>
        <v>Nej</v>
      </c>
      <c r="AT182" s="227" t="str">
        <f>IF(AS182="ja",VLOOKUP($B182,Miljö!$B$1:$O$500,MATCH("Fossil andel i procent (%)",Miljö!$B$1:$O$1,0),FALSE)/100,"")</f>
        <v/>
      </c>
      <c r="AU182" s="227"/>
      <c r="AV182" s="227" t="str">
        <f t="shared" si="15"/>
        <v>Nej</v>
      </c>
      <c r="AW182" s="227" t="str">
        <f>IF(AV182="ja",VLOOKUP($B182,'Egen hetvattenprod'!$B$1:$AO$500,MATCH("Värmekälla till värmepumpar ()",'Egen hetvattenprod'!$B$1:$AO$1,0),FALSE),"")</f>
        <v/>
      </c>
      <c r="AX182" s="227"/>
      <c r="AY182" s="227" t="str">
        <f t="shared" si="16"/>
        <v>Nej</v>
      </c>
      <c r="AZ182" s="228" t="str">
        <f>IF($AY182="ja",(VLOOKUP($B182,'Egen hetvattenprod'!$B$1:$BX$550,MATCH(AZ$2,'Egen hetvattenprod'!$B$1:$BX$1,0),FALSE)+VLOOKUP($B182,Kraftvärmeprod!$B$1:$BX$550,MATCH(AZ$2,Kraftvärmeprod!$B$1:$BX$1,0),FALSE))/$AC182,"")</f>
        <v/>
      </c>
      <c r="BA182" s="228" t="str">
        <f>IF($AY182="ja",(VLOOKUP($B182,'Egen hetvattenprod'!$B$1:$BX$550,MATCH(BA$2,'Egen hetvattenprod'!$B$1:$BX$1,0),FALSE)+VLOOKUP($B182,Kraftvärmeprod!$B$1:$BX$550,MATCH(BA$2,Kraftvärmeprod!$B$1:$BX$1,0),FALSE))/$AC182,"")</f>
        <v/>
      </c>
      <c r="BB182" s="228" t="str">
        <f>IF($AY182="ja",(VLOOKUP($B182,'Egen hetvattenprod'!$B$1:$BX$550,MATCH(BB$2,'Egen hetvattenprod'!$B$1:$BX$1,0),FALSE)+VLOOKUP($B182,Kraftvärmeprod!$B$1:$BX$550,MATCH(BB$2,Kraftvärmeprod!$B$1:$BX$1,0),FALSE))/$AC182,"")</f>
        <v/>
      </c>
      <c r="BC182" s="228" t="str">
        <f>IF($AY182="ja",(VLOOKUP($B182,'Egen hetvattenprod'!$B$1:$BX$550,MATCH(BC$2,'Egen hetvattenprod'!$B$1:$BX$1,0),FALSE)+VLOOKUP($B182,Kraftvärmeprod!$B$1:$BX$550,MATCH(BC$2,Kraftvärmeprod!$B$1:$BX$1,0),FALSE))/$AC182,"")</f>
        <v/>
      </c>
      <c r="BD182" s="228" t="str">
        <f>IF($AY182="ja",(VLOOKUP($B182,'Egen hetvattenprod'!$B$1:$BX$550,MATCH(BD$2,'Egen hetvattenprod'!$B$1:$BX$1,0),FALSE)+VLOOKUP($B182,Kraftvärmeprod!$B$1:$BX$550,MATCH(BD$2,Kraftvärmeprod!$B$1:$BX$1,0),FALSE))/$AC182,"")</f>
        <v/>
      </c>
      <c r="BE182" s="227"/>
      <c r="BF182" s="227" t="str">
        <f t="shared" si="17"/>
        <v>Nej</v>
      </c>
      <c r="BG182" s="227" t="str">
        <f>IF($BF182="ja",VLOOKUP($B182,'Egen hetvattenprod'!$B$1:$BX$550,MATCH("Andelen klimatgaser med fossilt ursprung för avfall ()",'Egen hetvattenprod'!$B$1:$BX$1,0),FALSE),"")</f>
        <v/>
      </c>
      <c r="BH182" s="227" t="str">
        <f>IF($BF182="ja",VLOOKUP($B182,Kraftvärmeprod!$B$1:$BX$550,MATCH("Andelen klimatgaser med fossilt ursprung för avfall ()",Kraftvärmeprod!$B$1:$BX$1,0),FALSE),"")</f>
        <v/>
      </c>
      <c r="BI182" s="227" t="str">
        <f>IF($BF182="ja",VLOOKUP($B182,'Egen hetvattenprod'!$B$1:$BX$550,MATCH("Avfall (GWh)",'Egen hetvattenprod'!$B$1:$BX$1,0),FALSE),"")</f>
        <v/>
      </c>
      <c r="BJ182" s="227" t="str">
        <f>IF($BF182="ja",VLOOKUP($B182,'Slutlig allokering kvv'!$B$1:$BX$550,MATCH("Avfall (GWh)",'Slutlig allokering kvv'!$B$1:$BX$1,0),FALSE),"")</f>
        <v/>
      </c>
      <c r="BK182" s="227" t="str">
        <f>IF($BF182="ja",VLOOKUP($B182,'Köpt hetvatten'!$B$1:$BX$550,MATCH("Avfall i köpt hetvatten",'Köpt hetvatten'!$B$1:$BX$1,0),FALSE),"")</f>
        <v/>
      </c>
      <c r="BL182" s="227" t="str">
        <f>IF($BF182="ja",VLOOKUP($B182,'Egen hetvattenprod'!$B$1:$BX$550,MATCH("Värde enligt ovan. (%)",'Egen hetvattenprod'!$B$1:$BX$1,0),FALSE),"")</f>
        <v/>
      </c>
      <c r="BM182" s="227" t="str">
        <f>IF($BF182="ja",VLOOKUP($B182,Kraftvärmeprod!$B$1:$BX$550,MATCH("Värde enligt ovan. (%)",Kraftvärmeprod!$B$1:$BX$1,0),FALSE),"")</f>
        <v/>
      </c>
      <c r="BN182" s="227"/>
      <c r="BO182" s="227"/>
      <c r="BP182" s="227"/>
      <c r="BQ182" s="227" t="str">
        <f>IF($BF182="ja",VLOOKUP($B182,'Egen hetvattenprod'!$B$1:$BX$550,MATCH("Tillförd olja (fossil) vid avfallsförbränning (GWh)",'Egen hetvattenprod'!$B$1:$BX$1,0),FALSE),"")</f>
        <v/>
      </c>
      <c r="BR182" s="227" t="str">
        <f>IF($BF182="ja",VLOOKUP($B182,Kraftvärmeprod!$B$1:$BX$550,MATCH("Tillförd olja (fossil) vid avfallsförbränning (GWh)",Kraftvärmeprod!$B$1:$BX$1,0),FALSE),"")</f>
        <v/>
      </c>
      <c r="BS182" s="227"/>
      <c r="BT182" s="227"/>
      <c r="BU182" s="227"/>
    </row>
    <row r="183" spans="1:73" x14ac:dyDescent="0.25">
      <c r="A183" s="121" t="str">
        <f>'Miljövärden för publ företag'!B186</f>
        <v>Neova AB</v>
      </c>
      <c r="B183" s="121" t="str">
        <f>'Miljövärden för publ företag'!C186</f>
        <v>Tibro</v>
      </c>
      <c r="C183" s="173">
        <f>IFERROR(VLOOKUP($B183,Totalt!$B$1:$AQ$554,MATCH(C$2,Totalt!$B$1:$AQ$1,0),FALSE),"")</f>
        <v>0</v>
      </c>
      <c r="D183" s="173">
        <f>IFERROR(VLOOKUP($B183,Totalt!$B$1:$AQ$554,MATCH(D$2,Totalt!$B$1:$AQ$1,0),FALSE),"")</f>
        <v>0.311</v>
      </c>
      <c r="E183" s="173">
        <f>IFERROR(VLOOKUP($B183,Totalt!$B$1:$AQ$554,MATCH(E$2,Totalt!$B$1:$AQ$1,0),FALSE),"")</f>
        <v>0</v>
      </c>
      <c r="F183" s="173">
        <f>IFERROR(VLOOKUP($B183,Totalt!$B$1:$AQ$554,MATCH(F$2,Totalt!$B$1:$AQ$1,0),FALSE),"")</f>
        <v>0</v>
      </c>
      <c r="G183" s="173">
        <f>IFERROR(VLOOKUP($B183,Totalt!$B$1:$AQ$554,MATCH(G$2,Totalt!$B$1:$AQ$1,0),FALSE),"")</f>
        <v>0</v>
      </c>
      <c r="H183" s="173">
        <f>IFERROR(VLOOKUP($B183,Totalt!$B$1:$AQ$554,MATCH(H$2,Totalt!$B$1:$AQ$1,0),FALSE),"")</f>
        <v>0</v>
      </c>
      <c r="I183" s="173">
        <f>IFERROR(VLOOKUP($B183,Totalt!$B$1:$AQ$554,MATCH(I$2,Totalt!$B$1:$AQ$1,0),FALSE),"")</f>
        <v>0</v>
      </c>
      <c r="J183" s="173">
        <f>IFERROR(VLOOKUP($B183,Totalt!$B$1:$AQ$554,MATCH(J$2,Totalt!$B$1:$AQ$1,0),FALSE),"")</f>
        <v>0</v>
      </c>
      <c r="K183" s="173">
        <f>IFERROR(VLOOKUP($B183,Totalt!$B$1:$AQ$554,MATCH(K$2,Totalt!$B$1:$AQ$1,0),FALSE),"")</f>
        <v>0</v>
      </c>
      <c r="L183" s="173">
        <f>IFERROR(VLOOKUP($B183,Totalt!$B$1:$AQ$554,MATCH(L$2,Totalt!$B$1:$AQ$1,0),FALSE),"")</f>
        <v>0</v>
      </c>
      <c r="M183" s="173">
        <f>IFERROR(VLOOKUP($B183,Totalt!$B$1:$AQ$554,MATCH(M$2,Totalt!$B$1:$AQ$1,0),FALSE),"")</f>
        <v>0</v>
      </c>
      <c r="N183" s="173">
        <f>IFERROR(VLOOKUP($B183,Totalt!$B$1:$AQ$554,MATCH(N$2,Totalt!$B$1:$AQ$1,0),FALSE),"")</f>
        <v>0</v>
      </c>
      <c r="O183" s="173">
        <f>IFERROR(VLOOKUP($B183,Totalt!$B$1:$AQ$554,MATCH(O$2,Totalt!$B$1:$AQ$1,0),FALSE),"")</f>
        <v>52.595999999999997</v>
      </c>
      <c r="P183" s="173">
        <f>IFERROR(VLOOKUP($B183,Totalt!$B$1:$AQ$554,MATCH(P$2,Totalt!$B$1:$AQ$1,0),FALSE),"")</f>
        <v>0</v>
      </c>
      <c r="Q183" s="173">
        <f>IFERROR(VLOOKUP($B183,Totalt!$B$1:$AQ$554,MATCH(Q$2,Totalt!$B$1:$AQ$1,0),FALSE),"")</f>
        <v>0</v>
      </c>
      <c r="R183" s="173">
        <f>IFERROR(VLOOKUP($B183,Totalt!$B$1:$AQ$554,MATCH(R$2,Totalt!$B$1:$AQ$1,0),FALSE),"")</f>
        <v>0</v>
      </c>
      <c r="S183" s="173">
        <f>IFERROR(VLOOKUP($B183,Totalt!$B$1:$AQ$554,MATCH(S$2,Totalt!$B$1:$AQ$1,0),FALSE),"")</f>
        <v>16.803999999999998</v>
      </c>
      <c r="T183" s="173">
        <f>IFERROR(VLOOKUP($B183,Totalt!$B$1:$AQ$554,MATCH(T$2,Totalt!$B$1:$AQ$1,0),FALSE),"")</f>
        <v>0</v>
      </c>
      <c r="U183" s="173">
        <f>IFERROR(VLOOKUP($B183,Totalt!$B$1:$AQ$554,MATCH(U$2,Totalt!$B$1:$AQ$1,0),FALSE),"")</f>
        <v>0</v>
      </c>
      <c r="V183" s="173">
        <f>IFERROR(VLOOKUP($B183,Totalt!$B$1:$AQ$554,MATCH(V$2,Totalt!$B$1:$AQ$1,0),FALSE),"")</f>
        <v>0</v>
      </c>
      <c r="W183" s="173">
        <f>IFERROR(VLOOKUP($B183,Totalt!$B$1:$AQ$554,MATCH(W$2,Totalt!$B$1:$AQ$1,0),FALSE),"")</f>
        <v>0</v>
      </c>
      <c r="X183" s="173">
        <f>IFERROR(VLOOKUP($B183,Totalt!$B$1:$AQ$554,MATCH(X$2,Totalt!$B$1:$AQ$1,0),FALSE),"")</f>
        <v>0</v>
      </c>
      <c r="Y183" s="173">
        <f>IFERROR(VLOOKUP($B183,Totalt!$B$1:$AQ$554,MATCH(Y$2,Totalt!$B$1:$AQ$1,0),FALSE),"")</f>
        <v>0</v>
      </c>
      <c r="Z183" s="173">
        <f>IFERROR(VLOOKUP($B183,Totalt!$B$1:$AQ$554,MATCH(Z$2,Totalt!$B$1:$AQ$1,0),FALSE),"")</f>
        <v>0</v>
      </c>
      <c r="AA183" s="173">
        <f>IFERROR(VLOOKUP($B183,Totalt!$B$1:$AQ$554,MATCH(AA$2,Totalt!$B$1:$AQ$1,0),FALSE),"")</f>
        <v>0</v>
      </c>
      <c r="AB183" s="173">
        <f>IFERROR(VLOOKUP($B183,Totalt!$B$1:$AQ$554,MATCH(AB$2,Totalt!$B$1:$AQ$1,0),FALSE),"")</f>
        <v>0</v>
      </c>
      <c r="AC183" s="173">
        <f>IFERROR(VLOOKUP($B183,Totalt!$B$1:$AQ$554,MATCH(AC$2,Totalt!$B$1:$AQ$1,0),FALSE),"")</f>
        <v>0</v>
      </c>
      <c r="AD183" s="173">
        <f>IFERROR(VLOOKUP($B183,Totalt!$B$1:$AQ$554,MATCH(AD$2,Totalt!$B$1:$AQ$1,0),FALSE),"")</f>
        <v>0</v>
      </c>
      <c r="AE183" s="173">
        <f>IFERROR(VLOOKUP($B183,Totalt!$B$1:$AQ$554,MATCH(AE$2,Totalt!$B$1:$AQ$1,0),FALSE),"")</f>
        <v>0</v>
      </c>
      <c r="AF183" s="173">
        <f>IFERROR(VLOOKUP($B183,Totalt!$B$1:$AQ$554,MATCH(AF$2,Totalt!$B$1:$AQ$1,0),FALSE),"")</f>
        <v>1.3109999999999999</v>
      </c>
      <c r="AG183" s="173">
        <f>IFERROR(VLOOKUP($B183,Totalt!$B$1:$AQ$554,MATCH(AG$2,Totalt!$B$1:$AQ$1,0),FALSE),"")</f>
        <v>0</v>
      </c>
      <c r="AI183" s="226">
        <f t="shared" si="12"/>
        <v>71.021999999999991</v>
      </c>
      <c r="AJ183" s="226">
        <f>IF(ISERROR(1/VLOOKUP($B183,Leveranser!$B$1:$S$500,MATCH("såld värme (gwh)",Leveranser!$B$1:$S$1,0),FALSE)),"",VLOOKUP($B183,Leveranser!$B$1:$S$500,MATCH("såld värme (gwh)",Leveranser!$B$1:$S$1,0),FALSE))</f>
        <v>58.317999999999998</v>
      </c>
      <c r="AM183" s="227" t="str">
        <f>IF(B183&lt;&gt;"",IF(VLOOKUP($B183,Totalt!$B$1:$AQ$554,MATCH("Kvalitetsgranskad:",Totalt!$B$1:$AQ$1,0),FALSE)="ja",VLOOKUP($B183,Miljö!$B$1:$AG$479,MATCH(AM$2,Miljö!$B$1:$AK$1,0),FALSE),""),"")</f>
        <v>Ja</v>
      </c>
      <c r="AN183" s="227" t="str">
        <f>IF(AM183="ja",VLOOKUP($B183,Miljö!$B$1:$J$479,MATCH("Typ av ursprungsspecificerad el   (Om inget värde anges används Nordisk residualmix, se inforuta) ()",Miljö!$B$1:$J$1,0),FALSE),IF(AM183="nej","Nordisk residualel",""))</f>
        <v>'Ursprungsmärkt vattenkraft'</v>
      </c>
      <c r="AO183" s="227">
        <f>IF(AM183="","",VLOOKUP($B183,Miljö!$B$1:$J$479,MATCH("Fossilandel för ursprungspecificerad el ()",Miljö!$B$1:$J$1,0),FALSE))</f>
        <v>0</v>
      </c>
      <c r="AP183" s="227">
        <f>IF(AM183="","",IFERROR(VLOOKUP($B183,Miljö!$B$1:$J$479,MATCH("Kärnkraftsandel för ursprungsspecificerad el ()",Miljö!$B$1:$J$1,0),FALSE)/1,0))</f>
        <v>0</v>
      </c>
      <c r="AQ183" s="227">
        <f t="shared" si="13"/>
        <v>1</v>
      </c>
      <c r="AR183" s="227"/>
      <c r="AS183" s="227" t="str">
        <f t="shared" si="14"/>
        <v>Nej</v>
      </c>
      <c r="AT183" s="227" t="str">
        <f>IF(AS183="ja",VLOOKUP($B183,Miljö!$B$1:$O$500,MATCH("Fossil andel i procent (%)",Miljö!$B$1:$O$1,0),FALSE)/100,"")</f>
        <v/>
      </c>
      <c r="AU183" s="227"/>
      <c r="AV183" s="227" t="str">
        <f t="shared" si="15"/>
        <v>Nej</v>
      </c>
      <c r="AW183" s="227" t="str">
        <f>IF(AV183="ja",VLOOKUP($B183,'Egen hetvattenprod'!$B$1:$AO$500,MATCH("Värmekälla till värmepumpar ()",'Egen hetvattenprod'!$B$1:$AO$1,0),FALSE),"")</f>
        <v/>
      </c>
      <c r="AX183" s="227"/>
      <c r="AY183" s="227" t="str">
        <f t="shared" si="16"/>
        <v>Nej</v>
      </c>
      <c r="AZ183" s="228" t="str">
        <f>IF($AY183="ja",(VLOOKUP($B183,'Egen hetvattenprod'!$B$1:$BX$550,MATCH(AZ$2,'Egen hetvattenprod'!$B$1:$BX$1,0),FALSE)+VLOOKUP($B183,Kraftvärmeprod!$B$1:$BX$550,MATCH(AZ$2,Kraftvärmeprod!$B$1:$BX$1,0),FALSE))/$AC183,"")</f>
        <v/>
      </c>
      <c r="BA183" s="228" t="str">
        <f>IF($AY183="ja",(VLOOKUP($B183,'Egen hetvattenprod'!$B$1:$BX$550,MATCH(BA$2,'Egen hetvattenprod'!$B$1:$BX$1,0),FALSE)+VLOOKUP($B183,Kraftvärmeprod!$B$1:$BX$550,MATCH(BA$2,Kraftvärmeprod!$B$1:$BX$1,0),FALSE))/$AC183,"")</f>
        <v/>
      </c>
      <c r="BB183" s="228" t="str">
        <f>IF($AY183="ja",(VLOOKUP($B183,'Egen hetvattenprod'!$B$1:$BX$550,MATCH(BB$2,'Egen hetvattenprod'!$B$1:$BX$1,0),FALSE)+VLOOKUP($B183,Kraftvärmeprod!$B$1:$BX$550,MATCH(BB$2,Kraftvärmeprod!$B$1:$BX$1,0),FALSE))/$AC183,"")</f>
        <v/>
      </c>
      <c r="BC183" s="228" t="str">
        <f>IF($AY183="ja",(VLOOKUP($B183,'Egen hetvattenprod'!$B$1:$BX$550,MATCH(BC$2,'Egen hetvattenprod'!$B$1:$BX$1,0),FALSE)+VLOOKUP($B183,Kraftvärmeprod!$B$1:$BX$550,MATCH(BC$2,Kraftvärmeprod!$B$1:$BX$1,0),FALSE))/$AC183,"")</f>
        <v/>
      </c>
      <c r="BD183" s="228" t="str">
        <f>IF($AY183="ja",(VLOOKUP($B183,'Egen hetvattenprod'!$B$1:$BX$550,MATCH(BD$2,'Egen hetvattenprod'!$B$1:$BX$1,0),FALSE)+VLOOKUP($B183,Kraftvärmeprod!$B$1:$BX$550,MATCH(BD$2,Kraftvärmeprod!$B$1:$BX$1,0),FALSE))/$AC183,"")</f>
        <v/>
      </c>
      <c r="BE183" s="227"/>
      <c r="BF183" s="227" t="str">
        <f t="shared" si="17"/>
        <v>Nej</v>
      </c>
      <c r="BG183" s="227" t="str">
        <f>IF($BF183="ja",VLOOKUP($B183,'Egen hetvattenprod'!$B$1:$BX$550,MATCH("Andelen klimatgaser med fossilt ursprung för avfall ()",'Egen hetvattenprod'!$B$1:$BX$1,0),FALSE),"")</f>
        <v/>
      </c>
      <c r="BH183" s="227" t="str">
        <f>IF($BF183="ja",VLOOKUP($B183,Kraftvärmeprod!$B$1:$BX$550,MATCH("Andelen klimatgaser med fossilt ursprung för avfall ()",Kraftvärmeprod!$B$1:$BX$1,0),FALSE),"")</f>
        <v/>
      </c>
      <c r="BI183" s="227" t="str">
        <f>IF($BF183="ja",VLOOKUP($B183,'Egen hetvattenprod'!$B$1:$BX$550,MATCH("Avfall (GWh)",'Egen hetvattenprod'!$B$1:$BX$1,0),FALSE),"")</f>
        <v/>
      </c>
      <c r="BJ183" s="227" t="str">
        <f>IF($BF183="ja",VLOOKUP($B183,'Slutlig allokering kvv'!$B$1:$BX$550,MATCH("Avfall (GWh)",'Slutlig allokering kvv'!$B$1:$BX$1,0),FALSE),"")</f>
        <v/>
      </c>
      <c r="BK183" s="227" t="str">
        <f>IF($BF183="ja",VLOOKUP($B183,'Köpt hetvatten'!$B$1:$BX$550,MATCH("Avfall i köpt hetvatten",'Köpt hetvatten'!$B$1:$BX$1,0),FALSE),"")</f>
        <v/>
      </c>
      <c r="BL183" s="227" t="str">
        <f>IF($BF183="ja",VLOOKUP($B183,'Egen hetvattenprod'!$B$1:$BX$550,MATCH("Värde enligt ovan. (%)",'Egen hetvattenprod'!$B$1:$BX$1,0),FALSE),"")</f>
        <v/>
      </c>
      <c r="BM183" s="227" t="str">
        <f>IF($BF183="ja",VLOOKUP($B183,Kraftvärmeprod!$B$1:$BX$550,MATCH("Värde enligt ovan. (%)",Kraftvärmeprod!$B$1:$BX$1,0),FALSE),"")</f>
        <v/>
      </c>
      <c r="BN183" s="227"/>
      <c r="BO183" s="227"/>
      <c r="BP183" s="227"/>
      <c r="BQ183" s="227" t="str">
        <f>IF($BF183="ja",VLOOKUP($B183,'Egen hetvattenprod'!$B$1:$BX$550,MATCH("Tillförd olja (fossil) vid avfallsförbränning (GWh)",'Egen hetvattenprod'!$B$1:$BX$1,0),FALSE),"")</f>
        <v/>
      </c>
      <c r="BR183" s="227" t="str">
        <f>IF($BF183="ja",VLOOKUP($B183,Kraftvärmeprod!$B$1:$BX$550,MATCH("Tillförd olja (fossil) vid avfallsförbränning (GWh)",Kraftvärmeprod!$B$1:$BX$1,0),FALSE),"")</f>
        <v/>
      </c>
      <c r="BS183" s="227"/>
      <c r="BT183" s="227"/>
      <c r="BU183" s="227"/>
    </row>
    <row r="184" spans="1:73" x14ac:dyDescent="0.25">
      <c r="A184" s="121" t="str">
        <f>'Miljövärden för publ företag'!B187</f>
        <v>Neova AB</v>
      </c>
      <c r="B184" s="121" t="str">
        <f>'Miljövärden för publ företag'!C187</f>
        <v>Valdemarsvik</v>
      </c>
      <c r="C184" s="173">
        <f>IFERROR(VLOOKUP($B184,Totalt!$B$1:$AQ$554,MATCH(C$2,Totalt!$B$1:$AQ$1,0),FALSE),"")</f>
        <v>0</v>
      </c>
      <c r="D184" s="173">
        <f>IFERROR(VLOOKUP($B184,Totalt!$B$1:$AQ$554,MATCH(D$2,Totalt!$B$1:$AQ$1,0),FALSE),"")</f>
        <v>5.7000000000000002E-2</v>
      </c>
      <c r="E184" s="173">
        <f>IFERROR(VLOOKUP($B184,Totalt!$B$1:$AQ$554,MATCH(E$2,Totalt!$B$1:$AQ$1,0),FALSE),"")</f>
        <v>0</v>
      </c>
      <c r="F184" s="173">
        <f>IFERROR(VLOOKUP($B184,Totalt!$B$1:$AQ$554,MATCH(F$2,Totalt!$B$1:$AQ$1,0),FALSE),"")</f>
        <v>0</v>
      </c>
      <c r="G184" s="173">
        <f>IFERROR(VLOOKUP($B184,Totalt!$B$1:$AQ$554,MATCH(G$2,Totalt!$B$1:$AQ$1,0),FALSE),"")</f>
        <v>0</v>
      </c>
      <c r="H184" s="173">
        <f>IFERROR(VLOOKUP($B184,Totalt!$B$1:$AQ$554,MATCH(H$2,Totalt!$B$1:$AQ$1,0),FALSE),"")</f>
        <v>0</v>
      </c>
      <c r="I184" s="173">
        <f>IFERROR(VLOOKUP($B184,Totalt!$B$1:$AQ$554,MATCH(I$2,Totalt!$B$1:$AQ$1,0),FALSE),"")</f>
        <v>0</v>
      </c>
      <c r="J184" s="173">
        <f>IFERROR(VLOOKUP($B184,Totalt!$B$1:$AQ$554,MATCH(J$2,Totalt!$B$1:$AQ$1,0),FALSE),"")</f>
        <v>0</v>
      </c>
      <c r="K184" s="173">
        <f>IFERROR(VLOOKUP($B184,Totalt!$B$1:$AQ$554,MATCH(K$2,Totalt!$B$1:$AQ$1,0),FALSE),"")</f>
        <v>0</v>
      </c>
      <c r="L184" s="173">
        <f>IFERROR(VLOOKUP($B184,Totalt!$B$1:$AQ$554,MATCH(L$2,Totalt!$B$1:$AQ$1,0),FALSE),"")</f>
        <v>0</v>
      </c>
      <c r="M184" s="173">
        <f>IFERROR(VLOOKUP($B184,Totalt!$B$1:$AQ$554,MATCH(M$2,Totalt!$B$1:$AQ$1,0),FALSE),"")</f>
        <v>0</v>
      </c>
      <c r="N184" s="173">
        <f>IFERROR(VLOOKUP($B184,Totalt!$B$1:$AQ$554,MATCH(N$2,Totalt!$B$1:$AQ$1,0),FALSE),"")</f>
        <v>0</v>
      </c>
      <c r="O184" s="173">
        <f>IFERROR(VLOOKUP($B184,Totalt!$B$1:$AQ$554,MATCH(O$2,Totalt!$B$1:$AQ$1,0),FALSE),"")</f>
        <v>0</v>
      </c>
      <c r="P184" s="173">
        <f>IFERROR(VLOOKUP($B184,Totalt!$B$1:$AQ$554,MATCH(P$2,Totalt!$B$1:$AQ$1,0),FALSE),"")</f>
        <v>3.2040000000000002</v>
      </c>
      <c r="Q184" s="173">
        <f>IFERROR(VLOOKUP($B184,Totalt!$B$1:$AQ$554,MATCH(Q$2,Totalt!$B$1:$AQ$1,0),FALSE),"")</f>
        <v>0</v>
      </c>
      <c r="R184" s="173">
        <f>IFERROR(VLOOKUP($B184,Totalt!$B$1:$AQ$554,MATCH(R$2,Totalt!$B$1:$AQ$1,0),FALSE),"")</f>
        <v>0</v>
      </c>
      <c r="S184" s="173">
        <f>IFERROR(VLOOKUP($B184,Totalt!$B$1:$AQ$554,MATCH(S$2,Totalt!$B$1:$AQ$1,0),FALSE),"")</f>
        <v>13.98</v>
      </c>
      <c r="T184" s="173">
        <f>IFERROR(VLOOKUP($B184,Totalt!$B$1:$AQ$554,MATCH(T$2,Totalt!$B$1:$AQ$1,0),FALSE),"")</f>
        <v>0</v>
      </c>
      <c r="U184" s="173">
        <f>IFERROR(VLOOKUP($B184,Totalt!$B$1:$AQ$554,MATCH(U$2,Totalt!$B$1:$AQ$1,0),FALSE),"")</f>
        <v>0</v>
      </c>
      <c r="V184" s="173">
        <f>IFERROR(VLOOKUP($B184,Totalt!$B$1:$AQ$554,MATCH(V$2,Totalt!$B$1:$AQ$1,0),FALSE),"")</f>
        <v>0</v>
      </c>
      <c r="W184" s="173">
        <f>IFERROR(VLOOKUP($B184,Totalt!$B$1:$AQ$554,MATCH(W$2,Totalt!$B$1:$AQ$1,0),FALSE),"")</f>
        <v>0</v>
      </c>
      <c r="X184" s="173">
        <f>IFERROR(VLOOKUP($B184,Totalt!$B$1:$AQ$554,MATCH(X$2,Totalt!$B$1:$AQ$1,0),FALSE),"")</f>
        <v>0</v>
      </c>
      <c r="Y184" s="173">
        <f>IFERROR(VLOOKUP($B184,Totalt!$B$1:$AQ$554,MATCH(Y$2,Totalt!$B$1:$AQ$1,0),FALSE),"")</f>
        <v>0</v>
      </c>
      <c r="Z184" s="173">
        <f>IFERROR(VLOOKUP($B184,Totalt!$B$1:$AQ$554,MATCH(Z$2,Totalt!$B$1:$AQ$1,0),FALSE),"")</f>
        <v>0</v>
      </c>
      <c r="AA184" s="173">
        <f>IFERROR(VLOOKUP($B184,Totalt!$B$1:$AQ$554,MATCH(AA$2,Totalt!$B$1:$AQ$1,0),FALSE),"")</f>
        <v>0</v>
      </c>
      <c r="AB184" s="173">
        <f>IFERROR(VLOOKUP($B184,Totalt!$B$1:$AQ$554,MATCH(AB$2,Totalt!$B$1:$AQ$1,0),FALSE),"")</f>
        <v>0</v>
      </c>
      <c r="AC184" s="173">
        <f>IFERROR(VLOOKUP($B184,Totalt!$B$1:$AQ$554,MATCH(AC$2,Totalt!$B$1:$AQ$1,0),FALSE),"")</f>
        <v>0</v>
      </c>
      <c r="AD184" s="173">
        <f>IFERROR(VLOOKUP($B184,Totalt!$B$1:$AQ$554,MATCH(AD$2,Totalt!$B$1:$AQ$1,0),FALSE),"")</f>
        <v>0</v>
      </c>
      <c r="AE184" s="173">
        <f>IFERROR(VLOOKUP($B184,Totalt!$B$1:$AQ$554,MATCH(AE$2,Totalt!$B$1:$AQ$1,0),FALSE),"")</f>
        <v>0</v>
      </c>
      <c r="AF184" s="173">
        <f>IFERROR(VLOOKUP($B184,Totalt!$B$1:$AQ$554,MATCH(AF$2,Totalt!$B$1:$AQ$1,0),FALSE),"")</f>
        <v>0.317</v>
      </c>
      <c r="AG184" s="173">
        <f>IFERROR(VLOOKUP($B184,Totalt!$B$1:$AQ$554,MATCH(AG$2,Totalt!$B$1:$AQ$1,0),FALSE),"")</f>
        <v>0</v>
      </c>
      <c r="AI184" s="226">
        <f t="shared" si="12"/>
        <v>17.558</v>
      </c>
      <c r="AJ184" s="226">
        <f>IF(ISERROR(1/VLOOKUP($B184,Leveranser!$B$1:$S$500,MATCH("såld värme (gwh)",Leveranser!$B$1:$S$1,0),FALSE)),"",VLOOKUP($B184,Leveranser!$B$1:$S$500,MATCH("såld värme (gwh)",Leveranser!$B$1:$S$1,0),FALSE))</f>
        <v>13.42</v>
      </c>
      <c r="AM184" s="227" t="str">
        <f>IF(B184&lt;&gt;"",IF(VLOOKUP($B184,Totalt!$B$1:$AQ$554,MATCH("Kvalitetsgranskad:",Totalt!$B$1:$AQ$1,0),FALSE)="ja",VLOOKUP($B184,Miljö!$B$1:$AG$479,MATCH(AM$2,Miljö!$B$1:$AK$1,0),FALSE),""),"")</f>
        <v>Ja</v>
      </c>
      <c r="AN184" s="227" t="str">
        <f>IF(AM184="ja",VLOOKUP($B184,Miljö!$B$1:$J$479,MATCH("Typ av ursprungsspecificerad el   (Om inget värde anges används Nordisk residualmix, se inforuta) ()",Miljö!$B$1:$J$1,0),FALSE),IF(AM184="nej","Nordisk residualel",""))</f>
        <v>'Ursprungsmärkt Vattenkraft'</v>
      </c>
      <c r="AO184" s="227">
        <f>IF(AM184="","",VLOOKUP($B184,Miljö!$B$1:$J$479,MATCH("Fossilandel för ursprungspecificerad el ()",Miljö!$B$1:$J$1,0),FALSE))</f>
        <v>0</v>
      </c>
      <c r="AP184" s="227">
        <f>IF(AM184="","",IFERROR(VLOOKUP($B184,Miljö!$B$1:$J$479,MATCH("Kärnkraftsandel för ursprungsspecificerad el ()",Miljö!$B$1:$J$1,0),FALSE)/1,0))</f>
        <v>0</v>
      </c>
      <c r="AQ184" s="227">
        <f t="shared" si="13"/>
        <v>1</v>
      </c>
      <c r="AR184" s="227"/>
      <c r="AS184" s="227" t="str">
        <f t="shared" si="14"/>
        <v>Nej</v>
      </c>
      <c r="AT184" s="227" t="str">
        <f>IF(AS184="ja",VLOOKUP($B184,Miljö!$B$1:$O$500,MATCH("Fossil andel i procent (%)",Miljö!$B$1:$O$1,0),FALSE)/100,"")</f>
        <v/>
      </c>
      <c r="AU184" s="227"/>
      <c r="AV184" s="227" t="str">
        <f t="shared" si="15"/>
        <v>Nej</v>
      </c>
      <c r="AW184" s="227" t="str">
        <f>IF(AV184="ja",VLOOKUP($B184,'Egen hetvattenprod'!$B$1:$AO$500,MATCH("Värmekälla till värmepumpar ()",'Egen hetvattenprod'!$B$1:$AO$1,0),FALSE),"")</f>
        <v/>
      </c>
      <c r="AX184" s="227"/>
      <c r="AY184" s="227" t="str">
        <f t="shared" si="16"/>
        <v>Nej</v>
      </c>
      <c r="AZ184" s="228" t="str">
        <f>IF($AY184="ja",(VLOOKUP($B184,'Egen hetvattenprod'!$B$1:$BX$550,MATCH(AZ$2,'Egen hetvattenprod'!$B$1:$BX$1,0),FALSE)+VLOOKUP($B184,Kraftvärmeprod!$B$1:$BX$550,MATCH(AZ$2,Kraftvärmeprod!$B$1:$BX$1,0),FALSE))/$AC184,"")</f>
        <v/>
      </c>
      <c r="BA184" s="228" t="str">
        <f>IF($AY184="ja",(VLOOKUP($B184,'Egen hetvattenprod'!$B$1:$BX$550,MATCH(BA$2,'Egen hetvattenprod'!$B$1:$BX$1,0),FALSE)+VLOOKUP($B184,Kraftvärmeprod!$B$1:$BX$550,MATCH(BA$2,Kraftvärmeprod!$B$1:$BX$1,0),FALSE))/$AC184,"")</f>
        <v/>
      </c>
      <c r="BB184" s="228" t="str">
        <f>IF($AY184="ja",(VLOOKUP($B184,'Egen hetvattenprod'!$B$1:$BX$550,MATCH(BB$2,'Egen hetvattenprod'!$B$1:$BX$1,0),FALSE)+VLOOKUP($B184,Kraftvärmeprod!$B$1:$BX$550,MATCH(BB$2,Kraftvärmeprod!$B$1:$BX$1,0),FALSE))/$AC184,"")</f>
        <v/>
      </c>
      <c r="BC184" s="228" t="str">
        <f>IF($AY184="ja",(VLOOKUP($B184,'Egen hetvattenprod'!$B$1:$BX$550,MATCH(BC$2,'Egen hetvattenprod'!$B$1:$BX$1,0),FALSE)+VLOOKUP($B184,Kraftvärmeprod!$B$1:$BX$550,MATCH(BC$2,Kraftvärmeprod!$B$1:$BX$1,0),FALSE))/$AC184,"")</f>
        <v/>
      </c>
      <c r="BD184" s="228" t="str">
        <f>IF($AY184="ja",(VLOOKUP($B184,'Egen hetvattenprod'!$B$1:$BX$550,MATCH(BD$2,'Egen hetvattenprod'!$B$1:$BX$1,0),FALSE)+VLOOKUP($B184,Kraftvärmeprod!$B$1:$BX$550,MATCH(BD$2,Kraftvärmeprod!$B$1:$BX$1,0),FALSE))/$AC184,"")</f>
        <v/>
      </c>
      <c r="BE184" s="227"/>
      <c r="BF184" s="227" t="str">
        <f t="shared" si="17"/>
        <v>Nej</v>
      </c>
      <c r="BG184" s="227" t="str">
        <f>IF($BF184="ja",VLOOKUP($B184,'Egen hetvattenprod'!$B$1:$BX$550,MATCH("Andelen klimatgaser med fossilt ursprung för avfall ()",'Egen hetvattenprod'!$B$1:$BX$1,0),FALSE),"")</f>
        <v/>
      </c>
      <c r="BH184" s="227" t="str">
        <f>IF($BF184="ja",VLOOKUP($B184,Kraftvärmeprod!$B$1:$BX$550,MATCH("Andelen klimatgaser med fossilt ursprung för avfall ()",Kraftvärmeprod!$B$1:$BX$1,0),FALSE),"")</f>
        <v/>
      </c>
      <c r="BI184" s="227" t="str">
        <f>IF($BF184="ja",VLOOKUP($B184,'Egen hetvattenprod'!$B$1:$BX$550,MATCH("Avfall (GWh)",'Egen hetvattenprod'!$B$1:$BX$1,0),FALSE),"")</f>
        <v/>
      </c>
      <c r="BJ184" s="227" t="str">
        <f>IF($BF184="ja",VLOOKUP($B184,'Slutlig allokering kvv'!$B$1:$BX$550,MATCH("Avfall (GWh)",'Slutlig allokering kvv'!$B$1:$BX$1,0),FALSE),"")</f>
        <v/>
      </c>
      <c r="BK184" s="227" t="str">
        <f>IF($BF184="ja",VLOOKUP($B184,'Köpt hetvatten'!$B$1:$BX$550,MATCH("Avfall i köpt hetvatten",'Köpt hetvatten'!$B$1:$BX$1,0),FALSE),"")</f>
        <v/>
      </c>
      <c r="BL184" s="227" t="str">
        <f>IF($BF184="ja",VLOOKUP($B184,'Egen hetvattenprod'!$B$1:$BX$550,MATCH("Värde enligt ovan. (%)",'Egen hetvattenprod'!$B$1:$BX$1,0),FALSE),"")</f>
        <v/>
      </c>
      <c r="BM184" s="227" t="str">
        <f>IF($BF184="ja",VLOOKUP($B184,Kraftvärmeprod!$B$1:$BX$550,MATCH("Värde enligt ovan. (%)",Kraftvärmeprod!$B$1:$BX$1,0),FALSE),"")</f>
        <v/>
      </c>
      <c r="BN184" s="227"/>
      <c r="BO184" s="227"/>
      <c r="BP184" s="227"/>
      <c r="BQ184" s="227" t="str">
        <f>IF($BF184="ja",VLOOKUP($B184,'Egen hetvattenprod'!$B$1:$BX$550,MATCH("Tillförd olja (fossil) vid avfallsförbränning (GWh)",'Egen hetvattenprod'!$B$1:$BX$1,0),FALSE),"")</f>
        <v/>
      </c>
      <c r="BR184" s="227" t="str">
        <f>IF($BF184="ja",VLOOKUP($B184,Kraftvärmeprod!$B$1:$BX$550,MATCH("Tillförd olja (fossil) vid avfallsförbränning (GWh)",Kraftvärmeprod!$B$1:$BX$1,0),FALSE),"")</f>
        <v/>
      </c>
      <c r="BS184" s="227"/>
      <c r="BT184" s="227"/>
      <c r="BU184" s="227"/>
    </row>
    <row r="185" spans="1:73" x14ac:dyDescent="0.25">
      <c r="A185" s="121" t="str">
        <f>'Miljövärden för publ företag'!B188</f>
        <v>Neova AB</v>
      </c>
      <c r="B185" s="121" t="str">
        <f>'Miljövärden för publ företag'!C188</f>
        <v>Årjäng</v>
      </c>
      <c r="C185" s="173">
        <f>IFERROR(VLOOKUP($B185,Totalt!$B$1:$AQ$554,MATCH(C$2,Totalt!$B$1:$AQ$1,0),FALSE),"")</f>
        <v>0</v>
      </c>
      <c r="D185" s="173">
        <f>IFERROR(VLOOKUP($B185,Totalt!$B$1:$AQ$554,MATCH(D$2,Totalt!$B$1:$AQ$1,0),FALSE),"")</f>
        <v>2.4247200000000002</v>
      </c>
      <c r="E185" s="173">
        <f>IFERROR(VLOOKUP($B185,Totalt!$B$1:$AQ$554,MATCH(E$2,Totalt!$B$1:$AQ$1,0),FALSE),"")</f>
        <v>0</v>
      </c>
      <c r="F185" s="173">
        <f>IFERROR(VLOOKUP($B185,Totalt!$B$1:$AQ$554,MATCH(F$2,Totalt!$B$1:$AQ$1,0),FALSE),"")</f>
        <v>0</v>
      </c>
      <c r="G185" s="173">
        <f>IFERROR(VLOOKUP($B185,Totalt!$B$1:$AQ$554,MATCH(G$2,Totalt!$B$1:$AQ$1,0),FALSE),"")</f>
        <v>0</v>
      </c>
      <c r="H185" s="173">
        <f>IFERROR(VLOOKUP($B185,Totalt!$B$1:$AQ$554,MATCH(H$2,Totalt!$B$1:$AQ$1,0),FALSE),"")</f>
        <v>0</v>
      </c>
      <c r="I185" s="173">
        <f>IFERROR(VLOOKUP($B185,Totalt!$B$1:$AQ$554,MATCH(I$2,Totalt!$B$1:$AQ$1,0),FALSE),"")</f>
        <v>0</v>
      </c>
      <c r="J185" s="173">
        <f>IFERROR(VLOOKUP($B185,Totalt!$B$1:$AQ$554,MATCH(J$2,Totalt!$B$1:$AQ$1,0),FALSE),"")</f>
        <v>0</v>
      </c>
      <c r="K185" s="173">
        <f>IFERROR(VLOOKUP($B185,Totalt!$B$1:$AQ$554,MATCH(K$2,Totalt!$B$1:$AQ$1,0),FALSE),"")</f>
        <v>0</v>
      </c>
      <c r="L185" s="173">
        <f>IFERROR(VLOOKUP($B185,Totalt!$B$1:$AQ$554,MATCH(L$2,Totalt!$B$1:$AQ$1,0),FALSE),"")</f>
        <v>0</v>
      </c>
      <c r="M185" s="173">
        <f>IFERROR(VLOOKUP($B185,Totalt!$B$1:$AQ$554,MATCH(M$2,Totalt!$B$1:$AQ$1,0),FALSE),"")</f>
        <v>0</v>
      </c>
      <c r="N185" s="173">
        <f>IFERROR(VLOOKUP($B185,Totalt!$B$1:$AQ$554,MATCH(N$2,Totalt!$B$1:$AQ$1,0),FALSE),"")</f>
        <v>0</v>
      </c>
      <c r="O185" s="173">
        <f>IFERROR(VLOOKUP($B185,Totalt!$B$1:$AQ$554,MATCH(O$2,Totalt!$B$1:$AQ$1,0),FALSE),"")</f>
        <v>0</v>
      </c>
      <c r="P185" s="173">
        <f>IFERROR(VLOOKUP($B185,Totalt!$B$1:$AQ$554,MATCH(P$2,Totalt!$B$1:$AQ$1,0),FALSE),"")</f>
        <v>0</v>
      </c>
      <c r="Q185" s="173">
        <f>IFERROR(VLOOKUP($B185,Totalt!$B$1:$AQ$554,MATCH(Q$2,Totalt!$B$1:$AQ$1,0),FALSE),"")</f>
        <v>14.379799999999999</v>
      </c>
      <c r="R185" s="173">
        <f>IFERROR(VLOOKUP($B185,Totalt!$B$1:$AQ$554,MATCH(R$2,Totalt!$B$1:$AQ$1,0),FALSE),"")</f>
        <v>5.2850000000000001</v>
      </c>
      <c r="S185" s="173">
        <f>IFERROR(VLOOKUP($B185,Totalt!$B$1:$AQ$554,MATCH(S$2,Totalt!$B$1:$AQ$1,0),FALSE),"")</f>
        <v>0</v>
      </c>
      <c r="T185" s="173">
        <f>IFERROR(VLOOKUP($B185,Totalt!$B$1:$AQ$554,MATCH(T$2,Totalt!$B$1:$AQ$1,0),FALSE),"")</f>
        <v>0</v>
      </c>
      <c r="U185" s="173">
        <f>IFERROR(VLOOKUP($B185,Totalt!$B$1:$AQ$554,MATCH(U$2,Totalt!$B$1:$AQ$1,0),FALSE),"")</f>
        <v>0</v>
      </c>
      <c r="V185" s="173">
        <f>IFERROR(VLOOKUP($B185,Totalt!$B$1:$AQ$554,MATCH(V$2,Totalt!$B$1:$AQ$1,0),FALSE),"")</f>
        <v>0</v>
      </c>
      <c r="W185" s="173">
        <f>IFERROR(VLOOKUP($B185,Totalt!$B$1:$AQ$554,MATCH(W$2,Totalt!$B$1:$AQ$1,0),FALSE),"")</f>
        <v>0</v>
      </c>
      <c r="X185" s="173">
        <f>IFERROR(VLOOKUP($B185,Totalt!$B$1:$AQ$554,MATCH(X$2,Totalt!$B$1:$AQ$1,0),FALSE),"")</f>
        <v>0</v>
      </c>
      <c r="Y185" s="173">
        <f>IFERROR(VLOOKUP($B185,Totalt!$B$1:$AQ$554,MATCH(Y$2,Totalt!$B$1:$AQ$1,0),FALSE),"")</f>
        <v>0</v>
      </c>
      <c r="Z185" s="173">
        <f>IFERROR(VLOOKUP($B185,Totalt!$B$1:$AQ$554,MATCH(Z$2,Totalt!$B$1:$AQ$1,0),FALSE),"")</f>
        <v>0</v>
      </c>
      <c r="AA185" s="173">
        <f>IFERROR(VLOOKUP($B185,Totalt!$B$1:$AQ$554,MATCH(AA$2,Totalt!$B$1:$AQ$1,0),FALSE),"")</f>
        <v>0</v>
      </c>
      <c r="AB185" s="173">
        <f>IFERROR(VLOOKUP($B185,Totalt!$B$1:$AQ$554,MATCH(AB$2,Totalt!$B$1:$AQ$1,0),FALSE),"")</f>
        <v>0</v>
      </c>
      <c r="AC185" s="173">
        <f>IFERROR(VLOOKUP($B185,Totalt!$B$1:$AQ$554,MATCH(AC$2,Totalt!$B$1:$AQ$1,0),FALSE),"")</f>
        <v>0</v>
      </c>
      <c r="AD185" s="173">
        <f>IFERROR(VLOOKUP($B185,Totalt!$B$1:$AQ$554,MATCH(AD$2,Totalt!$B$1:$AQ$1,0),FALSE),"")</f>
        <v>0</v>
      </c>
      <c r="AE185" s="173">
        <f>IFERROR(VLOOKUP($B185,Totalt!$B$1:$AQ$554,MATCH(AE$2,Totalt!$B$1:$AQ$1,0),FALSE),"")</f>
        <v>0</v>
      </c>
      <c r="AF185" s="173">
        <f>IFERROR(VLOOKUP($B185,Totalt!$B$1:$AQ$554,MATCH(AF$2,Totalt!$B$1:$AQ$1,0),FALSE),"")</f>
        <v>0.128</v>
      </c>
      <c r="AG185" s="173">
        <f>IFERROR(VLOOKUP($B185,Totalt!$B$1:$AQ$554,MATCH(AG$2,Totalt!$B$1:$AQ$1,0),FALSE),"")</f>
        <v>0</v>
      </c>
      <c r="AI185" s="226">
        <f t="shared" si="12"/>
        <v>22.21752</v>
      </c>
      <c r="AJ185" s="226">
        <f>IF(ISERROR(1/VLOOKUP($B185,Leveranser!$B$1:$S$500,MATCH("såld värme (gwh)",Leveranser!$B$1:$S$1,0),FALSE)),"",VLOOKUP($B185,Leveranser!$B$1:$S$500,MATCH("såld värme (gwh)",Leveranser!$B$1:$S$1,0),FALSE))</f>
        <v>17.164000000000001</v>
      </c>
      <c r="AM185" s="227" t="str">
        <f>IF(B185&lt;&gt;"",IF(VLOOKUP($B185,Totalt!$B$1:$AQ$554,MATCH("Kvalitetsgranskad:",Totalt!$B$1:$AQ$1,0),FALSE)="ja",VLOOKUP($B185,Miljö!$B$1:$AG$479,MATCH(AM$2,Miljö!$B$1:$AK$1,0),FALSE),""),"")</f>
        <v>Ja</v>
      </c>
      <c r="AN185" s="227" t="str">
        <f>IF(AM185="ja",VLOOKUP($B185,Miljö!$B$1:$J$479,MATCH("Typ av ursprungsspecificerad el   (Om inget värde anges används Nordisk residualmix, se inforuta) ()",Miljö!$B$1:$J$1,0),FALSE),IF(AM185="nej","Nordisk residualel",""))</f>
        <v>'Ursprungsmärkt Vattenkraft'</v>
      </c>
      <c r="AO185" s="227">
        <f>IF(AM185="","",VLOOKUP($B185,Miljö!$B$1:$J$479,MATCH("Fossilandel för ursprungspecificerad el ()",Miljö!$B$1:$J$1,0),FALSE))</f>
        <v>0</v>
      </c>
      <c r="AP185" s="227">
        <f>IF(AM185="","",IFERROR(VLOOKUP($B185,Miljö!$B$1:$J$479,MATCH("Kärnkraftsandel för ursprungsspecificerad el ()",Miljö!$B$1:$J$1,0),FALSE)/1,0))</f>
        <v>0</v>
      </c>
      <c r="AQ185" s="227">
        <f t="shared" si="13"/>
        <v>1</v>
      </c>
      <c r="AR185" s="227"/>
      <c r="AS185" s="227" t="str">
        <f t="shared" si="14"/>
        <v>Nej</v>
      </c>
      <c r="AT185" s="227" t="str">
        <f>IF(AS185="ja",VLOOKUP($B185,Miljö!$B$1:$O$500,MATCH("Fossil andel i procent (%)",Miljö!$B$1:$O$1,0),FALSE)/100,"")</f>
        <v/>
      </c>
      <c r="AU185" s="227"/>
      <c r="AV185" s="227" t="str">
        <f t="shared" si="15"/>
        <v>Nej</v>
      </c>
      <c r="AW185" s="227" t="str">
        <f>IF(AV185="ja",VLOOKUP($B185,'Egen hetvattenprod'!$B$1:$AO$500,MATCH("Värmekälla till värmepumpar ()",'Egen hetvattenprod'!$B$1:$AO$1,0),FALSE),"")</f>
        <v/>
      </c>
      <c r="AX185" s="227"/>
      <c r="AY185" s="227" t="str">
        <f t="shared" si="16"/>
        <v>Nej</v>
      </c>
      <c r="AZ185" s="228" t="str">
        <f>IF($AY185="ja",(VLOOKUP($B185,'Egen hetvattenprod'!$B$1:$BX$550,MATCH(AZ$2,'Egen hetvattenprod'!$B$1:$BX$1,0),FALSE)+VLOOKUP($B185,Kraftvärmeprod!$B$1:$BX$550,MATCH(AZ$2,Kraftvärmeprod!$B$1:$BX$1,0),FALSE))/$AC185,"")</f>
        <v/>
      </c>
      <c r="BA185" s="228" t="str">
        <f>IF($AY185="ja",(VLOOKUP($B185,'Egen hetvattenprod'!$B$1:$BX$550,MATCH(BA$2,'Egen hetvattenprod'!$B$1:$BX$1,0),FALSE)+VLOOKUP($B185,Kraftvärmeprod!$B$1:$BX$550,MATCH(BA$2,Kraftvärmeprod!$B$1:$BX$1,0),FALSE))/$AC185,"")</f>
        <v/>
      </c>
      <c r="BB185" s="228" t="str">
        <f>IF($AY185="ja",(VLOOKUP($B185,'Egen hetvattenprod'!$B$1:$BX$550,MATCH(BB$2,'Egen hetvattenprod'!$B$1:$BX$1,0),FALSE)+VLOOKUP($B185,Kraftvärmeprod!$B$1:$BX$550,MATCH(BB$2,Kraftvärmeprod!$B$1:$BX$1,0),FALSE))/$AC185,"")</f>
        <v/>
      </c>
      <c r="BC185" s="228" t="str">
        <f>IF($AY185="ja",(VLOOKUP($B185,'Egen hetvattenprod'!$B$1:$BX$550,MATCH(BC$2,'Egen hetvattenprod'!$B$1:$BX$1,0),FALSE)+VLOOKUP($B185,Kraftvärmeprod!$B$1:$BX$550,MATCH(BC$2,Kraftvärmeprod!$B$1:$BX$1,0),FALSE))/$AC185,"")</f>
        <v/>
      </c>
      <c r="BD185" s="228" t="str">
        <f>IF($AY185="ja",(VLOOKUP($B185,'Egen hetvattenprod'!$B$1:$BX$550,MATCH(BD$2,'Egen hetvattenprod'!$B$1:$BX$1,0),FALSE)+VLOOKUP($B185,Kraftvärmeprod!$B$1:$BX$550,MATCH(BD$2,Kraftvärmeprod!$B$1:$BX$1,0),FALSE))/$AC185,"")</f>
        <v/>
      </c>
      <c r="BE185" s="227"/>
      <c r="BF185" s="227" t="str">
        <f t="shared" si="17"/>
        <v>Nej</v>
      </c>
      <c r="BG185" s="227" t="str">
        <f>IF($BF185="ja",VLOOKUP($B185,'Egen hetvattenprod'!$B$1:$BX$550,MATCH("Andelen klimatgaser med fossilt ursprung för avfall ()",'Egen hetvattenprod'!$B$1:$BX$1,0),FALSE),"")</f>
        <v/>
      </c>
      <c r="BH185" s="227" t="str">
        <f>IF($BF185="ja",VLOOKUP($B185,Kraftvärmeprod!$B$1:$BX$550,MATCH("Andelen klimatgaser med fossilt ursprung för avfall ()",Kraftvärmeprod!$B$1:$BX$1,0),FALSE),"")</f>
        <v/>
      </c>
      <c r="BI185" s="227" t="str">
        <f>IF($BF185="ja",VLOOKUP($B185,'Egen hetvattenprod'!$B$1:$BX$550,MATCH("Avfall (GWh)",'Egen hetvattenprod'!$B$1:$BX$1,0),FALSE),"")</f>
        <v/>
      </c>
      <c r="BJ185" s="227" t="str">
        <f>IF($BF185="ja",VLOOKUP($B185,'Slutlig allokering kvv'!$B$1:$BX$550,MATCH("Avfall (GWh)",'Slutlig allokering kvv'!$B$1:$BX$1,0),FALSE),"")</f>
        <v/>
      </c>
      <c r="BK185" s="227" t="str">
        <f>IF($BF185="ja",VLOOKUP($B185,'Köpt hetvatten'!$B$1:$BX$550,MATCH("Avfall i köpt hetvatten",'Köpt hetvatten'!$B$1:$BX$1,0),FALSE),"")</f>
        <v/>
      </c>
      <c r="BL185" s="227" t="str">
        <f>IF($BF185="ja",VLOOKUP($B185,'Egen hetvattenprod'!$B$1:$BX$550,MATCH("Värde enligt ovan. (%)",'Egen hetvattenprod'!$B$1:$BX$1,0),FALSE),"")</f>
        <v/>
      </c>
      <c r="BM185" s="227" t="str">
        <f>IF($BF185="ja",VLOOKUP($B185,Kraftvärmeprod!$B$1:$BX$550,MATCH("Värde enligt ovan. (%)",Kraftvärmeprod!$B$1:$BX$1,0),FALSE),"")</f>
        <v/>
      </c>
      <c r="BN185" s="227"/>
      <c r="BO185" s="227"/>
      <c r="BP185" s="227"/>
      <c r="BQ185" s="227" t="str">
        <f>IF($BF185="ja",VLOOKUP($B185,'Egen hetvattenprod'!$B$1:$BX$550,MATCH("Tillförd olja (fossil) vid avfallsförbränning (GWh)",'Egen hetvattenprod'!$B$1:$BX$1,0),FALSE),"")</f>
        <v/>
      </c>
      <c r="BR185" s="227" t="str">
        <f>IF($BF185="ja",VLOOKUP($B185,Kraftvärmeprod!$B$1:$BX$550,MATCH("Tillförd olja (fossil) vid avfallsförbränning (GWh)",Kraftvärmeprod!$B$1:$BX$1,0),FALSE),"")</f>
        <v/>
      </c>
      <c r="BS185" s="227"/>
      <c r="BT185" s="227"/>
      <c r="BU185" s="227"/>
    </row>
    <row r="186" spans="1:73" x14ac:dyDescent="0.25">
      <c r="A186" s="121" t="str">
        <f>'Miljövärden för publ företag'!B189</f>
        <v>Neova AB</v>
      </c>
      <c r="B186" s="121" t="str">
        <f>'Miljövärden för publ företag'!C189</f>
        <v>Åstorp</v>
      </c>
      <c r="C186" s="173">
        <f>IFERROR(VLOOKUP($B186,Totalt!$B$1:$AQ$554,MATCH(C$2,Totalt!$B$1:$AQ$1,0),FALSE),"")</f>
        <v>0</v>
      </c>
      <c r="D186" s="173">
        <f>IFERROR(VLOOKUP($B186,Totalt!$B$1:$AQ$554,MATCH(D$2,Totalt!$B$1:$AQ$1,0),FALSE),"")</f>
        <v>1.823</v>
      </c>
      <c r="E186" s="173">
        <f>IFERROR(VLOOKUP($B186,Totalt!$B$1:$AQ$554,MATCH(E$2,Totalt!$B$1:$AQ$1,0),FALSE),"")</f>
        <v>0</v>
      </c>
      <c r="F186" s="173">
        <f>IFERROR(VLOOKUP($B186,Totalt!$B$1:$AQ$554,MATCH(F$2,Totalt!$B$1:$AQ$1,0),FALSE),"")</f>
        <v>0</v>
      </c>
      <c r="G186" s="173">
        <f>IFERROR(VLOOKUP($B186,Totalt!$B$1:$AQ$554,MATCH(G$2,Totalt!$B$1:$AQ$1,0),FALSE),"")</f>
        <v>0</v>
      </c>
      <c r="H186" s="173">
        <f>IFERROR(VLOOKUP($B186,Totalt!$B$1:$AQ$554,MATCH(H$2,Totalt!$B$1:$AQ$1,0),FALSE),"")</f>
        <v>0</v>
      </c>
      <c r="I186" s="173">
        <f>IFERROR(VLOOKUP($B186,Totalt!$B$1:$AQ$554,MATCH(I$2,Totalt!$B$1:$AQ$1,0),FALSE),"")</f>
        <v>0</v>
      </c>
      <c r="J186" s="173">
        <f>IFERROR(VLOOKUP($B186,Totalt!$B$1:$AQ$554,MATCH(J$2,Totalt!$B$1:$AQ$1,0),FALSE),"")</f>
        <v>0</v>
      </c>
      <c r="K186" s="173">
        <f>IFERROR(VLOOKUP($B186,Totalt!$B$1:$AQ$554,MATCH(K$2,Totalt!$B$1:$AQ$1,0),FALSE),"")</f>
        <v>0</v>
      </c>
      <c r="L186" s="173">
        <f>IFERROR(VLOOKUP($B186,Totalt!$B$1:$AQ$554,MATCH(L$2,Totalt!$B$1:$AQ$1,0),FALSE),"")</f>
        <v>0</v>
      </c>
      <c r="M186" s="173">
        <f>IFERROR(VLOOKUP($B186,Totalt!$B$1:$AQ$554,MATCH(M$2,Totalt!$B$1:$AQ$1,0),FALSE),"")</f>
        <v>0</v>
      </c>
      <c r="N186" s="173">
        <f>IFERROR(VLOOKUP($B186,Totalt!$B$1:$AQ$554,MATCH(N$2,Totalt!$B$1:$AQ$1,0),FALSE),"")</f>
        <v>0</v>
      </c>
      <c r="O186" s="173">
        <f>IFERROR(VLOOKUP($B186,Totalt!$B$1:$AQ$554,MATCH(O$2,Totalt!$B$1:$AQ$1,0),FALSE),"")</f>
        <v>0</v>
      </c>
      <c r="P186" s="173">
        <f>IFERROR(VLOOKUP($B186,Totalt!$B$1:$AQ$554,MATCH(P$2,Totalt!$B$1:$AQ$1,0),FALSE),"")</f>
        <v>29.163</v>
      </c>
      <c r="Q186" s="173">
        <f>IFERROR(VLOOKUP($B186,Totalt!$B$1:$AQ$554,MATCH(Q$2,Totalt!$B$1:$AQ$1,0),FALSE),"")</f>
        <v>0</v>
      </c>
      <c r="R186" s="173">
        <f>IFERROR(VLOOKUP($B186,Totalt!$B$1:$AQ$554,MATCH(R$2,Totalt!$B$1:$AQ$1,0),FALSE),"")</f>
        <v>0</v>
      </c>
      <c r="S186" s="173">
        <f>IFERROR(VLOOKUP($B186,Totalt!$B$1:$AQ$554,MATCH(S$2,Totalt!$B$1:$AQ$1,0),FALSE),"")</f>
        <v>0</v>
      </c>
      <c r="T186" s="173">
        <f>IFERROR(VLOOKUP($B186,Totalt!$B$1:$AQ$554,MATCH(T$2,Totalt!$B$1:$AQ$1,0),FALSE),"")</f>
        <v>0</v>
      </c>
      <c r="U186" s="173">
        <f>IFERROR(VLOOKUP($B186,Totalt!$B$1:$AQ$554,MATCH(U$2,Totalt!$B$1:$AQ$1,0),FALSE),"")</f>
        <v>0</v>
      </c>
      <c r="V186" s="173">
        <f>IFERROR(VLOOKUP($B186,Totalt!$B$1:$AQ$554,MATCH(V$2,Totalt!$B$1:$AQ$1,0),FALSE),"")</f>
        <v>0</v>
      </c>
      <c r="W186" s="173">
        <f>IFERROR(VLOOKUP($B186,Totalt!$B$1:$AQ$554,MATCH(W$2,Totalt!$B$1:$AQ$1,0),FALSE),"")</f>
        <v>0</v>
      </c>
      <c r="X186" s="173">
        <f>IFERROR(VLOOKUP($B186,Totalt!$B$1:$AQ$554,MATCH(X$2,Totalt!$B$1:$AQ$1,0),FALSE),"")</f>
        <v>0</v>
      </c>
      <c r="Y186" s="173">
        <f>IFERROR(VLOOKUP($B186,Totalt!$B$1:$AQ$554,MATCH(Y$2,Totalt!$B$1:$AQ$1,0),FALSE),"")</f>
        <v>0</v>
      </c>
      <c r="Z186" s="173">
        <f>IFERROR(VLOOKUP($B186,Totalt!$B$1:$AQ$554,MATCH(Z$2,Totalt!$B$1:$AQ$1,0),FALSE),"")</f>
        <v>0</v>
      </c>
      <c r="AA186" s="173">
        <f>IFERROR(VLOOKUP($B186,Totalt!$B$1:$AQ$554,MATCH(AA$2,Totalt!$B$1:$AQ$1,0),FALSE),"")</f>
        <v>0</v>
      </c>
      <c r="AB186" s="173">
        <f>IFERROR(VLOOKUP($B186,Totalt!$B$1:$AQ$554,MATCH(AB$2,Totalt!$B$1:$AQ$1,0),FALSE),"")</f>
        <v>0</v>
      </c>
      <c r="AC186" s="173">
        <f>IFERROR(VLOOKUP($B186,Totalt!$B$1:$AQ$554,MATCH(AC$2,Totalt!$B$1:$AQ$1,0),FALSE),"")</f>
        <v>3.4750000000000001</v>
      </c>
      <c r="AD186" s="173">
        <f>IFERROR(VLOOKUP($B186,Totalt!$B$1:$AQ$554,MATCH(AD$2,Totalt!$B$1:$AQ$1,0),FALSE),"")</f>
        <v>0</v>
      </c>
      <c r="AE186" s="173">
        <f>IFERROR(VLOOKUP($B186,Totalt!$B$1:$AQ$554,MATCH(AE$2,Totalt!$B$1:$AQ$1,0),FALSE),"")</f>
        <v>0</v>
      </c>
      <c r="AF186" s="173">
        <f>IFERROR(VLOOKUP($B186,Totalt!$B$1:$AQ$554,MATCH(AF$2,Totalt!$B$1:$AQ$1,0),FALSE),"")</f>
        <v>0.65600000000000003</v>
      </c>
      <c r="AG186" s="173">
        <f>IFERROR(VLOOKUP($B186,Totalt!$B$1:$AQ$554,MATCH(AG$2,Totalt!$B$1:$AQ$1,0),FALSE),"")</f>
        <v>0</v>
      </c>
      <c r="AI186" s="226">
        <f t="shared" si="12"/>
        <v>35.116999999999997</v>
      </c>
      <c r="AJ186" s="226">
        <f>IF(ISERROR(1/VLOOKUP($B186,Leveranser!$B$1:$S$500,MATCH("såld värme (gwh)",Leveranser!$B$1:$S$1,0),FALSE)),"",VLOOKUP($B186,Leveranser!$B$1:$S$500,MATCH("såld värme (gwh)",Leveranser!$B$1:$S$1,0),FALSE))</f>
        <v>24.768000000000001</v>
      </c>
      <c r="AM186" s="227" t="str">
        <f>IF(B186&lt;&gt;"",IF(VLOOKUP($B186,Totalt!$B$1:$AQ$554,MATCH("Kvalitetsgranskad:",Totalt!$B$1:$AQ$1,0),FALSE)="ja",VLOOKUP($B186,Miljö!$B$1:$AG$479,MATCH(AM$2,Miljö!$B$1:$AK$1,0),FALSE),""),"")</f>
        <v>Ja</v>
      </c>
      <c r="AN186" s="227" t="str">
        <f>IF(AM186="ja",VLOOKUP($B186,Miljö!$B$1:$J$479,MATCH("Typ av ursprungsspecificerad el   (Om inget värde anges används Nordisk residualmix, se inforuta) ()",Miljö!$B$1:$J$1,0),FALSE),IF(AM186="nej","Nordisk residualel",""))</f>
        <v>'Ursprungsmärkt Vattenkraft'</v>
      </c>
      <c r="AO186" s="227">
        <f>IF(AM186="","",VLOOKUP($B186,Miljö!$B$1:$J$479,MATCH("Fossilandel för ursprungspecificerad el ()",Miljö!$B$1:$J$1,0),FALSE))</f>
        <v>0</v>
      </c>
      <c r="AP186" s="227">
        <f>IF(AM186="","",IFERROR(VLOOKUP($B186,Miljö!$B$1:$J$479,MATCH("Kärnkraftsandel för ursprungsspecificerad el ()",Miljö!$B$1:$J$1,0),FALSE)/1,0))</f>
        <v>0</v>
      </c>
      <c r="AQ186" s="227">
        <f t="shared" si="13"/>
        <v>1</v>
      </c>
      <c r="AR186" s="227"/>
      <c r="AS186" s="227" t="str">
        <f t="shared" si="14"/>
        <v>Nej</v>
      </c>
      <c r="AT186" s="227" t="str">
        <f>IF(AS186="ja",VLOOKUP($B186,Miljö!$B$1:$O$500,MATCH("Fossil andel i procent (%)",Miljö!$B$1:$O$1,0),FALSE)/100,"")</f>
        <v/>
      </c>
      <c r="AU186" s="227"/>
      <c r="AV186" s="227" t="str">
        <f t="shared" si="15"/>
        <v>Nej</v>
      </c>
      <c r="AW186" s="227" t="str">
        <f>IF(AV186="ja",VLOOKUP($B186,'Egen hetvattenprod'!$B$1:$AO$500,MATCH("Värmekälla till värmepumpar ()",'Egen hetvattenprod'!$B$1:$AO$1,0),FALSE),"")</f>
        <v/>
      </c>
      <c r="AX186" s="227"/>
      <c r="AY186" s="227" t="str">
        <f t="shared" si="16"/>
        <v>Ja</v>
      </c>
      <c r="AZ186" s="228">
        <f>IF($AY186="ja",(VLOOKUP($B186,'Egen hetvattenprod'!$B$1:$BX$550,MATCH(AZ$2,'Egen hetvattenprod'!$B$1:$BX$1,0),FALSE)+VLOOKUP($B186,Kraftvärmeprod!$B$1:$BX$550,MATCH(AZ$2,Kraftvärmeprod!$B$1:$BX$1,0),FALSE))/$AC186,"")</f>
        <v>1</v>
      </c>
      <c r="BA186" s="228">
        <f>IF($AY186="ja",(VLOOKUP($B186,'Egen hetvattenprod'!$B$1:$BX$550,MATCH(BA$2,'Egen hetvattenprod'!$B$1:$BX$1,0),FALSE)+VLOOKUP($B186,Kraftvärmeprod!$B$1:$BX$550,MATCH(BA$2,Kraftvärmeprod!$B$1:$BX$1,0),FALSE))/$AC186,"")</f>
        <v>0</v>
      </c>
      <c r="BB186" s="228">
        <f>IF($AY186="ja",(VLOOKUP($B186,'Egen hetvattenprod'!$B$1:$BX$550,MATCH(BB$2,'Egen hetvattenprod'!$B$1:$BX$1,0),FALSE)+VLOOKUP($B186,Kraftvärmeprod!$B$1:$BX$550,MATCH(BB$2,Kraftvärmeprod!$B$1:$BX$1,0),FALSE))/$AC186,"")</f>
        <v>0</v>
      </c>
      <c r="BC186" s="228">
        <f>IF($AY186="ja",(VLOOKUP($B186,'Egen hetvattenprod'!$B$1:$BX$550,MATCH(BC$2,'Egen hetvattenprod'!$B$1:$BX$1,0),FALSE)+VLOOKUP($B186,Kraftvärmeprod!$B$1:$BX$550,MATCH(BC$2,Kraftvärmeprod!$B$1:$BX$1,0),FALSE))/$AC186,"")</f>
        <v>0</v>
      </c>
      <c r="BD186" s="228">
        <f>IF($AY186="ja",(VLOOKUP($B186,'Egen hetvattenprod'!$B$1:$BX$550,MATCH(BD$2,'Egen hetvattenprod'!$B$1:$BX$1,0),FALSE)+VLOOKUP($B186,Kraftvärmeprod!$B$1:$BX$550,MATCH(BD$2,Kraftvärmeprod!$B$1:$BX$1,0),FALSE))/$AC186,"")</f>
        <v>0</v>
      </c>
      <c r="BE186" s="227"/>
      <c r="BF186" s="227" t="str">
        <f t="shared" si="17"/>
        <v>Nej</v>
      </c>
      <c r="BG186" s="227" t="str">
        <f>IF($BF186="ja",VLOOKUP($B186,'Egen hetvattenprod'!$B$1:$BX$550,MATCH("Andelen klimatgaser med fossilt ursprung för avfall ()",'Egen hetvattenprod'!$B$1:$BX$1,0),FALSE),"")</f>
        <v/>
      </c>
      <c r="BH186" s="227" t="str">
        <f>IF($BF186="ja",VLOOKUP($B186,Kraftvärmeprod!$B$1:$BX$550,MATCH("Andelen klimatgaser med fossilt ursprung för avfall ()",Kraftvärmeprod!$B$1:$BX$1,0),FALSE),"")</f>
        <v/>
      </c>
      <c r="BI186" s="227" t="str">
        <f>IF($BF186="ja",VLOOKUP($B186,'Egen hetvattenprod'!$B$1:$BX$550,MATCH("Avfall (GWh)",'Egen hetvattenprod'!$B$1:$BX$1,0),FALSE),"")</f>
        <v/>
      </c>
      <c r="BJ186" s="227" t="str">
        <f>IF($BF186="ja",VLOOKUP($B186,'Slutlig allokering kvv'!$B$1:$BX$550,MATCH("Avfall (GWh)",'Slutlig allokering kvv'!$B$1:$BX$1,0),FALSE),"")</f>
        <v/>
      </c>
      <c r="BK186" s="227" t="str">
        <f>IF($BF186="ja",VLOOKUP($B186,'Köpt hetvatten'!$B$1:$BX$550,MATCH("Avfall i köpt hetvatten",'Köpt hetvatten'!$B$1:$BX$1,0),FALSE),"")</f>
        <v/>
      </c>
      <c r="BL186" s="227" t="str">
        <f>IF($BF186="ja",VLOOKUP($B186,'Egen hetvattenprod'!$B$1:$BX$550,MATCH("Värde enligt ovan. (%)",'Egen hetvattenprod'!$B$1:$BX$1,0),FALSE),"")</f>
        <v/>
      </c>
      <c r="BM186" s="227" t="str">
        <f>IF($BF186="ja",VLOOKUP($B186,Kraftvärmeprod!$B$1:$BX$550,MATCH("Värde enligt ovan. (%)",Kraftvärmeprod!$B$1:$BX$1,0),FALSE),"")</f>
        <v/>
      </c>
      <c r="BN186" s="227"/>
      <c r="BO186" s="227"/>
      <c r="BP186" s="227"/>
      <c r="BQ186" s="227" t="str">
        <f>IF($BF186="ja",VLOOKUP($B186,'Egen hetvattenprod'!$B$1:$BX$550,MATCH("Tillförd olja (fossil) vid avfallsförbränning (GWh)",'Egen hetvattenprod'!$B$1:$BX$1,0),FALSE),"")</f>
        <v/>
      </c>
      <c r="BR186" s="227" t="str">
        <f>IF($BF186="ja",VLOOKUP($B186,Kraftvärmeprod!$B$1:$BX$550,MATCH("Tillförd olja (fossil) vid avfallsförbränning (GWh)",Kraftvärmeprod!$B$1:$BX$1,0),FALSE),"")</f>
        <v/>
      </c>
      <c r="BS186" s="227"/>
      <c r="BT186" s="227"/>
      <c r="BU186" s="227"/>
    </row>
    <row r="187" spans="1:73" x14ac:dyDescent="0.25">
      <c r="A187" s="121" t="str">
        <f>'Miljövärden för publ företag'!B190</f>
        <v>Neova AB</v>
      </c>
      <c r="B187" s="121" t="str">
        <f>'Miljövärden för publ företag'!C190</f>
        <v>Österbybruk</v>
      </c>
      <c r="C187" s="173">
        <f>IFERROR(VLOOKUP($B187,Totalt!$B$1:$AQ$554,MATCH(C$2,Totalt!$B$1:$AQ$1,0),FALSE),"")</f>
        <v>0</v>
      </c>
      <c r="D187" s="173">
        <f>IFERROR(VLOOKUP($B187,Totalt!$B$1:$AQ$554,MATCH(D$2,Totalt!$B$1:$AQ$1,0),FALSE),"")</f>
        <v>0.57299999999999995</v>
      </c>
      <c r="E187" s="173">
        <f>IFERROR(VLOOKUP($B187,Totalt!$B$1:$AQ$554,MATCH(E$2,Totalt!$B$1:$AQ$1,0),FALSE),"")</f>
        <v>0</v>
      </c>
      <c r="F187" s="173">
        <f>IFERROR(VLOOKUP($B187,Totalt!$B$1:$AQ$554,MATCH(F$2,Totalt!$B$1:$AQ$1,0),FALSE),"")</f>
        <v>0</v>
      </c>
      <c r="G187" s="173">
        <f>IFERROR(VLOOKUP($B187,Totalt!$B$1:$AQ$554,MATCH(G$2,Totalt!$B$1:$AQ$1,0),FALSE),"")</f>
        <v>0</v>
      </c>
      <c r="H187" s="173">
        <f>IFERROR(VLOOKUP($B187,Totalt!$B$1:$AQ$554,MATCH(H$2,Totalt!$B$1:$AQ$1,0),FALSE),"")</f>
        <v>0</v>
      </c>
      <c r="I187" s="173">
        <f>IFERROR(VLOOKUP($B187,Totalt!$B$1:$AQ$554,MATCH(I$2,Totalt!$B$1:$AQ$1,0),FALSE),"")</f>
        <v>0</v>
      </c>
      <c r="J187" s="173">
        <f>IFERROR(VLOOKUP($B187,Totalt!$B$1:$AQ$554,MATCH(J$2,Totalt!$B$1:$AQ$1,0),FALSE),"")</f>
        <v>0</v>
      </c>
      <c r="K187" s="173">
        <f>IFERROR(VLOOKUP($B187,Totalt!$B$1:$AQ$554,MATCH(K$2,Totalt!$B$1:$AQ$1,0),FALSE),"")</f>
        <v>0</v>
      </c>
      <c r="L187" s="173">
        <f>IFERROR(VLOOKUP($B187,Totalt!$B$1:$AQ$554,MATCH(L$2,Totalt!$B$1:$AQ$1,0),FALSE),"")</f>
        <v>0</v>
      </c>
      <c r="M187" s="173">
        <f>IFERROR(VLOOKUP($B187,Totalt!$B$1:$AQ$554,MATCH(M$2,Totalt!$B$1:$AQ$1,0),FALSE),"")</f>
        <v>0</v>
      </c>
      <c r="N187" s="173">
        <f>IFERROR(VLOOKUP($B187,Totalt!$B$1:$AQ$554,MATCH(N$2,Totalt!$B$1:$AQ$1,0),FALSE),"")</f>
        <v>0</v>
      </c>
      <c r="O187" s="173">
        <f>IFERROR(VLOOKUP($B187,Totalt!$B$1:$AQ$554,MATCH(O$2,Totalt!$B$1:$AQ$1,0),FALSE),"")</f>
        <v>0</v>
      </c>
      <c r="P187" s="173">
        <f>IFERROR(VLOOKUP($B187,Totalt!$B$1:$AQ$554,MATCH(P$2,Totalt!$B$1:$AQ$1,0),FALSE),"")</f>
        <v>9.9540000000000006</v>
      </c>
      <c r="Q187" s="173">
        <f>IFERROR(VLOOKUP($B187,Totalt!$B$1:$AQ$554,MATCH(Q$2,Totalt!$B$1:$AQ$1,0),FALSE),"")</f>
        <v>0</v>
      </c>
      <c r="R187" s="173">
        <f>IFERROR(VLOOKUP($B187,Totalt!$B$1:$AQ$554,MATCH(R$2,Totalt!$B$1:$AQ$1,0),FALSE),"")</f>
        <v>0</v>
      </c>
      <c r="S187" s="173">
        <f>IFERROR(VLOOKUP($B187,Totalt!$B$1:$AQ$554,MATCH(S$2,Totalt!$B$1:$AQ$1,0),FALSE),"")</f>
        <v>0</v>
      </c>
      <c r="T187" s="173">
        <f>IFERROR(VLOOKUP($B187,Totalt!$B$1:$AQ$554,MATCH(T$2,Totalt!$B$1:$AQ$1,0),FALSE),"")</f>
        <v>0</v>
      </c>
      <c r="U187" s="173">
        <f>IFERROR(VLOOKUP($B187,Totalt!$B$1:$AQ$554,MATCH(U$2,Totalt!$B$1:$AQ$1,0),FALSE),"")</f>
        <v>0</v>
      </c>
      <c r="V187" s="173">
        <f>IFERROR(VLOOKUP($B187,Totalt!$B$1:$AQ$554,MATCH(V$2,Totalt!$B$1:$AQ$1,0),FALSE),"")</f>
        <v>0</v>
      </c>
      <c r="W187" s="173">
        <f>IFERROR(VLOOKUP($B187,Totalt!$B$1:$AQ$554,MATCH(W$2,Totalt!$B$1:$AQ$1,0),FALSE),"")</f>
        <v>0</v>
      </c>
      <c r="X187" s="173">
        <f>IFERROR(VLOOKUP($B187,Totalt!$B$1:$AQ$554,MATCH(X$2,Totalt!$B$1:$AQ$1,0),FALSE),"")</f>
        <v>0</v>
      </c>
      <c r="Y187" s="173">
        <f>IFERROR(VLOOKUP($B187,Totalt!$B$1:$AQ$554,MATCH(Y$2,Totalt!$B$1:$AQ$1,0),FALSE),"")</f>
        <v>0</v>
      </c>
      <c r="Z187" s="173">
        <f>IFERROR(VLOOKUP($B187,Totalt!$B$1:$AQ$554,MATCH(Z$2,Totalt!$B$1:$AQ$1,0),FALSE),"")</f>
        <v>0</v>
      </c>
      <c r="AA187" s="173">
        <f>IFERROR(VLOOKUP($B187,Totalt!$B$1:$AQ$554,MATCH(AA$2,Totalt!$B$1:$AQ$1,0),FALSE),"")</f>
        <v>0</v>
      </c>
      <c r="AB187" s="173">
        <f>IFERROR(VLOOKUP($B187,Totalt!$B$1:$AQ$554,MATCH(AB$2,Totalt!$B$1:$AQ$1,0),FALSE),"")</f>
        <v>0</v>
      </c>
      <c r="AC187" s="173">
        <f>IFERROR(VLOOKUP($B187,Totalt!$B$1:$AQ$554,MATCH(AC$2,Totalt!$B$1:$AQ$1,0),FALSE),"")</f>
        <v>0</v>
      </c>
      <c r="AD187" s="173">
        <f>IFERROR(VLOOKUP($B187,Totalt!$B$1:$AQ$554,MATCH(AD$2,Totalt!$B$1:$AQ$1,0),FALSE),"")</f>
        <v>0</v>
      </c>
      <c r="AE187" s="173">
        <f>IFERROR(VLOOKUP($B187,Totalt!$B$1:$AQ$554,MATCH(AE$2,Totalt!$B$1:$AQ$1,0),FALSE),"")</f>
        <v>0</v>
      </c>
      <c r="AF187" s="173">
        <f>IFERROR(VLOOKUP($B187,Totalt!$B$1:$AQ$554,MATCH(AF$2,Totalt!$B$1:$AQ$1,0),FALSE),"")</f>
        <v>0.22800000000000001</v>
      </c>
      <c r="AG187" s="173">
        <f>IFERROR(VLOOKUP($B187,Totalt!$B$1:$AQ$554,MATCH(AG$2,Totalt!$B$1:$AQ$1,0),FALSE),"")</f>
        <v>0</v>
      </c>
      <c r="AI187" s="226">
        <f t="shared" si="12"/>
        <v>10.755000000000001</v>
      </c>
      <c r="AJ187" s="226">
        <f>IF(ISERROR(1/VLOOKUP($B187,Leveranser!$B$1:$S$500,MATCH("såld värme (gwh)",Leveranser!$B$1:$S$1,0),FALSE)),"",VLOOKUP($B187,Leveranser!$B$1:$S$500,MATCH("såld värme (gwh)",Leveranser!$B$1:$S$1,0),FALSE))</f>
        <v>7.3010000000000002</v>
      </c>
      <c r="AM187" s="227" t="str">
        <f>IF(B187&lt;&gt;"",IF(VLOOKUP($B187,Totalt!$B$1:$AQ$554,MATCH("Kvalitetsgranskad:",Totalt!$B$1:$AQ$1,0),FALSE)="ja",VLOOKUP($B187,Miljö!$B$1:$AG$479,MATCH(AM$2,Miljö!$B$1:$AK$1,0),FALSE),""),"")</f>
        <v>Ja</v>
      </c>
      <c r="AN187" s="227" t="str">
        <f>IF(AM187="ja",VLOOKUP($B187,Miljö!$B$1:$J$479,MATCH("Typ av ursprungsspecificerad el   (Om inget värde anges används Nordisk residualmix, se inforuta) ()",Miljö!$B$1:$J$1,0),FALSE),IF(AM187="nej","Nordisk residualel",""))</f>
        <v>'Ursprungsmärkt vattenkraft'</v>
      </c>
      <c r="AO187" s="227">
        <f>IF(AM187="","",VLOOKUP($B187,Miljö!$B$1:$J$479,MATCH("Fossilandel för ursprungspecificerad el ()",Miljö!$B$1:$J$1,0),FALSE))</f>
        <v>0</v>
      </c>
      <c r="AP187" s="227">
        <f>IF(AM187="","",IFERROR(VLOOKUP($B187,Miljö!$B$1:$J$479,MATCH("Kärnkraftsandel för ursprungsspecificerad el ()",Miljö!$B$1:$J$1,0),FALSE)/1,0))</f>
        <v>0</v>
      </c>
      <c r="AQ187" s="227">
        <f t="shared" si="13"/>
        <v>1</v>
      </c>
      <c r="AR187" s="227"/>
      <c r="AS187" s="227" t="str">
        <f t="shared" si="14"/>
        <v>Nej</v>
      </c>
      <c r="AT187" s="227" t="str">
        <f>IF(AS187="ja",VLOOKUP($B187,Miljö!$B$1:$O$500,MATCH("Fossil andel i procent (%)",Miljö!$B$1:$O$1,0),FALSE)/100,"")</f>
        <v/>
      </c>
      <c r="AU187" s="227"/>
      <c r="AV187" s="227" t="str">
        <f t="shared" si="15"/>
        <v>Nej</v>
      </c>
      <c r="AW187" s="227" t="str">
        <f>IF(AV187="ja",VLOOKUP($B187,'Egen hetvattenprod'!$B$1:$AO$500,MATCH("Värmekälla till värmepumpar ()",'Egen hetvattenprod'!$B$1:$AO$1,0),FALSE),"")</f>
        <v/>
      </c>
      <c r="AX187" s="227"/>
      <c r="AY187" s="227" t="str">
        <f t="shared" si="16"/>
        <v>Nej</v>
      </c>
      <c r="AZ187" s="228" t="str">
        <f>IF($AY187="ja",(VLOOKUP($B187,'Egen hetvattenprod'!$B$1:$BX$550,MATCH(AZ$2,'Egen hetvattenprod'!$B$1:$BX$1,0),FALSE)+VLOOKUP($B187,Kraftvärmeprod!$B$1:$BX$550,MATCH(AZ$2,Kraftvärmeprod!$B$1:$BX$1,0),FALSE))/$AC187,"")</f>
        <v/>
      </c>
      <c r="BA187" s="228" t="str">
        <f>IF($AY187="ja",(VLOOKUP($B187,'Egen hetvattenprod'!$B$1:$BX$550,MATCH(BA$2,'Egen hetvattenprod'!$B$1:$BX$1,0),FALSE)+VLOOKUP($B187,Kraftvärmeprod!$B$1:$BX$550,MATCH(BA$2,Kraftvärmeprod!$B$1:$BX$1,0),FALSE))/$AC187,"")</f>
        <v/>
      </c>
      <c r="BB187" s="228" t="str">
        <f>IF($AY187="ja",(VLOOKUP($B187,'Egen hetvattenprod'!$B$1:$BX$550,MATCH(BB$2,'Egen hetvattenprod'!$B$1:$BX$1,0),FALSE)+VLOOKUP($B187,Kraftvärmeprod!$B$1:$BX$550,MATCH(BB$2,Kraftvärmeprod!$B$1:$BX$1,0),FALSE))/$AC187,"")</f>
        <v/>
      </c>
      <c r="BC187" s="228" t="str">
        <f>IF($AY187="ja",(VLOOKUP($B187,'Egen hetvattenprod'!$B$1:$BX$550,MATCH(BC$2,'Egen hetvattenprod'!$B$1:$BX$1,0),FALSE)+VLOOKUP($B187,Kraftvärmeprod!$B$1:$BX$550,MATCH(BC$2,Kraftvärmeprod!$B$1:$BX$1,0),FALSE))/$AC187,"")</f>
        <v/>
      </c>
      <c r="BD187" s="228" t="str">
        <f>IF($AY187="ja",(VLOOKUP($B187,'Egen hetvattenprod'!$B$1:$BX$550,MATCH(BD$2,'Egen hetvattenprod'!$B$1:$BX$1,0),FALSE)+VLOOKUP($B187,Kraftvärmeprod!$B$1:$BX$550,MATCH(BD$2,Kraftvärmeprod!$B$1:$BX$1,0),FALSE))/$AC187,"")</f>
        <v/>
      </c>
      <c r="BE187" s="227"/>
      <c r="BF187" s="227" t="str">
        <f t="shared" si="17"/>
        <v>Nej</v>
      </c>
      <c r="BG187" s="227" t="str">
        <f>IF($BF187="ja",VLOOKUP($B187,'Egen hetvattenprod'!$B$1:$BX$550,MATCH("Andelen klimatgaser med fossilt ursprung för avfall ()",'Egen hetvattenprod'!$B$1:$BX$1,0),FALSE),"")</f>
        <v/>
      </c>
      <c r="BH187" s="227" t="str">
        <f>IF($BF187="ja",VLOOKUP($B187,Kraftvärmeprod!$B$1:$BX$550,MATCH("Andelen klimatgaser med fossilt ursprung för avfall ()",Kraftvärmeprod!$B$1:$BX$1,0),FALSE),"")</f>
        <v/>
      </c>
      <c r="BI187" s="227" t="str">
        <f>IF($BF187="ja",VLOOKUP($B187,'Egen hetvattenprod'!$B$1:$BX$550,MATCH("Avfall (GWh)",'Egen hetvattenprod'!$B$1:$BX$1,0),FALSE),"")</f>
        <v/>
      </c>
      <c r="BJ187" s="227" t="str">
        <f>IF($BF187="ja",VLOOKUP($B187,'Slutlig allokering kvv'!$B$1:$BX$550,MATCH("Avfall (GWh)",'Slutlig allokering kvv'!$B$1:$BX$1,0),FALSE),"")</f>
        <v/>
      </c>
      <c r="BK187" s="227" t="str">
        <f>IF($BF187="ja",VLOOKUP($B187,'Köpt hetvatten'!$B$1:$BX$550,MATCH("Avfall i köpt hetvatten",'Köpt hetvatten'!$B$1:$BX$1,0),FALSE),"")</f>
        <v/>
      </c>
      <c r="BL187" s="227" t="str">
        <f>IF($BF187="ja",VLOOKUP($B187,'Egen hetvattenprod'!$B$1:$BX$550,MATCH("Värde enligt ovan. (%)",'Egen hetvattenprod'!$B$1:$BX$1,0),FALSE),"")</f>
        <v/>
      </c>
      <c r="BM187" s="227" t="str">
        <f>IF($BF187="ja",VLOOKUP($B187,Kraftvärmeprod!$B$1:$BX$550,MATCH("Värde enligt ovan. (%)",Kraftvärmeprod!$B$1:$BX$1,0),FALSE),"")</f>
        <v/>
      </c>
      <c r="BN187" s="227"/>
      <c r="BO187" s="227"/>
      <c r="BP187" s="227"/>
      <c r="BQ187" s="227" t="str">
        <f>IF($BF187="ja",VLOOKUP($B187,'Egen hetvattenprod'!$B$1:$BX$550,MATCH("Tillförd olja (fossil) vid avfallsförbränning (GWh)",'Egen hetvattenprod'!$B$1:$BX$1,0),FALSE),"")</f>
        <v/>
      </c>
      <c r="BR187" s="227" t="str">
        <f>IF($BF187="ja",VLOOKUP($B187,Kraftvärmeprod!$B$1:$BX$550,MATCH("Tillförd olja (fossil) vid avfallsförbränning (GWh)",Kraftvärmeprod!$B$1:$BX$1,0),FALSE),"")</f>
        <v/>
      </c>
      <c r="BS187" s="227"/>
      <c r="BT187" s="227"/>
      <c r="BU187" s="227"/>
    </row>
    <row r="188" spans="1:73" x14ac:dyDescent="0.25">
      <c r="A188" s="121" t="str">
        <f>'Miljövärden för publ företag'!B191</f>
        <v>Neova AB</v>
      </c>
      <c r="B188" s="121" t="str">
        <f>'Miljövärden för publ företag'!C191</f>
        <v>Östhammar</v>
      </c>
      <c r="C188" s="173">
        <f>IFERROR(VLOOKUP($B188,Totalt!$B$1:$AQ$554,MATCH(C$2,Totalt!$B$1:$AQ$1,0),FALSE),"")</f>
        <v>0</v>
      </c>
      <c r="D188" s="173">
        <f>IFERROR(VLOOKUP($B188,Totalt!$B$1:$AQ$554,MATCH(D$2,Totalt!$B$1:$AQ$1,0),FALSE),"")</f>
        <v>0.223</v>
      </c>
      <c r="E188" s="173">
        <f>IFERROR(VLOOKUP($B188,Totalt!$B$1:$AQ$554,MATCH(E$2,Totalt!$B$1:$AQ$1,0),FALSE),"")</f>
        <v>0</v>
      </c>
      <c r="F188" s="173">
        <f>IFERROR(VLOOKUP($B188,Totalt!$B$1:$AQ$554,MATCH(F$2,Totalt!$B$1:$AQ$1,0),FALSE),"")</f>
        <v>0</v>
      </c>
      <c r="G188" s="173">
        <f>IFERROR(VLOOKUP($B188,Totalt!$B$1:$AQ$554,MATCH(G$2,Totalt!$B$1:$AQ$1,0),FALSE),"")</f>
        <v>0</v>
      </c>
      <c r="H188" s="173">
        <f>IFERROR(VLOOKUP($B188,Totalt!$B$1:$AQ$554,MATCH(H$2,Totalt!$B$1:$AQ$1,0),FALSE),"")</f>
        <v>0</v>
      </c>
      <c r="I188" s="173">
        <f>IFERROR(VLOOKUP($B188,Totalt!$B$1:$AQ$554,MATCH(I$2,Totalt!$B$1:$AQ$1,0),FALSE),"")</f>
        <v>0</v>
      </c>
      <c r="J188" s="173">
        <f>IFERROR(VLOOKUP($B188,Totalt!$B$1:$AQ$554,MATCH(J$2,Totalt!$B$1:$AQ$1,0),FALSE),"")</f>
        <v>0</v>
      </c>
      <c r="K188" s="173">
        <f>IFERROR(VLOOKUP($B188,Totalt!$B$1:$AQ$554,MATCH(K$2,Totalt!$B$1:$AQ$1,0),FALSE),"")</f>
        <v>0</v>
      </c>
      <c r="L188" s="173">
        <f>IFERROR(VLOOKUP($B188,Totalt!$B$1:$AQ$554,MATCH(L$2,Totalt!$B$1:$AQ$1,0),FALSE),"")</f>
        <v>0</v>
      </c>
      <c r="M188" s="173">
        <f>IFERROR(VLOOKUP($B188,Totalt!$B$1:$AQ$554,MATCH(M$2,Totalt!$B$1:$AQ$1,0),FALSE),"")</f>
        <v>0</v>
      </c>
      <c r="N188" s="173">
        <f>IFERROR(VLOOKUP($B188,Totalt!$B$1:$AQ$554,MATCH(N$2,Totalt!$B$1:$AQ$1,0),FALSE),"")</f>
        <v>0</v>
      </c>
      <c r="O188" s="173">
        <f>IFERROR(VLOOKUP($B188,Totalt!$B$1:$AQ$554,MATCH(O$2,Totalt!$B$1:$AQ$1,0),FALSE),"")</f>
        <v>0</v>
      </c>
      <c r="P188" s="173">
        <f>IFERROR(VLOOKUP($B188,Totalt!$B$1:$AQ$554,MATCH(P$2,Totalt!$B$1:$AQ$1,0),FALSE),"")</f>
        <v>0</v>
      </c>
      <c r="Q188" s="173">
        <f>IFERROR(VLOOKUP($B188,Totalt!$B$1:$AQ$554,MATCH(Q$2,Totalt!$B$1:$AQ$1,0),FALSE),"")</f>
        <v>0</v>
      </c>
      <c r="R188" s="173">
        <f>IFERROR(VLOOKUP($B188,Totalt!$B$1:$AQ$554,MATCH(R$2,Totalt!$B$1:$AQ$1,0),FALSE),"")</f>
        <v>5.7930000000000001</v>
      </c>
      <c r="S188" s="173">
        <f>IFERROR(VLOOKUP($B188,Totalt!$B$1:$AQ$554,MATCH(S$2,Totalt!$B$1:$AQ$1,0),FALSE),"")</f>
        <v>0</v>
      </c>
      <c r="T188" s="173">
        <f>IFERROR(VLOOKUP($B188,Totalt!$B$1:$AQ$554,MATCH(T$2,Totalt!$B$1:$AQ$1,0),FALSE),"")</f>
        <v>0</v>
      </c>
      <c r="U188" s="173">
        <f>IFERROR(VLOOKUP($B188,Totalt!$B$1:$AQ$554,MATCH(U$2,Totalt!$B$1:$AQ$1,0),FALSE),"")</f>
        <v>0</v>
      </c>
      <c r="V188" s="173">
        <f>IFERROR(VLOOKUP($B188,Totalt!$B$1:$AQ$554,MATCH(V$2,Totalt!$B$1:$AQ$1,0),FALSE),"")</f>
        <v>0</v>
      </c>
      <c r="W188" s="173">
        <f>IFERROR(VLOOKUP($B188,Totalt!$B$1:$AQ$554,MATCH(W$2,Totalt!$B$1:$AQ$1,0),FALSE),"")</f>
        <v>0</v>
      </c>
      <c r="X188" s="173">
        <f>IFERROR(VLOOKUP($B188,Totalt!$B$1:$AQ$554,MATCH(X$2,Totalt!$B$1:$AQ$1,0),FALSE),"")</f>
        <v>0</v>
      </c>
      <c r="Y188" s="173">
        <f>IFERROR(VLOOKUP($B188,Totalt!$B$1:$AQ$554,MATCH(Y$2,Totalt!$B$1:$AQ$1,0),FALSE),"")</f>
        <v>0</v>
      </c>
      <c r="Z188" s="173">
        <f>IFERROR(VLOOKUP($B188,Totalt!$B$1:$AQ$554,MATCH(Z$2,Totalt!$B$1:$AQ$1,0),FALSE),"")</f>
        <v>0</v>
      </c>
      <c r="AA188" s="173">
        <f>IFERROR(VLOOKUP($B188,Totalt!$B$1:$AQ$554,MATCH(AA$2,Totalt!$B$1:$AQ$1,0),FALSE),"")</f>
        <v>0</v>
      </c>
      <c r="AB188" s="173">
        <f>IFERROR(VLOOKUP($B188,Totalt!$B$1:$AQ$554,MATCH(AB$2,Totalt!$B$1:$AQ$1,0),FALSE),"")</f>
        <v>0</v>
      </c>
      <c r="AC188" s="173">
        <f>IFERROR(VLOOKUP($B188,Totalt!$B$1:$AQ$554,MATCH(AC$2,Totalt!$B$1:$AQ$1,0),FALSE),"")</f>
        <v>0</v>
      </c>
      <c r="AD188" s="173">
        <f>IFERROR(VLOOKUP($B188,Totalt!$B$1:$AQ$554,MATCH(AD$2,Totalt!$B$1:$AQ$1,0),FALSE),"")</f>
        <v>0</v>
      </c>
      <c r="AE188" s="173">
        <f>IFERROR(VLOOKUP($B188,Totalt!$B$1:$AQ$554,MATCH(AE$2,Totalt!$B$1:$AQ$1,0),FALSE),"")</f>
        <v>0</v>
      </c>
      <c r="AF188" s="173">
        <f>IFERROR(VLOOKUP($B188,Totalt!$B$1:$AQ$554,MATCH(AF$2,Totalt!$B$1:$AQ$1,0),FALSE),"")</f>
        <v>8.8999999999999996E-2</v>
      </c>
      <c r="AG188" s="173">
        <f>IFERROR(VLOOKUP($B188,Totalt!$B$1:$AQ$554,MATCH(AG$2,Totalt!$B$1:$AQ$1,0),FALSE),"")</f>
        <v>0</v>
      </c>
      <c r="AI188" s="226">
        <f t="shared" si="12"/>
        <v>6.1050000000000004</v>
      </c>
      <c r="AJ188" s="226">
        <f>IF(ISERROR(1/VLOOKUP($B188,Leveranser!$B$1:$S$500,MATCH("såld värme (gwh)",Leveranser!$B$1:$S$1,0),FALSE)),"",VLOOKUP($B188,Leveranser!$B$1:$S$500,MATCH("såld värme (gwh)",Leveranser!$B$1:$S$1,0),FALSE))</f>
        <v>4.7910000000000004</v>
      </c>
      <c r="AM188" s="227" t="str">
        <f>IF(B188&lt;&gt;"",IF(VLOOKUP($B188,Totalt!$B$1:$AQ$554,MATCH("Kvalitetsgranskad:",Totalt!$B$1:$AQ$1,0),FALSE)="ja",VLOOKUP($B188,Miljö!$B$1:$AG$479,MATCH(AM$2,Miljö!$B$1:$AK$1,0),FALSE),""),"")</f>
        <v>Ja</v>
      </c>
      <c r="AN188" s="227" t="str">
        <f>IF(AM188="ja",VLOOKUP($B188,Miljö!$B$1:$J$479,MATCH("Typ av ursprungsspecificerad el   (Om inget värde anges används Nordisk residualmix, se inforuta) ()",Miljö!$B$1:$J$1,0),FALSE),IF(AM188="nej","Nordisk residualel",""))</f>
        <v>'Ursprungsmärkt Vattenkraft'</v>
      </c>
      <c r="AO188" s="227">
        <f>IF(AM188="","",VLOOKUP($B188,Miljö!$B$1:$J$479,MATCH("Fossilandel för ursprungspecificerad el ()",Miljö!$B$1:$J$1,0),FALSE))</f>
        <v>0</v>
      </c>
      <c r="AP188" s="227">
        <f>IF(AM188="","",IFERROR(VLOOKUP($B188,Miljö!$B$1:$J$479,MATCH("Kärnkraftsandel för ursprungsspecificerad el ()",Miljö!$B$1:$J$1,0),FALSE)/1,0))</f>
        <v>0</v>
      </c>
      <c r="AQ188" s="227">
        <f t="shared" si="13"/>
        <v>1</v>
      </c>
      <c r="AR188" s="227"/>
      <c r="AS188" s="227" t="str">
        <f t="shared" si="14"/>
        <v>Nej</v>
      </c>
      <c r="AT188" s="227" t="str">
        <f>IF(AS188="ja",VLOOKUP($B188,Miljö!$B$1:$O$500,MATCH("Fossil andel i procent (%)",Miljö!$B$1:$O$1,0),FALSE)/100,"")</f>
        <v/>
      </c>
      <c r="AU188" s="227"/>
      <c r="AV188" s="227" t="str">
        <f t="shared" si="15"/>
        <v>Nej</v>
      </c>
      <c r="AW188" s="227" t="str">
        <f>IF(AV188="ja",VLOOKUP($B188,'Egen hetvattenprod'!$B$1:$AO$500,MATCH("Värmekälla till värmepumpar ()",'Egen hetvattenprod'!$B$1:$AO$1,0),FALSE),"")</f>
        <v/>
      </c>
      <c r="AX188" s="227"/>
      <c r="AY188" s="227" t="str">
        <f t="shared" si="16"/>
        <v>Nej</v>
      </c>
      <c r="AZ188" s="228" t="str">
        <f>IF($AY188="ja",(VLOOKUP($B188,'Egen hetvattenprod'!$B$1:$BX$550,MATCH(AZ$2,'Egen hetvattenprod'!$B$1:$BX$1,0),FALSE)+VLOOKUP($B188,Kraftvärmeprod!$B$1:$BX$550,MATCH(AZ$2,Kraftvärmeprod!$B$1:$BX$1,0),FALSE))/$AC188,"")</f>
        <v/>
      </c>
      <c r="BA188" s="228" t="str">
        <f>IF($AY188="ja",(VLOOKUP($B188,'Egen hetvattenprod'!$B$1:$BX$550,MATCH(BA$2,'Egen hetvattenprod'!$B$1:$BX$1,0),FALSE)+VLOOKUP($B188,Kraftvärmeprod!$B$1:$BX$550,MATCH(BA$2,Kraftvärmeprod!$B$1:$BX$1,0),FALSE))/$AC188,"")</f>
        <v/>
      </c>
      <c r="BB188" s="228" t="str">
        <f>IF($AY188="ja",(VLOOKUP($B188,'Egen hetvattenprod'!$B$1:$BX$550,MATCH(BB$2,'Egen hetvattenprod'!$B$1:$BX$1,0),FALSE)+VLOOKUP($B188,Kraftvärmeprod!$B$1:$BX$550,MATCH(BB$2,Kraftvärmeprod!$B$1:$BX$1,0),FALSE))/$AC188,"")</f>
        <v/>
      </c>
      <c r="BC188" s="228" t="str">
        <f>IF($AY188="ja",(VLOOKUP($B188,'Egen hetvattenprod'!$B$1:$BX$550,MATCH(BC$2,'Egen hetvattenprod'!$B$1:$BX$1,0),FALSE)+VLOOKUP($B188,Kraftvärmeprod!$B$1:$BX$550,MATCH(BC$2,Kraftvärmeprod!$B$1:$BX$1,0),FALSE))/$AC188,"")</f>
        <v/>
      </c>
      <c r="BD188" s="228" t="str">
        <f>IF($AY188="ja",(VLOOKUP($B188,'Egen hetvattenprod'!$B$1:$BX$550,MATCH(BD$2,'Egen hetvattenprod'!$B$1:$BX$1,0),FALSE)+VLOOKUP($B188,Kraftvärmeprod!$B$1:$BX$550,MATCH(BD$2,Kraftvärmeprod!$B$1:$BX$1,0),FALSE))/$AC188,"")</f>
        <v/>
      </c>
      <c r="BE188" s="227"/>
      <c r="BF188" s="227" t="str">
        <f t="shared" si="17"/>
        <v>Nej</v>
      </c>
      <c r="BG188" s="227" t="str">
        <f>IF($BF188="ja",VLOOKUP($B188,'Egen hetvattenprod'!$B$1:$BX$550,MATCH("Andelen klimatgaser med fossilt ursprung för avfall ()",'Egen hetvattenprod'!$B$1:$BX$1,0),FALSE),"")</f>
        <v/>
      </c>
      <c r="BH188" s="227" t="str">
        <f>IF($BF188="ja",VLOOKUP($B188,Kraftvärmeprod!$B$1:$BX$550,MATCH("Andelen klimatgaser med fossilt ursprung för avfall ()",Kraftvärmeprod!$B$1:$BX$1,0),FALSE),"")</f>
        <v/>
      </c>
      <c r="BI188" s="227" t="str">
        <f>IF($BF188="ja",VLOOKUP($B188,'Egen hetvattenprod'!$B$1:$BX$550,MATCH("Avfall (GWh)",'Egen hetvattenprod'!$B$1:$BX$1,0),FALSE),"")</f>
        <v/>
      </c>
      <c r="BJ188" s="227" t="str">
        <f>IF($BF188="ja",VLOOKUP($B188,'Slutlig allokering kvv'!$B$1:$BX$550,MATCH("Avfall (GWh)",'Slutlig allokering kvv'!$B$1:$BX$1,0),FALSE),"")</f>
        <v/>
      </c>
      <c r="BK188" s="227" t="str">
        <f>IF($BF188="ja",VLOOKUP($B188,'Köpt hetvatten'!$B$1:$BX$550,MATCH("Avfall i köpt hetvatten",'Köpt hetvatten'!$B$1:$BX$1,0),FALSE),"")</f>
        <v/>
      </c>
      <c r="BL188" s="227" t="str">
        <f>IF($BF188="ja",VLOOKUP($B188,'Egen hetvattenprod'!$B$1:$BX$550,MATCH("Värde enligt ovan. (%)",'Egen hetvattenprod'!$B$1:$BX$1,0),FALSE),"")</f>
        <v/>
      </c>
      <c r="BM188" s="227" t="str">
        <f>IF($BF188="ja",VLOOKUP($B188,Kraftvärmeprod!$B$1:$BX$550,MATCH("Värde enligt ovan. (%)",Kraftvärmeprod!$B$1:$BX$1,0),FALSE),"")</f>
        <v/>
      </c>
      <c r="BN188" s="227"/>
      <c r="BO188" s="227"/>
      <c r="BP188" s="227"/>
      <c r="BQ188" s="227" t="str">
        <f>IF($BF188="ja",VLOOKUP($B188,'Egen hetvattenprod'!$B$1:$BX$550,MATCH("Tillförd olja (fossil) vid avfallsförbränning (GWh)",'Egen hetvattenprod'!$B$1:$BX$1,0),FALSE),"")</f>
        <v/>
      </c>
      <c r="BR188" s="227" t="str">
        <f>IF($BF188="ja",VLOOKUP($B188,Kraftvärmeprod!$B$1:$BX$550,MATCH("Tillförd olja (fossil) vid avfallsförbränning (GWh)",Kraftvärmeprod!$B$1:$BX$1,0),FALSE),"")</f>
        <v/>
      </c>
      <c r="BS188" s="227"/>
      <c r="BT188" s="227"/>
      <c r="BU188" s="227"/>
    </row>
    <row r="189" spans="1:73" x14ac:dyDescent="0.25">
      <c r="A189" s="121" t="str">
        <f>'Miljövärden för publ företag'!B192</f>
        <v>Njudung Energi Sävsjö AB</v>
      </c>
      <c r="B189" s="121" t="str">
        <f>'Miljövärden för publ företag'!C192</f>
        <v>Rörvik</v>
      </c>
      <c r="C189" s="173">
        <f>IFERROR(VLOOKUP($B189,Totalt!$B$1:$AQ$554,MATCH(C$2,Totalt!$B$1:$AQ$1,0),FALSE),"")</f>
        <v>0</v>
      </c>
      <c r="D189" s="173">
        <f>IFERROR(VLOOKUP($B189,Totalt!$B$1:$AQ$554,MATCH(D$2,Totalt!$B$1:$AQ$1,0),FALSE),"")</f>
        <v>0</v>
      </c>
      <c r="E189" s="173">
        <f>IFERROR(VLOOKUP($B189,Totalt!$B$1:$AQ$554,MATCH(E$2,Totalt!$B$1:$AQ$1,0),FALSE),"")</f>
        <v>0</v>
      </c>
      <c r="F189" s="173">
        <f>IFERROR(VLOOKUP($B189,Totalt!$B$1:$AQ$554,MATCH(F$2,Totalt!$B$1:$AQ$1,0),FALSE),"")</f>
        <v>0</v>
      </c>
      <c r="G189" s="173">
        <f>IFERROR(VLOOKUP($B189,Totalt!$B$1:$AQ$554,MATCH(G$2,Totalt!$B$1:$AQ$1,0),FALSE),"")</f>
        <v>0</v>
      </c>
      <c r="H189" s="173">
        <f>IFERROR(VLOOKUP($B189,Totalt!$B$1:$AQ$554,MATCH(H$2,Totalt!$B$1:$AQ$1,0),FALSE),"")</f>
        <v>0</v>
      </c>
      <c r="I189" s="173">
        <f>IFERROR(VLOOKUP($B189,Totalt!$B$1:$AQ$554,MATCH(I$2,Totalt!$B$1:$AQ$1,0),FALSE),"")</f>
        <v>0</v>
      </c>
      <c r="J189" s="173">
        <f>IFERROR(VLOOKUP($B189,Totalt!$B$1:$AQ$554,MATCH(J$2,Totalt!$B$1:$AQ$1,0),FALSE),"")</f>
        <v>0</v>
      </c>
      <c r="K189" s="173">
        <f>IFERROR(VLOOKUP($B189,Totalt!$B$1:$AQ$554,MATCH(K$2,Totalt!$B$1:$AQ$1,0),FALSE),"")</f>
        <v>0</v>
      </c>
      <c r="L189" s="173">
        <f>IFERROR(VLOOKUP($B189,Totalt!$B$1:$AQ$554,MATCH(L$2,Totalt!$B$1:$AQ$1,0),FALSE),"")</f>
        <v>0</v>
      </c>
      <c r="M189" s="173">
        <f>IFERROR(VLOOKUP($B189,Totalt!$B$1:$AQ$554,MATCH(M$2,Totalt!$B$1:$AQ$1,0),FALSE),"")</f>
        <v>0</v>
      </c>
      <c r="N189" s="173">
        <f>IFERROR(VLOOKUP($B189,Totalt!$B$1:$AQ$554,MATCH(N$2,Totalt!$B$1:$AQ$1,0),FALSE),"")</f>
        <v>0</v>
      </c>
      <c r="O189" s="173">
        <f>IFERROR(VLOOKUP($B189,Totalt!$B$1:$AQ$554,MATCH(O$2,Totalt!$B$1:$AQ$1,0),FALSE),"")</f>
        <v>0</v>
      </c>
      <c r="P189" s="173">
        <f>IFERROR(VLOOKUP($B189,Totalt!$B$1:$AQ$554,MATCH(P$2,Totalt!$B$1:$AQ$1,0),FALSE),"")</f>
        <v>0</v>
      </c>
      <c r="Q189" s="173">
        <f>IFERROR(VLOOKUP($B189,Totalt!$B$1:$AQ$554,MATCH(Q$2,Totalt!$B$1:$AQ$1,0),FALSE),"")</f>
        <v>5.53294</v>
      </c>
      <c r="R189" s="173">
        <f>IFERROR(VLOOKUP($B189,Totalt!$B$1:$AQ$554,MATCH(R$2,Totalt!$B$1:$AQ$1,0),FALSE),"")</f>
        <v>0</v>
      </c>
      <c r="S189" s="173">
        <f>IFERROR(VLOOKUP($B189,Totalt!$B$1:$AQ$554,MATCH(S$2,Totalt!$B$1:$AQ$1,0),FALSE),"")</f>
        <v>0</v>
      </c>
      <c r="T189" s="173">
        <f>IFERROR(VLOOKUP($B189,Totalt!$B$1:$AQ$554,MATCH(T$2,Totalt!$B$1:$AQ$1,0),FALSE),"")</f>
        <v>0</v>
      </c>
      <c r="U189" s="173">
        <f>IFERROR(VLOOKUP($B189,Totalt!$B$1:$AQ$554,MATCH(U$2,Totalt!$B$1:$AQ$1,0),FALSE),"")</f>
        <v>0</v>
      </c>
      <c r="V189" s="173">
        <f>IFERROR(VLOOKUP($B189,Totalt!$B$1:$AQ$554,MATCH(V$2,Totalt!$B$1:$AQ$1,0),FALSE),"")</f>
        <v>0</v>
      </c>
      <c r="W189" s="173">
        <f>IFERROR(VLOOKUP($B189,Totalt!$B$1:$AQ$554,MATCH(W$2,Totalt!$B$1:$AQ$1,0),FALSE),"")</f>
        <v>0</v>
      </c>
      <c r="X189" s="173">
        <f>IFERROR(VLOOKUP($B189,Totalt!$B$1:$AQ$554,MATCH(X$2,Totalt!$B$1:$AQ$1,0),FALSE),"")</f>
        <v>0</v>
      </c>
      <c r="Y189" s="173">
        <f>IFERROR(VLOOKUP($B189,Totalt!$B$1:$AQ$554,MATCH(Y$2,Totalt!$B$1:$AQ$1,0),FALSE),"")</f>
        <v>0</v>
      </c>
      <c r="Z189" s="173">
        <f>IFERROR(VLOOKUP($B189,Totalt!$B$1:$AQ$554,MATCH(Z$2,Totalt!$B$1:$AQ$1,0),FALSE),"")</f>
        <v>0</v>
      </c>
      <c r="AA189" s="173">
        <f>IFERROR(VLOOKUP($B189,Totalt!$B$1:$AQ$554,MATCH(AA$2,Totalt!$B$1:$AQ$1,0),FALSE),"")</f>
        <v>0</v>
      </c>
      <c r="AB189" s="173">
        <f>IFERROR(VLOOKUP($B189,Totalt!$B$1:$AQ$554,MATCH(AB$2,Totalt!$B$1:$AQ$1,0),FALSE),"")</f>
        <v>0</v>
      </c>
      <c r="AC189" s="173">
        <f>IFERROR(VLOOKUP($B189,Totalt!$B$1:$AQ$554,MATCH(AC$2,Totalt!$B$1:$AQ$1,0),FALSE),"")</f>
        <v>0</v>
      </c>
      <c r="AD189" s="173">
        <f>IFERROR(VLOOKUP($B189,Totalt!$B$1:$AQ$554,MATCH(AD$2,Totalt!$B$1:$AQ$1,0),FALSE),"")</f>
        <v>0</v>
      </c>
      <c r="AE189" s="173">
        <f>IFERROR(VLOOKUP($B189,Totalt!$B$1:$AQ$554,MATCH(AE$2,Totalt!$B$1:$AQ$1,0),FALSE),"")</f>
        <v>0</v>
      </c>
      <c r="AF189" s="173">
        <f>IFERROR(VLOOKUP($B189,Totalt!$B$1:$AQ$554,MATCH(AF$2,Totalt!$B$1:$AQ$1,0),FALSE),"")</f>
        <v>0.11193</v>
      </c>
      <c r="AG189" s="173">
        <f>IFERROR(VLOOKUP($B189,Totalt!$B$1:$AQ$554,MATCH(AG$2,Totalt!$B$1:$AQ$1,0),FALSE),"")</f>
        <v>0</v>
      </c>
      <c r="AI189" s="226">
        <f t="shared" si="12"/>
        <v>5.6448700000000001</v>
      </c>
      <c r="AJ189" s="226">
        <f>IF(ISERROR(1/VLOOKUP($B189,Leveranser!$B$1:$S$500,MATCH("såld värme (gwh)",Leveranser!$B$1:$S$1,0),FALSE)),"",VLOOKUP($B189,Leveranser!$B$1:$S$500,MATCH("såld värme (gwh)",Leveranser!$B$1:$S$1,0),FALSE))</f>
        <v>3.7309999999999999</v>
      </c>
      <c r="AM189" s="227" t="str">
        <f>IF(B189&lt;&gt;"",IF(VLOOKUP($B189,Totalt!$B$1:$AQ$554,MATCH("Kvalitetsgranskad:",Totalt!$B$1:$AQ$1,0),FALSE)="ja",VLOOKUP($B189,Miljö!$B$1:$AG$479,MATCH(AM$2,Miljö!$B$1:$AK$1,0),FALSE),""),"")</f>
        <v>Nej</v>
      </c>
      <c r="AN189" s="227" t="str">
        <f>IF(AM189="ja",VLOOKUP($B189,Miljö!$B$1:$J$479,MATCH("Typ av ursprungsspecificerad el   (Om inget värde anges används Nordisk residualmix, se inforuta) ()",Miljö!$B$1:$J$1,0),FALSE),IF(AM189="nej","Nordisk residualel",""))</f>
        <v>Nordisk residualel</v>
      </c>
      <c r="AO189" s="227">
        <f>IF(AM189="","",VLOOKUP($B189,Miljö!$B$1:$J$479,MATCH("Fossilandel för ursprungspecificerad el ()",Miljö!$B$1:$J$1,0),FALSE))</f>
        <v>0.43</v>
      </c>
      <c r="AP189" s="227">
        <f>IF(AM189="","",IFERROR(VLOOKUP($B189,Miljö!$B$1:$J$479,MATCH("Kärnkraftsandel för ursprungsspecificerad el ()",Miljö!$B$1:$J$1,0),FALSE)/1,0))</f>
        <v>0.40550000000000003</v>
      </c>
      <c r="AQ189" s="227">
        <f t="shared" si="13"/>
        <v>0.16450000000000004</v>
      </c>
      <c r="AR189" s="227"/>
      <c r="AS189" s="227" t="str">
        <f t="shared" si="14"/>
        <v>Nej</v>
      </c>
      <c r="AT189" s="227" t="str">
        <f>IF(AS189="ja",VLOOKUP($B189,Miljö!$B$1:$O$500,MATCH("Fossil andel i procent (%)",Miljö!$B$1:$O$1,0),FALSE)/100,"")</f>
        <v/>
      </c>
      <c r="AU189" s="227"/>
      <c r="AV189" s="227" t="str">
        <f t="shared" si="15"/>
        <v>Nej</v>
      </c>
      <c r="AW189" s="227" t="str">
        <f>IF(AV189="ja",VLOOKUP($B189,'Egen hetvattenprod'!$B$1:$AO$500,MATCH("Värmekälla till värmepumpar ()",'Egen hetvattenprod'!$B$1:$AO$1,0),FALSE),"")</f>
        <v/>
      </c>
      <c r="AX189" s="227"/>
      <c r="AY189" s="227" t="str">
        <f t="shared" si="16"/>
        <v>Nej</v>
      </c>
      <c r="AZ189" s="228" t="str">
        <f>IF($AY189="ja",(VLOOKUP($B189,'Egen hetvattenprod'!$B$1:$BX$550,MATCH(AZ$2,'Egen hetvattenprod'!$B$1:$BX$1,0),FALSE)+VLOOKUP($B189,Kraftvärmeprod!$B$1:$BX$550,MATCH(AZ$2,Kraftvärmeprod!$B$1:$BX$1,0),FALSE))/$AC189,"")</f>
        <v/>
      </c>
      <c r="BA189" s="228" t="str">
        <f>IF($AY189="ja",(VLOOKUP($B189,'Egen hetvattenprod'!$B$1:$BX$550,MATCH(BA$2,'Egen hetvattenprod'!$B$1:$BX$1,0),FALSE)+VLOOKUP($B189,Kraftvärmeprod!$B$1:$BX$550,MATCH(BA$2,Kraftvärmeprod!$B$1:$BX$1,0),FALSE))/$AC189,"")</f>
        <v/>
      </c>
      <c r="BB189" s="228" t="str">
        <f>IF($AY189="ja",(VLOOKUP($B189,'Egen hetvattenprod'!$B$1:$BX$550,MATCH(BB$2,'Egen hetvattenprod'!$B$1:$BX$1,0),FALSE)+VLOOKUP($B189,Kraftvärmeprod!$B$1:$BX$550,MATCH(BB$2,Kraftvärmeprod!$B$1:$BX$1,0),FALSE))/$AC189,"")</f>
        <v/>
      </c>
      <c r="BC189" s="228" t="str">
        <f>IF($AY189="ja",(VLOOKUP($B189,'Egen hetvattenprod'!$B$1:$BX$550,MATCH(BC$2,'Egen hetvattenprod'!$B$1:$BX$1,0),FALSE)+VLOOKUP($B189,Kraftvärmeprod!$B$1:$BX$550,MATCH(BC$2,Kraftvärmeprod!$B$1:$BX$1,0),FALSE))/$AC189,"")</f>
        <v/>
      </c>
      <c r="BD189" s="228" t="str">
        <f>IF($AY189="ja",(VLOOKUP($B189,'Egen hetvattenprod'!$B$1:$BX$550,MATCH(BD$2,'Egen hetvattenprod'!$B$1:$BX$1,0),FALSE)+VLOOKUP($B189,Kraftvärmeprod!$B$1:$BX$550,MATCH(BD$2,Kraftvärmeprod!$B$1:$BX$1,0),FALSE))/$AC189,"")</f>
        <v/>
      </c>
      <c r="BE189" s="227"/>
      <c r="BF189" s="227" t="str">
        <f t="shared" si="17"/>
        <v>Nej</v>
      </c>
      <c r="BG189" s="227" t="str">
        <f>IF($BF189="ja",VLOOKUP($B189,'Egen hetvattenprod'!$B$1:$BX$550,MATCH("Andelen klimatgaser med fossilt ursprung för avfall ()",'Egen hetvattenprod'!$B$1:$BX$1,0),FALSE),"")</f>
        <v/>
      </c>
      <c r="BH189" s="227" t="str">
        <f>IF($BF189="ja",VLOOKUP($B189,Kraftvärmeprod!$B$1:$BX$550,MATCH("Andelen klimatgaser med fossilt ursprung för avfall ()",Kraftvärmeprod!$B$1:$BX$1,0),FALSE),"")</f>
        <v/>
      </c>
      <c r="BI189" s="227" t="str">
        <f>IF($BF189="ja",VLOOKUP($B189,'Egen hetvattenprod'!$B$1:$BX$550,MATCH("Avfall (GWh)",'Egen hetvattenprod'!$B$1:$BX$1,0),FALSE),"")</f>
        <v/>
      </c>
      <c r="BJ189" s="227" t="str">
        <f>IF($BF189="ja",VLOOKUP($B189,'Slutlig allokering kvv'!$B$1:$BX$550,MATCH("Avfall (GWh)",'Slutlig allokering kvv'!$B$1:$BX$1,0),FALSE),"")</f>
        <v/>
      </c>
      <c r="BK189" s="227" t="str">
        <f>IF($BF189="ja",VLOOKUP($B189,'Köpt hetvatten'!$B$1:$BX$550,MATCH("Avfall i köpt hetvatten",'Köpt hetvatten'!$B$1:$BX$1,0),FALSE),"")</f>
        <v/>
      </c>
      <c r="BL189" s="227" t="str">
        <f>IF($BF189="ja",VLOOKUP($B189,'Egen hetvattenprod'!$B$1:$BX$550,MATCH("Värde enligt ovan. (%)",'Egen hetvattenprod'!$B$1:$BX$1,0),FALSE),"")</f>
        <v/>
      </c>
      <c r="BM189" s="227" t="str">
        <f>IF($BF189="ja",VLOOKUP($B189,Kraftvärmeprod!$B$1:$BX$550,MATCH("Värde enligt ovan. (%)",Kraftvärmeprod!$B$1:$BX$1,0),FALSE),"")</f>
        <v/>
      </c>
      <c r="BN189" s="227"/>
      <c r="BO189" s="227"/>
      <c r="BP189" s="227"/>
      <c r="BQ189" s="227" t="str">
        <f>IF($BF189="ja",VLOOKUP($B189,'Egen hetvattenprod'!$B$1:$BX$550,MATCH("Tillförd olja (fossil) vid avfallsförbränning (GWh)",'Egen hetvattenprod'!$B$1:$BX$1,0),FALSE),"")</f>
        <v/>
      </c>
      <c r="BR189" s="227" t="str">
        <f>IF($BF189="ja",VLOOKUP($B189,Kraftvärmeprod!$B$1:$BX$550,MATCH("Tillförd olja (fossil) vid avfallsförbränning (GWh)",Kraftvärmeprod!$B$1:$BX$1,0),FALSE),"")</f>
        <v/>
      </c>
      <c r="BS189" s="227"/>
      <c r="BT189" s="227"/>
      <c r="BU189" s="227"/>
    </row>
    <row r="190" spans="1:73" x14ac:dyDescent="0.25">
      <c r="A190" s="121" t="str">
        <f>'Miljövärden för publ företag'!B193</f>
        <v>Njudung Energi Sävsjö AB</v>
      </c>
      <c r="B190" s="121" t="str">
        <f>'Miljövärden för publ företag'!C193</f>
        <v>Sävsjö</v>
      </c>
      <c r="C190" s="173">
        <f>IFERROR(VLOOKUP($B190,Totalt!$B$1:$AQ$554,MATCH(C$2,Totalt!$B$1:$AQ$1,0),FALSE),"")</f>
        <v>0</v>
      </c>
      <c r="D190" s="173">
        <f>IFERROR(VLOOKUP($B190,Totalt!$B$1:$AQ$554,MATCH(D$2,Totalt!$B$1:$AQ$1,0),FALSE),"")</f>
        <v>0.44500000000000001</v>
      </c>
      <c r="E190" s="173">
        <f>IFERROR(VLOOKUP($B190,Totalt!$B$1:$AQ$554,MATCH(E$2,Totalt!$B$1:$AQ$1,0),FALSE),"")</f>
        <v>0</v>
      </c>
      <c r="F190" s="173">
        <f>IFERROR(VLOOKUP($B190,Totalt!$B$1:$AQ$554,MATCH(F$2,Totalt!$B$1:$AQ$1,0),FALSE),"")</f>
        <v>0</v>
      </c>
      <c r="G190" s="173">
        <f>IFERROR(VLOOKUP($B190,Totalt!$B$1:$AQ$554,MATCH(G$2,Totalt!$B$1:$AQ$1,0),FALSE),"")</f>
        <v>0</v>
      </c>
      <c r="H190" s="173">
        <f>IFERROR(VLOOKUP($B190,Totalt!$B$1:$AQ$554,MATCH(H$2,Totalt!$B$1:$AQ$1,0),FALSE),"")</f>
        <v>0</v>
      </c>
      <c r="I190" s="173">
        <f>IFERROR(VLOOKUP($B190,Totalt!$B$1:$AQ$554,MATCH(I$2,Totalt!$B$1:$AQ$1,0),FALSE),"")</f>
        <v>0</v>
      </c>
      <c r="J190" s="173">
        <f>IFERROR(VLOOKUP($B190,Totalt!$B$1:$AQ$554,MATCH(J$2,Totalt!$B$1:$AQ$1,0),FALSE),"")</f>
        <v>0</v>
      </c>
      <c r="K190" s="173">
        <f>IFERROR(VLOOKUP($B190,Totalt!$B$1:$AQ$554,MATCH(K$2,Totalt!$B$1:$AQ$1,0),FALSE),"")</f>
        <v>0</v>
      </c>
      <c r="L190" s="173">
        <f>IFERROR(VLOOKUP($B190,Totalt!$B$1:$AQ$554,MATCH(L$2,Totalt!$B$1:$AQ$1,0),FALSE),"")</f>
        <v>0</v>
      </c>
      <c r="M190" s="173">
        <f>IFERROR(VLOOKUP($B190,Totalt!$B$1:$AQ$554,MATCH(M$2,Totalt!$B$1:$AQ$1,0),FALSE),"")</f>
        <v>0</v>
      </c>
      <c r="N190" s="173">
        <f>IFERROR(VLOOKUP($B190,Totalt!$B$1:$AQ$554,MATCH(N$2,Totalt!$B$1:$AQ$1,0),FALSE),"")</f>
        <v>57.481000000000002</v>
      </c>
      <c r="O190" s="173">
        <f>IFERROR(VLOOKUP($B190,Totalt!$B$1:$AQ$554,MATCH(O$2,Totalt!$B$1:$AQ$1,0),FALSE),"")</f>
        <v>0</v>
      </c>
      <c r="P190" s="173">
        <f>IFERROR(VLOOKUP($B190,Totalt!$B$1:$AQ$554,MATCH(P$2,Totalt!$B$1:$AQ$1,0),FALSE),"")</f>
        <v>0</v>
      </c>
      <c r="Q190" s="173">
        <f>IFERROR(VLOOKUP($B190,Totalt!$B$1:$AQ$554,MATCH(Q$2,Totalt!$B$1:$AQ$1,0),FALSE),"")</f>
        <v>0</v>
      </c>
      <c r="R190" s="173">
        <f>IFERROR(VLOOKUP($B190,Totalt!$B$1:$AQ$554,MATCH(R$2,Totalt!$B$1:$AQ$1,0),FALSE),"")</f>
        <v>0.996</v>
      </c>
      <c r="S190" s="173">
        <f>IFERROR(VLOOKUP($B190,Totalt!$B$1:$AQ$554,MATCH(S$2,Totalt!$B$1:$AQ$1,0),FALSE),"")</f>
        <v>0</v>
      </c>
      <c r="T190" s="173">
        <f>IFERROR(VLOOKUP($B190,Totalt!$B$1:$AQ$554,MATCH(T$2,Totalt!$B$1:$AQ$1,0),FALSE),"")</f>
        <v>0</v>
      </c>
      <c r="U190" s="173">
        <f>IFERROR(VLOOKUP($B190,Totalt!$B$1:$AQ$554,MATCH(U$2,Totalt!$B$1:$AQ$1,0),FALSE),"")</f>
        <v>0</v>
      </c>
      <c r="V190" s="173">
        <f>IFERROR(VLOOKUP($B190,Totalt!$B$1:$AQ$554,MATCH(V$2,Totalt!$B$1:$AQ$1,0),FALSE),"")</f>
        <v>0</v>
      </c>
      <c r="W190" s="173">
        <f>IFERROR(VLOOKUP($B190,Totalt!$B$1:$AQ$554,MATCH(W$2,Totalt!$B$1:$AQ$1,0),FALSE),"")</f>
        <v>0</v>
      </c>
      <c r="X190" s="173">
        <f>IFERROR(VLOOKUP($B190,Totalt!$B$1:$AQ$554,MATCH(X$2,Totalt!$B$1:$AQ$1,0),FALSE),"")</f>
        <v>0</v>
      </c>
      <c r="Y190" s="173">
        <f>IFERROR(VLOOKUP($B190,Totalt!$B$1:$AQ$554,MATCH(Y$2,Totalt!$B$1:$AQ$1,0),FALSE),"")</f>
        <v>0</v>
      </c>
      <c r="Z190" s="173">
        <f>IFERROR(VLOOKUP($B190,Totalt!$B$1:$AQ$554,MATCH(Z$2,Totalt!$B$1:$AQ$1,0),FALSE),"")</f>
        <v>0</v>
      </c>
      <c r="AA190" s="173">
        <f>IFERROR(VLOOKUP($B190,Totalt!$B$1:$AQ$554,MATCH(AA$2,Totalt!$B$1:$AQ$1,0),FALSE),"")</f>
        <v>0</v>
      </c>
      <c r="AB190" s="173">
        <f>IFERROR(VLOOKUP($B190,Totalt!$B$1:$AQ$554,MATCH(AB$2,Totalt!$B$1:$AQ$1,0),FALSE),"")</f>
        <v>0</v>
      </c>
      <c r="AC190" s="173">
        <f>IFERROR(VLOOKUP($B190,Totalt!$B$1:$AQ$554,MATCH(AC$2,Totalt!$B$1:$AQ$1,0),FALSE),"")</f>
        <v>0</v>
      </c>
      <c r="AD190" s="173">
        <f>IFERROR(VLOOKUP($B190,Totalt!$B$1:$AQ$554,MATCH(AD$2,Totalt!$B$1:$AQ$1,0),FALSE),"")</f>
        <v>0</v>
      </c>
      <c r="AE190" s="173">
        <f>IFERROR(VLOOKUP($B190,Totalt!$B$1:$AQ$554,MATCH(AE$2,Totalt!$B$1:$AQ$1,0),FALSE),"")</f>
        <v>0</v>
      </c>
      <c r="AF190" s="173">
        <f>IFERROR(VLOOKUP($B190,Totalt!$B$1:$AQ$554,MATCH(AF$2,Totalt!$B$1:$AQ$1,0),FALSE),"")</f>
        <v>1.32843</v>
      </c>
      <c r="AG190" s="173">
        <f>IFERROR(VLOOKUP($B190,Totalt!$B$1:$AQ$554,MATCH(AG$2,Totalt!$B$1:$AQ$1,0),FALSE),"")</f>
        <v>0</v>
      </c>
      <c r="AI190" s="226">
        <f t="shared" si="12"/>
        <v>60.250430000000001</v>
      </c>
      <c r="AJ190" s="226">
        <f>IF(ISERROR(1/VLOOKUP($B190,Leveranser!$B$1:$S$500,MATCH("såld värme (gwh)",Leveranser!$B$1:$S$1,0),FALSE)),"",VLOOKUP($B190,Leveranser!$B$1:$S$500,MATCH("såld värme (gwh)",Leveranser!$B$1:$S$1,0),FALSE))</f>
        <v>44.280999999999999</v>
      </c>
      <c r="AM190" s="227" t="str">
        <f>IF(B190&lt;&gt;"",IF(VLOOKUP($B190,Totalt!$B$1:$AQ$554,MATCH("Kvalitetsgranskad:",Totalt!$B$1:$AQ$1,0),FALSE)="ja",VLOOKUP($B190,Miljö!$B$1:$AG$479,MATCH(AM$2,Miljö!$B$1:$AK$1,0),FALSE),""),"")</f>
        <v>Nej</v>
      </c>
      <c r="AN190" s="227" t="str">
        <f>IF(AM190="ja",VLOOKUP($B190,Miljö!$B$1:$J$479,MATCH("Typ av ursprungsspecificerad el   (Om inget värde anges används Nordisk residualmix, se inforuta) ()",Miljö!$B$1:$J$1,0),FALSE),IF(AM190="nej","Nordisk residualel",""))</f>
        <v>Nordisk residualel</v>
      </c>
      <c r="AO190" s="227">
        <f>IF(AM190="","",VLOOKUP($B190,Miljö!$B$1:$J$479,MATCH("Fossilandel för ursprungspecificerad el ()",Miljö!$B$1:$J$1,0),FALSE))</f>
        <v>0.43</v>
      </c>
      <c r="AP190" s="227">
        <f>IF(AM190="","",IFERROR(VLOOKUP($B190,Miljö!$B$1:$J$479,MATCH("Kärnkraftsandel för ursprungsspecificerad el ()",Miljö!$B$1:$J$1,0),FALSE)/1,0))</f>
        <v>0.40550000000000003</v>
      </c>
      <c r="AQ190" s="227">
        <f t="shared" si="13"/>
        <v>0.16450000000000004</v>
      </c>
      <c r="AR190" s="227"/>
      <c r="AS190" s="227" t="str">
        <f t="shared" si="14"/>
        <v>Nej</v>
      </c>
      <c r="AT190" s="227" t="str">
        <f>IF(AS190="ja",VLOOKUP($B190,Miljö!$B$1:$O$500,MATCH("Fossil andel i procent (%)",Miljö!$B$1:$O$1,0),FALSE)/100,"")</f>
        <v/>
      </c>
      <c r="AU190" s="227"/>
      <c r="AV190" s="227" t="str">
        <f t="shared" si="15"/>
        <v>Nej</v>
      </c>
      <c r="AW190" s="227" t="str">
        <f>IF(AV190="ja",VLOOKUP($B190,'Egen hetvattenprod'!$B$1:$AO$500,MATCH("Värmekälla till värmepumpar ()",'Egen hetvattenprod'!$B$1:$AO$1,0),FALSE),"")</f>
        <v/>
      </c>
      <c r="AX190" s="227"/>
      <c r="AY190" s="227" t="str">
        <f t="shared" si="16"/>
        <v>Nej</v>
      </c>
      <c r="AZ190" s="228" t="str">
        <f>IF($AY190="ja",(VLOOKUP($B190,'Egen hetvattenprod'!$B$1:$BX$550,MATCH(AZ$2,'Egen hetvattenprod'!$B$1:$BX$1,0),FALSE)+VLOOKUP($B190,Kraftvärmeprod!$B$1:$BX$550,MATCH(AZ$2,Kraftvärmeprod!$B$1:$BX$1,0),FALSE))/$AC190,"")</f>
        <v/>
      </c>
      <c r="BA190" s="228" t="str">
        <f>IF($AY190="ja",(VLOOKUP($B190,'Egen hetvattenprod'!$B$1:$BX$550,MATCH(BA$2,'Egen hetvattenprod'!$B$1:$BX$1,0),FALSE)+VLOOKUP($B190,Kraftvärmeprod!$B$1:$BX$550,MATCH(BA$2,Kraftvärmeprod!$B$1:$BX$1,0),FALSE))/$AC190,"")</f>
        <v/>
      </c>
      <c r="BB190" s="228" t="str">
        <f>IF($AY190="ja",(VLOOKUP($B190,'Egen hetvattenprod'!$B$1:$BX$550,MATCH(BB$2,'Egen hetvattenprod'!$B$1:$BX$1,0),FALSE)+VLOOKUP($B190,Kraftvärmeprod!$B$1:$BX$550,MATCH(BB$2,Kraftvärmeprod!$B$1:$BX$1,0),FALSE))/$AC190,"")</f>
        <v/>
      </c>
      <c r="BC190" s="228" t="str">
        <f>IF($AY190="ja",(VLOOKUP($B190,'Egen hetvattenprod'!$B$1:$BX$550,MATCH(BC$2,'Egen hetvattenprod'!$B$1:$BX$1,0),FALSE)+VLOOKUP($B190,Kraftvärmeprod!$B$1:$BX$550,MATCH(BC$2,Kraftvärmeprod!$B$1:$BX$1,0),FALSE))/$AC190,"")</f>
        <v/>
      </c>
      <c r="BD190" s="228" t="str">
        <f>IF($AY190="ja",(VLOOKUP($B190,'Egen hetvattenprod'!$B$1:$BX$550,MATCH(BD$2,'Egen hetvattenprod'!$B$1:$BX$1,0),FALSE)+VLOOKUP($B190,Kraftvärmeprod!$B$1:$BX$550,MATCH(BD$2,Kraftvärmeprod!$B$1:$BX$1,0),FALSE))/$AC190,"")</f>
        <v/>
      </c>
      <c r="BE190" s="227"/>
      <c r="BF190" s="227" t="str">
        <f t="shared" si="17"/>
        <v>Nej</v>
      </c>
      <c r="BG190" s="227" t="str">
        <f>IF($BF190="ja",VLOOKUP($B190,'Egen hetvattenprod'!$B$1:$BX$550,MATCH("Andelen klimatgaser med fossilt ursprung för avfall ()",'Egen hetvattenprod'!$B$1:$BX$1,0),FALSE),"")</f>
        <v/>
      </c>
      <c r="BH190" s="227" t="str">
        <f>IF($BF190="ja",VLOOKUP($B190,Kraftvärmeprod!$B$1:$BX$550,MATCH("Andelen klimatgaser med fossilt ursprung för avfall ()",Kraftvärmeprod!$B$1:$BX$1,0),FALSE),"")</f>
        <v/>
      </c>
      <c r="BI190" s="227" t="str">
        <f>IF($BF190="ja",VLOOKUP($B190,'Egen hetvattenprod'!$B$1:$BX$550,MATCH("Avfall (GWh)",'Egen hetvattenprod'!$B$1:$BX$1,0),FALSE),"")</f>
        <v/>
      </c>
      <c r="BJ190" s="227" t="str">
        <f>IF($BF190="ja",VLOOKUP($B190,'Slutlig allokering kvv'!$B$1:$BX$550,MATCH("Avfall (GWh)",'Slutlig allokering kvv'!$B$1:$BX$1,0),FALSE),"")</f>
        <v/>
      </c>
      <c r="BK190" s="227" t="str">
        <f>IF($BF190="ja",VLOOKUP($B190,'Köpt hetvatten'!$B$1:$BX$550,MATCH("Avfall i köpt hetvatten",'Köpt hetvatten'!$B$1:$BX$1,0),FALSE),"")</f>
        <v/>
      </c>
      <c r="BL190" s="227" t="str">
        <f>IF($BF190="ja",VLOOKUP($B190,'Egen hetvattenprod'!$B$1:$BX$550,MATCH("Värde enligt ovan. (%)",'Egen hetvattenprod'!$B$1:$BX$1,0),FALSE),"")</f>
        <v/>
      </c>
      <c r="BM190" s="227" t="str">
        <f>IF($BF190="ja",VLOOKUP($B190,Kraftvärmeprod!$B$1:$BX$550,MATCH("Värde enligt ovan. (%)",Kraftvärmeprod!$B$1:$BX$1,0),FALSE),"")</f>
        <v/>
      </c>
      <c r="BN190" s="227"/>
      <c r="BO190" s="227"/>
      <c r="BP190" s="227"/>
      <c r="BQ190" s="227" t="str">
        <f>IF($BF190="ja",VLOOKUP($B190,'Egen hetvattenprod'!$B$1:$BX$550,MATCH("Tillförd olja (fossil) vid avfallsförbränning (GWh)",'Egen hetvattenprod'!$B$1:$BX$1,0),FALSE),"")</f>
        <v/>
      </c>
      <c r="BR190" s="227" t="str">
        <f>IF($BF190="ja",VLOOKUP($B190,Kraftvärmeprod!$B$1:$BX$550,MATCH("Tillförd olja (fossil) vid avfallsförbränning (GWh)",Kraftvärmeprod!$B$1:$BX$1,0),FALSE),"")</f>
        <v/>
      </c>
      <c r="BS190" s="227"/>
      <c r="BT190" s="227"/>
      <c r="BU190" s="227"/>
    </row>
    <row r="191" spans="1:73" x14ac:dyDescent="0.25">
      <c r="A191" s="121" t="str">
        <f>'Miljövärden för publ företag'!B194</f>
        <v>Njudung Energi Vetlanda AB</v>
      </c>
      <c r="B191" s="121" t="str">
        <f>'Miljövärden för publ företag'!C194</f>
        <v>Holsby</v>
      </c>
      <c r="C191" s="173">
        <f>IFERROR(VLOOKUP($B191,Totalt!$B$1:$AQ$554,MATCH(C$2,Totalt!$B$1:$AQ$1,0),FALSE),"")</f>
        <v>0</v>
      </c>
      <c r="D191" s="173">
        <f>IFERROR(VLOOKUP($B191,Totalt!$B$1:$AQ$554,MATCH(D$2,Totalt!$B$1:$AQ$1,0),FALSE),"")</f>
        <v>0.3</v>
      </c>
      <c r="E191" s="173">
        <f>IFERROR(VLOOKUP($B191,Totalt!$B$1:$AQ$554,MATCH(E$2,Totalt!$B$1:$AQ$1,0),FALSE),"")</f>
        <v>0</v>
      </c>
      <c r="F191" s="173">
        <f>IFERROR(VLOOKUP($B191,Totalt!$B$1:$AQ$554,MATCH(F$2,Totalt!$B$1:$AQ$1,0),FALSE),"")</f>
        <v>0</v>
      </c>
      <c r="G191" s="173">
        <f>IFERROR(VLOOKUP($B191,Totalt!$B$1:$AQ$554,MATCH(G$2,Totalt!$B$1:$AQ$1,0),FALSE),"")</f>
        <v>0</v>
      </c>
      <c r="H191" s="173">
        <f>IFERROR(VLOOKUP($B191,Totalt!$B$1:$AQ$554,MATCH(H$2,Totalt!$B$1:$AQ$1,0),FALSE),"")</f>
        <v>0</v>
      </c>
      <c r="I191" s="173">
        <f>IFERROR(VLOOKUP($B191,Totalt!$B$1:$AQ$554,MATCH(I$2,Totalt!$B$1:$AQ$1,0),FALSE),"")</f>
        <v>0</v>
      </c>
      <c r="J191" s="173">
        <f>IFERROR(VLOOKUP($B191,Totalt!$B$1:$AQ$554,MATCH(J$2,Totalt!$B$1:$AQ$1,0),FALSE),"")</f>
        <v>0</v>
      </c>
      <c r="K191" s="173">
        <f>IFERROR(VLOOKUP($B191,Totalt!$B$1:$AQ$554,MATCH(K$2,Totalt!$B$1:$AQ$1,0),FALSE),"")</f>
        <v>0</v>
      </c>
      <c r="L191" s="173">
        <f>IFERROR(VLOOKUP($B191,Totalt!$B$1:$AQ$554,MATCH(L$2,Totalt!$B$1:$AQ$1,0),FALSE),"")</f>
        <v>0</v>
      </c>
      <c r="M191" s="173">
        <f>IFERROR(VLOOKUP($B191,Totalt!$B$1:$AQ$554,MATCH(M$2,Totalt!$B$1:$AQ$1,0),FALSE),"")</f>
        <v>0</v>
      </c>
      <c r="N191" s="173">
        <f>IFERROR(VLOOKUP($B191,Totalt!$B$1:$AQ$554,MATCH(N$2,Totalt!$B$1:$AQ$1,0),FALSE),"")</f>
        <v>0</v>
      </c>
      <c r="O191" s="173">
        <f>IFERROR(VLOOKUP($B191,Totalt!$B$1:$AQ$554,MATCH(O$2,Totalt!$B$1:$AQ$1,0),FALSE),"")</f>
        <v>0</v>
      </c>
      <c r="P191" s="173">
        <f>IFERROR(VLOOKUP($B191,Totalt!$B$1:$AQ$554,MATCH(P$2,Totalt!$B$1:$AQ$1,0),FALSE),"")</f>
        <v>6.1</v>
      </c>
      <c r="Q191" s="173">
        <f>IFERROR(VLOOKUP($B191,Totalt!$B$1:$AQ$554,MATCH(Q$2,Totalt!$B$1:$AQ$1,0),FALSE),"")</f>
        <v>0</v>
      </c>
      <c r="R191" s="173">
        <f>IFERROR(VLOOKUP($B191,Totalt!$B$1:$AQ$554,MATCH(R$2,Totalt!$B$1:$AQ$1,0),FALSE),"")</f>
        <v>0</v>
      </c>
      <c r="S191" s="173">
        <f>IFERROR(VLOOKUP($B191,Totalt!$B$1:$AQ$554,MATCH(S$2,Totalt!$B$1:$AQ$1,0),FALSE),"")</f>
        <v>0</v>
      </c>
      <c r="T191" s="173">
        <f>IFERROR(VLOOKUP($B191,Totalt!$B$1:$AQ$554,MATCH(T$2,Totalt!$B$1:$AQ$1,0),FALSE),"")</f>
        <v>0</v>
      </c>
      <c r="U191" s="173">
        <f>IFERROR(VLOOKUP($B191,Totalt!$B$1:$AQ$554,MATCH(U$2,Totalt!$B$1:$AQ$1,0),FALSE),"")</f>
        <v>0</v>
      </c>
      <c r="V191" s="173">
        <f>IFERROR(VLOOKUP($B191,Totalt!$B$1:$AQ$554,MATCH(V$2,Totalt!$B$1:$AQ$1,0),FALSE),"")</f>
        <v>0</v>
      </c>
      <c r="W191" s="173">
        <f>IFERROR(VLOOKUP($B191,Totalt!$B$1:$AQ$554,MATCH(W$2,Totalt!$B$1:$AQ$1,0),FALSE),"")</f>
        <v>0</v>
      </c>
      <c r="X191" s="173">
        <f>IFERROR(VLOOKUP($B191,Totalt!$B$1:$AQ$554,MATCH(X$2,Totalt!$B$1:$AQ$1,0),FALSE),"")</f>
        <v>0</v>
      </c>
      <c r="Y191" s="173">
        <f>IFERROR(VLOOKUP($B191,Totalt!$B$1:$AQ$554,MATCH(Y$2,Totalt!$B$1:$AQ$1,0),FALSE),"")</f>
        <v>0</v>
      </c>
      <c r="Z191" s="173">
        <f>IFERROR(VLOOKUP($B191,Totalt!$B$1:$AQ$554,MATCH(Z$2,Totalt!$B$1:$AQ$1,0),FALSE),"")</f>
        <v>0</v>
      </c>
      <c r="AA191" s="173">
        <f>IFERROR(VLOOKUP($B191,Totalt!$B$1:$AQ$554,MATCH(AA$2,Totalt!$B$1:$AQ$1,0),FALSE),"")</f>
        <v>0</v>
      </c>
      <c r="AB191" s="173">
        <f>IFERROR(VLOOKUP($B191,Totalt!$B$1:$AQ$554,MATCH(AB$2,Totalt!$B$1:$AQ$1,0),FALSE),"")</f>
        <v>0</v>
      </c>
      <c r="AC191" s="173">
        <f>IFERROR(VLOOKUP($B191,Totalt!$B$1:$AQ$554,MATCH(AC$2,Totalt!$B$1:$AQ$1,0),FALSE),"")</f>
        <v>0</v>
      </c>
      <c r="AD191" s="173">
        <f>IFERROR(VLOOKUP($B191,Totalt!$B$1:$AQ$554,MATCH(AD$2,Totalt!$B$1:$AQ$1,0),FALSE),"")</f>
        <v>0</v>
      </c>
      <c r="AE191" s="173">
        <f>IFERROR(VLOOKUP($B191,Totalt!$B$1:$AQ$554,MATCH(AE$2,Totalt!$B$1:$AQ$1,0),FALSE),"")</f>
        <v>0</v>
      </c>
      <c r="AF191" s="173">
        <f>IFERROR(VLOOKUP($B191,Totalt!$B$1:$AQ$554,MATCH(AF$2,Totalt!$B$1:$AQ$1,0),FALSE),"")</f>
        <v>0.126</v>
      </c>
      <c r="AG191" s="173">
        <f>IFERROR(VLOOKUP($B191,Totalt!$B$1:$AQ$554,MATCH(AG$2,Totalt!$B$1:$AQ$1,0),FALSE),"")</f>
        <v>0</v>
      </c>
      <c r="AI191" s="226">
        <f t="shared" si="12"/>
        <v>6.5259999999999998</v>
      </c>
      <c r="AJ191" s="226">
        <f>IF(ISERROR(1/VLOOKUP($B191,Leveranser!$B$1:$S$500,MATCH("såld värme (gwh)",Leveranser!$B$1:$S$1,0),FALSE)),"",VLOOKUP($B191,Leveranser!$B$1:$S$500,MATCH("såld värme (gwh)",Leveranser!$B$1:$S$1,0),FALSE))</f>
        <v>4.2</v>
      </c>
      <c r="AM191" s="227" t="str">
        <f>IF(B191&lt;&gt;"",IF(VLOOKUP($B191,Totalt!$B$1:$AQ$554,MATCH("Kvalitetsgranskad:",Totalt!$B$1:$AQ$1,0),FALSE)="ja",VLOOKUP($B191,Miljö!$B$1:$AG$479,MATCH(AM$2,Miljö!$B$1:$AK$1,0),FALSE),""),"")</f>
        <v>Nej</v>
      </c>
      <c r="AN191" s="227" t="str">
        <f>IF(AM191="ja",VLOOKUP($B191,Miljö!$B$1:$J$479,MATCH("Typ av ursprungsspecificerad el   (Om inget värde anges används Nordisk residualmix, se inforuta) ()",Miljö!$B$1:$J$1,0),FALSE),IF(AM191="nej","Nordisk residualel",""))</f>
        <v>Nordisk residualel</v>
      </c>
      <c r="AO191" s="227">
        <f>IF(AM191="","",VLOOKUP($B191,Miljö!$B$1:$J$479,MATCH("Fossilandel för ursprungspecificerad el ()",Miljö!$B$1:$J$1,0),FALSE))</f>
        <v>0.43</v>
      </c>
      <c r="AP191" s="227">
        <f>IF(AM191="","",IFERROR(VLOOKUP($B191,Miljö!$B$1:$J$479,MATCH("Kärnkraftsandel för ursprungsspecificerad el ()",Miljö!$B$1:$J$1,0),FALSE)/1,0))</f>
        <v>0.40550000000000003</v>
      </c>
      <c r="AQ191" s="227">
        <f t="shared" si="13"/>
        <v>0.16450000000000004</v>
      </c>
      <c r="AR191" s="227"/>
      <c r="AS191" s="227" t="str">
        <f t="shared" si="14"/>
        <v>Nej</v>
      </c>
      <c r="AT191" s="227" t="str">
        <f>IF(AS191="ja",VLOOKUP($B191,Miljö!$B$1:$O$500,MATCH("Fossil andel i procent (%)",Miljö!$B$1:$O$1,0),FALSE)/100,"")</f>
        <v/>
      </c>
      <c r="AU191" s="227"/>
      <c r="AV191" s="227" t="str">
        <f t="shared" si="15"/>
        <v>Nej</v>
      </c>
      <c r="AW191" s="227" t="str">
        <f>IF(AV191="ja",VLOOKUP($B191,'Egen hetvattenprod'!$B$1:$AO$500,MATCH("Värmekälla till värmepumpar ()",'Egen hetvattenprod'!$B$1:$AO$1,0),FALSE),"")</f>
        <v/>
      </c>
      <c r="AX191" s="227"/>
      <c r="AY191" s="227" t="str">
        <f t="shared" si="16"/>
        <v>Nej</v>
      </c>
      <c r="AZ191" s="228" t="str">
        <f>IF($AY191="ja",(VLOOKUP($B191,'Egen hetvattenprod'!$B$1:$BX$550,MATCH(AZ$2,'Egen hetvattenprod'!$B$1:$BX$1,0),FALSE)+VLOOKUP($B191,Kraftvärmeprod!$B$1:$BX$550,MATCH(AZ$2,Kraftvärmeprod!$B$1:$BX$1,0),FALSE))/$AC191,"")</f>
        <v/>
      </c>
      <c r="BA191" s="228" t="str">
        <f>IF($AY191="ja",(VLOOKUP($B191,'Egen hetvattenprod'!$B$1:$BX$550,MATCH(BA$2,'Egen hetvattenprod'!$B$1:$BX$1,0),FALSE)+VLOOKUP($B191,Kraftvärmeprod!$B$1:$BX$550,MATCH(BA$2,Kraftvärmeprod!$B$1:$BX$1,0),FALSE))/$AC191,"")</f>
        <v/>
      </c>
      <c r="BB191" s="228" t="str">
        <f>IF($AY191="ja",(VLOOKUP($B191,'Egen hetvattenprod'!$B$1:$BX$550,MATCH(BB$2,'Egen hetvattenprod'!$B$1:$BX$1,0),FALSE)+VLOOKUP($B191,Kraftvärmeprod!$B$1:$BX$550,MATCH(BB$2,Kraftvärmeprod!$B$1:$BX$1,0),FALSE))/$AC191,"")</f>
        <v/>
      </c>
      <c r="BC191" s="228" t="str">
        <f>IF($AY191="ja",(VLOOKUP($B191,'Egen hetvattenprod'!$B$1:$BX$550,MATCH(BC$2,'Egen hetvattenprod'!$B$1:$BX$1,0),FALSE)+VLOOKUP($B191,Kraftvärmeprod!$B$1:$BX$550,MATCH(BC$2,Kraftvärmeprod!$B$1:$BX$1,0),FALSE))/$AC191,"")</f>
        <v/>
      </c>
      <c r="BD191" s="228" t="str">
        <f>IF($AY191="ja",(VLOOKUP($B191,'Egen hetvattenprod'!$B$1:$BX$550,MATCH(BD$2,'Egen hetvattenprod'!$B$1:$BX$1,0),FALSE)+VLOOKUP($B191,Kraftvärmeprod!$B$1:$BX$550,MATCH(BD$2,Kraftvärmeprod!$B$1:$BX$1,0),FALSE))/$AC191,"")</f>
        <v/>
      </c>
      <c r="BE191" s="227"/>
      <c r="BF191" s="227" t="str">
        <f t="shared" si="17"/>
        <v>Nej</v>
      </c>
      <c r="BG191" s="227" t="str">
        <f>IF($BF191="ja",VLOOKUP($B191,'Egen hetvattenprod'!$B$1:$BX$550,MATCH("Andelen klimatgaser med fossilt ursprung för avfall ()",'Egen hetvattenprod'!$B$1:$BX$1,0),FALSE),"")</f>
        <v/>
      </c>
      <c r="BH191" s="227" t="str">
        <f>IF($BF191="ja",VLOOKUP($B191,Kraftvärmeprod!$B$1:$BX$550,MATCH("Andelen klimatgaser med fossilt ursprung för avfall ()",Kraftvärmeprod!$B$1:$BX$1,0),FALSE),"")</f>
        <v/>
      </c>
      <c r="BI191" s="227" t="str">
        <f>IF($BF191="ja",VLOOKUP($B191,'Egen hetvattenprod'!$B$1:$BX$550,MATCH("Avfall (GWh)",'Egen hetvattenprod'!$B$1:$BX$1,0),FALSE),"")</f>
        <v/>
      </c>
      <c r="BJ191" s="227" t="str">
        <f>IF($BF191="ja",VLOOKUP($B191,'Slutlig allokering kvv'!$B$1:$BX$550,MATCH("Avfall (GWh)",'Slutlig allokering kvv'!$B$1:$BX$1,0),FALSE),"")</f>
        <v/>
      </c>
      <c r="BK191" s="227" t="str">
        <f>IF($BF191="ja",VLOOKUP($B191,'Köpt hetvatten'!$B$1:$BX$550,MATCH("Avfall i köpt hetvatten",'Köpt hetvatten'!$B$1:$BX$1,0),FALSE),"")</f>
        <v/>
      </c>
      <c r="BL191" s="227" t="str">
        <f>IF($BF191="ja",VLOOKUP($B191,'Egen hetvattenprod'!$B$1:$BX$550,MATCH("Värde enligt ovan. (%)",'Egen hetvattenprod'!$B$1:$BX$1,0),FALSE),"")</f>
        <v/>
      </c>
      <c r="BM191" s="227" t="str">
        <f>IF($BF191="ja",VLOOKUP($B191,Kraftvärmeprod!$B$1:$BX$550,MATCH("Värde enligt ovan. (%)",Kraftvärmeprod!$B$1:$BX$1,0),FALSE),"")</f>
        <v/>
      </c>
      <c r="BN191" s="227"/>
      <c r="BO191" s="227"/>
      <c r="BP191" s="227"/>
      <c r="BQ191" s="227" t="str">
        <f>IF($BF191="ja",VLOOKUP($B191,'Egen hetvattenprod'!$B$1:$BX$550,MATCH("Tillförd olja (fossil) vid avfallsförbränning (GWh)",'Egen hetvattenprod'!$B$1:$BX$1,0),FALSE),"")</f>
        <v/>
      </c>
      <c r="BR191" s="227" t="str">
        <f>IF($BF191="ja",VLOOKUP($B191,Kraftvärmeprod!$B$1:$BX$550,MATCH("Tillförd olja (fossil) vid avfallsförbränning (GWh)",Kraftvärmeprod!$B$1:$BX$1,0),FALSE),"")</f>
        <v/>
      </c>
      <c r="BS191" s="227"/>
      <c r="BT191" s="227"/>
      <c r="BU191" s="227"/>
    </row>
    <row r="192" spans="1:73" x14ac:dyDescent="0.25">
      <c r="A192" s="121" t="str">
        <f>'Miljövärden för publ företag'!B195</f>
        <v>Njudung Energi Vetlanda AB</v>
      </c>
      <c r="B192" s="121" t="str">
        <f>'Miljövärden för publ företag'!C195</f>
        <v>Vetlanda</v>
      </c>
      <c r="C192" s="173">
        <f>IFERROR(VLOOKUP($B192,Totalt!$B$1:$AQ$554,MATCH(C$2,Totalt!$B$1:$AQ$1,0),FALSE),"")</f>
        <v>0</v>
      </c>
      <c r="D192" s="173">
        <f>IFERROR(VLOOKUP($B192,Totalt!$B$1:$AQ$554,MATCH(D$2,Totalt!$B$1:$AQ$1,0),FALSE),"")</f>
        <v>2.6439699999999999</v>
      </c>
      <c r="E192" s="173">
        <f>IFERROR(VLOOKUP($B192,Totalt!$B$1:$AQ$554,MATCH(E$2,Totalt!$B$1:$AQ$1,0),FALSE),"")</f>
        <v>0</v>
      </c>
      <c r="F192" s="173">
        <f>IFERROR(VLOOKUP($B192,Totalt!$B$1:$AQ$554,MATCH(F$2,Totalt!$B$1:$AQ$1,0),FALSE),"")</f>
        <v>0</v>
      </c>
      <c r="G192" s="173">
        <f>IFERROR(VLOOKUP($B192,Totalt!$B$1:$AQ$554,MATCH(G$2,Totalt!$B$1:$AQ$1,0),FALSE),"")</f>
        <v>0</v>
      </c>
      <c r="H192" s="173">
        <f>IFERROR(VLOOKUP($B192,Totalt!$B$1:$AQ$554,MATCH(H$2,Totalt!$B$1:$AQ$1,0),FALSE),"")</f>
        <v>0</v>
      </c>
      <c r="I192" s="173">
        <f>IFERROR(VLOOKUP($B192,Totalt!$B$1:$AQ$554,MATCH(I$2,Totalt!$B$1:$AQ$1,0),FALSE),"")</f>
        <v>0</v>
      </c>
      <c r="J192" s="173">
        <f>IFERROR(VLOOKUP($B192,Totalt!$B$1:$AQ$554,MATCH(J$2,Totalt!$B$1:$AQ$1,0),FALSE),"")</f>
        <v>1</v>
      </c>
      <c r="K192" s="173">
        <f>IFERROR(VLOOKUP($B192,Totalt!$B$1:$AQ$554,MATCH(K$2,Totalt!$B$1:$AQ$1,0),FALSE),"")</f>
        <v>0</v>
      </c>
      <c r="L192" s="173">
        <f>IFERROR(VLOOKUP($B192,Totalt!$B$1:$AQ$554,MATCH(L$2,Totalt!$B$1:$AQ$1,0),FALSE),"")</f>
        <v>80.486400000000003</v>
      </c>
      <c r="M192" s="173">
        <f>IFERROR(VLOOKUP($B192,Totalt!$B$1:$AQ$554,MATCH(M$2,Totalt!$B$1:$AQ$1,0),FALSE),"")</f>
        <v>10.063000000000001</v>
      </c>
      <c r="N192" s="173">
        <f>IFERROR(VLOOKUP($B192,Totalt!$B$1:$AQ$554,MATCH(N$2,Totalt!$B$1:$AQ$1,0),FALSE),"")</f>
        <v>24.062999999999999</v>
      </c>
      <c r="O192" s="173">
        <f>IFERROR(VLOOKUP($B192,Totalt!$B$1:$AQ$554,MATCH(O$2,Totalt!$B$1:$AQ$1,0),FALSE),"")</f>
        <v>0</v>
      </c>
      <c r="P192" s="173">
        <f>IFERROR(VLOOKUP($B192,Totalt!$B$1:$AQ$554,MATCH(P$2,Totalt!$B$1:$AQ$1,0),FALSE),"")</f>
        <v>30.880400000000002</v>
      </c>
      <c r="Q192" s="173">
        <f>IFERROR(VLOOKUP($B192,Totalt!$B$1:$AQ$554,MATCH(Q$2,Totalt!$B$1:$AQ$1,0),FALSE),"")</f>
        <v>2.4705900000000001</v>
      </c>
      <c r="R192" s="173">
        <f>IFERROR(VLOOKUP($B192,Totalt!$B$1:$AQ$554,MATCH(R$2,Totalt!$B$1:$AQ$1,0),FALSE),"")</f>
        <v>0</v>
      </c>
      <c r="S192" s="173">
        <f>IFERROR(VLOOKUP($B192,Totalt!$B$1:$AQ$554,MATCH(S$2,Totalt!$B$1:$AQ$1,0),FALSE),"")</f>
        <v>0</v>
      </c>
      <c r="T192" s="173">
        <f>IFERROR(VLOOKUP($B192,Totalt!$B$1:$AQ$554,MATCH(T$2,Totalt!$B$1:$AQ$1,0),FALSE),"")</f>
        <v>0</v>
      </c>
      <c r="U192" s="173">
        <f>IFERROR(VLOOKUP($B192,Totalt!$B$1:$AQ$554,MATCH(U$2,Totalt!$B$1:$AQ$1,0),FALSE),"")</f>
        <v>0</v>
      </c>
      <c r="V192" s="173">
        <f>IFERROR(VLOOKUP($B192,Totalt!$B$1:$AQ$554,MATCH(V$2,Totalt!$B$1:$AQ$1,0),FALSE),"")</f>
        <v>0</v>
      </c>
      <c r="W192" s="173">
        <f>IFERROR(VLOOKUP($B192,Totalt!$B$1:$AQ$554,MATCH(W$2,Totalt!$B$1:$AQ$1,0),FALSE),"")</f>
        <v>0</v>
      </c>
      <c r="X192" s="173">
        <f>IFERROR(VLOOKUP($B192,Totalt!$B$1:$AQ$554,MATCH(X$2,Totalt!$B$1:$AQ$1,0),FALSE),"")</f>
        <v>0</v>
      </c>
      <c r="Y192" s="173">
        <f>IFERROR(VLOOKUP($B192,Totalt!$B$1:$AQ$554,MATCH(Y$2,Totalt!$B$1:$AQ$1,0),FALSE),"")</f>
        <v>0</v>
      </c>
      <c r="Z192" s="173">
        <f>IFERROR(VLOOKUP($B192,Totalt!$B$1:$AQ$554,MATCH(Z$2,Totalt!$B$1:$AQ$1,0),FALSE),"")</f>
        <v>0</v>
      </c>
      <c r="AA192" s="173">
        <f>IFERROR(VLOOKUP($B192,Totalt!$B$1:$AQ$554,MATCH(AA$2,Totalt!$B$1:$AQ$1,0),FALSE),"")</f>
        <v>0</v>
      </c>
      <c r="AB192" s="173">
        <f>IFERROR(VLOOKUP($B192,Totalt!$B$1:$AQ$554,MATCH(AB$2,Totalt!$B$1:$AQ$1,0),FALSE),"")</f>
        <v>0</v>
      </c>
      <c r="AC192" s="173">
        <f>IFERROR(VLOOKUP($B192,Totalt!$B$1:$AQ$554,MATCH(AC$2,Totalt!$B$1:$AQ$1,0),FALSE),"")</f>
        <v>20.6</v>
      </c>
      <c r="AD192" s="173">
        <f>IFERROR(VLOOKUP($B192,Totalt!$B$1:$AQ$554,MATCH(AD$2,Totalt!$B$1:$AQ$1,0),FALSE),"")</f>
        <v>0</v>
      </c>
      <c r="AE192" s="173">
        <f>IFERROR(VLOOKUP($B192,Totalt!$B$1:$AQ$554,MATCH(AE$2,Totalt!$B$1:$AQ$1,0),FALSE),"")</f>
        <v>0</v>
      </c>
      <c r="AF192" s="173">
        <f>IFERROR(VLOOKUP($B192,Totalt!$B$1:$AQ$554,MATCH(AF$2,Totalt!$B$1:$AQ$1,0),FALSE),"")</f>
        <v>3.8340000000000001</v>
      </c>
      <c r="AG192" s="173">
        <f>IFERROR(VLOOKUP($B192,Totalt!$B$1:$AQ$554,MATCH(AG$2,Totalt!$B$1:$AQ$1,0),FALSE),"")</f>
        <v>0</v>
      </c>
      <c r="AI192" s="226">
        <f t="shared" si="12"/>
        <v>176.04136</v>
      </c>
      <c r="AJ192" s="226">
        <f>IF(ISERROR(1/VLOOKUP($B192,Leveranser!$B$1:$S$500,MATCH("såld värme (gwh)",Leveranser!$B$1:$S$1,0),FALSE)),"",VLOOKUP($B192,Leveranser!$B$1:$S$500,MATCH("såld värme (gwh)",Leveranser!$B$1:$S$1,0),FALSE))</f>
        <v>127.8</v>
      </c>
      <c r="AM192" s="227" t="str">
        <f>IF(B192&lt;&gt;"",IF(VLOOKUP($B192,Totalt!$B$1:$AQ$554,MATCH("Kvalitetsgranskad:",Totalt!$B$1:$AQ$1,0),FALSE)="ja",VLOOKUP($B192,Miljö!$B$1:$AG$479,MATCH(AM$2,Miljö!$B$1:$AK$1,0),FALSE),""),"")</f>
        <v>Ja</v>
      </c>
      <c r="AN192" s="227" t="str">
        <f>IF(AM192="ja",VLOOKUP($B192,Miljö!$B$1:$J$479,MATCH("Typ av ursprungsspecificerad el   (Om inget värde anges används Nordisk residualmix, se inforuta) ()",Miljö!$B$1:$J$1,0),FALSE),IF(AM192="nej","Nordisk residualel",""))</f>
        <v>'-'</v>
      </c>
      <c r="AO192" s="227">
        <f>IF(AM192="","",VLOOKUP($B192,Miljö!$B$1:$J$479,MATCH("Fossilandel för ursprungspecificerad el ()",Miljö!$B$1:$J$1,0),FALSE))</f>
        <v>0.43</v>
      </c>
      <c r="AP192" s="227">
        <f>IF(AM192="","",IFERROR(VLOOKUP($B192,Miljö!$B$1:$J$479,MATCH("Kärnkraftsandel för ursprungsspecificerad el ()",Miljö!$B$1:$J$1,0),FALSE)/1,0))</f>
        <v>0.40550000000000003</v>
      </c>
      <c r="AQ192" s="227">
        <f t="shared" si="13"/>
        <v>0.16450000000000004</v>
      </c>
      <c r="AR192" s="227"/>
      <c r="AS192" s="227" t="str">
        <f t="shared" si="14"/>
        <v>Nej</v>
      </c>
      <c r="AT192" s="227" t="str">
        <f>IF(AS192="ja",VLOOKUP($B192,Miljö!$B$1:$O$500,MATCH("Fossil andel i procent (%)",Miljö!$B$1:$O$1,0),FALSE)/100,"")</f>
        <v/>
      </c>
      <c r="AU192" s="227"/>
      <c r="AV192" s="227" t="str">
        <f t="shared" si="15"/>
        <v>Nej</v>
      </c>
      <c r="AW192" s="227" t="str">
        <f>IF(AV192="ja",VLOOKUP($B192,'Egen hetvattenprod'!$B$1:$AO$500,MATCH("Värmekälla till värmepumpar ()",'Egen hetvattenprod'!$B$1:$AO$1,0),FALSE),"")</f>
        <v/>
      </c>
      <c r="AX192" s="227"/>
      <c r="AY192" s="227" t="str">
        <f t="shared" si="16"/>
        <v>Ja</v>
      </c>
      <c r="AZ192" s="228">
        <f>IF($AY192="ja",(VLOOKUP($B192,'Egen hetvattenprod'!$B$1:$BX$550,MATCH(AZ$2,'Egen hetvattenprod'!$B$1:$BX$1,0),FALSE)+VLOOKUP($B192,Kraftvärmeprod!$B$1:$BX$550,MATCH(AZ$2,Kraftvärmeprod!$B$1:$BX$1,0),FALSE))/$AC192,"")</f>
        <v>1</v>
      </c>
      <c r="BA192" s="228">
        <f>IF($AY192="ja",(VLOOKUP($B192,'Egen hetvattenprod'!$B$1:$BX$550,MATCH(BA$2,'Egen hetvattenprod'!$B$1:$BX$1,0),FALSE)+VLOOKUP($B192,Kraftvärmeprod!$B$1:$BX$550,MATCH(BA$2,Kraftvärmeprod!$B$1:$BX$1,0),FALSE))/$AC192,"")</f>
        <v>0</v>
      </c>
      <c r="BB192" s="228">
        <f>IF($AY192="ja",(VLOOKUP($B192,'Egen hetvattenprod'!$B$1:$BX$550,MATCH(BB$2,'Egen hetvattenprod'!$B$1:$BX$1,0),FALSE)+VLOOKUP($B192,Kraftvärmeprod!$B$1:$BX$550,MATCH(BB$2,Kraftvärmeprod!$B$1:$BX$1,0),FALSE))/$AC192,"")</f>
        <v>0</v>
      </c>
      <c r="BC192" s="228">
        <f>IF($AY192="ja",(VLOOKUP($B192,'Egen hetvattenprod'!$B$1:$BX$550,MATCH(BC$2,'Egen hetvattenprod'!$B$1:$BX$1,0),FALSE)+VLOOKUP($B192,Kraftvärmeprod!$B$1:$BX$550,MATCH(BC$2,Kraftvärmeprod!$B$1:$BX$1,0),FALSE))/$AC192,"")</f>
        <v>0</v>
      </c>
      <c r="BD192" s="228">
        <f>IF($AY192="ja",(VLOOKUP($B192,'Egen hetvattenprod'!$B$1:$BX$550,MATCH(BD$2,'Egen hetvattenprod'!$B$1:$BX$1,0),FALSE)+VLOOKUP($B192,Kraftvärmeprod!$B$1:$BX$550,MATCH(BD$2,Kraftvärmeprod!$B$1:$BX$1,0),FALSE))/$AC192,"")</f>
        <v>0</v>
      </c>
      <c r="BE192" s="227"/>
      <c r="BF192" s="227" t="str">
        <f t="shared" si="17"/>
        <v>Nej</v>
      </c>
      <c r="BG192" s="227" t="str">
        <f>IF($BF192="ja",VLOOKUP($B192,'Egen hetvattenprod'!$B$1:$BX$550,MATCH("Andelen klimatgaser med fossilt ursprung för avfall ()",'Egen hetvattenprod'!$B$1:$BX$1,0),FALSE),"")</f>
        <v/>
      </c>
      <c r="BH192" s="227" t="str">
        <f>IF($BF192="ja",VLOOKUP($B192,Kraftvärmeprod!$B$1:$BX$550,MATCH("Andelen klimatgaser med fossilt ursprung för avfall ()",Kraftvärmeprod!$B$1:$BX$1,0),FALSE),"")</f>
        <v/>
      </c>
      <c r="BI192" s="227" t="str">
        <f>IF($BF192="ja",VLOOKUP($B192,'Egen hetvattenprod'!$B$1:$BX$550,MATCH("Avfall (GWh)",'Egen hetvattenprod'!$B$1:$BX$1,0),FALSE),"")</f>
        <v/>
      </c>
      <c r="BJ192" s="227" t="str">
        <f>IF($BF192="ja",VLOOKUP($B192,'Slutlig allokering kvv'!$B$1:$BX$550,MATCH("Avfall (GWh)",'Slutlig allokering kvv'!$B$1:$BX$1,0),FALSE),"")</f>
        <v/>
      </c>
      <c r="BK192" s="227" t="str">
        <f>IF($BF192="ja",VLOOKUP($B192,'Köpt hetvatten'!$B$1:$BX$550,MATCH("Avfall i köpt hetvatten",'Köpt hetvatten'!$B$1:$BX$1,0),FALSE),"")</f>
        <v/>
      </c>
      <c r="BL192" s="227" t="str">
        <f>IF($BF192="ja",VLOOKUP($B192,'Egen hetvattenprod'!$B$1:$BX$550,MATCH("Värde enligt ovan. (%)",'Egen hetvattenprod'!$B$1:$BX$1,0),FALSE),"")</f>
        <v/>
      </c>
      <c r="BM192" s="227" t="str">
        <f>IF($BF192="ja",VLOOKUP($B192,Kraftvärmeprod!$B$1:$BX$550,MATCH("Värde enligt ovan. (%)",Kraftvärmeprod!$B$1:$BX$1,0),FALSE),"")</f>
        <v/>
      </c>
      <c r="BN192" s="227"/>
      <c r="BO192" s="227"/>
      <c r="BP192" s="227"/>
      <c r="BQ192" s="227" t="str">
        <f>IF($BF192="ja",VLOOKUP($B192,'Egen hetvattenprod'!$B$1:$BX$550,MATCH("Tillförd olja (fossil) vid avfallsförbränning (GWh)",'Egen hetvattenprod'!$B$1:$BX$1,0),FALSE),"")</f>
        <v/>
      </c>
      <c r="BR192" s="227" t="str">
        <f>IF($BF192="ja",VLOOKUP($B192,Kraftvärmeprod!$B$1:$BX$550,MATCH("Tillförd olja (fossil) vid avfallsförbränning (GWh)",Kraftvärmeprod!$B$1:$BX$1,0),FALSE),"")</f>
        <v/>
      </c>
      <c r="BS192" s="227"/>
      <c r="BT192" s="227"/>
      <c r="BU192" s="227"/>
    </row>
    <row r="193" spans="1:73" x14ac:dyDescent="0.25">
      <c r="A193" s="121" t="str">
        <f>'Miljövärden för publ företag'!B196</f>
        <v>Norrenergi AB</v>
      </c>
      <c r="B193" s="121" t="str">
        <f>'Miljövärden för publ företag'!C196</f>
        <v>Sundbyberg-Solna</v>
      </c>
      <c r="C193" s="173">
        <f>IFERROR(VLOOKUP($B193,Totalt!$B$1:$AQ$554,MATCH(C$2,Totalt!$B$1:$AQ$1,0),FALSE),"")</f>
        <v>0</v>
      </c>
      <c r="D193" s="173">
        <f>IFERROR(VLOOKUP($B193,Totalt!$B$1:$AQ$554,MATCH(D$2,Totalt!$B$1:$AQ$1,0),FALSE),"")</f>
        <v>2.5499999999999998</v>
      </c>
      <c r="E193" s="173">
        <f>IFERROR(VLOOKUP($B193,Totalt!$B$1:$AQ$554,MATCH(E$2,Totalt!$B$1:$AQ$1,0),FALSE),"")</f>
        <v>0</v>
      </c>
      <c r="F193" s="173">
        <f>IFERROR(VLOOKUP($B193,Totalt!$B$1:$AQ$554,MATCH(F$2,Totalt!$B$1:$AQ$1,0),FALSE),"")</f>
        <v>5.54</v>
      </c>
      <c r="G193" s="173">
        <f>IFERROR(VLOOKUP($B193,Totalt!$B$1:$AQ$554,MATCH(G$2,Totalt!$B$1:$AQ$1,0),FALSE),"")</f>
        <v>0</v>
      </c>
      <c r="H193" s="173">
        <f>IFERROR(VLOOKUP($B193,Totalt!$B$1:$AQ$554,MATCH(H$2,Totalt!$B$1:$AQ$1,0),FALSE),"")</f>
        <v>0</v>
      </c>
      <c r="I193" s="173">
        <f>IFERROR(VLOOKUP($B193,Totalt!$B$1:$AQ$554,MATCH(I$2,Totalt!$B$1:$AQ$1,0),FALSE),"")</f>
        <v>0</v>
      </c>
      <c r="J193" s="173">
        <f>IFERROR(VLOOKUP($B193,Totalt!$B$1:$AQ$554,MATCH(J$2,Totalt!$B$1:$AQ$1,0),FALSE),"")</f>
        <v>0</v>
      </c>
      <c r="K193" s="173">
        <f>IFERROR(VLOOKUP($B193,Totalt!$B$1:$AQ$554,MATCH(K$2,Totalt!$B$1:$AQ$1,0),FALSE),"")</f>
        <v>0</v>
      </c>
      <c r="L193" s="173">
        <f>IFERROR(VLOOKUP($B193,Totalt!$B$1:$AQ$554,MATCH(L$2,Totalt!$B$1:$AQ$1,0),FALSE),"")</f>
        <v>0</v>
      </c>
      <c r="M193" s="173">
        <f>IFERROR(VLOOKUP($B193,Totalt!$B$1:$AQ$554,MATCH(M$2,Totalt!$B$1:$AQ$1,0),FALSE),"")</f>
        <v>0</v>
      </c>
      <c r="N193" s="173">
        <f>IFERROR(VLOOKUP($B193,Totalt!$B$1:$AQ$554,MATCH(N$2,Totalt!$B$1:$AQ$1,0),FALSE),"")</f>
        <v>0</v>
      </c>
      <c r="O193" s="173">
        <f>IFERROR(VLOOKUP($B193,Totalt!$B$1:$AQ$554,MATCH(O$2,Totalt!$B$1:$AQ$1,0),FALSE),"")</f>
        <v>0</v>
      </c>
      <c r="P193" s="173">
        <f>IFERROR(VLOOKUP($B193,Totalt!$B$1:$AQ$554,MATCH(P$2,Totalt!$B$1:$AQ$1,0),FALSE),"")</f>
        <v>0</v>
      </c>
      <c r="Q193" s="173">
        <f>IFERROR(VLOOKUP($B193,Totalt!$B$1:$AQ$554,MATCH(Q$2,Totalt!$B$1:$AQ$1,0),FALSE),"")</f>
        <v>0</v>
      </c>
      <c r="R193" s="173">
        <f>IFERROR(VLOOKUP($B193,Totalt!$B$1:$AQ$554,MATCH(R$2,Totalt!$B$1:$AQ$1,0),FALSE),"")</f>
        <v>0</v>
      </c>
      <c r="S193" s="173">
        <f>IFERROR(VLOOKUP($B193,Totalt!$B$1:$AQ$554,MATCH(S$2,Totalt!$B$1:$AQ$1,0),FALSE),"")</f>
        <v>0</v>
      </c>
      <c r="T193" s="173">
        <f>IFERROR(VLOOKUP($B193,Totalt!$B$1:$AQ$554,MATCH(T$2,Totalt!$B$1:$AQ$1,0),FALSE),"")</f>
        <v>192.54</v>
      </c>
      <c r="U193" s="173">
        <f>IFERROR(VLOOKUP($B193,Totalt!$B$1:$AQ$554,MATCH(U$2,Totalt!$B$1:$AQ$1,0),FALSE),"")</f>
        <v>0</v>
      </c>
      <c r="V193" s="173">
        <f>IFERROR(VLOOKUP($B193,Totalt!$B$1:$AQ$554,MATCH(V$2,Totalt!$B$1:$AQ$1,0),FALSE),"")</f>
        <v>5.15</v>
      </c>
      <c r="W193" s="173">
        <f>IFERROR(VLOOKUP($B193,Totalt!$B$1:$AQ$554,MATCH(W$2,Totalt!$B$1:$AQ$1,0),FALSE),"")</f>
        <v>2.58</v>
      </c>
      <c r="X193" s="173">
        <f>IFERROR(VLOOKUP($B193,Totalt!$B$1:$AQ$554,MATCH(X$2,Totalt!$B$1:$AQ$1,0),FALSE),"")</f>
        <v>0</v>
      </c>
      <c r="Y193" s="173">
        <f>IFERROR(VLOOKUP($B193,Totalt!$B$1:$AQ$554,MATCH(Y$2,Totalt!$B$1:$AQ$1,0),FALSE),"")</f>
        <v>0</v>
      </c>
      <c r="Z193" s="173">
        <f>IFERROR(VLOOKUP($B193,Totalt!$B$1:$AQ$554,MATCH(Z$2,Totalt!$B$1:$AQ$1,0),FALSE),"")</f>
        <v>0</v>
      </c>
      <c r="AA193" s="173">
        <f>IFERROR(VLOOKUP($B193,Totalt!$B$1:$AQ$554,MATCH(AA$2,Totalt!$B$1:$AQ$1,0),FALSE),"")</f>
        <v>147.62</v>
      </c>
      <c r="AB193" s="173">
        <f>IFERROR(VLOOKUP($B193,Totalt!$B$1:$AQ$554,MATCH(AB$2,Totalt!$B$1:$AQ$1,0),FALSE),"")</f>
        <v>282.79000000000002</v>
      </c>
      <c r="AC193" s="173">
        <f>IFERROR(VLOOKUP($B193,Totalt!$B$1:$AQ$554,MATCH(AC$2,Totalt!$B$1:$AQ$1,0),FALSE),"")</f>
        <v>0</v>
      </c>
      <c r="AD193" s="173">
        <f>IFERROR(VLOOKUP($B193,Totalt!$B$1:$AQ$554,MATCH(AD$2,Totalt!$B$1:$AQ$1,0),FALSE),"")</f>
        <v>0.13500000000000001</v>
      </c>
      <c r="AE193" s="173">
        <f>IFERROR(VLOOKUP($B193,Totalt!$B$1:$AQ$554,MATCH(AE$2,Totalt!$B$1:$AQ$1,0),FALSE),"")</f>
        <v>0</v>
      </c>
      <c r="AF193" s="173">
        <f>IFERROR(VLOOKUP($B193,Totalt!$B$1:$AQ$554,MATCH(AF$2,Totalt!$B$1:$AQ$1,0),FALSE),"")</f>
        <v>15.398</v>
      </c>
      <c r="AG193" s="173">
        <f>IFERROR(VLOOKUP($B193,Totalt!$B$1:$AQ$554,MATCH(AG$2,Totalt!$B$1:$AQ$1,0),FALSE),"")</f>
        <v>443.57</v>
      </c>
      <c r="AI193" s="226">
        <f t="shared" si="12"/>
        <v>1097.873</v>
      </c>
      <c r="AJ193" s="226">
        <f>IF(ISERROR(1/VLOOKUP($B193,Leveranser!$B$1:$S$500,MATCH("såld värme (gwh)",Leveranser!$B$1:$S$1,0),FALSE)),"",VLOOKUP($B193,Leveranser!$B$1:$S$500,MATCH("såld värme (gwh)",Leveranser!$B$1:$S$1,0),FALSE))</f>
        <v>1002</v>
      </c>
      <c r="AM193" s="227" t="str">
        <f>IF(B193&lt;&gt;"",IF(VLOOKUP($B193,Totalt!$B$1:$AQ$554,MATCH("Kvalitetsgranskad:",Totalt!$B$1:$AQ$1,0),FALSE)="ja",VLOOKUP($B193,Miljö!$B$1:$AG$479,MATCH(AM$2,Miljö!$B$1:$AK$1,0),FALSE),""),"")</f>
        <v>Ja</v>
      </c>
      <c r="AN193" s="227" t="str">
        <f>IF(AM193="ja",VLOOKUP($B193,Miljö!$B$1:$J$479,MATCH("Typ av ursprungsspecificerad el   (Om inget värde anges används Nordisk residualmix, se inforuta) ()",Miljö!$B$1:$J$1,0),FALSE),IF(AM193="nej","Nordisk residualel",""))</f>
        <v>'Bra Miljöval El'</v>
      </c>
      <c r="AO193" s="227">
        <f>IF(AM193="","",VLOOKUP($B193,Miljö!$B$1:$J$479,MATCH("Fossilandel för ursprungspecificerad el ()",Miljö!$B$1:$J$1,0),FALSE))</f>
        <v>0</v>
      </c>
      <c r="AP193" s="227">
        <f>IF(AM193="","",IFERROR(VLOOKUP($B193,Miljö!$B$1:$J$479,MATCH("Kärnkraftsandel för ursprungsspecificerad el ()",Miljö!$B$1:$J$1,0),FALSE)/1,0))</f>
        <v>0</v>
      </c>
      <c r="AQ193" s="227">
        <f t="shared" si="13"/>
        <v>1</v>
      </c>
      <c r="AR193" s="227"/>
      <c r="AS193" s="227" t="str">
        <f t="shared" si="14"/>
        <v>Ja</v>
      </c>
      <c r="AT193" s="227">
        <f>IF(AS193="ja",VLOOKUP($B193,Miljö!$B$1:$O$500,MATCH("Fossil andel i procent (%)",Miljö!$B$1:$O$1,0),FALSE)/100,"")</f>
        <v>0</v>
      </c>
      <c r="AU193" s="227"/>
      <c r="AV193" s="227" t="str">
        <f t="shared" si="15"/>
        <v>Ja</v>
      </c>
      <c r="AW193" s="227" t="str">
        <f>IF(AV193="ja",VLOOKUP($B193,'Egen hetvattenprod'!$B$1:$AO$500,MATCH("Värmekälla till värmepumpar ()",'Egen hetvattenprod'!$B$1:$AO$1,0),FALSE),"")</f>
        <v>Renat avloppsvatten</v>
      </c>
      <c r="AX193" s="227"/>
      <c r="AY193" s="227" t="str">
        <f t="shared" si="16"/>
        <v>Nej</v>
      </c>
      <c r="AZ193" s="228" t="str">
        <f>IF($AY193="ja",(VLOOKUP($B193,'Egen hetvattenprod'!$B$1:$BX$550,MATCH(AZ$2,'Egen hetvattenprod'!$B$1:$BX$1,0),FALSE)+VLOOKUP($B193,Kraftvärmeprod!$B$1:$BX$550,MATCH(AZ$2,Kraftvärmeprod!$B$1:$BX$1,0),FALSE))/$AC193,"")</f>
        <v/>
      </c>
      <c r="BA193" s="228" t="str">
        <f>IF($AY193="ja",(VLOOKUP($B193,'Egen hetvattenprod'!$B$1:$BX$550,MATCH(BA$2,'Egen hetvattenprod'!$B$1:$BX$1,0),FALSE)+VLOOKUP($B193,Kraftvärmeprod!$B$1:$BX$550,MATCH(BA$2,Kraftvärmeprod!$B$1:$BX$1,0),FALSE))/$AC193,"")</f>
        <v/>
      </c>
      <c r="BB193" s="228" t="str">
        <f>IF($AY193="ja",(VLOOKUP($B193,'Egen hetvattenprod'!$B$1:$BX$550,MATCH(BB$2,'Egen hetvattenprod'!$B$1:$BX$1,0),FALSE)+VLOOKUP($B193,Kraftvärmeprod!$B$1:$BX$550,MATCH(BB$2,Kraftvärmeprod!$B$1:$BX$1,0),FALSE))/$AC193,"")</f>
        <v/>
      </c>
      <c r="BC193" s="228" t="str">
        <f>IF($AY193="ja",(VLOOKUP($B193,'Egen hetvattenprod'!$B$1:$BX$550,MATCH(BC$2,'Egen hetvattenprod'!$B$1:$BX$1,0),FALSE)+VLOOKUP($B193,Kraftvärmeprod!$B$1:$BX$550,MATCH(BC$2,Kraftvärmeprod!$B$1:$BX$1,0),FALSE))/$AC193,"")</f>
        <v/>
      </c>
      <c r="BD193" s="228" t="str">
        <f>IF($AY193="ja",(VLOOKUP($B193,'Egen hetvattenprod'!$B$1:$BX$550,MATCH(BD$2,'Egen hetvattenprod'!$B$1:$BX$1,0),FALSE)+VLOOKUP($B193,Kraftvärmeprod!$B$1:$BX$550,MATCH(BD$2,Kraftvärmeprod!$B$1:$BX$1,0),FALSE))/$AC193,"")</f>
        <v/>
      </c>
      <c r="BE193" s="227"/>
      <c r="BF193" s="227" t="str">
        <f t="shared" si="17"/>
        <v>Nej</v>
      </c>
      <c r="BG193" s="227" t="str">
        <f>IF($BF193="ja",VLOOKUP($B193,'Egen hetvattenprod'!$B$1:$BX$550,MATCH("Andelen klimatgaser med fossilt ursprung för avfall ()",'Egen hetvattenprod'!$B$1:$BX$1,0),FALSE),"")</f>
        <v/>
      </c>
      <c r="BH193" s="227" t="str">
        <f>IF($BF193="ja",VLOOKUP($B193,Kraftvärmeprod!$B$1:$BX$550,MATCH("Andelen klimatgaser med fossilt ursprung för avfall ()",Kraftvärmeprod!$B$1:$BX$1,0),FALSE),"")</f>
        <v/>
      </c>
      <c r="BI193" s="227" t="str">
        <f>IF($BF193="ja",VLOOKUP($B193,'Egen hetvattenprod'!$B$1:$BX$550,MATCH("Avfall (GWh)",'Egen hetvattenprod'!$B$1:$BX$1,0),FALSE),"")</f>
        <v/>
      </c>
      <c r="BJ193" s="227" t="str">
        <f>IF($BF193="ja",VLOOKUP($B193,'Slutlig allokering kvv'!$B$1:$BX$550,MATCH("Avfall (GWh)",'Slutlig allokering kvv'!$B$1:$BX$1,0),FALSE),"")</f>
        <v/>
      </c>
      <c r="BK193" s="227" t="str">
        <f>IF($BF193="ja",VLOOKUP($B193,'Köpt hetvatten'!$B$1:$BX$550,MATCH("Avfall i köpt hetvatten",'Köpt hetvatten'!$B$1:$BX$1,0),FALSE),"")</f>
        <v/>
      </c>
      <c r="BL193" s="227" t="str">
        <f>IF($BF193="ja",VLOOKUP($B193,'Egen hetvattenprod'!$B$1:$BX$550,MATCH("Värde enligt ovan. (%)",'Egen hetvattenprod'!$B$1:$BX$1,0),FALSE),"")</f>
        <v/>
      </c>
      <c r="BM193" s="227" t="str">
        <f>IF($BF193="ja",VLOOKUP($B193,Kraftvärmeprod!$B$1:$BX$550,MATCH("Värde enligt ovan. (%)",Kraftvärmeprod!$B$1:$BX$1,0),FALSE),"")</f>
        <v/>
      </c>
      <c r="BN193" s="227"/>
      <c r="BO193" s="227"/>
      <c r="BP193" s="227"/>
      <c r="BQ193" s="227" t="str">
        <f>IF($BF193="ja",VLOOKUP($B193,'Egen hetvattenprod'!$B$1:$BX$550,MATCH("Tillförd olja (fossil) vid avfallsförbränning (GWh)",'Egen hetvattenprod'!$B$1:$BX$1,0),FALSE),"")</f>
        <v/>
      </c>
      <c r="BR193" s="227" t="str">
        <f>IF($BF193="ja",VLOOKUP($B193,Kraftvärmeprod!$B$1:$BX$550,MATCH("Tillförd olja (fossil) vid avfallsförbränning (GWh)",Kraftvärmeprod!$B$1:$BX$1,0),FALSE),"")</f>
        <v/>
      </c>
      <c r="BS193" s="227"/>
      <c r="BT193" s="227"/>
      <c r="BU193" s="227"/>
    </row>
    <row r="194" spans="1:73" x14ac:dyDescent="0.25">
      <c r="A194" s="121" t="str">
        <f>'Miljövärden för publ företag'!B197</f>
        <v>Norrtälje Energi AB</v>
      </c>
      <c r="B194" s="121" t="str">
        <f>'Miljövärden för publ företag'!C197</f>
        <v>Hallstavik</v>
      </c>
      <c r="C194" s="173">
        <f>IFERROR(VLOOKUP($B194,Totalt!$B$1:$AQ$554,MATCH(C$2,Totalt!$B$1:$AQ$1,0),FALSE),"")</f>
        <v>0</v>
      </c>
      <c r="D194" s="173">
        <f>IFERROR(VLOOKUP($B194,Totalt!$B$1:$AQ$554,MATCH(D$2,Totalt!$B$1:$AQ$1,0),FALSE),"")</f>
        <v>1E-3</v>
      </c>
      <c r="E194" s="173">
        <f>IFERROR(VLOOKUP($B194,Totalt!$B$1:$AQ$554,MATCH(E$2,Totalt!$B$1:$AQ$1,0),FALSE),"")</f>
        <v>0</v>
      </c>
      <c r="F194" s="173">
        <f>IFERROR(VLOOKUP($B194,Totalt!$B$1:$AQ$554,MATCH(F$2,Totalt!$B$1:$AQ$1,0),FALSE),"")</f>
        <v>0</v>
      </c>
      <c r="G194" s="173">
        <f>IFERROR(VLOOKUP($B194,Totalt!$B$1:$AQ$554,MATCH(G$2,Totalt!$B$1:$AQ$1,0),FALSE),"")</f>
        <v>0</v>
      </c>
      <c r="H194" s="173">
        <f>IFERROR(VLOOKUP($B194,Totalt!$B$1:$AQ$554,MATCH(H$2,Totalt!$B$1:$AQ$1,0),FALSE),"")</f>
        <v>0</v>
      </c>
      <c r="I194" s="173">
        <f>IFERROR(VLOOKUP($B194,Totalt!$B$1:$AQ$554,MATCH(I$2,Totalt!$B$1:$AQ$1,0),FALSE),"")</f>
        <v>0</v>
      </c>
      <c r="J194" s="173">
        <f>IFERROR(VLOOKUP($B194,Totalt!$B$1:$AQ$554,MATCH(J$2,Totalt!$B$1:$AQ$1,0),FALSE),"")</f>
        <v>0</v>
      </c>
      <c r="K194" s="173">
        <f>IFERROR(VLOOKUP($B194,Totalt!$B$1:$AQ$554,MATCH(K$2,Totalt!$B$1:$AQ$1,0),FALSE),"")</f>
        <v>0</v>
      </c>
      <c r="L194" s="173">
        <f>IFERROR(VLOOKUP($B194,Totalt!$B$1:$AQ$554,MATCH(L$2,Totalt!$B$1:$AQ$1,0),FALSE),"")</f>
        <v>0</v>
      </c>
      <c r="M194" s="173">
        <f>IFERROR(VLOOKUP($B194,Totalt!$B$1:$AQ$554,MATCH(M$2,Totalt!$B$1:$AQ$1,0),FALSE),"")</f>
        <v>0</v>
      </c>
      <c r="N194" s="173">
        <f>IFERROR(VLOOKUP($B194,Totalt!$B$1:$AQ$554,MATCH(N$2,Totalt!$B$1:$AQ$1,0),FALSE),"")</f>
        <v>0</v>
      </c>
      <c r="O194" s="173">
        <f>IFERROR(VLOOKUP($B194,Totalt!$B$1:$AQ$554,MATCH(O$2,Totalt!$B$1:$AQ$1,0),FALSE),"")</f>
        <v>0</v>
      </c>
      <c r="P194" s="173">
        <f>IFERROR(VLOOKUP($B194,Totalt!$B$1:$AQ$554,MATCH(P$2,Totalt!$B$1:$AQ$1,0),FALSE),"")</f>
        <v>0</v>
      </c>
      <c r="Q194" s="173">
        <f>IFERROR(VLOOKUP($B194,Totalt!$B$1:$AQ$554,MATCH(Q$2,Totalt!$B$1:$AQ$1,0),FALSE),"")</f>
        <v>0</v>
      </c>
      <c r="R194" s="173">
        <f>IFERROR(VLOOKUP($B194,Totalt!$B$1:$AQ$554,MATCH(R$2,Totalt!$B$1:$AQ$1,0),FALSE),"")</f>
        <v>15.46</v>
      </c>
      <c r="S194" s="173">
        <f>IFERROR(VLOOKUP($B194,Totalt!$B$1:$AQ$554,MATCH(S$2,Totalt!$B$1:$AQ$1,0),FALSE),"")</f>
        <v>0</v>
      </c>
      <c r="T194" s="173">
        <f>IFERROR(VLOOKUP($B194,Totalt!$B$1:$AQ$554,MATCH(T$2,Totalt!$B$1:$AQ$1,0),FALSE),"")</f>
        <v>0</v>
      </c>
      <c r="U194" s="173">
        <f>IFERROR(VLOOKUP($B194,Totalt!$B$1:$AQ$554,MATCH(U$2,Totalt!$B$1:$AQ$1,0),FALSE),"")</f>
        <v>0</v>
      </c>
      <c r="V194" s="173">
        <f>IFERROR(VLOOKUP($B194,Totalt!$B$1:$AQ$554,MATCH(V$2,Totalt!$B$1:$AQ$1,0),FALSE),"")</f>
        <v>0</v>
      </c>
      <c r="W194" s="173">
        <f>IFERROR(VLOOKUP($B194,Totalt!$B$1:$AQ$554,MATCH(W$2,Totalt!$B$1:$AQ$1,0),FALSE),"")</f>
        <v>0</v>
      </c>
      <c r="X194" s="173">
        <f>IFERROR(VLOOKUP($B194,Totalt!$B$1:$AQ$554,MATCH(X$2,Totalt!$B$1:$AQ$1,0),FALSE),"")</f>
        <v>0</v>
      </c>
      <c r="Y194" s="173">
        <f>IFERROR(VLOOKUP($B194,Totalt!$B$1:$AQ$554,MATCH(Y$2,Totalt!$B$1:$AQ$1,0),FALSE),"")</f>
        <v>0</v>
      </c>
      <c r="Z194" s="173">
        <f>IFERROR(VLOOKUP($B194,Totalt!$B$1:$AQ$554,MATCH(Z$2,Totalt!$B$1:$AQ$1,0),FALSE),"")</f>
        <v>0</v>
      </c>
      <c r="AA194" s="173">
        <f>IFERROR(VLOOKUP($B194,Totalt!$B$1:$AQ$554,MATCH(AA$2,Totalt!$B$1:$AQ$1,0),FALSE),"")</f>
        <v>0</v>
      </c>
      <c r="AB194" s="173">
        <f>IFERROR(VLOOKUP($B194,Totalt!$B$1:$AQ$554,MATCH(AB$2,Totalt!$B$1:$AQ$1,0),FALSE),"")</f>
        <v>0</v>
      </c>
      <c r="AC194" s="173">
        <f>IFERROR(VLOOKUP($B194,Totalt!$B$1:$AQ$554,MATCH(AC$2,Totalt!$B$1:$AQ$1,0),FALSE),"")</f>
        <v>0</v>
      </c>
      <c r="AD194" s="173">
        <f>IFERROR(VLOOKUP($B194,Totalt!$B$1:$AQ$554,MATCH(AD$2,Totalt!$B$1:$AQ$1,0),FALSE),"")</f>
        <v>4.5979999999999999</v>
      </c>
      <c r="AE194" s="173">
        <f>IFERROR(VLOOKUP($B194,Totalt!$B$1:$AQ$554,MATCH(AE$2,Totalt!$B$1:$AQ$1,0),FALSE),"")</f>
        <v>0</v>
      </c>
      <c r="AF194" s="173">
        <f>IFERROR(VLOOKUP($B194,Totalt!$B$1:$AQ$554,MATCH(AF$2,Totalt!$B$1:$AQ$1,0),FALSE),"")</f>
        <v>0.499</v>
      </c>
      <c r="AG194" s="173">
        <f>IFERROR(VLOOKUP($B194,Totalt!$B$1:$AQ$554,MATCH(AG$2,Totalt!$B$1:$AQ$1,0),FALSE),"")</f>
        <v>0</v>
      </c>
      <c r="AI194" s="226">
        <f t="shared" si="12"/>
        <v>20.558</v>
      </c>
      <c r="AJ194" s="226">
        <f>IF(ISERROR(1/VLOOKUP($B194,Leveranser!$B$1:$S$500,MATCH("såld värme (gwh)",Leveranser!$B$1:$S$1,0),FALSE)),"",VLOOKUP($B194,Leveranser!$B$1:$S$500,MATCH("såld värme (gwh)",Leveranser!$B$1:$S$1,0),FALSE))</f>
        <v>16.640999999999998</v>
      </c>
      <c r="AM194" s="227" t="str">
        <f>IF(B194&lt;&gt;"",IF(VLOOKUP($B194,Totalt!$B$1:$AQ$554,MATCH("Kvalitetsgranskad:",Totalt!$B$1:$AQ$1,0),FALSE)="ja",VLOOKUP($B194,Miljö!$B$1:$AG$479,MATCH(AM$2,Miljö!$B$1:$AK$1,0),FALSE),""),"")</f>
        <v>Ja</v>
      </c>
      <c r="AN194" s="227" t="str">
        <f>IF(AM194="ja",VLOOKUP($B194,Miljö!$B$1:$J$479,MATCH("Typ av ursprungsspecificerad el   (Om inget värde anges används Nordisk residualmix, se inforuta) ()",Miljö!$B$1:$J$1,0),FALSE),IF(AM194="nej","Nordisk residualel",""))</f>
        <v>'Vattenfall EPD 100%'</v>
      </c>
      <c r="AO194" s="227">
        <f>IF(AM194="","",VLOOKUP($B194,Miljö!$B$1:$J$479,MATCH("Fossilandel för ursprungspecificerad el ()",Miljö!$B$1:$J$1,0),FALSE))</f>
        <v>0</v>
      </c>
      <c r="AP194" s="227">
        <f>IF(AM194="","",IFERROR(VLOOKUP($B194,Miljö!$B$1:$J$479,MATCH("Kärnkraftsandel för ursprungsspecificerad el ()",Miljö!$B$1:$J$1,0),FALSE)/1,0))</f>
        <v>0</v>
      </c>
      <c r="AQ194" s="227">
        <f t="shared" si="13"/>
        <v>1</v>
      </c>
      <c r="AR194" s="227"/>
      <c r="AS194" s="227" t="str">
        <f t="shared" si="14"/>
        <v>Nej</v>
      </c>
      <c r="AT194" s="227" t="str">
        <f>IF(AS194="ja",VLOOKUP($B194,Miljö!$B$1:$O$500,MATCH("Fossil andel i procent (%)",Miljö!$B$1:$O$1,0),FALSE)/100,"")</f>
        <v/>
      </c>
      <c r="AU194" s="227"/>
      <c r="AV194" s="227" t="str">
        <f t="shared" si="15"/>
        <v>Nej</v>
      </c>
      <c r="AW194" s="227" t="str">
        <f>IF(AV194="ja",VLOOKUP($B194,'Egen hetvattenprod'!$B$1:$AO$500,MATCH("Värmekälla till värmepumpar ()",'Egen hetvattenprod'!$B$1:$AO$1,0),FALSE),"")</f>
        <v/>
      </c>
      <c r="AX194" s="227"/>
      <c r="AY194" s="227" t="str">
        <f t="shared" si="16"/>
        <v>Nej</v>
      </c>
      <c r="AZ194" s="228" t="str">
        <f>IF($AY194="ja",(VLOOKUP($B194,'Egen hetvattenprod'!$B$1:$BX$550,MATCH(AZ$2,'Egen hetvattenprod'!$B$1:$BX$1,0),FALSE)+VLOOKUP($B194,Kraftvärmeprod!$B$1:$BX$550,MATCH(AZ$2,Kraftvärmeprod!$B$1:$BX$1,0),FALSE))/$AC194,"")</f>
        <v/>
      </c>
      <c r="BA194" s="228" t="str">
        <f>IF($AY194="ja",(VLOOKUP($B194,'Egen hetvattenprod'!$B$1:$BX$550,MATCH(BA$2,'Egen hetvattenprod'!$B$1:$BX$1,0),FALSE)+VLOOKUP($B194,Kraftvärmeprod!$B$1:$BX$550,MATCH(BA$2,Kraftvärmeprod!$B$1:$BX$1,0),FALSE))/$AC194,"")</f>
        <v/>
      </c>
      <c r="BB194" s="228" t="str">
        <f>IF($AY194="ja",(VLOOKUP($B194,'Egen hetvattenprod'!$B$1:$BX$550,MATCH(BB$2,'Egen hetvattenprod'!$B$1:$BX$1,0),FALSE)+VLOOKUP($B194,Kraftvärmeprod!$B$1:$BX$550,MATCH(BB$2,Kraftvärmeprod!$B$1:$BX$1,0),FALSE))/$AC194,"")</f>
        <v/>
      </c>
      <c r="BC194" s="228" t="str">
        <f>IF($AY194="ja",(VLOOKUP($B194,'Egen hetvattenprod'!$B$1:$BX$550,MATCH(BC$2,'Egen hetvattenprod'!$B$1:$BX$1,0),FALSE)+VLOOKUP($B194,Kraftvärmeprod!$B$1:$BX$550,MATCH(BC$2,Kraftvärmeprod!$B$1:$BX$1,0),FALSE))/$AC194,"")</f>
        <v/>
      </c>
      <c r="BD194" s="228" t="str">
        <f>IF($AY194="ja",(VLOOKUP($B194,'Egen hetvattenprod'!$B$1:$BX$550,MATCH(BD$2,'Egen hetvattenprod'!$B$1:$BX$1,0),FALSE)+VLOOKUP($B194,Kraftvärmeprod!$B$1:$BX$550,MATCH(BD$2,Kraftvärmeprod!$B$1:$BX$1,0),FALSE))/$AC194,"")</f>
        <v/>
      </c>
      <c r="BE194" s="227"/>
      <c r="BF194" s="227" t="str">
        <f t="shared" si="17"/>
        <v>Nej</v>
      </c>
      <c r="BG194" s="227" t="str">
        <f>IF($BF194="ja",VLOOKUP($B194,'Egen hetvattenprod'!$B$1:$BX$550,MATCH("Andelen klimatgaser med fossilt ursprung för avfall ()",'Egen hetvattenprod'!$B$1:$BX$1,0),FALSE),"")</f>
        <v/>
      </c>
      <c r="BH194" s="227" t="str">
        <f>IF($BF194="ja",VLOOKUP($B194,Kraftvärmeprod!$B$1:$BX$550,MATCH("Andelen klimatgaser med fossilt ursprung för avfall ()",Kraftvärmeprod!$B$1:$BX$1,0),FALSE),"")</f>
        <v/>
      </c>
      <c r="BI194" s="227" t="str">
        <f>IF($BF194="ja",VLOOKUP($B194,'Egen hetvattenprod'!$B$1:$BX$550,MATCH("Avfall (GWh)",'Egen hetvattenprod'!$B$1:$BX$1,0),FALSE),"")</f>
        <v/>
      </c>
      <c r="BJ194" s="227" t="str">
        <f>IF($BF194="ja",VLOOKUP($B194,'Slutlig allokering kvv'!$B$1:$BX$550,MATCH("Avfall (GWh)",'Slutlig allokering kvv'!$B$1:$BX$1,0),FALSE),"")</f>
        <v/>
      </c>
      <c r="BK194" s="227" t="str">
        <f>IF($BF194="ja",VLOOKUP($B194,'Köpt hetvatten'!$B$1:$BX$550,MATCH("Avfall i köpt hetvatten",'Köpt hetvatten'!$B$1:$BX$1,0),FALSE),"")</f>
        <v/>
      </c>
      <c r="BL194" s="227" t="str">
        <f>IF($BF194="ja",VLOOKUP($B194,'Egen hetvattenprod'!$B$1:$BX$550,MATCH("Värde enligt ovan. (%)",'Egen hetvattenprod'!$B$1:$BX$1,0),FALSE),"")</f>
        <v/>
      </c>
      <c r="BM194" s="227" t="str">
        <f>IF($BF194="ja",VLOOKUP($B194,Kraftvärmeprod!$B$1:$BX$550,MATCH("Värde enligt ovan. (%)",Kraftvärmeprod!$B$1:$BX$1,0),FALSE),"")</f>
        <v/>
      </c>
      <c r="BN194" s="227"/>
      <c r="BO194" s="227"/>
      <c r="BP194" s="227"/>
      <c r="BQ194" s="227" t="str">
        <f>IF($BF194="ja",VLOOKUP($B194,'Egen hetvattenprod'!$B$1:$BX$550,MATCH("Tillförd olja (fossil) vid avfallsförbränning (GWh)",'Egen hetvattenprod'!$B$1:$BX$1,0),FALSE),"")</f>
        <v/>
      </c>
      <c r="BR194" s="227" t="str">
        <f>IF($BF194="ja",VLOOKUP($B194,Kraftvärmeprod!$B$1:$BX$550,MATCH("Tillförd olja (fossil) vid avfallsförbränning (GWh)",Kraftvärmeprod!$B$1:$BX$1,0),FALSE),"")</f>
        <v/>
      </c>
      <c r="BS194" s="227"/>
      <c r="BT194" s="227"/>
      <c r="BU194" s="227"/>
    </row>
    <row r="195" spans="1:73" x14ac:dyDescent="0.25">
      <c r="A195" s="121" t="str">
        <f>'Miljövärden för publ företag'!B198</f>
        <v>Norrtälje Energi AB</v>
      </c>
      <c r="B195" s="121" t="str">
        <f>'Miljövärden för publ företag'!C198</f>
        <v>Norrtälje</v>
      </c>
      <c r="C195" s="173">
        <f>IFERROR(VLOOKUP($B195,Totalt!$B$1:$AQ$554,MATCH(C$2,Totalt!$B$1:$AQ$1,0),FALSE),"")</f>
        <v>0</v>
      </c>
      <c r="D195" s="173">
        <f>IFERROR(VLOOKUP($B195,Totalt!$B$1:$AQ$554,MATCH(D$2,Totalt!$B$1:$AQ$1,0),FALSE),"")</f>
        <v>0.55300000000000005</v>
      </c>
      <c r="E195" s="173">
        <f>IFERROR(VLOOKUP($B195,Totalt!$B$1:$AQ$554,MATCH(E$2,Totalt!$B$1:$AQ$1,0),FALSE),"")</f>
        <v>0</v>
      </c>
      <c r="F195" s="173">
        <f>IFERROR(VLOOKUP($B195,Totalt!$B$1:$AQ$554,MATCH(F$2,Totalt!$B$1:$AQ$1,0),FALSE),"")</f>
        <v>0</v>
      </c>
      <c r="G195" s="173">
        <f>IFERROR(VLOOKUP($B195,Totalt!$B$1:$AQ$554,MATCH(G$2,Totalt!$B$1:$AQ$1,0),FALSE),"")</f>
        <v>0</v>
      </c>
      <c r="H195" s="173">
        <f>IFERROR(VLOOKUP($B195,Totalt!$B$1:$AQ$554,MATCH(H$2,Totalt!$B$1:$AQ$1,0),FALSE),"")</f>
        <v>0</v>
      </c>
      <c r="I195" s="173">
        <f>IFERROR(VLOOKUP($B195,Totalt!$B$1:$AQ$554,MATCH(I$2,Totalt!$B$1:$AQ$1,0),FALSE),"")</f>
        <v>0</v>
      </c>
      <c r="J195" s="173">
        <f>IFERROR(VLOOKUP($B195,Totalt!$B$1:$AQ$554,MATCH(J$2,Totalt!$B$1:$AQ$1,0),FALSE),"")</f>
        <v>0</v>
      </c>
      <c r="K195" s="173">
        <f>IFERROR(VLOOKUP($B195,Totalt!$B$1:$AQ$554,MATCH(K$2,Totalt!$B$1:$AQ$1,0),FALSE),"")</f>
        <v>0</v>
      </c>
      <c r="L195" s="173">
        <f>IFERROR(VLOOKUP($B195,Totalt!$B$1:$AQ$554,MATCH(L$2,Totalt!$B$1:$AQ$1,0),FALSE),"")</f>
        <v>0</v>
      </c>
      <c r="M195" s="173">
        <f>IFERROR(VLOOKUP($B195,Totalt!$B$1:$AQ$554,MATCH(M$2,Totalt!$B$1:$AQ$1,0),FALSE),"")</f>
        <v>0</v>
      </c>
      <c r="N195" s="173">
        <f>IFERROR(VLOOKUP($B195,Totalt!$B$1:$AQ$554,MATCH(N$2,Totalt!$B$1:$AQ$1,0),FALSE),"")</f>
        <v>111.05500000000001</v>
      </c>
      <c r="O195" s="173">
        <f>IFERROR(VLOOKUP($B195,Totalt!$B$1:$AQ$554,MATCH(O$2,Totalt!$B$1:$AQ$1,0),FALSE),"")</f>
        <v>0</v>
      </c>
      <c r="P195" s="173">
        <f>IFERROR(VLOOKUP($B195,Totalt!$B$1:$AQ$554,MATCH(P$2,Totalt!$B$1:$AQ$1,0),FALSE),"")</f>
        <v>13.176600000000001</v>
      </c>
      <c r="Q195" s="173">
        <f>IFERROR(VLOOKUP($B195,Totalt!$B$1:$AQ$554,MATCH(Q$2,Totalt!$B$1:$AQ$1,0),FALSE),"")</f>
        <v>0</v>
      </c>
      <c r="R195" s="173">
        <f>IFERROR(VLOOKUP($B195,Totalt!$B$1:$AQ$554,MATCH(R$2,Totalt!$B$1:$AQ$1,0),FALSE),"")</f>
        <v>0</v>
      </c>
      <c r="S195" s="173">
        <f>IFERROR(VLOOKUP($B195,Totalt!$B$1:$AQ$554,MATCH(S$2,Totalt!$B$1:$AQ$1,0),FALSE),"")</f>
        <v>0</v>
      </c>
      <c r="T195" s="173">
        <f>IFERROR(VLOOKUP($B195,Totalt!$B$1:$AQ$554,MATCH(T$2,Totalt!$B$1:$AQ$1,0),FALSE),"")</f>
        <v>0</v>
      </c>
      <c r="U195" s="173">
        <f>IFERROR(VLOOKUP($B195,Totalt!$B$1:$AQ$554,MATCH(U$2,Totalt!$B$1:$AQ$1,0),FALSE),"")</f>
        <v>0</v>
      </c>
      <c r="V195" s="173">
        <f>IFERROR(VLOOKUP($B195,Totalt!$B$1:$AQ$554,MATCH(V$2,Totalt!$B$1:$AQ$1,0),FALSE),"")</f>
        <v>0</v>
      </c>
      <c r="W195" s="173">
        <f>IFERROR(VLOOKUP($B195,Totalt!$B$1:$AQ$554,MATCH(W$2,Totalt!$B$1:$AQ$1,0),FALSE),"")</f>
        <v>0</v>
      </c>
      <c r="X195" s="173">
        <f>IFERROR(VLOOKUP($B195,Totalt!$B$1:$AQ$554,MATCH(X$2,Totalt!$B$1:$AQ$1,0),FALSE),"")</f>
        <v>0</v>
      </c>
      <c r="Y195" s="173">
        <f>IFERROR(VLOOKUP($B195,Totalt!$B$1:$AQ$554,MATCH(Y$2,Totalt!$B$1:$AQ$1,0),FALSE),"")</f>
        <v>0</v>
      </c>
      <c r="Z195" s="173">
        <f>IFERROR(VLOOKUP($B195,Totalt!$B$1:$AQ$554,MATCH(Z$2,Totalt!$B$1:$AQ$1,0),FALSE),"")</f>
        <v>0.88</v>
      </c>
      <c r="AA195" s="173">
        <f>IFERROR(VLOOKUP($B195,Totalt!$B$1:$AQ$554,MATCH(AA$2,Totalt!$B$1:$AQ$1,0),FALSE),"")</f>
        <v>0</v>
      </c>
      <c r="AB195" s="173">
        <f>IFERROR(VLOOKUP($B195,Totalt!$B$1:$AQ$554,MATCH(AB$2,Totalt!$B$1:$AQ$1,0),FALSE),"")</f>
        <v>0</v>
      </c>
      <c r="AC195" s="173">
        <f>IFERROR(VLOOKUP($B195,Totalt!$B$1:$AQ$554,MATCH(AC$2,Totalt!$B$1:$AQ$1,0),FALSE),"")</f>
        <v>28.37</v>
      </c>
      <c r="AD195" s="173">
        <f>IFERROR(VLOOKUP($B195,Totalt!$B$1:$AQ$554,MATCH(AD$2,Totalt!$B$1:$AQ$1,0),FALSE),"")</f>
        <v>0</v>
      </c>
      <c r="AE195" s="173">
        <f>IFERROR(VLOOKUP($B195,Totalt!$B$1:$AQ$554,MATCH(AE$2,Totalt!$B$1:$AQ$1,0),FALSE),"")</f>
        <v>0</v>
      </c>
      <c r="AF195" s="173">
        <f>IFERROR(VLOOKUP($B195,Totalt!$B$1:$AQ$554,MATCH(AF$2,Totalt!$B$1:$AQ$1,0),FALSE),"")</f>
        <v>4.5635599999999998</v>
      </c>
      <c r="AG195" s="173">
        <f>IFERROR(VLOOKUP($B195,Totalt!$B$1:$AQ$554,MATCH(AG$2,Totalt!$B$1:$AQ$1,0),FALSE),"")</f>
        <v>0</v>
      </c>
      <c r="AI195" s="226">
        <f t="shared" ref="AI195:AI258" si="18">IF(B195&lt;&gt;"",SUM(C195:AG195),"")</f>
        <v>158.59816000000001</v>
      </c>
      <c r="AJ195" s="226">
        <f>IF(ISERROR(1/VLOOKUP($B195,Leveranser!$B$1:$S$500,MATCH("såld värme (gwh)",Leveranser!$B$1:$S$1,0),FALSE)),"",VLOOKUP($B195,Leveranser!$B$1:$S$500,MATCH("såld värme (gwh)",Leveranser!$B$1:$S$1,0),FALSE))</f>
        <v>123.922</v>
      </c>
      <c r="AM195" s="227" t="str">
        <f>IF(B195&lt;&gt;"",IF(VLOOKUP($B195,Totalt!$B$1:$AQ$554,MATCH("Kvalitetsgranskad:",Totalt!$B$1:$AQ$1,0),FALSE)="ja",VLOOKUP($B195,Miljö!$B$1:$AG$479,MATCH(AM$2,Miljö!$B$1:$AK$1,0),FALSE),""),"")</f>
        <v>Ja</v>
      </c>
      <c r="AN195" s="227" t="str">
        <f>IF(AM195="ja",VLOOKUP($B195,Miljö!$B$1:$J$479,MATCH("Typ av ursprungsspecificerad el   (Om inget värde anges används Nordisk residualmix, se inforuta) ()",Miljö!$B$1:$J$1,0),FALSE),IF(AM195="nej","Nordisk residualel",""))</f>
        <v>'Vattenfall EPD 100%'</v>
      </c>
      <c r="AO195" s="227">
        <f>IF(AM195="","",VLOOKUP($B195,Miljö!$B$1:$J$479,MATCH("Fossilandel för ursprungspecificerad el ()",Miljö!$B$1:$J$1,0),FALSE))</f>
        <v>0</v>
      </c>
      <c r="AP195" s="227">
        <f>IF(AM195="","",IFERROR(VLOOKUP($B195,Miljö!$B$1:$J$479,MATCH("Kärnkraftsandel för ursprungsspecificerad el ()",Miljö!$B$1:$J$1,0),FALSE)/1,0))</f>
        <v>0</v>
      </c>
      <c r="AQ195" s="227">
        <f t="shared" si="13"/>
        <v>1</v>
      </c>
      <c r="AR195" s="227"/>
      <c r="AS195" s="227" t="str">
        <f t="shared" si="14"/>
        <v>Nej</v>
      </c>
      <c r="AT195" s="227" t="str">
        <f>IF(AS195="ja",VLOOKUP($B195,Miljö!$B$1:$O$500,MATCH("Fossil andel i procent (%)",Miljö!$B$1:$O$1,0),FALSE)/100,"")</f>
        <v/>
      </c>
      <c r="AU195" s="227"/>
      <c r="AV195" s="227" t="str">
        <f t="shared" si="15"/>
        <v>Nej</v>
      </c>
      <c r="AW195" s="227" t="str">
        <f>IF(AV195="ja",VLOOKUP($B195,'Egen hetvattenprod'!$B$1:$AO$500,MATCH("Värmekälla till värmepumpar ()",'Egen hetvattenprod'!$B$1:$AO$1,0),FALSE),"")</f>
        <v/>
      </c>
      <c r="AX195" s="227"/>
      <c r="AY195" s="227" t="str">
        <f t="shared" si="16"/>
        <v>Ja</v>
      </c>
      <c r="AZ195" s="228">
        <f>IF($AY195="ja",(VLOOKUP($B195,'Egen hetvattenprod'!$B$1:$BX$550,MATCH(AZ$2,'Egen hetvattenprod'!$B$1:$BX$1,0),FALSE)+VLOOKUP($B195,Kraftvärmeprod!$B$1:$BX$550,MATCH(AZ$2,Kraftvärmeprod!$B$1:$BX$1,0),FALSE))/$AC195,"")</f>
        <v>1</v>
      </c>
      <c r="BA195" s="228">
        <f>IF($AY195="ja",(VLOOKUP($B195,'Egen hetvattenprod'!$B$1:$BX$550,MATCH(BA$2,'Egen hetvattenprod'!$B$1:$BX$1,0),FALSE)+VLOOKUP($B195,Kraftvärmeprod!$B$1:$BX$550,MATCH(BA$2,Kraftvärmeprod!$B$1:$BX$1,0),FALSE))/$AC195,"")</f>
        <v>0</v>
      </c>
      <c r="BB195" s="228">
        <f>IF($AY195="ja",(VLOOKUP($B195,'Egen hetvattenprod'!$B$1:$BX$550,MATCH(BB$2,'Egen hetvattenprod'!$B$1:$BX$1,0),FALSE)+VLOOKUP($B195,Kraftvärmeprod!$B$1:$BX$550,MATCH(BB$2,Kraftvärmeprod!$B$1:$BX$1,0),FALSE))/$AC195,"")</f>
        <v>0</v>
      </c>
      <c r="BC195" s="228">
        <f>IF($AY195="ja",(VLOOKUP($B195,'Egen hetvattenprod'!$B$1:$BX$550,MATCH(BC$2,'Egen hetvattenprod'!$B$1:$BX$1,0),FALSE)+VLOOKUP($B195,Kraftvärmeprod!$B$1:$BX$550,MATCH(BC$2,Kraftvärmeprod!$B$1:$BX$1,0),FALSE))/$AC195,"")</f>
        <v>0</v>
      </c>
      <c r="BD195" s="228">
        <f>IF($AY195="ja",(VLOOKUP($B195,'Egen hetvattenprod'!$B$1:$BX$550,MATCH(BD$2,'Egen hetvattenprod'!$B$1:$BX$1,0),FALSE)+VLOOKUP($B195,Kraftvärmeprod!$B$1:$BX$550,MATCH(BD$2,Kraftvärmeprod!$B$1:$BX$1,0),FALSE))/$AC195,"")</f>
        <v>0</v>
      </c>
      <c r="BE195" s="227"/>
      <c r="BF195" s="227" t="str">
        <f t="shared" si="17"/>
        <v>Nej</v>
      </c>
      <c r="BG195" s="227" t="str">
        <f>IF($BF195="ja",VLOOKUP($B195,'Egen hetvattenprod'!$B$1:$BX$550,MATCH("Andelen klimatgaser med fossilt ursprung för avfall ()",'Egen hetvattenprod'!$B$1:$BX$1,0),FALSE),"")</f>
        <v/>
      </c>
      <c r="BH195" s="227" t="str">
        <f>IF($BF195="ja",VLOOKUP($B195,Kraftvärmeprod!$B$1:$BX$550,MATCH("Andelen klimatgaser med fossilt ursprung för avfall ()",Kraftvärmeprod!$B$1:$BX$1,0),FALSE),"")</f>
        <v/>
      </c>
      <c r="BI195" s="227" t="str">
        <f>IF($BF195="ja",VLOOKUP($B195,'Egen hetvattenprod'!$B$1:$BX$550,MATCH("Avfall (GWh)",'Egen hetvattenprod'!$B$1:$BX$1,0),FALSE),"")</f>
        <v/>
      </c>
      <c r="BJ195" s="227" t="str">
        <f>IF($BF195="ja",VLOOKUP($B195,'Slutlig allokering kvv'!$B$1:$BX$550,MATCH("Avfall (GWh)",'Slutlig allokering kvv'!$B$1:$BX$1,0),FALSE),"")</f>
        <v/>
      </c>
      <c r="BK195" s="227" t="str">
        <f>IF($BF195="ja",VLOOKUP($B195,'Köpt hetvatten'!$B$1:$BX$550,MATCH("Avfall i köpt hetvatten",'Köpt hetvatten'!$B$1:$BX$1,0),FALSE),"")</f>
        <v/>
      </c>
      <c r="BL195" s="227" t="str">
        <f>IF($BF195="ja",VLOOKUP($B195,'Egen hetvattenprod'!$B$1:$BX$550,MATCH("Värde enligt ovan. (%)",'Egen hetvattenprod'!$B$1:$BX$1,0),FALSE),"")</f>
        <v/>
      </c>
      <c r="BM195" s="227" t="str">
        <f>IF($BF195="ja",VLOOKUP($B195,Kraftvärmeprod!$B$1:$BX$550,MATCH("Värde enligt ovan. (%)",Kraftvärmeprod!$B$1:$BX$1,0),FALSE),"")</f>
        <v/>
      </c>
      <c r="BN195" s="227"/>
      <c r="BO195" s="227"/>
      <c r="BP195" s="227"/>
      <c r="BQ195" s="227" t="str">
        <f>IF($BF195="ja",VLOOKUP($B195,'Egen hetvattenprod'!$B$1:$BX$550,MATCH("Tillförd olja (fossil) vid avfallsförbränning (GWh)",'Egen hetvattenprod'!$B$1:$BX$1,0),FALSE),"")</f>
        <v/>
      </c>
      <c r="BR195" s="227" t="str">
        <f>IF($BF195="ja",VLOOKUP($B195,Kraftvärmeprod!$B$1:$BX$550,MATCH("Tillförd olja (fossil) vid avfallsförbränning (GWh)",Kraftvärmeprod!$B$1:$BX$1,0),FALSE),"")</f>
        <v/>
      </c>
      <c r="BS195" s="227"/>
      <c r="BT195" s="227"/>
      <c r="BU195" s="227"/>
    </row>
    <row r="196" spans="1:73" x14ac:dyDescent="0.25">
      <c r="A196" s="121" t="str">
        <f>'Miljövärden för publ företag'!B199</f>
        <v>Norrtälje Energi AB</v>
      </c>
      <c r="B196" s="121" t="str">
        <f>'Miljövärden för publ företag'!C199</f>
        <v>Rimbo</v>
      </c>
      <c r="C196" s="173">
        <f>IFERROR(VLOOKUP($B196,Totalt!$B$1:$AQ$554,MATCH(C$2,Totalt!$B$1:$AQ$1,0),FALSE),"")</f>
        <v>0</v>
      </c>
      <c r="D196" s="173">
        <f>IFERROR(VLOOKUP($B196,Totalt!$B$1:$AQ$554,MATCH(D$2,Totalt!$B$1:$AQ$1,0),FALSE),"")</f>
        <v>1.3009999999999999</v>
      </c>
      <c r="E196" s="173">
        <f>IFERROR(VLOOKUP($B196,Totalt!$B$1:$AQ$554,MATCH(E$2,Totalt!$B$1:$AQ$1,0),FALSE),"")</f>
        <v>0</v>
      </c>
      <c r="F196" s="173">
        <f>IFERROR(VLOOKUP($B196,Totalt!$B$1:$AQ$554,MATCH(F$2,Totalt!$B$1:$AQ$1,0),FALSE),"")</f>
        <v>0</v>
      </c>
      <c r="G196" s="173">
        <f>IFERROR(VLOOKUP($B196,Totalt!$B$1:$AQ$554,MATCH(G$2,Totalt!$B$1:$AQ$1,0),FALSE),"")</f>
        <v>0</v>
      </c>
      <c r="H196" s="173">
        <f>IFERROR(VLOOKUP($B196,Totalt!$B$1:$AQ$554,MATCH(H$2,Totalt!$B$1:$AQ$1,0),FALSE),"")</f>
        <v>0</v>
      </c>
      <c r="I196" s="173">
        <f>IFERROR(VLOOKUP($B196,Totalt!$B$1:$AQ$554,MATCH(I$2,Totalt!$B$1:$AQ$1,0),FALSE),"")</f>
        <v>0</v>
      </c>
      <c r="J196" s="173">
        <f>IFERROR(VLOOKUP($B196,Totalt!$B$1:$AQ$554,MATCH(J$2,Totalt!$B$1:$AQ$1,0),FALSE),"")</f>
        <v>0</v>
      </c>
      <c r="K196" s="173">
        <f>IFERROR(VLOOKUP($B196,Totalt!$B$1:$AQ$554,MATCH(K$2,Totalt!$B$1:$AQ$1,0),FALSE),"")</f>
        <v>0</v>
      </c>
      <c r="L196" s="173">
        <f>IFERROR(VLOOKUP($B196,Totalt!$B$1:$AQ$554,MATCH(L$2,Totalt!$B$1:$AQ$1,0),FALSE),"")</f>
        <v>0</v>
      </c>
      <c r="M196" s="173">
        <f>IFERROR(VLOOKUP($B196,Totalt!$B$1:$AQ$554,MATCH(M$2,Totalt!$B$1:$AQ$1,0),FALSE),"")</f>
        <v>0</v>
      </c>
      <c r="N196" s="173">
        <f>IFERROR(VLOOKUP($B196,Totalt!$B$1:$AQ$554,MATCH(N$2,Totalt!$B$1:$AQ$1,0),FALSE),"")</f>
        <v>0</v>
      </c>
      <c r="O196" s="173">
        <f>IFERROR(VLOOKUP($B196,Totalt!$B$1:$AQ$554,MATCH(O$2,Totalt!$B$1:$AQ$1,0),FALSE),"")</f>
        <v>0</v>
      </c>
      <c r="P196" s="173">
        <f>IFERROR(VLOOKUP($B196,Totalt!$B$1:$AQ$554,MATCH(P$2,Totalt!$B$1:$AQ$1,0),FALSE),"")</f>
        <v>19.702000000000002</v>
      </c>
      <c r="Q196" s="173">
        <f>IFERROR(VLOOKUP($B196,Totalt!$B$1:$AQ$554,MATCH(Q$2,Totalt!$B$1:$AQ$1,0),FALSE),"")</f>
        <v>0</v>
      </c>
      <c r="R196" s="173">
        <f>IFERROR(VLOOKUP($B196,Totalt!$B$1:$AQ$554,MATCH(R$2,Totalt!$B$1:$AQ$1,0),FALSE),"")</f>
        <v>0</v>
      </c>
      <c r="S196" s="173">
        <f>IFERROR(VLOOKUP($B196,Totalt!$B$1:$AQ$554,MATCH(S$2,Totalt!$B$1:$AQ$1,0),FALSE),"")</f>
        <v>0</v>
      </c>
      <c r="T196" s="173">
        <f>IFERROR(VLOOKUP($B196,Totalt!$B$1:$AQ$554,MATCH(T$2,Totalt!$B$1:$AQ$1,0),FALSE),"")</f>
        <v>0</v>
      </c>
      <c r="U196" s="173">
        <f>IFERROR(VLOOKUP($B196,Totalt!$B$1:$AQ$554,MATCH(U$2,Totalt!$B$1:$AQ$1,0),FALSE),"")</f>
        <v>0</v>
      </c>
      <c r="V196" s="173">
        <f>IFERROR(VLOOKUP($B196,Totalt!$B$1:$AQ$554,MATCH(V$2,Totalt!$B$1:$AQ$1,0),FALSE),"")</f>
        <v>0</v>
      </c>
      <c r="W196" s="173">
        <f>IFERROR(VLOOKUP($B196,Totalt!$B$1:$AQ$554,MATCH(W$2,Totalt!$B$1:$AQ$1,0),FALSE),"")</f>
        <v>0</v>
      </c>
      <c r="X196" s="173">
        <f>IFERROR(VLOOKUP($B196,Totalt!$B$1:$AQ$554,MATCH(X$2,Totalt!$B$1:$AQ$1,0),FALSE),"")</f>
        <v>0</v>
      </c>
      <c r="Y196" s="173">
        <f>IFERROR(VLOOKUP($B196,Totalt!$B$1:$AQ$554,MATCH(Y$2,Totalt!$B$1:$AQ$1,0),FALSE),"")</f>
        <v>0</v>
      </c>
      <c r="Z196" s="173">
        <f>IFERROR(VLOOKUP($B196,Totalt!$B$1:$AQ$554,MATCH(Z$2,Totalt!$B$1:$AQ$1,0),FALSE),"")</f>
        <v>1.4159999999999999</v>
      </c>
      <c r="AA196" s="173">
        <f>IFERROR(VLOOKUP($B196,Totalt!$B$1:$AQ$554,MATCH(AA$2,Totalt!$B$1:$AQ$1,0),FALSE),"")</f>
        <v>0</v>
      </c>
      <c r="AB196" s="173">
        <f>IFERROR(VLOOKUP($B196,Totalt!$B$1:$AQ$554,MATCH(AB$2,Totalt!$B$1:$AQ$1,0),FALSE),"")</f>
        <v>0</v>
      </c>
      <c r="AC196" s="173">
        <f>IFERROR(VLOOKUP($B196,Totalt!$B$1:$AQ$554,MATCH(AC$2,Totalt!$B$1:$AQ$1,0),FALSE),"")</f>
        <v>2.0960000000000001</v>
      </c>
      <c r="AD196" s="173">
        <f>IFERROR(VLOOKUP($B196,Totalt!$B$1:$AQ$554,MATCH(AD$2,Totalt!$B$1:$AQ$1,0),FALSE),"")</f>
        <v>0</v>
      </c>
      <c r="AE196" s="173">
        <f>IFERROR(VLOOKUP($B196,Totalt!$B$1:$AQ$554,MATCH(AE$2,Totalt!$B$1:$AQ$1,0),FALSE),"")</f>
        <v>0</v>
      </c>
      <c r="AF196" s="173">
        <f>IFERROR(VLOOKUP($B196,Totalt!$B$1:$AQ$554,MATCH(AF$2,Totalt!$B$1:$AQ$1,0),FALSE),"")</f>
        <v>0.51800000000000002</v>
      </c>
      <c r="AG196" s="173">
        <f>IFERROR(VLOOKUP($B196,Totalt!$B$1:$AQ$554,MATCH(AG$2,Totalt!$B$1:$AQ$1,0),FALSE),"")</f>
        <v>0</v>
      </c>
      <c r="AI196" s="226">
        <f t="shared" si="18"/>
        <v>25.033000000000001</v>
      </c>
      <c r="AJ196" s="226">
        <f>IF(ISERROR(1/VLOOKUP($B196,Leveranser!$B$1:$S$500,MATCH("såld värme (gwh)",Leveranser!$B$1:$S$1,0),FALSE)),"",VLOOKUP($B196,Leveranser!$B$1:$S$500,MATCH("såld värme (gwh)",Leveranser!$B$1:$S$1,0),FALSE))</f>
        <v>17.280999999999999</v>
      </c>
      <c r="AM196" s="227" t="str">
        <f>IF(B196&lt;&gt;"",IF(VLOOKUP($B196,Totalt!$B$1:$AQ$554,MATCH("Kvalitetsgranskad:",Totalt!$B$1:$AQ$1,0),FALSE)="ja",VLOOKUP($B196,Miljö!$B$1:$AG$479,MATCH(AM$2,Miljö!$B$1:$AK$1,0),FALSE),""),"")</f>
        <v>Ja</v>
      </c>
      <c r="AN196" s="227" t="str">
        <f>IF(AM196="ja",VLOOKUP($B196,Miljö!$B$1:$J$479,MATCH("Typ av ursprungsspecificerad el   (Om inget värde anges används Nordisk residualmix, se inforuta) ()",Miljö!$B$1:$J$1,0),FALSE),IF(AM196="nej","Nordisk residualel",""))</f>
        <v>'Vattenfall EPD 100%'</v>
      </c>
      <c r="AO196" s="227">
        <f>IF(AM196="","",VLOOKUP($B196,Miljö!$B$1:$J$479,MATCH("Fossilandel för ursprungspecificerad el ()",Miljö!$B$1:$J$1,0),FALSE))</f>
        <v>0</v>
      </c>
      <c r="AP196" s="227">
        <f>IF(AM196="","",IFERROR(VLOOKUP($B196,Miljö!$B$1:$J$479,MATCH("Kärnkraftsandel för ursprungsspecificerad el ()",Miljö!$B$1:$J$1,0),FALSE)/1,0))</f>
        <v>0</v>
      </c>
      <c r="AQ196" s="227">
        <f t="shared" ref="AQ196:AQ259" si="19">IF(AM196="","",1-AO196-AP196)</f>
        <v>1</v>
      </c>
      <c r="AR196" s="227"/>
      <c r="AS196" s="227" t="str">
        <f t="shared" ref="AS196:AS259" si="20">IF(B196&lt;&gt;"",IF(AND(AG196&gt;0,AG196&lt;&gt;""),"Ja","Nej"),"")</f>
        <v>Nej</v>
      </c>
      <c r="AT196" s="227" t="str">
        <f>IF(AS196="ja",VLOOKUP($B196,Miljö!$B$1:$O$500,MATCH("Fossil andel i procent (%)",Miljö!$B$1:$O$1,0),FALSE)/100,"")</f>
        <v/>
      </c>
      <c r="AU196" s="227"/>
      <c r="AV196" s="227" t="str">
        <f t="shared" ref="AV196:AV259" si="21">IF(B196&lt;&gt;"",IF(AND(AB196&gt;0,AB196&lt;&gt;""),"Ja","Nej"),"")</f>
        <v>Nej</v>
      </c>
      <c r="AW196" s="227" t="str">
        <f>IF(AV196="ja",VLOOKUP($B196,'Egen hetvattenprod'!$B$1:$AO$500,MATCH("Värmekälla till värmepumpar ()",'Egen hetvattenprod'!$B$1:$AO$1,0),FALSE),"")</f>
        <v/>
      </c>
      <c r="AX196" s="227"/>
      <c r="AY196" s="227" t="str">
        <f t="shared" ref="AY196:AY259" si="22">IF(B196&lt;&gt;"",IF(AND(AC196&gt;0,AC196&lt;&gt;""),"Ja","Nej"),"")</f>
        <v>Ja</v>
      </c>
      <c r="AZ196" s="228">
        <f>IF($AY196="ja",(VLOOKUP($B196,'Egen hetvattenprod'!$B$1:$BX$550,MATCH(AZ$2,'Egen hetvattenprod'!$B$1:$BX$1,0),FALSE)+VLOOKUP($B196,Kraftvärmeprod!$B$1:$BX$550,MATCH(AZ$2,Kraftvärmeprod!$B$1:$BX$1,0),FALSE))/$AC196,"")</f>
        <v>1</v>
      </c>
      <c r="BA196" s="228">
        <f>IF($AY196="ja",(VLOOKUP($B196,'Egen hetvattenprod'!$B$1:$BX$550,MATCH(BA$2,'Egen hetvattenprod'!$B$1:$BX$1,0),FALSE)+VLOOKUP($B196,Kraftvärmeprod!$B$1:$BX$550,MATCH(BA$2,Kraftvärmeprod!$B$1:$BX$1,0),FALSE))/$AC196,"")</f>
        <v>0</v>
      </c>
      <c r="BB196" s="228">
        <f>IF($AY196="ja",(VLOOKUP($B196,'Egen hetvattenprod'!$B$1:$BX$550,MATCH(BB$2,'Egen hetvattenprod'!$B$1:$BX$1,0),FALSE)+VLOOKUP($B196,Kraftvärmeprod!$B$1:$BX$550,MATCH(BB$2,Kraftvärmeprod!$B$1:$BX$1,0),FALSE))/$AC196,"")</f>
        <v>0</v>
      </c>
      <c r="BC196" s="228">
        <f>IF($AY196="ja",(VLOOKUP($B196,'Egen hetvattenprod'!$B$1:$BX$550,MATCH(BC$2,'Egen hetvattenprod'!$B$1:$BX$1,0),FALSE)+VLOOKUP($B196,Kraftvärmeprod!$B$1:$BX$550,MATCH(BC$2,Kraftvärmeprod!$B$1:$BX$1,0),FALSE))/$AC196,"")</f>
        <v>0</v>
      </c>
      <c r="BD196" s="228">
        <f>IF($AY196="ja",(VLOOKUP($B196,'Egen hetvattenprod'!$B$1:$BX$550,MATCH(BD$2,'Egen hetvattenprod'!$B$1:$BX$1,0),FALSE)+VLOOKUP($B196,Kraftvärmeprod!$B$1:$BX$550,MATCH(BD$2,Kraftvärmeprod!$B$1:$BX$1,0),FALSE))/$AC196,"")</f>
        <v>0</v>
      </c>
      <c r="BE196" s="227"/>
      <c r="BF196" s="227" t="str">
        <f t="shared" ref="BF196:BF259" si="23">IF(B196&lt;&gt;"",IF(AND(I196&gt;0,I196&lt;&gt;""),"Ja","Nej"),"")</f>
        <v>Nej</v>
      </c>
      <c r="BG196" s="227" t="str">
        <f>IF($BF196="ja",VLOOKUP($B196,'Egen hetvattenprod'!$B$1:$BX$550,MATCH("Andelen klimatgaser med fossilt ursprung för avfall ()",'Egen hetvattenprod'!$B$1:$BX$1,0),FALSE),"")</f>
        <v/>
      </c>
      <c r="BH196" s="227" t="str">
        <f>IF($BF196="ja",VLOOKUP($B196,Kraftvärmeprod!$B$1:$BX$550,MATCH("Andelen klimatgaser med fossilt ursprung för avfall ()",Kraftvärmeprod!$B$1:$BX$1,0),FALSE),"")</f>
        <v/>
      </c>
      <c r="BI196" s="227" t="str">
        <f>IF($BF196="ja",VLOOKUP($B196,'Egen hetvattenprod'!$B$1:$BX$550,MATCH("Avfall (GWh)",'Egen hetvattenprod'!$B$1:$BX$1,0),FALSE),"")</f>
        <v/>
      </c>
      <c r="BJ196" s="227" t="str">
        <f>IF($BF196="ja",VLOOKUP($B196,'Slutlig allokering kvv'!$B$1:$BX$550,MATCH("Avfall (GWh)",'Slutlig allokering kvv'!$B$1:$BX$1,0),FALSE),"")</f>
        <v/>
      </c>
      <c r="BK196" s="227" t="str">
        <f>IF($BF196="ja",VLOOKUP($B196,'Köpt hetvatten'!$B$1:$BX$550,MATCH("Avfall i köpt hetvatten",'Köpt hetvatten'!$B$1:$BX$1,0),FALSE),"")</f>
        <v/>
      </c>
      <c r="BL196" s="227" t="str">
        <f>IF($BF196="ja",VLOOKUP($B196,'Egen hetvattenprod'!$B$1:$BX$550,MATCH("Värde enligt ovan. (%)",'Egen hetvattenprod'!$B$1:$BX$1,0),FALSE),"")</f>
        <v/>
      </c>
      <c r="BM196" s="227" t="str">
        <f>IF($BF196="ja",VLOOKUP($B196,Kraftvärmeprod!$B$1:$BX$550,MATCH("Värde enligt ovan. (%)",Kraftvärmeprod!$B$1:$BX$1,0),FALSE),"")</f>
        <v/>
      </c>
      <c r="BN196" s="227"/>
      <c r="BO196" s="227"/>
      <c r="BP196" s="227"/>
      <c r="BQ196" s="227" t="str">
        <f>IF($BF196="ja",VLOOKUP($B196,'Egen hetvattenprod'!$B$1:$BX$550,MATCH("Tillförd olja (fossil) vid avfallsförbränning (GWh)",'Egen hetvattenprod'!$B$1:$BX$1,0),FALSE),"")</f>
        <v/>
      </c>
      <c r="BR196" s="227" t="str">
        <f>IF($BF196="ja",VLOOKUP($B196,Kraftvärmeprod!$B$1:$BX$550,MATCH("Tillförd olja (fossil) vid avfallsförbränning (GWh)",Kraftvärmeprod!$B$1:$BX$1,0),FALSE),"")</f>
        <v/>
      </c>
      <c r="BS196" s="227"/>
      <c r="BT196" s="227"/>
      <c r="BU196" s="227"/>
    </row>
    <row r="197" spans="1:73" x14ac:dyDescent="0.25">
      <c r="A197" s="121" t="str">
        <f>'Miljövärden för publ företag'!B200</f>
        <v>Nossebro Energi Värme AB</v>
      </c>
      <c r="B197" s="121" t="str">
        <f>'Miljövärden för publ företag'!C200</f>
        <v>Essunga</v>
      </c>
      <c r="C197" s="173">
        <f>IFERROR(VLOOKUP($B197,Totalt!$B$1:$AQ$554,MATCH(C$2,Totalt!$B$1:$AQ$1,0),FALSE),"")</f>
        <v>0</v>
      </c>
      <c r="D197" s="173">
        <f>IFERROR(VLOOKUP($B197,Totalt!$B$1:$AQ$554,MATCH(D$2,Totalt!$B$1:$AQ$1,0),FALSE),"")</f>
        <v>0</v>
      </c>
      <c r="E197" s="173">
        <f>IFERROR(VLOOKUP($B197,Totalt!$B$1:$AQ$554,MATCH(E$2,Totalt!$B$1:$AQ$1,0),FALSE),"")</f>
        <v>0</v>
      </c>
      <c r="F197" s="173">
        <f>IFERROR(VLOOKUP($B197,Totalt!$B$1:$AQ$554,MATCH(F$2,Totalt!$B$1:$AQ$1,0),FALSE),"")</f>
        <v>0</v>
      </c>
      <c r="G197" s="173">
        <f>IFERROR(VLOOKUP($B197,Totalt!$B$1:$AQ$554,MATCH(G$2,Totalt!$B$1:$AQ$1,0),FALSE),"")</f>
        <v>0</v>
      </c>
      <c r="H197" s="173">
        <f>IFERROR(VLOOKUP($B197,Totalt!$B$1:$AQ$554,MATCH(H$2,Totalt!$B$1:$AQ$1,0),FALSE),"")</f>
        <v>0</v>
      </c>
      <c r="I197" s="173">
        <f>IFERROR(VLOOKUP($B197,Totalt!$B$1:$AQ$554,MATCH(I$2,Totalt!$B$1:$AQ$1,0),FALSE),"")</f>
        <v>0</v>
      </c>
      <c r="J197" s="173">
        <f>IFERROR(VLOOKUP($B197,Totalt!$B$1:$AQ$554,MATCH(J$2,Totalt!$B$1:$AQ$1,0),FALSE),"")</f>
        <v>0</v>
      </c>
      <c r="K197" s="173">
        <f>IFERROR(VLOOKUP($B197,Totalt!$B$1:$AQ$554,MATCH(K$2,Totalt!$B$1:$AQ$1,0),FALSE),"")</f>
        <v>0</v>
      </c>
      <c r="L197" s="173">
        <f>IFERROR(VLOOKUP($B197,Totalt!$B$1:$AQ$554,MATCH(L$2,Totalt!$B$1:$AQ$1,0),FALSE),"")</f>
        <v>0</v>
      </c>
      <c r="M197" s="173">
        <f>IFERROR(VLOOKUP($B197,Totalt!$B$1:$AQ$554,MATCH(M$2,Totalt!$B$1:$AQ$1,0),FALSE),"")</f>
        <v>0</v>
      </c>
      <c r="N197" s="173">
        <f>IFERROR(VLOOKUP($B197,Totalt!$B$1:$AQ$554,MATCH(N$2,Totalt!$B$1:$AQ$1,0),FALSE),"")</f>
        <v>0</v>
      </c>
      <c r="O197" s="173">
        <f>IFERROR(VLOOKUP($B197,Totalt!$B$1:$AQ$554,MATCH(O$2,Totalt!$B$1:$AQ$1,0),FALSE),"")</f>
        <v>0</v>
      </c>
      <c r="P197" s="173">
        <f>IFERROR(VLOOKUP($B197,Totalt!$B$1:$AQ$554,MATCH(P$2,Totalt!$B$1:$AQ$1,0),FALSE),"")</f>
        <v>10.6</v>
      </c>
      <c r="Q197" s="173">
        <f>IFERROR(VLOOKUP($B197,Totalt!$B$1:$AQ$554,MATCH(Q$2,Totalt!$B$1:$AQ$1,0),FALSE),"")</f>
        <v>0</v>
      </c>
      <c r="R197" s="173">
        <f>IFERROR(VLOOKUP($B197,Totalt!$B$1:$AQ$554,MATCH(R$2,Totalt!$B$1:$AQ$1,0),FALSE),"")</f>
        <v>0.1</v>
      </c>
      <c r="S197" s="173">
        <f>IFERROR(VLOOKUP($B197,Totalt!$B$1:$AQ$554,MATCH(S$2,Totalt!$B$1:$AQ$1,0),FALSE),"")</f>
        <v>0</v>
      </c>
      <c r="T197" s="173">
        <f>IFERROR(VLOOKUP($B197,Totalt!$B$1:$AQ$554,MATCH(T$2,Totalt!$B$1:$AQ$1,0),FALSE),"")</f>
        <v>0</v>
      </c>
      <c r="U197" s="173">
        <f>IFERROR(VLOOKUP($B197,Totalt!$B$1:$AQ$554,MATCH(U$2,Totalt!$B$1:$AQ$1,0),FALSE),"")</f>
        <v>0</v>
      </c>
      <c r="V197" s="173">
        <f>IFERROR(VLOOKUP($B197,Totalt!$B$1:$AQ$554,MATCH(V$2,Totalt!$B$1:$AQ$1,0),FALSE),"")</f>
        <v>0</v>
      </c>
      <c r="W197" s="173">
        <f>IFERROR(VLOOKUP($B197,Totalt!$B$1:$AQ$554,MATCH(W$2,Totalt!$B$1:$AQ$1,0),FALSE),"")</f>
        <v>0</v>
      </c>
      <c r="X197" s="173">
        <f>IFERROR(VLOOKUP($B197,Totalt!$B$1:$AQ$554,MATCH(X$2,Totalt!$B$1:$AQ$1,0),FALSE),"")</f>
        <v>0</v>
      </c>
      <c r="Y197" s="173">
        <f>IFERROR(VLOOKUP($B197,Totalt!$B$1:$AQ$554,MATCH(Y$2,Totalt!$B$1:$AQ$1,0),FALSE),"")</f>
        <v>0</v>
      </c>
      <c r="Z197" s="173">
        <f>IFERROR(VLOOKUP($B197,Totalt!$B$1:$AQ$554,MATCH(Z$2,Totalt!$B$1:$AQ$1,0),FALSE),"")</f>
        <v>0</v>
      </c>
      <c r="AA197" s="173">
        <f>IFERROR(VLOOKUP($B197,Totalt!$B$1:$AQ$554,MATCH(AA$2,Totalt!$B$1:$AQ$1,0),FALSE),"")</f>
        <v>0</v>
      </c>
      <c r="AB197" s="173">
        <f>IFERROR(VLOOKUP($B197,Totalt!$B$1:$AQ$554,MATCH(AB$2,Totalt!$B$1:$AQ$1,0),FALSE),"")</f>
        <v>0</v>
      </c>
      <c r="AC197" s="173">
        <f>IFERROR(VLOOKUP($B197,Totalt!$B$1:$AQ$554,MATCH(AC$2,Totalt!$B$1:$AQ$1,0),FALSE),"")</f>
        <v>0</v>
      </c>
      <c r="AD197" s="173">
        <f>IFERROR(VLOOKUP($B197,Totalt!$B$1:$AQ$554,MATCH(AD$2,Totalt!$B$1:$AQ$1,0),FALSE),"")</f>
        <v>0</v>
      </c>
      <c r="AE197" s="173">
        <f>IFERROR(VLOOKUP($B197,Totalt!$B$1:$AQ$554,MATCH(AE$2,Totalt!$B$1:$AQ$1,0),FALSE),"")</f>
        <v>0</v>
      </c>
      <c r="AF197" s="173">
        <f>IFERROR(VLOOKUP($B197,Totalt!$B$1:$AQ$554,MATCH(AF$2,Totalt!$B$1:$AQ$1,0),FALSE),"")</f>
        <v>0.15</v>
      </c>
      <c r="AG197" s="173">
        <f>IFERROR(VLOOKUP($B197,Totalt!$B$1:$AQ$554,MATCH(AG$2,Totalt!$B$1:$AQ$1,0),FALSE),"")</f>
        <v>0</v>
      </c>
      <c r="AI197" s="226">
        <f t="shared" si="18"/>
        <v>10.85</v>
      </c>
      <c r="AJ197" s="226">
        <f>IF(ISERROR(1/VLOOKUP($B197,Leveranser!$B$1:$S$500,MATCH("såld värme (gwh)",Leveranser!$B$1:$S$1,0),FALSE)),"",VLOOKUP($B197,Leveranser!$B$1:$S$500,MATCH("såld värme (gwh)",Leveranser!$B$1:$S$1,0),FALSE))</f>
        <v>7</v>
      </c>
      <c r="AM197" s="227" t="str">
        <f>IF(B197&lt;&gt;"",IF(VLOOKUP($B197,Totalt!$B$1:$AQ$554,MATCH("Kvalitetsgranskad:",Totalt!$B$1:$AQ$1,0),FALSE)="ja",VLOOKUP($B197,Miljö!$B$1:$AG$479,MATCH(AM$2,Miljö!$B$1:$AK$1,0),FALSE),""),"")</f>
        <v>Ja</v>
      </c>
      <c r="AN197" s="227" t="str">
        <f>IF(AM197="ja",VLOOKUP($B197,Miljö!$B$1:$J$479,MATCH("Typ av ursprungsspecificerad el   (Om inget värde anges används Nordisk residualmix, se inforuta) ()",Miljö!$B$1:$J$1,0),FALSE),IF(AM197="nej","Nordisk residualel",""))</f>
        <v>'vattenkraft'</v>
      </c>
      <c r="AO197" s="227">
        <f>IF(AM197="","",VLOOKUP($B197,Miljö!$B$1:$J$479,MATCH("Fossilandel för ursprungspecificerad el ()",Miljö!$B$1:$J$1,0),FALSE))</f>
        <v>0</v>
      </c>
      <c r="AP197" s="227">
        <f>IF(AM197="","",IFERROR(VLOOKUP($B197,Miljö!$B$1:$J$479,MATCH("Kärnkraftsandel för ursprungsspecificerad el ()",Miljö!$B$1:$J$1,0),FALSE)/1,0))</f>
        <v>0</v>
      </c>
      <c r="AQ197" s="227">
        <f t="shared" si="19"/>
        <v>1</v>
      </c>
      <c r="AR197" s="227"/>
      <c r="AS197" s="227" t="str">
        <f t="shared" si="20"/>
        <v>Nej</v>
      </c>
      <c r="AT197" s="227" t="str">
        <f>IF(AS197="ja",VLOOKUP($B197,Miljö!$B$1:$O$500,MATCH("Fossil andel i procent (%)",Miljö!$B$1:$O$1,0),FALSE)/100,"")</f>
        <v/>
      </c>
      <c r="AU197" s="227"/>
      <c r="AV197" s="227" t="str">
        <f t="shared" si="21"/>
        <v>Nej</v>
      </c>
      <c r="AW197" s="227" t="str">
        <f>IF(AV197="ja",VLOOKUP($B197,'Egen hetvattenprod'!$B$1:$AO$500,MATCH("Värmekälla till värmepumpar ()",'Egen hetvattenprod'!$B$1:$AO$1,0),FALSE),"")</f>
        <v/>
      </c>
      <c r="AX197" s="227"/>
      <c r="AY197" s="227" t="str">
        <f t="shared" si="22"/>
        <v>Nej</v>
      </c>
      <c r="AZ197" s="228" t="str">
        <f>IF($AY197="ja",(VLOOKUP($B197,'Egen hetvattenprod'!$B$1:$BX$550,MATCH(AZ$2,'Egen hetvattenprod'!$B$1:$BX$1,0),FALSE)+VLOOKUP($B197,Kraftvärmeprod!$B$1:$BX$550,MATCH(AZ$2,Kraftvärmeprod!$B$1:$BX$1,0),FALSE))/$AC197,"")</f>
        <v/>
      </c>
      <c r="BA197" s="228" t="str">
        <f>IF($AY197="ja",(VLOOKUP($B197,'Egen hetvattenprod'!$B$1:$BX$550,MATCH(BA$2,'Egen hetvattenprod'!$B$1:$BX$1,0),FALSE)+VLOOKUP($B197,Kraftvärmeprod!$B$1:$BX$550,MATCH(BA$2,Kraftvärmeprod!$B$1:$BX$1,0),FALSE))/$AC197,"")</f>
        <v/>
      </c>
      <c r="BB197" s="228" t="str">
        <f>IF($AY197="ja",(VLOOKUP($B197,'Egen hetvattenprod'!$B$1:$BX$550,MATCH(BB$2,'Egen hetvattenprod'!$B$1:$BX$1,0),FALSE)+VLOOKUP($B197,Kraftvärmeprod!$B$1:$BX$550,MATCH(BB$2,Kraftvärmeprod!$B$1:$BX$1,0),FALSE))/$AC197,"")</f>
        <v/>
      </c>
      <c r="BC197" s="228" t="str">
        <f>IF($AY197="ja",(VLOOKUP($B197,'Egen hetvattenprod'!$B$1:$BX$550,MATCH(BC$2,'Egen hetvattenprod'!$B$1:$BX$1,0),FALSE)+VLOOKUP($B197,Kraftvärmeprod!$B$1:$BX$550,MATCH(BC$2,Kraftvärmeprod!$B$1:$BX$1,0),FALSE))/$AC197,"")</f>
        <v/>
      </c>
      <c r="BD197" s="228" t="str">
        <f>IF($AY197="ja",(VLOOKUP($B197,'Egen hetvattenprod'!$B$1:$BX$550,MATCH(BD$2,'Egen hetvattenprod'!$B$1:$BX$1,0),FALSE)+VLOOKUP($B197,Kraftvärmeprod!$B$1:$BX$550,MATCH(BD$2,Kraftvärmeprod!$B$1:$BX$1,0),FALSE))/$AC197,"")</f>
        <v/>
      </c>
      <c r="BE197" s="227"/>
      <c r="BF197" s="227" t="str">
        <f t="shared" si="23"/>
        <v>Nej</v>
      </c>
      <c r="BG197" s="227" t="str">
        <f>IF($BF197="ja",VLOOKUP($B197,'Egen hetvattenprod'!$B$1:$BX$550,MATCH("Andelen klimatgaser med fossilt ursprung för avfall ()",'Egen hetvattenprod'!$B$1:$BX$1,0),FALSE),"")</f>
        <v/>
      </c>
      <c r="BH197" s="227" t="str">
        <f>IF($BF197="ja",VLOOKUP($B197,Kraftvärmeprod!$B$1:$BX$550,MATCH("Andelen klimatgaser med fossilt ursprung för avfall ()",Kraftvärmeprod!$B$1:$BX$1,0),FALSE),"")</f>
        <v/>
      </c>
      <c r="BI197" s="227" t="str">
        <f>IF($BF197="ja",VLOOKUP($B197,'Egen hetvattenprod'!$B$1:$BX$550,MATCH("Avfall (GWh)",'Egen hetvattenprod'!$B$1:$BX$1,0),FALSE),"")</f>
        <v/>
      </c>
      <c r="BJ197" s="227" t="str">
        <f>IF($BF197="ja",VLOOKUP($B197,'Slutlig allokering kvv'!$B$1:$BX$550,MATCH("Avfall (GWh)",'Slutlig allokering kvv'!$B$1:$BX$1,0),FALSE),"")</f>
        <v/>
      </c>
      <c r="BK197" s="227" t="str">
        <f>IF($BF197="ja",VLOOKUP($B197,'Köpt hetvatten'!$B$1:$BX$550,MATCH("Avfall i köpt hetvatten",'Köpt hetvatten'!$B$1:$BX$1,0),FALSE),"")</f>
        <v/>
      </c>
      <c r="BL197" s="227" t="str">
        <f>IF($BF197="ja",VLOOKUP($B197,'Egen hetvattenprod'!$B$1:$BX$550,MATCH("Värde enligt ovan. (%)",'Egen hetvattenprod'!$B$1:$BX$1,0),FALSE),"")</f>
        <v/>
      </c>
      <c r="BM197" s="227" t="str">
        <f>IF($BF197="ja",VLOOKUP($B197,Kraftvärmeprod!$B$1:$BX$550,MATCH("Värde enligt ovan. (%)",Kraftvärmeprod!$B$1:$BX$1,0),FALSE),"")</f>
        <v/>
      </c>
      <c r="BN197" s="227"/>
      <c r="BO197" s="227"/>
      <c r="BP197" s="227"/>
      <c r="BQ197" s="227" t="str">
        <f>IF($BF197="ja",VLOOKUP($B197,'Egen hetvattenprod'!$B$1:$BX$550,MATCH("Tillförd olja (fossil) vid avfallsförbränning (GWh)",'Egen hetvattenprod'!$B$1:$BX$1,0),FALSE),"")</f>
        <v/>
      </c>
      <c r="BR197" s="227" t="str">
        <f>IF($BF197="ja",VLOOKUP($B197,Kraftvärmeprod!$B$1:$BX$550,MATCH("Tillförd olja (fossil) vid avfallsförbränning (GWh)",Kraftvärmeprod!$B$1:$BX$1,0),FALSE),"")</f>
        <v/>
      </c>
      <c r="BS197" s="227"/>
      <c r="BT197" s="227"/>
      <c r="BU197" s="227"/>
    </row>
    <row r="198" spans="1:73" x14ac:dyDescent="0.25">
      <c r="A198" s="121" t="str">
        <f>'Miljövärden för publ företag'!B201</f>
        <v>Nybro Energi AB</v>
      </c>
      <c r="B198" s="121" t="str">
        <f>'Miljövärden för publ företag'!C201</f>
        <v>Nybro stadsnät</v>
      </c>
      <c r="C198" s="173">
        <f>IFERROR(VLOOKUP($B198,Totalt!$B$1:$AQ$554,MATCH(C$2,Totalt!$B$1:$AQ$1,0),FALSE),"")</f>
        <v>0</v>
      </c>
      <c r="D198" s="173">
        <f>IFERROR(VLOOKUP($B198,Totalt!$B$1:$AQ$554,MATCH(D$2,Totalt!$B$1:$AQ$1,0),FALSE),"")</f>
        <v>2.3240400000000001</v>
      </c>
      <c r="E198" s="173">
        <f>IFERROR(VLOOKUP($B198,Totalt!$B$1:$AQ$554,MATCH(E$2,Totalt!$B$1:$AQ$1,0),FALSE),"")</f>
        <v>0</v>
      </c>
      <c r="F198" s="173">
        <f>IFERROR(VLOOKUP($B198,Totalt!$B$1:$AQ$554,MATCH(F$2,Totalt!$B$1:$AQ$1,0),FALSE),"")</f>
        <v>0</v>
      </c>
      <c r="G198" s="173">
        <f>IFERROR(VLOOKUP($B198,Totalt!$B$1:$AQ$554,MATCH(G$2,Totalt!$B$1:$AQ$1,0),FALSE),"")</f>
        <v>0</v>
      </c>
      <c r="H198" s="173">
        <f>IFERROR(VLOOKUP($B198,Totalt!$B$1:$AQ$554,MATCH(H$2,Totalt!$B$1:$AQ$1,0),FALSE),"")</f>
        <v>0</v>
      </c>
      <c r="I198" s="173">
        <f>IFERROR(VLOOKUP($B198,Totalt!$B$1:$AQ$554,MATCH(I$2,Totalt!$B$1:$AQ$1,0),FALSE),"")</f>
        <v>99.592699999999994</v>
      </c>
      <c r="J198" s="173">
        <f>IFERROR(VLOOKUP($B198,Totalt!$B$1:$AQ$554,MATCH(J$2,Totalt!$B$1:$AQ$1,0),FALSE),"")</f>
        <v>0</v>
      </c>
      <c r="K198" s="173">
        <f>IFERROR(VLOOKUP($B198,Totalt!$B$1:$AQ$554,MATCH(K$2,Totalt!$B$1:$AQ$1,0),FALSE),"")</f>
        <v>0</v>
      </c>
      <c r="L198" s="173">
        <f>IFERROR(VLOOKUP($B198,Totalt!$B$1:$AQ$554,MATCH(L$2,Totalt!$B$1:$AQ$1,0),FALSE),"")</f>
        <v>0</v>
      </c>
      <c r="M198" s="173">
        <f>IFERROR(VLOOKUP($B198,Totalt!$B$1:$AQ$554,MATCH(M$2,Totalt!$B$1:$AQ$1,0),FALSE),"")</f>
        <v>0</v>
      </c>
      <c r="N198" s="173">
        <f>IFERROR(VLOOKUP($B198,Totalt!$B$1:$AQ$554,MATCH(N$2,Totalt!$B$1:$AQ$1,0),FALSE),"")</f>
        <v>0</v>
      </c>
      <c r="O198" s="173">
        <f>IFERROR(VLOOKUP($B198,Totalt!$B$1:$AQ$554,MATCH(O$2,Totalt!$B$1:$AQ$1,0),FALSE),"")</f>
        <v>47.295299999999997</v>
      </c>
      <c r="P198" s="173">
        <f>IFERROR(VLOOKUP($B198,Totalt!$B$1:$AQ$554,MATCH(P$2,Totalt!$B$1:$AQ$1,0),FALSE),"")</f>
        <v>0</v>
      </c>
      <c r="Q198" s="173">
        <f>IFERROR(VLOOKUP($B198,Totalt!$B$1:$AQ$554,MATCH(Q$2,Totalt!$B$1:$AQ$1,0),FALSE),"")</f>
        <v>0</v>
      </c>
      <c r="R198" s="173">
        <f>IFERROR(VLOOKUP($B198,Totalt!$B$1:$AQ$554,MATCH(R$2,Totalt!$B$1:$AQ$1,0),FALSE),"")</f>
        <v>0</v>
      </c>
      <c r="S198" s="173">
        <f>IFERROR(VLOOKUP($B198,Totalt!$B$1:$AQ$554,MATCH(S$2,Totalt!$B$1:$AQ$1,0),FALSE),"")</f>
        <v>0</v>
      </c>
      <c r="T198" s="173">
        <f>IFERROR(VLOOKUP($B198,Totalt!$B$1:$AQ$554,MATCH(T$2,Totalt!$B$1:$AQ$1,0),FALSE),"")</f>
        <v>0</v>
      </c>
      <c r="U198" s="173">
        <f>IFERROR(VLOOKUP($B198,Totalt!$B$1:$AQ$554,MATCH(U$2,Totalt!$B$1:$AQ$1,0),FALSE),"")</f>
        <v>0</v>
      </c>
      <c r="V198" s="173">
        <f>IFERROR(VLOOKUP($B198,Totalt!$B$1:$AQ$554,MATCH(V$2,Totalt!$B$1:$AQ$1,0),FALSE),"")</f>
        <v>0</v>
      </c>
      <c r="W198" s="173">
        <f>IFERROR(VLOOKUP($B198,Totalt!$B$1:$AQ$554,MATCH(W$2,Totalt!$B$1:$AQ$1,0),FALSE),"")</f>
        <v>0</v>
      </c>
      <c r="X198" s="173">
        <f>IFERROR(VLOOKUP($B198,Totalt!$B$1:$AQ$554,MATCH(X$2,Totalt!$B$1:$AQ$1,0),FALSE),"")</f>
        <v>0</v>
      </c>
      <c r="Y198" s="173">
        <f>IFERROR(VLOOKUP($B198,Totalt!$B$1:$AQ$554,MATCH(Y$2,Totalt!$B$1:$AQ$1,0),FALSE),"")</f>
        <v>0</v>
      </c>
      <c r="Z198" s="173">
        <f>IFERROR(VLOOKUP($B198,Totalt!$B$1:$AQ$554,MATCH(Z$2,Totalt!$B$1:$AQ$1,0),FALSE),"")</f>
        <v>0</v>
      </c>
      <c r="AA198" s="173">
        <f>IFERROR(VLOOKUP($B198,Totalt!$B$1:$AQ$554,MATCH(AA$2,Totalt!$B$1:$AQ$1,0),FALSE),"")</f>
        <v>0</v>
      </c>
      <c r="AB198" s="173">
        <f>IFERROR(VLOOKUP($B198,Totalt!$B$1:$AQ$554,MATCH(AB$2,Totalt!$B$1:$AQ$1,0),FALSE),"")</f>
        <v>0</v>
      </c>
      <c r="AC198" s="173">
        <f>IFERROR(VLOOKUP($B198,Totalt!$B$1:$AQ$554,MATCH(AC$2,Totalt!$B$1:$AQ$1,0),FALSE),"")</f>
        <v>0</v>
      </c>
      <c r="AD198" s="173">
        <f>IFERROR(VLOOKUP($B198,Totalt!$B$1:$AQ$554,MATCH(AD$2,Totalt!$B$1:$AQ$1,0),FALSE),"")</f>
        <v>0</v>
      </c>
      <c r="AE198" s="173">
        <f>IFERROR(VLOOKUP($B198,Totalt!$B$1:$AQ$554,MATCH(AE$2,Totalt!$B$1:$AQ$1,0),FALSE),"")</f>
        <v>0</v>
      </c>
      <c r="AF198" s="173">
        <f>IFERROR(VLOOKUP($B198,Totalt!$B$1:$AQ$554,MATCH(AF$2,Totalt!$B$1:$AQ$1,0),FALSE),"")</f>
        <v>6.4656099999999999</v>
      </c>
      <c r="AG198" s="173">
        <f>IFERROR(VLOOKUP($B198,Totalt!$B$1:$AQ$554,MATCH(AG$2,Totalt!$B$1:$AQ$1,0),FALSE),"")</f>
        <v>0</v>
      </c>
      <c r="AI198" s="226">
        <f t="shared" si="18"/>
        <v>155.67765</v>
      </c>
      <c r="AJ198" s="226">
        <f>IF(ISERROR(1/VLOOKUP($B198,Leveranser!$B$1:$S$500,MATCH("såld värme (gwh)",Leveranser!$B$1:$S$1,0),FALSE)),"",VLOOKUP($B198,Leveranser!$B$1:$S$500,MATCH("såld värme (gwh)",Leveranser!$B$1:$S$1,0),FALSE))</f>
        <v>144</v>
      </c>
      <c r="AM198" s="227" t="str">
        <f>IF(B198&lt;&gt;"",IF(VLOOKUP($B198,Totalt!$B$1:$AQ$554,MATCH("Kvalitetsgranskad:",Totalt!$B$1:$AQ$1,0),FALSE)="ja",VLOOKUP($B198,Miljö!$B$1:$AG$479,MATCH(AM$2,Miljö!$B$1:$AK$1,0),FALSE),""),"")</f>
        <v>Ja</v>
      </c>
      <c r="AN198" s="227" t="str">
        <f>IF(AM198="ja",VLOOKUP($B198,Miljö!$B$1:$J$479,MATCH("Typ av ursprungsspecificerad el   (Om inget värde anges används Nordisk residualmix, se inforuta) ()",Miljö!$B$1:$J$1,0),FALSE),IF(AM198="nej","Nordisk residualel",""))</f>
        <v>'Biobränsle'</v>
      </c>
      <c r="AO198" s="227">
        <f>IF(AM198="","",VLOOKUP($B198,Miljö!$B$1:$J$479,MATCH("Fossilandel för ursprungspecificerad el ()",Miljö!$B$1:$J$1,0),FALSE))</f>
        <v>0</v>
      </c>
      <c r="AP198" s="227">
        <f>IF(AM198="","",IFERROR(VLOOKUP($B198,Miljö!$B$1:$J$479,MATCH("Kärnkraftsandel för ursprungsspecificerad el ()",Miljö!$B$1:$J$1,0),FALSE)/1,0))</f>
        <v>0</v>
      </c>
      <c r="AQ198" s="227">
        <f t="shared" si="19"/>
        <v>1</v>
      </c>
      <c r="AR198" s="227"/>
      <c r="AS198" s="227" t="str">
        <f t="shared" si="20"/>
        <v>Nej</v>
      </c>
      <c r="AT198" s="227" t="str">
        <f>IF(AS198="ja",VLOOKUP($B198,Miljö!$B$1:$O$500,MATCH("Fossil andel i procent (%)",Miljö!$B$1:$O$1,0),FALSE)/100,"")</f>
        <v/>
      </c>
      <c r="AU198" s="227"/>
      <c r="AV198" s="227" t="str">
        <f t="shared" si="21"/>
        <v>Nej</v>
      </c>
      <c r="AW198" s="227" t="str">
        <f>IF(AV198="ja",VLOOKUP($B198,'Egen hetvattenprod'!$B$1:$AO$500,MATCH("Värmekälla till värmepumpar ()",'Egen hetvattenprod'!$B$1:$AO$1,0),FALSE),"")</f>
        <v/>
      </c>
      <c r="AX198" s="227"/>
      <c r="AY198" s="227" t="str">
        <f t="shared" si="22"/>
        <v>Nej</v>
      </c>
      <c r="AZ198" s="228" t="str">
        <f>IF($AY198="ja",(VLOOKUP($B198,'Egen hetvattenprod'!$B$1:$BX$550,MATCH(AZ$2,'Egen hetvattenprod'!$B$1:$BX$1,0),FALSE)+VLOOKUP($B198,Kraftvärmeprod!$B$1:$BX$550,MATCH(AZ$2,Kraftvärmeprod!$B$1:$BX$1,0),FALSE))/$AC198,"")</f>
        <v/>
      </c>
      <c r="BA198" s="228" t="str">
        <f>IF($AY198="ja",(VLOOKUP($B198,'Egen hetvattenprod'!$B$1:$BX$550,MATCH(BA$2,'Egen hetvattenprod'!$B$1:$BX$1,0),FALSE)+VLOOKUP($B198,Kraftvärmeprod!$B$1:$BX$550,MATCH(BA$2,Kraftvärmeprod!$B$1:$BX$1,0),FALSE))/$AC198,"")</f>
        <v/>
      </c>
      <c r="BB198" s="228" t="str">
        <f>IF($AY198="ja",(VLOOKUP($B198,'Egen hetvattenprod'!$B$1:$BX$550,MATCH(BB$2,'Egen hetvattenprod'!$B$1:$BX$1,0),FALSE)+VLOOKUP($B198,Kraftvärmeprod!$B$1:$BX$550,MATCH(BB$2,Kraftvärmeprod!$B$1:$BX$1,0),FALSE))/$AC198,"")</f>
        <v/>
      </c>
      <c r="BC198" s="228" t="str">
        <f>IF($AY198="ja",(VLOOKUP($B198,'Egen hetvattenprod'!$B$1:$BX$550,MATCH(BC$2,'Egen hetvattenprod'!$B$1:$BX$1,0),FALSE)+VLOOKUP($B198,Kraftvärmeprod!$B$1:$BX$550,MATCH(BC$2,Kraftvärmeprod!$B$1:$BX$1,0),FALSE))/$AC198,"")</f>
        <v/>
      </c>
      <c r="BD198" s="228" t="str">
        <f>IF($AY198="ja",(VLOOKUP($B198,'Egen hetvattenprod'!$B$1:$BX$550,MATCH(BD$2,'Egen hetvattenprod'!$B$1:$BX$1,0),FALSE)+VLOOKUP($B198,Kraftvärmeprod!$B$1:$BX$550,MATCH(BD$2,Kraftvärmeprod!$B$1:$BX$1,0),FALSE))/$AC198,"")</f>
        <v/>
      </c>
      <c r="BE198" s="227"/>
      <c r="BF198" s="227" t="str">
        <f t="shared" si="23"/>
        <v>Ja</v>
      </c>
      <c r="BG198" s="227" t="str">
        <f>IF($BF198="ja",VLOOKUP($B198,'Egen hetvattenprod'!$B$1:$BX$550,MATCH("Andelen klimatgaser med fossilt ursprung för avfall ()",'Egen hetvattenprod'!$B$1:$BX$1,0),FALSE),"")</f>
        <v>Ingen redovisning</v>
      </c>
      <c r="BH198" s="227" t="str">
        <f>IF($BF198="ja",VLOOKUP($B198,Kraftvärmeprod!$B$1:$BX$550,MATCH("Andelen klimatgaser med fossilt ursprung för avfall ()",Kraftvärmeprod!$B$1:$BX$1,0),FALSE),"")</f>
        <v>Schablon</v>
      </c>
      <c r="BI198" s="227" t="str">
        <f>IF($BF198="ja",VLOOKUP($B198,'Egen hetvattenprod'!$B$1:$BX$550,MATCH("Avfall (GWh)",'Egen hetvattenprod'!$B$1:$BX$1,0),FALSE),"")</f>
        <v>ET</v>
      </c>
      <c r="BJ198" s="227">
        <f>IF($BF198="ja",VLOOKUP($B198,'Slutlig allokering kvv'!$B$1:$BX$550,MATCH("Avfall (GWh)",'Slutlig allokering kvv'!$B$1:$BX$1,0),FALSE),"")</f>
        <v>99.592699999999994</v>
      </c>
      <c r="BK198" s="227">
        <f>IF($BF198="ja",VLOOKUP($B198,'Köpt hetvatten'!$B$1:$BX$550,MATCH("Avfall i köpt hetvatten",'Köpt hetvatten'!$B$1:$BX$1,0),FALSE),"")</f>
        <v>0</v>
      </c>
      <c r="BL198" s="227" t="str">
        <f>IF($BF198="ja",VLOOKUP($B198,'Egen hetvattenprod'!$B$1:$BX$550,MATCH("Värde enligt ovan. (%)",'Egen hetvattenprod'!$B$1:$BX$1,0),FALSE),"")</f>
        <v>ET</v>
      </c>
      <c r="BM198" s="227">
        <f>IF($BF198="ja",VLOOKUP($B198,Kraftvärmeprod!$B$1:$BX$550,MATCH("Värde enligt ovan. (%)",Kraftvärmeprod!$B$1:$BX$1,0),FALSE),"")</f>
        <v>40.5</v>
      </c>
      <c r="BN198" s="227"/>
      <c r="BO198" s="227"/>
      <c r="BP198" s="227"/>
      <c r="BQ198" s="227" t="str">
        <f>IF($BF198="ja",VLOOKUP($B198,'Egen hetvattenprod'!$B$1:$BX$550,MATCH("Tillförd olja (fossil) vid avfallsförbränning (GWh)",'Egen hetvattenprod'!$B$1:$BX$1,0),FALSE),"")</f>
        <v>ET</v>
      </c>
      <c r="BR198" s="227">
        <f>IF($BF198="ja",VLOOKUP($B198,Kraftvärmeprod!$B$1:$BX$550,MATCH("Tillförd olja (fossil) vid avfallsförbränning (GWh)",Kraftvärmeprod!$B$1:$BX$1,0),FALSE),"")</f>
        <v>2.7</v>
      </c>
      <c r="BS198" s="227"/>
      <c r="BT198" s="227"/>
      <c r="BU198" s="227"/>
    </row>
    <row r="199" spans="1:73" x14ac:dyDescent="0.25">
      <c r="A199" s="121" t="str">
        <f>'Miljövärden för publ företag'!B202</f>
        <v>Nässjö Affärsverk AB</v>
      </c>
      <c r="B199" s="121" t="str">
        <f>'Miljövärden för publ företag'!C202</f>
        <v>Anneberg</v>
      </c>
      <c r="C199" s="173">
        <f>IFERROR(VLOOKUP($B199,Totalt!$B$1:$AQ$554,MATCH(C$2,Totalt!$B$1:$AQ$1,0),FALSE),"")</f>
        <v>0</v>
      </c>
      <c r="D199" s="173">
        <f>IFERROR(VLOOKUP($B199,Totalt!$B$1:$AQ$554,MATCH(D$2,Totalt!$B$1:$AQ$1,0),FALSE),"")</f>
        <v>6.8000000000000005E-2</v>
      </c>
      <c r="E199" s="173">
        <f>IFERROR(VLOOKUP($B199,Totalt!$B$1:$AQ$554,MATCH(E$2,Totalt!$B$1:$AQ$1,0),FALSE),"")</f>
        <v>0</v>
      </c>
      <c r="F199" s="173">
        <f>IFERROR(VLOOKUP($B199,Totalt!$B$1:$AQ$554,MATCH(F$2,Totalt!$B$1:$AQ$1,0),FALSE),"")</f>
        <v>0</v>
      </c>
      <c r="G199" s="173">
        <f>IFERROR(VLOOKUP($B199,Totalt!$B$1:$AQ$554,MATCH(G$2,Totalt!$B$1:$AQ$1,0),FALSE),"")</f>
        <v>0</v>
      </c>
      <c r="H199" s="173">
        <f>IFERROR(VLOOKUP($B199,Totalt!$B$1:$AQ$554,MATCH(H$2,Totalt!$B$1:$AQ$1,0),FALSE),"")</f>
        <v>0</v>
      </c>
      <c r="I199" s="173">
        <f>IFERROR(VLOOKUP($B199,Totalt!$B$1:$AQ$554,MATCH(I$2,Totalt!$B$1:$AQ$1,0),FALSE),"")</f>
        <v>0</v>
      </c>
      <c r="J199" s="173">
        <f>IFERROR(VLOOKUP($B199,Totalt!$B$1:$AQ$554,MATCH(J$2,Totalt!$B$1:$AQ$1,0),FALSE),"")</f>
        <v>0</v>
      </c>
      <c r="K199" s="173">
        <f>IFERROR(VLOOKUP($B199,Totalt!$B$1:$AQ$554,MATCH(K$2,Totalt!$B$1:$AQ$1,0),FALSE),"")</f>
        <v>0</v>
      </c>
      <c r="L199" s="173">
        <f>IFERROR(VLOOKUP($B199,Totalt!$B$1:$AQ$554,MATCH(L$2,Totalt!$B$1:$AQ$1,0),FALSE),"")</f>
        <v>0</v>
      </c>
      <c r="M199" s="173">
        <f>IFERROR(VLOOKUP($B199,Totalt!$B$1:$AQ$554,MATCH(M$2,Totalt!$B$1:$AQ$1,0),FALSE),"")</f>
        <v>0</v>
      </c>
      <c r="N199" s="173">
        <f>IFERROR(VLOOKUP($B199,Totalt!$B$1:$AQ$554,MATCH(N$2,Totalt!$B$1:$AQ$1,0),FALSE),"")</f>
        <v>0</v>
      </c>
      <c r="O199" s="173">
        <f>IFERROR(VLOOKUP($B199,Totalt!$B$1:$AQ$554,MATCH(O$2,Totalt!$B$1:$AQ$1,0),FALSE),"")</f>
        <v>0</v>
      </c>
      <c r="P199" s="173">
        <f>IFERROR(VLOOKUP($B199,Totalt!$B$1:$AQ$554,MATCH(P$2,Totalt!$B$1:$AQ$1,0),FALSE),"")</f>
        <v>0</v>
      </c>
      <c r="Q199" s="173">
        <f>IFERROR(VLOOKUP($B199,Totalt!$B$1:$AQ$554,MATCH(Q$2,Totalt!$B$1:$AQ$1,0),FALSE),"")</f>
        <v>0</v>
      </c>
      <c r="R199" s="173">
        <f>IFERROR(VLOOKUP($B199,Totalt!$B$1:$AQ$554,MATCH(R$2,Totalt!$B$1:$AQ$1,0),FALSE),"")</f>
        <v>2.0419999999999998</v>
      </c>
      <c r="S199" s="173">
        <f>IFERROR(VLOOKUP($B199,Totalt!$B$1:$AQ$554,MATCH(S$2,Totalt!$B$1:$AQ$1,0),FALSE),"")</f>
        <v>0</v>
      </c>
      <c r="T199" s="173">
        <f>IFERROR(VLOOKUP($B199,Totalt!$B$1:$AQ$554,MATCH(T$2,Totalt!$B$1:$AQ$1,0),FALSE),"")</f>
        <v>0</v>
      </c>
      <c r="U199" s="173">
        <f>IFERROR(VLOOKUP($B199,Totalt!$B$1:$AQ$554,MATCH(U$2,Totalt!$B$1:$AQ$1,0),FALSE),"")</f>
        <v>0</v>
      </c>
      <c r="V199" s="173">
        <f>IFERROR(VLOOKUP($B199,Totalt!$B$1:$AQ$554,MATCH(V$2,Totalt!$B$1:$AQ$1,0),FALSE),"")</f>
        <v>0</v>
      </c>
      <c r="W199" s="173">
        <f>IFERROR(VLOOKUP($B199,Totalt!$B$1:$AQ$554,MATCH(W$2,Totalt!$B$1:$AQ$1,0),FALSE),"")</f>
        <v>0</v>
      </c>
      <c r="X199" s="173">
        <f>IFERROR(VLOOKUP($B199,Totalt!$B$1:$AQ$554,MATCH(X$2,Totalt!$B$1:$AQ$1,0),FALSE),"")</f>
        <v>0</v>
      </c>
      <c r="Y199" s="173">
        <f>IFERROR(VLOOKUP($B199,Totalt!$B$1:$AQ$554,MATCH(Y$2,Totalt!$B$1:$AQ$1,0),FALSE),"")</f>
        <v>0</v>
      </c>
      <c r="Z199" s="173">
        <f>IFERROR(VLOOKUP($B199,Totalt!$B$1:$AQ$554,MATCH(Z$2,Totalt!$B$1:$AQ$1,0),FALSE),"")</f>
        <v>0</v>
      </c>
      <c r="AA199" s="173">
        <f>IFERROR(VLOOKUP($B199,Totalt!$B$1:$AQ$554,MATCH(AA$2,Totalt!$B$1:$AQ$1,0),FALSE),"")</f>
        <v>0</v>
      </c>
      <c r="AB199" s="173">
        <f>IFERROR(VLOOKUP($B199,Totalt!$B$1:$AQ$554,MATCH(AB$2,Totalt!$B$1:$AQ$1,0),FALSE),"")</f>
        <v>0</v>
      </c>
      <c r="AC199" s="173">
        <f>IFERROR(VLOOKUP($B199,Totalt!$B$1:$AQ$554,MATCH(AC$2,Totalt!$B$1:$AQ$1,0),FALSE),"")</f>
        <v>0</v>
      </c>
      <c r="AD199" s="173">
        <f>IFERROR(VLOOKUP($B199,Totalt!$B$1:$AQ$554,MATCH(AD$2,Totalt!$B$1:$AQ$1,0),FALSE),"")</f>
        <v>0</v>
      </c>
      <c r="AE199" s="173">
        <f>IFERROR(VLOOKUP($B199,Totalt!$B$1:$AQ$554,MATCH(AE$2,Totalt!$B$1:$AQ$1,0),FALSE),"")</f>
        <v>0</v>
      </c>
      <c r="AF199" s="173">
        <f>IFERROR(VLOOKUP($B199,Totalt!$B$1:$AQ$554,MATCH(AF$2,Totalt!$B$1:$AQ$1,0),FALSE),"")</f>
        <v>3.5000000000000003E-2</v>
      </c>
      <c r="AG199" s="173">
        <f>IFERROR(VLOOKUP($B199,Totalt!$B$1:$AQ$554,MATCH(AG$2,Totalt!$B$1:$AQ$1,0),FALSE),"")</f>
        <v>0</v>
      </c>
      <c r="AI199" s="226">
        <f t="shared" si="18"/>
        <v>2.145</v>
      </c>
      <c r="AJ199" s="226">
        <f>IF(ISERROR(1/VLOOKUP($B199,Leveranser!$B$1:$S$500,MATCH("såld värme (gwh)",Leveranser!$B$1:$S$1,0),FALSE)),"",VLOOKUP($B199,Leveranser!$B$1:$S$500,MATCH("såld värme (gwh)",Leveranser!$B$1:$S$1,0),FALSE))</f>
        <v>1.72</v>
      </c>
      <c r="AM199" s="227" t="str">
        <f>IF(B199&lt;&gt;"",IF(VLOOKUP($B199,Totalt!$B$1:$AQ$554,MATCH("Kvalitetsgranskad:",Totalt!$B$1:$AQ$1,0),FALSE)="ja",VLOOKUP($B199,Miljö!$B$1:$AG$479,MATCH(AM$2,Miljö!$B$1:$AK$1,0),FALSE),""),"")</f>
        <v>Ja</v>
      </c>
      <c r="AN199" s="227" t="str">
        <f>IF(AM199="ja",VLOOKUP($B199,Miljö!$B$1:$J$479,MATCH("Typ av ursprungsspecificerad el   (Om inget värde anges används Nordisk residualmix, se inforuta) ()",Miljö!$B$1:$J$1,0),FALSE),IF(AM199="nej","Nordisk residualel",""))</f>
        <v>'Bixia Miljömärkt'</v>
      </c>
      <c r="AO199" s="227">
        <f>IF(AM199="","",VLOOKUP($B199,Miljö!$B$1:$J$479,MATCH("Fossilandel för ursprungspecificerad el ()",Miljö!$B$1:$J$1,0),FALSE))</f>
        <v>0</v>
      </c>
      <c r="AP199" s="227">
        <f>IF(AM199="","",IFERROR(VLOOKUP($B199,Miljö!$B$1:$J$479,MATCH("Kärnkraftsandel för ursprungsspecificerad el ()",Miljö!$B$1:$J$1,0),FALSE)/1,0))</f>
        <v>0</v>
      </c>
      <c r="AQ199" s="227">
        <f t="shared" si="19"/>
        <v>1</v>
      </c>
      <c r="AR199" s="227"/>
      <c r="AS199" s="227" t="str">
        <f t="shared" si="20"/>
        <v>Nej</v>
      </c>
      <c r="AT199" s="227" t="str">
        <f>IF(AS199="ja",VLOOKUP($B199,Miljö!$B$1:$O$500,MATCH("Fossil andel i procent (%)",Miljö!$B$1:$O$1,0),FALSE)/100,"")</f>
        <v/>
      </c>
      <c r="AU199" s="227"/>
      <c r="AV199" s="227" t="str">
        <f t="shared" si="21"/>
        <v>Nej</v>
      </c>
      <c r="AW199" s="227" t="str">
        <f>IF(AV199="ja",VLOOKUP($B199,'Egen hetvattenprod'!$B$1:$AO$500,MATCH("Värmekälla till värmepumpar ()",'Egen hetvattenprod'!$B$1:$AO$1,0),FALSE),"")</f>
        <v/>
      </c>
      <c r="AX199" s="227"/>
      <c r="AY199" s="227" t="str">
        <f t="shared" si="22"/>
        <v>Nej</v>
      </c>
      <c r="AZ199" s="228" t="str">
        <f>IF($AY199="ja",(VLOOKUP($B199,'Egen hetvattenprod'!$B$1:$BX$550,MATCH(AZ$2,'Egen hetvattenprod'!$B$1:$BX$1,0),FALSE)+VLOOKUP($B199,Kraftvärmeprod!$B$1:$BX$550,MATCH(AZ$2,Kraftvärmeprod!$B$1:$BX$1,0),FALSE))/$AC199,"")</f>
        <v/>
      </c>
      <c r="BA199" s="228" t="str">
        <f>IF($AY199="ja",(VLOOKUP($B199,'Egen hetvattenprod'!$B$1:$BX$550,MATCH(BA$2,'Egen hetvattenprod'!$B$1:$BX$1,0),FALSE)+VLOOKUP($B199,Kraftvärmeprod!$B$1:$BX$550,MATCH(BA$2,Kraftvärmeprod!$B$1:$BX$1,0),FALSE))/$AC199,"")</f>
        <v/>
      </c>
      <c r="BB199" s="228" t="str">
        <f>IF($AY199="ja",(VLOOKUP($B199,'Egen hetvattenprod'!$B$1:$BX$550,MATCH(BB$2,'Egen hetvattenprod'!$B$1:$BX$1,0),FALSE)+VLOOKUP($B199,Kraftvärmeprod!$B$1:$BX$550,MATCH(BB$2,Kraftvärmeprod!$B$1:$BX$1,0),FALSE))/$AC199,"")</f>
        <v/>
      </c>
      <c r="BC199" s="228" t="str">
        <f>IF($AY199="ja",(VLOOKUP($B199,'Egen hetvattenprod'!$B$1:$BX$550,MATCH(BC$2,'Egen hetvattenprod'!$B$1:$BX$1,0),FALSE)+VLOOKUP($B199,Kraftvärmeprod!$B$1:$BX$550,MATCH(BC$2,Kraftvärmeprod!$B$1:$BX$1,0),FALSE))/$AC199,"")</f>
        <v/>
      </c>
      <c r="BD199" s="228" t="str">
        <f>IF($AY199="ja",(VLOOKUP($B199,'Egen hetvattenprod'!$B$1:$BX$550,MATCH(BD$2,'Egen hetvattenprod'!$B$1:$BX$1,0),FALSE)+VLOOKUP($B199,Kraftvärmeprod!$B$1:$BX$550,MATCH(BD$2,Kraftvärmeprod!$B$1:$BX$1,0),FALSE))/$AC199,"")</f>
        <v/>
      </c>
      <c r="BE199" s="227"/>
      <c r="BF199" s="227" t="str">
        <f t="shared" si="23"/>
        <v>Nej</v>
      </c>
      <c r="BG199" s="227" t="str">
        <f>IF($BF199="ja",VLOOKUP($B199,'Egen hetvattenprod'!$B$1:$BX$550,MATCH("Andelen klimatgaser med fossilt ursprung för avfall ()",'Egen hetvattenprod'!$B$1:$BX$1,0),FALSE),"")</f>
        <v/>
      </c>
      <c r="BH199" s="227" t="str">
        <f>IF($BF199="ja",VLOOKUP($B199,Kraftvärmeprod!$B$1:$BX$550,MATCH("Andelen klimatgaser med fossilt ursprung för avfall ()",Kraftvärmeprod!$B$1:$BX$1,0),FALSE),"")</f>
        <v/>
      </c>
      <c r="BI199" s="227" t="str">
        <f>IF($BF199="ja",VLOOKUP($B199,'Egen hetvattenprod'!$B$1:$BX$550,MATCH("Avfall (GWh)",'Egen hetvattenprod'!$B$1:$BX$1,0),FALSE),"")</f>
        <v/>
      </c>
      <c r="BJ199" s="227" t="str">
        <f>IF($BF199="ja",VLOOKUP($B199,'Slutlig allokering kvv'!$B$1:$BX$550,MATCH("Avfall (GWh)",'Slutlig allokering kvv'!$B$1:$BX$1,0),FALSE),"")</f>
        <v/>
      </c>
      <c r="BK199" s="227" t="str">
        <f>IF($BF199="ja",VLOOKUP($B199,'Köpt hetvatten'!$B$1:$BX$550,MATCH("Avfall i köpt hetvatten",'Köpt hetvatten'!$B$1:$BX$1,0),FALSE),"")</f>
        <v/>
      </c>
      <c r="BL199" s="227" t="str">
        <f>IF($BF199="ja",VLOOKUP($B199,'Egen hetvattenprod'!$B$1:$BX$550,MATCH("Värde enligt ovan. (%)",'Egen hetvattenprod'!$B$1:$BX$1,0),FALSE),"")</f>
        <v/>
      </c>
      <c r="BM199" s="227" t="str">
        <f>IF($BF199="ja",VLOOKUP($B199,Kraftvärmeprod!$B$1:$BX$550,MATCH("Värde enligt ovan. (%)",Kraftvärmeprod!$B$1:$BX$1,0),FALSE),"")</f>
        <v/>
      </c>
      <c r="BN199" s="227"/>
      <c r="BO199" s="227"/>
      <c r="BP199" s="227"/>
      <c r="BQ199" s="227" t="str">
        <f>IF($BF199="ja",VLOOKUP($B199,'Egen hetvattenprod'!$B$1:$BX$550,MATCH("Tillförd olja (fossil) vid avfallsförbränning (GWh)",'Egen hetvattenprod'!$B$1:$BX$1,0),FALSE),"")</f>
        <v/>
      </c>
      <c r="BR199" s="227" t="str">
        <f>IF($BF199="ja",VLOOKUP($B199,Kraftvärmeprod!$B$1:$BX$550,MATCH("Tillförd olja (fossil) vid avfallsförbränning (GWh)",Kraftvärmeprod!$B$1:$BX$1,0),FALSE),"")</f>
        <v/>
      </c>
      <c r="BS199" s="227"/>
      <c r="BT199" s="227"/>
      <c r="BU199" s="227"/>
    </row>
    <row r="200" spans="1:73" x14ac:dyDescent="0.25">
      <c r="A200" s="121" t="str">
        <f>'Miljövärden för publ företag'!B203</f>
        <v>Nässjö Affärsverk AB</v>
      </c>
      <c r="B200" s="121" t="str">
        <f>'Miljövärden för publ företag'!C203</f>
        <v>Bodafors</v>
      </c>
      <c r="C200" s="173">
        <f>IFERROR(VLOOKUP($B200,Totalt!$B$1:$AQ$554,MATCH(C$2,Totalt!$B$1:$AQ$1,0),FALSE),"")</f>
        <v>0</v>
      </c>
      <c r="D200" s="173">
        <f>IFERROR(VLOOKUP($B200,Totalt!$B$1:$AQ$554,MATCH(D$2,Totalt!$B$1:$AQ$1,0),FALSE),"")</f>
        <v>0.42799999999999999</v>
      </c>
      <c r="E200" s="173">
        <f>IFERROR(VLOOKUP($B200,Totalt!$B$1:$AQ$554,MATCH(E$2,Totalt!$B$1:$AQ$1,0),FALSE),"")</f>
        <v>0</v>
      </c>
      <c r="F200" s="173">
        <f>IFERROR(VLOOKUP($B200,Totalt!$B$1:$AQ$554,MATCH(F$2,Totalt!$B$1:$AQ$1,0),FALSE),"")</f>
        <v>0</v>
      </c>
      <c r="G200" s="173">
        <f>IFERROR(VLOOKUP($B200,Totalt!$B$1:$AQ$554,MATCH(G$2,Totalt!$B$1:$AQ$1,0),FALSE),"")</f>
        <v>0</v>
      </c>
      <c r="H200" s="173">
        <f>IFERROR(VLOOKUP($B200,Totalt!$B$1:$AQ$554,MATCH(H$2,Totalt!$B$1:$AQ$1,0),FALSE),"")</f>
        <v>0</v>
      </c>
      <c r="I200" s="173">
        <f>IFERROR(VLOOKUP($B200,Totalt!$B$1:$AQ$554,MATCH(I$2,Totalt!$B$1:$AQ$1,0),FALSE),"")</f>
        <v>0</v>
      </c>
      <c r="J200" s="173">
        <f>IFERROR(VLOOKUP($B200,Totalt!$B$1:$AQ$554,MATCH(J$2,Totalt!$B$1:$AQ$1,0),FALSE),"")</f>
        <v>0</v>
      </c>
      <c r="K200" s="173">
        <f>IFERROR(VLOOKUP($B200,Totalt!$B$1:$AQ$554,MATCH(K$2,Totalt!$B$1:$AQ$1,0),FALSE),"")</f>
        <v>0</v>
      </c>
      <c r="L200" s="173">
        <f>IFERROR(VLOOKUP($B200,Totalt!$B$1:$AQ$554,MATCH(L$2,Totalt!$B$1:$AQ$1,0),FALSE),"")</f>
        <v>0</v>
      </c>
      <c r="M200" s="173">
        <f>IFERROR(VLOOKUP($B200,Totalt!$B$1:$AQ$554,MATCH(M$2,Totalt!$B$1:$AQ$1,0),FALSE),"")</f>
        <v>0</v>
      </c>
      <c r="N200" s="173">
        <f>IFERROR(VLOOKUP($B200,Totalt!$B$1:$AQ$554,MATCH(N$2,Totalt!$B$1:$AQ$1,0),FALSE),"")</f>
        <v>0</v>
      </c>
      <c r="O200" s="173">
        <f>IFERROR(VLOOKUP($B200,Totalt!$B$1:$AQ$554,MATCH(O$2,Totalt!$B$1:$AQ$1,0),FALSE),"")</f>
        <v>0</v>
      </c>
      <c r="P200" s="173">
        <f>IFERROR(VLOOKUP($B200,Totalt!$B$1:$AQ$554,MATCH(P$2,Totalt!$B$1:$AQ$1,0),FALSE),"")</f>
        <v>10.91</v>
      </c>
      <c r="Q200" s="173">
        <f>IFERROR(VLOOKUP($B200,Totalt!$B$1:$AQ$554,MATCH(Q$2,Totalt!$B$1:$AQ$1,0),FALSE),"")</f>
        <v>0</v>
      </c>
      <c r="R200" s="173">
        <f>IFERROR(VLOOKUP($B200,Totalt!$B$1:$AQ$554,MATCH(R$2,Totalt!$B$1:$AQ$1,0),FALSE),"")</f>
        <v>0</v>
      </c>
      <c r="S200" s="173">
        <f>IFERROR(VLOOKUP($B200,Totalt!$B$1:$AQ$554,MATCH(S$2,Totalt!$B$1:$AQ$1,0),FALSE),"")</f>
        <v>0</v>
      </c>
      <c r="T200" s="173">
        <f>IFERROR(VLOOKUP($B200,Totalt!$B$1:$AQ$554,MATCH(T$2,Totalt!$B$1:$AQ$1,0),FALSE),"")</f>
        <v>0</v>
      </c>
      <c r="U200" s="173">
        <f>IFERROR(VLOOKUP($B200,Totalt!$B$1:$AQ$554,MATCH(U$2,Totalt!$B$1:$AQ$1,0),FALSE),"")</f>
        <v>0</v>
      </c>
      <c r="V200" s="173">
        <f>IFERROR(VLOOKUP($B200,Totalt!$B$1:$AQ$554,MATCH(V$2,Totalt!$B$1:$AQ$1,0),FALSE),"")</f>
        <v>0</v>
      </c>
      <c r="W200" s="173">
        <f>IFERROR(VLOOKUP($B200,Totalt!$B$1:$AQ$554,MATCH(W$2,Totalt!$B$1:$AQ$1,0),FALSE),"")</f>
        <v>0.75</v>
      </c>
      <c r="X200" s="173">
        <f>IFERROR(VLOOKUP($B200,Totalt!$B$1:$AQ$554,MATCH(X$2,Totalt!$B$1:$AQ$1,0),FALSE),"")</f>
        <v>0</v>
      </c>
      <c r="Y200" s="173">
        <f>IFERROR(VLOOKUP($B200,Totalt!$B$1:$AQ$554,MATCH(Y$2,Totalt!$B$1:$AQ$1,0),FALSE),"")</f>
        <v>0</v>
      </c>
      <c r="Z200" s="173">
        <f>IFERROR(VLOOKUP($B200,Totalt!$B$1:$AQ$554,MATCH(Z$2,Totalt!$B$1:$AQ$1,0),FALSE),"")</f>
        <v>0</v>
      </c>
      <c r="AA200" s="173">
        <f>IFERROR(VLOOKUP($B200,Totalt!$B$1:$AQ$554,MATCH(AA$2,Totalt!$B$1:$AQ$1,0),FALSE),"")</f>
        <v>0</v>
      </c>
      <c r="AB200" s="173">
        <f>IFERROR(VLOOKUP($B200,Totalt!$B$1:$AQ$554,MATCH(AB$2,Totalt!$B$1:$AQ$1,0),FALSE),"")</f>
        <v>0</v>
      </c>
      <c r="AC200" s="173">
        <f>IFERROR(VLOOKUP($B200,Totalt!$B$1:$AQ$554,MATCH(AC$2,Totalt!$B$1:$AQ$1,0),FALSE),"")</f>
        <v>1.22</v>
      </c>
      <c r="AD200" s="173">
        <f>IFERROR(VLOOKUP($B200,Totalt!$B$1:$AQ$554,MATCH(AD$2,Totalt!$B$1:$AQ$1,0),FALSE),"")</f>
        <v>0</v>
      </c>
      <c r="AE200" s="173">
        <f>IFERROR(VLOOKUP($B200,Totalt!$B$1:$AQ$554,MATCH(AE$2,Totalt!$B$1:$AQ$1,0),FALSE),"")</f>
        <v>0</v>
      </c>
      <c r="AF200" s="173">
        <f>IFERROR(VLOOKUP($B200,Totalt!$B$1:$AQ$554,MATCH(AF$2,Totalt!$B$1:$AQ$1,0),FALSE),"")</f>
        <v>0.29499999999999998</v>
      </c>
      <c r="AG200" s="173">
        <f>IFERROR(VLOOKUP($B200,Totalt!$B$1:$AQ$554,MATCH(AG$2,Totalt!$B$1:$AQ$1,0),FALSE),"")</f>
        <v>0</v>
      </c>
      <c r="AI200" s="226">
        <f t="shared" si="18"/>
        <v>13.603000000000002</v>
      </c>
      <c r="AJ200" s="226">
        <f>IF(ISERROR(1/VLOOKUP($B200,Leveranser!$B$1:$S$500,MATCH("såld värme (gwh)",Leveranser!$B$1:$S$1,0),FALSE)),"",VLOOKUP($B200,Leveranser!$B$1:$S$500,MATCH("såld värme (gwh)",Leveranser!$B$1:$S$1,0),FALSE))</f>
        <v>10.56</v>
      </c>
      <c r="AM200" s="227" t="str">
        <f>IF(B200&lt;&gt;"",IF(VLOOKUP($B200,Totalt!$B$1:$AQ$554,MATCH("Kvalitetsgranskad:",Totalt!$B$1:$AQ$1,0),FALSE)="ja",VLOOKUP($B200,Miljö!$B$1:$AG$479,MATCH(AM$2,Miljö!$B$1:$AK$1,0),FALSE),""),"")</f>
        <v>Ja</v>
      </c>
      <c r="AN200" s="227" t="str">
        <f>IF(AM200="ja",VLOOKUP($B200,Miljö!$B$1:$J$479,MATCH("Typ av ursprungsspecificerad el   (Om inget värde anges används Nordisk residualmix, se inforuta) ()",Miljö!$B$1:$J$1,0),FALSE),IF(AM200="nej","Nordisk residualel",""))</f>
        <v>'BIxia Miljömärkt'</v>
      </c>
      <c r="AO200" s="227">
        <f>IF(AM200="","",VLOOKUP($B200,Miljö!$B$1:$J$479,MATCH("Fossilandel för ursprungspecificerad el ()",Miljö!$B$1:$J$1,0),FALSE))</f>
        <v>0</v>
      </c>
      <c r="AP200" s="227">
        <f>IF(AM200="","",IFERROR(VLOOKUP($B200,Miljö!$B$1:$J$479,MATCH("Kärnkraftsandel för ursprungsspecificerad el ()",Miljö!$B$1:$J$1,0),FALSE)/1,0))</f>
        <v>0</v>
      </c>
      <c r="AQ200" s="227">
        <f t="shared" si="19"/>
        <v>1</v>
      </c>
      <c r="AR200" s="227"/>
      <c r="AS200" s="227" t="str">
        <f t="shared" si="20"/>
        <v>Nej</v>
      </c>
      <c r="AT200" s="227" t="str">
        <f>IF(AS200="ja",VLOOKUP($B200,Miljö!$B$1:$O$500,MATCH("Fossil andel i procent (%)",Miljö!$B$1:$O$1,0),FALSE)/100,"")</f>
        <v/>
      </c>
      <c r="AU200" s="227"/>
      <c r="AV200" s="227" t="str">
        <f t="shared" si="21"/>
        <v>Nej</v>
      </c>
      <c r="AW200" s="227" t="str">
        <f>IF(AV200="ja",VLOOKUP($B200,'Egen hetvattenprod'!$B$1:$AO$500,MATCH("Värmekälla till värmepumpar ()",'Egen hetvattenprod'!$B$1:$AO$1,0),FALSE),"")</f>
        <v/>
      </c>
      <c r="AX200" s="227"/>
      <c r="AY200" s="227" t="str">
        <f t="shared" si="22"/>
        <v>Ja</v>
      </c>
      <c r="AZ200" s="228">
        <f>IF($AY200="ja",(VLOOKUP($B200,'Egen hetvattenprod'!$B$1:$BX$550,MATCH(AZ$2,'Egen hetvattenprod'!$B$1:$BX$1,0),FALSE)+VLOOKUP($B200,Kraftvärmeprod!$B$1:$BX$550,MATCH(AZ$2,Kraftvärmeprod!$B$1:$BX$1,0),FALSE))/$AC200,"")</f>
        <v>0</v>
      </c>
      <c r="BA200" s="228">
        <f>IF($AY200="ja",(VLOOKUP($B200,'Egen hetvattenprod'!$B$1:$BX$550,MATCH(BA$2,'Egen hetvattenprod'!$B$1:$BX$1,0),FALSE)+VLOOKUP($B200,Kraftvärmeprod!$B$1:$BX$550,MATCH(BA$2,Kraftvärmeprod!$B$1:$BX$1,0),FALSE))/$AC200,"")</f>
        <v>0</v>
      </c>
      <c r="BB200" s="228">
        <f>IF($AY200="ja",(VLOOKUP($B200,'Egen hetvattenprod'!$B$1:$BX$550,MATCH(BB$2,'Egen hetvattenprod'!$B$1:$BX$1,0),FALSE)+VLOOKUP($B200,Kraftvärmeprod!$B$1:$BX$550,MATCH(BB$2,Kraftvärmeprod!$B$1:$BX$1,0),FALSE))/$AC200,"")</f>
        <v>0</v>
      </c>
      <c r="BC200" s="228">
        <f>IF($AY200="ja",(VLOOKUP($B200,'Egen hetvattenprod'!$B$1:$BX$550,MATCH(BC$2,'Egen hetvattenprod'!$B$1:$BX$1,0),FALSE)+VLOOKUP($B200,Kraftvärmeprod!$B$1:$BX$550,MATCH(BC$2,Kraftvärmeprod!$B$1:$BX$1,0),FALSE))/$AC200,"")</f>
        <v>0</v>
      </c>
      <c r="BD200" s="228">
        <f>IF($AY200="ja",(VLOOKUP($B200,'Egen hetvattenprod'!$B$1:$BX$550,MATCH(BD$2,'Egen hetvattenprod'!$B$1:$BX$1,0),FALSE)+VLOOKUP($B200,Kraftvärmeprod!$B$1:$BX$550,MATCH(BD$2,Kraftvärmeprod!$B$1:$BX$1,0),FALSE))/$AC200,"")</f>
        <v>1</v>
      </c>
      <c r="BE200" s="227"/>
      <c r="BF200" s="227" t="str">
        <f t="shared" si="23"/>
        <v>Nej</v>
      </c>
      <c r="BG200" s="227" t="str">
        <f>IF($BF200="ja",VLOOKUP($B200,'Egen hetvattenprod'!$B$1:$BX$550,MATCH("Andelen klimatgaser med fossilt ursprung för avfall ()",'Egen hetvattenprod'!$B$1:$BX$1,0),FALSE),"")</f>
        <v/>
      </c>
      <c r="BH200" s="227" t="str">
        <f>IF($BF200="ja",VLOOKUP($B200,Kraftvärmeprod!$B$1:$BX$550,MATCH("Andelen klimatgaser med fossilt ursprung för avfall ()",Kraftvärmeprod!$B$1:$BX$1,0),FALSE),"")</f>
        <v/>
      </c>
      <c r="BI200" s="227" t="str">
        <f>IF($BF200="ja",VLOOKUP($B200,'Egen hetvattenprod'!$B$1:$BX$550,MATCH("Avfall (GWh)",'Egen hetvattenprod'!$B$1:$BX$1,0),FALSE),"")</f>
        <v/>
      </c>
      <c r="BJ200" s="227" t="str">
        <f>IF($BF200="ja",VLOOKUP($B200,'Slutlig allokering kvv'!$B$1:$BX$550,MATCH("Avfall (GWh)",'Slutlig allokering kvv'!$B$1:$BX$1,0),FALSE),"")</f>
        <v/>
      </c>
      <c r="BK200" s="227" t="str">
        <f>IF($BF200="ja",VLOOKUP($B200,'Köpt hetvatten'!$B$1:$BX$550,MATCH("Avfall i köpt hetvatten",'Köpt hetvatten'!$B$1:$BX$1,0),FALSE),"")</f>
        <v/>
      </c>
      <c r="BL200" s="227" t="str">
        <f>IF($BF200="ja",VLOOKUP($B200,'Egen hetvattenprod'!$B$1:$BX$550,MATCH("Värde enligt ovan. (%)",'Egen hetvattenprod'!$B$1:$BX$1,0),FALSE),"")</f>
        <v/>
      </c>
      <c r="BM200" s="227" t="str">
        <f>IF($BF200="ja",VLOOKUP($B200,Kraftvärmeprod!$B$1:$BX$550,MATCH("Värde enligt ovan. (%)",Kraftvärmeprod!$B$1:$BX$1,0),FALSE),"")</f>
        <v/>
      </c>
      <c r="BN200" s="227"/>
      <c r="BO200" s="227"/>
      <c r="BP200" s="227"/>
      <c r="BQ200" s="227" t="str">
        <f>IF($BF200="ja",VLOOKUP($B200,'Egen hetvattenprod'!$B$1:$BX$550,MATCH("Tillförd olja (fossil) vid avfallsförbränning (GWh)",'Egen hetvattenprod'!$B$1:$BX$1,0),FALSE),"")</f>
        <v/>
      </c>
      <c r="BR200" s="227" t="str">
        <f>IF($BF200="ja",VLOOKUP($B200,Kraftvärmeprod!$B$1:$BX$550,MATCH("Tillförd olja (fossil) vid avfallsförbränning (GWh)",Kraftvärmeprod!$B$1:$BX$1,0),FALSE),"")</f>
        <v/>
      </c>
      <c r="BS200" s="227"/>
      <c r="BT200" s="227"/>
      <c r="BU200" s="227"/>
    </row>
    <row r="201" spans="1:73" x14ac:dyDescent="0.25">
      <c r="A201" s="121" t="str">
        <f>'Miljövärden för publ företag'!B204</f>
        <v>Nässjö Affärsverk AB</v>
      </c>
      <c r="B201" s="121" t="str">
        <f>'Miljövärden för publ företag'!C204</f>
        <v>Nässjö</v>
      </c>
      <c r="C201" s="173">
        <f>IFERROR(VLOOKUP($B201,Totalt!$B$1:$AQ$554,MATCH(C$2,Totalt!$B$1:$AQ$1,0),FALSE),"")</f>
        <v>0</v>
      </c>
      <c r="D201" s="173">
        <f>IFERROR(VLOOKUP($B201,Totalt!$B$1:$AQ$554,MATCH(D$2,Totalt!$B$1:$AQ$1,0),FALSE),"")</f>
        <v>3.2450000000000001</v>
      </c>
      <c r="E201" s="173">
        <f>IFERROR(VLOOKUP($B201,Totalt!$B$1:$AQ$554,MATCH(E$2,Totalt!$B$1:$AQ$1,0),FALSE),"")</f>
        <v>3.5649999999999999</v>
      </c>
      <c r="F201" s="173">
        <f>IFERROR(VLOOKUP($B201,Totalt!$B$1:$AQ$554,MATCH(F$2,Totalt!$B$1:$AQ$1,0),FALSE),"")</f>
        <v>0</v>
      </c>
      <c r="G201" s="173">
        <f>IFERROR(VLOOKUP($B201,Totalt!$B$1:$AQ$554,MATCH(G$2,Totalt!$B$1:$AQ$1,0),FALSE),"")</f>
        <v>0</v>
      </c>
      <c r="H201" s="173">
        <f>IFERROR(VLOOKUP($B201,Totalt!$B$1:$AQ$554,MATCH(H$2,Totalt!$B$1:$AQ$1,0),FALSE),"")</f>
        <v>0</v>
      </c>
      <c r="I201" s="173">
        <f>IFERROR(VLOOKUP($B201,Totalt!$B$1:$AQ$554,MATCH(I$2,Totalt!$B$1:$AQ$1,0),FALSE),"")</f>
        <v>0</v>
      </c>
      <c r="J201" s="173">
        <f>IFERROR(VLOOKUP($B201,Totalt!$B$1:$AQ$554,MATCH(J$2,Totalt!$B$1:$AQ$1,0),FALSE),"")</f>
        <v>0</v>
      </c>
      <c r="K201" s="173">
        <f>IFERROR(VLOOKUP($B201,Totalt!$B$1:$AQ$554,MATCH(K$2,Totalt!$B$1:$AQ$1,0),FALSE),"")</f>
        <v>0</v>
      </c>
      <c r="L201" s="173">
        <f>IFERROR(VLOOKUP($B201,Totalt!$B$1:$AQ$554,MATCH(L$2,Totalt!$B$1:$AQ$1,0),FALSE),"")</f>
        <v>0</v>
      </c>
      <c r="M201" s="173">
        <f>IFERROR(VLOOKUP($B201,Totalt!$B$1:$AQ$554,MATCH(M$2,Totalt!$B$1:$AQ$1,0),FALSE),"")</f>
        <v>0</v>
      </c>
      <c r="N201" s="173">
        <f>IFERROR(VLOOKUP($B201,Totalt!$B$1:$AQ$554,MATCH(N$2,Totalt!$B$1:$AQ$1,0),FALSE),"")</f>
        <v>129.58099999999999</v>
      </c>
      <c r="O201" s="173">
        <f>IFERROR(VLOOKUP($B201,Totalt!$B$1:$AQ$554,MATCH(O$2,Totalt!$B$1:$AQ$1,0),FALSE),"")</f>
        <v>0</v>
      </c>
      <c r="P201" s="173">
        <f>IFERROR(VLOOKUP($B201,Totalt!$B$1:$AQ$554,MATCH(P$2,Totalt!$B$1:$AQ$1,0),FALSE),"")</f>
        <v>0</v>
      </c>
      <c r="Q201" s="173">
        <f>IFERROR(VLOOKUP($B201,Totalt!$B$1:$AQ$554,MATCH(Q$2,Totalt!$B$1:$AQ$1,0),FALSE),"")</f>
        <v>0</v>
      </c>
      <c r="R201" s="173">
        <f>IFERROR(VLOOKUP($B201,Totalt!$B$1:$AQ$554,MATCH(R$2,Totalt!$B$1:$AQ$1,0),FALSE),"")</f>
        <v>0</v>
      </c>
      <c r="S201" s="173">
        <f>IFERROR(VLOOKUP($B201,Totalt!$B$1:$AQ$554,MATCH(S$2,Totalt!$B$1:$AQ$1,0),FALSE),"")</f>
        <v>0</v>
      </c>
      <c r="T201" s="173">
        <f>IFERROR(VLOOKUP($B201,Totalt!$B$1:$AQ$554,MATCH(T$2,Totalt!$B$1:$AQ$1,0),FALSE),"")</f>
        <v>0</v>
      </c>
      <c r="U201" s="173">
        <f>IFERROR(VLOOKUP($B201,Totalt!$B$1:$AQ$554,MATCH(U$2,Totalt!$B$1:$AQ$1,0),FALSE),"")</f>
        <v>0</v>
      </c>
      <c r="V201" s="173">
        <f>IFERROR(VLOOKUP($B201,Totalt!$B$1:$AQ$554,MATCH(V$2,Totalt!$B$1:$AQ$1,0),FALSE),"")</f>
        <v>0</v>
      </c>
      <c r="W201" s="173">
        <f>IFERROR(VLOOKUP($B201,Totalt!$B$1:$AQ$554,MATCH(W$2,Totalt!$B$1:$AQ$1,0),FALSE),"")</f>
        <v>0</v>
      </c>
      <c r="X201" s="173">
        <f>IFERROR(VLOOKUP($B201,Totalt!$B$1:$AQ$554,MATCH(X$2,Totalt!$B$1:$AQ$1,0),FALSE),"")</f>
        <v>0</v>
      </c>
      <c r="Y201" s="173">
        <f>IFERROR(VLOOKUP($B201,Totalt!$B$1:$AQ$554,MATCH(Y$2,Totalt!$B$1:$AQ$1,0),FALSE),"")</f>
        <v>0</v>
      </c>
      <c r="Z201" s="173">
        <f>IFERROR(VLOOKUP($B201,Totalt!$B$1:$AQ$554,MATCH(Z$2,Totalt!$B$1:$AQ$1,0),FALSE),"")</f>
        <v>0</v>
      </c>
      <c r="AA201" s="173">
        <f>IFERROR(VLOOKUP($B201,Totalt!$B$1:$AQ$554,MATCH(AA$2,Totalt!$B$1:$AQ$1,0),FALSE),"")</f>
        <v>0</v>
      </c>
      <c r="AB201" s="173">
        <f>IFERROR(VLOOKUP($B201,Totalt!$B$1:$AQ$554,MATCH(AB$2,Totalt!$B$1:$AQ$1,0),FALSE),"")</f>
        <v>0</v>
      </c>
      <c r="AC201" s="173">
        <f>IFERROR(VLOOKUP($B201,Totalt!$B$1:$AQ$554,MATCH(AC$2,Totalt!$B$1:$AQ$1,0),FALSE),"")</f>
        <v>30.09</v>
      </c>
      <c r="AD201" s="173">
        <f>IFERROR(VLOOKUP($B201,Totalt!$B$1:$AQ$554,MATCH(AD$2,Totalt!$B$1:$AQ$1,0),FALSE),"")</f>
        <v>0</v>
      </c>
      <c r="AE201" s="173">
        <f>IFERROR(VLOOKUP($B201,Totalt!$B$1:$AQ$554,MATCH(AE$2,Totalt!$B$1:$AQ$1,0),FALSE),"")</f>
        <v>0</v>
      </c>
      <c r="AF201" s="173">
        <f>IFERROR(VLOOKUP($B201,Totalt!$B$1:$AQ$554,MATCH(AF$2,Totalt!$B$1:$AQ$1,0),FALSE),"")</f>
        <v>2.8884400000000001</v>
      </c>
      <c r="AG201" s="173">
        <f>IFERROR(VLOOKUP($B201,Totalt!$B$1:$AQ$554,MATCH(AG$2,Totalt!$B$1:$AQ$1,0),FALSE),"")</f>
        <v>0</v>
      </c>
      <c r="AI201" s="226">
        <f t="shared" si="18"/>
        <v>169.36944</v>
      </c>
      <c r="AJ201" s="226">
        <f>IF(ISERROR(1/VLOOKUP($B201,Leveranser!$B$1:$S$500,MATCH("såld värme (gwh)",Leveranser!$B$1:$S$1,0),FALSE)),"",VLOOKUP($B201,Leveranser!$B$1:$S$500,MATCH("såld värme (gwh)",Leveranser!$B$1:$S$1,0),FALSE))</f>
        <v>150.80000000000001</v>
      </c>
      <c r="AM201" s="227" t="str">
        <f>IF(B201&lt;&gt;"",IF(VLOOKUP($B201,Totalt!$B$1:$AQ$554,MATCH("Kvalitetsgranskad:",Totalt!$B$1:$AQ$1,0),FALSE)="ja",VLOOKUP($B201,Miljö!$B$1:$AG$479,MATCH(AM$2,Miljö!$B$1:$AK$1,0),FALSE),""),"")</f>
        <v>Ja</v>
      </c>
      <c r="AN201" s="227" t="str">
        <f>IF(AM201="ja",VLOOKUP($B201,Miljö!$B$1:$J$479,MATCH("Typ av ursprungsspecificerad el   (Om inget värde anges används Nordisk residualmix, se inforuta) ()",Miljö!$B$1:$J$1,0),FALSE),IF(AM201="nej","Nordisk residualel",""))</f>
        <v>'Bixia Miljömärkt'</v>
      </c>
      <c r="AO201" s="227">
        <f>IF(AM201="","",VLOOKUP($B201,Miljö!$B$1:$J$479,MATCH("Fossilandel för ursprungspecificerad el ()",Miljö!$B$1:$J$1,0),FALSE))</f>
        <v>0</v>
      </c>
      <c r="AP201" s="227">
        <f>IF(AM201="","",IFERROR(VLOOKUP($B201,Miljö!$B$1:$J$479,MATCH("Kärnkraftsandel för ursprungsspecificerad el ()",Miljö!$B$1:$J$1,0),FALSE)/1,0))</f>
        <v>0</v>
      </c>
      <c r="AQ201" s="227">
        <f t="shared" si="19"/>
        <v>1</v>
      </c>
      <c r="AR201" s="227"/>
      <c r="AS201" s="227" t="str">
        <f t="shared" si="20"/>
        <v>Nej</v>
      </c>
      <c r="AT201" s="227" t="str">
        <f>IF(AS201="ja",VLOOKUP($B201,Miljö!$B$1:$O$500,MATCH("Fossil andel i procent (%)",Miljö!$B$1:$O$1,0),FALSE)/100,"")</f>
        <v/>
      </c>
      <c r="AU201" s="227"/>
      <c r="AV201" s="227" t="str">
        <f t="shared" si="21"/>
        <v>Nej</v>
      </c>
      <c r="AW201" s="227" t="str">
        <f>IF(AV201="ja",VLOOKUP($B201,'Egen hetvattenprod'!$B$1:$AO$500,MATCH("Värmekälla till värmepumpar ()",'Egen hetvattenprod'!$B$1:$AO$1,0),FALSE),"")</f>
        <v/>
      </c>
      <c r="AX201" s="227"/>
      <c r="AY201" s="227" t="str">
        <f t="shared" si="22"/>
        <v>Ja</v>
      </c>
      <c r="AZ201" s="228">
        <f>IF($AY201="ja",(VLOOKUP($B201,'Egen hetvattenprod'!$B$1:$BX$550,MATCH(AZ$2,'Egen hetvattenprod'!$B$1:$BX$1,0),FALSE)+VLOOKUP($B201,Kraftvärmeprod!$B$1:$BX$550,MATCH(AZ$2,Kraftvärmeprod!$B$1:$BX$1,0),FALSE))/$AC201,"")</f>
        <v>0</v>
      </c>
      <c r="BA201" s="228">
        <f>IF($AY201="ja",(VLOOKUP($B201,'Egen hetvattenprod'!$B$1:$BX$550,MATCH(BA$2,'Egen hetvattenprod'!$B$1:$BX$1,0),FALSE)+VLOOKUP($B201,Kraftvärmeprod!$B$1:$BX$550,MATCH(BA$2,Kraftvärmeprod!$B$1:$BX$1,0),FALSE))/$AC201,"")</f>
        <v>0</v>
      </c>
      <c r="BB201" s="228">
        <f>IF($AY201="ja",(VLOOKUP($B201,'Egen hetvattenprod'!$B$1:$BX$550,MATCH(BB$2,'Egen hetvattenprod'!$B$1:$BX$1,0),FALSE)+VLOOKUP($B201,Kraftvärmeprod!$B$1:$BX$550,MATCH(BB$2,Kraftvärmeprod!$B$1:$BX$1,0),FALSE))/$AC201,"")</f>
        <v>0</v>
      </c>
      <c r="BC201" s="228">
        <f>IF($AY201="ja",(VLOOKUP($B201,'Egen hetvattenprod'!$B$1:$BX$550,MATCH(BC$2,'Egen hetvattenprod'!$B$1:$BX$1,0),FALSE)+VLOOKUP($B201,Kraftvärmeprod!$B$1:$BX$550,MATCH(BC$2,Kraftvärmeprod!$B$1:$BX$1,0),FALSE))/$AC201,"")</f>
        <v>0</v>
      </c>
      <c r="BD201" s="228">
        <f>IF($AY201="ja",(VLOOKUP($B201,'Egen hetvattenprod'!$B$1:$BX$550,MATCH(BD$2,'Egen hetvattenprod'!$B$1:$BX$1,0),FALSE)+VLOOKUP($B201,Kraftvärmeprod!$B$1:$BX$550,MATCH(BD$2,Kraftvärmeprod!$B$1:$BX$1,0),FALSE))/$AC201,"")</f>
        <v>1</v>
      </c>
      <c r="BE201" s="227"/>
      <c r="BF201" s="227" t="str">
        <f t="shared" si="23"/>
        <v>Nej</v>
      </c>
      <c r="BG201" s="227" t="str">
        <f>IF($BF201="ja",VLOOKUP($B201,'Egen hetvattenprod'!$B$1:$BX$550,MATCH("Andelen klimatgaser med fossilt ursprung för avfall ()",'Egen hetvattenprod'!$B$1:$BX$1,0),FALSE),"")</f>
        <v/>
      </c>
      <c r="BH201" s="227" t="str">
        <f>IF($BF201="ja",VLOOKUP($B201,Kraftvärmeprod!$B$1:$BX$550,MATCH("Andelen klimatgaser med fossilt ursprung för avfall ()",Kraftvärmeprod!$B$1:$BX$1,0),FALSE),"")</f>
        <v/>
      </c>
      <c r="BI201" s="227" t="str">
        <f>IF($BF201="ja",VLOOKUP($B201,'Egen hetvattenprod'!$B$1:$BX$550,MATCH("Avfall (GWh)",'Egen hetvattenprod'!$B$1:$BX$1,0),FALSE),"")</f>
        <v/>
      </c>
      <c r="BJ201" s="227" t="str">
        <f>IF($BF201="ja",VLOOKUP($B201,'Slutlig allokering kvv'!$B$1:$BX$550,MATCH("Avfall (GWh)",'Slutlig allokering kvv'!$B$1:$BX$1,0),FALSE),"")</f>
        <v/>
      </c>
      <c r="BK201" s="227" t="str">
        <f>IF($BF201="ja",VLOOKUP($B201,'Köpt hetvatten'!$B$1:$BX$550,MATCH("Avfall i köpt hetvatten",'Köpt hetvatten'!$B$1:$BX$1,0),FALSE),"")</f>
        <v/>
      </c>
      <c r="BL201" s="227" t="str">
        <f>IF($BF201="ja",VLOOKUP($B201,'Egen hetvattenprod'!$B$1:$BX$550,MATCH("Värde enligt ovan. (%)",'Egen hetvattenprod'!$B$1:$BX$1,0),FALSE),"")</f>
        <v/>
      </c>
      <c r="BM201" s="227" t="str">
        <f>IF($BF201="ja",VLOOKUP($B201,Kraftvärmeprod!$B$1:$BX$550,MATCH("Värde enligt ovan. (%)",Kraftvärmeprod!$B$1:$BX$1,0),FALSE),"")</f>
        <v/>
      </c>
      <c r="BN201" s="227"/>
      <c r="BO201" s="227"/>
      <c r="BP201" s="227"/>
      <c r="BQ201" s="227" t="str">
        <f>IF($BF201="ja",VLOOKUP($B201,'Egen hetvattenprod'!$B$1:$BX$550,MATCH("Tillförd olja (fossil) vid avfallsförbränning (GWh)",'Egen hetvattenprod'!$B$1:$BX$1,0),FALSE),"")</f>
        <v/>
      </c>
      <c r="BR201" s="227" t="str">
        <f>IF($BF201="ja",VLOOKUP($B201,Kraftvärmeprod!$B$1:$BX$550,MATCH("Tillförd olja (fossil) vid avfallsförbränning (GWh)",Kraftvärmeprod!$B$1:$BX$1,0),FALSE),"")</f>
        <v/>
      </c>
      <c r="BS201" s="227"/>
      <c r="BT201" s="227"/>
      <c r="BU201" s="227"/>
    </row>
    <row r="202" spans="1:73" x14ac:dyDescent="0.25">
      <c r="A202" s="121" t="str">
        <f>'Miljövärden för publ företag'!B205</f>
        <v>Olofströms Kraft AB</v>
      </c>
      <c r="B202" s="121" t="str">
        <f>'Miljövärden för publ företag'!C205</f>
        <v>Olofström</v>
      </c>
      <c r="C202" s="173">
        <f>IFERROR(VLOOKUP($B202,Totalt!$B$1:$AQ$554,MATCH(C$2,Totalt!$B$1:$AQ$1,0),FALSE),"")</f>
        <v>0</v>
      </c>
      <c r="D202" s="173">
        <f>IFERROR(VLOOKUP($B202,Totalt!$B$1:$AQ$554,MATCH(D$2,Totalt!$B$1:$AQ$1,0),FALSE),"")</f>
        <v>0</v>
      </c>
      <c r="E202" s="173">
        <f>IFERROR(VLOOKUP($B202,Totalt!$B$1:$AQ$554,MATCH(E$2,Totalt!$B$1:$AQ$1,0),FALSE),"")</f>
        <v>0</v>
      </c>
      <c r="F202" s="173">
        <f>IFERROR(VLOOKUP($B202,Totalt!$B$1:$AQ$554,MATCH(F$2,Totalt!$B$1:$AQ$1,0),FALSE),"")</f>
        <v>0</v>
      </c>
      <c r="G202" s="173">
        <f>IFERROR(VLOOKUP($B202,Totalt!$B$1:$AQ$554,MATCH(G$2,Totalt!$B$1:$AQ$1,0),FALSE),"")</f>
        <v>0</v>
      </c>
      <c r="H202" s="173">
        <f>IFERROR(VLOOKUP($B202,Totalt!$B$1:$AQ$554,MATCH(H$2,Totalt!$B$1:$AQ$1,0),FALSE),"")</f>
        <v>0</v>
      </c>
      <c r="I202" s="173">
        <f>IFERROR(VLOOKUP($B202,Totalt!$B$1:$AQ$554,MATCH(I$2,Totalt!$B$1:$AQ$1,0),FALSE),"")</f>
        <v>0</v>
      </c>
      <c r="J202" s="173">
        <f>IFERROR(VLOOKUP($B202,Totalt!$B$1:$AQ$554,MATCH(J$2,Totalt!$B$1:$AQ$1,0),FALSE),"")</f>
        <v>0</v>
      </c>
      <c r="K202" s="173">
        <f>IFERROR(VLOOKUP($B202,Totalt!$B$1:$AQ$554,MATCH(K$2,Totalt!$B$1:$AQ$1,0),FALSE),"")</f>
        <v>0</v>
      </c>
      <c r="L202" s="173">
        <f>IFERROR(VLOOKUP($B202,Totalt!$B$1:$AQ$554,MATCH(L$2,Totalt!$B$1:$AQ$1,0),FALSE),"")</f>
        <v>0</v>
      </c>
      <c r="M202" s="173">
        <f>IFERROR(VLOOKUP($B202,Totalt!$B$1:$AQ$554,MATCH(M$2,Totalt!$B$1:$AQ$1,0),FALSE),"")</f>
        <v>1.34</v>
      </c>
      <c r="N202" s="173">
        <f>IFERROR(VLOOKUP($B202,Totalt!$B$1:$AQ$554,MATCH(N$2,Totalt!$B$1:$AQ$1,0),FALSE),"")</f>
        <v>35.619999999999997</v>
      </c>
      <c r="O202" s="173">
        <f>IFERROR(VLOOKUP($B202,Totalt!$B$1:$AQ$554,MATCH(O$2,Totalt!$B$1:$AQ$1,0),FALSE),"")</f>
        <v>0</v>
      </c>
      <c r="P202" s="173">
        <f>IFERROR(VLOOKUP($B202,Totalt!$B$1:$AQ$554,MATCH(P$2,Totalt!$B$1:$AQ$1,0),FALSE),"")</f>
        <v>0</v>
      </c>
      <c r="Q202" s="173">
        <f>IFERROR(VLOOKUP($B202,Totalt!$B$1:$AQ$554,MATCH(Q$2,Totalt!$B$1:$AQ$1,0),FALSE),"")</f>
        <v>0</v>
      </c>
      <c r="R202" s="173">
        <f>IFERROR(VLOOKUP($B202,Totalt!$B$1:$AQ$554,MATCH(R$2,Totalt!$B$1:$AQ$1,0),FALSE),"")</f>
        <v>7.37</v>
      </c>
      <c r="S202" s="173">
        <f>IFERROR(VLOOKUP($B202,Totalt!$B$1:$AQ$554,MATCH(S$2,Totalt!$B$1:$AQ$1,0),FALSE),"")</f>
        <v>0</v>
      </c>
      <c r="T202" s="173">
        <f>IFERROR(VLOOKUP($B202,Totalt!$B$1:$AQ$554,MATCH(T$2,Totalt!$B$1:$AQ$1,0),FALSE),"")</f>
        <v>0</v>
      </c>
      <c r="U202" s="173">
        <f>IFERROR(VLOOKUP($B202,Totalt!$B$1:$AQ$554,MATCH(U$2,Totalt!$B$1:$AQ$1,0),FALSE),"")</f>
        <v>0</v>
      </c>
      <c r="V202" s="173">
        <f>IFERROR(VLOOKUP($B202,Totalt!$B$1:$AQ$554,MATCH(V$2,Totalt!$B$1:$AQ$1,0),FALSE),"")</f>
        <v>0</v>
      </c>
      <c r="W202" s="173">
        <f>IFERROR(VLOOKUP($B202,Totalt!$B$1:$AQ$554,MATCH(W$2,Totalt!$B$1:$AQ$1,0),FALSE),"")</f>
        <v>1.7</v>
      </c>
      <c r="X202" s="173">
        <f>IFERROR(VLOOKUP($B202,Totalt!$B$1:$AQ$554,MATCH(X$2,Totalt!$B$1:$AQ$1,0),FALSE),"")</f>
        <v>0</v>
      </c>
      <c r="Y202" s="173">
        <f>IFERROR(VLOOKUP($B202,Totalt!$B$1:$AQ$554,MATCH(Y$2,Totalt!$B$1:$AQ$1,0),FALSE),"")</f>
        <v>0</v>
      </c>
      <c r="Z202" s="173">
        <f>IFERROR(VLOOKUP($B202,Totalt!$B$1:$AQ$554,MATCH(Z$2,Totalt!$B$1:$AQ$1,0),FALSE),"")</f>
        <v>0.78</v>
      </c>
      <c r="AA202" s="173">
        <f>IFERROR(VLOOKUP($B202,Totalt!$B$1:$AQ$554,MATCH(AA$2,Totalt!$B$1:$AQ$1,0),FALSE),"")</f>
        <v>0</v>
      </c>
      <c r="AB202" s="173">
        <f>IFERROR(VLOOKUP($B202,Totalt!$B$1:$AQ$554,MATCH(AB$2,Totalt!$B$1:$AQ$1,0),FALSE),"")</f>
        <v>0</v>
      </c>
      <c r="AC202" s="173">
        <f>IFERROR(VLOOKUP($B202,Totalt!$B$1:$AQ$554,MATCH(AC$2,Totalt!$B$1:$AQ$1,0),FALSE),"")</f>
        <v>0</v>
      </c>
      <c r="AD202" s="173">
        <f>IFERROR(VLOOKUP($B202,Totalt!$B$1:$AQ$554,MATCH(AD$2,Totalt!$B$1:$AQ$1,0),FALSE),"")</f>
        <v>0</v>
      </c>
      <c r="AE202" s="173">
        <f>IFERROR(VLOOKUP($B202,Totalt!$B$1:$AQ$554,MATCH(AE$2,Totalt!$B$1:$AQ$1,0),FALSE),"")</f>
        <v>0</v>
      </c>
      <c r="AF202" s="173">
        <f>IFERROR(VLOOKUP($B202,Totalt!$B$1:$AQ$554,MATCH(AF$2,Totalt!$B$1:$AQ$1,0),FALSE),"")</f>
        <v>1.1870000000000001</v>
      </c>
      <c r="AG202" s="173">
        <f>IFERROR(VLOOKUP($B202,Totalt!$B$1:$AQ$554,MATCH(AG$2,Totalt!$B$1:$AQ$1,0),FALSE),"")</f>
        <v>0</v>
      </c>
      <c r="AI202" s="226">
        <f t="shared" si="18"/>
        <v>47.997</v>
      </c>
      <c r="AJ202" s="226">
        <f>IF(ISERROR(1/VLOOKUP($B202,Leveranser!$B$1:$S$500,MATCH("såld värme (gwh)",Leveranser!$B$1:$S$1,0),FALSE)),"",VLOOKUP($B202,Leveranser!$B$1:$S$500,MATCH("såld värme (gwh)",Leveranser!$B$1:$S$1,0),FALSE))</f>
        <v>49</v>
      </c>
      <c r="AM202" s="227" t="str">
        <f>IF(B202&lt;&gt;"",IF(VLOOKUP($B202,Totalt!$B$1:$AQ$554,MATCH("Kvalitetsgranskad:",Totalt!$B$1:$AQ$1,0),FALSE)="ja",VLOOKUP($B202,Miljö!$B$1:$AG$479,MATCH(AM$2,Miljö!$B$1:$AK$1,0),FALSE),""),"")</f>
        <v>Ja</v>
      </c>
      <c r="AN202" s="227" t="str">
        <f>IF(AM202="ja",VLOOKUP($B202,Miljö!$B$1:$J$479,MATCH("Typ av ursprungsspecificerad el   (Om inget värde anges används Nordisk residualmix, se inforuta) ()",Miljö!$B$1:$J$1,0),FALSE),IF(AM202="nej","Nordisk residualel",""))</f>
        <v>'Vattenkraft. Vindkraft. biobränsle och solkraft'</v>
      </c>
      <c r="AO202" s="227">
        <f>IF(AM202="","",VLOOKUP($B202,Miljö!$B$1:$J$479,MATCH("Fossilandel för ursprungspecificerad el ()",Miljö!$B$1:$J$1,0),FALSE))</f>
        <v>0</v>
      </c>
      <c r="AP202" s="227">
        <f>IF(AM202="","",IFERROR(VLOOKUP($B202,Miljö!$B$1:$J$479,MATCH("Kärnkraftsandel för ursprungsspecificerad el ()",Miljö!$B$1:$J$1,0),FALSE)/1,0))</f>
        <v>0</v>
      </c>
      <c r="AQ202" s="227">
        <f t="shared" si="19"/>
        <v>1</v>
      </c>
      <c r="AR202" s="227"/>
      <c r="AS202" s="227" t="str">
        <f t="shared" si="20"/>
        <v>Nej</v>
      </c>
      <c r="AT202" s="227" t="str">
        <f>IF(AS202="ja",VLOOKUP($B202,Miljö!$B$1:$O$500,MATCH("Fossil andel i procent (%)",Miljö!$B$1:$O$1,0),FALSE)/100,"")</f>
        <v/>
      </c>
      <c r="AU202" s="227"/>
      <c r="AV202" s="227" t="str">
        <f t="shared" si="21"/>
        <v>Nej</v>
      </c>
      <c r="AW202" s="227" t="str">
        <f>IF(AV202="ja",VLOOKUP($B202,'Egen hetvattenprod'!$B$1:$AO$500,MATCH("Värmekälla till värmepumpar ()",'Egen hetvattenprod'!$B$1:$AO$1,0),FALSE),"")</f>
        <v/>
      </c>
      <c r="AX202" s="227"/>
      <c r="AY202" s="227" t="str">
        <f t="shared" si="22"/>
        <v>Nej</v>
      </c>
      <c r="AZ202" s="228" t="str">
        <f>IF($AY202="ja",(VLOOKUP($B202,'Egen hetvattenprod'!$B$1:$BX$550,MATCH(AZ$2,'Egen hetvattenprod'!$B$1:$BX$1,0),FALSE)+VLOOKUP($B202,Kraftvärmeprod!$B$1:$BX$550,MATCH(AZ$2,Kraftvärmeprod!$B$1:$BX$1,0),FALSE))/$AC202,"")</f>
        <v/>
      </c>
      <c r="BA202" s="228" t="str">
        <f>IF($AY202="ja",(VLOOKUP($B202,'Egen hetvattenprod'!$B$1:$BX$550,MATCH(BA$2,'Egen hetvattenprod'!$B$1:$BX$1,0),FALSE)+VLOOKUP($B202,Kraftvärmeprod!$B$1:$BX$550,MATCH(BA$2,Kraftvärmeprod!$B$1:$BX$1,0),FALSE))/$AC202,"")</f>
        <v/>
      </c>
      <c r="BB202" s="228" t="str">
        <f>IF($AY202="ja",(VLOOKUP($B202,'Egen hetvattenprod'!$B$1:$BX$550,MATCH(BB$2,'Egen hetvattenprod'!$B$1:$BX$1,0),FALSE)+VLOOKUP($B202,Kraftvärmeprod!$B$1:$BX$550,MATCH(BB$2,Kraftvärmeprod!$B$1:$BX$1,0),FALSE))/$AC202,"")</f>
        <v/>
      </c>
      <c r="BC202" s="228" t="str">
        <f>IF($AY202="ja",(VLOOKUP($B202,'Egen hetvattenprod'!$B$1:$BX$550,MATCH(BC$2,'Egen hetvattenprod'!$B$1:$BX$1,0),FALSE)+VLOOKUP($B202,Kraftvärmeprod!$B$1:$BX$550,MATCH(BC$2,Kraftvärmeprod!$B$1:$BX$1,0),FALSE))/$AC202,"")</f>
        <v/>
      </c>
      <c r="BD202" s="228" t="str">
        <f>IF($AY202="ja",(VLOOKUP($B202,'Egen hetvattenprod'!$B$1:$BX$550,MATCH(BD$2,'Egen hetvattenprod'!$B$1:$BX$1,0),FALSE)+VLOOKUP($B202,Kraftvärmeprod!$B$1:$BX$550,MATCH(BD$2,Kraftvärmeprod!$B$1:$BX$1,0),FALSE))/$AC202,"")</f>
        <v/>
      </c>
      <c r="BE202" s="227"/>
      <c r="BF202" s="227" t="str">
        <f t="shared" si="23"/>
        <v>Nej</v>
      </c>
      <c r="BG202" s="227" t="str">
        <f>IF($BF202="ja",VLOOKUP($B202,'Egen hetvattenprod'!$B$1:$BX$550,MATCH("Andelen klimatgaser med fossilt ursprung för avfall ()",'Egen hetvattenprod'!$B$1:$BX$1,0),FALSE),"")</f>
        <v/>
      </c>
      <c r="BH202" s="227" t="str">
        <f>IF($BF202="ja",VLOOKUP($B202,Kraftvärmeprod!$B$1:$BX$550,MATCH("Andelen klimatgaser med fossilt ursprung för avfall ()",Kraftvärmeprod!$B$1:$BX$1,0),FALSE),"")</f>
        <v/>
      </c>
      <c r="BI202" s="227" t="str">
        <f>IF($BF202="ja",VLOOKUP($B202,'Egen hetvattenprod'!$B$1:$BX$550,MATCH("Avfall (GWh)",'Egen hetvattenprod'!$B$1:$BX$1,0),FALSE),"")</f>
        <v/>
      </c>
      <c r="BJ202" s="227" t="str">
        <f>IF($BF202="ja",VLOOKUP($B202,'Slutlig allokering kvv'!$B$1:$BX$550,MATCH("Avfall (GWh)",'Slutlig allokering kvv'!$B$1:$BX$1,0),FALSE),"")</f>
        <v/>
      </c>
      <c r="BK202" s="227" t="str">
        <f>IF($BF202="ja",VLOOKUP($B202,'Köpt hetvatten'!$B$1:$BX$550,MATCH("Avfall i köpt hetvatten",'Köpt hetvatten'!$B$1:$BX$1,0),FALSE),"")</f>
        <v/>
      </c>
      <c r="BL202" s="227" t="str">
        <f>IF($BF202="ja",VLOOKUP($B202,'Egen hetvattenprod'!$B$1:$BX$550,MATCH("Värde enligt ovan. (%)",'Egen hetvattenprod'!$B$1:$BX$1,0),FALSE),"")</f>
        <v/>
      </c>
      <c r="BM202" s="227" t="str">
        <f>IF($BF202="ja",VLOOKUP($B202,Kraftvärmeprod!$B$1:$BX$550,MATCH("Värde enligt ovan. (%)",Kraftvärmeprod!$B$1:$BX$1,0),FALSE),"")</f>
        <v/>
      </c>
      <c r="BN202" s="227"/>
      <c r="BO202" s="227"/>
      <c r="BP202" s="227"/>
      <c r="BQ202" s="227" t="str">
        <f>IF($BF202="ja",VLOOKUP($B202,'Egen hetvattenprod'!$B$1:$BX$550,MATCH("Tillförd olja (fossil) vid avfallsförbränning (GWh)",'Egen hetvattenprod'!$B$1:$BX$1,0),FALSE),"")</f>
        <v/>
      </c>
      <c r="BR202" s="227" t="str">
        <f>IF($BF202="ja",VLOOKUP($B202,Kraftvärmeprod!$B$1:$BX$550,MATCH("Tillförd olja (fossil) vid avfallsförbränning (GWh)",Kraftvärmeprod!$B$1:$BX$1,0),FALSE),"")</f>
        <v/>
      </c>
      <c r="BS202" s="227"/>
      <c r="BT202" s="227"/>
      <c r="BU202" s="227"/>
    </row>
    <row r="203" spans="1:73" x14ac:dyDescent="0.25">
      <c r="A203" s="121" t="str">
        <f>'Miljövärden för publ företag'!B206</f>
        <v>Oskarshamn Energi AB</v>
      </c>
      <c r="B203" s="121" t="str">
        <f>'Miljövärden för publ företag'!C206</f>
        <v>Oskarshamn</v>
      </c>
      <c r="C203" s="173">
        <f>IFERROR(VLOOKUP($B203,Totalt!$B$1:$AQ$554,MATCH(C$2,Totalt!$B$1:$AQ$1,0),FALSE),"")</f>
        <v>0</v>
      </c>
      <c r="D203" s="173">
        <f>IFERROR(VLOOKUP($B203,Totalt!$B$1:$AQ$554,MATCH(D$2,Totalt!$B$1:$AQ$1,0),FALSE),"")</f>
        <v>0.3</v>
      </c>
      <c r="E203" s="173">
        <f>IFERROR(VLOOKUP($B203,Totalt!$B$1:$AQ$554,MATCH(E$2,Totalt!$B$1:$AQ$1,0),FALSE),"")</f>
        <v>0</v>
      </c>
      <c r="F203" s="173">
        <f>IFERROR(VLOOKUP($B203,Totalt!$B$1:$AQ$554,MATCH(F$2,Totalt!$B$1:$AQ$1,0),FALSE),"")</f>
        <v>0</v>
      </c>
      <c r="G203" s="173">
        <f>IFERROR(VLOOKUP($B203,Totalt!$B$1:$AQ$554,MATCH(G$2,Totalt!$B$1:$AQ$1,0),FALSE),"")</f>
        <v>0</v>
      </c>
      <c r="H203" s="173">
        <f>IFERROR(VLOOKUP($B203,Totalt!$B$1:$AQ$554,MATCH(H$2,Totalt!$B$1:$AQ$1,0),FALSE),"")</f>
        <v>0</v>
      </c>
      <c r="I203" s="173">
        <f>IFERROR(VLOOKUP($B203,Totalt!$B$1:$AQ$554,MATCH(I$2,Totalt!$B$1:$AQ$1,0),FALSE),"")</f>
        <v>0</v>
      </c>
      <c r="J203" s="173">
        <f>IFERROR(VLOOKUP($B203,Totalt!$B$1:$AQ$554,MATCH(J$2,Totalt!$B$1:$AQ$1,0),FALSE),"")</f>
        <v>0</v>
      </c>
      <c r="K203" s="173">
        <f>IFERROR(VLOOKUP($B203,Totalt!$B$1:$AQ$554,MATCH(K$2,Totalt!$B$1:$AQ$1,0),FALSE),"")</f>
        <v>0</v>
      </c>
      <c r="L203" s="173">
        <f>IFERROR(VLOOKUP($B203,Totalt!$B$1:$AQ$554,MATCH(L$2,Totalt!$B$1:$AQ$1,0),FALSE),"")</f>
        <v>0</v>
      </c>
      <c r="M203" s="173">
        <f>IFERROR(VLOOKUP($B203,Totalt!$B$1:$AQ$554,MATCH(M$2,Totalt!$B$1:$AQ$1,0),FALSE),"")</f>
        <v>54.978499999999997</v>
      </c>
      <c r="N203" s="173">
        <f>IFERROR(VLOOKUP($B203,Totalt!$B$1:$AQ$554,MATCH(N$2,Totalt!$B$1:$AQ$1,0),FALSE),"")</f>
        <v>32.752600000000001</v>
      </c>
      <c r="O203" s="173">
        <f>IFERROR(VLOOKUP($B203,Totalt!$B$1:$AQ$554,MATCH(O$2,Totalt!$B$1:$AQ$1,0),FALSE),"")</f>
        <v>12.021599999999999</v>
      </c>
      <c r="P203" s="173">
        <f>IFERROR(VLOOKUP($B203,Totalt!$B$1:$AQ$554,MATCH(P$2,Totalt!$B$1:$AQ$1,0),FALSE),"")</f>
        <v>32.514000000000003</v>
      </c>
      <c r="Q203" s="173">
        <f>IFERROR(VLOOKUP($B203,Totalt!$B$1:$AQ$554,MATCH(Q$2,Totalt!$B$1:$AQ$1,0),FALSE),"")</f>
        <v>0</v>
      </c>
      <c r="R203" s="173">
        <f>IFERROR(VLOOKUP($B203,Totalt!$B$1:$AQ$554,MATCH(R$2,Totalt!$B$1:$AQ$1,0),FALSE),"")</f>
        <v>10.3</v>
      </c>
      <c r="S203" s="173">
        <f>IFERROR(VLOOKUP($B203,Totalt!$B$1:$AQ$554,MATCH(S$2,Totalt!$B$1:$AQ$1,0),FALSE),"")</f>
        <v>0</v>
      </c>
      <c r="T203" s="173">
        <f>IFERROR(VLOOKUP($B203,Totalt!$B$1:$AQ$554,MATCH(T$2,Totalt!$B$1:$AQ$1,0),FALSE),"")</f>
        <v>0</v>
      </c>
      <c r="U203" s="173">
        <f>IFERROR(VLOOKUP($B203,Totalt!$B$1:$AQ$554,MATCH(U$2,Totalt!$B$1:$AQ$1,0),FALSE),"")</f>
        <v>0</v>
      </c>
      <c r="V203" s="173">
        <f>IFERROR(VLOOKUP($B203,Totalt!$B$1:$AQ$554,MATCH(V$2,Totalt!$B$1:$AQ$1,0),FALSE),"")</f>
        <v>0</v>
      </c>
      <c r="W203" s="173">
        <f>IFERROR(VLOOKUP($B203,Totalt!$B$1:$AQ$554,MATCH(W$2,Totalt!$B$1:$AQ$1,0),FALSE),"")</f>
        <v>5.6</v>
      </c>
      <c r="X203" s="173">
        <f>IFERROR(VLOOKUP($B203,Totalt!$B$1:$AQ$554,MATCH(X$2,Totalt!$B$1:$AQ$1,0),FALSE),"")</f>
        <v>0</v>
      </c>
      <c r="Y203" s="173">
        <f>IFERROR(VLOOKUP($B203,Totalt!$B$1:$AQ$554,MATCH(Y$2,Totalt!$B$1:$AQ$1,0),FALSE),"")</f>
        <v>0</v>
      </c>
      <c r="Z203" s="173">
        <f>IFERROR(VLOOKUP($B203,Totalt!$B$1:$AQ$554,MATCH(Z$2,Totalt!$B$1:$AQ$1,0),FALSE),"")</f>
        <v>0</v>
      </c>
      <c r="AA203" s="173">
        <f>IFERROR(VLOOKUP($B203,Totalt!$B$1:$AQ$554,MATCH(AA$2,Totalt!$B$1:$AQ$1,0),FALSE),"")</f>
        <v>0.6</v>
      </c>
      <c r="AB203" s="173">
        <f>IFERROR(VLOOKUP($B203,Totalt!$B$1:$AQ$554,MATCH(AB$2,Totalt!$B$1:$AQ$1,0),FALSE),"")</f>
        <v>0.6</v>
      </c>
      <c r="AC203" s="173">
        <f>IFERROR(VLOOKUP($B203,Totalt!$B$1:$AQ$554,MATCH(AC$2,Totalt!$B$1:$AQ$1,0),FALSE),"")</f>
        <v>28.9</v>
      </c>
      <c r="AD203" s="173">
        <f>IFERROR(VLOOKUP($B203,Totalt!$B$1:$AQ$554,MATCH(AD$2,Totalt!$B$1:$AQ$1,0),FALSE),"")</f>
        <v>0.4</v>
      </c>
      <c r="AE203" s="173">
        <f>IFERROR(VLOOKUP($B203,Totalt!$B$1:$AQ$554,MATCH(AE$2,Totalt!$B$1:$AQ$1,0),FALSE),"")</f>
        <v>0</v>
      </c>
      <c r="AF203" s="173">
        <f>IFERROR(VLOOKUP($B203,Totalt!$B$1:$AQ$554,MATCH(AF$2,Totalt!$B$1:$AQ$1,0),FALSE),"")</f>
        <v>3.6985700000000001</v>
      </c>
      <c r="AG203" s="173">
        <f>IFERROR(VLOOKUP($B203,Totalt!$B$1:$AQ$554,MATCH(AG$2,Totalt!$B$1:$AQ$1,0),FALSE),"")</f>
        <v>0</v>
      </c>
      <c r="AI203" s="226">
        <f t="shared" si="18"/>
        <v>182.66526999999999</v>
      </c>
      <c r="AJ203" s="226">
        <f>IF(ISERROR(1/VLOOKUP($B203,Leveranser!$B$1:$S$500,MATCH("såld värme (gwh)",Leveranser!$B$1:$S$1,0),FALSE)),"",VLOOKUP($B203,Leveranser!$B$1:$S$500,MATCH("såld värme (gwh)",Leveranser!$B$1:$S$1,0),FALSE))</f>
        <v>148.6</v>
      </c>
      <c r="AM203" s="227" t="str">
        <f>IF(B203&lt;&gt;"",IF(VLOOKUP($B203,Totalt!$B$1:$AQ$554,MATCH("Kvalitetsgranskad:",Totalt!$B$1:$AQ$1,0),FALSE)="ja",VLOOKUP($B203,Miljö!$B$1:$AG$479,MATCH(AM$2,Miljö!$B$1:$AK$1,0),FALSE),""),"")</f>
        <v>Ja</v>
      </c>
      <c r="AN203" s="227" t="str">
        <f>IF(AM203="ja",VLOOKUP($B203,Miljö!$B$1:$J$479,MATCH("Typ av ursprungsspecificerad el   (Om inget värde anges används Nordisk residualmix, se inforuta) ()",Miljö!$B$1:$J$1,0),FALSE),IF(AM203="nej","Nordisk residualel",""))</f>
        <v>'Vattenkraft/kärnkraft'</v>
      </c>
      <c r="AO203" s="227">
        <f>IF(AM203="","",VLOOKUP($B203,Miljö!$B$1:$J$479,MATCH("Fossilandel för ursprungspecificerad el ()",Miljö!$B$1:$J$1,0),FALSE))</f>
        <v>0</v>
      </c>
      <c r="AP203" s="227">
        <f>IF(AM203="","",IFERROR(VLOOKUP($B203,Miljö!$B$1:$J$479,MATCH("Kärnkraftsandel för ursprungsspecificerad el ()",Miljö!$B$1:$J$1,0),FALSE)/1,0))</f>
        <v>0.5</v>
      </c>
      <c r="AQ203" s="227">
        <f t="shared" si="19"/>
        <v>0.5</v>
      </c>
      <c r="AR203" s="227"/>
      <c r="AS203" s="227" t="str">
        <f t="shared" si="20"/>
        <v>Nej</v>
      </c>
      <c r="AT203" s="227" t="str">
        <f>IF(AS203="ja",VLOOKUP($B203,Miljö!$B$1:$O$500,MATCH("Fossil andel i procent (%)",Miljö!$B$1:$O$1,0),FALSE)/100,"")</f>
        <v/>
      </c>
      <c r="AU203" s="227"/>
      <c r="AV203" s="227" t="str">
        <f t="shared" si="21"/>
        <v>Ja</v>
      </c>
      <c r="AW203" s="227" t="str">
        <f>IF(AV203="ja",VLOOKUP($B203,'Egen hetvattenprod'!$B$1:$AO$500,MATCH("Värmekälla till värmepumpar ()",'Egen hetvattenprod'!$B$1:$AO$1,0),FALSE),"")</f>
        <v>Renat avloppsvatten</v>
      </c>
      <c r="AX203" s="227"/>
      <c r="AY203" s="227" t="str">
        <f t="shared" si="22"/>
        <v>Ja</v>
      </c>
      <c r="AZ203" s="228">
        <f>IF($AY203="ja",(VLOOKUP($B203,'Egen hetvattenprod'!$B$1:$BX$550,MATCH(AZ$2,'Egen hetvattenprod'!$B$1:$BX$1,0),FALSE)+VLOOKUP($B203,Kraftvärmeprod!$B$1:$BX$550,MATCH(AZ$2,Kraftvärmeprod!$B$1:$BX$1,0),FALSE))/$AC203,"")</f>
        <v>1</v>
      </c>
      <c r="BA203" s="228">
        <f>IF($AY203="ja",(VLOOKUP($B203,'Egen hetvattenprod'!$B$1:$BX$550,MATCH(BA$2,'Egen hetvattenprod'!$B$1:$BX$1,0),FALSE)+VLOOKUP($B203,Kraftvärmeprod!$B$1:$BX$550,MATCH(BA$2,Kraftvärmeprod!$B$1:$BX$1,0),FALSE))/$AC203,"")</f>
        <v>0</v>
      </c>
      <c r="BB203" s="228">
        <f>IF($AY203="ja",(VLOOKUP($B203,'Egen hetvattenprod'!$B$1:$BX$550,MATCH(BB$2,'Egen hetvattenprod'!$B$1:$BX$1,0),FALSE)+VLOOKUP($B203,Kraftvärmeprod!$B$1:$BX$550,MATCH(BB$2,Kraftvärmeprod!$B$1:$BX$1,0),FALSE))/$AC203,"")</f>
        <v>0</v>
      </c>
      <c r="BC203" s="228">
        <f>IF($AY203="ja",(VLOOKUP($B203,'Egen hetvattenprod'!$B$1:$BX$550,MATCH(BC$2,'Egen hetvattenprod'!$B$1:$BX$1,0),FALSE)+VLOOKUP($B203,Kraftvärmeprod!$B$1:$BX$550,MATCH(BC$2,Kraftvärmeprod!$B$1:$BX$1,0),FALSE))/$AC203,"")</f>
        <v>0</v>
      </c>
      <c r="BD203" s="228">
        <f>IF($AY203="ja",(VLOOKUP($B203,'Egen hetvattenprod'!$B$1:$BX$550,MATCH(BD$2,'Egen hetvattenprod'!$B$1:$BX$1,0),FALSE)+VLOOKUP($B203,Kraftvärmeprod!$B$1:$BX$550,MATCH(BD$2,Kraftvärmeprod!$B$1:$BX$1,0),FALSE))/$AC203,"")</f>
        <v>0</v>
      </c>
      <c r="BE203" s="227"/>
      <c r="BF203" s="227" t="str">
        <f t="shared" si="23"/>
        <v>Nej</v>
      </c>
      <c r="BG203" s="227" t="str">
        <f>IF($BF203="ja",VLOOKUP($B203,'Egen hetvattenprod'!$B$1:$BX$550,MATCH("Andelen klimatgaser med fossilt ursprung för avfall ()",'Egen hetvattenprod'!$B$1:$BX$1,0),FALSE),"")</f>
        <v/>
      </c>
      <c r="BH203" s="227" t="str">
        <f>IF($BF203="ja",VLOOKUP($B203,Kraftvärmeprod!$B$1:$BX$550,MATCH("Andelen klimatgaser med fossilt ursprung för avfall ()",Kraftvärmeprod!$B$1:$BX$1,0),FALSE),"")</f>
        <v/>
      </c>
      <c r="BI203" s="227" t="str">
        <f>IF($BF203="ja",VLOOKUP($B203,'Egen hetvattenprod'!$B$1:$BX$550,MATCH("Avfall (GWh)",'Egen hetvattenprod'!$B$1:$BX$1,0),FALSE),"")</f>
        <v/>
      </c>
      <c r="BJ203" s="227" t="str">
        <f>IF($BF203="ja",VLOOKUP($B203,'Slutlig allokering kvv'!$B$1:$BX$550,MATCH("Avfall (GWh)",'Slutlig allokering kvv'!$B$1:$BX$1,0),FALSE),"")</f>
        <v/>
      </c>
      <c r="BK203" s="227" t="str">
        <f>IF($BF203="ja",VLOOKUP($B203,'Köpt hetvatten'!$B$1:$BX$550,MATCH("Avfall i köpt hetvatten",'Köpt hetvatten'!$B$1:$BX$1,0),FALSE),"")</f>
        <v/>
      </c>
      <c r="BL203" s="227" t="str">
        <f>IF($BF203="ja",VLOOKUP($B203,'Egen hetvattenprod'!$B$1:$BX$550,MATCH("Värde enligt ovan. (%)",'Egen hetvattenprod'!$B$1:$BX$1,0),FALSE),"")</f>
        <v/>
      </c>
      <c r="BM203" s="227" t="str">
        <f>IF($BF203="ja",VLOOKUP($B203,Kraftvärmeprod!$B$1:$BX$550,MATCH("Värde enligt ovan. (%)",Kraftvärmeprod!$B$1:$BX$1,0),FALSE),"")</f>
        <v/>
      </c>
      <c r="BN203" s="227"/>
      <c r="BO203" s="227"/>
      <c r="BP203" s="227"/>
      <c r="BQ203" s="227" t="str">
        <f>IF($BF203="ja",VLOOKUP($B203,'Egen hetvattenprod'!$B$1:$BX$550,MATCH("Tillförd olja (fossil) vid avfallsförbränning (GWh)",'Egen hetvattenprod'!$B$1:$BX$1,0),FALSE),"")</f>
        <v/>
      </c>
      <c r="BR203" s="227" t="str">
        <f>IF($BF203="ja",VLOOKUP($B203,Kraftvärmeprod!$B$1:$BX$550,MATCH("Tillförd olja (fossil) vid avfallsförbränning (GWh)",Kraftvärmeprod!$B$1:$BX$1,0),FALSE),"")</f>
        <v/>
      </c>
      <c r="BS203" s="227"/>
      <c r="BT203" s="227"/>
      <c r="BU203" s="227"/>
    </row>
    <row r="204" spans="1:73" x14ac:dyDescent="0.25">
      <c r="A204" s="121" t="str">
        <f>'Miljövärden för publ företag'!B207</f>
        <v>Oxelö Energi AB</v>
      </c>
      <c r="B204" s="121" t="str">
        <f>'Miljövärden för publ företag'!C207</f>
        <v>Oxelösund</v>
      </c>
      <c r="C204" s="173">
        <f>IFERROR(VLOOKUP($B204,Totalt!$B$1:$AQ$554,MATCH(C$2,Totalt!$B$1:$AQ$1,0),FALSE),"")</f>
        <v>0</v>
      </c>
      <c r="D204" s="173">
        <f>IFERROR(VLOOKUP($B204,Totalt!$B$1:$AQ$554,MATCH(D$2,Totalt!$B$1:$AQ$1,0),FALSE),"")</f>
        <v>0.70299999999999996</v>
      </c>
      <c r="E204" s="173">
        <f>IFERROR(VLOOKUP($B204,Totalt!$B$1:$AQ$554,MATCH(E$2,Totalt!$B$1:$AQ$1,0),FALSE),"")</f>
        <v>0</v>
      </c>
      <c r="F204" s="173">
        <f>IFERROR(VLOOKUP($B204,Totalt!$B$1:$AQ$554,MATCH(F$2,Totalt!$B$1:$AQ$1,0),FALSE),"")</f>
        <v>0</v>
      </c>
      <c r="G204" s="173">
        <f>IFERROR(VLOOKUP($B204,Totalt!$B$1:$AQ$554,MATCH(G$2,Totalt!$B$1:$AQ$1,0),FALSE),"")</f>
        <v>0</v>
      </c>
      <c r="H204" s="173">
        <f>IFERROR(VLOOKUP($B204,Totalt!$B$1:$AQ$554,MATCH(H$2,Totalt!$B$1:$AQ$1,0),FALSE),"")</f>
        <v>0</v>
      </c>
      <c r="I204" s="173">
        <f>IFERROR(VLOOKUP($B204,Totalt!$B$1:$AQ$554,MATCH(I$2,Totalt!$B$1:$AQ$1,0),FALSE),"")</f>
        <v>0</v>
      </c>
      <c r="J204" s="173">
        <f>IFERROR(VLOOKUP($B204,Totalt!$B$1:$AQ$554,MATCH(J$2,Totalt!$B$1:$AQ$1,0),FALSE),"")</f>
        <v>0</v>
      </c>
      <c r="K204" s="173">
        <f>IFERROR(VLOOKUP($B204,Totalt!$B$1:$AQ$554,MATCH(K$2,Totalt!$B$1:$AQ$1,0),FALSE),"")</f>
        <v>0</v>
      </c>
      <c r="L204" s="173">
        <f>IFERROR(VLOOKUP($B204,Totalt!$B$1:$AQ$554,MATCH(L$2,Totalt!$B$1:$AQ$1,0),FALSE),"")</f>
        <v>0</v>
      </c>
      <c r="M204" s="173">
        <f>IFERROR(VLOOKUP($B204,Totalt!$B$1:$AQ$554,MATCH(M$2,Totalt!$B$1:$AQ$1,0),FALSE),"")</f>
        <v>0</v>
      </c>
      <c r="N204" s="173">
        <f>IFERROR(VLOOKUP($B204,Totalt!$B$1:$AQ$554,MATCH(N$2,Totalt!$B$1:$AQ$1,0),FALSE),"")</f>
        <v>0</v>
      </c>
      <c r="O204" s="173">
        <f>IFERROR(VLOOKUP($B204,Totalt!$B$1:$AQ$554,MATCH(O$2,Totalt!$B$1:$AQ$1,0),FALSE),"")</f>
        <v>0</v>
      </c>
      <c r="P204" s="173">
        <f>IFERROR(VLOOKUP($B204,Totalt!$B$1:$AQ$554,MATCH(P$2,Totalt!$B$1:$AQ$1,0),FALSE),"")</f>
        <v>0</v>
      </c>
      <c r="Q204" s="173">
        <f>IFERROR(VLOOKUP($B204,Totalt!$B$1:$AQ$554,MATCH(Q$2,Totalt!$B$1:$AQ$1,0),FALSE),"")</f>
        <v>0</v>
      </c>
      <c r="R204" s="173">
        <f>IFERROR(VLOOKUP($B204,Totalt!$B$1:$AQ$554,MATCH(R$2,Totalt!$B$1:$AQ$1,0),FALSE),"")</f>
        <v>0</v>
      </c>
      <c r="S204" s="173">
        <f>IFERROR(VLOOKUP($B204,Totalt!$B$1:$AQ$554,MATCH(S$2,Totalt!$B$1:$AQ$1,0),FALSE),"")</f>
        <v>0</v>
      </c>
      <c r="T204" s="173">
        <f>IFERROR(VLOOKUP($B204,Totalt!$B$1:$AQ$554,MATCH(T$2,Totalt!$B$1:$AQ$1,0),FALSE),"")</f>
        <v>0</v>
      </c>
      <c r="U204" s="173">
        <f>IFERROR(VLOOKUP($B204,Totalt!$B$1:$AQ$554,MATCH(U$2,Totalt!$B$1:$AQ$1,0),FALSE),"")</f>
        <v>0</v>
      </c>
      <c r="V204" s="173">
        <f>IFERROR(VLOOKUP($B204,Totalt!$B$1:$AQ$554,MATCH(V$2,Totalt!$B$1:$AQ$1,0),FALSE),"")</f>
        <v>0</v>
      </c>
      <c r="W204" s="173">
        <f>IFERROR(VLOOKUP($B204,Totalt!$B$1:$AQ$554,MATCH(W$2,Totalt!$B$1:$AQ$1,0),FALSE),"")</f>
        <v>0</v>
      </c>
      <c r="X204" s="173">
        <f>IFERROR(VLOOKUP($B204,Totalt!$B$1:$AQ$554,MATCH(X$2,Totalt!$B$1:$AQ$1,0),FALSE),"")</f>
        <v>0</v>
      </c>
      <c r="Y204" s="173">
        <f>IFERROR(VLOOKUP($B204,Totalt!$B$1:$AQ$554,MATCH(Y$2,Totalt!$B$1:$AQ$1,0),FALSE),"")</f>
        <v>0</v>
      </c>
      <c r="Z204" s="173">
        <f>IFERROR(VLOOKUP($B204,Totalt!$B$1:$AQ$554,MATCH(Z$2,Totalt!$B$1:$AQ$1,0),FALSE),"")</f>
        <v>0</v>
      </c>
      <c r="AA204" s="173">
        <f>IFERROR(VLOOKUP($B204,Totalt!$B$1:$AQ$554,MATCH(AA$2,Totalt!$B$1:$AQ$1,0),FALSE),"")</f>
        <v>0</v>
      </c>
      <c r="AB204" s="173">
        <f>IFERROR(VLOOKUP($B204,Totalt!$B$1:$AQ$554,MATCH(AB$2,Totalt!$B$1:$AQ$1,0),FALSE),"")</f>
        <v>0</v>
      </c>
      <c r="AC204" s="173">
        <f>IFERROR(VLOOKUP($B204,Totalt!$B$1:$AQ$554,MATCH(AC$2,Totalt!$B$1:$AQ$1,0),FALSE),"")</f>
        <v>0</v>
      </c>
      <c r="AD204" s="173">
        <f>IFERROR(VLOOKUP($B204,Totalt!$B$1:$AQ$554,MATCH(AD$2,Totalt!$B$1:$AQ$1,0),FALSE),"")</f>
        <v>98.9</v>
      </c>
      <c r="AE204" s="173">
        <f>IFERROR(VLOOKUP($B204,Totalt!$B$1:$AQ$554,MATCH(AE$2,Totalt!$B$1:$AQ$1,0),FALSE),"")</f>
        <v>0</v>
      </c>
      <c r="AF204" s="173">
        <f>IFERROR(VLOOKUP($B204,Totalt!$B$1:$AQ$554,MATCH(AF$2,Totalt!$B$1:$AQ$1,0),FALSE),"")</f>
        <v>2.4870000000000001</v>
      </c>
      <c r="AG204" s="173">
        <f>IFERROR(VLOOKUP($B204,Totalt!$B$1:$AQ$554,MATCH(AG$2,Totalt!$B$1:$AQ$1,0),FALSE),"")</f>
        <v>0</v>
      </c>
      <c r="AI204" s="226">
        <f t="shared" si="18"/>
        <v>102.09</v>
      </c>
      <c r="AJ204" s="226">
        <f>IF(ISERROR(1/VLOOKUP($B204,Leveranser!$B$1:$S$500,MATCH("såld värme (gwh)",Leveranser!$B$1:$S$1,0),FALSE)),"",VLOOKUP($B204,Leveranser!$B$1:$S$500,MATCH("såld värme (gwh)",Leveranser!$B$1:$S$1,0),FALSE))</f>
        <v>82.9</v>
      </c>
      <c r="AM204" s="227" t="str">
        <f>IF(B204&lt;&gt;"",IF(VLOOKUP($B204,Totalt!$B$1:$AQ$554,MATCH("Kvalitetsgranskad:",Totalt!$B$1:$AQ$1,0),FALSE)="ja",VLOOKUP($B204,Miljö!$B$1:$AG$479,MATCH(AM$2,Miljö!$B$1:$AK$1,0),FALSE),""),"")</f>
        <v>Nej</v>
      </c>
      <c r="AN204" s="227" t="str">
        <f>IF(AM204="ja",VLOOKUP($B204,Miljö!$B$1:$J$479,MATCH("Typ av ursprungsspecificerad el   (Om inget värde anges används Nordisk residualmix, se inforuta) ()",Miljö!$B$1:$J$1,0),FALSE),IF(AM204="nej","Nordisk residualel",""))</f>
        <v>Nordisk residualel</v>
      </c>
      <c r="AO204" s="227">
        <f>IF(AM204="","",VLOOKUP($B204,Miljö!$B$1:$J$479,MATCH("Fossilandel för ursprungspecificerad el ()",Miljö!$B$1:$J$1,0),FALSE))</f>
        <v>0.43</v>
      </c>
      <c r="AP204" s="227">
        <f>IF(AM204="","",IFERROR(VLOOKUP($B204,Miljö!$B$1:$J$479,MATCH("Kärnkraftsandel för ursprungsspecificerad el ()",Miljö!$B$1:$J$1,0),FALSE)/1,0))</f>
        <v>0.40550000000000003</v>
      </c>
      <c r="AQ204" s="227">
        <f t="shared" si="19"/>
        <v>0.16450000000000004</v>
      </c>
      <c r="AR204" s="227"/>
      <c r="AS204" s="227" t="str">
        <f t="shared" si="20"/>
        <v>Nej</v>
      </c>
      <c r="AT204" s="227" t="str">
        <f>IF(AS204="ja",VLOOKUP($B204,Miljö!$B$1:$O$500,MATCH("Fossil andel i procent (%)",Miljö!$B$1:$O$1,0),FALSE)/100,"")</f>
        <v/>
      </c>
      <c r="AU204" s="227"/>
      <c r="AV204" s="227" t="str">
        <f t="shared" si="21"/>
        <v>Nej</v>
      </c>
      <c r="AW204" s="227" t="str">
        <f>IF(AV204="ja",VLOOKUP($B204,'Egen hetvattenprod'!$B$1:$AO$500,MATCH("Värmekälla till värmepumpar ()",'Egen hetvattenprod'!$B$1:$AO$1,0),FALSE),"")</f>
        <v/>
      </c>
      <c r="AX204" s="227"/>
      <c r="AY204" s="227" t="str">
        <f t="shared" si="22"/>
        <v>Nej</v>
      </c>
      <c r="AZ204" s="228" t="str">
        <f>IF($AY204="ja",(VLOOKUP($B204,'Egen hetvattenprod'!$B$1:$BX$550,MATCH(AZ$2,'Egen hetvattenprod'!$B$1:$BX$1,0),FALSE)+VLOOKUP($B204,Kraftvärmeprod!$B$1:$BX$550,MATCH(AZ$2,Kraftvärmeprod!$B$1:$BX$1,0),FALSE))/$AC204,"")</f>
        <v/>
      </c>
      <c r="BA204" s="228" t="str">
        <f>IF($AY204="ja",(VLOOKUP($B204,'Egen hetvattenprod'!$B$1:$BX$550,MATCH(BA$2,'Egen hetvattenprod'!$B$1:$BX$1,0),FALSE)+VLOOKUP($B204,Kraftvärmeprod!$B$1:$BX$550,MATCH(BA$2,Kraftvärmeprod!$B$1:$BX$1,0),FALSE))/$AC204,"")</f>
        <v/>
      </c>
      <c r="BB204" s="228" t="str">
        <f>IF($AY204="ja",(VLOOKUP($B204,'Egen hetvattenprod'!$B$1:$BX$550,MATCH(BB$2,'Egen hetvattenprod'!$B$1:$BX$1,0),FALSE)+VLOOKUP($B204,Kraftvärmeprod!$B$1:$BX$550,MATCH(BB$2,Kraftvärmeprod!$B$1:$BX$1,0),FALSE))/$AC204,"")</f>
        <v/>
      </c>
      <c r="BC204" s="228" t="str">
        <f>IF($AY204="ja",(VLOOKUP($B204,'Egen hetvattenprod'!$B$1:$BX$550,MATCH(BC$2,'Egen hetvattenprod'!$B$1:$BX$1,0),FALSE)+VLOOKUP($B204,Kraftvärmeprod!$B$1:$BX$550,MATCH(BC$2,Kraftvärmeprod!$B$1:$BX$1,0),FALSE))/$AC204,"")</f>
        <v/>
      </c>
      <c r="BD204" s="228" t="str">
        <f>IF($AY204="ja",(VLOOKUP($B204,'Egen hetvattenprod'!$B$1:$BX$550,MATCH(BD$2,'Egen hetvattenprod'!$B$1:$BX$1,0),FALSE)+VLOOKUP($B204,Kraftvärmeprod!$B$1:$BX$550,MATCH(BD$2,Kraftvärmeprod!$B$1:$BX$1,0),FALSE))/$AC204,"")</f>
        <v/>
      </c>
      <c r="BE204" s="227"/>
      <c r="BF204" s="227" t="str">
        <f t="shared" si="23"/>
        <v>Nej</v>
      </c>
      <c r="BG204" s="227" t="str">
        <f>IF($BF204="ja",VLOOKUP($B204,'Egen hetvattenprod'!$B$1:$BX$550,MATCH("Andelen klimatgaser med fossilt ursprung för avfall ()",'Egen hetvattenprod'!$B$1:$BX$1,0),FALSE),"")</f>
        <v/>
      </c>
      <c r="BH204" s="227" t="str">
        <f>IF($BF204="ja",VLOOKUP($B204,Kraftvärmeprod!$B$1:$BX$550,MATCH("Andelen klimatgaser med fossilt ursprung för avfall ()",Kraftvärmeprod!$B$1:$BX$1,0),FALSE),"")</f>
        <v/>
      </c>
      <c r="BI204" s="227" t="str">
        <f>IF($BF204="ja",VLOOKUP($B204,'Egen hetvattenprod'!$B$1:$BX$550,MATCH("Avfall (GWh)",'Egen hetvattenprod'!$B$1:$BX$1,0),FALSE),"")</f>
        <v/>
      </c>
      <c r="BJ204" s="227" t="str">
        <f>IF($BF204="ja",VLOOKUP($B204,'Slutlig allokering kvv'!$B$1:$BX$550,MATCH("Avfall (GWh)",'Slutlig allokering kvv'!$B$1:$BX$1,0),FALSE),"")</f>
        <v/>
      </c>
      <c r="BK204" s="227" t="str">
        <f>IF($BF204="ja",VLOOKUP($B204,'Köpt hetvatten'!$B$1:$BX$550,MATCH("Avfall i köpt hetvatten",'Köpt hetvatten'!$B$1:$BX$1,0),FALSE),"")</f>
        <v/>
      </c>
      <c r="BL204" s="227" t="str">
        <f>IF($BF204="ja",VLOOKUP($B204,'Egen hetvattenprod'!$B$1:$BX$550,MATCH("Värde enligt ovan. (%)",'Egen hetvattenprod'!$B$1:$BX$1,0),FALSE),"")</f>
        <v/>
      </c>
      <c r="BM204" s="227" t="str">
        <f>IF($BF204="ja",VLOOKUP($B204,Kraftvärmeprod!$B$1:$BX$550,MATCH("Värde enligt ovan. (%)",Kraftvärmeprod!$B$1:$BX$1,0),FALSE),"")</f>
        <v/>
      </c>
      <c r="BN204" s="227"/>
      <c r="BO204" s="227"/>
      <c r="BP204" s="227"/>
      <c r="BQ204" s="227" t="str">
        <f>IF($BF204="ja",VLOOKUP($B204,'Egen hetvattenprod'!$B$1:$BX$550,MATCH("Tillförd olja (fossil) vid avfallsförbränning (GWh)",'Egen hetvattenprod'!$B$1:$BX$1,0),FALSE),"")</f>
        <v/>
      </c>
      <c r="BR204" s="227" t="str">
        <f>IF($BF204="ja",VLOOKUP($B204,Kraftvärmeprod!$B$1:$BX$550,MATCH("Tillförd olja (fossil) vid avfallsförbränning (GWh)",Kraftvärmeprod!$B$1:$BX$1,0),FALSE),"")</f>
        <v/>
      </c>
      <c r="BS204" s="227"/>
      <c r="BT204" s="227"/>
      <c r="BU204" s="227"/>
    </row>
    <row r="205" spans="1:73" x14ac:dyDescent="0.25">
      <c r="A205" s="121" t="str">
        <f>'Miljövärden för publ företag'!B208</f>
        <v>Partille Energi AB</v>
      </c>
      <c r="B205" s="121" t="str">
        <f>'Miljövärden för publ företag'!C208</f>
        <v>Partille</v>
      </c>
      <c r="C205" s="173">
        <f>IFERROR(VLOOKUP($B205,Totalt!$B$1:$AQ$554,MATCH(C$2,Totalt!$B$1:$AQ$1,0),FALSE),"")</f>
        <v>0</v>
      </c>
      <c r="D205" s="173">
        <f>IFERROR(VLOOKUP($B205,Totalt!$B$1:$AQ$554,MATCH(D$2,Totalt!$B$1:$AQ$1,0),FALSE),"")</f>
        <v>0</v>
      </c>
      <c r="E205" s="173">
        <f>IFERROR(VLOOKUP($B205,Totalt!$B$1:$AQ$554,MATCH(E$2,Totalt!$B$1:$AQ$1,0),FALSE),"")</f>
        <v>0</v>
      </c>
      <c r="F205" s="173">
        <f>IFERROR(VLOOKUP($B205,Totalt!$B$1:$AQ$554,MATCH(F$2,Totalt!$B$1:$AQ$1,0),FALSE),"")</f>
        <v>0</v>
      </c>
      <c r="G205" s="173">
        <f>IFERROR(VLOOKUP($B205,Totalt!$B$1:$AQ$554,MATCH(G$2,Totalt!$B$1:$AQ$1,0),FALSE),"")</f>
        <v>0</v>
      </c>
      <c r="H205" s="173">
        <f>IFERROR(VLOOKUP($B205,Totalt!$B$1:$AQ$554,MATCH(H$2,Totalt!$B$1:$AQ$1,0),FALSE),"")</f>
        <v>0</v>
      </c>
      <c r="I205" s="173">
        <f>IFERROR(VLOOKUP($B205,Totalt!$B$1:$AQ$554,MATCH(I$2,Totalt!$B$1:$AQ$1,0),FALSE),"")</f>
        <v>0</v>
      </c>
      <c r="J205" s="173">
        <f>IFERROR(VLOOKUP($B205,Totalt!$B$1:$AQ$554,MATCH(J$2,Totalt!$B$1:$AQ$1,0),FALSE),"")</f>
        <v>0</v>
      </c>
      <c r="K205" s="173">
        <f>IFERROR(VLOOKUP($B205,Totalt!$B$1:$AQ$554,MATCH(K$2,Totalt!$B$1:$AQ$1,0),FALSE),"")</f>
        <v>0</v>
      </c>
      <c r="L205" s="173">
        <f>IFERROR(VLOOKUP($B205,Totalt!$B$1:$AQ$554,MATCH(L$2,Totalt!$B$1:$AQ$1,0),FALSE),"")</f>
        <v>0</v>
      </c>
      <c r="M205" s="173">
        <f>IFERROR(VLOOKUP($B205,Totalt!$B$1:$AQ$554,MATCH(M$2,Totalt!$B$1:$AQ$1,0),FALSE),"")</f>
        <v>0</v>
      </c>
      <c r="N205" s="173">
        <f>IFERROR(VLOOKUP($B205,Totalt!$B$1:$AQ$554,MATCH(N$2,Totalt!$B$1:$AQ$1,0),FALSE),"")</f>
        <v>0</v>
      </c>
      <c r="O205" s="173">
        <f>IFERROR(VLOOKUP($B205,Totalt!$B$1:$AQ$554,MATCH(O$2,Totalt!$B$1:$AQ$1,0),FALSE),"")</f>
        <v>0</v>
      </c>
      <c r="P205" s="173">
        <f>IFERROR(VLOOKUP($B205,Totalt!$B$1:$AQ$554,MATCH(P$2,Totalt!$B$1:$AQ$1,0),FALSE),"")</f>
        <v>0</v>
      </c>
      <c r="Q205" s="173">
        <f>IFERROR(VLOOKUP($B205,Totalt!$B$1:$AQ$554,MATCH(Q$2,Totalt!$B$1:$AQ$1,0),FALSE),"")</f>
        <v>0</v>
      </c>
      <c r="R205" s="173">
        <f>IFERROR(VLOOKUP($B205,Totalt!$B$1:$AQ$554,MATCH(R$2,Totalt!$B$1:$AQ$1,0),FALSE),"")</f>
        <v>0</v>
      </c>
      <c r="S205" s="173">
        <f>IFERROR(VLOOKUP($B205,Totalt!$B$1:$AQ$554,MATCH(S$2,Totalt!$B$1:$AQ$1,0),FALSE),"")</f>
        <v>0</v>
      </c>
      <c r="T205" s="173">
        <f>IFERROR(VLOOKUP($B205,Totalt!$B$1:$AQ$554,MATCH(T$2,Totalt!$B$1:$AQ$1,0),FALSE),"")</f>
        <v>0</v>
      </c>
      <c r="U205" s="173">
        <f>IFERROR(VLOOKUP($B205,Totalt!$B$1:$AQ$554,MATCH(U$2,Totalt!$B$1:$AQ$1,0),FALSE),"")</f>
        <v>0</v>
      </c>
      <c r="V205" s="173">
        <f>IFERROR(VLOOKUP($B205,Totalt!$B$1:$AQ$554,MATCH(V$2,Totalt!$B$1:$AQ$1,0),FALSE),"")</f>
        <v>0</v>
      </c>
      <c r="W205" s="173">
        <f>IFERROR(VLOOKUP($B205,Totalt!$B$1:$AQ$554,MATCH(W$2,Totalt!$B$1:$AQ$1,0),FALSE),"")</f>
        <v>0</v>
      </c>
      <c r="X205" s="173">
        <f>IFERROR(VLOOKUP($B205,Totalt!$B$1:$AQ$554,MATCH(X$2,Totalt!$B$1:$AQ$1,0),FALSE),"")</f>
        <v>0</v>
      </c>
      <c r="Y205" s="173">
        <f>IFERROR(VLOOKUP($B205,Totalt!$B$1:$AQ$554,MATCH(Y$2,Totalt!$B$1:$AQ$1,0),FALSE),"")</f>
        <v>0</v>
      </c>
      <c r="Z205" s="173">
        <f>IFERROR(VLOOKUP($B205,Totalt!$B$1:$AQ$554,MATCH(Z$2,Totalt!$B$1:$AQ$1,0),FALSE),"")</f>
        <v>0</v>
      </c>
      <c r="AA205" s="173">
        <f>IFERROR(VLOOKUP($B205,Totalt!$B$1:$AQ$554,MATCH(AA$2,Totalt!$B$1:$AQ$1,0),FALSE),"")</f>
        <v>0</v>
      </c>
      <c r="AB205" s="173">
        <f>IFERROR(VLOOKUP($B205,Totalt!$B$1:$AQ$554,MATCH(AB$2,Totalt!$B$1:$AQ$1,0),FALSE),"")</f>
        <v>0</v>
      </c>
      <c r="AC205" s="173">
        <f>IFERROR(VLOOKUP($B205,Totalt!$B$1:$AQ$554,MATCH(AC$2,Totalt!$B$1:$AQ$1,0),FALSE),"")</f>
        <v>0</v>
      </c>
      <c r="AD205" s="173">
        <f>IFERROR(VLOOKUP($B205,Totalt!$B$1:$AQ$554,MATCH(AD$2,Totalt!$B$1:$AQ$1,0),FALSE),"")</f>
        <v>0</v>
      </c>
      <c r="AE205" s="173">
        <f>IFERROR(VLOOKUP($B205,Totalt!$B$1:$AQ$554,MATCH(AE$2,Totalt!$B$1:$AQ$1,0),FALSE),"")</f>
        <v>0</v>
      </c>
      <c r="AF205" s="173">
        <f>IFERROR(VLOOKUP($B205,Totalt!$B$1:$AQ$554,MATCH(AF$2,Totalt!$B$1:$AQ$1,0),FALSE),"")</f>
        <v>9.9999999999999995E-7</v>
      </c>
      <c r="AG205" s="173">
        <f>IFERROR(VLOOKUP($B205,Totalt!$B$1:$AQ$554,MATCH(AG$2,Totalt!$B$1:$AQ$1,0),FALSE),"")</f>
        <v>171</v>
      </c>
      <c r="AI205" s="226">
        <f t="shared" si="18"/>
        <v>171.000001</v>
      </c>
      <c r="AJ205" s="226">
        <f>IF(ISERROR(1/VLOOKUP($B205,Leveranser!$B$1:$S$500,MATCH("såld värme (gwh)",Leveranser!$B$1:$S$1,0),FALSE)),"",VLOOKUP($B205,Leveranser!$B$1:$S$500,MATCH("såld värme (gwh)",Leveranser!$B$1:$S$1,0),FALSE))</f>
        <v>158</v>
      </c>
      <c r="AM205" s="227" t="str">
        <f>IF(B205&lt;&gt;"",IF(VLOOKUP($B205,Totalt!$B$1:$AQ$554,MATCH("Kvalitetsgranskad:",Totalt!$B$1:$AQ$1,0),FALSE)="ja",VLOOKUP($B205,Miljö!$B$1:$AG$479,MATCH(AM$2,Miljö!$B$1:$AK$1,0),FALSE),""),"")</f>
        <v>Ja</v>
      </c>
      <c r="AN205" s="227" t="str">
        <f>IF(AM205="ja",VLOOKUP($B205,Miljö!$B$1:$J$479,MATCH("Typ av ursprungsspecificerad el   (Om inget värde anges används Nordisk residualmix, se inforuta) ()",Miljö!$B$1:$J$1,0),FALSE),IF(AM205="nej","Nordisk residualel",""))</f>
        <v>'Bra Miljöval'</v>
      </c>
      <c r="AO205" s="227">
        <f>IF(AM205="","",VLOOKUP($B205,Miljö!$B$1:$J$479,MATCH("Fossilandel för ursprungspecificerad el ()",Miljö!$B$1:$J$1,0),FALSE))</f>
        <v>0</v>
      </c>
      <c r="AP205" s="227">
        <f>IF(AM205="","",IFERROR(VLOOKUP($B205,Miljö!$B$1:$J$479,MATCH("Kärnkraftsandel för ursprungsspecificerad el ()",Miljö!$B$1:$J$1,0),FALSE)/1,0))</f>
        <v>0</v>
      </c>
      <c r="AQ205" s="227">
        <f t="shared" si="19"/>
        <v>1</v>
      </c>
      <c r="AR205" s="227"/>
      <c r="AS205" s="227" t="str">
        <f t="shared" si="20"/>
        <v>Ja</v>
      </c>
      <c r="AT205" s="227">
        <f>IF(AS205="ja",VLOOKUP($B205,Miljö!$B$1:$O$500,MATCH("Fossil andel i procent (%)",Miljö!$B$1:$O$1,0),FALSE)/100,"")</f>
        <v>0.12</v>
      </c>
      <c r="AU205" s="227"/>
      <c r="AV205" s="227" t="str">
        <f t="shared" si="21"/>
        <v>Nej</v>
      </c>
      <c r="AW205" s="227" t="str">
        <f>IF(AV205="ja",VLOOKUP($B205,'Egen hetvattenprod'!$B$1:$AO$500,MATCH("Värmekälla till värmepumpar ()",'Egen hetvattenprod'!$B$1:$AO$1,0),FALSE),"")</f>
        <v/>
      </c>
      <c r="AX205" s="227"/>
      <c r="AY205" s="227" t="str">
        <f t="shared" si="22"/>
        <v>Nej</v>
      </c>
      <c r="AZ205" s="228" t="str">
        <f>IF($AY205="ja",(VLOOKUP($B205,'Egen hetvattenprod'!$B$1:$BX$550,MATCH(AZ$2,'Egen hetvattenprod'!$B$1:$BX$1,0),FALSE)+VLOOKUP($B205,Kraftvärmeprod!$B$1:$BX$550,MATCH(AZ$2,Kraftvärmeprod!$B$1:$BX$1,0),FALSE))/$AC205,"")</f>
        <v/>
      </c>
      <c r="BA205" s="228" t="str">
        <f>IF($AY205="ja",(VLOOKUP($B205,'Egen hetvattenprod'!$B$1:$BX$550,MATCH(BA$2,'Egen hetvattenprod'!$B$1:$BX$1,0),FALSE)+VLOOKUP($B205,Kraftvärmeprod!$B$1:$BX$550,MATCH(BA$2,Kraftvärmeprod!$B$1:$BX$1,0),FALSE))/$AC205,"")</f>
        <v/>
      </c>
      <c r="BB205" s="228" t="str">
        <f>IF($AY205="ja",(VLOOKUP($B205,'Egen hetvattenprod'!$B$1:$BX$550,MATCH(BB$2,'Egen hetvattenprod'!$B$1:$BX$1,0),FALSE)+VLOOKUP($B205,Kraftvärmeprod!$B$1:$BX$550,MATCH(BB$2,Kraftvärmeprod!$B$1:$BX$1,0),FALSE))/$AC205,"")</f>
        <v/>
      </c>
      <c r="BC205" s="228" t="str">
        <f>IF($AY205="ja",(VLOOKUP($B205,'Egen hetvattenprod'!$B$1:$BX$550,MATCH(BC$2,'Egen hetvattenprod'!$B$1:$BX$1,0),FALSE)+VLOOKUP($B205,Kraftvärmeprod!$B$1:$BX$550,MATCH(BC$2,Kraftvärmeprod!$B$1:$BX$1,0),FALSE))/$AC205,"")</f>
        <v/>
      </c>
      <c r="BD205" s="228" t="str">
        <f>IF($AY205="ja",(VLOOKUP($B205,'Egen hetvattenprod'!$B$1:$BX$550,MATCH(BD$2,'Egen hetvattenprod'!$B$1:$BX$1,0),FALSE)+VLOOKUP($B205,Kraftvärmeprod!$B$1:$BX$550,MATCH(BD$2,Kraftvärmeprod!$B$1:$BX$1,0),FALSE))/$AC205,"")</f>
        <v/>
      </c>
      <c r="BE205" s="227"/>
      <c r="BF205" s="227" t="str">
        <f t="shared" si="23"/>
        <v>Nej</v>
      </c>
      <c r="BG205" s="227" t="str">
        <f>IF($BF205="ja",VLOOKUP($B205,'Egen hetvattenprod'!$B$1:$BX$550,MATCH("Andelen klimatgaser med fossilt ursprung för avfall ()",'Egen hetvattenprod'!$B$1:$BX$1,0),FALSE),"")</f>
        <v/>
      </c>
      <c r="BH205" s="227" t="str">
        <f>IF($BF205="ja",VLOOKUP($B205,Kraftvärmeprod!$B$1:$BX$550,MATCH("Andelen klimatgaser med fossilt ursprung för avfall ()",Kraftvärmeprod!$B$1:$BX$1,0),FALSE),"")</f>
        <v/>
      </c>
      <c r="BI205" s="227" t="str">
        <f>IF($BF205="ja",VLOOKUP($B205,'Egen hetvattenprod'!$B$1:$BX$550,MATCH("Avfall (GWh)",'Egen hetvattenprod'!$B$1:$BX$1,0),FALSE),"")</f>
        <v/>
      </c>
      <c r="BJ205" s="227" t="str">
        <f>IF($BF205="ja",VLOOKUP($B205,'Slutlig allokering kvv'!$B$1:$BX$550,MATCH("Avfall (GWh)",'Slutlig allokering kvv'!$B$1:$BX$1,0),FALSE),"")</f>
        <v/>
      </c>
      <c r="BK205" s="227" t="str">
        <f>IF($BF205="ja",VLOOKUP($B205,'Köpt hetvatten'!$B$1:$BX$550,MATCH("Avfall i köpt hetvatten",'Köpt hetvatten'!$B$1:$BX$1,0),FALSE),"")</f>
        <v/>
      </c>
      <c r="BL205" s="227" t="str">
        <f>IF($BF205="ja",VLOOKUP($B205,'Egen hetvattenprod'!$B$1:$BX$550,MATCH("Värde enligt ovan. (%)",'Egen hetvattenprod'!$B$1:$BX$1,0),FALSE),"")</f>
        <v/>
      </c>
      <c r="BM205" s="227" t="str">
        <f>IF($BF205="ja",VLOOKUP($B205,Kraftvärmeprod!$B$1:$BX$550,MATCH("Värde enligt ovan. (%)",Kraftvärmeprod!$B$1:$BX$1,0),FALSE),"")</f>
        <v/>
      </c>
      <c r="BN205" s="227"/>
      <c r="BO205" s="227"/>
      <c r="BP205" s="227"/>
      <c r="BQ205" s="227" t="str">
        <f>IF($BF205="ja",VLOOKUP($B205,'Egen hetvattenprod'!$B$1:$BX$550,MATCH("Tillförd olja (fossil) vid avfallsförbränning (GWh)",'Egen hetvattenprod'!$B$1:$BX$1,0),FALSE),"")</f>
        <v/>
      </c>
      <c r="BR205" s="227" t="str">
        <f>IF($BF205="ja",VLOOKUP($B205,Kraftvärmeprod!$B$1:$BX$550,MATCH("Tillförd olja (fossil) vid avfallsförbränning (GWh)",Kraftvärmeprod!$B$1:$BX$1,0),FALSE),"")</f>
        <v/>
      </c>
      <c r="BS205" s="227"/>
      <c r="BT205" s="227"/>
      <c r="BU205" s="227"/>
    </row>
    <row r="206" spans="1:73" x14ac:dyDescent="0.25">
      <c r="A206" s="121" t="str">
        <f>'Miljövärden för publ företag'!B209</f>
        <v>Perstorps Fjärrvärme AB</v>
      </c>
      <c r="B206" s="121" t="str">
        <f>'Miljövärden för publ företag'!C209</f>
        <v>Perstorp</v>
      </c>
      <c r="C206" s="173">
        <f>IFERROR(VLOOKUP($B206,Totalt!$B$1:$AQ$554,MATCH(C$2,Totalt!$B$1:$AQ$1,0),FALSE),"")</f>
        <v>0</v>
      </c>
      <c r="D206" s="173">
        <f>IFERROR(VLOOKUP($B206,Totalt!$B$1:$AQ$554,MATCH(D$2,Totalt!$B$1:$AQ$1,0),FALSE),"")</f>
        <v>0.01</v>
      </c>
      <c r="E206" s="173">
        <f>IFERROR(VLOOKUP($B206,Totalt!$B$1:$AQ$554,MATCH(E$2,Totalt!$B$1:$AQ$1,0),FALSE),"")</f>
        <v>0</v>
      </c>
      <c r="F206" s="173">
        <f>IFERROR(VLOOKUP($B206,Totalt!$B$1:$AQ$554,MATCH(F$2,Totalt!$B$1:$AQ$1,0),FALSE),"")</f>
        <v>0</v>
      </c>
      <c r="G206" s="173">
        <f>IFERROR(VLOOKUP($B206,Totalt!$B$1:$AQ$554,MATCH(G$2,Totalt!$B$1:$AQ$1,0),FALSE),"")</f>
        <v>0</v>
      </c>
      <c r="H206" s="173">
        <f>IFERROR(VLOOKUP($B206,Totalt!$B$1:$AQ$554,MATCH(H$2,Totalt!$B$1:$AQ$1,0),FALSE),"")</f>
        <v>0</v>
      </c>
      <c r="I206" s="173">
        <f>IFERROR(VLOOKUP($B206,Totalt!$B$1:$AQ$554,MATCH(I$2,Totalt!$B$1:$AQ$1,0),FALSE),"")</f>
        <v>0</v>
      </c>
      <c r="J206" s="173">
        <f>IFERROR(VLOOKUP($B206,Totalt!$B$1:$AQ$554,MATCH(J$2,Totalt!$B$1:$AQ$1,0),FALSE),"")</f>
        <v>0</v>
      </c>
      <c r="K206" s="173">
        <f>IFERROR(VLOOKUP($B206,Totalt!$B$1:$AQ$554,MATCH(K$2,Totalt!$B$1:$AQ$1,0),FALSE),"")</f>
        <v>0</v>
      </c>
      <c r="L206" s="173">
        <f>IFERROR(VLOOKUP($B206,Totalt!$B$1:$AQ$554,MATCH(L$2,Totalt!$B$1:$AQ$1,0),FALSE),"")</f>
        <v>0</v>
      </c>
      <c r="M206" s="173">
        <f>IFERROR(VLOOKUP($B206,Totalt!$B$1:$AQ$554,MATCH(M$2,Totalt!$B$1:$AQ$1,0),FALSE),"")</f>
        <v>17.399000000000001</v>
      </c>
      <c r="N206" s="173">
        <f>IFERROR(VLOOKUP($B206,Totalt!$B$1:$AQ$554,MATCH(N$2,Totalt!$B$1:$AQ$1,0),FALSE),"")</f>
        <v>5.2969999999999997</v>
      </c>
      <c r="O206" s="173">
        <f>IFERROR(VLOOKUP($B206,Totalt!$B$1:$AQ$554,MATCH(O$2,Totalt!$B$1:$AQ$1,0),FALSE),"")</f>
        <v>6.1909999999999998</v>
      </c>
      <c r="P206" s="173">
        <f>IFERROR(VLOOKUP($B206,Totalt!$B$1:$AQ$554,MATCH(P$2,Totalt!$B$1:$AQ$1,0),FALSE),"")</f>
        <v>4.2489999999999997</v>
      </c>
      <c r="Q206" s="173">
        <f>IFERROR(VLOOKUP($B206,Totalt!$B$1:$AQ$554,MATCH(Q$2,Totalt!$B$1:$AQ$1,0),FALSE),"")</f>
        <v>14.853999999999999</v>
      </c>
      <c r="R206" s="173">
        <f>IFERROR(VLOOKUP($B206,Totalt!$B$1:$AQ$554,MATCH(R$2,Totalt!$B$1:$AQ$1,0),FALSE),"")</f>
        <v>0</v>
      </c>
      <c r="S206" s="173">
        <f>IFERROR(VLOOKUP($B206,Totalt!$B$1:$AQ$554,MATCH(S$2,Totalt!$B$1:$AQ$1,0),FALSE),"")</f>
        <v>0</v>
      </c>
      <c r="T206" s="173">
        <f>IFERROR(VLOOKUP($B206,Totalt!$B$1:$AQ$554,MATCH(T$2,Totalt!$B$1:$AQ$1,0),FALSE),"")</f>
        <v>0</v>
      </c>
      <c r="U206" s="173">
        <f>IFERROR(VLOOKUP($B206,Totalt!$B$1:$AQ$554,MATCH(U$2,Totalt!$B$1:$AQ$1,0),FALSE),"")</f>
        <v>0</v>
      </c>
      <c r="V206" s="173">
        <f>IFERROR(VLOOKUP($B206,Totalt!$B$1:$AQ$554,MATCH(V$2,Totalt!$B$1:$AQ$1,0),FALSE),"")</f>
        <v>0</v>
      </c>
      <c r="W206" s="173">
        <f>IFERROR(VLOOKUP($B206,Totalt!$B$1:$AQ$554,MATCH(W$2,Totalt!$B$1:$AQ$1,0),FALSE),"")</f>
        <v>0</v>
      </c>
      <c r="X206" s="173">
        <f>IFERROR(VLOOKUP($B206,Totalt!$B$1:$AQ$554,MATCH(X$2,Totalt!$B$1:$AQ$1,0),FALSE),"")</f>
        <v>2.7519999999999998</v>
      </c>
      <c r="Y206" s="173">
        <f>IFERROR(VLOOKUP($B206,Totalt!$B$1:$AQ$554,MATCH(Y$2,Totalt!$B$1:$AQ$1,0),FALSE),"")</f>
        <v>0</v>
      </c>
      <c r="Z206" s="173">
        <f>IFERROR(VLOOKUP($B206,Totalt!$B$1:$AQ$554,MATCH(Z$2,Totalt!$B$1:$AQ$1,0),FALSE),"")</f>
        <v>0</v>
      </c>
      <c r="AA206" s="173">
        <f>IFERROR(VLOOKUP($B206,Totalt!$B$1:$AQ$554,MATCH(AA$2,Totalt!$B$1:$AQ$1,0),FALSE),"")</f>
        <v>0</v>
      </c>
      <c r="AB206" s="173">
        <f>IFERROR(VLOOKUP($B206,Totalt!$B$1:$AQ$554,MATCH(AB$2,Totalt!$B$1:$AQ$1,0),FALSE),"")</f>
        <v>0</v>
      </c>
      <c r="AC206" s="173">
        <f>IFERROR(VLOOKUP($B206,Totalt!$B$1:$AQ$554,MATCH(AC$2,Totalt!$B$1:$AQ$1,0),FALSE),"")</f>
        <v>8.8209999999999997</v>
      </c>
      <c r="AD206" s="173">
        <f>IFERROR(VLOOKUP($B206,Totalt!$B$1:$AQ$554,MATCH(AD$2,Totalt!$B$1:$AQ$1,0),FALSE),"")</f>
        <v>0.45300000000000001</v>
      </c>
      <c r="AE206" s="173">
        <f>IFERROR(VLOOKUP($B206,Totalt!$B$1:$AQ$554,MATCH(AE$2,Totalt!$B$1:$AQ$1,0),FALSE),"")</f>
        <v>0</v>
      </c>
      <c r="AF206" s="173">
        <f>IFERROR(VLOOKUP($B206,Totalt!$B$1:$AQ$554,MATCH(AF$2,Totalt!$B$1:$AQ$1,0),FALSE),"")</f>
        <v>0.96899999999999997</v>
      </c>
      <c r="AG206" s="173">
        <f>IFERROR(VLOOKUP($B206,Totalt!$B$1:$AQ$554,MATCH(AG$2,Totalt!$B$1:$AQ$1,0),FALSE),"")</f>
        <v>0</v>
      </c>
      <c r="AI206" s="226">
        <f t="shared" si="18"/>
        <v>60.995000000000005</v>
      </c>
      <c r="AJ206" s="226">
        <f>IF(ISERROR(1/VLOOKUP($B206,Leveranser!$B$1:$S$500,MATCH("såld värme (gwh)",Leveranser!$B$1:$S$1,0),FALSE)),"",VLOOKUP($B206,Leveranser!$B$1:$S$500,MATCH("såld värme (gwh)",Leveranser!$B$1:$S$1,0),FALSE))</f>
        <v>45.8</v>
      </c>
      <c r="AM206" s="227" t="str">
        <f>IF(B206&lt;&gt;"",IF(VLOOKUP($B206,Totalt!$B$1:$AQ$554,MATCH("Kvalitetsgranskad:",Totalt!$B$1:$AQ$1,0),FALSE)="ja",VLOOKUP($B206,Miljö!$B$1:$AG$479,MATCH(AM$2,Miljö!$B$1:$AK$1,0),FALSE),""),"")</f>
        <v>Ja</v>
      </c>
      <c r="AN206" s="227" t="str">
        <f>IF(AM206="ja",VLOOKUP($B206,Miljö!$B$1:$J$479,MATCH("Typ av ursprungsspecificerad el   (Om inget värde anges används Nordisk residualmix, se inforuta) ()",Miljö!$B$1:$J$1,0),FALSE),IF(AM206="nej","Nordisk residualel",""))</f>
        <v>'Vindkraft'</v>
      </c>
      <c r="AO206" s="227">
        <f>IF(AM206="","",VLOOKUP($B206,Miljö!$B$1:$J$479,MATCH("Fossilandel för ursprungspecificerad el ()",Miljö!$B$1:$J$1,0),FALSE))</f>
        <v>0</v>
      </c>
      <c r="AP206" s="227">
        <f>IF(AM206="","",IFERROR(VLOOKUP($B206,Miljö!$B$1:$J$479,MATCH("Kärnkraftsandel för ursprungsspecificerad el ()",Miljö!$B$1:$J$1,0),FALSE)/1,0))</f>
        <v>0</v>
      </c>
      <c r="AQ206" s="227">
        <f t="shared" si="19"/>
        <v>1</v>
      </c>
      <c r="AR206" s="227"/>
      <c r="AS206" s="227" t="str">
        <f t="shared" si="20"/>
        <v>Nej</v>
      </c>
      <c r="AT206" s="227" t="str">
        <f>IF(AS206="ja",VLOOKUP($B206,Miljö!$B$1:$O$500,MATCH("Fossil andel i procent (%)",Miljö!$B$1:$O$1,0),FALSE)/100,"")</f>
        <v/>
      </c>
      <c r="AU206" s="227"/>
      <c r="AV206" s="227" t="str">
        <f t="shared" si="21"/>
        <v>Nej</v>
      </c>
      <c r="AW206" s="227" t="str">
        <f>IF(AV206="ja",VLOOKUP($B206,'Egen hetvattenprod'!$B$1:$AO$500,MATCH("Värmekälla till värmepumpar ()",'Egen hetvattenprod'!$B$1:$AO$1,0),FALSE),"")</f>
        <v/>
      </c>
      <c r="AX206" s="227"/>
      <c r="AY206" s="227" t="str">
        <f t="shared" si="22"/>
        <v>Ja</v>
      </c>
      <c r="AZ206" s="228">
        <f>IF($AY206="ja",(VLOOKUP($B206,'Egen hetvattenprod'!$B$1:$BX$550,MATCH(AZ$2,'Egen hetvattenprod'!$B$1:$BX$1,0),FALSE)+VLOOKUP($B206,Kraftvärmeprod!$B$1:$BX$550,MATCH(AZ$2,Kraftvärmeprod!$B$1:$BX$1,0),FALSE))/$AC206,"")</f>
        <v>1</v>
      </c>
      <c r="BA206" s="228">
        <f>IF($AY206="ja",(VLOOKUP($B206,'Egen hetvattenprod'!$B$1:$BX$550,MATCH(BA$2,'Egen hetvattenprod'!$B$1:$BX$1,0),FALSE)+VLOOKUP($B206,Kraftvärmeprod!$B$1:$BX$550,MATCH(BA$2,Kraftvärmeprod!$B$1:$BX$1,0),FALSE))/$AC206,"")</f>
        <v>0</v>
      </c>
      <c r="BB206" s="228">
        <f>IF($AY206="ja",(VLOOKUP($B206,'Egen hetvattenprod'!$B$1:$BX$550,MATCH(BB$2,'Egen hetvattenprod'!$B$1:$BX$1,0),FALSE)+VLOOKUP($B206,Kraftvärmeprod!$B$1:$BX$550,MATCH(BB$2,Kraftvärmeprod!$B$1:$BX$1,0),FALSE))/$AC206,"")</f>
        <v>0</v>
      </c>
      <c r="BC206" s="228">
        <f>IF($AY206="ja",(VLOOKUP($B206,'Egen hetvattenprod'!$B$1:$BX$550,MATCH(BC$2,'Egen hetvattenprod'!$B$1:$BX$1,0),FALSE)+VLOOKUP($B206,Kraftvärmeprod!$B$1:$BX$550,MATCH(BC$2,Kraftvärmeprod!$B$1:$BX$1,0),FALSE))/$AC206,"")</f>
        <v>0</v>
      </c>
      <c r="BD206" s="228">
        <f>IF($AY206="ja",(VLOOKUP($B206,'Egen hetvattenprod'!$B$1:$BX$550,MATCH(BD$2,'Egen hetvattenprod'!$B$1:$BX$1,0),FALSE)+VLOOKUP($B206,Kraftvärmeprod!$B$1:$BX$550,MATCH(BD$2,Kraftvärmeprod!$B$1:$BX$1,0),FALSE))/$AC206,"")</f>
        <v>0</v>
      </c>
      <c r="BE206" s="227"/>
      <c r="BF206" s="227" t="str">
        <f t="shared" si="23"/>
        <v>Nej</v>
      </c>
      <c r="BG206" s="227" t="str">
        <f>IF($BF206="ja",VLOOKUP($B206,'Egen hetvattenprod'!$B$1:$BX$550,MATCH("Andelen klimatgaser med fossilt ursprung för avfall ()",'Egen hetvattenprod'!$B$1:$BX$1,0),FALSE),"")</f>
        <v/>
      </c>
      <c r="BH206" s="227" t="str">
        <f>IF($BF206="ja",VLOOKUP($B206,Kraftvärmeprod!$B$1:$BX$550,MATCH("Andelen klimatgaser med fossilt ursprung för avfall ()",Kraftvärmeprod!$B$1:$BX$1,0),FALSE),"")</f>
        <v/>
      </c>
      <c r="BI206" s="227" t="str">
        <f>IF($BF206="ja",VLOOKUP($B206,'Egen hetvattenprod'!$B$1:$BX$550,MATCH("Avfall (GWh)",'Egen hetvattenprod'!$B$1:$BX$1,0),FALSE),"")</f>
        <v/>
      </c>
      <c r="BJ206" s="227" t="str">
        <f>IF($BF206="ja",VLOOKUP($B206,'Slutlig allokering kvv'!$B$1:$BX$550,MATCH("Avfall (GWh)",'Slutlig allokering kvv'!$B$1:$BX$1,0),FALSE),"")</f>
        <v/>
      </c>
      <c r="BK206" s="227" t="str">
        <f>IF($BF206="ja",VLOOKUP($B206,'Köpt hetvatten'!$B$1:$BX$550,MATCH("Avfall i köpt hetvatten",'Köpt hetvatten'!$B$1:$BX$1,0),FALSE),"")</f>
        <v/>
      </c>
      <c r="BL206" s="227" t="str">
        <f>IF($BF206="ja",VLOOKUP($B206,'Egen hetvattenprod'!$B$1:$BX$550,MATCH("Värde enligt ovan. (%)",'Egen hetvattenprod'!$B$1:$BX$1,0),FALSE),"")</f>
        <v/>
      </c>
      <c r="BM206" s="227" t="str">
        <f>IF($BF206="ja",VLOOKUP($B206,Kraftvärmeprod!$B$1:$BX$550,MATCH("Värde enligt ovan. (%)",Kraftvärmeprod!$B$1:$BX$1,0),FALSE),"")</f>
        <v/>
      </c>
      <c r="BN206" s="227"/>
      <c r="BO206" s="227"/>
      <c r="BP206" s="227"/>
      <c r="BQ206" s="227" t="str">
        <f>IF($BF206="ja",VLOOKUP($B206,'Egen hetvattenprod'!$B$1:$BX$550,MATCH("Tillförd olja (fossil) vid avfallsförbränning (GWh)",'Egen hetvattenprod'!$B$1:$BX$1,0),FALSE),"")</f>
        <v/>
      </c>
      <c r="BR206" s="227" t="str">
        <f>IF($BF206="ja",VLOOKUP($B206,Kraftvärmeprod!$B$1:$BX$550,MATCH("Tillförd olja (fossil) vid avfallsförbränning (GWh)",Kraftvärmeprod!$B$1:$BX$1,0),FALSE),"")</f>
        <v/>
      </c>
      <c r="BS206" s="227"/>
      <c r="BT206" s="227"/>
      <c r="BU206" s="227"/>
    </row>
    <row r="207" spans="1:73" x14ac:dyDescent="0.25">
      <c r="A207" s="121" t="str">
        <f>'Miljövärden för publ företag'!B210</f>
        <v>PiteEnergi AB</v>
      </c>
      <c r="B207" s="121" t="str">
        <f>'Miljövärden för publ företag'!C210</f>
        <v>Norrfjärden</v>
      </c>
      <c r="C207" s="173">
        <f>IFERROR(VLOOKUP($B207,Totalt!$B$1:$AQ$554,MATCH(C$2,Totalt!$B$1:$AQ$1,0),FALSE),"")</f>
        <v>0</v>
      </c>
      <c r="D207" s="173">
        <f>IFERROR(VLOOKUP($B207,Totalt!$B$1:$AQ$554,MATCH(D$2,Totalt!$B$1:$AQ$1,0),FALSE),"")</f>
        <v>3.8E-3</v>
      </c>
      <c r="E207" s="173">
        <f>IFERROR(VLOOKUP($B207,Totalt!$B$1:$AQ$554,MATCH(E$2,Totalt!$B$1:$AQ$1,0),FALSE),"")</f>
        <v>0</v>
      </c>
      <c r="F207" s="173">
        <f>IFERROR(VLOOKUP($B207,Totalt!$B$1:$AQ$554,MATCH(F$2,Totalt!$B$1:$AQ$1,0),FALSE),"")</f>
        <v>0</v>
      </c>
      <c r="G207" s="173">
        <f>IFERROR(VLOOKUP($B207,Totalt!$B$1:$AQ$554,MATCH(G$2,Totalt!$B$1:$AQ$1,0),FALSE),"")</f>
        <v>0</v>
      </c>
      <c r="H207" s="173">
        <f>IFERROR(VLOOKUP($B207,Totalt!$B$1:$AQ$554,MATCH(H$2,Totalt!$B$1:$AQ$1,0),FALSE),"")</f>
        <v>0</v>
      </c>
      <c r="I207" s="173">
        <f>IFERROR(VLOOKUP($B207,Totalt!$B$1:$AQ$554,MATCH(I$2,Totalt!$B$1:$AQ$1,0),FALSE),"")</f>
        <v>0</v>
      </c>
      <c r="J207" s="173">
        <f>IFERROR(VLOOKUP($B207,Totalt!$B$1:$AQ$554,MATCH(J$2,Totalt!$B$1:$AQ$1,0),FALSE),"")</f>
        <v>0</v>
      </c>
      <c r="K207" s="173">
        <f>IFERROR(VLOOKUP($B207,Totalt!$B$1:$AQ$554,MATCH(K$2,Totalt!$B$1:$AQ$1,0),FALSE),"")</f>
        <v>0</v>
      </c>
      <c r="L207" s="173">
        <f>IFERROR(VLOOKUP($B207,Totalt!$B$1:$AQ$554,MATCH(L$2,Totalt!$B$1:$AQ$1,0),FALSE),"")</f>
        <v>0</v>
      </c>
      <c r="M207" s="173">
        <f>IFERROR(VLOOKUP($B207,Totalt!$B$1:$AQ$554,MATCH(M$2,Totalt!$B$1:$AQ$1,0),FALSE),"")</f>
        <v>0</v>
      </c>
      <c r="N207" s="173">
        <f>IFERROR(VLOOKUP($B207,Totalt!$B$1:$AQ$554,MATCH(N$2,Totalt!$B$1:$AQ$1,0),FALSE),"")</f>
        <v>0</v>
      </c>
      <c r="O207" s="173">
        <f>IFERROR(VLOOKUP($B207,Totalt!$B$1:$AQ$554,MATCH(O$2,Totalt!$B$1:$AQ$1,0),FALSE),"")</f>
        <v>0</v>
      </c>
      <c r="P207" s="173">
        <f>IFERROR(VLOOKUP($B207,Totalt!$B$1:$AQ$554,MATCH(P$2,Totalt!$B$1:$AQ$1,0),FALSE),"")</f>
        <v>0</v>
      </c>
      <c r="Q207" s="173">
        <f>IFERROR(VLOOKUP($B207,Totalt!$B$1:$AQ$554,MATCH(Q$2,Totalt!$B$1:$AQ$1,0),FALSE),"")</f>
        <v>0</v>
      </c>
      <c r="R207" s="173">
        <f>IFERROR(VLOOKUP($B207,Totalt!$B$1:$AQ$554,MATCH(R$2,Totalt!$B$1:$AQ$1,0),FALSE),"")</f>
        <v>7.3</v>
      </c>
      <c r="S207" s="173">
        <f>IFERROR(VLOOKUP($B207,Totalt!$B$1:$AQ$554,MATCH(S$2,Totalt!$B$1:$AQ$1,0),FALSE),"")</f>
        <v>0</v>
      </c>
      <c r="T207" s="173">
        <f>IFERROR(VLOOKUP($B207,Totalt!$B$1:$AQ$554,MATCH(T$2,Totalt!$B$1:$AQ$1,0),FALSE),"")</f>
        <v>0</v>
      </c>
      <c r="U207" s="173">
        <f>IFERROR(VLOOKUP($B207,Totalt!$B$1:$AQ$554,MATCH(U$2,Totalt!$B$1:$AQ$1,0),FALSE),"")</f>
        <v>0</v>
      </c>
      <c r="V207" s="173">
        <f>IFERROR(VLOOKUP($B207,Totalt!$B$1:$AQ$554,MATCH(V$2,Totalt!$B$1:$AQ$1,0),FALSE),"")</f>
        <v>0</v>
      </c>
      <c r="W207" s="173">
        <f>IFERROR(VLOOKUP($B207,Totalt!$B$1:$AQ$554,MATCH(W$2,Totalt!$B$1:$AQ$1,0),FALSE),"")</f>
        <v>0</v>
      </c>
      <c r="X207" s="173">
        <f>IFERROR(VLOOKUP($B207,Totalt!$B$1:$AQ$554,MATCH(X$2,Totalt!$B$1:$AQ$1,0),FALSE),"")</f>
        <v>0</v>
      </c>
      <c r="Y207" s="173">
        <f>IFERROR(VLOOKUP($B207,Totalt!$B$1:$AQ$554,MATCH(Y$2,Totalt!$B$1:$AQ$1,0),FALSE),"")</f>
        <v>0</v>
      </c>
      <c r="Z207" s="173">
        <f>IFERROR(VLOOKUP($B207,Totalt!$B$1:$AQ$554,MATCH(Z$2,Totalt!$B$1:$AQ$1,0),FALSE),"")</f>
        <v>0.20100000000000001</v>
      </c>
      <c r="AA207" s="173">
        <f>IFERROR(VLOOKUP($B207,Totalt!$B$1:$AQ$554,MATCH(AA$2,Totalt!$B$1:$AQ$1,0),FALSE),"")</f>
        <v>0</v>
      </c>
      <c r="AB207" s="173">
        <f>IFERROR(VLOOKUP($B207,Totalt!$B$1:$AQ$554,MATCH(AB$2,Totalt!$B$1:$AQ$1,0),FALSE),"")</f>
        <v>0</v>
      </c>
      <c r="AC207" s="173">
        <f>IFERROR(VLOOKUP($B207,Totalt!$B$1:$AQ$554,MATCH(AC$2,Totalt!$B$1:$AQ$1,0),FALSE),"")</f>
        <v>0</v>
      </c>
      <c r="AD207" s="173">
        <f>IFERROR(VLOOKUP($B207,Totalt!$B$1:$AQ$554,MATCH(AD$2,Totalt!$B$1:$AQ$1,0),FALSE),"")</f>
        <v>0</v>
      </c>
      <c r="AE207" s="173">
        <f>IFERROR(VLOOKUP($B207,Totalt!$B$1:$AQ$554,MATCH(AE$2,Totalt!$B$1:$AQ$1,0),FALSE),"")</f>
        <v>0</v>
      </c>
      <c r="AF207" s="173">
        <f>IFERROR(VLOOKUP($B207,Totalt!$B$1:$AQ$554,MATCH(AF$2,Totalt!$B$1:$AQ$1,0),FALSE),"")</f>
        <v>0.6</v>
      </c>
      <c r="AG207" s="173">
        <f>IFERROR(VLOOKUP($B207,Totalt!$B$1:$AQ$554,MATCH(AG$2,Totalt!$B$1:$AQ$1,0),FALSE),"")</f>
        <v>0</v>
      </c>
      <c r="AI207" s="226">
        <f t="shared" si="18"/>
        <v>8.1047999999999991</v>
      </c>
      <c r="AJ207" s="226">
        <f>IF(ISERROR(1/VLOOKUP($B207,Leveranser!$B$1:$S$500,MATCH("såld värme (gwh)",Leveranser!$B$1:$S$1,0),FALSE)),"",VLOOKUP($B207,Leveranser!$B$1:$S$500,MATCH("såld värme (gwh)",Leveranser!$B$1:$S$1,0),FALSE))</f>
        <v>6.06</v>
      </c>
      <c r="AM207" s="227" t="str">
        <f>IF(B207&lt;&gt;"",IF(VLOOKUP($B207,Totalt!$B$1:$AQ$554,MATCH("Kvalitetsgranskad:",Totalt!$B$1:$AQ$1,0),FALSE)="ja",VLOOKUP($B207,Miljö!$B$1:$AG$479,MATCH(AM$2,Miljö!$B$1:$AK$1,0),FALSE),""),"")</f>
        <v>Ja</v>
      </c>
      <c r="AN207" s="227" t="str">
        <f>IF(AM207="ja",VLOOKUP($B207,Miljö!$B$1:$J$479,MATCH("Typ av ursprungsspecificerad el   (Om inget värde anges används Nordisk residualmix, se inforuta) ()",Miljö!$B$1:$J$1,0),FALSE),IF(AM207="nej","Nordisk residualel",""))</f>
        <v>'100% förnybart'</v>
      </c>
      <c r="AO207" s="227">
        <f>IF(AM207="","",VLOOKUP($B207,Miljö!$B$1:$J$479,MATCH("Fossilandel för ursprungspecificerad el ()",Miljö!$B$1:$J$1,0),FALSE))</f>
        <v>0</v>
      </c>
      <c r="AP207" s="227">
        <f>IF(AM207="","",IFERROR(VLOOKUP($B207,Miljö!$B$1:$J$479,MATCH("Kärnkraftsandel för ursprungsspecificerad el ()",Miljö!$B$1:$J$1,0),FALSE)/1,0))</f>
        <v>0</v>
      </c>
      <c r="AQ207" s="227">
        <f t="shared" si="19"/>
        <v>1</v>
      </c>
      <c r="AR207" s="227"/>
      <c r="AS207" s="227" t="str">
        <f t="shared" si="20"/>
        <v>Nej</v>
      </c>
      <c r="AT207" s="227" t="str">
        <f>IF(AS207="ja",VLOOKUP($B207,Miljö!$B$1:$O$500,MATCH("Fossil andel i procent (%)",Miljö!$B$1:$O$1,0),FALSE)/100,"")</f>
        <v/>
      </c>
      <c r="AU207" s="227"/>
      <c r="AV207" s="227" t="str">
        <f t="shared" si="21"/>
        <v>Nej</v>
      </c>
      <c r="AW207" s="227" t="str">
        <f>IF(AV207="ja",VLOOKUP($B207,'Egen hetvattenprod'!$B$1:$AO$500,MATCH("Värmekälla till värmepumpar ()",'Egen hetvattenprod'!$B$1:$AO$1,0),FALSE),"")</f>
        <v/>
      </c>
      <c r="AX207" s="227"/>
      <c r="AY207" s="227" t="str">
        <f t="shared" si="22"/>
        <v>Nej</v>
      </c>
      <c r="AZ207" s="228" t="str">
        <f>IF($AY207="ja",(VLOOKUP($B207,'Egen hetvattenprod'!$B$1:$BX$550,MATCH(AZ$2,'Egen hetvattenprod'!$B$1:$BX$1,0),FALSE)+VLOOKUP($B207,Kraftvärmeprod!$B$1:$BX$550,MATCH(AZ$2,Kraftvärmeprod!$B$1:$BX$1,0),FALSE))/$AC207,"")</f>
        <v/>
      </c>
      <c r="BA207" s="228" t="str">
        <f>IF($AY207="ja",(VLOOKUP($B207,'Egen hetvattenprod'!$B$1:$BX$550,MATCH(BA$2,'Egen hetvattenprod'!$B$1:$BX$1,0),FALSE)+VLOOKUP($B207,Kraftvärmeprod!$B$1:$BX$550,MATCH(BA$2,Kraftvärmeprod!$B$1:$BX$1,0),FALSE))/$AC207,"")</f>
        <v/>
      </c>
      <c r="BB207" s="228" t="str">
        <f>IF($AY207="ja",(VLOOKUP($B207,'Egen hetvattenprod'!$B$1:$BX$550,MATCH(BB$2,'Egen hetvattenprod'!$B$1:$BX$1,0),FALSE)+VLOOKUP($B207,Kraftvärmeprod!$B$1:$BX$550,MATCH(BB$2,Kraftvärmeprod!$B$1:$BX$1,0),FALSE))/$AC207,"")</f>
        <v/>
      </c>
      <c r="BC207" s="228" t="str">
        <f>IF($AY207="ja",(VLOOKUP($B207,'Egen hetvattenprod'!$B$1:$BX$550,MATCH(BC$2,'Egen hetvattenprod'!$B$1:$BX$1,0),FALSE)+VLOOKUP($B207,Kraftvärmeprod!$B$1:$BX$550,MATCH(BC$2,Kraftvärmeprod!$B$1:$BX$1,0),FALSE))/$AC207,"")</f>
        <v/>
      </c>
      <c r="BD207" s="228" t="str">
        <f>IF($AY207="ja",(VLOOKUP($B207,'Egen hetvattenprod'!$B$1:$BX$550,MATCH(BD$2,'Egen hetvattenprod'!$B$1:$BX$1,0),FALSE)+VLOOKUP($B207,Kraftvärmeprod!$B$1:$BX$550,MATCH(BD$2,Kraftvärmeprod!$B$1:$BX$1,0),FALSE))/$AC207,"")</f>
        <v/>
      </c>
      <c r="BE207" s="227"/>
      <c r="BF207" s="227" t="str">
        <f t="shared" si="23"/>
        <v>Nej</v>
      </c>
      <c r="BG207" s="227" t="str">
        <f>IF($BF207="ja",VLOOKUP($B207,'Egen hetvattenprod'!$B$1:$BX$550,MATCH("Andelen klimatgaser med fossilt ursprung för avfall ()",'Egen hetvattenprod'!$B$1:$BX$1,0),FALSE),"")</f>
        <v/>
      </c>
      <c r="BH207" s="227" t="str">
        <f>IF($BF207="ja",VLOOKUP($B207,Kraftvärmeprod!$B$1:$BX$550,MATCH("Andelen klimatgaser med fossilt ursprung för avfall ()",Kraftvärmeprod!$B$1:$BX$1,0),FALSE),"")</f>
        <v/>
      </c>
      <c r="BI207" s="227" t="str">
        <f>IF($BF207="ja",VLOOKUP($B207,'Egen hetvattenprod'!$B$1:$BX$550,MATCH("Avfall (GWh)",'Egen hetvattenprod'!$B$1:$BX$1,0),FALSE),"")</f>
        <v/>
      </c>
      <c r="BJ207" s="227" t="str">
        <f>IF($BF207="ja",VLOOKUP($B207,'Slutlig allokering kvv'!$B$1:$BX$550,MATCH("Avfall (GWh)",'Slutlig allokering kvv'!$B$1:$BX$1,0),FALSE),"")</f>
        <v/>
      </c>
      <c r="BK207" s="227" t="str">
        <f>IF($BF207="ja",VLOOKUP($B207,'Köpt hetvatten'!$B$1:$BX$550,MATCH("Avfall i köpt hetvatten",'Köpt hetvatten'!$B$1:$BX$1,0),FALSE),"")</f>
        <v/>
      </c>
      <c r="BL207" s="227" t="str">
        <f>IF($BF207="ja",VLOOKUP($B207,'Egen hetvattenprod'!$B$1:$BX$550,MATCH("Värde enligt ovan. (%)",'Egen hetvattenprod'!$B$1:$BX$1,0),FALSE),"")</f>
        <v/>
      </c>
      <c r="BM207" s="227" t="str">
        <f>IF($BF207="ja",VLOOKUP($B207,Kraftvärmeprod!$B$1:$BX$550,MATCH("Värde enligt ovan. (%)",Kraftvärmeprod!$B$1:$BX$1,0),FALSE),"")</f>
        <v/>
      </c>
      <c r="BN207" s="227"/>
      <c r="BO207" s="227"/>
      <c r="BP207" s="227"/>
      <c r="BQ207" s="227" t="str">
        <f>IF($BF207="ja",VLOOKUP($B207,'Egen hetvattenprod'!$B$1:$BX$550,MATCH("Tillförd olja (fossil) vid avfallsförbränning (GWh)",'Egen hetvattenprod'!$B$1:$BX$1,0),FALSE),"")</f>
        <v/>
      </c>
      <c r="BR207" s="227" t="str">
        <f>IF($BF207="ja",VLOOKUP($B207,Kraftvärmeprod!$B$1:$BX$550,MATCH("Tillförd olja (fossil) vid avfallsförbränning (GWh)",Kraftvärmeprod!$B$1:$BX$1,0),FALSE),"")</f>
        <v/>
      </c>
      <c r="BS207" s="227"/>
      <c r="BT207" s="227"/>
      <c r="BU207" s="227"/>
    </row>
    <row r="208" spans="1:73" x14ac:dyDescent="0.25">
      <c r="A208" s="121" t="str">
        <f>'Miljövärden för publ företag'!B211</f>
        <v>PiteEnergi AB</v>
      </c>
      <c r="B208" s="121" t="str">
        <f>'Miljövärden för publ företag'!C211</f>
        <v>Piteå</v>
      </c>
      <c r="C208" s="173">
        <f>IFERROR(VLOOKUP($B208,Totalt!$B$1:$AQ$554,MATCH(C$2,Totalt!$B$1:$AQ$1,0),FALSE),"")</f>
        <v>0</v>
      </c>
      <c r="D208" s="173">
        <f>IFERROR(VLOOKUP($B208,Totalt!$B$1:$AQ$554,MATCH(D$2,Totalt!$B$1:$AQ$1,0),FALSE),"")</f>
        <v>0.66600000000000004</v>
      </c>
      <c r="E208" s="173">
        <f>IFERROR(VLOOKUP($B208,Totalt!$B$1:$AQ$554,MATCH(E$2,Totalt!$B$1:$AQ$1,0),FALSE),"")</f>
        <v>0</v>
      </c>
      <c r="F208" s="173">
        <f>IFERROR(VLOOKUP($B208,Totalt!$B$1:$AQ$554,MATCH(F$2,Totalt!$B$1:$AQ$1,0),FALSE),"")</f>
        <v>0</v>
      </c>
      <c r="G208" s="173">
        <f>IFERROR(VLOOKUP($B208,Totalt!$B$1:$AQ$554,MATCH(G$2,Totalt!$B$1:$AQ$1,0),FALSE),"")</f>
        <v>0</v>
      </c>
      <c r="H208" s="173">
        <f>IFERROR(VLOOKUP($B208,Totalt!$B$1:$AQ$554,MATCH(H$2,Totalt!$B$1:$AQ$1,0),FALSE),"")</f>
        <v>0.11799999999999999</v>
      </c>
      <c r="I208" s="173">
        <f>IFERROR(VLOOKUP($B208,Totalt!$B$1:$AQ$554,MATCH(I$2,Totalt!$B$1:$AQ$1,0),FALSE),"")</f>
        <v>0</v>
      </c>
      <c r="J208" s="173">
        <f>IFERROR(VLOOKUP($B208,Totalt!$B$1:$AQ$554,MATCH(J$2,Totalt!$B$1:$AQ$1,0),FALSE),"")</f>
        <v>0</v>
      </c>
      <c r="K208" s="173">
        <f>IFERROR(VLOOKUP($B208,Totalt!$B$1:$AQ$554,MATCH(K$2,Totalt!$B$1:$AQ$1,0),FALSE),"")</f>
        <v>0</v>
      </c>
      <c r="L208" s="173">
        <f>IFERROR(VLOOKUP($B208,Totalt!$B$1:$AQ$554,MATCH(L$2,Totalt!$B$1:$AQ$1,0),FALSE),"")</f>
        <v>0</v>
      </c>
      <c r="M208" s="173">
        <f>IFERROR(VLOOKUP($B208,Totalt!$B$1:$AQ$554,MATCH(M$2,Totalt!$B$1:$AQ$1,0),FALSE),"")</f>
        <v>0</v>
      </c>
      <c r="N208" s="173">
        <f>IFERROR(VLOOKUP($B208,Totalt!$B$1:$AQ$554,MATCH(N$2,Totalt!$B$1:$AQ$1,0),FALSE),"")</f>
        <v>0</v>
      </c>
      <c r="O208" s="173">
        <f>IFERROR(VLOOKUP($B208,Totalt!$B$1:$AQ$554,MATCH(O$2,Totalt!$B$1:$AQ$1,0),FALSE),"")</f>
        <v>0</v>
      </c>
      <c r="P208" s="173">
        <f>IFERROR(VLOOKUP($B208,Totalt!$B$1:$AQ$554,MATCH(P$2,Totalt!$B$1:$AQ$1,0),FALSE),"")</f>
        <v>0</v>
      </c>
      <c r="Q208" s="173">
        <f>IFERROR(VLOOKUP($B208,Totalt!$B$1:$AQ$554,MATCH(Q$2,Totalt!$B$1:$AQ$1,0),FALSE),"")</f>
        <v>0</v>
      </c>
      <c r="R208" s="173">
        <f>IFERROR(VLOOKUP($B208,Totalt!$B$1:$AQ$554,MATCH(R$2,Totalt!$B$1:$AQ$1,0),FALSE),"")</f>
        <v>0</v>
      </c>
      <c r="S208" s="173">
        <f>IFERROR(VLOOKUP($B208,Totalt!$B$1:$AQ$554,MATCH(S$2,Totalt!$B$1:$AQ$1,0),FALSE),"")</f>
        <v>0</v>
      </c>
      <c r="T208" s="173">
        <f>IFERROR(VLOOKUP($B208,Totalt!$B$1:$AQ$554,MATCH(T$2,Totalt!$B$1:$AQ$1,0),FALSE),"")</f>
        <v>0</v>
      </c>
      <c r="U208" s="173">
        <f>IFERROR(VLOOKUP($B208,Totalt!$B$1:$AQ$554,MATCH(U$2,Totalt!$B$1:$AQ$1,0),FALSE),"")</f>
        <v>0</v>
      </c>
      <c r="V208" s="173">
        <f>IFERROR(VLOOKUP($B208,Totalt!$B$1:$AQ$554,MATCH(V$2,Totalt!$B$1:$AQ$1,0),FALSE),"")</f>
        <v>0</v>
      </c>
      <c r="W208" s="173">
        <f>IFERROR(VLOOKUP($B208,Totalt!$B$1:$AQ$554,MATCH(W$2,Totalt!$B$1:$AQ$1,0),FALSE),"")</f>
        <v>0</v>
      </c>
      <c r="X208" s="173">
        <f>IFERROR(VLOOKUP($B208,Totalt!$B$1:$AQ$554,MATCH(X$2,Totalt!$B$1:$AQ$1,0),FALSE),"")</f>
        <v>0</v>
      </c>
      <c r="Y208" s="173">
        <f>IFERROR(VLOOKUP($B208,Totalt!$B$1:$AQ$554,MATCH(Y$2,Totalt!$B$1:$AQ$1,0),FALSE),"")</f>
        <v>0</v>
      </c>
      <c r="Z208" s="173">
        <f>IFERROR(VLOOKUP($B208,Totalt!$B$1:$AQ$554,MATCH(Z$2,Totalt!$B$1:$AQ$1,0),FALSE),"")</f>
        <v>0</v>
      </c>
      <c r="AA208" s="173">
        <f>IFERROR(VLOOKUP($B208,Totalt!$B$1:$AQ$554,MATCH(AA$2,Totalt!$B$1:$AQ$1,0),FALSE),"")</f>
        <v>0</v>
      </c>
      <c r="AB208" s="173">
        <f>IFERROR(VLOOKUP($B208,Totalt!$B$1:$AQ$554,MATCH(AB$2,Totalt!$B$1:$AQ$1,0),FALSE),"")</f>
        <v>0</v>
      </c>
      <c r="AC208" s="173">
        <f>IFERROR(VLOOKUP($B208,Totalt!$B$1:$AQ$554,MATCH(AC$2,Totalt!$B$1:$AQ$1,0),FALSE),"")</f>
        <v>0</v>
      </c>
      <c r="AD208" s="173">
        <f>IFERROR(VLOOKUP($B208,Totalt!$B$1:$AQ$554,MATCH(AD$2,Totalt!$B$1:$AQ$1,0),FALSE),"")</f>
        <v>293.226</v>
      </c>
      <c r="AE208" s="173">
        <f>IFERROR(VLOOKUP($B208,Totalt!$B$1:$AQ$554,MATCH(AE$2,Totalt!$B$1:$AQ$1,0),FALSE),"")</f>
        <v>0</v>
      </c>
      <c r="AF208" s="173">
        <f>IFERROR(VLOOKUP($B208,Totalt!$B$1:$AQ$554,MATCH(AF$2,Totalt!$B$1:$AQ$1,0),FALSE),"")</f>
        <v>2</v>
      </c>
      <c r="AG208" s="173">
        <f>IFERROR(VLOOKUP($B208,Totalt!$B$1:$AQ$554,MATCH(AG$2,Totalt!$B$1:$AQ$1,0),FALSE),"")</f>
        <v>0</v>
      </c>
      <c r="AI208" s="226">
        <f t="shared" si="18"/>
        <v>296.01</v>
      </c>
      <c r="AJ208" s="226">
        <f>IF(ISERROR(1/VLOOKUP($B208,Leveranser!$B$1:$S$500,MATCH("såld värme (gwh)",Leveranser!$B$1:$S$1,0),FALSE)),"",VLOOKUP($B208,Leveranser!$B$1:$S$500,MATCH("såld värme (gwh)",Leveranser!$B$1:$S$1,0),FALSE))</f>
        <v>246.8</v>
      </c>
      <c r="AM208" s="227" t="str">
        <f>IF(B208&lt;&gt;"",IF(VLOOKUP($B208,Totalt!$B$1:$AQ$554,MATCH("Kvalitetsgranskad:",Totalt!$B$1:$AQ$1,0),FALSE)="ja",VLOOKUP($B208,Miljö!$B$1:$AG$479,MATCH(AM$2,Miljö!$B$1:$AK$1,0),FALSE),""),"")</f>
        <v>Ja</v>
      </c>
      <c r="AN208" s="227" t="str">
        <f>IF(AM208="ja",VLOOKUP($B208,Miljö!$B$1:$J$479,MATCH("Typ av ursprungsspecificerad el   (Om inget värde anges används Nordisk residualmix, se inforuta) ()",Miljö!$B$1:$J$1,0),FALSE),IF(AM208="nej","Nordisk residualel",""))</f>
        <v>'100% förnybar'</v>
      </c>
      <c r="AO208" s="227">
        <f>IF(AM208="","",VLOOKUP($B208,Miljö!$B$1:$J$479,MATCH("Fossilandel för ursprungspecificerad el ()",Miljö!$B$1:$J$1,0),FALSE))</f>
        <v>0</v>
      </c>
      <c r="AP208" s="227">
        <f>IF(AM208="","",IFERROR(VLOOKUP($B208,Miljö!$B$1:$J$479,MATCH("Kärnkraftsandel för ursprungsspecificerad el ()",Miljö!$B$1:$J$1,0),FALSE)/1,0))</f>
        <v>0</v>
      </c>
      <c r="AQ208" s="227">
        <f t="shared" si="19"/>
        <v>1</v>
      </c>
      <c r="AR208" s="227"/>
      <c r="AS208" s="227" t="str">
        <f t="shared" si="20"/>
        <v>Nej</v>
      </c>
      <c r="AT208" s="227" t="str">
        <f>IF(AS208="ja",VLOOKUP($B208,Miljö!$B$1:$O$500,MATCH("Fossil andel i procent (%)",Miljö!$B$1:$O$1,0),FALSE)/100,"")</f>
        <v/>
      </c>
      <c r="AU208" s="227"/>
      <c r="AV208" s="227" t="str">
        <f t="shared" si="21"/>
        <v>Nej</v>
      </c>
      <c r="AW208" s="227" t="str">
        <f>IF(AV208="ja",VLOOKUP($B208,'Egen hetvattenprod'!$B$1:$AO$500,MATCH("Värmekälla till värmepumpar ()",'Egen hetvattenprod'!$B$1:$AO$1,0),FALSE),"")</f>
        <v/>
      </c>
      <c r="AX208" s="227"/>
      <c r="AY208" s="227" t="str">
        <f t="shared" si="22"/>
        <v>Nej</v>
      </c>
      <c r="AZ208" s="228" t="str">
        <f>IF($AY208="ja",(VLOOKUP($B208,'Egen hetvattenprod'!$B$1:$BX$550,MATCH(AZ$2,'Egen hetvattenprod'!$B$1:$BX$1,0),FALSE)+VLOOKUP($B208,Kraftvärmeprod!$B$1:$BX$550,MATCH(AZ$2,Kraftvärmeprod!$B$1:$BX$1,0),FALSE))/$AC208,"")</f>
        <v/>
      </c>
      <c r="BA208" s="228" t="str">
        <f>IF($AY208="ja",(VLOOKUP($B208,'Egen hetvattenprod'!$B$1:$BX$550,MATCH(BA$2,'Egen hetvattenprod'!$B$1:$BX$1,0),FALSE)+VLOOKUP($B208,Kraftvärmeprod!$B$1:$BX$550,MATCH(BA$2,Kraftvärmeprod!$B$1:$BX$1,0),FALSE))/$AC208,"")</f>
        <v/>
      </c>
      <c r="BB208" s="228" t="str">
        <f>IF($AY208="ja",(VLOOKUP($B208,'Egen hetvattenprod'!$B$1:$BX$550,MATCH(BB$2,'Egen hetvattenprod'!$B$1:$BX$1,0),FALSE)+VLOOKUP($B208,Kraftvärmeprod!$B$1:$BX$550,MATCH(BB$2,Kraftvärmeprod!$B$1:$BX$1,0),FALSE))/$AC208,"")</f>
        <v/>
      </c>
      <c r="BC208" s="228" t="str">
        <f>IF($AY208="ja",(VLOOKUP($B208,'Egen hetvattenprod'!$B$1:$BX$550,MATCH(BC$2,'Egen hetvattenprod'!$B$1:$BX$1,0),FALSE)+VLOOKUP($B208,Kraftvärmeprod!$B$1:$BX$550,MATCH(BC$2,Kraftvärmeprod!$B$1:$BX$1,0),FALSE))/$AC208,"")</f>
        <v/>
      </c>
      <c r="BD208" s="228" t="str">
        <f>IF($AY208="ja",(VLOOKUP($B208,'Egen hetvattenprod'!$B$1:$BX$550,MATCH(BD$2,'Egen hetvattenprod'!$B$1:$BX$1,0),FALSE)+VLOOKUP($B208,Kraftvärmeprod!$B$1:$BX$550,MATCH(BD$2,Kraftvärmeprod!$B$1:$BX$1,0),FALSE))/$AC208,"")</f>
        <v/>
      </c>
      <c r="BE208" s="227"/>
      <c r="BF208" s="227" t="str">
        <f t="shared" si="23"/>
        <v>Nej</v>
      </c>
      <c r="BG208" s="227" t="str">
        <f>IF($BF208="ja",VLOOKUP($B208,'Egen hetvattenprod'!$B$1:$BX$550,MATCH("Andelen klimatgaser med fossilt ursprung för avfall ()",'Egen hetvattenprod'!$B$1:$BX$1,0),FALSE),"")</f>
        <v/>
      </c>
      <c r="BH208" s="227" t="str">
        <f>IF($BF208="ja",VLOOKUP($B208,Kraftvärmeprod!$B$1:$BX$550,MATCH("Andelen klimatgaser med fossilt ursprung för avfall ()",Kraftvärmeprod!$B$1:$BX$1,0),FALSE),"")</f>
        <v/>
      </c>
      <c r="BI208" s="227" t="str">
        <f>IF($BF208="ja",VLOOKUP($B208,'Egen hetvattenprod'!$B$1:$BX$550,MATCH("Avfall (GWh)",'Egen hetvattenprod'!$B$1:$BX$1,0),FALSE),"")</f>
        <v/>
      </c>
      <c r="BJ208" s="227" t="str">
        <f>IF($BF208="ja",VLOOKUP($B208,'Slutlig allokering kvv'!$B$1:$BX$550,MATCH("Avfall (GWh)",'Slutlig allokering kvv'!$B$1:$BX$1,0),FALSE),"")</f>
        <v/>
      </c>
      <c r="BK208" s="227" t="str">
        <f>IF($BF208="ja",VLOOKUP($B208,'Köpt hetvatten'!$B$1:$BX$550,MATCH("Avfall i köpt hetvatten",'Köpt hetvatten'!$B$1:$BX$1,0),FALSE),"")</f>
        <v/>
      </c>
      <c r="BL208" s="227" t="str">
        <f>IF($BF208="ja",VLOOKUP($B208,'Egen hetvattenprod'!$B$1:$BX$550,MATCH("Värde enligt ovan. (%)",'Egen hetvattenprod'!$B$1:$BX$1,0),FALSE),"")</f>
        <v/>
      </c>
      <c r="BM208" s="227" t="str">
        <f>IF($BF208="ja",VLOOKUP($B208,Kraftvärmeprod!$B$1:$BX$550,MATCH("Värde enligt ovan. (%)",Kraftvärmeprod!$B$1:$BX$1,0),FALSE),"")</f>
        <v/>
      </c>
      <c r="BN208" s="227"/>
      <c r="BO208" s="227"/>
      <c r="BP208" s="227"/>
      <c r="BQ208" s="227" t="str">
        <f>IF($BF208="ja",VLOOKUP($B208,'Egen hetvattenprod'!$B$1:$BX$550,MATCH("Tillförd olja (fossil) vid avfallsförbränning (GWh)",'Egen hetvattenprod'!$B$1:$BX$1,0),FALSE),"")</f>
        <v/>
      </c>
      <c r="BR208" s="227" t="str">
        <f>IF($BF208="ja",VLOOKUP($B208,Kraftvärmeprod!$B$1:$BX$550,MATCH("Tillförd olja (fossil) vid avfallsförbränning (GWh)",Kraftvärmeprod!$B$1:$BX$1,0),FALSE),"")</f>
        <v/>
      </c>
      <c r="BS208" s="227"/>
      <c r="BT208" s="227"/>
      <c r="BU208" s="227"/>
    </row>
    <row r="209" spans="1:73" x14ac:dyDescent="0.25">
      <c r="A209" s="121" t="str">
        <f>'Miljövärden för publ företag'!B212</f>
        <v>PiteEnergi AB</v>
      </c>
      <c r="B209" s="121" t="str">
        <f>'Miljövärden för publ företag'!C212</f>
        <v>Rosvik</v>
      </c>
      <c r="C209" s="173">
        <f>IFERROR(VLOOKUP($B209,Totalt!$B$1:$AQ$554,MATCH(C$2,Totalt!$B$1:$AQ$1,0),FALSE),"")</f>
        <v>0</v>
      </c>
      <c r="D209" s="173">
        <f>IFERROR(VLOOKUP($B209,Totalt!$B$1:$AQ$554,MATCH(D$2,Totalt!$B$1:$AQ$1,0),FALSE),"")</f>
        <v>0</v>
      </c>
      <c r="E209" s="173">
        <f>IFERROR(VLOOKUP($B209,Totalt!$B$1:$AQ$554,MATCH(E$2,Totalt!$B$1:$AQ$1,0),FALSE),"")</f>
        <v>0</v>
      </c>
      <c r="F209" s="173">
        <f>IFERROR(VLOOKUP($B209,Totalt!$B$1:$AQ$554,MATCH(F$2,Totalt!$B$1:$AQ$1,0),FALSE),"")</f>
        <v>0</v>
      </c>
      <c r="G209" s="173">
        <f>IFERROR(VLOOKUP($B209,Totalt!$B$1:$AQ$554,MATCH(G$2,Totalt!$B$1:$AQ$1,0),FALSE),"")</f>
        <v>0</v>
      </c>
      <c r="H209" s="173">
        <f>IFERROR(VLOOKUP($B209,Totalt!$B$1:$AQ$554,MATCH(H$2,Totalt!$B$1:$AQ$1,0),FALSE),"")</f>
        <v>0</v>
      </c>
      <c r="I209" s="173">
        <f>IFERROR(VLOOKUP($B209,Totalt!$B$1:$AQ$554,MATCH(I$2,Totalt!$B$1:$AQ$1,0),FALSE),"")</f>
        <v>0</v>
      </c>
      <c r="J209" s="173">
        <f>IFERROR(VLOOKUP($B209,Totalt!$B$1:$AQ$554,MATCH(J$2,Totalt!$B$1:$AQ$1,0),FALSE),"")</f>
        <v>0</v>
      </c>
      <c r="K209" s="173">
        <f>IFERROR(VLOOKUP($B209,Totalt!$B$1:$AQ$554,MATCH(K$2,Totalt!$B$1:$AQ$1,0),FALSE),"")</f>
        <v>0</v>
      </c>
      <c r="L209" s="173">
        <f>IFERROR(VLOOKUP($B209,Totalt!$B$1:$AQ$554,MATCH(L$2,Totalt!$B$1:$AQ$1,0),FALSE),"")</f>
        <v>0</v>
      </c>
      <c r="M209" s="173">
        <f>IFERROR(VLOOKUP($B209,Totalt!$B$1:$AQ$554,MATCH(M$2,Totalt!$B$1:$AQ$1,0),FALSE),"")</f>
        <v>0</v>
      </c>
      <c r="N209" s="173">
        <f>IFERROR(VLOOKUP($B209,Totalt!$B$1:$AQ$554,MATCH(N$2,Totalt!$B$1:$AQ$1,0),FALSE),"")</f>
        <v>0</v>
      </c>
      <c r="O209" s="173">
        <f>IFERROR(VLOOKUP($B209,Totalt!$B$1:$AQ$554,MATCH(O$2,Totalt!$B$1:$AQ$1,0),FALSE),"")</f>
        <v>0</v>
      </c>
      <c r="P209" s="173">
        <f>IFERROR(VLOOKUP($B209,Totalt!$B$1:$AQ$554,MATCH(P$2,Totalt!$B$1:$AQ$1,0),FALSE),"")</f>
        <v>0</v>
      </c>
      <c r="Q209" s="173">
        <f>IFERROR(VLOOKUP($B209,Totalt!$B$1:$AQ$554,MATCH(Q$2,Totalt!$B$1:$AQ$1,0),FALSE),"")</f>
        <v>2.0352899999999998</v>
      </c>
      <c r="R209" s="173">
        <f>IFERROR(VLOOKUP($B209,Totalt!$B$1:$AQ$554,MATCH(R$2,Totalt!$B$1:$AQ$1,0),FALSE),"")</f>
        <v>0</v>
      </c>
      <c r="S209" s="173">
        <f>IFERROR(VLOOKUP($B209,Totalt!$B$1:$AQ$554,MATCH(S$2,Totalt!$B$1:$AQ$1,0),FALSE),"")</f>
        <v>0</v>
      </c>
      <c r="T209" s="173">
        <f>IFERROR(VLOOKUP($B209,Totalt!$B$1:$AQ$554,MATCH(T$2,Totalt!$B$1:$AQ$1,0),FALSE),"")</f>
        <v>0</v>
      </c>
      <c r="U209" s="173">
        <f>IFERROR(VLOOKUP($B209,Totalt!$B$1:$AQ$554,MATCH(U$2,Totalt!$B$1:$AQ$1,0),FALSE),"")</f>
        <v>0</v>
      </c>
      <c r="V209" s="173">
        <f>IFERROR(VLOOKUP($B209,Totalt!$B$1:$AQ$554,MATCH(V$2,Totalt!$B$1:$AQ$1,0),FALSE),"")</f>
        <v>0</v>
      </c>
      <c r="W209" s="173">
        <f>IFERROR(VLOOKUP($B209,Totalt!$B$1:$AQ$554,MATCH(W$2,Totalt!$B$1:$AQ$1,0),FALSE),"")</f>
        <v>0</v>
      </c>
      <c r="X209" s="173">
        <f>IFERROR(VLOOKUP($B209,Totalt!$B$1:$AQ$554,MATCH(X$2,Totalt!$B$1:$AQ$1,0),FALSE),"")</f>
        <v>0</v>
      </c>
      <c r="Y209" s="173">
        <f>IFERROR(VLOOKUP($B209,Totalt!$B$1:$AQ$554,MATCH(Y$2,Totalt!$B$1:$AQ$1,0),FALSE),"")</f>
        <v>0</v>
      </c>
      <c r="Z209" s="173">
        <f>IFERROR(VLOOKUP($B209,Totalt!$B$1:$AQ$554,MATCH(Z$2,Totalt!$B$1:$AQ$1,0),FALSE),"")</f>
        <v>0</v>
      </c>
      <c r="AA209" s="173">
        <f>IFERROR(VLOOKUP($B209,Totalt!$B$1:$AQ$554,MATCH(AA$2,Totalt!$B$1:$AQ$1,0),FALSE),"")</f>
        <v>0</v>
      </c>
      <c r="AB209" s="173">
        <f>IFERROR(VLOOKUP($B209,Totalt!$B$1:$AQ$554,MATCH(AB$2,Totalt!$B$1:$AQ$1,0),FALSE),"")</f>
        <v>0</v>
      </c>
      <c r="AC209" s="173">
        <f>IFERROR(VLOOKUP($B209,Totalt!$B$1:$AQ$554,MATCH(AC$2,Totalt!$B$1:$AQ$1,0),FALSE),"")</f>
        <v>0</v>
      </c>
      <c r="AD209" s="173">
        <f>IFERROR(VLOOKUP($B209,Totalt!$B$1:$AQ$554,MATCH(AD$2,Totalt!$B$1:$AQ$1,0),FALSE),"")</f>
        <v>0</v>
      </c>
      <c r="AE209" s="173">
        <f>IFERROR(VLOOKUP($B209,Totalt!$B$1:$AQ$554,MATCH(AE$2,Totalt!$B$1:$AQ$1,0),FALSE),"")</f>
        <v>0</v>
      </c>
      <c r="AF209" s="173">
        <f>IFERROR(VLOOKUP($B209,Totalt!$B$1:$AQ$554,MATCH(AF$2,Totalt!$B$1:$AQ$1,0),FALSE),"")</f>
        <v>4.4040000000000003E-2</v>
      </c>
      <c r="AG209" s="173">
        <f>IFERROR(VLOOKUP($B209,Totalt!$B$1:$AQ$554,MATCH(AG$2,Totalt!$B$1:$AQ$1,0),FALSE),"")</f>
        <v>0</v>
      </c>
      <c r="AI209" s="226">
        <f t="shared" si="18"/>
        <v>2.0793299999999997</v>
      </c>
      <c r="AJ209" s="226">
        <f>IF(ISERROR(1/VLOOKUP($B209,Leveranser!$B$1:$S$500,MATCH("såld värme (gwh)",Leveranser!$B$1:$S$1,0),FALSE)),"",VLOOKUP($B209,Leveranser!$B$1:$S$500,MATCH("såld värme (gwh)",Leveranser!$B$1:$S$1,0),FALSE))</f>
        <v>1.468</v>
      </c>
      <c r="AM209" s="227" t="str">
        <f>IF(B209&lt;&gt;"",IF(VLOOKUP($B209,Totalt!$B$1:$AQ$554,MATCH("Kvalitetsgranskad:",Totalt!$B$1:$AQ$1,0),FALSE)="ja",VLOOKUP($B209,Miljö!$B$1:$AG$479,MATCH(AM$2,Miljö!$B$1:$AK$1,0),FALSE),""),"")</f>
        <v>Ja</v>
      </c>
      <c r="AN209" s="227" t="str">
        <f>IF(AM209="ja",VLOOKUP($B209,Miljö!$B$1:$J$479,MATCH("Typ av ursprungsspecificerad el   (Om inget värde anges används Nordisk residualmix, se inforuta) ()",Miljö!$B$1:$J$1,0),FALSE),IF(AM209="nej","Nordisk residualel",""))</f>
        <v>'100%förnybar'</v>
      </c>
      <c r="AO209" s="227">
        <f>IF(AM209="","",VLOOKUP($B209,Miljö!$B$1:$J$479,MATCH("Fossilandel för ursprungspecificerad el ()",Miljö!$B$1:$J$1,0),FALSE))</f>
        <v>0</v>
      </c>
      <c r="AP209" s="227">
        <f>IF(AM209="","",IFERROR(VLOOKUP($B209,Miljö!$B$1:$J$479,MATCH("Kärnkraftsandel för ursprungsspecificerad el ()",Miljö!$B$1:$J$1,0),FALSE)/1,0))</f>
        <v>0</v>
      </c>
      <c r="AQ209" s="227">
        <f t="shared" si="19"/>
        <v>1</v>
      </c>
      <c r="AR209" s="227"/>
      <c r="AS209" s="227" t="str">
        <f t="shared" si="20"/>
        <v>Nej</v>
      </c>
      <c r="AT209" s="227" t="str">
        <f>IF(AS209="ja",VLOOKUP($B209,Miljö!$B$1:$O$500,MATCH("Fossil andel i procent (%)",Miljö!$B$1:$O$1,0),FALSE)/100,"")</f>
        <v/>
      </c>
      <c r="AU209" s="227"/>
      <c r="AV209" s="227" t="str">
        <f t="shared" si="21"/>
        <v>Nej</v>
      </c>
      <c r="AW209" s="227" t="str">
        <f>IF(AV209="ja",VLOOKUP($B209,'Egen hetvattenprod'!$B$1:$AO$500,MATCH("Värmekälla till värmepumpar ()",'Egen hetvattenprod'!$B$1:$AO$1,0),FALSE),"")</f>
        <v/>
      </c>
      <c r="AX209" s="227"/>
      <c r="AY209" s="227" t="str">
        <f t="shared" si="22"/>
        <v>Nej</v>
      </c>
      <c r="AZ209" s="228" t="str">
        <f>IF($AY209="ja",(VLOOKUP($B209,'Egen hetvattenprod'!$B$1:$BX$550,MATCH(AZ$2,'Egen hetvattenprod'!$B$1:$BX$1,0),FALSE)+VLOOKUP($B209,Kraftvärmeprod!$B$1:$BX$550,MATCH(AZ$2,Kraftvärmeprod!$B$1:$BX$1,0),FALSE))/$AC209,"")</f>
        <v/>
      </c>
      <c r="BA209" s="228" t="str">
        <f>IF($AY209="ja",(VLOOKUP($B209,'Egen hetvattenprod'!$B$1:$BX$550,MATCH(BA$2,'Egen hetvattenprod'!$B$1:$BX$1,0),FALSE)+VLOOKUP($B209,Kraftvärmeprod!$B$1:$BX$550,MATCH(BA$2,Kraftvärmeprod!$B$1:$BX$1,0),FALSE))/$AC209,"")</f>
        <v/>
      </c>
      <c r="BB209" s="228" t="str">
        <f>IF($AY209="ja",(VLOOKUP($B209,'Egen hetvattenprod'!$B$1:$BX$550,MATCH(BB$2,'Egen hetvattenprod'!$B$1:$BX$1,0),FALSE)+VLOOKUP($B209,Kraftvärmeprod!$B$1:$BX$550,MATCH(BB$2,Kraftvärmeprod!$B$1:$BX$1,0),FALSE))/$AC209,"")</f>
        <v/>
      </c>
      <c r="BC209" s="228" t="str">
        <f>IF($AY209="ja",(VLOOKUP($B209,'Egen hetvattenprod'!$B$1:$BX$550,MATCH(BC$2,'Egen hetvattenprod'!$B$1:$BX$1,0),FALSE)+VLOOKUP($B209,Kraftvärmeprod!$B$1:$BX$550,MATCH(BC$2,Kraftvärmeprod!$B$1:$BX$1,0),FALSE))/$AC209,"")</f>
        <v/>
      </c>
      <c r="BD209" s="228" t="str">
        <f>IF($AY209="ja",(VLOOKUP($B209,'Egen hetvattenprod'!$B$1:$BX$550,MATCH(BD$2,'Egen hetvattenprod'!$B$1:$BX$1,0),FALSE)+VLOOKUP($B209,Kraftvärmeprod!$B$1:$BX$550,MATCH(BD$2,Kraftvärmeprod!$B$1:$BX$1,0),FALSE))/$AC209,"")</f>
        <v/>
      </c>
      <c r="BE209" s="227"/>
      <c r="BF209" s="227" t="str">
        <f t="shared" si="23"/>
        <v>Nej</v>
      </c>
      <c r="BG209" s="227" t="str">
        <f>IF($BF209="ja",VLOOKUP($B209,'Egen hetvattenprod'!$B$1:$BX$550,MATCH("Andelen klimatgaser med fossilt ursprung för avfall ()",'Egen hetvattenprod'!$B$1:$BX$1,0),FALSE),"")</f>
        <v/>
      </c>
      <c r="BH209" s="227" t="str">
        <f>IF($BF209="ja",VLOOKUP($B209,Kraftvärmeprod!$B$1:$BX$550,MATCH("Andelen klimatgaser med fossilt ursprung för avfall ()",Kraftvärmeprod!$B$1:$BX$1,0),FALSE),"")</f>
        <v/>
      </c>
      <c r="BI209" s="227" t="str">
        <f>IF($BF209="ja",VLOOKUP($B209,'Egen hetvattenprod'!$B$1:$BX$550,MATCH("Avfall (GWh)",'Egen hetvattenprod'!$B$1:$BX$1,0),FALSE),"")</f>
        <v/>
      </c>
      <c r="BJ209" s="227" t="str">
        <f>IF($BF209="ja",VLOOKUP($B209,'Slutlig allokering kvv'!$B$1:$BX$550,MATCH("Avfall (GWh)",'Slutlig allokering kvv'!$B$1:$BX$1,0),FALSE),"")</f>
        <v/>
      </c>
      <c r="BK209" s="227" t="str">
        <f>IF($BF209="ja",VLOOKUP($B209,'Köpt hetvatten'!$B$1:$BX$550,MATCH("Avfall i köpt hetvatten",'Köpt hetvatten'!$B$1:$BX$1,0),FALSE),"")</f>
        <v/>
      </c>
      <c r="BL209" s="227" t="str">
        <f>IF($BF209="ja",VLOOKUP($B209,'Egen hetvattenprod'!$B$1:$BX$550,MATCH("Värde enligt ovan. (%)",'Egen hetvattenprod'!$B$1:$BX$1,0),FALSE),"")</f>
        <v/>
      </c>
      <c r="BM209" s="227" t="str">
        <f>IF($BF209="ja",VLOOKUP($B209,Kraftvärmeprod!$B$1:$BX$550,MATCH("Värde enligt ovan. (%)",Kraftvärmeprod!$B$1:$BX$1,0),FALSE),"")</f>
        <v/>
      </c>
      <c r="BN209" s="227"/>
      <c r="BO209" s="227"/>
      <c r="BP209" s="227"/>
      <c r="BQ209" s="227" t="str">
        <f>IF($BF209="ja",VLOOKUP($B209,'Egen hetvattenprod'!$B$1:$BX$550,MATCH("Tillförd olja (fossil) vid avfallsförbränning (GWh)",'Egen hetvattenprod'!$B$1:$BX$1,0),FALSE),"")</f>
        <v/>
      </c>
      <c r="BR209" s="227" t="str">
        <f>IF($BF209="ja",VLOOKUP($B209,Kraftvärmeprod!$B$1:$BX$550,MATCH("Tillförd olja (fossil) vid avfallsförbränning (GWh)",Kraftvärmeprod!$B$1:$BX$1,0),FALSE),"")</f>
        <v/>
      </c>
      <c r="BS209" s="227"/>
      <c r="BT209" s="227"/>
      <c r="BU209" s="227"/>
    </row>
    <row r="210" spans="1:73" x14ac:dyDescent="0.25">
      <c r="A210" s="121" t="str">
        <f>'Miljövärden för publ företag'!B213</f>
        <v>PiteEnergi AB</v>
      </c>
      <c r="B210" s="121" t="str">
        <f>'Miljövärden för publ företag'!C213</f>
        <v>Sjulnäs</v>
      </c>
      <c r="C210" s="173">
        <f>IFERROR(VLOOKUP($B210,Totalt!$B$1:$AQ$554,MATCH(C$2,Totalt!$B$1:$AQ$1,0),FALSE),"")</f>
        <v>0</v>
      </c>
      <c r="D210" s="173">
        <f>IFERROR(VLOOKUP($B210,Totalt!$B$1:$AQ$554,MATCH(D$2,Totalt!$B$1:$AQ$1,0),FALSE),"")</f>
        <v>7.6999999999999999E-2</v>
      </c>
      <c r="E210" s="173">
        <f>IFERROR(VLOOKUP($B210,Totalt!$B$1:$AQ$554,MATCH(E$2,Totalt!$B$1:$AQ$1,0),FALSE),"")</f>
        <v>0</v>
      </c>
      <c r="F210" s="173">
        <f>IFERROR(VLOOKUP($B210,Totalt!$B$1:$AQ$554,MATCH(F$2,Totalt!$B$1:$AQ$1,0),FALSE),"")</f>
        <v>0</v>
      </c>
      <c r="G210" s="173">
        <f>IFERROR(VLOOKUP($B210,Totalt!$B$1:$AQ$554,MATCH(G$2,Totalt!$B$1:$AQ$1,0),FALSE),"")</f>
        <v>0</v>
      </c>
      <c r="H210" s="173">
        <f>IFERROR(VLOOKUP($B210,Totalt!$B$1:$AQ$554,MATCH(H$2,Totalt!$B$1:$AQ$1,0),FALSE),"")</f>
        <v>0</v>
      </c>
      <c r="I210" s="173">
        <f>IFERROR(VLOOKUP($B210,Totalt!$B$1:$AQ$554,MATCH(I$2,Totalt!$B$1:$AQ$1,0),FALSE),"")</f>
        <v>0</v>
      </c>
      <c r="J210" s="173">
        <f>IFERROR(VLOOKUP($B210,Totalt!$B$1:$AQ$554,MATCH(J$2,Totalt!$B$1:$AQ$1,0),FALSE),"")</f>
        <v>0</v>
      </c>
      <c r="K210" s="173">
        <f>IFERROR(VLOOKUP($B210,Totalt!$B$1:$AQ$554,MATCH(K$2,Totalt!$B$1:$AQ$1,0),FALSE),"")</f>
        <v>0</v>
      </c>
      <c r="L210" s="173">
        <f>IFERROR(VLOOKUP($B210,Totalt!$B$1:$AQ$554,MATCH(L$2,Totalt!$B$1:$AQ$1,0),FALSE),"")</f>
        <v>0</v>
      </c>
      <c r="M210" s="173">
        <f>IFERROR(VLOOKUP($B210,Totalt!$B$1:$AQ$554,MATCH(M$2,Totalt!$B$1:$AQ$1,0),FALSE),"")</f>
        <v>0</v>
      </c>
      <c r="N210" s="173">
        <f>IFERROR(VLOOKUP($B210,Totalt!$B$1:$AQ$554,MATCH(N$2,Totalt!$B$1:$AQ$1,0),FALSE),"")</f>
        <v>0</v>
      </c>
      <c r="O210" s="173">
        <f>IFERROR(VLOOKUP($B210,Totalt!$B$1:$AQ$554,MATCH(O$2,Totalt!$B$1:$AQ$1,0),FALSE),"")</f>
        <v>0</v>
      </c>
      <c r="P210" s="173">
        <f>IFERROR(VLOOKUP($B210,Totalt!$B$1:$AQ$554,MATCH(P$2,Totalt!$B$1:$AQ$1,0),FALSE),"")</f>
        <v>0</v>
      </c>
      <c r="Q210" s="173">
        <f>IFERROR(VLOOKUP($B210,Totalt!$B$1:$AQ$554,MATCH(Q$2,Totalt!$B$1:$AQ$1,0),FALSE),"")</f>
        <v>0</v>
      </c>
      <c r="R210" s="173">
        <f>IFERROR(VLOOKUP($B210,Totalt!$B$1:$AQ$554,MATCH(R$2,Totalt!$B$1:$AQ$1,0),FALSE),"")</f>
        <v>2.367</v>
      </c>
      <c r="S210" s="173">
        <f>IFERROR(VLOOKUP($B210,Totalt!$B$1:$AQ$554,MATCH(S$2,Totalt!$B$1:$AQ$1,0),FALSE),"")</f>
        <v>0</v>
      </c>
      <c r="T210" s="173">
        <f>IFERROR(VLOOKUP($B210,Totalt!$B$1:$AQ$554,MATCH(T$2,Totalt!$B$1:$AQ$1,0),FALSE),"")</f>
        <v>0</v>
      </c>
      <c r="U210" s="173">
        <f>IFERROR(VLOOKUP($B210,Totalt!$B$1:$AQ$554,MATCH(U$2,Totalt!$B$1:$AQ$1,0),FALSE),"")</f>
        <v>0</v>
      </c>
      <c r="V210" s="173">
        <f>IFERROR(VLOOKUP($B210,Totalt!$B$1:$AQ$554,MATCH(V$2,Totalt!$B$1:$AQ$1,0),FALSE),"")</f>
        <v>0</v>
      </c>
      <c r="W210" s="173">
        <f>IFERROR(VLOOKUP($B210,Totalt!$B$1:$AQ$554,MATCH(W$2,Totalt!$B$1:$AQ$1,0),FALSE),"")</f>
        <v>0</v>
      </c>
      <c r="X210" s="173">
        <f>IFERROR(VLOOKUP($B210,Totalt!$B$1:$AQ$554,MATCH(X$2,Totalt!$B$1:$AQ$1,0),FALSE),"")</f>
        <v>0</v>
      </c>
      <c r="Y210" s="173">
        <f>IFERROR(VLOOKUP($B210,Totalt!$B$1:$AQ$554,MATCH(Y$2,Totalt!$B$1:$AQ$1,0),FALSE),"")</f>
        <v>0</v>
      </c>
      <c r="Z210" s="173">
        <f>IFERROR(VLOOKUP($B210,Totalt!$B$1:$AQ$554,MATCH(Z$2,Totalt!$B$1:$AQ$1,0),FALSE),"")</f>
        <v>4.1799999999999997E-2</v>
      </c>
      <c r="AA210" s="173">
        <f>IFERROR(VLOOKUP($B210,Totalt!$B$1:$AQ$554,MATCH(AA$2,Totalt!$B$1:$AQ$1,0),FALSE),"")</f>
        <v>0</v>
      </c>
      <c r="AB210" s="173">
        <f>IFERROR(VLOOKUP($B210,Totalt!$B$1:$AQ$554,MATCH(AB$2,Totalt!$B$1:$AQ$1,0),FALSE),"")</f>
        <v>0</v>
      </c>
      <c r="AC210" s="173">
        <f>IFERROR(VLOOKUP($B210,Totalt!$B$1:$AQ$554,MATCH(AC$2,Totalt!$B$1:$AQ$1,0),FALSE),"")</f>
        <v>0</v>
      </c>
      <c r="AD210" s="173">
        <f>IFERROR(VLOOKUP($B210,Totalt!$B$1:$AQ$554,MATCH(AD$2,Totalt!$B$1:$AQ$1,0),FALSE),"")</f>
        <v>0</v>
      </c>
      <c r="AE210" s="173">
        <f>IFERROR(VLOOKUP($B210,Totalt!$B$1:$AQ$554,MATCH(AE$2,Totalt!$B$1:$AQ$1,0),FALSE),"")</f>
        <v>0</v>
      </c>
      <c r="AF210" s="173">
        <f>IFERROR(VLOOKUP($B210,Totalt!$B$1:$AQ$554,MATCH(AF$2,Totalt!$B$1:$AQ$1,0),FALSE),"")</f>
        <v>0.3</v>
      </c>
      <c r="AG210" s="173">
        <f>IFERROR(VLOOKUP($B210,Totalt!$B$1:$AQ$554,MATCH(AG$2,Totalt!$B$1:$AQ$1,0),FALSE),"")</f>
        <v>0</v>
      </c>
      <c r="AI210" s="226">
        <f t="shared" si="18"/>
        <v>2.7857999999999996</v>
      </c>
      <c r="AJ210" s="226">
        <f>IF(ISERROR(1/VLOOKUP($B210,Leveranser!$B$1:$S$500,MATCH("såld värme (gwh)",Leveranser!$B$1:$S$1,0),FALSE)),"",VLOOKUP($B210,Leveranser!$B$1:$S$500,MATCH("såld värme (gwh)",Leveranser!$B$1:$S$1,0),FALSE))</f>
        <v>2.09</v>
      </c>
      <c r="AM210" s="227" t="str">
        <f>IF(B210&lt;&gt;"",IF(VLOOKUP($B210,Totalt!$B$1:$AQ$554,MATCH("Kvalitetsgranskad:",Totalt!$B$1:$AQ$1,0),FALSE)="ja",VLOOKUP($B210,Miljö!$B$1:$AG$479,MATCH(AM$2,Miljö!$B$1:$AK$1,0),FALSE),""),"")</f>
        <v>Ja</v>
      </c>
      <c r="AN210" s="227" t="str">
        <f>IF(AM210="ja",VLOOKUP($B210,Miljö!$B$1:$J$479,MATCH("Typ av ursprungsspecificerad el   (Om inget värde anges används Nordisk residualmix, se inforuta) ()",Miljö!$B$1:$J$1,0),FALSE),IF(AM210="nej","Nordisk residualel",""))</f>
        <v>'100% förnybar'</v>
      </c>
      <c r="AO210" s="227">
        <f>IF(AM210="","",VLOOKUP($B210,Miljö!$B$1:$J$479,MATCH("Fossilandel för ursprungspecificerad el ()",Miljö!$B$1:$J$1,0),FALSE))</f>
        <v>0</v>
      </c>
      <c r="AP210" s="227">
        <f>IF(AM210="","",IFERROR(VLOOKUP($B210,Miljö!$B$1:$J$479,MATCH("Kärnkraftsandel för ursprungsspecificerad el ()",Miljö!$B$1:$J$1,0),FALSE)/1,0))</f>
        <v>0</v>
      </c>
      <c r="AQ210" s="227">
        <f t="shared" si="19"/>
        <v>1</v>
      </c>
      <c r="AR210" s="227"/>
      <c r="AS210" s="227" t="str">
        <f t="shared" si="20"/>
        <v>Nej</v>
      </c>
      <c r="AT210" s="227" t="str">
        <f>IF(AS210="ja",VLOOKUP($B210,Miljö!$B$1:$O$500,MATCH("Fossil andel i procent (%)",Miljö!$B$1:$O$1,0),FALSE)/100,"")</f>
        <v/>
      </c>
      <c r="AU210" s="227"/>
      <c r="AV210" s="227" t="str">
        <f t="shared" si="21"/>
        <v>Nej</v>
      </c>
      <c r="AW210" s="227" t="str">
        <f>IF(AV210="ja",VLOOKUP($B210,'Egen hetvattenprod'!$B$1:$AO$500,MATCH("Värmekälla till värmepumpar ()",'Egen hetvattenprod'!$B$1:$AO$1,0),FALSE),"")</f>
        <v/>
      </c>
      <c r="AX210" s="227"/>
      <c r="AY210" s="227" t="str">
        <f t="shared" si="22"/>
        <v>Nej</v>
      </c>
      <c r="AZ210" s="228" t="str">
        <f>IF($AY210="ja",(VLOOKUP($B210,'Egen hetvattenprod'!$B$1:$BX$550,MATCH(AZ$2,'Egen hetvattenprod'!$B$1:$BX$1,0),FALSE)+VLOOKUP($B210,Kraftvärmeprod!$B$1:$BX$550,MATCH(AZ$2,Kraftvärmeprod!$B$1:$BX$1,0),FALSE))/$AC210,"")</f>
        <v/>
      </c>
      <c r="BA210" s="228" t="str">
        <f>IF($AY210="ja",(VLOOKUP($B210,'Egen hetvattenprod'!$B$1:$BX$550,MATCH(BA$2,'Egen hetvattenprod'!$B$1:$BX$1,0),FALSE)+VLOOKUP($B210,Kraftvärmeprod!$B$1:$BX$550,MATCH(BA$2,Kraftvärmeprod!$B$1:$BX$1,0),FALSE))/$AC210,"")</f>
        <v/>
      </c>
      <c r="BB210" s="228" t="str">
        <f>IF($AY210="ja",(VLOOKUP($B210,'Egen hetvattenprod'!$B$1:$BX$550,MATCH(BB$2,'Egen hetvattenprod'!$B$1:$BX$1,0),FALSE)+VLOOKUP($B210,Kraftvärmeprod!$B$1:$BX$550,MATCH(BB$2,Kraftvärmeprod!$B$1:$BX$1,0),FALSE))/$AC210,"")</f>
        <v/>
      </c>
      <c r="BC210" s="228" t="str">
        <f>IF($AY210="ja",(VLOOKUP($B210,'Egen hetvattenprod'!$B$1:$BX$550,MATCH(BC$2,'Egen hetvattenprod'!$B$1:$BX$1,0),FALSE)+VLOOKUP($B210,Kraftvärmeprod!$B$1:$BX$550,MATCH(BC$2,Kraftvärmeprod!$B$1:$BX$1,0),FALSE))/$AC210,"")</f>
        <v/>
      </c>
      <c r="BD210" s="228" t="str">
        <f>IF($AY210="ja",(VLOOKUP($B210,'Egen hetvattenprod'!$B$1:$BX$550,MATCH(BD$2,'Egen hetvattenprod'!$B$1:$BX$1,0),FALSE)+VLOOKUP($B210,Kraftvärmeprod!$B$1:$BX$550,MATCH(BD$2,Kraftvärmeprod!$B$1:$BX$1,0),FALSE))/$AC210,"")</f>
        <v/>
      </c>
      <c r="BE210" s="227"/>
      <c r="BF210" s="227" t="str">
        <f t="shared" si="23"/>
        <v>Nej</v>
      </c>
      <c r="BG210" s="227" t="str">
        <f>IF($BF210="ja",VLOOKUP($B210,'Egen hetvattenprod'!$B$1:$BX$550,MATCH("Andelen klimatgaser med fossilt ursprung för avfall ()",'Egen hetvattenprod'!$B$1:$BX$1,0),FALSE),"")</f>
        <v/>
      </c>
      <c r="BH210" s="227" t="str">
        <f>IF($BF210="ja",VLOOKUP($B210,Kraftvärmeprod!$B$1:$BX$550,MATCH("Andelen klimatgaser med fossilt ursprung för avfall ()",Kraftvärmeprod!$B$1:$BX$1,0),FALSE),"")</f>
        <v/>
      </c>
      <c r="BI210" s="227" t="str">
        <f>IF($BF210="ja",VLOOKUP($B210,'Egen hetvattenprod'!$B$1:$BX$550,MATCH("Avfall (GWh)",'Egen hetvattenprod'!$B$1:$BX$1,0),FALSE),"")</f>
        <v/>
      </c>
      <c r="BJ210" s="227" t="str">
        <f>IF($BF210="ja",VLOOKUP($B210,'Slutlig allokering kvv'!$B$1:$BX$550,MATCH("Avfall (GWh)",'Slutlig allokering kvv'!$B$1:$BX$1,0),FALSE),"")</f>
        <v/>
      </c>
      <c r="BK210" s="227" t="str">
        <f>IF($BF210="ja",VLOOKUP($B210,'Köpt hetvatten'!$B$1:$BX$550,MATCH("Avfall i köpt hetvatten",'Köpt hetvatten'!$B$1:$BX$1,0),FALSE),"")</f>
        <v/>
      </c>
      <c r="BL210" s="227" t="str">
        <f>IF($BF210="ja",VLOOKUP($B210,'Egen hetvattenprod'!$B$1:$BX$550,MATCH("Värde enligt ovan. (%)",'Egen hetvattenprod'!$B$1:$BX$1,0),FALSE),"")</f>
        <v/>
      </c>
      <c r="BM210" s="227" t="str">
        <f>IF($BF210="ja",VLOOKUP($B210,Kraftvärmeprod!$B$1:$BX$550,MATCH("Värde enligt ovan. (%)",Kraftvärmeprod!$B$1:$BX$1,0),FALSE),"")</f>
        <v/>
      </c>
      <c r="BN210" s="227"/>
      <c r="BO210" s="227"/>
      <c r="BP210" s="227"/>
      <c r="BQ210" s="227" t="str">
        <f>IF($BF210="ja",VLOOKUP($B210,'Egen hetvattenprod'!$B$1:$BX$550,MATCH("Tillförd olja (fossil) vid avfallsförbränning (GWh)",'Egen hetvattenprod'!$B$1:$BX$1,0),FALSE),"")</f>
        <v/>
      </c>
      <c r="BR210" s="227" t="str">
        <f>IF($BF210="ja",VLOOKUP($B210,Kraftvärmeprod!$B$1:$BX$550,MATCH("Tillförd olja (fossil) vid avfallsförbränning (GWh)",Kraftvärmeprod!$B$1:$BX$1,0),FALSE),"")</f>
        <v/>
      </c>
      <c r="BS210" s="227"/>
      <c r="BT210" s="227"/>
      <c r="BU210" s="227"/>
    </row>
    <row r="211" spans="1:73" x14ac:dyDescent="0.25">
      <c r="A211" s="121" t="str">
        <f>'Miljövärden för publ företag'!B214</f>
        <v>Ronneby Miljö och Teknik AB</v>
      </c>
      <c r="B211" s="121" t="str">
        <f>'Miljövärden för publ företag'!C214</f>
        <v>Bräkne-Hoby</v>
      </c>
      <c r="C211" s="173">
        <f>IFERROR(VLOOKUP($B211,Totalt!$B$1:$AQ$554,MATCH(C$2,Totalt!$B$1:$AQ$1,0),FALSE),"")</f>
        <v>0</v>
      </c>
      <c r="D211" s="173">
        <f>IFERROR(VLOOKUP($B211,Totalt!$B$1:$AQ$554,MATCH(D$2,Totalt!$B$1:$AQ$1,0),FALSE),"")</f>
        <v>0.18</v>
      </c>
      <c r="E211" s="173">
        <f>IFERROR(VLOOKUP($B211,Totalt!$B$1:$AQ$554,MATCH(E$2,Totalt!$B$1:$AQ$1,0),FALSE),"")</f>
        <v>0</v>
      </c>
      <c r="F211" s="173">
        <f>IFERROR(VLOOKUP($B211,Totalt!$B$1:$AQ$554,MATCH(F$2,Totalt!$B$1:$AQ$1,0),FALSE),"")</f>
        <v>0</v>
      </c>
      <c r="G211" s="173">
        <f>IFERROR(VLOOKUP($B211,Totalt!$B$1:$AQ$554,MATCH(G$2,Totalt!$B$1:$AQ$1,0),FALSE),"")</f>
        <v>0</v>
      </c>
      <c r="H211" s="173">
        <f>IFERROR(VLOOKUP($B211,Totalt!$B$1:$AQ$554,MATCH(H$2,Totalt!$B$1:$AQ$1,0),FALSE),"")</f>
        <v>0</v>
      </c>
      <c r="I211" s="173">
        <f>IFERROR(VLOOKUP($B211,Totalt!$B$1:$AQ$554,MATCH(I$2,Totalt!$B$1:$AQ$1,0),FALSE),"")</f>
        <v>0</v>
      </c>
      <c r="J211" s="173">
        <f>IFERROR(VLOOKUP($B211,Totalt!$B$1:$AQ$554,MATCH(J$2,Totalt!$B$1:$AQ$1,0),FALSE),"")</f>
        <v>0</v>
      </c>
      <c r="K211" s="173">
        <f>IFERROR(VLOOKUP($B211,Totalt!$B$1:$AQ$554,MATCH(K$2,Totalt!$B$1:$AQ$1,0),FALSE),"")</f>
        <v>0</v>
      </c>
      <c r="L211" s="173">
        <f>IFERROR(VLOOKUP($B211,Totalt!$B$1:$AQ$554,MATCH(L$2,Totalt!$B$1:$AQ$1,0),FALSE),"")</f>
        <v>0</v>
      </c>
      <c r="M211" s="173">
        <f>IFERROR(VLOOKUP($B211,Totalt!$B$1:$AQ$554,MATCH(M$2,Totalt!$B$1:$AQ$1,0),FALSE),"")</f>
        <v>7.25441</v>
      </c>
      <c r="N211" s="173">
        <f>IFERROR(VLOOKUP($B211,Totalt!$B$1:$AQ$554,MATCH(N$2,Totalt!$B$1:$AQ$1,0),FALSE),"")</f>
        <v>7.25441</v>
      </c>
      <c r="O211" s="173">
        <f>IFERROR(VLOOKUP($B211,Totalt!$B$1:$AQ$554,MATCH(O$2,Totalt!$B$1:$AQ$1,0),FALSE),"")</f>
        <v>2.2879999999999998</v>
      </c>
      <c r="P211" s="173">
        <f>IFERROR(VLOOKUP($B211,Totalt!$B$1:$AQ$554,MATCH(P$2,Totalt!$B$1:$AQ$1,0),FALSE),"")</f>
        <v>7.3544099999999997</v>
      </c>
      <c r="Q211" s="173">
        <f>IFERROR(VLOOKUP($B211,Totalt!$B$1:$AQ$554,MATCH(Q$2,Totalt!$B$1:$AQ$1,0),FALSE),"")</f>
        <v>0</v>
      </c>
      <c r="R211" s="173">
        <f>IFERROR(VLOOKUP($B211,Totalt!$B$1:$AQ$554,MATCH(R$2,Totalt!$B$1:$AQ$1,0),FALSE),"")</f>
        <v>2.2000000000000002</v>
      </c>
      <c r="S211" s="173">
        <f>IFERROR(VLOOKUP($B211,Totalt!$B$1:$AQ$554,MATCH(S$2,Totalt!$B$1:$AQ$1,0),FALSE),"")</f>
        <v>0</v>
      </c>
      <c r="T211" s="173">
        <f>IFERROR(VLOOKUP($B211,Totalt!$B$1:$AQ$554,MATCH(T$2,Totalt!$B$1:$AQ$1,0),FALSE),"")</f>
        <v>0</v>
      </c>
      <c r="U211" s="173">
        <f>IFERROR(VLOOKUP($B211,Totalt!$B$1:$AQ$554,MATCH(U$2,Totalt!$B$1:$AQ$1,0),FALSE),"")</f>
        <v>0</v>
      </c>
      <c r="V211" s="173">
        <f>IFERROR(VLOOKUP($B211,Totalt!$B$1:$AQ$554,MATCH(V$2,Totalt!$B$1:$AQ$1,0),FALSE),"")</f>
        <v>0</v>
      </c>
      <c r="W211" s="173">
        <f>IFERROR(VLOOKUP($B211,Totalt!$B$1:$AQ$554,MATCH(W$2,Totalt!$B$1:$AQ$1,0),FALSE),"")</f>
        <v>0</v>
      </c>
      <c r="X211" s="173">
        <f>IFERROR(VLOOKUP($B211,Totalt!$B$1:$AQ$554,MATCH(X$2,Totalt!$B$1:$AQ$1,0),FALSE),"")</f>
        <v>0</v>
      </c>
      <c r="Y211" s="173">
        <f>IFERROR(VLOOKUP($B211,Totalt!$B$1:$AQ$554,MATCH(Y$2,Totalt!$B$1:$AQ$1,0),FALSE),"")</f>
        <v>0</v>
      </c>
      <c r="Z211" s="173">
        <f>IFERROR(VLOOKUP($B211,Totalt!$B$1:$AQ$554,MATCH(Z$2,Totalt!$B$1:$AQ$1,0),FALSE),"")</f>
        <v>0</v>
      </c>
      <c r="AA211" s="173">
        <f>IFERROR(VLOOKUP($B211,Totalt!$B$1:$AQ$554,MATCH(AA$2,Totalt!$B$1:$AQ$1,0),FALSE),"")</f>
        <v>0</v>
      </c>
      <c r="AB211" s="173">
        <f>IFERROR(VLOOKUP($B211,Totalt!$B$1:$AQ$554,MATCH(AB$2,Totalt!$B$1:$AQ$1,0),FALSE),"")</f>
        <v>0</v>
      </c>
      <c r="AC211" s="173">
        <f>IFERROR(VLOOKUP($B211,Totalt!$B$1:$AQ$554,MATCH(AC$2,Totalt!$B$1:$AQ$1,0),FALSE),"")</f>
        <v>0</v>
      </c>
      <c r="AD211" s="173">
        <f>IFERROR(VLOOKUP($B211,Totalt!$B$1:$AQ$554,MATCH(AD$2,Totalt!$B$1:$AQ$1,0),FALSE),"")</f>
        <v>0</v>
      </c>
      <c r="AE211" s="173">
        <f>IFERROR(VLOOKUP($B211,Totalt!$B$1:$AQ$554,MATCH(AE$2,Totalt!$B$1:$AQ$1,0),FALSE),"")</f>
        <v>0</v>
      </c>
      <c r="AF211" s="173">
        <f>IFERROR(VLOOKUP($B211,Totalt!$B$1:$AQ$554,MATCH(AF$2,Totalt!$B$1:$AQ$1,0),FALSE),"")</f>
        <v>0.301952</v>
      </c>
      <c r="AG211" s="173">
        <f>IFERROR(VLOOKUP($B211,Totalt!$B$1:$AQ$554,MATCH(AG$2,Totalt!$B$1:$AQ$1,0),FALSE),"")</f>
        <v>0</v>
      </c>
      <c r="AI211" s="226">
        <f t="shared" si="18"/>
        <v>26.833181999999997</v>
      </c>
      <c r="AJ211" s="226">
        <f>IF(ISERROR(1/VLOOKUP($B211,Leveranser!$B$1:$S$500,MATCH("såld värme (gwh)",Leveranser!$B$1:$S$1,0),FALSE)),"",VLOOKUP($B211,Leveranser!$B$1:$S$500,MATCH("såld värme (gwh)",Leveranser!$B$1:$S$1,0),FALSE))</f>
        <v>14.6</v>
      </c>
      <c r="AM211" s="227" t="str">
        <f>IF(B211&lt;&gt;"",IF(VLOOKUP($B211,Totalt!$B$1:$AQ$554,MATCH("Kvalitetsgranskad:",Totalt!$B$1:$AQ$1,0),FALSE)="ja",VLOOKUP($B211,Miljö!$B$1:$AG$479,MATCH(AM$2,Miljö!$B$1:$AK$1,0),FALSE),""),"")</f>
        <v>Ja</v>
      </c>
      <c r="AN211" s="227" t="str">
        <f>IF(AM211="ja",VLOOKUP($B211,Miljö!$B$1:$J$479,MATCH("Typ av ursprungsspecificerad el   (Om inget värde anges används Nordisk residualmix, se inforuta) ()",Miljö!$B$1:$J$1,0),FALSE),IF(AM211="nej","Nordisk residualel",""))</f>
        <v>'Bra Miljöval'</v>
      </c>
      <c r="AO211" s="227">
        <f>IF(AM211="","",VLOOKUP($B211,Miljö!$B$1:$J$479,MATCH("Fossilandel för ursprungspecificerad el ()",Miljö!$B$1:$J$1,0),FALSE))</f>
        <v>0</v>
      </c>
      <c r="AP211" s="227">
        <f>IF(AM211="","",IFERROR(VLOOKUP($B211,Miljö!$B$1:$J$479,MATCH("Kärnkraftsandel för ursprungsspecificerad el ()",Miljö!$B$1:$J$1,0),FALSE)/1,0))</f>
        <v>0</v>
      </c>
      <c r="AQ211" s="227">
        <f t="shared" si="19"/>
        <v>1</v>
      </c>
      <c r="AR211" s="227"/>
      <c r="AS211" s="227" t="str">
        <f t="shared" si="20"/>
        <v>Nej</v>
      </c>
      <c r="AT211" s="227" t="str">
        <f>IF(AS211="ja",VLOOKUP($B211,Miljö!$B$1:$O$500,MATCH("Fossil andel i procent (%)",Miljö!$B$1:$O$1,0),FALSE)/100,"")</f>
        <v/>
      </c>
      <c r="AU211" s="227"/>
      <c r="AV211" s="227" t="str">
        <f t="shared" si="21"/>
        <v>Nej</v>
      </c>
      <c r="AW211" s="227" t="str">
        <f>IF(AV211="ja",VLOOKUP($B211,'Egen hetvattenprod'!$B$1:$AO$500,MATCH("Värmekälla till värmepumpar ()",'Egen hetvattenprod'!$B$1:$AO$1,0),FALSE),"")</f>
        <v/>
      </c>
      <c r="AX211" s="227"/>
      <c r="AY211" s="227" t="str">
        <f t="shared" si="22"/>
        <v>Nej</v>
      </c>
      <c r="AZ211" s="228" t="str">
        <f>IF($AY211="ja",(VLOOKUP($B211,'Egen hetvattenprod'!$B$1:$BX$550,MATCH(AZ$2,'Egen hetvattenprod'!$B$1:$BX$1,0),FALSE)+VLOOKUP($B211,Kraftvärmeprod!$B$1:$BX$550,MATCH(AZ$2,Kraftvärmeprod!$B$1:$BX$1,0),FALSE))/$AC211,"")</f>
        <v/>
      </c>
      <c r="BA211" s="228" t="str">
        <f>IF($AY211="ja",(VLOOKUP($B211,'Egen hetvattenprod'!$B$1:$BX$550,MATCH(BA$2,'Egen hetvattenprod'!$B$1:$BX$1,0),FALSE)+VLOOKUP($B211,Kraftvärmeprod!$B$1:$BX$550,MATCH(BA$2,Kraftvärmeprod!$B$1:$BX$1,0),FALSE))/$AC211,"")</f>
        <v/>
      </c>
      <c r="BB211" s="228" t="str">
        <f>IF($AY211="ja",(VLOOKUP($B211,'Egen hetvattenprod'!$B$1:$BX$550,MATCH(BB$2,'Egen hetvattenprod'!$B$1:$BX$1,0),FALSE)+VLOOKUP($B211,Kraftvärmeprod!$B$1:$BX$550,MATCH(BB$2,Kraftvärmeprod!$B$1:$BX$1,0),FALSE))/$AC211,"")</f>
        <v/>
      </c>
      <c r="BC211" s="228" t="str">
        <f>IF($AY211="ja",(VLOOKUP($B211,'Egen hetvattenprod'!$B$1:$BX$550,MATCH(BC$2,'Egen hetvattenprod'!$B$1:$BX$1,0),FALSE)+VLOOKUP($B211,Kraftvärmeprod!$B$1:$BX$550,MATCH(BC$2,Kraftvärmeprod!$B$1:$BX$1,0),FALSE))/$AC211,"")</f>
        <v/>
      </c>
      <c r="BD211" s="228" t="str">
        <f>IF($AY211="ja",(VLOOKUP($B211,'Egen hetvattenprod'!$B$1:$BX$550,MATCH(BD$2,'Egen hetvattenprod'!$B$1:$BX$1,0),FALSE)+VLOOKUP($B211,Kraftvärmeprod!$B$1:$BX$550,MATCH(BD$2,Kraftvärmeprod!$B$1:$BX$1,0),FALSE))/$AC211,"")</f>
        <v/>
      </c>
      <c r="BE211" s="227"/>
      <c r="BF211" s="227" t="str">
        <f t="shared" si="23"/>
        <v>Nej</v>
      </c>
      <c r="BG211" s="227" t="str">
        <f>IF($BF211="ja",VLOOKUP($B211,'Egen hetvattenprod'!$B$1:$BX$550,MATCH("Andelen klimatgaser med fossilt ursprung för avfall ()",'Egen hetvattenprod'!$B$1:$BX$1,0),FALSE),"")</f>
        <v/>
      </c>
      <c r="BH211" s="227" t="str">
        <f>IF($BF211="ja",VLOOKUP($B211,Kraftvärmeprod!$B$1:$BX$550,MATCH("Andelen klimatgaser med fossilt ursprung för avfall ()",Kraftvärmeprod!$B$1:$BX$1,0),FALSE),"")</f>
        <v/>
      </c>
      <c r="BI211" s="227" t="str">
        <f>IF($BF211="ja",VLOOKUP($B211,'Egen hetvattenprod'!$B$1:$BX$550,MATCH("Avfall (GWh)",'Egen hetvattenprod'!$B$1:$BX$1,0),FALSE),"")</f>
        <v/>
      </c>
      <c r="BJ211" s="227" t="str">
        <f>IF($BF211="ja",VLOOKUP($B211,'Slutlig allokering kvv'!$B$1:$BX$550,MATCH("Avfall (GWh)",'Slutlig allokering kvv'!$B$1:$BX$1,0),FALSE),"")</f>
        <v/>
      </c>
      <c r="BK211" s="227" t="str">
        <f>IF($BF211="ja",VLOOKUP($B211,'Köpt hetvatten'!$B$1:$BX$550,MATCH("Avfall i köpt hetvatten",'Köpt hetvatten'!$B$1:$BX$1,0),FALSE),"")</f>
        <v/>
      </c>
      <c r="BL211" s="227" t="str">
        <f>IF($BF211="ja",VLOOKUP($B211,'Egen hetvattenprod'!$B$1:$BX$550,MATCH("Värde enligt ovan. (%)",'Egen hetvattenprod'!$B$1:$BX$1,0),FALSE),"")</f>
        <v/>
      </c>
      <c r="BM211" s="227" t="str">
        <f>IF($BF211="ja",VLOOKUP($B211,Kraftvärmeprod!$B$1:$BX$550,MATCH("Värde enligt ovan. (%)",Kraftvärmeprod!$B$1:$BX$1,0),FALSE),"")</f>
        <v/>
      </c>
      <c r="BN211" s="227"/>
      <c r="BO211" s="227"/>
      <c r="BP211" s="227"/>
      <c r="BQ211" s="227" t="str">
        <f>IF($BF211="ja",VLOOKUP($B211,'Egen hetvattenprod'!$B$1:$BX$550,MATCH("Tillförd olja (fossil) vid avfallsförbränning (GWh)",'Egen hetvattenprod'!$B$1:$BX$1,0),FALSE),"")</f>
        <v/>
      </c>
      <c r="BR211" s="227" t="str">
        <f>IF($BF211="ja",VLOOKUP($B211,Kraftvärmeprod!$B$1:$BX$550,MATCH("Tillförd olja (fossil) vid avfallsförbränning (GWh)",Kraftvärmeprod!$B$1:$BX$1,0),FALSE),"")</f>
        <v/>
      </c>
      <c r="BS211" s="227"/>
      <c r="BT211" s="227"/>
      <c r="BU211" s="227"/>
    </row>
    <row r="212" spans="1:73" x14ac:dyDescent="0.25">
      <c r="A212" s="121" t="str">
        <f>'Miljövärden för publ företag'!B215</f>
        <v>Ronneby Miljö och Teknik AB</v>
      </c>
      <c r="B212" s="121" t="str">
        <f>'Miljövärden för publ företag'!C215</f>
        <v>Ronneby-Kallinge</v>
      </c>
      <c r="C212" s="173">
        <f>IFERROR(VLOOKUP($B212,Totalt!$B$1:$AQ$554,MATCH(C$2,Totalt!$B$1:$AQ$1,0),FALSE),"")</f>
        <v>0</v>
      </c>
      <c r="D212" s="173">
        <f>IFERROR(VLOOKUP($B212,Totalt!$B$1:$AQ$554,MATCH(D$2,Totalt!$B$1:$AQ$1,0),FALSE),"")</f>
        <v>3</v>
      </c>
      <c r="E212" s="173">
        <f>IFERROR(VLOOKUP($B212,Totalt!$B$1:$AQ$554,MATCH(E$2,Totalt!$B$1:$AQ$1,0),FALSE),"")</f>
        <v>0</v>
      </c>
      <c r="F212" s="173">
        <f>IFERROR(VLOOKUP($B212,Totalt!$B$1:$AQ$554,MATCH(F$2,Totalt!$B$1:$AQ$1,0),FALSE),"")</f>
        <v>0</v>
      </c>
      <c r="G212" s="173">
        <f>IFERROR(VLOOKUP($B212,Totalt!$B$1:$AQ$554,MATCH(G$2,Totalt!$B$1:$AQ$1,0),FALSE),"")</f>
        <v>0</v>
      </c>
      <c r="H212" s="173">
        <f>IFERROR(VLOOKUP($B212,Totalt!$B$1:$AQ$554,MATCH(H$2,Totalt!$B$1:$AQ$1,0),FALSE),"")</f>
        <v>0</v>
      </c>
      <c r="I212" s="173">
        <f>IFERROR(VLOOKUP($B212,Totalt!$B$1:$AQ$554,MATCH(I$2,Totalt!$B$1:$AQ$1,0),FALSE),"")</f>
        <v>0</v>
      </c>
      <c r="J212" s="173">
        <f>IFERROR(VLOOKUP($B212,Totalt!$B$1:$AQ$554,MATCH(J$2,Totalt!$B$1:$AQ$1,0),FALSE),"")</f>
        <v>0</v>
      </c>
      <c r="K212" s="173">
        <f>IFERROR(VLOOKUP($B212,Totalt!$B$1:$AQ$554,MATCH(K$2,Totalt!$B$1:$AQ$1,0),FALSE),"")</f>
        <v>0</v>
      </c>
      <c r="L212" s="173">
        <f>IFERROR(VLOOKUP($B212,Totalt!$B$1:$AQ$554,MATCH(L$2,Totalt!$B$1:$AQ$1,0),FALSE),"")</f>
        <v>0</v>
      </c>
      <c r="M212" s="173">
        <f>IFERROR(VLOOKUP($B212,Totalt!$B$1:$AQ$554,MATCH(M$2,Totalt!$B$1:$AQ$1,0),FALSE),"")</f>
        <v>26.246400000000001</v>
      </c>
      <c r="N212" s="173">
        <f>IFERROR(VLOOKUP($B212,Totalt!$B$1:$AQ$554,MATCH(N$2,Totalt!$B$1:$AQ$1,0),FALSE),"")</f>
        <v>26.246400000000001</v>
      </c>
      <c r="O212" s="173">
        <f>IFERROR(VLOOKUP($B212,Totalt!$B$1:$AQ$554,MATCH(O$2,Totalt!$B$1:$AQ$1,0),FALSE),"")</f>
        <v>8.7444600000000001</v>
      </c>
      <c r="P212" s="173">
        <f>IFERROR(VLOOKUP($B212,Totalt!$B$1:$AQ$554,MATCH(P$2,Totalt!$B$1:$AQ$1,0),FALSE),"")</f>
        <v>26.246400000000001</v>
      </c>
      <c r="Q212" s="173">
        <f>IFERROR(VLOOKUP($B212,Totalt!$B$1:$AQ$554,MATCH(Q$2,Totalt!$B$1:$AQ$1,0),FALSE),"")</f>
        <v>0</v>
      </c>
      <c r="R212" s="173">
        <f>IFERROR(VLOOKUP($B212,Totalt!$B$1:$AQ$554,MATCH(R$2,Totalt!$B$1:$AQ$1,0),FALSE),"")</f>
        <v>3</v>
      </c>
      <c r="S212" s="173">
        <f>IFERROR(VLOOKUP($B212,Totalt!$B$1:$AQ$554,MATCH(S$2,Totalt!$B$1:$AQ$1,0),FALSE),"")</f>
        <v>41</v>
      </c>
      <c r="T212" s="173">
        <f>IFERROR(VLOOKUP($B212,Totalt!$B$1:$AQ$554,MATCH(T$2,Totalt!$B$1:$AQ$1,0),FALSE),"")</f>
        <v>0</v>
      </c>
      <c r="U212" s="173">
        <f>IFERROR(VLOOKUP($B212,Totalt!$B$1:$AQ$554,MATCH(U$2,Totalt!$B$1:$AQ$1,0),FALSE),"")</f>
        <v>0</v>
      </c>
      <c r="V212" s="173">
        <f>IFERROR(VLOOKUP($B212,Totalt!$B$1:$AQ$554,MATCH(V$2,Totalt!$B$1:$AQ$1,0),FALSE),"")</f>
        <v>0</v>
      </c>
      <c r="W212" s="173">
        <f>IFERROR(VLOOKUP($B212,Totalt!$B$1:$AQ$554,MATCH(W$2,Totalt!$B$1:$AQ$1,0),FALSE),"")</f>
        <v>0</v>
      </c>
      <c r="X212" s="173">
        <f>IFERROR(VLOOKUP($B212,Totalt!$B$1:$AQ$554,MATCH(X$2,Totalt!$B$1:$AQ$1,0),FALSE),"")</f>
        <v>0</v>
      </c>
      <c r="Y212" s="173">
        <f>IFERROR(VLOOKUP($B212,Totalt!$B$1:$AQ$554,MATCH(Y$2,Totalt!$B$1:$AQ$1,0),FALSE),"")</f>
        <v>0</v>
      </c>
      <c r="Z212" s="173">
        <f>IFERROR(VLOOKUP($B212,Totalt!$B$1:$AQ$554,MATCH(Z$2,Totalt!$B$1:$AQ$1,0),FALSE),"")</f>
        <v>0</v>
      </c>
      <c r="AA212" s="173">
        <f>IFERROR(VLOOKUP($B212,Totalt!$B$1:$AQ$554,MATCH(AA$2,Totalt!$B$1:$AQ$1,0),FALSE),"")</f>
        <v>0</v>
      </c>
      <c r="AB212" s="173">
        <f>IFERROR(VLOOKUP($B212,Totalt!$B$1:$AQ$554,MATCH(AB$2,Totalt!$B$1:$AQ$1,0),FALSE),"")</f>
        <v>0</v>
      </c>
      <c r="AC212" s="173">
        <f>IFERROR(VLOOKUP($B212,Totalt!$B$1:$AQ$554,MATCH(AC$2,Totalt!$B$1:$AQ$1,0),FALSE),"")</f>
        <v>0</v>
      </c>
      <c r="AD212" s="173">
        <f>IFERROR(VLOOKUP($B212,Totalt!$B$1:$AQ$554,MATCH(AD$2,Totalt!$B$1:$AQ$1,0),FALSE),"")</f>
        <v>0</v>
      </c>
      <c r="AE212" s="173">
        <f>IFERROR(VLOOKUP($B212,Totalt!$B$1:$AQ$554,MATCH(AE$2,Totalt!$B$1:$AQ$1,0),FALSE),"")</f>
        <v>0</v>
      </c>
      <c r="AF212" s="173">
        <f>IFERROR(VLOOKUP($B212,Totalt!$B$1:$AQ$554,MATCH(AF$2,Totalt!$B$1:$AQ$1,0),FALSE),"")</f>
        <v>2.1304599999999998</v>
      </c>
      <c r="AG212" s="173">
        <f>IFERROR(VLOOKUP($B212,Totalt!$B$1:$AQ$554,MATCH(AG$2,Totalt!$B$1:$AQ$1,0),FALSE),"")</f>
        <v>0</v>
      </c>
      <c r="AI212" s="226">
        <f t="shared" si="18"/>
        <v>136.61412000000001</v>
      </c>
      <c r="AJ212" s="226">
        <f>IF(ISERROR(1/VLOOKUP($B212,Leveranser!$B$1:$S$500,MATCH("såld värme (gwh)",Leveranser!$B$1:$S$1,0),FALSE)),"",VLOOKUP($B212,Leveranser!$B$1:$S$500,MATCH("såld värme (gwh)",Leveranser!$B$1:$S$1,0),FALSE))</f>
        <v>106.9</v>
      </c>
      <c r="AM212" s="227" t="str">
        <f>IF(B212&lt;&gt;"",IF(VLOOKUP($B212,Totalt!$B$1:$AQ$554,MATCH("Kvalitetsgranskad:",Totalt!$B$1:$AQ$1,0),FALSE)="ja",VLOOKUP($B212,Miljö!$B$1:$AG$479,MATCH(AM$2,Miljö!$B$1:$AK$1,0),FALSE),""),"")</f>
        <v>Ja</v>
      </c>
      <c r="AN212" s="227" t="str">
        <f>IF(AM212="ja",VLOOKUP($B212,Miljö!$B$1:$J$479,MATCH("Typ av ursprungsspecificerad el   (Om inget värde anges används Nordisk residualmix, se inforuta) ()",Miljö!$B$1:$J$1,0),FALSE),IF(AM212="nej","Nordisk residualel",""))</f>
        <v>'VBra Miljöval'</v>
      </c>
      <c r="AO212" s="227">
        <f>IF(AM212="","",VLOOKUP($B212,Miljö!$B$1:$J$479,MATCH("Fossilandel för ursprungspecificerad el ()",Miljö!$B$1:$J$1,0),FALSE))</f>
        <v>0</v>
      </c>
      <c r="AP212" s="227">
        <f>IF(AM212="","",IFERROR(VLOOKUP($B212,Miljö!$B$1:$J$479,MATCH("Kärnkraftsandel för ursprungsspecificerad el ()",Miljö!$B$1:$J$1,0),FALSE)/1,0))</f>
        <v>0</v>
      </c>
      <c r="AQ212" s="227">
        <f t="shared" si="19"/>
        <v>1</v>
      </c>
      <c r="AR212" s="227"/>
      <c r="AS212" s="227" t="str">
        <f t="shared" si="20"/>
        <v>Nej</v>
      </c>
      <c r="AT212" s="227" t="str">
        <f>IF(AS212="ja",VLOOKUP($B212,Miljö!$B$1:$O$500,MATCH("Fossil andel i procent (%)",Miljö!$B$1:$O$1,0),FALSE)/100,"")</f>
        <v/>
      </c>
      <c r="AU212" s="227"/>
      <c r="AV212" s="227" t="str">
        <f t="shared" si="21"/>
        <v>Nej</v>
      </c>
      <c r="AW212" s="227" t="str">
        <f>IF(AV212="ja",VLOOKUP($B212,'Egen hetvattenprod'!$B$1:$AO$500,MATCH("Värmekälla till värmepumpar ()",'Egen hetvattenprod'!$B$1:$AO$1,0),FALSE),"")</f>
        <v/>
      </c>
      <c r="AX212" s="227"/>
      <c r="AY212" s="227" t="str">
        <f t="shared" si="22"/>
        <v>Nej</v>
      </c>
      <c r="AZ212" s="228" t="str">
        <f>IF($AY212="ja",(VLOOKUP($B212,'Egen hetvattenprod'!$B$1:$BX$550,MATCH(AZ$2,'Egen hetvattenprod'!$B$1:$BX$1,0),FALSE)+VLOOKUP($B212,Kraftvärmeprod!$B$1:$BX$550,MATCH(AZ$2,Kraftvärmeprod!$B$1:$BX$1,0),FALSE))/$AC212,"")</f>
        <v/>
      </c>
      <c r="BA212" s="228" t="str">
        <f>IF($AY212="ja",(VLOOKUP($B212,'Egen hetvattenprod'!$B$1:$BX$550,MATCH(BA$2,'Egen hetvattenprod'!$B$1:$BX$1,0),FALSE)+VLOOKUP($B212,Kraftvärmeprod!$B$1:$BX$550,MATCH(BA$2,Kraftvärmeprod!$B$1:$BX$1,0),FALSE))/$AC212,"")</f>
        <v/>
      </c>
      <c r="BB212" s="228" t="str">
        <f>IF($AY212="ja",(VLOOKUP($B212,'Egen hetvattenprod'!$B$1:$BX$550,MATCH(BB$2,'Egen hetvattenprod'!$B$1:$BX$1,0),FALSE)+VLOOKUP($B212,Kraftvärmeprod!$B$1:$BX$550,MATCH(BB$2,Kraftvärmeprod!$B$1:$BX$1,0),FALSE))/$AC212,"")</f>
        <v/>
      </c>
      <c r="BC212" s="228" t="str">
        <f>IF($AY212="ja",(VLOOKUP($B212,'Egen hetvattenprod'!$B$1:$BX$550,MATCH(BC$2,'Egen hetvattenprod'!$B$1:$BX$1,0),FALSE)+VLOOKUP($B212,Kraftvärmeprod!$B$1:$BX$550,MATCH(BC$2,Kraftvärmeprod!$B$1:$BX$1,0),FALSE))/$AC212,"")</f>
        <v/>
      </c>
      <c r="BD212" s="228" t="str">
        <f>IF($AY212="ja",(VLOOKUP($B212,'Egen hetvattenprod'!$B$1:$BX$550,MATCH(BD$2,'Egen hetvattenprod'!$B$1:$BX$1,0),FALSE)+VLOOKUP($B212,Kraftvärmeprod!$B$1:$BX$550,MATCH(BD$2,Kraftvärmeprod!$B$1:$BX$1,0),FALSE))/$AC212,"")</f>
        <v/>
      </c>
      <c r="BE212" s="227"/>
      <c r="BF212" s="227" t="str">
        <f t="shared" si="23"/>
        <v>Nej</v>
      </c>
      <c r="BG212" s="227" t="str">
        <f>IF($BF212="ja",VLOOKUP($B212,'Egen hetvattenprod'!$B$1:$BX$550,MATCH("Andelen klimatgaser med fossilt ursprung för avfall ()",'Egen hetvattenprod'!$B$1:$BX$1,0),FALSE),"")</f>
        <v/>
      </c>
      <c r="BH212" s="227" t="str">
        <f>IF($BF212="ja",VLOOKUP($B212,Kraftvärmeprod!$B$1:$BX$550,MATCH("Andelen klimatgaser med fossilt ursprung för avfall ()",Kraftvärmeprod!$B$1:$BX$1,0),FALSE),"")</f>
        <v/>
      </c>
      <c r="BI212" s="227" t="str">
        <f>IF($BF212="ja",VLOOKUP($B212,'Egen hetvattenprod'!$B$1:$BX$550,MATCH("Avfall (GWh)",'Egen hetvattenprod'!$B$1:$BX$1,0),FALSE),"")</f>
        <v/>
      </c>
      <c r="BJ212" s="227" t="str">
        <f>IF($BF212="ja",VLOOKUP($B212,'Slutlig allokering kvv'!$B$1:$BX$550,MATCH("Avfall (GWh)",'Slutlig allokering kvv'!$B$1:$BX$1,0),FALSE),"")</f>
        <v/>
      </c>
      <c r="BK212" s="227" t="str">
        <f>IF($BF212="ja",VLOOKUP($B212,'Köpt hetvatten'!$B$1:$BX$550,MATCH("Avfall i köpt hetvatten",'Köpt hetvatten'!$B$1:$BX$1,0),FALSE),"")</f>
        <v/>
      </c>
      <c r="BL212" s="227" t="str">
        <f>IF($BF212="ja",VLOOKUP($B212,'Egen hetvattenprod'!$B$1:$BX$550,MATCH("Värde enligt ovan. (%)",'Egen hetvattenprod'!$B$1:$BX$1,0),FALSE),"")</f>
        <v/>
      </c>
      <c r="BM212" s="227" t="str">
        <f>IF($BF212="ja",VLOOKUP($B212,Kraftvärmeprod!$B$1:$BX$550,MATCH("Värde enligt ovan. (%)",Kraftvärmeprod!$B$1:$BX$1,0),FALSE),"")</f>
        <v/>
      </c>
      <c r="BN212" s="227"/>
      <c r="BO212" s="227"/>
      <c r="BP212" s="227"/>
      <c r="BQ212" s="227" t="str">
        <f>IF($BF212="ja",VLOOKUP($B212,'Egen hetvattenprod'!$B$1:$BX$550,MATCH("Tillförd olja (fossil) vid avfallsförbränning (GWh)",'Egen hetvattenprod'!$B$1:$BX$1,0),FALSE),"")</f>
        <v/>
      </c>
      <c r="BR212" s="227" t="str">
        <f>IF($BF212="ja",VLOOKUP($B212,Kraftvärmeprod!$B$1:$BX$550,MATCH("Tillförd olja (fossil) vid avfallsförbränning (GWh)",Kraftvärmeprod!$B$1:$BX$1,0),FALSE),"")</f>
        <v/>
      </c>
      <c r="BS212" s="227"/>
      <c r="BT212" s="227"/>
      <c r="BU212" s="227"/>
    </row>
    <row r="213" spans="1:73" x14ac:dyDescent="0.25">
      <c r="A213" s="121" t="str">
        <f>'Miljövärden för publ företag'!B216</f>
        <v>Sala-Heby Energi AB</v>
      </c>
      <c r="B213" s="121" t="str">
        <f>'Miljövärden för publ företag'!C216</f>
        <v>Sala-Heby</v>
      </c>
      <c r="C213" s="173">
        <f>IFERROR(VLOOKUP($B213,Totalt!$B$1:$AQ$554,MATCH(C$2,Totalt!$B$1:$AQ$1,0),FALSE),"")</f>
        <v>0</v>
      </c>
      <c r="D213" s="173">
        <f>IFERROR(VLOOKUP($B213,Totalt!$B$1:$AQ$554,MATCH(D$2,Totalt!$B$1:$AQ$1,0),FALSE),"")</f>
        <v>0</v>
      </c>
      <c r="E213" s="173">
        <f>IFERROR(VLOOKUP($B213,Totalt!$B$1:$AQ$554,MATCH(E$2,Totalt!$B$1:$AQ$1,0),FALSE),"")</f>
        <v>0</v>
      </c>
      <c r="F213" s="173">
        <f>IFERROR(VLOOKUP($B213,Totalt!$B$1:$AQ$554,MATCH(F$2,Totalt!$B$1:$AQ$1,0),FALSE),"")</f>
        <v>0</v>
      </c>
      <c r="G213" s="173">
        <f>IFERROR(VLOOKUP($B213,Totalt!$B$1:$AQ$554,MATCH(G$2,Totalt!$B$1:$AQ$1,0),FALSE),"")</f>
        <v>0</v>
      </c>
      <c r="H213" s="173">
        <f>IFERROR(VLOOKUP($B213,Totalt!$B$1:$AQ$554,MATCH(H$2,Totalt!$B$1:$AQ$1,0),FALSE),"")</f>
        <v>0</v>
      </c>
      <c r="I213" s="173">
        <f>IFERROR(VLOOKUP($B213,Totalt!$B$1:$AQ$554,MATCH(I$2,Totalt!$B$1:$AQ$1,0),FALSE),"")</f>
        <v>0</v>
      </c>
      <c r="J213" s="173">
        <f>IFERROR(VLOOKUP($B213,Totalt!$B$1:$AQ$554,MATCH(J$2,Totalt!$B$1:$AQ$1,0),FALSE),"")</f>
        <v>3.3255599999999998</v>
      </c>
      <c r="K213" s="173">
        <f>IFERROR(VLOOKUP($B213,Totalt!$B$1:$AQ$554,MATCH(K$2,Totalt!$B$1:$AQ$1,0),FALSE),"")</f>
        <v>0</v>
      </c>
      <c r="L213" s="173">
        <f>IFERROR(VLOOKUP($B213,Totalt!$B$1:$AQ$554,MATCH(L$2,Totalt!$B$1:$AQ$1,0),FALSE),"")</f>
        <v>0</v>
      </c>
      <c r="M213" s="173">
        <f>IFERROR(VLOOKUP($B213,Totalt!$B$1:$AQ$554,MATCH(M$2,Totalt!$B$1:$AQ$1,0),FALSE),"")</f>
        <v>0</v>
      </c>
      <c r="N213" s="173">
        <f>IFERROR(VLOOKUP($B213,Totalt!$B$1:$AQ$554,MATCH(N$2,Totalt!$B$1:$AQ$1,0),FALSE),"")</f>
        <v>29.2563</v>
      </c>
      <c r="O213" s="173">
        <f>IFERROR(VLOOKUP($B213,Totalt!$B$1:$AQ$554,MATCH(O$2,Totalt!$B$1:$AQ$1,0),FALSE),"")</f>
        <v>14.3447</v>
      </c>
      <c r="P213" s="173">
        <f>IFERROR(VLOOKUP($B213,Totalt!$B$1:$AQ$554,MATCH(P$2,Totalt!$B$1:$AQ$1,0),FALSE),"")</f>
        <v>48.900599999999997</v>
      </c>
      <c r="Q213" s="173">
        <f>IFERROR(VLOOKUP($B213,Totalt!$B$1:$AQ$554,MATCH(Q$2,Totalt!$B$1:$AQ$1,0),FALSE),"")</f>
        <v>15.125</v>
      </c>
      <c r="R213" s="173">
        <f>IFERROR(VLOOKUP($B213,Totalt!$B$1:$AQ$554,MATCH(R$2,Totalt!$B$1:$AQ$1,0),FALSE),"")</f>
        <v>40.401200000000003</v>
      </c>
      <c r="S213" s="173">
        <f>IFERROR(VLOOKUP($B213,Totalt!$B$1:$AQ$554,MATCH(S$2,Totalt!$B$1:$AQ$1,0),FALSE),"")</f>
        <v>0</v>
      </c>
      <c r="T213" s="173">
        <f>IFERROR(VLOOKUP($B213,Totalt!$B$1:$AQ$554,MATCH(T$2,Totalt!$B$1:$AQ$1,0),FALSE),"")</f>
        <v>0</v>
      </c>
      <c r="U213" s="173">
        <f>IFERROR(VLOOKUP($B213,Totalt!$B$1:$AQ$554,MATCH(U$2,Totalt!$B$1:$AQ$1,0),FALSE),"")</f>
        <v>0</v>
      </c>
      <c r="V213" s="173">
        <f>IFERROR(VLOOKUP($B213,Totalt!$B$1:$AQ$554,MATCH(V$2,Totalt!$B$1:$AQ$1,0),FALSE),"")</f>
        <v>0</v>
      </c>
      <c r="W213" s="173">
        <f>IFERROR(VLOOKUP($B213,Totalt!$B$1:$AQ$554,MATCH(W$2,Totalt!$B$1:$AQ$1,0),FALSE),"")</f>
        <v>5.58094</v>
      </c>
      <c r="X213" s="173">
        <f>IFERROR(VLOOKUP($B213,Totalt!$B$1:$AQ$554,MATCH(X$2,Totalt!$B$1:$AQ$1,0),FALSE),"")</f>
        <v>0</v>
      </c>
      <c r="Y213" s="173">
        <f>IFERROR(VLOOKUP($B213,Totalt!$B$1:$AQ$554,MATCH(Y$2,Totalt!$B$1:$AQ$1,0),FALSE),"")</f>
        <v>0</v>
      </c>
      <c r="Z213" s="173">
        <f>IFERROR(VLOOKUP($B213,Totalt!$B$1:$AQ$554,MATCH(Z$2,Totalt!$B$1:$AQ$1,0),FALSE),"")</f>
        <v>3.8462000000000003E-2</v>
      </c>
      <c r="AA213" s="173">
        <f>IFERROR(VLOOKUP($B213,Totalt!$B$1:$AQ$554,MATCH(AA$2,Totalt!$B$1:$AQ$1,0),FALSE),"")</f>
        <v>0</v>
      </c>
      <c r="AB213" s="173">
        <f>IFERROR(VLOOKUP($B213,Totalt!$B$1:$AQ$554,MATCH(AB$2,Totalt!$B$1:$AQ$1,0),FALSE),"")</f>
        <v>0</v>
      </c>
      <c r="AC213" s="173">
        <f>IFERROR(VLOOKUP($B213,Totalt!$B$1:$AQ$554,MATCH(AC$2,Totalt!$B$1:$AQ$1,0),FALSE),"")</f>
        <v>15.55</v>
      </c>
      <c r="AD213" s="173">
        <f>IFERROR(VLOOKUP($B213,Totalt!$B$1:$AQ$554,MATCH(AD$2,Totalt!$B$1:$AQ$1,0),FALSE),"")</f>
        <v>0</v>
      </c>
      <c r="AE213" s="173">
        <f>IFERROR(VLOOKUP($B213,Totalt!$B$1:$AQ$554,MATCH(AE$2,Totalt!$B$1:$AQ$1,0),FALSE),"")</f>
        <v>0</v>
      </c>
      <c r="AF213" s="173">
        <f>IFERROR(VLOOKUP($B213,Totalt!$B$1:$AQ$554,MATCH(AF$2,Totalt!$B$1:$AQ$1,0),FALSE),"")</f>
        <v>3.1807599999999998</v>
      </c>
      <c r="AG213" s="173">
        <f>IFERROR(VLOOKUP($B213,Totalt!$B$1:$AQ$554,MATCH(AG$2,Totalt!$B$1:$AQ$1,0),FALSE),"")</f>
        <v>0</v>
      </c>
      <c r="AI213" s="226">
        <f t="shared" si="18"/>
        <v>175.70352200000002</v>
      </c>
      <c r="AJ213" s="226">
        <f>IF(ISERROR(1/VLOOKUP($B213,Leveranser!$B$1:$S$500,MATCH("såld värme (gwh)",Leveranser!$B$1:$S$1,0),FALSE)),"",VLOOKUP($B213,Leveranser!$B$1:$S$500,MATCH("såld värme (gwh)",Leveranser!$B$1:$S$1,0),FALSE))</f>
        <v>146.04</v>
      </c>
      <c r="AM213" s="227" t="str">
        <f>IF(B213&lt;&gt;"",IF(VLOOKUP($B213,Totalt!$B$1:$AQ$554,MATCH("Kvalitetsgranskad:",Totalt!$B$1:$AQ$1,0),FALSE)="ja",VLOOKUP($B213,Miljö!$B$1:$AG$479,MATCH(AM$2,Miljö!$B$1:$AK$1,0),FALSE),""),"")</f>
        <v>Ja</v>
      </c>
      <c r="AN213" s="227" t="str">
        <f>IF(AM213="ja",VLOOKUP($B213,Miljö!$B$1:$J$479,MATCH("Typ av ursprungsspecificerad el   (Om inget värde anges används Nordisk residualmix, se inforuta) ()",Miljö!$B$1:$J$1,0),FALSE),IF(AM213="nej","Nordisk residualel",""))</f>
        <v>'Förnybart'</v>
      </c>
      <c r="AO213" s="227">
        <f>IF(AM213="","",VLOOKUP($B213,Miljö!$B$1:$J$479,MATCH("Fossilandel för ursprungspecificerad el ()",Miljö!$B$1:$J$1,0),FALSE))</f>
        <v>0</v>
      </c>
      <c r="AP213" s="227">
        <f>IF(AM213="","",IFERROR(VLOOKUP($B213,Miljö!$B$1:$J$479,MATCH("Kärnkraftsandel för ursprungsspecificerad el ()",Miljö!$B$1:$J$1,0),FALSE)/1,0))</f>
        <v>0</v>
      </c>
      <c r="AQ213" s="227">
        <f t="shared" si="19"/>
        <v>1</v>
      </c>
      <c r="AR213" s="227"/>
      <c r="AS213" s="227" t="str">
        <f t="shared" si="20"/>
        <v>Nej</v>
      </c>
      <c r="AT213" s="227" t="str">
        <f>IF(AS213="ja",VLOOKUP($B213,Miljö!$B$1:$O$500,MATCH("Fossil andel i procent (%)",Miljö!$B$1:$O$1,0),FALSE)/100,"")</f>
        <v/>
      </c>
      <c r="AU213" s="227"/>
      <c r="AV213" s="227" t="str">
        <f t="shared" si="21"/>
        <v>Nej</v>
      </c>
      <c r="AW213" s="227" t="str">
        <f>IF(AV213="ja",VLOOKUP($B213,'Egen hetvattenprod'!$B$1:$AO$500,MATCH("Värmekälla till värmepumpar ()",'Egen hetvattenprod'!$B$1:$AO$1,0),FALSE),"")</f>
        <v/>
      </c>
      <c r="AX213" s="227"/>
      <c r="AY213" s="227" t="str">
        <f t="shared" si="22"/>
        <v>Ja</v>
      </c>
      <c r="AZ213" s="228">
        <f>IF($AY213="ja",(VLOOKUP($B213,'Egen hetvattenprod'!$B$1:$BX$550,MATCH(AZ$2,'Egen hetvattenprod'!$B$1:$BX$1,0),FALSE)+VLOOKUP($B213,Kraftvärmeprod!$B$1:$BX$550,MATCH(AZ$2,Kraftvärmeprod!$B$1:$BX$1,0),FALSE))/$AC213,"")</f>
        <v>1</v>
      </c>
      <c r="BA213" s="228">
        <f>IF($AY213="ja",(VLOOKUP($B213,'Egen hetvattenprod'!$B$1:$BX$550,MATCH(BA$2,'Egen hetvattenprod'!$B$1:$BX$1,0),FALSE)+VLOOKUP($B213,Kraftvärmeprod!$B$1:$BX$550,MATCH(BA$2,Kraftvärmeprod!$B$1:$BX$1,0),FALSE))/$AC213,"")</f>
        <v>0</v>
      </c>
      <c r="BB213" s="228">
        <f>IF($AY213="ja",(VLOOKUP($B213,'Egen hetvattenprod'!$B$1:$BX$550,MATCH(BB$2,'Egen hetvattenprod'!$B$1:$BX$1,0),FALSE)+VLOOKUP($B213,Kraftvärmeprod!$B$1:$BX$550,MATCH(BB$2,Kraftvärmeprod!$B$1:$BX$1,0),FALSE))/$AC213,"")</f>
        <v>0</v>
      </c>
      <c r="BC213" s="228">
        <f>IF($AY213="ja",(VLOOKUP($B213,'Egen hetvattenprod'!$B$1:$BX$550,MATCH(BC$2,'Egen hetvattenprod'!$B$1:$BX$1,0),FALSE)+VLOOKUP($B213,Kraftvärmeprod!$B$1:$BX$550,MATCH(BC$2,Kraftvärmeprod!$B$1:$BX$1,0),FALSE))/$AC213,"")</f>
        <v>0</v>
      </c>
      <c r="BD213" s="228">
        <f>IF($AY213="ja",(VLOOKUP($B213,'Egen hetvattenprod'!$B$1:$BX$550,MATCH(BD$2,'Egen hetvattenprod'!$B$1:$BX$1,0),FALSE)+VLOOKUP($B213,Kraftvärmeprod!$B$1:$BX$550,MATCH(BD$2,Kraftvärmeprod!$B$1:$BX$1,0),FALSE))/$AC213,"")</f>
        <v>0</v>
      </c>
      <c r="BE213" s="227"/>
      <c r="BF213" s="227" t="str">
        <f t="shared" si="23"/>
        <v>Nej</v>
      </c>
      <c r="BG213" s="227" t="str">
        <f>IF($BF213="ja",VLOOKUP($B213,'Egen hetvattenprod'!$B$1:$BX$550,MATCH("Andelen klimatgaser med fossilt ursprung för avfall ()",'Egen hetvattenprod'!$B$1:$BX$1,0),FALSE),"")</f>
        <v/>
      </c>
      <c r="BH213" s="227" t="str">
        <f>IF($BF213="ja",VLOOKUP($B213,Kraftvärmeprod!$B$1:$BX$550,MATCH("Andelen klimatgaser med fossilt ursprung för avfall ()",Kraftvärmeprod!$B$1:$BX$1,0),FALSE),"")</f>
        <v/>
      </c>
      <c r="BI213" s="227" t="str">
        <f>IF($BF213="ja",VLOOKUP($B213,'Egen hetvattenprod'!$B$1:$BX$550,MATCH("Avfall (GWh)",'Egen hetvattenprod'!$B$1:$BX$1,0),FALSE),"")</f>
        <v/>
      </c>
      <c r="BJ213" s="227" t="str">
        <f>IF($BF213="ja",VLOOKUP($B213,'Slutlig allokering kvv'!$B$1:$BX$550,MATCH("Avfall (GWh)",'Slutlig allokering kvv'!$B$1:$BX$1,0),FALSE),"")</f>
        <v/>
      </c>
      <c r="BK213" s="227" t="str">
        <f>IF($BF213="ja",VLOOKUP($B213,'Köpt hetvatten'!$B$1:$BX$550,MATCH("Avfall i köpt hetvatten",'Köpt hetvatten'!$B$1:$BX$1,0),FALSE),"")</f>
        <v/>
      </c>
      <c r="BL213" s="227" t="str">
        <f>IF($BF213="ja",VLOOKUP($B213,'Egen hetvattenprod'!$B$1:$BX$550,MATCH("Värde enligt ovan. (%)",'Egen hetvattenprod'!$B$1:$BX$1,0),FALSE),"")</f>
        <v/>
      </c>
      <c r="BM213" s="227" t="str">
        <f>IF($BF213="ja",VLOOKUP($B213,Kraftvärmeprod!$B$1:$BX$550,MATCH("Värde enligt ovan. (%)",Kraftvärmeprod!$B$1:$BX$1,0),FALSE),"")</f>
        <v/>
      </c>
      <c r="BN213" s="227"/>
      <c r="BO213" s="227"/>
      <c r="BP213" s="227"/>
      <c r="BQ213" s="227" t="str">
        <f>IF($BF213="ja",VLOOKUP($B213,'Egen hetvattenprod'!$B$1:$BX$550,MATCH("Tillförd olja (fossil) vid avfallsförbränning (GWh)",'Egen hetvattenprod'!$B$1:$BX$1,0),FALSE),"")</f>
        <v/>
      </c>
      <c r="BR213" s="227" t="str">
        <f>IF($BF213="ja",VLOOKUP($B213,Kraftvärmeprod!$B$1:$BX$550,MATCH("Tillförd olja (fossil) vid avfallsförbränning (GWh)",Kraftvärmeprod!$B$1:$BX$1,0),FALSE),"")</f>
        <v/>
      </c>
      <c r="BS213" s="227"/>
      <c r="BT213" s="227"/>
      <c r="BU213" s="227"/>
    </row>
    <row r="214" spans="1:73" x14ac:dyDescent="0.25">
      <c r="A214" s="121" t="str">
        <f>'Miljövärden för publ företag'!B217</f>
        <v>Sandviken Energi AB</v>
      </c>
      <c r="B214" s="121" t="str">
        <f>'Miljövärden för publ företag'!C217</f>
        <v>Sandviken</v>
      </c>
      <c r="C214" s="173">
        <f>IFERROR(VLOOKUP($B214,Totalt!$B$1:$AQ$554,MATCH(C$2,Totalt!$B$1:$AQ$1,0),FALSE),"")</f>
        <v>0</v>
      </c>
      <c r="D214" s="173">
        <f>IFERROR(VLOOKUP($B214,Totalt!$B$1:$AQ$554,MATCH(D$2,Totalt!$B$1:$AQ$1,0),FALSE),"")</f>
        <v>1.08</v>
      </c>
      <c r="E214" s="173">
        <f>IFERROR(VLOOKUP($B214,Totalt!$B$1:$AQ$554,MATCH(E$2,Totalt!$B$1:$AQ$1,0),FALSE),"")</f>
        <v>0</v>
      </c>
      <c r="F214" s="173">
        <f>IFERROR(VLOOKUP($B214,Totalt!$B$1:$AQ$554,MATCH(F$2,Totalt!$B$1:$AQ$1,0),FALSE),"")</f>
        <v>0</v>
      </c>
      <c r="G214" s="173">
        <f>IFERROR(VLOOKUP($B214,Totalt!$B$1:$AQ$554,MATCH(G$2,Totalt!$B$1:$AQ$1,0),FALSE),"")</f>
        <v>0</v>
      </c>
      <c r="H214" s="173">
        <f>IFERROR(VLOOKUP($B214,Totalt!$B$1:$AQ$554,MATCH(H$2,Totalt!$B$1:$AQ$1,0),FALSE),"")</f>
        <v>1.0940000000000001</v>
      </c>
      <c r="I214" s="173">
        <f>IFERROR(VLOOKUP($B214,Totalt!$B$1:$AQ$554,MATCH(I$2,Totalt!$B$1:$AQ$1,0),FALSE),"")</f>
        <v>0</v>
      </c>
      <c r="J214" s="173">
        <f>IFERROR(VLOOKUP($B214,Totalt!$B$1:$AQ$554,MATCH(J$2,Totalt!$B$1:$AQ$1,0),FALSE),"")</f>
        <v>0</v>
      </c>
      <c r="K214" s="173">
        <f>IFERROR(VLOOKUP($B214,Totalt!$B$1:$AQ$554,MATCH(K$2,Totalt!$B$1:$AQ$1,0),FALSE),"")</f>
        <v>0</v>
      </c>
      <c r="L214" s="173">
        <f>IFERROR(VLOOKUP($B214,Totalt!$B$1:$AQ$554,MATCH(L$2,Totalt!$B$1:$AQ$1,0),FALSE),"")</f>
        <v>35.375</v>
      </c>
      <c r="M214" s="173">
        <f>IFERROR(VLOOKUP($B214,Totalt!$B$1:$AQ$554,MATCH(M$2,Totalt!$B$1:$AQ$1,0),FALSE),"")</f>
        <v>0</v>
      </c>
      <c r="N214" s="173">
        <f>IFERROR(VLOOKUP($B214,Totalt!$B$1:$AQ$554,MATCH(N$2,Totalt!$B$1:$AQ$1,0),FALSE),"")</f>
        <v>0</v>
      </c>
      <c r="O214" s="173">
        <f>IFERROR(VLOOKUP($B214,Totalt!$B$1:$AQ$554,MATCH(O$2,Totalt!$B$1:$AQ$1,0),FALSE),"")</f>
        <v>55.508000000000003</v>
      </c>
      <c r="P214" s="173">
        <f>IFERROR(VLOOKUP($B214,Totalt!$B$1:$AQ$554,MATCH(P$2,Totalt!$B$1:$AQ$1,0),FALSE),"")</f>
        <v>0</v>
      </c>
      <c r="Q214" s="173">
        <f>IFERROR(VLOOKUP($B214,Totalt!$B$1:$AQ$554,MATCH(Q$2,Totalt!$B$1:$AQ$1,0),FALSE),"")</f>
        <v>0.59899999999999998</v>
      </c>
      <c r="R214" s="173">
        <f>IFERROR(VLOOKUP($B214,Totalt!$B$1:$AQ$554,MATCH(R$2,Totalt!$B$1:$AQ$1,0),FALSE),"")</f>
        <v>68</v>
      </c>
      <c r="S214" s="173">
        <f>IFERROR(VLOOKUP($B214,Totalt!$B$1:$AQ$554,MATCH(S$2,Totalt!$B$1:$AQ$1,0),FALSE),"")</f>
        <v>0</v>
      </c>
      <c r="T214" s="173">
        <f>IFERROR(VLOOKUP($B214,Totalt!$B$1:$AQ$554,MATCH(T$2,Totalt!$B$1:$AQ$1,0),FALSE),"")</f>
        <v>0</v>
      </c>
      <c r="U214" s="173">
        <f>IFERROR(VLOOKUP($B214,Totalt!$B$1:$AQ$554,MATCH(U$2,Totalt!$B$1:$AQ$1,0),FALSE),"")</f>
        <v>0</v>
      </c>
      <c r="V214" s="173">
        <f>IFERROR(VLOOKUP($B214,Totalt!$B$1:$AQ$554,MATCH(V$2,Totalt!$B$1:$AQ$1,0),FALSE),"")</f>
        <v>0</v>
      </c>
      <c r="W214" s="173">
        <f>IFERROR(VLOOKUP($B214,Totalt!$B$1:$AQ$554,MATCH(W$2,Totalt!$B$1:$AQ$1,0),FALSE),"")</f>
        <v>0</v>
      </c>
      <c r="X214" s="173">
        <f>IFERROR(VLOOKUP($B214,Totalt!$B$1:$AQ$554,MATCH(X$2,Totalt!$B$1:$AQ$1,0),FALSE),"")</f>
        <v>0</v>
      </c>
      <c r="Y214" s="173">
        <f>IFERROR(VLOOKUP($B214,Totalt!$B$1:$AQ$554,MATCH(Y$2,Totalt!$B$1:$AQ$1,0),FALSE),"")</f>
        <v>112.46899999999999</v>
      </c>
      <c r="Z214" s="173">
        <f>IFERROR(VLOOKUP($B214,Totalt!$B$1:$AQ$554,MATCH(Z$2,Totalt!$B$1:$AQ$1,0),FALSE),"")</f>
        <v>0</v>
      </c>
      <c r="AA214" s="173">
        <f>IFERROR(VLOOKUP($B214,Totalt!$B$1:$AQ$554,MATCH(AA$2,Totalt!$B$1:$AQ$1,0),FALSE),"")</f>
        <v>0</v>
      </c>
      <c r="AB214" s="173">
        <f>IFERROR(VLOOKUP($B214,Totalt!$B$1:$AQ$554,MATCH(AB$2,Totalt!$B$1:$AQ$1,0),FALSE),"")</f>
        <v>0</v>
      </c>
      <c r="AC214" s="173">
        <f>IFERROR(VLOOKUP($B214,Totalt!$B$1:$AQ$554,MATCH(AC$2,Totalt!$B$1:$AQ$1,0),FALSE),"")</f>
        <v>28.713000000000001</v>
      </c>
      <c r="AD214" s="173">
        <f>IFERROR(VLOOKUP($B214,Totalt!$B$1:$AQ$554,MATCH(AD$2,Totalt!$B$1:$AQ$1,0),FALSE),"")</f>
        <v>0</v>
      </c>
      <c r="AE214" s="173">
        <f>IFERROR(VLOOKUP($B214,Totalt!$B$1:$AQ$554,MATCH(AE$2,Totalt!$B$1:$AQ$1,0),FALSE),"")</f>
        <v>0</v>
      </c>
      <c r="AF214" s="173">
        <f>IFERROR(VLOOKUP($B214,Totalt!$B$1:$AQ$554,MATCH(AF$2,Totalt!$B$1:$AQ$1,0),FALSE),"")</f>
        <v>8.67</v>
      </c>
      <c r="AG214" s="173">
        <f>IFERROR(VLOOKUP($B214,Totalt!$B$1:$AQ$554,MATCH(AG$2,Totalt!$B$1:$AQ$1,0),FALSE),"")</f>
        <v>0</v>
      </c>
      <c r="AI214" s="226">
        <f t="shared" si="18"/>
        <v>311.50800000000004</v>
      </c>
      <c r="AJ214" s="226">
        <f>IF(ISERROR(1/VLOOKUP($B214,Leveranser!$B$1:$S$500,MATCH("såld värme (gwh)",Leveranser!$B$1:$S$1,0),FALSE)),"",VLOOKUP($B214,Leveranser!$B$1:$S$500,MATCH("såld värme (gwh)",Leveranser!$B$1:$S$1,0),FALSE))</f>
        <v>215</v>
      </c>
      <c r="AM214" s="227" t="str">
        <f>IF(B214&lt;&gt;"",IF(VLOOKUP($B214,Totalt!$B$1:$AQ$554,MATCH("Kvalitetsgranskad:",Totalt!$B$1:$AQ$1,0),FALSE)="ja",VLOOKUP($B214,Miljö!$B$1:$AG$479,MATCH(AM$2,Miljö!$B$1:$AK$1,0),FALSE),""),"")</f>
        <v>Nej</v>
      </c>
      <c r="AN214" s="227" t="str">
        <f>IF(AM214="ja",VLOOKUP($B214,Miljö!$B$1:$J$479,MATCH("Typ av ursprungsspecificerad el   (Om inget värde anges används Nordisk residualmix, se inforuta) ()",Miljö!$B$1:$J$1,0),FALSE),IF(AM214="nej","Nordisk residualel",""))</f>
        <v>Nordisk residualel</v>
      </c>
      <c r="AO214" s="227">
        <f>IF(AM214="","",VLOOKUP($B214,Miljö!$B$1:$J$479,MATCH("Fossilandel för ursprungspecificerad el ()",Miljö!$B$1:$J$1,0),FALSE))</f>
        <v>0.43</v>
      </c>
      <c r="AP214" s="227">
        <f>IF(AM214="","",IFERROR(VLOOKUP($B214,Miljö!$B$1:$J$479,MATCH("Kärnkraftsandel för ursprungsspecificerad el ()",Miljö!$B$1:$J$1,0),FALSE)/1,0))</f>
        <v>0.40550000000000003</v>
      </c>
      <c r="AQ214" s="227">
        <f t="shared" si="19"/>
        <v>0.16450000000000004</v>
      </c>
      <c r="AR214" s="227"/>
      <c r="AS214" s="227" t="str">
        <f t="shared" si="20"/>
        <v>Nej</v>
      </c>
      <c r="AT214" s="227" t="str">
        <f>IF(AS214="ja",VLOOKUP($B214,Miljö!$B$1:$O$500,MATCH("Fossil andel i procent (%)",Miljö!$B$1:$O$1,0),FALSE)/100,"")</f>
        <v/>
      </c>
      <c r="AU214" s="227"/>
      <c r="AV214" s="227" t="str">
        <f t="shared" si="21"/>
        <v>Nej</v>
      </c>
      <c r="AW214" s="227" t="str">
        <f>IF(AV214="ja",VLOOKUP($B214,'Egen hetvattenprod'!$B$1:$AO$500,MATCH("Värmekälla till värmepumpar ()",'Egen hetvattenprod'!$B$1:$AO$1,0),FALSE),"")</f>
        <v/>
      </c>
      <c r="AX214" s="227"/>
      <c r="AY214" s="227" t="str">
        <f t="shared" si="22"/>
        <v>Ja</v>
      </c>
      <c r="AZ214" s="228">
        <f>IF($AY214="ja",(VLOOKUP($B214,'Egen hetvattenprod'!$B$1:$BX$550,MATCH(AZ$2,'Egen hetvattenprod'!$B$1:$BX$1,0),FALSE)+VLOOKUP($B214,Kraftvärmeprod!$B$1:$BX$550,MATCH(AZ$2,Kraftvärmeprod!$B$1:$BX$1,0),FALSE))/$AC214,"")</f>
        <v>0.56999999999999995</v>
      </c>
      <c r="BA214" s="228">
        <f>IF($AY214="ja",(VLOOKUP($B214,'Egen hetvattenprod'!$B$1:$BX$550,MATCH(BA$2,'Egen hetvattenprod'!$B$1:$BX$1,0),FALSE)+VLOOKUP($B214,Kraftvärmeprod!$B$1:$BX$550,MATCH(BA$2,Kraftvärmeprod!$B$1:$BX$1,0),FALSE))/$AC214,"")</f>
        <v>0</v>
      </c>
      <c r="BB214" s="228">
        <f>IF($AY214="ja",(VLOOKUP($B214,'Egen hetvattenprod'!$B$1:$BX$550,MATCH(BB$2,'Egen hetvattenprod'!$B$1:$BX$1,0),FALSE)+VLOOKUP($B214,Kraftvärmeprod!$B$1:$BX$550,MATCH(BB$2,Kraftvärmeprod!$B$1:$BX$1,0),FALSE))/$AC214,"")</f>
        <v>0.01</v>
      </c>
      <c r="BC214" s="228">
        <f>IF($AY214="ja",(VLOOKUP($B214,'Egen hetvattenprod'!$B$1:$BX$550,MATCH(BC$2,'Egen hetvattenprod'!$B$1:$BX$1,0),FALSE)+VLOOKUP($B214,Kraftvärmeprod!$B$1:$BX$550,MATCH(BC$2,Kraftvärmeprod!$B$1:$BX$1,0),FALSE))/$AC214,"")</f>
        <v>0.42</v>
      </c>
      <c r="BD214" s="228">
        <f>IF($AY214="ja",(VLOOKUP($B214,'Egen hetvattenprod'!$B$1:$BX$550,MATCH(BD$2,'Egen hetvattenprod'!$B$1:$BX$1,0),FALSE)+VLOOKUP($B214,Kraftvärmeprod!$B$1:$BX$550,MATCH(BD$2,Kraftvärmeprod!$B$1:$BX$1,0),FALSE))/$AC214,"")</f>
        <v>0</v>
      </c>
      <c r="BE214" s="227"/>
      <c r="BF214" s="227" t="str">
        <f t="shared" si="23"/>
        <v>Nej</v>
      </c>
      <c r="BG214" s="227" t="str">
        <f>IF($BF214="ja",VLOOKUP($B214,'Egen hetvattenprod'!$B$1:$BX$550,MATCH("Andelen klimatgaser med fossilt ursprung för avfall ()",'Egen hetvattenprod'!$B$1:$BX$1,0),FALSE),"")</f>
        <v/>
      </c>
      <c r="BH214" s="227" t="str">
        <f>IF($BF214="ja",VLOOKUP($B214,Kraftvärmeprod!$B$1:$BX$550,MATCH("Andelen klimatgaser med fossilt ursprung för avfall ()",Kraftvärmeprod!$B$1:$BX$1,0),FALSE),"")</f>
        <v/>
      </c>
      <c r="BI214" s="227" t="str">
        <f>IF($BF214="ja",VLOOKUP($B214,'Egen hetvattenprod'!$B$1:$BX$550,MATCH("Avfall (GWh)",'Egen hetvattenprod'!$B$1:$BX$1,0),FALSE),"")</f>
        <v/>
      </c>
      <c r="BJ214" s="227" t="str">
        <f>IF($BF214="ja",VLOOKUP($B214,'Slutlig allokering kvv'!$B$1:$BX$550,MATCH("Avfall (GWh)",'Slutlig allokering kvv'!$B$1:$BX$1,0),FALSE),"")</f>
        <v/>
      </c>
      <c r="BK214" s="227" t="str">
        <f>IF($BF214="ja",VLOOKUP($B214,'Köpt hetvatten'!$B$1:$BX$550,MATCH("Avfall i köpt hetvatten",'Köpt hetvatten'!$B$1:$BX$1,0),FALSE),"")</f>
        <v/>
      </c>
      <c r="BL214" s="227" t="str">
        <f>IF($BF214="ja",VLOOKUP($B214,'Egen hetvattenprod'!$B$1:$BX$550,MATCH("Värde enligt ovan. (%)",'Egen hetvattenprod'!$B$1:$BX$1,0),FALSE),"")</f>
        <v/>
      </c>
      <c r="BM214" s="227" t="str">
        <f>IF($BF214="ja",VLOOKUP($B214,Kraftvärmeprod!$B$1:$BX$550,MATCH("Värde enligt ovan. (%)",Kraftvärmeprod!$B$1:$BX$1,0),FALSE),"")</f>
        <v/>
      </c>
      <c r="BN214" s="227"/>
      <c r="BO214" s="227"/>
      <c r="BP214" s="227"/>
      <c r="BQ214" s="227" t="str">
        <f>IF($BF214="ja",VLOOKUP($B214,'Egen hetvattenprod'!$B$1:$BX$550,MATCH("Tillförd olja (fossil) vid avfallsförbränning (GWh)",'Egen hetvattenprod'!$B$1:$BX$1,0),FALSE),"")</f>
        <v/>
      </c>
      <c r="BR214" s="227" t="str">
        <f>IF($BF214="ja",VLOOKUP($B214,Kraftvärmeprod!$B$1:$BX$550,MATCH("Tillförd olja (fossil) vid avfallsförbränning (GWh)",Kraftvärmeprod!$B$1:$BX$1,0),FALSE),"")</f>
        <v/>
      </c>
      <c r="BS214" s="227"/>
      <c r="BT214" s="227"/>
      <c r="BU214" s="227"/>
    </row>
    <row r="215" spans="1:73" x14ac:dyDescent="0.25">
      <c r="A215" s="121" t="str">
        <f>'Miljövärden för publ företag'!B218</f>
        <v>SEVAB Strängnäs Energi AB</v>
      </c>
      <c r="B215" s="121" t="str">
        <f>'Miljövärden för publ företag'!C218</f>
        <v>Strängnäs</v>
      </c>
      <c r="C215" s="173">
        <f>IFERROR(VLOOKUP($B215,Totalt!$B$1:$AQ$554,MATCH(C$2,Totalt!$B$1:$AQ$1,0),FALSE),"")</f>
        <v>0</v>
      </c>
      <c r="D215" s="173">
        <f>IFERROR(VLOOKUP($B215,Totalt!$B$1:$AQ$554,MATCH(D$2,Totalt!$B$1:$AQ$1,0),FALSE),"")</f>
        <v>10.308999999999999</v>
      </c>
      <c r="E215" s="173">
        <f>IFERROR(VLOOKUP($B215,Totalt!$B$1:$AQ$554,MATCH(E$2,Totalt!$B$1:$AQ$1,0),FALSE),"")</f>
        <v>0</v>
      </c>
      <c r="F215" s="173">
        <f>IFERROR(VLOOKUP($B215,Totalt!$B$1:$AQ$554,MATCH(F$2,Totalt!$B$1:$AQ$1,0),FALSE),"")</f>
        <v>0</v>
      </c>
      <c r="G215" s="173">
        <f>IFERROR(VLOOKUP($B215,Totalt!$B$1:$AQ$554,MATCH(G$2,Totalt!$B$1:$AQ$1,0),FALSE),"")</f>
        <v>0</v>
      </c>
      <c r="H215" s="173">
        <f>IFERROR(VLOOKUP($B215,Totalt!$B$1:$AQ$554,MATCH(H$2,Totalt!$B$1:$AQ$1,0),FALSE),"")</f>
        <v>0</v>
      </c>
      <c r="I215" s="173">
        <f>IFERROR(VLOOKUP($B215,Totalt!$B$1:$AQ$554,MATCH(I$2,Totalt!$B$1:$AQ$1,0),FALSE),"")</f>
        <v>0</v>
      </c>
      <c r="J215" s="173">
        <f>IFERROR(VLOOKUP($B215,Totalt!$B$1:$AQ$554,MATCH(J$2,Totalt!$B$1:$AQ$1,0),FALSE),"")</f>
        <v>0</v>
      </c>
      <c r="K215" s="173">
        <f>IFERROR(VLOOKUP($B215,Totalt!$B$1:$AQ$554,MATCH(K$2,Totalt!$B$1:$AQ$1,0),FALSE),"")</f>
        <v>0</v>
      </c>
      <c r="L215" s="173">
        <f>IFERROR(VLOOKUP($B215,Totalt!$B$1:$AQ$554,MATCH(L$2,Totalt!$B$1:$AQ$1,0),FALSE),"")</f>
        <v>115.462</v>
      </c>
      <c r="M215" s="173">
        <f>IFERROR(VLOOKUP($B215,Totalt!$B$1:$AQ$554,MATCH(M$2,Totalt!$B$1:$AQ$1,0),FALSE),"")</f>
        <v>6.5518700000000001</v>
      </c>
      <c r="N215" s="173">
        <f>IFERROR(VLOOKUP($B215,Totalt!$B$1:$AQ$554,MATCH(N$2,Totalt!$B$1:$AQ$1,0),FALSE),"")</f>
        <v>1.63361</v>
      </c>
      <c r="O215" s="173">
        <f>IFERROR(VLOOKUP($B215,Totalt!$B$1:$AQ$554,MATCH(O$2,Totalt!$B$1:$AQ$1,0),FALSE),"")</f>
        <v>0</v>
      </c>
      <c r="P215" s="173">
        <f>IFERROR(VLOOKUP($B215,Totalt!$B$1:$AQ$554,MATCH(P$2,Totalt!$B$1:$AQ$1,0),FALSE),"")</f>
        <v>0</v>
      </c>
      <c r="Q215" s="173">
        <f>IFERROR(VLOOKUP($B215,Totalt!$B$1:$AQ$554,MATCH(Q$2,Totalt!$B$1:$AQ$1,0),FALSE),"")</f>
        <v>13.024699999999999</v>
      </c>
      <c r="R215" s="173">
        <f>IFERROR(VLOOKUP($B215,Totalt!$B$1:$AQ$554,MATCH(R$2,Totalt!$B$1:$AQ$1,0),FALSE),"")</f>
        <v>24.922000000000001</v>
      </c>
      <c r="S215" s="173">
        <f>IFERROR(VLOOKUP($B215,Totalt!$B$1:$AQ$554,MATCH(S$2,Totalt!$B$1:$AQ$1,0),FALSE),"")</f>
        <v>0</v>
      </c>
      <c r="T215" s="173">
        <f>IFERROR(VLOOKUP($B215,Totalt!$B$1:$AQ$554,MATCH(T$2,Totalt!$B$1:$AQ$1,0),FALSE),"")</f>
        <v>0</v>
      </c>
      <c r="U215" s="173">
        <f>IFERROR(VLOOKUP($B215,Totalt!$B$1:$AQ$554,MATCH(U$2,Totalt!$B$1:$AQ$1,0),FALSE),"")</f>
        <v>0</v>
      </c>
      <c r="V215" s="173">
        <f>IFERROR(VLOOKUP($B215,Totalt!$B$1:$AQ$554,MATCH(V$2,Totalt!$B$1:$AQ$1,0),FALSE),"")</f>
        <v>0</v>
      </c>
      <c r="W215" s="173">
        <f>IFERROR(VLOOKUP($B215,Totalt!$B$1:$AQ$554,MATCH(W$2,Totalt!$B$1:$AQ$1,0),FALSE),"")</f>
        <v>0</v>
      </c>
      <c r="X215" s="173">
        <f>IFERROR(VLOOKUP($B215,Totalt!$B$1:$AQ$554,MATCH(X$2,Totalt!$B$1:$AQ$1,0),FALSE),"")</f>
        <v>0</v>
      </c>
      <c r="Y215" s="173">
        <f>IFERROR(VLOOKUP($B215,Totalt!$B$1:$AQ$554,MATCH(Y$2,Totalt!$B$1:$AQ$1,0),FALSE),"")</f>
        <v>0</v>
      </c>
      <c r="Z215" s="173">
        <f>IFERROR(VLOOKUP($B215,Totalt!$B$1:$AQ$554,MATCH(Z$2,Totalt!$B$1:$AQ$1,0),FALSE),"")</f>
        <v>0</v>
      </c>
      <c r="AA215" s="173">
        <f>IFERROR(VLOOKUP($B215,Totalt!$B$1:$AQ$554,MATCH(AA$2,Totalt!$B$1:$AQ$1,0),FALSE),"")</f>
        <v>0</v>
      </c>
      <c r="AB215" s="173">
        <f>IFERROR(VLOOKUP($B215,Totalt!$B$1:$AQ$554,MATCH(AB$2,Totalt!$B$1:$AQ$1,0),FALSE),"")</f>
        <v>0</v>
      </c>
      <c r="AC215" s="173">
        <f>IFERROR(VLOOKUP($B215,Totalt!$B$1:$AQ$554,MATCH(AC$2,Totalt!$B$1:$AQ$1,0),FALSE),"")</f>
        <v>17.63</v>
      </c>
      <c r="AD215" s="173">
        <f>IFERROR(VLOOKUP($B215,Totalt!$B$1:$AQ$554,MATCH(AD$2,Totalt!$B$1:$AQ$1,0),FALSE),"")</f>
        <v>0</v>
      </c>
      <c r="AE215" s="173">
        <f>IFERROR(VLOOKUP($B215,Totalt!$B$1:$AQ$554,MATCH(AE$2,Totalt!$B$1:$AQ$1,0),FALSE),"")</f>
        <v>0</v>
      </c>
      <c r="AF215" s="173">
        <f>IFERROR(VLOOKUP($B215,Totalt!$B$1:$AQ$554,MATCH(AF$2,Totalt!$B$1:$AQ$1,0),FALSE),"")</f>
        <v>4.4977999999999998</v>
      </c>
      <c r="AG215" s="173">
        <f>IFERROR(VLOOKUP($B215,Totalt!$B$1:$AQ$554,MATCH(AG$2,Totalt!$B$1:$AQ$1,0),FALSE),"")</f>
        <v>0</v>
      </c>
      <c r="AI215" s="226">
        <f t="shared" si="18"/>
        <v>194.03098</v>
      </c>
      <c r="AJ215" s="226">
        <f>IF(ISERROR(1/VLOOKUP($B215,Leveranser!$B$1:$S$500,MATCH("såld värme (gwh)",Leveranser!$B$1:$S$1,0),FALSE)),"",VLOOKUP($B215,Leveranser!$B$1:$S$500,MATCH("såld värme (gwh)",Leveranser!$B$1:$S$1,0),FALSE))</f>
        <v>149.37200000000001</v>
      </c>
      <c r="AM215" s="227" t="str">
        <f>IF(B215&lt;&gt;"",IF(VLOOKUP($B215,Totalt!$B$1:$AQ$554,MATCH("Kvalitetsgranskad:",Totalt!$B$1:$AQ$1,0),FALSE)="ja",VLOOKUP($B215,Miljö!$B$1:$AG$479,MATCH(AM$2,Miljö!$B$1:$AK$1,0),FALSE),""),"")</f>
        <v>Ja</v>
      </c>
      <c r="AN215" s="227" t="str">
        <f>IF(AM215="ja",VLOOKUP($B215,Miljö!$B$1:$J$479,MATCH("Typ av ursprungsspecificerad el   (Om inget värde anges används Nordisk residualmix, se inforuta) ()",Miljö!$B$1:$J$1,0),FALSE),IF(AM215="nej","Nordisk residualel",""))</f>
        <v>'Eskilstuna bioel'</v>
      </c>
      <c r="AO215" s="227">
        <f>IF(AM215="","",VLOOKUP($B215,Miljö!$B$1:$J$479,MATCH("Fossilandel för ursprungspecificerad el ()",Miljö!$B$1:$J$1,0),FALSE))</f>
        <v>0</v>
      </c>
      <c r="AP215" s="227">
        <f>IF(AM215="","",IFERROR(VLOOKUP($B215,Miljö!$B$1:$J$479,MATCH("Kärnkraftsandel för ursprungsspecificerad el ()",Miljö!$B$1:$J$1,0),FALSE)/1,0))</f>
        <v>0</v>
      </c>
      <c r="AQ215" s="227">
        <f t="shared" si="19"/>
        <v>1</v>
      </c>
      <c r="AR215" s="227"/>
      <c r="AS215" s="227" t="str">
        <f t="shared" si="20"/>
        <v>Nej</v>
      </c>
      <c r="AT215" s="227" t="str">
        <f>IF(AS215="ja",VLOOKUP($B215,Miljö!$B$1:$O$500,MATCH("Fossil andel i procent (%)",Miljö!$B$1:$O$1,0),FALSE)/100,"")</f>
        <v/>
      </c>
      <c r="AU215" s="227"/>
      <c r="AV215" s="227" t="str">
        <f t="shared" si="21"/>
        <v>Nej</v>
      </c>
      <c r="AW215" s="227" t="str">
        <f>IF(AV215="ja",VLOOKUP($B215,'Egen hetvattenprod'!$B$1:$AO$500,MATCH("Värmekälla till värmepumpar ()",'Egen hetvattenprod'!$B$1:$AO$1,0),FALSE),"")</f>
        <v/>
      </c>
      <c r="AX215" s="227"/>
      <c r="AY215" s="227" t="str">
        <f t="shared" si="22"/>
        <v>Ja</v>
      </c>
      <c r="AZ215" s="228">
        <f>IF($AY215="ja",(VLOOKUP($B215,'Egen hetvattenprod'!$B$1:$BX$550,MATCH(AZ$2,'Egen hetvattenprod'!$B$1:$BX$1,0),FALSE)+VLOOKUP($B215,Kraftvärmeprod!$B$1:$BX$550,MATCH(AZ$2,Kraftvärmeprod!$B$1:$BX$1,0),FALSE))/$AC215,"")</f>
        <v>1</v>
      </c>
      <c r="BA215" s="228">
        <f>IF($AY215="ja",(VLOOKUP($B215,'Egen hetvattenprod'!$B$1:$BX$550,MATCH(BA$2,'Egen hetvattenprod'!$B$1:$BX$1,0),FALSE)+VLOOKUP($B215,Kraftvärmeprod!$B$1:$BX$550,MATCH(BA$2,Kraftvärmeprod!$B$1:$BX$1,0),FALSE))/$AC215,"")</f>
        <v>0</v>
      </c>
      <c r="BB215" s="228">
        <f>IF($AY215="ja",(VLOOKUP($B215,'Egen hetvattenprod'!$B$1:$BX$550,MATCH(BB$2,'Egen hetvattenprod'!$B$1:$BX$1,0),FALSE)+VLOOKUP($B215,Kraftvärmeprod!$B$1:$BX$550,MATCH(BB$2,Kraftvärmeprod!$B$1:$BX$1,0),FALSE))/$AC215,"")</f>
        <v>0</v>
      </c>
      <c r="BC215" s="228">
        <f>IF($AY215="ja",(VLOOKUP($B215,'Egen hetvattenprod'!$B$1:$BX$550,MATCH(BC$2,'Egen hetvattenprod'!$B$1:$BX$1,0),FALSE)+VLOOKUP($B215,Kraftvärmeprod!$B$1:$BX$550,MATCH(BC$2,Kraftvärmeprod!$B$1:$BX$1,0),FALSE))/$AC215,"")</f>
        <v>0</v>
      </c>
      <c r="BD215" s="228">
        <f>IF($AY215="ja",(VLOOKUP($B215,'Egen hetvattenprod'!$B$1:$BX$550,MATCH(BD$2,'Egen hetvattenprod'!$B$1:$BX$1,0),FALSE)+VLOOKUP($B215,Kraftvärmeprod!$B$1:$BX$550,MATCH(BD$2,Kraftvärmeprod!$B$1:$BX$1,0),FALSE))/$AC215,"")</f>
        <v>0</v>
      </c>
      <c r="BE215" s="227"/>
      <c r="BF215" s="227" t="str">
        <f t="shared" si="23"/>
        <v>Nej</v>
      </c>
      <c r="BG215" s="227" t="str">
        <f>IF($BF215="ja",VLOOKUP($B215,'Egen hetvattenprod'!$B$1:$BX$550,MATCH("Andelen klimatgaser med fossilt ursprung för avfall ()",'Egen hetvattenprod'!$B$1:$BX$1,0),FALSE),"")</f>
        <v/>
      </c>
      <c r="BH215" s="227" t="str">
        <f>IF($BF215="ja",VLOOKUP($B215,Kraftvärmeprod!$B$1:$BX$550,MATCH("Andelen klimatgaser med fossilt ursprung för avfall ()",Kraftvärmeprod!$B$1:$BX$1,0),FALSE),"")</f>
        <v/>
      </c>
      <c r="BI215" s="227" t="str">
        <f>IF($BF215="ja",VLOOKUP($B215,'Egen hetvattenprod'!$B$1:$BX$550,MATCH("Avfall (GWh)",'Egen hetvattenprod'!$B$1:$BX$1,0),FALSE),"")</f>
        <v/>
      </c>
      <c r="BJ215" s="227" t="str">
        <f>IF($BF215="ja",VLOOKUP($B215,'Slutlig allokering kvv'!$B$1:$BX$550,MATCH("Avfall (GWh)",'Slutlig allokering kvv'!$B$1:$BX$1,0),FALSE),"")</f>
        <v/>
      </c>
      <c r="BK215" s="227" t="str">
        <f>IF($BF215="ja",VLOOKUP($B215,'Köpt hetvatten'!$B$1:$BX$550,MATCH("Avfall i köpt hetvatten",'Köpt hetvatten'!$B$1:$BX$1,0),FALSE),"")</f>
        <v/>
      </c>
      <c r="BL215" s="227" t="str">
        <f>IF($BF215="ja",VLOOKUP($B215,'Egen hetvattenprod'!$B$1:$BX$550,MATCH("Värde enligt ovan. (%)",'Egen hetvattenprod'!$B$1:$BX$1,0),FALSE),"")</f>
        <v/>
      </c>
      <c r="BM215" s="227" t="str">
        <f>IF($BF215="ja",VLOOKUP($B215,Kraftvärmeprod!$B$1:$BX$550,MATCH("Värde enligt ovan. (%)",Kraftvärmeprod!$B$1:$BX$1,0),FALSE),"")</f>
        <v/>
      </c>
      <c r="BN215" s="227"/>
      <c r="BO215" s="227"/>
      <c r="BP215" s="227"/>
      <c r="BQ215" s="227" t="str">
        <f>IF($BF215="ja",VLOOKUP($B215,'Egen hetvattenprod'!$B$1:$BX$550,MATCH("Tillförd olja (fossil) vid avfallsförbränning (GWh)",'Egen hetvattenprod'!$B$1:$BX$1,0),FALSE),"")</f>
        <v/>
      </c>
      <c r="BR215" s="227" t="str">
        <f>IF($BF215="ja",VLOOKUP($B215,Kraftvärmeprod!$B$1:$BX$550,MATCH("Tillförd olja (fossil) vid avfallsförbränning (GWh)",Kraftvärmeprod!$B$1:$BX$1,0),FALSE),"")</f>
        <v/>
      </c>
      <c r="BS215" s="227"/>
      <c r="BT215" s="227"/>
      <c r="BU215" s="227"/>
    </row>
    <row r="216" spans="1:73" x14ac:dyDescent="0.25">
      <c r="A216" s="121" t="str">
        <f>'Miljövärden för publ företag'!B219</f>
        <v>Skara Energi AB</v>
      </c>
      <c r="B216" s="121" t="str">
        <f>'Miljövärden för publ företag'!C219</f>
        <v>Skara</v>
      </c>
      <c r="C216" s="173">
        <f>IFERROR(VLOOKUP($B216,Totalt!$B$1:$AQ$554,MATCH(C$2,Totalt!$B$1:$AQ$1,0),FALSE),"")</f>
        <v>0</v>
      </c>
      <c r="D216" s="173">
        <f>IFERROR(VLOOKUP($B216,Totalt!$B$1:$AQ$554,MATCH(D$2,Totalt!$B$1:$AQ$1,0),FALSE),"")</f>
        <v>0.6</v>
      </c>
      <c r="E216" s="173">
        <f>IFERROR(VLOOKUP($B216,Totalt!$B$1:$AQ$554,MATCH(E$2,Totalt!$B$1:$AQ$1,0),FALSE),"")</f>
        <v>0</v>
      </c>
      <c r="F216" s="173">
        <f>IFERROR(VLOOKUP($B216,Totalt!$B$1:$AQ$554,MATCH(F$2,Totalt!$B$1:$AQ$1,0),FALSE),"")</f>
        <v>0</v>
      </c>
      <c r="G216" s="173">
        <f>IFERROR(VLOOKUP($B216,Totalt!$B$1:$AQ$554,MATCH(G$2,Totalt!$B$1:$AQ$1,0),FALSE),"")</f>
        <v>0</v>
      </c>
      <c r="H216" s="173">
        <f>IFERROR(VLOOKUP($B216,Totalt!$B$1:$AQ$554,MATCH(H$2,Totalt!$B$1:$AQ$1,0),FALSE),"")</f>
        <v>0</v>
      </c>
      <c r="I216" s="173">
        <f>IFERROR(VLOOKUP($B216,Totalt!$B$1:$AQ$554,MATCH(I$2,Totalt!$B$1:$AQ$1,0),FALSE),"")</f>
        <v>0</v>
      </c>
      <c r="J216" s="173">
        <f>IFERROR(VLOOKUP($B216,Totalt!$B$1:$AQ$554,MATCH(J$2,Totalt!$B$1:$AQ$1,0),FALSE),"")</f>
        <v>0</v>
      </c>
      <c r="K216" s="173">
        <f>IFERROR(VLOOKUP($B216,Totalt!$B$1:$AQ$554,MATCH(K$2,Totalt!$B$1:$AQ$1,0),FALSE),"")</f>
        <v>0</v>
      </c>
      <c r="L216" s="173">
        <f>IFERROR(VLOOKUP($B216,Totalt!$B$1:$AQ$554,MATCH(L$2,Totalt!$B$1:$AQ$1,0),FALSE),"")</f>
        <v>0</v>
      </c>
      <c r="M216" s="173">
        <f>IFERROR(VLOOKUP($B216,Totalt!$B$1:$AQ$554,MATCH(M$2,Totalt!$B$1:$AQ$1,0),FALSE),"")</f>
        <v>22.1</v>
      </c>
      <c r="N216" s="173">
        <f>IFERROR(VLOOKUP($B216,Totalt!$B$1:$AQ$554,MATCH(N$2,Totalt!$B$1:$AQ$1,0),FALSE),"")</f>
        <v>69.8</v>
      </c>
      <c r="O216" s="173">
        <f>IFERROR(VLOOKUP($B216,Totalt!$B$1:$AQ$554,MATCH(O$2,Totalt!$B$1:$AQ$1,0),FALSE),"")</f>
        <v>0</v>
      </c>
      <c r="P216" s="173">
        <f>IFERROR(VLOOKUP($B216,Totalt!$B$1:$AQ$554,MATCH(P$2,Totalt!$B$1:$AQ$1,0),FALSE),"")</f>
        <v>1.1000000000000001</v>
      </c>
      <c r="Q216" s="173">
        <f>IFERROR(VLOOKUP($B216,Totalt!$B$1:$AQ$554,MATCH(Q$2,Totalt!$B$1:$AQ$1,0),FALSE),"")</f>
        <v>0</v>
      </c>
      <c r="R216" s="173">
        <f>IFERROR(VLOOKUP($B216,Totalt!$B$1:$AQ$554,MATCH(R$2,Totalt!$B$1:$AQ$1,0),FALSE),"")</f>
        <v>0</v>
      </c>
      <c r="S216" s="173">
        <f>IFERROR(VLOOKUP($B216,Totalt!$B$1:$AQ$554,MATCH(S$2,Totalt!$B$1:$AQ$1,0),FALSE),"")</f>
        <v>0</v>
      </c>
      <c r="T216" s="173">
        <f>IFERROR(VLOOKUP($B216,Totalt!$B$1:$AQ$554,MATCH(T$2,Totalt!$B$1:$AQ$1,0),FALSE),"")</f>
        <v>0</v>
      </c>
      <c r="U216" s="173">
        <f>IFERROR(VLOOKUP($B216,Totalt!$B$1:$AQ$554,MATCH(U$2,Totalt!$B$1:$AQ$1,0),FALSE),"")</f>
        <v>0</v>
      </c>
      <c r="V216" s="173">
        <f>IFERROR(VLOOKUP($B216,Totalt!$B$1:$AQ$554,MATCH(V$2,Totalt!$B$1:$AQ$1,0),FALSE),"")</f>
        <v>0</v>
      </c>
      <c r="W216" s="173">
        <f>IFERROR(VLOOKUP($B216,Totalt!$B$1:$AQ$554,MATCH(W$2,Totalt!$B$1:$AQ$1,0),FALSE),"")</f>
        <v>0</v>
      </c>
      <c r="X216" s="173">
        <f>IFERROR(VLOOKUP($B216,Totalt!$B$1:$AQ$554,MATCH(X$2,Totalt!$B$1:$AQ$1,0),FALSE),"")</f>
        <v>0</v>
      </c>
      <c r="Y216" s="173">
        <f>IFERROR(VLOOKUP($B216,Totalt!$B$1:$AQ$554,MATCH(Y$2,Totalt!$B$1:$AQ$1,0),FALSE),"")</f>
        <v>0</v>
      </c>
      <c r="Z216" s="173">
        <f>IFERROR(VLOOKUP($B216,Totalt!$B$1:$AQ$554,MATCH(Z$2,Totalt!$B$1:$AQ$1,0),FALSE),"")</f>
        <v>0</v>
      </c>
      <c r="AA216" s="173">
        <f>IFERROR(VLOOKUP($B216,Totalt!$B$1:$AQ$554,MATCH(AA$2,Totalt!$B$1:$AQ$1,0),FALSE),"")</f>
        <v>0</v>
      </c>
      <c r="AB216" s="173">
        <f>IFERROR(VLOOKUP($B216,Totalt!$B$1:$AQ$554,MATCH(AB$2,Totalt!$B$1:$AQ$1,0),FALSE),"")</f>
        <v>0</v>
      </c>
      <c r="AC216" s="173">
        <f>IFERROR(VLOOKUP($B216,Totalt!$B$1:$AQ$554,MATCH(AC$2,Totalt!$B$1:$AQ$1,0),FALSE),"")</f>
        <v>14.3</v>
      </c>
      <c r="AD216" s="173">
        <f>IFERROR(VLOOKUP($B216,Totalt!$B$1:$AQ$554,MATCH(AD$2,Totalt!$B$1:$AQ$1,0),FALSE),"")</f>
        <v>0</v>
      </c>
      <c r="AE216" s="173">
        <f>IFERROR(VLOOKUP($B216,Totalt!$B$1:$AQ$554,MATCH(AE$2,Totalt!$B$1:$AQ$1,0),FALSE),"")</f>
        <v>0</v>
      </c>
      <c r="AF216" s="173">
        <f>IFERROR(VLOOKUP($B216,Totalt!$B$1:$AQ$554,MATCH(AF$2,Totalt!$B$1:$AQ$1,0),FALSE),"")</f>
        <v>1.94</v>
      </c>
      <c r="AG216" s="173">
        <f>IFERROR(VLOOKUP($B216,Totalt!$B$1:$AQ$554,MATCH(AG$2,Totalt!$B$1:$AQ$1,0),FALSE),"")</f>
        <v>0</v>
      </c>
      <c r="AI216" s="226">
        <f t="shared" si="18"/>
        <v>109.83999999999999</v>
      </c>
      <c r="AJ216" s="226">
        <f>IF(ISERROR(1/VLOOKUP($B216,Leveranser!$B$1:$S$500,MATCH("såld värme (gwh)",Leveranser!$B$1:$S$1,0),FALSE)),"",VLOOKUP($B216,Leveranser!$B$1:$S$500,MATCH("såld värme (gwh)",Leveranser!$B$1:$S$1,0),FALSE))</f>
        <v>88.4</v>
      </c>
      <c r="AM216" s="227" t="str">
        <f>IF(B216&lt;&gt;"",IF(VLOOKUP($B216,Totalt!$B$1:$AQ$554,MATCH("Kvalitetsgranskad:",Totalt!$B$1:$AQ$1,0),FALSE)="ja",VLOOKUP($B216,Miljö!$B$1:$AG$479,MATCH(AM$2,Miljö!$B$1:$AK$1,0),FALSE),""),"")</f>
        <v>Nej</v>
      </c>
      <c r="AN216" s="227" t="str">
        <f>IF(AM216="ja",VLOOKUP($B216,Miljö!$B$1:$J$479,MATCH("Typ av ursprungsspecificerad el   (Om inget värde anges används Nordisk residualmix, se inforuta) ()",Miljö!$B$1:$J$1,0),FALSE),IF(AM216="nej","Nordisk residualel",""))</f>
        <v>Nordisk residualel</v>
      </c>
      <c r="AO216" s="227">
        <f>IF(AM216="","",VLOOKUP($B216,Miljö!$B$1:$J$479,MATCH("Fossilandel för ursprungspecificerad el ()",Miljö!$B$1:$J$1,0),FALSE))</f>
        <v>0.43</v>
      </c>
      <c r="AP216" s="227">
        <f>IF(AM216="","",IFERROR(VLOOKUP($B216,Miljö!$B$1:$J$479,MATCH("Kärnkraftsandel för ursprungsspecificerad el ()",Miljö!$B$1:$J$1,0),FALSE)/1,0))</f>
        <v>0.40550000000000003</v>
      </c>
      <c r="AQ216" s="227">
        <f t="shared" si="19"/>
        <v>0.16450000000000004</v>
      </c>
      <c r="AR216" s="227"/>
      <c r="AS216" s="227" t="str">
        <f t="shared" si="20"/>
        <v>Nej</v>
      </c>
      <c r="AT216" s="227" t="str">
        <f>IF(AS216="ja",VLOOKUP($B216,Miljö!$B$1:$O$500,MATCH("Fossil andel i procent (%)",Miljö!$B$1:$O$1,0),FALSE)/100,"")</f>
        <v/>
      </c>
      <c r="AU216" s="227"/>
      <c r="AV216" s="227" t="str">
        <f t="shared" si="21"/>
        <v>Nej</v>
      </c>
      <c r="AW216" s="227" t="str">
        <f>IF(AV216="ja",VLOOKUP($B216,'Egen hetvattenprod'!$B$1:$AO$500,MATCH("Värmekälla till värmepumpar ()",'Egen hetvattenprod'!$B$1:$AO$1,0),FALSE),"")</f>
        <v/>
      </c>
      <c r="AX216" s="227"/>
      <c r="AY216" s="227" t="str">
        <f t="shared" si="22"/>
        <v>Ja</v>
      </c>
      <c r="AZ216" s="228">
        <f>IF($AY216="ja",(VLOOKUP($B216,'Egen hetvattenprod'!$B$1:$BX$550,MATCH(AZ$2,'Egen hetvattenprod'!$B$1:$BX$1,0),FALSE)+VLOOKUP($B216,Kraftvärmeprod!$B$1:$BX$550,MATCH(AZ$2,Kraftvärmeprod!$B$1:$BX$1,0),FALSE))/$AC216,"")</f>
        <v>0</v>
      </c>
      <c r="BA216" s="228">
        <f>IF($AY216="ja",(VLOOKUP($B216,'Egen hetvattenprod'!$B$1:$BX$550,MATCH(BA$2,'Egen hetvattenprod'!$B$1:$BX$1,0),FALSE)+VLOOKUP($B216,Kraftvärmeprod!$B$1:$BX$550,MATCH(BA$2,Kraftvärmeprod!$B$1:$BX$1,0),FALSE))/$AC216,"")</f>
        <v>0</v>
      </c>
      <c r="BB216" s="228">
        <f>IF($AY216="ja",(VLOOKUP($B216,'Egen hetvattenprod'!$B$1:$BX$550,MATCH(BB$2,'Egen hetvattenprod'!$B$1:$BX$1,0),FALSE)+VLOOKUP($B216,Kraftvärmeprod!$B$1:$BX$550,MATCH(BB$2,Kraftvärmeprod!$B$1:$BX$1,0),FALSE))/$AC216,"")</f>
        <v>0</v>
      </c>
      <c r="BC216" s="228">
        <f>IF($AY216="ja",(VLOOKUP($B216,'Egen hetvattenprod'!$B$1:$BX$550,MATCH(BC$2,'Egen hetvattenprod'!$B$1:$BX$1,0),FALSE)+VLOOKUP($B216,Kraftvärmeprod!$B$1:$BX$550,MATCH(BC$2,Kraftvärmeprod!$B$1:$BX$1,0),FALSE))/$AC216,"")</f>
        <v>0</v>
      </c>
      <c r="BD216" s="228">
        <f>IF($AY216="ja",(VLOOKUP($B216,'Egen hetvattenprod'!$B$1:$BX$550,MATCH(BD$2,'Egen hetvattenprod'!$B$1:$BX$1,0),FALSE)+VLOOKUP($B216,Kraftvärmeprod!$B$1:$BX$550,MATCH(BD$2,Kraftvärmeprod!$B$1:$BX$1,0),FALSE))/$AC216,"")</f>
        <v>1</v>
      </c>
      <c r="BE216" s="227"/>
      <c r="BF216" s="227" t="str">
        <f t="shared" si="23"/>
        <v>Nej</v>
      </c>
      <c r="BG216" s="227" t="str">
        <f>IF($BF216="ja",VLOOKUP($B216,'Egen hetvattenprod'!$B$1:$BX$550,MATCH("Andelen klimatgaser med fossilt ursprung för avfall ()",'Egen hetvattenprod'!$B$1:$BX$1,0),FALSE),"")</f>
        <v/>
      </c>
      <c r="BH216" s="227" t="str">
        <f>IF($BF216="ja",VLOOKUP($B216,Kraftvärmeprod!$B$1:$BX$550,MATCH("Andelen klimatgaser med fossilt ursprung för avfall ()",Kraftvärmeprod!$B$1:$BX$1,0),FALSE),"")</f>
        <v/>
      </c>
      <c r="BI216" s="227" t="str">
        <f>IF($BF216="ja",VLOOKUP($B216,'Egen hetvattenprod'!$B$1:$BX$550,MATCH("Avfall (GWh)",'Egen hetvattenprod'!$B$1:$BX$1,0),FALSE),"")</f>
        <v/>
      </c>
      <c r="BJ216" s="227" t="str">
        <f>IF($BF216="ja",VLOOKUP($B216,'Slutlig allokering kvv'!$B$1:$BX$550,MATCH("Avfall (GWh)",'Slutlig allokering kvv'!$B$1:$BX$1,0),FALSE),"")</f>
        <v/>
      </c>
      <c r="BK216" s="227" t="str">
        <f>IF($BF216="ja",VLOOKUP($B216,'Köpt hetvatten'!$B$1:$BX$550,MATCH("Avfall i köpt hetvatten",'Köpt hetvatten'!$B$1:$BX$1,0),FALSE),"")</f>
        <v/>
      </c>
      <c r="BL216" s="227" t="str">
        <f>IF($BF216="ja",VLOOKUP($B216,'Egen hetvattenprod'!$B$1:$BX$550,MATCH("Värde enligt ovan. (%)",'Egen hetvattenprod'!$B$1:$BX$1,0),FALSE),"")</f>
        <v/>
      </c>
      <c r="BM216" s="227" t="str">
        <f>IF($BF216="ja",VLOOKUP($B216,Kraftvärmeprod!$B$1:$BX$550,MATCH("Värde enligt ovan. (%)",Kraftvärmeprod!$B$1:$BX$1,0),FALSE),"")</f>
        <v/>
      </c>
      <c r="BN216" s="227"/>
      <c r="BO216" s="227"/>
      <c r="BP216" s="227"/>
      <c r="BQ216" s="227" t="str">
        <f>IF($BF216="ja",VLOOKUP($B216,'Egen hetvattenprod'!$B$1:$BX$550,MATCH("Tillförd olja (fossil) vid avfallsförbränning (GWh)",'Egen hetvattenprod'!$B$1:$BX$1,0),FALSE),"")</f>
        <v/>
      </c>
      <c r="BR216" s="227" t="str">
        <f>IF($BF216="ja",VLOOKUP($B216,Kraftvärmeprod!$B$1:$BX$550,MATCH("Tillförd olja (fossil) vid avfallsförbränning (GWh)",Kraftvärmeprod!$B$1:$BX$1,0),FALSE),"")</f>
        <v/>
      </c>
      <c r="BS216" s="227"/>
      <c r="BT216" s="227"/>
      <c r="BU216" s="227"/>
    </row>
    <row r="217" spans="1:73" x14ac:dyDescent="0.25">
      <c r="A217" s="121" t="str">
        <f>'Miljövärden för publ företag'!B220</f>
        <v>Skellefteå Kraft AB</v>
      </c>
      <c r="B217" s="121" t="str">
        <f>'Miljövärden för publ företag'!C220</f>
        <v>Boliden</v>
      </c>
      <c r="C217" s="173">
        <f>IFERROR(VLOOKUP($B217,Totalt!$B$1:$AQ$554,MATCH(C$2,Totalt!$B$1:$AQ$1,0),FALSE),"")</f>
        <v>0</v>
      </c>
      <c r="D217" s="173">
        <f>IFERROR(VLOOKUP($B217,Totalt!$B$1:$AQ$554,MATCH(D$2,Totalt!$B$1:$AQ$1,0),FALSE),"")</f>
        <v>0.16500000000000001</v>
      </c>
      <c r="E217" s="173">
        <f>IFERROR(VLOOKUP($B217,Totalt!$B$1:$AQ$554,MATCH(E$2,Totalt!$B$1:$AQ$1,0),FALSE),"")</f>
        <v>0</v>
      </c>
      <c r="F217" s="173">
        <f>IFERROR(VLOOKUP($B217,Totalt!$B$1:$AQ$554,MATCH(F$2,Totalt!$B$1:$AQ$1,0),FALSE),"")</f>
        <v>0</v>
      </c>
      <c r="G217" s="173">
        <f>IFERROR(VLOOKUP($B217,Totalt!$B$1:$AQ$554,MATCH(G$2,Totalt!$B$1:$AQ$1,0),FALSE),"")</f>
        <v>0</v>
      </c>
      <c r="H217" s="173">
        <f>IFERROR(VLOOKUP($B217,Totalt!$B$1:$AQ$554,MATCH(H$2,Totalt!$B$1:$AQ$1,0),FALSE),"")</f>
        <v>0</v>
      </c>
      <c r="I217" s="173">
        <f>IFERROR(VLOOKUP($B217,Totalt!$B$1:$AQ$554,MATCH(I$2,Totalt!$B$1:$AQ$1,0),FALSE),"")</f>
        <v>0</v>
      </c>
      <c r="J217" s="173">
        <f>IFERROR(VLOOKUP($B217,Totalt!$B$1:$AQ$554,MATCH(J$2,Totalt!$B$1:$AQ$1,0),FALSE),"")</f>
        <v>0</v>
      </c>
      <c r="K217" s="173">
        <f>IFERROR(VLOOKUP($B217,Totalt!$B$1:$AQ$554,MATCH(K$2,Totalt!$B$1:$AQ$1,0),FALSE),"")</f>
        <v>0</v>
      </c>
      <c r="L217" s="173">
        <f>IFERROR(VLOOKUP($B217,Totalt!$B$1:$AQ$554,MATCH(L$2,Totalt!$B$1:$AQ$1,0),FALSE),"")</f>
        <v>0</v>
      </c>
      <c r="M217" s="173">
        <f>IFERROR(VLOOKUP($B217,Totalt!$B$1:$AQ$554,MATCH(M$2,Totalt!$B$1:$AQ$1,0),FALSE),"")</f>
        <v>0</v>
      </c>
      <c r="N217" s="173">
        <f>IFERROR(VLOOKUP($B217,Totalt!$B$1:$AQ$554,MATCH(N$2,Totalt!$B$1:$AQ$1,0),FALSE),"")</f>
        <v>0</v>
      </c>
      <c r="O217" s="173">
        <f>IFERROR(VLOOKUP($B217,Totalt!$B$1:$AQ$554,MATCH(O$2,Totalt!$B$1:$AQ$1,0),FALSE),"")</f>
        <v>0</v>
      </c>
      <c r="P217" s="173">
        <f>IFERROR(VLOOKUP($B217,Totalt!$B$1:$AQ$554,MATCH(P$2,Totalt!$B$1:$AQ$1,0),FALSE),"")</f>
        <v>0</v>
      </c>
      <c r="Q217" s="173">
        <f>IFERROR(VLOOKUP($B217,Totalt!$B$1:$AQ$554,MATCH(Q$2,Totalt!$B$1:$AQ$1,0),FALSE),"")</f>
        <v>0</v>
      </c>
      <c r="R217" s="173">
        <f>IFERROR(VLOOKUP($B217,Totalt!$B$1:$AQ$554,MATCH(R$2,Totalt!$B$1:$AQ$1,0),FALSE),"")</f>
        <v>9.6039999999999992</v>
      </c>
      <c r="S217" s="173">
        <f>IFERROR(VLOOKUP($B217,Totalt!$B$1:$AQ$554,MATCH(S$2,Totalt!$B$1:$AQ$1,0),FALSE),"")</f>
        <v>0</v>
      </c>
      <c r="T217" s="173">
        <f>IFERROR(VLOOKUP($B217,Totalt!$B$1:$AQ$554,MATCH(T$2,Totalt!$B$1:$AQ$1,0),FALSE),"")</f>
        <v>0</v>
      </c>
      <c r="U217" s="173">
        <f>IFERROR(VLOOKUP($B217,Totalt!$B$1:$AQ$554,MATCH(U$2,Totalt!$B$1:$AQ$1,0),FALSE),"")</f>
        <v>0</v>
      </c>
      <c r="V217" s="173">
        <f>IFERROR(VLOOKUP($B217,Totalt!$B$1:$AQ$554,MATCH(V$2,Totalt!$B$1:$AQ$1,0),FALSE),"")</f>
        <v>0</v>
      </c>
      <c r="W217" s="173">
        <f>IFERROR(VLOOKUP($B217,Totalt!$B$1:$AQ$554,MATCH(W$2,Totalt!$B$1:$AQ$1,0),FALSE),"")</f>
        <v>0</v>
      </c>
      <c r="X217" s="173">
        <f>IFERROR(VLOOKUP($B217,Totalt!$B$1:$AQ$554,MATCH(X$2,Totalt!$B$1:$AQ$1,0),FALSE),"")</f>
        <v>0</v>
      </c>
      <c r="Y217" s="173">
        <f>IFERROR(VLOOKUP($B217,Totalt!$B$1:$AQ$554,MATCH(Y$2,Totalt!$B$1:$AQ$1,0),FALSE),"")</f>
        <v>0</v>
      </c>
      <c r="Z217" s="173">
        <f>IFERROR(VLOOKUP($B217,Totalt!$B$1:$AQ$554,MATCH(Z$2,Totalt!$B$1:$AQ$1,0),FALSE),"")</f>
        <v>3.0000000000000001E-3</v>
      </c>
      <c r="AA217" s="173">
        <f>IFERROR(VLOOKUP($B217,Totalt!$B$1:$AQ$554,MATCH(AA$2,Totalt!$B$1:$AQ$1,0),FALSE),"")</f>
        <v>0</v>
      </c>
      <c r="AB217" s="173">
        <f>IFERROR(VLOOKUP($B217,Totalt!$B$1:$AQ$554,MATCH(AB$2,Totalt!$B$1:$AQ$1,0),FALSE),"")</f>
        <v>0</v>
      </c>
      <c r="AC217" s="173">
        <f>IFERROR(VLOOKUP($B217,Totalt!$B$1:$AQ$554,MATCH(AC$2,Totalt!$B$1:$AQ$1,0),FALSE),"")</f>
        <v>0</v>
      </c>
      <c r="AD217" s="173">
        <f>IFERROR(VLOOKUP($B217,Totalt!$B$1:$AQ$554,MATCH(AD$2,Totalt!$B$1:$AQ$1,0),FALSE),"")</f>
        <v>0</v>
      </c>
      <c r="AE217" s="173">
        <f>IFERROR(VLOOKUP($B217,Totalt!$B$1:$AQ$554,MATCH(AE$2,Totalt!$B$1:$AQ$1,0),FALSE),"")</f>
        <v>0</v>
      </c>
      <c r="AF217" s="173">
        <f>IFERROR(VLOOKUP($B217,Totalt!$B$1:$AQ$554,MATCH(AF$2,Totalt!$B$1:$AQ$1,0),FALSE),"")</f>
        <v>0.13100000000000001</v>
      </c>
      <c r="AG217" s="173">
        <f>IFERROR(VLOOKUP($B217,Totalt!$B$1:$AQ$554,MATCH(AG$2,Totalt!$B$1:$AQ$1,0),FALSE),"")</f>
        <v>0</v>
      </c>
      <c r="AI217" s="226">
        <f t="shared" si="18"/>
        <v>9.9029999999999987</v>
      </c>
      <c r="AJ217" s="226">
        <f>IF(ISERROR(1/VLOOKUP($B217,Leveranser!$B$1:$S$500,MATCH("såld värme (gwh)",Leveranser!$B$1:$S$1,0),FALSE)),"",VLOOKUP($B217,Leveranser!$B$1:$S$500,MATCH("såld värme (gwh)",Leveranser!$B$1:$S$1,0),FALSE))</f>
        <v>7.9029999999999996</v>
      </c>
      <c r="AM217" s="227" t="str">
        <f>IF(B217&lt;&gt;"",IF(VLOOKUP($B217,Totalt!$B$1:$AQ$554,MATCH("Kvalitetsgranskad:",Totalt!$B$1:$AQ$1,0),FALSE)="ja",VLOOKUP($B217,Miljö!$B$1:$AG$479,MATCH(AM$2,Miljö!$B$1:$AK$1,0),FALSE),""),"")</f>
        <v>Ja</v>
      </c>
      <c r="AN217" s="227" t="str">
        <f>IF(AM217="ja",VLOOKUP($B217,Miljö!$B$1:$J$479,MATCH("Typ av ursprungsspecificerad el   (Om inget värde anges används Nordisk residualmix, se inforuta) ()",Miljö!$B$1:$J$1,0),FALSE),IF(AM217="nej","Nordisk residualel",""))</f>
        <v>'vatten. vind. bio'</v>
      </c>
      <c r="AO217" s="227">
        <f>IF(AM217="","",VLOOKUP($B217,Miljö!$B$1:$J$479,MATCH("Fossilandel för ursprungspecificerad el ()",Miljö!$B$1:$J$1,0),FALSE))</f>
        <v>0</v>
      </c>
      <c r="AP217" s="227">
        <f>IF(AM217="","",IFERROR(VLOOKUP($B217,Miljö!$B$1:$J$479,MATCH("Kärnkraftsandel för ursprungsspecificerad el ()",Miljö!$B$1:$J$1,0),FALSE)/1,0))</f>
        <v>0</v>
      </c>
      <c r="AQ217" s="227">
        <f t="shared" si="19"/>
        <v>1</v>
      </c>
      <c r="AR217" s="227"/>
      <c r="AS217" s="227" t="str">
        <f t="shared" si="20"/>
        <v>Nej</v>
      </c>
      <c r="AT217" s="227" t="str">
        <f>IF(AS217="ja",VLOOKUP($B217,Miljö!$B$1:$O$500,MATCH("Fossil andel i procent (%)",Miljö!$B$1:$O$1,0),FALSE)/100,"")</f>
        <v/>
      </c>
      <c r="AU217" s="227"/>
      <c r="AV217" s="227" t="str">
        <f t="shared" si="21"/>
        <v>Nej</v>
      </c>
      <c r="AW217" s="227" t="str">
        <f>IF(AV217="ja",VLOOKUP($B217,'Egen hetvattenprod'!$B$1:$AO$500,MATCH("Värmekälla till värmepumpar ()",'Egen hetvattenprod'!$B$1:$AO$1,0),FALSE),"")</f>
        <v/>
      </c>
      <c r="AX217" s="227"/>
      <c r="AY217" s="227" t="str">
        <f t="shared" si="22"/>
        <v>Nej</v>
      </c>
      <c r="AZ217" s="228" t="str">
        <f>IF($AY217="ja",(VLOOKUP($B217,'Egen hetvattenprod'!$B$1:$BX$550,MATCH(AZ$2,'Egen hetvattenprod'!$B$1:$BX$1,0),FALSE)+VLOOKUP($B217,Kraftvärmeprod!$B$1:$BX$550,MATCH(AZ$2,Kraftvärmeprod!$B$1:$BX$1,0),FALSE))/$AC217,"")</f>
        <v/>
      </c>
      <c r="BA217" s="228" t="str">
        <f>IF($AY217="ja",(VLOOKUP($B217,'Egen hetvattenprod'!$B$1:$BX$550,MATCH(BA$2,'Egen hetvattenprod'!$B$1:$BX$1,0),FALSE)+VLOOKUP($B217,Kraftvärmeprod!$B$1:$BX$550,MATCH(BA$2,Kraftvärmeprod!$B$1:$BX$1,0),FALSE))/$AC217,"")</f>
        <v/>
      </c>
      <c r="BB217" s="228" t="str">
        <f>IF($AY217="ja",(VLOOKUP($B217,'Egen hetvattenprod'!$B$1:$BX$550,MATCH(BB$2,'Egen hetvattenprod'!$B$1:$BX$1,0),FALSE)+VLOOKUP($B217,Kraftvärmeprod!$B$1:$BX$550,MATCH(BB$2,Kraftvärmeprod!$B$1:$BX$1,0),FALSE))/$AC217,"")</f>
        <v/>
      </c>
      <c r="BC217" s="228" t="str">
        <f>IF($AY217="ja",(VLOOKUP($B217,'Egen hetvattenprod'!$B$1:$BX$550,MATCH(BC$2,'Egen hetvattenprod'!$B$1:$BX$1,0),FALSE)+VLOOKUP($B217,Kraftvärmeprod!$B$1:$BX$550,MATCH(BC$2,Kraftvärmeprod!$B$1:$BX$1,0),FALSE))/$AC217,"")</f>
        <v/>
      </c>
      <c r="BD217" s="228" t="str">
        <f>IF($AY217="ja",(VLOOKUP($B217,'Egen hetvattenprod'!$B$1:$BX$550,MATCH(BD$2,'Egen hetvattenprod'!$B$1:$BX$1,0),FALSE)+VLOOKUP($B217,Kraftvärmeprod!$B$1:$BX$550,MATCH(BD$2,Kraftvärmeprod!$B$1:$BX$1,0),FALSE))/$AC217,"")</f>
        <v/>
      </c>
      <c r="BE217" s="227"/>
      <c r="BF217" s="227" t="str">
        <f t="shared" si="23"/>
        <v>Nej</v>
      </c>
      <c r="BG217" s="227" t="str">
        <f>IF($BF217="ja",VLOOKUP($B217,'Egen hetvattenprod'!$B$1:$BX$550,MATCH("Andelen klimatgaser med fossilt ursprung för avfall ()",'Egen hetvattenprod'!$B$1:$BX$1,0),FALSE),"")</f>
        <v/>
      </c>
      <c r="BH217" s="227" t="str">
        <f>IF($BF217="ja",VLOOKUP($B217,Kraftvärmeprod!$B$1:$BX$550,MATCH("Andelen klimatgaser med fossilt ursprung för avfall ()",Kraftvärmeprod!$B$1:$BX$1,0),FALSE),"")</f>
        <v/>
      </c>
      <c r="BI217" s="227" t="str">
        <f>IF($BF217="ja",VLOOKUP($B217,'Egen hetvattenprod'!$B$1:$BX$550,MATCH("Avfall (GWh)",'Egen hetvattenprod'!$B$1:$BX$1,0),FALSE),"")</f>
        <v/>
      </c>
      <c r="BJ217" s="227" t="str">
        <f>IF($BF217="ja",VLOOKUP($B217,'Slutlig allokering kvv'!$B$1:$BX$550,MATCH("Avfall (GWh)",'Slutlig allokering kvv'!$B$1:$BX$1,0),FALSE),"")</f>
        <v/>
      </c>
      <c r="BK217" s="227" t="str">
        <f>IF($BF217="ja",VLOOKUP($B217,'Köpt hetvatten'!$B$1:$BX$550,MATCH("Avfall i köpt hetvatten",'Köpt hetvatten'!$B$1:$BX$1,0),FALSE),"")</f>
        <v/>
      </c>
      <c r="BL217" s="227" t="str">
        <f>IF($BF217="ja",VLOOKUP($B217,'Egen hetvattenprod'!$B$1:$BX$550,MATCH("Värde enligt ovan. (%)",'Egen hetvattenprod'!$B$1:$BX$1,0),FALSE),"")</f>
        <v/>
      </c>
      <c r="BM217" s="227" t="str">
        <f>IF($BF217="ja",VLOOKUP($B217,Kraftvärmeprod!$B$1:$BX$550,MATCH("Värde enligt ovan. (%)",Kraftvärmeprod!$B$1:$BX$1,0),FALSE),"")</f>
        <v/>
      </c>
      <c r="BN217" s="227"/>
      <c r="BO217" s="227"/>
      <c r="BP217" s="227"/>
      <c r="BQ217" s="227" t="str">
        <f>IF($BF217="ja",VLOOKUP($B217,'Egen hetvattenprod'!$B$1:$BX$550,MATCH("Tillförd olja (fossil) vid avfallsförbränning (GWh)",'Egen hetvattenprod'!$B$1:$BX$1,0),FALSE),"")</f>
        <v/>
      </c>
      <c r="BR217" s="227" t="str">
        <f>IF($BF217="ja",VLOOKUP($B217,Kraftvärmeprod!$B$1:$BX$550,MATCH("Tillförd olja (fossil) vid avfallsförbränning (GWh)",Kraftvärmeprod!$B$1:$BX$1,0),FALSE),"")</f>
        <v/>
      </c>
      <c r="BS217" s="227"/>
      <c r="BT217" s="227"/>
      <c r="BU217" s="227"/>
    </row>
    <row r="218" spans="1:73" x14ac:dyDescent="0.25">
      <c r="A218" s="121" t="str">
        <f>'Miljövärden för publ företag'!B221</f>
        <v>Skellefteå Kraft AB</v>
      </c>
      <c r="B218" s="121" t="str">
        <f>'Miljövärden för publ företag'!C221</f>
        <v>Bureå</v>
      </c>
      <c r="C218" s="173">
        <f>IFERROR(VLOOKUP($B218,Totalt!$B$1:$AQ$554,MATCH(C$2,Totalt!$B$1:$AQ$1,0),FALSE),"")</f>
        <v>0</v>
      </c>
      <c r="D218" s="173">
        <f>IFERROR(VLOOKUP($B218,Totalt!$B$1:$AQ$554,MATCH(D$2,Totalt!$B$1:$AQ$1,0),FALSE),"")</f>
        <v>6.3E-2</v>
      </c>
      <c r="E218" s="173">
        <f>IFERROR(VLOOKUP($B218,Totalt!$B$1:$AQ$554,MATCH(E$2,Totalt!$B$1:$AQ$1,0),FALSE),"")</f>
        <v>0</v>
      </c>
      <c r="F218" s="173">
        <f>IFERROR(VLOOKUP($B218,Totalt!$B$1:$AQ$554,MATCH(F$2,Totalt!$B$1:$AQ$1,0),FALSE),"")</f>
        <v>0</v>
      </c>
      <c r="G218" s="173">
        <f>IFERROR(VLOOKUP($B218,Totalt!$B$1:$AQ$554,MATCH(G$2,Totalt!$B$1:$AQ$1,0),FALSE),"")</f>
        <v>0</v>
      </c>
      <c r="H218" s="173">
        <f>IFERROR(VLOOKUP($B218,Totalt!$B$1:$AQ$554,MATCH(H$2,Totalt!$B$1:$AQ$1,0),FALSE),"")</f>
        <v>0</v>
      </c>
      <c r="I218" s="173">
        <f>IFERROR(VLOOKUP($B218,Totalt!$B$1:$AQ$554,MATCH(I$2,Totalt!$B$1:$AQ$1,0),FALSE),"")</f>
        <v>0</v>
      </c>
      <c r="J218" s="173">
        <f>IFERROR(VLOOKUP($B218,Totalt!$B$1:$AQ$554,MATCH(J$2,Totalt!$B$1:$AQ$1,0),FALSE),"")</f>
        <v>0</v>
      </c>
      <c r="K218" s="173">
        <f>IFERROR(VLOOKUP($B218,Totalt!$B$1:$AQ$554,MATCH(K$2,Totalt!$B$1:$AQ$1,0),FALSE),"")</f>
        <v>0</v>
      </c>
      <c r="L218" s="173">
        <f>IFERROR(VLOOKUP($B218,Totalt!$B$1:$AQ$554,MATCH(L$2,Totalt!$B$1:$AQ$1,0),FALSE),"")</f>
        <v>0</v>
      </c>
      <c r="M218" s="173">
        <f>IFERROR(VLOOKUP($B218,Totalt!$B$1:$AQ$554,MATCH(M$2,Totalt!$B$1:$AQ$1,0),FALSE),"")</f>
        <v>0</v>
      </c>
      <c r="N218" s="173">
        <f>IFERROR(VLOOKUP($B218,Totalt!$B$1:$AQ$554,MATCH(N$2,Totalt!$B$1:$AQ$1,0),FALSE),"")</f>
        <v>0</v>
      </c>
      <c r="O218" s="173">
        <f>IFERROR(VLOOKUP($B218,Totalt!$B$1:$AQ$554,MATCH(O$2,Totalt!$B$1:$AQ$1,0),FALSE),"")</f>
        <v>0</v>
      </c>
      <c r="P218" s="173">
        <f>IFERROR(VLOOKUP($B218,Totalt!$B$1:$AQ$554,MATCH(P$2,Totalt!$B$1:$AQ$1,0),FALSE),"")</f>
        <v>0</v>
      </c>
      <c r="Q218" s="173">
        <f>IFERROR(VLOOKUP($B218,Totalt!$B$1:$AQ$554,MATCH(Q$2,Totalt!$B$1:$AQ$1,0),FALSE),"")</f>
        <v>0</v>
      </c>
      <c r="R218" s="173">
        <f>IFERROR(VLOOKUP($B218,Totalt!$B$1:$AQ$554,MATCH(R$2,Totalt!$B$1:$AQ$1,0),FALSE),"")</f>
        <v>10.4</v>
      </c>
      <c r="S218" s="173">
        <f>IFERROR(VLOOKUP($B218,Totalt!$B$1:$AQ$554,MATCH(S$2,Totalt!$B$1:$AQ$1,0),FALSE),"")</f>
        <v>0</v>
      </c>
      <c r="T218" s="173">
        <f>IFERROR(VLOOKUP($B218,Totalt!$B$1:$AQ$554,MATCH(T$2,Totalt!$B$1:$AQ$1,0),FALSE),"")</f>
        <v>0</v>
      </c>
      <c r="U218" s="173">
        <f>IFERROR(VLOOKUP($B218,Totalt!$B$1:$AQ$554,MATCH(U$2,Totalt!$B$1:$AQ$1,0),FALSE),"")</f>
        <v>0</v>
      </c>
      <c r="V218" s="173">
        <f>IFERROR(VLOOKUP($B218,Totalt!$B$1:$AQ$554,MATCH(V$2,Totalt!$B$1:$AQ$1,0),FALSE),"")</f>
        <v>0</v>
      </c>
      <c r="W218" s="173">
        <f>IFERROR(VLOOKUP($B218,Totalt!$B$1:$AQ$554,MATCH(W$2,Totalt!$B$1:$AQ$1,0),FALSE),"")</f>
        <v>0</v>
      </c>
      <c r="X218" s="173">
        <f>IFERROR(VLOOKUP($B218,Totalt!$B$1:$AQ$554,MATCH(X$2,Totalt!$B$1:$AQ$1,0),FALSE),"")</f>
        <v>0</v>
      </c>
      <c r="Y218" s="173">
        <f>IFERROR(VLOOKUP($B218,Totalt!$B$1:$AQ$554,MATCH(Y$2,Totalt!$B$1:$AQ$1,0),FALSE),"")</f>
        <v>0</v>
      </c>
      <c r="Z218" s="173">
        <f>IFERROR(VLOOKUP($B218,Totalt!$B$1:$AQ$554,MATCH(Z$2,Totalt!$B$1:$AQ$1,0),FALSE),"")</f>
        <v>0</v>
      </c>
      <c r="AA218" s="173">
        <f>IFERROR(VLOOKUP($B218,Totalt!$B$1:$AQ$554,MATCH(AA$2,Totalt!$B$1:$AQ$1,0),FALSE),"")</f>
        <v>0</v>
      </c>
      <c r="AB218" s="173">
        <f>IFERROR(VLOOKUP($B218,Totalt!$B$1:$AQ$554,MATCH(AB$2,Totalt!$B$1:$AQ$1,0),FALSE),"")</f>
        <v>0</v>
      </c>
      <c r="AC218" s="173">
        <f>IFERROR(VLOOKUP($B218,Totalt!$B$1:$AQ$554,MATCH(AC$2,Totalt!$B$1:$AQ$1,0),FALSE),"")</f>
        <v>0</v>
      </c>
      <c r="AD218" s="173">
        <f>IFERROR(VLOOKUP($B218,Totalt!$B$1:$AQ$554,MATCH(AD$2,Totalt!$B$1:$AQ$1,0),FALSE),"")</f>
        <v>0</v>
      </c>
      <c r="AE218" s="173">
        <f>IFERROR(VLOOKUP($B218,Totalt!$B$1:$AQ$554,MATCH(AE$2,Totalt!$B$1:$AQ$1,0),FALSE),"")</f>
        <v>0</v>
      </c>
      <c r="AF218" s="173">
        <f>IFERROR(VLOOKUP($B218,Totalt!$B$1:$AQ$554,MATCH(AF$2,Totalt!$B$1:$AQ$1,0),FALSE),"")</f>
        <v>0.104</v>
      </c>
      <c r="AG218" s="173">
        <f>IFERROR(VLOOKUP($B218,Totalt!$B$1:$AQ$554,MATCH(AG$2,Totalt!$B$1:$AQ$1,0),FALSE),"")</f>
        <v>0</v>
      </c>
      <c r="AI218" s="226">
        <f t="shared" si="18"/>
        <v>10.567</v>
      </c>
      <c r="AJ218" s="226">
        <f>IF(ISERROR(1/VLOOKUP($B218,Leveranser!$B$1:$S$500,MATCH("såld värme (gwh)",Leveranser!$B$1:$S$1,0),FALSE)),"",VLOOKUP($B218,Leveranser!$B$1:$S$500,MATCH("såld värme (gwh)",Leveranser!$B$1:$S$1,0),FALSE))</f>
        <v>7.8559999999999999</v>
      </c>
      <c r="AM218" s="227" t="str">
        <f>IF(B218&lt;&gt;"",IF(VLOOKUP($B218,Totalt!$B$1:$AQ$554,MATCH("Kvalitetsgranskad:",Totalt!$B$1:$AQ$1,0),FALSE)="ja",VLOOKUP($B218,Miljö!$B$1:$AG$479,MATCH(AM$2,Miljö!$B$1:$AK$1,0),FALSE),""),"")</f>
        <v>Ja</v>
      </c>
      <c r="AN218" s="227" t="str">
        <f>IF(AM218="ja",VLOOKUP($B218,Miljö!$B$1:$J$479,MATCH("Typ av ursprungsspecificerad el   (Om inget värde anges används Nordisk residualmix, se inforuta) ()",Miljö!$B$1:$J$1,0),FALSE),IF(AM218="nej","Nordisk residualel",""))</f>
        <v>'vatten. vind. bio'</v>
      </c>
      <c r="AO218" s="227">
        <f>IF(AM218="","",VLOOKUP($B218,Miljö!$B$1:$J$479,MATCH("Fossilandel för ursprungspecificerad el ()",Miljö!$B$1:$J$1,0),FALSE))</f>
        <v>0</v>
      </c>
      <c r="AP218" s="227">
        <f>IF(AM218="","",IFERROR(VLOOKUP($B218,Miljö!$B$1:$J$479,MATCH("Kärnkraftsandel för ursprungsspecificerad el ()",Miljö!$B$1:$J$1,0),FALSE)/1,0))</f>
        <v>0</v>
      </c>
      <c r="AQ218" s="227">
        <f t="shared" si="19"/>
        <v>1</v>
      </c>
      <c r="AR218" s="227"/>
      <c r="AS218" s="227" t="str">
        <f t="shared" si="20"/>
        <v>Nej</v>
      </c>
      <c r="AT218" s="227" t="str">
        <f>IF(AS218="ja",VLOOKUP($B218,Miljö!$B$1:$O$500,MATCH("Fossil andel i procent (%)",Miljö!$B$1:$O$1,0),FALSE)/100,"")</f>
        <v/>
      </c>
      <c r="AU218" s="227"/>
      <c r="AV218" s="227" t="str">
        <f t="shared" si="21"/>
        <v>Nej</v>
      </c>
      <c r="AW218" s="227" t="str">
        <f>IF(AV218="ja",VLOOKUP($B218,'Egen hetvattenprod'!$B$1:$AO$500,MATCH("Värmekälla till värmepumpar ()",'Egen hetvattenprod'!$B$1:$AO$1,0),FALSE),"")</f>
        <v/>
      </c>
      <c r="AX218" s="227"/>
      <c r="AY218" s="227" t="str">
        <f t="shared" si="22"/>
        <v>Nej</v>
      </c>
      <c r="AZ218" s="228" t="str">
        <f>IF($AY218="ja",(VLOOKUP($B218,'Egen hetvattenprod'!$B$1:$BX$550,MATCH(AZ$2,'Egen hetvattenprod'!$B$1:$BX$1,0),FALSE)+VLOOKUP($B218,Kraftvärmeprod!$B$1:$BX$550,MATCH(AZ$2,Kraftvärmeprod!$B$1:$BX$1,0),FALSE))/$AC218,"")</f>
        <v/>
      </c>
      <c r="BA218" s="228" t="str">
        <f>IF($AY218="ja",(VLOOKUP($B218,'Egen hetvattenprod'!$B$1:$BX$550,MATCH(BA$2,'Egen hetvattenprod'!$B$1:$BX$1,0),FALSE)+VLOOKUP($B218,Kraftvärmeprod!$B$1:$BX$550,MATCH(BA$2,Kraftvärmeprod!$B$1:$BX$1,0),FALSE))/$AC218,"")</f>
        <v/>
      </c>
      <c r="BB218" s="228" t="str">
        <f>IF($AY218="ja",(VLOOKUP($B218,'Egen hetvattenprod'!$B$1:$BX$550,MATCH(BB$2,'Egen hetvattenprod'!$B$1:$BX$1,0),FALSE)+VLOOKUP($B218,Kraftvärmeprod!$B$1:$BX$550,MATCH(BB$2,Kraftvärmeprod!$B$1:$BX$1,0),FALSE))/$AC218,"")</f>
        <v/>
      </c>
      <c r="BC218" s="228" t="str">
        <f>IF($AY218="ja",(VLOOKUP($B218,'Egen hetvattenprod'!$B$1:$BX$550,MATCH(BC$2,'Egen hetvattenprod'!$B$1:$BX$1,0),FALSE)+VLOOKUP($B218,Kraftvärmeprod!$B$1:$BX$550,MATCH(BC$2,Kraftvärmeprod!$B$1:$BX$1,0),FALSE))/$AC218,"")</f>
        <v/>
      </c>
      <c r="BD218" s="228" t="str">
        <f>IF($AY218="ja",(VLOOKUP($B218,'Egen hetvattenprod'!$B$1:$BX$550,MATCH(BD$2,'Egen hetvattenprod'!$B$1:$BX$1,0),FALSE)+VLOOKUP($B218,Kraftvärmeprod!$B$1:$BX$550,MATCH(BD$2,Kraftvärmeprod!$B$1:$BX$1,0),FALSE))/$AC218,"")</f>
        <v/>
      </c>
      <c r="BE218" s="227"/>
      <c r="BF218" s="227" t="str">
        <f t="shared" si="23"/>
        <v>Nej</v>
      </c>
      <c r="BG218" s="227" t="str">
        <f>IF($BF218="ja",VLOOKUP($B218,'Egen hetvattenprod'!$B$1:$BX$550,MATCH("Andelen klimatgaser med fossilt ursprung för avfall ()",'Egen hetvattenprod'!$B$1:$BX$1,0),FALSE),"")</f>
        <v/>
      </c>
      <c r="BH218" s="227" t="str">
        <f>IF($BF218="ja",VLOOKUP($B218,Kraftvärmeprod!$B$1:$BX$550,MATCH("Andelen klimatgaser med fossilt ursprung för avfall ()",Kraftvärmeprod!$B$1:$BX$1,0),FALSE),"")</f>
        <v/>
      </c>
      <c r="BI218" s="227" t="str">
        <f>IF($BF218="ja",VLOOKUP($B218,'Egen hetvattenprod'!$B$1:$BX$550,MATCH("Avfall (GWh)",'Egen hetvattenprod'!$B$1:$BX$1,0),FALSE),"")</f>
        <v/>
      </c>
      <c r="BJ218" s="227" t="str">
        <f>IF($BF218="ja",VLOOKUP($B218,'Slutlig allokering kvv'!$B$1:$BX$550,MATCH("Avfall (GWh)",'Slutlig allokering kvv'!$B$1:$BX$1,0),FALSE),"")</f>
        <v/>
      </c>
      <c r="BK218" s="227" t="str">
        <f>IF($BF218="ja",VLOOKUP($B218,'Köpt hetvatten'!$B$1:$BX$550,MATCH("Avfall i köpt hetvatten",'Köpt hetvatten'!$B$1:$BX$1,0),FALSE),"")</f>
        <v/>
      </c>
      <c r="BL218" s="227" t="str">
        <f>IF($BF218="ja",VLOOKUP($B218,'Egen hetvattenprod'!$B$1:$BX$550,MATCH("Värde enligt ovan. (%)",'Egen hetvattenprod'!$B$1:$BX$1,0),FALSE),"")</f>
        <v/>
      </c>
      <c r="BM218" s="227" t="str">
        <f>IF($BF218="ja",VLOOKUP($B218,Kraftvärmeprod!$B$1:$BX$550,MATCH("Värde enligt ovan. (%)",Kraftvärmeprod!$B$1:$BX$1,0),FALSE),"")</f>
        <v/>
      </c>
      <c r="BN218" s="227"/>
      <c r="BO218" s="227"/>
      <c r="BP218" s="227"/>
      <c r="BQ218" s="227" t="str">
        <f>IF($BF218="ja",VLOOKUP($B218,'Egen hetvattenprod'!$B$1:$BX$550,MATCH("Tillförd olja (fossil) vid avfallsförbränning (GWh)",'Egen hetvattenprod'!$B$1:$BX$1,0),FALSE),"")</f>
        <v/>
      </c>
      <c r="BR218" s="227" t="str">
        <f>IF($BF218="ja",VLOOKUP($B218,Kraftvärmeprod!$B$1:$BX$550,MATCH("Tillförd olja (fossil) vid avfallsförbränning (GWh)",Kraftvärmeprod!$B$1:$BX$1,0),FALSE),"")</f>
        <v/>
      </c>
      <c r="BS218" s="227"/>
      <c r="BT218" s="227"/>
      <c r="BU218" s="227"/>
    </row>
    <row r="219" spans="1:73" x14ac:dyDescent="0.25">
      <c r="A219" s="121" t="str">
        <f>'Miljövärden för publ företag'!B222</f>
        <v>Skellefteå Kraft AB</v>
      </c>
      <c r="B219" s="121" t="str">
        <f>'Miljövärden för publ företag'!C222</f>
        <v>Burträsk</v>
      </c>
      <c r="C219" s="173">
        <f>IFERROR(VLOOKUP($B219,Totalt!$B$1:$AQ$554,MATCH(C$2,Totalt!$B$1:$AQ$1,0),FALSE),"")</f>
        <v>0</v>
      </c>
      <c r="D219" s="173">
        <f>IFERROR(VLOOKUP($B219,Totalt!$B$1:$AQ$554,MATCH(D$2,Totalt!$B$1:$AQ$1,0),FALSE),"")</f>
        <v>0.499</v>
      </c>
      <c r="E219" s="173">
        <f>IFERROR(VLOOKUP($B219,Totalt!$B$1:$AQ$554,MATCH(E$2,Totalt!$B$1:$AQ$1,0),FALSE),"")</f>
        <v>0</v>
      </c>
      <c r="F219" s="173">
        <f>IFERROR(VLOOKUP($B219,Totalt!$B$1:$AQ$554,MATCH(F$2,Totalt!$B$1:$AQ$1,0),FALSE),"")</f>
        <v>0</v>
      </c>
      <c r="G219" s="173">
        <f>IFERROR(VLOOKUP($B219,Totalt!$B$1:$AQ$554,MATCH(G$2,Totalt!$B$1:$AQ$1,0),FALSE),"")</f>
        <v>0</v>
      </c>
      <c r="H219" s="173">
        <f>IFERROR(VLOOKUP($B219,Totalt!$B$1:$AQ$554,MATCH(H$2,Totalt!$B$1:$AQ$1,0),FALSE),"")</f>
        <v>0</v>
      </c>
      <c r="I219" s="173">
        <f>IFERROR(VLOOKUP($B219,Totalt!$B$1:$AQ$554,MATCH(I$2,Totalt!$B$1:$AQ$1,0),FALSE),"")</f>
        <v>0</v>
      </c>
      <c r="J219" s="173">
        <f>IFERROR(VLOOKUP($B219,Totalt!$B$1:$AQ$554,MATCH(J$2,Totalt!$B$1:$AQ$1,0),FALSE),"")</f>
        <v>0</v>
      </c>
      <c r="K219" s="173">
        <f>IFERROR(VLOOKUP($B219,Totalt!$B$1:$AQ$554,MATCH(K$2,Totalt!$B$1:$AQ$1,0),FALSE),"")</f>
        <v>0</v>
      </c>
      <c r="L219" s="173">
        <f>IFERROR(VLOOKUP($B219,Totalt!$B$1:$AQ$554,MATCH(L$2,Totalt!$B$1:$AQ$1,0),FALSE),"")</f>
        <v>0</v>
      </c>
      <c r="M219" s="173">
        <f>IFERROR(VLOOKUP($B219,Totalt!$B$1:$AQ$554,MATCH(M$2,Totalt!$B$1:$AQ$1,0),FALSE),"")</f>
        <v>5.35466</v>
      </c>
      <c r="N219" s="173">
        <f>IFERROR(VLOOKUP($B219,Totalt!$B$1:$AQ$554,MATCH(N$2,Totalt!$B$1:$AQ$1,0),FALSE),"")</f>
        <v>0</v>
      </c>
      <c r="O219" s="173">
        <f>IFERROR(VLOOKUP($B219,Totalt!$B$1:$AQ$554,MATCH(O$2,Totalt!$B$1:$AQ$1,0),FALSE),"")</f>
        <v>5.35466</v>
      </c>
      <c r="P219" s="173">
        <f>IFERROR(VLOOKUP($B219,Totalt!$B$1:$AQ$554,MATCH(P$2,Totalt!$B$1:$AQ$1,0),FALSE),"")</f>
        <v>0</v>
      </c>
      <c r="Q219" s="173">
        <f>IFERROR(VLOOKUP($B219,Totalt!$B$1:$AQ$554,MATCH(Q$2,Totalt!$B$1:$AQ$1,0),FALSE),"")</f>
        <v>0</v>
      </c>
      <c r="R219" s="173">
        <f>IFERROR(VLOOKUP($B219,Totalt!$B$1:$AQ$554,MATCH(R$2,Totalt!$B$1:$AQ$1,0),FALSE),"")</f>
        <v>10.071999999999999</v>
      </c>
      <c r="S219" s="173">
        <f>IFERROR(VLOOKUP($B219,Totalt!$B$1:$AQ$554,MATCH(S$2,Totalt!$B$1:$AQ$1,0),FALSE),"")</f>
        <v>0</v>
      </c>
      <c r="T219" s="173">
        <f>IFERROR(VLOOKUP($B219,Totalt!$B$1:$AQ$554,MATCH(T$2,Totalt!$B$1:$AQ$1,0),FALSE),"")</f>
        <v>0</v>
      </c>
      <c r="U219" s="173">
        <f>IFERROR(VLOOKUP($B219,Totalt!$B$1:$AQ$554,MATCH(U$2,Totalt!$B$1:$AQ$1,0),FALSE),"")</f>
        <v>0</v>
      </c>
      <c r="V219" s="173">
        <f>IFERROR(VLOOKUP($B219,Totalt!$B$1:$AQ$554,MATCH(V$2,Totalt!$B$1:$AQ$1,0),FALSE),"")</f>
        <v>0</v>
      </c>
      <c r="W219" s="173">
        <f>IFERROR(VLOOKUP($B219,Totalt!$B$1:$AQ$554,MATCH(W$2,Totalt!$B$1:$AQ$1,0),FALSE),"")</f>
        <v>0</v>
      </c>
      <c r="X219" s="173">
        <f>IFERROR(VLOOKUP($B219,Totalt!$B$1:$AQ$554,MATCH(X$2,Totalt!$B$1:$AQ$1,0),FALSE),"")</f>
        <v>0</v>
      </c>
      <c r="Y219" s="173">
        <f>IFERROR(VLOOKUP($B219,Totalt!$B$1:$AQ$554,MATCH(Y$2,Totalt!$B$1:$AQ$1,0),FALSE),"")</f>
        <v>0</v>
      </c>
      <c r="Z219" s="173">
        <f>IFERROR(VLOOKUP($B219,Totalt!$B$1:$AQ$554,MATCH(Z$2,Totalt!$B$1:$AQ$1,0),FALSE),"")</f>
        <v>5.0000000000000001E-3</v>
      </c>
      <c r="AA219" s="173">
        <f>IFERROR(VLOOKUP($B219,Totalt!$B$1:$AQ$554,MATCH(AA$2,Totalt!$B$1:$AQ$1,0),FALSE),"")</f>
        <v>0</v>
      </c>
      <c r="AB219" s="173">
        <f>IFERROR(VLOOKUP($B219,Totalt!$B$1:$AQ$554,MATCH(AB$2,Totalt!$B$1:$AQ$1,0),FALSE),"")</f>
        <v>0</v>
      </c>
      <c r="AC219" s="173">
        <f>IFERROR(VLOOKUP($B219,Totalt!$B$1:$AQ$554,MATCH(AC$2,Totalt!$B$1:$AQ$1,0),FALSE),"")</f>
        <v>0</v>
      </c>
      <c r="AD219" s="173">
        <f>IFERROR(VLOOKUP($B219,Totalt!$B$1:$AQ$554,MATCH(AD$2,Totalt!$B$1:$AQ$1,0),FALSE),"")</f>
        <v>0</v>
      </c>
      <c r="AE219" s="173">
        <f>IFERROR(VLOOKUP($B219,Totalt!$B$1:$AQ$554,MATCH(AE$2,Totalt!$B$1:$AQ$1,0),FALSE),"")</f>
        <v>0</v>
      </c>
      <c r="AF219" s="173">
        <f>IFERROR(VLOOKUP($B219,Totalt!$B$1:$AQ$554,MATCH(AF$2,Totalt!$B$1:$AQ$1,0),FALSE),"")</f>
        <v>0.29199999999999998</v>
      </c>
      <c r="AG219" s="173">
        <f>IFERROR(VLOOKUP($B219,Totalt!$B$1:$AQ$554,MATCH(AG$2,Totalt!$B$1:$AQ$1,0),FALSE),"")</f>
        <v>0</v>
      </c>
      <c r="AI219" s="226">
        <f t="shared" si="18"/>
        <v>21.57732</v>
      </c>
      <c r="AJ219" s="226">
        <f>IF(ISERROR(1/VLOOKUP($B219,Leveranser!$B$1:$S$500,MATCH("såld värme (gwh)",Leveranser!$B$1:$S$1,0),FALSE)),"",VLOOKUP($B219,Leveranser!$B$1:$S$500,MATCH("såld värme (gwh)",Leveranser!$B$1:$S$1,0),FALSE))</f>
        <v>15.5</v>
      </c>
      <c r="AM219" s="227" t="str">
        <f>IF(B219&lt;&gt;"",IF(VLOOKUP($B219,Totalt!$B$1:$AQ$554,MATCH("Kvalitetsgranskad:",Totalt!$B$1:$AQ$1,0),FALSE)="ja",VLOOKUP($B219,Miljö!$B$1:$AG$479,MATCH(AM$2,Miljö!$B$1:$AK$1,0),FALSE),""),"")</f>
        <v>Ja</v>
      </c>
      <c r="AN219" s="227" t="str">
        <f>IF(AM219="ja",VLOOKUP($B219,Miljö!$B$1:$J$479,MATCH("Typ av ursprungsspecificerad el   (Om inget värde anges används Nordisk residualmix, se inforuta) ()",Miljö!$B$1:$J$1,0),FALSE),IF(AM219="nej","Nordisk residualel",""))</f>
        <v>'vatten. vind. bio'</v>
      </c>
      <c r="AO219" s="227">
        <f>IF(AM219="","",VLOOKUP($B219,Miljö!$B$1:$J$479,MATCH("Fossilandel för ursprungspecificerad el ()",Miljö!$B$1:$J$1,0),FALSE))</f>
        <v>0</v>
      </c>
      <c r="AP219" s="227">
        <f>IF(AM219="","",IFERROR(VLOOKUP($B219,Miljö!$B$1:$J$479,MATCH("Kärnkraftsandel för ursprungsspecificerad el ()",Miljö!$B$1:$J$1,0),FALSE)/1,0))</f>
        <v>0</v>
      </c>
      <c r="AQ219" s="227">
        <f t="shared" si="19"/>
        <v>1</v>
      </c>
      <c r="AR219" s="227"/>
      <c r="AS219" s="227" t="str">
        <f t="shared" si="20"/>
        <v>Nej</v>
      </c>
      <c r="AT219" s="227" t="str">
        <f>IF(AS219="ja",VLOOKUP($B219,Miljö!$B$1:$O$500,MATCH("Fossil andel i procent (%)",Miljö!$B$1:$O$1,0),FALSE)/100,"")</f>
        <v/>
      </c>
      <c r="AU219" s="227"/>
      <c r="AV219" s="227" t="str">
        <f t="shared" si="21"/>
        <v>Nej</v>
      </c>
      <c r="AW219" s="227" t="str">
        <f>IF(AV219="ja",VLOOKUP($B219,'Egen hetvattenprod'!$B$1:$AO$500,MATCH("Värmekälla till värmepumpar ()",'Egen hetvattenprod'!$B$1:$AO$1,0),FALSE),"")</f>
        <v/>
      </c>
      <c r="AX219" s="227"/>
      <c r="AY219" s="227" t="str">
        <f t="shared" si="22"/>
        <v>Nej</v>
      </c>
      <c r="AZ219" s="228" t="str">
        <f>IF($AY219="ja",(VLOOKUP($B219,'Egen hetvattenprod'!$B$1:$BX$550,MATCH(AZ$2,'Egen hetvattenprod'!$B$1:$BX$1,0),FALSE)+VLOOKUP($B219,Kraftvärmeprod!$B$1:$BX$550,MATCH(AZ$2,Kraftvärmeprod!$B$1:$BX$1,0),FALSE))/$AC219,"")</f>
        <v/>
      </c>
      <c r="BA219" s="228" t="str">
        <f>IF($AY219="ja",(VLOOKUP($B219,'Egen hetvattenprod'!$B$1:$BX$550,MATCH(BA$2,'Egen hetvattenprod'!$B$1:$BX$1,0),FALSE)+VLOOKUP($B219,Kraftvärmeprod!$B$1:$BX$550,MATCH(BA$2,Kraftvärmeprod!$B$1:$BX$1,0),FALSE))/$AC219,"")</f>
        <v/>
      </c>
      <c r="BB219" s="228" t="str">
        <f>IF($AY219="ja",(VLOOKUP($B219,'Egen hetvattenprod'!$B$1:$BX$550,MATCH(BB$2,'Egen hetvattenprod'!$B$1:$BX$1,0),FALSE)+VLOOKUP($B219,Kraftvärmeprod!$B$1:$BX$550,MATCH(BB$2,Kraftvärmeprod!$B$1:$BX$1,0),FALSE))/$AC219,"")</f>
        <v/>
      </c>
      <c r="BC219" s="228" t="str">
        <f>IF($AY219="ja",(VLOOKUP($B219,'Egen hetvattenprod'!$B$1:$BX$550,MATCH(BC$2,'Egen hetvattenprod'!$B$1:$BX$1,0),FALSE)+VLOOKUP($B219,Kraftvärmeprod!$B$1:$BX$550,MATCH(BC$2,Kraftvärmeprod!$B$1:$BX$1,0),FALSE))/$AC219,"")</f>
        <v/>
      </c>
      <c r="BD219" s="228" t="str">
        <f>IF($AY219="ja",(VLOOKUP($B219,'Egen hetvattenprod'!$B$1:$BX$550,MATCH(BD$2,'Egen hetvattenprod'!$B$1:$BX$1,0),FALSE)+VLOOKUP($B219,Kraftvärmeprod!$B$1:$BX$550,MATCH(BD$2,Kraftvärmeprod!$B$1:$BX$1,0),FALSE))/$AC219,"")</f>
        <v/>
      </c>
      <c r="BE219" s="227"/>
      <c r="BF219" s="227" t="str">
        <f t="shared" si="23"/>
        <v>Nej</v>
      </c>
      <c r="BG219" s="227" t="str">
        <f>IF($BF219="ja",VLOOKUP($B219,'Egen hetvattenprod'!$B$1:$BX$550,MATCH("Andelen klimatgaser med fossilt ursprung för avfall ()",'Egen hetvattenprod'!$B$1:$BX$1,0),FALSE),"")</f>
        <v/>
      </c>
      <c r="BH219" s="227" t="str">
        <f>IF($BF219="ja",VLOOKUP($B219,Kraftvärmeprod!$B$1:$BX$550,MATCH("Andelen klimatgaser med fossilt ursprung för avfall ()",Kraftvärmeprod!$B$1:$BX$1,0),FALSE),"")</f>
        <v/>
      </c>
      <c r="BI219" s="227" t="str">
        <f>IF($BF219="ja",VLOOKUP($B219,'Egen hetvattenprod'!$B$1:$BX$550,MATCH("Avfall (GWh)",'Egen hetvattenprod'!$B$1:$BX$1,0),FALSE),"")</f>
        <v/>
      </c>
      <c r="BJ219" s="227" t="str">
        <f>IF($BF219="ja",VLOOKUP($B219,'Slutlig allokering kvv'!$B$1:$BX$550,MATCH("Avfall (GWh)",'Slutlig allokering kvv'!$B$1:$BX$1,0),FALSE),"")</f>
        <v/>
      </c>
      <c r="BK219" s="227" t="str">
        <f>IF($BF219="ja",VLOOKUP($B219,'Köpt hetvatten'!$B$1:$BX$550,MATCH("Avfall i köpt hetvatten",'Köpt hetvatten'!$B$1:$BX$1,0),FALSE),"")</f>
        <v/>
      </c>
      <c r="BL219" s="227" t="str">
        <f>IF($BF219="ja",VLOOKUP($B219,'Egen hetvattenprod'!$B$1:$BX$550,MATCH("Värde enligt ovan. (%)",'Egen hetvattenprod'!$B$1:$BX$1,0),FALSE),"")</f>
        <v/>
      </c>
      <c r="BM219" s="227" t="str">
        <f>IF($BF219="ja",VLOOKUP($B219,Kraftvärmeprod!$B$1:$BX$550,MATCH("Värde enligt ovan. (%)",Kraftvärmeprod!$B$1:$BX$1,0),FALSE),"")</f>
        <v/>
      </c>
      <c r="BN219" s="227"/>
      <c r="BO219" s="227"/>
      <c r="BP219" s="227"/>
      <c r="BQ219" s="227" t="str">
        <f>IF($BF219="ja",VLOOKUP($B219,'Egen hetvattenprod'!$B$1:$BX$550,MATCH("Tillförd olja (fossil) vid avfallsförbränning (GWh)",'Egen hetvattenprod'!$B$1:$BX$1,0),FALSE),"")</f>
        <v/>
      </c>
      <c r="BR219" s="227" t="str">
        <f>IF($BF219="ja",VLOOKUP($B219,Kraftvärmeprod!$B$1:$BX$550,MATCH("Tillförd olja (fossil) vid avfallsförbränning (GWh)",Kraftvärmeprod!$B$1:$BX$1,0),FALSE),"")</f>
        <v/>
      </c>
      <c r="BS219" s="227"/>
      <c r="BT219" s="227"/>
      <c r="BU219" s="227"/>
    </row>
    <row r="220" spans="1:73" x14ac:dyDescent="0.25">
      <c r="A220" s="121" t="str">
        <f>'Miljövärden för publ företag'!B223</f>
        <v>Skellefteå Kraft AB</v>
      </c>
      <c r="B220" s="121" t="str">
        <f>'Miljövärden för publ företag'!C223</f>
        <v>Byske</v>
      </c>
      <c r="C220" s="173">
        <f>IFERROR(VLOOKUP($B220,Totalt!$B$1:$AQ$554,MATCH(C$2,Totalt!$B$1:$AQ$1,0),FALSE),"")</f>
        <v>0</v>
      </c>
      <c r="D220" s="173">
        <f>IFERROR(VLOOKUP($B220,Totalt!$B$1:$AQ$554,MATCH(D$2,Totalt!$B$1:$AQ$1,0),FALSE),"")</f>
        <v>0.16400000000000001</v>
      </c>
      <c r="E220" s="173">
        <f>IFERROR(VLOOKUP($B220,Totalt!$B$1:$AQ$554,MATCH(E$2,Totalt!$B$1:$AQ$1,0),FALSE),"")</f>
        <v>0</v>
      </c>
      <c r="F220" s="173">
        <f>IFERROR(VLOOKUP($B220,Totalt!$B$1:$AQ$554,MATCH(F$2,Totalt!$B$1:$AQ$1,0),FALSE),"")</f>
        <v>0</v>
      </c>
      <c r="G220" s="173">
        <f>IFERROR(VLOOKUP($B220,Totalt!$B$1:$AQ$554,MATCH(G$2,Totalt!$B$1:$AQ$1,0),FALSE),"")</f>
        <v>0</v>
      </c>
      <c r="H220" s="173">
        <f>IFERROR(VLOOKUP($B220,Totalt!$B$1:$AQ$554,MATCH(H$2,Totalt!$B$1:$AQ$1,0),FALSE),"")</f>
        <v>0</v>
      </c>
      <c r="I220" s="173">
        <f>IFERROR(VLOOKUP($B220,Totalt!$B$1:$AQ$554,MATCH(I$2,Totalt!$B$1:$AQ$1,0),FALSE),"")</f>
        <v>0</v>
      </c>
      <c r="J220" s="173">
        <f>IFERROR(VLOOKUP($B220,Totalt!$B$1:$AQ$554,MATCH(J$2,Totalt!$B$1:$AQ$1,0),FALSE),"")</f>
        <v>0</v>
      </c>
      <c r="K220" s="173">
        <f>IFERROR(VLOOKUP($B220,Totalt!$B$1:$AQ$554,MATCH(K$2,Totalt!$B$1:$AQ$1,0),FALSE),"")</f>
        <v>0</v>
      </c>
      <c r="L220" s="173">
        <f>IFERROR(VLOOKUP($B220,Totalt!$B$1:$AQ$554,MATCH(L$2,Totalt!$B$1:$AQ$1,0),FALSE),"")</f>
        <v>0</v>
      </c>
      <c r="M220" s="173">
        <f>IFERROR(VLOOKUP($B220,Totalt!$B$1:$AQ$554,MATCH(M$2,Totalt!$B$1:$AQ$1,0),FALSE),"")</f>
        <v>0</v>
      </c>
      <c r="N220" s="173">
        <f>IFERROR(VLOOKUP($B220,Totalt!$B$1:$AQ$554,MATCH(N$2,Totalt!$B$1:$AQ$1,0),FALSE),"")</f>
        <v>0</v>
      </c>
      <c r="O220" s="173">
        <f>IFERROR(VLOOKUP($B220,Totalt!$B$1:$AQ$554,MATCH(O$2,Totalt!$B$1:$AQ$1,0),FALSE),"")</f>
        <v>0</v>
      </c>
      <c r="P220" s="173">
        <f>IFERROR(VLOOKUP($B220,Totalt!$B$1:$AQ$554,MATCH(P$2,Totalt!$B$1:$AQ$1,0),FALSE),"")</f>
        <v>0</v>
      </c>
      <c r="Q220" s="173">
        <f>IFERROR(VLOOKUP($B220,Totalt!$B$1:$AQ$554,MATCH(Q$2,Totalt!$B$1:$AQ$1,0),FALSE),"")</f>
        <v>0</v>
      </c>
      <c r="R220" s="173">
        <f>IFERROR(VLOOKUP($B220,Totalt!$B$1:$AQ$554,MATCH(R$2,Totalt!$B$1:$AQ$1,0),FALSE),"")</f>
        <v>13.191000000000001</v>
      </c>
      <c r="S220" s="173">
        <f>IFERROR(VLOOKUP($B220,Totalt!$B$1:$AQ$554,MATCH(S$2,Totalt!$B$1:$AQ$1,0),FALSE),"")</f>
        <v>0</v>
      </c>
      <c r="T220" s="173">
        <f>IFERROR(VLOOKUP($B220,Totalt!$B$1:$AQ$554,MATCH(T$2,Totalt!$B$1:$AQ$1,0),FALSE),"")</f>
        <v>0</v>
      </c>
      <c r="U220" s="173">
        <f>IFERROR(VLOOKUP($B220,Totalt!$B$1:$AQ$554,MATCH(U$2,Totalt!$B$1:$AQ$1,0),FALSE),"")</f>
        <v>0</v>
      </c>
      <c r="V220" s="173">
        <f>IFERROR(VLOOKUP($B220,Totalt!$B$1:$AQ$554,MATCH(V$2,Totalt!$B$1:$AQ$1,0),FALSE),"")</f>
        <v>0</v>
      </c>
      <c r="W220" s="173">
        <f>IFERROR(VLOOKUP($B220,Totalt!$B$1:$AQ$554,MATCH(W$2,Totalt!$B$1:$AQ$1,0),FALSE),"")</f>
        <v>0</v>
      </c>
      <c r="X220" s="173">
        <f>IFERROR(VLOOKUP($B220,Totalt!$B$1:$AQ$554,MATCH(X$2,Totalt!$B$1:$AQ$1,0),FALSE),"")</f>
        <v>0</v>
      </c>
      <c r="Y220" s="173">
        <f>IFERROR(VLOOKUP($B220,Totalt!$B$1:$AQ$554,MATCH(Y$2,Totalt!$B$1:$AQ$1,0),FALSE),"")</f>
        <v>0</v>
      </c>
      <c r="Z220" s="173">
        <f>IFERROR(VLOOKUP($B220,Totalt!$B$1:$AQ$554,MATCH(Z$2,Totalt!$B$1:$AQ$1,0),FALSE),"")</f>
        <v>0</v>
      </c>
      <c r="AA220" s="173">
        <f>IFERROR(VLOOKUP($B220,Totalt!$B$1:$AQ$554,MATCH(AA$2,Totalt!$B$1:$AQ$1,0),FALSE),"")</f>
        <v>0</v>
      </c>
      <c r="AB220" s="173">
        <f>IFERROR(VLOOKUP($B220,Totalt!$B$1:$AQ$554,MATCH(AB$2,Totalt!$B$1:$AQ$1,0),FALSE),"")</f>
        <v>0</v>
      </c>
      <c r="AC220" s="173">
        <f>IFERROR(VLOOKUP($B220,Totalt!$B$1:$AQ$554,MATCH(AC$2,Totalt!$B$1:$AQ$1,0),FALSE),"")</f>
        <v>0</v>
      </c>
      <c r="AD220" s="173">
        <f>IFERROR(VLOOKUP($B220,Totalt!$B$1:$AQ$554,MATCH(AD$2,Totalt!$B$1:$AQ$1,0),FALSE),"")</f>
        <v>0</v>
      </c>
      <c r="AE220" s="173">
        <f>IFERROR(VLOOKUP($B220,Totalt!$B$1:$AQ$554,MATCH(AE$2,Totalt!$B$1:$AQ$1,0),FALSE),"")</f>
        <v>0</v>
      </c>
      <c r="AF220" s="173">
        <f>IFERROR(VLOOKUP($B220,Totalt!$B$1:$AQ$554,MATCH(AF$2,Totalt!$B$1:$AQ$1,0),FALSE),"")</f>
        <v>0.11</v>
      </c>
      <c r="AG220" s="173">
        <f>IFERROR(VLOOKUP($B220,Totalt!$B$1:$AQ$554,MATCH(AG$2,Totalt!$B$1:$AQ$1,0),FALSE),"")</f>
        <v>0</v>
      </c>
      <c r="AI220" s="226">
        <f t="shared" si="18"/>
        <v>13.465</v>
      </c>
      <c r="AJ220" s="226">
        <f>IF(ISERROR(1/VLOOKUP($B220,Leveranser!$B$1:$S$500,MATCH("såld värme (gwh)",Leveranser!$B$1:$S$1,0),FALSE)),"",VLOOKUP($B220,Leveranser!$B$1:$S$500,MATCH("såld värme (gwh)",Leveranser!$B$1:$S$1,0),FALSE))</f>
        <v>10.94</v>
      </c>
      <c r="AM220" s="227" t="str">
        <f>IF(B220&lt;&gt;"",IF(VLOOKUP($B220,Totalt!$B$1:$AQ$554,MATCH("Kvalitetsgranskad:",Totalt!$B$1:$AQ$1,0),FALSE)="ja",VLOOKUP($B220,Miljö!$B$1:$AG$479,MATCH(AM$2,Miljö!$B$1:$AK$1,0),FALSE),""),"")</f>
        <v>Ja</v>
      </c>
      <c r="AN220" s="227" t="str">
        <f>IF(AM220="ja",VLOOKUP($B220,Miljö!$B$1:$J$479,MATCH("Typ av ursprungsspecificerad el   (Om inget värde anges används Nordisk residualmix, se inforuta) ()",Miljö!$B$1:$J$1,0),FALSE),IF(AM220="nej","Nordisk residualel",""))</f>
        <v>'vatten. vind. bio'</v>
      </c>
      <c r="AO220" s="227">
        <f>IF(AM220="","",VLOOKUP($B220,Miljö!$B$1:$J$479,MATCH("Fossilandel för ursprungspecificerad el ()",Miljö!$B$1:$J$1,0),FALSE))</f>
        <v>0</v>
      </c>
      <c r="AP220" s="227">
        <f>IF(AM220="","",IFERROR(VLOOKUP($B220,Miljö!$B$1:$J$479,MATCH("Kärnkraftsandel för ursprungsspecificerad el ()",Miljö!$B$1:$J$1,0),FALSE)/1,0))</f>
        <v>0</v>
      </c>
      <c r="AQ220" s="227">
        <f t="shared" si="19"/>
        <v>1</v>
      </c>
      <c r="AR220" s="227"/>
      <c r="AS220" s="227" t="str">
        <f t="shared" si="20"/>
        <v>Nej</v>
      </c>
      <c r="AT220" s="227" t="str">
        <f>IF(AS220="ja",VLOOKUP($B220,Miljö!$B$1:$O$500,MATCH("Fossil andel i procent (%)",Miljö!$B$1:$O$1,0),FALSE)/100,"")</f>
        <v/>
      </c>
      <c r="AU220" s="227"/>
      <c r="AV220" s="227" t="str">
        <f t="shared" si="21"/>
        <v>Nej</v>
      </c>
      <c r="AW220" s="227" t="str">
        <f>IF(AV220="ja",VLOOKUP($B220,'Egen hetvattenprod'!$B$1:$AO$500,MATCH("Värmekälla till värmepumpar ()",'Egen hetvattenprod'!$B$1:$AO$1,0),FALSE),"")</f>
        <v/>
      </c>
      <c r="AX220" s="227"/>
      <c r="AY220" s="227" t="str">
        <f t="shared" si="22"/>
        <v>Nej</v>
      </c>
      <c r="AZ220" s="228" t="str">
        <f>IF($AY220="ja",(VLOOKUP($B220,'Egen hetvattenprod'!$B$1:$BX$550,MATCH(AZ$2,'Egen hetvattenprod'!$B$1:$BX$1,0),FALSE)+VLOOKUP($B220,Kraftvärmeprod!$B$1:$BX$550,MATCH(AZ$2,Kraftvärmeprod!$B$1:$BX$1,0),FALSE))/$AC220,"")</f>
        <v/>
      </c>
      <c r="BA220" s="228" t="str">
        <f>IF($AY220="ja",(VLOOKUP($B220,'Egen hetvattenprod'!$B$1:$BX$550,MATCH(BA$2,'Egen hetvattenprod'!$B$1:$BX$1,0),FALSE)+VLOOKUP($B220,Kraftvärmeprod!$B$1:$BX$550,MATCH(BA$2,Kraftvärmeprod!$B$1:$BX$1,0),FALSE))/$AC220,"")</f>
        <v/>
      </c>
      <c r="BB220" s="228" t="str">
        <f>IF($AY220="ja",(VLOOKUP($B220,'Egen hetvattenprod'!$B$1:$BX$550,MATCH(BB$2,'Egen hetvattenprod'!$B$1:$BX$1,0),FALSE)+VLOOKUP($B220,Kraftvärmeprod!$B$1:$BX$550,MATCH(BB$2,Kraftvärmeprod!$B$1:$BX$1,0),FALSE))/$AC220,"")</f>
        <v/>
      </c>
      <c r="BC220" s="228" t="str">
        <f>IF($AY220="ja",(VLOOKUP($B220,'Egen hetvattenprod'!$B$1:$BX$550,MATCH(BC$2,'Egen hetvattenprod'!$B$1:$BX$1,0),FALSE)+VLOOKUP($B220,Kraftvärmeprod!$B$1:$BX$550,MATCH(BC$2,Kraftvärmeprod!$B$1:$BX$1,0),FALSE))/$AC220,"")</f>
        <v/>
      </c>
      <c r="BD220" s="228" t="str">
        <f>IF($AY220="ja",(VLOOKUP($B220,'Egen hetvattenprod'!$B$1:$BX$550,MATCH(BD$2,'Egen hetvattenprod'!$B$1:$BX$1,0),FALSE)+VLOOKUP($B220,Kraftvärmeprod!$B$1:$BX$550,MATCH(BD$2,Kraftvärmeprod!$B$1:$BX$1,0),FALSE))/$AC220,"")</f>
        <v/>
      </c>
      <c r="BE220" s="227"/>
      <c r="BF220" s="227" t="str">
        <f t="shared" si="23"/>
        <v>Nej</v>
      </c>
      <c r="BG220" s="227" t="str">
        <f>IF($BF220="ja",VLOOKUP($B220,'Egen hetvattenprod'!$B$1:$BX$550,MATCH("Andelen klimatgaser med fossilt ursprung för avfall ()",'Egen hetvattenprod'!$B$1:$BX$1,0),FALSE),"")</f>
        <v/>
      </c>
      <c r="BH220" s="227" t="str">
        <f>IF($BF220="ja",VLOOKUP($B220,Kraftvärmeprod!$B$1:$BX$550,MATCH("Andelen klimatgaser med fossilt ursprung för avfall ()",Kraftvärmeprod!$B$1:$BX$1,0),FALSE),"")</f>
        <v/>
      </c>
      <c r="BI220" s="227" t="str">
        <f>IF($BF220="ja",VLOOKUP($B220,'Egen hetvattenprod'!$B$1:$BX$550,MATCH("Avfall (GWh)",'Egen hetvattenprod'!$B$1:$BX$1,0),FALSE),"")</f>
        <v/>
      </c>
      <c r="BJ220" s="227" t="str">
        <f>IF($BF220="ja",VLOOKUP($B220,'Slutlig allokering kvv'!$B$1:$BX$550,MATCH("Avfall (GWh)",'Slutlig allokering kvv'!$B$1:$BX$1,0),FALSE),"")</f>
        <v/>
      </c>
      <c r="BK220" s="227" t="str">
        <f>IF($BF220="ja",VLOOKUP($B220,'Köpt hetvatten'!$B$1:$BX$550,MATCH("Avfall i köpt hetvatten",'Köpt hetvatten'!$B$1:$BX$1,0),FALSE),"")</f>
        <v/>
      </c>
      <c r="BL220" s="227" t="str">
        <f>IF($BF220="ja",VLOOKUP($B220,'Egen hetvattenprod'!$B$1:$BX$550,MATCH("Värde enligt ovan. (%)",'Egen hetvattenprod'!$B$1:$BX$1,0),FALSE),"")</f>
        <v/>
      </c>
      <c r="BM220" s="227" t="str">
        <f>IF($BF220="ja",VLOOKUP($B220,Kraftvärmeprod!$B$1:$BX$550,MATCH("Värde enligt ovan. (%)",Kraftvärmeprod!$B$1:$BX$1,0),FALSE),"")</f>
        <v/>
      </c>
      <c r="BN220" s="227"/>
      <c r="BO220" s="227"/>
      <c r="BP220" s="227"/>
      <c r="BQ220" s="227" t="str">
        <f>IF($BF220="ja",VLOOKUP($B220,'Egen hetvattenprod'!$B$1:$BX$550,MATCH("Tillförd olja (fossil) vid avfallsförbränning (GWh)",'Egen hetvattenprod'!$B$1:$BX$1,0),FALSE),"")</f>
        <v/>
      </c>
      <c r="BR220" s="227" t="str">
        <f>IF($BF220="ja",VLOOKUP($B220,Kraftvärmeprod!$B$1:$BX$550,MATCH("Tillförd olja (fossil) vid avfallsförbränning (GWh)",Kraftvärmeprod!$B$1:$BX$1,0),FALSE),"")</f>
        <v/>
      </c>
      <c r="BS220" s="227"/>
      <c r="BT220" s="227"/>
      <c r="BU220" s="227"/>
    </row>
    <row r="221" spans="1:73" x14ac:dyDescent="0.25">
      <c r="A221" s="121" t="str">
        <f>'Miljövärden för publ företag'!B224</f>
        <v>Skellefteå Kraft AB</v>
      </c>
      <c r="B221" s="121" t="str">
        <f>'Miljövärden för publ företag'!C224</f>
        <v>Jörn</v>
      </c>
      <c r="C221" s="173">
        <f>IFERROR(VLOOKUP($B221,Totalt!$B$1:$AQ$554,MATCH(C$2,Totalt!$B$1:$AQ$1,0),FALSE),"")</f>
        <v>0</v>
      </c>
      <c r="D221" s="173">
        <f>IFERROR(VLOOKUP($B221,Totalt!$B$1:$AQ$554,MATCH(D$2,Totalt!$B$1:$AQ$1,0),FALSE),"")</f>
        <v>5.0999999999999997E-2</v>
      </c>
      <c r="E221" s="173">
        <f>IFERROR(VLOOKUP($B221,Totalt!$B$1:$AQ$554,MATCH(E$2,Totalt!$B$1:$AQ$1,0),FALSE),"")</f>
        <v>0</v>
      </c>
      <c r="F221" s="173">
        <f>IFERROR(VLOOKUP($B221,Totalt!$B$1:$AQ$554,MATCH(F$2,Totalt!$B$1:$AQ$1,0),FALSE),"")</f>
        <v>0</v>
      </c>
      <c r="G221" s="173">
        <f>IFERROR(VLOOKUP($B221,Totalt!$B$1:$AQ$554,MATCH(G$2,Totalt!$B$1:$AQ$1,0),FALSE),"")</f>
        <v>0</v>
      </c>
      <c r="H221" s="173">
        <f>IFERROR(VLOOKUP($B221,Totalt!$B$1:$AQ$554,MATCH(H$2,Totalt!$B$1:$AQ$1,0),FALSE),"")</f>
        <v>0</v>
      </c>
      <c r="I221" s="173">
        <f>IFERROR(VLOOKUP($B221,Totalt!$B$1:$AQ$554,MATCH(I$2,Totalt!$B$1:$AQ$1,0),FALSE),"")</f>
        <v>0</v>
      </c>
      <c r="J221" s="173">
        <f>IFERROR(VLOOKUP($B221,Totalt!$B$1:$AQ$554,MATCH(J$2,Totalt!$B$1:$AQ$1,0),FALSE),"")</f>
        <v>0</v>
      </c>
      <c r="K221" s="173">
        <f>IFERROR(VLOOKUP($B221,Totalt!$B$1:$AQ$554,MATCH(K$2,Totalt!$B$1:$AQ$1,0),FALSE),"")</f>
        <v>0</v>
      </c>
      <c r="L221" s="173">
        <f>IFERROR(VLOOKUP($B221,Totalt!$B$1:$AQ$554,MATCH(L$2,Totalt!$B$1:$AQ$1,0),FALSE),"")</f>
        <v>0</v>
      </c>
      <c r="M221" s="173">
        <f>IFERROR(VLOOKUP($B221,Totalt!$B$1:$AQ$554,MATCH(M$2,Totalt!$B$1:$AQ$1,0),FALSE),"")</f>
        <v>0</v>
      </c>
      <c r="N221" s="173">
        <f>IFERROR(VLOOKUP($B221,Totalt!$B$1:$AQ$554,MATCH(N$2,Totalt!$B$1:$AQ$1,0),FALSE),"")</f>
        <v>0</v>
      </c>
      <c r="O221" s="173">
        <f>IFERROR(VLOOKUP($B221,Totalt!$B$1:$AQ$554,MATCH(O$2,Totalt!$B$1:$AQ$1,0),FALSE),"")</f>
        <v>0</v>
      </c>
      <c r="P221" s="173">
        <f>IFERROR(VLOOKUP($B221,Totalt!$B$1:$AQ$554,MATCH(P$2,Totalt!$B$1:$AQ$1,0),FALSE),"")</f>
        <v>0</v>
      </c>
      <c r="Q221" s="173">
        <f>IFERROR(VLOOKUP($B221,Totalt!$B$1:$AQ$554,MATCH(Q$2,Totalt!$B$1:$AQ$1,0),FALSE),"")</f>
        <v>0</v>
      </c>
      <c r="R221" s="173">
        <f>IFERROR(VLOOKUP($B221,Totalt!$B$1:$AQ$554,MATCH(R$2,Totalt!$B$1:$AQ$1,0),FALSE),"")</f>
        <v>8.7859999999999996</v>
      </c>
      <c r="S221" s="173">
        <f>IFERROR(VLOOKUP($B221,Totalt!$B$1:$AQ$554,MATCH(S$2,Totalt!$B$1:$AQ$1,0),FALSE),"")</f>
        <v>0</v>
      </c>
      <c r="T221" s="173">
        <f>IFERROR(VLOOKUP($B221,Totalt!$B$1:$AQ$554,MATCH(T$2,Totalt!$B$1:$AQ$1,0),FALSE),"")</f>
        <v>0</v>
      </c>
      <c r="U221" s="173">
        <f>IFERROR(VLOOKUP($B221,Totalt!$B$1:$AQ$554,MATCH(U$2,Totalt!$B$1:$AQ$1,0),FALSE),"")</f>
        <v>0</v>
      </c>
      <c r="V221" s="173">
        <f>IFERROR(VLOOKUP($B221,Totalt!$B$1:$AQ$554,MATCH(V$2,Totalt!$B$1:$AQ$1,0),FALSE),"")</f>
        <v>0</v>
      </c>
      <c r="W221" s="173">
        <f>IFERROR(VLOOKUP($B221,Totalt!$B$1:$AQ$554,MATCH(W$2,Totalt!$B$1:$AQ$1,0),FALSE),"")</f>
        <v>0</v>
      </c>
      <c r="X221" s="173">
        <f>IFERROR(VLOOKUP($B221,Totalt!$B$1:$AQ$554,MATCH(X$2,Totalt!$B$1:$AQ$1,0),FALSE),"")</f>
        <v>0</v>
      </c>
      <c r="Y221" s="173">
        <f>IFERROR(VLOOKUP($B221,Totalt!$B$1:$AQ$554,MATCH(Y$2,Totalt!$B$1:$AQ$1,0),FALSE),"")</f>
        <v>0</v>
      </c>
      <c r="Z221" s="173">
        <f>IFERROR(VLOOKUP($B221,Totalt!$B$1:$AQ$554,MATCH(Z$2,Totalt!$B$1:$AQ$1,0),FALSE),"")</f>
        <v>0</v>
      </c>
      <c r="AA221" s="173">
        <f>IFERROR(VLOOKUP($B221,Totalt!$B$1:$AQ$554,MATCH(AA$2,Totalt!$B$1:$AQ$1,0),FALSE),"")</f>
        <v>0</v>
      </c>
      <c r="AB221" s="173">
        <f>IFERROR(VLOOKUP($B221,Totalt!$B$1:$AQ$554,MATCH(AB$2,Totalt!$B$1:$AQ$1,0),FALSE),"")</f>
        <v>0</v>
      </c>
      <c r="AC221" s="173">
        <f>IFERROR(VLOOKUP($B221,Totalt!$B$1:$AQ$554,MATCH(AC$2,Totalt!$B$1:$AQ$1,0),FALSE),"")</f>
        <v>0</v>
      </c>
      <c r="AD221" s="173">
        <f>IFERROR(VLOOKUP($B221,Totalt!$B$1:$AQ$554,MATCH(AD$2,Totalt!$B$1:$AQ$1,0),FALSE),"")</f>
        <v>0</v>
      </c>
      <c r="AE221" s="173">
        <f>IFERROR(VLOOKUP($B221,Totalt!$B$1:$AQ$554,MATCH(AE$2,Totalt!$B$1:$AQ$1,0),FALSE),"")</f>
        <v>0</v>
      </c>
      <c r="AF221" s="173">
        <f>IFERROR(VLOOKUP($B221,Totalt!$B$1:$AQ$554,MATCH(AF$2,Totalt!$B$1:$AQ$1,0),FALSE),"")</f>
        <v>0.14099999999999999</v>
      </c>
      <c r="AG221" s="173">
        <f>IFERROR(VLOOKUP($B221,Totalt!$B$1:$AQ$554,MATCH(AG$2,Totalt!$B$1:$AQ$1,0),FALSE),"")</f>
        <v>0</v>
      </c>
      <c r="AI221" s="226">
        <f t="shared" si="18"/>
        <v>8.9779999999999998</v>
      </c>
      <c r="AJ221" s="226">
        <f>IF(ISERROR(1/VLOOKUP($B221,Leveranser!$B$1:$S$500,MATCH("såld värme (gwh)",Leveranser!$B$1:$S$1,0),FALSE)),"",VLOOKUP($B221,Leveranser!$B$1:$S$500,MATCH("såld värme (gwh)",Leveranser!$B$1:$S$1,0),FALSE))</f>
        <v>6.87</v>
      </c>
      <c r="AM221" s="227" t="str">
        <f>IF(B221&lt;&gt;"",IF(VLOOKUP($B221,Totalt!$B$1:$AQ$554,MATCH("Kvalitetsgranskad:",Totalt!$B$1:$AQ$1,0),FALSE)="ja",VLOOKUP($B221,Miljö!$B$1:$AG$479,MATCH(AM$2,Miljö!$B$1:$AK$1,0),FALSE),""),"")</f>
        <v>Ja</v>
      </c>
      <c r="AN221" s="227" t="str">
        <f>IF(AM221="ja",VLOOKUP($B221,Miljö!$B$1:$J$479,MATCH("Typ av ursprungsspecificerad el   (Om inget värde anges används Nordisk residualmix, se inforuta) ()",Miljö!$B$1:$J$1,0),FALSE),IF(AM221="nej","Nordisk residualel",""))</f>
        <v>'vatten. vind. bio'</v>
      </c>
      <c r="AO221" s="227">
        <f>IF(AM221="","",VLOOKUP($B221,Miljö!$B$1:$J$479,MATCH("Fossilandel för ursprungspecificerad el ()",Miljö!$B$1:$J$1,0),FALSE))</f>
        <v>0</v>
      </c>
      <c r="AP221" s="227">
        <f>IF(AM221="","",IFERROR(VLOOKUP($B221,Miljö!$B$1:$J$479,MATCH("Kärnkraftsandel för ursprungsspecificerad el ()",Miljö!$B$1:$J$1,0),FALSE)/1,0))</f>
        <v>0</v>
      </c>
      <c r="AQ221" s="227">
        <f t="shared" si="19"/>
        <v>1</v>
      </c>
      <c r="AR221" s="227"/>
      <c r="AS221" s="227" t="str">
        <f t="shared" si="20"/>
        <v>Nej</v>
      </c>
      <c r="AT221" s="227" t="str">
        <f>IF(AS221="ja",VLOOKUP($B221,Miljö!$B$1:$O$500,MATCH("Fossil andel i procent (%)",Miljö!$B$1:$O$1,0),FALSE)/100,"")</f>
        <v/>
      </c>
      <c r="AU221" s="227"/>
      <c r="AV221" s="227" t="str">
        <f t="shared" si="21"/>
        <v>Nej</v>
      </c>
      <c r="AW221" s="227" t="str">
        <f>IF(AV221="ja",VLOOKUP($B221,'Egen hetvattenprod'!$B$1:$AO$500,MATCH("Värmekälla till värmepumpar ()",'Egen hetvattenprod'!$B$1:$AO$1,0),FALSE),"")</f>
        <v/>
      </c>
      <c r="AX221" s="227"/>
      <c r="AY221" s="227" t="str">
        <f t="shared" si="22"/>
        <v>Nej</v>
      </c>
      <c r="AZ221" s="228" t="str">
        <f>IF($AY221="ja",(VLOOKUP($B221,'Egen hetvattenprod'!$B$1:$BX$550,MATCH(AZ$2,'Egen hetvattenprod'!$B$1:$BX$1,0),FALSE)+VLOOKUP($B221,Kraftvärmeprod!$B$1:$BX$550,MATCH(AZ$2,Kraftvärmeprod!$B$1:$BX$1,0),FALSE))/$AC221,"")</f>
        <v/>
      </c>
      <c r="BA221" s="228" t="str">
        <f>IF($AY221="ja",(VLOOKUP($B221,'Egen hetvattenprod'!$B$1:$BX$550,MATCH(BA$2,'Egen hetvattenprod'!$B$1:$BX$1,0),FALSE)+VLOOKUP($B221,Kraftvärmeprod!$B$1:$BX$550,MATCH(BA$2,Kraftvärmeprod!$B$1:$BX$1,0),FALSE))/$AC221,"")</f>
        <v/>
      </c>
      <c r="BB221" s="228" t="str">
        <f>IF($AY221="ja",(VLOOKUP($B221,'Egen hetvattenprod'!$B$1:$BX$550,MATCH(BB$2,'Egen hetvattenprod'!$B$1:$BX$1,0),FALSE)+VLOOKUP($B221,Kraftvärmeprod!$B$1:$BX$550,MATCH(BB$2,Kraftvärmeprod!$B$1:$BX$1,0),FALSE))/$AC221,"")</f>
        <v/>
      </c>
      <c r="BC221" s="228" t="str">
        <f>IF($AY221="ja",(VLOOKUP($B221,'Egen hetvattenprod'!$B$1:$BX$550,MATCH(BC$2,'Egen hetvattenprod'!$B$1:$BX$1,0),FALSE)+VLOOKUP($B221,Kraftvärmeprod!$B$1:$BX$550,MATCH(BC$2,Kraftvärmeprod!$B$1:$BX$1,0),FALSE))/$AC221,"")</f>
        <v/>
      </c>
      <c r="BD221" s="228" t="str">
        <f>IF($AY221="ja",(VLOOKUP($B221,'Egen hetvattenprod'!$B$1:$BX$550,MATCH(BD$2,'Egen hetvattenprod'!$B$1:$BX$1,0),FALSE)+VLOOKUP($B221,Kraftvärmeprod!$B$1:$BX$550,MATCH(BD$2,Kraftvärmeprod!$B$1:$BX$1,0),FALSE))/$AC221,"")</f>
        <v/>
      </c>
      <c r="BE221" s="227"/>
      <c r="BF221" s="227" t="str">
        <f t="shared" si="23"/>
        <v>Nej</v>
      </c>
      <c r="BG221" s="227" t="str">
        <f>IF($BF221="ja",VLOOKUP($B221,'Egen hetvattenprod'!$B$1:$BX$550,MATCH("Andelen klimatgaser med fossilt ursprung för avfall ()",'Egen hetvattenprod'!$B$1:$BX$1,0),FALSE),"")</f>
        <v/>
      </c>
      <c r="BH221" s="227" t="str">
        <f>IF($BF221="ja",VLOOKUP($B221,Kraftvärmeprod!$B$1:$BX$550,MATCH("Andelen klimatgaser med fossilt ursprung för avfall ()",Kraftvärmeprod!$B$1:$BX$1,0),FALSE),"")</f>
        <v/>
      </c>
      <c r="BI221" s="227" t="str">
        <f>IF($BF221="ja",VLOOKUP($B221,'Egen hetvattenprod'!$B$1:$BX$550,MATCH("Avfall (GWh)",'Egen hetvattenprod'!$B$1:$BX$1,0),FALSE),"")</f>
        <v/>
      </c>
      <c r="BJ221" s="227" t="str">
        <f>IF($BF221="ja",VLOOKUP($B221,'Slutlig allokering kvv'!$B$1:$BX$550,MATCH("Avfall (GWh)",'Slutlig allokering kvv'!$B$1:$BX$1,0),FALSE),"")</f>
        <v/>
      </c>
      <c r="BK221" s="227" t="str">
        <f>IF($BF221="ja",VLOOKUP($B221,'Köpt hetvatten'!$B$1:$BX$550,MATCH("Avfall i köpt hetvatten",'Köpt hetvatten'!$B$1:$BX$1,0),FALSE),"")</f>
        <v/>
      </c>
      <c r="BL221" s="227" t="str">
        <f>IF($BF221="ja",VLOOKUP($B221,'Egen hetvattenprod'!$B$1:$BX$550,MATCH("Värde enligt ovan. (%)",'Egen hetvattenprod'!$B$1:$BX$1,0),FALSE),"")</f>
        <v/>
      </c>
      <c r="BM221" s="227" t="str">
        <f>IF($BF221="ja",VLOOKUP($B221,Kraftvärmeprod!$B$1:$BX$550,MATCH("Värde enligt ovan. (%)",Kraftvärmeprod!$B$1:$BX$1,0),FALSE),"")</f>
        <v/>
      </c>
      <c r="BN221" s="227"/>
      <c r="BO221" s="227"/>
      <c r="BP221" s="227"/>
      <c r="BQ221" s="227" t="str">
        <f>IF($BF221="ja",VLOOKUP($B221,'Egen hetvattenprod'!$B$1:$BX$550,MATCH("Tillförd olja (fossil) vid avfallsförbränning (GWh)",'Egen hetvattenprod'!$B$1:$BX$1,0),FALSE),"")</f>
        <v/>
      </c>
      <c r="BR221" s="227" t="str">
        <f>IF($BF221="ja",VLOOKUP($B221,Kraftvärmeprod!$B$1:$BX$550,MATCH("Tillförd olja (fossil) vid avfallsförbränning (GWh)",Kraftvärmeprod!$B$1:$BX$1,0),FALSE),"")</f>
        <v/>
      </c>
      <c r="BS221" s="227"/>
      <c r="BT221" s="227"/>
      <c r="BU221" s="227"/>
    </row>
    <row r="222" spans="1:73" x14ac:dyDescent="0.25">
      <c r="A222" s="121" t="str">
        <f>'Miljövärden för publ företag'!B225</f>
        <v>Skellefteå Kraft AB</v>
      </c>
      <c r="B222" s="121" t="str">
        <f>'Miljövärden för publ företag'!C225</f>
        <v>Kåge</v>
      </c>
      <c r="C222" s="173">
        <f>IFERROR(VLOOKUP($B222,Totalt!$B$1:$AQ$554,MATCH(C$2,Totalt!$B$1:$AQ$1,0),FALSE),"")</f>
        <v>0</v>
      </c>
      <c r="D222" s="173">
        <f>IFERROR(VLOOKUP($B222,Totalt!$B$1:$AQ$554,MATCH(D$2,Totalt!$B$1:$AQ$1,0),FALSE),"")</f>
        <v>2.1999999999999999E-2</v>
      </c>
      <c r="E222" s="173">
        <f>IFERROR(VLOOKUP($B222,Totalt!$B$1:$AQ$554,MATCH(E$2,Totalt!$B$1:$AQ$1,0),FALSE),"")</f>
        <v>0</v>
      </c>
      <c r="F222" s="173">
        <f>IFERROR(VLOOKUP($B222,Totalt!$B$1:$AQ$554,MATCH(F$2,Totalt!$B$1:$AQ$1,0),FALSE),"")</f>
        <v>0</v>
      </c>
      <c r="G222" s="173">
        <f>IFERROR(VLOOKUP($B222,Totalt!$B$1:$AQ$554,MATCH(G$2,Totalt!$B$1:$AQ$1,0),FALSE),"")</f>
        <v>0</v>
      </c>
      <c r="H222" s="173">
        <f>IFERROR(VLOOKUP($B222,Totalt!$B$1:$AQ$554,MATCH(H$2,Totalt!$B$1:$AQ$1,0),FALSE),"")</f>
        <v>0</v>
      </c>
      <c r="I222" s="173">
        <f>IFERROR(VLOOKUP($B222,Totalt!$B$1:$AQ$554,MATCH(I$2,Totalt!$B$1:$AQ$1,0),FALSE),"")</f>
        <v>0</v>
      </c>
      <c r="J222" s="173">
        <f>IFERROR(VLOOKUP($B222,Totalt!$B$1:$AQ$554,MATCH(J$2,Totalt!$B$1:$AQ$1,0),FALSE),"")</f>
        <v>0</v>
      </c>
      <c r="K222" s="173">
        <f>IFERROR(VLOOKUP($B222,Totalt!$B$1:$AQ$554,MATCH(K$2,Totalt!$B$1:$AQ$1,0),FALSE),"")</f>
        <v>0</v>
      </c>
      <c r="L222" s="173">
        <f>IFERROR(VLOOKUP($B222,Totalt!$B$1:$AQ$554,MATCH(L$2,Totalt!$B$1:$AQ$1,0),FALSE),"")</f>
        <v>0</v>
      </c>
      <c r="M222" s="173">
        <f>IFERROR(VLOOKUP($B222,Totalt!$B$1:$AQ$554,MATCH(M$2,Totalt!$B$1:$AQ$1,0),FALSE),"")</f>
        <v>0</v>
      </c>
      <c r="N222" s="173">
        <f>IFERROR(VLOOKUP($B222,Totalt!$B$1:$AQ$554,MATCH(N$2,Totalt!$B$1:$AQ$1,0),FALSE),"")</f>
        <v>0</v>
      </c>
      <c r="O222" s="173">
        <f>IFERROR(VLOOKUP($B222,Totalt!$B$1:$AQ$554,MATCH(O$2,Totalt!$B$1:$AQ$1,0),FALSE),"")</f>
        <v>0</v>
      </c>
      <c r="P222" s="173">
        <f>IFERROR(VLOOKUP($B222,Totalt!$B$1:$AQ$554,MATCH(P$2,Totalt!$B$1:$AQ$1,0),FALSE),"")</f>
        <v>0</v>
      </c>
      <c r="Q222" s="173">
        <f>IFERROR(VLOOKUP($B222,Totalt!$B$1:$AQ$554,MATCH(Q$2,Totalt!$B$1:$AQ$1,0),FALSE),"")</f>
        <v>0</v>
      </c>
      <c r="R222" s="173">
        <f>IFERROR(VLOOKUP($B222,Totalt!$B$1:$AQ$554,MATCH(R$2,Totalt!$B$1:$AQ$1,0),FALSE),"")</f>
        <v>6.9969999999999999</v>
      </c>
      <c r="S222" s="173">
        <f>IFERROR(VLOOKUP($B222,Totalt!$B$1:$AQ$554,MATCH(S$2,Totalt!$B$1:$AQ$1,0),FALSE),"")</f>
        <v>0</v>
      </c>
      <c r="T222" s="173">
        <f>IFERROR(VLOOKUP($B222,Totalt!$B$1:$AQ$554,MATCH(T$2,Totalt!$B$1:$AQ$1,0),FALSE),"")</f>
        <v>0</v>
      </c>
      <c r="U222" s="173">
        <f>IFERROR(VLOOKUP($B222,Totalt!$B$1:$AQ$554,MATCH(U$2,Totalt!$B$1:$AQ$1,0),FALSE),"")</f>
        <v>0</v>
      </c>
      <c r="V222" s="173">
        <f>IFERROR(VLOOKUP($B222,Totalt!$B$1:$AQ$554,MATCH(V$2,Totalt!$B$1:$AQ$1,0),FALSE),"")</f>
        <v>0</v>
      </c>
      <c r="W222" s="173">
        <f>IFERROR(VLOOKUP($B222,Totalt!$B$1:$AQ$554,MATCH(W$2,Totalt!$B$1:$AQ$1,0),FALSE),"")</f>
        <v>0</v>
      </c>
      <c r="X222" s="173">
        <f>IFERROR(VLOOKUP($B222,Totalt!$B$1:$AQ$554,MATCH(X$2,Totalt!$B$1:$AQ$1,0),FALSE),"")</f>
        <v>0</v>
      </c>
      <c r="Y222" s="173">
        <f>IFERROR(VLOOKUP($B222,Totalt!$B$1:$AQ$554,MATCH(Y$2,Totalt!$B$1:$AQ$1,0),FALSE),"")</f>
        <v>0</v>
      </c>
      <c r="Z222" s="173">
        <f>IFERROR(VLOOKUP($B222,Totalt!$B$1:$AQ$554,MATCH(Z$2,Totalt!$B$1:$AQ$1,0),FALSE),"")</f>
        <v>7.8E-2</v>
      </c>
      <c r="AA222" s="173">
        <f>IFERROR(VLOOKUP($B222,Totalt!$B$1:$AQ$554,MATCH(AA$2,Totalt!$B$1:$AQ$1,0),FALSE),"")</f>
        <v>0</v>
      </c>
      <c r="AB222" s="173">
        <f>IFERROR(VLOOKUP($B222,Totalt!$B$1:$AQ$554,MATCH(AB$2,Totalt!$B$1:$AQ$1,0),FALSE),"")</f>
        <v>0</v>
      </c>
      <c r="AC222" s="173">
        <f>IFERROR(VLOOKUP($B222,Totalt!$B$1:$AQ$554,MATCH(AC$2,Totalt!$B$1:$AQ$1,0),FALSE),"")</f>
        <v>0</v>
      </c>
      <c r="AD222" s="173">
        <f>IFERROR(VLOOKUP($B222,Totalt!$B$1:$AQ$554,MATCH(AD$2,Totalt!$B$1:$AQ$1,0),FALSE),"")</f>
        <v>0</v>
      </c>
      <c r="AE222" s="173">
        <f>IFERROR(VLOOKUP($B222,Totalt!$B$1:$AQ$554,MATCH(AE$2,Totalt!$B$1:$AQ$1,0),FALSE),"")</f>
        <v>0</v>
      </c>
      <c r="AF222" s="173">
        <f>IFERROR(VLOOKUP($B222,Totalt!$B$1:$AQ$554,MATCH(AF$2,Totalt!$B$1:$AQ$1,0),FALSE),"")</f>
        <v>6.9000000000000006E-2</v>
      </c>
      <c r="AG222" s="173">
        <f>IFERROR(VLOOKUP($B222,Totalt!$B$1:$AQ$554,MATCH(AG$2,Totalt!$B$1:$AQ$1,0),FALSE),"")</f>
        <v>0</v>
      </c>
      <c r="AI222" s="226">
        <f t="shared" si="18"/>
        <v>7.1660000000000004</v>
      </c>
      <c r="AJ222" s="226">
        <f>IF(ISERROR(1/VLOOKUP($B222,Leveranser!$B$1:$S$500,MATCH("såld värme (gwh)",Leveranser!$B$1:$S$1,0),FALSE)),"",VLOOKUP($B222,Leveranser!$B$1:$S$500,MATCH("såld värme (gwh)",Leveranser!$B$1:$S$1,0),FALSE))</f>
        <v>5.27</v>
      </c>
      <c r="AM222" s="227" t="str">
        <f>IF(B222&lt;&gt;"",IF(VLOOKUP($B222,Totalt!$B$1:$AQ$554,MATCH("Kvalitetsgranskad:",Totalt!$B$1:$AQ$1,0),FALSE)="ja",VLOOKUP($B222,Miljö!$B$1:$AG$479,MATCH(AM$2,Miljö!$B$1:$AK$1,0),FALSE),""),"")</f>
        <v>Ja</v>
      </c>
      <c r="AN222" s="227" t="str">
        <f>IF(AM222="ja",VLOOKUP($B222,Miljö!$B$1:$J$479,MATCH("Typ av ursprungsspecificerad el   (Om inget värde anges används Nordisk residualmix, se inforuta) ()",Miljö!$B$1:$J$1,0),FALSE),IF(AM222="nej","Nordisk residualel",""))</f>
        <v>'vatten. vind. bio'</v>
      </c>
      <c r="AO222" s="227">
        <f>IF(AM222="","",VLOOKUP($B222,Miljö!$B$1:$J$479,MATCH("Fossilandel för ursprungspecificerad el ()",Miljö!$B$1:$J$1,0),FALSE))</f>
        <v>0</v>
      </c>
      <c r="AP222" s="227">
        <f>IF(AM222="","",IFERROR(VLOOKUP($B222,Miljö!$B$1:$J$479,MATCH("Kärnkraftsandel för ursprungsspecificerad el ()",Miljö!$B$1:$J$1,0),FALSE)/1,0))</f>
        <v>0</v>
      </c>
      <c r="AQ222" s="227">
        <f t="shared" si="19"/>
        <v>1</v>
      </c>
      <c r="AR222" s="227"/>
      <c r="AS222" s="227" t="str">
        <f t="shared" si="20"/>
        <v>Nej</v>
      </c>
      <c r="AT222" s="227" t="str">
        <f>IF(AS222="ja",VLOOKUP($B222,Miljö!$B$1:$O$500,MATCH("Fossil andel i procent (%)",Miljö!$B$1:$O$1,0),FALSE)/100,"")</f>
        <v/>
      </c>
      <c r="AU222" s="227"/>
      <c r="AV222" s="227" t="str">
        <f t="shared" si="21"/>
        <v>Nej</v>
      </c>
      <c r="AW222" s="227" t="str">
        <f>IF(AV222="ja",VLOOKUP($B222,'Egen hetvattenprod'!$B$1:$AO$500,MATCH("Värmekälla till värmepumpar ()",'Egen hetvattenprod'!$B$1:$AO$1,0),FALSE),"")</f>
        <v/>
      </c>
      <c r="AX222" s="227"/>
      <c r="AY222" s="227" t="str">
        <f t="shared" si="22"/>
        <v>Nej</v>
      </c>
      <c r="AZ222" s="228" t="str">
        <f>IF($AY222="ja",(VLOOKUP($B222,'Egen hetvattenprod'!$B$1:$BX$550,MATCH(AZ$2,'Egen hetvattenprod'!$B$1:$BX$1,0),FALSE)+VLOOKUP($B222,Kraftvärmeprod!$B$1:$BX$550,MATCH(AZ$2,Kraftvärmeprod!$B$1:$BX$1,0),FALSE))/$AC222,"")</f>
        <v/>
      </c>
      <c r="BA222" s="228" t="str">
        <f>IF($AY222="ja",(VLOOKUP($B222,'Egen hetvattenprod'!$B$1:$BX$550,MATCH(BA$2,'Egen hetvattenprod'!$B$1:$BX$1,0),FALSE)+VLOOKUP($B222,Kraftvärmeprod!$B$1:$BX$550,MATCH(BA$2,Kraftvärmeprod!$B$1:$BX$1,0),FALSE))/$AC222,"")</f>
        <v/>
      </c>
      <c r="BB222" s="228" t="str">
        <f>IF($AY222="ja",(VLOOKUP($B222,'Egen hetvattenprod'!$B$1:$BX$550,MATCH(BB$2,'Egen hetvattenprod'!$B$1:$BX$1,0),FALSE)+VLOOKUP($B222,Kraftvärmeprod!$B$1:$BX$550,MATCH(BB$2,Kraftvärmeprod!$B$1:$BX$1,0),FALSE))/$AC222,"")</f>
        <v/>
      </c>
      <c r="BC222" s="228" t="str">
        <f>IF($AY222="ja",(VLOOKUP($B222,'Egen hetvattenprod'!$B$1:$BX$550,MATCH(BC$2,'Egen hetvattenprod'!$B$1:$BX$1,0),FALSE)+VLOOKUP($B222,Kraftvärmeprod!$B$1:$BX$550,MATCH(BC$2,Kraftvärmeprod!$B$1:$BX$1,0),FALSE))/$AC222,"")</f>
        <v/>
      </c>
      <c r="BD222" s="228" t="str">
        <f>IF($AY222="ja",(VLOOKUP($B222,'Egen hetvattenprod'!$B$1:$BX$550,MATCH(BD$2,'Egen hetvattenprod'!$B$1:$BX$1,0),FALSE)+VLOOKUP($B222,Kraftvärmeprod!$B$1:$BX$550,MATCH(BD$2,Kraftvärmeprod!$B$1:$BX$1,0),FALSE))/$AC222,"")</f>
        <v/>
      </c>
      <c r="BE222" s="227"/>
      <c r="BF222" s="227" t="str">
        <f t="shared" si="23"/>
        <v>Nej</v>
      </c>
      <c r="BG222" s="227" t="str">
        <f>IF($BF222="ja",VLOOKUP($B222,'Egen hetvattenprod'!$B$1:$BX$550,MATCH("Andelen klimatgaser med fossilt ursprung för avfall ()",'Egen hetvattenprod'!$B$1:$BX$1,0),FALSE),"")</f>
        <v/>
      </c>
      <c r="BH222" s="227" t="str">
        <f>IF($BF222="ja",VLOOKUP($B222,Kraftvärmeprod!$B$1:$BX$550,MATCH("Andelen klimatgaser med fossilt ursprung för avfall ()",Kraftvärmeprod!$B$1:$BX$1,0),FALSE),"")</f>
        <v/>
      </c>
      <c r="BI222" s="227" t="str">
        <f>IF($BF222="ja",VLOOKUP($B222,'Egen hetvattenprod'!$B$1:$BX$550,MATCH("Avfall (GWh)",'Egen hetvattenprod'!$B$1:$BX$1,0),FALSE),"")</f>
        <v/>
      </c>
      <c r="BJ222" s="227" t="str">
        <f>IF($BF222="ja",VLOOKUP($B222,'Slutlig allokering kvv'!$B$1:$BX$550,MATCH("Avfall (GWh)",'Slutlig allokering kvv'!$B$1:$BX$1,0),FALSE),"")</f>
        <v/>
      </c>
      <c r="BK222" s="227" t="str">
        <f>IF($BF222="ja",VLOOKUP($B222,'Köpt hetvatten'!$B$1:$BX$550,MATCH("Avfall i köpt hetvatten",'Köpt hetvatten'!$B$1:$BX$1,0),FALSE),"")</f>
        <v/>
      </c>
      <c r="BL222" s="227" t="str">
        <f>IF($BF222="ja",VLOOKUP($B222,'Egen hetvattenprod'!$B$1:$BX$550,MATCH("Värde enligt ovan. (%)",'Egen hetvattenprod'!$B$1:$BX$1,0),FALSE),"")</f>
        <v/>
      </c>
      <c r="BM222" s="227" t="str">
        <f>IF($BF222="ja",VLOOKUP($B222,Kraftvärmeprod!$B$1:$BX$550,MATCH("Värde enligt ovan. (%)",Kraftvärmeprod!$B$1:$BX$1,0),FALSE),"")</f>
        <v/>
      </c>
      <c r="BN222" s="227"/>
      <c r="BO222" s="227"/>
      <c r="BP222" s="227"/>
      <c r="BQ222" s="227" t="str">
        <f>IF($BF222="ja",VLOOKUP($B222,'Egen hetvattenprod'!$B$1:$BX$550,MATCH("Tillförd olja (fossil) vid avfallsförbränning (GWh)",'Egen hetvattenprod'!$B$1:$BX$1,0),FALSE),"")</f>
        <v/>
      </c>
      <c r="BR222" s="227" t="str">
        <f>IF($BF222="ja",VLOOKUP($B222,Kraftvärmeprod!$B$1:$BX$550,MATCH("Tillförd olja (fossil) vid avfallsförbränning (GWh)",Kraftvärmeprod!$B$1:$BX$1,0),FALSE),"")</f>
        <v/>
      </c>
      <c r="BS222" s="227"/>
      <c r="BT222" s="227"/>
      <c r="BU222" s="227"/>
    </row>
    <row r="223" spans="1:73" x14ac:dyDescent="0.25">
      <c r="A223" s="121" t="str">
        <f>'Miljövärden för publ företag'!B226</f>
        <v>Skellefteå Kraft AB</v>
      </c>
      <c r="B223" s="121" t="str">
        <f>'Miljövärden för publ företag'!C226</f>
        <v>Lidbacken</v>
      </c>
      <c r="C223" s="173">
        <f>IFERROR(VLOOKUP($B223,Totalt!$B$1:$AQ$554,MATCH(C$2,Totalt!$B$1:$AQ$1,0),FALSE),"")</f>
        <v>0</v>
      </c>
      <c r="D223" s="173">
        <f>IFERROR(VLOOKUP($B223,Totalt!$B$1:$AQ$554,MATCH(D$2,Totalt!$B$1:$AQ$1,0),FALSE),"")</f>
        <v>5.3999999999999999E-2</v>
      </c>
      <c r="E223" s="173">
        <f>IFERROR(VLOOKUP($B223,Totalt!$B$1:$AQ$554,MATCH(E$2,Totalt!$B$1:$AQ$1,0),FALSE),"")</f>
        <v>0</v>
      </c>
      <c r="F223" s="173">
        <f>IFERROR(VLOOKUP($B223,Totalt!$B$1:$AQ$554,MATCH(F$2,Totalt!$B$1:$AQ$1,0),FALSE),"")</f>
        <v>0</v>
      </c>
      <c r="G223" s="173">
        <f>IFERROR(VLOOKUP($B223,Totalt!$B$1:$AQ$554,MATCH(G$2,Totalt!$B$1:$AQ$1,0),FALSE),"")</f>
        <v>0</v>
      </c>
      <c r="H223" s="173">
        <f>IFERROR(VLOOKUP($B223,Totalt!$B$1:$AQ$554,MATCH(H$2,Totalt!$B$1:$AQ$1,0),FALSE),"")</f>
        <v>0</v>
      </c>
      <c r="I223" s="173">
        <f>IFERROR(VLOOKUP($B223,Totalt!$B$1:$AQ$554,MATCH(I$2,Totalt!$B$1:$AQ$1,0),FALSE),"")</f>
        <v>0</v>
      </c>
      <c r="J223" s="173">
        <f>IFERROR(VLOOKUP($B223,Totalt!$B$1:$AQ$554,MATCH(J$2,Totalt!$B$1:$AQ$1,0),FALSE),"")</f>
        <v>0</v>
      </c>
      <c r="K223" s="173">
        <f>IFERROR(VLOOKUP($B223,Totalt!$B$1:$AQ$554,MATCH(K$2,Totalt!$B$1:$AQ$1,0),FALSE),"")</f>
        <v>0</v>
      </c>
      <c r="L223" s="173">
        <f>IFERROR(VLOOKUP($B223,Totalt!$B$1:$AQ$554,MATCH(L$2,Totalt!$B$1:$AQ$1,0),FALSE),"")</f>
        <v>0</v>
      </c>
      <c r="M223" s="173">
        <f>IFERROR(VLOOKUP($B223,Totalt!$B$1:$AQ$554,MATCH(M$2,Totalt!$B$1:$AQ$1,0),FALSE),"")</f>
        <v>0</v>
      </c>
      <c r="N223" s="173">
        <f>IFERROR(VLOOKUP($B223,Totalt!$B$1:$AQ$554,MATCH(N$2,Totalt!$B$1:$AQ$1,0),FALSE),"")</f>
        <v>0</v>
      </c>
      <c r="O223" s="173">
        <f>IFERROR(VLOOKUP($B223,Totalt!$B$1:$AQ$554,MATCH(O$2,Totalt!$B$1:$AQ$1,0),FALSE),"")</f>
        <v>0</v>
      </c>
      <c r="P223" s="173">
        <f>IFERROR(VLOOKUP($B223,Totalt!$B$1:$AQ$554,MATCH(P$2,Totalt!$B$1:$AQ$1,0),FALSE),"")</f>
        <v>0</v>
      </c>
      <c r="Q223" s="173">
        <f>IFERROR(VLOOKUP($B223,Totalt!$B$1:$AQ$554,MATCH(Q$2,Totalt!$B$1:$AQ$1,0),FALSE),"")</f>
        <v>0</v>
      </c>
      <c r="R223" s="173">
        <f>IFERROR(VLOOKUP($B223,Totalt!$B$1:$AQ$554,MATCH(R$2,Totalt!$B$1:$AQ$1,0),FALSE),"")</f>
        <v>3.5680000000000001</v>
      </c>
      <c r="S223" s="173">
        <f>IFERROR(VLOOKUP($B223,Totalt!$B$1:$AQ$554,MATCH(S$2,Totalt!$B$1:$AQ$1,0),FALSE),"")</f>
        <v>0</v>
      </c>
      <c r="T223" s="173">
        <f>IFERROR(VLOOKUP($B223,Totalt!$B$1:$AQ$554,MATCH(T$2,Totalt!$B$1:$AQ$1,0),FALSE),"")</f>
        <v>0</v>
      </c>
      <c r="U223" s="173">
        <f>IFERROR(VLOOKUP($B223,Totalt!$B$1:$AQ$554,MATCH(U$2,Totalt!$B$1:$AQ$1,0),FALSE),"")</f>
        <v>0</v>
      </c>
      <c r="V223" s="173">
        <f>IFERROR(VLOOKUP($B223,Totalt!$B$1:$AQ$554,MATCH(V$2,Totalt!$B$1:$AQ$1,0),FALSE),"")</f>
        <v>0</v>
      </c>
      <c r="W223" s="173">
        <f>IFERROR(VLOOKUP($B223,Totalt!$B$1:$AQ$554,MATCH(W$2,Totalt!$B$1:$AQ$1,0),FALSE),"")</f>
        <v>0</v>
      </c>
      <c r="X223" s="173">
        <f>IFERROR(VLOOKUP($B223,Totalt!$B$1:$AQ$554,MATCH(X$2,Totalt!$B$1:$AQ$1,0),FALSE),"")</f>
        <v>0</v>
      </c>
      <c r="Y223" s="173">
        <f>IFERROR(VLOOKUP($B223,Totalt!$B$1:$AQ$554,MATCH(Y$2,Totalt!$B$1:$AQ$1,0),FALSE),"")</f>
        <v>0</v>
      </c>
      <c r="Z223" s="173">
        <f>IFERROR(VLOOKUP($B223,Totalt!$B$1:$AQ$554,MATCH(Z$2,Totalt!$B$1:$AQ$1,0),FALSE),"")</f>
        <v>0</v>
      </c>
      <c r="AA223" s="173">
        <f>IFERROR(VLOOKUP($B223,Totalt!$B$1:$AQ$554,MATCH(AA$2,Totalt!$B$1:$AQ$1,0),FALSE),"")</f>
        <v>0</v>
      </c>
      <c r="AB223" s="173">
        <f>IFERROR(VLOOKUP($B223,Totalt!$B$1:$AQ$554,MATCH(AB$2,Totalt!$B$1:$AQ$1,0),FALSE),"")</f>
        <v>0</v>
      </c>
      <c r="AC223" s="173">
        <f>IFERROR(VLOOKUP($B223,Totalt!$B$1:$AQ$554,MATCH(AC$2,Totalt!$B$1:$AQ$1,0),FALSE),"")</f>
        <v>0</v>
      </c>
      <c r="AD223" s="173">
        <f>IFERROR(VLOOKUP($B223,Totalt!$B$1:$AQ$554,MATCH(AD$2,Totalt!$B$1:$AQ$1,0),FALSE),"")</f>
        <v>0</v>
      </c>
      <c r="AE223" s="173">
        <f>IFERROR(VLOOKUP($B223,Totalt!$B$1:$AQ$554,MATCH(AE$2,Totalt!$B$1:$AQ$1,0),FALSE),"")</f>
        <v>0</v>
      </c>
      <c r="AF223" s="173">
        <f>IFERROR(VLOOKUP($B223,Totalt!$B$1:$AQ$554,MATCH(AF$2,Totalt!$B$1:$AQ$1,0),FALSE),"")</f>
        <v>3.2000000000000001E-2</v>
      </c>
      <c r="AG223" s="173">
        <f>IFERROR(VLOOKUP($B223,Totalt!$B$1:$AQ$554,MATCH(AG$2,Totalt!$B$1:$AQ$1,0),FALSE),"")</f>
        <v>0</v>
      </c>
      <c r="AI223" s="226">
        <f t="shared" si="18"/>
        <v>3.6539999999999999</v>
      </c>
      <c r="AJ223" s="226">
        <f>IF(ISERROR(1/VLOOKUP($B223,Leveranser!$B$1:$S$500,MATCH("såld värme (gwh)",Leveranser!$B$1:$S$1,0),FALSE)),"",VLOOKUP($B223,Leveranser!$B$1:$S$500,MATCH("såld värme (gwh)",Leveranser!$B$1:$S$1,0),FALSE))</f>
        <v>2.855</v>
      </c>
      <c r="AM223" s="227" t="str">
        <f>IF(B223&lt;&gt;"",IF(VLOOKUP($B223,Totalt!$B$1:$AQ$554,MATCH("Kvalitetsgranskad:",Totalt!$B$1:$AQ$1,0),FALSE)="ja",VLOOKUP($B223,Miljö!$B$1:$AG$479,MATCH(AM$2,Miljö!$B$1:$AK$1,0),FALSE),""),"")</f>
        <v>Ja</v>
      </c>
      <c r="AN223" s="227" t="str">
        <f>IF(AM223="ja",VLOOKUP($B223,Miljö!$B$1:$J$479,MATCH("Typ av ursprungsspecificerad el   (Om inget värde anges används Nordisk residualmix, se inforuta) ()",Miljö!$B$1:$J$1,0),FALSE),IF(AM223="nej","Nordisk residualel",""))</f>
        <v>'vatten. vind. bio'</v>
      </c>
      <c r="AO223" s="227">
        <f>IF(AM223="","",VLOOKUP($B223,Miljö!$B$1:$J$479,MATCH("Fossilandel för ursprungspecificerad el ()",Miljö!$B$1:$J$1,0),FALSE))</f>
        <v>0</v>
      </c>
      <c r="AP223" s="227">
        <f>IF(AM223="","",IFERROR(VLOOKUP($B223,Miljö!$B$1:$J$479,MATCH("Kärnkraftsandel för ursprungsspecificerad el ()",Miljö!$B$1:$J$1,0),FALSE)/1,0))</f>
        <v>0</v>
      </c>
      <c r="AQ223" s="227">
        <f t="shared" si="19"/>
        <v>1</v>
      </c>
      <c r="AR223" s="227"/>
      <c r="AS223" s="227" t="str">
        <f t="shared" si="20"/>
        <v>Nej</v>
      </c>
      <c r="AT223" s="227" t="str">
        <f>IF(AS223="ja",VLOOKUP($B223,Miljö!$B$1:$O$500,MATCH("Fossil andel i procent (%)",Miljö!$B$1:$O$1,0),FALSE)/100,"")</f>
        <v/>
      </c>
      <c r="AU223" s="227"/>
      <c r="AV223" s="227" t="str">
        <f t="shared" si="21"/>
        <v>Nej</v>
      </c>
      <c r="AW223" s="227" t="str">
        <f>IF(AV223="ja",VLOOKUP($B223,'Egen hetvattenprod'!$B$1:$AO$500,MATCH("Värmekälla till värmepumpar ()",'Egen hetvattenprod'!$B$1:$AO$1,0),FALSE),"")</f>
        <v/>
      </c>
      <c r="AX223" s="227"/>
      <c r="AY223" s="227" t="str">
        <f t="shared" si="22"/>
        <v>Nej</v>
      </c>
      <c r="AZ223" s="228" t="str">
        <f>IF($AY223="ja",(VLOOKUP($B223,'Egen hetvattenprod'!$B$1:$BX$550,MATCH(AZ$2,'Egen hetvattenprod'!$B$1:$BX$1,0),FALSE)+VLOOKUP($B223,Kraftvärmeprod!$B$1:$BX$550,MATCH(AZ$2,Kraftvärmeprod!$B$1:$BX$1,0),FALSE))/$AC223,"")</f>
        <v/>
      </c>
      <c r="BA223" s="228" t="str">
        <f>IF($AY223="ja",(VLOOKUP($B223,'Egen hetvattenprod'!$B$1:$BX$550,MATCH(BA$2,'Egen hetvattenprod'!$B$1:$BX$1,0),FALSE)+VLOOKUP($B223,Kraftvärmeprod!$B$1:$BX$550,MATCH(BA$2,Kraftvärmeprod!$B$1:$BX$1,0),FALSE))/$AC223,"")</f>
        <v/>
      </c>
      <c r="BB223" s="228" t="str">
        <f>IF($AY223="ja",(VLOOKUP($B223,'Egen hetvattenprod'!$B$1:$BX$550,MATCH(BB$2,'Egen hetvattenprod'!$B$1:$BX$1,0),FALSE)+VLOOKUP($B223,Kraftvärmeprod!$B$1:$BX$550,MATCH(BB$2,Kraftvärmeprod!$B$1:$BX$1,0),FALSE))/$AC223,"")</f>
        <v/>
      </c>
      <c r="BC223" s="228" t="str">
        <f>IF($AY223="ja",(VLOOKUP($B223,'Egen hetvattenprod'!$B$1:$BX$550,MATCH(BC$2,'Egen hetvattenprod'!$B$1:$BX$1,0),FALSE)+VLOOKUP($B223,Kraftvärmeprod!$B$1:$BX$550,MATCH(BC$2,Kraftvärmeprod!$B$1:$BX$1,0),FALSE))/$AC223,"")</f>
        <v/>
      </c>
      <c r="BD223" s="228" t="str">
        <f>IF($AY223="ja",(VLOOKUP($B223,'Egen hetvattenprod'!$B$1:$BX$550,MATCH(BD$2,'Egen hetvattenprod'!$B$1:$BX$1,0),FALSE)+VLOOKUP($B223,Kraftvärmeprod!$B$1:$BX$550,MATCH(BD$2,Kraftvärmeprod!$B$1:$BX$1,0),FALSE))/$AC223,"")</f>
        <v/>
      </c>
      <c r="BE223" s="227"/>
      <c r="BF223" s="227" t="str">
        <f t="shared" si="23"/>
        <v>Nej</v>
      </c>
      <c r="BG223" s="227" t="str">
        <f>IF($BF223="ja",VLOOKUP($B223,'Egen hetvattenprod'!$B$1:$BX$550,MATCH("Andelen klimatgaser med fossilt ursprung för avfall ()",'Egen hetvattenprod'!$B$1:$BX$1,0),FALSE),"")</f>
        <v/>
      </c>
      <c r="BH223" s="227" t="str">
        <f>IF($BF223="ja",VLOOKUP($B223,Kraftvärmeprod!$B$1:$BX$550,MATCH("Andelen klimatgaser med fossilt ursprung för avfall ()",Kraftvärmeprod!$B$1:$BX$1,0),FALSE),"")</f>
        <v/>
      </c>
      <c r="BI223" s="227" t="str">
        <f>IF($BF223="ja",VLOOKUP($B223,'Egen hetvattenprod'!$B$1:$BX$550,MATCH("Avfall (GWh)",'Egen hetvattenprod'!$B$1:$BX$1,0),FALSE),"")</f>
        <v/>
      </c>
      <c r="BJ223" s="227" t="str">
        <f>IF($BF223="ja",VLOOKUP($B223,'Slutlig allokering kvv'!$B$1:$BX$550,MATCH("Avfall (GWh)",'Slutlig allokering kvv'!$B$1:$BX$1,0),FALSE),"")</f>
        <v/>
      </c>
      <c r="BK223" s="227" t="str">
        <f>IF($BF223="ja",VLOOKUP($B223,'Köpt hetvatten'!$B$1:$BX$550,MATCH("Avfall i köpt hetvatten",'Köpt hetvatten'!$B$1:$BX$1,0),FALSE),"")</f>
        <v/>
      </c>
      <c r="BL223" s="227" t="str">
        <f>IF($BF223="ja",VLOOKUP($B223,'Egen hetvattenprod'!$B$1:$BX$550,MATCH("Värde enligt ovan. (%)",'Egen hetvattenprod'!$B$1:$BX$1,0),FALSE),"")</f>
        <v/>
      </c>
      <c r="BM223" s="227" t="str">
        <f>IF($BF223="ja",VLOOKUP($B223,Kraftvärmeprod!$B$1:$BX$550,MATCH("Värde enligt ovan. (%)",Kraftvärmeprod!$B$1:$BX$1,0),FALSE),"")</f>
        <v/>
      </c>
      <c r="BN223" s="227"/>
      <c r="BO223" s="227"/>
      <c r="BP223" s="227"/>
      <c r="BQ223" s="227" t="str">
        <f>IF($BF223="ja",VLOOKUP($B223,'Egen hetvattenprod'!$B$1:$BX$550,MATCH("Tillförd olja (fossil) vid avfallsförbränning (GWh)",'Egen hetvattenprod'!$B$1:$BX$1,0),FALSE),"")</f>
        <v/>
      </c>
      <c r="BR223" s="227" t="str">
        <f>IF($BF223="ja",VLOOKUP($B223,Kraftvärmeprod!$B$1:$BX$550,MATCH("Tillförd olja (fossil) vid avfallsförbränning (GWh)",Kraftvärmeprod!$B$1:$BX$1,0),FALSE),"")</f>
        <v/>
      </c>
      <c r="BS223" s="227"/>
      <c r="BT223" s="227"/>
      <c r="BU223" s="227"/>
    </row>
    <row r="224" spans="1:73" x14ac:dyDescent="0.25">
      <c r="A224" s="121" t="str">
        <f>'Miljövärden för publ företag'!B227</f>
        <v>Skellefteå Kraft AB</v>
      </c>
      <c r="B224" s="121" t="str">
        <f>'Miljövärden för publ företag'!C227</f>
        <v>Lycksele</v>
      </c>
      <c r="C224" s="173">
        <f>IFERROR(VLOOKUP($B224,Totalt!$B$1:$AQ$554,MATCH(C$2,Totalt!$B$1:$AQ$1,0),FALSE),"")</f>
        <v>0</v>
      </c>
      <c r="D224" s="173">
        <f>IFERROR(VLOOKUP($B224,Totalt!$B$1:$AQ$554,MATCH(D$2,Totalt!$B$1:$AQ$1,0),FALSE),"")</f>
        <v>0.39076499999999997</v>
      </c>
      <c r="E224" s="173">
        <f>IFERROR(VLOOKUP($B224,Totalt!$B$1:$AQ$554,MATCH(E$2,Totalt!$B$1:$AQ$1,0),FALSE),"")</f>
        <v>7.8560000000000005E-2</v>
      </c>
      <c r="F224" s="173">
        <f>IFERROR(VLOOKUP($B224,Totalt!$B$1:$AQ$554,MATCH(F$2,Totalt!$B$1:$AQ$1,0),FALSE),"")</f>
        <v>0</v>
      </c>
      <c r="G224" s="173">
        <f>IFERROR(VLOOKUP($B224,Totalt!$B$1:$AQ$554,MATCH(G$2,Totalt!$B$1:$AQ$1,0),FALSE),"")</f>
        <v>0</v>
      </c>
      <c r="H224" s="173">
        <f>IFERROR(VLOOKUP($B224,Totalt!$B$1:$AQ$554,MATCH(H$2,Totalt!$B$1:$AQ$1,0),FALSE),"")</f>
        <v>0</v>
      </c>
      <c r="I224" s="173">
        <f>IFERROR(VLOOKUP($B224,Totalt!$B$1:$AQ$554,MATCH(I$2,Totalt!$B$1:$AQ$1,0),FALSE),"")</f>
        <v>0</v>
      </c>
      <c r="J224" s="173">
        <f>IFERROR(VLOOKUP($B224,Totalt!$B$1:$AQ$554,MATCH(J$2,Totalt!$B$1:$AQ$1,0),FALSE),"")</f>
        <v>0</v>
      </c>
      <c r="K224" s="173">
        <f>IFERROR(VLOOKUP($B224,Totalt!$B$1:$AQ$554,MATCH(K$2,Totalt!$B$1:$AQ$1,0),FALSE),"")</f>
        <v>0</v>
      </c>
      <c r="L224" s="173">
        <f>IFERROR(VLOOKUP($B224,Totalt!$B$1:$AQ$554,MATCH(L$2,Totalt!$B$1:$AQ$1,0),FALSE),"")</f>
        <v>0</v>
      </c>
      <c r="M224" s="173">
        <f>IFERROR(VLOOKUP($B224,Totalt!$B$1:$AQ$554,MATCH(M$2,Totalt!$B$1:$AQ$1,0),FALSE),"")</f>
        <v>28.398700000000002</v>
      </c>
      <c r="N224" s="173">
        <f>IFERROR(VLOOKUP($B224,Totalt!$B$1:$AQ$554,MATCH(N$2,Totalt!$B$1:$AQ$1,0),FALSE),"")</f>
        <v>11.1166</v>
      </c>
      <c r="O224" s="173">
        <f>IFERROR(VLOOKUP($B224,Totalt!$B$1:$AQ$554,MATCH(O$2,Totalt!$B$1:$AQ$1,0),FALSE),"")</f>
        <v>36.831499999999998</v>
      </c>
      <c r="P224" s="173">
        <f>IFERROR(VLOOKUP($B224,Totalt!$B$1:$AQ$554,MATCH(P$2,Totalt!$B$1:$AQ$1,0),FALSE),"")</f>
        <v>0</v>
      </c>
      <c r="Q224" s="173">
        <f>IFERROR(VLOOKUP($B224,Totalt!$B$1:$AQ$554,MATCH(Q$2,Totalt!$B$1:$AQ$1,0),FALSE),"")</f>
        <v>6.5667499999999999</v>
      </c>
      <c r="R224" s="173">
        <f>IFERROR(VLOOKUP($B224,Totalt!$B$1:$AQ$554,MATCH(R$2,Totalt!$B$1:$AQ$1,0),FALSE),"")</f>
        <v>0.38326399999999999</v>
      </c>
      <c r="S224" s="173">
        <f>IFERROR(VLOOKUP($B224,Totalt!$B$1:$AQ$554,MATCH(S$2,Totalt!$B$1:$AQ$1,0),FALSE),"")</f>
        <v>0.153306</v>
      </c>
      <c r="T224" s="173">
        <f>IFERROR(VLOOKUP($B224,Totalt!$B$1:$AQ$554,MATCH(T$2,Totalt!$B$1:$AQ$1,0),FALSE),"")</f>
        <v>0</v>
      </c>
      <c r="U224" s="173">
        <f>IFERROR(VLOOKUP($B224,Totalt!$B$1:$AQ$554,MATCH(U$2,Totalt!$B$1:$AQ$1,0),FALSE),"")</f>
        <v>0</v>
      </c>
      <c r="V224" s="173">
        <f>IFERROR(VLOOKUP($B224,Totalt!$B$1:$AQ$554,MATCH(V$2,Totalt!$B$1:$AQ$1,0),FALSE),"")</f>
        <v>0</v>
      </c>
      <c r="W224" s="173">
        <f>IFERROR(VLOOKUP($B224,Totalt!$B$1:$AQ$554,MATCH(W$2,Totalt!$B$1:$AQ$1,0),FALSE),"")</f>
        <v>0</v>
      </c>
      <c r="X224" s="173">
        <f>IFERROR(VLOOKUP($B224,Totalt!$B$1:$AQ$554,MATCH(X$2,Totalt!$B$1:$AQ$1,0),FALSE),"")</f>
        <v>0</v>
      </c>
      <c r="Y224" s="173">
        <f>IFERROR(VLOOKUP($B224,Totalt!$B$1:$AQ$554,MATCH(Y$2,Totalt!$B$1:$AQ$1,0),FALSE),"")</f>
        <v>21.415400000000002</v>
      </c>
      <c r="Z224" s="173">
        <f>IFERROR(VLOOKUP($B224,Totalt!$B$1:$AQ$554,MATCH(Z$2,Totalt!$B$1:$AQ$1,0),FALSE),"")</f>
        <v>1.4016000000000001E-2</v>
      </c>
      <c r="AA224" s="173">
        <f>IFERROR(VLOOKUP($B224,Totalt!$B$1:$AQ$554,MATCH(AA$2,Totalt!$B$1:$AQ$1,0),FALSE),"")</f>
        <v>0</v>
      </c>
      <c r="AB224" s="173">
        <f>IFERROR(VLOOKUP($B224,Totalt!$B$1:$AQ$554,MATCH(AB$2,Totalt!$B$1:$AQ$1,0),FALSE),"")</f>
        <v>0</v>
      </c>
      <c r="AC224" s="173">
        <f>IFERROR(VLOOKUP($B224,Totalt!$B$1:$AQ$554,MATCH(AC$2,Totalt!$B$1:$AQ$1,0),FALSE),"")</f>
        <v>0</v>
      </c>
      <c r="AD224" s="173">
        <f>IFERROR(VLOOKUP($B224,Totalt!$B$1:$AQ$554,MATCH(AD$2,Totalt!$B$1:$AQ$1,0),FALSE),"")</f>
        <v>0</v>
      </c>
      <c r="AE224" s="173">
        <f>IFERROR(VLOOKUP($B224,Totalt!$B$1:$AQ$554,MATCH(AE$2,Totalt!$B$1:$AQ$1,0),FALSE),"")</f>
        <v>0</v>
      </c>
      <c r="AF224" s="173">
        <f>IFERROR(VLOOKUP($B224,Totalt!$B$1:$AQ$554,MATCH(AF$2,Totalt!$B$1:$AQ$1,0),FALSE),"")</f>
        <v>4.0981800000000002</v>
      </c>
      <c r="AG224" s="173">
        <f>IFERROR(VLOOKUP($B224,Totalt!$B$1:$AQ$554,MATCH(AG$2,Totalt!$B$1:$AQ$1,0),FALSE),"")</f>
        <v>0</v>
      </c>
      <c r="AI224" s="226">
        <f t="shared" si="18"/>
        <v>109.447041</v>
      </c>
      <c r="AJ224" s="226">
        <f>IF(ISERROR(1/VLOOKUP($B224,Leveranser!$B$1:$S$500,MATCH("såld värme (gwh)",Leveranser!$B$1:$S$1,0),FALSE)),"",VLOOKUP($B224,Leveranser!$B$1:$S$500,MATCH("såld värme (gwh)",Leveranser!$B$1:$S$1,0),FALSE))</f>
        <v>105.599</v>
      </c>
      <c r="AM224" s="227" t="str">
        <f>IF(B224&lt;&gt;"",IF(VLOOKUP($B224,Totalt!$B$1:$AQ$554,MATCH("Kvalitetsgranskad:",Totalt!$B$1:$AQ$1,0),FALSE)="ja",VLOOKUP($B224,Miljö!$B$1:$AG$479,MATCH(AM$2,Miljö!$B$1:$AK$1,0),FALSE),""),"")</f>
        <v>Ja</v>
      </c>
      <c r="AN224" s="227" t="str">
        <f>IF(AM224="ja",VLOOKUP($B224,Miljö!$B$1:$J$479,MATCH("Typ av ursprungsspecificerad el   (Om inget värde anges används Nordisk residualmix, se inforuta) ()",Miljö!$B$1:$J$1,0),FALSE),IF(AM224="nej","Nordisk residualel",""))</f>
        <v>'vatten. vind. bio. egenprod i kraftvärmeverk'</v>
      </c>
      <c r="AO224" s="227">
        <f>IF(AM224="","",VLOOKUP($B224,Miljö!$B$1:$J$479,MATCH("Fossilandel för ursprungspecificerad el ()",Miljö!$B$1:$J$1,0),FALSE))</f>
        <v>0</v>
      </c>
      <c r="AP224" s="227">
        <f>IF(AM224="","",IFERROR(VLOOKUP($B224,Miljö!$B$1:$J$479,MATCH("Kärnkraftsandel för ursprungsspecificerad el ()",Miljö!$B$1:$J$1,0),FALSE)/1,0))</f>
        <v>0</v>
      </c>
      <c r="AQ224" s="227">
        <f t="shared" si="19"/>
        <v>1</v>
      </c>
      <c r="AR224" s="227"/>
      <c r="AS224" s="227" t="str">
        <f t="shared" si="20"/>
        <v>Nej</v>
      </c>
      <c r="AT224" s="227" t="str">
        <f>IF(AS224="ja",VLOOKUP($B224,Miljö!$B$1:$O$500,MATCH("Fossil andel i procent (%)",Miljö!$B$1:$O$1,0),FALSE)/100,"")</f>
        <v/>
      </c>
      <c r="AU224" s="227"/>
      <c r="AV224" s="227" t="str">
        <f t="shared" si="21"/>
        <v>Nej</v>
      </c>
      <c r="AW224" s="227" t="str">
        <f>IF(AV224="ja",VLOOKUP($B224,'Egen hetvattenprod'!$B$1:$AO$500,MATCH("Värmekälla till värmepumpar ()",'Egen hetvattenprod'!$B$1:$AO$1,0),FALSE),"")</f>
        <v/>
      </c>
      <c r="AX224" s="227"/>
      <c r="AY224" s="227" t="str">
        <f t="shared" si="22"/>
        <v>Nej</v>
      </c>
      <c r="AZ224" s="228" t="str">
        <f>IF($AY224="ja",(VLOOKUP($B224,'Egen hetvattenprod'!$B$1:$BX$550,MATCH(AZ$2,'Egen hetvattenprod'!$B$1:$BX$1,0),FALSE)+VLOOKUP($B224,Kraftvärmeprod!$B$1:$BX$550,MATCH(AZ$2,Kraftvärmeprod!$B$1:$BX$1,0),FALSE))/$AC224,"")</f>
        <v/>
      </c>
      <c r="BA224" s="228" t="str">
        <f>IF($AY224="ja",(VLOOKUP($B224,'Egen hetvattenprod'!$B$1:$BX$550,MATCH(BA$2,'Egen hetvattenprod'!$B$1:$BX$1,0),FALSE)+VLOOKUP($B224,Kraftvärmeprod!$B$1:$BX$550,MATCH(BA$2,Kraftvärmeprod!$B$1:$BX$1,0),FALSE))/$AC224,"")</f>
        <v/>
      </c>
      <c r="BB224" s="228" t="str">
        <f>IF($AY224="ja",(VLOOKUP($B224,'Egen hetvattenprod'!$B$1:$BX$550,MATCH(BB$2,'Egen hetvattenprod'!$B$1:$BX$1,0),FALSE)+VLOOKUP($B224,Kraftvärmeprod!$B$1:$BX$550,MATCH(BB$2,Kraftvärmeprod!$B$1:$BX$1,0),FALSE))/$AC224,"")</f>
        <v/>
      </c>
      <c r="BC224" s="228" t="str">
        <f>IF($AY224="ja",(VLOOKUP($B224,'Egen hetvattenprod'!$B$1:$BX$550,MATCH(BC$2,'Egen hetvattenprod'!$B$1:$BX$1,0),FALSE)+VLOOKUP($B224,Kraftvärmeprod!$B$1:$BX$550,MATCH(BC$2,Kraftvärmeprod!$B$1:$BX$1,0),FALSE))/$AC224,"")</f>
        <v/>
      </c>
      <c r="BD224" s="228" t="str">
        <f>IF($AY224="ja",(VLOOKUP($B224,'Egen hetvattenprod'!$B$1:$BX$550,MATCH(BD$2,'Egen hetvattenprod'!$B$1:$BX$1,0),FALSE)+VLOOKUP($B224,Kraftvärmeprod!$B$1:$BX$550,MATCH(BD$2,Kraftvärmeprod!$B$1:$BX$1,0),FALSE))/$AC224,"")</f>
        <v/>
      </c>
      <c r="BE224" s="227"/>
      <c r="BF224" s="227" t="str">
        <f t="shared" si="23"/>
        <v>Nej</v>
      </c>
      <c r="BG224" s="227" t="str">
        <f>IF($BF224="ja",VLOOKUP($B224,'Egen hetvattenprod'!$B$1:$BX$550,MATCH("Andelen klimatgaser med fossilt ursprung för avfall ()",'Egen hetvattenprod'!$B$1:$BX$1,0),FALSE),"")</f>
        <v/>
      </c>
      <c r="BH224" s="227" t="str">
        <f>IF($BF224="ja",VLOOKUP($B224,Kraftvärmeprod!$B$1:$BX$550,MATCH("Andelen klimatgaser med fossilt ursprung för avfall ()",Kraftvärmeprod!$B$1:$BX$1,0),FALSE),"")</f>
        <v/>
      </c>
      <c r="BI224" s="227" t="str">
        <f>IF($BF224="ja",VLOOKUP($B224,'Egen hetvattenprod'!$B$1:$BX$550,MATCH("Avfall (GWh)",'Egen hetvattenprod'!$B$1:$BX$1,0),FALSE),"")</f>
        <v/>
      </c>
      <c r="BJ224" s="227" t="str">
        <f>IF($BF224="ja",VLOOKUP($B224,'Slutlig allokering kvv'!$B$1:$BX$550,MATCH("Avfall (GWh)",'Slutlig allokering kvv'!$B$1:$BX$1,0),FALSE),"")</f>
        <v/>
      </c>
      <c r="BK224" s="227" t="str">
        <f>IF($BF224="ja",VLOOKUP($B224,'Köpt hetvatten'!$B$1:$BX$550,MATCH("Avfall i köpt hetvatten",'Köpt hetvatten'!$B$1:$BX$1,0),FALSE),"")</f>
        <v/>
      </c>
      <c r="BL224" s="227" t="str">
        <f>IF($BF224="ja",VLOOKUP($B224,'Egen hetvattenprod'!$B$1:$BX$550,MATCH("Värde enligt ovan. (%)",'Egen hetvattenprod'!$B$1:$BX$1,0),FALSE),"")</f>
        <v/>
      </c>
      <c r="BM224" s="227" t="str">
        <f>IF($BF224="ja",VLOOKUP($B224,Kraftvärmeprod!$B$1:$BX$550,MATCH("Värde enligt ovan. (%)",Kraftvärmeprod!$B$1:$BX$1,0),FALSE),"")</f>
        <v/>
      </c>
      <c r="BN224" s="227"/>
      <c r="BO224" s="227"/>
      <c r="BP224" s="227"/>
      <c r="BQ224" s="227" t="str">
        <f>IF($BF224="ja",VLOOKUP($B224,'Egen hetvattenprod'!$B$1:$BX$550,MATCH("Tillförd olja (fossil) vid avfallsförbränning (GWh)",'Egen hetvattenprod'!$B$1:$BX$1,0),FALSE),"")</f>
        <v/>
      </c>
      <c r="BR224" s="227" t="str">
        <f>IF($BF224="ja",VLOOKUP($B224,Kraftvärmeprod!$B$1:$BX$550,MATCH("Tillförd olja (fossil) vid avfallsförbränning (GWh)",Kraftvärmeprod!$B$1:$BX$1,0),FALSE),"")</f>
        <v/>
      </c>
      <c r="BS224" s="227"/>
      <c r="BT224" s="227"/>
      <c r="BU224" s="227"/>
    </row>
    <row r="225" spans="1:73" x14ac:dyDescent="0.25">
      <c r="A225" s="121" t="str">
        <f>'Miljövärden för publ företag'!B228</f>
        <v>Skellefteå Kraft AB</v>
      </c>
      <c r="B225" s="121" t="str">
        <f>'Miljövärden för publ företag'!C228</f>
        <v>Lövånger</v>
      </c>
      <c r="C225" s="173">
        <f>IFERROR(VLOOKUP($B225,Totalt!$B$1:$AQ$554,MATCH(C$2,Totalt!$B$1:$AQ$1,0),FALSE),"")</f>
        <v>0</v>
      </c>
      <c r="D225" s="173">
        <f>IFERROR(VLOOKUP($B225,Totalt!$B$1:$AQ$554,MATCH(D$2,Totalt!$B$1:$AQ$1,0),FALSE),"")</f>
        <v>2.1999999999999999E-2</v>
      </c>
      <c r="E225" s="173">
        <f>IFERROR(VLOOKUP($B225,Totalt!$B$1:$AQ$554,MATCH(E$2,Totalt!$B$1:$AQ$1,0),FALSE),"")</f>
        <v>0</v>
      </c>
      <c r="F225" s="173">
        <f>IFERROR(VLOOKUP($B225,Totalt!$B$1:$AQ$554,MATCH(F$2,Totalt!$B$1:$AQ$1,0),FALSE),"")</f>
        <v>0</v>
      </c>
      <c r="G225" s="173">
        <f>IFERROR(VLOOKUP($B225,Totalt!$B$1:$AQ$554,MATCH(G$2,Totalt!$B$1:$AQ$1,0),FALSE),"")</f>
        <v>0</v>
      </c>
      <c r="H225" s="173">
        <f>IFERROR(VLOOKUP($B225,Totalt!$B$1:$AQ$554,MATCH(H$2,Totalt!$B$1:$AQ$1,0),FALSE),"")</f>
        <v>0</v>
      </c>
      <c r="I225" s="173">
        <f>IFERROR(VLOOKUP($B225,Totalt!$B$1:$AQ$554,MATCH(I$2,Totalt!$B$1:$AQ$1,0),FALSE),"")</f>
        <v>0</v>
      </c>
      <c r="J225" s="173">
        <f>IFERROR(VLOOKUP($B225,Totalt!$B$1:$AQ$554,MATCH(J$2,Totalt!$B$1:$AQ$1,0),FALSE),"")</f>
        <v>0</v>
      </c>
      <c r="K225" s="173">
        <f>IFERROR(VLOOKUP($B225,Totalt!$B$1:$AQ$554,MATCH(K$2,Totalt!$B$1:$AQ$1,0),FALSE),"")</f>
        <v>0</v>
      </c>
      <c r="L225" s="173">
        <f>IFERROR(VLOOKUP($B225,Totalt!$B$1:$AQ$554,MATCH(L$2,Totalt!$B$1:$AQ$1,0),FALSE),"")</f>
        <v>0</v>
      </c>
      <c r="M225" s="173">
        <f>IFERROR(VLOOKUP($B225,Totalt!$B$1:$AQ$554,MATCH(M$2,Totalt!$B$1:$AQ$1,0),FALSE),"")</f>
        <v>0</v>
      </c>
      <c r="N225" s="173">
        <f>IFERROR(VLOOKUP($B225,Totalt!$B$1:$AQ$554,MATCH(N$2,Totalt!$B$1:$AQ$1,0),FALSE),"")</f>
        <v>0</v>
      </c>
      <c r="O225" s="173">
        <f>IFERROR(VLOOKUP($B225,Totalt!$B$1:$AQ$554,MATCH(O$2,Totalt!$B$1:$AQ$1,0),FALSE),"")</f>
        <v>0</v>
      </c>
      <c r="P225" s="173">
        <f>IFERROR(VLOOKUP($B225,Totalt!$B$1:$AQ$554,MATCH(P$2,Totalt!$B$1:$AQ$1,0),FALSE),"")</f>
        <v>0</v>
      </c>
      <c r="Q225" s="173">
        <f>IFERROR(VLOOKUP($B225,Totalt!$B$1:$AQ$554,MATCH(Q$2,Totalt!$B$1:$AQ$1,0),FALSE),"")</f>
        <v>0</v>
      </c>
      <c r="R225" s="173">
        <f>IFERROR(VLOOKUP($B225,Totalt!$B$1:$AQ$554,MATCH(R$2,Totalt!$B$1:$AQ$1,0),FALSE),"")</f>
        <v>4.1239999999999997</v>
      </c>
      <c r="S225" s="173">
        <f>IFERROR(VLOOKUP($B225,Totalt!$B$1:$AQ$554,MATCH(S$2,Totalt!$B$1:$AQ$1,0),FALSE),"")</f>
        <v>0</v>
      </c>
      <c r="T225" s="173">
        <f>IFERROR(VLOOKUP($B225,Totalt!$B$1:$AQ$554,MATCH(T$2,Totalt!$B$1:$AQ$1,0),FALSE),"")</f>
        <v>0</v>
      </c>
      <c r="U225" s="173">
        <f>IFERROR(VLOOKUP($B225,Totalt!$B$1:$AQ$554,MATCH(U$2,Totalt!$B$1:$AQ$1,0),FALSE),"")</f>
        <v>0</v>
      </c>
      <c r="V225" s="173">
        <f>IFERROR(VLOOKUP($B225,Totalt!$B$1:$AQ$554,MATCH(V$2,Totalt!$B$1:$AQ$1,0),FALSE),"")</f>
        <v>0</v>
      </c>
      <c r="W225" s="173">
        <f>IFERROR(VLOOKUP($B225,Totalt!$B$1:$AQ$554,MATCH(W$2,Totalt!$B$1:$AQ$1,0),FALSE),"")</f>
        <v>0</v>
      </c>
      <c r="X225" s="173">
        <f>IFERROR(VLOOKUP($B225,Totalt!$B$1:$AQ$554,MATCH(X$2,Totalt!$B$1:$AQ$1,0),FALSE),"")</f>
        <v>0</v>
      </c>
      <c r="Y225" s="173">
        <f>IFERROR(VLOOKUP($B225,Totalt!$B$1:$AQ$554,MATCH(Y$2,Totalt!$B$1:$AQ$1,0),FALSE),"")</f>
        <v>0</v>
      </c>
      <c r="Z225" s="173">
        <f>IFERROR(VLOOKUP($B225,Totalt!$B$1:$AQ$554,MATCH(Z$2,Totalt!$B$1:$AQ$1,0),FALSE),"")</f>
        <v>0</v>
      </c>
      <c r="AA225" s="173">
        <f>IFERROR(VLOOKUP($B225,Totalt!$B$1:$AQ$554,MATCH(AA$2,Totalt!$B$1:$AQ$1,0),FALSE),"")</f>
        <v>0</v>
      </c>
      <c r="AB225" s="173">
        <f>IFERROR(VLOOKUP($B225,Totalt!$B$1:$AQ$554,MATCH(AB$2,Totalt!$B$1:$AQ$1,0),FALSE),"")</f>
        <v>0</v>
      </c>
      <c r="AC225" s="173">
        <f>IFERROR(VLOOKUP($B225,Totalt!$B$1:$AQ$554,MATCH(AC$2,Totalt!$B$1:$AQ$1,0),FALSE),"")</f>
        <v>0</v>
      </c>
      <c r="AD225" s="173">
        <f>IFERROR(VLOOKUP($B225,Totalt!$B$1:$AQ$554,MATCH(AD$2,Totalt!$B$1:$AQ$1,0),FALSE),"")</f>
        <v>0</v>
      </c>
      <c r="AE225" s="173">
        <f>IFERROR(VLOOKUP($B225,Totalt!$B$1:$AQ$554,MATCH(AE$2,Totalt!$B$1:$AQ$1,0),FALSE),"")</f>
        <v>0</v>
      </c>
      <c r="AF225" s="173">
        <f>IFERROR(VLOOKUP($B225,Totalt!$B$1:$AQ$554,MATCH(AF$2,Totalt!$B$1:$AQ$1,0),FALSE),"")</f>
        <v>4.7E-2</v>
      </c>
      <c r="AG225" s="173">
        <f>IFERROR(VLOOKUP($B225,Totalt!$B$1:$AQ$554,MATCH(AG$2,Totalt!$B$1:$AQ$1,0),FALSE),"")</f>
        <v>0</v>
      </c>
      <c r="AI225" s="226">
        <f t="shared" si="18"/>
        <v>4.1929999999999996</v>
      </c>
      <c r="AJ225" s="226">
        <f>IF(ISERROR(1/VLOOKUP($B225,Leveranser!$B$1:$S$500,MATCH("såld värme (gwh)",Leveranser!$B$1:$S$1,0),FALSE)),"",VLOOKUP($B225,Leveranser!$B$1:$S$500,MATCH("såld värme (gwh)",Leveranser!$B$1:$S$1,0),FALSE))</f>
        <v>3.2170000000000001</v>
      </c>
      <c r="AM225" s="227" t="str">
        <f>IF(B225&lt;&gt;"",IF(VLOOKUP($B225,Totalt!$B$1:$AQ$554,MATCH("Kvalitetsgranskad:",Totalt!$B$1:$AQ$1,0),FALSE)="ja",VLOOKUP($B225,Miljö!$B$1:$AG$479,MATCH(AM$2,Miljö!$B$1:$AK$1,0),FALSE),""),"")</f>
        <v>Ja</v>
      </c>
      <c r="AN225" s="227" t="str">
        <f>IF(AM225="ja",VLOOKUP($B225,Miljö!$B$1:$J$479,MATCH("Typ av ursprungsspecificerad el   (Om inget värde anges används Nordisk residualmix, se inforuta) ()",Miljö!$B$1:$J$1,0),FALSE),IF(AM225="nej","Nordisk residualel",""))</f>
        <v>'vatten. vind. bio'</v>
      </c>
      <c r="AO225" s="227">
        <f>IF(AM225="","",VLOOKUP($B225,Miljö!$B$1:$J$479,MATCH("Fossilandel för ursprungspecificerad el ()",Miljö!$B$1:$J$1,0),FALSE))</f>
        <v>0</v>
      </c>
      <c r="AP225" s="227">
        <f>IF(AM225="","",IFERROR(VLOOKUP($B225,Miljö!$B$1:$J$479,MATCH("Kärnkraftsandel för ursprungsspecificerad el ()",Miljö!$B$1:$J$1,0),FALSE)/1,0))</f>
        <v>0</v>
      </c>
      <c r="AQ225" s="227">
        <f t="shared" si="19"/>
        <v>1</v>
      </c>
      <c r="AR225" s="227"/>
      <c r="AS225" s="227" t="str">
        <f t="shared" si="20"/>
        <v>Nej</v>
      </c>
      <c r="AT225" s="227" t="str">
        <f>IF(AS225="ja",VLOOKUP($B225,Miljö!$B$1:$O$500,MATCH("Fossil andel i procent (%)",Miljö!$B$1:$O$1,0),FALSE)/100,"")</f>
        <v/>
      </c>
      <c r="AU225" s="227"/>
      <c r="AV225" s="227" t="str">
        <f t="shared" si="21"/>
        <v>Nej</v>
      </c>
      <c r="AW225" s="227" t="str">
        <f>IF(AV225="ja",VLOOKUP($B225,'Egen hetvattenprod'!$B$1:$AO$500,MATCH("Värmekälla till värmepumpar ()",'Egen hetvattenprod'!$B$1:$AO$1,0),FALSE),"")</f>
        <v/>
      </c>
      <c r="AX225" s="227"/>
      <c r="AY225" s="227" t="str">
        <f t="shared" si="22"/>
        <v>Nej</v>
      </c>
      <c r="AZ225" s="228" t="str">
        <f>IF($AY225="ja",(VLOOKUP($B225,'Egen hetvattenprod'!$B$1:$BX$550,MATCH(AZ$2,'Egen hetvattenprod'!$B$1:$BX$1,0),FALSE)+VLOOKUP($B225,Kraftvärmeprod!$B$1:$BX$550,MATCH(AZ$2,Kraftvärmeprod!$B$1:$BX$1,0),FALSE))/$AC225,"")</f>
        <v/>
      </c>
      <c r="BA225" s="228" t="str">
        <f>IF($AY225="ja",(VLOOKUP($B225,'Egen hetvattenprod'!$B$1:$BX$550,MATCH(BA$2,'Egen hetvattenprod'!$B$1:$BX$1,0),FALSE)+VLOOKUP($B225,Kraftvärmeprod!$B$1:$BX$550,MATCH(BA$2,Kraftvärmeprod!$B$1:$BX$1,0),FALSE))/$AC225,"")</f>
        <v/>
      </c>
      <c r="BB225" s="228" t="str">
        <f>IF($AY225="ja",(VLOOKUP($B225,'Egen hetvattenprod'!$B$1:$BX$550,MATCH(BB$2,'Egen hetvattenprod'!$B$1:$BX$1,0),FALSE)+VLOOKUP($B225,Kraftvärmeprod!$B$1:$BX$550,MATCH(BB$2,Kraftvärmeprod!$B$1:$BX$1,0),FALSE))/$AC225,"")</f>
        <v/>
      </c>
      <c r="BC225" s="228" t="str">
        <f>IF($AY225="ja",(VLOOKUP($B225,'Egen hetvattenprod'!$B$1:$BX$550,MATCH(BC$2,'Egen hetvattenprod'!$B$1:$BX$1,0),FALSE)+VLOOKUP($B225,Kraftvärmeprod!$B$1:$BX$550,MATCH(BC$2,Kraftvärmeprod!$B$1:$BX$1,0),FALSE))/$AC225,"")</f>
        <v/>
      </c>
      <c r="BD225" s="228" t="str">
        <f>IF($AY225="ja",(VLOOKUP($B225,'Egen hetvattenprod'!$B$1:$BX$550,MATCH(BD$2,'Egen hetvattenprod'!$B$1:$BX$1,0),FALSE)+VLOOKUP($B225,Kraftvärmeprod!$B$1:$BX$550,MATCH(BD$2,Kraftvärmeprod!$B$1:$BX$1,0),FALSE))/$AC225,"")</f>
        <v/>
      </c>
      <c r="BE225" s="227"/>
      <c r="BF225" s="227" t="str">
        <f t="shared" si="23"/>
        <v>Nej</v>
      </c>
      <c r="BG225" s="227" t="str">
        <f>IF($BF225="ja",VLOOKUP($B225,'Egen hetvattenprod'!$B$1:$BX$550,MATCH("Andelen klimatgaser med fossilt ursprung för avfall ()",'Egen hetvattenprod'!$B$1:$BX$1,0),FALSE),"")</f>
        <v/>
      </c>
      <c r="BH225" s="227" t="str">
        <f>IF($BF225="ja",VLOOKUP($B225,Kraftvärmeprod!$B$1:$BX$550,MATCH("Andelen klimatgaser med fossilt ursprung för avfall ()",Kraftvärmeprod!$B$1:$BX$1,0),FALSE),"")</f>
        <v/>
      </c>
      <c r="BI225" s="227" t="str">
        <f>IF($BF225="ja",VLOOKUP($B225,'Egen hetvattenprod'!$B$1:$BX$550,MATCH("Avfall (GWh)",'Egen hetvattenprod'!$B$1:$BX$1,0),FALSE),"")</f>
        <v/>
      </c>
      <c r="BJ225" s="227" t="str">
        <f>IF($BF225="ja",VLOOKUP($B225,'Slutlig allokering kvv'!$B$1:$BX$550,MATCH("Avfall (GWh)",'Slutlig allokering kvv'!$B$1:$BX$1,0),FALSE),"")</f>
        <v/>
      </c>
      <c r="BK225" s="227" t="str">
        <f>IF($BF225="ja",VLOOKUP($B225,'Köpt hetvatten'!$B$1:$BX$550,MATCH("Avfall i köpt hetvatten",'Köpt hetvatten'!$B$1:$BX$1,0),FALSE),"")</f>
        <v/>
      </c>
      <c r="BL225" s="227" t="str">
        <f>IF($BF225="ja",VLOOKUP($B225,'Egen hetvattenprod'!$B$1:$BX$550,MATCH("Värde enligt ovan. (%)",'Egen hetvattenprod'!$B$1:$BX$1,0),FALSE),"")</f>
        <v/>
      </c>
      <c r="BM225" s="227" t="str">
        <f>IF($BF225="ja",VLOOKUP($B225,Kraftvärmeprod!$B$1:$BX$550,MATCH("Värde enligt ovan. (%)",Kraftvärmeprod!$B$1:$BX$1,0),FALSE),"")</f>
        <v/>
      </c>
      <c r="BN225" s="227"/>
      <c r="BO225" s="227"/>
      <c r="BP225" s="227"/>
      <c r="BQ225" s="227" t="str">
        <f>IF($BF225="ja",VLOOKUP($B225,'Egen hetvattenprod'!$B$1:$BX$550,MATCH("Tillförd olja (fossil) vid avfallsförbränning (GWh)",'Egen hetvattenprod'!$B$1:$BX$1,0),FALSE),"")</f>
        <v/>
      </c>
      <c r="BR225" s="227" t="str">
        <f>IF($BF225="ja",VLOOKUP($B225,Kraftvärmeprod!$B$1:$BX$550,MATCH("Tillförd olja (fossil) vid avfallsförbränning (GWh)",Kraftvärmeprod!$B$1:$BX$1,0),FALSE),"")</f>
        <v/>
      </c>
      <c r="BS225" s="227"/>
      <c r="BT225" s="227"/>
      <c r="BU225" s="227"/>
    </row>
    <row r="226" spans="1:73" x14ac:dyDescent="0.25">
      <c r="A226" s="121" t="str">
        <f>'Miljövärden för publ företag'!B229</f>
        <v>Skellefteå Kraft AB</v>
      </c>
      <c r="B226" s="121" t="str">
        <f>'Miljövärden för publ företag'!C229</f>
        <v>Malå</v>
      </c>
      <c r="C226" s="173">
        <f>IFERROR(VLOOKUP($B226,Totalt!$B$1:$AQ$554,MATCH(C$2,Totalt!$B$1:$AQ$1,0),FALSE),"")</f>
        <v>0</v>
      </c>
      <c r="D226" s="173">
        <f>IFERROR(VLOOKUP($B226,Totalt!$B$1:$AQ$554,MATCH(D$2,Totalt!$B$1:$AQ$1,0),FALSE),"")</f>
        <v>1.5982700000000001</v>
      </c>
      <c r="E226" s="173">
        <f>IFERROR(VLOOKUP($B226,Totalt!$B$1:$AQ$554,MATCH(E$2,Totalt!$B$1:$AQ$1,0),FALSE),"")</f>
        <v>0</v>
      </c>
      <c r="F226" s="173">
        <f>IFERROR(VLOOKUP($B226,Totalt!$B$1:$AQ$554,MATCH(F$2,Totalt!$B$1:$AQ$1,0),FALSE),"")</f>
        <v>0</v>
      </c>
      <c r="G226" s="173">
        <f>IFERROR(VLOOKUP($B226,Totalt!$B$1:$AQ$554,MATCH(G$2,Totalt!$B$1:$AQ$1,0),FALSE),"")</f>
        <v>0</v>
      </c>
      <c r="H226" s="173">
        <f>IFERROR(VLOOKUP($B226,Totalt!$B$1:$AQ$554,MATCH(H$2,Totalt!$B$1:$AQ$1,0),FALSE),"")</f>
        <v>0</v>
      </c>
      <c r="I226" s="173">
        <f>IFERROR(VLOOKUP($B226,Totalt!$B$1:$AQ$554,MATCH(I$2,Totalt!$B$1:$AQ$1,0),FALSE),"")</f>
        <v>0</v>
      </c>
      <c r="J226" s="173">
        <f>IFERROR(VLOOKUP($B226,Totalt!$B$1:$AQ$554,MATCH(J$2,Totalt!$B$1:$AQ$1,0),FALSE),"")</f>
        <v>0</v>
      </c>
      <c r="K226" s="173">
        <f>IFERROR(VLOOKUP($B226,Totalt!$B$1:$AQ$554,MATCH(K$2,Totalt!$B$1:$AQ$1,0),FALSE),"")</f>
        <v>0</v>
      </c>
      <c r="L226" s="173">
        <f>IFERROR(VLOOKUP($B226,Totalt!$B$1:$AQ$554,MATCH(L$2,Totalt!$B$1:$AQ$1,0),FALSE),"")</f>
        <v>0</v>
      </c>
      <c r="M226" s="173">
        <f>IFERROR(VLOOKUP($B226,Totalt!$B$1:$AQ$554,MATCH(M$2,Totalt!$B$1:$AQ$1,0),FALSE),"")</f>
        <v>23.3186</v>
      </c>
      <c r="N226" s="173">
        <f>IFERROR(VLOOKUP($B226,Totalt!$B$1:$AQ$554,MATCH(N$2,Totalt!$B$1:$AQ$1,0),FALSE),"")</f>
        <v>0</v>
      </c>
      <c r="O226" s="173">
        <f>IFERROR(VLOOKUP($B226,Totalt!$B$1:$AQ$554,MATCH(O$2,Totalt!$B$1:$AQ$1,0),FALSE),"")</f>
        <v>43.305999999999997</v>
      </c>
      <c r="P226" s="173">
        <f>IFERROR(VLOOKUP($B226,Totalt!$B$1:$AQ$554,MATCH(P$2,Totalt!$B$1:$AQ$1,0),FALSE),"")</f>
        <v>0</v>
      </c>
      <c r="Q226" s="173">
        <f>IFERROR(VLOOKUP($B226,Totalt!$B$1:$AQ$554,MATCH(Q$2,Totalt!$B$1:$AQ$1,0),FALSE),"")</f>
        <v>0</v>
      </c>
      <c r="R226" s="173">
        <f>IFERROR(VLOOKUP($B226,Totalt!$B$1:$AQ$554,MATCH(R$2,Totalt!$B$1:$AQ$1,0),FALSE),"")</f>
        <v>11.963800000000001</v>
      </c>
      <c r="S226" s="173">
        <f>IFERROR(VLOOKUP($B226,Totalt!$B$1:$AQ$554,MATCH(S$2,Totalt!$B$1:$AQ$1,0),FALSE),"")</f>
        <v>0</v>
      </c>
      <c r="T226" s="173">
        <f>IFERROR(VLOOKUP($B226,Totalt!$B$1:$AQ$554,MATCH(T$2,Totalt!$B$1:$AQ$1,0),FALSE),"")</f>
        <v>0</v>
      </c>
      <c r="U226" s="173">
        <f>IFERROR(VLOOKUP($B226,Totalt!$B$1:$AQ$554,MATCH(U$2,Totalt!$B$1:$AQ$1,0),FALSE),"")</f>
        <v>0</v>
      </c>
      <c r="V226" s="173">
        <f>IFERROR(VLOOKUP($B226,Totalt!$B$1:$AQ$554,MATCH(V$2,Totalt!$B$1:$AQ$1,0),FALSE),"")</f>
        <v>0</v>
      </c>
      <c r="W226" s="173">
        <f>IFERROR(VLOOKUP($B226,Totalt!$B$1:$AQ$554,MATCH(W$2,Totalt!$B$1:$AQ$1,0),FALSE),"")</f>
        <v>0</v>
      </c>
      <c r="X226" s="173">
        <f>IFERROR(VLOOKUP($B226,Totalt!$B$1:$AQ$554,MATCH(X$2,Totalt!$B$1:$AQ$1,0),FALSE),"")</f>
        <v>0</v>
      </c>
      <c r="Y226" s="173">
        <f>IFERROR(VLOOKUP($B226,Totalt!$B$1:$AQ$554,MATCH(Y$2,Totalt!$B$1:$AQ$1,0),FALSE),"")</f>
        <v>0</v>
      </c>
      <c r="Z226" s="173">
        <f>IFERROR(VLOOKUP($B226,Totalt!$B$1:$AQ$554,MATCH(Z$2,Totalt!$B$1:$AQ$1,0),FALSE),"")</f>
        <v>0.16236999999999999</v>
      </c>
      <c r="AA226" s="173">
        <f>IFERROR(VLOOKUP($B226,Totalt!$B$1:$AQ$554,MATCH(AA$2,Totalt!$B$1:$AQ$1,0),FALSE),"")</f>
        <v>0</v>
      </c>
      <c r="AB226" s="173">
        <f>IFERROR(VLOOKUP($B226,Totalt!$B$1:$AQ$554,MATCH(AB$2,Totalt!$B$1:$AQ$1,0),FALSE),"")</f>
        <v>0</v>
      </c>
      <c r="AC226" s="173">
        <f>IFERROR(VLOOKUP($B226,Totalt!$B$1:$AQ$554,MATCH(AC$2,Totalt!$B$1:$AQ$1,0),FALSE),"")</f>
        <v>0</v>
      </c>
      <c r="AD226" s="173">
        <f>IFERROR(VLOOKUP($B226,Totalt!$B$1:$AQ$554,MATCH(AD$2,Totalt!$B$1:$AQ$1,0),FALSE),"")</f>
        <v>0</v>
      </c>
      <c r="AE226" s="173">
        <f>IFERROR(VLOOKUP($B226,Totalt!$B$1:$AQ$554,MATCH(AE$2,Totalt!$B$1:$AQ$1,0),FALSE),"")</f>
        <v>0</v>
      </c>
      <c r="AF226" s="173">
        <f>IFERROR(VLOOKUP($B226,Totalt!$B$1:$AQ$554,MATCH(AF$2,Totalt!$B$1:$AQ$1,0),FALSE),"")</f>
        <v>2.9267599999999998</v>
      </c>
      <c r="AG226" s="173">
        <f>IFERROR(VLOOKUP($B226,Totalt!$B$1:$AQ$554,MATCH(AG$2,Totalt!$B$1:$AQ$1,0),FALSE),"")</f>
        <v>0</v>
      </c>
      <c r="AI226" s="226">
        <f t="shared" si="18"/>
        <v>83.275800000000004</v>
      </c>
      <c r="AJ226" s="226">
        <f>IF(ISERROR(1/VLOOKUP($B226,Leveranser!$B$1:$S$500,MATCH("såld värme (gwh)",Leveranser!$B$1:$S$1,0),FALSE)),"",VLOOKUP($B226,Leveranser!$B$1:$S$500,MATCH("såld värme (gwh)",Leveranser!$B$1:$S$1,0),FALSE))</f>
        <v>87.786000000000001</v>
      </c>
      <c r="AM226" s="227" t="str">
        <f>IF(B226&lt;&gt;"",IF(VLOOKUP($B226,Totalt!$B$1:$AQ$554,MATCH("Kvalitetsgranskad:",Totalt!$B$1:$AQ$1,0),FALSE)="ja",VLOOKUP($B226,Miljö!$B$1:$AG$479,MATCH(AM$2,Miljö!$B$1:$AK$1,0),FALSE),""),"")</f>
        <v>Ja</v>
      </c>
      <c r="AN226" s="227" t="str">
        <f>IF(AM226="ja",VLOOKUP($B226,Miljö!$B$1:$J$479,MATCH("Typ av ursprungsspecificerad el   (Om inget värde anges används Nordisk residualmix, se inforuta) ()",Miljö!$B$1:$J$1,0),FALSE),IF(AM226="nej","Nordisk residualel",""))</f>
        <v>'vatten. vind. bio. egenprod i kraftvärmeverk'</v>
      </c>
      <c r="AO226" s="227">
        <f>IF(AM226="","",VLOOKUP($B226,Miljö!$B$1:$J$479,MATCH("Fossilandel för ursprungspecificerad el ()",Miljö!$B$1:$J$1,0),FALSE))</f>
        <v>0</v>
      </c>
      <c r="AP226" s="227">
        <f>IF(AM226="","",IFERROR(VLOOKUP($B226,Miljö!$B$1:$J$479,MATCH("Kärnkraftsandel för ursprungsspecificerad el ()",Miljö!$B$1:$J$1,0),FALSE)/1,0))</f>
        <v>0</v>
      </c>
      <c r="AQ226" s="227">
        <f t="shared" si="19"/>
        <v>1</v>
      </c>
      <c r="AR226" s="227"/>
      <c r="AS226" s="227" t="str">
        <f t="shared" si="20"/>
        <v>Nej</v>
      </c>
      <c r="AT226" s="227" t="str">
        <f>IF(AS226="ja",VLOOKUP($B226,Miljö!$B$1:$O$500,MATCH("Fossil andel i procent (%)",Miljö!$B$1:$O$1,0),FALSE)/100,"")</f>
        <v/>
      </c>
      <c r="AU226" s="227"/>
      <c r="AV226" s="227" t="str">
        <f t="shared" si="21"/>
        <v>Nej</v>
      </c>
      <c r="AW226" s="227" t="str">
        <f>IF(AV226="ja",VLOOKUP($B226,'Egen hetvattenprod'!$B$1:$AO$500,MATCH("Värmekälla till värmepumpar ()",'Egen hetvattenprod'!$B$1:$AO$1,0),FALSE),"")</f>
        <v/>
      </c>
      <c r="AX226" s="227"/>
      <c r="AY226" s="227" t="str">
        <f t="shared" si="22"/>
        <v>Nej</v>
      </c>
      <c r="AZ226" s="228" t="str">
        <f>IF($AY226="ja",(VLOOKUP($B226,'Egen hetvattenprod'!$B$1:$BX$550,MATCH(AZ$2,'Egen hetvattenprod'!$B$1:$BX$1,0),FALSE)+VLOOKUP($B226,Kraftvärmeprod!$B$1:$BX$550,MATCH(AZ$2,Kraftvärmeprod!$B$1:$BX$1,0),FALSE))/$AC226,"")</f>
        <v/>
      </c>
      <c r="BA226" s="228" t="str">
        <f>IF($AY226="ja",(VLOOKUP($B226,'Egen hetvattenprod'!$B$1:$BX$550,MATCH(BA$2,'Egen hetvattenprod'!$B$1:$BX$1,0),FALSE)+VLOOKUP($B226,Kraftvärmeprod!$B$1:$BX$550,MATCH(BA$2,Kraftvärmeprod!$B$1:$BX$1,0),FALSE))/$AC226,"")</f>
        <v/>
      </c>
      <c r="BB226" s="228" t="str">
        <f>IF($AY226="ja",(VLOOKUP($B226,'Egen hetvattenprod'!$B$1:$BX$550,MATCH(BB$2,'Egen hetvattenprod'!$B$1:$BX$1,0),FALSE)+VLOOKUP($B226,Kraftvärmeprod!$B$1:$BX$550,MATCH(BB$2,Kraftvärmeprod!$B$1:$BX$1,0),FALSE))/$AC226,"")</f>
        <v/>
      </c>
      <c r="BC226" s="228" t="str">
        <f>IF($AY226="ja",(VLOOKUP($B226,'Egen hetvattenprod'!$B$1:$BX$550,MATCH(BC$2,'Egen hetvattenprod'!$B$1:$BX$1,0),FALSE)+VLOOKUP($B226,Kraftvärmeprod!$B$1:$BX$550,MATCH(BC$2,Kraftvärmeprod!$B$1:$BX$1,0),FALSE))/$AC226,"")</f>
        <v/>
      </c>
      <c r="BD226" s="228" t="str">
        <f>IF($AY226="ja",(VLOOKUP($B226,'Egen hetvattenprod'!$B$1:$BX$550,MATCH(BD$2,'Egen hetvattenprod'!$B$1:$BX$1,0),FALSE)+VLOOKUP($B226,Kraftvärmeprod!$B$1:$BX$550,MATCH(BD$2,Kraftvärmeprod!$B$1:$BX$1,0),FALSE))/$AC226,"")</f>
        <v/>
      </c>
      <c r="BE226" s="227"/>
      <c r="BF226" s="227" t="str">
        <f t="shared" si="23"/>
        <v>Nej</v>
      </c>
      <c r="BG226" s="227" t="str">
        <f>IF($BF226="ja",VLOOKUP($B226,'Egen hetvattenprod'!$B$1:$BX$550,MATCH("Andelen klimatgaser med fossilt ursprung för avfall ()",'Egen hetvattenprod'!$B$1:$BX$1,0),FALSE),"")</f>
        <v/>
      </c>
      <c r="BH226" s="227" t="str">
        <f>IF($BF226="ja",VLOOKUP($B226,Kraftvärmeprod!$B$1:$BX$550,MATCH("Andelen klimatgaser med fossilt ursprung för avfall ()",Kraftvärmeprod!$B$1:$BX$1,0),FALSE),"")</f>
        <v/>
      </c>
      <c r="BI226" s="227" t="str">
        <f>IF($BF226="ja",VLOOKUP($B226,'Egen hetvattenprod'!$B$1:$BX$550,MATCH("Avfall (GWh)",'Egen hetvattenprod'!$B$1:$BX$1,0),FALSE),"")</f>
        <v/>
      </c>
      <c r="BJ226" s="227" t="str">
        <f>IF($BF226="ja",VLOOKUP($B226,'Slutlig allokering kvv'!$B$1:$BX$550,MATCH("Avfall (GWh)",'Slutlig allokering kvv'!$B$1:$BX$1,0),FALSE),"")</f>
        <v/>
      </c>
      <c r="BK226" s="227" t="str">
        <f>IF($BF226="ja",VLOOKUP($B226,'Köpt hetvatten'!$B$1:$BX$550,MATCH("Avfall i köpt hetvatten",'Köpt hetvatten'!$B$1:$BX$1,0),FALSE),"")</f>
        <v/>
      </c>
      <c r="BL226" s="227" t="str">
        <f>IF($BF226="ja",VLOOKUP($B226,'Egen hetvattenprod'!$B$1:$BX$550,MATCH("Värde enligt ovan. (%)",'Egen hetvattenprod'!$B$1:$BX$1,0),FALSE),"")</f>
        <v/>
      </c>
      <c r="BM226" s="227" t="str">
        <f>IF($BF226="ja",VLOOKUP($B226,Kraftvärmeprod!$B$1:$BX$550,MATCH("Värde enligt ovan. (%)",Kraftvärmeprod!$B$1:$BX$1,0),FALSE),"")</f>
        <v/>
      </c>
      <c r="BN226" s="227"/>
      <c r="BO226" s="227"/>
      <c r="BP226" s="227"/>
      <c r="BQ226" s="227" t="str">
        <f>IF($BF226="ja",VLOOKUP($B226,'Egen hetvattenprod'!$B$1:$BX$550,MATCH("Tillförd olja (fossil) vid avfallsförbränning (GWh)",'Egen hetvattenprod'!$B$1:$BX$1,0),FALSE),"")</f>
        <v/>
      </c>
      <c r="BR226" s="227" t="str">
        <f>IF($BF226="ja",VLOOKUP($B226,Kraftvärmeprod!$B$1:$BX$550,MATCH("Tillförd olja (fossil) vid avfallsförbränning (GWh)",Kraftvärmeprod!$B$1:$BX$1,0),FALSE),"")</f>
        <v/>
      </c>
      <c r="BS226" s="227"/>
      <c r="BT226" s="227"/>
      <c r="BU226" s="227"/>
    </row>
    <row r="227" spans="1:73" x14ac:dyDescent="0.25">
      <c r="A227" s="121" t="str">
        <f>'Miljövärden för publ företag'!B230</f>
        <v>Skellefteå Kraft AB</v>
      </c>
      <c r="B227" s="121" t="str">
        <f>'Miljövärden för publ företag'!C230</f>
        <v>Norsjö</v>
      </c>
      <c r="C227" s="173">
        <f>IFERROR(VLOOKUP($B227,Totalt!$B$1:$AQ$554,MATCH(C$2,Totalt!$B$1:$AQ$1,0),FALSE),"")</f>
        <v>0</v>
      </c>
      <c r="D227" s="173">
        <f>IFERROR(VLOOKUP($B227,Totalt!$B$1:$AQ$554,MATCH(D$2,Totalt!$B$1:$AQ$1,0),FALSE),"")</f>
        <v>0.31900000000000001</v>
      </c>
      <c r="E227" s="173">
        <f>IFERROR(VLOOKUP($B227,Totalt!$B$1:$AQ$554,MATCH(E$2,Totalt!$B$1:$AQ$1,0),FALSE),"")</f>
        <v>0</v>
      </c>
      <c r="F227" s="173">
        <f>IFERROR(VLOOKUP($B227,Totalt!$B$1:$AQ$554,MATCH(F$2,Totalt!$B$1:$AQ$1,0),FALSE),"")</f>
        <v>0</v>
      </c>
      <c r="G227" s="173">
        <f>IFERROR(VLOOKUP($B227,Totalt!$B$1:$AQ$554,MATCH(G$2,Totalt!$B$1:$AQ$1,0),FALSE),"")</f>
        <v>0</v>
      </c>
      <c r="H227" s="173">
        <f>IFERROR(VLOOKUP($B227,Totalt!$B$1:$AQ$554,MATCH(H$2,Totalt!$B$1:$AQ$1,0),FALSE),"")</f>
        <v>0</v>
      </c>
      <c r="I227" s="173">
        <f>IFERROR(VLOOKUP($B227,Totalt!$B$1:$AQ$554,MATCH(I$2,Totalt!$B$1:$AQ$1,0),FALSE),"")</f>
        <v>0</v>
      </c>
      <c r="J227" s="173">
        <f>IFERROR(VLOOKUP($B227,Totalt!$B$1:$AQ$554,MATCH(J$2,Totalt!$B$1:$AQ$1,0),FALSE),"")</f>
        <v>0</v>
      </c>
      <c r="K227" s="173">
        <f>IFERROR(VLOOKUP($B227,Totalt!$B$1:$AQ$554,MATCH(K$2,Totalt!$B$1:$AQ$1,0),FALSE),"")</f>
        <v>0</v>
      </c>
      <c r="L227" s="173">
        <f>IFERROR(VLOOKUP($B227,Totalt!$B$1:$AQ$554,MATCH(L$2,Totalt!$B$1:$AQ$1,0),FALSE),"")</f>
        <v>0</v>
      </c>
      <c r="M227" s="173">
        <f>IFERROR(VLOOKUP($B227,Totalt!$B$1:$AQ$554,MATCH(M$2,Totalt!$B$1:$AQ$1,0),FALSE),"")</f>
        <v>0</v>
      </c>
      <c r="N227" s="173">
        <f>IFERROR(VLOOKUP($B227,Totalt!$B$1:$AQ$554,MATCH(N$2,Totalt!$B$1:$AQ$1,0),FALSE),"")</f>
        <v>0</v>
      </c>
      <c r="O227" s="173">
        <f>IFERROR(VLOOKUP($B227,Totalt!$B$1:$AQ$554,MATCH(O$2,Totalt!$B$1:$AQ$1,0),FALSE),"")</f>
        <v>0</v>
      </c>
      <c r="P227" s="173">
        <f>IFERROR(VLOOKUP($B227,Totalt!$B$1:$AQ$554,MATCH(P$2,Totalt!$B$1:$AQ$1,0),FALSE),"")</f>
        <v>0</v>
      </c>
      <c r="Q227" s="173">
        <f>IFERROR(VLOOKUP($B227,Totalt!$B$1:$AQ$554,MATCH(Q$2,Totalt!$B$1:$AQ$1,0),FALSE),"")</f>
        <v>0</v>
      </c>
      <c r="R227" s="173">
        <f>IFERROR(VLOOKUP($B227,Totalt!$B$1:$AQ$554,MATCH(R$2,Totalt!$B$1:$AQ$1,0),FALSE),"")</f>
        <v>10.474</v>
      </c>
      <c r="S227" s="173">
        <f>IFERROR(VLOOKUP($B227,Totalt!$B$1:$AQ$554,MATCH(S$2,Totalt!$B$1:$AQ$1,0),FALSE),"")</f>
        <v>0</v>
      </c>
      <c r="T227" s="173">
        <f>IFERROR(VLOOKUP($B227,Totalt!$B$1:$AQ$554,MATCH(T$2,Totalt!$B$1:$AQ$1,0),FALSE),"")</f>
        <v>0</v>
      </c>
      <c r="U227" s="173">
        <f>IFERROR(VLOOKUP($B227,Totalt!$B$1:$AQ$554,MATCH(U$2,Totalt!$B$1:$AQ$1,0),FALSE),"")</f>
        <v>0</v>
      </c>
      <c r="V227" s="173">
        <f>IFERROR(VLOOKUP($B227,Totalt!$B$1:$AQ$554,MATCH(V$2,Totalt!$B$1:$AQ$1,0),FALSE),"")</f>
        <v>0</v>
      </c>
      <c r="W227" s="173">
        <f>IFERROR(VLOOKUP($B227,Totalt!$B$1:$AQ$554,MATCH(W$2,Totalt!$B$1:$AQ$1,0),FALSE),"")</f>
        <v>0</v>
      </c>
      <c r="X227" s="173">
        <f>IFERROR(VLOOKUP($B227,Totalt!$B$1:$AQ$554,MATCH(X$2,Totalt!$B$1:$AQ$1,0),FALSE),"")</f>
        <v>0</v>
      </c>
      <c r="Y227" s="173">
        <f>IFERROR(VLOOKUP($B227,Totalt!$B$1:$AQ$554,MATCH(Y$2,Totalt!$B$1:$AQ$1,0),FALSE),"")</f>
        <v>0</v>
      </c>
      <c r="Z227" s="173">
        <f>IFERROR(VLOOKUP($B227,Totalt!$B$1:$AQ$554,MATCH(Z$2,Totalt!$B$1:$AQ$1,0),FALSE),"")</f>
        <v>0.27100000000000002</v>
      </c>
      <c r="AA227" s="173">
        <f>IFERROR(VLOOKUP($B227,Totalt!$B$1:$AQ$554,MATCH(AA$2,Totalt!$B$1:$AQ$1,0),FALSE),"")</f>
        <v>0</v>
      </c>
      <c r="AB227" s="173">
        <f>IFERROR(VLOOKUP($B227,Totalt!$B$1:$AQ$554,MATCH(AB$2,Totalt!$B$1:$AQ$1,0),FALSE),"")</f>
        <v>0</v>
      </c>
      <c r="AC227" s="173">
        <f>IFERROR(VLOOKUP($B227,Totalt!$B$1:$AQ$554,MATCH(AC$2,Totalt!$B$1:$AQ$1,0),FALSE),"")</f>
        <v>0</v>
      </c>
      <c r="AD227" s="173">
        <f>IFERROR(VLOOKUP($B227,Totalt!$B$1:$AQ$554,MATCH(AD$2,Totalt!$B$1:$AQ$1,0),FALSE),"")</f>
        <v>5.5780000000000003</v>
      </c>
      <c r="AE227" s="173">
        <f>IFERROR(VLOOKUP($B227,Totalt!$B$1:$AQ$554,MATCH(AE$2,Totalt!$B$1:$AQ$1,0),FALSE),"")</f>
        <v>0</v>
      </c>
      <c r="AF227" s="173">
        <f>IFERROR(VLOOKUP($B227,Totalt!$B$1:$AQ$554,MATCH(AF$2,Totalt!$B$1:$AQ$1,0),FALSE),"")</f>
        <v>0.14699999999999999</v>
      </c>
      <c r="AG227" s="173">
        <f>IFERROR(VLOOKUP($B227,Totalt!$B$1:$AQ$554,MATCH(AG$2,Totalt!$B$1:$AQ$1,0),FALSE),"")</f>
        <v>0</v>
      </c>
      <c r="AI227" s="226">
        <f t="shared" si="18"/>
        <v>16.789000000000001</v>
      </c>
      <c r="AJ227" s="226">
        <f>IF(ISERROR(1/VLOOKUP($B227,Leveranser!$B$1:$S$500,MATCH("såld värme (gwh)",Leveranser!$B$1:$S$1,0),FALSE)),"",VLOOKUP($B227,Leveranser!$B$1:$S$500,MATCH("såld värme (gwh)",Leveranser!$B$1:$S$1,0),FALSE))</f>
        <v>13.169</v>
      </c>
      <c r="AM227" s="227" t="str">
        <f>IF(B227&lt;&gt;"",IF(VLOOKUP($B227,Totalt!$B$1:$AQ$554,MATCH("Kvalitetsgranskad:",Totalt!$B$1:$AQ$1,0),FALSE)="ja",VLOOKUP($B227,Miljö!$B$1:$AG$479,MATCH(AM$2,Miljö!$B$1:$AK$1,0),FALSE),""),"")</f>
        <v>Ja</v>
      </c>
      <c r="AN227" s="227" t="str">
        <f>IF(AM227="ja",VLOOKUP($B227,Miljö!$B$1:$J$479,MATCH("Typ av ursprungsspecificerad el   (Om inget värde anges används Nordisk residualmix, se inforuta) ()",Miljö!$B$1:$J$1,0),FALSE),IF(AM227="nej","Nordisk residualel",""))</f>
        <v>'vatten. vind. bio'</v>
      </c>
      <c r="AO227" s="227">
        <f>IF(AM227="","",VLOOKUP($B227,Miljö!$B$1:$J$479,MATCH("Fossilandel för ursprungspecificerad el ()",Miljö!$B$1:$J$1,0),FALSE))</f>
        <v>0</v>
      </c>
      <c r="AP227" s="227">
        <f>IF(AM227="","",IFERROR(VLOOKUP($B227,Miljö!$B$1:$J$479,MATCH("Kärnkraftsandel för ursprungsspecificerad el ()",Miljö!$B$1:$J$1,0),FALSE)/1,0))</f>
        <v>0</v>
      </c>
      <c r="AQ227" s="227">
        <f t="shared" si="19"/>
        <v>1</v>
      </c>
      <c r="AR227" s="227"/>
      <c r="AS227" s="227" t="str">
        <f t="shared" si="20"/>
        <v>Nej</v>
      </c>
      <c r="AT227" s="227" t="str">
        <f>IF(AS227="ja",VLOOKUP($B227,Miljö!$B$1:$O$500,MATCH("Fossil andel i procent (%)",Miljö!$B$1:$O$1,0),FALSE)/100,"")</f>
        <v/>
      </c>
      <c r="AU227" s="227"/>
      <c r="AV227" s="227" t="str">
        <f t="shared" si="21"/>
        <v>Nej</v>
      </c>
      <c r="AW227" s="227" t="str">
        <f>IF(AV227="ja",VLOOKUP($B227,'Egen hetvattenprod'!$B$1:$AO$500,MATCH("Värmekälla till värmepumpar ()",'Egen hetvattenprod'!$B$1:$AO$1,0),FALSE),"")</f>
        <v/>
      </c>
      <c r="AX227" s="227"/>
      <c r="AY227" s="227" t="str">
        <f t="shared" si="22"/>
        <v>Nej</v>
      </c>
      <c r="AZ227" s="228" t="str">
        <f>IF($AY227="ja",(VLOOKUP($B227,'Egen hetvattenprod'!$B$1:$BX$550,MATCH(AZ$2,'Egen hetvattenprod'!$B$1:$BX$1,0),FALSE)+VLOOKUP($B227,Kraftvärmeprod!$B$1:$BX$550,MATCH(AZ$2,Kraftvärmeprod!$B$1:$BX$1,0),FALSE))/$AC227,"")</f>
        <v/>
      </c>
      <c r="BA227" s="228" t="str">
        <f>IF($AY227="ja",(VLOOKUP($B227,'Egen hetvattenprod'!$B$1:$BX$550,MATCH(BA$2,'Egen hetvattenprod'!$B$1:$BX$1,0),FALSE)+VLOOKUP($B227,Kraftvärmeprod!$B$1:$BX$550,MATCH(BA$2,Kraftvärmeprod!$B$1:$BX$1,0),FALSE))/$AC227,"")</f>
        <v/>
      </c>
      <c r="BB227" s="228" t="str">
        <f>IF($AY227="ja",(VLOOKUP($B227,'Egen hetvattenprod'!$B$1:$BX$550,MATCH(BB$2,'Egen hetvattenprod'!$B$1:$BX$1,0),FALSE)+VLOOKUP($B227,Kraftvärmeprod!$B$1:$BX$550,MATCH(BB$2,Kraftvärmeprod!$B$1:$BX$1,0),FALSE))/$AC227,"")</f>
        <v/>
      </c>
      <c r="BC227" s="228" t="str">
        <f>IF($AY227="ja",(VLOOKUP($B227,'Egen hetvattenprod'!$B$1:$BX$550,MATCH(BC$2,'Egen hetvattenprod'!$B$1:$BX$1,0),FALSE)+VLOOKUP($B227,Kraftvärmeprod!$B$1:$BX$550,MATCH(BC$2,Kraftvärmeprod!$B$1:$BX$1,0),FALSE))/$AC227,"")</f>
        <v/>
      </c>
      <c r="BD227" s="228" t="str">
        <f>IF($AY227="ja",(VLOOKUP($B227,'Egen hetvattenprod'!$B$1:$BX$550,MATCH(BD$2,'Egen hetvattenprod'!$B$1:$BX$1,0),FALSE)+VLOOKUP($B227,Kraftvärmeprod!$B$1:$BX$550,MATCH(BD$2,Kraftvärmeprod!$B$1:$BX$1,0),FALSE))/$AC227,"")</f>
        <v/>
      </c>
      <c r="BE227" s="227"/>
      <c r="BF227" s="227" t="str">
        <f t="shared" si="23"/>
        <v>Nej</v>
      </c>
      <c r="BG227" s="227" t="str">
        <f>IF($BF227="ja",VLOOKUP($B227,'Egen hetvattenprod'!$B$1:$BX$550,MATCH("Andelen klimatgaser med fossilt ursprung för avfall ()",'Egen hetvattenprod'!$B$1:$BX$1,0),FALSE),"")</f>
        <v/>
      </c>
      <c r="BH227" s="227" t="str">
        <f>IF($BF227="ja",VLOOKUP($B227,Kraftvärmeprod!$B$1:$BX$550,MATCH("Andelen klimatgaser med fossilt ursprung för avfall ()",Kraftvärmeprod!$B$1:$BX$1,0),FALSE),"")</f>
        <v/>
      </c>
      <c r="BI227" s="227" t="str">
        <f>IF($BF227="ja",VLOOKUP($B227,'Egen hetvattenprod'!$B$1:$BX$550,MATCH("Avfall (GWh)",'Egen hetvattenprod'!$B$1:$BX$1,0),FALSE),"")</f>
        <v/>
      </c>
      <c r="BJ227" s="227" t="str">
        <f>IF($BF227="ja",VLOOKUP($B227,'Slutlig allokering kvv'!$B$1:$BX$550,MATCH("Avfall (GWh)",'Slutlig allokering kvv'!$B$1:$BX$1,0),FALSE),"")</f>
        <v/>
      </c>
      <c r="BK227" s="227" t="str">
        <f>IF($BF227="ja",VLOOKUP($B227,'Köpt hetvatten'!$B$1:$BX$550,MATCH("Avfall i köpt hetvatten",'Köpt hetvatten'!$B$1:$BX$1,0),FALSE),"")</f>
        <v/>
      </c>
      <c r="BL227" s="227" t="str">
        <f>IF($BF227="ja",VLOOKUP($B227,'Egen hetvattenprod'!$B$1:$BX$550,MATCH("Värde enligt ovan. (%)",'Egen hetvattenprod'!$B$1:$BX$1,0),FALSE),"")</f>
        <v/>
      </c>
      <c r="BM227" s="227" t="str">
        <f>IF($BF227="ja",VLOOKUP($B227,Kraftvärmeprod!$B$1:$BX$550,MATCH("Värde enligt ovan. (%)",Kraftvärmeprod!$B$1:$BX$1,0),FALSE),"")</f>
        <v/>
      </c>
      <c r="BN227" s="227"/>
      <c r="BO227" s="227"/>
      <c r="BP227" s="227"/>
      <c r="BQ227" s="227" t="str">
        <f>IF($BF227="ja",VLOOKUP($B227,'Egen hetvattenprod'!$B$1:$BX$550,MATCH("Tillförd olja (fossil) vid avfallsförbränning (GWh)",'Egen hetvattenprod'!$B$1:$BX$1,0),FALSE),"")</f>
        <v/>
      </c>
      <c r="BR227" s="227" t="str">
        <f>IF($BF227="ja",VLOOKUP($B227,Kraftvärmeprod!$B$1:$BX$550,MATCH("Tillförd olja (fossil) vid avfallsförbränning (GWh)",Kraftvärmeprod!$B$1:$BX$1,0),FALSE),"")</f>
        <v/>
      </c>
      <c r="BS227" s="227"/>
      <c r="BT227" s="227"/>
      <c r="BU227" s="227"/>
    </row>
    <row r="228" spans="1:73" x14ac:dyDescent="0.25">
      <c r="A228" s="121" t="str">
        <f>'Miljövärden för publ företag'!B231</f>
        <v>Skellefteå Kraft AB</v>
      </c>
      <c r="B228" s="121" t="str">
        <f>'Miljövärden för publ företag'!C231</f>
        <v>Robertsfors</v>
      </c>
      <c r="C228" s="173">
        <f>IFERROR(VLOOKUP($B228,Totalt!$B$1:$AQ$554,MATCH(C$2,Totalt!$B$1:$AQ$1,0),FALSE),"")</f>
        <v>0</v>
      </c>
      <c r="D228" s="173">
        <f>IFERROR(VLOOKUP($B228,Totalt!$B$1:$AQ$554,MATCH(D$2,Totalt!$B$1:$AQ$1,0),FALSE),"")</f>
        <v>9.1999999999999998E-2</v>
      </c>
      <c r="E228" s="173">
        <f>IFERROR(VLOOKUP($B228,Totalt!$B$1:$AQ$554,MATCH(E$2,Totalt!$B$1:$AQ$1,0),FALSE),"")</f>
        <v>0</v>
      </c>
      <c r="F228" s="173">
        <f>IFERROR(VLOOKUP($B228,Totalt!$B$1:$AQ$554,MATCH(F$2,Totalt!$B$1:$AQ$1,0),FALSE),"")</f>
        <v>0</v>
      </c>
      <c r="G228" s="173">
        <f>IFERROR(VLOOKUP($B228,Totalt!$B$1:$AQ$554,MATCH(G$2,Totalt!$B$1:$AQ$1,0),FALSE),"")</f>
        <v>0</v>
      </c>
      <c r="H228" s="173">
        <f>IFERROR(VLOOKUP($B228,Totalt!$B$1:$AQ$554,MATCH(H$2,Totalt!$B$1:$AQ$1,0),FALSE),"")</f>
        <v>0</v>
      </c>
      <c r="I228" s="173">
        <f>IFERROR(VLOOKUP($B228,Totalt!$B$1:$AQ$554,MATCH(I$2,Totalt!$B$1:$AQ$1,0),FALSE),"")</f>
        <v>0</v>
      </c>
      <c r="J228" s="173">
        <f>IFERROR(VLOOKUP($B228,Totalt!$B$1:$AQ$554,MATCH(J$2,Totalt!$B$1:$AQ$1,0),FALSE),"")</f>
        <v>0</v>
      </c>
      <c r="K228" s="173">
        <f>IFERROR(VLOOKUP($B228,Totalt!$B$1:$AQ$554,MATCH(K$2,Totalt!$B$1:$AQ$1,0),FALSE),"")</f>
        <v>0</v>
      </c>
      <c r="L228" s="173">
        <f>IFERROR(VLOOKUP($B228,Totalt!$B$1:$AQ$554,MATCH(L$2,Totalt!$B$1:$AQ$1,0),FALSE),"")</f>
        <v>0</v>
      </c>
      <c r="M228" s="173">
        <f>IFERROR(VLOOKUP($B228,Totalt!$B$1:$AQ$554,MATCH(M$2,Totalt!$B$1:$AQ$1,0),FALSE),"")</f>
        <v>0</v>
      </c>
      <c r="N228" s="173">
        <f>IFERROR(VLOOKUP($B228,Totalt!$B$1:$AQ$554,MATCH(N$2,Totalt!$B$1:$AQ$1,0),FALSE),"")</f>
        <v>0</v>
      </c>
      <c r="O228" s="173">
        <f>IFERROR(VLOOKUP($B228,Totalt!$B$1:$AQ$554,MATCH(O$2,Totalt!$B$1:$AQ$1,0),FALSE),"")</f>
        <v>0</v>
      </c>
      <c r="P228" s="173">
        <f>IFERROR(VLOOKUP($B228,Totalt!$B$1:$AQ$554,MATCH(P$2,Totalt!$B$1:$AQ$1,0),FALSE),"")</f>
        <v>0</v>
      </c>
      <c r="Q228" s="173">
        <f>IFERROR(VLOOKUP($B228,Totalt!$B$1:$AQ$554,MATCH(Q$2,Totalt!$B$1:$AQ$1,0),FALSE),"")</f>
        <v>0</v>
      </c>
      <c r="R228" s="173">
        <f>IFERROR(VLOOKUP($B228,Totalt!$B$1:$AQ$554,MATCH(R$2,Totalt!$B$1:$AQ$1,0),FALSE),"")</f>
        <v>12.67</v>
      </c>
      <c r="S228" s="173">
        <f>IFERROR(VLOOKUP($B228,Totalt!$B$1:$AQ$554,MATCH(S$2,Totalt!$B$1:$AQ$1,0),FALSE),"")</f>
        <v>0</v>
      </c>
      <c r="T228" s="173">
        <f>IFERROR(VLOOKUP($B228,Totalt!$B$1:$AQ$554,MATCH(T$2,Totalt!$B$1:$AQ$1,0),FALSE),"")</f>
        <v>0</v>
      </c>
      <c r="U228" s="173">
        <f>IFERROR(VLOOKUP($B228,Totalt!$B$1:$AQ$554,MATCH(U$2,Totalt!$B$1:$AQ$1,0),FALSE),"")</f>
        <v>0</v>
      </c>
      <c r="V228" s="173">
        <f>IFERROR(VLOOKUP($B228,Totalt!$B$1:$AQ$554,MATCH(V$2,Totalt!$B$1:$AQ$1,0),FALSE),"")</f>
        <v>0</v>
      </c>
      <c r="W228" s="173">
        <f>IFERROR(VLOOKUP($B228,Totalt!$B$1:$AQ$554,MATCH(W$2,Totalt!$B$1:$AQ$1,0),FALSE),"")</f>
        <v>0</v>
      </c>
      <c r="X228" s="173">
        <f>IFERROR(VLOOKUP($B228,Totalt!$B$1:$AQ$554,MATCH(X$2,Totalt!$B$1:$AQ$1,0),FALSE),"")</f>
        <v>0</v>
      </c>
      <c r="Y228" s="173">
        <f>IFERROR(VLOOKUP($B228,Totalt!$B$1:$AQ$554,MATCH(Y$2,Totalt!$B$1:$AQ$1,0),FALSE),"")</f>
        <v>0</v>
      </c>
      <c r="Z228" s="173">
        <f>IFERROR(VLOOKUP($B228,Totalt!$B$1:$AQ$554,MATCH(Z$2,Totalt!$B$1:$AQ$1,0),FALSE),"")</f>
        <v>0</v>
      </c>
      <c r="AA228" s="173">
        <f>IFERROR(VLOOKUP($B228,Totalt!$B$1:$AQ$554,MATCH(AA$2,Totalt!$B$1:$AQ$1,0),FALSE),"")</f>
        <v>0</v>
      </c>
      <c r="AB228" s="173">
        <f>IFERROR(VLOOKUP($B228,Totalt!$B$1:$AQ$554,MATCH(AB$2,Totalt!$B$1:$AQ$1,0),FALSE),"")</f>
        <v>0</v>
      </c>
      <c r="AC228" s="173">
        <f>IFERROR(VLOOKUP($B228,Totalt!$B$1:$AQ$554,MATCH(AC$2,Totalt!$B$1:$AQ$1,0),FALSE),"")</f>
        <v>0</v>
      </c>
      <c r="AD228" s="173">
        <f>IFERROR(VLOOKUP($B228,Totalt!$B$1:$AQ$554,MATCH(AD$2,Totalt!$B$1:$AQ$1,0),FALSE),"")</f>
        <v>0</v>
      </c>
      <c r="AE228" s="173">
        <f>IFERROR(VLOOKUP($B228,Totalt!$B$1:$AQ$554,MATCH(AE$2,Totalt!$B$1:$AQ$1,0),FALSE),"")</f>
        <v>0</v>
      </c>
      <c r="AF228" s="173">
        <f>IFERROR(VLOOKUP($B228,Totalt!$B$1:$AQ$554,MATCH(AF$2,Totalt!$B$1:$AQ$1,0),FALSE),"")</f>
        <v>0.114</v>
      </c>
      <c r="AG228" s="173">
        <f>IFERROR(VLOOKUP($B228,Totalt!$B$1:$AQ$554,MATCH(AG$2,Totalt!$B$1:$AQ$1,0),FALSE),"")</f>
        <v>0</v>
      </c>
      <c r="AI228" s="226">
        <f t="shared" si="18"/>
        <v>12.876000000000001</v>
      </c>
      <c r="AJ228" s="226">
        <f>IF(ISERROR(1/VLOOKUP($B228,Leveranser!$B$1:$S$500,MATCH("såld värme (gwh)",Leveranser!$B$1:$S$1,0),FALSE)),"",VLOOKUP($B228,Leveranser!$B$1:$S$500,MATCH("såld värme (gwh)",Leveranser!$B$1:$S$1,0),FALSE))</f>
        <v>9.8339999999999996</v>
      </c>
      <c r="AM228" s="227" t="str">
        <f>IF(B228&lt;&gt;"",IF(VLOOKUP($B228,Totalt!$B$1:$AQ$554,MATCH("Kvalitetsgranskad:",Totalt!$B$1:$AQ$1,0),FALSE)="ja",VLOOKUP($B228,Miljö!$B$1:$AG$479,MATCH(AM$2,Miljö!$B$1:$AK$1,0),FALSE),""),"")</f>
        <v>Ja</v>
      </c>
      <c r="AN228" s="227" t="str">
        <f>IF(AM228="ja",VLOOKUP($B228,Miljö!$B$1:$J$479,MATCH("Typ av ursprungsspecificerad el   (Om inget värde anges används Nordisk residualmix, se inforuta) ()",Miljö!$B$1:$J$1,0),FALSE),IF(AM228="nej","Nordisk residualel",""))</f>
        <v>'vatten. vind. bio'</v>
      </c>
      <c r="AO228" s="227">
        <f>IF(AM228="","",VLOOKUP($B228,Miljö!$B$1:$J$479,MATCH("Fossilandel för ursprungspecificerad el ()",Miljö!$B$1:$J$1,0),FALSE))</f>
        <v>0</v>
      </c>
      <c r="AP228" s="227">
        <f>IF(AM228="","",IFERROR(VLOOKUP($B228,Miljö!$B$1:$J$479,MATCH("Kärnkraftsandel för ursprungsspecificerad el ()",Miljö!$B$1:$J$1,0),FALSE)/1,0))</f>
        <v>0</v>
      </c>
      <c r="AQ228" s="227">
        <f t="shared" si="19"/>
        <v>1</v>
      </c>
      <c r="AR228" s="227"/>
      <c r="AS228" s="227" t="str">
        <f t="shared" si="20"/>
        <v>Nej</v>
      </c>
      <c r="AT228" s="227" t="str">
        <f>IF(AS228="ja",VLOOKUP($B228,Miljö!$B$1:$O$500,MATCH("Fossil andel i procent (%)",Miljö!$B$1:$O$1,0),FALSE)/100,"")</f>
        <v/>
      </c>
      <c r="AU228" s="227"/>
      <c r="AV228" s="227" t="str">
        <f t="shared" si="21"/>
        <v>Nej</v>
      </c>
      <c r="AW228" s="227" t="str">
        <f>IF(AV228="ja",VLOOKUP($B228,'Egen hetvattenprod'!$B$1:$AO$500,MATCH("Värmekälla till värmepumpar ()",'Egen hetvattenprod'!$B$1:$AO$1,0),FALSE),"")</f>
        <v/>
      </c>
      <c r="AX228" s="227"/>
      <c r="AY228" s="227" t="str">
        <f t="shared" si="22"/>
        <v>Nej</v>
      </c>
      <c r="AZ228" s="228" t="str">
        <f>IF($AY228="ja",(VLOOKUP($B228,'Egen hetvattenprod'!$B$1:$BX$550,MATCH(AZ$2,'Egen hetvattenprod'!$B$1:$BX$1,0),FALSE)+VLOOKUP($B228,Kraftvärmeprod!$B$1:$BX$550,MATCH(AZ$2,Kraftvärmeprod!$B$1:$BX$1,0),FALSE))/$AC228,"")</f>
        <v/>
      </c>
      <c r="BA228" s="228" t="str">
        <f>IF($AY228="ja",(VLOOKUP($B228,'Egen hetvattenprod'!$B$1:$BX$550,MATCH(BA$2,'Egen hetvattenprod'!$B$1:$BX$1,0),FALSE)+VLOOKUP($B228,Kraftvärmeprod!$B$1:$BX$550,MATCH(BA$2,Kraftvärmeprod!$B$1:$BX$1,0),FALSE))/$AC228,"")</f>
        <v/>
      </c>
      <c r="BB228" s="228" t="str">
        <f>IF($AY228="ja",(VLOOKUP($B228,'Egen hetvattenprod'!$B$1:$BX$550,MATCH(BB$2,'Egen hetvattenprod'!$B$1:$BX$1,0),FALSE)+VLOOKUP($B228,Kraftvärmeprod!$B$1:$BX$550,MATCH(BB$2,Kraftvärmeprod!$B$1:$BX$1,0),FALSE))/$AC228,"")</f>
        <v/>
      </c>
      <c r="BC228" s="228" t="str">
        <f>IF($AY228="ja",(VLOOKUP($B228,'Egen hetvattenprod'!$B$1:$BX$550,MATCH(BC$2,'Egen hetvattenprod'!$B$1:$BX$1,0),FALSE)+VLOOKUP($B228,Kraftvärmeprod!$B$1:$BX$550,MATCH(BC$2,Kraftvärmeprod!$B$1:$BX$1,0),FALSE))/$AC228,"")</f>
        <v/>
      </c>
      <c r="BD228" s="228" t="str">
        <f>IF($AY228="ja",(VLOOKUP($B228,'Egen hetvattenprod'!$B$1:$BX$550,MATCH(BD$2,'Egen hetvattenprod'!$B$1:$BX$1,0),FALSE)+VLOOKUP($B228,Kraftvärmeprod!$B$1:$BX$550,MATCH(BD$2,Kraftvärmeprod!$B$1:$BX$1,0),FALSE))/$AC228,"")</f>
        <v/>
      </c>
      <c r="BE228" s="227"/>
      <c r="BF228" s="227" t="str">
        <f t="shared" si="23"/>
        <v>Nej</v>
      </c>
      <c r="BG228" s="227" t="str">
        <f>IF($BF228="ja",VLOOKUP($B228,'Egen hetvattenprod'!$B$1:$BX$550,MATCH("Andelen klimatgaser med fossilt ursprung för avfall ()",'Egen hetvattenprod'!$B$1:$BX$1,0),FALSE),"")</f>
        <v/>
      </c>
      <c r="BH228" s="227" t="str">
        <f>IF($BF228="ja",VLOOKUP($B228,Kraftvärmeprod!$B$1:$BX$550,MATCH("Andelen klimatgaser med fossilt ursprung för avfall ()",Kraftvärmeprod!$B$1:$BX$1,0),FALSE),"")</f>
        <v/>
      </c>
      <c r="BI228" s="227" t="str">
        <f>IF($BF228="ja",VLOOKUP($B228,'Egen hetvattenprod'!$B$1:$BX$550,MATCH("Avfall (GWh)",'Egen hetvattenprod'!$B$1:$BX$1,0),FALSE),"")</f>
        <v/>
      </c>
      <c r="BJ228" s="227" t="str">
        <f>IF($BF228="ja",VLOOKUP($B228,'Slutlig allokering kvv'!$B$1:$BX$550,MATCH("Avfall (GWh)",'Slutlig allokering kvv'!$B$1:$BX$1,0),FALSE),"")</f>
        <v/>
      </c>
      <c r="BK228" s="227" t="str">
        <f>IF($BF228="ja",VLOOKUP($B228,'Köpt hetvatten'!$B$1:$BX$550,MATCH("Avfall i köpt hetvatten",'Köpt hetvatten'!$B$1:$BX$1,0),FALSE),"")</f>
        <v/>
      </c>
      <c r="BL228" s="227" t="str">
        <f>IF($BF228="ja",VLOOKUP($B228,'Egen hetvattenprod'!$B$1:$BX$550,MATCH("Värde enligt ovan. (%)",'Egen hetvattenprod'!$B$1:$BX$1,0),FALSE),"")</f>
        <v/>
      </c>
      <c r="BM228" s="227" t="str">
        <f>IF($BF228="ja",VLOOKUP($B228,Kraftvärmeprod!$B$1:$BX$550,MATCH("Värde enligt ovan. (%)",Kraftvärmeprod!$B$1:$BX$1,0),FALSE),"")</f>
        <v/>
      </c>
      <c r="BN228" s="227"/>
      <c r="BO228" s="227"/>
      <c r="BP228" s="227"/>
      <c r="BQ228" s="227" t="str">
        <f>IF($BF228="ja",VLOOKUP($B228,'Egen hetvattenprod'!$B$1:$BX$550,MATCH("Tillförd olja (fossil) vid avfallsförbränning (GWh)",'Egen hetvattenprod'!$B$1:$BX$1,0),FALSE),"")</f>
        <v/>
      </c>
      <c r="BR228" s="227" t="str">
        <f>IF($BF228="ja",VLOOKUP($B228,Kraftvärmeprod!$B$1:$BX$550,MATCH("Tillförd olja (fossil) vid avfallsförbränning (GWh)",Kraftvärmeprod!$B$1:$BX$1,0),FALSE),"")</f>
        <v/>
      </c>
      <c r="BS228" s="227"/>
      <c r="BT228" s="227"/>
      <c r="BU228" s="227"/>
    </row>
    <row r="229" spans="1:73" x14ac:dyDescent="0.25">
      <c r="A229" s="121" t="str">
        <f>'Miljövärden för publ företag'!B232</f>
        <v>Skellefteå Kraft AB</v>
      </c>
      <c r="B229" s="121" t="str">
        <f>'Miljövärden för publ företag'!C232</f>
        <v>Skellefteå</v>
      </c>
      <c r="C229" s="173">
        <f>IFERROR(VLOOKUP($B229,Totalt!$B$1:$AQ$554,MATCH(C$2,Totalt!$B$1:$AQ$1,0),FALSE),"")</f>
        <v>0</v>
      </c>
      <c r="D229" s="173">
        <f>IFERROR(VLOOKUP($B229,Totalt!$B$1:$AQ$554,MATCH(D$2,Totalt!$B$1:$AQ$1,0),FALSE),"")</f>
        <v>5.87317</v>
      </c>
      <c r="E229" s="173">
        <f>IFERROR(VLOOKUP($B229,Totalt!$B$1:$AQ$554,MATCH(E$2,Totalt!$B$1:$AQ$1,0),FALSE),"")</f>
        <v>0</v>
      </c>
      <c r="F229" s="173">
        <f>IFERROR(VLOOKUP($B229,Totalt!$B$1:$AQ$554,MATCH(F$2,Totalt!$B$1:$AQ$1,0),FALSE),"")</f>
        <v>0</v>
      </c>
      <c r="G229" s="173">
        <f>IFERROR(VLOOKUP($B229,Totalt!$B$1:$AQ$554,MATCH(G$2,Totalt!$B$1:$AQ$1,0),FALSE),"")</f>
        <v>0</v>
      </c>
      <c r="H229" s="173">
        <f>IFERROR(VLOOKUP($B229,Totalt!$B$1:$AQ$554,MATCH(H$2,Totalt!$B$1:$AQ$1,0),FALSE),"")</f>
        <v>0</v>
      </c>
      <c r="I229" s="173">
        <f>IFERROR(VLOOKUP($B229,Totalt!$B$1:$AQ$554,MATCH(I$2,Totalt!$B$1:$AQ$1,0),FALSE),"")</f>
        <v>0</v>
      </c>
      <c r="J229" s="173">
        <f>IFERROR(VLOOKUP($B229,Totalt!$B$1:$AQ$554,MATCH(J$2,Totalt!$B$1:$AQ$1,0),FALSE),"")</f>
        <v>0</v>
      </c>
      <c r="K229" s="173">
        <f>IFERROR(VLOOKUP($B229,Totalt!$B$1:$AQ$554,MATCH(K$2,Totalt!$B$1:$AQ$1,0),FALSE),"")</f>
        <v>0</v>
      </c>
      <c r="L229" s="173">
        <f>IFERROR(VLOOKUP($B229,Totalt!$B$1:$AQ$554,MATCH(L$2,Totalt!$B$1:$AQ$1,0),FALSE),"")</f>
        <v>0</v>
      </c>
      <c r="M229" s="173">
        <f>IFERROR(VLOOKUP($B229,Totalt!$B$1:$AQ$554,MATCH(M$2,Totalt!$B$1:$AQ$1,0),FALSE),"")</f>
        <v>63.855600000000003</v>
      </c>
      <c r="N229" s="173">
        <f>IFERROR(VLOOKUP($B229,Totalt!$B$1:$AQ$554,MATCH(N$2,Totalt!$B$1:$AQ$1,0),FALSE),"")</f>
        <v>42.200800000000001</v>
      </c>
      <c r="O229" s="173">
        <f>IFERROR(VLOOKUP($B229,Totalt!$B$1:$AQ$554,MATCH(O$2,Totalt!$B$1:$AQ$1,0),FALSE),"")</f>
        <v>64.730099999999993</v>
      </c>
      <c r="P229" s="173">
        <f>IFERROR(VLOOKUP($B229,Totalt!$B$1:$AQ$554,MATCH(P$2,Totalt!$B$1:$AQ$1,0),FALSE),"")</f>
        <v>13.551399999999999</v>
      </c>
      <c r="Q229" s="173">
        <f>IFERROR(VLOOKUP($B229,Totalt!$B$1:$AQ$554,MATCH(Q$2,Totalt!$B$1:$AQ$1,0),FALSE),"")</f>
        <v>28.550999999999998</v>
      </c>
      <c r="R229" s="173">
        <f>IFERROR(VLOOKUP($B229,Totalt!$B$1:$AQ$554,MATCH(R$2,Totalt!$B$1:$AQ$1,0),FALSE),"")</f>
        <v>0</v>
      </c>
      <c r="S229" s="173">
        <f>IFERROR(VLOOKUP($B229,Totalt!$B$1:$AQ$554,MATCH(S$2,Totalt!$B$1:$AQ$1,0),FALSE),"")</f>
        <v>0.49684899999999999</v>
      </c>
      <c r="T229" s="173">
        <f>IFERROR(VLOOKUP($B229,Totalt!$B$1:$AQ$554,MATCH(T$2,Totalt!$B$1:$AQ$1,0),FALSE),"")</f>
        <v>1.2393400000000001</v>
      </c>
      <c r="U229" s="173">
        <f>IFERROR(VLOOKUP($B229,Totalt!$B$1:$AQ$554,MATCH(U$2,Totalt!$B$1:$AQ$1,0),FALSE),"")</f>
        <v>0</v>
      </c>
      <c r="V229" s="173">
        <f>IFERROR(VLOOKUP($B229,Totalt!$B$1:$AQ$554,MATCH(V$2,Totalt!$B$1:$AQ$1,0),FALSE),"")</f>
        <v>0</v>
      </c>
      <c r="W229" s="173">
        <f>IFERROR(VLOOKUP($B229,Totalt!$B$1:$AQ$554,MATCH(W$2,Totalt!$B$1:$AQ$1,0),FALSE),"")</f>
        <v>0</v>
      </c>
      <c r="X229" s="173">
        <f>IFERROR(VLOOKUP($B229,Totalt!$B$1:$AQ$554,MATCH(X$2,Totalt!$B$1:$AQ$1,0),FALSE),"")</f>
        <v>0</v>
      </c>
      <c r="Y229" s="173">
        <f>IFERROR(VLOOKUP($B229,Totalt!$B$1:$AQ$554,MATCH(Y$2,Totalt!$B$1:$AQ$1,0),FALSE),"")</f>
        <v>37.451300000000003</v>
      </c>
      <c r="Z229" s="173">
        <f>IFERROR(VLOOKUP($B229,Totalt!$B$1:$AQ$554,MATCH(Z$2,Totalt!$B$1:$AQ$1,0),FALSE),"")</f>
        <v>0</v>
      </c>
      <c r="AA229" s="173">
        <f>IFERROR(VLOOKUP($B229,Totalt!$B$1:$AQ$554,MATCH(AA$2,Totalt!$B$1:$AQ$1,0),FALSE),"")</f>
        <v>0</v>
      </c>
      <c r="AB229" s="173">
        <f>IFERROR(VLOOKUP($B229,Totalt!$B$1:$AQ$554,MATCH(AB$2,Totalt!$B$1:$AQ$1,0),FALSE),"")</f>
        <v>0</v>
      </c>
      <c r="AC229" s="173">
        <f>IFERROR(VLOOKUP($B229,Totalt!$B$1:$AQ$554,MATCH(AC$2,Totalt!$B$1:$AQ$1,0),FALSE),"")</f>
        <v>67.151499999999999</v>
      </c>
      <c r="AD229" s="173">
        <f>IFERROR(VLOOKUP($B229,Totalt!$B$1:$AQ$554,MATCH(AD$2,Totalt!$B$1:$AQ$1,0),FALSE),"")</f>
        <v>0</v>
      </c>
      <c r="AE229" s="173">
        <f>IFERROR(VLOOKUP($B229,Totalt!$B$1:$AQ$554,MATCH(AE$2,Totalt!$B$1:$AQ$1,0),FALSE),"")</f>
        <v>0</v>
      </c>
      <c r="AF229" s="173">
        <f>IFERROR(VLOOKUP($B229,Totalt!$B$1:$AQ$554,MATCH(AF$2,Totalt!$B$1:$AQ$1,0),FALSE),"")</f>
        <v>13.6165</v>
      </c>
      <c r="AG229" s="173">
        <f>IFERROR(VLOOKUP($B229,Totalt!$B$1:$AQ$554,MATCH(AG$2,Totalt!$B$1:$AQ$1,0),FALSE),"")</f>
        <v>0</v>
      </c>
      <c r="AI229" s="226">
        <f t="shared" si="18"/>
        <v>338.71755899999999</v>
      </c>
      <c r="AJ229" s="226">
        <f>IF(ISERROR(1/VLOOKUP($B229,Leveranser!$B$1:$S$500,MATCH("såld värme (gwh)",Leveranser!$B$1:$S$1,0),FALSE)),"",VLOOKUP($B229,Leveranser!$B$1:$S$500,MATCH("såld värme (gwh)",Leveranser!$B$1:$S$1,0),FALSE))</f>
        <v>323.15499999999997</v>
      </c>
      <c r="AM229" s="227" t="str">
        <f>IF(B229&lt;&gt;"",IF(VLOOKUP($B229,Totalt!$B$1:$AQ$554,MATCH("Kvalitetsgranskad:",Totalt!$B$1:$AQ$1,0),FALSE)="ja",VLOOKUP($B229,Miljö!$B$1:$AG$479,MATCH(AM$2,Miljö!$B$1:$AK$1,0),FALSE),""),"")</f>
        <v>Ja</v>
      </c>
      <c r="AN229" s="227" t="str">
        <f>IF(AM229="ja",VLOOKUP($B229,Miljö!$B$1:$J$479,MATCH("Typ av ursprungsspecificerad el   (Om inget värde anges används Nordisk residualmix, se inforuta) ()",Miljö!$B$1:$J$1,0),FALSE),IF(AM229="nej","Nordisk residualel",""))</f>
        <v>'vatten. vind. bio. egenprod i kraftvärmeverk'</v>
      </c>
      <c r="AO229" s="227">
        <f>IF(AM229="","",VLOOKUP($B229,Miljö!$B$1:$J$479,MATCH("Fossilandel för ursprungspecificerad el ()",Miljö!$B$1:$J$1,0),FALSE))</f>
        <v>0</v>
      </c>
      <c r="AP229" s="227">
        <f>IF(AM229="","",IFERROR(VLOOKUP($B229,Miljö!$B$1:$J$479,MATCH("Kärnkraftsandel för ursprungsspecificerad el ()",Miljö!$B$1:$J$1,0),FALSE)/1,0))</f>
        <v>0</v>
      </c>
      <c r="AQ229" s="227">
        <f t="shared" si="19"/>
        <v>1</v>
      </c>
      <c r="AR229" s="227"/>
      <c r="AS229" s="227" t="str">
        <f t="shared" si="20"/>
        <v>Nej</v>
      </c>
      <c r="AT229" s="227" t="str">
        <f>IF(AS229="ja",VLOOKUP($B229,Miljö!$B$1:$O$500,MATCH("Fossil andel i procent (%)",Miljö!$B$1:$O$1,0),FALSE)/100,"")</f>
        <v/>
      </c>
      <c r="AU229" s="227"/>
      <c r="AV229" s="227" t="str">
        <f t="shared" si="21"/>
        <v>Nej</v>
      </c>
      <c r="AW229" s="227" t="str">
        <f>IF(AV229="ja",VLOOKUP($B229,'Egen hetvattenprod'!$B$1:$AO$500,MATCH("Värmekälla till värmepumpar ()",'Egen hetvattenprod'!$B$1:$AO$1,0),FALSE),"")</f>
        <v/>
      </c>
      <c r="AX229" s="227"/>
      <c r="AY229" s="227" t="str">
        <f t="shared" si="22"/>
        <v>Ja</v>
      </c>
      <c r="AZ229" s="228">
        <f>IF($AY229="ja",(VLOOKUP($B229,'Egen hetvattenprod'!$B$1:$BX$550,MATCH(AZ$2,'Egen hetvattenprod'!$B$1:$BX$1,0),FALSE)+VLOOKUP($B229,Kraftvärmeprod!$B$1:$BX$550,MATCH(AZ$2,Kraftvärmeprod!$B$1:$BX$1,0),FALSE))/$AC229,"")</f>
        <v>0.84491632093261737</v>
      </c>
      <c r="BA229" s="228">
        <f>IF($AY229="ja",(VLOOKUP($B229,'Egen hetvattenprod'!$B$1:$BX$550,MATCH(BA$2,'Egen hetvattenprod'!$B$1:$BX$1,0),FALSE)+VLOOKUP($B229,Kraftvärmeprod!$B$1:$BX$550,MATCH(BA$2,Kraftvärmeprod!$B$1:$BX$1,0),FALSE))/$AC229,"")</f>
        <v>0</v>
      </c>
      <c r="BB229" s="228">
        <f>IF($AY229="ja",(VLOOKUP($B229,'Egen hetvattenprod'!$B$1:$BX$550,MATCH(BB$2,'Egen hetvattenprod'!$B$1:$BX$1,0),FALSE)+VLOOKUP($B229,Kraftvärmeprod!$B$1:$BX$550,MATCH(BB$2,Kraftvärmeprod!$B$1:$BX$1,0),FALSE))/$AC229,"")</f>
        <v>1.6196425064227621E-3</v>
      </c>
      <c r="BC229" s="228">
        <f>IF($AY229="ja",(VLOOKUP($B229,'Egen hetvattenprod'!$B$1:$BX$550,MATCH(BC$2,'Egen hetvattenprod'!$B$1:$BX$1,0),FALSE)+VLOOKUP($B229,Kraftvärmeprod!$B$1:$BX$550,MATCH(BC$2,Kraftvärmeprod!$B$1:$BX$1,0),FALSE))/$AC229,"")</f>
        <v>0.15346358983995664</v>
      </c>
      <c r="BD229" s="228">
        <f>IF($AY229="ja",(VLOOKUP($B229,'Egen hetvattenprod'!$B$1:$BX$550,MATCH(BD$2,'Egen hetvattenprod'!$B$1:$BX$1,0),FALSE)+VLOOKUP($B229,Kraftvärmeprod!$B$1:$BX$550,MATCH(BD$2,Kraftvärmeprod!$B$1:$BX$1,0),FALSE))/$AC229,"")</f>
        <v>0</v>
      </c>
      <c r="BE229" s="227"/>
      <c r="BF229" s="227" t="str">
        <f t="shared" si="23"/>
        <v>Nej</v>
      </c>
      <c r="BG229" s="227" t="str">
        <f>IF($BF229="ja",VLOOKUP($B229,'Egen hetvattenprod'!$B$1:$BX$550,MATCH("Andelen klimatgaser med fossilt ursprung för avfall ()",'Egen hetvattenprod'!$B$1:$BX$1,0),FALSE),"")</f>
        <v/>
      </c>
      <c r="BH229" s="227" t="str">
        <f>IF($BF229="ja",VLOOKUP($B229,Kraftvärmeprod!$B$1:$BX$550,MATCH("Andelen klimatgaser med fossilt ursprung för avfall ()",Kraftvärmeprod!$B$1:$BX$1,0),FALSE),"")</f>
        <v/>
      </c>
      <c r="BI229" s="227" t="str">
        <f>IF($BF229="ja",VLOOKUP($B229,'Egen hetvattenprod'!$B$1:$BX$550,MATCH("Avfall (GWh)",'Egen hetvattenprod'!$B$1:$BX$1,0),FALSE),"")</f>
        <v/>
      </c>
      <c r="BJ229" s="227" t="str">
        <f>IF($BF229="ja",VLOOKUP($B229,'Slutlig allokering kvv'!$B$1:$BX$550,MATCH("Avfall (GWh)",'Slutlig allokering kvv'!$B$1:$BX$1,0),FALSE),"")</f>
        <v/>
      </c>
      <c r="BK229" s="227" t="str">
        <f>IF($BF229="ja",VLOOKUP($B229,'Köpt hetvatten'!$B$1:$BX$550,MATCH("Avfall i köpt hetvatten",'Köpt hetvatten'!$B$1:$BX$1,0),FALSE),"")</f>
        <v/>
      </c>
      <c r="BL229" s="227" t="str">
        <f>IF($BF229="ja",VLOOKUP($B229,'Egen hetvattenprod'!$B$1:$BX$550,MATCH("Värde enligt ovan. (%)",'Egen hetvattenprod'!$B$1:$BX$1,0),FALSE),"")</f>
        <v/>
      </c>
      <c r="BM229" s="227" t="str">
        <f>IF($BF229="ja",VLOOKUP($B229,Kraftvärmeprod!$B$1:$BX$550,MATCH("Värde enligt ovan. (%)",Kraftvärmeprod!$B$1:$BX$1,0),FALSE),"")</f>
        <v/>
      </c>
      <c r="BN229" s="227"/>
      <c r="BO229" s="227"/>
      <c r="BP229" s="227"/>
      <c r="BQ229" s="227" t="str">
        <f>IF($BF229="ja",VLOOKUP($B229,'Egen hetvattenprod'!$B$1:$BX$550,MATCH("Tillförd olja (fossil) vid avfallsförbränning (GWh)",'Egen hetvattenprod'!$B$1:$BX$1,0),FALSE),"")</f>
        <v/>
      </c>
      <c r="BR229" s="227" t="str">
        <f>IF($BF229="ja",VLOOKUP($B229,Kraftvärmeprod!$B$1:$BX$550,MATCH("Tillförd olja (fossil) vid avfallsförbränning (GWh)",Kraftvärmeprod!$B$1:$BX$1,0),FALSE),"")</f>
        <v/>
      </c>
      <c r="BS229" s="227"/>
      <c r="BT229" s="227"/>
      <c r="BU229" s="227"/>
    </row>
    <row r="230" spans="1:73" x14ac:dyDescent="0.25">
      <c r="A230" s="121" t="str">
        <f>'Miljövärden för publ företag'!B233</f>
        <v>Skellefteå Kraft AB</v>
      </c>
      <c r="B230" s="121" t="str">
        <f>'Miljövärden för publ företag'!C233</f>
        <v>Storuman</v>
      </c>
      <c r="C230" s="173">
        <f>IFERROR(VLOOKUP($B230,Totalt!$B$1:$AQ$554,MATCH(C$2,Totalt!$B$1:$AQ$1,0),FALSE),"")</f>
        <v>0</v>
      </c>
      <c r="D230" s="173">
        <f>IFERROR(VLOOKUP($B230,Totalt!$B$1:$AQ$554,MATCH(D$2,Totalt!$B$1:$AQ$1,0),FALSE),"")</f>
        <v>1.3169999999999999</v>
      </c>
      <c r="E230" s="173">
        <f>IFERROR(VLOOKUP($B230,Totalt!$B$1:$AQ$554,MATCH(E$2,Totalt!$B$1:$AQ$1,0),FALSE),"")</f>
        <v>0</v>
      </c>
      <c r="F230" s="173">
        <f>IFERROR(VLOOKUP($B230,Totalt!$B$1:$AQ$554,MATCH(F$2,Totalt!$B$1:$AQ$1,0),FALSE),"")</f>
        <v>0</v>
      </c>
      <c r="G230" s="173">
        <f>IFERROR(VLOOKUP($B230,Totalt!$B$1:$AQ$554,MATCH(G$2,Totalt!$B$1:$AQ$1,0),FALSE),"")</f>
        <v>0</v>
      </c>
      <c r="H230" s="173">
        <f>IFERROR(VLOOKUP($B230,Totalt!$B$1:$AQ$554,MATCH(H$2,Totalt!$B$1:$AQ$1,0),FALSE),"")</f>
        <v>0</v>
      </c>
      <c r="I230" s="173">
        <f>IFERROR(VLOOKUP($B230,Totalt!$B$1:$AQ$554,MATCH(I$2,Totalt!$B$1:$AQ$1,0),FALSE),"")</f>
        <v>0</v>
      </c>
      <c r="J230" s="173">
        <f>IFERROR(VLOOKUP($B230,Totalt!$B$1:$AQ$554,MATCH(J$2,Totalt!$B$1:$AQ$1,0),FALSE),"")</f>
        <v>0</v>
      </c>
      <c r="K230" s="173">
        <f>IFERROR(VLOOKUP($B230,Totalt!$B$1:$AQ$554,MATCH(K$2,Totalt!$B$1:$AQ$1,0),FALSE),"")</f>
        <v>0</v>
      </c>
      <c r="L230" s="173">
        <f>IFERROR(VLOOKUP($B230,Totalt!$B$1:$AQ$554,MATCH(L$2,Totalt!$B$1:$AQ$1,0),FALSE),"")</f>
        <v>0</v>
      </c>
      <c r="M230" s="173">
        <f>IFERROR(VLOOKUP($B230,Totalt!$B$1:$AQ$554,MATCH(M$2,Totalt!$B$1:$AQ$1,0),FALSE),"")</f>
        <v>0</v>
      </c>
      <c r="N230" s="173">
        <f>IFERROR(VLOOKUP($B230,Totalt!$B$1:$AQ$554,MATCH(N$2,Totalt!$B$1:$AQ$1,0),FALSE),"")</f>
        <v>0</v>
      </c>
      <c r="O230" s="173">
        <f>IFERROR(VLOOKUP($B230,Totalt!$B$1:$AQ$554,MATCH(O$2,Totalt!$B$1:$AQ$1,0),FALSE),"")</f>
        <v>0</v>
      </c>
      <c r="P230" s="173">
        <f>IFERROR(VLOOKUP($B230,Totalt!$B$1:$AQ$554,MATCH(P$2,Totalt!$B$1:$AQ$1,0),FALSE),"")</f>
        <v>0</v>
      </c>
      <c r="Q230" s="173">
        <f>IFERROR(VLOOKUP($B230,Totalt!$B$1:$AQ$554,MATCH(Q$2,Totalt!$B$1:$AQ$1,0),FALSE),"")</f>
        <v>0</v>
      </c>
      <c r="R230" s="173">
        <f>IFERROR(VLOOKUP($B230,Totalt!$B$1:$AQ$554,MATCH(R$2,Totalt!$B$1:$AQ$1,0),FALSE),"")</f>
        <v>43.628999999999998</v>
      </c>
      <c r="S230" s="173">
        <f>IFERROR(VLOOKUP($B230,Totalt!$B$1:$AQ$554,MATCH(S$2,Totalt!$B$1:$AQ$1,0),FALSE),"")</f>
        <v>0</v>
      </c>
      <c r="T230" s="173">
        <f>IFERROR(VLOOKUP($B230,Totalt!$B$1:$AQ$554,MATCH(T$2,Totalt!$B$1:$AQ$1,0),FALSE),"")</f>
        <v>0</v>
      </c>
      <c r="U230" s="173">
        <f>IFERROR(VLOOKUP($B230,Totalt!$B$1:$AQ$554,MATCH(U$2,Totalt!$B$1:$AQ$1,0),FALSE),"")</f>
        <v>0</v>
      </c>
      <c r="V230" s="173">
        <f>IFERROR(VLOOKUP($B230,Totalt!$B$1:$AQ$554,MATCH(V$2,Totalt!$B$1:$AQ$1,0),FALSE),"")</f>
        <v>0</v>
      </c>
      <c r="W230" s="173">
        <f>IFERROR(VLOOKUP($B230,Totalt!$B$1:$AQ$554,MATCH(W$2,Totalt!$B$1:$AQ$1,0),FALSE),"")</f>
        <v>0</v>
      </c>
      <c r="X230" s="173">
        <f>IFERROR(VLOOKUP($B230,Totalt!$B$1:$AQ$554,MATCH(X$2,Totalt!$B$1:$AQ$1,0),FALSE),"")</f>
        <v>0</v>
      </c>
      <c r="Y230" s="173">
        <f>IFERROR(VLOOKUP($B230,Totalt!$B$1:$AQ$554,MATCH(Y$2,Totalt!$B$1:$AQ$1,0),FALSE),"")</f>
        <v>0</v>
      </c>
      <c r="Z230" s="173">
        <f>IFERROR(VLOOKUP($B230,Totalt!$B$1:$AQ$554,MATCH(Z$2,Totalt!$B$1:$AQ$1,0),FALSE),"")</f>
        <v>0</v>
      </c>
      <c r="AA230" s="173">
        <f>IFERROR(VLOOKUP($B230,Totalt!$B$1:$AQ$554,MATCH(AA$2,Totalt!$B$1:$AQ$1,0),FALSE),"")</f>
        <v>0</v>
      </c>
      <c r="AB230" s="173">
        <f>IFERROR(VLOOKUP($B230,Totalt!$B$1:$AQ$554,MATCH(AB$2,Totalt!$B$1:$AQ$1,0),FALSE),"")</f>
        <v>0</v>
      </c>
      <c r="AC230" s="173">
        <f>IFERROR(VLOOKUP($B230,Totalt!$B$1:$AQ$554,MATCH(AC$2,Totalt!$B$1:$AQ$1,0),FALSE),"")</f>
        <v>0</v>
      </c>
      <c r="AD230" s="173">
        <f>IFERROR(VLOOKUP($B230,Totalt!$B$1:$AQ$554,MATCH(AD$2,Totalt!$B$1:$AQ$1,0),FALSE),"")</f>
        <v>0</v>
      </c>
      <c r="AE230" s="173">
        <f>IFERROR(VLOOKUP($B230,Totalt!$B$1:$AQ$554,MATCH(AE$2,Totalt!$B$1:$AQ$1,0),FALSE),"")</f>
        <v>0</v>
      </c>
      <c r="AF230" s="173">
        <f>IFERROR(VLOOKUP($B230,Totalt!$B$1:$AQ$554,MATCH(AF$2,Totalt!$B$1:$AQ$1,0),FALSE),"")</f>
        <v>0.69899999999999995</v>
      </c>
      <c r="AG230" s="173">
        <f>IFERROR(VLOOKUP($B230,Totalt!$B$1:$AQ$554,MATCH(AG$2,Totalt!$B$1:$AQ$1,0),FALSE),"")</f>
        <v>0</v>
      </c>
      <c r="AI230" s="226">
        <f t="shared" si="18"/>
        <v>45.644999999999996</v>
      </c>
      <c r="AJ230" s="226">
        <f>IF(ISERROR(1/VLOOKUP($B230,Leveranser!$B$1:$S$500,MATCH("såld värme (gwh)",Leveranser!$B$1:$S$1,0),FALSE)),"",VLOOKUP($B230,Leveranser!$B$1:$S$500,MATCH("såld värme (gwh)",Leveranser!$B$1:$S$1,0),FALSE))</f>
        <v>30.885999999999999</v>
      </c>
      <c r="AM230" s="227" t="str">
        <f>IF(B230&lt;&gt;"",IF(VLOOKUP($B230,Totalt!$B$1:$AQ$554,MATCH("Kvalitetsgranskad:",Totalt!$B$1:$AQ$1,0),FALSE)="ja",VLOOKUP($B230,Miljö!$B$1:$AG$479,MATCH(AM$2,Miljö!$B$1:$AK$1,0),FALSE),""),"")</f>
        <v>Ja</v>
      </c>
      <c r="AN230" s="227" t="str">
        <f>IF(AM230="ja",VLOOKUP($B230,Miljö!$B$1:$J$479,MATCH("Typ av ursprungsspecificerad el   (Om inget värde anges används Nordisk residualmix, se inforuta) ()",Miljö!$B$1:$J$1,0),FALSE),IF(AM230="nej","Nordisk residualel",""))</f>
        <v>'vatten. vind. bio'</v>
      </c>
      <c r="AO230" s="227">
        <f>IF(AM230="","",VLOOKUP($B230,Miljö!$B$1:$J$479,MATCH("Fossilandel för ursprungspecificerad el ()",Miljö!$B$1:$J$1,0),FALSE))</f>
        <v>0</v>
      </c>
      <c r="AP230" s="227">
        <f>IF(AM230="","",IFERROR(VLOOKUP($B230,Miljö!$B$1:$J$479,MATCH("Kärnkraftsandel för ursprungsspecificerad el ()",Miljö!$B$1:$J$1,0),FALSE)/1,0))</f>
        <v>0</v>
      </c>
      <c r="AQ230" s="227">
        <f t="shared" si="19"/>
        <v>1</v>
      </c>
      <c r="AR230" s="227"/>
      <c r="AS230" s="227" t="str">
        <f t="shared" si="20"/>
        <v>Nej</v>
      </c>
      <c r="AT230" s="227" t="str">
        <f>IF(AS230="ja",VLOOKUP($B230,Miljö!$B$1:$O$500,MATCH("Fossil andel i procent (%)",Miljö!$B$1:$O$1,0),FALSE)/100,"")</f>
        <v/>
      </c>
      <c r="AU230" s="227"/>
      <c r="AV230" s="227" t="str">
        <f t="shared" si="21"/>
        <v>Nej</v>
      </c>
      <c r="AW230" s="227" t="str">
        <f>IF(AV230="ja",VLOOKUP($B230,'Egen hetvattenprod'!$B$1:$AO$500,MATCH("Värmekälla till värmepumpar ()",'Egen hetvattenprod'!$B$1:$AO$1,0),FALSE),"")</f>
        <v/>
      </c>
      <c r="AX230" s="227"/>
      <c r="AY230" s="227" t="str">
        <f t="shared" si="22"/>
        <v>Nej</v>
      </c>
      <c r="AZ230" s="228" t="str">
        <f>IF($AY230="ja",(VLOOKUP($B230,'Egen hetvattenprod'!$B$1:$BX$550,MATCH(AZ$2,'Egen hetvattenprod'!$B$1:$BX$1,0),FALSE)+VLOOKUP($B230,Kraftvärmeprod!$B$1:$BX$550,MATCH(AZ$2,Kraftvärmeprod!$B$1:$BX$1,0),FALSE))/$AC230,"")</f>
        <v/>
      </c>
      <c r="BA230" s="228" t="str">
        <f>IF($AY230="ja",(VLOOKUP($B230,'Egen hetvattenprod'!$B$1:$BX$550,MATCH(BA$2,'Egen hetvattenprod'!$B$1:$BX$1,0),FALSE)+VLOOKUP($B230,Kraftvärmeprod!$B$1:$BX$550,MATCH(BA$2,Kraftvärmeprod!$B$1:$BX$1,0),FALSE))/$AC230,"")</f>
        <v/>
      </c>
      <c r="BB230" s="228" t="str">
        <f>IF($AY230="ja",(VLOOKUP($B230,'Egen hetvattenprod'!$B$1:$BX$550,MATCH(BB$2,'Egen hetvattenprod'!$B$1:$BX$1,0),FALSE)+VLOOKUP($B230,Kraftvärmeprod!$B$1:$BX$550,MATCH(BB$2,Kraftvärmeprod!$B$1:$BX$1,0),FALSE))/$AC230,"")</f>
        <v/>
      </c>
      <c r="BC230" s="228" t="str">
        <f>IF($AY230="ja",(VLOOKUP($B230,'Egen hetvattenprod'!$B$1:$BX$550,MATCH(BC$2,'Egen hetvattenprod'!$B$1:$BX$1,0),FALSE)+VLOOKUP($B230,Kraftvärmeprod!$B$1:$BX$550,MATCH(BC$2,Kraftvärmeprod!$B$1:$BX$1,0),FALSE))/$AC230,"")</f>
        <v/>
      </c>
      <c r="BD230" s="228" t="str">
        <f>IF($AY230="ja",(VLOOKUP($B230,'Egen hetvattenprod'!$B$1:$BX$550,MATCH(BD$2,'Egen hetvattenprod'!$B$1:$BX$1,0),FALSE)+VLOOKUP($B230,Kraftvärmeprod!$B$1:$BX$550,MATCH(BD$2,Kraftvärmeprod!$B$1:$BX$1,0),FALSE))/$AC230,"")</f>
        <v/>
      </c>
      <c r="BE230" s="227"/>
      <c r="BF230" s="227" t="str">
        <f t="shared" si="23"/>
        <v>Nej</v>
      </c>
      <c r="BG230" s="227" t="str">
        <f>IF($BF230="ja",VLOOKUP($B230,'Egen hetvattenprod'!$B$1:$BX$550,MATCH("Andelen klimatgaser med fossilt ursprung för avfall ()",'Egen hetvattenprod'!$B$1:$BX$1,0),FALSE),"")</f>
        <v/>
      </c>
      <c r="BH230" s="227" t="str">
        <f>IF($BF230="ja",VLOOKUP($B230,Kraftvärmeprod!$B$1:$BX$550,MATCH("Andelen klimatgaser med fossilt ursprung för avfall ()",Kraftvärmeprod!$B$1:$BX$1,0),FALSE),"")</f>
        <v/>
      </c>
      <c r="BI230" s="227" t="str">
        <f>IF($BF230="ja",VLOOKUP($B230,'Egen hetvattenprod'!$B$1:$BX$550,MATCH("Avfall (GWh)",'Egen hetvattenprod'!$B$1:$BX$1,0),FALSE),"")</f>
        <v/>
      </c>
      <c r="BJ230" s="227" t="str">
        <f>IF($BF230="ja",VLOOKUP($B230,'Slutlig allokering kvv'!$B$1:$BX$550,MATCH("Avfall (GWh)",'Slutlig allokering kvv'!$B$1:$BX$1,0),FALSE),"")</f>
        <v/>
      </c>
      <c r="BK230" s="227" t="str">
        <f>IF($BF230="ja",VLOOKUP($B230,'Köpt hetvatten'!$B$1:$BX$550,MATCH("Avfall i köpt hetvatten",'Köpt hetvatten'!$B$1:$BX$1,0),FALSE),"")</f>
        <v/>
      </c>
      <c r="BL230" s="227" t="str">
        <f>IF($BF230="ja",VLOOKUP($B230,'Egen hetvattenprod'!$B$1:$BX$550,MATCH("Värde enligt ovan. (%)",'Egen hetvattenprod'!$B$1:$BX$1,0),FALSE),"")</f>
        <v/>
      </c>
      <c r="BM230" s="227" t="str">
        <f>IF($BF230="ja",VLOOKUP($B230,Kraftvärmeprod!$B$1:$BX$550,MATCH("Värde enligt ovan. (%)",Kraftvärmeprod!$B$1:$BX$1,0),FALSE),"")</f>
        <v/>
      </c>
      <c r="BN230" s="227"/>
      <c r="BO230" s="227"/>
      <c r="BP230" s="227"/>
      <c r="BQ230" s="227" t="str">
        <f>IF($BF230="ja",VLOOKUP($B230,'Egen hetvattenprod'!$B$1:$BX$550,MATCH("Tillförd olja (fossil) vid avfallsförbränning (GWh)",'Egen hetvattenprod'!$B$1:$BX$1,0),FALSE),"")</f>
        <v/>
      </c>
      <c r="BR230" s="227" t="str">
        <f>IF($BF230="ja",VLOOKUP($B230,Kraftvärmeprod!$B$1:$BX$550,MATCH("Tillförd olja (fossil) vid avfallsförbränning (GWh)",Kraftvärmeprod!$B$1:$BX$1,0),FALSE),"")</f>
        <v/>
      </c>
      <c r="BS230" s="227"/>
      <c r="BT230" s="227"/>
      <c r="BU230" s="227"/>
    </row>
    <row r="231" spans="1:73" x14ac:dyDescent="0.25">
      <c r="A231" s="121" t="str">
        <f>'Miljövärden för publ företag'!B234</f>
        <v>Skellefteå Kraft AB</v>
      </c>
      <c r="B231" s="121" t="str">
        <f>'Miljövärden för publ företag'!C234</f>
        <v>Ursviken-Skelleftehamn</v>
      </c>
      <c r="C231" s="173">
        <f>IFERROR(VLOOKUP($B231,Totalt!$B$1:$AQ$554,MATCH(C$2,Totalt!$B$1:$AQ$1,0),FALSE),"")</f>
        <v>0</v>
      </c>
      <c r="D231" s="173">
        <f>IFERROR(VLOOKUP($B231,Totalt!$B$1:$AQ$554,MATCH(D$2,Totalt!$B$1:$AQ$1,0),FALSE),"")</f>
        <v>0</v>
      </c>
      <c r="E231" s="173">
        <f>IFERROR(VLOOKUP($B231,Totalt!$B$1:$AQ$554,MATCH(E$2,Totalt!$B$1:$AQ$1,0),FALSE),"")</f>
        <v>0</v>
      </c>
      <c r="F231" s="173">
        <f>IFERROR(VLOOKUP($B231,Totalt!$B$1:$AQ$554,MATCH(F$2,Totalt!$B$1:$AQ$1,0),FALSE),"")</f>
        <v>0</v>
      </c>
      <c r="G231" s="173">
        <f>IFERROR(VLOOKUP($B231,Totalt!$B$1:$AQ$554,MATCH(G$2,Totalt!$B$1:$AQ$1,0),FALSE),"")</f>
        <v>0</v>
      </c>
      <c r="H231" s="173">
        <f>IFERROR(VLOOKUP($B231,Totalt!$B$1:$AQ$554,MATCH(H$2,Totalt!$B$1:$AQ$1,0),FALSE),"")</f>
        <v>0</v>
      </c>
      <c r="I231" s="173">
        <f>IFERROR(VLOOKUP($B231,Totalt!$B$1:$AQ$554,MATCH(I$2,Totalt!$B$1:$AQ$1,0),FALSE),"")</f>
        <v>0</v>
      </c>
      <c r="J231" s="173">
        <f>IFERROR(VLOOKUP($B231,Totalt!$B$1:$AQ$554,MATCH(J$2,Totalt!$B$1:$AQ$1,0),FALSE),"")</f>
        <v>0</v>
      </c>
      <c r="K231" s="173">
        <f>IFERROR(VLOOKUP($B231,Totalt!$B$1:$AQ$554,MATCH(K$2,Totalt!$B$1:$AQ$1,0),FALSE),"")</f>
        <v>0</v>
      </c>
      <c r="L231" s="173">
        <f>IFERROR(VLOOKUP($B231,Totalt!$B$1:$AQ$554,MATCH(L$2,Totalt!$B$1:$AQ$1,0),FALSE),"")</f>
        <v>0</v>
      </c>
      <c r="M231" s="173">
        <f>IFERROR(VLOOKUP($B231,Totalt!$B$1:$AQ$554,MATCH(M$2,Totalt!$B$1:$AQ$1,0),FALSE),"")</f>
        <v>0</v>
      </c>
      <c r="N231" s="173">
        <f>IFERROR(VLOOKUP($B231,Totalt!$B$1:$AQ$554,MATCH(N$2,Totalt!$B$1:$AQ$1,0),FALSE),"")</f>
        <v>0</v>
      </c>
      <c r="O231" s="173">
        <f>IFERROR(VLOOKUP($B231,Totalt!$B$1:$AQ$554,MATCH(O$2,Totalt!$B$1:$AQ$1,0),FALSE),"")</f>
        <v>0</v>
      </c>
      <c r="P231" s="173">
        <f>IFERROR(VLOOKUP($B231,Totalt!$B$1:$AQ$554,MATCH(P$2,Totalt!$B$1:$AQ$1,0),FALSE),"")</f>
        <v>0</v>
      </c>
      <c r="Q231" s="173">
        <f>IFERROR(VLOOKUP($B231,Totalt!$B$1:$AQ$554,MATCH(Q$2,Totalt!$B$1:$AQ$1,0),FALSE),"")</f>
        <v>0</v>
      </c>
      <c r="R231" s="173">
        <f>IFERROR(VLOOKUP($B231,Totalt!$B$1:$AQ$554,MATCH(R$2,Totalt!$B$1:$AQ$1,0),FALSE),"")</f>
        <v>0</v>
      </c>
      <c r="S231" s="173">
        <f>IFERROR(VLOOKUP($B231,Totalt!$B$1:$AQ$554,MATCH(S$2,Totalt!$B$1:$AQ$1,0),FALSE),"")</f>
        <v>0</v>
      </c>
      <c r="T231" s="173">
        <f>IFERROR(VLOOKUP($B231,Totalt!$B$1:$AQ$554,MATCH(T$2,Totalt!$B$1:$AQ$1,0),FALSE),"")</f>
        <v>0</v>
      </c>
      <c r="U231" s="173">
        <f>IFERROR(VLOOKUP($B231,Totalt!$B$1:$AQ$554,MATCH(U$2,Totalt!$B$1:$AQ$1,0),FALSE),"")</f>
        <v>0</v>
      </c>
      <c r="V231" s="173">
        <f>IFERROR(VLOOKUP($B231,Totalt!$B$1:$AQ$554,MATCH(V$2,Totalt!$B$1:$AQ$1,0),FALSE),"")</f>
        <v>0</v>
      </c>
      <c r="W231" s="173">
        <f>IFERROR(VLOOKUP($B231,Totalt!$B$1:$AQ$554,MATCH(W$2,Totalt!$B$1:$AQ$1,0),FALSE),"")</f>
        <v>0</v>
      </c>
      <c r="X231" s="173">
        <f>IFERROR(VLOOKUP($B231,Totalt!$B$1:$AQ$554,MATCH(X$2,Totalt!$B$1:$AQ$1,0),FALSE),"")</f>
        <v>0</v>
      </c>
      <c r="Y231" s="173">
        <f>IFERROR(VLOOKUP($B231,Totalt!$B$1:$AQ$554,MATCH(Y$2,Totalt!$B$1:$AQ$1,0),FALSE),"")</f>
        <v>0</v>
      </c>
      <c r="Z231" s="173">
        <f>IFERROR(VLOOKUP($B231,Totalt!$B$1:$AQ$554,MATCH(Z$2,Totalt!$B$1:$AQ$1,0),FALSE),"")</f>
        <v>0</v>
      </c>
      <c r="AA231" s="173">
        <f>IFERROR(VLOOKUP($B231,Totalt!$B$1:$AQ$554,MATCH(AA$2,Totalt!$B$1:$AQ$1,0),FALSE),"")</f>
        <v>0</v>
      </c>
      <c r="AB231" s="173">
        <f>IFERROR(VLOOKUP($B231,Totalt!$B$1:$AQ$554,MATCH(AB$2,Totalt!$B$1:$AQ$1,0),FALSE),"")</f>
        <v>0</v>
      </c>
      <c r="AC231" s="173">
        <f>IFERROR(VLOOKUP($B231,Totalt!$B$1:$AQ$554,MATCH(AC$2,Totalt!$B$1:$AQ$1,0),FALSE),"")</f>
        <v>0</v>
      </c>
      <c r="AD231" s="173">
        <f>IFERROR(VLOOKUP($B231,Totalt!$B$1:$AQ$554,MATCH(AD$2,Totalt!$B$1:$AQ$1,0),FALSE),"")</f>
        <v>39.201700000000002</v>
      </c>
      <c r="AE231" s="173">
        <f>IFERROR(VLOOKUP($B231,Totalt!$B$1:$AQ$554,MATCH(AE$2,Totalt!$B$1:$AQ$1,0),FALSE),"")</f>
        <v>0</v>
      </c>
      <c r="AF231" s="173">
        <f>IFERROR(VLOOKUP($B231,Totalt!$B$1:$AQ$554,MATCH(AF$2,Totalt!$B$1:$AQ$1,0),FALSE),"")</f>
        <v>1.0999999999999999E-2</v>
      </c>
      <c r="AG231" s="173">
        <f>IFERROR(VLOOKUP($B231,Totalt!$B$1:$AQ$554,MATCH(AG$2,Totalt!$B$1:$AQ$1,0),FALSE),"")</f>
        <v>0</v>
      </c>
      <c r="AI231" s="226">
        <f t="shared" si="18"/>
        <v>39.212700000000005</v>
      </c>
      <c r="AJ231" s="226">
        <f>IF(ISERROR(1/VLOOKUP($B231,Leveranser!$B$1:$S$500,MATCH("såld värme (gwh)",Leveranser!$B$1:$S$1,0),FALSE)),"",VLOOKUP($B231,Leveranser!$B$1:$S$500,MATCH("såld värme (gwh)",Leveranser!$B$1:$S$1,0),FALSE))</f>
        <v>30.95</v>
      </c>
      <c r="AM231" s="227" t="str">
        <f>IF(B231&lt;&gt;"",IF(VLOOKUP($B231,Totalt!$B$1:$AQ$554,MATCH("Kvalitetsgranskad:",Totalt!$B$1:$AQ$1,0),FALSE)="ja",VLOOKUP($B231,Miljö!$B$1:$AG$479,MATCH(AM$2,Miljö!$B$1:$AK$1,0),FALSE),""),"")</f>
        <v>Ja</v>
      </c>
      <c r="AN231" s="227" t="str">
        <f>IF(AM231="ja",VLOOKUP($B231,Miljö!$B$1:$J$479,MATCH("Typ av ursprungsspecificerad el   (Om inget värde anges används Nordisk residualmix, se inforuta) ()",Miljö!$B$1:$J$1,0),FALSE),IF(AM231="nej","Nordisk residualel",""))</f>
        <v>'vatten. vind. bio'</v>
      </c>
      <c r="AO231" s="227">
        <f>IF(AM231="","",VLOOKUP($B231,Miljö!$B$1:$J$479,MATCH("Fossilandel för ursprungspecificerad el ()",Miljö!$B$1:$J$1,0),FALSE))</f>
        <v>0</v>
      </c>
      <c r="AP231" s="227">
        <f>IF(AM231="","",IFERROR(VLOOKUP($B231,Miljö!$B$1:$J$479,MATCH("Kärnkraftsandel för ursprungsspecificerad el ()",Miljö!$B$1:$J$1,0),FALSE)/1,0))</f>
        <v>0</v>
      </c>
      <c r="AQ231" s="227">
        <f t="shared" si="19"/>
        <v>1</v>
      </c>
      <c r="AR231" s="227"/>
      <c r="AS231" s="227" t="str">
        <f t="shared" si="20"/>
        <v>Nej</v>
      </c>
      <c r="AT231" s="227" t="str">
        <f>IF(AS231="ja",VLOOKUP($B231,Miljö!$B$1:$O$500,MATCH("Fossil andel i procent (%)",Miljö!$B$1:$O$1,0),FALSE)/100,"")</f>
        <v/>
      </c>
      <c r="AU231" s="227"/>
      <c r="AV231" s="227" t="str">
        <f t="shared" si="21"/>
        <v>Nej</v>
      </c>
      <c r="AW231" s="227" t="str">
        <f>IF(AV231="ja",VLOOKUP($B231,'Egen hetvattenprod'!$B$1:$AO$500,MATCH("Värmekälla till värmepumpar ()",'Egen hetvattenprod'!$B$1:$AO$1,0),FALSE),"")</f>
        <v/>
      </c>
      <c r="AX231" s="227"/>
      <c r="AY231" s="227" t="str">
        <f t="shared" si="22"/>
        <v>Nej</v>
      </c>
      <c r="AZ231" s="228" t="str">
        <f>IF($AY231="ja",(VLOOKUP($B231,'Egen hetvattenprod'!$B$1:$BX$550,MATCH(AZ$2,'Egen hetvattenprod'!$B$1:$BX$1,0),FALSE)+VLOOKUP($B231,Kraftvärmeprod!$B$1:$BX$550,MATCH(AZ$2,Kraftvärmeprod!$B$1:$BX$1,0),FALSE))/$AC231,"")</f>
        <v/>
      </c>
      <c r="BA231" s="228" t="str">
        <f>IF($AY231="ja",(VLOOKUP($B231,'Egen hetvattenprod'!$B$1:$BX$550,MATCH(BA$2,'Egen hetvattenprod'!$B$1:$BX$1,0),FALSE)+VLOOKUP($B231,Kraftvärmeprod!$B$1:$BX$550,MATCH(BA$2,Kraftvärmeprod!$B$1:$BX$1,0),FALSE))/$AC231,"")</f>
        <v/>
      </c>
      <c r="BB231" s="228" t="str">
        <f>IF($AY231="ja",(VLOOKUP($B231,'Egen hetvattenprod'!$B$1:$BX$550,MATCH(BB$2,'Egen hetvattenprod'!$B$1:$BX$1,0),FALSE)+VLOOKUP($B231,Kraftvärmeprod!$B$1:$BX$550,MATCH(BB$2,Kraftvärmeprod!$B$1:$BX$1,0),FALSE))/$AC231,"")</f>
        <v/>
      </c>
      <c r="BC231" s="228" t="str">
        <f>IF($AY231="ja",(VLOOKUP($B231,'Egen hetvattenprod'!$B$1:$BX$550,MATCH(BC$2,'Egen hetvattenprod'!$B$1:$BX$1,0),FALSE)+VLOOKUP($B231,Kraftvärmeprod!$B$1:$BX$550,MATCH(BC$2,Kraftvärmeprod!$B$1:$BX$1,0),FALSE))/$AC231,"")</f>
        <v/>
      </c>
      <c r="BD231" s="228" t="str">
        <f>IF($AY231="ja",(VLOOKUP($B231,'Egen hetvattenprod'!$B$1:$BX$550,MATCH(BD$2,'Egen hetvattenprod'!$B$1:$BX$1,0),FALSE)+VLOOKUP($B231,Kraftvärmeprod!$B$1:$BX$550,MATCH(BD$2,Kraftvärmeprod!$B$1:$BX$1,0),FALSE))/$AC231,"")</f>
        <v/>
      </c>
      <c r="BE231" s="227"/>
      <c r="BF231" s="227" t="str">
        <f t="shared" si="23"/>
        <v>Nej</v>
      </c>
      <c r="BG231" s="227" t="str">
        <f>IF($BF231="ja",VLOOKUP($B231,'Egen hetvattenprod'!$B$1:$BX$550,MATCH("Andelen klimatgaser med fossilt ursprung för avfall ()",'Egen hetvattenprod'!$B$1:$BX$1,0),FALSE),"")</f>
        <v/>
      </c>
      <c r="BH231" s="227" t="str">
        <f>IF($BF231="ja",VLOOKUP($B231,Kraftvärmeprod!$B$1:$BX$550,MATCH("Andelen klimatgaser med fossilt ursprung för avfall ()",Kraftvärmeprod!$B$1:$BX$1,0),FALSE),"")</f>
        <v/>
      </c>
      <c r="BI231" s="227" t="str">
        <f>IF($BF231="ja",VLOOKUP($B231,'Egen hetvattenprod'!$B$1:$BX$550,MATCH("Avfall (GWh)",'Egen hetvattenprod'!$B$1:$BX$1,0),FALSE),"")</f>
        <v/>
      </c>
      <c r="BJ231" s="227" t="str">
        <f>IF($BF231="ja",VLOOKUP($B231,'Slutlig allokering kvv'!$B$1:$BX$550,MATCH("Avfall (GWh)",'Slutlig allokering kvv'!$B$1:$BX$1,0),FALSE),"")</f>
        <v/>
      </c>
      <c r="BK231" s="227" t="str">
        <f>IF($BF231="ja",VLOOKUP($B231,'Köpt hetvatten'!$B$1:$BX$550,MATCH("Avfall i köpt hetvatten",'Köpt hetvatten'!$B$1:$BX$1,0),FALSE),"")</f>
        <v/>
      </c>
      <c r="BL231" s="227" t="str">
        <f>IF($BF231="ja",VLOOKUP($B231,'Egen hetvattenprod'!$B$1:$BX$550,MATCH("Värde enligt ovan. (%)",'Egen hetvattenprod'!$B$1:$BX$1,0),FALSE),"")</f>
        <v/>
      </c>
      <c r="BM231" s="227" t="str">
        <f>IF($BF231="ja",VLOOKUP($B231,Kraftvärmeprod!$B$1:$BX$550,MATCH("Värde enligt ovan. (%)",Kraftvärmeprod!$B$1:$BX$1,0),FALSE),"")</f>
        <v/>
      </c>
      <c r="BN231" s="227"/>
      <c r="BO231" s="227"/>
      <c r="BP231" s="227"/>
      <c r="BQ231" s="227" t="str">
        <f>IF($BF231="ja",VLOOKUP($B231,'Egen hetvattenprod'!$B$1:$BX$550,MATCH("Tillförd olja (fossil) vid avfallsförbränning (GWh)",'Egen hetvattenprod'!$B$1:$BX$1,0),FALSE),"")</f>
        <v/>
      </c>
      <c r="BR231" s="227" t="str">
        <f>IF($BF231="ja",VLOOKUP($B231,Kraftvärmeprod!$B$1:$BX$550,MATCH("Tillförd olja (fossil) vid avfallsförbränning (GWh)",Kraftvärmeprod!$B$1:$BX$1,0),FALSE),"")</f>
        <v/>
      </c>
      <c r="BS231" s="227"/>
      <c r="BT231" s="227"/>
      <c r="BU231" s="227"/>
    </row>
    <row r="232" spans="1:73" x14ac:dyDescent="0.25">
      <c r="A232" s="121" t="str">
        <f>'Miljövärden för publ företag'!B235</f>
        <v>Skellefteå Kraft AB</v>
      </c>
      <c r="B232" s="121" t="str">
        <f>'Miljövärden för publ företag'!C235</f>
        <v>Vindeln</v>
      </c>
      <c r="C232" s="173">
        <f>IFERROR(VLOOKUP($B232,Totalt!$B$1:$AQ$554,MATCH(C$2,Totalt!$B$1:$AQ$1,0),FALSE),"")</f>
        <v>0</v>
      </c>
      <c r="D232" s="173">
        <f>IFERROR(VLOOKUP($B232,Totalt!$B$1:$AQ$554,MATCH(D$2,Totalt!$B$1:$AQ$1,0),FALSE),"")</f>
        <v>0.75700000000000001</v>
      </c>
      <c r="E232" s="173">
        <f>IFERROR(VLOOKUP($B232,Totalt!$B$1:$AQ$554,MATCH(E$2,Totalt!$B$1:$AQ$1,0),FALSE),"")</f>
        <v>0</v>
      </c>
      <c r="F232" s="173">
        <f>IFERROR(VLOOKUP($B232,Totalt!$B$1:$AQ$554,MATCH(F$2,Totalt!$B$1:$AQ$1,0),FALSE),"")</f>
        <v>0</v>
      </c>
      <c r="G232" s="173">
        <f>IFERROR(VLOOKUP($B232,Totalt!$B$1:$AQ$554,MATCH(G$2,Totalt!$B$1:$AQ$1,0),FALSE),"")</f>
        <v>0</v>
      </c>
      <c r="H232" s="173">
        <f>IFERROR(VLOOKUP($B232,Totalt!$B$1:$AQ$554,MATCH(H$2,Totalt!$B$1:$AQ$1,0),FALSE),"")</f>
        <v>0</v>
      </c>
      <c r="I232" s="173">
        <f>IFERROR(VLOOKUP($B232,Totalt!$B$1:$AQ$554,MATCH(I$2,Totalt!$B$1:$AQ$1,0),FALSE),"")</f>
        <v>0</v>
      </c>
      <c r="J232" s="173">
        <f>IFERROR(VLOOKUP($B232,Totalt!$B$1:$AQ$554,MATCH(J$2,Totalt!$B$1:$AQ$1,0),FALSE),"")</f>
        <v>0</v>
      </c>
      <c r="K232" s="173">
        <f>IFERROR(VLOOKUP($B232,Totalt!$B$1:$AQ$554,MATCH(K$2,Totalt!$B$1:$AQ$1,0),FALSE),"")</f>
        <v>0</v>
      </c>
      <c r="L232" s="173">
        <f>IFERROR(VLOOKUP($B232,Totalt!$B$1:$AQ$554,MATCH(L$2,Totalt!$B$1:$AQ$1,0),FALSE),"")</f>
        <v>0</v>
      </c>
      <c r="M232" s="173">
        <f>IFERROR(VLOOKUP($B232,Totalt!$B$1:$AQ$554,MATCH(M$2,Totalt!$B$1:$AQ$1,0),FALSE),"")</f>
        <v>0</v>
      </c>
      <c r="N232" s="173">
        <f>IFERROR(VLOOKUP($B232,Totalt!$B$1:$AQ$554,MATCH(N$2,Totalt!$B$1:$AQ$1,0),FALSE),"")</f>
        <v>0</v>
      </c>
      <c r="O232" s="173">
        <f>IFERROR(VLOOKUP($B232,Totalt!$B$1:$AQ$554,MATCH(O$2,Totalt!$B$1:$AQ$1,0),FALSE),"")</f>
        <v>0</v>
      </c>
      <c r="P232" s="173">
        <f>IFERROR(VLOOKUP($B232,Totalt!$B$1:$AQ$554,MATCH(P$2,Totalt!$B$1:$AQ$1,0),FALSE),"")</f>
        <v>0</v>
      </c>
      <c r="Q232" s="173">
        <f>IFERROR(VLOOKUP($B232,Totalt!$B$1:$AQ$554,MATCH(Q$2,Totalt!$B$1:$AQ$1,0),FALSE),"")</f>
        <v>0</v>
      </c>
      <c r="R232" s="173">
        <f>IFERROR(VLOOKUP($B232,Totalt!$B$1:$AQ$554,MATCH(R$2,Totalt!$B$1:$AQ$1,0),FALSE),"")</f>
        <v>16.245000000000001</v>
      </c>
      <c r="S232" s="173">
        <f>IFERROR(VLOOKUP($B232,Totalt!$B$1:$AQ$554,MATCH(S$2,Totalt!$B$1:$AQ$1,0),FALSE),"")</f>
        <v>0</v>
      </c>
      <c r="T232" s="173">
        <f>IFERROR(VLOOKUP($B232,Totalt!$B$1:$AQ$554,MATCH(T$2,Totalt!$B$1:$AQ$1,0),FALSE),"")</f>
        <v>0</v>
      </c>
      <c r="U232" s="173">
        <f>IFERROR(VLOOKUP($B232,Totalt!$B$1:$AQ$554,MATCH(U$2,Totalt!$B$1:$AQ$1,0),FALSE),"")</f>
        <v>0</v>
      </c>
      <c r="V232" s="173">
        <f>IFERROR(VLOOKUP($B232,Totalt!$B$1:$AQ$554,MATCH(V$2,Totalt!$B$1:$AQ$1,0),FALSE),"")</f>
        <v>0</v>
      </c>
      <c r="W232" s="173">
        <f>IFERROR(VLOOKUP($B232,Totalt!$B$1:$AQ$554,MATCH(W$2,Totalt!$B$1:$AQ$1,0),FALSE),"")</f>
        <v>0</v>
      </c>
      <c r="X232" s="173">
        <f>IFERROR(VLOOKUP($B232,Totalt!$B$1:$AQ$554,MATCH(X$2,Totalt!$B$1:$AQ$1,0),FALSE),"")</f>
        <v>0</v>
      </c>
      <c r="Y232" s="173">
        <f>IFERROR(VLOOKUP($B232,Totalt!$B$1:$AQ$554,MATCH(Y$2,Totalt!$B$1:$AQ$1,0),FALSE),"")</f>
        <v>0</v>
      </c>
      <c r="Z232" s="173">
        <f>IFERROR(VLOOKUP($B232,Totalt!$B$1:$AQ$554,MATCH(Z$2,Totalt!$B$1:$AQ$1,0),FALSE),"")</f>
        <v>0</v>
      </c>
      <c r="AA232" s="173">
        <f>IFERROR(VLOOKUP($B232,Totalt!$B$1:$AQ$554,MATCH(AA$2,Totalt!$B$1:$AQ$1,0),FALSE),"")</f>
        <v>0</v>
      </c>
      <c r="AB232" s="173">
        <f>IFERROR(VLOOKUP($B232,Totalt!$B$1:$AQ$554,MATCH(AB$2,Totalt!$B$1:$AQ$1,0),FALSE),"")</f>
        <v>0</v>
      </c>
      <c r="AC232" s="173">
        <f>IFERROR(VLOOKUP($B232,Totalt!$B$1:$AQ$554,MATCH(AC$2,Totalt!$B$1:$AQ$1,0),FALSE),"")</f>
        <v>0</v>
      </c>
      <c r="AD232" s="173">
        <f>IFERROR(VLOOKUP($B232,Totalt!$B$1:$AQ$554,MATCH(AD$2,Totalt!$B$1:$AQ$1,0),FALSE),"")</f>
        <v>0</v>
      </c>
      <c r="AE232" s="173">
        <f>IFERROR(VLOOKUP($B232,Totalt!$B$1:$AQ$554,MATCH(AE$2,Totalt!$B$1:$AQ$1,0),FALSE),"")</f>
        <v>0</v>
      </c>
      <c r="AF232" s="173">
        <f>IFERROR(VLOOKUP($B232,Totalt!$B$1:$AQ$554,MATCH(AF$2,Totalt!$B$1:$AQ$1,0),FALSE),"")</f>
        <v>0.161</v>
      </c>
      <c r="AG232" s="173">
        <f>IFERROR(VLOOKUP($B232,Totalt!$B$1:$AQ$554,MATCH(AG$2,Totalt!$B$1:$AQ$1,0),FALSE),"")</f>
        <v>0</v>
      </c>
      <c r="AI232" s="226">
        <f t="shared" si="18"/>
        <v>17.163000000000004</v>
      </c>
      <c r="AJ232" s="226">
        <f>IF(ISERROR(1/VLOOKUP($B232,Leveranser!$B$1:$S$500,MATCH("såld värme (gwh)",Leveranser!$B$1:$S$1,0),FALSE)),"",VLOOKUP($B232,Leveranser!$B$1:$S$500,MATCH("såld värme (gwh)",Leveranser!$B$1:$S$1,0),FALSE))</f>
        <v>13.664</v>
      </c>
      <c r="AM232" s="227" t="str">
        <f>IF(B232&lt;&gt;"",IF(VLOOKUP($B232,Totalt!$B$1:$AQ$554,MATCH("Kvalitetsgranskad:",Totalt!$B$1:$AQ$1,0),FALSE)="ja",VLOOKUP($B232,Miljö!$B$1:$AG$479,MATCH(AM$2,Miljö!$B$1:$AK$1,0),FALSE),""),"")</f>
        <v>Ja</v>
      </c>
      <c r="AN232" s="227" t="str">
        <f>IF(AM232="ja",VLOOKUP($B232,Miljö!$B$1:$J$479,MATCH("Typ av ursprungsspecificerad el   (Om inget värde anges används Nordisk residualmix, se inforuta) ()",Miljö!$B$1:$J$1,0),FALSE),IF(AM232="nej","Nordisk residualel",""))</f>
        <v>'vatten. vind. bio'</v>
      </c>
      <c r="AO232" s="227">
        <f>IF(AM232="","",VLOOKUP($B232,Miljö!$B$1:$J$479,MATCH("Fossilandel för ursprungspecificerad el ()",Miljö!$B$1:$J$1,0),FALSE))</f>
        <v>0</v>
      </c>
      <c r="AP232" s="227">
        <f>IF(AM232="","",IFERROR(VLOOKUP($B232,Miljö!$B$1:$J$479,MATCH("Kärnkraftsandel för ursprungsspecificerad el ()",Miljö!$B$1:$J$1,0),FALSE)/1,0))</f>
        <v>0</v>
      </c>
      <c r="AQ232" s="227">
        <f t="shared" si="19"/>
        <v>1</v>
      </c>
      <c r="AR232" s="227"/>
      <c r="AS232" s="227" t="str">
        <f t="shared" si="20"/>
        <v>Nej</v>
      </c>
      <c r="AT232" s="227" t="str">
        <f>IF(AS232="ja",VLOOKUP($B232,Miljö!$B$1:$O$500,MATCH("Fossil andel i procent (%)",Miljö!$B$1:$O$1,0),FALSE)/100,"")</f>
        <v/>
      </c>
      <c r="AU232" s="227"/>
      <c r="AV232" s="227" t="str">
        <f t="shared" si="21"/>
        <v>Nej</v>
      </c>
      <c r="AW232" s="227" t="str">
        <f>IF(AV232="ja",VLOOKUP($B232,'Egen hetvattenprod'!$B$1:$AO$500,MATCH("Värmekälla till värmepumpar ()",'Egen hetvattenprod'!$B$1:$AO$1,0),FALSE),"")</f>
        <v/>
      </c>
      <c r="AX232" s="227"/>
      <c r="AY232" s="227" t="str">
        <f t="shared" si="22"/>
        <v>Nej</v>
      </c>
      <c r="AZ232" s="228" t="str">
        <f>IF($AY232="ja",(VLOOKUP($B232,'Egen hetvattenprod'!$B$1:$BX$550,MATCH(AZ$2,'Egen hetvattenprod'!$B$1:$BX$1,0),FALSE)+VLOOKUP($B232,Kraftvärmeprod!$B$1:$BX$550,MATCH(AZ$2,Kraftvärmeprod!$B$1:$BX$1,0),FALSE))/$AC232,"")</f>
        <v/>
      </c>
      <c r="BA232" s="228" t="str">
        <f>IF($AY232="ja",(VLOOKUP($B232,'Egen hetvattenprod'!$B$1:$BX$550,MATCH(BA$2,'Egen hetvattenprod'!$B$1:$BX$1,0),FALSE)+VLOOKUP($B232,Kraftvärmeprod!$B$1:$BX$550,MATCH(BA$2,Kraftvärmeprod!$B$1:$BX$1,0),FALSE))/$AC232,"")</f>
        <v/>
      </c>
      <c r="BB232" s="228" t="str">
        <f>IF($AY232="ja",(VLOOKUP($B232,'Egen hetvattenprod'!$B$1:$BX$550,MATCH(BB$2,'Egen hetvattenprod'!$B$1:$BX$1,0),FALSE)+VLOOKUP($B232,Kraftvärmeprod!$B$1:$BX$550,MATCH(BB$2,Kraftvärmeprod!$B$1:$BX$1,0),FALSE))/$AC232,"")</f>
        <v/>
      </c>
      <c r="BC232" s="228" t="str">
        <f>IF($AY232="ja",(VLOOKUP($B232,'Egen hetvattenprod'!$B$1:$BX$550,MATCH(BC$2,'Egen hetvattenprod'!$B$1:$BX$1,0),FALSE)+VLOOKUP($B232,Kraftvärmeprod!$B$1:$BX$550,MATCH(BC$2,Kraftvärmeprod!$B$1:$BX$1,0),FALSE))/$AC232,"")</f>
        <v/>
      </c>
      <c r="BD232" s="228" t="str">
        <f>IF($AY232="ja",(VLOOKUP($B232,'Egen hetvattenprod'!$B$1:$BX$550,MATCH(BD$2,'Egen hetvattenprod'!$B$1:$BX$1,0),FALSE)+VLOOKUP($B232,Kraftvärmeprod!$B$1:$BX$550,MATCH(BD$2,Kraftvärmeprod!$B$1:$BX$1,0),FALSE))/$AC232,"")</f>
        <v/>
      </c>
      <c r="BE232" s="227"/>
      <c r="BF232" s="227" t="str">
        <f t="shared" si="23"/>
        <v>Nej</v>
      </c>
      <c r="BG232" s="227" t="str">
        <f>IF($BF232="ja",VLOOKUP($B232,'Egen hetvattenprod'!$B$1:$BX$550,MATCH("Andelen klimatgaser med fossilt ursprung för avfall ()",'Egen hetvattenprod'!$B$1:$BX$1,0),FALSE),"")</f>
        <v/>
      </c>
      <c r="BH232" s="227" t="str">
        <f>IF($BF232="ja",VLOOKUP($B232,Kraftvärmeprod!$B$1:$BX$550,MATCH("Andelen klimatgaser med fossilt ursprung för avfall ()",Kraftvärmeprod!$B$1:$BX$1,0),FALSE),"")</f>
        <v/>
      </c>
      <c r="BI232" s="227" t="str">
        <f>IF($BF232="ja",VLOOKUP($B232,'Egen hetvattenprod'!$B$1:$BX$550,MATCH("Avfall (GWh)",'Egen hetvattenprod'!$B$1:$BX$1,0),FALSE),"")</f>
        <v/>
      </c>
      <c r="BJ232" s="227" t="str">
        <f>IF($BF232="ja",VLOOKUP($B232,'Slutlig allokering kvv'!$B$1:$BX$550,MATCH("Avfall (GWh)",'Slutlig allokering kvv'!$B$1:$BX$1,0),FALSE),"")</f>
        <v/>
      </c>
      <c r="BK232" s="227" t="str">
        <f>IF($BF232="ja",VLOOKUP($B232,'Köpt hetvatten'!$B$1:$BX$550,MATCH("Avfall i köpt hetvatten",'Köpt hetvatten'!$B$1:$BX$1,0),FALSE),"")</f>
        <v/>
      </c>
      <c r="BL232" s="227" t="str">
        <f>IF($BF232="ja",VLOOKUP($B232,'Egen hetvattenprod'!$B$1:$BX$550,MATCH("Värde enligt ovan. (%)",'Egen hetvattenprod'!$B$1:$BX$1,0),FALSE),"")</f>
        <v/>
      </c>
      <c r="BM232" s="227" t="str">
        <f>IF($BF232="ja",VLOOKUP($B232,Kraftvärmeprod!$B$1:$BX$550,MATCH("Värde enligt ovan. (%)",Kraftvärmeprod!$B$1:$BX$1,0),FALSE),"")</f>
        <v/>
      </c>
      <c r="BN232" s="227"/>
      <c r="BO232" s="227"/>
      <c r="BP232" s="227"/>
      <c r="BQ232" s="227" t="str">
        <f>IF($BF232="ja",VLOOKUP($B232,'Egen hetvattenprod'!$B$1:$BX$550,MATCH("Tillförd olja (fossil) vid avfallsförbränning (GWh)",'Egen hetvattenprod'!$B$1:$BX$1,0),FALSE),"")</f>
        <v/>
      </c>
      <c r="BR232" s="227" t="str">
        <f>IF($BF232="ja",VLOOKUP($B232,Kraftvärmeprod!$B$1:$BX$550,MATCH("Tillförd olja (fossil) vid avfallsförbränning (GWh)",Kraftvärmeprod!$B$1:$BX$1,0),FALSE),"")</f>
        <v/>
      </c>
      <c r="BS232" s="227"/>
      <c r="BT232" s="227"/>
      <c r="BU232" s="227"/>
    </row>
    <row r="233" spans="1:73" x14ac:dyDescent="0.25">
      <c r="A233" s="121" t="str">
        <f>'Miljövärden för publ företag'!B236</f>
        <v>Skellefteå Kraft AB</v>
      </c>
      <c r="B233" s="121" t="str">
        <f>'Miljövärden för publ företag'!C236</f>
        <v>Ånäset</v>
      </c>
      <c r="C233" s="173">
        <f>IFERROR(VLOOKUP($B233,Totalt!$B$1:$AQ$554,MATCH(C$2,Totalt!$B$1:$AQ$1,0),FALSE),"")</f>
        <v>0</v>
      </c>
      <c r="D233" s="173">
        <f>IFERROR(VLOOKUP($B233,Totalt!$B$1:$AQ$554,MATCH(D$2,Totalt!$B$1:$AQ$1,0),FALSE),"")</f>
        <v>2.5999999999999999E-2</v>
      </c>
      <c r="E233" s="173">
        <f>IFERROR(VLOOKUP($B233,Totalt!$B$1:$AQ$554,MATCH(E$2,Totalt!$B$1:$AQ$1,0),FALSE),"")</f>
        <v>0</v>
      </c>
      <c r="F233" s="173">
        <f>IFERROR(VLOOKUP($B233,Totalt!$B$1:$AQ$554,MATCH(F$2,Totalt!$B$1:$AQ$1,0),FALSE),"")</f>
        <v>0</v>
      </c>
      <c r="G233" s="173">
        <f>IFERROR(VLOOKUP($B233,Totalt!$B$1:$AQ$554,MATCH(G$2,Totalt!$B$1:$AQ$1,0),FALSE),"")</f>
        <v>0</v>
      </c>
      <c r="H233" s="173">
        <f>IFERROR(VLOOKUP($B233,Totalt!$B$1:$AQ$554,MATCH(H$2,Totalt!$B$1:$AQ$1,0),FALSE),"")</f>
        <v>0</v>
      </c>
      <c r="I233" s="173">
        <f>IFERROR(VLOOKUP($B233,Totalt!$B$1:$AQ$554,MATCH(I$2,Totalt!$B$1:$AQ$1,0),FALSE),"")</f>
        <v>0</v>
      </c>
      <c r="J233" s="173">
        <f>IFERROR(VLOOKUP($B233,Totalt!$B$1:$AQ$554,MATCH(J$2,Totalt!$B$1:$AQ$1,0),FALSE),"")</f>
        <v>0</v>
      </c>
      <c r="K233" s="173">
        <f>IFERROR(VLOOKUP($B233,Totalt!$B$1:$AQ$554,MATCH(K$2,Totalt!$B$1:$AQ$1,0),FALSE),"")</f>
        <v>0</v>
      </c>
      <c r="L233" s="173">
        <f>IFERROR(VLOOKUP($B233,Totalt!$B$1:$AQ$554,MATCH(L$2,Totalt!$B$1:$AQ$1,0),FALSE),"")</f>
        <v>0</v>
      </c>
      <c r="M233" s="173">
        <f>IFERROR(VLOOKUP($B233,Totalt!$B$1:$AQ$554,MATCH(M$2,Totalt!$B$1:$AQ$1,0),FALSE),"")</f>
        <v>0</v>
      </c>
      <c r="N233" s="173">
        <f>IFERROR(VLOOKUP($B233,Totalt!$B$1:$AQ$554,MATCH(N$2,Totalt!$B$1:$AQ$1,0),FALSE),"")</f>
        <v>0</v>
      </c>
      <c r="O233" s="173">
        <f>IFERROR(VLOOKUP($B233,Totalt!$B$1:$AQ$554,MATCH(O$2,Totalt!$B$1:$AQ$1,0),FALSE),"")</f>
        <v>0</v>
      </c>
      <c r="P233" s="173">
        <f>IFERROR(VLOOKUP($B233,Totalt!$B$1:$AQ$554,MATCH(P$2,Totalt!$B$1:$AQ$1,0),FALSE),"")</f>
        <v>0</v>
      </c>
      <c r="Q233" s="173">
        <f>IFERROR(VLOOKUP($B233,Totalt!$B$1:$AQ$554,MATCH(Q$2,Totalt!$B$1:$AQ$1,0),FALSE),"")</f>
        <v>0</v>
      </c>
      <c r="R233" s="173">
        <f>IFERROR(VLOOKUP($B233,Totalt!$B$1:$AQ$554,MATCH(R$2,Totalt!$B$1:$AQ$1,0),FALSE),"")</f>
        <v>3.6989999999999998</v>
      </c>
      <c r="S233" s="173">
        <f>IFERROR(VLOOKUP($B233,Totalt!$B$1:$AQ$554,MATCH(S$2,Totalt!$B$1:$AQ$1,0),FALSE),"")</f>
        <v>0</v>
      </c>
      <c r="T233" s="173">
        <f>IFERROR(VLOOKUP($B233,Totalt!$B$1:$AQ$554,MATCH(T$2,Totalt!$B$1:$AQ$1,0),FALSE),"")</f>
        <v>0</v>
      </c>
      <c r="U233" s="173">
        <f>IFERROR(VLOOKUP($B233,Totalt!$B$1:$AQ$554,MATCH(U$2,Totalt!$B$1:$AQ$1,0),FALSE),"")</f>
        <v>0</v>
      </c>
      <c r="V233" s="173">
        <f>IFERROR(VLOOKUP($B233,Totalt!$B$1:$AQ$554,MATCH(V$2,Totalt!$B$1:$AQ$1,0),FALSE),"")</f>
        <v>0</v>
      </c>
      <c r="W233" s="173">
        <f>IFERROR(VLOOKUP($B233,Totalt!$B$1:$AQ$554,MATCH(W$2,Totalt!$B$1:$AQ$1,0),FALSE),"")</f>
        <v>0</v>
      </c>
      <c r="X233" s="173">
        <f>IFERROR(VLOOKUP($B233,Totalt!$B$1:$AQ$554,MATCH(X$2,Totalt!$B$1:$AQ$1,0),FALSE),"")</f>
        <v>0</v>
      </c>
      <c r="Y233" s="173">
        <f>IFERROR(VLOOKUP($B233,Totalt!$B$1:$AQ$554,MATCH(Y$2,Totalt!$B$1:$AQ$1,0),FALSE),"")</f>
        <v>0</v>
      </c>
      <c r="Z233" s="173">
        <f>IFERROR(VLOOKUP($B233,Totalt!$B$1:$AQ$554,MATCH(Z$2,Totalt!$B$1:$AQ$1,0),FALSE),"")</f>
        <v>0</v>
      </c>
      <c r="AA233" s="173">
        <f>IFERROR(VLOOKUP($B233,Totalt!$B$1:$AQ$554,MATCH(AA$2,Totalt!$B$1:$AQ$1,0),FALSE),"")</f>
        <v>0</v>
      </c>
      <c r="AB233" s="173">
        <f>IFERROR(VLOOKUP($B233,Totalt!$B$1:$AQ$554,MATCH(AB$2,Totalt!$B$1:$AQ$1,0),FALSE),"")</f>
        <v>0</v>
      </c>
      <c r="AC233" s="173">
        <f>IFERROR(VLOOKUP($B233,Totalt!$B$1:$AQ$554,MATCH(AC$2,Totalt!$B$1:$AQ$1,0),FALSE),"")</f>
        <v>0</v>
      </c>
      <c r="AD233" s="173">
        <f>IFERROR(VLOOKUP($B233,Totalt!$B$1:$AQ$554,MATCH(AD$2,Totalt!$B$1:$AQ$1,0),FALSE),"")</f>
        <v>0</v>
      </c>
      <c r="AE233" s="173">
        <f>IFERROR(VLOOKUP($B233,Totalt!$B$1:$AQ$554,MATCH(AE$2,Totalt!$B$1:$AQ$1,0),FALSE),"")</f>
        <v>0</v>
      </c>
      <c r="AF233" s="173">
        <f>IFERROR(VLOOKUP($B233,Totalt!$B$1:$AQ$554,MATCH(AF$2,Totalt!$B$1:$AQ$1,0),FALSE),"")</f>
        <v>5.5E-2</v>
      </c>
      <c r="AG233" s="173">
        <f>IFERROR(VLOOKUP($B233,Totalt!$B$1:$AQ$554,MATCH(AG$2,Totalt!$B$1:$AQ$1,0),FALSE),"")</f>
        <v>0</v>
      </c>
      <c r="AI233" s="226">
        <f t="shared" si="18"/>
        <v>3.78</v>
      </c>
      <c r="AJ233" s="226">
        <f>IF(ISERROR(1/VLOOKUP($B233,Leveranser!$B$1:$S$500,MATCH("såld värme (gwh)",Leveranser!$B$1:$S$1,0),FALSE)),"",VLOOKUP($B233,Leveranser!$B$1:$S$500,MATCH("såld värme (gwh)",Leveranser!$B$1:$S$1,0),FALSE))</f>
        <v>2.7559999999999998</v>
      </c>
      <c r="AM233" s="227" t="str">
        <f>IF(B233&lt;&gt;"",IF(VLOOKUP($B233,Totalt!$B$1:$AQ$554,MATCH("Kvalitetsgranskad:",Totalt!$B$1:$AQ$1,0),FALSE)="ja",VLOOKUP($B233,Miljö!$B$1:$AG$479,MATCH(AM$2,Miljö!$B$1:$AK$1,0),FALSE),""),"")</f>
        <v>Ja</v>
      </c>
      <c r="AN233" s="227" t="str">
        <f>IF(AM233="ja",VLOOKUP($B233,Miljö!$B$1:$J$479,MATCH("Typ av ursprungsspecificerad el   (Om inget värde anges används Nordisk residualmix, se inforuta) ()",Miljö!$B$1:$J$1,0),FALSE),IF(AM233="nej","Nordisk residualel",""))</f>
        <v>'vatten. vind. bio'</v>
      </c>
      <c r="AO233" s="227">
        <f>IF(AM233="","",VLOOKUP($B233,Miljö!$B$1:$J$479,MATCH("Fossilandel för ursprungspecificerad el ()",Miljö!$B$1:$J$1,0),FALSE))</f>
        <v>0</v>
      </c>
      <c r="AP233" s="227">
        <f>IF(AM233="","",IFERROR(VLOOKUP($B233,Miljö!$B$1:$J$479,MATCH("Kärnkraftsandel för ursprungsspecificerad el ()",Miljö!$B$1:$J$1,0),FALSE)/1,0))</f>
        <v>0</v>
      </c>
      <c r="AQ233" s="227">
        <f t="shared" si="19"/>
        <v>1</v>
      </c>
      <c r="AR233" s="227"/>
      <c r="AS233" s="227" t="str">
        <f t="shared" si="20"/>
        <v>Nej</v>
      </c>
      <c r="AT233" s="227" t="str">
        <f>IF(AS233="ja",VLOOKUP($B233,Miljö!$B$1:$O$500,MATCH("Fossil andel i procent (%)",Miljö!$B$1:$O$1,0),FALSE)/100,"")</f>
        <v/>
      </c>
      <c r="AU233" s="227"/>
      <c r="AV233" s="227" t="str">
        <f t="shared" si="21"/>
        <v>Nej</v>
      </c>
      <c r="AW233" s="227" t="str">
        <f>IF(AV233="ja",VLOOKUP($B233,'Egen hetvattenprod'!$B$1:$AO$500,MATCH("Värmekälla till värmepumpar ()",'Egen hetvattenprod'!$B$1:$AO$1,0),FALSE),"")</f>
        <v/>
      </c>
      <c r="AX233" s="227"/>
      <c r="AY233" s="227" t="str">
        <f t="shared" si="22"/>
        <v>Nej</v>
      </c>
      <c r="AZ233" s="228" t="str">
        <f>IF($AY233="ja",(VLOOKUP($B233,'Egen hetvattenprod'!$B$1:$BX$550,MATCH(AZ$2,'Egen hetvattenprod'!$B$1:$BX$1,0),FALSE)+VLOOKUP($B233,Kraftvärmeprod!$B$1:$BX$550,MATCH(AZ$2,Kraftvärmeprod!$B$1:$BX$1,0),FALSE))/$AC233,"")</f>
        <v/>
      </c>
      <c r="BA233" s="228" t="str">
        <f>IF($AY233="ja",(VLOOKUP($B233,'Egen hetvattenprod'!$B$1:$BX$550,MATCH(BA$2,'Egen hetvattenprod'!$B$1:$BX$1,0),FALSE)+VLOOKUP($B233,Kraftvärmeprod!$B$1:$BX$550,MATCH(BA$2,Kraftvärmeprod!$B$1:$BX$1,0),FALSE))/$AC233,"")</f>
        <v/>
      </c>
      <c r="BB233" s="228" t="str">
        <f>IF($AY233="ja",(VLOOKUP($B233,'Egen hetvattenprod'!$B$1:$BX$550,MATCH(BB$2,'Egen hetvattenprod'!$B$1:$BX$1,0),FALSE)+VLOOKUP($B233,Kraftvärmeprod!$B$1:$BX$550,MATCH(BB$2,Kraftvärmeprod!$B$1:$BX$1,0),FALSE))/$AC233,"")</f>
        <v/>
      </c>
      <c r="BC233" s="228" t="str">
        <f>IF($AY233="ja",(VLOOKUP($B233,'Egen hetvattenprod'!$B$1:$BX$550,MATCH(BC$2,'Egen hetvattenprod'!$B$1:$BX$1,0),FALSE)+VLOOKUP($B233,Kraftvärmeprod!$B$1:$BX$550,MATCH(BC$2,Kraftvärmeprod!$B$1:$BX$1,0),FALSE))/$AC233,"")</f>
        <v/>
      </c>
      <c r="BD233" s="228" t="str">
        <f>IF($AY233="ja",(VLOOKUP($B233,'Egen hetvattenprod'!$B$1:$BX$550,MATCH(BD$2,'Egen hetvattenprod'!$B$1:$BX$1,0),FALSE)+VLOOKUP($B233,Kraftvärmeprod!$B$1:$BX$550,MATCH(BD$2,Kraftvärmeprod!$B$1:$BX$1,0),FALSE))/$AC233,"")</f>
        <v/>
      </c>
      <c r="BE233" s="227"/>
      <c r="BF233" s="227" t="str">
        <f t="shared" si="23"/>
        <v>Nej</v>
      </c>
      <c r="BG233" s="227" t="str">
        <f>IF($BF233="ja",VLOOKUP($B233,'Egen hetvattenprod'!$B$1:$BX$550,MATCH("Andelen klimatgaser med fossilt ursprung för avfall ()",'Egen hetvattenprod'!$B$1:$BX$1,0),FALSE),"")</f>
        <v/>
      </c>
      <c r="BH233" s="227" t="str">
        <f>IF($BF233="ja",VLOOKUP($B233,Kraftvärmeprod!$B$1:$BX$550,MATCH("Andelen klimatgaser med fossilt ursprung för avfall ()",Kraftvärmeprod!$B$1:$BX$1,0),FALSE),"")</f>
        <v/>
      </c>
      <c r="BI233" s="227" t="str">
        <f>IF($BF233="ja",VLOOKUP($B233,'Egen hetvattenprod'!$B$1:$BX$550,MATCH("Avfall (GWh)",'Egen hetvattenprod'!$B$1:$BX$1,0),FALSE),"")</f>
        <v/>
      </c>
      <c r="BJ233" s="227" t="str">
        <f>IF($BF233="ja",VLOOKUP($B233,'Slutlig allokering kvv'!$B$1:$BX$550,MATCH("Avfall (GWh)",'Slutlig allokering kvv'!$B$1:$BX$1,0),FALSE),"")</f>
        <v/>
      </c>
      <c r="BK233" s="227" t="str">
        <f>IF($BF233="ja",VLOOKUP($B233,'Köpt hetvatten'!$B$1:$BX$550,MATCH("Avfall i köpt hetvatten",'Köpt hetvatten'!$B$1:$BX$1,0),FALSE),"")</f>
        <v/>
      </c>
      <c r="BL233" s="227" t="str">
        <f>IF($BF233="ja",VLOOKUP($B233,'Egen hetvattenprod'!$B$1:$BX$550,MATCH("Värde enligt ovan. (%)",'Egen hetvattenprod'!$B$1:$BX$1,0),FALSE),"")</f>
        <v/>
      </c>
      <c r="BM233" s="227" t="str">
        <f>IF($BF233="ja",VLOOKUP($B233,Kraftvärmeprod!$B$1:$BX$550,MATCH("Värde enligt ovan. (%)",Kraftvärmeprod!$B$1:$BX$1,0),FALSE),"")</f>
        <v/>
      </c>
      <c r="BN233" s="227"/>
      <c r="BO233" s="227"/>
      <c r="BP233" s="227"/>
      <c r="BQ233" s="227" t="str">
        <f>IF($BF233="ja",VLOOKUP($B233,'Egen hetvattenprod'!$B$1:$BX$550,MATCH("Tillförd olja (fossil) vid avfallsförbränning (GWh)",'Egen hetvattenprod'!$B$1:$BX$1,0),FALSE),"")</f>
        <v/>
      </c>
      <c r="BR233" s="227" t="str">
        <f>IF($BF233="ja",VLOOKUP($B233,Kraftvärmeprod!$B$1:$BX$550,MATCH("Tillförd olja (fossil) vid avfallsförbränning (GWh)",Kraftvärmeprod!$B$1:$BX$1,0),FALSE),"")</f>
        <v/>
      </c>
      <c r="BS233" s="227"/>
      <c r="BT233" s="227"/>
      <c r="BU233" s="227"/>
    </row>
    <row r="234" spans="1:73" x14ac:dyDescent="0.25">
      <c r="A234" s="121" t="str">
        <f>'Miljövärden för publ företag'!B237</f>
        <v>Skövde Energi AB</v>
      </c>
      <c r="B234" s="121" t="str">
        <f>'Miljövärden för publ företag'!C237</f>
        <v>Skultorp</v>
      </c>
      <c r="C234" s="173">
        <f>IFERROR(VLOOKUP($B234,Totalt!$B$1:$AQ$554,MATCH(C$2,Totalt!$B$1:$AQ$1,0),FALSE),"")</f>
        <v>0</v>
      </c>
      <c r="D234" s="173">
        <f>IFERROR(VLOOKUP($B234,Totalt!$B$1:$AQ$554,MATCH(D$2,Totalt!$B$1:$AQ$1,0),FALSE),"")</f>
        <v>0.06</v>
      </c>
      <c r="E234" s="173">
        <f>IFERROR(VLOOKUP($B234,Totalt!$B$1:$AQ$554,MATCH(E$2,Totalt!$B$1:$AQ$1,0),FALSE),"")</f>
        <v>0</v>
      </c>
      <c r="F234" s="173">
        <f>IFERROR(VLOOKUP($B234,Totalt!$B$1:$AQ$554,MATCH(F$2,Totalt!$B$1:$AQ$1,0),FALSE),"")</f>
        <v>0</v>
      </c>
      <c r="G234" s="173">
        <f>IFERROR(VLOOKUP($B234,Totalt!$B$1:$AQ$554,MATCH(G$2,Totalt!$B$1:$AQ$1,0),FALSE),"")</f>
        <v>0</v>
      </c>
      <c r="H234" s="173">
        <f>IFERROR(VLOOKUP($B234,Totalt!$B$1:$AQ$554,MATCH(H$2,Totalt!$B$1:$AQ$1,0),FALSE),"")</f>
        <v>0</v>
      </c>
      <c r="I234" s="173">
        <f>IFERROR(VLOOKUP($B234,Totalt!$B$1:$AQ$554,MATCH(I$2,Totalt!$B$1:$AQ$1,0),FALSE),"")</f>
        <v>0</v>
      </c>
      <c r="J234" s="173">
        <f>IFERROR(VLOOKUP($B234,Totalt!$B$1:$AQ$554,MATCH(J$2,Totalt!$B$1:$AQ$1,0),FALSE),"")</f>
        <v>0</v>
      </c>
      <c r="K234" s="173">
        <f>IFERROR(VLOOKUP($B234,Totalt!$B$1:$AQ$554,MATCH(K$2,Totalt!$B$1:$AQ$1,0),FALSE),"")</f>
        <v>0</v>
      </c>
      <c r="L234" s="173">
        <f>IFERROR(VLOOKUP($B234,Totalt!$B$1:$AQ$554,MATCH(L$2,Totalt!$B$1:$AQ$1,0),FALSE),"")</f>
        <v>0</v>
      </c>
      <c r="M234" s="173">
        <f>IFERROR(VLOOKUP($B234,Totalt!$B$1:$AQ$554,MATCH(M$2,Totalt!$B$1:$AQ$1,0),FALSE),"")</f>
        <v>0</v>
      </c>
      <c r="N234" s="173">
        <f>IFERROR(VLOOKUP($B234,Totalt!$B$1:$AQ$554,MATCH(N$2,Totalt!$B$1:$AQ$1,0),FALSE),"")</f>
        <v>0</v>
      </c>
      <c r="O234" s="173">
        <f>IFERROR(VLOOKUP($B234,Totalt!$B$1:$AQ$554,MATCH(O$2,Totalt!$B$1:$AQ$1,0),FALSE),"")</f>
        <v>0</v>
      </c>
      <c r="P234" s="173">
        <f>IFERROR(VLOOKUP($B234,Totalt!$B$1:$AQ$554,MATCH(P$2,Totalt!$B$1:$AQ$1,0),FALSE),"")</f>
        <v>0</v>
      </c>
      <c r="Q234" s="173">
        <f>IFERROR(VLOOKUP($B234,Totalt!$B$1:$AQ$554,MATCH(Q$2,Totalt!$B$1:$AQ$1,0),FALSE),"")</f>
        <v>0</v>
      </c>
      <c r="R234" s="173">
        <f>IFERROR(VLOOKUP($B234,Totalt!$B$1:$AQ$554,MATCH(R$2,Totalt!$B$1:$AQ$1,0),FALSE),"")</f>
        <v>0</v>
      </c>
      <c r="S234" s="173">
        <f>IFERROR(VLOOKUP($B234,Totalt!$B$1:$AQ$554,MATCH(S$2,Totalt!$B$1:$AQ$1,0),FALSE),"")</f>
        <v>12.6</v>
      </c>
      <c r="T234" s="173">
        <f>IFERROR(VLOOKUP($B234,Totalt!$B$1:$AQ$554,MATCH(T$2,Totalt!$B$1:$AQ$1,0),FALSE),"")</f>
        <v>0</v>
      </c>
      <c r="U234" s="173">
        <f>IFERROR(VLOOKUP($B234,Totalt!$B$1:$AQ$554,MATCH(U$2,Totalt!$B$1:$AQ$1,0),FALSE),"")</f>
        <v>0</v>
      </c>
      <c r="V234" s="173">
        <f>IFERROR(VLOOKUP($B234,Totalt!$B$1:$AQ$554,MATCH(V$2,Totalt!$B$1:$AQ$1,0),FALSE),"")</f>
        <v>0</v>
      </c>
      <c r="W234" s="173">
        <f>IFERROR(VLOOKUP($B234,Totalt!$B$1:$AQ$554,MATCH(W$2,Totalt!$B$1:$AQ$1,0),FALSE),"")</f>
        <v>0</v>
      </c>
      <c r="X234" s="173">
        <f>IFERROR(VLOOKUP($B234,Totalt!$B$1:$AQ$554,MATCH(X$2,Totalt!$B$1:$AQ$1,0),FALSE),"")</f>
        <v>0</v>
      </c>
      <c r="Y234" s="173">
        <f>IFERROR(VLOOKUP($B234,Totalt!$B$1:$AQ$554,MATCH(Y$2,Totalt!$B$1:$AQ$1,0),FALSE),"")</f>
        <v>0</v>
      </c>
      <c r="Z234" s="173">
        <f>IFERROR(VLOOKUP($B234,Totalt!$B$1:$AQ$554,MATCH(Z$2,Totalt!$B$1:$AQ$1,0),FALSE),"")</f>
        <v>0</v>
      </c>
      <c r="AA234" s="173">
        <f>IFERROR(VLOOKUP($B234,Totalt!$B$1:$AQ$554,MATCH(AA$2,Totalt!$B$1:$AQ$1,0),FALSE),"")</f>
        <v>0</v>
      </c>
      <c r="AB234" s="173">
        <f>IFERROR(VLOOKUP($B234,Totalt!$B$1:$AQ$554,MATCH(AB$2,Totalt!$B$1:$AQ$1,0),FALSE),"")</f>
        <v>0</v>
      </c>
      <c r="AC234" s="173">
        <f>IFERROR(VLOOKUP($B234,Totalt!$B$1:$AQ$554,MATCH(AC$2,Totalt!$B$1:$AQ$1,0),FALSE),"")</f>
        <v>0</v>
      </c>
      <c r="AD234" s="173">
        <f>IFERROR(VLOOKUP($B234,Totalt!$B$1:$AQ$554,MATCH(AD$2,Totalt!$B$1:$AQ$1,0),FALSE),"")</f>
        <v>0</v>
      </c>
      <c r="AE234" s="173">
        <f>IFERROR(VLOOKUP($B234,Totalt!$B$1:$AQ$554,MATCH(AE$2,Totalt!$B$1:$AQ$1,0),FALSE),"")</f>
        <v>0</v>
      </c>
      <c r="AF234" s="173">
        <f>IFERROR(VLOOKUP($B234,Totalt!$B$1:$AQ$554,MATCH(AF$2,Totalt!$B$1:$AQ$1,0),FALSE),"")</f>
        <v>0.1</v>
      </c>
      <c r="AG234" s="173">
        <f>IFERROR(VLOOKUP($B234,Totalt!$B$1:$AQ$554,MATCH(AG$2,Totalt!$B$1:$AQ$1,0),FALSE),"")</f>
        <v>0</v>
      </c>
      <c r="AI234" s="226">
        <f t="shared" si="18"/>
        <v>12.76</v>
      </c>
      <c r="AJ234" s="226">
        <f>IF(ISERROR(1/VLOOKUP($B234,Leveranser!$B$1:$S$500,MATCH("såld värme (gwh)",Leveranser!$B$1:$S$1,0),FALSE)),"",VLOOKUP($B234,Leveranser!$B$1:$S$500,MATCH("såld värme (gwh)",Leveranser!$B$1:$S$1,0),FALSE))</f>
        <v>9.7629999999999999</v>
      </c>
      <c r="AM234" s="227" t="str">
        <f>IF(B234&lt;&gt;"",IF(VLOOKUP($B234,Totalt!$B$1:$AQ$554,MATCH("Kvalitetsgranskad:",Totalt!$B$1:$AQ$1,0),FALSE)="ja",VLOOKUP($B234,Miljö!$B$1:$AG$479,MATCH(AM$2,Miljö!$B$1:$AK$1,0),FALSE),""),"")</f>
        <v>Ja</v>
      </c>
      <c r="AN234" s="227" t="str">
        <f>IF(AM234="ja",VLOOKUP($B234,Miljö!$B$1:$J$479,MATCH("Typ av ursprungsspecificerad el   (Om inget värde anges används Nordisk residualmix, se inforuta) ()",Miljö!$B$1:$J$1,0),FALSE),IF(AM234="nej","Nordisk residualel",""))</f>
        <v>'vattenproducerad el'</v>
      </c>
      <c r="AO234" s="227">
        <f>IF(AM234="","",VLOOKUP($B234,Miljö!$B$1:$J$479,MATCH("Fossilandel för ursprungspecificerad el ()",Miljö!$B$1:$J$1,0),FALSE))</f>
        <v>0</v>
      </c>
      <c r="AP234" s="227">
        <f>IF(AM234="","",IFERROR(VLOOKUP($B234,Miljö!$B$1:$J$479,MATCH("Kärnkraftsandel för ursprungsspecificerad el ()",Miljö!$B$1:$J$1,0),FALSE)/1,0))</f>
        <v>0</v>
      </c>
      <c r="AQ234" s="227">
        <f t="shared" si="19"/>
        <v>1</v>
      </c>
      <c r="AR234" s="227"/>
      <c r="AS234" s="227" t="str">
        <f t="shared" si="20"/>
        <v>Nej</v>
      </c>
      <c r="AT234" s="227" t="str">
        <f>IF(AS234="ja",VLOOKUP($B234,Miljö!$B$1:$O$500,MATCH("Fossil andel i procent (%)",Miljö!$B$1:$O$1,0),FALSE)/100,"")</f>
        <v/>
      </c>
      <c r="AU234" s="227"/>
      <c r="AV234" s="227" t="str">
        <f t="shared" si="21"/>
        <v>Nej</v>
      </c>
      <c r="AW234" s="227" t="str">
        <f>IF(AV234="ja",VLOOKUP($B234,'Egen hetvattenprod'!$B$1:$AO$500,MATCH("Värmekälla till värmepumpar ()",'Egen hetvattenprod'!$B$1:$AO$1,0),FALSE),"")</f>
        <v/>
      </c>
      <c r="AX234" s="227"/>
      <c r="AY234" s="227" t="str">
        <f t="shared" si="22"/>
        <v>Nej</v>
      </c>
      <c r="AZ234" s="228" t="str">
        <f>IF($AY234="ja",(VLOOKUP($B234,'Egen hetvattenprod'!$B$1:$BX$550,MATCH(AZ$2,'Egen hetvattenprod'!$B$1:$BX$1,0),FALSE)+VLOOKUP($B234,Kraftvärmeprod!$B$1:$BX$550,MATCH(AZ$2,Kraftvärmeprod!$B$1:$BX$1,0),FALSE))/$AC234,"")</f>
        <v/>
      </c>
      <c r="BA234" s="228" t="str">
        <f>IF($AY234="ja",(VLOOKUP($B234,'Egen hetvattenprod'!$B$1:$BX$550,MATCH(BA$2,'Egen hetvattenprod'!$B$1:$BX$1,0),FALSE)+VLOOKUP($B234,Kraftvärmeprod!$B$1:$BX$550,MATCH(BA$2,Kraftvärmeprod!$B$1:$BX$1,0),FALSE))/$AC234,"")</f>
        <v/>
      </c>
      <c r="BB234" s="228" t="str">
        <f>IF($AY234="ja",(VLOOKUP($B234,'Egen hetvattenprod'!$B$1:$BX$550,MATCH(BB$2,'Egen hetvattenprod'!$B$1:$BX$1,0),FALSE)+VLOOKUP($B234,Kraftvärmeprod!$B$1:$BX$550,MATCH(BB$2,Kraftvärmeprod!$B$1:$BX$1,0),FALSE))/$AC234,"")</f>
        <v/>
      </c>
      <c r="BC234" s="228" t="str">
        <f>IF($AY234="ja",(VLOOKUP($B234,'Egen hetvattenprod'!$B$1:$BX$550,MATCH(BC$2,'Egen hetvattenprod'!$B$1:$BX$1,0),FALSE)+VLOOKUP($B234,Kraftvärmeprod!$B$1:$BX$550,MATCH(BC$2,Kraftvärmeprod!$B$1:$BX$1,0),FALSE))/$AC234,"")</f>
        <v/>
      </c>
      <c r="BD234" s="228" t="str">
        <f>IF($AY234="ja",(VLOOKUP($B234,'Egen hetvattenprod'!$B$1:$BX$550,MATCH(BD$2,'Egen hetvattenprod'!$B$1:$BX$1,0),FALSE)+VLOOKUP($B234,Kraftvärmeprod!$B$1:$BX$550,MATCH(BD$2,Kraftvärmeprod!$B$1:$BX$1,0),FALSE))/$AC234,"")</f>
        <v/>
      </c>
      <c r="BE234" s="227"/>
      <c r="BF234" s="227" t="str">
        <f t="shared" si="23"/>
        <v>Nej</v>
      </c>
      <c r="BG234" s="227" t="str">
        <f>IF($BF234="ja",VLOOKUP($B234,'Egen hetvattenprod'!$B$1:$BX$550,MATCH("Andelen klimatgaser med fossilt ursprung för avfall ()",'Egen hetvattenprod'!$B$1:$BX$1,0),FALSE),"")</f>
        <v/>
      </c>
      <c r="BH234" s="227" t="str">
        <f>IF($BF234="ja",VLOOKUP($B234,Kraftvärmeprod!$B$1:$BX$550,MATCH("Andelen klimatgaser med fossilt ursprung för avfall ()",Kraftvärmeprod!$B$1:$BX$1,0),FALSE),"")</f>
        <v/>
      </c>
      <c r="BI234" s="227" t="str">
        <f>IF($BF234="ja",VLOOKUP($B234,'Egen hetvattenprod'!$B$1:$BX$550,MATCH("Avfall (GWh)",'Egen hetvattenprod'!$B$1:$BX$1,0),FALSE),"")</f>
        <v/>
      </c>
      <c r="BJ234" s="227" t="str">
        <f>IF($BF234="ja",VLOOKUP($B234,'Slutlig allokering kvv'!$B$1:$BX$550,MATCH("Avfall (GWh)",'Slutlig allokering kvv'!$B$1:$BX$1,0),FALSE),"")</f>
        <v/>
      </c>
      <c r="BK234" s="227" t="str">
        <f>IF($BF234="ja",VLOOKUP($B234,'Köpt hetvatten'!$B$1:$BX$550,MATCH("Avfall i köpt hetvatten",'Köpt hetvatten'!$B$1:$BX$1,0),FALSE),"")</f>
        <v/>
      </c>
      <c r="BL234" s="227" t="str">
        <f>IF($BF234="ja",VLOOKUP($B234,'Egen hetvattenprod'!$B$1:$BX$550,MATCH("Värde enligt ovan. (%)",'Egen hetvattenprod'!$B$1:$BX$1,0),FALSE),"")</f>
        <v/>
      </c>
      <c r="BM234" s="227" t="str">
        <f>IF($BF234="ja",VLOOKUP($B234,Kraftvärmeprod!$B$1:$BX$550,MATCH("Värde enligt ovan. (%)",Kraftvärmeprod!$B$1:$BX$1,0),FALSE),"")</f>
        <v/>
      </c>
      <c r="BN234" s="227"/>
      <c r="BO234" s="227"/>
      <c r="BP234" s="227"/>
      <c r="BQ234" s="227" t="str">
        <f>IF($BF234="ja",VLOOKUP($B234,'Egen hetvattenprod'!$B$1:$BX$550,MATCH("Tillförd olja (fossil) vid avfallsförbränning (GWh)",'Egen hetvattenprod'!$B$1:$BX$1,0),FALSE),"")</f>
        <v/>
      </c>
      <c r="BR234" s="227" t="str">
        <f>IF($BF234="ja",VLOOKUP($B234,Kraftvärmeprod!$B$1:$BX$550,MATCH("Tillförd olja (fossil) vid avfallsförbränning (GWh)",Kraftvärmeprod!$B$1:$BX$1,0),FALSE),"")</f>
        <v/>
      </c>
      <c r="BS234" s="227"/>
      <c r="BT234" s="227"/>
      <c r="BU234" s="227"/>
    </row>
    <row r="235" spans="1:73" x14ac:dyDescent="0.25">
      <c r="A235" s="121" t="str">
        <f>'Miljövärden för publ företag'!B238</f>
        <v>Skövde Energi AB</v>
      </c>
      <c r="B235" s="121" t="str">
        <f>'Miljövärden för publ företag'!C238</f>
        <v>Skövde</v>
      </c>
      <c r="C235" s="173">
        <f>IFERROR(VLOOKUP($B235,Totalt!$B$1:$AQ$554,MATCH(C$2,Totalt!$B$1:$AQ$1,0),FALSE),"")</f>
        <v>0</v>
      </c>
      <c r="D235" s="173">
        <f>IFERROR(VLOOKUP($B235,Totalt!$B$1:$AQ$554,MATCH(D$2,Totalt!$B$1:$AQ$1,0),FALSE),"")</f>
        <v>1.7941400000000001</v>
      </c>
      <c r="E235" s="173">
        <f>IFERROR(VLOOKUP($B235,Totalt!$B$1:$AQ$554,MATCH(E$2,Totalt!$B$1:$AQ$1,0),FALSE),"")</f>
        <v>0.56999999999999995</v>
      </c>
      <c r="F235" s="173">
        <f>IFERROR(VLOOKUP($B235,Totalt!$B$1:$AQ$554,MATCH(F$2,Totalt!$B$1:$AQ$1,0),FALSE),"")</f>
        <v>0</v>
      </c>
      <c r="G235" s="173">
        <f>IFERROR(VLOOKUP($B235,Totalt!$B$1:$AQ$554,MATCH(G$2,Totalt!$B$1:$AQ$1,0),FALSE),"")</f>
        <v>0</v>
      </c>
      <c r="H235" s="173">
        <f>IFERROR(VLOOKUP($B235,Totalt!$B$1:$AQ$554,MATCH(H$2,Totalt!$B$1:$AQ$1,0),FALSE),"")</f>
        <v>0</v>
      </c>
      <c r="I235" s="173">
        <f>IFERROR(VLOOKUP($B235,Totalt!$B$1:$AQ$554,MATCH(I$2,Totalt!$B$1:$AQ$1,0),FALSE),"")</f>
        <v>129.846</v>
      </c>
      <c r="J235" s="173">
        <f>IFERROR(VLOOKUP($B235,Totalt!$B$1:$AQ$554,MATCH(J$2,Totalt!$B$1:$AQ$1,0),FALSE),"")</f>
        <v>0</v>
      </c>
      <c r="K235" s="173">
        <f>IFERROR(VLOOKUP($B235,Totalt!$B$1:$AQ$554,MATCH(K$2,Totalt!$B$1:$AQ$1,0),FALSE),"")</f>
        <v>0</v>
      </c>
      <c r="L235" s="173">
        <f>IFERROR(VLOOKUP($B235,Totalt!$B$1:$AQ$554,MATCH(L$2,Totalt!$B$1:$AQ$1,0),FALSE),"")</f>
        <v>0</v>
      </c>
      <c r="M235" s="173">
        <f>IFERROR(VLOOKUP($B235,Totalt!$B$1:$AQ$554,MATCH(M$2,Totalt!$B$1:$AQ$1,0),FALSE),"")</f>
        <v>0</v>
      </c>
      <c r="N235" s="173">
        <f>IFERROR(VLOOKUP($B235,Totalt!$B$1:$AQ$554,MATCH(N$2,Totalt!$B$1:$AQ$1,0),FALSE),"")</f>
        <v>134.203</v>
      </c>
      <c r="O235" s="173">
        <f>IFERROR(VLOOKUP($B235,Totalt!$B$1:$AQ$554,MATCH(O$2,Totalt!$B$1:$AQ$1,0),FALSE),"")</f>
        <v>0</v>
      </c>
      <c r="P235" s="173">
        <f>IFERROR(VLOOKUP($B235,Totalt!$B$1:$AQ$554,MATCH(P$2,Totalt!$B$1:$AQ$1,0),FALSE),"")</f>
        <v>110.845</v>
      </c>
      <c r="Q235" s="173">
        <f>IFERROR(VLOOKUP($B235,Totalt!$B$1:$AQ$554,MATCH(Q$2,Totalt!$B$1:$AQ$1,0),FALSE),"")</f>
        <v>0</v>
      </c>
      <c r="R235" s="173">
        <f>IFERROR(VLOOKUP($B235,Totalt!$B$1:$AQ$554,MATCH(R$2,Totalt!$B$1:$AQ$1,0),FALSE),"")</f>
        <v>0</v>
      </c>
      <c r="S235" s="173">
        <f>IFERROR(VLOOKUP($B235,Totalt!$B$1:$AQ$554,MATCH(S$2,Totalt!$B$1:$AQ$1,0),FALSE),"")</f>
        <v>0</v>
      </c>
      <c r="T235" s="173">
        <f>IFERROR(VLOOKUP($B235,Totalt!$B$1:$AQ$554,MATCH(T$2,Totalt!$B$1:$AQ$1,0),FALSE),"")</f>
        <v>0</v>
      </c>
      <c r="U235" s="173">
        <f>IFERROR(VLOOKUP($B235,Totalt!$B$1:$AQ$554,MATCH(U$2,Totalt!$B$1:$AQ$1,0),FALSE),"")</f>
        <v>0</v>
      </c>
      <c r="V235" s="173">
        <f>IFERROR(VLOOKUP($B235,Totalt!$B$1:$AQ$554,MATCH(V$2,Totalt!$B$1:$AQ$1,0),FALSE),"")</f>
        <v>0</v>
      </c>
      <c r="W235" s="173">
        <f>IFERROR(VLOOKUP($B235,Totalt!$B$1:$AQ$554,MATCH(W$2,Totalt!$B$1:$AQ$1,0),FALSE),"")</f>
        <v>6.1820000000000004</v>
      </c>
      <c r="X235" s="173">
        <f>IFERROR(VLOOKUP($B235,Totalt!$B$1:$AQ$554,MATCH(X$2,Totalt!$B$1:$AQ$1,0),FALSE),"")</f>
        <v>0</v>
      </c>
      <c r="Y235" s="173">
        <f>IFERROR(VLOOKUP($B235,Totalt!$B$1:$AQ$554,MATCH(Y$2,Totalt!$B$1:$AQ$1,0),FALSE),"")</f>
        <v>0</v>
      </c>
      <c r="Z235" s="173">
        <f>IFERROR(VLOOKUP($B235,Totalt!$B$1:$AQ$554,MATCH(Z$2,Totalt!$B$1:$AQ$1,0),FALSE),"")</f>
        <v>0</v>
      </c>
      <c r="AA235" s="173">
        <f>IFERROR(VLOOKUP($B235,Totalt!$B$1:$AQ$554,MATCH(AA$2,Totalt!$B$1:$AQ$1,0),FALSE),"")</f>
        <v>0</v>
      </c>
      <c r="AB235" s="173">
        <f>IFERROR(VLOOKUP($B235,Totalt!$B$1:$AQ$554,MATCH(AB$2,Totalt!$B$1:$AQ$1,0),FALSE),"")</f>
        <v>0</v>
      </c>
      <c r="AC235" s="173">
        <f>IFERROR(VLOOKUP($B235,Totalt!$B$1:$AQ$554,MATCH(AC$2,Totalt!$B$1:$AQ$1,0),FALSE),"")</f>
        <v>62.973999999999997</v>
      </c>
      <c r="AD235" s="173">
        <f>IFERROR(VLOOKUP($B235,Totalt!$B$1:$AQ$554,MATCH(AD$2,Totalt!$B$1:$AQ$1,0),FALSE),"")</f>
        <v>5.3940000000000001</v>
      </c>
      <c r="AE235" s="173">
        <f>IFERROR(VLOOKUP($B235,Totalt!$B$1:$AQ$554,MATCH(AE$2,Totalt!$B$1:$AQ$1,0),FALSE),"")</f>
        <v>0</v>
      </c>
      <c r="AF235" s="173">
        <f>IFERROR(VLOOKUP($B235,Totalt!$B$1:$AQ$554,MATCH(AF$2,Totalt!$B$1:$AQ$1,0),FALSE),"")</f>
        <v>12.8391</v>
      </c>
      <c r="AG235" s="173">
        <f>IFERROR(VLOOKUP($B235,Totalt!$B$1:$AQ$554,MATCH(AG$2,Totalt!$B$1:$AQ$1,0),FALSE),"")</f>
        <v>0</v>
      </c>
      <c r="AI235" s="226">
        <f t="shared" si="18"/>
        <v>464.64724000000001</v>
      </c>
      <c r="AJ235" s="226">
        <f>IF(ISERROR(1/VLOOKUP($B235,Leveranser!$B$1:$S$500,MATCH("såld värme (gwh)",Leveranser!$B$1:$S$1,0),FALSE)),"",VLOOKUP($B235,Leveranser!$B$1:$S$500,MATCH("såld värme (gwh)",Leveranser!$B$1:$S$1,0),FALSE))</f>
        <v>359.29</v>
      </c>
      <c r="AM235" s="227" t="str">
        <f>IF(B235&lt;&gt;"",IF(VLOOKUP($B235,Totalt!$B$1:$AQ$554,MATCH("Kvalitetsgranskad:",Totalt!$B$1:$AQ$1,0),FALSE)="ja",VLOOKUP($B235,Miljö!$B$1:$AG$479,MATCH(AM$2,Miljö!$B$1:$AK$1,0),FALSE),""),"")</f>
        <v>Ja</v>
      </c>
      <c r="AN235" s="227" t="str">
        <f>IF(AM235="ja",VLOOKUP($B235,Miljö!$B$1:$J$479,MATCH("Typ av ursprungsspecificerad el   (Om inget värde anges används Nordisk residualmix, se inforuta) ()",Miljö!$B$1:$J$1,0),FALSE),IF(AM235="nej","Nordisk residualel",""))</f>
        <v>'vattenproducerad el'</v>
      </c>
      <c r="AO235" s="227">
        <f>IF(AM235="","",VLOOKUP($B235,Miljö!$B$1:$J$479,MATCH("Fossilandel för ursprungspecificerad el ()",Miljö!$B$1:$J$1,0),FALSE))</f>
        <v>0</v>
      </c>
      <c r="AP235" s="227">
        <f>IF(AM235="","",IFERROR(VLOOKUP($B235,Miljö!$B$1:$J$479,MATCH("Kärnkraftsandel för ursprungsspecificerad el ()",Miljö!$B$1:$J$1,0),FALSE)/1,0))</f>
        <v>0</v>
      </c>
      <c r="AQ235" s="227">
        <f t="shared" si="19"/>
        <v>1</v>
      </c>
      <c r="AR235" s="227"/>
      <c r="AS235" s="227" t="str">
        <f t="shared" si="20"/>
        <v>Nej</v>
      </c>
      <c r="AT235" s="227" t="str">
        <f>IF(AS235="ja",VLOOKUP($B235,Miljö!$B$1:$O$500,MATCH("Fossil andel i procent (%)",Miljö!$B$1:$O$1,0),FALSE)/100,"")</f>
        <v/>
      </c>
      <c r="AU235" s="227"/>
      <c r="AV235" s="227" t="str">
        <f t="shared" si="21"/>
        <v>Nej</v>
      </c>
      <c r="AW235" s="227" t="str">
        <f>IF(AV235="ja",VLOOKUP($B235,'Egen hetvattenprod'!$B$1:$AO$500,MATCH("Värmekälla till värmepumpar ()",'Egen hetvattenprod'!$B$1:$AO$1,0),FALSE),"")</f>
        <v/>
      </c>
      <c r="AX235" s="227"/>
      <c r="AY235" s="227" t="str">
        <f t="shared" si="22"/>
        <v>Ja</v>
      </c>
      <c r="AZ235" s="228">
        <f>IF($AY235="ja",(VLOOKUP($B235,'Egen hetvattenprod'!$B$1:$BX$550,MATCH(AZ$2,'Egen hetvattenprod'!$B$1:$BX$1,0),FALSE)+VLOOKUP($B235,Kraftvärmeprod!$B$1:$BX$550,MATCH(AZ$2,Kraftvärmeprod!$B$1:$BX$1,0),FALSE))/$AC235,"")</f>
        <v>0.77464509162511519</v>
      </c>
      <c r="BA235" s="228">
        <f>IF($AY235="ja",(VLOOKUP($B235,'Egen hetvattenprod'!$B$1:$BX$550,MATCH(BA$2,'Egen hetvattenprod'!$B$1:$BX$1,0),FALSE)+VLOOKUP($B235,Kraftvärmeprod!$B$1:$BX$550,MATCH(BA$2,Kraftvärmeprod!$B$1:$BX$1,0),FALSE))/$AC235,"")</f>
        <v>0.22535490837488487</v>
      </c>
      <c r="BB235" s="228">
        <f>IF($AY235="ja",(VLOOKUP($B235,'Egen hetvattenprod'!$B$1:$BX$550,MATCH(BB$2,'Egen hetvattenprod'!$B$1:$BX$1,0),FALSE)+VLOOKUP($B235,Kraftvärmeprod!$B$1:$BX$550,MATCH(BB$2,Kraftvärmeprod!$B$1:$BX$1,0),FALSE))/$AC235,"")</f>
        <v>0</v>
      </c>
      <c r="BC235" s="228">
        <f>IF($AY235="ja",(VLOOKUP($B235,'Egen hetvattenprod'!$B$1:$BX$550,MATCH(BC$2,'Egen hetvattenprod'!$B$1:$BX$1,0),FALSE)+VLOOKUP($B235,Kraftvärmeprod!$B$1:$BX$550,MATCH(BC$2,Kraftvärmeprod!$B$1:$BX$1,0),FALSE))/$AC235,"")</f>
        <v>0</v>
      </c>
      <c r="BD235" s="228">
        <f>IF($AY235="ja",(VLOOKUP($B235,'Egen hetvattenprod'!$B$1:$BX$550,MATCH(BD$2,'Egen hetvattenprod'!$B$1:$BX$1,0),FALSE)+VLOOKUP($B235,Kraftvärmeprod!$B$1:$BX$550,MATCH(BD$2,Kraftvärmeprod!$B$1:$BX$1,0),FALSE))/$AC235,"")</f>
        <v>1.1283112645855436E-16</v>
      </c>
      <c r="BE235" s="227"/>
      <c r="BF235" s="227" t="str">
        <f t="shared" si="23"/>
        <v>Ja</v>
      </c>
      <c r="BG235" s="227" t="str">
        <f>IF($BF235="ja",VLOOKUP($B235,'Egen hetvattenprod'!$B$1:$BX$550,MATCH("Andelen klimatgaser med fossilt ursprung för avfall ()",'Egen hetvattenprod'!$B$1:$BX$1,0),FALSE),"")</f>
        <v>Ingen redovisning</v>
      </c>
      <c r="BH235" s="227" t="str">
        <f>IF($BF235="ja",VLOOKUP($B235,Kraftvärmeprod!$B$1:$BX$550,MATCH("Andelen klimatgaser med fossilt ursprung för avfall ()",Kraftvärmeprod!$B$1:$BX$1,0),FALSE),"")</f>
        <v>Schablon</v>
      </c>
      <c r="BI235" s="227" t="str">
        <f>IF($BF235="ja",VLOOKUP($B235,'Egen hetvattenprod'!$B$1:$BX$550,MATCH("Avfall (GWh)",'Egen hetvattenprod'!$B$1:$BX$1,0),FALSE),"")</f>
        <v>ET</v>
      </c>
      <c r="BJ235" s="227">
        <f>IF($BF235="ja",VLOOKUP($B235,'Slutlig allokering kvv'!$B$1:$BX$550,MATCH("Avfall (GWh)",'Slutlig allokering kvv'!$B$1:$BX$1,0),FALSE),"")</f>
        <v>129.846</v>
      </c>
      <c r="BK235" s="227">
        <f>IF($BF235="ja",VLOOKUP($B235,'Köpt hetvatten'!$B$1:$BX$550,MATCH("Avfall i köpt hetvatten",'Köpt hetvatten'!$B$1:$BX$1,0),FALSE),"")</f>
        <v>0</v>
      </c>
      <c r="BL235" s="227" t="str">
        <f>IF($BF235="ja",VLOOKUP($B235,'Egen hetvattenprod'!$B$1:$BX$550,MATCH("Värde enligt ovan. (%)",'Egen hetvattenprod'!$B$1:$BX$1,0),FALSE),"")</f>
        <v>ET</v>
      </c>
      <c r="BM235" s="227">
        <f>IF($BF235="ja",VLOOKUP($B235,Kraftvärmeprod!$B$1:$BX$550,MATCH("Värde enligt ovan. (%)",Kraftvärmeprod!$B$1:$BX$1,0),FALSE),"")</f>
        <v>40.5</v>
      </c>
      <c r="BN235" s="227"/>
      <c r="BO235" s="227"/>
      <c r="BP235" s="227"/>
      <c r="BQ235" s="227" t="str">
        <f>IF($BF235="ja",VLOOKUP($B235,'Egen hetvattenprod'!$B$1:$BX$550,MATCH("Tillförd olja (fossil) vid avfallsförbränning (GWh)",'Egen hetvattenprod'!$B$1:$BX$1,0),FALSE),"")</f>
        <v>ET</v>
      </c>
      <c r="BR235" s="227">
        <f>IF($BF235="ja",VLOOKUP($B235,Kraftvärmeprod!$B$1:$BX$550,MATCH("Tillförd olja (fossil) vid avfallsförbränning (GWh)",Kraftvärmeprod!$B$1:$BX$1,0),FALSE),"")</f>
        <v>1.1499999999999999</v>
      </c>
      <c r="BS235" s="227"/>
      <c r="BT235" s="227"/>
      <c r="BU235" s="227"/>
    </row>
    <row r="236" spans="1:73" x14ac:dyDescent="0.25">
      <c r="A236" s="121" t="str">
        <f>'Miljövärden för publ företag'!B239</f>
        <v>Skövde Energi AB</v>
      </c>
      <c r="B236" s="121" t="str">
        <f>'Miljövärden för publ företag'!C239</f>
        <v>Stöpen</v>
      </c>
      <c r="C236" s="173">
        <f>IFERROR(VLOOKUP($B236,Totalt!$B$1:$AQ$554,MATCH(C$2,Totalt!$B$1:$AQ$1,0),FALSE),"")</f>
        <v>0</v>
      </c>
      <c r="D236" s="173">
        <f>IFERROR(VLOOKUP($B236,Totalt!$B$1:$AQ$554,MATCH(D$2,Totalt!$B$1:$AQ$1,0),FALSE),"")</f>
        <v>0.185</v>
      </c>
      <c r="E236" s="173">
        <f>IFERROR(VLOOKUP($B236,Totalt!$B$1:$AQ$554,MATCH(E$2,Totalt!$B$1:$AQ$1,0),FALSE),"")</f>
        <v>0</v>
      </c>
      <c r="F236" s="173">
        <f>IFERROR(VLOOKUP($B236,Totalt!$B$1:$AQ$554,MATCH(F$2,Totalt!$B$1:$AQ$1,0),FALSE),"")</f>
        <v>0</v>
      </c>
      <c r="G236" s="173">
        <f>IFERROR(VLOOKUP($B236,Totalt!$B$1:$AQ$554,MATCH(G$2,Totalt!$B$1:$AQ$1,0),FALSE),"")</f>
        <v>0</v>
      </c>
      <c r="H236" s="173">
        <f>IFERROR(VLOOKUP($B236,Totalt!$B$1:$AQ$554,MATCH(H$2,Totalt!$B$1:$AQ$1,0),FALSE),"")</f>
        <v>0</v>
      </c>
      <c r="I236" s="173">
        <f>IFERROR(VLOOKUP($B236,Totalt!$B$1:$AQ$554,MATCH(I$2,Totalt!$B$1:$AQ$1,0),FALSE),"")</f>
        <v>0</v>
      </c>
      <c r="J236" s="173">
        <f>IFERROR(VLOOKUP($B236,Totalt!$B$1:$AQ$554,MATCH(J$2,Totalt!$B$1:$AQ$1,0),FALSE),"")</f>
        <v>0</v>
      </c>
      <c r="K236" s="173">
        <f>IFERROR(VLOOKUP($B236,Totalt!$B$1:$AQ$554,MATCH(K$2,Totalt!$B$1:$AQ$1,0),FALSE),"")</f>
        <v>0</v>
      </c>
      <c r="L236" s="173">
        <f>IFERROR(VLOOKUP($B236,Totalt!$B$1:$AQ$554,MATCH(L$2,Totalt!$B$1:$AQ$1,0),FALSE),"")</f>
        <v>0</v>
      </c>
      <c r="M236" s="173">
        <f>IFERROR(VLOOKUP($B236,Totalt!$B$1:$AQ$554,MATCH(M$2,Totalt!$B$1:$AQ$1,0),FALSE),"")</f>
        <v>0</v>
      </c>
      <c r="N236" s="173">
        <f>IFERROR(VLOOKUP($B236,Totalt!$B$1:$AQ$554,MATCH(N$2,Totalt!$B$1:$AQ$1,0),FALSE),"")</f>
        <v>0</v>
      </c>
      <c r="O236" s="173">
        <f>IFERROR(VLOOKUP($B236,Totalt!$B$1:$AQ$554,MATCH(O$2,Totalt!$B$1:$AQ$1,0),FALSE),"")</f>
        <v>0</v>
      </c>
      <c r="P236" s="173">
        <f>IFERROR(VLOOKUP($B236,Totalt!$B$1:$AQ$554,MATCH(P$2,Totalt!$B$1:$AQ$1,0),FALSE),"")</f>
        <v>0</v>
      </c>
      <c r="Q236" s="173">
        <f>IFERROR(VLOOKUP($B236,Totalt!$B$1:$AQ$554,MATCH(Q$2,Totalt!$B$1:$AQ$1,0),FALSE),"")</f>
        <v>0</v>
      </c>
      <c r="R236" s="173">
        <f>IFERROR(VLOOKUP($B236,Totalt!$B$1:$AQ$554,MATCH(R$2,Totalt!$B$1:$AQ$1,0),FALSE),"")</f>
        <v>5.34</v>
      </c>
      <c r="S236" s="173">
        <f>IFERROR(VLOOKUP($B236,Totalt!$B$1:$AQ$554,MATCH(S$2,Totalt!$B$1:$AQ$1,0),FALSE),"")</f>
        <v>0</v>
      </c>
      <c r="T236" s="173">
        <f>IFERROR(VLOOKUP($B236,Totalt!$B$1:$AQ$554,MATCH(T$2,Totalt!$B$1:$AQ$1,0),FALSE),"")</f>
        <v>0</v>
      </c>
      <c r="U236" s="173">
        <f>IFERROR(VLOOKUP($B236,Totalt!$B$1:$AQ$554,MATCH(U$2,Totalt!$B$1:$AQ$1,0),FALSE),"")</f>
        <v>0</v>
      </c>
      <c r="V236" s="173">
        <f>IFERROR(VLOOKUP($B236,Totalt!$B$1:$AQ$554,MATCH(V$2,Totalt!$B$1:$AQ$1,0),FALSE),"")</f>
        <v>0</v>
      </c>
      <c r="W236" s="173">
        <f>IFERROR(VLOOKUP($B236,Totalt!$B$1:$AQ$554,MATCH(W$2,Totalt!$B$1:$AQ$1,0),FALSE),"")</f>
        <v>0</v>
      </c>
      <c r="X236" s="173">
        <f>IFERROR(VLOOKUP($B236,Totalt!$B$1:$AQ$554,MATCH(X$2,Totalt!$B$1:$AQ$1,0),FALSE),"")</f>
        <v>0</v>
      </c>
      <c r="Y236" s="173">
        <f>IFERROR(VLOOKUP($B236,Totalt!$B$1:$AQ$554,MATCH(Y$2,Totalt!$B$1:$AQ$1,0),FALSE),"")</f>
        <v>0</v>
      </c>
      <c r="Z236" s="173">
        <f>IFERROR(VLOOKUP($B236,Totalt!$B$1:$AQ$554,MATCH(Z$2,Totalt!$B$1:$AQ$1,0),FALSE),"")</f>
        <v>0</v>
      </c>
      <c r="AA236" s="173">
        <f>IFERROR(VLOOKUP($B236,Totalt!$B$1:$AQ$554,MATCH(AA$2,Totalt!$B$1:$AQ$1,0),FALSE),"")</f>
        <v>0</v>
      </c>
      <c r="AB236" s="173">
        <f>IFERROR(VLOOKUP($B236,Totalt!$B$1:$AQ$554,MATCH(AB$2,Totalt!$B$1:$AQ$1,0),FALSE),"")</f>
        <v>0</v>
      </c>
      <c r="AC236" s="173">
        <f>IFERROR(VLOOKUP($B236,Totalt!$B$1:$AQ$554,MATCH(AC$2,Totalt!$B$1:$AQ$1,0),FALSE),"")</f>
        <v>0</v>
      </c>
      <c r="AD236" s="173">
        <f>IFERROR(VLOOKUP($B236,Totalt!$B$1:$AQ$554,MATCH(AD$2,Totalt!$B$1:$AQ$1,0),FALSE),"")</f>
        <v>0</v>
      </c>
      <c r="AE236" s="173">
        <f>IFERROR(VLOOKUP($B236,Totalt!$B$1:$AQ$554,MATCH(AE$2,Totalt!$B$1:$AQ$1,0),FALSE),"")</f>
        <v>0</v>
      </c>
      <c r="AF236" s="173">
        <f>IFERROR(VLOOKUP($B236,Totalt!$B$1:$AQ$554,MATCH(AF$2,Totalt!$B$1:$AQ$1,0),FALSE),"")</f>
        <v>0.06</v>
      </c>
      <c r="AG236" s="173">
        <f>IFERROR(VLOOKUP($B236,Totalt!$B$1:$AQ$554,MATCH(AG$2,Totalt!$B$1:$AQ$1,0),FALSE),"")</f>
        <v>0</v>
      </c>
      <c r="AI236" s="226">
        <f t="shared" si="18"/>
        <v>5.5849999999999991</v>
      </c>
      <c r="AJ236" s="226">
        <f>IF(ISERROR(1/VLOOKUP($B236,Leveranser!$B$1:$S$500,MATCH("såld värme (gwh)",Leveranser!$B$1:$S$1,0),FALSE)),"",VLOOKUP($B236,Leveranser!$B$1:$S$500,MATCH("såld värme (gwh)",Leveranser!$B$1:$S$1,0),FALSE))</f>
        <v>4.4852100000000004</v>
      </c>
      <c r="AM236" s="227" t="str">
        <f>IF(B236&lt;&gt;"",IF(VLOOKUP($B236,Totalt!$B$1:$AQ$554,MATCH("Kvalitetsgranskad:",Totalt!$B$1:$AQ$1,0),FALSE)="ja",VLOOKUP($B236,Miljö!$B$1:$AG$479,MATCH(AM$2,Miljö!$B$1:$AK$1,0),FALSE),""),"")</f>
        <v>Ja</v>
      </c>
      <c r="AN236" s="227" t="str">
        <f>IF(AM236="ja",VLOOKUP($B236,Miljö!$B$1:$J$479,MATCH("Typ av ursprungsspecificerad el   (Om inget värde anges används Nordisk residualmix, se inforuta) ()",Miljö!$B$1:$J$1,0),FALSE),IF(AM236="nej","Nordisk residualel",""))</f>
        <v>'vattenproducerad el'</v>
      </c>
      <c r="AO236" s="227">
        <f>IF(AM236="","",VLOOKUP($B236,Miljö!$B$1:$J$479,MATCH("Fossilandel för ursprungspecificerad el ()",Miljö!$B$1:$J$1,0),FALSE))</f>
        <v>0</v>
      </c>
      <c r="AP236" s="227">
        <f>IF(AM236="","",IFERROR(VLOOKUP($B236,Miljö!$B$1:$J$479,MATCH("Kärnkraftsandel för ursprungsspecificerad el ()",Miljö!$B$1:$J$1,0),FALSE)/1,0))</f>
        <v>0</v>
      </c>
      <c r="AQ236" s="227">
        <f t="shared" si="19"/>
        <v>1</v>
      </c>
      <c r="AR236" s="227"/>
      <c r="AS236" s="227" t="str">
        <f t="shared" si="20"/>
        <v>Nej</v>
      </c>
      <c r="AT236" s="227" t="str">
        <f>IF(AS236="ja",VLOOKUP($B236,Miljö!$B$1:$O$500,MATCH("Fossil andel i procent (%)",Miljö!$B$1:$O$1,0),FALSE)/100,"")</f>
        <v/>
      </c>
      <c r="AU236" s="227"/>
      <c r="AV236" s="227" t="str">
        <f t="shared" si="21"/>
        <v>Nej</v>
      </c>
      <c r="AW236" s="227" t="str">
        <f>IF(AV236="ja",VLOOKUP($B236,'Egen hetvattenprod'!$B$1:$AO$500,MATCH("Värmekälla till värmepumpar ()",'Egen hetvattenprod'!$B$1:$AO$1,0),FALSE),"")</f>
        <v/>
      </c>
      <c r="AX236" s="227"/>
      <c r="AY236" s="227" t="str">
        <f t="shared" si="22"/>
        <v>Nej</v>
      </c>
      <c r="AZ236" s="228" t="str">
        <f>IF($AY236="ja",(VLOOKUP($B236,'Egen hetvattenprod'!$B$1:$BX$550,MATCH(AZ$2,'Egen hetvattenprod'!$B$1:$BX$1,0),FALSE)+VLOOKUP($B236,Kraftvärmeprod!$B$1:$BX$550,MATCH(AZ$2,Kraftvärmeprod!$B$1:$BX$1,0),FALSE))/$AC236,"")</f>
        <v/>
      </c>
      <c r="BA236" s="228" t="str">
        <f>IF($AY236="ja",(VLOOKUP($B236,'Egen hetvattenprod'!$B$1:$BX$550,MATCH(BA$2,'Egen hetvattenprod'!$B$1:$BX$1,0),FALSE)+VLOOKUP($B236,Kraftvärmeprod!$B$1:$BX$550,MATCH(BA$2,Kraftvärmeprod!$B$1:$BX$1,0),FALSE))/$AC236,"")</f>
        <v/>
      </c>
      <c r="BB236" s="228" t="str">
        <f>IF($AY236="ja",(VLOOKUP($B236,'Egen hetvattenprod'!$B$1:$BX$550,MATCH(BB$2,'Egen hetvattenprod'!$B$1:$BX$1,0),FALSE)+VLOOKUP($B236,Kraftvärmeprod!$B$1:$BX$550,MATCH(BB$2,Kraftvärmeprod!$B$1:$BX$1,0),FALSE))/$AC236,"")</f>
        <v/>
      </c>
      <c r="BC236" s="228" t="str">
        <f>IF($AY236="ja",(VLOOKUP($B236,'Egen hetvattenprod'!$B$1:$BX$550,MATCH(BC$2,'Egen hetvattenprod'!$B$1:$BX$1,0),FALSE)+VLOOKUP($B236,Kraftvärmeprod!$B$1:$BX$550,MATCH(BC$2,Kraftvärmeprod!$B$1:$BX$1,0),FALSE))/$AC236,"")</f>
        <v/>
      </c>
      <c r="BD236" s="228" t="str">
        <f>IF($AY236="ja",(VLOOKUP($B236,'Egen hetvattenprod'!$B$1:$BX$550,MATCH(BD$2,'Egen hetvattenprod'!$B$1:$BX$1,0),FALSE)+VLOOKUP($B236,Kraftvärmeprod!$B$1:$BX$550,MATCH(BD$2,Kraftvärmeprod!$B$1:$BX$1,0),FALSE))/$AC236,"")</f>
        <v/>
      </c>
      <c r="BE236" s="227"/>
      <c r="BF236" s="227" t="str">
        <f t="shared" si="23"/>
        <v>Nej</v>
      </c>
      <c r="BG236" s="227" t="str">
        <f>IF($BF236="ja",VLOOKUP($B236,'Egen hetvattenprod'!$B$1:$BX$550,MATCH("Andelen klimatgaser med fossilt ursprung för avfall ()",'Egen hetvattenprod'!$B$1:$BX$1,0),FALSE),"")</f>
        <v/>
      </c>
      <c r="BH236" s="227" t="str">
        <f>IF($BF236="ja",VLOOKUP($B236,Kraftvärmeprod!$B$1:$BX$550,MATCH("Andelen klimatgaser med fossilt ursprung för avfall ()",Kraftvärmeprod!$B$1:$BX$1,0),FALSE),"")</f>
        <v/>
      </c>
      <c r="BI236" s="227" t="str">
        <f>IF($BF236="ja",VLOOKUP($B236,'Egen hetvattenprod'!$B$1:$BX$550,MATCH("Avfall (GWh)",'Egen hetvattenprod'!$B$1:$BX$1,0),FALSE),"")</f>
        <v/>
      </c>
      <c r="BJ236" s="227" t="str">
        <f>IF($BF236="ja",VLOOKUP($B236,'Slutlig allokering kvv'!$B$1:$BX$550,MATCH("Avfall (GWh)",'Slutlig allokering kvv'!$B$1:$BX$1,0),FALSE),"")</f>
        <v/>
      </c>
      <c r="BK236" s="227" t="str">
        <f>IF($BF236="ja",VLOOKUP($B236,'Köpt hetvatten'!$B$1:$BX$550,MATCH("Avfall i köpt hetvatten",'Köpt hetvatten'!$B$1:$BX$1,0),FALSE),"")</f>
        <v/>
      </c>
      <c r="BL236" s="227" t="str">
        <f>IF($BF236="ja",VLOOKUP($B236,'Egen hetvattenprod'!$B$1:$BX$550,MATCH("Värde enligt ovan. (%)",'Egen hetvattenprod'!$B$1:$BX$1,0),FALSE),"")</f>
        <v/>
      </c>
      <c r="BM236" s="227" t="str">
        <f>IF($BF236="ja",VLOOKUP($B236,Kraftvärmeprod!$B$1:$BX$550,MATCH("Värde enligt ovan. (%)",Kraftvärmeprod!$B$1:$BX$1,0),FALSE),"")</f>
        <v/>
      </c>
      <c r="BN236" s="227"/>
      <c r="BO236" s="227"/>
      <c r="BP236" s="227"/>
      <c r="BQ236" s="227" t="str">
        <f>IF($BF236="ja",VLOOKUP($B236,'Egen hetvattenprod'!$B$1:$BX$550,MATCH("Tillförd olja (fossil) vid avfallsförbränning (GWh)",'Egen hetvattenprod'!$B$1:$BX$1,0),FALSE),"")</f>
        <v/>
      </c>
      <c r="BR236" s="227" t="str">
        <f>IF($BF236="ja",VLOOKUP($B236,Kraftvärmeprod!$B$1:$BX$550,MATCH("Tillförd olja (fossil) vid avfallsförbränning (GWh)",Kraftvärmeprod!$B$1:$BX$1,0),FALSE),"")</f>
        <v/>
      </c>
      <c r="BS236" s="227"/>
      <c r="BT236" s="227"/>
      <c r="BU236" s="227"/>
    </row>
    <row r="237" spans="1:73" x14ac:dyDescent="0.25">
      <c r="A237" s="121" t="str">
        <f>'Miljövärden för publ företag'!B240</f>
        <v>Skövde Energi AB</v>
      </c>
      <c r="B237" s="121" t="str">
        <f>'Miljövärden för publ företag'!C240</f>
        <v>Tidan</v>
      </c>
      <c r="C237" s="173">
        <f>IFERROR(VLOOKUP($B237,Totalt!$B$1:$AQ$554,MATCH(C$2,Totalt!$B$1:$AQ$1,0),FALSE),"")</f>
        <v>0</v>
      </c>
      <c r="D237" s="173">
        <f>IFERROR(VLOOKUP($B237,Totalt!$B$1:$AQ$554,MATCH(D$2,Totalt!$B$1:$AQ$1,0),FALSE),"")</f>
        <v>4.5999999999999999E-2</v>
      </c>
      <c r="E237" s="173">
        <f>IFERROR(VLOOKUP($B237,Totalt!$B$1:$AQ$554,MATCH(E$2,Totalt!$B$1:$AQ$1,0),FALSE),"")</f>
        <v>0</v>
      </c>
      <c r="F237" s="173">
        <f>IFERROR(VLOOKUP($B237,Totalt!$B$1:$AQ$554,MATCH(F$2,Totalt!$B$1:$AQ$1,0),FALSE),"")</f>
        <v>0</v>
      </c>
      <c r="G237" s="173">
        <f>IFERROR(VLOOKUP($B237,Totalt!$B$1:$AQ$554,MATCH(G$2,Totalt!$B$1:$AQ$1,0),FALSE),"")</f>
        <v>0</v>
      </c>
      <c r="H237" s="173">
        <f>IFERROR(VLOOKUP($B237,Totalt!$B$1:$AQ$554,MATCH(H$2,Totalt!$B$1:$AQ$1,0),FALSE),"")</f>
        <v>0</v>
      </c>
      <c r="I237" s="173">
        <f>IFERROR(VLOOKUP($B237,Totalt!$B$1:$AQ$554,MATCH(I$2,Totalt!$B$1:$AQ$1,0),FALSE),"")</f>
        <v>0</v>
      </c>
      <c r="J237" s="173">
        <f>IFERROR(VLOOKUP($B237,Totalt!$B$1:$AQ$554,MATCH(J$2,Totalt!$B$1:$AQ$1,0),FALSE),"")</f>
        <v>0</v>
      </c>
      <c r="K237" s="173">
        <f>IFERROR(VLOOKUP($B237,Totalt!$B$1:$AQ$554,MATCH(K$2,Totalt!$B$1:$AQ$1,0),FALSE),"")</f>
        <v>0</v>
      </c>
      <c r="L237" s="173">
        <f>IFERROR(VLOOKUP($B237,Totalt!$B$1:$AQ$554,MATCH(L$2,Totalt!$B$1:$AQ$1,0),FALSE),"")</f>
        <v>0</v>
      </c>
      <c r="M237" s="173">
        <f>IFERROR(VLOOKUP($B237,Totalt!$B$1:$AQ$554,MATCH(M$2,Totalt!$B$1:$AQ$1,0),FALSE),"")</f>
        <v>0</v>
      </c>
      <c r="N237" s="173">
        <f>IFERROR(VLOOKUP($B237,Totalt!$B$1:$AQ$554,MATCH(N$2,Totalt!$B$1:$AQ$1,0),FALSE),"")</f>
        <v>0</v>
      </c>
      <c r="O237" s="173">
        <f>IFERROR(VLOOKUP($B237,Totalt!$B$1:$AQ$554,MATCH(O$2,Totalt!$B$1:$AQ$1,0),FALSE),"")</f>
        <v>0</v>
      </c>
      <c r="P237" s="173">
        <f>IFERROR(VLOOKUP($B237,Totalt!$B$1:$AQ$554,MATCH(P$2,Totalt!$B$1:$AQ$1,0),FALSE),"")</f>
        <v>0</v>
      </c>
      <c r="Q237" s="173">
        <f>IFERROR(VLOOKUP($B237,Totalt!$B$1:$AQ$554,MATCH(Q$2,Totalt!$B$1:$AQ$1,0),FALSE),"")</f>
        <v>0</v>
      </c>
      <c r="R237" s="173">
        <f>IFERROR(VLOOKUP($B237,Totalt!$B$1:$AQ$554,MATCH(R$2,Totalt!$B$1:$AQ$1,0),FALSE),"")</f>
        <v>2.58</v>
      </c>
      <c r="S237" s="173">
        <f>IFERROR(VLOOKUP($B237,Totalt!$B$1:$AQ$554,MATCH(S$2,Totalt!$B$1:$AQ$1,0),FALSE),"")</f>
        <v>0</v>
      </c>
      <c r="T237" s="173">
        <f>IFERROR(VLOOKUP($B237,Totalt!$B$1:$AQ$554,MATCH(T$2,Totalt!$B$1:$AQ$1,0),FALSE),"")</f>
        <v>0</v>
      </c>
      <c r="U237" s="173">
        <f>IFERROR(VLOOKUP($B237,Totalt!$B$1:$AQ$554,MATCH(U$2,Totalt!$B$1:$AQ$1,0),FALSE),"")</f>
        <v>0</v>
      </c>
      <c r="V237" s="173">
        <f>IFERROR(VLOOKUP($B237,Totalt!$B$1:$AQ$554,MATCH(V$2,Totalt!$B$1:$AQ$1,0),FALSE),"")</f>
        <v>0</v>
      </c>
      <c r="W237" s="173">
        <f>IFERROR(VLOOKUP($B237,Totalt!$B$1:$AQ$554,MATCH(W$2,Totalt!$B$1:$AQ$1,0),FALSE),"")</f>
        <v>0</v>
      </c>
      <c r="X237" s="173">
        <f>IFERROR(VLOOKUP($B237,Totalt!$B$1:$AQ$554,MATCH(X$2,Totalt!$B$1:$AQ$1,0),FALSE),"")</f>
        <v>0</v>
      </c>
      <c r="Y237" s="173">
        <f>IFERROR(VLOOKUP($B237,Totalt!$B$1:$AQ$554,MATCH(Y$2,Totalt!$B$1:$AQ$1,0),FALSE),"")</f>
        <v>0</v>
      </c>
      <c r="Z237" s="173">
        <f>IFERROR(VLOOKUP($B237,Totalt!$B$1:$AQ$554,MATCH(Z$2,Totalt!$B$1:$AQ$1,0),FALSE),"")</f>
        <v>0</v>
      </c>
      <c r="AA237" s="173">
        <f>IFERROR(VLOOKUP($B237,Totalt!$B$1:$AQ$554,MATCH(AA$2,Totalt!$B$1:$AQ$1,0),FALSE),"")</f>
        <v>0</v>
      </c>
      <c r="AB237" s="173">
        <f>IFERROR(VLOOKUP($B237,Totalt!$B$1:$AQ$554,MATCH(AB$2,Totalt!$B$1:$AQ$1,0),FALSE),"")</f>
        <v>0</v>
      </c>
      <c r="AC237" s="173">
        <f>IFERROR(VLOOKUP($B237,Totalt!$B$1:$AQ$554,MATCH(AC$2,Totalt!$B$1:$AQ$1,0),FALSE),"")</f>
        <v>0</v>
      </c>
      <c r="AD237" s="173">
        <f>IFERROR(VLOOKUP($B237,Totalt!$B$1:$AQ$554,MATCH(AD$2,Totalt!$B$1:$AQ$1,0),FALSE),"")</f>
        <v>0</v>
      </c>
      <c r="AE237" s="173">
        <f>IFERROR(VLOOKUP($B237,Totalt!$B$1:$AQ$554,MATCH(AE$2,Totalt!$B$1:$AQ$1,0),FALSE),"")</f>
        <v>0</v>
      </c>
      <c r="AF237" s="173">
        <f>IFERROR(VLOOKUP($B237,Totalt!$B$1:$AQ$554,MATCH(AF$2,Totalt!$B$1:$AQ$1,0),FALSE),"")</f>
        <v>2.4E-2</v>
      </c>
      <c r="AG237" s="173">
        <f>IFERROR(VLOOKUP($B237,Totalt!$B$1:$AQ$554,MATCH(AG$2,Totalt!$B$1:$AQ$1,0),FALSE),"")</f>
        <v>0</v>
      </c>
      <c r="AI237" s="226">
        <f t="shared" si="18"/>
        <v>2.65</v>
      </c>
      <c r="AJ237" s="226">
        <f>IF(ISERROR(1/VLOOKUP($B237,Leveranser!$B$1:$S$500,MATCH("såld värme (gwh)",Leveranser!$B$1:$S$1,0),FALSE)),"",VLOOKUP($B237,Leveranser!$B$1:$S$500,MATCH("såld värme (gwh)",Leveranser!$B$1:$S$1,0),FALSE))</f>
        <v>2.0739999999999998</v>
      </c>
      <c r="AM237" s="227" t="str">
        <f>IF(B237&lt;&gt;"",IF(VLOOKUP($B237,Totalt!$B$1:$AQ$554,MATCH("Kvalitetsgranskad:",Totalt!$B$1:$AQ$1,0),FALSE)="ja",VLOOKUP($B237,Miljö!$B$1:$AG$479,MATCH(AM$2,Miljö!$B$1:$AK$1,0),FALSE),""),"")</f>
        <v>Ja</v>
      </c>
      <c r="AN237" s="227" t="str">
        <f>IF(AM237="ja",VLOOKUP($B237,Miljö!$B$1:$J$479,MATCH("Typ av ursprungsspecificerad el   (Om inget värde anges används Nordisk residualmix, se inforuta) ()",Miljö!$B$1:$J$1,0),FALSE),IF(AM237="nej","Nordisk residualel",""))</f>
        <v>'vattenproducerad'</v>
      </c>
      <c r="AO237" s="227">
        <f>IF(AM237="","",VLOOKUP($B237,Miljö!$B$1:$J$479,MATCH("Fossilandel för ursprungspecificerad el ()",Miljö!$B$1:$J$1,0),FALSE))</f>
        <v>0</v>
      </c>
      <c r="AP237" s="227">
        <f>IF(AM237="","",IFERROR(VLOOKUP($B237,Miljö!$B$1:$J$479,MATCH("Kärnkraftsandel för ursprungsspecificerad el ()",Miljö!$B$1:$J$1,0),FALSE)/1,0))</f>
        <v>0</v>
      </c>
      <c r="AQ237" s="227">
        <f t="shared" si="19"/>
        <v>1</v>
      </c>
      <c r="AR237" s="227"/>
      <c r="AS237" s="227" t="str">
        <f t="shared" si="20"/>
        <v>Nej</v>
      </c>
      <c r="AT237" s="227" t="str">
        <f>IF(AS237="ja",VLOOKUP($B237,Miljö!$B$1:$O$500,MATCH("Fossil andel i procent (%)",Miljö!$B$1:$O$1,0),FALSE)/100,"")</f>
        <v/>
      </c>
      <c r="AU237" s="227"/>
      <c r="AV237" s="227" t="str">
        <f t="shared" si="21"/>
        <v>Nej</v>
      </c>
      <c r="AW237" s="227" t="str">
        <f>IF(AV237="ja",VLOOKUP($B237,'Egen hetvattenprod'!$B$1:$AO$500,MATCH("Värmekälla till värmepumpar ()",'Egen hetvattenprod'!$B$1:$AO$1,0),FALSE),"")</f>
        <v/>
      </c>
      <c r="AX237" s="227"/>
      <c r="AY237" s="227" t="str">
        <f t="shared" si="22"/>
        <v>Nej</v>
      </c>
      <c r="AZ237" s="228" t="str">
        <f>IF($AY237="ja",(VLOOKUP($B237,'Egen hetvattenprod'!$B$1:$BX$550,MATCH(AZ$2,'Egen hetvattenprod'!$B$1:$BX$1,0),FALSE)+VLOOKUP($B237,Kraftvärmeprod!$B$1:$BX$550,MATCH(AZ$2,Kraftvärmeprod!$B$1:$BX$1,0),FALSE))/$AC237,"")</f>
        <v/>
      </c>
      <c r="BA237" s="228" t="str">
        <f>IF($AY237="ja",(VLOOKUP($B237,'Egen hetvattenprod'!$B$1:$BX$550,MATCH(BA$2,'Egen hetvattenprod'!$B$1:$BX$1,0),FALSE)+VLOOKUP($B237,Kraftvärmeprod!$B$1:$BX$550,MATCH(BA$2,Kraftvärmeprod!$B$1:$BX$1,0),FALSE))/$AC237,"")</f>
        <v/>
      </c>
      <c r="BB237" s="228" t="str">
        <f>IF($AY237="ja",(VLOOKUP($B237,'Egen hetvattenprod'!$B$1:$BX$550,MATCH(BB$2,'Egen hetvattenprod'!$B$1:$BX$1,0),FALSE)+VLOOKUP($B237,Kraftvärmeprod!$B$1:$BX$550,MATCH(BB$2,Kraftvärmeprod!$B$1:$BX$1,0),FALSE))/$AC237,"")</f>
        <v/>
      </c>
      <c r="BC237" s="228" t="str">
        <f>IF($AY237="ja",(VLOOKUP($B237,'Egen hetvattenprod'!$B$1:$BX$550,MATCH(BC$2,'Egen hetvattenprod'!$B$1:$BX$1,0),FALSE)+VLOOKUP($B237,Kraftvärmeprod!$B$1:$BX$550,MATCH(BC$2,Kraftvärmeprod!$B$1:$BX$1,0),FALSE))/$AC237,"")</f>
        <v/>
      </c>
      <c r="BD237" s="228" t="str">
        <f>IF($AY237="ja",(VLOOKUP($B237,'Egen hetvattenprod'!$B$1:$BX$550,MATCH(BD$2,'Egen hetvattenprod'!$B$1:$BX$1,0),FALSE)+VLOOKUP($B237,Kraftvärmeprod!$B$1:$BX$550,MATCH(BD$2,Kraftvärmeprod!$B$1:$BX$1,0),FALSE))/$AC237,"")</f>
        <v/>
      </c>
      <c r="BE237" s="227"/>
      <c r="BF237" s="227" t="str">
        <f t="shared" si="23"/>
        <v>Nej</v>
      </c>
      <c r="BG237" s="227" t="str">
        <f>IF($BF237="ja",VLOOKUP($B237,'Egen hetvattenprod'!$B$1:$BX$550,MATCH("Andelen klimatgaser med fossilt ursprung för avfall ()",'Egen hetvattenprod'!$B$1:$BX$1,0),FALSE),"")</f>
        <v/>
      </c>
      <c r="BH237" s="227" t="str">
        <f>IF($BF237="ja",VLOOKUP($B237,Kraftvärmeprod!$B$1:$BX$550,MATCH("Andelen klimatgaser med fossilt ursprung för avfall ()",Kraftvärmeprod!$B$1:$BX$1,0),FALSE),"")</f>
        <v/>
      </c>
      <c r="BI237" s="227" t="str">
        <f>IF($BF237="ja",VLOOKUP($B237,'Egen hetvattenprod'!$B$1:$BX$550,MATCH("Avfall (GWh)",'Egen hetvattenprod'!$B$1:$BX$1,0),FALSE),"")</f>
        <v/>
      </c>
      <c r="BJ237" s="227" t="str">
        <f>IF($BF237="ja",VLOOKUP($B237,'Slutlig allokering kvv'!$B$1:$BX$550,MATCH("Avfall (GWh)",'Slutlig allokering kvv'!$B$1:$BX$1,0),FALSE),"")</f>
        <v/>
      </c>
      <c r="BK237" s="227" t="str">
        <f>IF($BF237="ja",VLOOKUP($B237,'Köpt hetvatten'!$B$1:$BX$550,MATCH("Avfall i köpt hetvatten",'Köpt hetvatten'!$B$1:$BX$1,0),FALSE),"")</f>
        <v/>
      </c>
      <c r="BL237" s="227" t="str">
        <f>IF($BF237="ja",VLOOKUP($B237,'Egen hetvattenprod'!$B$1:$BX$550,MATCH("Värde enligt ovan. (%)",'Egen hetvattenprod'!$B$1:$BX$1,0),FALSE),"")</f>
        <v/>
      </c>
      <c r="BM237" s="227" t="str">
        <f>IF($BF237="ja",VLOOKUP($B237,Kraftvärmeprod!$B$1:$BX$550,MATCH("Värde enligt ovan. (%)",Kraftvärmeprod!$B$1:$BX$1,0),FALSE),"")</f>
        <v/>
      </c>
      <c r="BN237" s="227"/>
      <c r="BO237" s="227"/>
      <c r="BP237" s="227"/>
      <c r="BQ237" s="227" t="str">
        <f>IF($BF237="ja",VLOOKUP($B237,'Egen hetvattenprod'!$B$1:$BX$550,MATCH("Tillförd olja (fossil) vid avfallsförbränning (GWh)",'Egen hetvattenprod'!$B$1:$BX$1,0),FALSE),"")</f>
        <v/>
      </c>
      <c r="BR237" s="227" t="str">
        <f>IF($BF237="ja",VLOOKUP($B237,Kraftvärmeprod!$B$1:$BX$550,MATCH("Tillförd olja (fossil) vid avfallsförbränning (GWh)",Kraftvärmeprod!$B$1:$BX$1,0),FALSE),"")</f>
        <v/>
      </c>
      <c r="BS237" s="227"/>
      <c r="BT237" s="227"/>
      <c r="BU237" s="227"/>
    </row>
    <row r="238" spans="1:73" x14ac:dyDescent="0.25">
      <c r="A238" s="121" t="str">
        <f>'Miljövärden för publ företag'!B241</f>
        <v>Skövde Energi AB</v>
      </c>
      <c r="B238" s="121" t="str">
        <f>'Miljövärden för publ företag'!C241</f>
        <v>Timmersdala</v>
      </c>
      <c r="C238" s="173">
        <f>IFERROR(VLOOKUP($B238,Totalt!$B$1:$AQ$554,MATCH(C$2,Totalt!$B$1:$AQ$1,0),FALSE),"")</f>
        <v>0</v>
      </c>
      <c r="D238" s="173">
        <f>IFERROR(VLOOKUP($B238,Totalt!$B$1:$AQ$554,MATCH(D$2,Totalt!$B$1:$AQ$1,0),FALSE),"")</f>
        <v>5.2999999999999999E-2</v>
      </c>
      <c r="E238" s="173">
        <f>IFERROR(VLOOKUP($B238,Totalt!$B$1:$AQ$554,MATCH(E$2,Totalt!$B$1:$AQ$1,0),FALSE),"")</f>
        <v>0</v>
      </c>
      <c r="F238" s="173">
        <f>IFERROR(VLOOKUP($B238,Totalt!$B$1:$AQ$554,MATCH(F$2,Totalt!$B$1:$AQ$1,0),FALSE),"")</f>
        <v>0</v>
      </c>
      <c r="G238" s="173">
        <f>IFERROR(VLOOKUP($B238,Totalt!$B$1:$AQ$554,MATCH(G$2,Totalt!$B$1:$AQ$1,0),FALSE),"")</f>
        <v>0</v>
      </c>
      <c r="H238" s="173">
        <f>IFERROR(VLOOKUP($B238,Totalt!$B$1:$AQ$554,MATCH(H$2,Totalt!$B$1:$AQ$1,0),FALSE),"")</f>
        <v>0</v>
      </c>
      <c r="I238" s="173">
        <f>IFERROR(VLOOKUP($B238,Totalt!$B$1:$AQ$554,MATCH(I$2,Totalt!$B$1:$AQ$1,0),FALSE),"")</f>
        <v>0</v>
      </c>
      <c r="J238" s="173">
        <f>IFERROR(VLOOKUP($B238,Totalt!$B$1:$AQ$554,MATCH(J$2,Totalt!$B$1:$AQ$1,0),FALSE),"")</f>
        <v>0</v>
      </c>
      <c r="K238" s="173">
        <f>IFERROR(VLOOKUP($B238,Totalt!$B$1:$AQ$554,MATCH(K$2,Totalt!$B$1:$AQ$1,0),FALSE),"")</f>
        <v>0</v>
      </c>
      <c r="L238" s="173">
        <f>IFERROR(VLOOKUP($B238,Totalt!$B$1:$AQ$554,MATCH(L$2,Totalt!$B$1:$AQ$1,0),FALSE),"")</f>
        <v>0</v>
      </c>
      <c r="M238" s="173">
        <f>IFERROR(VLOOKUP($B238,Totalt!$B$1:$AQ$554,MATCH(M$2,Totalt!$B$1:$AQ$1,0),FALSE),"")</f>
        <v>0</v>
      </c>
      <c r="N238" s="173">
        <f>IFERROR(VLOOKUP($B238,Totalt!$B$1:$AQ$554,MATCH(N$2,Totalt!$B$1:$AQ$1,0),FALSE),"")</f>
        <v>0</v>
      </c>
      <c r="O238" s="173">
        <f>IFERROR(VLOOKUP($B238,Totalt!$B$1:$AQ$554,MATCH(O$2,Totalt!$B$1:$AQ$1,0),FALSE),"")</f>
        <v>0</v>
      </c>
      <c r="P238" s="173">
        <f>IFERROR(VLOOKUP($B238,Totalt!$B$1:$AQ$554,MATCH(P$2,Totalt!$B$1:$AQ$1,0),FALSE),"")</f>
        <v>0</v>
      </c>
      <c r="Q238" s="173">
        <f>IFERROR(VLOOKUP($B238,Totalt!$B$1:$AQ$554,MATCH(Q$2,Totalt!$B$1:$AQ$1,0),FALSE),"")</f>
        <v>0</v>
      </c>
      <c r="R238" s="173">
        <f>IFERROR(VLOOKUP($B238,Totalt!$B$1:$AQ$554,MATCH(R$2,Totalt!$B$1:$AQ$1,0),FALSE),"")</f>
        <v>3.9510000000000001</v>
      </c>
      <c r="S238" s="173">
        <f>IFERROR(VLOOKUP($B238,Totalt!$B$1:$AQ$554,MATCH(S$2,Totalt!$B$1:$AQ$1,0),FALSE),"")</f>
        <v>0</v>
      </c>
      <c r="T238" s="173">
        <f>IFERROR(VLOOKUP($B238,Totalt!$B$1:$AQ$554,MATCH(T$2,Totalt!$B$1:$AQ$1,0),FALSE),"")</f>
        <v>0</v>
      </c>
      <c r="U238" s="173">
        <f>IFERROR(VLOOKUP($B238,Totalt!$B$1:$AQ$554,MATCH(U$2,Totalt!$B$1:$AQ$1,0),FALSE),"")</f>
        <v>0</v>
      </c>
      <c r="V238" s="173">
        <f>IFERROR(VLOOKUP($B238,Totalt!$B$1:$AQ$554,MATCH(V$2,Totalt!$B$1:$AQ$1,0),FALSE),"")</f>
        <v>0</v>
      </c>
      <c r="W238" s="173">
        <f>IFERROR(VLOOKUP($B238,Totalt!$B$1:$AQ$554,MATCH(W$2,Totalt!$B$1:$AQ$1,0),FALSE),"")</f>
        <v>0</v>
      </c>
      <c r="X238" s="173">
        <f>IFERROR(VLOOKUP($B238,Totalt!$B$1:$AQ$554,MATCH(X$2,Totalt!$B$1:$AQ$1,0),FALSE),"")</f>
        <v>0</v>
      </c>
      <c r="Y238" s="173">
        <f>IFERROR(VLOOKUP($B238,Totalt!$B$1:$AQ$554,MATCH(Y$2,Totalt!$B$1:$AQ$1,0),FALSE),"")</f>
        <v>0</v>
      </c>
      <c r="Z238" s="173">
        <f>IFERROR(VLOOKUP($B238,Totalt!$B$1:$AQ$554,MATCH(Z$2,Totalt!$B$1:$AQ$1,0),FALSE),"")</f>
        <v>0</v>
      </c>
      <c r="AA238" s="173">
        <f>IFERROR(VLOOKUP($B238,Totalt!$B$1:$AQ$554,MATCH(AA$2,Totalt!$B$1:$AQ$1,0),FALSE),"")</f>
        <v>0</v>
      </c>
      <c r="AB238" s="173">
        <f>IFERROR(VLOOKUP($B238,Totalt!$B$1:$AQ$554,MATCH(AB$2,Totalt!$B$1:$AQ$1,0),FALSE),"")</f>
        <v>0</v>
      </c>
      <c r="AC238" s="173">
        <f>IFERROR(VLOOKUP($B238,Totalt!$B$1:$AQ$554,MATCH(AC$2,Totalt!$B$1:$AQ$1,0),FALSE),"")</f>
        <v>0</v>
      </c>
      <c r="AD238" s="173">
        <f>IFERROR(VLOOKUP($B238,Totalt!$B$1:$AQ$554,MATCH(AD$2,Totalt!$B$1:$AQ$1,0),FALSE),"")</f>
        <v>0</v>
      </c>
      <c r="AE238" s="173">
        <f>IFERROR(VLOOKUP($B238,Totalt!$B$1:$AQ$554,MATCH(AE$2,Totalt!$B$1:$AQ$1,0),FALSE),"")</f>
        <v>0</v>
      </c>
      <c r="AF238" s="173">
        <f>IFERROR(VLOOKUP($B238,Totalt!$B$1:$AQ$554,MATCH(AF$2,Totalt!$B$1:$AQ$1,0),FALSE),"")</f>
        <v>5.1999999999999998E-2</v>
      </c>
      <c r="AG238" s="173">
        <f>IFERROR(VLOOKUP($B238,Totalt!$B$1:$AQ$554,MATCH(AG$2,Totalt!$B$1:$AQ$1,0),FALSE),"")</f>
        <v>0</v>
      </c>
      <c r="AI238" s="226">
        <f t="shared" si="18"/>
        <v>4.056</v>
      </c>
      <c r="AJ238" s="226">
        <f>IF(ISERROR(1/VLOOKUP($B238,Leveranser!$B$1:$S$500,MATCH("såld värme (gwh)",Leveranser!$B$1:$S$1,0),FALSE)),"",VLOOKUP($B238,Leveranser!$B$1:$S$500,MATCH("såld värme (gwh)",Leveranser!$B$1:$S$1,0),FALSE))</f>
        <v>3.2269999999999999</v>
      </c>
      <c r="AM238" s="227" t="str">
        <f>IF(B238&lt;&gt;"",IF(VLOOKUP($B238,Totalt!$B$1:$AQ$554,MATCH("Kvalitetsgranskad:",Totalt!$B$1:$AQ$1,0),FALSE)="ja",VLOOKUP($B238,Miljö!$B$1:$AG$479,MATCH(AM$2,Miljö!$B$1:$AK$1,0),FALSE),""),"")</f>
        <v>Ja</v>
      </c>
      <c r="AN238" s="227" t="str">
        <f>IF(AM238="ja",VLOOKUP($B238,Miljö!$B$1:$J$479,MATCH("Typ av ursprungsspecificerad el   (Om inget värde anges används Nordisk residualmix, se inforuta) ()",Miljö!$B$1:$J$1,0),FALSE),IF(AM238="nej","Nordisk residualel",""))</f>
        <v>'vattenproducerad'</v>
      </c>
      <c r="AO238" s="227">
        <f>IF(AM238="","",VLOOKUP($B238,Miljö!$B$1:$J$479,MATCH("Fossilandel för ursprungspecificerad el ()",Miljö!$B$1:$J$1,0),FALSE))</f>
        <v>0</v>
      </c>
      <c r="AP238" s="227">
        <f>IF(AM238="","",IFERROR(VLOOKUP($B238,Miljö!$B$1:$J$479,MATCH("Kärnkraftsandel för ursprungsspecificerad el ()",Miljö!$B$1:$J$1,0),FALSE)/1,0))</f>
        <v>0</v>
      </c>
      <c r="AQ238" s="227">
        <f t="shared" si="19"/>
        <v>1</v>
      </c>
      <c r="AR238" s="227"/>
      <c r="AS238" s="227" t="str">
        <f t="shared" si="20"/>
        <v>Nej</v>
      </c>
      <c r="AT238" s="227" t="str">
        <f>IF(AS238="ja",VLOOKUP($B238,Miljö!$B$1:$O$500,MATCH("Fossil andel i procent (%)",Miljö!$B$1:$O$1,0),FALSE)/100,"")</f>
        <v/>
      </c>
      <c r="AU238" s="227"/>
      <c r="AV238" s="227" t="str">
        <f t="shared" si="21"/>
        <v>Nej</v>
      </c>
      <c r="AW238" s="227" t="str">
        <f>IF(AV238="ja",VLOOKUP($B238,'Egen hetvattenprod'!$B$1:$AO$500,MATCH("Värmekälla till värmepumpar ()",'Egen hetvattenprod'!$B$1:$AO$1,0),FALSE),"")</f>
        <v/>
      </c>
      <c r="AX238" s="227"/>
      <c r="AY238" s="227" t="str">
        <f t="shared" si="22"/>
        <v>Nej</v>
      </c>
      <c r="AZ238" s="228" t="str">
        <f>IF($AY238="ja",(VLOOKUP($B238,'Egen hetvattenprod'!$B$1:$BX$550,MATCH(AZ$2,'Egen hetvattenprod'!$B$1:$BX$1,0),FALSE)+VLOOKUP($B238,Kraftvärmeprod!$B$1:$BX$550,MATCH(AZ$2,Kraftvärmeprod!$B$1:$BX$1,0),FALSE))/$AC238,"")</f>
        <v/>
      </c>
      <c r="BA238" s="228" t="str">
        <f>IF($AY238="ja",(VLOOKUP($B238,'Egen hetvattenprod'!$B$1:$BX$550,MATCH(BA$2,'Egen hetvattenprod'!$B$1:$BX$1,0),FALSE)+VLOOKUP($B238,Kraftvärmeprod!$B$1:$BX$550,MATCH(BA$2,Kraftvärmeprod!$B$1:$BX$1,0),FALSE))/$AC238,"")</f>
        <v/>
      </c>
      <c r="BB238" s="228" t="str">
        <f>IF($AY238="ja",(VLOOKUP($B238,'Egen hetvattenprod'!$B$1:$BX$550,MATCH(BB$2,'Egen hetvattenprod'!$B$1:$BX$1,0),FALSE)+VLOOKUP($B238,Kraftvärmeprod!$B$1:$BX$550,MATCH(BB$2,Kraftvärmeprod!$B$1:$BX$1,0),FALSE))/$AC238,"")</f>
        <v/>
      </c>
      <c r="BC238" s="228" t="str">
        <f>IF($AY238="ja",(VLOOKUP($B238,'Egen hetvattenprod'!$B$1:$BX$550,MATCH(BC$2,'Egen hetvattenprod'!$B$1:$BX$1,0),FALSE)+VLOOKUP($B238,Kraftvärmeprod!$B$1:$BX$550,MATCH(BC$2,Kraftvärmeprod!$B$1:$BX$1,0),FALSE))/$AC238,"")</f>
        <v/>
      </c>
      <c r="BD238" s="228" t="str">
        <f>IF($AY238="ja",(VLOOKUP($B238,'Egen hetvattenprod'!$B$1:$BX$550,MATCH(BD$2,'Egen hetvattenprod'!$B$1:$BX$1,0),FALSE)+VLOOKUP($B238,Kraftvärmeprod!$B$1:$BX$550,MATCH(BD$2,Kraftvärmeprod!$B$1:$BX$1,0),FALSE))/$AC238,"")</f>
        <v/>
      </c>
      <c r="BE238" s="227"/>
      <c r="BF238" s="227" t="str">
        <f t="shared" si="23"/>
        <v>Nej</v>
      </c>
      <c r="BG238" s="227" t="str">
        <f>IF($BF238="ja",VLOOKUP($B238,'Egen hetvattenprod'!$B$1:$BX$550,MATCH("Andelen klimatgaser med fossilt ursprung för avfall ()",'Egen hetvattenprod'!$B$1:$BX$1,0),FALSE),"")</f>
        <v/>
      </c>
      <c r="BH238" s="227" t="str">
        <f>IF($BF238="ja",VLOOKUP($B238,Kraftvärmeprod!$B$1:$BX$550,MATCH("Andelen klimatgaser med fossilt ursprung för avfall ()",Kraftvärmeprod!$B$1:$BX$1,0),FALSE),"")</f>
        <v/>
      </c>
      <c r="BI238" s="227" t="str">
        <f>IF($BF238="ja",VLOOKUP($B238,'Egen hetvattenprod'!$B$1:$BX$550,MATCH("Avfall (GWh)",'Egen hetvattenprod'!$B$1:$BX$1,0),FALSE),"")</f>
        <v/>
      </c>
      <c r="BJ238" s="227" t="str">
        <f>IF($BF238="ja",VLOOKUP($B238,'Slutlig allokering kvv'!$B$1:$BX$550,MATCH("Avfall (GWh)",'Slutlig allokering kvv'!$B$1:$BX$1,0),FALSE),"")</f>
        <v/>
      </c>
      <c r="BK238" s="227" t="str">
        <f>IF($BF238="ja",VLOOKUP($B238,'Köpt hetvatten'!$B$1:$BX$550,MATCH("Avfall i köpt hetvatten",'Köpt hetvatten'!$B$1:$BX$1,0),FALSE),"")</f>
        <v/>
      </c>
      <c r="BL238" s="227" t="str">
        <f>IF($BF238="ja",VLOOKUP($B238,'Egen hetvattenprod'!$B$1:$BX$550,MATCH("Värde enligt ovan. (%)",'Egen hetvattenprod'!$B$1:$BX$1,0),FALSE),"")</f>
        <v/>
      </c>
      <c r="BM238" s="227" t="str">
        <f>IF($BF238="ja",VLOOKUP($B238,Kraftvärmeprod!$B$1:$BX$550,MATCH("Värde enligt ovan. (%)",Kraftvärmeprod!$B$1:$BX$1,0),FALSE),"")</f>
        <v/>
      </c>
      <c r="BN238" s="227"/>
      <c r="BO238" s="227"/>
      <c r="BP238" s="227"/>
      <c r="BQ238" s="227" t="str">
        <f>IF($BF238="ja",VLOOKUP($B238,'Egen hetvattenprod'!$B$1:$BX$550,MATCH("Tillförd olja (fossil) vid avfallsförbränning (GWh)",'Egen hetvattenprod'!$B$1:$BX$1,0),FALSE),"")</f>
        <v/>
      </c>
      <c r="BR238" s="227" t="str">
        <f>IF($BF238="ja",VLOOKUP($B238,Kraftvärmeprod!$B$1:$BX$550,MATCH("Tillförd olja (fossil) vid avfallsförbränning (GWh)",Kraftvärmeprod!$B$1:$BX$1,0),FALSE),"")</f>
        <v/>
      </c>
      <c r="BS238" s="227"/>
      <c r="BT238" s="227"/>
      <c r="BU238" s="227"/>
    </row>
    <row r="239" spans="1:73" x14ac:dyDescent="0.25">
      <c r="A239" s="121" t="str">
        <f>'Miljövärden för publ företag'!B242</f>
        <v>Smedjebacken Energi AB</v>
      </c>
      <c r="B239" s="121" t="str">
        <f>'Miljövärden för publ företag'!C242</f>
        <v>Smedjebacken</v>
      </c>
      <c r="C239" s="173">
        <f>IFERROR(VLOOKUP($B239,Totalt!$B$1:$AQ$554,MATCH(C$2,Totalt!$B$1:$AQ$1,0),FALSE),"")</f>
        <v>0</v>
      </c>
      <c r="D239" s="173">
        <f>IFERROR(VLOOKUP($B239,Totalt!$B$1:$AQ$554,MATCH(D$2,Totalt!$B$1:$AQ$1,0),FALSE),"")</f>
        <v>0.40799999999999997</v>
      </c>
      <c r="E239" s="173">
        <f>IFERROR(VLOOKUP($B239,Totalt!$B$1:$AQ$554,MATCH(E$2,Totalt!$B$1:$AQ$1,0),FALSE),"")</f>
        <v>0</v>
      </c>
      <c r="F239" s="173">
        <f>IFERROR(VLOOKUP($B239,Totalt!$B$1:$AQ$554,MATCH(F$2,Totalt!$B$1:$AQ$1,0),FALSE),"")</f>
        <v>0</v>
      </c>
      <c r="G239" s="173">
        <f>IFERROR(VLOOKUP($B239,Totalt!$B$1:$AQ$554,MATCH(G$2,Totalt!$B$1:$AQ$1,0),FALSE),"")</f>
        <v>0</v>
      </c>
      <c r="H239" s="173">
        <f>IFERROR(VLOOKUP($B239,Totalt!$B$1:$AQ$554,MATCH(H$2,Totalt!$B$1:$AQ$1,0),FALSE),"")</f>
        <v>0</v>
      </c>
      <c r="I239" s="173">
        <f>IFERROR(VLOOKUP($B239,Totalt!$B$1:$AQ$554,MATCH(I$2,Totalt!$B$1:$AQ$1,0),FALSE),"")</f>
        <v>0</v>
      </c>
      <c r="J239" s="173">
        <f>IFERROR(VLOOKUP($B239,Totalt!$B$1:$AQ$554,MATCH(J$2,Totalt!$B$1:$AQ$1,0),FALSE),"")</f>
        <v>0</v>
      </c>
      <c r="K239" s="173">
        <f>IFERROR(VLOOKUP($B239,Totalt!$B$1:$AQ$554,MATCH(K$2,Totalt!$B$1:$AQ$1,0),FALSE),"")</f>
        <v>0</v>
      </c>
      <c r="L239" s="173">
        <f>IFERROR(VLOOKUP($B239,Totalt!$B$1:$AQ$554,MATCH(L$2,Totalt!$B$1:$AQ$1,0),FALSE),"")</f>
        <v>0</v>
      </c>
      <c r="M239" s="173">
        <f>IFERROR(VLOOKUP($B239,Totalt!$B$1:$AQ$554,MATCH(M$2,Totalt!$B$1:$AQ$1,0),FALSE),"")</f>
        <v>0</v>
      </c>
      <c r="N239" s="173">
        <f>IFERROR(VLOOKUP($B239,Totalt!$B$1:$AQ$554,MATCH(N$2,Totalt!$B$1:$AQ$1,0),FALSE),"")</f>
        <v>0</v>
      </c>
      <c r="O239" s="173">
        <f>IFERROR(VLOOKUP($B239,Totalt!$B$1:$AQ$554,MATCH(O$2,Totalt!$B$1:$AQ$1,0),FALSE),"")</f>
        <v>0</v>
      </c>
      <c r="P239" s="173">
        <f>IFERROR(VLOOKUP($B239,Totalt!$B$1:$AQ$554,MATCH(P$2,Totalt!$B$1:$AQ$1,0),FALSE),"")</f>
        <v>0</v>
      </c>
      <c r="Q239" s="173">
        <f>IFERROR(VLOOKUP($B239,Totalt!$B$1:$AQ$554,MATCH(Q$2,Totalt!$B$1:$AQ$1,0),FALSE),"")</f>
        <v>0</v>
      </c>
      <c r="R239" s="173">
        <f>IFERROR(VLOOKUP($B239,Totalt!$B$1:$AQ$554,MATCH(R$2,Totalt!$B$1:$AQ$1,0),FALSE),"")</f>
        <v>19.085999999999999</v>
      </c>
      <c r="S239" s="173">
        <f>IFERROR(VLOOKUP($B239,Totalt!$B$1:$AQ$554,MATCH(S$2,Totalt!$B$1:$AQ$1,0),FALSE),"")</f>
        <v>0</v>
      </c>
      <c r="T239" s="173">
        <f>IFERROR(VLOOKUP($B239,Totalt!$B$1:$AQ$554,MATCH(T$2,Totalt!$B$1:$AQ$1,0),FALSE),"")</f>
        <v>0</v>
      </c>
      <c r="U239" s="173">
        <f>IFERROR(VLOOKUP($B239,Totalt!$B$1:$AQ$554,MATCH(U$2,Totalt!$B$1:$AQ$1,0),FALSE),"")</f>
        <v>0</v>
      </c>
      <c r="V239" s="173">
        <f>IFERROR(VLOOKUP($B239,Totalt!$B$1:$AQ$554,MATCH(V$2,Totalt!$B$1:$AQ$1,0),FALSE),"")</f>
        <v>0</v>
      </c>
      <c r="W239" s="173">
        <f>IFERROR(VLOOKUP($B239,Totalt!$B$1:$AQ$554,MATCH(W$2,Totalt!$B$1:$AQ$1,0),FALSE),"")</f>
        <v>0</v>
      </c>
      <c r="X239" s="173">
        <f>IFERROR(VLOOKUP($B239,Totalt!$B$1:$AQ$554,MATCH(X$2,Totalt!$B$1:$AQ$1,0),FALSE),"")</f>
        <v>0</v>
      </c>
      <c r="Y239" s="173">
        <f>IFERROR(VLOOKUP($B239,Totalt!$B$1:$AQ$554,MATCH(Y$2,Totalt!$B$1:$AQ$1,0),FALSE),"")</f>
        <v>0</v>
      </c>
      <c r="Z239" s="173">
        <f>IFERROR(VLOOKUP($B239,Totalt!$B$1:$AQ$554,MATCH(Z$2,Totalt!$B$1:$AQ$1,0),FALSE),"")</f>
        <v>2.1120000000000001</v>
      </c>
      <c r="AA239" s="173">
        <f>IFERROR(VLOOKUP($B239,Totalt!$B$1:$AQ$554,MATCH(AA$2,Totalt!$B$1:$AQ$1,0),FALSE),"")</f>
        <v>0</v>
      </c>
      <c r="AB239" s="173">
        <f>IFERROR(VLOOKUP($B239,Totalt!$B$1:$AQ$554,MATCH(AB$2,Totalt!$B$1:$AQ$1,0),FALSE),"")</f>
        <v>0</v>
      </c>
      <c r="AC239" s="173">
        <f>IFERROR(VLOOKUP($B239,Totalt!$B$1:$AQ$554,MATCH(AC$2,Totalt!$B$1:$AQ$1,0),FALSE),"")</f>
        <v>0</v>
      </c>
      <c r="AD239" s="173">
        <f>IFERROR(VLOOKUP($B239,Totalt!$B$1:$AQ$554,MATCH(AD$2,Totalt!$B$1:$AQ$1,0),FALSE),"")</f>
        <v>26.698</v>
      </c>
      <c r="AE239" s="173">
        <f>IFERROR(VLOOKUP($B239,Totalt!$B$1:$AQ$554,MATCH(AE$2,Totalt!$B$1:$AQ$1,0),FALSE),"")</f>
        <v>0</v>
      </c>
      <c r="AF239" s="173">
        <f>IFERROR(VLOOKUP($B239,Totalt!$B$1:$AQ$554,MATCH(AF$2,Totalt!$B$1:$AQ$1,0),FALSE),"")</f>
        <v>0.9</v>
      </c>
      <c r="AG239" s="173">
        <f>IFERROR(VLOOKUP($B239,Totalt!$B$1:$AQ$554,MATCH(AG$2,Totalt!$B$1:$AQ$1,0),FALSE),"")</f>
        <v>0</v>
      </c>
      <c r="AI239" s="226">
        <f t="shared" si="18"/>
        <v>49.204000000000001</v>
      </c>
      <c r="AJ239" s="226">
        <f>IF(ISERROR(1/VLOOKUP($B239,Leveranser!$B$1:$S$500,MATCH("såld värme (gwh)",Leveranser!$B$1:$S$1,0),FALSE)),"",VLOOKUP($B239,Leveranser!$B$1:$S$500,MATCH("såld värme (gwh)",Leveranser!$B$1:$S$1,0),FALSE))</f>
        <v>43.204000000000001</v>
      </c>
      <c r="AM239" s="227" t="str">
        <f>IF(B239&lt;&gt;"",IF(VLOOKUP($B239,Totalt!$B$1:$AQ$554,MATCH("Kvalitetsgranskad:",Totalt!$B$1:$AQ$1,0),FALSE)="ja",VLOOKUP($B239,Miljö!$B$1:$AG$479,MATCH(AM$2,Miljö!$B$1:$AK$1,0),FALSE),""),"")</f>
        <v>Ja</v>
      </c>
      <c r="AN239" s="227" t="str">
        <f>IF(AM239="ja",VLOOKUP($B239,Miljö!$B$1:$J$479,MATCH("Typ av ursprungsspecificerad el   (Om inget värde anges används Nordisk residualmix, se inforuta) ()",Miljö!$B$1:$J$1,0),FALSE),IF(AM239="nej","Nordisk residualel",""))</f>
        <v>-</v>
      </c>
      <c r="AO239" s="227">
        <f>IF(AM239="","",VLOOKUP($B239,Miljö!$B$1:$J$479,MATCH("Fossilandel för ursprungspecificerad el ()",Miljö!$B$1:$J$1,0),FALSE))</f>
        <v>0.43</v>
      </c>
      <c r="AP239" s="227">
        <f>IF(AM239="","",IFERROR(VLOOKUP($B239,Miljö!$B$1:$J$479,MATCH("Kärnkraftsandel för ursprungsspecificerad el ()",Miljö!$B$1:$J$1,0),FALSE)/1,0))</f>
        <v>0.40550000000000003</v>
      </c>
      <c r="AQ239" s="227">
        <f t="shared" si="19"/>
        <v>0.16450000000000004</v>
      </c>
      <c r="AR239" s="227"/>
      <c r="AS239" s="227" t="str">
        <f t="shared" si="20"/>
        <v>Nej</v>
      </c>
      <c r="AT239" s="227" t="str">
        <f>IF(AS239="ja",VLOOKUP($B239,Miljö!$B$1:$O$500,MATCH("Fossil andel i procent (%)",Miljö!$B$1:$O$1,0),FALSE)/100,"")</f>
        <v/>
      </c>
      <c r="AU239" s="227"/>
      <c r="AV239" s="227" t="str">
        <f t="shared" si="21"/>
        <v>Nej</v>
      </c>
      <c r="AW239" s="227" t="str">
        <f>IF(AV239="ja",VLOOKUP($B239,'Egen hetvattenprod'!$B$1:$AO$500,MATCH("Värmekälla till värmepumpar ()",'Egen hetvattenprod'!$B$1:$AO$1,0),FALSE),"")</f>
        <v/>
      </c>
      <c r="AX239" s="227"/>
      <c r="AY239" s="227" t="str">
        <f t="shared" si="22"/>
        <v>Nej</v>
      </c>
      <c r="AZ239" s="228" t="str">
        <f>IF($AY239="ja",(VLOOKUP($B239,'Egen hetvattenprod'!$B$1:$BX$550,MATCH(AZ$2,'Egen hetvattenprod'!$B$1:$BX$1,0),FALSE)+VLOOKUP($B239,Kraftvärmeprod!$B$1:$BX$550,MATCH(AZ$2,Kraftvärmeprod!$B$1:$BX$1,0),FALSE))/$AC239,"")</f>
        <v/>
      </c>
      <c r="BA239" s="228" t="str">
        <f>IF($AY239="ja",(VLOOKUP($B239,'Egen hetvattenprod'!$B$1:$BX$550,MATCH(BA$2,'Egen hetvattenprod'!$B$1:$BX$1,0),FALSE)+VLOOKUP($B239,Kraftvärmeprod!$B$1:$BX$550,MATCH(BA$2,Kraftvärmeprod!$B$1:$BX$1,0),FALSE))/$AC239,"")</f>
        <v/>
      </c>
      <c r="BB239" s="228" t="str">
        <f>IF($AY239="ja",(VLOOKUP($B239,'Egen hetvattenprod'!$B$1:$BX$550,MATCH(BB$2,'Egen hetvattenprod'!$B$1:$BX$1,0),FALSE)+VLOOKUP($B239,Kraftvärmeprod!$B$1:$BX$550,MATCH(BB$2,Kraftvärmeprod!$B$1:$BX$1,0),FALSE))/$AC239,"")</f>
        <v/>
      </c>
      <c r="BC239" s="228" t="str">
        <f>IF($AY239="ja",(VLOOKUP($B239,'Egen hetvattenprod'!$B$1:$BX$550,MATCH(BC$2,'Egen hetvattenprod'!$B$1:$BX$1,0),FALSE)+VLOOKUP($B239,Kraftvärmeprod!$B$1:$BX$550,MATCH(BC$2,Kraftvärmeprod!$B$1:$BX$1,0),FALSE))/$AC239,"")</f>
        <v/>
      </c>
      <c r="BD239" s="228" t="str">
        <f>IF($AY239="ja",(VLOOKUP($B239,'Egen hetvattenprod'!$B$1:$BX$550,MATCH(BD$2,'Egen hetvattenprod'!$B$1:$BX$1,0),FALSE)+VLOOKUP($B239,Kraftvärmeprod!$B$1:$BX$550,MATCH(BD$2,Kraftvärmeprod!$B$1:$BX$1,0),FALSE))/$AC239,"")</f>
        <v/>
      </c>
      <c r="BE239" s="227"/>
      <c r="BF239" s="227" t="str">
        <f t="shared" si="23"/>
        <v>Nej</v>
      </c>
      <c r="BG239" s="227" t="str">
        <f>IF($BF239="ja",VLOOKUP($B239,'Egen hetvattenprod'!$B$1:$BX$550,MATCH("Andelen klimatgaser med fossilt ursprung för avfall ()",'Egen hetvattenprod'!$B$1:$BX$1,0),FALSE),"")</f>
        <v/>
      </c>
      <c r="BH239" s="227" t="str">
        <f>IF($BF239="ja",VLOOKUP($B239,Kraftvärmeprod!$B$1:$BX$550,MATCH("Andelen klimatgaser med fossilt ursprung för avfall ()",Kraftvärmeprod!$B$1:$BX$1,0),FALSE),"")</f>
        <v/>
      </c>
      <c r="BI239" s="227" t="str">
        <f>IF($BF239="ja",VLOOKUP($B239,'Egen hetvattenprod'!$B$1:$BX$550,MATCH("Avfall (GWh)",'Egen hetvattenprod'!$B$1:$BX$1,0),FALSE),"")</f>
        <v/>
      </c>
      <c r="BJ239" s="227" t="str">
        <f>IF($BF239="ja",VLOOKUP($B239,'Slutlig allokering kvv'!$B$1:$BX$550,MATCH("Avfall (GWh)",'Slutlig allokering kvv'!$B$1:$BX$1,0),FALSE),"")</f>
        <v/>
      </c>
      <c r="BK239" s="227" t="str">
        <f>IF($BF239="ja",VLOOKUP($B239,'Köpt hetvatten'!$B$1:$BX$550,MATCH("Avfall i köpt hetvatten",'Köpt hetvatten'!$B$1:$BX$1,0),FALSE),"")</f>
        <v/>
      </c>
      <c r="BL239" s="227" t="str">
        <f>IF($BF239="ja",VLOOKUP($B239,'Egen hetvattenprod'!$B$1:$BX$550,MATCH("Värde enligt ovan. (%)",'Egen hetvattenprod'!$B$1:$BX$1,0),FALSE),"")</f>
        <v/>
      </c>
      <c r="BM239" s="227" t="str">
        <f>IF($BF239="ja",VLOOKUP($B239,Kraftvärmeprod!$B$1:$BX$550,MATCH("Värde enligt ovan. (%)",Kraftvärmeprod!$B$1:$BX$1,0),FALSE),"")</f>
        <v/>
      </c>
      <c r="BN239" s="227"/>
      <c r="BO239" s="227"/>
      <c r="BP239" s="227"/>
      <c r="BQ239" s="227" t="str">
        <f>IF($BF239="ja",VLOOKUP($B239,'Egen hetvattenprod'!$B$1:$BX$550,MATCH("Tillförd olja (fossil) vid avfallsförbränning (GWh)",'Egen hetvattenprod'!$B$1:$BX$1,0),FALSE),"")</f>
        <v/>
      </c>
      <c r="BR239" s="227" t="str">
        <f>IF($BF239="ja",VLOOKUP($B239,Kraftvärmeprod!$B$1:$BX$550,MATCH("Tillförd olja (fossil) vid avfallsförbränning (GWh)",Kraftvärmeprod!$B$1:$BX$1,0),FALSE),"")</f>
        <v/>
      </c>
      <c r="BS239" s="227"/>
      <c r="BT239" s="227"/>
      <c r="BU239" s="227"/>
    </row>
    <row r="240" spans="1:73" x14ac:dyDescent="0.25">
      <c r="A240" s="121" t="str">
        <f>'Miljövärden för publ företag'!B243</f>
        <v>Smedjebacken Energi AB</v>
      </c>
      <c r="B240" s="121" t="str">
        <f>'Miljövärden för publ företag'!C243</f>
        <v>Söderbärke</v>
      </c>
      <c r="C240" s="173">
        <f>IFERROR(VLOOKUP($B240,Totalt!$B$1:$AQ$554,MATCH(C$2,Totalt!$B$1:$AQ$1,0),FALSE),"")</f>
        <v>0</v>
      </c>
      <c r="D240" s="173">
        <f>IFERROR(VLOOKUP($B240,Totalt!$B$1:$AQ$554,MATCH(D$2,Totalt!$B$1:$AQ$1,0),FALSE),"")</f>
        <v>9.6000000000000002E-2</v>
      </c>
      <c r="E240" s="173">
        <f>IFERROR(VLOOKUP($B240,Totalt!$B$1:$AQ$554,MATCH(E$2,Totalt!$B$1:$AQ$1,0),FALSE),"")</f>
        <v>0</v>
      </c>
      <c r="F240" s="173">
        <f>IFERROR(VLOOKUP($B240,Totalt!$B$1:$AQ$554,MATCH(F$2,Totalt!$B$1:$AQ$1,0),FALSE),"")</f>
        <v>0</v>
      </c>
      <c r="G240" s="173">
        <f>IFERROR(VLOOKUP($B240,Totalt!$B$1:$AQ$554,MATCH(G$2,Totalt!$B$1:$AQ$1,0),FALSE),"")</f>
        <v>0</v>
      </c>
      <c r="H240" s="173">
        <f>IFERROR(VLOOKUP($B240,Totalt!$B$1:$AQ$554,MATCH(H$2,Totalt!$B$1:$AQ$1,0),FALSE),"")</f>
        <v>0</v>
      </c>
      <c r="I240" s="173">
        <f>IFERROR(VLOOKUP($B240,Totalt!$B$1:$AQ$554,MATCH(I$2,Totalt!$B$1:$AQ$1,0),FALSE),"")</f>
        <v>0</v>
      </c>
      <c r="J240" s="173">
        <f>IFERROR(VLOOKUP($B240,Totalt!$B$1:$AQ$554,MATCH(J$2,Totalt!$B$1:$AQ$1,0),FALSE),"")</f>
        <v>0</v>
      </c>
      <c r="K240" s="173">
        <f>IFERROR(VLOOKUP($B240,Totalt!$B$1:$AQ$554,MATCH(K$2,Totalt!$B$1:$AQ$1,0),FALSE),"")</f>
        <v>0</v>
      </c>
      <c r="L240" s="173">
        <f>IFERROR(VLOOKUP($B240,Totalt!$B$1:$AQ$554,MATCH(L$2,Totalt!$B$1:$AQ$1,0),FALSE),"")</f>
        <v>0</v>
      </c>
      <c r="M240" s="173">
        <f>IFERROR(VLOOKUP($B240,Totalt!$B$1:$AQ$554,MATCH(M$2,Totalt!$B$1:$AQ$1,0),FALSE),"")</f>
        <v>0</v>
      </c>
      <c r="N240" s="173">
        <f>IFERROR(VLOOKUP($B240,Totalt!$B$1:$AQ$554,MATCH(N$2,Totalt!$B$1:$AQ$1,0),FALSE),"")</f>
        <v>0</v>
      </c>
      <c r="O240" s="173">
        <f>IFERROR(VLOOKUP($B240,Totalt!$B$1:$AQ$554,MATCH(O$2,Totalt!$B$1:$AQ$1,0),FALSE),"")</f>
        <v>0</v>
      </c>
      <c r="P240" s="173">
        <f>IFERROR(VLOOKUP($B240,Totalt!$B$1:$AQ$554,MATCH(P$2,Totalt!$B$1:$AQ$1,0),FALSE),"")</f>
        <v>0</v>
      </c>
      <c r="Q240" s="173">
        <f>IFERROR(VLOOKUP($B240,Totalt!$B$1:$AQ$554,MATCH(Q$2,Totalt!$B$1:$AQ$1,0),FALSE),"")</f>
        <v>5.4411800000000001</v>
      </c>
      <c r="R240" s="173">
        <f>IFERROR(VLOOKUP($B240,Totalt!$B$1:$AQ$554,MATCH(R$2,Totalt!$B$1:$AQ$1,0),FALSE),"")</f>
        <v>0</v>
      </c>
      <c r="S240" s="173">
        <f>IFERROR(VLOOKUP($B240,Totalt!$B$1:$AQ$554,MATCH(S$2,Totalt!$B$1:$AQ$1,0),FALSE),"")</f>
        <v>0</v>
      </c>
      <c r="T240" s="173">
        <f>IFERROR(VLOOKUP($B240,Totalt!$B$1:$AQ$554,MATCH(T$2,Totalt!$B$1:$AQ$1,0),FALSE),"")</f>
        <v>0</v>
      </c>
      <c r="U240" s="173">
        <f>IFERROR(VLOOKUP($B240,Totalt!$B$1:$AQ$554,MATCH(U$2,Totalt!$B$1:$AQ$1,0),FALSE),"")</f>
        <v>0</v>
      </c>
      <c r="V240" s="173">
        <f>IFERROR(VLOOKUP($B240,Totalt!$B$1:$AQ$554,MATCH(V$2,Totalt!$B$1:$AQ$1,0),FALSE),"")</f>
        <v>0</v>
      </c>
      <c r="W240" s="173">
        <f>IFERROR(VLOOKUP($B240,Totalt!$B$1:$AQ$554,MATCH(W$2,Totalt!$B$1:$AQ$1,0),FALSE),"")</f>
        <v>0</v>
      </c>
      <c r="X240" s="173">
        <f>IFERROR(VLOOKUP($B240,Totalt!$B$1:$AQ$554,MATCH(X$2,Totalt!$B$1:$AQ$1,0),FALSE),"")</f>
        <v>0</v>
      </c>
      <c r="Y240" s="173">
        <f>IFERROR(VLOOKUP($B240,Totalt!$B$1:$AQ$554,MATCH(Y$2,Totalt!$B$1:$AQ$1,0),FALSE),"")</f>
        <v>0</v>
      </c>
      <c r="Z240" s="173">
        <f>IFERROR(VLOOKUP($B240,Totalt!$B$1:$AQ$554,MATCH(Z$2,Totalt!$B$1:$AQ$1,0),FALSE),"")</f>
        <v>0</v>
      </c>
      <c r="AA240" s="173">
        <f>IFERROR(VLOOKUP($B240,Totalt!$B$1:$AQ$554,MATCH(AA$2,Totalt!$B$1:$AQ$1,0),FALSE),"")</f>
        <v>0</v>
      </c>
      <c r="AB240" s="173">
        <f>IFERROR(VLOOKUP($B240,Totalt!$B$1:$AQ$554,MATCH(AB$2,Totalt!$B$1:$AQ$1,0),FALSE),"")</f>
        <v>0</v>
      </c>
      <c r="AC240" s="173">
        <f>IFERROR(VLOOKUP($B240,Totalt!$B$1:$AQ$554,MATCH(AC$2,Totalt!$B$1:$AQ$1,0),FALSE),"")</f>
        <v>0</v>
      </c>
      <c r="AD240" s="173">
        <f>IFERROR(VLOOKUP($B240,Totalt!$B$1:$AQ$554,MATCH(AD$2,Totalt!$B$1:$AQ$1,0),FALSE),"")</f>
        <v>0</v>
      </c>
      <c r="AE240" s="173">
        <f>IFERROR(VLOOKUP($B240,Totalt!$B$1:$AQ$554,MATCH(AE$2,Totalt!$B$1:$AQ$1,0),FALSE),"")</f>
        <v>0</v>
      </c>
      <c r="AF240" s="173">
        <f>IFERROR(VLOOKUP($B240,Totalt!$B$1:$AQ$554,MATCH(AF$2,Totalt!$B$1:$AQ$1,0),FALSE),"")</f>
        <v>0.1</v>
      </c>
      <c r="AG240" s="173">
        <f>IFERROR(VLOOKUP($B240,Totalt!$B$1:$AQ$554,MATCH(AG$2,Totalt!$B$1:$AQ$1,0),FALSE),"")</f>
        <v>0</v>
      </c>
      <c r="AI240" s="226">
        <f t="shared" si="18"/>
        <v>5.6371799999999999</v>
      </c>
      <c r="AJ240" s="226">
        <f>IF(ISERROR(1/VLOOKUP($B240,Leveranser!$B$1:$S$500,MATCH("såld värme (gwh)",Leveranser!$B$1:$S$1,0),FALSE)),"",VLOOKUP($B240,Leveranser!$B$1:$S$500,MATCH("såld värme (gwh)",Leveranser!$B$1:$S$1,0),FALSE))</f>
        <v>4.7210000000000001</v>
      </c>
      <c r="AM240" s="227" t="str">
        <f>IF(B240&lt;&gt;"",IF(VLOOKUP($B240,Totalt!$B$1:$AQ$554,MATCH("Kvalitetsgranskad:",Totalt!$B$1:$AQ$1,0),FALSE)="ja",VLOOKUP($B240,Miljö!$B$1:$AG$479,MATCH(AM$2,Miljö!$B$1:$AK$1,0),FALSE),""),"")</f>
        <v>Ja</v>
      </c>
      <c r="AN240" s="227" t="str">
        <f>IF(AM240="ja",VLOOKUP($B240,Miljö!$B$1:$J$479,MATCH("Typ av ursprungsspecificerad el   (Om inget värde anges används Nordisk residualmix, se inforuta) ()",Miljö!$B$1:$J$1,0),FALSE),IF(AM240="nej","Nordisk residualel",""))</f>
        <v>-</v>
      </c>
      <c r="AO240" s="227">
        <f>IF(AM240="","",VLOOKUP($B240,Miljö!$B$1:$J$479,MATCH("Fossilandel för ursprungspecificerad el ()",Miljö!$B$1:$J$1,0),FALSE))</f>
        <v>0.43</v>
      </c>
      <c r="AP240" s="227">
        <f>IF(AM240="","",IFERROR(VLOOKUP($B240,Miljö!$B$1:$J$479,MATCH("Kärnkraftsandel för ursprungsspecificerad el ()",Miljö!$B$1:$J$1,0),FALSE)/1,0))</f>
        <v>0.40550000000000003</v>
      </c>
      <c r="AQ240" s="227">
        <f t="shared" si="19"/>
        <v>0.16450000000000004</v>
      </c>
      <c r="AR240" s="227"/>
      <c r="AS240" s="227" t="str">
        <f t="shared" si="20"/>
        <v>Nej</v>
      </c>
      <c r="AT240" s="227" t="str">
        <f>IF(AS240="ja",VLOOKUP($B240,Miljö!$B$1:$O$500,MATCH("Fossil andel i procent (%)",Miljö!$B$1:$O$1,0),FALSE)/100,"")</f>
        <v/>
      </c>
      <c r="AU240" s="227"/>
      <c r="AV240" s="227" t="str">
        <f t="shared" si="21"/>
        <v>Nej</v>
      </c>
      <c r="AW240" s="227" t="str">
        <f>IF(AV240="ja",VLOOKUP($B240,'Egen hetvattenprod'!$B$1:$AO$500,MATCH("Värmekälla till värmepumpar ()",'Egen hetvattenprod'!$B$1:$AO$1,0),FALSE),"")</f>
        <v/>
      </c>
      <c r="AX240" s="227"/>
      <c r="AY240" s="227" t="str">
        <f t="shared" si="22"/>
        <v>Nej</v>
      </c>
      <c r="AZ240" s="228" t="str">
        <f>IF($AY240="ja",(VLOOKUP($B240,'Egen hetvattenprod'!$B$1:$BX$550,MATCH(AZ$2,'Egen hetvattenprod'!$B$1:$BX$1,0),FALSE)+VLOOKUP($B240,Kraftvärmeprod!$B$1:$BX$550,MATCH(AZ$2,Kraftvärmeprod!$B$1:$BX$1,0),FALSE))/$AC240,"")</f>
        <v/>
      </c>
      <c r="BA240" s="228" t="str">
        <f>IF($AY240="ja",(VLOOKUP($B240,'Egen hetvattenprod'!$B$1:$BX$550,MATCH(BA$2,'Egen hetvattenprod'!$B$1:$BX$1,0),FALSE)+VLOOKUP($B240,Kraftvärmeprod!$B$1:$BX$550,MATCH(BA$2,Kraftvärmeprod!$B$1:$BX$1,0),FALSE))/$AC240,"")</f>
        <v/>
      </c>
      <c r="BB240" s="228" t="str">
        <f>IF($AY240="ja",(VLOOKUP($B240,'Egen hetvattenprod'!$B$1:$BX$550,MATCH(BB$2,'Egen hetvattenprod'!$B$1:$BX$1,0),FALSE)+VLOOKUP($B240,Kraftvärmeprod!$B$1:$BX$550,MATCH(BB$2,Kraftvärmeprod!$B$1:$BX$1,0),FALSE))/$AC240,"")</f>
        <v/>
      </c>
      <c r="BC240" s="228" t="str">
        <f>IF($AY240="ja",(VLOOKUP($B240,'Egen hetvattenprod'!$B$1:$BX$550,MATCH(BC$2,'Egen hetvattenprod'!$B$1:$BX$1,0),FALSE)+VLOOKUP($B240,Kraftvärmeprod!$B$1:$BX$550,MATCH(BC$2,Kraftvärmeprod!$B$1:$BX$1,0),FALSE))/$AC240,"")</f>
        <v/>
      </c>
      <c r="BD240" s="228" t="str">
        <f>IF($AY240="ja",(VLOOKUP($B240,'Egen hetvattenprod'!$B$1:$BX$550,MATCH(BD$2,'Egen hetvattenprod'!$B$1:$BX$1,0),FALSE)+VLOOKUP($B240,Kraftvärmeprod!$B$1:$BX$550,MATCH(BD$2,Kraftvärmeprod!$B$1:$BX$1,0),FALSE))/$AC240,"")</f>
        <v/>
      </c>
      <c r="BE240" s="227"/>
      <c r="BF240" s="227" t="str">
        <f t="shared" si="23"/>
        <v>Nej</v>
      </c>
      <c r="BG240" s="227" t="str">
        <f>IF($BF240="ja",VLOOKUP($B240,'Egen hetvattenprod'!$B$1:$BX$550,MATCH("Andelen klimatgaser med fossilt ursprung för avfall ()",'Egen hetvattenprod'!$B$1:$BX$1,0),FALSE),"")</f>
        <v/>
      </c>
      <c r="BH240" s="227" t="str">
        <f>IF($BF240="ja",VLOOKUP($B240,Kraftvärmeprod!$B$1:$BX$550,MATCH("Andelen klimatgaser med fossilt ursprung för avfall ()",Kraftvärmeprod!$B$1:$BX$1,0),FALSE),"")</f>
        <v/>
      </c>
      <c r="BI240" s="227" t="str">
        <f>IF($BF240="ja",VLOOKUP($B240,'Egen hetvattenprod'!$B$1:$BX$550,MATCH("Avfall (GWh)",'Egen hetvattenprod'!$B$1:$BX$1,0),FALSE),"")</f>
        <v/>
      </c>
      <c r="BJ240" s="227" t="str">
        <f>IF($BF240="ja",VLOOKUP($B240,'Slutlig allokering kvv'!$B$1:$BX$550,MATCH("Avfall (GWh)",'Slutlig allokering kvv'!$B$1:$BX$1,0),FALSE),"")</f>
        <v/>
      </c>
      <c r="BK240" s="227" t="str">
        <f>IF($BF240="ja",VLOOKUP($B240,'Köpt hetvatten'!$B$1:$BX$550,MATCH("Avfall i köpt hetvatten",'Köpt hetvatten'!$B$1:$BX$1,0),FALSE),"")</f>
        <v/>
      </c>
      <c r="BL240" s="227" t="str">
        <f>IF($BF240="ja",VLOOKUP($B240,'Egen hetvattenprod'!$B$1:$BX$550,MATCH("Värde enligt ovan. (%)",'Egen hetvattenprod'!$B$1:$BX$1,0),FALSE),"")</f>
        <v/>
      </c>
      <c r="BM240" s="227" t="str">
        <f>IF($BF240="ja",VLOOKUP($B240,Kraftvärmeprod!$B$1:$BX$550,MATCH("Värde enligt ovan. (%)",Kraftvärmeprod!$B$1:$BX$1,0),FALSE),"")</f>
        <v/>
      </c>
      <c r="BN240" s="227"/>
      <c r="BO240" s="227"/>
      <c r="BP240" s="227"/>
      <c r="BQ240" s="227" t="str">
        <f>IF($BF240="ja",VLOOKUP($B240,'Egen hetvattenprod'!$B$1:$BX$550,MATCH("Tillförd olja (fossil) vid avfallsförbränning (GWh)",'Egen hetvattenprod'!$B$1:$BX$1,0),FALSE),"")</f>
        <v/>
      </c>
      <c r="BR240" s="227" t="str">
        <f>IF($BF240="ja",VLOOKUP($B240,Kraftvärmeprod!$B$1:$BX$550,MATCH("Tillförd olja (fossil) vid avfallsförbränning (GWh)",Kraftvärmeprod!$B$1:$BX$1,0),FALSE),"")</f>
        <v/>
      </c>
      <c r="BS240" s="227"/>
      <c r="BT240" s="227"/>
      <c r="BU240" s="227"/>
    </row>
    <row r="241" spans="1:73" x14ac:dyDescent="0.25">
      <c r="A241" s="121" t="str">
        <f>'Miljövärden för publ företag'!B244</f>
        <v>Sollentuna Energi &amp; Miljö AB</v>
      </c>
      <c r="B241" s="121" t="str">
        <f>'Miljövärden för publ företag'!C244</f>
        <v>Sollentuna</v>
      </c>
      <c r="C241" s="173">
        <f>IFERROR(VLOOKUP($B241,Totalt!$B$1:$AQ$554,MATCH(C$2,Totalt!$B$1:$AQ$1,0),FALSE),"")</f>
        <v>0</v>
      </c>
      <c r="D241" s="173">
        <f>IFERROR(VLOOKUP($B241,Totalt!$B$1:$AQ$554,MATCH(D$2,Totalt!$B$1:$AQ$1,0),FALSE),"")</f>
        <v>0</v>
      </c>
      <c r="E241" s="173">
        <f>IFERROR(VLOOKUP($B241,Totalt!$B$1:$AQ$554,MATCH(E$2,Totalt!$B$1:$AQ$1,0),FALSE),"")</f>
        <v>0</v>
      </c>
      <c r="F241" s="173">
        <f>IFERROR(VLOOKUP($B241,Totalt!$B$1:$AQ$554,MATCH(F$2,Totalt!$B$1:$AQ$1,0),FALSE),"")</f>
        <v>0</v>
      </c>
      <c r="G241" s="173">
        <f>IFERROR(VLOOKUP($B241,Totalt!$B$1:$AQ$554,MATCH(G$2,Totalt!$B$1:$AQ$1,0),FALSE),"")</f>
        <v>0</v>
      </c>
      <c r="H241" s="173">
        <f>IFERROR(VLOOKUP($B241,Totalt!$B$1:$AQ$554,MATCH(H$2,Totalt!$B$1:$AQ$1,0),FALSE),"")</f>
        <v>0</v>
      </c>
      <c r="I241" s="173">
        <f>IFERROR(VLOOKUP($B241,Totalt!$B$1:$AQ$554,MATCH(I$2,Totalt!$B$1:$AQ$1,0),FALSE),"")</f>
        <v>0</v>
      </c>
      <c r="J241" s="173">
        <f>IFERROR(VLOOKUP($B241,Totalt!$B$1:$AQ$554,MATCH(J$2,Totalt!$B$1:$AQ$1,0),FALSE),"")</f>
        <v>0</v>
      </c>
      <c r="K241" s="173">
        <f>IFERROR(VLOOKUP($B241,Totalt!$B$1:$AQ$554,MATCH(K$2,Totalt!$B$1:$AQ$1,0),FALSE),"")</f>
        <v>0</v>
      </c>
      <c r="L241" s="173">
        <f>IFERROR(VLOOKUP($B241,Totalt!$B$1:$AQ$554,MATCH(L$2,Totalt!$B$1:$AQ$1,0),FALSE),"")</f>
        <v>0</v>
      </c>
      <c r="M241" s="173">
        <f>IFERROR(VLOOKUP($B241,Totalt!$B$1:$AQ$554,MATCH(M$2,Totalt!$B$1:$AQ$1,0),FALSE),"")</f>
        <v>0</v>
      </c>
      <c r="N241" s="173">
        <f>IFERROR(VLOOKUP($B241,Totalt!$B$1:$AQ$554,MATCH(N$2,Totalt!$B$1:$AQ$1,0),FALSE),"")</f>
        <v>0</v>
      </c>
      <c r="O241" s="173">
        <f>IFERROR(VLOOKUP($B241,Totalt!$B$1:$AQ$554,MATCH(O$2,Totalt!$B$1:$AQ$1,0),FALSE),"")</f>
        <v>0</v>
      </c>
      <c r="P241" s="173">
        <f>IFERROR(VLOOKUP($B241,Totalt!$B$1:$AQ$554,MATCH(P$2,Totalt!$B$1:$AQ$1,0),FALSE),"")</f>
        <v>0</v>
      </c>
      <c r="Q241" s="173">
        <f>IFERROR(VLOOKUP($B241,Totalt!$B$1:$AQ$554,MATCH(Q$2,Totalt!$B$1:$AQ$1,0),FALSE),"")</f>
        <v>0</v>
      </c>
      <c r="R241" s="173">
        <f>IFERROR(VLOOKUP($B241,Totalt!$B$1:$AQ$554,MATCH(R$2,Totalt!$B$1:$AQ$1,0),FALSE),"")</f>
        <v>0</v>
      </c>
      <c r="S241" s="173">
        <f>IFERROR(VLOOKUP($B241,Totalt!$B$1:$AQ$554,MATCH(S$2,Totalt!$B$1:$AQ$1,0),FALSE),"")</f>
        <v>0</v>
      </c>
      <c r="T241" s="173">
        <f>IFERROR(VLOOKUP($B241,Totalt!$B$1:$AQ$554,MATCH(T$2,Totalt!$B$1:$AQ$1,0),FALSE),"")</f>
        <v>0</v>
      </c>
      <c r="U241" s="173">
        <f>IFERROR(VLOOKUP($B241,Totalt!$B$1:$AQ$554,MATCH(U$2,Totalt!$B$1:$AQ$1,0),FALSE),"")</f>
        <v>0</v>
      </c>
      <c r="V241" s="173">
        <f>IFERROR(VLOOKUP($B241,Totalt!$B$1:$AQ$554,MATCH(V$2,Totalt!$B$1:$AQ$1,0),FALSE),"")</f>
        <v>0</v>
      </c>
      <c r="W241" s="173">
        <f>IFERROR(VLOOKUP($B241,Totalt!$B$1:$AQ$554,MATCH(W$2,Totalt!$B$1:$AQ$1,0),FALSE),"")</f>
        <v>0</v>
      </c>
      <c r="X241" s="173">
        <f>IFERROR(VLOOKUP($B241,Totalt!$B$1:$AQ$554,MATCH(X$2,Totalt!$B$1:$AQ$1,0),FALSE),"")</f>
        <v>0</v>
      </c>
      <c r="Y241" s="173">
        <f>IFERROR(VLOOKUP($B241,Totalt!$B$1:$AQ$554,MATCH(Y$2,Totalt!$B$1:$AQ$1,0),FALSE),"")</f>
        <v>0</v>
      </c>
      <c r="Z241" s="173">
        <f>IFERROR(VLOOKUP($B241,Totalt!$B$1:$AQ$554,MATCH(Z$2,Totalt!$B$1:$AQ$1,0),FALSE),"")</f>
        <v>0</v>
      </c>
      <c r="AA241" s="173">
        <f>IFERROR(VLOOKUP($B241,Totalt!$B$1:$AQ$554,MATCH(AA$2,Totalt!$B$1:$AQ$1,0),FALSE),"")</f>
        <v>0</v>
      </c>
      <c r="AB241" s="173">
        <f>IFERROR(VLOOKUP($B241,Totalt!$B$1:$AQ$554,MATCH(AB$2,Totalt!$B$1:$AQ$1,0),FALSE),"")</f>
        <v>0</v>
      </c>
      <c r="AC241" s="173">
        <f>IFERROR(VLOOKUP($B241,Totalt!$B$1:$AQ$554,MATCH(AC$2,Totalt!$B$1:$AQ$1,0),FALSE),"")</f>
        <v>0</v>
      </c>
      <c r="AD241" s="173">
        <f>IFERROR(VLOOKUP($B241,Totalt!$B$1:$AQ$554,MATCH(AD$2,Totalt!$B$1:$AQ$1,0),FALSE),"")</f>
        <v>0</v>
      </c>
      <c r="AE241" s="173">
        <f>IFERROR(VLOOKUP($B241,Totalt!$B$1:$AQ$554,MATCH(AE$2,Totalt!$B$1:$AQ$1,0),FALSE),"")</f>
        <v>0</v>
      </c>
      <c r="AF241" s="173">
        <f>IFERROR(VLOOKUP($B241,Totalt!$B$1:$AQ$554,MATCH(AF$2,Totalt!$B$1:$AQ$1,0),FALSE),"")</f>
        <v>9.06</v>
      </c>
      <c r="AG241" s="173">
        <f>IFERROR(VLOOKUP($B241,Totalt!$B$1:$AQ$554,MATCH(AG$2,Totalt!$B$1:$AQ$1,0),FALSE),"")</f>
        <v>342.49700000000001</v>
      </c>
      <c r="AI241" s="226">
        <f t="shared" si="18"/>
        <v>351.55700000000002</v>
      </c>
      <c r="AJ241" s="226">
        <f>IF(ISERROR(1/VLOOKUP($B241,Leveranser!$B$1:$S$500,MATCH("såld värme (gwh)",Leveranser!$B$1:$S$1,0),FALSE)),"",VLOOKUP($B241,Leveranser!$B$1:$S$500,MATCH("såld värme (gwh)",Leveranser!$B$1:$S$1,0),FALSE))</f>
        <v>302</v>
      </c>
      <c r="AM241" s="227" t="str">
        <f>IF(B241&lt;&gt;"",IF(VLOOKUP($B241,Totalt!$B$1:$AQ$554,MATCH("Kvalitetsgranskad:",Totalt!$B$1:$AQ$1,0),FALSE)="ja",VLOOKUP($B241,Miljö!$B$1:$AG$479,MATCH(AM$2,Miljö!$B$1:$AK$1,0),FALSE),""),"")</f>
        <v>Ja</v>
      </c>
      <c r="AN241" s="227" t="str">
        <f>IF(AM241="ja",VLOOKUP($B241,Miljö!$B$1:$J$479,MATCH("Typ av ursprungsspecificerad el   (Om inget värde anges används Nordisk residualmix, se inforuta) ()",Miljö!$B$1:$J$1,0),FALSE),IF(AM241="nej","Nordisk residualel",""))</f>
        <v>'Vattenkraft'</v>
      </c>
      <c r="AO241" s="227">
        <f>IF(AM241="","",VLOOKUP($B241,Miljö!$B$1:$J$479,MATCH("Fossilandel för ursprungspecificerad el ()",Miljö!$B$1:$J$1,0),FALSE))</f>
        <v>0</v>
      </c>
      <c r="AP241" s="227">
        <f>IF(AM241="","",IFERROR(VLOOKUP($B241,Miljö!$B$1:$J$479,MATCH("Kärnkraftsandel för ursprungsspecificerad el ()",Miljö!$B$1:$J$1,0),FALSE)/1,0))</f>
        <v>0</v>
      </c>
      <c r="AQ241" s="227">
        <f t="shared" si="19"/>
        <v>1</v>
      </c>
      <c r="AR241" s="227"/>
      <c r="AS241" s="227" t="str">
        <f t="shared" si="20"/>
        <v>Ja</v>
      </c>
      <c r="AT241" s="227">
        <f>IF(AS241="ja",VLOOKUP($B241,Miljö!$B$1:$O$500,MATCH("Fossil andel i procent (%)",Miljö!$B$1:$O$1,0),FALSE)/100,"")</f>
        <v>0</v>
      </c>
      <c r="AU241" s="227"/>
      <c r="AV241" s="227" t="str">
        <f t="shared" si="21"/>
        <v>Nej</v>
      </c>
      <c r="AW241" s="227" t="str">
        <f>IF(AV241="ja",VLOOKUP($B241,'Egen hetvattenprod'!$B$1:$AO$500,MATCH("Värmekälla till värmepumpar ()",'Egen hetvattenprod'!$B$1:$AO$1,0),FALSE),"")</f>
        <v/>
      </c>
      <c r="AX241" s="227"/>
      <c r="AY241" s="227" t="str">
        <f t="shared" si="22"/>
        <v>Nej</v>
      </c>
      <c r="AZ241" s="228" t="str">
        <f>IF($AY241="ja",(VLOOKUP($B241,'Egen hetvattenprod'!$B$1:$BX$550,MATCH(AZ$2,'Egen hetvattenprod'!$B$1:$BX$1,0),FALSE)+VLOOKUP($B241,Kraftvärmeprod!$B$1:$BX$550,MATCH(AZ$2,Kraftvärmeprod!$B$1:$BX$1,0),FALSE))/$AC241,"")</f>
        <v/>
      </c>
      <c r="BA241" s="228" t="str">
        <f>IF($AY241="ja",(VLOOKUP($B241,'Egen hetvattenprod'!$B$1:$BX$550,MATCH(BA$2,'Egen hetvattenprod'!$B$1:$BX$1,0),FALSE)+VLOOKUP($B241,Kraftvärmeprod!$B$1:$BX$550,MATCH(BA$2,Kraftvärmeprod!$B$1:$BX$1,0),FALSE))/$AC241,"")</f>
        <v/>
      </c>
      <c r="BB241" s="228" t="str">
        <f>IF($AY241="ja",(VLOOKUP($B241,'Egen hetvattenprod'!$B$1:$BX$550,MATCH(BB$2,'Egen hetvattenprod'!$B$1:$BX$1,0),FALSE)+VLOOKUP($B241,Kraftvärmeprod!$B$1:$BX$550,MATCH(BB$2,Kraftvärmeprod!$B$1:$BX$1,0),FALSE))/$AC241,"")</f>
        <v/>
      </c>
      <c r="BC241" s="228" t="str">
        <f>IF($AY241="ja",(VLOOKUP($B241,'Egen hetvattenprod'!$B$1:$BX$550,MATCH(BC$2,'Egen hetvattenprod'!$B$1:$BX$1,0),FALSE)+VLOOKUP($B241,Kraftvärmeprod!$B$1:$BX$550,MATCH(BC$2,Kraftvärmeprod!$B$1:$BX$1,0),FALSE))/$AC241,"")</f>
        <v/>
      </c>
      <c r="BD241" s="228" t="str">
        <f>IF($AY241="ja",(VLOOKUP($B241,'Egen hetvattenprod'!$B$1:$BX$550,MATCH(BD$2,'Egen hetvattenprod'!$B$1:$BX$1,0),FALSE)+VLOOKUP($B241,Kraftvärmeprod!$B$1:$BX$550,MATCH(BD$2,Kraftvärmeprod!$B$1:$BX$1,0),FALSE))/$AC241,"")</f>
        <v/>
      </c>
      <c r="BE241" s="227"/>
      <c r="BF241" s="227" t="str">
        <f t="shared" si="23"/>
        <v>Nej</v>
      </c>
      <c r="BG241" s="227" t="str">
        <f>IF($BF241="ja",VLOOKUP($B241,'Egen hetvattenprod'!$B$1:$BX$550,MATCH("Andelen klimatgaser med fossilt ursprung för avfall ()",'Egen hetvattenprod'!$B$1:$BX$1,0),FALSE),"")</f>
        <v/>
      </c>
      <c r="BH241" s="227" t="str">
        <f>IF($BF241="ja",VLOOKUP($B241,Kraftvärmeprod!$B$1:$BX$550,MATCH("Andelen klimatgaser med fossilt ursprung för avfall ()",Kraftvärmeprod!$B$1:$BX$1,0),FALSE),"")</f>
        <v/>
      </c>
      <c r="BI241" s="227" t="str">
        <f>IF($BF241="ja",VLOOKUP($B241,'Egen hetvattenprod'!$B$1:$BX$550,MATCH("Avfall (GWh)",'Egen hetvattenprod'!$B$1:$BX$1,0),FALSE),"")</f>
        <v/>
      </c>
      <c r="BJ241" s="227" t="str">
        <f>IF($BF241="ja",VLOOKUP($B241,'Slutlig allokering kvv'!$B$1:$BX$550,MATCH("Avfall (GWh)",'Slutlig allokering kvv'!$B$1:$BX$1,0),FALSE),"")</f>
        <v/>
      </c>
      <c r="BK241" s="227" t="str">
        <f>IF($BF241="ja",VLOOKUP($B241,'Köpt hetvatten'!$B$1:$BX$550,MATCH("Avfall i köpt hetvatten",'Köpt hetvatten'!$B$1:$BX$1,0),FALSE),"")</f>
        <v/>
      </c>
      <c r="BL241" s="227" t="str">
        <f>IF($BF241="ja",VLOOKUP($B241,'Egen hetvattenprod'!$B$1:$BX$550,MATCH("Värde enligt ovan. (%)",'Egen hetvattenprod'!$B$1:$BX$1,0),FALSE),"")</f>
        <v/>
      </c>
      <c r="BM241" s="227" t="str">
        <f>IF($BF241="ja",VLOOKUP($B241,Kraftvärmeprod!$B$1:$BX$550,MATCH("Värde enligt ovan. (%)",Kraftvärmeprod!$B$1:$BX$1,0),FALSE),"")</f>
        <v/>
      </c>
      <c r="BN241" s="227"/>
      <c r="BO241" s="227"/>
      <c r="BP241" s="227"/>
      <c r="BQ241" s="227" t="str">
        <f>IF($BF241="ja",VLOOKUP($B241,'Egen hetvattenprod'!$B$1:$BX$550,MATCH("Tillförd olja (fossil) vid avfallsförbränning (GWh)",'Egen hetvattenprod'!$B$1:$BX$1,0),FALSE),"")</f>
        <v/>
      </c>
      <c r="BR241" s="227" t="str">
        <f>IF($BF241="ja",VLOOKUP($B241,Kraftvärmeprod!$B$1:$BX$550,MATCH("Tillförd olja (fossil) vid avfallsförbränning (GWh)",Kraftvärmeprod!$B$1:$BX$1,0),FALSE),"")</f>
        <v/>
      </c>
      <c r="BS241" s="227"/>
      <c r="BT241" s="227"/>
      <c r="BU241" s="227"/>
    </row>
    <row r="242" spans="1:73" x14ac:dyDescent="0.25">
      <c r="A242" s="121" t="str">
        <f>'Miljövärden för publ företag'!B245</f>
        <v>Statkraft Värme AB</v>
      </c>
      <c r="B242" s="121" t="str">
        <f>'Miljövärden för publ företag'!C245</f>
        <v>Kungsbacka</v>
      </c>
      <c r="C242" s="173">
        <f>IFERROR(VLOOKUP($B242,Totalt!$B$1:$AQ$554,MATCH(C$2,Totalt!$B$1:$AQ$1,0),FALSE),"")</f>
        <v>0</v>
      </c>
      <c r="D242" s="173">
        <f>IFERROR(VLOOKUP($B242,Totalt!$B$1:$AQ$554,MATCH(D$2,Totalt!$B$1:$AQ$1,0),FALSE),"")</f>
        <v>0</v>
      </c>
      <c r="E242" s="173">
        <f>IFERROR(VLOOKUP($B242,Totalt!$B$1:$AQ$554,MATCH(E$2,Totalt!$B$1:$AQ$1,0),FALSE),"")</f>
        <v>0</v>
      </c>
      <c r="F242" s="173">
        <f>IFERROR(VLOOKUP($B242,Totalt!$B$1:$AQ$554,MATCH(F$2,Totalt!$B$1:$AQ$1,0),FALSE),"")</f>
        <v>0</v>
      </c>
      <c r="G242" s="173">
        <f>IFERROR(VLOOKUP($B242,Totalt!$B$1:$AQ$554,MATCH(G$2,Totalt!$B$1:$AQ$1,0),FALSE),"")</f>
        <v>0</v>
      </c>
      <c r="H242" s="173">
        <f>IFERROR(VLOOKUP($B242,Totalt!$B$1:$AQ$554,MATCH(H$2,Totalt!$B$1:$AQ$1,0),FALSE),"")</f>
        <v>0</v>
      </c>
      <c r="I242" s="173">
        <f>IFERROR(VLOOKUP($B242,Totalt!$B$1:$AQ$554,MATCH(I$2,Totalt!$B$1:$AQ$1,0),FALSE),"")</f>
        <v>0</v>
      </c>
      <c r="J242" s="173">
        <f>IFERROR(VLOOKUP($B242,Totalt!$B$1:$AQ$554,MATCH(J$2,Totalt!$B$1:$AQ$1,0),FALSE),"")</f>
        <v>0</v>
      </c>
      <c r="K242" s="173">
        <f>IFERROR(VLOOKUP($B242,Totalt!$B$1:$AQ$554,MATCH(K$2,Totalt!$B$1:$AQ$1,0),FALSE),"")</f>
        <v>0</v>
      </c>
      <c r="L242" s="173">
        <f>IFERROR(VLOOKUP($B242,Totalt!$B$1:$AQ$554,MATCH(L$2,Totalt!$B$1:$AQ$1,0),FALSE),"")</f>
        <v>0</v>
      </c>
      <c r="M242" s="173">
        <f>IFERROR(VLOOKUP($B242,Totalt!$B$1:$AQ$554,MATCH(M$2,Totalt!$B$1:$AQ$1,0),FALSE),"")</f>
        <v>20.96</v>
      </c>
      <c r="N242" s="173">
        <f>IFERROR(VLOOKUP($B242,Totalt!$B$1:$AQ$554,MATCH(N$2,Totalt!$B$1:$AQ$1,0),FALSE),"")</f>
        <v>8.26</v>
      </c>
      <c r="O242" s="173">
        <f>IFERROR(VLOOKUP($B242,Totalt!$B$1:$AQ$554,MATCH(O$2,Totalt!$B$1:$AQ$1,0),FALSE),"")</f>
        <v>73.040000000000006</v>
      </c>
      <c r="P242" s="173">
        <f>IFERROR(VLOOKUP($B242,Totalt!$B$1:$AQ$554,MATCH(P$2,Totalt!$B$1:$AQ$1,0),FALSE),"")</f>
        <v>24.77</v>
      </c>
      <c r="Q242" s="173">
        <f>IFERROR(VLOOKUP($B242,Totalt!$B$1:$AQ$554,MATCH(Q$2,Totalt!$B$1:$AQ$1,0),FALSE),"")</f>
        <v>0</v>
      </c>
      <c r="R242" s="173">
        <f>IFERROR(VLOOKUP($B242,Totalt!$B$1:$AQ$554,MATCH(R$2,Totalt!$B$1:$AQ$1,0),FALSE),"")</f>
        <v>0</v>
      </c>
      <c r="S242" s="173">
        <f>IFERROR(VLOOKUP($B242,Totalt!$B$1:$AQ$554,MATCH(S$2,Totalt!$B$1:$AQ$1,0),FALSE),"")</f>
        <v>0</v>
      </c>
      <c r="T242" s="173">
        <f>IFERROR(VLOOKUP($B242,Totalt!$B$1:$AQ$554,MATCH(T$2,Totalt!$B$1:$AQ$1,0),FALSE),"")</f>
        <v>0</v>
      </c>
      <c r="U242" s="173">
        <f>IFERROR(VLOOKUP($B242,Totalt!$B$1:$AQ$554,MATCH(U$2,Totalt!$B$1:$AQ$1,0),FALSE),"")</f>
        <v>0</v>
      </c>
      <c r="V242" s="173">
        <f>IFERROR(VLOOKUP($B242,Totalt!$B$1:$AQ$554,MATCH(V$2,Totalt!$B$1:$AQ$1,0),FALSE),"")</f>
        <v>0</v>
      </c>
      <c r="W242" s="173">
        <f>IFERROR(VLOOKUP($B242,Totalt!$B$1:$AQ$554,MATCH(W$2,Totalt!$B$1:$AQ$1,0),FALSE),"")</f>
        <v>3.24</v>
      </c>
      <c r="X242" s="173">
        <f>IFERROR(VLOOKUP($B242,Totalt!$B$1:$AQ$554,MATCH(X$2,Totalt!$B$1:$AQ$1,0),FALSE),"")</f>
        <v>0</v>
      </c>
      <c r="Y242" s="173">
        <f>IFERROR(VLOOKUP($B242,Totalt!$B$1:$AQ$554,MATCH(Y$2,Totalt!$B$1:$AQ$1,0),FALSE),"")</f>
        <v>0</v>
      </c>
      <c r="Z242" s="173">
        <f>IFERROR(VLOOKUP($B242,Totalt!$B$1:$AQ$554,MATCH(Z$2,Totalt!$B$1:$AQ$1,0),FALSE),"")</f>
        <v>0</v>
      </c>
      <c r="AA242" s="173">
        <f>IFERROR(VLOOKUP($B242,Totalt!$B$1:$AQ$554,MATCH(AA$2,Totalt!$B$1:$AQ$1,0),FALSE),"")</f>
        <v>0</v>
      </c>
      <c r="AB242" s="173">
        <f>IFERROR(VLOOKUP($B242,Totalt!$B$1:$AQ$554,MATCH(AB$2,Totalt!$B$1:$AQ$1,0),FALSE),"")</f>
        <v>0</v>
      </c>
      <c r="AC242" s="173">
        <f>IFERROR(VLOOKUP($B242,Totalt!$B$1:$AQ$554,MATCH(AC$2,Totalt!$B$1:$AQ$1,0),FALSE),"")</f>
        <v>29.63</v>
      </c>
      <c r="AD242" s="173">
        <f>IFERROR(VLOOKUP($B242,Totalt!$B$1:$AQ$554,MATCH(AD$2,Totalt!$B$1:$AQ$1,0),FALSE),"")</f>
        <v>0</v>
      </c>
      <c r="AE242" s="173">
        <f>IFERROR(VLOOKUP($B242,Totalt!$B$1:$AQ$554,MATCH(AE$2,Totalt!$B$1:$AQ$1,0),FALSE),"")</f>
        <v>0</v>
      </c>
      <c r="AF242" s="173">
        <f>IFERROR(VLOOKUP($B242,Totalt!$B$1:$AQ$554,MATCH(AF$2,Totalt!$B$1:$AQ$1,0),FALSE),"")</f>
        <v>4</v>
      </c>
      <c r="AG242" s="173">
        <f>IFERROR(VLOOKUP($B242,Totalt!$B$1:$AQ$554,MATCH(AG$2,Totalt!$B$1:$AQ$1,0),FALSE),"")</f>
        <v>0</v>
      </c>
      <c r="AI242" s="226">
        <f t="shared" si="18"/>
        <v>163.9</v>
      </c>
      <c r="AJ242" s="226">
        <f>IF(ISERROR(1/VLOOKUP($B242,Leveranser!$B$1:$S$500,MATCH("såld värme (gwh)",Leveranser!$B$1:$S$1,0),FALSE)),"",VLOOKUP($B242,Leveranser!$B$1:$S$500,MATCH("såld värme (gwh)",Leveranser!$B$1:$S$1,0),FALSE))</f>
        <v>121.45</v>
      </c>
      <c r="AM242" s="227" t="str">
        <f>IF(B242&lt;&gt;"",IF(VLOOKUP($B242,Totalt!$B$1:$AQ$554,MATCH("Kvalitetsgranskad:",Totalt!$B$1:$AQ$1,0),FALSE)="ja",VLOOKUP($B242,Miljö!$B$1:$AG$479,MATCH(AM$2,Miljö!$B$1:$AK$1,0),FALSE),""),"")</f>
        <v>Ja</v>
      </c>
      <c r="AN242" s="227" t="str">
        <f>IF(AM242="ja",VLOOKUP($B242,Miljö!$B$1:$J$479,MATCH("Typ av ursprungsspecificerad el   (Om inget värde anges används Nordisk residualmix, se inforuta) ()",Miljö!$B$1:$J$1,0),FALSE),IF(AM242="nej","Nordisk residualel",""))</f>
        <v>'100% vattenkraft'</v>
      </c>
      <c r="AO242" s="227">
        <f>IF(AM242="","",VLOOKUP($B242,Miljö!$B$1:$J$479,MATCH("Fossilandel för ursprungspecificerad el ()",Miljö!$B$1:$J$1,0),FALSE))</f>
        <v>0</v>
      </c>
      <c r="AP242" s="227">
        <f>IF(AM242="","",IFERROR(VLOOKUP($B242,Miljö!$B$1:$J$479,MATCH("Kärnkraftsandel för ursprungsspecificerad el ()",Miljö!$B$1:$J$1,0),FALSE)/1,0))</f>
        <v>0</v>
      </c>
      <c r="AQ242" s="227">
        <f t="shared" si="19"/>
        <v>1</v>
      </c>
      <c r="AR242" s="227"/>
      <c r="AS242" s="227" t="str">
        <f t="shared" si="20"/>
        <v>Nej</v>
      </c>
      <c r="AT242" s="227" t="str">
        <f>IF(AS242="ja",VLOOKUP($B242,Miljö!$B$1:$O$500,MATCH("Fossil andel i procent (%)",Miljö!$B$1:$O$1,0),FALSE)/100,"")</f>
        <v/>
      </c>
      <c r="AU242" s="227"/>
      <c r="AV242" s="227" t="str">
        <f t="shared" si="21"/>
        <v>Nej</v>
      </c>
      <c r="AW242" s="227" t="str">
        <f>IF(AV242="ja",VLOOKUP($B242,'Egen hetvattenprod'!$B$1:$AO$500,MATCH("Värmekälla till värmepumpar ()",'Egen hetvattenprod'!$B$1:$AO$1,0),FALSE),"")</f>
        <v/>
      </c>
      <c r="AX242" s="227"/>
      <c r="AY242" s="227" t="str">
        <f t="shared" si="22"/>
        <v>Ja</v>
      </c>
      <c r="AZ242" s="228">
        <f>IF($AY242="ja",(VLOOKUP($B242,'Egen hetvattenprod'!$B$1:$BX$550,MATCH(AZ$2,'Egen hetvattenprod'!$B$1:$BX$1,0),FALSE)+VLOOKUP($B242,Kraftvärmeprod!$B$1:$BX$550,MATCH(AZ$2,Kraftvärmeprod!$B$1:$BX$1,0),FALSE))/$AC242,"")</f>
        <v>1</v>
      </c>
      <c r="BA242" s="228">
        <f>IF($AY242="ja",(VLOOKUP($B242,'Egen hetvattenprod'!$B$1:$BX$550,MATCH(BA$2,'Egen hetvattenprod'!$B$1:$BX$1,0),FALSE)+VLOOKUP($B242,Kraftvärmeprod!$B$1:$BX$550,MATCH(BA$2,Kraftvärmeprod!$B$1:$BX$1,0),FALSE))/$AC242,"")</f>
        <v>0</v>
      </c>
      <c r="BB242" s="228">
        <f>IF($AY242="ja",(VLOOKUP($B242,'Egen hetvattenprod'!$B$1:$BX$550,MATCH(BB$2,'Egen hetvattenprod'!$B$1:$BX$1,0),FALSE)+VLOOKUP($B242,Kraftvärmeprod!$B$1:$BX$550,MATCH(BB$2,Kraftvärmeprod!$B$1:$BX$1,0),FALSE))/$AC242,"")</f>
        <v>0</v>
      </c>
      <c r="BC242" s="228">
        <f>IF($AY242="ja",(VLOOKUP($B242,'Egen hetvattenprod'!$B$1:$BX$550,MATCH(BC$2,'Egen hetvattenprod'!$B$1:$BX$1,0),FALSE)+VLOOKUP($B242,Kraftvärmeprod!$B$1:$BX$550,MATCH(BC$2,Kraftvärmeprod!$B$1:$BX$1,0),FALSE))/$AC242,"")</f>
        <v>0</v>
      </c>
      <c r="BD242" s="228">
        <f>IF($AY242="ja",(VLOOKUP($B242,'Egen hetvattenprod'!$B$1:$BX$550,MATCH(BD$2,'Egen hetvattenprod'!$B$1:$BX$1,0),FALSE)+VLOOKUP($B242,Kraftvärmeprod!$B$1:$BX$550,MATCH(BD$2,Kraftvärmeprod!$B$1:$BX$1,0),FALSE))/$AC242,"")</f>
        <v>0</v>
      </c>
      <c r="BE242" s="227"/>
      <c r="BF242" s="227" t="str">
        <f t="shared" si="23"/>
        <v>Nej</v>
      </c>
      <c r="BG242" s="227" t="str">
        <f>IF($BF242="ja",VLOOKUP($B242,'Egen hetvattenprod'!$B$1:$BX$550,MATCH("Andelen klimatgaser med fossilt ursprung för avfall ()",'Egen hetvattenprod'!$B$1:$BX$1,0),FALSE),"")</f>
        <v/>
      </c>
      <c r="BH242" s="227" t="str">
        <f>IF($BF242="ja",VLOOKUP($B242,Kraftvärmeprod!$B$1:$BX$550,MATCH("Andelen klimatgaser med fossilt ursprung för avfall ()",Kraftvärmeprod!$B$1:$BX$1,0),FALSE),"")</f>
        <v/>
      </c>
      <c r="BI242" s="227" t="str">
        <f>IF($BF242="ja",VLOOKUP($B242,'Egen hetvattenprod'!$B$1:$BX$550,MATCH("Avfall (GWh)",'Egen hetvattenprod'!$B$1:$BX$1,0),FALSE),"")</f>
        <v/>
      </c>
      <c r="BJ242" s="227" t="str">
        <f>IF($BF242="ja",VLOOKUP($B242,'Slutlig allokering kvv'!$B$1:$BX$550,MATCH("Avfall (GWh)",'Slutlig allokering kvv'!$B$1:$BX$1,0),FALSE),"")</f>
        <v/>
      </c>
      <c r="BK242" s="227" t="str">
        <f>IF($BF242="ja",VLOOKUP($B242,'Köpt hetvatten'!$B$1:$BX$550,MATCH("Avfall i köpt hetvatten",'Köpt hetvatten'!$B$1:$BX$1,0),FALSE),"")</f>
        <v/>
      </c>
      <c r="BL242" s="227" t="str">
        <f>IF($BF242="ja",VLOOKUP($B242,'Egen hetvattenprod'!$B$1:$BX$550,MATCH("Värde enligt ovan. (%)",'Egen hetvattenprod'!$B$1:$BX$1,0),FALSE),"")</f>
        <v/>
      </c>
      <c r="BM242" s="227" t="str">
        <f>IF($BF242="ja",VLOOKUP($B242,Kraftvärmeprod!$B$1:$BX$550,MATCH("Värde enligt ovan. (%)",Kraftvärmeprod!$B$1:$BX$1,0),FALSE),"")</f>
        <v/>
      </c>
      <c r="BN242" s="227"/>
      <c r="BO242" s="227"/>
      <c r="BP242" s="227"/>
      <c r="BQ242" s="227" t="str">
        <f>IF($BF242="ja",VLOOKUP($B242,'Egen hetvattenprod'!$B$1:$BX$550,MATCH("Tillförd olja (fossil) vid avfallsförbränning (GWh)",'Egen hetvattenprod'!$B$1:$BX$1,0),FALSE),"")</f>
        <v/>
      </c>
      <c r="BR242" s="227" t="str">
        <f>IF($BF242="ja",VLOOKUP($B242,Kraftvärmeprod!$B$1:$BX$550,MATCH("Tillförd olja (fossil) vid avfallsförbränning (GWh)",Kraftvärmeprod!$B$1:$BX$1,0),FALSE),"")</f>
        <v/>
      </c>
      <c r="BS242" s="227"/>
      <c r="BT242" s="227"/>
      <c r="BU242" s="227"/>
    </row>
    <row r="243" spans="1:73" x14ac:dyDescent="0.25">
      <c r="A243" s="121" t="str">
        <f>'Miljövärden för publ företag'!B246</f>
        <v>Statkraft Värme AB</v>
      </c>
      <c r="B243" s="121" t="str">
        <f>'Miljövärden för publ företag'!C246</f>
        <v>Trosa</v>
      </c>
      <c r="C243" s="173">
        <f>IFERROR(VLOOKUP($B243,Totalt!$B$1:$AQ$554,MATCH(C$2,Totalt!$B$1:$AQ$1,0),FALSE),"")</f>
        <v>0</v>
      </c>
      <c r="D243" s="173">
        <f>IFERROR(VLOOKUP($B243,Totalt!$B$1:$AQ$554,MATCH(D$2,Totalt!$B$1:$AQ$1,0),FALSE),"")</f>
        <v>0</v>
      </c>
      <c r="E243" s="173">
        <f>IFERROR(VLOOKUP($B243,Totalt!$B$1:$AQ$554,MATCH(E$2,Totalt!$B$1:$AQ$1,0),FALSE),"")</f>
        <v>0</v>
      </c>
      <c r="F243" s="173">
        <f>IFERROR(VLOOKUP($B243,Totalt!$B$1:$AQ$554,MATCH(F$2,Totalt!$B$1:$AQ$1,0),FALSE),"")</f>
        <v>0</v>
      </c>
      <c r="G243" s="173">
        <f>IFERROR(VLOOKUP($B243,Totalt!$B$1:$AQ$554,MATCH(G$2,Totalt!$B$1:$AQ$1,0),FALSE),"")</f>
        <v>0</v>
      </c>
      <c r="H243" s="173">
        <f>IFERROR(VLOOKUP($B243,Totalt!$B$1:$AQ$554,MATCH(H$2,Totalt!$B$1:$AQ$1,0),FALSE),"")</f>
        <v>0</v>
      </c>
      <c r="I243" s="173">
        <f>IFERROR(VLOOKUP($B243,Totalt!$B$1:$AQ$554,MATCH(I$2,Totalt!$B$1:$AQ$1,0),FALSE),"")</f>
        <v>0</v>
      </c>
      <c r="J243" s="173">
        <f>IFERROR(VLOOKUP($B243,Totalt!$B$1:$AQ$554,MATCH(J$2,Totalt!$B$1:$AQ$1,0),FALSE),"")</f>
        <v>0</v>
      </c>
      <c r="K243" s="173">
        <f>IFERROR(VLOOKUP($B243,Totalt!$B$1:$AQ$554,MATCH(K$2,Totalt!$B$1:$AQ$1,0),FALSE),"")</f>
        <v>0</v>
      </c>
      <c r="L243" s="173">
        <f>IFERROR(VLOOKUP($B243,Totalt!$B$1:$AQ$554,MATCH(L$2,Totalt!$B$1:$AQ$1,0),FALSE),"")</f>
        <v>0</v>
      </c>
      <c r="M243" s="173">
        <f>IFERROR(VLOOKUP($B243,Totalt!$B$1:$AQ$554,MATCH(M$2,Totalt!$B$1:$AQ$1,0),FALSE),"")</f>
        <v>6.57</v>
      </c>
      <c r="N243" s="173">
        <f>IFERROR(VLOOKUP($B243,Totalt!$B$1:$AQ$554,MATCH(N$2,Totalt!$B$1:$AQ$1,0),FALSE),"")</f>
        <v>11.27</v>
      </c>
      <c r="O243" s="173">
        <f>IFERROR(VLOOKUP($B243,Totalt!$B$1:$AQ$554,MATCH(O$2,Totalt!$B$1:$AQ$1,0),FALSE),"")</f>
        <v>4.46</v>
      </c>
      <c r="P243" s="173">
        <f>IFERROR(VLOOKUP($B243,Totalt!$B$1:$AQ$554,MATCH(P$2,Totalt!$B$1:$AQ$1,0),FALSE),"")</f>
        <v>1.17</v>
      </c>
      <c r="Q243" s="173">
        <f>IFERROR(VLOOKUP($B243,Totalt!$B$1:$AQ$554,MATCH(Q$2,Totalt!$B$1:$AQ$1,0),FALSE),"")</f>
        <v>0</v>
      </c>
      <c r="R243" s="173">
        <f>IFERROR(VLOOKUP($B243,Totalt!$B$1:$AQ$554,MATCH(R$2,Totalt!$B$1:$AQ$1,0),FALSE),"")</f>
        <v>0</v>
      </c>
      <c r="S243" s="173">
        <f>IFERROR(VLOOKUP($B243,Totalt!$B$1:$AQ$554,MATCH(S$2,Totalt!$B$1:$AQ$1,0),FALSE),"")</f>
        <v>0</v>
      </c>
      <c r="T243" s="173">
        <f>IFERROR(VLOOKUP($B243,Totalt!$B$1:$AQ$554,MATCH(T$2,Totalt!$B$1:$AQ$1,0),FALSE),"")</f>
        <v>0</v>
      </c>
      <c r="U243" s="173">
        <f>IFERROR(VLOOKUP($B243,Totalt!$B$1:$AQ$554,MATCH(U$2,Totalt!$B$1:$AQ$1,0),FALSE),"")</f>
        <v>0</v>
      </c>
      <c r="V243" s="173">
        <f>IFERROR(VLOOKUP($B243,Totalt!$B$1:$AQ$554,MATCH(V$2,Totalt!$B$1:$AQ$1,0),FALSE),"")</f>
        <v>0</v>
      </c>
      <c r="W243" s="173">
        <f>IFERROR(VLOOKUP($B243,Totalt!$B$1:$AQ$554,MATCH(W$2,Totalt!$B$1:$AQ$1,0),FALSE),"")</f>
        <v>0.81</v>
      </c>
      <c r="X243" s="173">
        <f>IFERROR(VLOOKUP($B243,Totalt!$B$1:$AQ$554,MATCH(X$2,Totalt!$B$1:$AQ$1,0),FALSE),"")</f>
        <v>0</v>
      </c>
      <c r="Y243" s="173">
        <f>IFERROR(VLOOKUP($B243,Totalt!$B$1:$AQ$554,MATCH(Y$2,Totalt!$B$1:$AQ$1,0),FALSE),"")</f>
        <v>0</v>
      </c>
      <c r="Z243" s="173">
        <f>IFERROR(VLOOKUP($B243,Totalt!$B$1:$AQ$554,MATCH(Z$2,Totalt!$B$1:$AQ$1,0),FALSE),"")</f>
        <v>0</v>
      </c>
      <c r="AA243" s="173">
        <f>IFERROR(VLOOKUP($B243,Totalt!$B$1:$AQ$554,MATCH(AA$2,Totalt!$B$1:$AQ$1,0),FALSE),"")</f>
        <v>0</v>
      </c>
      <c r="AB243" s="173">
        <f>IFERROR(VLOOKUP($B243,Totalt!$B$1:$AQ$554,MATCH(AB$2,Totalt!$B$1:$AQ$1,0),FALSE),"")</f>
        <v>0</v>
      </c>
      <c r="AC243" s="173">
        <f>IFERROR(VLOOKUP($B243,Totalt!$B$1:$AQ$554,MATCH(AC$2,Totalt!$B$1:$AQ$1,0),FALSE),"")</f>
        <v>5</v>
      </c>
      <c r="AD243" s="173">
        <f>IFERROR(VLOOKUP($B243,Totalt!$B$1:$AQ$554,MATCH(AD$2,Totalt!$B$1:$AQ$1,0),FALSE),"")</f>
        <v>0</v>
      </c>
      <c r="AE243" s="173">
        <f>IFERROR(VLOOKUP($B243,Totalt!$B$1:$AQ$554,MATCH(AE$2,Totalt!$B$1:$AQ$1,0),FALSE),"")</f>
        <v>0</v>
      </c>
      <c r="AF243" s="173">
        <f>IFERROR(VLOOKUP($B243,Totalt!$B$1:$AQ$554,MATCH(AF$2,Totalt!$B$1:$AQ$1,0),FALSE),"")</f>
        <v>0.83</v>
      </c>
      <c r="AG243" s="173">
        <f>IFERROR(VLOOKUP($B243,Totalt!$B$1:$AQ$554,MATCH(AG$2,Totalt!$B$1:$AQ$1,0),FALSE),"")</f>
        <v>0</v>
      </c>
      <c r="AI243" s="226">
        <f t="shared" si="18"/>
        <v>30.109999999999996</v>
      </c>
      <c r="AJ243" s="226">
        <f>IF(ISERROR(1/VLOOKUP($B243,Leveranser!$B$1:$S$500,MATCH("såld värme (gwh)",Leveranser!$B$1:$S$1,0),FALSE)),"",VLOOKUP($B243,Leveranser!$B$1:$S$500,MATCH("såld värme (gwh)",Leveranser!$B$1:$S$1,0),FALSE))</f>
        <v>21.95</v>
      </c>
      <c r="AM243" s="227" t="str">
        <f>IF(B243&lt;&gt;"",IF(VLOOKUP($B243,Totalt!$B$1:$AQ$554,MATCH("Kvalitetsgranskad:",Totalt!$B$1:$AQ$1,0),FALSE)="ja",VLOOKUP($B243,Miljö!$B$1:$AG$479,MATCH(AM$2,Miljö!$B$1:$AK$1,0),FALSE),""),"")</f>
        <v>Ja</v>
      </c>
      <c r="AN243" s="227" t="str">
        <f>IF(AM243="ja",VLOOKUP($B243,Miljö!$B$1:$J$479,MATCH("Typ av ursprungsspecificerad el   (Om inget värde anges används Nordisk residualmix, se inforuta) ()",Miljö!$B$1:$J$1,0),FALSE),IF(AM243="nej","Nordisk residualel",""))</f>
        <v>'100% vattenkraft'</v>
      </c>
      <c r="AO243" s="227">
        <f>IF(AM243="","",VLOOKUP($B243,Miljö!$B$1:$J$479,MATCH("Fossilandel för ursprungspecificerad el ()",Miljö!$B$1:$J$1,0),FALSE))</f>
        <v>0</v>
      </c>
      <c r="AP243" s="227">
        <f>IF(AM243="","",IFERROR(VLOOKUP($B243,Miljö!$B$1:$J$479,MATCH("Kärnkraftsandel för ursprungsspecificerad el ()",Miljö!$B$1:$J$1,0),FALSE)/1,0))</f>
        <v>0</v>
      </c>
      <c r="AQ243" s="227">
        <f t="shared" si="19"/>
        <v>1</v>
      </c>
      <c r="AR243" s="227"/>
      <c r="AS243" s="227" t="str">
        <f t="shared" si="20"/>
        <v>Nej</v>
      </c>
      <c r="AT243" s="227" t="str">
        <f>IF(AS243="ja",VLOOKUP($B243,Miljö!$B$1:$O$500,MATCH("Fossil andel i procent (%)",Miljö!$B$1:$O$1,0),FALSE)/100,"")</f>
        <v/>
      </c>
      <c r="AU243" s="227"/>
      <c r="AV243" s="227" t="str">
        <f t="shared" si="21"/>
        <v>Nej</v>
      </c>
      <c r="AW243" s="227" t="str">
        <f>IF(AV243="ja",VLOOKUP($B243,'Egen hetvattenprod'!$B$1:$AO$500,MATCH("Värmekälla till värmepumpar ()",'Egen hetvattenprod'!$B$1:$AO$1,0),FALSE),"")</f>
        <v/>
      </c>
      <c r="AX243" s="227"/>
      <c r="AY243" s="227" t="str">
        <f t="shared" si="22"/>
        <v>Ja</v>
      </c>
      <c r="AZ243" s="228">
        <f>IF($AY243="ja",(VLOOKUP($B243,'Egen hetvattenprod'!$B$1:$BX$550,MATCH(AZ$2,'Egen hetvattenprod'!$B$1:$BX$1,0),FALSE)+VLOOKUP($B243,Kraftvärmeprod!$B$1:$BX$550,MATCH(AZ$2,Kraftvärmeprod!$B$1:$BX$1,0),FALSE))/$AC243,"")</f>
        <v>1</v>
      </c>
      <c r="BA243" s="228">
        <f>IF($AY243="ja",(VLOOKUP($B243,'Egen hetvattenprod'!$B$1:$BX$550,MATCH(BA$2,'Egen hetvattenprod'!$B$1:$BX$1,0),FALSE)+VLOOKUP($B243,Kraftvärmeprod!$B$1:$BX$550,MATCH(BA$2,Kraftvärmeprod!$B$1:$BX$1,0),FALSE))/$AC243,"")</f>
        <v>0</v>
      </c>
      <c r="BB243" s="228">
        <f>IF($AY243="ja",(VLOOKUP($B243,'Egen hetvattenprod'!$B$1:$BX$550,MATCH(BB$2,'Egen hetvattenprod'!$B$1:$BX$1,0),FALSE)+VLOOKUP($B243,Kraftvärmeprod!$B$1:$BX$550,MATCH(BB$2,Kraftvärmeprod!$B$1:$BX$1,0),FALSE))/$AC243,"")</f>
        <v>0</v>
      </c>
      <c r="BC243" s="228">
        <f>IF($AY243="ja",(VLOOKUP($B243,'Egen hetvattenprod'!$B$1:$BX$550,MATCH(BC$2,'Egen hetvattenprod'!$B$1:$BX$1,0),FALSE)+VLOOKUP($B243,Kraftvärmeprod!$B$1:$BX$550,MATCH(BC$2,Kraftvärmeprod!$B$1:$BX$1,0),FALSE))/$AC243,"")</f>
        <v>0</v>
      </c>
      <c r="BD243" s="228">
        <f>IF($AY243="ja",(VLOOKUP($B243,'Egen hetvattenprod'!$B$1:$BX$550,MATCH(BD$2,'Egen hetvattenprod'!$B$1:$BX$1,0),FALSE)+VLOOKUP($B243,Kraftvärmeprod!$B$1:$BX$550,MATCH(BD$2,Kraftvärmeprod!$B$1:$BX$1,0),FALSE))/$AC243,"")</f>
        <v>0</v>
      </c>
      <c r="BE243" s="227"/>
      <c r="BF243" s="227" t="str">
        <f t="shared" si="23"/>
        <v>Nej</v>
      </c>
      <c r="BG243" s="227" t="str">
        <f>IF($BF243="ja",VLOOKUP($B243,'Egen hetvattenprod'!$B$1:$BX$550,MATCH("Andelen klimatgaser med fossilt ursprung för avfall ()",'Egen hetvattenprod'!$B$1:$BX$1,0),FALSE),"")</f>
        <v/>
      </c>
      <c r="BH243" s="227" t="str">
        <f>IF($BF243="ja",VLOOKUP($B243,Kraftvärmeprod!$B$1:$BX$550,MATCH("Andelen klimatgaser med fossilt ursprung för avfall ()",Kraftvärmeprod!$B$1:$BX$1,0),FALSE),"")</f>
        <v/>
      </c>
      <c r="BI243" s="227" t="str">
        <f>IF($BF243="ja",VLOOKUP($B243,'Egen hetvattenprod'!$B$1:$BX$550,MATCH("Avfall (GWh)",'Egen hetvattenprod'!$B$1:$BX$1,0),FALSE),"")</f>
        <v/>
      </c>
      <c r="BJ243" s="227" t="str">
        <f>IF($BF243="ja",VLOOKUP($B243,'Slutlig allokering kvv'!$B$1:$BX$550,MATCH("Avfall (GWh)",'Slutlig allokering kvv'!$B$1:$BX$1,0),FALSE),"")</f>
        <v/>
      </c>
      <c r="BK243" s="227" t="str">
        <f>IF($BF243="ja",VLOOKUP($B243,'Köpt hetvatten'!$B$1:$BX$550,MATCH("Avfall i köpt hetvatten",'Köpt hetvatten'!$B$1:$BX$1,0),FALSE),"")</f>
        <v/>
      </c>
      <c r="BL243" s="227" t="str">
        <f>IF($BF243="ja",VLOOKUP($B243,'Egen hetvattenprod'!$B$1:$BX$550,MATCH("Värde enligt ovan. (%)",'Egen hetvattenprod'!$B$1:$BX$1,0),FALSE),"")</f>
        <v/>
      </c>
      <c r="BM243" s="227" t="str">
        <f>IF($BF243="ja",VLOOKUP($B243,Kraftvärmeprod!$B$1:$BX$550,MATCH("Värde enligt ovan. (%)",Kraftvärmeprod!$B$1:$BX$1,0),FALSE),"")</f>
        <v/>
      </c>
      <c r="BN243" s="227"/>
      <c r="BO243" s="227"/>
      <c r="BP243" s="227"/>
      <c r="BQ243" s="227" t="str">
        <f>IF($BF243="ja",VLOOKUP($B243,'Egen hetvattenprod'!$B$1:$BX$550,MATCH("Tillförd olja (fossil) vid avfallsförbränning (GWh)",'Egen hetvattenprod'!$B$1:$BX$1,0),FALSE),"")</f>
        <v/>
      </c>
      <c r="BR243" s="227" t="str">
        <f>IF($BF243="ja",VLOOKUP($B243,Kraftvärmeprod!$B$1:$BX$550,MATCH("Tillförd olja (fossil) vid avfallsförbränning (GWh)",Kraftvärmeprod!$B$1:$BX$1,0),FALSE),"")</f>
        <v/>
      </c>
      <c r="BS243" s="227"/>
      <c r="BT243" s="227"/>
      <c r="BU243" s="227"/>
    </row>
    <row r="244" spans="1:73" x14ac:dyDescent="0.25">
      <c r="A244" s="121" t="str">
        <f>'Miljövärden för publ företag'!B247</f>
        <v>Statkraft Värme AB</v>
      </c>
      <c r="B244" s="121" t="str">
        <f>'Miljövärden för publ företag'!C247</f>
        <v>Vagnhärad</v>
      </c>
      <c r="C244" s="173">
        <f>IFERROR(VLOOKUP($B244,Totalt!$B$1:$AQ$554,MATCH(C$2,Totalt!$B$1:$AQ$1,0),FALSE),"")</f>
        <v>0</v>
      </c>
      <c r="D244" s="173">
        <f>IFERROR(VLOOKUP($B244,Totalt!$B$1:$AQ$554,MATCH(D$2,Totalt!$B$1:$AQ$1,0),FALSE),"")</f>
        <v>0.31</v>
      </c>
      <c r="E244" s="173">
        <f>IFERROR(VLOOKUP($B244,Totalt!$B$1:$AQ$554,MATCH(E$2,Totalt!$B$1:$AQ$1,0),FALSE),"")</f>
        <v>0</v>
      </c>
      <c r="F244" s="173">
        <f>IFERROR(VLOOKUP($B244,Totalt!$B$1:$AQ$554,MATCH(F$2,Totalt!$B$1:$AQ$1,0),FALSE),"")</f>
        <v>0</v>
      </c>
      <c r="G244" s="173">
        <f>IFERROR(VLOOKUP($B244,Totalt!$B$1:$AQ$554,MATCH(G$2,Totalt!$B$1:$AQ$1,0),FALSE),"")</f>
        <v>0</v>
      </c>
      <c r="H244" s="173">
        <f>IFERROR(VLOOKUP($B244,Totalt!$B$1:$AQ$554,MATCH(H$2,Totalt!$B$1:$AQ$1,0),FALSE),"")</f>
        <v>0</v>
      </c>
      <c r="I244" s="173">
        <f>IFERROR(VLOOKUP($B244,Totalt!$B$1:$AQ$554,MATCH(I$2,Totalt!$B$1:$AQ$1,0),FALSE),"")</f>
        <v>0</v>
      </c>
      <c r="J244" s="173">
        <f>IFERROR(VLOOKUP($B244,Totalt!$B$1:$AQ$554,MATCH(J$2,Totalt!$B$1:$AQ$1,0),FALSE),"")</f>
        <v>0</v>
      </c>
      <c r="K244" s="173">
        <f>IFERROR(VLOOKUP($B244,Totalt!$B$1:$AQ$554,MATCH(K$2,Totalt!$B$1:$AQ$1,0),FALSE),"")</f>
        <v>0</v>
      </c>
      <c r="L244" s="173">
        <f>IFERROR(VLOOKUP($B244,Totalt!$B$1:$AQ$554,MATCH(L$2,Totalt!$B$1:$AQ$1,0),FALSE),"")</f>
        <v>0</v>
      </c>
      <c r="M244" s="173">
        <f>IFERROR(VLOOKUP($B244,Totalt!$B$1:$AQ$554,MATCH(M$2,Totalt!$B$1:$AQ$1,0),FALSE),"")</f>
        <v>0</v>
      </c>
      <c r="N244" s="173">
        <f>IFERROR(VLOOKUP($B244,Totalt!$B$1:$AQ$554,MATCH(N$2,Totalt!$B$1:$AQ$1,0),FALSE),"")</f>
        <v>4.03</v>
      </c>
      <c r="O244" s="173">
        <f>IFERROR(VLOOKUP($B244,Totalt!$B$1:$AQ$554,MATCH(O$2,Totalt!$B$1:$AQ$1,0),FALSE),"")</f>
        <v>0</v>
      </c>
      <c r="P244" s="173">
        <f>IFERROR(VLOOKUP($B244,Totalt!$B$1:$AQ$554,MATCH(P$2,Totalt!$B$1:$AQ$1,0),FALSE),"")</f>
        <v>6.57</v>
      </c>
      <c r="Q244" s="173">
        <f>IFERROR(VLOOKUP($B244,Totalt!$B$1:$AQ$554,MATCH(Q$2,Totalt!$B$1:$AQ$1,0),FALSE),"")</f>
        <v>0</v>
      </c>
      <c r="R244" s="173">
        <f>IFERROR(VLOOKUP($B244,Totalt!$B$1:$AQ$554,MATCH(R$2,Totalt!$B$1:$AQ$1,0),FALSE),"")</f>
        <v>0</v>
      </c>
      <c r="S244" s="173">
        <f>IFERROR(VLOOKUP($B244,Totalt!$B$1:$AQ$554,MATCH(S$2,Totalt!$B$1:$AQ$1,0),FALSE),"")</f>
        <v>0</v>
      </c>
      <c r="T244" s="173">
        <f>IFERROR(VLOOKUP($B244,Totalt!$B$1:$AQ$554,MATCH(T$2,Totalt!$B$1:$AQ$1,0),FALSE),"")</f>
        <v>0</v>
      </c>
      <c r="U244" s="173">
        <f>IFERROR(VLOOKUP($B244,Totalt!$B$1:$AQ$554,MATCH(U$2,Totalt!$B$1:$AQ$1,0),FALSE),"")</f>
        <v>0</v>
      </c>
      <c r="V244" s="173">
        <f>IFERROR(VLOOKUP($B244,Totalt!$B$1:$AQ$554,MATCH(V$2,Totalt!$B$1:$AQ$1,0),FALSE),"")</f>
        <v>0</v>
      </c>
      <c r="W244" s="173">
        <f>IFERROR(VLOOKUP($B244,Totalt!$B$1:$AQ$554,MATCH(W$2,Totalt!$B$1:$AQ$1,0),FALSE),"")</f>
        <v>0.47</v>
      </c>
      <c r="X244" s="173">
        <f>IFERROR(VLOOKUP($B244,Totalt!$B$1:$AQ$554,MATCH(X$2,Totalt!$B$1:$AQ$1,0),FALSE),"")</f>
        <v>0</v>
      </c>
      <c r="Y244" s="173">
        <f>IFERROR(VLOOKUP($B244,Totalt!$B$1:$AQ$554,MATCH(Y$2,Totalt!$B$1:$AQ$1,0),FALSE),"")</f>
        <v>0</v>
      </c>
      <c r="Z244" s="173">
        <f>IFERROR(VLOOKUP($B244,Totalt!$B$1:$AQ$554,MATCH(Z$2,Totalt!$B$1:$AQ$1,0),FALSE),"")</f>
        <v>0</v>
      </c>
      <c r="AA244" s="173">
        <f>IFERROR(VLOOKUP($B244,Totalt!$B$1:$AQ$554,MATCH(AA$2,Totalt!$B$1:$AQ$1,0),FALSE),"")</f>
        <v>0</v>
      </c>
      <c r="AB244" s="173">
        <f>IFERROR(VLOOKUP($B244,Totalt!$B$1:$AQ$554,MATCH(AB$2,Totalt!$B$1:$AQ$1,0),FALSE),"")</f>
        <v>0</v>
      </c>
      <c r="AC244" s="173">
        <f>IFERROR(VLOOKUP($B244,Totalt!$B$1:$AQ$554,MATCH(AC$2,Totalt!$B$1:$AQ$1,0),FALSE),"")</f>
        <v>1.39</v>
      </c>
      <c r="AD244" s="173">
        <f>IFERROR(VLOOKUP($B244,Totalt!$B$1:$AQ$554,MATCH(AD$2,Totalt!$B$1:$AQ$1,0),FALSE),"")</f>
        <v>0</v>
      </c>
      <c r="AE244" s="173">
        <f>IFERROR(VLOOKUP($B244,Totalt!$B$1:$AQ$554,MATCH(AE$2,Totalt!$B$1:$AQ$1,0),FALSE),"")</f>
        <v>0</v>
      </c>
      <c r="AF244" s="173">
        <f>IFERROR(VLOOKUP($B244,Totalt!$B$1:$AQ$554,MATCH(AF$2,Totalt!$B$1:$AQ$1,0),FALSE),"")</f>
        <v>0.24</v>
      </c>
      <c r="AG244" s="173">
        <f>IFERROR(VLOOKUP($B244,Totalt!$B$1:$AQ$554,MATCH(AG$2,Totalt!$B$1:$AQ$1,0),FALSE),"")</f>
        <v>0</v>
      </c>
      <c r="AI244" s="226">
        <f t="shared" si="18"/>
        <v>13.010000000000002</v>
      </c>
      <c r="AJ244" s="226">
        <f>IF(ISERROR(1/VLOOKUP($B244,Leveranser!$B$1:$S$500,MATCH("såld värme (gwh)",Leveranser!$B$1:$S$1,0),FALSE)),"",VLOOKUP($B244,Leveranser!$B$1:$S$500,MATCH("såld värme (gwh)",Leveranser!$B$1:$S$1,0),FALSE))</f>
        <v>9.2100000000000009</v>
      </c>
      <c r="AM244" s="227" t="str">
        <f>IF(B244&lt;&gt;"",IF(VLOOKUP($B244,Totalt!$B$1:$AQ$554,MATCH("Kvalitetsgranskad:",Totalt!$B$1:$AQ$1,0),FALSE)="ja",VLOOKUP($B244,Miljö!$B$1:$AG$479,MATCH(AM$2,Miljö!$B$1:$AK$1,0),FALSE),""),"")</f>
        <v>Ja</v>
      </c>
      <c r="AN244" s="227" t="str">
        <f>IF(AM244="ja",VLOOKUP($B244,Miljö!$B$1:$J$479,MATCH("Typ av ursprungsspecificerad el   (Om inget värde anges används Nordisk residualmix, se inforuta) ()",Miljö!$B$1:$J$1,0),FALSE),IF(AM244="nej","Nordisk residualel",""))</f>
        <v>'100% vattenkraft'</v>
      </c>
      <c r="AO244" s="227">
        <f>IF(AM244="","",VLOOKUP($B244,Miljö!$B$1:$J$479,MATCH("Fossilandel för ursprungspecificerad el ()",Miljö!$B$1:$J$1,0),FALSE))</f>
        <v>0</v>
      </c>
      <c r="AP244" s="227">
        <f>IF(AM244="","",IFERROR(VLOOKUP($B244,Miljö!$B$1:$J$479,MATCH("Kärnkraftsandel för ursprungsspecificerad el ()",Miljö!$B$1:$J$1,0),FALSE)/1,0))</f>
        <v>0</v>
      </c>
      <c r="AQ244" s="227">
        <f t="shared" si="19"/>
        <v>1</v>
      </c>
      <c r="AR244" s="227"/>
      <c r="AS244" s="227" t="str">
        <f t="shared" si="20"/>
        <v>Nej</v>
      </c>
      <c r="AT244" s="227" t="str">
        <f>IF(AS244="ja",VLOOKUP($B244,Miljö!$B$1:$O$500,MATCH("Fossil andel i procent (%)",Miljö!$B$1:$O$1,0),FALSE)/100,"")</f>
        <v/>
      </c>
      <c r="AU244" s="227"/>
      <c r="AV244" s="227" t="str">
        <f t="shared" si="21"/>
        <v>Nej</v>
      </c>
      <c r="AW244" s="227" t="str">
        <f>IF(AV244="ja",VLOOKUP($B244,'Egen hetvattenprod'!$B$1:$AO$500,MATCH("Värmekälla till värmepumpar ()",'Egen hetvattenprod'!$B$1:$AO$1,0),FALSE),"")</f>
        <v/>
      </c>
      <c r="AX244" s="227"/>
      <c r="AY244" s="227" t="str">
        <f t="shared" si="22"/>
        <v>Ja</v>
      </c>
      <c r="AZ244" s="228">
        <f>IF($AY244="ja",(VLOOKUP($B244,'Egen hetvattenprod'!$B$1:$BX$550,MATCH(AZ$2,'Egen hetvattenprod'!$B$1:$BX$1,0),FALSE)+VLOOKUP($B244,Kraftvärmeprod!$B$1:$BX$550,MATCH(AZ$2,Kraftvärmeprod!$B$1:$BX$1,0),FALSE))/$AC244,"")</f>
        <v>1</v>
      </c>
      <c r="BA244" s="228">
        <f>IF($AY244="ja",(VLOOKUP($B244,'Egen hetvattenprod'!$B$1:$BX$550,MATCH(BA$2,'Egen hetvattenprod'!$B$1:$BX$1,0),FALSE)+VLOOKUP($B244,Kraftvärmeprod!$B$1:$BX$550,MATCH(BA$2,Kraftvärmeprod!$B$1:$BX$1,0),FALSE))/$AC244,"")</f>
        <v>0</v>
      </c>
      <c r="BB244" s="228">
        <f>IF($AY244="ja",(VLOOKUP($B244,'Egen hetvattenprod'!$B$1:$BX$550,MATCH(BB$2,'Egen hetvattenprod'!$B$1:$BX$1,0),FALSE)+VLOOKUP($B244,Kraftvärmeprod!$B$1:$BX$550,MATCH(BB$2,Kraftvärmeprod!$B$1:$BX$1,0),FALSE))/$AC244,"")</f>
        <v>0</v>
      </c>
      <c r="BC244" s="228">
        <f>IF($AY244="ja",(VLOOKUP($B244,'Egen hetvattenprod'!$B$1:$BX$550,MATCH(BC$2,'Egen hetvattenprod'!$B$1:$BX$1,0),FALSE)+VLOOKUP($B244,Kraftvärmeprod!$B$1:$BX$550,MATCH(BC$2,Kraftvärmeprod!$B$1:$BX$1,0),FALSE))/$AC244,"")</f>
        <v>0</v>
      </c>
      <c r="BD244" s="228">
        <f>IF($AY244="ja",(VLOOKUP($B244,'Egen hetvattenprod'!$B$1:$BX$550,MATCH(BD$2,'Egen hetvattenprod'!$B$1:$BX$1,0),FALSE)+VLOOKUP($B244,Kraftvärmeprod!$B$1:$BX$550,MATCH(BD$2,Kraftvärmeprod!$B$1:$BX$1,0),FALSE))/$AC244,"")</f>
        <v>0</v>
      </c>
      <c r="BE244" s="227"/>
      <c r="BF244" s="227" t="str">
        <f t="shared" si="23"/>
        <v>Nej</v>
      </c>
      <c r="BG244" s="227" t="str">
        <f>IF($BF244="ja",VLOOKUP($B244,'Egen hetvattenprod'!$B$1:$BX$550,MATCH("Andelen klimatgaser med fossilt ursprung för avfall ()",'Egen hetvattenprod'!$B$1:$BX$1,0),FALSE),"")</f>
        <v/>
      </c>
      <c r="BH244" s="227" t="str">
        <f>IF($BF244="ja",VLOOKUP($B244,Kraftvärmeprod!$B$1:$BX$550,MATCH("Andelen klimatgaser med fossilt ursprung för avfall ()",Kraftvärmeprod!$B$1:$BX$1,0),FALSE),"")</f>
        <v/>
      </c>
      <c r="BI244" s="227" t="str">
        <f>IF($BF244="ja",VLOOKUP($B244,'Egen hetvattenprod'!$B$1:$BX$550,MATCH("Avfall (GWh)",'Egen hetvattenprod'!$B$1:$BX$1,0),FALSE),"")</f>
        <v/>
      </c>
      <c r="BJ244" s="227" t="str">
        <f>IF($BF244="ja",VLOOKUP($B244,'Slutlig allokering kvv'!$B$1:$BX$550,MATCH("Avfall (GWh)",'Slutlig allokering kvv'!$B$1:$BX$1,0),FALSE),"")</f>
        <v/>
      </c>
      <c r="BK244" s="227" t="str">
        <f>IF($BF244="ja",VLOOKUP($B244,'Köpt hetvatten'!$B$1:$BX$550,MATCH("Avfall i köpt hetvatten",'Köpt hetvatten'!$B$1:$BX$1,0),FALSE),"")</f>
        <v/>
      </c>
      <c r="BL244" s="227" t="str">
        <f>IF($BF244="ja",VLOOKUP($B244,'Egen hetvattenprod'!$B$1:$BX$550,MATCH("Värde enligt ovan. (%)",'Egen hetvattenprod'!$B$1:$BX$1,0),FALSE),"")</f>
        <v/>
      </c>
      <c r="BM244" s="227" t="str">
        <f>IF($BF244="ja",VLOOKUP($B244,Kraftvärmeprod!$B$1:$BX$550,MATCH("Värde enligt ovan. (%)",Kraftvärmeprod!$B$1:$BX$1,0),FALSE),"")</f>
        <v/>
      </c>
      <c r="BN244" s="227"/>
      <c r="BO244" s="227"/>
      <c r="BP244" s="227"/>
      <c r="BQ244" s="227" t="str">
        <f>IF($BF244="ja",VLOOKUP($B244,'Egen hetvattenprod'!$B$1:$BX$550,MATCH("Tillförd olja (fossil) vid avfallsförbränning (GWh)",'Egen hetvattenprod'!$B$1:$BX$1,0),FALSE),"")</f>
        <v/>
      </c>
      <c r="BR244" s="227" t="str">
        <f>IF($BF244="ja",VLOOKUP($B244,Kraftvärmeprod!$B$1:$BX$550,MATCH("Tillförd olja (fossil) vid avfallsförbränning (GWh)",Kraftvärmeprod!$B$1:$BX$1,0),FALSE),"")</f>
        <v/>
      </c>
      <c r="BS244" s="227"/>
      <c r="BT244" s="227"/>
      <c r="BU244" s="227"/>
    </row>
    <row r="245" spans="1:73" x14ac:dyDescent="0.25">
      <c r="A245" s="121" t="str">
        <f>'Miljövärden för publ företag'!B248</f>
        <v>Statkraft Värme AB</v>
      </c>
      <c r="B245" s="121" t="str">
        <f>'Miljövärden för publ företag'!C248</f>
        <v>Åmål</v>
      </c>
      <c r="C245" s="173">
        <f>IFERROR(VLOOKUP($B245,Totalt!$B$1:$AQ$554,MATCH(C$2,Totalt!$B$1:$AQ$1,0),FALSE),"")</f>
        <v>0</v>
      </c>
      <c r="D245" s="173">
        <f>IFERROR(VLOOKUP($B245,Totalt!$B$1:$AQ$554,MATCH(D$2,Totalt!$B$1:$AQ$1,0),FALSE),"")</f>
        <v>6.3E-2</v>
      </c>
      <c r="E245" s="173">
        <f>IFERROR(VLOOKUP($B245,Totalt!$B$1:$AQ$554,MATCH(E$2,Totalt!$B$1:$AQ$1,0),FALSE),"")</f>
        <v>0</v>
      </c>
      <c r="F245" s="173">
        <f>IFERROR(VLOOKUP($B245,Totalt!$B$1:$AQ$554,MATCH(F$2,Totalt!$B$1:$AQ$1,0),FALSE),"")</f>
        <v>0</v>
      </c>
      <c r="G245" s="173">
        <f>IFERROR(VLOOKUP($B245,Totalt!$B$1:$AQ$554,MATCH(G$2,Totalt!$B$1:$AQ$1,0),FALSE),"")</f>
        <v>0</v>
      </c>
      <c r="H245" s="173">
        <f>IFERROR(VLOOKUP($B245,Totalt!$B$1:$AQ$554,MATCH(H$2,Totalt!$B$1:$AQ$1,0),FALSE),"")</f>
        <v>0</v>
      </c>
      <c r="I245" s="173">
        <f>IFERROR(VLOOKUP($B245,Totalt!$B$1:$AQ$554,MATCH(I$2,Totalt!$B$1:$AQ$1,0),FALSE),"")</f>
        <v>0</v>
      </c>
      <c r="J245" s="173">
        <f>IFERROR(VLOOKUP($B245,Totalt!$B$1:$AQ$554,MATCH(J$2,Totalt!$B$1:$AQ$1,0),FALSE),"")</f>
        <v>0</v>
      </c>
      <c r="K245" s="173">
        <f>IFERROR(VLOOKUP($B245,Totalt!$B$1:$AQ$554,MATCH(K$2,Totalt!$B$1:$AQ$1,0),FALSE),"")</f>
        <v>0</v>
      </c>
      <c r="L245" s="173">
        <f>IFERROR(VLOOKUP($B245,Totalt!$B$1:$AQ$554,MATCH(L$2,Totalt!$B$1:$AQ$1,0),FALSE),"")</f>
        <v>0</v>
      </c>
      <c r="M245" s="173">
        <f>IFERROR(VLOOKUP($B245,Totalt!$B$1:$AQ$554,MATCH(M$2,Totalt!$B$1:$AQ$1,0),FALSE),"")</f>
        <v>11.07</v>
      </c>
      <c r="N245" s="173">
        <f>IFERROR(VLOOKUP($B245,Totalt!$B$1:$AQ$554,MATCH(N$2,Totalt!$B$1:$AQ$1,0),FALSE),"")</f>
        <v>3.41</v>
      </c>
      <c r="O245" s="173">
        <f>IFERROR(VLOOKUP($B245,Totalt!$B$1:$AQ$554,MATCH(O$2,Totalt!$B$1:$AQ$1,0),FALSE),"")</f>
        <v>2.5499999999999998</v>
      </c>
      <c r="P245" s="173">
        <f>IFERROR(VLOOKUP($B245,Totalt!$B$1:$AQ$554,MATCH(P$2,Totalt!$B$1:$AQ$1,0),FALSE),"")</f>
        <v>25.54</v>
      </c>
      <c r="Q245" s="173">
        <f>IFERROR(VLOOKUP($B245,Totalt!$B$1:$AQ$554,MATCH(Q$2,Totalt!$B$1:$AQ$1,0),FALSE),"")</f>
        <v>0</v>
      </c>
      <c r="R245" s="173">
        <f>IFERROR(VLOOKUP($B245,Totalt!$B$1:$AQ$554,MATCH(R$2,Totalt!$B$1:$AQ$1,0),FALSE),"")</f>
        <v>0</v>
      </c>
      <c r="S245" s="173">
        <f>IFERROR(VLOOKUP($B245,Totalt!$B$1:$AQ$554,MATCH(S$2,Totalt!$B$1:$AQ$1,0),FALSE),"")</f>
        <v>0</v>
      </c>
      <c r="T245" s="173">
        <f>IFERROR(VLOOKUP($B245,Totalt!$B$1:$AQ$554,MATCH(T$2,Totalt!$B$1:$AQ$1,0),FALSE),"")</f>
        <v>0</v>
      </c>
      <c r="U245" s="173">
        <f>IFERROR(VLOOKUP($B245,Totalt!$B$1:$AQ$554,MATCH(U$2,Totalt!$B$1:$AQ$1,0),FALSE),"")</f>
        <v>0</v>
      </c>
      <c r="V245" s="173">
        <f>IFERROR(VLOOKUP($B245,Totalt!$B$1:$AQ$554,MATCH(V$2,Totalt!$B$1:$AQ$1,0),FALSE),"")</f>
        <v>0</v>
      </c>
      <c r="W245" s="173">
        <f>IFERROR(VLOOKUP($B245,Totalt!$B$1:$AQ$554,MATCH(W$2,Totalt!$B$1:$AQ$1,0),FALSE),"")</f>
        <v>3.55</v>
      </c>
      <c r="X245" s="173">
        <f>IFERROR(VLOOKUP($B245,Totalt!$B$1:$AQ$554,MATCH(X$2,Totalt!$B$1:$AQ$1,0),FALSE),"")</f>
        <v>0</v>
      </c>
      <c r="Y245" s="173">
        <f>IFERROR(VLOOKUP($B245,Totalt!$B$1:$AQ$554,MATCH(Y$2,Totalt!$B$1:$AQ$1,0),FALSE),"")</f>
        <v>0</v>
      </c>
      <c r="Z245" s="173">
        <f>IFERROR(VLOOKUP($B245,Totalt!$B$1:$AQ$554,MATCH(Z$2,Totalt!$B$1:$AQ$1,0),FALSE),"")</f>
        <v>0</v>
      </c>
      <c r="AA245" s="173">
        <f>IFERROR(VLOOKUP($B245,Totalt!$B$1:$AQ$554,MATCH(AA$2,Totalt!$B$1:$AQ$1,0),FALSE),"")</f>
        <v>0</v>
      </c>
      <c r="AB245" s="173">
        <f>IFERROR(VLOOKUP($B245,Totalt!$B$1:$AQ$554,MATCH(AB$2,Totalt!$B$1:$AQ$1,0),FALSE),"")</f>
        <v>0</v>
      </c>
      <c r="AC245" s="173">
        <f>IFERROR(VLOOKUP($B245,Totalt!$B$1:$AQ$554,MATCH(AC$2,Totalt!$B$1:$AQ$1,0),FALSE),"")</f>
        <v>6.54</v>
      </c>
      <c r="AD245" s="173">
        <f>IFERROR(VLOOKUP($B245,Totalt!$B$1:$AQ$554,MATCH(AD$2,Totalt!$B$1:$AQ$1,0),FALSE),"")</f>
        <v>0</v>
      </c>
      <c r="AE245" s="173">
        <f>IFERROR(VLOOKUP($B245,Totalt!$B$1:$AQ$554,MATCH(AE$2,Totalt!$B$1:$AQ$1,0),FALSE),"")</f>
        <v>0</v>
      </c>
      <c r="AF245" s="173">
        <f>IFERROR(VLOOKUP($B245,Totalt!$B$1:$AQ$554,MATCH(AF$2,Totalt!$B$1:$AQ$1,0),FALSE),"")</f>
        <v>1.06</v>
      </c>
      <c r="AG245" s="173">
        <f>IFERROR(VLOOKUP($B245,Totalt!$B$1:$AQ$554,MATCH(AG$2,Totalt!$B$1:$AQ$1,0),FALSE),"")</f>
        <v>0</v>
      </c>
      <c r="AI245" s="226">
        <f t="shared" si="18"/>
        <v>53.782999999999994</v>
      </c>
      <c r="AJ245" s="226">
        <f>IF(ISERROR(1/VLOOKUP($B245,Leveranser!$B$1:$S$500,MATCH("såld värme (gwh)",Leveranser!$B$1:$S$1,0),FALSE)),"",VLOOKUP($B245,Leveranser!$B$1:$S$500,MATCH("såld värme (gwh)",Leveranser!$B$1:$S$1,0),FALSE))</f>
        <v>42.33</v>
      </c>
      <c r="AM245" s="227" t="str">
        <f>IF(B245&lt;&gt;"",IF(VLOOKUP($B245,Totalt!$B$1:$AQ$554,MATCH("Kvalitetsgranskad:",Totalt!$B$1:$AQ$1,0),FALSE)="ja",VLOOKUP($B245,Miljö!$B$1:$AG$479,MATCH(AM$2,Miljö!$B$1:$AK$1,0),FALSE),""),"")</f>
        <v>Ja</v>
      </c>
      <c r="AN245" s="227" t="str">
        <f>IF(AM245="ja",VLOOKUP($B245,Miljö!$B$1:$J$479,MATCH("Typ av ursprungsspecificerad el   (Om inget värde anges används Nordisk residualmix, se inforuta) ()",Miljö!$B$1:$J$1,0),FALSE),IF(AM245="nej","Nordisk residualel",""))</f>
        <v>'100% vattenkraft'</v>
      </c>
      <c r="AO245" s="227">
        <f>IF(AM245="","",VLOOKUP($B245,Miljö!$B$1:$J$479,MATCH("Fossilandel för ursprungspecificerad el ()",Miljö!$B$1:$J$1,0),FALSE))</f>
        <v>0</v>
      </c>
      <c r="AP245" s="227">
        <f>IF(AM245="","",IFERROR(VLOOKUP($B245,Miljö!$B$1:$J$479,MATCH("Kärnkraftsandel för ursprungsspecificerad el ()",Miljö!$B$1:$J$1,0),FALSE)/1,0))</f>
        <v>0</v>
      </c>
      <c r="AQ245" s="227">
        <f t="shared" si="19"/>
        <v>1</v>
      </c>
      <c r="AR245" s="227"/>
      <c r="AS245" s="227" t="str">
        <f t="shared" si="20"/>
        <v>Nej</v>
      </c>
      <c r="AT245" s="227" t="str">
        <f>IF(AS245="ja",VLOOKUP($B245,Miljö!$B$1:$O$500,MATCH("Fossil andel i procent (%)",Miljö!$B$1:$O$1,0),FALSE)/100,"")</f>
        <v/>
      </c>
      <c r="AU245" s="227"/>
      <c r="AV245" s="227" t="str">
        <f t="shared" si="21"/>
        <v>Nej</v>
      </c>
      <c r="AW245" s="227" t="str">
        <f>IF(AV245="ja",VLOOKUP($B245,'Egen hetvattenprod'!$B$1:$AO$500,MATCH("Värmekälla till värmepumpar ()",'Egen hetvattenprod'!$B$1:$AO$1,0),FALSE),"")</f>
        <v/>
      </c>
      <c r="AX245" s="227"/>
      <c r="AY245" s="227" t="str">
        <f t="shared" si="22"/>
        <v>Ja</v>
      </c>
      <c r="AZ245" s="228">
        <f>IF($AY245="ja",(VLOOKUP($B245,'Egen hetvattenprod'!$B$1:$BX$550,MATCH(AZ$2,'Egen hetvattenprod'!$B$1:$BX$1,0),FALSE)+VLOOKUP($B245,Kraftvärmeprod!$B$1:$BX$550,MATCH(AZ$2,Kraftvärmeprod!$B$1:$BX$1,0),FALSE))/$AC245,"")</f>
        <v>1</v>
      </c>
      <c r="BA245" s="228">
        <f>IF($AY245="ja",(VLOOKUP($B245,'Egen hetvattenprod'!$B$1:$BX$550,MATCH(BA$2,'Egen hetvattenprod'!$B$1:$BX$1,0),FALSE)+VLOOKUP($B245,Kraftvärmeprod!$B$1:$BX$550,MATCH(BA$2,Kraftvärmeprod!$B$1:$BX$1,0),FALSE))/$AC245,"")</f>
        <v>0</v>
      </c>
      <c r="BB245" s="228">
        <f>IF($AY245="ja",(VLOOKUP($B245,'Egen hetvattenprod'!$B$1:$BX$550,MATCH(BB$2,'Egen hetvattenprod'!$B$1:$BX$1,0),FALSE)+VLOOKUP($B245,Kraftvärmeprod!$B$1:$BX$550,MATCH(BB$2,Kraftvärmeprod!$B$1:$BX$1,0),FALSE))/$AC245,"")</f>
        <v>0</v>
      </c>
      <c r="BC245" s="228">
        <f>IF($AY245="ja",(VLOOKUP($B245,'Egen hetvattenprod'!$B$1:$BX$550,MATCH(BC$2,'Egen hetvattenprod'!$B$1:$BX$1,0),FALSE)+VLOOKUP($B245,Kraftvärmeprod!$B$1:$BX$550,MATCH(BC$2,Kraftvärmeprod!$B$1:$BX$1,0),FALSE))/$AC245,"")</f>
        <v>0</v>
      </c>
      <c r="BD245" s="228">
        <f>IF($AY245="ja",(VLOOKUP($B245,'Egen hetvattenprod'!$B$1:$BX$550,MATCH(BD$2,'Egen hetvattenprod'!$B$1:$BX$1,0),FALSE)+VLOOKUP($B245,Kraftvärmeprod!$B$1:$BX$550,MATCH(BD$2,Kraftvärmeprod!$B$1:$BX$1,0),FALSE))/$AC245,"")</f>
        <v>0</v>
      </c>
      <c r="BE245" s="227"/>
      <c r="BF245" s="227" t="str">
        <f t="shared" si="23"/>
        <v>Nej</v>
      </c>
      <c r="BG245" s="227" t="str">
        <f>IF($BF245="ja",VLOOKUP($B245,'Egen hetvattenprod'!$B$1:$BX$550,MATCH("Andelen klimatgaser med fossilt ursprung för avfall ()",'Egen hetvattenprod'!$B$1:$BX$1,0),FALSE),"")</f>
        <v/>
      </c>
      <c r="BH245" s="227" t="str">
        <f>IF($BF245="ja",VLOOKUP($B245,Kraftvärmeprod!$B$1:$BX$550,MATCH("Andelen klimatgaser med fossilt ursprung för avfall ()",Kraftvärmeprod!$B$1:$BX$1,0),FALSE),"")</f>
        <v/>
      </c>
      <c r="BI245" s="227" t="str">
        <f>IF($BF245="ja",VLOOKUP($B245,'Egen hetvattenprod'!$B$1:$BX$550,MATCH("Avfall (GWh)",'Egen hetvattenprod'!$B$1:$BX$1,0),FALSE),"")</f>
        <v/>
      </c>
      <c r="BJ245" s="227" t="str">
        <f>IF($BF245="ja",VLOOKUP($B245,'Slutlig allokering kvv'!$B$1:$BX$550,MATCH("Avfall (GWh)",'Slutlig allokering kvv'!$B$1:$BX$1,0),FALSE),"")</f>
        <v/>
      </c>
      <c r="BK245" s="227" t="str">
        <f>IF($BF245="ja",VLOOKUP($B245,'Köpt hetvatten'!$B$1:$BX$550,MATCH("Avfall i köpt hetvatten",'Köpt hetvatten'!$B$1:$BX$1,0),FALSE),"")</f>
        <v/>
      </c>
      <c r="BL245" s="227" t="str">
        <f>IF($BF245="ja",VLOOKUP($B245,'Egen hetvattenprod'!$B$1:$BX$550,MATCH("Värde enligt ovan. (%)",'Egen hetvattenprod'!$B$1:$BX$1,0),FALSE),"")</f>
        <v/>
      </c>
      <c r="BM245" s="227" t="str">
        <f>IF($BF245="ja",VLOOKUP($B245,Kraftvärmeprod!$B$1:$BX$550,MATCH("Värde enligt ovan. (%)",Kraftvärmeprod!$B$1:$BX$1,0),FALSE),"")</f>
        <v/>
      </c>
      <c r="BN245" s="227"/>
      <c r="BO245" s="227"/>
      <c r="BP245" s="227"/>
      <c r="BQ245" s="227" t="str">
        <f>IF($BF245="ja",VLOOKUP($B245,'Egen hetvattenprod'!$B$1:$BX$550,MATCH("Tillförd olja (fossil) vid avfallsförbränning (GWh)",'Egen hetvattenprod'!$B$1:$BX$1,0),FALSE),"")</f>
        <v/>
      </c>
      <c r="BR245" s="227" t="str">
        <f>IF($BF245="ja",VLOOKUP($B245,Kraftvärmeprod!$B$1:$BX$550,MATCH("Tillförd olja (fossil) vid avfallsförbränning (GWh)",Kraftvärmeprod!$B$1:$BX$1,0),FALSE),"")</f>
        <v/>
      </c>
      <c r="BS245" s="227"/>
      <c r="BT245" s="227"/>
      <c r="BU245" s="227"/>
    </row>
    <row r="246" spans="1:73" x14ac:dyDescent="0.25">
      <c r="A246" s="121" t="str">
        <f>'Miljövärden för publ företag'!B249</f>
        <v>Stenungsunds Energi och Miljö AB</v>
      </c>
      <c r="B246" s="121" t="str">
        <f>'Miljövärden för publ företag'!C249</f>
        <v>Stenungsund</v>
      </c>
      <c r="C246" s="173">
        <f>IFERROR(VLOOKUP($B246,Totalt!$B$1:$AQ$554,MATCH(C$2,Totalt!$B$1:$AQ$1,0),FALSE),"")</f>
        <v>0</v>
      </c>
      <c r="D246" s="173">
        <f>IFERROR(VLOOKUP($B246,Totalt!$B$1:$AQ$554,MATCH(D$2,Totalt!$B$1:$AQ$1,0),FALSE),"")</f>
        <v>3.0000000000000001E-3</v>
      </c>
      <c r="E246" s="173">
        <f>IFERROR(VLOOKUP($B246,Totalt!$B$1:$AQ$554,MATCH(E$2,Totalt!$B$1:$AQ$1,0),FALSE),"")</f>
        <v>0</v>
      </c>
      <c r="F246" s="173">
        <f>IFERROR(VLOOKUP($B246,Totalt!$B$1:$AQ$554,MATCH(F$2,Totalt!$B$1:$AQ$1,0),FALSE),"")</f>
        <v>0</v>
      </c>
      <c r="G246" s="173">
        <f>IFERROR(VLOOKUP($B246,Totalt!$B$1:$AQ$554,MATCH(G$2,Totalt!$B$1:$AQ$1,0),FALSE),"")</f>
        <v>2.58</v>
      </c>
      <c r="H246" s="173">
        <f>IFERROR(VLOOKUP($B246,Totalt!$B$1:$AQ$554,MATCH(H$2,Totalt!$B$1:$AQ$1,0),FALSE),"")</f>
        <v>0</v>
      </c>
      <c r="I246" s="173">
        <f>IFERROR(VLOOKUP($B246,Totalt!$B$1:$AQ$554,MATCH(I$2,Totalt!$B$1:$AQ$1,0),FALSE),"")</f>
        <v>0</v>
      </c>
      <c r="J246" s="173">
        <f>IFERROR(VLOOKUP($B246,Totalt!$B$1:$AQ$554,MATCH(J$2,Totalt!$B$1:$AQ$1,0),FALSE),"")</f>
        <v>1.931</v>
      </c>
      <c r="K246" s="173">
        <f>IFERROR(VLOOKUP($B246,Totalt!$B$1:$AQ$554,MATCH(K$2,Totalt!$B$1:$AQ$1,0),FALSE),"")</f>
        <v>0</v>
      </c>
      <c r="L246" s="173">
        <f>IFERROR(VLOOKUP($B246,Totalt!$B$1:$AQ$554,MATCH(L$2,Totalt!$B$1:$AQ$1,0),FALSE),"")</f>
        <v>0</v>
      </c>
      <c r="M246" s="173">
        <f>IFERROR(VLOOKUP($B246,Totalt!$B$1:$AQ$554,MATCH(M$2,Totalt!$B$1:$AQ$1,0),FALSE),"")</f>
        <v>0</v>
      </c>
      <c r="N246" s="173">
        <f>IFERROR(VLOOKUP($B246,Totalt!$B$1:$AQ$554,MATCH(N$2,Totalt!$B$1:$AQ$1,0),FALSE),"")</f>
        <v>0</v>
      </c>
      <c r="O246" s="173">
        <f>IFERROR(VLOOKUP($B246,Totalt!$B$1:$AQ$554,MATCH(O$2,Totalt!$B$1:$AQ$1,0),FALSE),"")</f>
        <v>0</v>
      </c>
      <c r="P246" s="173">
        <f>IFERROR(VLOOKUP($B246,Totalt!$B$1:$AQ$554,MATCH(P$2,Totalt!$B$1:$AQ$1,0),FALSE),"")</f>
        <v>0</v>
      </c>
      <c r="Q246" s="173">
        <f>IFERROR(VLOOKUP($B246,Totalt!$B$1:$AQ$554,MATCH(Q$2,Totalt!$B$1:$AQ$1,0),FALSE),"")</f>
        <v>0</v>
      </c>
      <c r="R246" s="173">
        <f>IFERROR(VLOOKUP($B246,Totalt!$B$1:$AQ$554,MATCH(R$2,Totalt!$B$1:$AQ$1,0),FALSE),"")</f>
        <v>0</v>
      </c>
      <c r="S246" s="173">
        <f>IFERROR(VLOOKUP($B246,Totalt!$B$1:$AQ$554,MATCH(S$2,Totalt!$B$1:$AQ$1,0),FALSE),"")</f>
        <v>0</v>
      </c>
      <c r="T246" s="173">
        <f>IFERROR(VLOOKUP($B246,Totalt!$B$1:$AQ$554,MATCH(T$2,Totalt!$B$1:$AQ$1,0),FALSE),"")</f>
        <v>0</v>
      </c>
      <c r="U246" s="173">
        <f>IFERROR(VLOOKUP($B246,Totalt!$B$1:$AQ$554,MATCH(U$2,Totalt!$B$1:$AQ$1,0),FALSE),"")</f>
        <v>0</v>
      </c>
      <c r="V246" s="173">
        <f>IFERROR(VLOOKUP($B246,Totalt!$B$1:$AQ$554,MATCH(V$2,Totalt!$B$1:$AQ$1,0),FALSE),"")</f>
        <v>0</v>
      </c>
      <c r="W246" s="173">
        <f>IFERROR(VLOOKUP($B246,Totalt!$B$1:$AQ$554,MATCH(W$2,Totalt!$B$1:$AQ$1,0),FALSE),"")</f>
        <v>0</v>
      </c>
      <c r="X246" s="173">
        <f>IFERROR(VLOOKUP($B246,Totalt!$B$1:$AQ$554,MATCH(X$2,Totalt!$B$1:$AQ$1,0),FALSE),"")</f>
        <v>0</v>
      </c>
      <c r="Y246" s="173">
        <f>IFERROR(VLOOKUP($B246,Totalt!$B$1:$AQ$554,MATCH(Y$2,Totalt!$B$1:$AQ$1,0),FALSE),"")</f>
        <v>0</v>
      </c>
      <c r="Z246" s="173">
        <f>IFERROR(VLOOKUP($B246,Totalt!$B$1:$AQ$554,MATCH(Z$2,Totalt!$B$1:$AQ$1,0),FALSE),"")</f>
        <v>0</v>
      </c>
      <c r="AA246" s="173">
        <f>IFERROR(VLOOKUP($B246,Totalt!$B$1:$AQ$554,MATCH(AA$2,Totalt!$B$1:$AQ$1,0),FALSE),"")</f>
        <v>0</v>
      </c>
      <c r="AB246" s="173">
        <f>IFERROR(VLOOKUP($B246,Totalt!$B$1:$AQ$554,MATCH(AB$2,Totalt!$B$1:$AQ$1,0),FALSE),"")</f>
        <v>0</v>
      </c>
      <c r="AC246" s="173">
        <f>IFERROR(VLOOKUP($B246,Totalt!$B$1:$AQ$554,MATCH(AC$2,Totalt!$B$1:$AQ$1,0),FALSE),"")</f>
        <v>0</v>
      </c>
      <c r="AD246" s="173">
        <f>IFERROR(VLOOKUP($B246,Totalt!$B$1:$AQ$554,MATCH(AD$2,Totalt!$B$1:$AQ$1,0),FALSE),"")</f>
        <v>89.6</v>
      </c>
      <c r="AE246" s="173">
        <f>IFERROR(VLOOKUP($B246,Totalt!$B$1:$AQ$554,MATCH(AE$2,Totalt!$B$1:$AQ$1,0),FALSE),"")</f>
        <v>0</v>
      </c>
      <c r="AF246" s="173">
        <f>IFERROR(VLOOKUP($B246,Totalt!$B$1:$AQ$554,MATCH(AF$2,Totalt!$B$1:$AQ$1,0),FALSE),"")</f>
        <v>1</v>
      </c>
      <c r="AG246" s="173">
        <f>IFERROR(VLOOKUP($B246,Totalt!$B$1:$AQ$554,MATCH(AG$2,Totalt!$B$1:$AQ$1,0),FALSE),"")</f>
        <v>0</v>
      </c>
      <c r="AI246" s="226">
        <f t="shared" si="18"/>
        <v>95.11399999999999</v>
      </c>
      <c r="AJ246" s="226">
        <f>IF(ISERROR(1/VLOOKUP($B246,Leveranser!$B$1:$S$500,MATCH("såld värme (gwh)",Leveranser!$B$1:$S$1,0),FALSE)),"",VLOOKUP($B246,Leveranser!$B$1:$S$500,MATCH("såld värme (gwh)",Leveranser!$B$1:$S$1,0),FALSE))</f>
        <v>77.3</v>
      </c>
      <c r="AM246" s="227" t="str">
        <f>IF(B246&lt;&gt;"",IF(VLOOKUP($B246,Totalt!$B$1:$AQ$554,MATCH("Kvalitetsgranskad:",Totalt!$B$1:$AQ$1,0),FALSE)="ja",VLOOKUP($B246,Miljö!$B$1:$AG$479,MATCH(AM$2,Miljö!$B$1:$AK$1,0),FALSE),""),"")</f>
        <v>Ja</v>
      </c>
      <c r="AN246" s="227" t="str">
        <f>IF(AM246="ja",VLOOKUP($B246,Miljö!$B$1:$J$479,MATCH("Typ av ursprungsspecificerad el   (Om inget värde anges används Nordisk residualmix, se inforuta) ()",Miljö!$B$1:$J$1,0),FALSE),IF(AM246="nej","Nordisk residualel",""))</f>
        <v>'Förnybart'</v>
      </c>
      <c r="AO246" s="227">
        <f>IF(AM246="","",VLOOKUP($B246,Miljö!$B$1:$J$479,MATCH("Fossilandel för ursprungspecificerad el ()",Miljö!$B$1:$J$1,0),FALSE))</f>
        <v>0</v>
      </c>
      <c r="AP246" s="227">
        <f>IF(AM246="","",IFERROR(VLOOKUP($B246,Miljö!$B$1:$J$479,MATCH("Kärnkraftsandel för ursprungsspecificerad el ()",Miljö!$B$1:$J$1,0),FALSE)/1,0))</f>
        <v>0</v>
      </c>
      <c r="AQ246" s="227">
        <f t="shared" si="19"/>
        <v>1</v>
      </c>
      <c r="AR246" s="227"/>
      <c r="AS246" s="227" t="str">
        <f t="shared" si="20"/>
        <v>Nej</v>
      </c>
      <c r="AT246" s="227" t="str">
        <f>IF(AS246="ja",VLOOKUP($B246,Miljö!$B$1:$O$500,MATCH("Fossil andel i procent (%)",Miljö!$B$1:$O$1,0),FALSE)/100,"")</f>
        <v/>
      </c>
      <c r="AU246" s="227"/>
      <c r="AV246" s="227" t="str">
        <f t="shared" si="21"/>
        <v>Nej</v>
      </c>
      <c r="AW246" s="227" t="str">
        <f>IF(AV246="ja",VLOOKUP($B246,'Egen hetvattenprod'!$B$1:$AO$500,MATCH("Värmekälla till värmepumpar ()",'Egen hetvattenprod'!$B$1:$AO$1,0),FALSE),"")</f>
        <v/>
      </c>
      <c r="AX246" s="227"/>
      <c r="AY246" s="227" t="str">
        <f t="shared" si="22"/>
        <v>Nej</v>
      </c>
      <c r="AZ246" s="228" t="str">
        <f>IF($AY246="ja",(VLOOKUP($B246,'Egen hetvattenprod'!$B$1:$BX$550,MATCH(AZ$2,'Egen hetvattenprod'!$B$1:$BX$1,0),FALSE)+VLOOKUP($B246,Kraftvärmeprod!$B$1:$BX$550,MATCH(AZ$2,Kraftvärmeprod!$B$1:$BX$1,0),FALSE))/$AC246,"")</f>
        <v/>
      </c>
      <c r="BA246" s="228" t="str">
        <f>IF($AY246="ja",(VLOOKUP($B246,'Egen hetvattenprod'!$B$1:$BX$550,MATCH(BA$2,'Egen hetvattenprod'!$B$1:$BX$1,0),FALSE)+VLOOKUP($B246,Kraftvärmeprod!$B$1:$BX$550,MATCH(BA$2,Kraftvärmeprod!$B$1:$BX$1,0),FALSE))/$AC246,"")</f>
        <v/>
      </c>
      <c r="BB246" s="228" t="str">
        <f>IF($AY246="ja",(VLOOKUP($B246,'Egen hetvattenprod'!$B$1:$BX$550,MATCH(BB$2,'Egen hetvattenprod'!$B$1:$BX$1,0),FALSE)+VLOOKUP($B246,Kraftvärmeprod!$B$1:$BX$550,MATCH(BB$2,Kraftvärmeprod!$B$1:$BX$1,0),FALSE))/$AC246,"")</f>
        <v/>
      </c>
      <c r="BC246" s="228" t="str">
        <f>IF($AY246="ja",(VLOOKUP($B246,'Egen hetvattenprod'!$B$1:$BX$550,MATCH(BC$2,'Egen hetvattenprod'!$B$1:$BX$1,0),FALSE)+VLOOKUP($B246,Kraftvärmeprod!$B$1:$BX$550,MATCH(BC$2,Kraftvärmeprod!$B$1:$BX$1,0),FALSE))/$AC246,"")</f>
        <v/>
      </c>
      <c r="BD246" s="228" t="str">
        <f>IF($AY246="ja",(VLOOKUP($B246,'Egen hetvattenprod'!$B$1:$BX$550,MATCH(BD$2,'Egen hetvattenprod'!$B$1:$BX$1,0),FALSE)+VLOOKUP($B246,Kraftvärmeprod!$B$1:$BX$550,MATCH(BD$2,Kraftvärmeprod!$B$1:$BX$1,0),FALSE))/$AC246,"")</f>
        <v/>
      </c>
      <c r="BE246" s="227"/>
      <c r="BF246" s="227" t="str">
        <f t="shared" si="23"/>
        <v>Nej</v>
      </c>
      <c r="BG246" s="227" t="str">
        <f>IF($BF246="ja",VLOOKUP($B246,'Egen hetvattenprod'!$B$1:$BX$550,MATCH("Andelen klimatgaser med fossilt ursprung för avfall ()",'Egen hetvattenprod'!$B$1:$BX$1,0),FALSE),"")</f>
        <v/>
      </c>
      <c r="BH246" s="227" t="str">
        <f>IF($BF246="ja",VLOOKUP($B246,Kraftvärmeprod!$B$1:$BX$550,MATCH("Andelen klimatgaser med fossilt ursprung för avfall ()",Kraftvärmeprod!$B$1:$BX$1,0),FALSE),"")</f>
        <v/>
      </c>
      <c r="BI246" s="227" t="str">
        <f>IF($BF246="ja",VLOOKUP($B246,'Egen hetvattenprod'!$B$1:$BX$550,MATCH("Avfall (GWh)",'Egen hetvattenprod'!$B$1:$BX$1,0),FALSE),"")</f>
        <v/>
      </c>
      <c r="BJ246" s="227" t="str">
        <f>IF($BF246="ja",VLOOKUP($B246,'Slutlig allokering kvv'!$B$1:$BX$550,MATCH("Avfall (GWh)",'Slutlig allokering kvv'!$B$1:$BX$1,0),FALSE),"")</f>
        <v/>
      </c>
      <c r="BK246" s="227" t="str">
        <f>IF($BF246="ja",VLOOKUP($B246,'Köpt hetvatten'!$B$1:$BX$550,MATCH("Avfall i köpt hetvatten",'Köpt hetvatten'!$B$1:$BX$1,0),FALSE),"")</f>
        <v/>
      </c>
      <c r="BL246" s="227" t="str">
        <f>IF($BF246="ja",VLOOKUP($B246,'Egen hetvattenprod'!$B$1:$BX$550,MATCH("Värde enligt ovan. (%)",'Egen hetvattenprod'!$B$1:$BX$1,0),FALSE),"")</f>
        <v/>
      </c>
      <c r="BM246" s="227" t="str">
        <f>IF($BF246="ja",VLOOKUP($B246,Kraftvärmeprod!$B$1:$BX$550,MATCH("Värde enligt ovan. (%)",Kraftvärmeprod!$B$1:$BX$1,0),FALSE),"")</f>
        <v/>
      </c>
      <c r="BN246" s="227"/>
      <c r="BO246" s="227"/>
      <c r="BP246" s="227"/>
      <c r="BQ246" s="227" t="str">
        <f>IF($BF246="ja",VLOOKUP($B246,'Egen hetvattenprod'!$B$1:$BX$550,MATCH("Tillförd olja (fossil) vid avfallsförbränning (GWh)",'Egen hetvattenprod'!$B$1:$BX$1,0),FALSE),"")</f>
        <v/>
      </c>
      <c r="BR246" s="227" t="str">
        <f>IF($BF246="ja",VLOOKUP($B246,Kraftvärmeprod!$B$1:$BX$550,MATCH("Tillförd olja (fossil) vid avfallsförbränning (GWh)",Kraftvärmeprod!$B$1:$BX$1,0),FALSE),"")</f>
        <v/>
      </c>
      <c r="BS246" s="227"/>
      <c r="BT246" s="227"/>
      <c r="BU246" s="227"/>
    </row>
    <row r="247" spans="1:73" x14ac:dyDescent="0.25">
      <c r="A247" s="121" t="str">
        <f>'Miljövärden för publ företag'!B250</f>
        <v>Stenungsunds Energi och Miljö AB</v>
      </c>
      <c r="B247" s="121" t="str">
        <f>'Miljövärden för publ företag'!C250</f>
        <v>Stora Höga</v>
      </c>
      <c r="C247" s="173">
        <f>IFERROR(VLOOKUP($B247,Totalt!$B$1:$AQ$554,MATCH(C$2,Totalt!$B$1:$AQ$1,0),FALSE),"")</f>
        <v>0</v>
      </c>
      <c r="D247" s="173">
        <f>IFERROR(VLOOKUP($B247,Totalt!$B$1:$AQ$554,MATCH(D$2,Totalt!$B$1:$AQ$1,0),FALSE),"")</f>
        <v>1.0999999999999999E-2</v>
      </c>
      <c r="E247" s="173">
        <f>IFERROR(VLOOKUP($B247,Totalt!$B$1:$AQ$554,MATCH(E$2,Totalt!$B$1:$AQ$1,0),FALSE),"")</f>
        <v>0</v>
      </c>
      <c r="F247" s="173">
        <f>IFERROR(VLOOKUP($B247,Totalt!$B$1:$AQ$554,MATCH(F$2,Totalt!$B$1:$AQ$1,0),FALSE),"")</f>
        <v>0</v>
      </c>
      <c r="G247" s="173">
        <f>IFERROR(VLOOKUP($B247,Totalt!$B$1:$AQ$554,MATCH(G$2,Totalt!$B$1:$AQ$1,0),FALSE),"")</f>
        <v>0</v>
      </c>
      <c r="H247" s="173">
        <f>IFERROR(VLOOKUP($B247,Totalt!$B$1:$AQ$554,MATCH(H$2,Totalt!$B$1:$AQ$1,0),FALSE),"")</f>
        <v>0</v>
      </c>
      <c r="I247" s="173">
        <f>IFERROR(VLOOKUP($B247,Totalt!$B$1:$AQ$554,MATCH(I$2,Totalt!$B$1:$AQ$1,0),FALSE),"")</f>
        <v>0</v>
      </c>
      <c r="J247" s="173">
        <f>IFERROR(VLOOKUP($B247,Totalt!$B$1:$AQ$554,MATCH(J$2,Totalt!$B$1:$AQ$1,0),FALSE),"")</f>
        <v>0</v>
      </c>
      <c r="K247" s="173">
        <f>IFERROR(VLOOKUP($B247,Totalt!$B$1:$AQ$554,MATCH(K$2,Totalt!$B$1:$AQ$1,0),FALSE),"")</f>
        <v>0</v>
      </c>
      <c r="L247" s="173">
        <f>IFERROR(VLOOKUP($B247,Totalt!$B$1:$AQ$554,MATCH(L$2,Totalt!$B$1:$AQ$1,0),FALSE),"")</f>
        <v>0</v>
      </c>
      <c r="M247" s="173">
        <f>IFERROR(VLOOKUP($B247,Totalt!$B$1:$AQ$554,MATCH(M$2,Totalt!$B$1:$AQ$1,0),FALSE),"")</f>
        <v>0</v>
      </c>
      <c r="N247" s="173">
        <f>IFERROR(VLOOKUP($B247,Totalt!$B$1:$AQ$554,MATCH(N$2,Totalt!$B$1:$AQ$1,0),FALSE),"")</f>
        <v>0</v>
      </c>
      <c r="O247" s="173">
        <f>IFERROR(VLOOKUP($B247,Totalt!$B$1:$AQ$554,MATCH(O$2,Totalt!$B$1:$AQ$1,0),FALSE),"")</f>
        <v>0</v>
      </c>
      <c r="P247" s="173">
        <f>IFERROR(VLOOKUP($B247,Totalt!$B$1:$AQ$554,MATCH(P$2,Totalt!$B$1:$AQ$1,0),FALSE),"")</f>
        <v>0</v>
      </c>
      <c r="Q247" s="173">
        <f>IFERROR(VLOOKUP($B247,Totalt!$B$1:$AQ$554,MATCH(Q$2,Totalt!$B$1:$AQ$1,0),FALSE),"")</f>
        <v>0</v>
      </c>
      <c r="R247" s="173">
        <f>IFERROR(VLOOKUP($B247,Totalt!$B$1:$AQ$554,MATCH(R$2,Totalt!$B$1:$AQ$1,0),FALSE),"")</f>
        <v>0.86</v>
      </c>
      <c r="S247" s="173">
        <f>IFERROR(VLOOKUP($B247,Totalt!$B$1:$AQ$554,MATCH(S$2,Totalt!$B$1:$AQ$1,0),FALSE),"")</f>
        <v>0</v>
      </c>
      <c r="T247" s="173">
        <f>IFERROR(VLOOKUP($B247,Totalt!$B$1:$AQ$554,MATCH(T$2,Totalt!$B$1:$AQ$1,0),FALSE),"")</f>
        <v>0</v>
      </c>
      <c r="U247" s="173">
        <f>IFERROR(VLOOKUP($B247,Totalt!$B$1:$AQ$554,MATCH(U$2,Totalt!$B$1:$AQ$1,0),FALSE),"")</f>
        <v>0</v>
      </c>
      <c r="V247" s="173">
        <f>IFERROR(VLOOKUP($B247,Totalt!$B$1:$AQ$554,MATCH(V$2,Totalt!$B$1:$AQ$1,0),FALSE),"")</f>
        <v>0</v>
      </c>
      <c r="W247" s="173">
        <f>IFERROR(VLOOKUP($B247,Totalt!$B$1:$AQ$554,MATCH(W$2,Totalt!$B$1:$AQ$1,0),FALSE),"")</f>
        <v>0</v>
      </c>
      <c r="X247" s="173">
        <f>IFERROR(VLOOKUP($B247,Totalt!$B$1:$AQ$554,MATCH(X$2,Totalt!$B$1:$AQ$1,0),FALSE),"")</f>
        <v>0</v>
      </c>
      <c r="Y247" s="173">
        <f>IFERROR(VLOOKUP($B247,Totalt!$B$1:$AQ$554,MATCH(Y$2,Totalt!$B$1:$AQ$1,0),FALSE),"")</f>
        <v>0</v>
      </c>
      <c r="Z247" s="173">
        <f>IFERROR(VLOOKUP($B247,Totalt!$B$1:$AQ$554,MATCH(Z$2,Totalt!$B$1:$AQ$1,0),FALSE),"")</f>
        <v>0</v>
      </c>
      <c r="AA247" s="173">
        <f>IFERROR(VLOOKUP($B247,Totalt!$B$1:$AQ$554,MATCH(AA$2,Totalt!$B$1:$AQ$1,0),FALSE),"")</f>
        <v>0</v>
      </c>
      <c r="AB247" s="173">
        <f>IFERROR(VLOOKUP($B247,Totalt!$B$1:$AQ$554,MATCH(AB$2,Totalt!$B$1:$AQ$1,0),FALSE),"")</f>
        <v>0</v>
      </c>
      <c r="AC247" s="173">
        <f>IFERROR(VLOOKUP($B247,Totalt!$B$1:$AQ$554,MATCH(AC$2,Totalt!$B$1:$AQ$1,0),FALSE),"")</f>
        <v>0</v>
      </c>
      <c r="AD247" s="173">
        <f>IFERROR(VLOOKUP($B247,Totalt!$B$1:$AQ$554,MATCH(AD$2,Totalt!$B$1:$AQ$1,0),FALSE),"")</f>
        <v>0</v>
      </c>
      <c r="AE247" s="173">
        <f>IFERROR(VLOOKUP($B247,Totalt!$B$1:$AQ$554,MATCH(AE$2,Totalt!$B$1:$AQ$1,0),FALSE),"")</f>
        <v>0</v>
      </c>
      <c r="AF247" s="173">
        <f>IFERROR(VLOOKUP($B247,Totalt!$B$1:$AQ$554,MATCH(AF$2,Totalt!$B$1:$AQ$1,0),FALSE),"")</f>
        <v>2.1000000000000001E-2</v>
      </c>
      <c r="AG247" s="173">
        <f>IFERROR(VLOOKUP($B247,Totalt!$B$1:$AQ$554,MATCH(AG$2,Totalt!$B$1:$AQ$1,0),FALSE),"")</f>
        <v>0</v>
      </c>
      <c r="AI247" s="226">
        <f t="shared" si="18"/>
        <v>0.89200000000000002</v>
      </c>
      <c r="AJ247" s="226">
        <f>IF(ISERROR(1/VLOOKUP($B247,Leveranser!$B$1:$S$500,MATCH("såld värme (gwh)",Leveranser!$B$1:$S$1,0),FALSE)),"",VLOOKUP($B247,Leveranser!$B$1:$S$500,MATCH("såld värme (gwh)",Leveranser!$B$1:$S$1,0),FALSE))</f>
        <v>0.872</v>
      </c>
      <c r="AM247" s="227" t="str">
        <f>IF(B247&lt;&gt;"",IF(VLOOKUP($B247,Totalt!$B$1:$AQ$554,MATCH("Kvalitetsgranskad:",Totalt!$B$1:$AQ$1,0),FALSE)="ja",VLOOKUP($B247,Miljö!$B$1:$AG$479,MATCH(AM$2,Miljö!$B$1:$AK$1,0),FALSE),""),"")</f>
        <v>Ja</v>
      </c>
      <c r="AN247" s="227" t="str">
        <f>IF(AM247="ja",VLOOKUP($B247,Miljö!$B$1:$J$479,MATCH("Typ av ursprungsspecificerad el   (Om inget värde anges används Nordisk residualmix, se inforuta) ()",Miljö!$B$1:$J$1,0),FALSE),IF(AM247="nej","Nordisk residualel",""))</f>
        <v>'Förnybart'</v>
      </c>
      <c r="AO247" s="227">
        <f>IF(AM247="","",VLOOKUP($B247,Miljö!$B$1:$J$479,MATCH("Fossilandel för ursprungspecificerad el ()",Miljö!$B$1:$J$1,0),FALSE))</f>
        <v>0</v>
      </c>
      <c r="AP247" s="227">
        <f>IF(AM247="","",IFERROR(VLOOKUP($B247,Miljö!$B$1:$J$479,MATCH("Kärnkraftsandel för ursprungsspecificerad el ()",Miljö!$B$1:$J$1,0),FALSE)/1,0))</f>
        <v>0</v>
      </c>
      <c r="AQ247" s="227">
        <f t="shared" si="19"/>
        <v>1</v>
      </c>
      <c r="AR247" s="227"/>
      <c r="AS247" s="227" t="str">
        <f t="shared" si="20"/>
        <v>Nej</v>
      </c>
      <c r="AT247" s="227" t="str">
        <f>IF(AS247="ja",VLOOKUP($B247,Miljö!$B$1:$O$500,MATCH("Fossil andel i procent (%)",Miljö!$B$1:$O$1,0),FALSE)/100,"")</f>
        <v/>
      </c>
      <c r="AU247" s="227"/>
      <c r="AV247" s="227" t="str">
        <f t="shared" si="21"/>
        <v>Nej</v>
      </c>
      <c r="AW247" s="227" t="str">
        <f>IF(AV247="ja",VLOOKUP($B247,'Egen hetvattenprod'!$B$1:$AO$500,MATCH("Värmekälla till värmepumpar ()",'Egen hetvattenprod'!$B$1:$AO$1,0),FALSE),"")</f>
        <v/>
      </c>
      <c r="AX247" s="227"/>
      <c r="AY247" s="227" t="str">
        <f t="shared" si="22"/>
        <v>Nej</v>
      </c>
      <c r="AZ247" s="228" t="str">
        <f>IF($AY247="ja",(VLOOKUP($B247,'Egen hetvattenprod'!$B$1:$BX$550,MATCH(AZ$2,'Egen hetvattenprod'!$B$1:$BX$1,0),FALSE)+VLOOKUP($B247,Kraftvärmeprod!$B$1:$BX$550,MATCH(AZ$2,Kraftvärmeprod!$B$1:$BX$1,0),FALSE))/$AC247,"")</f>
        <v/>
      </c>
      <c r="BA247" s="228" t="str">
        <f>IF($AY247="ja",(VLOOKUP($B247,'Egen hetvattenprod'!$B$1:$BX$550,MATCH(BA$2,'Egen hetvattenprod'!$B$1:$BX$1,0),FALSE)+VLOOKUP($B247,Kraftvärmeprod!$B$1:$BX$550,MATCH(BA$2,Kraftvärmeprod!$B$1:$BX$1,0),FALSE))/$AC247,"")</f>
        <v/>
      </c>
      <c r="BB247" s="228" t="str">
        <f>IF($AY247="ja",(VLOOKUP($B247,'Egen hetvattenprod'!$B$1:$BX$550,MATCH(BB$2,'Egen hetvattenprod'!$B$1:$BX$1,0),FALSE)+VLOOKUP($B247,Kraftvärmeprod!$B$1:$BX$550,MATCH(BB$2,Kraftvärmeprod!$B$1:$BX$1,0),FALSE))/$AC247,"")</f>
        <v/>
      </c>
      <c r="BC247" s="228" t="str">
        <f>IF($AY247="ja",(VLOOKUP($B247,'Egen hetvattenprod'!$B$1:$BX$550,MATCH(BC$2,'Egen hetvattenprod'!$B$1:$BX$1,0),FALSE)+VLOOKUP($B247,Kraftvärmeprod!$B$1:$BX$550,MATCH(BC$2,Kraftvärmeprod!$B$1:$BX$1,0),FALSE))/$AC247,"")</f>
        <v/>
      </c>
      <c r="BD247" s="228" t="str">
        <f>IF($AY247="ja",(VLOOKUP($B247,'Egen hetvattenprod'!$B$1:$BX$550,MATCH(BD$2,'Egen hetvattenprod'!$B$1:$BX$1,0),FALSE)+VLOOKUP($B247,Kraftvärmeprod!$B$1:$BX$550,MATCH(BD$2,Kraftvärmeprod!$B$1:$BX$1,0),FALSE))/$AC247,"")</f>
        <v/>
      </c>
      <c r="BE247" s="227"/>
      <c r="BF247" s="227" t="str">
        <f t="shared" si="23"/>
        <v>Nej</v>
      </c>
      <c r="BG247" s="227" t="str">
        <f>IF($BF247="ja",VLOOKUP($B247,'Egen hetvattenprod'!$B$1:$BX$550,MATCH("Andelen klimatgaser med fossilt ursprung för avfall ()",'Egen hetvattenprod'!$B$1:$BX$1,0),FALSE),"")</f>
        <v/>
      </c>
      <c r="BH247" s="227" t="str">
        <f>IF($BF247="ja",VLOOKUP($B247,Kraftvärmeprod!$B$1:$BX$550,MATCH("Andelen klimatgaser med fossilt ursprung för avfall ()",Kraftvärmeprod!$B$1:$BX$1,0),FALSE),"")</f>
        <v/>
      </c>
      <c r="BI247" s="227" t="str">
        <f>IF($BF247="ja",VLOOKUP($B247,'Egen hetvattenprod'!$B$1:$BX$550,MATCH("Avfall (GWh)",'Egen hetvattenprod'!$B$1:$BX$1,0),FALSE),"")</f>
        <v/>
      </c>
      <c r="BJ247" s="227" t="str">
        <f>IF($BF247="ja",VLOOKUP($B247,'Slutlig allokering kvv'!$B$1:$BX$550,MATCH("Avfall (GWh)",'Slutlig allokering kvv'!$B$1:$BX$1,0),FALSE),"")</f>
        <v/>
      </c>
      <c r="BK247" s="227" t="str">
        <f>IF($BF247="ja",VLOOKUP($B247,'Köpt hetvatten'!$B$1:$BX$550,MATCH("Avfall i köpt hetvatten",'Köpt hetvatten'!$B$1:$BX$1,0),FALSE),"")</f>
        <v/>
      </c>
      <c r="BL247" s="227" t="str">
        <f>IF($BF247="ja",VLOOKUP($B247,'Egen hetvattenprod'!$B$1:$BX$550,MATCH("Värde enligt ovan. (%)",'Egen hetvattenprod'!$B$1:$BX$1,0),FALSE),"")</f>
        <v/>
      </c>
      <c r="BM247" s="227" t="str">
        <f>IF($BF247="ja",VLOOKUP($B247,Kraftvärmeprod!$B$1:$BX$550,MATCH("Värde enligt ovan. (%)",Kraftvärmeprod!$B$1:$BX$1,0),FALSE),"")</f>
        <v/>
      </c>
      <c r="BN247" s="227"/>
      <c r="BO247" s="227"/>
      <c r="BP247" s="227"/>
      <c r="BQ247" s="227" t="str">
        <f>IF($BF247="ja",VLOOKUP($B247,'Egen hetvattenprod'!$B$1:$BX$550,MATCH("Tillförd olja (fossil) vid avfallsförbränning (GWh)",'Egen hetvattenprod'!$B$1:$BX$1,0),FALSE),"")</f>
        <v/>
      </c>
      <c r="BR247" s="227" t="str">
        <f>IF($BF247="ja",VLOOKUP($B247,Kraftvärmeprod!$B$1:$BX$550,MATCH("Tillförd olja (fossil) vid avfallsförbränning (GWh)",Kraftvärmeprod!$B$1:$BX$1,0),FALSE),"")</f>
        <v/>
      </c>
      <c r="BS247" s="227"/>
      <c r="BT247" s="227"/>
      <c r="BU247" s="227"/>
    </row>
    <row r="248" spans="1:73" x14ac:dyDescent="0.25">
      <c r="A248" s="121" t="str">
        <f>'Miljövärden för publ företag'!B251</f>
        <v>Stockholm Exergi AB</v>
      </c>
      <c r="B248" s="121" t="str">
        <f>'Miljövärden för publ företag'!C251</f>
        <v>Stockholm</v>
      </c>
      <c r="C248" s="173">
        <f>IFERROR(VLOOKUP($B248,Totalt!$B$1:$AQ$554,MATCH(C$2,Totalt!$B$1:$AQ$1,0),FALSE),"")</f>
        <v>639.37</v>
      </c>
      <c r="D248" s="173">
        <f>IFERROR(VLOOKUP($B248,Totalt!$B$1:$AQ$554,MATCH(D$2,Totalt!$B$1:$AQ$1,0),FALSE),"")</f>
        <v>109.10899999999999</v>
      </c>
      <c r="E248" s="173">
        <f>IFERROR(VLOOKUP($B248,Totalt!$B$1:$AQ$554,MATCH(E$2,Totalt!$B$1:$AQ$1,0),FALSE),"")</f>
        <v>0</v>
      </c>
      <c r="F248" s="173">
        <f>IFERROR(VLOOKUP($B248,Totalt!$B$1:$AQ$554,MATCH(F$2,Totalt!$B$1:$AQ$1,0),FALSE),"")</f>
        <v>136.226</v>
      </c>
      <c r="G248" s="173">
        <f>IFERROR(VLOOKUP($B248,Totalt!$B$1:$AQ$554,MATCH(G$2,Totalt!$B$1:$AQ$1,0),FALSE),"")</f>
        <v>0</v>
      </c>
      <c r="H248" s="173">
        <f>IFERROR(VLOOKUP($B248,Totalt!$B$1:$AQ$554,MATCH(H$2,Totalt!$B$1:$AQ$1,0),FALSE),"")</f>
        <v>0</v>
      </c>
      <c r="I248" s="173">
        <f>IFERROR(VLOOKUP($B248,Totalt!$B$1:$AQ$554,MATCH(I$2,Totalt!$B$1:$AQ$1,0),FALSE),"")</f>
        <v>1945.6</v>
      </c>
      <c r="J248" s="173">
        <f>IFERROR(VLOOKUP($B248,Totalt!$B$1:$AQ$554,MATCH(J$2,Totalt!$B$1:$AQ$1,0),FALSE),"")</f>
        <v>0</v>
      </c>
      <c r="K248" s="173">
        <f>IFERROR(VLOOKUP($B248,Totalt!$B$1:$AQ$554,MATCH(K$2,Totalt!$B$1:$AQ$1,0),FALSE),"")</f>
        <v>0</v>
      </c>
      <c r="L248" s="173">
        <f>IFERROR(VLOOKUP($B248,Totalt!$B$1:$AQ$554,MATCH(L$2,Totalt!$B$1:$AQ$1,0),FALSE),"")</f>
        <v>188.87700000000001</v>
      </c>
      <c r="M248" s="173">
        <f>IFERROR(VLOOKUP($B248,Totalt!$B$1:$AQ$554,MATCH(M$2,Totalt!$B$1:$AQ$1,0),FALSE),"")</f>
        <v>0</v>
      </c>
      <c r="N248" s="173">
        <f>IFERROR(VLOOKUP($B248,Totalt!$B$1:$AQ$554,MATCH(N$2,Totalt!$B$1:$AQ$1,0),FALSE),"")</f>
        <v>1150.24</v>
      </c>
      <c r="O248" s="173">
        <f>IFERROR(VLOOKUP($B248,Totalt!$B$1:$AQ$554,MATCH(O$2,Totalt!$B$1:$AQ$1,0),FALSE),"")</f>
        <v>0</v>
      </c>
      <c r="P248" s="173">
        <f>IFERROR(VLOOKUP($B248,Totalt!$B$1:$AQ$554,MATCH(P$2,Totalt!$B$1:$AQ$1,0),FALSE),"")</f>
        <v>0</v>
      </c>
      <c r="Q248" s="173">
        <f>IFERROR(VLOOKUP($B248,Totalt!$B$1:$AQ$554,MATCH(Q$2,Totalt!$B$1:$AQ$1,0),FALSE),"")</f>
        <v>23.739000000000001</v>
      </c>
      <c r="R248" s="173">
        <f>IFERROR(VLOOKUP($B248,Totalt!$B$1:$AQ$554,MATCH(R$2,Totalt!$B$1:$AQ$1,0),FALSE),"")</f>
        <v>474.09800000000001</v>
      </c>
      <c r="S248" s="173">
        <f>IFERROR(VLOOKUP($B248,Totalt!$B$1:$AQ$554,MATCH(S$2,Totalt!$B$1:$AQ$1,0),FALSE),"")</f>
        <v>0</v>
      </c>
      <c r="T248" s="173">
        <f>IFERROR(VLOOKUP($B248,Totalt!$B$1:$AQ$554,MATCH(T$2,Totalt!$B$1:$AQ$1,0),FALSE),"")</f>
        <v>0</v>
      </c>
      <c r="U248" s="173">
        <f>IFERROR(VLOOKUP($B248,Totalt!$B$1:$AQ$554,MATCH(U$2,Totalt!$B$1:$AQ$1,0),FALSE),"")</f>
        <v>0</v>
      </c>
      <c r="V248" s="173">
        <f>IFERROR(VLOOKUP($B248,Totalt!$B$1:$AQ$554,MATCH(V$2,Totalt!$B$1:$AQ$1,0),FALSE),"")</f>
        <v>197.69399999999999</v>
      </c>
      <c r="W248" s="173">
        <f>IFERROR(VLOOKUP($B248,Totalt!$B$1:$AQ$554,MATCH(W$2,Totalt!$B$1:$AQ$1,0),FALSE),"")</f>
        <v>323.77300000000002</v>
      </c>
      <c r="X248" s="173">
        <f>IFERROR(VLOOKUP($B248,Totalt!$B$1:$AQ$554,MATCH(X$2,Totalt!$B$1:$AQ$1,0),FALSE),"")</f>
        <v>0</v>
      </c>
      <c r="Y248" s="173">
        <f>IFERROR(VLOOKUP($B248,Totalt!$B$1:$AQ$554,MATCH(Y$2,Totalt!$B$1:$AQ$1,0),FALSE),"")</f>
        <v>0</v>
      </c>
      <c r="Z248" s="173">
        <f>IFERROR(VLOOKUP($B248,Totalt!$B$1:$AQ$554,MATCH(Z$2,Totalt!$B$1:$AQ$1,0),FALSE),"")</f>
        <v>45.783000000000001</v>
      </c>
      <c r="AA248" s="173">
        <f>IFERROR(VLOOKUP($B248,Totalt!$B$1:$AQ$554,MATCH(AA$2,Totalt!$B$1:$AQ$1,0),FALSE),"")</f>
        <v>546.71500000000003</v>
      </c>
      <c r="AB248" s="173">
        <f>IFERROR(VLOOKUP($B248,Totalt!$B$1:$AQ$554,MATCH(AB$2,Totalt!$B$1:$AQ$1,0),FALSE),"")</f>
        <v>1147.25</v>
      </c>
      <c r="AC248" s="173">
        <f>IFERROR(VLOOKUP($B248,Totalt!$B$1:$AQ$554,MATCH(AC$2,Totalt!$B$1:$AQ$1,0),FALSE),"")</f>
        <v>1064.99</v>
      </c>
      <c r="AD248" s="173">
        <f>IFERROR(VLOOKUP($B248,Totalt!$B$1:$AQ$554,MATCH(AD$2,Totalt!$B$1:$AQ$1,0),FALSE),"")</f>
        <v>0</v>
      </c>
      <c r="AE248" s="173">
        <f>IFERROR(VLOOKUP($B248,Totalt!$B$1:$AQ$554,MATCH(AE$2,Totalt!$B$1:$AQ$1,0),FALSE),"")</f>
        <v>0</v>
      </c>
      <c r="AF248" s="173">
        <f>IFERROR(VLOOKUP($B248,Totalt!$B$1:$AQ$554,MATCH(AF$2,Totalt!$B$1:$AQ$1,0),FALSE),"")</f>
        <v>255.345</v>
      </c>
      <c r="AG248" s="173">
        <f>IFERROR(VLOOKUP($B248,Totalt!$B$1:$AQ$554,MATCH(AG$2,Totalt!$B$1:$AQ$1,0),FALSE),"")</f>
        <v>0</v>
      </c>
      <c r="AI248" s="226">
        <f t="shared" si="18"/>
        <v>8248.8089999999993</v>
      </c>
      <c r="AJ248" s="226">
        <f>IF(ISERROR(1/VLOOKUP($B248,Leveranser!$B$1:$S$500,MATCH("såld värme (gwh)",Leveranser!$B$1:$S$1,0),FALSE)),"",VLOOKUP($B248,Leveranser!$B$1:$S$500,MATCH("såld värme (gwh)",Leveranser!$B$1:$S$1,0),FALSE))</f>
        <v>8113.0209999999997</v>
      </c>
      <c r="AM248" s="227" t="str">
        <f>IF(B248&lt;&gt;"",IF(VLOOKUP($B248,Totalt!$B$1:$AQ$554,MATCH("Kvalitetsgranskad:",Totalt!$B$1:$AQ$1,0),FALSE)="ja",VLOOKUP($B248,Miljö!$B$1:$AG$479,MATCH(AM$2,Miljö!$B$1:$AK$1,0),FALSE),""),"")</f>
        <v>Ja</v>
      </c>
      <c r="AN248" s="227" t="str">
        <f>IF(AM248="ja",VLOOKUP($B248,Miljö!$B$1:$J$479,MATCH("Typ av ursprungsspecificerad el   (Om inget värde anges används Nordisk residualmix, se inforuta) ()",Miljö!$B$1:$J$1,0),FALSE),IF(AM248="nej","Nordisk residualel",""))</f>
        <v>'Mix Biokraft. vattenkraft'</v>
      </c>
      <c r="AO248" s="227">
        <f>IF(AM248="","",VLOOKUP($B248,Miljö!$B$1:$J$479,MATCH("Fossilandel för ursprungspecificerad el ()",Miljö!$B$1:$J$1,0),FALSE))</f>
        <v>0</v>
      </c>
      <c r="AP248" s="227">
        <f>IF(AM248="","",IFERROR(VLOOKUP($B248,Miljö!$B$1:$J$479,MATCH("Kärnkraftsandel för ursprungsspecificerad el ()",Miljö!$B$1:$J$1,0),FALSE)/1,0))</f>
        <v>0</v>
      </c>
      <c r="AQ248" s="227">
        <f t="shared" si="19"/>
        <v>1</v>
      </c>
      <c r="AR248" s="227"/>
      <c r="AS248" s="227" t="str">
        <f t="shared" si="20"/>
        <v>Nej</v>
      </c>
      <c r="AT248" s="227" t="str">
        <f>IF(AS248="ja",VLOOKUP($B248,Miljö!$B$1:$O$500,MATCH("Fossil andel i procent (%)",Miljö!$B$1:$O$1,0),FALSE)/100,"")</f>
        <v/>
      </c>
      <c r="AU248" s="227"/>
      <c r="AV248" s="227" t="str">
        <f t="shared" si="21"/>
        <v>Ja</v>
      </c>
      <c r="AW248" s="227" t="str">
        <f>IF(AV248="ja",VLOOKUP($B248,'Egen hetvattenprod'!$B$1:$AO$500,MATCH("Värmekälla till värmepumpar ()",'Egen hetvattenprod'!$B$1:$AO$1,0),FALSE),"")</f>
        <v>Renat avloppsvatten</v>
      </c>
      <c r="AX248" s="227"/>
      <c r="AY248" s="227" t="str">
        <f t="shared" si="22"/>
        <v>Ja</v>
      </c>
      <c r="AZ248" s="228">
        <f>IF($AY248="ja",(VLOOKUP($B248,'Egen hetvattenprod'!$B$1:$BX$550,MATCH(AZ$2,'Egen hetvattenprod'!$B$1:$BX$1,0),FALSE)+VLOOKUP($B248,Kraftvärmeprod!$B$1:$BX$550,MATCH(AZ$2,Kraftvärmeprod!$B$1:$BX$1,0),FALSE))/$AC248,"")</f>
        <v>0.49007007342791953</v>
      </c>
      <c r="BA248" s="228">
        <f>IF($AY248="ja",(VLOOKUP($B248,'Egen hetvattenprod'!$B$1:$BX$550,MATCH(BA$2,'Egen hetvattenprod'!$B$1:$BX$1,0),FALSE)+VLOOKUP($B248,Kraftvärmeprod!$B$1:$BX$550,MATCH(BA$2,Kraftvärmeprod!$B$1:$BX$1,0),FALSE))/$AC248,"")</f>
        <v>0.36242239260462544</v>
      </c>
      <c r="BB248" s="228">
        <f>IF($AY248="ja",(VLOOKUP($B248,'Egen hetvattenprod'!$B$1:$BX$550,MATCH(BB$2,'Egen hetvattenprod'!$B$1:$BX$1,0),FALSE)+VLOOKUP($B248,Kraftvärmeprod!$B$1:$BX$550,MATCH(BB$2,Kraftvärmeprod!$B$1:$BX$1,0),FALSE))/$AC248,"")</f>
        <v>0.14750659499150226</v>
      </c>
      <c r="BC248" s="228">
        <f>IF($AY248="ja",(VLOOKUP($B248,'Egen hetvattenprod'!$B$1:$BX$550,MATCH(BC$2,'Egen hetvattenprod'!$B$1:$BX$1,0),FALSE)+VLOOKUP($B248,Kraftvärmeprod!$B$1:$BX$550,MATCH(BC$2,Kraftvärmeprod!$B$1:$BX$1,0),FALSE))/$AC248,"")</f>
        <v>0</v>
      </c>
      <c r="BD248" s="228">
        <f>IF($AY248="ja",(VLOOKUP($B248,'Egen hetvattenprod'!$B$1:$BX$550,MATCH(BD$2,'Egen hetvattenprod'!$B$1:$BX$1,0),FALSE)+VLOOKUP($B248,Kraftvärmeprod!$B$1:$BX$550,MATCH(BD$2,Kraftvärmeprod!$B$1:$BX$1,0),FALSE))/$AC248,"")</f>
        <v>0</v>
      </c>
      <c r="BE248" s="227"/>
      <c r="BF248" s="227" t="str">
        <f t="shared" si="23"/>
        <v>Ja</v>
      </c>
      <c r="BG248" s="227" t="str">
        <f>IF($BF248="ja",VLOOKUP($B248,'Egen hetvattenprod'!$B$1:$BX$550,MATCH("Andelen klimatgaser med fossilt ursprung för avfall ()",'Egen hetvattenprod'!$B$1:$BX$1,0),FALSE),"")</f>
        <v>Mätvärde</v>
      </c>
      <c r="BH248" s="227" t="str">
        <f>IF($BF248="ja",VLOOKUP($B248,Kraftvärmeprod!$B$1:$BX$550,MATCH("Andelen klimatgaser med fossilt ursprung för avfall ()",Kraftvärmeprod!$B$1:$BX$1,0),FALSE),"")</f>
        <v>Mätvärde</v>
      </c>
      <c r="BI248" s="227">
        <f>IF($BF248="ja",VLOOKUP($B248,'Egen hetvattenprod'!$B$1:$BX$550,MATCH("Avfall (GWh)",'Egen hetvattenprod'!$B$1:$BX$1,0),FALSE),"")</f>
        <v>1058.7550000000001</v>
      </c>
      <c r="BJ248" s="227">
        <f>IF($BF248="ja",VLOOKUP($B248,'Slutlig allokering kvv'!$B$1:$BX$550,MATCH("Avfall (GWh)",'Slutlig allokering kvv'!$B$1:$BX$1,0),FALSE),"")</f>
        <v>886.84799999999996</v>
      </c>
      <c r="BK248" s="227">
        <f>IF($BF248="ja",VLOOKUP($B248,'Köpt hetvatten'!$B$1:$BX$550,MATCH("Avfall i köpt hetvatten",'Köpt hetvatten'!$B$1:$BX$1,0),FALSE),"")</f>
        <v>0</v>
      </c>
      <c r="BL248" s="227">
        <f>IF($BF248="ja",VLOOKUP($B248,'Egen hetvattenprod'!$B$1:$BX$550,MATCH("Värde enligt ovan. (%)",'Egen hetvattenprod'!$B$1:$BX$1,0),FALSE),"")</f>
        <v>37</v>
      </c>
      <c r="BM248" s="227" t="str">
        <f>IF($BF248="ja",VLOOKUP($B248,Kraftvärmeprod!$B$1:$BX$550,MATCH("Värde enligt ovan. (%)",Kraftvärmeprod!$B$1:$BX$1,0),FALSE),"")</f>
        <v>ET</v>
      </c>
      <c r="BN248" s="227"/>
      <c r="BO248" s="227"/>
      <c r="BP248" s="227"/>
      <c r="BQ248" s="227">
        <f>IF($BF248="ja",VLOOKUP($B248,'Egen hetvattenprod'!$B$1:$BX$550,MATCH("Tillförd olja (fossil) vid avfallsförbränning (GWh)",'Egen hetvattenprod'!$B$1:$BX$1,0),FALSE),"")</f>
        <v>0</v>
      </c>
      <c r="BR248" s="227" t="str">
        <f>IF($BF248="ja",VLOOKUP($B248,Kraftvärmeprod!$B$1:$BX$550,MATCH("Tillförd olja (fossil) vid avfallsförbränning (GWh)",Kraftvärmeprod!$B$1:$BX$1,0),FALSE),"")</f>
        <v>ET</v>
      </c>
      <c r="BS248" s="227"/>
      <c r="BT248" s="227"/>
      <c r="BU248" s="227"/>
    </row>
    <row r="249" spans="1:73" x14ac:dyDescent="0.25">
      <c r="A249" s="121" t="str">
        <f>'Miljövärden för publ företag'!B252</f>
        <v>Stockholm Exergi AB</v>
      </c>
      <c r="B249" s="121" t="str">
        <f>'Miljövärden för publ företag'!C252</f>
        <v>Täby</v>
      </c>
      <c r="C249" s="173">
        <f>IFERROR(VLOOKUP($B249,Totalt!$B$1:$AQ$554,MATCH(C$2,Totalt!$B$1:$AQ$1,0),FALSE),"")</f>
        <v>0</v>
      </c>
      <c r="D249" s="173">
        <f>IFERROR(VLOOKUP($B249,Totalt!$B$1:$AQ$554,MATCH(D$2,Totalt!$B$1:$AQ$1,0),FALSE),"")</f>
        <v>0</v>
      </c>
      <c r="E249" s="173">
        <f>IFERROR(VLOOKUP($B249,Totalt!$B$1:$AQ$554,MATCH(E$2,Totalt!$B$1:$AQ$1,0),FALSE),"")</f>
        <v>0</v>
      </c>
      <c r="F249" s="173">
        <f>IFERROR(VLOOKUP($B249,Totalt!$B$1:$AQ$554,MATCH(F$2,Totalt!$B$1:$AQ$1,0),FALSE),"")</f>
        <v>0</v>
      </c>
      <c r="G249" s="173">
        <f>IFERROR(VLOOKUP($B249,Totalt!$B$1:$AQ$554,MATCH(G$2,Totalt!$B$1:$AQ$1,0),FALSE),"")</f>
        <v>0</v>
      </c>
      <c r="H249" s="173">
        <f>IFERROR(VLOOKUP($B249,Totalt!$B$1:$AQ$554,MATCH(H$2,Totalt!$B$1:$AQ$1,0),FALSE),"")</f>
        <v>0</v>
      </c>
      <c r="I249" s="173">
        <f>IFERROR(VLOOKUP($B249,Totalt!$B$1:$AQ$554,MATCH(I$2,Totalt!$B$1:$AQ$1,0),FALSE),"")</f>
        <v>0</v>
      </c>
      <c r="J249" s="173">
        <f>IFERROR(VLOOKUP($B249,Totalt!$B$1:$AQ$554,MATCH(J$2,Totalt!$B$1:$AQ$1,0),FALSE),"")</f>
        <v>0</v>
      </c>
      <c r="K249" s="173">
        <f>IFERROR(VLOOKUP($B249,Totalt!$B$1:$AQ$554,MATCH(K$2,Totalt!$B$1:$AQ$1,0),FALSE),"")</f>
        <v>0</v>
      </c>
      <c r="L249" s="173">
        <f>IFERROR(VLOOKUP($B249,Totalt!$B$1:$AQ$554,MATCH(L$2,Totalt!$B$1:$AQ$1,0),FALSE),"")</f>
        <v>0</v>
      </c>
      <c r="M249" s="173">
        <f>IFERROR(VLOOKUP($B249,Totalt!$B$1:$AQ$554,MATCH(M$2,Totalt!$B$1:$AQ$1,0),FALSE),"")</f>
        <v>0</v>
      </c>
      <c r="N249" s="173">
        <f>IFERROR(VLOOKUP($B249,Totalt!$B$1:$AQ$554,MATCH(N$2,Totalt!$B$1:$AQ$1,0),FALSE),"")</f>
        <v>0</v>
      </c>
      <c r="O249" s="173">
        <f>IFERROR(VLOOKUP($B249,Totalt!$B$1:$AQ$554,MATCH(O$2,Totalt!$B$1:$AQ$1,0),FALSE),"")</f>
        <v>0</v>
      </c>
      <c r="P249" s="173">
        <f>IFERROR(VLOOKUP($B249,Totalt!$B$1:$AQ$554,MATCH(P$2,Totalt!$B$1:$AQ$1,0),FALSE),"")</f>
        <v>0</v>
      </c>
      <c r="Q249" s="173">
        <f>IFERROR(VLOOKUP($B249,Totalt!$B$1:$AQ$554,MATCH(Q$2,Totalt!$B$1:$AQ$1,0),FALSE),"")</f>
        <v>0</v>
      </c>
      <c r="R249" s="173">
        <f>IFERROR(VLOOKUP($B249,Totalt!$B$1:$AQ$554,MATCH(R$2,Totalt!$B$1:$AQ$1,0),FALSE),"")</f>
        <v>17.670000000000002</v>
      </c>
      <c r="S249" s="173">
        <f>IFERROR(VLOOKUP($B249,Totalt!$B$1:$AQ$554,MATCH(S$2,Totalt!$B$1:$AQ$1,0),FALSE),"")</f>
        <v>0</v>
      </c>
      <c r="T249" s="173">
        <f>IFERROR(VLOOKUP($B249,Totalt!$B$1:$AQ$554,MATCH(T$2,Totalt!$B$1:$AQ$1,0),FALSE),"")</f>
        <v>0</v>
      </c>
      <c r="U249" s="173">
        <f>IFERROR(VLOOKUP($B249,Totalt!$B$1:$AQ$554,MATCH(U$2,Totalt!$B$1:$AQ$1,0),FALSE),"")</f>
        <v>0</v>
      </c>
      <c r="V249" s="173">
        <f>IFERROR(VLOOKUP($B249,Totalt!$B$1:$AQ$554,MATCH(V$2,Totalt!$B$1:$AQ$1,0),FALSE),"")</f>
        <v>0</v>
      </c>
      <c r="W249" s="173">
        <f>IFERROR(VLOOKUP($B249,Totalt!$B$1:$AQ$554,MATCH(W$2,Totalt!$B$1:$AQ$1,0),FALSE),"")</f>
        <v>30.751000000000001</v>
      </c>
      <c r="X249" s="173">
        <f>IFERROR(VLOOKUP($B249,Totalt!$B$1:$AQ$554,MATCH(X$2,Totalt!$B$1:$AQ$1,0),FALSE),"")</f>
        <v>0</v>
      </c>
      <c r="Y249" s="173">
        <f>IFERROR(VLOOKUP($B249,Totalt!$B$1:$AQ$554,MATCH(Y$2,Totalt!$B$1:$AQ$1,0),FALSE),"")</f>
        <v>0</v>
      </c>
      <c r="Z249" s="173">
        <f>IFERROR(VLOOKUP($B249,Totalt!$B$1:$AQ$554,MATCH(Z$2,Totalt!$B$1:$AQ$1,0),FALSE),"")</f>
        <v>5.5650000000000004</v>
      </c>
      <c r="AA249" s="173">
        <f>IFERROR(VLOOKUP($B249,Totalt!$B$1:$AQ$554,MATCH(AA$2,Totalt!$B$1:$AQ$1,0),FALSE),"")</f>
        <v>6.41</v>
      </c>
      <c r="AB249" s="173">
        <f>IFERROR(VLOOKUP($B249,Totalt!$B$1:$AQ$554,MATCH(AB$2,Totalt!$B$1:$AQ$1,0),FALSE),"")</f>
        <v>7.8979999999999997</v>
      </c>
      <c r="AC249" s="173">
        <f>IFERROR(VLOOKUP($B249,Totalt!$B$1:$AQ$554,MATCH(AC$2,Totalt!$B$1:$AQ$1,0),FALSE),"")</f>
        <v>0</v>
      </c>
      <c r="AD249" s="173">
        <f>IFERROR(VLOOKUP($B249,Totalt!$B$1:$AQ$554,MATCH(AD$2,Totalt!$B$1:$AQ$1,0),FALSE),"")</f>
        <v>0</v>
      </c>
      <c r="AE249" s="173">
        <f>IFERROR(VLOOKUP($B249,Totalt!$B$1:$AQ$554,MATCH(AE$2,Totalt!$B$1:$AQ$1,0),FALSE),"")</f>
        <v>0</v>
      </c>
      <c r="AF249" s="173">
        <f>IFERROR(VLOOKUP($B249,Totalt!$B$1:$AQ$554,MATCH(AF$2,Totalt!$B$1:$AQ$1,0),FALSE),"")</f>
        <v>0.91500000000000004</v>
      </c>
      <c r="AG249" s="173">
        <f>IFERROR(VLOOKUP($B249,Totalt!$B$1:$AQ$554,MATCH(AG$2,Totalt!$B$1:$AQ$1,0),FALSE),"")</f>
        <v>0</v>
      </c>
      <c r="AI249" s="226">
        <f t="shared" si="18"/>
        <v>69.209000000000003</v>
      </c>
      <c r="AJ249" s="226">
        <f>IF(ISERROR(1/VLOOKUP($B249,Leveranser!$B$1:$S$500,MATCH("såld värme (gwh)",Leveranser!$B$1:$S$1,0),FALSE)),"",VLOOKUP($B249,Leveranser!$B$1:$S$500,MATCH("såld värme (gwh)",Leveranser!$B$1:$S$1,0),FALSE))</f>
        <v>62.732999999999997</v>
      </c>
      <c r="AM249" s="227" t="str">
        <f>IF(B249&lt;&gt;"",IF(VLOOKUP($B249,Totalt!$B$1:$AQ$554,MATCH("Kvalitetsgranskad:",Totalt!$B$1:$AQ$1,0),FALSE)="ja",VLOOKUP($B249,Miljö!$B$1:$AG$479,MATCH(AM$2,Miljö!$B$1:$AK$1,0),FALSE),""),"")</f>
        <v>Ja</v>
      </c>
      <c r="AN249" s="227" t="str">
        <f>IF(AM249="ja",VLOOKUP($B249,Miljö!$B$1:$J$479,MATCH("Typ av ursprungsspecificerad el   (Om inget värde anges används Nordisk residualmix, se inforuta) ()",Miljö!$B$1:$J$1,0),FALSE),IF(AM249="nej","Nordisk residualel",""))</f>
        <v>-</v>
      </c>
      <c r="AO249" s="227">
        <f>IF(AM249="","",VLOOKUP($B249,Miljö!$B$1:$J$479,MATCH("Fossilandel för ursprungspecificerad el ()",Miljö!$B$1:$J$1,0),FALSE))</f>
        <v>0.42770000000000002</v>
      </c>
      <c r="AP249" s="227">
        <f>IF(AM249="","",IFERROR(VLOOKUP($B249,Miljö!$B$1:$J$479,MATCH("Kärnkraftsandel för ursprungsspecificerad el ()",Miljö!$B$1:$J$1,0),FALSE)/1,0))</f>
        <v>0.40550000000000003</v>
      </c>
      <c r="AQ249" s="227">
        <f t="shared" si="19"/>
        <v>0.1668</v>
      </c>
      <c r="AR249" s="227"/>
      <c r="AS249" s="227" t="str">
        <f t="shared" si="20"/>
        <v>Nej</v>
      </c>
      <c r="AT249" s="227" t="str">
        <f>IF(AS249="ja",VLOOKUP($B249,Miljö!$B$1:$O$500,MATCH("Fossil andel i procent (%)",Miljö!$B$1:$O$1,0),FALSE)/100,"")</f>
        <v/>
      </c>
      <c r="AU249" s="227"/>
      <c r="AV249" s="227" t="str">
        <f t="shared" si="21"/>
        <v>Ja</v>
      </c>
      <c r="AW249" s="227" t="str">
        <f>IF(AV249="ja",VLOOKUP($B249,'Egen hetvattenprod'!$B$1:$AO$500,MATCH("Värmekälla till värmepumpar ()",'Egen hetvattenprod'!$B$1:$AO$1,0),FALSE),"")</f>
        <v>Renat avloppsvatten</v>
      </c>
      <c r="AX249" s="227"/>
      <c r="AY249" s="227" t="str">
        <f t="shared" si="22"/>
        <v>Nej</v>
      </c>
      <c r="AZ249" s="228" t="str">
        <f>IF($AY249="ja",(VLOOKUP($B249,'Egen hetvattenprod'!$B$1:$BX$550,MATCH(AZ$2,'Egen hetvattenprod'!$B$1:$BX$1,0),FALSE)+VLOOKUP($B249,Kraftvärmeprod!$B$1:$BX$550,MATCH(AZ$2,Kraftvärmeprod!$B$1:$BX$1,0),FALSE))/$AC249,"")</f>
        <v/>
      </c>
      <c r="BA249" s="228" t="str">
        <f>IF($AY249="ja",(VLOOKUP($B249,'Egen hetvattenprod'!$B$1:$BX$550,MATCH(BA$2,'Egen hetvattenprod'!$B$1:$BX$1,0),FALSE)+VLOOKUP($B249,Kraftvärmeprod!$B$1:$BX$550,MATCH(BA$2,Kraftvärmeprod!$B$1:$BX$1,0),FALSE))/$AC249,"")</f>
        <v/>
      </c>
      <c r="BB249" s="228" t="str">
        <f>IF($AY249="ja",(VLOOKUP($B249,'Egen hetvattenprod'!$B$1:$BX$550,MATCH(BB$2,'Egen hetvattenprod'!$B$1:$BX$1,0),FALSE)+VLOOKUP($B249,Kraftvärmeprod!$B$1:$BX$550,MATCH(BB$2,Kraftvärmeprod!$B$1:$BX$1,0),FALSE))/$AC249,"")</f>
        <v/>
      </c>
      <c r="BC249" s="228" t="str">
        <f>IF($AY249="ja",(VLOOKUP($B249,'Egen hetvattenprod'!$B$1:$BX$550,MATCH(BC$2,'Egen hetvattenprod'!$B$1:$BX$1,0),FALSE)+VLOOKUP($B249,Kraftvärmeprod!$B$1:$BX$550,MATCH(BC$2,Kraftvärmeprod!$B$1:$BX$1,0),FALSE))/$AC249,"")</f>
        <v/>
      </c>
      <c r="BD249" s="228" t="str">
        <f>IF($AY249="ja",(VLOOKUP($B249,'Egen hetvattenprod'!$B$1:$BX$550,MATCH(BD$2,'Egen hetvattenprod'!$B$1:$BX$1,0),FALSE)+VLOOKUP($B249,Kraftvärmeprod!$B$1:$BX$550,MATCH(BD$2,Kraftvärmeprod!$B$1:$BX$1,0),FALSE))/$AC249,"")</f>
        <v/>
      </c>
      <c r="BE249" s="227"/>
      <c r="BF249" s="227" t="str">
        <f t="shared" si="23"/>
        <v>Nej</v>
      </c>
      <c r="BG249" s="227" t="str">
        <f>IF($BF249="ja",VLOOKUP($B249,'Egen hetvattenprod'!$B$1:$BX$550,MATCH("Andelen klimatgaser med fossilt ursprung för avfall ()",'Egen hetvattenprod'!$B$1:$BX$1,0),FALSE),"")</f>
        <v/>
      </c>
      <c r="BH249" s="227" t="str">
        <f>IF($BF249="ja",VLOOKUP($B249,Kraftvärmeprod!$B$1:$BX$550,MATCH("Andelen klimatgaser med fossilt ursprung för avfall ()",Kraftvärmeprod!$B$1:$BX$1,0),FALSE),"")</f>
        <v/>
      </c>
      <c r="BI249" s="227" t="str">
        <f>IF($BF249="ja",VLOOKUP($B249,'Egen hetvattenprod'!$B$1:$BX$550,MATCH("Avfall (GWh)",'Egen hetvattenprod'!$B$1:$BX$1,0),FALSE),"")</f>
        <v/>
      </c>
      <c r="BJ249" s="227" t="str">
        <f>IF($BF249="ja",VLOOKUP($B249,'Slutlig allokering kvv'!$B$1:$BX$550,MATCH("Avfall (GWh)",'Slutlig allokering kvv'!$B$1:$BX$1,0),FALSE),"")</f>
        <v/>
      </c>
      <c r="BK249" s="227" t="str">
        <f>IF($BF249="ja",VLOOKUP($B249,'Köpt hetvatten'!$B$1:$BX$550,MATCH("Avfall i köpt hetvatten",'Köpt hetvatten'!$B$1:$BX$1,0),FALSE),"")</f>
        <v/>
      </c>
      <c r="BL249" s="227" t="str">
        <f>IF($BF249="ja",VLOOKUP($B249,'Egen hetvattenprod'!$B$1:$BX$550,MATCH("Värde enligt ovan. (%)",'Egen hetvattenprod'!$B$1:$BX$1,0),FALSE),"")</f>
        <v/>
      </c>
      <c r="BM249" s="227" t="str">
        <f>IF($BF249="ja",VLOOKUP($B249,Kraftvärmeprod!$B$1:$BX$550,MATCH("Värde enligt ovan. (%)",Kraftvärmeprod!$B$1:$BX$1,0),FALSE),"")</f>
        <v/>
      </c>
      <c r="BN249" s="227"/>
      <c r="BO249" s="227"/>
      <c r="BP249" s="227"/>
      <c r="BQ249" s="227" t="str">
        <f>IF($BF249="ja",VLOOKUP($B249,'Egen hetvattenprod'!$B$1:$BX$550,MATCH("Tillförd olja (fossil) vid avfallsförbränning (GWh)",'Egen hetvattenprod'!$B$1:$BX$1,0),FALSE),"")</f>
        <v/>
      </c>
      <c r="BR249" s="227" t="str">
        <f>IF($BF249="ja",VLOOKUP($B249,Kraftvärmeprod!$B$1:$BX$550,MATCH("Tillförd olja (fossil) vid avfallsförbränning (GWh)",Kraftvärmeprod!$B$1:$BX$1,0),FALSE),"")</f>
        <v/>
      </c>
      <c r="BS249" s="227"/>
      <c r="BT249" s="227"/>
      <c r="BU249" s="227"/>
    </row>
    <row r="250" spans="1:73" x14ac:dyDescent="0.25">
      <c r="A250" s="121" t="str">
        <f>'Miljövärden för publ företag'!B253</f>
        <v>Sundsvall Energi AB</v>
      </c>
      <c r="B250" s="121" t="str">
        <f>'Miljövärden för publ företag'!C253</f>
        <v>Kvissleby</v>
      </c>
      <c r="C250" s="173">
        <f>IFERROR(VLOOKUP($B250,Totalt!$B$1:$AQ$554,MATCH(C$2,Totalt!$B$1:$AQ$1,0),FALSE),"")</f>
        <v>0</v>
      </c>
      <c r="D250" s="173">
        <f>IFERROR(VLOOKUP($B250,Totalt!$B$1:$AQ$554,MATCH(D$2,Totalt!$B$1:$AQ$1,0),FALSE),"")</f>
        <v>0.34599999999999997</v>
      </c>
      <c r="E250" s="173">
        <f>IFERROR(VLOOKUP($B250,Totalt!$B$1:$AQ$554,MATCH(E$2,Totalt!$B$1:$AQ$1,0),FALSE),"")</f>
        <v>0</v>
      </c>
      <c r="F250" s="173">
        <f>IFERROR(VLOOKUP($B250,Totalt!$B$1:$AQ$554,MATCH(F$2,Totalt!$B$1:$AQ$1,0),FALSE),"")</f>
        <v>3.9510000000000001</v>
      </c>
      <c r="G250" s="173">
        <f>IFERROR(VLOOKUP($B250,Totalt!$B$1:$AQ$554,MATCH(G$2,Totalt!$B$1:$AQ$1,0),FALSE),"")</f>
        <v>0</v>
      </c>
      <c r="H250" s="173">
        <f>IFERROR(VLOOKUP($B250,Totalt!$B$1:$AQ$554,MATCH(H$2,Totalt!$B$1:$AQ$1,0),FALSE),"")</f>
        <v>0</v>
      </c>
      <c r="I250" s="173">
        <f>IFERROR(VLOOKUP($B250,Totalt!$B$1:$AQ$554,MATCH(I$2,Totalt!$B$1:$AQ$1,0),FALSE),"")</f>
        <v>0</v>
      </c>
      <c r="J250" s="173">
        <f>IFERROR(VLOOKUP($B250,Totalt!$B$1:$AQ$554,MATCH(J$2,Totalt!$B$1:$AQ$1,0),FALSE),"")</f>
        <v>0</v>
      </c>
      <c r="K250" s="173">
        <f>IFERROR(VLOOKUP($B250,Totalt!$B$1:$AQ$554,MATCH(K$2,Totalt!$B$1:$AQ$1,0),FALSE),"")</f>
        <v>0</v>
      </c>
      <c r="L250" s="173">
        <f>IFERROR(VLOOKUP($B250,Totalt!$B$1:$AQ$554,MATCH(L$2,Totalt!$B$1:$AQ$1,0),FALSE),"")</f>
        <v>0</v>
      </c>
      <c r="M250" s="173">
        <f>IFERROR(VLOOKUP($B250,Totalt!$B$1:$AQ$554,MATCH(M$2,Totalt!$B$1:$AQ$1,0),FALSE),"")</f>
        <v>0</v>
      </c>
      <c r="N250" s="173">
        <f>IFERROR(VLOOKUP($B250,Totalt!$B$1:$AQ$554,MATCH(N$2,Totalt!$B$1:$AQ$1,0),FALSE),"")</f>
        <v>0</v>
      </c>
      <c r="O250" s="173">
        <f>IFERROR(VLOOKUP($B250,Totalt!$B$1:$AQ$554,MATCH(O$2,Totalt!$B$1:$AQ$1,0),FALSE),"")</f>
        <v>24.946000000000002</v>
      </c>
      <c r="P250" s="173">
        <f>IFERROR(VLOOKUP($B250,Totalt!$B$1:$AQ$554,MATCH(P$2,Totalt!$B$1:$AQ$1,0),FALSE),"")</f>
        <v>0</v>
      </c>
      <c r="Q250" s="173">
        <f>IFERROR(VLOOKUP($B250,Totalt!$B$1:$AQ$554,MATCH(Q$2,Totalt!$B$1:$AQ$1,0),FALSE),"")</f>
        <v>0</v>
      </c>
      <c r="R250" s="173">
        <f>IFERROR(VLOOKUP($B250,Totalt!$B$1:$AQ$554,MATCH(R$2,Totalt!$B$1:$AQ$1,0),FALSE),"")</f>
        <v>0</v>
      </c>
      <c r="S250" s="173">
        <f>IFERROR(VLOOKUP($B250,Totalt!$B$1:$AQ$554,MATCH(S$2,Totalt!$B$1:$AQ$1,0),FALSE),"")</f>
        <v>0</v>
      </c>
      <c r="T250" s="173">
        <f>IFERROR(VLOOKUP($B250,Totalt!$B$1:$AQ$554,MATCH(T$2,Totalt!$B$1:$AQ$1,0),FALSE),"")</f>
        <v>0</v>
      </c>
      <c r="U250" s="173">
        <f>IFERROR(VLOOKUP($B250,Totalt!$B$1:$AQ$554,MATCH(U$2,Totalt!$B$1:$AQ$1,0),FALSE),"")</f>
        <v>0</v>
      </c>
      <c r="V250" s="173">
        <f>IFERROR(VLOOKUP($B250,Totalt!$B$1:$AQ$554,MATCH(V$2,Totalt!$B$1:$AQ$1,0),FALSE),"")</f>
        <v>0</v>
      </c>
      <c r="W250" s="173">
        <f>IFERROR(VLOOKUP($B250,Totalt!$B$1:$AQ$554,MATCH(W$2,Totalt!$B$1:$AQ$1,0),FALSE),"")</f>
        <v>0</v>
      </c>
      <c r="X250" s="173">
        <f>IFERROR(VLOOKUP($B250,Totalt!$B$1:$AQ$554,MATCH(X$2,Totalt!$B$1:$AQ$1,0),FALSE),"")</f>
        <v>0</v>
      </c>
      <c r="Y250" s="173">
        <f>IFERROR(VLOOKUP($B250,Totalt!$B$1:$AQ$554,MATCH(Y$2,Totalt!$B$1:$AQ$1,0),FALSE),"")</f>
        <v>0</v>
      </c>
      <c r="Z250" s="173">
        <f>IFERROR(VLOOKUP($B250,Totalt!$B$1:$AQ$554,MATCH(Z$2,Totalt!$B$1:$AQ$1,0),FALSE),"")</f>
        <v>0</v>
      </c>
      <c r="AA250" s="173">
        <f>IFERROR(VLOOKUP($B250,Totalt!$B$1:$AQ$554,MATCH(AA$2,Totalt!$B$1:$AQ$1,0),FALSE),"")</f>
        <v>0</v>
      </c>
      <c r="AB250" s="173">
        <f>IFERROR(VLOOKUP($B250,Totalt!$B$1:$AQ$554,MATCH(AB$2,Totalt!$B$1:$AQ$1,0),FALSE),"")</f>
        <v>0</v>
      </c>
      <c r="AC250" s="173">
        <f>IFERROR(VLOOKUP($B250,Totalt!$B$1:$AQ$554,MATCH(AC$2,Totalt!$B$1:$AQ$1,0),FALSE),"")</f>
        <v>4.1859999999999999</v>
      </c>
      <c r="AD250" s="173">
        <f>IFERROR(VLOOKUP($B250,Totalt!$B$1:$AQ$554,MATCH(AD$2,Totalt!$B$1:$AQ$1,0),FALSE),"")</f>
        <v>0</v>
      </c>
      <c r="AE250" s="173">
        <f>IFERROR(VLOOKUP($B250,Totalt!$B$1:$AQ$554,MATCH(AE$2,Totalt!$B$1:$AQ$1,0),FALSE),"")</f>
        <v>0</v>
      </c>
      <c r="AF250" s="173">
        <f>IFERROR(VLOOKUP($B250,Totalt!$B$1:$AQ$554,MATCH(AF$2,Totalt!$B$1:$AQ$1,0),FALSE),"")</f>
        <v>0.83499999999999996</v>
      </c>
      <c r="AG250" s="173">
        <f>IFERROR(VLOOKUP($B250,Totalt!$B$1:$AQ$554,MATCH(AG$2,Totalt!$B$1:$AQ$1,0),FALSE),"")</f>
        <v>0</v>
      </c>
      <c r="AI250" s="226">
        <f t="shared" si="18"/>
        <v>34.264000000000003</v>
      </c>
      <c r="AJ250" s="226">
        <f>IF(ISERROR(1/VLOOKUP($B250,Leveranser!$B$1:$S$500,MATCH("såld värme (gwh)",Leveranser!$B$1:$S$1,0),FALSE)),"",VLOOKUP($B250,Leveranser!$B$1:$S$500,MATCH("såld värme (gwh)",Leveranser!$B$1:$S$1,0),FALSE))</f>
        <v>22.38</v>
      </c>
      <c r="AM250" s="227" t="str">
        <f>IF(B250&lt;&gt;"",IF(VLOOKUP($B250,Totalt!$B$1:$AQ$554,MATCH("Kvalitetsgranskad:",Totalt!$B$1:$AQ$1,0),FALSE)="ja",VLOOKUP($B250,Miljö!$B$1:$AG$479,MATCH(AM$2,Miljö!$B$1:$AK$1,0),FALSE),""),"")</f>
        <v>Nej</v>
      </c>
      <c r="AN250" s="227" t="str">
        <f>IF(AM250="ja",VLOOKUP($B250,Miljö!$B$1:$J$479,MATCH("Typ av ursprungsspecificerad el   (Om inget värde anges används Nordisk residualmix, se inforuta) ()",Miljö!$B$1:$J$1,0),FALSE),IF(AM250="nej","Nordisk residualel",""))</f>
        <v>Nordisk residualel</v>
      </c>
      <c r="AO250" s="227">
        <f>IF(AM250="","",VLOOKUP($B250,Miljö!$B$1:$J$479,MATCH("Fossilandel för ursprungspecificerad el ()",Miljö!$B$1:$J$1,0),FALSE))</f>
        <v>0.43</v>
      </c>
      <c r="AP250" s="227">
        <f>IF(AM250="","",IFERROR(VLOOKUP($B250,Miljö!$B$1:$J$479,MATCH("Kärnkraftsandel för ursprungsspecificerad el ()",Miljö!$B$1:$J$1,0),FALSE)/1,0))</f>
        <v>0.40550000000000003</v>
      </c>
      <c r="AQ250" s="227">
        <f t="shared" si="19"/>
        <v>0.16450000000000004</v>
      </c>
      <c r="AR250" s="227"/>
      <c r="AS250" s="227" t="str">
        <f t="shared" si="20"/>
        <v>Nej</v>
      </c>
      <c r="AT250" s="227" t="str">
        <f>IF(AS250="ja",VLOOKUP($B250,Miljö!$B$1:$O$500,MATCH("Fossil andel i procent (%)",Miljö!$B$1:$O$1,0),FALSE)/100,"")</f>
        <v/>
      </c>
      <c r="AU250" s="227"/>
      <c r="AV250" s="227" t="str">
        <f t="shared" si="21"/>
        <v>Nej</v>
      </c>
      <c r="AW250" s="227" t="str">
        <f>IF(AV250="ja",VLOOKUP($B250,'Egen hetvattenprod'!$B$1:$AO$500,MATCH("Värmekälla till värmepumpar ()",'Egen hetvattenprod'!$B$1:$AO$1,0),FALSE),"")</f>
        <v/>
      </c>
      <c r="AX250" s="227"/>
      <c r="AY250" s="227" t="str">
        <f t="shared" si="22"/>
        <v>Ja</v>
      </c>
      <c r="AZ250" s="228">
        <f>IF($AY250="ja",(VLOOKUP($B250,'Egen hetvattenprod'!$B$1:$BX$550,MATCH(AZ$2,'Egen hetvattenprod'!$B$1:$BX$1,0),FALSE)+VLOOKUP($B250,Kraftvärmeprod!$B$1:$BX$550,MATCH(AZ$2,Kraftvärmeprod!$B$1:$BX$1,0),FALSE))/$AC250,"")</f>
        <v>1</v>
      </c>
      <c r="BA250" s="228">
        <f>IF($AY250="ja",(VLOOKUP($B250,'Egen hetvattenprod'!$B$1:$BX$550,MATCH(BA$2,'Egen hetvattenprod'!$B$1:$BX$1,0),FALSE)+VLOOKUP($B250,Kraftvärmeprod!$B$1:$BX$550,MATCH(BA$2,Kraftvärmeprod!$B$1:$BX$1,0),FALSE))/$AC250,"")</f>
        <v>0</v>
      </c>
      <c r="BB250" s="228">
        <f>IF($AY250="ja",(VLOOKUP($B250,'Egen hetvattenprod'!$B$1:$BX$550,MATCH(BB$2,'Egen hetvattenprod'!$B$1:$BX$1,0),FALSE)+VLOOKUP($B250,Kraftvärmeprod!$B$1:$BX$550,MATCH(BB$2,Kraftvärmeprod!$B$1:$BX$1,0),FALSE))/$AC250,"")</f>
        <v>0</v>
      </c>
      <c r="BC250" s="228">
        <f>IF($AY250="ja",(VLOOKUP($B250,'Egen hetvattenprod'!$B$1:$BX$550,MATCH(BC$2,'Egen hetvattenprod'!$B$1:$BX$1,0),FALSE)+VLOOKUP($B250,Kraftvärmeprod!$B$1:$BX$550,MATCH(BC$2,Kraftvärmeprod!$B$1:$BX$1,0),FALSE))/$AC250,"")</f>
        <v>0</v>
      </c>
      <c r="BD250" s="228">
        <f>IF($AY250="ja",(VLOOKUP($B250,'Egen hetvattenprod'!$B$1:$BX$550,MATCH(BD$2,'Egen hetvattenprod'!$B$1:$BX$1,0),FALSE)+VLOOKUP($B250,Kraftvärmeprod!$B$1:$BX$550,MATCH(BD$2,Kraftvärmeprod!$B$1:$BX$1,0),FALSE))/$AC250,"")</f>
        <v>0</v>
      </c>
      <c r="BE250" s="227"/>
      <c r="BF250" s="227" t="str">
        <f t="shared" si="23"/>
        <v>Nej</v>
      </c>
      <c r="BG250" s="227" t="str">
        <f>IF($BF250="ja",VLOOKUP($B250,'Egen hetvattenprod'!$B$1:$BX$550,MATCH("Andelen klimatgaser med fossilt ursprung för avfall ()",'Egen hetvattenprod'!$B$1:$BX$1,0),FALSE),"")</f>
        <v/>
      </c>
      <c r="BH250" s="227" t="str">
        <f>IF($BF250="ja",VLOOKUP($B250,Kraftvärmeprod!$B$1:$BX$550,MATCH("Andelen klimatgaser med fossilt ursprung för avfall ()",Kraftvärmeprod!$B$1:$BX$1,0),FALSE),"")</f>
        <v/>
      </c>
      <c r="BI250" s="227" t="str">
        <f>IF($BF250="ja",VLOOKUP($B250,'Egen hetvattenprod'!$B$1:$BX$550,MATCH("Avfall (GWh)",'Egen hetvattenprod'!$B$1:$BX$1,0),FALSE),"")</f>
        <v/>
      </c>
      <c r="BJ250" s="227" t="str">
        <f>IF($BF250="ja",VLOOKUP($B250,'Slutlig allokering kvv'!$B$1:$BX$550,MATCH("Avfall (GWh)",'Slutlig allokering kvv'!$B$1:$BX$1,0),FALSE),"")</f>
        <v/>
      </c>
      <c r="BK250" s="227" t="str">
        <f>IF($BF250="ja",VLOOKUP($B250,'Köpt hetvatten'!$B$1:$BX$550,MATCH("Avfall i köpt hetvatten",'Köpt hetvatten'!$B$1:$BX$1,0),FALSE),"")</f>
        <v/>
      </c>
      <c r="BL250" s="227" t="str">
        <f>IF($BF250="ja",VLOOKUP($B250,'Egen hetvattenprod'!$B$1:$BX$550,MATCH("Värde enligt ovan. (%)",'Egen hetvattenprod'!$B$1:$BX$1,0),FALSE),"")</f>
        <v/>
      </c>
      <c r="BM250" s="227" t="str">
        <f>IF($BF250="ja",VLOOKUP($B250,Kraftvärmeprod!$B$1:$BX$550,MATCH("Värde enligt ovan. (%)",Kraftvärmeprod!$B$1:$BX$1,0),FALSE),"")</f>
        <v/>
      </c>
      <c r="BN250" s="227"/>
      <c r="BO250" s="227"/>
      <c r="BP250" s="227"/>
      <c r="BQ250" s="227" t="str">
        <f>IF($BF250="ja",VLOOKUP($B250,'Egen hetvattenprod'!$B$1:$BX$550,MATCH("Tillförd olja (fossil) vid avfallsförbränning (GWh)",'Egen hetvattenprod'!$B$1:$BX$1,0),FALSE),"")</f>
        <v/>
      </c>
      <c r="BR250" s="227" t="str">
        <f>IF($BF250="ja",VLOOKUP($B250,Kraftvärmeprod!$B$1:$BX$550,MATCH("Tillförd olja (fossil) vid avfallsförbränning (GWh)",Kraftvärmeprod!$B$1:$BX$1,0),FALSE),"")</f>
        <v/>
      </c>
      <c r="BS250" s="227"/>
      <c r="BT250" s="227"/>
      <c r="BU250" s="227"/>
    </row>
    <row r="251" spans="1:73" x14ac:dyDescent="0.25">
      <c r="A251" s="121" t="str">
        <f>'Miljövärden för publ företag'!B254</f>
        <v>Sundsvall Energi AB</v>
      </c>
      <c r="B251" s="121" t="str">
        <f>'Miljövärden för publ företag'!C254</f>
        <v>Matfors</v>
      </c>
      <c r="C251" s="173">
        <f>IFERROR(VLOOKUP($B251,Totalt!$B$1:$AQ$554,MATCH(C$2,Totalt!$B$1:$AQ$1,0),FALSE),"")</f>
        <v>0</v>
      </c>
      <c r="D251" s="173">
        <f>IFERROR(VLOOKUP($B251,Totalt!$B$1:$AQ$554,MATCH(D$2,Totalt!$B$1:$AQ$1,0),FALSE),"")</f>
        <v>0.51300000000000001</v>
      </c>
      <c r="E251" s="173">
        <f>IFERROR(VLOOKUP($B251,Totalt!$B$1:$AQ$554,MATCH(E$2,Totalt!$B$1:$AQ$1,0),FALSE),"")</f>
        <v>0</v>
      </c>
      <c r="F251" s="173">
        <f>IFERROR(VLOOKUP($B251,Totalt!$B$1:$AQ$554,MATCH(F$2,Totalt!$B$1:$AQ$1,0),FALSE),"")</f>
        <v>0</v>
      </c>
      <c r="G251" s="173">
        <f>IFERROR(VLOOKUP($B251,Totalt!$B$1:$AQ$554,MATCH(G$2,Totalt!$B$1:$AQ$1,0),FALSE),"")</f>
        <v>0</v>
      </c>
      <c r="H251" s="173">
        <f>IFERROR(VLOOKUP($B251,Totalt!$B$1:$AQ$554,MATCH(H$2,Totalt!$B$1:$AQ$1,0),FALSE),"")</f>
        <v>0</v>
      </c>
      <c r="I251" s="173">
        <f>IFERROR(VLOOKUP($B251,Totalt!$B$1:$AQ$554,MATCH(I$2,Totalt!$B$1:$AQ$1,0),FALSE),"")</f>
        <v>0</v>
      </c>
      <c r="J251" s="173">
        <f>IFERROR(VLOOKUP($B251,Totalt!$B$1:$AQ$554,MATCH(J$2,Totalt!$B$1:$AQ$1,0),FALSE),"")</f>
        <v>0</v>
      </c>
      <c r="K251" s="173">
        <f>IFERROR(VLOOKUP($B251,Totalt!$B$1:$AQ$554,MATCH(K$2,Totalt!$B$1:$AQ$1,0),FALSE),"")</f>
        <v>0</v>
      </c>
      <c r="L251" s="173">
        <f>IFERROR(VLOOKUP($B251,Totalt!$B$1:$AQ$554,MATCH(L$2,Totalt!$B$1:$AQ$1,0),FALSE),"")</f>
        <v>0</v>
      </c>
      <c r="M251" s="173">
        <f>IFERROR(VLOOKUP($B251,Totalt!$B$1:$AQ$554,MATCH(M$2,Totalt!$B$1:$AQ$1,0),FALSE),"")</f>
        <v>0</v>
      </c>
      <c r="N251" s="173">
        <f>IFERROR(VLOOKUP($B251,Totalt!$B$1:$AQ$554,MATCH(N$2,Totalt!$B$1:$AQ$1,0),FALSE),"")</f>
        <v>0</v>
      </c>
      <c r="O251" s="173">
        <f>IFERROR(VLOOKUP($B251,Totalt!$B$1:$AQ$554,MATCH(O$2,Totalt!$B$1:$AQ$1,0),FALSE),"")</f>
        <v>0</v>
      </c>
      <c r="P251" s="173">
        <f>IFERROR(VLOOKUP($B251,Totalt!$B$1:$AQ$554,MATCH(P$2,Totalt!$B$1:$AQ$1,0),FALSE),"")</f>
        <v>15.426</v>
      </c>
      <c r="Q251" s="173">
        <f>IFERROR(VLOOKUP($B251,Totalt!$B$1:$AQ$554,MATCH(Q$2,Totalt!$B$1:$AQ$1,0),FALSE),"")</f>
        <v>0</v>
      </c>
      <c r="R251" s="173">
        <f>IFERROR(VLOOKUP($B251,Totalt!$B$1:$AQ$554,MATCH(R$2,Totalt!$B$1:$AQ$1,0),FALSE),"")</f>
        <v>0</v>
      </c>
      <c r="S251" s="173">
        <f>IFERROR(VLOOKUP($B251,Totalt!$B$1:$AQ$554,MATCH(S$2,Totalt!$B$1:$AQ$1,0),FALSE),"")</f>
        <v>0</v>
      </c>
      <c r="T251" s="173">
        <f>IFERROR(VLOOKUP($B251,Totalt!$B$1:$AQ$554,MATCH(T$2,Totalt!$B$1:$AQ$1,0),FALSE),"")</f>
        <v>0</v>
      </c>
      <c r="U251" s="173">
        <f>IFERROR(VLOOKUP($B251,Totalt!$B$1:$AQ$554,MATCH(U$2,Totalt!$B$1:$AQ$1,0),FALSE),"")</f>
        <v>0</v>
      </c>
      <c r="V251" s="173">
        <f>IFERROR(VLOOKUP($B251,Totalt!$B$1:$AQ$554,MATCH(V$2,Totalt!$B$1:$AQ$1,0),FALSE),"")</f>
        <v>0.90900000000000003</v>
      </c>
      <c r="W251" s="173">
        <f>IFERROR(VLOOKUP($B251,Totalt!$B$1:$AQ$554,MATCH(W$2,Totalt!$B$1:$AQ$1,0),FALSE),"")</f>
        <v>0</v>
      </c>
      <c r="X251" s="173">
        <f>IFERROR(VLOOKUP($B251,Totalt!$B$1:$AQ$554,MATCH(X$2,Totalt!$B$1:$AQ$1,0),FALSE),"")</f>
        <v>0</v>
      </c>
      <c r="Y251" s="173">
        <f>IFERROR(VLOOKUP($B251,Totalt!$B$1:$AQ$554,MATCH(Y$2,Totalt!$B$1:$AQ$1,0),FALSE),"")</f>
        <v>0</v>
      </c>
      <c r="Z251" s="173">
        <f>IFERROR(VLOOKUP($B251,Totalt!$B$1:$AQ$554,MATCH(Z$2,Totalt!$B$1:$AQ$1,0),FALSE),"")</f>
        <v>0</v>
      </c>
      <c r="AA251" s="173">
        <f>IFERROR(VLOOKUP($B251,Totalt!$B$1:$AQ$554,MATCH(AA$2,Totalt!$B$1:$AQ$1,0),FALSE),"")</f>
        <v>0</v>
      </c>
      <c r="AB251" s="173">
        <f>IFERROR(VLOOKUP($B251,Totalt!$B$1:$AQ$554,MATCH(AB$2,Totalt!$B$1:$AQ$1,0),FALSE),"")</f>
        <v>0</v>
      </c>
      <c r="AC251" s="173">
        <f>IFERROR(VLOOKUP($B251,Totalt!$B$1:$AQ$554,MATCH(AC$2,Totalt!$B$1:$AQ$1,0),FALSE),"")</f>
        <v>1.24</v>
      </c>
      <c r="AD251" s="173">
        <f>IFERROR(VLOOKUP($B251,Totalt!$B$1:$AQ$554,MATCH(AD$2,Totalt!$B$1:$AQ$1,0),FALSE),"")</f>
        <v>0</v>
      </c>
      <c r="AE251" s="173">
        <f>IFERROR(VLOOKUP($B251,Totalt!$B$1:$AQ$554,MATCH(AE$2,Totalt!$B$1:$AQ$1,0),FALSE),"")</f>
        <v>0</v>
      </c>
      <c r="AF251" s="173">
        <f>IFERROR(VLOOKUP($B251,Totalt!$B$1:$AQ$554,MATCH(AF$2,Totalt!$B$1:$AQ$1,0),FALSE),"")</f>
        <v>0.54300000000000004</v>
      </c>
      <c r="AG251" s="173">
        <f>IFERROR(VLOOKUP($B251,Totalt!$B$1:$AQ$554,MATCH(AG$2,Totalt!$B$1:$AQ$1,0),FALSE),"")</f>
        <v>0</v>
      </c>
      <c r="AI251" s="226">
        <f t="shared" si="18"/>
        <v>18.630999999999997</v>
      </c>
      <c r="AJ251" s="226">
        <f>IF(ISERROR(1/VLOOKUP($B251,Leveranser!$B$1:$S$500,MATCH("såld värme (gwh)",Leveranser!$B$1:$S$1,0),FALSE)),"",VLOOKUP($B251,Leveranser!$B$1:$S$500,MATCH("såld värme (gwh)",Leveranser!$B$1:$S$1,0),FALSE))</f>
        <v>15.986000000000001</v>
      </c>
      <c r="AM251" s="227" t="str">
        <f>IF(B251&lt;&gt;"",IF(VLOOKUP($B251,Totalt!$B$1:$AQ$554,MATCH("Kvalitetsgranskad:",Totalt!$B$1:$AQ$1,0),FALSE)="ja",VLOOKUP($B251,Miljö!$B$1:$AG$479,MATCH(AM$2,Miljö!$B$1:$AK$1,0),FALSE),""),"")</f>
        <v>Nej</v>
      </c>
      <c r="AN251" s="227" t="str">
        <f>IF(AM251="ja",VLOOKUP($B251,Miljö!$B$1:$J$479,MATCH("Typ av ursprungsspecificerad el   (Om inget värde anges används Nordisk residualmix, se inforuta) ()",Miljö!$B$1:$J$1,0),FALSE),IF(AM251="nej","Nordisk residualel",""))</f>
        <v>Nordisk residualel</v>
      </c>
      <c r="AO251" s="227">
        <f>IF(AM251="","",VLOOKUP($B251,Miljö!$B$1:$J$479,MATCH("Fossilandel för ursprungspecificerad el ()",Miljö!$B$1:$J$1,0),FALSE))</f>
        <v>0.43</v>
      </c>
      <c r="AP251" s="227">
        <f>IF(AM251="","",IFERROR(VLOOKUP($B251,Miljö!$B$1:$J$479,MATCH("Kärnkraftsandel för ursprungsspecificerad el ()",Miljö!$B$1:$J$1,0),FALSE)/1,0))</f>
        <v>0.40550000000000003</v>
      </c>
      <c r="AQ251" s="227">
        <f t="shared" si="19"/>
        <v>0.16450000000000004</v>
      </c>
      <c r="AR251" s="227"/>
      <c r="AS251" s="227" t="str">
        <f t="shared" si="20"/>
        <v>Nej</v>
      </c>
      <c r="AT251" s="227" t="str">
        <f>IF(AS251="ja",VLOOKUP($B251,Miljö!$B$1:$O$500,MATCH("Fossil andel i procent (%)",Miljö!$B$1:$O$1,0),FALSE)/100,"")</f>
        <v/>
      </c>
      <c r="AU251" s="227"/>
      <c r="AV251" s="227" t="str">
        <f t="shared" si="21"/>
        <v>Nej</v>
      </c>
      <c r="AW251" s="227" t="str">
        <f>IF(AV251="ja",VLOOKUP($B251,'Egen hetvattenprod'!$B$1:$AO$500,MATCH("Värmekälla till värmepumpar ()",'Egen hetvattenprod'!$B$1:$AO$1,0),FALSE),"")</f>
        <v/>
      </c>
      <c r="AX251" s="227"/>
      <c r="AY251" s="227" t="str">
        <f t="shared" si="22"/>
        <v>Ja</v>
      </c>
      <c r="AZ251" s="228">
        <f>IF($AY251="ja",(VLOOKUP($B251,'Egen hetvattenprod'!$B$1:$BX$550,MATCH(AZ$2,'Egen hetvattenprod'!$B$1:$BX$1,0),FALSE)+VLOOKUP($B251,Kraftvärmeprod!$B$1:$BX$550,MATCH(AZ$2,Kraftvärmeprod!$B$1:$BX$1,0),FALSE))/$AC251,"")</f>
        <v>1</v>
      </c>
      <c r="BA251" s="228">
        <f>IF($AY251="ja",(VLOOKUP($B251,'Egen hetvattenprod'!$B$1:$BX$550,MATCH(BA$2,'Egen hetvattenprod'!$B$1:$BX$1,0),FALSE)+VLOOKUP($B251,Kraftvärmeprod!$B$1:$BX$550,MATCH(BA$2,Kraftvärmeprod!$B$1:$BX$1,0),FALSE))/$AC251,"")</f>
        <v>0</v>
      </c>
      <c r="BB251" s="228">
        <f>IF($AY251="ja",(VLOOKUP($B251,'Egen hetvattenprod'!$B$1:$BX$550,MATCH(BB$2,'Egen hetvattenprod'!$B$1:$BX$1,0),FALSE)+VLOOKUP($B251,Kraftvärmeprod!$B$1:$BX$550,MATCH(BB$2,Kraftvärmeprod!$B$1:$BX$1,0),FALSE))/$AC251,"")</f>
        <v>0</v>
      </c>
      <c r="BC251" s="228">
        <f>IF($AY251="ja",(VLOOKUP($B251,'Egen hetvattenprod'!$B$1:$BX$550,MATCH(BC$2,'Egen hetvattenprod'!$B$1:$BX$1,0),FALSE)+VLOOKUP($B251,Kraftvärmeprod!$B$1:$BX$550,MATCH(BC$2,Kraftvärmeprod!$B$1:$BX$1,0),FALSE))/$AC251,"")</f>
        <v>0</v>
      </c>
      <c r="BD251" s="228">
        <f>IF($AY251="ja",(VLOOKUP($B251,'Egen hetvattenprod'!$B$1:$BX$550,MATCH(BD$2,'Egen hetvattenprod'!$B$1:$BX$1,0),FALSE)+VLOOKUP($B251,Kraftvärmeprod!$B$1:$BX$550,MATCH(BD$2,Kraftvärmeprod!$B$1:$BX$1,0),FALSE))/$AC251,"")</f>
        <v>0</v>
      </c>
      <c r="BE251" s="227"/>
      <c r="BF251" s="227" t="str">
        <f t="shared" si="23"/>
        <v>Nej</v>
      </c>
      <c r="BG251" s="227" t="str">
        <f>IF($BF251="ja",VLOOKUP($B251,'Egen hetvattenprod'!$B$1:$BX$550,MATCH("Andelen klimatgaser med fossilt ursprung för avfall ()",'Egen hetvattenprod'!$B$1:$BX$1,0),FALSE),"")</f>
        <v/>
      </c>
      <c r="BH251" s="227" t="str">
        <f>IF($BF251="ja",VLOOKUP($B251,Kraftvärmeprod!$B$1:$BX$550,MATCH("Andelen klimatgaser med fossilt ursprung för avfall ()",Kraftvärmeprod!$B$1:$BX$1,0),FALSE),"")</f>
        <v/>
      </c>
      <c r="BI251" s="227" t="str">
        <f>IF($BF251="ja",VLOOKUP($B251,'Egen hetvattenprod'!$B$1:$BX$550,MATCH("Avfall (GWh)",'Egen hetvattenprod'!$B$1:$BX$1,0),FALSE),"")</f>
        <v/>
      </c>
      <c r="BJ251" s="227" t="str">
        <f>IF($BF251="ja",VLOOKUP($B251,'Slutlig allokering kvv'!$B$1:$BX$550,MATCH("Avfall (GWh)",'Slutlig allokering kvv'!$B$1:$BX$1,0),FALSE),"")</f>
        <v/>
      </c>
      <c r="BK251" s="227" t="str">
        <f>IF($BF251="ja",VLOOKUP($B251,'Köpt hetvatten'!$B$1:$BX$550,MATCH("Avfall i köpt hetvatten",'Köpt hetvatten'!$B$1:$BX$1,0),FALSE),"")</f>
        <v/>
      </c>
      <c r="BL251" s="227" t="str">
        <f>IF($BF251="ja",VLOOKUP($B251,'Egen hetvattenprod'!$B$1:$BX$550,MATCH("Värde enligt ovan. (%)",'Egen hetvattenprod'!$B$1:$BX$1,0),FALSE),"")</f>
        <v/>
      </c>
      <c r="BM251" s="227" t="str">
        <f>IF($BF251="ja",VLOOKUP($B251,Kraftvärmeprod!$B$1:$BX$550,MATCH("Värde enligt ovan. (%)",Kraftvärmeprod!$B$1:$BX$1,0),FALSE),"")</f>
        <v/>
      </c>
      <c r="BN251" s="227"/>
      <c r="BO251" s="227"/>
      <c r="BP251" s="227"/>
      <c r="BQ251" s="227" t="str">
        <f>IF($BF251="ja",VLOOKUP($B251,'Egen hetvattenprod'!$B$1:$BX$550,MATCH("Tillförd olja (fossil) vid avfallsförbränning (GWh)",'Egen hetvattenprod'!$B$1:$BX$1,0),FALSE),"")</f>
        <v/>
      </c>
      <c r="BR251" s="227" t="str">
        <f>IF($BF251="ja",VLOOKUP($B251,Kraftvärmeprod!$B$1:$BX$550,MATCH("Tillförd olja (fossil) vid avfallsförbränning (GWh)",Kraftvärmeprod!$B$1:$BX$1,0),FALSE),"")</f>
        <v/>
      </c>
      <c r="BS251" s="227"/>
      <c r="BT251" s="227"/>
      <c r="BU251" s="227"/>
    </row>
    <row r="252" spans="1:73" x14ac:dyDescent="0.25">
      <c r="A252" s="121" t="str">
        <f>'Miljövärden för publ företag'!B255</f>
        <v>Sundsvall Energi AB</v>
      </c>
      <c r="B252" s="121" t="str">
        <f>'Miljövärden för publ företag'!C255</f>
        <v>Sundsvall</v>
      </c>
      <c r="C252" s="173">
        <f>IFERROR(VLOOKUP($B252,Totalt!$B$1:$AQ$554,MATCH(C$2,Totalt!$B$1:$AQ$1,0),FALSE),"")</f>
        <v>0</v>
      </c>
      <c r="D252" s="173">
        <f>IFERROR(VLOOKUP($B252,Totalt!$B$1:$AQ$554,MATCH(D$2,Totalt!$B$1:$AQ$1,0),FALSE),"")</f>
        <v>4.8259999999999996</v>
      </c>
      <c r="E252" s="173">
        <f>IFERROR(VLOOKUP($B252,Totalt!$B$1:$AQ$554,MATCH(E$2,Totalt!$B$1:$AQ$1,0),FALSE),"")</f>
        <v>0</v>
      </c>
      <c r="F252" s="173">
        <f>IFERROR(VLOOKUP($B252,Totalt!$B$1:$AQ$554,MATCH(F$2,Totalt!$B$1:$AQ$1,0),FALSE),"")</f>
        <v>4.1100000000000003</v>
      </c>
      <c r="G252" s="173">
        <f>IFERROR(VLOOKUP($B252,Totalt!$B$1:$AQ$554,MATCH(G$2,Totalt!$B$1:$AQ$1,0),FALSE),"")</f>
        <v>0</v>
      </c>
      <c r="H252" s="173">
        <f>IFERROR(VLOOKUP($B252,Totalt!$B$1:$AQ$554,MATCH(H$2,Totalt!$B$1:$AQ$1,0),FALSE),"")</f>
        <v>0</v>
      </c>
      <c r="I252" s="173">
        <f>IFERROR(VLOOKUP($B252,Totalt!$B$1:$AQ$554,MATCH(I$2,Totalt!$B$1:$AQ$1,0),FALSE),"")</f>
        <v>305.02</v>
      </c>
      <c r="J252" s="173">
        <f>IFERROR(VLOOKUP($B252,Totalt!$B$1:$AQ$554,MATCH(J$2,Totalt!$B$1:$AQ$1,0),FALSE),"")</f>
        <v>0</v>
      </c>
      <c r="K252" s="173">
        <f>IFERROR(VLOOKUP($B252,Totalt!$B$1:$AQ$554,MATCH(K$2,Totalt!$B$1:$AQ$1,0),FALSE),"")</f>
        <v>0</v>
      </c>
      <c r="L252" s="173">
        <f>IFERROR(VLOOKUP($B252,Totalt!$B$1:$AQ$554,MATCH(L$2,Totalt!$B$1:$AQ$1,0),FALSE),"")</f>
        <v>0</v>
      </c>
      <c r="M252" s="173">
        <f>IFERROR(VLOOKUP($B252,Totalt!$B$1:$AQ$554,MATCH(M$2,Totalt!$B$1:$AQ$1,0),FALSE),"")</f>
        <v>0</v>
      </c>
      <c r="N252" s="173">
        <f>IFERROR(VLOOKUP($B252,Totalt!$B$1:$AQ$554,MATCH(N$2,Totalt!$B$1:$AQ$1,0),FALSE),"")</f>
        <v>0</v>
      </c>
      <c r="O252" s="173">
        <f>IFERROR(VLOOKUP($B252,Totalt!$B$1:$AQ$554,MATCH(O$2,Totalt!$B$1:$AQ$1,0),FALSE),"")</f>
        <v>0</v>
      </c>
      <c r="P252" s="173">
        <f>IFERROR(VLOOKUP($B252,Totalt!$B$1:$AQ$554,MATCH(P$2,Totalt!$B$1:$AQ$1,0),FALSE),"")</f>
        <v>0</v>
      </c>
      <c r="Q252" s="173">
        <f>IFERROR(VLOOKUP($B252,Totalt!$B$1:$AQ$554,MATCH(Q$2,Totalt!$B$1:$AQ$1,0),FALSE),"")</f>
        <v>2.4892699999999999</v>
      </c>
      <c r="R252" s="173">
        <f>IFERROR(VLOOKUP($B252,Totalt!$B$1:$AQ$554,MATCH(R$2,Totalt!$B$1:$AQ$1,0),FALSE),"")</f>
        <v>168.76900000000001</v>
      </c>
      <c r="S252" s="173">
        <f>IFERROR(VLOOKUP($B252,Totalt!$B$1:$AQ$554,MATCH(S$2,Totalt!$B$1:$AQ$1,0),FALSE),"")</f>
        <v>0</v>
      </c>
      <c r="T252" s="173">
        <f>IFERROR(VLOOKUP($B252,Totalt!$B$1:$AQ$554,MATCH(T$2,Totalt!$B$1:$AQ$1,0),FALSE),"")</f>
        <v>0</v>
      </c>
      <c r="U252" s="173">
        <f>IFERROR(VLOOKUP($B252,Totalt!$B$1:$AQ$554,MATCH(U$2,Totalt!$B$1:$AQ$1,0),FALSE),"")</f>
        <v>0</v>
      </c>
      <c r="V252" s="173">
        <f>IFERROR(VLOOKUP($B252,Totalt!$B$1:$AQ$554,MATCH(V$2,Totalt!$B$1:$AQ$1,0),FALSE),"")</f>
        <v>4.9470000000000001</v>
      </c>
      <c r="W252" s="173">
        <f>IFERROR(VLOOKUP($B252,Totalt!$B$1:$AQ$554,MATCH(W$2,Totalt!$B$1:$AQ$1,0),FALSE),"")</f>
        <v>0</v>
      </c>
      <c r="X252" s="173">
        <f>IFERROR(VLOOKUP($B252,Totalt!$B$1:$AQ$554,MATCH(X$2,Totalt!$B$1:$AQ$1,0),FALSE),"")</f>
        <v>0</v>
      </c>
      <c r="Y252" s="173">
        <f>IFERROR(VLOOKUP($B252,Totalt!$B$1:$AQ$554,MATCH(Y$2,Totalt!$B$1:$AQ$1,0),FALSE),"")</f>
        <v>0</v>
      </c>
      <c r="Z252" s="173">
        <f>IFERROR(VLOOKUP($B252,Totalt!$B$1:$AQ$554,MATCH(Z$2,Totalt!$B$1:$AQ$1,0),FALSE),"")</f>
        <v>1.468</v>
      </c>
      <c r="AA252" s="173">
        <f>IFERROR(VLOOKUP($B252,Totalt!$B$1:$AQ$554,MATCH(AA$2,Totalt!$B$1:$AQ$1,0),FALSE),"")</f>
        <v>0</v>
      </c>
      <c r="AB252" s="173">
        <f>IFERROR(VLOOKUP($B252,Totalt!$B$1:$AQ$554,MATCH(AB$2,Totalt!$B$1:$AQ$1,0),FALSE),"")</f>
        <v>0</v>
      </c>
      <c r="AC252" s="173">
        <f>IFERROR(VLOOKUP($B252,Totalt!$B$1:$AQ$554,MATCH(AC$2,Totalt!$B$1:$AQ$1,0),FALSE),"")</f>
        <v>39.429000000000002</v>
      </c>
      <c r="AD252" s="173">
        <f>IFERROR(VLOOKUP($B252,Totalt!$B$1:$AQ$554,MATCH(AD$2,Totalt!$B$1:$AQ$1,0),FALSE),"")</f>
        <v>179.76900000000001</v>
      </c>
      <c r="AE252" s="173">
        <f>IFERROR(VLOOKUP($B252,Totalt!$B$1:$AQ$554,MATCH(AE$2,Totalt!$B$1:$AQ$1,0),FALSE),"")</f>
        <v>0</v>
      </c>
      <c r="AF252" s="173">
        <f>IFERROR(VLOOKUP($B252,Totalt!$B$1:$AQ$554,MATCH(AF$2,Totalt!$B$1:$AQ$1,0),FALSE),"")</f>
        <v>17.7393</v>
      </c>
      <c r="AG252" s="173">
        <f>IFERROR(VLOOKUP($B252,Totalt!$B$1:$AQ$554,MATCH(AG$2,Totalt!$B$1:$AQ$1,0),FALSE),"")</f>
        <v>0</v>
      </c>
      <c r="AI252" s="226">
        <f t="shared" si="18"/>
        <v>728.56656999999996</v>
      </c>
      <c r="AJ252" s="226">
        <f>IF(ISERROR(1/VLOOKUP($B252,Leveranser!$B$1:$S$500,MATCH("såld värme (gwh)",Leveranser!$B$1:$S$1,0),FALSE)),"",VLOOKUP($B252,Leveranser!$B$1:$S$500,MATCH("såld värme (gwh)",Leveranser!$B$1:$S$1,0),FALSE))</f>
        <v>549.02499999999998</v>
      </c>
      <c r="AM252" s="227" t="str">
        <f>IF(B252&lt;&gt;"",IF(VLOOKUP($B252,Totalt!$B$1:$AQ$554,MATCH("Kvalitetsgranskad:",Totalt!$B$1:$AQ$1,0),FALSE)="ja",VLOOKUP($B252,Miljö!$B$1:$AG$479,MATCH(AM$2,Miljö!$B$1:$AK$1,0),FALSE),""),"")</f>
        <v>Nej</v>
      </c>
      <c r="AN252" s="227" t="str">
        <f>IF(AM252="ja",VLOOKUP($B252,Miljö!$B$1:$J$479,MATCH("Typ av ursprungsspecificerad el   (Om inget värde anges används Nordisk residualmix, se inforuta) ()",Miljö!$B$1:$J$1,0),FALSE),IF(AM252="nej","Nordisk residualel",""))</f>
        <v>Nordisk residualel</v>
      </c>
      <c r="AO252" s="227">
        <f>IF(AM252="","",VLOOKUP($B252,Miljö!$B$1:$J$479,MATCH("Fossilandel för ursprungspecificerad el ()",Miljö!$B$1:$J$1,0),FALSE))</f>
        <v>0.43</v>
      </c>
      <c r="AP252" s="227">
        <f>IF(AM252="","",IFERROR(VLOOKUP($B252,Miljö!$B$1:$J$479,MATCH("Kärnkraftsandel för ursprungsspecificerad el ()",Miljö!$B$1:$J$1,0),FALSE)/1,0))</f>
        <v>0.40550000000000003</v>
      </c>
      <c r="AQ252" s="227">
        <f t="shared" si="19"/>
        <v>0.16450000000000004</v>
      </c>
      <c r="AR252" s="227"/>
      <c r="AS252" s="227" t="str">
        <f t="shared" si="20"/>
        <v>Nej</v>
      </c>
      <c r="AT252" s="227" t="str">
        <f>IF(AS252="ja",VLOOKUP($B252,Miljö!$B$1:$O$500,MATCH("Fossil andel i procent (%)",Miljö!$B$1:$O$1,0),FALSE)/100,"")</f>
        <v/>
      </c>
      <c r="AU252" s="227"/>
      <c r="AV252" s="227" t="str">
        <f t="shared" si="21"/>
        <v>Nej</v>
      </c>
      <c r="AW252" s="227" t="str">
        <f>IF(AV252="ja",VLOOKUP($B252,'Egen hetvattenprod'!$B$1:$AO$500,MATCH("Värmekälla till värmepumpar ()",'Egen hetvattenprod'!$B$1:$AO$1,0),FALSE),"")</f>
        <v/>
      </c>
      <c r="AX252" s="227"/>
      <c r="AY252" s="227" t="str">
        <f t="shared" si="22"/>
        <v>Ja</v>
      </c>
      <c r="AZ252" s="228">
        <f>IF($AY252="ja",(VLOOKUP($B252,'Egen hetvattenprod'!$B$1:$BX$550,MATCH(AZ$2,'Egen hetvattenprod'!$B$1:$BX$1,0),FALSE)+VLOOKUP($B252,Kraftvärmeprod!$B$1:$BX$550,MATCH(AZ$2,Kraftvärmeprod!$B$1:$BX$1,0),FALSE))/$AC252,"")</f>
        <v>3.2000000000000001E-2</v>
      </c>
      <c r="BA252" s="228">
        <f>IF($AY252="ja",(VLOOKUP($B252,'Egen hetvattenprod'!$B$1:$BX$550,MATCH(BA$2,'Egen hetvattenprod'!$B$1:$BX$1,0),FALSE)+VLOOKUP($B252,Kraftvärmeprod!$B$1:$BX$550,MATCH(BA$2,Kraftvärmeprod!$B$1:$BX$1,0),FALSE))/$AC252,"")</f>
        <v>0.96800000000000008</v>
      </c>
      <c r="BB252" s="228">
        <f>IF($AY252="ja",(VLOOKUP($B252,'Egen hetvattenprod'!$B$1:$BX$550,MATCH(BB$2,'Egen hetvattenprod'!$B$1:$BX$1,0),FALSE)+VLOOKUP($B252,Kraftvärmeprod!$B$1:$BX$550,MATCH(BB$2,Kraftvärmeprod!$B$1:$BX$1,0),FALSE))/$AC252,"")</f>
        <v>0</v>
      </c>
      <c r="BC252" s="228">
        <f>IF($AY252="ja",(VLOOKUP($B252,'Egen hetvattenprod'!$B$1:$BX$550,MATCH(BC$2,'Egen hetvattenprod'!$B$1:$BX$1,0),FALSE)+VLOOKUP($B252,Kraftvärmeprod!$B$1:$BX$550,MATCH(BC$2,Kraftvärmeprod!$B$1:$BX$1,0),FALSE))/$AC252,"")</f>
        <v>0</v>
      </c>
      <c r="BD252" s="228">
        <f>IF($AY252="ja",(VLOOKUP($B252,'Egen hetvattenprod'!$B$1:$BX$550,MATCH(BD$2,'Egen hetvattenprod'!$B$1:$BX$1,0),FALSE)+VLOOKUP($B252,Kraftvärmeprod!$B$1:$BX$550,MATCH(BD$2,Kraftvärmeprod!$B$1:$BX$1,0),FALSE))/$AC252,"")</f>
        <v>0</v>
      </c>
      <c r="BE252" s="227"/>
      <c r="BF252" s="227" t="str">
        <f t="shared" si="23"/>
        <v>Ja</v>
      </c>
      <c r="BG252" s="227" t="str">
        <f>IF($BF252="ja",VLOOKUP($B252,'Egen hetvattenprod'!$B$1:$BX$550,MATCH("Andelen klimatgaser med fossilt ursprung för avfall ()",'Egen hetvattenprod'!$B$1:$BX$1,0),FALSE),"")</f>
        <v>Ingen redovisning</v>
      </c>
      <c r="BH252" s="227" t="str">
        <f>IF($BF252="ja",VLOOKUP($B252,Kraftvärmeprod!$B$1:$BX$550,MATCH("Andelen klimatgaser med fossilt ursprung för avfall ()",Kraftvärmeprod!$B$1:$BX$1,0),FALSE),"")</f>
        <v>Schablon</v>
      </c>
      <c r="BI252" s="227">
        <f>IF($BF252="ja",VLOOKUP($B252,'Egen hetvattenprod'!$B$1:$BX$550,MATCH("Avfall (GWh)",'Egen hetvattenprod'!$B$1:$BX$1,0),FALSE),"")</f>
        <v>176</v>
      </c>
      <c r="BJ252" s="227">
        <f>IF($BF252="ja",VLOOKUP($B252,'Slutlig allokering kvv'!$B$1:$BX$550,MATCH("Avfall (GWh)",'Slutlig allokering kvv'!$B$1:$BX$1,0),FALSE),"")</f>
        <v>129.02000000000001</v>
      </c>
      <c r="BK252" s="227">
        <f>IF($BF252="ja",VLOOKUP($B252,'Köpt hetvatten'!$B$1:$BX$550,MATCH("Avfall i köpt hetvatten",'Köpt hetvatten'!$B$1:$BX$1,0),FALSE),"")</f>
        <v>0</v>
      </c>
      <c r="BL252" s="227" t="str">
        <f>IF($BF252="ja",VLOOKUP($B252,'Egen hetvattenprod'!$B$1:$BX$550,MATCH("Värde enligt ovan. (%)",'Egen hetvattenprod'!$B$1:$BX$1,0),FALSE),"")</f>
        <v>ET</v>
      </c>
      <c r="BM252" s="227">
        <f>IF($BF252="ja",VLOOKUP($B252,Kraftvärmeprod!$B$1:$BX$550,MATCH("Värde enligt ovan. (%)",Kraftvärmeprod!$B$1:$BX$1,0),FALSE),"")</f>
        <v>40.5</v>
      </c>
      <c r="BN252" s="227"/>
      <c r="BO252" s="227"/>
      <c r="BP252" s="227"/>
      <c r="BQ252" s="227" t="str">
        <f>IF($BF252="ja",VLOOKUP($B252,'Egen hetvattenprod'!$B$1:$BX$550,MATCH("Tillförd olja (fossil) vid avfallsförbränning (GWh)",'Egen hetvattenprod'!$B$1:$BX$1,0),FALSE),"")</f>
        <v>ET</v>
      </c>
      <c r="BR252" s="227" t="str">
        <f>IF($BF252="ja",VLOOKUP($B252,Kraftvärmeprod!$B$1:$BX$550,MATCH("Tillförd olja (fossil) vid avfallsförbränning (GWh)",Kraftvärmeprod!$B$1:$BX$1,0),FALSE),"")</f>
        <v>ET</v>
      </c>
      <c r="BS252" s="227"/>
      <c r="BT252" s="227"/>
      <c r="BU252" s="227"/>
    </row>
    <row r="253" spans="1:73" x14ac:dyDescent="0.25">
      <c r="A253" s="121" t="str">
        <f>'Miljövärden för publ företag'!B256</f>
        <v>Sundsvall Energi AB</v>
      </c>
      <c r="B253" s="121" t="str">
        <f>'Miljövärden för publ företag'!C256</f>
        <v>Tunadal</v>
      </c>
      <c r="C253" s="173">
        <f>IFERROR(VLOOKUP($B253,Totalt!$B$1:$AQ$554,MATCH(C$2,Totalt!$B$1:$AQ$1,0),FALSE),"")</f>
        <v>0</v>
      </c>
      <c r="D253" s="173">
        <f>IFERROR(VLOOKUP($B253,Totalt!$B$1:$AQ$554,MATCH(D$2,Totalt!$B$1:$AQ$1,0),FALSE),"")</f>
        <v>0.81100000000000005</v>
      </c>
      <c r="E253" s="173">
        <f>IFERROR(VLOOKUP($B253,Totalt!$B$1:$AQ$554,MATCH(E$2,Totalt!$B$1:$AQ$1,0),FALSE),"")</f>
        <v>0</v>
      </c>
      <c r="F253" s="173">
        <f>IFERROR(VLOOKUP($B253,Totalt!$B$1:$AQ$554,MATCH(F$2,Totalt!$B$1:$AQ$1,0),FALSE),"")</f>
        <v>0.44</v>
      </c>
      <c r="G253" s="173">
        <f>IFERROR(VLOOKUP($B253,Totalt!$B$1:$AQ$554,MATCH(G$2,Totalt!$B$1:$AQ$1,0),FALSE),"")</f>
        <v>0</v>
      </c>
      <c r="H253" s="173">
        <f>IFERROR(VLOOKUP($B253,Totalt!$B$1:$AQ$554,MATCH(H$2,Totalt!$B$1:$AQ$1,0),FALSE),"")</f>
        <v>0</v>
      </c>
      <c r="I253" s="173">
        <f>IFERROR(VLOOKUP($B253,Totalt!$B$1:$AQ$554,MATCH(I$2,Totalt!$B$1:$AQ$1,0),FALSE),"")</f>
        <v>99.366200000000006</v>
      </c>
      <c r="J253" s="173">
        <f>IFERROR(VLOOKUP($B253,Totalt!$B$1:$AQ$554,MATCH(J$2,Totalt!$B$1:$AQ$1,0),FALSE),"")</f>
        <v>0</v>
      </c>
      <c r="K253" s="173">
        <f>IFERROR(VLOOKUP($B253,Totalt!$B$1:$AQ$554,MATCH(K$2,Totalt!$B$1:$AQ$1,0),FALSE),"")</f>
        <v>0</v>
      </c>
      <c r="L253" s="173">
        <f>IFERROR(VLOOKUP($B253,Totalt!$B$1:$AQ$554,MATCH(L$2,Totalt!$B$1:$AQ$1,0),FALSE),"")</f>
        <v>0</v>
      </c>
      <c r="M253" s="173">
        <f>IFERROR(VLOOKUP($B253,Totalt!$B$1:$AQ$554,MATCH(M$2,Totalt!$B$1:$AQ$1,0),FALSE),"")</f>
        <v>0</v>
      </c>
      <c r="N253" s="173">
        <f>IFERROR(VLOOKUP($B253,Totalt!$B$1:$AQ$554,MATCH(N$2,Totalt!$B$1:$AQ$1,0),FALSE),"")</f>
        <v>0</v>
      </c>
      <c r="O253" s="173">
        <f>IFERROR(VLOOKUP($B253,Totalt!$B$1:$AQ$554,MATCH(O$2,Totalt!$B$1:$AQ$1,0),FALSE),"")</f>
        <v>0</v>
      </c>
      <c r="P253" s="173">
        <f>IFERROR(VLOOKUP($B253,Totalt!$B$1:$AQ$554,MATCH(P$2,Totalt!$B$1:$AQ$1,0),FALSE),"")</f>
        <v>0</v>
      </c>
      <c r="Q253" s="173">
        <f>IFERROR(VLOOKUP($B253,Totalt!$B$1:$AQ$554,MATCH(Q$2,Totalt!$B$1:$AQ$1,0),FALSE),"")</f>
        <v>0</v>
      </c>
      <c r="R253" s="173">
        <f>IFERROR(VLOOKUP($B253,Totalt!$B$1:$AQ$554,MATCH(R$2,Totalt!$B$1:$AQ$1,0),FALSE),"")</f>
        <v>0</v>
      </c>
      <c r="S253" s="173">
        <f>IFERROR(VLOOKUP($B253,Totalt!$B$1:$AQ$554,MATCH(S$2,Totalt!$B$1:$AQ$1,0),FALSE),"")</f>
        <v>0</v>
      </c>
      <c r="T253" s="173">
        <f>IFERROR(VLOOKUP($B253,Totalt!$B$1:$AQ$554,MATCH(T$2,Totalt!$B$1:$AQ$1,0),FALSE),"")</f>
        <v>0</v>
      </c>
      <c r="U253" s="173">
        <f>IFERROR(VLOOKUP($B253,Totalt!$B$1:$AQ$554,MATCH(U$2,Totalt!$B$1:$AQ$1,0),FALSE),"")</f>
        <v>0.77300000000000002</v>
      </c>
      <c r="V253" s="173">
        <f>IFERROR(VLOOKUP($B253,Totalt!$B$1:$AQ$554,MATCH(V$2,Totalt!$B$1:$AQ$1,0),FALSE),"")</f>
        <v>0</v>
      </c>
      <c r="W253" s="173">
        <f>IFERROR(VLOOKUP($B253,Totalt!$B$1:$AQ$554,MATCH(W$2,Totalt!$B$1:$AQ$1,0),FALSE),"")</f>
        <v>0</v>
      </c>
      <c r="X253" s="173">
        <f>IFERROR(VLOOKUP($B253,Totalt!$B$1:$AQ$554,MATCH(X$2,Totalt!$B$1:$AQ$1,0),FALSE),"")</f>
        <v>0</v>
      </c>
      <c r="Y253" s="173">
        <f>IFERROR(VLOOKUP($B253,Totalt!$B$1:$AQ$554,MATCH(Y$2,Totalt!$B$1:$AQ$1,0),FALSE),"")</f>
        <v>0</v>
      </c>
      <c r="Z253" s="173">
        <f>IFERROR(VLOOKUP($B253,Totalt!$B$1:$AQ$554,MATCH(Z$2,Totalt!$B$1:$AQ$1,0),FALSE),"")</f>
        <v>43.911999999999999</v>
      </c>
      <c r="AA253" s="173">
        <f>IFERROR(VLOOKUP($B253,Totalt!$B$1:$AQ$554,MATCH(AA$2,Totalt!$B$1:$AQ$1,0),FALSE),"")</f>
        <v>0</v>
      </c>
      <c r="AB253" s="173">
        <f>IFERROR(VLOOKUP($B253,Totalt!$B$1:$AQ$554,MATCH(AB$2,Totalt!$B$1:$AQ$1,0),FALSE),"")</f>
        <v>0</v>
      </c>
      <c r="AC253" s="173">
        <f>IFERROR(VLOOKUP($B253,Totalt!$B$1:$AQ$554,MATCH(AC$2,Totalt!$B$1:$AQ$1,0),FALSE),"")</f>
        <v>0</v>
      </c>
      <c r="AD253" s="173">
        <f>IFERROR(VLOOKUP($B253,Totalt!$B$1:$AQ$554,MATCH(AD$2,Totalt!$B$1:$AQ$1,0),FALSE),"")</f>
        <v>0</v>
      </c>
      <c r="AE253" s="173">
        <f>IFERROR(VLOOKUP($B253,Totalt!$B$1:$AQ$554,MATCH(AE$2,Totalt!$B$1:$AQ$1,0),FALSE),"")</f>
        <v>0</v>
      </c>
      <c r="AF253" s="173">
        <f>IFERROR(VLOOKUP($B253,Totalt!$B$1:$AQ$554,MATCH(AF$2,Totalt!$B$1:$AQ$1,0),FALSE),"")</f>
        <v>4.2144899999999996</v>
      </c>
      <c r="AG253" s="173">
        <f>IFERROR(VLOOKUP($B253,Totalt!$B$1:$AQ$554,MATCH(AG$2,Totalt!$B$1:$AQ$1,0),FALSE),"")</f>
        <v>0</v>
      </c>
      <c r="AI253" s="226">
        <f t="shared" si="18"/>
        <v>149.51669000000001</v>
      </c>
      <c r="AJ253" s="226">
        <f>IF(ISERROR(1/VLOOKUP($B253,Leveranser!$B$1:$S$500,MATCH("såld värme (gwh)",Leveranser!$B$1:$S$1,0),FALSE)),"",VLOOKUP($B253,Leveranser!$B$1:$S$500,MATCH("såld värme (gwh)",Leveranser!$B$1:$S$1,0),FALSE))</f>
        <v>129.91300000000001</v>
      </c>
      <c r="AM253" s="227" t="str">
        <f>IF(B253&lt;&gt;"",IF(VLOOKUP($B253,Totalt!$B$1:$AQ$554,MATCH("Kvalitetsgranskad:",Totalt!$B$1:$AQ$1,0),FALSE)="ja",VLOOKUP($B253,Miljö!$B$1:$AG$479,MATCH(AM$2,Miljö!$B$1:$AK$1,0),FALSE),""),"")</f>
        <v>Nej</v>
      </c>
      <c r="AN253" s="227" t="str">
        <f>IF(AM253="ja",VLOOKUP($B253,Miljö!$B$1:$J$479,MATCH("Typ av ursprungsspecificerad el   (Om inget värde anges används Nordisk residualmix, se inforuta) ()",Miljö!$B$1:$J$1,0),FALSE),IF(AM253="nej","Nordisk residualel",""))</f>
        <v>Nordisk residualel</v>
      </c>
      <c r="AO253" s="227">
        <f>IF(AM253="","",VLOOKUP($B253,Miljö!$B$1:$J$479,MATCH("Fossilandel för ursprungspecificerad el ()",Miljö!$B$1:$J$1,0),FALSE))</f>
        <v>0.43</v>
      </c>
      <c r="AP253" s="227">
        <f>IF(AM253="","",IFERROR(VLOOKUP($B253,Miljö!$B$1:$J$479,MATCH("Kärnkraftsandel för ursprungsspecificerad el ()",Miljö!$B$1:$J$1,0),FALSE)/1,0))</f>
        <v>0.40550000000000003</v>
      </c>
      <c r="AQ253" s="227">
        <f t="shared" si="19"/>
        <v>0.16450000000000004</v>
      </c>
      <c r="AR253" s="227"/>
      <c r="AS253" s="227" t="str">
        <f t="shared" si="20"/>
        <v>Nej</v>
      </c>
      <c r="AT253" s="227" t="str">
        <f>IF(AS253="ja",VLOOKUP($B253,Miljö!$B$1:$O$500,MATCH("Fossil andel i procent (%)",Miljö!$B$1:$O$1,0),FALSE)/100,"")</f>
        <v/>
      </c>
      <c r="AU253" s="227"/>
      <c r="AV253" s="227" t="str">
        <f t="shared" si="21"/>
        <v>Nej</v>
      </c>
      <c r="AW253" s="227" t="str">
        <f>IF(AV253="ja",VLOOKUP($B253,'Egen hetvattenprod'!$B$1:$AO$500,MATCH("Värmekälla till värmepumpar ()",'Egen hetvattenprod'!$B$1:$AO$1,0),FALSE),"")</f>
        <v/>
      </c>
      <c r="AX253" s="227"/>
      <c r="AY253" s="227" t="str">
        <f t="shared" si="22"/>
        <v>Nej</v>
      </c>
      <c r="AZ253" s="228" t="str">
        <f>IF($AY253="ja",(VLOOKUP($B253,'Egen hetvattenprod'!$B$1:$BX$550,MATCH(AZ$2,'Egen hetvattenprod'!$B$1:$BX$1,0),FALSE)+VLOOKUP($B253,Kraftvärmeprod!$B$1:$BX$550,MATCH(AZ$2,Kraftvärmeprod!$B$1:$BX$1,0),FALSE))/$AC253,"")</f>
        <v/>
      </c>
      <c r="BA253" s="228" t="str">
        <f>IF($AY253="ja",(VLOOKUP($B253,'Egen hetvattenprod'!$B$1:$BX$550,MATCH(BA$2,'Egen hetvattenprod'!$B$1:$BX$1,0),FALSE)+VLOOKUP($B253,Kraftvärmeprod!$B$1:$BX$550,MATCH(BA$2,Kraftvärmeprod!$B$1:$BX$1,0),FALSE))/$AC253,"")</f>
        <v/>
      </c>
      <c r="BB253" s="228" t="str">
        <f>IF($AY253="ja",(VLOOKUP($B253,'Egen hetvattenprod'!$B$1:$BX$550,MATCH(BB$2,'Egen hetvattenprod'!$B$1:$BX$1,0),FALSE)+VLOOKUP($B253,Kraftvärmeprod!$B$1:$BX$550,MATCH(BB$2,Kraftvärmeprod!$B$1:$BX$1,0),FALSE))/$AC253,"")</f>
        <v/>
      </c>
      <c r="BC253" s="228" t="str">
        <f>IF($AY253="ja",(VLOOKUP($B253,'Egen hetvattenprod'!$B$1:$BX$550,MATCH(BC$2,'Egen hetvattenprod'!$B$1:$BX$1,0),FALSE)+VLOOKUP($B253,Kraftvärmeprod!$B$1:$BX$550,MATCH(BC$2,Kraftvärmeprod!$B$1:$BX$1,0),FALSE))/$AC253,"")</f>
        <v/>
      </c>
      <c r="BD253" s="228" t="str">
        <f>IF($AY253="ja",(VLOOKUP($B253,'Egen hetvattenprod'!$B$1:$BX$550,MATCH(BD$2,'Egen hetvattenprod'!$B$1:$BX$1,0),FALSE)+VLOOKUP($B253,Kraftvärmeprod!$B$1:$BX$550,MATCH(BD$2,Kraftvärmeprod!$B$1:$BX$1,0),FALSE))/$AC253,"")</f>
        <v/>
      </c>
      <c r="BE253" s="227"/>
      <c r="BF253" s="227" t="str">
        <f t="shared" si="23"/>
        <v>Ja</v>
      </c>
      <c r="BG253" s="227" t="str">
        <f>IF($BF253="ja",VLOOKUP($B253,'Egen hetvattenprod'!$B$1:$BX$550,MATCH("Andelen klimatgaser med fossilt ursprung för avfall ()",'Egen hetvattenprod'!$B$1:$BX$1,0),FALSE),"")</f>
        <v>Schablon</v>
      </c>
      <c r="BH253" s="227" t="str">
        <f>IF($BF253="ja",VLOOKUP($B253,Kraftvärmeprod!$B$1:$BX$550,MATCH("Andelen klimatgaser med fossilt ursprung för avfall ()",Kraftvärmeprod!$B$1:$BX$1,0),FALSE),"")</f>
        <v>Schablon</v>
      </c>
      <c r="BI253" s="227">
        <f>IF($BF253="ja",VLOOKUP($B253,'Egen hetvattenprod'!$B$1:$BX$550,MATCH("Avfall (GWh)",'Egen hetvattenprod'!$B$1:$BX$1,0),FALSE),"")</f>
        <v>85.738</v>
      </c>
      <c r="BJ253" s="227">
        <f>IF($BF253="ja",VLOOKUP($B253,'Slutlig allokering kvv'!$B$1:$BX$550,MATCH("Avfall (GWh)",'Slutlig allokering kvv'!$B$1:$BX$1,0),FALSE),"")</f>
        <v>13.6282</v>
      </c>
      <c r="BK253" s="227">
        <f>IF($BF253="ja",VLOOKUP($B253,'Köpt hetvatten'!$B$1:$BX$550,MATCH("Avfall i köpt hetvatten",'Köpt hetvatten'!$B$1:$BX$1,0),FALSE),"")</f>
        <v>0</v>
      </c>
      <c r="BL253" s="227">
        <f>IF($BF253="ja",VLOOKUP($B253,'Egen hetvattenprod'!$B$1:$BX$550,MATCH("Värde enligt ovan. (%)",'Egen hetvattenprod'!$B$1:$BX$1,0),FALSE),"")</f>
        <v>40.5</v>
      </c>
      <c r="BM253" s="227">
        <f>IF($BF253="ja",VLOOKUP($B253,Kraftvärmeprod!$B$1:$BX$550,MATCH("Värde enligt ovan. (%)",Kraftvärmeprod!$B$1:$BX$1,0),FALSE),"")</f>
        <v>40.5</v>
      </c>
      <c r="BN253" s="227"/>
      <c r="BO253" s="227"/>
      <c r="BP253" s="227"/>
      <c r="BQ253" s="227" t="str">
        <f>IF($BF253="ja",VLOOKUP($B253,'Egen hetvattenprod'!$B$1:$BX$550,MATCH("Tillförd olja (fossil) vid avfallsförbränning (GWh)",'Egen hetvattenprod'!$B$1:$BX$1,0),FALSE),"")</f>
        <v>ET</v>
      </c>
      <c r="BR253" s="227" t="str">
        <f>IF($BF253="ja",VLOOKUP($B253,Kraftvärmeprod!$B$1:$BX$550,MATCH("Tillförd olja (fossil) vid avfallsförbränning (GWh)",Kraftvärmeprod!$B$1:$BX$1,0),FALSE),"")</f>
        <v>ET</v>
      </c>
      <c r="BS253" s="227"/>
      <c r="BT253" s="227"/>
      <c r="BU253" s="227"/>
    </row>
    <row r="254" spans="1:73" x14ac:dyDescent="0.25">
      <c r="A254" s="121" t="str">
        <f>'Miljövärden för publ företag'!B257</f>
        <v>Sundsvall Energi AB</v>
      </c>
      <c r="B254" s="121" t="str">
        <f>'Miljövärden för publ företag'!C257</f>
        <v>Övriga nät Sundsvall energi</v>
      </c>
      <c r="C254" s="173">
        <f>IFERROR(VLOOKUP($B254,Totalt!$B$1:$AQ$554,MATCH(C$2,Totalt!$B$1:$AQ$1,0),FALSE),"")</f>
        <v>0</v>
      </c>
      <c r="D254" s="173">
        <f>IFERROR(VLOOKUP($B254,Totalt!$B$1:$AQ$554,MATCH(D$2,Totalt!$B$1:$AQ$1,0),FALSE),"")</f>
        <v>0.86299999999999999</v>
      </c>
      <c r="E254" s="173">
        <f>IFERROR(VLOOKUP($B254,Totalt!$B$1:$AQ$554,MATCH(E$2,Totalt!$B$1:$AQ$1,0),FALSE),"")</f>
        <v>0</v>
      </c>
      <c r="F254" s="173">
        <f>IFERROR(VLOOKUP($B254,Totalt!$B$1:$AQ$554,MATCH(F$2,Totalt!$B$1:$AQ$1,0),FALSE),"")</f>
        <v>0</v>
      </c>
      <c r="G254" s="173">
        <f>IFERROR(VLOOKUP($B254,Totalt!$B$1:$AQ$554,MATCH(G$2,Totalt!$B$1:$AQ$1,0),FALSE),"")</f>
        <v>0</v>
      </c>
      <c r="H254" s="173">
        <f>IFERROR(VLOOKUP($B254,Totalt!$B$1:$AQ$554,MATCH(H$2,Totalt!$B$1:$AQ$1,0),FALSE),"")</f>
        <v>0</v>
      </c>
      <c r="I254" s="173">
        <f>IFERROR(VLOOKUP($B254,Totalt!$B$1:$AQ$554,MATCH(I$2,Totalt!$B$1:$AQ$1,0),FALSE),"")</f>
        <v>0</v>
      </c>
      <c r="J254" s="173">
        <f>IFERROR(VLOOKUP($B254,Totalt!$B$1:$AQ$554,MATCH(J$2,Totalt!$B$1:$AQ$1,0),FALSE),"")</f>
        <v>0</v>
      </c>
      <c r="K254" s="173">
        <f>IFERROR(VLOOKUP($B254,Totalt!$B$1:$AQ$554,MATCH(K$2,Totalt!$B$1:$AQ$1,0),FALSE),"")</f>
        <v>0</v>
      </c>
      <c r="L254" s="173">
        <f>IFERROR(VLOOKUP($B254,Totalt!$B$1:$AQ$554,MATCH(L$2,Totalt!$B$1:$AQ$1,0),FALSE),"")</f>
        <v>0</v>
      </c>
      <c r="M254" s="173">
        <f>IFERROR(VLOOKUP($B254,Totalt!$B$1:$AQ$554,MATCH(M$2,Totalt!$B$1:$AQ$1,0),FALSE),"")</f>
        <v>0</v>
      </c>
      <c r="N254" s="173">
        <f>IFERROR(VLOOKUP($B254,Totalt!$B$1:$AQ$554,MATCH(N$2,Totalt!$B$1:$AQ$1,0),FALSE),"")</f>
        <v>0</v>
      </c>
      <c r="O254" s="173">
        <f>IFERROR(VLOOKUP($B254,Totalt!$B$1:$AQ$554,MATCH(O$2,Totalt!$B$1:$AQ$1,0),FALSE),"")</f>
        <v>0</v>
      </c>
      <c r="P254" s="173">
        <f>IFERROR(VLOOKUP($B254,Totalt!$B$1:$AQ$554,MATCH(P$2,Totalt!$B$1:$AQ$1,0),FALSE),"")</f>
        <v>0</v>
      </c>
      <c r="Q254" s="173">
        <f>IFERROR(VLOOKUP($B254,Totalt!$B$1:$AQ$554,MATCH(Q$2,Totalt!$B$1:$AQ$1,0),FALSE),"")</f>
        <v>0</v>
      </c>
      <c r="R254" s="173">
        <f>IFERROR(VLOOKUP($B254,Totalt!$B$1:$AQ$554,MATCH(R$2,Totalt!$B$1:$AQ$1,0),FALSE),"")</f>
        <v>8.2100000000000009</v>
      </c>
      <c r="S254" s="173">
        <f>IFERROR(VLOOKUP($B254,Totalt!$B$1:$AQ$554,MATCH(S$2,Totalt!$B$1:$AQ$1,0),FALSE),"")</f>
        <v>0</v>
      </c>
      <c r="T254" s="173">
        <f>IFERROR(VLOOKUP($B254,Totalt!$B$1:$AQ$554,MATCH(T$2,Totalt!$B$1:$AQ$1,0),FALSE),"")</f>
        <v>0</v>
      </c>
      <c r="U254" s="173">
        <f>IFERROR(VLOOKUP($B254,Totalt!$B$1:$AQ$554,MATCH(U$2,Totalt!$B$1:$AQ$1,0),FALSE),"")</f>
        <v>0</v>
      </c>
      <c r="V254" s="173">
        <f>IFERROR(VLOOKUP($B254,Totalt!$B$1:$AQ$554,MATCH(V$2,Totalt!$B$1:$AQ$1,0),FALSE),"")</f>
        <v>0</v>
      </c>
      <c r="W254" s="173">
        <f>IFERROR(VLOOKUP($B254,Totalt!$B$1:$AQ$554,MATCH(W$2,Totalt!$B$1:$AQ$1,0),FALSE),"")</f>
        <v>0</v>
      </c>
      <c r="X254" s="173">
        <f>IFERROR(VLOOKUP($B254,Totalt!$B$1:$AQ$554,MATCH(X$2,Totalt!$B$1:$AQ$1,0),FALSE),"")</f>
        <v>0</v>
      </c>
      <c r="Y254" s="173">
        <f>IFERROR(VLOOKUP($B254,Totalt!$B$1:$AQ$554,MATCH(Y$2,Totalt!$B$1:$AQ$1,0),FALSE),"")</f>
        <v>0</v>
      </c>
      <c r="Z254" s="173">
        <f>IFERROR(VLOOKUP($B254,Totalt!$B$1:$AQ$554,MATCH(Z$2,Totalt!$B$1:$AQ$1,0),FALSE),"")</f>
        <v>0</v>
      </c>
      <c r="AA254" s="173">
        <f>IFERROR(VLOOKUP($B254,Totalt!$B$1:$AQ$554,MATCH(AA$2,Totalt!$B$1:$AQ$1,0),FALSE),"")</f>
        <v>0</v>
      </c>
      <c r="AB254" s="173">
        <f>IFERROR(VLOOKUP($B254,Totalt!$B$1:$AQ$554,MATCH(AB$2,Totalt!$B$1:$AQ$1,0),FALSE),"")</f>
        <v>0</v>
      </c>
      <c r="AC254" s="173">
        <f>IFERROR(VLOOKUP($B254,Totalt!$B$1:$AQ$554,MATCH(AC$2,Totalt!$B$1:$AQ$1,0),FALSE),"")</f>
        <v>0</v>
      </c>
      <c r="AD254" s="173">
        <f>IFERROR(VLOOKUP($B254,Totalt!$B$1:$AQ$554,MATCH(AD$2,Totalt!$B$1:$AQ$1,0),FALSE),"")</f>
        <v>0</v>
      </c>
      <c r="AE254" s="173">
        <f>IFERROR(VLOOKUP($B254,Totalt!$B$1:$AQ$554,MATCH(AE$2,Totalt!$B$1:$AQ$1,0),FALSE),"")</f>
        <v>0</v>
      </c>
      <c r="AF254" s="173">
        <f>IFERROR(VLOOKUP($B254,Totalt!$B$1:$AQ$554,MATCH(AF$2,Totalt!$B$1:$AQ$1,0),FALSE),"")</f>
        <v>0.1</v>
      </c>
      <c r="AG254" s="173">
        <f>IFERROR(VLOOKUP($B254,Totalt!$B$1:$AQ$554,MATCH(AG$2,Totalt!$B$1:$AQ$1,0),FALSE),"")</f>
        <v>0</v>
      </c>
      <c r="AI254" s="226">
        <f t="shared" si="18"/>
        <v>9.173</v>
      </c>
      <c r="AJ254" s="226">
        <f>IF(ISERROR(1/VLOOKUP($B254,Leveranser!$B$1:$S$500,MATCH("såld värme (gwh)",Leveranser!$B$1:$S$1,0),FALSE)),"",VLOOKUP($B254,Leveranser!$B$1:$S$500,MATCH("såld värme (gwh)",Leveranser!$B$1:$S$1,0),FALSE))</f>
        <v>6.6349999999999998</v>
      </c>
      <c r="AM254" s="227" t="str">
        <f>IF(B254&lt;&gt;"",IF(VLOOKUP($B254,Totalt!$B$1:$AQ$554,MATCH("Kvalitetsgranskad:",Totalt!$B$1:$AQ$1,0),FALSE)="ja",VLOOKUP($B254,Miljö!$B$1:$AG$479,MATCH(AM$2,Miljö!$B$1:$AK$1,0),FALSE),""),"")</f>
        <v>Ja</v>
      </c>
      <c r="AN254" s="227" t="str">
        <f>IF(AM254="ja",VLOOKUP($B254,Miljö!$B$1:$J$479,MATCH("Typ av ursprungsspecificerad el   (Om inget värde anges används Nordisk residualmix, se inforuta) ()",Miljö!$B$1:$J$1,0),FALSE),IF(AM254="nej","Nordisk residualel",""))</f>
        <v>'Förnyelsebar'</v>
      </c>
      <c r="AO254" s="227">
        <f>IF(AM254="","",VLOOKUP($B254,Miljö!$B$1:$J$479,MATCH("Fossilandel för ursprungspecificerad el ()",Miljö!$B$1:$J$1,0),FALSE))</f>
        <v>0</v>
      </c>
      <c r="AP254" s="227">
        <f>IF(AM254="","",IFERROR(VLOOKUP($B254,Miljö!$B$1:$J$479,MATCH("Kärnkraftsandel för ursprungsspecificerad el ()",Miljö!$B$1:$J$1,0),FALSE)/1,0))</f>
        <v>0</v>
      </c>
      <c r="AQ254" s="227">
        <f t="shared" si="19"/>
        <v>1</v>
      </c>
      <c r="AR254" s="227"/>
      <c r="AS254" s="227" t="str">
        <f t="shared" si="20"/>
        <v>Nej</v>
      </c>
      <c r="AT254" s="227" t="str">
        <f>IF(AS254="ja",VLOOKUP($B254,Miljö!$B$1:$O$500,MATCH("Fossil andel i procent (%)",Miljö!$B$1:$O$1,0),FALSE)/100,"")</f>
        <v/>
      </c>
      <c r="AU254" s="227"/>
      <c r="AV254" s="227" t="str">
        <f t="shared" si="21"/>
        <v>Nej</v>
      </c>
      <c r="AW254" s="227" t="str">
        <f>IF(AV254="ja",VLOOKUP($B254,'Egen hetvattenprod'!$B$1:$AO$500,MATCH("Värmekälla till värmepumpar ()",'Egen hetvattenprod'!$B$1:$AO$1,0),FALSE),"")</f>
        <v/>
      </c>
      <c r="AX254" s="227"/>
      <c r="AY254" s="227" t="str">
        <f t="shared" si="22"/>
        <v>Nej</v>
      </c>
      <c r="AZ254" s="228" t="str">
        <f>IF($AY254="ja",(VLOOKUP($B254,'Egen hetvattenprod'!$B$1:$BX$550,MATCH(AZ$2,'Egen hetvattenprod'!$B$1:$BX$1,0),FALSE)+VLOOKUP($B254,Kraftvärmeprod!$B$1:$BX$550,MATCH(AZ$2,Kraftvärmeprod!$B$1:$BX$1,0),FALSE))/$AC254,"")</f>
        <v/>
      </c>
      <c r="BA254" s="228" t="str">
        <f>IF($AY254="ja",(VLOOKUP($B254,'Egen hetvattenprod'!$B$1:$BX$550,MATCH(BA$2,'Egen hetvattenprod'!$B$1:$BX$1,0),FALSE)+VLOOKUP($B254,Kraftvärmeprod!$B$1:$BX$550,MATCH(BA$2,Kraftvärmeprod!$B$1:$BX$1,0),FALSE))/$AC254,"")</f>
        <v/>
      </c>
      <c r="BB254" s="228" t="str">
        <f>IF($AY254="ja",(VLOOKUP($B254,'Egen hetvattenprod'!$B$1:$BX$550,MATCH(BB$2,'Egen hetvattenprod'!$B$1:$BX$1,0),FALSE)+VLOOKUP($B254,Kraftvärmeprod!$B$1:$BX$550,MATCH(BB$2,Kraftvärmeprod!$B$1:$BX$1,0),FALSE))/$AC254,"")</f>
        <v/>
      </c>
      <c r="BC254" s="228" t="str">
        <f>IF($AY254="ja",(VLOOKUP($B254,'Egen hetvattenprod'!$B$1:$BX$550,MATCH(BC$2,'Egen hetvattenprod'!$B$1:$BX$1,0),FALSE)+VLOOKUP($B254,Kraftvärmeprod!$B$1:$BX$550,MATCH(BC$2,Kraftvärmeprod!$B$1:$BX$1,0),FALSE))/$AC254,"")</f>
        <v/>
      </c>
      <c r="BD254" s="228" t="str">
        <f>IF($AY254="ja",(VLOOKUP($B254,'Egen hetvattenprod'!$B$1:$BX$550,MATCH(BD$2,'Egen hetvattenprod'!$B$1:$BX$1,0),FALSE)+VLOOKUP($B254,Kraftvärmeprod!$B$1:$BX$550,MATCH(BD$2,Kraftvärmeprod!$B$1:$BX$1,0),FALSE))/$AC254,"")</f>
        <v/>
      </c>
      <c r="BE254" s="227"/>
      <c r="BF254" s="227" t="str">
        <f t="shared" si="23"/>
        <v>Nej</v>
      </c>
      <c r="BG254" s="227" t="str">
        <f>IF($BF254="ja",VLOOKUP($B254,'Egen hetvattenprod'!$B$1:$BX$550,MATCH("Andelen klimatgaser med fossilt ursprung för avfall ()",'Egen hetvattenprod'!$B$1:$BX$1,0),FALSE),"")</f>
        <v/>
      </c>
      <c r="BH254" s="227" t="str">
        <f>IF($BF254="ja",VLOOKUP($B254,Kraftvärmeprod!$B$1:$BX$550,MATCH("Andelen klimatgaser med fossilt ursprung för avfall ()",Kraftvärmeprod!$B$1:$BX$1,0),FALSE),"")</f>
        <v/>
      </c>
      <c r="BI254" s="227" t="str">
        <f>IF($BF254="ja",VLOOKUP($B254,'Egen hetvattenprod'!$B$1:$BX$550,MATCH("Avfall (GWh)",'Egen hetvattenprod'!$B$1:$BX$1,0),FALSE),"")</f>
        <v/>
      </c>
      <c r="BJ254" s="227" t="str">
        <f>IF($BF254="ja",VLOOKUP($B254,'Slutlig allokering kvv'!$B$1:$BX$550,MATCH("Avfall (GWh)",'Slutlig allokering kvv'!$B$1:$BX$1,0),FALSE),"")</f>
        <v/>
      </c>
      <c r="BK254" s="227" t="str">
        <f>IF($BF254="ja",VLOOKUP($B254,'Köpt hetvatten'!$B$1:$BX$550,MATCH("Avfall i köpt hetvatten",'Köpt hetvatten'!$B$1:$BX$1,0),FALSE),"")</f>
        <v/>
      </c>
      <c r="BL254" s="227" t="str">
        <f>IF($BF254="ja",VLOOKUP($B254,'Egen hetvattenprod'!$B$1:$BX$550,MATCH("Värde enligt ovan. (%)",'Egen hetvattenprod'!$B$1:$BX$1,0),FALSE),"")</f>
        <v/>
      </c>
      <c r="BM254" s="227" t="str">
        <f>IF($BF254="ja",VLOOKUP($B254,Kraftvärmeprod!$B$1:$BX$550,MATCH("Värde enligt ovan. (%)",Kraftvärmeprod!$B$1:$BX$1,0),FALSE),"")</f>
        <v/>
      </c>
      <c r="BN254" s="227"/>
      <c r="BO254" s="227"/>
      <c r="BP254" s="227"/>
      <c r="BQ254" s="227" t="str">
        <f>IF($BF254="ja",VLOOKUP($B254,'Egen hetvattenprod'!$B$1:$BX$550,MATCH("Tillförd olja (fossil) vid avfallsförbränning (GWh)",'Egen hetvattenprod'!$B$1:$BX$1,0),FALSE),"")</f>
        <v/>
      </c>
      <c r="BR254" s="227" t="str">
        <f>IF($BF254="ja",VLOOKUP($B254,Kraftvärmeprod!$B$1:$BX$550,MATCH("Tillförd olja (fossil) vid avfallsförbränning (GWh)",Kraftvärmeprod!$B$1:$BX$1,0),FALSE),"")</f>
        <v/>
      </c>
      <c r="BS254" s="227"/>
      <c r="BT254" s="227"/>
      <c r="BU254" s="227"/>
    </row>
    <row r="255" spans="1:73" x14ac:dyDescent="0.25">
      <c r="A255" s="121" t="str">
        <f>'Miljövärden för publ företag'!B258</f>
        <v>Söderhamn Nära AB</v>
      </c>
      <c r="B255" s="121" t="str">
        <f>'Miljövärden för publ företag'!C258</f>
        <v>Ljusne</v>
      </c>
      <c r="C255" s="173">
        <f>IFERROR(VLOOKUP($B255,Totalt!$B$1:$AQ$554,MATCH(C$2,Totalt!$B$1:$AQ$1,0),FALSE),"")</f>
        <v>0</v>
      </c>
      <c r="D255" s="173">
        <f>IFERROR(VLOOKUP($B255,Totalt!$B$1:$AQ$554,MATCH(D$2,Totalt!$B$1:$AQ$1,0),FALSE),"")</f>
        <v>0.752</v>
      </c>
      <c r="E255" s="173">
        <f>IFERROR(VLOOKUP($B255,Totalt!$B$1:$AQ$554,MATCH(E$2,Totalt!$B$1:$AQ$1,0),FALSE),"")</f>
        <v>0</v>
      </c>
      <c r="F255" s="173">
        <f>IFERROR(VLOOKUP($B255,Totalt!$B$1:$AQ$554,MATCH(F$2,Totalt!$B$1:$AQ$1,0),FALSE),"")</f>
        <v>0</v>
      </c>
      <c r="G255" s="173">
        <f>IFERROR(VLOOKUP($B255,Totalt!$B$1:$AQ$554,MATCH(G$2,Totalt!$B$1:$AQ$1,0),FALSE),"")</f>
        <v>0</v>
      </c>
      <c r="H255" s="173">
        <f>IFERROR(VLOOKUP($B255,Totalt!$B$1:$AQ$554,MATCH(H$2,Totalt!$B$1:$AQ$1,0),FALSE),"")</f>
        <v>1.0009999999999999</v>
      </c>
      <c r="I255" s="173">
        <f>IFERROR(VLOOKUP($B255,Totalt!$B$1:$AQ$554,MATCH(I$2,Totalt!$B$1:$AQ$1,0),FALSE),"")</f>
        <v>0</v>
      </c>
      <c r="J255" s="173">
        <f>IFERROR(VLOOKUP($B255,Totalt!$B$1:$AQ$554,MATCH(J$2,Totalt!$B$1:$AQ$1,0),FALSE),"")</f>
        <v>0</v>
      </c>
      <c r="K255" s="173">
        <f>IFERROR(VLOOKUP($B255,Totalt!$B$1:$AQ$554,MATCH(K$2,Totalt!$B$1:$AQ$1,0),FALSE),"")</f>
        <v>0</v>
      </c>
      <c r="L255" s="173">
        <f>IFERROR(VLOOKUP($B255,Totalt!$B$1:$AQ$554,MATCH(L$2,Totalt!$B$1:$AQ$1,0),FALSE),"")</f>
        <v>0</v>
      </c>
      <c r="M255" s="173">
        <f>IFERROR(VLOOKUP($B255,Totalt!$B$1:$AQ$554,MATCH(M$2,Totalt!$B$1:$AQ$1,0),FALSE),"")</f>
        <v>0</v>
      </c>
      <c r="N255" s="173">
        <f>IFERROR(VLOOKUP($B255,Totalt!$B$1:$AQ$554,MATCH(N$2,Totalt!$B$1:$AQ$1,0),FALSE),"")</f>
        <v>0</v>
      </c>
      <c r="O255" s="173">
        <f>IFERROR(VLOOKUP($B255,Totalt!$B$1:$AQ$554,MATCH(O$2,Totalt!$B$1:$AQ$1,0),FALSE),"")</f>
        <v>0</v>
      </c>
      <c r="P255" s="173">
        <f>IFERROR(VLOOKUP($B255,Totalt!$B$1:$AQ$554,MATCH(P$2,Totalt!$B$1:$AQ$1,0),FALSE),"")</f>
        <v>0</v>
      </c>
      <c r="Q255" s="173">
        <f>IFERROR(VLOOKUP($B255,Totalt!$B$1:$AQ$554,MATCH(Q$2,Totalt!$B$1:$AQ$1,0),FALSE),"")</f>
        <v>11.5624</v>
      </c>
      <c r="R255" s="173">
        <f>IFERROR(VLOOKUP($B255,Totalt!$B$1:$AQ$554,MATCH(R$2,Totalt!$B$1:$AQ$1,0),FALSE),"")</f>
        <v>0</v>
      </c>
      <c r="S255" s="173">
        <f>IFERROR(VLOOKUP($B255,Totalt!$B$1:$AQ$554,MATCH(S$2,Totalt!$B$1:$AQ$1,0),FALSE),"")</f>
        <v>0</v>
      </c>
      <c r="T255" s="173">
        <f>IFERROR(VLOOKUP($B255,Totalt!$B$1:$AQ$554,MATCH(T$2,Totalt!$B$1:$AQ$1,0),FALSE),"")</f>
        <v>0</v>
      </c>
      <c r="U255" s="173">
        <f>IFERROR(VLOOKUP($B255,Totalt!$B$1:$AQ$554,MATCH(U$2,Totalt!$B$1:$AQ$1,0),FALSE),"")</f>
        <v>0</v>
      </c>
      <c r="V255" s="173">
        <f>IFERROR(VLOOKUP($B255,Totalt!$B$1:$AQ$554,MATCH(V$2,Totalt!$B$1:$AQ$1,0),FALSE),"")</f>
        <v>0</v>
      </c>
      <c r="W255" s="173">
        <f>IFERROR(VLOOKUP($B255,Totalt!$B$1:$AQ$554,MATCH(W$2,Totalt!$B$1:$AQ$1,0),FALSE),"")</f>
        <v>0.35099999999999998</v>
      </c>
      <c r="X255" s="173">
        <f>IFERROR(VLOOKUP($B255,Totalt!$B$1:$AQ$554,MATCH(X$2,Totalt!$B$1:$AQ$1,0),FALSE),"")</f>
        <v>0</v>
      </c>
      <c r="Y255" s="173">
        <f>IFERROR(VLOOKUP($B255,Totalt!$B$1:$AQ$554,MATCH(Y$2,Totalt!$B$1:$AQ$1,0),FALSE),"")</f>
        <v>0</v>
      </c>
      <c r="Z255" s="173">
        <f>IFERROR(VLOOKUP($B255,Totalt!$B$1:$AQ$554,MATCH(Z$2,Totalt!$B$1:$AQ$1,0),FALSE),"")</f>
        <v>0</v>
      </c>
      <c r="AA255" s="173">
        <f>IFERROR(VLOOKUP($B255,Totalt!$B$1:$AQ$554,MATCH(AA$2,Totalt!$B$1:$AQ$1,0),FALSE),"")</f>
        <v>0</v>
      </c>
      <c r="AB255" s="173">
        <f>IFERROR(VLOOKUP($B255,Totalt!$B$1:$AQ$554,MATCH(AB$2,Totalt!$B$1:$AQ$1,0),FALSE),"")</f>
        <v>0</v>
      </c>
      <c r="AC255" s="173">
        <f>IFERROR(VLOOKUP($B255,Totalt!$B$1:$AQ$554,MATCH(AC$2,Totalt!$B$1:$AQ$1,0),FALSE),"")</f>
        <v>0</v>
      </c>
      <c r="AD255" s="173">
        <f>IFERROR(VLOOKUP($B255,Totalt!$B$1:$AQ$554,MATCH(AD$2,Totalt!$B$1:$AQ$1,0),FALSE),"")</f>
        <v>0</v>
      </c>
      <c r="AE255" s="173">
        <f>IFERROR(VLOOKUP($B255,Totalt!$B$1:$AQ$554,MATCH(AE$2,Totalt!$B$1:$AQ$1,0),FALSE),"")</f>
        <v>0</v>
      </c>
      <c r="AF255" s="173">
        <f>IFERROR(VLOOKUP($B255,Totalt!$B$1:$AQ$554,MATCH(AF$2,Totalt!$B$1:$AQ$1,0),FALSE),"")</f>
        <v>0.13900000000000001</v>
      </c>
      <c r="AG255" s="173">
        <f>IFERROR(VLOOKUP($B255,Totalt!$B$1:$AQ$554,MATCH(AG$2,Totalt!$B$1:$AQ$1,0),FALSE),"")</f>
        <v>0</v>
      </c>
      <c r="AI255" s="226">
        <f t="shared" si="18"/>
        <v>13.805399999999999</v>
      </c>
      <c r="AJ255" s="226">
        <f>IF(ISERROR(1/VLOOKUP($B255,Leveranser!$B$1:$S$500,MATCH("såld värme (gwh)",Leveranser!$B$1:$S$1,0),FALSE)),"",VLOOKUP($B255,Leveranser!$B$1:$S$500,MATCH("såld värme (gwh)",Leveranser!$B$1:$S$1,0),FALSE))</f>
        <v>9.4990000000000006</v>
      </c>
      <c r="AM255" s="227" t="str">
        <f>IF(B255&lt;&gt;"",IF(VLOOKUP($B255,Totalt!$B$1:$AQ$554,MATCH("Kvalitetsgranskad:",Totalt!$B$1:$AQ$1,0),FALSE)="ja",VLOOKUP($B255,Miljö!$B$1:$AG$479,MATCH(AM$2,Miljö!$B$1:$AK$1,0),FALSE),""),"")</f>
        <v>Ja</v>
      </c>
      <c r="AN255" s="227" t="str">
        <f>IF(AM255="ja",VLOOKUP($B255,Miljö!$B$1:$J$479,MATCH("Typ av ursprungsspecificerad el   (Om inget värde anges används Nordisk residualmix, se inforuta) ()",Miljö!$B$1:$J$1,0),FALSE),IF(AM255="nej","Nordisk residualel",""))</f>
        <v>'Vind vatten bio'</v>
      </c>
      <c r="AO255" s="227">
        <f>IF(AM255="","",VLOOKUP($B255,Miljö!$B$1:$J$479,MATCH("Fossilandel för ursprungspecificerad el ()",Miljö!$B$1:$J$1,0),FALSE))</f>
        <v>0</v>
      </c>
      <c r="AP255" s="227">
        <f>IF(AM255="","",IFERROR(VLOOKUP($B255,Miljö!$B$1:$J$479,MATCH("Kärnkraftsandel för ursprungsspecificerad el ()",Miljö!$B$1:$J$1,0),FALSE)/1,0))</f>
        <v>0</v>
      </c>
      <c r="AQ255" s="227">
        <f t="shared" si="19"/>
        <v>1</v>
      </c>
      <c r="AR255" s="227"/>
      <c r="AS255" s="227" t="str">
        <f t="shared" si="20"/>
        <v>Nej</v>
      </c>
      <c r="AT255" s="227" t="str">
        <f>IF(AS255="ja",VLOOKUP($B255,Miljö!$B$1:$O$500,MATCH("Fossil andel i procent (%)",Miljö!$B$1:$O$1,0),FALSE)/100,"")</f>
        <v/>
      </c>
      <c r="AU255" s="227"/>
      <c r="AV255" s="227" t="str">
        <f t="shared" si="21"/>
        <v>Nej</v>
      </c>
      <c r="AW255" s="227" t="str">
        <f>IF(AV255="ja",VLOOKUP($B255,'Egen hetvattenprod'!$B$1:$AO$500,MATCH("Värmekälla till värmepumpar ()",'Egen hetvattenprod'!$B$1:$AO$1,0),FALSE),"")</f>
        <v/>
      </c>
      <c r="AX255" s="227"/>
      <c r="AY255" s="227" t="str">
        <f t="shared" si="22"/>
        <v>Nej</v>
      </c>
      <c r="AZ255" s="228" t="str">
        <f>IF($AY255="ja",(VLOOKUP($B255,'Egen hetvattenprod'!$B$1:$BX$550,MATCH(AZ$2,'Egen hetvattenprod'!$B$1:$BX$1,0),FALSE)+VLOOKUP($B255,Kraftvärmeprod!$B$1:$BX$550,MATCH(AZ$2,Kraftvärmeprod!$B$1:$BX$1,0),FALSE))/$AC255,"")</f>
        <v/>
      </c>
      <c r="BA255" s="228" t="str">
        <f>IF($AY255="ja",(VLOOKUP($B255,'Egen hetvattenprod'!$B$1:$BX$550,MATCH(BA$2,'Egen hetvattenprod'!$B$1:$BX$1,0),FALSE)+VLOOKUP($B255,Kraftvärmeprod!$B$1:$BX$550,MATCH(BA$2,Kraftvärmeprod!$B$1:$BX$1,0),FALSE))/$AC255,"")</f>
        <v/>
      </c>
      <c r="BB255" s="228" t="str">
        <f>IF($AY255="ja",(VLOOKUP($B255,'Egen hetvattenprod'!$B$1:$BX$550,MATCH(BB$2,'Egen hetvattenprod'!$B$1:$BX$1,0),FALSE)+VLOOKUP($B255,Kraftvärmeprod!$B$1:$BX$550,MATCH(BB$2,Kraftvärmeprod!$B$1:$BX$1,0),FALSE))/$AC255,"")</f>
        <v/>
      </c>
      <c r="BC255" s="228" t="str">
        <f>IF($AY255="ja",(VLOOKUP($B255,'Egen hetvattenprod'!$B$1:$BX$550,MATCH(BC$2,'Egen hetvattenprod'!$B$1:$BX$1,0),FALSE)+VLOOKUP($B255,Kraftvärmeprod!$B$1:$BX$550,MATCH(BC$2,Kraftvärmeprod!$B$1:$BX$1,0),FALSE))/$AC255,"")</f>
        <v/>
      </c>
      <c r="BD255" s="228" t="str">
        <f>IF($AY255="ja",(VLOOKUP($B255,'Egen hetvattenprod'!$B$1:$BX$550,MATCH(BD$2,'Egen hetvattenprod'!$B$1:$BX$1,0),FALSE)+VLOOKUP($B255,Kraftvärmeprod!$B$1:$BX$550,MATCH(BD$2,Kraftvärmeprod!$B$1:$BX$1,0),FALSE))/$AC255,"")</f>
        <v/>
      </c>
      <c r="BE255" s="227"/>
      <c r="BF255" s="227" t="str">
        <f t="shared" si="23"/>
        <v>Nej</v>
      </c>
      <c r="BG255" s="227" t="str">
        <f>IF($BF255="ja",VLOOKUP($B255,'Egen hetvattenprod'!$B$1:$BX$550,MATCH("Andelen klimatgaser med fossilt ursprung för avfall ()",'Egen hetvattenprod'!$B$1:$BX$1,0),FALSE),"")</f>
        <v/>
      </c>
      <c r="BH255" s="227" t="str">
        <f>IF($BF255="ja",VLOOKUP($B255,Kraftvärmeprod!$B$1:$BX$550,MATCH("Andelen klimatgaser med fossilt ursprung för avfall ()",Kraftvärmeprod!$B$1:$BX$1,0),FALSE),"")</f>
        <v/>
      </c>
      <c r="BI255" s="227" t="str">
        <f>IF($BF255="ja",VLOOKUP($B255,'Egen hetvattenprod'!$B$1:$BX$550,MATCH("Avfall (GWh)",'Egen hetvattenprod'!$B$1:$BX$1,0),FALSE),"")</f>
        <v/>
      </c>
      <c r="BJ255" s="227" t="str">
        <f>IF($BF255="ja",VLOOKUP($B255,'Slutlig allokering kvv'!$B$1:$BX$550,MATCH("Avfall (GWh)",'Slutlig allokering kvv'!$B$1:$BX$1,0),FALSE),"")</f>
        <v/>
      </c>
      <c r="BK255" s="227" t="str">
        <f>IF($BF255="ja",VLOOKUP($B255,'Köpt hetvatten'!$B$1:$BX$550,MATCH("Avfall i köpt hetvatten",'Köpt hetvatten'!$B$1:$BX$1,0),FALSE),"")</f>
        <v/>
      </c>
      <c r="BL255" s="227" t="str">
        <f>IF($BF255="ja",VLOOKUP($B255,'Egen hetvattenprod'!$B$1:$BX$550,MATCH("Värde enligt ovan. (%)",'Egen hetvattenprod'!$B$1:$BX$1,0),FALSE),"")</f>
        <v/>
      </c>
      <c r="BM255" s="227" t="str">
        <f>IF($BF255="ja",VLOOKUP($B255,Kraftvärmeprod!$B$1:$BX$550,MATCH("Värde enligt ovan. (%)",Kraftvärmeprod!$B$1:$BX$1,0),FALSE),"")</f>
        <v/>
      </c>
      <c r="BN255" s="227"/>
      <c r="BO255" s="227"/>
      <c r="BP255" s="227"/>
      <c r="BQ255" s="227" t="str">
        <f>IF($BF255="ja",VLOOKUP($B255,'Egen hetvattenprod'!$B$1:$BX$550,MATCH("Tillförd olja (fossil) vid avfallsförbränning (GWh)",'Egen hetvattenprod'!$B$1:$BX$1,0),FALSE),"")</f>
        <v/>
      </c>
      <c r="BR255" s="227" t="str">
        <f>IF($BF255="ja",VLOOKUP($B255,Kraftvärmeprod!$B$1:$BX$550,MATCH("Tillförd olja (fossil) vid avfallsförbränning (GWh)",Kraftvärmeprod!$B$1:$BX$1,0),FALSE),"")</f>
        <v/>
      </c>
      <c r="BS255" s="227"/>
      <c r="BT255" s="227"/>
      <c r="BU255" s="227"/>
    </row>
    <row r="256" spans="1:73" x14ac:dyDescent="0.25">
      <c r="A256" s="121" t="str">
        <f>'Miljövärden för publ företag'!B259</f>
        <v>Söderhamn Nära AB</v>
      </c>
      <c r="B256" s="121" t="str">
        <f>'Miljövärden för publ företag'!C259</f>
        <v>Sandarne</v>
      </c>
      <c r="C256" s="173">
        <f>IFERROR(VLOOKUP($B256,Totalt!$B$1:$AQ$554,MATCH(C$2,Totalt!$B$1:$AQ$1,0),FALSE),"")</f>
        <v>0</v>
      </c>
      <c r="D256" s="173">
        <f>IFERROR(VLOOKUP($B256,Totalt!$B$1:$AQ$554,MATCH(D$2,Totalt!$B$1:$AQ$1,0),FALSE),"")</f>
        <v>7.8E-2</v>
      </c>
      <c r="E256" s="173">
        <f>IFERROR(VLOOKUP($B256,Totalt!$B$1:$AQ$554,MATCH(E$2,Totalt!$B$1:$AQ$1,0),FALSE),"")</f>
        <v>0</v>
      </c>
      <c r="F256" s="173">
        <f>IFERROR(VLOOKUP($B256,Totalt!$B$1:$AQ$554,MATCH(F$2,Totalt!$B$1:$AQ$1,0),FALSE),"")</f>
        <v>0</v>
      </c>
      <c r="G256" s="173">
        <f>IFERROR(VLOOKUP($B256,Totalt!$B$1:$AQ$554,MATCH(G$2,Totalt!$B$1:$AQ$1,0),FALSE),"")</f>
        <v>0</v>
      </c>
      <c r="H256" s="173">
        <f>IFERROR(VLOOKUP($B256,Totalt!$B$1:$AQ$554,MATCH(H$2,Totalt!$B$1:$AQ$1,0),FALSE),"")</f>
        <v>0</v>
      </c>
      <c r="I256" s="173">
        <f>IFERROR(VLOOKUP($B256,Totalt!$B$1:$AQ$554,MATCH(I$2,Totalt!$B$1:$AQ$1,0),FALSE),"")</f>
        <v>0</v>
      </c>
      <c r="J256" s="173">
        <f>IFERROR(VLOOKUP($B256,Totalt!$B$1:$AQ$554,MATCH(J$2,Totalt!$B$1:$AQ$1,0),FALSE),"")</f>
        <v>0</v>
      </c>
      <c r="K256" s="173">
        <f>IFERROR(VLOOKUP($B256,Totalt!$B$1:$AQ$554,MATCH(K$2,Totalt!$B$1:$AQ$1,0),FALSE),"")</f>
        <v>0</v>
      </c>
      <c r="L256" s="173">
        <f>IFERROR(VLOOKUP($B256,Totalt!$B$1:$AQ$554,MATCH(L$2,Totalt!$B$1:$AQ$1,0),FALSE),"")</f>
        <v>0</v>
      </c>
      <c r="M256" s="173">
        <f>IFERROR(VLOOKUP($B256,Totalt!$B$1:$AQ$554,MATCH(M$2,Totalt!$B$1:$AQ$1,0),FALSE),"")</f>
        <v>0</v>
      </c>
      <c r="N256" s="173">
        <f>IFERROR(VLOOKUP($B256,Totalt!$B$1:$AQ$554,MATCH(N$2,Totalt!$B$1:$AQ$1,0),FALSE),"")</f>
        <v>0</v>
      </c>
      <c r="O256" s="173">
        <f>IFERROR(VLOOKUP($B256,Totalt!$B$1:$AQ$554,MATCH(O$2,Totalt!$B$1:$AQ$1,0),FALSE),"")</f>
        <v>0</v>
      </c>
      <c r="P256" s="173">
        <f>IFERROR(VLOOKUP($B256,Totalt!$B$1:$AQ$554,MATCH(P$2,Totalt!$B$1:$AQ$1,0),FALSE),"")</f>
        <v>0</v>
      </c>
      <c r="Q256" s="173">
        <f>IFERROR(VLOOKUP($B256,Totalt!$B$1:$AQ$554,MATCH(Q$2,Totalt!$B$1:$AQ$1,0),FALSE),"")</f>
        <v>0</v>
      </c>
      <c r="R256" s="173">
        <f>IFERROR(VLOOKUP($B256,Totalt!$B$1:$AQ$554,MATCH(R$2,Totalt!$B$1:$AQ$1,0),FALSE),"")</f>
        <v>3.968</v>
      </c>
      <c r="S256" s="173">
        <f>IFERROR(VLOOKUP($B256,Totalt!$B$1:$AQ$554,MATCH(S$2,Totalt!$B$1:$AQ$1,0),FALSE),"")</f>
        <v>0</v>
      </c>
      <c r="T256" s="173">
        <f>IFERROR(VLOOKUP($B256,Totalt!$B$1:$AQ$554,MATCH(T$2,Totalt!$B$1:$AQ$1,0),FALSE),"")</f>
        <v>0</v>
      </c>
      <c r="U256" s="173">
        <f>IFERROR(VLOOKUP($B256,Totalt!$B$1:$AQ$554,MATCH(U$2,Totalt!$B$1:$AQ$1,0),FALSE),"")</f>
        <v>0</v>
      </c>
      <c r="V256" s="173">
        <f>IFERROR(VLOOKUP($B256,Totalt!$B$1:$AQ$554,MATCH(V$2,Totalt!$B$1:$AQ$1,0),FALSE),"")</f>
        <v>0</v>
      </c>
      <c r="W256" s="173">
        <f>IFERROR(VLOOKUP($B256,Totalt!$B$1:$AQ$554,MATCH(W$2,Totalt!$B$1:$AQ$1,0),FALSE),"")</f>
        <v>0</v>
      </c>
      <c r="X256" s="173">
        <f>IFERROR(VLOOKUP($B256,Totalt!$B$1:$AQ$554,MATCH(X$2,Totalt!$B$1:$AQ$1,0),FALSE),"")</f>
        <v>0</v>
      </c>
      <c r="Y256" s="173">
        <f>IFERROR(VLOOKUP($B256,Totalt!$B$1:$AQ$554,MATCH(Y$2,Totalt!$B$1:$AQ$1,0),FALSE),"")</f>
        <v>0</v>
      </c>
      <c r="Z256" s="173">
        <f>IFERROR(VLOOKUP($B256,Totalt!$B$1:$AQ$554,MATCH(Z$2,Totalt!$B$1:$AQ$1,0),FALSE),"")</f>
        <v>0</v>
      </c>
      <c r="AA256" s="173">
        <f>IFERROR(VLOOKUP($B256,Totalt!$B$1:$AQ$554,MATCH(AA$2,Totalt!$B$1:$AQ$1,0),FALSE),"")</f>
        <v>0</v>
      </c>
      <c r="AB256" s="173">
        <f>IFERROR(VLOOKUP($B256,Totalt!$B$1:$AQ$554,MATCH(AB$2,Totalt!$B$1:$AQ$1,0),FALSE),"")</f>
        <v>0</v>
      </c>
      <c r="AC256" s="173">
        <f>IFERROR(VLOOKUP($B256,Totalt!$B$1:$AQ$554,MATCH(AC$2,Totalt!$B$1:$AQ$1,0),FALSE),"")</f>
        <v>0</v>
      </c>
      <c r="AD256" s="173">
        <f>IFERROR(VLOOKUP($B256,Totalt!$B$1:$AQ$554,MATCH(AD$2,Totalt!$B$1:$AQ$1,0),FALSE),"")</f>
        <v>0</v>
      </c>
      <c r="AE256" s="173">
        <f>IFERROR(VLOOKUP($B256,Totalt!$B$1:$AQ$554,MATCH(AE$2,Totalt!$B$1:$AQ$1,0),FALSE),"")</f>
        <v>0</v>
      </c>
      <c r="AF256" s="173">
        <f>IFERROR(VLOOKUP($B256,Totalt!$B$1:$AQ$554,MATCH(AF$2,Totalt!$B$1:$AQ$1,0),FALSE),"")</f>
        <v>5.7000000000000002E-2</v>
      </c>
      <c r="AG256" s="173">
        <f>IFERROR(VLOOKUP($B256,Totalt!$B$1:$AQ$554,MATCH(AG$2,Totalt!$B$1:$AQ$1,0),FALSE),"")</f>
        <v>0</v>
      </c>
      <c r="AI256" s="226">
        <f t="shared" si="18"/>
        <v>4.1030000000000006</v>
      </c>
      <c r="AJ256" s="226">
        <f>IF(ISERROR(1/VLOOKUP($B256,Leveranser!$B$1:$S$500,MATCH("såld värme (gwh)",Leveranser!$B$1:$S$1,0),FALSE)),"",VLOOKUP($B256,Leveranser!$B$1:$S$500,MATCH("såld värme (gwh)",Leveranser!$B$1:$S$1,0),FALSE))</f>
        <v>3.149</v>
      </c>
      <c r="AM256" s="227" t="str">
        <f>IF(B256&lt;&gt;"",IF(VLOOKUP($B256,Totalt!$B$1:$AQ$554,MATCH("Kvalitetsgranskad:",Totalt!$B$1:$AQ$1,0),FALSE)="ja",VLOOKUP($B256,Miljö!$B$1:$AG$479,MATCH(AM$2,Miljö!$B$1:$AK$1,0),FALSE),""),"")</f>
        <v>Ja</v>
      </c>
      <c r="AN256" s="227" t="str">
        <f>IF(AM256="ja",VLOOKUP($B256,Miljö!$B$1:$J$479,MATCH("Typ av ursprungsspecificerad el   (Om inget värde anges används Nordisk residualmix, se inforuta) ()",Miljö!$B$1:$J$1,0),FALSE),IF(AM256="nej","Nordisk residualel",""))</f>
        <v>'"Vind vatten bio"'</v>
      </c>
      <c r="AO256" s="227">
        <f>IF(AM256="","",VLOOKUP($B256,Miljö!$B$1:$J$479,MATCH("Fossilandel för ursprungspecificerad el ()",Miljö!$B$1:$J$1,0),FALSE))</f>
        <v>0</v>
      </c>
      <c r="AP256" s="227">
        <f>IF(AM256="","",IFERROR(VLOOKUP($B256,Miljö!$B$1:$J$479,MATCH("Kärnkraftsandel för ursprungsspecificerad el ()",Miljö!$B$1:$J$1,0),FALSE)/1,0))</f>
        <v>0</v>
      </c>
      <c r="AQ256" s="227">
        <f t="shared" si="19"/>
        <v>1</v>
      </c>
      <c r="AR256" s="227"/>
      <c r="AS256" s="227" t="str">
        <f t="shared" si="20"/>
        <v>Nej</v>
      </c>
      <c r="AT256" s="227" t="str">
        <f>IF(AS256="ja",VLOOKUP($B256,Miljö!$B$1:$O$500,MATCH("Fossil andel i procent (%)",Miljö!$B$1:$O$1,0),FALSE)/100,"")</f>
        <v/>
      </c>
      <c r="AU256" s="227"/>
      <c r="AV256" s="227" t="str">
        <f t="shared" si="21"/>
        <v>Nej</v>
      </c>
      <c r="AW256" s="227" t="str">
        <f>IF(AV256="ja",VLOOKUP($B256,'Egen hetvattenprod'!$B$1:$AO$500,MATCH("Värmekälla till värmepumpar ()",'Egen hetvattenprod'!$B$1:$AO$1,0),FALSE),"")</f>
        <v/>
      </c>
      <c r="AX256" s="227"/>
      <c r="AY256" s="227" t="str">
        <f t="shared" si="22"/>
        <v>Nej</v>
      </c>
      <c r="AZ256" s="228" t="str">
        <f>IF($AY256="ja",(VLOOKUP($B256,'Egen hetvattenprod'!$B$1:$BX$550,MATCH(AZ$2,'Egen hetvattenprod'!$B$1:$BX$1,0),FALSE)+VLOOKUP($B256,Kraftvärmeprod!$B$1:$BX$550,MATCH(AZ$2,Kraftvärmeprod!$B$1:$BX$1,0),FALSE))/$AC256,"")</f>
        <v/>
      </c>
      <c r="BA256" s="228" t="str">
        <f>IF($AY256="ja",(VLOOKUP($B256,'Egen hetvattenprod'!$B$1:$BX$550,MATCH(BA$2,'Egen hetvattenprod'!$B$1:$BX$1,0),FALSE)+VLOOKUP($B256,Kraftvärmeprod!$B$1:$BX$550,MATCH(BA$2,Kraftvärmeprod!$B$1:$BX$1,0),FALSE))/$AC256,"")</f>
        <v/>
      </c>
      <c r="BB256" s="228" t="str">
        <f>IF($AY256="ja",(VLOOKUP($B256,'Egen hetvattenprod'!$B$1:$BX$550,MATCH(BB$2,'Egen hetvattenprod'!$B$1:$BX$1,0),FALSE)+VLOOKUP($B256,Kraftvärmeprod!$B$1:$BX$550,MATCH(BB$2,Kraftvärmeprod!$B$1:$BX$1,0),FALSE))/$AC256,"")</f>
        <v/>
      </c>
      <c r="BC256" s="228" t="str">
        <f>IF($AY256="ja",(VLOOKUP($B256,'Egen hetvattenprod'!$B$1:$BX$550,MATCH(BC$2,'Egen hetvattenprod'!$B$1:$BX$1,0),FALSE)+VLOOKUP($B256,Kraftvärmeprod!$B$1:$BX$550,MATCH(BC$2,Kraftvärmeprod!$B$1:$BX$1,0),FALSE))/$AC256,"")</f>
        <v/>
      </c>
      <c r="BD256" s="228" t="str">
        <f>IF($AY256="ja",(VLOOKUP($B256,'Egen hetvattenprod'!$B$1:$BX$550,MATCH(BD$2,'Egen hetvattenprod'!$B$1:$BX$1,0),FALSE)+VLOOKUP($B256,Kraftvärmeprod!$B$1:$BX$550,MATCH(BD$2,Kraftvärmeprod!$B$1:$BX$1,0),FALSE))/$AC256,"")</f>
        <v/>
      </c>
      <c r="BE256" s="227"/>
      <c r="BF256" s="227" t="str">
        <f t="shared" si="23"/>
        <v>Nej</v>
      </c>
      <c r="BG256" s="227" t="str">
        <f>IF($BF256="ja",VLOOKUP($B256,'Egen hetvattenprod'!$B$1:$BX$550,MATCH("Andelen klimatgaser med fossilt ursprung för avfall ()",'Egen hetvattenprod'!$B$1:$BX$1,0),FALSE),"")</f>
        <v/>
      </c>
      <c r="BH256" s="227" t="str">
        <f>IF($BF256="ja",VLOOKUP($B256,Kraftvärmeprod!$B$1:$BX$550,MATCH("Andelen klimatgaser med fossilt ursprung för avfall ()",Kraftvärmeprod!$B$1:$BX$1,0),FALSE),"")</f>
        <v/>
      </c>
      <c r="BI256" s="227" t="str">
        <f>IF($BF256="ja",VLOOKUP($B256,'Egen hetvattenprod'!$B$1:$BX$550,MATCH("Avfall (GWh)",'Egen hetvattenprod'!$B$1:$BX$1,0),FALSE),"")</f>
        <v/>
      </c>
      <c r="BJ256" s="227" t="str">
        <f>IF($BF256="ja",VLOOKUP($B256,'Slutlig allokering kvv'!$B$1:$BX$550,MATCH("Avfall (GWh)",'Slutlig allokering kvv'!$B$1:$BX$1,0),FALSE),"")</f>
        <v/>
      </c>
      <c r="BK256" s="227" t="str">
        <f>IF($BF256="ja",VLOOKUP($B256,'Köpt hetvatten'!$B$1:$BX$550,MATCH("Avfall i köpt hetvatten",'Köpt hetvatten'!$B$1:$BX$1,0),FALSE),"")</f>
        <v/>
      </c>
      <c r="BL256" s="227" t="str">
        <f>IF($BF256="ja",VLOOKUP($B256,'Egen hetvattenprod'!$B$1:$BX$550,MATCH("Värde enligt ovan. (%)",'Egen hetvattenprod'!$B$1:$BX$1,0),FALSE),"")</f>
        <v/>
      </c>
      <c r="BM256" s="227" t="str">
        <f>IF($BF256="ja",VLOOKUP($B256,Kraftvärmeprod!$B$1:$BX$550,MATCH("Värde enligt ovan. (%)",Kraftvärmeprod!$B$1:$BX$1,0),FALSE),"")</f>
        <v/>
      </c>
      <c r="BN256" s="227"/>
      <c r="BO256" s="227"/>
      <c r="BP256" s="227"/>
      <c r="BQ256" s="227" t="str">
        <f>IF($BF256="ja",VLOOKUP($B256,'Egen hetvattenprod'!$B$1:$BX$550,MATCH("Tillförd olja (fossil) vid avfallsförbränning (GWh)",'Egen hetvattenprod'!$B$1:$BX$1,0),FALSE),"")</f>
        <v/>
      </c>
      <c r="BR256" s="227" t="str">
        <f>IF($BF256="ja",VLOOKUP($B256,Kraftvärmeprod!$B$1:$BX$550,MATCH("Tillförd olja (fossil) vid avfallsförbränning (GWh)",Kraftvärmeprod!$B$1:$BX$1,0),FALSE),"")</f>
        <v/>
      </c>
      <c r="BS256" s="227"/>
      <c r="BT256" s="227"/>
      <c r="BU256" s="227"/>
    </row>
    <row r="257" spans="1:73" x14ac:dyDescent="0.25">
      <c r="A257" s="121" t="str">
        <f>'Miljövärden för publ företag'!B260</f>
        <v>Söderhamn Nära AB</v>
      </c>
      <c r="B257" s="121" t="str">
        <f>'Miljövärden för publ företag'!C260</f>
        <v>Söderhamn</v>
      </c>
      <c r="C257" s="173">
        <f>IFERROR(VLOOKUP($B257,Totalt!$B$1:$AQ$554,MATCH(C$2,Totalt!$B$1:$AQ$1,0),FALSE),"")</f>
        <v>0</v>
      </c>
      <c r="D257" s="173">
        <f>IFERROR(VLOOKUP($B257,Totalt!$B$1:$AQ$554,MATCH(D$2,Totalt!$B$1:$AQ$1,0),FALSE),"")</f>
        <v>0.96546100000000001</v>
      </c>
      <c r="E257" s="173">
        <f>IFERROR(VLOOKUP($B257,Totalt!$B$1:$AQ$554,MATCH(E$2,Totalt!$B$1:$AQ$1,0),FALSE),"")</f>
        <v>0</v>
      </c>
      <c r="F257" s="173">
        <f>IFERROR(VLOOKUP($B257,Totalt!$B$1:$AQ$554,MATCH(F$2,Totalt!$B$1:$AQ$1,0),FALSE),"")</f>
        <v>0</v>
      </c>
      <c r="G257" s="173">
        <f>IFERROR(VLOOKUP($B257,Totalt!$B$1:$AQ$554,MATCH(G$2,Totalt!$B$1:$AQ$1,0),FALSE),"")</f>
        <v>0</v>
      </c>
      <c r="H257" s="173">
        <f>IFERROR(VLOOKUP($B257,Totalt!$B$1:$AQ$554,MATCH(H$2,Totalt!$B$1:$AQ$1,0),FALSE),"")</f>
        <v>0</v>
      </c>
      <c r="I257" s="173">
        <f>IFERROR(VLOOKUP($B257,Totalt!$B$1:$AQ$554,MATCH(I$2,Totalt!$B$1:$AQ$1,0),FALSE),"")</f>
        <v>0</v>
      </c>
      <c r="J257" s="173">
        <f>IFERROR(VLOOKUP($B257,Totalt!$B$1:$AQ$554,MATCH(J$2,Totalt!$B$1:$AQ$1,0),FALSE),"")</f>
        <v>0</v>
      </c>
      <c r="K257" s="173">
        <f>IFERROR(VLOOKUP($B257,Totalt!$B$1:$AQ$554,MATCH(K$2,Totalt!$B$1:$AQ$1,0),FALSE),"")</f>
        <v>0</v>
      </c>
      <c r="L257" s="173">
        <f>IFERROR(VLOOKUP($B257,Totalt!$B$1:$AQ$554,MATCH(L$2,Totalt!$B$1:$AQ$1,0),FALSE),"")</f>
        <v>10.664400000000001</v>
      </c>
      <c r="M257" s="173">
        <f>IFERROR(VLOOKUP($B257,Totalt!$B$1:$AQ$554,MATCH(M$2,Totalt!$B$1:$AQ$1,0),FALSE),"")</f>
        <v>24.8842</v>
      </c>
      <c r="N257" s="173">
        <f>IFERROR(VLOOKUP($B257,Totalt!$B$1:$AQ$554,MATCH(N$2,Totalt!$B$1:$AQ$1,0),FALSE),"")</f>
        <v>35.121899999999997</v>
      </c>
      <c r="O257" s="173">
        <f>IFERROR(VLOOKUP($B257,Totalt!$B$1:$AQ$554,MATCH(O$2,Totalt!$B$1:$AQ$1,0),FALSE),"")</f>
        <v>0</v>
      </c>
      <c r="P257" s="173">
        <f>IFERROR(VLOOKUP($B257,Totalt!$B$1:$AQ$554,MATCH(P$2,Totalt!$B$1:$AQ$1,0),FALSE),"")</f>
        <v>13.989699999999999</v>
      </c>
      <c r="Q257" s="173">
        <f>IFERROR(VLOOKUP($B257,Totalt!$B$1:$AQ$554,MATCH(Q$2,Totalt!$B$1:$AQ$1,0),FALSE),"")</f>
        <v>5.8413300000000001</v>
      </c>
      <c r="R257" s="173">
        <f>IFERROR(VLOOKUP($B257,Totalt!$B$1:$AQ$554,MATCH(R$2,Totalt!$B$1:$AQ$1,0),FALSE),"")</f>
        <v>27.085000000000001</v>
      </c>
      <c r="S257" s="173">
        <f>IFERROR(VLOOKUP($B257,Totalt!$B$1:$AQ$554,MATCH(S$2,Totalt!$B$1:$AQ$1,0),FALSE),"")</f>
        <v>0</v>
      </c>
      <c r="T257" s="173">
        <f>IFERROR(VLOOKUP($B257,Totalt!$B$1:$AQ$554,MATCH(T$2,Totalt!$B$1:$AQ$1,0),FALSE),"")</f>
        <v>0</v>
      </c>
      <c r="U257" s="173">
        <f>IFERROR(VLOOKUP($B257,Totalt!$B$1:$AQ$554,MATCH(U$2,Totalt!$B$1:$AQ$1,0),FALSE),"")</f>
        <v>0</v>
      </c>
      <c r="V257" s="173">
        <f>IFERROR(VLOOKUP($B257,Totalt!$B$1:$AQ$554,MATCH(V$2,Totalt!$B$1:$AQ$1,0),FALSE),"")</f>
        <v>0</v>
      </c>
      <c r="W257" s="173">
        <f>IFERROR(VLOOKUP($B257,Totalt!$B$1:$AQ$554,MATCH(W$2,Totalt!$B$1:$AQ$1,0),FALSE),"")</f>
        <v>0</v>
      </c>
      <c r="X257" s="173">
        <f>IFERROR(VLOOKUP($B257,Totalt!$B$1:$AQ$554,MATCH(X$2,Totalt!$B$1:$AQ$1,0),FALSE),"")</f>
        <v>0</v>
      </c>
      <c r="Y257" s="173">
        <f>IFERROR(VLOOKUP($B257,Totalt!$B$1:$AQ$554,MATCH(Y$2,Totalt!$B$1:$AQ$1,0),FALSE),"")</f>
        <v>0</v>
      </c>
      <c r="Z257" s="173">
        <f>IFERROR(VLOOKUP($B257,Totalt!$B$1:$AQ$554,MATCH(Z$2,Totalt!$B$1:$AQ$1,0),FALSE),"")</f>
        <v>0</v>
      </c>
      <c r="AA257" s="173">
        <f>IFERROR(VLOOKUP($B257,Totalt!$B$1:$AQ$554,MATCH(AA$2,Totalt!$B$1:$AQ$1,0),FALSE),"")</f>
        <v>0</v>
      </c>
      <c r="AB257" s="173">
        <f>IFERROR(VLOOKUP($B257,Totalt!$B$1:$AQ$554,MATCH(AB$2,Totalt!$B$1:$AQ$1,0),FALSE),"")</f>
        <v>0</v>
      </c>
      <c r="AC257" s="173">
        <f>IFERROR(VLOOKUP($B257,Totalt!$B$1:$AQ$554,MATCH(AC$2,Totalt!$B$1:$AQ$1,0),FALSE),"")</f>
        <v>21.395</v>
      </c>
      <c r="AD257" s="173">
        <f>IFERROR(VLOOKUP($B257,Totalt!$B$1:$AQ$554,MATCH(AD$2,Totalt!$B$1:$AQ$1,0),FALSE),"")</f>
        <v>0</v>
      </c>
      <c r="AE257" s="173">
        <f>IFERROR(VLOOKUP($B257,Totalt!$B$1:$AQ$554,MATCH(AE$2,Totalt!$B$1:$AQ$1,0),FALSE),"")</f>
        <v>0</v>
      </c>
      <c r="AF257" s="173">
        <f>IFERROR(VLOOKUP($B257,Totalt!$B$1:$AQ$554,MATCH(AF$2,Totalt!$B$1:$AQ$1,0),FALSE),"")</f>
        <v>6.2671000000000001</v>
      </c>
      <c r="AG257" s="173">
        <f>IFERROR(VLOOKUP($B257,Totalt!$B$1:$AQ$554,MATCH(AG$2,Totalt!$B$1:$AQ$1,0),FALSE),"")</f>
        <v>0</v>
      </c>
      <c r="AI257" s="226">
        <f t="shared" si="18"/>
        <v>146.214091</v>
      </c>
      <c r="AJ257" s="226">
        <f>IF(ISERROR(1/VLOOKUP($B257,Leveranser!$B$1:$S$500,MATCH("såld värme (gwh)",Leveranser!$B$1:$S$1,0),FALSE)),"",VLOOKUP($B257,Leveranser!$B$1:$S$500,MATCH("såld värme (gwh)",Leveranser!$B$1:$S$1,0),FALSE))</f>
        <v>125.73699999999999</v>
      </c>
      <c r="AM257" s="227" t="str">
        <f>IF(B257&lt;&gt;"",IF(VLOOKUP($B257,Totalt!$B$1:$AQ$554,MATCH("Kvalitetsgranskad:",Totalt!$B$1:$AQ$1,0),FALSE)="ja",VLOOKUP($B257,Miljö!$B$1:$AG$479,MATCH(AM$2,Miljö!$B$1:$AK$1,0),FALSE),""),"")</f>
        <v>Ja</v>
      </c>
      <c r="AN257" s="227" t="str">
        <f>IF(AM257="ja",VLOOKUP($B257,Miljö!$B$1:$J$479,MATCH("Typ av ursprungsspecificerad el   (Om inget värde anges används Nordisk residualmix, se inforuta) ()",Miljö!$B$1:$J$1,0),FALSE),IF(AM257="nej","Nordisk residualel",""))</f>
        <v>'"Vind vatten bio"'</v>
      </c>
      <c r="AO257" s="227">
        <f>IF(AM257="","",VLOOKUP($B257,Miljö!$B$1:$J$479,MATCH("Fossilandel för ursprungspecificerad el ()",Miljö!$B$1:$J$1,0),FALSE))</f>
        <v>0</v>
      </c>
      <c r="AP257" s="227">
        <f>IF(AM257="","",IFERROR(VLOOKUP($B257,Miljö!$B$1:$J$479,MATCH("Kärnkraftsandel för ursprungsspecificerad el ()",Miljö!$B$1:$J$1,0),FALSE)/1,0))</f>
        <v>0</v>
      </c>
      <c r="AQ257" s="227">
        <f t="shared" si="19"/>
        <v>1</v>
      </c>
      <c r="AR257" s="227"/>
      <c r="AS257" s="227" t="str">
        <f t="shared" si="20"/>
        <v>Nej</v>
      </c>
      <c r="AT257" s="227" t="str">
        <f>IF(AS257="ja",VLOOKUP($B257,Miljö!$B$1:$O$500,MATCH("Fossil andel i procent (%)",Miljö!$B$1:$O$1,0),FALSE)/100,"")</f>
        <v/>
      </c>
      <c r="AU257" s="227"/>
      <c r="AV257" s="227" t="str">
        <f t="shared" si="21"/>
        <v>Nej</v>
      </c>
      <c r="AW257" s="227" t="str">
        <f>IF(AV257="ja",VLOOKUP($B257,'Egen hetvattenprod'!$B$1:$AO$500,MATCH("Värmekälla till värmepumpar ()",'Egen hetvattenprod'!$B$1:$AO$1,0),FALSE),"")</f>
        <v/>
      </c>
      <c r="AX257" s="227"/>
      <c r="AY257" s="227" t="str">
        <f t="shared" si="22"/>
        <v>Ja</v>
      </c>
      <c r="AZ257" s="228">
        <f>IF($AY257="ja",(VLOOKUP($B257,'Egen hetvattenprod'!$B$1:$BX$550,MATCH(AZ$2,'Egen hetvattenprod'!$B$1:$BX$1,0),FALSE)+VLOOKUP($B257,Kraftvärmeprod!$B$1:$BX$550,MATCH(AZ$2,Kraftvärmeprod!$B$1:$BX$1,0),FALSE))/$AC257,"")</f>
        <v>1</v>
      </c>
      <c r="BA257" s="228">
        <f>IF($AY257="ja",(VLOOKUP($B257,'Egen hetvattenprod'!$B$1:$BX$550,MATCH(BA$2,'Egen hetvattenprod'!$B$1:$BX$1,0),FALSE)+VLOOKUP($B257,Kraftvärmeprod!$B$1:$BX$550,MATCH(BA$2,Kraftvärmeprod!$B$1:$BX$1,0),FALSE))/$AC257,"")</f>
        <v>0</v>
      </c>
      <c r="BB257" s="228">
        <f>IF($AY257="ja",(VLOOKUP($B257,'Egen hetvattenprod'!$B$1:$BX$550,MATCH(BB$2,'Egen hetvattenprod'!$B$1:$BX$1,0),FALSE)+VLOOKUP($B257,Kraftvärmeprod!$B$1:$BX$550,MATCH(BB$2,Kraftvärmeprod!$B$1:$BX$1,0),FALSE))/$AC257,"")</f>
        <v>0</v>
      </c>
      <c r="BC257" s="228">
        <f>IF($AY257="ja",(VLOOKUP($B257,'Egen hetvattenprod'!$B$1:$BX$550,MATCH(BC$2,'Egen hetvattenprod'!$B$1:$BX$1,0),FALSE)+VLOOKUP($B257,Kraftvärmeprod!$B$1:$BX$550,MATCH(BC$2,Kraftvärmeprod!$B$1:$BX$1,0),FALSE))/$AC257,"")</f>
        <v>0</v>
      </c>
      <c r="BD257" s="228">
        <f>IF($AY257="ja",(VLOOKUP($B257,'Egen hetvattenprod'!$B$1:$BX$550,MATCH(BD$2,'Egen hetvattenprod'!$B$1:$BX$1,0),FALSE)+VLOOKUP($B257,Kraftvärmeprod!$B$1:$BX$550,MATCH(BD$2,Kraftvärmeprod!$B$1:$BX$1,0),FALSE))/$AC257,"")</f>
        <v>0</v>
      </c>
      <c r="BE257" s="227"/>
      <c r="BF257" s="227" t="str">
        <f t="shared" si="23"/>
        <v>Nej</v>
      </c>
      <c r="BG257" s="227" t="str">
        <f>IF($BF257="ja",VLOOKUP($B257,'Egen hetvattenprod'!$B$1:$BX$550,MATCH("Andelen klimatgaser med fossilt ursprung för avfall ()",'Egen hetvattenprod'!$B$1:$BX$1,0),FALSE),"")</f>
        <v/>
      </c>
      <c r="BH257" s="227" t="str">
        <f>IF($BF257="ja",VLOOKUP($B257,Kraftvärmeprod!$B$1:$BX$550,MATCH("Andelen klimatgaser med fossilt ursprung för avfall ()",Kraftvärmeprod!$B$1:$BX$1,0),FALSE),"")</f>
        <v/>
      </c>
      <c r="BI257" s="227" t="str">
        <f>IF($BF257="ja",VLOOKUP($B257,'Egen hetvattenprod'!$B$1:$BX$550,MATCH("Avfall (GWh)",'Egen hetvattenprod'!$B$1:$BX$1,0),FALSE),"")</f>
        <v/>
      </c>
      <c r="BJ257" s="227" t="str">
        <f>IF($BF257="ja",VLOOKUP($B257,'Slutlig allokering kvv'!$B$1:$BX$550,MATCH("Avfall (GWh)",'Slutlig allokering kvv'!$B$1:$BX$1,0),FALSE),"")</f>
        <v/>
      </c>
      <c r="BK257" s="227" t="str">
        <f>IF($BF257="ja",VLOOKUP($B257,'Köpt hetvatten'!$B$1:$BX$550,MATCH("Avfall i köpt hetvatten",'Köpt hetvatten'!$B$1:$BX$1,0),FALSE),"")</f>
        <v/>
      </c>
      <c r="BL257" s="227" t="str">
        <f>IF($BF257="ja",VLOOKUP($B257,'Egen hetvattenprod'!$B$1:$BX$550,MATCH("Värde enligt ovan. (%)",'Egen hetvattenprod'!$B$1:$BX$1,0),FALSE),"")</f>
        <v/>
      </c>
      <c r="BM257" s="227" t="str">
        <f>IF($BF257="ja",VLOOKUP($B257,Kraftvärmeprod!$B$1:$BX$550,MATCH("Värde enligt ovan. (%)",Kraftvärmeprod!$B$1:$BX$1,0),FALSE),"")</f>
        <v/>
      </c>
      <c r="BN257" s="227"/>
      <c r="BO257" s="227"/>
      <c r="BP257" s="227"/>
      <c r="BQ257" s="227" t="str">
        <f>IF($BF257="ja",VLOOKUP($B257,'Egen hetvattenprod'!$B$1:$BX$550,MATCH("Tillförd olja (fossil) vid avfallsförbränning (GWh)",'Egen hetvattenprod'!$B$1:$BX$1,0),FALSE),"")</f>
        <v/>
      </c>
      <c r="BR257" s="227" t="str">
        <f>IF($BF257="ja",VLOOKUP($B257,Kraftvärmeprod!$B$1:$BX$550,MATCH("Tillförd olja (fossil) vid avfallsförbränning (GWh)",Kraftvärmeprod!$B$1:$BX$1,0),FALSE),"")</f>
        <v/>
      </c>
      <c r="BS257" s="227"/>
      <c r="BT257" s="227"/>
      <c r="BU257" s="227"/>
    </row>
    <row r="258" spans="1:73" x14ac:dyDescent="0.25">
      <c r="A258" s="121" t="str">
        <f>'Miljövärden för publ företag'!B261</f>
        <v>Södertörns Fjärrvärme AB</v>
      </c>
      <c r="B258" s="121" t="str">
        <f>'Miljövärden för publ företag'!C261</f>
        <v>Södertörn Fjärrvärme Totalt</v>
      </c>
      <c r="C258" s="173">
        <f>IFERROR(VLOOKUP($B258,Totalt!$B$1:$AQ$554,MATCH(C$2,Totalt!$B$1:$AQ$1,0),FALSE),"")</f>
        <v>0</v>
      </c>
      <c r="D258" s="173">
        <f>IFERROR(VLOOKUP($B258,Totalt!$B$1:$AQ$554,MATCH(D$2,Totalt!$B$1:$AQ$1,0),FALSE),"")</f>
        <v>3.2195499999999999</v>
      </c>
      <c r="E258" s="173">
        <f>IFERROR(VLOOKUP($B258,Totalt!$B$1:$AQ$554,MATCH(E$2,Totalt!$B$1:$AQ$1,0),FALSE),"")</f>
        <v>0</v>
      </c>
      <c r="F258" s="173">
        <f>IFERROR(VLOOKUP($B258,Totalt!$B$1:$AQ$554,MATCH(F$2,Totalt!$B$1:$AQ$1,0),FALSE),"")</f>
        <v>4.0830000000000002</v>
      </c>
      <c r="G258" s="173">
        <f>IFERROR(VLOOKUP($B258,Totalt!$B$1:$AQ$554,MATCH(G$2,Totalt!$B$1:$AQ$1,0),FALSE),"")</f>
        <v>0</v>
      </c>
      <c r="H258" s="173">
        <f>IFERROR(VLOOKUP($B258,Totalt!$B$1:$AQ$554,MATCH(H$2,Totalt!$B$1:$AQ$1,0),FALSE),"")</f>
        <v>0</v>
      </c>
      <c r="I258" s="173">
        <f>IFERROR(VLOOKUP($B258,Totalt!$B$1:$AQ$554,MATCH(I$2,Totalt!$B$1:$AQ$1,0),FALSE),"")</f>
        <v>191.08099999999999</v>
      </c>
      <c r="J258" s="173">
        <f>IFERROR(VLOOKUP($B258,Totalt!$B$1:$AQ$554,MATCH(J$2,Totalt!$B$1:$AQ$1,0),FALSE),"")</f>
        <v>3.19</v>
      </c>
      <c r="K258" s="173">
        <f>IFERROR(VLOOKUP($B258,Totalt!$B$1:$AQ$554,MATCH(K$2,Totalt!$B$1:$AQ$1,0),FALSE),"")</f>
        <v>0</v>
      </c>
      <c r="L258" s="173">
        <f>IFERROR(VLOOKUP($B258,Totalt!$B$1:$AQ$554,MATCH(L$2,Totalt!$B$1:$AQ$1,0),FALSE),"")</f>
        <v>367.964</v>
      </c>
      <c r="M258" s="173">
        <f>IFERROR(VLOOKUP($B258,Totalt!$B$1:$AQ$554,MATCH(M$2,Totalt!$B$1:$AQ$1,0),FALSE),"")</f>
        <v>26.953800000000001</v>
      </c>
      <c r="N258" s="173">
        <f>IFERROR(VLOOKUP($B258,Totalt!$B$1:$AQ$554,MATCH(N$2,Totalt!$B$1:$AQ$1,0),FALSE),"")</f>
        <v>35.661099999999998</v>
      </c>
      <c r="O258" s="173">
        <f>IFERROR(VLOOKUP($B258,Totalt!$B$1:$AQ$554,MATCH(O$2,Totalt!$B$1:$AQ$1,0),FALSE),"")</f>
        <v>45.449100000000001</v>
      </c>
      <c r="P258" s="173">
        <f>IFERROR(VLOOKUP($B258,Totalt!$B$1:$AQ$554,MATCH(P$2,Totalt!$B$1:$AQ$1,0),FALSE),"")</f>
        <v>14.439500000000001</v>
      </c>
      <c r="Q258" s="173">
        <f>IFERROR(VLOOKUP($B258,Totalt!$B$1:$AQ$554,MATCH(Q$2,Totalt!$B$1:$AQ$1,0),FALSE),"")</f>
        <v>0</v>
      </c>
      <c r="R258" s="173">
        <f>IFERROR(VLOOKUP($B258,Totalt!$B$1:$AQ$554,MATCH(R$2,Totalt!$B$1:$AQ$1,0),FALSE),"")</f>
        <v>18.861999999999998</v>
      </c>
      <c r="S258" s="173">
        <f>IFERROR(VLOOKUP($B258,Totalt!$B$1:$AQ$554,MATCH(S$2,Totalt!$B$1:$AQ$1,0),FALSE),"")</f>
        <v>0</v>
      </c>
      <c r="T258" s="173">
        <f>IFERROR(VLOOKUP($B258,Totalt!$B$1:$AQ$554,MATCH(T$2,Totalt!$B$1:$AQ$1,0),FALSE),"")</f>
        <v>0</v>
      </c>
      <c r="U258" s="173">
        <f>IFERROR(VLOOKUP($B258,Totalt!$B$1:$AQ$554,MATCH(U$2,Totalt!$B$1:$AQ$1,0),FALSE),"")</f>
        <v>0</v>
      </c>
      <c r="V258" s="173">
        <f>IFERROR(VLOOKUP($B258,Totalt!$B$1:$AQ$554,MATCH(V$2,Totalt!$B$1:$AQ$1,0),FALSE),"")</f>
        <v>36.31</v>
      </c>
      <c r="W258" s="173">
        <f>IFERROR(VLOOKUP($B258,Totalt!$B$1:$AQ$554,MATCH(W$2,Totalt!$B$1:$AQ$1,0),FALSE),"")</f>
        <v>13.082000000000001</v>
      </c>
      <c r="X258" s="173">
        <f>IFERROR(VLOOKUP($B258,Totalt!$B$1:$AQ$554,MATCH(X$2,Totalt!$B$1:$AQ$1,0),FALSE),"")</f>
        <v>6.5456500000000001E-2</v>
      </c>
      <c r="Y258" s="173">
        <f>IFERROR(VLOOKUP($B258,Totalt!$B$1:$AQ$554,MATCH(Y$2,Totalt!$B$1:$AQ$1,0),FALSE),"")</f>
        <v>0</v>
      </c>
      <c r="Z258" s="173">
        <f>IFERROR(VLOOKUP($B258,Totalt!$B$1:$AQ$554,MATCH(Z$2,Totalt!$B$1:$AQ$1,0),FALSE),"")</f>
        <v>0</v>
      </c>
      <c r="AA258" s="173">
        <f>IFERROR(VLOOKUP($B258,Totalt!$B$1:$AQ$554,MATCH(AA$2,Totalt!$B$1:$AQ$1,0),FALSE),"")</f>
        <v>1.413</v>
      </c>
      <c r="AB258" s="173">
        <f>IFERROR(VLOOKUP($B258,Totalt!$B$1:$AQ$554,MATCH(AB$2,Totalt!$B$1:$AQ$1,0),FALSE),"")</f>
        <v>1.554</v>
      </c>
      <c r="AC258" s="173">
        <f>IFERROR(VLOOKUP($B258,Totalt!$B$1:$AQ$554,MATCH(AC$2,Totalt!$B$1:$AQ$1,0),FALSE),"")</f>
        <v>163.19499999999999</v>
      </c>
      <c r="AD258" s="173">
        <f>IFERROR(VLOOKUP($B258,Totalt!$B$1:$AQ$554,MATCH(AD$2,Totalt!$B$1:$AQ$1,0),FALSE),"")</f>
        <v>0</v>
      </c>
      <c r="AE258" s="173">
        <f>IFERROR(VLOOKUP($B258,Totalt!$B$1:$AQ$554,MATCH(AE$2,Totalt!$B$1:$AQ$1,0),FALSE),"")</f>
        <v>0</v>
      </c>
      <c r="AF258" s="173">
        <f>IFERROR(VLOOKUP($B258,Totalt!$B$1:$AQ$554,MATCH(AF$2,Totalt!$B$1:$AQ$1,0),FALSE),"")</f>
        <v>36.723799999999997</v>
      </c>
      <c r="AG258" s="173">
        <f>IFERROR(VLOOKUP($B258,Totalt!$B$1:$AQ$554,MATCH(AG$2,Totalt!$B$1:$AQ$1,0),FALSE),"")</f>
        <v>89.191999999999993</v>
      </c>
      <c r="AI258" s="226">
        <f t="shared" si="18"/>
        <v>1052.4383065</v>
      </c>
      <c r="AJ258" s="226">
        <f>IF(ISERROR(1/VLOOKUP($B258,Leveranser!$B$1:$S$500,MATCH("såld värme (gwh)",Leveranser!$B$1:$S$1,0),FALSE)),"",VLOOKUP($B258,Leveranser!$B$1:$S$500,MATCH("såld värme (gwh)",Leveranser!$B$1:$S$1,0),FALSE))</f>
        <v>978.07899999999995</v>
      </c>
      <c r="AM258" s="227" t="str">
        <f>IF(B258&lt;&gt;"",IF(VLOOKUP($B258,Totalt!$B$1:$AQ$554,MATCH("Kvalitetsgranskad:",Totalt!$B$1:$AQ$1,0),FALSE)="ja",VLOOKUP($B258,Miljö!$B$1:$AG$479,MATCH(AM$2,Miljö!$B$1:$AK$1,0),FALSE),""),"")</f>
        <v>Ja</v>
      </c>
      <c r="AN258" s="227" t="str">
        <f>IF(AM258="ja",VLOOKUP($B258,Miljö!$B$1:$J$479,MATCH("Typ av ursprungsspecificerad el   (Om inget värde anges används Nordisk residualmix, se inforuta) ()",Miljö!$B$1:$J$1,0),FALSE),IF(AM258="nej","Nordisk residualel",""))</f>
        <v>'Biokraft'</v>
      </c>
      <c r="AO258" s="227">
        <f>IF(AM258="","",VLOOKUP($B258,Miljö!$B$1:$J$479,MATCH("Fossilandel för ursprungspecificerad el ()",Miljö!$B$1:$J$1,0),FALSE))</f>
        <v>0</v>
      </c>
      <c r="AP258" s="227">
        <f>IF(AM258="","",IFERROR(VLOOKUP($B258,Miljö!$B$1:$J$479,MATCH("Kärnkraftsandel för ursprungsspecificerad el ()",Miljö!$B$1:$J$1,0),FALSE)/1,0))</f>
        <v>0</v>
      </c>
      <c r="AQ258" s="227">
        <f t="shared" si="19"/>
        <v>1</v>
      </c>
      <c r="AR258" s="227"/>
      <c r="AS258" s="227" t="str">
        <f t="shared" si="20"/>
        <v>Ja</v>
      </c>
      <c r="AT258" s="227">
        <f>IF(AS258="ja",VLOOKUP($B258,Miljö!$B$1:$O$500,MATCH("Fossil andel i procent (%)",Miljö!$B$1:$O$1,0),FALSE)/100,"")</f>
        <v>0.121</v>
      </c>
      <c r="AU258" s="227"/>
      <c r="AV258" s="227" t="str">
        <f t="shared" si="21"/>
        <v>Ja</v>
      </c>
      <c r="AW258" s="227" t="str">
        <f>IF(AV258="ja",VLOOKUP($B258,'Egen hetvattenprod'!$B$1:$AO$500,MATCH("Värmekälla till värmepumpar ()",'Egen hetvattenprod'!$B$1:$AO$1,0),FALSE),"")</f>
        <v>Sjövatten</v>
      </c>
      <c r="AX258" s="227"/>
      <c r="AY258" s="227" t="str">
        <f t="shared" si="22"/>
        <v>Ja</v>
      </c>
      <c r="AZ258" s="228">
        <f>IF($AY258="ja",(VLOOKUP($B258,'Egen hetvattenprod'!$B$1:$BX$550,MATCH(AZ$2,'Egen hetvattenprod'!$B$1:$BX$1,0),FALSE)+VLOOKUP($B258,Kraftvärmeprod!$B$1:$BX$550,MATCH(AZ$2,Kraftvärmeprod!$B$1:$BX$1,0),FALSE))/$AC258,"")</f>
        <v>1</v>
      </c>
      <c r="BA258" s="228">
        <f>IF($AY258="ja",(VLOOKUP($B258,'Egen hetvattenprod'!$B$1:$BX$550,MATCH(BA$2,'Egen hetvattenprod'!$B$1:$BX$1,0),FALSE)+VLOOKUP($B258,Kraftvärmeprod!$B$1:$BX$550,MATCH(BA$2,Kraftvärmeprod!$B$1:$BX$1,0),FALSE))/$AC258,"")</f>
        <v>0</v>
      </c>
      <c r="BB258" s="228">
        <f>IF($AY258="ja",(VLOOKUP($B258,'Egen hetvattenprod'!$B$1:$BX$550,MATCH(BB$2,'Egen hetvattenprod'!$B$1:$BX$1,0),FALSE)+VLOOKUP($B258,Kraftvärmeprod!$B$1:$BX$550,MATCH(BB$2,Kraftvärmeprod!$B$1:$BX$1,0),FALSE))/$AC258,"")</f>
        <v>0</v>
      </c>
      <c r="BC258" s="228">
        <f>IF($AY258="ja",(VLOOKUP($B258,'Egen hetvattenprod'!$B$1:$BX$550,MATCH(BC$2,'Egen hetvattenprod'!$B$1:$BX$1,0),FALSE)+VLOOKUP($B258,Kraftvärmeprod!$B$1:$BX$550,MATCH(BC$2,Kraftvärmeprod!$B$1:$BX$1,0),FALSE))/$AC258,"")</f>
        <v>0</v>
      </c>
      <c r="BD258" s="228">
        <f>IF($AY258="ja",(VLOOKUP($B258,'Egen hetvattenprod'!$B$1:$BX$550,MATCH(BD$2,'Egen hetvattenprod'!$B$1:$BX$1,0),FALSE)+VLOOKUP($B258,Kraftvärmeprod!$B$1:$BX$550,MATCH(BD$2,Kraftvärmeprod!$B$1:$BX$1,0),FALSE))/$AC258,"")</f>
        <v>0</v>
      </c>
      <c r="BE258" s="227"/>
      <c r="BF258" s="227" t="str">
        <f t="shared" si="23"/>
        <v>Ja</v>
      </c>
      <c r="BG258" s="227" t="str">
        <f>IF($BF258="ja",VLOOKUP($B258,'Egen hetvattenprod'!$B$1:$BX$550,MATCH("Andelen klimatgaser med fossilt ursprung för avfall ()",'Egen hetvattenprod'!$B$1:$BX$1,0),FALSE),"")</f>
        <v>Schablon</v>
      </c>
      <c r="BH258" s="227" t="str">
        <f>IF($BF258="ja",VLOOKUP($B258,Kraftvärmeprod!$B$1:$BX$550,MATCH("Andelen klimatgaser med fossilt ursprung för avfall ()",Kraftvärmeprod!$B$1:$BX$1,0),FALSE),"")</f>
        <v>Schablon</v>
      </c>
      <c r="BI258" s="227">
        <f>IF($BF258="ja",VLOOKUP($B258,'Egen hetvattenprod'!$B$1:$BX$550,MATCH("Avfall (GWh)",'Egen hetvattenprod'!$B$1:$BX$1,0),FALSE),"")</f>
        <v>191.071</v>
      </c>
      <c r="BJ258" s="227">
        <f>IF($BF258="ja",VLOOKUP($B258,'Slutlig allokering kvv'!$B$1:$BX$550,MATCH("Avfall (GWh)",'Slutlig allokering kvv'!$B$1:$BX$1,0),FALSE),"")</f>
        <v>9.6829099999999994E-3</v>
      </c>
      <c r="BK258" s="227">
        <f>IF($BF258="ja",VLOOKUP($B258,'Köpt hetvatten'!$B$1:$BX$550,MATCH("Avfall i köpt hetvatten",'Köpt hetvatten'!$B$1:$BX$1,0),FALSE),"")</f>
        <v>0</v>
      </c>
      <c r="BL258" s="227">
        <f>IF($BF258="ja",VLOOKUP($B258,'Egen hetvattenprod'!$B$1:$BX$550,MATCH("Värde enligt ovan. (%)",'Egen hetvattenprod'!$B$1:$BX$1,0),FALSE),"")</f>
        <v>40.5</v>
      </c>
      <c r="BM258" s="227">
        <f>IF($BF258="ja",VLOOKUP($B258,Kraftvärmeprod!$B$1:$BX$550,MATCH("Värde enligt ovan. (%)",Kraftvärmeprod!$B$1:$BX$1,0),FALSE),"")</f>
        <v>40.5</v>
      </c>
      <c r="BN258" s="227"/>
      <c r="BO258" s="227"/>
      <c r="BP258" s="227"/>
      <c r="BQ258" s="227" t="str">
        <f>IF($BF258="ja",VLOOKUP($B258,'Egen hetvattenprod'!$B$1:$BX$550,MATCH("Tillförd olja (fossil) vid avfallsförbränning (GWh)",'Egen hetvattenprod'!$B$1:$BX$1,0),FALSE),"")</f>
        <v>ET</v>
      </c>
      <c r="BR258" s="227" t="str">
        <f>IF($BF258="ja",VLOOKUP($B258,Kraftvärmeprod!$B$1:$BX$550,MATCH("Tillförd olja (fossil) vid avfallsförbränning (GWh)",Kraftvärmeprod!$B$1:$BX$1,0),FALSE),"")</f>
        <v>ET</v>
      </c>
      <c r="BS258" s="227"/>
      <c r="BT258" s="227"/>
      <c r="BU258" s="227"/>
    </row>
    <row r="259" spans="1:73" x14ac:dyDescent="0.25">
      <c r="A259" s="121" t="str">
        <f>'Miljövärden för publ företag'!B262</f>
        <v>Tekniska Verken i Linköping AB</v>
      </c>
      <c r="B259" s="121" t="str">
        <f>'Miljövärden för publ företag'!C262</f>
        <v>Borensberg</v>
      </c>
      <c r="C259" s="173">
        <f>IFERROR(VLOOKUP($B259,Totalt!$B$1:$AQ$554,MATCH(C$2,Totalt!$B$1:$AQ$1,0),FALSE),"")</f>
        <v>0</v>
      </c>
      <c r="D259" s="173">
        <f>IFERROR(VLOOKUP($B259,Totalt!$B$1:$AQ$554,MATCH(D$2,Totalt!$B$1:$AQ$1,0),FALSE),"")</f>
        <v>0</v>
      </c>
      <c r="E259" s="173">
        <f>IFERROR(VLOOKUP($B259,Totalt!$B$1:$AQ$554,MATCH(E$2,Totalt!$B$1:$AQ$1,0),FALSE),"")</f>
        <v>0</v>
      </c>
      <c r="F259" s="173">
        <f>IFERROR(VLOOKUP($B259,Totalt!$B$1:$AQ$554,MATCH(F$2,Totalt!$B$1:$AQ$1,0),FALSE),"")</f>
        <v>0</v>
      </c>
      <c r="G259" s="173">
        <f>IFERROR(VLOOKUP($B259,Totalt!$B$1:$AQ$554,MATCH(G$2,Totalt!$B$1:$AQ$1,0),FALSE),"")</f>
        <v>0</v>
      </c>
      <c r="H259" s="173">
        <f>IFERROR(VLOOKUP($B259,Totalt!$B$1:$AQ$554,MATCH(H$2,Totalt!$B$1:$AQ$1,0),FALSE),"")</f>
        <v>0</v>
      </c>
      <c r="I259" s="173">
        <f>IFERROR(VLOOKUP($B259,Totalt!$B$1:$AQ$554,MATCH(I$2,Totalt!$B$1:$AQ$1,0),FALSE),"")</f>
        <v>0</v>
      </c>
      <c r="J259" s="173">
        <f>IFERROR(VLOOKUP($B259,Totalt!$B$1:$AQ$554,MATCH(J$2,Totalt!$B$1:$AQ$1,0),FALSE),"")</f>
        <v>0</v>
      </c>
      <c r="K259" s="173">
        <f>IFERROR(VLOOKUP($B259,Totalt!$B$1:$AQ$554,MATCH(K$2,Totalt!$B$1:$AQ$1,0),FALSE),"")</f>
        <v>0</v>
      </c>
      <c r="L259" s="173">
        <f>IFERROR(VLOOKUP($B259,Totalt!$B$1:$AQ$554,MATCH(L$2,Totalt!$B$1:$AQ$1,0),FALSE),"")</f>
        <v>0</v>
      </c>
      <c r="M259" s="173">
        <f>IFERROR(VLOOKUP($B259,Totalt!$B$1:$AQ$554,MATCH(M$2,Totalt!$B$1:$AQ$1,0),FALSE),"")</f>
        <v>0</v>
      </c>
      <c r="N259" s="173">
        <f>IFERROR(VLOOKUP($B259,Totalt!$B$1:$AQ$554,MATCH(N$2,Totalt!$B$1:$AQ$1,0),FALSE),"")</f>
        <v>16.2</v>
      </c>
      <c r="O259" s="173">
        <f>IFERROR(VLOOKUP($B259,Totalt!$B$1:$AQ$554,MATCH(O$2,Totalt!$B$1:$AQ$1,0),FALSE),"")</f>
        <v>0</v>
      </c>
      <c r="P259" s="173">
        <f>IFERROR(VLOOKUP($B259,Totalt!$B$1:$AQ$554,MATCH(P$2,Totalt!$B$1:$AQ$1,0),FALSE),"")</f>
        <v>7.0000000000000007E-2</v>
      </c>
      <c r="Q259" s="173">
        <f>IFERROR(VLOOKUP($B259,Totalt!$B$1:$AQ$554,MATCH(Q$2,Totalt!$B$1:$AQ$1,0),FALSE),"")</f>
        <v>0</v>
      </c>
      <c r="R259" s="173">
        <f>IFERROR(VLOOKUP($B259,Totalt!$B$1:$AQ$554,MATCH(R$2,Totalt!$B$1:$AQ$1,0),FALSE),"")</f>
        <v>0</v>
      </c>
      <c r="S259" s="173">
        <f>IFERROR(VLOOKUP($B259,Totalt!$B$1:$AQ$554,MATCH(S$2,Totalt!$B$1:$AQ$1,0),FALSE),"")</f>
        <v>0</v>
      </c>
      <c r="T259" s="173">
        <f>IFERROR(VLOOKUP($B259,Totalt!$B$1:$AQ$554,MATCH(T$2,Totalt!$B$1:$AQ$1,0),FALSE),"")</f>
        <v>0</v>
      </c>
      <c r="U259" s="173">
        <f>IFERROR(VLOOKUP($B259,Totalt!$B$1:$AQ$554,MATCH(U$2,Totalt!$B$1:$AQ$1,0),FALSE),"")</f>
        <v>0</v>
      </c>
      <c r="V259" s="173">
        <f>IFERROR(VLOOKUP($B259,Totalt!$B$1:$AQ$554,MATCH(V$2,Totalt!$B$1:$AQ$1,0),FALSE),"")</f>
        <v>0</v>
      </c>
      <c r="W259" s="173">
        <f>IFERROR(VLOOKUP($B259,Totalt!$B$1:$AQ$554,MATCH(W$2,Totalt!$B$1:$AQ$1,0),FALSE),"")</f>
        <v>1.4</v>
      </c>
      <c r="X259" s="173">
        <f>IFERROR(VLOOKUP($B259,Totalt!$B$1:$AQ$554,MATCH(X$2,Totalt!$B$1:$AQ$1,0),FALSE),"")</f>
        <v>0</v>
      </c>
      <c r="Y259" s="173">
        <f>IFERROR(VLOOKUP($B259,Totalt!$B$1:$AQ$554,MATCH(Y$2,Totalt!$B$1:$AQ$1,0),FALSE),"")</f>
        <v>0</v>
      </c>
      <c r="Z259" s="173">
        <f>IFERROR(VLOOKUP($B259,Totalt!$B$1:$AQ$554,MATCH(Z$2,Totalt!$B$1:$AQ$1,0),FALSE),"")</f>
        <v>0</v>
      </c>
      <c r="AA259" s="173">
        <f>IFERROR(VLOOKUP($B259,Totalt!$B$1:$AQ$554,MATCH(AA$2,Totalt!$B$1:$AQ$1,0),FALSE),"")</f>
        <v>0</v>
      </c>
      <c r="AB259" s="173">
        <f>IFERROR(VLOOKUP($B259,Totalt!$B$1:$AQ$554,MATCH(AB$2,Totalt!$B$1:$AQ$1,0),FALSE),"")</f>
        <v>0</v>
      </c>
      <c r="AC259" s="173">
        <f>IFERROR(VLOOKUP($B259,Totalt!$B$1:$AQ$554,MATCH(AC$2,Totalt!$B$1:$AQ$1,0),FALSE),"")</f>
        <v>0</v>
      </c>
      <c r="AD259" s="173">
        <f>IFERROR(VLOOKUP($B259,Totalt!$B$1:$AQ$554,MATCH(AD$2,Totalt!$B$1:$AQ$1,0),FALSE),"")</f>
        <v>0</v>
      </c>
      <c r="AE259" s="173">
        <f>IFERROR(VLOOKUP($B259,Totalt!$B$1:$AQ$554,MATCH(AE$2,Totalt!$B$1:$AQ$1,0),FALSE),"")</f>
        <v>0</v>
      </c>
      <c r="AF259" s="173">
        <f>IFERROR(VLOOKUP($B259,Totalt!$B$1:$AQ$554,MATCH(AF$2,Totalt!$B$1:$AQ$1,0),FALSE),"")</f>
        <v>0.42099999999999999</v>
      </c>
      <c r="AG259" s="173">
        <f>IFERROR(VLOOKUP($B259,Totalt!$B$1:$AQ$554,MATCH(AG$2,Totalt!$B$1:$AQ$1,0),FALSE),"")</f>
        <v>0</v>
      </c>
      <c r="AI259" s="226">
        <f t="shared" ref="AI259:AI322" si="24">IF(B259&lt;&gt;"",SUM(C259:AG259),"")</f>
        <v>18.090999999999998</v>
      </c>
      <c r="AJ259" s="226">
        <f>IF(ISERROR(1/VLOOKUP($B259,Leveranser!$B$1:$S$500,MATCH("såld värme (gwh)",Leveranser!$B$1:$S$1,0),FALSE)),"",VLOOKUP($B259,Leveranser!$B$1:$S$500,MATCH("såld värme (gwh)",Leveranser!$B$1:$S$1,0),FALSE))</f>
        <v>11.2</v>
      </c>
      <c r="AM259" s="227" t="str">
        <f>IF(B259&lt;&gt;"",IF(VLOOKUP($B259,Totalt!$B$1:$AQ$554,MATCH("Kvalitetsgranskad:",Totalt!$B$1:$AQ$1,0),FALSE)="ja",VLOOKUP($B259,Miljö!$B$1:$AG$479,MATCH(AM$2,Miljö!$B$1:$AK$1,0),FALSE),""),"")</f>
        <v>Ja</v>
      </c>
      <c r="AN259" s="227" t="str">
        <f>IF(AM259="ja",VLOOKUP($B259,Miljö!$B$1:$J$479,MATCH("Typ av ursprungsspecificerad el   (Om inget värde anges används Nordisk residualmix, se inforuta) ()",Miljö!$B$1:$J$1,0),FALSE),IF(AM259="nej","Nordisk residualel",""))</f>
        <v>'Vattenkraft'</v>
      </c>
      <c r="AO259" s="227">
        <f>IF(AM259="","",VLOOKUP($B259,Miljö!$B$1:$J$479,MATCH("Fossilandel för ursprungspecificerad el ()",Miljö!$B$1:$J$1,0),FALSE))</f>
        <v>0</v>
      </c>
      <c r="AP259" s="227">
        <f>IF(AM259="","",IFERROR(VLOOKUP($B259,Miljö!$B$1:$J$479,MATCH("Kärnkraftsandel för ursprungsspecificerad el ()",Miljö!$B$1:$J$1,0),FALSE)/1,0))</f>
        <v>0</v>
      </c>
      <c r="AQ259" s="227">
        <f t="shared" si="19"/>
        <v>1</v>
      </c>
      <c r="AR259" s="227"/>
      <c r="AS259" s="227" t="str">
        <f t="shared" si="20"/>
        <v>Nej</v>
      </c>
      <c r="AT259" s="227" t="str">
        <f>IF(AS259="ja",VLOOKUP($B259,Miljö!$B$1:$O$500,MATCH("Fossil andel i procent (%)",Miljö!$B$1:$O$1,0),FALSE)/100,"")</f>
        <v/>
      </c>
      <c r="AU259" s="227"/>
      <c r="AV259" s="227" t="str">
        <f t="shared" si="21"/>
        <v>Nej</v>
      </c>
      <c r="AW259" s="227" t="str">
        <f>IF(AV259="ja",VLOOKUP($B259,'Egen hetvattenprod'!$B$1:$AO$500,MATCH("Värmekälla till värmepumpar ()",'Egen hetvattenprod'!$B$1:$AO$1,0),FALSE),"")</f>
        <v/>
      </c>
      <c r="AX259" s="227"/>
      <c r="AY259" s="227" t="str">
        <f t="shared" si="22"/>
        <v>Nej</v>
      </c>
      <c r="AZ259" s="228" t="str">
        <f>IF($AY259="ja",(VLOOKUP($B259,'Egen hetvattenprod'!$B$1:$BX$550,MATCH(AZ$2,'Egen hetvattenprod'!$B$1:$BX$1,0),FALSE)+VLOOKUP($B259,Kraftvärmeprod!$B$1:$BX$550,MATCH(AZ$2,Kraftvärmeprod!$B$1:$BX$1,0),FALSE))/$AC259,"")</f>
        <v/>
      </c>
      <c r="BA259" s="228" t="str">
        <f>IF($AY259="ja",(VLOOKUP($B259,'Egen hetvattenprod'!$B$1:$BX$550,MATCH(BA$2,'Egen hetvattenprod'!$B$1:$BX$1,0),FALSE)+VLOOKUP($B259,Kraftvärmeprod!$B$1:$BX$550,MATCH(BA$2,Kraftvärmeprod!$B$1:$BX$1,0),FALSE))/$AC259,"")</f>
        <v/>
      </c>
      <c r="BB259" s="228" t="str">
        <f>IF($AY259="ja",(VLOOKUP($B259,'Egen hetvattenprod'!$B$1:$BX$550,MATCH(BB$2,'Egen hetvattenprod'!$B$1:$BX$1,0),FALSE)+VLOOKUP($B259,Kraftvärmeprod!$B$1:$BX$550,MATCH(BB$2,Kraftvärmeprod!$B$1:$BX$1,0),FALSE))/$AC259,"")</f>
        <v/>
      </c>
      <c r="BC259" s="228" t="str">
        <f>IF($AY259="ja",(VLOOKUP($B259,'Egen hetvattenprod'!$B$1:$BX$550,MATCH(BC$2,'Egen hetvattenprod'!$B$1:$BX$1,0),FALSE)+VLOOKUP($B259,Kraftvärmeprod!$B$1:$BX$550,MATCH(BC$2,Kraftvärmeprod!$B$1:$BX$1,0),FALSE))/$AC259,"")</f>
        <v/>
      </c>
      <c r="BD259" s="228" t="str">
        <f>IF($AY259="ja",(VLOOKUP($B259,'Egen hetvattenprod'!$B$1:$BX$550,MATCH(BD$2,'Egen hetvattenprod'!$B$1:$BX$1,0),FALSE)+VLOOKUP($B259,Kraftvärmeprod!$B$1:$BX$550,MATCH(BD$2,Kraftvärmeprod!$B$1:$BX$1,0),FALSE))/$AC259,"")</f>
        <v/>
      </c>
      <c r="BE259" s="227"/>
      <c r="BF259" s="227" t="str">
        <f t="shared" si="23"/>
        <v>Nej</v>
      </c>
      <c r="BG259" s="227" t="str">
        <f>IF($BF259="ja",VLOOKUP($B259,'Egen hetvattenprod'!$B$1:$BX$550,MATCH("Andelen klimatgaser med fossilt ursprung för avfall ()",'Egen hetvattenprod'!$B$1:$BX$1,0),FALSE),"")</f>
        <v/>
      </c>
      <c r="BH259" s="227" t="str">
        <f>IF($BF259="ja",VLOOKUP($B259,Kraftvärmeprod!$B$1:$BX$550,MATCH("Andelen klimatgaser med fossilt ursprung för avfall ()",Kraftvärmeprod!$B$1:$BX$1,0),FALSE),"")</f>
        <v/>
      </c>
      <c r="BI259" s="227" t="str">
        <f>IF($BF259="ja",VLOOKUP($B259,'Egen hetvattenprod'!$B$1:$BX$550,MATCH("Avfall (GWh)",'Egen hetvattenprod'!$B$1:$BX$1,0),FALSE),"")</f>
        <v/>
      </c>
      <c r="BJ259" s="227" t="str">
        <f>IF($BF259="ja",VLOOKUP($B259,'Slutlig allokering kvv'!$B$1:$BX$550,MATCH("Avfall (GWh)",'Slutlig allokering kvv'!$B$1:$BX$1,0),FALSE),"")</f>
        <v/>
      </c>
      <c r="BK259" s="227" t="str">
        <f>IF($BF259="ja",VLOOKUP($B259,'Köpt hetvatten'!$B$1:$BX$550,MATCH("Avfall i köpt hetvatten",'Köpt hetvatten'!$B$1:$BX$1,0),FALSE),"")</f>
        <v/>
      </c>
      <c r="BL259" s="227" t="str">
        <f>IF($BF259="ja",VLOOKUP($B259,'Egen hetvattenprod'!$B$1:$BX$550,MATCH("Värde enligt ovan. (%)",'Egen hetvattenprod'!$B$1:$BX$1,0),FALSE),"")</f>
        <v/>
      </c>
      <c r="BM259" s="227" t="str">
        <f>IF($BF259="ja",VLOOKUP($B259,Kraftvärmeprod!$B$1:$BX$550,MATCH("Värde enligt ovan. (%)",Kraftvärmeprod!$B$1:$BX$1,0),FALSE),"")</f>
        <v/>
      </c>
      <c r="BN259" s="227"/>
      <c r="BO259" s="227"/>
      <c r="BP259" s="227"/>
      <c r="BQ259" s="227" t="str">
        <f>IF($BF259="ja",VLOOKUP($B259,'Egen hetvattenprod'!$B$1:$BX$550,MATCH("Tillförd olja (fossil) vid avfallsförbränning (GWh)",'Egen hetvattenprod'!$B$1:$BX$1,0),FALSE),"")</f>
        <v/>
      </c>
      <c r="BR259" s="227" t="str">
        <f>IF($BF259="ja",VLOOKUP($B259,Kraftvärmeprod!$B$1:$BX$550,MATCH("Tillförd olja (fossil) vid avfallsförbränning (GWh)",Kraftvärmeprod!$B$1:$BX$1,0),FALSE),"")</f>
        <v/>
      </c>
      <c r="BS259" s="227"/>
      <c r="BT259" s="227"/>
      <c r="BU259" s="227"/>
    </row>
    <row r="260" spans="1:73" x14ac:dyDescent="0.25">
      <c r="A260" s="121" t="str">
        <f>'Miljövärden för publ företag'!B263</f>
        <v>Tekniska Verken i Linköping AB</v>
      </c>
      <c r="B260" s="121" t="str">
        <f>'Miljövärden för publ företag'!C263</f>
        <v>Katrineholm</v>
      </c>
      <c r="C260" s="173">
        <f>IFERROR(VLOOKUP($B260,Totalt!$B$1:$AQ$554,MATCH(C$2,Totalt!$B$1:$AQ$1,0),FALSE),"")</f>
        <v>0</v>
      </c>
      <c r="D260" s="173">
        <f>IFERROR(VLOOKUP($B260,Totalt!$B$1:$AQ$554,MATCH(D$2,Totalt!$B$1:$AQ$1,0),FALSE),"")</f>
        <v>0</v>
      </c>
      <c r="E260" s="173">
        <f>IFERROR(VLOOKUP($B260,Totalt!$B$1:$AQ$554,MATCH(E$2,Totalt!$B$1:$AQ$1,0),FALSE),"")</f>
        <v>0</v>
      </c>
      <c r="F260" s="173">
        <f>IFERROR(VLOOKUP($B260,Totalt!$B$1:$AQ$554,MATCH(F$2,Totalt!$B$1:$AQ$1,0),FALSE),"")</f>
        <v>0</v>
      </c>
      <c r="G260" s="173">
        <f>IFERROR(VLOOKUP($B260,Totalt!$B$1:$AQ$554,MATCH(G$2,Totalt!$B$1:$AQ$1,0),FALSE),"")</f>
        <v>0</v>
      </c>
      <c r="H260" s="173">
        <f>IFERROR(VLOOKUP($B260,Totalt!$B$1:$AQ$554,MATCH(H$2,Totalt!$B$1:$AQ$1,0),FALSE),"")</f>
        <v>0</v>
      </c>
      <c r="I260" s="173">
        <f>IFERROR(VLOOKUP($B260,Totalt!$B$1:$AQ$554,MATCH(I$2,Totalt!$B$1:$AQ$1,0),FALSE),"")</f>
        <v>0</v>
      </c>
      <c r="J260" s="173">
        <f>IFERROR(VLOOKUP($B260,Totalt!$B$1:$AQ$554,MATCH(J$2,Totalt!$B$1:$AQ$1,0),FALSE),"")</f>
        <v>0</v>
      </c>
      <c r="K260" s="173">
        <f>IFERROR(VLOOKUP($B260,Totalt!$B$1:$AQ$554,MATCH(K$2,Totalt!$B$1:$AQ$1,0),FALSE),"")</f>
        <v>0</v>
      </c>
      <c r="L260" s="173">
        <f>IFERROR(VLOOKUP($B260,Totalt!$B$1:$AQ$554,MATCH(L$2,Totalt!$B$1:$AQ$1,0),FALSE),"")</f>
        <v>136.29599999999999</v>
      </c>
      <c r="M260" s="173">
        <f>IFERROR(VLOOKUP($B260,Totalt!$B$1:$AQ$554,MATCH(M$2,Totalt!$B$1:$AQ$1,0),FALSE),"")</f>
        <v>0</v>
      </c>
      <c r="N260" s="173">
        <f>IFERROR(VLOOKUP($B260,Totalt!$B$1:$AQ$554,MATCH(N$2,Totalt!$B$1:$AQ$1,0),FALSE),"")</f>
        <v>37.381300000000003</v>
      </c>
      <c r="O260" s="173">
        <f>IFERROR(VLOOKUP($B260,Totalt!$B$1:$AQ$554,MATCH(O$2,Totalt!$B$1:$AQ$1,0),FALSE),"")</f>
        <v>0</v>
      </c>
      <c r="P260" s="173">
        <f>IFERROR(VLOOKUP($B260,Totalt!$B$1:$AQ$554,MATCH(P$2,Totalt!$B$1:$AQ$1,0),FALSE),"")</f>
        <v>6.06668E-2</v>
      </c>
      <c r="Q260" s="173">
        <f>IFERROR(VLOOKUP($B260,Totalt!$B$1:$AQ$554,MATCH(Q$2,Totalt!$B$1:$AQ$1,0),FALSE),"")</f>
        <v>0</v>
      </c>
      <c r="R260" s="173">
        <f>IFERROR(VLOOKUP($B260,Totalt!$B$1:$AQ$554,MATCH(R$2,Totalt!$B$1:$AQ$1,0),FALSE),"")</f>
        <v>8.8000000000000007</v>
      </c>
      <c r="S260" s="173">
        <f>IFERROR(VLOOKUP($B260,Totalt!$B$1:$AQ$554,MATCH(S$2,Totalt!$B$1:$AQ$1,0),FALSE),"")</f>
        <v>0</v>
      </c>
      <c r="T260" s="173">
        <f>IFERROR(VLOOKUP($B260,Totalt!$B$1:$AQ$554,MATCH(T$2,Totalt!$B$1:$AQ$1,0),FALSE),"")</f>
        <v>0</v>
      </c>
      <c r="U260" s="173">
        <f>IFERROR(VLOOKUP($B260,Totalt!$B$1:$AQ$554,MATCH(U$2,Totalt!$B$1:$AQ$1,0),FALSE),"")</f>
        <v>0</v>
      </c>
      <c r="V260" s="173">
        <f>IFERROR(VLOOKUP($B260,Totalt!$B$1:$AQ$554,MATCH(V$2,Totalt!$B$1:$AQ$1,0),FALSE),"")</f>
        <v>0</v>
      </c>
      <c r="W260" s="173">
        <f>IFERROR(VLOOKUP($B260,Totalt!$B$1:$AQ$554,MATCH(W$2,Totalt!$B$1:$AQ$1,0),FALSE),"")</f>
        <v>2.2665199999999999</v>
      </c>
      <c r="X260" s="173">
        <f>IFERROR(VLOOKUP($B260,Totalt!$B$1:$AQ$554,MATCH(X$2,Totalt!$B$1:$AQ$1,0),FALSE),"")</f>
        <v>0</v>
      </c>
      <c r="Y260" s="173">
        <f>IFERROR(VLOOKUP($B260,Totalt!$B$1:$AQ$554,MATCH(Y$2,Totalt!$B$1:$AQ$1,0),FALSE),"")</f>
        <v>0</v>
      </c>
      <c r="Z260" s="173">
        <f>IFERROR(VLOOKUP($B260,Totalt!$B$1:$AQ$554,MATCH(Z$2,Totalt!$B$1:$AQ$1,0),FALSE),"")</f>
        <v>0</v>
      </c>
      <c r="AA260" s="173">
        <f>IFERROR(VLOOKUP($B260,Totalt!$B$1:$AQ$554,MATCH(AA$2,Totalt!$B$1:$AQ$1,0),FALSE),"")</f>
        <v>0</v>
      </c>
      <c r="AB260" s="173">
        <f>IFERROR(VLOOKUP($B260,Totalt!$B$1:$AQ$554,MATCH(AB$2,Totalt!$B$1:$AQ$1,0),FALSE),"")</f>
        <v>0</v>
      </c>
      <c r="AC260" s="173">
        <f>IFERROR(VLOOKUP($B260,Totalt!$B$1:$AQ$554,MATCH(AC$2,Totalt!$B$1:$AQ$1,0),FALSE),"")</f>
        <v>12.1</v>
      </c>
      <c r="AD260" s="173">
        <f>IFERROR(VLOOKUP($B260,Totalt!$B$1:$AQ$554,MATCH(AD$2,Totalt!$B$1:$AQ$1,0),FALSE),"")</f>
        <v>0</v>
      </c>
      <c r="AE260" s="173">
        <f>IFERROR(VLOOKUP($B260,Totalt!$B$1:$AQ$554,MATCH(AE$2,Totalt!$B$1:$AQ$1,0),FALSE),"")</f>
        <v>0</v>
      </c>
      <c r="AF260" s="173">
        <f>IFERROR(VLOOKUP($B260,Totalt!$B$1:$AQ$554,MATCH(AF$2,Totalt!$B$1:$AQ$1,0),FALSE),"")</f>
        <v>5.3337000000000003</v>
      </c>
      <c r="AG260" s="173">
        <f>IFERROR(VLOOKUP($B260,Totalt!$B$1:$AQ$554,MATCH(AG$2,Totalt!$B$1:$AQ$1,0),FALSE),"")</f>
        <v>0</v>
      </c>
      <c r="AI260" s="226">
        <f t="shared" si="24"/>
        <v>202.23818679999999</v>
      </c>
      <c r="AJ260" s="226">
        <f>IF(ISERROR(1/VLOOKUP($B260,Leveranser!$B$1:$S$500,MATCH("såld värme (gwh)",Leveranser!$B$1:$S$1,0),FALSE)),"",VLOOKUP($B260,Leveranser!$B$1:$S$500,MATCH("såld värme (gwh)",Leveranser!$B$1:$S$1,0),FALSE))</f>
        <v>170.4</v>
      </c>
      <c r="AM260" s="227" t="str">
        <f>IF(B260&lt;&gt;"",IF(VLOOKUP($B260,Totalt!$B$1:$AQ$554,MATCH("Kvalitetsgranskad:",Totalt!$B$1:$AQ$1,0),FALSE)="ja",VLOOKUP($B260,Miljö!$B$1:$AG$479,MATCH(AM$2,Miljö!$B$1:$AK$1,0),FALSE),""),"")</f>
        <v>Ja</v>
      </c>
      <c r="AN260" s="227" t="str">
        <f>IF(AM260="ja",VLOOKUP($B260,Miljö!$B$1:$J$479,MATCH("Typ av ursprungsspecificerad el   (Om inget värde anges används Nordisk residualmix, se inforuta) ()",Miljö!$B$1:$J$1,0),FALSE),IF(AM260="nej","Nordisk residualel",""))</f>
        <v>'Bioenergi'</v>
      </c>
      <c r="AO260" s="227">
        <f>IF(AM260="","",VLOOKUP($B260,Miljö!$B$1:$J$479,MATCH("Fossilandel för ursprungspecificerad el ()",Miljö!$B$1:$J$1,0),FALSE))</f>
        <v>0</v>
      </c>
      <c r="AP260" s="227">
        <f>IF(AM260="","",IFERROR(VLOOKUP($B260,Miljö!$B$1:$J$479,MATCH("Kärnkraftsandel för ursprungsspecificerad el ()",Miljö!$B$1:$J$1,0),FALSE)/1,0))</f>
        <v>0</v>
      </c>
      <c r="AQ260" s="227">
        <f t="shared" ref="AQ260:AQ323" si="25">IF(AM260="","",1-AO260-AP260)</f>
        <v>1</v>
      </c>
      <c r="AR260" s="227"/>
      <c r="AS260" s="227" t="str">
        <f t="shared" ref="AS260:AS323" si="26">IF(B260&lt;&gt;"",IF(AND(AG260&gt;0,AG260&lt;&gt;""),"Ja","Nej"),"")</f>
        <v>Nej</v>
      </c>
      <c r="AT260" s="227" t="str">
        <f>IF(AS260="ja",VLOOKUP($B260,Miljö!$B$1:$O$500,MATCH("Fossil andel i procent (%)",Miljö!$B$1:$O$1,0),FALSE)/100,"")</f>
        <v/>
      </c>
      <c r="AU260" s="227"/>
      <c r="AV260" s="227" t="str">
        <f t="shared" ref="AV260:AV323" si="27">IF(B260&lt;&gt;"",IF(AND(AB260&gt;0,AB260&lt;&gt;""),"Ja","Nej"),"")</f>
        <v>Nej</v>
      </c>
      <c r="AW260" s="227" t="str">
        <f>IF(AV260="ja",VLOOKUP($B260,'Egen hetvattenprod'!$B$1:$AO$500,MATCH("Värmekälla till värmepumpar ()",'Egen hetvattenprod'!$B$1:$AO$1,0),FALSE),"")</f>
        <v/>
      </c>
      <c r="AX260" s="227"/>
      <c r="AY260" s="227" t="str">
        <f t="shared" ref="AY260:AY323" si="28">IF(B260&lt;&gt;"",IF(AND(AC260&gt;0,AC260&lt;&gt;""),"Ja","Nej"),"")</f>
        <v>Ja</v>
      </c>
      <c r="AZ260" s="228">
        <f>IF($AY260="ja",(VLOOKUP($B260,'Egen hetvattenprod'!$B$1:$BX$550,MATCH(AZ$2,'Egen hetvattenprod'!$B$1:$BX$1,0),FALSE)+VLOOKUP($B260,Kraftvärmeprod!$B$1:$BX$550,MATCH(AZ$2,Kraftvärmeprod!$B$1:$BX$1,0),FALSE))/$AC260,"")</f>
        <v>1</v>
      </c>
      <c r="BA260" s="228">
        <f>IF($AY260="ja",(VLOOKUP($B260,'Egen hetvattenprod'!$B$1:$BX$550,MATCH(BA$2,'Egen hetvattenprod'!$B$1:$BX$1,0),FALSE)+VLOOKUP($B260,Kraftvärmeprod!$B$1:$BX$550,MATCH(BA$2,Kraftvärmeprod!$B$1:$BX$1,0),FALSE))/$AC260,"")</f>
        <v>0</v>
      </c>
      <c r="BB260" s="228">
        <f>IF($AY260="ja",(VLOOKUP($B260,'Egen hetvattenprod'!$B$1:$BX$550,MATCH(BB$2,'Egen hetvattenprod'!$B$1:$BX$1,0),FALSE)+VLOOKUP($B260,Kraftvärmeprod!$B$1:$BX$550,MATCH(BB$2,Kraftvärmeprod!$B$1:$BX$1,0),FALSE))/$AC260,"")</f>
        <v>0</v>
      </c>
      <c r="BC260" s="228">
        <f>IF($AY260="ja",(VLOOKUP($B260,'Egen hetvattenprod'!$B$1:$BX$550,MATCH(BC$2,'Egen hetvattenprod'!$B$1:$BX$1,0),FALSE)+VLOOKUP($B260,Kraftvärmeprod!$B$1:$BX$550,MATCH(BC$2,Kraftvärmeprod!$B$1:$BX$1,0),FALSE))/$AC260,"")</f>
        <v>0</v>
      </c>
      <c r="BD260" s="228">
        <f>IF($AY260="ja",(VLOOKUP($B260,'Egen hetvattenprod'!$B$1:$BX$550,MATCH(BD$2,'Egen hetvattenprod'!$B$1:$BX$1,0),FALSE)+VLOOKUP($B260,Kraftvärmeprod!$B$1:$BX$550,MATCH(BD$2,Kraftvärmeprod!$B$1:$BX$1,0),FALSE))/$AC260,"")</f>
        <v>0</v>
      </c>
      <c r="BE260" s="227"/>
      <c r="BF260" s="227" t="str">
        <f t="shared" ref="BF260:BF323" si="29">IF(B260&lt;&gt;"",IF(AND(I260&gt;0,I260&lt;&gt;""),"Ja","Nej"),"")</f>
        <v>Nej</v>
      </c>
      <c r="BG260" s="227" t="str">
        <f>IF($BF260="ja",VLOOKUP($B260,'Egen hetvattenprod'!$B$1:$BX$550,MATCH("Andelen klimatgaser med fossilt ursprung för avfall ()",'Egen hetvattenprod'!$B$1:$BX$1,0),FALSE),"")</f>
        <v/>
      </c>
      <c r="BH260" s="227" t="str">
        <f>IF($BF260="ja",VLOOKUP($B260,Kraftvärmeprod!$B$1:$BX$550,MATCH("Andelen klimatgaser med fossilt ursprung för avfall ()",Kraftvärmeprod!$B$1:$BX$1,0),FALSE),"")</f>
        <v/>
      </c>
      <c r="BI260" s="227" t="str">
        <f>IF($BF260="ja",VLOOKUP($B260,'Egen hetvattenprod'!$B$1:$BX$550,MATCH("Avfall (GWh)",'Egen hetvattenprod'!$B$1:$BX$1,0),FALSE),"")</f>
        <v/>
      </c>
      <c r="BJ260" s="227" t="str">
        <f>IF($BF260="ja",VLOOKUP($B260,'Slutlig allokering kvv'!$B$1:$BX$550,MATCH("Avfall (GWh)",'Slutlig allokering kvv'!$B$1:$BX$1,0),FALSE),"")</f>
        <v/>
      </c>
      <c r="BK260" s="227" t="str">
        <f>IF($BF260="ja",VLOOKUP($B260,'Köpt hetvatten'!$B$1:$BX$550,MATCH("Avfall i köpt hetvatten",'Köpt hetvatten'!$B$1:$BX$1,0),FALSE),"")</f>
        <v/>
      </c>
      <c r="BL260" s="227" t="str">
        <f>IF($BF260="ja",VLOOKUP($B260,'Egen hetvattenprod'!$B$1:$BX$550,MATCH("Värde enligt ovan. (%)",'Egen hetvattenprod'!$B$1:$BX$1,0),FALSE),"")</f>
        <v/>
      </c>
      <c r="BM260" s="227" t="str">
        <f>IF($BF260="ja",VLOOKUP($B260,Kraftvärmeprod!$B$1:$BX$550,MATCH("Värde enligt ovan. (%)",Kraftvärmeprod!$B$1:$BX$1,0),FALSE),"")</f>
        <v/>
      </c>
      <c r="BN260" s="227"/>
      <c r="BO260" s="227"/>
      <c r="BP260" s="227"/>
      <c r="BQ260" s="227" t="str">
        <f>IF($BF260="ja",VLOOKUP($B260,'Egen hetvattenprod'!$B$1:$BX$550,MATCH("Tillförd olja (fossil) vid avfallsförbränning (GWh)",'Egen hetvattenprod'!$B$1:$BX$1,0),FALSE),"")</f>
        <v/>
      </c>
      <c r="BR260" s="227" t="str">
        <f>IF($BF260="ja",VLOOKUP($B260,Kraftvärmeprod!$B$1:$BX$550,MATCH("Tillförd olja (fossil) vid avfallsförbränning (GWh)",Kraftvärmeprod!$B$1:$BX$1,0),FALSE),"")</f>
        <v/>
      </c>
      <c r="BS260" s="227"/>
      <c r="BT260" s="227"/>
      <c r="BU260" s="227"/>
    </row>
    <row r="261" spans="1:73" x14ac:dyDescent="0.25">
      <c r="A261" s="121" t="str">
        <f>'Miljövärden för publ företag'!B264</f>
        <v>Tekniska Verken i Linköping AB</v>
      </c>
      <c r="B261" s="121" t="str">
        <f>'Miljövärden för publ företag'!C264</f>
        <v>Kisa</v>
      </c>
      <c r="C261" s="173">
        <f>IFERROR(VLOOKUP($B261,Totalt!$B$1:$AQ$554,MATCH(C$2,Totalt!$B$1:$AQ$1,0),FALSE),"")</f>
        <v>0</v>
      </c>
      <c r="D261" s="173">
        <f>IFERROR(VLOOKUP($B261,Totalt!$B$1:$AQ$554,MATCH(D$2,Totalt!$B$1:$AQ$1,0),FALSE),"")</f>
        <v>0.93</v>
      </c>
      <c r="E261" s="173">
        <f>IFERROR(VLOOKUP($B261,Totalt!$B$1:$AQ$554,MATCH(E$2,Totalt!$B$1:$AQ$1,0),FALSE),"")</f>
        <v>0</v>
      </c>
      <c r="F261" s="173">
        <f>IFERROR(VLOOKUP($B261,Totalt!$B$1:$AQ$554,MATCH(F$2,Totalt!$B$1:$AQ$1,0),FALSE),"")</f>
        <v>0</v>
      </c>
      <c r="G261" s="173">
        <f>IFERROR(VLOOKUP($B261,Totalt!$B$1:$AQ$554,MATCH(G$2,Totalt!$B$1:$AQ$1,0),FALSE),"")</f>
        <v>0</v>
      </c>
      <c r="H261" s="173">
        <f>IFERROR(VLOOKUP($B261,Totalt!$B$1:$AQ$554,MATCH(H$2,Totalt!$B$1:$AQ$1,0),FALSE),"")</f>
        <v>0</v>
      </c>
      <c r="I261" s="173">
        <f>IFERROR(VLOOKUP($B261,Totalt!$B$1:$AQ$554,MATCH(I$2,Totalt!$B$1:$AQ$1,0),FALSE),"")</f>
        <v>0</v>
      </c>
      <c r="J261" s="173">
        <f>IFERROR(VLOOKUP($B261,Totalt!$B$1:$AQ$554,MATCH(J$2,Totalt!$B$1:$AQ$1,0),FALSE),"")</f>
        <v>0</v>
      </c>
      <c r="K261" s="173">
        <f>IFERROR(VLOOKUP($B261,Totalt!$B$1:$AQ$554,MATCH(K$2,Totalt!$B$1:$AQ$1,0),FALSE),"")</f>
        <v>0</v>
      </c>
      <c r="L261" s="173">
        <f>IFERROR(VLOOKUP($B261,Totalt!$B$1:$AQ$554,MATCH(L$2,Totalt!$B$1:$AQ$1,0),FALSE),"")</f>
        <v>0</v>
      </c>
      <c r="M261" s="173">
        <f>IFERROR(VLOOKUP($B261,Totalt!$B$1:$AQ$554,MATCH(M$2,Totalt!$B$1:$AQ$1,0),FALSE),"")</f>
        <v>0</v>
      </c>
      <c r="N261" s="173">
        <f>IFERROR(VLOOKUP($B261,Totalt!$B$1:$AQ$554,MATCH(N$2,Totalt!$B$1:$AQ$1,0),FALSE),"")</f>
        <v>0</v>
      </c>
      <c r="O261" s="173">
        <f>IFERROR(VLOOKUP($B261,Totalt!$B$1:$AQ$554,MATCH(O$2,Totalt!$B$1:$AQ$1,0),FALSE),"")</f>
        <v>0</v>
      </c>
      <c r="P261" s="173">
        <f>IFERROR(VLOOKUP($B261,Totalt!$B$1:$AQ$554,MATCH(P$2,Totalt!$B$1:$AQ$1,0),FALSE),"")</f>
        <v>0</v>
      </c>
      <c r="Q261" s="173">
        <f>IFERROR(VLOOKUP($B261,Totalt!$B$1:$AQ$554,MATCH(Q$2,Totalt!$B$1:$AQ$1,0),FALSE),"")</f>
        <v>24.823499999999999</v>
      </c>
      <c r="R261" s="173">
        <f>IFERROR(VLOOKUP($B261,Totalt!$B$1:$AQ$554,MATCH(R$2,Totalt!$B$1:$AQ$1,0),FALSE),"")</f>
        <v>0</v>
      </c>
      <c r="S261" s="173">
        <f>IFERROR(VLOOKUP($B261,Totalt!$B$1:$AQ$554,MATCH(S$2,Totalt!$B$1:$AQ$1,0),FALSE),"")</f>
        <v>0</v>
      </c>
      <c r="T261" s="173">
        <f>IFERROR(VLOOKUP($B261,Totalt!$B$1:$AQ$554,MATCH(T$2,Totalt!$B$1:$AQ$1,0),FALSE),"")</f>
        <v>0</v>
      </c>
      <c r="U261" s="173">
        <f>IFERROR(VLOOKUP($B261,Totalt!$B$1:$AQ$554,MATCH(U$2,Totalt!$B$1:$AQ$1,0),FALSE),"")</f>
        <v>0</v>
      </c>
      <c r="V261" s="173">
        <f>IFERROR(VLOOKUP($B261,Totalt!$B$1:$AQ$554,MATCH(V$2,Totalt!$B$1:$AQ$1,0),FALSE),"")</f>
        <v>0</v>
      </c>
      <c r="W261" s="173">
        <f>IFERROR(VLOOKUP($B261,Totalt!$B$1:$AQ$554,MATCH(W$2,Totalt!$B$1:$AQ$1,0),FALSE),"")</f>
        <v>0</v>
      </c>
      <c r="X261" s="173">
        <f>IFERROR(VLOOKUP($B261,Totalt!$B$1:$AQ$554,MATCH(X$2,Totalt!$B$1:$AQ$1,0),FALSE),"")</f>
        <v>0</v>
      </c>
      <c r="Y261" s="173">
        <f>IFERROR(VLOOKUP($B261,Totalt!$B$1:$AQ$554,MATCH(Y$2,Totalt!$B$1:$AQ$1,0),FALSE),"")</f>
        <v>0</v>
      </c>
      <c r="Z261" s="173">
        <f>IFERROR(VLOOKUP($B261,Totalt!$B$1:$AQ$554,MATCH(Z$2,Totalt!$B$1:$AQ$1,0),FALSE),"")</f>
        <v>0</v>
      </c>
      <c r="AA261" s="173">
        <f>IFERROR(VLOOKUP($B261,Totalt!$B$1:$AQ$554,MATCH(AA$2,Totalt!$B$1:$AQ$1,0),FALSE),"")</f>
        <v>0</v>
      </c>
      <c r="AB261" s="173">
        <f>IFERROR(VLOOKUP($B261,Totalt!$B$1:$AQ$554,MATCH(AB$2,Totalt!$B$1:$AQ$1,0),FALSE),"")</f>
        <v>0</v>
      </c>
      <c r="AC261" s="173">
        <f>IFERROR(VLOOKUP($B261,Totalt!$B$1:$AQ$554,MATCH(AC$2,Totalt!$B$1:$AQ$1,0),FALSE),"")</f>
        <v>0</v>
      </c>
      <c r="AD261" s="173">
        <f>IFERROR(VLOOKUP($B261,Totalt!$B$1:$AQ$554,MATCH(AD$2,Totalt!$B$1:$AQ$1,0),FALSE),"")</f>
        <v>0</v>
      </c>
      <c r="AE261" s="173">
        <f>IFERROR(VLOOKUP($B261,Totalt!$B$1:$AQ$554,MATCH(AE$2,Totalt!$B$1:$AQ$1,0),FALSE),"")</f>
        <v>0</v>
      </c>
      <c r="AF261" s="173">
        <f>IFERROR(VLOOKUP($B261,Totalt!$B$1:$AQ$554,MATCH(AF$2,Totalt!$B$1:$AQ$1,0),FALSE),"")</f>
        <v>3.0000000000000001E-3</v>
      </c>
      <c r="AG261" s="173">
        <f>IFERROR(VLOOKUP($B261,Totalt!$B$1:$AQ$554,MATCH(AG$2,Totalt!$B$1:$AQ$1,0),FALSE),"")</f>
        <v>0</v>
      </c>
      <c r="AI261" s="226">
        <f t="shared" si="24"/>
        <v>25.756499999999999</v>
      </c>
      <c r="AJ261" s="226">
        <f>IF(ISERROR(1/VLOOKUP($B261,Leveranser!$B$1:$S$500,MATCH("såld värme (gwh)",Leveranser!$B$1:$S$1,0),FALSE)),"",VLOOKUP($B261,Leveranser!$B$1:$S$500,MATCH("såld värme (gwh)",Leveranser!$B$1:$S$1,0),FALSE))</f>
        <v>18.7</v>
      </c>
      <c r="AM261" s="227" t="str">
        <f>IF(B261&lt;&gt;"",IF(VLOOKUP($B261,Totalt!$B$1:$AQ$554,MATCH("Kvalitetsgranskad:",Totalt!$B$1:$AQ$1,0),FALSE)="ja",VLOOKUP($B261,Miljö!$B$1:$AG$479,MATCH(AM$2,Miljö!$B$1:$AK$1,0),FALSE),""),"")</f>
        <v>Ja</v>
      </c>
      <c r="AN261" s="227" t="str">
        <f>IF(AM261="ja",VLOOKUP($B261,Miljö!$B$1:$J$479,MATCH("Typ av ursprungsspecificerad el   (Om inget värde anges används Nordisk residualmix, se inforuta) ()",Miljö!$B$1:$J$1,0),FALSE),IF(AM261="nej","Nordisk residualel",""))</f>
        <v>'Vattenkraft'</v>
      </c>
      <c r="AO261" s="227">
        <f>IF(AM261="","",VLOOKUP($B261,Miljö!$B$1:$J$479,MATCH("Fossilandel för ursprungspecificerad el ()",Miljö!$B$1:$J$1,0),FALSE))</f>
        <v>0</v>
      </c>
      <c r="AP261" s="227">
        <f>IF(AM261="","",IFERROR(VLOOKUP($B261,Miljö!$B$1:$J$479,MATCH("Kärnkraftsandel för ursprungsspecificerad el ()",Miljö!$B$1:$J$1,0),FALSE)/1,0))</f>
        <v>0</v>
      </c>
      <c r="AQ261" s="227">
        <f t="shared" si="25"/>
        <v>1</v>
      </c>
      <c r="AR261" s="227"/>
      <c r="AS261" s="227" t="str">
        <f t="shared" si="26"/>
        <v>Nej</v>
      </c>
      <c r="AT261" s="227" t="str">
        <f>IF(AS261="ja",VLOOKUP($B261,Miljö!$B$1:$O$500,MATCH("Fossil andel i procent (%)",Miljö!$B$1:$O$1,0),FALSE)/100,"")</f>
        <v/>
      </c>
      <c r="AU261" s="227"/>
      <c r="AV261" s="227" t="str">
        <f t="shared" si="27"/>
        <v>Nej</v>
      </c>
      <c r="AW261" s="227" t="str">
        <f>IF(AV261="ja",VLOOKUP($B261,'Egen hetvattenprod'!$B$1:$AO$500,MATCH("Värmekälla till värmepumpar ()",'Egen hetvattenprod'!$B$1:$AO$1,0),FALSE),"")</f>
        <v/>
      </c>
      <c r="AX261" s="227"/>
      <c r="AY261" s="227" t="str">
        <f t="shared" si="28"/>
        <v>Nej</v>
      </c>
      <c r="AZ261" s="228" t="str">
        <f>IF($AY261="ja",(VLOOKUP($B261,'Egen hetvattenprod'!$B$1:$BX$550,MATCH(AZ$2,'Egen hetvattenprod'!$B$1:$BX$1,0),FALSE)+VLOOKUP($B261,Kraftvärmeprod!$B$1:$BX$550,MATCH(AZ$2,Kraftvärmeprod!$B$1:$BX$1,0),FALSE))/$AC261,"")</f>
        <v/>
      </c>
      <c r="BA261" s="228" t="str">
        <f>IF($AY261="ja",(VLOOKUP($B261,'Egen hetvattenprod'!$B$1:$BX$550,MATCH(BA$2,'Egen hetvattenprod'!$B$1:$BX$1,0),FALSE)+VLOOKUP($B261,Kraftvärmeprod!$B$1:$BX$550,MATCH(BA$2,Kraftvärmeprod!$B$1:$BX$1,0),FALSE))/$AC261,"")</f>
        <v/>
      </c>
      <c r="BB261" s="228" t="str">
        <f>IF($AY261="ja",(VLOOKUP($B261,'Egen hetvattenprod'!$B$1:$BX$550,MATCH(BB$2,'Egen hetvattenprod'!$B$1:$BX$1,0),FALSE)+VLOOKUP($B261,Kraftvärmeprod!$B$1:$BX$550,MATCH(BB$2,Kraftvärmeprod!$B$1:$BX$1,0),FALSE))/$AC261,"")</f>
        <v/>
      </c>
      <c r="BC261" s="228" t="str">
        <f>IF($AY261="ja",(VLOOKUP($B261,'Egen hetvattenprod'!$B$1:$BX$550,MATCH(BC$2,'Egen hetvattenprod'!$B$1:$BX$1,0),FALSE)+VLOOKUP($B261,Kraftvärmeprod!$B$1:$BX$550,MATCH(BC$2,Kraftvärmeprod!$B$1:$BX$1,0),FALSE))/$AC261,"")</f>
        <v/>
      </c>
      <c r="BD261" s="228" t="str">
        <f>IF($AY261="ja",(VLOOKUP($B261,'Egen hetvattenprod'!$B$1:$BX$550,MATCH(BD$2,'Egen hetvattenprod'!$B$1:$BX$1,0),FALSE)+VLOOKUP($B261,Kraftvärmeprod!$B$1:$BX$550,MATCH(BD$2,Kraftvärmeprod!$B$1:$BX$1,0),FALSE))/$AC261,"")</f>
        <v/>
      </c>
      <c r="BE261" s="227"/>
      <c r="BF261" s="227" t="str">
        <f t="shared" si="29"/>
        <v>Nej</v>
      </c>
      <c r="BG261" s="227" t="str">
        <f>IF($BF261="ja",VLOOKUP($B261,'Egen hetvattenprod'!$B$1:$BX$550,MATCH("Andelen klimatgaser med fossilt ursprung för avfall ()",'Egen hetvattenprod'!$B$1:$BX$1,0),FALSE),"")</f>
        <v/>
      </c>
      <c r="BH261" s="227" t="str">
        <f>IF($BF261="ja",VLOOKUP($B261,Kraftvärmeprod!$B$1:$BX$550,MATCH("Andelen klimatgaser med fossilt ursprung för avfall ()",Kraftvärmeprod!$B$1:$BX$1,0),FALSE),"")</f>
        <v/>
      </c>
      <c r="BI261" s="227" t="str">
        <f>IF($BF261="ja",VLOOKUP($B261,'Egen hetvattenprod'!$B$1:$BX$550,MATCH("Avfall (GWh)",'Egen hetvattenprod'!$B$1:$BX$1,0),FALSE),"")</f>
        <v/>
      </c>
      <c r="BJ261" s="227" t="str">
        <f>IF($BF261="ja",VLOOKUP($B261,'Slutlig allokering kvv'!$B$1:$BX$550,MATCH("Avfall (GWh)",'Slutlig allokering kvv'!$B$1:$BX$1,0),FALSE),"")</f>
        <v/>
      </c>
      <c r="BK261" s="227" t="str">
        <f>IF($BF261="ja",VLOOKUP($B261,'Köpt hetvatten'!$B$1:$BX$550,MATCH("Avfall i köpt hetvatten",'Köpt hetvatten'!$B$1:$BX$1,0),FALSE),"")</f>
        <v/>
      </c>
      <c r="BL261" s="227" t="str">
        <f>IF($BF261="ja",VLOOKUP($B261,'Egen hetvattenprod'!$B$1:$BX$550,MATCH("Värde enligt ovan. (%)",'Egen hetvattenprod'!$B$1:$BX$1,0),FALSE),"")</f>
        <v/>
      </c>
      <c r="BM261" s="227" t="str">
        <f>IF($BF261="ja",VLOOKUP($B261,Kraftvärmeprod!$B$1:$BX$550,MATCH("Värde enligt ovan. (%)",Kraftvärmeprod!$B$1:$BX$1,0),FALSE),"")</f>
        <v/>
      </c>
      <c r="BN261" s="227"/>
      <c r="BO261" s="227"/>
      <c r="BP261" s="227"/>
      <c r="BQ261" s="227" t="str">
        <f>IF($BF261="ja",VLOOKUP($B261,'Egen hetvattenprod'!$B$1:$BX$550,MATCH("Tillförd olja (fossil) vid avfallsförbränning (GWh)",'Egen hetvattenprod'!$B$1:$BX$1,0),FALSE),"")</f>
        <v/>
      </c>
      <c r="BR261" s="227" t="str">
        <f>IF($BF261="ja",VLOOKUP($B261,Kraftvärmeprod!$B$1:$BX$550,MATCH("Tillförd olja (fossil) vid avfallsförbränning (GWh)",Kraftvärmeprod!$B$1:$BX$1,0),FALSE),"")</f>
        <v/>
      </c>
      <c r="BS261" s="227"/>
      <c r="BT261" s="227"/>
      <c r="BU261" s="227"/>
    </row>
    <row r="262" spans="1:73" x14ac:dyDescent="0.25">
      <c r="A262" s="121" t="str">
        <f>'Miljövärden för publ företag'!B265</f>
        <v>Tekniska Verken i Linköping AB</v>
      </c>
      <c r="B262" s="121" t="str">
        <f>'Miljövärden för publ företag'!C265</f>
        <v>Linköping</v>
      </c>
      <c r="C262" s="173">
        <f>IFERROR(VLOOKUP($B262,Totalt!$B$1:$AQ$554,MATCH(C$2,Totalt!$B$1:$AQ$1,0),FALSE),"")</f>
        <v>32</v>
      </c>
      <c r="D262" s="173">
        <f>IFERROR(VLOOKUP($B262,Totalt!$B$1:$AQ$554,MATCH(D$2,Totalt!$B$1:$AQ$1,0),FALSE),"")</f>
        <v>8.6</v>
      </c>
      <c r="E262" s="173">
        <f>IFERROR(VLOOKUP($B262,Totalt!$B$1:$AQ$554,MATCH(E$2,Totalt!$B$1:$AQ$1,0),FALSE),"")</f>
        <v>0</v>
      </c>
      <c r="F262" s="173">
        <f>IFERROR(VLOOKUP($B262,Totalt!$B$1:$AQ$554,MATCH(F$2,Totalt!$B$1:$AQ$1,0),FALSE),"")</f>
        <v>25.2</v>
      </c>
      <c r="G262" s="173">
        <f>IFERROR(VLOOKUP($B262,Totalt!$B$1:$AQ$554,MATCH(G$2,Totalt!$B$1:$AQ$1,0),FALSE),"")</f>
        <v>0</v>
      </c>
      <c r="H262" s="173">
        <f>IFERROR(VLOOKUP($B262,Totalt!$B$1:$AQ$554,MATCH(H$2,Totalt!$B$1:$AQ$1,0),FALSE),"")</f>
        <v>28.9</v>
      </c>
      <c r="I262" s="173">
        <f>IFERROR(VLOOKUP($B262,Totalt!$B$1:$AQ$554,MATCH(I$2,Totalt!$B$1:$AQ$1,0),FALSE),"")</f>
        <v>1023.3</v>
      </c>
      <c r="J262" s="173">
        <f>IFERROR(VLOOKUP($B262,Totalt!$B$1:$AQ$554,MATCH(J$2,Totalt!$B$1:$AQ$1,0),FALSE),"")</f>
        <v>0</v>
      </c>
      <c r="K262" s="173">
        <f>IFERROR(VLOOKUP($B262,Totalt!$B$1:$AQ$554,MATCH(K$2,Totalt!$B$1:$AQ$1,0),FALSE),"")</f>
        <v>0</v>
      </c>
      <c r="L262" s="173">
        <f>IFERROR(VLOOKUP($B262,Totalt!$B$1:$AQ$554,MATCH(L$2,Totalt!$B$1:$AQ$1,0),FALSE),"")</f>
        <v>150.1</v>
      </c>
      <c r="M262" s="173">
        <f>IFERROR(VLOOKUP($B262,Totalt!$B$1:$AQ$554,MATCH(M$2,Totalt!$B$1:$AQ$1,0),FALSE),"")</f>
        <v>1.2</v>
      </c>
      <c r="N262" s="173">
        <f>IFERROR(VLOOKUP($B262,Totalt!$B$1:$AQ$554,MATCH(N$2,Totalt!$B$1:$AQ$1,0),FALSE),"")</f>
        <v>13.5</v>
      </c>
      <c r="O262" s="173">
        <f>IFERROR(VLOOKUP($B262,Totalt!$B$1:$AQ$554,MATCH(O$2,Totalt!$B$1:$AQ$1,0),FALSE),"")</f>
        <v>0</v>
      </c>
      <c r="P262" s="173">
        <f>IFERROR(VLOOKUP($B262,Totalt!$B$1:$AQ$554,MATCH(P$2,Totalt!$B$1:$AQ$1,0),FALSE),"")</f>
        <v>3.3</v>
      </c>
      <c r="Q262" s="173">
        <f>IFERROR(VLOOKUP($B262,Totalt!$B$1:$AQ$554,MATCH(Q$2,Totalt!$B$1:$AQ$1,0),FALSE),"")</f>
        <v>18.5</v>
      </c>
      <c r="R262" s="173">
        <f>IFERROR(VLOOKUP($B262,Totalt!$B$1:$AQ$554,MATCH(R$2,Totalt!$B$1:$AQ$1,0),FALSE),"")</f>
        <v>0</v>
      </c>
      <c r="S262" s="173">
        <f>IFERROR(VLOOKUP($B262,Totalt!$B$1:$AQ$554,MATCH(S$2,Totalt!$B$1:$AQ$1,0),FALSE),"")</f>
        <v>0</v>
      </c>
      <c r="T262" s="173">
        <f>IFERROR(VLOOKUP($B262,Totalt!$B$1:$AQ$554,MATCH(T$2,Totalt!$B$1:$AQ$1,0),FALSE),"")</f>
        <v>0</v>
      </c>
      <c r="U262" s="173">
        <f>IFERROR(VLOOKUP($B262,Totalt!$B$1:$AQ$554,MATCH(U$2,Totalt!$B$1:$AQ$1,0),FALSE),"")</f>
        <v>0</v>
      </c>
      <c r="V262" s="173">
        <f>IFERROR(VLOOKUP($B262,Totalt!$B$1:$AQ$554,MATCH(V$2,Totalt!$B$1:$AQ$1,0),FALSE),"")</f>
        <v>0</v>
      </c>
      <c r="W262" s="173">
        <f>IFERROR(VLOOKUP($B262,Totalt!$B$1:$AQ$554,MATCH(W$2,Totalt!$B$1:$AQ$1,0),FALSE),"")</f>
        <v>0</v>
      </c>
      <c r="X262" s="173">
        <f>IFERROR(VLOOKUP($B262,Totalt!$B$1:$AQ$554,MATCH(X$2,Totalt!$B$1:$AQ$1,0),FALSE),"")</f>
        <v>0</v>
      </c>
      <c r="Y262" s="173">
        <f>IFERROR(VLOOKUP($B262,Totalt!$B$1:$AQ$554,MATCH(Y$2,Totalt!$B$1:$AQ$1,0),FALSE),"")</f>
        <v>0</v>
      </c>
      <c r="Z262" s="173">
        <f>IFERROR(VLOOKUP($B262,Totalt!$B$1:$AQ$554,MATCH(Z$2,Totalt!$B$1:$AQ$1,0),FALSE),"")</f>
        <v>0</v>
      </c>
      <c r="AA262" s="173">
        <f>IFERROR(VLOOKUP($B262,Totalt!$B$1:$AQ$554,MATCH(AA$2,Totalt!$B$1:$AQ$1,0),FALSE),"")</f>
        <v>0</v>
      </c>
      <c r="AB262" s="173">
        <f>IFERROR(VLOOKUP($B262,Totalt!$B$1:$AQ$554,MATCH(AB$2,Totalt!$B$1:$AQ$1,0),FALSE),"")</f>
        <v>0</v>
      </c>
      <c r="AC262" s="173">
        <f>IFERROR(VLOOKUP($B262,Totalt!$B$1:$AQ$554,MATCH(AC$2,Totalt!$B$1:$AQ$1,0),FALSE),"")</f>
        <v>191.3</v>
      </c>
      <c r="AD262" s="173">
        <f>IFERROR(VLOOKUP($B262,Totalt!$B$1:$AQ$554,MATCH(AD$2,Totalt!$B$1:$AQ$1,0),FALSE),"")</f>
        <v>0</v>
      </c>
      <c r="AE262" s="173">
        <f>IFERROR(VLOOKUP($B262,Totalt!$B$1:$AQ$554,MATCH(AE$2,Totalt!$B$1:$AQ$1,0),FALSE),"")</f>
        <v>0</v>
      </c>
      <c r="AF262" s="173">
        <f>IFERROR(VLOOKUP($B262,Totalt!$B$1:$AQ$554,MATCH(AF$2,Totalt!$B$1:$AQ$1,0),FALSE),"")</f>
        <v>42.9</v>
      </c>
      <c r="AG262" s="173">
        <f>IFERROR(VLOOKUP($B262,Totalt!$B$1:$AQ$554,MATCH(AG$2,Totalt!$B$1:$AQ$1,0),FALSE),"")</f>
        <v>0</v>
      </c>
      <c r="AI262" s="226">
        <f t="shared" si="24"/>
        <v>1538.8</v>
      </c>
      <c r="AJ262" s="226">
        <f>IF(ISERROR(1/VLOOKUP($B262,Leveranser!$B$1:$S$500,MATCH("såld värme (gwh)",Leveranser!$B$1:$S$1,0),FALSE)),"",VLOOKUP($B262,Leveranser!$B$1:$S$500,MATCH("såld värme (gwh)",Leveranser!$B$1:$S$1,0),FALSE))</f>
        <v>1313.9</v>
      </c>
      <c r="AM262" s="227" t="str">
        <f>IF(B262&lt;&gt;"",IF(VLOOKUP($B262,Totalt!$B$1:$AQ$554,MATCH("Kvalitetsgranskad:",Totalt!$B$1:$AQ$1,0),FALSE)="ja",VLOOKUP($B262,Miljö!$B$1:$AG$479,MATCH(AM$2,Miljö!$B$1:$AK$1,0),FALSE),""),"")</f>
        <v>Ja</v>
      </c>
      <c r="AN262" s="227" t="str">
        <f>IF(AM262="ja",VLOOKUP($B262,Miljö!$B$1:$J$479,MATCH("Typ av ursprungsspecificerad el   (Om inget värde anges används Nordisk residualmix, se inforuta) ()",Miljö!$B$1:$J$1,0),FALSE),IF(AM262="nej","Nordisk residualel",""))</f>
        <v>'Biobränsle'</v>
      </c>
      <c r="AO262" s="227">
        <f>IF(AM262="","",VLOOKUP($B262,Miljö!$B$1:$J$479,MATCH("Fossilandel för ursprungspecificerad el ()",Miljö!$B$1:$J$1,0),FALSE))</f>
        <v>0</v>
      </c>
      <c r="AP262" s="227">
        <f>IF(AM262="","",IFERROR(VLOOKUP($B262,Miljö!$B$1:$J$479,MATCH("Kärnkraftsandel för ursprungsspecificerad el ()",Miljö!$B$1:$J$1,0),FALSE)/1,0))</f>
        <v>0</v>
      </c>
      <c r="AQ262" s="227">
        <f t="shared" si="25"/>
        <v>1</v>
      </c>
      <c r="AR262" s="227"/>
      <c r="AS262" s="227" t="str">
        <f t="shared" si="26"/>
        <v>Nej</v>
      </c>
      <c r="AT262" s="227" t="str">
        <f>IF(AS262="ja",VLOOKUP($B262,Miljö!$B$1:$O$500,MATCH("Fossil andel i procent (%)",Miljö!$B$1:$O$1,0),FALSE)/100,"")</f>
        <v/>
      </c>
      <c r="AU262" s="227"/>
      <c r="AV262" s="227" t="str">
        <f t="shared" si="27"/>
        <v>Nej</v>
      </c>
      <c r="AW262" s="227" t="str">
        <f>IF(AV262="ja",VLOOKUP($B262,'Egen hetvattenprod'!$B$1:$AO$500,MATCH("Värmekälla till värmepumpar ()",'Egen hetvattenprod'!$B$1:$AO$1,0),FALSE),"")</f>
        <v/>
      </c>
      <c r="AX262" s="227"/>
      <c r="AY262" s="227" t="str">
        <f t="shared" si="28"/>
        <v>Ja</v>
      </c>
      <c r="AZ262" s="228">
        <f>IF($AY262="ja",(VLOOKUP($B262,'Egen hetvattenprod'!$B$1:$BX$550,MATCH(AZ$2,'Egen hetvattenprod'!$B$1:$BX$1,0),FALSE)+VLOOKUP($B262,Kraftvärmeprod!$B$1:$BX$550,MATCH(AZ$2,Kraftvärmeprod!$B$1:$BX$1,0),FALSE))/$AC262,"")</f>
        <v>0.21</v>
      </c>
      <c r="BA262" s="228">
        <f>IF($AY262="ja",(VLOOKUP($B262,'Egen hetvattenprod'!$B$1:$BX$550,MATCH(BA$2,'Egen hetvattenprod'!$B$1:$BX$1,0),FALSE)+VLOOKUP($B262,Kraftvärmeprod!$B$1:$BX$550,MATCH(BA$2,Kraftvärmeprod!$B$1:$BX$1,0),FALSE))/$AC262,"")</f>
        <v>0.79</v>
      </c>
      <c r="BB262" s="228">
        <f>IF($AY262="ja",(VLOOKUP($B262,'Egen hetvattenprod'!$B$1:$BX$550,MATCH(BB$2,'Egen hetvattenprod'!$B$1:$BX$1,0),FALSE)+VLOOKUP($B262,Kraftvärmeprod!$B$1:$BX$550,MATCH(BB$2,Kraftvärmeprod!$B$1:$BX$1,0),FALSE))/$AC262,"")</f>
        <v>0</v>
      </c>
      <c r="BC262" s="228">
        <f>IF($AY262="ja",(VLOOKUP($B262,'Egen hetvattenprod'!$B$1:$BX$550,MATCH(BC$2,'Egen hetvattenprod'!$B$1:$BX$1,0),FALSE)+VLOOKUP($B262,Kraftvärmeprod!$B$1:$BX$550,MATCH(BC$2,Kraftvärmeprod!$B$1:$BX$1,0),FALSE))/$AC262,"")</f>
        <v>0</v>
      </c>
      <c r="BD262" s="228">
        <f>IF($AY262="ja",(VLOOKUP($B262,'Egen hetvattenprod'!$B$1:$BX$550,MATCH(BD$2,'Egen hetvattenprod'!$B$1:$BX$1,0),FALSE)+VLOOKUP($B262,Kraftvärmeprod!$B$1:$BX$550,MATCH(BD$2,Kraftvärmeprod!$B$1:$BX$1,0),FALSE))/$AC262,"")</f>
        <v>0</v>
      </c>
      <c r="BE262" s="227"/>
      <c r="BF262" s="227" t="str">
        <f t="shared" si="29"/>
        <v>Ja</v>
      </c>
      <c r="BG262" s="227" t="str">
        <f>IF($BF262="ja",VLOOKUP($B262,'Egen hetvattenprod'!$B$1:$BX$550,MATCH("Andelen klimatgaser med fossilt ursprung för avfall ()",'Egen hetvattenprod'!$B$1:$BX$1,0),FALSE),"")</f>
        <v>Mätvärde</v>
      </c>
      <c r="BH262" s="227" t="str">
        <f>IF($BF262="ja",VLOOKUP($B262,Kraftvärmeprod!$B$1:$BX$550,MATCH("Andelen klimatgaser med fossilt ursprung för avfall ()",Kraftvärmeprod!$B$1:$BX$1,0),FALSE),"")</f>
        <v>Mätvärde</v>
      </c>
      <c r="BI262" s="227">
        <f>IF($BF262="ja",VLOOKUP($B262,'Egen hetvattenprod'!$B$1:$BX$550,MATCH("Avfall (GWh)",'Egen hetvattenprod'!$B$1:$BX$1,0),FALSE),"")</f>
        <v>481.7</v>
      </c>
      <c r="BJ262" s="227">
        <f>IF($BF262="ja",VLOOKUP($B262,'Slutlig allokering kvv'!$B$1:$BX$550,MATCH("Avfall (GWh)",'Slutlig allokering kvv'!$B$1:$BX$1,0),FALSE),"")</f>
        <v>541.6</v>
      </c>
      <c r="BK262" s="227">
        <f>IF($BF262="ja",VLOOKUP($B262,'Köpt hetvatten'!$B$1:$BX$550,MATCH("Avfall i köpt hetvatten",'Köpt hetvatten'!$B$1:$BX$1,0),FALSE),"")</f>
        <v>0</v>
      </c>
      <c r="BL262" s="227">
        <f>IF($BF262="ja",VLOOKUP($B262,'Egen hetvattenprod'!$B$1:$BX$550,MATCH("Värde enligt ovan. (%)",'Egen hetvattenprod'!$B$1:$BX$1,0),FALSE),"")</f>
        <v>44</v>
      </c>
      <c r="BM262" s="227">
        <f>IF($BF262="ja",VLOOKUP($B262,Kraftvärmeprod!$B$1:$BX$550,MATCH("Värde enligt ovan. (%)",Kraftvärmeprod!$B$1:$BX$1,0),FALSE),"")</f>
        <v>44</v>
      </c>
      <c r="BN262" s="227"/>
      <c r="BO262" s="227"/>
      <c r="BP262" s="227"/>
      <c r="BQ262" s="227" t="str">
        <f>IF($BF262="ja",VLOOKUP($B262,'Egen hetvattenprod'!$B$1:$BX$550,MATCH("Tillförd olja (fossil) vid avfallsförbränning (GWh)",'Egen hetvattenprod'!$B$1:$BX$1,0),FALSE),"")</f>
        <v>ET</v>
      </c>
      <c r="BR262" s="227">
        <f>IF($BF262="ja",VLOOKUP($B262,Kraftvärmeprod!$B$1:$BX$550,MATCH("Tillförd olja (fossil) vid avfallsförbränning (GWh)",Kraftvärmeprod!$B$1:$BX$1,0),FALSE),"")</f>
        <v>12.1</v>
      </c>
      <c r="BS262" s="227"/>
      <c r="BT262" s="227"/>
      <c r="BU262" s="227"/>
    </row>
    <row r="263" spans="1:73" x14ac:dyDescent="0.25">
      <c r="A263" s="121" t="str">
        <f>'Miljövärden för publ företag'!B266</f>
        <v>Tekniska Verken i Linköping AB</v>
      </c>
      <c r="B263" s="121" t="str">
        <f>'Miljövärden för publ företag'!C266</f>
        <v>Skärblacka</v>
      </c>
      <c r="C263" s="173">
        <f>IFERROR(VLOOKUP($B263,Totalt!$B$1:$AQ$554,MATCH(C$2,Totalt!$B$1:$AQ$1,0),FALSE),"")</f>
        <v>0</v>
      </c>
      <c r="D263" s="173">
        <f>IFERROR(VLOOKUP($B263,Totalt!$B$1:$AQ$554,MATCH(D$2,Totalt!$B$1:$AQ$1,0),FALSE),"")</f>
        <v>0.6</v>
      </c>
      <c r="E263" s="173">
        <f>IFERROR(VLOOKUP($B263,Totalt!$B$1:$AQ$554,MATCH(E$2,Totalt!$B$1:$AQ$1,0),FALSE),"")</f>
        <v>0</v>
      </c>
      <c r="F263" s="173">
        <f>IFERROR(VLOOKUP($B263,Totalt!$B$1:$AQ$554,MATCH(F$2,Totalt!$B$1:$AQ$1,0),FALSE),"")</f>
        <v>3.4117600000000001</v>
      </c>
      <c r="G263" s="173">
        <f>IFERROR(VLOOKUP($B263,Totalt!$B$1:$AQ$554,MATCH(G$2,Totalt!$B$1:$AQ$1,0),FALSE),"")</f>
        <v>0</v>
      </c>
      <c r="H263" s="173">
        <f>IFERROR(VLOOKUP($B263,Totalt!$B$1:$AQ$554,MATCH(H$2,Totalt!$B$1:$AQ$1,0),FALSE),"")</f>
        <v>0</v>
      </c>
      <c r="I263" s="173">
        <f>IFERROR(VLOOKUP($B263,Totalt!$B$1:$AQ$554,MATCH(I$2,Totalt!$B$1:$AQ$1,0),FALSE),"")</f>
        <v>0</v>
      </c>
      <c r="J263" s="173">
        <f>IFERROR(VLOOKUP($B263,Totalt!$B$1:$AQ$554,MATCH(J$2,Totalt!$B$1:$AQ$1,0),FALSE),"")</f>
        <v>0</v>
      </c>
      <c r="K263" s="173">
        <f>IFERROR(VLOOKUP($B263,Totalt!$B$1:$AQ$554,MATCH(K$2,Totalt!$B$1:$AQ$1,0),FALSE),"")</f>
        <v>0</v>
      </c>
      <c r="L263" s="173">
        <f>IFERROR(VLOOKUP($B263,Totalt!$B$1:$AQ$554,MATCH(L$2,Totalt!$B$1:$AQ$1,0),FALSE),"")</f>
        <v>0</v>
      </c>
      <c r="M263" s="173">
        <f>IFERROR(VLOOKUP($B263,Totalt!$B$1:$AQ$554,MATCH(M$2,Totalt!$B$1:$AQ$1,0),FALSE),"")</f>
        <v>0</v>
      </c>
      <c r="N263" s="173">
        <f>IFERROR(VLOOKUP($B263,Totalt!$B$1:$AQ$554,MATCH(N$2,Totalt!$B$1:$AQ$1,0),FALSE),"")</f>
        <v>0</v>
      </c>
      <c r="O263" s="173">
        <f>IFERROR(VLOOKUP($B263,Totalt!$B$1:$AQ$554,MATCH(O$2,Totalt!$B$1:$AQ$1,0),FALSE),"")</f>
        <v>0</v>
      </c>
      <c r="P263" s="173">
        <f>IFERROR(VLOOKUP($B263,Totalt!$B$1:$AQ$554,MATCH(P$2,Totalt!$B$1:$AQ$1,0),FALSE),"")</f>
        <v>0</v>
      </c>
      <c r="Q263" s="173">
        <f>IFERROR(VLOOKUP($B263,Totalt!$B$1:$AQ$554,MATCH(Q$2,Totalt!$B$1:$AQ$1,0),FALSE),"")</f>
        <v>10.235300000000001</v>
      </c>
      <c r="R263" s="173">
        <f>IFERROR(VLOOKUP($B263,Totalt!$B$1:$AQ$554,MATCH(R$2,Totalt!$B$1:$AQ$1,0),FALSE),"")</f>
        <v>0</v>
      </c>
      <c r="S263" s="173">
        <f>IFERROR(VLOOKUP($B263,Totalt!$B$1:$AQ$554,MATCH(S$2,Totalt!$B$1:$AQ$1,0),FALSE),"")</f>
        <v>0</v>
      </c>
      <c r="T263" s="173">
        <f>IFERROR(VLOOKUP($B263,Totalt!$B$1:$AQ$554,MATCH(T$2,Totalt!$B$1:$AQ$1,0),FALSE),"")</f>
        <v>0</v>
      </c>
      <c r="U263" s="173">
        <f>IFERROR(VLOOKUP($B263,Totalt!$B$1:$AQ$554,MATCH(U$2,Totalt!$B$1:$AQ$1,0),FALSE),"")</f>
        <v>0</v>
      </c>
      <c r="V263" s="173">
        <f>IFERROR(VLOOKUP($B263,Totalt!$B$1:$AQ$554,MATCH(V$2,Totalt!$B$1:$AQ$1,0),FALSE),"")</f>
        <v>0</v>
      </c>
      <c r="W263" s="173">
        <f>IFERROR(VLOOKUP($B263,Totalt!$B$1:$AQ$554,MATCH(W$2,Totalt!$B$1:$AQ$1,0),FALSE),"")</f>
        <v>0</v>
      </c>
      <c r="X263" s="173">
        <f>IFERROR(VLOOKUP($B263,Totalt!$B$1:$AQ$554,MATCH(X$2,Totalt!$B$1:$AQ$1,0),FALSE),"")</f>
        <v>0</v>
      </c>
      <c r="Y263" s="173">
        <f>IFERROR(VLOOKUP($B263,Totalt!$B$1:$AQ$554,MATCH(Y$2,Totalt!$B$1:$AQ$1,0),FALSE),"")</f>
        <v>0</v>
      </c>
      <c r="Z263" s="173">
        <f>IFERROR(VLOOKUP($B263,Totalt!$B$1:$AQ$554,MATCH(Z$2,Totalt!$B$1:$AQ$1,0),FALSE),"")</f>
        <v>0</v>
      </c>
      <c r="AA263" s="173">
        <f>IFERROR(VLOOKUP($B263,Totalt!$B$1:$AQ$554,MATCH(AA$2,Totalt!$B$1:$AQ$1,0),FALSE),"")</f>
        <v>0</v>
      </c>
      <c r="AB263" s="173">
        <f>IFERROR(VLOOKUP($B263,Totalt!$B$1:$AQ$554,MATCH(AB$2,Totalt!$B$1:$AQ$1,0),FALSE),"")</f>
        <v>0</v>
      </c>
      <c r="AC263" s="173">
        <f>IFERROR(VLOOKUP($B263,Totalt!$B$1:$AQ$554,MATCH(AC$2,Totalt!$B$1:$AQ$1,0),FALSE),"")</f>
        <v>0</v>
      </c>
      <c r="AD263" s="173">
        <f>IFERROR(VLOOKUP($B263,Totalt!$B$1:$AQ$554,MATCH(AD$2,Totalt!$B$1:$AQ$1,0),FALSE),"")</f>
        <v>9.3000000000000007</v>
      </c>
      <c r="AE263" s="173">
        <f>IFERROR(VLOOKUP($B263,Totalt!$B$1:$AQ$554,MATCH(AE$2,Totalt!$B$1:$AQ$1,0),FALSE),"")</f>
        <v>0</v>
      </c>
      <c r="AF263" s="173">
        <f>IFERROR(VLOOKUP($B263,Totalt!$B$1:$AQ$554,MATCH(AF$2,Totalt!$B$1:$AQ$1,0),FALSE),"")</f>
        <v>0.39</v>
      </c>
      <c r="AG263" s="173">
        <f>IFERROR(VLOOKUP($B263,Totalt!$B$1:$AQ$554,MATCH(AG$2,Totalt!$B$1:$AQ$1,0),FALSE),"")</f>
        <v>0</v>
      </c>
      <c r="AI263" s="226">
        <f t="shared" si="24"/>
        <v>23.937060000000002</v>
      </c>
      <c r="AJ263" s="226">
        <f>IF(ISERROR(1/VLOOKUP($B263,Leveranser!$B$1:$S$500,MATCH("såld värme (gwh)",Leveranser!$B$1:$S$1,0),FALSE)),"",VLOOKUP($B263,Leveranser!$B$1:$S$500,MATCH("såld värme (gwh)",Leveranser!$B$1:$S$1,0),FALSE))</f>
        <v>17.2</v>
      </c>
      <c r="AM263" s="227" t="str">
        <f>IF(B263&lt;&gt;"",IF(VLOOKUP($B263,Totalt!$B$1:$AQ$554,MATCH("Kvalitetsgranskad:",Totalt!$B$1:$AQ$1,0),FALSE)="ja",VLOOKUP($B263,Miljö!$B$1:$AG$479,MATCH(AM$2,Miljö!$B$1:$AK$1,0),FALSE),""),"")</f>
        <v>Nej</v>
      </c>
      <c r="AN263" s="227" t="str">
        <f>IF(AM263="ja",VLOOKUP($B263,Miljö!$B$1:$J$479,MATCH("Typ av ursprungsspecificerad el   (Om inget värde anges används Nordisk residualmix, se inforuta) ()",Miljö!$B$1:$J$1,0),FALSE),IF(AM263="nej","Nordisk residualel",""))</f>
        <v>Nordisk residualel</v>
      </c>
      <c r="AO263" s="227">
        <f>IF(AM263="","",VLOOKUP($B263,Miljö!$B$1:$J$479,MATCH("Fossilandel för ursprungspecificerad el ()",Miljö!$B$1:$J$1,0),FALSE))</f>
        <v>0.43</v>
      </c>
      <c r="AP263" s="227">
        <f>IF(AM263="","",IFERROR(VLOOKUP($B263,Miljö!$B$1:$J$479,MATCH("Kärnkraftsandel för ursprungsspecificerad el ()",Miljö!$B$1:$J$1,0),FALSE)/1,0))</f>
        <v>0.40550000000000003</v>
      </c>
      <c r="AQ263" s="227">
        <f t="shared" si="25"/>
        <v>0.16450000000000004</v>
      </c>
      <c r="AR263" s="227"/>
      <c r="AS263" s="227" t="str">
        <f t="shared" si="26"/>
        <v>Nej</v>
      </c>
      <c r="AT263" s="227" t="str">
        <f>IF(AS263="ja",VLOOKUP($B263,Miljö!$B$1:$O$500,MATCH("Fossil andel i procent (%)",Miljö!$B$1:$O$1,0),FALSE)/100,"")</f>
        <v/>
      </c>
      <c r="AU263" s="227"/>
      <c r="AV263" s="227" t="str">
        <f t="shared" si="27"/>
        <v>Nej</v>
      </c>
      <c r="AW263" s="227" t="str">
        <f>IF(AV263="ja",VLOOKUP($B263,'Egen hetvattenprod'!$B$1:$AO$500,MATCH("Värmekälla till värmepumpar ()",'Egen hetvattenprod'!$B$1:$AO$1,0),FALSE),"")</f>
        <v/>
      </c>
      <c r="AX263" s="227"/>
      <c r="AY263" s="227" t="str">
        <f t="shared" si="28"/>
        <v>Nej</v>
      </c>
      <c r="AZ263" s="228" t="str">
        <f>IF($AY263="ja",(VLOOKUP($B263,'Egen hetvattenprod'!$B$1:$BX$550,MATCH(AZ$2,'Egen hetvattenprod'!$B$1:$BX$1,0),FALSE)+VLOOKUP($B263,Kraftvärmeprod!$B$1:$BX$550,MATCH(AZ$2,Kraftvärmeprod!$B$1:$BX$1,0),FALSE))/$AC263,"")</f>
        <v/>
      </c>
      <c r="BA263" s="228" t="str">
        <f>IF($AY263="ja",(VLOOKUP($B263,'Egen hetvattenprod'!$B$1:$BX$550,MATCH(BA$2,'Egen hetvattenprod'!$B$1:$BX$1,0),FALSE)+VLOOKUP($B263,Kraftvärmeprod!$B$1:$BX$550,MATCH(BA$2,Kraftvärmeprod!$B$1:$BX$1,0),FALSE))/$AC263,"")</f>
        <v/>
      </c>
      <c r="BB263" s="228" t="str">
        <f>IF($AY263="ja",(VLOOKUP($B263,'Egen hetvattenprod'!$B$1:$BX$550,MATCH(BB$2,'Egen hetvattenprod'!$B$1:$BX$1,0),FALSE)+VLOOKUP($B263,Kraftvärmeprod!$B$1:$BX$550,MATCH(BB$2,Kraftvärmeprod!$B$1:$BX$1,0),FALSE))/$AC263,"")</f>
        <v/>
      </c>
      <c r="BC263" s="228" t="str">
        <f>IF($AY263="ja",(VLOOKUP($B263,'Egen hetvattenprod'!$B$1:$BX$550,MATCH(BC$2,'Egen hetvattenprod'!$B$1:$BX$1,0),FALSE)+VLOOKUP($B263,Kraftvärmeprod!$B$1:$BX$550,MATCH(BC$2,Kraftvärmeprod!$B$1:$BX$1,0),FALSE))/$AC263,"")</f>
        <v/>
      </c>
      <c r="BD263" s="228" t="str">
        <f>IF($AY263="ja",(VLOOKUP($B263,'Egen hetvattenprod'!$B$1:$BX$550,MATCH(BD$2,'Egen hetvattenprod'!$B$1:$BX$1,0),FALSE)+VLOOKUP($B263,Kraftvärmeprod!$B$1:$BX$550,MATCH(BD$2,Kraftvärmeprod!$B$1:$BX$1,0),FALSE))/$AC263,"")</f>
        <v/>
      </c>
      <c r="BE263" s="227"/>
      <c r="BF263" s="227" t="str">
        <f t="shared" si="29"/>
        <v>Nej</v>
      </c>
      <c r="BG263" s="227" t="str">
        <f>IF($BF263="ja",VLOOKUP($B263,'Egen hetvattenprod'!$B$1:$BX$550,MATCH("Andelen klimatgaser med fossilt ursprung för avfall ()",'Egen hetvattenprod'!$B$1:$BX$1,0),FALSE),"")</f>
        <v/>
      </c>
      <c r="BH263" s="227" t="str">
        <f>IF($BF263="ja",VLOOKUP($B263,Kraftvärmeprod!$B$1:$BX$550,MATCH("Andelen klimatgaser med fossilt ursprung för avfall ()",Kraftvärmeprod!$B$1:$BX$1,0),FALSE),"")</f>
        <v/>
      </c>
      <c r="BI263" s="227" t="str">
        <f>IF($BF263="ja",VLOOKUP($B263,'Egen hetvattenprod'!$B$1:$BX$550,MATCH("Avfall (GWh)",'Egen hetvattenprod'!$B$1:$BX$1,0),FALSE),"")</f>
        <v/>
      </c>
      <c r="BJ263" s="227" t="str">
        <f>IF($BF263="ja",VLOOKUP($B263,'Slutlig allokering kvv'!$B$1:$BX$550,MATCH("Avfall (GWh)",'Slutlig allokering kvv'!$B$1:$BX$1,0),FALSE),"")</f>
        <v/>
      </c>
      <c r="BK263" s="227" t="str">
        <f>IF($BF263="ja",VLOOKUP($B263,'Köpt hetvatten'!$B$1:$BX$550,MATCH("Avfall i köpt hetvatten",'Köpt hetvatten'!$B$1:$BX$1,0),FALSE),"")</f>
        <v/>
      </c>
      <c r="BL263" s="227" t="str">
        <f>IF($BF263="ja",VLOOKUP($B263,'Egen hetvattenprod'!$B$1:$BX$550,MATCH("Värde enligt ovan. (%)",'Egen hetvattenprod'!$B$1:$BX$1,0),FALSE),"")</f>
        <v/>
      </c>
      <c r="BM263" s="227" t="str">
        <f>IF($BF263="ja",VLOOKUP($B263,Kraftvärmeprod!$B$1:$BX$550,MATCH("Värde enligt ovan. (%)",Kraftvärmeprod!$B$1:$BX$1,0),FALSE),"")</f>
        <v/>
      </c>
      <c r="BN263" s="227"/>
      <c r="BO263" s="227"/>
      <c r="BP263" s="227"/>
      <c r="BQ263" s="227" t="str">
        <f>IF($BF263="ja",VLOOKUP($B263,'Egen hetvattenprod'!$B$1:$BX$550,MATCH("Tillförd olja (fossil) vid avfallsförbränning (GWh)",'Egen hetvattenprod'!$B$1:$BX$1,0),FALSE),"")</f>
        <v/>
      </c>
      <c r="BR263" s="227" t="str">
        <f>IF($BF263="ja",VLOOKUP($B263,Kraftvärmeprod!$B$1:$BX$550,MATCH("Tillförd olja (fossil) vid avfallsförbränning (GWh)",Kraftvärmeprod!$B$1:$BX$1,0),FALSE),"")</f>
        <v/>
      </c>
      <c r="BS263" s="227"/>
      <c r="BT263" s="227"/>
      <c r="BU263" s="227"/>
    </row>
    <row r="264" spans="1:73" x14ac:dyDescent="0.25">
      <c r="A264" s="121" t="str">
        <f>'Miljövärden för publ företag'!B267</f>
        <v>Tekniska Verken i Linköping AB</v>
      </c>
      <c r="B264" s="121" t="str">
        <f>'Miljövärden för publ företag'!C267</f>
        <v>Åtvidaberg</v>
      </c>
      <c r="C264" s="173">
        <f>IFERROR(VLOOKUP($B264,Totalt!$B$1:$AQ$554,MATCH(C$2,Totalt!$B$1:$AQ$1,0),FALSE),"")</f>
        <v>0</v>
      </c>
      <c r="D264" s="173">
        <f>IFERROR(VLOOKUP($B264,Totalt!$B$1:$AQ$554,MATCH(D$2,Totalt!$B$1:$AQ$1,0),FALSE),"")</f>
        <v>0.52</v>
      </c>
      <c r="E264" s="173">
        <f>IFERROR(VLOOKUP($B264,Totalt!$B$1:$AQ$554,MATCH(E$2,Totalt!$B$1:$AQ$1,0),FALSE),"")</f>
        <v>0</v>
      </c>
      <c r="F264" s="173">
        <f>IFERROR(VLOOKUP($B264,Totalt!$B$1:$AQ$554,MATCH(F$2,Totalt!$B$1:$AQ$1,0),FALSE),"")</f>
        <v>0</v>
      </c>
      <c r="G264" s="173">
        <f>IFERROR(VLOOKUP($B264,Totalt!$B$1:$AQ$554,MATCH(G$2,Totalt!$B$1:$AQ$1,0),FALSE),"")</f>
        <v>0</v>
      </c>
      <c r="H264" s="173">
        <f>IFERROR(VLOOKUP($B264,Totalt!$B$1:$AQ$554,MATCH(H$2,Totalt!$B$1:$AQ$1,0),FALSE),"")</f>
        <v>0</v>
      </c>
      <c r="I264" s="173">
        <f>IFERROR(VLOOKUP($B264,Totalt!$B$1:$AQ$554,MATCH(I$2,Totalt!$B$1:$AQ$1,0),FALSE),"")</f>
        <v>0</v>
      </c>
      <c r="J264" s="173">
        <f>IFERROR(VLOOKUP($B264,Totalt!$B$1:$AQ$554,MATCH(J$2,Totalt!$B$1:$AQ$1,0),FALSE),"")</f>
        <v>0</v>
      </c>
      <c r="K264" s="173">
        <f>IFERROR(VLOOKUP($B264,Totalt!$B$1:$AQ$554,MATCH(K$2,Totalt!$B$1:$AQ$1,0),FALSE),"")</f>
        <v>0</v>
      </c>
      <c r="L264" s="173">
        <f>IFERROR(VLOOKUP($B264,Totalt!$B$1:$AQ$554,MATCH(L$2,Totalt!$B$1:$AQ$1,0),FALSE),"")</f>
        <v>0</v>
      </c>
      <c r="M264" s="173">
        <f>IFERROR(VLOOKUP($B264,Totalt!$B$1:$AQ$554,MATCH(M$2,Totalt!$B$1:$AQ$1,0),FALSE),"")</f>
        <v>0</v>
      </c>
      <c r="N264" s="173">
        <f>IFERROR(VLOOKUP($B264,Totalt!$B$1:$AQ$554,MATCH(N$2,Totalt!$B$1:$AQ$1,0),FALSE),"")</f>
        <v>22.6</v>
      </c>
      <c r="O264" s="173">
        <f>IFERROR(VLOOKUP($B264,Totalt!$B$1:$AQ$554,MATCH(O$2,Totalt!$B$1:$AQ$1,0),FALSE),"")</f>
        <v>0</v>
      </c>
      <c r="P264" s="173">
        <f>IFERROR(VLOOKUP($B264,Totalt!$B$1:$AQ$554,MATCH(P$2,Totalt!$B$1:$AQ$1,0),FALSE),"")</f>
        <v>0</v>
      </c>
      <c r="Q264" s="173">
        <f>IFERROR(VLOOKUP($B264,Totalt!$B$1:$AQ$554,MATCH(Q$2,Totalt!$B$1:$AQ$1,0),FALSE),"")</f>
        <v>5.4705899999999996</v>
      </c>
      <c r="R264" s="173">
        <f>IFERROR(VLOOKUP($B264,Totalt!$B$1:$AQ$554,MATCH(R$2,Totalt!$B$1:$AQ$1,0),FALSE),"")</f>
        <v>0</v>
      </c>
      <c r="S264" s="173">
        <f>IFERROR(VLOOKUP($B264,Totalt!$B$1:$AQ$554,MATCH(S$2,Totalt!$B$1:$AQ$1,0),FALSE),"")</f>
        <v>0</v>
      </c>
      <c r="T264" s="173">
        <f>IFERROR(VLOOKUP($B264,Totalt!$B$1:$AQ$554,MATCH(T$2,Totalt!$B$1:$AQ$1,0),FALSE),"")</f>
        <v>0</v>
      </c>
      <c r="U264" s="173">
        <f>IFERROR(VLOOKUP($B264,Totalt!$B$1:$AQ$554,MATCH(U$2,Totalt!$B$1:$AQ$1,0),FALSE),"")</f>
        <v>0</v>
      </c>
      <c r="V264" s="173">
        <f>IFERROR(VLOOKUP($B264,Totalt!$B$1:$AQ$554,MATCH(V$2,Totalt!$B$1:$AQ$1,0),FALSE),"")</f>
        <v>0</v>
      </c>
      <c r="W264" s="173">
        <f>IFERROR(VLOOKUP($B264,Totalt!$B$1:$AQ$554,MATCH(W$2,Totalt!$B$1:$AQ$1,0),FALSE),"")</f>
        <v>0</v>
      </c>
      <c r="X264" s="173">
        <f>IFERROR(VLOOKUP($B264,Totalt!$B$1:$AQ$554,MATCH(X$2,Totalt!$B$1:$AQ$1,0),FALSE),"")</f>
        <v>0</v>
      </c>
      <c r="Y264" s="173">
        <f>IFERROR(VLOOKUP($B264,Totalt!$B$1:$AQ$554,MATCH(Y$2,Totalt!$B$1:$AQ$1,0),FALSE),"")</f>
        <v>0</v>
      </c>
      <c r="Z264" s="173">
        <f>IFERROR(VLOOKUP($B264,Totalt!$B$1:$AQ$554,MATCH(Z$2,Totalt!$B$1:$AQ$1,0),FALSE),"")</f>
        <v>0</v>
      </c>
      <c r="AA264" s="173">
        <f>IFERROR(VLOOKUP($B264,Totalt!$B$1:$AQ$554,MATCH(AA$2,Totalt!$B$1:$AQ$1,0),FALSE),"")</f>
        <v>0</v>
      </c>
      <c r="AB264" s="173">
        <f>IFERROR(VLOOKUP($B264,Totalt!$B$1:$AQ$554,MATCH(AB$2,Totalt!$B$1:$AQ$1,0),FALSE),"")</f>
        <v>0</v>
      </c>
      <c r="AC264" s="173">
        <f>IFERROR(VLOOKUP($B264,Totalt!$B$1:$AQ$554,MATCH(AC$2,Totalt!$B$1:$AQ$1,0),FALSE),"")</f>
        <v>5.46</v>
      </c>
      <c r="AD264" s="173">
        <f>IFERROR(VLOOKUP($B264,Totalt!$B$1:$AQ$554,MATCH(AD$2,Totalt!$B$1:$AQ$1,0),FALSE),"")</f>
        <v>0</v>
      </c>
      <c r="AE264" s="173">
        <f>IFERROR(VLOOKUP($B264,Totalt!$B$1:$AQ$554,MATCH(AE$2,Totalt!$B$1:$AQ$1,0),FALSE),"")</f>
        <v>0</v>
      </c>
      <c r="AF264" s="173">
        <f>IFERROR(VLOOKUP($B264,Totalt!$B$1:$AQ$554,MATCH(AF$2,Totalt!$B$1:$AQ$1,0),FALSE),"")</f>
        <v>0.53900000000000003</v>
      </c>
      <c r="AG264" s="173">
        <f>IFERROR(VLOOKUP($B264,Totalt!$B$1:$AQ$554,MATCH(AG$2,Totalt!$B$1:$AQ$1,0),FALSE),"")</f>
        <v>0</v>
      </c>
      <c r="AI264" s="226">
        <f t="shared" si="24"/>
        <v>34.589590000000001</v>
      </c>
      <c r="AJ264" s="226">
        <f>IF(ISERROR(1/VLOOKUP($B264,Leveranser!$B$1:$S$500,MATCH("såld värme (gwh)",Leveranser!$B$1:$S$1,0),FALSE)),"",VLOOKUP($B264,Leveranser!$B$1:$S$500,MATCH("såld värme (gwh)",Leveranser!$B$1:$S$1,0),FALSE))</f>
        <v>30.8</v>
      </c>
      <c r="AM264" s="227" t="str">
        <f>IF(B264&lt;&gt;"",IF(VLOOKUP($B264,Totalt!$B$1:$AQ$554,MATCH("Kvalitetsgranskad:",Totalt!$B$1:$AQ$1,0),FALSE)="ja",VLOOKUP($B264,Miljö!$B$1:$AG$479,MATCH(AM$2,Miljö!$B$1:$AK$1,0),FALSE),""),"")</f>
        <v>Nej</v>
      </c>
      <c r="AN264" s="227" t="str">
        <f>IF(AM264="ja",VLOOKUP($B264,Miljö!$B$1:$J$479,MATCH("Typ av ursprungsspecificerad el   (Om inget värde anges används Nordisk residualmix, se inforuta) ()",Miljö!$B$1:$J$1,0),FALSE),IF(AM264="nej","Nordisk residualel",""))</f>
        <v>Nordisk residualel</v>
      </c>
      <c r="AO264" s="227">
        <f>IF(AM264="","",VLOOKUP($B264,Miljö!$B$1:$J$479,MATCH("Fossilandel för ursprungspecificerad el ()",Miljö!$B$1:$J$1,0),FALSE))</f>
        <v>0.43</v>
      </c>
      <c r="AP264" s="227">
        <f>IF(AM264="","",IFERROR(VLOOKUP($B264,Miljö!$B$1:$J$479,MATCH("Kärnkraftsandel för ursprungsspecificerad el ()",Miljö!$B$1:$J$1,0),FALSE)/1,0))</f>
        <v>0.40550000000000003</v>
      </c>
      <c r="AQ264" s="227">
        <f t="shared" si="25"/>
        <v>0.16450000000000004</v>
      </c>
      <c r="AR264" s="227"/>
      <c r="AS264" s="227" t="str">
        <f t="shared" si="26"/>
        <v>Nej</v>
      </c>
      <c r="AT264" s="227" t="str">
        <f>IF(AS264="ja",VLOOKUP($B264,Miljö!$B$1:$O$500,MATCH("Fossil andel i procent (%)",Miljö!$B$1:$O$1,0),FALSE)/100,"")</f>
        <v/>
      </c>
      <c r="AU264" s="227"/>
      <c r="AV264" s="227" t="str">
        <f t="shared" si="27"/>
        <v>Nej</v>
      </c>
      <c r="AW264" s="227" t="str">
        <f>IF(AV264="ja",VLOOKUP($B264,'Egen hetvattenprod'!$B$1:$AO$500,MATCH("Värmekälla till värmepumpar ()",'Egen hetvattenprod'!$B$1:$AO$1,0),FALSE),"")</f>
        <v/>
      </c>
      <c r="AX264" s="227"/>
      <c r="AY264" s="227" t="str">
        <f t="shared" si="28"/>
        <v>Ja</v>
      </c>
      <c r="AZ264" s="228">
        <f>IF($AY264="ja",(VLOOKUP($B264,'Egen hetvattenprod'!$B$1:$BX$550,MATCH(AZ$2,'Egen hetvattenprod'!$B$1:$BX$1,0),FALSE)+VLOOKUP($B264,Kraftvärmeprod!$B$1:$BX$550,MATCH(AZ$2,Kraftvärmeprod!$B$1:$BX$1,0),FALSE))/$AC264,"")</f>
        <v>1</v>
      </c>
      <c r="BA264" s="228">
        <f>IF($AY264="ja",(VLOOKUP($B264,'Egen hetvattenprod'!$B$1:$BX$550,MATCH(BA$2,'Egen hetvattenprod'!$B$1:$BX$1,0),FALSE)+VLOOKUP($B264,Kraftvärmeprod!$B$1:$BX$550,MATCH(BA$2,Kraftvärmeprod!$B$1:$BX$1,0),FALSE))/$AC264,"")</f>
        <v>0</v>
      </c>
      <c r="BB264" s="228">
        <f>IF($AY264="ja",(VLOOKUP($B264,'Egen hetvattenprod'!$B$1:$BX$550,MATCH(BB$2,'Egen hetvattenprod'!$B$1:$BX$1,0),FALSE)+VLOOKUP($B264,Kraftvärmeprod!$B$1:$BX$550,MATCH(BB$2,Kraftvärmeprod!$B$1:$BX$1,0),FALSE))/$AC264,"")</f>
        <v>0</v>
      </c>
      <c r="BC264" s="228">
        <f>IF($AY264="ja",(VLOOKUP($B264,'Egen hetvattenprod'!$B$1:$BX$550,MATCH(BC$2,'Egen hetvattenprod'!$B$1:$BX$1,0),FALSE)+VLOOKUP($B264,Kraftvärmeprod!$B$1:$BX$550,MATCH(BC$2,Kraftvärmeprod!$B$1:$BX$1,0),FALSE))/$AC264,"")</f>
        <v>0</v>
      </c>
      <c r="BD264" s="228">
        <f>IF($AY264="ja",(VLOOKUP($B264,'Egen hetvattenprod'!$B$1:$BX$550,MATCH(BD$2,'Egen hetvattenprod'!$B$1:$BX$1,0),FALSE)+VLOOKUP($B264,Kraftvärmeprod!$B$1:$BX$550,MATCH(BD$2,Kraftvärmeprod!$B$1:$BX$1,0),FALSE))/$AC264,"")</f>
        <v>0</v>
      </c>
      <c r="BE264" s="227"/>
      <c r="BF264" s="227" t="str">
        <f t="shared" si="29"/>
        <v>Nej</v>
      </c>
      <c r="BG264" s="227" t="str">
        <f>IF($BF264="ja",VLOOKUP($B264,'Egen hetvattenprod'!$B$1:$BX$550,MATCH("Andelen klimatgaser med fossilt ursprung för avfall ()",'Egen hetvattenprod'!$B$1:$BX$1,0),FALSE),"")</f>
        <v/>
      </c>
      <c r="BH264" s="227" t="str">
        <f>IF($BF264="ja",VLOOKUP($B264,Kraftvärmeprod!$B$1:$BX$550,MATCH("Andelen klimatgaser med fossilt ursprung för avfall ()",Kraftvärmeprod!$B$1:$BX$1,0),FALSE),"")</f>
        <v/>
      </c>
      <c r="BI264" s="227" t="str">
        <f>IF($BF264="ja",VLOOKUP($B264,'Egen hetvattenprod'!$B$1:$BX$550,MATCH("Avfall (GWh)",'Egen hetvattenprod'!$B$1:$BX$1,0),FALSE),"")</f>
        <v/>
      </c>
      <c r="BJ264" s="227" t="str">
        <f>IF($BF264="ja",VLOOKUP($B264,'Slutlig allokering kvv'!$B$1:$BX$550,MATCH("Avfall (GWh)",'Slutlig allokering kvv'!$B$1:$BX$1,0),FALSE),"")</f>
        <v/>
      </c>
      <c r="BK264" s="227" t="str">
        <f>IF($BF264="ja",VLOOKUP($B264,'Köpt hetvatten'!$B$1:$BX$550,MATCH("Avfall i köpt hetvatten",'Köpt hetvatten'!$B$1:$BX$1,0),FALSE),"")</f>
        <v/>
      </c>
      <c r="BL264" s="227" t="str">
        <f>IF($BF264="ja",VLOOKUP($B264,'Egen hetvattenprod'!$B$1:$BX$550,MATCH("Värde enligt ovan. (%)",'Egen hetvattenprod'!$B$1:$BX$1,0),FALSE),"")</f>
        <v/>
      </c>
      <c r="BM264" s="227" t="str">
        <f>IF($BF264="ja",VLOOKUP($B264,Kraftvärmeprod!$B$1:$BX$550,MATCH("Värde enligt ovan. (%)",Kraftvärmeprod!$B$1:$BX$1,0),FALSE),"")</f>
        <v/>
      </c>
      <c r="BN264" s="227"/>
      <c r="BO264" s="227"/>
      <c r="BP264" s="227"/>
      <c r="BQ264" s="227" t="str">
        <f>IF($BF264="ja",VLOOKUP($B264,'Egen hetvattenprod'!$B$1:$BX$550,MATCH("Tillförd olja (fossil) vid avfallsförbränning (GWh)",'Egen hetvattenprod'!$B$1:$BX$1,0),FALSE),"")</f>
        <v/>
      </c>
      <c r="BR264" s="227" t="str">
        <f>IF($BF264="ja",VLOOKUP($B264,Kraftvärmeprod!$B$1:$BX$550,MATCH("Tillförd olja (fossil) vid avfallsförbränning (GWh)",Kraftvärmeprod!$B$1:$BX$1,0),FALSE),"")</f>
        <v/>
      </c>
      <c r="BS264" s="227"/>
      <c r="BT264" s="227"/>
      <c r="BU264" s="227"/>
    </row>
    <row r="265" spans="1:73" x14ac:dyDescent="0.25">
      <c r="A265" s="121" t="str">
        <f>'Miljövärden för publ företag'!B268</f>
        <v>Telge Nät AB</v>
      </c>
      <c r="B265" s="121" t="str">
        <f>'Miljövärden för publ företag'!C268</f>
        <v>Järna</v>
      </c>
      <c r="C265" s="173">
        <f>IFERROR(VLOOKUP($B265,Totalt!$B$1:$AQ$554,MATCH(C$2,Totalt!$B$1:$AQ$1,0),FALSE),"")</f>
        <v>0</v>
      </c>
      <c r="D265" s="173">
        <f>IFERROR(VLOOKUP($B265,Totalt!$B$1:$AQ$554,MATCH(D$2,Totalt!$B$1:$AQ$1,0),FALSE),"")</f>
        <v>0</v>
      </c>
      <c r="E265" s="173">
        <f>IFERROR(VLOOKUP($B265,Totalt!$B$1:$AQ$554,MATCH(E$2,Totalt!$B$1:$AQ$1,0),FALSE),"")</f>
        <v>0</v>
      </c>
      <c r="F265" s="173">
        <f>IFERROR(VLOOKUP($B265,Totalt!$B$1:$AQ$554,MATCH(F$2,Totalt!$B$1:$AQ$1,0),FALSE),"")</f>
        <v>0</v>
      </c>
      <c r="G265" s="173">
        <f>IFERROR(VLOOKUP($B265,Totalt!$B$1:$AQ$554,MATCH(G$2,Totalt!$B$1:$AQ$1,0),FALSE),"")</f>
        <v>0</v>
      </c>
      <c r="H265" s="173">
        <f>IFERROR(VLOOKUP($B265,Totalt!$B$1:$AQ$554,MATCH(H$2,Totalt!$B$1:$AQ$1,0),FALSE),"")</f>
        <v>0</v>
      </c>
      <c r="I265" s="173">
        <f>IFERROR(VLOOKUP($B265,Totalt!$B$1:$AQ$554,MATCH(I$2,Totalt!$B$1:$AQ$1,0),FALSE),"")</f>
        <v>0</v>
      </c>
      <c r="J265" s="173">
        <f>IFERROR(VLOOKUP($B265,Totalt!$B$1:$AQ$554,MATCH(J$2,Totalt!$B$1:$AQ$1,0),FALSE),"")</f>
        <v>0.98799999999999999</v>
      </c>
      <c r="K265" s="173">
        <f>IFERROR(VLOOKUP($B265,Totalt!$B$1:$AQ$554,MATCH(K$2,Totalt!$B$1:$AQ$1,0),FALSE),"")</f>
        <v>0</v>
      </c>
      <c r="L265" s="173">
        <f>IFERROR(VLOOKUP($B265,Totalt!$B$1:$AQ$554,MATCH(L$2,Totalt!$B$1:$AQ$1,0),FALSE),"")</f>
        <v>0</v>
      </c>
      <c r="M265" s="173">
        <f>IFERROR(VLOOKUP($B265,Totalt!$B$1:$AQ$554,MATCH(M$2,Totalt!$B$1:$AQ$1,0),FALSE),"")</f>
        <v>0</v>
      </c>
      <c r="N265" s="173">
        <f>IFERROR(VLOOKUP($B265,Totalt!$B$1:$AQ$554,MATCH(N$2,Totalt!$B$1:$AQ$1,0),FALSE),"")</f>
        <v>0</v>
      </c>
      <c r="O265" s="173">
        <f>IFERROR(VLOOKUP($B265,Totalt!$B$1:$AQ$554,MATCH(O$2,Totalt!$B$1:$AQ$1,0),FALSE),"")</f>
        <v>0</v>
      </c>
      <c r="P265" s="173">
        <f>IFERROR(VLOOKUP($B265,Totalt!$B$1:$AQ$554,MATCH(P$2,Totalt!$B$1:$AQ$1,0),FALSE),"")</f>
        <v>0</v>
      </c>
      <c r="Q265" s="173">
        <f>IFERROR(VLOOKUP($B265,Totalt!$B$1:$AQ$554,MATCH(Q$2,Totalt!$B$1:$AQ$1,0),FALSE),"")</f>
        <v>0</v>
      </c>
      <c r="R265" s="173">
        <f>IFERROR(VLOOKUP($B265,Totalt!$B$1:$AQ$554,MATCH(R$2,Totalt!$B$1:$AQ$1,0),FALSE),"")</f>
        <v>6.3390000000000004</v>
      </c>
      <c r="S265" s="173">
        <f>IFERROR(VLOOKUP($B265,Totalt!$B$1:$AQ$554,MATCH(S$2,Totalt!$B$1:$AQ$1,0),FALSE),"")</f>
        <v>0</v>
      </c>
      <c r="T265" s="173">
        <f>IFERROR(VLOOKUP($B265,Totalt!$B$1:$AQ$554,MATCH(T$2,Totalt!$B$1:$AQ$1,0),FALSE),"")</f>
        <v>0</v>
      </c>
      <c r="U265" s="173">
        <f>IFERROR(VLOOKUP($B265,Totalt!$B$1:$AQ$554,MATCH(U$2,Totalt!$B$1:$AQ$1,0),FALSE),"")</f>
        <v>0</v>
      </c>
      <c r="V265" s="173">
        <f>IFERROR(VLOOKUP($B265,Totalt!$B$1:$AQ$554,MATCH(V$2,Totalt!$B$1:$AQ$1,0),FALSE),"")</f>
        <v>0</v>
      </c>
      <c r="W265" s="173">
        <f>IFERROR(VLOOKUP($B265,Totalt!$B$1:$AQ$554,MATCH(W$2,Totalt!$B$1:$AQ$1,0),FALSE),"")</f>
        <v>6.1669999999999998</v>
      </c>
      <c r="X265" s="173">
        <f>IFERROR(VLOOKUP($B265,Totalt!$B$1:$AQ$554,MATCH(X$2,Totalt!$B$1:$AQ$1,0),FALSE),"")</f>
        <v>0</v>
      </c>
      <c r="Y265" s="173">
        <f>IFERROR(VLOOKUP($B265,Totalt!$B$1:$AQ$554,MATCH(Y$2,Totalt!$B$1:$AQ$1,0),FALSE),"")</f>
        <v>0</v>
      </c>
      <c r="Z265" s="173">
        <f>IFERROR(VLOOKUP($B265,Totalt!$B$1:$AQ$554,MATCH(Z$2,Totalt!$B$1:$AQ$1,0),FALSE),"")</f>
        <v>0</v>
      </c>
      <c r="AA265" s="173">
        <f>IFERROR(VLOOKUP($B265,Totalt!$B$1:$AQ$554,MATCH(AA$2,Totalt!$B$1:$AQ$1,0),FALSE),"")</f>
        <v>0</v>
      </c>
      <c r="AB265" s="173">
        <f>IFERROR(VLOOKUP($B265,Totalt!$B$1:$AQ$554,MATCH(AB$2,Totalt!$B$1:$AQ$1,0),FALSE),"")</f>
        <v>0</v>
      </c>
      <c r="AC265" s="173">
        <f>IFERROR(VLOOKUP($B265,Totalt!$B$1:$AQ$554,MATCH(AC$2,Totalt!$B$1:$AQ$1,0),FALSE),"")</f>
        <v>0</v>
      </c>
      <c r="AD265" s="173">
        <f>IFERROR(VLOOKUP($B265,Totalt!$B$1:$AQ$554,MATCH(AD$2,Totalt!$B$1:$AQ$1,0),FALSE),"")</f>
        <v>31</v>
      </c>
      <c r="AE265" s="173">
        <f>IFERROR(VLOOKUP($B265,Totalt!$B$1:$AQ$554,MATCH(AE$2,Totalt!$B$1:$AQ$1,0),FALSE),"")</f>
        <v>0</v>
      </c>
      <c r="AF265" s="173">
        <f>IFERROR(VLOOKUP($B265,Totalt!$B$1:$AQ$554,MATCH(AF$2,Totalt!$B$1:$AQ$1,0),FALSE),"")</f>
        <v>2.2999999999999998</v>
      </c>
      <c r="AG265" s="173">
        <f>IFERROR(VLOOKUP($B265,Totalt!$B$1:$AQ$554,MATCH(AG$2,Totalt!$B$1:$AQ$1,0),FALSE),"")</f>
        <v>0</v>
      </c>
      <c r="AI265" s="226">
        <f t="shared" si="24"/>
        <v>46.793999999999997</v>
      </c>
      <c r="AJ265" s="226">
        <f>IF(ISERROR(1/VLOOKUP($B265,Leveranser!$B$1:$S$500,MATCH("såld värme (gwh)",Leveranser!$B$1:$S$1,0),FALSE)),"",VLOOKUP($B265,Leveranser!$B$1:$S$500,MATCH("såld värme (gwh)",Leveranser!$B$1:$S$1,0),FALSE))</f>
        <v>43</v>
      </c>
      <c r="AM265" s="227" t="str">
        <f>IF(B265&lt;&gt;"",IF(VLOOKUP($B265,Totalt!$B$1:$AQ$554,MATCH("Kvalitetsgranskad:",Totalt!$B$1:$AQ$1,0),FALSE)="ja",VLOOKUP($B265,Miljö!$B$1:$AG$479,MATCH(AM$2,Miljö!$B$1:$AK$1,0),FALSE),""),"")</f>
        <v>Ja</v>
      </c>
      <c r="AN265" s="227" t="str">
        <f>IF(AM265="ja",VLOOKUP($B265,Miljö!$B$1:$J$479,MATCH("Typ av ursprungsspecificerad el   (Om inget värde anges används Nordisk residualmix, se inforuta) ()",Miljö!$B$1:$J$1,0),FALSE),IF(AM265="nej","Nordisk residualel",""))</f>
        <v>'vind och vatten'</v>
      </c>
      <c r="AO265" s="227">
        <f>IF(AM265="","",VLOOKUP($B265,Miljö!$B$1:$J$479,MATCH("Fossilandel för ursprungspecificerad el ()",Miljö!$B$1:$J$1,0),FALSE))</f>
        <v>0</v>
      </c>
      <c r="AP265" s="227">
        <f>IF(AM265="","",IFERROR(VLOOKUP($B265,Miljö!$B$1:$J$479,MATCH("Kärnkraftsandel för ursprungsspecificerad el ()",Miljö!$B$1:$J$1,0),FALSE)/1,0))</f>
        <v>0</v>
      </c>
      <c r="AQ265" s="227">
        <f t="shared" si="25"/>
        <v>1</v>
      </c>
      <c r="AR265" s="227"/>
      <c r="AS265" s="227" t="str">
        <f t="shared" si="26"/>
        <v>Nej</v>
      </c>
      <c r="AT265" s="227" t="str">
        <f>IF(AS265="ja",VLOOKUP($B265,Miljö!$B$1:$O$500,MATCH("Fossil andel i procent (%)",Miljö!$B$1:$O$1,0),FALSE)/100,"")</f>
        <v/>
      </c>
      <c r="AU265" s="227"/>
      <c r="AV265" s="227" t="str">
        <f t="shared" si="27"/>
        <v>Nej</v>
      </c>
      <c r="AW265" s="227" t="str">
        <f>IF(AV265="ja",VLOOKUP($B265,'Egen hetvattenprod'!$B$1:$AO$500,MATCH("Värmekälla till värmepumpar ()",'Egen hetvattenprod'!$B$1:$AO$1,0),FALSE),"")</f>
        <v/>
      </c>
      <c r="AX265" s="227"/>
      <c r="AY265" s="227" t="str">
        <f t="shared" si="28"/>
        <v>Nej</v>
      </c>
      <c r="AZ265" s="228" t="str">
        <f>IF($AY265="ja",(VLOOKUP($B265,'Egen hetvattenprod'!$B$1:$BX$550,MATCH(AZ$2,'Egen hetvattenprod'!$B$1:$BX$1,0),FALSE)+VLOOKUP($B265,Kraftvärmeprod!$B$1:$BX$550,MATCH(AZ$2,Kraftvärmeprod!$B$1:$BX$1,0),FALSE))/$AC265,"")</f>
        <v/>
      </c>
      <c r="BA265" s="228" t="str">
        <f>IF($AY265="ja",(VLOOKUP($B265,'Egen hetvattenprod'!$B$1:$BX$550,MATCH(BA$2,'Egen hetvattenprod'!$B$1:$BX$1,0),FALSE)+VLOOKUP($B265,Kraftvärmeprod!$B$1:$BX$550,MATCH(BA$2,Kraftvärmeprod!$B$1:$BX$1,0),FALSE))/$AC265,"")</f>
        <v/>
      </c>
      <c r="BB265" s="228" t="str">
        <f>IF($AY265="ja",(VLOOKUP($B265,'Egen hetvattenprod'!$B$1:$BX$550,MATCH(BB$2,'Egen hetvattenprod'!$B$1:$BX$1,0),FALSE)+VLOOKUP($B265,Kraftvärmeprod!$B$1:$BX$550,MATCH(BB$2,Kraftvärmeprod!$B$1:$BX$1,0),FALSE))/$AC265,"")</f>
        <v/>
      </c>
      <c r="BC265" s="228" t="str">
        <f>IF($AY265="ja",(VLOOKUP($B265,'Egen hetvattenprod'!$B$1:$BX$550,MATCH(BC$2,'Egen hetvattenprod'!$B$1:$BX$1,0),FALSE)+VLOOKUP($B265,Kraftvärmeprod!$B$1:$BX$550,MATCH(BC$2,Kraftvärmeprod!$B$1:$BX$1,0),FALSE))/$AC265,"")</f>
        <v/>
      </c>
      <c r="BD265" s="228" t="str">
        <f>IF($AY265="ja",(VLOOKUP($B265,'Egen hetvattenprod'!$B$1:$BX$550,MATCH(BD$2,'Egen hetvattenprod'!$B$1:$BX$1,0),FALSE)+VLOOKUP($B265,Kraftvärmeprod!$B$1:$BX$550,MATCH(BD$2,Kraftvärmeprod!$B$1:$BX$1,0),FALSE))/$AC265,"")</f>
        <v/>
      </c>
      <c r="BE265" s="227"/>
      <c r="BF265" s="227" t="str">
        <f t="shared" si="29"/>
        <v>Nej</v>
      </c>
      <c r="BG265" s="227" t="str">
        <f>IF($BF265="ja",VLOOKUP($B265,'Egen hetvattenprod'!$B$1:$BX$550,MATCH("Andelen klimatgaser med fossilt ursprung för avfall ()",'Egen hetvattenprod'!$B$1:$BX$1,0),FALSE),"")</f>
        <v/>
      </c>
      <c r="BH265" s="227" t="str">
        <f>IF($BF265="ja",VLOOKUP($B265,Kraftvärmeprod!$B$1:$BX$550,MATCH("Andelen klimatgaser med fossilt ursprung för avfall ()",Kraftvärmeprod!$B$1:$BX$1,0),FALSE),"")</f>
        <v/>
      </c>
      <c r="BI265" s="227" t="str">
        <f>IF($BF265="ja",VLOOKUP($B265,'Egen hetvattenprod'!$B$1:$BX$550,MATCH("Avfall (GWh)",'Egen hetvattenprod'!$B$1:$BX$1,0),FALSE),"")</f>
        <v/>
      </c>
      <c r="BJ265" s="227" t="str">
        <f>IF($BF265="ja",VLOOKUP($B265,'Slutlig allokering kvv'!$B$1:$BX$550,MATCH("Avfall (GWh)",'Slutlig allokering kvv'!$B$1:$BX$1,0),FALSE),"")</f>
        <v/>
      </c>
      <c r="BK265" s="227" t="str">
        <f>IF($BF265="ja",VLOOKUP($B265,'Köpt hetvatten'!$B$1:$BX$550,MATCH("Avfall i köpt hetvatten",'Köpt hetvatten'!$B$1:$BX$1,0),FALSE),"")</f>
        <v/>
      </c>
      <c r="BL265" s="227" t="str">
        <f>IF($BF265="ja",VLOOKUP($B265,'Egen hetvattenprod'!$B$1:$BX$550,MATCH("Värde enligt ovan. (%)",'Egen hetvattenprod'!$B$1:$BX$1,0),FALSE),"")</f>
        <v/>
      </c>
      <c r="BM265" s="227" t="str">
        <f>IF($BF265="ja",VLOOKUP($B265,Kraftvärmeprod!$B$1:$BX$550,MATCH("Värde enligt ovan. (%)",Kraftvärmeprod!$B$1:$BX$1,0),FALSE),"")</f>
        <v/>
      </c>
      <c r="BN265" s="227"/>
      <c r="BO265" s="227"/>
      <c r="BP265" s="227"/>
      <c r="BQ265" s="227" t="str">
        <f>IF($BF265="ja",VLOOKUP($B265,'Egen hetvattenprod'!$B$1:$BX$550,MATCH("Tillförd olja (fossil) vid avfallsförbränning (GWh)",'Egen hetvattenprod'!$B$1:$BX$1,0),FALSE),"")</f>
        <v/>
      </c>
      <c r="BR265" s="227" t="str">
        <f>IF($BF265="ja",VLOOKUP($B265,Kraftvärmeprod!$B$1:$BX$550,MATCH("Tillförd olja (fossil) vid avfallsförbränning (GWh)",Kraftvärmeprod!$B$1:$BX$1,0),FALSE),"")</f>
        <v/>
      </c>
      <c r="BS265" s="227"/>
      <c r="BT265" s="227"/>
      <c r="BU265" s="227"/>
    </row>
    <row r="266" spans="1:73" x14ac:dyDescent="0.25">
      <c r="A266" s="121" t="str">
        <f>'Miljövärden för publ företag'!B269</f>
        <v>Telge Nät AB</v>
      </c>
      <c r="B266" s="121" t="str">
        <f>'Miljövärden för publ företag'!C269</f>
        <v>Södertälje</v>
      </c>
      <c r="C266" s="173">
        <f>IFERROR(VLOOKUP($B266,Totalt!$B$1:$AQ$554,MATCH(C$2,Totalt!$B$1:$AQ$1,0),FALSE),"")</f>
        <v>0</v>
      </c>
      <c r="D266" s="173">
        <f>IFERROR(VLOOKUP($B266,Totalt!$B$1:$AQ$554,MATCH(D$2,Totalt!$B$1:$AQ$1,0),FALSE),"")</f>
        <v>2.7640699999999998</v>
      </c>
      <c r="E266" s="173">
        <f>IFERROR(VLOOKUP($B266,Totalt!$B$1:$AQ$554,MATCH(E$2,Totalt!$B$1:$AQ$1,0),FALSE),"")</f>
        <v>0</v>
      </c>
      <c r="F266" s="173">
        <f>IFERROR(VLOOKUP($B266,Totalt!$B$1:$AQ$554,MATCH(F$2,Totalt!$B$1:$AQ$1,0),FALSE),"")</f>
        <v>3.4969999999999999</v>
      </c>
      <c r="G266" s="173">
        <f>IFERROR(VLOOKUP($B266,Totalt!$B$1:$AQ$554,MATCH(G$2,Totalt!$B$1:$AQ$1,0),FALSE),"")</f>
        <v>0</v>
      </c>
      <c r="H266" s="173">
        <f>IFERROR(VLOOKUP($B266,Totalt!$B$1:$AQ$554,MATCH(H$2,Totalt!$B$1:$AQ$1,0),FALSE),"")</f>
        <v>0</v>
      </c>
      <c r="I266" s="173">
        <f>IFERROR(VLOOKUP($B266,Totalt!$B$1:$AQ$554,MATCH(I$2,Totalt!$B$1:$AQ$1,0),FALSE),"")</f>
        <v>161.798</v>
      </c>
      <c r="J266" s="173">
        <f>IFERROR(VLOOKUP($B266,Totalt!$B$1:$AQ$554,MATCH(J$2,Totalt!$B$1:$AQ$1,0),FALSE),"")</f>
        <v>0</v>
      </c>
      <c r="K266" s="173">
        <f>IFERROR(VLOOKUP($B266,Totalt!$B$1:$AQ$554,MATCH(K$2,Totalt!$B$1:$AQ$1,0),FALSE),"")</f>
        <v>0</v>
      </c>
      <c r="L266" s="173">
        <f>IFERROR(VLOOKUP($B266,Totalt!$B$1:$AQ$554,MATCH(L$2,Totalt!$B$1:$AQ$1,0),FALSE),"")</f>
        <v>307.58699999999999</v>
      </c>
      <c r="M266" s="173">
        <f>IFERROR(VLOOKUP($B266,Totalt!$B$1:$AQ$554,MATCH(M$2,Totalt!$B$1:$AQ$1,0),FALSE),"")</f>
        <v>22.665700000000001</v>
      </c>
      <c r="N266" s="173">
        <f>IFERROR(VLOOKUP($B266,Totalt!$B$1:$AQ$554,MATCH(N$2,Totalt!$B$1:$AQ$1,0),FALSE),"")</f>
        <v>29.966799999999999</v>
      </c>
      <c r="O266" s="173">
        <f>IFERROR(VLOOKUP($B266,Totalt!$B$1:$AQ$554,MATCH(O$2,Totalt!$B$1:$AQ$1,0),FALSE),"")</f>
        <v>38.218499999999999</v>
      </c>
      <c r="P266" s="173">
        <f>IFERROR(VLOOKUP($B266,Totalt!$B$1:$AQ$554,MATCH(P$2,Totalt!$B$1:$AQ$1,0),FALSE),"")</f>
        <v>12.1378</v>
      </c>
      <c r="Q266" s="173">
        <f>IFERROR(VLOOKUP($B266,Totalt!$B$1:$AQ$554,MATCH(Q$2,Totalt!$B$1:$AQ$1,0),FALSE),"")</f>
        <v>0</v>
      </c>
      <c r="R266" s="173">
        <f>IFERROR(VLOOKUP($B266,Totalt!$B$1:$AQ$554,MATCH(R$2,Totalt!$B$1:$AQ$1,0),FALSE),"")</f>
        <v>15.49</v>
      </c>
      <c r="S266" s="173">
        <f>IFERROR(VLOOKUP($B266,Totalt!$B$1:$AQ$554,MATCH(S$2,Totalt!$B$1:$AQ$1,0),FALSE),"")</f>
        <v>0</v>
      </c>
      <c r="T266" s="173">
        <f>IFERROR(VLOOKUP($B266,Totalt!$B$1:$AQ$554,MATCH(T$2,Totalt!$B$1:$AQ$1,0),FALSE),"")</f>
        <v>0</v>
      </c>
      <c r="U266" s="173">
        <f>IFERROR(VLOOKUP($B266,Totalt!$B$1:$AQ$554,MATCH(U$2,Totalt!$B$1:$AQ$1,0),FALSE),"")</f>
        <v>0</v>
      </c>
      <c r="V266" s="173">
        <f>IFERROR(VLOOKUP($B266,Totalt!$B$1:$AQ$554,MATCH(V$2,Totalt!$B$1:$AQ$1,0),FALSE),"")</f>
        <v>7.58</v>
      </c>
      <c r="W266" s="173">
        <f>IFERROR(VLOOKUP($B266,Totalt!$B$1:$AQ$554,MATCH(W$2,Totalt!$B$1:$AQ$1,0),FALSE),"")</f>
        <v>0</v>
      </c>
      <c r="X266" s="173">
        <f>IFERROR(VLOOKUP($B266,Totalt!$B$1:$AQ$554,MATCH(X$2,Totalt!$B$1:$AQ$1,0),FALSE),"")</f>
        <v>5.4293599999999997E-2</v>
      </c>
      <c r="Y266" s="173">
        <f>IFERROR(VLOOKUP($B266,Totalt!$B$1:$AQ$554,MATCH(Y$2,Totalt!$B$1:$AQ$1,0),FALSE),"")</f>
        <v>0</v>
      </c>
      <c r="Z266" s="173">
        <f>IFERROR(VLOOKUP($B266,Totalt!$B$1:$AQ$554,MATCH(Z$2,Totalt!$B$1:$AQ$1,0),FALSE),"")</f>
        <v>2.67</v>
      </c>
      <c r="AA266" s="173">
        <f>IFERROR(VLOOKUP($B266,Totalt!$B$1:$AQ$554,MATCH(AA$2,Totalt!$B$1:$AQ$1,0),FALSE),"")</f>
        <v>0</v>
      </c>
      <c r="AB266" s="173">
        <f>IFERROR(VLOOKUP($B266,Totalt!$B$1:$AQ$554,MATCH(AB$2,Totalt!$B$1:$AQ$1,0),FALSE),"")</f>
        <v>0</v>
      </c>
      <c r="AC266" s="173">
        <f>IFERROR(VLOOKUP($B266,Totalt!$B$1:$AQ$554,MATCH(AC$2,Totalt!$B$1:$AQ$1,0),FALSE),"")</f>
        <v>134.47</v>
      </c>
      <c r="AD266" s="173">
        <f>IFERROR(VLOOKUP($B266,Totalt!$B$1:$AQ$554,MATCH(AD$2,Totalt!$B$1:$AQ$1,0),FALSE),"")</f>
        <v>0</v>
      </c>
      <c r="AE266" s="173">
        <f>IFERROR(VLOOKUP($B266,Totalt!$B$1:$AQ$554,MATCH(AE$2,Totalt!$B$1:$AQ$1,0),FALSE),"")</f>
        <v>0</v>
      </c>
      <c r="AF266" s="173">
        <f>IFERROR(VLOOKUP($B266,Totalt!$B$1:$AQ$554,MATCH(AF$2,Totalt!$B$1:$AQ$1,0),FALSE),"")</f>
        <v>34.326999999999998</v>
      </c>
      <c r="AG266" s="173">
        <f>IFERROR(VLOOKUP($B266,Totalt!$B$1:$AQ$554,MATCH(AG$2,Totalt!$B$1:$AQ$1,0),FALSE),"")</f>
        <v>4.38</v>
      </c>
      <c r="AI266" s="226">
        <f t="shared" si="24"/>
        <v>777.60616360000006</v>
      </c>
      <c r="AJ266" s="226">
        <f>IF(ISERROR(1/VLOOKUP($B266,Leveranser!$B$1:$S$500,MATCH("såld värme (gwh)",Leveranser!$B$1:$S$1,0),FALSE)),"",VLOOKUP($B266,Leveranser!$B$1:$S$500,MATCH("såld värme (gwh)",Leveranser!$B$1:$S$1,0),FALSE))</f>
        <v>688</v>
      </c>
      <c r="AM266" s="227" t="str">
        <f>IF(B266&lt;&gt;"",IF(VLOOKUP($B266,Totalt!$B$1:$AQ$554,MATCH("Kvalitetsgranskad:",Totalt!$B$1:$AQ$1,0),FALSE)="ja",VLOOKUP($B266,Miljö!$B$1:$AG$479,MATCH(AM$2,Miljö!$B$1:$AK$1,0),FALSE),""),"")</f>
        <v>Ja</v>
      </c>
      <c r="AN266" s="227" t="str">
        <f>IF(AM266="ja",VLOOKUP($B266,Miljö!$B$1:$J$479,MATCH("Typ av ursprungsspecificerad el   (Om inget värde anges används Nordisk residualmix, se inforuta) ()",Miljö!$B$1:$J$1,0),FALSE),IF(AM266="nej","Nordisk residualel",""))</f>
        <v>'Biokraft'</v>
      </c>
      <c r="AO266" s="227">
        <f>IF(AM266="","",VLOOKUP($B266,Miljö!$B$1:$J$479,MATCH("Fossilandel för ursprungspecificerad el ()",Miljö!$B$1:$J$1,0),FALSE))</f>
        <v>0</v>
      </c>
      <c r="AP266" s="227">
        <f>IF(AM266="","",IFERROR(VLOOKUP($B266,Miljö!$B$1:$J$479,MATCH("Kärnkraftsandel för ursprungsspecificerad el ()",Miljö!$B$1:$J$1,0),FALSE)/1,0))</f>
        <v>0</v>
      </c>
      <c r="AQ266" s="227">
        <f t="shared" si="25"/>
        <v>1</v>
      </c>
      <c r="AR266" s="227"/>
      <c r="AS266" s="227" t="str">
        <f t="shared" si="26"/>
        <v>Ja</v>
      </c>
      <c r="AT266" s="227">
        <f>IF(AS266="ja",VLOOKUP($B266,Miljö!$B$1:$O$500,MATCH("Fossil andel i procent (%)",Miljö!$B$1:$O$1,0),FALSE)/100,"")</f>
        <v>0.04</v>
      </c>
      <c r="AU266" s="227"/>
      <c r="AV266" s="227" t="str">
        <f t="shared" si="27"/>
        <v>Nej</v>
      </c>
      <c r="AW266" s="227" t="str">
        <f>IF(AV266="ja",VLOOKUP($B266,'Egen hetvattenprod'!$B$1:$AO$500,MATCH("Värmekälla till värmepumpar ()",'Egen hetvattenprod'!$B$1:$AO$1,0),FALSE),"")</f>
        <v/>
      </c>
      <c r="AX266" s="227"/>
      <c r="AY266" s="227" t="str">
        <f t="shared" si="28"/>
        <v>Ja</v>
      </c>
      <c r="AZ266" s="228">
        <f>IF($AY266="ja",(VLOOKUP($B266,'Egen hetvattenprod'!$B$1:$BX$550,MATCH(AZ$2,'Egen hetvattenprod'!$B$1:$BX$1,0),FALSE)+VLOOKUP($B266,Kraftvärmeprod!$B$1:$BX$550,MATCH(AZ$2,Kraftvärmeprod!$B$1:$BX$1,0),FALSE))/$AC266,"")</f>
        <v>0.99535063582955297</v>
      </c>
      <c r="BA266" s="228">
        <f>IF($AY266="ja",(VLOOKUP($B266,'Egen hetvattenprod'!$B$1:$BX$550,MATCH(BA$2,'Egen hetvattenprod'!$B$1:$BX$1,0),FALSE)+VLOOKUP($B266,Kraftvärmeprod!$B$1:$BX$550,MATCH(BA$2,Kraftvärmeprod!$B$1:$BX$1,0),FALSE))/$AC266,"")</f>
        <v>4.6493641704469409E-3</v>
      </c>
      <c r="BB266" s="228">
        <f>IF($AY266="ja",(VLOOKUP($B266,'Egen hetvattenprod'!$B$1:$BX$550,MATCH(BB$2,'Egen hetvattenprod'!$B$1:$BX$1,0),FALSE)+VLOOKUP($B266,Kraftvärmeprod!$B$1:$BX$550,MATCH(BB$2,Kraftvärmeprod!$B$1:$BX$1,0),FALSE))/$AC266,"")</f>
        <v>0</v>
      </c>
      <c r="BC266" s="228">
        <f>IF($AY266="ja",(VLOOKUP($B266,'Egen hetvattenprod'!$B$1:$BX$550,MATCH(BC$2,'Egen hetvattenprod'!$B$1:$BX$1,0),FALSE)+VLOOKUP($B266,Kraftvärmeprod!$B$1:$BX$550,MATCH(BC$2,Kraftvärmeprod!$B$1:$BX$1,0),FALSE))/$AC266,"")</f>
        <v>0</v>
      </c>
      <c r="BD266" s="228">
        <f>IF($AY266="ja",(VLOOKUP($B266,'Egen hetvattenprod'!$B$1:$BX$550,MATCH(BD$2,'Egen hetvattenprod'!$B$1:$BX$1,0),FALSE)+VLOOKUP($B266,Kraftvärmeprod!$B$1:$BX$550,MATCH(BD$2,Kraftvärmeprod!$B$1:$BX$1,0),FALSE))/$AC266,"")</f>
        <v>1.3210060529487994E-17</v>
      </c>
      <c r="BE266" s="227"/>
      <c r="BF266" s="227" t="str">
        <f t="shared" si="29"/>
        <v>Ja</v>
      </c>
      <c r="BG266" s="227" t="str">
        <f>IF($BF266="ja",VLOOKUP($B266,'Egen hetvattenprod'!$B$1:$BX$550,MATCH("Andelen klimatgaser med fossilt ursprung för avfall ()",'Egen hetvattenprod'!$B$1:$BX$1,0),FALSE),"")</f>
        <v>Mätvärde</v>
      </c>
      <c r="BH266" s="227" t="str">
        <f>IF($BF266="ja",VLOOKUP($B266,Kraftvärmeprod!$B$1:$BX$550,MATCH("Andelen klimatgaser med fossilt ursprung för avfall ()",Kraftvärmeprod!$B$1:$BX$1,0),FALSE),"")</f>
        <v>Schablon</v>
      </c>
      <c r="BI266" s="227">
        <f>IF($BF266="ja",VLOOKUP($B266,'Egen hetvattenprod'!$B$1:$BX$550,MATCH("Avfall (GWh)",'Egen hetvattenprod'!$B$1:$BX$1,0),FALSE),"")</f>
        <v>161.79</v>
      </c>
      <c r="BJ266" s="227">
        <f>IF($BF266="ja",VLOOKUP($B266,'Slutlig allokering kvv'!$B$1:$BX$550,MATCH("Avfall (GWh)",'Slutlig allokering kvv'!$B$1:$BX$1,0),FALSE),"")</f>
        <v>7.7562300000000002E-3</v>
      </c>
      <c r="BK266" s="227">
        <f>IF($BF266="ja",VLOOKUP($B266,'Köpt hetvatten'!$B$1:$BX$550,MATCH("Avfall i köpt hetvatten",'Köpt hetvatten'!$B$1:$BX$1,0),FALSE),"")</f>
        <v>0</v>
      </c>
      <c r="BL266" s="227">
        <f>IF($BF266="ja",VLOOKUP($B266,'Egen hetvattenprod'!$B$1:$BX$550,MATCH("Värde enligt ovan. (%)",'Egen hetvattenprod'!$B$1:$BX$1,0),FALSE),"")</f>
        <v>47.3</v>
      </c>
      <c r="BM266" s="227">
        <f>IF($BF266="ja",VLOOKUP($B266,Kraftvärmeprod!$B$1:$BX$550,MATCH("Värde enligt ovan. (%)",Kraftvärmeprod!$B$1:$BX$1,0),FALSE),"")</f>
        <v>40.5</v>
      </c>
      <c r="BN266" s="227"/>
      <c r="BO266" s="227"/>
      <c r="BP266" s="227"/>
      <c r="BQ266" s="227" t="str">
        <f>IF($BF266="ja",VLOOKUP($B266,'Egen hetvattenprod'!$B$1:$BX$550,MATCH("Tillförd olja (fossil) vid avfallsförbränning (GWh)",'Egen hetvattenprod'!$B$1:$BX$1,0),FALSE),"")</f>
        <v>ET</v>
      </c>
      <c r="BR266" s="227" t="str">
        <f>IF($BF266="ja",VLOOKUP($B266,Kraftvärmeprod!$B$1:$BX$550,MATCH("Tillförd olja (fossil) vid avfallsförbränning (GWh)",Kraftvärmeprod!$B$1:$BX$1,0),FALSE),"")</f>
        <v>ET</v>
      </c>
      <c r="BS266" s="227"/>
      <c r="BT266" s="227"/>
      <c r="BU266" s="227"/>
    </row>
    <row r="267" spans="1:73" x14ac:dyDescent="0.25">
      <c r="A267" s="121" t="str">
        <f>'Miljövärden för publ företag'!B270</f>
        <v>Tidaholms Energi AB</v>
      </c>
      <c r="B267" s="121" t="str">
        <f>'Miljövärden för publ företag'!C270</f>
        <v>Tidaholm</v>
      </c>
      <c r="C267" s="173">
        <f>IFERROR(VLOOKUP($B267,Totalt!$B$1:$AQ$554,MATCH(C$2,Totalt!$B$1:$AQ$1,0),FALSE),"")</f>
        <v>0</v>
      </c>
      <c r="D267" s="173">
        <f>IFERROR(VLOOKUP($B267,Totalt!$B$1:$AQ$554,MATCH(D$2,Totalt!$B$1:$AQ$1,0),FALSE),"")</f>
        <v>0.80351099999999998</v>
      </c>
      <c r="E267" s="173">
        <f>IFERROR(VLOOKUP($B267,Totalt!$B$1:$AQ$554,MATCH(E$2,Totalt!$B$1:$AQ$1,0),FALSE),"")</f>
        <v>0</v>
      </c>
      <c r="F267" s="173">
        <f>IFERROR(VLOOKUP($B267,Totalt!$B$1:$AQ$554,MATCH(F$2,Totalt!$B$1:$AQ$1,0),FALSE),"")</f>
        <v>0</v>
      </c>
      <c r="G267" s="173">
        <f>IFERROR(VLOOKUP($B267,Totalt!$B$1:$AQ$554,MATCH(G$2,Totalt!$B$1:$AQ$1,0),FALSE),"")</f>
        <v>0</v>
      </c>
      <c r="H267" s="173">
        <f>IFERROR(VLOOKUP($B267,Totalt!$B$1:$AQ$554,MATCH(H$2,Totalt!$B$1:$AQ$1,0),FALSE),"")</f>
        <v>0</v>
      </c>
      <c r="I267" s="173">
        <f>IFERROR(VLOOKUP($B267,Totalt!$B$1:$AQ$554,MATCH(I$2,Totalt!$B$1:$AQ$1,0),FALSE),"")</f>
        <v>2.0185700000000001E-2</v>
      </c>
      <c r="J267" s="173">
        <f>IFERROR(VLOOKUP($B267,Totalt!$B$1:$AQ$554,MATCH(J$2,Totalt!$B$1:$AQ$1,0),FALSE),"")</f>
        <v>0</v>
      </c>
      <c r="K267" s="173">
        <f>IFERROR(VLOOKUP($B267,Totalt!$B$1:$AQ$554,MATCH(K$2,Totalt!$B$1:$AQ$1,0),FALSE),"")</f>
        <v>0</v>
      </c>
      <c r="L267" s="173">
        <f>IFERROR(VLOOKUP($B267,Totalt!$B$1:$AQ$554,MATCH(L$2,Totalt!$B$1:$AQ$1,0),FALSE),"")</f>
        <v>44.516500000000001</v>
      </c>
      <c r="M267" s="173">
        <f>IFERROR(VLOOKUP($B267,Totalt!$B$1:$AQ$554,MATCH(M$2,Totalt!$B$1:$AQ$1,0),FALSE),"")</f>
        <v>0</v>
      </c>
      <c r="N267" s="173">
        <f>IFERROR(VLOOKUP($B267,Totalt!$B$1:$AQ$554,MATCH(N$2,Totalt!$B$1:$AQ$1,0),FALSE),"")</f>
        <v>0.95897699999999997</v>
      </c>
      <c r="O267" s="173">
        <f>IFERROR(VLOOKUP($B267,Totalt!$B$1:$AQ$554,MATCH(O$2,Totalt!$B$1:$AQ$1,0),FALSE),"")</f>
        <v>0</v>
      </c>
      <c r="P267" s="173">
        <f>IFERROR(VLOOKUP($B267,Totalt!$B$1:$AQ$554,MATCH(P$2,Totalt!$B$1:$AQ$1,0),FALSE),"")</f>
        <v>0</v>
      </c>
      <c r="Q267" s="173">
        <f>IFERROR(VLOOKUP($B267,Totalt!$B$1:$AQ$554,MATCH(Q$2,Totalt!$B$1:$AQ$1,0),FALSE),"")</f>
        <v>0</v>
      </c>
      <c r="R267" s="173">
        <f>IFERROR(VLOOKUP($B267,Totalt!$B$1:$AQ$554,MATCH(R$2,Totalt!$B$1:$AQ$1,0),FALSE),"")</f>
        <v>0.63</v>
      </c>
      <c r="S267" s="173">
        <f>IFERROR(VLOOKUP($B267,Totalt!$B$1:$AQ$554,MATCH(S$2,Totalt!$B$1:$AQ$1,0),FALSE),"")</f>
        <v>0</v>
      </c>
      <c r="T267" s="173">
        <f>IFERROR(VLOOKUP($B267,Totalt!$B$1:$AQ$554,MATCH(T$2,Totalt!$B$1:$AQ$1,0),FALSE),"")</f>
        <v>0</v>
      </c>
      <c r="U267" s="173">
        <f>IFERROR(VLOOKUP($B267,Totalt!$B$1:$AQ$554,MATCH(U$2,Totalt!$B$1:$AQ$1,0),FALSE),"")</f>
        <v>13.206300000000001</v>
      </c>
      <c r="V267" s="173">
        <f>IFERROR(VLOOKUP($B267,Totalt!$B$1:$AQ$554,MATCH(V$2,Totalt!$B$1:$AQ$1,0),FALSE),"")</f>
        <v>0</v>
      </c>
      <c r="W267" s="173">
        <f>IFERROR(VLOOKUP($B267,Totalt!$B$1:$AQ$554,MATCH(W$2,Totalt!$B$1:$AQ$1,0),FALSE),"")</f>
        <v>0</v>
      </c>
      <c r="X267" s="173">
        <f>IFERROR(VLOOKUP($B267,Totalt!$B$1:$AQ$554,MATCH(X$2,Totalt!$B$1:$AQ$1,0),FALSE),"")</f>
        <v>0</v>
      </c>
      <c r="Y267" s="173">
        <f>IFERROR(VLOOKUP($B267,Totalt!$B$1:$AQ$554,MATCH(Y$2,Totalt!$B$1:$AQ$1,0),FALSE),"")</f>
        <v>0</v>
      </c>
      <c r="Z267" s="173">
        <f>IFERROR(VLOOKUP($B267,Totalt!$B$1:$AQ$554,MATCH(Z$2,Totalt!$B$1:$AQ$1,0),FALSE),"")</f>
        <v>0</v>
      </c>
      <c r="AA267" s="173">
        <f>IFERROR(VLOOKUP($B267,Totalt!$B$1:$AQ$554,MATCH(AA$2,Totalt!$B$1:$AQ$1,0),FALSE),"")</f>
        <v>0</v>
      </c>
      <c r="AB267" s="173">
        <f>IFERROR(VLOOKUP($B267,Totalt!$B$1:$AQ$554,MATCH(AB$2,Totalt!$B$1:$AQ$1,0),FALSE),"")</f>
        <v>0</v>
      </c>
      <c r="AC267" s="173">
        <f>IFERROR(VLOOKUP($B267,Totalt!$B$1:$AQ$554,MATCH(AC$2,Totalt!$B$1:$AQ$1,0),FALSE),"")</f>
        <v>0</v>
      </c>
      <c r="AD267" s="173">
        <f>IFERROR(VLOOKUP($B267,Totalt!$B$1:$AQ$554,MATCH(AD$2,Totalt!$B$1:$AQ$1,0),FALSE),"")</f>
        <v>0</v>
      </c>
      <c r="AE267" s="173">
        <f>IFERROR(VLOOKUP($B267,Totalt!$B$1:$AQ$554,MATCH(AE$2,Totalt!$B$1:$AQ$1,0),FALSE),"")</f>
        <v>0</v>
      </c>
      <c r="AF267" s="173">
        <f>IFERROR(VLOOKUP($B267,Totalt!$B$1:$AQ$554,MATCH(AF$2,Totalt!$B$1:$AQ$1,0),FALSE),"")</f>
        <v>1.83806</v>
      </c>
      <c r="AG267" s="173">
        <f>IFERROR(VLOOKUP($B267,Totalt!$B$1:$AQ$554,MATCH(AG$2,Totalt!$B$1:$AQ$1,0),FALSE),"")</f>
        <v>0</v>
      </c>
      <c r="AI267" s="226">
        <f t="shared" si="24"/>
        <v>61.973533699999997</v>
      </c>
      <c r="AJ267" s="226">
        <f>IF(ISERROR(1/VLOOKUP($B267,Leveranser!$B$1:$S$500,MATCH("såld värme (gwh)",Leveranser!$B$1:$S$1,0),FALSE)),"",VLOOKUP($B267,Leveranser!$B$1:$S$500,MATCH("såld värme (gwh)",Leveranser!$B$1:$S$1,0),FALSE))</f>
        <v>53.524999999999999</v>
      </c>
      <c r="AM267" s="227" t="str">
        <f>IF(B267&lt;&gt;"",IF(VLOOKUP($B267,Totalt!$B$1:$AQ$554,MATCH("Kvalitetsgranskad:",Totalt!$B$1:$AQ$1,0),FALSE)="ja",VLOOKUP($B267,Miljö!$B$1:$AG$479,MATCH(AM$2,Miljö!$B$1:$AK$1,0),FALSE),""),"")</f>
        <v>Ja</v>
      </c>
      <c r="AN267" s="227" t="str">
        <f>IF(AM267="ja",VLOOKUP($B267,Miljö!$B$1:$J$479,MATCH("Typ av ursprungsspecificerad el   (Om inget värde anges används Nordisk residualmix, se inforuta) ()",Miljö!$B$1:$J$1,0),FALSE),IF(AM267="nej","Nordisk residualel",""))</f>
        <v>'vattenkraft'</v>
      </c>
      <c r="AO267" s="227">
        <f>IF(AM267="","",VLOOKUP($B267,Miljö!$B$1:$J$479,MATCH("Fossilandel för ursprungspecificerad el ()",Miljö!$B$1:$J$1,0),FALSE))</f>
        <v>0</v>
      </c>
      <c r="AP267" s="227">
        <f>IF(AM267="","",IFERROR(VLOOKUP($B267,Miljö!$B$1:$J$479,MATCH("Kärnkraftsandel för ursprungsspecificerad el ()",Miljö!$B$1:$J$1,0),FALSE)/1,0))</f>
        <v>0</v>
      </c>
      <c r="AQ267" s="227">
        <f t="shared" si="25"/>
        <v>1</v>
      </c>
      <c r="AR267" s="227"/>
      <c r="AS267" s="227" t="str">
        <f t="shared" si="26"/>
        <v>Nej</v>
      </c>
      <c r="AT267" s="227" t="str">
        <f>IF(AS267="ja",VLOOKUP($B267,Miljö!$B$1:$O$500,MATCH("Fossil andel i procent (%)",Miljö!$B$1:$O$1,0),FALSE)/100,"")</f>
        <v/>
      </c>
      <c r="AU267" s="227"/>
      <c r="AV267" s="227" t="str">
        <f t="shared" si="27"/>
        <v>Nej</v>
      </c>
      <c r="AW267" s="227" t="str">
        <f>IF(AV267="ja",VLOOKUP($B267,'Egen hetvattenprod'!$B$1:$AO$500,MATCH("Värmekälla till värmepumpar ()",'Egen hetvattenprod'!$B$1:$AO$1,0),FALSE),"")</f>
        <v/>
      </c>
      <c r="AX267" s="227"/>
      <c r="AY267" s="227" t="str">
        <f t="shared" si="28"/>
        <v>Nej</v>
      </c>
      <c r="AZ267" s="228" t="str">
        <f>IF($AY267="ja",(VLOOKUP($B267,'Egen hetvattenprod'!$B$1:$BX$550,MATCH(AZ$2,'Egen hetvattenprod'!$B$1:$BX$1,0),FALSE)+VLOOKUP($B267,Kraftvärmeprod!$B$1:$BX$550,MATCH(AZ$2,Kraftvärmeprod!$B$1:$BX$1,0),FALSE))/$AC267,"")</f>
        <v/>
      </c>
      <c r="BA267" s="228" t="str">
        <f>IF($AY267="ja",(VLOOKUP($B267,'Egen hetvattenprod'!$B$1:$BX$550,MATCH(BA$2,'Egen hetvattenprod'!$B$1:$BX$1,0),FALSE)+VLOOKUP($B267,Kraftvärmeprod!$B$1:$BX$550,MATCH(BA$2,Kraftvärmeprod!$B$1:$BX$1,0),FALSE))/$AC267,"")</f>
        <v/>
      </c>
      <c r="BB267" s="228" t="str">
        <f>IF($AY267="ja",(VLOOKUP($B267,'Egen hetvattenprod'!$B$1:$BX$550,MATCH(BB$2,'Egen hetvattenprod'!$B$1:$BX$1,0),FALSE)+VLOOKUP($B267,Kraftvärmeprod!$B$1:$BX$550,MATCH(BB$2,Kraftvärmeprod!$B$1:$BX$1,0),FALSE))/$AC267,"")</f>
        <v/>
      </c>
      <c r="BC267" s="228" t="str">
        <f>IF($AY267="ja",(VLOOKUP($B267,'Egen hetvattenprod'!$B$1:$BX$550,MATCH(BC$2,'Egen hetvattenprod'!$B$1:$BX$1,0),FALSE)+VLOOKUP($B267,Kraftvärmeprod!$B$1:$BX$550,MATCH(BC$2,Kraftvärmeprod!$B$1:$BX$1,0),FALSE))/$AC267,"")</f>
        <v/>
      </c>
      <c r="BD267" s="228" t="str">
        <f>IF($AY267="ja",(VLOOKUP($B267,'Egen hetvattenprod'!$B$1:$BX$550,MATCH(BD$2,'Egen hetvattenprod'!$B$1:$BX$1,0),FALSE)+VLOOKUP($B267,Kraftvärmeprod!$B$1:$BX$550,MATCH(BD$2,Kraftvärmeprod!$B$1:$BX$1,0),FALSE))/$AC267,"")</f>
        <v/>
      </c>
      <c r="BE267" s="227"/>
      <c r="BF267" s="227" t="str">
        <f t="shared" si="29"/>
        <v>Ja</v>
      </c>
      <c r="BG267" s="227" t="str">
        <f>IF($BF267="ja",VLOOKUP($B267,'Egen hetvattenprod'!$B$1:$BX$550,MATCH("Andelen klimatgaser med fossilt ursprung för avfall ()",'Egen hetvattenprod'!$B$1:$BX$1,0),FALSE),"")</f>
        <v>Ingen redovisning</v>
      </c>
      <c r="BH267" s="227" t="str">
        <f>IF($BF267="ja",VLOOKUP($B267,Kraftvärmeprod!$B$1:$BX$550,MATCH("Andelen klimatgaser med fossilt ursprung för avfall ()",Kraftvärmeprod!$B$1:$BX$1,0),FALSE),"")</f>
        <v>Schablon</v>
      </c>
      <c r="BI267" s="227" t="str">
        <f>IF($BF267="ja",VLOOKUP($B267,'Egen hetvattenprod'!$B$1:$BX$550,MATCH("Avfall (GWh)",'Egen hetvattenprod'!$B$1:$BX$1,0),FALSE),"")</f>
        <v>ET</v>
      </c>
      <c r="BJ267" s="227">
        <f>IF($BF267="ja",VLOOKUP($B267,'Slutlig allokering kvv'!$B$1:$BX$550,MATCH("Avfall (GWh)",'Slutlig allokering kvv'!$B$1:$BX$1,0),FALSE),"")</f>
        <v>2.0185700000000001E-2</v>
      </c>
      <c r="BK267" s="227">
        <f>IF($BF267="ja",VLOOKUP($B267,'Köpt hetvatten'!$B$1:$BX$550,MATCH("Avfall i köpt hetvatten",'Köpt hetvatten'!$B$1:$BX$1,0),FALSE),"")</f>
        <v>0</v>
      </c>
      <c r="BL267" s="227" t="str">
        <f>IF($BF267="ja",VLOOKUP($B267,'Egen hetvattenprod'!$B$1:$BX$550,MATCH("Värde enligt ovan. (%)",'Egen hetvattenprod'!$B$1:$BX$1,0),FALSE),"")</f>
        <v>ET</v>
      </c>
      <c r="BM267" s="227">
        <f>IF($BF267="ja",VLOOKUP($B267,Kraftvärmeprod!$B$1:$BX$550,MATCH("Värde enligt ovan. (%)",Kraftvärmeprod!$B$1:$BX$1,0),FALSE),"")</f>
        <v>40.5</v>
      </c>
      <c r="BN267" s="227"/>
      <c r="BO267" s="227"/>
      <c r="BP267" s="227"/>
      <c r="BQ267" s="227" t="str">
        <f>IF($BF267="ja",VLOOKUP($B267,'Egen hetvattenprod'!$B$1:$BX$550,MATCH("Tillförd olja (fossil) vid avfallsförbränning (GWh)",'Egen hetvattenprod'!$B$1:$BX$1,0),FALSE),"")</f>
        <v>ET</v>
      </c>
      <c r="BR267" s="227" t="str">
        <f>IF($BF267="ja",VLOOKUP($B267,Kraftvärmeprod!$B$1:$BX$550,MATCH("Tillförd olja (fossil) vid avfallsförbränning (GWh)",Kraftvärmeprod!$B$1:$BX$1,0),FALSE),"")</f>
        <v>ET</v>
      </c>
      <c r="BS267" s="227"/>
      <c r="BT267" s="227"/>
      <c r="BU267" s="227"/>
    </row>
    <row r="268" spans="1:73" x14ac:dyDescent="0.25">
      <c r="A268" s="121" t="str">
        <f>'Miljövärden för publ företag'!B271</f>
        <v>Tierps Fjärrvärme AB</v>
      </c>
      <c r="B268" s="121" t="str">
        <f>'Miljövärden för publ företag'!C271</f>
        <v>Tierp</v>
      </c>
      <c r="C268" s="173">
        <f>IFERROR(VLOOKUP($B268,Totalt!$B$1:$AQ$554,MATCH(C$2,Totalt!$B$1:$AQ$1,0),FALSE),"")</f>
        <v>0</v>
      </c>
      <c r="D268" s="173">
        <f>IFERROR(VLOOKUP($B268,Totalt!$B$1:$AQ$554,MATCH(D$2,Totalt!$B$1:$AQ$1,0),FALSE),"")</f>
        <v>0.38500000000000001</v>
      </c>
      <c r="E268" s="173">
        <f>IFERROR(VLOOKUP($B268,Totalt!$B$1:$AQ$554,MATCH(E$2,Totalt!$B$1:$AQ$1,0),FALSE),"")</f>
        <v>0</v>
      </c>
      <c r="F268" s="173">
        <f>IFERROR(VLOOKUP($B268,Totalt!$B$1:$AQ$554,MATCH(F$2,Totalt!$B$1:$AQ$1,0),FALSE),"")</f>
        <v>0</v>
      </c>
      <c r="G268" s="173">
        <f>IFERROR(VLOOKUP($B268,Totalt!$B$1:$AQ$554,MATCH(G$2,Totalt!$B$1:$AQ$1,0),FALSE),"")</f>
        <v>0</v>
      </c>
      <c r="H268" s="173">
        <f>IFERROR(VLOOKUP($B268,Totalt!$B$1:$AQ$554,MATCH(H$2,Totalt!$B$1:$AQ$1,0),FALSE),"")</f>
        <v>0</v>
      </c>
      <c r="I268" s="173">
        <f>IFERROR(VLOOKUP($B268,Totalt!$B$1:$AQ$554,MATCH(I$2,Totalt!$B$1:$AQ$1,0),FALSE),"")</f>
        <v>0</v>
      </c>
      <c r="J268" s="173">
        <f>IFERROR(VLOOKUP($B268,Totalt!$B$1:$AQ$554,MATCH(J$2,Totalt!$B$1:$AQ$1,0),FALSE),"")</f>
        <v>0</v>
      </c>
      <c r="K268" s="173">
        <f>IFERROR(VLOOKUP($B268,Totalt!$B$1:$AQ$554,MATCH(K$2,Totalt!$B$1:$AQ$1,0),FALSE),"")</f>
        <v>0</v>
      </c>
      <c r="L268" s="173">
        <f>IFERROR(VLOOKUP($B268,Totalt!$B$1:$AQ$554,MATCH(L$2,Totalt!$B$1:$AQ$1,0),FALSE),"")</f>
        <v>0</v>
      </c>
      <c r="M268" s="173">
        <f>IFERROR(VLOOKUP($B268,Totalt!$B$1:$AQ$554,MATCH(M$2,Totalt!$B$1:$AQ$1,0),FALSE),"")</f>
        <v>0</v>
      </c>
      <c r="N268" s="173">
        <f>IFERROR(VLOOKUP($B268,Totalt!$B$1:$AQ$554,MATCH(N$2,Totalt!$B$1:$AQ$1,0),FALSE),"")</f>
        <v>40.799999999999997</v>
      </c>
      <c r="O268" s="173">
        <f>IFERROR(VLOOKUP($B268,Totalt!$B$1:$AQ$554,MATCH(O$2,Totalt!$B$1:$AQ$1,0),FALSE),"")</f>
        <v>0</v>
      </c>
      <c r="P268" s="173">
        <f>IFERROR(VLOOKUP($B268,Totalt!$B$1:$AQ$554,MATCH(P$2,Totalt!$B$1:$AQ$1,0),FALSE),"")</f>
        <v>0</v>
      </c>
      <c r="Q268" s="173">
        <f>IFERROR(VLOOKUP($B268,Totalt!$B$1:$AQ$554,MATCH(Q$2,Totalt!$B$1:$AQ$1,0),FALSE),"")</f>
        <v>0</v>
      </c>
      <c r="R268" s="173">
        <f>IFERROR(VLOOKUP($B268,Totalt!$B$1:$AQ$554,MATCH(R$2,Totalt!$B$1:$AQ$1,0),FALSE),"")</f>
        <v>19.04</v>
      </c>
      <c r="S268" s="173">
        <f>IFERROR(VLOOKUP($B268,Totalt!$B$1:$AQ$554,MATCH(S$2,Totalt!$B$1:$AQ$1,0),FALSE),"")</f>
        <v>5.46</v>
      </c>
      <c r="T268" s="173">
        <f>IFERROR(VLOOKUP($B268,Totalt!$B$1:$AQ$554,MATCH(T$2,Totalt!$B$1:$AQ$1,0),FALSE),"")</f>
        <v>0</v>
      </c>
      <c r="U268" s="173">
        <f>IFERROR(VLOOKUP($B268,Totalt!$B$1:$AQ$554,MATCH(U$2,Totalt!$B$1:$AQ$1,0),FALSE),"")</f>
        <v>0</v>
      </c>
      <c r="V268" s="173">
        <f>IFERROR(VLOOKUP($B268,Totalt!$B$1:$AQ$554,MATCH(V$2,Totalt!$B$1:$AQ$1,0),FALSE),"")</f>
        <v>0</v>
      </c>
      <c r="W268" s="173">
        <f>IFERROR(VLOOKUP($B268,Totalt!$B$1:$AQ$554,MATCH(W$2,Totalt!$B$1:$AQ$1,0),FALSE),"")</f>
        <v>0</v>
      </c>
      <c r="X268" s="173">
        <f>IFERROR(VLOOKUP($B268,Totalt!$B$1:$AQ$554,MATCH(X$2,Totalt!$B$1:$AQ$1,0),FALSE),"")</f>
        <v>0</v>
      </c>
      <c r="Y268" s="173">
        <f>IFERROR(VLOOKUP($B268,Totalt!$B$1:$AQ$554,MATCH(Y$2,Totalt!$B$1:$AQ$1,0),FALSE),"")</f>
        <v>0</v>
      </c>
      <c r="Z268" s="173">
        <f>IFERROR(VLOOKUP($B268,Totalt!$B$1:$AQ$554,MATCH(Z$2,Totalt!$B$1:$AQ$1,0),FALSE),"")</f>
        <v>0.73499999999999999</v>
      </c>
      <c r="AA268" s="173">
        <f>IFERROR(VLOOKUP($B268,Totalt!$B$1:$AQ$554,MATCH(AA$2,Totalt!$B$1:$AQ$1,0),FALSE),"")</f>
        <v>0</v>
      </c>
      <c r="AB268" s="173">
        <f>IFERROR(VLOOKUP($B268,Totalt!$B$1:$AQ$554,MATCH(AB$2,Totalt!$B$1:$AQ$1,0),FALSE),"")</f>
        <v>0</v>
      </c>
      <c r="AC268" s="173">
        <f>IFERROR(VLOOKUP($B268,Totalt!$B$1:$AQ$554,MATCH(AC$2,Totalt!$B$1:$AQ$1,0),FALSE),"")</f>
        <v>2.8319999999999999</v>
      </c>
      <c r="AD268" s="173">
        <f>IFERROR(VLOOKUP($B268,Totalt!$B$1:$AQ$554,MATCH(AD$2,Totalt!$B$1:$AQ$1,0),FALSE),"")</f>
        <v>0</v>
      </c>
      <c r="AE268" s="173">
        <f>IFERROR(VLOOKUP($B268,Totalt!$B$1:$AQ$554,MATCH(AE$2,Totalt!$B$1:$AQ$1,0),FALSE),"")</f>
        <v>0</v>
      </c>
      <c r="AF268" s="173">
        <f>IFERROR(VLOOKUP($B268,Totalt!$B$1:$AQ$554,MATCH(AF$2,Totalt!$B$1:$AQ$1,0),FALSE),"")</f>
        <v>1.3240000000000001</v>
      </c>
      <c r="AG268" s="173">
        <f>IFERROR(VLOOKUP($B268,Totalt!$B$1:$AQ$554,MATCH(AG$2,Totalt!$B$1:$AQ$1,0),FALSE),"")</f>
        <v>0</v>
      </c>
      <c r="AI268" s="226">
        <f t="shared" si="24"/>
        <v>70.575999999999979</v>
      </c>
      <c r="AJ268" s="226">
        <f>IF(ISERROR(1/VLOOKUP($B268,Leveranser!$B$1:$S$500,MATCH("såld värme (gwh)",Leveranser!$B$1:$S$1,0),FALSE)),"",VLOOKUP($B268,Leveranser!$B$1:$S$500,MATCH("såld värme (gwh)",Leveranser!$B$1:$S$1,0),FALSE))</f>
        <v>57.95</v>
      </c>
      <c r="AM268" s="227" t="str">
        <f>IF(B268&lt;&gt;"",IF(VLOOKUP($B268,Totalt!$B$1:$AQ$554,MATCH("Kvalitetsgranskad:",Totalt!$B$1:$AQ$1,0),FALSE)="ja",VLOOKUP($B268,Miljö!$B$1:$AG$479,MATCH(AM$2,Miljö!$B$1:$AK$1,0),FALSE),""),"")</f>
        <v>Ja</v>
      </c>
      <c r="AN268" s="227" t="str">
        <f>IF(AM268="ja",VLOOKUP($B268,Miljö!$B$1:$J$479,MATCH("Typ av ursprungsspecificerad el   (Om inget värde anges används Nordisk residualmix, se inforuta) ()",Miljö!$B$1:$J$1,0),FALSE),IF(AM268="nej","Nordisk residualel",""))</f>
        <v>'Vattenkraft'</v>
      </c>
      <c r="AO268" s="227">
        <f>IF(AM268="","",VLOOKUP($B268,Miljö!$B$1:$J$479,MATCH("Fossilandel för ursprungspecificerad el ()",Miljö!$B$1:$J$1,0),FALSE))</f>
        <v>0</v>
      </c>
      <c r="AP268" s="227">
        <f>IF(AM268="","",IFERROR(VLOOKUP($B268,Miljö!$B$1:$J$479,MATCH("Kärnkraftsandel för ursprungsspecificerad el ()",Miljö!$B$1:$J$1,0),FALSE)/1,0))</f>
        <v>0</v>
      </c>
      <c r="AQ268" s="227">
        <f t="shared" si="25"/>
        <v>1</v>
      </c>
      <c r="AR268" s="227"/>
      <c r="AS268" s="227" t="str">
        <f t="shared" si="26"/>
        <v>Nej</v>
      </c>
      <c r="AT268" s="227" t="str">
        <f>IF(AS268="ja",VLOOKUP($B268,Miljö!$B$1:$O$500,MATCH("Fossil andel i procent (%)",Miljö!$B$1:$O$1,0),FALSE)/100,"")</f>
        <v/>
      </c>
      <c r="AU268" s="227"/>
      <c r="AV268" s="227" t="str">
        <f t="shared" si="27"/>
        <v>Nej</v>
      </c>
      <c r="AW268" s="227" t="str">
        <f>IF(AV268="ja",VLOOKUP($B268,'Egen hetvattenprod'!$B$1:$AO$500,MATCH("Värmekälla till värmepumpar ()",'Egen hetvattenprod'!$B$1:$AO$1,0),FALSE),"")</f>
        <v/>
      </c>
      <c r="AX268" s="227"/>
      <c r="AY268" s="227" t="str">
        <f t="shared" si="28"/>
        <v>Ja</v>
      </c>
      <c r="AZ268" s="228">
        <f>IF($AY268="ja",(VLOOKUP($B268,'Egen hetvattenprod'!$B$1:$BX$550,MATCH(AZ$2,'Egen hetvattenprod'!$B$1:$BX$1,0),FALSE)+VLOOKUP($B268,Kraftvärmeprod!$B$1:$BX$550,MATCH(AZ$2,Kraftvärmeprod!$B$1:$BX$1,0),FALSE))/$AC268,"")</f>
        <v>1</v>
      </c>
      <c r="BA268" s="228">
        <f>IF($AY268="ja",(VLOOKUP($B268,'Egen hetvattenprod'!$B$1:$BX$550,MATCH(BA$2,'Egen hetvattenprod'!$B$1:$BX$1,0),FALSE)+VLOOKUP($B268,Kraftvärmeprod!$B$1:$BX$550,MATCH(BA$2,Kraftvärmeprod!$B$1:$BX$1,0),FALSE))/$AC268,"")</f>
        <v>0</v>
      </c>
      <c r="BB268" s="228">
        <f>IF($AY268="ja",(VLOOKUP($B268,'Egen hetvattenprod'!$B$1:$BX$550,MATCH(BB$2,'Egen hetvattenprod'!$B$1:$BX$1,0),FALSE)+VLOOKUP($B268,Kraftvärmeprod!$B$1:$BX$550,MATCH(BB$2,Kraftvärmeprod!$B$1:$BX$1,0),FALSE))/$AC268,"")</f>
        <v>0</v>
      </c>
      <c r="BC268" s="228">
        <f>IF($AY268="ja",(VLOOKUP($B268,'Egen hetvattenprod'!$B$1:$BX$550,MATCH(BC$2,'Egen hetvattenprod'!$B$1:$BX$1,0),FALSE)+VLOOKUP($B268,Kraftvärmeprod!$B$1:$BX$550,MATCH(BC$2,Kraftvärmeprod!$B$1:$BX$1,0),FALSE))/$AC268,"")</f>
        <v>0</v>
      </c>
      <c r="BD268" s="228">
        <f>IF($AY268="ja",(VLOOKUP($B268,'Egen hetvattenprod'!$B$1:$BX$550,MATCH(BD$2,'Egen hetvattenprod'!$B$1:$BX$1,0),FALSE)+VLOOKUP($B268,Kraftvärmeprod!$B$1:$BX$550,MATCH(BD$2,Kraftvärmeprod!$B$1:$BX$1,0),FALSE))/$AC268,"")</f>
        <v>0</v>
      </c>
      <c r="BE268" s="227"/>
      <c r="BF268" s="227" t="str">
        <f t="shared" si="29"/>
        <v>Nej</v>
      </c>
      <c r="BG268" s="227" t="str">
        <f>IF($BF268="ja",VLOOKUP($B268,'Egen hetvattenprod'!$B$1:$BX$550,MATCH("Andelen klimatgaser med fossilt ursprung för avfall ()",'Egen hetvattenprod'!$B$1:$BX$1,0),FALSE),"")</f>
        <v/>
      </c>
      <c r="BH268" s="227" t="str">
        <f>IF($BF268="ja",VLOOKUP($B268,Kraftvärmeprod!$B$1:$BX$550,MATCH("Andelen klimatgaser med fossilt ursprung för avfall ()",Kraftvärmeprod!$B$1:$BX$1,0),FALSE),"")</f>
        <v/>
      </c>
      <c r="BI268" s="227" t="str">
        <f>IF($BF268="ja",VLOOKUP($B268,'Egen hetvattenprod'!$B$1:$BX$550,MATCH("Avfall (GWh)",'Egen hetvattenprod'!$B$1:$BX$1,0),FALSE),"")</f>
        <v/>
      </c>
      <c r="BJ268" s="227" t="str">
        <f>IF($BF268="ja",VLOOKUP($B268,'Slutlig allokering kvv'!$B$1:$BX$550,MATCH("Avfall (GWh)",'Slutlig allokering kvv'!$B$1:$BX$1,0),FALSE),"")</f>
        <v/>
      </c>
      <c r="BK268" s="227" t="str">
        <f>IF($BF268="ja",VLOOKUP($B268,'Köpt hetvatten'!$B$1:$BX$550,MATCH("Avfall i köpt hetvatten",'Köpt hetvatten'!$B$1:$BX$1,0),FALSE),"")</f>
        <v/>
      </c>
      <c r="BL268" s="227" t="str">
        <f>IF($BF268="ja",VLOOKUP($B268,'Egen hetvattenprod'!$B$1:$BX$550,MATCH("Värde enligt ovan. (%)",'Egen hetvattenprod'!$B$1:$BX$1,0),FALSE),"")</f>
        <v/>
      </c>
      <c r="BM268" s="227" t="str">
        <f>IF($BF268="ja",VLOOKUP($B268,Kraftvärmeprod!$B$1:$BX$550,MATCH("Värde enligt ovan. (%)",Kraftvärmeprod!$B$1:$BX$1,0),FALSE),"")</f>
        <v/>
      </c>
      <c r="BN268" s="227"/>
      <c r="BO268" s="227"/>
      <c r="BP268" s="227"/>
      <c r="BQ268" s="227" t="str">
        <f>IF($BF268="ja",VLOOKUP($B268,'Egen hetvattenprod'!$B$1:$BX$550,MATCH("Tillförd olja (fossil) vid avfallsförbränning (GWh)",'Egen hetvattenprod'!$B$1:$BX$1,0),FALSE),"")</f>
        <v/>
      </c>
      <c r="BR268" s="227" t="str">
        <f>IF($BF268="ja",VLOOKUP($B268,Kraftvärmeprod!$B$1:$BX$550,MATCH("Tillförd olja (fossil) vid avfallsförbränning (GWh)",Kraftvärmeprod!$B$1:$BX$1,0),FALSE),"")</f>
        <v/>
      </c>
      <c r="BS268" s="227"/>
      <c r="BT268" s="227"/>
      <c r="BU268" s="227"/>
    </row>
    <row r="269" spans="1:73" x14ac:dyDescent="0.25">
      <c r="A269" s="121" t="str">
        <f>'Miljövärden för publ företag'!B272</f>
        <v>Torsby kommun</v>
      </c>
      <c r="B269" s="121" t="str">
        <f>'Miljövärden för publ företag'!C272</f>
        <v>Torsby kommun</v>
      </c>
      <c r="C269" s="173">
        <f>IFERROR(VLOOKUP($B269,Totalt!$B$1:$AQ$554,MATCH(C$2,Totalt!$B$1:$AQ$1,0),FALSE),"")</f>
        <v>0</v>
      </c>
      <c r="D269" s="173">
        <f>IFERROR(VLOOKUP($B269,Totalt!$B$1:$AQ$554,MATCH(D$2,Totalt!$B$1:$AQ$1,0),FALSE),"")</f>
        <v>0.4</v>
      </c>
      <c r="E269" s="173">
        <f>IFERROR(VLOOKUP($B269,Totalt!$B$1:$AQ$554,MATCH(E$2,Totalt!$B$1:$AQ$1,0),FALSE),"")</f>
        <v>0</v>
      </c>
      <c r="F269" s="173">
        <f>IFERROR(VLOOKUP($B269,Totalt!$B$1:$AQ$554,MATCH(F$2,Totalt!$B$1:$AQ$1,0),FALSE),"")</f>
        <v>0</v>
      </c>
      <c r="G269" s="173">
        <f>IFERROR(VLOOKUP($B269,Totalt!$B$1:$AQ$554,MATCH(G$2,Totalt!$B$1:$AQ$1,0),FALSE),"")</f>
        <v>0</v>
      </c>
      <c r="H269" s="173">
        <f>IFERROR(VLOOKUP($B269,Totalt!$B$1:$AQ$554,MATCH(H$2,Totalt!$B$1:$AQ$1,0),FALSE),"")</f>
        <v>0</v>
      </c>
      <c r="I269" s="173">
        <f>IFERROR(VLOOKUP($B269,Totalt!$B$1:$AQ$554,MATCH(I$2,Totalt!$B$1:$AQ$1,0),FALSE),"")</f>
        <v>0</v>
      </c>
      <c r="J269" s="173">
        <f>IFERROR(VLOOKUP($B269,Totalt!$B$1:$AQ$554,MATCH(J$2,Totalt!$B$1:$AQ$1,0),FALSE),"")</f>
        <v>0</v>
      </c>
      <c r="K269" s="173">
        <f>IFERROR(VLOOKUP($B269,Totalt!$B$1:$AQ$554,MATCH(K$2,Totalt!$B$1:$AQ$1,0),FALSE),"")</f>
        <v>0</v>
      </c>
      <c r="L269" s="173">
        <f>IFERROR(VLOOKUP($B269,Totalt!$B$1:$AQ$554,MATCH(L$2,Totalt!$B$1:$AQ$1,0),FALSE),"")</f>
        <v>0</v>
      </c>
      <c r="M269" s="173">
        <f>IFERROR(VLOOKUP($B269,Totalt!$B$1:$AQ$554,MATCH(M$2,Totalt!$B$1:$AQ$1,0),FALSE),"")</f>
        <v>0</v>
      </c>
      <c r="N269" s="173">
        <f>IFERROR(VLOOKUP($B269,Totalt!$B$1:$AQ$554,MATCH(N$2,Totalt!$B$1:$AQ$1,0),FALSE),"")</f>
        <v>0</v>
      </c>
      <c r="O269" s="173">
        <f>IFERROR(VLOOKUP($B269,Totalt!$B$1:$AQ$554,MATCH(O$2,Totalt!$B$1:$AQ$1,0),FALSE),"")</f>
        <v>0</v>
      </c>
      <c r="P269" s="173">
        <f>IFERROR(VLOOKUP($B269,Totalt!$B$1:$AQ$554,MATCH(P$2,Totalt!$B$1:$AQ$1,0),FALSE),"")</f>
        <v>4.7699999999999996</v>
      </c>
      <c r="Q269" s="173">
        <f>IFERROR(VLOOKUP($B269,Totalt!$B$1:$AQ$554,MATCH(Q$2,Totalt!$B$1:$AQ$1,0),FALSE),"")</f>
        <v>0</v>
      </c>
      <c r="R269" s="173">
        <f>IFERROR(VLOOKUP($B269,Totalt!$B$1:$AQ$554,MATCH(R$2,Totalt!$B$1:$AQ$1,0),FALSE),"")</f>
        <v>0</v>
      </c>
      <c r="S269" s="173">
        <f>IFERROR(VLOOKUP($B269,Totalt!$B$1:$AQ$554,MATCH(S$2,Totalt!$B$1:$AQ$1,0),FALSE),"")</f>
        <v>0</v>
      </c>
      <c r="T269" s="173">
        <f>IFERROR(VLOOKUP($B269,Totalt!$B$1:$AQ$554,MATCH(T$2,Totalt!$B$1:$AQ$1,0),FALSE),"")</f>
        <v>0</v>
      </c>
      <c r="U269" s="173">
        <f>IFERROR(VLOOKUP($B269,Totalt!$B$1:$AQ$554,MATCH(U$2,Totalt!$B$1:$AQ$1,0),FALSE),"")</f>
        <v>0</v>
      </c>
      <c r="V269" s="173">
        <f>IFERROR(VLOOKUP($B269,Totalt!$B$1:$AQ$554,MATCH(V$2,Totalt!$B$1:$AQ$1,0),FALSE),"")</f>
        <v>0</v>
      </c>
      <c r="W269" s="173">
        <f>IFERROR(VLOOKUP($B269,Totalt!$B$1:$AQ$554,MATCH(W$2,Totalt!$B$1:$AQ$1,0),FALSE),"")</f>
        <v>1.9E-2</v>
      </c>
      <c r="X269" s="173">
        <f>IFERROR(VLOOKUP($B269,Totalt!$B$1:$AQ$554,MATCH(X$2,Totalt!$B$1:$AQ$1,0),FALSE),"")</f>
        <v>0</v>
      </c>
      <c r="Y269" s="173">
        <f>IFERROR(VLOOKUP($B269,Totalt!$B$1:$AQ$554,MATCH(Y$2,Totalt!$B$1:$AQ$1,0),FALSE),"")</f>
        <v>0</v>
      </c>
      <c r="Z269" s="173">
        <f>IFERROR(VLOOKUP($B269,Totalt!$B$1:$AQ$554,MATCH(Z$2,Totalt!$B$1:$AQ$1,0),FALSE),"")</f>
        <v>0</v>
      </c>
      <c r="AA269" s="173">
        <f>IFERROR(VLOOKUP($B269,Totalt!$B$1:$AQ$554,MATCH(AA$2,Totalt!$B$1:$AQ$1,0),FALSE),"")</f>
        <v>0</v>
      </c>
      <c r="AB269" s="173">
        <f>IFERROR(VLOOKUP($B269,Totalt!$B$1:$AQ$554,MATCH(AB$2,Totalt!$B$1:$AQ$1,0),FALSE),"")</f>
        <v>0</v>
      </c>
      <c r="AC269" s="173">
        <f>IFERROR(VLOOKUP($B269,Totalt!$B$1:$AQ$554,MATCH(AC$2,Totalt!$B$1:$AQ$1,0),FALSE),"")</f>
        <v>0</v>
      </c>
      <c r="AD269" s="173">
        <f>IFERROR(VLOOKUP($B269,Totalt!$B$1:$AQ$554,MATCH(AD$2,Totalt!$B$1:$AQ$1,0),FALSE),"")</f>
        <v>0</v>
      </c>
      <c r="AE269" s="173">
        <f>IFERROR(VLOOKUP($B269,Totalt!$B$1:$AQ$554,MATCH(AE$2,Totalt!$B$1:$AQ$1,0),FALSE),"")</f>
        <v>0</v>
      </c>
      <c r="AF269" s="173">
        <f>IFERROR(VLOOKUP($B269,Totalt!$B$1:$AQ$554,MATCH(AF$2,Totalt!$B$1:$AQ$1,0),FALSE),"")</f>
        <v>7.3499999999999996E-2</v>
      </c>
      <c r="AG269" s="173">
        <f>IFERROR(VLOOKUP($B269,Totalt!$B$1:$AQ$554,MATCH(AG$2,Totalt!$B$1:$AQ$1,0),FALSE),"")</f>
        <v>0</v>
      </c>
      <c r="AI269" s="226">
        <f t="shared" si="24"/>
        <v>5.2625000000000002</v>
      </c>
      <c r="AJ269" s="226">
        <f>IF(ISERROR(1/VLOOKUP($B269,Leveranser!$B$1:$S$500,MATCH("såld värme (gwh)",Leveranser!$B$1:$S$1,0),FALSE)),"",VLOOKUP($B269,Leveranser!$B$1:$S$500,MATCH("såld värme (gwh)",Leveranser!$B$1:$S$1,0),FALSE))</f>
        <v>2.4500000000000002</v>
      </c>
      <c r="AM269" s="227" t="str">
        <f>IF(B269&lt;&gt;"",IF(VLOOKUP($B269,Totalt!$B$1:$AQ$554,MATCH("Kvalitetsgranskad:",Totalt!$B$1:$AQ$1,0),FALSE)="ja",VLOOKUP($B269,Miljö!$B$1:$AG$479,MATCH(AM$2,Miljö!$B$1:$AK$1,0),FALSE),""),"")</f>
        <v>Ja</v>
      </c>
      <c r="AN269" s="227" t="str">
        <f>IF(AM269="ja",VLOOKUP($B269,Miljö!$B$1:$J$479,MATCH("Typ av ursprungsspecificerad el   (Om inget värde anges används Nordisk residualmix, se inforuta) ()",Miljö!$B$1:$J$1,0),FALSE),IF(AM269="nej","Nordisk residualel",""))</f>
        <v>'5 % Vind och 95 % vatten'</v>
      </c>
      <c r="AO269" s="227">
        <f>IF(AM269="","",VLOOKUP($B269,Miljö!$B$1:$J$479,MATCH("Fossilandel för ursprungspecificerad el ()",Miljö!$B$1:$J$1,0),FALSE))</f>
        <v>0</v>
      </c>
      <c r="AP269" s="227">
        <f>IF(AM269="","",IFERROR(VLOOKUP($B269,Miljö!$B$1:$J$479,MATCH("Kärnkraftsandel för ursprungsspecificerad el ()",Miljö!$B$1:$J$1,0),FALSE)/1,0))</f>
        <v>0</v>
      </c>
      <c r="AQ269" s="227">
        <f t="shared" si="25"/>
        <v>1</v>
      </c>
      <c r="AR269" s="227"/>
      <c r="AS269" s="227" t="str">
        <f t="shared" si="26"/>
        <v>Nej</v>
      </c>
      <c r="AT269" s="227" t="str">
        <f>IF(AS269="ja",VLOOKUP($B269,Miljö!$B$1:$O$500,MATCH("Fossil andel i procent (%)",Miljö!$B$1:$O$1,0),FALSE)/100,"")</f>
        <v/>
      </c>
      <c r="AU269" s="227"/>
      <c r="AV269" s="227" t="str">
        <f t="shared" si="27"/>
        <v>Nej</v>
      </c>
      <c r="AW269" s="227" t="str">
        <f>IF(AV269="ja",VLOOKUP($B269,'Egen hetvattenprod'!$B$1:$AO$500,MATCH("Värmekälla till värmepumpar ()",'Egen hetvattenprod'!$B$1:$AO$1,0),FALSE),"")</f>
        <v/>
      </c>
      <c r="AX269" s="227"/>
      <c r="AY269" s="227" t="str">
        <f t="shared" si="28"/>
        <v>Nej</v>
      </c>
      <c r="AZ269" s="228" t="str">
        <f>IF($AY269="ja",(VLOOKUP($B269,'Egen hetvattenprod'!$B$1:$BX$550,MATCH(AZ$2,'Egen hetvattenprod'!$B$1:$BX$1,0),FALSE)+VLOOKUP($B269,Kraftvärmeprod!$B$1:$BX$550,MATCH(AZ$2,Kraftvärmeprod!$B$1:$BX$1,0),FALSE))/$AC269,"")</f>
        <v/>
      </c>
      <c r="BA269" s="228" t="str">
        <f>IF($AY269="ja",(VLOOKUP($B269,'Egen hetvattenprod'!$B$1:$BX$550,MATCH(BA$2,'Egen hetvattenprod'!$B$1:$BX$1,0),FALSE)+VLOOKUP($B269,Kraftvärmeprod!$B$1:$BX$550,MATCH(BA$2,Kraftvärmeprod!$B$1:$BX$1,0),FALSE))/$AC269,"")</f>
        <v/>
      </c>
      <c r="BB269" s="228" t="str">
        <f>IF($AY269="ja",(VLOOKUP($B269,'Egen hetvattenprod'!$B$1:$BX$550,MATCH(BB$2,'Egen hetvattenprod'!$B$1:$BX$1,0),FALSE)+VLOOKUP($B269,Kraftvärmeprod!$B$1:$BX$550,MATCH(BB$2,Kraftvärmeprod!$B$1:$BX$1,0),FALSE))/$AC269,"")</f>
        <v/>
      </c>
      <c r="BC269" s="228" t="str">
        <f>IF($AY269="ja",(VLOOKUP($B269,'Egen hetvattenprod'!$B$1:$BX$550,MATCH(BC$2,'Egen hetvattenprod'!$B$1:$BX$1,0),FALSE)+VLOOKUP($B269,Kraftvärmeprod!$B$1:$BX$550,MATCH(BC$2,Kraftvärmeprod!$B$1:$BX$1,0),FALSE))/$AC269,"")</f>
        <v/>
      </c>
      <c r="BD269" s="228" t="str">
        <f>IF($AY269="ja",(VLOOKUP($B269,'Egen hetvattenprod'!$B$1:$BX$550,MATCH(BD$2,'Egen hetvattenprod'!$B$1:$BX$1,0),FALSE)+VLOOKUP($B269,Kraftvärmeprod!$B$1:$BX$550,MATCH(BD$2,Kraftvärmeprod!$B$1:$BX$1,0),FALSE))/$AC269,"")</f>
        <v/>
      </c>
      <c r="BE269" s="227"/>
      <c r="BF269" s="227" t="str">
        <f t="shared" si="29"/>
        <v>Nej</v>
      </c>
      <c r="BG269" s="227" t="str">
        <f>IF($BF269="ja",VLOOKUP($B269,'Egen hetvattenprod'!$B$1:$BX$550,MATCH("Andelen klimatgaser med fossilt ursprung för avfall ()",'Egen hetvattenprod'!$B$1:$BX$1,0),FALSE),"")</f>
        <v/>
      </c>
      <c r="BH269" s="227" t="str">
        <f>IF($BF269="ja",VLOOKUP($B269,Kraftvärmeprod!$B$1:$BX$550,MATCH("Andelen klimatgaser med fossilt ursprung för avfall ()",Kraftvärmeprod!$B$1:$BX$1,0),FALSE),"")</f>
        <v/>
      </c>
      <c r="BI269" s="227" t="str">
        <f>IF($BF269="ja",VLOOKUP($B269,'Egen hetvattenprod'!$B$1:$BX$550,MATCH("Avfall (GWh)",'Egen hetvattenprod'!$B$1:$BX$1,0),FALSE),"")</f>
        <v/>
      </c>
      <c r="BJ269" s="227" t="str">
        <f>IF($BF269="ja",VLOOKUP($B269,'Slutlig allokering kvv'!$B$1:$BX$550,MATCH("Avfall (GWh)",'Slutlig allokering kvv'!$B$1:$BX$1,0),FALSE),"")</f>
        <v/>
      </c>
      <c r="BK269" s="227" t="str">
        <f>IF($BF269="ja",VLOOKUP($B269,'Köpt hetvatten'!$B$1:$BX$550,MATCH("Avfall i köpt hetvatten",'Köpt hetvatten'!$B$1:$BX$1,0),FALSE),"")</f>
        <v/>
      </c>
      <c r="BL269" s="227" t="str">
        <f>IF($BF269="ja",VLOOKUP($B269,'Egen hetvattenprod'!$B$1:$BX$550,MATCH("Värde enligt ovan. (%)",'Egen hetvattenprod'!$B$1:$BX$1,0),FALSE),"")</f>
        <v/>
      </c>
      <c r="BM269" s="227" t="str">
        <f>IF($BF269="ja",VLOOKUP($B269,Kraftvärmeprod!$B$1:$BX$550,MATCH("Värde enligt ovan. (%)",Kraftvärmeprod!$B$1:$BX$1,0),FALSE),"")</f>
        <v/>
      </c>
      <c r="BN269" s="227"/>
      <c r="BO269" s="227"/>
      <c r="BP269" s="227"/>
      <c r="BQ269" s="227" t="str">
        <f>IF($BF269="ja",VLOOKUP($B269,'Egen hetvattenprod'!$B$1:$BX$550,MATCH("Tillförd olja (fossil) vid avfallsförbränning (GWh)",'Egen hetvattenprod'!$B$1:$BX$1,0),FALSE),"")</f>
        <v/>
      </c>
      <c r="BR269" s="227" t="str">
        <f>IF($BF269="ja",VLOOKUP($B269,Kraftvärmeprod!$B$1:$BX$550,MATCH("Tillförd olja (fossil) vid avfallsförbränning (GWh)",Kraftvärmeprod!$B$1:$BX$1,0),FALSE),"")</f>
        <v/>
      </c>
      <c r="BS269" s="227"/>
      <c r="BT269" s="227"/>
      <c r="BU269" s="227"/>
    </row>
    <row r="270" spans="1:73" x14ac:dyDescent="0.25">
      <c r="A270" s="121" t="str">
        <f>'Miljövärden för publ företag'!B273</f>
        <v>Torsås fjärrvärmenät AB</v>
      </c>
      <c r="B270" s="121" t="str">
        <f>'Miljövärden för publ företag'!C273</f>
        <v>Torsås</v>
      </c>
      <c r="C270" s="173">
        <f>IFERROR(VLOOKUP($B270,Totalt!$B$1:$AQ$554,MATCH(C$2,Totalt!$B$1:$AQ$1,0),FALSE),"")</f>
        <v>0</v>
      </c>
      <c r="D270" s="173">
        <f>IFERROR(VLOOKUP($B270,Totalt!$B$1:$AQ$554,MATCH(D$2,Totalt!$B$1:$AQ$1,0),FALSE),"")</f>
        <v>0</v>
      </c>
      <c r="E270" s="173">
        <f>IFERROR(VLOOKUP($B270,Totalt!$B$1:$AQ$554,MATCH(E$2,Totalt!$B$1:$AQ$1,0),FALSE),"")</f>
        <v>0</v>
      </c>
      <c r="F270" s="173">
        <f>IFERROR(VLOOKUP($B270,Totalt!$B$1:$AQ$554,MATCH(F$2,Totalt!$B$1:$AQ$1,0),FALSE),"")</f>
        <v>0</v>
      </c>
      <c r="G270" s="173">
        <f>IFERROR(VLOOKUP($B270,Totalt!$B$1:$AQ$554,MATCH(G$2,Totalt!$B$1:$AQ$1,0),FALSE),"")</f>
        <v>0</v>
      </c>
      <c r="H270" s="173">
        <f>IFERROR(VLOOKUP($B270,Totalt!$B$1:$AQ$554,MATCH(H$2,Totalt!$B$1:$AQ$1,0),FALSE),"")</f>
        <v>0</v>
      </c>
      <c r="I270" s="173">
        <f>IFERROR(VLOOKUP($B270,Totalt!$B$1:$AQ$554,MATCH(I$2,Totalt!$B$1:$AQ$1,0),FALSE),"")</f>
        <v>0</v>
      </c>
      <c r="J270" s="173">
        <f>IFERROR(VLOOKUP($B270,Totalt!$B$1:$AQ$554,MATCH(J$2,Totalt!$B$1:$AQ$1,0),FALSE),"")</f>
        <v>0</v>
      </c>
      <c r="K270" s="173">
        <f>IFERROR(VLOOKUP($B270,Totalt!$B$1:$AQ$554,MATCH(K$2,Totalt!$B$1:$AQ$1,0),FALSE),"")</f>
        <v>0</v>
      </c>
      <c r="L270" s="173">
        <f>IFERROR(VLOOKUP($B270,Totalt!$B$1:$AQ$554,MATCH(L$2,Totalt!$B$1:$AQ$1,0),FALSE),"")</f>
        <v>0</v>
      </c>
      <c r="M270" s="173">
        <f>IFERROR(VLOOKUP($B270,Totalt!$B$1:$AQ$554,MATCH(M$2,Totalt!$B$1:$AQ$1,0),FALSE),"")</f>
        <v>0</v>
      </c>
      <c r="N270" s="173">
        <f>IFERROR(VLOOKUP($B270,Totalt!$B$1:$AQ$554,MATCH(N$2,Totalt!$B$1:$AQ$1,0),FALSE),"")</f>
        <v>0</v>
      </c>
      <c r="O270" s="173">
        <f>IFERROR(VLOOKUP($B270,Totalt!$B$1:$AQ$554,MATCH(O$2,Totalt!$B$1:$AQ$1,0),FALSE),"")</f>
        <v>0</v>
      </c>
      <c r="P270" s="173">
        <f>IFERROR(VLOOKUP($B270,Totalt!$B$1:$AQ$554,MATCH(P$2,Totalt!$B$1:$AQ$1,0),FALSE),"")</f>
        <v>0</v>
      </c>
      <c r="Q270" s="173">
        <f>IFERROR(VLOOKUP($B270,Totalt!$B$1:$AQ$554,MATCH(Q$2,Totalt!$B$1:$AQ$1,0),FALSE),"")</f>
        <v>17.1111</v>
      </c>
      <c r="R270" s="173">
        <f>IFERROR(VLOOKUP($B270,Totalt!$B$1:$AQ$554,MATCH(R$2,Totalt!$B$1:$AQ$1,0),FALSE),"")</f>
        <v>0</v>
      </c>
      <c r="S270" s="173">
        <f>IFERROR(VLOOKUP($B270,Totalt!$B$1:$AQ$554,MATCH(S$2,Totalt!$B$1:$AQ$1,0),FALSE),"")</f>
        <v>0</v>
      </c>
      <c r="T270" s="173">
        <f>IFERROR(VLOOKUP($B270,Totalt!$B$1:$AQ$554,MATCH(T$2,Totalt!$B$1:$AQ$1,0),FALSE),"")</f>
        <v>0</v>
      </c>
      <c r="U270" s="173">
        <f>IFERROR(VLOOKUP($B270,Totalt!$B$1:$AQ$554,MATCH(U$2,Totalt!$B$1:$AQ$1,0),FALSE),"")</f>
        <v>0</v>
      </c>
      <c r="V270" s="173">
        <f>IFERROR(VLOOKUP($B270,Totalt!$B$1:$AQ$554,MATCH(V$2,Totalt!$B$1:$AQ$1,0),FALSE),"")</f>
        <v>0</v>
      </c>
      <c r="W270" s="173">
        <f>IFERROR(VLOOKUP($B270,Totalt!$B$1:$AQ$554,MATCH(W$2,Totalt!$B$1:$AQ$1,0),FALSE),"")</f>
        <v>0</v>
      </c>
      <c r="X270" s="173">
        <f>IFERROR(VLOOKUP($B270,Totalt!$B$1:$AQ$554,MATCH(X$2,Totalt!$B$1:$AQ$1,0),FALSE),"")</f>
        <v>0</v>
      </c>
      <c r="Y270" s="173">
        <f>IFERROR(VLOOKUP($B270,Totalt!$B$1:$AQ$554,MATCH(Y$2,Totalt!$B$1:$AQ$1,0),FALSE),"")</f>
        <v>0</v>
      </c>
      <c r="Z270" s="173">
        <f>IFERROR(VLOOKUP($B270,Totalt!$B$1:$AQ$554,MATCH(Z$2,Totalt!$B$1:$AQ$1,0),FALSE),"")</f>
        <v>0</v>
      </c>
      <c r="AA270" s="173">
        <f>IFERROR(VLOOKUP($B270,Totalt!$B$1:$AQ$554,MATCH(AA$2,Totalt!$B$1:$AQ$1,0),FALSE),"")</f>
        <v>0</v>
      </c>
      <c r="AB270" s="173">
        <f>IFERROR(VLOOKUP($B270,Totalt!$B$1:$AQ$554,MATCH(AB$2,Totalt!$B$1:$AQ$1,0),FALSE),"")</f>
        <v>0</v>
      </c>
      <c r="AC270" s="173">
        <f>IFERROR(VLOOKUP($B270,Totalt!$B$1:$AQ$554,MATCH(AC$2,Totalt!$B$1:$AQ$1,0),FALSE),"")</f>
        <v>0</v>
      </c>
      <c r="AD270" s="173">
        <f>IFERROR(VLOOKUP($B270,Totalt!$B$1:$AQ$554,MATCH(AD$2,Totalt!$B$1:$AQ$1,0),FALSE),"")</f>
        <v>0</v>
      </c>
      <c r="AE270" s="173">
        <f>IFERROR(VLOOKUP($B270,Totalt!$B$1:$AQ$554,MATCH(AE$2,Totalt!$B$1:$AQ$1,0),FALSE),"")</f>
        <v>0</v>
      </c>
      <c r="AF270" s="173">
        <f>IFERROR(VLOOKUP($B270,Totalt!$B$1:$AQ$554,MATCH(AF$2,Totalt!$B$1:$AQ$1,0),FALSE),"")</f>
        <v>0.37064999999999998</v>
      </c>
      <c r="AG270" s="173">
        <f>IFERROR(VLOOKUP($B270,Totalt!$B$1:$AQ$554,MATCH(AG$2,Totalt!$B$1:$AQ$1,0),FALSE),"")</f>
        <v>0</v>
      </c>
      <c r="AI270" s="226">
        <f t="shared" si="24"/>
        <v>17.481750000000002</v>
      </c>
      <c r="AJ270" s="226">
        <f>IF(ISERROR(1/VLOOKUP($B270,Leveranser!$B$1:$S$500,MATCH("såld värme (gwh)",Leveranser!$B$1:$S$1,0),FALSE)),"",VLOOKUP($B270,Leveranser!$B$1:$S$500,MATCH("såld värme (gwh)",Leveranser!$B$1:$S$1,0),FALSE))</f>
        <v>12.355</v>
      </c>
      <c r="AM270" s="227" t="str">
        <f>IF(B270&lt;&gt;"",IF(VLOOKUP($B270,Totalt!$B$1:$AQ$554,MATCH("Kvalitetsgranskad:",Totalt!$B$1:$AQ$1,0),FALSE)="ja",VLOOKUP($B270,Miljö!$B$1:$AG$479,MATCH(AM$2,Miljö!$B$1:$AK$1,0),FALSE),""),"")</f>
        <v>Nej</v>
      </c>
      <c r="AN270" s="227" t="str">
        <f>IF(AM270="ja",VLOOKUP($B270,Miljö!$B$1:$J$479,MATCH("Typ av ursprungsspecificerad el   (Om inget värde anges används Nordisk residualmix, se inforuta) ()",Miljö!$B$1:$J$1,0),FALSE),IF(AM270="nej","Nordisk residualel",""))</f>
        <v>Nordisk residualel</v>
      </c>
      <c r="AO270" s="227">
        <f>IF(AM270="","",VLOOKUP($B270,Miljö!$B$1:$J$479,MATCH("Fossilandel för ursprungspecificerad el ()",Miljö!$B$1:$J$1,0),FALSE))</f>
        <v>0.43</v>
      </c>
      <c r="AP270" s="227">
        <f>IF(AM270="","",IFERROR(VLOOKUP($B270,Miljö!$B$1:$J$479,MATCH("Kärnkraftsandel för ursprungsspecificerad el ()",Miljö!$B$1:$J$1,0),FALSE)/1,0))</f>
        <v>0.40550000000000003</v>
      </c>
      <c r="AQ270" s="227">
        <f t="shared" si="25"/>
        <v>0.16450000000000004</v>
      </c>
      <c r="AR270" s="227"/>
      <c r="AS270" s="227" t="str">
        <f t="shared" si="26"/>
        <v>Nej</v>
      </c>
      <c r="AT270" s="227" t="str">
        <f>IF(AS270="ja",VLOOKUP($B270,Miljö!$B$1:$O$500,MATCH("Fossil andel i procent (%)",Miljö!$B$1:$O$1,0),FALSE)/100,"")</f>
        <v/>
      </c>
      <c r="AU270" s="227"/>
      <c r="AV270" s="227" t="str">
        <f t="shared" si="27"/>
        <v>Nej</v>
      </c>
      <c r="AW270" s="227" t="str">
        <f>IF(AV270="ja",VLOOKUP($B270,'Egen hetvattenprod'!$B$1:$AO$500,MATCH("Värmekälla till värmepumpar ()",'Egen hetvattenprod'!$B$1:$AO$1,0),FALSE),"")</f>
        <v/>
      </c>
      <c r="AX270" s="227"/>
      <c r="AY270" s="227" t="str">
        <f t="shared" si="28"/>
        <v>Nej</v>
      </c>
      <c r="AZ270" s="228" t="str">
        <f>IF($AY270="ja",(VLOOKUP($B270,'Egen hetvattenprod'!$B$1:$BX$550,MATCH(AZ$2,'Egen hetvattenprod'!$B$1:$BX$1,0),FALSE)+VLOOKUP($B270,Kraftvärmeprod!$B$1:$BX$550,MATCH(AZ$2,Kraftvärmeprod!$B$1:$BX$1,0),FALSE))/$AC270,"")</f>
        <v/>
      </c>
      <c r="BA270" s="228" t="str">
        <f>IF($AY270="ja",(VLOOKUP($B270,'Egen hetvattenprod'!$B$1:$BX$550,MATCH(BA$2,'Egen hetvattenprod'!$B$1:$BX$1,0),FALSE)+VLOOKUP($B270,Kraftvärmeprod!$B$1:$BX$550,MATCH(BA$2,Kraftvärmeprod!$B$1:$BX$1,0),FALSE))/$AC270,"")</f>
        <v/>
      </c>
      <c r="BB270" s="228" t="str">
        <f>IF($AY270="ja",(VLOOKUP($B270,'Egen hetvattenprod'!$B$1:$BX$550,MATCH(BB$2,'Egen hetvattenprod'!$B$1:$BX$1,0),FALSE)+VLOOKUP($B270,Kraftvärmeprod!$B$1:$BX$550,MATCH(BB$2,Kraftvärmeprod!$B$1:$BX$1,0),FALSE))/$AC270,"")</f>
        <v/>
      </c>
      <c r="BC270" s="228" t="str">
        <f>IF($AY270="ja",(VLOOKUP($B270,'Egen hetvattenprod'!$B$1:$BX$550,MATCH(BC$2,'Egen hetvattenprod'!$B$1:$BX$1,0),FALSE)+VLOOKUP($B270,Kraftvärmeprod!$B$1:$BX$550,MATCH(BC$2,Kraftvärmeprod!$B$1:$BX$1,0),FALSE))/$AC270,"")</f>
        <v/>
      </c>
      <c r="BD270" s="228" t="str">
        <f>IF($AY270="ja",(VLOOKUP($B270,'Egen hetvattenprod'!$B$1:$BX$550,MATCH(BD$2,'Egen hetvattenprod'!$B$1:$BX$1,0),FALSE)+VLOOKUP($B270,Kraftvärmeprod!$B$1:$BX$550,MATCH(BD$2,Kraftvärmeprod!$B$1:$BX$1,0),FALSE))/$AC270,"")</f>
        <v/>
      </c>
      <c r="BE270" s="227"/>
      <c r="BF270" s="227" t="str">
        <f t="shared" si="29"/>
        <v>Nej</v>
      </c>
      <c r="BG270" s="227" t="str">
        <f>IF($BF270="ja",VLOOKUP($B270,'Egen hetvattenprod'!$B$1:$BX$550,MATCH("Andelen klimatgaser med fossilt ursprung för avfall ()",'Egen hetvattenprod'!$B$1:$BX$1,0),FALSE),"")</f>
        <v/>
      </c>
      <c r="BH270" s="227" t="str">
        <f>IF($BF270="ja",VLOOKUP($B270,Kraftvärmeprod!$B$1:$BX$550,MATCH("Andelen klimatgaser med fossilt ursprung för avfall ()",Kraftvärmeprod!$B$1:$BX$1,0),FALSE),"")</f>
        <v/>
      </c>
      <c r="BI270" s="227" t="str">
        <f>IF($BF270="ja",VLOOKUP($B270,'Egen hetvattenprod'!$B$1:$BX$550,MATCH("Avfall (GWh)",'Egen hetvattenprod'!$B$1:$BX$1,0),FALSE),"")</f>
        <v/>
      </c>
      <c r="BJ270" s="227" t="str">
        <f>IF($BF270="ja",VLOOKUP($B270,'Slutlig allokering kvv'!$B$1:$BX$550,MATCH("Avfall (GWh)",'Slutlig allokering kvv'!$B$1:$BX$1,0),FALSE),"")</f>
        <v/>
      </c>
      <c r="BK270" s="227" t="str">
        <f>IF($BF270="ja",VLOOKUP($B270,'Köpt hetvatten'!$B$1:$BX$550,MATCH("Avfall i köpt hetvatten",'Köpt hetvatten'!$B$1:$BX$1,0),FALSE),"")</f>
        <v/>
      </c>
      <c r="BL270" s="227" t="str">
        <f>IF($BF270="ja",VLOOKUP($B270,'Egen hetvattenprod'!$B$1:$BX$550,MATCH("Värde enligt ovan. (%)",'Egen hetvattenprod'!$B$1:$BX$1,0),FALSE),"")</f>
        <v/>
      </c>
      <c r="BM270" s="227" t="str">
        <f>IF($BF270="ja",VLOOKUP($B270,Kraftvärmeprod!$B$1:$BX$550,MATCH("Värde enligt ovan. (%)",Kraftvärmeprod!$B$1:$BX$1,0),FALSE),"")</f>
        <v/>
      </c>
      <c r="BN270" s="227"/>
      <c r="BO270" s="227"/>
      <c r="BP270" s="227"/>
      <c r="BQ270" s="227" t="str">
        <f>IF($BF270="ja",VLOOKUP($B270,'Egen hetvattenprod'!$B$1:$BX$550,MATCH("Tillförd olja (fossil) vid avfallsförbränning (GWh)",'Egen hetvattenprod'!$B$1:$BX$1,0),FALSE),"")</f>
        <v/>
      </c>
      <c r="BR270" s="227" t="str">
        <f>IF($BF270="ja",VLOOKUP($B270,Kraftvärmeprod!$B$1:$BX$550,MATCH("Tillförd olja (fossil) vid avfallsförbränning (GWh)",Kraftvärmeprod!$B$1:$BX$1,0),FALSE),"")</f>
        <v/>
      </c>
      <c r="BS270" s="227"/>
      <c r="BT270" s="227"/>
      <c r="BU270" s="227"/>
    </row>
    <row r="271" spans="1:73" x14ac:dyDescent="0.25">
      <c r="A271" s="121" t="str">
        <f>'Miljövärden för publ företag'!B274</f>
        <v>Tranås Energi AB</v>
      </c>
      <c r="B271" s="121" t="str">
        <f>'Miljövärden för publ företag'!C274</f>
        <v>Tranås</v>
      </c>
      <c r="C271" s="173">
        <f>IFERROR(VLOOKUP($B271,Totalt!$B$1:$AQ$554,MATCH(C$2,Totalt!$B$1:$AQ$1,0),FALSE),"")</f>
        <v>0</v>
      </c>
      <c r="D271" s="173">
        <f>IFERROR(VLOOKUP($B271,Totalt!$B$1:$AQ$554,MATCH(D$2,Totalt!$B$1:$AQ$1,0),FALSE),"")</f>
        <v>1.4910000000000001</v>
      </c>
      <c r="E271" s="173">
        <f>IFERROR(VLOOKUP($B271,Totalt!$B$1:$AQ$554,MATCH(E$2,Totalt!$B$1:$AQ$1,0),FALSE),"")</f>
        <v>0</v>
      </c>
      <c r="F271" s="173">
        <f>IFERROR(VLOOKUP($B271,Totalt!$B$1:$AQ$554,MATCH(F$2,Totalt!$B$1:$AQ$1,0),FALSE),"")</f>
        <v>0</v>
      </c>
      <c r="G271" s="173">
        <f>IFERROR(VLOOKUP($B271,Totalt!$B$1:$AQ$554,MATCH(G$2,Totalt!$B$1:$AQ$1,0),FALSE),"")</f>
        <v>0</v>
      </c>
      <c r="H271" s="173">
        <f>IFERROR(VLOOKUP($B271,Totalt!$B$1:$AQ$554,MATCH(H$2,Totalt!$B$1:$AQ$1,0),FALSE),"")</f>
        <v>0</v>
      </c>
      <c r="I271" s="173">
        <f>IFERROR(VLOOKUP($B271,Totalt!$B$1:$AQ$554,MATCH(I$2,Totalt!$B$1:$AQ$1,0),FALSE),"")</f>
        <v>0</v>
      </c>
      <c r="J271" s="173">
        <f>IFERROR(VLOOKUP($B271,Totalt!$B$1:$AQ$554,MATCH(J$2,Totalt!$B$1:$AQ$1,0),FALSE),"")</f>
        <v>0</v>
      </c>
      <c r="K271" s="173">
        <f>IFERROR(VLOOKUP($B271,Totalt!$B$1:$AQ$554,MATCH(K$2,Totalt!$B$1:$AQ$1,0),FALSE),"")</f>
        <v>0</v>
      </c>
      <c r="L271" s="173">
        <f>IFERROR(VLOOKUP($B271,Totalt!$B$1:$AQ$554,MATCH(L$2,Totalt!$B$1:$AQ$1,0),FALSE),"")</f>
        <v>0</v>
      </c>
      <c r="M271" s="173">
        <f>IFERROR(VLOOKUP($B271,Totalt!$B$1:$AQ$554,MATCH(M$2,Totalt!$B$1:$AQ$1,0),FALSE),"")</f>
        <v>25.576499999999999</v>
      </c>
      <c r="N271" s="173">
        <f>IFERROR(VLOOKUP($B271,Totalt!$B$1:$AQ$554,MATCH(N$2,Totalt!$B$1:$AQ$1,0),FALSE),"")</f>
        <v>82.337199999999996</v>
      </c>
      <c r="O271" s="173">
        <f>IFERROR(VLOOKUP($B271,Totalt!$B$1:$AQ$554,MATCH(O$2,Totalt!$B$1:$AQ$1,0),FALSE),"")</f>
        <v>10.3439</v>
      </c>
      <c r="P271" s="173">
        <f>IFERROR(VLOOKUP($B271,Totalt!$B$1:$AQ$554,MATCH(P$2,Totalt!$B$1:$AQ$1,0),FALSE),"")</f>
        <v>0</v>
      </c>
      <c r="Q271" s="173">
        <f>IFERROR(VLOOKUP($B271,Totalt!$B$1:$AQ$554,MATCH(Q$2,Totalt!$B$1:$AQ$1,0),FALSE),"")</f>
        <v>0</v>
      </c>
      <c r="R271" s="173">
        <f>IFERROR(VLOOKUP($B271,Totalt!$B$1:$AQ$554,MATCH(R$2,Totalt!$B$1:$AQ$1,0),FALSE),"")</f>
        <v>0</v>
      </c>
      <c r="S271" s="173">
        <f>IFERROR(VLOOKUP($B271,Totalt!$B$1:$AQ$554,MATCH(S$2,Totalt!$B$1:$AQ$1,0),FALSE),"")</f>
        <v>0</v>
      </c>
      <c r="T271" s="173">
        <f>IFERROR(VLOOKUP($B271,Totalt!$B$1:$AQ$554,MATCH(T$2,Totalt!$B$1:$AQ$1,0),FALSE),"")</f>
        <v>0</v>
      </c>
      <c r="U271" s="173">
        <f>IFERROR(VLOOKUP($B271,Totalt!$B$1:$AQ$554,MATCH(U$2,Totalt!$B$1:$AQ$1,0),FALSE),"")</f>
        <v>0</v>
      </c>
      <c r="V271" s="173">
        <f>IFERROR(VLOOKUP($B271,Totalt!$B$1:$AQ$554,MATCH(V$2,Totalt!$B$1:$AQ$1,0),FALSE),"")</f>
        <v>0</v>
      </c>
      <c r="W271" s="173">
        <f>IFERROR(VLOOKUP($B271,Totalt!$B$1:$AQ$554,MATCH(W$2,Totalt!$B$1:$AQ$1,0),FALSE),"")</f>
        <v>0</v>
      </c>
      <c r="X271" s="173">
        <f>IFERROR(VLOOKUP($B271,Totalt!$B$1:$AQ$554,MATCH(X$2,Totalt!$B$1:$AQ$1,0),FALSE),"")</f>
        <v>0</v>
      </c>
      <c r="Y271" s="173">
        <f>IFERROR(VLOOKUP($B271,Totalt!$B$1:$AQ$554,MATCH(Y$2,Totalt!$B$1:$AQ$1,0),FALSE),"")</f>
        <v>0</v>
      </c>
      <c r="Z271" s="173">
        <f>IFERROR(VLOOKUP($B271,Totalt!$B$1:$AQ$554,MATCH(Z$2,Totalt!$B$1:$AQ$1,0),FALSE),"")</f>
        <v>0</v>
      </c>
      <c r="AA271" s="173">
        <f>IFERROR(VLOOKUP($B271,Totalt!$B$1:$AQ$554,MATCH(AA$2,Totalt!$B$1:$AQ$1,0),FALSE),"")</f>
        <v>0</v>
      </c>
      <c r="AB271" s="173">
        <f>IFERROR(VLOOKUP($B271,Totalt!$B$1:$AQ$554,MATCH(AB$2,Totalt!$B$1:$AQ$1,0),FALSE),"")</f>
        <v>0</v>
      </c>
      <c r="AC271" s="173">
        <f>IFERROR(VLOOKUP($B271,Totalt!$B$1:$AQ$554,MATCH(AC$2,Totalt!$B$1:$AQ$1,0),FALSE),"")</f>
        <v>30.24</v>
      </c>
      <c r="AD271" s="173">
        <f>IFERROR(VLOOKUP($B271,Totalt!$B$1:$AQ$554,MATCH(AD$2,Totalt!$B$1:$AQ$1,0),FALSE),"")</f>
        <v>0</v>
      </c>
      <c r="AE271" s="173">
        <f>IFERROR(VLOOKUP($B271,Totalt!$B$1:$AQ$554,MATCH(AE$2,Totalt!$B$1:$AQ$1,0),FALSE),"")</f>
        <v>0</v>
      </c>
      <c r="AF271" s="173">
        <f>IFERROR(VLOOKUP($B271,Totalt!$B$1:$AQ$554,MATCH(AF$2,Totalt!$B$1:$AQ$1,0),FALSE),"")</f>
        <v>5.5</v>
      </c>
      <c r="AG271" s="173">
        <f>IFERROR(VLOOKUP($B271,Totalt!$B$1:$AQ$554,MATCH(AG$2,Totalt!$B$1:$AQ$1,0),FALSE),"")</f>
        <v>0</v>
      </c>
      <c r="AI271" s="226">
        <f t="shared" si="24"/>
        <v>155.48859999999999</v>
      </c>
      <c r="AJ271" s="226">
        <f>IF(ISERROR(1/VLOOKUP($B271,Leveranser!$B$1:$S$500,MATCH("såld värme (gwh)",Leveranser!$B$1:$S$1,0),FALSE)),"",VLOOKUP($B271,Leveranser!$B$1:$S$500,MATCH("såld värme (gwh)",Leveranser!$B$1:$S$1,0),FALSE))</f>
        <v>124</v>
      </c>
      <c r="AM271" s="227" t="str">
        <f>IF(B271&lt;&gt;"",IF(VLOOKUP($B271,Totalt!$B$1:$AQ$554,MATCH("Kvalitetsgranskad:",Totalt!$B$1:$AQ$1,0),FALSE)="ja",VLOOKUP($B271,Miljö!$B$1:$AG$479,MATCH(AM$2,Miljö!$B$1:$AK$1,0),FALSE),""),"")</f>
        <v>Ja</v>
      </c>
      <c r="AN271" s="227" t="str">
        <f>IF(AM271="ja",VLOOKUP($B271,Miljö!$B$1:$J$479,MATCH("Typ av ursprungsspecificerad el   (Om inget värde anges används Nordisk residualmix, se inforuta) ()",Miljö!$B$1:$J$1,0),FALSE),IF(AM271="nej","Nordisk residualel",""))</f>
        <v>'Vattenkraft'</v>
      </c>
      <c r="AO271" s="227">
        <f>IF(AM271="","",VLOOKUP($B271,Miljö!$B$1:$J$479,MATCH("Fossilandel för ursprungspecificerad el ()",Miljö!$B$1:$J$1,0),FALSE))</f>
        <v>0</v>
      </c>
      <c r="AP271" s="227">
        <f>IF(AM271="","",IFERROR(VLOOKUP($B271,Miljö!$B$1:$J$479,MATCH("Kärnkraftsandel för ursprungsspecificerad el ()",Miljö!$B$1:$J$1,0),FALSE)/1,0))</f>
        <v>0</v>
      </c>
      <c r="AQ271" s="227">
        <f t="shared" si="25"/>
        <v>1</v>
      </c>
      <c r="AR271" s="227"/>
      <c r="AS271" s="227" t="str">
        <f t="shared" si="26"/>
        <v>Nej</v>
      </c>
      <c r="AT271" s="227" t="str">
        <f>IF(AS271="ja",VLOOKUP($B271,Miljö!$B$1:$O$500,MATCH("Fossil andel i procent (%)",Miljö!$B$1:$O$1,0),FALSE)/100,"")</f>
        <v/>
      </c>
      <c r="AU271" s="227"/>
      <c r="AV271" s="227" t="str">
        <f t="shared" si="27"/>
        <v>Nej</v>
      </c>
      <c r="AW271" s="227" t="str">
        <f>IF(AV271="ja",VLOOKUP($B271,'Egen hetvattenprod'!$B$1:$AO$500,MATCH("Värmekälla till värmepumpar ()",'Egen hetvattenprod'!$B$1:$AO$1,0),FALSE),"")</f>
        <v/>
      </c>
      <c r="AX271" s="227"/>
      <c r="AY271" s="227" t="str">
        <f t="shared" si="28"/>
        <v>Ja</v>
      </c>
      <c r="AZ271" s="228">
        <f>IF($AY271="ja",(VLOOKUP($B271,'Egen hetvattenprod'!$B$1:$BX$550,MATCH(AZ$2,'Egen hetvattenprod'!$B$1:$BX$1,0),FALSE)+VLOOKUP($B271,Kraftvärmeprod!$B$1:$BX$550,MATCH(AZ$2,Kraftvärmeprod!$B$1:$BX$1,0),FALSE))/$AC271,"")</f>
        <v>1.0000000000000002</v>
      </c>
      <c r="BA271" s="228">
        <f>IF($AY271="ja",(VLOOKUP($B271,'Egen hetvattenprod'!$B$1:$BX$550,MATCH(BA$2,'Egen hetvattenprod'!$B$1:$BX$1,0),FALSE)+VLOOKUP($B271,Kraftvärmeprod!$B$1:$BX$550,MATCH(BA$2,Kraftvärmeprod!$B$1:$BX$1,0),FALSE))/$AC271,"")</f>
        <v>0</v>
      </c>
      <c r="BB271" s="228">
        <f>IF($AY271="ja",(VLOOKUP($B271,'Egen hetvattenprod'!$B$1:$BX$550,MATCH(BB$2,'Egen hetvattenprod'!$B$1:$BX$1,0),FALSE)+VLOOKUP($B271,Kraftvärmeprod!$B$1:$BX$550,MATCH(BB$2,Kraftvärmeprod!$B$1:$BX$1,0),FALSE))/$AC271,"")</f>
        <v>0</v>
      </c>
      <c r="BC271" s="228">
        <f>IF($AY271="ja",(VLOOKUP($B271,'Egen hetvattenprod'!$B$1:$BX$550,MATCH(BC$2,'Egen hetvattenprod'!$B$1:$BX$1,0),FALSE)+VLOOKUP($B271,Kraftvärmeprod!$B$1:$BX$550,MATCH(BC$2,Kraftvärmeprod!$B$1:$BX$1,0),FALSE))/$AC271,"")</f>
        <v>0</v>
      </c>
      <c r="BD271" s="228">
        <f>IF($AY271="ja",(VLOOKUP($B271,'Egen hetvattenprod'!$B$1:$BX$550,MATCH(BD$2,'Egen hetvattenprod'!$B$1:$BX$1,0),FALSE)+VLOOKUP($B271,Kraftvärmeprod!$B$1:$BX$550,MATCH(BD$2,Kraftvärmeprod!$B$1:$BX$1,0),FALSE))/$AC271,"")</f>
        <v>0</v>
      </c>
      <c r="BE271" s="227"/>
      <c r="BF271" s="227" t="str">
        <f t="shared" si="29"/>
        <v>Nej</v>
      </c>
      <c r="BG271" s="227" t="str">
        <f>IF($BF271="ja",VLOOKUP($B271,'Egen hetvattenprod'!$B$1:$BX$550,MATCH("Andelen klimatgaser med fossilt ursprung för avfall ()",'Egen hetvattenprod'!$B$1:$BX$1,0),FALSE),"")</f>
        <v/>
      </c>
      <c r="BH271" s="227" t="str">
        <f>IF($BF271="ja",VLOOKUP($B271,Kraftvärmeprod!$B$1:$BX$550,MATCH("Andelen klimatgaser med fossilt ursprung för avfall ()",Kraftvärmeprod!$B$1:$BX$1,0),FALSE),"")</f>
        <v/>
      </c>
      <c r="BI271" s="227" t="str">
        <f>IF($BF271="ja",VLOOKUP($B271,'Egen hetvattenprod'!$B$1:$BX$550,MATCH("Avfall (GWh)",'Egen hetvattenprod'!$B$1:$BX$1,0),FALSE),"")</f>
        <v/>
      </c>
      <c r="BJ271" s="227" t="str">
        <f>IF($BF271="ja",VLOOKUP($B271,'Slutlig allokering kvv'!$B$1:$BX$550,MATCH("Avfall (GWh)",'Slutlig allokering kvv'!$B$1:$BX$1,0),FALSE),"")</f>
        <v/>
      </c>
      <c r="BK271" s="227" t="str">
        <f>IF($BF271="ja",VLOOKUP($B271,'Köpt hetvatten'!$B$1:$BX$550,MATCH("Avfall i köpt hetvatten",'Köpt hetvatten'!$B$1:$BX$1,0),FALSE),"")</f>
        <v/>
      </c>
      <c r="BL271" s="227" t="str">
        <f>IF($BF271="ja",VLOOKUP($B271,'Egen hetvattenprod'!$B$1:$BX$550,MATCH("Värde enligt ovan. (%)",'Egen hetvattenprod'!$B$1:$BX$1,0),FALSE),"")</f>
        <v/>
      </c>
      <c r="BM271" s="227" t="str">
        <f>IF($BF271="ja",VLOOKUP($B271,Kraftvärmeprod!$B$1:$BX$550,MATCH("Värde enligt ovan. (%)",Kraftvärmeprod!$B$1:$BX$1,0),FALSE),"")</f>
        <v/>
      </c>
      <c r="BN271" s="227"/>
      <c r="BO271" s="227"/>
      <c r="BP271" s="227"/>
      <c r="BQ271" s="227" t="str">
        <f>IF($BF271="ja",VLOOKUP($B271,'Egen hetvattenprod'!$B$1:$BX$550,MATCH("Tillförd olja (fossil) vid avfallsförbränning (GWh)",'Egen hetvattenprod'!$B$1:$BX$1,0),FALSE),"")</f>
        <v/>
      </c>
      <c r="BR271" s="227" t="str">
        <f>IF($BF271="ja",VLOOKUP($B271,Kraftvärmeprod!$B$1:$BX$550,MATCH("Tillförd olja (fossil) vid avfallsförbränning (GWh)",Kraftvärmeprod!$B$1:$BX$1,0),FALSE),"")</f>
        <v/>
      </c>
      <c r="BS271" s="227"/>
      <c r="BT271" s="227"/>
      <c r="BU271" s="227"/>
    </row>
    <row r="272" spans="1:73" x14ac:dyDescent="0.25">
      <c r="A272" s="121" t="str">
        <f>'Miljövärden för publ företag'!B275</f>
        <v>Trollhättan Energi AB</v>
      </c>
      <c r="B272" s="121" t="str">
        <f>'Miljövärden för publ företag'!C275</f>
        <v>Trollhättan</v>
      </c>
      <c r="C272" s="173">
        <f>IFERROR(VLOOKUP($B272,Totalt!$B$1:$AQ$554,MATCH(C$2,Totalt!$B$1:$AQ$1,0),FALSE),"")</f>
        <v>0</v>
      </c>
      <c r="D272" s="173">
        <f>IFERROR(VLOOKUP($B272,Totalt!$B$1:$AQ$554,MATCH(D$2,Totalt!$B$1:$AQ$1,0),FALSE),"")</f>
        <v>0.53</v>
      </c>
      <c r="E272" s="173">
        <f>IFERROR(VLOOKUP($B272,Totalt!$B$1:$AQ$554,MATCH(E$2,Totalt!$B$1:$AQ$1,0),FALSE),"")</f>
        <v>0</v>
      </c>
      <c r="F272" s="173">
        <f>IFERROR(VLOOKUP($B272,Totalt!$B$1:$AQ$554,MATCH(F$2,Totalt!$B$1:$AQ$1,0),FALSE),"")</f>
        <v>0</v>
      </c>
      <c r="G272" s="173">
        <f>IFERROR(VLOOKUP($B272,Totalt!$B$1:$AQ$554,MATCH(G$2,Totalt!$B$1:$AQ$1,0),FALSE),"")</f>
        <v>0</v>
      </c>
      <c r="H272" s="173">
        <f>IFERROR(VLOOKUP($B272,Totalt!$B$1:$AQ$554,MATCH(H$2,Totalt!$B$1:$AQ$1,0),FALSE),"")</f>
        <v>0</v>
      </c>
      <c r="I272" s="173">
        <f>IFERROR(VLOOKUP($B272,Totalt!$B$1:$AQ$554,MATCH(I$2,Totalt!$B$1:$AQ$1,0),FALSE),"")</f>
        <v>0</v>
      </c>
      <c r="J272" s="173">
        <f>IFERROR(VLOOKUP($B272,Totalt!$B$1:$AQ$554,MATCH(J$2,Totalt!$B$1:$AQ$1,0),FALSE),"")</f>
        <v>0</v>
      </c>
      <c r="K272" s="173">
        <f>IFERROR(VLOOKUP($B272,Totalt!$B$1:$AQ$554,MATCH(K$2,Totalt!$B$1:$AQ$1,0),FALSE),"")</f>
        <v>0</v>
      </c>
      <c r="L272" s="173">
        <f>IFERROR(VLOOKUP($B272,Totalt!$B$1:$AQ$554,MATCH(L$2,Totalt!$B$1:$AQ$1,0),FALSE),"")</f>
        <v>0</v>
      </c>
      <c r="M272" s="173">
        <f>IFERROR(VLOOKUP($B272,Totalt!$B$1:$AQ$554,MATCH(M$2,Totalt!$B$1:$AQ$1,0),FALSE),"")</f>
        <v>0</v>
      </c>
      <c r="N272" s="173">
        <f>IFERROR(VLOOKUP($B272,Totalt!$B$1:$AQ$554,MATCH(N$2,Totalt!$B$1:$AQ$1,0),FALSE),"")</f>
        <v>276.041</v>
      </c>
      <c r="O272" s="173">
        <f>IFERROR(VLOOKUP($B272,Totalt!$B$1:$AQ$554,MATCH(O$2,Totalt!$B$1:$AQ$1,0),FALSE),"")</f>
        <v>0</v>
      </c>
      <c r="P272" s="173">
        <f>IFERROR(VLOOKUP($B272,Totalt!$B$1:$AQ$554,MATCH(P$2,Totalt!$B$1:$AQ$1,0),FALSE),"")</f>
        <v>0</v>
      </c>
      <c r="Q272" s="173">
        <f>IFERROR(VLOOKUP($B272,Totalt!$B$1:$AQ$554,MATCH(Q$2,Totalt!$B$1:$AQ$1,0),FALSE),"")</f>
        <v>0</v>
      </c>
      <c r="R272" s="173">
        <f>IFERROR(VLOOKUP($B272,Totalt!$B$1:$AQ$554,MATCH(R$2,Totalt!$B$1:$AQ$1,0),FALSE),"")</f>
        <v>0</v>
      </c>
      <c r="S272" s="173">
        <f>IFERROR(VLOOKUP($B272,Totalt!$B$1:$AQ$554,MATCH(S$2,Totalt!$B$1:$AQ$1,0),FALSE),"")</f>
        <v>0</v>
      </c>
      <c r="T272" s="173">
        <f>IFERROR(VLOOKUP($B272,Totalt!$B$1:$AQ$554,MATCH(T$2,Totalt!$B$1:$AQ$1,0),FALSE),"")</f>
        <v>0</v>
      </c>
      <c r="U272" s="173">
        <f>IFERROR(VLOOKUP($B272,Totalt!$B$1:$AQ$554,MATCH(U$2,Totalt!$B$1:$AQ$1,0),FALSE),"")</f>
        <v>0</v>
      </c>
      <c r="V272" s="173">
        <f>IFERROR(VLOOKUP($B272,Totalt!$B$1:$AQ$554,MATCH(V$2,Totalt!$B$1:$AQ$1,0),FALSE),"")</f>
        <v>0</v>
      </c>
      <c r="W272" s="173">
        <f>IFERROR(VLOOKUP($B272,Totalt!$B$1:$AQ$554,MATCH(W$2,Totalt!$B$1:$AQ$1,0),FALSE),"")</f>
        <v>42.6</v>
      </c>
      <c r="X272" s="173">
        <f>IFERROR(VLOOKUP($B272,Totalt!$B$1:$AQ$554,MATCH(X$2,Totalt!$B$1:$AQ$1,0),FALSE),"")</f>
        <v>0</v>
      </c>
      <c r="Y272" s="173">
        <f>IFERROR(VLOOKUP($B272,Totalt!$B$1:$AQ$554,MATCH(Y$2,Totalt!$B$1:$AQ$1,0),FALSE),"")</f>
        <v>0</v>
      </c>
      <c r="Z272" s="173">
        <f>IFERROR(VLOOKUP($B272,Totalt!$B$1:$AQ$554,MATCH(Z$2,Totalt!$B$1:$AQ$1,0),FALSE),"")</f>
        <v>0</v>
      </c>
      <c r="AA272" s="173">
        <f>IFERROR(VLOOKUP($B272,Totalt!$B$1:$AQ$554,MATCH(AA$2,Totalt!$B$1:$AQ$1,0),FALSE),"")</f>
        <v>0</v>
      </c>
      <c r="AB272" s="173">
        <f>IFERROR(VLOOKUP($B272,Totalt!$B$1:$AQ$554,MATCH(AB$2,Totalt!$B$1:$AQ$1,0),FALSE),"")</f>
        <v>0</v>
      </c>
      <c r="AC272" s="173">
        <f>IFERROR(VLOOKUP($B272,Totalt!$B$1:$AQ$554,MATCH(AC$2,Totalt!$B$1:$AQ$1,0),FALSE),"")</f>
        <v>48</v>
      </c>
      <c r="AD272" s="173">
        <f>IFERROR(VLOOKUP($B272,Totalt!$B$1:$AQ$554,MATCH(AD$2,Totalt!$B$1:$AQ$1,0),FALSE),"")</f>
        <v>59.1</v>
      </c>
      <c r="AE272" s="173">
        <f>IFERROR(VLOOKUP($B272,Totalt!$B$1:$AQ$554,MATCH(AE$2,Totalt!$B$1:$AQ$1,0),FALSE),"")</f>
        <v>0</v>
      </c>
      <c r="AF272" s="173">
        <f>IFERROR(VLOOKUP($B272,Totalt!$B$1:$AQ$554,MATCH(AF$2,Totalt!$B$1:$AQ$1,0),FALSE),"")</f>
        <v>6.7520499999999997</v>
      </c>
      <c r="AG272" s="173">
        <f>IFERROR(VLOOKUP($B272,Totalt!$B$1:$AQ$554,MATCH(AG$2,Totalt!$B$1:$AQ$1,0),FALSE),"")</f>
        <v>0</v>
      </c>
      <c r="AI272" s="226">
        <f t="shared" si="24"/>
        <v>433.02305000000001</v>
      </c>
      <c r="AJ272" s="226">
        <f>IF(ISERROR(1/VLOOKUP($B272,Leveranser!$B$1:$S$500,MATCH("såld värme (gwh)",Leveranser!$B$1:$S$1,0),FALSE)),"",VLOOKUP($B272,Leveranser!$B$1:$S$500,MATCH("såld värme (gwh)",Leveranser!$B$1:$S$1,0),FALSE))</f>
        <v>346.2</v>
      </c>
      <c r="AM272" s="227" t="str">
        <f>IF(B272&lt;&gt;"",IF(VLOOKUP($B272,Totalt!$B$1:$AQ$554,MATCH("Kvalitetsgranskad:",Totalt!$B$1:$AQ$1,0),FALSE)="ja",VLOOKUP($B272,Miljö!$B$1:$AG$479,MATCH(AM$2,Miljö!$B$1:$AK$1,0),FALSE),""),"")</f>
        <v>Ja</v>
      </c>
      <c r="AN272" s="227" t="str">
        <f>IF(AM272="ja",VLOOKUP($B272,Miljö!$B$1:$J$479,MATCH("Typ av ursprungsspecificerad el   (Om inget värde anges används Nordisk residualmix, se inforuta) ()",Miljö!$B$1:$J$1,0),FALSE),IF(AM272="nej","Nordisk residualel",""))</f>
        <v>'''El producerad i eget biokraftvärmeverk'''</v>
      </c>
      <c r="AO272" s="227">
        <f>IF(AM272="","",VLOOKUP($B272,Miljö!$B$1:$J$479,MATCH("Fossilandel för ursprungspecificerad el ()",Miljö!$B$1:$J$1,0),FALSE))</f>
        <v>0</v>
      </c>
      <c r="AP272" s="227">
        <f>IF(AM272="","",IFERROR(VLOOKUP($B272,Miljö!$B$1:$J$479,MATCH("Kärnkraftsandel för ursprungsspecificerad el ()",Miljö!$B$1:$J$1,0),FALSE)/1,0))</f>
        <v>0</v>
      </c>
      <c r="AQ272" s="227">
        <f t="shared" si="25"/>
        <v>1</v>
      </c>
      <c r="AR272" s="227"/>
      <c r="AS272" s="227" t="str">
        <f t="shared" si="26"/>
        <v>Nej</v>
      </c>
      <c r="AT272" s="227" t="str">
        <f>IF(AS272="ja",VLOOKUP($B272,Miljö!$B$1:$O$500,MATCH("Fossil andel i procent (%)",Miljö!$B$1:$O$1,0),FALSE)/100,"")</f>
        <v/>
      </c>
      <c r="AU272" s="227"/>
      <c r="AV272" s="227" t="str">
        <f t="shared" si="27"/>
        <v>Nej</v>
      </c>
      <c r="AW272" s="227" t="str">
        <f>IF(AV272="ja",VLOOKUP($B272,'Egen hetvattenprod'!$B$1:$AO$500,MATCH("Värmekälla till värmepumpar ()",'Egen hetvattenprod'!$B$1:$AO$1,0),FALSE),"")</f>
        <v/>
      </c>
      <c r="AX272" s="227"/>
      <c r="AY272" s="227" t="str">
        <f t="shared" si="28"/>
        <v>Ja</v>
      </c>
      <c r="AZ272" s="228">
        <f>IF($AY272="ja",(VLOOKUP($B272,'Egen hetvattenprod'!$B$1:$BX$550,MATCH(AZ$2,'Egen hetvattenprod'!$B$1:$BX$1,0),FALSE)+VLOOKUP($B272,Kraftvärmeprod!$B$1:$BX$550,MATCH(AZ$2,Kraftvärmeprod!$B$1:$BX$1,0),FALSE))/$AC272,"")</f>
        <v>1</v>
      </c>
      <c r="BA272" s="228">
        <f>IF($AY272="ja",(VLOOKUP($B272,'Egen hetvattenprod'!$B$1:$BX$550,MATCH(BA$2,'Egen hetvattenprod'!$B$1:$BX$1,0),FALSE)+VLOOKUP($B272,Kraftvärmeprod!$B$1:$BX$550,MATCH(BA$2,Kraftvärmeprod!$B$1:$BX$1,0),FALSE))/$AC272,"")</f>
        <v>0</v>
      </c>
      <c r="BB272" s="228">
        <f>IF($AY272="ja",(VLOOKUP($B272,'Egen hetvattenprod'!$B$1:$BX$550,MATCH(BB$2,'Egen hetvattenprod'!$B$1:$BX$1,0),FALSE)+VLOOKUP($B272,Kraftvärmeprod!$B$1:$BX$550,MATCH(BB$2,Kraftvärmeprod!$B$1:$BX$1,0),FALSE))/$AC272,"")</f>
        <v>0</v>
      </c>
      <c r="BC272" s="228">
        <f>IF($AY272="ja",(VLOOKUP($B272,'Egen hetvattenprod'!$B$1:$BX$550,MATCH(BC$2,'Egen hetvattenprod'!$B$1:$BX$1,0),FALSE)+VLOOKUP($B272,Kraftvärmeprod!$B$1:$BX$550,MATCH(BC$2,Kraftvärmeprod!$B$1:$BX$1,0),FALSE))/$AC272,"")</f>
        <v>0</v>
      </c>
      <c r="BD272" s="228">
        <f>IF($AY272="ja",(VLOOKUP($B272,'Egen hetvattenprod'!$B$1:$BX$550,MATCH(BD$2,'Egen hetvattenprod'!$B$1:$BX$1,0),FALSE)+VLOOKUP($B272,Kraftvärmeprod!$B$1:$BX$550,MATCH(BD$2,Kraftvärmeprod!$B$1:$BX$1,0),FALSE))/$AC272,"")</f>
        <v>0</v>
      </c>
      <c r="BE272" s="227"/>
      <c r="BF272" s="227" t="str">
        <f t="shared" si="29"/>
        <v>Nej</v>
      </c>
      <c r="BG272" s="227" t="str">
        <f>IF($BF272="ja",VLOOKUP($B272,'Egen hetvattenprod'!$B$1:$BX$550,MATCH("Andelen klimatgaser med fossilt ursprung för avfall ()",'Egen hetvattenprod'!$B$1:$BX$1,0),FALSE),"")</f>
        <v/>
      </c>
      <c r="BH272" s="227" t="str">
        <f>IF($BF272="ja",VLOOKUP($B272,Kraftvärmeprod!$B$1:$BX$550,MATCH("Andelen klimatgaser med fossilt ursprung för avfall ()",Kraftvärmeprod!$B$1:$BX$1,0),FALSE),"")</f>
        <v/>
      </c>
      <c r="BI272" s="227" t="str">
        <f>IF($BF272="ja",VLOOKUP($B272,'Egen hetvattenprod'!$B$1:$BX$550,MATCH("Avfall (GWh)",'Egen hetvattenprod'!$B$1:$BX$1,0),FALSE),"")</f>
        <v/>
      </c>
      <c r="BJ272" s="227" t="str">
        <f>IF($BF272="ja",VLOOKUP($B272,'Slutlig allokering kvv'!$B$1:$BX$550,MATCH("Avfall (GWh)",'Slutlig allokering kvv'!$B$1:$BX$1,0),FALSE),"")</f>
        <v/>
      </c>
      <c r="BK272" s="227" t="str">
        <f>IF($BF272="ja",VLOOKUP($B272,'Köpt hetvatten'!$B$1:$BX$550,MATCH("Avfall i köpt hetvatten",'Köpt hetvatten'!$B$1:$BX$1,0),FALSE),"")</f>
        <v/>
      </c>
      <c r="BL272" s="227" t="str">
        <f>IF($BF272="ja",VLOOKUP($B272,'Egen hetvattenprod'!$B$1:$BX$550,MATCH("Värde enligt ovan. (%)",'Egen hetvattenprod'!$B$1:$BX$1,0),FALSE),"")</f>
        <v/>
      </c>
      <c r="BM272" s="227" t="str">
        <f>IF($BF272="ja",VLOOKUP($B272,Kraftvärmeprod!$B$1:$BX$550,MATCH("Värde enligt ovan. (%)",Kraftvärmeprod!$B$1:$BX$1,0),FALSE),"")</f>
        <v/>
      </c>
      <c r="BN272" s="227"/>
      <c r="BO272" s="227"/>
      <c r="BP272" s="227"/>
      <c r="BQ272" s="227" t="str">
        <f>IF($BF272="ja",VLOOKUP($B272,'Egen hetvattenprod'!$B$1:$BX$550,MATCH("Tillförd olja (fossil) vid avfallsförbränning (GWh)",'Egen hetvattenprod'!$B$1:$BX$1,0),FALSE),"")</f>
        <v/>
      </c>
      <c r="BR272" s="227" t="str">
        <f>IF($BF272="ja",VLOOKUP($B272,Kraftvärmeprod!$B$1:$BX$550,MATCH("Tillförd olja (fossil) vid avfallsförbränning (GWh)",Kraftvärmeprod!$B$1:$BX$1,0),FALSE),"")</f>
        <v/>
      </c>
      <c r="BS272" s="227"/>
      <c r="BT272" s="227"/>
      <c r="BU272" s="227"/>
    </row>
    <row r="273" spans="1:73" x14ac:dyDescent="0.25">
      <c r="A273" s="121" t="str">
        <f>'Miljövärden för publ företag'!B276</f>
        <v>Uddevalla Energi AB</v>
      </c>
      <c r="B273" s="121" t="str">
        <f>'Miljövärden för publ företag'!C276</f>
        <v>Ljungskile</v>
      </c>
      <c r="C273" s="173">
        <f>IFERROR(VLOOKUP($B273,Totalt!$B$1:$AQ$554,MATCH(C$2,Totalt!$B$1:$AQ$1,0),FALSE),"")</f>
        <v>0</v>
      </c>
      <c r="D273" s="173">
        <f>IFERROR(VLOOKUP($B273,Totalt!$B$1:$AQ$554,MATCH(D$2,Totalt!$B$1:$AQ$1,0),FALSE),"")</f>
        <v>0</v>
      </c>
      <c r="E273" s="173">
        <f>IFERROR(VLOOKUP($B273,Totalt!$B$1:$AQ$554,MATCH(E$2,Totalt!$B$1:$AQ$1,0),FALSE),"")</f>
        <v>0</v>
      </c>
      <c r="F273" s="173">
        <f>IFERROR(VLOOKUP($B273,Totalt!$B$1:$AQ$554,MATCH(F$2,Totalt!$B$1:$AQ$1,0),FALSE),"")</f>
        <v>0</v>
      </c>
      <c r="G273" s="173">
        <f>IFERROR(VLOOKUP($B273,Totalt!$B$1:$AQ$554,MATCH(G$2,Totalt!$B$1:$AQ$1,0),FALSE),"")</f>
        <v>0</v>
      </c>
      <c r="H273" s="173">
        <f>IFERROR(VLOOKUP($B273,Totalt!$B$1:$AQ$554,MATCH(H$2,Totalt!$B$1:$AQ$1,0),FALSE),"")</f>
        <v>0</v>
      </c>
      <c r="I273" s="173">
        <f>IFERROR(VLOOKUP($B273,Totalt!$B$1:$AQ$554,MATCH(I$2,Totalt!$B$1:$AQ$1,0),FALSE),"")</f>
        <v>0</v>
      </c>
      <c r="J273" s="173">
        <f>IFERROR(VLOOKUP($B273,Totalt!$B$1:$AQ$554,MATCH(J$2,Totalt!$B$1:$AQ$1,0),FALSE),"")</f>
        <v>0</v>
      </c>
      <c r="K273" s="173">
        <f>IFERROR(VLOOKUP($B273,Totalt!$B$1:$AQ$554,MATCH(K$2,Totalt!$B$1:$AQ$1,0),FALSE),"")</f>
        <v>0</v>
      </c>
      <c r="L273" s="173">
        <f>IFERROR(VLOOKUP($B273,Totalt!$B$1:$AQ$554,MATCH(L$2,Totalt!$B$1:$AQ$1,0),FALSE),"")</f>
        <v>0</v>
      </c>
      <c r="M273" s="173">
        <f>IFERROR(VLOOKUP($B273,Totalt!$B$1:$AQ$554,MATCH(M$2,Totalt!$B$1:$AQ$1,0),FALSE),"")</f>
        <v>0</v>
      </c>
      <c r="N273" s="173">
        <f>IFERROR(VLOOKUP($B273,Totalt!$B$1:$AQ$554,MATCH(N$2,Totalt!$B$1:$AQ$1,0),FALSE),"")</f>
        <v>0</v>
      </c>
      <c r="O273" s="173">
        <f>IFERROR(VLOOKUP($B273,Totalt!$B$1:$AQ$554,MATCH(O$2,Totalt!$B$1:$AQ$1,0),FALSE),"")</f>
        <v>0</v>
      </c>
      <c r="P273" s="173">
        <f>IFERROR(VLOOKUP($B273,Totalt!$B$1:$AQ$554,MATCH(P$2,Totalt!$B$1:$AQ$1,0),FALSE),"")</f>
        <v>0</v>
      </c>
      <c r="Q273" s="173">
        <f>IFERROR(VLOOKUP($B273,Totalt!$B$1:$AQ$554,MATCH(Q$2,Totalt!$B$1:$AQ$1,0),FALSE),"")</f>
        <v>0</v>
      </c>
      <c r="R273" s="173">
        <f>IFERROR(VLOOKUP($B273,Totalt!$B$1:$AQ$554,MATCH(R$2,Totalt!$B$1:$AQ$1,0),FALSE),"")</f>
        <v>5.4180000000000001</v>
      </c>
      <c r="S273" s="173">
        <f>IFERROR(VLOOKUP($B273,Totalt!$B$1:$AQ$554,MATCH(S$2,Totalt!$B$1:$AQ$1,0),FALSE),"")</f>
        <v>0</v>
      </c>
      <c r="T273" s="173">
        <f>IFERROR(VLOOKUP($B273,Totalt!$B$1:$AQ$554,MATCH(T$2,Totalt!$B$1:$AQ$1,0),FALSE),"")</f>
        <v>0</v>
      </c>
      <c r="U273" s="173">
        <f>IFERROR(VLOOKUP($B273,Totalt!$B$1:$AQ$554,MATCH(U$2,Totalt!$B$1:$AQ$1,0),FALSE),"")</f>
        <v>0</v>
      </c>
      <c r="V273" s="173">
        <f>IFERROR(VLOOKUP($B273,Totalt!$B$1:$AQ$554,MATCH(V$2,Totalt!$B$1:$AQ$1,0),FALSE),"")</f>
        <v>0</v>
      </c>
      <c r="W273" s="173">
        <f>IFERROR(VLOOKUP($B273,Totalt!$B$1:$AQ$554,MATCH(W$2,Totalt!$B$1:$AQ$1,0),FALSE),"")</f>
        <v>6.7000000000000004E-2</v>
      </c>
      <c r="X273" s="173">
        <f>IFERROR(VLOOKUP($B273,Totalt!$B$1:$AQ$554,MATCH(X$2,Totalt!$B$1:$AQ$1,0),FALSE),"")</f>
        <v>0</v>
      </c>
      <c r="Y273" s="173">
        <f>IFERROR(VLOOKUP($B273,Totalt!$B$1:$AQ$554,MATCH(Y$2,Totalt!$B$1:$AQ$1,0),FALSE),"")</f>
        <v>0</v>
      </c>
      <c r="Z273" s="173">
        <f>IFERROR(VLOOKUP($B273,Totalt!$B$1:$AQ$554,MATCH(Z$2,Totalt!$B$1:$AQ$1,0),FALSE),"")</f>
        <v>0</v>
      </c>
      <c r="AA273" s="173">
        <f>IFERROR(VLOOKUP($B273,Totalt!$B$1:$AQ$554,MATCH(AA$2,Totalt!$B$1:$AQ$1,0),FALSE),"")</f>
        <v>0</v>
      </c>
      <c r="AB273" s="173">
        <f>IFERROR(VLOOKUP($B273,Totalt!$B$1:$AQ$554,MATCH(AB$2,Totalt!$B$1:$AQ$1,0),FALSE),"")</f>
        <v>0</v>
      </c>
      <c r="AC273" s="173">
        <f>IFERROR(VLOOKUP($B273,Totalt!$B$1:$AQ$554,MATCH(AC$2,Totalt!$B$1:$AQ$1,0),FALSE),"")</f>
        <v>0</v>
      </c>
      <c r="AD273" s="173">
        <f>IFERROR(VLOOKUP($B273,Totalt!$B$1:$AQ$554,MATCH(AD$2,Totalt!$B$1:$AQ$1,0),FALSE),"")</f>
        <v>0</v>
      </c>
      <c r="AE273" s="173">
        <f>IFERROR(VLOOKUP($B273,Totalt!$B$1:$AQ$554,MATCH(AE$2,Totalt!$B$1:$AQ$1,0),FALSE),"")</f>
        <v>0</v>
      </c>
      <c r="AF273" s="173">
        <f>IFERROR(VLOOKUP($B273,Totalt!$B$1:$AQ$554,MATCH(AF$2,Totalt!$B$1:$AQ$1,0),FALSE),"")</f>
        <v>9.887E-2</v>
      </c>
      <c r="AG273" s="173">
        <f>IFERROR(VLOOKUP($B273,Totalt!$B$1:$AQ$554,MATCH(AG$2,Totalt!$B$1:$AQ$1,0),FALSE),"")</f>
        <v>0</v>
      </c>
      <c r="AI273" s="226">
        <f t="shared" si="24"/>
        <v>5.5838700000000001</v>
      </c>
      <c r="AJ273" s="226">
        <f>IF(ISERROR(1/VLOOKUP($B273,Leveranser!$B$1:$S$500,MATCH("såld värme (gwh)",Leveranser!$B$1:$S$1,0),FALSE)),"",VLOOKUP($B273,Leveranser!$B$1:$S$500,MATCH("såld värme (gwh)",Leveranser!$B$1:$S$1,0),FALSE))</f>
        <v>4.2690000000000001</v>
      </c>
      <c r="AM273" s="227" t="str">
        <f>IF(B273&lt;&gt;"",IF(VLOOKUP($B273,Totalt!$B$1:$AQ$554,MATCH("Kvalitetsgranskad:",Totalt!$B$1:$AQ$1,0),FALSE)="ja",VLOOKUP($B273,Miljö!$B$1:$AG$479,MATCH(AM$2,Miljö!$B$1:$AK$1,0),FALSE),""),"")</f>
        <v>Nej</v>
      </c>
      <c r="AN273" s="227" t="str">
        <f>IF(AM273="ja",VLOOKUP($B273,Miljö!$B$1:$J$479,MATCH("Typ av ursprungsspecificerad el   (Om inget värde anges används Nordisk residualmix, se inforuta) ()",Miljö!$B$1:$J$1,0),FALSE),IF(AM273="nej","Nordisk residualel",""))</f>
        <v>Nordisk residualel</v>
      </c>
      <c r="AO273" s="227">
        <f>IF(AM273="","",VLOOKUP($B273,Miljö!$B$1:$J$479,MATCH("Fossilandel för ursprungspecificerad el ()",Miljö!$B$1:$J$1,0),FALSE))</f>
        <v>0.43</v>
      </c>
      <c r="AP273" s="227">
        <f>IF(AM273="","",IFERROR(VLOOKUP($B273,Miljö!$B$1:$J$479,MATCH("Kärnkraftsandel för ursprungsspecificerad el ()",Miljö!$B$1:$J$1,0),FALSE)/1,0))</f>
        <v>0.40550000000000003</v>
      </c>
      <c r="AQ273" s="227">
        <f t="shared" si="25"/>
        <v>0.16450000000000004</v>
      </c>
      <c r="AR273" s="227"/>
      <c r="AS273" s="227" t="str">
        <f t="shared" si="26"/>
        <v>Nej</v>
      </c>
      <c r="AT273" s="227" t="str">
        <f>IF(AS273="ja",VLOOKUP($B273,Miljö!$B$1:$O$500,MATCH("Fossil andel i procent (%)",Miljö!$B$1:$O$1,0),FALSE)/100,"")</f>
        <v/>
      </c>
      <c r="AU273" s="227"/>
      <c r="AV273" s="227" t="str">
        <f t="shared" si="27"/>
        <v>Nej</v>
      </c>
      <c r="AW273" s="227" t="str">
        <f>IF(AV273="ja",VLOOKUP($B273,'Egen hetvattenprod'!$B$1:$AO$500,MATCH("Värmekälla till värmepumpar ()",'Egen hetvattenprod'!$B$1:$AO$1,0),FALSE),"")</f>
        <v/>
      </c>
      <c r="AX273" s="227"/>
      <c r="AY273" s="227" t="str">
        <f t="shared" si="28"/>
        <v>Nej</v>
      </c>
      <c r="AZ273" s="228" t="str">
        <f>IF($AY273="ja",(VLOOKUP($B273,'Egen hetvattenprod'!$B$1:$BX$550,MATCH(AZ$2,'Egen hetvattenprod'!$B$1:$BX$1,0),FALSE)+VLOOKUP($B273,Kraftvärmeprod!$B$1:$BX$550,MATCH(AZ$2,Kraftvärmeprod!$B$1:$BX$1,0),FALSE))/$AC273,"")</f>
        <v/>
      </c>
      <c r="BA273" s="228" t="str">
        <f>IF($AY273="ja",(VLOOKUP($B273,'Egen hetvattenprod'!$B$1:$BX$550,MATCH(BA$2,'Egen hetvattenprod'!$B$1:$BX$1,0),FALSE)+VLOOKUP($B273,Kraftvärmeprod!$B$1:$BX$550,MATCH(BA$2,Kraftvärmeprod!$B$1:$BX$1,0),FALSE))/$AC273,"")</f>
        <v/>
      </c>
      <c r="BB273" s="228" t="str">
        <f>IF($AY273="ja",(VLOOKUP($B273,'Egen hetvattenprod'!$B$1:$BX$550,MATCH(BB$2,'Egen hetvattenprod'!$B$1:$BX$1,0),FALSE)+VLOOKUP($B273,Kraftvärmeprod!$B$1:$BX$550,MATCH(BB$2,Kraftvärmeprod!$B$1:$BX$1,0),FALSE))/$AC273,"")</f>
        <v/>
      </c>
      <c r="BC273" s="228" t="str">
        <f>IF($AY273="ja",(VLOOKUP($B273,'Egen hetvattenprod'!$B$1:$BX$550,MATCH(BC$2,'Egen hetvattenprod'!$B$1:$BX$1,0),FALSE)+VLOOKUP($B273,Kraftvärmeprod!$B$1:$BX$550,MATCH(BC$2,Kraftvärmeprod!$B$1:$BX$1,0),FALSE))/$AC273,"")</f>
        <v/>
      </c>
      <c r="BD273" s="228" t="str">
        <f>IF($AY273="ja",(VLOOKUP($B273,'Egen hetvattenprod'!$B$1:$BX$550,MATCH(BD$2,'Egen hetvattenprod'!$B$1:$BX$1,0),FALSE)+VLOOKUP($B273,Kraftvärmeprod!$B$1:$BX$550,MATCH(BD$2,Kraftvärmeprod!$B$1:$BX$1,0),FALSE))/$AC273,"")</f>
        <v/>
      </c>
      <c r="BE273" s="227"/>
      <c r="BF273" s="227" t="str">
        <f t="shared" si="29"/>
        <v>Nej</v>
      </c>
      <c r="BG273" s="227" t="str">
        <f>IF($BF273="ja",VLOOKUP($B273,'Egen hetvattenprod'!$B$1:$BX$550,MATCH("Andelen klimatgaser med fossilt ursprung för avfall ()",'Egen hetvattenprod'!$B$1:$BX$1,0),FALSE),"")</f>
        <v/>
      </c>
      <c r="BH273" s="227" t="str">
        <f>IF($BF273="ja",VLOOKUP($B273,Kraftvärmeprod!$B$1:$BX$550,MATCH("Andelen klimatgaser med fossilt ursprung för avfall ()",Kraftvärmeprod!$B$1:$BX$1,0),FALSE),"")</f>
        <v/>
      </c>
      <c r="BI273" s="227" t="str">
        <f>IF($BF273="ja",VLOOKUP($B273,'Egen hetvattenprod'!$B$1:$BX$550,MATCH("Avfall (GWh)",'Egen hetvattenprod'!$B$1:$BX$1,0),FALSE),"")</f>
        <v/>
      </c>
      <c r="BJ273" s="227" t="str">
        <f>IF($BF273="ja",VLOOKUP($B273,'Slutlig allokering kvv'!$B$1:$BX$550,MATCH("Avfall (GWh)",'Slutlig allokering kvv'!$B$1:$BX$1,0),FALSE),"")</f>
        <v/>
      </c>
      <c r="BK273" s="227" t="str">
        <f>IF($BF273="ja",VLOOKUP($B273,'Köpt hetvatten'!$B$1:$BX$550,MATCH("Avfall i köpt hetvatten",'Köpt hetvatten'!$B$1:$BX$1,0),FALSE),"")</f>
        <v/>
      </c>
      <c r="BL273" s="227" t="str">
        <f>IF($BF273="ja",VLOOKUP($B273,'Egen hetvattenprod'!$B$1:$BX$550,MATCH("Värde enligt ovan. (%)",'Egen hetvattenprod'!$B$1:$BX$1,0),FALSE),"")</f>
        <v/>
      </c>
      <c r="BM273" s="227" t="str">
        <f>IF($BF273="ja",VLOOKUP($B273,Kraftvärmeprod!$B$1:$BX$550,MATCH("Värde enligt ovan. (%)",Kraftvärmeprod!$B$1:$BX$1,0),FALSE),"")</f>
        <v/>
      </c>
      <c r="BN273" s="227"/>
      <c r="BO273" s="227"/>
      <c r="BP273" s="227"/>
      <c r="BQ273" s="227" t="str">
        <f>IF($BF273="ja",VLOOKUP($B273,'Egen hetvattenprod'!$B$1:$BX$550,MATCH("Tillförd olja (fossil) vid avfallsförbränning (GWh)",'Egen hetvattenprod'!$B$1:$BX$1,0),FALSE),"")</f>
        <v/>
      </c>
      <c r="BR273" s="227" t="str">
        <f>IF($BF273="ja",VLOOKUP($B273,Kraftvärmeprod!$B$1:$BX$550,MATCH("Tillförd olja (fossil) vid avfallsförbränning (GWh)",Kraftvärmeprod!$B$1:$BX$1,0),FALSE),"")</f>
        <v/>
      </c>
      <c r="BS273" s="227"/>
      <c r="BT273" s="227"/>
      <c r="BU273" s="227"/>
    </row>
    <row r="274" spans="1:73" x14ac:dyDescent="0.25">
      <c r="A274" s="121" t="str">
        <f>'Miljövärden för publ företag'!B277</f>
        <v>Uddevalla Energi AB</v>
      </c>
      <c r="B274" s="121" t="str">
        <f>'Miljövärden för publ företag'!C277</f>
        <v>Munkedal</v>
      </c>
      <c r="C274" s="173">
        <f>IFERROR(VLOOKUP($B274,Totalt!$B$1:$AQ$554,MATCH(C$2,Totalt!$B$1:$AQ$1,0),FALSE),"")</f>
        <v>0</v>
      </c>
      <c r="D274" s="173">
        <f>IFERROR(VLOOKUP($B274,Totalt!$B$1:$AQ$554,MATCH(D$2,Totalt!$B$1:$AQ$1,0),FALSE),"")</f>
        <v>0</v>
      </c>
      <c r="E274" s="173">
        <f>IFERROR(VLOOKUP($B274,Totalt!$B$1:$AQ$554,MATCH(E$2,Totalt!$B$1:$AQ$1,0),FALSE),"")</f>
        <v>0</v>
      </c>
      <c r="F274" s="173">
        <f>IFERROR(VLOOKUP($B274,Totalt!$B$1:$AQ$554,MATCH(F$2,Totalt!$B$1:$AQ$1,0),FALSE),"")</f>
        <v>0</v>
      </c>
      <c r="G274" s="173">
        <f>IFERROR(VLOOKUP($B274,Totalt!$B$1:$AQ$554,MATCH(G$2,Totalt!$B$1:$AQ$1,0),FALSE),"")</f>
        <v>0</v>
      </c>
      <c r="H274" s="173">
        <f>IFERROR(VLOOKUP($B274,Totalt!$B$1:$AQ$554,MATCH(H$2,Totalt!$B$1:$AQ$1,0),FALSE),"")</f>
        <v>0</v>
      </c>
      <c r="I274" s="173">
        <f>IFERROR(VLOOKUP($B274,Totalt!$B$1:$AQ$554,MATCH(I$2,Totalt!$B$1:$AQ$1,0),FALSE),"")</f>
        <v>0</v>
      </c>
      <c r="J274" s="173">
        <f>IFERROR(VLOOKUP($B274,Totalt!$B$1:$AQ$554,MATCH(J$2,Totalt!$B$1:$AQ$1,0),FALSE),"")</f>
        <v>0</v>
      </c>
      <c r="K274" s="173">
        <f>IFERROR(VLOOKUP($B274,Totalt!$B$1:$AQ$554,MATCH(K$2,Totalt!$B$1:$AQ$1,0),FALSE),"")</f>
        <v>0</v>
      </c>
      <c r="L274" s="173">
        <f>IFERROR(VLOOKUP($B274,Totalt!$B$1:$AQ$554,MATCH(L$2,Totalt!$B$1:$AQ$1,0),FALSE),"")</f>
        <v>0</v>
      </c>
      <c r="M274" s="173">
        <f>IFERROR(VLOOKUP($B274,Totalt!$B$1:$AQ$554,MATCH(M$2,Totalt!$B$1:$AQ$1,0),FALSE),"")</f>
        <v>0</v>
      </c>
      <c r="N274" s="173">
        <f>IFERROR(VLOOKUP($B274,Totalt!$B$1:$AQ$554,MATCH(N$2,Totalt!$B$1:$AQ$1,0),FALSE),"")</f>
        <v>0</v>
      </c>
      <c r="O274" s="173">
        <f>IFERROR(VLOOKUP($B274,Totalt!$B$1:$AQ$554,MATCH(O$2,Totalt!$B$1:$AQ$1,0),FALSE),"")</f>
        <v>0</v>
      </c>
      <c r="P274" s="173">
        <f>IFERROR(VLOOKUP($B274,Totalt!$B$1:$AQ$554,MATCH(P$2,Totalt!$B$1:$AQ$1,0),FALSE),"")</f>
        <v>2.593</v>
      </c>
      <c r="Q274" s="173">
        <f>IFERROR(VLOOKUP($B274,Totalt!$B$1:$AQ$554,MATCH(Q$2,Totalt!$B$1:$AQ$1,0),FALSE),"")</f>
        <v>0</v>
      </c>
      <c r="R274" s="173">
        <f>IFERROR(VLOOKUP($B274,Totalt!$B$1:$AQ$554,MATCH(R$2,Totalt!$B$1:$AQ$1,0),FALSE),"")</f>
        <v>6.3680000000000003</v>
      </c>
      <c r="S274" s="173">
        <f>IFERROR(VLOOKUP($B274,Totalt!$B$1:$AQ$554,MATCH(S$2,Totalt!$B$1:$AQ$1,0),FALSE),"")</f>
        <v>0</v>
      </c>
      <c r="T274" s="173">
        <f>IFERROR(VLOOKUP($B274,Totalt!$B$1:$AQ$554,MATCH(T$2,Totalt!$B$1:$AQ$1,0),FALSE),"")</f>
        <v>0</v>
      </c>
      <c r="U274" s="173">
        <f>IFERROR(VLOOKUP($B274,Totalt!$B$1:$AQ$554,MATCH(U$2,Totalt!$B$1:$AQ$1,0),FALSE),"")</f>
        <v>0</v>
      </c>
      <c r="V274" s="173">
        <f>IFERROR(VLOOKUP($B274,Totalt!$B$1:$AQ$554,MATCH(V$2,Totalt!$B$1:$AQ$1,0),FALSE),"")</f>
        <v>0</v>
      </c>
      <c r="W274" s="173">
        <f>IFERROR(VLOOKUP($B274,Totalt!$B$1:$AQ$554,MATCH(W$2,Totalt!$B$1:$AQ$1,0),FALSE),"")</f>
        <v>0.28100000000000003</v>
      </c>
      <c r="X274" s="173">
        <f>IFERROR(VLOOKUP($B274,Totalt!$B$1:$AQ$554,MATCH(X$2,Totalt!$B$1:$AQ$1,0),FALSE),"")</f>
        <v>0</v>
      </c>
      <c r="Y274" s="173">
        <f>IFERROR(VLOOKUP($B274,Totalt!$B$1:$AQ$554,MATCH(Y$2,Totalt!$B$1:$AQ$1,0),FALSE),"")</f>
        <v>0</v>
      </c>
      <c r="Z274" s="173">
        <f>IFERROR(VLOOKUP($B274,Totalt!$B$1:$AQ$554,MATCH(Z$2,Totalt!$B$1:$AQ$1,0),FALSE),"")</f>
        <v>0</v>
      </c>
      <c r="AA274" s="173">
        <f>IFERROR(VLOOKUP($B274,Totalt!$B$1:$AQ$554,MATCH(AA$2,Totalt!$B$1:$AQ$1,0),FALSE),"")</f>
        <v>0</v>
      </c>
      <c r="AB274" s="173">
        <f>IFERROR(VLOOKUP($B274,Totalt!$B$1:$AQ$554,MATCH(AB$2,Totalt!$B$1:$AQ$1,0),FALSE),"")</f>
        <v>0</v>
      </c>
      <c r="AC274" s="173">
        <f>IFERROR(VLOOKUP($B274,Totalt!$B$1:$AQ$554,MATCH(AC$2,Totalt!$B$1:$AQ$1,0),FALSE),"")</f>
        <v>0</v>
      </c>
      <c r="AD274" s="173">
        <f>IFERROR(VLOOKUP($B274,Totalt!$B$1:$AQ$554,MATCH(AD$2,Totalt!$B$1:$AQ$1,0),FALSE),"")</f>
        <v>0</v>
      </c>
      <c r="AE274" s="173">
        <f>IFERROR(VLOOKUP($B274,Totalt!$B$1:$AQ$554,MATCH(AE$2,Totalt!$B$1:$AQ$1,0),FALSE),"")</f>
        <v>0</v>
      </c>
      <c r="AF274" s="173">
        <f>IFERROR(VLOOKUP($B274,Totalt!$B$1:$AQ$554,MATCH(AF$2,Totalt!$B$1:$AQ$1,0),FALSE),"")</f>
        <v>0.14000000000000001</v>
      </c>
      <c r="AG274" s="173">
        <f>IFERROR(VLOOKUP($B274,Totalt!$B$1:$AQ$554,MATCH(AG$2,Totalt!$B$1:$AQ$1,0),FALSE),"")</f>
        <v>0</v>
      </c>
      <c r="AI274" s="226">
        <f t="shared" si="24"/>
        <v>9.3820000000000014</v>
      </c>
      <c r="AJ274" s="226">
        <f>IF(ISERROR(1/VLOOKUP($B274,Leveranser!$B$1:$S$500,MATCH("såld värme (gwh)",Leveranser!$B$1:$S$1,0),FALSE)),"",VLOOKUP($B274,Leveranser!$B$1:$S$500,MATCH("såld värme (gwh)",Leveranser!$B$1:$S$1,0),FALSE))</f>
        <v>7.0449999999999999</v>
      </c>
      <c r="AM274" s="227" t="str">
        <f>IF(B274&lt;&gt;"",IF(VLOOKUP($B274,Totalt!$B$1:$AQ$554,MATCH("Kvalitetsgranskad:",Totalt!$B$1:$AQ$1,0),FALSE)="ja",VLOOKUP($B274,Miljö!$B$1:$AG$479,MATCH(AM$2,Miljö!$B$1:$AK$1,0),FALSE),""),"")</f>
        <v>Nej</v>
      </c>
      <c r="AN274" s="227" t="str">
        <f>IF(AM274="ja",VLOOKUP($B274,Miljö!$B$1:$J$479,MATCH("Typ av ursprungsspecificerad el   (Om inget värde anges används Nordisk residualmix, se inforuta) ()",Miljö!$B$1:$J$1,0),FALSE),IF(AM274="nej","Nordisk residualel",""))</f>
        <v>Nordisk residualel</v>
      </c>
      <c r="AO274" s="227">
        <f>IF(AM274="","",VLOOKUP($B274,Miljö!$B$1:$J$479,MATCH("Fossilandel för ursprungspecificerad el ()",Miljö!$B$1:$J$1,0),FALSE))</f>
        <v>0.43</v>
      </c>
      <c r="AP274" s="227">
        <f>IF(AM274="","",IFERROR(VLOOKUP($B274,Miljö!$B$1:$J$479,MATCH("Kärnkraftsandel för ursprungsspecificerad el ()",Miljö!$B$1:$J$1,0),FALSE)/1,0))</f>
        <v>0.40550000000000003</v>
      </c>
      <c r="AQ274" s="227">
        <f t="shared" si="25"/>
        <v>0.16450000000000004</v>
      </c>
      <c r="AR274" s="227"/>
      <c r="AS274" s="227" t="str">
        <f t="shared" si="26"/>
        <v>Nej</v>
      </c>
      <c r="AT274" s="227" t="str">
        <f>IF(AS274="ja",VLOOKUP($B274,Miljö!$B$1:$O$500,MATCH("Fossil andel i procent (%)",Miljö!$B$1:$O$1,0),FALSE)/100,"")</f>
        <v/>
      </c>
      <c r="AU274" s="227"/>
      <c r="AV274" s="227" t="str">
        <f t="shared" si="27"/>
        <v>Nej</v>
      </c>
      <c r="AW274" s="227" t="str">
        <f>IF(AV274="ja",VLOOKUP($B274,'Egen hetvattenprod'!$B$1:$AO$500,MATCH("Värmekälla till värmepumpar ()",'Egen hetvattenprod'!$B$1:$AO$1,0),FALSE),"")</f>
        <v/>
      </c>
      <c r="AX274" s="227"/>
      <c r="AY274" s="227" t="str">
        <f t="shared" si="28"/>
        <v>Nej</v>
      </c>
      <c r="AZ274" s="228" t="str">
        <f>IF($AY274="ja",(VLOOKUP($B274,'Egen hetvattenprod'!$B$1:$BX$550,MATCH(AZ$2,'Egen hetvattenprod'!$B$1:$BX$1,0),FALSE)+VLOOKUP($B274,Kraftvärmeprod!$B$1:$BX$550,MATCH(AZ$2,Kraftvärmeprod!$B$1:$BX$1,0),FALSE))/$AC274,"")</f>
        <v/>
      </c>
      <c r="BA274" s="228" t="str">
        <f>IF($AY274="ja",(VLOOKUP($B274,'Egen hetvattenprod'!$B$1:$BX$550,MATCH(BA$2,'Egen hetvattenprod'!$B$1:$BX$1,0),FALSE)+VLOOKUP($B274,Kraftvärmeprod!$B$1:$BX$550,MATCH(BA$2,Kraftvärmeprod!$B$1:$BX$1,0),FALSE))/$AC274,"")</f>
        <v/>
      </c>
      <c r="BB274" s="228" t="str">
        <f>IF($AY274="ja",(VLOOKUP($B274,'Egen hetvattenprod'!$B$1:$BX$550,MATCH(BB$2,'Egen hetvattenprod'!$B$1:$BX$1,0),FALSE)+VLOOKUP($B274,Kraftvärmeprod!$B$1:$BX$550,MATCH(BB$2,Kraftvärmeprod!$B$1:$BX$1,0),FALSE))/$AC274,"")</f>
        <v/>
      </c>
      <c r="BC274" s="228" t="str">
        <f>IF($AY274="ja",(VLOOKUP($B274,'Egen hetvattenprod'!$B$1:$BX$550,MATCH(BC$2,'Egen hetvattenprod'!$B$1:$BX$1,0),FALSE)+VLOOKUP($B274,Kraftvärmeprod!$B$1:$BX$550,MATCH(BC$2,Kraftvärmeprod!$B$1:$BX$1,0),FALSE))/$AC274,"")</f>
        <v/>
      </c>
      <c r="BD274" s="228" t="str">
        <f>IF($AY274="ja",(VLOOKUP($B274,'Egen hetvattenprod'!$B$1:$BX$550,MATCH(BD$2,'Egen hetvattenprod'!$B$1:$BX$1,0),FALSE)+VLOOKUP($B274,Kraftvärmeprod!$B$1:$BX$550,MATCH(BD$2,Kraftvärmeprod!$B$1:$BX$1,0),FALSE))/$AC274,"")</f>
        <v/>
      </c>
      <c r="BE274" s="227"/>
      <c r="BF274" s="227" t="str">
        <f t="shared" si="29"/>
        <v>Nej</v>
      </c>
      <c r="BG274" s="227" t="str">
        <f>IF($BF274="ja",VLOOKUP($B274,'Egen hetvattenprod'!$B$1:$BX$550,MATCH("Andelen klimatgaser med fossilt ursprung för avfall ()",'Egen hetvattenprod'!$B$1:$BX$1,0),FALSE),"")</f>
        <v/>
      </c>
      <c r="BH274" s="227" t="str">
        <f>IF($BF274="ja",VLOOKUP($B274,Kraftvärmeprod!$B$1:$BX$550,MATCH("Andelen klimatgaser med fossilt ursprung för avfall ()",Kraftvärmeprod!$B$1:$BX$1,0),FALSE),"")</f>
        <v/>
      </c>
      <c r="BI274" s="227" t="str">
        <f>IF($BF274="ja",VLOOKUP($B274,'Egen hetvattenprod'!$B$1:$BX$550,MATCH("Avfall (GWh)",'Egen hetvattenprod'!$B$1:$BX$1,0),FALSE),"")</f>
        <v/>
      </c>
      <c r="BJ274" s="227" t="str">
        <f>IF($BF274="ja",VLOOKUP($B274,'Slutlig allokering kvv'!$B$1:$BX$550,MATCH("Avfall (GWh)",'Slutlig allokering kvv'!$B$1:$BX$1,0),FALSE),"")</f>
        <v/>
      </c>
      <c r="BK274" s="227" t="str">
        <f>IF($BF274="ja",VLOOKUP($B274,'Köpt hetvatten'!$B$1:$BX$550,MATCH("Avfall i köpt hetvatten",'Köpt hetvatten'!$B$1:$BX$1,0),FALSE),"")</f>
        <v/>
      </c>
      <c r="BL274" s="227" t="str">
        <f>IF($BF274="ja",VLOOKUP($B274,'Egen hetvattenprod'!$B$1:$BX$550,MATCH("Värde enligt ovan. (%)",'Egen hetvattenprod'!$B$1:$BX$1,0),FALSE),"")</f>
        <v/>
      </c>
      <c r="BM274" s="227" t="str">
        <f>IF($BF274="ja",VLOOKUP($B274,Kraftvärmeprod!$B$1:$BX$550,MATCH("Värde enligt ovan. (%)",Kraftvärmeprod!$B$1:$BX$1,0),FALSE),"")</f>
        <v/>
      </c>
      <c r="BN274" s="227"/>
      <c r="BO274" s="227"/>
      <c r="BP274" s="227"/>
      <c r="BQ274" s="227" t="str">
        <f>IF($BF274="ja",VLOOKUP($B274,'Egen hetvattenprod'!$B$1:$BX$550,MATCH("Tillförd olja (fossil) vid avfallsförbränning (GWh)",'Egen hetvattenprod'!$B$1:$BX$1,0),FALSE),"")</f>
        <v/>
      </c>
      <c r="BR274" s="227" t="str">
        <f>IF($BF274="ja",VLOOKUP($B274,Kraftvärmeprod!$B$1:$BX$550,MATCH("Tillförd olja (fossil) vid avfallsförbränning (GWh)",Kraftvärmeprod!$B$1:$BX$1,0),FALSE),"")</f>
        <v/>
      </c>
      <c r="BS274" s="227"/>
      <c r="BT274" s="227"/>
      <c r="BU274" s="227"/>
    </row>
    <row r="275" spans="1:73" x14ac:dyDescent="0.25">
      <c r="A275" s="121" t="str">
        <f>'Miljövärden för publ företag'!B278</f>
        <v>Uddevalla Energi AB</v>
      </c>
      <c r="B275" s="121" t="str">
        <f>'Miljövärden för publ företag'!C278</f>
        <v>Uddevalla</v>
      </c>
      <c r="C275" s="173">
        <f>IFERROR(VLOOKUP($B275,Totalt!$B$1:$AQ$554,MATCH(C$2,Totalt!$B$1:$AQ$1,0),FALSE),"")</f>
        <v>0</v>
      </c>
      <c r="D275" s="173">
        <f>IFERROR(VLOOKUP($B275,Totalt!$B$1:$AQ$554,MATCH(D$2,Totalt!$B$1:$AQ$1,0),FALSE),"")</f>
        <v>0.60908300000000004</v>
      </c>
      <c r="E275" s="173">
        <f>IFERROR(VLOOKUP($B275,Totalt!$B$1:$AQ$554,MATCH(E$2,Totalt!$B$1:$AQ$1,0),FALSE),"")</f>
        <v>0</v>
      </c>
      <c r="F275" s="173">
        <f>IFERROR(VLOOKUP($B275,Totalt!$B$1:$AQ$554,MATCH(F$2,Totalt!$B$1:$AQ$1,0),FALSE),"")</f>
        <v>0</v>
      </c>
      <c r="G275" s="173">
        <f>IFERROR(VLOOKUP($B275,Totalt!$B$1:$AQ$554,MATCH(G$2,Totalt!$B$1:$AQ$1,0),FALSE),"")</f>
        <v>0</v>
      </c>
      <c r="H275" s="173">
        <f>IFERROR(VLOOKUP($B275,Totalt!$B$1:$AQ$554,MATCH(H$2,Totalt!$B$1:$AQ$1,0),FALSE),"")</f>
        <v>0</v>
      </c>
      <c r="I275" s="173">
        <f>IFERROR(VLOOKUP($B275,Totalt!$B$1:$AQ$554,MATCH(I$2,Totalt!$B$1:$AQ$1,0),FALSE),"")</f>
        <v>170.178</v>
      </c>
      <c r="J275" s="173">
        <f>IFERROR(VLOOKUP($B275,Totalt!$B$1:$AQ$554,MATCH(J$2,Totalt!$B$1:$AQ$1,0),FALSE),"")</f>
        <v>0</v>
      </c>
      <c r="K275" s="173">
        <f>IFERROR(VLOOKUP($B275,Totalt!$B$1:$AQ$554,MATCH(K$2,Totalt!$B$1:$AQ$1,0),FALSE),"")</f>
        <v>0</v>
      </c>
      <c r="L275" s="173">
        <f>IFERROR(VLOOKUP($B275,Totalt!$B$1:$AQ$554,MATCH(L$2,Totalt!$B$1:$AQ$1,0),FALSE),"")</f>
        <v>19.2532</v>
      </c>
      <c r="M275" s="173">
        <f>IFERROR(VLOOKUP($B275,Totalt!$B$1:$AQ$554,MATCH(M$2,Totalt!$B$1:$AQ$1,0),FALSE),"")</f>
        <v>0</v>
      </c>
      <c r="N275" s="173">
        <f>IFERROR(VLOOKUP($B275,Totalt!$B$1:$AQ$554,MATCH(N$2,Totalt!$B$1:$AQ$1,0),FALSE),"")</f>
        <v>0</v>
      </c>
      <c r="O275" s="173">
        <f>IFERROR(VLOOKUP($B275,Totalt!$B$1:$AQ$554,MATCH(O$2,Totalt!$B$1:$AQ$1,0),FALSE),"")</f>
        <v>0</v>
      </c>
      <c r="P275" s="173">
        <f>IFERROR(VLOOKUP($B275,Totalt!$B$1:$AQ$554,MATCH(P$2,Totalt!$B$1:$AQ$1,0),FALSE),"")</f>
        <v>50.084000000000003</v>
      </c>
      <c r="Q275" s="173">
        <f>IFERROR(VLOOKUP($B275,Totalt!$B$1:$AQ$554,MATCH(Q$2,Totalt!$B$1:$AQ$1,0),FALSE),"")</f>
        <v>0</v>
      </c>
      <c r="R275" s="173">
        <f>IFERROR(VLOOKUP($B275,Totalt!$B$1:$AQ$554,MATCH(R$2,Totalt!$B$1:$AQ$1,0),FALSE),"")</f>
        <v>0</v>
      </c>
      <c r="S275" s="173">
        <f>IFERROR(VLOOKUP($B275,Totalt!$B$1:$AQ$554,MATCH(S$2,Totalt!$B$1:$AQ$1,0),FALSE),"")</f>
        <v>0</v>
      </c>
      <c r="T275" s="173">
        <f>IFERROR(VLOOKUP($B275,Totalt!$B$1:$AQ$554,MATCH(T$2,Totalt!$B$1:$AQ$1,0),FALSE),"")</f>
        <v>0</v>
      </c>
      <c r="U275" s="173">
        <f>IFERROR(VLOOKUP($B275,Totalt!$B$1:$AQ$554,MATCH(U$2,Totalt!$B$1:$AQ$1,0),FALSE),"")</f>
        <v>0.97643599999999997</v>
      </c>
      <c r="V275" s="173">
        <f>IFERROR(VLOOKUP($B275,Totalt!$B$1:$AQ$554,MATCH(V$2,Totalt!$B$1:$AQ$1,0),FALSE),"")</f>
        <v>0</v>
      </c>
      <c r="W275" s="173">
        <f>IFERROR(VLOOKUP($B275,Totalt!$B$1:$AQ$554,MATCH(W$2,Totalt!$B$1:$AQ$1,0),FALSE),"")</f>
        <v>1.4239999999999999</v>
      </c>
      <c r="X275" s="173">
        <f>IFERROR(VLOOKUP($B275,Totalt!$B$1:$AQ$554,MATCH(X$2,Totalt!$B$1:$AQ$1,0),FALSE),"")</f>
        <v>0</v>
      </c>
      <c r="Y275" s="173">
        <f>IFERROR(VLOOKUP($B275,Totalt!$B$1:$AQ$554,MATCH(Y$2,Totalt!$B$1:$AQ$1,0),FALSE),"")</f>
        <v>31.010999999999999</v>
      </c>
      <c r="Z275" s="173">
        <f>IFERROR(VLOOKUP($B275,Totalt!$B$1:$AQ$554,MATCH(Z$2,Totalt!$B$1:$AQ$1,0),FALSE),"")</f>
        <v>0</v>
      </c>
      <c r="AA275" s="173">
        <f>IFERROR(VLOOKUP($B275,Totalt!$B$1:$AQ$554,MATCH(AA$2,Totalt!$B$1:$AQ$1,0),FALSE),"")</f>
        <v>0</v>
      </c>
      <c r="AB275" s="173">
        <f>IFERROR(VLOOKUP($B275,Totalt!$B$1:$AQ$554,MATCH(AB$2,Totalt!$B$1:$AQ$1,0),FALSE),"")</f>
        <v>0</v>
      </c>
      <c r="AC275" s="173">
        <f>IFERROR(VLOOKUP($B275,Totalt!$B$1:$AQ$554,MATCH(AC$2,Totalt!$B$1:$AQ$1,0),FALSE),"")</f>
        <v>60.545999999999999</v>
      </c>
      <c r="AD275" s="173">
        <f>IFERROR(VLOOKUP($B275,Totalt!$B$1:$AQ$554,MATCH(AD$2,Totalt!$B$1:$AQ$1,0),FALSE),"")</f>
        <v>0</v>
      </c>
      <c r="AE275" s="173">
        <f>IFERROR(VLOOKUP($B275,Totalt!$B$1:$AQ$554,MATCH(AE$2,Totalt!$B$1:$AQ$1,0),FALSE),"")</f>
        <v>0</v>
      </c>
      <c r="AF275" s="173">
        <f>IFERROR(VLOOKUP($B275,Totalt!$B$1:$AQ$554,MATCH(AF$2,Totalt!$B$1:$AQ$1,0),FALSE),"")</f>
        <v>11.280799999999999</v>
      </c>
      <c r="AG275" s="173">
        <f>IFERROR(VLOOKUP($B275,Totalt!$B$1:$AQ$554,MATCH(AG$2,Totalt!$B$1:$AQ$1,0),FALSE),"")</f>
        <v>0</v>
      </c>
      <c r="AI275" s="226">
        <f t="shared" si="24"/>
        <v>345.36251900000002</v>
      </c>
      <c r="AJ275" s="226">
        <f>IF(ISERROR(1/VLOOKUP($B275,Leveranser!$B$1:$S$500,MATCH("såld värme (gwh)",Leveranser!$B$1:$S$1,0),FALSE)),"",VLOOKUP($B275,Leveranser!$B$1:$S$500,MATCH("såld värme (gwh)",Leveranser!$B$1:$S$1,0),FALSE))</f>
        <v>302</v>
      </c>
      <c r="AM275" s="227" t="str">
        <f>IF(B275&lt;&gt;"",IF(VLOOKUP($B275,Totalt!$B$1:$AQ$554,MATCH("Kvalitetsgranskad:",Totalt!$B$1:$AQ$1,0),FALSE)="ja",VLOOKUP($B275,Miljö!$B$1:$AG$479,MATCH(AM$2,Miljö!$B$1:$AK$1,0),FALSE),""),"")</f>
        <v>Nej</v>
      </c>
      <c r="AN275" s="227" t="str">
        <f>IF(AM275="ja",VLOOKUP($B275,Miljö!$B$1:$J$479,MATCH("Typ av ursprungsspecificerad el   (Om inget värde anges används Nordisk residualmix, se inforuta) ()",Miljö!$B$1:$J$1,0),FALSE),IF(AM275="nej","Nordisk residualel",""))</f>
        <v>Nordisk residualel</v>
      </c>
      <c r="AO275" s="227">
        <f>IF(AM275="","",VLOOKUP($B275,Miljö!$B$1:$J$479,MATCH("Fossilandel för ursprungspecificerad el ()",Miljö!$B$1:$J$1,0),FALSE))</f>
        <v>0.43</v>
      </c>
      <c r="AP275" s="227">
        <f>IF(AM275="","",IFERROR(VLOOKUP($B275,Miljö!$B$1:$J$479,MATCH("Kärnkraftsandel för ursprungsspecificerad el ()",Miljö!$B$1:$J$1,0),FALSE)/1,0))</f>
        <v>0.40550000000000003</v>
      </c>
      <c r="AQ275" s="227">
        <f t="shared" si="25"/>
        <v>0.16450000000000004</v>
      </c>
      <c r="AR275" s="227"/>
      <c r="AS275" s="227" t="str">
        <f t="shared" si="26"/>
        <v>Nej</v>
      </c>
      <c r="AT275" s="227" t="str">
        <f>IF(AS275="ja",VLOOKUP($B275,Miljö!$B$1:$O$500,MATCH("Fossil andel i procent (%)",Miljö!$B$1:$O$1,0),FALSE)/100,"")</f>
        <v/>
      </c>
      <c r="AU275" s="227"/>
      <c r="AV275" s="227" t="str">
        <f t="shared" si="27"/>
        <v>Nej</v>
      </c>
      <c r="AW275" s="227" t="str">
        <f>IF(AV275="ja",VLOOKUP($B275,'Egen hetvattenprod'!$B$1:$AO$500,MATCH("Värmekälla till värmepumpar ()",'Egen hetvattenprod'!$B$1:$AO$1,0),FALSE),"")</f>
        <v/>
      </c>
      <c r="AX275" s="227"/>
      <c r="AY275" s="227" t="str">
        <f t="shared" si="28"/>
        <v>Ja</v>
      </c>
      <c r="AZ275" s="228">
        <f>IF($AY275="ja",(VLOOKUP($B275,'Egen hetvattenprod'!$B$1:$BX$550,MATCH(AZ$2,'Egen hetvattenprod'!$B$1:$BX$1,0),FALSE)+VLOOKUP($B275,Kraftvärmeprod!$B$1:$BX$550,MATCH(AZ$2,Kraftvärmeprod!$B$1:$BX$1,0),FALSE))/$AC275,"")</f>
        <v>0.2195819707329964</v>
      </c>
      <c r="BA275" s="228">
        <f>IF($AY275="ja",(VLOOKUP($B275,'Egen hetvattenprod'!$B$1:$BX$550,MATCH(BA$2,'Egen hetvattenprod'!$B$1:$BX$1,0),FALSE)+VLOOKUP($B275,Kraftvärmeprod!$B$1:$BX$550,MATCH(BA$2,Kraftvärmeprod!$B$1:$BX$1,0),FALSE))/$AC275,"")</f>
        <v>0.67226571532388602</v>
      </c>
      <c r="BB275" s="228">
        <f>IF($AY275="ja",(VLOOKUP($B275,'Egen hetvattenprod'!$B$1:$BX$550,MATCH(BB$2,'Egen hetvattenprod'!$B$1:$BX$1,0),FALSE)+VLOOKUP($B275,Kraftvärmeprod!$B$1:$BX$550,MATCH(BB$2,Kraftvärmeprod!$B$1:$BX$1,0),FALSE))/$AC275,"")</f>
        <v>0</v>
      </c>
      <c r="BC275" s="228">
        <f>IF($AY275="ja",(VLOOKUP($B275,'Egen hetvattenprod'!$B$1:$BX$550,MATCH(BC$2,'Egen hetvattenprod'!$B$1:$BX$1,0),FALSE)+VLOOKUP($B275,Kraftvärmeprod!$B$1:$BX$550,MATCH(BC$2,Kraftvärmeprod!$B$1:$BX$1,0),FALSE))/$AC275,"")</f>
        <v>0.10815231394311763</v>
      </c>
      <c r="BD275" s="228">
        <f>IF($AY275="ja",(VLOOKUP($B275,'Egen hetvattenprod'!$B$1:$BX$550,MATCH(BD$2,'Egen hetvattenprod'!$B$1:$BX$1,0),FALSE)+VLOOKUP($B275,Kraftvärmeprod!$B$1:$BX$550,MATCH(BD$2,Kraftvärmeprod!$B$1:$BX$1,0),FALSE))/$AC275,"")</f>
        <v>0</v>
      </c>
      <c r="BE275" s="227"/>
      <c r="BF275" s="227" t="str">
        <f t="shared" si="29"/>
        <v>Ja</v>
      </c>
      <c r="BG275" s="227" t="str">
        <f>IF($BF275="ja",VLOOKUP($B275,'Egen hetvattenprod'!$B$1:$BX$550,MATCH("Andelen klimatgaser med fossilt ursprung för avfall ()",'Egen hetvattenprod'!$B$1:$BX$1,0),FALSE),"")</f>
        <v>Ingen redovisning</v>
      </c>
      <c r="BH275" s="227" t="str">
        <f>IF($BF275="ja",VLOOKUP($B275,Kraftvärmeprod!$B$1:$BX$550,MATCH("Andelen klimatgaser med fossilt ursprung för avfall ()",Kraftvärmeprod!$B$1:$BX$1,0),FALSE),"")</f>
        <v>Schablon</v>
      </c>
      <c r="BI275" s="227" t="str">
        <f>IF($BF275="ja",VLOOKUP($B275,'Egen hetvattenprod'!$B$1:$BX$550,MATCH("Avfall (GWh)",'Egen hetvattenprod'!$B$1:$BX$1,0),FALSE),"")</f>
        <v>ET</v>
      </c>
      <c r="BJ275" s="227">
        <f>IF($BF275="ja",VLOOKUP($B275,'Slutlig allokering kvv'!$B$1:$BX$550,MATCH("Avfall (GWh)",'Slutlig allokering kvv'!$B$1:$BX$1,0),FALSE),"")</f>
        <v>170.178</v>
      </c>
      <c r="BK275" s="227">
        <f>IF($BF275="ja",VLOOKUP($B275,'Köpt hetvatten'!$B$1:$BX$550,MATCH("Avfall i köpt hetvatten",'Köpt hetvatten'!$B$1:$BX$1,0),FALSE),"")</f>
        <v>0</v>
      </c>
      <c r="BL275" s="227" t="str">
        <f>IF($BF275="ja",VLOOKUP($B275,'Egen hetvattenprod'!$B$1:$BX$550,MATCH("Värde enligt ovan. (%)",'Egen hetvattenprod'!$B$1:$BX$1,0),FALSE),"")</f>
        <v>ET</v>
      </c>
      <c r="BM275" s="227">
        <f>IF($BF275="ja",VLOOKUP($B275,Kraftvärmeprod!$B$1:$BX$550,MATCH("Värde enligt ovan. (%)",Kraftvärmeprod!$B$1:$BX$1,0),FALSE),"")</f>
        <v>40.5</v>
      </c>
      <c r="BN275" s="227"/>
      <c r="BO275" s="227"/>
      <c r="BP275" s="227"/>
      <c r="BQ275" s="227" t="str">
        <f>IF($BF275="ja",VLOOKUP($B275,'Egen hetvattenprod'!$B$1:$BX$550,MATCH("Tillförd olja (fossil) vid avfallsförbränning (GWh)",'Egen hetvattenprod'!$B$1:$BX$1,0),FALSE),"")</f>
        <v>ET</v>
      </c>
      <c r="BR275" s="227">
        <f>IF($BF275="ja",VLOOKUP($B275,Kraftvärmeprod!$B$1:$BX$550,MATCH("Tillförd olja (fossil) vid avfallsförbränning (GWh)",Kraftvärmeprod!$B$1:$BX$1,0),FALSE),"")</f>
        <v>0.6</v>
      </c>
      <c r="BS275" s="227"/>
      <c r="BT275" s="227"/>
      <c r="BU275" s="227"/>
    </row>
    <row r="276" spans="1:73" x14ac:dyDescent="0.25">
      <c r="A276" s="121" t="str">
        <f>'Miljövärden för publ företag'!B279</f>
        <v>Ulricehamns Energi AB</v>
      </c>
      <c r="B276" s="121" t="str">
        <f>'Miljövärden för publ företag'!C279</f>
        <v>Gällstad</v>
      </c>
      <c r="C276" s="173">
        <f>IFERROR(VLOOKUP($B276,Totalt!$B$1:$AQ$554,MATCH(C$2,Totalt!$B$1:$AQ$1,0),FALSE),"")</f>
        <v>0</v>
      </c>
      <c r="D276" s="173">
        <f>IFERROR(VLOOKUP($B276,Totalt!$B$1:$AQ$554,MATCH(D$2,Totalt!$B$1:$AQ$1,0),FALSE),"")</f>
        <v>0.1022</v>
      </c>
      <c r="E276" s="173">
        <f>IFERROR(VLOOKUP($B276,Totalt!$B$1:$AQ$554,MATCH(E$2,Totalt!$B$1:$AQ$1,0),FALSE),"")</f>
        <v>0</v>
      </c>
      <c r="F276" s="173">
        <f>IFERROR(VLOOKUP($B276,Totalt!$B$1:$AQ$554,MATCH(F$2,Totalt!$B$1:$AQ$1,0),FALSE),"")</f>
        <v>0</v>
      </c>
      <c r="G276" s="173">
        <f>IFERROR(VLOOKUP($B276,Totalt!$B$1:$AQ$554,MATCH(G$2,Totalt!$B$1:$AQ$1,0),FALSE),"")</f>
        <v>0</v>
      </c>
      <c r="H276" s="173">
        <f>IFERROR(VLOOKUP($B276,Totalt!$B$1:$AQ$554,MATCH(H$2,Totalt!$B$1:$AQ$1,0),FALSE),"")</f>
        <v>0</v>
      </c>
      <c r="I276" s="173">
        <f>IFERROR(VLOOKUP($B276,Totalt!$B$1:$AQ$554,MATCH(I$2,Totalt!$B$1:$AQ$1,0),FALSE),"")</f>
        <v>0</v>
      </c>
      <c r="J276" s="173">
        <f>IFERROR(VLOOKUP($B276,Totalt!$B$1:$AQ$554,MATCH(J$2,Totalt!$B$1:$AQ$1,0),FALSE),"")</f>
        <v>0</v>
      </c>
      <c r="K276" s="173">
        <f>IFERROR(VLOOKUP($B276,Totalt!$B$1:$AQ$554,MATCH(K$2,Totalt!$B$1:$AQ$1,0),FALSE),"")</f>
        <v>0</v>
      </c>
      <c r="L276" s="173">
        <f>IFERROR(VLOOKUP($B276,Totalt!$B$1:$AQ$554,MATCH(L$2,Totalt!$B$1:$AQ$1,0),FALSE),"")</f>
        <v>0</v>
      </c>
      <c r="M276" s="173">
        <f>IFERROR(VLOOKUP($B276,Totalt!$B$1:$AQ$554,MATCH(M$2,Totalt!$B$1:$AQ$1,0),FALSE),"")</f>
        <v>0</v>
      </c>
      <c r="N276" s="173">
        <f>IFERROR(VLOOKUP($B276,Totalt!$B$1:$AQ$554,MATCH(N$2,Totalt!$B$1:$AQ$1,0),FALSE),"")</f>
        <v>0</v>
      </c>
      <c r="O276" s="173">
        <f>IFERROR(VLOOKUP($B276,Totalt!$B$1:$AQ$554,MATCH(O$2,Totalt!$B$1:$AQ$1,0),FALSE),"")</f>
        <v>0</v>
      </c>
      <c r="P276" s="173">
        <f>IFERROR(VLOOKUP($B276,Totalt!$B$1:$AQ$554,MATCH(P$2,Totalt!$B$1:$AQ$1,0),FALSE),"")</f>
        <v>0</v>
      </c>
      <c r="Q276" s="173">
        <f>IFERROR(VLOOKUP($B276,Totalt!$B$1:$AQ$554,MATCH(Q$2,Totalt!$B$1:$AQ$1,0),FALSE),"")</f>
        <v>0</v>
      </c>
      <c r="R276" s="173">
        <f>IFERROR(VLOOKUP($B276,Totalt!$B$1:$AQ$554,MATCH(R$2,Totalt!$B$1:$AQ$1,0),FALSE),"")</f>
        <v>2.7225999999999999</v>
      </c>
      <c r="S276" s="173">
        <f>IFERROR(VLOOKUP($B276,Totalt!$B$1:$AQ$554,MATCH(S$2,Totalt!$B$1:$AQ$1,0),FALSE),"")</f>
        <v>0</v>
      </c>
      <c r="T276" s="173">
        <f>IFERROR(VLOOKUP($B276,Totalt!$B$1:$AQ$554,MATCH(T$2,Totalt!$B$1:$AQ$1,0),FALSE),"")</f>
        <v>0</v>
      </c>
      <c r="U276" s="173">
        <f>IFERROR(VLOOKUP($B276,Totalt!$B$1:$AQ$554,MATCH(U$2,Totalt!$B$1:$AQ$1,0),FALSE),"")</f>
        <v>0</v>
      </c>
      <c r="V276" s="173">
        <f>IFERROR(VLOOKUP($B276,Totalt!$B$1:$AQ$554,MATCH(V$2,Totalt!$B$1:$AQ$1,0),FALSE),"")</f>
        <v>0</v>
      </c>
      <c r="W276" s="173">
        <f>IFERROR(VLOOKUP($B276,Totalt!$B$1:$AQ$554,MATCH(W$2,Totalt!$B$1:$AQ$1,0),FALSE),"")</f>
        <v>0</v>
      </c>
      <c r="X276" s="173">
        <f>IFERROR(VLOOKUP($B276,Totalt!$B$1:$AQ$554,MATCH(X$2,Totalt!$B$1:$AQ$1,0),FALSE),"")</f>
        <v>0</v>
      </c>
      <c r="Y276" s="173">
        <f>IFERROR(VLOOKUP($B276,Totalt!$B$1:$AQ$554,MATCH(Y$2,Totalt!$B$1:$AQ$1,0),FALSE),"")</f>
        <v>0</v>
      </c>
      <c r="Z276" s="173">
        <f>IFERROR(VLOOKUP($B276,Totalt!$B$1:$AQ$554,MATCH(Z$2,Totalt!$B$1:$AQ$1,0),FALSE),"")</f>
        <v>0</v>
      </c>
      <c r="AA276" s="173">
        <f>IFERROR(VLOOKUP($B276,Totalt!$B$1:$AQ$554,MATCH(AA$2,Totalt!$B$1:$AQ$1,0),FALSE),"")</f>
        <v>0</v>
      </c>
      <c r="AB276" s="173">
        <f>IFERROR(VLOOKUP($B276,Totalt!$B$1:$AQ$554,MATCH(AB$2,Totalt!$B$1:$AQ$1,0),FALSE),"")</f>
        <v>0</v>
      </c>
      <c r="AC276" s="173">
        <f>IFERROR(VLOOKUP($B276,Totalt!$B$1:$AQ$554,MATCH(AC$2,Totalt!$B$1:$AQ$1,0),FALSE),"")</f>
        <v>0</v>
      </c>
      <c r="AD276" s="173">
        <f>IFERROR(VLOOKUP($B276,Totalt!$B$1:$AQ$554,MATCH(AD$2,Totalt!$B$1:$AQ$1,0),FALSE),"")</f>
        <v>0</v>
      </c>
      <c r="AE276" s="173">
        <f>IFERROR(VLOOKUP($B276,Totalt!$B$1:$AQ$554,MATCH(AE$2,Totalt!$B$1:$AQ$1,0),FALSE),"")</f>
        <v>0</v>
      </c>
      <c r="AF276" s="173">
        <f>IFERROR(VLOOKUP($B276,Totalt!$B$1:$AQ$554,MATCH(AF$2,Totalt!$B$1:$AQ$1,0),FALSE),"")</f>
        <v>3.4269000000000001E-2</v>
      </c>
      <c r="AG276" s="173">
        <f>IFERROR(VLOOKUP($B276,Totalt!$B$1:$AQ$554,MATCH(AG$2,Totalt!$B$1:$AQ$1,0),FALSE),"")</f>
        <v>0</v>
      </c>
      <c r="AI276" s="226">
        <f t="shared" si="24"/>
        <v>2.8590689999999999</v>
      </c>
      <c r="AJ276" s="226">
        <f>IF(ISERROR(1/VLOOKUP($B276,Leveranser!$B$1:$S$500,MATCH("såld värme (gwh)",Leveranser!$B$1:$S$1,0),FALSE)),"",VLOOKUP($B276,Leveranser!$B$1:$S$500,MATCH("såld värme (gwh)",Leveranser!$B$1:$S$1,0),FALSE))</f>
        <v>2.161</v>
      </c>
      <c r="AM276" s="227" t="str">
        <f>IF(B276&lt;&gt;"",IF(VLOOKUP($B276,Totalt!$B$1:$AQ$554,MATCH("Kvalitetsgranskad:",Totalt!$B$1:$AQ$1,0),FALSE)="ja",VLOOKUP($B276,Miljö!$B$1:$AG$479,MATCH(AM$2,Miljö!$B$1:$AK$1,0),FALSE),""),"")</f>
        <v>Nej</v>
      </c>
      <c r="AN276" s="227" t="str">
        <f>IF(AM276="ja",VLOOKUP($B276,Miljö!$B$1:$J$479,MATCH("Typ av ursprungsspecificerad el   (Om inget värde anges används Nordisk residualmix, se inforuta) ()",Miljö!$B$1:$J$1,0),FALSE),IF(AM276="nej","Nordisk residualel",""))</f>
        <v>Nordisk residualel</v>
      </c>
      <c r="AO276" s="227">
        <f>IF(AM276="","",VLOOKUP($B276,Miljö!$B$1:$J$479,MATCH("Fossilandel för ursprungspecificerad el ()",Miljö!$B$1:$J$1,0),FALSE))</f>
        <v>0.43</v>
      </c>
      <c r="AP276" s="227">
        <f>IF(AM276="","",IFERROR(VLOOKUP($B276,Miljö!$B$1:$J$479,MATCH("Kärnkraftsandel för ursprungsspecificerad el ()",Miljö!$B$1:$J$1,0),FALSE)/1,0))</f>
        <v>0.40550000000000003</v>
      </c>
      <c r="AQ276" s="227">
        <f t="shared" si="25"/>
        <v>0.16450000000000004</v>
      </c>
      <c r="AR276" s="227"/>
      <c r="AS276" s="227" t="str">
        <f t="shared" si="26"/>
        <v>Nej</v>
      </c>
      <c r="AT276" s="227" t="str">
        <f>IF(AS276="ja",VLOOKUP($B276,Miljö!$B$1:$O$500,MATCH("Fossil andel i procent (%)",Miljö!$B$1:$O$1,0),FALSE)/100,"")</f>
        <v/>
      </c>
      <c r="AU276" s="227"/>
      <c r="AV276" s="227" t="str">
        <f t="shared" si="27"/>
        <v>Nej</v>
      </c>
      <c r="AW276" s="227" t="str">
        <f>IF(AV276="ja",VLOOKUP($B276,'Egen hetvattenprod'!$B$1:$AO$500,MATCH("Värmekälla till värmepumpar ()",'Egen hetvattenprod'!$B$1:$AO$1,0),FALSE),"")</f>
        <v/>
      </c>
      <c r="AX276" s="227"/>
      <c r="AY276" s="227" t="str">
        <f t="shared" si="28"/>
        <v>Nej</v>
      </c>
      <c r="AZ276" s="228" t="str">
        <f>IF($AY276="ja",(VLOOKUP($B276,'Egen hetvattenprod'!$B$1:$BX$550,MATCH(AZ$2,'Egen hetvattenprod'!$B$1:$BX$1,0),FALSE)+VLOOKUP($B276,Kraftvärmeprod!$B$1:$BX$550,MATCH(AZ$2,Kraftvärmeprod!$B$1:$BX$1,0),FALSE))/$AC276,"")</f>
        <v/>
      </c>
      <c r="BA276" s="228" t="str">
        <f>IF($AY276="ja",(VLOOKUP($B276,'Egen hetvattenprod'!$B$1:$BX$550,MATCH(BA$2,'Egen hetvattenprod'!$B$1:$BX$1,0),FALSE)+VLOOKUP($B276,Kraftvärmeprod!$B$1:$BX$550,MATCH(BA$2,Kraftvärmeprod!$B$1:$BX$1,0),FALSE))/$AC276,"")</f>
        <v/>
      </c>
      <c r="BB276" s="228" t="str">
        <f>IF($AY276="ja",(VLOOKUP($B276,'Egen hetvattenprod'!$B$1:$BX$550,MATCH(BB$2,'Egen hetvattenprod'!$B$1:$BX$1,0),FALSE)+VLOOKUP($B276,Kraftvärmeprod!$B$1:$BX$550,MATCH(BB$2,Kraftvärmeprod!$B$1:$BX$1,0),FALSE))/$AC276,"")</f>
        <v/>
      </c>
      <c r="BC276" s="228" t="str">
        <f>IF($AY276="ja",(VLOOKUP($B276,'Egen hetvattenprod'!$B$1:$BX$550,MATCH(BC$2,'Egen hetvattenprod'!$B$1:$BX$1,0),FALSE)+VLOOKUP($B276,Kraftvärmeprod!$B$1:$BX$550,MATCH(BC$2,Kraftvärmeprod!$B$1:$BX$1,0),FALSE))/$AC276,"")</f>
        <v/>
      </c>
      <c r="BD276" s="228" t="str">
        <f>IF($AY276="ja",(VLOOKUP($B276,'Egen hetvattenprod'!$B$1:$BX$550,MATCH(BD$2,'Egen hetvattenprod'!$B$1:$BX$1,0),FALSE)+VLOOKUP($B276,Kraftvärmeprod!$B$1:$BX$550,MATCH(BD$2,Kraftvärmeprod!$B$1:$BX$1,0),FALSE))/$AC276,"")</f>
        <v/>
      </c>
      <c r="BE276" s="227"/>
      <c r="BF276" s="227" t="str">
        <f t="shared" si="29"/>
        <v>Nej</v>
      </c>
      <c r="BG276" s="227" t="str">
        <f>IF($BF276="ja",VLOOKUP($B276,'Egen hetvattenprod'!$B$1:$BX$550,MATCH("Andelen klimatgaser med fossilt ursprung för avfall ()",'Egen hetvattenprod'!$B$1:$BX$1,0),FALSE),"")</f>
        <v/>
      </c>
      <c r="BH276" s="227" t="str">
        <f>IF($BF276="ja",VLOOKUP($B276,Kraftvärmeprod!$B$1:$BX$550,MATCH("Andelen klimatgaser med fossilt ursprung för avfall ()",Kraftvärmeprod!$B$1:$BX$1,0),FALSE),"")</f>
        <v/>
      </c>
      <c r="BI276" s="227" t="str">
        <f>IF($BF276="ja",VLOOKUP($B276,'Egen hetvattenprod'!$B$1:$BX$550,MATCH("Avfall (GWh)",'Egen hetvattenprod'!$B$1:$BX$1,0),FALSE),"")</f>
        <v/>
      </c>
      <c r="BJ276" s="227" t="str">
        <f>IF($BF276="ja",VLOOKUP($B276,'Slutlig allokering kvv'!$B$1:$BX$550,MATCH("Avfall (GWh)",'Slutlig allokering kvv'!$B$1:$BX$1,0),FALSE),"")</f>
        <v/>
      </c>
      <c r="BK276" s="227" t="str">
        <f>IF($BF276="ja",VLOOKUP($B276,'Köpt hetvatten'!$B$1:$BX$550,MATCH("Avfall i köpt hetvatten",'Köpt hetvatten'!$B$1:$BX$1,0),FALSE),"")</f>
        <v/>
      </c>
      <c r="BL276" s="227" t="str">
        <f>IF($BF276="ja",VLOOKUP($B276,'Egen hetvattenprod'!$B$1:$BX$550,MATCH("Värde enligt ovan. (%)",'Egen hetvattenprod'!$B$1:$BX$1,0),FALSE),"")</f>
        <v/>
      </c>
      <c r="BM276" s="227" t="str">
        <f>IF($BF276="ja",VLOOKUP($B276,Kraftvärmeprod!$B$1:$BX$550,MATCH("Värde enligt ovan. (%)",Kraftvärmeprod!$B$1:$BX$1,0),FALSE),"")</f>
        <v/>
      </c>
      <c r="BN276" s="227"/>
      <c r="BO276" s="227"/>
      <c r="BP276" s="227"/>
      <c r="BQ276" s="227" t="str">
        <f>IF($BF276="ja",VLOOKUP($B276,'Egen hetvattenprod'!$B$1:$BX$550,MATCH("Tillförd olja (fossil) vid avfallsförbränning (GWh)",'Egen hetvattenprod'!$B$1:$BX$1,0),FALSE),"")</f>
        <v/>
      </c>
      <c r="BR276" s="227" t="str">
        <f>IF($BF276="ja",VLOOKUP($B276,Kraftvärmeprod!$B$1:$BX$550,MATCH("Tillförd olja (fossil) vid avfallsförbränning (GWh)",Kraftvärmeprod!$B$1:$BX$1,0),FALSE),"")</f>
        <v/>
      </c>
      <c r="BS276" s="227"/>
      <c r="BT276" s="227"/>
      <c r="BU276" s="227"/>
    </row>
    <row r="277" spans="1:73" x14ac:dyDescent="0.25">
      <c r="A277" s="121" t="str">
        <f>'Miljövärden för publ företag'!B280</f>
        <v>Ulricehamns Energi AB</v>
      </c>
      <c r="B277" s="121" t="str">
        <f>'Miljövärden för publ företag'!C280</f>
        <v>Timmele</v>
      </c>
      <c r="C277" s="173">
        <f>IFERROR(VLOOKUP($B277,Totalt!$B$1:$AQ$554,MATCH(C$2,Totalt!$B$1:$AQ$1,0),FALSE),"")</f>
        <v>0</v>
      </c>
      <c r="D277" s="173">
        <f>IFERROR(VLOOKUP($B277,Totalt!$B$1:$AQ$554,MATCH(D$2,Totalt!$B$1:$AQ$1,0),FALSE),"")</f>
        <v>0</v>
      </c>
      <c r="E277" s="173">
        <f>IFERROR(VLOOKUP($B277,Totalt!$B$1:$AQ$554,MATCH(E$2,Totalt!$B$1:$AQ$1,0),FALSE),"")</f>
        <v>0</v>
      </c>
      <c r="F277" s="173">
        <f>IFERROR(VLOOKUP($B277,Totalt!$B$1:$AQ$554,MATCH(F$2,Totalt!$B$1:$AQ$1,0),FALSE),"")</f>
        <v>0</v>
      </c>
      <c r="G277" s="173">
        <f>IFERROR(VLOOKUP($B277,Totalt!$B$1:$AQ$554,MATCH(G$2,Totalt!$B$1:$AQ$1,0),FALSE),"")</f>
        <v>0</v>
      </c>
      <c r="H277" s="173">
        <f>IFERROR(VLOOKUP($B277,Totalt!$B$1:$AQ$554,MATCH(H$2,Totalt!$B$1:$AQ$1,0),FALSE),"")</f>
        <v>0</v>
      </c>
      <c r="I277" s="173">
        <f>IFERROR(VLOOKUP($B277,Totalt!$B$1:$AQ$554,MATCH(I$2,Totalt!$B$1:$AQ$1,0),FALSE),"")</f>
        <v>0</v>
      </c>
      <c r="J277" s="173">
        <f>IFERROR(VLOOKUP($B277,Totalt!$B$1:$AQ$554,MATCH(J$2,Totalt!$B$1:$AQ$1,0),FALSE),"")</f>
        <v>0</v>
      </c>
      <c r="K277" s="173">
        <f>IFERROR(VLOOKUP($B277,Totalt!$B$1:$AQ$554,MATCH(K$2,Totalt!$B$1:$AQ$1,0),FALSE),"")</f>
        <v>0</v>
      </c>
      <c r="L277" s="173">
        <f>IFERROR(VLOOKUP($B277,Totalt!$B$1:$AQ$554,MATCH(L$2,Totalt!$B$1:$AQ$1,0),FALSE),"")</f>
        <v>0</v>
      </c>
      <c r="M277" s="173">
        <f>IFERROR(VLOOKUP($B277,Totalt!$B$1:$AQ$554,MATCH(M$2,Totalt!$B$1:$AQ$1,0),FALSE),"")</f>
        <v>0</v>
      </c>
      <c r="N277" s="173">
        <f>IFERROR(VLOOKUP($B277,Totalt!$B$1:$AQ$554,MATCH(N$2,Totalt!$B$1:$AQ$1,0),FALSE),"")</f>
        <v>0</v>
      </c>
      <c r="O277" s="173">
        <f>IFERROR(VLOOKUP($B277,Totalt!$B$1:$AQ$554,MATCH(O$2,Totalt!$B$1:$AQ$1,0),FALSE),"")</f>
        <v>0</v>
      </c>
      <c r="P277" s="173">
        <f>IFERROR(VLOOKUP($B277,Totalt!$B$1:$AQ$554,MATCH(P$2,Totalt!$B$1:$AQ$1,0),FALSE),"")</f>
        <v>0</v>
      </c>
      <c r="Q277" s="173">
        <f>IFERROR(VLOOKUP($B277,Totalt!$B$1:$AQ$554,MATCH(Q$2,Totalt!$B$1:$AQ$1,0),FALSE),"")</f>
        <v>0</v>
      </c>
      <c r="R277" s="173">
        <f>IFERROR(VLOOKUP($B277,Totalt!$B$1:$AQ$554,MATCH(R$2,Totalt!$B$1:$AQ$1,0),FALSE),"")</f>
        <v>1.1273200000000001</v>
      </c>
      <c r="S277" s="173">
        <f>IFERROR(VLOOKUP($B277,Totalt!$B$1:$AQ$554,MATCH(S$2,Totalt!$B$1:$AQ$1,0),FALSE),"")</f>
        <v>0</v>
      </c>
      <c r="T277" s="173">
        <f>IFERROR(VLOOKUP($B277,Totalt!$B$1:$AQ$554,MATCH(T$2,Totalt!$B$1:$AQ$1,0),FALSE),"")</f>
        <v>0</v>
      </c>
      <c r="U277" s="173">
        <f>IFERROR(VLOOKUP($B277,Totalt!$B$1:$AQ$554,MATCH(U$2,Totalt!$B$1:$AQ$1,0),FALSE),"")</f>
        <v>0</v>
      </c>
      <c r="V277" s="173">
        <f>IFERROR(VLOOKUP($B277,Totalt!$B$1:$AQ$554,MATCH(V$2,Totalt!$B$1:$AQ$1,0),FALSE),"")</f>
        <v>0</v>
      </c>
      <c r="W277" s="173">
        <f>IFERROR(VLOOKUP($B277,Totalt!$B$1:$AQ$554,MATCH(W$2,Totalt!$B$1:$AQ$1,0),FALSE),"")</f>
        <v>0</v>
      </c>
      <c r="X277" s="173">
        <f>IFERROR(VLOOKUP($B277,Totalt!$B$1:$AQ$554,MATCH(X$2,Totalt!$B$1:$AQ$1,0),FALSE),"")</f>
        <v>0</v>
      </c>
      <c r="Y277" s="173">
        <f>IFERROR(VLOOKUP($B277,Totalt!$B$1:$AQ$554,MATCH(Y$2,Totalt!$B$1:$AQ$1,0),FALSE),"")</f>
        <v>0</v>
      </c>
      <c r="Z277" s="173">
        <f>IFERROR(VLOOKUP($B277,Totalt!$B$1:$AQ$554,MATCH(Z$2,Totalt!$B$1:$AQ$1,0),FALSE),"")</f>
        <v>2.5000000000000001E-4</v>
      </c>
      <c r="AA277" s="173">
        <f>IFERROR(VLOOKUP($B277,Totalt!$B$1:$AQ$554,MATCH(AA$2,Totalt!$B$1:$AQ$1,0),FALSE),"")</f>
        <v>0</v>
      </c>
      <c r="AB277" s="173">
        <f>IFERROR(VLOOKUP($B277,Totalt!$B$1:$AQ$554,MATCH(AB$2,Totalt!$B$1:$AQ$1,0),FALSE),"")</f>
        <v>0</v>
      </c>
      <c r="AC277" s="173">
        <f>IFERROR(VLOOKUP($B277,Totalt!$B$1:$AQ$554,MATCH(AC$2,Totalt!$B$1:$AQ$1,0),FALSE),"")</f>
        <v>0</v>
      </c>
      <c r="AD277" s="173">
        <f>IFERROR(VLOOKUP($B277,Totalt!$B$1:$AQ$554,MATCH(AD$2,Totalt!$B$1:$AQ$1,0),FALSE),"")</f>
        <v>0</v>
      </c>
      <c r="AE277" s="173">
        <f>IFERROR(VLOOKUP($B277,Totalt!$B$1:$AQ$554,MATCH(AE$2,Totalt!$B$1:$AQ$1,0),FALSE),"")</f>
        <v>0</v>
      </c>
      <c r="AF277" s="173">
        <f>IFERROR(VLOOKUP($B277,Totalt!$B$1:$AQ$554,MATCH(AF$2,Totalt!$B$1:$AQ$1,0),FALSE),"")</f>
        <v>1.2663000000000001E-2</v>
      </c>
      <c r="AG277" s="173">
        <f>IFERROR(VLOOKUP($B277,Totalt!$B$1:$AQ$554,MATCH(AG$2,Totalt!$B$1:$AQ$1,0),FALSE),"")</f>
        <v>0</v>
      </c>
      <c r="AI277" s="226">
        <f t="shared" si="24"/>
        <v>1.1402330000000003</v>
      </c>
      <c r="AJ277" s="226">
        <f>IF(ISERROR(1/VLOOKUP($B277,Leveranser!$B$1:$S$500,MATCH("såld värme (gwh)",Leveranser!$B$1:$S$1,0),FALSE)),"",VLOOKUP($B277,Leveranser!$B$1:$S$500,MATCH("såld värme (gwh)",Leveranser!$B$1:$S$1,0),FALSE))</f>
        <v>0.82399999999999995</v>
      </c>
      <c r="AM277" s="227" t="str">
        <f>IF(B277&lt;&gt;"",IF(VLOOKUP($B277,Totalt!$B$1:$AQ$554,MATCH("Kvalitetsgranskad:",Totalt!$B$1:$AQ$1,0),FALSE)="ja",VLOOKUP($B277,Miljö!$B$1:$AG$479,MATCH(AM$2,Miljö!$B$1:$AK$1,0),FALSE),""),"")</f>
        <v>Nej</v>
      </c>
      <c r="AN277" s="227" t="str">
        <f>IF(AM277="ja",VLOOKUP($B277,Miljö!$B$1:$J$479,MATCH("Typ av ursprungsspecificerad el   (Om inget värde anges används Nordisk residualmix, se inforuta) ()",Miljö!$B$1:$J$1,0),FALSE),IF(AM277="nej","Nordisk residualel",""))</f>
        <v>Nordisk residualel</v>
      </c>
      <c r="AO277" s="227">
        <f>IF(AM277="","",VLOOKUP($B277,Miljö!$B$1:$J$479,MATCH("Fossilandel för ursprungspecificerad el ()",Miljö!$B$1:$J$1,0),FALSE))</f>
        <v>0.43</v>
      </c>
      <c r="AP277" s="227">
        <f>IF(AM277="","",IFERROR(VLOOKUP($B277,Miljö!$B$1:$J$479,MATCH("Kärnkraftsandel för ursprungsspecificerad el ()",Miljö!$B$1:$J$1,0),FALSE)/1,0))</f>
        <v>0.40550000000000003</v>
      </c>
      <c r="AQ277" s="227">
        <f t="shared" si="25"/>
        <v>0.16450000000000004</v>
      </c>
      <c r="AR277" s="227"/>
      <c r="AS277" s="227" t="str">
        <f t="shared" si="26"/>
        <v>Nej</v>
      </c>
      <c r="AT277" s="227" t="str">
        <f>IF(AS277="ja",VLOOKUP($B277,Miljö!$B$1:$O$500,MATCH("Fossil andel i procent (%)",Miljö!$B$1:$O$1,0),FALSE)/100,"")</f>
        <v/>
      </c>
      <c r="AU277" s="227"/>
      <c r="AV277" s="227" t="str">
        <f t="shared" si="27"/>
        <v>Nej</v>
      </c>
      <c r="AW277" s="227" t="str">
        <f>IF(AV277="ja",VLOOKUP($B277,'Egen hetvattenprod'!$B$1:$AO$500,MATCH("Värmekälla till värmepumpar ()",'Egen hetvattenprod'!$B$1:$AO$1,0),FALSE),"")</f>
        <v/>
      </c>
      <c r="AX277" s="227"/>
      <c r="AY277" s="227" t="str">
        <f t="shared" si="28"/>
        <v>Nej</v>
      </c>
      <c r="AZ277" s="228" t="str">
        <f>IF($AY277="ja",(VLOOKUP($B277,'Egen hetvattenprod'!$B$1:$BX$550,MATCH(AZ$2,'Egen hetvattenprod'!$B$1:$BX$1,0),FALSE)+VLOOKUP($B277,Kraftvärmeprod!$B$1:$BX$550,MATCH(AZ$2,Kraftvärmeprod!$B$1:$BX$1,0),FALSE))/$AC277,"")</f>
        <v/>
      </c>
      <c r="BA277" s="228" t="str">
        <f>IF($AY277="ja",(VLOOKUP($B277,'Egen hetvattenprod'!$B$1:$BX$550,MATCH(BA$2,'Egen hetvattenprod'!$B$1:$BX$1,0),FALSE)+VLOOKUP($B277,Kraftvärmeprod!$B$1:$BX$550,MATCH(BA$2,Kraftvärmeprod!$B$1:$BX$1,0),FALSE))/$AC277,"")</f>
        <v/>
      </c>
      <c r="BB277" s="228" t="str">
        <f>IF($AY277="ja",(VLOOKUP($B277,'Egen hetvattenprod'!$B$1:$BX$550,MATCH(BB$2,'Egen hetvattenprod'!$B$1:$BX$1,0),FALSE)+VLOOKUP($B277,Kraftvärmeprod!$B$1:$BX$550,MATCH(BB$2,Kraftvärmeprod!$B$1:$BX$1,0),FALSE))/$AC277,"")</f>
        <v/>
      </c>
      <c r="BC277" s="228" t="str">
        <f>IF($AY277="ja",(VLOOKUP($B277,'Egen hetvattenprod'!$B$1:$BX$550,MATCH(BC$2,'Egen hetvattenprod'!$B$1:$BX$1,0),FALSE)+VLOOKUP($B277,Kraftvärmeprod!$B$1:$BX$550,MATCH(BC$2,Kraftvärmeprod!$B$1:$BX$1,0),FALSE))/$AC277,"")</f>
        <v/>
      </c>
      <c r="BD277" s="228" t="str">
        <f>IF($AY277="ja",(VLOOKUP($B277,'Egen hetvattenprod'!$B$1:$BX$550,MATCH(BD$2,'Egen hetvattenprod'!$B$1:$BX$1,0),FALSE)+VLOOKUP($B277,Kraftvärmeprod!$B$1:$BX$550,MATCH(BD$2,Kraftvärmeprod!$B$1:$BX$1,0),FALSE))/$AC277,"")</f>
        <v/>
      </c>
      <c r="BE277" s="227"/>
      <c r="BF277" s="227" t="str">
        <f t="shared" si="29"/>
        <v>Nej</v>
      </c>
      <c r="BG277" s="227" t="str">
        <f>IF($BF277="ja",VLOOKUP($B277,'Egen hetvattenprod'!$B$1:$BX$550,MATCH("Andelen klimatgaser med fossilt ursprung för avfall ()",'Egen hetvattenprod'!$B$1:$BX$1,0),FALSE),"")</f>
        <v/>
      </c>
      <c r="BH277" s="227" t="str">
        <f>IF($BF277="ja",VLOOKUP($B277,Kraftvärmeprod!$B$1:$BX$550,MATCH("Andelen klimatgaser med fossilt ursprung för avfall ()",Kraftvärmeprod!$B$1:$BX$1,0),FALSE),"")</f>
        <v/>
      </c>
      <c r="BI277" s="227" t="str">
        <f>IF($BF277="ja",VLOOKUP($B277,'Egen hetvattenprod'!$B$1:$BX$550,MATCH("Avfall (GWh)",'Egen hetvattenprod'!$B$1:$BX$1,0),FALSE),"")</f>
        <v/>
      </c>
      <c r="BJ277" s="227" t="str">
        <f>IF($BF277="ja",VLOOKUP($B277,'Slutlig allokering kvv'!$B$1:$BX$550,MATCH("Avfall (GWh)",'Slutlig allokering kvv'!$B$1:$BX$1,0),FALSE),"")</f>
        <v/>
      </c>
      <c r="BK277" s="227" t="str">
        <f>IF($BF277="ja",VLOOKUP($B277,'Köpt hetvatten'!$B$1:$BX$550,MATCH("Avfall i köpt hetvatten",'Köpt hetvatten'!$B$1:$BX$1,0),FALSE),"")</f>
        <v/>
      </c>
      <c r="BL277" s="227" t="str">
        <f>IF($BF277="ja",VLOOKUP($B277,'Egen hetvattenprod'!$B$1:$BX$550,MATCH("Värde enligt ovan. (%)",'Egen hetvattenprod'!$B$1:$BX$1,0),FALSE),"")</f>
        <v/>
      </c>
      <c r="BM277" s="227" t="str">
        <f>IF($BF277="ja",VLOOKUP($B277,Kraftvärmeprod!$B$1:$BX$550,MATCH("Värde enligt ovan. (%)",Kraftvärmeprod!$B$1:$BX$1,0),FALSE),"")</f>
        <v/>
      </c>
      <c r="BN277" s="227"/>
      <c r="BO277" s="227"/>
      <c r="BP277" s="227"/>
      <c r="BQ277" s="227" t="str">
        <f>IF($BF277="ja",VLOOKUP($B277,'Egen hetvattenprod'!$B$1:$BX$550,MATCH("Tillförd olja (fossil) vid avfallsförbränning (GWh)",'Egen hetvattenprod'!$B$1:$BX$1,0),FALSE),"")</f>
        <v/>
      </c>
      <c r="BR277" s="227" t="str">
        <f>IF($BF277="ja",VLOOKUP($B277,Kraftvärmeprod!$B$1:$BX$550,MATCH("Tillförd olja (fossil) vid avfallsförbränning (GWh)",Kraftvärmeprod!$B$1:$BX$1,0),FALSE),"")</f>
        <v/>
      </c>
      <c r="BS277" s="227"/>
      <c r="BT277" s="227"/>
      <c r="BU277" s="227"/>
    </row>
    <row r="278" spans="1:73" x14ac:dyDescent="0.25">
      <c r="A278" s="121" t="str">
        <f>'Miljövärden för publ företag'!B281</f>
        <v>Ulricehamns Energi AB</v>
      </c>
      <c r="B278" s="121" t="str">
        <f>'Miljövärden för publ företag'!C281</f>
        <v>Ulricehamn</v>
      </c>
      <c r="C278" s="173">
        <f>IFERROR(VLOOKUP($B278,Totalt!$B$1:$AQ$554,MATCH(C$2,Totalt!$B$1:$AQ$1,0),FALSE),"")</f>
        <v>0</v>
      </c>
      <c r="D278" s="173">
        <f>IFERROR(VLOOKUP($B278,Totalt!$B$1:$AQ$554,MATCH(D$2,Totalt!$B$1:$AQ$1,0),FALSE),"")</f>
        <v>0.46333299999999999</v>
      </c>
      <c r="E278" s="173">
        <f>IFERROR(VLOOKUP($B278,Totalt!$B$1:$AQ$554,MATCH(E$2,Totalt!$B$1:$AQ$1,0),FALSE),"")</f>
        <v>0</v>
      </c>
      <c r="F278" s="173">
        <f>IFERROR(VLOOKUP($B278,Totalt!$B$1:$AQ$554,MATCH(F$2,Totalt!$B$1:$AQ$1,0),FALSE),"")</f>
        <v>0</v>
      </c>
      <c r="G278" s="173">
        <f>IFERROR(VLOOKUP($B278,Totalt!$B$1:$AQ$554,MATCH(G$2,Totalt!$B$1:$AQ$1,0),FALSE),"")</f>
        <v>0</v>
      </c>
      <c r="H278" s="173">
        <f>IFERROR(VLOOKUP($B278,Totalt!$B$1:$AQ$554,MATCH(H$2,Totalt!$B$1:$AQ$1,0),FALSE),"")</f>
        <v>0</v>
      </c>
      <c r="I278" s="173">
        <f>IFERROR(VLOOKUP($B278,Totalt!$B$1:$AQ$554,MATCH(I$2,Totalt!$B$1:$AQ$1,0),FALSE),"")</f>
        <v>0</v>
      </c>
      <c r="J278" s="173">
        <f>IFERROR(VLOOKUP($B278,Totalt!$B$1:$AQ$554,MATCH(J$2,Totalt!$B$1:$AQ$1,0),FALSE),"")</f>
        <v>0</v>
      </c>
      <c r="K278" s="173">
        <f>IFERROR(VLOOKUP($B278,Totalt!$B$1:$AQ$554,MATCH(K$2,Totalt!$B$1:$AQ$1,0),FALSE),"")</f>
        <v>0</v>
      </c>
      <c r="L278" s="173">
        <f>IFERROR(VLOOKUP($B278,Totalt!$B$1:$AQ$554,MATCH(L$2,Totalt!$B$1:$AQ$1,0),FALSE),"")</f>
        <v>0</v>
      </c>
      <c r="M278" s="173">
        <f>IFERROR(VLOOKUP($B278,Totalt!$B$1:$AQ$554,MATCH(M$2,Totalt!$B$1:$AQ$1,0),FALSE),"")</f>
        <v>0</v>
      </c>
      <c r="N278" s="173">
        <f>IFERROR(VLOOKUP($B278,Totalt!$B$1:$AQ$554,MATCH(N$2,Totalt!$B$1:$AQ$1,0),FALSE),"")</f>
        <v>0</v>
      </c>
      <c r="O278" s="173">
        <f>IFERROR(VLOOKUP($B278,Totalt!$B$1:$AQ$554,MATCH(O$2,Totalt!$B$1:$AQ$1,0),FALSE),"")</f>
        <v>0</v>
      </c>
      <c r="P278" s="173">
        <f>IFERROR(VLOOKUP($B278,Totalt!$B$1:$AQ$554,MATCH(P$2,Totalt!$B$1:$AQ$1,0),FALSE),"")</f>
        <v>0</v>
      </c>
      <c r="Q278" s="173">
        <f>IFERROR(VLOOKUP($B278,Totalt!$B$1:$AQ$554,MATCH(Q$2,Totalt!$B$1:$AQ$1,0),FALSE),"")</f>
        <v>24.874400000000001</v>
      </c>
      <c r="R278" s="173">
        <f>IFERROR(VLOOKUP($B278,Totalt!$B$1:$AQ$554,MATCH(R$2,Totalt!$B$1:$AQ$1,0),FALSE),"")</f>
        <v>3.0930200000000001</v>
      </c>
      <c r="S278" s="173">
        <f>IFERROR(VLOOKUP($B278,Totalt!$B$1:$AQ$554,MATCH(S$2,Totalt!$B$1:$AQ$1,0),FALSE),"")</f>
        <v>0</v>
      </c>
      <c r="T278" s="173">
        <f>IFERROR(VLOOKUP($B278,Totalt!$B$1:$AQ$554,MATCH(T$2,Totalt!$B$1:$AQ$1,0),FALSE),"")</f>
        <v>0</v>
      </c>
      <c r="U278" s="173">
        <f>IFERROR(VLOOKUP($B278,Totalt!$B$1:$AQ$554,MATCH(U$2,Totalt!$B$1:$AQ$1,0),FALSE),"")</f>
        <v>0</v>
      </c>
      <c r="V278" s="173">
        <f>IFERROR(VLOOKUP($B278,Totalt!$B$1:$AQ$554,MATCH(V$2,Totalt!$B$1:$AQ$1,0),FALSE),"")</f>
        <v>0</v>
      </c>
      <c r="W278" s="173">
        <f>IFERROR(VLOOKUP($B278,Totalt!$B$1:$AQ$554,MATCH(W$2,Totalt!$B$1:$AQ$1,0),FALSE),"")</f>
        <v>0</v>
      </c>
      <c r="X278" s="173">
        <f>IFERROR(VLOOKUP($B278,Totalt!$B$1:$AQ$554,MATCH(X$2,Totalt!$B$1:$AQ$1,0),FALSE),"")</f>
        <v>0</v>
      </c>
      <c r="Y278" s="173">
        <f>IFERROR(VLOOKUP($B278,Totalt!$B$1:$AQ$554,MATCH(Y$2,Totalt!$B$1:$AQ$1,0),FALSE),"")</f>
        <v>0</v>
      </c>
      <c r="Z278" s="173">
        <f>IFERROR(VLOOKUP($B278,Totalt!$B$1:$AQ$554,MATCH(Z$2,Totalt!$B$1:$AQ$1,0),FALSE),"")</f>
        <v>0</v>
      </c>
      <c r="AA278" s="173">
        <f>IFERROR(VLOOKUP($B278,Totalt!$B$1:$AQ$554,MATCH(AA$2,Totalt!$B$1:$AQ$1,0),FALSE),"")</f>
        <v>0</v>
      </c>
      <c r="AB278" s="173">
        <f>IFERROR(VLOOKUP($B278,Totalt!$B$1:$AQ$554,MATCH(AB$2,Totalt!$B$1:$AQ$1,0),FALSE),"")</f>
        <v>0</v>
      </c>
      <c r="AC278" s="173">
        <f>IFERROR(VLOOKUP($B278,Totalt!$B$1:$AQ$554,MATCH(AC$2,Totalt!$B$1:$AQ$1,0),FALSE),"")</f>
        <v>0</v>
      </c>
      <c r="AD278" s="173">
        <f>IFERROR(VLOOKUP($B278,Totalt!$B$1:$AQ$554,MATCH(AD$2,Totalt!$B$1:$AQ$1,0),FALSE),"")</f>
        <v>30.916</v>
      </c>
      <c r="AE278" s="173">
        <f>IFERROR(VLOOKUP($B278,Totalt!$B$1:$AQ$554,MATCH(AE$2,Totalt!$B$1:$AQ$1,0),FALSE),"")</f>
        <v>0</v>
      </c>
      <c r="AF278" s="173">
        <f>IFERROR(VLOOKUP($B278,Totalt!$B$1:$AQ$554,MATCH(AF$2,Totalt!$B$1:$AQ$1,0),FALSE),"")</f>
        <v>0.57499999999999996</v>
      </c>
      <c r="AG278" s="173">
        <f>IFERROR(VLOOKUP($B278,Totalt!$B$1:$AQ$554,MATCH(AG$2,Totalt!$B$1:$AQ$1,0),FALSE),"")</f>
        <v>0</v>
      </c>
      <c r="AI278" s="226">
        <f t="shared" si="24"/>
        <v>59.921753000000002</v>
      </c>
      <c r="AJ278" s="226">
        <f>IF(ISERROR(1/VLOOKUP($B278,Leveranser!$B$1:$S$500,MATCH("såld värme (gwh)",Leveranser!$B$1:$S$1,0),FALSE)),"",VLOOKUP($B278,Leveranser!$B$1:$S$500,MATCH("såld värme (gwh)",Leveranser!$B$1:$S$1,0),FALSE))</f>
        <v>48.752000000000002</v>
      </c>
      <c r="AM278" s="227" t="str">
        <f>IF(B278&lt;&gt;"",IF(VLOOKUP($B278,Totalt!$B$1:$AQ$554,MATCH("Kvalitetsgranskad:",Totalt!$B$1:$AQ$1,0),FALSE)="ja",VLOOKUP($B278,Miljö!$B$1:$AG$479,MATCH(AM$2,Miljö!$B$1:$AK$1,0),FALSE),""),"")</f>
        <v>Nej</v>
      </c>
      <c r="AN278" s="227" t="str">
        <f>IF(AM278="ja",VLOOKUP($B278,Miljö!$B$1:$J$479,MATCH("Typ av ursprungsspecificerad el   (Om inget värde anges används Nordisk residualmix, se inforuta) ()",Miljö!$B$1:$J$1,0),FALSE),IF(AM278="nej","Nordisk residualel",""))</f>
        <v>Nordisk residualel</v>
      </c>
      <c r="AO278" s="227">
        <f>IF(AM278="","",VLOOKUP($B278,Miljö!$B$1:$J$479,MATCH("Fossilandel för ursprungspecificerad el ()",Miljö!$B$1:$J$1,0),FALSE))</f>
        <v>0.43</v>
      </c>
      <c r="AP278" s="227">
        <f>IF(AM278="","",IFERROR(VLOOKUP($B278,Miljö!$B$1:$J$479,MATCH("Kärnkraftsandel för ursprungsspecificerad el ()",Miljö!$B$1:$J$1,0),FALSE)/1,0))</f>
        <v>0.40550000000000003</v>
      </c>
      <c r="AQ278" s="227">
        <f t="shared" si="25"/>
        <v>0.16450000000000004</v>
      </c>
      <c r="AR278" s="227"/>
      <c r="AS278" s="227" t="str">
        <f t="shared" si="26"/>
        <v>Nej</v>
      </c>
      <c r="AT278" s="227" t="str">
        <f>IF(AS278="ja",VLOOKUP($B278,Miljö!$B$1:$O$500,MATCH("Fossil andel i procent (%)",Miljö!$B$1:$O$1,0),FALSE)/100,"")</f>
        <v/>
      </c>
      <c r="AU278" s="227"/>
      <c r="AV278" s="227" t="str">
        <f t="shared" si="27"/>
        <v>Nej</v>
      </c>
      <c r="AW278" s="227" t="str">
        <f>IF(AV278="ja",VLOOKUP($B278,'Egen hetvattenprod'!$B$1:$AO$500,MATCH("Värmekälla till värmepumpar ()",'Egen hetvattenprod'!$B$1:$AO$1,0),FALSE),"")</f>
        <v/>
      </c>
      <c r="AX278" s="227"/>
      <c r="AY278" s="227" t="str">
        <f t="shared" si="28"/>
        <v>Nej</v>
      </c>
      <c r="AZ278" s="228" t="str">
        <f>IF($AY278="ja",(VLOOKUP($B278,'Egen hetvattenprod'!$B$1:$BX$550,MATCH(AZ$2,'Egen hetvattenprod'!$B$1:$BX$1,0),FALSE)+VLOOKUP($B278,Kraftvärmeprod!$B$1:$BX$550,MATCH(AZ$2,Kraftvärmeprod!$B$1:$BX$1,0),FALSE))/$AC278,"")</f>
        <v/>
      </c>
      <c r="BA278" s="228" t="str">
        <f>IF($AY278="ja",(VLOOKUP($B278,'Egen hetvattenprod'!$B$1:$BX$550,MATCH(BA$2,'Egen hetvattenprod'!$B$1:$BX$1,0),FALSE)+VLOOKUP($B278,Kraftvärmeprod!$B$1:$BX$550,MATCH(BA$2,Kraftvärmeprod!$B$1:$BX$1,0),FALSE))/$AC278,"")</f>
        <v/>
      </c>
      <c r="BB278" s="228" t="str">
        <f>IF($AY278="ja",(VLOOKUP($B278,'Egen hetvattenprod'!$B$1:$BX$550,MATCH(BB$2,'Egen hetvattenprod'!$B$1:$BX$1,0),FALSE)+VLOOKUP($B278,Kraftvärmeprod!$B$1:$BX$550,MATCH(BB$2,Kraftvärmeprod!$B$1:$BX$1,0),FALSE))/$AC278,"")</f>
        <v/>
      </c>
      <c r="BC278" s="228" t="str">
        <f>IF($AY278="ja",(VLOOKUP($B278,'Egen hetvattenprod'!$B$1:$BX$550,MATCH(BC$2,'Egen hetvattenprod'!$B$1:$BX$1,0),FALSE)+VLOOKUP($B278,Kraftvärmeprod!$B$1:$BX$550,MATCH(BC$2,Kraftvärmeprod!$B$1:$BX$1,0),FALSE))/$AC278,"")</f>
        <v/>
      </c>
      <c r="BD278" s="228" t="str">
        <f>IF($AY278="ja",(VLOOKUP($B278,'Egen hetvattenprod'!$B$1:$BX$550,MATCH(BD$2,'Egen hetvattenprod'!$B$1:$BX$1,0),FALSE)+VLOOKUP($B278,Kraftvärmeprod!$B$1:$BX$550,MATCH(BD$2,Kraftvärmeprod!$B$1:$BX$1,0),FALSE))/$AC278,"")</f>
        <v/>
      </c>
      <c r="BE278" s="227"/>
      <c r="BF278" s="227" t="str">
        <f t="shared" si="29"/>
        <v>Nej</v>
      </c>
      <c r="BG278" s="227" t="str">
        <f>IF($BF278="ja",VLOOKUP($B278,'Egen hetvattenprod'!$B$1:$BX$550,MATCH("Andelen klimatgaser med fossilt ursprung för avfall ()",'Egen hetvattenprod'!$B$1:$BX$1,0),FALSE),"")</f>
        <v/>
      </c>
      <c r="BH278" s="227" t="str">
        <f>IF($BF278="ja",VLOOKUP($B278,Kraftvärmeprod!$B$1:$BX$550,MATCH("Andelen klimatgaser med fossilt ursprung för avfall ()",Kraftvärmeprod!$B$1:$BX$1,0),FALSE),"")</f>
        <v/>
      </c>
      <c r="BI278" s="227" t="str">
        <f>IF($BF278="ja",VLOOKUP($B278,'Egen hetvattenprod'!$B$1:$BX$550,MATCH("Avfall (GWh)",'Egen hetvattenprod'!$B$1:$BX$1,0),FALSE),"")</f>
        <v/>
      </c>
      <c r="BJ278" s="227" t="str">
        <f>IF($BF278="ja",VLOOKUP($B278,'Slutlig allokering kvv'!$B$1:$BX$550,MATCH("Avfall (GWh)",'Slutlig allokering kvv'!$B$1:$BX$1,0),FALSE),"")</f>
        <v/>
      </c>
      <c r="BK278" s="227" t="str">
        <f>IF($BF278="ja",VLOOKUP($B278,'Köpt hetvatten'!$B$1:$BX$550,MATCH("Avfall i köpt hetvatten",'Köpt hetvatten'!$B$1:$BX$1,0),FALSE),"")</f>
        <v/>
      </c>
      <c r="BL278" s="227" t="str">
        <f>IF($BF278="ja",VLOOKUP($B278,'Egen hetvattenprod'!$B$1:$BX$550,MATCH("Värde enligt ovan. (%)",'Egen hetvattenprod'!$B$1:$BX$1,0),FALSE),"")</f>
        <v/>
      </c>
      <c r="BM278" s="227" t="str">
        <f>IF($BF278="ja",VLOOKUP($B278,Kraftvärmeprod!$B$1:$BX$550,MATCH("Värde enligt ovan. (%)",Kraftvärmeprod!$B$1:$BX$1,0),FALSE),"")</f>
        <v/>
      </c>
      <c r="BN278" s="227"/>
      <c r="BO278" s="227"/>
      <c r="BP278" s="227"/>
      <c r="BQ278" s="227" t="str">
        <f>IF($BF278="ja",VLOOKUP($B278,'Egen hetvattenprod'!$B$1:$BX$550,MATCH("Tillförd olja (fossil) vid avfallsförbränning (GWh)",'Egen hetvattenprod'!$B$1:$BX$1,0),FALSE),"")</f>
        <v/>
      </c>
      <c r="BR278" s="227" t="str">
        <f>IF($BF278="ja",VLOOKUP($B278,Kraftvärmeprod!$B$1:$BX$550,MATCH("Tillförd olja (fossil) vid avfallsförbränning (GWh)",Kraftvärmeprod!$B$1:$BX$1,0),FALSE),"")</f>
        <v/>
      </c>
      <c r="BS278" s="227"/>
      <c r="BT278" s="227"/>
      <c r="BU278" s="227"/>
    </row>
    <row r="279" spans="1:73" x14ac:dyDescent="0.25">
      <c r="A279" s="121" t="str">
        <f>'Miljövärden för publ företag'!B282</f>
        <v>Umeå Energi AB</v>
      </c>
      <c r="B279" s="121" t="str">
        <f>'Miljövärden för publ företag'!C282</f>
        <v>Bjurholm</v>
      </c>
      <c r="C279" s="173">
        <f>IFERROR(VLOOKUP($B279,Totalt!$B$1:$AQ$554,MATCH(C$2,Totalt!$B$1:$AQ$1,0),FALSE),"")</f>
        <v>0</v>
      </c>
      <c r="D279" s="173">
        <f>IFERROR(VLOOKUP($B279,Totalt!$B$1:$AQ$554,MATCH(D$2,Totalt!$B$1:$AQ$1,0),FALSE),"")</f>
        <v>1.62</v>
      </c>
      <c r="E279" s="173">
        <f>IFERROR(VLOOKUP($B279,Totalt!$B$1:$AQ$554,MATCH(E$2,Totalt!$B$1:$AQ$1,0),FALSE),"")</f>
        <v>0</v>
      </c>
      <c r="F279" s="173">
        <f>IFERROR(VLOOKUP($B279,Totalt!$B$1:$AQ$554,MATCH(F$2,Totalt!$B$1:$AQ$1,0),FALSE),"")</f>
        <v>0</v>
      </c>
      <c r="G279" s="173">
        <f>IFERROR(VLOOKUP($B279,Totalt!$B$1:$AQ$554,MATCH(G$2,Totalt!$B$1:$AQ$1,0),FALSE),"")</f>
        <v>0</v>
      </c>
      <c r="H279" s="173">
        <f>IFERROR(VLOOKUP($B279,Totalt!$B$1:$AQ$554,MATCH(H$2,Totalt!$B$1:$AQ$1,0),FALSE),"")</f>
        <v>0</v>
      </c>
      <c r="I279" s="173">
        <f>IFERROR(VLOOKUP($B279,Totalt!$B$1:$AQ$554,MATCH(I$2,Totalt!$B$1:$AQ$1,0),FALSE),"")</f>
        <v>0</v>
      </c>
      <c r="J279" s="173">
        <f>IFERROR(VLOOKUP($B279,Totalt!$B$1:$AQ$554,MATCH(J$2,Totalt!$B$1:$AQ$1,0),FALSE),"")</f>
        <v>0</v>
      </c>
      <c r="K279" s="173">
        <f>IFERROR(VLOOKUP($B279,Totalt!$B$1:$AQ$554,MATCH(K$2,Totalt!$B$1:$AQ$1,0),FALSE),"")</f>
        <v>0</v>
      </c>
      <c r="L279" s="173">
        <f>IFERROR(VLOOKUP($B279,Totalt!$B$1:$AQ$554,MATCH(L$2,Totalt!$B$1:$AQ$1,0),FALSE),"")</f>
        <v>0</v>
      </c>
      <c r="M279" s="173">
        <f>IFERROR(VLOOKUP($B279,Totalt!$B$1:$AQ$554,MATCH(M$2,Totalt!$B$1:$AQ$1,0),FALSE),"")</f>
        <v>0</v>
      </c>
      <c r="N279" s="173">
        <f>IFERROR(VLOOKUP($B279,Totalt!$B$1:$AQ$554,MATCH(N$2,Totalt!$B$1:$AQ$1,0),FALSE),"")</f>
        <v>0</v>
      </c>
      <c r="O279" s="173">
        <f>IFERROR(VLOOKUP($B279,Totalt!$B$1:$AQ$554,MATCH(O$2,Totalt!$B$1:$AQ$1,0),FALSE),"")</f>
        <v>0</v>
      </c>
      <c r="P279" s="173">
        <f>IFERROR(VLOOKUP($B279,Totalt!$B$1:$AQ$554,MATCH(P$2,Totalt!$B$1:$AQ$1,0),FALSE),"")</f>
        <v>0</v>
      </c>
      <c r="Q279" s="173">
        <f>IFERROR(VLOOKUP($B279,Totalt!$B$1:$AQ$554,MATCH(Q$2,Totalt!$B$1:$AQ$1,0),FALSE),"")</f>
        <v>0</v>
      </c>
      <c r="R279" s="173">
        <f>IFERROR(VLOOKUP($B279,Totalt!$B$1:$AQ$554,MATCH(R$2,Totalt!$B$1:$AQ$1,0),FALSE),"")</f>
        <v>7.4729999999999999</v>
      </c>
      <c r="S279" s="173">
        <f>IFERROR(VLOOKUP($B279,Totalt!$B$1:$AQ$554,MATCH(S$2,Totalt!$B$1:$AQ$1,0),FALSE),"")</f>
        <v>0</v>
      </c>
      <c r="T279" s="173">
        <f>IFERROR(VLOOKUP($B279,Totalt!$B$1:$AQ$554,MATCH(T$2,Totalt!$B$1:$AQ$1,0),FALSE),"")</f>
        <v>0</v>
      </c>
      <c r="U279" s="173">
        <f>IFERROR(VLOOKUP($B279,Totalt!$B$1:$AQ$554,MATCH(U$2,Totalt!$B$1:$AQ$1,0),FALSE),"")</f>
        <v>0</v>
      </c>
      <c r="V279" s="173">
        <f>IFERROR(VLOOKUP($B279,Totalt!$B$1:$AQ$554,MATCH(V$2,Totalt!$B$1:$AQ$1,0),FALSE),"")</f>
        <v>0</v>
      </c>
      <c r="W279" s="173">
        <f>IFERROR(VLOOKUP($B279,Totalt!$B$1:$AQ$554,MATCH(W$2,Totalt!$B$1:$AQ$1,0),FALSE),"")</f>
        <v>0</v>
      </c>
      <c r="X279" s="173">
        <f>IFERROR(VLOOKUP($B279,Totalt!$B$1:$AQ$554,MATCH(X$2,Totalt!$B$1:$AQ$1,0),FALSE),"")</f>
        <v>0</v>
      </c>
      <c r="Y279" s="173">
        <f>IFERROR(VLOOKUP($B279,Totalt!$B$1:$AQ$554,MATCH(Y$2,Totalt!$B$1:$AQ$1,0),FALSE),"")</f>
        <v>0</v>
      </c>
      <c r="Z279" s="173">
        <f>IFERROR(VLOOKUP($B279,Totalt!$B$1:$AQ$554,MATCH(Z$2,Totalt!$B$1:$AQ$1,0),FALSE),"")</f>
        <v>0</v>
      </c>
      <c r="AA279" s="173">
        <f>IFERROR(VLOOKUP($B279,Totalt!$B$1:$AQ$554,MATCH(AA$2,Totalt!$B$1:$AQ$1,0),FALSE),"")</f>
        <v>0</v>
      </c>
      <c r="AB279" s="173">
        <f>IFERROR(VLOOKUP($B279,Totalt!$B$1:$AQ$554,MATCH(AB$2,Totalt!$B$1:$AQ$1,0),FALSE),"")</f>
        <v>0</v>
      </c>
      <c r="AC279" s="173">
        <f>IFERROR(VLOOKUP($B279,Totalt!$B$1:$AQ$554,MATCH(AC$2,Totalt!$B$1:$AQ$1,0),FALSE),"")</f>
        <v>0</v>
      </c>
      <c r="AD279" s="173">
        <f>IFERROR(VLOOKUP($B279,Totalt!$B$1:$AQ$554,MATCH(AD$2,Totalt!$B$1:$AQ$1,0),FALSE),"")</f>
        <v>0</v>
      </c>
      <c r="AE279" s="173">
        <f>IFERROR(VLOOKUP($B279,Totalt!$B$1:$AQ$554,MATCH(AE$2,Totalt!$B$1:$AQ$1,0),FALSE),"")</f>
        <v>0</v>
      </c>
      <c r="AF279" s="173">
        <f>IFERROR(VLOOKUP($B279,Totalt!$B$1:$AQ$554,MATCH(AF$2,Totalt!$B$1:$AQ$1,0),FALSE),"")</f>
        <v>0.16600000000000001</v>
      </c>
      <c r="AG279" s="173">
        <f>IFERROR(VLOOKUP($B279,Totalt!$B$1:$AQ$554,MATCH(AG$2,Totalt!$B$1:$AQ$1,0),FALSE),"")</f>
        <v>0</v>
      </c>
      <c r="AI279" s="226">
        <f t="shared" si="24"/>
        <v>9.2590000000000003</v>
      </c>
      <c r="AJ279" s="226">
        <f>IF(ISERROR(1/VLOOKUP($B279,Leveranser!$B$1:$S$500,MATCH("såld värme (gwh)",Leveranser!$B$1:$S$1,0),FALSE)),"",VLOOKUP($B279,Leveranser!$B$1:$S$500,MATCH("såld värme (gwh)",Leveranser!$B$1:$S$1,0),FALSE))</f>
        <v>7.55</v>
      </c>
      <c r="AM279" s="227" t="str">
        <f>IF(B279&lt;&gt;"",IF(VLOOKUP($B279,Totalt!$B$1:$AQ$554,MATCH("Kvalitetsgranskad:",Totalt!$B$1:$AQ$1,0),FALSE)="ja",VLOOKUP($B279,Miljö!$B$1:$AG$479,MATCH(AM$2,Miljö!$B$1:$AK$1,0),FALSE),""),"")</f>
        <v>Ja</v>
      </c>
      <c r="AN279" s="227" t="str">
        <f>IF(AM279="ja",VLOOKUP($B279,Miljö!$B$1:$J$479,MATCH("Typ av ursprungsspecificerad el   (Om inget värde anges används Nordisk residualmix, se inforuta) ()",Miljö!$B$1:$J$1,0),FALSE),IF(AM279="nej","Nordisk residualel",""))</f>
        <v>'sol. vind. vatten. bio'</v>
      </c>
      <c r="AO279" s="227">
        <f>IF(AM279="","",VLOOKUP($B279,Miljö!$B$1:$J$479,MATCH("Fossilandel för ursprungspecificerad el ()",Miljö!$B$1:$J$1,0),FALSE))</f>
        <v>0</v>
      </c>
      <c r="AP279" s="227">
        <f>IF(AM279="","",IFERROR(VLOOKUP($B279,Miljö!$B$1:$J$479,MATCH("Kärnkraftsandel för ursprungsspecificerad el ()",Miljö!$B$1:$J$1,0),FALSE)/1,0))</f>
        <v>0</v>
      </c>
      <c r="AQ279" s="227">
        <f t="shared" si="25"/>
        <v>1</v>
      </c>
      <c r="AR279" s="227"/>
      <c r="AS279" s="227" t="str">
        <f t="shared" si="26"/>
        <v>Nej</v>
      </c>
      <c r="AT279" s="227" t="str">
        <f>IF(AS279="ja",VLOOKUP($B279,Miljö!$B$1:$O$500,MATCH("Fossil andel i procent (%)",Miljö!$B$1:$O$1,0),FALSE)/100,"")</f>
        <v/>
      </c>
      <c r="AU279" s="227"/>
      <c r="AV279" s="227" t="str">
        <f t="shared" si="27"/>
        <v>Nej</v>
      </c>
      <c r="AW279" s="227" t="str">
        <f>IF(AV279="ja",VLOOKUP($B279,'Egen hetvattenprod'!$B$1:$AO$500,MATCH("Värmekälla till värmepumpar ()",'Egen hetvattenprod'!$B$1:$AO$1,0),FALSE),"")</f>
        <v/>
      </c>
      <c r="AX279" s="227"/>
      <c r="AY279" s="227" t="str">
        <f t="shared" si="28"/>
        <v>Nej</v>
      </c>
      <c r="AZ279" s="228" t="str">
        <f>IF($AY279="ja",(VLOOKUP($B279,'Egen hetvattenprod'!$B$1:$BX$550,MATCH(AZ$2,'Egen hetvattenprod'!$B$1:$BX$1,0),FALSE)+VLOOKUP($B279,Kraftvärmeprod!$B$1:$BX$550,MATCH(AZ$2,Kraftvärmeprod!$B$1:$BX$1,0),FALSE))/$AC279,"")</f>
        <v/>
      </c>
      <c r="BA279" s="228" t="str">
        <f>IF($AY279="ja",(VLOOKUP($B279,'Egen hetvattenprod'!$B$1:$BX$550,MATCH(BA$2,'Egen hetvattenprod'!$B$1:$BX$1,0),FALSE)+VLOOKUP($B279,Kraftvärmeprod!$B$1:$BX$550,MATCH(BA$2,Kraftvärmeprod!$B$1:$BX$1,0),FALSE))/$AC279,"")</f>
        <v/>
      </c>
      <c r="BB279" s="228" t="str">
        <f>IF($AY279="ja",(VLOOKUP($B279,'Egen hetvattenprod'!$B$1:$BX$550,MATCH(BB$2,'Egen hetvattenprod'!$B$1:$BX$1,0),FALSE)+VLOOKUP($B279,Kraftvärmeprod!$B$1:$BX$550,MATCH(BB$2,Kraftvärmeprod!$B$1:$BX$1,0),FALSE))/$AC279,"")</f>
        <v/>
      </c>
      <c r="BC279" s="228" t="str">
        <f>IF($AY279="ja",(VLOOKUP($B279,'Egen hetvattenprod'!$B$1:$BX$550,MATCH(BC$2,'Egen hetvattenprod'!$B$1:$BX$1,0),FALSE)+VLOOKUP($B279,Kraftvärmeprod!$B$1:$BX$550,MATCH(BC$2,Kraftvärmeprod!$B$1:$BX$1,0),FALSE))/$AC279,"")</f>
        <v/>
      </c>
      <c r="BD279" s="228" t="str">
        <f>IF($AY279="ja",(VLOOKUP($B279,'Egen hetvattenprod'!$B$1:$BX$550,MATCH(BD$2,'Egen hetvattenprod'!$B$1:$BX$1,0),FALSE)+VLOOKUP($B279,Kraftvärmeprod!$B$1:$BX$550,MATCH(BD$2,Kraftvärmeprod!$B$1:$BX$1,0),FALSE))/$AC279,"")</f>
        <v/>
      </c>
      <c r="BE279" s="227"/>
      <c r="BF279" s="227" t="str">
        <f t="shared" si="29"/>
        <v>Nej</v>
      </c>
      <c r="BG279" s="227" t="str">
        <f>IF($BF279="ja",VLOOKUP($B279,'Egen hetvattenprod'!$B$1:$BX$550,MATCH("Andelen klimatgaser med fossilt ursprung för avfall ()",'Egen hetvattenprod'!$B$1:$BX$1,0),FALSE),"")</f>
        <v/>
      </c>
      <c r="BH279" s="227" t="str">
        <f>IF($BF279="ja",VLOOKUP($B279,Kraftvärmeprod!$B$1:$BX$550,MATCH("Andelen klimatgaser med fossilt ursprung för avfall ()",Kraftvärmeprod!$B$1:$BX$1,0),FALSE),"")</f>
        <v/>
      </c>
      <c r="BI279" s="227" t="str">
        <f>IF($BF279="ja",VLOOKUP($B279,'Egen hetvattenprod'!$B$1:$BX$550,MATCH("Avfall (GWh)",'Egen hetvattenprod'!$B$1:$BX$1,0),FALSE),"")</f>
        <v/>
      </c>
      <c r="BJ279" s="227" t="str">
        <f>IF($BF279="ja",VLOOKUP($B279,'Slutlig allokering kvv'!$B$1:$BX$550,MATCH("Avfall (GWh)",'Slutlig allokering kvv'!$B$1:$BX$1,0),FALSE),"")</f>
        <v/>
      </c>
      <c r="BK279" s="227" t="str">
        <f>IF($BF279="ja",VLOOKUP($B279,'Köpt hetvatten'!$B$1:$BX$550,MATCH("Avfall i köpt hetvatten",'Köpt hetvatten'!$B$1:$BX$1,0),FALSE),"")</f>
        <v/>
      </c>
      <c r="BL279" s="227" t="str">
        <f>IF($BF279="ja",VLOOKUP($B279,'Egen hetvattenprod'!$B$1:$BX$550,MATCH("Värde enligt ovan. (%)",'Egen hetvattenprod'!$B$1:$BX$1,0),FALSE),"")</f>
        <v/>
      </c>
      <c r="BM279" s="227" t="str">
        <f>IF($BF279="ja",VLOOKUP($B279,Kraftvärmeprod!$B$1:$BX$550,MATCH("Värde enligt ovan. (%)",Kraftvärmeprod!$B$1:$BX$1,0),FALSE),"")</f>
        <v/>
      </c>
      <c r="BN279" s="227"/>
      <c r="BO279" s="227"/>
      <c r="BP279" s="227"/>
      <c r="BQ279" s="227" t="str">
        <f>IF($BF279="ja",VLOOKUP($B279,'Egen hetvattenprod'!$B$1:$BX$550,MATCH("Tillförd olja (fossil) vid avfallsförbränning (GWh)",'Egen hetvattenprod'!$B$1:$BX$1,0),FALSE),"")</f>
        <v/>
      </c>
      <c r="BR279" s="227" t="str">
        <f>IF($BF279="ja",VLOOKUP($B279,Kraftvärmeprod!$B$1:$BX$550,MATCH("Tillförd olja (fossil) vid avfallsförbränning (GWh)",Kraftvärmeprod!$B$1:$BX$1,0),FALSE),"")</f>
        <v/>
      </c>
      <c r="BS279" s="227"/>
      <c r="BT279" s="227"/>
      <c r="BU279" s="227"/>
    </row>
    <row r="280" spans="1:73" x14ac:dyDescent="0.25">
      <c r="A280" s="121" t="str">
        <f>'Miljövärden för publ företag'!B283</f>
        <v>Umeå Energi AB</v>
      </c>
      <c r="B280" s="121" t="str">
        <f>'Miljövärden för publ företag'!C283</f>
        <v>Hörnefors</v>
      </c>
      <c r="C280" s="173">
        <f>IFERROR(VLOOKUP($B280,Totalt!$B$1:$AQ$554,MATCH(C$2,Totalt!$B$1:$AQ$1,0),FALSE),"")</f>
        <v>0</v>
      </c>
      <c r="D280" s="173">
        <f>IFERROR(VLOOKUP($B280,Totalt!$B$1:$AQ$554,MATCH(D$2,Totalt!$B$1:$AQ$1,0),FALSE),"")</f>
        <v>0.03</v>
      </c>
      <c r="E280" s="173">
        <f>IFERROR(VLOOKUP($B280,Totalt!$B$1:$AQ$554,MATCH(E$2,Totalt!$B$1:$AQ$1,0),FALSE),"")</f>
        <v>0</v>
      </c>
      <c r="F280" s="173">
        <f>IFERROR(VLOOKUP($B280,Totalt!$B$1:$AQ$554,MATCH(F$2,Totalt!$B$1:$AQ$1,0),FALSE),"")</f>
        <v>0</v>
      </c>
      <c r="G280" s="173">
        <f>IFERROR(VLOOKUP($B280,Totalt!$B$1:$AQ$554,MATCH(G$2,Totalt!$B$1:$AQ$1,0),FALSE),"")</f>
        <v>0</v>
      </c>
      <c r="H280" s="173">
        <f>IFERROR(VLOOKUP($B280,Totalt!$B$1:$AQ$554,MATCH(H$2,Totalt!$B$1:$AQ$1,0),FALSE),"")</f>
        <v>0</v>
      </c>
      <c r="I280" s="173">
        <f>IFERROR(VLOOKUP($B280,Totalt!$B$1:$AQ$554,MATCH(I$2,Totalt!$B$1:$AQ$1,0),FALSE),"")</f>
        <v>0</v>
      </c>
      <c r="J280" s="173">
        <f>IFERROR(VLOOKUP($B280,Totalt!$B$1:$AQ$554,MATCH(J$2,Totalt!$B$1:$AQ$1,0),FALSE),"")</f>
        <v>0</v>
      </c>
      <c r="K280" s="173">
        <f>IFERROR(VLOOKUP($B280,Totalt!$B$1:$AQ$554,MATCH(K$2,Totalt!$B$1:$AQ$1,0),FALSE),"")</f>
        <v>0</v>
      </c>
      <c r="L280" s="173">
        <f>IFERROR(VLOOKUP($B280,Totalt!$B$1:$AQ$554,MATCH(L$2,Totalt!$B$1:$AQ$1,0),FALSE),"")</f>
        <v>0</v>
      </c>
      <c r="M280" s="173">
        <f>IFERROR(VLOOKUP($B280,Totalt!$B$1:$AQ$554,MATCH(M$2,Totalt!$B$1:$AQ$1,0),FALSE),"")</f>
        <v>0</v>
      </c>
      <c r="N280" s="173">
        <f>IFERROR(VLOOKUP($B280,Totalt!$B$1:$AQ$554,MATCH(N$2,Totalt!$B$1:$AQ$1,0),FALSE),"")</f>
        <v>0</v>
      </c>
      <c r="O280" s="173">
        <f>IFERROR(VLOOKUP($B280,Totalt!$B$1:$AQ$554,MATCH(O$2,Totalt!$B$1:$AQ$1,0),FALSE),"")</f>
        <v>0</v>
      </c>
      <c r="P280" s="173">
        <f>IFERROR(VLOOKUP($B280,Totalt!$B$1:$AQ$554,MATCH(P$2,Totalt!$B$1:$AQ$1,0),FALSE),"")</f>
        <v>0</v>
      </c>
      <c r="Q280" s="173">
        <f>IFERROR(VLOOKUP($B280,Totalt!$B$1:$AQ$554,MATCH(Q$2,Totalt!$B$1:$AQ$1,0),FALSE),"")</f>
        <v>0</v>
      </c>
      <c r="R280" s="173">
        <f>IFERROR(VLOOKUP($B280,Totalt!$B$1:$AQ$554,MATCH(R$2,Totalt!$B$1:$AQ$1,0),FALSE),"")</f>
        <v>10.32</v>
      </c>
      <c r="S280" s="173">
        <f>IFERROR(VLOOKUP($B280,Totalt!$B$1:$AQ$554,MATCH(S$2,Totalt!$B$1:$AQ$1,0),FALSE),"")</f>
        <v>0</v>
      </c>
      <c r="T280" s="173">
        <f>IFERROR(VLOOKUP($B280,Totalt!$B$1:$AQ$554,MATCH(T$2,Totalt!$B$1:$AQ$1,0),FALSE),"")</f>
        <v>0</v>
      </c>
      <c r="U280" s="173">
        <f>IFERROR(VLOOKUP($B280,Totalt!$B$1:$AQ$554,MATCH(U$2,Totalt!$B$1:$AQ$1,0),FALSE),"")</f>
        <v>0</v>
      </c>
      <c r="V280" s="173">
        <f>IFERROR(VLOOKUP($B280,Totalt!$B$1:$AQ$554,MATCH(V$2,Totalt!$B$1:$AQ$1,0),FALSE),"")</f>
        <v>0</v>
      </c>
      <c r="W280" s="173">
        <f>IFERROR(VLOOKUP($B280,Totalt!$B$1:$AQ$554,MATCH(W$2,Totalt!$B$1:$AQ$1,0),FALSE),"")</f>
        <v>0</v>
      </c>
      <c r="X280" s="173">
        <f>IFERROR(VLOOKUP($B280,Totalt!$B$1:$AQ$554,MATCH(X$2,Totalt!$B$1:$AQ$1,0),FALSE),"")</f>
        <v>0</v>
      </c>
      <c r="Y280" s="173">
        <f>IFERROR(VLOOKUP($B280,Totalt!$B$1:$AQ$554,MATCH(Y$2,Totalt!$B$1:$AQ$1,0),FALSE),"")</f>
        <v>0</v>
      </c>
      <c r="Z280" s="173">
        <f>IFERROR(VLOOKUP($B280,Totalt!$B$1:$AQ$554,MATCH(Z$2,Totalt!$B$1:$AQ$1,0),FALSE),"")</f>
        <v>0</v>
      </c>
      <c r="AA280" s="173">
        <f>IFERROR(VLOOKUP($B280,Totalt!$B$1:$AQ$554,MATCH(AA$2,Totalt!$B$1:$AQ$1,0),FALSE),"")</f>
        <v>0</v>
      </c>
      <c r="AB280" s="173">
        <f>IFERROR(VLOOKUP($B280,Totalt!$B$1:$AQ$554,MATCH(AB$2,Totalt!$B$1:$AQ$1,0),FALSE),"")</f>
        <v>0</v>
      </c>
      <c r="AC280" s="173">
        <f>IFERROR(VLOOKUP($B280,Totalt!$B$1:$AQ$554,MATCH(AC$2,Totalt!$B$1:$AQ$1,0),FALSE),"")</f>
        <v>0</v>
      </c>
      <c r="AD280" s="173">
        <f>IFERROR(VLOOKUP($B280,Totalt!$B$1:$AQ$554,MATCH(AD$2,Totalt!$B$1:$AQ$1,0),FALSE),"")</f>
        <v>0</v>
      </c>
      <c r="AE280" s="173">
        <f>IFERROR(VLOOKUP($B280,Totalt!$B$1:$AQ$554,MATCH(AE$2,Totalt!$B$1:$AQ$1,0),FALSE),"")</f>
        <v>0</v>
      </c>
      <c r="AF280" s="173">
        <f>IFERROR(VLOOKUP($B280,Totalt!$B$1:$AQ$554,MATCH(AF$2,Totalt!$B$1:$AQ$1,0),FALSE),"")</f>
        <v>0.29699999999999999</v>
      </c>
      <c r="AG280" s="173">
        <f>IFERROR(VLOOKUP($B280,Totalt!$B$1:$AQ$554,MATCH(AG$2,Totalt!$B$1:$AQ$1,0),FALSE),"")</f>
        <v>0</v>
      </c>
      <c r="AI280" s="226">
        <f t="shared" si="24"/>
        <v>10.647</v>
      </c>
      <c r="AJ280" s="226">
        <f>IF(ISERROR(1/VLOOKUP($B280,Leveranser!$B$1:$S$500,MATCH("såld värme (gwh)",Leveranser!$B$1:$S$1,0),FALSE)),"",VLOOKUP($B280,Leveranser!$B$1:$S$500,MATCH("såld värme (gwh)",Leveranser!$B$1:$S$1,0),FALSE))</f>
        <v>7.41</v>
      </c>
      <c r="AM280" s="227" t="str">
        <f>IF(B280&lt;&gt;"",IF(VLOOKUP($B280,Totalt!$B$1:$AQ$554,MATCH("Kvalitetsgranskad:",Totalt!$B$1:$AQ$1,0),FALSE)="ja",VLOOKUP($B280,Miljö!$B$1:$AG$479,MATCH(AM$2,Miljö!$B$1:$AK$1,0),FALSE),""),"")</f>
        <v>Ja</v>
      </c>
      <c r="AN280" s="227" t="str">
        <f>IF(AM280="ja",VLOOKUP($B280,Miljö!$B$1:$J$479,MATCH("Typ av ursprungsspecificerad el   (Om inget värde anges används Nordisk residualmix, se inforuta) ()",Miljö!$B$1:$J$1,0),FALSE),IF(AM280="nej","Nordisk residualel",""))</f>
        <v>'sol. vind. vatten. bio'</v>
      </c>
      <c r="AO280" s="227">
        <f>IF(AM280="","",VLOOKUP($B280,Miljö!$B$1:$J$479,MATCH("Fossilandel för ursprungspecificerad el ()",Miljö!$B$1:$J$1,0),FALSE))</f>
        <v>0</v>
      </c>
      <c r="AP280" s="227">
        <f>IF(AM280="","",IFERROR(VLOOKUP($B280,Miljö!$B$1:$J$479,MATCH("Kärnkraftsandel för ursprungsspecificerad el ()",Miljö!$B$1:$J$1,0),FALSE)/1,0))</f>
        <v>0</v>
      </c>
      <c r="AQ280" s="227">
        <f t="shared" si="25"/>
        <v>1</v>
      </c>
      <c r="AR280" s="227"/>
      <c r="AS280" s="227" t="str">
        <f t="shared" si="26"/>
        <v>Nej</v>
      </c>
      <c r="AT280" s="227" t="str">
        <f>IF(AS280="ja",VLOOKUP($B280,Miljö!$B$1:$O$500,MATCH("Fossil andel i procent (%)",Miljö!$B$1:$O$1,0),FALSE)/100,"")</f>
        <v/>
      </c>
      <c r="AU280" s="227"/>
      <c r="AV280" s="227" t="str">
        <f t="shared" si="27"/>
        <v>Nej</v>
      </c>
      <c r="AW280" s="227" t="str">
        <f>IF(AV280="ja",VLOOKUP($B280,'Egen hetvattenprod'!$B$1:$AO$500,MATCH("Värmekälla till värmepumpar ()",'Egen hetvattenprod'!$B$1:$AO$1,0),FALSE),"")</f>
        <v/>
      </c>
      <c r="AX280" s="227"/>
      <c r="AY280" s="227" t="str">
        <f t="shared" si="28"/>
        <v>Nej</v>
      </c>
      <c r="AZ280" s="228" t="str">
        <f>IF($AY280="ja",(VLOOKUP($B280,'Egen hetvattenprod'!$B$1:$BX$550,MATCH(AZ$2,'Egen hetvattenprod'!$B$1:$BX$1,0),FALSE)+VLOOKUP($B280,Kraftvärmeprod!$B$1:$BX$550,MATCH(AZ$2,Kraftvärmeprod!$B$1:$BX$1,0),FALSE))/$AC280,"")</f>
        <v/>
      </c>
      <c r="BA280" s="228" t="str">
        <f>IF($AY280="ja",(VLOOKUP($B280,'Egen hetvattenprod'!$B$1:$BX$550,MATCH(BA$2,'Egen hetvattenprod'!$B$1:$BX$1,0),FALSE)+VLOOKUP($B280,Kraftvärmeprod!$B$1:$BX$550,MATCH(BA$2,Kraftvärmeprod!$B$1:$BX$1,0),FALSE))/$AC280,"")</f>
        <v/>
      </c>
      <c r="BB280" s="228" t="str">
        <f>IF($AY280="ja",(VLOOKUP($B280,'Egen hetvattenprod'!$B$1:$BX$550,MATCH(BB$2,'Egen hetvattenprod'!$B$1:$BX$1,0),FALSE)+VLOOKUP($B280,Kraftvärmeprod!$B$1:$BX$550,MATCH(BB$2,Kraftvärmeprod!$B$1:$BX$1,0),FALSE))/$AC280,"")</f>
        <v/>
      </c>
      <c r="BC280" s="228" t="str">
        <f>IF($AY280="ja",(VLOOKUP($B280,'Egen hetvattenprod'!$B$1:$BX$550,MATCH(BC$2,'Egen hetvattenprod'!$B$1:$BX$1,0),FALSE)+VLOOKUP($B280,Kraftvärmeprod!$B$1:$BX$550,MATCH(BC$2,Kraftvärmeprod!$B$1:$BX$1,0),FALSE))/$AC280,"")</f>
        <v/>
      </c>
      <c r="BD280" s="228" t="str">
        <f>IF($AY280="ja",(VLOOKUP($B280,'Egen hetvattenprod'!$B$1:$BX$550,MATCH(BD$2,'Egen hetvattenprod'!$B$1:$BX$1,0),FALSE)+VLOOKUP($B280,Kraftvärmeprod!$B$1:$BX$550,MATCH(BD$2,Kraftvärmeprod!$B$1:$BX$1,0),FALSE))/$AC280,"")</f>
        <v/>
      </c>
      <c r="BE280" s="227"/>
      <c r="BF280" s="227" t="str">
        <f t="shared" si="29"/>
        <v>Nej</v>
      </c>
      <c r="BG280" s="227" t="str">
        <f>IF($BF280="ja",VLOOKUP($B280,'Egen hetvattenprod'!$B$1:$BX$550,MATCH("Andelen klimatgaser med fossilt ursprung för avfall ()",'Egen hetvattenprod'!$B$1:$BX$1,0),FALSE),"")</f>
        <v/>
      </c>
      <c r="BH280" s="227" t="str">
        <f>IF($BF280="ja",VLOOKUP($B280,Kraftvärmeprod!$B$1:$BX$550,MATCH("Andelen klimatgaser med fossilt ursprung för avfall ()",Kraftvärmeprod!$B$1:$BX$1,0),FALSE),"")</f>
        <v/>
      </c>
      <c r="BI280" s="227" t="str">
        <f>IF($BF280="ja",VLOOKUP($B280,'Egen hetvattenprod'!$B$1:$BX$550,MATCH("Avfall (GWh)",'Egen hetvattenprod'!$B$1:$BX$1,0),FALSE),"")</f>
        <v/>
      </c>
      <c r="BJ280" s="227" t="str">
        <f>IF($BF280="ja",VLOOKUP($B280,'Slutlig allokering kvv'!$B$1:$BX$550,MATCH("Avfall (GWh)",'Slutlig allokering kvv'!$B$1:$BX$1,0),FALSE),"")</f>
        <v/>
      </c>
      <c r="BK280" s="227" t="str">
        <f>IF($BF280="ja",VLOOKUP($B280,'Köpt hetvatten'!$B$1:$BX$550,MATCH("Avfall i köpt hetvatten",'Köpt hetvatten'!$B$1:$BX$1,0),FALSE),"")</f>
        <v/>
      </c>
      <c r="BL280" s="227" t="str">
        <f>IF($BF280="ja",VLOOKUP($B280,'Egen hetvattenprod'!$B$1:$BX$550,MATCH("Värde enligt ovan. (%)",'Egen hetvattenprod'!$B$1:$BX$1,0),FALSE),"")</f>
        <v/>
      </c>
      <c r="BM280" s="227" t="str">
        <f>IF($BF280="ja",VLOOKUP($B280,Kraftvärmeprod!$B$1:$BX$550,MATCH("Värde enligt ovan. (%)",Kraftvärmeprod!$B$1:$BX$1,0),FALSE),"")</f>
        <v/>
      </c>
      <c r="BN280" s="227"/>
      <c r="BO280" s="227"/>
      <c r="BP280" s="227"/>
      <c r="BQ280" s="227" t="str">
        <f>IF($BF280="ja",VLOOKUP($B280,'Egen hetvattenprod'!$B$1:$BX$550,MATCH("Tillförd olja (fossil) vid avfallsförbränning (GWh)",'Egen hetvattenprod'!$B$1:$BX$1,0),FALSE),"")</f>
        <v/>
      </c>
      <c r="BR280" s="227" t="str">
        <f>IF($BF280="ja",VLOOKUP($B280,Kraftvärmeprod!$B$1:$BX$550,MATCH("Tillförd olja (fossil) vid avfallsförbränning (GWh)",Kraftvärmeprod!$B$1:$BX$1,0),FALSE),"")</f>
        <v/>
      </c>
      <c r="BS280" s="227"/>
      <c r="BT280" s="227"/>
      <c r="BU280" s="227"/>
    </row>
    <row r="281" spans="1:73" x14ac:dyDescent="0.25">
      <c r="A281" s="121" t="str">
        <f>'Miljövärden för publ företag'!B284</f>
        <v>Umeå Energi AB</v>
      </c>
      <c r="B281" s="121" t="str">
        <f>'Miljövärden för publ företag'!C284</f>
        <v>Sävar</v>
      </c>
      <c r="C281" s="173">
        <f>IFERROR(VLOOKUP($B281,Totalt!$B$1:$AQ$554,MATCH(C$2,Totalt!$B$1:$AQ$1,0),FALSE),"")</f>
        <v>0</v>
      </c>
      <c r="D281" s="173">
        <f>IFERROR(VLOOKUP($B281,Totalt!$B$1:$AQ$554,MATCH(D$2,Totalt!$B$1:$AQ$1,0),FALSE),"")</f>
        <v>0.39</v>
      </c>
      <c r="E281" s="173">
        <f>IFERROR(VLOOKUP($B281,Totalt!$B$1:$AQ$554,MATCH(E$2,Totalt!$B$1:$AQ$1,0),FALSE),"")</f>
        <v>0</v>
      </c>
      <c r="F281" s="173">
        <f>IFERROR(VLOOKUP($B281,Totalt!$B$1:$AQ$554,MATCH(F$2,Totalt!$B$1:$AQ$1,0),FALSE),"")</f>
        <v>0</v>
      </c>
      <c r="G281" s="173">
        <f>IFERROR(VLOOKUP($B281,Totalt!$B$1:$AQ$554,MATCH(G$2,Totalt!$B$1:$AQ$1,0),FALSE),"")</f>
        <v>0</v>
      </c>
      <c r="H281" s="173">
        <f>IFERROR(VLOOKUP($B281,Totalt!$B$1:$AQ$554,MATCH(H$2,Totalt!$B$1:$AQ$1,0),FALSE),"")</f>
        <v>0</v>
      </c>
      <c r="I281" s="173">
        <f>IFERROR(VLOOKUP($B281,Totalt!$B$1:$AQ$554,MATCH(I$2,Totalt!$B$1:$AQ$1,0),FALSE),"")</f>
        <v>0</v>
      </c>
      <c r="J281" s="173">
        <f>IFERROR(VLOOKUP($B281,Totalt!$B$1:$AQ$554,MATCH(J$2,Totalt!$B$1:$AQ$1,0),FALSE),"")</f>
        <v>0</v>
      </c>
      <c r="K281" s="173">
        <f>IFERROR(VLOOKUP($B281,Totalt!$B$1:$AQ$554,MATCH(K$2,Totalt!$B$1:$AQ$1,0),FALSE),"")</f>
        <v>0</v>
      </c>
      <c r="L281" s="173">
        <f>IFERROR(VLOOKUP($B281,Totalt!$B$1:$AQ$554,MATCH(L$2,Totalt!$B$1:$AQ$1,0),FALSE),"")</f>
        <v>0</v>
      </c>
      <c r="M281" s="173">
        <f>IFERROR(VLOOKUP($B281,Totalt!$B$1:$AQ$554,MATCH(M$2,Totalt!$B$1:$AQ$1,0),FALSE),"")</f>
        <v>0</v>
      </c>
      <c r="N281" s="173">
        <f>IFERROR(VLOOKUP($B281,Totalt!$B$1:$AQ$554,MATCH(N$2,Totalt!$B$1:$AQ$1,0),FALSE),"")</f>
        <v>0</v>
      </c>
      <c r="O281" s="173">
        <f>IFERROR(VLOOKUP($B281,Totalt!$B$1:$AQ$554,MATCH(O$2,Totalt!$B$1:$AQ$1,0),FALSE),"")</f>
        <v>0</v>
      </c>
      <c r="P281" s="173">
        <f>IFERROR(VLOOKUP($B281,Totalt!$B$1:$AQ$554,MATCH(P$2,Totalt!$B$1:$AQ$1,0),FALSE),"")</f>
        <v>0</v>
      </c>
      <c r="Q281" s="173">
        <f>IFERROR(VLOOKUP($B281,Totalt!$B$1:$AQ$554,MATCH(Q$2,Totalt!$B$1:$AQ$1,0),FALSE),"")</f>
        <v>10.676500000000001</v>
      </c>
      <c r="R281" s="173">
        <f>IFERROR(VLOOKUP($B281,Totalt!$B$1:$AQ$554,MATCH(R$2,Totalt!$B$1:$AQ$1,0),FALSE),"")</f>
        <v>0</v>
      </c>
      <c r="S281" s="173">
        <f>IFERROR(VLOOKUP($B281,Totalt!$B$1:$AQ$554,MATCH(S$2,Totalt!$B$1:$AQ$1,0),FALSE),"")</f>
        <v>0</v>
      </c>
      <c r="T281" s="173">
        <f>IFERROR(VLOOKUP($B281,Totalt!$B$1:$AQ$554,MATCH(T$2,Totalt!$B$1:$AQ$1,0),FALSE),"")</f>
        <v>0</v>
      </c>
      <c r="U281" s="173">
        <f>IFERROR(VLOOKUP($B281,Totalt!$B$1:$AQ$554,MATCH(U$2,Totalt!$B$1:$AQ$1,0),FALSE),"")</f>
        <v>0</v>
      </c>
      <c r="V281" s="173">
        <f>IFERROR(VLOOKUP($B281,Totalt!$B$1:$AQ$554,MATCH(V$2,Totalt!$B$1:$AQ$1,0),FALSE),"")</f>
        <v>0</v>
      </c>
      <c r="W281" s="173">
        <f>IFERROR(VLOOKUP($B281,Totalt!$B$1:$AQ$554,MATCH(W$2,Totalt!$B$1:$AQ$1,0),FALSE),"")</f>
        <v>0</v>
      </c>
      <c r="X281" s="173">
        <f>IFERROR(VLOOKUP($B281,Totalt!$B$1:$AQ$554,MATCH(X$2,Totalt!$B$1:$AQ$1,0),FALSE),"")</f>
        <v>0</v>
      </c>
      <c r="Y281" s="173">
        <f>IFERROR(VLOOKUP($B281,Totalt!$B$1:$AQ$554,MATCH(Y$2,Totalt!$B$1:$AQ$1,0),FALSE),"")</f>
        <v>0</v>
      </c>
      <c r="Z281" s="173">
        <f>IFERROR(VLOOKUP($B281,Totalt!$B$1:$AQ$554,MATCH(Z$2,Totalt!$B$1:$AQ$1,0),FALSE),"")</f>
        <v>0</v>
      </c>
      <c r="AA281" s="173">
        <f>IFERROR(VLOOKUP($B281,Totalt!$B$1:$AQ$554,MATCH(AA$2,Totalt!$B$1:$AQ$1,0),FALSE),"")</f>
        <v>0</v>
      </c>
      <c r="AB281" s="173">
        <f>IFERROR(VLOOKUP($B281,Totalt!$B$1:$AQ$554,MATCH(AB$2,Totalt!$B$1:$AQ$1,0),FALSE),"")</f>
        <v>0</v>
      </c>
      <c r="AC281" s="173">
        <f>IFERROR(VLOOKUP($B281,Totalt!$B$1:$AQ$554,MATCH(AC$2,Totalt!$B$1:$AQ$1,0),FALSE),"")</f>
        <v>0</v>
      </c>
      <c r="AD281" s="173">
        <f>IFERROR(VLOOKUP($B281,Totalt!$B$1:$AQ$554,MATCH(AD$2,Totalt!$B$1:$AQ$1,0),FALSE),"")</f>
        <v>0</v>
      </c>
      <c r="AE281" s="173">
        <f>IFERROR(VLOOKUP($B281,Totalt!$B$1:$AQ$554,MATCH(AE$2,Totalt!$B$1:$AQ$1,0),FALSE),"")</f>
        <v>0</v>
      </c>
      <c r="AF281" s="173">
        <f>IFERROR(VLOOKUP($B281,Totalt!$B$1:$AQ$554,MATCH(AF$2,Totalt!$B$1:$AQ$1,0),FALSE),"")</f>
        <v>3.4000000000000002E-2</v>
      </c>
      <c r="AG281" s="173">
        <f>IFERROR(VLOOKUP($B281,Totalt!$B$1:$AQ$554,MATCH(AG$2,Totalt!$B$1:$AQ$1,0),FALSE),"")</f>
        <v>0</v>
      </c>
      <c r="AI281" s="226">
        <f t="shared" si="24"/>
        <v>11.100500000000002</v>
      </c>
      <c r="AJ281" s="226">
        <f>IF(ISERROR(1/VLOOKUP($B281,Leveranser!$B$1:$S$500,MATCH("såld värme (gwh)",Leveranser!$B$1:$S$1,0),FALSE)),"",VLOOKUP($B281,Leveranser!$B$1:$S$500,MATCH("såld värme (gwh)",Leveranser!$B$1:$S$1,0),FALSE))</f>
        <v>7.54</v>
      </c>
      <c r="AM281" s="227" t="str">
        <f>IF(B281&lt;&gt;"",IF(VLOOKUP($B281,Totalt!$B$1:$AQ$554,MATCH("Kvalitetsgranskad:",Totalt!$B$1:$AQ$1,0),FALSE)="ja",VLOOKUP($B281,Miljö!$B$1:$AG$479,MATCH(AM$2,Miljö!$B$1:$AK$1,0),FALSE),""),"")</f>
        <v>Ja</v>
      </c>
      <c r="AN281" s="227" t="str">
        <f>IF(AM281="ja",VLOOKUP($B281,Miljö!$B$1:$J$479,MATCH("Typ av ursprungsspecificerad el   (Om inget värde anges används Nordisk residualmix, se inforuta) ()",Miljö!$B$1:$J$1,0),FALSE),IF(AM281="nej","Nordisk residualel",""))</f>
        <v>'sol. vind. vatten. bio'</v>
      </c>
      <c r="AO281" s="227">
        <f>IF(AM281="","",VLOOKUP($B281,Miljö!$B$1:$J$479,MATCH("Fossilandel för ursprungspecificerad el ()",Miljö!$B$1:$J$1,0),FALSE))</f>
        <v>0</v>
      </c>
      <c r="AP281" s="227">
        <f>IF(AM281="","",IFERROR(VLOOKUP($B281,Miljö!$B$1:$J$479,MATCH("Kärnkraftsandel för ursprungsspecificerad el ()",Miljö!$B$1:$J$1,0),FALSE)/1,0))</f>
        <v>0</v>
      </c>
      <c r="AQ281" s="227">
        <f t="shared" si="25"/>
        <v>1</v>
      </c>
      <c r="AR281" s="227"/>
      <c r="AS281" s="227" t="str">
        <f t="shared" si="26"/>
        <v>Nej</v>
      </c>
      <c r="AT281" s="227" t="str">
        <f>IF(AS281="ja",VLOOKUP($B281,Miljö!$B$1:$O$500,MATCH("Fossil andel i procent (%)",Miljö!$B$1:$O$1,0),FALSE)/100,"")</f>
        <v/>
      </c>
      <c r="AU281" s="227"/>
      <c r="AV281" s="227" t="str">
        <f t="shared" si="27"/>
        <v>Nej</v>
      </c>
      <c r="AW281" s="227" t="str">
        <f>IF(AV281="ja",VLOOKUP($B281,'Egen hetvattenprod'!$B$1:$AO$500,MATCH("Värmekälla till värmepumpar ()",'Egen hetvattenprod'!$B$1:$AO$1,0),FALSE),"")</f>
        <v/>
      </c>
      <c r="AX281" s="227"/>
      <c r="AY281" s="227" t="str">
        <f t="shared" si="28"/>
        <v>Nej</v>
      </c>
      <c r="AZ281" s="228" t="str">
        <f>IF($AY281="ja",(VLOOKUP($B281,'Egen hetvattenprod'!$B$1:$BX$550,MATCH(AZ$2,'Egen hetvattenprod'!$B$1:$BX$1,0),FALSE)+VLOOKUP($B281,Kraftvärmeprod!$B$1:$BX$550,MATCH(AZ$2,Kraftvärmeprod!$B$1:$BX$1,0),FALSE))/$AC281,"")</f>
        <v/>
      </c>
      <c r="BA281" s="228" t="str">
        <f>IF($AY281="ja",(VLOOKUP($B281,'Egen hetvattenprod'!$B$1:$BX$550,MATCH(BA$2,'Egen hetvattenprod'!$B$1:$BX$1,0),FALSE)+VLOOKUP($B281,Kraftvärmeprod!$B$1:$BX$550,MATCH(BA$2,Kraftvärmeprod!$B$1:$BX$1,0),FALSE))/$AC281,"")</f>
        <v/>
      </c>
      <c r="BB281" s="228" t="str">
        <f>IF($AY281="ja",(VLOOKUP($B281,'Egen hetvattenprod'!$B$1:$BX$550,MATCH(BB$2,'Egen hetvattenprod'!$B$1:$BX$1,0),FALSE)+VLOOKUP($B281,Kraftvärmeprod!$B$1:$BX$550,MATCH(BB$2,Kraftvärmeprod!$B$1:$BX$1,0),FALSE))/$AC281,"")</f>
        <v/>
      </c>
      <c r="BC281" s="228" t="str">
        <f>IF($AY281="ja",(VLOOKUP($B281,'Egen hetvattenprod'!$B$1:$BX$550,MATCH(BC$2,'Egen hetvattenprod'!$B$1:$BX$1,0),FALSE)+VLOOKUP($B281,Kraftvärmeprod!$B$1:$BX$550,MATCH(BC$2,Kraftvärmeprod!$B$1:$BX$1,0),FALSE))/$AC281,"")</f>
        <v/>
      </c>
      <c r="BD281" s="228" t="str">
        <f>IF($AY281="ja",(VLOOKUP($B281,'Egen hetvattenprod'!$B$1:$BX$550,MATCH(BD$2,'Egen hetvattenprod'!$B$1:$BX$1,0),FALSE)+VLOOKUP($B281,Kraftvärmeprod!$B$1:$BX$550,MATCH(BD$2,Kraftvärmeprod!$B$1:$BX$1,0),FALSE))/$AC281,"")</f>
        <v/>
      </c>
      <c r="BE281" s="227"/>
      <c r="BF281" s="227" t="str">
        <f t="shared" si="29"/>
        <v>Nej</v>
      </c>
      <c r="BG281" s="227" t="str">
        <f>IF($BF281="ja",VLOOKUP($B281,'Egen hetvattenprod'!$B$1:$BX$550,MATCH("Andelen klimatgaser med fossilt ursprung för avfall ()",'Egen hetvattenprod'!$B$1:$BX$1,0),FALSE),"")</f>
        <v/>
      </c>
      <c r="BH281" s="227" t="str">
        <f>IF($BF281="ja",VLOOKUP($B281,Kraftvärmeprod!$B$1:$BX$550,MATCH("Andelen klimatgaser med fossilt ursprung för avfall ()",Kraftvärmeprod!$B$1:$BX$1,0),FALSE),"")</f>
        <v/>
      </c>
      <c r="BI281" s="227" t="str">
        <f>IF($BF281="ja",VLOOKUP($B281,'Egen hetvattenprod'!$B$1:$BX$550,MATCH("Avfall (GWh)",'Egen hetvattenprod'!$B$1:$BX$1,0),FALSE),"")</f>
        <v/>
      </c>
      <c r="BJ281" s="227" t="str">
        <f>IF($BF281="ja",VLOOKUP($B281,'Slutlig allokering kvv'!$B$1:$BX$550,MATCH("Avfall (GWh)",'Slutlig allokering kvv'!$B$1:$BX$1,0),FALSE),"")</f>
        <v/>
      </c>
      <c r="BK281" s="227" t="str">
        <f>IF($BF281="ja",VLOOKUP($B281,'Köpt hetvatten'!$B$1:$BX$550,MATCH("Avfall i köpt hetvatten",'Köpt hetvatten'!$B$1:$BX$1,0),FALSE),"")</f>
        <v/>
      </c>
      <c r="BL281" s="227" t="str">
        <f>IF($BF281="ja",VLOOKUP($B281,'Egen hetvattenprod'!$B$1:$BX$550,MATCH("Värde enligt ovan. (%)",'Egen hetvattenprod'!$B$1:$BX$1,0),FALSE),"")</f>
        <v/>
      </c>
      <c r="BM281" s="227" t="str">
        <f>IF($BF281="ja",VLOOKUP($B281,Kraftvärmeprod!$B$1:$BX$550,MATCH("Värde enligt ovan. (%)",Kraftvärmeprod!$B$1:$BX$1,0),FALSE),"")</f>
        <v/>
      </c>
      <c r="BN281" s="227"/>
      <c r="BO281" s="227"/>
      <c r="BP281" s="227"/>
      <c r="BQ281" s="227" t="str">
        <f>IF($BF281="ja",VLOOKUP($B281,'Egen hetvattenprod'!$B$1:$BX$550,MATCH("Tillförd olja (fossil) vid avfallsförbränning (GWh)",'Egen hetvattenprod'!$B$1:$BX$1,0),FALSE),"")</f>
        <v/>
      </c>
      <c r="BR281" s="227" t="str">
        <f>IF($BF281="ja",VLOOKUP($B281,Kraftvärmeprod!$B$1:$BX$550,MATCH("Tillförd olja (fossil) vid avfallsförbränning (GWh)",Kraftvärmeprod!$B$1:$BX$1,0),FALSE),"")</f>
        <v/>
      </c>
      <c r="BS281" s="227"/>
      <c r="BT281" s="227"/>
      <c r="BU281" s="227"/>
    </row>
    <row r="282" spans="1:73" x14ac:dyDescent="0.25">
      <c r="A282" s="121" t="str">
        <f>'Miljövärden för publ företag'!B285</f>
        <v>Umeå Energi AB</v>
      </c>
      <c r="B282" s="121" t="str">
        <f>'Miljövärden för publ företag'!C285</f>
        <v>Umeå</v>
      </c>
      <c r="C282" s="173">
        <f>IFERROR(VLOOKUP($B282,Totalt!$B$1:$AQ$554,MATCH(C$2,Totalt!$B$1:$AQ$1,0),FALSE),"")</f>
        <v>0</v>
      </c>
      <c r="D282" s="173">
        <f>IFERROR(VLOOKUP($B282,Totalt!$B$1:$AQ$554,MATCH(D$2,Totalt!$B$1:$AQ$1,0),FALSE),"")</f>
        <v>32.049999999999997</v>
      </c>
      <c r="E282" s="173">
        <f>IFERROR(VLOOKUP($B282,Totalt!$B$1:$AQ$554,MATCH(E$2,Totalt!$B$1:$AQ$1,0),FALSE),"")</f>
        <v>0</v>
      </c>
      <c r="F282" s="173">
        <f>IFERROR(VLOOKUP($B282,Totalt!$B$1:$AQ$554,MATCH(F$2,Totalt!$B$1:$AQ$1,0),FALSE),"")</f>
        <v>0</v>
      </c>
      <c r="G282" s="173">
        <f>IFERROR(VLOOKUP($B282,Totalt!$B$1:$AQ$554,MATCH(G$2,Totalt!$B$1:$AQ$1,0),FALSE),"")</f>
        <v>0</v>
      </c>
      <c r="H282" s="173">
        <f>IFERROR(VLOOKUP($B282,Totalt!$B$1:$AQ$554,MATCH(H$2,Totalt!$B$1:$AQ$1,0),FALSE),"")</f>
        <v>0</v>
      </c>
      <c r="I282" s="173">
        <f>IFERROR(VLOOKUP($B282,Totalt!$B$1:$AQ$554,MATCH(I$2,Totalt!$B$1:$AQ$1,0),FALSE),"")</f>
        <v>254.3</v>
      </c>
      <c r="J282" s="173">
        <f>IFERROR(VLOOKUP($B282,Totalt!$B$1:$AQ$554,MATCH(J$2,Totalt!$B$1:$AQ$1,0),FALSE),"")</f>
        <v>0</v>
      </c>
      <c r="K282" s="173">
        <f>IFERROR(VLOOKUP($B282,Totalt!$B$1:$AQ$554,MATCH(K$2,Totalt!$B$1:$AQ$1,0),FALSE),"")</f>
        <v>0</v>
      </c>
      <c r="L282" s="173">
        <f>IFERROR(VLOOKUP($B282,Totalt!$B$1:$AQ$554,MATCH(L$2,Totalt!$B$1:$AQ$1,0),FALSE),"")</f>
        <v>90.942999999999998</v>
      </c>
      <c r="M282" s="173">
        <f>IFERROR(VLOOKUP($B282,Totalt!$B$1:$AQ$554,MATCH(M$2,Totalt!$B$1:$AQ$1,0),FALSE),"")</f>
        <v>115.86</v>
      </c>
      <c r="N282" s="173">
        <f>IFERROR(VLOOKUP($B282,Totalt!$B$1:$AQ$554,MATCH(N$2,Totalt!$B$1:$AQ$1,0),FALSE),"")</f>
        <v>1.9</v>
      </c>
      <c r="O282" s="173">
        <f>IFERROR(VLOOKUP($B282,Totalt!$B$1:$AQ$554,MATCH(O$2,Totalt!$B$1:$AQ$1,0),FALSE),"")</f>
        <v>48.7</v>
      </c>
      <c r="P282" s="173">
        <f>IFERROR(VLOOKUP($B282,Totalt!$B$1:$AQ$554,MATCH(P$2,Totalt!$B$1:$AQ$1,0),FALSE),"")</f>
        <v>81.599999999999994</v>
      </c>
      <c r="Q282" s="173">
        <f>IFERROR(VLOOKUP($B282,Totalt!$B$1:$AQ$554,MATCH(Q$2,Totalt!$B$1:$AQ$1,0),FALSE),"")</f>
        <v>28.5</v>
      </c>
      <c r="R282" s="173">
        <f>IFERROR(VLOOKUP($B282,Totalt!$B$1:$AQ$554,MATCH(R$2,Totalt!$B$1:$AQ$1,0),FALSE),"")</f>
        <v>12.33</v>
      </c>
      <c r="S282" s="173">
        <f>IFERROR(VLOOKUP($B282,Totalt!$B$1:$AQ$554,MATCH(S$2,Totalt!$B$1:$AQ$1,0),FALSE),"")</f>
        <v>0</v>
      </c>
      <c r="T282" s="173">
        <f>IFERROR(VLOOKUP($B282,Totalt!$B$1:$AQ$554,MATCH(T$2,Totalt!$B$1:$AQ$1,0),FALSE),"")</f>
        <v>0</v>
      </c>
      <c r="U282" s="173">
        <f>IFERROR(VLOOKUP($B282,Totalt!$B$1:$AQ$554,MATCH(U$2,Totalt!$B$1:$AQ$1,0),FALSE),"")</f>
        <v>0</v>
      </c>
      <c r="V282" s="173">
        <f>IFERROR(VLOOKUP($B282,Totalt!$B$1:$AQ$554,MATCH(V$2,Totalt!$B$1:$AQ$1,0),FALSE),"")</f>
        <v>0</v>
      </c>
      <c r="W282" s="173">
        <f>IFERROR(VLOOKUP($B282,Totalt!$B$1:$AQ$554,MATCH(W$2,Totalt!$B$1:$AQ$1,0),FALSE),"")</f>
        <v>5.899</v>
      </c>
      <c r="X282" s="173">
        <f>IFERROR(VLOOKUP($B282,Totalt!$B$1:$AQ$554,MATCH(X$2,Totalt!$B$1:$AQ$1,0),FALSE),"")</f>
        <v>0</v>
      </c>
      <c r="Y282" s="173">
        <f>IFERROR(VLOOKUP($B282,Totalt!$B$1:$AQ$554,MATCH(Y$2,Totalt!$B$1:$AQ$1,0),FALSE),"")</f>
        <v>39.5</v>
      </c>
      <c r="Z282" s="173">
        <f>IFERROR(VLOOKUP($B282,Totalt!$B$1:$AQ$554,MATCH(Z$2,Totalt!$B$1:$AQ$1,0),FALSE),"")</f>
        <v>8.83</v>
      </c>
      <c r="AA282" s="173">
        <f>IFERROR(VLOOKUP($B282,Totalt!$B$1:$AQ$554,MATCH(AA$2,Totalt!$B$1:$AQ$1,0),FALSE),"")</f>
        <v>16.350000000000001</v>
      </c>
      <c r="AB282" s="173">
        <f>IFERROR(VLOOKUP($B282,Totalt!$B$1:$AQ$554,MATCH(AB$2,Totalt!$B$1:$AQ$1,0),FALSE),"")</f>
        <v>30.8811</v>
      </c>
      <c r="AC282" s="173">
        <f>IFERROR(VLOOKUP($B282,Totalt!$B$1:$AQ$554,MATCH(AC$2,Totalt!$B$1:$AQ$1,0),FALSE),"")</f>
        <v>168.2</v>
      </c>
      <c r="AD282" s="173">
        <f>IFERROR(VLOOKUP($B282,Totalt!$B$1:$AQ$554,MATCH(AD$2,Totalt!$B$1:$AQ$1,0),FALSE),"")</f>
        <v>0</v>
      </c>
      <c r="AE282" s="173">
        <f>IFERROR(VLOOKUP($B282,Totalt!$B$1:$AQ$554,MATCH(AE$2,Totalt!$B$1:$AQ$1,0),FALSE),"")</f>
        <v>0.46117599999999997</v>
      </c>
      <c r="AF282" s="173">
        <f>IFERROR(VLOOKUP($B282,Totalt!$B$1:$AQ$554,MATCH(AF$2,Totalt!$B$1:$AQ$1,0),FALSE),"")</f>
        <v>34.232700000000001</v>
      </c>
      <c r="AG282" s="173">
        <f>IFERROR(VLOOKUP($B282,Totalt!$B$1:$AQ$554,MATCH(AG$2,Totalt!$B$1:$AQ$1,0),FALSE),"")</f>
        <v>0</v>
      </c>
      <c r="AI282" s="226">
        <f t="shared" si="24"/>
        <v>970.5369760000001</v>
      </c>
      <c r="AJ282" s="226">
        <f>IF(ISERROR(1/VLOOKUP($B282,Leveranser!$B$1:$S$500,MATCH("såld värme (gwh)",Leveranser!$B$1:$S$1,0),FALSE)),"",VLOOKUP($B282,Leveranser!$B$1:$S$500,MATCH("såld värme (gwh)",Leveranser!$B$1:$S$1,0),FALSE))</f>
        <v>854.3</v>
      </c>
      <c r="AM282" s="227" t="str">
        <f>IF(B282&lt;&gt;"",IF(VLOOKUP($B282,Totalt!$B$1:$AQ$554,MATCH("Kvalitetsgranskad:",Totalt!$B$1:$AQ$1,0),FALSE)="ja",VLOOKUP($B282,Miljö!$B$1:$AG$479,MATCH(AM$2,Miljö!$B$1:$AK$1,0),FALSE),""),"")</f>
        <v>Ja</v>
      </c>
      <c r="AN282" s="227" t="str">
        <f>IF(AM282="ja",VLOOKUP($B282,Miljö!$B$1:$J$479,MATCH("Typ av ursprungsspecificerad el   (Om inget värde anges används Nordisk residualmix, se inforuta) ()",Miljö!$B$1:$J$1,0),FALSE),IF(AM282="nej","Nordisk residualel",""))</f>
        <v>'sol. vind. vatten. bio'</v>
      </c>
      <c r="AO282" s="227">
        <f>IF(AM282="","",VLOOKUP($B282,Miljö!$B$1:$J$479,MATCH("Fossilandel för ursprungspecificerad el ()",Miljö!$B$1:$J$1,0),FALSE))</f>
        <v>0</v>
      </c>
      <c r="AP282" s="227">
        <f>IF(AM282="","",IFERROR(VLOOKUP($B282,Miljö!$B$1:$J$479,MATCH("Kärnkraftsandel för ursprungsspecificerad el ()",Miljö!$B$1:$J$1,0),FALSE)/1,0))</f>
        <v>0</v>
      </c>
      <c r="AQ282" s="227">
        <f t="shared" si="25"/>
        <v>1</v>
      </c>
      <c r="AR282" s="227"/>
      <c r="AS282" s="227" t="str">
        <f t="shared" si="26"/>
        <v>Nej</v>
      </c>
      <c r="AT282" s="227" t="str">
        <f>IF(AS282="ja",VLOOKUP($B282,Miljö!$B$1:$O$500,MATCH("Fossil andel i procent (%)",Miljö!$B$1:$O$1,0),FALSE)/100,"")</f>
        <v/>
      </c>
      <c r="AU282" s="227"/>
      <c r="AV282" s="227" t="str">
        <f t="shared" si="27"/>
        <v>Ja</v>
      </c>
      <c r="AW282" s="227" t="str">
        <f>IF(AV282="ja",VLOOKUP($B282,'Egen hetvattenprod'!$B$1:$AO$500,MATCH("Värmekälla till värmepumpar ()",'Egen hetvattenprod'!$B$1:$AO$1,0),FALSE),"")</f>
        <v>Lågtempererad spillvärme</v>
      </c>
      <c r="AX282" s="227"/>
      <c r="AY282" s="227" t="str">
        <f t="shared" si="28"/>
        <v>Ja</v>
      </c>
      <c r="AZ282" s="228">
        <f>IF($AY282="ja",(VLOOKUP($B282,'Egen hetvattenprod'!$B$1:$BX$550,MATCH(AZ$2,'Egen hetvattenprod'!$B$1:$BX$1,0),FALSE)+VLOOKUP($B282,Kraftvärmeprod!$B$1:$BX$550,MATCH(AZ$2,Kraftvärmeprod!$B$1:$BX$1,0),FALSE))/$AC282,"")</f>
        <v>0.55500000000000005</v>
      </c>
      <c r="BA282" s="228">
        <f>IF($AY282="ja",(VLOOKUP($B282,'Egen hetvattenprod'!$B$1:$BX$550,MATCH(BA$2,'Egen hetvattenprod'!$B$1:$BX$1,0),FALSE)+VLOOKUP($B282,Kraftvärmeprod!$B$1:$BX$550,MATCH(BA$2,Kraftvärmeprod!$B$1:$BX$1,0),FALSE))/$AC282,"")</f>
        <v>0.35</v>
      </c>
      <c r="BB282" s="228">
        <f>IF($AY282="ja",(VLOOKUP($B282,'Egen hetvattenprod'!$B$1:$BX$550,MATCH(BB$2,'Egen hetvattenprod'!$B$1:$BX$1,0),FALSE)+VLOOKUP($B282,Kraftvärmeprod!$B$1:$BX$550,MATCH(BB$2,Kraftvärmeprod!$B$1:$BX$1,0),FALSE))/$AC282,"")</f>
        <v>5.0000000000000001E-3</v>
      </c>
      <c r="BC282" s="228">
        <f>IF($AY282="ja",(VLOOKUP($B282,'Egen hetvattenprod'!$B$1:$BX$550,MATCH(BC$2,'Egen hetvattenprod'!$B$1:$BX$1,0),FALSE)+VLOOKUP($B282,Kraftvärmeprod!$B$1:$BX$550,MATCH(BC$2,Kraftvärmeprod!$B$1:$BX$1,0),FALSE))/$AC282,"")</f>
        <v>9.5000000000000001E-2</v>
      </c>
      <c r="BD282" s="228">
        <f>IF($AY282="ja",(VLOOKUP($B282,'Egen hetvattenprod'!$B$1:$BX$550,MATCH(BD$2,'Egen hetvattenprod'!$B$1:$BX$1,0),FALSE)+VLOOKUP($B282,Kraftvärmeprod!$B$1:$BX$550,MATCH(BD$2,Kraftvärmeprod!$B$1:$BX$1,0),FALSE))/$AC282,"")</f>
        <v>0</v>
      </c>
      <c r="BE282" s="227"/>
      <c r="BF282" s="227" t="str">
        <f t="shared" si="29"/>
        <v>Ja</v>
      </c>
      <c r="BG282" s="227" t="str">
        <f>IF($BF282="ja",VLOOKUP($B282,'Egen hetvattenprod'!$B$1:$BX$550,MATCH("Andelen klimatgaser med fossilt ursprung för avfall ()",'Egen hetvattenprod'!$B$1:$BX$1,0),FALSE),"")</f>
        <v>Ingen redovisning</v>
      </c>
      <c r="BH282" s="227" t="str">
        <f>IF($BF282="ja",VLOOKUP($B282,Kraftvärmeprod!$B$1:$BX$550,MATCH("Andelen klimatgaser med fossilt ursprung för avfall ()",Kraftvärmeprod!$B$1:$BX$1,0),FALSE),"")</f>
        <v>Mätvärde</v>
      </c>
      <c r="BI282" s="227" t="str">
        <f>IF($BF282="ja",VLOOKUP($B282,'Egen hetvattenprod'!$B$1:$BX$550,MATCH("Avfall (GWh)",'Egen hetvattenprod'!$B$1:$BX$1,0),FALSE),"")</f>
        <v>ET</v>
      </c>
      <c r="BJ282" s="227">
        <f>IF($BF282="ja",VLOOKUP($B282,'Slutlig allokering kvv'!$B$1:$BX$550,MATCH("Avfall (GWh)",'Slutlig allokering kvv'!$B$1:$BX$1,0),FALSE),"")</f>
        <v>254.3</v>
      </c>
      <c r="BK282" s="227">
        <f>IF($BF282="ja",VLOOKUP($B282,'Köpt hetvatten'!$B$1:$BX$550,MATCH("Avfall i köpt hetvatten",'Köpt hetvatten'!$B$1:$BX$1,0),FALSE),"")</f>
        <v>0</v>
      </c>
      <c r="BL282" s="227" t="str">
        <f>IF($BF282="ja",VLOOKUP($B282,'Egen hetvattenprod'!$B$1:$BX$550,MATCH("Värde enligt ovan. (%)",'Egen hetvattenprod'!$B$1:$BX$1,0),FALSE),"")</f>
        <v>ET</v>
      </c>
      <c r="BM282" s="227">
        <f>IF($BF282="ja",VLOOKUP($B282,Kraftvärmeprod!$B$1:$BX$550,MATCH("Värde enligt ovan. (%)",Kraftvärmeprod!$B$1:$BX$1,0),FALSE),"")</f>
        <v>39.799999999999997</v>
      </c>
      <c r="BN282" s="227"/>
      <c r="BO282" s="227"/>
      <c r="BP282" s="227"/>
      <c r="BQ282" s="227" t="str">
        <f>IF($BF282="ja",VLOOKUP($B282,'Egen hetvattenprod'!$B$1:$BX$550,MATCH("Tillförd olja (fossil) vid avfallsförbränning (GWh)",'Egen hetvattenprod'!$B$1:$BX$1,0),FALSE),"")</f>
        <v>ET</v>
      </c>
      <c r="BR282" s="227">
        <f>IF($BF282="ja",VLOOKUP($B282,Kraftvärmeprod!$B$1:$BX$550,MATCH("Tillförd olja (fossil) vid avfallsförbränning (GWh)",Kraftvärmeprod!$B$1:$BX$1,0),FALSE),"")</f>
        <v>8.9</v>
      </c>
      <c r="BS282" s="227"/>
      <c r="BT282" s="227"/>
      <c r="BU282" s="227"/>
    </row>
    <row r="283" spans="1:73" x14ac:dyDescent="0.25">
      <c r="A283" s="121" t="str">
        <f>'Miljövärden för publ företag'!B286</f>
        <v>Vaggeryds Energi AB</v>
      </c>
      <c r="B283" s="121" t="str">
        <f>'Miljövärden för publ företag'!C286</f>
        <v>Skillingaryd</v>
      </c>
      <c r="C283" s="173">
        <f>IFERROR(VLOOKUP($B283,Totalt!$B$1:$AQ$554,MATCH(C$2,Totalt!$B$1:$AQ$1,0),FALSE),"")</f>
        <v>0</v>
      </c>
      <c r="D283" s="173">
        <f>IFERROR(VLOOKUP($B283,Totalt!$B$1:$AQ$554,MATCH(D$2,Totalt!$B$1:$AQ$1,0),FALSE),"")</f>
        <v>0.87</v>
      </c>
      <c r="E283" s="173">
        <f>IFERROR(VLOOKUP($B283,Totalt!$B$1:$AQ$554,MATCH(E$2,Totalt!$B$1:$AQ$1,0),FALSE),"")</f>
        <v>0</v>
      </c>
      <c r="F283" s="173">
        <f>IFERROR(VLOOKUP($B283,Totalt!$B$1:$AQ$554,MATCH(F$2,Totalt!$B$1:$AQ$1,0),FALSE),"")</f>
        <v>0</v>
      </c>
      <c r="G283" s="173">
        <f>IFERROR(VLOOKUP($B283,Totalt!$B$1:$AQ$554,MATCH(G$2,Totalt!$B$1:$AQ$1,0),FALSE),"")</f>
        <v>0</v>
      </c>
      <c r="H283" s="173">
        <f>IFERROR(VLOOKUP($B283,Totalt!$B$1:$AQ$554,MATCH(H$2,Totalt!$B$1:$AQ$1,0),FALSE),"")</f>
        <v>0</v>
      </c>
      <c r="I283" s="173">
        <f>IFERROR(VLOOKUP($B283,Totalt!$B$1:$AQ$554,MATCH(I$2,Totalt!$B$1:$AQ$1,0),FALSE),"")</f>
        <v>0</v>
      </c>
      <c r="J283" s="173">
        <f>IFERROR(VLOOKUP($B283,Totalt!$B$1:$AQ$554,MATCH(J$2,Totalt!$B$1:$AQ$1,0),FALSE),"")</f>
        <v>0</v>
      </c>
      <c r="K283" s="173">
        <f>IFERROR(VLOOKUP($B283,Totalt!$B$1:$AQ$554,MATCH(K$2,Totalt!$B$1:$AQ$1,0),FALSE),"")</f>
        <v>0</v>
      </c>
      <c r="L283" s="173">
        <f>IFERROR(VLOOKUP($B283,Totalt!$B$1:$AQ$554,MATCH(L$2,Totalt!$B$1:$AQ$1,0),FALSE),"")</f>
        <v>0</v>
      </c>
      <c r="M283" s="173">
        <f>IFERROR(VLOOKUP($B283,Totalt!$B$1:$AQ$554,MATCH(M$2,Totalt!$B$1:$AQ$1,0),FALSE),"")</f>
        <v>0.53</v>
      </c>
      <c r="N283" s="173">
        <f>IFERROR(VLOOKUP($B283,Totalt!$B$1:$AQ$554,MATCH(N$2,Totalt!$B$1:$AQ$1,0),FALSE),"")</f>
        <v>7.0170000000000003</v>
      </c>
      <c r="O283" s="173">
        <f>IFERROR(VLOOKUP($B283,Totalt!$B$1:$AQ$554,MATCH(O$2,Totalt!$B$1:$AQ$1,0),FALSE),"")</f>
        <v>0</v>
      </c>
      <c r="P283" s="173">
        <f>IFERROR(VLOOKUP($B283,Totalt!$B$1:$AQ$554,MATCH(P$2,Totalt!$B$1:$AQ$1,0),FALSE),"")</f>
        <v>2.6440000000000001</v>
      </c>
      <c r="Q283" s="173">
        <f>IFERROR(VLOOKUP($B283,Totalt!$B$1:$AQ$554,MATCH(Q$2,Totalt!$B$1:$AQ$1,0),FALSE),"")</f>
        <v>5.78</v>
      </c>
      <c r="R283" s="173">
        <f>IFERROR(VLOOKUP($B283,Totalt!$B$1:$AQ$554,MATCH(R$2,Totalt!$B$1:$AQ$1,0),FALSE),"")</f>
        <v>10.63</v>
      </c>
      <c r="S283" s="173">
        <f>IFERROR(VLOOKUP($B283,Totalt!$B$1:$AQ$554,MATCH(S$2,Totalt!$B$1:$AQ$1,0),FALSE),"")</f>
        <v>0</v>
      </c>
      <c r="T283" s="173">
        <f>IFERROR(VLOOKUP($B283,Totalt!$B$1:$AQ$554,MATCH(T$2,Totalt!$B$1:$AQ$1,0),FALSE),"")</f>
        <v>0</v>
      </c>
      <c r="U283" s="173">
        <f>IFERROR(VLOOKUP($B283,Totalt!$B$1:$AQ$554,MATCH(U$2,Totalt!$B$1:$AQ$1,0),FALSE),"")</f>
        <v>0</v>
      </c>
      <c r="V283" s="173">
        <f>IFERROR(VLOOKUP($B283,Totalt!$B$1:$AQ$554,MATCH(V$2,Totalt!$B$1:$AQ$1,0),FALSE),"")</f>
        <v>0</v>
      </c>
      <c r="W283" s="173">
        <f>IFERROR(VLOOKUP($B283,Totalt!$B$1:$AQ$554,MATCH(W$2,Totalt!$B$1:$AQ$1,0),FALSE),"")</f>
        <v>0</v>
      </c>
      <c r="X283" s="173">
        <f>IFERROR(VLOOKUP($B283,Totalt!$B$1:$AQ$554,MATCH(X$2,Totalt!$B$1:$AQ$1,0),FALSE),"")</f>
        <v>0</v>
      </c>
      <c r="Y283" s="173">
        <f>IFERROR(VLOOKUP($B283,Totalt!$B$1:$AQ$554,MATCH(Y$2,Totalt!$B$1:$AQ$1,0),FALSE),"")</f>
        <v>0.9</v>
      </c>
      <c r="Z283" s="173">
        <f>IFERROR(VLOOKUP($B283,Totalt!$B$1:$AQ$554,MATCH(Z$2,Totalt!$B$1:$AQ$1,0),FALSE),"")</f>
        <v>0</v>
      </c>
      <c r="AA283" s="173">
        <f>IFERROR(VLOOKUP($B283,Totalt!$B$1:$AQ$554,MATCH(AA$2,Totalt!$B$1:$AQ$1,0),FALSE),"")</f>
        <v>0</v>
      </c>
      <c r="AB283" s="173">
        <f>IFERROR(VLOOKUP($B283,Totalt!$B$1:$AQ$554,MATCH(AB$2,Totalt!$B$1:$AQ$1,0),FALSE),"")</f>
        <v>0</v>
      </c>
      <c r="AC283" s="173">
        <f>IFERROR(VLOOKUP($B283,Totalt!$B$1:$AQ$554,MATCH(AC$2,Totalt!$B$1:$AQ$1,0),FALSE),"")</f>
        <v>1.7330000000000001</v>
      </c>
      <c r="AD283" s="173">
        <f>IFERROR(VLOOKUP($B283,Totalt!$B$1:$AQ$554,MATCH(AD$2,Totalt!$B$1:$AQ$1,0),FALSE),"")</f>
        <v>0</v>
      </c>
      <c r="AE283" s="173">
        <f>IFERROR(VLOOKUP($B283,Totalt!$B$1:$AQ$554,MATCH(AE$2,Totalt!$B$1:$AQ$1,0),FALSE),"")</f>
        <v>0</v>
      </c>
      <c r="AF283" s="173">
        <f>IFERROR(VLOOKUP($B283,Totalt!$B$1:$AQ$554,MATCH(AF$2,Totalt!$B$1:$AQ$1,0),FALSE),"")</f>
        <v>0.56699999999999995</v>
      </c>
      <c r="AG283" s="173">
        <f>IFERROR(VLOOKUP($B283,Totalt!$B$1:$AQ$554,MATCH(AG$2,Totalt!$B$1:$AQ$1,0),FALSE),"")</f>
        <v>0</v>
      </c>
      <c r="AI283" s="226">
        <f t="shared" si="24"/>
        <v>30.671000000000003</v>
      </c>
      <c r="AJ283" s="226">
        <f>IF(ISERROR(1/VLOOKUP($B283,Leveranser!$B$1:$S$500,MATCH("såld värme (gwh)",Leveranser!$B$1:$S$1,0),FALSE)),"",VLOOKUP($B283,Leveranser!$B$1:$S$500,MATCH("såld värme (gwh)",Leveranser!$B$1:$S$1,0),FALSE))</f>
        <v>22.716999999999999</v>
      </c>
      <c r="AM283" s="227" t="str">
        <f>IF(B283&lt;&gt;"",IF(VLOOKUP($B283,Totalt!$B$1:$AQ$554,MATCH("Kvalitetsgranskad:",Totalt!$B$1:$AQ$1,0),FALSE)="ja",VLOOKUP($B283,Miljö!$B$1:$AG$479,MATCH(AM$2,Miljö!$B$1:$AK$1,0),FALSE),""),"")</f>
        <v>Ja</v>
      </c>
      <c r="AN283" s="227" t="str">
        <f>IF(AM283="ja",VLOOKUP($B283,Miljö!$B$1:$J$479,MATCH("Typ av ursprungsspecificerad el   (Om inget värde anges används Nordisk residualmix, se inforuta) ()",Miljö!$B$1:$J$1,0),FALSE),IF(AM283="nej","Nordisk residualel",""))</f>
        <v>'vatten'</v>
      </c>
      <c r="AO283" s="227">
        <f>IF(AM283="","",VLOOKUP($B283,Miljö!$B$1:$J$479,MATCH("Fossilandel för ursprungspecificerad el ()",Miljö!$B$1:$J$1,0),FALSE))</f>
        <v>0</v>
      </c>
      <c r="AP283" s="227">
        <f>IF(AM283="","",IFERROR(VLOOKUP($B283,Miljö!$B$1:$J$479,MATCH("Kärnkraftsandel för ursprungsspecificerad el ()",Miljö!$B$1:$J$1,0),FALSE)/1,0))</f>
        <v>0</v>
      </c>
      <c r="AQ283" s="227">
        <f t="shared" si="25"/>
        <v>1</v>
      </c>
      <c r="AR283" s="227"/>
      <c r="AS283" s="227" t="str">
        <f t="shared" si="26"/>
        <v>Nej</v>
      </c>
      <c r="AT283" s="227" t="str">
        <f>IF(AS283="ja",VLOOKUP($B283,Miljö!$B$1:$O$500,MATCH("Fossil andel i procent (%)",Miljö!$B$1:$O$1,0),FALSE)/100,"")</f>
        <v/>
      </c>
      <c r="AU283" s="227"/>
      <c r="AV283" s="227" t="str">
        <f t="shared" si="27"/>
        <v>Nej</v>
      </c>
      <c r="AW283" s="227" t="str">
        <f>IF(AV283="ja",VLOOKUP($B283,'Egen hetvattenprod'!$B$1:$AO$500,MATCH("Värmekälla till värmepumpar ()",'Egen hetvattenprod'!$B$1:$AO$1,0),FALSE),"")</f>
        <v/>
      </c>
      <c r="AX283" s="227"/>
      <c r="AY283" s="227" t="str">
        <f t="shared" si="28"/>
        <v>Ja</v>
      </c>
      <c r="AZ283" s="228">
        <f>IF($AY283="ja",(VLOOKUP($B283,'Egen hetvattenprod'!$B$1:$BX$550,MATCH(AZ$2,'Egen hetvattenprod'!$B$1:$BX$1,0),FALSE)+VLOOKUP($B283,Kraftvärmeprod!$B$1:$BX$550,MATCH(AZ$2,Kraftvärmeprod!$B$1:$BX$1,0),FALSE))/$AC283,"")</f>
        <v>1</v>
      </c>
      <c r="BA283" s="228">
        <f>IF($AY283="ja",(VLOOKUP($B283,'Egen hetvattenprod'!$B$1:$BX$550,MATCH(BA$2,'Egen hetvattenprod'!$B$1:$BX$1,0),FALSE)+VLOOKUP($B283,Kraftvärmeprod!$B$1:$BX$550,MATCH(BA$2,Kraftvärmeprod!$B$1:$BX$1,0),FALSE))/$AC283,"")</f>
        <v>0</v>
      </c>
      <c r="BB283" s="228">
        <f>IF($AY283="ja",(VLOOKUP($B283,'Egen hetvattenprod'!$B$1:$BX$550,MATCH(BB$2,'Egen hetvattenprod'!$B$1:$BX$1,0),FALSE)+VLOOKUP($B283,Kraftvärmeprod!$B$1:$BX$550,MATCH(BB$2,Kraftvärmeprod!$B$1:$BX$1,0),FALSE))/$AC283,"")</f>
        <v>0</v>
      </c>
      <c r="BC283" s="228">
        <f>IF($AY283="ja",(VLOOKUP($B283,'Egen hetvattenprod'!$B$1:$BX$550,MATCH(BC$2,'Egen hetvattenprod'!$B$1:$BX$1,0),FALSE)+VLOOKUP($B283,Kraftvärmeprod!$B$1:$BX$550,MATCH(BC$2,Kraftvärmeprod!$B$1:$BX$1,0),FALSE))/$AC283,"")</f>
        <v>0</v>
      </c>
      <c r="BD283" s="228">
        <f>IF($AY283="ja",(VLOOKUP($B283,'Egen hetvattenprod'!$B$1:$BX$550,MATCH(BD$2,'Egen hetvattenprod'!$B$1:$BX$1,0),FALSE)+VLOOKUP($B283,Kraftvärmeprod!$B$1:$BX$550,MATCH(BD$2,Kraftvärmeprod!$B$1:$BX$1,0),FALSE))/$AC283,"")</f>
        <v>0</v>
      </c>
      <c r="BE283" s="227"/>
      <c r="BF283" s="227" t="str">
        <f t="shared" si="29"/>
        <v>Nej</v>
      </c>
      <c r="BG283" s="227" t="str">
        <f>IF($BF283="ja",VLOOKUP($B283,'Egen hetvattenprod'!$B$1:$BX$550,MATCH("Andelen klimatgaser med fossilt ursprung för avfall ()",'Egen hetvattenprod'!$B$1:$BX$1,0),FALSE),"")</f>
        <v/>
      </c>
      <c r="BH283" s="227" t="str">
        <f>IF($BF283="ja",VLOOKUP($B283,Kraftvärmeprod!$B$1:$BX$550,MATCH("Andelen klimatgaser med fossilt ursprung för avfall ()",Kraftvärmeprod!$B$1:$BX$1,0),FALSE),"")</f>
        <v/>
      </c>
      <c r="BI283" s="227" t="str">
        <f>IF($BF283="ja",VLOOKUP($B283,'Egen hetvattenprod'!$B$1:$BX$550,MATCH("Avfall (GWh)",'Egen hetvattenprod'!$B$1:$BX$1,0),FALSE),"")</f>
        <v/>
      </c>
      <c r="BJ283" s="227" t="str">
        <f>IF($BF283="ja",VLOOKUP($B283,'Slutlig allokering kvv'!$B$1:$BX$550,MATCH("Avfall (GWh)",'Slutlig allokering kvv'!$B$1:$BX$1,0),FALSE),"")</f>
        <v/>
      </c>
      <c r="BK283" s="227" t="str">
        <f>IF($BF283="ja",VLOOKUP($B283,'Köpt hetvatten'!$B$1:$BX$550,MATCH("Avfall i köpt hetvatten",'Köpt hetvatten'!$B$1:$BX$1,0),FALSE),"")</f>
        <v/>
      </c>
      <c r="BL283" s="227" t="str">
        <f>IF($BF283="ja",VLOOKUP($B283,'Egen hetvattenprod'!$B$1:$BX$550,MATCH("Värde enligt ovan. (%)",'Egen hetvattenprod'!$B$1:$BX$1,0),FALSE),"")</f>
        <v/>
      </c>
      <c r="BM283" s="227" t="str">
        <f>IF($BF283="ja",VLOOKUP($B283,Kraftvärmeprod!$B$1:$BX$550,MATCH("Värde enligt ovan. (%)",Kraftvärmeprod!$B$1:$BX$1,0),FALSE),"")</f>
        <v/>
      </c>
      <c r="BN283" s="227"/>
      <c r="BO283" s="227"/>
      <c r="BP283" s="227"/>
      <c r="BQ283" s="227" t="str">
        <f>IF($BF283="ja",VLOOKUP($B283,'Egen hetvattenprod'!$B$1:$BX$550,MATCH("Tillförd olja (fossil) vid avfallsförbränning (GWh)",'Egen hetvattenprod'!$B$1:$BX$1,0),FALSE),"")</f>
        <v/>
      </c>
      <c r="BR283" s="227" t="str">
        <f>IF($BF283="ja",VLOOKUP($B283,Kraftvärmeprod!$B$1:$BX$550,MATCH("Tillförd olja (fossil) vid avfallsförbränning (GWh)",Kraftvärmeprod!$B$1:$BX$1,0),FALSE),"")</f>
        <v/>
      </c>
      <c r="BS283" s="227"/>
      <c r="BT283" s="227"/>
      <c r="BU283" s="227"/>
    </row>
    <row r="284" spans="1:73" x14ac:dyDescent="0.25">
      <c r="A284" s="121" t="str">
        <f>'Miljövärden för publ företag'!B287</f>
        <v>Vaggeryds Energi AB</v>
      </c>
      <c r="B284" s="121" t="str">
        <f>'Miljövärden för publ företag'!C287</f>
        <v>Vaggeryd</v>
      </c>
      <c r="C284" s="173">
        <f>IFERROR(VLOOKUP($B284,Totalt!$B$1:$AQ$554,MATCH(C$2,Totalt!$B$1:$AQ$1,0),FALSE),"")</f>
        <v>0</v>
      </c>
      <c r="D284" s="173">
        <f>IFERROR(VLOOKUP($B284,Totalt!$B$1:$AQ$554,MATCH(D$2,Totalt!$B$1:$AQ$1,0),FALSE),"")</f>
        <v>0.45200000000000001</v>
      </c>
      <c r="E284" s="173">
        <f>IFERROR(VLOOKUP($B284,Totalt!$B$1:$AQ$554,MATCH(E$2,Totalt!$B$1:$AQ$1,0),FALSE),"")</f>
        <v>0</v>
      </c>
      <c r="F284" s="173">
        <f>IFERROR(VLOOKUP($B284,Totalt!$B$1:$AQ$554,MATCH(F$2,Totalt!$B$1:$AQ$1,0),FALSE),"")</f>
        <v>0</v>
      </c>
      <c r="G284" s="173">
        <f>IFERROR(VLOOKUP($B284,Totalt!$B$1:$AQ$554,MATCH(G$2,Totalt!$B$1:$AQ$1,0),FALSE),"")</f>
        <v>0</v>
      </c>
      <c r="H284" s="173">
        <f>IFERROR(VLOOKUP($B284,Totalt!$B$1:$AQ$554,MATCH(H$2,Totalt!$B$1:$AQ$1,0),FALSE),"")</f>
        <v>0</v>
      </c>
      <c r="I284" s="173">
        <f>IFERROR(VLOOKUP($B284,Totalt!$B$1:$AQ$554,MATCH(I$2,Totalt!$B$1:$AQ$1,0),FALSE),"")</f>
        <v>0</v>
      </c>
      <c r="J284" s="173">
        <f>IFERROR(VLOOKUP($B284,Totalt!$B$1:$AQ$554,MATCH(J$2,Totalt!$B$1:$AQ$1,0),FALSE),"")</f>
        <v>0</v>
      </c>
      <c r="K284" s="173">
        <f>IFERROR(VLOOKUP($B284,Totalt!$B$1:$AQ$554,MATCH(K$2,Totalt!$B$1:$AQ$1,0),FALSE),"")</f>
        <v>0</v>
      </c>
      <c r="L284" s="173">
        <f>IFERROR(VLOOKUP($B284,Totalt!$B$1:$AQ$554,MATCH(L$2,Totalt!$B$1:$AQ$1,0),FALSE),"")</f>
        <v>0</v>
      </c>
      <c r="M284" s="173">
        <f>IFERROR(VLOOKUP($B284,Totalt!$B$1:$AQ$554,MATCH(M$2,Totalt!$B$1:$AQ$1,0),FALSE),"")</f>
        <v>0.56100000000000005</v>
      </c>
      <c r="N284" s="173">
        <f>IFERROR(VLOOKUP($B284,Totalt!$B$1:$AQ$554,MATCH(N$2,Totalt!$B$1:$AQ$1,0),FALSE),"")</f>
        <v>16.212</v>
      </c>
      <c r="O284" s="173">
        <f>IFERROR(VLOOKUP($B284,Totalt!$B$1:$AQ$554,MATCH(O$2,Totalt!$B$1:$AQ$1,0),FALSE),"")</f>
        <v>0</v>
      </c>
      <c r="P284" s="173">
        <f>IFERROR(VLOOKUP($B284,Totalt!$B$1:$AQ$554,MATCH(P$2,Totalt!$B$1:$AQ$1,0),FALSE),"")</f>
        <v>7.423</v>
      </c>
      <c r="Q284" s="173">
        <f>IFERROR(VLOOKUP($B284,Totalt!$B$1:$AQ$554,MATCH(Q$2,Totalt!$B$1:$AQ$1,0),FALSE),"")</f>
        <v>9.8330000000000002</v>
      </c>
      <c r="R284" s="173">
        <f>IFERROR(VLOOKUP($B284,Totalt!$B$1:$AQ$554,MATCH(R$2,Totalt!$B$1:$AQ$1,0),FALSE),"")</f>
        <v>0</v>
      </c>
      <c r="S284" s="173">
        <f>IFERROR(VLOOKUP($B284,Totalt!$B$1:$AQ$554,MATCH(S$2,Totalt!$B$1:$AQ$1,0),FALSE),"")</f>
        <v>0</v>
      </c>
      <c r="T284" s="173">
        <f>IFERROR(VLOOKUP($B284,Totalt!$B$1:$AQ$554,MATCH(T$2,Totalt!$B$1:$AQ$1,0),FALSE),"")</f>
        <v>0</v>
      </c>
      <c r="U284" s="173">
        <f>IFERROR(VLOOKUP($B284,Totalt!$B$1:$AQ$554,MATCH(U$2,Totalt!$B$1:$AQ$1,0),FALSE),"")</f>
        <v>0</v>
      </c>
      <c r="V284" s="173">
        <f>IFERROR(VLOOKUP($B284,Totalt!$B$1:$AQ$554,MATCH(V$2,Totalt!$B$1:$AQ$1,0),FALSE),"")</f>
        <v>0</v>
      </c>
      <c r="W284" s="173">
        <f>IFERROR(VLOOKUP($B284,Totalt!$B$1:$AQ$554,MATCH(W$2,Totalt!$B$1:$AQ$1,0),FALSE),"")</f>
        <v>0</v>
      </c>
      <c r="X284" s="173">
        <f>IFERROR(VLOOKUP($B284,Totalt!$B$1:$AQ$554,MATCH(X$2,Totalt!$B$1:$AQ$1,0),FALSE),"")</f>
        <v>0</v>
      </c>
      <c r="Y284" s="173">
        <f>IFERROR(VLOOKUP($B284,Totalt!$B$1:$AQ$554,MATCH(Y$2,Totalt!$B$1:$AQ$1,0),FALSE),"")</f>
        <v>0.98499999999999999</v>
      </c>
      <c r="Z284" s="173">
        <f>IFERROR(VLOOKUP($B284,Totalt!$B$1:$AQ$554,MATCH(Z$2,Totalt!$B$1:$AQ$1,0),FALSE),"")</f>
        <v>0</v>
      </c>
      <c r="AA284" s="173">
        <f>IFERROR(VLOOKUP($B284,Totalt!$B$1:$AQ$554,MATCH(AA$2,Totalt!$B$1:$AQ$1,0),FALSE),"")</f>
        <v>0</v>
      </c>
      <c r="AB284" s="173">
        <f>IFERROR(VLOOKUP($B284,Totalt!$B$1:$AQ$554,MATCH(AB$2,Totalt!$B$1:$AQ$1,0),FALSE),"")</f>
        <v>0</v>
      </c>
      <c r="AC284" s="173">
        <f>IFERROR(VLOOKUP($B284,Totalt!$B$1:$AQ$554,MATCH(AC$2,Totalt!$B$1:$AQ$1,0),FALSE),"")</f>
        <v>4.1379999999999999</v>
      </c>
      <c r="AD284" s="173">
        <f>IFERROR(VLOOKUP($B284,Totalt!$B$1:$AQ$554,MATCH(AD$2,Totalt!$B$1:$AQ$1,0),FALSE),"")</f>
        <v>0</v>
      </c>
      <c r="AE284" s="173">
        <f>IFERROR(VLOOKUP($B284,Totalt!$B$1:$AQ$554,MATCH(AE$2,Totalt!$B$1:$AQ$1,0),FALSE),"")</f>
        <v>0</v>
      </c>
      <c r="AF284" s="173">
        <f>IFERROR(VLOOKUP($B284,Totalt!$B$1:$AQ$554,MATCH(AF$2,Totalt!$B$1:$AQ$1,0),FALSE),"")</f>
        <v>0.86799999999999999</v>
      </c>
      <c r="AG284" s="173">
        <f>IFERROR(VLOOKUP($B284,Totalt!$B$1:$AQ$554,MATCH(AG$2,Totalt!$B$1:$AQ$1,0),FALSE),"")</f>
        <v>0</v>
      </c>
      <c r="AI284" s="226">
        <f t="shared" si="24"/>
        <v>40.472000000000001</v>
      </c>
      <c r="AJ284" s="226">
        <f>IF(ISERROR(1/VLOOKUP($B284,Leveranser!$B$1:$S$500,MATCH("såld värme (gwh)",Leveranser!$B$1:$S$1,0),FALSE)),"",VLOOKUP($B284,Leveranser!$B$1:$S$500,MATCH("såld värme (gwh)",Leveranser!$B$1:$S$1,0),FALSE))</f>
        <v>30.187000000000001</v>
      </c>
      <c r="AM284" s="227" t="str">
        <f>IF(B284&lt;&gt;"",IF(VLOOKUP($B284,Totalt!$B$1:$AQ$554,MATCH("Kvalitetsgranskad:",Totalt!$B$1:$AQ$1,0),FALSE)="ja",VLOOKUP($B284,Miljö!$B$1:$AG$479,MATCH(AM$2,Miljö!$B$1:$AK$1,0),FALSE),""),"")</f>
        <v>Ja</v>
      </c>
      <c r="AN284" s="227" t="str">
        <f>IF(AM284="ja",VLOOKUP($B284,Miljö!$B$1:$J$479,MATCH("Typ av ursprungsspecificerad el   (Om inget värde anges används Nordisk residualmix, se inforuta) ()",Miljö!$B$1:$J$1,0),FALSE),IF(AM284="nej","Nordisk residualel",""))</f>
        <v>'vatten'</v>
      </c>
      <c r="AO284" s="227">
        <f>IF(AM284="","",VLOOKUP($B284,Miljö!$B$1:$J$479,MATCH("Fossilandel för ursprungspecificerad el ()",Miljö!$B$1:$J$1,0),FALSE))</f>
        <v>0</v>
      </c>
      <c r="AP284" s="227">
        <f>IF(AM284="","",IFERROR(VLOOKUP($B284,Miljö!$B$1:$J$479,MATCH("Kärnkraftsandel för ursprungsspecificerad el ()",Miljö!$B$1:$J$1,0),FALSE)/1,0))</f>
        <v>0</v>
      </c>
      <c r="AQ284" s="227">
        <f t="shared" si="25"/>
        <v>1</v>
      </c>
      <c r="AR284" s="227"/>
      <c r="AS284" s="227" t="str">
        <f t="shared" si="26"/>
        <v>Nej</v>
      </c>
      <c r="AT284" s="227" t="str">
        <f>IF(AS284="ja",VLOOKUP($B284,Miljö!$B$1:$O$500,MATCH("Fossil andel i procent (%)",Miljö!$B$1:$O$1,0),FALSE)/100,"")</f>
        <v/>
      </c>
      <c r="AU284" s="227"/>
      <c r="AV284" s="227" t="str">
        <f t="shared" si="27"/>
        <v>Nej</v>
      </c>
      <c r="AW284" s="227" t="str">
        <f>IF(AV284="ja",VLOOKUP($B284,'Egen hetvattenprod'!$B$1:$AO$500,MATCH("Värmekälla till värmepumpar ()",'Egen hetvattenprod'!$B$1:$AO$1,0),FALSE),"")</f>
        <v/>
      </c>
      <c r="AX284" s="227"/>
      <c r="AY284" s="227" t="str">
        <f t="shared" si="28"/>
        <v>Ja</v>
      </c>
      <c r="AZ284" s="228">
        <f>IF($AY284="ja",(VLOOKUP($B284,'Egen hetvattenprod'!$B$1:$BX$550,MATCH(AZ$2,'Egen hetvattenprod'!$B$1:$BX$1,0),FALSE)+VLOOKUP($B284,Kraftvärmeprod!$B$1:$BX$550,MATCH(AZ$2,Kraftvärmeprod!$B$1:$BX$1,0),FALSE))/$AC284,"")</f>
        <v>1</v>
      </c>
      <c r="BA284" s="228">
        <f>IF($AY284="ja",(VLOOKUP($B284,'Egen hetvattenprod'!$B$1:$BX$550,MATCH(BA$2,'Egen hetvattenprod'!$B$1:$BX$1,0),FALSE)+VLOOKUP($B284,Kraftvärmeprod!$B$1:$BX$550,MATCH(BA$2,Kraftvärmeprod!$B$1:$BX$1,0),FALSE))/$AC284,"")</f>
        <v>0</v>
      </c>
      <c r="BB284" s="228">
        <f>IF($AY284="ja",(VLOOKUP($B284,'Egen hetvattenprod'!$B$1:$BX$550,MATCH(BB$2,'Egen hetvattenprod'!$B$1:$BX$1,0),FALSE)+VLOOKUP($B284,Kraftvärmeprod!$B$1:$BX$550,MATCH(BB$2,Kraftvärmeprod!$B$1:$BX$1,0),FALSE))/$AC284,"")</f>
        <v>0</v>
      </c>
      <c r="BC284" s="228">
        <f>IF($AY284="ja",(VLOOKUP($B284,'Egen hetvattenprod'!$B$1:$BX$550,MATCH(BC$2,'Egen hetvattenprod'!$B$1:$BX$1,0),FALSE)+VLOOKUP($B284,Kraftvärmeprod!$B$1:$BX$550,MATCH(BC$2,Kraftvärmeprod!$B$1:$BX$1,0),FALSE))/$AC284,"")</f>
        <v>0</v>
      </c>
      <c r="BD284" s="228">
        <f>IF($AY284="ja",(VLOOKUP($B284,'Egen hetvattenprod'!$B$1:$BX$550,MATCH(BD$2,'Egen hetvattenprod'!$B$1:$BX$1,0),FALSE)+VLOOKUP($B284,Kraftvärmeprod!$B$1:$BX$550,MATCH(BD$2,Kraftvärmeprod!$B$1:$BX$1,0),FALSE))/$AC284,"")</f>
        <v>0</v>
      </c>
      <c r="BE284" s="227"/>
      <c r="BF284" s="227" t="str">
        <f t="shared" si="29"/>
        <v>Nej</v>
      </c>
      <c r="BG284" s="227" t="str">
        <f>IF($BF284="ja",VLOOKUP($B284,'Egen hetvattenprod'!$B$1:$BX$550,MATCH("Andelen klimatgaser med fossilt ursprung för avfall ()",'Egen hetvattenprod'!$B$1:$BX$1,0),FALSE),"")</f>
        <v/>
      </c>
      <c r="BH284" s="227" t="str">
        <f>IF($BF284="ja",VLOOKUP($B284,Kraftvärmeprod!$B$1:$BX$550,MATCH("Andelen klimatgaser med fossilt ursprung för avfall ()",Kraftvärmeprod!$B$1:$BX$1,0),FALSE),"")</f>
        <v/>
      </c>
      <c r="BI284" s="227" t="str">
        <f>IF($BF284="ja",VLOOKUP($B284,'Egen hetvattenprod'!$B$1:$BX$550,MATCH("Avfall (GWh)",'Egen hetvattenprod'!$B$1:$BX$1,0),FALSE),"")</f>
        <v/>
      </c>
      <c r="BJ284" s="227" t="str">
        <f>IF($BF284="ja",VLOOKUP($B284,'Slutlig allokering kvv'!$B$1:$BX$550,MATCH("Avfall (GWh)",'Slutlig allokering kvv'!$B$1:$BX$1,0),FALSE),"")</f>
        <v/>
      </c>
      <c r="BK284" s="227" t="str">
        <f>IF($BF284="ja",VLOOKUP($B284,'Köpt hetvatten'!$B$1:$BX$550,MATCH("Avfall i köpt hetvatten",'Köpt hetvatten'!$B$1:$BX$1,0),FALSE),"")</f>
        <v/>
      </c>
      <c r="BL284" s="227" t="str">
        <f>IF($BF284="ja",VLOOKUP($B284,'Egen hetvattenprod'!$B$1:$BX$550,MATCH("Värde enligt ovan. (%)",'Egen hetvattenprod'!$B$1:$BX$1,0),FALSE),"")</f>
        <v/>
      </c>
      <c r="BM284" s="227" t="str">
        <f>IF($BF284="ja",VLOOKUP($B284,Kraftvärmeprod!$B$1:$BX$550,MATCH("Värde enligt ovan. (%)",Kraftvärmeprod!$B$1:$BX$1,0),FALSE),"")</f>
        <v/>
      </c>
      <c r="BN284" s="227"/>
      <c r="BO284" s="227"/>
      <c r="BP284" s="227"/>
      <c r="BQ284" s="227" t="str">
        <f>IF($BF284="ja",VLOOKUP($B284,'Egen hetvattenprod'!$B$1:$BX$550,MATCH("Tillförd olja (fossil) vid avfallsförbränning (GWh)",'Egen hetvattenprod'!$B$1:$BX$1,0),FALSE),"")</f>
        <v/>
      </c>
      <c r="BR284" s="227" t="str">
        <f>IF($BF284="ja",VLOOKUP($B284,Kraftvärmeprod!$B$1:$BX$550,MATCH("Tillförd olja (fossil) vid avfallsförbränning (GWh)",Kraftvärmeprod!$B$1:$BX$1,0),FALSE),"")</f>
        <v/>
      </c>
      <c r="BS284" s="227"/>
      <c r="BT284" s="227"/>
      <c r="BU284" s="227"/>
    </row>
    <row r="285" spans="1:73" x14ac:dyDescent="0.25">
      <c r="A285" s="121" t="str">
        <f>'Miljövärden för publ företag'!B288</f>
        <v>Vara Energi Värme AB</v>
      </c>
      <c r="B285" s="121" t="str">
        <f>'Miljövärden för publ företag'!C288</f>
        <v>Vara</v>
      </c>
      <c r="C285" s="173">
        <f>IFERROR(VLOOKUP($B285,Totalt!$B$1:$AQ$554,MATCH(C$2,Totalt!$B$1:$AQ$1,0),FALSE),"")</f>
        <v>0</v>
      </c>
      <c r="D285" s="173">
        <f>IFERROR(VLOOKUP($B285,Totalt!$B$1:$AQ$554,MATCH(D$2,Totalt!$B$1:$AQ$1,0),FALSE),"")</f>
        <v>7.0000000000000001E-3</v>
      </c>
      <c r="E285" s="173">
        <f>IFERROR(VLOOKUP($B285,Totalt!$B$1:$AQ$554,MATCH(E$2,Totalt!$B$1:$AQ$1,0),FALSE),"")</f>
        <v>0</v>
      </c>
      <c r="F285" s="173">
        <f>IFERROR(VLOOKUP($B285,Totalt!$B$1:$AQ$554,MATCH(F$2,Totalt!$B$1:$AQ$1,0),FALSE),"")</f>
        <v>0</v>
      </c>
      <c r="G285" s="173">
        <f>IFERROR(VLOOKUP($B285,Totalt!$B$1:$AQ$554,MATCH(G$2,Totalt!$B$1:$AQ$1,0),FALSE),"")</f>
        <v>0</v>
      </c>
      <c r="H285" s="173">
        <f>IFERROR(VLOOKUP($B285,Totalt!$B$1:$AQ$554,MATCH(H$2,Totalt!$B$1:$AQ$1,0),FALSE),"")</f>
        <v>0</v>
      </c>
      <c r="I285" s="173">
        <f>IFERROR(VLOOKUP($B285,Totalt!$B$1:$AQ$554,MATCH(I$2,Totalt!$B$1:$AQ$1,0),FALSE),"")</f>
        <v>0</v>
      </c>
      <c r="J285" s="173">
        <f>IFERROR(VLOOKUP($B285,Totalt!$B$1:$AQ$554,MATCH(J$2,Totalt!$B$1:$AQ$1,0),FALSE),"")</f>
        <v>0</v>
      </c>
      <c r="K285" s="173">
        <f>IFERROR(VLOOKUP($B285,Totalt!$B$1:$AQ$554,MATCH(K$2,Totalt!$B$1:$AQ$1,0),FALSE),"")</f>
        <v>0</v>
      </c>
      <c r="L285" s="173">
        <f>IFERROR(VLOOKUP($B285,Totalt!$B$1:$AQ$554,MATCH(L$2,Totalt!$B$1:$AQ$1,0),FALSE),"")</f>
        <v>0</v>
      </c>
      <c r="M285" s="173">
        <f>IFERROR(VLOOKUP($B285,Totalt!$B$1:$AQ$554,MATCH(M$2,Totalt!$B$1:$AQ$1,0),FALSE),"")</f>
        <v>6.73</v>
      </c>
      <c r="N285" s="173">
        <f>IFERROR(VLOOKUP($B285,Totalt!$B$1:$AQ$554,MATCH(N$2,Totalt!$B$1:$AQ$1,0),FALSE),"")</f>
        <v>9.0519999999999996</v>
      </c>
      <c r="O285" s="173">
        <f>IFERROR(VLOOKUP($B285,Totalt!$B$1:$AQ$554,MATCH(O$2,Totalt!$B$1:$AQ$1,0),FALSE),"")</f>
        <v>6.1429999999999998</v>
      </c>
      <c r="P285" s="173">
        <f>IFERROR(VLOOKUP($B285,Totalt!$B$1:$AQ$554,MATCH(P$2,Totalt!$B$1:$AQ$1,0),FALSE),"")</f>
        <v>16.548999999999999</v>
      </c>
      <c r="Q285" s="173">
        <f>IFERROR(VLOOKUP($B285,Totalt!$B$1:$AQ$554,MATCH(Q$2,Totalt!$B$1:$AQ$1,0),FALSE),"")</f>
        <v>5.8988199999999997</v>
      </c>
      <c r="R285" s="173">
        <f>IFERROR(VLOOKUP($B285,Totalt!$B$1:$AQ$554,MATCH(R$2,Totalt!$B$1:$AQ$1,0),FALSE),"")</f>
        <v>0</v>
      </c>
      <c r="S285" s="173">
        <f>IFERROR(VLOOKUP($B285,Totalt!$B$1:$AQ$554,MATCH(S$2,Totalt!$B$1:$AQ$1,0),FALSE),"")</f>
        <v>0</v>
      </c>
      <c r="T285" s="173">
        <f>IFERROR(VLOOKUP($B285,Totalt!$B$1:$AQ$554,MATCH(T$2,Totalt!$B$1:$AQ$1,0),FALSE),"")</f>
        <v>0</v>
      </c>
      <c r="U285" s="173">
        <f>IFERROR(VLOOKUP($B285,Totalt!$B$1:$AQ$554,MATCH(U$2,Totalt!$B$1:$AQ$1,0),FALSE),"")</f>
        <v>0</v>
      </c>
      <c r="V285" s="173">
        <f>IFERROR(VLOOKUP($B285,Totalt!$B$1:$AQ$554,MATCH(V$2,Totalt!$B$1:$AQ$1,0),FALSE),"")</f>
        <v>0</v>
      </c>
      <c r="W285" s="173">
        <f>IFERROR(VLOOKUP($B285,Totalt!$B$1:$AQ$554,MATCH(W$2,Totalt!$B$1:$AQ$1,0),FALSE),"")</f>
        <v>0</v>
      </c>
      <c r="X285" s="173">
        <f>IFERROR(VLOOKUP($B285,Totalt!$B$1:$AQ$554,MATCH(X$2,Totalt!$B$1:$AQ$1,0),FALSE),"")</f>
        <v>0</v>
      </c>
      <c r="Y285" s="173">
        <f>IFERROR(VLOOKUP($B285,Totalt!$B$1:$AQ$554,MATCH(Y$2,Totalt!$B$1:$AQ$1,0),FALSE),"")</f>
        <v>0</v>
      </c>
      <c r="Z285" s="173">
        <f>IFERROR(VLOOKUP($B285,Totalt!$B$1:$AQ$554,MATCH(Z$2,Totalt!$B$1:$AQ$1,0),FALSE),"")</f>
        <v>0</v>
      </c>
      <c r="AA285" s="173">
        <f>IFERROR(VLOOKUP($B285,Totalt!$B$1:$AQ$554,MATCH(AA$2,Totalt!$B$1:$AQ$1,0),FALSE),"")</f>
        <v>0</v>
      </c>
      <c r="AB285" s="173">
        <f>IFERROR(VLOOKUP($B285,Totalt!$B$1:$AQ$554,MATCH(AB$2,Totalt!$B$1:$AQ$1,0),FALSE),"")</f>
        <v>0</v>
      </c>
      <c r="AC285" s="173">
        <f>IFERROR(VLOOKUP($B285,Totalt!$B$1:$AQ$554,MATCH(AC$2,Totalt!$B$1:$AQ$1,0),FALSE),"")</f>
        <v>0</v>
      </c>
      <c r="AD285" s="173">
        <f>IFERROR(VLOOKUP($B285,Totalt!$B$1:$AQ$554,MATCH(AD$2,Totalt!$B$1:$AQ$1,0),FALSE),"")</f>
        <v>0</v>
      </c>
      <c r="AE285" s="173">
        <f>IFERROR(VLOOKUP($B285,Totalt!$B$1:$AQ$554,MATCH(AE$2,Totalt!$B$1:$AQ$1,0),FALSE),"")</f>
        <v>0</v>
      </c>
      <c r="AF285" s="173">
        <f>IFERROR(VLOOKUP($B285,Totalt!$B$1:$AQ$554,MATCH(AF$2,Totalt!$B$1:$AQ$1,0),FALSE),"")</f>
        <v>0.54900000000000004</v>
      </c>
      <c r="AG285" s="173">
        <f>IFERROR(VLOOKUP($B285,Totalt!$B$1:$AQ$554,MATCH(AG$2,Totalt!$B$1:$AQ$1,0),FALSE),"")</f>
        <v>0</v>
      </c>
      <c r="AI285" s="226">
        <f t="shared" si="24"/>
        <v>44.928819999999995</v>
      </c>
      <c r="AJ285" s="226">
        <f>IF(ISERROR(1/VLOOKUP($B285,Leveranser!$B$1:$S$500,MATCH("såld värme (gwh)",Leveranser!$B$1:$S$1,0),FALSE)),"",VLOOKUP($B285,Leveranser!$B$1:$S$500,MATCH("såld värme (gwh)",Leveranser!$B$1:$S$1,0),FALSE))</f>
        <v>31.73</v>
      </c>
      <c r="AM285" s="227" t="str">
        <f>IF(B285&lt;&gt;"",IF(VLOOKUP($B285,Totalt!$B$1:$AQ$554,MATCH("Kvalitetsgranskad:",Totalt!$B$1:$AQ$1,0),FALSE)="ja",VLOOKUP($B285,Miljö!$B$1:$AG$479,MATCH(AM$2,Miljö!$B$1:$AK$1,0),FALSE),""),"")</f>
        <v>Ja</v>
      </c>
      <c r="AN285" s="227" t="str">
        <f>IF(AM285="ja",VLOOKUP($B285,Miljö!$B$1:$J$479,MATCH("Typ av ursprungsspecificerad el   (Om inget värde anges används Nordisk residualmix, se inforuta) ()",Miljö!$B$1:$J$1,0),FALSE),IF(AM285="nej","Nordisk residualel",""))</f>
        <v>'Vind'</v>
      </c>
      <c r="AO285" s="227">
        <f>IF(AM285="","",VLOOKUP($B285,Miljö!$B$1:$J$479,MATCH("Fossilandel för ursprungspecificerad el ()",Miljö!$B$1:$J$1,0),FALSE))</f>
        <v>0</v>
      </c>
      <c r="AP285" s="227">
        <f>IF(AM285="","",IFERROR(VLOOKUP($B285,Miljö!$B$1:$J$479,MATCH("Kärnkraftsandel för ursprungsspecificerad el ()",Miljö!$B$1:$J$1,0),FALSE)/1,0))</f>
        <v>0</v>
      </c>
      <c r="AQ285" s="227">
        <f t="shared" si="25"/>
        <v>1</v>
      </c>
      <c r="AR285" s="227"/>
      <c r="AS285" s="227" t="str">
        <f t="shared" si="26"/>
        <v>Nej</v>
      </c>
      <c r="AT285" s="227" t="str">
        <f>IF(AS285="ja",VLOOKUP($B285,Miljö!$B$1:$O$500,MATCH("Fossil andel i procent (%)",Miljö!$B$1:$O$1,0),FALSE)/100,"")</f>
        <v/>
      </c>
      <c r="AU285" s="227"/>
      <c r="AV285" s="227" t="str">
        <f t="shared" si="27"/>
        <v>Nej</v>
      </c>
      <c r="AW285" s="227" t="str">
        <f>IF(AV285="ja",VLOOKUP($B285,'Egen hetvattenprod'!$B$1:$AO$500,MATCH("Värmekälla till värmepumpar ()",'Egen hetvattenprod'!$B$1:$AO$1,0),FALSE),"")</f>
        <v/>
      </c>
      <c r="AX285" s="227"/>
      <c r="AY285" s="227" t="str">
        <f t="shared" si="28"/>
        <v>Nej</v>
      </c>
      <c r="AZ285" s="228" t="str">
        <f>IF($AY285="ja",(VLOOKUP($B285,'Egen hetvattenprod'!$B$1:$BX$550,MATCH(AZ$2,'Egen hetvattenprod'!$B$1:$BX$1,0),FALSE)+VLOOKUP($B285,Kraftvärmeprod!$B$1:$BX$550,MATCH(AZ$2,Kraftvärmeprod!$B$1:$BX$1,0),FALSE))/$AC285,"")</f>
        <v/>
      </c>
      <c r="BA285" s="228" t="str">
        <f>IF($AY285="ja",(VLOOKUP($B285,'Egen hetvattenprod'!$B$1:$BX$550,MATCH(BA$2,'Egen hetvattenprod'!$B$1:$BX$1,0),FALSE)+VLOOKUP($B285,Kraftvärmeprod!$B$1:$BX$550,MATCH(BA$2,Kraftvärmeprod!$B$1:$BX$1,0),FALSE))/$AC285,"")</f>
        <v/>
      </c>
      <c r="BB285" s="228" t="str">
        <f>IF($AY285="ja",(VLOOKUP($B285,'Egen hetvattenprod'!$B$1:$BX$550,MATCH(BB$2,'Egen hetvattenprod'!$B$1:$BX$1,0),FALSE)+VLOOKUP($B285,Kraftvärmeprod!$B$1:$BX$550,MATCH(BB$2,Kraftvärmeprod!$B$1:$BX$1,0),FALSE))/$AC285,"")</f>
        <v/>
      </c>
      <c r="BC285" s="228" t="str">
        <f>IF($AY285="ja",(VLOOKUP($B285,'Egen hetvattenprod'!$B$1:$BX$550,MATCH(BC$2,'Egen hetvattenprod'!$B$1:$BX$1,0),FALSE)+VLOOKUP($B285,Kraftvärmeprod!$B$1:$BX$550,MATCH(BC$2,Kraftvärmeprod!$B$1:$BX$1,0),FALSE))/$AC285,"")</f>
        <v/>
      </c>
      <c r="BD285" s="228" t="str">
        <f>IF($AY285="ja",(VLOOKUP($B285,'Egen hetvattenprod'!$B$1:$BX$550,MATCH(BD$2,'Egen hetvattenprod'!$B$1:$BX$1,0),FALSE)+VLOOKUP($B285,Kraftvärmeprod!$B$1:$BX$550,MATCH(BD$2,Kraftvärmeprod!$B$1:$BX$1,0),FALSE))/$AC285,"")</f>
        <v/>
      </c>
      <c r="BE285" s="227"/>
      <c r="BF285" s="227" t="str">
        <f t="shared" si="29"/>
        <v>Nej</v>
      </c>
      <c r="BG285" s="227" t="str">
        <f>IF($BF285="ja",VLOOKUP($B285,'Egen hetvattenprod'!$B$1:$BX$550,MATCH("Andelen klimatgaser med fossilt ursprung för avfall ()",'Egen hetvattenprod'!$B$1:$BX$1,0),FALSE),"")</f>
        <v/>
      </c>
      <c r="BH285" s="227" t="str">
        <f>IF($BF285="ja",VLOOKUP($B285,Kraftvärmeprod!$B$1:$BX$550,MATCH("Andelen klimatgaser med fossilt ursprung för avfall ()",Kraftvärmeprod!$B$1:$BX$1,0),FALSE),"")</f>
        <v/>
      </c>
      <c r="BI285" s="227" t="str">
        <f>IF($BF285="ja",VLOOKUP($B285,'Egen hetvattenprod'!$B$1:$BX$550,MATCH("Avfall (GWh)",'Egen hetvattenprod'!$B$1:$BX$1,0),FALSE),"")</f>
        <v/>
      </c>
      <c r="BJ285" s="227" t="str">
        <f>IF($BF285="ja",VLOOKUP($B285,'Slutlig allokering kvv'!$B$1:$BX$550,MATCH("Avfall (GWh)",'Slutlig allokering kvv'!$B$1:$BX$1,0),FALSE),"")</f>
        <v/>
      </c>
      <c r="BK285" s="227" t="str">
        <f>IF($BF285="ja",VLOOKUP($B285,'Köpt hetvatten'!$B$1:$BX$550,MATCH("Avfall i köpt hetvatten",'Köpt hetvatten'!$B$1:$BX$1,0),FALSE),"")</f>
        <v/>
      </c>
      <c r="BL285" s="227" t="str">
        <f>IF($BF285="ja",VLOOKUP($B285,'Egen hetvattenprod'!$B$1:$BX$550,MATCH("Värde enligt ovan. (%)",'Egen hetvattenprod'!$B$1:$BX$1,0),FALSE),"")</f>
        <v/>
      </c>
      <c r="BM285" s="227" t="str">
        <f>IF($BF285="ja",VLOOKUP($B285,Kraftvärmeprod!$B$1:$BX$550,MATCH("Värde enligt ovan. (%)",Kraftvärmeprod!$B$1:$BX$1,0),FALSE),"")</f>
        <v/>
      </c>
      <c r="BN285" s="227"/>
      <c r="BO285" s="227"/>
      <c r="BP285" s="227"/>
      <c r="BQ285" s="227" t="str">
        <f>IF($BF285="ja",VLOOKUP($B285,'Egen hetvattenprod'!$B$1:$BX$550,MATCH("Tillförd olja (fossil) vid avfallsförbränning (GWh)",'Egen hetvattenprod'!$B$1:$BX$1,0),FALSE),"")</f>
        <v/>
      </c>
      <c r="BR285" s="227" t="str">
        <f>IF($BF285="ja",VLOOKUP($B285,Kraftvärmeprod!$B$1:$BX$550,MATCH("Tillförd olja (fossil) vid avfallsförbränning (GWh)",Kraftvärmeprod!$B$1:$BX$1,0),FALSE),"")</f>
        <v/>
      </c>
      <c r="BS285" s="227"/>
      <c r="BT285" s="227"/>
      <c r="BU285" s="227"/>
    </row>
    <row r="286" spans="1:73" x14ac:dyDescent="0.25">
      <c r="A286" s="121" t="str">
        <f>'Miljövärden för publ företag'!B289</f>
        <v>Varberg Energi AB</v>
      </c>
      <c r="B286" s="121" t="str">
        <f>'Miljövärden för publ företag'!C289</f>
        <v>Tvååker (Närv)</v>
      </c>
      <c r="C286" s="173">
        <f>IFERROR(VLOOKUP($B286,Totalt!$B$1:$AQ$554,MATCH(C$2,Totalt!$B$1:$AQ$1,0),FALSE),"")</f>
        <v>0</v>
      </c>
      <c r="D286" s="173">
        <f>IFERROR(VLOOKUP($B286,Totalt!$B$1:$AQ$554,MATCH(D$2,Totalt!$B$1:$AQ$1,0),FALSE),"")</f>
        <v>0.126</v>
      </c>
      <c r="E286" s="173">
        <f>IFERROR(VLOOKUP($B286,Totalt!$B$1:$AQ$554,MATCH(E$2,Totalt!$B$1:$AQ$1,0),FALSE),"")</f>
        <v>0</v>
      </c>
      <c r="F286" s="173">
        <f>IFERROR(VLOOKUP($B286,Totalt!$B$1:$AQ$554,MATCH(F$2,Totalt!$B$1:$AQ$1,0),FALSE),"")</f>
        <v>0</v>
      </c>
      <c r="G286" s="173">
        <f>IFERROR(VLOOKUP($B286,Totalt!$B$1:$AQ$554,MATCH(G$2,Totalt!$B$1:$AQ$1,0),FALSE),"")</f>
        <v>0</v>
      </c>
      <c r="H286" s="173">
        <f>IFERROR(VLOOKUP($B286,Totalt!$B$1:$AQ$554,MATCH(H$2,Totalt!$B$1:$AQ$1,0),FALSE),"")</f>
        <v>0</v>
      </c>
      <c r="I286" s="173">
        <f>IFERROR(VLOOKUP($B286,Totalt!$B$1:$AQ$554,MATCH(I$2,Totalt!$B$1:$AQ$1,0),FALSE),"")</f>
        <v>0</v>
      </c>
      <c r="J286" s="173">
        <f>IFERROR(VLOOKUP($B286,Totalt!$B$1:$AQ$554,MATCH(J$2,Totalt!$B$1:$AQ$1,0),FALSE),"")</f>
        <v>0</v>
      </c>
      <c r="K286" s="173">
        <f>IFERROR(VLOOKUP($B286,Totalt!$B$1:$AQ$554,MATCH(K$2,Totalt!$B$1:$AQ$1,0),FALSE),"")</f>
        <v>0</v>
      </c>
      <c r="L286" s="173">
        <f>IFERROR(VLOOKUP($B286,Totalt!$B$1:$AQ$554,MATCH(L$2,Totalt!$B$1:$AQ$1,0),FALSE),"")</f>
        <v>0</v>
      </c>
      <c r="M286" s="173">
        <f>IFERROR(VLOOKUP($B286,Totalt!$B$1:$AQ$554,MATCH(M$2,Totalt!$B$1:$AQ$1,0),FALSE),"")</f>
        <v>0</v>
      </c>
      <c r="N286" s="173">
        <f>IFERROR(VLOOKUP($B286,Totalt!$B$1:$AQ$554,MATCH(N$2,Totalt!$B$1:$AQ$1,0),FALSE),"")</f>
        <v>0</v>
      </c>
      <c r="O286" s="173">
        <f>IFERROR(VLOOKUP($B286,Totalt!$B$1:$AQ$554,MATCH(O$2,Totalt!$B$1:$AQ$1,0),FALSE),"")</f>
        <v>0</v>
      </c>
      <c r="P286" s="173">
        <f>IFERROR(VLOOKUP($B286,Totalt!$B$1:$AQ$554,MATCH(P$2,Totalt!$B$1:$AQ$1,0),FALSE),"")</f>
        <v>0</v>
      </c>
      <c r="Q286" s="173">
        <f>IFERROR(VLOOKUP($B286,Totalt!$B$1:$AQ$554,MATCH(Q$2,Totalt!$B$1:$AQ$1,0),FALSE),"")</f>
        <v>0</v>
      </c>
      <c r="R286" s="173">
        <f>IFERROR(VLOOKUP($B286,Totalt!$B$1:$AQ$554,MATCH(R$2,Totalt!$B$1:$AQ$1,0),FALSE),"")</f>
        <v>6.6369999999999996</v>
      </c>
      <c r="S286" s="173">
        <f>IFERROR(VLOOKUP($B286,Totalt!$B$1:$AQ$554,MATCH(S$2,Totalt!$B$1:$AQ$1,0),FALSE),"")</f>
        <v>0</v>
      </c>
      <c r="T286" s="173">
        <f>IFERROR(VLOOKUP($B286,Totalt!$B$1:$AQ$554,MATCH(T$2,Totalt!$B$1:$AQ$1,0),FALSE),"")</f>
        <v>0</v>
      </c>
      <c r="U286" s="173">
        <f>IFERROR(VLOOKUP($B286,Totalt!$B$1:$AQ$554,MATCH(U$2,Totalt!$B$1:$AQ$1,0),FALSE),"")</f>
        <v>0</v>
      </c>
      <c r="V286" s="173">
        <f>IFERROR(VLOOKUP($B286,Totalt!$B$1:$AQ$554,MATCH(V$2,Totalt!$B$1:$AQ$1,0),FALSE),"")</f>
        <v>0</v>
      </c>
      <c r="W286" s="173">
        <f>IFERROR(VLOOKUP($B286,Totalt!$B$1:$AQ$554,MATCH(W$2,Totalt!$B$1:$AQ$1,0),FALSE),"")</f>
        <v>0</v>
      </c>
      <c r="X286" s="173">
        <f>IFERROR(VLOOKUP($B286,Totalt!$B$1:$AQ$554,MATCH(X$2,Totalt!$B$1:$AQ$1,0),FALSE),"")</f>
        <v>0</v>
      </c>
      <c r="Y286" s="173">
        <f>IFERROR(VLOOKUP($B286,Totalt!$B$1:$AQ$554,MATCH(Y$2,Totalt!$B$1:$AQ$1,0),FALSE),"")</f>
        <v>0</v>
      </c>
      <c r="Z286" s="173">
        <f>IFERROR(VLOOKUP($B286,Totalt!$B$1:$AQ$554,MATCH(Z$2,Totalt!$B$1:$AQ$1,0),FALSE),"")</f>
        <v>0</v>
      </c>
      <c r="AA286" s="173">
        <f>IFERROR(VLOOKUP($B286,Totalt!$B$1:$AQ$554,MATCH(AA$2,Totalt!$B$1:$AQ$1,0),FALSE),"")</f>
        <v>0</v>
      </c>
      <c r="AB286" s="173">
        <f>IFERROR(VLOOKUP($B286,Totalt!$B$1:$AQ$554,MATCH(AB$2,Totalt!$B$1:$AQ$1,0),FALSE),"")</f>
        <v>0</v>
      </c>
      <c r="AC286" s="173">
        <f>IFERROR(VLOOKUP($B286,Totalt!$B$1:$AQ$554,MATCH(AC$2,Totalt!$B$1:$AQ$1,0),FALSE),"")</f>
        <v>0</v>
      </c>
      <c r="AD286" s="173">
        <f>IFERROR(VLOOKUP($B286,Totalt!$B$1:$AQ$554,MATCH(AD$2,Totalt!$B$1:$AQ$1,0),FALSE),"")</f>
        <v>0</v>
      </c>
      <c r="AE286" s="173">
        <f>IFERROR(VLOOKUP($B286,Totalt!$B$1:$AQ$554,MATCH(AE$2,Totalt!$B$1:$AQ$1,0),FALSE),"")</f>
        <v>0</v>
      </c>
      <c r="AF286" s="173">
        <f>IFERROR(VLOOKUP($B286,Totalt!$B$1:$AQ$554,MATCH(AF$2,Totalt!$B$1:$AQ$1,0),FALSE),"")</f>
        <v>9.4E-2</v>
      </c>
      <c r="AG286" s="173">
        <f>IFERROR(VLOOKUP($B286,Totalt!$B$1:$AQ$554,MATCH(AG$2,Totalt!$B$1:$AQ$1,0),FALSE),"")</f>
        <v>0</v>
      </c>
      <c r="AI286" s="226">
        <f t="shared" si="24"/>
        <v>6.8570000000000002</v>
      </c>
      <c r="AJ286" s="226">
        <f>IF(ISERROR(1/VLOOKUP($B286,Leveranser!$B$1:$S$500,MATCH("såld värme (gwh)",Leveranser!$B$1:$S$1,0),FALSE)),"",VLOOKUP($B286,Leveranser!$B$1:$S$500,MATCH("såld värme (gwh)",Leveranser!$B$1:$S$1,0),FALSE))</f>
        <v>4.968</v>
      </c>
      <c r="AM286" s="227" t="str">
        <f>IF(B286&lt;&gt;"",IF(VLOOKUP($B286,Totalt!$B$1:$AQ$554,MATCH("Kvalitetsgranskad:",Totalt!$B$1:$AQ$1,0),FALSE)="ja",VLOOKUP($B286,Miljö!$B$1:$AG$479,MATCH(AM$2,Miljö!$B$1:$AK$1,0),FALSE),""),"")</f>
        <v>Ja</v>
      </c>
      <c r="AN286" s="227" t="str">
        <f>IF(AM286="ja",VLOOKUP($B286,Miljö!$B$1:$J$479,MATCH("Typ av ursprungsspecificerad el   (Om inget värde anges används Nordisk residualmix, se inforuta) ()",Miljö!$B$1:$J$1,0),FALSE),IF(AM286="nej","Nordisk residualel",""))</f>
        <v>'Vind 31% vatten 68% sol 1%'</v>
      </c>
      <c r="AO286" s="227">
        <f>IF(AM286="","",VLOOKUP($B286,Miljö!$B$1:$J$479,MATCH("Fossilandel för ursprungspecificerad el ()",Miljö!$B$1:$J$1,0),FALSE))</f>
        <v>0</v>
      </c>
      <c r="AP286" s="227">
        <f>IF(AM286="","",IFERROR(VLOOKUP($B286,Miljö!$B$1:$J$479,MATCH("Kärnkraftsandel för ursprungsspecificerad el ()",Miljö!$B$1:$J$1,0),FALSE)/1,0))</f>
        <v>0</v>
      </c>
      <c r="AQ286" s="227">
        <f t="shared" si="25"/>
        <v>1</v>
      </c>
      <c r="AR286" s="227"/>
      <c r="AS286" s="227" t="str">
        <f t="shared" si="26"/>
        <v>Nej</v>
      </c>
      <c r="AT286" s="227" t="str">
        <f>IF(AS286="ja",VLOOKUP($B286,Miljö!$B$1:$O$500,MATCH("Fossil andel i procent (%)",Miljö!$B$1:$O$1,0),FALSE)/100,"")</f>
        <v/>
      </c>
      <c r="AU286" s="227"/>
      <c r="AV286" s="227" t="str">
        <f t="shared" si="27"/>
        <v>Nej</v>
      </c>
      <c r="AW286" s="227" t="str">
        <f>IF(AV286="ja",VLOOKUP($B286,'Egen hetvattenprod'!$B$1:$AO$500,MATCH("Värmekälla till värmepumpar ()",'Egen hetvattenprod'!$B$1:$AO$1,0),FALSE),"")</f>
        <v/>
      </c>
      <c r="AX286" s="227"/>
      <c r="AY286" s="227" t="str">
        <f t="shared" si="28"/>
        <v>Nej</v>
      </c>
      <c r="AZ286" s="228" t="str">
        <f>IF($AY286="ja",(VLOOKUP($B286,'Egen hetvattenprod'!$B$1:$BX$550,MATCH(AZ$2,'Egen hetvattenprod'!$B$1:$BX$1,0),FALSE)+VLOOKUP($B286,Kraftvärmeprod!$B$1:$BX$550,MATCH(AZ$2,Kraftvärmeprod!$B$1:$BX$1,0),FALSE))/$AC286,"")</f>
        <v/>
      </c>
      <c r="BA286" s="228" t="str">
        <f>IF($AY286="ja",(VLOOKUP($B286,'Egen hetvattenprod'!$B$1:$BX$550,MATCH(BA$2,'Egen hetvattenprod'!$B$1:$BX$1,0),FALSE)+VLOOKUP($B286,Kraftvärmeprod!$B$1:$BX$550,MATCH(BA$2,Kraftvärmeprod!$B$1:$BX$1,0),FALSE))/$AC286,"")</f>
        <v/>
      </c>
      <c r="BB286" s="228" t="str">
        <f>IF($AY286="ja",(VLOOKUP($B286,'Egen hetvattenprod'!$B$1:$BX$550,MATCH(BB$2,'Egen hetvattenprod'!$B$1:$BX$1,0),FALSE)+VLOOKUP($B286,Kraftvärmeprod!$B$1:$BX$550,MATCH(BB$2,Kraftvärmeprod!$B$1:$BX$1,0),FALSE))/$AC286,"")</f>
        <v/>
      </c>
      <c r="BC286" s="228" t="str">
        <f>IF($AY286="ja",(VLOOKUP($B286,'Egen hetvattenprod'!$B$1:$BX$550,MATCH(BC$2,'Egen hetvattenprod'!$B$1:$BX$1,0),FALSE)+VLOOKUP($B286,Kraftvärmeprod!$B$1:$BX$550,MATCH(BC$2,Kraftvärmeprod!$B$1:$BX$1,0),FALSE))/$AC286,"")</f>
        <v/>
      </c>
      <c r="BD286" s="228" t="str">
        <f>IF($AY286="ja",(VLOOKUP($B286,'Egen hetvattenprod'!$B$1:$BX$550,MATCH(BD$2,'Egen hetvattenprod'!$B$1:$BX$1,0),FALSE)+VLOOKUP($B286,Kraftvärmeprod!$B$1:$BX$550,MATCH(BD$2,Kraftvärmeprod!$B$1:$BX$1,0),FALSE))/$AC286,"")</f>
        <v/>
      </c>
      <c r="BE286" s="227"/>
      <c r="BF286" s="227" t="str">
        <f t="shared" si="29"/>
        <v>Nej</v>
      </c>
      <c r="BG286" s="227" t="str">
        <f>IF($BF286="ja",VLOOKUP($B286,'Egen hetvattenprod'!$B$1:$BX$550,MATCH("Andelen klimatgaser med fossilt ursprung för avfall ()",'Egen hetvattenprod'!$B$1:$BX$1,0),FALSE),"")</f>
        <v/>
      </c>
      <c r="BH286" s="227" t="str">
        <f>IF($BF286="ja",VLOOKUP($B286,Kraftvärmeprod!$B$1:$BX$550,MATCH("Andelen klimatgaser med fossilt ursprung för avfall ()",Kraftvärmeprod!$B$1:$BX$1,0),FALSE),"")</f>
        <v/>
      </c>
      <c r="BI286" s="227" t="str">
        <f>IF($BF286="ja",VLOOKUP($B286,'Egen hetvattenprod'!$B$1:$BX$550,MATCH("Avfall (GWh)",'Egen hetvattenprod'!$B$1:$BX$1,0),FALSE),"")</f>
        <v/>
      </c>
      <c r="BJ286" s="227" t="str">
        <f>IF($BF286="ja",VLOOKUP($B286,'Slutlig allokering kvv'!$B$1:$BX$550,MATCH("Avfall (GWh)",'Slutlig allokering kvv'!$B$1:$BX$1,0),FALSE),"")</f>
        <v/>
      </c>
      <c r="BK286" s="227" t="str">
        <f>IF($BF286="ja",VLOOKUP($B286,'Köpt hetvatten'!$B$1:$BX$550,MATCH("Avfall i köpt hetvatten",'Köpt hetvatten'!$B$1:$BX$1,0),FALSE),"")</f>
        <v/>
      </c>
      <c r="BL286" s="227" t="str">
        <f>IF($BF286="ja",VLOOKUP($B286,'Egen hetvattenprod'!$B$1:$BX$550,MATCH("Värde enligt ovan. (%)",'Egen hetvattenprod'!$B$1:$BX$1,0),FALSE),"")</f>
        <v/>
      </c>
      <c r="BM286" s="227" t="str">
        <f>IF($BF286="ja",VLOOKUP($B286,Kraftvärmeprod!$B$1:$BX$550,MATCH("Värde enligt ovan. (%)",Kraftvärmeprod!$B$1:$BX$1,0),FALSE),"")</f>
        <v/>
      </c>
      <c r="BN286" s="227"/>
      <c r="BO286" s="227"/>
      <c r="BP286" s="227"/>
      <c r="BQ286" s="227" t="str">
        <f>IF($BF286="ja",VLOOKUP($B286,'Egen hetvattenprod'!$B$1:$BX$550,MATCH("Tillförd olja (fossil) vid avfallsförbränning (GWh)",'Egen hetvattenprod'!$B$1:$BX$1,0),FALSE),"")</f>
        <v/>
      </c>
      <c r="BR286" s="227" t="str">
        <f>IF($BF286="ja",VLOOKUP($B286,Kraftvärmeprod!$B$1:$BX$550,MATCH("Tillförd olja (fossil) vid avfallsförbränning (GWh)",Kraftvärmeprod!$B$1:$BX$1,0),FALSE),"")</f>
        <v/>
      </c>
      <c r="BS286" s="227"/>
      <c r="BT286" s="227"/>
      <c r="BU286" s="227"/>
    </row>
    <row r="287" spans="1:73" x14ac:dyDescent="0.25">
      <c r="A287" s="121" t="str">
        <f>'Miljövärden för publ företag'!B290</f>
        <v>Varberg Energi AB</v>
      </c>
      <c r="B287" s="121" t="str">
        <f>'Miljövärden för publ företag'!C290</f>
        <v>Varberg (Fjv)</v>
      </c>
      <c r="C287" s="173">
        <f>IFERROR(VLOOKUP($B287,Totalt!$B$1:$AQ$554,MATCH(C$2,Totalt!$B$1:$AQ$1,0),FALSE),"")</f>
        <v>0</v>
      </c>
      <c r="D287" s="173">
        <f>IFERROR(VLOOKUP($B287,Totalt!$B$1:$AQ$554,MATCH(D$2,Totalt!$B$1:$AQ$1,0),FALSE),"")</f>
        <v>0</v>
      </c>
      <c r="E287" s="173">
        <f>IFERROR(VLOOKUP($B287,Totalt!$B$1:$AQ$554,MATCH(E$2,Totalt!$B$1:$AQ$1,0),FALSE),"")</f>
        <v>0</v>
      </c>
      <c r="F287" s="173">
        <f>IFERROR(VLOOKUP($B287,Totalt!$B$1:$AQ$554,MATCH(F$2,Totalt!$B$1:$AQ$1,0),FALSE),"")</f>
        <v>0</v>
      </c>
      <c r="G287" s="173">
        <f>IFERROR(VLOOKUP($B287,Totalt!$B$1:$AQ$554,MATCH(G$2,Totalt!$B$1:$AQ$1,0),FALSE),"")</f>
        <v>0</v>
      </c>
      <c r="H287" s="173">
        <f>IFERROR(VLOOKUP($B287,Totalt!$B$1:$AQ$554,MATCH(H$2,Totalt!$B$1:$AQ$1,0),FALSE),"")</f>
        <v>0</v>
      </c>
      <c r="I287" s="173">
        <f>IFERROR(VLOOKUP($B287,Totalt!$B$1:$AQ$554,MATCH(I$2,Totalt!$B$1:$AQ$1,0),FALSE),"")</f>
        <v>0</v>
      </c>
      <c r="J287" s="173">
        <f>IFERROR(VLOOKUP($B287,Totalt!$B$1:$AQ$554,MATCH(J$2,Totalt!$B$1:$AQ$1,0),FALSE),"")</f>
        <v>2.415</v>
      </c>
      <c r="K287" s="173">
        <f>IFERROR(VLOOKUP($B287,Totalt!$B$1:$AQ$554,MATCH(K$2,Totalt!$B$1:$AQ$1,0),FALSE),"")</f>
        <v>0</v>
      </c>
      <c r="L287" s="173">
        <f>IFERROR(VLOOKUP($B287,Totalt!$B$1:$AQ$554,MATCH(L$2,Totalt!$B$1:$AQ$1,0),FALSE),"")</f>
        <v>0</v>
      </c>
      <c r="M287" s="173">
        <f>IFERROR(VLOOKUP($B287,Totalt!$B$1:$AQ$554,MATCH(M$2,Totalt!$B$1:$AQ$1,0),FALSE),"")</f>
        <v>10.786</v>
      </c>
      <c r="N287" s="173">
        <f>IFERROR(VLOOKUP($B287,Totalt!$B$1:$AQ$554,MATCH(N$2,Totalt!$B$1:$AQ$1,0),FALSE),"")</f>
        <v>0</v>
      </c>
      <c r="O287" s="173">
        <f>IFERROR(VLOOKUP($B287,Totalt!$B$1:$AQ$554,MATCH(O$2,Totalt!$B$1:$AQ$1,0),FALSE),"")</f>
        <v>0</v>
      </c>
      <c r="P287" s="173">
        <f>IFERROR(VLOOKUP($B287,Totalt!$B$1:$AQ$554,MATCH(P$2,Totalt!$B$1:$AQ$1,0),FALSE),"")</f>
        <v>21.295999999999999</v>
      </c>
      <c r="Q287" s="173">
        <f>IFERROR(VLOOKUP($B287,Totalt!$B$1:$AQ$554,MATCH(Q$2,Totalt!$B$1:$AQ$1,0),FALSE),"")</f>
        <v>0</v>
      </c>
      <c r="R287" s="173">
        <f>IFERROR(VLOOKUP($B287,Totalt!$B$1:$AQ$554,MATCH(R$2,Totalt!$B$1:$AQ$1,0),FALSE),"")</f>
        <v>0</v>
      </c>
      <c r="S287" s="173">
        <f>IFERROR(VLOOKUP($B287,Totalt!$B$1:$AQ$554,MATCH(S$2,Totalt!$B$1:$AQ$1,0),FALSE),"")</f>
        <v>0</v>
      </c>
      <c r="T287" s="173">
        <f>IFERROR(VLOOKUP($B287,Totalt!$B$1:$AQ$554,MATCH(T$2,Totalt!$B$1:$AQ$1,0),FALSE),"")</f>
        <v>0</v>
      </c>
      <c r="U287" s="173">
        <f>IFERROR(VLOOKUP($B287,Totalt!$B$1:$AQ$554,MATCH(U$2,Totalt!$B$1:$AQ$1,0),FALSE),"")</f>
        <v>0</v>
      </c>
      <c r="V287" s="173">
        <f>IFERROR(VLOOKUP($B287,Totalt!$B$1:$AQ$554,MATCH(V$2,Totalt!$B$1:$AQ$1,0),FALSE),"")</f>
        <v>4.7058799999999996</v>
      </c>
      <c r="W287" s="173">
        <f>IFERROR(VLOOKUP($B287,Totalt!$B$1:$AQ$554,MATCH(W$2,Totalt!$B$1:$AQ$1,0),FALSE),"")</f>
        <v>0.82599999999999996</v>
      </c>
      <c r="X287" s="173">
        <f>IFERROR(VLOOKUP($B287,Totalt!$B$1:$AQ$554,MATCH(X$2,Totalt!$B$1:$AQ$1,0),FALSE),"")</f>
        <v>0</v>
      </c>
      <c r="Y287" s="173">
        <f>IFERROR(VLOOKUP($B287,Totalt!$B$1:$AQ$554,MATCH(Y$2,Totalt!$B$1:$AQ$1,0),FALSE),"")</f>
        <v>0</v>
      </c>
      <c r="Z287" s="173">
        <f>IFERROR(VLOOKUP($B287,Totalt!$B$1:$AQ$554,MATCH(Z$2,Totalt!$B$1:$AQ$1,0),FALSE),"")</f>
        <v>0</v>
      </c>
      <c r="AA287" s="173">
        <f>IFERROR(VLOOKUP($B287,Totalt!$B$1:$AQ$554,MATCH(AA$2,Totalt!$B$1:$AQ$1,0),FALSE),"")</f>
        <v>0</v>
      </c>
      <c r="AB287" s="173">
        <f>IFERROR(VLOOKUP($B287,Totalt!$B$1:$AQ$554,MATCH(AB$2,Totalt!$B$1:$AQ$1,0),FALSE),"")</f>
        <v>0</v>
      </c>
      <c r="AC287" s="173">
        <f>IFERROR(VLOOKUP($B287,Totalt!$B$1:$AQ$554,MATCH(AC$2,Totalt!$B$1:$AQ$1,0),FALSE),"")</f>
        <v>0</v>
      </c>
      <c r="AD287" s="173">
        <f>IFERROR(VLOOKUP($B287,Totalt!$B$1:$AQ$554,MATCH(AD$2,Totalt!$B$1:$AQ$1,0),FALSE),"")</f>
        <v>147.672</v>
      </c>
      <c r="AE287" s="173">
        <f>IFERROR(VLOOKUP($B287,Totalt!$B$1:$AQ$554,MATCH(AE$2,Totalt!$B$1:$AQ$1,0),FALSE),"")</f>
        <v>0</v>
      </c>
      <c r="AF287" s="173">
        <f>IFERROR(VLOOKUP($B287,Totalt!$B$1:$AQ$554,MATCH(AF$2,Totalt!$B$1:$AQ$1,0),FALSE),"")</f>
        <v>1.4</v>
      </c>
      <c r="AG287" s="173">
        <f>IFERROR(VLOOKUP($B287,Totalt!$B$1:$AQ$554,MATCH(AG$2,Totalt!$B$1:$AQ$1,0),FALSE),"")</f>
        <v>0</v>
      </c>
      <c r="AI287" s="226">
        <f t="shared" si="24"/>
        <v>189.10087999999999</v>
      </c>
      <c r="AJ287" s="226">
        <f>IF(ISERROR(1/VLOOKUP($B287,Leveranser!$B$1:$S$500,MATCH("såld värme (gwh)",Leveranser!$B$1:$S$1,0),FALSE)),"",VLOOKUP($B287,Leveranser!$B$1:$S$500,MATCH("såld värme (gwh)",Leveranser!$B$1:$S$1,0),FALSE))</f>
        <v>152.30000000000001</v>
      </c>
      <c r="AM287" s="227" t="str">
        <f>IF(B287&lt;&gt;"",IF(VLOOKUP($B287,Totalt!$B$1:$AQ$554,MATCH("Kvalitetsgranskad:",Totalt!$B$1:$AQ$1,0),FALSE)="ja",VLOOKUP($B287,Miljö!$B$1:$AG$479,MATCH(AM$2,Miljö!$B$1:$AK$1,0),FALSE),""),"")</f>
        <v>Ja</v>
      </c>
      <c r="AN287" s="227" t="str">
        <f>IF(AM287="ja",VLOOKUP($B287,Miljö!$B$1:$J$479,MATCH("Typ av ursprungsspecificerad el   (Om inget värde anges används Nordisk residualmix, se inforuta) ()",Miljö!$B$1:$J$1,0),FALSE),IF(AM287="nej","Nordisk residualel",""))</f>
        <v>'Vatten 68% vind 31% sol 1%'</v>
      </c>
      <c r="AO287" s="227">
        <f>IF(AM287="","",VLOOKUP($B287,Miljö!$B$1:$J$479,MATCH("Fossilandel för ursprungspecificerad el ()",Miljö!$B$1:$J$1,0),FALSE))</f>
        <v>0</v>
      </c>
      <c r="AP287" s="227">
        <f>IF(AM287="","",IFERROR(VLOOKUP($B287,Miljö!$B$1:$J$479,MATCH("Kärnkraftsandel för ursprungsspecificerad el ()",Miljö!$B$1:$J$1,0),FALSE)/1,0))</f>
        <v>0</v>
      </c>
      <c r="AQ287" s="227">
        <f t="shared" si="25"/>
        <v>1</v>
      </c>
      <c r="AR287" s="227"/>
      <c r="AS287" s="227" t="str">
        <f t="shared" si="26"/>
        <v>Nej</v>
      </c>
      <c r="AT287" s="227" t="str">
        <f>IF(AS287="ja",VLOOKUP($B287,Miljö!$B$1:$O$500,MATCH("Fossil andel i procent (%)",Miljö!$B$1:$O$1,0),FALSE)/100,"")</f>
        <v/>
      </c>
      <c r="AU287" s="227"/>
      <c r="AV287" s="227" t="str">
        <f t="shared" si="27"/>
        <v>Nej</v>
      </c>
      <c r="AW287" s="227" t="str">
        <f>IF(AV287="ja",VLOOKUP($B287,'Egen hetvattenprod'!$B$1:$AO$500,MATCH("Värmekälla till värmepumpar ()",'Egen hetvattenprod'!$B$1:$AO$1,0),FALSE),"")</f>
        <v/>
      </c>
      <c r="AX287" s="227"/>
      <c r="AY287" s="227" t="str">
        <f t="shared" si="28"/>
        <v>Nej</v>
      </c>
      <c r="AZ287" s="228" t="str">
        <f>IF($AY287="ja",(VLOOKUP($B287,'Egen hetvattenprod'!$B$1:$BX$550,MATCH(AZ$2,'Egen hetvattenprod'!$B$1:$BX$1,0),FALSE)+VLOOKUP($B287,Kraftvärmeprod!$B$1:$BX$550,MATCH(AZ$2,Kraftvärmeprod!$B$1:$BX$1,0),FALSE))/$AC287,"")</f>
        <v/>
      </c>
      <c r="BA287" s="228" t="str">
        <f>IF($AY287="ja",(VLOOKUP($B287,'Egen hetvattenprod'!$B$1:$BX$550,MATCH(BA$2,'Egen hetvattenprod'!$B$1:$BX$1,0),FALSE)+VLOOKUP($B287,Kraftvärmeprod!$B$1:$BX$550,MATCH(BA$2,Kraftvärmeprod!$B$1:$BX$1,0),FALSE))/$AC287,"")</f>
        <v/>
      </c>
      <c r="BB287" s="228" t="str">
        <f>IF($AY287="ja",(VLOOKUP($B287,'Egen hetvattenprod'!$B$1:$BX$550,MATCH(BB$2,'Egen hetvattenprod'!$B$1:$BX$1,0),FALSE)+VLOOKUP($B287,Kraftvärmeprod!$B$1:$BX$550,MATCH(BB$2,Kraftvärmeprod!$B$1:$BX$1,0),FALSE))/$AC287,"")</f>
        <v/>
      </c>
      <c r="BC287" s="228" t="str">
        <f>IF($AY287="ja",(VLOOKUP($B287,'Egen hetvattenprod'!$B$1:$BX$550,MATCH(BC$2,'Egen hetvattenprod'!$B$1:$BX$1,0),FALSE)+VLOOKUP($B287,Kraftvärmeprod!$B$1:$BX$550,MATCH(BC$2,Kraftvärmeprod!$B$1:$BX$1,0),FALSE))/$AC287,"")</f>
        <v/>
      </c>
      <c r="BD287" s="228" t="str">
        <f>IF($AY287="ja",(VLOOKUP($B287,'Egen hetvattenprod'!$B$1:$BX$550,MATCH(BD$2,'Egen hetvattenprod'!$B$1:$BX$1,0),FALSE)+VLOOKUP($B287,Kraftvärmeprod!$B$1:$BX$550,MATCH(BD$2,Kraftvärmeprod!$B$1:$BX$1,0),FALSE))/$AC287,"")</f>
        <v/>
      </c>
      <c r="BE287" s="227"/>
      <c r="BF287" s="227" t="str">
        <f t="shared" si="29"/>
        <v>Nej</v>
      </c>
      <c r="BG287" s="227" t="str">
        <f>IF($BF287="ja",VLOOKUP($B287,'Egen hetvattenprod'!$B$1:$BX$550,MATCH("Andelen klimatgaser med fossilt ursprung för avfall ()",'Egen hetvattenprod'!$B$1:$BX$1,0),FALSE),"")</f>
        <v/>
      </c>
      <c r="BH287" s="227" t="str">
        <f>IF($BF287="ja",VLOOKUP($B287,Kraftvärmeprod!$B$1:$BX$550,MATCH("Andelen klimatgaser med fossilt ursprung för avfall ()",Kraftvärmeprod!$B$1:$BX$1,0),FALSE),"")</f>
        <v/>
      </c>
      <c r="BI287" s="227" t="str">
        <f>IF($BF287="ja",VLOOKUP($B287,'Egen hetvattenprod'!$B$1:$BX$550,MATCH("Avfall (GWh)",'Egen hetvattenprod'!$B$1:$BX$1,0),FALSE),"")</f>
        <v/>
      </c>
      <c r="BJ287" s="227" t="str">
        <f>IF($BF287="ja",VLOOKUP($B287,'Slutlig allokering kvv'!$B$1:$BX$550,MATCH("Avfall (GWh)",'Slutlig allokering kvv'!$B$1:$BX$1,0),FALSE),"")</f>
        <v/>
      </c>
      <c r="BK287" s="227" t="str">
        <f>IF($BF287="ja",VLOOKUP($B287,'Köpt hetvatten'!$B$1:$BX$550,MATCH("Avfall i köpt hetvatten",'Köpt hetvatten'!$B$1:$BX$1,0),FALSE),"")</f>
        <v/>
      </c>
      <c r="BL287" s="227" t="str">
        <f>IF($BF287="ja",VLOOKUP($B287,'Egen hetvattenprod'!$B$1:$BX$550,MATCH("Värde enligt ovan. (%)",'Egen hetvattenprod'!$B$1:$BX$1,0),FALSE),"")</f>
        <v/>
      </c>
      <c r="BM287" s="227" t="str">
        <f>IF($BF287="ja",VLOOKUP($B287,Kraftvärmeprod!$B$1:$BX$550,MATCH("Värde enligt ovan. (%)",Kraftvärmeprod!$B$1:$BX$1,0),FALSE),"")</f>
        <v/>
      </c>
      <c r="BN287" s="227"/>
      <c r="BO287" s="227"/>
      <c r="BP287" s="227"/>
      <c r="BQ287" s="227" t="str">
        <f>IF($BF287="ja",VLOOKUP($B287,'Egen hetvattenprod'!$B$1:$BX$550,MATCH("Tillförd olja (fossil) vid avfallsförbränning (GWh)",'Egen hetvattenprod'!$B$1:$BX$1,0),FALSE),"")</f>
        <v/>
      </c>
      <c r="BR287" s="227" t="str">
        <f>IF($BF287="ja",VLOOKUP($B287,Kraftvärmeprod!$B$1:$BX$550,MATCH("Tillförd olja (fossil) vid avfallsförbränning (GWh)",Kraftvärmeprod!$B$1:$BX$1,0),FALSE),"")</f>
        <v/>
      </c>
      <c r="BS287" s="227"/>
      <c r="BT287" s="227"/>
      <c r="BU287" s="227"/>
    </row>
    <row r="288" spans="1:73" x14ac:dyDescent="0.25">
      <c r="A288" s="121" t="str">
        <f>'Miljövärden för publ företag'!B291</f>
        <v>Varberg Energi AB</v>
      </c>
      <c r="B288" s="121" t="str">
        <f>'Miljövärden för publ företag'!C291</f>
        <v>Veddige</v>
      </c>
      <c r="C288" s="173">
        <f>IFERROR(VLOOKUP($B288,Totalt!$B$1:$AQ$554,MATCH(C$2,Totalt!$B$1:$AQ$1,0),FALSE),"")</f>
        <v>0</v>
      </c>
      <c r="D288" s="173">
        <f>IFERROR(VLOOKUP($B288,Totalt!$B$1:$AQ$554,MATCH(D$2,Totalt!$B$1:$AQ$1,0),FALSE),"")</f>
        <v>0.95799999999999996</v>
      </c>
      <c r="E288" s="173">
        <f>IFERROR(VLOOKUP($B288,Totalt!$B$1:$AQ$554,MATCH(E$2,Totalt!$B$1:$AQ$1,0),FALSE),"")</f>
        <v>0</v>
      </c>
      <c r="F288" s="173">
        <f>IFERROR(VLOOKUP($B288,Totalt!$B$1:$AQ$554,MATCH(F$2,Totalt!$B$1:$AQ$1,0),FALSE),"")</f>
        <v>0</v>
      </c>
      <c r="G288" s="173">
        <f>IFERROR(VLOOKUP($B288,Totalt!$B$1:$AQ$554,MATCH(G$2,Totalt!$B$1:$AQ$1,0),FALSE),"")</f>
        <v>0</v>
      </c>
      <c r="H288" s="173">
        <f>IFERROR(VLOOKUP($B288,Totalt!$B$1:$AQ$554,MATCH(H$2,Totalt!$B$1:$AQ$1,0),FALSE),"")</f>
        <v>0</v>
      </c>
      <c r="I288" s="173">
        <f>IFERROR(VLOOKUP($B288,Totalt!$B$1:$AQ$554,MATCH(I$2,Totalt!$B$1:$AQ$1,0),FALSE),"")</f>
        <v>0</v>
      </c>
      <c r="J288" s="173">
        <f>IFERROR(VLOOKUP($B288,Totalt!$B$1:$AQ$554,MATCH(J$2,Totalt!$B$1:$AQ$1,0),FALSE),"")</f>
        <v>0</v>
      </c>
      <c r="K288" s="173">
        <f>IFERROR(VLOOKUP($B288,Totalt!$B$1:$AQ$554,MATCH(K$2,Totalt!$B$1:$AQ$1,0),FALSE),"")</f>
        <v>0</v>
      </c>
      <c r="L288" s="173">
        <f>IFERROR(VLOOKUP($B288,Totalt!$B$1:$AQ$554,MATCH(L$2,Totalt!$B$1:$AQ$1,0),FALSE),"")</f>
        <v>0</v>
      </c>
      <c r="M288" s="173">
        <f>IFERROR(VLOOKUP($B288,Totalt!$B$1:$AQ$554,MATCH(M$2,Totalt!$B$1:$AQ$1,0),FALSE),"")</f>
        <v>0</v>
      </c>
      <c r="N288" s="173">
        <f>IFERROR(VLOOKUP($B288,Totalt!$B$1:$AQ$554,MATCH(N$2,Totalt!$B$1:$AQ$1,0),FALSE),"")</f>
        <v>0</v>
      </c>
      <c r="O288" s="173">
        <f>IFERROR(VLOOKUP($B288,Totalt!$B$1:$AQ$554,MATCH(O$2,Totalt!$B$1:$AQ$1,0),FALSE),"")</f>
        <v>0</v>
      </c>
      <c r="P288" s="173">
        <f>IFERROR(VLOOKUP($B288,Totalt!$B$1:$AQ$554,MATCH(P$2,Totalt!$B$1:$AQ$1,0),FALSE),"")</f>
        <v>0</v>
      </c>
      <c r="Q288" s="173">
        <f>IFERROR(VLOOKUP($B288,Totalt!$B$1:$AQ$554,MATCH(Q$2,Totalt!$B$1:$AQ$1,0),FALSE),"")</f>
        <v>0</v>
      </c>
      <c r="R288" s="173">
        <f>IFERROR(VLOOKUP($B288,Totalt!$B$1:$AQ$554,MATCH(R$2,Totalt!$B$1:$AQ$1,0),FALSE),"")</f>
        <v>0</v>
      </c>
      <c r="S288" s="173">
        <f>IFERROR(VLOOKUP($B288,Totalt!$B$1:$AQ$554,MATCH(S$2,Totalt!$B$1:$AQ$1,0),FALSE),"")</f>
        <v>4.4219999999999997</v>
      </c>
      <c r="T288" s="173">
        <f>IFERROR(VLOOKUP($B288,Totalt!$B$1:$AQ$554,MATCH(T$2,Totalt!$B$1:$AQ$1,0),FALSE),"")</f>
        <v>0</v>
      </c>
      <c r="U288" s="173">
        <f>IFERROR(VLOOKUP($B288,Totalt!$B$1:$AQ$554,MATCH(U$2,Totalt!$B$1:$AQ$1,0),FALSE),"")</f>
        <v>0</v>
      </c>
      <c r="V288" s="173">
        <f>IFERROR(VLOOKUP($B288,Totalt!$B$1:$AQ$554,MATCH(V$2,Totalt!$B$1:$AQ$1,0),FALSE),"")</f>
        <v>0</v>
      </c>
      <c r="W288" s="173">
        <f>IFERROR(VLOOKUP($B288,Totalt!$B$1:$AQ$554,MATCH(W$2,Totalt!$B$1:$AQ$1,0),FALSE),"")</f>
        <v>0</v>
      </c>
      <c r="X288" s="173">
        <f>IFERROR(VLOOKUP($B288,Totalt!$B$1:$AQ$554,MATCH(X$2,Totalt!$B$1:$AQ$1,0),FALSE),"")</f>
        <v>0</v>
      </c>
      <c r="Y288" s="173">
        <f>IFERROR(VLOOKUP($B288,Totalt!$B$1:$AQ$554,MATCH(Y$2,Totalt!$B$1:$AQ$1,0),FALSE),"")</f>
        <v>0</v>
      </c>
      <c r="Z288" s="173">
        <f>IFERROR(VLOOKUP($B288,Totalt!$B$1:$AQ$554,MATCH(Z$2,Totalt!$B$1:$AQ$1,0),FALSE),"")</f>
        <v>0</v>
      </c>
      <c r="AA288" s="173">
        <f>IFERROR(VLOOKUP($B288,Totalt!$B$1:$AQ$554,MATCH(AA$2,Totalt!$B$1:$AQ$1,0),FALSE),"")</f>
        <v>0</v>
      </c>
      <c r="AB288" s="173">
        <f>IFERROR(VLOOKUP($B288,Totalt!$B$1:$AQ$554,MATCH(AB$2,Totalt!$B$1:$AQ$1,0),FALSE),"")</f>
        <v>0</v>
      </c>
      <c r="AC288" s="173">
        <f>IFERROR(VLOOKUP($B288,Totalt!$B$1:$AQ$554,MATCH(AC$2,Totalt!$B$1:$AQ$1,0),FALSE),"")</f>
        <v>0</v>
      </c>
      <c r="AD288" s="173">
        <f>IFERROR(VLOOKUP($B288,Totalt!$B$1:$AQ$554,MATCH(AD$2,Totalt!$B$1:$AQ$1,0),FALSE),"")</f>
        <v>0</v>
      </c>
      <c r="AE288" s="173">
        <f>IFERROR(VLOOKUP($B288,Totalt!$B$1:$AQ$554,MATCH(AE$2,Totalt!$B$1:$AQ$1,0),FALSE),"")</f>
        <v>0</v>
      </c>
      <c r="AF288" s="173">
        <f>IFERROR(VLOOKUP($B288,Totalt!$B$1:$AQ$554,MATCH(AF$2,Totalt!$B$1:$AQ$1,0),FALSE),"")</f>
        <v>8.1000000000000003E-2</v>
      </c>
      <c r="AG288" s="173">
        <f>IFERROR(VLOOKUP($B288,Totalt!$B$1:$AQ$554,MATCH(AG$2,Totalt!$B$1:$AQ$1,0),FALSE),"")</f>
        <v>0</v>
      </c>
      <c r="AI288" s="226">
        <f t="shared" si="24"/>
        <v>5.4610000000000003</v>
      </c>
      <c r="AJ288" s="226">
        <f>IF(ISERROR(1/VLOOKUP($B288,Leveranser!$B$1:$S$500,MATCH("såld värme (gwh)",Leveranser!$B$1:$S$1,0),FALSE)),"",VLOOKUP($B288,Leveranser!$B$1:$S$500,MATCH("såld värme (gwh)",Leveranser!$B$1:$S$1,0),FALSE))</f>
        <v>3.6349999999999998</v>
      </c>
      <c r="AM288" s="227" t="str">
        <f>IF(B288&lt;&gt;"",IF(VLOOKUP($B288,Totalt!$B$1:$AQ$554,MATCH("Kvalitetsgranskad:",Totalt!$B$1:$AQ$1,0),FALSE)="ja",VLOOKUP($B288,Miljö!$B$1:$AG$479,MATCH(AM$2,Miljö!$B$1:$AK$1,0),FALSE),""),"")</f>
        <v>Ja</v>
      </c>
      <c r="AN288" s="227" t="str">
        <f>IF(AM288="ja",VLOOKUP($B288,Miljö!$B$1:$J$479,MATCH("Typ av ursprungsspecificerad el   (Om inget värde anges används Nordisk residualmix, se inforuta) ()",Miljö!$B$1:$J$1,0),FALSE),IF(AM288="nej","Nordisk residualel",""))</f>
        <v>'Vatten 68% vind 31% sol 1%'</v>
      </c>
      <c r="AO288" s="227">
        <f>IF(AM288="","",VLOOKUP($B288,Miljö!$B$1:$J$479,MATCH("Fossilandel för ursprungspecificerad el ()",Miljö!$B$1:$J$1,0),FALSE))</f>
        <v>0</v>
      </c>
      <c r="AP288" s="227">
        <f>IF(AM288="","",IFERROR(VLOOKUP($B288,Miljö!$B$1:$J$479,MATCH("Kärnkraftsandel för ursprungsspecificerad el ()",Miljö!$B$1:$J$1,0),FALSE)/1,0))</f>
        <v>0</v>
      </c>
      <c r="AQ288" s="227">
        <f t="shared" si="25"/>
        <v>1</v>
      </c>
      <c r="AR288" s="227"/>
      <c r="AS288" s="227" t="str">
        <f t="shared" si="26"/>
        <v>Nej</v>
      </c>
      <c r="AT288" s="227" t="str">
        <f>IF(AS288="ja",VLOOKUP($B288,Miljö!$B$1:$O$500,MATCH("Fossil andel i procent (%)",Miljö!$B$1:$O$1,0),FALSE)/100,"")</f>
        <v/>
      </c>
      <c r="AU288" s="227"/>
      <c r="AV288" s="227" t="str">
        <f t="shared" si="27"/>
        <v>Nej</v>
      </c>
      <c r="AW288" s="227" t="str">
        <f>IF(AV288="ja",VLOOKUP($B288,'Egen hetvattenprod'!$B$1:$AO$500,MATCH("Värmekälla till värmepumpar ()",'Egen hetvattenprod'!$B$1:$AO$1,0),FALSE),"")</f>
        <v/>
      </c>
      <c r="AX288" s="227"/>
      <c r="AY288" s="227" t="str">
        <f t="shared" si="28"/>
        <v>Nej</v>
      </c>
      <c r="AZ288" s="228" t="str">
        <f>IF($AY288="ja",(VLOOKUP($B288,'Egen hetvattenprod'!$B$1:$BX$550,MATCH(AZ$2,'Egen hetvattenprod'!$B$1:$BX$1,0),FALSE)+VLOOKUP($B288,Kraftvärmeprod!$B$1:$BX$550,MATCH(AZ$2,Kraftvärmeprod!$B$1:$BX$1,0),FALSE))/$AC288,"")</f>
        <v/>
      </c>
      <c r="BA288" s="228" t="str">
        <f>IF($AY288="ja",(VLOOKUP($B288,'Egen hetvattenprod'!$B$1:$BX$550,MATCH(BA$2,'Egen hetvattenprod'!$B$1:$BX$1,0),FALSE)+VLOOKUP($B288,Kraftvärmeprod!$B$1:$BX$550,MATCH(BA$2,Kraftvärmeprod!$B$1:$BX$1,0),FALSE))/$AC288,"")</f>
        <v/>
      </c>
      <c r="BB288" s="228" t="str">
        <f>IF($AY288="ja",(VLOOKUP($B288,'Egen hetvattenprod'!$B$1:$BX$550,MATCH(BB$2,'Egen hetvattenprod'!$B$1:$BX$1,0),FALSE)+VLOOKUP($B288,Kraftvärmeprod!$B$1:$BX$550,MATCH(BB$2,Kraftvärmeprod!$B$1:$BX$1,0),FALSE))/$AC288,"")</f>
        <v/>
      </c>
      <c r="BC288" s="228" t="str">
        <f>IF($AY288="ja",(VLOOKUP($B288,'Egen hetvattenprod'!$B$1:$BX$550,MATCH(BC$2,'Egen hetvattenprod'!$B$1:$BX$1,0),FALSE)+VLOOKUP($B288,Kraftvärmeprod!$B$1:$BX$550,MATCH(BC$2,Kraftvärmeprod!$B$1:$BX$1,0),FALSE))/$AC288,"")</f>
        <v/>
      </c>
      <c r="BD288" s="228" t="str">
        <f>IF($AY288="ja",(VLOOKUP($B288,'Egen hetvattenprod'!$B$1:$BX$550,MATCH(BD$2,'Egen hetvattenprod'!$B$1:$BX$1,0),FALSE)+VLOOKUP($B288,Kraftvärmeprod!$B$1:$BX$550,MATCH(BD$2,Kraftvärmeprod!$B$1:$BX$1,0),FALSE))/$AC288,"")</f>
        <v/>
      </c>
      <c r="BE288" s="227"/>
      <c r="BF288" s="227" t="str">
        <f t="shared" si="29"/>
        <v>Nej</v>
      </c>
      <c r="BG288" s="227" t="str">
        <f>IF($BF288="ja",VLOOKUP($B288,'Egen hetvattenprod'!$B$1:$BX$550,MATCH("Andelen klimatgaser med fossilt ursprung för avfall ()",'Egen hetvattenprod'!$B$1:$BX$1,0),FALSE),"")</f>
        <v/>
      </c>
      <c r="BH288" s="227" t="str">
        <f>IF($BF288="ja",VLOOKUP($B288,Kraftvärmeprod!$B$1:$BX$550,MATCH("Andelen klimatgaser med fossilt ursprung för avfall ()",Kraftvärmeprod!$B$1:$BX$1,0),FALSE),"")</f>
        <v/>
      </c>
      <c r="BI288" s="227" t="str">
        <f>IF($BF288="ja",VLOOKUP($B288,'Egen hetvattenprod'!$B$1:$BX$550,MATCH("Avfall (GWh)",'Egen hetvattenprod'!$B$1:$BX$1,0),FALSE),"")</f>
        <v/>
      </c>
      <c r="BJ288" s="227" t="str">
        <f>IF($BF288="ja",VLOOKUP($B288,'Slutlig allokering kvv'!$B$1:$BX$550,MATCH("Avfall (GWh)",'Slutlig allokering kvv'!$B$1:$BX$1,0),FALSE),"")</f>
        <v/>
      </c>
      <c r="BK288" s="227" t="str">
        <f>IF($BF288="ja",VLOOKUP($B288,'Köpt hetvatten'!$B$1:$BX$550,MATCH("Avfall i köpt hetvatten",'Köpt hetvatten'!$B$1:$BX$1,0),FALSE),"")</f>
        <v/>
      </c>
      <c r="BL288" s="227" t="str">
        <f>IF($BF288="ja",VLOOKUP($B288,'Egen hetvattenprod'!$B$1:$BX$550,MATCH("Värde enligt ovan. (%)",'Egen hetvattenprod'!$B$1:$BX$1,0),FALSE),"")</f>
        <v/>
      </c>
      <c r="BM288" s="227" t="str">
        <f>IF($BF288="ja",VLOOKUP($B288,Kraftvärmeprod!$B$1:$BX$550,MATCH("Värde enligt ovan. (%)",Kraftvärmeprod!$B$1:$BX$1,0),FALSE),"")</f>
        <v/>
      </c>
      <c r="BN288" s="227"/>
      <c r="BO288" s="227"/>
      <c r="BP288" s="227"/>
      <c r="BQ288" s="227" t="str">
        <f>IF($BF288="ja",VLOOKUP($B288,'Egen hetvattenprod'!$B$1:$BX$550,MATCH("Tillförd olja (fossil) vid avfallsförbränning (GWh)",'Egen hetvattenprod'!$B$1:$BX$1,0),FALSE),"")</f>
        <v/>
      </c>
      <c r="BR288" s="227" t="str">
        <f>IF($BF288="ja",VLOOKUP($B288,Kraftvärmeprod!$B$1:$BX$550,MATCH("Tillförd olja (fossil) vid avfallsförbränning (GWh)",Kraftvärmeprod!$B$1:$BX$1,0),FALSE),"")</f>
        <v/>
      </c>
      <c r="BS288" s="227"/>
      <c r="BT288" s="227"/>
      <c r="BU288" s="227"/>
    </row>
    <row r="289" spans="1:73" x14ac:dyDescent="0.25">
      <c r="A289" s="121" t="str">
        <f>'Miljövärden för publ företag'!B292</f>
        <v>Vasa Värme Holding AB</v>
      </c>
      <c r="B289" s="121" t="str">
        <f>'Miljövärden för publ företag'!C292</f>
        <v>Alfta</v>
      </c>
      <c r="C289" s="173">
        <f>IFERROR(VLOOKUP($B289,Totalt!$B$1:$AQ$554,MATCH(C$2,Totalt!$B$1:$AQ$1,0),FALSE),"")</f>
        <v>0</v>
      </c>
      <c r="D289" s="173">
        <f>IFERROR(VLOOKUP($B289,Totalt!$B$1:$AQ$554,MATCH(D$2,Totalt!$B$1:$AQ$1,0),FALSE),"")</f>
        <v>0.16300000000000001</v>
      </c>
      <c r="E289" s="173">
        <f>IFERROR(VLOOKUP($B289,Totalt!$B$1:$AQ$554,MATCH(E$2,Totalt!$B$1:$AQ$1,0),FALSE),"")</f>
        <v>0</v>
      </c>
      <c r="F289" s="173">
        <f>IFERROR(VLOOKUP($B289,Totalt!$B$1:$AQ$554,MATCH(F$2,Totalt!$B$1:$AQ$1,0),FALSE),"")</f>
        <v>0</v>
      </c>
      <c r="G289" s="173">
        <f>IFERROR(VLOOKUP($B289,Totalt!$B$1:$AQ$554,MATCH(G$2,Totalt!$B$1:$AQ$1,0),FALSE),"")</f>
        <v>0</v>
      </c>
      <c r="H289" s="173">
        <f>IFERROR(VLOOKUP($B289,Totalt!$B$1:$AQ$554,MATCH(H$2,Totalt!$B$1:$AQ$1,0),FALSE),"")</f>
        <v>0</v>
      </c>
      <c r="I289" s="173">
        <f>IFERROR(VLOOKUP($B289,Totalt!$B$1:$AQ$554,MATCH(I$2,Totalt!$B$1:$AQ$1,0),FALSE),"")</f>
        <v>0</v>
      </c>
      <c r="J289" s="173">
        <f>IFERROR(VLOOKUP($B289,Totalt!$B$1:$AQ$554,MATCH(J$2,Totalt!$B$1:$AQ$1,0),FALSE),"")</f>
        <v>0</v>
      </c>
      <c r="K289" s="173">
        <f>IFERROR(VLOOKUP($B289,Totalt!$B$1:$AQ$554,MATCH(K$2,Totalt!$B$1:$AQ$1,0),FALSE),"")</f>
        <v>0</v>
      </c>
      <c r="L289" s="173">
        <f>IFERROR(VLOOKUP($B289,Totalt!$B$1:$AQ$554,MATCH(L$2,Totalt!$B$1:$AQ$1,0),FALSE),"")</f>
        <v>0</v>
      </c>
      <c r="M289" s="173">
        <f>IFERROR(VLOOKUP($B289,Totalt!$B$1:$AQ$554,MATCH(M$2,Totalt!$B$1:$AQ$1,0),FALSE),"")</f>
        <v>5.6</v>
      </c>
      <c r="N289" s="173">
        <f>IFERROR(VLOOKUP($B289,Totalt!$B$1:$AQ$554,MATCH(N$2,Totalt!$B$1:$AQ$1,0),FALSE),"")</f>
        <v>0</v>
      </c>
      <c r="O289" s="173">
        <f>IFERROR(VLOOKUP($B289,Totalt!$B$1:$AQ$554,MATCH(O$2,Totalt!$B$1:$AQ$1,0),FALSE),"")</f>
        <v>0</v>
      </c>
      <c r="P289" s="173">
        <f>IFERROR(VLOOKUP($B289,Totalt!$B$1:$AQ$554,MATCH(P$2,Totalt!$B$1:$AQ$1,0),FALSE),"")</f>
        <v>13.5</v>
      </c>
      <c r="Q289" s="173">
        <f>IFERROR(VLOOKUP($B289,Totalt!$B$1:$AQ$554,MATCH(Q$2,Totalt!$B$1:$AQ$1,0),FALSE),"")</f>
        <v>0</v>
      </c>
      <c r="R289" s="173">
        <f>IFERROR(VLOOKUP($B289,Totalt!$B$1:$AQ$554,MATCH(R$2,Totalt!$B$1:$AQ$1,0),FALSE),"")</f>
        <v>0</v>
      </c>
      <c r="S289" s="173">
        <f>IFERROR(VLOOKUP($B289,Totalt!$B$1:$AQ$554,MATCH(S$2,Totalt!$B$1:$AQ$1,0),FALSE),"")</f>
        <v>0</v>
      </c>
      <c r="T289" s="173">
        <f>IFERROR(VLOOKUP($B289,Totalt!$B$1:$AQ$554,MATCH(T$2,Totalt!$B$1:$AQ$1,0),FALSE),"")</f>
        <v>0</v>
      </c>
      <c r="U289" s="173">
        <f>IFERROR(VLOOKUP($B289,Totalt!$B$1:$AQ$554,MATCH(U$2,Totalt!$B$1:$AQ$1,0),FALSE),"")</f>
        <v>0</v>
      </c>
      <c r="V289" s="173">
        <f>IFERROR(VLOOKUP($B289,Totalt!$B$1:$AQ$554,MATCH(V$2,Totalt!$B$1:$AQ$1,0),FALSE),"")</f>
        <v>0</v>
      </c>
      <c r="W289" s="173">
        <f>IFERROR(VLOOKUP($B289,Totalt!$B$1:$AQ$554,MATCH(W$2,Totalt!$B$1:$AQ$1,0),FALSE),"")</f>
        <v>0</v>
      </c>
      <c r="X289" s="173">
        <f>IFERROR(VLOOKUP($B289,Totalt!$B$1:$AQ$554,MATCH(X$2,Totalt!$B$1:$AQ$1,0),FALSE),"")</f>
        <v>3.5082399999999998</v>
      </c>
      <c r="Y289" s="173">
        <f>IFERROR(VLOOKUP($B289,Totalt!$B$1:$AQ$554,MATCH(Y$2,Totalt!$B$1:$AQ$1,0),FALSE),"")</f>
        <v>0</v>
      </c>
      <c r="Z289" s="173">
        <f>IFERROR(VLOOKUP($B289,Totalt!$B$1:$AQ$554,MATCH(Z$2,Totalt!$B$1:$AQ$1,0),FALSE),"")</f>
        <v>0</v>
      </c>
      <c r="AA289" s="173">
        <f>IFERROR(VLOOKUP($B289,Totalt!$B$1:$AQ$554,MATCH(AA$2,Totalt!$B$1:$AQ$1,0),FALSE),"")</f>
        <v>0</v>
      </c>
      <c r="AB289" s="173">
        <f>IFERROR(VLOOKUP($B289,Totalt!$B$1:$AQ$554,MATCH(AB$2,Totalt!$B$1:$AQ$1,0),FALSE),"")</f>
        <v>0</v>
      </c>
      <c r="AC289" s="173">
        <f>IFERROR(VLOOKUP($B289,Totalt!$B$1:$AQ$554,MATCH(AC$2,Totalt!$B$1:$AQ$1,0),FALSE),"")</f>
        <v>2.427</v>
      </c>
      <c r="AD289" s="173">
        <f>IFERROR(VLOOKUP($B289,Totalt!$B$1:$AQ$554,MATCH(AD$2,Totalt!$B$1:$AQ$1,0),FALSE),"")</f>
        <v>0</v>
      </c>
      <c r="AE289" s="173">
        <f>IFERROR(VLOOKUP($B289,Totalt!$B$1:$AQ$554,MATCH(AE$2,Totalt!$B$1:$AQ$1,0),FALSE),"")</f>
        <v>0</v>
      </c>
      <c r="AF289" s="173">
        <f>IFERROR(VLOOKUP($B289,Totalt!$B$1:$AQ$554,MATCH(AF$2,Totalt!$B$1:$AQ$1,0),FALSE),"")</f>
        <v>0.50600000000000001</v>
      </c>
      <c r="AG289" s="173">
        <f>IFERROR(VLOOKUP($B289,Totalt!$B$1:$AQ$554,MATCH(AG$2,Totalt!$B$1:$AQ$1,0),FALSE),"")</f>
        <v>0</v>
      </c>
      <c r="AI289" s="226">
        <f t="shared" si="24"/>
        <v>25.704239999999999</v>
      </c>
      <c r="AJ289" s="226">
        <f>IF(ISERROR(1/VLOOKUP($B289,Leveranser!$B$1:$S$500,MATCH("såld värme (gwh)",Leveranser!$B$1:$S$1,0),FALSE)),"",VLOOKUP($B289,Leveranser!$B$1:$S$500,MATCH("såld värme (gwh)",Leveranser!$B$1:$S$1,0),FALSE))</f>
        <v>18.7</v>
      </c>
      <c r="AM289" s="227" t="str">
        <f>IF(B289&lt;&gt;"",IF(VLOOKUP($B289,Totalt!$B$1:$AQ$554,MATCH("Kvalitetsgranskad:",Totalt!$B$1:$AQ$1,0),FALSE)="ja",VLOOKUP($B289,Miljö!$B$1:$AG$479,MATCH(AM$2,Miljö!$B$1:$AK$1,0),FALSE),""),"")</f>
        <v>Nej</v>
      </c>
      <c r="AN289" s="227" t="str">
        <f>IF(AM289="ja",VLOOKUP($B289,Miljö!$B$1:$J$479,MATCH("Typ av ursprungsspecificerad el   (Om inget värde anges används Nordisk residualmix, se inforuta) ()",Miljö!$B$1:$J$1,0),FALSE),IF(AM289="nej","Nordisk residualel",""))</f>
        <v>Nordisk residualel</v>
      </c>
      <c r="AO289" s="227">
        <f>IF(AM289="","",VLOOKUP($B289,Miljö!$B$1:$J$479,MATCH("Fossilandel för ursprungspecificerad el ()",Miljö!$B$1:$J$1,0),FALSE))</f>
        <v>0.43</v>
      </c>
      <c r="AP289" s="227">
        <f>IF(AM289="","",IFERROR(VLOOKUP($B289,Miljö!$B$1:$J$479,MATCH("Kärnkraftsandel för ursprungsspecificerad el ()",Miljö!$B$1:$J$1,0),FALSE)/1,0))</f>
        <v>0.40550000000000003</v>
      </c>
      <c r="AQ289" s="227">
        <f t="shared" si="25"/>
        <v>0.16450000000000004</v>
      </c>
      <c r="AR289" s="227"/>
      <c r="AS289" s="227" t="str">
        <f t="shared" si="26"/>
        <v>Nej</v>
      </c>
      <c r="AT289" s="227" t="str">
        <f>IF(AS289="ja",VLOOKUP($B289,Miljö!$B$1:$O$500,MATCH("Fossil andel i procent (%)",Miljö!$B$1:$O$1,0),FALSE)/100,"")</f>
        <v/>
      </c>
      <c r="AU289" s="227"/>
      <c r="AV289" s="227" t="str">
        <f t="shared" si="27"/>
        <v>Nej</v>
      </c>
      <c r="AW289" s="227" t="str">
        <f>IF(AV289="ja",VLOOKUP($B289,'Egen hetvattenprod'!$B$1:$AO$500,MATCH("Värmekälla till värmepumpar ()",'Egen hetvattenprod'!$B$1:$AO$1,0),FALSE),"")</f>
        <v/>
      </c>
      <c r="AX289" s="227"/>
      <c r="AY289" s="227" t="str">
        <f t="shared" si="28"/>
        <v>Ja</v>
      </c>
      <c r="AZ289" s="228">
        <f>IF($AY289="ja",(VLOOKUP($B289,'Egen hetvattenprod'!$B$1:$BX$550,MATCH(AZ$2,'Egen hetvattenprod'!$B$1:$BX$1,0),FALSE)+VLOOKUP($B289,Kraftvärmeprod!$B$1:$BX$550,MATCH(AZ$2,Kraftvärmeprod!$B$1:$BX$1,0),FALSE))/$AC289,"")</f>
        <v>1</v>
      </c>
      <c r="BA289" s="228">
        <f>IF($AY289="ja",(VLOOKUP($B289,'Egen hetvattenprod'!$B$1:$BX$550,MATCH(BA$2,'Egen hetvattenprod'!$B$1:$BX$1,0),FALSE)+VLOOKUP($B289,Kraftvärmeprod!$B$1:$BX$550,MATCH(BA$2,Kraftvärmeprod!$B$1:$BX$1,0),FALSE))/$AC289,"")</f>
        <v>0</v>
      </c>
      <c r="BB289" s="228">
        <f>IF($AY289="ja",(VLOOKUP($B289,'Egen hetvattenprod'!$B$1:$BX$550,MATCH(BB$2,'Egen hetvattenprod'!$B$1:$BX$1,0),FALSE)+VLOOKUP($B289,Kraftvärmeprod!$B$1:$BX$550,MATCH(BB$2,Kraftvärmeprod!$B$1:$BX$1,0),FALSE))/$AC289,"")</f>
        <v>0</v>
      </c>
      <c r="BC289" s="228">
        <f>IF($AY289="ja",(VLOOKUP($B289,'Egen hetvattenprod'!$B$1:$BX$550,MATCH(BC$2,'Egen hetvattenprod'!$B$1:$BX$1,0),FALSE)+VLOOKUP($B289,Kraftvärmeprod!$B$1:$BX$550,MATCH(BC$2,Kraftvärmeprod!$B$1:$BX$1,0),FALSE))/$AC289,"")</f>
        <v>0</v>
      </c>
      <c r="BD289" s="228">
        <f>IF($AY289="ja",(VLOOKUP($B289,'Egen hetvattenprod'!$B$1:$BX$550,MATCH(BD$2,'Egen hetvattenprod'!$B$1:$BX$1,0),FALSE)+VLOOKUP($B289,Kraftvärmeprod!$B$1:$BX$550,MATCH(BD$2,Kraftvärmeprod!$B$1:$BX$1,0),FALSE))/$AC289,"")</f>
        <v>0</v>
      </c>
      <c r="BE289" s="227"/>
      <c r="BF289" s="227" t="str">
        <f t="shared" si="29"/>
        <v>Nej</v>
      </c>
      <c r="BG289" s="227" t="str">
        <f>IF($BF289="ja",VLOOKUP($B289,'Egen hetvattenprod'!$B$1:$BX$550,MATCH("Andelen klimatgaser med fossilt ursprung för avfall ()",'Egen hetvattenprod'!$B$1:$BX$1,0),FALSE),"")</f>
        <v/>
      </c>
      <c r="BH289" s="227" t="str">
        <f>IF($BF289="ja",VLOOKUP($B289,Kraftvärmeprod!$B$1:$BX$550,MATCH("Andelen klimatgaser med fossilt ursprung för avfall ()",Kraftvärmeprod!$B$1:$BX$1,0),FALSE),"")</f>
        <v/>
      </c>
      <c r="BI289" s="227" t="str">
        <f>IF($BF289="ja",VLOOKUP($B289,'Egen hetvattenprod'!$B$1:$BX$550,MATCH("Avfall (GWh)",'Egen hetvattenprod'!$B$1:$BX$1,0),FALSE),"")</f>
        <v/>
      </c>
      <c r="BJ289" s="227" t="str">
        <f>IF($BF289="ja",VLOOKUP($B289,'Slutlig allokering kvv'!$B$1:$BX$550,MATCH("Avfall (GWh)",'Slutlig allokering kvv'!$B$1:$BX$1,0),FALSE),"")</f>
        <v/>
      </c>
      <c r="BK289" s="227" t="str">
        <f>IF($BF289="ja",VLOOKUP($B289,'Köpt hetvatten'!$B$1:$BX$550,MATCH("Avfall i köpt hetvatten",'Köpt hetvatten'!$B$1:$BX$1,0),FALSE),"")</f>
        <v/>
      </c>
      <c r="BL289" s="227" t="str">
        <f>IF($BF289="ja",VLOOKUP($B289,'Egen hetvattenprod'!$B$1:$BX$550,MATCH("Värde enligt ovan. (%)",'Egen hetvattenprod'!$B$1:$BX$1,0),FALSE),"")</f>
        <v/>
      </c>
      <c r="BM289" s="227" t="str">
        <f>IF($BF289="ja",VLOOKUP($B289,Kraftvärmeprod!$B$1:$BX$550,MATCH("Värde enligt ovan. (%)",Kraftvärmeprod!$B$1:$BX$1,0),FALSE),"")</f>
        <v/>
      </c>
      <c r="BN289" s="227"/>
      <c r="BO289" s="227"/>
      <c r="BP289" s="227"/>
      <c r="BQ289" s="227" t="str">
        <f>IF($BF289="ja",VLOOKUP($B289,'Egen hetvattenprod'!$B$1:$BX$550,MATCH("Tillförd olja (fossil) vid avfallsförbränning (GWh)",'Egen hetvattenprod'!$B$1:$BX$1,0),FALSE),"")</f>
        <v/>
      </c>
      <c r="BR289" s="227" t="str">
        <f>IF($BF289="ja",VLOOKUP($B289,Kraftvärmeprod!$B$1:$BX$550,MATCH("Tillförd olja (fossil) vid avfallsförbränning (GWh)",Kraftvärmeprod!$B$1:$BX$1,0),FALSE),"")</f>
        <v/>
      </c>
      <c r="BS289" s="227"/>
      <c r="BT289" s="227"/>
      <c r="BU289" s="227"/>
    </row>
    <row r="290" spans="1:73" x14ac:dyDescent="0.25">
      <c r="A290" s="121" t="str">
        <f>'Miljövärden för publ företag'!B293</f>
        <v>Vasa Värme Holding AB</v>
      </c>
      <c r="B290" s="121" t="str">
        <f>'Miljövärden för publ företag'!C293</f>
        <v>Edsbyn</v>
      </c>
      <c r="C290" s="173">
        <f>IFERROR(VLOOKUP($B290,Totalt!$B$1:$AQ$554,MATCH(C$2,Totalt!$B$1:$AQ$1,0),FALSE),"")</f>
        <v>0</v>
      </c>
      <c r="D290" s="173">
        <f>IFERROR(VLOOKUP($B290,Totalt!$B$1:$AQ$554,MATCH(D$2,Totalt!$B$1:$AQ$1,0),FALSE),"")</f>
        <v>0.35299999999999998</v>
      </c>
      <c r="E290" s="173">
        <f>IFERROR(VLOOKUP($B290,Totalt!$B$1:$AQ$554,MATCH(E$2,Totalt!$B$1:$AQ$1,0),FALSE),"")</f>
        <v>0</v>
      </c>
      <c r="F290" s="173">
        <f>IFERROR(VLOOKUP($B290,Totalt!$B$1:$AQ$554,MATCH(F$2,Totalt!$B$1:$AQ$1,0),FALSE),"")</f>
        <v>0</v>
      </c>
      <c r="G290" s="173">
        <f>IFERROR(VLOOKUP($B290,Totalt!$B$1:$AQ$554,MATCH(G$2,Totalt!$B$1:$AQ$1,0),FALSE),"")</f>
        <v>0</v>
      </c>
      <c r="H290" s="173">
        <f>IFERROR(VLOOKUP($B290,Totalt!$B$1:$AQ$554,MATCH(H$2,Totalt!$B$1:$AQ$1,0),FALSE),"")</f>
        <v>0</v>
      </c>
      <c r="I290" s="173">
        <f>IFERROR(VLOOKUP($B290,Totalt!$B$1:$AQ$554,MATCH(I$2,Totalt!$B$1:$AQ$1,0),FALSE),"")</f>
        <v>0</v>
      </c>
      <c r="J290" s="173">
        <f>IFERROR(VLOOKUP($B290,Totalt!$B$1:$AQ$554,MATCH(J$2,Totalt!$B$1:$AQ$1,0),FALSE),"")</f>
        <v>0</v>
      </c>
      <c r="K290" s="173">
        <f>IFERROR(VLOOKUP($B290,Totalt!$B$1:$AQ$554,MATCH(K$2,Totalt!$B$1:$AQ$1,0),FALSE),"")</f>
        <v>0</v>
      </c>
      <c r="L290" s="173">
        <f>IFERROR(VLOOKUP($B290,Totalt!$B$1:$AQ$554,MATCH(L$2,Totalt!$B$1:$AQ$1,0),FALSE),"")</f>
        <v>0</v>
      </c>
      <c r="M290" s="173">
        <f>IFERROR(VLOOKUP($B290,Totalt!$B$1:$AQ$554,MATCH(M$2,Totalt!$B$1:$AQ$1,0),FALSE),"")</f>
        <v>0</v>
      </c>
      <c r="N290" s="173">
        <f>IFERROR(VLOOKUP($B290,Totalt!$B$1:$AQ$554,MATCH(N$2,Totalt!$B$1:$AQ$1,0),FALSE),"")</f>
        <v>0</v>
      </c>
      <c r="O290" s="173">
        <f>IFERROR(VLOOKUP($B290,Totalt!$B$1:$AQ$554,MATCH(O$2,Totalt!$B$1:$AQ$1,0),FALSE),"")</f>
        <v>0</v>
      </c>
      <c r="P290" s="173">
        <f>IFERROR(VLOOKUP($B290,Totalt!$B$1:$AQ$554,MATCH(P$2,Totalt!$B$1:$AQ$1,0),FALSE),"")</f>
        <v>10.005000000000001</v>
      </c>
      <c r="Q290" s="173">
        <f>IFERROR(VLOOKUP($B290,Totalt!$B$1:$AQ$554,MATCH(Q$2,Totalt!$B$1:$AQ$1,0),FALSE),"")</f>
        <v>35.176499999999997</v>
      </c>
      <c r="R290" s="173">
        <f>IFERROR(VLOOKUP($B290,Totalt!$B$1:$AQ$554,MATCH(R$2,Totalt!$B$1:$AQ$1,0),FALSE),"")</f>
        <v>0</v>
      </c>
      <c r="S290" s="173">
        <f>IFERROR(VLOOKUP($B290,Totalt!$B$1:$AQ$554,MATCH(S$2,Totalt!$B$1:$AQ$1,0),FALSE),"")</f>
        <v>0</v>
      </c>
      <c r="T290" s="173">
        <f>IFERROR(VLOOKUP($B290,Totalt!$B$1:$AQ$554,MATCH(T$2,Totalt!$B$1:$AQ$1,0),FALSE),"")</f>
        <v>0</v>
      </c>
      <c r="U290" s="173">
        <f>IFERROR(VLOOKUP($B290,Totalt!$B$1:$AQ$554,MATCH(U$2,Totalt!$B$1:$AQ$1,0),FALSE),"")</f>
        <v>0</v>
      </c>
      <c r="V290" s="173">
        <f>IFERROR(VLOOKUP($B290,Totalt!$B$1:$AQ$554,MATCH(V$2,Totalt!$B$1:$AQ$1,0),FALSE),"")</f>
        <v>0</v>
      </c>
      <c r="W290" s="173">
        <f>IFERROR(VLOOKUP($B290,Totalt!$B$1:$AQ$554,MATCH(W$2,Totalt!$B$1:$AQ$1,0),FALSE),"")</f>
        <v>0</v>
      </c>
      <c r="X290" s="173">
        <f>IFERROR(VLOOKUP($B290,Totalt!$B$1:$AQ$554,MATCH(X$2,Totalt!$B$1:$AQ$1,0),FALSE),"")</f>
        <v>0</v>
      </c>
      <c r="Y290" s="173">
        <f>IFERROR(VLOOKUP($B290,Totalt!$B$1:$AQ$554,MATCH(Y$2,Totalt!$B$1:$AQ$1,0),FALSE),"")</f>
        <v>0</v>
      </c>
      <c r="Z290" s="173">
        <f>IFERROR(VLOOKUP($B290,Totalt!$B$1:$AQ$554,MATCH(Z$2,Totalt!$B$1:$AQ$1,0),FALSE),"")</f>
        <v>0</v>
      </c>
      <c r="AA290" s="173">
        <f>IFERROR(VLOOKUP($B290,Totalt!$B$1:$AQ$554,MATCH(AA$2,Totalt!$B$1:$AQ$1,0),FALSE),"")</f>
        <v>0</v>
      </c>
      <c r="AB290" s="173">
        <f>IFERROR(VLOOKUP($B290,Totalt!$B$1:$AQ$554,MATCH(AB$2,Totalt!$B$1:$AQ$1,0),FALSE),"")</f>
        <v>0</v>
      </c>
      <c r="AC290" s="173">
        <f>IFERROR(VLOOKUP($B290,Totalt!$B$1:$AQ$554,MATCH(AC$2,Totalt!$B$1:$AQ$1,0),FALSE),"")</f>
        <v>0</v>
      </c>
      <c r="AD290" s="173">
        <f>IFERROR(VLOOKUP($B290,Totalt!$B$1:$AQ$554,MATCH(AD$2,Totalt!$B$1:$AQ$1,0),FALSE),"")</f>
        <v>0</v>
      </c>
      <c r="AE290" s="173">
        <f>IFERROR(VLOOKUP($B290,Totalt!$B$1:$AQ$554,MATCH(AE$2,Totalt!$B$1:$AQ$1,0),FALSE),"")</f>
        <v>0</v>
      </c>
      <c r="AF290" s="173">
        <f>IFERROR(VLOOKUP($B290,Totalt!$B$1:$AQ$554,MATCH(AF$2,Totalt!$B$1:$AQ$1,0),FALSE),"")</f>
        <v>0.127</v>
      </c>
      <c r="AG290" s="173">
        <f>IFERROR(VLOOKUP($B290,Totalt!$B$1:$AQ$554,MATCH(AG$2,Totalt!$B$1:$AQ$1,0),FALSE),"")</f>
        <v>0</v>
      </c>
      <c r="AI290" s="226">
        <f t="shared" si="24"/>
        <v>45.661499999999997</v>
      </c>
      <c r="AJ290" s="226">
        <f>IF(ISERROR(1/VLOOKUP($B290,Leveranser!$B$1:$S$500,MATCH("såld värme (gwh)",Leveranser!$B$1:$S$1,0),FALSE)),"",VLOOKUP($B290,Leveranser!$B$1:$S$500,MATCH("såld värme (gwh)",Leveranser!$B$1:$S$1,0),FALSE))</f>
        <v>32.299999999999997</v>
      </c>
      <c r="AM290" s="227" t="str">
        <f>IF(B290&lt;&gt;"",IF(VLOOKUP($B290,Totalt!$B$1:$AQ$554,MATCH("Kvalitetsgranskad:",Totalt!$B$1:$AQ$1,0),FALSE)="ja",VLOOKUP($B290,Miljö!$B$1:$AG$479,MATCH(AM$2,Miljö!$B$1:$AK$1,0),FALSE),""),"")</f>
        <v>Nej</v>
      </c>
      <c r="AN290" s="227" t="str">
        <f>IF(AM290="ja",VLOOKUP($B290,Miljö!$B$1:$J$479,MATCH("Typ av ursprungsspecificerad el   (Om inget värde anges används Nordisk residualmix, se inforuta) ()",Miljö!$B$1:$J$1,0),FALSE),IF(AM290="nej","Nordisk residualel",""))</f>
        <v>Nordisk residualel</v>
      </c>
      <c r="AO290" s="227">
        <f>IF(AM290="","",VLOOKUP($B290,Miljö!$B$1:$J$479,MATCH("Fossilandel för ursprungspecificerad el ()",Miljö!$B$1:$J$1,0),FALSE))</f>
        <v>0.43</v>
      </c>
      <c r="AP290" s="227">
        <f>IF(AM290="","",IFERROR(VLOOKUP($B290,Miljö!$B$1:$J$479,MATCH("Kärnkraftsandel för ursprungsspecificerad el ()",Miljö!$B$1:$J$1,0),FALSE)/1,0))</f>
        <v>0.40550000000000003</v>
      </c>
      <c r="AQ290" s="227">
        <f t="shared" si="25"/>
        <v>0.16450000000000004</v>
      </c>
      <c r="AR290" s="227"/>
      <c r="AS290" s="227" t="str">
        <f t="shared" si="26"/>
        <v>Nej</v>
      </c>
      <c r="AT290" s="227" t="str">
        <f>IF(AS290="ja",VLOOKUP($B290,Miljö!$B$1:$O$500,MATCH("Fossil andel i procent (%)",Miljö!$B$1:$O$1,0),FALSE)/100,"")</f>
        <v/>
      </c>
      <c r="AU290" s="227"/>
      <c r="AV290" s="227" t="str">
        <f t="shared" si="27"/>
        <v>Nej</v>
      </c>
      <c r="AW290" s="227" t="str">
        <f>IF(AV290="ja",VLOOKUP($B290,'Egen hetvattenprod'!$B$1:$AO$500,MATCH("Värmekälla till värmepumpar ()",'Egen hetvattenprod'!$B$1:$AO$1,0),FALSE),"")</f>
        <v/>
      </c>
      <c r="AX290" s="227"/>
      <c r="AY290" s="227" t="str">
        <f t="shared" si="28"/>
        <v>Nej</v>
      </c>
      <c r="AZ290" s="228" t="str">
        <f>IF($AY290="ja",(VLOOKUP($B290,'Egen hetvattenprod'!$B$1:$BX$550,MATCH(AZ$2,'Egen hetvattenprod'!$B$1:$BX$1,0),FALSE)+VLOOKUP($B290,Kraftvärmeprod!$B$1:$BX$550,MATCH(AZ$2,Kraftvärmeprod!$B$1:$BX$1,0),FALSE))/$AC290,"")</f>
        <v/>
      </c>
      <c r="BA290" s="228" t="str">
        <f>IF($AY290="ja",(VLOOKUP($B290,'Egen hetvattenprod'!$B$1:$BX$550,MATCH(BA$2,'Egen hetvattenprod'!$B$1:$BX$1,0),FALSE)+VLOOKUP($B290,Kraftvärmeprod!$B$1:$BX$550,MATCH(BA$2,Kraftvärmeprod!$B$1:$BX$1,0),FALSE))/$AC290,"")</f>
        <v/>
      </c>
      <c r="BB290" s="228" t="str">
        <f>IF($AY290="ja",(VLOOKUP($B290,'Egen hetvattenprod'!$B$1:$BX$550,MATCH(BB$2,'Egen hetvattenprod'!$B$1:$BX$1,0),FALSE)+VLOOKUP($B290,Kraftvärmeprod!$B$1:$BX$550,MATCH(BB$2,Kraftvärmeprod!$B$1:$BX$1,0),FALSE))/$AC290,"")</f>
        <v/>
      </c>
      <c r="BC290" s="228" t="str">
        <f>IF($AY290="ja",(VLOOKUP($B290,'Egen hetvattenprod'!$B$1:$BX$550,MATCH(BC$2,'Egen hetvattenprod'!$B$1:$BX$1,0),FALSE)+VLOOKUP($B290,Kraftvärmeprod!$B$1:$BX$550,MATCH(BC$2,Kraftvärmeprod!$B$1:$BX$1,0),FALSE))/$AC290,"")</f>
        <v/>
      </c>
      <c r="BD290" s="228" t="str">
        <f>IF($AY290="ja",(VLOOKUP($B290,'Egen hetvattenprod'!$B$1:$BX$550,MATCH(BD$2,'Egen hetvattenprod'!$B$1:$BX$1,0),FALSE)+VLOOKUP($B290,Kraftvärmeprod!$B$1:$BX$550,MATCH(BD$2,Kraftvärmeprod!$B$1:$BX$1,0),FALSE))/$AC290,"")</f>
        <v/>
      </c>
      <c r="BE290" s="227"/>
      <c r="BF290" s="227" t="str">
        <f t="shared" si="29"/>
        <v>Nej</v>
      </c>
      <c r="BG290" s="227" t="str">
        <f>IF($BF290="ja",VLOOKUP($B290,'Egen hetvattenprod'!$B$1:$BX$550,MATCH("Andelen klimatgaser med fossilt ursprung för avfall ()",'Egen hetvattenprod'!$B$1:$BX$1,0),FALSE),"")</f>
        <v/>
      </c>
      <c r="BH290" s="227" t="str">
        <f>IF($BF290="ja",VLOOKUP($B290,Kraftvärmeprod!$B$1:$BX$550,MATCH("Andelen klimatgaser med fossilt ursprung för avfall ()",Kraftvärmeprod!$B$1:$BX$1,0),FALSE),"")</f>
        <v/>
      </c>
      <c r="BI290" s="227" t="str">
        <f>IF($BF290="ja",VLOOKUP($B290,'Egen hetvattenprod'!$B$1:$BX$550,MATCH("Avfall (GWh)",'Egen hetvattenprod'!$B$1:$BX$1,0),FALSE),"")</f>
        <v/>
      </c>
      <c r="BJ290" s="227" t="str">
        <f>IF($BF290="ja",VLOOKUP($B290,'Slutlig allokering kvv'!$B$1:$BX$550,MATCH("Avfall (GWh)",'Slutlig allokering kvv'!$B$1:$BX$1,0),FALSE),"")</f>
        <v/>
      </c>
      <c r="BK290" s="227" t="str">
        <f>IF($BF290="ja",VLOOKUP($B290,'Köpt hetvatten'!$B$1:$BX$550,MATCH("Avfall i köpt hetvatten",'Köpt hetvatten'!$B$1:$BX$1,0),FALSE),"")</f>
        <v/>
      </c>
      <c r="BL290" s="227" t="str">
        <f>IF($BF290="ja",VLOOKUP($B290,'Egen hetvattenprod'!$B$1:$BX$550,MATCH("Värde enligt ovan. (%)",'Egen hetvattenprod'!$B$1:$BX$1,0),FALSE),"")</f>
        <v/>
      </c>
      <c r="BM290" s="227" t="str">
        <f>IF($BF290="ja",VLOOKUP($B290,Kraftvärmeprod!$B$1:$BX$550,MATCH("Värde enligt ovan. (%)",Kraftvärmeprod!$B$1:$BX$1,0),FALSE),"")</f>
        <v/>
      </c>
      <c r="BN290" s="227"/>
      <c r="BO290" s="227"/>
      <c r="BP290" s="227"/>
      <c r="BQ290" s="227" t="str">
        <f>IF($BF290="ja",VLOOKUP($B290,'Egen hetvattenprod'!$B$1:$BX$550,MATCH("Tillförd olja (fossil) vid avfallsförbränning (GWh)",'Egen hetvattenprod'!$B$1:$BX$1,0),FALSE),"")</f>
        <v/>
      </c>
      <c r="BR290" s="227" t="str">
        <f>IF($BF290="ja",VLOOKUP($B290,Kraftvärmeprod!$B$1:$BX$550,MATCH("Tillförd olja (fossil) vid avfallsförbränning (GWh)",Kraftvärmeprod!$B$1:$BX$1,0),FALSE),"")</f>
        <v/>
      </c>
      <c r="BS290" s="227"/>
      <c r="BT290" s="227"/>
      <c r="BU290" s="227"/>
    </row>
    <row r="291" spans="1:73" x14ac:dyDescent="0.25">
      <c r="A291" s="121" t="str">
        <f>'Miljövärden för publ företag'!B294</f>
        <v>Vasa Värme Holding AB</v>
      </c>
      <c r="B291" s="121" t="str">
        <f>'Miljövärden för publ företag'!C294</f>
        <v>Kalix</v>
      </c>
      <c r="C291" s="173">
        <f>IFERROR(VLOOKUP($B291,Totalt!$B$1:$AQ$554,MATCH(C$2,Totalt!$B$1:$AQ$1,0),FALSE),"")</f>
        <v>0</v>
      </c>
      <c r="D291" s="173">
        <f>IFERROR(VLOOKUP($B291,Totalt!$B$1:$AQ$554,MATCH(D$2,Totalt!$B$1:$AQ$1,0),FALSE),"")</f>
        <v>3.8</v>
      </c>
      <c r="E291" s="173">
        <f>IFERROR(VLOOKUP($B291,Totalt!$B$1:$AQ$554,MATCH(E$2,Totalt!$B$1:$AQ$1,0),FALSE),"")</f>
        <v>0</v>
      </c>
      <c r="F291" s="173">
        <f>IFERROR(VLOOKUP($B291,Totalt!$B$1:$AQ$554,MATCH(F$2,Totalt!$B$1:$AQ$1,0),FALSE),"")</f>
        <v>0</v>
      </c>
      <c r="G291" s="173">
        <f>IFERROR(VLOOKUP($B291,Totalt!$B$1:$AQ$554,MATCH(G$2,Totalt!$B$1:$AQ$1,0),FALSE),"")</f>
        <v>0</v>
      </c>
      <c r="H291" s="173">
        <f>IFERROR(VLOOKUP($B291,Totalt!$B$1:$AQ$554,MATCH(H$2,Totalt!$B$1:$AQ$1,0),FALSE),"")</f>
        <v>0</v>
      </c>
      <c r="I291" s="173">
        <f>IFERROR(VLOOKUP($B291,Totalt!$B$1:$AQ$554,MATCH(I$2,Totalt!$B$1:$AQ$1,0),FALSE),"")</f>
        <v>0</v>
      </c>
      <c r="J291" s="173">
        <f>IFERROR(VLOOKUP($B291,Totalt!$B$1:$AQ$554,MATCH(J$2,Totalt!$B$1:$AQ$1,0),FALSE),"")</f>
        <v>0</v>
      </c>
      <c r="K291" s="173">
        <f>IFERROR(VLOOKUP($B291,Totalt!$B$1:$AQ$554,MATCH(K$2,Totalt!$B$1:$AQ$1,0),FALSE),"")</f>
        <v>0</v>
      </c>
      <c r="L291" s="173">
        <f>IFERROR(VLOOKUP($B291,Totalt!$B$1:$AQ$554,MATCH(L$2,Totalt!$B$1:$AQ$1,0),FALSE),"")</f>
        <v>0</v>
      </c>
      <c r="M291" s="173">
        <f>IFERROR(VLOOKUP($B291,Totalt!$B$1:$AQ$554,MATCH(M$2,Totalt!$B$1:$AQ$1,0),FALSE),"")</f>
        <v>62.540999999999997</v>
      </c>
      <c r="N291" s="173">
        <f>IFERROR(VLOOKUP($B291,Totalt!$B$1:$AQ$554,MATCH(N$2,Totalt!$B$1:$AQ$1,0),FALSE),"")</f>
        <v>2.4039999999999999</v>
      </c>
      <c r="O291" s="173">
        <f>IFERROR(VLOOKUP($B291,Totalt!$B$1:$AQ$554,MATCH(O$2,Totalt!$B$1:$AQ$1,0),FALSE),"")</f>
        <v>0</v>
      </c>
      <c r="P291" s="173">
        <f>IFERROR(VLOOKUP($B291,Totalt!$B$1:$AQ$554,MATCH(P$2,Totalt!$B$1:$AQ$1,0),FALSE),"")</f>
        <v>20.155999999999999</v>
      </c>
      <c r="Q291" s="173">
        <f>IFERROR(VLOOKUP($B291,Totalt!$B$1:$AQ$554,MATCH(Q$2,Totalt!$B$1:$AQ$1,0),FALSE),"")</f>
        <v>42.761000000000003</v>
      </c>
      <c r="R291" s="173">
        <f>IFERROR(VLOOKUP($B291,Totalt!$B$1:$AQ$554,MATCH(R$2,Totalt!$B$1:$AQ$1,0),FALSE),"")</f>
        <v>0</v>
      </c>
      <c r="S291" s="173">
        <f>IFERROR(VLOOKUP($B291,Totalt!$B$1:$AQ$554,MATCH(S$2,Totalt!$B$1:$AQ$1,0),FALSE),"")</f>
        <v>0</v>
      </c>
      <c r="T291" s="173">
        <f>IFERROR(VLOOKUP($B291,Totalt!$B$1:$AQ$554,MATCH(T$2,Totalt!$B$1:$AQ$1,0),FALSE),"")</f>
        <v>0</v>
      </c>
      <c r="U291" s="173">
        <f>IFERROR(VLOOKUP($B291,Totalt!$B$1:$AQ$554,MATCH(U$2,Totalt!$B$1:$AQ$1,0),FALSE),"")</f>
        <v>0</v>
      </c>
      <c r="V291" s="173">
        <f>IFERROR(VLOOKUP($B291,Totalt!$B$1:$AQ$554,MATCH(V$2,Totalt!$B$1:$AQ$1,0),FALSE),"")</f>
        <v>0</v>
      </c>
      <c r="W291" s="173">
        <f>IFERROR(VLOOKUP($B291,Totalt!$B$1:$AQ$554,MATCH(W$2,Totalt!$B$1:$AQ$1,0),FALSE),"")</f>
        <v>0</v>
      </c>
      <c r="X291" s="173">
        <f>IFERROR(VLOOKUP($B291,Totalt!$B$1:$AQ$554,MATCH(X$2,Totalt!$B$1:$AQ$1,0),FALSE),"")</f>
        <v>0</v>
      </c>
      <c r="Y291" s="173">
        <f>IFERROR(VLOOKUP($B291,Totalt!$B$1:$AQ$554,MATCH(Y$2,Totalt!$B$1:$AQ$1,0),FALSE),"")</f>
        <v>0</v>
      </c>
      <c r="Z291" s="173">
        <f>IFERROR(VLOOKUP($B291,Totalt!$B$1:$AQ$554,MATCH(Z$2,Totalt!$B$1:$AQ$1,0),FALSE),"")</f>
        <v>0</v>
      </c>
      <c r="AA291" s="173">
        <f>IFERROR(VLOOKUP($B291,Totalt!$B$1:$AQ$554,MATCH(AA$2,Totalt!$B$1:$AQ$1,0),FALSE),"")</f>
        <v>0</v>
      </c>
      <c r="AB291" s="173">
        <f>IFERROR(VLOOKUP($B291,Totalt!$B$1:$AQ$554,MATCH(AB$2,Totalt!$B$1:$AQ$1,0),FALSE),"")</f>
        <v>0</v>
      </c>
      <c r="AC291" s="173">
        <f>IFERROR(VLOOKUP($B291,Totalt!$B$1:$AQ$554,MATCH(AC$2,Totalt!$B$1:$AQ$1,0),FALSE),"")</f>
        <v>10.6</v>
      </c>
      <c r="AD291" s="173">
        <f>IFERROR(VLOOKUP($B291,Totalt!$B$1:$AQ$554,MATCH(AD$2,Totalt!$B$1:$AQ$1,0),FALSE),"")</f>
        <v>0</v>
      </c>
      <c r="AE291" s="173">
        <f>IFERROR(VLOOKUP($B291,Totalt!$B$1:$AQ$554,MATCH(AE$2,Totalt!$B$1:$AQ$1,0),FALSE),"")</f>
        <v>0</v>
      </c>
      <c r="AF291" s="173">
        <f>IFERROR(VLOOKUP($B291,Totalt!$B$1:$AQ$554,MATCH(AF$2,Totalt!$B$1:$AQ$1,0),FALSE),"")</f>
        <v>3.6</v>
      </c>
      <c r="AG291" s="173">
        <f>IFERROR(VLOOKUP($B291,Totalt!$B$1:$AQ$554,MATCH(AG$2,Totalt!$B$1:$AQ$1,0),FALSE),"")</f>
        <v>0</v>
      </c>
      <c r="AI291" s="226">
        <f t="shared" si="24"/>
        <v>145.86199999999997</v>
      </c>
      <c r="AJ291" s="226">
        <f>IF(ISERROR(1/VLOOKUP($B291,Leveranser!$B$1:$S$500,MATCH("såld värme (gwh)",Leveranser!$B$1:$S$1,0),FALSE)),"",VLOOKUP($B291,Leveranser!$B$1:$S$500,MATCH("såld värme (gwh)",Leveranser!$B$1:$S$1,0),FALSE))</f>
        <v>108.1</v>
      </c>
      <c r="AM291" s="227" t="str">
        <f>IF(B291&lt;&gt;"",IF(VLOOKUP($B291,Totalt!$B$1:$AQ$554,MATCH("Kvalitetsgranskad:",Totalt!$B$1:$AQ$1,0),FALSE)="ja",VLOOKUP($B291,Miljö!$B$1:$AG$479,MATCH(AM$2,Miljö!$B$1:$AK$1,0),FALSE),""),"")</f>
        <v>Nej</v>
      </c>
      <c r="AN291" s="227" t="str">
        <f>IF(AM291="ja",VLOOKUP($B291,Miljö!$B$1:$J$479,MATCH("Typ av ursprungsspecificerad el   (Om inget värde anges används Nordisk residualmix, se inforuta) ()",Miljö!$B$1:$J$1,0),FALSE),IF(AM291="nej","Nordisk residualel",""))</f>
        <v>Nordisk residualel</v>
      </c>
      <c r="AO291" s="227">
        <f>IF(AM291="","",VLOOKUP($B291,Miljö!$B$1:$J$479,MATCH("Fossilandel för ursprungspecificerad el ()",Miljö!$B$1:$J$1,0),FALSE))</f>
        <v>0.43</v>
      </c>
      <c r="AP291" s="227">
        <f>IF(AM291="","",IFERROR(VLOOKUP($B291,Miljö!$B$1:$J$479,MATCH("Kärnkraftsandel för ursprungsspecificerad el ()",Miljö!$B$1:$J$1,0),FALSE)/1,0))</f>
        <v>0.40550000000000003</v>
      </c>
      <c r="AQ291" s="227">
        <f t="shared" si="25"/>
        <v>0.16450000000000004</v>
      </c>
      <c r="AR291" s="227"/>
      <c r="AS291" s="227" t="str">
        <f t="shared" si="26"/>
        <v>Nej</v>
      </c>
      <c r="AT291" s="227" t="str">
        <f>IF(AS291="ja",VLOOKUP($B291,Miljö!$B$1:$O$500,MATCH("Fossil andel i procent (%)",Miljö!$B$1:$O$1,0),FALSE)/100,"")</f>
        <v/>
      </c>
      <c r="AU291" s="227"/>
      <c r="AV291" s="227" t="str">
        <f t="shared" si="27"/>
        <v>Nej</v>
      </c>
      <c r="AW291" s="227" t="str">
        <f>IF(AV291="ja",VLOOKUP($B291,'Egen hetvattenprod'!$B$1:$AO$500,MATCH("Värmekälla till värmepumpar ()",'Egen hetvattenprod'!$B$1:$AO$1,0),FALSE),"")</f>
        <v/>
      </c>
      <c r="AX291" s="227"/>
      <c r="AY291" s="227" t="str">
        <f t="shared" si="28"/>
        <v>Ja</v>
      </c>
      <c r="AZ291" s="228">
        <f>IF($AY291="ja",(VLOOKUP($B291,'Egen hetvattenprod'!$B$1:$BX$550,MATCH(AZ$2,'Egen hetvattenprod'!$B$1:$BX$1,0),FALSE)+VLOOKUP($B291,Kraftvärmeprod!$B$1:$BX$550,MATCH(AZ$2,Kraftvärmeprod!$B$1:$BX$1,0),FALSE))/$AC291,"")</f>
        <v>1</v>
      </c>
      <c r="BA291" s="228">
        <f>IF($AY291="ja",(VLOOKUP($B291,'Egen hetvattenprod'!$B$1:$BX$550,MATCH(BA$2,'Egen hetvattenprod'!$B$1:$BX$1,0),FALSE)+VLOOKUP($B291,Kraftvärmeprod!$B$1:$BX$550,MATCH(BA$2,Kraftvärmeprod!$B$1:$BX$1,0),FALSE))/$AC291,"")</f>
        <v>0</v>
      </c>
      <c r="BB291" s="228">
        <f>IF($AY291="ja",(VLOOKUP($B291,'Egen hetvattenprod'!$B$1:$BX$550,MATCH(BB$2,'Egen hetvattenprod'!$B$1:$BX$1,0),FALSE)+VLOOKUP($B291,Kraftvärmeprod!$B$1:$BX$550,MATCH(BB$2,Kraftvärmeprod!$B$1:$BX$1,0),FALSE))/$AC291,"")</f>
        <v>0</v>
      </c>
      <c r="BC291" s="228">
        <f>IF($AY291="ja",(VLOOKUP($B291,'Egen hetvattenprod'!$B$1:$BX$550,MATCH(BC$2,'Egen hetvattenprod'!$B$1:$BX$1,0),FALSE)+VLOOKUP($B291,Kraftvärmeprod!$B$1:$BX$550,MATCH(BC$2,Kraftvärmeprod!$B$1:$BX$1,0),FALSE))/$AC291,"")</f>
        <v>0</v>
      </c>
      <c r="BD291" s="228">
        <f>IF($AY291="ja",(VLOOKUP($B291,'Egen hetvattenprod'!$B$1:$BX$550,MATCH(BD$2,'Egen hetvattenprod'!$B$1:$BX$1,0),FALSE)+VLOOKUP($B291,Kraftvärmeprod!$B$1:$BX$550,MATCH(BD$2,Kraftvärmeprod!$B$1:$BX$1,0),FALSE))/$AC291,"")</f>
        <v>0</v>
      </c>
      <c r="BE291" s="227"/>
      <c r="BF291" s="227" t="str">
        <f t="shared" si="29"/>
        <v>Nej</v>
      </c>
      <c r="BG291" s="227" t="str">
        <f>IF($BF291="ja",VLOOKUP($B291,'Egen hetvattenprod'!$B$1:$BX$550,MATCH("Andelen klimatgaser med fossilt ursprung för avfall ()",'Egen hetvattenprod'!$B$1:$BX$1,0),FALSE),"")</f>
        <v/>
      </c>
      <c r="BH291" s="227" t="str">
        <f>IF($BF291="ja",VLOOKUP($B291,Kraftvärmeprod!$B$1:$BX$550,MATCH("Andelen klimatgaser med fossilt ursprung för avfall ()",Kraftvärmeprod!$B$1:$BX$1,0),FALSE),"")</f>
        <v/>
      </c>
      <c r="BI291" s="227" t="str">
        <f>IF($BF291="ja",VLOOKUP($B291,'Egen hetvattenprod'!$B$1:$BX$550,MATCH("Avfall (GWh)",'Egen hetvattenprod'!$B$1:$BX$1,0),FALSE),"")</f>
        <v/>
      </c>
      <c r="BJ291" s="227" t="str">
        <f>IF($BF291="ja",VLOOKUP($B291,'Slutlig allokering kvv'!$B$1:$BX$550,MATCH("Avfall (GWh)",'Slutlig allokering kvv'!$B$1:$BX$1,0),FALSE),"")</f>
        <v/>
      </c>
      <c r="BK291" s="227" t="str">
        <f>IF($BF291="ja",VLOOKUP($B291,'Köpt hetvatten'!$B$1:$BX$550,MATCH("Avfall i köpt hetvatten",'Köpt hetvatten'!$B$1:$BX$1,0),FALSE),"")</f>
        <v/>
      </c>
      <c r="BL291" s="227" t="str">
        <f>IF($BF291="ja",VLOOKUP($B291,'Egen hetvattenprod'!$B$1:$BX$550,MATCH("Värde enligt ovan. (%)",'Egen hetvattenprod'!$B$1:$BX$1,0),FALSE),"")</f>
        <v/>
      </c>
      <c r="BM291" s="227" t="str">
        <f>IF($BF291="ja",VLOOKUP($B291,Kraftvärmeprod!$B$1:$BX$550,MATCH("Värde enligt ovan. (%)",Kraftvärmeprod!$B$1:$BX$1,0),FALSE),"")</f>
        <v/>
      </c>
      <c r="BN291" s="227"/>
      <c r="BO291" s="227"/>
      <c r="BP291" s="227"/>
      <c r="BQ291" s="227" t="str">
        <f>IF($BF291="ja",VLOOKUP($B291,'Egen hetvattenprod'!$B$1:$BX$550,MATCH("Tillförd olja (fossil) vid avfallsförbränning (GWh)",'Egen hetvattenprod'!$B$1:$BX$1,0),FALSE),"")</f>
        <v/>
      </c>
      <c r="BR291" s="227" t="str">
        <f>IF($BF291="ja",VLOOKUP($B291,Kraftvärmeprod!$B$1:$BX$550,MATCH("Tillförd olja (fossil) vid avfallsförbränning (GWh)",Kraftvärmeprod!$B$1:$BX$1,0),FALSE),"")</f>
        <v/>
      </c>
      <c r="BS291" s="227"/>
      <c r="BT291" s="227"/>
      <c r="BU291" s="227"/>
    </row>
    <row r="292" spans="1:73" x14ac:dyDescent="0.25">
      <c r="A292" s="121" t="str">
        <f>'Miljövärden för publ företag'!B295</f>
        <v>Vasa Värme Holding AB</v>
      </c>
      <c r="B292" s="121" t="str">
        <f>'Miljövärden för publ företag'!C295</f>
        <v>Krokek</v>
      </c>
      <c r="C292" s="173">
        <f>IFERROR(VLOOKUP($B292,Totalt!$B$1:$AQ$554,MATCH(C$2,Totalt!$B$1:$AQ$1,0),FALSE),"")</f>
        <v>0</v>
      </c>
      <c r="D292" s="173">
        <f>IFERROR(VLOOKUP($B292,Totalt!$B$1:$AQ$554,MATCH(D$2,Totalt!$B$1:$AQ$1,0),FALSE),"")</f>
        <v>2E-3</v>
      </c>
      <c r="E292" s="173">
        <f>IFERROR(VLOOKUP($B292,Totalt!$B$1:$AQ$554,MATCH(E$2,Totalt!$B$1:$AQ$1,0),FALSE),"")</f>
        <v>0</v>
      </c>
      <c r="F292" s="173">
        <f>IFERROR(VLOOKUP($B292,Totalt!$B$1:$AQ$554,MATCH(F$2,Totalt!$B$1:$AQ$1,0),FALSE),"")</f>
        <v>0</v>
      </c>
      <c r="G292" s="173">
        <f>IFERROR(VLOOKUP($B292,Totalt!$B$1:$AQ$554,MATCH(G$2,Totalt!$B$1:$AQ$1,0),FALSE),"")</f>
        <v>0</v>
      </c>
      <c r="H292" s="173">
        <f>IFERROR(VLOOKUP($B292,Totalt!$B$1:$AQ$554,MATCH(H$2,Totalt!$B$1:$AQ$1,0),FALSE),"")</f>
        <v>0</v>
      </c>
      <c r="I292" s="173">
        <f>IFERROR(VLOOKUP($B292,Totalt!$B$1:$AQ$554,MATCH(I$2,Totalt!$B$1:$AQ$1,0),FALSE),"")</f>
        <v>0</v>
      </c>
      <c r="J292" s="173">
        <f>IFERROR(VLOOKUP($B292,Totalt!$B$1:$AQ$554,MATCH(J$2,Totalt!$B$1:$AQ$1,0),FALSE),"")</f>
        <v>0</v>
      </c>
      <c r="K292" s="173">
        <f>IFERROR(VLOOKUP($B292,Totalt!$B$1:$AQ$554,MATCH(K$2,Totalt!$B$1:$AQ$1,0),FALSE),"")</f>
        <v>0</v>
      </c>
      <c r="L292" s="173">
        <f>IFERROR(VLOOKUP($B292,Totalt!$B$1:$AQ$554,MATCH(L$2,Totalt!$B$1:$AQ$1,0),FALSE),"")</f>
        <v>0</v>
      </c>
      <c r="M292" s="173">
        <f>IFERROR(VLOOKUP($B292,Totalt!$B$1:$AQ$554,MATCH(M$2,Totalt!$B$1:$AQ$1,0),FALSE),"")</f>
        <v>0</v>
      </c>
      <c r="N292" s="173">
        <f>IFERROR(VLOOKUP($B292,Totalt!$B$1:$AQ$554,MATCH(N$2,Totalt!$B$1:$AQ$1,0),FALSE),"")</f>
        <v>0</v>
      </c>
      <c r="O292" s="173">
        <f>IFERROR(VLOOKUP($B292,Totalt!$B$1:$AQ$554,MATCH(O$2,Totalt!$B$1:$AQ$1,0),FALSE),"")</f>
        <v>0</v>
      </c>
      <c r="P292" s="173">
        <f>IFERROR(VLOOKUP($B292,Totalt!$B$1:$AQ$554,MATCH(P$2,Totalt!$B$1:$AQ$1,0),FALSE),"")</f>
        <v>0</v>
      </c>
      <c r="Q292" s="173">
        <f>IFERROR(VLOOKUP($B292,Totalt!$B$1:$AQ$554,MATCH(Q$2,Totalt!$B$1:$AQ$1,0),FALSE),"")</f>
        <v>0</v>
      </c>
      <c r="R292" s="173">
        <f>IFERROR(VLOOKUP($B292,Totalt!$B$1:$AQ$554,MATCH(R$2,Totalt!$B$1:$AQ$1,0),FALSE),"")</f>
        <v>2.754</v>
      </c>
      <c r="S292" s="173">
        <f>IFERROR(VLOOKUP($B292,Totalt!$B$1:$AQ$554,MATCH(S$2,Totalt!$B$1:$AQ$1,0),FALSE),"")</f>
        <v>0</v>
      </c>
      <c r="T292" s="173">
        <f>IFERROR(VLOOKUP($B292,Totalt!$B$1:$AQ$554,MATCH(T$2,Totalt!$B$1:$AQ$1,0),FALSE),"")</f>
        <v>0</v>
      </c>
      <c r="U292" s="173">
        <f>IFERROR(VLOOKUP($B292,Totalt!$B$1:$AQ$554,MATCH(U$2,Totalt!$B$1:$AQ$1,0),FALSE),"")</f>
        <v>0</v>
      </c>
      <c r="V292" s="173">
        <f>IFERROR(VLOOKUP($B292,Totalt!$B$1:$AQ$554,MATCH(V$2,Totalt!$B$1:$AQ$1,0),FALSE),"")</f>
        <v>0</v>
      </c>
      <c r="W292" s="173">
        <f>IFERROR(VLOOKUP($B292,Totalt!$B$1:$AQ$554,MATCH(W$2,Totalt!$B$1:$AQ$1,0),FALSE),"")</f>
        <v>0</v>
      </c>
      <c r="X292" s="173">
        <f>IFERROR(VLOOKUP($B292,Totalt!$B$1:$AQ$554,MATCH(X$2,Totalt!$B$1:$AQ$1,0),FALSE),"")</f>
        <v>0</v>
      </c>
      <c r="Y292" s="173">
        <f>IFERROR(VLOOKUP($B292,Totalt!$B$1:$AQ$554,MATCH(Y$2,Totalt!$B$1:$AQ$1,0),FALSE),"")</f>
        <v>0</v>
      </c>
      <c r="Z292" s="173">
        <f>IFERROR(VLOOKUP($B292,Totalt!$B$1:$AQ$554,MATCH(Z$2,Totalt!$B$1:$AQ$1,0),FALSE),"")</f>
        <v>0</v>
      </c>
      <c r="AA292" s="173">
        <f>IFERROR(VLOOKUP($B292,Totalt!$B$1:$AQ$554,MATCH(AA$2,Totalt!$B$1:$AQ$1,0),FALSE),"")</f>
        <v>0</v>
      </c>
      <c r="AB292" s="173">
        <f>IFERROR(VLOOKUP($B292,Totalt!$B$1:$AQ$554,MATCH(AB$2,Totalt!$B$1:$AQ$1,0),FALSE),"")</f>
        <v>0</v>
      </c>
      <c r="AC292" s="173">
        <f>IFERROR(VLOOKUP($B292,Totalt!$B$1:$AQ$554,MATCH(AC$2,Totalt!$B$1:$AQ$1,0),FALSE),"")</f>
        <v>0</v>
      </c>
      <c r="AD292" s="173">
        <f>IFERROR(VLOOKUP($B292,Totalt!$B$1:$AQ$554,MATCH(AD$2,Totalt!$B$1:$AQ$1,0),FALSE),"")</f>
        <v>0</v>
      </c>
      <c r="AE292" s="173">
        <f>IFERROR(VLOOKUP($B292,Totalt!$B$1:$AQ$554,MATCH(AE$2,Totalt!$B$1:$AQ$1,0),FALSE),"")</f>
        <v>0</v>
      </c>
      <c r="AF292" s="173">
        <f>IFERROR(VLOOKUP($B292,Totalt!$B$1:$AQ$554,MATCH(AF$2,Totalt!$B$1:$AQ$1,0),FALSE),"")</f>
        <v>4.3999999999999997E-2</v>
      </c>
      <c r="AG292" s="173">
        <f>IFERROR(VLOOKUP($B292,Totalt!$B$1:$AQ$554,MATCH(AG$2,Totalt!$B$1:$AQ$1,0),FALSE),"")</f>
        <v>0</v>
      </c>
      <c r="AI292" s="226">
        <f t="shared" si="24"/>
        <v>2.8</v>
      </c>
      <c r="AJ292" s="226">
        <f>IF(ISERROR(1/VLOOKUP($B292,Leveranser!$B$1:$S$500,MATCH("såld värme (gwh)",Leveranser!$B$1:$S$1,0),FALSE)),"",VLOOKUP($B292,Leveranser!$B$1:$S$500,MATCH("såld värme (gwh)",Leveranser!$B$1:$S$1,0),FALSE))</f>
        <v>2.5720000000000001</v>
      </c>
      <c r="AM292" s="227" t="str">
        <f>IF(B292&lt;&gt;"",IF(VLOOKUP($B292,Totalt!$B$1:$AQ$554,MATCH("Kvalitetsgranskad:",Totalt!$B$1:$AQ$1,0),FALSE)="ja",VLOOKUP($B292,Miljö!$B$1:$AG$479,MATCH(AM$2,Miljö!$B$1:$AK$1,0),FALSE),""),"")</f>
        <v>Nej</v>
      </c>
      <c r="AN292" s="227" t="str">
        <f>IF(AM292="ja",VLOOKUP($B292,Miljö!$B$1:$J$479,MATCH("Typ av ursprungsspecificerad el   (Om inget värde anges används Nordisk residualmix, se inforuta) ()",Miljö!$B$1:$J$1,0),FALSE),IF(AM292="nej","Nordisk residualel",""))</f>
        <v>Nordisk residualel</v>
      </c>
      <c r="AO292" s="227">
        <f>IF(AM292="","",VLOOKUP($B292,Miljö!$B$1:$J$479,MATCH("Fossilandel för ursprungspecificerad el ()",Miljö!$B$1:$J$1,0),FALSE))</f>
        <v>0.43</v>
      </c>
      <c r="AP292" s="227">
        <f>IF(AM292="","",IFERROR(VLOOKUP($B292,Miljö!$B$1:$J$479,MATCH("Kärnkraftsandel för ursprungsspecificerad el ()",Miljö!$B$1:$J$1,0),FALSE)/1,0))</f>
        <v>0.40550000000000003</v>
      </c>
      <c r="AQ292" s="227">
        <f t="shared" si="25"/>
        <v>0.16450000000000004</v>
      </c>
      <c r="AR292" s="227"/>
      <c r="AS292" s="227" t="str">
        <f t="shared" si="26"/>
        <v>Nej</v>
      </c>
      <c r="AT292" s="227" t="str">
        <f>IF(AS292="ja",VLOOKUP($B292,Miljö!$B$1:$O$500,MATCH("Fossil andel i procent (%)",Miljö!$B$1:$O$1,0),FALSE)/100,"")</f>
        <v/>
      </c>
      <c r="AU292" s="227"/>
      <c r="AV292" s="227" t="str">
        <f t="shared" si="27"/>
        <v>Nej</v>
      </c>
      <c r="AW292" s="227" t="str">
        <f>IF(AV292="ja",VLOOKUP($B292,'Egen hetvattenprod'!$B$1:$AO$500,MATCH("Värmekälla till värmepumpar ()",'Egen hetvattenprod'!$B$1:$AO$1,0),FALSE),"")</f>
        <v/>
      </c>
      <c r="AX292" s="227"/>
      <c r="AY292" s="227" t="str">
        <f t="shared" si="28"/>
        <v>Nej</v>
      </c>
      <c r="AZ292" s="228" t="str">
        <f>IF($AY292="ja",(VLOOKUP($B292,'Egen hetvattenprod'!$B$1:$BX$550,MATCH(AZ$2,'Egen hetvattenprod'!$B$1:$BX$1,0),FALSE)+VLOOKUP($B292,Kraftvärmeprod!$B$1:$BX$550,MATCH(AZ$2,Kraftvärmeprod!$B$1:$BX$1,0),FALSE))/$AC292,"")</f>
        <v/>
      </c>
      <c r="BA292" s="228" t="str">
        <f>IF($AY292="ja",(VLOOKUP($B292,'Egen hetvattenprod'!$B$1:$BX$550,MATCH(BA$2,'Egen hetvattenprod'!$B$1:$BX$1,0),FALSE)+VLOOKUP($B292,Kraftvärmeprod!$B$1:$BX$550,MATCH(BA$2,Kraftvärmeprod!$B$1:$BX$1,0),FALSE))/$AC292,"")</f>
        <v/>
      </c>
      <c r="BB292" s="228" t="str">
        <f>IF($AY292="ja",(VLOOKUP($B292,'Egen hetvattenprod'!$B$1:$BX$550,MATCH(BB$2,'Egen hetvattenprod'!$B$1:$BX$1,0),FALSE)+VLOOKUP($B292,Kraftvärmeprod!$B$1:$BX$550,MATCH(BB$2,Kraftvärmeprod!$B$1:$BX$1,0),FALSE))/$AC292,"")</f>
        <v/>
      </c>
      <c r="BC292" s="228" t="str">
        <f>IF($AY292="ja",(VLOOKUP($B292,'Egen hetvattenprod'!$B$1:$BX$550,MATCH(BC$2,'Egen hetvattenprod'!$B$1:$BX$1,0),FALSE)+VLOOKUP($B292,Kraftvärmeprod!$B$1:$BX$550,MATCH(BC$2,Kraftvärmeprod!$B$1:$BX$1,0),FALSE))/$AC292,"")</f>
        <v/>
      </c>
      <c r="BD292" s="228" t="str">
        <f>IF($AY292="ja",(VLOOKUP($B292,'Egen hetvattenprod'!$B$1:$BX$550,MATCH(BD$2,'Egen hetvattenprod'!$B$1:$BX$1,0),FALSE)+VLOOKUP($B292,Kraftvärmeprod!$B$1:$BX$550,MATCH(BD$2,Kraftvärmeprod!$B$1:$BX$1,0),FALSE))/$AC292,"")</f>
        <v/>
      </c>
      <c r="BE292" s="227"/>
      <c r="BF292" s="227" t="str">
        <f t="shared" si="29"/>
        <v>Nej</v>
      </c>
      <c r="BG292" s="227" t="str">
        <f>IF($BF292="ja",VLOOKUP($B292,'Egen hetvattenprod'!$B$1:$BX$550,MATCH("Andelen klimatgaser med fossilt ursprung för avfall ()",'Egen hetvattenprod'!$B$1:$BX$1,0),FALSE),"")</f>
        <v/>
      </c>
      <c r="BH292" s="227" t="str">
        <f>IF($BF292="ja",VLOOKUP($B292,Kraftvärmeprod!$B$1:$BX$550,MATCH("Andelen klimatgaser med fossilt ursprung för avfall ()",Kraftvärmeprod!$B$1:$BX$1,0),FALSE),"")</f>
        <v/>
      </c>
      <c r="BI292" s="227" t="str">
        <f>IF($BF292="ja",VLOOKUP($B292,'Egen hetvattenprod'!$B$1:$BX$550,MATCH("Avfall (GWh)",'Egen hetvattenprod'!$B$1:$BX$1,0),FALSE),"")</f>
        <v/>
      </c>
      <c r="BJ292" s="227" t="str">
        <f>IF($BF292="ja",VLOOKUP($B292,'Slutlig allokering kvv'!$B$1:$BX$550,MATCH("Avfall (GWh)",'Slutlig allokering kvv'!$B$1:$BX$1,0),FALSE),"")</f>
        <v/>
      </c>
      <c r="BK292" s="227" t="str">
        <f>IF($BF292="ja",VLOOKUP($B292,'Köpt hetvatten'!$B$1:$BX$550,MATCH("Avfall i köpt hetvatten",'Köpt hetvatten'!$B$1:$BX$1,0),FALSE),"")</f>
        <v/>
      </c>
      <c r="BL292" s="227" t="str">
        <f>IF($BF292="ja",VLOOKUP($B292,'Egen hetvattenprod'!$B$1:$BX$550,MATCH("Värde enligt ovan. (%)",'Egen hetvattenprod'!$B$1:$BX$1,0),FALSE),"")</f>
        <v/>
      </c>
      <c r="BM292" s="227" t="str">
        <f>IF($BF292="ja",VLOOKUP($B292,Kraftvärmeprod!$B$1:$BX$550,MATCH("Värde enligt ovan. (%)",Kraftvärmeprod!$B$1:$BX$1,0),FALSE),"")</f>
        <v/>
      </c>
      <c r="BN292" s="227"/>
      <c r="BO292" s="227"/>
      <c r="BP292" s="227"/>
      <c r="BQ292" s="227" t="str">
        <f>IF($BF292="ja",VLOOKUP($B292,'Egen hetvattenprod'!$B$1:$BX$550,MATCH("Tillförd olja (fossil) vid avfallsförbränning (GWh)",'Egen hetvattenprod'!$B$1:$BX$1,0),FALSE),"")</f>
        <v/>
      </c>
      <c r="BR292" s="227" t="str">
        <f>IF($BF292="ja",VLOOKUP($B292,Kraftvärmeprod!$B$1:$BX$550,MATCH("Tillförd olja (fossil) vid avfallsförbränning (GWh)",Kraftvärmeprod!$B$1:$BX$1,0),FALSE),"")</f>
        <v/>
      </c>
      <c r="BS292" s="227"/>
      <c r="BT292" s="227"/>
      <c r="BU292" s="227"/>
    </row>
    <row r="293" spans="1:73" x14ac:dyDescent="0.25">
      <c r="A293" s="121" t="str">
        <f>'Miljövärden för publ företag'!B296</f>
        <v>Vattenfall AB</v>
      </c>
      <c r="B293" s="121" t="str">
        <f>'Miljövärden för publ företag'!C296</f>
        <v>Askersund</v>
      </c>
      <c r="C293" s="173">
        <f>IFERROR(VLOOKUP($B293,Totalt!$B$1:$AQ$554,MATCH(C$2,Totalt!$B$1:$AQ$1,0),FALSE),"")</f>
        <v>0</v>
      </c>
      <c r="D293" s="173">
        <f>IFERROR(VLOOKUP($B293,Totalt!$B$1:$AQ$554,MATCH(D$2,Totalt!$B$1:$AQ$1,0),FALSE),"")</f>
        <v>0.627</v>
      </c>
      <c r="E293" s="173">
        <f>IFERROR(VLOOKUP($B293,Totalt!$B$1:$AQ$554,MATCH(E$2,Totalt!$B$1:$AQ$1,0),FALSE),"")</f>
        <v>0</v>
      </c>
      <c r="F293" s="173">
        <f>IFERROR(VLOOKUP($B293,Totalt!$B$1:$AQ$554,MATCH(F$2,Totalt!$B$1:$AQ$1,0),FALSE),"")</f>
        <v>0</v>
      </c>
      <c r="G293" s="173">
        <f>IFERROR(VLOOKUP($B293,Totalt!$B$1:$AQ$554,MATCH(G$2,Totalt!$B$1:$AQ$1,0),FALSE),"")</f>
        <v>0</v>
      </c>
      <c r="H293" s="173">
        <f>IFERROR(VLOOKUP($B293,Totalt!$B$1:$AQ$554,MATCH(H$2,Totalt!$B$1:$AQ$1,0),FALSE),"")</f>
        <v>0</v>
      </c>
      <c r="I293" s="173">
        <f>IFERROR(VLOOKUP($B293,Totalt!$B$1:$AQ$554,MATCH(I$2,Totalt!$B$1:$AQ$1,0),FALSE),"")</f>
        <v>0</v>
      </c>
      <c r="J293" s="173">
        <f>IFERROR(VLOOKUP($B293,Totalt!$B$1:$AQ$554,MATCH(J$2,Totalt!$B$1:$AQ$1,0),FALSE),"")</f>
        <v>0</v>
      </c>
      <c r="K293" s="173">
        <f>IFERROR(VLOOKUP($B293,Totalt!$B$1:$AQ$554,MATCH(K$2,Totalt!$B$1:$AQ$1,0),FALSE),"")</f>
        <v>0</v>
      </c>
      <c r="L293" s="173">
        <f>IFERROR(VLOOKUP($B293,Totalt!$B$1:$AQ$554,MATCH(L$2,Totalt!$B$1:$AQ$1,0),FALSE),"")</f>
        <v>0</v>
      </c>
      <c r="M293" s="173">
        <f>IFERROR(VLOOKUP($B293,Totalt!$B$1:$AQ$554,MATCH(M$2,Totalt!$B$1:$AQ$1,0),FALSE),"")</f>
        <v>11.95</v>
      </c>
      <c r="N293" s="173">
        <f>IFERROR(VLOOKUP($B293,Totalt!$B$1:$AQ$554,MATCH(N$2,Totalt!$B$1:$AQ$1,0),FALSE),"")</f>
        <v>0</v>
      </c>
      <c r="O293" s="173">
        <f>IFERROR(VLOOKUP($B293,Totalt!$B$1:$AQ$554,MATCH(O$2,Totalt!$B$1:$AQ$1,0),FALSE),"")</f>
        <v>0</v>
      </c>
      <c r="P293" s="173">
        <f>IFERROR(VLOOKUP($B293,Totalt!$B$1:$AQ$554,MATCH(P$2,Totalt!$B$1:$AQ$1,0),FALSE),"")</f>
        <v>7.81</v>
      </c>
      <c r="Q293" s="173">
        <f>IFERROR(VLOOKUP($B293,Totalt!$B$1:$AQ$554,MATCH(Q$2,Totalt!$B$1:$AQ$1,0),FALSE),"")</f>
        <v>0</v>
      </c>
      <c r="R293" s="173">
        <f>IFERROR(VLOOKUP($B293,Totalt!$B$1:$AQ$554,MATCH(R$2,Totalt!$B$1:$AQ$1,0),FALSE),"")</f>
        <v>0</v>
      </c>
      <c r="S293" s="173">
        <f>IFERROR(VLOOKUP($B293,Totalt!$B$1:$AQ$554,MATCH(S$2,Totalt!$B$1:$AQ$1,0),FALSE),"")</f>
        <v>0</v>
      </c>
      <c r="T293" s="173">
        <f>IFERROR(VLOOKUP($B293,Totalt!$B$1:$AQ$554,MATCH(T$2,Totalt!$B$1:$AQ$1,0),FALSE),"")</f>
        <v>0</v>
      </c>
      <c r="U293" s="173">
        <f>IFERROR(VLOOKUP($B293,Totalt!$B$1:$AQ$554,MATCH(U$2,Totalt!$B$1:$AQ$1,0),FALSE),"")</f>
        <v>0</v>
      </c>
      <c r="V293" s="173">
        <f>IFERROR(VLOOKUP($B293,Totalt!$B$1:$AQ$554,MATCH(V$2,Totalt!$B$1:$AQ$1,0),FALSE),"")</f>
        <v>0</v>
      </c>
      <c r="W293" s="173">
        <f>IFERROR(VLOOKUP($B293,Totalt!$B$1:$AQ$554,MATCH(W$2,Totalt!$B$1:$AQ$1,0),FALSE),"")</f>
        <v>0</v>
      </c>
      <c r="X293" s="173">
        <f>IFERROR(VLOOKUP($B293,Totalt!$B$1:$AQ$554,MATCH(X$2,Totalt!$B$1:$AQ$1,0),FALSE),"")</f>
        <v>0</v>
      </c>
      <c r="Y293" s="173">
        <f>IFERROR(VLOOKUP($B293,Totalt!$B$1:$AQ$554,MATCH(Y$2,Totalt!$B$1:$AQ$1,0),FALSE),"")</f>
        <v>0</v>
      </c>
      <c r="Z293" s="173">
        <f>IFERROR(VLOOKUP($B293,Totalt!$B$1:$AQ$554,MATCH(Z$2,Totalt!$B$1:$AQ$1,0),FALSE),"")</f>
        <v>0</v>
      </c>
      <c r="AA293" s="173">
        <f>IFERROR(VLOOKUP($B293,Totalt!$B$1:$AQ$554,MATCH(AA$2,Totalt!$B$1:$AQ$1,0),FALSE),"")</f>
        <v>0</v>
      </c>
      <c r="AB293" s="173">
        <f>IFERROR(VLOOKUP($B293,Totalt!$B$1:$AQ$554,MATCH(AB$2,Totalt!$B$1:$AQ$1,0),FALSE),"")</f>
        <v>0</v>
      </c>
      <c r="AC293" s="173">
        <f>IFERROR(VLOOKUP($B293,Totalt!$B$1:$AQ$554,MATCH(AC$2,Totalt!$B$1:$AQ$1,0),FALSE),"")</f>
        <v>3.95</v>
      </c>
      <c r="AD293" s="173">
        <f>IFERROR(VLOOKUP($B293,Totalt!$B$1:$AQ$554,MATCH(AD$2,Totalt!$B$1:$AQ$1,0),FALSE),"")</f>
        <v>0</v>
      </c>
      <c r="AE293" s="173">
        <f>IFERROR(VLOOKUP($B293,Totalt!$B$1:$AQ$554,MATCH(AE$2,Totalt!$B$1:$AQ$1,0),FALSE),"")</f>
        <v>0</v>
      </c>
      <c r="AF293" s="173">
        <f>IFERROR(VLOOKUP($B293,Totalt!$B$1:$AQ$554,MATCH(AF$2,Totalt!$B$1:$AQ$1,0),FALSE),"")</f>
        <v>0.65300000000000002</v>
      </c>
      <c r="AG293" s="173">
        <f>IFERROR(VLOOKUP($B293,Totalt!$B$1:$AQ$554,MATCH(AG$2,Totalt!$B$1:$AQ$1,0),FALSE),"")</f>
        <v>0</v>
      </c>
      <c r="AI293" s="226">
        <f t="shared" si="24"/>
        <v>24.99</v>
      </c>
      <c r="AJ293" s="226">
        <f>IF(ISERROR(1/VLOOKUP($B293,Leveranser!$B$1:$S$500,MATCH("såld värme (gwh)",Leveranser!$B$1:$S$1,0),FALSE)),"",VLOOKUP($B293,Leveranser!$B$1:$S$500,MATCH("såld värme (gwh)",Leveranser!$B$1:$S$1,0),FALSE))</f>
        <v>18.920000000000002</v>
      </c>
      <c r="AM293" s="227" t="str">
        <f>IF(B293&lt;&gt;"",IF(VLOOKUP($B293,Totalt!$B$1:$AQ$554,MATCH("Kvalitetsgranskad:",Totalt!$B$1:$AQ$1,0),FALSE)="ja",VLOOKUP($B293,Miljö!$B$1:$AG$479,MATCH(AM$2,Miljö!$B$1:$AK$1,0),FALSE),""),"")</f>
        <v>Ja</v>
      </c>
      <c r="AN293" s="227" t="str">
        <f>IF(AM293="ja",VLOOKUP($B293,Miljö!$B$1:$J$479,MATCH("Typ av ursprungsspecificerad el   (Om inget värde anges används Nordisk residualmix, se inforuta) ()",Miljö!$B$1:$J$1,0),FALSE),IF(AM293="nej","Nordisk residualel",""))</f>
        <v>-</v>
      </c>
      <c r="AO293" s="227">
        <f>IF(AM293="","",VLOOKUP($B293,Miljö!$B$1:$J$479,MATCH("Fossilandel för ursprungspecificerad el ()",Miljö!$B$1:$J$1,0),FALSE))</f>
        <v>0</v>
      </c>
      <c r="AP293" s="227">
        <f>IF(AM293="","",IFERROR(VLOOKUP($B293,Miljö!$B$1:$J$479,MATCH("Kärnkraftsandel för ursprungsspecificerad el ()",Miljö!$B$1:$J$1,0),FALSE)/1,0))</f>
        <v>0.59399999999999997</v>
      </c>
      <c r="AQ293" s="227">
        <f t="shared" si="25"/>
        <v>0.40600000000000003</v>
      </c>
      <c r="AR293" s="227"/>
      <c r="AS293" s="227" t="str">
        <f t="shared" si="26"/>
        <v>Nej</v>
      </c>
      <c r="AT293" s="227" t="str">
        <f>IF(AS293="ja",VLOOKUP($B293,Miljö!$B$1:$O$500,MATCH("Fossil andel i procent (%)",Miljö!$B$1:$O$1,0),FALSE)/100,"")</f>
        <v/>
      </c>
      <c r="AU293" s="227"/>
      <c r="AV293" s="227" t="str">
        <f t="shared" si="27"/>
        <v>Nej</v>
      </c>
      <c r="AW293" s="227" t="str">
        <f>IF(AV293="ja",VLOOKUP($B293,'Egen hetvattenprod'!$B$1:$AO$500,MATCH("Värmekälla till värmepumpar ()",'Egen hetvattenprod'!$B$1:$AO$1,0),FALSE),"")</f>
        <v/>
      </c>
      <c r="AX293" s="227"/>
      <c r="AY293" s="227" t="str">
        <f t="shared" si="28"/>
        <v>Ja</v>
      </c>
      <c r="AZ293" s="228">
        <f>IF($AY293="ja",(VLOOKUP($B293,'Egen hetvattenprod'!$B$1:$BX$550,MATCH(AZ$2,'Egen hetvattenprod'!$B$1:$BX$1,0),FALSE)+VLOOKUP($B293,Kraftvärmeprod!$B$1:$BX$550,MATCH(AZ$2,Kraftvärmeprod!$B$1:$BX$1,0),FALSE))/$AC293,"")</f>
        <v>1</v>
      </c>
      <c r="BA293" s="228">
        <f>IF($AY293="ja",(VLOOKUP($B293,'Egen hetvattenprod'!$B$1:$BX$550,MATCH(BA$2,'Egen hetvattenprod'!$B$1:$BX$1,0),FALSE)+VLOOKUP($B293,Kraftvärmeprod!$B$1:$BX$550,MATCH(BA$2,Kraftvärmeprod!$B$1:$BX$1,0),FALSE))/$AC293,"")</f>
        <v>0</v>
      </c>
      <c r="BB293" s="228">
        <f>IF($AY293="ja",(VLOOKUP($B293,'Egen hetvattenprod'!$B$1:$BX$550,MATCH(BB$2,'Egen hetvattenprod'!$B$1:$BX$1,0),FALSE)+VLOOKUP($B293,Kraftvärmeprod!$B$1:$BX$550,MATCH(BB$2,Kraftvärmeprod!$B$1:$BX$1,0),FALSE))/$AC293,"")</f>
        <v>0</v>
      </c>
      <c r="BC293" s="228">
        <f>IF($AY293="ja",(VLOOKUP($B293,'Egen hetvattenprod'!$B$1:$BX$550,MATCH(BC$2,'Egen hetvattenprod'!$B$1:$BX$1,0),FALSE)+VLOOKUP($B293,Kraftvärmeprod!$B$1:$BX$550,MATCH(BC$2,Kraftvärmeprod!$B$1:$BX$1,0),FALSE))/$AC293,"")</f>
        <v>0</v>
      </c>
      <c r="BD293" s="228">
        <f>IF($AY293="ja",(VLOOKUP($B293,'Egen hetvattenprod'!$B$1:$BX$550,MATCH(BD$2,'Egen hetvattenprod'!$B$1:$BX$1,0),FALSE)+VLOOKUP($B293,Kraftvärmeprod!$B$1:$BX$550,MATCH(BD$2,Kraftvärmeprod!$B$1:$BX$1,0),FALSE))/$AC293,"")</f>
        <v>0</v>
      </c>
      <c r="BE293" s="227"/>
      <c r="BF293" s="227" t="str">
        <f t="shared" si="29"/>
        <v>Nej</v>
      </c>
      <c r="BG293" s="227" t="str">
        <f>IF($BF293="ja",VLOOKUP($B293,'Egen hetvattenprod'!$B$1:$BX$550,MATCH("Andelen klimatgaser med fossilt ursprung för avfall ()",'Egen hetvattenprod'!$B$1:$BX$1,0),FALSE),"")</f>
        <v/>
      </c>
      <c r="BH293" s="227" t="str">
        <f>IF($BF293="ja",VLOOKUP($B293,Kraftvärmeprod!$B$1:$BX$550,MATCH("Andelen klimatgaser med fossilt ursprung för avfall ()",Kraftvärmeprod!$B$1:$BX$1,0),FALSE),"")</f>
        <v/>
      </c>
      <c r="BI293" s="227" t="str">
        <f>IF($BF293="ja",VLOOKUP($B293,'Egen hetvattenprod'!$B$1:$BX$550,MATCH("Avfall (GWh)",'Egen hetvattenprod'!$B$1:$BX$1,0),FALSE),"")</f>
        <v/>
      </c>
      <c r="BJ293" s="227" t="str">
        <f>IF($BF293="ja",VLOOKUP($B293,'Slutlig allokering kvv'!$B$1:$BX$550,MATCH("Avfall (GWh)",'Slutlig allokering kvv'!$B$1:$BX$1,0),FALSE),"")</f>
        <v/>
      </c>
      <c r="BK293" s="227" t="str">
        <f>IF($BF293="ja",VLOOKUP($B293,'Köpt hetvatten'!$B$1:$BX$550,MATCH("Avfall i köpt hetvatten",'Köpt hetvatten'!$B$1:$BX$1,0),FALSE),"")</f>
        <v/>
      </c>
      <c r="BL293" s="227" t="str">
        <f>IF($BF293="ja",VLOOKUP($B293,'Egen hetvattenprod'!$B$1:$BX$550,MATCH("Värde enligt ovan. (%)",'Egen hetvattenprod'!$B$1:$BX$1,0),FALSE),"")</f>
        <v/>
      </c>
      <c r="BM293" s="227" t="str">
        <f>IF($BF293="ja",VLOOKUP($B293,Kraftvärmeprod!$B$1:$BX$550,MATCH("Värde enligt ovan. (%)",Kraftvärmeprod!$B$1:$BX$1,0),FALSE),"")</f>
        <v/>
      </c>
      <c r="BN293" s="227"/>
      <c r="BO293" s="227"/>
      <c r="BP293" s="227"/>
      <c r="BQ293" s="227" t="str">
        <f>IF($BF293="ja",VLOOKUP($B293,'Egen hetvattenprod'!$B$1:$BX$550,MATCH("Tillförd olja (fossil) vid avfallsförbränning (GWh)",'Egen hetvattenprod'!$B$1:$BX$1,0),FALSE),"")</f>
        <v/>
      </c>
      <c r="BR293" s="227" t="str">
        <f>IF($BF293="ja",VLOOKUP($B293,Kraftvärmeprod!$B$1:$BX$550,MATCH("Tillförd olja (fossil) vid avfallsförbränning (GWh)",Kraftvärmeprod!$B$1:$BX$1,0),FALSE),"")</f>
        <v/>
      </c>
      <c r="BS293" s="227"/>
      <c r="BT293" s="227"/>
      <c r="BU293" s="227"/>
    </row>
    <row r="294" spans="1:73" x14ac:dyDescent="0.25">
      <c r="A294" s="121" t="str">
        <f>'Miljövärden för publ företag'!B297</f>
        <v>Vattenfall AB</v>
      </c>
      <c r="B294" s="121" t="str">
        <f>'Miljövärden för publ företag'!C297</f>
        <v>Drefviken</v>
      </c>
      <c r="C294" s="173">
        <f>IFERROR(VLOOKUP($B294,Totalt!$B$1:$AQ$554,MATCH(C$2,Totalt!$B$1:$AQ$1,0),FALSE),"")</f>
        <v>0</v>
      </c>
      <c r="D294" s="173">
        <f>IFERROR(VLOOKUP($B294,Totalt!$B$1:$AQ$554,MATCH(D$2,Totalt!$B$1:$AQ$1,0),FALSE),"")</f>
        <v>0</v>
      </c>
      <c r="E294" s="173">
        <f>IFERROR(VLOOKUP($B294,Totalt!$B$1:$AQ$554,MATCH(E$2,Totalt!$B$1:$AQ$1,0),FALSE),"")</f>
        <v>0</v>
      </c>
      <c r="F294" s="173">
        <f>IFERROR(VLOOKUP($B294,Totalt!$B$1:$AQ$554,MATCH(F$2,Totalt!$B$1:$AQ$1,0),FALSE),"")</f>
        <v>0</v>
      </c>
      <c r="G294" s="173">
        <f>IFERROR(VLOOKUP($B294,Totalt!$B$1:$AQ$554,MATCH(G$2,Totalt!$B$1:$AQ$1,0),FALSE),"")</f>
        <v>0</v>
      </c>
      <c r="H294" s="173">
        <f>IFERROR(VLOOKUP($B294,Totalt!$B$1:$AQ$554,MATCH(H$2,Totalt!$B$1:$AQ$1,0),FALSE),"")</f>
        <v>0</v>
      </c>
      <c r="I294" s="173">
        <f>IFERROR(VLOOKUP($B294,Totalt!$B$1:$AQ$554,MATCH(I$2,Totalt!$B$1:$AQ$1,0),FALSE),"")</f>
        <v>0</v>
      </c>
      <c r="J294" s="173">
        <f>IFERROR(VLOOKUP($B294,Totalt!$B$1:$AQ$554,MATCH(J$2,Totalt!$B$1:$AQ$1,0),FALSE),"")</f>
        <v>0</v>
      </c>
      <c r="K294" s="173">
        <f>IFERROR(VLOOKUP($B294,Totalt!$B$1:$AQ$554,MATCH(K$2,Totalt!$B$1:$AQ$1,0),FALSE),"")</f>
        <v>0</v>
      </c>
      <c r="L294" s="173">
        <f>IFERROR(VLOOKUP($B294,Totalt!$B$1:$AQ$554,MATCH(L$2,Totalt!$B$1:$AQ$1,0),FALSE),"")</f>
        <v>333.97699999999998</v>
      </c>
      <c r="M294" s="173">
        <f>IFERROR(VLOOKUP($B294,Totalt!$B$1:$AQ$554,MATCH(M$2,Totalt!$B$1:$AQ$1,0),FALSE),"")</f>
        <v>0</v>
      </c>
      <c r="N294" s="173">
        <f>IFERROR(VLOOKUP($B294,Totalt!$B$1:$AQ$554,MATCH(N$2,Totalt!$B$1:$AQ$1,0),FALSE),"")</f>
        <v>0</v>
      </c>
      <c r="O294" s="173">
        <f>IFERROR(VLOOKUP($B294,Totalt!$B$1:$AQ$554,MATCH(O$2,Totalt!$B$1:$AQ$1,0),FALSE),"")</f>
        <v>0</v>
      </c>
      <c r="P294" s="173">
        <f>IFERROR(VLOOKUP($B294,Totalt!$B$1:$AQ$554,MATCH(P$2,Totalt!$B$1:$AQ$1,0),FALSE),"")</f>
        <v>4.1975100000000003</v>
      </c>
      <c r="Q294" s="173">
        <f>IFERROR(VLOOKUP($B294,Totalt!$B$1:$AQ$554,MATCH(Q$2,Totalt!$B$1:$AQ$1,0),FALSE),"")</f>
        <v>0</v>
      </c>
      <c r="R294" s="173">
        <f>IFERROR(VLOOKUP($B294,Totalt!$B$1:$AQ$554,MATCH(R$2,Totalt!$B$1:$AQ$1,0),FALSE),"")</f>
        <v>0</v>
      </c>
      <c r="S294" s="173">
        <f>IFERROR(VLOOKUP($B294,Totalt!$B$1:$AQ$554,MATCH(S$2,Totalt!$B$1:$AQ$1,0),FALSE),"")</f>
        <v>152.47999999999999</v>
      </c>
      <c r="T294" s="173">
        <f>IFERROR(VLOOKUP($B294,Totalt!$B$1:$AQ$554,MATCH(T$2,Totalt!$B$1:$AQ$1,0),FALSE),"")</f>
        <v>0</v>
      </c>
      <c r="U294" s="173">
        <f>IFERROR(VLOOKUP($B294,Totalt!$B$1:$AQ$554,MATCH(U$2,Totalt!$B$1:$AQ$1,0),FALSE),"")</f>
        <v>0</v>
      </c>
      <c r="V294" s="173">
        <f>IFERROR(VLOOKUP($B294,Totalt!$B$1:$AQ$554,MATCH(V$2,Totalt!$B$1:$AQ$1,0),FALSE),"")</f>
        <v>0</v>
      </c>
      <c r="W294" s="173">
        <f>IFERROR(VLOOKUP($B294,Totalt!$B$1:$AQ$554,MATCH(W$2,Totalt!$B$1:$AQ$1,0),FALSE),"")</f>
        <v>20.160699999999999</v>
      </c>
      <c r="X294" s="173">
        <f>IFERROR(VLOOKUP($B294,Totalt!$B$1:$AQ$554,MATCH(X$2,Totalt!$B$1:$AQ$1,0),FALSE),"")</f>
        <v>0</v>
      </c>
      <c r="Y294" s="173">
        <f>IFERROR(VLOOKUP($B294,Totalt!$B$1:$AQ$554,MATCH(Y$2,Totalt!$B$1:$AQ$1,0),FALSE),"")</f>
        <v>0</v>
      </c>
      <c r="Z294" s="173">
        <f>IFERROR(VLOOKUP($B294,Totalt!$B$1:$AQ$554,MATCH(Z$2,Totalt!$B$1:$AQ$1,0),FALSE),"")</f>
        <v>0</v>
      </c>
      <c r="AA294" s="173">
        <f>IFERROR(VLOOKUP($B294,Totalt!$B$1:$AQ$554,MATCH(AA$2,Totalt!$B$1:$AQ$1,0),FALSE),"")</f>
        <v>0</v>
      </c>
      <c r="AB294" s="173">
        <f>IFERROR(VLOOKUP($B294,Totalt!$B$1:$AQ$554,MATCH(AB$2,Totalt!$B$1:$AQ$1,0),FALSE),"")</f>
        <v>0</v>
      </c>
      <c r="AC294" s="173">
        <f>IFERROR(VLOOKUP($B294,Totalt!$B$1:$AQ$554,MATCH(AC$2,Totalt!$B$1:$AQ$1,0),FALSE),"")</f>
        <v>49.4</v>
      </c>
      <c r="AD294" s="173">
        <f>IFERROR(VLOOKUP($B294,Totalt!$B$1:$AQ$554,MATCH(AD$2,Totalt!$B$1:$AQ$1,0),FALSE),"")</f>
        <v>4.2439999999999998</v>
      </c>
      <c r="AE294" s="173">
        <f>IFERROR(VLOOKUP($B294,Totalt!$B$1:$AQ$554,MATCH(AE$2,Totalt!$B$1:$AQ$1,0),FALSE),"")</f>
        <v>0</v>
      </c>
      <c r="AF294" s="173">
        <f>IFERROR(VLOOKUP($B294,Totalt!$B$1:$AQ$554,MATCH(AF$2,Totalt!$B$1:$AQ$1,0),FALSE),"")</f>
        <v>23.020499999999998</v>
      </c>
      <c r="AG294" s="173">
        <f>IFERROR(VLOOKUP($B294,Totalt!$B$1:$AQ$554,MATCH(AG$2,Totalt!$B$1:$AQ$1,0),FALSE),"")</f>
        <v>0</v>
      </c>
      <c r="AI294" s="226">
        <f t="shared" si="24"/>
        <v>587.47970999999995</v>
      </c>
      <c r="AJ294" s="226">
        <f>IF(ISERROR(1/VLOOKUP($B294,Leveranser!$B$1:$S$500,MATCH("såld värme (gwh)",Leveranser!$B$1:$S$1,0),FALSE)),"",VLOOKUP($B294,Leveranser!$B$1:$S$500,MATCH("såld värme (gwh)",Leveranser!$B$1:$S$1,0),FALSE))</f>
        <v>467.84800000000001</v>
      </c>
      <c r="AM294" s="227" t="str">
        <f>IF(B294&lt;&gt;"",IF(VLOOKUP($B294,Totalt!$B$1:$AQ$554,MATCH("Kvalitetsgranskad:",Totalt!$B$1:$AQ$1,0),FALSE)="ja",VLOOKUP($B294,Miljö!$B$1:$AG$479,MATCH(AM$2,Miljö!$B$1:$AK$1,0),FALSE),""),"")</f>
        <v>Ja</v>
      </c>
      <c r="AN294" s="227" t="str">
        <f>IF(AM294="ja",VLOOKUP($B294,Miljö!$B$1:$J$479,MATCH("Typ av ursprungsspecificerad el   (Om inget värde anges används Nordisk residualmix, se inforuta) ()",Miljö!$B$1:$J$1,0),FALSE),IF(AM294="nej","Nordisk residualel",""))</f>
        <v>''Egenproducerad el från biobränsle''</v>
      </c>
      <c r="AO294" s="227">
        <f>IF(AM294="","",VLOOKUP($B294,Miljö!$B$1:$J$479,MATCH("Fossilandel för ursprungspecificerad el ()",Miljö!$B$1:$J$1,0),FALSE))</f>
        <v>0</v>
      </c>
      <c r="AP294" s="227">
        <f>IF(AM294="","",IFERROR(VLOOKUP($B294,Miljö!$B$1:$J$479,MATCH("Kärnkraftsandel för ursprungsspecificerad el ()",Miljö!$B$1:$J$1,0),FALSE)/1,0))</f>
        <v>0</v>
      </c>
      <c r="AQ294" s="227">
        <f t="shared" si="25"/>
        <v>1</v>
      </c>
      <c r="AR294" s="227"/>
      <c r="AS294" s="227" t="str">
        <f t="shared" si="26"/>
        <v>Nej</v>
      </c>
      <c r="AT294" s="227" t="str">
        <f>IF(AS294="ja",VLOOKUP($B294,Miljö!$B$1:$O$500,MATCH("Fossil andel i procent (%)",Miljö!$B$1:$O$1,0),FALSE)/100,"")</f>
        <v/>
      </c>
      <c r="AU294" s="227"/>
      <c r="AV294" s="227" t="str">
        <f t="shared" si="27"/>
        <v>Nej</v>
      </c>
      <c r="AW294" s="227" t="str">
        <f>IF(AV294="ja",VLOOKUP($B294,'Egen hetvattenprod'!$B$1:$AO$500,MATCH("Värmekälla till värmepumpar ()",'Egen hetvattenprod'!$B$1:$AO$1,0),FALSE),"")</f>
        <v/>
      </c>
      <c r="AX294" s="227"/>
      <c r="AY294" s="227" t="str">
        <f t="shared" si="28"/>
        <v>Ja</v>
      </c>
      <c r="AZ294" s="228">
        <f>IF($AY294="ja",(VLOOKUP($B294,'Egen hetvattenprod'!$B$1:$BX$550,MATCH(AZ$2,'Egen hetvattenprod'!$B$1:$BX$1,0),FALSE)+VLOOKUP($B294,Kraftvärmeprod!$B$1:$BX$550,MATCH(AZ$2,Kraftvärmeprod!$B$1:$BX$1,0),FALSE))/$AC294,"")</f>
        <v>1</v>
      </c>
      <c r="BA294" s="228">
        <f>IF($AY294="ja",(VLOOKUP($B294,'Egen hetvattenprod'!$B$1:$BX$550,MATCH(BA$2,'Egen hetvattenprod'!$B$1:$BX$1,0),FALSE)+VLOOKUP($B294,Kraftvärmeprod!$B$1:$BX$550,MATCH(BA$2,Kraftvärmeprod!$B$1:$BX$1,0),FALSE))/$AC294,"")</f>
        <v>0</v>
      </c>
      <c r="BB294" s="228">
        <f>IF($AY294="ja",(VLOOKUP($B294,'Egen hetvattenprod'!$B$1:$BX$550,MATCH(BB$2,'Egen hetvattenprod'!$B$1:$BX$1,0),FALSE)+VLOOKUP($B294,Kraftvärmeprod!$B$1:$BX$550,MATCH(BB$2,Kraftvärmeprod!$B$1:$BX$1,0),FALSE))/$AC294,"")</f>
        <v>0</v>
      </c>
      <c r="BC294" s="228">
        <f>IF($AY294="ja",(VLOOKUP($B294,'Egen hetvattenprod'!$B$1:$BX$550,MATCH(BC$2,'Egen hetvattenprod'!$B$1:$BX$1,0),FALSE)+VLOOKUP($B294,Kraftvärmeprod!$B$1:$BX$550,MATCH(BC$2,Kraftvärmeprod!$B$1:$BX$1,0),FALSE))/$AC294,"")</f>
        <v>0</v>
      </c>
      <c r="BD294" s="228">
        <f>IF($AY294="ja",(VLOOKUP($B294,'Egen hetvattenprod'!$B$1:$BX$550,MATCH(BD$2,'Egen hetvattenprod'!$B$1:$BX$1,0),FALSE)+VLOOKUP($B294,Kraftvärmeprod!$B$1:$BX$550,MATCH(BD$2,Kraftvärmeprod!$B$1:$BX$1,0),FALSE))/$AC294,"")</f>
        <v>0</v>
      </c>
      <c r="BE294" s="227"/>
      <c r="BF294" s="227" t="str">
        <f t="shared" si="29"/>
        <v>Nej</v>
      </c>
      <c r="BG294" s="227" t="str">
        <f>IF($BF294="ja",VLOOKUP($B294,'Egen hetvattenprod'!$B$1:$BX$550,MATCH("Andelen klimatgaser med fossilt ursprung för avfall ()",'Egen hetvattenprod'!$B$1:$BX$1,0),FALSE),"")</f>
        <v/>
      </c>
      <c r="BH294" s="227" t="str">
        <f>IF($BF294="ja",VLOOKUP($B294,Kraftvärmeprod!$B$1:$BX$550,MATCH("Andelen klimatgaser med fossilt ursprung för avfall ()",Kraftvärmeprod!$B$1:$BX$1,0),FALSE),"")</f>
        <v/>
      </c>
      <c r="BI294" s="227" t="str">
        <f>IF($BF294="ja",VLOOKUP($B294,'Egen hetvattenprod'!$B$1:$BX$550,MATCH("Avfall (GWh)",'Egen hetvattenprod'!$B$1:$BX$1,0),FALSE),"")</f>
        <v/>
      </c>
      <c r="BJ294" s="227" t="str">
        <f>IF($BF294="ja",VLOOKUP($B294,'Slutlig allokering kvv'!$B$1:$BX$550,MATCH("Avfall (GWh)",'Slutlig allokering kvv'!$B$1:$BX$1,0),FALSE),"")</f>
        <v/>
      </c>
      <c r="BK294" s="227" t="str">
        <f>IF($BF294="ja",VLOOKUP($B294,'Köpt hetvatten'!$B$1:$BX$550,MATCH("Avfall i köpt hetvatten",'Köpt hetvatten'!$B$1:$BX$1,0),FALSE),"")</f>
        <v/>
      </c>
      <c r="BL294" s="227" t="str">
        <f>IF($BF294="ja",VLOOKUP($B294,'Egen hetvattenprod'!$B$1:$BX$550,MATCH("Värde enligt ovan. (%)",'Egen hetvattenprod'!$B$1:$BX$1,0),FALSE),"")</f>
        <v/>
      </c>
      <c r="BM294" s="227" t="str">
        <f>IF($BF294="ja",VLOOKUP($B294,Kraftvärmeprod!$B$1:$BX$550,MATCH("Värde enligt ovan. (%)",Kraftvärmeprod!$B$1:$BX$1,0),FALSE),"")</f>
        <v/>
      </c>
      <c r="BN294" s="227"/>
      <c r="BO294" s="227"/>
      <c r="BP294" s="227"/>
      <c r="BQ294" s="227" t="str">
        <f>IF($BF294="ja",VLOOKUP($B294,'Egen hetvattenprod'!$B$1:$BX$550,MATCH("Tillförd olja (fossil) vid avfallsförbränning (GWh)",'Egen hetvattenprod'!$B$1:$BX$1,0),FALSE),"")</f>
        <v/>
      </c>
      <c r="BR294" s="227" t="str">
        <f>IF($BF294="ja",VLOOKUP($B294,Kraftvärmeprod!$B$1:$BX$550,MATCH("Tillförd olja (fossil) vid avfallsförbränning (GWh)",Kraftvärmeprod!$B$1:$BX$1,0),FALSE),"")</f>
        <v/>
      </c>
      <c r="BS294" s="227"/>
      <c r="BT294" s="227"/>
      <c r="BU294" s="227"/>
    </row>
    <row r="295" spans="1:73" x14ac:dyDescent="0.25">
      <c r="A295" s="121" t="str">
        <f>'Miljövärden för publ företag'!B298</f>
        <v>Vattenfall AB</v>
      </c>
      <c r="B295" s="121" t="str">
        <f>'Miljövärden för publ företag'!C298</f>
        <v>Gustavsberg</v>
      </c>
      <c r="C295" s="173">
        <f>IFERROR(VLOOKUP($B295,Totalt!$B$1:$AQ$554,MATCH(C$2,Totalt!$B$1:$AQ$1,0),FALSE),"")</f>
        <v>0</v>
      </c>
      <c r="D295" s="173">
        <f>IFERROR(VLOOKUP($B295,Totalt!$B$1:$AQ$554,MATCH(D$2,Totalt!$B$1:$AQ$1,0),FALSE),"")</f>
        <v>1.2E-2</v>
      </c>
      <c r="E295" s="173">
        <f>IFERROR(VLOOKUP($B295,Totalt!$B$1:$AQ$554,MATCH(E$2,Totalt!$B$1:$AQ$1,0),FALSE),"")</f>
        <v>0</v>
      </c>
      <c r="F295" s="173">
        <f>IFERROR(VLOOKUP($B295,Totalt!$B$1:$AQ$554,MATCH(F$2,Totalt!$B$1:$AQ$1,0),FALSE),"")</f>
        <v>0</v>
      </c>
      <c r="G295" s="173">
        <f>IFERROR(VLOOKUP($B295,Totalt!$B$1:$AQ$554,MATCH(G$2,Totalt!$B$1:$AQ$1,0),FALSE),"")</f>
        <v>0</v>
      </c>
      <c r="H295" s="173">
        <f>IFERROR(VLOOKUP($B295,Totalt!$B$1:$AQ$554,MATCH(H$2,Totalt!$B$1:$AQ$1,0),FALSE),"")</f>
        <v>0</v>
      </c>
      <c r="I295" s="173">
        <f>IFERROR(VLOOKUP($B295,Totalt!$B$1:$AQ$554,MATCH(I$2,Totalt!$B$1:$AQ$1,0),FALSE),"")</f>
        <v>0</v>
      </c>
      <c r="J295" s="173">
        <f>IFERROR(VLOOKUP($B295,Totalt!$B$1:$AQ$554,MATCH(J$2,Totalt!$B$1:$AQ$1,0),FALSE),"")</f>
        <v>10.8</v>
      </c>
      <c r="K295" s="173">
        <f>IFERROR(VLOOKUP($B295,Totalt!$B$1:$AQ$554,MATCH(K$2,Totalt!$B$1:$AQ$1,0),FALSE),"")</f>
        <v>0</v>
      </c>
      <c r="L295" s="173">
        <f>IFERROR(VLOOKUP($B295,Totalt!$B$1:$AQ$554,MATCH(L$2,Totalt!$B$1:$AQ$1,0),FALSE),"")</f>
        <v>0</v>
      </c>
      <c r="M295" s="173">
        <f>IFERROR(VLOOKUP($B295,Totalt!$B$1:$AQ$554,MATCH(M$2,Totalt!$B$1:$AQ$1,0),FALSE),"")</f>
        <v>0</v>
      </c>
      <c r="N295" s="173">
        <f>IFERROR(VLOOKUP($B295,Totalt!$B$1:$AQ$554,MATCH(N$2,Totalt!$B$1:$AQ$1,0),FALSE),"")</f>
        <v>0</v>
      </c>
      <c r="O295" s="173">
        <f>IFERROR(VLOOKUP($B295,Totalt!$B$1:$AQ$554,MATCH(O$2,Totalt!$B$1:$AQ$1,0),FALSE),"")</f>
        <v>0</v>
      </c>
      <c r="P295" s="173">
        <f>IFERROR(VLOOKUP($B295,Totalt!$B$1:$AQ$554,MATCH(P$2,Totalt!$B$1:$AQ$1,0),FALSE),"")</f>
        <v>40.74</v>
      </c>
      <c r="Q295" s="173">
        <f>IFERROR(VLOOKUP($B295,Totalt!$B$1:$AQ$554,MATCH(Q$2,Totalt!$B$1:$AQ$1,0),FALSE),"")</f>
        <v>0</v>
      </c>
      <c r="R295" s="173">
        <f>IFERROR(VLOOKUP($B295,Totalt!$B$1:$AQ$554,MATCH(R$2,Totalt!$B$1:$AQ$1,0),FALSE),"")</f>
        <v>2.8</v>
      </c>
      <c r="S295" s="173">
        <f>IFERROR(VLOOKUP($B295,Totalt!$B$1:$AQ$554,MATCH(S$2,Totalt!$B$1:$AQ$1,0),FALSE),"")</f>
        <v>0</v>
      </c>
      <c r="T295" s="173">
        <f>IFERROR(VLOOKUP($B295,Totalt!$B$1:$AQ$554,MATCH(T$2,Totalt!$B$1:$AQ$1,0),FALSE),"")</f>
        <v>0</v>
      </c>
      <c r="U295" s="173">
        <f>IFERROR(VLOOKUP($B295,Totalt!$B$1:$AQ$554,MATCH(U$2,Totalt!$B$1:$AQ$1,0),FALSE),"")</f>
        <v>3.43</v>
      </c>
      <c r="V295" s="173">
        <f>IFERROR(VLOOKUP($B295,Totalt!$B$1:$AQ$554,MATCH(V$2,Totalt!$B$1:$AQ$1,0),FALSE),"")</f>
        <v>0</v>
      </c>
      <c r="W295" s="173">
        <f>IFERROR(VLOOKUP($B295,Totalt!$B$1:$AQ$554,MATCH(W$2,Totalt!$B$1:$AQ$1,0),FALSE),"")</f>
        <v>21.5</v>
      </c>
      <c r="X295" s="173">
        <f>IFERROR(VLOOKUP($B295,Totalt!$B$1:$AQ$554,MATCH(X$2,Totalt!$B$1:$AQ$1,0),FALSE),"")</f>
        <v>0</v>
      </c>
      <c r="Y295" s="173">
        <f>IFERROR(VLOOKUP($B295,Totalt!$B$1:$AQ$554,MATCH(Y$2,Totalt!$B$1:$AQ$1,0),FALSE),"")</f>
        <v>0</v>
      </c>
      <c r="Z295" s="173">
        <f>IFERROR(VLOOKUP($B295,Totalt!$B$1:$AQ$554,MATCH(Z$2,Totalt!$B$1:$AQ$1,0),FALSE),"")</f>
        <v>0</v>
      </c>
      <c r="AA295" s="173">
        <f>IFERROR(VLOOKUP($B295,Totalt!$B$1:$AQ$554,MATCH(AA$2,Totalt!$B$1:$AQ$1,0),FALSE),"")</f>
        <v>0</v>
      </c>
      <c r="AB295" s="173">
        <f>IFERROR(VLOOKUP($B295,Totalt!$B$1:$AQ$554,MATCH(AB$2,Totalt!$B$1:$AQ$1,0),FALSE),"")</f>
        <v>0</v>
      </c>
      <c r="AC295" s="173">
        <f>IFERROR(VLOOKUP($B295,Totalt!$B$1:$AQ$554,MATCH(AC$2,Totalt!$B$1:$AQ$1,0),FALSE),"")</f>
        <v>6.67</v>
      </c>
      <c r="AD295" s="173">
        <f>IFERROR(VLOOKUP($B295,Totalt!$B$1:$AQ$554,MATCH(AD$2,Totalt!$B$1:$AQ$1,0),FALSE),"")</f>
        <v>0</v>
      </c>
      <c r="AE295" s="173">
        <f>IFERROR(VLOOKUP($B295,Totalt!$B$1:$AQ$554,MATCH(AE$2,Totalt!$B$1:$AQ$1,0),FALSE),"")</f>
        <v>0</v>
      </c>
      <c r="AF295" s="173">
        <f>IFERROR(VLOOKUP($B295,Totalt!$B$1:$AQ$554,MATCH(AF$2,Totalt!$B$1:$AQ$1,0),FALSE),"")</f>
        <v>1.6</v>
      </c>
      <c r="AG295" s="173">
        <f>IFERROR(VLOOKUP($B295,Totalt!$B$1:$AQ$554,MATCH(AG$2,Totalt!$B$1:$AQ$1,0),FALSE),"")</f>
        <v>0</v>
      </c>
      <c r="AI295" s="226">
        <f t="shared" si="24"/>
        <v>87.552000000000007</v>
      </c>
      <c r="AJ295" s="226">
        <f>IF(ISERROR(1/VLOOKUP($B295,Leveranser!$B$1:$S$500,MATCH("såld värme (gwh)",Leveranser!$B$1:$S$1,0),FALSE)),"",VLOOKUP($B295,Leveranser!$B$1:$S$500,MATCH("såld värme (gwh)",Leveranser!$B$1:$S$1,0),FALSE))</f>
        <v>67.75</v>
      </c>
      <c r="AM295" s="227" t="str">
        <f>IF(B295&lt;&gt;"",IF(VLOOKUP($B295,Totalt!$B$1:$AQ$554,MATCH("Kvalitetsgranskad:",Totalt!$B$1:$AQ$1,0),FALSE)="ja",VLOOKUP($B295,Miljö!$B$1:$AG$479,MATCH(AM$2,Miljö!$B$1:$AK$1,0),FALSE),""),"")</f>
        <v>Ja</v>
      </c>
      <c r="AN295" s="227" t="str">
        <f>IF(AM295="ja",VLOOKUP($B295,Miljö!$B$1:$J$479,MATCH("Typ av ursprungsspecificerad el   (Om inget värde anges används Nordisk residualmix, se inforuta) ()",Miljö!$B$1:$J$1,0),FALSE),IF(AM295="nej","Nordisk residualel",""))</f>
        <v>'Vattenfalls elmix'</v>
      </c>
      <c r="AO295" s="227">
        <f>IF(AM295="","",VLOOKUP($B295,Miljö!$B$1:$J$479,MATCH("Fossilandel för ursprungspecificerad el ()",Miljö!$B$1:$J$1,0),FALSE))</f>
        <v>0</v>
      </c>
      <c r="AP295" s="227">
        <f>IF(AM295="","",IFERROR(VLOOKUP($B295,Miljö!$B$1:$J$479,MATCH("Kärnkraftsandel för ursprungsspecificerad el ()",Miljö!$B$1:$J$1,0),FALSE)/1,0))</f>
        <v>0.59399999999999997</v>
      </c>
      <c r="AQ295" s="227">
        <f t="shared" si="25"/>
        <v>0.40600000000000003</v>
      </c>
      <c r="AR295" s="227"/>
      <c r="AS295" s="227" t="str">
        <f t="shared" si="26"/>
        <v>Nej</v>
      </c>
      <c r="AT295" s="227" t="str">
        <f>IF(AS295="ja",VLOOKUP($B295,Miljö!$B$1:$O$500,MATCH("Fossil andel i procent (%)",Miljö!$B$1:$O$1,0),FALSE)/100,"")</f>
        <v/>
      </c>
      <c r="AU295" s="227"/>
      <c r="AV295" s="227" t="str">
        <f t="shared" si="27"/>
        <v>Nej</v>
      </c>
      <c r="AW295" s="227" t="str">
        <f>IF(AV295="ja",VLOOKUP($B295,'Egen hetvattenprod'!$B$1:$AO$500,MATCH("Värmekälla till värmepumpar ()",'Egen hetvattenprod'!$B$1:$AO$1,0),FALSE),"")</f>
        <v/>
      </c>
      <c r="AX295" s="227"/>
      <c r="AY295" s="227" t="str">
        <f t="shared" si="28"/>
        <v>Ja</v>
      </c>
      <c r="AZ295" s="228">
        <f>IF($AY295="ja",(VLOOKUP($B295,'Egen hetvattenprod'!$B$1:$BX$550,MATCH(AZ$2,'Egen hetvattenprod'!$B$1:$BX$1,0),FALSE)+VLOOKUP($B295,Kraftvärmeprod!$B$1:$BX$550,MATCH(AZ$2,Kraftvärmeprod!$B$1:$BX$1,0),FALSE))/$AC295,"")</f>
        <v>1</v>
      </c>
      <c r="BA295" s="228">
        <f>IF($AY295="ja",(VLOOKUP($B295,'Egen hetvattenprod'!$B$1:$BX$550,MATCH(BA$2,'Egen hetvattenprod'!$B$1:$BX$1,0),FALSE)+VLOOKUP($B295,Kraftvärmeprod!$B$1:$BX$550,MATCH(BA$2,Kraftvärmeprod!$B$1:$BX$1,0),FALSE))/$AC295,"")</f>
        <v>0</v>
      </c>
      <c r="BB295" s="228">
        <f>IF($AY295="ja",(VLOOKUP($B295,'Egen hetvattenprod'!$B$1:$BX$550,MATCH(BB$2,'Egen hetvattenprod'!$B$1:$BX$1,0),FALSE)+VLOOKUP($B295,Kraftvärmeprod!$B$1:$BX$550,MATCH(BB$2,Kraftvärmeprod!$B$1:$BX$1,0),FALSE))/$AC295,"")</f>
        <v>0</v>
      </c>
      <c r="BC295" s="228">
        <f>IF($AY295="ja",(VLOOKUP($B295,'Egen hetvattenprod'!$B$1:$BX$550,MATCH(BC$2,'Egen hetvattenprod'!$B$1:$BX$1,0),FALSE)+VLOOKUP($B295,Kraftvärmeprod!$B$1:$BX$550,MATCH(BC$2,Kraftvärmeprod!$B$1:$BX$1,0),FALSE))/$AC295,"")</f>
        <v>0</v>
      </c>
      <c r="BD295" s="228">
        <f>IF($AY295="ja",(VLOOKUP($B295,'Egen hetvattenprod'!$B$1:$BX$550,MATCH(BD$2,'Egen hetvattenprod'!$B$1:$BX$1,0),FALSE)+VLOOKUP($B295,Kraftvärmeprod!$B$1:$BX$550,MATCH(BD$2,Kraftvärmeprod!$B$1:$BX$1,0),FALSE))/$AC295,"")</f>
        <v>0</v>
      </c>
      <c r="BE295" s="227"/>
      <c r="BF295" s="227" t="str">
        <f t="shared" si="29"/>
        <v>Nej</v>
      </c>
      <c r="BG295" s="227" t="str">
        <f>IF($BF295="ja",VLOOKUP($B295,'Egen hetvattenprod'!$B$1:$BX$550,MATCH("Andelen klimatgaser med fossilt ursprung för avfall ()",'Egen hetvattenprod'!$B$1:$BX$1,0),FALSE),"")</f>
        <v/>
      </c>
      <c r="BH295" s="227" t="str">
        <f>IF($BF295="ja",VLOOKUP($B295,Kraftvärmeprod!$B$1:$BX$550,MATCH("Andelen klimatgaser med fossilt ursprung för avfall ()",Kraftvärmeprod!$B$1:$BX$1,0),FALSE),"")</f>
        <v/>
      </c>
      <c r="BI295" s="227" t="str">
        <f>IF($BF295="ja",VLOOKUP($B295,'Egen hetvattenprod'!$B$1:$BX$550,MATCH("Avfall (GWh)",'Egen hetvattenprod'!$B$1:$BX$1,0),FALSE),"")</f>
        <v/>
      </c>
      <c r="BJ295" s="227" t="str">
        <f>IF($BF295="ja",VLOOKUP($B295,'Slutlig allokering kvv'!$B$1:$BX$550,MATCH("Avfall (GWh)",'Slutlig allokering kvv'!$B$1:$BX$1,0),FALSE),"")</f>
        <v/>
      </c>
      <c r="BK295" s="227" t="str">
        <f>IF($BF295="ja",VLOOKUP($B295,'Köpt hetvatten'!$B$1:$BX$550,MATCH("Avfall i köpt hetvatten",'Köpt hetvatten'!$B$1:$BX$1,0),FALSE),"")</f>
        <v/>
      </c>
      <c r="BL295" s="227" t="str">
        <f>IF($BF295="ja",VLOOKUP($B295,'Egen hetvattenprod'!$B$1:$BX$550,MATCH("Värde enligt ovan. (%)",'Egen hetvattenprod'!$B$1:$BX$1,0),FALSE),"")</f>
        <v/>
      </c>
      <c r="BM295" s="227" t="str">
        <f>IF($BF295="ja",VLOOKUP($B295,Kraftvärmeprod!$B$1:$BX$550,MATCH("Värde enligt ovan. (%)",Kraftvärmeprod!$B$1:$BX$1,0),FALSE),"")</f>
        <v/>
      </c>
      <c r="BN295" s="227"/>
      <c r="BO295" s="227"/>
      <c r="BP295" s="227"/>
      <c r="BQ295" s="227" t="str">
        <f>IF($BF295="ja",VLOOKUP($B295,'Egen hetvattenprod'!$B$1:$BX$550,MATCH("Tillförd olja (fossil) vid avfallsförbränning (GWh)",'Egen hetvattenprod'!$B$1:$BX$1,0),FALSE),"")</f>
        <v/>
      </c>
      <c r="BR295" s="227" t="str">
        <f>IF($BF295="ja",VLOOKUP($B295,Kraftvärmeprod!$B$1:$BX$550,MATCH("Tillförd olja (fossil) vid avfallsförbränning (GWh)",Kraftvärmeprod!$B$1:$BX$1,0),FALSE),"")</f>
        <v/>
      </c>
      <c r="BS295" s="227"/>
      <c r="BT295" s="227"/>
      <c r="BU295" s="227"/>
    </row>
    <row r="296" spans="1:73" x14ac:dyDescent="0.25">
      <c r="A296" s="121" t="str">
        <f>'Miljövärden för publ företag'!B299</f>
        <v>Vattenfall AB</v>
      </c>
      <c r="B296" s="121" t="str">
        <f>'Miljövärden för publ företag'!C299</f>
        <v>Knivsta (Vattenfall AB )</v>
      </c>
      <c r="C296" s="173">
        <f>IFERROR(VLOOKUP($B296,Totalt!$B$1:$AQ$554,MATCH(C$2,Totalt!$B$1:$AQ$1,0),FALSE),"")</f>
        <v>0</v>
      </c>
      <c r="D296" s="173">
        <f>IFERROR(VLOOKUP($B296,Totalt!$B$1:$AQ$554,MATCH(D$2,Totalt!$B$1:$AQ$1,0),FALSE),"")</f>
        <v>2.84</v>
      </c>
      <c r="E296" s="173">
        <f>IFERROR(VLOOKUP($B296,Totalt!$B$1:$AQ$554,MATCH(E$2,Totalt!$B$1:$AQ$1,0),FALSE),"")</f>
        <v>0</v>
      </c>
      <c r="F296" s="173">
        <f>IFERROR(VLOOKUP($B296,Totalt!$B$1:$AQ$554,MATCH(F$2,Totalt!$B$1:$AQ$1,0),FALSE),"")</f>
        <v>0</v>
      </c>
      <c r="G296" s="173">
        <f>IFERROR(VLOOKUP($B296,Totalt!$B$1:$AQ$554,MATCH(G$2,Totalt!$B$1:$AQ$1,0),FALSE),"")</f>
        <v>0</v>
      </c>
      <c r="H296" s="173">
        <f>IFERROR(VLOOKUP($B296,Totalt!$B$1:$AQ$554,MATCH(H$2,Totalt!$B$1:$AQ$1,0),FALSE),"")</f>
        <v>0</v>
      </c>
      <c r="I296" s="173">
        <f>IFERROR(VLOOKUP($B296,Totalt!$B$1:$AQ$554,MATCH(I$2,Totalt!$B$1:$AQ$1,0),FALSE),"")</f>
        <v>0</v>
      </c>
      <c r="J296" s="173">
        <f>IFERROR(VLOOKUP($B296,Totalt!$B$1:$AQ$554,MATCH(J$2,Totalt!$B$1:$AQ$1,0),FALSE),"")</f>
        <v>0</v>
      </c>
      <c r="K296" s="173">
        <f>IFERROR(VLOOKUP($B296,Totalt!$B$1:$AQ$554,MATCH(K$2,Totalt!$B$1:$AQ$1,0),FALSE),"")</f>
        <v>0</v>
      </c>
      <c r="L296" s="173">
        <f>IFERROR(VLOOKUP($B296,Totalt!$B$1:$AQ$554,MATCH(L$2,Totalt!$B$1:$AQ$1,0),FALSE),"")</f>
        <v>0</v>
      </c>
      <c r="M296" s="173">
        <f>IFERROR(VLOOKUP($B296,Totalt!$B$1:$AQ$554,MATCH(M$2,Totalt!$B$1:$AQ$1,0),FALSE),"")</f>
        <v>10.89</v>
      </c>
      <c r="N296" s="173">
        <f>IFERROR(VLOOKUP($B296,Totalt!$B$1:$AQ$554,MATCH(N$2,Totalt!$B$1:$AQ$1,0),FALSE),"")</f>
        <v>56.34</v>
      </c>
      <c r="O296" s="173">
        <f>IFERROR(VLOOKUP($B296,Totalt!$B$1:$AQ$554,MATCH(O$2,Totalt!$B$1:$AQ$1,0),FALSE),"")</f>
        <v>0</v>
      </c>
      <c r="P296" s="173">
        <f>IFERROR(VLOOKUP($B296,Totalt!$B$1:$AQ$554,MATCH(P$2,Totalt!$B$1:$AQ$1,0),FALSE),"")</f>
        <v>9.86</v>
      </c>
      <c r="Q296" s="173">
        <f>IFERROR(VLOOKUP($B296,Totalt!$B$1:$AQ$554,MATCH(Q$2,Totalt!$B$1:$AQ$1,0),FALSE),"")</f>
        <v>0</v>
      </c>
      <c r="R296" s="173">
        <f>IFERROR(VLOOKUP($B296,Totalt!$B$1:$AQ$554,MATCH(R$2,Totalt!$B$1:$AQ$1,0),FALSE),"")</f>
        <v>0</v>
      </c>
      <c r="S296" s="173">
        <f>IFERROR(VLOOKUP($B296,Totalt!$B$1:$AQ$554,MATCH(S$2,Totalt!$B$1:$AQ$1,0),FALSE),"")</f>
        <v>0</v>
      </c>
      <c r="T296" s="173">
        <f>IFERROR(VLOOKUP($B296,Totalt!$B$1:$AQ$554,MATCH(T$2,Totalt!$B$1:$AQ$1,0),FALSE),"")</f>
        <v>0</v>
      </c>
      <c r="U296" s="173">
        <f>IFERROR(VLOOKUP($B296,Totalt!$B$1:$AQ$554,MATCH(U$2,Totalt!$B$1:$AQ$1,0),FALSE),"")</f>
        <v>0</v>
      </c>
      <c r="V296" s="173">
        <f>IFERROR(VLOOKUP($B296,Totalt!$B$1:$AQ$554,MATCH(V$2,Totalt!$B$1:$AQ$1,0),FALSE),"")</f>
        <v>0</v>
      </c>
      <c r="W296" s="173">
        <f>IFERROR(VLOOKUP($B296,Totalt!$B$1:$AQ$554,MATCH(W$2,Totalt!$B$1:$AQ$1,0),FALSE),"")</f>
        <v>0</v>
      </c>
      <c r="X296" s="173">
        <f>IFERROR(VLOOKUP($B296,Totalt!$B$1:$AQ$554,MATCH(X$2,Totalt!$B$1:$AQ$1,0),FALSE),"")</f>
        <v>0</v>
      </c>
      <c r="Y296" s="173">
        <f>IFERROR(VLOOKUP($B296,Totalt!$B$1:$AQ$554,MATCH(Y$2,Totalt!$B$1:$AQ$1,0),FALSE),"")</f>
        <v>0</v>
      </c>
      <c r="Z296" s="173">
        <f>IFERROR(VLOOKUP($B296,Totalt!$B$1:$AQ$554,MATCH(Z$2,Totalt!$B$1:$AQ$1,0),FALSE),"")</f>
        <v>0</v>
      </c>
      <c r="AA296" s="173">
        <f>IFERROR(VLOOKUP($B296,Totalt!$B$1:$AQ$554,MATCH(AA$2,Totalt!$B$1:$AQ$1,0),FALSE),"")</f>
        <v>0</v>
      </c>
      <c r="AB296" s="173">
        <f>IFERROR(VLOOKUP($B296,Totalt!$B$1:$AQ$554,MATCH(AB$2,Totalt!$B$1:$AQ$1,0),FALSE),"")</f>
        <v>0</v>
      </c>
      <c r="AC296" s="173">
        <f>IFERROR(VLOOKUP($B296,Totalt!$B$1:$AQ$554,MATCH(AC$2,Totalt!$B$1:$AQ$1,0),FALSE),"")</f>
        <v>0</v>
      </c>
      <c r="AD296" s="173">
        <f>IFERROR(VLOOKUP($B296,Totalt!$B$1:$AQ$554,MATCH(AD$2,Totalt!$B$1:$AQ$1,0),FALSE),"")</f>
        <v>0</v>
      </c>
      <c r="AE296" s="173">
        <f>IFERROR(VLOOKUP($B296,Totalt!$B$1:$AQ$554,MATCH(AE$2,Totalt!$B$1:$AQ$1,0),FALSE),"")</f>
        <v>0</v>
      </c>
      <c r="AF296" s="173">
        <f>IFERROR(VLOOKUP($B296,Totalt!$B$1:$AQ$554,MATCH(AF$2,Totalt!$B$1:$AQ$1,0),FALSE),"")</f>
        <v>2.1</v>
      </c>
      <c r="AG296" s="173">
        <f>IFERROR(VLOOKUP($B296,Totalt!$B$1:$AQ$554,MATCH(AG$2,Totalt!$B$1:$AQ$1,0),FALSE),"")</f>
        <v>0</v>
      </c>
      <c r="AI296" s="226">
        <f t="shared" si="24"/>
        <v>82.03</v>
      </c>
      <c r="AJ296" s="226">
        <f>IF(ISERROR(1/VLOOKUP($B296,Leveranser!$B$1:$S$500,MATCH("såld värme (gwh)",Leveranser!$B$1:$S$1,0),FALSE)),"",VLOOKUP($B296,Leveranser!$B$1:$S$500,MATCH("såld värme (gwh)",Leveranser!$B$1:$S$1,0),FALSE))</f>
        <v>53.29</v>
      </c>
      <c r="AM296" s="227" t="str">
        <f>IF(B296&lt;&gt;"",IF(VLOOKUP($B296,Totalt!$B$1:$AQ$554,MATCH("Kvalitetsgranskad:",Totalt!$B$1:$AQ$1,0),FALSE)="ja",VLOOKUP($B296,Miljö!$B$1:$AG$479,MATCH(AM$2,Miljö!$B$1:$AK$1,0),FALSE),""),"")</f>
        <v>Ja</v>
      </c>
      <c r="AN296" s="227" t="str">
        <f>IF(AM296="ja",VLOOKUP($B296,Miljö!$B$1:$J$479,MATCH("Typ av ursprungsspecificerad el   (Om inget värde anges används Nordisk residualmix, se inforuta) ()",Miljö!$B$1:$J$1,0),FALSE),IF(AM296="nej","Nordisk residualel",""))</f>
        <v>'"Vattenfall elmix"'</v>
      </c>
      <c r="AO296" s="227">
        <f>IF(AM296="","",VLOOKUP($B296,Miljö!$B$1:$J$479,MATCH("Fossilandel för ursprungspecificerad el ()",Miljö!$B$1:$J$1,0),FALSE))</f>
        <v>0</v>
      </c>
      <c r="AP296" s="227">
        <f>IF(AM296="","",IFERROR(VLOOKUP($B296,Miljö!$B$1:$J$479,MATCH("Kärnkraftsandel för ursprungsspecificerad el ()",Miljö!$B$1:$J$1,0),FALSE)/1,0))</f>
        <v>0.59399999999999997</v>
      </c>
      <c r="AQ296" s="227">
        <f t="shared" si="25"/>
        <v>0.40600000000000003</v>
      </c>
      <c r="AR296" s="227"/>
      <c r="AS296" s="227" t="str">
        <f t="shared" si="26"/>
        <v>Nej</v>
      </c>
      <c r="AT296" s="227" t="str">
        <f>IF(AS296="ja",VLOOKUP($B296,Miljö!$B$1:$O$500,MATCH("Fossil andel i procent (%)",Miljö!$B$1:$O$1,0),FALSE)/100,"")</f>
        <v/>
      </c>
      <c r="AU296" s="227"/>
      <c r="AV296" s="227" t="str">
        <f t="shared" si="27"/>
        <v>Nej</v>
      </c>
      <c r="AW296" s="227" t="str">
        <f>IF(AV296="ja",VLOOKUP($B296,'Egen hetvattenprod'!$B$1:$AO$500,MATCH("Värmekälla till värmepumpar ()",'Egen hetvattenprod'!$B$1:$AO$1,0),FALSE),"")</f>
        <v/>
      </c>
      <c r="AX296" s="227"/>
      <c r="AY296" s="227" t="str">
        <f t="shared" si="28"/>
        <v>Nej</v>
      </c>
      <c r="AZ296" s="228" t="str">
        <f>IF($AY296="ja",(VLOOKUP($B296,'Egen hetvattenprod'!$B$1:$BX$550,MATCH(AZ$2,'Egen hetvattenprod'!$B$1:$BX$1,0),FALSE)+VLOOKUP($B296,Kraftvärmeprod!$B$1:$BX$550,MATCH(AZ$2,Kraftvärmeprod!$B$1:$BX$1,0),FALSE))/$AC296,"")</f>
        <v/>
      </c>
      <c r="BA296" s="228" t="str">
        <f>IF($AY296="ja",(VLOOKUP($B296,'Egen hetvattenprod'!$B$1:$BX$550,MATCH(BA$2,'Egen hetvattenprod'!$B$1:$BX$1,0),FALSE)+VLOOKUP($B296,Kraftvärmeprod!$B$1:$BX$550,MATCH(BA$2,Kraftvärmeprod!$B$1:$BX$1,0),FALSE))/$AC296,"")</f>
        <v/>
      </c>
      <c r="BB296" s="228" t="str">
        <f>IF($AY296="ja",(VLOOKUP($B296,'Egen hetvattenprod'!$B$1:$BX$550,MATCH(BB$2,'Egen hetvattenprod'!$B$1:$BX$1,0),FALSE)+VLOOKUP($B296,Kraftvärmeprod!$B$1:$BX$550,MATCH(BB$2,Kraftvärmeprod!$B$1:$BX$1,0),FALSE))/$AC296,"")</f>
        <v/>
      </c>
      <c r="BC296" s="228" t="str">
        <f>IF($AY296="ja",(VLOOKUP($B296,'Egen hetvattenprod'!$B$1:$BX$550,MATCH(BC$2,'Egen hetvattenprod'!$B$1:$BX$1,0),FALSE)+VLOOKUP($B296,Kraftvärmeprod!$B$1:$BX$550,MATCH(BC$2,Kraftvärmeprod!$B$1:$BX$1,0),FALSE))/$AC296,"")</f>
        <v/>
      </c>
      <c r="BD296" s="228" t="str">
        <f>IF($AY296="ja",(VLOOKUP($B296,'Egen hetvattenprod'!$B$1:$BX$550,MATCH(BD$2,'Egen hetvattenprod'!$B$1:$BX$1,0),FALSE)+VLOOKUP($B296,Kraftvärmeprod!$B$1:$BX$550,MATCH(BD$2,Kraftvärmeprod!$B$1:$BX$1,0),FALSE))/$AC296,"")</f>
        <v/>
      </c>
      <c r="BE296" s="227"/>
      <c r="BF296" s="227" t="str">
        <f t="shared" si="29"/>
        <v>Nej</v>
      </c>
      <c r="BG296" s="227" t="str">
        <f>IF($BF296="ja",VLOOKUP($B296,'Egen hetvattenprod'!$B$1:$BX$550,MATCH("Andelen klimatgaser med fossilt ursprung för avfall ()",'Egen hetvattenprod'!$B$1:$BX$1,0),FALSE),"")</f>
        <v/>
      </c>
      <c r="BH296" s="227" t="str">
        <f>IF($BF296="ja",VLOOKUP($B296,Kraftvärmeprod!$B$1:$BX$550,MATCH("Andelen klimatgaser med fossilt ursprung för avfall ()",Kraftvärmeprod!$B$1:$BX$1,0),FALSE),"")</f>
        <v/>
      </c>
      <c r="BI296" s="227" t="str">
        <f>IF($BF296="ja",VLOOKUP($B296,'Egen hetvattenprod'!$B$1:$BX$550,MATCH("Avfall (GWh)",'Egen hetvattenprod'!$B$1:$BX$1,0),FALSE),"")</f>
        <v/>
      </c>
      <c r="BJ296" s="227" t="str">
        <f>IF($BF296="ja",VLOOKUP($B296,'Slutlig allokering kvv'!$B$1:$BX$550,MATCH("Avfall (GWh)",'Slutlig allokering kvv'!$B$1:$BX$1,0),FALSE),"")</f>
        <v/>
      </c>
      <c r="BK296" s="227" t="str">
        <f>IF($BF296="ja",VLOOKUP($B296,'Köpt hetvatten'!$B$1:$BX$550,MATCH("Avfall i köpt hetvatten",'Köpt hetvatten'!$B$1:$BX$1,0),FALSE),"")</f>
        <v/>
      </c>
      <c r="BL296" s="227" t="str">
        <f>IF($BF296="ja",VLOOKUP($B296,'Egen hetvattenprod'!$B$1:$BX$550,MATCH("Värde enligt ovan. (%)",'Egen hetvattenprod'!$B$1:$BX$1,0),FALSE),"")</f>
        <v/>
      </c>
      <c r="BM296" s="227" t="str">
        <f>IF($BF296="ja",VLOOKUP($B296,Kraftvärmeprod!$B$1:$BX$550,MATCH("Värde enligt ovan. (%)",Kraftvärmeprod!$B$1:$BX$1,0),FALSE),"")</f>
        <v/>
      </c>
      <c r="BN296" s="227"/>
      <c r="BO296" s="227"/>
      <c r="BP296" s="227"/>
      <c r="BQ296" s="227" t="str">
        <f>IF($BF296="ja",VLOOKUP($B296,'Egen hetvattenprod'!$B$1:$BX$550,MATCH("Tillförd olja (fossil) vid avfallsförbränning (GWh)",'Egen hetvattenprod'!$B$1:$BX$1,0),FALSE),"")</f>
        <v/>
      </c>
      <c r="BR296" s="227" t="str">
        <f>IF($BF296="ja",VLOOKUP($B296,Kraftvärmeprod!$B$1:$BX$550,MATCH("Tillförd olja (fossil) vid avfallsförbränning (GWh)",Kraftvärmeprod!$B$1:$BX$1,0),FALSE),"")</f>
        <v/>
      </c>
      <c r="BS296" s="227"/>
      <c r="BT296" s="227"/>
      <c r="BU296" s="227"/>
    </row>
    <row r="297" spans="1:73" x14ac:dyDescent="0.25">
      <c r="A297" s="121" t="str">
        <f>'Miljövärden för publ företag'!B300</f>
        <v>Vattenfall AB</v>
      </c>
      <c r="B297" s="121" t="str">
        <f>'Miljövärden för publ företag'!C300</f>
        <v>Motala</v>
      </c>
      <c r="C297" s="173">
        <f>IFERROR(VLOOKUP($B297,Totalt!$B$1:$AQ$554,MATCH(C$2,Totalt!$B$1:$AQ$1,0),FALSE),"")</f>
        <v>0</v>
      </c>
      <c r="D297" s="173">
        <f>IFERROR(VLOOKUP($B297,Totalt!$B$1:$AQ$554,MATCH(D$2,Totalt!$B$1:$AQ$1,0),FALSE),"")</f>
        <v>1.74</v>
      </c>
      <c r="E297" s="173">
        <f>IFERROR(VLOOKUP($B297,Totalt!$B$1:$AQ$554,MATCH(E$2,Totalt!$B$1:$AQ$1,0),FALSE),"")</f>
        <v>0</v>
      </c>
      <c r="F297" s="173">
        <f>IFERROR(VLOOKUP($B297,Totalt!$B$1:$AQ$554,MATCH(F$2,Totalt!$B$1:$AQ$1,0),FALSE),"")</f>
        <v>3.27</v>
      </c>
      <c r="G297" s="173">
        <f>IFERROR(VLOOKUP($B297,Totalt!$B$1:$AQ$554,MATCH(G$2,Totalt!$B$1:$AQ$1,0),FALSE),"")</f>
        <v>0</v>
      </c>
      <c r="H297" s="173">
        <f>IFERROR(VLOOKUP($B297,Totalt!$B$1:$AQ$554,MATCH(H$2,Totalt!$B$1:$AQ$1,0),FALSE),"")</f>
        <v>0</v>
      </c>
      <c r="I297" s="173">
        <f>IFERROR(VLOOKUP($B297,Totalt!$B$1:$AQ$554,MATCH(I$2,Totalt!$B$1:$AQ$1,0),FALSE),"")</f>
        <v>0</v>
      </c>
      <c r="J297" s="173">
        <f>IFERROR(VLOOKUP($B297,Totalt!$B$1:$AQ$554,MATCH(J$2,Totalt!$B$1:$AQ$1,0),FALSE),"")</f>
        <v>0</v>
      </c>
      <c r="K297" s="173">
        <f>IFERROR(VLOOKUP($B297,Totalt!$B$1:$AQ$554,MATCH(K$2,Totalt!$B$1:$AQ$1,0),FALSE),"")</f>
        <v>0</v>
      </c>
      <c r="L297" s="173">
        <f>IFERROR(VLOOKUP($B297,Totalt!$B$1:$AQ$554,MATCH(L$2,Totalt!$B$1:$AQ$1,0),FALSE),"")</f>
        <v>0</v>
      </c>
      <c r="M297" s="173">
        <f>IFERROR(VLOOKUP($B297,Totalt!$B$1:$AQ$554,MATCH(M$2,Totalt!$B$1:$AQ$1,0),FALSE),"")</f>
        <v>38.819499999999998</v>
      </c>
      <c r="N297" s="173">
        <f>IFERROR(VLOOKUP($B297,Totalt!$B$1:$AQ$554,MATCH(N$2,Totalt!$B$1:$AQ$1,0),FALSE),"")</f>
        <v>86.721100000000007</v>
      </c>
      <c r="O297" s="173">
        <f>IFERROR(VLOOKUP($B297,Totalt!$B$1:$AQ$554,MATCH(O$2,Totalt!$B$1:$AQ$1,0),FALSE),"")</f>
        <v>35.628300000000003</v>
      </c>
      <c r="P297" s="173">
        <f>IFERROR(VLOOKUP($B297,Totalt!$B$1:$AQ$554,MATCH(P$2,Totalt!$B$1:$AQ$1,0),FALSE),"")</f>
        <v>2.8781699999999999</v>
      </c>
      <c r="Q297" s="173">
        <f>IFERROR(VLOOKUP($B297,Totalt!$B$1:$AQ$554,MATCH(Q$2,Totalt!$B$1:$AQ$1,0),FALSE),"")</f>
        <v>0</v>
      </c>
      <c r="R297" s="173">
        <f>IFERROR(VLOOKUP($B297,Totalt!$B$1:$AQ$554,MATCH(R$2,Totalt!$B$1:$AQ$1,0),FALSE),"")</f>
        <v>0</v>
      </c>
      <c r="S297" s="173">
        <f>IFERROR(VLOOKUP($B297,Totalt!$B$1:$AQ$554,MATCH(S$2,Totalt!$B$1:$AQ$1,0),FALSE),"")</f>
        <v>0</v>
      </c>
      <c r="T297" s="173">
        <f>IFERROR(VLOOKUP($B297,Totalt!$B$1:$AQ$554,MATCH(T$2,Totalt!$B$1:$AQ$1,0),FALSE),"")</f>
        <v>0</v>
      </c>
      <c r="U297" s="173">
        <f>IFERROR(VLOOKUP($B297,Totalt!$B$1:$AQ$554,MATCH(U$2,Totalt!$B$1:$AQ$1,0),FALSE),"")</f>
        <v>0</v>
      </c>
      <c r="V297" s="173">
        <f>IFERROR(VLOOKUP($B297,Totalt!$B$1:$AQ$554,MATCH(V$2,Totalt!$B$1:$AQ$1,0),FALSE),"")</f>
        <v>0</v>
      </c>
      <c r="W297" s="173">
        <f>IFERROR(VLOOKUP($B297,Totalt!$B$1:$AQ$554,MATCH(W$2,Totalt!$B$1:$AQ$1,0),FALSE),"")</f>
        <v>0</v>
      </c>
      <c r="X297" s="173">
        <f>IFERROR(VLOOKUP($B297,Totalt!$B$1:$AQ$554,MATCH(X$2,Totalt!$B$1:$AQ$1,0),FALSE),"")</f>
        <v>0</v>
      </c>
      <c r="Y297" s="173">
        <f>IFERROR(VLOOKUP($B297,Totalt!$B$1:$AQ$554,MATCH(Y$2,Totalt!$B$1:$AQ$1,0),FALSE),"")</f>
        <v>0</v>
      </c>
      <c r="Z297" s="173">
        <f>IFERROR(VLOOKUP($B297,Totalt!$B$1:$AQ$554,MATCH(Z$2,Totalt!$B$1:$AQ$1,0),FALSE),"")</f>
        <v>0</v>
      </c>
      <c r="AA297" s="173">
        <f>IFERROR(VLOOKUP($B297,Totalt!$B$1:$AQ$554,MATCH(AA$2,Totalt!$B$1:$AQ$1,0),FALSE),"")</f>
        <v>0</v>
      </c>
      <c r="AB297" s="173">
        <f>IFERROR(VLOOKUP($B297,Totalt!$B$1:$AQ$554,MATCH(AB$2,Totalt!$B$1:$AQ$1,0),FALSE),"")</f>
        <v>0</v>
      </c>
      <c r="AC297" s="173">
        <f>IFERROR(VLOOKUP($B297,Totalt!$B$1:$AQ$554,MATCH(AC$2,Totalt!$B$1:$AQ$1,0),FALSE),"")</f>
        <v>36.22</v>
      </c>
      <c r="AD297" s="173">
        <f>IFERROR(VLOOKUP($B297,Totalt!$B$1:$AQ$554,MATCH(AD$2,Totalt!$B$1:$AQ$1,0),FALSE),"")</f>
        <v>0</v>
      </c>
      <c r="AE297" s="173">
        <f>IFERROR(VLOOKUP($B297,Totalt!$B$1:$AQ$554,MATCH(AE$2,Totalt!$B$1:$AQ$1,0),FALSE),"")</f>
        <v>0</v>
      </c>
      <c r="AF297" s="173">
        <f>IFERROR(VLOOKUP($B297,Totalt!$B$1:$AQ$554,MATCH(AF$2,Totalt!$B$1:$AQ$1,0),FALSE),"")</f>
        <v>6.8137699999999999</v>
      </c>
      <c r="AG297" s="173">
        <f>IFERROR(VLOOKUP($B297,Totalt!$B$1:$AQ$554,MATCH(AG$2,Totalt!$B$1:$AQ$1,0),FALSE),"")</f>
        <v>0</v>
      </c>
      <c r="AI297" s="226">
        <f t="shared" si="24"/>
        <v>212.09084000000001</v>
      </c>
      <c r="AJ297" s="226">
        <f>IF(ISERROR(1/VLOOKUP($B297,Leveranser!$B$1:$S$500,MATCH("såld värme (gwh)",Leveranser!$B$1:$S$1,0),FALSE)),"",VLOOKUP($B297,Leveranser!$B$1:$S$500,MATCH("såld värme (gwh)",Leveranser!$B$1:$S$1,0),FALSE))</f>
        <v>150.82400000000001</v>
      </c>
      <c r="AM297" s="227" t="str">
        <f>IF(B297&lt;&gt;"",IF(VLOOKUP($B297,Totalt!$B$1:$AQ$554,MATCH("Kvalitetsgranskad:",Totalt!$B$1:$AQ$1,0),FALSE)="ja",VLOOKUP($B297,Miljö!$B$1:$AG$479,MATCH(AM$2,Miljö!$B$1:$AK$1,0),FALSE),""),"")</f>
        <v>Ja</v>
      </c>
      <c r="AN297" s="227" t="str">
        <f>IF(AM297="ja",VLOOKUP($B297,Miljö!$B$1:$J$479,MATCH("Typ av ursprungsspecificerad el   (Om inget värde anges används Nordisk residualmix, se inforuta) ()",Miljö!$B$1:$J$1,0),FALSE),IF(AM297="nej","Nordisk residualel",""))</f>
        <v>'Egenproducerad el biobränsle'</v>
      </c>
      <c r="AO297" s="227">
        <f>IF(AM297="","",VLOOKUP($B297,Miljö!$B$1:$J$479,MATCH("Fossilandel för ursprungspecificerad el ()",Miljö!$B$1:$J$1,0),FALSE))</f>
        <v>0</v>
      </c>
      <c r="AP297" s="227">
        <f>IF(AM297="","",IFERROR(VLOOKUP($B297,Miljö!$B$1:$J$479,MATCH("Kärnkraftsandel för ursprungsspecificerad el ()",Miljö!$B$1:$J$1,0),FALSE)/1,0))</f>
        <v>0</v>
      </c>
      <c r="AQ297" s="227">
        <f t="shared" si="25"/>
        <v>1</v>
      </c>
      <c r="AR297" s="227"/>
      <c r="AS297" s="227" t="str">
        <f t="shared" si="26"/>
        <v>Nej</v>
      </c>
      <c r="AT297" s="227" t="str">
        <f>IF(AS297="ja",VLOOKUP($B297,Miljö!$B$1:$O$500,MATCH("Fossil andel i procent (%)",Miljö!$B$1:$O$1,0),FALSE)/100,"")</f>
        <v/>
      </c>
      <c r="AU297" s="227"/>
      <c r="AV297" s="227" t="str">
        <f t="shared" si="27"/>
        <v>Nej</v>
      </c>
      <c r="AW297" s="227" t="str">
        <f>IF(AV297="ja",VLOOKUP($B297,'Egen hetvattenprod'!$B$1:$AO$500,MATCH("Värmekälla till värmepumpar ()",'Egen hetvattenprod'!$B$1:$AO$1,0),FALSE),"")</f>
        <v/>
      </c>
      <c r="AX297" s="227"/>
      <c r="AY297" s="227" t="str">
        <f t="shared" si="28"/>
        <v>Ja</v>
      </c>
      <c r="AZ297" s="228">
        <f>IF($AY297="ja",(VLOOKUP($B297,'Egen hetvattenprod'!$B$1:$BX$550,MATCH(AZ$2,'Egen hetvattenprod'!$B$1:$BX$1,0),FALSE)+VLOOKUP($B297,Kraftvärmeprod!$B$1:$BX$550,MATCH(AZ$2,Kraftvärmeprod!$B$1:$BX$1,0),FALSE))/$AC297,"")</f>
        <v>1</v>
      </c>
      <c r="BA297" s="228">
        <f>IF($AY297="ja",(VLOOKUP($B297,'Egen hetvattenprod'!$B$1:$BX$550,MATCH(BA$2,'Egen hetvattenprod'!$B$1:$BX$1,0),FALSE)+VLOOKUP($B297,Kraftvärmeprod!$B$1:$BX$550,MATCH(BA$2,Kraftvärmeprod!$B$1:$BX$1,0),FALSE))/$AC297,"")</f>
        <v>0</v>
      </c>
      <c r="BB297" s="228">
        <f>IF($AY297="ja",(VLOOKUP($B297,'Egen hetvattenprod'!$B$1:$BX$550,MATCH(BB$2,'Egen hetvattenprod'!$B$1:$BX$1,0),FALSE)+VLOOKUP($B297,Kraftvärmeprod!$B$1:$BX$550,MATCH(BB$2,Kraftvärmeprod!$B$1:$BX$1,0),FALSE))/$AC297,"")</f>
        <v>0</v>
      </c>
      <c r="BC297" s="228">
        <f>IF($AY297="ja",(VLOOKUP($B297,'Egen hetvattenprod'!$B$1:$BX$550,MATCH(BC$2,'Egen hetvattenprod'!$B$1:$BX$1,0),FALSE)+VLOOKUP($B297,Kraftvärmeprod!$B$1:$BX$550,MATCH(BC$2,Kraftvärmeprod!$B$1:$BX$1,0),FALSE))/$AC297,"")</f>
        <v>0</v>
      </c>
      <c r="BD297" s="228">
        <f>IF($AY297="ja",(VLOOKUP($B297,'Egen hetvattenprod'!$B$1:$BX$550,MATCH(BD$2,'Egen hetvattenprod'!$B$1:$BX$1,0),FALSE)+VLOOKUP($B297,Kraftvärmeprod!$B$1:$BX$550,MATCH(BD$2,Kraftvärmeprod!$B$1:$BX$1,0),FALSE))/$AC297,"")</f>
        <v>0</v>
      </c>
      <c r="BE297" s="227"/>
      <c r="BF297" s="227" t="str">
        <f t="shared" si="29"/>
        <v>Nej</v>
      </c>
      <c r="BG297" s="227" t="str">
        <f>IF($BF297="ja",VLOOKUP($B297,'Egen hetvattenprod'!$B$1:$BX$550,MATCH("Andelen klimatgaser med fossilt ursprung för avfall ()",'Egen hetvattenprod'!$B$1:$BX$1,0),FALSE),"")</f>
        <v/>
      </c>
      <c r="BH297" s="227" t="str">
        <f>IF($BF297="ja",VLOOKUP($B297,Kraftvärmeprod!$B$1:$BX$550,MATCH("Andelen klimatgaser med fossilt ursprung för avfall ()",Kraftvärmeprod!$B$1:$BX$1,0),FALSE),"")</f>
        <v/>
      </c>
      <c r="BI297" s="227" t="str">
        <f>IF($BF297="ja",VLOOKUP($B297,'Egen hetvattenprod'!$B$1:$BX$550,MATCH("Avfall (GWh)",'Egen hetvattenprod'!$B$1:$BX$1,0),FALSE),"")</f>
        <v/>
      </c>
      <c r="BJ297" s="227" t="str">
        <f>IF($BF297="ja",VLOOKUP($B297,'Slutlig allokering kvv'!$B$1:$BX$550,MATCH("Avfall (GWh)",'Slutlig allokering kvv'!$B$1:$BX$1,0),FALSE),"")</f>
        <v/>
      </c>
      <c r="BK297" s="227" t="str">
        <f>IF($BF297="ja",VLOOKUP($B297,'Köpt hetvatten'!$B$1:$BX$550,MATCH("Avfall i köpt hetvatten",'Köpt hetvatten'!$B$1:$BX$1,0),FALSE),"")</f>
        <v/>
      </c>
      <c r="BL297" s="227" t="str">
        <f>IF($BF297="ja",VLOOKUP($B297,'Egen hetvattenprod'!$B$1:$BX$550,MATCH("Värde enligt ovan. (%)",'Egen hetvattenprod'!$B$1:$BX$1,0),FALSE),"")</f>
        <v/>
      </c>
      <c r="BM297" s="227" t="str">
        <f>IF($BF297="ja",VLOOKUP($B297,Kraftvärmeprod!$B$1:$BX$550,MATCH("Värde enligt ovan. (%)",Kraftvärmeprod!$B$1:$BX$1,0),FALSE),"")</f>
        <v/>
      </c>
      <c r="BN297" s="227"/>
      <c r="BO297" s="227"/>
      <c r="BP297" s="227"/>
      <c r="BQ297" s="227" t="str">
        <f>IF($BF297="ja",VLOOKUP($B297,'Egen hetvattenprod'!$B$1:$BX$550,MATCH("Tillförd olja (fossil) vid avfallsförbränning (GWh)",'Egen hetvattenprod'!$B$1:$BX$1,0),FALSE),"")</f>
        <v/>
      </c>
      <c r="BR297" s="227" t="str">
        <f>IF($BF297="ja",VLOOKUP($B297,Kraftvärmeprod!$B$1:$BX$550,MATCH("Tillförd olja (fossil) vid avfallsförbränning (GWh)",Kraftvärmeprod!$B$1:$BX$1,0),FALSE),"")</f>
        <v/>
      </c>
      <c r="BS297" s="227"/>
      <c r="BT297" s="227"/>
      <c r="BU297" s="227"/>
    </row>
    <row r="298" spans="1:73" x14ac:dyDescent="0.25">
      <c r="A298" s="121" t="str">
        <f>'Miljövärden för publ företag'!B301</f>
        <v>Vattenfall AB</v>
      </c>
      <c r="B298" s="121" t="str">
        <f>'Miljövärden för publ företag'!C301</f>
        <v>Nyköping</v>
      </c>
      <c r="C298" s="173">
        <f>IFERROR(VLOOKUP($B298,Totalt!$B$1:$AQ$554,MATCH(C$2,Totalt!$B$1:$AQ$1,0),FALSE),"")</f>
        <v>0</v>
      </c>
      <c r="D298" s="173">
        <f>IFERROR(VLOOKUP($B298,Totalt!$B$1:$AQ$554,MATCH(D$2,Totalt!$B$1:$AQ$1,0),FALSE),"")</f>
        <v>0</v>
      </c>
      <c r="E298" s="173">
        <f>IFERROR(VLOOKUP($B298,Totalt!$B$1:$AQ$554,MATCH(E$2,Totalt!$B$1:$AQ$1,0),FALSE),"")</f>
        <v>8.1038300000000003</v>
      </c>
      <c r="F298" s="173">
        <f>IFERROR(VLOOKUP($B298,Totalt!$B$1:$AQ$554,MATCH(F$2,Totalt!$B$1:$AQ$1,0),FALSE),"")</f>
        <v>0</v>
      </c>
      <c r="G298" s="173">
        <f>IFERROR(VLOOKUP($B298,Totalt!$B$1:$AQ$554,MATCH(G$2,Totalt!$B$1:$AQ$1,0),FALSE),"")</f>
        <v>0</v>
      </c>
      <c r="H298" s="173">
        <f>IFERROR(VLOOKUP($B298,Totalt!$B$1:$AQ$554,MATCH(H$2,Totalt!$B$1:$AQ$1,0),FALSE),"")</f>
        <v>0</v>
      </c>
      <c r="I298" s="173">
        <f>IFERROR(VLOOKUP($B298,Totalt!$B$1:$AQ$554,MATCH(I$2,Totalt!$B$1:$AQ$1,0),FALSE),"")</f>
        <v>1.1037300000000001</v>
      </c>
      <c r="J298" s="173">
        <f>IFERROR(VLOOKUP($B298,Totalt!$B$1:$AQ$554,MATCH(J$2,Totalt!$B$1:$AQ$1,0),FALSE),"")</f>
        <v>1.05657</v>
      </c>
      <c r="K298" s="173">
        <f>IFERROR(VLOOKUP($B298,Totalt!$B$1:$AQ$554,MATCH(K$2,Totalt!$B$1:$AQ$1,0),FALSE),"")</f>
        <v>0</v>
      </c>
      <c r="L298" s="173">
        <f>IFERROR(VLOOKUP($B298,Totalt!$B$1:$AQ$554,MATCH(L$2,Totalt!$B$1:$AQ$1,0),FALSE),"")</f>
        <v>191.565</v>
      </c>
      <c r="M298" s="173">
        <f>IFERROR(VLOOKUP($B298,Totalt!$B$1:$AQ$554,MATCH(M$2,Totalt!$B$1:$AQ$1,0),FALSE),"")</f>
        <v>0</v>
      </c>
      <c r="N298" s="173">
        <f>IFERROR(VLOOKUP($B298,Totalt!$B$1:$AQ$554,MATCH(N$2,Totalt!$B$1:$AQ$1,0),FALSE),"")</f>
        <v>56.042099999999998</v>
      </c>
      <c r="O298" s="173">
        <f>IFERROR(VLOOKUP($B298,Totalt!$B$1:$AQ$554,MATCH(O$2,Totalt!$B$1:$AQ$1,0),FALSE),"")</f>
        <v>0</v>
      </c>
      <c r="P298" s="173">
        <f>IFERROR(VLOOKUP($B298,Totalt!$B$1:$AQ$554,MATCH(P$2,Totalt!$B$1:$AQ$1,0),FALSE),"")</f>
        <v>0</v>
      </c>
      <c r="Q298" s="173">
        <f>IFERROR(VLOOKUP($B298,Totalt!$B$1:$AQ$554,MATCH(Q$2,Totalt!$B$1:$AQ$1,0),FALSE),"")</f>
        <v>0</v>
      </c>
      <c r="R298" s="173">
        <f>IFERROR(VLOOKUP($B298,Totalt!$B$1:$AQ$554,MATCH(R$2,Totalt!$B$1:$AQ$1,0),FALSE),"")</f>
        <v>0</v>
      </c>
      <c r="S298" s="173">
        <f>IFERROR(VLOOKUP($B298,Totalt!$B$1:$AQ$554,MATCH(S$2,Totalt!$B$1:$AQ$1,0),FALSE),"")</f>
        <v>0</v>
      </c>
      <c r="T298" s="173">
        <f>IFERROR(VLOOKUP($B298,Totalt!$B$1:$AQ$554,MATCH(T$2,Totalt!$B$1:$AQ$1,0),FALSE),"")</f>
        <v>0</v>
      </c>
      <c r="U298" s="173">
        <f>IFERROR(VLOOKUP($B298,Totalt!$B$1:$AQ$554,MATCH(U$2,Totalt!$B$1:$AQ$1,0),FALSE),"")</f>
        <v>0</v>
      </c>
      <c r="V298" s="173">
        <f>IFERROR(VLOOKUP($B298,Totalt!$B$1:$AQ$554,MATCH(V$2,Totalt!$B$1:$AQ$1,0),FALSE),"")</f>
        <v>0</v>
      </c>
      <c r="W298" s="173">
        <f>IFERROR(VLOOKUP($B298,Totalt!$B$1:$AQ$554,MATCH(W$2,Totalt!$B$1:$AQ$1,0),FALSE),"")</f>
        <v>0</v>
      </c>
      <c r="X298" s="173">
        <f>IFERROR(VLOOKUP($B298,Totalt!$B$1:$AQ$554,MATCH(X$2,Totalt!$B$1:$AQ$1,0),FALSE),"")</f>
        <v>0</v>
      </c>
      <c r="Y298" s="173">
        <f>IFERROR(VLOOKUP($B298,Totalt!$B$1:$AQ$554,MATCH(Y$2,Totalt!$B$1:$AQ$1,0),FALSE),"")</f>
        <v>0</v>
      </c>
      <c r="Z298" s="173">
        <f>IFERROR(VLOOKUP($B298,Totalt!$B$1:$AQ$554,MATCH(Z$2,Totalt!$B$1:$AQ$1,0),FALSE),"")</f>
        <v>0.40100000000000002</v>
      </c>
      <c r="AA298" s="173">
        <f>IFERROR(VLOOKUP($B298,Totalt!$B$1:$AQ$554,MATCH(AA$2,Totalt!$B$1:$AQ$1,0),FALSE),"")</f>
        <v>0</v>
      </c>
      <c r="AB298" s="173">
        <f>IFERROR(VLOOKUP($B298,Totalt!$B$1:$AQ$554,MATCH(AB$2,Totalt!$B$1:$AQ$1,0),FALSE),"")</f>
        <v>0</v>
      </c>
      <c r="AC298" s="173">
        <f>IFERROR(VLOOKUP($B298,Totalt!$B$1:$AQ$554,MATCH(AC$2,Totalt!$B$1:$AQ$1,0),FALSE),"")</f>
        <v>51.639000000000003</v>
      </c>
      <c r="AD298" s="173">
        <f>IFERROR(VLOOKUP($B298,Totalt!$B$1:$AQ$554,MATCH(AD$2,Totalt!$B$1:$AQ$1,0),FALSE),"")</f>
        <v>0</v>
      </c>
      <c r="AE298" s="173">
        <f>IFERROR(VLOOKUP($B298,Totalt!$B$1:$AQ$554,MATCH(AE$2,Totalt!$B$1:$AQ$1,0),FALSE),"")</f>
        <v>0</v>
      </c>
      <c r="AF298" s="173">
        <f>IFERROR(VLOOKUP($B298,Totalt!$B$1:$AQ$554,MATCH(AF$2,Totalt!$B$1:$AQ$1,0),FALSE),"")</f>
        <v>11.2697</v>
      </c>
      <c r="AG298" s="173">
        <f>IFERROR(VLOOKUP($B298,Totalt!$B$1:$AQ$554,MATCH(AG$2,Totalt!$B$1:$AQ$1,0),FALSE),"")</f>
        <v>0</v>
      </c>
      <c r="AI298" s="226">
        <f t="shared" si="24"/>
        <v>321.18092999999999</v>
      </c>
      <c r="AJ298" s="226">
        <f>IF(ISERROR(1/VLOOKUP($B298,Leveranser!$B$1:$S$500,MATCH("såld värme (gwh)",Leveranser!$B$1:$S$1,0),FALSE)),"",VLOOKUP($B298,Leveranser!$B$1:$S$500,MATCH("såld värme (gwh)",Leveranser!$B$1:$S$1,0),FALSE))</f>
        <v>270.89100000000002</v>
      </c>
      <c r="AM298" s="227" t="str">
        <f>IF(B298&lt;&gt;"",IF(VLOOKUP($B298,Totalt!$B$1:$AQ$554,MATCH("Kvalitetsgranskad:",Totalt!$B$1:$AQ$1,0),FALSE)="ja",VLOOKUP($B298,Miljö!$B$1:$AG$479,MATCH(AM$2,Miljö!$B$1:$AK$1,0),FALSE),""),"")</f>
        <v>Ja</v>
      </c>
      <c r="AN298" s="227" t="str">
        <f>IF(AM298="ja",VLOOKUP($B298,Miljö!$B$1:$J$479,MATCH("Typ av ursprungsspecificerad el   (Om inget värde anges används Nordisk residualmix, se inforuta) ()",Miljö!$B$1:$J$1,0),FALSE),IF(AM298="nej","Nordisk residualel",""))</f>
        <v>'Egenproducerad el. biobränsle'</v>
      </c>
      <c r="AO298" s="227">
        <f>IF(AM298="","",VLOOKUP($B298,Miljö!$B$1:$J$479,MATCH("Fossilandel för ursprungspecificerad el ()",Miljö!$B$1:$J$1,0),FALSE))</f>
        <v>0.9</v>
      </c>
      <c r="AP298" s="227">
        <f>IF(AM298="","",IFERROR(VLOOKUP($B298,Miljö!$B$1:$J$479,MATCH("Kärnkraftsandel för ursprungsspecificerad el ()",Miljö!$B$1:$J$1,0),FALSE)/1,0))</f>
        <v>0</v>
      </c>
      <c r="AQ298" s="227">
        <f t="shared" si="25"/>
        <v>9.9999999999999978E-2</v>
      </c>
      <c r="AR298" s="227"/>
      <c r="AS298" s="227" t="str">
        <f t="shared" si="26"/>
        <v>Nej</v>
      </c>
      <c r="AT298" s="227" t="str">
        <f>IF(AS298="ja",VLOOKUP($B298,Miljö!$B$1:$O$500,MATCH("Fossil andel i procent (%)",Miljö!$B$1:$O$1,0),FALSE)/100,"")</f>
        <v/>
      </c>
      <c r="AU298" s="227"/>
      <c r="AV298" s="227" t="str">
        <f t="shared" si="27"/>
        <v>Nej</v>
      </c>
      <c r="AW298" s="227" t="str">
        <f>IF(AV298="ja",VLOOKUP($B298,'Egen hetvattenprod'!$B$1:$AO$500,MATCH("Värmekälla till värmepumpar ()",'Egen hetvattenprod'!$B$1:$AO$1,0),FALSE),"")</f>
        <v/>
      </c>
      <c r="AX298" s="227"/>
      <c r="AY298" s="227" t="str">
        <f t="shared" si="28"/>
        <v>Ja</v>
      </c>
      <c r="AZ298" s="228">
        <f>IF($AY298="ja",(VLOOKUP($B298,'Egen hetvattenprod'!$B$1:$BX$550,MATCH(AZ$2,'Egen hetvattenprod'!$B$1:$BX$1,0),FALSE)+VLOOKUP($B298,Kraftvärmeprod!$B$1:$BX$550,MATCH(AZ$2,Kraftvärmeprod!$B$1:$BX$1,0),FALSE))/$AC298,"")</f>
        <v>0.98499999999999999</v>
      </c>
      <c r="BA298" s="228">
        <f>IF($AY298="ja",(VLOOKUP($B298,'Egen hetvattenprod'!$B$1:$BX$550,MATCH(BA$2,'Egen hetvattenprod'!$B$1:$BX$1,0),FALSE)+VLOOKUP($B298,Kraftvärmeprod!$B$1:$BX$550,MATCH(BA$2,Kraftvärmeprod!$B$1:$BX$1,0),FALSE))/$AC298,"")</f>
        <v>5.9999999999999993E-3</v>
      </c>
      <c r="BB298" s="228">
        <f>IF($AY298="ja",(VLOOKUP($B298,'Egen hetvattenprod'!$B$1:$BX$550,MATCH(BB$2,'Egen hetvattenprod'!$B$1:$BX$1,0),FALSE)+VLOOKUP($B298,Kraftvärmeprod!$B$1:$BX$550,MATCH(BB$2,Kraftvärmeprod!$B$1:$BX$1,0),FALSE))/$AC298,"")</f>
        <v>9.0000000000000011E-3</v>
      </c>
      <c r="BC298" s="228">
        <f>IF($AY298="ja",(VLOOKUP($B298,'Egen hetvattenprod'!$B$1:$BX$550,MATCH(BC$2,'Egen hetvattenprod'!$B$1:$BX$1,0),FALSE)+VLOOKUP($B298,Kraftvärmeprod!$B$1:$BX$550,MATCH(BC$2,Kraftvärmeprod!$B$1:$BX$1,0),FALSE))/$AC298,"")</f>
        <v>0</v>
      </c>
      <c r="BD298" s="228">
        <f>IF($AY298="ja",(VLOOKUP($B298,'Egen hetvattenprod'!$B$1:$BX$550,MATCH(BD$2,'Egen hetvattenprod'!$B$1:$BX$1,0),FALSE)+VLOOKUP($B298,Kraftvärmeprod!$B$1:$BX$550,MATCH(BD$2,Kraftvärmeprod!$B$1:$BX$1,0),FALSE))/$AC298,"")</f>
        <v>0</v>
      </c>
      <c r="BE298" s="227"/>
      <c r="BF298" s="227" t="str">
        <f t="shared" si="29"/>
        <v>Ja</v>
      </c>
      <c r="BG298" s="227" t="str">
        <f>IF($BF298="ja",VLOOKUP($B298,'Egen hetvattenprod'!$B$1:$BX$550,MATCH("Andelen klimatgaser med fossilt ursprung för avfall ()",'Egen hetvattenprod'!$B$1:$BX$1,0),FALSE),"")</f>
        <v>Ingen redovisning</v>
      </c>
      <c r="BH298" s="227" t="str">
        <f>IF($BF298="ja",VLOOKUP($B298,Kraftvärmeprod!$B$1:$BX$550,MATCH("Andelen klimatgaser med fossilt ursprung för avfall ()",Kraftvärmeprod!$B$1:$BX$1,0),FALSE),"")</f>
        <v>Ingen redovisning</v>
      </c>
      <c r="BI298" s="227" t="str">
        <f>IF($BF298="ja",VLOOKUP($B298,'Egen hetvattenprod'!$B$1:$BX$550,MATCH("Avfall (GWh)",'Egen hetvattenprod'!$B$1:$BX$1,0),FALSE),"")</f>
        <v>ET</v>
      </c>
      <c r="BJ298" s="227">
        <f>IF($BF298="ja",VLOOKUP($B298,'Slutlig allokering kvv'!$B$1:$BX$550,MATCH("Avfall (GWh)",'Slutlig allokering kvv'!$B$1:$BX$1,0),FALSE),"")</f>
        <v>1.1037300000000001</v>
      </c>
      <c r="BK298" s="227">
        <f>IF($BF298="ja",VLOOKUP($B298,'Köpt hetvatten'!$B$1:$BX$550,MATCH("Avfall i köpt hetvatten",'Köpt hetvatten'!$B$1:$BX$1,0),FALSE),"")</f>
        <v>0</v>
      </c>
      <c r="BL298" s="227" t="str">
        <f>IF($BF298="ja",VLOOKUP($B298,'Egen hetvattenprod'!$B$1:$BX$550,MATCH("Värde enligt ovan. (%)",'Egen hetvattenprod'!$B$1:$BX$1,0),FALSE),"")</f>
        <v>ET</v>
      </c>
      <c r="BM298" s="227" t="str">
        <f>IF($BF298="ja",VLOOKUP($B298,Kraftvärmeprod!$B$1:$BX$550,MATCH("Värde enligt ovan. (%)",Kraftvärmeprod!$B$1:$BX$1,0),FALSE),"")</f>
        <v>ET</v>
      </c>
      <c r="BN298" s="227"/>
      <c r="BO298" s="227"/>
      <c r="BP298" s="227"/>
      <c r="BQ298" s="227" t="str">
        <f>IF($BF298="ja",VLOOKUP($B298,'Egen hetvattenprod'!$B$1:$BX$550,MATCH("Tillförd olja (fossil) vid avfallsförbränning (GWh)",'Egen hetvattenprod'!$B$1:$BX$1,0),FALSE),"")</f>
        <v>ET</v>
      </c>
      <c r="BR298" s="227" t="str">
        <f>IF($BF298="ja",VLOOKUP($B298,Kraftvärmeprod!$B$1:$BX$550,MATCH("Tillförd olja (fossil) vid avfallsförbränning (GWh)",Kraftvärmeprod!$B$1:$BX$1,0),FALSE),"")</f>
        <v>ET</v>
      </c>
      <c r="BS298" s="227"/>
      <c r="BT298" s="227"/>
      <c r="BU298" s="227"/>
    </row>
    <row r="299" spans="1:73" x14ac:dyDescent="0.25">
      <c r="A299" s="121" t="str">
        <f>'Miljövärden för publ företag'!B302</f>
        <v>Vattenfall AB</v>
      </c>
      <c r="B299" s="121" t="str">
        <f>'Miljövärden för publ företag'!C302</f>
        <v>Saltsjöbaden</v>
      </c>
      <c r="C299" s="173">
        <f>IFERROR(VLOOKUP($B299,Totalt!$B$1:$AQ$554,MATCH(C$2,Totalt!$B$1:$AQ$1,0),FALSE),"")</f>
        <v>0</v>
      </c>
      <c r="D299" s="173">
        <f>IFERROR(VLOOKUP($B299,Totalt!$B$1:$AQ$554,MATCH(D$2,Totalt!$B$1:$AQ$1,0),FALSE),"")</f>
        <v>0</v>
      </c>
      <c r="E299" s="173">
        <f>IFERROR(VLOOKUP($B299,Totalt!$B$1:$AQ$554,MATCH(E$2,Totalt!$B$1:$AQ$1,0),FALSE),"")</f>
        <v>0</v>
      </c>
      <c r="F299" s="173">
        <f>IFERROR(VLOOKUP($B299,Totalt!$B$1:$AQ$554,MATCH(F$2,Totalt!$B$1:$AQ$1,0),FALSE),"")</f>
        <v>0</v>
      </c>
      <c r="G299" s="173">
        <f>IFERROR(VLOOKUP($B299,Totalt!$B$1:$AQ$554,MATCH(G$2,Totalt!$B$1:$AQ$1,0),FALSE),"")</f>
        <v>0</v>
      </c>
      <c r="H299" s="173">
        <f>IFERROR(VLOOKUP($B299,Totalt!$B$1:$AQ$554,MATCH(H$2,Totalt!$B$1:$AQ$1,0),FALSE),"")</f>
        <v>0</v>
      </c>
      <c r="I299" s="173">
        <f>IFERROR(VLOOKUP($B299,Totalt!$B$1:$AQ$554,MATCH(I$2,Totalt!$B$1:$AQ$1,0),FALSE),"")</f>
        <v>0</v>
      </c>
      <c r="J299" s="173">
        <f>IFERROR(VLOOKUP($B299,Totalt!$B$1:$AQ$554,MATCH(J$2,Totalt!$B$1:$AQ$1,0),FALSE),"")</f>
        <v>0</v>
      </c>
      <c r="K299" s="173">
        <f>IFERROR(VLOOKUP($B299,Totalt!$B$1:$AQ$554,MATCH(K$2,Totalt!$B$1:$AQ$1,0),FALSE),"")</f>
        <v>0</v>
      </c>
      <c r="L299" s="173">
        <f>IFERROR(VLOOKUP($B299,Totalt!$B$1:$AQ$554,MATCH(L$2,Totalt!$B$1:$AQ$1,0),FALSE),"")</f>
        <v>0</v>
      </c>
      <c r="M299" s="173">
        <f>IFERROR(VLOOKUP($B299,Totalt!$B$1:$AQ$554,MATCH(M$2,Totalt!$B$1:$AQ$1,0),FALSE),"")</f>
        <v>0</v>
      </c>
      <c r="N299" s="173">
        <f>IFERROR(VLOOKUP($B299,Totalt!$B$1:$AQ$554,MATCH(N$2,Totalt!$B$1:$AQ$1,0),FALSE),"")</f>
        <v>0</v>
      </c>
      <c r="O299" s="173">
        <f>IFERROR(VLOOKUP($B299,Totalt!$B$1:$AQ$554,MATCH(O$2,Totalt!$B$1:$AQ$1,0),FALSE),"")</f>
        <v>0</v>
      </c>
      <c r="P299" s="173">
        <f>IFERROR(VLOOKUP($B299,Totalt!$B$1:$AQ$554,MATCH(P$2,Totalt!$B$1:$AQ$1,0),FALSE),"")</f>
        <v>0</v>
      </c>
      <c r="Q299" s="173">
        <f>IFERROR(VLOOKUP($B299,Totalt!$B$1:$AQ$554,MATCH(Q$2,Totalt!$B$1:$AQ$1,0),FALSE),"")</f>
        <v>0</v>
      </c>
      <c r="R299" s="173">
        <f>IFERROR(VLOOKUP($B299,Totalt!$B$1:$AQ$554,MATCH(R$2,Totalt!$B$1:$AQ$1,0),FALSE),"")</f>
        <v>0</v>
      </c>
      <c r="S299" s="173">
        <f>IFERROR(VLOOKUP($B299,Totalt!$B$1:$AQ$554,MATCH(S$2,Totalt!$B$1:$AQ$1,0),FALSE),"")</f>
        <v>0</v>
      </c>
      <c r="T299" s="173">
        <f>IFERROR(VLOOKUP($B299,Totalt!$B$1:$AQ$554,MATCH(T$2,Totalt!$B$1:$AQ$1,0),FALSE),"")</f>
        <v>0</v>
      </c>
      <c r="U299" s="173">
        <f>IFERROR(VLOOKUP($B299,Totalt!$B$1:$AQ$554,MATCH(U$2,Totalt!$B$1:$AQ$1,0),FALSE),"")</f>
        <v>0</v>
      </c>
      <c r="V299" s="173">
        <f>IFERROR(VLOOKUP($B299,Totalt!$B$1:$AQ$554,MATCH(V$2,Totalt!$B$1:$AQ$1,0),FALSE),"")</f>
        <v>0</v>
      </c>
      <c r="W299" s="173">
        <f>IFERROR(VLOOKUP($B299,Totalt!$B$1:$AQ$554,MATCH(W$2,Totalt!$B$1:$AQ$1,0),FALSE),"")</f>
        <v>29.53</v>
      </c>
      <c r="X299" s="173">
        <f>IFERROR(VLOOKUP($B299,Totalt!$B$1:$AQ$554,MATCH(X$2,Totalt!$B$1:$AQ$1,0),FALSE),"")</f>
        <v>0</v>
      </c>
      <c r="Y299" s="173">
        <f>IFERROR(VLOOKUP($B299,Totalt!$B$1:$AQ$554,MATCH(Y$2,Totalt!$B$1:$AQ$1,0),FALSE),"")</f>
        <v>0</v>
      </c>
      <c r="Z299" s="173">
        <f>IFERROR(VLOOKUP($B299,Totalt!$B$1:$AQ$554,MATCH(Z$2,Totalt!$B$1:$AQ$1,0),FALSE),"")</f>
        <v>0</v>
      </c>
      <c r="AA299" s="173">
        <f>IFERROR(VLOOKUP($B299,Totalt!$B$1:$AQ$554,MATCH(AA$2,Totalt!$B$1:$AQ$1,0),FALSE),"")</f>
        <v>0</v>
      </c>
      <c r="AB299" s="173">
        <f>IFERROR(VLOOKUP($B299,Totalt!$B$1:$AQ$554,MATCH(AB$2,Totalt!$B$1:$AQ$1,0),FALSE),"")</f>
        <v>0</v>
      </c>
      <c r="AC299" s="173">
        <f>IFERROR(VLOOKUP($B299,Totalt!$B$1:$AQ$554,MATCH(AC$2,Totalt!$B$1:$AQ$1,0),FALSE),"")</f>
        <v>0</v>
      </c>
      <c r="AD299" s="173">
        <f>IFERROR(VLOOKUP($B299,Totalt!$B$1:$AQ$554,MATCH(AD$2,Totalt!$B$1:$AQ$1,0),FALSE),"")</f>
        <v>0</v>
      </c>
      <c r="AE299" s="173">
        <f>IFERROR(VLOOKUP($B299,Totalt!$B$1:$AQ$554,MATCH(AE$2,Totalt!$B$1:$AQ$1,0),FALSE),"")</f>
        <v>0</v>
      </c>
      <c r="AF299" s="173">
        <f>IFERROR(VLOOKUP($B299,Totalt!$B$1:$AQ$554,MATCH(AF$2,Totalt!$B$1:$AQ$1,0),FALSE),"")</f>
        <v>0.51800000000000002</v>
      </c>
      <c r="AG299" s="173">
        <f>IFERROR(VLOOKUP($B299,Totalt!$B$1:$AQ$554,MATCH(AG$2,Totalt!$B$1:$AQ$1,0),FALSE),"")</f>
        <v>0</v>
      </c>
      <c r="AI299" s="226">
        <f t="shared" si="24"/>
        <v>30.048000000000002</v>
      </c>
      <c r="AJ299" s="226">
        <f>IF(ISERROR(1/VLOOKUP($B299,Leveranser!$B$1:$S$500,MATCH("såld värme (gwh)",Leveranser!$B$1:$S$1,0),FALSE)),"",VLOOKUP($B299,Leveranser!$B$1:$S$500,MATCH("såld värme (gwh)",Leveranser!$B$1:$S$1,0),FALSE))</f>
        <v>27.100999999999999</v>
      </c>
      <c r="AM299" s="227" t="str">
        <f>IF(B299&lt;&gt;"",IF(VLOOKUP($B299,Totalt!$B$1:$AQ$554,MATCH("Kvalitetsgranskad:",Totalt!$B$1:$AQ$1,0),FALSE)="ja",VLOOKUP($B299,Miljö!$B$1:$AG$479,MATCH(AM$2,Miljö!$B$1:$AK$1,0),FALSE),""),"")</f>
        <v>Ja</v>
      </c>
      <c r="AN299" s="227" t="str">
        <f>IF(AM299="ja",VLOOKUP($B299,Miljö!$B$1:$J$479,MATCH("Typ av ursprungsspecificerad el   (Om inget värde anges används Nordisk residualmix, se inforuta) ()",Miljö!$B$1:$J$1,0),FALSE),IF(AM299="nej","Nordisk residualel",""))</f>
        <v>'Vattenfalls elmix'</v>
      </c>
      <c r="AO299" s="227">
        <f>IF(AM299="","",VLOOKUP($B299,Miljö!$B$1:$J$479,MATCH("Fossilandel för ursprungspecificerad el ()",Miljö!$B$1:$J$1,0),FALSE))</f>
        <v>0</v>
      </c>
      <c r="AP299" s="227">
        <f>IF(AM299="","",IFERROR(VLOOKUP($B299,Miljö!$B$1:$J$479,MATCH("Kärnkraftsandel för ursprungsspecificerad el ()",Miljö!$B$1:$J$1,0),FALSE)/1,0))</f>
        <v>0.59399999999999997</v>
      </c>
      <c r="AQ299" s="227">
        <f t="shared" si="25"/>
        <v>0.40600000000000003</v>
      </c>
      <c r="AR299" s="227"/>
      <c r="AS299" s="227" t="str">
        <f t="shared" si="26"/>
        <v>Nej</v>
      </c>
      <c r="AT299" s="227" t="str">
        <f>IF(AS299="ja",VLOOKUP($B299,Miljö!$B$1:$O$500,MATCH("Fossil andel i procent (%)",Miljö!$B$1:$O$1,0),FALSE)/100,"")</f>
        <v/>
      </c>
      <c r="AU299" s="227"/>
      <c r="AV299" s="227" t="str">
        <f t="shared" si="27"/>
        <v>Nej</v>
      </c>
      <c r="AW299" s="227" t="str">
        <f>IF(AV299="ja",VLOOKUP($B299,'Egen hetvattenprod'!$B$1:$AO$500,MATCH("Värmekälla till värmepumpar ()",'Egen hetvattenprod'!$B$1:$AO$1,0),FALSE),"")</f>
        <v/>
      </c>
      <c r="AX299" s="227"/>
      <c r="AY299" s="227" t="str">
        <f t="shared" si="28"/>
        <v>Nej</v>
      </c>
      <c r="AZ299" s="228" t="str">
        <f>IF($AY299="ja",(VLOOKUP($B299,'Egen hetvattenprod'!$B$1:$BX$550,MATCH(AZ$2,'Egen hetvattenprod'!$B$1:$BX$1,0),FALSE)+VLOOKUP($B299,Kraftvärmeprod!$B$1:$BX$550,MATCH(AZ$2,Kraftvärmeprod!$B$1:$BX$1,0),FALSE))/$AC299,"")</f>
        <v/>
      </c>
      <c r="BA299" s="228" t="str">
        <f>IF($AY299="ja",(VLOOKUP($B299,'Egen hetvattenprod'!$B$1:$BX$550,MATCH(BA$2,'Egen hetvattenprod'!$B$1:$BX$1,0),FALSE)+VLOOKUP($B299,Kraftvärmeprod!$B$1:$BX$550,MATCH(BA$2,Kraftvärmeprod!$B$1:$BX$1,0),FALSE))/$AC299,"")</f>
        <v/>
      </c>
      <c r="BB299" s="228" t="str">
        <f>IF($AY299="ja",(VLOOKUP($B299,'Egen hetvattenprod'!$B$1:$BX$550,MATCH(BB$2,'Egen hetvattenprod'!$B$1:$BX$1,0),FALSE)+VLOOKUP($B299,Kraftvärmeprod!$B$1:$BX$550,MATCH(BB$2,Kraftvärmeprod!$B$1:$BX$1,0),FALSE))/$AC299,"")</f>
        <v/>
      </c>
      <c r="BC299" s="228" t="str">
        <f>IF($AY299="ja",(VLOOKUP($B299,'Egen hetvattenprod'!$B$1:$BX$550,MATCH(BC$2,'Egen hetvattenprod'!$B$1:$BX$1,0),FALSE)+VLOOKUP($B299,Kraftvärmeprod!$B$1:$BX$550,MATCH(BC$2,Kraftvärmeprod!$B$1:$BX$1,0),FALSE))/$AC299,"")</f>
        <v/>
      </c>
      <c r="BD299" s="228" t="str">
        <f>IF($AY299="ja",(VLOOKUP($B299,'Egen hetvattenprod'!$B$1:$BX$550,MATCH(BD$2,'Egen hetvattenprod'!$B$1:$BX$1,0),FALSE)+VLOOKUP($B299,Kraftvärmeprod!$B$1:$BX$550,MATCH(BD$2,Kraftvärmeprod!$B$1:$BX$1,0),FALSE))/$AC299,"")</f>
        <v/>
      </c>
      <c r="BE299" s="227"/>
      <c r="BF299" s="227" t="str">
        <f t="shared" si="29"/>
        <v>Nej</v>
      </c>
      <c r="BG299" s="227" t="str">
        <f>IF($BF299="ja",VLOOKUP($B299,'Egen hetvattenprod'!$B$1:$BX$550,MATCH("Andelen klimatgaser med fossilt ursprung för avfall ()",'Egen hetvattenprod'!$B$1:$BX$1,0),FALSE),"")</f>
        <v/>
      </c>
      <c r="BH299" s="227" t="str">
        <f>IF($BF299="ja",VLOOKUP($B299,Kraftvärmeprod!$B$1:$BX$550,MATCH("Andelen klimatgaser med fossilt ursprung för avfall ()",Kraftvärmeprod!$B$1:$BX$1,0),FALSE),"")</f>
        <v/>
      </c>
      <c r="BI299" s="227" t="str">
        <f>IF($BF299="ja",VLOOKUP($B299,'Egen hetvattenprod'!$B$1:$BX$550,MATCH("Avfall (GWh)",'Egen hetvattenprod'!$B$1:$BX$1,0),FALSE),"")</f>
        <v/>
      </c>
      <c r="BJ299" s="227" t="str">
        <f>IF($BF299="ja",VLOOKUP($B299,'Slutlig allokering kvv'!$B$1:$BX$550,MATCH("Avfall (GWh)",'Slutlig allokering kvv'!$B$1:$BX$1,0),FALSE),"")</f>
        <v/>
      </c>
      <c r="BK299" s="227" t="str">
        <f>IF($BF299="ja",VLOOKUP($B299,'Köpt hetvatten'!$B$1:$BX$550,MATCH("Avfall i köpt hetvatten",'Köpt hetvatten'!$B$1:$BX$1,0),FALSE),"")</f>
        <v/>
      </c>
      <c r="BL299" s="227" t="str">
        <f>IF($BF299="ja",VLOOKUP($B299,'Egen hetvattenprod'!$B$1:$BX$550,MATCH("Värde enligt ovan. (%)",'Egen hetvattenprod'!$B$1:$BX$1,0),FALSE),"")</f>
        <v/>
      </c>
      <c r="BM299" s="227" t="str">
        <f>IF($BF299="ja",VLOOKUP($B299,Kraftvärmeprod!$B$1:$BX$550,MATCH("Värde enligt ovan. (%)",Kraftvärmeprod!$B$1:$BX$1,0),FALSE),"")</f>
        <v/>
      </c>
      <c r="BN299" s="227"/>
      <c r="BO299" s="227"/>
      <c r="BP299" s="227"/>
      <c r="BQ299" s="227" t="str">
        <f>IF($BF299="ja",VLOOKUP($B299,'Egen hetvattenprod'!$B$1:$BX$550,MATCH("Tillförd olja (fossil) vid avfallsförbränning (GWh)",'Egen hetvattenprod'!$B$1:$BX$1,0),FALSE),"")</f>
        <v/>
      </c>
      <c r="BR299" s="227" t="str">
        <f>IF($BF299="ja",VLOOKUP($B299,Kraftvärmeprod!$B$1:$BX$550,MATCH("Tillförd olja (fossil) vid avfallsförbränning (GWh)",Kraftvärmeprod!$B$1:$BX$1,0),FALSE),"")</f>
        <v/>
      </c>
      <c r="BS299" s="227"/>
      <c r="BT299" s="227"/>
      <c r="BU299" s="227"/>
    </row>
    <row r="300" spans="1:73" x14ac:dyDescent="0.25">
      <c r="A300" s="121" t="str">
        <f>'Miljövärden för publ företag'!B303</f>
        <v>Vattenfall AB</v>
      </c>
      <c r="B300" s="121" t="str">
        <f>'Miljövärden för publ företag'!C303</f>
        <v>Storvreta</v>
      </c>
      <c r="C300" s="173">
        <f>IFERROR(VLOOKUP($B300,Totalt!$B$1:$AQ$554,MATCH(C$2,Totalt!$B$1:$AQ$1,0),FALSE),"")</f>
        <v>0</v>
      </c>
      <c r="D300" s="173">
        <f>IFERROR(VLOOKUP($B300,Totalt!$B$1:$AQ$554,MATCH(D$2,Totalt!$B$1:$AQ$1,0),FALSE),"")</f>
        <v>0.216</v>
      </c>
      <c r="E300" s="173">
        <f>IFERROR(VLOOKUP($B300,Totalt!$B$1:$AQ$554,MATCH(E$2,Totalt!$B$1:$AQ$1,0),FALSE),"")</f>
        <v>0</v>
      </c>
      <c r="F300" s="173">
        <f>IFERROR(VLOOKUP($B300,Totalt!$B$1:$AQ$554,MATCH(F$2,Totalt!$B$1:$AQ$1,0),FALSE),"")</f>
        <v>0</v>
      </c>
      <c r="G300" s="173">
        <f>IFERROR(VLOOKUP($B300,Totalt!$B$1:$AQ$554,MATCH(G$2,Totalt!$B$1:$AQ$1,0),FALSE),"")</f>
        <v>0</v>
      </c>
      <c r="H300" s="173">
        <f>IFERROR(VLOOKUP($B300,Totalt!$B$1:$AQ$554,MATCH(H$2,Totalt!$B$1:$AQ$1,0),FALSE),"")</f>
        <v>0</v>
      </c>
      <c r="I300" s="173">
        <f>IFERROR(VLOOKUP($B300,Totalt!$B$1:$AQ$554,MATCH(I$2,Totalt!$B$1:$AQ$1,0),FALSE),"")</f>
        <v>0</v>
      </c>
      <c r="J300" s="173">
        <f>IFERROR(VLOOKUP($B300,Totalt!$B$1:$AQ$554,MATCH(J$2,Totalt!$B$1:$AQ$1,0),FALSE),"")</f>
        <v>0</v>
      </c>
      <c r="K300" s="173">
        <f>IFERROR(VLOOKUP($B300,Totalt!$B$1:$AQ$554,MATCH(K$2,Totalt!$B$1:$AQ$1,0),FALSE),"")</f>
        <v>0</v>
      </c>
      <c r="L300" s="173">
        <f>IFERROR(VLOOKUP($B300,Totalt!$B$1:$AQ$554,MATCH(L$2,Totalt!$B$1:$AQ$1,0),FALSE),"")</f>
        <v>0</v>
      </c>
      <c r="M300" s="173">
        <f>IFERROR(VLOOKUP($B300,Totalt!$B$1:$AQ$554,MATCH(M$2,Totalt!$B$1:$AQ$1,0),FALSE),"")</f>
        <v>0</v>
      </c>
      <c r="N300" s="173">
        <f>IFERROR(VLOOKUP($B300,Totalt!$B$1:$AQ$554,MATCH(N$2,Totalt!$B$1:$AQ$1,0),FALSE),"")</f>
        <v>0</v>
      </c>
      <c r="O300" s="173">
        <f>IFERROR(VLOOKUP($B300,Totalt!$B$1:$AQ$554,MATCH(O$2,Totalt!$B$1:$AQ$1,0),FALSE),"")</f>
        <v>0</v>
      </c>
      <c r="P300" s="173">
        <f>IFERROR(VLOOKUP($B300,Totalt!$B$1:$AQ$554,MATCH(P$2,Totalt!$B$1:$AQ$1,0),FALSE),"")</f>
        <v>0</v>
      </c>
      <c r="Q300" s="173">
        <f>IFERROR(VLOOKUP($B300,Totalt!$B$1:$AQ$554,MATCH(Q$2,Totalt!$B$1:$AQ$1,0),FALSE),"")</f>
        <v>0</v>
      </c>
      <c r="R300" s="173">
        <f>IFERROR(VLOOKUP($B300,Totalt!$B$1:$AQ$554,MATCH(R$2,Totalt!$B$1:$AQ$1,0),FALSE),"")</f>
        <v>23.7</v>
      </c>
      <c r="S300" s="173">
        <f>IFERROR(VLOOKUP($B300,Totalt!$B$1:$AQ$554,MATCH(S$2,Totalt!$B$1:$AQ$1,0),FALSE),"")</f>
        <v>0</v>
      </c>
      <c r="T300" s="173">
        <f>IFERROR(VLOOKUP($B300,Totalt!$B$1:$AQ$554,MATCH(T$2,Totalt!$B$1:$AQ$1,0),FALSE),"")</f>
        <v>0</v>
      </c>
      <c r="U300" s="173">
        <f>IFERROR(VLOOKUP($B300,Totalt!$B$1:$AQ$554,MATCH(U$2,Totalt!$B$1:$AQ$1,0),FALSE),"")</f>
        <v>0</v>
      </c>
      <c r="V300" s="173">
        <f>IFERROR(VLOOKUP($B300,Totalt!$B$1:$AQ$554,MATCH(V$2,Totalt!$B$1:$AQ$1,0),FALSE),"")</f>
        <v>0</v>
      </c>
      <c r="W300" s="173">
        <f>IFERROR(VLOOKUP($B300,Totalt!$B$1:$AQ$554,MATCH(W$2,Totalt!$B$1:$AQ$1,0),FALSE),"")</f>
        <v>0</v>
      </c>
      <c r="X300" s="173">
        <f>IFERROR(VLOOKUP($B300,Totalt!$B$1:$AQ$554,MATCH(X$2,Totalt!$B$1:$AQ$1,0),FALSE),"")</f>
        <v>0</v>
      </c>
      <c r="Y300" s="173">
        <f>IFERROR(VLOOKUP($B300,Totalt!$B$1:$AQ$554,MATCH(Y$2,Totalt!$B$1:$AQ$1,0),FALSE),"")</f>
        <v>0</v>
      </c>
      <c r="Z300" s="173">
        <f>IFERROR(VLOOKUP($B300,Totalt!$B$1:$AQ$554,MATCH(Z$2,Totalt!$B$1:$AQ$1,0),FALSE),"")</f>
        <v>0</v>
      </c>
      <c r="AA300" s="173">
        <f>IFERROR(VLOOKUP($B300,Totalt!$B$1:$AQ$554,MATCH(AA$2,Totalt!$B$1:$AQ$1,0),FALSE),"")</f>
        <v>0</v>
      </c>
      <c r="AB300" s="173">
        <f>IFERROR(VLOOKUP($B300,Totalt!$B$1:$AQ$554,MATCH(AB$2,Totalt!$B$1:$AQ$1,0),FALSE),"")</f>
        <v>0</v>
      </c>
      <c r="AC300" s="173">
        <f>IFERROR(VLOOKUP($B300,Totalt!$B$1:$AQ$554,MATCH(AC$2,Totalt!$B$1:$AQ$1,0),FALSE),"")</f>
        <v>0</v>
      </c>
      <c r="AD300" s="173">
        <f>IFERROR(VLOOKUP($B300,Totalt!$B$1:$AQ$554,MATCH(AD$2,Totalt!$B$1:$AQ$1,0),FALSE),"")</f>
        <v>0</v>
      </c>
      <c r="AE300" s="173">
        <f>IFERROR(VLOOKUP($B300,Totalt!$B$1:$AQ$554,MATCH(AE$2,Totalt!$B$1:$AQ$1,0),FALSE),"")</f>
        <v>0</v>
      </c>
      <c r="AF300" s="173">
        <f>IFERROR(VLOOKUP($B300,Totalt!$B$1:$AQ$554,MATCH(AF$2,Totalt!$B$1:$AQ$1,0),FALSE),"")</f>
        <v>0.2</v>
      </c>
      <c r="AG300" s="173">
        <f>IFERROR(VLOOKUP($B300,Totalt!$B$1:$AQ$554,MATCH(AG$2,Totalt!$B$1:$AQ$1,0),FALSE),"")</f>
        <v>0</v>
      </c>
      <c r="AI300" s="226">
        <f t="shared" si="24"/>
        <v>24.116</v>
      </c>
      <c r="AJ300" s="226">
        <f>IF(ISERROR(1/VLOOKUP($B300,Leveranser!$B$1:$S$500,MATCH("såld värme (gwh)",Leveranser!$B$1:$S$1,0),FALSE)),"",VLOOKUP($B300,Leveranser!$B$1:$S$500,MATCH("såld värme (gwh)",Leveranser!$B$1:$S$1,0),FALSE))</f>
        <v>14.05</v>
      </c>
      <c r="AM300" s="227" t="str">
        <f>IF(B300&lt;&gt;"",IF(VLOOKUP($B300,Totalt!$B$1:$AQ$554,MATCH("Kvalitetsgranskad:",Totalt!$B$1:$AQ$1,0),FALSE)="ja",VLOOKUP($B300,Miljö!$B$1:$AG$479,MATCH(AM$2,Miljö!$B$1:$AK$1,0),FALSE),""),"")</f>
        <v>Ja</v>
      </c>
      <c r="AN300" s="227" t="str">
        <f>IF(AM300="ja",VLOOKUP($B300,Miljö!$B$1:$J$479,MATCH("Typ av ursprungsspecificerad el   (Om inget värde anges används Nordisk residualmix, se inforuta) ()",Miljö!$B$1:$J$1,0),FALSE),IF(AM300="nej","Nordisk residualel",""))</f>
        <v>'"Vattenfall elmix"'</v>
      </c>
      <c r="AO300" s="227">
        <f>IF(AM300="","",VLOOKUP($B300,Miljö!$B$1:$J$479,MATCH("Fossilandel för ursprungspecificerad el ()",Miljö!$B$1:$J$1,0),FALSE))</f>
        <v>0</v>
      </c>
      <c r="AP300" s="227">
        <f>IF(AM300="","",IFERROR(VLOOKUP($B300,Miljö!$B$1:$J$479,MATCH("Kärnkraftsandel för ursprungsspecificerad el ()",Miljö!$B$1:$J$1,0),FALSE)/1,0))</f>
        <v>0.59399999999999997</v>
      </c>
      <c r="AQ300" s="227">
        <f t="shared" si="25"/>
        <v>0.40600000000000003</v>
      </c>
      <c r="AR300" s="227"/>
      <c r="AS300" s="227" t="str">
        <f t="shared" si="26"/>
        <v>Nej</v>
      </c>
      <c r="AT300" s="227" t="str">
        <f>IF(AS300="ja",VLOOKUP($B300,Miljö!$B$1:$O$500,MATCH("Fossil andel i procent (%)",Miljö!$B$1:$O$1,0),FALSE)/100,"")</f>
        <v/>
      </c>
      <c r="AU300" s="227"/>
      <c r="AV300" s="227" t="str">
        <f t="shared" si="27"/>
        <v>Nej</v>
      </c>
      <c r="AW300" s="227" t="str">
        <f>IF(AV300="ja",VLOOKUP($B300,'Egen hetvattenprod'!$B$1:$AO$500,MATCH("Värmekälla till värmepumpar ()",'Egen hetvattenprod'!$B$1:$AO$1,0),FALSE),"")</f>
        <v/>
      </c>
      <c r="AX300" s="227"/>
      <c r="AY300" s="227" t="str">
        <f t="shared" si="28"/>
        <v>Nej</v>
      </c>
      <c r="AZ300" s="228" t="str">
        <f>IF($AY300="ja",(VLOOKUP($B300,'Egen hetvattenprod'!$B$1:$BX$550,MATCH(AZ$2,'Egen hetvattenprod'!$B$1:$BX$1,0),FALSE)+VLOOKUP($B300,Kraftvärmeprod!$B$1:$BX$550,MATCH(AZ$2,Kraftvärmeprod!$B$1:$BX$1,0),FALSE))/$AC300,"")</f>
        <v/>
      </c>
      <c r="BA300" s="228" t="str">
        <f>IF($AY300="ja",(VLOOKUP($B300,'Egen hetvattenprod'!$B$1:$BX$550,MATCH(BA$2,'Egen hetvattenprod'!$B$1:$BX$1,0),FALSE)+VLOOKUP($B300,Kraftvärmeprod!$B$1:$BX$550,MATCH(BA$2,Kraftvärmeprod!$B$1:$BX$1,0),FALSE))/$AC300,"")</f>
        <v/>
      </c>
      <c r="BB300" s="228" t="str">
        <f>IF($AY300="ja",(VLOOKUP($B300,'Egen hetvattenprod'!$B$1:$BX$550,MATCH(BB$2,'Egen hetvattenprod'!$B$1:$BX$1,0),FALSE)+VLOOKUP($B300,Kraftvärmeprod!$B$1:$BX$550,MATCH(BB$2,Kraftvärmeprod!$B$1:$BX$1,0),FALSE))/$AC300,"")</f>
        <v/>
      </c>
      <c r="BC300" s="228" t="str">
        <f>IF($AY300="ja",(VLOOKUP($B300,'Egen hetvattenprod'!$B$1:$BX$550,MATCH(BC$2,'Egen hetvattenprod'!$B$1:$BX$1,0),FALSE)+VLOOKUP($B300,Kraftvärmeprod!$B$1:$BX$550,MATCH(BC$2,Kraftvärmeprod!$B$1:$BX$1,0),FALSE))/$AC300,"")</f>
        <v/>
      </c>
      <c r="BD300" s="228" t="str">
        <f>IF($AY300="ja",(VLOOKUP($B300,'Egen hetvattenprod'!$B$1:$BX$550,MATCH(BD$2,'Egen hetvattenprod'!$B$1:$BX$1,0),FALSE)+VLOOKUP($B300,Kraftvärmeprod!$B$1:$BX$550,MATCH(BD$2,Kraftvärmeprod!$B$1:$BX$1,0),FALSE))/$AC300,"")</f>
        <v/>
      </c>
      <c r="BE300" s="227"/>
      <c r="BF300" s="227" t="str">
        <f t="shared" si="29"/>
        <v>Nej</v>
      </c>
      <c r="BG300" s="227" t="str">
        <f>IF($BF300="ja",VLOOKUP($B300,'Egen hetvattenprod'!$B$1:$BX$550,MATCH("Andelen klimatgaser med fossilt ursprung för avfall ()",'Egen hetvattenprod'!$B$1:$BX$1,0),FALSE),"")</f>
        <v/>
      </c>
      <c r="BH300" s="227" t="str">
        <f>IF($BF300="ja",VLOOKUP($B300,Kraftvärmeprod!$B$1:$BX$550,MATCH("Andelen klimatgaser med fossilt ursprung för avfall ()",Kraftvärmeprod!$B$1:$BX$1,0),FALSE),"")</f>
        <v/>
      </c>
      <c r="BI300" s="227" t="str">
        <f>IF($BF300="ja",VLOOKUP($B300,'Egen hetvattenprod'!$B$1:$BX$550,MATCH("Avfall (GWh)",'Egen hetvattenprod'!$B$1:$BX$1,0),FALSE),"")</f>
        <v/>
      </c>
      <c r="BJ300" s="227" t="str">
        <f>IF($BF300="ja",VLOOKUP($B300,'Slutlig allokering kvv'!$B$1:$BX$550,MATCH("Avfall (GWh)",'Slutlig allokering kvv'!$B$1:$BX$1,0),FALSE),"")</f>
        <v/>
      </c>
      <c r="BK300" s="227" t="str">
        <f>IF($BF300="ja",VLOOKUP($B300,'Köpt hetvatten'!$B$1:$BX$550,MATCH("Avfall i köpt hetvatten",'Köpt hetvatten'!$B$1:$BX$1,0),FALSE),"")</f>
        <v/>
      </c>
      <c r="BL300" s="227" t="str">
        <f>IF($BF300="ja",VLOOKUP($B300,'Egen hetvattenprod'!$B$1:$BX$550,MATCH("Värde enligt ovan. (%)",'Egen hetvattenprod'!$B$1:$BX$1,0),FALSE),"")</f>
        <v/>
      </c>
      <c r="BM300" s="227" t="str">
        <f>IF($BF300="ja",VLOOKUP($B300,Kraftvärmeprod!$B$1:$BX$550,MATCH("Värde enligt ovan. (%)",Kraftvärmeprod!$B$1:$BX$1,0),FALSE),"")</f>
        <v/>
      </c>
      <c r="BN300" s="227"/>
      <c r="BO300" s="227"/>
      <c r="BP300" s="227"/>
      <c r="BQ300" s="227" t="str">
        <f>IF($BF300="ja",VLOOKUP($B300,'Egen hetvattenprod'!$B$1:$BX$550,MATCH("Tillförd olja (fossil) vid avfallsförbränning (GWh)",'Egen hetvattenprod'!$B$1:$BX$1,0),FALSE),"")</f>
        <v/>
      </c>
      <c r="BR300" s="227" t="str">
        <f>IF($BF300="ja",VLOOKUP($B300,Kraftvärmeprod!$B$1:$BX$550,MATCH("Tillförd olja (fossil) vid avfallsförbränning (GWh)",Kraftvärmeprod!$B$1:$BX$1,0),FALSE),"")</f>
        <v/>
      </c>
      <c r="BS300" s="227"/>
      <c r="BT300" s="227"/>
      <c r="BU300" s="227"/>
    </row>
    <row r="301" spans="1:73" x14ac:dyDescent="0.25">
      <c r="A301" s="121" t="str">
        <f>'Miljövärden för publ företag'!B304</f>
        <v>Vattenfall AB</v>
      </c>
      <c r="B301" s="121" t="str">
        <f>'Miljövärden för publ företag'!C304</f>
        <v>Uppsala</v>
      </c>
      <c r="C301" s="173">
        <f>IFERROR(VLOOKUP($B301,Totalt!$B$1:$AQ$554,MATCH(C$2,Totalt!$B$1:$AQ$1,0),FALSE),"")</f>
        <v>0</v>
      </c>
      <c r="D301" s="173">
        <f>IFERROR(VLOOKUP($B301,Totalt!$B$1:$AQ$554,MATCH(D$2,Totalt!$B$1:$AQ$1,0),FALSE),"")</f>
        <v>23.627600000000001</v>
      </c>
      <c r="E301" s="173">
        <f>IFERROR(VLOOKUP($B301,Totalt!$B$1:$AQ$554,MATCH(E$2,Totalt!$B$1:$AQ$1,0),FALSE),"")</f>
        <v>0</v>
      </c>
      <c r="F301" s="173">
        <f>IFERROR(VLOOKUP($B301,Totalt!$B$1:$AQ$554,MATCH(F$2,Totalt!$B$1:$AQ$1,0),FALSE),"")</f>
        <v>28.5944</v>
      </c>
      <c r="G301" s="173">
        <f>IFERROR(VLOOKUP($B301,Totalt!$B$1:$AQ$554,MATCH(G$2,Totalt!$B$1:$AQ$1,0),FALSE),"")</f>
        <v>0</v>
      </c>
      <c r="H301" s="173">
        <f>IFERROR(VLOOKUP($B301,Totalt!$B$1:$AQ$554,MATCH(H$2,Totalt!$B$1:$AQ$1,0),FALSE),"")</f>
        <v>0</v>
      </c>
      <c r="I301" s="173">
        <f>IFERROR(VLOOKUP($B301,Totalt!$B$1:$AQ$554,MATCH(I$2,Totalt!$B$1:$AQ$1,0),FALSE),"")</f>
        <v>996.47299999999996</v>
      </c>
      <c r="J301" s="173">
        <f>IFERROR(VLOOKUP($B301,Totalt!$B$1:$AQ$554,MATCH(J$2,Totalt!$B$1:$AQ$1,0),FALSE),"")</f>
        <v>0</v>
      </c>
      <c r="K301" s="173">
        <f>IFERROR(VLOOKUP($B301,Totalt!$B$1:$AQ$554,MATCH(K$2,Totalt!$B$1:$AQ$1,0),FALSE),"")</f>
        <v>0</v>
      </c>
      <c r="L301" s="173">
        <f>IFERROR(VLOOKUP($B301,Totalt!$B$1:$AQ$554,MATCH(L$2,Totalt!$B$1:$AQ$1,0),FALSE),"")</f>
        <v>0</v>
      </c>
      <c r="M301" s="173">
        <f>IFERROR(VLOOKUP($B301,Totalt!$B$1:$AQ$554,MATCH(M$2,Totalt!$B$1:$AQ$1,0),FALSE),"")</f>
        <v>0</v>
      </c>
      <c r="N301" s="173">
        <f>IFERROR(VLOOKUP($B301,Totalt!$B$1:$AQ$554,MATCH(N$2,Totalt!$B$1:$AQ$1,0),FALSE),"")</f>
        <v>0</v>
      </c>
      <c r="O301" s="173">
        <f>IFERROR(VLOOKUP($B301,Totalt!$B$1:$AQ$554,MATCH(O$2,Totalt!$B$1:$AQ$1,0),FALSE),"")</f>
        <v>0</v>
      </c>
      <c r="P301" s="173">
        <f>IFERROR(VLOOKUP($B301,Totalt!$B$1:$AQ$554,MATCH(P$2,Totalt!$B$1:$AQ$1,0),FALSE),"")</f>
        <v>0</v>
      </c>
      <c r="Q301" s="173">
        <f>IFERROR(VLOOKUP($B301,Totalt!$B$1:$AQ$554,MATCH(Q$2,Totalt!$B$1:$AQ$1,0),FALSE),"")</f>
        <v>0.102233</v>
      </c>
      <c r="R301" s="173">
        <f>IFERROR(VLOOKUP($B301,Totalt!$B$1:$AQ$554,MATCH(R$2,Totalt!$B$1:$AQ$1,0),FALSE),"")</f>
        <v>53.887799999999999</v>
      </c>
      <c r="S301" s="173">
        <f>IFERROR(VLOOKUP($B301,Totalt!$B$1:$AQ$554,MATCH(S$2,Totalt!$B$1:$AQ$1,0),FALSE),"")</f>
        <v>0</v>
      </c>
      <c r="T301" s="173">
        <f>IFERROR(VLOOKUP($B301,Totalt!$B$1:$AQ$554,MATCH(T$2,Totalt!$B$1:$AQ$1,0),FALSE),"")</f>
        <v>0</v>
      </c>
      <c r="U301" s="173">
        <f>IFERROR(VLOOKUP($B301,Totalt!$B$1:$AQ$554,MATCH(U$2,Totalt!$B$1:$AQ$1,0),FALSE),"")</f>
        <v>0</v>
      </c>
      <c r="V301" s="173">
        <f>IFERROR(VLOOKUP($B301,Totalt!$B$1:$AQ$554,MATCH(V$2,Totalt!$B$1:$AQ$1,0),FALSE),"")</f>
        <v>0</v>
      </c>
      <c r="W301" s="173">
        <f>IFERROR(VLOOKUP($B301,Totalt!$B$1:$AQ$554,MATCH(W$2,Totalt!$B$1:$AQ$1,0),FALSE),"")</f>
        <v>54.5</v>
      </c>
      <c r="X301" s="173">
        <f>IFERROR(VLOOKUP($B301,Totalt!$B$1:$AQ$554,MATCH(X$2,Totalt!$B$1:$AQ$1,0),FALSE),"")</f>
        <v>0</v>
      </c>
      <c r="Y301" s="173">
        <f>IFERROR(VLOOKUP($B301,Totalt!$B$1:$AQ$554,MATCH(Y$2,Totalt!$B$1:$AQ$1,0),FALSE),"")</f>
        <v>367.07100000000003</v>
      </c>
      <c r="Z301" s="173">
        <f>IFERROR(VLOOKUP($B301,Totalt!$B$1:$AQ$554,MATCH(Z$2,Totalt!$B$1:$AQ$1,0),FALSE),"")</f>
        <v>28.6</v>
      </c>
      <c r="AA301" s="173">
        <f>IFERROR(VLOOKUP($B301,Totalt!$B$1:$AQ$554,MATCH(AA$2,Totalt!$B$1:$AQ$1,0),FALSE),"")</f>
        <v>15.2</v>
      </c>
      <c r="AB301" s="173">
        <f>IFERROR(VLOOKUP($B301,Totalt!$B$1:$AQ$554,MATCH(AB$2,Totalt!$B$1:$AQ$1,0),FALSE),"")</f>
        <v>59.2</v>
      </c>
      <c r="AC301" s="173">
        <f>IFERROR(VLOOKUP($B301,Totalt!$B$1:$AQ$554,MATCH(AC$2,Totalt!$B$1:$AQ$1,0),FALSE),"")</f>
        <v>139.9</v>
      </c>
      <c r="AD301" s="173">
        <f>IFERROR(VLOOKUP($B301,Totalt!$B$1:$AQ$554,MATCH(AD$2,Totalt!$B$1:$AQ$1,0),FALSE),"")</f>
        <v>0</v>
      </c>
      <c r="AE301" s="173">
        <f>IFERROR(VLOOKUP($B301,Totalt!$B$1:$AQ$554,MATCH(AE$2,Totalt!$B$1:$AQ$1,0),FALSE),"")</f>
        <v>0</v>
      </c>
      <c r="AF301" s="173">
        <f>IFERROR(VLOOKUP($B301,Totalt!$B$1:$AQ$554,MATCH(AF$2,Totalt!$B$1:$AQ$1,0),FALSE),"")</f>
        <v>74.273899999999998</v>
      </c>
      <c r="AG301" s="173">
        <f>IFERROR(VLOOKUP($B301,Totalt!$B$1:$AQ$554,MATCH(AG$2,Totalt!$B$1:$AQ$1,0),FALSE),"")</f>
        <v>0</v>
      </c>
      <c r="AI301" s="226">
        <f t="shared" si="24"/>
        <v>1841.4299330000001</v>
      </c>
      <c r="AJ301" s="226">
        <f>IF(ISERROR(1/VLOOKUP($B301,Leveranser!$B$1:$S$500,MATCH("såld värme (gwh)",Leveranser!$B$1:$S$1,0),FALSE)),"",VLOOKUP($B301,Leveranser!$B$1:$S$500,MATCH("såld värme (gwh)",Leveranser!$B$1:$S$1,0),FALSE))</f>
        <v>1419.3689999999999</v>
      </c>
      <c r="AM301" s="227" t="str">
        <f>IF(B301&lt;&gt;"",IF(VLOOKUP($B301,Totalt!$B$1:$AQ$554,MATCH("Kvalitetsgranskad:",Totalt!$B$1:$AQ$1,0),FALSE)="ja",VLOOKUP($B301,Miljö!$B$1:$AG$479,MATCH(AM$2,Miljö!$B$1:$AK$1,0),FALSE),""),"")</f>
        <v>Ja</v>
      </c>
      <c r="AN301" s="227" t="str">
        <f>IF(AM301="ja",VLOOKUP($B301,Miljö!$B$1:$J$479,MATCH("Typ av ursprungsspecificerad el   (Om inget värde anges används Nordisk residualmix, se inforuta) ()",Miljö!$B$1:$J$1,0),FALSE),IF(AM301="nej","Nordisk residualel",""))</f>
        <v>'"Vattenfall elmix"'</v>
      </c>
      <c r="AO301" s="227">
        <f>IF(AM301="","",VLOOKUP($B301,Miljö!$B$1:$J$479,MATCH("Fossilandel för ursprungspecificerad el ()",Miljö!$B$1:$J$1,0),FALSE))</f>
        <v>0</v>
      </c>
      <c r="AP301" s="227">
        <f>IF(AM301="","",IFERROR(VLOOKUP($B301,Miljö!$B$1:$J$479,MATCH("Kärnkraftsandel för ursprungsspecificerad el ()",Miljö!$B$1:$J$1,0),FALSE)/1,0))</f>
        <v>0.59399999999999997</v>
      </c>
      <c r="AQ301" s="227">
        <f t="shared" si="25"/>
        <v>0.40600000000000003</v>
      </c>
      <c r="AR301" s="227"/>
      <c r="AS301" s="227" t="str">
        <f t="shared" si="26"/>
        <v>Nej</v>
      </c>
      <c r="AT301" s="227" t="str">
        <f>IF(AS301="ja",VLOOKUP($B301,Miljö!$B$1:$O$500,MATCH("Fossil andel i procent (%)",Miljö!$B$1:$O$1,0),FALSE)/100,"")</f>
        <v/>
      </c>
      <c r="AU301" s="227"/>
      <c r="AV301" s="227" t="str">
        <f t="shared" si="27"/>
        <v>Ja</v>
      </c>
      <c r="AW301" s="227" t="str">
        <f>IF(AV301="ja",VLOOKUP($B301,'Egen hetvattenprod'!$B$1:$AO$500,MATCH("Värmekälla till värmepumpar ()",'Egen hetvattenprod'!$B$1:$AO$1,0),FALSE),"")</f>
        <v>Renat avloppsvatten</v>
      </c>
      <c r="AX301" s="227"/>
      <c r="AY301" s="227" t="str">
        <f t="shared" si="28"/>
        <v>Ja</v>
      </c>
      <c r="AZ301" s="228">
        <f>IF($AY301="ja",(VLOOKUP($B301,'Egen hetvattenprod'!$B$1:$BX$550,MATCH(AZ$2,'Egen hetvattenprod'!$B$1:$BX$1,0),FALSE)+VLOOKUP($B301,Kraftvärmeprod!$B$1:$BX$550,MATCH(AZ$2,Kraftvärmeprod!$B$1:$BX$1,0),FALSE))/$AC301,"")</f>
        <v>0</v>
      </c>
      <c r="BA301" s="228">
        <f>IF($AY301="ja",(VLOOKUP($B301,'Egen hetvattenprod'!$B$1:$BX$550,MATCH(BA$2,'Egen hetvattenprod'!$B$1:$BX$1,0),FALSE)+VLOOKUP($B301,Kraftvärmeprod!$B$1:$BX$550,MATCH(BA$2,Kraftvärmeprod!$B$1:$BX$1,0),FALSE))/$AC301,"")</f>
        <v>0.9860000000000001</v>
      </c>
      <c r="BB301" s="228">
        <f>IF($AY301="ja",(VLOOKUP($B301,'Egen hetvattenprod'!$B$1:$BX$550,MATCH(BB$2,'Egen hetvattenprod'!$B$1:$BX$1,0),FALSE)+VLOOKUP($B301,Kraftvärmeprod!$B$1:$BX$550,MATCH(BB$2,Kraftvärmeprod!$B$1:$BX$1,0),FALSE))/$AC301,"")</f>
        <v>1.3999999999999999E-2</v>
      </c>
      <c r="BC301" s="228">
        <f>IF($AY301="ja",(VLOOKUP($B301,'Egen hetvattenprod'!$B$1:$BX$550,MATCH(BC$2,'Egen hetvattenprod'!$B$1:$BX$1,0),FALSE)+VLOOKUP($B301,Kraftvärmeprod!$B$1:$BX$550,MATCH(BC$2,Kraftvärmeprod!$B$1:$BX$1,0),FALSE))/$AC301,"")</f>
        <v>0</v>
      </c>
      <c r="BD301" s="228">
        <f>IF($AY301="ja",(VLOOKUP($B301,'Egen hetvattenprod'!$B$1:$BX$550,MATCH(BD$2,'Egen hetvattenprod'!$B$1:$BX$1,0),FALSE)+VLOOKUP($B301,Kraftvärmeprod!$B$1:$BX$550,MATCH(BD$2,Kraftvärmeprod!$B$1:$BX$1,0),FALSE))/$AC301,"")</f>
        <v>0</v>
      </c>
      <c r="BE301" s="227"/>
      <c r="BF301" s="227" t="str">
        <f t="shared" si="29"/>
        <v>Ja</v>
      </c>
      <c r="BG301" s="227" t="str">
        <f>IF($BF301="ja",VLOOKUP($B301,'Egen hetvattenprod'!$B$1:$BX$550,MATCH("Andelen klimatgaser med fossilt ursprung för avfall ()",'Egen hetvattenprod'!$B$1:$BX$1,0),FALSE),"")</f>
        <v>Mätvärde</v>
      </c>
      <c r="BH301" s="227" t="str">
        <f>IF($BF301="ja",VLOOKUP($B301,Kraftvärmeprod!$B$1:$BX$550,MATCH("Andelen klimatgaser med fossilt ursprung för avfall ()",Kraftvärmeprod!$B$1:$BX$1,0),FALSE),"")</f>
        <v>Mätvärde</v>
      </c>
      <c r="BI301" s="227">
        <f>IF($BF301="ja",VLOOKUP($B301,'Egen hetvattenprod'!$B$1:$BX$550,MATCH("Avfall (GWh)",'Egen hetvattenprod'!$B$1:$BX$1,0),FALSE),"")</f>
        <v>885.8</v>
      </c>
      <c r="BJ301" s="227">
        <f>IF($BF301="ja",VLOOKUP($B301,'Slutlig allokering kvv'!$B$1:$BX$550,MATCH("Avfall (GWh)",'Slutlig allokering kvv'!$B$1:$BX$1,0),FALSE),"")</f>
        <v>110.673</v>
      </c>
      <c r="BK301" s="227">
        <f>IF($BF301="ja",VLOOKUP($B301,'Köpt hetvatten'!$B$1:$BX$550,MATCH("Avfall i köpt hetvatten",'Köpt hetvatten'!$B$1:$BX$1,0),FALSE),"")</f>
        <v>0</v>
      </c>
      <c r="BL301" s="227">
        <f>IF($BF301="ja",VLOOKUP($B301,'Egen hetvattenprod'!$B$1:$BX$550,MATCH("Värde enligt ovan. (%)",'Egen hetvattenprod'!$B$1:$BX$1,0),FALSE),"")</f>
        <v>40.1</v>
      </c>
      <c r="BM301" s="227">
        <f>IF($BF301="ja",VLOOKUP($B301,Kraftvärmeprod!$B$1:$BX$550,MATCH("Värde enligt ovan. (%)",Kraftvärmeprod!$B$1:$BX$1,0),FALSE),"")</f>
        <v>40.1</v>
      </c>
      <c r="BN301" s="227"/>
      <c r="BO301" s="227"/>
      <c r="BP301" s="227"/>
      <c r="BQ301" s="227">
        <f>IF($BF301="ja",VLOOKUP($B301,'Egen hetvattenprod'!$B$1:$BX$550,MATCH("Tillförd olja (fossil) vid avfallsförbränning (GWh)",'Egen hetvattenprod'!$B$1:$BX$1,0),FALSE),"")</f>
        <v>14.4</v>
      </c>
      <c r="BR301" s="227">
        <f>IF($BF301="ja",VLOOKUP($B301,Kraftvärmeprod!$B$1:$BX$550,MATCH("Tillförd olja (fossil) vid avfallsförbränning (GWh)",Kraftvärmeprod!$B$1:$BX$1,0),FALSE),"")</f>
        <v>0</v>
      </c>
      <c r="BS301" s="227"/>
      <c r="BT301" s="227"/>
      <c r="BU301" s="227"/>
    </row>
    <row r="302" spans="1:73" x14ac:dyDescent="0.25">
      <c r="A302" s="121" t="str">
        <f>'Miljövärden för publ företag'!B305</f>
        <v>Vattenfall AB</v>
      </c>
      <c r="B302" s="121" t="str">
        <f>'Miljövärden för publ företag'!C305</f>
        <v>Vänersborg</v>
      </c>
      <c r="C302" s="173">
        <f>IFERROR(VLOOKUP($B302,Totalt!$B$1:$AQ$554,MATCH(C$2,Totalt!$B$1:$AQ$1,0),FALSE),"")</f>
        <v>0</v>
      </c>
      <c r="D302" s="173">
        <f>IFERROR(VLOOKUP($B302,Totalt!$B$1:$AQ$554,MATCH(D$2,Totalt!$B$1:$AQ$1,0),FALSE),"")</f>
        <v>0.1</v>
      </c>
      <c r="E302" s="173">
        <f>IFERROR(VLOOKUP($B302,Totalt!$B$1:$AQ$554,MATCH(E$2,Totalt!$B$1:$AQ$1,0),FALSE),"")</f>
        <v>0</v>
      </c>
      <c r="F302" s="173">
        <f>IFERROR(VLOOKUP($B302,Totalt!$B$1:$AQ$554,MATCH(F$2,Totalt!$B$1:$AQ$1,0),FALSE),"")</f>
        <v>0</v>
      </c>
      <c r="G302" s="173">
        <f>IFERROR(VLOOKUP($B302,Totalt!$B$1:$AQ$554,MATCH(G$2,Totalt!$B$1:$AQ$1,0),FALSE),"")</f>
        <v>0</v>
      </c>
      <c r="H302" s="173">
        <f>IFERROR(VLOOKUP($B302,Totalt!$B$1:$AQ$554,MATCH(H$2,Totalt!$B$1:$AQ$1,0),FALSE),"")</f>
        <v>0</v>
      </c>
      <c r="I302" s="173">
        <f>IFERROR(VLOOKUP($B302,Totalt!$B$1:$AQ$554,MATCH(I$2,Totalt!$B$1:$AQ$1,0),FALSE),"")</f>
        <v>0</v>
      </c>
      <c r="J302" s="173">
        <f>IFERROR(VLOOKUP($B302,Totalt!$B$1:$AQ$554,MATCH(J$2,Totalt!$B$1:$AQ$1,0),FALSE),"")</f>
        <v>0</v>
      </c>
      <c r="K302" s="173">
        <f>IFERROR(VLOOKUP($B302,Totalt!$B$1:$AQ$554,MATCH(K$2,Totalt!$B$1:$AQ$1,0),FALSE),"")</f>
        <v>0</v>
      </c>
      <c r="L302" s="173">
        <f>IFERROR(VLOOKUP($B302,Totalt!$B$1:$AQ$554,MATCH(L$2,Totalt!$B$1:$AQ$1,0),FALSE),"")</f>
        <v>0</v>
      </c>
      <c r="M302" s="173">
        <f>IFERROR(VLOOKUP($B302,Totalt!$B$1:$AQ$554,MATCH(M$2,Totalt!$B$1:$AQ$1,0),FALSE),"")</f>
        <v>0</v>
      </c>
      <c r="N302" s="173">
        <f>IFERROR(VLOOKUP($B302,Totalt!$B$1:$AQ$554,MATCH(N$2,Totalt!$B$1:$AQ$1,0),FALSE),"")</f>
        <v>0</v>
      </c>
      <c r="O302" s="173">
        <f>IFERROR(VLOOKUP($B302,Totalt!$B$1:$AQ$554,MATCH(O$2,Totalt!$B$1:$AQ$1,0),FALSE),"")</f>
        <v>0</v>
      </c>
      <c r="P302" s="173">
        <f>IFERROR(VLOOKUP($B302,Totalt!$B$1:$AQ$554,MATCH(P$2,Totalt!$B$1:$AQ$1,0),FALSE),"")</f>
        <v>0</v>
      </c>
      <c r="Q302" s="173">
        <f>IFERROR(VLOOKUP($B302,Totalt!$B$1:$AQ$554,MATCH(Q$2,Totalt!$B$1:$AQ$1,0),FALSE),"")</f>
        <v>0</v>
      </c>
      <c r="R302" s="173">
        <f>IFERROR(VLOOKUP($B302,Totalt!$B$1:$AQ$554,MATCH(R$2,Totalt!$B$1:$AQ$1,0),FALSE),"")</f>
        <v>0</v>
      </c>
      <c r="S302" s="173">
        <f>IFERROR(VLOOKUP($B302,Totalt!$B$1:$AQ$554,MATCH(S$2,Totalt!$B$1:$AQ$1,0),FALSE),"")</f>
        <v>0</v>
      </c>
      <c r="T302" s="173">
        <f>IFERROR(VLOOKUP($B302,Totalt!$B$1:$AQ$554,MATCH(T$2,Totalt!$B$1:$AQ$1,0),FALSE),"")</f>
        <v>0</v>
      </c>
      <c r="U302" s="173">
        <f>IFERROR(VLOOKUP($B302,Totalt!$B$1:$AQ$554,MATCH(U$2,Totalt!$B$1:$AQ$1,0),FALSE),"")</f>
        <v>0</v>
      </c>
      <c r="V302" s="173">
        <f>IFERROR(VLOOKUP($B302,Totalt!$B$1:$AQ$554,MATCH(V$2,Totalt!$B$1:$AQ$1,0),FALSE),"")</f>
        <v>0</v>
      </c>
      <c r="W302" s="173">
        <f>IFERROR(VLOOKUP($B302,Totalt!$B$1:$AQ$554,MATCH(W$2,Totalt!$B$1:$AQ$1,0),FALSE),"")</f>
        <v>28.6</v>
      </c>
      <c r="X302" s="173">
        <f>IFERROR(VLOOKUP($B302,Totalt!$B$1:$AQ$554,MATCH(X$2,Totalt!$B$1:$AQ$1,0),FALSE),"")</f>
        <v>0</v>
      </c>
      <c r="Y302" s="173">
        <f>IFERROR(VLOOKUP($B302,Totalt!$B$1:$AQ$554,MATCH(Y$2,Totalt!$B$1:$AQ$1,0),FALSE),"")</f>
        <v>0</v>
      </c>
      <c r="Z302" s="173">
        <f>IFERROR(VLOOKUP($B302,Totalt!$B$1:$AQ$554,MATCH(Z$2,Totalt!$B$1:$AQ$1,0),FALSE),"")</f>
        <v>0</v>
      </c>
      <c r="AA302" s="173">
        <f>IFERROR(VLOOKUP($B302,Totalt!$B$1:$AQ$554,MATCH(AA$2,Totalt!$B$1:$AQ$1,0),FALSE),"")</f>
        <v>0</v>
      </c>
      <c r="AB302" s="173">
        <f>IFERROR(VLOOKUP($B302,Totalt!$B$1:$AQ$554,MATCH(AB$2,Totalt!$B$1:$AQ$1,0),FALSE),"")</f>
        <v>0</v>
      </c>
      <c r="AC302" s="173">
        <f>IFERROR(VLOOKUP($B302,Totalt!$B$1:$AQ$554,MATCH(AC$2,Totalt!$B$1:$AQ$1,0),FALSE),"")</f>
        <v>0</v>
      </c>
      <c r="AD302" s="173">
        <f>IFERROR(VLOOKUP($B302,Totalt!$B$1:$AQ$554,MATCH(AD$2,Totalt!$B$1:$AQ$1,0),FALSE),"")</f>
        <v>124.8</v>
      </c>
      <c r="AE302" s="173">
        <f>IFERROR(VLOOKUP($B302,Totalt!$B$1:$AQ$554,MATCH(AE$2,Totalt!$B$1:$AQ$1,0),FALSE),"")</f>
        <v>0</v>
      </c>
      <c r="AF302" s="173">
        <f>IFERROR(VLOOKUP($B302,Totalt!$B$1:$AQ$554,MATCH(AF$2,Totalt!$B$1:$AQ$1,0),FALSE),"")</f>
        <v>1.1000000000000001</v>
      </c>
      <c r="AG302" s="173">
        <f>IFERROR(VLOOKUP($B302,Totalt!$B$1:$AQ$554,MATCH(AG$2,Totalt!$B$1:$AQ$1,0),FALSE),"")</f>
        <v>0</v>
      </c>
      <c r="AI302" s="226">
        <f t="shared" si="24"/>
        <v>154.6</v>
      </c>
      <c r="AJ302" s="226">
        <f>IF(ISERROR(1/VLOOKUP($B302,Leveranser!$B$1:$S$500,MATCH("såld värme (gwh)",Leveranser!$B$1:$S$1,0),FALSE)),"",VLOOKUP($B302,Leveranser!$B$1:$S$500,MATCH("såld värme (gwh)",Leveranser!$B$1:$S$1,0),FALSE))</f>
        <v>135.69</v>
      </c>
      <c r="AM302" s="227" t="str">
        <f>IF(B302&lt;&gt;"",IF(VLOOKUP($B302,Totalt!$B$1:$AQ$554,MATCH("Kvalitetsgranskad:",Totalt!$B$1:$AQ$1,0),FALSE)="ja",VLOOKUP($B302,Miljö!$B$1:$AG$479,MATCH(AM$2,Miljö!$B$1:$AK$1,0),FALSE),""),"")</f>
        <v>Ja</v>
      </c>
      <c r="AN302" s="227" t="str">
        <f>IF(AM302="ja",VLOOKUP($B302,Miljö!$B$1:$J$479,MATCH("Typ av ursprungsspecificerad el   (Om inget värde anges används Nordisk residualmix, se inforuta) ()",Miljö!$B$1:$J$1,0),FALSE),IF(AM302="nej","Nordisk residualel",""))</f>
        <v>-</v>
      </c>
      <c r="AO302" s="227">
        <f>IF(AM302="","",VLOOKUP($B302,Miljö!$B$1:$J$479,MATCH("Fossilandel för ursprungspecificerad el ()",Miljö!$B$1:$J$1,0),FALSE))</f>
        <v>0</v>
      </c>
      <c r="AP302" s="227">
        <f>IF(AM302="","",IFERROR(VLOOKUP($B302,Miljö!$B$1:$J$479,MATCH("Kärnkraftsandel för ursprungsspecificerad el ()",Miljö!$B$1:$J$1,0),FALSE)/1,0))</f>
        <v>0.59399999999999997</v>
      </c>
      <c r="AQ302" s="227">
        <f t="shared" si="25"/>
        <v>0.40600000000000003</v>
      </c>
      <c r="AR302" s="227"/>
      <c r="AS302" s="227" t="str">
        <f t="shared" si="26"/>
        <v>Nej</v>
      </c>
      <c r="AT302" s="227" t="str">
        <f>IF(AS302="ja",VLOOKUP($B302,Miljö!$B$1:$O$500,MATCH("Fossil andel i procent (%)",Miljö!$B$1:$O$1,0),FALSE)/100,"")</f>
        <v/>
      </c>
      <c r="AU302" s="227"/>
      <c r="AV302" s="227" t="str">
        <f t="shared" si="27"/>
        <v>Nej</v>
      </c>
      <c r="AW302" s="227" t="str">
        <f>IF(AV302="ja",VLOOKUP($B302,'Egen hetvattenprod'!$B$1:$AO$500,MATCH("Värmekälla till värmepumpar ()",'Egen hetvattenprod'!$B$1:$AO$1,0),FALSE),"")</f>
        <v/>
      </c>
      <c r="AX302" s="227"/>
      <c r="AY302" s="227" t="str">
        <f t="shared" si="28"/>
        <v>Nej</v>
      </c>
      <c r="AZ302" s="228" t="str">
        <f>IF($AY302="ja",(VLOOKUP($B302,'Egen hetvattenprod'!$B$1:$BX$550,MATCH(AZ$2,'Egen hetvattenprod'!$B$1:$BX$1,0),FALSE)+VLOOKUP($B302,Kraftvärmeprod!$B$1:$BX$550,MATCH(AZ$2,Kraftvärmeprod!$B$1:$BX$1,0),FALSE))/$AC302,"")</f>
        <v/>
      </c>
      <c r="BA302" s="228" t="str">
        <f>IF($AY302="ja",(VLOOKUP($B302,'Egen hetvattenprod'!$B$1:$BX$550,MATCH(BA$2,'Egen hetvattenprod'!$B$1:$BX$1,0),FALSE)+VLOOKUP($B302,Kraftvärmeprod!$B$1:$BX$550,MATCH(BA$2,Kraftvärmeprod!$B$1:$BX$1,0),FALSE))/$AC302,"")</f>
        <v/>
      </c>
      <c r="BB302" s="228" t="str">
        <f>IF($AY302="ja",(VLOOKUP($B302,'Egen hetvattenprod'!$B$1:$BX$550,MATCH(BB$2,'Egen hetvattenprod'!$B$1:$BX$1,0),FALSE)+VLOOKUP($B302,Kraftvärmeprod!$B$1:$BX$550,MATCH(BB$2,Kraftvärmeprod!$B$1:$BX$1,0),FALSE))/$AC302,"")</f>
        <v/>
      </c>
      <c r="BC302" s="228" t="str">
        <f>IF($AY302="ja",(VLOOKUP($B302,'Egen hetvattenprod'!$B$1:$BX$550,MATCH(BC$2,'Egen hetvattenprod'!$B$1:$BX$1,0),FALSE)+VLOOKUP($B302,Kraftvärmeprod!$B$1:$BX$550,MATCH(BC$2,Kraftvärmeprod!$B$1:$BX$1,0),FALSE))/$AC302,"")</f>
        <v/>
      </c>
      <c r="BD302" s="228" t="str">
        <f>IF($AY302="ja",(VLOOKUP($B302,'Egen hetvattenprod'!$B$1:$BX$550,MATCH(BD$2,'Egen hetvattenprod'!$B$1:$BX$1,0),FALSE)+VLOOKUP($B302,Kraftvärmeprod!$B$1:$BX$550,MATCH(BD$2,Kraftvärmeprod!$B$1:$BX$1,0),FALSE))/$AC302,"")</f>
        <v/>
      </c>
      <c r="BE302" s="227"/>
      <c r="BF302" s="227" t="str">
        <f t="shared" si="29"/>
        <v>Nej</v>
      </c>
      <c r="BG302" s="227" t="str">
        <f>IF($BF302="ja",VLOOKUP($B302,'Egen hetvattenprod'!$B$1:$BX$550,MATCH("Andelen klimatgaser med fossilt ursprung för avfall ()",'Egen hetvattenprod'!$B$1:$BX$1,0),FALSE),"")</f>
        <v/>
      </c>
      <c r="BH302" s="227" t="str">
        <f>IF($BF302="ja",VLOOKUP($B302,Kraftvärmeprod!$B$1:$BX$550,MATCH("Andelen klimatgaser med fossilt ursprung för avfall ()",Kraftvärmeprod!$B$1:$BX$1,0),FALSE),"")</f>
        <v/>
      </c>
      <c r="BI302" s="227" t="str">
        <f>IF($BF302="ja",VLOOKUP($B302,'Egen hetvattenprod'!$B$1:$BX$550,MATCH("Avfall (GWh)",'Egen hetvattenprod'!$B$1:$BX$1,0),FALSE),"")</f>
        <v/>
      </c>
      <c r="BJ302" s="227" t="str">
        <f>IF($BF302="ja",VLOOKUP($B302,'Slutlig allokering kvv'!$B$1:$BX$550,MATCH("Avfall (GWh)",'Slutlig allokering kvv'!$B$1:$BX$1,0),FALSE),"")</f>
        <v/>
      </c>
      <c r="BK302" s="227" t="str">
        <f>IF($BF302="ja",VLOOKUP($B302,'Köpt hetvatten'!$B$1:$BX$550,MATCH("Avfall i köpt hetvatten",'Köpt hetvatten'!$B$1:$BX$1,0),FALSE),"")</f>
        <v/>
      </c>
      <c r="BL302" s="227" t="str">
        <f>IF($BF302="ja",VLOOKUP($B302,'Egen hetvattenprod'!$B$1:$BX$550,MATCH("Värde enligt ovan. (%)",'Egen hetvattenprod'!$B$1:$BX$1,0),FALSE),"")</f>
        <v/>
      </c>
      <c r="BM302" s="227" t="str">
        <f>IF($BF302="ja",VLOOKUP($B302,Kraftvärmeprod!$B$1:$BX$550,MATCH("Värde enligt ovan. (%)",Kraftvärmeprod!$B$1:$BX$1,0),FALSE),"")</f>
        <v/>
      </c>
      <c r="BN302" s="227"/>
      <c r="BO302" s="227"/>
      <c r="BP302" s="227"/>
      <c r="BQ302" s="227" t="str">
        <f>IF($BF302="ja",VLOOKUP($B302,'Egen hetvattenprod'!$B$1:$BX$550,MATCH("Tillförd olja (fossil) vid avfallsförbränning (GWh)",'Egen hetvattenprod'!$B$1:$BX$1,0),FALSE),"")</f>
        <v/>
      </c>
      <c r="BR302" s="227" t="str">
        <f>IF($BF302="ja",VLOOKUP($B302,Kraftvärmeprod!$B$1:$BX$550,MATCH("Tillförd olja (fossil) vid avfallsförbränning (GWh)",Kraftvärmeprod!$B$1:$BX$1,0),FALSE),"")</f>
        <v/>
      </c>
      <c r="BS302" s="227"/>
      <c r="BT302" s="227"/>
      <c r="BU302" s="227"/>
    </row>
    <row r="303" spans="1:73" x14ac:dyDescent="0.25">
      <c r="A303" s="121" t="str">
        <f>'Miljövärden för publ företag'!B306</f>
        <v>Veolia</v>
      </c>
      <c r="B303" s="121" t="str">
        <f>'Miljövärden för publ företag'!C306</f>
        <v>Ekerö</v>
      </c>
      <c r="C303" s="173">
        <f>IFERROR(VLOOKUP($B303,Totalt!$B$1:$AQ$554,MATCH(C$2,Totalt!$B$1:$AQ$1,0),FALSE),"")</f>
        <v>0</v>
      </c>
      <c r="D303" s="173">
        <f>IFERROR(VLOOKUP($B303,Totalt!$B$1:$AQ$554,MATCH(D$2,Totalt!$B$1:$AQ$1,0),FALSE),"")</f>
        <v>0.62</v>
      </c>
      <c r="E303" s="173">
        <f>IFERROR(VLOOKUP($B303,Totalt!$B$1:$AQ$554,MATCH(E$2,Totalt!$B$1:$AQ$1,0),FALSE),"")</f>
        <v>0</v>
      </c>
      <c r="F303" s="173">
        <f>IFERROR(VLOOKUP($B303,Totalt!$B$1:$AQ$554,MATCH(F$2,Totalt!$B$1:$AQ$1,0),FALSE),"")</f>
        <v>0</v>
      </c>
      <c r="G303" s="173">
        <f>IFERROR(VLOOKUP($B303,Totalt!$B$1:$AQ$554,MATCH(G$2,Totalt!$B$1:$AQ$1,0),FALSE),"")</f>
        <v>0</v>
      </c>
      <c r="H303" s="173">
        <f>IFERROR(VLOOKUP($B303,Totalt!$B$1:$AQ$554,MATCH(H$2,Totalt!$B$1:$AQ$1,0),FALSE),"")</f>
        <v>0</v>
      </c>
      <c r="I303" s="173">
        <f>IFERROR(VLOOKUP($B303,Totalt!$B$1:$AQ$554,MATCH(I$2,Totalt!$B$1:$AQ$1,0),FALSE),"")</f>
        <v>0</v>
      </c>
      <c r="J303" s="173">
        <f>IFERROR(VLOOKUP($B303,Totalt!$B$1:$AQ$554,MATCH(J$2,Totalt!$B$1:$AQ$1,0),FALSE),"")</f>
        <v>0</v>
      </c>
      <c r="K303" s="173">
        <f>IFERROR(VLOOKUP($B303,Totalt!$B$1:$AQ$554,MATCH(K$2,Totalt!$B$1:$AQ$1,0),FALSE),"")</f>
        <v>0</v>
      </c>
      <c r="L303" s="173">
        <f>IFERROR(VLOOKUP($B303,Totalt!$B$1:$AQ$554,MATCH(L$2,Totalt!$B$1:$AQ$1,0),FALSE),"")</f>
        <v>0</v>
      </c>
      <c r="M303" s="173">
        <f>IFERROR(VLOOKUP($B303,Totalt!$B$1:$AQ$554,MATCH(M$2,Totalt!$B$1:$AQ$1,0),FALSE),"")</f>
        <v>0</v>
      </c>
      <c r="N303" s="173">
        <f>IFERROR(VLOOKUP($B303,Totalt!$B$1:$AQ$554,MATCH(N$2,Totalt!$B$1:$AQ$1,0),FALSE),"")</f>
        <v>0</v>
      </c>
      <c r="O303" s="173">
        <f>IFERROR(VLOOKUP($B303,Totalt!$B$1:$AQ$554,MATCH(O$2,Totalt!$B$1:$AQ$1,0),FALSE),"")</f>
        <v>0</v>
      </c>
      <c r="P303" s="173">
        <f>IFERROR(VLOOKUP($B303,Totalt!$B$1:$AQ$554,MATCH(P$2,Totalt!$B$1:$AQ$1,0),FALSE),"")</f>
        <v>0</v>
      </c>
      <c r="Q303" s="173">
        <f>IFERROR(VLOOKUP($B303,Totalt!$B$1:$AQ$554,MATCH(Q$2,Totalt!$B$1:$AQ$1,0),FALSE),"")</f>
        <v>0</v>
      </c>
      <c r="R303" s="173">
        <f>IFERROR(VLOOKUP($B303,Totalt!$B$1:$AQ$554,MATCH(R$2,Totalt!$B$1:$AQ$1,0),FALSE),"")</f>
        <v>7.44</v>
      </c>
      <c r="S303" s="173">
        <f>IFERROR(VLOOKUP($B303,Totalt!$B$1:$AQ$554,MATCH(S$2,Totalt!$B$1:$AQ$1,0),FALSE),"")</f>
        <v>0</v>
      </c>
      <c r="T303" s="173">
        <f>IFERROR(VLOOKUP($B303,Totalt!$B$1:$AQ$554,MATCH(T$2,Totalt!$B$1:$AQ$1,0),FALSE),"")</f>
        <v>0</v>
      </c>
      <c r="U303" s="173">
        <f>IFERROR(VLOOKUP($B303,Totalt!$B$1:$AQ$554,MATCH(U$2,Totalt!$B$1:$AQ$1,0),FALSE),"")</f>
        <v>0</v>
      </c>
      <c r="V303" s="173">
        <f>IFERROR(VLOOKUP($B303,Totalt!$B$1:$AQ$554,MATCH(V$2,Totalt!$B$1:$AQ$1,0),FALSE),"")</f>
        <v>0</v>
      </c>
      <c r="W303" s="173">
        <f>IFERROR(VLOOKUP($B303,Totalt!$B$1:$AQ$554,MATCH(W$2,Totalt!$B$1:$AQ$1,0),FALSE),"")</f>
        <v>0</v>
      </c>
      <c r="X303" s="173">
        <f>IFERROR(VLOOKUP($B303,Totalt!$B$1:$AQ$554,MATCH(X$2,Totalt!$B$1:$AQ$1,0),FALSE),"")</f>
        <v>0</v>
      </c>
      <c r="Y303" s="173">
        <f>IFERROR(VLOOKUP($B303,Totalt!$B$1:$AQ$554,MATCH(Y$2,Totalt!$B$1:$AQ$1,0),FALSE),"")</f>
        <v>0</v>
      </c>
      <c r="Z303" s="173">
        <f>IFERROR(VLOOKUP($B303,Totalt!$B$1:$AQ$554,MATCH(Z$2,Totalt!$B$1:$AQ$1,0),FALSE),"")</f>
        <v>0</v>
      </c>
      <c r="AA303" s="173">
        <f>IFERROR(VLOOKUP($B303,Totalt!$B$1:$AQ$554,MATCH(AA$2,Totalt!$B$1:$AQ$1,0),FALSE),"")</f>
        <v>0</v>
      </c>
      <c r="AB303" s="173">
        <f>IFERROR(VLOOKUP($B303,Totalt!$B$1:$AQ$554,MATCH(AB$2,Totalt!$B$1:$AQ$1,0),FALSE),"")</f>
        <v>0</v>
      </c>
      <c r="AC303" s="173">
        <f>IFERROR(VLOOKUP($B303,Totalt!$B$1:$AQ$554,MATCH(AC$2,Totalt!$B$1:$AQ$1,0),FALSE),"")</f>
        <v>0</v>
      </c>
      <c r="AD303" s="173">
        <f>IFERROR(VLOOKUP($B303,Totalt!$B$1:$AQ$554,MATCH(AD$2,Totalt!$B$1:$AQ$1,0),FALSE),"")</f>
        <v>0</v>
      </c>
      <c r="AE303" s="173">
        <f>IFERROR(VLOOKUP($B303,Totalt!$B$1:$AQ$554,MATCH(AE$2,Totalt!$B$1:$AQ$1,0),FALSE),"")</f>
        <v>0</v>
      </c>
      <c r="AF303" s="173">
        <f>IFERROR(VLOOKUP($B303,Totalt!$B$1:$AQ$554,MATCH(AF$2,Totalt!$B$1:$AQ$1,0),FALSE),"")</f>
        <v>0.1</v>
      </c>
      <c r="AG303" s="173">
        <f>IFERROR(VLOOKUP($B303,Totalt!$B$1:$AQ$554,MATCH(AG$2,Totalt!$B$1:$AQ$1,0),FALSE),"")</f>
        <v>0</v>
      </c>
      <c r="AI303" s="226">
        <f t="shared" si="24"/>
        <v>8.16</v>
      </c>
      <c r="AJ303" s="226">
        <f>IF(ISERROR(1/VLOOKUP($B303,Leveranser!$B$1:$S$500,MATCH("såld värme (gwh)",Leveranser!$B$1:$S$1,0),FALSE)),"",VLOOKUP($B303,Leveranser!$B$1:$S$500,MATCH("såld värme (gwh)",Leveranser!$B$1:$S$1,0),FALSE))</f>
        <v>5.5</v>
      </c>
      <c r="AM303" s="227" t="str">
        <f>IF(B303&lt;&gt;"",IF(VLOOKUP($B303,Totalt!$B$1:$AQ$554,MATCH("Kvalitetsgranskad:",Totalt!$B$1:$AQ$1,0),FALSE)="ja",VLOOKUP($B303,Miljö!$B$1:$AG$479,MATCH(AM$2,Miljö!$B$1:$AK$1,0),FALSE),""),"")</f>
        <v>Nej</v>
      </c>
      <c r="AN303" s="227" t="str">
        <f>IF(AM303="ja",VLOOKUP($B303,Miljö!$B$1:$J$479,MATCH("Typ av ursprungsspecificerad el   (Om inget värde anges används Nordisk residualmix, se inforuta) ()",Miljö!$B$1:$J$1,0),FALSE),IF(AM303="nej","Nordisk residualel",""))</f>
        <v>Nordisk residualel</v>
      </c>
      <c r="AO303" s="227">
        <f>IF(AM303="","",VLOOKUP($B303,Miljö!$B$1:$J$479,MATCH("Fossilandel för ursprungspecificerad el ()",Miljö!$B$1:$J$1,0),FALSE))</f>
        <v>0.43</v>
      </c>
      <c r="AP303" s="227">
        <f>IF(AM303="","",IFERROR(VLOOKUP($B303,Miljö!$B$1:$J$479,MATCH("Kärnkraftsandel för ursprungsspecificerad el ()",Miljö!$B$1:$J$1,0),FALSE)/1,0))</f>
        <v>0.40550000000000003</v>
      </c>
      <c r="AQ303" s="227">
        <f t="shared" si="25"/>
        <v>0.16450000000000004</v>
      </c>
      <c r="AR303" s="227"/>
      <c r="AS303" s="227" t="str">
        <f t="shared" si="26"/>
        <v>Nej</v>
      </c>
      <c r="AT303" s="227" t="str">
        <f>IF(AS303="ja",VLOOKUP($B303,Miljö!$B$1:$O$500,MATCH("Fossil andel i procent (%)",Miljö!$B$1:$O$1,0),FALSE)/100,"")</f>
        <v/>
      </c>
      <c r="AU303" s="227"/>
      <c r="AV303" s="227" t="str">
        <f t="shared" si="27"/>
        <v>Nej</v>
      </c>
      <c r="AW303" s="227" t="str">
        <f>IF(AV303="ja",VLOOKUP($B303,'Egen hetvattenprod'!$B$1:$AO$500,MATCH("Värmekälla till värmepumpar ()",'Egen hetvattenprod'!$B$1:$AO$1,0),FALSE),"")</f>
        <v/>
      </c>
      <c r="AX303" s="227"/>
      <c r="AY303" s="227" t="str">
        <f t="shared" si="28"/>
        <v>Nej</v>
      </c>
      <c r="AZ303" s="228" t="str">
        <f>IF($AY303="ja",(VLOOKUP($B303,'Egen hetvattenprod'!$B$1:$BX$550,MATCH(AZ$2,'Egen hetvattenprod'!$B$1:$BX$1,0),FALSE)+VLOOKUP($B303,Kraftvärmeprod!$B$1:$BX$550,MATCH(AZ$2,Kraftvärmeprod!$B$1:$BX$1,0),FALSE))/$AC303,"")</f>
        <v/>
      </c>
      <c r="BA303" s="228" t="str">
        <f>IF($AY303="ja",(VLOOKUP($B303,'Egen hetvattenprod'!$B$1:$BX$550,MATCH(BA$2,'Egen hetvattenprod'!$B$1:$BX$1,0),FALSE)+VLOOKUP($B303,Kraftvärmeprod!$B$1:$BX$550,MATCH(BA$2,Kraftvärmeprod!$B$1:$BX$1,0),FALSE))/$AC303,"")</f>
        <v/>
      </c>
      <c r="BB303" s="228" t="str">
        <f>IF($AY303="ja",(VLOOKUP($B303,'Egen hetvattenprod'!$B$1:$BX$550,MATCH(BB$2,'Egen hetvattenprod'!$B$1:$BX$1,0),FALSE)+VLOOKUP($B303,Kraftvärmeprod!$B$1:$BX$550,MATCH(BB$2,Kraftvärmeprod!$B$1:$BX$1,0),FALSE))/$AC303,"")</f>
        <v/>
      </c>
      <c r="BC303" s="228" t="str">
        <f>IF($AY303="ja",(VLOOKUP($B303,'Egen hetvattenprod'!$B$1:$BX$550,MATCH(BC$2,'Egen hetvattenprod'!$B$1:$BX$1,0),FALSE)+VLOOKUP($B303,Kraftvärmeprod!$B$1:$BX$550,MATCH(BC$2,Kraftvärmeprod!$B$1:$BX$1,0),FALSE))/$AC303,"")</f>
        <v/>
      </c>
      <c r="BD303" s="228" t="str">
        <f>IF($AY303="ja",(VLOOKUP($B303,'Egen hetvattenprod'!$B$1:$BX$550,MATCH(BD$2,'Egen hetvattenprod'!$B$1:$BX$1,0),FALSE)+VLOOKUP($B303,Kraftvärmeprod!$B$1:$BX$550,MATCH(BD$2,Kraftvärmeprod!$B$1:$BX$1,0),FALSE))/$AC303,"")</f>
        <v/>
      </c>
      <c r="BE303" s="227"/>
      <c r="BF303" s="227" t="str">
        <f t="shared" si="29"/>
        <v>Nej</v>
      </c>
      <c r="BG303" s="227" t="str">
        <f>IF($BF303="ja",VLOOKUP($B303,'Egen hetvattenprod'!$B$1:$BX$550,MATCH("Andelen klimatgaser med fossilt ursprung för avfall ()",'Egen hetvattenprod'!$B$1:$BX$1,0),FALSE),"")</f>
        <v/>
      </c>
      <c r="BH303" s="227" t="str">
        <f>IF($BF303="ja",VLOOKUP($B303,Kraftvärmeprod!$B$1:$BX$550,MATCH("Andelen klimatgaser med fossilt ursprung för avfall ()",Kraftvärmeprod!$B$1:$BX$1,0),FALSE),"")</f>
        <v/>
      </c>
      <c r="BI303" s="227" t="str">
        <f>IF($BF303="ja",VLOOKUP($B303,'Egen hetvattenprod'!$B$1:$BX$550,MATCH("Avfall (GWh)",'Egen hetvattenprod'!$B$1:$BX$1,0),FALSE),"")</f>
        <v/>
      </c>
      <c r="BJ303" s="227" t="str">
        <f>IF($BF303="ja",VLOOKUP($B303,'Slutlig allokering kvv'!$B$1:$BX$550,MATCH("Avfall (GWh)",'Slutlig allokering kvv'!$B$1:$BX$1,0),FALSE),"")</f>
        <v/>
      </c>
      <c r="BK303" s="227" t="str">
        <f>IF($BF303="ja",VLOOKUP($B303,'Köpt hetvatten'!$B$1:$BX$550,MATCH("Avfall i köpt hetvatten",'Köpt hetvatten'!$B$1:$BX$1,0),FALSE),"")</f>
        <v/>
      </c>
      <c r="BL303" s="227" t="str">
        <f>IF($BF303="ja",VLOOKUP($B303,'Egen hetvattenprod'!$B$1:$BX$550,MATCH("Värde enligt ovan. (%)",'Egen hetvattenprod'!$B$1:$BX$1,0),FALSE),"")</f>
        <v/>
      </c>
      <c r="BM303" s="227" t="str">
        <f>IF($BF303="ja",VLOOKUP($B303,Kraftvärmeprod!$B$1:$BX$550,MATCH("Värde enligt ovan. (%)",Kraftvärmeprod!$B$1:$BX$1,0),FALSE),"")</f>
        <v/>
      </c>
      <c r="BN303" s="227"/>
      <c r="BO303" s="227"/>
      <c r="BP303" s="227"/>
      <c r="BQ303" s="227" t="str">
        <f>IF($BF303="ja",VLOOKUP($B303,'Egen hetvattenprod'!$B$1:$BX$550,MATCH("Tillförd olja (fossil) vid avfallsförbränning (GWh)",'Egen hetvattenprod'!$B$1:$BX$1,0),FALSE),"")</f>
        <v/>
      </c>
      <c r="BR303" s="227" t="str">
        <f>IF($BF303="ja",VLOOKUP($B303,Kraftvärmeprod!$B$1:$BX$550,MATCH("Tillförd olja (fossil) vid avfallsförbränning (GWh)",Kraftvärmeprod!$B$1:$BX$1,0),FALSE),"")</f>
        <v/>
      </c>
      <c r="BS303" s="227"/>
      <c r="BT303" s="227"/>
      <c r="BU303" s="227"/>
    </row>
    <row r="304" spans="1:73" x14ac:dyDescent="0.25">
      <c r="A304" s="121" t="str">
        <f>'Miljövärden för publ företag'!B307</f>
        <v>Vimmerby Energi &amp; Miljö AB</v>
      </c>
      <c r="B304" s="121" t="str">
        <f>'Miljövärden för publ företag'!C307</f>
        <v>Frödinge</v>
      </c>
      <c r="C304" s="173">
        <f>IFERROR(VLOOKUP($B304,Totalt!$B$1:$AQ$554,MATCH(C$2,Totalt!$B$1:$AQ$1,0),FALSE),"")</f>
        <v>0</v>
      </c>
      <c r="D304" s="173">
        <f>IFERROR(VLOOKUP($B304,Totalt!$B$1:$AQ$554,MATCH(D$2,Totalt!$B$1:$AQ$1,0),FALSE),"")</f>
        <v>0</v>
      </c>
      <c r="E304" s="173">
        <f>IFERROR(VLOOKUP($B304,Totalt!$B$1:$AQ$554,MATCH(E$2,Totalt!$B$1:$AQ$1,0),FALSE),"")</f>
        <v>0</v>
      </c>
      <c r="F304" s="173">
        <f>IFERROR(VLOOKUP($B304,Totalt!$B$1:$AQ$554,MATCH(F$2,Totalt!$B$1:$AQ$1,0),FALSE),"")</f>
        <v>0</v>
      </c>
      <c r="G304" s="173">
        <f>IFERROR(VLOOKUP($B304,Totalt!$B$1:$AQ$554,MATCH(G$2,Totalt!$B$1:$AQ$1,0),FALSE),"")</f>
        <v>0</v>
      </c>
      <c r="H304" s="173">
        <f>IFERROR(VLOOKUP($B304,Totalt!$B$1:$AQ$554,MATCH(H$2,Totalt!$B$1:$AQ$1,0),FALSE),"")</f>
        <v>0</v>
      </c>
      <c r="I304" s="173">
        <f>IFERROR(VLOOKUP($B304,Totalt!$B$1:$AQ$554,MATCH(I$2,Totalt!$B$1:$AQ$1,0),FALSE),"")</f>
        <v>0</v>
      </c>
      <c r="J304" s="173">
        <f>IFERROR(VLOOKUP($B304,Totalt!$B$1:$AQ$554,MATCH(J$2,Totalt!$B$1:$AQ$1,0),FALSE),"")</f>
        <v>0</v>
      </c>
      <c r="K304" s="173">
        <f>IFERROR(VLOOKUP($B304,Totalt!$B$1:$AQ$554,MATCH(K$2,Totalt!$B$1:$AQ$1,0),FALSE),"")</f>
        <v>0</v>
      </c>
      <c r="L304" s="173">
        <f>IFERROR(VLOOKUP($B304,Totalt!$B$1:$AQ$554,MATCH(L$2,Totalt!$B$1:$AQ$1,0),FALSE),"")</f>
        <v>0</v>
      </c>
      <c r="M304" s="173">
        <f>IFERROR(VLOOKUP($B304,Totalt!$B$1:$AQ$554,MATCH(M$2,Totalt!$B$1:$AQ$1,0),FALSE),"")</f>
        <v>0</v>
      </c>
      <c r="N304" s="173">
        <f>IFERROR(VLOOKUP($B304,Totalt!$B$1:$AQ$554,MATCH(N$2,Totalt!$B$1:$AQ$1,0),FALSE),"")</f>
        <v>0</v>
      </c>
      <c r="O304" s="173">
        <f>IFERROR(VLOOKUP($B304,Totalt!$B$1:$AQ$554,MATCH(O$2,Totalt!$B$1:$AQ$1,0),FALSE),"")</f>
        <v>0</v>
      </c>
      <c r="P304" s="173">
        <f>IFERROR(VLOOKUP($B304,Totalt!$B$1:$AQ$554,MATCH(P$2,Totalt!$B$1:$AQ$1,0),FALSE),"")</f>
        <v>0</v>
      </c>
      <c r="Q304" s="173">
        <f>IFERROR(VLOOKUP($B304,Totalt!$B$1:$AQ$554,MATCH(Q$2,Totalt!$B$1:$AQ$1,0),FALSE),"")</f>
        <v>6.33908</v>
      </c>
      <c r="R304" s="173">
        <f>IFERROR(VLOOKUP($B304,Totalt!$B$1:$AQ$554,MATCH(R$2,Totalt!$B$1:$AQ$1,0),FALSE),"")</f>
        <v>0</v>
      </c>
      <c r="S304" s="173">
        <f>IFERROR(VLOOKUP($B304,Totalt!$B$1:$AQ$554,MATCH(S$2,Totalt!$B$1:$AQ$1,0),FALSE),"")</f>
        <v>0</v>
      </c>
      <c r="T304" s="173">
        <f>IFERROR(VLOOKUP($B304,Totalt!$B$1:$AQ$554,MATCH(T$2,Totalt!$B$1:$AQ$1,0),FALSE),"")</f>
        <v>0</v>
      </c>
      <c r="U304" s="173">
        <f>IFERROR(VLOOKUP($B304,Totalt!$B$1:$AQ$554,MATCH(U$2,Totalt!$B$1:$AQ$1,0),FALSE),"")</f>
        <v>0</v>
      </c>
      <c r="V304" s="173">
        <f>IFERROR(VLOOKUP($B304,Totalt!$B$1:$AQ$554,MATCH(V$2,Totalt!$B$1:$AQ$1,0),FALSE),"")</f>
        <v>0</v>
      </c>
      <c r="W304" s="173">
        <f>IFERROR(VLOOKUP($B304,Totalt!$B$1:$AQ$554,MATCH(W$2,Totalt!$B$1:$AQ$1,0),FALSE),"")</f>
        <v>0</v>
      </c>
      <c r="X304" s="173">
        <f>IFERROR(VLOOKUP($B304,Totalt!$B$1:$AQ$554,MATCH(X$2,Totalt!$B$1:$AQ$1,0),FALSE),"")</f>
        <v>0</v>
      </c>
      <c r="Y304" s="173">
        <f>IFERROR(VLOOKUP($B304,Totalt!$B$1:$AQ$554,MATCH(Y$2,Totalt!$B$1:$AQ$1,0),FALSE),"")</f>
        <v>0</v>
      </c>
      <c r="Z304" s="173">
        <f>IFERROR(VLOOKUP($B304,Totalt!$B$1:$AQ$554,MATCH(Z$2,Totalt!$B$1:$AQ$1,0),FALSE),"")</f>
        <v>0</v>
      </c>
      <c r="AA304" s="173">
        <f>IFERROR(VLOOKUP($B304,Totalt!$B$1:$AQ$554,MATCH(AA$2,Totalt!$B$1:$AQ$1,0),FALSE),"")</f>
        <v>0</v>
      </c>
      <c r="AB304" s="173">
        <f>IFERROR(VLOOKUP($B304,Totalt!$B$1:$AQ$554,MATCH(AB$2,Totalt!$B$1:$AQ$1,0),FALSE),"")</f>
        <v>0</v>
      </c>
      <c r="AC304" s="173">
        <f>IFERROR(VLOOKUP($B304,Totalt!$B$1:$AQ$554,MATCH(AC$2,Totalt!$B$1:$AQ$1,0),FALSE),"")</f>
        <v>0</v>
      </c>
      <c r="AD304" s="173">
        <f>IFERROR(VLOOKUP($B304,Totalt!$B$1:$AQ$554,MATCH(AD$2,Totalt!$B$1:$AQ$1,0),FALSE),"")</f>
        <v>0</v>
      </c>
      <c r="AE304" s="173">
        <f>IFERROR(VLOOKUP($B304,Totalt!$B$1:$AQ$554,MATCH(AE$2,Totalt!$B$1:$AQ$1,0),FALSE),"")</f>
        <v>0</v>
      </c>
      <c r="AF304" s="173">
        <f>IFERROR(VLOOKUP($B304,Totalt!$B$1:$AQ$554,MATCH(AF$2,Totalt!$B$1:$AQ$1,0),FALSE),"")</f>
        <v>0.13569000000000001</v>
      </c>
      <c r="AG304" s="173">
        <f>IFERROR(VLOOKUP($B304,Totalt!$B$1:$AQ$554,MATCH(AG$2,Totalt!$B$1:$AQ$1,0),FALSE),"")</f>
        <v>0</v>
      </c>
      <c r="AI304" s="226">
        <f t="shared" si="24"/>
        <v>6.4747700000000004</v>
      </c>
      <c r="AJ304" s="226">
        <f>IF(ISERROR(1/VLOOKUP($B304,Leveranser!$B$1:$S$500,MATCH("såld värme (gwh)",Leveranser!$B$1:$S$1,0),FALSE)),"",VLOOKUP($B304,Leveranser!$B$1:$S$500,MATCH("såld värme (gwh)",Leveranser!$B$1:$S$1,0),FALSE))</f>
        <v>4.5229999999999997</v>
      </c>
      <c r="AM304" s="227" t="str">
        <f>IF(B304&lt;&gt;"",IF(VLOOKUP($B304,Totalt!$B$1:$AQ$554,MATCH("Kvalitetsgranskad:",Totalt!$B$1:$AQ$1,0),FALSE)="ja",VLOOKUP($B304,Miljö!$B$1:$AG$479,MATCH(AM$2,Miljö!$B$1:$AK$1,0),FALSE),""),"")</f>
        <v>Nej</v>
      </c>
      <c r="AN304" s="227" t="str">
        <f>IF(AM304="ja",VLOOKUP($B304,Miljö!$B$1:$J$479,MATCH("Typ av ursprungsspecificerad el   (Om inget värde anges används Nordisk residualmix, se inforuta) ()",Miljö!$B$1:$J$1,0),FALSE),IF(AM304="nej","Nordisk residualel",""))</f>
        <v>Nordisk residualel</v>
      </c>
      <c r="AO304" s="227">
        <f>IF(AM304="","",VLOOKUP($B304,Miljö!$B$1:$J$479,MATCH("Fossilandel för ursprungspecificerad el ()",Miljö!$B$1:$J$1,0),FALSE))</f>
        <v>0.43</v>
      </c>
      <c r="AP304" s="227">
        <f>IF(AM304="","",IFERROR(VLOOKUP($B304,Miljö!$B$1:$J$479,MATCH("Kärnkraftsandel för ursprungsspecificerad el ()",Miljö!$B$1:$J$1,0),FALSE)/1,0))</f>
        <v>0.40550000000000003</v>
      </c>
      <c r="AQ304" s="227">
        <f t="shared" si="25"/>
        <v>0.16450000000000004</v>
      </c>
      <c r="AR304" s="227"/>
      <c r="AS304" s="227" t="str">
        <f t="shared" si="26"/>
        <v>Nej</v>
      </c>
      <c r="AT304" s="227" t="str">
        <f>IF(AS304="ja",VLOOKUP($B304,Miljö!$B$1:$O$500,MATCH("Fossil andel i procent (%)",Miljö!$B$1:$O$1,0),FALSE)/100,"")</f>
        <v/>
      </c>
      <c r="AU304" s="227"/>
      <c r="AV304" s="227" t="str">
        <f t="shared" si="27"/>
        <v>Nej</v>
      </c>
      <c r="AW304" s="227" t="str">
        <f>IF(AV304="ja",VLOOKUP($B304,'Egen hetvattenprod'!$B$1:$AO$500,MATCH("Värmekälla till värmepumpar ()",'Egen hetvattenprod'!$B$1:$AO$1,0),FALSE),"")</f>
        <v/>
      </c>
      <c r="AX304" s="227"/>
      <c r="AY304" s="227" t="str">
        <f t="shared" si="28"/>
        <v>Nej</v>
      </c>
      <c r="AZ304" s="228" t="str">
        <f>IF($AY304="ja",(VLOOKUP($B304,'Egen hetvattenprod'!$B$1:$BX$550,MATCH(AZ$2,'Egen hetvattenprod'!$B$1:$BX$1,0),FALSE)+VLOOKUP($B304,Kraftvärmeprod!$B$1:$BX$550,MATCH(AZ$2,Kraftvärmeprod!$B$1:$BX$1,0),FALSE))/$AC304,"")</f>
        <v/>
      </c>
      <c r="BA304" s="228" t="str">
        <f>IF($AY304="ja",(VLOOKUP($B304,'Egen hetvattenprod'!$B$1:$BX$550,MATCH(BA$2,'Egen hetvattenprod'!$B$1:$BX$1,0),FALSE)+VLOOKUP($B304,Kraftvärmeprod!$B$1:$BX$550,MATCH(BA$2,Kraftvärmeprod!$B$1:$BX$1,0),FALSE))/$AC304,"")</f>
        <v/>
      </c>
      <c r="BB304" s="228" t="str">
        <f>IF($AY304="ja",(VLOOKUP($B304,'Egen hetvattenprod'!$B$1:$BX$550,MATCH(BB$2,'Egen hetvattenprod'!$B$1:$BX$1,0),FALSE)+VLOOKUP($B304,Kraftvärmeprod!$B$1:$BX$550,MATCH(BB$2,Kraftvärmeprod!$B$1:$BX$1,0),FALSE))/$AC304,"")</f>
        <v/>
      </c>
      <c r="BC304" s="228" t="str">
        <f>IF($AY304="ja",(VLOOKUP($B304,'Egen hetvattenprod'!$B$1:$BX$550,MATCH(BC$2,'Egen hetvattenprod'!$B$1:$BX$1,0),FALSE)+VLOOKUP($B304,Kraftvärmeprod!$B$1:$BX$550,MATCH(BC$2,Kraftvärmeprod!$B$1:$BX$1,0),FALSE))/$AC304,"")</f>
        <v/>
      </c>
      <c r="BD304" s="228" t="str">
        <f>IF($AY304="ja",(VLOOKUP($B304,'Egen hetvattenprod'!$B$1:$BX$550,MATCH(BD$2,'Egen hetvattenprod'!$B$1:$BX$1,0),FALSE)+VLOOKUP($B304,Kraftvärmeprod!$B$1:$BX$550,MATCH(BD$2,Kraftvärmeprod!$B$1:$BX$1,0),FALSE))/$AC304,"")</f>
        <v/>
      </c>
      <c r="BE304" s="227"/>
      <c r="BF304" s="227" t="str">
        <f t="shared" si="29"/>
        <v>Nej</v>
      </c>
      <c r="BG304" s="227" t="str">
        <f>IF($BF304="ja",VLOOKUP($B304,'Egen hetvattenprod'!$B$1:$BX$550,MATCH("Andelen klimatgaser med fossilt ursprung för avfall ()",'Egen hetvattenprod'!$B$1:$BX$1,0),FALSE),"")</f>
        <v/>
      </c>
      <c r="BH304" s="227" t="str">
        <f>IF($BF304="ja",VLOOKUP($B304,Kraftvärmeprod!$B$1:$BX$550,MATCH("Andelen klimatgaser med fossilt ursprung för avfall ()",Kraftvärmeprod!$B$1:$BX$1,0),FALSE),"")</f>
        <v/>
      </c>
      <c r="BI304" s="227" t="str">
        <f>IF($BF304="ja",VLOOKUP($B304,'Egen hetvattenprod'!$B$1:$BX$550,MATCH("Avfall (GWh)",'Egen hetvattenprod'!$B$1:$BX$1,0),FALSE),"")</f>
        <v/>
      </c>
      <c r="BJ304" s="227" t="str">
        <f>IF($BF304="ja",VLOOKUP($B304,'Slutlig allokering kvv'!$B$1:$BX$550,MATCH("Avfall (GWh)",'Slutlig allokering kvv'!$B$1:$BX$1,0),FALSE),"")</f>
        <v/>
      </c>
      <c r="BK304" s="227" t="str">
        <f>IF($BF304="ja",VLOOKUP($B304,'Köpt hetvatten'!$B$1:$BX$550,MATCH("Avfall i köpt hetvatten",'Köpt hetvatten'!$B$1:$BX$1,0),FALSE),"")</f>
        <v/>
      </c>
      <c r="BL304" s="227" t="str">
        <f>IF($BF304="ja",VLOOKUP($B304,'Egen hetvattenprod'!$B$1:$BX$550,MATCH("Värde enligt ovan. (%)",'Egen hetvattenprod'!$B$1:$BX$1,0),FALSE),"")</f>
        <v/>
      </c>
      <c r="BM304" s="227" t="str">
        <f>IF($BF304="ja",VLOOKUP($B304,Kraftvärmeprod!$B$1:$BX$550,MATCH("Värde enligt ovan. (%)",Kraftvärmeprod!$B$1:$BX$1,0),FALSE),"")</f>
        <v/>
      </c>
      <c r="BN304" s="227"/>
      <c r="BO304" s="227"/>
      <c r="BP304" s="227"/>
      <c r="BQ304" s="227" t="str">
        <f>IF($BF304="ja",VLOOKUP($B304,'Egen hetvattenprod'!$B$1:$BX$550,MATCH("Tillförd olja (fossil) vid avfallsförbränning (GWh)",'Egen hetvattenprod'!$B$1:$BX$1,0),FALSE),"")</f>
        <v/>
      </c>
      <c r="BR304" s="227" t="str">
        <f>IF($BF304="ja",VLOOKUP($B304,Kraftvärmeprod!$B$1:$BX$550,MATCH("Tillförd olja (fossil) vid avfallsförbränning (GWh)",Kraftvärmeprod!$B$1:$BX$1,0),FALSE),"")</f>
        <v/>
      </c>
      <c r="BS304" s="227"/>
      <c r="BT304" s="227"/>
      <c r="BU304" s="227"/>
    </row>
    <row r="305" spans="1:73" x14ac:dyDescent="0.25">
      <c r="A305" s="121" t="str">
        <f>'Miljövärden för publ företag'!B308</f>
        <v>Vimmerby Energi &amp; Miljö AB</v>
      </c>
      <c r="B305" s="121" t="str">
        <f>'Miljövärden för publ företag'!C308</f>
        <v>Gullringen</v>
      </c>
      <c r="C305" s="173">
        <f>IFERROR(VLOOKUP($B305,Totalt!$B$1:$AQ$554,MATCH(C$2,Totalt!$B$1:$AQ$1,0),FALSE),"")</f>
        <v>0</v>
      </c>
      <c r="D305" s="173">
        <f>IFERROR(VLOOKUP($B305,Totalt!$B$1:$AQ$554,MATCH(D$2,Totalt!$B$1:$AQ$1,0),FALSE),"")</f>
        <v>0</v>
      </c>
      <c r="E305" s="173">
        <f>IFERROR(VLOOKUP($B305,Totalt!$B$1:$AQ$554,MATCH(E$2,Totalt!$B$1:$AQ$1,0),FALSE),"")</f>
        <v>0</v>
      </c>
      <c r="F305" s="173">
        <f>IFERROR(VLOOKUP($B305,Totalt!$B$1:$AQ$554,MATCH(F$2,Totalt!$B$1:$AQ$1,0),FALSE),"")</f>
        <v>0</v>
      </c>
      <c r="G305" s="173">
        <f>IFERROR(VLOOKUP($B305,Totalt!$B$1:$AQ$554,MATCH(G$2,Totalt!$B$1:$AQ$1,0),FALSE),"")</f>
        <v>0</v>
      </c>
      <c r="H305" s="173">
        <f>IFERROR(VLOOKUP($B305,Totalt!$B$1:$AQ$554,MATCH(H$2,Totalt!$B$1:$AQ$1,0),FALSE),"")</f>
        <v>0</v>
      </c>
      <c r="I305" s="173">
        <f>IFERROR(VLOOKUP($B305,Totalt!$B$1:$AQ$554,MATCH(I$2,Totalt!$B$1:$AQ$1,0),FALSE),"")</f>
        <v>0</v>
      </c>
      <c r="J305" s="173">
        <f>IFERROR(VLOOKUP($B305,Totalt!$B$1:$AQ$554,MATCH(J$2,Totalt!$B$1:$AQ$1,0),FALSE),"")</f>
        <v>0</v>
      </c>
      <c r="K305" s="173">
        <f>IFERROR(VLOOKUP($B305,Totalt!$B$1:$AQ$554,MATCH(K$2,Totalt!$B$1:$AQ$1,0),FALSE),"")</f>
        <v>0</v>
      </c>
      <c r="L305" s="173">
        <f>IFERROR(VLOOKUP($B305,Totalt!$B$1:$AQ$554,MATCH(L$2,Totalt!$B$1:$AQ$1,0),FALSE),"")</f>
        <v>0</v>
      </c>
      <c r="M305" s="173">
        <f>IFERROR(VLOOKUP($B305,Totalt!$B$1:$AQ$554,MATCH(M$2,Totalt!$B$1:$AQ$1,0),FALSE),"")</f>
        <v>0</v>
      </c>
      <c r="N305" s="173">
        <f>IFERROR(VLOOKUP($B305,Totalt!$B$1:$AQ$554,MATCH(N$2,Totalt!$B$1:$AQ$1,0),FALSE),"")</f>
        <v>0</v>
      </c>
      <c r="O305" s="173">
        <f>IFERROR(VLOOKUP($B305,Totalt!$B$1:$AQ$554,MATCH(O$2,Totalt!$B$1:$AQ$1,0),FALSE),"")</f>
        <v>0</v>
      </c>
      <c r="P305" s="173">
        <f>IFERROR(VLOOKUP($B305,Totalt!$B$1:$AQ$554,MATCH(P$2,Totalt!$B$1:$AQ$1,0),FALSE),"")</f>
        <v>0.45</v>
      </c>
      <c r="Q305" s="173">
        <f>IFERROR(VLOOKUP($B305,Totalt!$B$1:$AQ$554,MATCH(Q$2,Totalt!$B$1:$AQ$1,0),FALSE),"")</f>
        <v>5.18</v>
      </c>
      <c r="R305" s="173">
        <f>IFERROR(VLOOKUP($B305,Totalt!$B$1:$AQ$554,MATCH(R$2,Totalt!$B$1:$AQ$1,0),FALSE),"")</f>
        <v>0</v>
      </c>
      <c r="S305" s="173">
        <f>IFERROR(VLOOKUP($B305,Totalt!$B$1:$AQ$554,MATCH(S$2,Totalt!$B$1:$AQ$1,0),FALSE),"")</f>
        <v>0</v>
      </c>
      <c r="T305" s="173">
        <f>IFERROR(VLOOKUP($B305,Totalt!$B$1:$AQ$554,MATCH(T$2,Totalt!$B$1:$AQ$1,0),FALSE),"")</f>
        <v>0</v>
      </c>
      <c r="U305" s="173">
        <f>IFERROR(VLOOKUP($B305,Totalt!$B$1:$AQ$554,MATCH(U$2,Totalt!$B$1:$AQ$1,0),FALSE),"")</f>
        <v>0</v>
      </c>
      <c r="V305" s="173">
        <f>IFERROR(VLOOKUP($B305,Totalt!$B$1:$AQ$554,MATCH(V$2,Totalt!$B$1:$AQ$1,0),FALSE),"")</f>
        <v>0</v>
      </c>
      <c r="W305" s="173">
        <f>IFERROR(VLOOKUP($B305,Totalt!$B$1:$AQ$554,MATCH(W$2,Totalt!$B$1:$AQ$1,0),FALSE),"")</f>
        <v>0.4</v>
      </c>
      <c r="X305" s="173">
        <f>IFERROR(VLOOKUP($B305,Totalt!$B$1:$AQ$554,MATCH(X$2,Totalt!$B$1:$AQ$1,0),FALSE),"")</f>
        <v>0</v>
      </c>
      <c r="Y305" s="173">
        <f>IFERROR(VLOOKUP($B305,Totalt!$B$1:$AQ$554,MATCH(Y$2,Totalt!$B$1:$AQ$1,0),FALSE),"")</f>
        <v>0</v>
      </c>
      <c r="Z305" s="173">
        <f>IFERROR(VLOOKUP($B305,Totalt!$B$1:$AQ$554,MATCH(Z$2,Totalt!$B$1:$AQ$1,0),FALSE),"")</f>
        <v>0</v>
      </c>
      <c r="AA305" s="173">
        <f>IFERROR(VLOOKUP($B305,Totalt!$B$1:$AQ$554,MATCH(AA$2,Totalt!$B$1:$AQ$1,0),FALSE),"")</f>
        <v>0</v>
      </c>
      <c r="AB305" s="173">
        <f>IFERROR(VLOOKUP($B305,Totalt!$B$1:$AQ$554,MATCH(AB$2,Totalt!$B$1:$AQ$1,0),FALSE),"")</f>
        <v>0</v>
      </c>
      <c r="AC305" s="173">
        <f>IFERROR(VLOOKUP($B305,Totalt!$B$1:$AQ$554,MATCH(AC$2,Totalt!$B$1:$AQ$1,0),FALSE),"")</f>
        <v>0</v>
      </c>
      <c r="AD305" s="173">
        <f>IFERROR(VLOOKUP($B305,Totalt!$B$1:$AQ$554,MATCH(AD$2,Totalt!$B$1:$AQ$1,0),FALSE),"")</f>
        <v>0</v>
      </c>
      <c r="AE305" s="173">
        <f>IFERROR(VLOOKUP($B305,Totalt!$B$1:$AQ$554,MATCH(AE$2,Totalt!$B$1:$AQ$1,0),FALSE),"")</f>
        <v>0</v>
      </c>
      <c r="AF305" s="173">
        <f>IFERROR(VLOOKUP($B305,Totalt!$B$1:$AQ$554,MATCH(AF$2,Totalt!$B$1:$AQ$1,0),FALSE),"")</f>
        <v>0.106</v>
      </c>
      <c r="AG305" s="173">
        <f>IFERROR(VLOOKUP($B305,Totalt!$B$1:$AQ$554,MATCH(AG$2,Totalt!$B$1:$AQ$1,0),FALSE),"")</f>
        <v>0</v>
      </c>
      <c r="AI305" s="226">
        <f t="shared" si="24"/>
        <v>6.1360000000000001</v>
      </c>
      <c r="AJ305" s="226">
        <f>IF(ISERROR(1/VLOOKUP($B305,Leveranser!$B$1:$S$500,MATCH("såld värme (gwh)",Leveranser!$B$1:$S$1,0),FALSE)),"",VLOOKUP($B305,Leveranser!$B$1:$S$500,MATCH("såld värme (gwh)",Leveranser!$B$1:$S$1,0),FALSE))</f>
        <v>4.0510000000000002</v>
      </c>
      <c r="AM305" s="227" t="str">
        <f>IF(B305&lt;&gt;"",IF(VLOOKUP($B305,Totalt!$B$1:$AQ$554,MATCH("Kvalitetsgranskad:",Totalt!$B$1:$AQ$1,0),FALSE)="ja",VLOOKUP($B305,Miljö!$B$1:$AG$479,MATCH(AM$2,Miljö!$B$1:$AK$1,0),FALSE),""),"")</f>
        <v>Ja</v>
      </c>
      <c r="AN305" s="227" t="str">
        <f>IF(AM305="ja",VLOOKUP($B305,Miljö!$B$1:$J$479,MATCH("Typ av ursprungsspecificerad el   (Om inget värde anges används Nordisk residualmix, se inforuta) ()",Miljö!$B$1:$J$1,0),FALSE),IF(AM305="nej","Nordisk residualel",""))</f>
        <v>'Vattenel EPD. kraftvärme bio'</v>
      </c>
      <c r="AO305" s="227">
        <f>IF(AM305="","",VLOOKUP($B305,Miljö!$B$1:$J$479,MATCH("Fossilandel för ursprungspecificerad el ()",Miljö!$B$1:$J$1,0),FALSE))</f>
        <v>0</v>
      </c>
      <c r="AP305" s="227">
        <f>IF(AM305="","",IFERROR(VLOOKUP($B305,Miljö!$B$1:$J$479,MATCH("Kärnkraftsandel för ursprungsspecificerad el ()",Miljö!$B$1:$J$1,0),FALSE)/1,0))</f>
        <v>0</v>
      </c>
      <c r="AQ305" s="227">
        <f t="shared" si="25"/>
        <v>1</v>
      </c>
      <c r="AR305" s="227"/>
      <c r="AS305" s="227" t="str">
        <f t="shared" si="26"/>
        <v>Nej</v>
      </c>
      <c r="AT305" s="227" t="str">
        <f>IF(AS305="ja",VLOOKUP($B305,Miljö!$B$1:$O$500,MATCH("Fossil andel i procent (%)",Miljö!$B$1:$O$1,0),FALSE)/100,"")</f>
        <v/>
      </c>
      <c r="AU305" s="227"/>
      <c r="AV305" s="227" t="str">
        <f t="shared" si="27"/>
        <v>Nej</v>
      </c>
      <c r="AW305" s="227" t="str">
        <f>IF(AV305="ja",VLOOKUP($B305,'Egen hetvattenprod'!$B$1:$AO$500,MATCH("Värmekälla till värmepumpar ()",'Egen hetvattenprod'!$B$1:$AO$1,0),FALSE),"")</f>
        <v/>
      </c>
      <c r="AX305" s="227"/>
      <c r="AY305" s="227" t="str">
        <f t="shared" si="28"/>
        <v>Nej</v>
      </c>
      <c r="AZ305" s="228" t="str">
        <f>IF($AY305="ja",(VLOOKUP($B305,'Egen hetvattenprod'!$B$1:$BX$550,MATCH(AZ$2,'Egen hetvattenprod'!$B$1:$BX$1,0),FALSE)+VLOOKUP($B305,Kraftvärmeprod!$B$1:$BX$550,MATCH(AZ$2,Kraftvärmeprod!$B$1:$BX$1,0),FALSE))/$AC305,"")</f>
        <v/>
      </c>
      <c r="BA305" s="228" t="str">
        <f>IF($AY305="ja",(VLOOKUP($B305,'Egen hetvattenprod'!$B$1:$BX$550,MATCH(BA$2,'Egen hetvattenprod'!$B$1:$BX$1,0),FALSE)+VLOOKUP($B305,Kraftvärmeprod!$B$1:$BX$550,MATCH(BA$2,Kraftvärmeprod!$B$1:$BX$1,0),FALSE))/$AC305,"")</f>
        <v/>
      </c>
      <c r="BB305" s="228" t="str">
        <f>IF($AY305="ja",(VLOOKUP($B305,'Egen hetvattenprod'!$B$1:$BX$550,MATCH(BB$2,'Egen hetvattenprod'!$B$1:$BX$1,0),FALSE)+VLOOKUP($B305,Kraftvärmeprod!$B$1:$BX$550,MATCH(BB$2,Kraftvärmeprod!$B$1:$BX$1,0),FALSE))/$AC305,"")</f>
        <v/>
      </c>
      <c r="BC305" s="228" t="str">
        <f>IF($AY305="ja",(VLOOKUP($B305,'Egen hetvattenprod'!$B$1:$BX$550,MATCH(BC$2,'Egen hetvattenprod'!$B$1:$BX$1,0),FALSE)+VLOOKUP($B305,Kraftvärmeprod!$B$1:$BX$550,MATCH(BC$2,Kraftvärmeprod!$B$1:$BX$1,0),FALSE))/$AC305,"")</f>
        <v/>
      </c>
      <c r="BD305" s="228" t="str">
        <f>IF($AY305="ja",(VLOOKUP($B305,'Egen hetvattenprod'!$B$1:$BX$550,MATCH(BD$2,'Egen hetvattenprod'!$B$1:$BX$1,0),FALSE)+VLOOKUP($B305,Kraftvärmeprod!$B$1:$BX$550,MATCH(BD$2,Kraftvärmeprod!$B$1:$BX$1,0),FALSE))/$AC305,"")</f>
        <v/>
      </c>
      <c r="BE305" s="227"/>
      <c r="BF305" s="227" t="str">
        <f t="shared" si="29"/>
        <v>Nej</v>
      </c>
      <c r="BG305" s="227" t="str">
        <f>IF($BF305="ja",VLOOKUP($B305,'Egen hetvattenprod'!$B$1:$BX$550,MATCH("Andelen klimatgaser med fossilt ursprung för avfall ()",'Egen hetvattenprod'!$B$1:$BX$1,0),FALSE),"")</f>
        <v/>
      </c>
      <c r="BH305" s="227" t="str">
        <f>IF($BF305="ja",VLOOKUP($B305,Kraftvärmeprod!$B$1:$BX$550,MATCH("Andelen klimatgaser med fossilt ursprung för avfall ()",Kraftvärmeprod!$B$1:$BX$1,0),FALSE),"")</f>
        <v/>
      </c>
      <c r="BI305" s="227" t="str">
        <f>IF($BF305="ja",VLOOKUP($B305,'Egen hetvattenprod'!$B$1:$BX$550,MATCH("Avfall (GWh)",'Egen hetvattenprod'!$B$1:$BX$1,0),FALSE),"")</f>
        <v/>
      </c>
      <c r="BJ305" s="227" t="str">
        <f>IF($BF305="ja",VLOOKUP($B305,'Slutlig allokering kvv'!$B$1:$BX$550,MATCH("Avfall (GWh)",'Slutlig allokering kvv'!$B$1:$BX$1,0),FALSE),"")</f>
        <v/>
      </c>
      <c r="BK305" s="227" t="str">
        <f>IF($BF305="ja",VLOOKUP($B305,'Köpt hetvatten'!$B$1:$BX$550,MATCH("Avfall i köpt hetvatten",'Köpt hetvatten'!$B$1:$BX$1,0),FALSE),"")</f>
        <v/>
      </c>
      <c r="BL305" s="227" t="str">
        <f>IF($BF305="ja",VLOOKUP($B305,'Egen hetvattenprod'!$B$1:$BX$550,MATCH("Värde enligt ovan. (%)",'Egen hetvattenprod'!$B$1:$BX$1,0),FALSE),"")</f>
        <v/>
      </c>
      <c r="BM305" s="227" t="str">
        <f>IF($BF305="ja",VLOOKUP($B305,Kraftvärmeprod!$B$1:$BX$550,MATCH("Värde enligt ovan. (%)",Kraftvärmeprod!$B$1:$BX$1,0),FALSE),"")</f>
        <v/>
      </c>
      <c r="BN305" s="227"/>
      <c r="BO305" s="227"/>
      <c r="BP305" s="227"/>
      <c r="BQ305" s="227" t="str">
        <f>IF($BF305="ja",VLOOKUP($B305,'Egen hetvattenprod'!$B$1:$BX$550,MATCH("Tillförd olja (fossil) vid avfallsförbränning (GWh)",'Egen hetvattenprod'!$B$1:$BX$1,0),FALSE),"")</f>
        <v/>
      </c>
      <c r="BR305" s="227" t="str">
        <f>IF($BF305="ja",VLOOKUP($B305,Kraftvärmeprod!$B$1:$BX$550,MATCH("Tillförd olja (fossil) vid avfallsförbränning (GWh)",Kraftvärmeprod!$B$1:$BX$1,0),FALSE),"")</f>
        <v/>
      </c>
      <c r="BS305" s="227"/>
      <c r="BT305" s="227"/>
      <c r="BU305" s="227"/>
    </row>
    <row r="306" spans="1:73" x14ac:dyDescent="0.25">
      <c r="A306" s="121" t="str">
        <f>'Miljövärden för publ företag'!B309</f>
        <v>Vimmerby Energi &amp; Miljö AB</v>
      </c>
      <c r="B306" s="121" t="str">
        <f>'Miljövärden för publ företag'!C309</f>
        <v>Storebro</v>
      </c>
      <c r="C306" s="173">
        <f>IFERROR(VLOOKUP($B306,Totalt!$B$1:$AQ$554,MATCH(C$2,Totalt!$B$1:$AQ$1,0),FALSE),"")</f>
        <v>0</v>
      </c>
      <c r="D306" s="173">
        <f>IFERROR(VLOOKUP($B306,Totalt!$B$1:$AQ$554,MATCH(D$2,Totalt!$B$1:$AQ$1,0),FALSE),"")</f>
        <v>0</v>
      </c>
      <c r="E306" s="173">
        <f>IFERROR(VLOOKUP($B306,Totalt!$B$1:$AQ$554,MATCH(E$2,Totalt!$B$1:$AQ$1,0),FALSE),"")</f>
        <v>0</v>
      </c>
      <c r="F306" s="173">
        <f>IFERROR(VLOOKUP($B306,Totalt!$B$1:$AQ$554,MATCH(F$2,Totalt!$B$1:$AQ$1,0),FALSE),"")</f>
        <v>0</v>
      </c>
      <c r="G306" s="173">
        <f>IFERROR(VLOOKUP($B306,Totalt!$B$1:$AQ$554,MATCH(G$2,Totalt!$B$1:$AQ$1,0),FALSE),"")</f>
        <v>0</v>
      </c>
      <c r="H306" s="173">
        <f>IFERROR(VLOOKUP($B306,Totalt!$B$1:$AQ$554,MATCH(H$2,Totalt!$B$1:$AQ$1,0),FALSE),"")</f>
        <v>0</v>
      </c>
      <c r="I306" s="173">
        <f>IFERROR(VLOOKUP($B306,Totalt!$B$1:$AQ$554,MATCH(I$2,Totalt!$B$1:$AQ$1,0),FALSE),"")</f>
        <v>0</v>
      </c>
      <c r="J306" s="173">
        <f>IFERROR(VLOOKUP($B306,Totalt!$B$1:$AQ$554,MATCH(J$2,Totalt!$B$1:$AQ$1,0),FALSE),"")</f>
        <v>0</v>
      </c>
      <c r="K306" s="173">
        <f>IFERROR(VLOOKUP($B306,Totalt!$B$1:$AQ$554,MATCH(K$2,Totalt!$B$1:$AQ$1,0),FALSE),"")</f>
        <v>0</v>
      </c>
      <c r="L306" s="173">
        <f>IFERROR(VLOOKUP($B306,Totalt!$B$1:$AQ$554,MATCH(L$2,Totalt!$B$1:$AQ$1,0),FALSE),"")</f>
        <v>0</v>
      </c>
      <c r="M306" s="173">
        <f>IFERROR(VLOOKUP($B306,Totalt!$B$1:$AQ$554,MATCH(M$2,Totalt!$B$1:$AQ$1,0),FALSE),"")</f>
        <v>0</v>
      </c>
      <c r="N306" s="173">
        <f>IFERROR(VLOOKUP($B306,Totalt!$B$1:$AQ$554,MATCH(N$2,Totalt!$B$1:$AQ$1,0),FALSE),"")</f>
        <v>0</v>
      </c>
      <c r="O306" s="173">
        <f>IFERROR(VLOOKUP($B306,Totalt!$B$1:$AQ$554,MATCH(O$2,Totalt!$B$1:$AQ$1,0),FALSE),"")</f>
        <v>0</v>
      </c>
      <c r="P306" s="173">
        <f>IFERROR(VLOOKUP($B306,Totalt!$B$1:$AQ$554,MATCH(P$2,Totalt!$B$1:$AQ$1,0),FALSE),"")</f>
        <v>0</v>
      </c>
      <c r="Q306" s="173">
        <f>IFERROR(VLOOKUP($B306,Totalt!$B$1:$AQ$554,MATCH(Q$2,Totalt!$B$1:$AQ$1,0),FALSE),"")</f>
        <v>9.89</v>
      </c>
      <c r="R306" s="173">
        <f>IFERROR(VLOOKUP($B306,Totalt!$B$1:$AQ$554,MATCH(R$2,Totalt!$B$1:$AQ$1,0),FALSE),"")</f>
        <v>0</v>
      </c>
      <c r="S306" s="173">
        <f>IFERROR(VLOOKUP($B306,Totalt!$B$1:$AQ$554,MATCH(S$2,Totalt!$B$1:$AQ$1,0),FALSE),"")</f>
        <v>0</v>
      </c>
      <c r="T306" s="173">
        <f>IFERROR(VLOOKUP($B306,Totalt!$B$1:$AQ$554,MATCH(T$2,Totalt!$B$1:$AQ$1,0),FALSE),"")</f>
        <v>0</v>
      </c>
      <c r="U306" s="173">
        <f>IFERROR(VLOOKUP($B306,Totalt!$B$1:$AQ$554,MATCH(U$2,Totalt!$B$1:$AQ$1,0),FALSE),"")</f>
        <v>0</v>
      </c>
      <c r="V306" s="173">
        <f>IFERROR(VLOOKUP($B306,Totalt!$B$1:$AQ$554,MATCH(V$2,Totalt!$B$1:$AQ$1,0),FALSE),"")</f>
        <v>0</v>
      </c>
      <c r="W306" s="173">
        <f>IFERROR(VLOOKUP($B306,Totalt!$B$1:$AQ$554,MATCH(W$2,Totalt!$B$1:$AQ$1,0),FALSE),"")</f>
        <v>0.25</v>
      </c>
      <c r="X306" s="173">
        <f>IFERROR(VLOOKUP($B306,Totalt!$B$1:$AQ$554,MATCH(X$2,Totalt!$B$1:$AQ$1,0),FALSE),"")</f>
        <v>0</v>
      </c>
      <c r="Y306" s="173">
        <f>IFERROR(VLOOKUP($B306,Totalt!$B$1:$AQ$554,MATCH(Y$2,Totalt!$B$1:$AQ$1,0),FALSE),"")</f>
        <v>0</v>
      </c>
      <c r="Z306" s="173">
        <f>IFERROR(VLOOKUP($B306,Totalt!$B$1:$AQ$554,MATCH(Z$2,Totalt!$B$1:$AQ$1,0),FALSE),"")</f>
        <v>0</v>
      </c>
      <c r="AA306" s="173">
        <f>IFERROR(VLOOKUP($B306,Totalt!$B$1:$AQ$554,MATCH(AA$2,Totalt!$B$1:$AQ$1,0),FALSE),"")</f>
        <v>0</v>
      </c>
      <c r="AB306" s="173">
        <f>IFERROR(VLOOKUP($B306,Totalt!$B$1:$AQ$554,MATCH(AB$2,Totalt!$B$1:$AQ$1,0),FALSE),"")</f>
        <v>0</v>
      </c>
      <c r="AC306" s="173">
        <f>IFERROR(VLOOKUP($B306,Totalt!$B$1:$AQ$554,MATCH(AC$2,Totalt!$B$1:$AQ$1,0),FALSE),"")</f>
        <v>0</v>
      </c>
      <c r="AD306" s="173">
        <f>IFERROR(VLOOKUP($B306,Totalt!$B$1:$AQ$554,MATCH(AD$2,Totalt!$B$1:$AQ$1,0),FALSE),"")</f>
        <v>0</v>
      </c>
      <c r="AE306" s="173">
        <f>IFERROR(VLOOKUP($B306,Totalt!$B$1:$AQ$554,MATCH(AE$2,Totalt!$B$1:$AQ$1,0),FALSE),"")</f>
        <v>0</v>
      </c>
      <c r="AF306" s="173">
        <f>IFERROR(VLOOKUP($B306,Totalt!$B$1:$AQ$554,MATCH(AF$2,Totalt!$B$1:$AQ$1,0),FALSE),"")</f>
        <v>0.154</v>
      </c>
      <c r="AG306" s="173">
        <f>IFERROR(VLOOKUP($B306,Totalt!$B$1:$AQ$554,MATCH(AG$2,Totalt!$B$1:$AQ$1,0),FALSE),"")</f>
        <v>0</v>
      </c>
      <c r="AI306" s="226">
        <f t="shared" si="24"/>
        <v>10.294</v>
      </c>
      <c r="AJ306" s="226">
        <f>IF(ISERROR(1/VLOOKUP($B306,Leveranser!$B$1:$S$500,MATCH("såld värme (gwh)",Leveranser!$B$1:$S$1,0),FALSE)),"",VLOOKUP($B306,Leveranser!$B$1:$S$500,MATCH("såld värme (gwh)",Leveranser!$B$1:$S$1,0),FALSE))</f>
        <v>6.7370000000000001</v>
      </c>
      <c r="AM306" s="227" t="str">
        <f>IF(B306&lt;&gt;"",IF(VLOOKUP($B306,Totalt!$B$1:$AQ$554,MATCH("Kvalitetsgranskad:",Totalt!$B$1:$AQ$1,0),FALSE)="ja",VLOOKUP($B306,Miljö!$B$1:$AG$479,MATCH(AM$2,Miljö!$B$1:$AK$1,0),FALSE),""),"")</f>
        <v>Ja</v>
      </c>
      <c r="AN306" s="227" t="str">
        <f>IF(AM306="ja",VLOOKUP($B306,Miljö!$B$1:$J$479,MATCH("Typ av ursprungsspecificerad el   (Om inget värde anges används Nordisk residualmix, se inforuta) ()",Miljö!$B$1:$J$1,0),FALSE),IF(AM306="nej","Nordisk residualel",""))</f>
        <v>'Vattenel EPD. Kraftvärme bio'</v>
      </c>
      <c r="AO306" s="227">
        <f>IF(AM306="","",VLOOKUP($B306,Miljö!$B$1:$J$479,MATCH("Fossilandel för ursprungspecificerad el ()",Miljö!$B$1:$J$1,0),FALSE))</f>
        <v>0</v>
      </c>
      <c r="AP306" s="227">
        <f>IF(AM306="","",IFERROR(VLOOKUP($B306,Miljö!$B$1:$J$479,MATCH("Kärnkraftsandel för ursprungsspecificerad el ()",Miljö!$B$1:$J$1,0),FALSE)/1,0))</f>
        <v>0</v>
      </c>
      <c r="AQ306" s="227">
        <f t="shared" si="25"/>
        <v>1</v>
      </c>
      <c r="AR306" s="227"/>
      <c r="AS306" s="227" t="str">
        <f t="shared" si="26"/>
        <v>Nej</v>
      </c>
      <c r="AT306" s="227" t="str">
        <f>IF(AS306="ja",VLOOKUP($B306,Miljö!$B$1:$O$500,MATCH("Fossil andel i procent (%)",Miljö!$B$1:$O$1,0),FALSE)/100,"")</f>
        <v/>
      </c>
      <c r="AU306" s="227"/>
      <c r="AV306" s="227" t="str">
        <f t="shared" si="27"/>
        <v>Nej</v>
      </c>
      <c r="AW306" s="227" t="str">
        <f>IF(AV306="ja",VLOOKUP($B306,'Egen hetvattenprod'!$B$1:$AO$500,MATCH("Värmekälla till värmepumpar ()",'Egen hetvattenprod'!$B$1:$AO$1,0),FALSE),"")</f>
        <v/>
      </c>
      <c r="AX306" s="227"/>
      <c r="AY306" s="227" t="str">
        <f t="shared" si="28"/>
        <v>Nej</v>
      </c>
      <c r="AZ306" s="228" t="str">
        <f>IF($AY306="ja",(VLOOKUP($B306,'Egen hetvattenprod'!$B$1:$BX$550,MATCH(AZ$2,'Egen hetvattenprod'!$B$1:$BX$1,0),FALSE)+VLOOKUP($B306,Kraftvärmeprod!$B$1:$BX$550,MATCH(AZ$2,Kraftvärmeprod!$B$1:$BX$1,0),FALSE))/$AC306,"")</f>
        <v/>
      </c>
      <c r="BA306" s="228" t="str">
        <f>IF($AY306="ja",(VLOOKUP($B306,'Egen hetvattenprod'!$B$1:$BX$550,MATCH(BA$2,'Egen hetvattenprod'!$B$1:$BX$1,0),FALSE)+VLOOKUP($B306,Kraftvärmeprod!$B$1:$BX$550,MATCH(BA$2,Kraftvärmeprod!$B$1:$BX$1,0),FALSE))/$AC306,"")</f>
        <v/>
      </c>
      <c r="BB306" s="228" t="str">
        <f>IF($AY306="ja",(VLOOKUP($B306,'Egen hetvattenprod'!$B$1:$BX$550,MATCH(BB$2,'Egen hetvattenprod'!$B$1:$BX$1,0),FALSE)+VLOOKUP($B306,Kraftvärmeprod!$B$1:$BX$550,MATCH(BB$2,Kraftvärmeprod!$B$1:$BX$1,0),FALSE))/$AC306,"")</f>
        <v/>
      </c>
      <c r="BC306" s="228" t="str">
        <f>IF($AY306="ja",(VLOOKUP($B306,'Egen hetvattenprod'!$B$1:$BX$550,MATCH(BC$2,'Egen hetvattenprod'!$B$1:$BX$1,0),FALSE)+VLOOKUP($B306,Kraftvärmeprod!$B$1:$BX$550,MATCH(BC$2,Kraftvärmeprod!$B$1:$BX$1,0),FALSE))/$AC306,"")</f>
        <v/>
      </c>
      <c r="BD306" s="228" t="str">
        <f>IF($AY306="ja",(VLOOKUP($B306,'Egen hetvattenprod'!$B$1:$BX$550,MATCH(BD$2,'Egen hetvattenprod'!$B$1:$BX$1,0),FALSE)+VLOOKUP($B306,Kraftvärmeprod!$B$1:$BX$550,MATCH(BD$2,Kraftvärmeprod!$B$1:$BX$1,0),FALSE))/$AC306,"")</f>
        <v/>
      </c>
      <c r="BE306" s="227"/>
      <c r="BF306" s="227" t="str">
        <f t="shared" si="29"/>
        <v>Nej</v>
      </c>
      <c r="BG306" s="227" t="str">
        <f>IF($BF306="ja",VLOOKUP($B306,'Egen hetvattenprod'!$B$1:$BX$550,MATCH("Andelen klimatgaser med fossilt ursprung för avfall ()",'Egen hetvattenprod'!$B$1:$BX$1,0),FALSE),"")</f>
        <v/>
      </c>
      <c r="BH306" s="227" t="str">
        <f>IF($BF306="ja",VLOOKUP($B306,Kraftvärmeprod!$B$1:$BX$550,MATCH("Andelen klimatgaser med fossilt ursprung för avfall ()",Kraftvärmeprod!$B$1:$BX$1,0),FALSE),"")</f>
        <v/>
      </c>
      <c r="BI306" s="227" t="str">
        <f>IF($BF306="ja",VLOOKUP($B306,'Egen hetvattenprod'!$B$1:$BX$550,MATCH("Avfall (GWh)",'Egen hetvattenprod'!$B$1:$BX$1,0),FALSE),"")</f>
        <v/>
      </c>
      <c r="BJ306" s="227" t="str">
        <f>IF($BF306="ja",VLOOKUP($B306,'Slutlig allokering kvv'!$B$1:$BX$550,MATCH("Avfall (GWh)",'Slutlig allokering kvv'!$B$1:$BX$1,0),FALSE),"")</f>
        <v/>
      </c>
      <c r="BK306" s="227" t="str">
        <f>IF($BF306="ja",VLOOKUP($B306,'Köpt hetvatten'!$B$1:$BX$550,MATCH("Avfall i köpt hetvatten",'Köpt hetvatten'!$B$1:$BX$1,0),FALSE),"")</f>
        <v/>
      </c>
      <c r="BL306" s="227" t="str">
        <f>IF($BF306="ja",VLOOKUP($B306,'Egen hetvattenprod'!$B$1:$BX$550,MATCH("Värde enligt ovan. (%)",'Egen hetvattenprod'!$B$1:$BX$1,0),FALSE),"")</f>
        <v/>
      </c>
      <c r="BM306" s="227" t="str">
        <f>IF($BF306="ja",VLOOKUP($B306,Kraftvärmeprod!$B$1:$BX$550,MATCH("Värde enligt ovan. (%)",Kraftvärmeprod!$B$1:$BX$1,0),FALSE),"")</f>
        <v/>
      </c>
      <c r="BN306" s="227"/>
      <c r="BO306" s="227"/>
      <c r="BP306" s="227"/>
      <c r="BQ306" s="227" t="str">
        <f>IF($BF306="ja",VLOOKUP($B306,'Egen hetvattenprod'!$B$1:$BX$550,MATCH("Tillförd olja (fossil) vid avfallsförbränning (GWh)",'Egen hetvattenprod'!$B$1:$BX$1,0),FALSE),"")</f>
        <v/>
      </c>
      <c r="BR306" s="227" t="str">
        <f>IF($BF306="ja",VLOOKUP($B306,Kraftvärmeprod!$B$1:$BX$550,MATCH("Tillförd olja (fossil) vid avfallsförbränning (GWh)",Kraftvärmeprod!$B$1:$BX$1,0),FALSE),"")</f>
        <v/>
      </c>
      <c r="BS306" s="227"/>
      <c r="BT306" s="227"/>
      <c r="BU306" s="227"/>
    </row>
    <row r="307" spans="1:73" x14ac:dyDescent="0.25">
      <c r="A307" s="121" t="str">
        <f>'Miljövärden för publ företag'!B310</f>
        <v>Vimmerby Energi &amp; Miljö AB</v>
      </c>
      <c r="B307" s="121" t="str">
        <f>'Miljövärden för publ företag'!C310</f>
        <v>Södra Vi</v>
      </c>
      <c r="C307" s="173">
        <f>IFERROR(VLOOKUP($B307,Totalt!$B$1:$AQ$554,MATCH(C$2,Totalt!$B$1:$AQ$1,0),FALSE),"")</f>
        <v>0</v>
      </c>
      <c r="D307" s="173">
        <f>IFERROR(VLOOKUP($B307,Totalt!$B$1:$AQ$554,MATCH(D$2,Totalt!$B$1:$AQ$1,0),FALSE),"")</f>
        <v>0</v>
      </c>
      <c r="E307" s="173">
        <f>IFERROR(VLOOKUP($B307,Totalt!$B$1:$AQ$554,MATCH(E$2,Totalt!$B$1:$AQ$1,0),FALSE),"")</f>
        <v>0</v>
      </c>
      <c r="F307" s="173">
        <f>IFERROR(VLOOKUP($B307,Totalt!$B$1:$AQ$554,MATCH(F$2,Totalt!$B$1:$AQ$1,0),FALSE),"")</f>
        <v>0</v>
      </c>
      <c r="G307" s="173">
        <f>IFERROR(VLOOKUP($B307,Totalt!$B$1:$AQ$554,MATCH(G$2,Totalt!$B$1:$AQ$1,0),FALSE),"")</f>
        <v>0</v>
      </c>
      <c r="H307" s="173">
        <f>IFERROR(VLOOKUP($B307,Totalt!$B$1:$AQ$554,MATCH(H$2,Totalt!$B$1:$AQ$1,0),FALSE),"")</f>
        <v>0</v>
      </c>
      <c r="I307" s="173">
        <f>IFERROR(VLOOKUP($B307,Totalt!$B$1:$AQ$554,MATCH(I$2,Totalt!$B$1:$AQ$1,0),FALSE),"")</f>
        <v>0</v>
      </c>
      <c r="J307" s="173">
        <f>IFERROR(VLOOKUP($B307,Totalt!$B$1:$AQ$554,MATCH(J$2,Totalt!$B$1:$AQ$1,0),FALSE),"")</f>
        <v>0</v>
      </c>
      <c r="K307" s="173">
        <f>IFERROR(VLOOKUP($B307,Totalt!$B$1:$AQ$554,MATCH(K$2,Totalt!$B$1:$AQ$1,0),FALSE),"")</f>
        <v>0</v>
      </c>
      <c r="L307" s="173">
        <f>IFERROR(VLOOKUP($B307,Totalt!$B$1:$AQ$554,MATCH(L$2,Totalt!$B$1:$AQ$1,0),FALSE),"")</f>
        <v>0</v>
      </c>
      <c r="M307" s="173">
        <f>IFERROR(VLOOKUP($B307,Totalt!$B$1:$AQ$554,MATCH(M$2,Totalt!$B$1:$AQ$1,0),FALSE),"")</f>
        <v>0</v>
      </c>
      <c r="N307" s="173">
        <f>IFERROR(VLOOKUP($B307,Totalt!$B$1:$AQ$554,MATCH(N$2,Totalt!$B$1:$AQ$1,0),FALSE),"")</f>
        <v>0</v>
      </c>
      <c r="O307" s="173">
        <f>IFERROR(VLOOKUP($B307,Totalt!$B$1:$AQ$554,MATCH(O$2,Totalt!$B$1:$AQ$1,0),FALSE),"")</f>
        <v>0</v>
      </c>
      <c r="P307" s="173">
        <f>IFERROR(VLOOKUP($B307,Totalt!$B$1:$AQ$554,MATCH(P$2,Totalt!$B$1:$AQ$1,0),FALSE),"")</f>
        <v>0</v>
      </c>
      <c r="Q307" s="173">
        <f>IFERROR(VLOOKUP($B307,Totalt!$B$1:$AQ$554,MATCH(Q$2,Totalt!$B$1:$AQ$1,0),FALSE),"")</f>
        <v>15.43</v>
      </c>
      <c r="R307" s="173">
        <f>IFERROR(VLOOKUP($B307,Totalt!$B$1:$AQ$554,MATCH(R$2,Totalt!$B$1:$AQ$1,0),FALSE),"")</f>
        <v>0</v>
      </c>
      <c r="S307" s="173">
        <f>IFERROR(VLOOKUP($B307,Totalt!$B$1:$AQ$554,MATCH(S$2,Totalt!$B$1:$AQ$1,0),FALSE),"")</f>
        <v>0</v>
      </c>
      <c r="T307" s="173">
        <f>IFERROR(VLOOKUP($B307,Totalt!$B$1:$AQ$554,MATCH(T$2,Totalt!$B$1:$AQ$1,0),FALSE),"")</f>
        <v>0</v>
      </c>
      <c r="U307" s="173">
        <f>IFERROR(VLOOKUP($B307,Totalt!$B$1:$AQ$554,MATCH(U$2,Totalt!$B$1:$AQ$1,0),FALSE),"")</f>
        <v>0</v>
      </c>
      <c r="V307" s="173">
        <f>IFERROR(VLOOKUP($B307,Totalt!$B$1:$AQ$554,MATCH(V$2,Totalt!$B$1:$AQ$1,0),FALSE),"")</f>
        <v>0</v>
      </c>
      <c r="W307" s="173">
        <f>IFERROR(VLOOKUP($B307,Totalt!$B$1:$AQ$554,MATCH(W$2,Totalt!$B$1:$AQ$1,0),FALSE),"")</f>
        <v>0.77</v>
      </c>
      <c r="X307" s="173">
        <f>IFERROR(VLOOKUP($B307,Totalt!$B$1:$AQ$554,MATCH(X$2,Totalt!$B$1:$AQ$1,0),FALSE),"")</f>
        <v>0</v>
      </c>
      <c r="Y307" s="173">
        <f>IFERROR(VLOOKUP($B307,Totalt!$B$1:$AQ$554,MATCH(Y$2,Totalt!$B$1:$AQ$1,0),FALSE),"")</f>
        <v>0</v>
      </c>
      <c r="Z307" s="173">
        <f>IFERROR(VLOOKUP($B307,Totalt!$B$1:$AQ$554,MATCH(Z$2,Totalt!$B$1:$AQ$1,0),FALSE),"")</f>
        <v>0</v>
      </c>
      <c r="AA307" s="173">
        <f>IFERROR(VLOOKUP($B307,Totalt!$B$1:$AQ$554,MATCH(AA$2,Totalt!$B$1:$AQ$1,0),FALSE),"")</f>
        <v>0</v>
      </c>
      <c r="AB307" s="173">
        <f>IFERROR(VLOOKUP($B307,Totalt!$B$1:$AQ$554,MATCH(AB$2,Totalt!$B$1:$AQ$1,0),FALSE),"")</f>
        <v>0</v>
      </c>
      <c r="AC307" s="173">
        <f>IFERROR(VLOOKUP($B307,Totalt!$B$1:$AQ$554,MATCH(AC$2,Totalt!$B$1:$AQ$1,0),FALSE),"")</f>
        <v>0</v>
      </c>
      <c r="AD307" s="173">
        <f>IFERROR(VLOOKUP($B307,Totalt!$B$1:$AQ$554,MATCH(AD$2,Totalt!$B$1:$AQ$1,0),FALSE),"")</f>
        <v>0</v>
      </c>
      <c r="AE307" s="173">
        <f>IFERROR(VLOOKUP($B307,Totalt!$B$1:$AQ$554,MATCH(AE$2,Totalt!$B$1:$AQ$1,0),FALSE),"")</f>
        <v>0</v>
      </c>
      <c r="AF307" s="173">
        <f>IFERROR(VLOOKUP($B307,Totalt!$B$1:$AQ$554,MATCH(AF$2,Totalt!$B$1:$AQ$1,0),FALSE),"")</f>
        <v>0.22700000000000001</v>
      </c>
      <c r="AG307" s="173">
        <f>IFERROR(VLOOKUP($B307,Totalt!$B$1:$AQ$554,MATCH(AG$2,Totalt!$B$1:$AQ$1,0),FALSE),"")</f>
        <v>0</v>
      </c>
      <c r="AI307" s="226">
        <f t="shared" si="24"/>
        <v>16.427</v>
      </c>
      <c r="AJ307" s="226">
        <f>IF(ISERROR(1/VLOOKUP($B307,Leveranser!$B$1:$S$500,MATCH("såld värme (gwh)",Leveranser!$B$1:$S$1,0),FALSE)),"",VLOOKUP($B307,Leveranser!$B$1:$S$500,MATCH("såld värme (gwh)",Leveranser!$B$1:$S$1,0),FALSE))</f>
        <v>12.093</v>
      </c>
      <c r="AM307" s="227" t="str">
        <f>IF(B307&lt;&gt;"",IF(VLOOKUP($B307,Totalt!$B$1:$AQ$554,MATCH("Kvalitetsgranskad:",Totalt!$B$1:$AQ$1,0),FALSE)="ja",VLOOKUP($B307,Miljö!$B$1:$AG$479,MATCH(AM$2,Miljö!$B$1:$AK$1,0),FALSE),""),"")</f>
        <v>Ja</v>
      </c>
      <c r="AN307" s="227" t="str">
        <f>IF(AM307="ja",VLOOKUP($B307,Miljö!$B$1:$J$479,MATCH("Typ av ursprungsspecificerad el   (Om inget värde anges används Nordisk residualmix, se inforuta) ()",Miljö!$B$1:$J$1,0),FALSE),IF(AM307="nej","Nordisk residualel",""))</f>
        <v>'Vattenel EPD. Kraftvärme bio'</v>
      </c>
      <c r="AO307" s="227">
        <f>IF(AM307="","",VLOOKUP($B307,Miljö!$B$1:$J$479,MATCH("Fossilandel för ursprungspecificerad el ()",Miljö!$B$1:$J$1,0),FALSE))</f>
        <v>0</v>
      </c>
      <c r="AP307" s="227">
        <f>IF(AM307="","",IFERROR(VLOOKUP($B307,Miljö!$B$1:$J$479,MATCH("Kärnkraftsandel för ursprungsspecificerad el ()",Miljö!$B$1:$J$1,0),FALSE)/1,0))</f>
        <v>0</v>
      </c>
      <c r="AQ307" s="227">
        <f t="shared" si="25"/>
        <v>1</v>
      </c>
      <c r="AR307" s="227"/>
      <c r="AS307" s="227" t="str">
        <f t="shared" si="26"/>
        <v>Nej</v>
      </c>
      <c r="AT307" s="227" t="str">
        <f>IF(AS307="ja",VLOOKUP($B307,Miljö!$B$1:$O$500,MATCH("Fossil andel i procent (%)",Miljö!$B$1:$O$1,0),FALSE)/100,"")</f>
        <v/>
      </c>
      <c r="AU307" s="227"/>
      <c r="AV307" s="227" t="str">
        <f t="shared" si="27"/>
        <v>Nej</v>
      </c>
      <c r="AW307" s="227" t="str">
        <f>IF(AV307="ja",VLOOKUP($B307,'Egen hetvattenprod'!$B$1:$AO$500,MATCH("Värmekälla till värmepumpar ()",'Egen hetvattenprod'!$B$1:$AO$1,0),FALSE),"")</f>
        <v/>
      </c>
      <c r="AX307" s="227"/>
      <c r="AY307" s="227" t="str">
        <f t="shared" si="28"/>
        <v>Nej</v>
      </c>
      <c r="AZ307" s="228" t="str">
        <f>IF($AY307="ja",(VLOOKUP($B307,'Egen hetvattenprod'!$B$1:$BX$550,MATCH(AZ$2,'Egen hetvattenprod'!$B$1:$BX$1,0),FALSE)+VLOOKUP($B307,Kraftvärmeprod!$B$1:$BX$550,MATCH(AZ$2,Kraftvärmeprod!$B$1:$BX$1,0),FALSE))/$AC307,"")</f>
        <v/>
      </c>
      <c r="BA307" s="228" t="str">
        <f>IF($AY307="ja",(VLOOKUP($B307,'Egen hetvattenprod'!$B$1:$BX$550,MATCH(BA$2,'Egen hetvattenprod'!$B$1:$BX$1,0),FALSE)+VLOOKUP($B307,Kraftvärmeprod!$B$1:$BX$550,MATCH(BA$2,Kraftvärmeprod!$B$1:$BX$1,0),FALSE))/$AC307,"")</f>
        <v/>
      </c>
      <c r="BB307" s="228" t="str">
        <f>IF($AY307="ja",(VLOOKUP($B307,'Egen hetvattenprod'!$B$1:$BX$550,MATCH(BB$2,'Egen hetvattenprod'!$B$1:$BX$1,0),FALSE)+VLOOKUP($B307,Kraftvärmeprod!$B$1:$BX$550,MATCH(BB$2,Kraftvärmeprod!$B$1:$BX$1,0),FALSE))/$AC307,"")</f>
        <v/>
      </c>
      <c r="BC307" s="228" t="str">
        <f>IF($AY307="ja",(VLOOKUP($B307,'Egen hetvattenprod'!$B$1:$BX$550,MATCH(BC$2,'Egen hetvattenprod'!$B$1:$BX$1,0),FALSE)+VLOOKUP($B307,Kraftvärmeprod!$B$1:$BX$550,MATCH(BC$2,Kraftvärmeprod!$B$1:$BX$1,0),FALSE))/$AC307,"")</f>
        <v/>
      </c>
      <c r="BD307" s="228" t="str">
        <f>IF($AY307="ja",(VLOOKUP($B307,'Egen hetvattenprod'!$B$1:$BX$550,MATCH(BD$2,'Egen hetvattenprod'!$B$1:$BX$1,0),FALSE)+VLOOKUP($B307,Kraftvärmeprod!$B$1:$BX$550,MATCH(BD$2,Kraftvärmeprod!$B$1:$BX$1,0),FALSE))/$AC307,"")</f>
        <v/>
      </c>
      <c r="BE307" s="227"/>
      <c r="BF307" s="227" t="str">
        <f t="shared" si="29"/>
        <v>Nej</v>
      </c>
      <c r="BG307" s="227" t="str">
        <f>IF($BF307="ja",VLOOKUP($B307,'Egen hetvattenprod'!$B$1:$BX$550,MATCH("Andelen klimatgaser med fossilt ursprung för avfall ()",'Egen hetvattenprod'!$B$1:$BX$1,0),FALSE),"")</f>
        <v/>
      </c>
      <c r="BH307" s="227" t="str">
        <f>IF($BF307="ja",VLOOKUP($B307,Kraftvärmeprod!$B$1:$BX$550,MATCH("Andelen klimatgaser med fossilt ursprung för avfall ()",Kraftvärmeprod!$B$1:$BX$1,0),FALSE),"")</f>
        <v/>
      </c>
      <c r="BI307" s="227" t="str">
        <f>IF($BF307="ja",VLOOKUP($B307,'Egen hetvattenprod'!$B$1:$BX$550,MATCH("Avfall (GWh)",'Egen hetvattenprod'!$B$1:$BX$1,0),FALSE),"")</f>
        <v/>
      </c>
      <c r="BJ307" s="227" t="str">
        <f>IF($BF307="ja",VLOOKUP($B307,'Slutlig allokering kvv'!$B$1:$BX$550,MATCH("Avfall (GWh)",'Slutlig allokering kvv'!$B$1:$BX$1,0),FALSE),"")</f>
        <v/>
      </c>
      <c r="BK307" s="227" t="str">
        <f>IF($BF307="ja",VLOOKUP($B307,'Köpt hetvatten'!$B$1:$BX$550,MATCH("Avfall i köpt hetvatten",'Köpt hetvatten'!$B$1:$BX$1,0),FALSE),"")</f>
        <v/>
      </c>
      <c r="BL307" s="227" t="str">
        <f>IF($BF307="ja",VLOOKUP($B307,'Egen hetvattenprod'!$B$1:$BX$550,MATCH("Värde enligt ovan. (%)",'Egen hetvattenprod'!$B$1:$BX$1,0),FALSE),"")</f>
        <v/>
      </c>
      <c r="BM307" s="227" t="str">
        <f>IF($BF307="ja",VLOOKUP($B307,Kraftvärmeprod!$B$1:$BX$550,MATCH("Värde enligt ovan. (%)",Kraftvärmeprod!$B$1:$BX$1,0),FALSE),"")</f>
        <v/>
      </c>
      <c r="BN307" s="227"/>
      <c r="BO307" s="227"/>
      <c r="BP307" s="227"/>
      <c r="BQ307" s="227" t="str">
        <f>IF($BF307="ja",VLOOKUP($B307,'Egen hetvattenprod'!$B$1:$BX$550,MATCH("Tillförd olja (fossil) vid avfallsförbränning (GWh)",'Egen hetvattenprod'!$B$1:$BX$1,0),FALSE),"")</f>
        <v/>
      </c>
      <c r="BR307" s="227" t="str">
        <f>IF($BF307="ja",VLOOKUP($B307,Kraftvärmeprod!$B$1:$BX$550,MATCH("Tillförd olja (fossil) vid avfallsförbränning (GWh)",Kraftvärmeprod!$B$1:$BX$1,0),FALSE),"")</f>
        <v/>
      </c>
      <c r="BS307" s="227"/>
      <c r="BT307" s="227"/>
      <c r="BU307" s="227"/>
    </row>
    <row r="308" spans="1:73" x14ac:dyDescent="0.25">
      <c r="A308" s="121" t="str">
        <f>'Miljövärden för publ företag'!B311</f>
        <v>Vimmerby Energi &amp; Miljö AB</v>
      </c>
      <c r="B308" s="121" t="str">
        <f>'Miljövärden för publ företag'!C311</f>
        <v>Vimmerby</v>
      </c>
      <c r="C308" s="173">
        <f>IFERROR(VLOOKUP($B308,Totalt!$B$1:$AQ$554,MATCH(C$2,Totalt!$B$1:$AQ$1,0),FALSE),"")</f>
        <v>0</v>
      </c>
      <c r="D308" s="173">
        <f>IFERROR(VLOOKUP($B308,Totalt!$B$1:$AQ$554,MATCH(D$2,Totalt!$B$1:$AQ$1,0),FALSE),"")</f>
        <v>0.69599999999999995</v>
      </c>
      <c r="E308" s="173">
        <f>IFERROR(VLOOKUP($B308,Totalt!$B$1:$AQ$554,MATCH(E$2,Totalt!$B$1:$AQ$1,0),FALSE),"")</f>
        <v>4.2000000000000003E-2</v>
      </c>
      <c r="F308" s="173">
        <f>IFERROR(VLOOKUP($B308,Totalt!$B$1:$AQ$554,MATCH(F$2,Totalt!$B$1:$AQ$1,0),FALSE),"")</f>
        <v>0</v>
      </c>
      <c r="G308" s="173">
        <f>IFERROR(VLOOKUP($B308,Totalt!$B$1:$AQ$554,MATCH(G$2,Totalt!$B$1:$AQ$1,0),FALSE),"")</f>
        <v>0</v>
      </c>
      <c r="H308" s="173">
        <f>IFERROR(VLOOKUP($B308,Totalt!$B$1:$AQ$554,MATCH(H$2,Totalt!$B$1:$AQ$1,0),FALSE),"")</f>
        <v>0</v>
      </c>
      <c r="I308" s="173">
        <f>IFERROR(VLOOKUP($B308,Totalt!$B$1:$AQ$554,MATCH(I$2,Totalt!$B$1:$AQ$1,0),FALSE),"")</f>
        <v>0</v>
      </c>
      <c r="J308" s="173">
        <f>IFERROR(VLOOKUP($B308,Totalt!$B$1:$AQ$554,MATCH(J$2,Totalt!$B$1:$AQ$1,0),FALSE),"")</f>
        <v>3.7</v>
      </c>
      <c r="K308" s="173">
        <f>IFERROR(VLOOKUP($B308,Totalt!$B$1:$AQ$554,MATCH(K$2,Totalt!$B$1:$AQ$1,0),FALSE),"")</f>
        <v>0</v>
      </c>
      <c r="L308" s="173">
        <f>IFERROR(VLOOKUP($B308,Totalt!$B$1:$AQ$554,MATCH(L$2,Totalt!$B$1:$AQ$1,0),FALSE),"")</f>
        <v>0</v>
      </c>
      <c r="M308" s="173">
        <f>IFERROR(VLOOKUP($B308,Totalt!$B$1:$AQ$554,MATCH(M$2,Totalt!$B$1:$AQ$1,0),FALSE),"")</f>
        <v>46.768700000000003</v>
      </c>
      <c r="N308" s="173">
        <f>IFERROR(VLOOKUP($B308,Totalt!$B$1:$AQ$554,MATCH(N$2,Totalt!$B$1:$AQ$1,0),FALSE),"")</f>
        <v>49.662599999999998</v>
      </c>
      <c r="O308" s="173">
        <f>IFERROR(VLOOKUP($B308,Totalt!$B$1:$AQ$554,MATCH(O$2,Totalt!$B$1:$AQ$1,0),FALSE),"")</f>
        <v>0</v>
      </c>
      <c r="P308" s="173">
        <f>IFERROR(VLOOKUP($B308,Totalt!$B$1:$AQ$554,MATCH(P$2,Totalt!$B$1:$AQ$1,0),FALSE),"")</f>
        <v>1.5</v>
      </c>
      <c r="Q308" s="173">
        <f>IFERROR(VLOOKUP($B308,Totalt!$B$1:$AQ$554,MATCH(Q$2,Totalt!$B$1:$AQ$1,0),FALSE),"")</f>
        <v>5.6942699999999999E-2</v>
      </c>
      <c r="R308" s="173">
        <f>IFERROR(VLOOKUP($B308,Totalt!$B$1:$AQ$554,MATCH(R$2,Totalt!$B$1:$AQ$1,0),FALSE),"")</f>
        <v>0</v>
      </c>
      <c r="S308" s="173">
        <f>IFERROR(VLOOKUP($B308,Totalt!$B$1:$AQ$554,MATCH(S$2,Totalt!$B$1:$AQ$1,0),FALSE),"")</f>
        <v>0</v>
      </c>
      <c r="T308" s="173">
        <f>IFERROR(VLOOKUP($B308,Totalt!$B$1:$AQ$554,MATCH(T$2,Totalt!$B$1:$AQ$1,0),FALSE),"")</f>
        <v>0</v>
      </c>
      <c r="U308" s="173">
        <f>IFERROR(VLOOKUP($B308,Totalt!$B$1:$AQ$554,MATCH(U$2,Totalt!$B$1:$AQ$1,0),FALSE),"")</f>
        <v>0</v>
      </c>
      <c r="V308" s="173">
        <f>IFERROR(VLOOKUP($B308,Totalt!$B$1:$AQ$554,MATCH(V$2,Totalt!$B$1:$AQ$1,0),FALSE),"")</f>
        <v>0</v>
      </c>
      <c r="W308" s="173">
        <f>IFERROR(VLOOKUP($B308,Totalt!$B$1:$AQ$554,MATCH(W$2,Totalt!$B$1:$AQ$1,0),FALSE),"")</f>
        <v>0.77</v>
      </c>
      <c r="X308" s="173">
        <f>IFERROR(VLOOKUP($B308,Totalt!$B$1:$AQ$554,MATCH(X$2,Totalt!$B$1:$AQ$1,0),FALSE),"")</f>
        <v>0</v>
      </c>
      <c r="Y308" s="173">
        <f>IFERROR(VLOOKUP($B308,Totalt!$B$1:$AQ$554,MATCH(Y$2,Totalt!$B$1:$AQ$1,0),FALSE),"")</f>
        <v>0</v>
      </c>
      <c r="Z308" s="173">
        <f>IFERROR(VLOOKUP($B308,Totalt!$B$1:$AQ$554,MATCH(Z$2,Totalt!$B$1:$AQ$1,0),FALSE),"")</f>
        <v>0</v>
      </c>
      <c r="AA308" s="173">
        <f>IFERROR(VLOOKUP($B308,Totalt!$B$1:$AQ$554,MATCH(AA$2,Totalt!$B$1:$AQ$1,0),FALSE),"")</f>
        <v>0</v>
      </c>
      <c r="AB308" s="173">
        <f>IFERROR(VLOOKUP($B308,Totalt!$B$1:$AQ$554,MATCH(AB$2,Totalt!$B$1:$AQ$1,0),FALSE),"")</f>
        <v>0</v>
      </c>
      <c r="AC308" s="173">
        <f>IFERROR(VLOOKUP($B308,Totalt!$B$1:$AQ$554,MATCH(AC$2,Totalt!$B$1:$AQ$1,0),FALSE),"")</f>
        <v>16.149999999999999</v>
      </c>
      <c r="AD308" s="173">
        <f>IFERROR(VLOOKUP($B308,Totalt!$B$1:$AQ$554,MATCH(AD$2,Totalt!$B$1:$AQ$1,0),FALSE),"")</f>
        <v>0</v>
      </c>
      <c r="AE308" s="173">
        <f>IFERROR(VLOOKUP($B308,Totalt!$B$1:$AQ$554,MATCH(AE$2,Totalt!$B$1:$AQ$1,0),FALSE),"")</f>
        <v>0</v>
      </c>
      <c r="AF308" s="173">
        <f>IFERROR(VLOOKUP($B308,Totalt!$B$1:$AQ$554,MATCH(AF$2,Totalt!$B$1:$AQ$1,0),FALSE),"")</f>
        <v>1.10554</v>
      </c>
      <c r="AG308" s="173">
        <f>IFERROR(VLOOKUP($B308,Totalt!$B$1:$AQ$554,MATCH(AG$2,Totalt!$B$1:$AQ$1,0),FALSE),"")</f>
        <v>0</v>
      </c>
      <c r="AI308" s="226">
        <f t="shared" si="24"/>
        <v>120.45178270000001</v>
      </c>
      <c r="AJ308" s="226">
        <f>IF(ISERROR(1/VLOOKUP($B308,Leveranser!$B$1:$S$500,MATCH("såld värme (gwh)",Leveranser!$B$1:$S$1,0),FALSE)),"",VLOOKUP($B308,Leveranser!$B$1:$S$500,MATCH("såld värme (gwh)",Leveranser!$B$1:$S$1,0),FALSE))</f>
        <v>102.31</v>
      </c>
      <c r="AM308" s="227" t="str">
        <f>IF(B308&lt;&gt;"",IF(VLOOKUP($B308,Totalt!$B$1:$AQ$554,MATCH("Kvalitetsgranskad:",Totalt!$B$1:$AQ$1,0),FALSE)="ja",VLOOKUP($B308,Miljö!$B$1:$AG$479,MATCH(AM$2,Miljö!$B$1:$AK$1,0),FALSE),""),"")</f>
        <v>Ja</v>
      </c>
      <c r="AN308" s="227" t="str">
        <f>IF(AM308="ja",VLOOKUP($B308,Miljö!$B$1:$J$479,MATCH("Typ av ursprungsspecificerad el   (Om inget värde anges används Nordisk residualmix, se inforuta) ()",Miljö!$B$1:$J$1,0),FALSE),IF(AM308="nej","Nordisk residualel",""))</f>
        <v>'Vattenel EPD. kraftvärme bio'</v>
      </c>
      <c r="AO308" s="227">
        <f>IF(AM308="","",VLOOKUP($B308,Miljö!$B$1:$J$479,MATCH("Fossilandel för ursprungspecificerad el ()",Miljö!$B$1:$J$1,0),FALSE))</f>
        <v>0</v>
      </c>
      <c r="AP308" s="227">
        <f>IF(AM308="","",IFERROR(VLOOKUP($B308,Miljö!$B$1:$J$479,MATCH("Kärnkraftsandel för ursprungsspecificerad el ()",Miljö!$B$1:$J$1,0),FALSE)/1,0))</f>
        <v>0</v>
      </c>
      <c r="AQ308" s="227">
        <f t="shared" si="25"/>
        <v>1</v>
      </c>
      <c r="AR308" s="227"/>
      <c r="AS308" s="227" t="str">
        <f t="shared" si="26"/>
        <v>Nej</v>
      </c>
      <c r="AT308" s="227" t="str">
        <f>IF(AS308="ja",VLOOKUP($B308,Miljö!$B$1:$O$500,MATCH("Fossil andel i procent (%)",Miljö!$B$1:$O$1,0),FALSE)/100,"")</f>
        <v/>
      </c>
      <c r="AU308" s="227"/>
      <c r="AV308" s="227" t="str">
        <f t="shared" si="27"/>
        <v>Nej</v>
      </c>
      <c r="AW308" s="227" t="str">
        <f>IF(AV308="ja",VLOOKUP($B308,'Egen hetvattenprod'!$B$1:$AO$500,MATCH("Värmekälla till värmepumpar ()",'Egen hetvattenprod'!$B$1:$AO$1,0),FALSE),"")</f>
        <v/>
      </c>
      <c r="AX308" s="227"/>
      <c r="AY308" s="227" t="str">
        <f t="shared" si="28"/>
        <v>Ja</v>
      </c>
      <c r="AZ308" s="228">
        <f>IF($AY308="ja",(VLOOKUP($B308,'Egen hetvattenprod'!$B$1:$BX$550,MATCH(AZ$2,'Egen hetvattenprod'!$B$1:$BX$1,0),FALSE)+VLOOKUP($B308,Kraftvärmeprod!$B$1:$BX$550,MATCH(AZ$2,Kraftvärmeprod!$B$1:$BX$1,0),FALSE))/$AC308,"")</f>
        <v>1</v>
      </c>
      <c r="BA308" s="228">
        <f>IF($AY308="ja",(VLOOKUP($B308,'Egen hetvattenprod'!$B$1:$BX$550,MATCH(BA$2,'Egen hetvattenprod'!$B$1:$BX$1,0),FALSE)+VLOOKUP($B308,Kraftvärmeprod!$B$1:$BX$550,MATCH(BA$2,Kraftvärmeprod!$B$1:$BX$1,0),FALSE))/$AC308,"")</f>
        <v>0</v>
      </c>
      <c r="BB308" s="228">
        <f>IF($AY308="ja",(VLOOKUP($B308,'Egen hetvattenprod'!$B$1:$BX$550,MATCH(BB$2,'Egen hetvattenprod'!$B$1:$BX$1,0),FALSE)+VLOOKUP($B308,Kraftvärmeprod!$B$1:$BX$550,MATCH(BB$2,Kraftvärmeprod!$B$1:$BX$1,0),FALSE))/$AC308,"")</f>
        <v>0</v>
      </c>
      <c r="BC308" s="228">
        <f>IF($AY308="ja",(VLOOKUP($B308,'Egen hetvattenprod'!$B$1:$BX$550,MATCH(BC$2,'Egen hetvattenprod'!$B$1:$BX$1,0),FALSE)+VLOOKUP($B308,Kraftvärmeprod!$B$1:$BX$550,MATCH(BC$2,Kraftvärmeprod!$B$1:$BX$1,0),FALSE))/$AC308,"")</f>
        <v>0</v>
      </c>
      <c r="BD308" s="228">
        <f>IF($AY308="ja",(VLOOKUP($B308,'Egen hetvattenprod'!$B$1:$BX$550,MATCH(BD$2,'Egen hetvattenprod'!$B$1:$BX$1,0),FALSE)+VLOOKUP($B308,Kraftvärmeprod!$B$1:$BX$550,MATCH(BD$2,Kraftvärmeprod!$B$1:$BX$1,0),FALSE))/$AC308,"")</f>
        <v>0</v>
      </c>
      <c r="BE308" s="227"/>
      <c r="BF308" s="227" t="str">
        <f t="shared" si="29"/>
        <v>Nej</v>
      </c>
      <c r="BG308" s="227" t="str">
        <f>IF($BF308="ja",VLOOKUP($B308,'Egen hetvattenprod'!$B$1:$BX$550,MATCH("Andelen klimatgaser med fossilt ursprung för avfall ()",'Egen hetvattenprod'!$B$1:$BX$1,0),FALSE),"")</f>
        <v/>
      </c>
      <c r="BH308" s="227" t="str">
        <f>IF($BF308="ja",VLOOKUP($B308,Kraftvärmeprod!$B$1:$BX$550,MATCH("Andelen klimatgaser med fossilt ursprung för avfall ()",Kraftvärmeprod!$B$1:$BX$1,0),FALSE),"")</f>
        <v/>
      </c>
      <c r="BI308" s="227" t="str">
        <f>IF($BF308="ja",VLOOKUP($B308,'Egen hetvattenprod'!$B$1:$BX$550,MATCH("Avfall (GWh)",'Egen hetvattenprod'!$B$1:$BX$1,0),FALSE),"")</f>
        <v/>
      </c>
      <c r="BJ308" s="227" t="str">
        <f>IF($BF308="ja",VLOOKUP($B308,'Slutlig allokering kvv'!$B$1:$BX$550,MATCH("Avfall (GWh)",'Slutlig allokering kvv'!$B$1:$BX$1,0),FALSE),"")</f>
        <v/>
      </c>
      <c r="BK308" s="227" t="str">
        <f>IF($BF308="ja",VLOOKUP($B308,'Köpt hetvatten'!$B$1:$BX$550,MATCH("Avfall i köpt hetvatten",'Köpt hetvatten'!$B$1:$BX$1,0),FALSE),"")</f>
        <v/>
      </c>
      <c r="BL308" s="227" t="str">
        <f>IF($BF308="ja",VLOOKUP($B308,'Egen hetvattenprod'!$B$1:$BX$550,MATCH("Värde enligt ovan. (%)",'Egen hetvattenprod'!$B$1:$BX$1,0),FALSE),"")</f>
        <v/>
      </c>
      <c r="BM308" s="227" t="str">
        <f>IF($BF308="ja",VLOOKUP($B308,Kraftvärmeprod!$B$1:$BX$550,MATCH("Värde enligt ovan. (%)",Kraftvärmeprod!$B$1:$BX$1,0),FALSE),"")</f>
        <v/>
      </c>
      <c r="BN308" s="227"/>
      <c r="BO308" s="227"/>
      <c r="BP308" s="227"/>
      <c r="BQ308" s="227" t="str">
        <f>IF($BF308="ja",VLOOKUP($B308,'Egen hetvattenprod'!$B$1:$BX$550,MATCH("Tillförd olja (fossil) vid avfallsförbränning (GWh)",'Egen hetvattenprod'!$B$1:$BX$1,0),FALSE),"")</f>
        <v/>
      </c>
      <c r="BR308" s="227" t="str">
        <f>IF($BF308="ja",VLOOKUP($B308,Kraftvärmeprod!$B$1:$BX$550,MATCH("Tillförd olja (fossil) vid avfallsförbränning (GWh)",Kraftvärmeprod!$B$1:$BX$1,0),FALSE),"")</f>
        <v/>
      </c>
      <c r="BS308" s="227"/>
      <c r="BT308" s="227"/>
      <c r="BU308" s="227"/>
    </row>
    <row r="309" spans="1:73" x14ac:dyDescent="0.25">
      <c r="A309" s="121" t="str">
        <f>'Miljövärden för publ företag'!B312</f>
        <v>VänerEnergi AB</v>
      </c>
      <c r="B309" s="121" t="str">
        <f>'Miljövärden för publ företag'!C312</f>
        <v>Lyrestad</v>
      </c>
      <c r="C309" s="173">
        <f>IFERROR(VLOOKUP($B309,Totalt!$B$1:$AQ$554,MATCH(C$2,Totalt!$B$1:$AQ$1,0),FALSE),"")</f>
        <v>0</v>
      </c>
      <c r="D309" s="173">
        <f>IFERROR(VLOOKUP($B309,Totalt!$B$1:$AQ$554,MATCH(D$2,Totalt!$B$1:$AQ$1,0),FALSE),"")</f>
        <v>2.4E-2</v>
      </c>
      <c r="E309" s="173">
        <f>IFERROR(VLOOKUP($B309,Totalt!$B$1:$AQ$554,MATCH(E$2,Totalt!$B$1:$AQ$1,0),FALSE),"")</f>
        <v>0</v>
      </c>
      <c r="F309" s="173">
        <f>IFERROR(VLOOKUP($B309,Totalt!$B$1:$AQ$554,MATCH(F$2,Totalt!$B$1:$AQ$1,0),FALSE),"")</f>
        <v>0</v>
      </c>
      <c r="G309" s="173">
        <f>IFERROR(VLOOKUP($B309,Totalt!$B$1:$AQ$554,MATCH(G$2,Totalt!$B$1:$AQ$1,0),FALSE),"")</f>
        <v>0</v>
      </c>
      <c r="H309" s="173">
        <f>IFERROR(VLOOKUP($B309,Totalt!$B$1:$AQ$554,MATCH(H$2,Totalt!$B$1:$AQ$1,0),FALSE),"")</f>
        <v>0</v>
      </c>
      <c r="I309" s="173">
        <f>IFERROR(VLOOKUP($B309,Totalt!$B$1:$AQ$554,MATCH(I$2,Totalt!$B$1:$AQ$1,0),FALSE),"")</f>
        <v>0</v>
      </c>
      <c r="J309" s="173">
        <f>IFERROR(VLOOKUP($B309,Totalt!$B$1:$AQ$554,MATCH(J$2,Totalt!$B$1:$AQ$1,0),FALSE),"")</f>
        <v>0</v>
      </c>
      <c r="K309" s="173">
        <f>IFERROR(VLOOKUP($B309,Totalt!$B$1:$AQ$554,MATCH(K$2,Totalt!$B$1:$AQ$1,0),FALSE),"")</f>
        <v>0</v>
      </c>
      <c r="L309" s="173">
        <f>IFERROR(VLOOKUP($B309,Totalt!$B$1:$AQ$554,MATCH(L$2,Totalt!$B$1:$AQ$1,0),FALSE),"")</f>
        <v>0</v>
      </c>
      <c r="M309" s="173">
        <f>IFERROR(VLOOKUP($B309,Totalt!$B$1:$AQ$554,MATCH(M$2,Totalt!$B$1:$AQ$1,0),FALSE),"")</f>
        <v>0</v>
      </c>
      <c r="N309" s="173">
        <f>IFERROR(VLOOKUP($B309,Totalt!$B$1:$AQ$554,MATCH(N$2,Totalt!$B$1:$AQ$1,0),FALSE),"")</f>
        <v>0</v>
      </c>
      <c r="O309" s="173">
        <f>IFERROR(VLOOKUP($B309,Totalt!$B$1:$AQ$554,MATCH(O$2,Totalt!$B$1:$AQ$1,0),FALSE),"")</f>
        <v>0</v>
      </c>
      <c r="P309" s="173">
        <f>IFERROR(VLOOKUP($B309,Totalt!$B$1:$AQ$554,MATCH(P$2,Totalt!$B$1:$AQ$1,0),FALSE),"")</f>
        <v>0</v>
      </c>
      <c r="Q309" s="173">
        <f>IFERROR(VLOOKUP($B309,Totalt!$B$1:$AQ$554,MATCH(Q$2,Totalt!$B$1:$AQ$1,0),FALSE),"")</f>
        <v>0</v>
      </c>
      <c r="R309" s="173">
        <f>IFERROR(VLOOKUP($B309,Totalt!$B$1:$AQ$554,MATCH(R$2,Totalt!$B$1:$AQ$1,0),FALSE),"")</f>
        <v>0.10299999999999999</v>
      </c>
      <c r="S309" s="173">
        <f>IFERROR(VLOOKUP($B309,Totalt!$B$1:$AQ$554,MATCH(S$2,Totalt!$B$1:$AQ$1,0),FALSE),"")</f>
        <v>2.65</v>
      </c>
      <c r="T309" s="173">
        <f>IFERROR(VLOOKUP($B309,Totalt!$B$1:$AQ$554,MATCH(T$2,Totalt!$B$1:$AQ$1,0),FALSE),"")</f>
        <v>0</v>
      </c>
      <c r="U309" s="173">
        <f>IFERROR(VLOOKUP($B309,Totalt!$B$1:$AQ$554,MATCH(U$2,Totalt!$B$1:$AQ$1,0),FALSE),"")</f>
        <v>0</v>
      </c>
      <c r="V309" s="173">
        <f>IFERROR(VLOOKUP($B309,Totalt!$B$1:$AQ$554,MATCH(V$2,Totalt!$B$1:$AQ$1,0),FALSE),"")</f>
        <v>0</v>
      </c>
      <c r="W309" s="173">
        <f>IFERROR(VLOOKUP($B309,Totalt!$B$1:$AQ$554,MATCH(W$2,Totalt!$B$1:$AQ$1,0),FALSE),"")</f>
        <v>0</v>
      </c>
      <c r="X309" s="173">
        <f>IFERROR(VLOOKUP($B309,Totalt!$B$1:$AQ$554,MATCH(X$2,Totalt!$B$1:$AQ$1,0),FALSE),"")</f>
        <v>0</v>
      </c>
      <c r="Y309" s="173">
        <f>IFERROR(VLOOKUP($B309,Totalt!$B$1:$AQ$554,MATCH(Y$2,Totalt!$B$1:$AQ$1,0),FALSE),"")</f>
        <v>0</v>
      </c>
      <c r="Z309" s="173">
        <f>IFERROR(VLOOKUP($B309,Totalt!$B$1:$AQ$554,MATCH(Z$2,Totalt!$B$1:$AQ$1,0),FALSE),"")</f>
        <v>0</v>
      </c>
      <c r="AA309" s="173">
        <f>IFERROR(VLOOKUP($B309,Totalt!$B$1:$AQ$554,MATCH(AA$2,Totalt!$B$1:$AQ$1,0),FALSE),"")</f>
        <v>0</v>
      </c>
      <c r="AB309" s="173">
        <f>IFERROR(VLOOKUP($B309,Totalt!$B$1:$AQ$554,MATCH(AB$2,Totalt!$B$1:$AQ$1,0),FALSE),"")</f>
        <v>0</v>
      </c>
      <c r="AC309" s="173">
        <f>IFERROR(VLOOKUP($B309,Totalt!$B$1:$AQ$554,MATCH(AC$2,Totalt!$B$1:$AQ$1,0),FALSE),"")</f>
        <v>0</v>
      </c>
      <c r="AD309" s="173">
        <f>IFERROR(VLOOKUP($B309,Totalt!$B$1:$AQ$554,MATCH(AD$2,Totalt!$B$1:$AQ$1,0),FALSE),"")</f>
        <v>0</v>
      </c>
      <c r="AE309" s="173">
        <f>IFERROR(VLOOKUP($B309,Totalt!$B$1:$AQ$554,MATCH(AE$2,Totalt!$B$1:$AQ$1,0),FALSE),"")</f>
        <v>0</v>
      </c>
      <c r="AF309" s="173">
        <f>IFERROR(VLOOKUP($B309,Totalt!$B$1:$AQ$554,MATCH(AF$2,Totalt!$B$1:$AQ$1,0),FALSE),"")</f>
        <v>5.28E-2</v>
      </c>
      <c r="AG309" s="173">
        <f>IFERROR(VLOOKUP($B309,Totalt!$B$1:$AQ$554,MATCH(AG$2,Totalt!$B$1:$AQ$1,0),FALSE),"")</f>
        <v>0</v>
      </c>
      <c r="AI309" s="226">
        <f t="shared" si="24"/>
        <v>2.8298000000000001</v>
      </c>
      <c r="AJ309" s="226">
        <f>IF(ISERROR(1/VLOOKUP($B309,Leveranser!$B$1:$S$500,MATCH("såld värme (gwh)",Leveranser!$B$1:$S$1,0),FALSE)),"",VLOOKUP($B309,Leveranser!$B$1:$S$500,MATCH("såld värme (gwh)",Leveranser!$B$1:$S$1,0),FALSE))</f>
        <v>2.12</v>
      </c>
      <c r="AM309" s="227" t="str">
        <f>IF(B309&lt;&gt;"",IF(VLOOKUP($B309,Totalt!$B$1:$AQ$554,MATCH("Kvalitetsgranskad:",Totalt!$B$1:$AQ$1,0),FALSE)="ja",VLOOKUP($B309,Miljö!$B$1:$AG$479,MATCH(AM$2,Miljö!$B$1:$AK$1,0),FALSE),""),"")</f>
        <v>Ja</v>
      </c>
      <c r="AN309" s="227" t="str">
        <f>IF(AM309="ja",VLOOKUP($B309,Miljö!$B$1:$J$479,MATCH("Typ av ursprungsspecificerad el   (Om inget värde anges används Nordisk residualmix, se inforuta) ()",Miljö!$B$1:$J$1,0),FALSE),IF(AM309="nej","Nordisk residualel",""))</f>
        <v>'100% ursprungsmärkt nordisk vattenkraft'</v>
      </c>
      <c r="AO309" s="227">
        <f>IF(AM309="","",VLOOKUP($B309,Miljö!$B$1:$J$479,MATCH("Fossilandel för ursprungspecificerad el ()",Miljö!$B$1:$J$1,0),FALSE))</f>
        <v>0</v>
      </c>
      <c r="AP309" s="227">
        <f>IF(AM309="","",IFERROR(VLOOKUP($B309,Miljö!$B$1:$J$479,MATCH("Kärnkraftsandel för ursprungsspecificerad el ()",Miljö!$B$1:$J$1,0),FALSE)/1,0))</f>
        <v>0</v>
      </c>
      <c r="AQ309" s="227">
        <f t="shared" si="25"/>
        <v>1</v>
      </c>
      <c r="AR309" s="227"/>
      <c r="AS309" s="227" t="str">
        <f t="shared" si="26"/>
        <v>Nej</v>
      </c>
      <c r="AT309" s="227" t="str">
        <f>IF(AS309="ja",VLOOKUP($B309,Miljö!$B$1:$O$500,MATCH("Fossil andel i procent (%)",Miljö!$B$1:$O$1,0),FALSE)/100,"")</f>
        <v/>
      </c>
      <c r="AU309" s="227"/>
      <c r="AV309" s="227" t="str">
        <f t="shared" si="27"/>
        <v>Nej</v>
      </c>
      <c r="AW309" s="227" t="str">
        <f>IF(AV309="ja",VLOOKUP($B309,'Egen hetvattenprod'!$B$1:$AO$500,MATCH("Värmekälla till värmepumpar ()",'Egen hetvattenprod'!$B$1:$AO$1,0),FALSE),"")</f>
        <v/>
      </c>
      <c r="AX309" s="227"/>
      <c r="AY309" s="227" t="str">
        <f t="shared" si="28"/>
        <v>Nej</v>
      </c>
      <c r="AZ309" s="228" t="str">
        <f>IF($AY309="ja",(VLOOKUP($B309,'Egen hetvattenprod'!$B$1:$BX$550,MATCH(AZ$2,'Egen hetvattenprod'!$B$1:$BX$1,0),FALSE)+VLOOKUP($B309,Kraftvärmeprod!$B$1:$BX$550,MATCH(AZ$2,Kraftvärmeprod!$B$1:$BX$1,0),FALSE))/$AC309,"")</f>
        <v/>
      </c>
      <c r="BA309" s="228" t="str">
        <f>IF($AY309="ja",(VLOOKUP($B309,'Egen hetvattenprod'!$B$1:$BX$550,MATCH(BA$2,'Egen hetvattenprod'!$B$1:$BX$1,0),FALSE)+VLOOKUP($B309,Kraftvärmeprod!$B$1:$BX$550,MATCH(BA$2,Kraftvärmeprod!$B$1:$BX$1,0),FALSE))/$AC309,"")</f>
        <v/>
      </c>
      <c r="BB309" s="228" t="str">
        <f>IF($AY309="ja",(VLOOKUP($B309,'Egen hetvattenprod'!$B$1:$BX$550,MATCH(BB$2,'Egen hetvattenprod'!$B$1:$BX$1,0),FALSE)+VLOOKUP($B309,Kraftvärmeprod!$B$1:$BX$550,MATCH(BB$2,Kraftvärmeprod!$B$1:$BX$1,0),FALSE))/$AC309,"")</f>
        <v/>
      </c>
      <c r="BC309" s="228" t="str">
        <f>IF($AY309="ja",(VLOOKUP($B309,'Egen hetvattenprod'!$B$1:$BX$550,MATCH(BC$2,'Egen hetvattenprod'!$B$1:$BX$1,0),FALSE)+VLOOKUP($B309,Kraftvärmeprod!$B$1:$BX$550,MATCH(BC$2,Kraftvärmeprod!$B$1:$BX$1,0),FALSE))/$AC309,"")</f>
        <v/>
      </c>
      <c r="BD309" s="228" t="str">
        <f>IF($AY309="ja",(VLOOKUP($B309,'Egen hetvattenprod'!$B$1:$BX$550,MATCH(BD$2,'Egen hetvattenprod'!$B$1:$BX$1,0),FALSE)+VLOOKUP($B309,Kraftvärmeprod!$B$1:$BX$550,MATCH(BD$2,Kraftvärmeprod!$B$1:$BX$1,0),FALSE))/$AC309,"")</f>
        <v/>
      </c>
      <c r="BE309" s="227"/>
      <c r="BF309" s="227" t="str">
        <f t="shared" si="29"/>
        <v>Nej</v>
      </c>
      <c r="BG309" s="227" t="str">
        <f>IF($BF309="ja",VLOOKUP($B309,'Egen hetvattenprod'!$B$1:$BX$550,MATCH("Andelen klimatgaser med fossilt ursprung för avfall ()",'Egen hetvattenprod'!$B$1:$BX$1,0),FALSE),"")</f>
        <v/>
      </c>
      <c r="BH309" s="227" t="str">
        <f>IF($BF309="ja",VLOOKUP($B309,Kraftvärmeprod!$B$1:$BX$550,MATCH("Andelen klimatgaser med fossilt ursprung för avfall ()",Kraftvärmeprod!$B$1:$BX$1,0),FALSE),"")</f>
        <v/>
      </c>
      <c r="BI309" s="227" t="str">
        <f>IF($BF309="ja",VLOOKUP($B309,'Egen hetvattenprod'!$B$1:$BX$550,MATCH("Avfall (GWh)",'Egen hetvattenprod'!$B$1:$BX$1,0),FALSE),"")</f>
        <v/>
      </c>
      <c r="BJ309" s="227" t="str">
        <f>IF($BF309="ja",VLOOKUP($B309,'Slutlig allokering kvv'!$B$1:$BX$550,MATCH("Avfall (GWh)",'Slutlig allokering kvv'!$B$1:$BX$1,0),FALSE),"")</f>
        <v/>
      </c>
      <c r="BK309" s="227" t="str">
        <f>IF($BF309="ja",VLOOKUP($B309,'Köpt hetvatten'!$B$1:$BX$550,MATCH("Avfall i köpt hetvatten",'Köpt hetvatten'!$B$1:$BX$1,0),FALSE),"")</f>
        <v/>
      </c>
      <c r="BL309" s="227" t="str">
        <f>IF($BF309="ja",VLOOKUP($B309,'Egen hetvattenprod'!$B$1:$BX$550,MATCH("Värde enligt ovan. (%)",'Egen hetvattenprod'!$B$1:$BX$1,0),FALSE),"")</f>
        <v/>
      </c>
      <c r="BM309" s="227" t="str">
        <f>IF($BF309="ja",VLOOKUP($B309,Kraftvärmeprod!$B$1:$BX$550,MATCH("Värde enligt ovan. (%)",Kraftvärmeprod!$B$1:$BX$1,0),FALSE),"")</f>
        <v/>
      </c>
      <c r="BN309" s="227"/>
      <c r="BO309" s="227"/>
      <c r="BP309" s="227"/>
      <c r="BQ309" s="227" t="str">
        <f>IF($BF309="ja",VLOOKUP($B309,'Egen hetvattenprod'!$B$1:$BX$550,MATCH("Tillförd olja (fossil) vid avfallsförbränning (GWh)",'Egen hetvattenprod'!$B$1:$BX$1,0),FALSE),"")</f>
        <v/>
      </c>
      <c r="BR309" s="227" t="str">
        <f>IF($BF309="ja",VLOOKUP($B309,Kraftvärmeprod!$B$1:$BX$550,MATCH("Tillförd olja (fossil) vid avfallsförbränning (GWh)",Kraftvärmeprod!$B$1:$BX$1,0),FALSE),"")</f>
        <v/>
      </c>
      <c r="BS309" s="227"/>
      <c r="BT309" s="227"/>
      <c r="BU309" s="227"/>
    </row>
    <row r="310" spans="1:73" x14ac:dyDescent="0.25">
      <c r="A310" s="121" t="str">
        <f>'Miljövärden för publ företag'!B313</f>
        <v>VänerEnergi AB</v>
      </c>
      <c r="B310" s="121" t="str">
        <f>'Miljövärden för publ företag'!C313</f>
        <v>Mariestad</v>
      </c>
      <c r="C310" s="173">
        <f>IFERROR(VLOOKUP($B310,Totalt!$B$1:$AQ$554,MATCH(C$2,Totalt!$B$1:$AQ$1,0),FALSE),"")</f>
        <v>0</v>
      </c>
      <c r="D310" s="173">
        <f>IFERROR(VLOOKUP($B310,Totalt!$B$1:$AQ$554,MATCH(D$2,Totalt!$B$1:$AQ$1,0),FALSE),"")</f>
        <v>3.7726299999999999</v>
      </c>
      <c r="E310" s="173">
        <f>IFERROR(VLOOKUP($B310,Totalt!$B$1:$AQ$554,MATCH(E$2,Totalt!$B$1:$AQ$1,0),FALSE),"")</f>
        <v>0</v>
      </c>
      <c r="F310" s="173">
        <f>IFERROR(VLOOKUP($B310,Totalt!$B$1:$AQ$554,MATCH(F$2,Totalt!$B$1:$AQ$1,0),FALSE),"")</f>
        <v>0</v>
      </c>
      <c r="G310" s="173">
        <f>IFERROR(VLOOKUP($B310,Totalt!$B$1:$AQ$554,MATCH(G$2,Totalt!$B$1:$AQ$1,0),FALSE),"")</f>
        <v>0</v>
      </c>
      <c r="H310" s="173">
        <f>IFERROR(VLOOKUP($B310,Totalt!$B$1:$AQ$554,MATCH(H$2,Totalt!$B$1:$AQ$1,0),FALSE),"")</f>
        <v>0</v>
      </c>
      <c r="I310" s="173">
        <f>IFERROR(VLOOKUP($B310,Totalt!$B$1:$AQ$554,MATCH(I$2,Totalt!$B$1:$AQ$1,0),FALSE),"")</f>
        <v>0</v>
      </c>
      <c r="J310" s="173">
        <f>IFERROR(VLOOKUP($B310,Totalt!$B$1:$AQ$554,MATCH(J$2,Totalt!$B$1:$AQ$1,0),FALSE),"")</f>
        <v>0</v>
      </c>
      <c r="K310" s="173">
        <f>IFERROR(VLOOKUP($B310,Totalt!$B$1:$AQ$554,MATCH(K$2,Totalt!$B$1:$AQ$1,0),FALSE),"")</f>
        <v>0</v>
      </c>
      <c r="L310" s="173">
        <f>IFERROR(VLOOKUP($B310,Totalt!$B$1:$AQ$554,MATCH(L$2,Totalt!$B$1:$AQ$1,0),FALSE),"")</f>
        <v>103.583</v>
      </c>
      <c r="M310" s="173">
        <f>IFERROR(VLOOKUP($B310,Totalt!$B$1:$AQ$554,MATCH(M$2,Totalt!$B$1:$AQ$1,0),FALSE),"")</f>
        <v>0</v>
      </c>
      <c r="N310" s="173">
        <f>IFERROR(VLOOKUP($B310,Totalt!$B$1:$AQ$554,MATCH(N$2,Totalt!$B$1:$AQ$1,0),FALSE),"")</f>
        <v>0</v>
      </c>
      <c r="O310" s="173">
        <f>IFERROR(VLOOKUP($B310,Totalt!$B$1:$AQ$554,MATCH(O$2,Totalt!$B$1:$AQ$1,0),FALSE),"")</f>
        <v>0</v>
      </c>
      <c r="P310" s="173">
        <f>IFERROR(VLOOKUP($B310,Totalt!$B$1:$AQ$554,MATCH(P$2,Totalt!$B$1:$AQ$1,0),FALSE),"")</f>
        <v>0</v>
      </c>
      <c r="Q310" s="173">
        <f>IFERROR(VLOOKUP($B310,Totalt!$B$1:$AQ$554,MATCH(Q$2,Totalt!$B$1:$AQ$1,0),FALSE),"")</f>
        <v>0</v>
      </c>
      <c r="R310" s="173">
        <f>IFERROR(VLOOKUP($B310,Totalt!$B$1:$AQ$554,MATCH(R$2,Totalt!$B$1:$AQ$1,0),FALSE),"")</f>
        <v>0</v>
      </c>
      <c r="S310" s="173">
        <f>IFERROR(VLOOKUP($B310,Totalt!$B$1:$AQ$554,MATCH(S$2,Totalt!$B$1:$AQ$1,0),FALSE),"")</f>
        <v>0</v>
      </c>
      <c r="T310" s="173">
        <f>IFERROR(VLOOKUP($B310,Totalt!$B$1:$AQ$554,MATCH(T$2,Totalt!$B$1:$AQ$1,0),FALSE),"")</f>
        <v>0</v>
      </c>
      <c r="U310" s="173">
        <f>IFERROR(VLOOKUP($B310,Totalt!$B$1:$AQ$554,MATCH(U$2,Totalt!$B$1:$AQ$1,0),FALSE),"")</f>
        <v>0</v>
      </c>
      <c r="V310" s="173">
        <f>IFERROR(VLOOKUP($B310,Totalt!$B$1:$AQ$554,MATCH(V$2,Totalt!$B$1:$AQ$1,0),FALSE),"")</f>
        <v>0</v>
      </c>
      <c r="W310" s="173">
        <f>IFERROR(VLOOKUP($B310,Totalt!$B$1:$AQ$554,MATCH(W$2,Totalt!$B$1:$AQ$1,0),FALSE),"")</f>
        <v>0</v>
      </c>
      <c r="X310" s="173">
        <f>IFERROR(VLOOKUP($B310,Totalt!$B$1:$AQ$554,MATCH(X$2,Totalt!$B$1:$AQ$1,0),FALSE),"")</f>
        <v>0</v>
      </c>
      <c r="Y310" s="173">
        <f>IFERROR(VLOOKUP($B310,Totalt!$B$1:$AQ$554,MATCH(Y$2,Totalt!$B$1:$AQ$1,0),FALSE),"")</f>
        <v>0</v>
      </c>
      <c r="Z310" s="173">
        <f>IFERROR(VLOOKUP($B310,Totalt!$B$1:$AQ$554,MATCH(Z$2,Totalt!$B$1:$AQ$1,0),FALSE),"")</f>
        <v>0</v>
      </c>
      <c r="AA310" s="173">
        <f>IFERROR(VLOOKUP($B310,Totalt!$B$1:$AQ$554,MATCH(AA$2,Totalt!$B$1:$AQ$1,0),FALSE),"")</f>
        <v>0</v>
      </c>
      <c r="AB310" s="173">
        <f>IFERROR(VLOOKUP($B310,Totalt!$B$1:$AQ$554,MATCH(AB$2,Totalt!$B$1:$AQ$1,0),FALSE),"")</f>
        <v>0</v>
      </c>
      <c r="AC310" s="173">
        <f>IFERROR(VLOOKUP($B310,Totalt!$B$1:$AQ$554,MATCH(AC$2,Totalt!$B$1:$AQ$1,0),FALSE),"")</f>
        <v>28</v>
      </c>
      <c r="AD310" s="173">
        <f>IFERROR(VLOOKUP($B310,Totalt!$B$1:$AQ$554,MATCH(AD$2,Totalt!$B$1:$AQ$1,0),FALSE),"")</f>
        <v>0.40600000000000003</v>
      </c>
      <c r="AE310" s="173">
        <f>IFERROR(VLOOKUP($B310,Totalt!$B$1:$AQ$554,MATCH(AE$2,Totalt!$B$1:$AQ$1,0),FALSE),"")</f>
        <v>0</v>
      </c>
      <c r="AF310" s="173">
        <f>IFERROR(VLOOKUP($B310,Totalt!$B$1:$AQ$554,MATCH(AF$2,Totalt!$B$1:$AQ$1,0),FALSE),"")</f>
        <v>2.2601200000000001</v>
      </c>
      <c r="AG310" s="173">
        <f>IFERROR(VLOOKUP($B310,Totalt!$B$1:$AQ$554,MATCH(AG$2,Totalt!$B$1:$AQ$1,0),FALSE),"")</f>
        <v>0</v>
      </c>
      <c r="AI310" s="226">
        <f t="shared" si="24"/>
        <v>138.02175000000003</v>
      </c>
      <c r="AJ310" s="226">
        <f>IF(ISERROR(1/VLOOKUP($B310,Leveranser!$B$1:$S$500,MATCH("såld värme (gwh)",Leveranser!$B$1:$S$1,0),FALSE)),"",VLOOKUP($B310,Leveranser!$B$1:$S$500,MATCH("såld värme (gwh)",Leveranser!$B$1:$S$1,0),FALSE))</f>
        <v>128.35300000000001</v>
      </c>
      <c r="AM310" s="227" t="str">
        <f>IF(B310&lt;&gt;"",IF(VLOOKUP($B310,Totalt!$B$1:$AQ$554,MATCH("Kvalitetsgranskad:",Totalt!$B$1:$AQ$1,0),FALSE)="ja",VLOOKUP($B310,Miljö!$B$1:$AG$479,MATCH(AM$2,Miljö!$B$1:$AK$1,0),FALSE),""),"")</f>
        <v>Ja</v>
      </c>
      <c r="AN310" s="227" t="str">
        <f>IF(AM310="ja",VLOOKUP($B310,Miljö!$B$1:$J$479,MATCH("Typ av ursprungsspecificerad el   (Om inget värde anges används Nordisk residualmix, se inforuta) ()",Miljö!$B$1:$J$1,0),FALSE),IF(AM310="nej","Nordisk residualel",""))</f>
        <v>'Biobränslebaserad kraftvärme från KKAB'</v>
      </c>
      <c r="AO310" s="227">
        <f>IF(AM310="","",VLOOKUP($B310,Miljö!$B$1:$J$479,MATCH("Fossilandel för ursprungspecificerad el ()",Miljö!$B$1:$J$1,0),FALSE))</f>
        <v>0</v>
      </c>
      <c r="AP310" s="227">
        <f>IF(AM310="","",IFERROR(VLOOKUP($B310,Miljö!$B$1:$J$479,MATCH("Kärnkraftsandel för ursprungsspecificerad el ()",Miljö!$B$1:$J$1,0),FALSE)/1,0))</f>
        <v>0</v>
      </c>
      <c r="AQ310" s="227">
        <f t="shared" si="25"/>
        <v>1</v>
      </c>
      <c r="AR310" s="227"/>
      <c r="AS310" s="227" t="str">
        <f t="shared" si="26"/>
        <v>Nej</v>
      </c>
      <c r="AT310" s="227" t="str">
        <f>IF(AS310="ja",VLOOKUP($B310,Miljö!$B$1:$O$500,MATCH("Fossil andel i procent (%)",Miljö!$B$1:$O$1,0),FALSE)/100,"")</f>
        <v/>
      </c>
      <c r="AU310" s="227"/>
      <c r="AV310" s="227" t="str">
        <f t="shared" si="27"/>
        <v>Nej</v>
      </c>
      <c r="AW310" s="227" t="str">
        <f>IF(AV310="ja",VLOOKUP($B310,'Egen hetvattenprod'!$B$1:$AO$500,MATCH("Värmekälla till värmepumpar ()",'Egen hetvattenprod'!$B$1:$AO$1,0),FALSE),"")</f>
        <v/>
      </c>
      <c r="AX310" s="227"/>
      <c r="AY310" s="227" t="str">
        <f t="shared" si="28"/>
        <v>Ja</v>
      </c>
      <c r="AZ310" s="228">
        <f>IF($AY310="ja",(VLOOKUP($B310,'Egen hetvattenprod'!$B$1:$BX$550,MATCH(AZ$2,'Egen hetvattenprod'!$B$1:$BX$1,0),FALSE)+VLOOKUP($B310,Kraftvärmeprod!$B$1:$BX$550,MATCH(AZ$2,Kraftvärmeprod!$B$1:$BX$1,0),FALSE))/$AC310,"")</f>
        <v>1</v>
      </c>
      <c r="BA310" s="228">
        <f>IF($AY310="ja",(VLOOKUP($B310,'Egen hetvattenprod'!$B$1:$BX$550,MATCH(BA$2,'Egen hetvattenprod'!$B$1:$BX$1,0),FALSE)+VLOOKUP($B310,Kraftvärmeprod!$B$1:$BX$550,MATCH(BA$2,Kraftvärmeprod!$B$1:$BX$1,0),FALSE))/$AC310,"")</f>
        <v>0</v>
      </c>
      <c r="BB310" s="228">
        <f>IF($AY310="ja",(VLOOKUP($B310,'Egen hetvattenprod'!$B$1:$BX$550,MATCH(BB$2,'Egen hetvattenprod'!$B$1:$BX$1,0),FALSE)+VLOOKUP($B310,Kraftvärmeprod!$B$1:$BX$550,MATCH(BB$2,Kraftvärmeprod!$B$1:$BX$1,0),FALSE))/$AC310,"")</f>
        <v>0</v>
      </c>
      <c r="BC310" s="228">
        <f>IF($AY310="ja",(VLOOKUP($B310,'Egen hetvattenprod'!$B$1:$BX$550,MATCH(BC$2,'Egen hetvattenprod'!$B$1:$BX$1,0),FALSE)+VLOOKUP($B310,Kraftvärmeprod!$B$1:$BX$550,MATCH(BC$2,Kraftvärmeprod!$B$1:$BX$1,0),FALSE))/$AC310,"")</f>
        <v>0</v>
      </c>
      <c r="BD310" s="228">
        <f>IF($AY310="ja",(VLOOKUP($B310,'Egen hetvattenprod'!$B$1:$BX$550,MATCH(BD$2,'Egen hetvattenprod'!$B$1:$BX$1,0),FALSE)+VLOOKUP($B310,Kraftvärmeprod!$B$1:$BX$550,MATCH(BD$2,Kraftvärmeprod!$B$1:$BX$1,0),FALSE))/$AC310,"")</f>
        <v>0</v>
      </c>
      <c r="BE310" s="227"/>
      <c r="BF310" s="227" t="str">
        <f t="shared" si="29"/>
        <v>Nej</v>
      </c>
      <c r="BG310" s="227" t="str">
        <f>IF($BF310="ja",VLOOKUP($B310,'Egen hetvattenprod'!$B$1:$BX$550,MATCH("Andelen klimatgaser med fossilt ursprung för avfall ()",'Egen hetvattenprod'!$B$1:$BX$1,0),FALSE),"")</f>
        <v/>
      </c>
      <c r="BH310" s="227" t="str">
        <f>IF($BF310="ja",VLOOKUP($B310,Kraftvärmeprod!$B$1:$BX$550,MATCH("Andelen klimatgaser med fossilt ursprung för avfall ()",Kraftvärmeprod!$B$1:$BX$1,0),FALSE),"")</f>
        <v/>
      </c>
      <c r="BI310" s="227" t="str">
        <f>IF($BF310="ja",VLOOKUP($B310,'Egen hetvattenprod'!$B$1:$BX$550,MATCH("Avfall (GWh)",'Egen hetvattenprod'!$B$1:$BX$1,0),FALSE),"")</f>
        <v/>
      </c>
      <c r="BJ310" s="227" t="str">
        <f>IF($BF310="ja",VLOOKUP($B310,'Slutlig allokering kvv'!$B$1:$BX$550,MATCH("Avfall (GWh)",'Slutlig allokering kvv'!$B$1:$BX$1,0),FALSE),"")</f>
        <v/>
      </c>
      <c r="BK310" s="227" t="str">
        <f>IF($BF310="ja",VLOOKUP($B310,'Köpt hetvatten'!$B$1:$BX$550,MATCH("Avfall i köpt hetvatten",'Köpt hetvatten'!$B$1:$BX$1,0),FALSE),"")</f>
        <v/>
      </c>
      <c r="BL310" s="227" t="str">
        <f>IF($BF310="ja",VLOOKUP($B310,'Egen hetvattenprod'!$B$1:$BX$550,MATCH("Värde enligt ovan. (%)",'Egen hetvattenprod'!$B$1:$BX$1,0),FALSE),"")</f>
        <v/>
      </c>
      <c r="BM310" s="227" t="str">
        <f>IF($BF310="ja",VLOOKUP($B310,Kraftvärmeprod!$B$1:$BX$550,MATCH("Värde enligt ovan. (%)",Kraftvärmeprod!$B$1:$BX$1,0),FALSE),"")</f>
        <v/>
      </c>
      <c r="BN310" s="227"/>
      <c r="BO310" s="227"/>
      <c r="BP310" s="227"/>
      <c r="BQ310" s="227" t="str">
        <f>IF($BF310="ja",VLOOKUP($B310,'Egen hetvattenprod'!$B$1:$BX$550,MATCH("Tillförd olja (fossil) vid avfallsförbränning (GWh)",'Egen hetvattenprod'!$B$1:$BX$1,0),FALSE),"")</f>
        <v/>
      </c>
      <c r="BR310" s="227" t="str">
        <f>IF($BF310="ja",VLOOKUP($B310,Kraftvärmeprod!$B$1:$BX$550,MATCH("Tillförd olja (fossil) vid avfallsförbränning (GWh)",Kraftvärmeprod!$B$1:$BX$1,0),FALSE),"")</f>
        <v/>
      </c>
      <c r="BS310" s="227"/>
      <c r="BT310" s="227"/>
      <c r="BU310" s="227"/>
    </row>
    <row r="311" spans="1:73" x14ac:dyDescent="0.25">
      <c r="A311" s="121" t="str">
        <f>'Miljövärden för publ företag'!B314</f>
        <v>VänerEnergi AB</v>
      </c>
      <c r="B311" s="121" t="str">
        <f>'Miljövärden för publ företag'!C314</f>
        <v>Töreboda</v>
      </c>
      <c r="C311" s="173">
        <f>IFERROR(VLOOKUP($B311,Totalt!$B$1:$AQ$554,MATCH(C$2,Totalt!$B$1:$AQ$1,0),FALSE),"")</f>
        <v>0</v>
      </c>
      <c r="D311" s="173">
        <f>IFERROR(VLOOKUP($B311,Totalt!$B$1:$AQ$554,MATCH(D$2,Totalt!$B$1:$AQ$1,0),FALSE),"")</f>
        <v>0.08</v>
      </c>
      <c r="E311" s="173">
        <f>IFERROR(VLOOKUP($B311,Totalt!$B$1:$AQ$554,MATCH(E$2,Totalt!$B$1:$AQ$1,0),FALSE),"")</f>
        <v>0</v>
      </c>
      <c r="F311" s="173">
        <f>IFERROR(VLOOKUP($B311,Totalt!$B$1:$AQ$554,MATCH(F$2,Totalt!$B$1:$AQ$1,0),FALSE),"")</f>
        <v>0</v>
      </c>
      <c r="G311" s="173">
        <f>IFERROR(VLOOKUP($B311,Totalt!$B$1:$AQ$554,MATCH(G$2,Totalt!$B$1:$AQ$1,0),FALSE),"")</f>
        <v>0</v>
      </c>
      <c r="H311" s="173">
        <f>IFERROR(VLOOKUP($B311,Totalt!$B$1:$AQ$554,MATCH(H$2,Totalt!$B$1:$AQ$1,0),FALSE),"")</f>
        <v>0</v>
      </c>
      <c r="I311" s="173">
        <f>IFERROR(VLOOKUP($B311,Totalt!$B$1:$AQ$554,MATCH(I$2,Totalt!$B$1:$AQ$1,0),FALSE),"")</f>
        <v>0</v>
      </c>
      <c r="J311" s="173">
        <f>IFERROR(VLOOKUP($B311,Totalt!$B$1:$AQ$554,MATCH(J$2,Totalt!$B$1:$AQ$1,0),FALSE),"")</f>
        <v>0</v>
      </c>
      <c r="K311" s="173">
        <f>IFERROR(VLOOKUP($B311,Totalt!$B$1:$AQ$554,MATCH(K$2,Totalt!$B$1:$AQ$1,0),FALSE),"")</f>
        <v>0</v>
      </c>
      <c r="L311" s="173">
        <f>IFERROR(VLOOKUP($B311,Totalt!$B$1:$AQ$554,MATCH(L$2,Totalt!$B$1:$AQ$1,0),FALSE),"")</f>
        <v>0</v>
      </c>
      <c r="M311" s="173">
        <f>IFERROR(VLOOKUP($B311,Totalt!$B$1:$AQ$554,MATCH(M$2,Totalt!$B$1:$AQ$1,0),FALSE),"")</f>
        <v>0</v>
      </c>
      <c r="N311" s="173">
        <f>IFERROR(VLOOKUP($B311,Totalt!$B$1:$AQ$554,MATCH(N$2,Totalt!$B$1:$AQ$1,0),FALSE),"")</f>
        <v>0</v>
      </c>
      <c r="O311" s="173">
        <f>IFERROR(VLOOKUP($B311,Totalt!$B$1:$AQ$554,MATCH(O$2,Totalt!$B$1:$AQ$1,0),FALSE),"")</f>
        <v>17.414999999999999</v>
      </c>
      <c r="P311" s="173">
        <f>IFERROR(VLOOKUP($B311,Totalt!$B$1:$AQ$554,MATCH(P$2,Totalt!$B$1:$AQ$1,0),FALSE),"")</f>
        <v>11.061999999999999</v>
      </c>
      <c r="Q311" s="173">
        <f>IFERROR(VLOOKUP($B311,Totalt!$B$1:$AQ$554,MATCH(Q$2,Totalt!$B$1:$AQ$1,0),FALSE),"")</f>
        <v>0</v>
      </c>
      <c r="R311" s="173">
        <f>IFERROR(VLOOKUP($B311,Totalt!$B$1:$AQ$554,MATCH(R$2,Totalt!$B$1:$AQ$1,0),FALSE),"")</f>
        <v>0</v>
      </c>
      <c r="S311" s="173">
        <f>IFERROR(VLOOKUP($B311,Totalt!$B$1:$AQ$554,MATCH(S$2,Totalt!$B$1:$AQ$1,0),FALSE),"")</f>
        <v>1.581</v>
      </c>
      <c r="T311" s="173">
        <f>IFERROR(VLOOKUP($B311,Totalt!$B$1:$AQ$554,MATCH(T$2,Totalt!$B$1:$AQ$1,0),FALSE),"")</f>
        <v>0</v>
      </c>
      <c r="U311" s="173">
        <f>IFERROR(VLOOKUP($B311,Totalt!$B$1:$AQ$554,MATCH(U$2,Totalt!$B$1:$AQ$1,0),FALSE),"")</f>
        <v>0</v>
      </c>
      <c r="V311" s="173">
        <f>IFERROR(VLOOKUP($B311,Totalt!$B$1:$AQ$554,MATCH(V$2,Totalt!$B$1:$AQ$1,0),FALSE),"")</f>
        <v>0</v>
      </c>
      <c r="W311" s="173">
        <f>IFERROR(VLOOKUP($B311,Totalt!$B$1:$AQ$554,MATCH(W$2,Totalt!$B$1:$AQ$1,0),FALSE),"")</f>
        <v>0</v>
      </c>
      <c r="X311" s="173">
        <f>IFERROR(VLOOKUP($B311,Totalt!$B$1:$AQ$554,MATCH(X$2,Totalt!$B$1:$AQ$1,0),FALSE),"")</f>
        <v>0</v>
      </c>
      <c r="Y311" s="173">
        <f>IFERROR(VLOOKUP($B311,Totalt!$B$1:$AQ$554,MATCH(Y$2,Totalt!$B$1:$AQ$1,0),FALSE),"")</f>
        <v>0</v>
      </c>
      <c r="Z311" s="173">
        <f>IFERROR(VLOOKUP($B311,Totalt!$B$1:$AQ$554,MATCH(Z$2,Totalt!$B$1:$AQ$1,0),FALSE),"")</f>
        <v>0</v>
      </c>
      <c r="AA311" s="173">
        <f>IFERROR(VLOOKUP($B311,Totalt!$B$1:$AQ$554,MATCH(AA$2,Totalt!$B$1:$AQ$1,0),FALSE),"")</f>
        <v>0</v>
      </c>
      <c r="AB311" s="173">
        <f>IFERROR(VLOOKUP($B311,Totalt!$B$1:$AQ$554,MATCH(AB$2,Totalt!$B$1:$AQ$1,0),FALSE),"")</f>
        <v>0</v>
      </c>
      <c r="AC311" s="173">
        <f>IFERROR(VLOOKUP($B311,Totalt!$B$1:$AQ$554,MATCH(AC$2,Totalt!$B$1:$AQ$1,0),FALSE),"")</f>
        <v>1.5720000000000001</v>
      </c>
      <c r="AD311" s="173">
        <f>IFERROR(VLOOKUP($B311,Totalt!$B$1:$AQ$554,MATCH(AD$2,Totalt!$B$1:$AQ$1,0),FALSE),"")</f>
        <v>0</v>
      </c>
      <c r="AE311" s="173">
        <f>IFERROR(VLOOKUP($B311,Totalt!$B$1:$AQ$554,MATCH(AE$2,Totalt!$B$1:$AQ$1,0),FALSE),"")</f>
        <v>0</v>
      </c>
      <c r="AF311" s="173">
        <f>IFERROR(VLOOKUP($B311,Totalt!$B$1:$AQ$554,MATCH(AF$2,Totalt!$B$1:$AQ$1,0),FALSE),"")</f>
        <v>0.6</v>
      </c>
      <c r="AG311" s="173">
        <f>IFERROR(VLOOKUP($B311,Totalt!$B$1:$AQ$554,MATCH(AG$2,Totalt!$B$1:$AQ$1,0),FALSE),"")</f>
        <v>0</v>
      </c>
      <c r="AI311" s="226">
        <f t="shared" si="24"/>
        <v>32.309999999999995</v>
      </c>
      <c r="AJ311" s="226">
        <f>IF(ISERROR(1/VLOOKUP($B311,Leveranser!$B$1:$S$500,MATCH("såld värme (gwh)",Leveranser!$B$1:$S$1,0),FALSE)),"",VLOOKUP($B311,Leveranser!$B$1:$S$500,MATCH("såld värme (gwh)",Leveranser!$B$1:$S$1,0),FALSE))</f>
        <v>26.018000000000001</v>
      </c>
      <c r="AM311" s="227" t="str">
        <f>IF(B311&lt;&gt;"",IF(VLOOKUP($B311,Totalt!$B$1:$AQ$554,MATCH("Kvalitetsgranskad:",Totalt!$B$1:$AQ$1,0),FALSE)="ja",VLOOKUP($B311,Miljö!$B$1:$AG$479,MATCH(AM$2,Miljö!$B$1:$AK$1,0),FALSE),""),"")</f>
        <v>Ja</v>
      </c>
      <c r="AN311" s="227" t="str">
        <f>IF(AM311="ja",VLOOKUP($B311,Miljö!$B$1:$J$479,MATCH("Typ av ursprungsspecificerad el   (Om inget värde anges används Nordisk residualmix, se inforuta) ()",Miljö!$B$1:$J$1,0),FALSE),IF(AM311="nej","Nordisk residualel",""))</f>
        <v>'100% Ursprungsmärkt nordisk vattenkraft'</v>
      </c>
      <c r="AO311" s="227">
        <f>IF(AM311="","",VLOOKUP($B311,Miljö!$B$1:$J$479,MATCH("Fossilandel för ursprungspecificerad el ()",Miljö!$B$1:$J$1,0),FALSE))</f>
        <v>0</v>
      </c>
      <c r="AP311" s="227">
        <f>IF(AM311="","",IFERROR(VLOOKUP($B311,Miljö!$B$1:$J$479,MATCH("Kärnkraftsandel för ursprungsspecificerad el ()",Miljö!$B$1:$J$1,0),FALSE)/1,0))</f>
        <v>0</v>
      </c>
      <c r="AQ311" s="227">
        <f t="shared" si="25"/>
        <v>1</v>
      </c>
      <c r="AR311" s="227"/>
      <c r="AS311" s="227" t="str">
        <f t="shared" si="26"/>
        <v>Nej</v>
      </c>
      <c r="AT311" s="227" t="str">
        <f>IF(AS311="ja",VLOOKUP($B311,Miljö!$B$1:$O$500,MATCH("Fossil andel i procent (%)",Miljö!$B$1:$O$1,0),FALSE)/100,"")</f>
        <v/>
      </c>
      <c r="AU311" s="227"/>
      <c r="AV311" s="227" t="str">
        <f t="shared" si="27"/>
        <v>Nej</v>
      </c>
      <c r="AW311" s="227" t="str">
        <f>IF(AV311="ja",VLOOKUP($B311,'Egen hetvattenprod'!$B$1:$AO$500,MATCH("Värmekälla till värmepumpar ()",'Egen hetvattenprod'!$B$1:$AO$1,0),FALSE),"")</f>
        <v/>
      </c>
      <c r="AX311" s="227"/>
      <c r="AY311" s="227" t="str">
        <f t="shared" si="28"/>
        <v>Ja</v>
      </c>
      <c r="AZ311" s="228">
        <f>IF($AY311="ja",(VLOOKUP($B311,'Egen hetvattenprod'!$B$1:$BX$550,MATCH(AZ$2,'Egen hetvattenprod'!$B$1:$BX$1,0),FALSE)+VLOOKUP($B311,Kraftvärmeprod!$B$1:$BX$550,MATCH(AZ$2,Kraftvärmeprod!$B$1:$BX$1,0),FALSE))/$AC311,"")</f>
        <v>1</v>
      </c>
      <c r="BA311" s="228">
        <f>IF($AY311="ja",(VLOOKUP($B311,'Egen hetvattenprod'!$B$1:$BX$550,MATCH(BA$2,'Egen hetvattenprod'!$B$1:$BX$1,0),FALSE)+VLOOKUP($B311,Kraftvärmeprod!$B$1:$BX$550,MATCH(BA$2,Kraftvärmeprod!$B$1:$BX$1,0),FALSE))/$AC311,"")</f>
        <v>0</v>
      </c>
      <c r="BB311" s="228">
        <f>IF($AY311="ja",(VLOOKUP($B311,'Egen hetvattenprod'!$B$1:$BX$550,MATCH(BB$2,'Egen hetvattenprod'!$B$1:$BX$1,0),FALSE)+VLOOKUP($B311,Kraftvärmeprod!$B$1:$BX$550,MATCH(BB$2,Kraftvärmeprod!$B$1:$BX$1,0),FALSE))/$AC311,"")</f>
        <v>0</v>
      </c>
      <c r="BC311" s="228">
        <f>IF($AY311="ja",(VLOOKUP($B311,'Egen hetvattenprod'!$B$1:$BX$550,MATCH(BC$2,'Egen hetvattenprod'!$B$1:$BX$1,0),FALSE)+VLOOKUP($B311,Kraftvärmeprod!$B$1:$BX$550,MATCH(BC$2,Kraftvärmeprod!$B$1:$BX$1,0),FALSE))/$AC311,"")</f>
        <v>0</v>
      </c>
      <c r="BD311" s="228">
        <f>IF($AY311="ja",(VLOOKUP($B311,'Egen hetvattenprod'!$B$1:$BX$550,MATCH(BD$2,'Egen hetvattenprod'!$B$1:$BX$1,0),FALSE)+VLOOKUP($B311,Kraftvärmeprod!$B$1:$BX$550,MATCH(BD$2,Kraftvärmeprod!$B$1:$BX$1,0),FALSE))/$AC311,"")</f>
        <v>0</v>
      </c>
      <c r="BE311" s="227"/>
      <c r="BF311" s="227" t="str">
        <f t="shared" si="29"/>
        <v>Nej</v>
      </c>
      <c r="BG311" s="227" t="str">
        <f>IF($BF311="ja",VLOOKUP($B311,'Egen hetvattenprod'!$B$1:$BX$550,MATCH("Andelen klimatgaser med fossilt ursprung för avfall ()",'Egen hetvattenprod'!$B$1:$BX$1,0),FALSE),"")</f>
        <v/>
      </c>
      <c r="BH311" s="227" t="str">
        <f>IF($BF311="ja",VLOOKUP($B311,Kraftvärmeprod!$B$1:$BX$550,MATCH("Andelen klimatgaser med fossilt ursprung för avfall ()",Kraftvärmeprod!$B$1:$BX$1,0),FALSE),"")</f>
        <v/>
      </c>
      <c r="BI311" s="227" t="str">
        <f>IF($BF311="ja",VLOOKUP($B311,'Egen hetvattenprod'!$B$1:$BX$550,MATCH("Avfall (GWh)",'Egen hetvattenprod'!$B$1:$BX$1,0),FALSE),"")</f>
        <v/>
      </c>
      <c r="BJ311" s="227" t="str">
        <f>IF($BF311="ja",VLOOKUP($B311,'Slutlig allokering kvv'!$B$1:$BX$550,MATCH("Avfall (GWh)",'Slutlig allokering kvv'!$B$1:$BX$1,0),FALSE),"")</f>
        <v/>
      </c>
      <c r="BK311" s="227" t="str">
        <f>IF($BF311="ja",VLOOKUP($B311,'Köpt hetvatten'!$B$1:$BX$550,MATCH("Avfall i köpt hetvatten",'Köpt hetvatten'!$B$1:$BX$1,0),FALSE),"")</f>
        <v/>
      </c>
      <c r="BL311" s="227" t="str">
        <f>IF($BF311="ja",VLOOKUP($B311,'Egen hetvattenprod'!$B$1:$BX$550,MATCH("Värde enligt ovan. (%)",'Egen hetvattenprod'!$B$1:$BX$1,0),FALSE),"")</f>
        <v/>
      </c>
      <c r="BM311" s="227" t="str">
        <f>IF($BF311="ja",VLOOKUP($B311,Kraftvärmeprod!$B$1:$BX$550,MATCH("Värde enligt ovan. (%)",Kraftvärmeprod!$B$1:$BX$1,0),FALSE),"")</f>
        <v/>
      </c>
      <c r="BN311" s="227"/>
      <c r="BO311" s="227"/>
      <c r="BP311" s="227"/>
      <c r="BQ311" s="227" t="str">
        <f>IF($BF311="ja",VLOOKUP($B311,'Egen hetvattenprod'!$B$1:$BX$550,MATCH("Tillförd olja (fossil) vid avfallsförbränning (GWh)",'Egen hetvattenprod'!$B$1:$BX$1,0),FALSE),"")</f>
        <v/>
      </c>
      <c r="BR311" s="227" t="str">
        <f>IF($BF311="ja",VLOOKUP($B311,Kraftvärmeprod!$B$1:$BX$550,MATCH("Tillförd olja (fossil) vid avfallsförbränning (GWh)",Kraftvärmeprod!$B$1:$BX$1,0),FALSE),"")</f>
        <v/>
      </c>
      <c r="BS311" s="227"/>
      <c r="BT311" s="227"/>
      <c r="BU311" s="227"/>
    </row>
    <row r="312" spans="1:73" x14ac:dyDescent="0.25">
      <c r="A312" s="121" t="str">
        <f>'Miljövärden för publ företag'!B315</f>
        <v>Värmevärden AB</v>
      </c>
      <c r="B312" s="121" t="str">
        <f>'Miljövärden för publ företag'!C315</f>
        <v>Avesta</v>
      </c>
      <c r="C312" s="173">
        <f>IFERROR(VLOOKUP($B312,Totalt!$B$1:$AQ$554,MATCH(C$2,Totalt!$B$1:$AQ$1,0),FALSE),"")</f>
        <v>0</v>
      </c>
      <c r="D312" s="173">
        <f>IFERROR(VLOOKUP($B312,Totalt!$B$1:$AQ$554,MATCH(D$2,Totalt!$B$1:$AQ$1,0),FALSE),"")</f>
        <v>10.045</v>
      </c>
      <c r="E312" s="173">
        <f>IFERROR(VLOOKUP($B312,Totalt!$B$1:$AQ$554,MATCH(E$2,Totalt!$B$1:$AQ$1,0),FALSE),"")</f>
        <v>17.312999999999999</v>
      </c>
      <c r="F312" s="173">
        <f>IFERROR(VLOOKUP($B312,Totalt!$B$1:$AQ$554,MATCH(F$2,Totalt!$B$1:$AQ$1,0),FALSE),"")</f>
        <v>0</v>
      </c>
      <c r="G312" s="173">
        <f>IFERROR(VLOOKUP($B312,Totalt!$B$1:$AQ$554,MATCH(G$2,Totalt!$B$1:$AQ$1,0),FALSE),"")</f>
        <v>0</v>
      </c>
      <c r="H312" s="173">
        <f>IFERROR(VLOOKUP($B312,Totalt!$B$1:$AQ$554,MATCH(H$2,Totalt!$B$1:$AQ$1,0),FALSE),"")</f>
        <v>0</v>
      </c>
      <c r="I312" s="173">
        <f>IFERROR(VLOOKUP($B312,Totalt!$B$1:$AQ$554,MATCH(I$2,Totalt!$B$1:$AQ$1,0),FALSE),"")</f>
        <v>181.98099999999999</v>
      </c>
      <c r="J312" s="173">
        <f>IFERROR(VLOOKUP($B312,Totalt!$B$1:$AQ$554,MATCH(J$2,Totalt!$B$1:$AQ$1,0),FALSE),"")</f>
        <v>0</v>
      </c>
      <c r="K312" s="173">
        <f>IFERROR(VLOOKUP($B312,Totalt!$B$1:$AQ$554,MATCH(K$2,Totalt!$B$1:$AQ$1,0),FALSE),"")</f>
        <v>0</v>
      </c>
      <c r="L312" s="173">
        <f>IFERROR(VLOOKUP($B312,Totalt!$B$1:$AQ$554,MATCH(L$2,Totalt!$B$1:$AQ$1,0),FALSE),"")</f>
        <v>0</v>
      </c>
      <c r="M312" s="173">
        <f>IFERROR(VLOOKUP($B312,Totalt!$B$1:$AQ$554,MATCH(M$2,Totalt!$B$1:$AQ$1,0),FALSE),"")</f>
        <v>0</v>
      </c>
      <c r="N312" s="173">
        <f>IFERROR(VLOOKUP($B312,Totalt!$B$1:$AQ$554,MATCH(N$2,Totalt!$B$1:$AQ$1,0),FALSE),"")</f>
        <v>0</v>
      </c>
      <c r="O312" s="173">
        <f>IFERROR(VLOOKUP($B312,Totalt!$B$1:$AQ$554,MATCH(O$2,Totalt!$B$1:$AQ$1,0),FALSE),"")</f>
        <v>28.706</v>
      </c>
      <c r="P312" s="173">
        <f>IFERROR(VLOOKUP($B312,Totalt!$B$1:$AQ$554,MATCH(P$2,Totalt!$B$1:$AQ$1,0),FALSE),"")</f>
        <v>0</v>
      </c>
      <c r="Q312" s="173">
        <f>IFERROR(VLOOKUP($B312,Totalt!$B$1:$AQ$554,MATCH(Q$2,Totalt!$B$1:$AQ$1,0),FALSE),"")</f>
        <v>7.1870599999999998</v>
      </c>
      <c r="R312" s="173">
        <f>IFERROR(VLOOKUP($B312,Totalt!$B$1:$AQ$554,MATCH(R$2,Totalt!$B$1:$AQ$1,0),FALSE),"")</f>
        <v>0.16</v>
      </c>
      <c r="S312" s="173">
        <f>IFERROR(VLOOKUP($B312,Totalt!$B$1:$AQ$554,MATCH(S$2,Totalt!$B$1:$AQ$1,0),FALSE),"")</f>
        <v>0</v>
      </c>
      <c r="T312" s="173">
        <f>IFERROR(VLOOKUP($B312,Totalt!$B$1:$AQ$554,MATCH(T$2,Totalt!$B$1:$AQ$1,0),FALSE),"")</f>
        <v>0</v>
      </c>
      <c r="U312" s="173">
        <f>IFERROR(VLOOKUP($B312,Totalt!$B$1:$AQ$554,MATCH(U$2,Totalt!$B$1:$AQ$1,0),FALSE),"")</f>
        <v>0</v>
      </c>
      <c r="V312" s="173">
        <f>IFERROR(VLOOKUP($B312,Totalt!$B$1:$AQ$554,MATCH(V$2,Totalt!$B$1:$AQ$1,0),FALSE),"")</f>
        <v>0</v>
      </c>
      <c r="W312" s="173">
        <f>IFERROR(VLOOKUP($B312,Totalt!$B$1:$AQ$554,MATCH(W$2,Totalt!$B$1:$AQ$1,0),FALSE),"")</f>
        <v>0</v>
      </c>
      <c r="X312" s="173">
        <f>IFERROR(VLOOKUP($B312,Totalt!$B$1:$AQ$554,MATCH(X$2,Totalt!$B$1:$AQ$1,0),FALSE),"")</f>
        <v>0</v>
      </c>
      <c r="Y312" s="173">
        <f>IFERROR(VLOOKUP($B312,Totalt!$B$1:$AQ$554,MATCH(Y$2,Totalt!$B$1:$AQ$1,0),FALSE),"")</f>
        <v>0</v>
      </c>
      <c r="Z312" s="173">
        <f>IFERROR(VLOOKUP($B312,Totalt!$B$1:$AQ$554,MATCH(Z$2,Totalt!$B$1:$AQ$1,0),FALSE),"")</f>
        <v>0</v>
      </c>
      <c r="AA312" s="173">
        <f>IFERROR(VLOOKUP($B312,Totalt!$B$1:$AQ$554,MATCH(AA$2,Totalt!$B$1:$AQ$1,0),FALSE),"")</f>
        <v>0</v>
      </c>
      <c r="AB312" s="173">
        <f>IFERROR(VLOOKUP($B312,Totalt!$B$1:$AQ$554,MATCH(AB$2,Totalt!$B$1:$AQ$1,0),FALSE),"")</f>
        <v>0</v>
      </c>
      <c r="AC312" s="173">
        <f>IFERROR(VLOOKUP($B312,Totalt!$B$1:$AQ$554,MATCH(AC$2,Totalt!$B$1:$AQ$1,0),FALSE),"")</f>
        <v>13.66</v>
      </c>
      <c r="AD312" s="173">
        <f>IFERROR(VLOOKUP($B312,Totalt!$B$1:$AQ$554,MATCH(AD$2,Totalt!$B$1:$AQ$1,0),FALSE),"")</f>
        <v>24.94</v>
      </c>
      <c r="AE312" s="173">
        <f>IFERROR(VLOOKUP($B312,Totalt!$B$1:$AQ$554,MATCH(AE$2,Totalt!$B$1:$AQ$1,0),FALSE),"")</f>
        <v>0</v>
      </c>
      <c r="AF312" s="173">
        <f>IFERROR(VLOOKUP($B312,Totalt!$B$1:$AQ$554,MATCH(AF$2,Totalt!$B$1:$AQ$1,0),FALSE),"")</f>
        <v>8.6880000000000006</v>
      </c>
      <c r="AG312" s="173">
        <f>IFERROR(VLOOKUP($B312,Totalt!$B$1:$AQ$554,MATCH(AG$2,Totalt!$B$1:$AQ$1,0),FALSE),"")</f>
        <v>0</v>
      </c>
      <c r="AI312" s="226">
        <f t="shared" si="24"/>
        <v>292.68005999999997</v>
      </c>
      <c r="AJ312" s="226">
        <f>IF(ISERROR(1/VLOOKUP($B312,Leveranser!$B$1:$S$500,MATCH("såld värme (gwh)",Leveranser!$B$1:$S$1,0),FALSE)),"",VLOOKUP($B312,Leveranser!$B$1:$S$500,MATCH("såld värme (gwh)",Leveranser!$B$1:$S$1,0),FALSE))</f>
        <v>203.3</v>
      </c>
      <c r="AM312" s="227" t="str">
        <f>IF(B312&lt;&gt;"",IF(VLOOKUP($B312,Totalt!$B$1:$AQ$554,MATCH("Kvalitetsgranskad:",Totalt!$B$1:$AQ$1,0),FALSE)="ja",VLOOKUP($B312,Miljö!$B$1:$AG$479,MATCH(AM$2,Miljö!$B$1:$AK$1,0),FALSE),""),"")</f>
        <v>Ja</v>
      </c>
      <c r="AN312" s="227" t="str">
        <f>IF(AM312="ja",VLOOKUP($B312,Miljö!$B$1:$J$479,MATCH("Typ av ursprungsspecificerad el   (Om inget värde anges används Nordisk residualmix, se inforuta) ()",Miljö!$B$1:$J$1,0),FALSE),IF(AM312="nej","Nordisk residualel",""))</f>
        <v>'Bio energi'</v>
      </c>
      <c r="AO312" s="227">
        <f>IF(AM312="","",VLOOKUP($B312,Miljö!$B$1:$J$479,MATCH("Fossilandel för ursprungspecificerad el ()",Miljö!$B$1:$J$1,0),FALSE))</f>
        <v>0</v>
      </c>
      <c r="AP312" s="227">
        <f>IF(AM312="","",IFERROR(VLOOKUP($B312,Miljö!$B$1:$J$479,MATCH("Kärnkraftsandel för ursprungsspecificerad el ()",Miljö!$B$1:$J$1,0),FALSE)/1,0))</f>
        <v>0</v>
      </c>
      <c r="AQ312" s="227">
        <f t="shared" si="25"/>
        <v>1</v>
      </c>
      <c r="AR312" s="227"/>
      <c r="AS312" s="227" t="str">
        <f t="shared" si="26"/>
        <v>Nej</v>
      </c>
      <c r="AT312" s="227" t="str">
        <f>IF(AS312="ja",VLOOKUP($B312,Miljö!$B$1:$O$500,MATCH("Fossil andel i procent (%)",Miljö!$B$1:$O$1,0),FALSE)/100,"")</f>
        <v/>
      </c>
      <c r="AU312" s="227"/>
      <c r="AV312" s="227" t="str">
        <f t="shared" si="27"/>
        <v>Nej</v>
      </c>
      <c r="AW312" s="227" t="str">
        <f>IF(AV312="ja",VLOOKUP($B312,'Egen hetvattenprod'!$B$1:$AO$500,MATCH("Värmekälla till värmepumpar ()",'Egen hetvattenprod'!$B$1:$AO$1,0),FALSE),"")</f>
        <v/>
      </c>
      <c r="AX312" s="227"/>
      <c r="AY312" s="227" t="str">
        <f t="shared" si="28"/>
        <v>Ja</v>
      </c>
      <c r="AZ312" s="228">
        <f>IF($AY312="ja",(VLOOKUP($B312,'Egen hetvattenprod'!$B$1:$BX$550,MATCH(AZ$2,'Egen hetvattenprod'!$B$1:$BX$1,0),FALSE)+VLOOKUP($B312,Kraftvärmeprod!$B$1:$BX$550,MATCH(AZ$2,Kraftvärmeprod!$B$1:$BX$1,0),FALSE))/$AC312,"")</f>
        <v>0</v>
      </c>
      <c r="BA312" s="228">
        <f>IF($AY312="ja",(VLOOKUP($B312,'Egen hetvattenprod'!$B$1:$BX$550,MATCH(BA$2,'Egen hetvattenprod'!$B$1:$BX$1,0),FALSE)+VLOOKUP($B312,Kraftvärmeprod!$B$1:$BX$550,MATCH(BA$2,Kraftvärmeprod!$B$1:$BX$1,0),FALSE))/$AC312,"")</f>
        <v>0.97</v>
      </c>
      <c r="BB312" s="228">
        <f>IF($AY312="ja",(VLOOKUP($B312,'Egen hetvattenprod'!$B$1:$BX$550,MATCH(BB$2,'Egen hetvattenprod'!$B$1:$BX$1,0),FALSE)+VLOOKUP($B312,Kraftvärmeprod!$B$1:$BX$550,MATCH(BB$2,Kraftvärmeprod!$B$1:$BX$1,0),FALSE))/$AC312,"")</f>
        <v>0.03</v>
      </c>
      <c r="BC312" s="228">
        <f>IF($AY312="ja",(VLOOKUP($B312,'Egen hetvattenprod'!$B$1:$BX$550,MATCH(BC$2,'Egen hetvattenprod'!$B$1:$BX$1,0),FALSE)+VLOOKUP($B312,Kraftvärmeprod!$B$1:$BX$550,MATCH(BC$2,Kraftvärmeprod!$B$1:$BX$1,0),FALSE))/$AC312,"")</f>
        <v>0</v>
      </c>
      <c r="BD312" s="228">
        <f>IF($AY312="ja",(VLOOKUP($B312,'Egen hetvattenprod'!$B$1:$BX$550,MATCH(BD$2,'Egen hetvattenprod'!$B$1:$BX$1,0),FALSE)+VLOOKUP($B312,Kraftvärmeprod!$B$1:$BX$550,MATCH(BD$2,Kraftvärmeprod!$B$1:$BX$1,0),FALSE))/$AC312,"")</f>
        <v>0</v>
      </c>
      <c r="BE312" s="227"/>
      <c r="BF312" s="227" t="str">
        <f t="shared" si="29"/>
        <v>Ja</v>
      </c>
      <c r="BG312" s="227" t="str">
        <f>IF($BF312="ja",VLOOKUP($B312,'Egen hetvattenprod'!$B$1:$BX$550,MATCH("Andelen klimatgaser med fossilt ursprung för avfall ()",'Egen hetvattenprod'!$B$1:$BX$1,0),FALSE),"")</f>
        <v>Schablon</v>
      </c>
      <c r="BH312" s="227" t="str">
        <f>IF($BF312="ja",VLOOKUP($B312,Kraftvärmeprod!$B$1:$BX$550,MATCH("Andelen klimatgaser med fossilt ursprung för avfall ()",Kraftvärmeprod!$B$1:$BX$1,0),FALSE),"")</f>
        <v>Ingen redovisning</v>
      </c>
      <c r="BI312" s="227">
        <f>IF($BF312="ja",VLOOKUP($B312,'Egen hetvattenprod'!$B$1:$BX$550,MATCH("Avfall (GWh)",'Egen hetvattenprod'!$B$1:$BX$1,0),FALSE),"")</f>
        <v>181.98099999999999</v>
      </c>
      <c r="BJ312" s="227">
        <f>IF($BF312="ja",VLOOKUP($B312,'Slutlig allokering kvv'!$B$1:$BX$550,MATCH("Avfall (GWh)",'Slutlig allokering kvv'!$B$1:$BX$1,0),FALSE),"")</f>
        <v>0</v>
      </c>
      <c r="BK312" s="227">
        <f>IF($BF312="ja",VLOOKUP($B312,'Köpt hetvatten'!$B$1:$BX$550,MATCH("Avfall i köpt hetvatten",'Köpt hetvatten'!$B$1:$BX$1,0),FALSE),"")</f>
        <v>0</v>
      </c>
      <c r="BL312" s="227">
        <f>IF($BF312="ja",VLOOKUP($B312,'Egen hetvattenprod'!$B$1:$BX$550,MATCH("Värde enligt ovan. (%)",'Egen hetvattenprod'!$B$1:$BX$1,0),FALSE),"")</f>
        <v>40.5</v>
      </c>
      <c r="BM312" s="227" t="str">
        <f>IF($BF312="ja",VLOOKUP($B312,Kraftvärmeprod!$B$1:$BX$550,MATCH("Värde enligt ovan. (%)",Kraftvärmeprod!$B$1:$BX$1,0),FALSE),"")</f>
        <v>ET</v>
      </c>
      <c r="BN312" s="227"/>
      <c r="BO312" s="227"/>
      <c r="BP312" s="227"/>
      <c r="BQ312" s="227">
        <f>IF($BF312="ja",VLOOKUP($B312,'Egen hetvattenprod'!$B$1:$BX$550,MATCH("Tillförd olja (fossil) vid avfallsförbränning (GWh)",'Egen hetvattenprod'!$B$1:$BX$1,0),FALSE),"")</f>
        <v>5.0629999999999997</v>
      </c>
      <c r="BR312" s="227" t="str">
        <f>IF($BF312="ja",VLOOKUP($B312,Kraftvärmeprod!$B$1:$BX$550,MATCH("Tillförd olja (fossil) vid avfallsförbränning (GWh)",Kraftvärmeprod!$B$1:$BX$1,0),FALSE),"")</f>
        <v>ET</v>
      </c>
      <c r="BS312" s="227"/>
      <c r="BT312" s="227"/>
      <c r="BU312" s="227"/>
    </row>
    <row r="313" spans="1:73" x14ac:dyDescent="0.25">
      <c r="A313" s="121" t="str">
        <f>'Miljövärden för publ företag'!B316</f>
        <v>Värmevärden AB</v>
      </c>
      <c r="B313" s="121" t="str">
        <f>'Miljövärden för publ företag'!C316</f>
        <v>Delsbo</v>
      </c>
      <c r="C313" s="173">
        <f>IFERROR(VLOOKUP($B313,Totalt!$B$1:$AQ$554,MATCH(C$2,Totalt!$B$1:$AQ$1,0),FALSE),"")</f>
        <v>0</v>
      </c>
      <c r="D313" s="173">
        <f>IFERROR(VLOOKUP($B313,Totalt!$B$1:$AQ$554,MATCH(D$2,Totalt!$B$1:$AQ$1,0),FALSE),"")</f>
        <v>0.67300000000000004</v>
      </c>
      <c r="E313" s="173">
        <f>IFERROR(VLOOKUP($B313,Totalt!$B$1:$AQ$554,MATCH(E$2,Totalt!$B$1:$AQ$1,0),FALSE),"")</f>
        <v>0</v>
      </c>
      <c r="F313" s="173">
        <f>IFERROR(VLOOKUP($B313,Totalt!$B$1:$AQ$554,MATCH(F$2,Totalt!$B$1:$AQ$1,0),FALSE),"")</f>
        <v>0</v>
      </c>
      <c r="G313" s="173">
        <f>IFERROR(VLOOKUP($B313,Totalt!$B$1:$AQ$554,MATCH(G$2,Totalt!$B$1:$AQ$1,0),FALSE),"")</f>
        <v>0</v>
      </c>
      <c r="H313" s="173">
        <f>IFERROR(VLOOKUP($B313,Totalt!$B$1:$AQ$554,MATCH(H$2,Totalt!$B$1:$AQ$1,0),FALSE),"")</f>
        <v>0</v>
      </c>
      <c r="I313" s="173">
        <f>IFERROR(VLOOKUP($B313,Totalt!$B$1:$AQ$554,MATCH(I$2,Totalt!$B$1:$AQ$1,0),FALSE),"")</f>
        <v>0</v>
      </c>
      <c r="J313" s="173">
        <f>IFERROR(VLOOKUP($B313,Totalt!$B$1:$AQ$554,MATCH(J$2,Totalt!$B$1:$AQ$1,0),FALSE),"")</f>
        <v>0</v>
      </c>
      <c r="K313" s="173">
        <f>IFERROR(VLOOKUP($B313,Totalt!$B$1:$AQ$554,MATCH(K$2,Totalt!$B$1:$AQ$1,0),FALSE),"")</f>
        <v>0</v>
      </c>
      <c r="L313" s="173">
        <f>IFERROR(VLOOKUP($B313,Totalt!$B$1:$AQ$554,MATCH(L$2,Totalt!$B$1:$AQ$1,0),FALSE),"")</f>
        <v>0</v>
      </c>
      <c r="M313" s="173">
        <f>IFERROR(VLOOKUP($B313,Totalt!$B$1:$AQ$554,MATCH(M$2,Totalt!$B$1:$AQ$1,0),FALSE),"")</f>
        <v>0</v>
      </c>
      <c r="N313" s="173">
        <f>IFERROR(VLOOKUP($B313,Totalt!$B$1:$AQ$554,MATCH(N$2,Totalt!$B$1:$AQ$1,0),FALSE),"")</f>
        <v>0</v>
      </c>
      <c r="O313" s="173">
        <f>IFERROR(VLOOKUP($B313,Totalt!$B$1:$AQ$554,MATCH(O$2,Totalt!$B$1:$AQ$1,0),FALSE),"")</f>
        <v>15.845000000000001</v>
      </c>
      <c r="P313" s="173">
        <f>IFERROR(VLOOKUP($B313,Totalt!$B$1:$AQ$554,MATCH(P$2,Totalt!$B$1:$AQ$1,0),FALSE),"")</f>
        <v>0</v>
      </c>
      <c r="Q313" s="173">
        <f>IFERROR(VLOOKUP($B313,Totalt!$B$1:$AQ$554,MATCH(Q$2,Totalt!$B$1:$AQ$1,0),FALSE),"")</f>
        <v>0</v>
      </c>
      <c r="R313" s="173">
        <f>IFERROR(VLOOKUP($B313,Totalt!$B$1:$AQ$554,MATCH(R$2,Totalt!$B$1:$AQ$1,0),FALSE),"")</f>
        <v>0</v>
      </c>
      <c r="S313" s="173">
        <f>IFERROR(VLOOKUP($B313,Totalt!$B$1:$AQ$554,MATCH(S$2,Totalt!$B$1:$AQ$1,0),FALSE),"")</f>
        <v>0</v>
      </c>
      <c r="T313" s="173">
        <f>IFERROR(VLOOKUP($B313,Totalt!$B$1:$AQ$554,MATCH(T$2,Totalt!$B$1:$AQ$1,0),FALSE),"")</f>
        <v>0</v>
      </c>
      <c r="U313" s="173">
        <f>IFERROR(VLOOKUP($B313,Totalt!$B$1:$AQ$554,MATCH(U$2,Totalt!$B$1:$AQ$1,0),FALSE),"")</f>
        <v>0</v>
      </c>
      <c r="V313" s="173">
        <f>IFERROR(VLOOKUP($B313,Totalt!$B$1:$AQ$554,MATCH(V$2,Totalt!$B$1:$AQ$1,0),FALSE),"")</f>
        <v>0</v>
      </c>
      <c r="W313" s="173">
        <f>IFERROR(VLOOKUP($B313,Totalt!$B$1:$AQ$554,MATCH(W$2,Totalt!$B$1:$AQ$1,0),FALSE),"")</f>
        <v>0</v>
      </c>
      <c r="X313" s="173">
        <f>IFERROR(VLOOKUP($B313,Totalt!$B$1:$AQ$554,MATCH(X$2,Totalt!$B$1:$AQ$1,0),FALSE),"")</f>
        <v>0</v>
      </c>
      <c r="Y313" s="173">
        <f>IFERROR(VLOOKUP($B313,Totalt!$B$1:$AQ$554,MATCH(Y$2,Totalt!$B$1:$AQ$1,0),FALSE),"")</f>
        <v>0</v>
      </c>
      <c r="Z313" s="173">
        <f>IFERROR(VLOOKUP($B313,Totalt!$B$1:$AQ$554,MATCH(Z$2,Totalt!$B$1:$AQ$1,0),FALSE),"")</f>
        <v>0</v>
      </c>
      <c r="AA313" s="173">
        <f>IFERROR(VLOOKUP($B313,Totalt!$B$1:$AQ$554,MATCH(AA$2,Totalt!$B$1:$AQ$1,0),FALSE),"")</f>
        <v>0</v>
      </c>
      <c r="AB313" s="173">
        <f>IFERROR(VLOOKUP($B313,Totalt!$B$1:$AQ$554,MATCH(AB$2,Totalt!$B$1:$AQ$1,0),FALSE),"")</f>
        <v>0</v>
      </c>
      <c r="AC313" s="173">
        <f>IFERROR(VLOOKUP($B313,Totalt!$B$1:$AQ$554,MATCH(AC$2,Totalt!$B$1:$AQ$1,0),FALSE),"")</f>
        <v>2.6389999999999998</v>
      </c>
      <c r="AD313" s="173">
        <f>IFERROR(VLOOKUP($B313,Totalt!$B$1:$AQ$554,MATCH(AD$2,Totalt!$B$1:$AQ$1,0),FALSE),"")</f>
        <v>0</v>
      </c>
      <c r="AE313" s="173">
        <f>IFERROR(VLOOKUP($B313,Totalt!$B$1:$AQ$554,MATCH(AE$2,Totalt!$B$1:$AQ$1,0),FALSE),"")</f>
        <v>0</v>
      </c>
      <c r="AF313" s="173">
        <f>IFERROR(VLOOKUP($B313,Totalt!$B$1:$AQ$554,MATCH(AF$2,Totalt!$B$1:$AQ$1,0),FALSE),"")</f>
        <v>0.44400000000000001</v>
      </c>
      <c r="AG313" s="173">
        <f>IFERROR(VLOOKUP($B313,Totalt!$B$1:$AQ$554,MATCH(AG$2,Totalt!$B$1:$AQ$1,0),FALSE),"")</f>
        <v>0</v>
      </c>
      <c r="AI313" s="226">
        <f t="shared" si="24"/>
        <v>19.600999999999999</v>
      </c>
      <c r="AJ313" s="226">
        <f>IF(ISERROR(1/VLOOKUP($B313,Leveranser!$B$1:$S$500,MATCH("såld värme (gwh)",Leveranser!$B$1:$S$1,0),FALSE)),"",VLOOKUP($B313,Leveranser!$B$1:$S$500,MATCH("såld värme (gwh)",Leveranser!$B$1:$S$1,0),FALSE))</f>
        <v>14.8</v>
      </c>
      <c r="AM313" s="227" t="str">
        <f>IF(B313&lt;&gt;"",IF(VLOOKUP($B313,Totalt!$B$1:$AQ$554,MATCH("Kvalitetsgranskad:",Totalt!$B$1:$AQ$1,0),FALSE)="ja",VLOOKUP($B313,Miljö!$B$1:$AG$479,MATCH(AM$2,Miljö!$B$1:$AK$1,0),FALSE),""),"")</f>
        <v>Ja</v>
      </c>
      <c r="AN313" s="227" t="str">
        <f>IF(AM313="ja",VLOOKUP($B313,Miljö!$B$1:$J$479,MATCH("Typ av ursprungsspecificerad el   (Om inget värde anges används Nordisk residualmix, se inforuta) ()",Miljö!$B$1:$J$1,0),FALSE),IF(AM313="nej","Nordisk residualel",""))</f>
        <v>'Bioel'</v>
      </c>
      <c r="AO313" s="227">
        <f>IF(AM313="","",VLOOKUP($B313,Miljö!$B$1:$J$479,MATCH("Fossilandel för ursprungspecificerad el ()",Miljö!$B$1:$J$1,0),FALSE))</f>
        <v>0</v>
      </c>
      <c r="AP313" s="227">
        <f>IF(AM313="","",IFERROR(VLOOKUP($B313,Miljö!$B$1:$J$479,MATCH("Kärnkraftsandel för ursprungsspecificerad el ()",Miljö!$B$1:$J$1,0),FALSE)/1,0))</f>
        <v>0</v>
      </c>
      <c r="AQ313" s="227">
        <f t="shared" si="25"/>
        <v>1</v>
      </c>
      <c r="AR313" s="227"/>
      <c r="AS313" s="227" t="str">
        <f t="shared" si="26"/>
        <v>Nej</v>
      </c>
      <c r="AT313" s="227" t="str">
        <f>IF(AS313="ja",VLOOKUP($B313,Miljö!$B$1:$O$500,MATCH("Fossil andel i procent (%)",Miljö!$B$1:$O$1,0),FALSE)/100,"")</f>
        <v/>
      </c>
      <c r="AU313" s="227"/>
      <c r="AV313" s="227" t="str">
        <f t="shared" si="27"/>
        <v>Nej</v>
      </c>
      <c r="AW313" s="227" t="str">
        <f>IF(AV313="ja",VLOOKUP($B313,'Egen hetvattenprod'!$B$1:$AO$500,MATCH("Värmekälla till värmepumpar ()",'Egen hetvattenprod'!$B$1:$AO$1,0),FALSE),"")</f>
        <v/>
      </c>
      <c r="AX313" s="227"/>
      <c r="AY313" s="227" t="str">
        <f t="shared" si="28"/>
        <v>Ja</v>
      </c>
      <c r="AZ313" s="228">
        <f>IF($AY313="ja",(VLOOKUP($B313,'Egen hetvattenprod'!$B$1:$BX$550,MATCH(AZ$2,'Egen hetvattenprod'!$B$1:$BX$1,0),FALSE)+VLOOKUP($B313,Kraftvärmeprod!$B$1:$BX$550,MATCH(AZ$2,Kraftvärmeprod!$B$1:$BX$1,0),FALSE))/$AC313,"")</f>
        <v>1</v>
      </c>
      <c r="BA313" s="228">
        <f>IF($AY313="ja",(VLOOKUP($B313,'Egen hetvattenprod'!$B$1:$BX$550,MATCH(BA$2,'Egen hetvattenprod'!$B$1:$BX$1,0),FALSE)+VLOOKUP($B313,Kraftvärmeprod!$B$1:$BX$550,MATCH(BA$2,Kraftvärmeprod!$B$1:$BX$1,0),FALSE))/$AC313,"")</f>
        <v>0</v>
      </c>
      <c r="BB313" s="228">
        <f>IF($AY313="ja",(VLOOKUP($B313,'Egen hetvattenprod'!$B$1:$BX$550,MATCH(BB$2,'Egen hetvattenprod'!$B$1:$BX$1,0),FALSE)+VLOOKUP($B313,Kraftvärmeprod!$B$1:$BX$550,MATCH(BB$2,Kraftvärmeprod!$B$1:$BX$1,0),FALSE))/$AC313,"")</f>
        <v>0</v>
      </c>
      <c r="BC313" s="228">
        <f>IF($AY313="ja",(VLOOKUP($B313,'Egen hetvattenprod'!$B$1:$BX$550,MATCH(BC$2,'Egen hetvattenprod'!$B$1:$BX$1,0),FALSE)+VLOOKUP($B313,Kraftvärmeprod!$B$1:$BX$550,MATCH(BC$2,Kraftvärmeprod!$B$1:$BX$1,0),FALSE))/$AC313,"")</f>
        <v>0</v>
      </c>
      <c r="BD313" s="228">
        <f>IF($AY313="ja",(VLOOKUP($B313,'Egen hetvattenprod'!$B$1:$BX$550,MATCH(BD$2,'Egen hetvattenprod'!$B$1:$BX$1,0),FALSE)+VLOOKUP($B313,Kraftvärmeprod!$B$1:$BX$550,MATCH(BD$2,Kraftvärmeprod!$B$1:$BX$1,0),FALSE))/$AC313,"")</f>
        <v>0</v>
      </c>
      <c r="BE313" s="227"/>
      <c r="BF313" s="227" t="str">
        <f t="shared" si="29"/>
        <v>Nej</v>
      </c>
      <c r="BG313" s="227" t="str">
        <f>IF($BF313="ja",VLOOKUP($B313,'Egen hetvattenprod'!$B$1:$BX$550,MATCH("Andelen klimatgaser med fossilt ursprung för avfall ()",'Egen hetvattenprod'!$B$1:$BX$1,0),FALSE),"")</f>
        <v/>
      </c>
      <c r="BH313" s="227" t="str">
        <f>IF($BF313="ja",VLOOKUP($B313,Kraftvärmeprod!$B$1:$BX$550,MATCH("Andelen klimatgaser med fossilt ursprung för avfall ()",Kraftvärmeprod!$B$1:$BX$1,0),FALSE),"")</f>
        <v/>
      </c>
      <c r="BI313" s="227" t="str">
        <f>IF($BF313="ja",VLOOKUP($B313,'Egen hetvattenprod'!$B$1:$BX$550,MATCH("Avfall (GWh)",'Egen hetvattenprod'!$B$1:$BX$1,0),FALSE),"")</f>
        <v/>
      </c>
      <c r="BJ313" s="227" t="str">
        <f>IF($BF313="ja",VLOOKUP($B313,'Slutlig allokering kvv'!$B$1:$BX$550,MATCH("Avfall (GWh)",'Slutlig allokering kvv'!$B$1:$BX$1,0),FALSE),"")</f>
        <v/>
      </c>
      <c r="BK313" s="227" t="str">
        <f>IF($BF313="ja",VLOOKUP($B313,'Köpt hetvatten'!$B$1:$BX$550,MATCH("Avfall i köpt hetvatten",'Köpt hetvatten'!$B$1:$BX$1,0),FALSE),"")</f>
        <v/>
      </c>
      <c r="BL313" s="227" t="str">
        <f>IF($BF313="ja",VLOOKUP($B313,'Egen hetvattenprod'!$B$1:$BX$550,MATCH("Värde enligt ovan. (%)",'Egen hetvattenprod'!$B$1:$BX$1,0),FALSE),"")</f>
        <v/>
      </c>
      <c r="BM313" s="227" t="str">
        <f>IF($BF313="ja",VLOOKUP($B313,Kraftvärmeprod!$B$1:$BX$550,MATCH("Värde enligt ovan. (%)",Kraftvärmeprod!$B$1:$BX$1,0),FALSE),"")</f>
        <v/>
      </c>
      <c r="BN313" s="227"/>
      <c r="BO313" s="227"/>
      <c r="BP313" s="227"/>
      <c r="BQ313" s="227" t="str">
        <f>IF($BF313="ja",VLOOKUP($B313,'Egen hetvattenprod'!$B$1:$BX$550,MATCH("Tillförd olja (fossil) vid avfallsförbränning (GWh)",'Egen hetvattenprod'!$B$1:$BX$1,0),FALSE),"")</f>
        <v/>
      </c>
      <c r="BR313" s="227" t="str">
        <f>IF($BF313="ja",VLOOKUP($B313,Kraftvärmeprod!$B$1:$BX$550,MATCH("Tillförd olja (fossil) vid avfallsförbränning (GWh)",Kraftvärmeprod!$B$1:$BX$1,0),FALSE),"")</f>
        <v/>
      </c>
      <c r="BS313" s="227"/>
      <c r="BT313" s="227"/>
      <c r="BU313" s="227"/>
    </row>
    <row r="314" spans="1:73" x14ac:dyDescent="0.25">
      <c r="A314" s="121" t="str">
        <f>'Miljövärden för publ företag'!B317</f>
        <v>Värmevärden AB</v>
      </c>
      <c r="B314" s="121" t="str">
        <f>'Miljövärden för publ företag'!C317</f>
        <v>Grums</v>
      </c>
      <c r="C314" s="173">
        <f>IFERROR(VLOOKUP($B314,Totalt!$B$1:$AQ$554,MATCH(C$2,Totalt!$B$1:$AQ$1,0),FALSE),"")</f>
        <v>0</v>
      </c>
      <c r="D314" s="173">
        <f>IFERROR(VLOOKUP($B314,Totalt!$B$1:$AQ$554,MATCH(D$2,Totalt!$B$1:$AQ$1,0),FALSE),"")</f>
        <v>4.4939999999999998</v>
      </c>
      <c r="E314" s="173">
        <f>IFERROR(VLOOKUP($B314,Totalt!$B$1:$AQ$554,MATCH(E$2,Totalt!$B$1:$AQ$1,0),FALSE),"")</f>
        <v>0.36853900000000001</v>
      </c>
      <c r="F314" s="173">
        <f>IFERROR(VLOOKUP($B314,Totalt!$B$1:$AQ$554,MATCH(F$2,Totalt!$B$1:$AQ$1,0),FALSE),"")</f>
        <v>0</v>
      </c>
      <c r="G314" s="173">
        <f>IFERROR(VLOOKUP($B314,Totalt!$B$1:$AQ$554,MATCH(G$2,Totalt!$B$1:$AQ$1,0),FALSE),"")</f>
        <v>0</v>
      </c>
      <c r="H314" s="173">
        <f>IFERROR(VLOOKUP($B314,Totalt!$B$1:$AQ$554,MATCH(H$2,Totalt!$B$1:$AQ$1,0),FALSE),"")</f>
        <v>0</v>
      </c>
      <c r="I314" s="173">
        <f>IFERROR(VLOOKUP($B314,Totalt!$B$1:$AQ$554,MATCH(I$2,Totalt!$B$1:$AQ$1,0),FALSE),"")</f>
        <v>0</v>
      </c>
      <c r="J314" s="173">
        <f>IFERROR(VLOOKUP($B314,Totalt!$B$1:$AQ$554,MATCH(J$2,Totalt!$B$1:$AQ$1,0),FALSE),"")</f>
        <v>0</v>
      </c>
      <c r="K314" s="173">
        <f>IFERROR(VLOOKUP($B314,Totalt!$B$1:$AQ$554,MATCH(K$2,Totalt!$B$1:$AQ$1,0),FALSE),"")</f>
        <v>0</v>
      </c>
      <c r="L314" s="173">
        <f>IFERROR(VLOOKUP($B314,Totalt!$B$1:$AQ$554,MATCH(L$2,Totalt!$B$1:$AQ$1,0),FALSE),"")</f>
        <v>0</v>
      </c>
      <c r="M314" s="173">
        <f>IFERROR(VLOOKUP($B314,Totalt!$B$1:$AQ$554,MATCH(M$2,Totalt!$B$1:$AQ$1,0),FALSE),"")</f>
        <v>0</v>
      </c>
      <c r="N314" s="173">
        <f>IFERROR(VLOOKUP($B314,Totalt!$B$1:$AQ$554,MATCH(N$2,Totalt!$B$1:$AQ$1,0),FALSE),"")</f>
        <v>0</v>
      </c>
      <c r="O314" s="173">
        <f>IFERROR(VLOOKUP($B314,Totalt!$B$1:$AQ$554,MATCH(O$2,Totalt!$B$1:$AQ$1,0),FALSE),"")</f>
        <v>0</v>
      </c>
      <c r="P314" s="173">
        <f>IFERROR(VLOOKUP($B314,Totalt!$B$1:$AQ$554,MATCH(P$2,Totalt!$B$1:$AQ$1,0),FALSE),"")</f>
        <v>0</v>
      </c>
      <c r="Q314" s="173">
        <f>IFERROR(VLOOKUP($B314,Totalt!$B$1:$AQ$554,MATCH(Q$2,Totalt!$B$1:$AQ$1,0),FALSE),"")</f>
        <v>0.74157300000000004</v>
      </c>
      <c r="R314" s="173">
        <f>IFERROR(VLOOKUP($B314,Totalt!$B$1:$AQ$554,MATCH(R$2,Totalt!$B$1:$AQ$1,0),FALSE),"")</f>
        <v>0</v>
      </c>
      <c r="S314" s="173">
        <f>IFERROR(VLOOKUP($B314,Totalt!$B$1:$AQ$554,MATCH(S$2,Totalt!$B$1:$AQ$1,0),FALSE),"")</f>
        <v>0</v>
      </c>
      <c r="T314" s="173">
        <f>IFERROR(VLOOKUP($B314,Totalt!$B$1:$AQ$554,MATCH(T$2,Totalt!$B$1:$AQ$1,0),FALSE),"")</f>
        <v>0</v>
      </c>
      <c r="U314" s="173">
        <f>IFERROR(VLOOKUP($B314,Totalt!$B$1:$AQ$554,MATCH(U$2,Totalt!$B$1:$AQ$1,0),FALSE),"")</f>
        <v>0</v>
      </c>
      <c r="V314" s="173">
        <f>IFERROR(VLOOKUP($B314,Totalt!$B$1:$AQ$554,MATCH(V$2,Totalt!$B$1:$AQ$1,0),FALSE),"")</f>
        <v>0</v>
      </c>
      <c r="W314" s="173">
        <f>IFERROR(VLOOKUP($B314,Totalt!$B$1:$AQ$554,MATCH(W$2,Totalt!$B$1:$AQ$1,0),FALSE),"")</f>
        <v>0</v>
      </c>
      <c r="X314" s="173">
        <f>IFERROR(VLOOKUP($B314,Totalt!$B$1:$AQ$554,MATCH(X$2,Totalt!$B$1:$AQ$1,0),FALSE),"")</f>
        <v>0</v>
      </c>
      <c r="Y314" s="173">
        <f>IFERROR(VLOOKUP($B314,Totalt!$B$1:$AQ$554,MATCH(Y$2,Totalt!$B$1:$AQ$1,0),FALSE),"")</f>
        <v>0</v>
      </c>
      <c r="Z314" s="173">
        <f>IFERROR(VLOOKUP($B314,Totalt!$B$1:$AQ$554,MATCH(Z$2,Totalt!$B$1:$AQ$1,0),FALSE),"")</f>
        <v>0</v>
      </c>
      <c r="AA314" s="173">
        <f>IFERROR(VLOOKUP($B314,Totalt!$B$1:$AQ$554,MATCH(AA$2,Totalt!$B$1:$AQ$1,0),FALSE),"")</f>
        <v>0</v>
      </c>
      <c r="AB314" s="173">
        <f>IFERROR(VLOOKUP($B314,Totalt!$B$1:$AQ$554,MATCH(AB$2,Totalt!$B$1:$AQ$1,0),FALSE),"")</f>
        <v>0</v>
      </c>
      <c r="AC314" s="173">
        <f>IFERROR(VLOOKUP($B314,Totalt!$B$1:$AQ$554,MATCH(AC$2,Totalt!$B$1:$AQ$1,0),FALSE),"")</f>
        <v>0</v>
      </c>
      <c r="AD314" s="173">
        <f>IFERROR(VLOOKUP($B314,Totalt!$B$1:$AQ$554,MATCH(AD$2,Totalt!$B$1:$AQ$1,0),FALSE),"")</f>
        <v>23.283999999999999</v>
      </c>
      <c r="AE314" s="173">
        <f>IFERROR(VLOOKUP($B314,Totalt!$B$1:$AQ$554,MATCH(AE$2,Totalt!$B$1:$AQ$1,0),FALSE),"")</f>
        <v>0</v>
      </c>
      <c r="AF314" s="173">
        <f>IFERROR(VLOOKUP($B314,Totalt!$B$1:$AQ$554,MATCH(AF$2,Totalt!$B$1:$AQ$1,0),FALSE),"")</f>
        <v>8.7999999999999995E-2</v>
      </c>
      <c r="AG314" s="173">
        <f>IFERROR(VLOOKUP($B314,Totalt!$B$1:$AQ$554,MATCH(AG$2,Totalt!$B$1:$AQ$1,0),FALSE),"")</f>
        <v>0</v>
      </c>
      <c r="AI314" s="226">
        <f t="shared" si="24"/>
        <v>28.976112000000001</v>
      </c>
      <c r="AJ314" s="226">
        <f>IF(ISERROR(1/VLOOKUP($B314,Leveranser!$B$1:$S$500,MATCH("såld värme (gwh)",Leveranser!$B$1:$S$1,0),FALSE)),"",VLOOKUP($B314,Leveranser!$B$1:$S$500,MATCH("såld värme (gwh)",Leveranser!$B$1:$S$1,0),FALSE))</f>
        <v>21.974</v>
      </c>
      <c r="AM314" s="227" t="str">
        <f>IF(B314&lt;&gt;"",IF(VLOOKUP($B314,Totalt!$B$1:$AQ$554,MATCH("Kvalitetsgranskad:",Totalt!$B$1:$AQ$1,0),FALSE)="ja",VLOOKUP($B314,Miljö!$B$1:$AG$479,MATCH(AM$2,Miljö!$B$1:$AK$1,0),FALSE),""),"")</f>
        <v>Nej</v>
      </c>
      <c r="AN314" s="227" t="str">
        <f>IF(AM314="ja",VLOOKUP($B314,Miljö!$B$1:$J$479,MATCH("Typ av ursprungsspecificerad el   (Om inget värde anges används Nordisk residualmix, se inforuta) ()",Miljö!$B$1:$J$1,0),FALSE),IF(AM314="nej","Nordisk residualel",""))</f>
        <v>Nordisk residualel</v>
      </c>
      <c r="AO314" s="227">
        <f>IF(AM314="","",VLOOKUP($B314,Miljö!$B$1:$J$479,MATCH("Fossilandel för ursprungspecificerad el ()",Miljö!$B$1:$J$1,0),FALSE))</f>
        <v>0.43</v>
      </c>
      <c r="AP314" s="227">
        <f>IF(AM314="","",IFERROR(VLOOKUP($B314,Miljö!$B$1:$J$479,MATCH("Kärnkraftsandel för ursprungsspecificerad el ()",Miljö!$B$1:$J$1,0),FALSE)/1,0))</f>
        <v>0.40550000000000003</v>
      </c>
      <c r="AQ314" s="227">
        <f t="shared" si="25"/>
        <v>0.16450000000000004</v>
      </c>
      <c r="AR314" s="227"/>
      <c r="AS314" s="227" t="str">
        <f t="shared" si="26"/>
        <v>Nej</v>
      </c>
      <c r="AT314" s="227" t="str">
        <f>IF(AS314="ja",VLOOKUP($B314,Miljö!$B$1:$O$500,MATCH("Fossil andel i procent (%)",Miljö!$B$1:$O$1,0),FALSE)/100,"")</f>
        <v/>
      </c>
      <c r="AU314" s="227"/>
      <c r="AV314" s="227" t="str">
        <f t="shared" si="27"/>
        <v>Nej</v>
      </c>
      <c r="AW314" s="227" t="str">
        <f>IF(AV314="ja",VLOOKUP($B314,'Egen hetvattenprod'!$B$1:$AO$500,MATCH("Värmekälla till värmepumpar ()",'Egen hetvattenprod'!$B$1:$AO$1,0),FALSE),"")</f>
        <v/>
      </c>
      <c r="AX314" s="227"/>
      <c r="AY314" s="227" t="str">
        <f t="shared" si="28"/>
        <v>Nej</v>
      </c>
      <c r="AZ314" s="228" t="str">
        <f>IF($AY314="ja",(VLOOKUP($B314,'Egen hetvattenprod'!$B$1:$BX$550,MATCH(AZ$2,'Egen hetvattenprod'!$B$1:$BX$1,0),FALSE)+VLOOKUP($B314,Kraftvärmeprod!$B$1:$BX$550,MATCH(AZ$2,Kraftvärmeprod!$B$1:$BX$1,0),FALSE))/$AC314,"")</f>
        <v/>
      </c>
      <c r="BA314" s="228" t="str">
        <f>IF($AY314="ja",(VLOOKUP($B314,'Egen hetvattenprod'!$B$1:$BX$550,MATCH(BA$2,'Egen hetvattenprod'!$B$1:$BX$1,0),FALSE)+VLOOKUP($B314,Kraftvärmeprod!$B$1:$BX$550,MATCH(BA$2,Kraftvärmeprod!$B$1:$BX$1,0),FALSE))/$AC314,"")</f>
        <v/>
      </c>
      <c r="BB314" s="228" t="str">
        <f>IF($AY314="ja",(VLOOKUP($B314,'Egen hetvattenprod'!$B$1:$BX$550,MATCH(BB$2,'Egen hetvattenprod'!$B$1:$BX$1,0),FALSE)+VLOOKUP($B314,Kraftvärmeprod!$B$1:$BX$550,MATCH(BB$2,Kraftvärmeprod!$B$1:$BX$1,0),FALSE))/$AC314,"")</f>
        <v/>
      </c>
      <c r="BC314" s="228" t="str">
        <f>IF($AY314="ja",(VLOOKUP($B314,'Egen hetvattenprod'!$B$1:$BX$550,MATCH(BC$2,'Egen hetvattenprod'!$B$1:$BX$1,0),FALSE)+VLOOKUP($B314,Kraftvärmeprod!$B$1:$BX$550,MATCH(BC$2,Kraftvärmeprod!$B$1:$BX$1,0),FALSE))/$AC314,"")</f>
        <v/>
      </c>
      <c r="BD314" s="228" t="str">
        <f>IF($AY314="ja",(VLOOKUP($B314,'Egen hetvattenprod'!$B$1:$BX$550,MATCH(BD$2,'Egen hetvattenprod'!$B$1:$BX$1,0),FALSE)+VLOOKUP($B314,Kraftvärmeprod!$B$1:$BX$550,MATCH(BD$2,Kraftvärmeprod!$B$1:$BX$1,0),FALSE))/$AC314,"")</f>
        <v/>
      </c>
      <c r="BE314" s="227"/>
      <c r="BF314" s="227" t="str">
        <f t="shared" si="29"/>
        <v>Nej</v>
      </c>
      <c r="BG314" s="227" t="str">
        <f>IF($BF314="ja",VLOOKUP($B314,'Egen hetvattenprod'!$B$1:$BX$550,MATCH("Andelen klimatgaser med fossilt ursprung för avfall ()",'Egen hetvattenprod'!$B$1:$BX$1,0),FALSE),"")</f>
        <v/>
      </c>
      <c r="BH314" s="227" t="str">
        <f>IF($BF314="ja",VLOOKUP($B314,Kraftvärmeprod!$B$1:$BX$550,MATCH("Andelen klimatgaser med fossilt ursprung för avfall ()",Kraftvärmeprod!$B$1:$BX$1,0),FALSE),"")</f>
        <v/>
      </c>
      <c r="BI314" s="227" t="str">
        <f>IF($BF314="ja",VLOOKUP($B314,'Egen hetvattenprod'!$B$1:$BX$550,MATCH("Avfall (GWh)",'Egen hetvattenprod'!$B$1:$BX$1,0),FALSE),"")</f>
        <v/>
      </c>
      <c r="BJ314" s="227" t="str">
        <f>IF($BF314="ja",VLOOKUP($B314,'Slutlig allokering kvv'!$B$1:$BX$550,MATCH("Avfall (GWh)",'Slutlig allokering kvv'!$B$1:$BX$1,0),FALSE),"")</f>
        <v/>
      </c>
      <c r="BK314" s="227" t="str">
        <f>IF($BF314="ja",VLOOKUP($B314,'Köpt hetvatten'!$B$1:$BX$550,MATCH("Avfall i köpt hetvatten",'Köpt hetvatten'!$B$1:$BX$1,0),FALSE),"")</f>
        <v/>
      </c>
      <c r="BL314" s="227" t="str">
        <f>IF($BF314="ja",VLOOKUP($B314,'Egen hetvattenprod'!$B$1:$BX$550,MATCH("Värde enligt ovan. (%)",'Egen hetvattenprod'!$B$1:$BX$1,0),FALSE),"")</f>
        <v/>
      </c>
      <c r="BM314" s="227" t="str">
        <f>IF($BF314="ja",VLOOKUP($B314,Kraftvärmeprod!$B$1:$BX$550,MATCH("Värde enligt ovan. (%)",Kraftvärmeprod!$B$1:$BX$1,0),FALSE),"")</f>
        <v/>
      </c>
      <c r="BN314" s="227"/>
      <c r="BO314" s="227"/>
      <c r="BP314" s="227"/>
      <c r="BQ314" s="227" t="str">
        <f>IF($BF314="ja",VLOOKUP($B314,'Egen hetvattenprod'!$B$1:$BX$550,MATCH("Tillförd olja (fossil) vid avfallsförbränning (GWh)",'Egen hetvattenprod'!$B$1:$BX$1,0),FALSE),"")</f>
        <v/>
      </c>
      <c r="BR314" s="227" t="str">
        <f>IF($BF314="ja",VLOOKUP($B314,Kraftvärmeprod!$B$1:$BX$550,MATCH("Tillförd olja (fossil) vid avfallsförbränning (GWh)",Kraftvärmeprod!$B$1:$BX$1,0),FALSE),"")</f>
        <v/>
      </c>
      <c r="BS314" s="227"/>
      <c r="BT314" s="227"/>
      <c r="BU314" s="227"/>
    </row>
    <row r="315" spans="1:73" x14ac:dyDescent="0.25">
      <c r="A315" s="121" t="str">
        <f>'Miljövärden för publ företag'!B318</f>
        <v>Värmevärden AB</v>
      </c>
      <c r="B315" s="121" t="str">
        <f>'Miljövärden för publ företag'!C318</f>
        <v>Grythyttan</v>
      </c>
      <c r="C315" s="173">
        <f>IFERROR(VLOOKUP($B315,Totalt!$B$1:$AQ$554,MATCH(C$2,Totalt!$B$1:$AQ$1,0),FALSE),"")</f>
        <v>0</v>
      </c>
      <c r="D315" s="173">
        <f>IFERROR(VLOOKUP($B315,Totalt!$B$1:$AQ$554,MATCH(D$2,Totalt!$B$1:$AQ$1,0),FALSE),"")</f>
        <v>0.316</v>
      </c>
      <c r="E315" s="173">
        <f>IFERROR(VLOOKUP($B315,Totalt!$B$1:$AQ$554,MATCH(E$2,Totalt!$B$1:$AQ$1,0),FALSE),"")</f>
        <v>0</v>
      </c>
      <c r="F315" s="173">
        <f>IFERROR(VLOOKUP($B315,Totalt!$B$1:$AQ$554,MATCH(F$2,Totalt!$B$1:$AQ$1,0),FALSE),"")</f>
        <v>0</v>
      </c>
      <c r="G315" s="173">
        <f>IFERROR(VLOOKUP($B315,Totalt!$B$1:$AQ$554,MATCH(G$2,Totalt!$B$1:$AQ$1,0),FALSE),"")</f>
        <v>0</v>
      </c>
      <c r="H315" s="173">
        <f>IFERROR(VLOOKUP($B315,Totalt!$B$1:$AQ$554,MATCH(H$2,Totalt!$B$1:$AQ$1,0),FALSE),"")</f>
        <v>0</v>
      </c>
      <c r="I315" s="173">
        <f>IFERROR(VLOOKUP($B315,Totalt!$B$1:$AQ$554,MATCH(I$2,Totalt!$B$1:$AQ$1,0),FALSE),"")</f>
        <v>0</v>
      </c>
      <c r="J315" s="173">
        <f>IFERROR(VLOOKUP($B315,Totalt!$B$1:$AQ$554,MATCH(J$2,Totalt!$B$1:$AQ$1,0),FALSE),"")</f>
        <v>0</v>
      </c>
      <c r="K315" s="173">
        <f>IFERROR(VLOOKUP($B315,Totalt!$B$1:$AQ$554,MATCH(K$2,Totalt!$B$1:$AQ$1,0),FALSE),"")</f>
        <v>0</v>
      </c>
      <c r="L315" s="173">
        <f>IFERROR(VLOOKUP($B315,Totalt!$B$1:$AQ$554,MATCH(L$2,Totalt!$B$1:$AQ$1,0),FALSE),"")</f>
        <v>0</v>
      </c>
      <c r="M315" s="173">
        <f>IFERROR(VLOOKUP($B315,Totalt!$B$1:$AQ$554,MATCH(M$2,Totalt!$B$1:$AQ$1,0),FALSE),"")</f>
        <v>0</v>
      </c>
      <c r="N315" s="173">
        <f>IFERROR(VLOOKUP($B315,Totalt!$B$1:$AQ$554,MATCH(N$2,Totalt!$B$1:$AQ$1,0),FALSE),"")</f>
        <v>0</v>
      </c>
      <c r="O315" s="173">
        <f>IFERROR(VLOOKUP($B315,Totalt!$B$1:$AQ$554,MATCH(O$2,Totalt!$B$1:$AQ$1,0),FALSE),"")</f>
        <v>0</v>
      </c>
      <c r="P315" s="173">
        <f>IFERROR(VLOOKUP($B315,Totalt!$B$1:$AQ$554,MATCH(P$2,Totalt!$B$1:$AQ$1,0),FALSE),"")</f>
        <v>0</v>
      </c>
      <c r="Q315" s="173">
        <f>IFERROR(VLOOKUP($B315,Totalt!$B$1:$AQ$554,MATCH(Q$2,Totalt!$B$1:$AQ$1,0),FALSE),"")</f>
        <v>0</v>
      </c>
      <c r="R315" s="173">
        <f>IFERROR(VLOOKUP($B315,Totalt!$B$1:$AQ$554,MATCH(R$2,Totalt!$B$1:$AQ$1,0),FALSE),"")</f>
        <v>0</v>
      </c>
      <c r="S315" s="173">
        <f>IFERROR(VLOOKUP($B315,Totalt!$B$1:$AQ$554,MATCH(S$2,Totalt!$B$1:$AQ$1,0),FALSE),"")</f>
        <v>7.12</v>
      </c>
      <c r="T315" s="173">
        <f>IFERROR(VLOOKUP($B315,Totalt!$B$1:$AQ$554,MATCH(T$2,Totalt!$B$1:$AQ$1,0),FALSE),"")</f>
        <v>0</v>
      </c>
      <c r="U315" s="173">
        <f>IFERROR(VLOOKUP($B315,Totalt!$B$1:$AQ$554,MATCH(U$2,Totalt!$B$1:$AQ$1,0),FALSE),"")</f>
        <v>0</v>
      </c>
      <c r="V315" s="173">
        <f>IFERROR(VLOOKUP($B315,Totalt!$B$1:$AQ$554,MATCH(V$2,Totalt!$B$1:$AQ$1,0),FALSE),"")</f>
        <v>0</v>
      </c>
      <c r="W315" s="173">
        <f>IFERROR(VLOOKUP($B315,Totalt!$B$1:$AQ$554,MATCH(W$2,Totalt!$B$1:$AQ$1,0),FALSE),"")</f>
        <v>0</v>
      </c>
      <c r="X315" s="173">
        <f>IFERROR(VLOOKUP($B315,Totalt!$B$1:$AQ$554,MATCH(X$2,Totalt!$B$1:$AQ$1,0),FALSE),"")</f>
        <v>0</v>
      </c>
      <c r="Y315" s="173">
        <f>IFERROR(VLOOKUP($B315,Totalt!$B$1:$AQ$554,MATCH(Y$2,Totalt!$B$1:$AQ$1,0),FALSE),"")</f>
        <v>0</v>
      </c>
      <c r="Z315" s="173">
        <f>IFERROR(VLOOKUP($B315,Totalt!$B$1:$AQ$554,MATCH(Z$2,Totalt!$B$1:$AQ$1,0),FALSE),"")</f>
        <v>0</v>
      </c>
      <c r="AA315" s="173">
        <f>IFERROR(VLOOKUP($B315,Totalt!$B$1:$AQ$554,MATCH(AA$2,Totalt!$B$1:$AQ$1,0),FALSE),"")</f>
        <v>0</v>
      </c>
      <c r="AB315" s="173">
        <f>IFERROR(VLOOKUP($B315,Totalt!$B$1:$AQ$554,MATCH(AB$2,Totalt!$B$1:$AQ$1,0),FALSE),"")</f>
        <v>0</v>
      </c>
      <c r="AC315" s="173">
        <f>IFERROR(VLOOKUP($B315,Totalt!$B$1:$AQ$554,MATCH(AC$2,Totalt!$B$1:$AQ$1,0),FALSE),"")</f>
        <v>0</v>
      </c>
      <c r="AD315" s="173">
        <f>IFERROR(VLOOKUP($B315,Totalt!$B$1:$AQ$554,MATCH(AD$2,Totalt!$B$1:$AQ$1,0),FALSE),"")</f>
        <v>0</v>
      </c>
      <c r="AE315" s="173">
        <f>IFERROR(VLOOKUP($B315,Totalt!$B$1:$AQ$554,MATCH(AE$2,Totalt!$B$1:$AQ$1,0),FALSE),"")</f>
        <v>0</v>
      </c>
      <c r="AF315" s="173">
        <f>IFERROR(VLOOKUP($B315,Totalt!$B$1:$AQ$554,MATCH(AF$2,Totalt!$B$1:$AQ$1,0),FALSE),"")</f>
        <v>0.125</v>
      </c>
      <c r="AG315" s="173">
        <f>IFERROR(VLOOKUP($B315,Totalt!$B$1:$AQ$554,MATCH(AG$2,Totalt!$B$1:$AQ$1,0),FALSE),"")</f>
        <v>0</v>
      </c>
      <c r="AI315" s="226">
        <f t="shared" si="24"/>
        <v>7.5609999999999999</v>
      </c>
      <c r="AJ315" s="226">
        <f>IF(ISERROR(1/VLOOKUP($B315,Leveranser!$B$1:$S$500,MATCH("såld värme (gwh)",Leveranser!$B$1:$S$1,0),FALSE)),"",VLOOKUP($B315,Leveranser!$B$1:$S$500,MATCH("såld värme (gwh)",Leveranser!$B$1:$S$1,0),FALSE))</f>
        <v>5.8</v>
      </c>
      <c r="AM315" s="227" t="str">
        <f>IF(B315&lt;&gt;"",IF(VLOOKUP($B315,Totalt!$B$1:$AQ$554,MATCH("Kvalitetsgranskad:",Totalt!$B$1:$AQ$1,0),FALSE)="ja",VLOOKUP($B315,Miljö!$B$1:$AG$479,MATCH(AM$2,Miljö!$B$1:$AK$1,0),FALSE),""),"")</f>
        <v>Ja</v>
      </c>
      <c r="AN315" s="227" t="str">
        <f>IF(AM315="ja",VLOOKUP($B315,Miljö!$B$1:$J$479,MATCH("Typ av ursprungsspecificerad el   (Om inget värde anges används Nordisk residualmix, se inforuta) ()",Miljö!$B$1:$J$1,0),FALSE),IF(AM315="nej","Nordisk residualel",""))</f>
        <v>'Bioel'</v>
      </c>
      <c r="AO315" s="227">
        <f>IF(AM315="","",VLOOKUP($B315,Miljö!$B$1:$J$479,MATCH("Fossilandel för ursprungspecificerad el ()",Miljö!$B$1:$J$1,0),FALSE))</f>
        <v>0</v>
      </c>
      <c r="AP315" s="227">
        <f>IF(AM315="","",IFERROR(VLOOKUP($B315,Miljö!$B$1:$J$479,MATCH("Kärnkraftsandel för ursprungsspecificerad el ()",Miljö!$B$1:$J$1,0),FALSE)/1,0))</f>
        <v>0</v>
      </c>
      <c r="AQ315" s="227">
        <f t="shared" si="25"/>
        <v>1</v>
      </c>
      <c r="AR315" s="227"/>
      <c r="AS315" s="227" t="str">
        <f t="shared" si="26"/>
        <v>Nej</v>
      </c>
      <c r="AT315" s="227" t="str">
        <f>IF(AS315="ja",VLOOKUP($B315,Miljö!$B$1:$O$500,MATCH("Fossil andel i procent (%)",Miljö!$B$1:$O$1,0),FALSE)/100,"")</f>
        <v/>
      </c>
      <c r="AU315" s="227"/>
      <c r="AV315" s="227" t="str">
        <f t="shared" si="27"/>
        <v>Nej</v>
      </c>
      <c r="AW315" s="227" t="str">
        <f>IF(AV315="ja",VLOOKUP($B315,'Egen hetvattenprod'!$B$1:$AO$500,MATCH("Värmekälla till värmepumpar ()",'Egen hetvattenprod'!$B$1:$AO$1,0),FALSE),"")</f>
        <v/>
      </c>
      <c r="AX315" s="227"/>
      <c r="AY315" s="227" t="str">
        <f t="shared" si="28"/>
        <v>Nej</v>
      </c>
      <c r="AZ315" s="228" t="str">
        <f>IF($AY315="ja",(VLOOKUP($B315,'Egen hetvattenprod'!$B$1:$BX$550,MATCH(AZ$2,'Egen hetvattenprod'!$B$1:$BX$1,0),FALSE)+VLOOKUP($B315,Kraftvärmeprod!$B$1:$BX$550,MATCH(AZ$2,Kraftvärmeprod!$B$1:$BX$1,0),FALSE))/$AC315,"")</f>
        <v/>
      </c>
      <c r="BA315" s="228" t="str">
        <f>IF($AY315="ja",(VLOOKUP($B315,'Egen hetvattenprod'!$B$1:$BX$550,MATCH(BA$2,'Egen hetvattenprod'!$B$1:$BX$1,0),FALSE)+VLOOKUP($B315,Kraftvärmeprod!$B$1:$BX$550,MATCH(BA$2,Kraftvärmeprod!$B$1:$BX$1,0),FALSE))/$AC315,"")</f>
        <v/>
      </c>
      <c r="BB315" s="228" t="str">
        <f>IF($AY315="ja",(VLOOKUP($B315,'Egen hetvattenprod'!$B$1:$BX$550,MATCH(BB$2,'Egen hetvattenprod'!$B$1:$BX$1,0),FALSE)+VLOOKUP($B315,Kraftvärmeprod!$B$1:$BX$550,MATCH(BB$2,Kraftvärmeprod!$B$1:$BX$1,0),FALSE))/$AC315,"")</f>
        <v/>
      </c>
      <c r="BC315" s="228" t="str">
        <f>IF($AY315="ja",(VLOOKUP($B315,'Egen hetvattenprod'!$B$1:$BX$550,MATCH(BC$2,'Egen hetvattenprod'!$B$1:$BX$1,0),FALSE)+VLOOKUP($B315,Kraftvärmeprod!$B$1:$BX$550,MATCH(BC$2,Kraftvärmeprod!$B$1:$BX$1,0),FALSE))/$AC315,"")</f>
        <v/>
      </c>
      <c r="BD315" s="228" t="str">
        <f>IF($AY315="ja",(VLOOKUP($B315,'Egen hetvattenprod'!$B$1:$BX$550,MATCH(BD$2,'Egen hetvattenprod'!$B$1:$BX$1,0),FALSE)+VLOOKUP($B315,Kraftvärmeprod!$B$1:$BX$550,MATCH(BD$2,Kraftvärmeprod!$B$1:$BX$1,0),FALSE))/$AC315,"")</f>
        <v/>
      </c>
      <c r="BE315" s="227"/>
      <c r="BF315" s="227" t="str">
        <f t="shared" si="29"/>
        <v>Nej</v>
      </c>
      <c r="BG315" s="227" t="str">
        <f>IF($BF315="ja",VLOOKUP($B315,'Egen hetvattenprod'!$B$1:$BX$550,MATCH("Andelen klimatgaser med fossilt ursprung för avfall ()",'Egen hetvattenprod'!$B$1:$BX$1,0),FALSE),"")</f>
        <v/>
      </c>
      <c r="BH315" s="227" t="str">
        <f>IF($BF315="ja",VLOOKUP($B315,Kraftvärmeprod!$B$1:$BX$550,MATCH("Andelen klimatgaser med fossilt ursprung för avfall ()",Kraftvärmeprod!$B$1:$BX$1,0),FALSE),"")</f>
        <v/>
      </c>
      <c r="BI315" s="227" t="str">
        <f>IF($BF315="ja",VLOOKUP($B315,'Egen hetvattenprod'!$B$1:$BX$550,MATCH("Avfall (GWh)",'Egen hetvattenprod'!$B$1:$BX$1,0),FALSE),"")</f>
        <v/>
      </c>
      <c r="BJ315" s="227" t="str">
        <f>IF($BF315="ja",VLOOKUP($B315,'Slutlig allokering kvv'!$B$1:$BX$550,MATCH("Avfall (GWh)",'Slutlig allokering kvv'!$B$1:$BX$1,0),FALSE),"")</f>
        <v/>
      </c>
      <c r="BK315" s="227" t="str">
        <f>IF($BF315="ja",VLOOKUP($B315,'Köpt hetvatten'!$B$1:$BX$550,MATCH("Avfall i köpt hetvatten",'Köpt hetvatten'!$B$1:$BX$1,0),FALSE),"")</f>
        <v/>
      </c>
      <c r="BL315" s="227" t="str">
        <f>IF($BF315="ja",VLOOKUP($B315,'Egen hetvattenprod'!$B$1:$BX$550,MATCH("Värde enligt ovan. (%)",'Egen hetvattenprod'!$B$1:$BX$1,0),FALSE),"")</f>
        <v/>
      </c>
      <c r="BM315" s="227" t="str">
        <f>IF($BF315="ja",VLOOKUP($B315,Kraftvärmeprod!$B$1:$BX$550,MATCH("Värde enligt ovan. (%)",Kraftvärmeprod!$B$1:$BX$1,0),FALSE),"")</f>
        <v/>
      </c>
      <c r="BN315" s="227"/>
      <c r="BO315" s="227"/>
      <c r="BP315" s="227"/>
      <c r="BQ315" s="227" t="str">
        <f>IF($BF315="ja",VLOOKUP($B315,'Egen hetvattenprod'!$B$1:$BX$550,MATCH("Tillförd olja (fossil) vid avfallsförbränning (GWh)",'Egen hetvattenprod'!$B$1:$BX$1,0),FALSE),"")</f>
        <v/>
      </c>
      <c r="BR315" s="227" t="str">
        <f>IF($BF315="ja",VLOOKUP($B315,Kraftvärmeprod!$B$1:$BX$550,MATCH("Tillförd olja (fossil) vid avfallsförbränning (GWh)",Kraftvärmeprod!$B$1:$BX$1,0),FALSE),"")</f>
        <v/>
      </c>
      <c r="BS315" s="227"/>
      <c r="BT315" s="227"/>
      <c r="BU315" s="227"/>
    </row>
    <row r="316" spans="1:73" x14ac:dyDescent="0.25">
      <c r="A316" s="121" t="str">
        <f>'Miljövärden för publ företag'!B319</f>
        <v>Värmevärden AB</v>
      </c>
      <c r="B316" s="121" t="str">
        <f>'Miljövärden för publ företag'!C319</f>
        <v>Hofors(Värmevärden)</v>
      </c>
      <c r="C316" s="173">
        <f>IFERROR(VLOOKUP($B316,Totalt!$B$1:$AQ$554,MATCH(C$2,Totalt!$B$1:$AQ$1,0),FALSE),"")</f>
        <v>0</v>
      </c>
      <c r="D316" s="173">
        <f>IFERROR(VLOOKUP($B316,Totalt!$B$1:$AQ$554,MATCH(D$2,Totalt!$B$1:$AQ$1,0),FALSE),"")</f>
        <v>0</v>
      </c>
      <c r="E316" s="173">
        <f>IFERROR(VLOOKUP($B316,Totalt!$B$1:$AQ$554,MATCH(E$2,Totalt!$B$1:$AQ$1,0),FALSE),"")</f>
        <v>0</v>
      </c>
      <c r="F316" s="173">
        <f>IFERROR(VLOOKUP($B316,Totalt!$B$1:$AQ$554,MATCH(F$2,Totalt!$B$1:$AQ$1,0),FALSE),"")</f>
        <v>3.0247999999999999</v>
      </c>
      <c r="G316" s="173">
        <f>IFERROR(VLOOKUP($B316,Totalt!$B$1:$AQ$554,MATCH(G$2,Totalt!$B$1:$AQ$1,0),FALSE),"")</f>
        <v>0</v>
      </c>
      <c r="H316" s="173">
        <f>IFERROR(VLOOKUP($B316,Totalt!$B$1:$AQ$554,MATCH(H$2,Totalt!$B$1:$AQ$1,0),FALSE),"")</f>
        <v>0</v>
      </c>
      <c r="I316" s="173">
        <f>IFERROR(VLOOKUP($B316,Totalt!$B$1:$AQ$554,MATCH(I$2,Totalt!$B$1:$AQ$1,0),FALSE),"")</f>
        <v>0</v>
      </c>
      <c r="J316" s="173">
        <f>IFERROR(VLOOKUP($B316,Totalt!$B$1:$AQ$554,MATCH(J$2,Totalt!$B$1:$AQ$1,0),FALSE),"")</f>
        <v>0</v>
      </c>
      <c r="K316" s="173">
        <f>IFERROR(VLOOKUP($B316,Totalt!$B$1:$AQ$554,MATCH(K$2,Totalt!$B$1:$AQ$1,0),FALSE),"")</f>
        <v>0</v>
      </c>
      <c r="L316" s="173">
        <f>IFERROR(VLOOKUP($B316,Totalt!$B$1:$AQ$554,MATCH(L$2,Totalt!$B$1:$AQ$1,0),FALSE),"")</f>
        <v>0</v>
      </c>
      <c r="M316" s="173">
        <f>IFERROR(VLOOKUP($B316,Totalt!$B$1:$AQ$554,MATCH(M$2,Totalt!$B$1:$AQ$1,0),FALSE),"")</f>
        <v>0</v>
      </c>
      <c r="N316" s="173">
        <f>IFERROR(VLOOKUP($B316,Totalt!$B$1:$AQ$554,MATCH(N$2,Totalt!$B$1:$AQ$1,0),FALSE),"")</f>
        <v>0</v>
      </c>
      <c r="O316" s="173">
        <f>IFERROR(VLOOKUP($B316,Totalt!$B$1:$AQ$554,MATCH(O$2,Totalt!$B$1:$AQ$1,0),FALSE),"")</f>
        <v>43.165900000000001</v>
      </c>
      <c r="P316" s="173">
        <f>IFERROR(VLOOKUP($B316,Totalt!$B$1:$AQ$554,MATCH(P$2,Totalt!$B$1:$AQ$1,0),FALSE),"")</f>
        <v>17.516200000000001</v>
      </c>
      <c r="Q316" s="173">
        <f>IFERROR(VLOOKUP($B316,Totalt!$B$1:$AQ$554,MATCH(Q$2,Totalt!$B$1:$AQ$1,0),FALSE),"")</f>
        <v>6.9790900000000002</v>
      </c>
      <c r="R316" s="173">
        <f>IFERROR(VLOOKUP($B316,Totalt!$B$1:$AQ$554,MATCH(R$2,Totalt!$B$1:$AQ$1,0),FALSE),"")</f>
        <v>0</v>
      </c>
      <c r="S316" s="173">
        <f>IFERROR(VLOOKUP($B316,Totalt!$B$1:$AQ$554,MATCH(S$2,Totalt!$B$1:$AQ$1,0),FALSE),"")</f>
        <v>0</v>
      </c>
      <c r="T316" s="173">
        <f>IFERROR(VLOOKUP($B316,Totalt!$B$1:$AQ$554,MATCH(T$2,Totalt!$B$1:$AQ$1,0),FALSE),"")</f>
        <v>0</v>
      </c>
      <c r="U316" s="173">
        <f>IFERROR(VLOOKUP($B316,Totalt!$B$1:$AQ$554,MATCH(U$2,Totalt!$B$1:$AQ$1,0),FALSE),"")</f>
        <v>0</v>
      </c>
      <c r="V316" s="173">
        <f>IFERROR(VLOOKUP($B316,Totalt!$B$1:$AQ$554,MATCH(V$2,Totalt!$B$1:$AQ$1,0),FALSE),"")</f>
        <v>0</v>
      </c>
      <c r="W316" s="173">
        <f>IFERROR(VLOOKUP($B316,Totalt!$B$1:$AQ$554,MATCH(W$2,Totalt!$B$1:$AQ$1,0),FALSE),"")</f>
        <v>0</v>
      </c>
      <c r="X316" s="173">
        <f>IFERROR(VLOOKUP($B316,Totalt!$B$1:$AQ$554,MATCH(X$2,Totalt!$B$1:$AQ$1,0),FALSE),"")</f>
        <v>0</v>
      </c>
      <c r="Y316" s="173">
        <f>IFERROR(VLOOKUP($B316,Totalt!$B$1:$AQ$554,MATCH(Y$2,Totalt!$B$1:$AQ$1,0),FALSE),"")</f>
        <v>0</v>
      </c>
      <c r="Z316" s="173">
        <f>IFERROR(VLOOKUP($B316,Totalt!$B$1:$AQ$554,MATCH(Z$2,Totalt!$B$1:$AQ$1,0),FALSE),"")</f>
        <v>0</v>
      </c>
      <c r="AA316" s="173">
        <f>IFERROR(VLOOKUP($B316,Totalt!$B$1:$AQ$554,MATCH(AA$2,Totalt!$B$1:$AQ$1,0),FALSE),"")</f>
        <v>0</v>
      </c>
      <c r="AB316" s="173">
        <f>IFERROR(VLOOKUP($B316,Totalt!$B$1:$AQ$554,MATCH(AB$2,Totalt!$B$1:$AQ$1,0),FALSE),"")</f>
        <v>0</v>
      </c>
      <c r="AC316" s="173">
        <f>IFERROR(VLOOKUP($B316,Totalt!$B$1:$AQ$554,MATCH(AC$2,Totalt!$B$1:$AQ$1,0),FALSE),"")</f>
        <v>6.3579999999999997</v>
      </c>
      <c r="AD316" s="173">
        <f>IFERROR(VLOOKUP($B316,Totalt!$B$1:$AQ$554,MATCH(AD$2,Totalt!$B$1:$AQ$1,0),FALSE),"")</f>
        <v>35.323</v>
      </c>
      <c r="AE316" s="173">
        <f>IFERROR(VLOOKUP($B316,Totalt!$B$1:$AQ$554,MATCH(AE$2,Totalt!$B$1:$AQ$1,0),FALSE),"")</f>
        <v>0</v>
      </c>
      <c r="AF316" s="173">
        <f>IFERROR(VLOOKUP($B316,Totalt!$B$1:$AQ$554,MATCH(AF$2,Totalt!$B$1:$AQ$1,0),FALSE),"")</f>
        <v>2.1694900000000001</v>
      </c>
      <c r="AG316" s="173">
        <f>IFERROR(VLOOKUP($B316,Totalt!$B$1:$AQ$554,MATCH(AG$2,Totalt!$B$1:$AQ$1,0),FALSE),"")</f>
        <v>0</v>
      </c>
      <c r="AI316" s="226">
        <f t="shared" si="24"/>
        <v>114.53648000000001</v>
      </c>
      <c r="AJ316" s="226">
        <f>IF(ISERROR(1/VLOOKUP($B316,Leveranser!$B$1:$S$500,MATCH("såld värme (gwh)",Leveranser!$B$1:$S$1,0),FALSE)),"",VLOOKUP($B316,Leveranser!$B$1:$S$500,MATCH("såld värme (gwh)",Leveranser!$B$1:$S$1,0),FALSE))</f>
        <v>97.2</v>
      </c>
      <c r="AM316" s="227" t="str">
        <f>IF(B316&lt;&gt;"",IF(VLOOKUP($B316,Totalt!$B$1:$AQ$554,MATCH("Kvalitetsgranskad:",Totalt!$B$1:$AQ$1,0),FALSE)="ja",VLOOKUP($B316,Miljö!$B$1:$AG$479,MATCH(AM$2,Miljö!$B$1:$AK$1,0),FALSE),""),"")</f>
        <v>Nej</v>
      </c>
      <c r="AN316" s="227" t="str">
        <f>IF(AM316="ja",VLOOKUP($B316,Miljö!$B$1:$J$479,MATCH("Typ av ursprungsspecificerad el   (Om inget värde anges används Nordisk residualmix, se inforuta) ()",Miljö!$B$1:$J$1,0),FALSE),IF(AM316="nej","Nordisk residualel",""))</f>
        <v>Nordisk residualel</v>
      </c>
      <c r="AO316" s="227">
        <f>IF(AM316="","",VLOOKUP($B316,Miljö!$B$1:$J$479,MATCH("Fossilandel för ursprungspecificerad el ()",Miljö!$B$1:$J$1,0),FALSE))</f>
        <v>0.43</v>
      </c>
      <c r="AP316" s="227">
        <f>IF(AM316="","",IFERROR(VLOOKUP($B316,Miljö!$B$1:$J$479,MATCH("Kärnkraftsandel för ursprungsspecificerad el ()",Miljö!$B$1:$J$1,0),FALSE)/1,0))</f>
        <v>0.40550000000000003</v>
      </c>
      <c r="AQ316" s="227">
        <f t="shared" si="25"/>
        <v>0.16450000000000004</v>
      </c>
      <c r="AR316" s="227"/>
      <c r="AS316" s="227" t="str">
        <f t="shared" si="26"/>
        <v>Nej</v>
      </c>
      <c r="AT316" s="227" t="str">
        <f>IF(AS316="ja",VLOOKUP($B316,Miljö!$B$1:$O$500,MATCH("Fossil andel i procent (%)",Miljö!$B$1:$O$1,0),FALSE)/100,"")</f>
        <v/>
      </c>
      <c r="AU316" s="227"/>
      <c r="AV316" s="227" t="str">
        <f t="shared" si="27"/>
        <v>Nej</v>
      </c>
      <c r="AW316" s="227" t="str">
        <f>IF(AV316="ja",VLOOKUP($B316,'Egen hetvattenprod'!$B$1:$AO$500,MATCH("Värmekälla till värmepumpar ()",'Egen hetvattenprod'!$B$1:$AO$1,0),FALSE),"")</f>
        <v/>
      </c>
      <c r="AX316" s="227"/>
      <c r="AY316" s="227" t="str">
        <f t="shared" si="28"/>
        <v>Ja</v>
      </c>
      <c r="AZ316" s="228">
        <f>IF($AY316="ja",(VLOOKUP($B316,'Egen hetvattenprod'!$B$1:$BX$550,MATCH(AZ$2,'Egen hetvattenprod'!$B$1:$BX$1,0),FALSE)+VLOOKUP($B316,Kraftvärmeprod!$B$1:$BX$550,MATCH(AZ$2,Kraftvärmeprod!$B$1:$BX$1,0),FALSE))/$AC316,"")</f>
        <v>1</v>
      </c>
      <c r="BA316" s="228">
        <f>IF($AY316="ja",(VLOOKUP($B316,'Egen hetvattenprod'!$B$1:$BX$550,MATCH(BA$2,'Egen hetvattenprod'!$B$1:$BX$1,0),FALSE)+VLOOKUP($B316,Kraftvärmeprod!$B$1:$BX$550,MATCH(BA$2,Kraftvärmeprod!$B$1:$BX$1,0),FALSE))/$AC316,"")</f>
        <v>0</v>
      </c>
      <c r="BB316" s="228">
        <f>IF($AY316="ja",(VLOOKUP($B316,'Egen hetvattenprod'!$B$1:$BX$550,MATCH(BB$2,'Egen hetvattenprod'!$B$1:$BX$1,0),FALSE)+VLOOKUP($B316,Kraftvärmeprod!$B$1:$BX$550,MATCH(BB$2,Kraftvärmeprod!$B$1:$BX$1,0),FALSE))/$AC316,"")</f>
        <v>0</v>
      </c>
      <c r="BC316" s="228">
        <f>IF($AY316="ja",(VLOOKUP($B316,'Egen hetvattenprod'!$B$1:$BX$550,MATCH(BC$2,'Egen hetvattenprod'!$B$1:$BX$1,0),FALSE)+VLOOKUP($B316,Kraftvärmeprod!$B$1:$BX$550,MATCH(BC$2,Kraftvärmeprod!$B$1:$BX$1,0),FALSE))/$AC316,"")</f>
        <v>0</v>
      </c>
      <c r="BD316" s="228">
        <f>IF($AY316="ja",(VLOOKUP($B316,'Egen hetvattenprod'!$B$1:$BX$550,MATCH(BD$2,'Egen hetvattenprod'!$B$1:$BX$1,0),FALSE)+VLOOKUP($B316,Kraftvärmeprod!$B$1:$BX$550,MATCH(BD$2,Kraftvärmeprod!$B$1:$BX$1,0),FALSE))/$AC316,"")</f>
        <v>0</v>
      </c>
      <c r="BE316" s="227"/>
      <c r="BF316" s="227" t="str">
        <f t="shared" si="29"/>
        <v>Nej</v>
      </c>
      <c r="BG316" s="227" t="str">
        <f>IF($BF316="ja",VLOOKUP($B316,'Egen hetvattenprod'!$B$1:$BX$550,MATCH("Andelen klimatgaser med fossilt ursprung för avfall ()",'Egen hetvattenprod'!$B$1:$BX$1,0),FALSE),"")</f>
        <v/>
      </c>
      <c r="BH316" s="227" t="str">
        <f>IF($BF316="ja",VLOOKUP($B316,Kraftvärmeprod!$B$1:$BX$550,MATCH("Andelen klimatgaser med fossilt ursprung för avfall ()",Kraftvärmeprod!$B$1:$BX$1,0),FALSE),"")</f>
        <v/>
      </c>
      <c r="BI316" s="227" t="str">
        <f>IF($BF316="ja",VLOOKUP($B316,'Egen hetvattenprod'!$B$1:$BX$550,MATCH("Avfall (GWh)",'Egen hetvattenprod'!$B$1:$BX$1,0),FALSE),"")</f>
        <v/>
      </c>
      <c r="BJ316" s="227" t="str">
        <f>IF($BF316="ja",VLOOKUP($B316,'Slutlig allokering kvv'!$B$1:$BX$550,MATCH("Avfall (GWh)",'Slutlig allokering kvv'!$B$1:$BX$1,0),FALSE),"")</f>
        <v/>
      </c>
      <c r="BK316" s="227" t="str">
        <f>IF($BF316="ja",VLOOKUP($B316,'Köpt hetvatten'!$B$1:$BX$550,MATCH("Avfall i köpt hetvatten",'Köpt hetvatten'!$B$1:$BX$1,0),FALSE),"")</f>
        <v/>
      </c>
      <c r="BL316" s="227" t="str">
        <f>IF($BF316="ja",VLOOKUP($B316,'Egen hetvattenprod'!$B$1:$BX$550,MATCH("Värde enligt ovan. (%)",'Egen hetvattenprod'!$B$1:$BX$1,0),FALSE),"")</f>
        <v/>
      </c>
      <c r="BM316" s="227" t="str">
        <f>IF($BF316="ja",VLOOKUP($B316,Kraftvärmeprod!$B$1:$BX$550,MATCH("Värde enligt ovan. (%)",Kraftvärmeprod!$B$1:$BX$1,0),FALSE),"")</f>
        <v/>
      </c>
      <c r="BN316" s="227"/>
      <c r="BO316" s="227"/>
      <c r="BP316" s="227"/>
      <c r="BQ316" s="227" t="str">
        <f>IF($BF316="ja",VLOOKUP($B316,'Egen hetvattenprod'!$B$1:$BX$550,MATCH("Tillförd olja (fossil) vid avfallsförbränning (GWh)",'Egen hetvattenprod'!$B$1:$BX$1,0),FALSE),"")</f>
        <v/>
      </c>
      <c r="BR316" s="227" t="str">
        <f>IF($BF316="ja",VLOOKUP($B316,Kraftvärmeprod!$B$1:$BX$550,MATCH("Tillförd olja (fossil) vid avfallsförbränning (GWh)",Kraftvärmeprod!$B$1:$BX$1,0),FALSE),"")</f>
        <v/>
      </c>
      <c r="BS316" s="227"/>
      <c r="BT316" s="227"/>
      <c r="BU316" s="227"/>
    </row>
    <row r="317" spans="1:73" x14ac:dyDescent="0.25">
      <c r="A317" s="121" t="str">
        <f>'Miljövärden för publ företag'!B320</f>
        <v>Värmevärden AB</v>
      </c>
      <c r="B317" s="121" t="str">
        <f>'Miljövärden för publ företag'!C320</f>
        <v>Hudiksvall</v>
      </c>
      <c r="C317" s="173">
        <f>IFERROR(VLOOKUP($B317,Totalt!$B$1:$AQ$554,MATCH(C$2,Totalt!$B$1:$AQ$1,0),FALSE),"")</f>
        <v>0</v>
      </c>
      <c r="D317" s="173">
        <f>IFERROR(VLOOKUP($B317,Totalt!$B$1:$AQ$554,MATCH(D$2,Totalt!$B$1:$AQ$1,0),FALSE),"")</f>
        <v>0.37</v>
      </c>
      <c r="E317" s="173">
        <f>IFERROR(VLOOKUP($B317,Totalt!$B$1:$AQ$554,MATCH(E$2,Totalt!$B$1:$AQ$1,0),FALSE),"")</f>
        <v>0</v>
      </c>
      <c r="F317" s="173">
        <f>IFERROR(VLOOKUP($B317,Totalt!$B$1:$AQ$554,MATCH(F$2,Totalt!$B$1:$AQ$1,0),FALSE),"")</f>
        <v>0</v>
      </c>
      <c r="G317" s="173">
        <f>IFERROR(VLOOKUP($B317,Totalt!$B$1:$AQ$554,MATCH(G$2,Totalt!$B$1:$AQ$1,0),FALSE),"")</f>
        <v>0</v>
      </c>
      <c r="H317" s="173">
        <f>IFERROR(VLOOKUP($B317,Totalt!$B$1:$AQ$554,MATCH(H$2,Totalt!$B$1:$AQ$1,0),FALSE),"")</f>
        <v>0</v>
      </c>
      <c r="I317" s="173">
        <f>IFERROR(VLOOKUP($B317,Totalt!$B$1:$AQ$554,MATCH(I$2,Totalt!$B$1:$AQ$1,0),FALSE),"")</f>
        <v>0</v>
      </c>
      <c r="J317" s="173">
        <f>IFERROR(VLOOKUP($B317,Totalt!$B$1:$AQ$554,MATCH(J$2,Totalt!$B$1:$AQ$1,0),FALSE),"")</f>
        <v>2.5488400000000002</v>
      </c>
      <c r="K317" s="173">
        <f>IFERROR(VLOOKUP($B317,Totalt!$B$1:$AQ$554,MATCH(K$2,Totalt!$B$1:$AQ$1,0),FALSE),"")</f>
        <v>0</v>
      </c>
      <c r="L317" s="173">
        <f>IFERROR(VLOOKUP($B317,Totalt!$B$1:$AQ$554,MATCH(L$2,Totalt!$B$1:$AQ$1,0),FALSE),"")</f>
        <v>0.652092</v>
      </c>
      <c r="M317" s="173">
        <f>IFERROR(VLOOKUP($B317,Totalt!$B$1:$AQ$554,MATCH(M$2,Totalt!$B$1:$AQ$1,0),FALSE),"")</f>
        <v>58.6646</v>
      </c>
      <c r="N317" s="173">
        <f>IFERROR(VLOOKUP($B317,Totalt!$B$1:$AQ$554,MATCH(N$2,Totalt!$B$1:$AQ$1,0),FALSE),"")</f>
        <v>0.47092200000000001</v>
      </c>
      <c r="O317" s="173">
        <f>IFERROR(VLOOKUP($B317,Totalt!$B$1:$AQ$554,MATCH(O$2,Totalt!$B$1:$AQ$1,0),FALSE),"")</f>
        <v>29.447399999999998</v>
      </c>
      <c r="P317" s="173">
        <f>IFERROR(VLOOKUP($B317,Totalt!$B$1:$AQ$554,MATCH(P$2,Totalt!$B$1:$AQ$1,0),FALSE),"")</f>
        <v>3.3047199999999999E-2</v>
      </c>
      <c r="Q317" s="173">
        <f>IFERROR(VLOOKUP($B317,Totalt!$B$1:$AQ$554,MATCH(Q$2,Totalt!$B$1:$AQ$1,0),FALSE),"")</f>
        <v>10.266999999999999</v>
      </c>
      <c r="R317" s="173">
        <f>IFERROR(VLOOKUP($B317,Totalt!$B$1:$AQ$554,MATCH(R$2,Totalt!$B$1:$AQ$1,0),FALSE),"")</f>
        <v>0</v>
      </c>
      <c r="S317" s="173">
        <f>IFERROR(VLOOKUP($B317,Totalt!$B$1:$AQ$554,MATCH(S$2,Totalt!$B$1:$AQ$1,0),FALSE),"")</f>
        <v>0</v>
      </c>
      <c r="T317" s="173">
        <f>IFERROR(VLOOKUP($B317,Totalt!$B$1:$AQ$554,MATCH(T$2,Totalt!$B$1:$AQ$1,0),FALSE),"")</f>
        <v>0</v>
      </c>
      <c r="U317" s="173">
        <f>IFERROR(VLOOKUP($B317,Totalt!$B$1:$AQ$554,MATCH(U$2,Totalt!$B$1:$AQ$1,0),FALSE),"")</f>
        <v>0</v>
      </c>
      <c r="V317" s="173">
        <f>IFERROR(VLOOKUP($B317,Totalt!$B$1:$AQ$554,MATCH(V$2,Totalt!$B$1:$AQ$1,0),FALSE),"")</f>
        <v>6.1870000000000003</v>
      </c>
      <c r="W317" s="173">
        <f>IFERROR(VLOOKUP($B317,Totalt!$B$1:$AQ$554,MATCH(W$2,Totalt!$B$1:$AQ$1,0),FALSE),"")</f>
        <v>0</v>
      </c>
      <c r="X317" s="173">
        <f>IFERROR(VLOOKUP($B317,Totalt!$B$1:$AQ$554,MATCH(X$2,Totalt!$B$1:$AQ$1,0),FALSE),"")</f>
        <v>0</v>
      </c>
      <c r="Y317" s="173">
        <f>IFERROR(VLOOKUP($B317,Totalt!$B$1:$AQ$554,MATCH(Y$2,Totalt!$B$1:$AQ$1,0),FALSE),"")</f>
        <v>0</v>
      </c>
      <c r="Z317" s="173">
        <f>IFERROR(VLOOKUP($B317,Totalt!$B$1:$AQ$554,MATCH(Z$2,Totalt!$B$1:$AQ$1,0),FALSE),"")</f>
        <v>0</v>
      </c>
      <c r="AA317" s="173">
        <f>IFERROR(VLOOKUP($B317,Totalt!$B$1:$AQ$554,MATCH(AA$2,Totalt!$B$1:$AQ$1,0),FALSE),"")</f>
        <v>0</v>
      </c>
      <c r="AB317" s="173">
        <f>IFERROR(VLOOKUP($B317,Totalt!$B$1:$AQ$554,MATCH(AB$2,Totalt!$B$1:$AQ$1,0),FALSE),"")</f>
        <v>0</v>
      </c>
      <c r="AC317" s="173">
        <f>IFERROR(VLOOKUP($B317,Totalt!$B$1:$AQ$554,MATCH(AC$2,Totalt!$B$1:$AQ$1,0),FALSE),"")</f>
        <v>36.97</v>
      </c>
      <c r="AD317" s="173">
        <f>IFERROR(VLOOKUP($B317,Totalt!$B$1:$AQ$554,MATCH(AD$2,Totalt!$B$1:$AQ$1,0),FALSE),"")</f>
        <v>0</v>
      </c>
      <c r="AE317" s="173">
        <f>IFERROR(VLOOKUP($B317,Totalt!$B$1:$AQ$554,MATCH(AE$2,Totalt!$B$1:$AQ$1,0),FALSE),"")</f>
        <v>0</v>
      </c>
      <c r="AF317" s="173">
        <f>IFERROR(VLOOKUP($B317,Totalt!$B$1:$AQ$554,MATCH(AF$2,Totalt!$B$1:$AQ$1,0),FALSE),"")</f>
        <v>3.4624199999999998</v>
      </c>
      <c r="AG317" s="173">
        <f>IFERROR(VLOOKUP($B317,Totalt!$B$1:$AQ$554,MATCH(AG$2,Totalt!$B$1:$AQ$1,0),FALSE),"")</f>
        <v>0</v>
      </c>
      <c r="AI317" s="226">
        <f t="shared" si="24"/>
        <v>149.07332120000001</v>
      </c>
      <c r="AJ317" s="226">
        <f>IF(ISERROR(1/VLOOKUP($B317,Leveranser!$B$1:$S$500,MATCH("såld värme (gwh)",Leveranser!$B$1:$S$1,0),FALSE)),"",VLOOKUP($B317,Leveranser!$B$1:$S$500,MATCH("såld värme (gwh)",Leveranser!$B$1:$S$1,0),FALSE))</f>
        <v>120.9</v>
      </c>
      <c r="AM317" s="227" t="str">
        <f>IF(B317&lt;&gt;"",IF(VLOOKUP($B317,Totalt!$B$1:$AQ$554,MATCH("Kvalitetsgranskad:",Totalt!$B$1:$AQ$1,0),FALSE)="ja",VLOOKUP($B317,Miljö!$B$1:$AG$479,MATCH(AM$2,Miljö!$B$1:$AK$1,0),FALSE),""),"")</f>
        <v>Ja</v>
      </c>
      <c r="AN317" s="227" t="str">
        <f>IF(AM317="ja",VLOOKUP($B317,Miljö!$B$1:$J$479,MATCH("Typ av ursprungsspecificerad el   (Om inget värde anges används Nordisk residualmix, se inforuta) ()",Miljö!$B$1:$J$1,0),FALSE),IF(AM317="nej","Nordisk residualel",""))</f>
        <v>-</v>
      </c>
      <c r="AO317" s="227">
        <f>IF(AM317="","",VLOOKUP($B317,Miljö!$B$1:$J$479,MATCH("Fossilandel för ursprungspecificerad el ()",Miljö!$B$1:$J$1,0),FALSE))</f>
        <v>0</v>
      </c>
      <c r="AP317" s="227">
        <f>IF(AM317="","",IFERROR(VLOOKUP($B317,Miljö!$B$1:$J$479,MATCH("Kärnkraftsandel för ursprungsspecificerad el ()",Miljö!$B$1:$J$1,0),FALSE)/1,0))</f>
        <v>0</v>
      </c>
      <c r="AQ317" s="227">
        <f t="shared" si="25"/>
        <v>1</v>
      </c>
      <c r="AR317" s="227"/>
      <c r="AS317" s="227" t="str">
        <f t="shared" si="26"/>
        <v>Nej</v>
      </c>
      <c r="AT317" s="227" t="str">
        <f>IF(AS317="ja",VLOOKUP($B317,Miljö!$B$1:$O$500,MATCH("Fossil andel i procent (%)",Miljö!$B$1:$O$1,0),FALSE)/100,"")</f>
        <v/>
      </c>
      <c r="AU317" s="227"/>
      <c r="AV317" s="227" t="str">
        <f t="shared" si="27"/>
        <v>Nej</v>
      </c>
      <c r="AW317" s="227" t="str">
        <f>IF(AV317="ja",VLOOKUP($B317,'Egen hetvattenprod'!$B$1:$AO$500,MATCH("Värmekälla till värmepumpar ()",'Egen hetvattenprod'!$B$1:$AO$1,0),FALSE),"")</f>
        <v/>
      </c>
      <c r="AX317" s="227"/>
      <c r="AY317" s="227" t="str">
        <f t="shared" si="28"/>
        <v>Ja</v>
      </c>
      <c r="AZ317" s="228">
        <f>IF($AY317="ja",(VLOOKUP($B317,'Egen hetvattenprod'!$B$1:$BX$550,MATCH(AZ$2,'Egen hetvattenprod'!$B$1:$BX$1,0),FALSE)+VLOOKUP($B317,Kraftvärmeprod!$B$1:$BX$550,MATCH(AZ$2,Kraftvärmeprod!$B$1:$BX$1,0),FALSE))/$AC317,"")</f>
        <v>1</v>
      </c>
      <c r="BA317" s="228">
        <f>IF($AY317="ja",(VLOOKUP($B317,'Egen hetvattenprod'!$B$1:$BX$550,MATCH(BA$2,'Egen hetvattenprod'!$B$1:$BX$1,0),FALSE)+VLOOKUP($B317,Kraftvärmeprod!$B$1:$BX$550,MATCH(BA$2,Kraftvärmeprod!$B$1:$BX$1,0),FALSE))/$AC317,"")</f>
        <v>0</v>
      </c>
      <c r="BB317" s="228">
        <f>IF($AY317="ja",(VLOOKUP($B317,'Egen hetvattenprod'!$B$1:$BX$550,MATCH(BB$2,'Egen hetvattenprod'!$B$1:$BX$1,0),FALSE)+VLOOKUP($B317,Kraftvärmeprod!$B$1:$BX$550,MATCH(BB$2,Kraftvärmeprod!$B$1:$BX$1,0),FALSE))/$AC317,"")</f>
        <v>0</v>
      </c>
      <c r="BC317" s="228">
        <f>IF($AY317="ja",(VLOOKUP($B317,'Egen hetvattenprod'!$B$1:$BX$550,MATCH(BC$2,'Egen hetvattenprod'!$B$1:$BX$1,0),FALSE)+VLOOKUP($B317,Kraftvärmeprod!$B$1:$BX$550,MATCH(BC$2,Kraftvärmeprod!$B$1:$BX$1,0),FALSE))/$AC317,"")</f>
        <v>0</v>
      </c>
      <c r="BD317" s="228">
        <f>IF($AY317="ja",(VLOOKUP($B317,'Egen hetvattenprod'!$B$1:$BX$550,MATCH(BD$2,'Egen hetvattenprod'!$B$1:$BX$1,0),FALSE)+VLOOKUP($B317,Kraftvärmeprod!$B$1:$BX$550,MATCH(BD$2,Kraftvärmeprod!$B$1:$BX$1,0),FALSE))/$AC317,"")</f>
        <v>0</v>
      </c>
      <c r="BE317" s="227"/>
      <c r="BF317" s="227" t="str">
        <f t="shared" si="29"/>
        <v>Nej</v>
      </c>
      <c r="BG317" s="227" t="str">
        <f>IF($BF317="ja",VLOOKUP($B317,'Egen hetvattenprod'!$B$1:$BX$550,MATCH("Andelen klimatgaser med fossilt ursprung för avfall ()",'Egen hetvattenprod'!$B$1:$BX$1,0),FALSE),"")</f>
        <v/>
      </c>
      <c r="BH317" s="227" t="str">
        <f>IF($BF317="ja",VLOOKUP($B317,Kraftvärmeprod!$B$1:$BX$550,MATCH("Andelen klimatgaser med fossilt ursprung för avfall ()",Kraftvärmeprod!$B$1:$BX$1,0),FALSE),"")</f>
        <v/>
      </c>
      <c r="BI317" s="227" t="str">
        <f>IF($BF317="ja",VLOOKUP($B317,'Egen hetvattenprod'!$B$1:$BX$550,MATCH("Avfall (GWh)",'Egen hetvattenprod'!$B$1:$BX$1,0),FALSE),"")</f>
        <v/>
      </c>
      <c r="BJ317" s="227" t="str">
        <f>IF($BF317="ja",VLOOKUP($B317,'Slutlig allokering kvv'!$B$1:$BX$550,MATCH("Avfall (GWh)",'Slutlig allokering kvv'!$B$1:$BX$1,0),FALSE),"")</f>
        <v/>
      </c>
      <c r="BK317" s="227" t="str">
        <f>IF($BF317="ja",VLOOKUP($B317,'Köpt hetvatten'!$B$1:$BX$550,MATCH("Avfall i köpt hetvatten",'Köpt hetvatten'!$B$1:$BX$1,0),FALSE),"")</f>
        <v/>
      </c>
      <c r="BL317" s="227" t="str">
        <f>IF($BF317="ja",VLOOKUP($B317,'Egen hetvattenprod'!$B$1:$BX$550,MATCH("Värde enligt ovan. (%)",'Egen hetvattenprod'!$B$1:$BX$1,0),FALSE),"")</f>
        <v/>
      </c>
      <c r="BM317" s="227" t="str">
        <f>IF($BF317="ja",VLOOKUP($B317,Kraftvärmeprod!$B$1:$BX$550,MATCH("Värde enligt ovan. (%)",Kraftvärmeprod!$B$1:$BX$1,0),FALSE),"")</f>
        <v/>
      </c>
      <c r="BN317" s="227"/>
      <c r="BO317" s="227"/>
      <c r="BP317" s="227"/>
      <c r="BQ317" s="227" t="str">
        <f>IF($BF317="ja",VLOOKUP($B317,'Egen hetvattenprod'!$B$1:$BX$550,MATCH("Tillförd olja (fossil) vid avfallsförbränning (GWh)",'Egen hetvattenprod'!$B$1:$BX$1,0),FALSE),"")</f>
        <v/>
      </c>
      <c r="BR317" s="227" t="str">
        <f>IF($BF317="ja",VLOOKUP($B317,Kraftvärmeprod!$B$1:$BX$550,MATCH("Tillförd olja (fossil) vid avfallsförbränning (GWh)",Kraftvärmeprod!$B$1:$BX$1,0),FALSE),"")</f>
        <v/>
      </c>
      <c r="BS317" s="227"/>
      <c r="BT317" s="227"/>
      <c r="BU317" s="227"/>
    </row>
    <row r="318" spans="1:73" x14ac:dyDescent="0.25">
      <c r="A318" s="121" t="str">
        <f>'Miljövärden för publ företag'!B321</f>
        <v>Värmevärden AB</v>
      </c>
      <c r="B318" s="121" t="str">
        <f>'Miljövärden för publ företag'!C321</f>
        <v>Hällefors</v>
      </c>
      <c r="C318" s="173">
        <f>IFERROR(VLOOKUP($B318,Totalt!$B$1:$AQ$554,MATCH(C$2,Totalt!$B$1:$AQ$1,0),FALSE),"")</f>
        <v>0</v>
      </c>
      <c r="D318" s="173">
        <f>IFERROR(VLOOKUP($B318,Totalt!$B$1:$AQ$554,MATCH(D$2,Totalt!$B$1:$AQ$1,0),FALSE),"")</f>
        <v>0.14599999999999999</v>
      </c>
      <c r="E318" s="173">
        <f>IFERROR(VLOOKUP($B318,Totalt!$B$1:$AQ$554,MATCH(E$2,Totalt!$B$1:$AQ$1,0),FALSE),"")</f>
        <v>0</v>
      </c>
      <c r="F318" s="173">
        <f>IFERROR(VLOOKUP($B318,Totalt!$B$1:$AQ$554,MATCH(F$2,Totalt!$B$1:$AQ$1,0),FALSE),"")</f>
        <v>0</v>
      </c>
      <c r="G318" s="173">
        <f>IFERROR(VLOOKUP($B318,Totalt!$B$1:$AQ$554,MATCH(G$2,Totalt!$B$1:$AQ$1,0),FALSE),"")</f>
        <v>0</v>
      </c>
      <c r="H318" s="173">
        <f>IFERROR(VLOOKUP($B318,Totalt!$B$1:$AQ$554,MATCH(H$2,Totalt!$B$1:$AQ$1,0),FALSE),"")</f>
        <v>0</v>
      </c>
      <c r="I318" s="173">
        <f>IFERROR(VLOOKUP($B318,Totalt!$B$1:$AQ$554,MATCH(I$2,Totalt!$B$1:$AQ$1,0),FALSE),"")</f>
        <v>0</v>
      </c>
      <c r="J318" s="173">
        <f>IFERROR(VLOOKUP($B318,Totalt!$B$1:$AQ$554,MATCH(J$2,Totalt!$B$1:$AQ$1,0),FALSE),"")</f>
        <v>0</v>
      </c>
      <c r="K318" s="173">
        <f>IFERROR(VLOOKUP($B318,Totalt!$B$1:$AQ$554,MATCH(K$2,Totalt!$B$1:$AQ$1,0),FALSE),"")</f>
        <v>0</v>
      </c>
      <c r="L318" s="173">
        <f>IFERROR(VLOOKUP($B318,Totalt!$B$1:$AQ$554,MATCH(L$2,Totalt!$B$1:$AQ$1,0),FALSE),"")</f>
        <v>0</v>
      </c>
      <c r="M318" s="173">
        <f>IFERROR(VLOOKUP($B318,Totalt!$B$1:$AQ$554,MATCH(M$2,Totalt!$B$1:$AQ$1,0),FALSE),"")</f>
        <v>12.379</v>
      </c>
      <c r="N318" s="173">
        <f>IFERROR(VLOOKUP($B318,Totalt!$B$1:$AQ$554,MATCH(N$2,Totalt!$B$1:$AQ$1,0),FALSE),"")</f>
        <v>10.077</v>
      </c>
      <c r="O318" s="173">
        <f>IFERROR(VLOOKUP($B318,Totalt!$B$1:$AQ$554,MATCH(O$2,Totalt!$B$1:$AQ$1,0),FALSE),"")</f>
        <v>0</v>
      </c>
      <c r="P318" s="173">
        <f>IFERROR(VLOOKUP($B318,Totalt!$B$1:$AQ$554,MATCH(P$2,Totalt!$B$1:$AQ$1,0),FALSE),"")</f>
        <v>9.3350000000000009</v>
      </c>
      <c r="Q318" s="173">
        <f>IFERROR(VLOOKUP($B318,Totalt!$B$1:$AQ$554,MATCH(Q$2,Totalt!$B$1:$AQ$1,0),FALSE),"")</f>
        <v>0</v>
      </c>
      <c r="R318" s="173">
        <f>IFERROR(VLOOKUP($B318,Totalt!$B$1:$AQ$554,MATCH(R$2,Totalt!$B$1:$AQ$1,0),FALSE),"")</f>
        <v>0</v>
      </c>
      <c r="S318" s="173">
        <f>IFERROR(VLOOKUP($B318,Totalt!$B$1:$AQ$554,MATCH(S$2,Totalt!$B$1:$AQ$1,0),FALSE),"")</f>
        <v>0</v>
      </c>
      <c r="T318" s="173">
        <f>IFERROR(VLOOKUP($B318,Totalt!$B$1:$AQ$554,MATCH(T$2,Totalt!$B$1:$AQ$1,0),FALSE),"")</f>
        <v>0</v>
      </c>
      <c r="U318" s="173">
        <f>IFERROR(VLOOKUP($B318,Totalt!$B$1:$AQ$554,MATCH(U$2,Totalt!$B$1:$AQ$1,0),FALSE),"")</f>
        <v>0</v>
      </c>
      <c r="V318" s="173">
        <f>IFERROR(VLOOKUP($B318,Totalt!$B$1:$AQ$554,MATCH(V$2,Totalt!$B$1:$AQ$1,0),FALSE),"")</f>
        <v>0</v>
      </c>
      <c r="W318" s="173">
        <f>IFERROR(VLOOKUP($B318,Totalt!$B$1:$AQ$554,MATCH(W$2,Totalt!$B$1:$AQ$1,0),FALSE),"")</f>
        <v>0</v>
      </c>
      <c r="X318" s="173">
        <f>IFERROR(VLOOKUP($B318,Totalt!$B$1:$AQ$554,MATCH(X$2,Totalt!$B$1:$AQ$1,0),FALSE),"")</f>
        <v>0</v>
      </c>
      <c r="Y318" s="173">
        <f>IFERROR(VLOOKUP($B318,Totalt!$B$1:$AQ$554,MATCH(Y$2,Totalt!$B$1:$AQ$1,0),FALSE),"")</f>
        <v>0</v>
      </c>
      <c r="Z318" s="173">
        <f>IFERROR(VLOOKUP($B318,Totalt!$B$1:$AQ$554,MATCH(Z$2,Totalt!$B$1:$AQ$1,0),FALSE),"")</f>
        <v>0</v>
      </c>
      <c r="AA318" s="173">
        <f>IFERROR(VLOOKUP($B318,Totalt!$B$1:$AQ$554,MATCH(AA$2,Totalt!$B$1:$AQ$1,0),FALSE),"")</f>
        <v>0</v>
      </c>
      <c r="AB318" s="173">
        <f>IFERROR(VLOOKUP($B318,Totalt!$B$1:$AQ$554,MATCH(AB$2,Totalt!$B$1:$AQ$1,0),FALSE),"")</f>
        <v>0</v>
      </c>
      <c r="AC318" s="173">
        <f>IFERROR(VLOOKUP($B318,Totalt!$B$1:$AQ$554,MATCH(AC$2,Totalt!$B$1:$AQ$1,0),FALSE),"")</f>
        <v>7.8280000000000003</v>
      </c>
      <c r="AD318" s="173">
        <f>IFERROR(VLOOKUP($B318,Totalt!$B$1:$AQ$554,MATCH(AD$2,Totalt!$B$1:$AQ$1,0),FALSE),"")</f>
        <v>6.8879999999999999</v>
      </c>
      <c r="AE318" s="173">
        <f>IFERROR(VLOOKUP($B318,Totalt!$B$1:$AQ$554,MATCH(AE$2,Totalt!$B$1:$AQ$1,0),FALSE),"")</f>
        <v>0</v>
      </c>
      <c r="AF318" s="173">
        <f>IFERROR(VLOOKUP($B318,Totalt!$B$1:$AQ$554,MATCH(AF$2,Totalt!$B$1:$AQ$1,0),FALSE),"")</f>
        <v>0.95699999999999996</v>
      </c>
      <c r="AG318" s="173">
        <f>IFERROR(VLOOKUP($B318,Totalt!$B$1:$AQ$554,MATCH(AG$2,Totalt!$B$1:$AQ$1,0),FALSE),"")</f>
        <v>0</v>
      </c>
      <c r="AI318" s="226">
        <f t="shared" si="24"/>
        <v>47.61</v>
      </c>
      <c r="AJ318" s="226">
        <f>IF(ISERROR(1/VLOOKUP($B318,Leveranser!$B$1:$S$500,MATCH("såld värme (gwh)",Leveranser!$B$1:$S$1,0),FALSE)),"",VLOOKUP($B318,Leveranser!$B$1:$S$500,MATCH("såld värme (gwh)",Leveranser!$B$1:$S$1,0),FALSE))</f>
        <v>33.700000000000003</v>
      </c>
      <c r="AM318" s="227" t="str">
        <f>IF(B318&lt;&gt;"",IF(VLOOKUP($B318,Totalt!$B$1:$AQ$554,MATCH("Kvalitetsgranskad:",Totalt!$B$1:$AQ$1,0),FALSE)="ja",VLOOKUP($B318,Miljö!$B$1:$AG$479,MATCH(AM$2,Miljö!$B$1:$AK$1,0),FALSE),""),"")</f>
        <v>Ja</v>
      </c>
      <c r="AN318" s="227" t="str">
        <f>IF(AM318="ja",VLOOKUP($B318,Miljö!$B$1:$J$479,MATCH("Typ av ursprungsspecificerad el   (Om inget värde anges används Nordisk residualmix, se inforuta) ()",Miljö!$B$1:$J$1,0),FALSE),IF(AM318="nej","Nordisk residualel",""))</f>
        <v>'Bioel'</v>
      </c>
      <c r="AO318" s="227">
        <f>IF(AM318="","",VLOOKUP($B318,Miljö!$B$1:$J$479,MATCH("Fossilandel för ursprungspecificerad el ()",Miljö!$B$1:$J$1,0),FALSE))</f>
        <v>0</v>
      </c>
      <c r="AP318" s="227">
        <f>IF(AM318="","",IFERROR(VLOOKUP($B318,Miljö!$B$1:$J$479,MATCH("Kärnkraftsandel för ursprungsspecificerad el ()",Miljö!$B$1:$J$1,0),FALSE)/1,0))</f>
        <v>0</v>
      </c>
      <c r="AQ318" s="227">
        <f t="shared" si="25"/>
        <v>1</v>
      </c>
      <c r="AR318" s="227"/>
      <c r="AS318" s="227" t="str">
        <f t="shared" si="26"/>
        <v>Nej</v>
      </c>
      <c r="AT318" s="227" t="str">
        <f>IF(AS318="ja",VLOOKUP($B318,Miljö!$B$1:$O$500,MATCH("Fossil andel i procent (%)",Miljö!$B$1:$O$1,0),FALSE)/100,"")</f>
        <v/>
      </c>
      <c r="AU318" s="227"/>
      <c r="AV318" s="227" t="str">
        <f t="shared" si="27"/>
        <v>Nej</v>
      </c>
      <c r="AW318" s="227" t="str">
        <f>IF(AV318="ja",VLOOKUP($B318,'Egen hetvattenprod'!$B$1:$AO$500,MATCH("Värmekälla till värmepumpar ()",'Egen hetvattenprod'!$B$1:$AO$1,0),FALSE),"")</f>
        <v/>
      </c>
      <c r="AX318" s="227"/>
      <c r="AY318" s="227" t="str">
        <f t="shared" si="28"/>
        <v>Ja</v>
      </c>
      <c r="AZ318" s="228">
        <f>IF($AY318="ja",(VLOOKUP($B318,'Egen hetvattenprod'!$B$1:$BX$550,MATCH(AZ$2,'Egen hetvattenprod'!$B$1:$BX$1,0),FALSE)+VLOOKUP($B318,Kraftvärmeprod!$B$1:$BX$550,MATCH(AZ$2,Kraftvärmeprod!$B$1:$BX$1,0),FALSE))/$AC318,"")</f>
        <v>1</v>
      </c>
      <c r="BA318" s="228">
        <f>IF($AY318="ja",(VLOOKUP($B318,'Egen hetvattenprod'!$B$1:$BX$550,MATCH(BA$2,'Egen hetvattenprod'!$B$1:$BX$1,0),FALSE)+VLOOKUP($B318,Kraftvärmeprod!$B$1:$BX$550,MATCH(BA$2,Kraftvärmeprod!$B$1:$BX$1,0),FALSE))/$AC318,"")</f>
        <v>0</v>
      </c>
      <c r="BB318" s="228">
        <f>IF($AY318="ja",(VLOOKUP($B318,'Egen hetvattenprod'!$B$1:$BX$550,MATCH(BB$2,'Egen hetvattenprod'!$B$1:$BX$1,0),FALSE)+VLOOKUP($B318,Kraftvärmeprod!$B$1:$BX$550,MATCH(BB$2,Kraftvärmeprod!$B$1:$BX$1,0),FALSE))/$AC318,"")</f>
        <v>0</v>
      </c>
      <c r="BC318" s="228">
        <f>IF($AY318="ja",(VLOOKUP($B318,'Egen hetvattenprod'!$B$1:$BX$550,MATCH(BC$2,'Egen hetvattenprod'!$B$1:$BX$1,0),FALSE)+VLOOKUP($B318,Kraftvärmeprod!$B$1:$BX$550,MATCH(BC$2,Kraftvärmeprod!$B$1:$BX$1,0),FALSE))/$AC318,"")</f>
        <v>0</v>
      </c>
      <c r="BD318" s="228">
        <f>IF($AY318="ja",(VLOOKUP($B318,'Egen hetvattenprod'!$B$1:$BX$550,MATCH(BD$2,'Egen hetvattenprod'!$B$1:$BX$1,0),FALSE)+VLOOKUP($B318,Kraftvärmeprod!$B$1:$BX$550,MATCH(BD$2,Kraftvärmeprod!$B$1:$BX$1,0),FALSE))/$AC318,"")</f>
        <v>0</v>
      </c>
      <c r="BE318" s="227"/>
      <c r="BF318" s="227" t="str">
        <f t="shared" si="29"/>
        <v>Nej</v>
      </c>
      <c r="BG318" s="227" t="str">
        <f>IF($BF318="ja",VLOOKUP($B318,'Egen hetvattenprod'!$B$1:$BX$550,MATCH("Andelen klimatgaser med fossilt ursprung för avfall ()",'Egen hetvattenprod'!$B$1:$BX$1,0),FALSE),"")</f>
        <v/>
      </c>
      <c r="BH318" s="227" t="str">
        <f>IF($BF318="ja",VLOOKUP($B318,Kraftvärmeprod!$B$1:$BX$550,MATCH("Andelen klimatgaser med fossilt ursprung för avfall ()",Kraftvärmeprod!$B$1:$BX$1,0),FALSE),"")</f>
        <v/>
      </c>
      <c r="BI318" s="227" t="str">
        <f>IF($BF318="ja",VLOOKUP($B318,'Egen hetvattenprod'!$B$1:$BX$550,MATCH("Avfall (GWh)",'Egen hetvattenprod'!$B$1:$BX$1,0),FALSE),"")</f>
        <v/>
      </c>
      <c r="BJ318" s="227" t="str">
        <f>IF($BF318="ja",VLOOKUP($B318,'Slutlig allokering kvv'!$B$1:$BX$550,MATCH("Avfall (GWh)",'Slutlig allokering kvv'!$B$1:$BX$1,0),FALSE),"")</f>
        <v/>
      </c>
      <c r="BK318" s="227" t="str">
        <f>IF($BF318="ja",VLOOKUP($B318,'Köpt hetvatten'!$B$1:$BX$550,MATCH("Avfall i köpt hetvatten",'Köpt hetvatten'!$B$1:$BX$1,0),FALSE),"")</f>
        <v/>
      </c>
      <c r="BL318" s="227" t="str">
        <f>IF($BF318="ja",VLOOKUP($B318,'Egen hetvattenprod'!$B$1:$BX$550,MATCH("Värde enligt ovan. (%)",'Egen hetvattenprod'!$B$1:$BX$1,0),FALSE),"")</f>
        <v/>
      </c>
      <c r="BM318" s="227" t="str">
        <f>IF($BF318="ja",VLOOKUP($B318,Kraftvärmeprod!$B$1:$BX$550,MATCH("Värde enligt ovan. (%)",Kraftvärmeprod!$B$1:$BX$1,0),FALSE),"")</f>
        <v/>
      </c>
      <c r="BN318" s="227"/>
      <c r="BO318" s="227"/>
      <c r="BP318" s="227"/>
      <c r="BQ318" s="227" t="str">
        <f>IF($BF318="ja",VLOOKUP($B318,'Egen hetvattenprod'!$B$1:$BX$550,MATCH("Tillförd olja (fossil) vid avfallsförbränning (GWh)",'Egen hetvattenprod'!$B$1:$BX$1,0),FALSE),"")</f>
        <v/>
      </c>
      <c r="BR318" s="227" t="str">
        <f>IF($BF318="ja",VLOOKUP($B318,Kraftvärmeprod!$B$1:$BX$550,MATCH("Tillförd olja (fossil) vid avfallsförbränning (GWh)",Kraftvärmeprod!$B$1:$BX$1,0),FALSE),"")</f>
        <v/>
      </c>
      <c r="BS318" s="227"/>
      <c r="BT318" s="227"/>
      <c r="BU318" s="227"/>
    </row>
    <row r="319" spans="1:73" x14ac:dyDescent="0.25">
      <c r="A319" s="121" t="str">
        <f>'Miljövärden för publ företag'!B322</f>
        <v>Värmevärden AB</v>
      </c>
      <c r="B319" s="121" t="str">
        <f>'Miljövärden för publ företag'!C322</f>
        <v>Iggesund</v>
      </c>
      <c r="C319" s="173">
        <f>IFERROR(VLOOKUP($B319,Totalt!$B$1:$AQ$554,MATCH(C$2,Totalt!$B$1:$AQ$1,0),FALSE),"")</f>
        <v>0</v>
      </c>
      <c r="D319" s="173">
        <f>IFERROR(VLOOKUP($B319,Totalt!$B$1:$AQ$554,MATCH(D$2,Totalt!$B$1:$AQ$1,0),FALSE),"")</f>
        <v>0.27100000000000002</v>
      </c>
      <c r="E319" s="173">
        <f>IFERROR(VLOOKUP($B319,Totalt!$B$1:$AQ$554,MATCH(E$2,Totalt!$B$1:$AQ$1,0),FALSE),"")</f>
        <v>0</v>
      </c>
      <c r="F319" s="173">
        <f>IFERROR(VLOOKUP($B319,Totalt!$B$1:$AQ$554,MATCH(F$2,Totalt!$B$1:$AQ$1,0),FALSE),"")</f>
        <v>0.70470600000000005</v>
      </c>
      <c r="G319" s="173">
        <f>IFERROR(VLOOKUP($B319,Totalt!$B$1:$AQ$554,MATCH(G$2,Totalt!$B$1:$AQ$1,0),FALSE),"")</f>
        <v>0</v>
      </c>
      <c r="H319" s="173">
        <f>IFERROR(VLOOKUP($B319,Totalt!$B$1:$AQ$554,MATCH(H$2,Totalt!$B$1:$AQ$1,0),FALSE),"")</f>
        <v>0</v>
      </c>
      <c r="I319" s="173">
        <f>IFERROR(VLOOKUP($B319,Totalt!$B$1:$AQ$554,MATCH(I$2,Totalt!$B$1:$AQ$1,0),FALSE),"")</f>
        <v>0</v>
      </c>
      <c r="J319" s="173">
        <f>IFERROR(VLOOKUP($B319,Totalt!$B$1:$AQ$554,MATCH(J$2,Totalt!$B$1:$AQ$1,0),FALSE),"")</f>
        <v>0</v>
      </c>
      <c r="K319" s="173">
        <f>IFERROR(VLOOKUP($B319,Totalt!$B$1:$AQ$554,MATCH(K$2,Totalt!$B$1:$AQ$1,0),FALSE),"")</f>
        <v>0</v>
      </c>
      <c r="L319" s="173">
        <f>IFERROR(VLOOKUP($B319,Totalt!$B$1:$AQ$554,MATCH(L$2,Totalt!$B$1:$AQ$1,0),FALSE),"")</f>
        <v>0</v>
      </c>
      <c r="M319" s="173">
        <f>IFERROR(VLOOKUP($B319,Totalt!$B$1:$AQ$554,MATCH(M$2,Totalt!$B$1:$AQ$1,0),FALSE),"")</f>
        <v>0</v>
      </c>
      <c r="N319" s="173">
        <f>IFERROR(VLOOKUP($B319,Totalt!$B$1:$AQ$554,MATCH(N$2,Totalt!$B$1:$AQ$1,0),FALSE),"")</f>
        <v>0</v>
      </c>
      <c r="O319" s="173">
        <f>IFERROR(VLOOKUP($B319,Totalt!$B$1:$AQ$554,MATCH(O$2,Totalt!$B$1:$AQ$1,0),FALSE),"")</f>
        <v>0</v>
      </c>
      <c r="P319" s="173">
        <f>IFERROR(VLOOKUP($B319,Totalt!$B$1:$AQ$554,MATCH(P$2,Totalt!$B$1:$AQ$1,0),FALSE),"")</f>
        <v>0</v>
      </c>
      <c r="Q319" s="173">
        <f>IFERROR(VLOOKUP($B319,Totalt!$B$1:$AQ$554,MATCH(Q$2,Totalt!$B$1:$AQ$1,0),FALSE),"")</f>
        <v>6.0341199999999997</v>
      </c>
      <c r="R319" s="173">
        <f>IFERROR(VLOOKUP($B319,Totalt!$B$1:$AQ$554,MATCH(R$2,Totalt!$B$1:$AQ$1,0),FALSE),"")</f>
        <v>0</v>
      </c>
      <c r="S319" s="173">
        <f>IFERROR(VLOOKUP($B319,Totalt!$B$1:$AQ$554,MATCH(S$2,Totalt!$B$1:$AQ$1,0),FALSE),"")</f>
        <v>0</v>
      </c>
      <c r="T319" s="173">
        <f>IFERROR(VLOOKUP($B319,Totalt!$B$1:$AQ$554,MATCH(T$2,Totalt!$B$1:$AQ$1,0),FALSE),"")</f>
        <v>0</v>
      </c>
      <c r="U319" s="173">
        <f>IFERROR(VLOOKUP($B319,Totalt!$B$1:$AQ$554,MATCH(U$2,Totalt!$B$1:$AQ$1,0),FALSE),"")</f>
        <v>0</v>
      </c>
      <c r="V319" s="173">
        <f>IFERROR(VLOOKUP($B319,Totalt!$B$1:$AQ$554,MATCH(V$2,Totalt!$B$1:$AQ$1,0),FALSE),"")</f>
        <v>0</v>
      </c>
      <c r="W319" s="173">
        <f>IFERROR(VLOOKUP($B319,Totalt!$B$1:$AQ$554,MATCH(W$2,Totalt!$B$1:$AQ$1,0),FALSE),"")</f>
        <v>0</v>
      </c>
      <c r="X319" s="173">
        <f>IFERROR(VLOOKUP($B319,Totalt!$B$1:$AQ$554,MATCH(X$2,Totalt!$B$1:$AQ$1,0),FALSE),"")</f>
        <v>0</v>
      </c>
      <c r="Y319" s="173">
        <f>IFERROR(VLOOKUP($B319,Totalt!$B$1:$AQ$554,MATCH(Y$2,Totalt!$B$1:$AQ$1,0),FALSE),"")</f>
        <v>0</v>
      </c>
      <c r="Z319" s="173">
        <f>IFERROR(VLOOKUP($B319,Totalt!$B$1:$AQ$554,MATCH(Z$2,Totalt!$B$1:$AQ$1,0),FALSE),"")</f>
        <v>0</v>
      </c>
      <c r="AA319" s="173">
        <f>IFERROR(VLOOKUP($B319,Totalt!$B$1:$AQ$554,MATCH(AA$2,Totalt!$B$1:$AQ$1,0),FALSE),"")</f>
        <v>0</v>
      </c>
      <c r="AB319" s="173">
        <f>IFERROR(VLOOKUP($B319,Totalt!$B$1:$AQ$554,MATCH(AB$2,Totalt!$B$1:$AQ$1,0),FALSE),"")</f>
        <v>0</v>
      </c>
      <c r="AC319" s="173">
        <f>IFERROR(VLOOKUP($B319,Totalt!$B$1:$AQ$554,MATCH(AC$2,Totalt!$B$1:$AQ$1,0),FALSE),"")</f>
        <v>0</v>
      </c>
      <c r="AD319" s="173">
        <f>IFERROR(VLOOKUP($B319,Totalt!$B$1:$AQ$554,MATCH(AD$2,Totalt!$B$1:$AQ$1,0),FALSE),"")</f>
        <v>11.834</v>
      </c>
      <c r="AE319" s="173">
        <f>IFERROR(VLOOKUP($B319,Totalt!$B$1:$AQ$554,MATCH(AE$2,Totalt!$B$1:$AQ$1,0),FALSE),"")</f>
        <v>0</v>
      </c>
      <c r="AF319" s="173">
        <f>IFERROR(VLOOKUP($B319,Totalt!$B$1:$AQ$554,MATCH(AF$2,Totalt!$B$1:$AQ$1,0),FALSE),"")</f>
        <v>4.5999999999999999E-2</v>
      </c>
      <c r="AG319" s="173">
        <f>IFERROR(VLOOKUP($B319,Totalt!$B$1:$AQ$554,MATCH(AG$2,Totalt!$B$1:$AQ$1,0),FALSE),"")</f>
        <v>0</v>
      </c>
      <c r="AI319" s="226">
        <f t="shared" si="24"/>
        <v>18.889825999999999</v>
      </c>
      <c r="AJ319" s="226">
        <f>IF(ISERROR(1/VLOOKUP($B319,Leveranser!$B$1:$S$500,MATCH("såld värme (gwh)",Leveranser!$B$1:$S$1,0),FALSE)),"",VLOOKUP($B319,Leveranser!$B$1:$S$500,MATCH("såld värme (gwh)",Leveranser!$B$1:$S$1,0),FALSE))</f>
        <v>16.3</v>
      </c>
      <c r="AM319" s="227" t="str">
        <f>IF(B319&lt;&gt;"",IF(VLOOKUP($B319,Totalt!$B$1:$AQ$554,MATCH("Kvalitetsgranskad:",Totalt!$B$1:$AQ$1,0),FALSE)="ja",VLOOKUP($B319,Miljö!$B$1:$AG$479,MATCH(AM$2,Miljö!$B$1:$AK$1,0),FALSE),""),"")</f>
        <v>Ja</v>
      </c>
      <c r="AN319" s="227" t="str">
        <f>IF(AM319="ja",VLOOKUP($B319,Miljö!$B$1:$J$479,MATCH("Typ av ursprungsspecificerad el   (Om inget värde anges används Nordisk residualmix, se inforuta) ()",Miljö!$B$1:$J$1,0),FALSE),IF(AM319="nej","Nordisk residualel",""))</f>
        <v>'Bioel'</v>
      </c>
      <c r="AO319" s="227">
        <f>IF(AM319="","",VLOOKUP($B319,Miljö!$B$1:$J$479,MATCH("Fossilandel för ursprungspecificerad el ()",Miljö!$B$1:$J$1,0),FALSE))</f>
        <v>0</v>
      </c>
      <c r="AP319" s="227">
        <f>IF(AM319="","",IFERROR(VLOOKUP($B319,Miljö!$B$1:$J$479,MATCH("Kärnkraftsandel för ursprungsspecificerad el ()",Miljö!$B$1:$J$1,0),FALSE)/1,0))</f>
        <v>0</v>
      </c>
      <c r="AQ319" s="227">
        <f t="shared" si="25"/>
        <v>1</v>
      </c>
      <c r="AR319" s="227"/>
      <c r="AS319" s="227" t="str">
        <f t="shared" si="26"/>
        <v>Nej</v>
      </c>
      <c r="AT319" s="227" t="str">
        <f>IF(AS319="ja",VLOOKUP($B319,Miljö!$B$1:$O$500,MATCH("Fossil andel i procent (%)",Miljö!$B$1:$O$1,0),FALSE)/100,"")</f>
        <v/>
      </c>
      <c r="AU319" s="227"/>
      <c r="AV319" s="227" t="str">
        <f t="shared" si="27"/>
        <v>Nej</v>
      </c>
      <c r="AW319" s="227" t="str">
        <f>IF(AV319="ja",VLOOKUP($B319,'Egen hetvattenprod'!$B$1:$AO$500,MATCH("Värmekälla till värmepumpar ()",'Egen hetvattenprod'!$B$1:$AO$1,0),FALSE),"")</f>
        <v/>
      </c>
      <c r="AX319" s="227"/>
      <c r="AY319" s="227" t="str">
        <f t="shared" si="28"/>
        <v>Nej</v>
      </c>
      <c r="AZ319" s="228" t="str">
        <f>IF($AY319="ja",(VLOOKUP($B319,'Egen hetvattenprod'!$B$1:$BX$550,MATCH(AZ$2,'Egen hetvattenprod'!$B$1:$BX$1,0),FALSE)+VLOOKUP($B319,Kraftvärmeprod!$B$1:$BX$550,MATCH(AZ$2,Kraftvärmeprod!$B$1:$BX$1,0),FALSE))/$AC319,"")</f>
        <v/>
      </c>
      <c r="BA319" s="228" t="str">
        <f>IF($AY319="ja",(VLOOKUP($B319,'Egen hetvattenprod'!$B$1:$BX$550,MATCH(BA$2,'Egen hetvattenprod'!$B$1:$BX$1,0),FALSE)+VLOOKUP($B319,Kraftvärmeprod!$B$1:$BX$550,MATCH(BA$2,Kraftvärmeprod!$B$1:$BX$1,0),FALSE))/$AC319,"")</f>
        <v/>
      </c>
      <c r="BB319" s="228" t="str">
        <f>IF($AY319="ja",(VLOOKUP($B319,'Egen hetvattenprod'!$B$1:$BX$550,MATCH(BB$2,'Egen hetvattenprod'!$B$1:$BX$1,0),FALSE)+VLOOKUP($B319,Kraftvärmeprod!$B$1:$BX$550,MATCH(BB$2,Kraftvärmeprod!$B$1:$BX$1,0),FALSE))/$AC319,"")</f>
        <v/>
      </c>
      <c r="BC319" s="228" t="str">
        <f>IF($AY319="ja",(VLOOKUP($B319,'Egen hetvattenprod'!$B$1:$BX$550,MATCH(BC$2,'Egen hetvattenprod'!$B$1:$BX$1,0),FALSE)+VLOOKUP($B319,Kraftvärmeprod!$B$1:$BX$550,MATCH(BC$2,Kraftvärmeprod!$B$1:$BX$1,0),FALSE))/$AC319,"")</f>
        <v/>
      </c>
      <c r="BD319" s="228" t="str">
        <f>IF($AY319="ja",(VLOOKUP($B319,'Egen hetvattenprod'!$B$1:$BX$550,MATCH(BD$2,'Egen hetvattenprod'!$B$1:$BX$1,0),FALSE)+VLOOKUP($B319,Kraftvärmeprod!$B$1:$BX$550,MATCH(BD$2,Kraftvärmeprod!$B$1:$BX$1,0),FALSE))/$AC319,"")</f>
        <v/>
      </c>
      <c r="BE319" s="227"/>
      <c r="BF319" s="227" t="str">
        <f t="shared" si="29"/>
        <v>Nej</v>
      </c>
      <c r="BG319" s="227" t="str">
        <f>IF($BF319="ja",VLOOKUP($B319,'Egen hetvattenprod'!$B$1:$BX$550,MATCH("Andelen klimatgaser med fossilt ursprung för avfall ()",'Egen hetvattenprod'!$B$1:$BX$1,0),FALSE),"")</f>
        <v/>
      </c>
      <c r="BH319" s="227" t="str">
        <f>IF($BF319="ja",VLOOKUP($B319,Kraftvärmeprod!$B$1:$BX$550,MATCH("Andelen klimatgaser med fossilt ursprung för avfall ()",Kraftvärmeprod!$B$1:$BX$1,0),FALSE),"")</f>
        <v/>
      </c>
      <c r="BI319" s="227" t="str">
        <f>IF($BF319="ja",VLOOKUP($B319,'Egen hetvattenprod'!$B$1:$BX$550,MATCH("Avfall (GWh)",'Egen hetvattenprod'!$B$1:$BX$1,0),FALSE),"")</f>
        <v/>
      </c>
      <c r="BJ319" s="227" t="str">
        <f>IF($BF319="ja",VLOOKUP($B319,'Slutlig allokering kvv'!$B$1:$BX$550,MATCH("Avfall (GWh)",'Slutlig allokering kvv'!$B$1:$BX$1,0),FALSE),"")</f>
        <v/>
      </c>
      <c r="BK319" s="227" t="str">
        <f>IF($BF319="ja",VLOOKUP($B319,'Köpt hetvatten'!$B$1:$BX$550,MATCH("Avfall i köpt hetvatten",'Köpt hetvatten'!$B$1:$BX$1,0),FALSE),"")</f>
        <v/>
      </c>
      <c r="BL319" s="227" t="str">
        <f>IF($BF319="ja",VLOOKUP($B319,'Egen hetvattenprod'!$B$1:$BX$550,MATCH("Värde enligt ovan. (%)",'Egen hetvattenprod'!$B$1:$BX$1,0),FALSE),"")</f>
        <v/>
      </c>
      <c r="BM319" s="227" t="str">
        <f>IF($BF319="ja",VLOOKUP($B319,Kraftvärmeprod!$B$1:$BX$550,MATCH("Värde enligt ovan. (%)",Kraftvärmeprod!$B$1:$BX$1,0),FALSE),"")</f>
        <v/>
      </c>
      <c r="BN319" s="227"/>
      <c r="BO319" s="227"/>
      <c r="BP319" s="227"/>
      <c r="BQ319" s="227" t="str">
        <f>IF($BF319="ja",VLOOKUP($B319,'Egen hetvattenprod'!$B$1:$BX$550,MATCH("Tillförd olja (fossil) vid avfallsförbränning (GWh)",'Egen hetvattenprod'!$B$1:$BX$1,0),FALSE),"")</f>
        <v/>
      </c>
      <c r="BR319" s="227" t="str">
        <f>IF($BF319="ja",VLOOKUP($B319,Kraftvärmeprod!$B$1:$BX$550,MATCH("Tillförd olja (fossil) vid avfallsförbränning (GWh)",Kraftvärmeprod!$B$1:$BX$1,0),FALSE),"")</f>
        <v/>
      </c>
      <c r="BS319" s="227"/>
      <c r="BT319" s="227"/>
      <c r="BU319" s="227"/>
    </row>
    <row r="320" spans="1:73" x14ac:dyDescent="0.25">
      <c r="A320" s="121" t="str">
        <f>'Miljövärden för publ företag'!B323</f>
        <v>Värmevärden AB</v>
      </c>
      <c r="B320" s="121" t="str">
        <f>'Miljövärden för publ företag'!C323</f>
        <v>Kopparberg</v>
      </c>
      <c r="C320" s="173">
        <f>IFERROR(VLOOKUP($B320,Totalt!$B$1:$AQ$554,MATCH(C$2,Totalt!$B$1:$AQ$1,0),FALSE),"")</f>
        <v>0</v>
      </c>
      <c r="D320" s="173">
        <f>IFERROR(VLOOKUP($B320,Totalt!$B$1:$AQ$554,MATCH(D$2,Totalt!$B$1:$AQ$1,0),FALSE),"")</f>
        <v>0.41299999999999998</v>
      </c>
      <c r="E320" s="173">
        <f>IFERROR(VLOOKUP($B320,Totalt!$B$1:$AQ$554,MATCH(E$2,Totalt!$B$1:$AQ$1,0),FALSE),"")</f>
        <v>0</v>
      </c>
      <c r="F320" s="173">
        <f>IFERROR(VLOOKUP($B320,Totalt!$B$1:$AQ$554,MATCH(F$2,Totalt!$B$1:$AQ$1,0),FALSE),"")</f>
        <v>0</v>
      </c>
      <c r="G320" s="173">
        <f>IFERROR(VLOOKUP($B320,Totalt!$B$1:$AQ$554,MATCH(G$2,Totalt!$B$1:$AQ$1,0),FALSE),"")</f>
        <v>0</v>
      </c>
      <c r="H320" s="173">
        <f>IFERROR(VLOOKUP($B320,Totalt!$B$1:$AQ$554,MATCH(H$2,Totalt!$B$1:$AQ$1,0),FALSE),"")</f>
        <v>0</v>
      </c>
      <c r="I320" s="173">
        <f>IFERROR(VLOOKUP($B320,Totalt!$B$1:$AQ$554,MATCH(I$2,Totalt!$B$1:$AQ$1,0),FALSE),"")</f>
        <v>0</v>
      </c>
      <c r="J320" s="173">
        <f>IFERROR(VLOOKUP($B320,Totalt!$B$1:$AQ$554,MATCH(J$2,Totalt!$B$1:$AQ$1,0),FALSE),"")</f>
        <v>0</v>
      </c>
      <c r="K320" s="173">
        <f>IFERROR(VLOOKUP($B320,Totalt!$B$1:$AQ$554,MATCH(K$2,Totalt!$B$1:$AQ$1,0),FALSE),"")</f>
        <v>0</v>
      </c>
      <c r="L320" s="173">
        <f>IFERROR(VLOOKUP($B320,Totalt!$B$1:$AQ$554,MATCH(L$2,Totalt!$B$1:$AQ$1,0),FALSE),"")</f>
        <v>0</v>
      </c>
      <c r="M320" s="173">
        <f>IFERROR(VLOOKUP($B320,Totalt!$B$1:$AQ$554,MATCH(M$2,Totalt!$B$1:$AQ$1,0),FALSE),"")</f>
        <v>0</v>
      </c>
      <c r="N320" s="173">
        <f>IFERROR(VLOOKUP($B320,Totalt!$B$1:$AQ$554,MATCH(N$2,Totalt!$B$1:$AQ$1,0),FALSE),"")</f>
        <v>0</v>
      </c>
      <c r="O320" s="173">
        <f>IFERROR(VLOOKUP($B320,Totalt!$B$1:$AQ$554,MATCH(O$2,Totalt!$B$1:$AQ$1,0),FALSE),"")</f>
        <v>0</v>
      </c>
      <c r="P320" s="173">
        <f>IFERROR(VLOOKUP($B320,Totalt!$B$1:$AQ$554,MATCH(P$2,Totalt!$B$1:$AQ$1,0),FALSE),"")</f>
        <v>2.419</v>
      </c>
      <c r="Q320" s="173">
        <f>IFERROR(VLOOKUP($B320,Totalt!$B$1:$AQ$554,MATCH(Q$2,Totalt!$B$1:$AQ$1,0),FALSE),"")</f>
        <v>11.605</v>
      </c>
      <c r="R320" s="173">
        <f>IFERROR(VLOOKUP($B320,Totalt!$B$1:$AQ$554,MATCH(R$2,Totalt!$B$1:$AQ$1,0),FALSE),"")</f>
        <v>0</v>
      </c>
      <c r="S320" s="173">
        <f>IFERROR(VLOOKUP($B320,Totalt!$B$1:$AQ$554,MATCH(S$2,Totalt!$B$1:$AQ$1,0),FALSE),"")</f>
        <v>0.56899999999999995</v>
      </c>
      <c r="T320" s="173">
        <f>IFERROR(VLOOKUP($B320,Totalt!$B$1:$AQ$554,MATCH(T$2,Totalt!$B$1:$AQ$1,0),FALSE),"")</f>
        <v>0</v>
      </c>
      <c r="U320" s="173">
        <f>IFERROR(VLOOKUP($B320,Totalt!$B$1:$AQ$554,MATCH(U$2,Totalt!$B$1:$AQ$1,0),FALSE),"")</f>
        <v>0</v>
      </c>
      <c r="V320" s="173">
        <f>IFERROR(VLOOKUP($B320,Totalt!$B$1:$AQ$554,MATCH(V$2,Totalt!$B$1:$AQ$1,0),FALSE),"")</f>
        <v>0</v>
      </c>
      <c r="W320" s="173">
        <f>IFERROR(VLOOKUP($B320,Totalt!$B$1:$AQ$554,MATCH(W$2,Totalt!$B$1:$AQ$1,0),FALSE),"")</f>
        <v>0</v>
      </c>
      <c r="X320" s="173">
        <f>IFERROR(VLOOKUP($B320,Totalt!$B$1:$AQ$554,MATCH(X$2,Totalt!$B$1:$AQ$1,0),FALSE),"")</f>
        <v>0</v>
      </c>
      <c r="Y320" s="173">
        <f>IFERROR(VLOOKUP($B320,Totalt!$B$1:$AQ$554,MATCH(Y$2,Totalt!$B$1:$AQ$1,0),FALSE),"")</f>
        <v>0</v>
      </c>
      <c r="Z320" s="173">
        <f>IFERROR(VLOOKUP($B320,Totalt!$B$1:$AQ$554,MATCH(Z$2,Totalt!$B$1:$AQ$1,0),FALSE),"")</f>
        <v>0</v>
      </c>
      <c r="AA320" s="173">
        <f>IFERROR(VLOOKUP($B320,Totalt!$B$1:$AQ$554,MATCH(AA$2,Totalt!$B$1:$AQ$1,0),FALSE),"")</f>
        <v>0</v>
      </c>
      <c r="AB320" s="173">
        <f>IFERROR(VLOOKUP($B320,Totalt!$B$1:$AQ$554,MATCH(AB$2,Totalt!$B$1:$AQ$1,0),FALSE),"")</f>
        <v>0</v>
      </c>
      <c r="AC320" s="173">
        <f>IFERROR(VLOOKUP($B320,Totalt!$B$1:$AQ$554,MATCH(AC$2,Totalt!$B$1:$AQ$1,0),FALSE),"")</f>
        <v>0</v>
      </c>
      <c r="AD320" s="173">
        <f>IFERROR(VLOOKUP($B320,Totalt!$B$1:$AQ$554,MATCH(AD$2,Totalt!$B$1:$AQ$1,0),FALSE),"")</f>
        <v>0</v>
      </c>
      <c r="AE320" s="173">
        <f>IFERROR(VLOOKUP($B320,Totalt!$B$1:$AQ$554,MATCH(AE$2,Totalt!$B$1:$AQ$1,0),FALSE),"")</f>
        <v>0</v>
      </c>
      <c r="AF320" s="173">
        <f>IFERROR(VLOOKUP($B320,Totalt!$B$1:$AQ$554,MATCH(AF$2,Totalt!$B$1:$AQ$1,0),FALSE),"")</f>
        <v>0.33500000000000002</v>
      </c>
      <c r="AG320" s="173">
        <f>IFERROR(VLOOKUP($B320,Totalt!$B$1:$AQ$554,MATCH(AG$2,Totalt!$B$1:$AQ$1,0),FALSE),"")</f>
        <v>0</v>
      </c>
      <c r="AI320" s="226">
        <f t="shared" si="24"/>
        <v>15.341000000000001</v>
      </c>
      <c r="AJ320" s="226">
        <f>IF(ISERROR(1/VLOOKUP($B320,Leveranser!$B$1:$S$500,MATCH("såld värme (gwh)",Leveranser!$B$1:$S$1,0),FALSE)),"",VLOOKUP($B320,Leveranser!$B$1:$S$500,MATCH("såld värme (gwh)",Leveranser!$B$1:$S$1,0),FALSE))</f>
        <v>11.1</v>
      </c>
      <c r="AM320" s="227" t="str">
        <f>IF(B320&lt;&gt;"",IF(VLOOKUP($B320,Totalt!$B$1:$AQ$554,MATCH("Kvalitetsgranskad:",Totalt!$B$1:$AQ$1,0),FALSE)="ja",VLOOKUP($B320,Miljö!$B$1:$AG$479,MATCH(AM$2,Miljö!$B$1:$AK$1,0),FALSE),""),"")</f>
        <v>Ja</v>
      </c>
      <c r="AN320" s="227" t="str">
        <f>IF(AM320="ja",VLOOKUP($B320,Miljö!$B$1:$J$479,MATCH("Typ av ursprungsspecificerad el   (Om inget värde anges används Nordisk residualmix, se inforuta) ()",Miljö!$B$1:$J$1,0),FALSE),IF(AM320="nej","Nordisk residualel",""))</f>
        <v>'Bioel'</v>
      </c>
      <c r="AO320" s="227">
        <f>IF(AM320="","",VLOOKUP($B320,Miljö!$B$1:$J$479,MATCH("Fossilandel för ursprungspecificerad el ()",Miljö!$B$1:$J$1,0),FALSE))</f>
        <v>0</v>
      </c>
      <c r="AP320" s="227">
        <f>IF(AM320="","",IFERROR(VLOOKUP($B320,Miljö!$B$1:$J$479,MATCH("Kärnkraftsandel för ursprungsspecificerad el ()",Miljö!$B$1:$J$1,0),FALSE)/1,0))</f>
        <v>0</v>
      </c>
      <c r="AQ320" s="227">
        <f t="shared" si="25"/>
        <v>1</v>
      </c>
      <c r="AR320" s="227"/>
      <c r="AS320" s="227" t="str">
        <f t="shared" si="26"/>
        <v>Nej</v>
      </c>
      <c r="AT320" s="227" t="str">
        <f>IF(AS320="ja",VLOOKUP($B320,Miljö!$B$1:$O$500,MATCH("Fossil andel i procent (%)",Miljö!$B$1:$O$1,0),FALSE)/100,"")</f>
        <v/>
      </c>
      <c r="AU320" s="227"/>
      <c r="AV320" s="227" t="str">
        <f t="shared" si="27"/>
        <v>Nej</v>
      </c>
      <c r="AW320" s="227" t="str">
        <f>IF(AV320="ja",VLOOKUP($B320,'Egen hetvattenprod'!$B$1:$AO$500,MATCH("Värmekälla till värmepumpar ()",'Egen hetvattenprod'!$B$1:$AO$1,0),FALSE),"")</f>
        <v/>
      </c>
      <c r="AX320" s="227"/>
      <c r="AY320" s="227" t="str">
        <f t="shared" si="28"/>
        <v>Nej</v>
      </c>
      <c r="AZ320" s="228" t="str">
        <f>IF($AY320="ja",(VLOOKUP($B320,'Egen hetvattenprod'!$B$1:$BX$550,MATCH(AZ$2,'Egen hetvattenprod'!$B$1:$BX$1,0),FALSE)+VLOOKUP($B320,Kraftvärmeprod!$B$1:$BX$550,MATCH(AZ$2,Kraftvärmeprod!$B$1:$BX$1,0),FALSE))/$AC320,"")</f>
        <v/>
      </c>
      <c r="BA320" s="228" t="str">
        <f>IF($AY320="ja",(VLOOKUP($B320,'Egen hetvattenprod'!$B$1:$BX$550,MATCH(BA$2,'Egen hetvattenprod'!$B$1:$BX$1,0),FALSE)+VLOOKUP($B320,Kraftvärmeprod!$B$1:$BX$550,MATCH(BA$2,Kraftvärmeprod!$B$1:$BX$1,0),FALSE))/$AC320,"")</f>
        <v/>
      </c>
      <c r="BB320" s="228" t="str">
        <f>IF($AY320="ja",(VLOOKUP($B320,'Egen hetvattenprod'!$B$1:$BX$550,MATCH(BB$2,'Egen hetvattenprod'!$B$1:$BX$1,0),FALSE)+VLOOKUP($B320,Kraftvärmeprod!$B$1:$BX$550,MATCH(BB$2,Kraftvärmeprod!$B$1:$BX$1,0),FALSE))/$AC320,"")</f>
        <v/>
      </c>
      <c r="BC320" s="228" t="str">
        <f>IF($AY320="ja",(VLOOKUP($B320,'Egen hetvattenprod'!$B$1:$BX$550,MATCH(BC$2,'Egen hetvattenprod'!$B$1:$BX$1,0),FALSE)+VLOOKUP($B320,Kraftvärmeprod!$B$1:$BX$550,MATCH(BC$2,Kraftvärmeprod!$B$1:$BX$1,0),FALSE))/$AC320,"")</f>
        <v/>
      </c>
      <c r="BD320" s="228" t="str">
        <f>IF($AY320="ja",(VLOOKUP($B320,'Egen hetvattenprod'!$B$1:$BX$550,MATCH(BD$2,'Egen hetvattenprod'!$B$1:$BX$1,0),FALSE)+VLOOKUP($B320,Kraftvärmeprod!$B$1:$BX$550,MATCH(BD$2,Kraftvärmeprod!$B$1:$BX$1,0),FALSE))/$AC320,"")</f>
        <v/>
      </c>
      <c r="BE320" s="227"/>
      <c r="BF320" s="227" t="str">
        <f t="shared" si="29"/>
        <v>Nej</v>
      </c>
      <c r="BG320" s="227" t="str">
        <f>IF($BF320="ja",VLOOKUP($B320,'Egen hetvattenprod'!$B$1:$BX$550,MATCH("Andelen klimatgaser med fossilt ursprung för avfall ()",'Egen hetvattenprod'!$B$1:$BX$1,0),FALSE),"")</f>
        <v/>
      </c>
      <c r="BH320" s="227" t="str">
        <f>IF($BF320="ja",VLOOKUP($B320,Kraftvärmeprod!$B$1:$BX$550,MATCH("Andelen klimatgaser med fossilt ursprung för avfall ()",Kraftvärmeprod!$B$1:$BX$1,0),FALSE),"")</f>
        <v/>
      </c>
      <c r="BI320" s="227" t="str">
        <f>IF($BF320="ja",VLOOKUP($B320,'Egen hetvattenprod'!$B$1:$BX$550,MATCH("Avfall (GWh)",'Egen hetvattenprod'!$B$1:$BX$1,0),FALSE),"")</f>
        <v/>
      </c>
      <c r="BJ320" s="227" t="str">
        <f>IF($BF320="ja",VLOOKUP($B320,'Slutlig allokering kvv'!$B$1:$BX$550,MATCH("Avfall (GWh)",'Slutlig allokering kvv'!$B$1:$BX$1,0),FALSE),"")</f>
        <v/>
      </c>
      <c r="BK320" s="227" t="str">
        <f>IF($BF320="ja",VLOOKUP($B320,'Köpt hetvatten'!$B$1:$BX$550,MATCH("Avfall i köpt hetvatten",'Köpt hetvatten'!$B$1:$BX$1,0),FALSE),"")</f>
        <v/>
      </c>
      <c r="BL320" s="227" t="str">
        <f>IF($BF320="ja",VLOOKUP($B320,'Egen hetvattenprod'!$B$1:$BX$550,MATCH("Värde enligt ovan. (%)",'Egen hetvattenprod'!$B$1:$BX$1,0),FALSE),"")</f>
        <v/>
      </c>
      <c r="BM320" s="227" t="str">
        <f>IF($BF320="ja",VLOOKUP($B320,Kraftvärmeprod!$B$1:$BX$550,MATCH("Värde enligt ovan. (%)",Kraftvärmeprod!$B$1:$BX$1,0),FALSE),"")</f>
        <v/>
      </c>
      <c r="BN320" s="227"/>
      <c r="BO320" s="227"/>
      <c r="BP320" s="227"/>
      <c r="BQ320" s="227" t="str">
        <f>IF($BF320="ja",VLOOKUP($B320,'Egen hetvattenprod'!$B$1:$BX$550,MATCH("Tillförd olja (fossil) vid avfallsförbränning (GWh)",'Egen hetvattenprod'!$B$1:$BX$1,0),FALSE),"")</f>
        <v/>
      </c>
      <c r="BR320" s="227" t="str">
        <f>IF($BF320="ja",VLOOKUP($B320,Kraftvärmeprod!$B$1:$BX$550,MATCH("Tillförd olja (fossil) vid avfallsförbränning (GWh)",Kraftvärmeprod!$B$1:$BX$1,0),FALSE),"")</f>
        <v/>
      </c>
      <c r="BS320" s="227"/>
      <c r="BT320" s="227"/>
      <c r="BU320" s="227"/>
    </row>
    <row r="321" spans="1:73" x14ac:dyDescent="0.25">
      <c r="A321" s="121" t="str">
        <f>'Miljövärden för publ företag'!B324</f>
        <v>Värmevärden AB</v>
      </c>
      <c r="B321" s="121" t="str">
        <f>'Miljövärden för publ företag'!C324</f>
        <v>Kristinehamn(Värmevärden)</v>
      </c>
      <c r="C321" s="173">
        <f>IFERROR(VLOOKUP($B321,Totalt!$B$1:$AQ$554,MATCH(C$2,Totalt!$B$1:$AQ$1,0),FALSE),"")</f>
        <v>0</v>
      </c>
      <c r="D321" s="173">
        <f>IFERROR(VLOOKUP($B321,Totalt!$B$1:$AQ$554,MATCH(D$2,Totalt!$B$1:$AQ$1,0),FALSE),"")</f>
        <v>1.4119999999999999</v>
      </c>
      <c r="E321" s="173">
        <f>IFERROR(VLOOKUP($B321,Totalt!$B$1:$AQ$554,MATCH(E$2,Totalt!$B$1:$AQ$1,0),FALSE),"")</f>
        <v>0</v>
      </c>
      <c r="F321" s="173">
        <f>IFERROR(VLOOKUP($B321,Totalt!$B$1:$AQ$554,MATCH(F$2,Totalt!$B$1:$AQ$1,0),FALSE),"")</f>
        <v>0</v>
      </c>
      <c r="G321" s="173">
        <f>IFERROR(VLOOKUP($B321,Totalt!$B$1:$AQ$554,MATCH(G$2,Totalt!$B$1:$AQ$1,0),FALSE),"")</f>
        <v>0</v>
      </c>
      <c r="H321" s="173">
        <f>IFERROR(VLOOKUP($B321,Totalt!$B$1:$AQ$554,MATCH(H$2,Totalt!$B$1:$AQ$1,0),FALSE),"")</f>
        <v>0</v>
      </c>
      <c r="I321" s="173">
        <f>IFERROR(VLOOKUP($B321,Totalt!$B$1:$AQ$554,MATCH(I$2,Totalt!$B$1:$AQ$1,0),FALSE),"")</f>
        <v>0</v>
      </c>
      <c r="J321" s="173">
        <f>IFERROR(VLOOKUP($B321,Totalt!$B$1:$AQ$554,MATCH(J$2,Totalt!$B$1:$AQ$1,0),FALSE),"")</f>
        <v>0</v>
      </c>
      <c r="K321" s="173">
        <f>IFERROR(VLOOKUP($B321,Totalt!$B$1:$AQ$554,MATCH(K$2,Totalt!$B$1:$AQ$1,0),FALSE),"")</f>
        <v>0</v>
      </c>
      <c r="L321" s="173">
        <f>IFERROR(VLOOKUP($B321,Totalt!$B$1:$AQ$554,MATCH(L$2,Totalt!$B$1:$AQ$1,0),FALSE),"")</f>
        <v>0</v>
      </c>
      <c r="M321" s="173">
        <f>IFERROR(VLOOKUP($B321,Totalt!$B$1:$AQ$554,MATCH(M$2,Totalt!$B$1:$AQ$1,0),FALSE),"")</f>
        <v>51.36</v>
      </c>
      <c r="N321" s="173">
        <f>IFERROR(VLOOKUP($B321,Totalt!$B$1:$AQ$554,MATCH(N$2,Totalt!$B$1:$AQ$1,0),FALSE),"")</f>
        <v>40.195999999999998</v>
      </c>
      <c r="O321" s="173">
        <f>IFERROR(VLOOKUP($B321,Totalt!$B$1:$AQ$554,MATCH(O$2,Totalt!$B$1:$AQ$1,0),FALSE),"")</f>
        <v>0</v>
      </c>
      <c r="P321" s="173">
        <f>IFERROR(VLOOKUP($B321,Totalt!$B$1:$AQ$554,MATCH(P$2,Totalt!$B$1:$AQ$1,0),FALSE),"")</f>
        <v>8.7550000000000008</v>
      </c>
      <c r="Q321" s="173">
        <f>IFERROR(VLOOKUP($B321,Totalt!$B$1:$AQ$554,MATCH(Q$2,Totalt!$B$1:$AQ$1,0),FALSE),"")</f>
        <v>0</v>
      </c>
      <c r="R321" s="173">
        <f>IFERROR(VLOOKUP($B321,Totalt!$B$1:$AQ$554,MATCH(R$2,Totalt!$B$1:$AQ$1,0),FALSE),"")</f>
        <v>0</v>
      </c>
      <c r="S321" s="173">
        <f>IFERROR(VLOOKUP($B321,Totalt!$B$1:$AQ$554,MATCH(S$2,Totalt!$B$1:$AQ$1,0),FALSE),"")</f>
        <v>0</v>
      </c>
      <c r="T321" s="173">
        <f>IFERROR(VLOOKUP($B321,Totalt!$B$1:$AQ$554,MATCH(T$2,Totalt!$B$1:$AQ$1,0),FALSE),"")</f>
        <v>0</v>
      </c>
      <c r="U321" s="173">
        <f>IFERROR(VLOOKUP($B321,Totalt!$B$1:$AQ$554,MATCH(U$2,Totalt!$B$1:$AQ$1,0),FALSE),"")</f>
        <v>0</v>
      </c>
      <c r="V321" s="173">
        <f>IFERROR(VLOOKUP($B321,Totalt!$B$1:$AQ$554,MATCH(V$2,Totalt!$B$1:$AQ$1,0),FALSE),"")</f>
        <v>0</v>
      </c>
      <c r="W321" s="173">
        <f>IFERROR(VLOOKUP($B321,Totalt!$B$1:$AQ$554,MATCH(W$2,Totalt!$B$1:$AQ$1,0),FALSE),"")</f>
        <v>0</v>
      </c>
      <c r="X321" s="173">
        <f>IFERROR(VLOOKUP($B321,Totalt!$B$1:$AQ$554,MATCH(X$2,Totalt!$B$1:$AQ$1,0),FALSE),"")</f>
        <v>0</v>
      </c>
      <c r="Y321" s="173">
        <f>IFERROR(VLOOKUP($B321,Totalt!$B$1:$AQ$554,MATCH(Y$2,Totalt!$B$1:$AQ$1,0),FALSE),"")</f>
        <v>0</v>
      </c>
      <c r="Z321" s="173">
        <f>IFERROR(VLOOKUP($B321,Totalt!$B$1:$AQ$554,MATCH(Z$2,Totalt!$B$1:$AQ$1,0),FALSE),"")</f>
        <v>0</v>
      </c>
      <c r="AA321" s="173">
        <f>IFERROR(VLOOKUP($B321,Totalt!$B$1:$AQ$554,MATCH(AA$2,Totalt!$B$1:$AQ$1,0),FALSE),"")</f>
        <v>0</v>
      </c>
      <c r="AB321" s="173">
        <f>IFERROR(VLOOKUP($B321,Totalt!$B$1:$AQ$554,MATCH(AB$2,Totalt!$B$1:$AQ$1,0),FALSE),"")</f>
        <v>0</v>
      </c>
      <c r="AC321" s="173">
        <f>IFERROR(VLOOKUP($B321,Totalt!$B$1:$AQ$554,MATCH(AC$2,Totalt!$B$1:$AQ$1,0),FALSE),"")</f>
        <v>0</v>
      </c>
      <c r="AD321" s="173">
        <f>IFERROR(VLOOKUP($B321,Totalt!$B$1:$AQ$554,MATCH(AD$2,Totalt!$B$1:$AQ$1,0),FALSE),"")</f>
        <v>0</v>
      </c>
      <c r="AE321" s="173">
        <f>IFERROR(VLOOKUP($B321,Totalt!$B$1:$AQ$554,MATCH(AE$2,Totalt!$B$1:$AQ$1,0),FALSE),"")</f>
        <v>0</v>
      </c>
      <c r="AF321" s="173">
        <f>IFERROR(VLOOKUP($B321,Totalt!$B$1:$AQ$554,MATCH(AF$2,Totalt!$B$1:$AQ$1,0),FALSE),"")</f>
        <v>2.5230000000000001</v>
      </c>
      <c r="AG321" s="173">
        <f>IFERROR(VLOOKUP($B321,Totalt!$B$1:$AQ$554,MATCH(AG$2,Totalt!$B$1:$AQ$1,0),FALSE),"")</f>
        <v>0</v>
      </c>
      <c r="AI321" s="226">
        <f t="shared" si="24"/>
        <v>104.24599999999998</v>
      </c>
      <c r="AJ321" s="226">
        <f>IF(ISERROR(1/VLOOKUP($B321,Leveranser!$B$1:$S$500,MATCH("såld värme (gwh)",Leveranser!$B$1:$S$1,0),FALSE)),"",VLOOKUP($B321,Leveranser!$B$1:$S$500,MATCH("såld värme (gwh)",Leveranser!$B$1:$S$1,0),FALSE))</f>
        <v>93.7</v>
      </c>
      <c r="AM321" s="227" t="str">
        <f>IF(B321&lt;&gt;"",IF(VLOOKUP($B321,Totalt!$B$1:$AQ$554,MATCH("Kvalitetsgranskad:",Totalt!$B$1:$AQ$1,0),FALSE)="ja",VLOOKUP($B321,Miljö!$B$1:$AG$479,MATCH(AM$2,Miljö!$B$1:$AK$1,0),FALSE),""),"")</f>
        <v>Ja</v>
      </c>
      <c r="AN321" s="227" t="str">
        <f>IF(AM321="ja",VLOOKUP($B321,Miljö!$B$1:$J$479,MATCH("Typ av ursprungsspecificerad el   (Om inget värde anges används Nordisk residualmix, se inforuta) ()",Miljö!$B$1:$J$1,0),FALSE),IF(AM321="nej","Nordisk residualel",""))</f>
        <v>'Bioel'</v>
      </c>
      <c r="AO321" s="227">
        <f>IF(AM321="","",VLOOKUP($B321,Miljö!$B$1:$J$479,MATCH("Fossilandel för ursprungspecificerad el ()",Miljö!$B$1:$J$1,0),FALSE))</f>
        <v>0</v>
      </c>
      <c r="AP321" s="227">
        <f>IF(AM321="","",IFERROR(VLOOKUP($B321,Miljö!$B$1:$J$479,MATCH("Kärnkraftsandel för ursprungsspecificerad el ()",Miljö!$B$1:$J$1,0),FALSE)/1,0))</f>
        <v>0</v>
      </c>
      <c r="AQ321" s="227">
        <f t="shared" si="25"/>
        <v>1</v>
      </c>
      <c r="AR321" s="227"/>
      <c r="AS321" s="227" t="str">
        <f t="shared" si="26"/>
        <v>Nej</v>
      </c>
      <c r="AT321" s="227" t="str">
        <f>IF(AS321="ja",VLOOKUP($B321,Miljö!$B$1:$O$500,MATCH("Fossil andel i procent (%)",Miljö!$B$1:$O$1,0),FALSE)/100,"")</f>
        <v/>
      </c>
      <c r="AU321" s="227"/>
      <c r="AV321" s="227" t="str">
        <f t="shared" si="27"/>
        <v>Nej</v>
      </c>
      <c r="AW321" s="227" t="str">
        <f>IF(AV321="ja",VLOOKUP($B321,'Egen hetvattenprod'!$B$1:$AO$500,MATCH("Värmekälla till värmepumpar ()",'Egen hetvattenprod'!$B$1:$AO$1,0),FALSE),"")</f>
        <v/>
      </c>
      <c r="AX321" s="227"/>
      <c r="AY321" s="227" t="str">
        <f t="shared" si="28"/>
        <v>Nej</v>
      </c>
      <c r="AZ321" s="228" t="str">
        <f>IF($AY321="ja",(VLOOKUP($B321,'Egen hetvattenprod'!$B$1:$BX$550,MATCH(AZ$2,'Egen hetvattenprod'!$B$1:$BX$1,0),FALSE)+VLOOKUP($B321,Kraftvärmeprod!$B$1:$BX$550,MATCH(AZ$2,Kraftvärmeprod!$B$1:$BX$1,0),FALSE))/$AC321,"")</f>
        <v/>
      </c>
      <c r="BA321" s="228" t="str">
        <f>IF($AY321="ja",(VLOOKUP($B321,'Egen hetvattenprod'!$B$1:$BX$550,MATCH(BA$2,'Egen hetvattenprod'!$B$1:$BX$1,0),FALSE)+VLOOKUP($B321,Kraftvärmeprod!$B$1:$BX$550,MATCH(BA$2,Kraftvärmeprod!$B$1:$BX$1,0),FALSE))/$AC321,"")</f>
        <v/>
      </c>
      <c r="BB321" s="228" t="str">
        <f>IF($AY321="ja",(VLOOKUP($B321,'Egen hetvattenprod'!$B$1:$BX$550,MATCH(BB$2,'Egen hetvattenprod'!$B$1:$BX$1,0),FALSE)+VLOOKUP($B321,Kraftvärmeprod!$B$1:$BX$550,MATCH(BB$2,Kraftvärmeprod!$B$1:$BX$1,0),FALSE))/$AC321,"")</f>
        <v/>
      </c>
      <c r="BC321" s="228" t="str">
        <f>IF($AY321="ja",(VLOOKUP($B321,'Egen hetvattenprod'!$B$1:$BX$550,MATCH(BC$2,'Egen hetvattenprod'!$B$1:$BX$1,0),FALSE)+VLOOKUP($B321,Kraftvärmeprod!$B$1:$BX$550,MATCH(BC$2,Kraftvärmeprod!$B$1:$BX$1,0),FALSE))/$AC321,"")</f>
        <v/>
      </c>
      <c r="BD321" s="228" t="str">
        <f>IF($AY321="ja",(VLOOKUP($B321,'Egen hetvattenprod'!$B$1:$BX$550,MATCH(BD$2,'Egen hetvattenprod'!$B$1:$BX$1,0),FALSE)+VLOOKUP($B321,Kraftvärmeprod!$B$1:$BX$550,MATCH(BD$2,Kraftvärmeprod!$B$1:$BX$1,0),FALSE))/$AC321,"")</f>
        <v/>
      </c>
      <c r="BE321" s="227"/>
      <c r="BF321" s="227" t="str">
        <f t="shared" si="29"/>
        <v>Nej</v>
      </c>
      <c r="BG321" s="227" t="str">
        <f>IF($BF321="ja",VLOOKUP($B321,'Egen hetvattenprod'!$B$1:$BX$550,MATCH("Andelen klimatgaser med fossilt ursprung för avfall ()",'Egen hetvattenprod'!$B$1:$BX$1,0),FALSE),"")</f>
        <v/>
      </c>
      <c r="BH321" s="227" t="str">
        <f>IF($BF321="ja",VLOOKUP($B321,Kraftvärmeprod!$B$1:$BX$550,MATCH("Andelen klimatgaser med fossilt ursprung för avfall ()",Kraftvärmeprod!$B$1:$BX$1,0),FALSE),"")</f>
        <v/>
      </c>
      <c r="BI321" s="227" t="str">
        <f>IF($BF321="ja",VLOOKUP($B321,'Egen hetvattenprod'!$B$1:$BX$550,MATCH("Avfall (GWh)",'Egen hetvattenprod'!$B$1:$BX$1,0),FALSE),"")</f>
        <v/>
      </c>
      <c r="BJ321" s="227" t="str">
        <f>IF($BF321="ja",VLOOKUP($B321,'Slutlig allokering kvv'!$B$1:$BX$550,MATCH("Avfall (GWh)",'Slutlig allokering kvv'!$B$1:$BX$1,0),FALSE),"")</f>
        <v/>
      </c>
      <c r="BK321" s="227" t="str">
        <f>IF($BF321="ja",VLOOKUP($B321,'Köpt hetvatten'!$B$1:$BX$550,MATCH("Avfall i köpt hetvatten",'Köpt hetvatten'!$B$1:$BX$1,0),FALSE),"")</f>
        <v/>
      </c>
      <c r="BL321" s="227" t="str">
        <f>IF($BF321="ja",VLOOKUP($B321,'Egen hetvattenprod'!$B$1:$BX$550,MATCH("Värde enligt ovan. (%)",'Egen hetvattenprod'!$B$1:$BX$1,0),FALSE),"")</f>
        <v/>
      </c>
      <c r="BM321" s="227" t="str">
        <f>IF($BF321="ja",VLOOKUP($B321,Kraftvärmeprod!$B$1:$BX$550,MATCH("Värde enligt ovan. (%)",Kraftvärmeprod!$B$1:$BX$1,0),FALSE),"")</f>
        <v/>
      </c>
      <c r="BN321" s="227"/>
      <c r="BO321" s="227"/>
      <c r="BP321" s="227"/>
      <c r="BQ321" s="227" t="str">
        <f>IF($BF321="ja",VLOOKUP($B321,'Egen hetvattenprod'!$B$1:$BX$550,MATCH("Tillförd olja (fossil) vid avfallsförbränning (GWh)",'Egen hetvattenprod'!$B$1:$BX$1,0),FALSE),"")</f>
        <v/>
      </c>
      <c r="BR321" s="227" t="str">
        <f>IF($BF321="ja",VLOOKUP($B321,Kraftvärmeprod!$B$1:$BX$550,MATCH("Tillförd olja (fossil) vid avfallsförbränning (GWh)",Kraftvärmeprod!$B$1:$BX$1,0),FALSE),"")</f>
        <v/>
      </c>
      <c r="BS321" s="227"/>
      <c r="BT321" s="227"/>
      <c r="BU321" s="227"/>
    </row>
    <row r="322" spans="1:73" x14ac:dyDescent="0.25">
      <c r="A322" s="121" t="str">
        <f>'Miljövärden för publ företag'!B325</f>
        <v>Värmevärden AB</v>
      </c>
      <c r="B322" s="121" t="str">
        <f>'Miljövärden för publ företag'!C325</f>
        <v>Nynäshamn</v>
      </c>
      <c r="C322" s="173">
        <f>IFERROR(VLOOKUP($B322,Totalt!$B$1:$AQ$554,MATCH(C$2,Totalt!$B$1:$AQ$1,0),FALSE),"")</f>
        <v>0</v>
      </c>
      <c r="D322" s="173">
        <f>IFERROR(VLOOKUP($B322,Totalt!$B$1:$AQ$554,MATCH(D$2,Totalt!$B$1:$AQ$1,0),FALSE),"")</f>
        <v>1.35971</v>
      </c>
      <c r="E322" s="173">
        <f>IFERROR(VLOOKUP($B322,Totalt!$B$1:$AQ$554,MATCH(E$2,Totalt!$B$1:$AQ$1,0),FALSE),"")</f>
        <v>0</v>
      </c>
      <c r="F322" s="173">
        <f>IFERROR(VLOOKUP($B322,Totalt!$B$1:$AQ$554,MATCH(F$2,Totalt!$B$1:$AQ$1,0),FALSE),"")</f>
        <v>10.8201</v>
      </c>
      <c r="G322" s="173">
        <f>IFERROR(VLOOKUP($B322,Totalt!$B$1:$AQ$554,MATCH(G$2,Totalt!$B$1:$AQ$1,0),FALSE),"")</f>
        <v>0</v>
      </c>
      <c r="H322" s="173">
        <f>IFERROR(VLOOKUP($B322,Totalt!$B$1:$AQ$554,MATCH(H$2,Totalt!$B$1:$AQ$1,0),FALSE),"")</f>
        <v>0</v>
      </c>
      <c r="I322" s="173">
        <f>IFERROR(VLOOKUP($B322,Totalt!$B$1:$AQ$554,MATCH(I$2,Totalt!$B$1:$AQ$1,0),FALSE),"")</f>
        <v>8.6739200000000007</v>
      </c>
      <c r="J322" s="173">
        <f>IFERROR(VLOOKUP($B322,Totalt!$B$1:$AQ$554,MATCH(J$2,Totalt!$B$1:$AQ$1,0),FALSE),"")</f>
        <v>0</v>
      </c>
      <c r="K322" s="173">
        <f>IFERROR(VLOOKUP($B322,Totalt!$B$1:$AQ$554,MATCH(K$2,Totalt!$B$1:$AQ$1,0),FALSE),"")</f>
        <v>0</v>
      </c>
      <c r="L322" s="173">
        <f>IFERROR(VLOOKUP($B322,Totalt!$B$1:$AQ$554,MATCH(L$2,Totalt!$B$1:$AQ$1,0),FALSE),"")</f>
        <v>134.31200000000001</v>
      </c>
      <c r="M322" s="173">
        <f>IFERROR(VLOOKUP($B322,Totalt!$B$1:$AQ$554,MATCH(M$2,Totalt!$B$1:$AQ$1,0),FALSE),"")</f>
        <v>0</v>
      </c>
      <c r="N322" s="173">
        <f>IFERROR(VLOOKUP($B322,Totalt!$B$1:$AQ$554,MATCH(N$2,Totalt!$B$1:$AQ$1,0),FALSE),"")</f>
        <v>18.459099999999999</v>
      </c>
      <c r="O322" s="173">
        <f>IFERROR(VLOOKUP($B322,Totalt!$B$1:$AQ$554,MATCH(O$2,Totalt!$B$1:$AQ$1,0),FALSE),"")</f>
        <v>0</v>
      </c>
      <c r="P322" s="173">
        <f>IFERROR(VLOOKUP($B322,Totalt!$B$1:$AQ$554,MATCH(P$2,Totalt!$B$1:$AQ$1,0),FALSE),"")</f>
        <v>7.3144099999999996</v>
      </c>
      <c r="Q322" s="173">
        <f>IFERROR(VLOOKUP($B322,Totalt!$B$1:$AQ$554,MATCH(Q$2,Totalt!$B$1:$AQ$1,0),FALSE),"")</f>
        <v>0</v>
      </c>
      <c r="R322" s="173">
        <f>IFERROR(VLOOKUP($B322,Totalt!$B$1:$AQ$554,MATCH(R$2,Totalt!$B$1:$AQ$1,0),FALSE),"")</f>
        <v>0</v>
      </c>
      <c r="S322" s="173">
        <f>IFERROR(VLOOKUP($B322,Totalt!$B$1:$AQ$554,MATCH(S$2,Totalt!$B$1:$AQ$1,0),FALSE),"")</f>
        <v>0</v>
      </c>
      <c r="T322" s="173">
        <f>IFERROR(VLOOKUP($B322,Totalt!$B$1:$AQ$554,MATCH(T$2,Totalt!$B$1:$AQ$1,0),FALSE),"")</f>
        <v>0</v>
      </c>
      <c r="U322" s="173">
        <f>IFERROR(VLOOKUP($B322,Totalt!$B$1:$AQ$554,MATCH(U$2,Totalt!$B$1:$AQ$1,0),FALSE),"")</f>
        <v>0</v>
      </c>
      <c r="V322" s="173">
        <f>IFERROR(VLOOKUP($B322,Totalt!$B$1:$AQ$554,MATCH(V$2,Totalt!$B$1:$AQ$1,0),FALSE),"")</f>
        <v>0</v>
      </c>
      <c r="W322" s="173">
        <f>IFERROR(VLOOKUP($B322,Totalt!$B$1:$AQ$554,MATCH(W$2,Totalt!$B$1:$AQ$1,0),FALSE),"")</f>
        <v>0</v>
      </c>
      <c r="X322" s="173">
        <f>IFERROR(VLOOKUP($B322,Totalt!$B$1:$AQ$554,MATCH(X$2,Totalt!$B$1:$AQ$1,0),FALSE),"")</f>
        <v>0</v>
      </c>
      <c r="Y322" s="173">
        <f>IFERROR(VLOOKUP($B322,Totalt!$B$1:$AQ$554,MATCH(Y$2,Totalt!$B$1:$AQ$1,0),FALSE),"")</f>
        <v>0</v>
      </c>
      <c r="Z322" s="173">
        <f>IFERROR(VLOOKUP($B322,Totalt!$B$1:$AQ$554,MATCH(Z$2,Totalt!$B$1:$AQ$1,0),FALSE),"")</f>
        <v>14.81</v>
      </c>
      <c r="AA322" s="173">
        <f>IFERROR(VLOOKUP($B322,Totalt!$B$1:$AQ$554,MATCH(AA$2,Totalt!$B$1:$AQ$1,0),FALSE),"")</f>
        <v>0</v>
      </c>
      <c r="AB322" s="173">
        <f>IFERROR(VLOOKUP($B322,Totalt!$B$1:$AQ$554,MATCH(AB$2,Totalt!$B$1:$AQ$1,0),FALSE),"")</f>
        <v>0</v>
      </c>
      <c r="AC322" s="173">
        <f>IFERROR(VLOOKUP($B322,Totalt!$B$1:$AQ$554,MATCH(AC$2,Totalt!$B$1:$AQ$1,0),FALSE),"")</f>
        <v>23.391999999999999</v>
      </c>
      <c r="AD322" s="173">
        <f>IFERROR(VLOOKUP($B322,Totalt!$B$1:$AQ$554,MATCH(AD$2,Totalt!$B$1:$AQ$1,0),FALSE),"")</f>
        <v>28.494</v>
      </c>
      <c r="AE322" s="173">
        <f>IFERROR(VLOOKUP($B322,Totalt!$B$1:$AQ$554,MATCH(AE$2,Totalt!$B$1:$AQ$1,0),FALSE),"")</f>
        <v>0</v>
      </c>
      <c r="AF322" s="173">
        <f>IFERROR(VLOOKUP($B322,Totalt!$B$1:$AQ$554,MATCH(AF$2,Totalt!$B$1:$AQ$1,0),FALSE),"")</f>
        <v>6.9077799999999998</v>
      </c>
      <c r="AG322" s="173">
        <f>IFERROR(VLOOKUP($B322,Totalt!$B$1:$AQ$554,MATCH(AG$2,Totalt!$B$1:$AQ$1,0),FALSE),"")</f>
        <v>0</v>
      </c>
      <c r="AI322" s="226">
        <f t="shared" si="24"/>
        <v>254.54302000000001</v>
      </c>
      <c r="AJ322" s="226">
        <f>IF(ISERROR(1/VLOOKUP($B322,Leveranser!$B$1:$S$500,MATCH("såld värme (gwh)",Leveranser!$B$1:$S$1,0),FALSE)),"",VLOOKUP($B322,Leveranser!$B$1:$S$500,MATCH("såld värme (gwh)",Leveranser!$B$1:$S$1,0),FALSE))</f>
        <v>208.7</v>
      </c>
      <c r="AM322" s="227" t="str">
        <f>IF(B322&lt;&gt;"",IF(VLOOKUP($B322,Totalt!$B$1:$AQ$554,MATCH("Kvalitetsgranskad:",Totalt!$B$1:$AQ$1,0),FALSE)="ja",VLOOKUP($B322,Miljö!$B$1:$AG$479,MATCH(AM$2,Miljö!$B$1:$AK$1,0),FALSE),""),"")</f>
        <v>Nej</v>
      </c>
      <c r="AN322" s="227" t="str">
        <f>IF(AM322="ja",VLOOKUP($B322,Miljö!$B$1:$J$479,MATCH("Typ av ursprungsspecificerad el   (Om inget värde anges används Nordisk residualmix, se inforuta) ()",Miljö!$B$1:$J$1,0),FALSE),IF(AM322="nej","Nordisk residualel",""))</f>
        <v>Nordisk residualel</v>
      </c>
      <c r="AO322" s="227">
        <f>IF(AM322="","",VLOOKUP($B322,Miljö!$B$1:$J$479,MATCH("Fossilandel för ursprungspecificerad el ()",Miljö!$B$1:$J$1,0),FALSE))</f>
        <v>0.43</v>
      </c>
      <c r="AP322" s="227">
        <f>IF(AM322="","",IFERROR(VLOOKUP($B322,Miljö!$B$1:$J$479,MATCH("Kärnkraftsandel för ursprungsspecificerad el ()",Miljö!$B$1:$J$1,0),FALSE)/1,0))</f>
        <v>0.40550000000000003</v>
      </c>
      <c r="AQ322" s="227">
        <f t="shared" si="25"/>
        <v>0.16450000000000004</v>
      </c>
      <c r="AR322" s="227"/>
      <c r="AS322" s="227" t="str">
        <f t="shared" si="26"/>
        <v>Nej</v>
      </c>
      <c r="AT322" s="227" t="str">
        <f>IF(AS322="ja",VLOOKUP($B322,Miljö!$B$1:$O$500,MATCH("Fossil andel i procent (%)",Miljö!$B$1:$O$1,0),FALSE)/100,"")</f>
        <v/>
      </c>
      <c r="AU322" s="227"/>
      <c r="AV322" s="227" t="str">
        <f t="shared" si="27"/>
        <v>Nej</v>
      </c>
      <c r="AW322" s="227" t="str">
        <f>IF(AV322="ja",VLOOKUP($B322,'Egen hetvattenprod'!$B$1:$AO$500,MATCH("Värmekälla till värmepumpar ()",'Egen hetvattenprod'!$B$1:$AO$1,0),FALSE),"")</f>
        <v/>
      </c>
      <c r="AX322" s="227"/>
      <c r="AY322" s="227" t="str">
        <f t="shared" si="28"/>
        <v>Ja</v>
      </c>
      <c r="AZ322" s="228">
        <f>IF($AY322="ja",(VLOOKUP($B322,'Egen hetvattenprod'!$B$1:$BX$550,MATCH(AZ$2,'Egen hetvattenprod'!$B$1:$BX$1,0),FALSE)+VLOOKUP($B322,Kraftvärmeprod!$B$1:$BX$550,MATCH(AZ$2,Kraftvärmeprod!$B$1:$BX$1,0),FALSE))/$AC322,"")</f>
        <v>0.94999999999999984</v>
      </c>
      <c r="BA322" s="228">
        <f>IF($AY322="ja",(VLOOKUP($B322,'Egen hetvattenprod'!$B$1:$BX$550,MATCH(BA$2,'Egen hetvattenprod'!$B$1:$BX$1,0),FALSE)+VLOOKUP($B322,Kraftvärmeprod!$B$1:$BX$550,MATCH(BA$2,Kraftvärmeprod!$B$1:$BX$1,0),FALSE))/$AC322,"")</f>
        <v>0.04</v>
      </c>
      <c r="BB322" s="228">
        <f>IF($AY322="ja",(VLOOKUP($B322,'Egen hetvattenprod'!$B$1:$BX$550,MATCH(BB$2,'Egen hetvattenprod'!$B$1:$BX$1,0),FALSE)+VLOOKUP($B322,Kraftvärmeprod!$B$1:$BX$550,MATCH(BB$2,Kraftvärmeprod!$B$1:$BX$1,0),FALSE))/$AC322,"")</f>
        <v>0.01</v>
      </c>
      <c r="BC322" s="228">
        <f>IF($AY322="ja",(VLOOKUP($B322,'Egen hetvattenprod'!$B$1:$BX$550,MATCH(BC$2,'Egen hetvattenprod'!$B$1:$BX$1,0),FALSE)+VLOOKUP($B322,Kraftvärmeprod!$B$1:$BX$550,MATCH(BC$2,Kraftvärmeprod!$B$1:$BX$1,0),FALSE))/$AC322,"")</f>
        <v>0</v>
      </c>
      <c r="BD322" s="228">
        <f>IF($AY322="ja",(VLOOKUP($B322,'Egen hetvattenprod'!$B$1:$BX$550,MATCH(BD$2,'Egen hetvattenprod'!$B$1:$BX$1,0),FALSE)+VLOOKUP($B322,Kraftvärmeprod!$B$1:$BX$550,MATCH(BD$2,Kraftvärmeprod!$B$1:$BX$1,0),FALSE))/$AC322,"")</f>
        <v>0</v>
      </c>
      <c r="BE322" s="227"/>
      <c r="BF322" s="227" t="str">
        <f t="shared" si="29"/>
        <v>Ja</v>
      </c>
      <c r="BG322" s="227" t="str">
        <f>IF($BF322="ja",VLOOKUP($B322,'Egen hetvattenprod'!$B$1:$BX$550,MATCH("Andelen klimatgaser med fossilt ursprung för avfall ()",'Egen hetvattenprod'!$B$1:$BX$1,0),FALSE),"")</f>
        <v>Ingen redovisning</v>
      </c>
      <c r="BH322" s="227" t="str">
        <f>IF($BF322="ja",VLOOKUP($B322,Kraftvärmeprod!$B$1:$BX$550,MATCH("Andelen klimatgaser med fossilt ursprung för avfall ()",Kraftvärmeprod!$B$1:$BX$1,0),FALSE),"")</f>
        <v>Ingen redovisning</v>
      </c>
      <c r="BI322" s="227">
        <f>IF($BF322="ja",VLOOKUP($B322,'Egen hetvattenprod'!$B$1:$BX$550,MATCH("Avfall (GWh)",'Egen hetvattenprod'!$B$1:$BX$1,0),FALSE),"")</f>
        <v>8.1649999999999991</v>
      </c>
      <c r="BJ322" s="227">
        <f>IF($BF322="ja",VLOOKUP($B322,'Slutlig allokering kvv'!$B$1:$BX$550,MATCH("Avfall (GWh)",'Slutlig allokering kvv'!$B$1:$BX$1,0),FALSE),"")</f>
        <v>0.50892499999999996</v>
      </c>
      <c r="BK322" s="227">
        <f>IF($BF322="ja",VLOOKUP($B322,'Köpt hetvatten'!$B$1:$BX$550,MATCH("Avfall i köpt hetvatten",'Köpt hetvatten'!$B$1:$BX$1,0),FALSE),"")</f>
        <v>0</v>
      </c>
      <c r="BL322" s="227" t="str">
        <f>IF($BF322="ja",VLOOKUP($B322,'Egen hetvattenprod'!$B$1:$BX$550,MATCH("Värde enligt ovan. (%)",'Egen hetvattenprod'!$B$1:$BX$1,0),FALSE),"")</f>
        <v>ET</v>
      </c>
      <c r="BM322" s="227" t="str">
        <f>IF($BF322="ja",VLOOKUP($B322,Kraftvärmeprod!$B$1:$BX$550,MATCH("Värde enligt ovan. (%)",Kraftvärmeprod!$B$1:$BX$1,0),FALSE),"")</f>
        <v>ET</v>
      </c>
      <c r="BN322" s="227"/>
      <c r="BO322" s="227"/>
      <c r="BP322" s="227"/>
      <c r="BQ322" s="227" t="str">
        <f>IF($BF322="ja",VLOOKUP($B322,'Egen hetvattenprod'!$B$1:$BX$550,MATCH("Tillförd olja (fossil) vid avfallsförbränning (GWh)",'Egen hetvattenprod'!$B$1:$BX$1,0),FALSE),"")</f>
        <v>ET</v>
      </c>
      <c r="BR322" s="227" t="str">
        <f>IF($BF322="ja",VLOOKUP($B322,Kraftvärmeprod!$B$1:$BX$550,MATCH("Tillförd olja (fossil) vid avfallsförbränning (GWh)",Kraftvärmeprod!$B$1:$BX$1,0),FALSE),"")</f>
        <v>ET</v>
      </c>
      <c r="BS322" s="227"/>
      <c r="BT322" s="227"/>
      <c r="BU322" s="227"/>
    </row>
    <row r="323" spans="1:73" x14ac:dyDescent="0.25">
      <c r="A323" s="121" t="str">
        <f>'Miljövärden för publ företag'!B326</f>
        <v>Värmevärden AB</v>
      </c>
      <c r="B323" s="121" t="str">
        <f>'Miljövärden för publ företag'!C326</f>
        <v>Stöllet</v>
      </c>
      <c r="C323" s="173">
        <f>IFERROR(VLOOKUP($B323,Totalt!$B$1:$AQ$554,MATCH(C$2,Totalt!$B$1:$AQ$1,0),FALSE),"")</f>
        <v>0</v>
      </c>
      <c r="D323" s="173">
        <f>IFERROR(VLOOKUP($B323,Totalt!$B$1:$AQ$554,MATCH(D$2,Totalt!$B$1:$AQ$1,0),FALSE),"")</f>
        <v>8.9999999999999993E-3</v>
      </c>
      <c r="E323" s="173">
        <f>IFERROR(VLOOKUP($B323,Totalt!$B$1:$AQ$554,MATCH(E$2,Totalt!$B$1:$AQ$1,0),FALSE),"")</f>
        <v>0</v>
      </c>
      <c r="F323" s="173">
        <f>IFERROR(VLOOKUP($B323,Totalt!$B$1:$AQ$554,MATCH(F$2,Totalt!$B$1:$AQ$1,0),FALSE),"")</f>
        <v>0</v>
      </c>
      <c r="G323" s="173">
        <f>IFERROR(VLOOKUP($B323,Totalt!$B$1:$AQ$554,MATCH(G$2,Totalt!$B$1:$AQ$1,0),FALSE),"")</f>
        <v>0</v>
      </c>
      <c r="H323" s="173">
        <f>IFERROR(VLOOKUP($B323,Totalt!$B$1:$AQ$554,MATCH(H$2,Totalt!$B$1:$AQ$1,0),FALSE),"")</f>
        <v>0</v>
      </c>
      <c r="I323" s="173">
        <f>IFERROR(VLOOKUP($B323,Totalt!$B$1:$AQ$554,MATCH(I$2,Totalt!$B$1:$AQ$1,0),FALSE),"")</f>
        <v>0</v>
      </c>
      <c r="J323" s="173">
        <f>IFERROR(VLOOKUP($B323,Totalt!$B$1:$AQ$554,MATCH(J$2,Totalt!$B$1:$AQ$1,0),FALSE),"")</f>
        <v>0</v>
      </c>
      <c r="K323" s="173">
        <f>IFERROR(VLOOKUP($B323,Totalt!$B$1:$AQ$554,MATCH(K$2,Totalt!$B$1:$AQ$1,0),FALSE),"")</f>
        <v>0</v>
      </c>
      <c r="L323" s="173">
        <f>IFERROR(VLOOKUP($B323,Totalt!$B$1:$AQ$554,MATCH(L$2,Totalt!$B$1:$AQ$1,0),FALSE),"")</f>
        <v>0</v>
      </c>
      <c r="M323" s="173">
        <f>IFERROR(VLOOKUP($B323,Totalt!$B$1:$AQ$554,MATCH(M$2,Totalt!$B$1:$AQ$1,0),FALSE),"")</f>
        <v>0</v>
      </c>
      <c r="N323" s="173">
        <f>IFERROR(VLOOKUP($B323,Totalt!$B$1:$AQ$554,MATCH(N$2,Totalt!$B$1:$AQ$1,0),FALSE),"")</f>
        <v>0</v>
      </c>
      <c r="O323" s="173">
        <f>IFERROR(VLOOKUP($B323,Totalt!$B$1:$AQ$554,MATCH(O$2,Totalt!$B$1:$AQ$1,0),FALSE),"")</f>
        <v>0</v>
      </c>
      <c r="P323" s="173">
        <f>IFERROR(VLOOKUP($B323,Totalt!$B$1:$AQ$554,MATCH(P$2,Totalt!$B$1:$AQ$1,0),FALSE),"")</f>
        <v>0</v>
      </c>
      <c r="Q323" s="173">
        <f>IFERROR(VLOOKUP($B323,Totalt!$B$1:$AQ$554,MATCH(Q$2,Totalt!$B$1:$AQ$1,0),FALSE),"")</f>
        <v>0</v>
      </c>
      <c r="R323" s="173">
        <f>IFERROR(VLOOKUP($B323,Totalt!$B$1:$AQ$554,MATCH(R$2,Totalt!$B$1:$AQ$1,0),FALSE),"")</f>
        <v>0</v>
      </c>
      <c r="S323" s="173">
        <f>IFERROR(VLOOKUP($B323,Totalt!$B$1:$AQ$554,MATCH(S$2,Totalt!$B$1:$AQ$1,0),FALSE),"")</f>
        <v>2.577</v>
      </c>
      <c r="T323" s="173">
        <f>IFERROR(VLOOKUP($B323,Totalt!$B$1:$AQ$554,MATCH(T$2,Totalt!$B$1:$AQ$1,0),FALSE),"")</f>
        <v>0</v>
      </c>
      <c r="U323" s="173">
        <f>IFERROR(VLOOKUP($B323,Totalt!$B$1:$AQ$554,MATCH(U$2,Totalt!$B$1:$AQ$1,0),FALSE),"")</f>
        <v>0</v>
      </c>
      <c r="V323" s="173">
        <f>IFERROR(VLOOKUP($B323,Totalt!$B$1:$AQ$554,MATCH(V$2,Totalt!$B$1:$AQ$1,0),FALSE),"")</f>
        <v>0</v>
      </c>
      <c r="W323" s="173">
        <f>IFERROR(VLOOKUP($B323,Totalt!$B$1:$AQ$554,MATCH(W$2,Totalt!$B$1:$AQ$1,0),FALSE),"")</f>
        <v>0</v>
      </c>
      <c r="X323" s="173">
        <f>IFERROR(VLOOKUP($B323,Totalt!$B$1:$AQ$554,MATCH(X$2,Totalt!$B$1:$AQ$1,0),FALSE),"")</f>
        <v>0</v>
      </c>
      <c r="Y323" s="173">
        <f>IFERROR(VLOOKUP($B323,Totalt!$B$1:$AQ$554,MATCH(Y$2,Totalt!$B$1:$AQ$1,0),FALSE),"")</f>
        <v>0</v>
      </c>
      <c r="Z323" s="173">
        <f>IFERROR(VLOOKUP($B323,Totalt!$B$1:$AQ$554,MATCH(Z$2,Totalt!$B$1:$AQ$1,0),FALSE),"")</f>
        <v>0</v>
      </c>
      <c r="AA323" s="173">
        <f>IFERROR(VLOOKUP($B323,Totalt!$B$1:$AQ$554,MATCH(AA$2,Totalt!$B$1:$AQ$1,0),FALSE),"")</f>
        <v>0</v>
      </c>
      <c r="AB323" s="173">
        <f>IFERROR(VLOOKUP($B323,Totalt!$B$1:$AQ$554,MATCH(AB$2,Totalt!$B$1:$AQ$1,0),FALSE),"")</f>
        <v>0</v>
      </c>
      <c r="AC323" s="173">
        <f>IFERROR(VLOOKUP($B323,Totalt!$B$1:$AQ$554,MATCH(AC$2,Totalt!$B$1:$AQ$1,0),FALSE),"")</f>
        <v>0</v>
      </c>
      <c r="AD323" s="173">
        <f>IFERROR(VLOOKUP($B323,Totalt!$B$1:$AQ$554,MATCH(AD$2,Totalt!$B$1:$AQ$1,0),FALSE),"")</f>
        <v>0</v>
      </c>
      <c r="AE323" s="173">
        <f>IFERROR(VLOOKUP($B323,Totalt!$B$1:$AQ$554,MATCH(AE$2,Totalt!$B$1:$AQ$1,0),FALSE),"")</f>
        <v>0</v>
      </c>
      <c r="AF323" s="173">
        <f>IFERROR(VLOOKUP($B323,Totalt!$B$1:$AQ$554,MATCH(AF$2,Totalt!$B$1:$AQ$1,0),FALSE),"")</f>
        <v>0.06</v>
      </c>
      <c r="AG323" s="173">
        <f>IFERROR(VLOOKUP($B323,Totalt!$B$1:$AQ$554,MATCH(AG$2,Totalt!$B$1:$AQ$1,0),FALSE),"")</f>
        <v>0</v>
      </c>
      <c r="AI323" s="226">
        <f t="shared" ref="AI323:AI358" si="30">IF(B323&lt;&gt;"",SUM(C323:AG323),"")</f>
        <v>2.6459999999999999</v>
      </c>
      <c r="AJ323" s="226">
        <f>IF(ISERROR(1/VLOOKUP($B323,Leveranser!$B$1:$S$500,MATCH("såld värme (gwh)",Leveranser!$B$1:$S$1,0),FALSE)),"",VLOOKUP($B323,Leveranser!$B$1:$S$500,MATCH("såld värme (gwh)",Leveranser!$B$1:$S$1,0),FALSE))</f>
        <v>1.7</v>
      </c>
      <c r="AM323" s="227" t="str">
        <f>IF(B323&lt;&gt;"",IF(VLOOKUP($B323,Totalt!$B$1:$AQ$554,MATCH("Kvalitetsgranskad:",Totalt!$B$1:$AQ$1,0),FALSE)="ja",VLOOKUP($B323,Miljö!$B$1:$AG$479,MATCH(AM$2,Miljö!$B$1:$AK$1,0),FALSE),""),"")</f>
        <v>Ja</v>
      </c>
      <c r="AN323" s="227" t="str">
        <f>IF(AM323="ja",VLOOKUP($B323,Miljö!$B$1:$J$479,MATCH("Typ av ursprungsspecificerad el   (Om inget värde anges används Nordisk residualmix, se inforuta) ()",Miljö!$B$1:$J$1,0),FALSE),IF(AM323="nej","Nordisk residualel",""))</f>
        <v>'Bioel'</v>
      </c>
      <c r="AO323" s="227">
        <f>IF(AM323="","",VLOOKUP($B323,Miljö!$B$1:$J$479,MATCH("Fossilandel för ursprungspecificerad el ()",Miljö!$B$1:$J$1,0),FALSE))</f>
        <v>0</v>
      </c>
      <c r="AP323" s="227">
        <f>IF(AM323="","",IFERROR(VLOOKUP($B323,Miljö!$B$1:$J$479,MATCH("Kärnkraftsandel för ursprungsspecificerad el ()",Miljö!$B$1:$J$1,0),FALSE)/1,0))</f>
        <v>0</v>
      </c>
      <c r="AQ323" s="227">
        <f t="shared" si="25"/>
        <v>1</v>
      </c>
      <c r="AR323" s="227"/>
      <c r="AS323" s="227" t="str">
        <f t="shared" si="26"/>
        <v>Nej</v>
      </c>
      <c r="AT323" s="227" t="str">
        <f>IF(AS323="ja",VLOOKUP($B323,Miljö!$B$1:$O$500,MATCH("Fossil andel i procent (%)",Miljö!$B$1:$O$1,0),FALSE)/100,"")</f>
        <v/>
      </c>
      <c r="AU323" s="227"/>
      <c r="AV323" s="227" t="str">
        <f t="shared" si="27"/>
        <v>Nej</v>
      </c>
      <c r="AW323" s="227" t="str">
        <f>IF(AV323="ja",VLOOKUP($B323,'Egen hetvattenprod'!$B$1:$AO$500,MATCH("Värmekälla till värmepumpar ()",'Egen hetvattenprod'!$B$1:$AO$1,0),FALSE),"")</f>
        <v/>
      </c>
      <c r="AX323" s="227"/>
      <c r="AY323" s="227" t="str">
        <f t="shared" si="28"/>
        <v>Nej</v>
      </c>
      <c r="AZ323" s="228" t="str">
        <f>IF($AY323="ja",(VLOOKUP($B323,'Egen hetvattenprod'!$B$1:$BX$550,MATCH(AZ$2,'Egen hetvattenprod'!$B$1:$BX$1,0),FALSE)+VLOOKUP($B323,Kraftvärmeprod!$B$1:$BX$550,MATCH(AZ$2,Kraftvärmeprod!$B$1:$BX$1,0),FALSE))/$AC323,"")</f>
        <v/>
      </c>
      <c r="BA323" s="228" t="str">
        <f>IF($AY323="ja",(VLOOKUP($B323,'Egen hetvattenprod'!$B$1:$BX$550,MATCH(BA$2,'Egen hetvattenprod'!$B$1:$BX$1,0),FALSE)+VLOOKUP($B323,Kraftvärmeprod!$B$1:$BX$550,MATCH(BA$2,Kraftvärmeprod!$B$1:$BX$1,0),FALSE))/$AC323,"")</f>
        <v/>
      </c>
      <c r="BB323" s="228" t="str">
        <f>IF($AY323="ja",(VLOOKUP($B323,'Egen hetvattenprod'!$B$1:$BX$550,MATCH(BB$2,'Egen hetvattenprod'!$B$1:$BX$1,0),FALSE)+VLOOKUP($B323,Kraftvärmeprod!$B$1:$BX$550,MATCH(BB$2,Kraftvärmeprod!$B$1:$BX$1,0),FALSE))/$AC323,"")</f>
        <v/>
      </c>
      <c r="BC323" s="228" t="str">
        <f>IF($AY323="ja",(VLOOKUP($B323,'Egen hetvattenprod'!$B$1:$BX$550,MATCH(BC$2,'Egen hetvattenprod'!$B$1:$BX$1,0),FALSE)+VLOOKUP($B323,Kraftvärmeprod!$B$1:$BX$550,MATCH(BC$2,Kraftvärmeprod!$B$1:$BX$1,0),FALSE))/$AC323,"")</f>
        <v/>
      </c>
      <c r="BD323" s="228" t="str">
        <f>IF($AY323="ja",(VLOOKUP($B323,'Egen hetvattenprod'!$B$1:$BX$550,MATCH(BD$2,'Egen hetvattenprod'!$B$1:$BX$1,0),FALSE)+VLOOKUP($B323,Kraftvärmeprod!$B$1:$BX$550,MATCH(BD$2,Kraftvärmeprod!$B$1:$BX$1,0),FALSE))/$AC323,"")</f>
        <v/>
      </c>
      <c r="BE323" s="227"/>
      <c r="BF323" s="227" t="str">
        <f t="shared" si="29"/>
        <v>Nej</v>
      </c>
      <c r="BG323" s="227" t="str">
        <f>IF($BF323="ja",VLOOKUP($B323,'Egen hetvattenprod'!$B$1:$BX$550,MATCH("Andelen klimatgaser med fossilt ursprung för avfall ()",'Egen hetvattenprod'!$B$1:$BX$1,0),FALSE),"")</f>
        <v/>
      </c>
      <c r="BH323" s="227" t="str">
        <f>IF($BF323="ja",VLOOKUP($B323,Kraftvärmeprod!$B$1:$BX$550,MATCH("Andelen klimatgaser med fossilt ursprung för avfall ()",Kraftvärmeprod!$B$1:$BX$1,0),FALSE),"")</f>
        <v/>
      </c>
      <c r="BI323" s="227" t="str">
        <f>IF($BF323="ja",VLOOKUP($B323,'Egen hetvattenprod'!$B$1:$BX$550,MATCH("Avfall (GWh)",'Egen hetvattenprod'!$B$1:$BX$1,0),FALSE),"")</f>
        <v/>
      </c>
      <c r="BJ323" s="227" t="str">
        <f>IF($BF323="ja",VLOOKUP($B323,'Slutlig allokering kvv'!$B$1:$BX$550,MATCH("Avfall (GWh)",'Slutlig allokering kvv'!$B$1:$BX$1,0),FALSE),"")</f>
        <v/>
      </c>
      <c r="BK323" s="227" t="str">
        <f>IF($BF323="ja",VLOOKUP($B323,'Köpt hetvatten'!$B$1:$BX$550,MATCH("Avfall i köpt hetvatten",'Köpt hetvatten'!$B$1:$BX$1,0),FALSE),"")</f>
        <v/>
      </c>
      <c r="BL323" s="227" t="str">
        <f>IF($BF323="ja",VLOOKUP($B323,'Egen hetvattenprod'!$B$1:$BX$550,MATCH("Värde enligt ovan. (%)",'Egen hetvattenprod'!$B$1:$BX$1,0),FALSE),"")</f>
        <v/>
      </c>
      <c r="BM323" s="227" t="str">
        <f>IF($BF323="ja",VLOOKUP($B323,Kraftvärmeprod!$B$1:$BX$550,MATCH("Värde enligt ovan. (%)",Kraftvärmeprod!$B$1:$BX$1,0),FALSE),"")</f>
        <v/>
      </c>
      <c r="BN323" s="227"/>
      <c r="BO323" s="227"/>
      <c r="BP323" s="227"/>
      <c r="BQ323" s="227" t="str">
        <f>IF($BF323="ja",VLOOKUP($B323,'Egen hetvattenprod'!$B$1:$BX$550,MATCH("Tillförd olja (fossil) vid avfallsförbränning (GWh)",'Egen hetvattenprod'!$B$1:$BX$1,0),FALSE),"")</f>
        <v/>
      </c>
      <c r="BR323" s="227" t="str">
        <f>IF($BF323="ja",VLOOKUP($B323,Kraftvärmeprod!$B$1:$BX$550,MATCH("Tillförd olja (fossil) vid avfallsförbränning (GWh)",Kraftvärmeprod!$B$1:$BX$1,0),FALSE),"")</f>
        <v/>
      </c>
      <c r="BS323" s="227"/>
      <c r="BT323" s="227"/>
      <c r="BU323" s="227"/>
    </row>
    <row r="324" spans="1:73" x14ac:dyDescent="0.25">
      <c r="A324" s="121" t="str">
        <f>'Miljövärden för publ företag'!B327</f>
        <v>Värmevärden AB</v>
      </c>
      <c r="B324" s="121" t="str">
        <f>'Miljövärden för publ företag'!C327</f>
        <v xml:space="preserve">Säffle </v>
      </c>
      <c r="C324" s="173">
        <f>IFERROR(VLOOKUP($B324,Totalt!$B$1:$AQ$554,MATCH(C$2,Totalt!$B$1:$AQ$1,0),FALSE),"")</f>
        <v>0</v>
      </c>
      <c r="D324" s="173">
        <f>IFERROR(VLOOKUP($B324,Totalt!$B$1:$AQ$554,MATCH(D$2,Totalt!$B$1:$AQ$1,0),FALSE),"")</f>
        <v>0.59599999999999997</v>
      </c>
      <c r="E324" s="173">
        <f>IFERROR(VLOOKUP($B324,Totalt!$B$1:$AQ$554,MATCH(E$2,Totalt!$B$1:$AQ$1,0),FALSE),"")</f>
        <v>3.468</v>
      </c>
      <c r="F324" s="173">
        <f>IFERROR(VLOOKUP($B324,Totalt!$B$1:$AQ$554,MATCH(F$2,Totalt!$B$1:$AQ$1,0),FALSE),"")</f>
        <v>0</v>
      </c>
      <c r="G324" s="173">
        <f>IFERROR(VLOOKUP($B324,Totalt!$B$1:$AQ$554,MATCH(G$2,Totalt!$B$1:$AQ$1,0),FALSE),"")</f>
        <v>0</v>
      </c>
      <c r="H324" s="173">
        <f>IFERROR(VLOOKUP($B324,Totalt!$B$1:$AQ$554,MATCH(H$2,Totalt!$B$1:$AQ$1,0),FALSE),"")</f>
        <v>0</v>
      </c>
      <c r="I324" s="173">
        <f>IFERROR(VLOOKUP($B324,Totalt!$B$1:$AQ$554,MATCH(I$2,Totalt!$B$1:$AQ$1,0),FALSE),"")</f>
        <v>0</v>
      </c>
      <c r="J324" s="173">
        <f>IFERROR(VLOOKUP($B324,Totalt!$B$1:$AQ$554,MATCH(J$2,Totalt!$B$1:$AQ$1,0),FALSE),"")</f>
        <v>0</v>
      </c>
      <c r="K324" s="173">
        <f>IFERROR(VLOOKUP($B324,Totalt!$B$1:$AQ$554,MATCH(K$2,Totalt!$B$1:$AQ$1,0),FALSE),"")</f>
        <v>0</v>
      </c>
      <c r="L324" s="173">
        <f>IFERROR(VLOOKUP($B324,Totalt!$B$1:$AQ$554,MATCH(L$2,Totalt!$B$1:$AQ$1,0),FALSE),"")</f>
        <v>0</v>
      </c>
      <c r="M324" s="173">
        <f>IFERROR(VLOOKUP($B324,Totalt!$B$1:$AQ$554,MATCH(M$2,Totalt!$B$1:$AQ$1,0),FALSE),"")</f>
        <v>0</v>
      </c>
      <c r="N324" s="173">
        <f>IFERROR(VLOOKUP($B324,Totalt!$B$1:$AQ$554,MATCH(N$2,Totalt!$B$1:$AQ$1,0),FALSE),"")</f>
        <v>0</v>
      </c>
      <c r="O324" s="173">
        <f>IFERROR(VLOOKUP($B324,Totalt!$B$1:$AQ$554,MATCH(O$2,Totalt!$B$1:$AQ$1,0),FALSE),"")</f>
        <v>0</v>
      </c>
      <c r="P324" s="173">
        <f>IFERROR(VLOOKUP($B324,Totalt!$B$1:$AQ$554,MATCH(P$2,Totalt!$B$1:$AQ$1,0),FALSE),"")</f>
        <v>0</v>
      </c>
      <c r="Q324" s="173">
        <f>IFERROR(VLOOKUP($B324,Totalt!$B$1:$AQ$554,MATCH(Q$2,Totalt!$B$1:$AQ$1,0),FALSE),"")</f>
        <v>0</v>
      </c>
      <c r="R324" s="173">
        <f>IFERROR(VLOOKUP($B324,Totalt!$B$1:$AQ$554,MATCH(R$2,Totalt!$B$1:$AQ$1,0),FALSE),"")</f>
        <v>33.186999999999998</v>
      </c>
      <c r="S324" s="173">
        <f>IFERROR(VLOOKUP($B324,Totalt!$B$1:$AQ$554,MATCH(S$2,Totalt!$B$1:$AQ$1,0),FALSE),"")</f>
        <v>0</v>
      </c>
      <c r="T324" s="173">
        <f>IFERROR(VLOOKUP($B324,Totalt!$B$1:$AQ$554,MATCH(T$2,Totalt!$B$1:$AQ$1,0),FALSE),"")</f>
        <v>0</v>
      </c>
      <c r="U324" s="173">
        <f>IFERROR(VLOOKUP($B324,Totalt!$B$1:$AQ$554,MATCH(U$2,Totalt!$B$1:$AQ$1,0),FALSE),"")</f>
        <v>0</v>
      </c>
      <c r="V324" s="173">
        <f>IFERROR(VLOOKUP($B324,Totalt!$B$1:$AQ$554,MATCH(V$2,Totalt!$B$1:$AQ$1,0),FALSE),"")</f>
        <v>0</v>
      </c>
      <c r="W324" s="173">
        <f>IFERROR(VLOOKUP($B324,Totalt!$B$1:$AQ$554,MATCH(W$2,Totalt!$B$1:$AQ$1,0),FALSE),"")</f>
        <v>0</v>
      </c>
      <c r="X324" s="173">
        <f>IFERROR(VLOOKUP($B324,Totalt!$B$1:$AQ$554,MATCH(X$2,Totalt!$B$1:$AQ$1,0),FALSE),"")</f>
        <v>0</v>
      </c>
      <c r="Y324" s="173">
        <f>IFERROR(VLOOKUP($B324,Totalt!$B$1:$AQ$554,MATCH(Y$2,Totalt!$B$1:$AQ$1,0),FALSE),"")</f>
        <v>0</v>
      </c>
      <c r="Z324" s="173">
        <f>IFERROR(VLOOKUP($B324,Totalt!$B$1:$AQ$554,MATCH(Z$2,Totalt!$B$1:$AQ$1,0),FALSE),"")</f>
        <v>0</v>
      </c>
      <c r="AA324" s="173">
        <f>IFERROR(VLOOKUP($B324,Totalt!$B$1:$AQ$554,MATCH(AA$2,Totalt!$B$1:$AQ$1,0),FALSE),"")</f>
        <v>0</v>
      </c>
      <c r="AB324" s="173">
        <f>IFERROR(VLOOKUP($B324,Totalt!$B$1:$AQ$554,MATCH(AB$2,Totalt!$B$1:$AQ$1,0),FALSE),"")</f>
        <v>0</v>
      </c>
      <c r="AC324" s="173">
        <f>IFERROR(VLOOKUP($B324,Totalt!$B$1:$AQ$554,MATCH(AC$2,Totalt!$B$1:$AQ$1,0),FALSE),"")</f>
        <v>0</v>
      </c>
      <c r="AD324" s="173">
        <f>IFERROR(VLOOKUP($B324,Totalt!$B$1:$AQ$554,MATCH(AD$2,Totalt!$B$1:$AQ$1,0),FALSE),"")</f>
        <v>20.366</v>
      </c>
      <c r="AE324" s="173">
        <f>IFERROR(VLOOKUP($B324,Totalt!$B$1:$AQ$554,MATCH(AE$2,Totalt!$B$1:$AQ$1,0),FALSE),"")</f>
        <v>0</v>
      </c>
      <c r="AF324" s="173">
        <f>IFERROR(VLOOKUP($B324,Totalt!$B$1:$AQ$554,MATCH(AF$2,Totalt!$B$1:$AQ$1,0),FALSE),"")</f>
        <v>0.70699999999999996</v>
      </c>
      <c r="AG324" s="173">
        <f>IFERROR(VLOOKUP($B324,Totalt!$B$1:$AQ$554,MATCH(AG$2,Totalt!$B$1:$AQ$1,0),FALSE),"")</f>
        <v>0</v>
      </c>
      <c r="AI324" s="226">
        <f t="shared" si="30"/>
        <v>58.323999999999998</v>
      </c>
      <c r="AJ324" s="226">
        <f>IF(ISERROR(1/VLOOKUP($B324,Leveranser!$B$1:$S$500,MATCH("såld värme (gwh)",Leveranser!$B$1:$S$1,0),FALSE)),"",VLOOKUP($B324,Leveranser!$B$1:$S$500,MATCH("såld värme (gwh)",Leveranser!$B$1:$S$1,0),FALSE))</f>
        <v>49.863</v>
      </c>
      <c r="AM324" s="227" t="str">
        <f>IF(B324&lt;&gt;"",IF(VLOOKUP($B324,Totalt!$B$1:$AQ$554,MATCH("Kvalitetsgranskad:",Totalt!$B$1:$AQ$1,0),FALSE)="ja",VLOOKUP($B324,Miljö!$B$1:$AG$479,MATCH(AM$2,Miljö!$B$1:$AK$1,0),FALSE),""),"")</f>
        <v>Nej</v>
      </c>
      <c r="AN324" s="227" t="str">
        <f>IF(AM324="ja",VLOOKUP($B324,Miljö!$B$1:$J$479,MATCH("Typ av ursprungsspecificerad el   (Om inget värde anges används Nordisk residualmix, se inforuta) ()",Miljö!$B$1:$J$1,0),FALSE),IF(AM324="nej","Nordisk residualel",""))</f>
        <v>Nordisk residualel</v>
      </c>
      <c r="AO324" s="227">
        <f>IF(AM324="","",VLOOKUP($B324,Miljö!$B$1:$J$479,MATCH("Fossilandel för ursprungspecificerad el ()",Miljö!$B$1:$J$1,0),FALSE))</f>
        <v>0.43</v>
      </c>
      <c r="AP324" s="227">
        <f>IF(AM324="","",IFERROR(VLOOKUP($B324,Miljö!$B$1:$J$479,MATCH("Kärnkraftsandel för ursprungsspecificerad el ()",Miljö!$B$1:$J$1,0),FALSE)/1,0))</f>
        <v>0.40550000000000003</v>
      </c>
      <c r="AQ324" s="227">
        <f t="shared" ref="AQ324:AQ358" si="31">IF(AM324="","",1-AO324-AP324)</f>
        <v>0.16450000000000004</v>
      </c>
      <c r="AR324" s="227"/>
      <c r="AS324" s="227" t="str">
        <f t="shared" ref="AS324:AS358" si="32">IF(B324&lt;&gt;"",IF(AND(AG324&gt;0,AG324&lt;&gt;""),"Ja","Nej"),"")</f>
        <v>Nej</v>
      </c>
      <c r="AT324" s="227" t="str">
        <f>IF(AS324="ja",VLOOKUP($B324,Miljö!$B$1:$O$500,MATCH("Fossil andel i procent (%)",Miljö!$B$1:$O$1,0),FALSE)/100,"")</f>
        <v/>
      </c>
      <c r="AU324" s="227"/>
      <c r="AV324" s="227" t="str">
        <f t="shared" ref="AV324:AV358" si="33">IF(B324&lt;&gt;"",IF(AND(AB324&gt;0,AB324&lt;&gt;""),"Ja","Nej"),"")</f>
        <v>Nej</v>
      </c>
      <c r="AW324" s="227" t="str">
        <f>IF(AV324="ja",VLOOKUP($B324,'Egen hetvattenprod'!$B$1:$AO$500,MATCH("Värmekälla till värmepumpar ()",'Egen hetvattenprod'!$B$1:$AO$1,0),FALSE),"")</f>
        <v/>
      </c>
      <c r="AX324" s="227"/>
      <c r="AY324" s="227" t="str">
        <f t="shared" ref="AY324:AY358" si="34">IF(B324&lt;&gt;"",IF(AND(AC324&gt;0,AC324&lt;&gt;""),"Ja","Nej"),"")</f>
        <v>Nej</v>
      </c>
      <c r="AZ324" s="228" t="str">
        <f>IF($AY324="ja",(VLOOKUP($B324,'Egen hetvattenprod'!$B$1:$BX$550,MATCH(AZ$2,'Egen hetvattenprod'!$B$1:$BX$1,0),FALSE)+VLOOKUP($B324,Kraftvärmeprod!$B$1:$BX$550,MATCH(AZ$2,Kraftvärmeprod!$B$1:$BX$1,0),FALSE))/$AC324,"")</f>
        <v/>
      </c>
      <c r="BA324" s="228" t="str">
        <f>IF($AY324="ja",(VLOOKUP($B324,'Egen hetvattenprod'!$B$1:$BX$550,MATCH(BA$2,'Egen hetvattenprod'!$B$1:$BX$1,0),FALSE)+VLOOKUP($B324,Kraftvärmeprod!$B$1:$BX$550,MATCH(BA$2,Kraftvärmeprod!$B$1:$BX$1,0),FALSE))/$AC324,"")</f>
        <v/>
      </c>
      <c r="BB324" s="228" t="str">
        <f>IF($AY324="ja",(VLOOKUP($B324,'Egen hetvattenprod'!$B$1:$BX$550,MATCH(BB$2,'Egen hetvattenprod'!$B$1:$BX$1,0),FALSE)+VLOOKUP($B324,Kraftvärmeprod!$B$1:$BX$550,MATCH(BB$2,Kraftvärmeprod!$B$1:$BX$1,0),FALSE))/$AC324,"")</f>
        <v/>
      </c>
      <c r="BC324" s="228" t="str">
        <f>IF($AY324="ja",(VLOOKUP($B324,'Egen hetvattenprod'!$B$1:$BX$550,MATCH(BC$2,'Egen hetvattenprod'!$B$1:$BX$1,0),FALSE)+VLOOKUP($B324,Kraftvärmeprod!$B$1:$BX$550,MATCH(BC$2,Kraftvärmeprod!$B$1:$BX$1,0),FALSE))/$AC324,"")</f>
        <v/>
      </c>
      <c r="BD324" s="228" t="str">
        <f>IF($AY324="ja",(VLOOKUP($B324,'Egen hetvattenprod'!$B$1:$BX$550,MATCH(BD$2,'Egen hetvattenprod'!$B$1:$BX$1,0),FALSE)+VLOOKUP($B324,Kraftvärmeprod!$B$1:$BX$550,MATCH(BD$2,Kraftvärmeprod!$B$1:$BX$1,0),FALSE))/$AC324,"")</f>
        <v/>
      </c>
      <c r="BE324" s="227"/>
      <c r="BF324" s="227" t="str">
        <f t="shared" ref="BF324:BF358" si="35">IF(B324&lt;&gt;"",IF(AND(I324&gt;0,I324&lt;&gt;""),"Ja","Nej"),"")</f>
        <v>Nej</v>
      </c>
      <c r="BG324" s="227" t="str">
        <f>IF($BF324="ja",VLOOKUP($B324,'Egen hetvattenprod'!$B$1:$BX$550,MATCH("Andelen klimatgaser med fossilt ursprung för avfall ()",'Egen hetvattenprod'!$B$1:$BX$1,0),FALSE),"")</f>
        <v/>
      </c>
      <c r="BH324" s="227" t="str">
        <f>IF($BF324="ja",VLOOKUP($B324,Kraftvärmeprod!$B$1:$BX$550,MATCH("Andelen klimatgaser med fossilt ursprung för avfall ()",Kraftvärmeprod!$B$1:$BX$1,0),FALSE),"")</f>
        <v/>
      </c>
      <c r="BI324" s="227" t="str">
        <f>IF($BF324="ja",VLOOKUP($B324,'Egen hetvattenprod'!$B$1:$BX$550,MATCH("Avfall (GWh)",'Egen hetvattenprod'!$B$1:$BX$1,0),FALSE),"")</f>
        <v/>
      </c>
      <c r="BJ324" s="227" t="str">
        <f>IF($BF324="ja",VLOOKUP($B324,'Slutlig allokering kvv'!$B$1:$BX$550,MATCH("Avfall (GWh)",'Slutlig allokering kvv'!$B$1:$BX$1,0),FALSE),"")</f>
        <v/>
      </c>
      <c r="BK324" s="227" t="str">
        <f>IF($BF324="ja",VLOOKUP($B324,'Köpt hetvatten'!$B$1:$BX$550,MATCH("Avfall i köpt hetvatten",'Köpt hetvatten'!$B$1:$BX$1,0),FALSE),"")</f>
        <v/>
      </c>
      <c r="BL324" s="227" t="str">
        <f>IF($BF324="ja",VLOOKUP($B324,'Egen hetvattenprod'!$B$1:$BX$550,MATCH("Värde enligt ovan. (%)",'Egen hetvattenprod'!$B$1:$BX$1,0),FALSE),"")</f>
        <v/>
      </c>
      <c r="BM324" s="227" t="str">
        <f>IF($BF324="ja",VLOOKUP($B324,Kraftvärmeprod!$B$1:$BX$550,MATCH("Värde enligt ovan. (%)",Kraftvärmeprod!$B$1:$BX$1,0),FALSE),"")</f>
        <v/>
      </c>
      <c r="BN324" s="227"/>
      <c r="BO324" s="227"/>
      <c r="BP324" s="227"/>
      <c r="BQ324" s="227" t="str">
        <f>IF($BF324="ja",VLOOKUP($B324,'Egen hetvattenprod'!$B$1:$BX$550,MATCH("Tillförd olja (fossil) vid avfallsförbränning (GWh)",'Egen hetvattenprod'!$B$1:$BX$1,0),FALSE),"")</f>
        <v/>
      </c>
      <c r="BR324" s="227" t="str">
        <f>IF($BF324="ja",VLOOKUP($B324,Kraftvärmeprod!$B$1:$BX$550,MATCH("Tillförd olja (fossil) vid avfallsförbränning (GWh)",Kraftvärmeprod!$B$1:$BX$1,0),FALSE),"")</f>
        <v/>
      </c>
      <c r="BS324" s="227"/>
      <c r="BT324" s="227"/>
      <c r="BU324" s="227"/>
    </row>
    <row r="325" spans="1:73" x14ac:dyDescent="0.25">
      <c r="A325" s="121" t="str">
        <f>'Miljövärden för publ företag'!B328</f>
        <v>Värmevärden AB</v>
      </c>
      <c r="B325" s="121" t="str">
        <f>'Miljövärden för publ företag'!C328</f>
        <v>Sörforsa</v>
      </c>
      <c r="C325" s="173">
        <f>IFERROR(VLOOKUP($B325,Totalt!$B$1:$AQ$554,MATCH(C$2,Totalt!$B$1:$AQ$1,0),FALSE),"")</f>
        <v>0</v>
      </c>
      <c r="D325" s="173">
        <f>IFERROR(VLOOKUP($B325,Totalt!$B$1:$AQ$554,MATCH(D$2,Totalt!$B$1:$AQ$1,0),FALSE),"")</f>
        <v>0.48799999999999999</v>
      </c>
      <c r="E325" s="173">
        <f>IFERROR(VLOOKUP($B325,Totalt!$B$1:$AQ$554,MATCH(E$2,Totalt!$B$1:$AQ$1,0),FALSE),"")</f>
        <v>0</v>
      </c>
      <c r="F325" s="173">
        <f>IFERROR(VLOOKUP($B325,Totalt!$B$1:$AQ$554,MATCH(F$2,Totalt!$B$1:$AQ$1,0),FALSE),"")</f>
        <v>0</v>
      </c>
      <c r="G325" s="173">
        <f>IFERROR(VLOOKUP($B325,Totalt!$B$1:$AQ$554,MATCH(G$2,Totalt!$B$1:$AQ$1,0),FALSE),"")</f>
        <v>0</v>
      </c>
      <c r="H325" s="173">
        <f>IFERROR(VLOOKUP($B325,Totalt!$B$1:$AQ$554,MATCH(H$2,Totalt!$B$1:$AQ$1,0),FALSE),"")</f>
        <v>0</v>
      </c>
      <c r="I325" s="173">
        <f>IFERROR(VLOOKUP($B325,Totalt!$B$1:$AQ$554,MATCH(I$2,Totalt!$B$1:$AQ$1,0),FALSE),"")</f>
        <v>0</v>
      </c>
      <c r="J325" s="173">
        <f>IFERROR(VLOOKUP($B325,Totalt!$B$1:$AQ$554,MATCH(J$2,Totalt!$B$1:$AQ$1,0),FALSE),"")</f>
        <v>0</v>
      </c>
      <c r="K325" s="173">
        <f>IFERROR(VLOOKUP($B325,Totalt!$B$1:$AQ$554,MATCH(K$2,Totalt!$B$1:$AQ$1,0),FALSE),"")</f>
        <v>0</v>
      </c>
      <c r="L325" s="173">
        <f>IFERROR(VLOOKUP($B325,Totalt!$B$1:$AQ$554,MATCH(L$2,Totalt!$B$1:$AQ$1,0),FALSE),"")</f>
        <v>0</v>
      </c>
      <c r="M325" s="173">
        <f>IFERROR(VLOOKUP($B325,Totalt!$B$1:$AQ$554,MATCH(M$2,Totalt!$B$1:$AQ$1,0),FALSE),"")</f>
        <v>0</v>
      </c>
      <c r="N325" s="173">
        <f>IFERROR(VLOOKUP($B325,Totalt!$B$1:$AQ$554,MATCH(N$2,Totalt!$B$1:$AQ$1,0),FALSE),"")</f>
        <v>0</v>
      </c>
      <c r="O325" s="173">
        <f>IFERROR(VLOOKUP($B325,Totalt!$B$1:$AQ$554,MATCH(O$2,Totalt!$B$1:$AQ$1,0),FALSE),"")</f>
        <v>0.95799999999999996</v>
      </c>
      <c r="P325" s="173">
        <f>IFERROR(VLOOKUP($B325,Totalt!$B$1:$AQ$554,MATCH(P$2,Totalt!$B$1:$AQ$1,0),FALSE),"")</f>
        <v>1.92</v>
      </c>
      <c r="Q325" s="173">
        <f>IFERROR(VLOOKUP($B325,Totalt!$B$1:$AQ$554,MATCH(Q$2,Totalt!$B$1:$AQ$1,0),FALSE),"")</f>
        <v>3.41</v>
      </c>
      <c r="R325" s="173">
        <f>IFERROR(VLOOKUP($B325,Totalt!$B$1:$AQ$554,MATCH(R$2,Totalt!$B$1:$AQ$1,0),FALSE),"")</f>
        <v>0</v>
      </c>
      <c r="S325" s="173">
        <f>IFERROR(VLOOKUP($B325,Totalt!$B$1:$AQ$554,MATCH(S$2,Totalt!$B$1:$AQ$1,0),FALSE),"")</f>
        <v>0</v>
      </c>
      <c r="T325" s="173">
        <f>IFERROR(VLOOKUP($B325,Totalt!$B$1:$AQ$554,MATCH(T$2,Totalt!$B$1:$AQ$1,0),FALSE),"")</f>
        <v>0</v>
      </c>
      <c r="U325" s="173">
        <f>IFERROR(VLOOKUP($B325,Totalt!$B$1:$AQ$554,MATCH(U$2,Totalt!$B$1:$AQ$1,0),FALSE),"")</f>
        <v>0</v>
      </c>
      <c r="V325" s="173">
        <f>IFERROR(VLOOKUP($B325,Totalt!$B$1:$AQ$554,MATCH(V$2,Totalt!$B$1:$AQ$1,0),FALSE),"")</f>
        <v>0</v>
      </c>
      <c r="W325" s="173">
        <f>IFERROR(VLOOKUP($B325,Totalt!$B$1:$AQ$554,MATCH(W$2,Totalt!$B$1:$AQ$1,0),FALSE),"")</f>
        <v>0</v>
      </c>
      <c r="X325" s="173">
        <f>IFERROR(VLOOKUP($B325,Totalt!$B$1:$AQ$554,MATCH(X$2,Totalt!$B$1:$AQ$1,0),FALSE),"")</f>
        <v>0</v>
      </c>
      <c r="Y325" s="173">
        <f>IFERROR(VLOOKUP($B325,Totalt!$B$1:$AQ$554,MATCH(Y$2,Totalt!$B$1:$AQ$1,0),FALSE),"")</f>
        <v>0</v>
      </c>
      <c r="Z325" s="173">
        <f>IFERROR(VLOOKUP($B325,Totalt!$B$1:$AQ$554,MATCH(Z$2,Totalt!$B$1:$AQ$1,0),FALSE),"")</f>
        <v>0</v>
      </c>
      <c r="AA325" s="173">
        <f>IFERROR(VLOOKUP($B325,Totalt!$B$1:$AQ$554,MATCH(AA$2,Totalt!$B$1:$AQ$1,0),FALSE),"")</f>
        <v>0</v>
      </c>
      <c r="AB325" s="173">
        <f>IFERROR(VLOOKUP($B325,Totalt!$B$1:$AQ$554,MATCH(AB$2,Totalt!$B$1:$AQ$1,0),FALSE),"")</f>
        <v>0</v>
      </c>
      <c r="AC325" s="173">
        <f>IFERROR(VLOOKUP($B325,Totalt!$B$1:$AQ$554,MATCH(AC$2,Totalt!$B$1:$AQ$1,0),FALSE),"")</f>
        <v>0</v>
      </c>
      <c r="AD325" s="173">
        <f>IFERROR(VLOOKUP($B325,Totalt!$B$1:$AQ$554,MATCH(AD$2,Totalt!$B$1:$AQ$1,0),FALSE),"")</f>
        <v>0</v>
      </c>
      <c r="AE325" s="173">
        <f>IFERROR(VLOOKUP($B325,Totalt!$B$1:$AQ$554,MATCH(AE$2,Totalt!$B$1:$AQ$1,0),FALSE),"")</f>
        <v>0</v>
      </c>
      <c r="AF325" s="173">
        <f>IFERROR(VLOOKUP($B325,Totalt!$B$1:$AQ$554,MATCH(AF$2,Totalt!$B$1:$AQ$1,0),FALSE),"")</f>
        <v>0.1</v>
      </c>
      <c r="AG325" s="173">
        <f>IFERROR(VLOOKUP($B325,Totalt!$B$1:$AQ$554,MATCH(AG$2,Totalt!$B$1:$AQ$1,0),FALSE),"")</f>
        <v>0</v>
      </c>
      <c r="AI325" s="226">
        <f t="shared" si="30"/>
        <v>6.8759999999999994</v>
      </c>
      <c r="AJ325" s="226">
        <f>IF(ISERROR(1/VLOOKUP($B325,Leveranser!$B$1:$S$500,MATCH("såld värme (gwh)",Leveranser!$B$1:$S$1,0),FALSE)),"",VLOOKUP($B325,Leveranser!$B$1:$S$500,MATCH("såld värme (gwh)",Leveranser!$B$1:$S$1,0),FALSE))</f>
        <v>6.8</v>
      </c>
      <c r="AM325" s="227" t="str">
        <f>IF(B325&lt;&gt;"",IF(VLOOKUP($B325,Totalt!$B$1:$AQ$554,MATCH("Kvalitetsgranskad:",Totalt!$B$1:$AQ$1,0),FALSE)="ja",VLOOKUP($B325,Miljö!$B$1:$AG$479,MATCH(AM$2,Miljö!$B$1:$AK$1,0),FALSE),""),"")</f>
        <v>Ja</v>
      </c>
      <c r="AN325" s="227" t="str">
        <f>IF(AM325="ja",VLOOKUP($B325,Miljö!$B$1:$J$479,MATCH("Typ av ursprungsspecificerad el   (Om inget värde anges används Nordisk residualmix, se inforuta) ()",Miljö!$B$1:$J$1,0),FALSE),IF(AM325="nej","Nordisk residualel",""))</f>
        <v>'Bioel'</v>
      </c>
      <c r="AO325" s="227">
        <f>IF(AM325="","",VLOOKUP($B325,Miljö!$B$1:$J$479,MATCH("Fossilandel för ursprungspecificerad el ()",Miljö!$B$1:$J$1,0),FALSE))</f>
        <v>0</v>
      </c>
      <c r="AP325" s="227">
        <f>IF(AM325="","",IFERROR(VLOOKUP($B325,Miljö!$B$1:$J$479,MATCH("Kärnkraftsandel för ursprungsspecificerad el ()",Miljö!$B$1:$J$1,0),FALSE)/1,0))</f>
        <v>0</v>
      </c>
      <c r="AQ325" s="227">
        <f t="shared" si="31"/>
        <v>1</v>
      </c>
      <c r="AR325" s="227"/>
      <c r="AS325" s="227" t="str">
        <f t="shared" si="32"/>
        <v>Nej</v>
      </c>
      <c r="AT325" s="227" t="str">
        <f>IF(AS325="ja",VLOOKUP($B325,Miljö!$B$1:$O$500,MATCH("Fossil andel i procent (%)",Miljö!$B$1:$O$1,0),FALSE)/100,"")</f>
        <v/>
      </c>
      <c r="AU325" s="227"/>
      <c r="AV325" s="227" t="str">
        <f t="shared" si="33"/>
        <v>Nej</v>
      </c>
      <c r="AW325" s="227" t="str">
        <f>IF(AV325="ja",VLOOKUP($B325,'Egen hetvattenprod'!$B$1:$AO$500,MATCH("Värmekälla till värmepumpar ()",'Egen hetvattenprod'!$B$1:$AO$1,0),FALSE),"")</f>
        <v/>
      </c>
      <c r="AX325" s="227"/>
      <c r="AY325" s="227" t="str">
        <f t="shared" si="34"/>
        <v>Nej</v>
      </c>
      <c r="AZ325" s="228" t="str">
        <f>IF($AY325="ja",(VLOOKUP($B325,'Egen hetvattenprod'!$B$1:$BX$550,MATCH(AZ$2,'Egen hetvattenprod'!$B$1:$BX$1,0),FALSE)+VLOOKUP($B325,Kraftvärmeprod!$B$1:$BX$550,MATCH(AZ$2,Kraftvärmeprod!$B$1:$BX$1,0),FALSE))/$AC325,"")</f>
        <v/>
      </c>
      <c r="BA325" s="228" t="str">
        <f>IF($AY325="ja",(VLOOKUP($B325,'Egen hetvattenprod'!$B$1:$BX$550,MATCH(BA$2,'Egen hetvattenprod'!$B$1:$BX$1,0),FALSE)+VLOOKUP($B325,Kraftvärmeprod!$B$1:$BX$550,MATCH(BA$2,Kraftvärmeprod!$B$1:$BX$1,0),FALSE))/$AC325,"")</f>
        <v/>
      </c>
      <c r="BB325" s="228" t="str">
        <f>IF($AY325="ja",(VLOOKUP($B325,'Egen hetvattenprod'!$B$1:$BX$550,MATCH(BB$2,'Egen hetvattenprod'!$B$1:$BX$1,0),FALSE)+VLOOKUP($B325,Kraftvärmeprod!$B$1:$BX$550,MATCH(BB$2,Kraftvärmeprod!$B$1:$BX$1,0),FALSE))/$AC325,"")</f>
        <v/>
      </c>
      <c r="BC325" s="228" t="str">
        <f>IF($AY325="ja",(VLOOKUP($B325,'Egen hetvattenprod'!$B$1:$BX$550,MATCH(BC$2,'Egen hetvattenprod'!$B$1:$BX$1,0),FALSE)+VLOOKUP($B325,Kraftvärmeprod!$B$1:$BX$550,MATCH(BC$2,Kraftvärmeprod!$B$1:$BX$1,0),FALSE))/$AC325,"")</f>
        <v/>
      </c>
      <c r="BD325" s="228" t="str">
        <f>IF($AY325="ja",(VLOOKUP($B325,'Egen hetvattenprod'!$B$1:$BX$550,MATCH(BD$2,'Egen hetvattenprod'!$B$1:$BX$1,0),FALSE)+VLOOKUP($B325,Kraftvärmeprod!$B$1:$BX$550,MATCH(BD$2,Kraftvärmeprod!$B$1:$BX$1,0),FALSE))/$AC325,"")</f>
        <v/>
      </c>
      <c r="BE325" s="227"/>
      <c r="BF325" s="227" t="str">
        <f t="shared" si="35"/>
        <v>Nej</v>
      </c>
      <c r="BG325" s="227" t="str">
        <f>IF($BF325="ja",VLOOKUP($B325,'Egen hetvattenprod'!$B$1:$BX$550,MATCH("Andelen klimatgaser med fossilt ursprung för avfall ()",'Egen hetvattenprod'!$B$1:$BX$1,0),FALSE),"")</f>
        <v/>
      </c>
      <c r="BH325" s="227" t="str">
        <f>IF($BF325="ja",VLOOKUP($B325,Kraftvärmeprod!$B$1:$BX$550,MATCH("Andelen klimatgaser med fossilt ursprung för avfall ()",Kraftvärmeprod!$B$1:$BX$1,0),FALSE),"")</f>
        <v/>
      </c>
      <c r="BI325" s="227" t="str">
        <f>IF($BF325="ja",VLOOKUP($B325,'Egen hetvattenprod'!$B$1:$BX$550,MATCH("Avfall (GWh)",'Egen hetvattenprod'!$B$1:$BX$1,0),FALSE),"")</f>
        <v/>
      </c>
      <c r="BJ325" s="227" t="str">
        <f>IF($BF325="ja",VLOOKUP($B325,'Slutlig allokering kvv'!$B$1:$BX$550,MATCH("Avfall (GWh)",'Slutlig allokering kvv'!$B$1:$BX$1,0),FALSE),"")</f>
        <v/>
      </c>
      <c r="BK325" s="227" t="str">
        <f>IF($BF325="ja",VLOOKUP($B325,'Köpt hetvatten'!$B$1:$BX$550,MATCH("Avfall i köpt hetvatten",'Köpt hetvatten'!$B$1:$BX$1,0),FALSE),"")</f>
        <v/>
      </c>
      <c r="BL325" s="227" t="str">
        <f>IF($BF325="ja",VLOOKUP($B325,'Egen hetvattenprod'!$B$1:$BX$550,MATCH("Värde enligt ovan. (%)",'Egen hetvattenprod'!$B$1:$BX$1,0),FALSE),"")</f>
        <v/>
      </c>
      <c r="BM325" s="227" t="str">
        <f>IF($BF325="ja",VLOOKUP($B325,Kraftvärmeprod!$B$1:$BX$550,MATCH("Värde enligt ovan. (%)",Kraftvärmeprod!$B$1:$BX$1,0),FALSE),"")</f>
        <v/>
      </c>
      <c r="BN325" s="227"/>
      <c r="BO325" s="227"/>
      <c r="BP325" s="227"/>
      <c r="BQ325" s="227" t="str">
        <f>IF($BF325="ja",VLOOKUP($B325,'Egen hetvattenprod'!$B$1:$BX$550,MATCH("Tillförd olja (fossil) vid avfallsförbränning (GWh)",'Egen hetvattenprod'!$B$1:$BX$1,0),FALSE),"")</f>
        <v/>
      </c>
      <c r="BR325" s="227" t="str">
        <f>IF($BF325="ja",VLOOKUP($B325,Kraftvärmeprod!$B$1:$BX$550,MATCH("Tillförd olja (fossil) vid avfallsförbränning (GWh)",Kraftvärmeprod!$B$1:$BX$1,0),FALSE),"")</f>
        <v/>
      </c>
      <c r="BS325" s="227"/>
      <c r="BT325" s="227"/>
      <c r="BU325" s="227"/>
    </row>
    <row r="326" spans="1:73" x14ac:dyDescent="0.25">
      <c r="A326" s="121" t="str">
        <f>'Miljövärden för publ företag'!B329</f>
        <v>Värmevärden AB</v>
      </c>
      <c r="B326" s="121" t="str">
        <f>'Miljövärden för publ företag'!C329</f>
        <v>Torsby</v>
      </c>
      <c r="C326" s="173">
        <f>IFERROR(VLOOKUP($B326,Totalt!$B$1:$AQ$554,MATCH(C$2,Totalt!$B$1:$AQ$1,0),FALSE),"")</f>
        <v>0</v>
      </c>
      <c r="D326" s="173">
        <f>IFERROR(VLOOKUP($B326,Totalt!$B$1:$AQ$554,MATCH(D$2,Totalt!$B$1:$AQ$1,0),FALSE),"")</f>
        <v>1.891</v>
      </c>
      <c r="E326" s="173">
        <f>IFERROR(VLOOKUP($B326,Totalt!$B$1:$AQ$554,MATCH(E$2,Totalt!$B$1:$AQ$1,0),FALSE),"")</f>
        <v>0</v>
      </c>
      <c r="F326" s="173">
        <f>IFERROR(VLOOKUP($B326,Totalt!$B$1:$AQ$554,MATCH(F$2,Totalt!$B$1:$AQ$1,0),FALSE),"")</f>
        <v>0</v>
      </c>
      <c r="G326" s="173">
        <f>IFERROR(VLOOKUP($B326,Totalt!$B$1:$AQ$554,MATCH(G$2,Totalt!$B$1:$AQ$1,0),FALSE),"")</f>
        <v>0</v>
      </c>
      <c r="H326" s="173">
        <f>IFERROR(VLOOKUP($B326,Totalt!$B$1:$AQ$554,MATCH(H$2,Totalt!$B$1:$AQ$1,0),FALSE),"")</f>
        <v>0</v>
      </c>
      <c r="I326" s="173">
        <f>IFERROR(VLOOKUP($B326,Totalt!$B$1:$AQ$554,MATCH(I$2,Totalt!$B$1:$AQ$1,0),FALSE),"")</f>
        <v>0</v>
      </c>
      <c r="J326" s="173">
        <f>IFERROR(VLOOKUP($B326,Totalt!$B$1:$AQ$554,MATCH(J$2,Totalt!$B$1:$AQ$1,0),FALSE),"")</f>
        <v>0</v>
      </c>
      <c r="K326" s="173">
        <f>IFERROR(VLOOKUP($B326,Totalt!$B$1:$AQ$554,MATCH(K$2,Totalt!$B$1:$AQ$1,0),FALSE),"")</f>
        <v>0</v>
      </c>
      <c r="L326" s="173">
        <f>IFERROR(VLOOKUP($B326,Totalt!$B$1:$AQ$554,MATCH(L$2,Totalt!$B$1:$AQ$1,0),FALSE),"")</f>
        <v>0</v>
      </c>
      <c r="M326" s="173">
        <f>IFERROR(VLOOKUP($B326,Totalt!$B$1:$AQ$554,MATCH(M$2,Totalt!$B$1:$AQ$1,0),FALSE),"")</f>
        <v>0</v>
      </c>
      <c r="N326" s="173">
        <f>IFERROR(VLOOKUP($B326,Totalt!$B$1:$AQ$554,MATCH(N$2,Totalt!$B$1:$AQ$1,0),FALSE),"")</f>
        <v>0</v>
      </c>
      <c r="O326" s="173">
        <f>IFERROR(VLOOKUP($B326,Totalt!$B$1:$AQ$554,MATCH(O$2,Totalt!$B$1:$AQ$1,0),FALSE),"")</f>
        <v>0</v>
      </c>
      <c r="P326" s="173">
        <f>IFERROR(VLOOKUP($B326,Totalt!$B$1:$AQ$554,MATCH(P$2,Totalt!$B$1:$AQ$1,0),FALSE),"")</f>
        <v>0</v>
      </c>
      <c r="Q326" s="173">
        <f>IFERROR(VLOOKUP($B326,Totalt!$B$1:$AQ$554,MATCH(Q$2,Totalt!$B$1:$AQ$1,0),FALSE),"")</f>
        <v>88.082999999999998</v>
      </c>
      <c r="R326" s="173">
        <f>IFERROR(VLOOKUP($B326,Totalt!$B$1:$AQ$554,MATCH(R$2,Totalt!$B$1:$AQ$1,0),FALSE),"")</f>
        <v>0</v>
      </c>
      <c r="S326" s="173">
        <f>IFERROR(VLOOKUP($B326,Totalt!$B$1:$AQ$554,MATCH(S$2,Totalt!$B$1:$AQ$1,0),FALSE),"")</f>
        <v>0</v>
      </c>
      <c r="T326" s="173">
        <f>IFERROR(VLOOKUP($B326,Totalt!$B$1:$AQ$554,MATCH(T$2,Totalt!$B$1:$AQ$1,0),FALSE),"")</f>
        <v>0</v>
      </c>
      <c r="U326" s="173">
        <f>IFERROR(VLOOKUP($B326,Totalt!$B$1:$AQ$554,MATCH(U$2,Totalt!$B$1:$AQ$1,0),FALSE),"")</f>
        <v>0</v>
      </c>
      <c r="V326" s="173">
        <f>IFERROR(VLOOKUP($B326,Totalt!$B$1:$AQ$554,MATCH(V$2,Totalt!$B$1:$AQ$1,0),FALSE),"")</f>
        <v>0</v>
      </c>
      <c r="W326" s="173">
        <f>IFERROR(VLOOKUP($B326,Totalt!$B$1:$AQ$554,MATCH(W$2,Totalt!$B$1:$AQ$1,0),FALSE),"")</f>
        <v>0</v>
      </c>
      <c r="X326" s="173">
        <f>IFERROR(VLOOKUP($B326,Totalt!$B$1:$AQ$554,MATCH(X$2,Totalt!$B$1:$AQ$1,0),FALSE),"")</f>
        <v>0</v>
      </c>
      <c r="Y326" s="173">
        <f>IFERROR(VLOOKUP($B326,Totalt!$B$1:$AQ$554,MATCH(Y$2,Totalt!$B$1:$AQ$1,0),FALSE),"")</f>
        <v>0</v>
      </c>
      <c r="Z326" s="173">
        <f>IFERROR(VLOOKUP($B326,Totalt!$B$1:$AQ$554,MATCH(Z$2,Totalt!$B$1:$AQ$1,0),FALSE),"")</f>
        <v>0</v>
      </c>
      <c r="AA326" s="173">
        <f>IFERROR(VLOOKUP($B326,Totalt!$B$1:$AQ$554,MATCH(AA$2,Totalt!$B$1:$AQ$1,0),FALSE),"")</f>
        <v>0</v>
      </c>
      <c r="AB326" s="173">
        <f>IFERROR(VLOOKUP($B326,Totalt!$B$1:$AQ$554,MATCH(AB$2,Totalt!$B$1:$AQ$1,0),FALSE),"")</f>
        <v>0</v>
      </c>
      <c r="AC326" s="173">
        <f>IFERROR(VLOOKUP($B326,Totalt!$B$1:$AQ$554,MATCH(AC$2,Totalt!$B$1:$AQ$1,0),FALSE),"")</f>
        <v>15.262</v>
      </c>
      <c r="AD326" s="173">
        <f>IFERROR(VLOOKUP($B326,Totalt!$B$1:$AQ$554,MATCH(AD$2,Totalt!$B$1:$AQ$1,0),FALSE),"")</f>
        <v>0</v>
      </c>
      <c r="AE326" s="173">
        <f>IFERROR(VLOOKUP($B326,Totalt!$B$1:$AQ$554,MATCH(AE$2,Totalt!$B$1:$AQ$1,0),FALSE),"")</f>
        <v>0</v>
      </c>
      <c r="AF326" s="173">
        <f>IFERROR(VLOOKUP($B326,Totalt!$B$1:$AQ$554,MATCH(AF$2,Totalt!$B$1:$AQ$1,0),FALSE),"")</f>
        <v>3.1E-2</v>
      </c>
      <c r="AG326" s="173">
        <f>IFERROR(VLOOKUP($B326,Totalt!$B$1:$AQ$554,MATCH(AG$2,Totalt!$B$1:$AQ$1,0),FALSE),"")</f>
        <v>0</v>
      </c>
      <c r="AI326" s="226">
        <f t="shared" si="30"/>
        <v>105.26700000000001</v>
      </c>
      <c r="AJ326" s="226">
        <f>IF(ISERROR(1/VLOOKUP($B326,Leveranser!$B$1:$S$500,MATCH("såld värme (gwh)",Leveranser!$B$1:$S$1,0),FALSE)),"",VLOOKUP($B326,Leveranser!$B$1:$S$500,MATCH("såld värme (gwh)",Leveranser!$B$1:$S$1,0),FALSE))</f>
        <v>91.9</v>
      </c>
      <c r="AM326" s="227" t="str">
        <f>IF(B326&lt;&gt;"",IF(VLOOKUP($B326,Totalt!$B$1:$AQ$554,MATCH("Kvalitetsgranskad:",Totalt!$B$1:$AQ$1,0),FALSE)="ja",VLOOKUP($B326,Miljö!$B$1:$AG$479,MATCH(AM$2,Miljö!$B$1:$AK$1,0),FALSE),""),"")</f>
        <v>Ja</v>
      </c>
      <c r="AN326" s="227" t="str">
        <f>IF(AM326="ja",VLOOKUP($B326,Miljö!$B$1:$J$479,MATCH("Typ av ursprungsspecificerad el   (Om inget värde anges används Nordisk residualmix, se inforuta) ()",Miljö!$B$1:$J$1,0),FALSE),IF(AM326="nej","Nordisk residualel",""))</f>
        <v>'Bioel'</v>
      </c>
      <c r="AO326" s="227">
        <f>IF(AM326="","",VLOOKUP($B326,Miljö!$B$1:$J$479,MATCH("Fossilandel för ursprungspecificerad el ()",Miljö!$B$1:$J$1,0),FALSE))</f>
        <v>0</v>
      </c>
      <c r="AP326" s="227">
        <f>IF(AM326="","",IFERROR(VLOOKUP($B326,Miljö!$B$1:$J$479,MATCH("Kärnkraftsandel för ursprungsspecificerad el ()",Miljö!$B$1:$J$1,0),FALSE)/1,0))</f>
        <v>0</v>
      </c>
      <c r="AQ326" s="227">
        <f t="shared" si="31"/>
        <v>1</v>
      </c>
      <c r="AR326" s="227"/>
      <c r="AS326" s="227" t="str">
        <f t="shared" si="32"/>
        <v>Nej</v>
      </c>
      <c r="AT326" s="227" t="str">
        <f>IF(AS326="ja",VLOOKUP($B326,Miljö!$B$1:$O$500,MATCH("Fossil andel i procent (%)",Miljö!$B$1:$O$1,0),FALSE)/100,"")</f>
        <v/>
      </c>
      <c r="AU326" s="227"/>
      <c r="AV326" s="227" t="str">
        <f t="shared" si="33"/>
        <v>Nej</v>
      </c>
      <c r="AW326" s="227" t="str">
        <f>IF(AV326="ja",VLOOKUP($B326,'Egen hetvattenprod'!$B$1:$AO$500,MATCH("Värmekälla till värmepumpar ()",'Egen hetvattenprod'!$B$1:$AO$1,0),FALSE),"")</f>
        <v/>
      </c>
      <c r="AX326" s="227"/>
      <c r="AY326" s="227" t="str">
        <f t="shared" si="34"/>
        <v>Ja</v>
      </c>
      <c r="AZ326" s="228">
        <f>IF($AY326="ja",(VLOOKUP($B326,'Egen hetvattenprod'!$B$1:$BX$550,MATCH(AZ$2,'Egen hetvattenprod'!$B$1:$BX$1,0),FALSE)+VLOOKUP($B326,Kraftvärmeprod!$B$1:$BX$550,MATCH(AZ$2,Kraftvärmeprod!$B$1:$BX$1,0),FALSE))/$AC326,"")</f>
        <v>1</v>
      </c>
      <c r="BA326" s="228">
        <f>IF($AY326="ja",(VLOOKUP($B326,'Egen hetvattenprod'!$B$1:$BX$550,MATCH(BA$2,'Egen hetvattenprod'!$B$1:$BX$1,0),FALSE)+VLOOKUP($B326,Kraftvärmeprod!$B$1:$BX$550,MATCH(BA$2,Kraftvärmeprod!$B$1:$BX$1,0),FALSE))/$AC326,"")</f>
        <v>0</v>
      </c>
      <c r="BB326" s="228">
        <f>IF($AY326="ja",(VLOOKUP($B326,'Egen hetvattenprod'!$B$1:$BX$550,MATCH(BB$2,'Egen hetvattenprod'!$B$1:$BX$1,0),FALSE)+VLOOKUP($B326,Kraftvärmeprod!$B$1:$BX$550,MATCH(BB$2,Kraftvärmeprod!$B$1:$BX$1,0),FALSE))/$AC326,"")</f>
        <v>0</v>
      </c>
      <c r="BC326" s="228">
        <f>IF($AY326="ja",(VLOOKUP($B326,'Egen hetvattenprod'!$B$1:$BX$550,MATCH(BC$2,'Egen hetvattenprod'!$B$1:$BX$1,0),FALSE)+VLOOKUP($B326,Kraftvärmeprod!$B$1:$BX$550,MATCH(BC$2,Kraftvärmeprod!$B$1:$BX$1,0),FALSE))/$AC326,"")</f>
        <v>0</v>
      </c>
      <c r="BD326" s="228">
        <f>IF($AY326="ja",(VLOOKUP($B326,'Egen hetvattenprod'!$B$1:$BX$550,MATCH(BD$2,'Egen hetvattenprod'!$B$1:$BX$1,0),FALSE)+VLOOKUP($B326,Kraftvärmeprod!$B$1:$BX$550,MATCH(BD$2,Kraftvärmeprod!$B$1:$BX$1,0),FALSE))/$AC326,"")</f>
        <v>0</v>
      </c>
      <c r="BE326" s="227"/>
      <c r="BF326" s="227" t="str">
        <f t="shared" si="35"/>
        <v>Nej</v>
      </c>
      <c r="BG326" s="227" t="str">
        <f>IF($BF326="ja",VLOOKUP($B326,'Egen hetvattenprod'!$B$1:$BX$550,MATCH("Andelen klimatgaser med fossilt ursprung för avfall ()",'Egen hetvattenprod'!$B$1:$BX$1,0),FALSE),"")</f>
        <v/>
      </c>
      <c r="BH326" s="227" t="str">
        <f>IF($BF326="ja",VLOOKUP($B326,Kraftvärmeprod!$B$1:$BX$550,MATCH("Andelen klimatgaser med fossilt ursprung för avfall ()",Kraftvärmeprod!$B$1:$BX$1,0),FALSE),"")</f>
        <v/>
      </c>
      <c r="BI326" s="227" t="str">
        <f>IF($BF326="ja",VLOOKUP($B326,'Egen hetvattenprod'!$B$1:$BX$550,MATCH("Avfall (GWh)",'Egen hetvattenprod'!$B$1:$BX$1,0),FALSE),"")</f>
        <v/>
      </c>
      <c r="BJ326" s="227" t="str">
        <f>IF($BF326="ja",VLOOKUP($B326,'Slutlig allokering kvv'!$B$1:$BX$550,MATCH("Avfall (GWh)",'Slutlig allokering kvv'!$B$1:$BX$1,0),FALSE),"")</f>
        <v/>
      </c>
      <c r="BK326" s="227" t="str">
        <f>IF($BF326="ja",VLOOKUP($B326,'Köpt hetvatten'!$B$1:$BX$550,MATCH("Avfall i köpt hetvatten",'Köpt hetvatten'!$B$1:$BX$1,0),FALSE),"")</f>
        <v/>
      </c>
      <c r="BL326" s="227" t="str">
        <f>IF($BF326="ja",VLOOKUP($B326,'Egen hetvattenprod'!$B$1:$BX$550,MATCH("Värde enligt ovan. (%)",'Egen hetvattenprod'!$B$1:$BX$1,0),FALSE),"")</f>
        <v/>
      </c>
      <c r="BM326" s="227" t="str">
        <f>IF($BF326="ja",VLOOKUP($B326,Kraftvärmeprod!$B$1:$BX$550,MATCH("Värde enligt ovan. (%)",Kraftvärmeprod!$B$1:$BX$1,0),FALSE),"")</f>
        <v/>
      </c>
      <c r="BN326" s="227"/>
      <c r="BO326" s="227"/>
      <c r="BP326" s="227"/>
      <c r="BQ326" s="227" t="str">
        <f>IF($BF326="ja",VLOOKUP($B326,'Egen hetvattenprod'!$B$1:$BX$550,MATCH("Tillförd olja (fossil) vid avfallsförbränning (GWh)",'Egen hetvattenprod'!$B$1:$BX$1,0),FALSE),"")</f>
        <v/>
      </c>
      <c r="BR326" s="227" t="str">
        <f>IF($BF326="ja",VLOOKUP($B326,Kraftvärmeprod!$B$1:$BX$550,MATCH("Tillförd olja (fossil) vid avfallsförbränning (GWh)",Kraftvärmeprod!$B$1:$BX$1,0),FALSE),"")</f>
        <v/>
      </c>
      <c r="BS326" s="227"/>
      <c r="BT326" s="227"/>
      <c r="BU326" s="227"/>
    </row>
    <row r="327" spans="1:73" x14ac:dyDescent="0.25">
      <c r="A327" s="121" t="str">
        <f>'Miljövärden för publ företag'!B330</f>
        <v>Värnamo Energi AB</v>
      </c>
      <c r="B327" s="121" t="str">
        <f>'Miljövärden för publ företag'!C330</f>
        <v>Bor</v>
      </c>
      <c r="C327" s="173">
        <f>IFERROR(VLOOKUP($B327,Totalt!$B$1:$AQ$554,MATCH(C$2,Totalt!$B$1:$AQ$1,0),FALSE),"")</f>
        <v>0</v>
      </c>
      <c r="D327" s="173">
        <f>IFERROR(VLOOKUP($B327,Totalt!$B$1:$AQ$554,MATCH(D$2,Totalt!$B$1:$AQ$1,0),FALSE),"")</f>
        <v>0.14899999999999999</v>
      </c>
      <c r="E327" s="173">
        <f>IFERROR(VLOOKUP($B327,Totalt!$B$1:$AQ$554,MATCH(E$2,Totalt!$B$1:$AQ$1,0),FALSE),"")</f>
        <v>0</v>
      </c>
      <c r="F327" s="173">
        <f>IFERROR(VLOOKUP($B327,Totalt!$B$1:$AQ$554,MATCH(F$2,Totalt!$B$1:$AQ$1,0),FALSE),"")</f>
        <v>0</v>
      </c>
      <c r="G327" s="173">
        <f>IFERROR(VLOOKUP($B327,Totalt!$B$1:$AQ$554,MATCH(G$2,Totalt!$B$1:$AQ$1,0),FALSE),"")</f>
        <v>0</v>
      </c>
      <c r="H327" s="173">
        <f>IFERROR(VLOOKUP($B327,Totalt!$B$1:$AQ$554,MATCH(H$2,Totalt!$B$1:$AQ$1,0),FALSE),"")</f>
        <v>0</v>
      </c>
      <c r="I327" s="173">
        <f>IFERROR(VLOOKUP($B327,Totalt!$B$1:$AQ$554,MATCH(I$2,Totalt!$B$1:$AQ$1,0),FALSE),"")</f>
        <v>0</v>
      </c>
      <c r="J327" s="173">
        <f>IFERROR(VLOOKUP($B327,Totalt!$B$1:$AQ$554,MATCH(J$2,Totalt!$B$1:$AQ$1,0),FALSE),"")</f>
        <v>0</v>
      </c>
      <c r="K327" s="173">
        <f>IFERROR(VLOOKUP($B327,Totalt!$B$1:$AQ$554,MATCH(K$2,Totalt!$B$1:$AQ$1,0),FALSE),"")</f>
        <v>0</v>
      </c>
      <c r="L327" s="173">
        <f>IFERROR(VLOOKUP($B327,Totalt!$B$1:$AQ$554,MATCH(L$2,Totalt!$B$1:$AQ$1,0),FALSE),"")</f>
        <v>0</v>
      </c>
      <c r="M327" s="173">
        <f>IFERROR(VLOOKUP($B327,Totalt!$B$1:$AQ$554,MATCH(M$2,Totalt!$B$1:$AQ$1,0),FALSE),"")</f>
        <v>0</v>
      </c>
      <c r="N327" s="173">
        <f>IFERROR(VLOOKUP($B327,Totalt!$B$1:$AQ$554,MATCH(N$2,Totalt!$B$1:$AQ$1,0),FALSE),"")</f>
        <v>0</v>
      </c>
      <c r="O327" s="173">
        <f>IFERROR(VLOOKUP($B327,Totalt!$B$1:$AQ$554,MATCH(O$2,Totalt!$B$1:$AQ$1,0),FALSE),"")</f>
        <v>0</v>
      </c>
      <c r="P327" s="173">
        <f>IFERROR(VLOOKUP($B327,Totalt!$B$1:$AQ$554,MATCH(P$2,Totalt!$B$1:$AQ$1,0),FALSE),"")</f>
        <v>0</v>
      </c>
      <c r="Q327" s="173">
        <f>IFERROR(VLOOKUP($B327,Totalt!$B$1:$AQ$554,MATCH(Q$2,Totalt!$B$1:$AQ$1,0),FALSE),"")</f>
        <v>0</v>
      </c>
      <c r="R327" s="173">
        <f>IFERROR(VLOOKUP($B327,Totalt!$B$1:$AQ$554,MATCH(R$2,Totalt!$B$1:$AQ$1,0),FALSE),"")</f>
        <v>0.52400000000000002</v>
      </c>
      <c r="S327" s="173">
        <f>IFERROR(VLOOKUP($B327,Totalt!$B$1:$AQ$554,MATCH(S$2,Totalt!$B$1:$AQ$1,0),FALSE),"")</f>
        <v>0</v>
      </c>
      <c r="T327" s="173">
        <f>IFERROR(VLOOKUP($B327,Totalt!$B$1:$AQ$554,MATCH(T$2,Totalt!$B$1:$AQ$1,0),FALSE),"")</f>
        <v>0</v>
      </c>
      <c r="U327" s="173">
        <f>IFERROR(VLOOKUP($B327,Totalt!$B$1:$AQ$554,MATCH(U$2,Totalt!$B$1:$AQ$1,0),FALSE),"")</f>
        <v>0</v>
      </c>
      <c r="V327" s="173">
        <f>IFERROR(VLOOKUP($B327,Totalt!$B$1:$AQ$554,MATCH(V$2,Totalt!$B$1:$AQ$1,0),FALSE),"")</f>
        <v>0</v>
      </c>
      <c r="W327" s="173">
        <f>IFERROR(VLOOKUP($B327,Totalt!$B$1:$AQ$554,MATCH(W$2,Totalt!$B$1:$AQ$1,0),FALSE),"")</f>
        <v>0</v>
      </c>
      <c r="X327" s="173">
        <f>IFERROR(VLOOKUP($B327,Totalt!$B$1:$AQ$554,MATCH(X$2,Totalt!$B$1:$AQ$1,0),FALSE),"")</f>
        <v>0</v>
      </c>
      <c r="Y327" s="173">
        <f>IFERROR(VLOOKUP($B327,Totalt!$B$1:$AQ$554,MATCH(Y$2,Totalt!$B$1:$AQ$1,0),FALSE),"")</f>
        <v>0</v>
      </c>
      <c r="Z327" s="173">
        <f>IFERROR(VLOOKUP($B327,Totalt!$B$1:$AQ$554,MATCH(Z$2,Totalt!$B$1:$AQ$1,0),FALSE),"")</f>
        <v>0</v>
      </c>
      <c r="AA327" s="173">
        <f>IFERROR(VLOOKUP($B327,Totalt!$B$1:$AQ$554,MATCH(AA$2,Totalt!$B$1:$AQ$1,0),FALSE),"")</f>
        <v>0</v>
      </c>
      <c r="AB327" s="173">
        <f>IFERROR(VLOOKUP($B327,Totalt!$B$1:$AQ$554,MATCH(AB$2,Totalt!$B$1:$AQ$1,0),FALSE),"")</f>
        <v>0</v>
      </c>
      <c r="AC327" s="173">
        <f>IFERROR(VLOOKUP($B327,Totalt!$B$1:$AQ$554,MATCH(AC$2,Totalt!$B$1:$AQ$1,0),FALSE),"")</f>
        <v>0</v>
      </c>
      <c r="AD327" s="173">
        <f>IFERROR(VLOOKUP($B327,Totalt!$B$1:$AQ$554,MATCH(AD$2,Totalt!$B$1:$AQ$1,0),FALSE),"")</f>
        <v>0</v>
      </c>
      <c r="AE327" s="173">
        <f>IFERROR(VLOOKUP($B327,Totalt!$B$1:$AQ$554,MATCH(AE$2,Totalt!$B$1:$AQ$1,0),FALSE),"")</f>
        <v>0</v>
      </c>
      <c r="AF327" s="173">
        <f>IFERROR(VLOOKUP($B327,Totalt!$B$1:$AQ$554,MATCH(AF$2,Totalt!$B$1:$AQ$1,0),FALSE),"")</f>
        <v>1.4460000000000001E-2</v>
      </c>
      <c r="AG327" s="173">
        <f>IFERROR(VLOOKUP($B327,Totalt!$B$1:$AQ$554,MATCH(AG$2,Totalt!$B$1:$AQ$1,0),FALSE),"")</f>
        <v>0</v>
      </c>
      <c r="AI327" s="226">
        <f t="shared" si="30"/>
        <v>0.68746000000000007</v>
      </c>
      <c r="AJ327" s="226">
        <f>IF(ISERROR(1/VLOOKUP($B327,Leveranser!$B$1:$S$500,MATCH("såld värme (gwh)",Leveranser!$B$1:$S$1,0),FALSE)),"",VLOOKUP($B327,Leveranser!$B$1:$S$500,MATCH("såld värme (gwh)",Leveranser!$B$1:$S$1,0),FALSE))</f>
        <v>0.48199999999999998</v>
      </c>
      <c r="AM327" s="227" t="str">
        <f>IF(B327&lt;&gt;"",IF(VLOOKUP($B327,Totalt!$B$1:$AQ$554,MATCH("Kvalitetsgranskad:",Totalt!$B$1:$AQ$1,0),FALSE)="ja",VLOOKUP($B327,Miljö!$B$1:$AG$479,MATCH(AM$2,Miljö!$B$1:$AK$1,0),FALSE),""),"")</f>
        <v>Ja</v>
      </c>
      <c r="AN327" s="227" t="str">
        <f>IF(AM327="ja",VLOOKUP($B327,Miljö!$B$1:$J$479,MATCH("Typ av ursprungsspecificerad el   (Om inget värde anges används Nordisk residualmix, se inforuta) ()",Miljö!$B$1:$J$1,0),FALSE),IF(AM327="nej","Nordisk residualel",""))</f>
        <v>-</v>
      </c>
      <c r="AO327" s="227">
        <f>IF(AM327="","",VLOOKUP($B327,Miljö!$B$1:$J$479,MATCH("Fossilandel för ursprungspecificerad el ()",Miljö!$B$1:$J$1,0),FALSE))</f>
        <v>0</v>
      </c>
      <c r="AP327" s="227">
        <f>IF(AM327="","",IFERROR(VLOOKUP($B327,Miljö!$B$1:$J$479,MATCH("Kärnkraftsandel för ursprungsspecificerad el ()",Miljö!$B$1:$J$1,0),FALSE)/1,0))</f>
        <v>0</v>
      </c>
      <c r="AQ327" s="227">
        <f t="shared" si="31"/>
        <v>1</v>
      </c>
      <c r="AR327" s="227"/>
      <c r="AS327" s="227" t="str">
        <f t="shared" si="32"/>
        <v>Nej</v>
      </c>
      <c r="AT327" s="227" t="str">
        <f>IF(AS327="ja",VLOOKUP($B327,Miljö!$B$1:$O$500,MATCH("Fossil andel i procent (%)",Miljö!$B$1:$O$1,0),FALSE)/100,"")</f>
        <v/>
      </c>
      <c r="AU327" s="227"/>
      <c r="AV327" s="227" t="str">
        <f t="shared" si="33"/>
        <v>Nej</v>
      </c>
      <c r="AW327" s="227" t="str">
        <f>IF(AV327="ja",VLOOKUP($B327,'Egen hetvattenprod'!$B$1:$AO$500,MATCH("Värmekälla till värmepumpar ()",'Egen hetvattenprod'!$B$1:$AO$1,0),FALSE),"")</f>
        <v/>
      </c>
      <c r="AX327" s="227"/>
      <c r="AY327" s="227" t="str">
        <f t="shared" si="34"/>
        <v>Nej</v>
      </c>
      <c r="AZ327" s="228" t="str">
        <f>IF($AY327="ja",(VLOOKUP($B327,'Egen hetvattenprod'!$B$1:$BX$550,MATCH(AZ$2,'Egen hetvattenprod'!$B$1:$BX$1,0),FALSE)+VLOOKUP($B327,Kraftvärmeprod!$B$1:$BX$550,MATCH(AZ$2,Kraftvärmeprod!$B$1:$BX$1,0),FALSE))/$AC327,"")</f>
        <v/>
      </c>
      <c r="BA327" s="228" t="str">
        <f>IF($AY327="ja",(VLOOKUP($B327,'Egen hetvattenprod'!$B$1:$BX$550,MATCH(BA$2,'Egen hetvattenprod'!$B$1:$BX$1,0),FALSE)+VLOOKUP($B327,Kraftvärmeprod!$B$1:$BX$550,MATCH(BA$2,Kraftvärmeprod!$B$1:$BX$1,0),FALSE))/$AC327,"")</f>
        <v/>
      </c>
      <c r="BB327" s="228" t="str">
        <f>IF($AY327="ja",(VLOOKUP($B327,'Egen hetvattenprod'!$B$1:$BX$550,MATCH(BB$2,'Egen hetvattenprod'!$B$1:$BX$1,0),FALSE)+VLOOKUP($B327,Kraftvärmeprod!$B$1:$BX$550,MATCH(BB$2,Kraftvärmeprod!$B$1:$BX$1,0),FALSE))/$AC327,"")</f>
        <v/>
      </c>
      <c r="BC327" s="228" t="str">
        <f>IF($AY327="ja",(VLOOKUP($B327,'Egen hetvattenprod'!$B$1:$BX$550,MATCH(BC$2,'Egen hetvattenprod'!$B$1:$BX$1,0),FALSE)+VLOOKUP($B327,Kraftvärmeprod!$B$1:$BX$550,MATCH(BC$2,Kraftvärmeprod!$B$1:$BX$1,0),FALSE))/$AC327,"")</f>
        <v/>
      </c>
      <c r="BD327" s="228" t="str">
        <f>IF($AY327="ja",(VLOOKUP($B327,'Egen hetvattenprod'!$B$1:$BX$550,MATCH(BD$2,'Egen hetvattenprod'!$B$1:$BX$1,0),FALSE)+VLOOKUP($B327,Kraftvärmeprod!$B$1:$BX$550,MATCH(BD$2,Kraftvärmeprod!$B$1:$BX$1,0),FALSE))/$AC327,"")</f>
        <v/>
      </c>
      <c r="BE327" s="227"/>
      <c r="BF327" s="227" t="str">
        <f t="shared" si="35"/>
        <v>Nej</v>
      </c>
      <c r="BG327" s="227" t="str">
        <f>IF($BF327="ja",VLOOKUP($B327,'Egen hetvattenprod'!$B$1:$BX$550,MATCH("Andelen klimatgaser med fossilt ursprung för avfall ()",'Egen hetvattenprod'!$B$1:$BX$1,0),FALSE),"")</f>
        <v/>
      </c>
      <c r="BH327" s="227" t="str">
        <f>IF($BF327="ja",VLOOKUP($B327,Kraftvärmeprod!$B$1:$BX$550,MATCH("Andelen klimatgaser med fossilt ursprung för avfall ()",Kraftvärmeprod!$B$1:$BX$1,0),FALSE),"")</f>
        <v/>
      </c>
      <c r="BI327" s="227" t="str">
        <f>IF($BF327="ja",VLOOKUP($B327,'Egen hetvattenprod'!$B$1:$BX$550,MATCH("Avfall (GWh)",'Egen hetvattenprod'!$B$1:$BX$1,0),FALSE),"")</f>
        <v/>
      </c>
      <c r="BJ327" s="227" t="str">
        <f>IF($BF327="ja",VLOOKUP($B327,'Slutlig allokering kvv'!$B$1:$BX$550,MATCH("Avfall (GWh)",'Slutlig allokering kvv'!$B$1:$BX$1,0),FALSE),"")</f>
        <v/>
      </c>
      <c r="BK327" s="227" t="str">
        <f>IF($BF327="ja",VLOOKUP($B327,'Köpt hetvatten'!$B$1:$BX$550,MATCH("Avfall i köpt hetvatten",'Köpt hetvatten'!$B$1:$BX$1,0),FALSE),"")</f>
        <v/>
      </c>
      <c r="BL327" s="227" t="str">
        <f>IF($BF327="ja",VLOOKUP($B327,'Egen hetvattenprod'!$B$1:$BX$550,MATCH("Värde enligt ovan. (%)",'Egen hetvattenprod'!$B$1:$BX$1,0),FALSE),"")</f>
        <v/>
      </c>
      <c r="BM327" s="227" t="str">
        <f>IF($BF327="ja",VLOOKUP($B327,Kraftvärmeprod!$B$1:$BX$550,MATCH("Värde enligt ovan. (%)",Kraftvärmeprod!$B$1:$BX$1,0),FALSE),"")</f>
        <v/>
      </c>
      <c r="BN327" s="227"/>
      <c r="BO327" s="227"/>
      <c r="BP327" s="227"/>
      <c r="BQ327" s="227" t="str">
        <f>IF($BF327="ja",VLOOKUP($B327,'Egen hetvattenprod'!$B$1:$BX$550,MATCH("Tillförd olja (fossil) vid avfallsförbränning (GWh)",'Egen hetvattenprod'!$B$1:$BX$1,0),FALSE),"")</f>
        <v/>
      </c>
      <c r="BR327" s="227" t="str">
        <f>IF($BF327="ja",VLOOKUP($B327,Kraftvärmeprod!$B$1:$BX$550,MATCH("Tillförd olja (fossil) vid avfallsförbränning (GWh)",Kraftvärmeprod!$B$1:$BX$1,0),FALSE),"")</f>
        <v/>
      </c>
      <c r="BS327" s="227"/>
      <c r="BT327" s="227"/>
      <c r="BU327" s="227"/>
    </row>
    <row r="328" spans="1:73" x14ac:dyDescent="0.25">
      <c r="A328" s="121" t="str">
        <f>'Miljövärden för publ företag'!B331</f>
        <v>Värnamo Energi AB</v>
      </c>
      <c r="B328" s="121" t="str">
        <f>'Miljövärden för publ företag'!C331</f>
        <v>Lanna</v>
      </c>
      <c r="C328" s="173">
        <f>IFERROR(VLOOKUP($B328,Totalt!$B$1:$AQ$554,MATCH(C$2,Totalt!$B$1:$AQ$1,0),FALSE),"")</f>
        <v>0</v>
      </c>
      <c r="D328" s="173">
        <f>IFERROR(VLOOKUP($B328,Totalt!$B$1:$AQ$554,MATCH(D$2,Totalt!$B$1:$AQ$1,0),FALSE),"")</f>
        <v>0</v>
      </c>
      <c r="E328" s="173">
        <f>IFERROR(VLOOKUP($B328,Totalt!$B$1:$AQ$554,MATCH(E$2,Totalt!$B$1:$AQ$1,0),FALSE),"")</f>
        <v>0</v>
      </c>
      <c r="F328" s="173">
        <f>IFERROR(VLOOKUP($B328,Totalt!$B$1:$AQ$554,MATCH(F$2,Totalt!$B$1:$AQ$1,0),FALSE),"")</f>
        <v>0</v>
      </c>
      <c r="G328" s="173">
        <f>IFERROR(VLOOKUP($B328,Totalt!$B$1:$AQ$554,MATCH(G$2,Totalt!$B$1:$AQ$1,0),FALSE),"")</f>
        <v>0</v>
      </c>
      <c r="H328" s="173">
        <f>IFERROR(VLOOKUP($B328,Totalt!$B$1:$AQ$554,MATCH(H$2,Totalt!$B$1:$AQ$1,0),FALSE),"")</f>
        <v>0</v>
      </c>
      <c r="I328" s="173">
        <f>IFERROR(VLOOKUP($B328,Totalt!$B$1:$AQ$554,MATCH(I$2,Totalt!$B$1:$AQ$1,0),FALSE),"")</f>
        <v>0</v>
      </c>
      <c r="J328" s="173">
        <f>IFERROR(VLOOKUP($B328,Totalt!$B$1:$AQ$554,MATCH(J$2,Totalt!$B$1:$AQ$1,0),FALSE),"")</f>
        <v>0</v>
      </c>
      <c r="K328" s="173">
        <f>IFERROR(VLOOKUP($B328,Totalt!$B$1:$AQ$554,MATCH(K$2,Totalt!$B$1:$AQ$1,0),FALSE),"")</f>
        <v>0</v>
      </c>
      <c r="L328" s="173">
        <f>IFERROR(VLOOKUP($B328,Totalt!$B$1:$AQ$554,MATCH(L$2,Totalt!$B$1:$AQ$1,0),FALSE),"")</f>
        <v>0</v>
      </c>
      <c r="M328" s="173">
        <f>IFERROR(VLOOKUP($B328,Totalt!$B$1:$AQ$554,MATCH(M$2,Totalt!$B$1:$AQ$1,0),FALSE),"")</f>
        <v>0</v>
      </c>
      <c r="N328" s="173">
        <f>IFERROR(VLOOKUP($B328,Totalt!$B$1:$AQ$554,MATCH(N$2,Totalt!$B$1:$AQ$1,0),FALSE),"")</f>
        <v>0</v>
      </c>
      <c r="O328" s="173">
        <f>IFERROR(VLOOKUP($B328,Totalt!$B$1:$AQ$554,MATCH(O$2,Totalt!$B$1:$AQ$1,0),FALSE),"")</f>
        <v>0</v>
      </c>
      <c r="P328" s="173">
        <f>IFERROR(VLOOKUP($B328,Totalt!$B$1:$AQ$554,MATCH(P$2,Totalt!$B$1:$AQ$1,0),FALSE),"")</f>
        <v>0</v>
      </c>
      <c r="Q328" s="173">
        <f>IFERROR(VLOOKUP($B328,Totalt!$B$1:$AQ$554,MATCH(Q$2,Totalt!$B$1:$AQ$1,0),FALSE),"")</f>
        <v>0</v>
      </c>
      <c r="R328" s="173">
        <f>IFERROR(VLOOKUP($B328,Totalt!$B$1:$AQ$554,MATCH(R$2,Totalt!$B$1:$AQ$1,0),FALSE),"")</f>
        <v>0.78600000000000003</v>
      </c>
      <c r="S328" s="173">
        <f>IFERROR(VLOOKUP($B328,Totalt!$B$1:$AQ$554,MATCH(S$2,Totalt!$B$1:$AQ$1,0),FALSE),"")</f>
        <v>0</v>
      </c>
      <c r="T328" s="173">
        <f>IFERROR(VLOOKUP($B328,Totalt!$B$1:$AQ$554,MATCH(T$2,Totalt!$B$1:$AQ$1,0),FALSE),"")</f>
        <v>0</v>
      </c>
      <c r="U328" s="173">
        <f>IFERROR(VLOOKUP($B328,Totalt!$B$1:$AQ$554,MATCH(U$2,Totalt!$B$1:$AQ$1,0),FALSE),"")</f>
        <v>0</v>
      </c>
      <c r="V328" s="173">
        <f>IFERROR(VLOOKUP($B328,Totalt!$B$1:$AQ$554,MATCH(V$2,Totalt!$B$1:$AQ$1,0),FALSE),"")</f>
        <v>0</v>
      </c>
      <c r="W328" s="173">
        <f>IFERROR(VLOOKUP($B328,Totalt!$B$1:$AQ$554,MATCH(W$2,Totalt!$B$1:$AQ$1,0),FALSE),"")</f>
        <v>0</v>
      </c>
      <c r="X328" s="173">
        <f>IFERROR(VLOOKUP($B328,Totalt!$B$1:$AQ$554,MATCH(X$2,Totalt!$B$1:$AQ$1,0),FALSE),"")</f>
        <v>0</v>
      </c>
      <c r="Y328" s="173">
        <f>IFERROR(VLOOKUP($B328,Totalt!$B$1:$AQ$554,MATCH(Y$2,Totalt!$B$1:$AQ$1,0),FALSE),"")</f>
        <v>0</v>
      </c>
      <c r="Z328" s="173">
        <f>IFERROR(VLOOKUP($B328,Totalt!$B$1:$AQ$554,MATCH(Z$2,Totalt!$B$1:$AQ$1,0),FALSE),"")</f>
        <v>0</v>
      </c>
      <c r="AA328" s="173">
        <f>IFERROR(VLOOKUP($B328,Totalt!$B$1:$AQ$554,MATCH(AA$2,Totalt!$B$1:$AQ$1,0),FALSE),"")</f>
        <v>0</v>
      </c>
      <c r="AB328" s="173">
        <f>IFERROR(VLOOKUP($B328,Totalt!$B$1:$AQ$554,MATCH(AB$2,Totalt!$B$1:$AQ$1,0),FALSE),"")</f>
        <v>0</v>
      </c>
      <c r="AC328" s="173">
        <f>IFERROR(VLOOKUP($B328,Totalt!$B$1:$AQ$554,MATCH(AC$2,Totalt!$B$1:$AQ$1,0),FALSE),"")</f>
        <v>0</v>
      </c>
      <c r="AD328" s="173">
        <f>IFERROR(VLOOKUP($B328,Totalt!$B$1:$AQ$554,MATCH(AD$2,Totalt!$B$1:$AQ$1,0),FALSE),"")</f>
        <v>0</v>
      </c>
      <c r="AE328" s="173">
        <f>IFERROR(VLOOKUP($B328,Totalt!$B$1:$AQ$554,MATCH(AE$2,Totalt!$B$1:$AQ$1,0),FALSE),"")</f>
        <v>0</v>
      </c>
      <c r="AF328" s="173">
        <f>IFERROR(VLOOKUP($B328,Totalt!$B$1:$AQ$554,MATCH(AF$2,Totalt!$B$1:$AQ$1,0),FALSE),"")</f>
        <v>2.1389999999999999E-2</v>
      </c>
      <c r="AG328" s="173">
        <f>IFERROR(VLOOKUP($B328,Totalt!$B$1:$AQ$554,MATCH(AG$2,Totalt!$B$1:$AQ$1,0),FALSE),"")</f>
        <v>0</v>
      </c>
      <c r="AI328" s="226">
        <f t="shared" si="30"/>
        <v>0.80739000000000005</v>
      </c>
      <c r="AJ328" s="226">
        <f>IF(ISERROR(1/VLOOKUP($B328,Leveranser!$B$1:$S$500,MATCH("såld värme (gwh)",Leveranser!$B$1:$S$1,0),FALSE)),"",VLOOKUP($B328,Leveranser!$B$1:$S$500,MATCH("såld värme (gwh)",Leveranser!$B$1:$S$1,0),FALSE))</f>
        <v>0.71299999999999997</v>
      </c>
      <c r="AM328" s="227" t="str">
        <f>IF(B328&lt;&gt;"",IF(VLOOKUP($B328,Totalt!$B$1:$AQ$554,MATCH("Kvalitetsgranskad:",Totalt!$B$1:$AQ$1,0),FALSE)="ja",VLOOKUP($B328,Miljö!$B$1:$AG$479,MATCH(AM$2,Miljö!$B$1:$AK$1,0),FALSE),""),"")</f>
        <v>Ja</v>
      </c>
      <c r="AN328" s="227" t="str">
        <f>IF(AM328="ja",VLOOKUP($B328,Miljö!$B$1:$J$479,MATCH("Typ av ursprungsspecificerad el   (Om inget värde anges används Nordisk residualmix, se inforuta) ()",Miljö!$B$1:$J$1,0),FALSE),IF(AM328="nej","Nordisk residualel",""))</f>
        <v>-</v>
      </c>
      <c r="AO328" s="227">
        <f>IF(AM328="","",VLOOKUP($B328,Miljö!$B$1:$J$479,MATCH("Fossilandel för ursprungspecificerad el ()",Miljö!$B$1:$J$1,0),FALSE))</f>
        <v>0</v>
      </c>
      <c r="AP328" s="227">
        <f>IF(AM328="","",IFERROR(VLOOKUP($B328,Miljö!$B$1:$J$479,MATCH("Kärnkraftsandel för ursprungsspecificerad el ()",Miljö!$B$1:$J$1,0),FALSE)/1,0))</f>
        <v>0</v>
      </c>
      <c r="AQ328" s="227">
        <f t="shared" si="31"/>
        <v>1</v>
      </c>
      <c r="AR328" s="227"/>
      <c r="AS328" s="227" t="str">
        <f t="shared" si="32"/>
        <v>Nej</v>
      </c>
      <c r="AT328" s="227" t="str">
        <f>IF(AS328="ja",VLOOKUP($B328,Miljö!$B$1:$O$500,MATCH("Fossil andel i procent (%)",Miljö!$B$1:$O$1,0),FALSE)/100,"")</f>
        <v/>
      </c>
      <c r="AU328" s="227"/>
      <c r="AV328" s="227" t="str">
        <f t="shared" si="33"/>
        <v>Nej</v>
      </c>
      <c r="AW328" s="227" t="str">
        <f>IF(AV328="ja",VLOOKUP($B328,'Egen hetvattenprod'!$B$1:$AO$500,MATCH("Värmekälla till värmepumpar ()",'Egen hetvattenprod'!$B$1:$AO$1,0),FALSE),"")</f>
        <v/>
      </c>
      <c r="AX328" s="227"/>
      <c r="AY328" s="227" t="str">
        <f t="shared" si="34"/>
        <v>Nej</v>
      </c>
      <c r="AZ328" s="228" t="str">
        <f>IF($AY328="ja",(VLOOKUP($B328,'Egen hetvattenprod'!$B$1:$BX$550,MATCH(AZ$2,'Egen hetvattenprod'!$B$1:$BX$1,0),FALSE)+VLOOKUP($B328,Kraftvärmeprod!$B$1:$BX$550,MATCH(AZ$2,Kraftvärmeprod!$B$1:$BX$1,0),FALSE))/$AC328,"")</f>
        <v/>
      </c>
      <c r="BA328" s="228" t="str">
        <f>IF($AY328="ja",(VLOOKUP($B328,'Egen hetvattenprod'!$B$1:$BX$550,MATCH(BA$2,'Egen hetvattenprod'!$B$1:$BX$1,0),FALSE)+VLOOKUP($B328,Kraftvärmeprod!$B$1:$BX$550,MATCH(BA$2,Kraftvärmeprod!$B$1:$BX$1,0),FALSE))/$AC328,"")</f>
        <v/>
      </c>
      <c r="BB328" s="228" t="str">
        <f>IF($AY328="ja",(VLOOKUP($B328,'Egen hetvattenprod'!$B$1:$BX$550,MATCH(BB$2,'Egen hetvattenprod'!$B$1:$BX$1,0),FALSE)+VLOOKUP($B328,Kraftvärmeprod!$B$1:$BX$550,MATCH(BB$2,Kraftvärmeprod!$B$1:$BX$1,0),FALSE))/$AC328,"")</f>
        <v/>
      </c>
      <c r="BC328" s="228" t="str">
        <f>IF($AY328="ja",(VLOOKUP($B328,'Egen hetvattenprod'!$B$1:$BX$550,MATCH(BC$2,'Egen hetvattenprod'!$B$1:$BX$1,0),FALSE)+VLOOKUP($B328,Kraftvärmeprod!$B$1:$BX$550,MATCH(BC$2,Kraftvärmeprod!$B$1:$BX$1,0),FALSE))/$AC328,"")</f>
        <v/>
      </c>
      <c r="BD328" s="228" t="str">
        <f>IF($AY328="ja",(VLOOKUP($B328,'Egen hetvattenprod'!$B$1:$BX$550,MATCH(BD$2,'Egen hetvattenprod'!$B$1:$BX$1,0),FALSE)+VLOOKUP($B328,Kraftvärmeprod!$B$1:$BX$550,MATCH(BD$2,Kraftvärmeprod!$B$1:$BX$1,0),FALSE))/$AC328,"")</f>
        <v/>
      </c>
      <c r="BE328" s="227"/>
      <c r="BF328" s="227" t="str">
        <f t="shared" si="35"/>
        <v>Nej</v>
      </c>
      <c r="BG328" s="227" t="str">
        <f>IF($BF328="ja",VLOOKUP($B328,'Egen hetvattenprod'!$B$1:$BX$550,MATCH("Andelen klimatgaser med fossilt ursprung för avfall ()",'Egen hetvattenprod'!$B$1:$BX$1,0),FALSE),"")</f>
        <v/>
      </c>
      <c r="BH328" s="227" t="str">
        <f>IF($BF328="ja",VLOOKUP($B328,Kraftvärmeprod!$B$1:$BX$550,MATCH("Andelen klimatgaser med fossilt ursprung för avfall ()",Kraftvärmeprod!$B$1:$BX$1,0),FALSE),"")</f>
        <v/>
      </c>
      <c r="BI328" s="227" t="str">
        <f>IF($BF328="ja",VLOOKUP($B328,'Egen hetvattenprod'!$B$1:$BX$550,MATCH("Avfall (GWh)",'Egen hetvattenprod'!$B$1:$BX$1,0),FALSE),"")</f>
        <v/>
      </c>
      <c r="BJ328" s="227" t="str">
        <f>IF($BF328="ja",VLOOKUP($B328,'Slutlig allokering kvv'!$B$1:$BX$550,MATCH("Avfall (GWh)",'Slutlig allokering kvv'!$B$1:$BX$1,0),FALSE),"")</f>
        <v/>
      </c>
      <c r="BK328" s="227" t="str">
        <f>IF($BF328="ja",VLOOKUP($B328,'Köpt hetvatten'!$B$1:$BX$550,MATCH("Avfall i köpt hetvatten",'Köpt hetvatten'!$B$1:$BX$1,0),FALSE),"")</f>
        <v/>
      </c>
      <c r="BL328" s="227" t="str">
        <f>IF($BF328="ja",VLOOKUP($B328,'Egen hetvattenprod'!$B$1:$BX$550,MATCH("Värde enligt ovan. (%)",'Egen hetvattenprod'!$B$1:$BX$1,0),FALSE),"")</f>
        <v/>
      </c>
      <c r="BM328" s="227" t="str">
        <f>IF($BF328="ja",VLOOKUP($B328,Kraftvärmeprod!$B$1:$BX$550,MATCH("Värde enligt ovan. (%)",Kraftvärmeprod!$B$1:$BX$1,0),FALSE),"")</f>
        <v/>
      </c>
      <c r="BN328" s="227"/>
      <c r="BO328" s="227"/>
      <c r="BP328" s="227"/>
      <c r="BQ328" s="227" t="str">
        <f>IF($BF328="ja",VLOOKUP($B328,'Egen hetvattenprod'!$B$1:$BX$550,MATCH("Tillförd olja (fossil) vid avfallsförbränning (GWh)",'Egen hetvattenprod'!$B$1:$BX$1,0),FALSE),"")</f>
        <v/>
      </c>
      <c r="BR328" s="227" t="str">
        <f>IF($BF328="ja",VLOOKUP($B328,Kraftvärmeprod!$B$1:$BX$550,MATCH("Tillförd olja (fossil) vid avfallsförbränning (GWh)",Kraftvärmeprod!$B$1:$BX$1,0),FALSE),"")</f>
        <v/>
      </c>
      <c r="BS328" s="227"/>
      <c r="BT328" s="227"/>
      <c r="BU328" s="227"/>
    </row>
    <row r="329" spans="1:73" x14ac:dyDescent="0.25">
      <c r="A329" s="121" t="str">
        <f>'Miljövärden för publ företag'!B332</f>
        <v>Värnamo Energi AB</v>
      </c>
      <c r="B329" s="121" t="str">
        <f>'Miljövärden för publ företag'!C332</f>
        <v>Rydaholm</v>
      </c>
      <c r="C329" s="173">
        <f>IFERROR(VLOOKUP($B329,Totalt!$B$1:$AQ$554,MATCH(C$2,Totalt!$B$1:$AQ$1,0),FALSE),"")</f>
        <v>0</v>
      </c>
      <c r="D329" s="173">
        <f>IFERROR(VLOOKUP($B329,Totalt!$B$1:$AQ$554,MATCH(D$2,Totalt!$B$1:$AQ$1,0),FALSE),"")</f>
        <v>8.5999999999999993E-2</v>
      </c>
      <c r="E329" s="173">
        <f>IFERROR(VLOOKUP($B329,Totalt!$B$1:$AQ$554,MATCH(E$2,Totalt!$B$1:$AQ$1,0),FALSE),"")</f>
        <v>0</v>
      </c>
      <c r="F329" s="173">
        <f>IFERROR(VLOOKUP($B329,Totalt!$B$1:$AQ$554,MATCH(F$2,Totalt!$B$1:$AQ$1,0),FALSE),"")</f>
        <v>0</v>
      </c>
      <c r="G329" s="173">
        <f>IFERROR(VLOOKUP($B329,Totalt!$B$1:$AQ$554,MATCH(G$2,Totalt!$B$1:$AQ$1,0),FALSE),"")</f>
        <v>0</v>
      </c>
      <c r="H329" s="173">
        <f>IFERROR(VLOOKUP($B329,Totalt!$B$1:$AQ$554,MATCH(H$2,Totalt!$B$1:$AQ$1,0),FALSE),"")</f>
        <v>0</v>
      </c>
      <c r="I329" s="173">
        <f>IFERROR(VLOOKUP($B329,Totalt!$B$1:$AQ$554,MATCH(I$2,Totalt!$B$1:$AQ$1,0),FALSE),"")</f>
        <v>0</v>
      </c>
      <c r="J329" s="173">
        <f>IFERROR(VLOOKUP($B329,Totalt!$B$1:$AQ$554,MATCH(J$2,Totalt!$B$1:$AQ$1,0),FALSE),"")</f>
        <v>0</v>
      </c>
      <c r="K329" s="173">
        <f>IFERROR(VLOOKUP($B329,Totalt!$B$1:$AQ$554,MATCH(K$2,Totalt!$B$1:$AQ$1,0),FALSE),"")</f>
        <v>0</v>
      </c>
      <c r="L329" s="173">
        <f>IFERROR(VLOOKUP($B329,Totalt!$B$1:$AQ$554,MATCH(L$2,Totalt!$B$1:$AQ$1,0),FALSE),"")</f>
        <v>0</v>
      </c>
      <c r="M329" s="173">
        <f>IFERROR(VLOOKUP($B329,Totalt!$B$1:$AQ$554,MATCH(M$2,Totalt!$B$1:$AQ$1,0),FALSE),"")</f>
        <v>0</v>
      </c>
      <c r="N329" s="173">
        <f>IFERROR(VLOOKUP($B329,Totalt!$B$1:$AQ$554,MATCH(N$2,Totalt!$B$1:$AQ$1,0),FALSE),"")</f>
        <v>0</v>
      </c>
      <c r="O329" s="173">
        <f>IFERROR(VLOOKUP($B329,Totalt!$B$1:$AQ$554,MATCH(O$2,Totalt!$B$1:$AQ$1,0),FALSE),"")</f>
        <v>0</v>
      </c>
      <c r="P329" s="173">
        <f>IFERROR(VLOOKUP($B329,Totalt!$B$1:$AQ$554,MATCH(P$2,Totalt!$B$1:$AQ$1,0),FALSE),"")</f>
        <v>0</v>
      </c>
      <c r="Q329" s="173">
        <f>IFERROR(VLOOKUP($B329,Totalt!$B$1:$AQ$554,MATCH(Q$2,Totalt!$B$1:$AQ$1,0),FALSE),"")</f>
        <v>13.6859</v>
      </c>
      <c r="R329" s="173">
        <f>IFERROR(VLOOKUP($B329,Totalt!$B$1:$AQ$554,MATCH(R$2,Totalt!$B$1:$AQ$1,0),FALSE),"")</f>
        <v>0</v>
      </c>
      <c r="S329" s="173">
        <f>IFERROR(VLOOKUP($B329,Totalt!$B$1:$AQ$554,MATCH(S$2,Totalt!$B$1:$AQ$1,0),FALSE),"")</f>
        <v>0</v>
      </c>
      <c r="T329" s="173">
        <f>IFERROR(VLOOKUP($B329,Totalt!$B$1:$AQ$554,MATCH(T$2,Totalt!$B$1:$AQ$1,0),FALSE),"")</f>
        <v>0</v>
      </c>
      <c r="U329" s="173">
        <f>IFERROR(VLOOKUP($B329,Totalt!$B$1:$AQ$554,MATCH(U$2,Totalt!$B$1:$AQ$1,0),FALSE),"")</f>
        <v>0</v>
      </c>
      <c r="V329" s="173">
        <f>IFERROR(VLOOKUP($B329,Totalt!$B$1:$AQ$554,MATCH(V$2,Totalt!$B$1:$AQ$1,0),FALSE),"")</f>
        <v>0</v>
      </c>
      <c r="W329" s="173">
        <f>IFERROR(VLOOKUP($B329,Totalt!$B$1:$AQ$554,MATCH(W$2,Totalt!$B$1:$AQ$1,0),FALSE),"")</f>
        <v>0</v>
      </c>
      <c r="X329" s="173">
        <f>IFERROR(VLOOKUP($B329,Totalt!$B$1:$AQ$554,MATCH(X$2,Totalt!$B$1:$AQ$1,0),FALSE),"")</f>
        <v>0</v>
      </c>
      <c r="Y329" s="173">
        <f>IFERROR(VLOOKUP($B329,Totalt!$B$1:$AQ$554,MATCH(Y$2,Totalt!$B$1:$AQ$1,0),FALSE),"")</f>
        <v>0</v>
      </c>
      <c r="Z329" s="173">
        <f>IFERROR(VLOOKUP($B329,Totalt!$B$1:$AQ$554,MATCH(Z$2,Totalt!$B$1:$AQ$1,0),FALSE),"")</f>
        <v>0</v>
      </c>
      <c r="AA329" s="173">
        <f>IFERROR(VLOOKUP($B329,Totalt!$B$1:$AQ$554,MATCH(AA$2,Totalt!$B$1:$AQ$1,0),FALSE),"")</f>
        <v>0</v>
      </c>
      <c r="AB329" s="173">
        <f>IFERROR(VLOOKUP($B329,Totalt!$B$1:$AQ$554,MATCH(AB$2,Totalt!$B$1:$AQ$1,0),FALSE),"")</f>
        <v>0</v>
      </c>
      <c r="AC329" s="173">
        <f>IFERROR(VLOOKUP($B329,Totalt!$B$1:$AQ$554,MATCH(AC$2,Totalt!$B$1:$AQ$1,0),FALSE),"")</f>
        <v>0</v>
      </c>
      <c r="AD329" s="173">
        <f>IFERROR(VLOOKUP($B329,Totalt!$B$1:$AQ$554,MATCH(AD$2,Totalt!$B$1:$AQ$1,0),FALSE),"")</f>
        <v>0</v>
      </c>
      <c r="AE329" s="173">
        <f>IFERROR(VLOOKUP($B329,Totalt!$B$1:$AQ$554,MATCH(AE$2,Totalt!$B$1:$AQ$1,0),FALSE),"")</f>
        <v>0</v>
      </c>
      <c r="AF329" s="173">
        <f>IFERROR(VLOOKUP($B329,Totalt!$B$1:$AQ$554,MATCH(AF$2,Totalt!$B$1:$AQ$1,0),FALSE),"")</f>
        <v>0.28797</v>
      </c>
      <c r="AG329" s="173">
        <f>IFERROR(VLOOKUP($B329,Totalt!$B$1:$AQ$554,MATCH(AG$2,Totalt!$B$1:$AQ$1,0),FALSE),"")</f>
        <v>0</v>
      </c>
      <c r="AI329" s="226">
        <f t="shared" si="30"/>
        <v>14.05987</v>
      </c>
      <c r="AJ329" s="226">
        <f>IF(ISERROR(1/VLOOKUP($B329,Leveranser!$B$1:$S$500,MATCH("såld värme (gwh)",Leveranser!$B$1:$S$1,0),FALSE)),"",VLOOKUP($B329,Leveranser!$B$1:$S$500,MATCH("såld värme (gwh)",Leveranser!$B$1:$S$1,0),FALSE))</f>
        <v>9.5990000000000002</v>
      </c>
      <c r="AM329" s="227" t="str">
        <f>IF(B329&lt;&gt;"",IF(VLOOKUP($B329,Totalt!$B$1:$AQ$554,MATCH("Kvalitetsgranskad:",Totalt!$B$1:$AQ$1,0),FALSE)="ja",VLOOKUP($B329,Miljö!$B$1:$AG$479,MATCH(AM$2,Miljö!$B$1:$AK$1,0),FALSE),""),"")</f>
        <v>Ja</v>
      </c>
      <c r="AN329" s="227" t="str">
        <f>IF(AM329="ja",VLOOKUP($B329,Miljö!$B$1:$J$479,MATCH("Typ av ursprungsspecificerad el   (Om inget värde anges används Nordisk residualmix, se inforuta) ()",Miljö!$B$1:$J$1,0),FALSE),IF(AM329="nej","Nordisk residualel",""))</f>
        <v>-</v>
      </c>
      <c r="AO329" s="227">
        <f>IF(AM329="","",VLOOKUP($B329,Miljö!$B$1:$J$479,MATCH("Fossilandel för ursprungspecificerad el ()",Miljö!$B$1:$J$1,0),FALSE))</f>
        <v>0</v>
      </c>
      <c r="AP329" s="227">
        <f>IF(AM329="","",IFERROR(VLOOKUP($B329,Miljö!$B$1:$J$479,MATCH("Kärnkraftsandel för ursprungsspecificerad el ()",Miljö!$B$1:$J$1,0),FALSE)/1,0))</f>
        <v>0</v>
      </c>
      <c r="AQ329" s="227">
        <f t="shared" si="31"/>
        <v>1</v>
      </c>
      <c r="AR329" s="227"/>
      <c r="AS329" s="227" t="str">
        <f t="shared" si="32"/>
        <v>Nej</v>
      </c>
      <c r="AT329" s="227" t="str">
        <f>IF(AS329="ja",VLOOKUP($B329,Miljö!$B$1:$O$500,MATCH("Fossil andel i procent (%)",Miljö!$B$1:$O$1,0),FALSE)/100,"")</f>
        <v/>
      </c>
      <c r="AU329" s="227"/>
      <c r="AV329" s="227" t="str">
        <f t="shared" si="33"/>
        <v>Nej</v>
      </c>
      <c r="AW329" s="227" t="str">
        <f>IF(AV329="ja",VLOOKUP($B329,'Egen hetvattenprod'!$B$1:$AO$500,MATCH("Värmekälla till värmepumpar ()",'Egen hetvattenprod'!$B$1:$AO$1,0),FALSE),"")</f>
        <v/>
      </c>
      <c r="AX329" s="227"/>
      <c r="AY329" s="227" t="str">
        <f t="shared" si="34"/>
        <v>Nej</v>
      </c>
      <c r="AZ329" s="228" t="str">
        <f>IF($AY329="ja",(VLOOKUP($B329,'Egen hetvattenprod'!$B$1:$BX$550,MATCH(AZ$2,'Egen hetvattenprod'!$B$1:$BX$1,0),FALSE)+VLOOKUP($B329,Kraftvärmeprod!$B$1:$BX$550,MATCH(AZ$2,Kraftvärmeprod!$B$1:$BX$1,0),FALSE))/$AC329,"")</f>
        <v/>
      </c>
      <c r="BA329" s="228" t="str">
        <f>IF($AY329="ja",(VLOOKUP($B329,'Egen hetvattenprod'!$B$1:$BX$550,MATCH(BA$2,'Egen hetvattenprod'!$B$1:$BX$1,0),FALSE)+VLOOKUP($B329,Kraftvärmeprod!$B$1:$BX$550,MATCH(BA$2,Kraftvärmeprod!$B$1:$BX$1,0),FALSE))/$AC329,"")</f>
        <v/>
      </c>
      <c r="BB329" s="228" t="str">
        <f>IF($AY329="ja",(VLOOKUP($B329,'Egen hetvattenprod'!$B$1:$BX$550,MATCH(BB$2,'Egen hetvattenprod'!$B$1:$BX$1,0),FALSE)+VLOOKUP($B329,Kraftvärmeprod!$B$1:$BX$550,MATCH(BB$2,Kraftvärmeprod!$B$1:$BX$1,0),FALSE))/$AC329,"")</f>
        <v/>
      </c>
      <c r="BC329" s="228" t="str">
        <f>IF($AY329="ja",(VLOOKUP($B329,'Egen hetvattenprod'!$B$1:$BX$550,MATCH(BC$2,'Egen hetvattenprod'!$B$1:$BX$1,0),FALSE)+VLOOKUP($B329,Kraftvärmeprod!$B$1:$BX$550,MATCH(BC$2,Kraftvärmeprod!$B$1:$BX$1,0),FALSE))/$AC329,"")</f>
        <v/>
      </c>
      <c r="BD329" s="228" t="str">
        <f>IF($AY329="ja",(VLOOKUP($B329,'Egen hetvattenprod'!$B$1:$BX$550,MATCH(BD$2,'Egen hetvattenprod'!$B$1:$BX$1,0),FALSE)+VLOOKUP($B329,Kraftvärmeprod!$B$1:$BX$550,MATCH(BD$2,Kraftvärmeprod!$B$1:$BX$1,0),FALSE))/$AC329,"")</f>
        <v/>
      </c>
      <c r="BE329" s="227"/>
      <c r="BF329" s="227" t="str">
        <f t="shared" si="35"/>
        <v>Nej</v>
      </c>
      <c r="BG329" s="227" t="str">
        <f>IF($BF329="ja",VLOOKUP($B329,'Egen hetvattenprod'!$B$1:$BX$550,MATCH("Andelen klimatgaser med fossilt ursprung för avfall ()",'Egen hetvattenprod'!$B$1:$BX$1,0),FALSE),"")</f>
        <v/>
      </c>
      <c r="BH329" s="227" t="str">
        <f>IF($BF329="ja",VLOOKUP($B329,Kraftvärmeprod!$B$1:$BX$550,MATCH("Andelen klimatgaser med fossilt ursprung för avfall ()",Kraftvärmeprod!$B$1:$BX$1,0),FALSE),"")</f>
        <v/>
      </c>
      <c r="BI329" s="227" t="str">
        <f>IF($BF329="ja",VLOOKUP($B329,'Egen hetvattenprod'!$B$1:$BX$550,MATCH("Avfall (GWh)",'Egen hetvattenprod'!$B$1:$BX$1,0),FALSE),"")</f>
        <v/>
      </c>
      <c r="BJ329" s="227" t="str">
        <f>IF($BF329="ja",VLOOKUP($B329,'Slutlig allokering kvv'!$B$1:$BX$550,MATCH("Avfall (GWh)",'Slutlig allokering kvv'!$B$1:$BX$1,0),FALSE),"")</f>
        <v/>
      </c>
      <c r="BK329" s="227" t="str">
        <f>IF($BF329="ja",VLOOKUP($B329,'Köpt hetvatten'!$B$1:$BX$550,MATCH("Avfall i köpt hetvatten",'Köpt hetvatten'!$B$1:$BX$1,0),FALSE),"")</f>
        <v/>
      </c>
      <c r="BL329" s="227" t="str">
        <f>IF($BF329="ja",VLOOKUP($B329,'Egen hetvattenprod'!$B$1:$BX$550,MATCH("Värde enligt ovan. (%)",'Egen hetvattenprod'!$B$1:$BX$1,0),FALSE),"")</f>
        <v/>
      </c>
      <c r="BM329" s="227" t="str">
        <f>IF($BF329="ja",VLOOKUP($B329,Kraftvärmeprod!$B$1:$BX$550,MATCH("Värde enligt ovan. (%)",Kraftvärmeprod!$B$1:$BX$1,0),FALSE),"")</f>
        <v/>
      </c>
      <c r="BN329" s="227"/>
      <c r="BO329" s="227"/>
      <c r="BP329" s="227"/>
      <c r="BQ329" s="227" t="str">
        <f>IF($BF329="ja",VLOOKUP($B329,'Egen hetvattenprod'!$B$1:$BX$550,MATCH("Tillförd olja (fossil) vid avfallsförbränning (GWh)",'Egen hetvattenprod'!$B$1:$BX$1,0),FALSE),"")</f>
        <v/>
      </c>
      <c r="BR329" s="227" t="str">
        <f>IF($BF329="ja",VLOOKUP($B329,Kraftvärmeprod!$B$1:$BX$550,MATCH("Tillförd olja (fossil) vid avfallsförbränning (GWh)",Kraftvärmeprod!$B$1:$BX$1,0),FALSE),"")</f>
        <v/>
      </c>
      <c r="BS329" s="227"/>
      <c r="BT329" s="227"/>
      <c r="BU329" s="227"/>
    </row>
    <row r="330" spans="1:73" x14ac:dyDescent="0.25">
      <c r="A330" s="121" t="str">
        <f>'Miljövärden för publ företag'!B333</f>
        <v>Värnamo Energi AB</v>
      </c>
      <c r="B330" s="121" t="str">
        <f>'Miljövärden för publ företag'!C333</f>
        <v>Värnamo</v>
      </c>
      <c r="C330" s="173">
        <f>IFERROR(VLOOKUP($B330,Totalt!$B$1:$AQ$554,MATCH(C$2,Totalt!$B$1:$AQ$1,0),FALSE),"")</f>
        <v>0</v>
      </c>
      <c r="D330" s="173">
        <f>IFERROR(VLOOKUP($B330,Totalt!$B$1:$AQ$554,MATCH(D$2,Totalt!$B$1:$AQ$1,0),FALSE),"")</f>
        <v>6.0699999999999997E-2</v>
      </c>
      <c r="E330" s="173">
        <f>IFERROR(VLOOKUP($B330,Totalt!$B$1:$AQ$554,MATCH(E$2,Totalt!$B$1:$AQ$1,0),FALSE),"")</f>
        <v>0</v>
      </c>
      <c r="F330" s="173">
        <f>IFERROR(VLOOKUP($B330,Totalt!$B$1:$AQ$554,MATCH(F$2,Totalt!$B$1:$AQ$1,0),FALSE),"")</f>
        <v>0</v>
      </c>
      <c r="G330" s="173">
        <f>IFERROR(VLOOKUP($B330,Totalt!$B$1:$AQ$554,MATCH(G$2,Totalt!$B$1:$AQ$1,0),FALSE),"")</f>
        <v>0</v>
      </c>
      <c r="H330" s="173">
        <f>IFERROR(VLOOKUP($B330,Totalt!$B$1:$AQ$554,MATCH(H$2,Totalt!$B$1:$AQ$1,0),FALSE),"")</f>
        <v>2.5859999999999999</v>
      </c>
      <c r="I330" s="173">
        <f>IFERROR(VLOOKUP($B330,Totalt!$B$1:$AQ$554,MATCH(I$2,Totalt!$B$1:$AQ$1,0),FALSE),"")</f>
        <v>0</v>
      </c>
      <c r="J330" s="173">
        <f>IFERROR(VLOOKUP($B330,Totalt!$B$1:$AQ$554,MATCH(J$2,Totalt!$B$1:$AQ$1,0),FALSE),"")</f>
        <v>0.89900000000000002</v>
      </c>
      <c r="K330" s="173">
        <f>IFERROR(VLOOKUP($B330,Totalt!$B$1:$AQ$554,MATCH(K$2,Totalt!$B$1:$AQ$1,0),FALSE),"")</f>
        <v>0</v>
      </c>
      <c r="L330" s="173">
        <f>IFERROR(VLOOKUP($B330,Totalt!$B$1:$AQ$554,MATCH(L$2,Totalt!$B$1:$AQ$1,0),FALSE),"")</f>
        <v>0</v>
      </c>
      <c r="M330" s="173">
        <f>IFERROR(VLOOKUP($B330,Totalt!$B$1:$AQ$554,MATCH(M$2,Totalt!$B$1:$AQ$1,0),FALSE),"")</f>
        <v>52.700400000000002</v>
      </c>
      <c r="N330" s="173">
        <f>IFERROR(VLOOKUP($B330,Totalt!$B$1:$AQ$554,MATCH(N$2,Totalt!$B$1:$AQ$1,0),FALSE),"")</f>
        <v>57.755899999999997</v>
      </c>
      <c r="O330" s="173">
        <f>IFERROR(VLOOKUP($B330,Totalt!$B$1:$AQ$554,MATCH(O$2,Totalt!$B$1:$AQ$1,0),FALSE),"")</f>
        <v>0</v>
      </c>
      <c r="P330" s="173">
        <f>IFERROR(VLOOKUP($B330,Totalt!$B$1:$AQ$554,MATCH(P$2,Totalt!$B$1:$AQ$1,0),FALSE),"")</f>
        <v>21.2895</v>
      </c>
      <c r="Q330" s="173">
        <f>IFERROR(VLOOKUP($B330,Totalt!$B$1:$AQ$554,MATCH(Q$2,Totalt!$B$1:$AQ$1,0),FALSE),"")</f>
        <v>0</v>
      </c>
      <c r="R330" s="173">
        <f>IFERROR(VLOOKUP($B330,Totalt!$B$1:$AQ$554,MATCH(R$2,Totalt!$B$1:$AQ$1,0),FALSE),"")</f>
        <v>0</v>
      </c>
      <c r="S330" s="173">
        <f>IFERROR(VLOOKUP($B330,Totalt!$B$1:$AQ$554,MATCH(S$2,Totalt!$B$1:$AQ$1,0),FALSE),"")</f>
        <v>0</v>
      </c>
      <c r="T330" s="173">
        <f>IFERROR(VLOOKUP($B330,Totalt!$B$1:$AQ$554,MATCH(T$2,Totalt!$B$1:$AQ$1,0),FALSE),"")</f>
        <v>0</v>
      </c>
      <c r="U330" s="173">
        <f>IFERROR(VLOOKUP($B330,Totalt!$B$1:$AQ$554,MATCH(U$2,Totalt!$B$1:$AQ$1,0),FALSE),"")</f>
        <v>0</v>
      </c>
      <c r="V330" s="173">
        <f>IFERROR(VLOOKUP($B330,Totalt!$B$1:$AQ$554,MATCH(V$2,Totalt!$B$1:$AQ$1,0),FALSE),"")</f>
        <v>0</v>
      </c>
      <c r="W330" s="173">
        <f>IFERROR(VLOOKUP($B330,Totalt!$B$1:$AQ$554,MATCH(W$2,Totalt!$B$1:$AQ$1,0),FALSE),"")</f>
        <v>12.273</v>
      </c>
      <c r="X330" s="173">
        <f>IFERROR(VLOOKUP($B330,Totalt!$B$1:$AQ$554,MATCH(X$2,Totalt!$B$1:$AQ$1,0),FALSE),"")</f>
        <v>0</v>
      </c>
      <c r="Y330" s="173">
        <f>IFERROR(VLOOKUP($B330,Totalt!$B$1:$AQ$554,MATCH(Y$2,Totalt!$B$1:$AQ$1,0),FALSE),"")</f>
        <v>0</v>
      </c>
      <c r="Z330" s="173">
        <f>IFERROR(VLOOKUP($B330,Totalt!$B$1:$AQ$554,MATCH(Z$2,Totalt!$B$1:$AQ$1,0),FALSE),"")</f>
        <v>0</v>
      </c>
      <c r="AA330" s="173">
        <f>IFERROR(VLOOKUP($B330,Totalt!$B$1:$AQ$554,MATCH(AA$2,Totalt!$B$1:$AQ$1,0),FALSE),"")</f>
        <v>0</v>
      </c>
      <c r="AB330" s="173">
        <f>IFERROR(VLOOKUP($B330,Totalt!$B$1:$AQ$554,MATCH(AB$2,Totalt!$B$1:$AQ$1,0),FALSE),"")</f>
        <v>0</v>
      </c>
      <c r="AC330" s="173">
        <f>IFERROR(VLOOKUP($B330,Totalt!$B$1:$AQ$554,MATCH(AC$2,Totalt!$B$1:$AQ$1,0),FALSE),"")</f>
        <v>34.587000000000003</v>
      </c>
      <c r="AD330" s="173">
        <f>IFERROR(VLOOKUP($B330,Totalt!$B$1:$AQ$554,MATCH(AD$2,Totalt!$B$1:$AQ$1,0),FALSE),"")</f>
        <v>0.24</v>
      </c>
      <c r="AE330" s="173">
        <f>IFERROR(VLOOKUP($B330,Totalt!$B$1:$AQ$554,MATCH(AE$2,Totalt!$B$1:$AQ$1,0),FALSE),"")</f>
        <v>0</v>
      </c>
      <c r="AF330" s="173">
        <f>IFERROR(VLOOKUP($B330,Totalt!$B$1:$AQ$554,MATCH(AF$2,Totalt!$B$1:$AQ$1,0),FALSE),"")</f>
        <v>4.3228799999999996</v>
      </c>
      <c r="AG330" s="173">
        <f>IFERROR(VLOOKUP($B330,Totalt!$B$1:$AQ$554,MATCH(AG$2,Totalt!$B$1:$AQ$1,0),FALSE),"")</f>
        <v>0</v>
      </c>
      <c r="AI330" s="226">
        <f t="shared" si="30"/>
        <v>186.71438000000001</v>
      </c>
      <c r="AJ330" s="226">
        <f>IF(ISERROR(1/VLOOKUP($B330,Leveranser!$B$1:$S$500,MATCH("såld värme (gwh)",Leveranser!$B$1:$S$1,0),FALSE)),"",VLOOKUP($B330,Leveranser!$B$1:$S$500,MATCH("såld värme (gwh)",Leveranser!$B$1:$S$1,0),FALSE))</f>
        <v>144.096</v>
      </c>
      <c r="AM330" s="227" t="str">
        <f>IF(B330&lt;&gt;"",IF(VLOOKUP($B330,Totalt!$B$1:$AQ$554,MATCH("Kvalitetsgranskad:",Totalt!$B$1:$AQ$1,0),FALSE)="ja",VLOOKUP($B330,Miljö!$B$1:$AG$479,MATCH(AM$2,Miljö!$B$1:$AK$1,0),FALSE),""),"")</f>
        <v>Ja</v>
      </c>
      <c r="AN330" s="227" t="str">
        <f>IF(AM330="ja",VLOOKUP($B330,Miljö!$B$1:$J$479,MATCH("Typ av ursprungsspecificerad el   (Om inget värde anges används Nordisk residualmix, se inforuta) ()",Miljö!$B$1:$J$1,0),FALSE),IF(AM330="nej","Nordisk residualel",""))</f>
        <v>'Vindkraft och egen kraftvärme'</v>
      </c>
      <c r="AO330" s="227">
        <f>IF(AM330="","",VLOOKUP($B330,Miljö!$B$1:$J$479,MATCH("Fossilandel för ursprungspecificerad el ()",Miljö!$B$1:$J$1,0),FALSE))</f>
        <v>0</v>
      </c>
      <c r="AP330" s="227">
        <f>IF(AM330="","",IFERROR(VLOOKUP($B330,Miljö!$B$1:$J$479,MATCH("Kärnkraftsandel för ursprungsspecificerad el ()",Miljö!$B$1:$J$1,0),FALSE)/1,0))</f>
        <v>0</v>
      </c>
      <c r="AQ330" s="227">
        <f t="shared" si="31"/>
        <v>1</v>
      </c>
      <c r="AR330" s="227"/>
      <c r="AS330" s="227" t="str">
        <f t="shared" si="32"/>
        <v>Nej</v>
      </c>
      <c r="AT330" s="227" t="str">
        <f>IF(AS330="ja",VLOOKUP($B330,Miljö!$B$1:$O$500,MATCH("Fossil andel i procent (%)",Miljö!$B$1:$O$1,0),FALSE)/100,"")</f>
        <v/>
      </c>
      <c r="AU330" s="227"/>
      <c r="AV330" s="227" t="str">
        <f t="shared" si="33"/>
        <v>Nej</v>
      </c>
      <c r="AW330" s="227" t="str">
        <f>IF(AV330="ja",VLOOKUP($B330,'Egen hetvattenprod'!$B$1:$AO$500,MATCH("Värmekälla till värmepumpar ()",'Egen hetvattenprod'!$B$1:$AO$1,0),FALSE),"")</f>
        <v/>
      </c>
      <c r="AX330" s="227"/>
      <c r="AY330" s="227" t="str">
        <f t="shared" si="34"/>
        <v>Ja</v>
      </c>
      <c r="AZ330" s="228">
        <f>IF($AY330="ja",(VLOOKUP($B330,'Egen hetvattenprod'!$B$1:$BX$550,MATCH(AZ$2,'Egen hetvattenprod'!$B$1:$BX$1,0),FALSE)+VLOOKUP($B330,Kraftvärmeprod!$B$1:$BX$550,MATCH(AZ$2,Kraftvärmeprod!$B$1:$BX$1,0),FALSE))/$AC330,"")</f>
        <v>1</v>
      </c>
      <c r="BA330" s="228">
        <f>IF($AY330="ja",(VLOOKUP($B330,'Egen hetvattenprod'!$B$1:$BX$550,MATCH(BA$2,'Egen hetvattenprod'!$B$1:$BX$1,0),FALSE)+VLOOKUP($B330,Kraftvärmeprod!$B$1:$BX$550,MATCH(BA$2,Kraftvärmeprod!$B$1:$BX$1,0),FALSE))/$AC330,"")</f>
        <v>0</v>
      </c>
      <c r="BB330" s="228">
        <f>IF($AY330="ja",(VLOOKUP($B330,'Egen hetvattenprod'!$B$1:$BX$550,MATCH(BB$2,'Egen hetvattenprod'!$B$1:$BX$1,0),FALSE)+VLOOKUP($B330,Kraftvärmeprod!$B$1:$BX$550,MATCH(BB$2,Kraftvärmeprod!$B$1:$BX$1,0),FALSE))/$AC330,"")</f>
        <v>0</v>
      </c>
      <c r="BC330" s="228">
        <f>IF($AY330="ja",(VLOOKUP($B330,'Egen hetvattenprod'!$B$1:$BX$550,MATCH(BC$2,'Egen hetvattenprod'!$B$1:$BX$1,0),FALSE)+VLOOKUP($B330,Kraftvärmeprod!$B$1:$BX$550,MATCH(BC$2,Kraftvärmeprod!$B$1:$BX$1,0),FALSE))/$AC330,"")</f>
        <v>0</v>
      </c>
      <c r="BD330" s="228">
        <f>IF($AY330="ja",(VLOOKUP($B330,'Egen hetvattenprod'!$B$1:$BX$550,MATCH(BD$2,'Egen hetvattenprod'!$B$1:$BX$1,0),FALSE)+VLOOKUP($B330,Kraftvärmeprod!$B$1:$BX$550,MATCH(BD$2,Kraftvärmeprod!$B$1:$BX$1,0),FALSE))/$AC330,"")</f>
        <v>0</v>
      </c>
      <c r="BE330" s="227"/>
      <c r="BF330" s="227" t="str">
        <f t="shared" si="35"/>
        <v>Nej</v>
      </c>
      <c r="BG330" s="227" t="str">
        <f>IF($BF330="ja",VLOOKUP($B330,'Egen hetvattenprod'!$B$1:$BX$550,MATCH("Andelen klimatgaser med fossilt ursprung för avfall ()",'Egen hetvattenprod'!$B$1:$BX$1,0),FALSE),"")</f>
        <v/>
      </c>
      <c r="BH330" s="227" t="str">
        <f>IF($BF330="ja",VLOOKUP($B330,Kraftvärmeprod!$B$1:$BX$550,MATCH("Andelen klimatgaser med fossilt ursprung för avfall ()",Kraftvärmeprod!$B$1:$BX$1,0),FALSE),"")</f>
        <v/>
      </c>
      <c r="BI330" s="227" t="str">
        <f>IF($BF330="ja",VLOOKUP($B330,'Egen hetvattenprod'!$B$1:$BX$550,MATCH("Avfall (GWh)",'Egen hetvattenprod'!$B$1:$BX$1,0),FALSE),"")</f>
        <v/>
      </c>
      <c r="BJ330" s="227" t="str">
        <f>IF($BF330="ja",VLOOKUP($B330,'Slutlig allokering kvv'!$B$1:$BX$550,MATCH("Avfall (GWh)",'Slutlig allokering kvv'!$B$1:$BX$1,0),FALSE),"")</f>
        <v/>
      </c>
      <c r="BK330" s="227" t="str">
        <f>IF($BF330="ja",VLOOKUP($B330,'Köpt hetvatten'!$B$1:$BX$550,MATCH("Avfall i köpt hetvatten",'Köpt hetvatten'!$B$1:$BX$1,0),FALSE),"")</f>
        <v/>
      </c>
      <c r="BL330" s="227" t="str">
        <f>IF($BF330="ja",VLOOKUP($B330,'Egen hetvattenprod'!$B$1:$BX$550,MATCH("Värde enligt ovan. (%)",'Egen hetvattenprod'!$B$1:$BX$1,0),FALSE),"")</f>
        <v/>
      </c>
      <c r="BM330" s="227" t="str">
        <f>IF($BF330="ja",VLOOKUP($B330,Kraftvärmeprod!$B$1:$BX$550,MATCH("Värde enligt ovan. (%)",Kraftvärmeprod!$B$1:$BX$1,0),FALSE),"")</f>
        <v/>
      </c>
      <c r="BN330" s="227"/>
      <c r="BO330" s="227"/>
      <c r="BP330" s="227"/>
      <c r="BQ330" s="227" t="str">
        <f>IF($BF330="ja",VLOOKUP($B330,'Egen hetvattenprod'!$B$1:$BX$550,MATCH("Tillförd olja (fossil) vid avfallsförbränning (GWh)",'Egen hetvattenprod'!$B$1:$BX$1,0),FALSE),"")</f>
        <v/>
      </c>
      <c r="BR330" s="227" t="str">
        <f>IF($BF330="ja",VLOOKUP($B330,Kraftvärmeprod!$B$1:$BX$550,MATCH("Tillförd olja (fossil) vid avfallsförbränning (GWh)",Kraftvärmeprod!$B$1:$BX$1,0),FALSE),"")</f>
        <v/>
      </c>
      <c r="BS330" s="227"/>
      <c r="BT330" s="227"/>
      <c r="BU330" s="227"/>
    </row>
    <row r="331" spans="1:73" x14ac:dyDescent="0.25">
      <c r="A331" s="121" t="str">
        <f>'Miljövärden för publ företag'!B334</f>
        <v>Västerbergslagens Energi AB</v>
      </c>
      <c r="B331" s="121" t="str">
        <f>'Miljövärden för publ företag'!C334</f>
        <v>Fagersta</v>
      </c>
      <c r="C331" s="173">
        <f>IFERROR(VLOOKUP($B331,Totalt!$B$1:$AQ$554,MATCH(C$2,Totalt!$B$1:$AQ$1,0),FALSE),"")</f>
        <v>0</v>
      </c>
      <c r="D331" s="173">
        <f>IFERROR(VLOOKUP($B331,Totalt!$B$1:$AQ$554,MATCH(D$2,Totalt!$B$1:$AQ$1,0),FALSE),"")</f>
        <v>9.4E-2</v>
      </c>
      <c r="E331" s="173">
        <f>IFERROR(VLOOKUP($B331,Totalt!$B$1:$AQ$554,MATCH(E$2,Totalt!$B$1:$AQ$1,0),FALSE),"")</f>
        <v>0</v>
      </c>
      <c r="F331" s="173">
        <f>IFERROR(VLOOKUP($B331,Totalt!$B$1:$AQ$554,MATCH(F$2,Totalt!$B$1:$AQ$1,0),FALSE),"")</f>
        <v>0</v>
      </c>
      <c r="G331" s="173">
        <f>IFERROR(VLOOKUP($B331,Totalt!$B$1:$AQ$554,MATCH(G$2,Totalt!$B$1:$AQ$1,0),FALSE),"")</f>
        <v>0</v>
      </c>
      <c r="H331" s="173">
        <f>IFERROR(VLOOKUP($B331,Totalt!$B$1:$AQ$554,MATCH(H$2,Totalt!$B$1:$AQ$1,0),FALSE),"")</f>
        <v>0</v>
      </c>
      <c r="I331" s="173">
        <f>IFERROR(VLOOKUP($B331,Totalt!$B$1:$AQ$554,MATCH(I$2,Totalt!$B$1:$AQ$1,0),FALSE),"")</f>
        <v>0</v>
      </c>
      <c r="J331" s="173">
        <f>IFERROR(VLOOKUP($B331,Totalt!$B$1:$AQ$554,MATCH(J$2,Totalt!$B$1:$AQ$1,0),FALSE),"")</f>
        <v>0</v>
      </c>
      <c r="K331" s="173">
        <f>IFERROR(VLOOKUP($B331,Totalt!$B$1:$AQ$554,MATCH(K$2,Totalt!$B$1:$AQ$1,0),FALSE),"")</f>
        <v>0</v>
      </c>
      <c r="L331" s="173">
        <f>IFERROR(VLOOKUP($B331,Totalt!$B$1:$AQ$554,MATCH(L$2,Totalt!$B$1:$AQ$1,0),FALSE),"")</f>
        <v>0</v>
      </c>
      <c r="M331" s="173">
        <f>IFERROR(VLOOKUP($B331,Totalt!$B$1:$AQ$554,MATCH(M$2,Totalt!$B$1:$AQ$1,0),FALSE),"")</f>
        <v>6.1379999999999999</v>
      </c>
      <c r="N331" s="173">
        <f>IFERROR(VLOOKUP($B331,Totalt!$B$1:$AQ$554,MATCH(N$2,Totalt!$B$1:$AQ$1,0),FALSE),"")</f>
        <v>34.72</v>
      </c>
      <c r="O331" s="173">
        <f>IFERROR(VLOOKUP($B331,Totalt!$B$1:$AQ$554,MATCH(O$2,Totalt!$B$1:$AQ$1,0),FALSE),"")</f>
        <v>14.253</v>
      </c>
      <c r="P331" s="173">
        <f>IFERROR(VLOOKUP($B331,Totalt!$B$1:$AQ$554,MATCH(P$2,Totalt!$B$1:$AQ$1,0),FALSE),"")</f>
        <v>27.561</v>
      </c>
      <c r="Q331" s="173">
        <f>IFERROR(VLOOKUP($B331,Totalt!$B$1:$AQ$554,MATCH(Q$2,Totalt!$B$1:$AQ$1,0),FALSE),"")</f>
        <v>0</v>
      </c>
      <c r="R331" s="173">
        <f>IFERROR(VLOOKUP($B331,Totalt!$B$1:$AQ$554,MATCH(R$2,Totalt!$B$1:$AQ$1,0),FALSE),"")</f>
        <v>0</v>
      </c>
      <c r="S331" s="173">
        <f>IFERROR(VLOOKUP($B331,Totalt!$B$1:$AQ$554,MATCH(S$2,Totalt!$B$1:$AQ$1,0),FALSE),"")</f>
        <v>0</v>
      </c>
      <c r="T331" s="173">
        <f>IFERROR(VLOOKUP($B331,Totalt!$B$1:$AQ$554,MATCH(T$2,Totalt!$B$1:$AQ$1,0),FALSE),"")</f>
        <v>0</v>
      </c>
      <c r="U331" s="173">
        <f>IFERROR(VLOOKUP($B331,Totalt!$B$1:$AQ$554,MATCH(U$2,Totalt!$B$1:$AQ$1,0),FALSE),"")</f>
        <v>0</v>
      </c>
      <c r="V331" s="173">
        <f>IFERROR(VLOOKUP($B331,Totalt!$B$1:$AQ$554,MATCH(V$2,Totalt!$B$1:$AQ$1,0),FALSE),"")</f>
        <v>0</v>
      </c>
      <c r="W331" s="173">
        <f>IFERROR(VLOOKUP($B331,Totalt!$B$1:$AQ$554,MATCH(W$2,Totalt!$B$1:$AQ$1,0),FALSE),"")</f>
        <v>7.2069999999999999</v>
      </c>
      <c r="X331" s="173">
        <f>IFERROR(VLOOKUP($B331,Totalt!$B$1:$AQ$554,MATCH(X$2,Totalt!$B$1:$AQ$1,0),FALSE),"")</f>
        <v>0</v>
      </c>
      <c r="Y331" s="173">
        <f>IFERROR(VLOOKUP($B331,Totalt!$B$1:$AQ$554,MATCH(Y$2,Totalt!$B$1:$AQ$1,0),FALSE),"")</f>
        <v>4.7380000000000004</v>
      </c>
      <c r="Z331" s="173">
        <f>IFERROR(VLOOKUP($B331,Totalt!$B$1:$AQ$554,MATCH(Z$2,Totalt!$B$1:$AQ$1,0),FALSE),"")</f>
        <v>0</v>
      </c>
      <c r="AA331" s="173">
        <f>IFERROR(VLOOKUP($B331,Totalt!$B$1:$AQ$554,MATCH(AA$2,Totalt!$B$1:$AQ$1,0),FALSE),"")</f>
        <v>1.1970000000000001</v>
      </c>
      <c r="AB331" s="173">
        <f>IFERROR(VLOOKUP($B331,Totalt!$B$1:$AQ$554,MATCH(AB$2,Totalt!$B$1:$AQ$1,0),FALSE),"")</f>
        <v>8.2330000000000005</v>
      </c>
      <c r="AC331" s="173">
        <f>IFERROR(VLOOKUP($B331,Totalt!$B$1:$AQ$554,MATCH(AC$2,Totalt!$B$1:$AQ$1,0),FALSE),"")</f>
        <v>15.9</v>
      </c>
      <c r="AD331" s="173">
        <f>IFERROR(VLOOKUP($B331,Totalt!$B$1:$AQ$554,MATCH(AD$2,Totalt!$B$1:$AQ$1,0),FALSE),"")</f>
        <v>5.0670000000000002</v>
      </c>
      <c r="AE331" s="173">
        <f>IFERROR(VLOOKUP($B331,Totalt!$B$1:$AQ$554,MATCH(AE$2,Totalt!$B$1:$AQ$1,0),FALSE),"")</f>
        <v>0</v>
      </c>
      <c r="AF331" s="173">
        <f>IFERROR(VLOOKUP($B331,Totalt!$B$1:$AQ$554,MATCH(AF$2,Totalt!$B$1:$AQ$1,0),FALSE),"")</f>
        <v>3.343</v>
      </c>
      <c r="AG331" s="173">
        <f>IFERROR(VLOOKUP($B331,Totalt!$B$1:$AQ$554,MATCH(AG$2,Totalt!$B$1:$AQ$1,0),FALSE),"")</f>
        <v>0</v>
      </c>
      <c r="AI331" s="226">
        <f t="shared" si="30"/>
        <v>128.45099999999999</v>
      </c>
      <c r="AJ331" s="226">
        <f>IF(ISERROR(1/VLOOKUP($B331,Leveranser!$B$1:$S$500,MATCH("såld värme (gwh)",Leveranser!$B$1:$S$1,0),FALSE)),"",VLOOKUP($B331,Leveranser!$B$1:$S$500,MATCH("såld värme (gwh)",Leveranser!$B$1:$S$1,0),FALSE))</f>
        <v>94.965999999999994</v>
      </c>
      <c r="AM331" s="227" t="str">
        <f>IF(B331&lt;&gt;"",IF(VLOOKUP($B331,Totalt!$B$1:$AQ$554,MATCH("Kvalitetsgranskad:",Totalt!$B$1:$AQ$1,0),FALSE)="ja",VLOOKUP($B331,Miljö!$B$1:$AG$479,MATCH(AM$2,Miljö!$B$1:$AK$1,0),FALSE),""),"")</f>
        <v>Ja</v>
      </c>
      <c r="AN331" s="227" t="str">
        <f>IF(AM331="ja",VLOOKUP($B331,Miljö!$B$1:$J$479,MATCH("Typ av ursprungsspecificerad el   (Om inget värde anges används Nordisk residualmix, se inforuta) ()",Miljö!$B$1:$J$1,0),FALSE),IF(AM331="nej","Nordisk residualel",""))</f>
        <v>'EPD Vattenfalls vindkraft'</v>
      </c>
      <c r="AO331" s="227">
        <f>IF(AM331="","",VLOOKUP($B331,Miljö!$B$1:$J$479,MATCH("Fossilandel för ursprungspecificerad el ()",Miljö!$B$1:$J$1,0),FALSE))</f>
        <v>0</v>
      </c>
      <c r="AP331" s="227">
        <f>IF(AM331="","",IFERROR(VLOOKUP($B331,Miljö!$B$1:$J$479,MATCH("Kärnkraftsandel för ursprungsspecificerad el ()",Miljö!$B$1:$J$1,0),FALSE)/1,0))</f>
        <v>0</v>
      </c>
      <c r="AQ331" s="227">
        <f t="shared" si="31"/>
        <v>1</v>
      </c>
      <c r="AR331" s="227"/>
      <c r="AS331" s="227" t="str">
        <f t="shared" si="32"/>
        <v>Nej</v>
      </c>
      <c r="AT331" s="227" t="str">
        <f>IF(AS331="ja",VLOOKUP($B331,Miljö!$B$1:$O$500,MATCH("Fossil andel i procent (%)",Miljö!$B$1:$O$1,0),FALSE)/100,"")</f>
        <v/>
      </c>
      <c r="AU331" s="227"/>
      <c r="AV331" s="227" t="str">
        <f t="shared" si="33"/>
        <v>Ja</v>
      </c>
      <c r="AW331" s="227" t="str">
        <f>IF(AV331="ja",VLOOKUP($B331,'Egen hetvattenprod'!$B$1:$AO$500,MATCH("Värmekälla till värmepumpar ()",'Egen hetvattenprod'!$B$1:$AO$1,0),FALSE),"")</f>
        <v>Lågtempererad spillvärme</v>
      </c>
      <c r="AX331" s="227"/>
      <c r="AY331" s="227" t="str">
        <f t="shared" si="34"/>
        <v>Ja</v>
      </c>
      <c r="AZ331" s="228">
        <f>IF($AY331="ja",(VLOOKUP($B331,'Egen hetvattenprod'!$B$1:$BX$550,MATCH(AZ$2,'Egen hetvattenprod'!$B$1:$BX$1,0),FALSE)+VLOOKUP($B331,Kraftvärmeprod!$B$1:$BX$550,MATCH(AZ$2,Kraftvärmeprod!$B$1:$BX$1,0),FALSE))/$AC331,"")</f>
        <v>0.95</v>
      </c>
      <c r="BA331" s="228">
        <f>IF($AY331="ja",(VLOOKUP($B331,'Egen hetvattenprod'!$B$1:$BX$550,MATCH(BA$2,'Egen hetvattenprod'!$B$1:$BX$1,0),FALSE)+VLOOKUP($B331,Kraftvärmeprod!$B$1:$BX$550,MATCH(BA$2,Kraftvärmeprod!$B$1:$BX$1,0),FALSE))/$AC331,"")</f>
        <v>0</v>
      </c>
      <c r="BB331" s="228">
        <f>IF($AY331="ja",(VLOOKUP($B331,'Egen hetvattenprod'!$B$1:$BX$550,MATCH(BB$2,'Egen hetvattenprod'!$B$1:$BX$1,0),FALSE)+VLOOKUP($B331,Kraftvärmeprod!$B$1:$BX$550,MATCH(BB$2,Kraftvärmeprod!$B$1:$BX$1,0),FALSE))/$AC331,"")</f>
        <v>0</v>
      </c>
      <c r="BC331" s="228">
        <f>IF($AY331="ja",(VLOOKUP($B331,'Egen hetvattenprod'!$B$1:$BX$550,MATCH(BC$2,'Egen hetvattenprod'!$B$1:$BX$1,0),FALSE)+VLOOKUP($B331,Kraftvärmeprod!$B$1:$BX$550,MATCH(BC$2,Kraftvärmeprod!$B$1:$BX$1,0),FALSE))/$AC331,"")</f>
        <v>5.4000000000000006E-2</v>
      </c>
      <c r="BD331" s="228">
        <f>IF($AY331="ja",(VLOOKUP($B331,'Egen hetvattenprod'!$B$1:$BX$550,MATCH(BD$2,'Egen hetvattenprod'!$B$1:$BX$1,0),FALSE)+VLOOKUP($B331,Kraftvärmeprod!$B$1:$BX$550,MATCH(BD$2,Kraftvärmeprod!$B$1:$BX$1,0),FALSE))/$AC331,"")</f>
        <v>0</v>
      </c>
      <c r="BE331" s="227"/>
      <c r="BF331" s="227" t="str">
        <f t="shared" si="35"/>
        <v>Nej</v>
      </c>
      <c r="BG331" s="227" t="str">
        <f>IF($BF331="ja",VLOOKUP($B331,'Egen hetvattenprod'!$B$1:$BX$550,MATCH("Andelen klimatgaser med fossilt ursprung för avfall ()",'Egen hetvattenprod'!$B$1:$BX$1,0),FALSE),"")</f>
        <v/>
      </c>
      <c r="BH331" s="227" t="str">
        <f>IF($BF331="ja",VLOOKUP($B331,Kraftvärmeprod!$B$1:$BX$550,MATCH("Andelen klimatgaser med fossilt ursprung för avfall ()",Kraftvärmeprod!$B$1:$BX$1,0),FALSE),"")</f>
        <v/>
      </c>
      <c r="BI331" s="227" t="str">
        <f>IF($BF331="ja",VLOOKUP($B331,'Egen hetvattenprod'!$B$1:$BX$550,MATCH("Avfall (GWh)",'Egen hetvattenprod'!$B$1:$BX$1,0),FALSE),"")</f>
        <v/>
      </c>
      <c r="BJ331" s="227" t="str">
        <f>IF($BF331="ja",VLOOKUP($B331,'Slutlig allokering kvv'!$B$1:$BX$550,MATCH("Avfall (GWh)",'Slutlig allokering kvv'!$B$1:$BX$1,0),FALSE),"")</f>
        <v/>
      </c>
      <c r="BK331" s="227" t="str">
        <f>IF($BF331="ja",VLOOKUP($B331,'Köpt hetvatten'!$B$1:$BX$550,MATCH("Avfall i köpt hetvatten",'Köpt hetvatten'!$B$1:$BX$1,0),FALSE),"")</f>
        <v/>
      </c>
      <c r="BL331" s="227" t="str">
        <f>IF($BF331="ja",VLOOKUP($B331,'Egen hetvattenprod'!$B$1:$BX$550,MATCH("Värde enligt ovan. (%)",'Egen hetvattenprod'!$B$1:$BX$1,0),FALSE),"")</f>
        <v/>
      </c>
      <c r="BM331" s="227" t="str">
        <f>IF($BF331="ja",VLOOKUP($B331,Kraftvärmeprod!$B$1:$BX$550,MATCH("Värde enligt ovan. (%)",Kraftvärmeprod!$B$1:$BX$1,0),FALSE),"")</f>
        <v/>
      </c>
      <c r="BN331" s="227"/>
      <c r="BO331" s="227"/>
      <c r="BP331" s="227"/>
      <c r="BQ331" s="227" t="str">
        <f>IF($BF331="ja",VLOOKUP($B331,'Egen hetvattenprod'!$B$1:$BX$550,MATCH("Tillförd olja (fossil) vid avfallsförbränning (GWh)",'Egen hetvattenprod'!$B$1:$BX$1,0),FALSE),"")</f>
        <v/>
      </c>
      <c r="BR331" s="227" t="str">
        <f>IF($BF331="ja",VLOOKUP($B331,Kraftvärmeprod!$B$1:$BX$550,MATCH("Tillförd olja (fossil) vid avfallsförbränning (GWh)",Kraftvärmeprod!$B$1:$BX$1,0),FALSE),"")</f>
        <v/>
      </c>
      <c r="BS331" s="227"/>
      <c r="BT331" s="227"/>
      <c r="BU331" s="227"/>
    </row>
    <row r="332" spans="1:73" x14ac:dyDescent="0.25">
      <c r="A332" s="121" t="str">
        <f>'Miljövärden för publ företag'!B335</f>
        <v>Västerbergslagens Energi AB</v>
      </c>
      <c r="B332" s="121" t="str">
        <f>'Miljövärden för publ företag'!C335</f>
        <v>Grängesberg</v>
      </c>
      <c r="C332" s="173">
        <f>IFERROR(VLOOKUP($B332,Totalt!$B$1:$AQ$554,MATCH(C$2,Totalt!$B$1:$AQ$1,0),FALSE),"")</f>
        <v>0</v>
      </c>
      <c r="D332" s="173">
        <f>IFERROR(VLOOKUP($B332,Totalt!$B$1:$AQ$554,MATCH(D$2,Totalt!$B$1:$AQ$1,0),FALSE),"")</f>
        <v>0</v>
      </c>
      <c r="E332" s="173">
        <f>IFERROR(VLOOKUP($B332,Totalt!$B$1:$AQ$554,MATCH(E$2,Totalt!$B$1:$AQ$1,0),FALSE),"")</f>
        <v>0</v>
      </c>
      <c r="F332" s="173">
        <f>IFERROR(VLOOKUP($B332,Totalt!$B$1:$AQ$554,MATCH(F$2,Totalt!$B$1:$AQ$1,0),FALSE),"")</f>
        <v>0</v>
      </c>
      <c r="G332" s="173">
        <f>IFERROR(VLOOKUP($B332,Totalt!$B$1:$AQ$554,MATCH(G$2,Totalt!$B$1:$AQ$1,0),FALSE),"")</f>
        <v>0</v>
      </c>
      <c r="H332" s="173">
        <f>IFERROR(VLOOKUP($B332,Totalt!$B$1:$AQ$554,MATCH(H$2,Totalt!$B$1:$AQ$1,0),FALSE),"")</f>
        <v>0</v>
      </c>
      <c r="I332" s="173">
        <f>IFERROR(VLOOKUP($B332,Totalt!$B$1:$AQ$554,MATCH(I$2,Totalt!$B$1:$AQ$1,0),FALSE),"")</f>
        <v>0</v>
      </c>
      <c r="J332" s="173">
        <f>IFERROR(VLOOKUP($B332,Totalt!$B$1:$AQ$554,MATCH(J$2,Totalt!$B$1:$AQ$1,0),FALSE),"")</f>
        <v>0</v>
      </c>
      <c r="K332" s="173">
        <f>IFERROR(VLOOKUP($B332,Totalt!$B$1:$AQ$554,MATCH(K$2,Totalt!$B$1:$AQ$1,0),FALSE),"")</f>
        <v>0</v>
      </c>
      <c r="L332" s="173">
        <f>IFERROR(VLOOKUP($B332,Totalt!$B$1:$AQ$554,MATCH(L$2,Totalt!$B$1:$AQ$1,0),FALSE),"")</f>
        <v>0</v>
      </c>
      <c r="M332" s="173">
        <f>IFERROR(VLOOKUP($B332,Totalt!$B$1:$AQ$554,MATCH(M$2,Totalt!$B$1:$AQ$1,0),FALSE),"")</f>
        <v>0</v>
      </c>
      <c r="N332" s="173">
        <f>IFERROR(VLOOKUP($B332,Totalt!$B$1:$AQ$554,MATCH(N$2,Totalt!$B$1:$AQ$1,0),FALSE),"")</f>
        <v>0</v>
      </c>
      <c r="O332" s="173">
        <f>IFERROR(VLOOKUP($B332,Totalt!$B$1:$AQ$554,MATCH(O$2,Totalt!$B$1:$AQ$1,0),FALSE),"")</f>
        <v>0</v>
      </c>
      <c r="P332" s="173">
        <f>IFERROR(VLOOKUP($B332,Totalt!$B$1:$AQ$554,MATCH(P$2,Totalt!$B$1:$AQ$1,0),FALSE),"")</f>
        <v>13.401</v>
      </c>
      <c r="Q332" s="173">
        <f>IFERROR(VLOOKUP($B332,Totalt!$B$1:$AQ$554,MATCH(Q$2,Totalt!$B$1:$AQ$1,0),FALSE),"")</f>
        <v>0</v>
      </c>
      <c r="R332" s="173">
        <f>IFERROR(VLOOKUP($B332,Totalt!$B$1:$AQ$554,MATCH(R$2,Totalt!$B$1:$AQ$1,0),FALSE),"")</f>
        <v>0</v>
      </c>
      <c r="S332" s="173">
        <f>IFERROR(VLOOKUP($B332,Totalt!$B$1:$AQ$554,MATCH(S$2,Totalt!$B$1:$AQ$1,0),FALSE),"")</f>
        <v>0</v>
      </c>
      <c r="T332" s="173">
        <f>IFERROR(VLOOKUP($B332,Totalt!$B$1:$AQ$554,MATCH(T$2,Totalt!$B$1:$AQ$1,0),FALSE),"")</f>
        <v>0</v>
      </c>
      <c r="U332" s="173">
        <f>IFERROR(VLOOKUP($B332,Totalt!$B$1:$AQ$554,MATCH(U$2,Totalt!$B$1:$AQ$1,0),FALSE),"")</f>
        <v>0</v>
      </c>
      <c r="V332" s="173">
        <f>IFERROR(VLOOKUP($B332,Totalt!$B$1:$AQ$554,MATCH(V$2,Totalt!$B$1:$AQ$1,0),FALSE),"")</f>
        <v>0</v>
      </c>
      <c r="W332" s="173">
        <f>IFERROR(VLOOKUP($B332,Totalt!$B$1:$AQ$554,MATCH(W$2,Totalt!$B$1:$AQ$1,0),FALSE),"")</f>
        <v>1.1034999999999999</v>
      </c>
      <c r="X332" s="173">
        <f>IFERROR(VLOOKUP($B332,Totalt!$B$1:$AQ$554,MATCH(X$2,Totalt!$B$1:$AQ$1,0),FALSE),"")</f>
        <v>0</v>
      </c>
      <c r="Y332" s="173">
        <f>IFERROR(VLOOKUP($B332,Totalt!$B$1:$AQ$554,MATCH(Y$2,Totalt!$B$1:$AQ$1,0),FALSE),"")</f>
        <v>0</v>
      </c>
      <c r="Z332" s="173">
        <f>IFERROR(VLOOKUP($B332,Totalt!$B$1:$AQ$554,MATCH(Z$2,Totalt!$B$1:$AQ$1,0),FALSE),"")</f>
        <v>1.72E-2</v>
      </c>
      <c r="AA332" s="173">
        <f>IFERROR(VLOOKUP($B332,Totalt!$B$1:$AQ$554,MATCH(AA$2,Totalt!$B$1:$AQ$1,0),FALSE),"")</f>
        <v>0</v>
      </c>
      <c r="AB332" s="173">
        <f>IFERROR(VLOOKUP($B332,Totalt!$B$1:$AQ$554,MATCH(AB$2,Totalt!$B$1:$AQ$1,0),FALSE),"")</f>
        <v>0</v>
      </c>
      <c r="AC332" s="173">
        <f>IFERROR(VLOOKUP($B332,Totalt!$B$1:$AQ$554,MATCH(AC$2,Totalt!$B$1:$AQ$1,0),FALSE),"")</f>
        <v>0</v>
      </c>
      <c r="AD332" s="173">
        <f>IFERROR(VLOOKUP($B332,Totalt!$B$1:$AQ$554,MATCH(AD$2,Totalt!$B$1:$AQ$1,0),FALSE),"")</f>
        <v>0</v>
      </c>
      <c r="AE332" s="173">
        <f>IFERROR(VLOOKUP($B332,Totalt!$B$1:$AQ$554,MATCH(AE$2,Totalt!$B$1:$AQ$1,0),FALSE),"")</f>
        <v>0</v>
      </c>
      <c r="AF332" s="173">
        <f>IFERROR(VLOOKUP($B332,Totalt!$B$1:$AQ$554,MATCH(AF$2,Totalt!$B$1:$AQ$1,0),FALSE),"")</f>
        <v>0.371</v>
      </c>
      <c r="AG332" s="173">
        <f>IFERROR(VLOOKUP($B332,Totalt!$B$1:$AQ$554,MATCH(AG$2,Totalt!$B$1:$AQ$1,0),FALSE),"")</f>
        <v>0</v>
      </c>
      <c r="AI332" s="226">
        <f t="shared" si="30"/>
        <v>14.892700000000001</v>
      </c>
      <c r="AJ332" s="226">
        <f>IF(ISERROR(1/VLOOKUP($B332,Leveranser!$B$1:$S$500,MATCH("såld värme (gwh)",Leveranser!$B$1:$S$1,0),FALSE)),"",VLOOKUP($B332,Leveranser!$B$1:$S$500,MATCH("såld värme (gwh)",Leveranser!$B$1:$S$1,0),FALSE))</f>
        <v>12.122999999999999</v>
      </c>
      <c r="AM332" s="227" t="str">
        <f>IF(B332&lt;&gt;"",IF(VLOOKUP($B332,Totalt!$B$1:$AQ$554,MATCH("Kvalitetsgranskad:",Totalt!$B$1:$AQ$1,0),FALSE)="ja",VLOOKUP($B332,Miljö!$B$1:$AG$479,MATCH(AM$2,Miljö!$B$1:$AK$1,0),FALSE),""),"")</f>
        <v>Ja</v>
      </c>
      <c r="AN332" s="227" t="str">
        <f>IF(AM332="ja",VLOOKUP($B332,Miljö!$B$1:$J$479,MATCH("Typ av ursprungsspecificerad el   (Om inget värde anges används Nordisk residualmix, se inforuta) ()",Miljö!$B$1:$J$1,0),FALSE),IF(AM332="nej","Nordisk residualel",""))</f>
        <v>'EPD Vattenfall. vindkraft'</v>
      </c>
      <c r="AO332" s="227">
        <f>IF(AM332="","",VLOOKUP($B332,Miljö!$B$1:$J$479,MATCH("Fossilandel för ursprungspecificerad el ()",Miljö!$B$1:$J$1,0),FALSE))</f>
        <v>0</v>
      </c>
      <c r="AP332" s="227">
        <f>IF(AM332="","",IFERROR(VLOOKUP($B332,Miljö!$B$1:$J$479,MATCH("Kärnkraftsandel för ursprungsspecificerad el ()",Miljö!$B$1:$J$1,0),FALSE)/1,0))</f>
        <v>0</v>
      </c>
      <c r="AQ332" s="227">
        <f t="shared" si="31"/>
        <v>1</v>
      </c>
      <c r="AR332" s="227"/>
      <c r="AS332" s="227" t="str">
        <f t="shared" si="32"/>
        <v>Nej</v>
      </c>
      <c r="AT332" s="227" t="str">
        <f>IF(AS332="ja",VLOOKUP($B332,Miljö!$B$1:$O$500,MATCH("Fossil andel i procent (%)",Miljö!$B$1:$O$1,0),FALSE)/100,"")</f>
        <v/>
      </c>
      <c r="AU332" s="227"/>
      <c r="AV332" s="227" t="str">
        <f t="shared" si="33"/>
        <v>Nej</v>
      </c>
      <c r="AW332" s="227" t="str">
        <f>IF(AV332="ja",VLOOKUP($B332,'Egen hetvattenprod'!$B$1:$AO$500,MATCH("Värmekälla till värmepumpar ()",'Egen hetvattenprod'!$B$1:$AO$1,0),FALSE),"")</f>
        <v/>
      </c>
      <c r="AX332" s="227"/>
      <c r="AY332" s="227" t="str">
        <f t="shared" si="34"/>
        <v>Nej</v>
      </c>
      <c r="AZ332" s="228" t="str">
        <f>IF($AY332="ja",(VLOOKUP($B332,'Egen hetvattenprod'!$B$1:$BX$550,MATCH(AZ$2,'Egen hetvattenprod'!$B$1:$BX$1,0),FALSE)+VLOOKUP($B332,Kraftvärmeprod!$B$1:$BX$550,MATCH(AZ$2,Kraftvärmeprod!$B$1:$BX$1,0),FALSE))/$AC332,"")</f>
        <v/>
      </c>
      <c r="BA332" s="228" t="str">
        <f>IF($AY332="ja",(VLOOKUP($B332,'Egen hetvattenprod'!$B$1:$BX$550,MATCH(BA$2,'Egen hetvattenprod'!$B$1:$BX$1,0),FALSE)+VLOOKUP($B332,Kraftvärmeprod!$B$1:$BX$550,MATCH(BA$2,Kraftvärmeprod!$B$1:$BX$1,0),FALSE))/$AC332,"")</f>
        <v/>
      </c>
      <c r="BB332" s="228" t="str">
        <f>IF($AY332="ja",(VLOOKUP($B332,'Egen hetvattenprod'!$B$1:$BX$550,MATCH(BB$2,'Egen hetvattenprod'!$B$1:$BX$1,0),FALSE)+VLOOKUP($B332,Kraftvärmeprod!$B$1:$BX$550,MATCH(BB$2,Kraftvärmeprod!$B$1:$BX$1,0),FALSE))/$AC332,"")</f>
        <v/>
      </c>
      <c r="BC332" s="228" t="str">
        <f>IF($AY332="ja",(VLOOKUP($B332,'Egen hetvattenprod'!$B$1:$BX$550,MATCH(BC$2,'Egen hetvattenprod'!$B$1:$BX$1,0),FALSE)+VLOOKUP($B332,Kraftvärmeprod!$B$1:$BX$550,MATCH(BC$2,Kraftvärmeprod!$B$1:$BX$1,0),FALSE))/$AC332,"")</f>
        <v/>
      </c>
      <c r="BD332" s="228" t="str">
        <f>IF($AY332="ja",(VLOOKUP($B332,'Egen hetvattenprod'!$B$1:$BX$550,MATCH(BD$2,'Egen hetvattenprod'!$B$1:$BX$1,0),FALSE)+VLOOKUP($B332,Kraftvärmeprod!$B$1:$BX$550,MATCH(BD$2,Kraftvärmeprod!$B$1:$BX$1,0),FALSE))/$AC332,"")</f>
        <v/>
      </c>
      <c r="BE332" s="227"/>
      <c r="BF332" s="227" t="str">
        <f t="shared" si="35"/>
        <v>Nej</v>
      </c>
      <c r="BG332" s="227" t="str">
        <f>IF($BF332="ja",VLOOKUP($B332,'Egen hetvattenprod'!$B$1:$BX$550,MATCH("Andelen klimatgaser med fossilt ursprung för avfall ()",'Egen hetvattenprod'!$B$1:$BX$1,0),FALSE),"")</f>
        <v/>
      </c>
      <c r="BH332" s="227" t="str">
        <f>IF($BF332="ja",VLOOKUP($B332,Kraftvärmeprod!$B$1:$BX$550,MATCH("Andelen klimatgaser med fossilt ursprung för avfall ()",Kraftvärmeprod!$B$1:$BX$1,0),FALSE),"")</f>
        <v/>
      </c>
      <c r="BI332" s="227" t="str">
        <f>IF($BF332="ja",VLOOKUP($B332,'Egen hetvattenprod'!$B$1:$BX$550,MATCH("Avfall (GWh)",'Egen hetvattenprod'!$B$1:$BX$1,0),FALSE),"")</f>
        <v/>
      </c>
      <c r="BJ332" s="227" t="str">
        <f>IF($BF332="ja",VLOOKUP($B332,'Slutlig allokering kvv'!$B$1:$BX$550,MATCH("Avfall (GWh)",'Slutlig allokering kvv'!$B$1:$BX$1,0),FALSE),"")</f>
        <v/>
      </c>
      <c r="BK332" s="227" t="str">
        <f>IF($BF332="ja",VLOOKUP($B332,'Köpt hetvatten'!$B$1:$BX$550,MATCH("Avfall i köpt hetvatten",'Köpt hetvatten'!$B$1:$BX$1,0),FALSE),"")</f>
        <v/>
      </c>
      <c r="BL332" s="227" t="str">
        <f>IF($BF332="ja",VLOOKUP($B332,'Egen hetvattenprod'!$B$1:$BX$550,MATCH("Värde enligt ovan. (%)",'Egen hetvattenprod'!$B$1:$BX$1,0),FALSE),"")</f>
        <v/>
      </c>
      <c r="BM332" s="227" t="str">
        <f>IF($BF332="ja",VLOOKUP($B332,Kraftvärmeprod!$B$1:$BX$550,MATCH("Värde enligt ovan. (%)",Kraftvärmeprod!$B$1:$BX$1,0),FALSE),"")</f>
        <v/>
      </c>
      <c r="BN332" s="227"/>
      <c r="BO332" s="227"/>
      <c r="BP332" s="227"/>
      <c r="BQ332" s="227" t="str">
        <f>IF($BF332="ja",VLOOKUP($B332,'Egen hetvattenprod'!$B$1:$BX$550,MATCH("Tillförd olja (fossil) vid avfallsförbränning (GWh)",'Egen hetvattenprod'!$B$1:$BX$1,0),FALSE),"")</f>
        <v/>
      </c>
      <c r="BR332" s="227" t="str">
        <f>IF($BF332="ja",VLOOKUP($B332,Kraftvärmeprod!$B$1:$BX$550,MATCH("Tillförd olja (fossil) vid avfallsförbränning (GWh)",Kraftvärmeprod!$B$1:$BX$1,0),FALSE),"")</f>
        <v/>
      </c>
      <c r="BS332" s="227"/>
      <c r="BT332" s="227"/>
      <c r="BU332" s="227"/>
    </row>
    <row r="333" spans="1:73" x14ac:dyDescent="0.25">
      <c r="A333" s="121" t="str">
        <f>'Miljövärden för publ företag'!B336</f>
        <v>Västerbergslagens Energi AB</v>
      </c>
      <c r="B333" s="121" t="str">
        <f>'Miljövärden för publ företag'!C336</f>
        <v>Ludvika</v>
      </c>
      <c r="C333" s="173">
        <f>IFERROR(VLOOKUP($B333,Totalt!$B$1:$AQ$554,MATCH(C$2,Totalt!$B$1:$AQ$1,0),FALSE),"")</f>
        <v>0</v>
      </c>
      <c r="D333" s="173">
        <f>IFERROR(VLOOKUP($B333,Totalt!$B$1:$AQ$554,MATCH(D$2,Totalt!$B$1:$AQ$1,0),FALSE),"")</f>
        <v>2.5579999999999998</v>
      </c>
      <c r="E333" s="173">
        <f>IFERROR(VLOOKUP($B333,Totalt!$B$1:$AQ$554,MATCH(E$2,Totalt!$B$1:$AQ$1,0),FALSE),"")</f>
        <v>0</v>
      </c>
      <c r="F333" s="173">
        <f>IFERROR(VLOOKUP($B333,Totalt!$B$1:$AQ$554,MATCH(F$2,Totalt!$B$1:$AQ$1,0),FALSE),"")</f>
        <v>0</v>
      </c>
      <c r="G333" s="173">
        <f>IFERROR(VLOOKUP($B333,Totalt!$B$1:$AQ$554,MATCH(G$2,Totalt!$B$1:$AQ$1,0),FALSE),"")</f>
        <v>0</v>
      </c>
      <c r="H333" s="173">
        <f>IFERROR(VLOOKUP($B333,Totalt!$B$1:$AQ$554,MATCH(H$2,Totalt!$B$1:$AQ$1,0),FALSE),"")</f>
        <v>0</v>
      </c>
      <c r="I333" s="173">
        <f>IFERROR(VLOOKUP($B333,Totalt!$B$1:$AQ$554,MATCH(I$2,Totalt!$B$1:$AQ$1,0),FALSE),"")</f>
        <v>0</v>
      </c>
      <c r="J333" s="173">
        <f>IFERROR(VLOOKUP($B333,Totalt!$B$1:$AQ$554,MATCH(J$2,Totalt!$B$1:$AQ$1,0),FALSE),"")</f>
        <v>0</v>
      </c>
      <c r="K333" s="173">
        <f>IFERROR(VLOOKUP($B333,Totalt!$B$1:$AQ$554,MATCH(K$2,Totalt!$B$1:$AQ$1,0),FALSE),"")</f>
        <v>0</v>
      </c>
      <c r="L333" s="173">
        <f>IFERROR(VLOOKUP($B333,Totalt!$B$1:$AQ$554,MATCH(L$2,Totalt!$B$1:$AQ$1,0),FALSE),"")</f>
        <v>77.911000000000001</v>
      </c>
      <c r="M333" s="173">
        <f>IFERROR(VLOOKUP($B333,Totalt!$B$1:$AQ$554,MATCH(M$2,Totalt!$B$1:$AQ$1,0),FALSE),"")</f>
        <v>9.0370000000000008</v>
      </c>
      <c r="N333" s="173">
        <f>IFERROR(VLOOKUP($B333,Totalt!$B$1:$AQ$554,MATCH(N$2,Totalt!$B$1:$AQ$1,0),FALSE),"")</f>
        <v>1.6679999999999999</v>
      </c>
      <c r="O333" s="173">
        <f>IFERROR(VLOOKUP($B333,Totalt!$B$1:$AQ$554,MATCH(O$2,Totalt!$B$1:$AQ$1,0),FALSE),"")</f>
        <v>1.514</v>
      </c>
      <c r="P333" s="173">
        <f>IFERROR(VLOOKUP($B333,Totalt!$B$1:$AQ$554,MATCH(P$2,Totalt!$B$1:$AQ$1,0),FALSE),"")</f>
        <v>6.58</v>
      </c>
      <c r="Q333" s="173">
        <f>IFERROR(VLOOKUP($B333,Totalt!$B$1:$AQ$554,MATCH(Q$2,Totalt!$B$1:$AQ$1,0),FALSE),"")</f>
        <v>0</v>
      </c>
      <c r="R333" s="173">
        <f>IFERROR(VLOOKUP($B333,Totalt!$B$1:$AQ$554,MATCH(R$2,Totalt!$B$1:$AQ$1,0),FALSE),"")</f>
        <v>0</v>
      </c>
      <c r="S333" s="173">
        <f>IFERROR(VLOOKUP($B333,Totalt!$B$1:$AQ$554,MATCH(S$2,Totalt!$B$1:$AQ$1,0),FALSE),"")</f>
        <v>0</v>
      </c>
      <c r="T333" s="173">
        <f>IFERROR(VLOOKUP($B333,Totalt!$B$1:$AQ$554,MATCH(T$2,Totalt!$B$1:$AQ$1,0),FALSE),"")</f>
        <v>0</v>
      </c>
      <c r="U333" s="173">
        <f>IFERROR(VLOOKUP($B333,Totalt!$B$1:$AQ$554,MATCH(U$2,Totalt!$B$1:$AQ$1,0),FALSE),"")</f>
        <v>0</v>
      </c>
      <c r="V333" s="173">
        <f>IFERROR(VLOOKUP($B333,Totalt!$B$1:$AQ$554,MATCH(V$2,Totalt!$B$1:$AQ$1,0),FALSE),"")</f>
        <v>0</v>
      </c>
      <c r="W333" s="173">
        <f>IFERROR(VLOOKUP($B333,Totalt!$B$1:$AQ$554,MATCH(W$2,Totalt!$B$1:$AQ$1,0),FALSE),"")</f>
        <v>10.776</v>
      </c>
      <c r="X333" s="173">
        <f>IFERROR(VLOOKUP($B333,Totalt!$B$1:$AQ$554,MATCH(X$2,Totalt!$B$1:$AQ$1,0),FALSE),"")</f>
        <v>0</v>
      </c>
      <c r="Y333" s="173">
        <f>IFERROR(VLOOKUP($B333,Totalt!$B$1:$AQ$554,MATCH(Y$2,Totalt!$B$1:$AQ$1,0),FALSE),"")</f>
        <v>0</v>
      </c>
      <c r="Z333" s="173">
        <f>IFERROR(VLOOKUP($B333,Totalt!$B$1:$AQ$554,MATCH(Z$2,Totalt!$B$1:$AQ$1,0),FALSE),"")</f>
        <v>3.0000000000000001E-3</v>
      </c>
      <c r="AA333" s="173">
        <f>IFERROR(VLOOKUP($B333,Totalt!$B$1:$AQ$554,MATCH(AA$2,Totalt!$B$1:$AQ$1,0),FALSE),"")</f>
        <v>0</v>
      </c>
      <c r="AB333" s="173">
        <f>IFERROR(VLOOKUP($B333,Totalt!$B$1:$AQ$554,MATCH(AB$2,Totalt!$B$1:$AQ$1,0),FALSE),"")</f>
        <v>0</v>
      </c>
      <c r="AC333" s="173">
        <f>IFERROR(VLOOKUP($B333,Totalt!$B$1:$AQ$554,MATCH(AC$2,Totalt!$B$1:$AQ$1,0),FALSE),"")</f>
        <v>15.694000000000001</v>
      </c>
      <c r="AD333" s="173">
        <f>IFERROR(VLOOKUP($B333,Totalt!$B$1:$AQ$554,MATCH(AD$2,Totalt!$B$1:$AQ$1,0),FALSE),"")</f>
        <v>1.349</v>
      </c>
      <c r="AE333" s="173">
        <f>IFERROR(VLOOKUP($B333,Totalt!$B$1:$AQ$554,MATCH(AE$2,Totalt!$B$1:$AQ$1,0),FALSE),"")</f>
        <v>0</v>
      </c>
      <c r="AF333" s="173">
        <f>IFERROR(VLOOKUP($B333,Totalt!$B$1:$AQ$554,MATCH(AF$2,Totalt!$B$1:$AQ$1,0),FALSE),"")</f>
        <v>4.0830000000000002</v>
      </c>
      <c r="AG333" s="173">
        <f>IFERROR(VLOOKUP($B333,Totalt!$B$1:$AQ$554,MATCH(AG$2,Totalt!$B$1:$AQ$1,0),FALSE),"")</f>
        <v>0</v>
      </c>
      <c r="AI333" s="226">
        <f t="shared" si="30"/>
        <v>131.173</v>
      </c>
      <c r="AJ333" s="226">
        <f>IF(ISERROR(1/VLOOKUP($B333,Leveranser!$B$1:$S$500,MATCH("såld värme (gwh)",Leveranser!$B$1:$S$1,0),FALSE)),"",VLOOKUP($B333,Leveranser!$B$1:$S$500,MATCH("såld värme (gwh)",Leveranser!$B$1:$S$1,0),FALSE))</f>
        <v>101.849</v>
      </c>
      <c r="AM333" s="227" t="str">
        <f>IF(B333&lt;&gt;"",IF(VLOOKUP($B333,Totalt!$B$1:$AQ$554,MATCH("Kvalitetsgranskad:",Totalt!$B$1:$AQ$1,0),FALSE)="ja",VLOOKUP($B333,Miljö!$B$1:$AG$479,MATCH(AM$2,Miljö!$B$1:$AK$1,0),FALSE),""),"")</f>
        <v>Ja</v>
      </c>
      <c r="AN333" s="227" t="str">
        <f>IF(AM333="ja",VLOOKUP($B333,Miljö!$B$1:$J$479,MATCH("Typ av ursprungsspecificerad el   (Om inget värde anges används Nordisk residualmix, se inforuta) ()",Miljö!$B$1:$J$1,0),FALSE),IF(AM333="nej","Nordisk residualel",""))</f>
        <v>'EPD Vattenflls vindkraft'</v>
      </c>
      <c r="AO333" s="227">
        <f>IF(AM333="","",VLOOKUP($B333,Miljö!$B$1:$J$479,MATCH("Fossilandel för ursprungspecificerad el ()",Miljö!$B$1:$J$1,0),FALSE))</f>
        <v>0</v>
      </c>
      <c r="AP333" s="227">
        <f>IF(AM333="","",IFERROR(VLOOKUP($B333,Miljö!$B$1:$J$479,MATCH("Kärnkraftsandel för ursprungsspecificerad el ()",Miljö!$B$1:$J$1,0),FALSE)/1,0))</f>
        <v>0</v>
      </c>
      <c r="AQ333" s="227">
        <f t="shared" si="31"/>
        <v>1</v>
      </c>
      <c r="AR333" s="227"/>
      <c r="AS333" s="227" t="str">
        <f t="shared" si="32"/>
        <v>Nej</v>
      </c>
      <c r="AT333" s="227" t="str">
        <f>IF(AS333="ja",VLOOKUP($B333,Miljö!$B$1:$O$500,MATCH("Fossil andel i procent (%)",Miljö!$B$1:$O$1,0),FALSE)/100,"")</f>
        <v/>
      </c>
      <c r="AU333" s="227"/>
      <c r="AV333" s="227" t="str">
        <f t="shared" si="33"/>
        <v>Nej</v>
      </c>
      <c r="AW333" s="227" t="str">
        <f>IF(AV333="ja",VLOOKUP($B333,'Egen hetvattenprod'!$B$1:$AO$500,MATCH("Värmekälla till värmepumpar ()",'Egen hetvattenprod'!$B$1:$AO$1,0),FALSE),"")</f>
        <v/>
      </c>
      <c r="AX333" s="227"/>
      <c r="AY333" s="227" t="str">
        <f t="shared" si="34"/>
        <v>Ja</v>
      </c>
      <c r="AZ333" s="228">
        <f>IF($AY333="ja",(VLOOKUP($B333,'Egen hetvattenprod'!$B$1:$BX$550,MATCH(AZ$2,'Egen hetvattenprod'!$B$1:$BX$1,0),FALSE)+VLOOKUP($B333,Kraftvärmeprod!$B$1:$BX$550,MATCH(AZ$2,Kraftvärmeprod!$B$1:$BX$1,0),FALSE))/$AC333,"")</f>
        <v>1</v>
      </c>
      <c r="BA333" s="228">
        <f>IF($AY333="ja",(VLOOKUP($B333,'Egen hetvattenprod'!$B$1:$BX$550,MATCH(BA$2,'Egen hetvattenprod'!$B$1:$BX$1,0),FALSE)+VLOOKUP($B333,Kraftvärmeprod!$B$1:$BX$550,MATCH(BA$2,Kraftvärmeprod!$B$1:$BX$1,0),FALSE))/$AC333,"")</f>
        <v>0</v>
      </c>
      <c r="BB333" s="228">
        <f>IF($AY333="ja",(VLOOKUP($B333,'Egen hetvattenprod'!$B$1:$BX$550,MATCH(BB$2,'Egen hetvattenprod'!$B$1:$BX$1,0),FALSE)+VLOOKUP($B333,Kraftvärmeprod!$B$1:$BX$550,MATCH(BB$2,Kraftvärmeprod!$B$1:$BX$1,0),FALSE))/$AC333,"")</f>
        <v>0</v>
      </c>
      <c r="BC333" s="228">
        <f>IF($AY333="ja",(VLOOKUP($B333,'Egen hetvattenprod'!$B$1:$BX$550,MATCH(BC$2,'Egen hetvattenprod'!$B$1:$BX$1,0),FALSE)+VLOOKUP($B333,Kraftvärmeprod!$B$1:$BX$550,MATCH(BC$2,Kraftvärmeprod!$B$1:$BX$1,0),FALSE))/$AC333,"")</f>
        <v>0</v>
      </c>
      <c r="BD333" s="228">
        <f>IF($AY333="ja",(VLOOKUP($B333,'Egen hetvattenprod'!$B$1:$BX$550,MATCH(BD$2,'Egen hetvattenprod'!$B$1:$BX$1,0),FALSE)+VLOOKUP($B333,Kraftvärmeprod!$B$1:$BX$550,MATCH(BD$2,Kraftvärmeprod!$B$1:$BX$1,0),FALSE))/$AC333,"")</f>
        <v>0</v>
      </c>
      <c r="BE333" s="227"/>
      <c r="BF333" s="227" t="str">
        <f t="shared" si="35"/>
        <v>Nej</v>
      </c>
      <c r="BG333" s="227" t="str">
        <f>IF($BF333="ja",VLOOKUP($B333,'Egen hetvattenprod'!$B$1:$BX$550,MATCH("Andelen klimatgaser med fossilt ursprung för avfall ()",'Egen hetvattenprod'!$B$1:$BX$1,0),FALSE),"")</f>
        <v/>
      </c>
      <c r="BH333" s="227" t="str">
        <f>IF($BF333="ja",VLOOKUP($B333,Kraftvärmeprod!$B$1:$BX$550,MATCH("Andelen klimatgaser med fossilt ursprung för avfall ()",Kraftvärmeprod!$B$1:$BX$1,0),FALSE),"")</f>
        <v/>
      </c>
      <c r="BI333" s="227" t="str">
        <f>IF($BF333="ja",VLOOKUP($B333,'Egen hetvattenprod'!$B$1:$BX$550,MATCH("Avfall (GWh)",'Egen hetvattenprod'!$B$1:$BX$1,0),FALSE),"")</f>
        <v/>
      </c>
      <c r="BJ333" s="227" t="str">
        <f>IF($BF333="ja",VLOOKUP($B333,'Slutlig allokering kvv'!$B$1:$BX$550,MATCH("Avfall (GWh)",'Slutlig allokering kvv'!$B$1:$BX$1,0),FALSE),"")</f>
        <v/>
      </c>
      <c r="BK333" s="227" t="str">
        <f>IF($BF333="ja",VLOOKUP($B333,'Köpt hetvatten'!$B$1:$BX$550,MATCH("Avfall i köpt hetvatten",'Köpt hetvatten'!$B$1:$BX$1,0),FALSE),"")</f>
        <v/>
      </c>
      <c r="BL333" s="227" t="str">
        <f>IF($BF333="ja",VLOOKUP($B333,'Egen hetvattenprod'!$B$1:$BX$550,MATCH("Värde enligt ovan. (%)",'Egen hetvattenprod'!$B$1:$BX$1,0),FALSE),"")</f>
        <v/>
      </c>
      <c r="BM333" s="227" t="str">
        <f>IF($BF333="ja",VLOOKUP($B333,Kraftvärmeprod!$B$1:$BX$550,MATCH("Värde enligt ovan. (%)",Kraftvärmeprod!$B$1:$BX$1,0),FALSE),"")</f>
        <v/>
      </c>
      <c r="BN333" s="227"/>
      <c r="BO333" s="227"/>
      <c r="BP333" s="227"/>
      <c r="BQ333" s="227" t="str">
        <f>IF($BF333="ja",VLOOKUP($B333,'Egen hetvattenprod'!$B$1:$BX$550,MATCH("Tillförd olja (fossil) vid avfallsförbränning (GWh)",'Egen hetvattenprod'!$B$1:$BX$1,0),FALSE),"")</f>
        <v/>
      </c>
      <c r="BR333" s="227" t="str">
        <f>IF($BF333="ja",VLOOKUP($B333,Kraftvärmeprod!$B$1:$BX$550,MATCH("Tillförd olja (fossil) vid avfallsförbränning (GWh)",Kraftvärmeprod!$B$1:$BX$1,0),FALSE),"")</f>
        <v/>
      </c>
      <c r="BS333" s="227"/>
      <c r="BT333" s="227"/>
      <c r="BU333" s="227"/>
    </row>
    <row r="334" spans="1:73" x14ac:dyDescent="0.25">
      <c r="A334" s="121" t="str">
        <f>'Miljövärden för publ företag'!B337</f>
        <v>Västerbergslagens Energi AB</v>
      </c>
      <c r="B334" s="121" t="str">
        <f>'Miljövärden för publ företag'!C337</f>
        <v>Norberg</v>
      </c>
      <c r="C334" s="173">
        <f>IFERROR(VLOOKUP($B334,Totalt!$B$1:$AQ$554,MATCH(C$2,Totalt!$B$1:$AQ$1,0),FALSE),"")</f>
        <v>0</v>
      </c>
      <c r="D334" s="173">
        <f>IFERROR(VLOOKUP($B334,Totalt!$B$1:$AQ$554,MATCH(D$2,Totalt!$B$1:$AQ$1,0),FALSE),"")</f>
        <v>0.409111</v>
      </c>
      <c r="E334" s="173">
        <f>IFERROR(VLOOKUP($B334,Totalt!$B$1:$AQ$554,MATCH(E$2,Totalt!$B$1:$AQ$1,0),FALSE),"")</f>
        <v>0</v>
      </c>
      <c r="F334" s="173">
        <f>IFERROR(VLOOKUP($B334,Totalt!$B$1:$AQ$554,MATCH(F$2,Totalt!$B$1:$AQ$1,0),FALSE),"")</f>
        <v>0</v>
      </c>
      <c r="G334" s="173">
        <f>IFERROR(VLOOKUP($B334,Totalt!$B$1:$AQ$554,MATCH(G$2,Totalt!$B$1:$AQ$1,0),FALSE),"")</f>
        <v>0</v>
      </c>
      <c r="H334" s="173">
        <f>IFERROR(VLOOKUP($B334,Totalt!$B$1:$AQ$554,MATCH(H$2,Totalt!$B$1:$AQ$1,0),FALSE),"")</f>
        <v>0</v>
      </c>
      <c r="I334" s="173">
        <f>IFERROR(VLOOKUP($B334,Totalt!$B$1:$AQ$554,MATCH(I$2,Totalt!$B$1:$AQ$1,0),FALSE),"")</f>
        <v>0</v>
      </c>
      <c r="J334" s="173">
        <f>IFERROR(VLOOKUP($B334,Totalt!$B$1:$AQ$554,MATCH(J$2,Totalt!$B$1:$AQ$1,0),FALSE),"")</f>
        <v>0</v>
      </c>
      <c r="K334" s="173">
        <f>IFERROR(VLOOKUP($B334,Totalt!$B$1:$AQ$554,MATCH(K$2,Totalt!$B$1:$AQ$1,0),FALSE),"")</f>
        <v>0</v>
      </c>
      <c r="L334" s="173">
        <f>IFERROR(VLOOKUP($B334,Totalt!$B$1:$AQ$554,MATCH(L$2,Totalt!$B$1:$AQ$1,0),FALSE),"")</f>
        <v>0</v>
      </c>
      <c r="M334" s="173">
        <f>IFERROR(VLOOKUP($B334,Totalt!$B$1:$AQ$554,MATCH(M$2,Totalt!$B$1:$AQ$1,0),FALSE),"")</f>
        <v>0</v>
      </c>
      <c r="N334" s="173">
        <f>IFERROR(VLOOKUP($B334,Totalt!$B$1:$AQ$554,MATCH(N$2,Totalt!$B$1:$AQ$1,0),FALSE),"")</f>
        <v>0</v>
      </c>
      <c r="O334" s="173">
        <f>IFERROR(VLOOKUP($B334,Totalt!$B$1:$AQ$554,MATCH(O$2,Totalt!$B$1:$AQ$1,0),FALSE),"")</f>
        <v>0</v>
      </c>
      <c r="P334" s="173">
        <f>IFERROR(VLOOKUP($B334,Totalt!$B$1:$AQ$554,MATCH(P$2,Totalt!$B$1:$AQ$1,0),FALSE),"")</f>
        <v>0</v>
      </c>
      <c r="Q334" s="173">
        <f>IFERROR(VLOOKUP($B334,Totalt!$B$1:$AQ$554,MATCH(Q$2,Totalt!$B$1:$AQ$1,0),FALSE),"")</f>
        <v>0</v>
      </c>
      <c r="R334" s="173">
        <f>IFERROR(VLOOKUP($B334,Totalt!$B$1:$AQ$554,MATCH(R$2,Totalt!$B$1:$AQ$1,0),FALSE),"")</f>
        <v>1.5755600000000001</v>
      </c>
      <c r="S334" s="173">
        <f>IFERROR(VLOOKUP($B334,Totalt!$B$1:$AQ$554,MATCH(S$2,Totalt!$B$1:$AQ$1,0),FALSE),"")</f>
        <v>0</v>
      </c>
      <c r="T334" s="173">
        <f>IFERROR(VLOOKUP($B334,Totalt!$B$1:$AQ$554,MATCH(T$2,Totalt!$B$1:$AQ$1,0),FALSE),"")</f>
        <v>0</v>
      </c>
      <c r="U334" s="173">
        <f>IFERROR(VLOOKUP($B334,Totalt!$B$1:$AQ$554,MATCH(U$2,Totalt!$B$1:$AQ$1,0),FALSE),"")</f>
        <v>0</v>
      </c>
      <c r="V334" s="173">
        <f>IFERROR(VLOOKUP($B334,Totalt!$B$1:$AQ$554,MATCH(V$2,Totalt!$B$1:$AQ$1,0),FALSE),"")</f>
        <v>0</v>
      </c>
      <c r="W334" s="173">
        <f>IFERROR(VLOOKUP($B334,Totalt!$B$1:$AQ$554,MATCH(W$2,Totalt!$B$1:$AQ$1,0),FALSE),"")</f>
        <v>0</v>
      </c>
      <c r="X334" s="173">
        <f>IFERROR(VLOOKUP($B334,Totalt!$B$1:$AQ$554,MATCH(X$2,Totalt!$B$1:$AQ$1,0),FALSE),"")</f>
        <v>0</v>
      </c>
      <c r="Y334" s="173">
        <f>IFERROR(VLOOKUP($B334,Totalt!$B$1:$AQ$554,MATCH(Y$2,Totalt!$B$1:$AQ$1,0),FALSE),"")</f>
        <v>0</v>
      </c>
      <c r="Z334" s="173">
        <f>IFERROR(VLOOKUP($B334,Totalt!$B$1:$AQ$554,MATCH(Z$2,Totalt!$B$1:$AQ$1,0),FALSE),"")</f>
        <v>0</v>
      </c>
      <c r="AA334" s="173">
        <f>IFERROR(VLOOKUP($B334,Totalt!$B$1:$AQ$554,MATCH(AA$2,Totalt!$B$1:$AQ$1,0),FALSE),"")</f>
        <v>0</v>
      </c>
      <c r="AB334" s="173">
        <f>IFERROR(VLOOKUP($B334,Totalt!$B$1:$AQ$554,MATCH(AB$2,Totalt!$B$1:$AQ$1,0),FALSE),"")</f>
        <v>0</v>
      </c>
      <c r="AC334" s="173">
        <f>IFERROR(VLOOKUP($B334,Totalt!$B$1:$AQ$554,MATCH(AC$2,Totalt!$B$1:$AQ$1,0),FALSE),"")</f>
        <v>0</v>
      </c>
      <c r="AD334" s="173">
        <f>IFERROR(VLOOKUP($B334,Totalt!$B$1:$AQ$554,MATCH(AD$2,Totalt!$B$1:$AQ$1,0),FALSE),"")</f>
        <v>18.989000000000001</v>
      </c>
      <c r="AE334" s="173">
        <f>IFERROR(VLOOKUP($B334,Totalt!$B$1:$AQ$554,MATCH(AE$2,Totalt!$B$1:$AQ$1,0),FALSE),"")</f>
        <v>0</v>
      </c>
      <c r="AF334" s="173">
        <f>IFERROR(VLOOKUP($B334,Totalt!$B$1:$AQ$554,MATCH(AF$2,Totalt!$B$1:$AQ$1,0),FALSE),"")</f>
        <v>8.6999999999999994E-2</v>
      </c>
      <c r="AG334" s="173">
        <f>IFERROR(VLOOKUP($B334,Totalt!$B$1:$AQ$554,MATCH(AG$2,Totalt!$B$1:$AQ$1,0),FALSE),"")</f>
        <v>0</v>
      </c>
      <c r="AI334" s="226">
        <f t="shared" si="30"/>
        <v>21.060670999999999</v>
      </c>
      <c r="AJ334" s="226">
        <f>IF(ISERROR(1/VLOOKUP($B334,Leveranser!$B$1:$S$500,MATCH("såld värme (gwh)",Leveranser!$B$1:$S$1,0),FALSE)),"",VLOOKUP($B334,Leveranser!$B$1:$S$500,MATCH("såld värme (gwh)",Leveranser!$B$1:$S$1,0),FALSE))</f>
        <v>18.561</v>
      </c>
      <c r="AM334" s="227" t="str">
        <f>IF(B334&lt;&gt;"",IF(VLOOKUP($B334,Totalt!$B$1:$AQ$554,MATCH("Kvalitetsgranskad:",Totalt!$B$1:$AQ$1,0),FALSE)="ja",VLOOKUP($B334,Miljö!$B$1:$AG$479,MATCH(AM$2,Miljö!$B$1:$AK$1,0),FALSE),""),"")</f>
        <v>Ja</v>
      </c>
      <c r="AN334" s="227" t="str">
        <f>IF(AM334="ja",VLOOKUP($B334,Miljö!$B$1:$J$479,MATCH("Typ av ursprungsspecificerad el   (Om inget värde anges används Nordisk residualmix, se inforuta) ()",Miljö!$B$1:$J$1,0),FALSE),IF(AM334="nej","Nordisk residualel",""))</f>
        <v>-</v>
      </c>
      <c r="AO334" s="227">
        <f>IF(AM334="","",VLOOKUP($B334,Miljö!$B$1:$J$479,MATCH("Fossilandel för ursprungspecificerad el ()",Miljö!$B$1:$J$1,0),FALSE))</f>
        <v>0.43</v>
      </c>
      <c r="AP334" s="227">
        <f>IF(AM334="","",IFERROR(VLOOKUP($B334,Miljö!$B$1:$J$479,MATCH("Kärnkraftsandel för ursprungsspecificerad el ()",Miljö!$B$1:$J$1,0),FALSE)/1,0))</f>
        <v>0.40550000000000003</v>
      </c>
      <c r="AQ334" s="227">
        <f t="shared" si="31"/>
        <v>0.16450000000000004</v>
      </c>
      <c r="AR334" s="227"/>
      <c r="AS334" s="227" t="str">
        <f t="shared" si="32"/>
        <v>Nej</v>
      </c>
      <c r="AT334" s="227" t="str">
        <f>IF(AS334="ja",VLOOKUP($B334,Miljö!$B$1:$O$500,MATCH("Fossil andel i procent (%)",Miljö!$B$1:$O$1,0),FALSE)/100,"")</f>
        <v/>
      </c>
      <c r="AU334" s="227"/>
      <c r="AV334" s="227" t="str">
        <f t="shared" si="33"/>
        <v>Nej</v>
      </c>
      <c r="AW334" s="227" t="str">
        <f>IF(AV334="ja",VLOOKUP($B334,'Egen hetvattenprod'!$B$1:$AO$500,MATCH("Värmekälla till värmepumpar ()",'Egen hetvattenprod'!$B$1:$AO$1,0),FALSE),"")</f>
        <v/>
      </c>
      <c r="AX334" s="227"/>
      <c r="AY334" s="227" t="str">
        <f t="shared" si="34"/>
        <v>Nej</v>
      </c>
      <c r="AZ334" s="228" t="str">
        <f>IF($AY334="ja",(VLOOKUP($B334,'Egen hetvattenprod'!$B$1:$BX$550,MATCH(AZ$2,'Egen hetvattenprod'!$B$1:$BX$1,0),FALSE)+VLOOKUP($B334,Kraftvärmeprod!$B$1:$BX$550,MATCH(AZ$2,Kraftvärmeprod!$B$1:$BX$1,0),FALSE))/$AC334,"")</f>
        <v/>
      </c>
      <c r="BA334" s="228" t="str">
        <f>IF($AY334="ja",(VLOOKUP($B334,'Egen hetvattenprod'!$B$1:$BX$550,MATCH(BA$2,'Egen hetvattenprod'!$B$1:$BX$1,0),FALSE)+VLOOKUP($B334,Kraftvärmeprod!$B$1:$BX$550,MATCH(BA$2,Kraftvärmeprod!$B$1:$BX$1,0),FALSE))/$AC334,"")</f>
        <v/>
      </c>
      <c r="BB334" s="228" t="str">
        <f>IF($AY334="ja",(VLOOKUP($B334,'Egen hetvattenprod'!$B$1:$BX$550,MATCH(BB$2,'Egen hetvattenprod'!$B$1:$BX$1,0),FALSE)+VLOOKUP($B334,Kraftvärmeprod!$B$1:$BX$550,MATCH(BB$2,Kraftvärmeprod!$B$1:$BX$1,0),FALSE))/$AC334,"")</f>
        <v/>
      </c>
      <c r="BC334" s="228" t="str">
        <f>IF($AY334="ja",(VLOOKUP($B334,'Egen hetvattenprod'!$B$1:$BX$550,MATCH(BC$2,'Egen hetvattenprod'!$B$1:$BX$1,0),FALSE)+VLOOKUP($B334,Kraftvärmeprod!$B$1:$BX$550,MATCH(BC$2,Kraftvärmeprod!$B$1:$BX$1,0),FALSE))/$AC334,"")</f>
        <v/>
      </c>
      <c r="BD334" s="228" t="str">
        <f>IF($AY334="ja",(VLOOKUP($B334,'Egen hetvattenprod'!$B$1:$BX$550,MATCH(BD$2,'Egen hetvattenprod'!$B$1:$BX$1,0),FALSE)+VLOOKUP($B334,Kraftvärmeprod!$B$1:$BX$550,MATCH(BD$2,Kraftvärmeprod!$B$1:$BX$1,0),FALSE))/$AC334,"")</f>
        <v/>
      </c>
      <c r="BE334" s="227"/>
      <c r="BF334" s="227" t="str">
        <f t="shared" si="35"/>
        <v>Nej</v>
      </c>
      <c r="BG334" s="227" t="str">
        <f>IF($BF334="ja",VLOOKUP($B334,'Egen hetvattenprod'!$B$1:$BX$550,MATCH("Andelen klimatgaser med fossilt ursprung för avfall ()",'Egen hetvattenprod'!$B$1:$BX$1,0),FALSE),"")</f>
        <v/>
      </c>
      <c r="BH334" s="227" t="str">
        <f>IF($BF334="ja",VLOOKUP($B334,Kraftvärmeprod!$B$1:$BX$550,MATCH("Andelen klimatgaser med fossilt ursprung för avfall ()",Kraftvärmeprod!$B$1:$BX$1,0),FALSE),"")</f>
        <v/>
      </c>
      <c r="BI334" s="227" t="str">
        <f>IF($BF334="ja",VLOOKUP($B334,'Egen hetvattenprod'!$B$1:$BX$550,MATCH("Avfall (GWh)",'Egen hetvattenprod'!$B$1:$BX$1,0),FALSE),"")</f>
        <v/>
      </c>
      <c r="BJ334" s="227" t="str">
        <f>IF($BF334="ja",VLOOKUP($B334,'Slutlig allokering kvv'!$B$1:$BX$550,MATCH("Avfall (GWh)",'Slutlig allokering kvv'!$B$1:$BX$1,0),FALSE),"")</f>
        <v/>
      </c>
      <c r="BK334" s="227" t="str">
        <f>IF($BF334="ja",VLOOKUP($B334,'Köpt hetvatten'!$B$1:$BX$550,MATCH("Avfall i köpt hetvatten",'Köpt hetvatten'!$B$1:$BX$1,0),FALSE),"")</f>
        <v/>
      </c>
      <c r="BL334" s="227" t="str">
        <f>IF($BF334="ja",VLOOKUP($B334,'Egen hetvattenprod'!$B$1:$BX$550,MATCH("Värde enligt ovan. (%)",'Egen hetvattenprod'!$B$1:$BX$1,0),FALSE),"")</f>
        <v/>
      </c>
      <c r="BM334" s="227" t="str">
        <f>IF($BF334="ja",VLOOKUP($B334,Kraftvärmeprod!$B$1:$BX$550,MATCH("Värde enligt ovan. (%)",Kraftvärmeprod!$B$1:$BX$1,0),FALSE),"")</f>
        <v/>
      </c>
      <c r="BN334" s="227"/>
      <c r="BO334" s="227"/>
      <c r="BP334" s="227"/>
      <c r="BQ334" s="227" t="str">
        <f>IF($BF334="ja",VLOOKUP($B334,'Egen hetvattenprod'!$B$1:$BX$550,MATCH("Tillförd olja (fossil) vid avfallsförbränning (GWh)",'Egen hetvattenprod'!$B$1:$BX$1,0),FALSE),"")</f>
        <v/>
      </c>
      <c r="BR334" s="227" t="str">
        <f>IF($BF334="ja",VLOOKUP($B334,Kraftvärmeprod!$B$1:$BX$550,MATCH("Tillförd olja (fossil) vid avfallsförbränning (GWh)",Kraftvärmeprod!$B$1:$BX$1,0),FALSE),"")</f>
        <v/>
      </c>
      <c r="BS334" s="227"/>
      <c r="BT334" s="227"/>
      <c r="BU334" s="227"/>
    </row>
    <row r="335" spans="1:73" x14ac:dyDescent="0.25">
      <c r="A335" s="121" t="str">
        <f>'Miljövärden för publ företag'!B338</f>
        <v>Västervik Miljö &amp; Energi AB</v>
      </c>
      <c r="B335" s="121" t="str">
        <f>'Miljövärden för publ företag'!C338</f>
        <v>Ankarsrum</v>
      </c>
      <c r="C335" s="173">
        <f>IFERROR(VLOOKUP($B335,Totalt!$B$1:$AQ$554,MATCH(C$2,Totalt!$B$1:$AQ$1,0),FALSE),"")</f>
        <v>0</v>
      </c>
      <c r="D335" s="173">
        <f>IFERROR(VLOOKUP($B335,Totalt!$B$1:$AQ$554,MATCH(D$2,Totalt!$B$1:$AQ$1,0),FALSE),"")</f>
        <v>0.41</v>
      </c>
      <c r="E335" s="173">
        <f>IFERROR(VLOOKUP($B335,Totalt!$B$1:$AQ$554,MATCH(E$2,Totalt!$B$1:$AQ$1,0),FALSE),"")</f>
        <v>0</v>
      </c>
      <c r="F335" s="173">
        <f>IFERROR(VLOOKUP($B335,Totalt!$B$1:$AQ$554,MATCH(F$2,Totalt!$B$1:$AQ$1,0),FALSE),"")</f>
        <v>0</v>
      </c>
      <c r="G335" s="173">
        <f>IFERROR(VLOOKUP($B335,Totalt!$B$1:$AQ$554,MATCH(G$2,Totalt!$B$1:$AQ$1,0),FALSE),"")</f>
        <v>0</v>
      </c>
      <c r="H335" s="173">
        <f>IFERROR(VLOOKUP($B335,Totalt!$B$1:$AQ$554,MATCH(H$2,Totalt!$B$1:$AQ$1,0),FALSE),"")</f>
        <v>0</v>
      </c>
      <c r="I335" s="173">
        <f>IFERROR(VLOOKUP($B335,Totalt!$B$1:$AQ$554,MATCH(I$2,Totalt!$B$1:$AQ$1,0),FALSE),"")</f>
        <v>0</v>
      </c>
      <c r="J335" s="173">
        <f>IFERROR(VLOOKUP($B335,Totalt!$B$1:$AQ$554,MATCH(J$2,Totalt!$B$1:$AQ$1,0),FALSE),"")</f>
        <v>0</v>
      </c>
      <c r="K335" s="173">
        <f>IFERROR(VLOOKUP($B335,Totalt!$B$1:$AQ$554,MATCH(K$2,Totalt!$B$1:$AQ$1,0),FALSE),"")</f>
        <v>0</v>
      </c>
      <c r="L335" s="173">
        <f>IFERROR(VLOOKUP($B335,Totalt!$B$1:$AQ$554,MATCH(L$2,Totalt!$B$1:$AQ$1,0),FALSE),"")</f>
        <v>0</v>
      </c>
      <c r="M335" s="173">
        <f>IFERROR(VLOOKUP($B335,Totalt!$B$1:$AQ$554,MATCH(M$2,Totalt!$B$1:$AQ$1,0),FALSE),"")</f>
        <v>0</v>
      </c>
      <c r="N335" s="173">
        <f>IFERROR(VLOOKUP($B335,Totalt!$B$1:$AQ$554,MATCH(N$2,Totalt!$B$1:$AQ$1,0),FALSE),"")</f>
        <v>0</v>
      </c>
      <c r="O335" s="173">
        <f>IFERROR(VLOOKUP($B335,Totalt!$B$1:$AQ$554,MATCH(O$2,Totalt!$B$1:$AQ$1,0),FALSE),"")</f>
        <v>0</v>
      </c>
      <c r="P335" s="173">
        <f>IFERROR(VLOOKUP($B335,Totalt!$B$1:$AQ$554,MATCH(P$2,Totalt!$B$1:$AQ$1,0),FALSE),"")</f>
        <v>10.409000000000001</v>
      </c>
      <c r="Q335" s="173">
        <f>IFERROR(VLOOKUP($B335,Totalt!$B$1:$AQ$554,MATCH(Q$2,Totalt!$B$1:$AQ$1,0),FALSE),"")</f>
        <v>0</v>
      </c>
      <c r="R335" s="173">
        <f>IFERROR(VLOOKUP($B335,Totalt!$B$1:$AQ$554,MATCH(R$2,Totalt!$B$1:$AQ$1,0),FALSE),"")</f>
        <v>0</v>
      </c>
      <c r="S335" s="173">
        <f>IFERROR(VLOOKUP($B335,Totalt!$B$1:$AQ$554,MATCH(S$2,Totalt!$B$1:$AQ$1,0),FALSE),"")</f>
        <v>0</v>
      </c>
      <c r="T335" s="173">
        <f>IFERROR(VLOOKUP($B335,Totalt!$B$1:$AQ$554,MATCH(T$2,Totalt!$B$1:$AQ$1,0),FALSE),"")</f>
        <v>0</v>
      </c>
      <c r="U335" s="173">
        <f>IFERROR(VLOOKUP($B335,Totalt!$B$1:$AQ$554,MATCH(U$2,Totalt!$B$1:$AQ$1,0),FALSE),"")</f>
        <v>0</v>
      </c>
      <c r="V335" s="173">
        <f>IFERROR(VLOOKUP($B335,Totalt!$B$1:$AQ$554,MATCH(V$2,Totalt!$B$1:$AQ$1,0),FALSE),"")</f>
        <v>0</v>
      </c>
      <c r="W335" s="173">
        <f>IFERROR(VLOOKUP($B335,Totalt!$B$1:$AQ$554,MATCH(W$2,Totalt!$B$1:$AQ$1,0),FALSE),"")</f>
        <v>0</v>
      </c>
      <c r="X335" s="173">
        <f>IFERROR(VLOOKUP($B335,Totalt!$B$1:$AQ$554,MATCH(X$2,Totalt!$B$1:$AQ$1,0),FALSE),"")</f>
        <v>0</v>
      </c>
      <c r="Y335" s="173">
        <f>IFERROR(VLOOKUP($B335,Totalt!$B$1:$AQ$554,MATCH(Y$2,Totalt!$B$1:$AQ$1,0),FALSE),"")</f>
        <v>0</v>
      </c>
      <c r="Z335" s="173">
        <f>IFERROR(VLOOKUP($B335,Totalt!$B$1:$AQ$554,MATCH(Z$2,Totalt!$B$1:$AQ$1,0),FALSE),"")</f>
        <v>0</v>
      </c>
      <c r="AA335" s="173">
        <f>IFERROR(VLOOKUP($B335,Totalt!$B$1:$AQ$554,MATCH(AA$2,Totalt!$B$1:$AQ$1,0),FALSE),"")</f>
        <v>0</v>
      </c>
      <c r="AB335" s="173">
        <f>IFERROR(VLOOKUP($B335,Totalt!$B$1:$AQ$554,MATCH(AB$2,Totalt!$B$1:$AQ$1,0),FALSE),"")</f>
        <v>0</v>
      </c>
      <c r="AC335" s="173">
        <f>IFERROR(VLOOKUP($B335,Totalt!$B$1:$AQ$554,MATCH(AC$2,Totalt!$B$1:$AQ$1,0),FALSE),"")</f>
        <v>0</v>
      </c>
      <c r="AD335" s="173">
        <f>IFERROR(VLOOKUP($B335,Totalt!$B$1:$AQ$554,MATCH(AD$2,Totalt!$B$1:$AQ$1,0),FALSE),"")</f>
        <v>0</v>
      </c>
      <c r="AE335" s="173">
        <f>IFERROR(VLOOKUP($B335,Totalt!$B$1:$AQ$554,MATCH(AE$2,Totalt!$B$1:$AQ$1,0),FALSE),"")</f>
        <v>0</v>
      </c>
      <c r="AF335" s="173">
        <f>IFERROR(VLOOKUP($B335,Totalt!$B$1:$AQ$554,MATCH(AF$2,Totalt!$B$1:$AQ$1,0),FALSE),"")</f>
        <v>0.28999999999999998</v>
      </c>
      <c r="AG335" s="173">
        <f>IFERROR(VLOOKUP($B335,Totalt!$B$1:$AQ$554,MATCH(AG$2,Totalt!$B$1:$AQ$1,0),FALSE),"")</f>
        <v>0</v>
      </c>
      <c r="AI335" s="226">
        <f t="shared" si="30"/>
        <v>11.109</v>
      </c>
      <c r="AJ335" s="226">
        <f>IF(ISERROR(1/VLOOKUP($B335,Leveranser!$B$1:$S$500,MATCH("såld värme (gwh)",Leveranser!$B$1:$S$1,0),FALSE)),"",VLOOKUP($B335,Leveranser!$B$1:$S$500,MATCH("såld värme (gwh)",Leveranser!$B$1:$S$1,0),FALSE))</f>
        <v>6.3</v>
      </c>
      <c r="AM335" s="227" t="str">
        <f>IF(B335&lt;&gt;"",IF(VLOOKUP($B335,Totalt!$B$1:$AQ$554,MATCH("Kvalitetsgranskad:",Totalt!$B$1:$AQ$1,0),FALSE)="ja",VLOOKUP($B335,Miljö!$B$1:$AG$479,MATCH(AM$2,Miljö!$B$1:$AK$1,0),FALSE),""),"")</f>
        <v>Nej</v>
      </c>
      <c r="AN335" s="227" t="str">
        <f>IF(AM335="ja",VLOOKUP($B335,Miljö!$B$1:$J$479,MATCH("Typ av ursprungsspecificerad el   (Om inget värde anges används Nordisk residualmix, se inforuta) ()",Miljö!$B$1:$J$1,0),FALSE),IF(AM335="nej","Nordisk residualel",""))</f>
        <v>Nordisk residualel</v>
      </c>
      <c r="AO335" s="227">
        <f>IF(AM335="","",VLOOKUP($B335,Miljö!$B$1:$J$479,MATCH("Fossilandel för ursprungspecificerad el ()",Miljö!$B$1:$J$1,0),FALSE))</f>
        <v>0.43</v>
      </c>
      <c r="AP335" s="227">
        <f>IF(AM335="","",IFERROR(VLOOKUP($B335,Miljö!$B$1:$J$479,MATCH("Kärnkraftsandel för ursprungsspecificerad el ()",Miljö!$B$1:$J$1,0),FALSE)/1,0))</f>
        <v>0.40550000000000003</v>
      </c>
      <c r="AQ335" s="227">
        <f t="shared" si="31"/>
        <v>0.16450000000000004</v>
      </c>
      <c r="AR335" s="227"/>
      <c r="AS335" s="227" t="str">
        <f t="shared" si="32"/>
        <v>Nej</v>
      </c>
      <c r="AT335" s="227" t="str">
        <f>IF(AS335="ja",VLOOKUP($B335,Miljö!$B$1:$O$500,MATCH("Fossil andel i procent (%)",Miljö!$B$1:$O$1,0),FALSE)/100,"")</f>
        <v/>
      </c>
      <c r="AU335" s="227"/>
      <c r="AV335" s="227" t="str">
        <f t="shared" si="33"/>
        <v>Nej</v>
      </c>
      <c r="AW335" s="227" t="str">
        <f>IF(AV335="ja",VLOOKUP($B335,'Egen hetvattenprod'!$B$1:$AO$500,MATCH("Värmekälla till värmepumpar ()",'Egen hetvattenprod'!$B$1:$AO$1,0),FALSE),"")</f>
        <v/>
      </c>
      <c r="AX335" s="227"/>
      <c r="AY335" s="227" t="str">
        <f t="shared" si="34"/>
        <v>Nej</v>
      </c>
      <c r="AZ335" s="228" t="str">
        <f>IF($AY335="ja",(VLOOKUP($B335,'Egen hetvattenprod'!$B$1:$BX$550,MATCH(AZ$2,'Egen hetvattenprod'!$B$1:$BX$1,0),FALSE)+VLOOKUP($B335,Kraftvärmeprod!$B$1:$BX$550,MATCH(AZ$2,Kraftvärmeprod!$B$1:$BX$1,0),FALSE))/$AC335,"")</f>
        <v/>
      </c>
      <c r="BA335" s="228" t="str">
        <f>IF($AY335="ja",(VLOOKUP($B335,'Egen hetvattenprod'!$B$1:$BX$550,MATCH(BA$2,'Egen hetvattenprod'!$B$1:$BX$1,0),FALSE)+VLOOKUP($B335,Kraftvärmeprod!$B$1:$BX$550,MATCH(BA$2,Kraftvärmeprod!$B$1:$BX$1,0),FALSE))/$AC335,"")</f>
        <v/>
      </c>
      <c r="BB335" s="228" t="str">
        <f>IF($AY335="ja",(VLOOKUP($B335,'Egen hetvattenprod'!$B$1:$BX$550,MATCH(BB$2,'Egen hetvattenprod'!$B$1:$BX$1,0),FALSE)+VLOOKUP($B335,Kraftvärmeprod!$B$1:$BX$550,MATCH(BB$2,Kraftvärmeprod!$B$1:$BX$1,0),FALSE))/$AC335,"")</f>
        <v/>
      </c>
      <c r="BC335" s="228" t="str">
        <f>IF($AY335="ja",(VLOOKUP($B335,'Egen hetvattenprod'!$B$1:$BX$550,MATCH(BC$2,'Egen hetvattenprod'!$B$1:$BX$1,0),FALSE)+VLOOKUP($B335,Kraftvärmeprod!$B$1:$BX$550,MATCH(BC$2,Kraftvärmeprod!$B$1:$BX$1,0),FALSE))/$AC335,"")</f>
        <v/>
      </c>
      <c r="BD335" s="228" t="str">
        <f>IF($AY335="ja",(VLOOKUP($B335,'Egen hetvattenprod'!$B$1:$BX$550,MATCH(BD$2,'Egen hetvattenprod'!$B$1:$BX$1,0),FALSE)+VLOOKUP($B335,Kraftvärmeprod!$B$1:$BX$550,MATCH(BD$2,Kraftvärmeprod!$B$1:$BX$1,0),FALSE))/$AC335,"")</f>
        <v/>
      </c>
      <c r="BE335" s="227"/>
      <c r="BF335" s="227" t="str">
        <f t="shared" si="35"/>
        <v>Nej</v>
      </c>
      <c r="BG335" s="227" t="str">
        <f>IF($BF335="ja",VLOOKUP($B335,'Egen hetvattenprod'!$B$1:$BX$550,MATCH("Andelen klimatgaser med fossilt ursprung för avfall ()",'Egen hetvattenprod'!$B$1:$BX$1,0),FALSE),"")</f>
        <v/>
      </c>
      <c r="BH335" s="227" t="str">
        <f>IF($BF335="ja",VLOOKUP($B335,Kraftvärmeprod!$B$1:$BX$550,MATCH("Andelen klimatgaser med fossilt ursprung för avfall ()",Kraftvärmeprod!$B$1:$BX$1,0),FALSE),"")</f>
        <v/>
      </c>
      <c r="BI335" s="227" t="str">
        <f>IF($BF335="ja",VLOOKUP($B335,'Egen hetvattenprod'!$B$1:$BX$550,MATCH("Avfall (GWh)",'Egen hetvattenprod'!$B$1:$BX$1,0),FALSE),"")</f>
        <v/>
      </c>
      <c r="BJ335" s="227" t="str">
        <f>IF($BF335="ja",VLOOKUP($B335,'Slutlig allokering kvv'!$B$1:$BX$550,MATCH("Avfall (GWh)",'Slutlig allokering kvv'!$B$1:$BX$1,0),FALSE),"")</f>
        <v/>
      </c>
      <c r="BK335" s="227" t="str">
        <f>IF($BF335="ja",VLOOKUP($B335,'Köpt hetvatten'!$B$1:$BX$550,MATCH("Avfall i köpt hetvatten",'Köpt hetvatten'!$B$1:$BX$1,0),FALSE),"")</f>
        <v/>
      </c>
      <c r="BL335" s="227" t="str">
        <f>IF($BF335="ja",VLOOKUP($B335,'Egen hetvattenprod'!$B$1:$BX$550,MATCH("Värde enligt ovan. (%)",'Egen hetvattenprod'!$B$1:$BX$1,0),FALSE),"")</f>
        <v/>
      </c>
      <c r="BM335" s="227" t="str">
        <f>IF($BF335="ja",VLOOKUP($B335,Kraftvärmeprod!$B$1:$BX$550,MATCH("Värde enligt ovan. (%)",Kraftvärmeprod!$B$1:$BX$1,0),FALSE),"")</f>
        <v/>
      </c>
      <c r="BN335" s="227"/>
      <c r="BO335" s="227"/>
      <c r="BP335" s="227"/>
      <c r="BQ335" s="227" t="str">
        <f>IF($BF335="ja",VLOOKUP($B335,'Egen hetvattenprod'!$B$1:$BX$550,MATCH("Tillförd olja (fossil) vid avfallsförbränning (GWh)",'Egen hetvattenprod'!$B$1:$BX$1,0),FALSE),"")</f>
        <v/>
      </c>
      <c r="BR335" s="227" t="str">
        <f>IF($BF335="ja",VLOOKUP($B335,Kraftvärmeprod!$B$1:$BX$550,MATCH("Tillförd olja (fossil) vid avfallsförbränning (GWh)",Kraftvärmeprod!$B$1:$BX$1,0),FALSE),"")</f>
        <v/>
      </c>
      <c r="BS335" s="227"/>
      <c r="BT335" s="227"/>
      <c r="BU335" s="227"/>
    </row>
    <row r="336" spans="1:73" x14ac:dyDescent="0.25">
      <c r="A336" s="121" t="str">
        <f>'Miljövärden för publ företag'!B339</f>
        <v>Västervik Miljö &amp; Energi AB</v>
      </c>
      <c r="B336" s="121" t="str">
        <f>'Miljövärden för publ företag'!C339</f>
        <v>Gamleby</v>
      </c>
      <c r="C336" s="173">
        <f>IFERROR(VLOOKUP($B336,Totalt!$B$1:$AQ$554,MATCH(C$2,Totalt!$B$1:$AQ$1,0),FALSE),"")</f>
        <v>0</v>
      </c>
      <c r="D336" s="173">
        <f>IFERROR(VLOOKUP($B336,Totalt!$B$1:$AQ$554,MATCH(D$2,Totalt!$B$1:$AQ$1,0),FALSE),"")</f>
        <v>4.68</v>
      </c>
      <c r="E336" s="173">
        <f>IFERROR(VLOOKUP($B336,Totalt!$B$1:$AQ$554,MATCH(E$2,Totalt!$B$1:$AQ$1,0),FALSE),"")</f>
        <v>0</v>
      </c>
      <c r="F336" s="173">
        <f>IFERROR(VLOOKUP($B336,Totalt!$B$1:$AQ$554,MATCH(F$2,Totalt!$B$1:$AQ$1,0),FALSE),"")</f>
        <v>0</v>
      </c>
      <c r="G336" s="173">
        <f>IFERROR(VLOOKUP($B336,Totalt!$B$1:$AQ$554,MATCH(G$2,Totalt!$B$1:$AQ$1,0),FALSE),"")</f>
        <v>0</v>
      </c>
      <c r="H336" s="173">
        <f>IFERROR(VLOOKUP($B336,Totalt!$B$1:$AQ$554,MATCH(H$2,Totalt!$B$1:$AQ$1,0),FALSE),"")</f>
        <v>0</v>
      </c>
      <c r="I336" s="173">
        <f>IFERROR(VLOOKUP($B336,Totalt!$B$1:$AQ$554,MATCH(I$2,Totalt!$B$1:$AQ$1,0),FALSE),"")</f>
        <v>0</v>
      </c>
      <c r="J336" s="173">
        <f>IFERROR(VLOOKUP($B336,Totalt!$B$1:$AQ$554,MATCH(J$2,Totalt!$B$1:$AQ$1,0),FALSE),"")</f>
        <v>0</v>
      </c>
      <c r="K336" s="173">
        <f>IFERROR(VLOOKUP($B336,Totalt!$B$1:$AQ$554,MATCH(K$2,Totalt!$B$1:$AQ$1,0),FALSE),"")</f>
        <v>0</v>
      </c>
      <c r="L336" s="173">
        <f>IFERROR(VLOOKUP($B336,Totalt!$B$1:$AQ$554,MATCH(L$2,Totalt!$B$1:$AQ$1,0),FALSE),"")</f>
        <v>0</v>
      </c>
      <c r="M336" s="173">
        <f>IFERROR(VLOOKUP($B336,Totalt!$B$1:$AQ$554,MATCH(M$2,Totalt!$B$1:$AQ$1,0),FALSE),"")</f>
        <v>0</v>
      </c>
      <c r="N336" s="173">
        <f>IFERROR(VLOOKUP($B336,Totalt!$B$1:$AQ$554,MATCH(N$2,Totalt!$B$1:$AQ$1,0),FALSE),"")</f>
        <v>15.7</v>
      </c>
      <c r="O336" s="173">
        <f>IFERROR(VLOOKUP($B336,Totalt!$B$1:$AQ$554,MATCH(O$2,Totalt!$B$1:$AQ$1,0),FALSE),"")</f>
        <v>0</v>
      </c>
      <c r="P336" s="173">
        <f>IFERROR(VLOOKUP($B336,Totalt!$B$1:$AQ$554,MATCH(P$2,Totalt!$B$1:$AQ$1,0),FALSE),"")</f>
        <v>16.38</v>
      </c>
      <c r="Q336" s="173">
        <f>IFERROR(VLOOKUP($B336,Totalt!$B$1:$AQ$554,MATCH(Q$2,Totalt!$B$1:$AQ$1,0),FALSE),"")</f>
        <v>0</v>
      </c>
      <c r="R336" s="173">
        <f>IFERROR(VLOOKUP($B336,Totalt!$B$1:$AQ$554,MATCH(R$2,Totalt!$B$1:$AQ$1,0),FALSE),"")</f>
        <v>0</v>
      </c>
      <c r="S336" s="173">
        <f>IFERROR(VLOOKUP($B336,Totalt!$B$1:$AQ$554,MATCH(S$2,Totalt!$B$1:$AQ$1,0),FALSE),"")</f>
        <v>0</v>
      </c>
      <c r="T336" s="173">
        <f>IFERROR(VLOOKUP($B336,Totalt!$B$1:$AQ$554,MATCH(T$2,Totalt!$B$1:$AQ$1,0),FALSE),"")</f>
        <v>0</v>
      </c>
      <c r="U336" s="173">
        <f>IFERROR(VLOOKUP($B336,Totalt!$B$1:$AQ$554,MATCH(U$2,Totalt!$B$1:$AQ$1,0),FALSE),"")</f>
        <v>0</v>
      </c>
      <c r="V336" s="173">
        <f>IFERROR(VLOOKUP($B336,Totalt!$B$1:$AQ$554,MATCH(V$2,Totalt!$B$1:$AQ$1,0),FALSE),"")</f>
        <v>0</v>
      </c>
      <c r="W336" s="173">
        <f>IFERROR(VLOOKUP($B336,Totalt!$B$1:$AQ$554,MATCH(W$2,Totalt!$B$1:$AQ$1,0),FALSE),"")</f>
        <v>0</v>
      </c>
      <c r="X336" s="173">
        <f>IFERROR(VLOOKUP($B336,Totalt!$B$1:$AQ$554,MATCH(X$2,Totalt!$B$1:$AQ$1,0),FALSE),"")</f>
        <v>0</v>
      </c>
      <c r="Y336" s="173">
        <f>IFERROR(VLOOKUP($B336,Totalt!$B$1:$AQ$554,MATCH(Y$2,Totalt!$B$1:$AQ$1,0),FALSE),"")</f>
        <v>0</v>
      </c>
      <c r="Z336" s="173">
        <f>IFERROR(VLOOKUP($B336,Totalt!$B$1:$AQ$554,MATCH(Z$2,Totalt!$B$1:$AQ$1,0),FALSE),"")</f>
        <v>0</v>
      </c>
      <c r="AA336" s="173">
        <f>IFERROR(VLOOKUP($B336,Totalt!$B$1:$AQ$554,MATCH(AA$2,Totalt!$B$1:$AQ$1,0),FALSE),"")</f>
        <v>0</v>
      </c>
      <c r="AB336" s="173">
        <f>IFERROR(VLOOKUP($B336,Totalt!$B$1:$AQ$554,MATCH(AB$2,Totalt!$B$1:$AQ$1,0),FALSE),"")</f>
        <v>0</v>
      </c>
      <c r="AC336" s="173">
        <f>IFERROR(VLOOKUP($B336,Totalt!$B$1:$AQ$554,MATCH(AC$2,Totalt!$B$1:$AQ$1,0),FALSE),"")</f>
        <v>0</v>
      </c>
      <c r="AD336" s="173">
        <f>IFERROR(VLOOKUP($B336,Totalt!$B$1:$AQ$554,MATCH(AD$2,Totalt!$B$1:$AQ$1,0),FALSE),"")</f>
        <v>0</v>
      </c>
      <c r="AE336" s="173">
        <f>IFERROR(VLOOKUP($B336,Totalt!$B$1:$AQ$554,MATCH(AE$2,Totalt!$B$1:$AQ$1,0),FALSE),"")</f>
        <v>0</v>
      </c>
      <c r="AF336" s="173">
        <f>IFERROR(VLOOKUP($B336,Totalt!$B$1:$AQ$554,MATCH(AF$2,Totalt!$B$1:$AQ$1,0),FALSE),"")</f>
        <v>0.872</v>
      </c>
      <c r="AG336" s="173">
        <f>IFERROR(VLOOKUP($B336,Totalt!$B$1:$AQ$554,MATCH(AG$2,Totalt!$B$1:$AQ$1,0),FALSE),"")</f>
        <v>0</v>
      </c>
      <c r="AI336" s="226">
        <f t="shared" si="30"/>
        <v>37.631999999999998</v>
      </c>
      <c r="AJ336" s="226">
        <f>IF(ISERROR(1/VLOOKUP($B336,Leveranser!$B$1:$S$500,MATCH("såld värme (gwh)",Leveranser!$B$1:$S$1,0),FALSE)),"",VLOOKUP($B336,Leveranser!$B$1:$S$500,MATCH("såld värme (gwh)",Leveranser!$B$1:$S$1,0),FALSE))</f>
        <v>24.6</v>
      </c>
      <c r="AM336" s="227" t="str">
        <f>IF(B336&lt;&gt;"",IF(VLOOKUP($B336,Totalt!$B$1:$AQ$554,MATCH("Kvalitetsgranskad:",Totalt!$B$1:$AQ$1,0),FALSE)="ja",VLOOKUP($B336,Miljö!$B$1:$AG$479,MATCH(AM$2,Miljö!$B$1:$AK$1,0),FALSE),""),"")</f>
        <v>Nej</v>
      </c>
      <c r="AN336" s="227" t="str">
        <f>IF(AM336="ja",VLOOKUP($B336,Miljö!$B$1:$J$479,MATCH("Typ av ursprungsspecificerad el   (Om inget värde anges används Nordisk residualmix, se inforuta) ()",Miljö!$B$1:$J$1,0),FALSE),IF(AM336="nej","Nordisk residualel",""))</f>
        <v>Nordisk residualel</v>
      </c>
      <c r="AO336" s="227">
        <f>IF(AM336="","",VLOOKUP($B336,Miljö!$B$1:$J$479,MATCH("Fossilandel för ursprungspecificerad el ()",Miljö!$B$1:$J$1,0),FALSE))</f>
        <v>0.43</v>
      </c>
      <c r="AP336" s="227">
        <f>IF(AM336="","",IFERROR(VLOOKUP($B336,Miljö!$B$1:$J$479,MATCH("Kärnkraftsandel för ursprungsspecificerad el ()",Miljö!$B$1:$J$1,0),FALSE)/1,0))</f>
        <v>0.40550000000000003</v>
      </c>
      <c r="AQ336" s="227">
        <f t="shared" si="31"/>
        <v>0.16450000000000004</v>
      </c>
      <c r="AR336" s="227"/>
      <c r="AS336" s="227" t="str">
        <f t="shared" si="32"/>
        <v>Nej</v>
      </c>
      <c r="AT336" s="227" t="str">
        <f>IF(AS336="ja",VLOOKUP($B336,Miljö!$B$1:$O$500,MATCH("Fossil andel i procent (%)",Miljö!$B$1:$O$1,0),FALSE)/100,"")</f>
        <v/>
      </c>
      <c r="AU336" s="227"/>
      <c r="AV336" s="227" t="str">
        <f t="shared" si="33"/>
        <v>Nej</v>
      </c>
      <c r="AW336" s="227" t="str">
        <f>IF(AV336="ja",VLOOKUP($B336,'Egen hetvattenprod'!$B$1:$AO$500,MATCH("Värmekälla till värmepumpar ()",'Egen hetvattenprod'!$B$1:$AO$1,0),FALSE),"")</f>
        <v/>
      </c>
      <c r="AX336" s="227"/>
      <c r="AY336" s="227" t="str">
        <f t="shared" si="34"/>
        <v>Nej</v>
      </c>
      <c r="AZ336" s="228" t="str">
        <f>IF($AY336="ja",(VLOOKUP($B336,'Egen hetvattenprod'!$B$1:$BX$550,MATCH(AZ$2,'Egen hetvattenprod'!$B$1:$BX$1,0),FALSE)+VLOOKUP($B336,Kraftvärmeprod!$B$1:$BX$550,MATCH(AZ$2,Kraftvärmeprod!$B$1:$BX$1,0),FALSE))/$AC336,"")</f>
        <v/>
      </c>
      <c r="BA336" s="228" t="str">
        <f>IF($AY336="ja",(VLOOKUP($B336,'Egen hetvattenprod'!$B$1:$BX$550,MATCH(BA$2,'Egen hetvattenprod'!$B$1:$BX$1,0),FALSE)+VLOOKUP($B336,Kraftvärmeprod!$B$1:$BX$550,MATCH(BA$2,Kraftvärmeprod!$B$1:$BX$1,0),FALSE))/$AC336,"")</f>
        <v/>
      </c>
      <c r="BB336" s="228" t="str">
        <f>IF($AY336="ja",(VLOOKUP($B336,'Egen hetvattenprod'!$B$1:$BX$550,MATCH(BB$2,'Egen hetvattenprod'!$B$1:$BX$1,0),FALSE)+VLOOKUP($B336,Kraftvärmeprod!$B$1:$BX$550,MATCH(BB$2,Kraftvärmeprod!$B$1:$BX$1,0),FALSE))/$AC336,"")</f>
        <v/>
      </c>
      <c r="BC336" s="228" t="str">
        <f>IF($AY336="ja",(VLOOKUP($B336,'Egen hetvattenprod'!$B$1:$BX$550,MATCH(BC$2,'Egen hetvattenprod'!$B$1:$BX$1,0),FALSE)+VLOOKUP($B336,Kraftvärmeprod!$B$1:$BX$550,MATCH(BC$2,Kraftvärmeprod!$B$1:$BX$1,0),FALSE))/$AC336,"")</f>
        <v/>
      </c>
      <c r="BD336" s="228" t="str">
        <f>IF($AY336="ja",(VLOOKUP($B336,'Egen hetvattenprod'!$B$1:$BX$550,MATCH(BD$2,'Egen hetvattenprod'!$B$1:$BX$1,0),FALSE)+VLOOKUP($B336,Kraftvärmeprod!$B$1:$BX$550,MATCH(BD$2,Kraftvärmeprod!$B$1:$BX$1,0),FALSE))/$AC336,"")</f>
        <v/>
      </c>
      <c r="BE336" s="227"/>
      <c r="BF336" s="227" t="str">
        <f t="shared" si="35"/>
        <v>Nej</v>
      </c>
      <c r="BG336" s="227" t="str">
        <f>IF($BF336="ja",VLOOKUP($B336,'Egen hetvattenprod'!$B$1:$BX$550,MATCH("Andelen klimatgaser med fossilt ursprung för avfall ()",'Egen hetvattenprod'!$B$1:$BX$1,0),FALSE),"")</f>
        <v/>
      </c>
      <c r="BH336" s="227" t="str">
        <f>IF($BF336="ja",VLOOKUP($B336,Kraftvärmeprod!$B$1:$BX$550,MATCH("Andelen klimatgaser med fossilt ursprung för avfall ()",Kraftvärmeprod!$B$1:$BX$1,0),FALSE),"")</f>
        <v/>
      </c>
      <c r="BI336" s="227" t="str">
        <f>IF($BF336="ja",VLOOKUP($B336,'Egen hetvattenprod'!$B$1:$BX$550,MATCH("Avfall (GWh)",'Egen hetvattenprod'!$B$1:$BX$1,0),FALSE),"")</f>
        <v/>
      </c>
      <c r="BJ336" s="227" t="str">
        <f>IF($BF336="ja",VLOOKUP($B336,'Slutlig allokering kvv'!$B$1:$BX$550,MATCH("Avfall (GWh)",'Slutlig allokering kvv'!$B$1:$BX$1,0),FALSE),"")</f>
        <v/>
      </c>
      <c r="BK336" s="227" t="str">
        <f>IF($BF336="ja",VLOOKUP($B336,'Köpt hetvatten'!$B$1:$BX$550,MATCH("Avfall i köpt hetvatten",'Köpt hetvatten'!$B$1:$BX$1,0),FALSE),"")</f>
        <v/>
      </c>
      <c r="BL336" s="227" t="str">
        <f>IF($BF336="ja",VLOOKUP($B336,'Egen hetvattenprod'!$B$1:$BX$550,MATCH("Värde enligt ovan. (%)",'Egen hetvattenprod'!$B$1:$BX$1,0),FALSE),"")</f>
        <v/>
      </c>
      <c r="BM336" s="227" t="str">
        <f>IF($BF336="ja",VLOOKUP($B336,Kraftvärmeprod!$B$1:$BX$550,MATCH("Värde enligt ovan. (%)",Kraftvärmeprod!$B$1:$BX$1,0),FALSE),"")</f>
        <v/>
      </c>
      <c r="BN336" s="227"/>
      <c r="BO336" s="227"/>
      <c r="BP336" s="227"/>
      <c r="BQ336" s="227" t="str">
        <f>IF($BF336="ja",VLOOKUP($B336,'Egen hetvattenprod'!$B$1:$BX$550,MATCH("Tillförd olja (fossil) vid avfallsförbränning (GWh)",'Egen hetvattenprod'!$B$1:$BX$1,0),FALSE),"")</f>
        <v/>
      </c>
      <c r="BR336" s="227" t="str">
        <f>IF($BF336="ja",VLOOKUP($B336,Kraftvärmeprod!$B$1:$BX$550,MATCH("Tillförd olja (fossil) vid avfallsförbränning (GWh)",Kraftvärmeprod!$B$1:$BX$1,0),FALSE),"")</f>
        <v/>
      </c>
      <c r="BS336" s="227"/>
      <c r="BT336" s="227"/>
      <c r="BU336" s="227"/>
    </row>
    <row r="337" spans="1:73" x14ac:dyDescent="0.25">
      <c r="A337" s="121" t="str">
        <f>'Miljövärden för publ företag'!B340</f>
        <v>Västervik Miljö &amp; Energi AB</v>
      </c>
      <c r="B337" s="121" t="str">
        <f>'Miljövärden för publ företag'!C340</f>
        <v>Västervik</v>
      </c>
      <c r="C337" s="173">
        <f>IFERROR(VLOOKUP($B337,Totalt!$B$1:$AQ$554,MATCH(C$2,Totalt!$B$1:$AQ$1,0),FALSE),"")</f>
        <v>0</v>
      </c>
      <c r="D337" s="173">
        <f>IFERROR(VLOOKUP($B337,Totalt!$B$1:$AQ$554,MATCH(D$2,Totalt!$B$1:$AQ$1,0),FALSE),"")</f>
        <v>4.4561099999999998</v>
      </c>
      <c r="E337" s="173">
        <f>IFERROR(VLOOKUP($B337,Totalt!$B$1:$AQ$554,MATCH(E$2,Totalt!$B$1:$AQ$1,0),FALSE),"")</f>
        <v>0</v>
      </c>
      <c r="F337" s="173">
        <f>IFERROR(VLOOKUP($B337,Totalt!$B$1:$AQ$554,MATCH(F$2,Totalt!$B$1:$AQ$1,0),FALSE),"")</f>
        <v>0</v>
      </c>
      <c r="G337" s="173">
        <f>IFERROR(VLOOKUP($B337,Totalt!$B$1:$AQ$554,MATCH(G$2,Totalt!$B$1:$AQ$1,0),FALSE),"")</f>
        <v>0</v>
      </c>
      <c r="H337" s="173">
        <f>IFERROR(VLOOKUP($B337,Totalt!$B$1:$AQ$554,MATCH(H$2,Totalt!$B$1:$AQ$1,0),FALSE),"")</f>
        <v>0</v>
      </c>
      <c r="I337" s="173">
        <f>IFERROR(VLOOKUP($B337,Totalt!$B$1:$AQ$554,MATCH(I$2,Totalt!$B$1:$AQ$1,0),FALSE),"")</f>
        <v>177.626</v>
      </c>
      <c r="J337" s="173">
        <f>IFERROR(VLOOKUP($B337,Totalt!$B$1:$AQ$554,MATCH(J$2,Totalt!$B$1:$AQ$1,0),FALSE),"")</f>
        <v>0</v>
      </c>
      <c r="K337" s="173">
        <f>IFERROR(VLOOKUP($B337,Totalt!$B$1:$AQ$554,MATCH(K$2,Totalt!$B$1:$AQ$1,0),FALSE),"")</f>
        <v>0</v>
      </c>
      <c r="L337" s="173">
        <f>IFERROR(VLOOKUP($B337,Totalt!$B$1:$AQ$554,MATCH(L$2,Totalt!$B$1:$AQ$1,0),FALSE),"")</f>
        <v>0</v>
      </c>
      <c r="M337" s="173">
        <f>IFERROR(VLOOKUP($B337,Totalt!$B$1:$AQ$554,MATCH(M$2,Totalt!$B$1:$AQ$1,0),FALSE),"")</f>
        <v>0</v>
      </c>
      <c r="N337" s="173">
        <f>IFERROR(VLOOKUP($B337,Totalt!$B$1:$AQ$554,MATCH(N$2,Totalt!$B$1:$AQ$1,0),FALSE),"")</f>
        <v>60.61</v>
      </c>
      <c r="O337" s="173">
        <f>IFERROR(VLOOKUP($B337,Totalt!$B$1:$AQ$554,MATCH(O$2,Totalt!$B$1:$AQ$1,0),FALSE),"")</f>
        <v>0</v>
      </c>
      <c r="P337" s="173">
        <f>IFERROR(VLOOKUP($B337,Totalt!$B$1:$AQ$554,MATCH(P$2,Totalt!$B$1:$AQ$1,0),FALSE),"")</f>
        <v>27.056000000000001</v>
      </c>
      <c r="Q337" s="173">
        <f>IFERROR(VLOOKUP($B337,Totalt!$B$1:$AQ$554,MATCH(Q$2,Totalt!$B$1:$AQ$1,0),FALSE),"")</f>
        <v>0</v>
      </c>
      <c r="R337" s="173">
        <f>IFERROR(VLOOKUP($B337,Totalt!$B$1:$AQ$554,MATCH(R$2,Totalt!$B$1:$AQ$1,0),FALSE),"")</f>
        <v>0</v>
      </c>
      <c r="S337" s="173">
        <f>IFERROR(VLOOKUP($B337,Totalt!$B$1:$AQ$554,MATCH(S$2,Totalt!$B$1:$AQ$1,0),FALSE),"")</f>
        <v>0</v>
      </c>
      <c r="T337" s="173">
        <f>IFERROR(VLOOKUP($B337,Totalt!$B$1:$AQ$554,MATCH(T$2,Totalt!$B$1:$AQ$1,0),FALSE),"")</f>
        <v>0</v>
      </c>
      <c r="U337" s="173">
        <f>IFERROR(VLOOKUP($B337,Totalt!$B$1:$AQ$554,MATCH(U$2,Totalt!$B$1:$AQ$1,0),FALSE),"")</f>
        <v>0</v>
      </c>
      <c r="V337" s="173">
        <f>IFERROR(VLOOKUP($B337,Totalt!$B$1:$AQ$554,MATCH(V$2,Totalt!$B$1:$AQ$1,0),FALSE),"")</f>
        <v>0</v>
      </c>
      <c r="W337" s="173">
        <f>IFERROR(VLOOKUP($B337,Totalt!$B$1:$AQ$554,MATCH(W$2,Totalt!$B$1:$AQ$1,0),FALSE),"")</f>
        <v>0</v>
      </c>
      <c r="X337" s="173">
        <f>IFERROR(VLOOKUP($B337,Totalt!$B$1:$AQ$554,MATCH(X$2,Totalt!$B$1:$AQ$1,0),FALSE),"")</f>
        <v>0</v>
      </c>
      <c r="Y337" s="173">
        <f>IFERROR(VLOOKUP($B337,Totalt!$B$1:$AQ$554,MATCH(Y$2,Totalt!$B$1:$AQ$1,0),FALSE),"")</f>
        <v>0</v>
      </c>
      <c r="Z337" s="173">
        <f>IFERROR(VLOOKUP($B337,Totalt!$B$1:$AQ$554,MATCH(Z$2,Totalt!$B$1:$AQ$1,0),FALSE),"")</f>
        <v>0</v>
      </c>
      <c r="AA337" s="173">
        <f>IFERROR(VLOOKUP($B337,Totalt!$B$1:$AQ$554,MATCH(AA$2,Totalt!$B$1:$AQ$1,0),FALSE),"")</f>
        <v>0</v>
      </c>
      <c r="AB337" s="173">
        <f>IFERROR(VLOOKUP($B337,Totalt!$B$1:$AQ$554,MATCH(AB$2,Totalt!$B$1:$AQ$1,0),FALSE),"")</f>
        <v>0</v>
      </c>
      <c r="AC337" s="173">
        <f>IFERROR(VLOOKUP($B337,Totalt!$B$1:$AQ$554,MATCH(AC$2,Totalt!$B$1:$AQ$1,0),FALSE),"")</f>
        <v>10.87</v>
      </c>
      <c r="AD337" s="173">
        <f>IFERROR(VLOOKUP($B337,Totalt!$B$1:$AQ$554,MATCH(AD$2,Totalt!$B$1:$AQ$1,0),FALSE),"")</f>
        <v>0</v>
      </c>
      <c r="AE337" s="173">
        <f>IFERROR(VLOOKUP($B337,Totalt!$B$1:$AQ$554,MATCH(AE$2,Totalt!$B$1:$AQ$1,0),FALSE),"")</f>
        <v>0</v>
      </c>
      <c r="AF337" s="173">
        <f>IFERROR(VLOOKUP($B337,Totalt!$B$1:$AQ$554,MATCH(AF$2,Totalt!$B$1:$AQ$1,0),FALSE),"")</f>
        <v>10.130800000000001</v>
      </c>
      <c r="AG337" s="173">
        <f>IFERROR(VLOOKUP($B337,Totalt!$B$1:$AQ$554,MATCH(AG$2,Totalt!$B$1:$AQ$1,0),FALSE),"")</f>
        <v>0</v>
      </c>
      <c r="AI337" s="226">
        <f t="shared" si="30"/>
        <v>290.74891000000002</v>
      </c>
      <c r="AJ337" s="226">
        <f>IF(ISERROR(1/VLOOKUP($B337,Leveranser!$B$1:$S$500,MATCH("såld värme (gwh)",Leveranser!$B$1:$S$1,0),FALSE)),"",VLOOKUP($B337,Leveranser!$B$1:$S$500,MATCH("såld värme (gwh)",Leveranser!$B$1:$S$1,0),FALSE))</f>
        <v>177.5</v>
      </c>
      <c r="AM337" s="227" t="str">
        <f>IF(B337&lt;&gt;"",IF(VLOOKUP($B337,Totalt!$B$1:$AQ$554,MATCH("Kvalitetsgranskad:",Totalt!$B$1:$AQ$1,0),FALSE)="ja",VLOOKUP($B337,Miljö!$B$1:$AG$479,MATCH(AM$2,Miljö!$B$1:$AK$1,0),FALSE),""),"")</f>
        <v>Nej</v>
      </c>
      <c r="AN337" s="227" t="str">
        <f>IF(AM337="ja",VLOOKUP($B337,Miljö!$B$1:$J$479,MATCH("Typ av ursprungsspecificerad el   (Om inget värde anges används Nordisk residualmix, se inforuta) ()",Miljö!$B$1:$J$1,0),FALSE),IF(AM337="nej","Nordisk residualel",""))</f>
        <v>Nordisk residualel</v>
      </c>
      <c r="AO337" s="227">
        <f>IF(AM337="","",VLOOKUP($B337,Miljö!$B$1:$J$479,MATCH("Fossilandel för ursprungspecificerad el ()",Miljö!$B$1:$J$1,0),FALSE))</f>
        <v>0.43</v>
      </c>
      <c r="AP337" s="227">
        <f>IF(AM337="","",IFERROR(VLOOKUP($B337,Miljö!$B$1:$J$479,MATCH("Kärnkraftsandel för ursprungsspecificerad el ()",Miljö!$B$1:$J$1,0),FALSE)/1,0))</f>
        <v>0.40550000000000003</v>
      </c>
      <c r="AQ337" s="227">
        <f t="shared" si="31"/>
        <v>0.16450000000000004</v>
      </c>
      <c r="AR337" s="227"/>
      <c r="AS337" s="227" t="str">
        <f t="shared" si="32"/>
        <v>Nej</v>
      </c>
      <c r="AT337" s="227" t="str">
        <f>IF(AS337="ja",VLOOKUP($B337,Miljö!$B$1:$O$500,MATCH("Fossil andel i procent (%)",Miljö!$B$1:$O$1,0),FALSE)/100,"")</f>
        <v/>
      </c>
      <c r="AU337" s="227"/>
      <c r="AV337" s="227" t="str">
        <f t="shared" si="33"/>
        <v>Nej</v>
      </c>
      <c r="AW337" s="227" t="str">
        <f>IF(AV337="ja",VLOOKUP($B337,'Egen hetvattenprod'!$B$1:$AO$500,MATCH("Värmekälla till värmepumpar ()",'Egen hetvattenprod'!$B$1:$AO$1,0),FALSE),"")</f>
        <v/>
      </c>
      <c r="AX337" s="227"/>
      <c r="AY337" s="227" t="str">
        <f t="shared" si="34"/>
        <v>Ja</v>
      </c>
      <c r="AZ337" s="228">
        <f>IF($AY337="ja",(VLOOKUP($B337,'Egen hetvattenprod'!$B$1:$BX$550,MATCH(AZ$2,'Egen hetvattenprod'!$B$1:$BX$1,0),FALSE)+VLOOKUP($B337,Kraftvärmeprod!$B$1:$BX$550,MATCH(AZ$2,Kraftvärmeprod!$B$1:$BX$1,0),FALSE))/$AC337,"")</f>
        <v>2.9929898804047842E-2</v>
      </c>
      <c r="BA337" s="228">
        <f>IF($AY337="ja",(VLOOKUP($B337,'Egen hetvattenprod'!$B$1:$BX$550,MATCH(BA$2,'Egen hetvattenprod'!$B$1:$BX$1,0),FALSE)+VLOOKUP($B337,Kraftvärmeprod!$B$1:$BX$550,MATCH(BA$2,Kraftvärmeprod!$B$1:$BX$1,0),FALSE))/$AC337,"")</f>
        <v>0.24177589696412144</v>
      </c>
      <c r="BB337" s="228">
        <f>IF($AY337="ja",(VLOOKUP($B337,'Egen hetvattenprod'!$B$1:$BX$550,MATCH(BB$2,'Egen hetvattenprod'!$B$1:$BX$1,0),FALSE)+VLOOKUP($B337,Kraftvärmeprod!$B$1:$BX$550,MATCH(BB$2,Kraftvärmeprod!$B$1:$BX$1,0),FALSE))/$AC337,"")</f>
        <v>0</v>
      </c>
      <c r="BC337" s="228">
        <f>IF($AY337="ja",(VLOOKUP($B337,'Egen hetvattenprod'!$B$1:$BX$550,MATCH(BC$2,'Egen hetvattenprod'!$B$1:$BX$1,0),FALSE)+VLOOKUP($B337,Kraftvärmeprod!$B$1:$BX$550,MATCH(BC$2,Kraftvärmeprod!$B$1:$BX$1,0),FALSE))/$AC337,"")</f>
        <v>0</v>
      </c>
      <c r="BD337" s="228">
        <f>IF($AY337="ja",(VLOOKUP($B337,'Egen hetvattenprod'!$B$1:$BX$550,MATCH(BD$2,'Egen hetvattenprod'!$B$1:$BX$1,0),FALSE)+VLOOKUP($B337,Kraftvärmeprod!$B$1:$BX$550,MATCH(BD$2,Kraftvärmeprod!$B$1:$BX$1,0),FALSE))/$AC337,"")</f>
        <v>0.72829420423183078</v>
      </c>
      <c r="BE337" s="227"/>
      <c r="BF337" s="227" t="str">
        <f t="shared" si="35"/>
        <v>Ja</v>
      </c>
      <c r="BG337" s="227" t="str">
        <f>IF($BF337="ja",VLOOKUP($B337,'Egen hetvattenprod'!$B$1:$BX$550,MATCH("Andelen klimatgaser med fossilt ursprung för avfall ()",'Egen hetvattenprod'!$B$1:$BX$1,0),FALSE),"")</f>
        <v>Schablon</v>
      </c>
      <c r="BH337" s="227" t="str">
        <f>IF($BF337="ja",VLOOKUP($B337,Kraftvärmeprod!$B$1:$BX$550,MATCH("Andelen klimatgaser med fossilt ursprung för avfall ()",Kraftvärmeprod!$B$1:$BX$1,0),FALSE),"")</f>
        <v>Schablon</v>
      </c>
      <c r="BI337" s="227">
        <f>IF($BF337="ja",VLOOKUP($B337,'Egen hetvattenprod'!$B$1:$BX$550,MATCH("Avfall (GWh)",'Egen hetvattenprod'!$B$1:$BX$1,0),FALSE),"")</f>
        <v>105.64400000000001</v>
      </c>
      <c r="BJ337" s="227">
        <f>IF($BF337="ja",VLOOKUP($B337,'Slutlig allokering kvv'!$B$1:$BX$550,MATCH("Avfall (GWh)",'Slutlig allokering kvv'!$B$1:$BX$1,0),FALSE),"")</f>
        <v>71.981999999999999</v>
      </c>
      <c r="BK337" s="227">
        <f>IF($BF337="ja",VLOOKUP($B337,'Köpt hetvatten'!$B$1:$BX$550,MATCH("Avfall i köpt hetvatten",'Köpt hetvatten'!$B$1:$BX$1,0),FALSE),"")</f>
        <v>0</v>
      </c>
      <c r="BL337" s="227">
        <f>IF($BF337="ja",VLOOKUP($B337,'Egen hetvattenprod'!$B$1:$BX$550,MATCH("Värde enligt ovan. (%)",'Egen hetvattenprod'!$B$1:$BX$1,0),FALSE),"")</f>
        <v>40.5</v>
      </c>
      <c r="BM337" s="227">
        <f>IF($BF337="ja",VLOOKUP($B337,Kraftvärmeprod!$B$1:$BX$550,MATCH("Värde enligt ovan. (%)",Kraftvärmeprod!$B$1:$BX$1,0),FALSE),"")</f>
        <v>40.5</v>
      </c>
      <c r="BN337" s="227"/>
      <c r="BO337" s="227"/>
      <c r="BP337" s="227"/>
      <c r="BQ337" s="227" t="str">
        <f>IF($BF337="ja",VLOOKUP($B337,'Egen hetvattenprod'!$B$1:$BX$550,MATCH("Tillförd olja (fossil) vid avfallsförbränning (GWh)",'Egen hetvattenprod'!$B$1:$BX$1,0),FALSE),"")</f>
        <v>ET</v>
      </c>
      <c r="BR337" s="227">
        <f>IF($BF337="ja",VLOOKUP($B337,Kraftvärmeprod!$B$1:$BX$550,MATCH("Tillförd olja (fossil) vid avfallsförbränning (GWh)",Kraftvärmeprod!$B$1:$BX$1,0),FALSE),"")</f>
        <v>0</v>
      </c>
      <c r="BS337" s="227"/>
      <c r="BT337" s="227"/>
      <c r="BU337" s="227"/>
    </row>
    <row r="338" spans="1:73" x14ac:dyDescent="0.25">
      <c r="A338" s="121" t="str">
        <f>'Miljövärden för publ företag'!B341</f>
        <v>Västra Mälardalens Energi och Miljö AB</v>
      </c>
      <c r="B338" s="121" t="str">
        <f>'Miljövärden för publ företag'!C341</f>
        <v>Arboga - Köping</v>
      </c>
      <c r="C338" s="173">
        <f>IFERROR(VLOOKUP($B338,Totalt!$B$1:$AQ$554,MATCH(C$2,Totalt!$B$1:$AQ$1,0),FALSE),"")</f>
        <v>0</v>
      </c>
      <c r="D338" s="173">
        <f>IFERROR(VLOOKUP($B338,Totalt!$B$1:$AQ$554,MATCH(D$2,Totalt!$B$1:$AQ$1,0),FALSE),"")</f>
        <v>0</v>
      </c>
      <c r="E338" s="173">
        <f>IFERROR(VLOOKUP($B338,Totalt!$B$1:$AQ$554,MATCH(E$2,Totalt!$B$1:$AQ$1,0),FALSE),"")</f>
        <v>0</v>
      </c>
      <c r="F338" s="173">
        <f>IFERROR(VLOOKUP($B338,Totalt!$B$1:$AQ$554,MATCH(F$2,Totalt!$B$1:$AQ$1,0),FALSE),"")</f>
        <v>0</v>
      </c>
      <c r="G338" s="173">
        <f>IFERROR(VLOOKUP($B338,Totalt!$B$1:$AQ$554,MATCH(G$2,Totalt!$B$1:$AQ$1,0),FALSE),"")</f>
        <v>0</v>
      </c>
      <c r="H338" s="173">
        <f>IFERROR(VLOOKUP($B338,Totalt!$B$1:$AQ$554,MATCH(H$2,Totalt!$B$1:$AQ$1,0),FALSE),"")</f>
        <v>0</v>
      </c>
      <c r="I338" s="173">
        <f>IFERROR(VLOOKUP($B338,Totalt!$B$1:$AQ$554,MATCH(I$2,Totalt!$B$1:$AQ$1,0),FALSE),"")</f>
        <v>71.764700000000005</v>
      </c>
      <c r="J338" s="173">
        <f>IFERROR(VLOOKUP($B338,Totalt!$B$1:$AQ$554,MATCH(J$2,Totalt!$B$1:$AQ$1,0),FALSE),"")</f>
        <v>0</v>
      </c>
      <c r="K338" s="173">
        <f>IFERROR(VLOOKUP($B338,Totalt!$B$1:$AQ$554,MATCH(K$2,Totalt!$B$1:$AQ$1,0),FALSE),"")</f>
        <v>0</v>
      </c>
      <c r="L338" s="173">
        <f>IFERROR(VLOOKUP($B338,Totalt!$B$1:$AQ$554,MATCH(L$2,Totalt!$B$1:$AQ$1,0),FALSE),"")</f>
        <v>0</v>
      </c>
      <c r="M338" s="173">
        <f>IFERROR(VLOOKUP($B338,Totalt!$B$1:$AQ$554,MATCH(M$2,Totalt!$B$1:$AQ$1,0),FALSE),"")</f>
        <v>1</v>
      </c>
      <c r="N338" s="173">
        <f>IFERROR(VLOOKUP($B338,Totalt!$B$1:$AQ$554,MATCH(N$2,Totalt!$B$1:$AQ$1,0),FALSE),"")</f>
        <v>29</v>
      </c>
      <c r="O338" s="173">
        <f>IFERROR(VLOOKUP($B338,Totalt!$B$1:$AQ$554,MATCH(O$2,Totalt!$B$1:$AQ$1,0),FALSE),"")</f>
        <v>1</v>
      </c>
      <c r="P338" s="173">
        <f>IFERROR(VLOOKUP($B338,Totalt!$B$1:$AQ$554,MATCH(P$2,Totalt!$B$1:$AQ$1,0),FALSE),"")</f>
        <v>38</v>
      </c>
      <c r="Q338" s="173">
        <f>IFERROR(VLOOKUP($B338,Totalt!$B$1:$AQ$554,MATCH(Q$2,Totalt!$B$1:$AQ$1,0),FALSE),"")</f>
        <v>4</v>
      </c>
      <c r="R338" s="173">
        <f>IFERROR(VLOOKUP($B338,Totalt!$B$1:$AQ$554,MATCH(R$2,Totalt!$B$1:$AQ$1,0),FALSE),"")</f>
        <v>32.200000000000003</v>
      </c>
      <c r="S338" s="173">
        <f>IFERROR(VLOOKUP($B338,Totalt!$B$1:$AQ$554,MATCH(S$2,Totalt!$B$1:$AQ$1,0),FALSE),"")</f>
        <v>0</v>
      </c>
      <c r="T338" s="173">
        <f>IFERROR(VLOOKUP($B338,Totalt!$B$1:$AQ$554,MATCH(T$2,Totalt!$B$1:$AQ$1,0),FALSE),"")</f>
        <v>0</v>
      </c>
      <c r="U338" s="173">
        <f>IFERROR(VLOOKUP($B338,Totalt!$B$1:$AQ$554,MATCH(U$2,Totalt!$B$1:$AQ$1,0),FALSE),"")</f>
        <v>0</v>
      </c>
      <c r="V338" s="173">
        <f>IFERROR(VLOOKUP($B338,Totalt!$B$1:$AQ$554,MATCH(V$2,Totalt!$B$1:$AQ$1,0),FALSE),"")</f>
        <v>0</v>
      </c>
      <c r="W338" s="173">
        <f>IFERROR(VLOOKUP($B338,Totalt!$B$1:$AQ$554,MATCH(W$2,Totalt!$B$1:$AQ$1,0),FALSE),"")</f>
        <v>8.3000000000000007</v>
      </c>
      <c r="X338" s="173">
        <f>IFERROR(VLOOKUP($B338,Totalt!$B$1:$AQ$554,MATCH(X$2,Totalt!$B$1:$AQ$1,0),FALSE),"")</f>
        <v>0</v>
      </c>
      <c r="Y338" s="173">
        <f>IFERROR(VLOOKUP($B338,Totalt!$B$1:$AQ$554,MATCH(Y$2,Totalt!$B$1:$AQ$1,0),FALSE),"")</f>
        <v>0</v>
      </c>
      <c r="Z338" s="173">
        <f>IFERROR(VLOOKUP($B338,Totalt!$B$1:$AQ$554,MATCH(Z$2,Totalt!$B$1:$AQ$1,0),FALSE),"")</f>
        <v>0</v>
      </c>
      <c r="AA338" s="173">
        <f>IFERROR(VLOOKUP($B338,Totalt!$B$1:$AQ$554,MATCH(AA$2,Totalt!$B$1:$AQ$1,0),FALSE),"")</f>
        <v>0</v>
      </c>
      <c r="AB338" s="173">
        <f>IFERROR(VLOOKUP($B338,Totalt!$B$1:$AQ$554,MATCH(AB$2,Totalt!$B$1:$AQ$1,0),FALSE),"")</f>
        <v>0</v>
      </c>
      <c r="AC338" s="173">
        <f>IFERROR(VLOOKUP($B338,Totalt!$B$1:$AQ$554,MATCH(AC$2,Totalt!$B$1:$AQ$1,0),FALSE),"")</f>
        <v>12</v>
      </c>
      <c r="AD338" s="173">
        <f>IFERROR(VLOOKUP($B338,Totalt!$B$1:$AQ$554,MATCH(AD$2,Totalt!$B$1:$AQ$1,0),FALSE),"")</f>
        <v>162</v>
      </c>
      <c r="AE338" s="173">
        <f>IFERROR(VLOOKUP($B338,Totalt!$B$1:$AQ$554,MATCH(AE$2,Totalt!$B$1:$AQ$1,0),FALSE),"")</f>
        <v>0</v>
      </c>
      <c r="AF338" s="173">
        <f>IFERROR(VLOOKUP($B338,Totalt!$B$1:$AQ$554,MATCH(AF$2,Totalt!$B$1:$AQ$1,0),FALSE),"")</f>
        <v>3.9</v>
      </c>
      <c r="AG338" s="173">
        <f>IFERROR(VLOOKUP($B338,Totalt!$B$1:$AQ$554,MATCH(AG$2,Totalt!$B$1:$AQ$1,0),FALSE),"")</f>
        <v>0</v>
      </c>
      <c r="AI338" s="226">
        <f t="shared" si="30"/>
        <v>363.16469999999998</v>
      </c>
      <c r="AJ338" s="226">
        <f>IF(ISERROR(1/VLOOKUP($B338,Leveranser!$B$1:$S$500,MATCH("såld värme (gwh)",Leveranser!$B$1:$S$1,0),FALSE)),"",VLOOKUP($B338,Leveranser!$B$1:$S$500,MATCH("såld värme (gwh)",Leveranser!$B$1:$S$1,0),FALSE))</f>
        <v>301.92700000000002</v>
      </c>
      <c r="AM338" s="227" t="str">
        <f>IF(B338&lt;&gt;"",IF(VLOOKUP($B338,Totalt!$B$1:$AQ$554,MATCH("Kvalitetsgranskad:",Totalt!$B$1:$AQ$1,0),FALSE)="ja",VLOOKUP($B338,Miljö!$B$1:$AG$479,MATCH(AM$2,Miljö!$B$1:$AK$1,0),FALSE),""),"")</f>
        <v>Ja</v>
      </c>
      <c r="AN338" s="227" t="str">
        <f>IF(AM338="ja",VLOOKUP($B338,Miljö!$B$1:$J$479,MATCH("Typ av ursprungsspecificerad el   (Om inget värde anges används Nordisk residualmix, se inforuta) ()",Miljö!$B$1:$J$1,0),FALSE),IF(AM338="nej","Nordisk residualel",""))</f>
        <v>'Vattenfall "Klimatsmart/VattenEl"'</v>
      </c>
      <c r="AO338" s="227">
        <f>IF(AM338="","",VLOOKUP($B338,Miljö!$B$1:$J$479,MATCH("Fossilandel för ursprungspecificerad el ()",Miljö!$B$1:$J$1,0),FALSE))</f>
        <v>0</v>
      </c>
      <c r="AP338" s="227">
        <f>IF(AM338="","",IFERROR(VLOOKUP($B338,Miljö!$B$1:$J$479,MATCH("Kärnkraftsandel för ursprungsspecificerad el ()",Miljö!$B$1:$J$1,0),FALSE)/1,0))</f>
        <v>0</v>
      </c>
      <c r="AQ338" s="227">
        <f t="shared" si="31"/>
        <v>1</v>
      </c>
      <c r="AR338" s="227"/>
      <c r="AS338" s="227" t="str">
        <f t="shared" si="32"/>
        <v>Nej</v>
      </c>
      <c r="AT338" s="227" t="str">
        <f>IF(AS338="ja",VLOOKUP($B338,Miljö!$B$1:$O$500,MATCH("Fossil andel i procent (%)",Miljö!$B$1:$O$1,0),FALSE)/100,"")</f>
        <v/>
      </c>
      <c r="AU338" s="227"/>
      <c r="AV338" s="227" t="str">
        <f t="shared" si="33"/>
        <v>Nej</v>
      </c>
      <c r="AW338" s="227" t="str">
        <f>IF(AV338="ja",VLOOKUP($B338,'Egen hetvattenprod'!$B$1:$AO$500,MATCH("Värmekälla till värmepumpar ()",'Egen hetvattenprod'!$B$1:$AO$1,0),FALSE),"")</f>
        <v/>
      </c>
      <c r="AX338" s="227"/>
      <c r="AY338" s="227" t="str">
        <f t="shared" si="34"/>
        <v>Ja</v>
      </c>
      <c r="AZ338" s="228">
        <f>IF($AY338="ja",(VLOOKUP($B338,'Egen hetvattenprod'!$B$1:$BX$550,MATCH(AZ$2,'Egen hetvattenprod'!$B$1:$BX$1,0),FALSE)+VLOOKUP($B338,Kraftvärmeprod!$B$1:$BX$550,MATCH(AZ$2,Kraftvärmeprod!$B$1:$BX$1,0),FALSE))/$AC338,"")</f>
        <v>1</v>
      </c>
      <c r="BA338" s="228">
        <f>IF($AY338="ja",(VLOOKUP($B338,'Egen hetvattenprod'!$B$1:$BX$550,MATCH(BA$2,'Egen hetvattenprod'!$B$1:$BX$1,0),FALSE)+VLOOKUP($B338,Kraftvärmeprod!$B$1:$BX$550,MATCH(BA$2,Kraftvärmeprod!$B$1:$BX$1,0),FALSE))/$AC338,"")</f>
        <v>0</v>
      </c>
      <c r="BB338" s="228">
        <f>IF($AY338="ja",(VLOOKUP($B338,'Egen hetvattenprod'!$B$1:$BX$550,MATCH(BB$2,'Egen hetvattenprod'!$B$1:$BX$1,0),FALSE)+VLOOKUP($B338,Kraftvärmeprod!$B$1:$BX$550,MATCH(BB$2,Kraftvärmeprod!$B$1:$BX$1,0),FALSE))/$AC338,"")</f>
        <v>0</v>
      </c>
      <c r="BC338" s="228">
        <f>IF($AY338="ja",(VLOOKUP($B338,'Egen hetvattenprod'!$B$1:$BX$550,MATCH(BC$2,'Egen hetvattenprod'!$B$1:$BX$1,0),FALSE)+VLOOKUP($B338,Kraftvärmeprod!$B$1:$BX$550,MATCH(BC$2,Kraftvärmeprod!$B$1:$BX$1,0),FALSE))/$AC338,"")</f>
        <v>0</v>
      </c>
      <c r="BD338" s="228">
        <f>IF($AY338="ja",(VLOOKUP($B338,'Egen hetvattenprod'!$B$1:$BX$550,MATCH(BD$2,'Egen hetvattenprod'!$B$1:$BX$1,0),FALSE)+VLOOKUP($B338,Kraftvärmeprod!$B$1:$BX$550,MATCH(BD$2,Kraftvärmeprod!$B$1:$BX$1,0),FALSE))/$AC338,"")</f>
        <v>0</v>
      </c>
      <c r="BE338" s="227"/>
      <c r="BF338" s="227" t="str">
        <f t="shared" si="35"/>
        <v>Ja</v>
      </c>
      <c r="BG338" s="227" t="str">
        <f>IF($BF338="ja",VLOOKUP($B338,'Egen hetvattenprod'!$B$1:$BX$550,MATCH("Andelen klimatgaser med fossilt ursprung för avfall ()",'Egen hetvattenprod'!$B$1:$BX$1,0),FALSE),"")</f>
        <v>Ingen redovisning</v>
      </c>
      <c r="BH338" s="227" t="str">
        <f>IF($BF338="ja",VLOOKUP($B338,Kraftvärmeprod!$B$1:$BX$550,MATCH("Andelen klimatgaser med fossilt ursprung för avfall ()",Kraftvärmeprod!$B$1:$BX$1,0),FALSE),"")</f>
        <v>-</v>
      </c>
      <c r="BI338" s="227" t="str">
        <f>IF($BF338="ja",VLOOKUP($B338,'Egen hetvattenprod'!$B$1:$BX$550,MATCH("Avfall (GWh)",'Egen hetvattenprod'!$B$1:$BX$1,0),FALSE),"")</f>
        <v>ET</v>
      </c>
      <c r="BJ338" s="227">
        <f>IF($BF338="ja",VLOOKUP($B338,'Slutlig allokering kvv'!$B$1:$BX$550,MATCH("Avfall (GWh)",'Slutlig allokering kvv'!$B$1:$BX$1,0),FALSE),"")</f>
        <v>0</v>
      </c>
      <c r="BK338" s="227">
        <f>IF($BF338="ja",VLOOKUP($B338,'Köpt hetvatten'!$B$1:$BX$550,MATCH("Avfall i köpt hetvatten",'Köpt hetvatten'!$B$1:$BX$1,0),FALSE),"")</f>
        <v>71.764705882352942</v>
      </c>
      <c r="BL338" s="227" t="str">
        <f>IF($BF338="ja",VLOOKUP($B338,'Egen hetvattenprod'!$B$1:$BX$550,MATCH("Värde enligt ovan. (%)",'Egen hetvattenprod'!$B$1:$BX$1,0),FALSE),"")</f>
        <v>ET</v>
      </c>
      <c r="BM338" s="227" t="str">
        <f>IF($BF338="ja",VLOOKUP($B338,Kraftvärmeprod!$B$1:$BX$550,MATCH("Värde enligt ovan. (%)",Kraftvärmeprod!$B$1:$BX$1,0),FALSE),"")</f>
        <v>ET</v>
      </c>
      <c r="BN338" s="227"/>
      <c r="BO338" s="227"/>
      <c r="BP338" s="227"/>
      <c r="BQ338" s="227" t="str">
        <f>IF($BF338="ja",VLOOKUP($B338,'Egen hetvattenprod'!$B$1:$BX$550,MATCH("Tillförd olja (fossil) vid avfallsförbränning (GWh)",'Egen hetvattenprod'!$B$1:$BX$1,0),FALSE),"")</f>
        <v>ET</v>
      </c>
      <c r="BR338" s="227" t="str">
        <f>IF($BF338="ja",VLOOKUP($B338,Kraftvärmeprod!$B$1:$BX$550,MATCH("Tillförd olja (fossil) vid avfallsförbränning (GWh)",Kraftvärmeprod!$B$1:$BX$1,0),FALSE),"")</f>
        <v>ET</v>
      </c>
      <c r="BS338" s="227"/>
      <c r="BT338" s="227"/>
      <c r="BU338" s="227"/>
    </row>
    <row r="339" spans="1:73" x14ac:dyDescent="0.25">
      <c r="A339" s="121" t="str">
        <f>'Miljövärden för publ företag'!B342</f>
        <v>Västra Mälardalens Energi och Miljö AB</v>
      </c>
      <c r="B339" s="121" t="str">
        <f>'Miljövärden för publ företag'!C342</f>
        <v>Kolsva</v>
      </c>
      <c r="C339" s="173">
        <f>IFERROR(VLOOKUP($B339,Totalt!$B$1:$AQ$554,MATCH(C$2,Totalt!$B$1:$AQ$1,0),FALSE),"")</f>
        <v>0</v>
      </c>
      <c r="D339" s="173">
        <f>IFERROR(VLOOKUP($B339,Totalt!$B$1:$AQ$554,MATCH(D$2,Totalt!$B$1:$AQ$1,0),FALSE),"")</f>
        <v>0</v>
      </c>
      <c r="E339" s="173">
        <f>IFERROR(VLOOKUP($B339,Totalt!$B$1:$AQ$554,MATCH(E$2,Totalt!$B$1:$AQ$1,0),FALSE),"")</f>
        <v>0</v>
      </c>
      <c r="F339" s="173">
        <f>IFERROR(VLOOKUP($B339,Totalt!$B$1:$AQ$554,MATCH(F$2,Totalt!$B$1:$AQ$1,0),FALSE),"")</f>
        <v>0</v>
      </c>
      <c r="G339" s="173">
        <f>IFERROR(VLOOKUP($B339,Totalt!$B$1:$AQ$554,MATCH(G$2,Totalt!$B$1:$AQ$1,0),FALSE),"")</f>
        <v>0</v>
      </c>
      <c r="H339" s="173">
        <f>IFERROR(VLOOKUP($B339,Totalt!$B$1:$AQ$554,MATCH(H$2,Totalt!$B$1:$AQ$1,0),FALSE),"")</f>
        <v>0</v>
      </c>
      <c r="I339" s="173">
        <f>IFERROR(VLOOKUP($B339,Totalt!$B$1:$AQ$554,MATCH(I$2,Totalt!$B$1:$AQ$1,0),FALSE),"")</f>
        <v>0</v>
      </c>
      <c r="J339" s="173">
        <f>IFERROR(VLOOKUP($B339,Totalt!$B$1:$AQ$554,MATCH(J$2,Totalt!$B$1:$AQ$1,0),FALSE),"")</f>
        <v>0</v>
      </c>
      <c r="K339" s="173">
        <f>IFERROR(VLOOKUP($B339,Totalt!$B$1:$AQ$554,MATCH(K$2,Totalt!$B$1:$AQ$1,0),FALSE),"")</f>
        <v>0</v>
      </c>
      <c r="L339" s="173">
        <f>IFERROR(VLOOKUP($B339,Totalt!$B$1:$AQ$554,MATCH(L$2,Totalt!$B$1:$AQ$1,0),FALSE),"")</f>
        <v>0</v>
      </c>
      <c r="M339" s="173">
        <f>IFERROR(VLOOKUP($B339,Totalt!$B$1:$AQ$554,MATCH(M$2,Totalt!$B$1:$AQ$1,0),FALSE),"")</f>
        <v>0</v>
      </c>
      <c r="N339" s="173">
        <f>IFERROR(VLOOKUP($B339,Totalt!$B$1:$AQ$554,MATCH(N$2,Totalt!$B$1:$AQ$1,0),FALSE),"")</f>
        <v>0</v>
      </c>
      <c r="O339" s="173">
        <f>IFERROR(VLOOKUP($B339,Totalt!$B$1:$AQ$554,MATCH(O$2,Totalt!$B$1:$AQ$1,0),FALSE),"")</f>
        <v>0</v>
      </c>
      <c r="P339" s="173">
        <f>IFERROR(VLOOKUP($B339,Totalt!$B$1:$AQ$554,MATCH(P$2,Totalt!$B$1:$AQ$1,0),FALSE),"")</f>
        <v>0</v>
      </c>
      <c r="Q339" s="173">
        <f>IFERROR(VLOOKUP($B339,Totalt!$B$1:$AQ$554,MATCH(Q$2,Totalt!$B$1:$AQ$1,0),FALSE),"")</f>
        <v>0</v>
      </c>
      <c r="R339" s="173">
        <f>IFERROR(VLOOKUP($B339,Totalt!$B$1:$AQ$554,MATCH(R$2,Totalt!$B$1:$AQ$1,0),FALSE),"")</f>
        <v>16.3</v>
      </c>
      <c r="S339" s="173">
        <f>IFERROR(VLOOKUP($B339,Totalt!$B$1:$AQ$554,MATCH(S$2,Totalt!$B$1:$AQ$1,0),FALSE),"")</f>
        <v>0</v>
      </c>
      <c r="T339" s="173">
        <f>IFERROR(VLOOKUP($B339,Totalt!$B$1:$AQ$554,MATCH(T$2,Totalt!$B$1:$AQ$1,0),FALSE),"")</f>
        <v>0</v>
      </c>
      <c r="U339" s="173">
        <f>IFERROR(VLOOKUP($B339,Totalt!$B$1:$AQ$554,MATCH(U$2,Totalt!$B$1:$AQ$1,0),FALSE),"")</f>
        <v>0</v>
      </c>
      <c r="V339" s="173">
        <f>IFERROR(VLOOKUP($B339,Totalt!$B$1:$AQ$554,MATCH(V$2,Totalt!$B$1:$AQ$1,0),FALSE),"")</f>
        <v>0</v>
      </c>
      <c r="W339" s="173">
        <f>IFERROR(VLOOKUP($B339,Totalt!$B$1:$AQ$554,MATCH(W$2,Totalt!$B$1:$AQ$1,0),FALSE),"")</f>
        <v>0.6</v>
      </c>
      <c r="X339" s="173">
        <f>IFERROR(VLOOKUP($B339,Totalt!$B$1:$AQ$554,MATCH(X$2,Totalt!$B$1:$AQ$1,0),FALSE),"")</f>
        <v>0</v>
      </c>
      <c r="Y339" s="173">
        <f>IFERROR(VLOOKUP($B339,Totalt!$B$1:$AQ$554,MATCH(Y$2,Totalt!$B$1:$AQ$1,0),FALSE),"")</f>
        <v>0</v>
      </c>
      <c r="Z339" s="173">
        <f>IFERROR(VLOOKUP($B339,Totalt!$B$1:$AQ$554,MATCH(Z$2,Totalt!$B$1:$AQ$1,0),FALSE),"")</f>
        <v>0</v>
      </c>
      <c r="AA339" s="173">
        <f>IFERROR(VLOOKUP($B339,Totalt!$B$1:$AQ$554,MATCH(AA$2,Totalt!$B$1:$AQ$1,0),FALSE),"")</f>
        <v>0</v>
      </c>
      <c r="AB339" s="173">
        <f>IFERROR(VLOOKUP($B339,Totalt!$B$1:$AQ$554,MATCH(AB$2,Totalt!$B$1:$AQ$1,0),FALSE),"")</f>
        <v>0</v>
      </c>
      <c r="AC339" s="173">
        <f>IFERROR(VLOOKUP($B339,Totalt!$B$1:$AQ$554,MATCH(AC$2,Totalt!$B$1:$AQ$1,0),FALSE),"")</f>
        <v>0</v>
      </c>
      <c r="AD339" s="173">
        <f>IFERROR(VLOOKUP($B339,Totalt!$B$1:$AQ$554,MATCH(AD$2,Totalt!$B$1:$AQ$1,0),FALSE),"")</f>
        <v>0</v>
      </c>
      <c r="AE339" s="173">
        <f>IFERROR(VLOOKUP($B339,Totalt!$B$1:$AQ$554,MATCH(AE$2,Totalt!$B$1:$AQ$1,0),FALSE),"")</f>
        <v>0</v>
      </c>
      <c r="AF339" s="173">
        <f>IFERROR(VLOOKUP($B339,Totalt!$B$1:$AQ$554,MATCH(AF$2,Totalt!$B$1:$AQ$1,0),FALSE),"")</f>
        <v>0.04</v>
      </c>
      <c r="AG339" s="173">
        <f>IFERROR(VLOOKUP($B339,Totalt!$B$1:$AQ$554,MATCH(AG$2,Totalt!$B$1:$AQ$1,0),FALSE),"")</f>
        <v>0</v>
      </c>
      <c r="AI339" s="226">
        <f t="shared" si="30"/>
        <v>16.940000000000001</v>
      </c>
      <c r="AJ339" s="226">
        <f>IF(ISERROR(1/VLOOKUP($B339,Leveranser!$B$1:$S$500,MATCH("såld värme (gwh)",Leveranser!$B$1:$S$1,0),FALSE)),"",VLOOKUP($B339,Leveranser!$B$1:$S$500,MATCH("såld värme (gwh)",Leveranser!$B$1:$S$1,0),FALSE))</f>
        <v>16.399999999999999</v>
      </c>
      <c r="AM339" s="227" t="str">
        <f>IF(B339&lt;&gt;"",IF(VLOOKUP($B339,Totalt!$B$1:$AQ$554,MATCH("Kvalitetsgranskad:",Totalt!$B$1:$AQ$1,0),FALSE)="ja",VLOOKUP($B339,Miljö!$B$1:$AG$479,MATCH(AM$2,Miljö!$B$1:$AK$1,0),FALSE),""),"")</f>
        <v>Ja</v>
      </c>
      <c r="AN339" s="227" t="str">
        <f>IF(AM339="ja",VLOOKUP($B339,Miljö!$B$1:$J$479,MATCH("Typ av ursprungsspecificerad el   (Om inget värde anges används Nordisk residualmix, se inforuta) ()",Miljö!$B$1:$J$1,0),FALSE),IF(AM339="nej","Nordisk residualel",""))</f>
        <v>'Vattenfall Klimatsmart/VattenEl'</v>
      </c>
      <c r="AO339" s="227">
        <f>IF(AM339="","",VLOOKUP($B339,Miljö!$B$1:$J$479,MATCH("Fossilandel för ursprungspecificerad el ()",Miljö!$B$1:$J$1,0),FALSE))</f>
        <v>0.43</v>
      </c>
      <c r="AP339" s="227">
        <f>IF(AM339="","",IFERROR(VLOOKUP($B339,Miljö!$B$1:$J$479,MATCH("Kärnkraftsandel för ursprungsspecificerad el ()",Miljö!$B$1:$J$1,0),FALSE)/1,0))</f>
        <v>0.40550000000000003</v>
      </c>
      <c r="AQ339" s="227">
        <f t="shared" si="31"/>
        <v>0.16450000000000004</v>
      </c>
      <c r="AR339" s="227"/>
      <c r="AS339" s="227" t="str">
        <f t="shared" si="32"/>
        <v>Nej</v>
      </c>
      <c r="AT339" s="227" t="str">
        <f>IF(AS339="ja",VLOOKUP($B339,Miljö!$B$1:$O$500,MATCH("Fossil andel i procent (%)",Miljö!$B$1:$O$1,0),FALSE)/100,"")</f>
        <v/>
      </c>
      <c r="AU339" s="227"/>
      <c r="AV339" s="227" t="str">
        <f t="shared" si="33"/>
        <v>Nej</v>
      </c>
      <c r="AW339" s="227" t="str">
        <f>IF(AV339="ja",VLOOKUP($B339,'Egen hetvattenprod'!$B$1:$AO$500,MATCH("Värmekälla till värmepumpar ()",'Egen hetvattenprod'!$B$1:$AO$1,0),FALSE),"")</f>
        <v/>
      </c>
      <c r="AX339" s="227"/>
      <c r="AY339" s="227" t="str">
        <f t="shared" si="34"/>
        <v>Nej</v>
      </c>
      <c r="AZ339" s="228" t="str">
        <f>IF($AY339="ja",(VLOOKUP($B339,'Egen hetvattenprod'!$B$1:$BX$550,MATCH(AZ$2,'Egen hetvattenprod'!$B$1:$BX$1,0),FALSE)+VLOOKUP($B339,Kraftvärmeprod!$B$1:$BX$550,MATCH(AZ$2,Kraftvärmeprod!$B$1:$BX$1,0),FALSE))/$AC339,"")</f>
        <v/>
      </c>
      <c r="BA339" s="228" t="str">
        <f>IF($AY339="ja",(VLOOKUP($B339,'Egen hetvattenprod'!$B$1:$BX$550,MATCH(BA$2,'Egen hetvattenprod'!$B$1:$BX$1,0),FALSE)+VLOOKUP($B339,Kraftvärmeprod!$B$1:$BX$550,MATCH(BA$2,Kraftvärmeprod!$B$1:$BX$1,0),FALSE))/$AC339,"")</f>
        <v/>
      </c>
      <c r="BB339" s="228" t="str">
        <f>IF($AY339="ja",(VLOOKUP($B339,'Egen hetvattenprod'!$B$1:$BX$550,MATCH(BB$2,'Egen hetvattenprod'!$B$1:$BX$1,0),FALSE)+VLOOKUP($B339,Kraftvärmeprod!$B$1:$BX$550,MATCH(BB$2,Kraftvärmeprod!$B$1:$BX$1,0),FALSE))/$AC339,"")</f>
        <v/>
      </c>
      <c r="BC339" s="228" t="str">
        <f>IF($AY339="ja",(VLOOKUP($B339,'Egen hetvattenprod'!$B$1:$BX$550,MATCH(BC$2,'Egen hetvattenprod'!$B$1:$BX$1,0),FALSE)+VLOOKUP($B339,Kraftvärmeprod!$B$1:$BX$550,MATCH(BC$2,Kraftvärmeprod!$B$1:$BX$1,0),FALSE))/$AC339,"")</f>
        <v/>
      </c>
      <c r="BD339" s="228" t="str">
        <f>IF($AY339="ja",(VLOOKUP($B339,'Egen hetvattenprod'!$B$1:$BX$550,MATCH(BD$2,'Egen hetvattenprod'!$B$1:$BX$1,0),FALSE)+VLOOKUP($B339,Kraftvärmeprod!$B$1:$BX$550,MATCH(BD$2,Kraftvärmeprod!$B$1:$BX$1,0),FALSE))/$AC339,"")</f>
        <v/>
      </c>
      <c r="BE339" s="227"/>
      <c r="BF339" s="227" t="str">
        <f t="shared" si="35"/>
        <v>Nej</v>
      </c>
      <c r="BG339" s="227" t="str">
        <f>IF($BF339="ja",VLOOKUP($B339,'Egen hetvattenprod'!$B$1:$BX$550,MATCH("Andelen klimatgaser med fossilt ursprung för avfall ()",'Egen hetvattenprod'!$B$1:$BX$1,0),FALSE),"")</f>
        <v/>
      </c>
      <c r="BH339" s="227" t="str">
        <f>IF($BF339="ja",VLOOKUP($B339,Kraftvärmeprod!$B$1:$BX$550,MATCH("Andelen klimatgaser med fossilt ursprung för avfall ()",Kraftvärmeprod!$B$1:$BX$1,0),FALSE),"")</f>
        <v/>
      </c>
      <c r="BI339" s="227" t="str">
        <f>IF($BF339="ja",VLOOKUP($B339,'Egen hetvattenprod'!$B$1:$BX$550,MATCH("Avfall (GWh)",'Egen hetvattenprod'!$B$1:$BX$1,0),FALSE),"")</f>
        <v/>
      </c>
      <c r="BJ339" s="227" t="str">
        <f>IF($BF339="ja",VLOOKUP($B339,'Slutlig allokering kvv'!$B$1:$BX$550,MATCH("Avfall (GWh)",'Slutlig allokering kvv'!$B$1:$BX$1,0),FALSE),"")</f>
        <v/>
      </c>
      <c r="BK339" s="227" t="str">
        <f>IF($BF339="ja",VLOOKUP($B339,'Köpt hetvatten'!$B$1:$BX$550,MATCH("Avfall i köpt hetvatten",'Köpt hetvatten'!$B$1:$BX$1,0),FALSE),"")</f>
        <v/>
      </c>
      <c r="BL339" s="227" t="str">
        <f>IF($BF339="ja",VLOOKUP($B339,'Egen hetvattenprod'!$B$1:$BX$550,MATCH("Värde enligt ovan. (%)",'Egen hetvattenprod'!$B$1:$BX$1,0),FALSE),"")</f>
        <v/>
      </c>
      <c r="BM339" s="227" t="str">
        <f>IF($BF339="ja",VLOOKUP($B339,Kraftvärmeprod!$B$1:$BX$550,MATCH("Värde enligt ovan. (%)",Kraftvärmeprod!$B$1:$BX$1,0),FALSE),"")</f>
        <v/>
      </c>
      <c r="BN339" s="227"/>
      <c r="BO339" s="227"/>
      <c r="BP339" s="227"/>
      <c r="BQ339" s="227" t="str">
        <f>IF($BF339="ja",VLOOKUP($B339,'Egen hetvattenprod'!$B$1:$BX$550,MATCH("Tillförd olja (fossil) vid avfallsförbränning (GWh)",'Egen hetvattenprod'!$B$1:$BX$1,0),FALSE),"")</f>
        <v/>
      </c>
      <c r="BR339" s="227" t="str">
        <f>IF($BF339="ja",VLOOKUP($B339,Kraftvärmeprod!$B$1:$BX$550,MATCH("Tillförd olja (fossil) vid avfallsförbränning (GWh)",Kraftvärmeprod!$B$1:$BX$1,0),FALSE),"")</f>
        <v/>
      </c>
      <c r="BS339" s="227"/>
      <c r="BT339" s="227"/>
      <c r="BU339" s="227"/>
    </row>
    <row r="340" spans="1:73" x14ac:dyDescent="0.25">
      <c r="A340" s="121" t="str">
        <f>'Miljövärden för publ företag'!B343</f>
        <v>Växjö Energi AB</v>
      </c>
      <c r="B340" s="121" t="str">
        <f>'Miljövärden för publ företag'!C343</f>
        <v>Braås</v>
      </c>
      <c r="C340" s="173">
        <f>IFERROR(VLOOKUP($B340,Totalt!$B$1:$AQ$554,MATCH(C$2,Totalt!$B$1:$AQ$1,0),FALSE),"")</f>
        <v>0</v>
      </c>
      <c r="D340" s="173">
        <f>IFERROR(VLOOKUP($B340,Totalt!$B$1:$AQ$554,MATCH(D$2,Totalt!$B$1:$AQ$1,0),FALSE),"")</f>
        <v>0</v>
      </c>
      <c r="E340" s="173">
        <f>IFERROR(VLOOKUP($B340,Totalt!$B$1:$AQ$554,MATCH(E$2,Totalt!$B$1:$AQ$1,0),FALSE),"")</f>
        <v>0</v>
      </c>
      <c r="F340" s="173">
        <f>IFERROR(VLOOKUP($B340,Totalt!$B$1:$AQ$554,MATCH(F$2,Totalt!$B$1:$AQ$1,0),FALSE),"")</f>
        <v>0</v>
      </c>
      <c r="G340" s="173">
        <f>IFERROR(VLOOKUP($B340,Totalt!$B$1:$AQ$554,MATCH(G$2,Totalt!$B$1:$AQ$1,0),FALSE),"")</f>
        <v>0</v>
      </c>
      <c r="H340" s="173">
        <f>IFERROR(VLOOKUP($B340,Totalt!$B$1:$AQ$554,MATCH(H$2,Totalt!$B$1:$AQ$1,0),FALSE),"")</f>
        <v>0</v>
      </c>
      <c r="I340" s="173">
        <f>IFERROR(VLOOKUP($B340,Totalt!$B$1:$AQ$554,MATCH(I$2,Totalt!$B$1:$AQ$1,0),FALSE),"")</f>
        <v>0</v>
      </c>
      <c r="J340" s="173">
        <f>IFERROR(VLOOKUP($B340,Totalt!$B$1:$AQ$554,MATCH(J$2,Totalt!$B$1:$AQ$1,0),FALSE),"")</f>
        <v>0</v>
      </c>
      <c r="K340" s="173">
        <f>IFERROR(VLOOKUP($B340,Totalt!$B$1:$AQ$554,MATCH(K$2,Totalt!$B$1:$AQ$1,0),FALSE),"")</f>
        <v>0</v>
      </c>
      <c r="L340" s="173">
        <f>IFERROR(VLOOKUP($B340,Totalt!$B$1:$AQ$554,MATCH(L$2,Totalt!$B$1:$AQ$1,0),FALSE),"")</f>
        <v>0</v>
      </c>
      <c r="M340" s="173">
        <f>IFERROR(VLOOKUP($B340,Totalt!$B$1:$AQ$554,MATCH(M$2,Totalt!$B$1:$AQ$1,0),FALSE),"")</f>
        <v>0</v>
      </c>
      <c r="N340" s="173">
        <f>IFERROR(VLOOKUP($B340,Totalt!$B$1:$AQ$554,MATCH(N$2,Totalt!$B$1:$AQ$1,0),FALSE),"")</f>
        <v>0</v>
      </c>
      <c r="O340" s="173">
        <f>IFERROR(VLOOKUP($B340,Totalt!$B$1:$AQ$554,MATCH(O$2,Totalt!$B$1:$AQ$1,0),FALSE),"")</f>
        <v>0</v>
      </c>
      <c r="P340" s="173">
        <f>IFERROR(VLOOKUP($B340,Totalt!$B$1:$AQ$554,MATCH(P$2,Totalt!$B$1:$AQ$1,0),FALSE),"")</f>
        <v>14.672000000000001</v>
      </c>
      <c r="Q340" s="173">
        <f>IFERROR(VLOOKUP($B340,Totalt!$B$1:$AQ$554,MATCH(Q$2,Totalt!$B$1:$AQ$1,0),FALSE),"")</f>
        <v>0</v>
      </c>
      <c r="R340" s="173">
        <f>IFERROR(VLOOKUP($B340,Totalt!$B$1:$AQ$554,MATCH(R$2,Totalt!$B$1:$AQ$1,0),FALSE),"")</f>
        <v>4.3650000000000002</v>
      </c>
      <c r="S340" s="173">
        <f>IFERROR(VLOOKUP($B340,Totalt!$B$1:$AQ$554,MATCH(S$2,Totalt!$B$1:$AQ$1,0),FALSE),"")</f>
        <v>0</v>
      </c>
      <c r="T340" s="173">
        <f>IFERROR(VLOOKUP($B340,Totalt!$B$1:$AQ$554,MATCH(T$2,Totalt!$B$1:$AQ$1,0),FALSE),"")</f>
        <v>0</v>
      </c>
      <c r="U340" s="173">
        <f>IFERROR(VLOOKUP($B340,Totalt!$B$1:$AQ$554,MATCH(U$2,Totalt!$B$1:$AQ$1,0),FALSE),"")</f>
        <v>0</v>
      </c>
      <c r="V340" s="173">
        <f>IFERROR(VLOOKUP($B340,Totalt!$B$1:$AQ$554,MATCH(V$2,Totalt!$B$1:$AQ$1,0),FALSE),"")</f>
        <v>0</v>
      </c>
      <c r="W340" s="173">
        <f>IFERROR(VLOOKUP($B340,Totalt!$B$1:$AQ$554,MATCH(W$2,Totalt!$B$1:$AQ$1,0),FALSE),"")</f>
        <v>0.94699999999999995</v>
      </c>
      <c r="X340" s="173">
        <f>IFERROR(VLOOKUP($B340,Totalt!$B$1:$AQ$554,MATCH(X$2,Totalt!$B$1:$AQ$1,0),FALSE),"")</f>
        <v>0</v>
      </c>
      <c r="Y340" s="173">
        <f>IFERROR(VLOOKUP($B340,Totalt!$B$1:$AQ$554,MATCH(Y$2,Totalt!$B$1:$AQ$1,0),FALSE),"")</f>
        <v>0</v>
      </c>
      <c r="Z340" s="173">
        <f>IFERROR(VLOOKUP($B340,Totalt!$B$1:$AQ$554,MATCH(Z$2,Totalt!$B$1:$AQ$1,0),FALSE),"")</f>
        <v>0</v>
      </c>
      <c r="AA340" s="173">
        <f>IFERROR(VLOOKUP($B340,Totalt!$B$1:$AQ$554,MATCH(AA$2,Totalt!$B$1:$AQ$1,0),FALSE),"")</f>
        <v>0</v>
      </c>
      <c r="AB340" s="173">
        <f>IFERROR(VLOOKUP($B340,Totalt!$B$1:$AQ$554,MATCH(AB$2,Totalt!$B$1:$AQ$1,0),FALSE),"")</f>
        <v>0</v>
      </c>
      <c r="AC340" s="173">
        <f>IFERROR(VLOOKUP($B340,Totalt!$B$1:$AQ$554,MATCH(AC$2,Totalt!$B$1:$AQ$1,0),FALSE),"")</f>
        <v>0</v>
      </c>
      <c r="AD340" s="173">
        <f>IFERROR(VLOOKUP($B340,Totalt!$B$1:$AQ$554,MATCH(AD$2,Totalt!$B$1:$AQ$1,0),FALSE),"")</f>
        <v>0</v>
      </c>
      <c r="AE340" s="173">
        <f>IFERROR(VLOOKUP($B340,Totalt!$B$1:$AQ$554,MATCH(AE$2,Totalt!$B$1:$AQ$1,0),FALSE),"")</f>
        <v>0</v>
      </c>
      <c r="AF340" s="173">
        <f>IFERROR(VLOOKUP($B340,Totalt!$B$1:$AQ$554,MATCH(AF$2,Totalt!$B$1:$AQ$1,0),FALSE),"")</f>
        <v>0.27</v>
      </c>
      <c r="AG340" s="173">
        <f>IFERROR(VLOOKUP($B340,Totalt!$B$1:$AQ$554,MATCH(AG$2,Totalt!$B$1:$AQ$1,0),FALSE),"")</f>
        <v>0</v>
      </c>
      <c r="AI340" s="226">
        <f t="shared" si="30"/>
        <v>20.253999999999998</v>
      </c>
      <c r="AJ340" s="226">
        <f>IF(ISERROR(1/VLOOKUP($B340,Leveranser!$B$1:$S$500,MATCH("såld värme (gwh)",Leveranser!$B$1:$S$1,0),FALSE)),"",VLOOKUP($B340,Leveranser!$B$1:$S$500,MATCH("såld värme (gwh)",Leveranser!$B$1:$S$1,0),FALSE))</f>
        <v>13.83</v>
      </c>
      <c r="AM340" s="227" t="str">
        <f>IF(B340&lt;&gt;"",IF(VLOOKUP($B340,Totalt!$B$1:$AQ$554,MATCH("Kvalitetsgranskad:",Totalt!$B$1:$AQ$1,0),FALSE)="ja",VLOOKUP($B340,Miljö!$B$1:$AG$479,MATCH(AM$2,Miljö!$B$1:$AK$1,0),FALSE),""),"")</f>
        <v>Ja</v>
      </c>
      <c r="AN340" s="227" t="str">
        <f>IF(AM340="ja",VLOOKUP($B340,Miljö!$B$1:$J$479,MATCH("Typ av ursprungsspecificerad el   (Om inget värde anges används Nordisk residualmix, se inforuta) ()",Miljö!$B$1:$J$1,0),FALSE),IF(AM340="nej","Nordisk residualel",""))</f>
        <v>'Bra miljöval'</v>
      </c>
      <c r="AO340" s="227">
        <f>IF(AM340="","",VLOOKUP($B340,Miljö!$B$1:$J$479,MATCH("Fossilandel för ursprungspecificerad el ()",Miljö!$B$1:$J$1,0),FALSE))</f>
        <v>0</v>
      </c>
      <c r="AP340" s="227">
        <f>IF(AM340="","",IFERROR(VLOOKUP($B340,Miljö!$B$1:$J$479,MATCH("Kärnkraftsandel för ursprungsspecificerad el ()",Miljö!$B$1:$J$1,0),FALSE)/1,0))</f>
        <v>0</v>
      </c>
      <c r="AQ340" s="227">
        <f t="shared" si="31"/>
        <v>1</v>
      </c>
      <c r="AR340" s="227"/>
      <c r="AS340" s="227" t="str">
        <f t="shared" si="32"/>
        <v>Nej</v>
      </c>
      <c r="AT340" s="227" t="str">
        <f>IF(AS340="ja",VLOOKUP($B340,Miljö!$B$1:$O$500,MATCH("Fossil andel i procent (%)",Miljö!$B$1:$O$1,0),FALSE)/100,"")</f>
        <v/>
      </c>
      <c r="AU340" s="227"/>
      <c r="AV340" s="227" t="str">
        <f t="shared" si="33"/>
        <v>Nej</v>
      </c>
      <c r="AW340" s="227" t="str">
        <f>IF(AV340="ja",VLOOKUP($B340,'Egen hetvattenprod'!$B$1:$AO$500,MATCH("Värmekälla till värmepumpar ()",'Egen hetvattenprod'!$B$1:$AO$1,0),FALSE),"")</f>
        <v/>
      </c>
      <c r="AX340" s="227"/>
      <c r="AY340" s="227" t="str">
        <f t="shared" si="34"/>
        <v>Nej</v>
      </c>
      <c r="AZ340" s="228" t="str">
        <f>IF($AY340="ja",(VLOOKUP($B340,'Egen hetvattenprod'!$B$1:$BX$550,MATCH(AZ$2,'Egen hetvattenprod'!$B$1:$BX$1,0),FALSE)+VLOOKUP($B340,Kraftvärmeprod!$B$1:$BX$550,MATCH(AZ$2,Kraftvärmeprod!$B$1:$BX$1,0),FALSE))/$AC340,"")</f>
        <v/>
      </c>
      <c r="BA340" s="228" t="str">
        <f>IF($AY340="ja",(VLOOKUP($B340,'Egen hetvattenprod'!$B$1:$BX$550,MATCH(BA$2,'Egen hetvattenprod'!$B$1:$BX$1,0),FALSE)+VLOOKUP($B340,Kraftvärmeprod!$B$1:$BX$550,MATCH(BA$2,Kraftvärmeprod!$B$1:$BX$1,0),FALSE))/$AC340,"")</f>
        <v/>
      </c>
      <c r="BB340" s="228" t="str">
        <f>IF($AY340="ja",(VLOOKUP($B340,'Egen hetvattenprod'!$B$1:$BX$550,MATCH(BB$2,'Egen hetvattenprod'!$B$1:$BX$1,0),FALSE)+VLOOKUP($B340,Kraftvärmeprod!$B$1:$BX$550,MATCH(BB$2,Kraftvärmeprod!$B$1:$BX$1,0),FALSE))/$AC340,"")</f>
        <v/>
      </c>
      <c r="BC340" s="228" t="str">
        <f>IF($AY340="ja",(VLOOKUP($B340,'Egen hetvattenprod'!$B$1:$BX$550,MATCH(BC$2,'Egen hetvattenprod'!$B$1:$BX$1,0),FALSE)+VLOOKUP($B340,Kraftvärmeprod!$B$1:$BX$550,MATCH(BC$2,Kraftvärmeprod!$B$1:$BX$1,0),FALSE))/$AC340,"")</f>
        <v/>
      </c>
      <c r="BD340" s="228" t="str">
        <f>IF($AY340="ja",(VLOOKUP($B340,'Egen hetvattenprod'!$B$1:$BX$550,MATCH(BD$2,'Egen hetvattenprod'!$B$1:$BX$1,0),FALSE)+VLOOKUP($B340,Kraftvärmeprod!$B$1:$BX$550,MATCH(BD$2,Kraftvärmeprod!$B$1:$BX$1,0),FALSE))/$AC340,"")</f>
        <v/>
      </c>
      <c r="BE340" s="227"/>
      <c r="BF340" s="227" t="str">
        <f t="shared" si="35"/>
        <v>Nej</v>
      </c>
      <c r="BG340" s="227" t="str">
        <f>IF($BF340="ja",VLOOKUP($B340,'Egen hetvattenprod'!$B$1:$BX$550,MATCH("Andelen klimatgaser med fossilt ursprung för avfall ()",'Egen hetvattenprod'!$B$1:$BX$1,0),FALSE),"")</f>
        <v/>
      </c>
      <c r="BH340" s="227" t="str">
        <f>IF($BF340="ja",VLOOKUP($B340,Kraftvärmeprod!$B$1:$BX$550,MATCH("Andelen klimatgaser med fossilt ursprung för avfall ()",Kraftvärmeprod!$B$1:$BX$1,0),FALSE),"")</f>
        <v/>
      </c>
      <c r="BI340" s="227" t="str">
        <f>IF($BF340="ja",VLOOKUP($B340,'Egen hetvattenprod'!$B$1:$BX$550,MATCH("Avfall (GWh)",'Egen hetvattenprod'!$B$1:$BX$1,0),FALSE),"")</f>
        <v/>
      </c>
      <c r="BJ340" s="227" t="str">
        <f>IF($BF340="ja",VLOOKUP($B340,'Slutlig allokering kvv'!$B$1:$BX$550,MATCH("Avfall (GWh)",'Slutlig allokering kvv'!$B$1:$BX$1,0),FALSE),"")</f>
        <v/>
      </c>
      <c r="BK340" s="227" t="str">
        <f>IF($BF340="ja",VLOOKUP($B340,'Köpt hetvatten'!$B$1:$BX$550,MATCH("Avfall i köpt hetvatten",'Köpt hetvatten'!$B$1:$BX$1,0),FALSE),"")</f>
        <v/>
      </c>
      <c r="BL340" s="227" t="str">
        <f>IF($BF340="ja",VLOOKUP($B340,'Egen hetvattenprod'!$B$1:$BX$550,MATCH("Värde enligt ovan. (%)",'Egen hetvattenprod'!$B$1:$BX$1,0),FALSE),"")</f>
        <v/>
      </c>
      <c r="BM340" s="227" t="str">
        <f>IF($BF340="ja",VLOOKUP($B340,Kraftvärmeprod!$B$1:$BX$550,MATCH("Värde enligt ovan. (%)",Kraftvärmeprod!$B$1:$BX$1,0),FALSE),"")</f>
        <v/>
      </c>
      <c r="BN340" s="227"/>
      <c r="BO340" s="227"/>
      <c r="BP340" s="227"/>
      <c r="BQ340" s="227" t="str">
        <f>IF($BF340="ja",VLOOKUP($B340,'Egen hetvattenprod'!$B$1:$BX$550,MATCH("Tillförd olja (fossil) vid avfallsförbränning (GWh)",'Egen hetvattenprod'!$B$1:$BX$1,0),FALSE),"")</f>
        <v/>
      </c>
      <c r="BR340" s="227" t="str">
        <f>IF($BF340="ja",VLOOKUP($B340,Kraftvärmeprod!$B$1:$BX$550,MATCH("Tillförd olja (fossil) vid avfallsförbränning (GWh)",Kraftvärmeprod!$B$1:$BX$1,0),FALSE),"")</f>
        <v/>
      </c>
      <c r="BS340" s="227"/>
      <c r="BT340" s="227"/>
      <c r="BU340" s="227"/>
    </row>
    <row r="341" spans="1:73" x14ac:dyDescent="0.25">
      <c r="A341" s="121" t="str">
        <f>'Miljövärden för publ företag'!B344</f>
        <v>Växjö Energi AB</v>
      </c>
      <c r="B341" s="121" t="str">
        <f>'Miljövärden för publ företag'!C344</f>
        <v>Ingelstad</v>
      </c>
      <c r="C341" s="173">
        <f>IFERROR(VLOOKUP($B341,Totalt!$B$1:$AQ$554,MATCH(C$2,Totalt!$B$1:$AQ$1,0),FALSE),"")</f>
        <v>0</v>
      </c>
      <c r="D341" s="173">
        <f>IFERROR(VLOOKUP($B341,Totalt!$B$1:$AQ$554,MATCH(D$2,Totalt!$B$1:$AQ$1,0),FALSE),"")</f>
        <v>0</v>
      </c>
      <c r="E341" s="173">
        <f>IFERROR(VLOOKUP($B341,Totalt!$B$1:$AQ$554,MATCH(E$2,Totalt!$B$1:$AQ$1,0),FALSE),"")</f>
        <v>0</v>
      </c>
      <c r="F341" s="173">
        <f>IFERROR(VLOOKUP($B341,Totalt!$B$1:$AQ$554,MATCH(F$2,Totalt!$B$1:$AQ$1,0),FALSE),"")</f>
        <v>0</v>
      </c>
      <c r="G341" s="173">
        <f>IFERROR(VLOOKUP($B341,Totalt!$B$1:$AQ$554,MATCH(G$2,Totalt!$B$1:$AQ$1,0),FALSE),"")</f>
        <v>0</v>
      </c>
      <c r="H341" s="173">
        <f>IFERROR(VLOOKUP($B341,Totalt!$B$1:$AQ$554,MATCH(H$2,Totalt!$B$1:$AQ$1,0),FALSE),"")</f>
        <v>0</v>
      </c>
      <c r="I341" s="173">
        <f>IFERROR(VLOOKUP($B341,Totalt!$B$1:$AQ$554,MATCH(I$2,Totalt!$B$1:$AQ$1,0),FALSE),"")</f>
        <v>0</v>
      </c>
      <c r="J341" s="173">
        <f>IFERROR(VLOOKUP($B341,Totalt!$B$1:$AQ$554,MATCH(J$2,Totalt!$B$1:$AQ$1,0),FALSE),"")</f>
        <v>0</v>
      </c>
      <c r="K341" s="173">
        <f>IFERROR(VLOOKUP($B341,Totalt!$B$1:$AQ$554,MATCH(K$2,Totalt!$B$1:$AQ$1,0),FALSE),"")</f>
        <v>0</v>
      </c>
      <c r="L341" s="173">
        <f>IFERROR(VLOOKUP($B341,Totalt!$B$1:$AQ$554,MATCH(L$2,Totalt!$B$1:$AQ$1,0),FALSE),"")</f>
        <v>0</v>
      </c>
      <c r="M341" s="173">
        <f>IFERROR(VLOOKUP($B341,Totalt!$B$1:$AQ$554,MATCH(M$2,Totalt!$B$1:$AQ$1,0),FALSE),"")</f>
        <v>0</v>
      </c>
      <c r="N341" s="173">
        <f>IFERROR(VLOOKUP($B341,Totalt!$B$1:$AQ$554,MATCH(N$2,Totalt!$B$1:$AQ$1,0),FALSE),"")</f>
        <v>0</v>
      </c>
      <c r="O341" s="173">
        <f>IFERROR(VLOOKUP($B341,Totalt!$B$1:$AQ$554,MATCH(O$2,Totalt!$B$1:$AQ$1,0),FALSE),"")</f>
        <v>0</v>
      </c>
      <c r="P341" s="173">
        <f>IFERROR(VLOOKUP($B341,Totalt!$B$1:$AQ$554,MATCH(P$2,Totalt!$B$1:$AQ$1,0),FALSE),"")</f>
        <v>5.5110000000000001</v>
      </c>
      <c r="Q341" s="173">
        <f>IFERROR(VLOOKUP($B341,Totalt!$B$1:$AQ$554,MATCH(Q$2,Totalt!$B$1:$AQ$1,0),FALSE),"")</f>
        <v>0</v>
      </c>
      <c r="R341" s="173">
        <f>IFERROR(VLOOKUP($B341,Totalt!$B$1:$AQ$554,MATCH(R$2,Totalt!$B$1:$AQ$1,0),FALSE),"")</f>
        <v>4.2549999999999999</v>
      </c>
      <c r="S341" s="173">
        <f>IFERROR(VLOOKUP($B341,Totalt!$B$1:$AQ$554,MATCH(S$2,Totalt!$B$1:$AQ$1,0),FALSE),"")</f>
        <v>0</v>
      </c>
      <c r="T341" s="173">
        <f>IFERROR(VLOOKUP($B341,Totalt!$B$1:$AQ$554,MATCH(T$2,Totalt!$B$1:$AQ$1,0),FALSE),"")</f>
        <v>0</v>
      </c>
      <c r="U341" s="173">
        <f>IFERROR(VLOOKUP($B341,Totalt!$B$1:$AQ$554,MATCH(U$2,Totalt!$B$1:$AQ$1,0),FALSE),"")</f>
        <v>0</v>
      </c>
      <c r="V341" s="173">
        <f>IFERROR(VLOOKUP($B341,Totalt!$B$1:$AQ$554,MATCH(V$2,Totalt!$B$1:$AQ$1,0),FALSE),"")</f>
        <v>0</v>
      </c>
      <c r="W341" s="173">
        <f>IFERROR(VLOOKUP($B341,Totalt!$B$1:$AQ$554,MATCH(W$2,Totalt!$B$1:$AQ$1,0),FALSE),"")</f>
        <v>1.2290000000000001</v>
      </c>
      <c r="X341" s="173">
        <f>IFERROR(VLOOKUP($B341,Totalt!$B$1:$AQ$554,MATCH(X$2,Totalt!$B$1:$AQ$1,0),FALSE),"")</f>
        <v>0</v>
      </c>
      <c r="Y341" s="173">
        <f>IFERROR(VLOOKUP($B341,Totalt!$B$1:$AQ$554,MATCH(Y$2,Totalt!$B$1:$AQ$1,0),FALSE),"")</f>
        <v>0</v>
      </c>
      <c r="Z341" s="173">
        <f>IFERROR(VLOOKUP($B341,Totalt!$B$1:$AQ$554,MATCH(Z$2,Totalt!$B$1:$AQ$1,0),FALSE),"")</f>
        <v>0</v>
      </c>
      <c r="AA341" s="173">
        <f>IFERROR(VLOOKUP($B341,Totalt!$B$1:$AQ$554,MATCH(AA$2,Totalt!$B$1:$AQ$1,0),FALSE),"")</f>
        <v>0</v>
      </c>
      <c r="AB341" s="173">
        <f>IFERROR(VLOOKUP($B341,Totalt!$B$1:$AQ$554,MATCH(AB$2,Totalt!$B$1:$AQ$1,0),FALSE),"")</f>
        <v>0</v>
      </c>
      <c r="AC341" s="173">
        <f>IFERROR(VLOOKUP($B341,Totalt!$B$1:$AQ$554,MATCH(AC$2,Totalt!$B$1:$AQ$1,0),FALSE),"")</f>
        <v>0</v>
      </c>
      <c r="AD341" s="173">
        <f>IFERROR(VLOOKUP($B341,Totalt!$B$1:$AQ$554,MATCH(AD$2,Totalt!$B$1:$AQ$1,0),FALSE),"")</f>
        <v>0</v>
      </c>
      <c r="AE341" s="173">
        <f>IFERROR(VLOOKUP($B341,Totalt!$B$1:$AQ$554,MATCH(AE$2,Totalt!$B$1:$AQ$1,0),FALSE),"")</f>
        <v>0</v>
      </c>
      <c r="AF341" s="173">
        <f>IFERROR(VLOOKUP($B341,Totalt!$B$1:$AQ$554,MATCH(AF$2,Totalt!$B$1:$AQ$1,0),FALSE),"")</f>
        <v>0.159</v>
      </c>
      <c r="AG341" s="173">
        <f>IFERROR(VLOOKUP($B341,Totalt!$B$1:$AQ$554,MATCH(AG$2,Totalt!$B$1:$AQ$1,0),FALSE),"")</f>
        <v>0</v>
      </c>
      <c r="AI341" s="226">
        <f t="shared" si="30"/>
        <v>11.154000000000002</v>
      </c>
      <c r="AJ341" s="226">
        <f>IF(ISERROR(1/VLOOKUP($B341,Leveranser!$B$1:$S$500,MATCH("såld värme (gwh)",Leveranser!$B$1:$S$1,0),FALSE)),"",VLOOKUP($B341,Leveranser!$B$1:$S$500,MATCH("såld värme (gwh)",Leveranser!$B$1:$S$1,0),FALSE))</f>
        <v>7.7039999999999997</v>
      </c>
      <c r="AM341" s="227" t="str">
        <f>IF(B341&lt;&gt;"",IF(VLOOKUP($B341,Totalt!$B$1:$AQ$554,MATCH("Kvalitetsgranskad:",Totalt!$B$1:$AQ$1,0),FALSE)="ja",VLOOKUP($B341,Miljö!$B$1:$AG$479,MATCH(AM$2,Miljö!$B$1:$AK$1,0),FALSE),""),"")</f>
        <v>Ja</v>
      </c>
      <c r="AN341" s="227" t="str">
        <f>IF(AM341="ja",VLOOKUP($B341,Miljö!$B$1:$J$479,MATCH("Typ av ursprungsspecificerad el   (Om inget värde anges används Nordisk residualmix, se inforuta) ()",Miljö!$B$1:$J$1,0),FALSE),IF(AM341="nej","Nordisk residualel",""))</f>
        <v>-</v>
      </c>
      <c r="AO341" s="227">
        <f>IF(AM341="","",VLOOKUP($B341,Miljö!$B$1:$J$479,MATCH("Fossilandel för ursprungspecificerad el ()",Miljö!$B$1:$J$1,0),FALSE))</f>
        <v>0</v>
      </c>
      <c r="AP341" s="227">
        <f>IF(AM341="","",IFERROR(VLOOKUP($B341,Miljö!$B$1:$J$479,MATCH("Kärnkraftsandel för ursprungsspecificerad el ()",Miljö!$B$1:$J$1,0),FALSE)/1,0))</f>
        <v>0</v>
      </c>
      <c r="AQ341" s="227">
        <f t="shared" si="31"/>
        <v>1</v>
      </c>
      <c r="AR341" s="227"/>
      <c r="AS341" s="227" t="str">
        <f t="shared" si="32"/>
        <v>Nej</v>
      </c>
      <c r="AT341" s="227" t="str">
        <f>IF(AS341="ja",VLOOKUP($B341,Miljö!$B$1:$O$500,MATCH("Fossil andel i procent (%)",Miljö!$B$1:$O$1,0),FALSE)/100,"")</f>
        <v/>
      </c>
      <c r="AU341" s="227"/>
      <c r="AV341" s="227" t="str">
        <f t="shared" si="33"/>
        <v>Nej</v>
      </c>
      <c r="AW341" s="227" t="str">
        <f>IF(AV341="ja",VLOOKUP($B341,'Egen hetvattenprod'!$B$1:$AO$500,MATCH("Värmekälla till värmepumpar ()",'Egen hetvattenprod'!$B$1:$AO$1,0),FALSE),"")</f>
        <v/>
      </c>
      <c r="AX341" s="227"/>
      <c r="AY341" s="227" t="str">
        <f t="shared" si="34"/>
        <v>Nej</v>
      </c>
      <c r="AZ341" s="228" t="str">
        <f>IF($AY341="ja",(VLOOKUP($B341,'Egen hetvattenprod'!$B$1:$BX$550,MATCH(AZ$2,'Egen hetvattenprod'!$B$1:$BX$1,0),FALSE)+VLOOKUP($B341,Kraftvärmeprod!$B$1:$BX$550,MATCH(AZ$2,Kraftvärmeprod!$B$1:$BX$1,0),FALSE))/$AC341,"")</f>
        <v/>
      </c>
      <c r="BA341" s="228" t="str">
        <f>IF($AY341="ja",(VLOOKUP($B341,'Egen hetvattenprod'!$B$1:$BX$550,MATCH(BA$2,'Egen hetvattenprod'!$B$1:$BX$1,0),FALSE)+VLOOKUP($B341,Kraftvärmeprod!$B$1:$BX$550,MATCH(BA$2,Kraftvärmeprod!$B$1:$BX$1,0),FALSE))/$AC341,"")</f>
        <v/>
      </c>
      <c r="BB341" s="228" t="str">
        <f>IF($AY341="ja",(VLOOKUP($B341,'Egen hetvattenprod'!$B$1:$BX$550,MATCH(BB$2,'Egen hetvattenprod'!$B$1:$BX$1,0),FALSE)+VLOOKUP($B341,Kraftvärmeprod!$B$1:$BX$550,MATCH(BB$2,Kraftvärmeprod!$B$1:$BX$1,0),FALSE))/$AC341,"")</f>
        <v/>
      </c>
      <c r="BC341" s="228" t="str">
        <f>IF($AY341="ja",(VLOOKUP($B341,'Egen hetvattenprod'!$B$1:$BX$550,MATCH(BC$2,'Egen hetvattenprod'!$B$1:$BX$1,0),FALSE)+VLOOKUP($B341,Kraftvärmeprod!$B$1:$BX$550,MATCH(BC$2,Kraftvärmeprod!$B$1:$BX$1,0),FALSE))/$AC341,"")</f>
        <v/>
      </c>
      <c r="BD341" s="228" t="str">
        <f>IF($AY341="ja",(VLOOKUP($B341,'Egen hetvattenprod'!$B$1:$BX$550,MATCH(BD$2,'Egen hetvattenprod'!$B$1:$BX$1,0),FALSE)+VLOOKUP($B341,Kraftvärmeprod!$B$1:$BX$550,MATCH(BD$2,Kraftvärmeprod!$B$1:$BX$1,0),FALSE))/$AC341,"")</f>
        <v/>
      </c>
      <c r="BE341" s="227"/>
      <c r="BF341" s="227" t="str">
        <f t="shared" si="35"/>
        <v>Nej</v>
      </c>
      <c r="BG341" s="227" t="str">
        <f>IF($BF341="ja",VLOOKUP($B341,'Egen hetvattenprod'!$B$1:$BX$550,MATCH("Andelen klimatgaser med fossilt ursprung för avfall ()",'Egen hetvattenprod'!$B$1:$BX$1,0),FALSE),"")</f>
        <v/>
      </c>
      <c r="BH341" s="227" t="str">
        <f>IF($BF341="ja",VLOOKUP($B341,Kraftvärmeprod!$B$1:$BX$550,MATCH("Andelen klimatgaser med fossilt ursprung för avfall ()",Kraftvärmeprod!$B$1:$BX$1,0),FALSE),"")</f>
        <v/>
      </c>
      <c r="BI341" s="227" t="str">
        <f>IF($BF341="ja",VLOOKUP($B341,'Egen hetvattenprod'!$B$1:$BX$550,MATCH("Avfall (GWh)",'Egen hetvattenprod'!$B$1:$BX$1,0),FALSE),"")</f>
        <v/>
      </c>
      <c r="BJ341" s="227" t="str">
        <f>IF($BF341="ja",VLOOKUP($B341,'Slutlig allokering kvv'!$B$1:$BX$550,MATCH("Avfall (GWh)",'Slutlig allokering kvv'!$B$1:$BX$1,0),FALSE),"")</f>
        <v/>
      </c>
      <c r="BK341" s="227" t="str">
        <f>IF($BF341="ja",VLOOKUP($B341,'Köpt hetvatten'!$B$1:$BX$550,MATCH("Avfall i köpt hetvatten",'Köpt hetvatten'!$B$1:$BX$1,0),FALSE),"")</f>
        <v/>
      </c>
      <c r="BL341" s="227" t="str">
        <f>IF($BF341="ja",VLOOKUP($B341,'Egen hetvattenprod'!$B$1:$BX$550,MATCH("Värde enligt ovan. (%)",'Egen hetvattenprod'!$B$1:$BX$1,0),FALSE),"")</f>
        <v/>
      </c>
      <c r="BM341" s="227" t="str">
        <f>IF($BF341="ja",VLOOKUP($B341,Kraftvärmeprod!$B$1:$BX$550,MATCH("Värde enligt ovan. (%)",Kraftvärmeprod!$B$1:$BX$1,0),FALSE),"")</f>
        <v/>
      </c>
      <c r="BN341" s="227"/>
      <c r="BO341" s="227"/>
      <c r="BP341" s="227"/>
      <c r="BQ341" s="227" t="str">
        <f>IF($BF341="ja",VLOOKUP($B341,'Egen hetvattenprod'!$B$1:$BX$550,MATCH("Tillförd olja (fossil) vid avfallsförbränning (GWh)",'Egen hetvattenprod'!$B$1:$BX$1,0),FALSE),"")</f>
        <v/>
      </c>
      <c r="BR341" s="227" t="str">
        <f>IF($BF341="ja",VLOOKUP($B341,Kraftvärmeprod!$B$1:$BX$550,MATCH("Tillförd olja (fossil) vid avfallsförbränning (GWh)",Kraftvärmeprod!$B$1:$BX$1,0),FALSE),"")</f>
        <v/>
      </c>
      <c r="BS341" s="227"/>
      <c r="BT341" s="227"/>
      <c r="BU341" s="227"/>
    </row>
    <row r="342" spans="1:73" x14ac:dyDescent="0.25">
      <c r="A342" s="121" t="str">
        <f>'Miljövärden för publ företag'!B345</f>
        <v>Växjö Energi AB</v>
      </c>
      <c r="B342" s="121" t="str">
        <f>'Miljövärden för publ företag'!C345</f>
        <v>Rottne</v>
      </c>
      <c r="C342" s="173">
        <f>IFERROR(VLOOKUP($B342,Totalt!$B$1:$AQ$554,MATCH(C$2,Totalt!$B$1:$AQ$1,0),FALSE),"")</f>
        <v>0</v>
      </c>
      <c r="D342" s="173">
        <f>IFERROR(VLOOKUP($B342,Totalt!$B$1:$AQ$554,MATCH(D$2,Totalt!$B$1:$AQ$1,0),FALSE),"")</f>
        <v>0</v>
      </c>
      <c r="E342" s="173">
        <f>IFERROR(VLOOKUP($B342,Totalt!$B$1:$AQ$554,MATCH(E$2,Totalt!$B$1:$AQ$1,0),FALSE),"")</f>
        <v>0</v>
      </c>
      <c r="F342" s="173">
        <f>IFERROR(VLOOKUP($B342,Totalt!$B$1:$AQ$554,MATCH(F$2,Totalt!$B$1:$AQ$1,0),FALSE),"")</f>
        <v>0</v>
      </c>
      <c r="G342" s="173">
        <f>IFERROR(VLOOKUP($B342,Totalt!$B$1:$AQ$554,MATCH(G$2,Totalt!$B$1:$AQ$1,0),FALSE),"")</f>
        <v>0</v>
      </c>
      <c r="H342" s="173">
        <f>IFERROR(VLOOKUP($B342,Totalt!$B$1:$AQ$554,MATCH(H$2,Totalt!$B$1:$AQ$1,0),FALSE),"")</f>
        <v>0</v>
      </c>
      <c r="I342" s="173">
        <f>IFERROR(VLOOKUP($B342,Totalt!$B$1:$AQ$554,MATCH(I$2,Totalt!$B$1:$AQ$1,0),FALSE),"")</f>
        <v>0</v>
      </c>
      <c r="J342" s="173">
        <f>IFERROR(VLOOKUP($B342,Totalt!$B$1:$AQ$554,MATCH(J$2,Totalt!$B$1:$AQ$1,0),FALSE),"")</f>
        <v>0</v>
      </c>
      <c r="K342" s="173">
        <f>IFERROR(VLOOKUP($B342,Totalt!$B$1:$AQ$554,MATCH(K$2,Totalt!$B$1:$AQ$1,0),FALSE),"")</f>
        <v>0</v>
      </c>
      <c r="L342" s="173">
        <f>IFERROR(VLOOKUP($B342,Totalt!$B$1:$AQ$554,MATCH(L$2,Totalt!$B$1:$AQ$1,0),FALSE),"")</f>
        <v>0</v>
      </c>
      <c r="M342" s="173">
        <f>IFERROR(VLOOKUP($B342,Totalt!$B$1:$AQ$554,MATCH(M$2,Totalt!$B$1:$AQ$1,0),FALSE),"")</f>
        <v>0</v>
      </c>
      <c r="N342" s="173">
        <f>IFERROR(VLOOKUP($B342,Totalt!$B$1:$AQ$554,MATCH(N$2,Totalt!$B$1:$AQ$1,0),FALSE),"")</f>
        <v>0</v>
      </c>
      <c r="O342" s="173">
        <f>IFERROR(VLOOKUP($B342,Totalt!$B$1:$AQ$554,MATCH(O$2,Totalt!$B$1:$AQ$1,0),FALSE),"")</f>
        <v>0</v>
      </c>
      <c r="P342" s="173">
        <f>IFERROR(VLOOKUP($B342,Totalt!$B$1:$AQ$554,MATCH(P$2,Totalt!$B$1:$AQ$1,0),FALSE),"")</f>
        <v>12.664</v>
      </c>
      <c r="Q342" s="173">
        <f>IFERROR(VLOOKUP($B342,Totalt!$B$1:$AQ$554,MATCH(Q$2,Totalt!$B$1:$AQ$1,0),FALSE),"")</f>
        <v>0</v>
      </c>
      <c r="R342" s="173">
        <f>IFERROR(VLOOKUP($B342,Totalt!$B$1:$AQ$554,MATCH(R$2,Totalt!$B$1:$AQ$1,0),FALSE),"")</f>
        <v>0</v>
      </c>
      <c r="S342" s="173">
        <f>IFERROR(VLOOKUP($B342,Totalt!$B$1:$AQ$554,MATCH(S$2,Totalt!$B$1:$AQ$1,0),FALSE),"")</f>
        <v>0</v>
      </c>
      <c r="T342" s="173">
        <f>IFERROR(VLOOKUP($B342,Totalt!$B$1:$AQ$554,MATCH(T$2,Totalt!$B$1:$AQ$1,0),FALSE),"")</f>
        <v>0</v>
      </c>
      <c r="U342" s="173">
        <f>IFERROR(VLOOKUP($B342,Totalt!$B$1:$AQ$554,MATCH(U$2,Totalt!$B$1:$AQ$1,0),FALSE),"")</f>
        <v>0</v>
      </c>
      <c r="V342" s="173">
        <f>IFERROR(VLOOKUP($B342,Totalt!$B$1:$AQ$554,MATCH(V$2,Totalt!$B$1:$AQ$1,0),FALSE),"")</f>
        <v>0</v>
      </c>
      <c r="W342" s="173">
        <f>IFERROR(VLOOKUP($B342,Totalt!$B$1:$AQ$554,MATCH(W$2,Totalt!$B$1:$AQ$1,0),FALSE),"")</f>
        <v>1.5209999999999999</v>
      </c>
      <c r="X342" s="173">
        <f>IFERROR(VLOOKUP($B342,Totalt!$B$1:$AQ$554,MATCH(X$2,Totalt!$B$1:$AQ$1,0),FALSE),"")</f>
        <v>0</v>
      </c>
      <c r="Y342" s="173">
        <f>IFERROR(VLOOKUP($B342,Totalt!$B$1:$AQ$554,MATCH(Y$2,Totalt!$B$1:$AQ$1,0),FALSE),"")</f>
        <v>0</v>
      </c>
      <c r="Z342" s="173">
        <f>IFERROR(VLOOKUP($B342,Totalt!$B$1:$AQ$554,MATCH(Z$2,Totalt!$B$1:$AQ$1,0),FALSE),"")</f>
        <v>0</v>
      </c>
      <c r="AA342" s="173">
        <f>IFERROR(VLOOKUP($B342,Totalt!$B$1:$AQ$554,MATCH(AA$2,Totalt!$B$1:$AQ$1,0),FALSE),"")</f>
        <v>0</v>
      </c>
      <c r="AB342" s="173">
        <f>IFERROR(VLOOKUP($B342,Totalt!$B$1:$AQ$554,MATCH(AB$2,Totalt!$B$1:$AQ$1,0),FALSE),"")</f>
        <v>0</v>
      </c>
      <c r="AC342" s="173">
        <f>IFERROR(VLOOKUP($B342,Totalt!$B$1:$AQ$554,MATCH(AC$2,Totalt!$B$1:$AQ$1,0),FALSE),"")</f>
        <v>0</v>
      </c>
      <c r="AD342" s="173">
        <f>IFERROR(VLOOKUP($B342,Totalt!$B$1:$AQ$554,MATCH(AD$2,Totalt!$B$1:$AQ$1,0),FALSE),"")</f>
        <v>0</v>
      </c>
      <c r="AE342" s="173">
        <f>IFERROR(VLOOKUP($B342,Totalt!$B$1:$AQ$554,MATCH(AE$2,Totalt!$B$1:$AQ$1,0),FALSE),"")</f>
        <v>0</v>
      </c>
      <c r="AF342" s="173">
        <f>IFERROR(VLOOKUP($B342,Totalt!$B$1:$AQ$554,MATCH(AF$2,Totalt!$B$1:$AQ$1,0),FALSE),"")</f>
        <v>0.214</v>
      </c>
      <c r="AG342" s="173">
        <f>IFERROR(VLOOKUP($B342,Totalt!$B$1:$AQ$554,MATCH(AG$2,Totalt!$B$1:$AQ$1,0),FALSE),"")</f>
        <v>0</v>
      </c>
      <c r="AI342" s="226">
        <f t="shared" si="30"/>
        <v>14.398999999999999</v>
      </c>
      <c r="AJ342" s="226">
        <f>IF(ISERROR(1/VLOOKUP($B342,Leveranser!$B$1:$S$500,MATCH("såld värme (gwh)",Leveranser!$B$1:$S$1,0),FALSE)),"",VLOOKUP($B342,Leveranser!$B$1:$S$500,MATCH("såld värme (gwh)",Leveranser!$B$1:$S$1,0),FALSE))</f>
        <v>10.163</v>
      </c>
      <c r="AM342" s="227" t="str">
        <f>IF(B342&lt;&gt;"",IF(VLOOKUP($B342,Totalt!$B$1:$AQ$554,MATCH("Kvalitetsgranskad:",Totalt!$B$1:$AQ$1,0),FALSE)="ja",VLOOKUP($B342,Miljö!$B$1:$AG$479,MATCH(AM$2,Miljö!$B$1:$AK$1,0),FALSE),""),"")</f>
        <v>Ja</v>
      </c>
      <c r="AN342" s="227" t="str">
        <f>IF(AM342="ja",VLOOKUP($B342,Miljö!$B$1:$J$479,MATCH("Typ av ursprungsspecificerad el   (Om inget värde anges används Nordisk residualmix, se inforuta) ()",Miljö!$B$1:$J$1,0),FALSE),IF(AM342="nej","Nordisk residualel",""))</f>
        <v>'Bra miljöval'</v>
      </c>
      <c r="AO342" s="227">
        <f>IF(AM342="","",VLOOKUP($B342,Miljö!$B$1:$J$479,MATCH("Fossilandel för ursprungspecificerad el ()",Miljö!$B$1:$J$1,0),FALSE))</f>
        <v>0</v>
      </c>
      <c r="AP342" s="227">
        <f>IF(AM342="","",IFERROR(VLOOKUP($B342,Miljö!$B$1:$J$479,MATCH("Kärnkraftsandel för ursprungsspecificerad el ()",Miljö!$B$1:$J$1,0),FALSE)/1,0))</f>
        <v>0</v>
      </c>
      <c r="AQ342" s="227">
        <f t="shared" si="31"/>
        <v>1</v>
      </c>
      <c r="AR342" s="227"/>
      <c r="AS342" s="227" t="str">
        <f t="shared" si="32"/>
        <v>Nej</v>
      </c>
      <c r="AT342" s="227" t="str">
        <f>IF(AS342="ja",VLOOKUP($B342,Miljö!$B$1:$O$500,MATCH("Fossil andel i procent (%)",Miljö!$B$1:$O$1,0),FALSE)/100,"")</f>
        <v/>
      </c>
      <c r="AU342" s="227"/>
      <c r="AV342" s="227" t="str">
        <f t="shared" si="33"/>
        <v>Nej</v>
      </c>
      <c r="AW342" s="227" t="str">
        <f>IF(AV342="ja",VLOOKUP($B342,'Egen hetvattenprod'!$B$1:$AO$500,MATCH("Värmekälla till värmepumpar ()",'Egen hetvattenprod'!$B$1:$AO$1,0),FALSE),"")</f>
        <v/>
      </c>
      <c r="AX342" s="227"/>
      <c r="AY342" s="227" t="str">
        <f t="shared" si="34"/>
        <v>Nej</v>
      </c>
      <c r="AZ342" s="228" t="str">
        <f>IF($AY342="ja",(VLOOKUP($B342,'Egen hetvattenprod'!$B$1:$BX$550,MATCH(AZ$2,'Egen hetvattenprod'!$B$1:$BX$1,0),FALSE)+VLOOKUP($B342,Kraftvärmeprod!$B$1:$BX$550,MATCH(AZ$2,Kraftvärmeprod!$B$1:$BX$1,0),FALSE))/$AC342,"")</f>
        <v/>
      </c>
      <c r="BA342" s="228" t="str">
        <f>IF($AY342="ja",(VLOOKUP($B342,'Egen hetvattenprod'!$B$1:$BX$550,MATCH(BA$2,'Egen hetvattenprod'!$B$1:$BX$1,0),FALSE)+VLOOKUP($B342,Kraftvärmeprod!$B$1:$BX$550,MATCH(BA$2,Kraftvärmeprod!$B$1:$BX$1,0),FALSE))/$AC342,"")</f>
        <v/>
      </c>
      <c r="BB342" s="228" t="str">
        <f>IF($AY342="ja",(VLOOKUP($B342,'Egen hetvattenprod'!$B$1:$BX$550,MATCH(BB$2,'Egen hetvattenprod'!$B$1:$BX$1,0),FALSE)+VLOOKUP($B342,Kraftvärmeprod!$B$1:$BX$550,MATCH(BB$2,Kraftvärmeprod!$B$1:$BX$1,0),FALSE))/$AC342,"")</f>
        <v/>
      </c>
      <c r="BC342" s="228" t="str">
        <f>IF($AY342="ja",(VLOOKUP($B342,'Egen hetvattenprod'!$B$1:$BX$550,MATCH(BC$2,'Egen hetvattenprod'!$B$1:$BX$1,0),FALSE)+VLOOKUP($B342,Kraftvärmeprod!$B$1:$BX$550,MATCH(BC$2,Kraftvärmeprod!$B$1:$BX$1,0),FALSE))/$AC342,"")</f>
        <v/>
      </c>
      <c r="BD342" s="228" t="str">
        <f>IF($AY342="ja",(VLOOKUP($B342,'Egen hetvattenprod'!$B$1:$BX$550,MATCH(BD$2,'Egen hetvattenprod'!$B$1:$BX$1,0),FALSE)+VLOOKUP($B342,Kraftvärmeprod!$B$1:$BX$550,MATCH(BD$2,Kraftvärmeprod!$B$1:$BX$1,0),FALSE))/$AC342,"")</f>
        <v/>
      </c>
      <c r="BE342" s="227"/>
      <c r="BF342" s="227" t="str">
        <f t="shared" si="35"/>
        <v>Nej</v>
      </c>
      <c r="BG342" s="227" t="str">
        <f>IF($BF342="ja",VLOOKUP($B342,'Egen hetvattenprod'!$B$1:$BX$550,MATCH("Andelen klimatgaser med fossilt ursprung för avfall ()",'Egen hetvattenprod'!$B$1:$BX$1,0),FALSE),"")</f>
        <v/>
      </c>
      <c r="BH342" s="227" t="str">
        <f>IF($BF342="ja",VLOOKUP($B342,Kraftvärmeprod!$B$1:$BX$550,MATCH("Andelen klimatgaser med fossilt ursprung för avfall ()",Kraftvärmeprod!$B$1:$BX$1,0),FALSE),"")</f>
        <v/>
      </c>
      <c r="BI342" s="227" t="str">
        <f>IF($BF342="ja",VLOOKUP($B342,'Egen hetvattenprod'!$B$1:$BX$550,MATCH("Avfall (GWh)",'Egen hetvattenprod'!$B$1:$BX$1,0),FALSE),"")</f>
        <v/>
      </c>
      <c r="BJ342" s="227" t="str">
        <f>IF($BF342="ja",VLOOKUP($B342,'Slutlig allokering kvv'!$B$1:$BX$550,MATCH("Avfall (GWh)",'Slutlig allokering kvv'!$B$1:$BX$1,0),FALSE),"")</f>
        <v/>
      </c>
      <c r="BK342" s="227" t="str">
        <f>IF($BF342="ja",VLOOKUP($B342,'Köpt hetvatten'!$B$1:$BX$550,MATCH("Avfall i köpt hetvatten",'Köpt hetvatten'!$B$1:$BX$1,0),FALSE),"")</f>
        <v/>
      </c>
      <c r="BL342" s="227" t="str">
        <f>IF($BF342="ja",VLOOKUP($B342,'Egen hetvattenprod'!$B$1:$BX$550,MATCH("Värde enligt ovan. (%)",'Egen hetvattenprod'!$B$1:$BX$1,0),FALSE),"")</f>
        <v/>
      </c>
      <c r="BM342" s="227" t="str">
        <f>IF($BF342="ja",VLOOKUP($B342,Kraftvärmeprod!$B$1:$BX$550,MATCH("Värde enligt ovan. (%)",Kraftvärmeprod!$B$1:$BX$1,0),FALSE),"")</f>
        <v/>
      </c>
      <c r="BN342" s="227"/>
      <c r="BO342" s="227"/>
      <c r="BP342" s="227"/>
      <c r="BQ342" s="227" t="str">
        <f>IF($BF342="ja",VLOOKUP($B342,'Egen hetvattenprod'!$B$1:$BX$550,MATCH("Tillförd olja (fossil) vid avfallsförbränning (GWh)",'Egen hetvattenprod'!$B$1:$BX$1,0),FALSE),"")</f>
        <v/>
      </c>
      <c r="BR342" s="227" t="str">
        <f>IF($BF342="ja",VLOOKUP($B342,Kraftvärmeprod!$B$1:$BX$550,MATCH("Tillförd olja (fossil) vid avfallsförbränning (GWh)",Kraftvärmeprod!$B$1:$BX$1,0),FALSE),"")</f>
        <v/>
      </c>
      <c r="BS342" s="227"/>
      <c r="BT342" s="227"/>
      <c r="BU342" s="227"/>
    </row>
    <row r="343" spans="1:73" x14ac:dyDescent="0.25">
      <c r="A343" s="121" t="str">
        <f>'Miljövärden för publ företag'!B346</f>
        <v>Växjö Energi AB</v>
      </c>
      <c r="B343" s="121" t="str">
        <f>'Miljövärden för publ företag'!C346</f>
        <v>Växjö fjärrkyla</v>
      </c>
      <c r="C343" s="173">
        <f>IFERROR(VLOOKUP($B343,Totalt!$B$1:$AQ$554,MATCH(C$2,Totalt!$B$1:$AQ$1,0),FALSE),"")</f>
        <v>0</v>
      </c>
      <c r="D343" s="173">
        <f>IFERROR(VLOOKUP($B343,Totalt!$B$1:$AQ$554,MATCH(D$2,Totalt!$B$1:$AQ$1,0),FALSE),"")</f>
        <v>0</v>
      </c>
      <c r="E343" s="173">
        <f>IFERROR(VLOOKUP($B343,Totalt!$B$1:$AQ$554,MATCH(E$2,Totalt!$B$1:$AQ$1,0),FALSE),"")</f>
        <v>0</v>
      </c>
      <c r="F343" s="173">
        <f>IFERROR(VLOOKUP($B343,Totalt!$B$1:$AQ$554,MATCH(F$2,Totalt!$B$1:$AQ$1,0),FALSE),"")</f>
        <v>0</v>
      </c>
      <c r="G343" s="173">
        <f>IFERROR(VLOOKUP($B343,Totalt!$B$1:$AQ$554,MATCH(G$2,Totalt!$B$1:$AQ$1,0),FALSE),"")</f>
        <v>0</v>
      </c>
      <c r="H343" s="173">
        <f>IFERROR(VLOOKUP($B343,Totalt!$B$1:$AQ$554,MATCH(H$2,Totalt!$B$1:$AQ$1,0),FALSE),"")</f>
        <v>0</v>
      </c>
      <c r="I343" s="173">
        <f>IFERROR(VLOOKUP($B343,Totalt!$B$1:$AQ$554,MATCH(I$2,Totalt!$B$1:$AQ$1,0),FALSE),"")</f>
        <v>0</v>
      </c>
      <c r="J343" s="173">
        <f>IFERROR(VLOOKUP($B343,Totalt!$B$1:$AQ$554,MATCH(J$2,Totalt!$B$1:$AQ$1,0),FALSE),"")</f>
        <v>0</v>
      </c>
      <c r="K343" s="173">
        <f>IFERROR(VLOOKUP($B343,Totalt!$B$1:$AQ$554,MATCH(K$2,Totalt!$B$1:$AQ$1,0),FALSE),"")</f>
        <v>0</v>
      </c>
      <c r="L343" s="173">
        <f>IFERROR(VLOOKUP($B343,Totalt!$B$1:$AQ$554,MATCH(L$2,Totalt!$B$1:$AQ$1,0),FALSE),"")</f>
        <v>0</v>
      </c>
      <c r="M343" s="173">
        <f>IFERROR(VLOOKUP($B343,Totalt!$B$1:$AQ$554,MATCH(M$2,Totalt!$B$1:$AQ$1,0),FALSE),"")</f>
        <v>0</v>
      </c>
      <c r="N343" s="173">
        <f>IFERROR(VLOOKUP($B343,Totalt!$B$1:$AQ$554,MATCH(N$2,Totalt!$B$1:$AQ$1,0),FALSE),"")</f>
        <v>0</v>
      </c>
      <c r="O343" s="173">
        <f>IFERROR(VLOOKUP($B343,Totalt!$B$1:$AQ$554,MATCH(O$2,Totalt!$B$1:$AQ$1,0),FALSE),"")</f>
        <v>0</v>
      </c>
      <c r="P343" s="173">
        <f>IFERROR(VLOOKUP($B343,Totalt!$B$1:$AQ$554,MATCH(P$2,Totalt!$B$1:$AQ$1,0),FALSE),"")</f>
        <v>12.4</v>
      </c>
      <c r="Q343" s="173">
        <f>IFERROR(VLOOKUP($B343,Totalt!$B$1:$AQ$554,MATCH(Q$2,Totalt!$B$1:$AQ$1,0),FALSE),"")</f>
        <v>0</v>
      </c>
      <c r="R343" s="173">
        <f>IFERROR(VLOOKUP($B343,Totalt!$B$1:$AQ$554,MATCH(R$2,Totalt!$B$1:$AQ$1,0),FALSE),"")</f>
        <v>0</v>
      </c>
      <c r="S343" s="173">
        <f>IFERROR(VLOOKUP($B343,Totalt!$B$1:$AQ$554,MATCH(S$2,Totalt!$B$1:$AQ$1,0),FALSE),"")</f>
        <v>0</v>
      </c>
      <c r="T343" s="173">
        <f>IFERROR(VLOOKUP($B343,Totalt!$B$1:$AQ$554,MATCH(T$2,Totalt!$B$1:$AQ$1,0),FALSE),"")</f>
        <v>0</v>
      </c>
      <c r="U343" s="173">
        <f>IFERROR(VLOOKUP($B343,Totalt!$B$1:$AQ$554,MATCH(U$2,Totalt!$B$1:$AQ$1,0),FALSE),"")</f>
        <v>0</v>
      </c>
      <c r="V343" s="173">
        <f>IFERROR(VLOOKUP($B343,Totalt!$B$1:$AQ$554,MATCH(V$2,Totalt!$B$1:$AQ$1,0),FALSE),"")</f>
        <v>0</v>
      </c>
      <c r="W343" s="173">
        <f>IFERROR(VLOOKUP($B343,Totalt!$B$1:$AQ$554,MATCH(W$2,Totalt!$B$1:$AQ$1,0),FALSE),"")</f>
        <v>0</v>
      </c>
      <c r="X343" s="173">
        <f>IFERROR(VLOOKUP($B343,Totalt!$B$1:$AQ$554,MATCH(X$2,Totalt!$B$1:$AQ$1,0),FALSE),"")</f>
        <v>0</v>
      </c>
      <c r="Y343" s="173">
        <f>IFERROR(VLOOKUP($B343,Totalt!$B$1:$AQ$554,MATCH(Y$2,Totalt!$B$1:$AQ$1,0),FALSE),"")</f>
        <v>0</v>
      </c>
      <c r="Z343" s="173">
        <f>IFERROR(VLOOKUP($B343,Totalt!$B$1:$AQ$554,MATCH(Z$2,Totalt!$B$1:$AQ$1,0),FALSE),"")</f>
        <v>0</v>
      </c>
      <c r="AA343" s="173">
        <f>IFERROR(VLOOKUP($B343,Totalt!$B$1:$AQ$554,MATCH(AA$2,Totalt!$B$1:$AQ$1,0),FALSE),"")</f>
        <v>0</v>
      </c>
      <c r="AB343" s="173">
        <f>IFERROR(VLOOKUP($B343,Totalt!$B$1:$AQ$554,MATCH(AB$2,Totalt!$B$1:$AQ$1,0),FALSE),"")</f>
        <v>0</v>
      </c>
      <c r="AC343" s="173">
        <f>IFERROR(VLOOKUP($B343,Totalt!$B$1:$AQ$554,MATCH(AC$2,Totalt!$B$1:$AQ$1,0),FALSE),"")</f>
        <v>0</v>
      </c>
      <c r="AD343" s="173">
        <f>IFERROR(VLOOKUP($B343,Totalt!$B$1:$AQ$554,MATCH(AD$2,Totalt!$B$1:$AQ$1,0),FALSE),"")</f>
        <v>0</v>
      </c>
      <c r="AE343" s="173">
        <f>IFERROR(VLOOKUP($B343,Totalt!$B$1:$AQ$554,MATCH(AE$2,Totalt!$B$1:$AQ$1,0),FALSE),"")</f>
        <v>0</v>
      </c>
      <c r="AF343" s="173">
        <f>IFERROR(VLOOKUP($B343,Totalt!$B$1:$AQ$554,MATCH(AF$2,Totalt!$B$1:$AQ$1,0),FALSE),"")</f>
        <v>2.1</v>
      </c>
      <c r="AG343" s="173">
        <f>IFERROR(VLOOKUP($B343,Totalt!$B$1:$AQ$554,MATCH(AG$2,Totalt!$B$1:$AQ$1,0),FALSE),"")</f>
        <v>0</v>
      </c>
      <c r="AI343" s="226">
        <f t="shared" si="30"/>
        <v>14.5</v>
      </c>
      <c r="AJ343" s="226">
        <f>IF(ISERROR(1/VLOOKUP($B343,Leveranser!$B$1:$S$500,MATCH("såld värme (gwh)",Leveranser!$B$1:$S$1,0),FALSE)),"",VLOOKUP($B343,Leveranser!$B$1:$S$500,MATCH("såld värme (gwh)",Leveranser!$B$1:$S$1,0),FALSE))</f>
        <v>16.013000000000002</v>
      </c>
      <c r="AM343" s="227" t="str">
        <f>IF(B343&lt;&gt;"",IF(VLOOKUP($B343,Totalt!$B$1:$AQ$554,MATCH("Kvalitetsgranskad:",Totalt!$B$1:$AQ$1,0),FALSE)="ja",VLOOKUP($B343,Miljö!$B$1:$AG$479,MATCH(AM$2,Miljö!$B$1:$AK$1,0),FALSE),""),"")</f>
        <v>Ja</v>
      </c>
      <c r="AN343" s="227" t="str">
        <f>IF(AM343="ja",VLOOKUP($B343,Miljö!$B$1:$J$479,MATCH("Typ av ursprungsspecificerad el   (Om inget värde anges används Nordisk residualmix, se inforuta) ()",Miljö!$B$1:$J$1,0),FALSE),IF(AM343="nej","Nordisk residualel",""))</f>
        <v>'Bra miljöval'</v>
      </c>
      <c r="AO343" s="227">
        <f>IF(AM343="","",VLOOKUP($B343,Miljö!$B$1:$J$479,MATCH("Fossilandel för ursprungspecificerad el ()",Miljö!$B$1:$J$1,0),FALSE))</f>
        <v>0</v>
      </c>
      <c r="AP343" s="227">
        <f>IF(AM343="","",IFERROR(VLOOKUP($B343,Miljö!$B$1:$J$479,MATCH("Kärnkraftsandel för ursprungsspecificerad el ()",Miljö!$B$1:$J$1,0),FALSE)/1,0))</f>
        <v>0</v>
      </c>
      <c r="AQ343" s="227">
        <f t="shared" si="31"/>
        <v>1</v>
      </c>
      <c r="AR343" s="227"/>
      <c r="AS343" s="227" t="str">
        <f t="shared" si="32"/>
        <v>Nej</v>
      </c>
      <c r="AT343" s="227" t="str">
        <f>IF(AS343="ja",VLOOKUP($B343,Miljö!$B$1:$O$500,MATCH("Fossil andel i procent (%)",Miljö!$B$1:$O$1,0),FALSE)/100,"")</f>
        <v/>
      </c>
      <c r="AU343" s="227"/>
      <c r="AV343" s="227" t="str">
        <f t="shared" si="33"/>
        <v>Nej</v>
      </c>
      <c r="AW343" s="227" t="str">
        <f>IF(AV343="ja",VLOOKUP($B343,'Egen hetvattenprod'!$B$1:$AO$500,MATCH("Värmekälla till värmepumpar ()",'Egen hetvattenprod'!$B$1:$AO$1,0),FALSE),"")</f>
        <v/>
      </c>
      <c r="AX343" s="227"/>
      <c r="AY343" s="227" t="str">
        <f t="shared" si="34"/>
        <v>Nej</v>
      </c>
      <c r="AZ343" s="228" t="str">
        <f>IF($AY343="ja",(VLOOKUP($B343,'Egen hetvattenprod'!$B$1:$BX$550,MATCH(AZ$2,'Egen hetvattenprod'!$B$1:$BX$1,0),FALSE)+VLOOKUP($B343,Kraftvärmeprod!$B$1:$BX$550,MATCH(AZ$2,Kraftvärmeprod!$B$1:$BX$1,0),FALSE))/$AC343,"")</f>
        <v/>
      </c>
      <c r="BA343" s="228" t="str">
        <f>IF($AY343="ja",(VLOOKUP($B343,'Egen hetvattenprod'!$B$1:$BX$550,MATCH(BA$2,'Egen hetvattenprod'!$B$1:$BX$1,0),FALSE)+VLOOKUP($B343,Kraftvärmeprod!$B$1:$BX$550,MATCH(BA$2,Kraftvärmeprod!$B$1:$BX$1,0),FALSE))/$AC343,"")</f>
        <v/>
      </c>
      <c r="BB343" s="228" t="str">
        <f>IF($AY343="ja",(VLOOKUP($B343,'Egen hetvattenprod'!$B$1:$BX$550,MATCH(BB$2,'Egen hetvattenprod'!$B$1:$BX$1,0),FALSE)+VLOOKUP($B343,Kraftvärmeprod!$B$1:$BX$550,MATCH(BB$2,Kraftvärmeprod!$B$1:$BX$1,0),FALSE))/$AC343,"")</f>
        <v/>
      </c>
      <c r="BC343" s="228" t="str">
        <f>IF($AY343="ja",(VLOOKUP($B343,'Egen hetvattenprod'!$B$1:$BX$550,MATCH(BC$2,'Egen hetvattenprod'!$B$1:$BX$1,0),FALSE)+VLOOKUP($B343,Kraftvärmeprod!$B$1:$BX$550,MATCH(BC$2,Kraftvärmeprod!$B$1:$BX$1,0),FALSE))/$AC343,"")</f>
        <v/>
      </c>
      <c r="BD343" s="228" t="str">
        <f>IF($AY343="ja",(VLOOKUP($B343,'Egen hetvattenprod'!$B$1:$BX$550,MATCH(BD$2,'Egen hetvattenprod'!$B$1:$BX$1,0),FALSE)+VLOOKUP($B343,Kraftvärmeprod!$B$1:$BX$550,MATCH(BD$2,Kraftvärmeprod!$B$1:$BX$1,0),FALSE))/$AC343,"")</f>
        <v/>
      </c>
      <c r="BE343" s="227"/>
      <c r="BF343" s="227" t="str">
        <f t="shared" si="35"/>
        <v>Nej</v>
      </c>
      <c r="BG343" s="227" t="str">
        <f>IF($BF343="ja",VLOOKUP($B343,'Egen hetvattenprod'!$B$1:$BX$550,MATCH("Andelen klimatgaser med fossilt ursprung för avfall ()",'Egen hetvattenprod'!$B$1:$BX$1,0),FALSE),"")</f>
        <v/>
      </c>
      <c r="BH343" s="227" t="str">
        <f>IF($BF343="ja",VLOOKUP($B343,Kraftvärmeprod!$B$1:$BX$550,MATCH("Andelen klimatgaser med fossilt ursprung för avfall ()",Kraftvärmeprod!$B$1:$BX$1,0),FALSE),"")</f>
        <v/>
      </c>
      <c r="BI343" s="227" t="str">
        <f>IF($BF343="ja",VLOOKUP($B343,'Egen hetvattenprod'!$B$1:$BX$550,MATCH("Avfall (GWh)",'Egen hetvattenprod'!$B$1:$BX$1,0),FALSE),"")</f>
        <v/>
      </c>
      <c r="BJ343" s="227" t="str">
        <f>IF($BF343="ja",VLOOKUP($B343,'Slutlig allokering kvv'!$B$1:$BX$550,MATCH("Avfall (GWh)",'Slutlig allokering kvv'!$B$1:$BX$1,0),FALSE),"")</f>
        <v/>
      </c>
      <c r="BK343" s="227" t="str">
        <f>IF($BF343="ja",VLOOKUP($B343,'Köpt hetvatten'!$B$1:$BX$550,MATCH("Avfall i köpt hetvatten",'Köpt hetvatten'!$B$1:$BX$1,0),FALSE),"")</f>
        <v/>
      </c>
      <c r="BL343" s="227" t="str">
        <f>IF($BF343="ja",VLOOKUP($B343,'Egen hetvattenprod'!$B$1:$BX$550,MATCH("Värde enligt ovan. (%)",'Egen hetvattenprod'!$B$1:$BX$1,0),FALSE),"")</f>
        <v/>
      </c>
      <c r="BM343" s="227" t="str">
        <f>IF($BF343="ja",VLOOKUP($B343,Kraftvärmeprod!$B$1:$BX$550,MATCH("Värde enligt ovan. (%)",Kraftvärmeprod!$B$1:$BX$1,0),FALSE),"")</f>
        <v/>
      </c>
      <c r="BN343" s="227"/>
      <c r="BO343" s="227"/>
      <c r="BP343" s="227"/>
      <c r="BQ343" s="227" t="str">
        <f>IF($BF343="ja",VLOOKUP($B343,'Egen hetvattenprod'!$B$1:$BX$550,MATCH("Tillförd olja (fossil) vid avfallsförbränning (GWh)",'Egen hetvattenprod'!$B$1:$BX$1,0),FALSE),"")</f>
        <v/>
      </c>
      <c r="BR343" s="227" t="str">
        <f>IF($BF343="ja",VLOOKUP($B343,Kraftvärmeprod!$B$1:$BX$550,MATCH("Tillförd olja (fossil) vid avfallsförbränning (GWh)",Kraftvärmeprod!$B$1:$BX$1,0),FALSE),"")</f>
        <v/>
      </c>
      <c r="BS343" s="227"/>
      <c r="BT343" s="227"/>
      <c r="BU343" s="227"/>
    </row>
    <row r="344" spans="1:73" x14ac:dyDescent="0.25">
      <c r="A344" s="121" t="str">
        <f>'Miljövärden för publ företag'!B347</f>
        <v>Växjö Energi AB</v>
      </c>
      <c r="B344" s="121" t="str">
        <f>'Miljövärden för publ företag'!C347</f>
        <v>Växjö fjärrvärme</v>
      </c>
      <c r="C344" s="173">
        <f>IFERROR(VLOOKUP($B344,Totalt!$B$1:$AQ$554,MATCH(C$2,Totalt!$B$1:$AQ$1,0),FALSE),"")</f>
        <v>0</v>
      </c>
      <c r="D344" s="173">
        <f>IFERROR(VLOOKUP($B344,Totalt!$B$1:$AQ$554,MATCH(D$2,Totalt!$B$1:$AQ$1,0),FALSE),"")</f>
        <v>1.34968</v>
      </c>
      <c r="E344" s="173">
        <f>IFERROR(VLOOKUP($B344,Totalt!$B$1:$AQ$554,MATCH(E$2,Totalt!$B$1:$AQ$1,0),FALSE),"")</f>
        <v>0</v>
      </c>
      <c r="F344" s="173">
        <f>IFERROR(VLOOKUP($B344,Totalt!$B$1:$AQ$554,MATCH(F$2,Totalt!$B$1:$AQ$1,0),FALSE),"")</f>
        <v>0.5</v>
      </c>
      <c r="G344" s="173">
        <f>IFERROR(VLOOKUP($B344,Totalt!$B$1:$AQ$554,MATCH(G$2,Totalt!$B$1:$AQ$1,0),FALSE),"")</f>
        <v>0</v>
      </c>
      <c r="H344" s="173">
        <f>IFERROR(VLOOKUP($B344,Totalt!$B$1:$AQ$554,MATCH(H$2,Totalt!$B$1:$AQ$1,0),FALSE),"")</f>
        <v>0</v>
      </c>
      <c r="I344" s="173">
        <f>IFERROR(VLOOKUP($B344,Totalt!$B$1:$AQ$554,MATCH(I$2,Totalt!$B$1:$AQ$1,0),FALSE),"")</f>
        <v>0</v>
      </c>
      <c r="J344" s="173">
        <f>IFERROR(VLOOKUP($B344,Totalt!$B$1:$AQ$554,MATCH(J$2,Totalt!$B$1:$AQ$1,0),FALSE),"")</f>
        <v>0</v>
      </c>
      <c r="K344" s="173">
        <f>IFERROR(VLOOKUP($B344,Totalt!$B$1:$AQ$554,MATCH(K$2,Totalt!$B$1:$AQ$1,0),FALSE),"")</f>
        <v>0</v>
      </c>
      <c r="L344" s="173">
        <f>IFERROR(VLOOKUP($B344,Totalt!$B$1:$AQ$554,MATCH(L$2,Totalt!$B$1:$AQ$1,0),FALSE),"")</f>
        <v>27.262899999999998</v>
      </c>
      <c r="M344" s="173">
        <f>IFERROR(VLOOKUP($B344,Totalt!$B$1:$AQ$554,MATCH(M$2,Totalt!$B$1:$AQ$1,0),FALSE),"")</f>
        <v>50.283799999999999</v>
      </c>
      <c r="N344" s="173">
        <f>IFERROR(VLOOKUP($B344,Totalt!$B$1:$AQ$554,MATCH(N$2,Totalt!$B$1:$AQ$1,0),FALSE),"")</f>
        <v>228.33699999999999</v>
      </c>
      <c r="O344" s="173">
        <f>IFERROR(VLOOKUP($B344,Totalt!$B$1:$AQ$554,MATCH(O$2,Totalt!$B$1:$AQ$1,0),FALSE),"")</f>
        <v>54.764099999999999</v>
      </c>
      <c r="P344" s="173">
        <f>IFERROR(VLOOKUP($B344,Totalt!$B$1:$AQ$554,MATCH(P$2,Totalt!$B$1:$AQ$1,0),FALSE),"")</f>
        <v>43.010399999999997</v>
      </c>
      <c r="Q344" s="173">
        <f>IFERROR(VLOOKUP($B344,Totalt!$B$1:$AQ$554,MATCH(Q$2,Totalt!$B$1:$AQ$1,0),FALSE),"")</f>
        <v>0</v>
      </c>
      <c r="R344" s="173">
        <f>IFERROR(VLOOKUP($B344,Totalt!$B$1:$AQ$554,MATCH(R$2,Totalt!$B$1:$AQ$1,0),FALSE),"")</f>
        <v>0</v>
      </c>
      <c r="S344" s="173">
        <f>IFERROR(VLOOKUP($B344,Totalt!$B$1:$AQ$554,MATCH(S$2,Totalt!$B$1:$AQ$1,0),FALSE),"")</f>
        <v>0</v>
      </c>
      <c r="T344" s="173">
        <f>IFERROR(VLOOKUP($B344,Totalt!$B$1:$AQ$554,MATCH(T$2,Totalt!$B$1:$AQ$1,0),FALSE),"")</f>
        <v>0</v>
      </c>
      <c r="U344" s="173">
        <f>IFERROR(VLOOKUP($B344,Totalt!$B$1:$AQ$554,MATCH(U$2,Totalt!$B$1:$AQ$1,0),FALSE),"")</f>
        <v>0</v>
      </c>
      <c r="V344" s="173">
        <f>IFERROR(VLOOKUP($B344,Totalt!$B$1:$AQ$554,MATCH(V$2,Totalt!$B$1:$AQ$1,0),FALSE),"")</f>
        <v>0</v>
      </c>
      <c r="W344" s="173">
        <f>IFERROR(VLOOKUP($B344,Totalt!$B$1:$AQ$554,MATCH(W$2,Totalt!$B$1:$AQ$1,0),FALSE),"")</f>
        <v>4.3</v>
      </c>
      <c r="X344" s="173">
        <f>IFERROR(VLOOKUP($B344,Totalt!$B$1:$AQ$554,MATCH(X$2,Totalt!$B$1:$AQ$1,0),FALSE),"")</f>
        <v>0</v>
      </c>
      <c r="Y344" s="173">
        <f>IFERROR(VLOOKUP($B344,Totalt!$B$1:$AQ$554,MATCH(Y$2,Totalt!$B$1:$AQ$1,0),FALSE),"")</f>
        <v>30.272400000000001</v>
      </c>
      <c r="Z344" s="173">
        <f>IFERROR(VLOOKUP($B344,Totalt!$B$1:$AQ$554,MATCH(Z$2,Totalt!$B$1:$AQ$1,0),FALSE),"")</f>
        <v>0</v>
      </c>
      <c r="AA344" s="173">
        <f>IFERROR(VLOOKUP($B344,Totalt!$B$1:$AQ$554,MATCH(AA$2,Totalt!$B$1:$AQ$1,0),FALSE),"")</f>
        <v>0</v>
      </c>
      <c r="AB344" s="173">
        <f>IFERROR(VLOOKUP($B344,Totalt!$B$1:$AQ$554,MATCH(AB$2,Totalt!$B$1:$AQ$1,0),FALSE),"")</f>
        <v>0</v>
      </c>
      <c r="AC344" s="173">
        <f>IFERROR(VLOOKUP($B344,Totalt!$B$1:$AQ$554,MATCH(AC$2,Totalt!$B$1:$AQ$1,0),FALSE),"")</f>
        <v>66.599999999999994</v>
      </c>
      <c r="AD344" s="173">
        <f>IFERROR(VLOOKUP($B344,Totalt!$B$1:$AQ$554,MATCH(AD$2,Totalt!$B$1:$AQ$1,0),FALSE),"")</f>
        <v>0.5</v>
      </c>
      <c r="AE344" s="173">
        <f>IFERROR(VLOOKUP($B344,Totalt!$B$1:$AQ$554,MATCH(AE$2,Totalt!$B$1:$AQ$1,0),FALSE),"")</f>
        <v>0</v>
      </c>
      <c r="AF344" s="173">
        <f>IFERROR(VLOOKUP($B344,Totalt!$B$1:$AQ$554,MATCH(AF$2,Totalt!$B$1:$AQ$1,0),FALSE),"")</f>
        <v>14.4039</v>
      </c>
      <c r="AG344" s="173">
        <f>IFERROR(VLOOKUP($B344,Totalt!$B$1:$AQ$554,MATCH(AG$2,Totalt!$B$1:$AQ$1,0),FALSE),"")</f>
        <v>0</v>
      </c>
      <c r="AI344" s="226">
        <f t="shared" si="30"/>
        <v>521.58418000000006</v>
      </c>
      <c r="AJ344" s="226">
        <f>IF(ISERROR(1/VLOOKUP($B344,Leveranser!$B$1:$S$500,MATCH("såld värme (gwh)",Leveranser!$B$1:$S$1,0),FALSE)),"",VLOOKUP($B344,Leveranser!$B$1:$S$500,MATCH("såld värme (gwh)",Leveranser!$B$1:$S$1,0),FALSE))</f>
        <v>534.84799999999996</v>
      </c>
      <c r="AM344" s="227" t="str">
        <f>IF(B344&lt;&gt;"",IF(VLOOKUP($B344,Totalt!$B$1:$AQ$554,MATCH("Kvalitetsgranskad:",Totalt!$B$1:$AQ$1,0),FALSE)="ja",VLOOKUP($B344,Miljö!$B$1:$AG$479,MATCH(AM$2,Miljö!$B$1:$AK$1,0),FALSE),""),"")</f>
        <v>Ja</v>
      </c>
      <c r="AN344" s="227" t="str">
        <f>IF(AM344="ja",VLOOKUP($B344,Miljö!$B$1:$J$479,MATCH("Typ av ursprungsspecificerad el   (Om inget värde anges används Nordisk residualmix, se inforuta) ()",Miljö!$B$1:$J$1,0),FALSE),IF(AM344="nej","Nordisk residualel",""))</f>
        <v>'Förnybar el'</v>
      </c>
      <c r="AO344" s="227">
        <f>IF(AM344="","",VLOOKUP($B344,Miljö!$B$1:$J$479,MATCH("Fossilandel för ursprungspecificerad el ()",Miljö!$B$1:$J$1,0),FALSE))</f>
        <v>0</v>
      </c>
      <c r="AP344" s="227">
        <f>IF(AM344="","",IFERROR(VLOOKUP($B344,Miljö!$B$1:$J$479,MATCH("Kärnkraftsandel för ursprungsspecificerad el ()",Miljö!$B$1:$J$1,0),FALSE)/1,0))</f>
        <v>0</v>
      </c>
      <c r="AQ344" s="227">
        <f t="shared" si="31"/>
        <v>1</v>
      </c>
      <c r="AR344" s="227"/>
      <c r="AS344" s="227" t="str">
        <f t="shared" si="32"/>
        <v>Nej</v>
      </c>
      <c r="AT344" s="227" t="str">
        <f>IF(AS344="ja",VLOOKUP($B344,Miljö!$B$1:$O$500,MATCH("Fossil andel i procent (%)",Miljö!$B$1:$O$1,0),FALSE)/100,"")</f>
        <v/>
      </c>
      <c r="AU344" s="227"/>
      <c r="AV344" s="227" t="str">
        <f t="shared" si="33"/>
        <v>Nej</v>
      </c>
      <c r="AW344" s="227" t="str">
        <f>IF(AV344="ja",VLOOKUP($B344,'Egen hetvattenprod'!$B$1:$AO$500,MATCH("Värmekälla till värmepumpar ()",'Egen hetvattenprod'!$B$1:$AO$1,0),FALSE),"")</f>
        <v/>
      </c>
      <c r="AX344" s="227"/>
      <c r="AY344" s="227" t="str">
        <f t="shared" si="34"/>
        <v>Ja</v>
      </c>
      <c r="AZ344" s="228">
        <f>IF($AY344="ja",(VLOOKUP($B344,'Egen hetvattenprod'!$B$1:$BX$550,MATCH(AZ$2,'Egen hetvattenprod'!$B$1:$BX$1,0),FALSE)+VLOOKUP($B344,Kraftvärmeprod!$B$1:$BX$550,MATCH(AZ$2,Kraftvärmeprod!$B$1:$BX$1,0),FALSE))/$AC344,"")</f>
        <v>0.90465465465465478</v>
      </c>
      <c r="BA344" s="228">
        <f>IF($AY344="ja",(VLOOKUP($B344,'Egen hetvattenprod'!$B$1:$BX$550,MATCH(BA$2,'Egen hetvattenprod'!$B$1:$BX$1,0),FALSE)+VLOOKUP($B344,Kraftvärmeprod!$B$1:$BX$550,MATCH(BA$2,Kraftvärmeprod!$B$1:$BX$1,0),FALSE))/$AC344,"")</f>
        <v>0</v>
      </c>
      <c r="BB344" s="228">
        <f>IF($AY344="ja",(VLOOKUP($B344,'Egen hetvattenprod'!$B$1:$BX$550,MATCH(BB$2,'Egen hetvattenprod'!$B$1:$BX$1,0),FALSE)+VLOOKUP($B344,Kraftvärmeprod!$B$1:$BX$550,MATCH(BB$2,Kraftvärmeprod!$B$1:$BX$1,0),FALSE))/$AC344,"")</f>
        <v>0</v>
      </c>
      <c r="BC344" s="228">
        <f>IF($AY344="ja",(VLOOKUP($B344,'Egen hetvattenprod'!$B$1:$BX$550,MATCH(BC$2,'Egen hetvattenprod'!$B$1:$BX$1,0),FALSE)+VLOOKUP($B344,Kraftvärmeprod!$B$1:$BX$550,MATCH(BC$2,Kraftvärmeprod!$B$1:$BX$1,0),FALSE))/$AC344,"")</f>
        <v>9.5345345345345361E-2</v>
      </c>
      <c r="BD344" s="228">
        <f>IF($AY344="ja",(VLOOKUP($B344,'Egen hetvattenprod'!$B$1:$BX$550,MATCH(BD$2,'Egen hetvattenprod'!$B$1:$BX$1,0),FALSE)+VLOOKUP($B344,Kraftvärmeprod!$B$1:$BX$550,MATCH(BD$2,Kraftvärmeprod!$B$1:$BX$1,0),FALSE))/$AC344,"")</f>
        <v>0</v>
      </c>
      <c r="BE344" s="227"/>
      <c r="BF344" s="227" t="str">
        <f t="shared" si="35"/>
        <v>Nej</v>
      </c>
      <c r="BG344" s="227" t="str">
        <f>IF($BF344="ja",VLOOKUP($B344,'Egen hetvattenprod'!$B$1:$BX$550,MATCH("Andelen klimatgaser med fossilt ursprung för avfall ()",'Egen hetvattenprod'!$B$1:$BX$1,0),FALSE),"")</f>
        <v/>
      </c>
      <c r="BH344" s="227" t="str">
        <f>IF($BF344="ja",VLOOKUP($B344,Kraftvärmeprod!$B$1:$BX$550,MATCH("Andelen klimatgaser med fossilt ursprung för avfall ()",Kraftvärmeprod!$B$1:$BX$1,0),FALSE),"")</f>
        <v/>
      </c>
      <c r="BI344" s="227" t="str">
        <f>IF($BF344="ja",VLOOKUP($B344,'Egen hetvattenprod'!$B$1:$BX$550,MATCH("Avfall (GWh)",'Egen hetvattenprod'!$B$1:$BX$1,0),FALSE),"")</f>
        <v/>
      </c>
      <c r="BJ344" s="227" t="str">
        <f>IF($BF344="ja",VLOOKUP($B344,'Slutlig allokering kvv'!$B$1:$BX$550,MATCH("Avfall (GWh)",'Slutlig allokering kvv'!$B$1:$BX$1,0),FALSE),"")</f>
        <v/>
      </c>
      <c r="BK344" s="227" t="str">
        <f>IF($BF344="ja",VLOOKUP($B344,'Köpt hetvatten'!$B$1:$BX$550,MATCH("Avfall i köpt hetvatten",'Köpt hetvatten'!$B$1:$BX$1,0),FALSE),"")</f>
        <v/>
      </c>
      <c r="BL344" s="227" t="str">
        <f>IF($BF344="ja",VLOOKUP($B344,'Egen hetvattenprod'!$B$1:$BX$550,MATCH("Värde enligt ovan. (%)",'Egen hetvattenprod'!$B$1:$BX$1,0),FALSE),"")</f>
        <v/>
      </c>
      <c r="BM344" s="227" t="str">
        <f>IF($BF344="ja",VLOOKUP($B344,Kraftvärmeprod!$B$1:$BX$550,MATCH("Värde enligt ovan. (%)",Kraftvärmeprod!$B$1:$BX$1,0),FALSE),"")</f>
        <v/>
      </c>
      <c r="BN344" s="227"/>
      <c r="BO344" s="227"/>
      <c r="BP344" s="227"/>
      <c r="BQ344" s="227" t="str">
        <f>IF($BF344="ja",VLOOKUP($B344,'Egen hetvattenprod'!$B$1:$BX$550,MATCH("Tillförd olja (fossil) vid avfallsförbränning (GWh)",'Egen hetvattenprod'!$B$1:$BX$1,0),FALSE),"")</f>
        <v/>
      </c>
      <c r="BR344" s="227" t="str">
        <f>IF($BF344="ja",VLOOKUP($B344,Kraftvärmeprod!$B$1:$BX$550,MATCH("Tillförd olja (fossil) vid avfallsförbränning (GWh)",Kraftvärmeprod!$B$1:$BX$1,0),FALSE),"")</f>
        <v/>
      </c>
      <c r="BS344" s="227"/>
      <c r="BT344" s="227"/>
      <c r="BU344" s="227"/>
    </row>
    <row r="345" spans="1:73" x14ac:dyDescent="0.25">
      <c r="A345" s="121" t="str">
        <f>'Miljövärden för publ företag'!B348</f>
        <v>Ystad Energi AB</v>
      </c>
      <c r="B345" s="121" t="str">
        <f>'Miljövärden för publ företag'!C348</f>
        <v>Ystad</v>
      </c>
      <c r="C345" s="173">
        <f>IFERROR(VLOOKUP($B345,Totalt!$B$1:$AQ$554,MATCH(C$2,Totalt!$B$1:$AQ$1,0),FALSE),"")</f>
        <v>0</v>
      </c>
      <c r="D345" s="173">
        <f>IFERROR(VLOOKUP($B345,Totalt!$B$1:$AQ$554,MATCH(D$2,Totalt!$B$1:$AQ$1,0),FALSE),"")</f>
        <v>10.287000000000001</v>
      </c>
      <c r="E345" s="173">
        <f>IFERROR(VLOOKUP($B345,Totalt!$B$1:$AQ$554,MATCH(E$2,Totalt!$B$1:$AQ$1,0),FALSE),"")</f>
        <v>0</v>
      </c>
      <c r="F345" s="173">
        <f>IFERROR(VLOOKUP($B345,Totalt!$B$1:$AQ$554,MATCH(F$2,Totalt!$B$1:$AQ$1,0),FALSE),"")</f>
        <v>0</v>
      </c>
      <c r="G345" s="173">
        <f>IFERROR(VLOOKUP($B345,Totalt!$B$1:$AQ$554,MATCH(G$2,Totalt!$B$1:$AQ$1,0),FALSE),"")</f>
        <v>0</v>
      </c>
      <c r="H345" s="173">
        <f>IFERROR(VLOOKUP($B345,Totalt!$B$1:$AQ$554,MATCH(H$2,Totalt!$B$1:$AQ$1,0),FALSE),"")</f>
        <v>0</v>
      </c>
      <c r="I345" s="173">
        <f>IFERROR(VLOOKUP($B345,Totalt!$B$1:$AQ$554,MATCH(I$2,Totalt!$B$1:$AQ$1,0),FALSE),"")</f>
        <v>0</v>
      </c>
      <c r="J345" s="173">
        <f>IFERROR(VLOOKUP($B345,Totalt!$B$1:$AQ$554,MATCH(J$2,Totalt!$B$1:$AQ$1,0),FALSE),"")</f>
        <v>3.746</v>
      </c>
      <c r="K345" s="173">
        <f>IFERROR(VLOOKUP($B345,Totalt!$B$1:$AQ$554,MATCH(K$2,Totalt!$B$1:$AQ$1,0),FALSE),"")</f>
        <v>0</v>
      </c>
      <c r="L345" s="173">
        <f>IFERROR(VLOOKUP($B345,Totalt!$B$1:$AQ$554,MATCH(L$2,Totalt!$B$1:$AQ$1,0),FALSE),"")</f>
        <v>20.693999999999999</v>
      </c>
      <c r="M345" s="173">
        <f>IFERROR(VLOOKUP($B345,Totalt!$B$1:$AQ$554,MATCH(M$2,Totalt!$B$1:$AQ$1,0),FALSE),"")</f>
        <v>11.917</v>
      </c>
      <c r="N345" s="173">
        <f>IFERROR(VLOOKUP($B345,Totalt!$B$1:$AQ$554,MATCH(N$2,Totalt!$B$1:$AQ$1,0),FALSE),"")</f>
        <v>81.489999999999995</v>
      </c>
      <c r="O345" s="173">
        <f>IFERROR(VLOOKUP($B345,Totalt!$B$1:$AQ$554,MATCH(O$2,Totalt!$B$1:$AQ$1,0),FALSE),"")</f>
        <v>5.57</v>
      </c>
      <c r="P345" s="173">
        <f>IFERROR(VLOOKUP($B345,Totalt!$B$1:$AQ$554,MATCH(P$2,Totalt!$B$1:$AQ$1,0),FALSE),"")</f>
        <v>0.64800000000000002</v>
      </c>
      <c r="Q345" s="173">
        <f>IFERROR(VLOOKUP($B345,Totalt!$B$1:$AQ$554,MATCH(Q$2,Totalt!$B$1:$AQ$1,0),FALSE),"")</f>
        <v>6.6743300000000003</v>
      </c>
      <c r="R345" s="173">
        <f>IFERROR(VLOOKUP($B345,Totalt!$B$1:$AQ$554,MATCH(R$2,Totalt!$B$1:$AQ$1,0),FALSE),"")</f>
        <v>14.532</v>
      </c>
      <c r="S345" s="173">
        <f>IFERROR(VLOOKUP($B345,Totalt!$B$1:$AQ$554,MATCH(S$2,Totalt!$B$1:$AQ$1,0),FALSE),"")</f>
        <v>0.76500000000000001</v>
      </c>
      <c r="T345" s="173">
        <f>IFERROR(VLOOKUP($B345,Totalt!$B$1:$AQ$554,MATCH(T$2,Totalt!$B$1:$AQ$1,0),FALSE),"")</f>
        <v>0</v>
      </c>
      <c r="U345" s="173">
        <f>IFERROR(VLOOKUP($B345,Totalt!$B$1:$AQ$554,MATCH(U$2,Totalt!$B$1:$AQ$1,0),FALSE),"")</f>
        <v>0</v>
      </c>
      <c r="V345" s="173">
        <f>IFERROR(VLOOKUP($B345,Totalt!$B$1:$AQ$554,MATCH(V$2,Totalt!$B$1:$AQ$1,0),FALSE),"")</f>
        <v>0</v>
      </c>
      <c r="W345" s="173">
        <f>IFERROR(VLOOKUP($B345,Totalt!$B$1:$AQ$554,MATCH(W$2,Totalt!$B$1:$AQ$1,0),FALSE),"")</f>
        <v>9.5389999999999997</v>
      </c>
      <c r="X345" s="173">
        <f>IFERROR(VLOOKUP($B345,Totalt!$B$1:$AQ$554,MATCH(X$2,Totalt!$B$1:$AQ$1,0),FALSE),"")</f>
        <v>0</v>
      </c>
      <c r="Y345" s="173">
        <f>IFERROR(VLOOKUP($B345,Totalt!$B$1:$AQ$554,MATCH(Y$2,Totalt!$B$1:$AQ$1,0),FALSE),"")</f>
        <v>0</v>
      </c>
      <c r="Z345" s="173">
        <f>IFERROR(VLOOKUP($B345,Totalt!$B$1:$AQ$554,MATCH(Z$2,Totalt!$B$1:$AQ$1,0),FALSE),"")</f>
        <v>0</v>
      </c>
      <c r="AA345" s="173">
        <f>IFERROR(VLOOKUP($B345,Totalt!$B$1:$AQ$554,MATCH(AA$2,Totalt!$B$1:$AQ$1,0),FALSE),"")</f>
        <v>0</v>
      </c>
      <c r="AB345" s="173">
        <f>IFERROR(VLOOKUP($B345,Totalt!$B$1:$AQ$554,MATCH(AB$2,Totalt!$B$1:$AQ$1,0),FALSE),"")</f>
        <v>0</v>
      </c>
      <c r="AC345" s="173">
        <f>IFERROR(VLOOKUP($B345,Totalt!$B$1:$AQ$554,MATCH(AC$2,Totalt!$B$1:$AQ$1,0),FALSE),"")</f>
        <v>19.948</v>
      </c>
      <c r="AD345" s="173">
        <f>IFERROR(VLOOKUP($B345,Totalt!$B$1:$AQ$554,MATCH(AD$2,Totalt!$B$1:$AQ$1,0),FALSE),"")</f>
        <v>0</v>
      </c>
      <c r="AE345" s="173">
        <f>IFERROR(VLOOKUP($B345,Totalt!$B$1:$AQ$554,MATCH(AE$2,Totalt!$B$1:$AQ$1,0),FALSE),"")</f>
        <v>0</v>
      </c>
      <c r="AF345" s="173">
        <f>IFERROR(VLOOKUP($B345,Totalt!$B$1:$AQ$554,MATCH(AF$2,Totalt!$B$1:$AQ$1,0),FALSE),"")</f>
        <v>3.6030000000000002</v>
      </c>
      <c r="AG345" s="173">
        <f>IFERROR(VLOOKUP($B345,Totalt!$B$1:$AQ$554,MATCH(AG$2,Totalt!$B$1:$AQ$1,0),FALSE),"")</f>
        <v>0</v>
      </c>
      <c r="AI345" s="226">
        <f t="shared" si="30"/>
        <v>189.41333</v>
      </c>
      <c r="AJ345" s="226">
        <f>IF(ISERROR(1/VLOOKUP($B345,Leveranser!$B$1:$S$500,MATCH("såld värme (gwh)",Leveranser!$B$1:$S$1,0),FALSE)),"",VLOOKUP($B345,Leveranser!$B$1:$S$500,MATCH("såld värme (gwh)",Leveranser!$B$1:$S$1,0),FALSE))</f>
        <v>133.149</v>
      </c>
      <c r="AM345" s="227" t="str">
        <f>IF(B345&lt;&gt;"",IF(VLOOKUP($B345,Totalt!$B$1:$AQ$554,MATCH("Kvalitetsgranskad:",Totalt!$B$1:$AQ$1,0),FALSE)="ja",VLOOKUP($B345,Miljö!$B$1:$AG$479,MATCH(AM$2,Miljö!$B$1:$AK$1,0),FALSE),""),"")</f>
        <v>Ja</v>
      </c>
      <c r="AN345" s="227" t="str">
        <f>IF(AM345="ja",VLOOKUP($B345,Miljö!$B$1:$J$479,MATCH("Typ av ursprungsspecificerad el   (Om inget värde anges används Nordisk residualmix, se inforuta) ()",Miljö!$B$1:$J$1,0),FALSE),IF(AM345="nej","Nordisk residualel",""))</f>
        <v>'Bra miljöval'</v>
      </c>
      <c r="AO345" s="227">
        <f>IF(AM345="","",VLOOKUP($B345,Miljö!$B$1:$J$479,MATCH("Fossilandel för ursprungspecificerad el ()",Miljö!$B$1:$J$1,0),FALSE))</f>
        <v>0</v>
      </c>
      <c r="AP345" s="227">
        <f>IF(AM345="","",IFERROR(VLOOKUP($B345,Miljö!$B$1:$J$479,MATCH("Kärnkraftsandel för ursprungsspecificerad el ()",Miljö!$B$1:$J$1,0),FALSE)/1,0))</f>
        <v>0</v>
      </c>
      <c r="AQ345" s="227">
        <f t="shared" si="31"/>
        <v>1</v>
      </c>
      <c r="AR345" s="227"/>
      <c r="AS345" s="227" t="str">
        <f t="shared" si="32"/>
        <v>Nej</v>
      </c>
      <c r="AT345" s="227" t="str">
        <f>IF(AS345="ja",VLOOKUP($B345,Miljö!$B$1:$O$500,MATCH("Fossil andel i procent (%)",Miljö!$B$1:$O$1,0),FALSE)/100,"")</f>
        <v/>
      </c>
      <c r="AU345" s="227"/>
      <c r="AV345" s="227" t="str">
        <f t="shared" si="33"/>
        <v>Nej</v>
      </c>
      <c r="AW345" s="227" t="str">
        <f>IF(AV345="ja",VLOOKUP($B345,'Egen hetvattenprod'!$B$1:$AO$500,MATCH("Värmekälla till värmepumpar ()",'Egen hetvattenprod'!$B$1:$AO$1,0),FALSE),"")</f>
        <v/>
      </c>
      <c r="AX345" s="227"/>
      <c r="AY345" s="227" t="str">
        <f t="shared" si="34"/>
        <v>Ja</v>
      </c>
      <c r="AZ345" s="228">
        <f>IF($AY345="ja",(VLOOKUP($B345,'Egen hetvattenprod'!$B$1:$BX$550,MATCH(AZ$2,'Egen hetvattenprod'!$B$1:$BX$1,0),FALSE)+VLOOKUP($B345,Kraftvärmeprod!$B$1:$BX$550,MATCH(AZ$2,Kraftvärmeprod!$B$1:$BX$1,0),FALSE))/$AC345,"")</f>
        <v>1</v>
      </c>
      <c r="BA345" s="228">
        <f>IF($AY345="ja",(VLOOKUP($B345,'Egen hetvattenprod'!$B$1:$BX$550,MATCH(BA$2,'Egen hetvattenprod'!$B$1:$BX$1,0),FALSE)+VLOOKUP($B345,Kraftvärmeprod!$B$1:$BX$550,MATCH(BA$2,Kraftvärmeprod!$B$1:$BX$1,0),FALSE))/$AC345,"")</f>
        <v>0</v>
      </c>
      <c r="BB345" s="228">
        <f>IF($AY345="ja",(VLOOKUP($B345,'Egen hetvattenprod'!$B$1:$BX$550,MATCH(BB$2,'Egen hetvattenprod'!$B$1:$BX$1,0),FALSE)+VLOOKUP($B345,Kraftvärmeprod!$B$1:$BX$550,MATCH(BB$2,Kraftvärmeprod!$B$1:$BX$1,0),FALSE))/$AC345,"")</f>
        <v>0</v>
      </c>
      <c r="BC345" s="228">
        <f>IF($AY345="ja",(VLOOKUP($B345,'Egen hetvattenprod'!$B$1:$BX$550,MATCH(BC$2,'Egen hetvattenprod'!$B$1:$BX$1,0),FALSE)+VLOOKUP($B345,Kraftvärmeprod!$B$1:$BX$550,MATCH(BC$2,Kraftvärmeprod!$B$1:$BX$1,0),FALSE))/$AC345,"")</f>
        <v>0</v>
      </c>
      <c r="BD345" s="228">
        <f>IF($AY345="ja",(VLOOKUP($B345,'Egen hetvattenprod'!$B$1:$BX$550,MATCH(BD$2,'Egen hetvattenprod'!$B$1:$BX$1,0),FALSE)+VLOOKUP($B345,Kraftvärmeprod!$B$1:$BX$550,MATCH(BD$2,Kraftvärmeprod!$B$1:$BX$1,0),FALSE))/$AC345,"")</f>
        <v>0</v>
      </c>
      <c r="BE345" s="227"/>
      <c r="BF345" s="227" t="str">
        <f t="shared" si="35"/>
        <v>Nej</v>
      </c>
      <c r="BG345" s="227" t="str">
        <f>IF($BF345="ja",VLOOKUP($B345,'Egen hetvattenprod'!$B$1:$BX$550,MATCH("Andelen klimatgaser med fossilt ursprung för avfall ()",'Egen hetvattenprod'!$B$1:$BX$1,0),FALSE),"")</f>
        <v/>
      </c>
      <c r="BH345" s="227" t="str">
        <f>IF($BF345="ja",VLOOKUP($B345,Kraftvärmeprod!$B$1:$BX$550,MATCH("Andelen klimatgaser med fossilt ursprung för avfall ()",Kraftvärmeprod!$B$1:$BX$1,0),FALSE),"")</f>
        <v/>
      </c>
      <c r="BI345" s="227" t="str">
        <f>IF($BF345="ja",VLOOKUP($B345,'Egen hetvattenprod'!$B$1:$BX$550,MATCH("Avfall (GWh)",'Egen hetvattenprod'!$B$1:$BX$1,0),FALSE),"")</f>
        <v/>
      </c>
      <c r="BJ345" s="227" t="str">
        <f>IF($BF345="ja",VLOOKUP($B345,'Slutlig allokering kvv'!$B$1:$BX$550,MATCH("Avfall (GWh)",'Slutlig allokering kvv'!$B$1:$BX$1,0),FALSE),"")</f>
        <v/>
      </c>
      <c r="BK345" s="227" t="str">
        <f>IF($BF345="ja",VLOOKUP($B345,'Köpt hetvatten'!$B$1:$BX$550,MATCH("Avfall i köpt hetvatten",'Köpt hetvatten'!$B$1:$BX$1,0),FALSE),"")</f>
        <v/>
      </c>
      <c r="BL345" s="227" t="str">
        <f>IF($BF345="ja",VLOOKUP($B345,'Egen hetvattenprod'!$B$1:$BX$550,MATCH("Värde enligt ovan. (%)",'Egen hetvattenprod'!$B$1:$BX$1,0),FALSE),"")</f>
        <v/>
      </c>
      <c r="BM345" s="227" t="str">
        <f>IF($BF345="ja",VLOOKUP($B345,Kraftvärmeprod!$B$1:$BX$550,MATCH("Värde enligt ovan. (%)",Kraftvärmeprod!$B$1:$BX$1,0),FALSE),"")</f>
        <v/>
      </c>
      <c r="BN345" s="227"/>
      <c r="BO345" s="227"/>
      <c r="BP345" s="227"/>
      <c r="BQ345" s="227" t="str">
        <f>IF($BF345="ja",VLOOKUP($B345,'Egen hetvattenprod'!$B$1:$BX$550,MATCH("Tillförd olja (fossil) vid avfallsförbränning (GWh)",'Egen hetvattenprod'!$B$1:$BX$1,0),FALSE),"")</f>
        <v/>
      </c>
      <c r="BR345" s="227" t="str">
        <f>IF($BF345="ja",VLOOKUP($B345,Kraftvärmeprod!$B$1:$BX$550,MATCH("Tillförd olja (fossil) vid avfallsförbränning (GWh)",Kraftvärmeprod!$B$1:$BX$1,0),FALSE),"")</f>
        <v/>
      </c>
      <c r="BS345" s="227"/>
      <c r="BT345" s="227"/>
      <c r="BU345" s="227"/>
    </row>
    <row r="346" spans="1:73" x14ac:dyDescent="0.25">
      <c r="A346" s="121" t="str">
        <f>'Miljövärden för publ företag'!B349</f>
        <v>Ånge Energi AB</v>
      </c>
      <c r="B346" s="121" t="str">
        <f>'Miljövärden för publ företag'!C349</f>
        <v>Fränsta</v>
      </c>
      <c r="C346" s="173">
        <f>IFERROR(VLOOKUP($B346,Totalt!$B$1:$AQ$554,MATCH(C$2,Totalt!$B$1:$AQ$1,0),FALSE),"")</f>
        <v>0</v>
      </c>
      <c r="D346" s="173">
        <f>IFERROR(VLOOKUP($B346,Totalt!$B$1:$AQ$554,MATCH(D$2,Totalt!$B$1:$AQ$1,0),FALSE),"")</f>
        <v>0.32</v>
      </c>
      <c r="E346" s="173">
        <f>IFERROR(VLOOKUP($B346,Totalt!$B$1:$AQ$554,MATCH(E$2,Totalt!$B$1:$AQ$1,0),FALSE),"")</f>
        <v>0</v>
      </c>
      <c r="F346" s="173">
        <f>IFERROR(VLOOKUP($B346,Totalt!$B$1:$AQ$554,MATCH(F$2,Totalt!$B$1:$AQ$1,0),FALSE),"")</f>
        <v>0</v>
      </c>
      <c r="G346" s="173">
        <f>IFERROR(VLOOKUP($B346,Totalt!$B$1:$AQ$554,MATCH(G$2,Totalt!$B$1:$AQ$1,0),FALSE),"")</f>
        <v>0</v>
      </c>
      <c r="H346" s="173">
        <f>IFERROR(VLOOKUP($B346,Totalt!$B$1:$AQ$554,MATCH(H$2,Totalt!$B$1:$AQ$1,0),FALSE),"")</f>
        <v>0</v>
      </c>
      <c r="I346" s="173">
        <f>IFERROR(VLOOKUP($B346,Totalt!$B$1:$AQ$554,MATCH(I$2,Totalt!$B$1:$AQ$1,0),FALSE),"")</f>
        <v>0</v>
      </c>
      <c r="J346" s="173">
        <f>IFERROR(VLOOKUP($B346,Totalt!$B$1:$AQ$554,MATCH(J$2,Totalt!$B$1:$AQ$1,0),FALSE),"")</f>
        <v>0</v>
      </c>
      <c r="K346" s="173">
        <f>IFERROR(VLOOKUP($B346,Totalt!$B$1:$AQ$554,MATCH(K$2,Totalt!$B$1:$AQ$1,0),FALSE),"")</f>
        <v>0</v>
      </c>
      <c r="L346" s="173">
        <f>IFERROR(VLOOKUP($B346,Totalt!$B$1:$AQ$554,MATCH(L$2,Totalt!$B$1:$AQ$1,0),FALSE),"")</f>
        <v>0</v>
      </c>
      <c r="M346" s="173">
        <f>IFERROR(VLOOKUP($B346,Totalt!$B$1:$AQ$554,MATCH(M$2,Totalt!$B$1:$AQ$1,0),FALSE),"")</f>
        <v>0</v>
      </c>
      <c r="N346" s="173">
        <f>IFERROR(VLOOKUP($B346,Totalt!$B$1:$AQ$554,MATCH(N$2,Totalt!$B$1:$AQ$1,0),FALSE),"")</f>
        <v>0</v>
      </c>
      <c r="O346" s="173">
        <f>IFERROR(VLOOKUP($B346,Totalt!$B$1:$AQ$554,MATCH(O$2,Totalt!$B$1:$AQ$1,0),FALSE),"")</f>
        <v>0</v>
      </c>
      <c r="P346" s="173">
        <f>IFERROR(VLOOKUP($B346,Totalt!$B$1:$AQ$554,MATCH(P$2,Totalt!$B$1:$AQ$1,0),FALSE),"")</f>
        <v>0</v>
      </c>
      <c r="Q346" s="173">
        <f>IFERROR(VLOOKUP($B346,Totalt!$B$1:$AQ$554,MATCH(Q$2,Totalt!$B$1:$AQ$1,0),FALSE),"")</f>
        <v>0</v>
      </c>
      <c r="R346" s="173">
        <f>IFERROR(VLOOKUP($B346,Totalt!$B$1:$AQ$554,MATCH(R$2,Totalt!$B$1:$AQ$1,0),FALSE),"")</f>
        <v>8.01</v>
      </c>
      <c r="S346" s="173">
        <f>IFERROR(VLOOKUP($B346,Totalt!$B$1:$AQ$554,MATCH(S$2,Totalt!$B$1:$AQ$1,0),FALSE),"")</f>
        <v>0</v>
      </c>
      <c r="T346" s="173">
        <f>IFERROR(VLOOKUP($B346,Totalt!$B$1:$AQ$554,MATCH(T$2,Totalt!$B$1:$AQ$1,0),FALSE),"")</f>
        <v>0</v>
      </c>
      <c r="U346" s="173">
        <f>IFERROR(VLOOKUP($B346,Totalt!$B$1:$AQ$554,MATCH(U$2,Totalt!$B$1:$AQ$1,0),FALSE),"")</f>
        <v>0</v>
      </c>
      <c r="V346" s="173">
        <f>IFERROR(VLOOKUP($B346,Totalt!$B$1:$AQ$554,MATCH(V$2,Totalt!$B$1:$AQ$1,0),FALSE),"")</f>
        <v>0</v>
      </c>
      <c r="W346" s="173">
        <f>IFERROR(VLOOKUP($B346,Totalt!$B$1:$AQ$554,MATCH(W$2,Totalt!$B$1:$AQ$1,0),FALSE),"")</f>
        <v>0</v>
      </c>
      <c r="X346" s="173">
        <f>IFERROR(VLOOKUP($B346,Totalt!$B$1:$AQ$554,MATCH(X$2,Totalt!$B$1:$AQ$1,0),FALSE),"")</f>
        <v>0</v>
      </c>
      <c r="Y346" s="173">
        <f>IFERROR(VLOOKUP($B346,Totalt!$B$1:$AQ$554,MATCH(Y$2,Totalt!$B$1:$AQ$1,0),FALSE),"")</f>
        <v>0</v>
      </c>
      <c r="Z346" s="173">
        <f>IFERROR(VLOOKUP($B346,Totalt!$B$1:$AQ$554,MATCH(Z$2,Totalt!$B$1:$AQ$1,0),FALSE),"")</f>
        <v>0</v>
      </c>
      <c r="AA346" s="173">
        <f>IFERROR(VLOOKUP($B346,Totalt!$B$1:$AQ$554,MATCH(AA$2,Totalt!$B$1:$AQ$1,0),FALSE),"")</f>
        <v>0</v>
      </c>
      <c r="AB346" s="173">
        <f>IFERROR(VLOOKUP($B346,Totalt!$B$1:$AQ$554,MATCH(AB$2,Totalt!$B$1:$AQ$1,0),FALSE),"")</f>
        <v>0</v>
      </c>
      <c r="AC346" s="173">
        <f>IFERROR(VLOOKUP($B346,Totalt!$B$1:$AQ$554,MATCH(AC$2,Totalt!$B$1:$AQ$1,0),FALSE),"")</f>
        <v>0</v>
      </c>
      <c r="AD346" s="173">
        <f>IFERROR(VLOOKUP($B346,Totalt!$B$1:$AQ$554,MATCH(AD$2,Totalt!$B$1:$AQ$1,0),FALSE),"")</f>
        <v>0</v>
      </c>
      <c r="AE346" s="173">
        <f>IFERROR(VLOOKUP($B346,Totalt!$B$1:$AQ$554,MATCH(AE$2,Totalt!$B$1:$AQ$1,0),FALSE),"")</f>
        <v>0</v>
      </c>
      <c r="AF346" s="173">
        <f>IFERROR(VLOOKUP($B346,Totalt!$B$1:$AQ$554,MATCH(AF$2,Totalt!$B$1:$AQ$1,0),FALSE),"")</f>
        <v>0.13</v>
      </c>
      <c r="AG346" s="173">
        <f>IFERROR(VLOOKUP($B346,Totalt!$B$1:$AQ$554,MATCH(AG$2,Totalt!$B$1:$AQ$1,0),FALSE),"")</f>
        <v>0</v>
      </c>
      <c r="AI346" s="226">
        <f t="shared" si="30"/>
        <v>8.4600000000000009</v>
      </c>
      <c r="AJ346" s="226">
        <f>IF(ISERROR(1/VLOOKUP($B346,Leveranser!$B$1:$S$500,MATCH("såld värme (gwh)",Leveranser!$B$1:$S$1,0),FALSE)),"",VLOOKUP($B346,Leveranser!$B$1:$S$500,MATCH("såld värme (gwh)",Leveranser!$B$1:$S$1,0),FALSE))</f>
        <v>6.7</v>
      </c>
      <c r="AM346" s="227" t="str">
        <f>IF(B346&lt;&gt;"",IF(VLOOKUP($B346,Totalt!$B$1:$AQ$554,MATCH("Kvalitetsgranskad:",Totalt!$B$1:$AQ$1,0),FALSE)="ja",VLOOKUP($B346,Miljö!$B$1:$AG$479,MATCH(AM$2,Miljö!$B$1:$AK$1,0),FALSE),""),"")</f>
        <v>Ja</v>
      </c>
      <c r="AN346" s="227" t="str">
        <f>IF(AM346="ja",VLOOKUP($B346,Miljö!$B$1:$J$479,MATCH("Typ av ursprungsspecificerad el   (Om inget värde anges används Nordisk residualmix, se inforuta) ()",Miljö!$B$1:$J$1,0),FALSE),IF(AM346="nej","Nordisk residualel",""))</f>
        <v>-</v>
      </c>
      <c r="AO346" s="227">
        <f>IF(AM346="","",VLOOKUP($B346,Miljö!$B$1:$J$479,MATCH("Fossilandel för ursprungspecificerad el ()",Miljö!$B$1:$J$1,0),FALSE))</f>
        <v>0</v>
      </c>
      <c r="AP346" s="227">
        <f>IF(AM346="","",IFERROR(VLOOKUP($B346,Miljö!$B$1:$J$479,MATCH("Kärnkraftsandel för ursprungsspecificerad el ()",Miljö!$B$1:$J$1,0),FALSE)/1,0))</f>
        <v>0.42</v>
      </c>
      <c r="AQ346" s="227">
        <f t="shared" si="31"/>
        <v>0.58000000000000007</v>
      </c>
      <c r="AR346" s="227"/>
      <c r="AS346" s="227" t="str">
        <f t="shared" si="32"/>
        <v>Nej</v>
      </c>
      <c r="AT346" s="227" t="str">
        <f>IF(AS346="ja",VLOOKUP($B346,Miljö!$B$1:$O$500,MATCH("Fossil andel i procent (%)",Miljö!$B$1:$O$1,0),FALSE)/100,"")</f>
        <v/>
      </c>
      <c r="AU346" s="227"/>
      <c r="AV346" s="227" t="str">
        <f t="shared" si="33"/>
        <v>Nej</v>
      </c>
      <c r="AW346" s="227" t="str">
        <f>IF(AV346="ja",VLOOKUP($B346,'Egen hetvattenprod'!$B$1:$AO$500,MATCH("Värmekälla till värmepumpar ()",'Egen hetvattenprod'!$B$1:$AO$1,0),FALSE),"")</f>
        <v/>
      </c>
      <c r="AX346" s="227"/>
      <c r="AY346" s="227" t="str">
        <f t="shared" si="34"/>
        <v>Nej</v>
      </c>
      <c r="AZ346" s="228" t="str">
        <f>IF($AY346="ja",(VLOOKUP($B346,'Egen hetvattenprod'!$B$1:$BX$550,MATCH(AZ$2,'Egen hetvattenprod'!$B$1:$BX$1,0),FALSE)+VLOOKUP($B346,Kraftvärmeprod!$B$1:$BX$550,MATCH(AZ$2,Kraftvärmeprod!$B$1:$BX$1,0),FALSE))/$AC346,"")</f>
        <v/>
      </c>
      <c r="BA346" s="228" t="str">
        <f>IF($AY346="ja",(VLOOKUP($B346,'Egen hetvattenprod'!$B$1:$BX$550,MATCH(BA$2,'Egen hetvattenprod'!$B$1:$BX$1,0),FALSE)+VLOOKUP($B346,Kraftvärmeprod!$B$1:$BX$550,MATCH(BA$2,Kraftvärmeprod!$B$1:$BX$1,0),FALSE))/$AC346,"")</f>
        <v/>
      </c>
      <c r="BB346" s="228" t="str">
        <f>IF($AY346="ja",(VLOOKUP($B346,'Egen hetvattenprod'!$B$1:$BX$550,MATCH(BB$2,'Egen hetvattenprod'!$B$1:$BX$1,0),FALSE)+VLOOKUP($B346,Kraftvärmeprod!$B$1:$BX$550,MATCH(BB$2,Kraftvärmeprod!$B$1:$BX$1,0),FALSE))/$AC346,"")</f>
        <v/>
      </c>
      <c r="BC346" s="228" t="str">
        <f>IF($AY346="ja",(VLOOKUP($B346,'Egen hetvattenprod'!$B$1:$BX$550,MATCH(BC$2,'Egen hetvattenprod'!$B$1:$BX$1,0),FALSE)+VLOOKUP($B346,Kraftvärmeprod!$B$1:$BX$550,MATCH(BC$2,Kraftvärmeprod!$B$1:$BX$1,0),FALSE))/$AC346,"")</f>
        <v/>
      </c>
      <c r="BD346" s="228" t="str">
        <f>IF($AY346="ja",(VLOOKUP($B346,'Egen hetvattenprod'!$B$1:$BX$550,MATCH(BD$2,'Egen hetvattenprod'!$B$1:$BX$1,0),FALSE)+VLOOKUP($B346,Kraftvärmeprod!$B$1:$BX$550,MATCH(BD$2,Kraftvärmeprod!$B$1:$BX$1,0),FALSE))/$AC346,"")</f>
        <v/>
      </c>
      <c r="BE346" s="227"/>
      <c r="BF346" s="227" t="str">
        <f t="shared" si="35"/>
        <v>Nej</v>
      </c>
      <c r="BG346" s="227" t="str">
        <f>IF($BF346="ja",VLOOKUP($B346,'Egen hetvattenprod'!$B$1:$BX$550,MATCH("Andelen klimatgaser med fossilt ursprung för avfall ()",'Egen hetvattenprod'!$B$1:$BX$1,0),FALSE),"")</f>
        <v/>
      </c>
      <c r="BH346" s="227" t="str">
        <f>IF($BF346="ja",VLOOKUP($B346,Kraftvärmeprod!$B$1:$BX$550,MATCH("Andelen klimatgaser med fossilt ursprung för avfall ()",Kraftvärmeprod!$B$1:$BX$1,0),FALSE),"")</f>
        <v/>
      </c>
      <c r="BI346" s="227" t="str">
        <f>IF($BF346="ja",VLOOKUP($B346,'Egen hetvattenprod'!$B$1:$BX$550,MATCH("Avfall (GWh)",'Egen hetvattenprod'!$B$1:$BX$1,0),FALSE),"")</f>
        <v/>
      </c>
      <c r="BJ346" s="227" t="str">
        <f>IF($BF346="ja",VLOOKUP($B346,'Slutlig allokering kvv'!$B$1:$BX$550,MATCH("Avfall (GWh)",'Slutlig allokering kvv'!$B$1:$BX$1,0),FALSE),"")</f>
        <v/>
      </c>
      <c r="BK346" s="227" t="str">
        <f>IF($BF346="ja",VLOOKUP($B346,'Köpt hetvatten'!$B$1:$BX$550,MATCH("Avfall i köpt hetvatten",'Köpt hetvatten'!$B$1:$BX$1,0),FALSE),"")</f>
        <v/>
      </c>
      <c r="BL346" s="227" t="str">
        <f>IF($BF346="ja",VLOOKUP($B346,'Egen hetvattenprod'!$B$1:$BX$550,MATCH("Värde enligt ovan. (%)",'Egen hetvattenprod'!$B$1:$BX$1,0),FALSE),"")</f>
        <v/>
      </c>
      <c r="BM346" s="227" t="str">
        <f>IF($BF346="ja",VLOOKUP($B346,Kraftvärmeprod!$B$1:$BX$550,MATCH("Värde enligt ovan. (%)",Kraftvärmeprod!$B$1:$BX$1,0),FALSE),"")</f>
        <v/>
      </c>
      <c r="BN346" s="227"/>
      <c r="BO346" s="227"/>
      <c r="BP346" s="227"/>
      <c r="BQ346" s="227" t="str">
        <f>IF($BF346="ja",VLOOKUP($B346,'Egen hetvattenprod'!$B$1:$BX$550,MATCH("Tillförd olja (fossil) vid avfallsförbränning (GWh)",'Egen hetvattenprod'!$B$1:$BX$1,0),FALSE),"")</f>
        <v/>
      </c>
      <c r="BR346" s="227" t="str">
        <f>IF($BF346="ja",VLOOKUP($B346,Kraftvärmeprod!$B$1:$BX$550,MATCH("Tillförd olja (fossil) vid avfallsförbränning (GWh)",Kraftvärmeprod!$B$1:$BX$1,0),FALSE),"")</f>
        <v/>
      </c>
      <c r="BS346" s="227"/>
      <c r="BT346" s="227"/>
      <c r="BU346" s="227"/>
    </row>
    <row r="347" spans="1:73" x14ac:dyDescent="0.25">
      <c r="A347" s="121" t="str">
        <f>'Miljövärden för publ företag'!B350</f>
        <v>Ånge Energi AB</v>
      </c>
      <c r="B347" s="121" t="str">
        <f>'Miljövärden för publ företag'!C350</f>
        <v>Ånge</v>
      </c>
      <c r="C347" s="173">
        <f>IFERROR(VLOOKUP($B347,Totalt!$B$1:$AQ$554,MATCH(C$2,Totalt!$B$1:$AQ$1,0),FALSE),"")</f>
        <v>0</v>
      </c>
      <c r="D347" s="173">
        <f>IFERROR(VLOOKUP($B347,Totalt!$B$1:$AQ$554,MATCH(D$2,Totalt!$B$1:$AQ$1,0),FALSE),"")</f>
        <v>0.308</v>
      </c>
      <c r="E347" s="173">
        <f>IFERROR(VLOOKUP($B347,Totalt!$B$1:$AQ$554,MATCH(E$2,Totalt!$B$1:$AQ$1,0),FALSE),"")</f>
        <v>0</v>
      </c>
      <c r="F347" s="173">
        <f>IFERROR(VLOOKUP($B347,Totalt!$B$1:$AQ$554,MATCH(F$2,Totalt!$B$1:$AQ$1,0),FALSE),"")</f>
        <v>0</v>
      </c>
      <c r="G347" s="173">
        <f>IFERROR(VLOOKUP($B347,Totalt!$B$1:$AQ$554,MATCH(G$2,Totalt!$B$1:$AQ$1,0),FALSE),"")</f>
        <v>0</v>
      </c>
      <c r="H347" s="173">
        <f>IFERROR(VLOOKUP($B347,Totalt!$B$1:$AQ$554,MATCH(H$2,Totalt!$B$1:$AQ$1,0),FALSE),"")</f>
        <v>0</v>
      </c>
      <c r="I347" s="173">
        <f>IFERROR(VLOOKUP($B347,Totalt!$B$1:$AQ$554,MATCH(I$2,Totalt!$B$1:$AQ$1,0),FALSE),"")</f>
        <v>0</v>
      </c>
      <c r="J347" s="173">
        <f>IFERROR(VLOOKUP($B347,Totalt!$B$1:$AQ$554,MATCH(J$2,Totalt!$B$1:$AQ$1,0),FALSE),"")</f>
        <v>0</v>
      </c>
      <c r="K347" s="173">
        <f>IFERROR(VLOOKUP($B347,Totalt!$B$1:$AQ$554,MATCH(K$2,Totalt!$B$1:$AQ$1,0),FALSE),"")</f>
        <v>0</v>
      </c>
      <c r="L347" s="173">
        <f>IFERROR(VLOOKUP($B347,Totalt!$B$1:$AQ$554,MATCH(L$2,Totalt!$B$1:$AQ$1,0),FALSE),"")</f>
        <v>0</v>
      </c>
      <c r="M347" s="173">
        <f>IFERROR(VLOOKUP($B347,Totalt!$B$1:$AQ$554,MATCH(M$2,Totalt!$B$1:$AQ$1,0),FALSE),"")</f>
        <v>0.93500000000000005</v>
      </c>
      <c r="N347" s="173">
        <f>IFERROR(VLOOKUP($B347,Totalt!$B$1:$AQ$554,MATCH(N$2,Totalt!$B$1:$AQ$1,0),FALSE),"")</f>
        <v>0</v>
      </c>
      <c r="O347" s="173">
        <f>IFERROR(VLOOKUP($B347,Totalt!$B$1:$AQ$554,MATCH(O$2,Totalt!$B$1:$AQ$1,0),FALSE),"")</f>
        <v>0</v>
      </c>
      <c r="P347" s="173">
        <f>IFERROR(VLOOKUP($B347,Totalt!$B$1:$AQ$554,MATCH(P$2,Totalt!$B$1:$AQ$1,0),FALSE),"")</f>
        <v>6.3819999999999997</v>
      </c>
      <c r="Q347" s="173">
        <f>IFERROR(VLOOKUP($B347,Totalt!$B$1:$AQ$554,MATCH(Q$2,Totalt!$B$1:$AQ$1,0),FALSE),"")</f>
        <v>1.4910000000000001</v>
      </c>
      <c r="R347" s="173">
        <f>IFERROR(VLOOKUP($B347,Totalt!$B$1:$AQ$554,MATCH(R$2,Totalt!$B$1:$AQ$1,0),FALSE),"")</f>
        <v>1.6439999999999999</v>
      </c>
      <c r="S347" s="173">
        <f>IFERROR(VLOOKUP($B347,Totalt!$B$1:$AQ$554,MATCH(S$2,Totalt!$B$1:$AQ$1,0),FALSE),"")</f>
        <v>0</v>
      </c>
      <c r="T347" s="173">
        <f>IFERROR(VLOOKUP($B347,Totalt!$B$1:$AQ$554,MATCH(T$2,Totalt!$B$1:$AQ$1,0),FALSE),"")</f>
        <v>0</v>
      </c>
      <c r="U347" s="173">
        <f>IFERROR(VLOOKUP($B347,Totalt!$B$1:$AQ$554,MATCH(U$2,Totalt!$B$1:$AQ$1,0),FALSE),"")</f>
        <v>0</v>
      </c>
      <c r="V347" s="173">
        <f>IFERROR(VLOOKUP($B347,Totalt!$B$1:$AQ$554,MATCH(V$2,Totalt!$B$1:$AQ$1,0),FALSE),"")</f>
        <v>0</v>
      </c>
      <c r="W347" s="173">
        <f>IFERROR(VLOOKUP($B347,Totalt!$B$1:$AQ$554,MATCH(W$2,Totalt!$B$1:$AQ$1,0),FALSE),"")</f>
        <v>0</v>
      </c>
      <c r="X347" s="173">
        <f>IFERROR(VLOOKUP($B347,Totalt!$B$1:$AQ$554,MATCH(X$2,Totalt!$B$1:$AQ$1,0),FALSE),"")</f>
        <v>0</v>
      </c>
      <c r="Y347" s="173">
        <f>IFERROR(VLOOKUP($B347,Totalt!$B$1:$AQ$554,MATCH(Y$2,Totalt!$B$1:$AQ$1,0),FALSE),"")</f>
        <v>0</v>
      </c>
      <c r="Z347" s="173">
        <f>IFERROR(VLOOKUP($B347,Totalt!$B$1:$AQ$554,MATCH(Z$2,Totalt!$B$1:$AQ$1,0),FALSE),"")</f>
        <v>0</v>
      </c>
      <c r="AA347" s="173">
        <f>IFERROR(VLOOKUP($B347,Totalt!$B$1:$AQ$554,MATCH(AA$2,Totalt!$B$1:$AQ$1,0),FALSE),"")</f>
        <v>0</v>
      </c>
      <c r="AB347" s="173">
        <f>IFERROR(VLOOKUP($B347,Totalt!$B$1:$AQ$554,MATCH(AB$2,Totalt!$B$1:$AQ$1,0),FALSE),"")</f>
        <v>0</v>
      </c>
      <c r="AC347" s="173">
        <f>IFERROR(VLOOKUP($B347,Totalt!$B$1:$AQ$554,MATCH(AC$2,Totalt!$B$1:$AQ$1,0),FALSE),"")</f>
        <v>0.33700000000000002</v>
      </c>
      <c r="AD347" s="173">
        <f>IFERROR(VLOOKUP($B347,Totalt!$B$1:$AQ$554,MATCH(AD$2,Totalt!$B$1:$AQ$1,0),FALSE),"")</f>
        <v>18.183</v>
      </c>
      <c r="AE347" s="173">
        <f>IFERROR(VLOOKUP($B347,Totalt!$B$1:$AQ$554,MATCH(AE$2,Totalt!$B$1:$AQ$1,0),FALSE),"")</f>
        <v>0</v>
      </c>
      <c r="AF347" s="173">
        <f>IFERROR(VLOOKUP($B347,Totalt!$B$1:$AQ$554,MATCH(AF$2,Totalt!$B$1:$AQ$1,0),FALSE),"")</f>
        <v>0.52500000000000002</v>
      </c>
      <c r="AG347" s="173">
        <f>IFERROR(VLOOKUP($B347,Totalt!$B$1:$AQ$554,MATCH(AG$2,Totalt!$B$1:$AQ$1,0),FALSE),"")</f>
        <v>0</v>
      </c>
      <c r="AI347" s="226">
        <f t="shared" si="30"/>
        <v>29.805</v>
      </c>
      <c r="AJ347" s="226">
        <f>IF(ISERROR(1/VLOOKUP($B347,Leveranser!$B$1:$S$500,MATCH("såld värme (gwh)",Leveranser!$B$1:$S$1,0),FALSE)),"",VLOOKUP($B347,Leveranser!$B$1:$S$500,MATCH("såld värme (gwh)",Leveranser!$B$1:$S$1,0),FALSE))</f>
        <v>23.193000000000001</v>
      </c>
      <c r="AM347" s="227" t="str">
        <f>IF(B347&lt;&gt;"",IF(VLOOKUP($B347,Totalt!$B$1:$AQ$554,MATCH("Kvalitetsgranskad:",Totalt!$B$1:$AQ$1,0),FALSE)="ja",VLOOKUP($B347,Miljö!$B$1:$AG$479,MATCH(AM$2,Miljö!$B$1:$AK$1,0),FALSE),""),"")</f>
        <v>Ja</v>
      </c>
      <c r="AN347" s="227" t="str">
        <f>IF(AM347="ja",VLOOKUP($B347,Miljö!$B$1:$J$479,MATCH("Typ av ursprungsspecificerad el   (Om inget värde anges används Nordisk residualmix, se inforuta) ()",Miljö!$B$1:$J$1,0),FALSE),IF(AM347="nej","Nordisk residualel",""))</f>
        <v>-</v>
      </c>
      <c r="AO347" s="227">
        <f>IF(AM347="","",VLOOKUP($B347,Miljö!$B$1:$J$479,MATCH("Fossilandel för ursprungspecificerad el ()",Miljö!$B$1:$J$1,0),FALSE))</f>
        <v>0</v>
      </c>
      <c r="AP347" s="227">
        <f>IF(AM347="","",IFERROR(VLOOKUP($B347,Miljö!$B$1:$J$479,MATCH("Kärnkraftsandel för ursprungsspecificerad el ()",Miljö!$B$1:$J$1,0),FALSE)/1,0))</f>
        <v>0.42</v>
      </c>
      <c r="AQ347" s="227">
        <f t="shared" si="31"/>
        <v>0.58000000000000007</v>
      </c>
      <c r="AR347" s="227"/>
      <c r="AS347" s="227" t="str">
        <f t="shared" si="32"/>
        <v>Nej</v>
      </c>
      <c r="AT347" s="227" t="str">
        <f>IF(AS347="ja",VLOOKUP($B347,Miljö!$B$1:$O$500,MATCH("Fossil andel i procent (%)",Miljö!$B$1:$O$1,0),FALSE)/100,"")</f>
        <v/>
      </c>
      <c r="AU347" s="227"/>
      <c r="AV347" s="227" t="str">
        <f t="shared" si="33"/>
        <v>Nej</v>
      </c>
      <c r="AW347" s="227" t="str">
        <f>IF(AV347="ja",VLOOKUP($B347,'Egen hetvattenprod'!$B$1:$AO$500,MATCH("Värmekälla till värmepumpar ()",'Egen hetvattenprod'!$B$1:$AO$1,0),FALSE),"")</f>
        <v/>
      </c>
      <c r="AX347" s="227"/>
      <c r="AY347" s="227" t="str">
        <f t="shared" si="34"/>
        <v>Ja</v>
      </c>
      <c r="AZ347" s="228">
        <f>IF($AY347="ja",(VLOOKUP($B347,'Egen hetvattenprod'!$B$1:$BX$550,MATCH(AZ$2,'Egen hetvattenprod'!$B$1:$BX$1,0),FALSE)+VLOOKUP($B347,Kraftvärmeprod!$B$1:$BX$550,MATCH(AZ$2,Kraftvärmeprod!$B$1:$BX$1,0),FALSE))/$AC347,"")</f>
        <v>1</v>
      </c>
      <c r="BA347" s="228">
        <f>IF($AY347="ja",(VLOOKUP($B347,'Egen hetvattenprod'!$B$1:$BX$550,MATCH(BA$2,'Egen hetvattenprod'!$B$1:$BX$1,0),FALSE)+VLOOKUP($B347,Kraftvärmeprod!$B$1:$BX$550,MATCH(BA$2,Kraftvärmeprod!$B$1:$BX$1,0),FALSE))/$AC347,"")</f>
        <v>0</v>
      </c>
      <c r="BB347" s="228">
        <f>IF($AY347="ja",(VLOOKUP($B347,'Egen hetvattenprod'!$B$1:$BX$550,MATCH(BB$2,'Egen hetvattenprod'!$B$1:$BX$1,0),FALSE)+VLOOKUP($B347,Kraftvärmeprod!$B$1:$BX$550,MATCH(BB$2,Kraftvärmeprod!$B$1:$BX$1,0),FALSE))/$AC347,"")</f>
        <v>0</v>
      </c>
      <c r="BC347" s="228">
        <f>IF($AY347="ja",(VLOOKUP($B347,'Egen hetvattenprod'!$B$1:$BX$550,MATCH(BC$2,'Egen hetvattenprod'!$B$1:$BX$1,0),FALSE)+VLOOKUP($B347,Kraftvärmeprod!$B$1:$BX$550,MATCH(BC$2,Kraftvärmeprod!$B$1:$BX$1,0),FALSE))/$AC347,"")</f>
        <v>0</v>
      </c>
      <c r="BD347" s="228">
        <f>IF($AY347="ja",(VLOOKUP($B347,'Egen hetvattenprod'!$B$1:$BX$550,MATCH(BD$2,'Egen hetvattenprod'!$B$1:$BX$1,0),FALSE)+VLOOKUP($B347,Kraftvärmeprod!$B$1:$BX$550,MATCH(BD$2,Kraftvärmeprod!$B$1:$BX$1,0),FALSE))/$AC347,"")</f>
        <v>0</v>
      </c>
      <c r="BE347" s="227"/>
      <c r="BF347" s="227" t="str">
        <f t="shared" si="35"/>
        <v>Nej</v>
      </c>
      <c r="BG347" s="227" t="str">
        <f>IF($BF347="ja",VLOOKUP($B347,'Egen hetvattenprod'!$B$1:$BX$550,MATCH("Andelen klimatgaser med fossilt ursprung för avfall ()",'Egen hetvattenprod'!$B$1:$BX$1,0),FALSE),"")</f>
        <v/>
      </c>
      <c r="BH347" s="227" t="str">
        <f>IF($BF347="ja",VLOOKUP($B347,Kraftvärmeprod!$B$1:$BX$550,MATCH("Andelen klimatgaser med fossilt ursprung för avfall ()",Kraftvärmeprod!$B$1:$BX$1,0),FALSE),"")</f>
        <v/>
      </c>
      <c r="BI347" s="227" t="str">
        <f>IF($BF347="ja",VLOOKUP($B347,'Egen hetvattenprod'!$B$1:$BX$550,MATCH("Avfall (GWh)",'Egen hetvattenprod'!$B$1:$BX$1,0),FALSE),"")</f>
        <v/>
      </c>
      <c r="BJ347" s="227" t="str">
        <f>IF($BF347="ja",VLOOKUP($B347,'Slutlig allokering kvv'!$B$1:$BX$550,MATCH("Avfall (GWh)",'Slutlig allokering kvv'!$B$1:$BX$1,0),FALSE),"")</f>
        <v/>
      </c>
      <c r="BK347" s="227" t="str">
        <f>IF($BF347="ja",VLOOKUP($B347,'Köpt hetvatten'!$B$1:$BX$550,MATCH("Avfall i köpt hetvatten",'Köpt hetvatten'!$B$1:$BX$1,0),FALSE),"")</f>
        <v/>
      </c>
      <c r="BL347" s="227" t="str">
        <f>IF($BF347="ja",VLOOKUP($B347,'Egen hetvattenprod'!$B$1:$BX$550,MATCH("Värde enligt ovan. (%)",'Egen hetvattenprod'!$B$1:$BX$1,0),FALSE),"")</f>
        <v/>
      </c>
      <c r="BM347" s="227" t="str">
        <f>IF($BF347="ja",VLOOKUP($B347,Kraftvärmeprod!$B$1:$BX$550,MATCH("Värde enligt ovan. (%)",Kraftvärmeprod!$B$1:$BX$1,0),FALSE),"")</f>
        <v/>
      </c>
      <c r="BN347" s="227"/>
      <c r="BO347" s="227"/>
      <c r="BP347" s="227"/>
      <c r="BQ347" s="227" t="str">
        <f>IF($BF347="ja",VLOOKUP($B347,'Egen hetvattenprod'!$B$1:$BX$550,MATCH("Tillförd olja (fossil) vid avfallsförbränning (GWh)",'Egen hetvattenprod'!$B$1:$BX$1,0),FALSE),"")</f>
        <v/>
      </c>
      <c r="BR347" s="227" t="str">
        <f>IF($BF347="ja",VLOOKUP($B347,Kraftvärmeprod!$B$1:$BX$550,MATCH("Tillförd olja (fossil) vid avfallsförbränning (GWh)",Kraftvärmeprod!$B$1:$BX$1,0),FALSE),"")</f>
        <v/>
      </c>
      <c r="BS347" s="227"/>
      <c r="BT347" s="227"/>
      <c r="BU347" s="227"/>
    </row>
    <row r="348" spans="1:73" x14ac:dyDescent="0.25">
      <c r="A348" s="121" t="str">
        <f>'Miljövärden för publ företag'!B351</f>
        <v>Öresundskraft AB</v>
      </c>
      <c r="B348" s="121" t="str">
        <f>'Miljövärden för publ företag'!C351</f>
        <v>Helsingborg</v>
      </c>
      <c r="C348" s="173">
        <f>IFERROR(VLOOKUP($B348,Totalt!$B$1:$AQ$554,MATCH(C$2,Totalt!$B$1:$AQ$1,0),FALSE),"")</f>
        <v>0</v>
      </c>
      <c r="D348" s="173">
        <f>IFERROR(VLOOKUP($B348,Totalt!$B$1:$AQ$554,MATCH(D$2,Totalt!$B$1:$AQ$1,0),FALSE),"")</f>
        <v>1.0069999999999999</v>
      </c>
      <c r="E348" s="173">
        <f>IFERROR(VLOOKUP($B348,Totalt!$B$1:$AQ$554,MATCH(E$2,Totalt!$B$1:$AQ$1,0),FALSE),"")</f>
        <v>0</v>
      </c>
      <c r="F348" s="173">
        <f>IFERROR(VLOOKUP($B348,Totalt!$B$1:$AQ$554,MATCH(F$2,Totalt!$B$1:$AQ$1,0),FALSE),"")</f>
        <v>5.5540000000000003</v>
      </c>
      <c r="G348" s="173">
        <f>IFERROR(VLOOKUP($B348,Totalt!$B$1:$AQ$554,MATCH(G$2,Totalt!$B$1:$AQ$1,0),FALSE),"")</f>
        <v>0</v>
      </c>
      <c r="H348" s="173">
        <f>IFERROR(VLOOKUP($B348,Totalt!$B$1:$AQ$554,MATCH(H$2,Totalt!$B$1:$AQ$1,0),FALSE),"")</f>
        <v>0</v>
      </c>
      <c r="I348" s="173">
        <f>IFERROR(VLOOKUP($B348,Totalt!$B$1:$AQ$554,MATCH(I$2,Totalt!$B$1:$AQ$1,0),FALSE),"")</f>
        <v>246.7</v>
      </c>
      <c r="J348" s="173">
        <f>IFERROR(VLOOKUP($B348,Totalt!$B$1:$AQ$554,MATCH(J$2,Totalt!$B$1:$AQ$1,0),FALSE),"")</f>
        <v>8.0941200000000002</v>
      </c>
      <c r="K348" s="173">
        <f>IFERROR(VLOOKUP($B348,Totalt!$B$1:$AQ$554,MATCH(K$2,Totalt!$B$1:$AQ$1,0),FALSE),"")</f>
        <v>0</v>
      </c>
      <c r="L348" s="173">
        <f>IFERROR(VLOOKUP($B348,Totalt!$B$1:$AQ$554,MATCH(L$2,Totalt!$B$1:$AQ$1,0),FALSE),"")</f>
        <v>0</v>
      </c>
      <c r="M348" s="173">
        <f>IFERROR(VLOOKUP($B348,Totalt!$B$1:$AQ$554,MATCH(M$2,Totalt!$B$1:$AQ$1,0),FALSE),"")</f>
        <v>0</v>
      </c>
      <c r="N348" s="173">
        <f>IFERROR(VLOOKUP($B348,Totalt!$B$1:$AQ$554,MATCH(N$2,Totalt!$B$1:$AQ$1,0),FALSE),"")</f>
        <v>0</v>
      </c>
      <c r="O348" s="173">
        <f>IFERROR(VLOOKUP($B348,Totalt!$B$1:$AQ$554,MATCH(O$2,Totalt!$B$1:$AQ$1,0),FALSE),"")</f>
        <v>0</v>
      </c>
      <c r="P348" s="173">
        <f>IFERROR(VLOOKUP($B348,Totalt!$B$1:$AQ$554,MATCH(P$2,Totalt!$B$1:$AQ$1,0),FALSE),"")</f>
        <v>0</v>
      </c>
      <c r="Q348" s="173">
        <f>IFERROR(VLOOKUP($B348,Totalt!$B$1:$AQ$554,MATCH(Q$2,Totalt!$B$1:$AQ$1,0),FALSE),"")</f>
        <v>0</v>
      </c>
      <c r="R348" s="173">
        <f>IFERROR(VLOOKUP($B348,Totalt!$B$1:$AQ$554,MATCH(R$2,Totalt!$B$1:$AQ$1,0),FALSE),"")</f>
        <v>229.7</v>
      </c>
      <c r="S348" s="173">
        <f>IFERROR(VLOOKUP($B348,Totalt!$B$1:$AQ$554,MATCH(S$2,Totalt!$B$1:$AQ$1,0),FALSE),"")</f>
        <v>0</v>
      </c>
      <c r="T348" s="173">
        <f>IFERROR(VLOOKUP($B348,Totalt!$B$1:$AQ$554,MATCH(T$2,Totalt!$B$1:$AQ$1,0),FALSE),"")</f>
        <v>0</v>
      </c>
      <c r="U348" s="173">
        <f>IFERROR(VLOOKUP($B348,Totalt!$B$1:$AQ$554,MATCH(U$2,Totalt!$B$1:$AQ$1,0),FALSE),"")</f>
        <v>0</v>
      </c>
      <c r="V348" s="173">
        <f>IFERROR(VLOOKUP($B348,Totalt!$B$1:$AQ$554,MATCH(V$2,Totalt!$B$1:$AQ$1,0),FALSE),"")</f>
        <v>0</v>
      </c>
      <c r="W348" s="173">
        <f>IFERROR(VLOOKUP($B348,Totalt!$B$1:$AQ$554,MATCH(W$2,Totalt!$B$1:$AQ$1,0),FALSE),"")</f>
        <v>0.62880800000000003</v>
      </c>
      <c r="X348" s="173">
        <f>IFERROR(VLOOKUP($B348,Totalt!$B$1:$AQ$554,MATCH(X$2,Totalt!$B$1:$AQ$1,0),FALSE),"")</f>
        <v>0</v>
      </c>
      <c r="Y348" s="173">
        <f>IFERROR(VLOOKUP($B348,Totalt!$B$1:$AQ$554,MATCH(Y$2,Totalt!$B$1:$AQ$1,0),FALSE),"")</f>
        <v>0</v>
      </c>
      <c r="Z348" s="173">
        <f>IFERROR(VLOOKUP($B348,Totalt!$B$1:$AQ$554,MATCH(Z$2,Totalt!$B$1:$AQ$1,0),FALSE),"")</f>
        <v>0</v>
      </c>
      <c r="AA348" s="173">
        <f>IFERROR(VLOOKUP($B348,Totalt!$B$1:$AQ$554,MATCH(AA$2,Totalt!$B$1:$AQ$1,0),FALSE),"")</f>
        <v>18.471</v>
      </c>
      <c r="AB348" s="173">
        <f>IFERROR(VLOOKUP($B348,Totalt!$B$1:$AQ$554,MATCH(AB$2,Totalt!$B$1:$AQ$1,0),FALSE),"")</f>
        <v>40.462000000000003</v>
      </c>
      <c r="AC348" s="173">
        <f>IFERROR(VLOOKUP($B348,Totalt!$B$1:$AQ$554,MATCH(AC$2,Totalt!$B$1:$AQ$1,0),FALSE),"")</f>
        <v>108.1</v>
      </c>
      <c r="AD348" s="173">
        <f>IFERROR(VLOOKUP($B348,Totalt!$B$1:$AQ$554,MATCH(AD$2,Totalt!$B$1:$AQ$1,0),FALSE),"")</f>
        <v>413.65499999999997</v>
      </c>
      <c r="AE348" s="173">
        <f>IFERROR(VLOOKUP($B348,Totalt!$B$1:$AQ$554,MATCH(AE$2,Totalt!$B$1:$AQ$1,0),FALSE),"")</f>
        <v>0</v>
      </c>
      <c r="AF348" s="173">
        <f>IFERROR(VLOOKUP($B348,Totalt!$B$1:$AQ$554,MATCH(AF$2,Totalt!$B$1:$AQ$1,0),FALSE),"")</f>
        <v>22.085899999999999</v>
      </c>
      <c r="AG348" s="173">
        <f>IFERROR(VLOOKUP($B348,Totalt!$B$1:$AQ$554,MATCH(AG$2,Totalt!$B$1:$AQ$1,0),FALSE),"")</f>
        <v>3.7</v>
      </c>
      <c r="AI348" s="226">
        <f t="shared" si="30"/>
        <v>1098.1578280000001</v>
      </c>
      <c r="AJ348" s="226">
        <f>IF(ISERROR(1/VLOOKUP($B348,Leveranser!$B$1:$S$500,MATCH("såld värme (gwh)",Leveranser!$B$1:$S$1,0),FALSE)),"",VLOOKUP($B348,Leveranser!$B$1:$S$500,MATCH("såld värme (gwh)",Leveranser!$B$1:$S$1,0),FALSE))</f>
        <v>1031.8599999999999</v>
      </c>
      <c r="AM348" s="227" t="str">
        <f>IF(B348&lt;&gt;"",IF(VLOOKUP($B348,Totalt!$B$1:$AQ$554,MATCH("Kvalitetsgranskad:",Totalt!$B$1:$AQ$1,0),FALSE)="ja",VLOOKUP($B348,Miljö!$B$1:$AG$479,MATCH(AM$2,Miljö!$B$1:$AK$1,0),FALSE),""),"")</f>
        <v>Ja</v>
      </c>
      <c r="AN348" s="227" t="str">
        <f>IF(AM348="ja",VLOOKUP($B348,Miljö!$B$1:$J$479,MATCH("Typ av ursprungsspecificerad el   (Om inget värde anges används Nordisk residualmix, se inforuta) ()",Miljö!$B$1:$J$1,0),FALSE),IF(AM348="nej","Nordisk residualel",""))</f>
        <v>'Bra miljöval och egenproducerad el'</v>
      </c>
      <c r="AO348" s="227">
        <f>IF(AM348="","",VLOOKUP($B348,Miljö!$B$1:$J$479,MATCH("Fossilandel för ursprungspecificerad el ()",Miljö!$B$1:$J$1,0),FALSE))</f>
        <v>0</v>
      </c>
      <c r="AP348" s="227">
        <f>IF(AM348="","",IFERROR(VLOOKUP($B348,Miljö!$B$1:$J$479,MATCH("Kärnkraftsandel för ursprungsspecificerad el ()",Miljö!$B$1:$J$1,0),FALSE)/1,0))</f>
        <v>0</v>
      </c>
      <c r="AQ348" s="227">
        <f t="shared" si="31"/>
        <v>1</v>
      </c>
      <c r="AR348" s="227"/>
      <c r="AS348" s="227" t="str">
        <f t="shared" si="32"/>
        <v>Ja</v>
      </c>
      <c r="AT348" s="227">
        <f>IF(AS348="ja",VLOOKUP($B348,Miljö!$B$1:$O$500,MATCH("Fossil andel i procent (%)",Miljö!$B$1:$O$1,0),FALSE)/100,"")</f>
        <v>0</v>
      </c>
      <c r="AU348" s="227"/>
      <c r="AV348" s="227" t="str">
        <f t="shared" si="33"/>
        <v>Ja</v>
      </c>
      <c r="AW348" s="227" t="str">
        <f>IF(AV348="ja",VLOOKUP($B348,'Egen hetvattenprod'!$B$1:$AO$500,MATCH("Värmekälla till värmepumpar ()",'Egen hetvattenprod'!$B$1:$AO$1,0),FALSE),"")</f>
        <v>Renat avloppsvatten</v>
      </c>
      <c r="AX348" s="227"/>
      <c r="AY348" s="227" t="str">
        <f t="shared" si="34"/>
        <v>Ja</v>
      </c>
      <c r="AZ348" s="228">
        <f>IF($AY348="ja",(VLOOKUP($B348,'Egen hetvattenprod'!$B$1:$BX$550,MATCH(AZ$2,'Egen hetvattenprod'!$B$1:$BX$1,0),FALSE)+VLOOKUP($B348,Kraftvärmeprod!$B$1:$BX$550,MATCH(AZ$2,Kraftvärmeprod!$B$1:$BX$1,0),FALSE))/$AC348,"")</f>
        <v>0</v>
      </c>
      <c r="BA348" s="228">
        <f>IF($AY348="ja",(VLOOKUP($B348,'Egen hetvattenprod'!$B$1:$BX$550,MATCH(BA$2,'Egen hetvattenprod'!$B$1:$BX$1,0),FALSE)+VLOOKUP($B348,Kraftvärmeprod!$B$1:$BX$550,MATCH(BA$2,Kraftvärmeprod!$B$1:$BX$1,0),FALSE))/$AC348,"")</f>
        <v>1</v>
      </c>
      <c r="BB348" s="228">
        <f>IF($AY348="ja",(VLOOKUP($B348,'Egen hetvattenprod'!$B$1:$BX$550,MATCH(BB$2,'Egen hetvattenprod'!$B$1:$BX$1,0),FALSE)+VLOOKUP($B348,Kraftvärmeprod!$B$1:$BX$550,MATCH(BB$2,Kraftvärmeprod!$B$1:$BX$1,0),FALSE))/$AC348,"")</f>
        <v>0</v>
      </c>
      <c r="BC348" s="228">
        <f>IF($AY348="ja",(VLOOKUP($B348,'Egen hetvattenprod'!$B$1:$BX$550,MATCH(BC$2,'Egen hetvattenprod'!$B$1:$BX$1,0),FALSE)+VLOOKUP($B348,Kraftvärmeprod!$B$1:$BX$550,MATCH(BC$2,Kraftvärmeprod!$B$1:$BX$1,0),FALSE))/$AC348,"")</f>
        <v>0</v>
      </c>
      <c r="BD348" s="228">
        <f>IF($AY348="ja",(VLOOKUP($B348,'Egen hetvattenprod'!$B$1:$BX$550,MATCH(BD$2,'Egen hetvattenprod'!$B$1:$BX$1,0),FALSE)+VLOOKUP($B348,Kraftvärmeprod!$B$1:$BX$550,MATCH(BD$2,Kraftvärmeprod!$B$1:$BX$1,0),FALSE))/$AC348,"")</f>
        <v>0</v>
      </c>
      <c r="BE348" s="227"/>
      <c r="BF348" s="227" t="str">
        <f t="shared" si="35"/>
        <v>Ja</v>
      </c>
      <c r="BG348" s="227" t="str">
        <f>IF($BF348="ja",VLOOKUP($B348,'Egen hetvattenprod'!$B$1:$BX$550,MATCH("Andelen klimatgaser med fossilt ursprung för avfall ()",'Egen hetvattenprod'!$B$1:$BX$1,0),FALSE),"")</f>
        <v>Ingen redovisning</v>
      </c>
      <c r="BH348" s="227" t="str">
        <f>IF($BF348="ja",VLOOKUP($B348,Kraftvärmeprod!$B$1:$BX$550,MATCH("Andelen klimatgaser med fossilt ursprung för avfall ()",Kraftvärmeprod!$B$1:$BX$1,0),FALSE),"")</f>
        <v>Schablon</v>
      </c>
      <c r="BI348" s="227" t="str">
        <f>IF($BF348="ja",VLOOKUP($B348,'Egen hetvattenprod'!$B$1:$BX$550,MATCH("Avfall (GWh)",'Egen hetvattenprod'!$B$1:$BX$1,0),FALSE),"")</f>
        <v>ET</v>
      </c>
      <c r="BJ348" s="227">
        <f>IF($BF348="ja",VLOOKUP($B348,'Slutlig allokering kvv'!$B$1:$BX$550,MATCH("Avfall (GWh)",'Slutlig allokering kvv'!$B$1:$BX$1,0),FALSE),"")</f>
        <v>246.7</v>
      </c>
      <c r="BK348" s="227">
        <f>IF($BF348="ja",VLOOKUP($B348,'Köpt hetvatten'!$B$1:$BX$550,MATCH("Avfall i köpt hetvatten",'Köpt hetvatten'!$B$1:$BX$1,0),FALSE),"")</f>
        <v>0</v>
      </c>
      <c r="BL348" s="227" t="str">
        <f>IF($BF348="ja",VLOOKUP($B348,'Egen hetvattenprod'!$B$1:$BX$550,MATCH("Värde enligt ovan. (%)",'Egen hetvattenprod'!$B$1:$BX$1,0),FALSE),"")</f>
        <v>ET</v>
      </c>
      <c r="BM348" s="227">
        <f>IF($BF348="ja",VLOOKUP($B348,Kraftvärmeprod!$B$1:$BX$550,MATCH("Värde enligt ovan. (%)",Kraftvärmeprod!$B$1:$BX$1,0),FALSE),"")</f>
        <v>40.5</v>
      </c>
      <c r="BN348" s="227"/>
      <c r="BO348" s="227"/>
      <c r="BP348" s="227"/>
      <c r="BQ348" s="227" t="str">
        <f>IF($BF348="ja",VLOOKUP($B348,'Egen hetvattenprod'!$B$1:$BX$550,MATCH("Tillförd olja (fossil) vid avfallsförbränning (GWh)",'Egen hetvattenprod'!$B$1:$BX$1,0),FALSE),"")</f>
        <v>ET</v>
      </c>
      <c r="BR348" s="227" t="str">
        <f>IF($BF348="ja",VLOOKUP($B348,Kraftvärmeprod!$B$1:$BX$550,MATCH("Tillförd olja (fossil) vid avfallsförbränning (GWh)",Kraftvärmeprod!$B$1:$BX$1,0),FALSE),"")</f>
        <v>ET</v>
      </c>
      <c r="BS348" s="227"/>
      <c r="BT348" s="227"/>
      <c r="BU348" s="227"/>
    </row>
    <row r="349" spans="1:73" x14ac:dyDescent="0.25">
      <c r="A349" s="121" t="str">
        <f>'Miljövärden för publ företag'!B352</f>
        <v>Öresundskraft AB</v>
      </c>
      <c r="B349" s="121" t="str">
        <f>'Miljövärden för publ företag'!C352</f>
        <v>Hjärnarp</v>
      </c>
      <c r="C349" s="173">
        <f>IFERROR(VLOOKUP($B349,Totalt!$B$1:$AQ$554,MATCH(C$2,Totalt!$B$1:$AQ$1,0),FALSE),"")</f>
        <v>0</v>
      </c>
      <c r="D349" s="173">
        <f>IFERROR(VLOOKUP($B349,Totalt!$B$1:$AQ$554,MATCH(D$2,Totalt!$B$1:$AQ$1,0),FALSE),"")</f>
        <v>1.4999999999999999E-2</v>
      </c>
      <c r="E349" s="173">
        <f>IFERROR(VLOOKUP($B349,Totalt!$B$1:$AQ$554,MATCH(E$2,Totalt!$B$1:$AQ$1,0),FALSE),"")</f>
        <v>0</v>
      </c>
      <c r="F349" s="173">
        <f>IFERROR(VLOOKUP($B349,Totalt!$B$1:$AQ$554,MATCH(F$2,Totalt!$B$1:$AQ$1,0),FALSE),"")</f>
        <v>0</v>
      </c>
      <c r="G349" s="173">
        <f>IFERROR(VLOOKUP($B349,Totalt!$B$1:$AQ$554,MATCH(G$2,Totalt!$B$1:$AQ$1,0),FALSE),"")</f>
        <v>0</v>
      </c>
      <c r="H349" s="173">
        <f>IFERROR(VLOOKUP($B349,Totalt!$B$1:$AQ$554,MATCH(H$2,Totalt!$B$1:$AQ$1,0),FALSE),"")</f>
        <v>0</v>
      </c>
      <c r="I349" s="173">
        <f>IFERROR(VLOOKUP($B349,Totalt!$B$1:$AQ$554,MATCH(I$2,Totalt!$B$1:$AQ$1,0),FALSE),"")</f>
        <v>0</v>
      </c>
      <c r="J349" s="173">
        <f>IFERROR(VLOOKUP($B349,Totalt!$B$1:$AQ$554,MATCH(J$2,Totalt!$B$1:$AQ$1,0),FALSE),"")</f>
        <v>0</v>
      </c>
      <c r="K349" s="173">
        <f>IFERROR(VLOOKUP($B349,Totalt!$B$1:$AQ$554,MATCH(K$2,Totalt!$B$1:$AQ$1,0),FALSE),"")</f>
        <v>0</v>
      </c>
      <c r="L349" s="173">
        <f>IFERROR(VLOOKUP($B349,Totalt!$B$1:$AQ$554,MATCH(L$2,Totalt!$B$1:$AQ$1,0),FALSE),"")</f>
        <v>0</v>
      </c>
      <c r="M349" s="173">
        <f>IFERROR(VLOOKUP($B349,Totalt!$B$1:$AQ$554,MATCH(M$2,Totalt!$B$1:$AQ$1,0),FALSE),"")</f>
        <v>0</v>
      </c>
      <c r="N349" s="173">
        <f>IFERROR(VLOOKUP($B349,Totalt!$B$1:$AQ$554,MATCH(N$2,Totalt!$B$1:$AQ$1,0),FALSE),"")</f>
        <v>0</v>
      </c>
      <c r="O349" s="173">
        <f>IFERROR(VLOOKUP($B349,Totalt!$B$1:$AQ$554,MATCH(O$2,Totalt!$B$1:$AQ$1,0),FALSE),"")</f>
        <v>0</v>
      </c>
      <c r="P349" s="173">
        <f>IFERROR(VLOOKUP($B349,Totalt!$B$1:$AQ$554,MATCH(P$2,Totalt!$B$1:$AQ$1,0),FALSE),"")</f>
        <v>0</v>
      </c>
      <c r="Q349" s="173">
        <f>IFERROR(VLOOKUP($B349,Totalt!$B$1:$AQ$554,MATCH(Q$2,Totalt!$B$1:$AQ$1,0),FALSE),"")</f>
        <v>0</v>
      </c>
      <c r="R349" s="173">
        <f>IFERROR(VLOOKUP($B349,Totalt!$B$1:$AQ$554,MATCH(R$2,Totalt!$B$1:$AQ$1,0),FALSE),"")</f>
        <v>2.19</v>
      </c>
      <c r="S349" s="173">
        <f>IFERROR(VLOOKUP($B349,Totalt!$B$1:$AQ$554,MATCH(S$2,Totalt!$B$1:$AQ$1,0),FALSE),"")</f>
        <v>0</v>
      </c>
      <c r="T349" s="173">
        <f>IFERROR(VLOOKUP($B349,Totalt!$B$1:$AQ$554,MATCH(T$2,Totalt!$B$1:$AQ$1,0),FALSE),"")</f>
        <v>0</v>
      </c>
      <c r="U349" s="173">
        <f>IFERROR(VLOOKUP($B349,Totalt!$B$1:$AQ$554,MATCH(U$2,Totalt!$B$1:$AQ$1,0),FALSE),"")</f>
        <v>0</v>
      </c>
      <c r="V349" s="173">
        <f>IFERROR(VLOOKUP($B349,Totalt!$B$1:$AQ$554,MATCH(V$2,Totalt!$B$1:$AQ$1,0),FALSE),"")</f>
        <v>0</v>
      </c>
      <c r="W349" s="173">
        <f>IFERROR(VLOOKUP($B349,Totalt!$B$1:$AQ$554,MATCH(W$2,Totalt!$B$1:$AQ$1,0),FALSE),"")</f>
        <v>0</v>
      </c>
      <c r="X349" s="173">
        <f>IFERROR(VLOOKUP($B349,Totalt!$B$1:$AQ$554,MATCH(X$2,Totalt!$B$1:$AQ$1,0),FALSE),"")</f>
        <v>0</v>
      </c>
      <c r="Y349" s="173">
        <f>IFERROR(VLOOKUP($B349,Totalt!$B$1:$AQ$554,MATCH(Y$2,Totalt!$B$1:$AQ$1,0),FALSE),"")</f>
        <v>0</v>
      </c>
      <c r="Z349" s="173">
        <f>IFERROR(VLOOKUP($B349,Totalt!$B$1:$AQ$554,MATCH(Z$2,Totalt!$B$1:$AQ$1,0),FALSE),"")</f>
        <v>0</v>
      </c>
      <c r="AA349" s="173">
        <f>IFERROR(VLOOKUP($B349,Totalt!$B$1:$AQ$554,MATCH(AA$2,Totalt!$B$1:$AQ$1,0),FALSE),"")</f>
        <v>0</v>
      </c>
      <c r="AB349" s="173">
        <f>IFERROR(VLOOKUP($B349,Totalt!$B$1:$AQ$554,MATCH(AB$2,Totalt!$B$1:$AQ$1,0),FALSE),"")</f>
        <v>0</v>
      </c>
      <c r="AC349" s="173">
        <f>IFERROR(VLOOKUP($B349,Totalt!$B$1:$AQ$554,MATCH(AC$2,Totalt!$B$1:$AQ$1,0),FALSE),"")</f>
        <v>0</v>
      </c>
      <c r="AD349" s="173">
        <f>IFERROR(VLOOKUP($B349,Totalt!$B$1:$AQ$554,MATCH(AD$2,Totalt!$B$1:$AQ$1,0),FALSE),"")</f>
        <v>0</v>
      </c>
      <c r="AE349" s="173">
        <f>IFERROR(VLOOKUP($B349,Totalt!$B$1:$AQ$554,MATCH(AE$2,Totalt!$B$1:$AQ$1,0),FALSE),"")</f>
        <v>0</v>
      </c>
      <c r="AF349" s="173">
        <f>IFERROR(VLOOKUP($B349,Totalt!$B$1:$AQ$554,MATCH(AF$2,Totalt!$B$1:$AQ$1,0),FALSE),"")</f>
        <v>4.3400000000000001E-2</v>
      </c>
      <c r="AG349" s="173">
        <f>IFERROR(VLOOKUP($B349,Totalt!$B$1:$AQ$554,MATCH(AG$2,Totalt!$B$1:$AQ$1,0),FALSE),"")</f>
        <v>0</v>
      </c>
      <c r="AI349" s="226">
        <f t="shared" si="30"/>
        <v>2.2484000000000002</v>
      </c>
      <c r="AJ349" s="226">
        <f>IF(ISERROR(1/VLOOKUP($B349,Leveranser!$B$1:$S$500,MATCH("såld värme (gwh)",Leveranser!$B$1:$S$1,0),FALSE)),"",VLOOKUP($B349,Leveranser!$B$1:$S$500,MATCH("såld värme (gwh)",Leveranser!$B$1:$S$1,0),FALSE))</f>
        <v>1.661</v>
      </c>
      <c r="AM349" s="227" t="str">
        <f>IF(B349&lt;&gt;"",IF(VLOOKUP($B349,Totalt!$B$1:$AQ$554,MATCH("Kvalitetsgranskad:",Totalt!$B$1:$AQ$1,0),FALSE)="ja",VLOOKUP($B349,Miljö!$B$1:$AG$479,MATCH(AM$2,Miljö!$B$1:$AK$1,0),FALSE),""),"")</f>
        <v>Ja</v>
      </c>
      <c r="AN349" s="227" t="str">
        <f>IF(AM349="ja",VLOOKUP($B349,Miljö!$B$1:$J$479,MATCH("Typ av ursprungsspecificerad el   (Om inget värde anges används Nordisk residualmix, se inforuta) ()",Miljö!$B$1:$J$1,0),FALSE),IF(AM349="nej","Nordisk residualel",""))</f>
        <v>'Bra miljöval'</v>
      </c>
      <c r="AO349" s="227">
        <f>IF(AM349="","",VLOOKUP($B349,Miljö!$B$1:$J$479,MATCH("Fossilandel för ursprungspecificerad el ()",Miljö!$B$1:$J$1,0),FALSE))</f>
        <v>0</v>
      </c>
      <c r="AP349" s="227">
        <f>IF(AM349="","",IFERROR(VLOOKUP($B349,Miljö!$B$1:$J$479,MATCH("Kärnkraftsandel för ursprungsspecificerad el ()",Miljö!$B$1:$J$1,0),FALSE)/1,0))</f>
        <v>0</v>
      </c>
      <c r="AQ349" s="227">
        <f t="shared" si="31"/>
        <v>1</v>
      </c>
      <c r="AR349" s="227"/>
      <c r="AS349" s="227" t="str">
        <f t="shared" si="32"/>
        <v>Nej</v>
      </c>
      <c r="AT349" s="227" t="str">
        <f>IF(AS349="ja",VLOOKUP($B349,Miljö!$B$1:$O$500,MATCH("Fossil andel i procent (%)",Miljö!$B$1:$O$1,0),FALSE)/100,"")</f>
        <v/>
      </c>
      <c r="AU349" s="227"/>
      <c r="AV349" s="227" t="str">
        <f t="shared" si="33"/>
        <v>Nej</v>
      </c>
      <c r="AW349" s="227" t="str">
        <f>IF(AV349="ja",VLOOKUP($B349,'Egen hetvattenprod'!$B$1:$AO$500,MATCH("Värmekälla till värmepumpar ()",'Egen hetvattenprod'!$B$1:$AO$1,0),FALSE),"")</f>
        <v/>
      </c>
      <c r="AX349" s="227"/>
      <c r="AY349" s="227" t="str">
        <f t="shared" si="34"/>
        <v>Nej</v>
      </c>
      <c r="AZ349" s="228" t="str">
        <f>IF($AY349="ja",(VLOOKUP($B349,'Egen hetvattenprod'!$B$1:$BX$550,MATCH(AZ$2,'Egen hetvattenprod'!$B$1:$BX$1,0),FALSE)+VLOOKUP($B349,Kraftvärmeprod!$B$1:$BX$550,MATCH(AZ$2,Kraftvärmeprod!$B$1:$BX$1,0),FALSE))/$AC349,"")</f>
        <v/>
      </c>
      <c r="BA349" s="228" t="str">
        <f>IF($AY349="ja",(VLOOKUP($B349,'Egen hetvattenprod'!$B$1:$BX$550,MATCH(BA$2,'Egen hetvattenprod'!$B$1:$BX$1,0),FALSE)+VLOOKUP($B349,Kraftvärmeprod!$B$1:$BX$550,MATCH(BA$2,Kraftvärmeprod!$B$1:$BX$1,0),FALSE))/$AC349,"")</f>
        <v/>
      </c>
      <c r="BB349" s="228" t="str">
        <f>IF($AY349="ja",(VLOOKUP($B349,'Egen hetvattenprod'!$B$1:$BX$550,MATCH(BB$2,'Egen hetvattenprod'!$B$1:$BX$1,0),FALSE)+VLOOKUP($B349,Kraftvärmeprod!$B$1:$BX$550,MATCH(BB$2,Kraftvärmeprod!$B$1:$BX$1,0),FALSE))/$AC349,"")</f>
        <v/>
      </c>
      <c r="BC349" s="228" t="str">
        <f>IF($AY349="ja",(VLOOKUP($B349,'Egen hetvattenprod'!$B$1:$BX$550,MATCH(BC$2,'Egen hetvattenprod'!$B$1:$BX$1,0),FALSE)+VLOOKUP($B349,Kraftvärmeprod!$B$1:$BX$550,MATCH(BC$2,Kraftvärmeprod!$B$1:$BX$1,0),FALSE))/$AC349,"")</f>
        <v/>
      </c>
      <c r="BD349" s="228" t="str">
        <f>IF($AY349="ja",(VLOOKUP($B349,'Egen hetvattenprod'!$B$1:$BX$550,MATCH(BD$2,'Egen hetvattenprod'!$B$1:$BX$1,0),FALSE)+VLOOKUP($B349,Kraftvärmeprod!$B$1:$BX$550,MATCH(BD$2,Kraftvärmeprod!$B$1:$BX$1,0),FALSE))/$AC349,"")</f>
        <v/>
      </c>
      <c r="BE349" s="227"/>
      <c r="BF349" s="227" t="str">
        <f t="shared" si="35"/>
        <v>Nej</v>
      </c>
      <c r="BG349" s="227" t="str">
        <f>IF($BF349="ja",VLOOKUP($B349,'Egen hetvattenprod'!$B$1:$BX$550,MATCH("Andelen klimatgaser med fossilt ursprung för avfall ()",'Egen hetvattenprod'!$B$1:$BX$1,0),FALSE),"")</f>
        <v/>
      </c>
      <c r="BH349" s="227" t="str">
        <f>IF($BF349="ja",VLOOKUP($B349,Kraftvärmeprod!$B$1:$BX$550,MATCH("Andelen klimatgaser med fossilt ursprung för avfall ()",Kraftvärmeprod!$B$1:$BX$1,0),FALSE),"")</f>
        <v/>
      </c>
      <c r="BI349" s="227" t="str">
        <f>IF($BF349="ja",VLOOKUP($B349,'Egen hetvattenprod'!$B$1:$BX$550,MATCH("Avfall (GWh)",'Egen hetvattenprod'!$B$1:$BX$1,0),FALSE),"")</f>
        <v/>
      </c>
      <c r="BJ349" s="227" t="str">
        <f>IF($BF349="ja",VLOOKUP($B349,'Slutlig allokering kvv'!$B$1:$BX$550,MATCH("Avfall (GWh)",'Slutlig allokering kvv'!$B$1:$BX$1,0),FALSE),"")</f>
        <v/>
      </c>
      <c r="BK349" s="227" t="str">
        <f>IF($BF349="ja",VLOOKUP($B349,'Köpt hetvatten'!$B$1:$BX$550,MATCH("Avfall i köpt hetvatten",'Köpt hetvatten'!$B$1:$BX$1,0),FALSE),"")</f>
        <v/>
      </c>
      <c r="BL349" s="227" t="str">
        <f>IF($BF349="ja",VLOOKUP($B349,'Egen hetvattenprod'!$B$1:$BX$550,MATCH("Värde enligt ovan. (%)",'Egen hetvattenprod'!$B$1:$BX$1,0),FALSE),"")</f>
        <v/>
      </c>
      <c r="BM349" s="227" t="str">
        <f>IF($BF349="ja",VLOOKUP($B349,Kraftvärmeprod!$B$1:$BX$550,MATCH("Värde enligt ovan. (%)",Kraftvärmeprod!$B$1:$BX$1,0),FALSE),"")</f>
        <v/>
      </c>
      <c r="BN349" s="227"/>
      <c r="BO349" s="227"/>
      <c r="BP349" s="227"/>
      <c r="BQ349" s="227" t="str">
        <f>IF($BF349="ja",VLOOKUP($B349,'Egen hetvattenprod'!$B$1:$BX$550,MATCH("Tillförd olja (fossil) vid avfallsförbränning (GWh)",'Egen hetvattenprod'!$B$1:$BX$1,0),FALSE),"")</f>
        <v/>
      </c>
      <c r="BR349" s="227" t="str">
        <f>IF($BF349="ja",VLOOKUP($B349,Kraftvärmeprod!$B$1:$BX$550,MATCH("Tillförd olja (fossil) vid avfallsförbränning (GWh)",Kraftvärmeprod!$B$1:$BX$1,0),FALSE),"")</f>
        <v/>
      </c>
      <c r="BS349" s="227"/>
      <c r="BT349" s="227"/>
      <c r="BU349" s="227"/>
    </row>
    <row r="350" spans="1:73" x14ac:dyDescent="0.25">
      <c r="A350" s="121" t="str">
        <f>'Miljövärden för publ företag'!B353</f>
        <v>Öresundskraft AB</v>
      </c>
      <c r="B350" s="121" t="str">
        <f>'Miljövärden för publ företag'!C353</f>
        <v>Vejbystrand</v>
      </c>
      <c r="C350" s="173">
        <f>IFERROR(VLOOKUP($B350,Totalt!$B$1:$AQ$554,MATCH(C$2,Totalt!$B$1:$AQ$1,0),FALSE),"")</f>
        <v>0</v>
      </c>
      <c r="D350" s="173">
        <f>IFERROR(VLOOKUP($B350,Totalt!$B$1:$AQ$554,MATCH(D$2,Totalt!$B$1:$AQ$1,0),FALSE),"")</f>
        <v>3.8800000000000001E-2</v>
      </c>
      <c r="E350" s="173">
        <f>IFERROR(VLOOKUP($B350,Totalt!$B$1:$AQ$554,MATCH(E$2,Totalt!$B$1:$AQ$1,0),FALSE),"")</f>
        <v>0</v>
      </c>
      <c r="F350" s="173">
        <f>IFERROR(VLOOKUP($B350,Totalt!$B$1:$AQ$554,MATCH(F$2,Totalt!$B$1:$AQ$1,0),FALSE),"")</f>
        <v>0</v>
      </c>
      <c r="G350" s="173">
        <f>IFERROR(VLOOKUP($B350,Totalt!$B$1:$AQ$554,MATCH(G$2,Totalt!$B$1:$AQ$1,0),FALSE),"")</f>
        <v>0</v>
      </c>
      <c r="H350" s="173">
        <f>IFERROR(VLOOKUP($B350,Totalt!$B$1:$AQ$554,MATCH(H$2,Totalt!$B$1:$AQ$1,0),FALSE),"")</f>
        <v>0</v>
      </c>
      <c r="I350" s="173">
        <f>IFERROR(VLOOKUP($B350,Totalt!$B$1:$AQ$554,MATCH(I$2,Totalt!$B$1:$AQ$1,0),FALSE),"")</f>
        <v>0</v>
      </c>
      <c r="J350" s="173">
        <f>IFERROR(VLOOKUP($B350,Totalt!$B$1:$AQ$554,MATCH(J$2,Totalt!$B$1:$AQ$1,0),FALSE),"")</f>
        <v>0</v>
      </c>
      <c r="K350" s="173">
        <f>IFERROR(VLOOKUP($B350,Totalt!$B$1:$AQ$554,MATCH(K$2,Totalt!$B$1:$AQ$1,0),FALSE),"")</f>
        <v>0</v>
      </c>
      <c r="L350" s="173">
        <f>IFERROR(VLOOKUP($B350,Totalt!$B$1:$AQ$554,MATCH(L$2,Totalt!$B$1:$AQ$1,0),FALSE),"")</f>
        <v>0</v>
      </c>
      <c r="M350" s="173">
        <f>IFERROR(VLOOKUP($B350,Totalt!$B$1:$AQ$554,MATCH(M$2,Totalt!$B$1:$AQ$1,0),FALSE),"")</f>
        <v>0</v>
      </c>
      <c r="N350" s="173">
        <f>IFERROR(VLOOKUP($B350,Totalt!$B$1:$AQ$554,MATCH(N$2,Totalt!$B$1:$AQ$1,0),FALSE),"")</f>
        <v>0</v>
      </c>
      <c r="O350" s="173">
        <f>IFERROR(VLOOKUP($B350,Totalt!$B$1:$AQ$554,MATCH(O$2,Totalt!$B$1:$AQ$1,0),FALSE),"")</f>
        <v>0</v>
      </c>
      <c r="P350" s="173">
        <f>IFERROR(VLOOKUP($B350,Totalt!$B$1:$AQ$554,MATCH(P$2,Totalt!$B$1:$AQ$1,0),FALSE),"")</f>
        <v>0</v>
      </c>
      <c r="Q350" s="173">
        <f>IFERROR(VLOOKUP($B350,Totalt!$B$1:$AQ$554,MATCH(Q$2,Totalt!$B$1:$AQ$1,0),FALSE),"")</f>
        <v>0</v>
      </c>
      <c r="R350" s="173">
        <f>IFERROR(VLOOKUP($B350,Totalt!$B$1:$AQ$554,MATCH(R$2,Totalt!$B$1:$AQ$1,0),FALSE),"")</f>
        <v>13.19</v>
      </c>
      <c r="S350" s="173">
        <f>IFERROR(VLOOKUP($B350,Totalt!$B$1:$AQ$554,MATCH(S$2,Totalt!$B$1:$AQ$1,0),FALSE),"")</f>
        <v>0</v>
      </c>
      <c r="T350" s="173">
        <f>IFERROR(VLOOKUP($B350,Totalt!$B$1:$AQ$554,MATCH(T$2,Totalt!$B$1:$AQ$1,0),FALSE),"")</f>
        <v>0</v>
      </c>
      <c r="U350" s="173">
        <f>IFERROR(VLOOKUP($B350,Totalt!$B$1:$AQ$554,MATCH(U$2,Totalt!$B$1:$AQ$1,0),FALSE),"")</f>
        <v>0</v>
      </c>
      <c r="V350" s="173">
        <f>IFERROR(VLOOKUP($B350,Totalt!$B$1:$AQ$554,MATCH(V$2,Totalt!$B$1:$AQ$1,0),FALSE),"")</f>
        <v>0</v>
      </c>
      <c r="W350" s="173">
        <f>IFERROR(VLOOKUP($B350,Totalt!$B$1:$AQ$554,MATCH(W$2,Totalt!$B$1:$AQ$1,0),FALSE),"")</f>
        <v>0</v>
      </c>
      <c r="X350" s="173">
        <f>IFERROR(VLOOKUP($B350,Totalt!$B$1:$AQ$554,MATCH(X$2,Totalt!$B$1:$AQ$1,0),FALSE),"")</f>
        <v>0</v>
      </c>
      <c r="Y350" s="173">
        <f>IFERROR(VLOOKUP($B350,Totalt!$B$1:$AQ$554,MATCH(Y$2,Totalt!$B$1:$AQ$1,0),FALSE),"")</f>
        <v>0</v>
      </c>
      <c r="Z350" s="173">
        <f>IFERROR(VLOOKUP($B350,Totalt!$B$1:$AQ$554,MATCH(Z$2,Totalt!$B$1:$AQ$1,0),FALSE),"")</f>
        <v>0</v>
      </c>
      <c r="AA350" s="173">
        <f>IFERROR(VLOOKUP($B350,Totalt!$B$1:$AQ$554,MATCH(AA$2,Totalt!$B$1:$AQ$1,0),FALSE),"")</f>
        <v>0</v>
      </c>
      <c r="AB350" s="173">
        <f>IFERROR(VLOOKUP($B350,Totalt!$B$1:$AQ$554,MATCH(AB$2,Totalt!$B$1:$AQ$1,0),FALSE),"")</f>
        <v>0</v>
      </c>
      <c r="AC350" s="173">
        <f>IFERROR(VLOOKUP($B350,Totalt!$B$1:$AQ$554,MATCH(AC$2,Totalt!$B$1:$AQ$1,0),FALSE),"")</f>
        <v>0</v>
      </c>
      <c r="AD350" s="173">
        <f>IFERROR(VLOOKUP($B350,Totalt!$B$1:$AQ$554,MATCH(AD$2,Totalt!$B$1:$AQ$1,0),FALSE),"")</f>
        <v>0</v>
      </c>
      <c r="AE350" s="173">
        <f>IFERROR(VLOOKUP($B350,Totalt!$B$1:$AQ$554,MATCH(AE$2,Totalt!$B$1:$AQ$1,0),FALSE),"")</f>
        <v>0</v>
      </c>
      <c r="AF350" s="173">
        <f>IFERROR(VLOOKUP($B350,Totalt!$B$1:$AQ$554,MATCH(AF$2,Totalt!$B$1:$AQ$1,0),FALSE),"")</f>
        <v>0.16700000000000001</v>
      </c>
      <c r="AG350" s="173">
        <f>IFERROR(VLOOKUP($B350,Totalt!$B$1:$AQ$554,MATCH(AG$2,Totalt!$B$1:$AQ$1,0),FALSE),"")</f>
        <v>0</v>
      </c>
      <c r="AI350" s="226">
        <f t="shared" si="30"/>
        <v>13.395799999999999</v>
      </c>
      <c r="AJ350" s="226">
        <f>IF(ISERROR(1/VLOOKUP($B350,Leveranser!$B$1:$S$500,MATCH("såld värme (gwh)",Leveranser!$B$1:$S$1,0),FALSE)),"",VLOOKUP($B350,Leveranser!$B$1:$S$500,MATCH("såld värme (gwh)",Leveranser!$B$1:$S$1,0),FALSE))</f>
        <v>8.49</v>
      </c>
      <c r="AM350" s="227" t="str">
        <f>IF(B350&lt;&gt;"",IF(VLOOKUP($B350,Totalt!$B$1:$AQ$554,MATCH("Kvalitetsgranskad:",Totalt!$B$1:$AQ$1,0),FALSE)="ja",VLOOKUP($B350,Miljö!$B$1:$AG$479,MATCH(AM$2,Miljö!$B$1:$AK$1,0),FALSE),""),"")</f>
        <v>Ja</v>
      </c>
      <c r="AN350" s="227" t="str">
        <f>IF(AM350="ja",VLOOKUP($B350,Miljö!$B$1:$J$479,MATCH("Typ av ursprungsspecificerad el   (Om inget värde anges används Nordisk residualmix, se inforuta) ()",Miljö!$B$1:$J$1,0),FALSE),IF(AM350="nej","Nordisk residualel",""))</f>
        <v>'Bra miljöval'</v>
      </c>
      <c r="AO350" s="227">
        <f>IF(AM350="","",VLOOKUP($B350,Miljö!$B$1:$J$479,MATCH("Fossilandel för ursprungspecificerad el ()",Miljö!$B$1:$J$1,0),FALSE))</f>
        <v>0</v>
      </c>
      <c r="AP350" s="227">
        <f>IF(AM350="","",IFERROR(VLOOKUP($B350,Miljö!$B$1:$J$479,MATCH("Kärnkraftsandel för ursprungsspecificerad el ()",Miljö!$B$1:$J$1,0),FALSE)/1,0))</f>
        <v>0</v>
      </c>
      <c r="AQ350" s="227">
        <f t="shared" si="31"/>
        <v>1</v>
      </c>
      <c r="AR350" s="227"/>
      <c r="AS350" s="227" t="str">
        <f t="shared" si="32"/>
        <v>Nej</v>
      </c>
      <c r="AT350" s="227" t="str">
        <f>IF(AS350="ja",VLOOKUP($B350,Miljö!$B$1:$O$500,MATCH("Fossil andel i procent (%)",Miljö!$B$1:$O$1,0),FALSE)/100,"")</f>
        <v/>
      </c>
      <c r="AU350" s="227"/>
      <c r="AV350" s="227" t="str">
        <f t="shared" si="33"/>
        <v>Nej</v>
      </c>
      <c r="AW350" s="227" t="str">
        <f>IF(AV350="ja",VLOOKUP($B350,'Egen hetvattenprod'!$B$1:$AO$500,MATCH("Värmekälla till värmepumpar ()",'Egen hetvattenprod'!$B$1:$AO$1,0),FALSE),"")</f>
        <v/>
      </c>
      <c r="AX350" s="227"/>
      <c r="AY350" s="227" t="str">
        <f t="shared" si="34"/>
        <v>Nej</v>
      </c>
      <c r="AZ350" s="228" t="str">
        <f>IF($AY350="ja",(VLOOKUP($B350,'Egen hetvattenprod'!$B$1:$BX$550,MATCH(AZ$2,'Egen hetvattenprod'!$B$1:$BX$1,0),FALSE)+VLOOKUP($B350,Kraftvärmeprod!$B$1:$BX$550,MATCH(AZ$2,Kraftvärmeprod!$B$1:$BX$1,0),FALSE))/$AC350,"")</f>
        <v/>
      </c>
      <c r="BA350" s="228" t="str">
        <f>IF($AY350="ja",(VLOOKUP($B350,'Egen hetvattenprod'!$B$1:$BX$550,MATCH(BA$2,'Egen hetvattenprod'!$B$1:$BX$1,0),FALSE)+VLOOKUP($B350,Kraftvärmeprod!$B$1:$BX$550,MATCH(BA$2,Kraftvärmeprod!$B$1:$BX$1,0),FALSE))/$AC350,"")</f>
        <v/>
      </c>
      <c r="BB350" s="228" t="str">
        <f>IF($AY350="ja",(VLOOKUP($B350,'Egen hetvattenprod'!$B$1:$BX$550,MATCH(BB$2,'Egen hetvattenprod'!$B$1:$BX$1,0),FALSE)+VLOOKUP($B350,Kraftvärmeprod!$B$1:$BX$550,MATCH(BB$2,Kraftvärmeprod!$B$1:$BX$1,0),FALSE))/$AC350,"")</f>
        <v/>
      </c>
      <c r="BC350" s="228" t="str">
        <f>IF($AY350="ja",(VLOOKUP($B350,'Egen hetvattenprod'!$B$1:$BX$550,MATCH(BC$2,'Egen hetvattenprod'!$B$1:$BX$1,0),FALSE)+VLOOKUP($B350,Kraftvärmeprod!$B$1:$BX$550,MATCH(BC$2,Kraftvärmeprod!$B$1:$BX$1,0),FALSE))/$AC350,"")</f>
        <v/>
      </c>
      <c r="BD350" s="228" t="str">
        <f>IF($AY350="ja",(VLOOKUP($B350,'Egen hetvattenprod'!$B$1:$BX$550,MATCH(BD$2,'Egen hetvattenprod'!$B$1:$BX$1,0),FALSE)+VLOOKUP($B350,Kraftvärmeprod!$B$1:$BX$550,MATCH(BD$2,Kraftvärmeprod!$B$1:$BX$1,0),FALSE))/$AC350,"")</f>
        <v/>
      </c>
      <c r="BE350" s="227"/>
      <c r="BF350" s="227" t="str">
        <f t="shared" si="35"/>
        <v>Nej</v>
      </c>
      <c r="BG350" s="227" t="str">
        <f>IF($BF350="ja",VLOOKUP($B350,'Egen hetvattenprod'!$B$1:$BX$550,MATCH("Andelen klimatgaser med fossilt ursprung för avfall ()",'Egen hetvattenprod'!$B$1:$BX$1,0),FALSE),"")</f>
        <v/>
      </c>
      <c r="BH350" s="227" t="str">
        <f>IF($BF350="ja",VLOOKUP($B350,Kraftvärmeprod!$B$1:$BX$550,MATCH("Andelen klimatgaser med fossilt ursprung för avfall ()",Kraftvärmeprod!$B$1:$BX$1,0),FALSE),"")</f>
        <v/>
      </c>
      <c r="BI350" s="227" t="str">
        <f>IF($BF350="ja",VLOOKUP($B350,'Egen hetvattenprod'!$B$1:$BX$550,MATCH("Avfall (GWh)",'Egen hetvattenprod'!$B$1:$BX$1,0),FALSE),"")</f>
        <v/>
      </c>
      <c r="BJ350" s="227" t="str">
        <f>IF($BF350="ja",VLOOKUP($B350,'Slutlig allokering kvv'!$B$1:$BX$550,MATCH("Avfall (GWh)",'Slutlig allokering kvv'!$B$1:$BX$1,0),FALSE),"")</f>
        <v/>
      </c>
      <c r="BK350" s="227" t="str">
        <f>IF($BF350="ja",VLOOKUP($B350,'Köpt hetvatten'!$B$1:$BX$550,MATCH("Avfall i köpt hetvatten",'Köpt hetvatten'!$B$1:$BX$1,0),FALSE),"")</f>
        <v/>
      </c>
      <c r="BL350" s="227" t="str">
        <f>IF($BF350="ja",VLOOKUP($B350,'Egen hetvattenprod'!$B$1:$BX$550,MATCH("Värde enligt ovan. (%)",'Egen hetvattenprod'!$B$1:$BX$1,0),FALSE),"")</f>
        <v/>
      </c>
      <c r="BM350" s="227" t="str">
        <f>IF($BF350="ja",VLOOKUP($B350,Kraftvärmeprod!$B$1:$BX$550,MATCH("Värde enligt ovan. (%)",Kraftvärmeprod!$B$1:$BX$1,0),FALSE),"")</f>
        <v/>
      </c>
      <c r="BN350" s="227"/>
      <c r="BO350" s="227"/>
      <c r="BP350" s="227"/>
      <c r="BQ350" s="227" t="str">
        <f>IF($BF350="ja",VLOOKUP($B350,'Egen hetvattenprod'!$B$1:$BX$550,MATCH("Tillförd olja (fossil) vid avfallsförbränning (GWh)",'Egen hetvattenprod'!$B$1:$BX$1,0),FALSE),"")</f>
        <v/>
      </c>
      <c r="BR350" s="227" t="str">
        <f>IF($BF350="ja",VLOOKUP($B350,Kraftvärmeprod!$B$1:$BX$550,MATCH("Tillförd olja (fossil) vid avfallsförbränning (GWh)",Kraftvärmeprod!$B$1:$BX$1,0),FALSE),"")</f>
        <v/>
      </c>
      <c r="BS350" s="227"/>
      <c r="BT350" s="227"/>
      <c r="BU350" s="227"/>
    </row>
    <row r="351" spans="1:73" x14ac:dyDescent="0.25">
      <c r="A351" s="121" t="str">
        <f>'Miljövärden för publ företag'!B354</f>
        <v>Öresundskraft AB</v>
      </c>
      <c r="B351" s="121" t="str">
        <f>'Miljövärden för publ företag'!C354</f>
        <v>Ängelholm</v>
      </c>
      <c r="C351" s="173">
        <f>IFERROR(VLOOKUP($B351,Totalt!$B$1:$AQ$554,MATCH(C$2,Totalt!$B$1:$AQ$1,0),FALSE),"")</f>
        <v>0</v>
      </c>
      <c r="D351" s="173">
        <f>IFERROR(VLOOKUP($B351,Totalt!$B$1:$AQ$554,MATCH(D$2,Totalt!$B$1:$AQ$1,0),FALSE),"")</f>
        <v>1.35</v>
      </c>
      <c r="E351" s="173">
        <f>IFERROR(VLOOKUP($B351,Totalt!$B$1:$AQ$554,MATCH(E$2,Totalt!$B$1:$AQ$1,0),FALSE),"")</f>
        <v>0</v>
      </c>
      <c r="F351" s="173">
        <f>IFERROR(VLOOKUP($B351,Totalt!$B$1:$AQ$554,MATCH(F$2,Totalt!$B$1:$AQ$1,0),FALSE),"")</f>
        <v>0</v>
      </c>
      <c r="G351" s="173">
        <f>IFERROR(VLOOKUP($B351,Totalt!$B$1:$AQ$554,MATCH(G$2,Totalt!$B$1:$AQ$1,0),FALSE),"")</f>
        <v>0</v>
      </c>
      <c r="H351" s="173">
        <f>IFERROR(VLOOKUP($B351,Totalt!$B$1:$AQ$554,MATCH(H$2,Totalt!$B$1:$AQ$1,0),FALSE),"")</f>
        <v>0</v>
      </c>
      <c r="I351" s="173">
        <f>IFERROR(VLOOKUP($B351,Totalt!$B$1:$AQ$554,MATCH(I$2,Totalt!$B$1:$AQ$1,0),FALSE),"")</f>
        <v>0.38</v>
      </c>
      <c r="J351" s="173">
        <f>IFERROR(VLOOKUP($B351,Totalt!$B$1:$AQ$554,MATCH(J$2,Totalt!$B$1:$AQ$1,0),FALSE),"")</f>
        <v>0.94941200000000003</v>
      </c>
      <c r="K351" s="173">
        <f>IFERROR(VLOOKUP($B351,Totalt!$B$1:$AQ$554,MATCH(K$2,Totalt!$B$1:$AQ$1,0),FALSE),"")</f>
        <v>0</v>
      </c>
      <c r="L351" s="173">
        <f>IFERROR(VLOOKUP($B351,Totalt!$B$1:$AQ$554,MATCH(L$2,Totalt!$B$1:$AQ$1,0),FALSE),"")</f>
        <v>208.399</v>
      </c>
      <c r="M351" s="173">
        <f>IFERROR(VLOOKUP($B351,Totalt!$B$1:$AQ$554,MATCH(M$2,Totalt!$B$1:$AQ$1,0),FALSE),"")</f>
        <v>0</v>
      </c>
      <c r="N351" s="173">
        <f>IFERROR(VLOOKUP($B351,Totalt!$B$1:$AQ$554,MATCH(N$2,Totalt!$B$1:$AQ$1,0),FALSE),"")</f>
        <v>0</v>
      </c>
      <c r="O351" s="173">
        <f>IFERROR(VLOOKUP($B351,Totalt!$B$1:$AQ$554,MATCH(O$2,Totalt!$B$1:$AQ$1,0),FALSE),"")</f>
        <v>0</v>
      </c>
      <c r="P351" s="173">
        <f>IFERROR(VLOOKUP($B351,Totalt!$B$1:$AQ$554,MATCH(P$2,Totalt!$B$1:$AQ$1,0),FALSE),"")</f>
        <v>11.259</v>
      </c>
      <c r="Q351" s="173">
        <f>IFERROR(VLOOKUP($B351,Totalt!$B$1:$AQ$554,MATCH(Q$2,Totalt!$B$1:$AQ$1,0),FALSE),"")</f>
        <v>4.0270000000000001</v>
      </c>
      <c r="R351" s="173">
        <f>IFERROR(VLOOKUP($B351,Totalt!$B$1:$AQ$554,MATCH(R$2,Totalt!$B$1:$AQ$1,0),FALSE),"")</f>
        <v>0</v>
      </c>
      <c r="S351" s="173">
        <f>IFERROR(VLOOKUP($B351,Totalt!$B$1:$AQ$554,MATCH(S$2,Totalt!$B$1:$AQ$1,0),FALSE),"")</f>
        <v>0</v>
      </c>
      <c r="T351" s="173">
        <f>IFERROR(VLOOKUP($B351,Totalt!$B$1:$AQ$554,MATCH(T$2,Totalt!$B$1:$AQ$1,0),FALSE),"")</f>
        <v>0</v>
      </c>
      <c r="U351" s="173">
        <f>IFERROR(VLOOKUP($B351,Totalt!$B$1:$AQ$554,MATCH(U$2,Totalt!$B$1:$AQ$1,0),FALSE),"")</f>
        <v>0</v>
      </c>
      <c r="V351" s="173">
        <f>IFERROR(VLOOKUP($B351,Totalt!$B$1:$AQ$554,MATCH(V$2,Totalt!$B$1:$AQ$1,0),FALSE),"")</f>
        <v>0</v>
      </c>
      <c r="W351" s="173">
        <f>IFERROR(VLOOKUP($B351,Totalt!$B$1:$AQ$554,MATCH(W$2,Totalt!$B$1:$AQ$1,0),FALSE),"")</f>
        <v>0</v>
      </c>
      <c r="X351" s="173">
        <f>IFERROR(VLOOKUP($B351,Totalt!$B$1:$AQ$554,MATCH(X$2,Totalt!$B$1:$AQ$1,0),FALSE),"")</f>
        <v>0</v>
      </c>
      <c r="Y351" s="173">
        <f>IFERROR(VLOOKUP($B351,Totalt!$B$1:$AQ$554,MATCH(Y$2,Totalt!$B$1:$AQ$1,0),FALSE),"")</f>
        <v>0</v>
      </c>
      <c r="Z351" s="173">
        <f>IFERROR(VLOOKUP($B351,Totalt!$B$1:$AQ$554,MATCH(Z$2,Totalt!$B$1:$AQ$1,0),FALSE),"")</f>
        <v>0</v>
      </c>
      <c r="AA351" s="173">
        <f>IFERROR(VLOOKUP($B351,Totalt!$B$1:$AQ$554,MATCH(AA$2,Totalt!$B$1:$AQ$1,0),FALSE),"")</f>
        <v>0</v>
      </c>
      <c r="AB351" s="173">
        <f>IFERROR(VLOOKUP($B351,Totalt!$B$1:$AQ$554,MATCH(AB$2,Totalt!$B$1:$AQ$1,0),FALSE),"")</f>
        <v>0</v>
      </c>
      <c r="AC351" s="173">
        <f>IFERROR(VLOOKUP($B351,Totalt!$B$1:$AQ$554,MATCH(AC$2,Totalt!$B$1:$AQ$1,0),FALSE),"")</f>
        <v>0</v>
      </c>
      <c r="AD351" s="173">
        <f>IFERROR(VLOOKUP($B351,Totalt!$B$1:$AQ$554,MATCH(AD$2,Totalt!$B$1:$AQ$1,0),FALSE),"")</f>
        <v>0.318</v>
      </c>
      <c r="AE351" s="173">
        <f>IFERROR(VLOOKUP($B351,Totalt!$B$1:$AQ$554,MATCH(AE$2,Totalt!$B$1:$AQ$1,0),FALSE),"")</f>
        <v>0</v>
      </c>
      <c r="AF351" s="173">
        <f>IFERROR(VLOOKUP($B351,Totalt!$B$1:$AQ$554,MATCH(AF$2,Totalt!$B$1:$AQ$1,0),FALSE),"")</f>
        <v>8.6820000000000004</v>
      </c>
      <c r="AG351" s="173">
        <f>IFERROR(VLOOKUP($B351,Totalt!$B$1:$AQ$554,MATCH(AG$2,Totalt!$B$1:$AQ$1,0),FALSE),"")</f>
        <v>0</v>
      </c>
      <c r="AI351" s="226">
        <f t="shared" si="30"/>
        <v>235.36441200000002</v>
      </c>
      <c r="AJ351" s="226">
        <f>IF(ISERROR(1/VLOOKUP($B351,Leveranser!$B$1:$S$500,MATCH("såld värme (gwh)",Leveranser!$B$1:$S$1,0),FALSE)),"",VLOOKUP($B351,Leveranser!$B$1:$S$500,MATCH("såld värme (gwh)",Leveranser!$B$1:$S$1,0),FALSE))</f>
        <v>171.738</v>
      </c>
      <c r="AM351" s="227" t="str">
        <f>IF(B351&lt;&gt;"",IF(VLOOKUP($B351,Totalt!$B$1:$AQ$554,MATCH("Kvalitetsgranskad:",Totalt!$B$1:$AQ$1,0),FALSE)="ja",VLOOKUP($B351,Miljö!$B$1:$AG$479,MATCH(AM$2,Miljö!$B$1:$AK$1,0),FALSE),""),"")</f>
        <v>Ja</v>
      </c>
      <c r="AN351" s="227" t="str">
        <f>IF(AM351="ja",VLOOKUP($B351,Miljö!$B$1:$J$479,MATCH("Typ av ursprungsspecificerad el   (Om inget värde anges används Nordisk residualmix, se inforuta) ()",Miljö!$B$1:$J$1,0),FALSE),IF(AM351="nej","Nordisk residualel",""))</f>
        <v>'Bra Miljöval'</v>
      </c>
      <c r="AO351" s="227">
        <f>IF(AM351="","",VLOOKUP($B351,Miljö!$B$1:$J$479,MATCH("Fossilandel för ursprungspecificerad el ()",Miljö!$B$1:$J$1,0),FALSE))</f>
        <v>0</v>
      </c>
      <c r="AP351" s="227">
        <f>IF(AM351="","",IFERROR(VLOOKUP($B351,Miljö!$B$1:$J$479,MATCH("Kärnkraftsandel för ursprungsspecificerad el ()",Miljö!$B$1:$J$1,0),FALSE)/1,0))</f>
        <v>0</v>
      </c>
      <c r="AQ351" s="227">
        <f t="shared" si="31"/>
        <v>1</v>
      </c>
      <c r="AR351" s="227"/>
      <c r="AS351" s="227" t="str">
        <f t="shared" si="32"/>
        <v>Nej</v>
      </c>
      <c r="AT351" s="227" t="str">
        <f>IF(AS351="ja",VLOOKUP($B351,Miljö!$B$1:$O$500,MATCH("Fossil andel i procent (%)",Miljö!$B$1:$O$1,0),FALSE)/100,"")</f>
        <v/>
      </c>
      <c r="AU351" s="227"/>
      <c r="AV351" s="227" t="str">
        <f t="shared" si="33"/>
        <v>Nej</v>
      </c>
      <c r="AW351" s="227" t="str">
        <f>IF(AV351="ja",VLOOKUP($B351,'Egen hetvattenprod'!$B$1:$AO$500,MATCH("Värmekälla till värmepumpar ()",'Egen hetvattenprod'!$B$1:$AO$1,0),FALSE),"")</f>
        <v/>
      </c>
      <c r="AX351" s="227"/>
      <c r="AY351" s="227" t="str">
        <f t="shared" si="34"/>
        <v>Nej</v>
      </c>
      <c r="AZ351" s="228" t="str">
        <f>IF($AY351="ja",(VLOOKUP($B351,'Egen hetvattenprod'!$B$1:$BX$550,MATCH(AZ$2,'Egen hetvattenprod'!$B$1:$BX$1,0),FALSE)+VLOOKUP($B351,Kraftvärmeprod!$B$1:$BX$550,MATCH(AZ$2,Kraftvärmeprod!$B$1:$BX$1,0),FALSE))/$AC351,"")</f>
        <v/>
      </c>
      <c r="BA351" s="228" t="str">
        <f>IF($AY351="ja",(VLOOKUP($B351,'Egen hetvattenprod'!$B$1:$BX$550,MATCH(BA$2,'Egen hetvattenprod'!$B$1:$BX$1,0),FALSE)+VLOOKUP($B351,Kraftvärmeprod!$B$1:$BX$550,MATCH(BA$2,Kraftvärmeprod!$B$1:$BX$1,0),FALSE))/$AC351,"")</f>
        <v/>
      </c>
      <c r="BB351" s="228" t="str">
        <f>IF($AY351="ja",(VLOOKUP($B351,'Egen hetvattenprod'!$B$1:$BX$550,MATCH(BB$2,'Egen hetvattenprod'!$B$1:$BX$1,0),FALSE)+VLOOKUP($B351,Kraftvärmeprod!$B$1:$BX$550,MATCH(BB$2,Kraftvärmeprod!$B$1:$BX$1,0),FALSE))/$AC351,"")</f>
        <v/>
      </c>
      <c r="BC351" s="228" t="str">
        <f>IF($AY351="ja",(VLOOKUP($B351,'Egen hetvattenprod'!$B$1:$BX$550,MATCH(BC$2,'Egen hetvattenprod'!$B$1:$BX$1,0),FALSE)+VLOOKUP($B351,Kraftvärmeprod!$B$1:$BX$550,MATCH(BC$2,Kraftvärmeprod!$B$1:$BX$1,0),FALSE))/$AC351,"")</f>
        <v/>
      </c>
      <c r="BD351" s="228" t="str">
        <f>IF($AY351="ja",(VLOOKUP($B351,'Egen hetvattenprod'!$B$1:$BX$550,MATCH(BD$2,'Egen hetvattenprod'!$B$1:$BX$1,0),FALSE)+VLOOKUP($B351,Kraftvärmeprod!$B$1:$BX$550,MATCH(BD$2,Kraftvärmeprod!$B$1:$BX$1,0),FALSE))/$AC351,"")</f>
        <v/>
      </c>
      <c r="BE351" s="227"/>
      <c r="BF351" s="227" t="str">
        <f t="shared" si="35"/>
        <v>Ja</v>
      </c>
      <c r="BG351" s="227" t="str">
        <f>IF($BF351="ja",VLOOKUP($B351,'Egen hetvattenprod'!$B$1:$BX$550,MATCH("Andelen klimatgaser med fossilt ursprung för avfall ()",'Egen hetvattenprod'!$B$1:$BX$1,0),FALSE),"")</f>
        <v>Schablon</v>
      </c>
      <c r="BH351" s="227" t="str">
        <f>IF($BF351="ja",VLOOKUP($B351,Kraftvärmeprod!$B$1:$BX$550,MATCH("Andelen klimatgaser med fossilt ursprung för avfall ()",Kraftvärmeprod!$B$1:$BX$1,0),FALSE),"")</f>
        <v>-</v>
      </c>
      <c r="BI351" s="227">
        <f>IF($BF351="ja",VLOOKUP($B351,'Egen hetvattenprod'!$B$1:$BX$550,MATCH("Avfall (GWh)",'Egen hetvattenprod'!$B$1:$BX$1,0),FALSE),"")</f>
        <v>0.38</v>
      </c>
      <c r="BJ351" s="227">
        <f>IF($BF351="ja",VLOOKUP($B351,'Slutlig allokering kvv'!$B$1:$BX$550,MATCH("Avfall (GWh)",'Slutlig allokering kvv'!$B$1:$BX$1,0),FALSE),"")</f>
        <v>0</v>
      </c>
      <c r="BK351" s="227">
        <f>IF($BF351="ja",VLOOKUP($B351,'Köpt hetvatten'!$B$1:$BX$550,MATCH("Avfall i köpt hetvatten",'Köpt hetvatten'!$B$1:$BX$1,0),FALSE),"")</f>
        <v>0</v>
      </c>
      <c r="BL351" s="227">
        <f>IF($BF351="ja",VLOOKUP($B351,'Egen hetvattenprod'!$B$1:$BX$550,MATCH("Värde enligt ovan. (%)",'Egen hetvattenprod'!$B$1:$BX$1,0),FALSE),"")</f>
        <v>40.5</v>
      </c>
      <c r="BM351" s="227" t="str">
        <f>IF($BF351="ja",VLOOKUP($B351,Kraftvärmeprod!$B$1:$BX$550,MATCH("Värde enligt ovan. (%)",Kraftvärmeprod!$B$1:$BX$1,0),FALSE),"")</f>
        <v>ET</v>
      </c>
      <c r="BN351" s="227"/>
      <c r="BO351" s="227"/>
      <c r="BP351" s="227"/>
      <c r="BQ351" s="227" t="str">
        <f>IF($BF351="ja",VLOOKUP($B351,'Egen hetvattenprod'!$B$1:$BX$550,MATCH("Tillförd olja (fossil) vid avfallsförbränning (GWh)",'Egen hetvattenprod'!$B$1:$BX$1,0),FALSE),"")</f>
        <v>ET</v>
      </c>
      <c r="BR351" s="227" t="str">
        <f>IF($BF351="ja",VLOOKUP($B351,Kraftvärmeprod!$B$1:$BX$550,MATCH("Tillförd olja (fossil) vid avfallsförbränning (GWh)",Kraftvärmeprod!$B$1:$BX$1,0),FALSE),"")</f>
        <v>ET</v>
      </c>
      <c r="BS351" s="227"/>
      <c r="BT351" s="227"/>
      <c r="BU351" s="227"/>
    </row>
    <row r="352" spans="1:73" x14ac:dyDescent="0.25">
      <c r="A352" s="121" t="str">
        <f>'Miljövärden för publ företag'!B355</f>
        <v>Örkelljunga Fjärrvärmeverk AB</v>
      </c>
      <c r="B352" s="121" t="str">
        <f>'Miljövärden för publ företag'!C355</f>
        <v>Örkelljunga</v>
      </c>
      <c r="C352" s="173">
        <f>IFERROR(VLOOKUP($B352,Totalt!$B$1:$AQ$554,MATCH(C$2,Totalt!$B$1:$AQ$1,0),FALSE),"")</f>
        <v>0</v>
      </c>
      <c r="D352" s="173">
        <f>IFERROR(VLOOKUP($B352,Totalt!$B$1:$AQ$554,MATCH(D$2,Totalt!$B$1:$AQ$1,0),FALSE),"")</f>
        <v>0.1</v>
      </c>
      <c r="E352" s="173">
        <f>IFERROR(VLOOKUP($B352,Totalt!$B$1:$AQ$554,MATCH(E$2,Totalt!$B$1:$AQ$1,0),FALSE),"")</f>
        <v>0</v>
      </c>
      <c r="F352" s="173">
        <f>IFERROR(VLOOKUP($B352,Totalt!$B$1:$AQ$554,MATCH(F$2,Totalt!$B$1:$AQ$1,0),FALSE),"")</f>
        <v>0</v>
      </c>
      <c r="G352" s="173">
        <f>IFERROR(VLOOKUP($B352,Totalt!$B$1:$AQ$554,MATCH(G$2,Totalt!$B$1:$AQ$1,0),FALSE),"")</f>
        <v>0</v>
      </c>
      <c r="H352" s="173">
        <f>IFERROR(VLOOKUP($B352,Totalt!$B$1:$AQ$554,MATCH(H$2,Totalt!$B$1:$AQ$1,0),FALSE),"")</f>
        <v>0</v>
      </c>
      <c r="I352" s="173">
        <f>IFERROR(VLOOKUP($B352,Totalt!$B$1:$AQ$554,MATCH(I$2,Totalt!$B$1:$AQ$1,0),FALSE),"")</f>
        <v>0</v>
      </c>
      <c r="J352" s="173">
        <f>IFERROR(VLOOKUP($B352,Totalt!$B$1:$AQ$554,MATCH(J$2,Totalt!$B$1:$AQ$1,0),FALSE),"")</f>
        <v>0</v>
      </c>
      <c r="K352" s="173">
        <f>IFERROR(VLOOKUP($B352,Totalt!$B$1:$AQ$554,MATCH(K$2,Totalt!$B$1:$AQ$1,0),FALSE),"")</f>
        <v>0</v>
      </c>
      <c r="L352" s="173">
        <f>IFERROR(VLOOKUP($B352,Totalt!$B$1:$AQ$554,MATCH(L$2,Totalt!$B$1:$AQ$1,0),FALSE),"")</f>
        <v>0</v>
      </c>
      <c r="M352" s="173">
        <f>IFERROR(VLOOKUP($B352,Totalt!$B$1:$AQ$554,MATCH(M$2,Totalt!$B$1:$AQ$1,0),FALSE),"")</f>
        <v>0</v>
      </c>
      <c r="N352" s="173">
        <f>IFERROR(VLOOKUP($B352,Totalt!$B$1:$AQ$554,MATCH(N$2,Totalt!$B$1:$AQ$1,0),FALSE),"")</f>
        <v>33.719000000000001</v>
      </c>
      <c r="O352" s="173">
        <f>IFERROR(VLOOKUP($B352,Totalt!$B$1:$AQ$554,MATCH(O$2,Totalt!$B$1:$AQ$1,0),FALSE),"")</f>
        <v>0</v>
      </c>
      <c r="P352" s="173">
        <f>IFERROR(VLOOKUP($B352,Totalt!$B$1:$AQ$554,MATCH(P$2,Totalt!$B$1:$AQ$1,0),FALSE),"")</f>
        <v>0</v>
      </c>
      <c r="Q352" s="173">
        <f>IFERROR(VLOOKUP($B352,Totalt!$B$1:$AQ$554,MATCH(Q$2,Totalt!$B$1:$AQ$1,0),FALSE),"")</f>
        <v>0</v>
      </c>
      <c r="R352" s="173">
        <f>IFERROR(VLOOKUP($B352,Totalt!$B$1:$AQ$554,MATCH(R$2,Totalt!$B$1:$AQ$1,0),FALSE),"")</f>
        <v>0</v>
      </c>
      <c r="S352" s="173">
        <f>IFERROR(VLOOKUP($B352,Totalt!$B$1:$AQ$554,MATCH(S$2,Totalt!$B$1:$AQ$1,0),FALSE),"")</f>
        <v>0</v>
      </c>
      <c r="T352" s="173">
        <f>IFERROR(VLOOKUP($B352,Totalt!$B$1:$AQ$554,MATCH(T$2,Totalt!$B$1:$AQ$1,0),FALSE),"")</f>
        <v>0</v>
      </c>
      <c r="U352" s="173">
        <f>IFERROR(VLOOKUP($B352,Totalt!$B$1:$AQ$554,MATCH(U$2,Totalt!$B$1:$AQ$1,0),FALSE),"")</f>
        <v>0</v>
      </c>
      <c r="V352" s="173">
        <f>IFERROR(VLOOKUP($B352,Totalt!$B$1:$AQ$554,MATCH(V$2,Totalt!$B$1:$AQ$1,0),FALSE),"")</f>
        <v>0</v>
      </c>
      <c r="W352" s="173">
        <f>IFERROR(VLOOKUP($B352,Totalt!$B$1:$AQ$554,MATCH(W$2,Totalt!$B$1:$AQ$1,0),FALSE),"")</f>
        <v>0</v>
      </c>
      <c r="X352" s="173">
        <f>IFERROR(VLOOKUP($B352,Totalt!$B$1:$AQ$554,MATCH(X$2,Totalt!$B$1:$AQ$1,0),FALSE),"")</f>
        <v>0</v>
      </c>
      <c r="Y352" s="173">
        <f>IFERROR(VLOOKUP($B352,Totalt!$B$1:$AQ$554,MATCH(Y$2,Totalt!$B$1:$AQ$1,0),FALSE),"")</f>
        <v>0</v>
      </c>
      <c r="Z352" s="173">
        <f>IFERROR(VLOOKUP($B352,Totalt!$B$1:$AQ$554,MATCH(Z$2,Totalt!$B$1:$AQ$1,0),FALSE),"")</f>
        <v>0</v>
      </c>
      <c r="AA352" s="173">
        <f>IFERROR(VLOOKUP($B352,Totalt!$B$1:$AQ$554,MATCH(AA$2,Totalt!$B$1:$AQ$1,0),FALSE),"")</f>
        <v>0</v>
      </c>
      <c r="AB352" s="173">
        <f>IFERROR(VLOOKUP($B352,Totalt!$B$1:$AQ$554,MATCH(AB$2,Totalt!$B$1:$AQ$1,0),FALSE),"")</f>
        <v>0</v>
      </c>
      <c r="AC352" s="173">
        <f>IFERROR(VLOOKUP($B352,Totalt!$B$1:$AQ$554,MATCH(AC$2,Totalt!$B$1:$AQ$1,0),FALSE),"")</f>
        <v>4.0999999999999996</v>
      </c>
      <c r="AD352" s="173">
        <f>IFERROR(VLOOKUP($B352,Totalt!$B$1:$AQ$554,MATCH(AD$2,Totalt!$B$1:$AQ$1,0),FALSE),"")</f>
        <v>0</v>
      </c>
      <c r="AE352" s="173">
        <f>IFERROR(VLOOKUP($B352,Totalt!$B$1:$AQ$554,MATCH(AE$2,Totalt!$B$1:$AQ$1,0),FALSE),"")</f>
        <v>0</v>
      </c>
      <c r="AF352" s="173">
        <f>IFERROR(VLOOKUP($B352,Totalt!$B$1:$AQ$554,MATCH(AF$2,Totalt!$B$1:$AQ$1,0),FALSE),"")</f>
        <v>0.81599999999999995</v>
      </c>
      <c r="AG352" s="173">
        <f>IFERROR(VLOOKUP($B352,Totalt!$B$1:$AQ$554,MATCH(AG$2,Totalt!$B$1:$AQ$1,0),FALSE),"")</f>
        <v>0</v>
      </c>
      <c r="AI352" s="226">
        <f t="shared" si="30"/>
        <v>38.735000000000007</v>
      </c>
      <c r="AJ352" s="226">
        <f>IF(ISERROR(1/VLOOKUP($B352,Leveranser!$B$1:$S$500,MATCH("såld värme (gwh)",Leveranser!$B$1:$S$1,0),FALSE)),"",VLOOKUP($B352,Leveranser!$B$1:$S$500,MATCH("såld värme (gwh)",Leveranser!$B$1:$S$1,0),FALSE))</f>
        <v>27.2</v>
      </c>
      <c r="AM352" s="227" t="str">
        <f>IF(B352&lt;&gt;"",IF(VLOOKUP($B352,Totalt!$B$1:$AQ$554,MATCH("Kvalitetsgranskad:",Totalt!$B$1:$AQ$1,0),FALSE)="ja",VLOOKUP($B352,Miljö!$B$1:$AG$479,MATCH(AM$2,Miljö!$B$1:$AK$1,0),FALSE),""),"")</f>
        <v>Ja</v>
      </c>
      <c r="AN352" s="227" t="str">
        <f>IF(AM352="ja",VLOOKUP($B352,Miljö!$B$1:$J$479,MATCH("Typ av ursprungsspecificerad el   (Om inget värde anges används Nordisk residualmix, se inforuta) ()",Miljö!$B$1:$J$1,0),FALSE),IF(AM352="nej","Nordisk residualel",""))</f>
        <v>-</v>
      </c>
      <c r="AO352" s="227">
        <f>IF(AM352="","",VLOOKUP($B352,Miljö!$B$1:$J$479,MATCH("Fossilandel för ursprungspecificerad el ()",Miljö!$B$1:$J$1,0),FALSE))</f>
        <v>0.43</v>
      </c>
      <c r="AP352" s="227">
        <f>IF(AM352="","",IFERROR(VLOOKUP($B352,Miljö!$B$1:$J$479,MATCH("Kärnkraftsandel för ursprungsspecificerad el ()",Miljö!$B$1:$J$1,0),FALSE)/1,0))</f>
        <v>0.40550000000000003</v>
      </c>
      <c r="AQ352" s="227">
        <f t="shared" si="31"/>
        <v>0.16450000000000004</v>
      </c>
      <c r="AR352" s="227"/>
      <c r="AS352" s="227" t="str">
        <f t="shared" si="32"/>
        <v>Nej</v>
      </c>
      <c r="AT352" s="227" t="str">
        <f>IF(AS352="ja",VLOOKUP($B352,Miljö!$B$1:$O$500,MATCH("Fossil andel i procent (%)",Miljö!$B$1:$O$1,0),FALSE)/100,"")</f>
        <v/>
      </c>
      <c r="AU352" s="227"/>
      <c r="AV352" s="227" t="str">
        <f t="shared" si="33"/>
        <v>Nej</v>
      </c>
      <c r="AW352" s="227" t="str">
        <f>IF(AV352="ja",VLOOKUP($B352,'Egen hetvattenprod'!$B$1:$AO$500,MATCH("Värmekälla till värmepumpar ()",'Egen hetvattenprod'!$B$1:$AO$1,0),FALSE),"")</f>
        <v/>
      </c>
      <c r="AX352" s="227"/>
      <c r="AY352" s="227" t="str">
        <f t="shared" si="34"/>
        <v>Ja</v>
      </c>
      <c r="AZ352" s="228">
        <f>IF($AY352="ja",(VLOOKUP($B352,'Egen hetvattenprod'!$B$1:$BX$550,MATCH(AZ$2,'Egen hetvattenprod'!$B$1:$BX$1,0),FALSE)+VLOOKUP($B352,Kraftvärmeprod!$B$1:$BX$550,MATCH(AZ$2,Kraftvärmeprod!$B$1:$BX$1,0),FALSE))/$AC352,"")</f>
        <v>1</v>
      </c>
      <c r="BA352" s="228">
        <f>IF($AY352="ja",(VLOOKUP($B352,'Egen hetvattenprod'!$B$1:$BX$550,MATCH(BA$2,'Egen hetvattenprod'!$B$1:$BX$1,0),FALSE)+VLOOKUP($B352,Kraftvärmeprod!$B$1:$BX$550,MATCH(BA$2,Kraftvärmeprod!$B$1:$BX$1,0),FALSE))/$AC352,"")</f>
        <v>0</v>
      </c>
      <c r="BB352" s="228">
        <f>IF($AY352="ja",(VLOOKUP($B352,'Egen hetvattenprod'!$B$1:$BX$550,MATCH(BB$2,'Egen hetvattenprod'!$B$1:$BX$1,0),FALSE)+VLOOKUP($B352,Kraftvärmeprod!$B$1:$BX$550,MATCH(BB$2,Kraftvärmeprod!$B$1:$BX$1,0),FALSE))/$AC352,"")</f>
        <v>0</v>
      </c>
      <c r="BC352" s="228">
        <f>IF($AY352="ja",(VLOOKUP($B352,'Egen hetvattenprod'!$B$1:$BX$550,MATCH(BC$2,'Egen hetvattenprod'!$B$1:$BX$1,0),FALSE)+VLOOKUP($B352,Kraftvärmeprod!$B$1:$BX$550,MATCH(BC$2,Kraftvärmeprod!$B$1:$BX$1,0),FALSE))/$AC352,"")</f>
        <v>0</v>
      </c>
      <c r="BD352" s="228">
        <f>IF($AY352="ja",(VLOOKUP($B352,'Egen hetvattenprod'!$B$1:$BX$550,MATCH(BD$2,'Egen hetvattenprod'!$B$1:$BX$1,0),FALSE)+VLOOKUP($B352,Kraftvärmeprod!$B$1:$BX$550,MATCH(BD$2,Kraftvärmeprod!$B$1:$BX$1,0),FALSE))/$AC352,"")</f>
        <v>0</v>
      </c>
      <c r="BE352" s="227"/>
      <c r="BF352" s="227" t="str">
        <f t="shared" si="35"/>
        <v>Nej</v>
      </c>
      <c r="BG352" s="227" t="str">
        <f>IF($BF352="ja",VLOOKUP($B352,'Egen hetvattenprod'!$B$1:$BX$550,MATCH("Andelen klimatgaser med fossilt ursprung för avfall ()",'Egen hetvattenprod'!$B$1:$BX$1,0),FALSE),"")</f>
        <v/>
      </c>
      <c r="BH352" s="227" t="str">
        <f>IF($BF352="ja",VLOOKUP($B352,Kraftvärmeprod!$B$1:$BX$550,MATCH("Andelen klimatgaser med fossilt ursprung för avfall ()",Kraftvärmeprod!$B$1:$BX$1,0),FALSE),"")</f>
        <v/>
      </c>
      <c r="BI352" s="227" t="str">
        <f>IF($BF352="ja",VLOOKUP($B352,'Egen hetvattenprod'!$B$1:$BX$550,MATCH("Avfall (GWh)",'Egen hetvattenprod'!$B$1:$BX$1,0),FALSE),"")</f>
        <v/>
      </c>
      <c r="BJ352" s="227" t="str">
        <f>IF($BF352="ja",VLOOKUP($B352,'Slutlig allokering kvv'!$B$1:$BX$550,MATCH("Avfall (GWh)",'Slutlig allokering kvv'!$B$1:$BX$1,0),FALSE),"")</f>
        <v/>
      </c>
      <c r="BK352" s="227" t="str">
        <f>IF($BF352="ja",VLOOKUP($B352,'Köpt hetvatten'!$B$1:$BX$550,MATCH("Avfall i köpt hetvatten",'Köpt hetvatten'!$B$1:$BX$1,0),FALSE),"")</f>
        <v/>
      </c>
      <c r="BL352" s="227" t="str">
        <f>IF($BF352="ja",VLOOKUP($B352,'Egen hetvattenprod'!$B$1:$BX$550,MATCH("Värde enligt ovan. (%)",'Egen hetvattenprod'!$B$1:$BX$1,0),FALSE),"")</f>
        <v/>
      </c>
      <c r="BM352" s="227" t="str">
        <f>IF($BF352="ja",VLOOKUP($B352,Kraftvärmeprod!$B$1:$BX$550,MATCH("Värde enligt ovan. (%)",Kraftvärmeprod!$B$1:$BX$1,0),FALSE),"")</f>
        <v/>
      </c>
      <c r="BN352" s="227"/>
      <c r="BO352" s="227"/>
      <c r="BP352" s="227"/>
      <c r="BQ352" s="227" t="str">
        <f>IF($BF352="ja",VLOOKUP($B352,'Egen hetvattenprod'!$B$1:$BX$550,MATCH("Tillförd olja (fossil) vid avfallsförbränning (GWh)",'Egen hetvattenprod'!$B$1:$BX$1,0),FALSE),"")</f>
        <v/>
      </c>
      <c r="BR352" s="227" t="str">
        <f>IF($BF352="ja",VLOOKUP($B352,Kraftvärmeprod!$B$1:$BX$550,MATCH("Tillförd olja (fossil) vid avfallsförbränning (GWh)",Kraftvärmeprod!$B$1:$BX$1,0),FALSE),"")</f>
        <v/>
      </c>
      <c r="BS352" s="227"/>
      <c r="BT352" s="227"/>
      <c r="BU352" s="227"/>
    </row>
    <row r="353" spans="1:73" x14ac:dyDescent="0.25">
      <c r="A353" s="121" t="str">
        <f>'Miljövärden för publ företag'!B356</f>
        <v>Österlens Kraft AB</v>
      </c>
      <c r="B353" s="121" t="str">
        <f>'Miljövärden för publ företag'!C356</f>
        <v>Simrishamn</v>
      </c>
      <c r="C353" s="173">
        <f>IFERROR(VLOOKUP($B353,Totalt!$B$1:$AQ$554,MATCH(C$2,Totalt!$B$1:$AQ$1,0),FALSE),"")</f>
        <v>0</v>
      </c>
      <c r="D353" s="173">
        <f>IFERROR(VLOOKUP($B353,Totalt!$B$1:$AQ$554,MATCH(D$2,Totalt!$B$1:$AQ$1,0),FALSE),"")</f>
        <v>3</v>
      </c>
      <c r="E353" s="173">
        <f>IFERROR(VLOOKUP($B353,Totalt!$B$1:$AQ$554,MATCH(E$2,Totalt!$B$1:$AQ$1,0),FALSE),"")</f>
        <v>0</v>
      </c>
      <c r="F353" s="173">
        <f>IFERROR(VLOOKUP($B353,Totalt!$B$1:$AQ$554,MATCH(F$2,Totalt!$B$1:$AQ$1,0),FALSE),"")</f>
        <v>0</v>
      </c>
      <c r="G353" s="173">
        <f>IFERROR(VLOOKUP($B353,Totalt!$B$1:$AQ$554,MATCH(G$2,Totalt!$B$1:$AQ$1,0),FALSE),"")</f>
        <v>0</v>
      </c>
      <c r="H353" s="173">
        <f>IFERROR(VLOOKUP($B353,Totalt!$B$1:$AQ$554,MATCH(H$2,Totalt!$B$1:$AQ$1,0),FALSE),"")</f>
        <v>0</v>
      </c>
      <c r="I353" s="173">
        <f>IFERROR(VLOOKUP($B353,Totalt!$B$1:$AQ$554,MATCH(I$2,Totalt!$B$1:$AQ$1,0),FALSE),"")</f>
        <v>0</v>
      </c>
      <c r="J353" s="173">
        <f>IFERROR(VLOOKUP($B353,Totalt!$B$1:$AQ$554,MATCH(J$2,Totalt!$B$1:$AQ$1,0),FALSE),"")</f>
        <v>0</v>
      </c>
      <c r="K353" s="173">
        <f>IFERROR(VLOOKUP($B353,Totalt!$B$1:$AQ$554,MATCH(K$2,Totalt!$B$1:$AQ$1,0),FALSE),"")</f>
        <v>0</v>
      </c>
      <c r="L353" s="173">
        <f>IFERROR(VLOOKUP($B353,Totalt!$B$1:$AQ$554,MATCH(L$2,Totalt!$B$1:$AQ$1,0),FALSE),"")</f>
        <v>0</v>
      </c>
      <c r="M353" s="173">
        <f>IFERROR(VLOOKUP($B353,Totalt!$B$1:$AQ$554,MATCH(M$2,Totalt!$B$1:$AQ$1,0),FALSE),"")</f>
        <v>0</v>
      </c>
      <c r="N353" s="173">
        <f>IFERROR(VLOOKUP($B353,Totalt!$B$1:$AQ$554,MATCH(N$2,Totalt!$B$1:$AQ$1,0),FALSE),"")</f>
        <v>0</v>
      </c>
      <c r="O353" s="173">
        <f>IFERROR(VLOOKUP($B353,Totalt!$B$1:$AQ$554,MATCH(O$2,Totalt!$B$1:$AQ$1,0),FALSE),"")</f>
        <v>0</v>
      </c>
      <c r="P353" s="173">
        <f>IFERROR(VLOOKUP($B353,Totalt!$B$1:$AQ$554,MATCH(P$2,Totalt!$B$1:$AQ$1,0),FALSE),"")</f>
        <v>0</v>
      </c>
      <c r="Q353" s="173">
        <f>IFERROR(VLOOKUP($B353,Totalt!$B$1:$AQ$554,MATCH(Q$2,Totalt!$B$1:$AQ$1,0),FALSE),"")</f>
        <v>53.4</v>
      </c>
      <c r="R353" s="173">
        <f>IFERROR(VLOOKUP($B353,Totalt!$B$1:$AQ$554,MATCH(R$2,Totalt!$B$1:$AQ$1,0),FALSE),"")</f>
        <v>0</v>
      </c>
      <c r="S353" s="173">
        <f>IFERROR(VLOOKUP($B353,Totalt!$B$1:$AQ$554,MATCH(S$2,Totalt!$B$1:$AQ$1,0),FALSE),"")</f>
        <v>0</v>
      </c>
      <c r="T353" s="173">
        <f>IFERROR(VLOOKUP($B353,Totalt!$B$1:$AQ$554,MATCH(T$2,Totalt!$B$1:$AQ$1,0),FALSE),"")</f>
        <v>0</v>
      </c>
      <c r="U353" s="173">
        <f>IFERROR(VLOOKUP($B353,Totalt!$B$1:$AQ$554,MATCH(U$2,Totalt!$B$1:$AQ$1,0),FALSE),"")</f>
        <v>0</v>
      </c>
      <c r="V353" s="173">
        <f>IFERROR(VLOOKUP($B353,Totalt!$B$1:$AQ$554,MATCH(V$2,Totalt!$B$1:$AQ$1,0),FALSE),"")</f>
        <v>0</v>
      </c>
      <c r="W353" s="173">
        <f>IFERROR(VLOOKUP($B353,Totalt!$B$1:$AQ$554,MATCH(W$2,Totalt!$B$1:$AQ$1,0),FALSE),"")</f>
        <v>0</v>
      </c>
      <c r="X353" s="173">
        <f>IFERROR(VLOOKUP($B353,Totalt!$B$1:$AQ$554,MATCH(X$2,Totalt!$B$1:$AQ$1,0),FALSE),"")</f>
        <v>0</v>
      </c>
      <c r="Y353" s="173">
        <f>IFERROR(VLOOKUP($B353,Totalt!$B$1:$AQ$554,MATCH(Y$2,Totalt!$B$1:$AQ$1,0),FALSE),"")</f>
        <v>0</v>
      </c>
      <c r="Z353" s="173">
        <f>IFERROR(VLOOKUP($B353,Totalt!$B$1:$AQ$554,MATCH(Z$2,Totalt!$B$1:$AQ$1,0),FALSE),"")</f>
        <v>0</v>
      </c>
      <c r="AA353" s="173">
        <f>IFERROR(VLOOKUP($B353,Totalt!$B$1:$AQ$554,MATCH(AA$2,Totalt!$B$1:$AQ$1,0),FALSE),"")</f>
        <v>0</v>
      </c>
      <c r="AB353" s="173">
        <f>IFERROR(VLOOKUP($B353,Totalt!$B$1:$AQ$554,MATCH(AB$2,Totalt!$B$1:$AQ$1,0),FALSE),"")</f>
        <v>0</v>
      </c>
      <c r="AC353" s="173">
        <f>IFERROR(VLOOKUP($B353,Totalt!$B$1:$AQ$554,MATCH(AC$2,Totalt!$B$1:$AQ$1,0),FALSE),"")</f>
        <v>0</v>
      </c>
      <c r="AD353" s="173">
        <f>IFERROR(VLOOKUP($B353,Totalt!$B$1:$AQ$554,MATCH(AD$2,Totalt!$B$1:$AQ$1,0),FALSE),"")</f>
        <v>0</v>
      </c>
      <c r="AE353" s="173">
        <f>IFERROR(VLOOKUP($B353,Totalt!$B$1:$AQ$554,MATCH(AE$2,Totalt!$B$1:$AQ$1,0),FALSE),"")</f>
        <v>0</v>
      </c>
      <c r="AF353" s="173">
        <f>IFERROR(VLOOKUP($B353,Totalt!$B$1:$AQ$554,MATCH(AF$2,Totalt!$B$1:$AQ$1,0),FALSE),"")</f>
        <v>2</v>
      </c>
      <c r="AG353" s="173">
        <f>IFERROR(VLOOKUP($B353,Totalt!$B$1:$AQ$554,MATCH(AG$2,Totalt!$B$1:$AQ$1,0),FALSE),"")</f>
        <v>0</v>
      </c>
      <c r="AI353" s="226">
        <f t="shared" si="30"/>
        <v>58.4</v>
      </c>
      <c r="AJ353" s="226">
        <f>IF(ISERROR(1/VLOOKUP($B353,Leveranser!$B$1:$S$500,MATCH("såld värme (gwh)",Leveranser!$B$1:$S$1,0),FALSE)),"",VLOOKUP($B353,Leveranser!$B$1:$S$500,MATCH("såld värme (gwh)",Leveranser!$B$1:$S$1,0),FALSE))</f>
        <v>47.3</v>
      </c>
      <c r="AM353" s="227" t="str">
        <f>IF(B353&lt;&gt;"",IF(VLOOKUP($B353,Totalt!$B$1:$AQ$554,MATCH("Kvalitetsgranskad:",Totalt!$B$1:$AQ$1,0),FALSE)="ja",VLOOKUP($B353,Miljö!$B$1:$AG$479,MATCH(AM$2,Miljö!$B$1:$AK$1,0),FALSE),""),"")</f>
        <v>Ja</v>
      </c>
      <c r="AN353" s="227" t="str">
        <f>IF(AM353="ja",VLOOKUP($B353,Miljö!$B$1:$J$479,MATCH("Typ av ursprungsspecificerad el   (Om inget värde anges används Nordisk residualmix, se inforuta) ()",Miljö!$B$1:$J$1,0),FALSE),IF(AM353="nej","Nordisk residualel",""))</f>
        <v>-</v>
      </c>
      <c r="AO353" s="227">
        <f>IF(AM353="","",VLOOKUP($B353,Miljö!$B$1:$J$479,MATCH("Fossilandel för ursprungspecificerad el ()",Miljö!$B$1:$J$1,0),FALSE))</f>
        <v>0.43</v>
      </c>
      <c r="AP353" s="227">
        <f>IF(AM353="","",IFERROR(VLOOKUP($B353,Miljö!$B$1:$J$479,MATCH("Kärnkraftsandel för ursprungsspecificerad el ()",Miljö!$B$1:$J$1,0),FALSE)/1,0))</f>
        <v>0.40550000000000003</v>
      </c>
      <c r="AQ353" s="227">
        <f t="shared" si="31"/>
        <v>0.16450000000000004</v>
      </c>
      <c r="AR353" s="227"/>
      <c r="AS353" s="227" t="str">
        <f t="shared" si="32"/>
        <v>Nej</v>
      </c>
      <c r="AT353" s="227" t="str">
        <f>IF(AS353="ja",VLOOKUP($B353,Miljö!$B$1:$O$500,MATCH("Fossil andel i procent (%)",Miljö!$B$1:$O$1,0),FALSE)/100,"")</f>
        <v/>
      </c>
      <c r="AU353" s="227"/>
      <c r="AV353" s="227" t="str">
        <f t="shared" si="33"/>
        <v>Nej</v>
      </c>
      <c r="AW353" s="227" t="str">
        <f>IF(AV353="ja",VLOOKUP($B353,'Egen hetvattenprod'!$B$1:$AO$500,MATCH("Värmekälla till värmepumpar ()",'Egen hetvattenprod'!$B$1:$AO$1,0),FALSE),"")</f>
        <v/>
      </c>
      <c r="AX353" s="227"/>
      <c r="AY353" s="227" t="str">
        <f t="shared" si="34"/>
        <v>Nej</v>
      </c>
      <c r="AZ353" s="228" t="str">
        <f>IF($AY353="ja",(VLOOKUP($B353,'Egen hetvattenprod'!$B$1:$BX$550,MATCH(AZ$2,'Egen hetvattenprod'!$B$1:$BX$1,0),FALSE)+VLOOKUP($B353,Kraftvärmeprod!$B$1:$BX$550,MATCH(AZ$2,Kraftvärmeprod!$B$1:$BX$1,0),FALSE))/$AC353,"")</f>
        <v/>
      </c>
      <c r="BA353" s="228" t="str">
        <f>IF($AY353="ja",(VLOOKUP($B353,'Egen hetvattenprod'!$B$1:$BX$550,MATCH(BA$2,'Egen hetvattenprod'!$B$1:$BX$1,0),FALSE)+VLOOKUP($B353,Kraftvärmeprod!$B$1:$BX$550,MATCH(BA$2,Kraftvärmeprod!$B$1:$BX$1,0),FALSE))/$AC353,"")</f>
        <v/>
      </c>
      <c r="BB353" s="228" t="str">
        <f>IF($AY353="ja",(VLOOKUP($B353,'Egen hetvattenprod'!$B$1:$BX$550,MATCH(BB$2,'Egen hetvattenprod'!$B$1:$BX$1,0),FALSE)+VLOOKUP($B353,Kraftvärmeprod!$B$1:$BX$550,MATCH(BB$2,Kraftvärmeprod!$B$1:$BX$1,0),FALSE))/$AC353,"")</f>
        <v/>
      </c>
      <c r="BC353" s="228" t="str">
        <f>IF($AY353="ja",(VLOOKUP($B353,'Egen hetvattenprod'!$B$1:$BX$550,MATCH(BC$2,'Egen hetvattenprod'!$B$1:$BX$1,0),FALSE)+VLOOKUP($B353,Kraftvärmeprod!$B$1:$BX$550,MATCH(BC$2,Kraftvärmeprod!$B$1:$BX$1,0),FALSE))/$AC353,"")</f>
        <v/>
      </c>
      <c r="BD353" s="228" t="str">
        <f>IF($AY353="ja",(VLOOKUP($B353,'Egen hetvattenprod'!$B$1:$BX$550,MATCH(BD$2,'Egen hetvattenprod'!$B$1:$BX$1,0),FALSE)+VLOOKUP($B353,Kraftvärmeprod!$B$1:$BX$550,MATCH(BD$2,Kraftvärmeprod!$B$1:$BX$1,0),FALSE))/$AC353,"")</f>
        <v/>
      </c>
      <c r="BE353" s="227"/>
      <c r="BF353" s="227" t="str">
        <f t="shared" si="35"/>
        <v>Nej</v>
      </c>
      <c r="BG353" s="227" t="str">
        <f>IF($BF353="ja",VLOOKUP($B353,'Egen hetvattenprod'!$B$1:$BX$550,MATCH("Andelen klimatgaser med fossilt ursprung för avfall ()",'Egen hetvattenprod'!$B$1:$BX$1,0),FALSE),"")</f>
        <v/>
      </c>
      <c r="BH353" s="227" t="str">
        <f>IF($BF353="ja",VLOOKUP($B353,Kraftvärmeprod!$B$1:$BX$550,MATCH("Andelen klimatgaser med fossilt ursprung för avfall ()",Kraftvärmeprod!$B$1:$BX$1,0),FALSE),"")</f>
        <v/>
      </c>
      <c r="BI353" s="227" t="str">
        <f>IF($BF353="ja",VLOOKUP($B353,'Egen hetvattenprod'!$B$1:$BX$550,MATCH("Avfall (GWh)",'Egen hetvattenprod'!$B$1:$BX$1,0),FALSE),"")</f>
        <v/>
      </c>
      <c r="BJ353" s="227" t="str">
        <f>IF($BF353="ja",VLOOKUP($B353,'Slutlig allokering kvv'!$B$1:$BX$550,MATCH("Avfall (GWh)",'Slutlig allokering kvv'!$B$1:$BX$1,0),FALSE),"")</f>
        <v/>
      </c>
      <c r="BK353" s="227" t="str">
        <f>IF($BF353="ja",VLOOKUP($B353,'Köpt hetvatten'!$B$1:$BX$550,MATCH("Avfall i köpt hetvatten",'Köpt hetvatten'!$B$1:$BX$1,0),FALSE),"")</f>
        <v/>
      </c>
      <c r="BL353" s="227" t="str">
        <f>IF($BF353="ja",VLOOKUP($B353,'Egen hetvattenprod'!$B$1:$BX$550,MATCH("Värde enligt ovan. (%)",'Egen hetvattenprod'!$B$1:$BX$1,0),FALSE),"")</f>
        <v/>
      </c>
      <c r="BM353" s="227" t="str">
        <f>IF($BF353="ja",VLOOKUP($B353,Kraftvärmeprod!$B$1:$BX$550,MATCH("Värde enligt ovan. (%)",Kraftvärmeprod!$B$1:$BX$1,0),FALSE),"")</f>
        <v/>
      </c>
      <c r="BN353" s="227"/>
      <c r="BO353" s="227"/>
      <c r="BP353" s="227"/>
      <c r="BQ353" s="227" t="str">
        <f>IF($BF353="ja",VLOOKUP($B353,'Egen hetvattenprod'!$B$1:$BX$550,MATCH("Tillförd olja (fossil) vid avfallsförbränning (GWh)",'Egen hetvattenprod'!$B$1:$BX$1,0),FALSE),"")</f>
        <v/>
      </c>
      <c r="BR353" s="227" t="str">
        <f>IF($BF353="ja",VLOOKUP($B353,Kraftvärmeprod!$B$1:$BX$550,MATCH("Tillförd olja (fossil) vid avfallsförbränning (GWh)",Kraftvärmeprod!$B$1:$BX$1,0),FALSE),"")</f>
        <v/>
      </c>
      <c r="BS353" s="227"/>
      <c r="BT353" s="227"/>
      <c r="BU353" s="227"/>
    </row>
    <row r="354" spans="1:73" x14ac:dyDescent="0.25">
      <c r="A354" s="121" t="str">
        <f>'Miljövärden för publ företag'!B357</f>
        <v>Övik Energi AB</v>
      </c>
      <c r="B354" s="121" t="str">
        <f>'Miljövärden för publ företag'!C357</f>
        <v>Bjästa</v>
      </c>
      <c r="C354" s="173">
        <f>IFERROR(VLOOKUP($B354,Totalt!$B$1:$AQ$554,MATCH(C$2,Totalt!$B$1:$AQ$1,0),FALSE),"")</f>
        <v>0</v>
      </c>
      <c r="D354" s="173">
        <f>IFERROR(VLOOKUP($B354,Totalt!$B$1:$AQ$554,MATCH(D$2,Totalt!$B$1:$AQ$1,0),FALSE),"")</f>
        <v>4.9000000000000002E-2</v>
      </c>
      <c r="E354" s="173">
        <f>IFERROR(VLOOKUP($B354,Totalt!$B$1:$AQ$554,MATCH(E$2,Totalt!$B$1:$AQ$1,0),FALSE),"")</f>
        <v>0</v>
      </c>
      <c r="F354" s="173">
        <f>IFERROR(VLOOKUP($B354,Totalt!$B$1:$AQ$554,MATCH(F$2,Totalt!$B$1:$AQ$1,0),FALSE),"")</f>
        <v>0</v>
      </c>
      <c r="G354" s="173">
        <f>IFERROR(VLOOKUP($B354,Totalt!$B$1:$AQ$554,MATCH(G$2,Totalt!$B$1:$AQ$1,0),FALSE),"")</f>
        <v>0</v>
      </c>
      <c r="H354" s="173">
        <f>IFERROR(VLOOKUP($B354,Totalt!$B$1:$AQ$554,MATCH(H$2,Totalt!$B$1:$AQ$1,0),FALSE),"")</f>
        <v>0</v>
      </c>
      <c r="I354" s="173">
        <f>IFERROR(VLOOKUP($B354,Totalt!$B$1:$AQ$554,MATCH(I$2,Totalt!$B$1:$AQ$1,0),FALSE),"")</f>
        <v>0</v>
      </c>
      <c r="J354" s="173">
        <f>IFERROR(VLOOKUP($B354,Totalt!$B$1:$AQ$554,MATCH(J$2,Totalt!$B$1:$AQ$1,0),FALSE),"")</f>
        <v>0</v>
      </c>
      <c r="K354" s="173">
        <f>IFERROR(VLOOKUP($B354,Totalt!$B$1:$AQ$554,MATCH(K$2,Totalt!$B$1:$AQ$1,0),FALSE),"")</f>
        <v>0</v>
      </c>
      <c r="L354" s="173">
        <f>IFERROR(VLOOKUP($B354,Totalt!$B$1:$AQ$554,MATCH(L$2,Totalt!$B$1:$AQ$1,0),FALSE),"")</f>
        <v>0</v>
      </c>
      <c r="M354" s="173">
        <f>IFERROR(VLOOKUP($B354,Totalt!$B$1:$AQ$554,MATCH(M$2,Totalt!$B$1:$AQ$1,0),FALSE),"")</f>
        <v>0</v>
      </c>
      <c r="N354" s="173">
        <f>IFERROR(VLOOKUP($B354,Totalt!$B$1:$AQ$554,MATCH(N$2,Totalt!$B$1:$AQ$1,0),FALSE),"")</f>
        <v>0</v>
      </c>
      <c r="O354" s="173">
        <f>IFERROR(VLOOKUP($B354,Totalt!$B$1:$AQ$554,MATCH(O$2,Totalt!$B$1:$AQ$1,0),FALSE),"")</f>
        <v>0</v>
      </c>
      <c r="P354" s="173">
        <f>IFERROR(VLOOKUP($B354,Totalt!$B$1:$AQ$554,MATCH(P$2,Totalt!$B$1:$AQ$1,0),FALSE),"")</f>
        <v>7.399</v>
      </c>
      <c r="Q354" s="173">
        <f>IFERROR(VLOOKUP($B354,Totalt!$B$1:$AQ$554,MATCH(Q$2,Totalt!$B$1:$AQ$1,0),FALSE),"")</f>
        <v>0</v>
      </c>
      <c r="R354" s="173">
        <f>IFERROR(VLOOKUP($B354,Totalt!$B$1:$AQ$554,MATCH(R$2,Totalt!$B$1:$AQ$1,0),FALSE),"")</f>
        <v>0</v>
      </c>
      <c r="S354" s="173">
        <f>IFERROR(VLOOKUP($B354,Totalt!$B$1:$AQ$554,MATCH(S$2,Totalt!$B$1:$AQ$1,0),FALSE),"")</f>
        <v>0</v>
      </c>
      <c r="T354" s="173">
        <f>IFERROR(VLOOKUP($B354,Totalt!$B$1:$AQ$554,MATCH(T$2,Totalt!$B$1:$AQ$1,0),FALSE),"")</f>
        <v>0</v>
      </c>
      <c r="U354" s="173">
        <f>IFERROR(VLOOKUP($B354,Totalt!$B$1:$AQ$554,MATCH(U$2,Totalt!$B$1:$AQ$1,0),FALSE),"")</f>
        <v>0</v>
      </c>
      <c r="V354" s="173">
        <f>IFERROR(VLOOKUP($B354,Totalt!$B$1:$AQ$554,MATCH(V$2,Totalt!$B$1:$AQ$1,0),FALSE),"")</f>
        <v>0</v>
      </c>
      <c r="W354" s="173">
        <f>IFERROR(VLOOKUP($B354,Totalt!$B$1:$AQ$554,MATCH(W$2,Totalt!$B$1:$AQ$1,0),FALSE),"")</f>
        <v>2.4249999999999998</v>
      </c>
      <c r="X354" s="173">
        <f>IFERROR(VLOOKUP($B354,Totalt!$B$1:$AQ$554,MATCH(X$2,Totalt!$B$1:$AQ$1,0),FALSE),"")</f>
        <v>0</v>
      </c>
      <c r="Y354" s="173">
        <f>IFERROR(VLOOKUP($B354,Totalt!$B$1:$AQ$554,MATCH(Y$2,Totalt!$B$1:$AQ$1,0),FALSE),"")</f>
        <v>0</v>
      </c>
      <c r="Z354" s="173">
        <f>IFERROR(VLOOKUP($B354,Totalt!$B$1:$AQ$554,MATCH(Z$2,Totalt!$B$1:$AQ$1,0),FALSE),"")</f>
        <v>0.38500000000000001</v>
      </c>
      <c r="AA354" s="173">
        <f>IFERROR(VLOOKUP($B354,Totalt!$B$1:$AQ$554,MATCH(AA$2,Totalt!$B$1:$AQ$1,0),FALSE),"")</f>
        <v>0</v>
      </c>
      <c r="AB354" s="173">
        <f>IFERROR(VLOOKUP($B354,Totalt!$B$1:$AQ$554,MATCH(AB$2,Totalt!$B$1:$AQ$1,0),FALSE),"")</f>
        <v>0</v>
      </c>
      <c r="AC354" s="173">
        <f>IFERROR(VLOOKUP($B354,Totalt!$B$1:$AQ$554,MATCH(AC$2,Totalt!$B$1:$AQ$1,0),FALSE),"")</f>
        <v>0</v>
      </c>
      <c r="AD354" s="173">
        <f>IFERROR(VLOOKUP($B354,Totalt!$B$1:$AQ$554,MATCH(AD$2,Totalt!$B$1:$AQ$1,0),FALSE),"")</f>
        <v>0</v>
      </c>
      <c r="AE354" s="173">
        <f>IFERROR(VLOOKUP($B354,Totalt!$B$1:$AQ$554,MATCH(AE$2,Totalt!$B$1:$AQ$1,0),FALSE),"")</f>
        <v>0</v>
      </c>
      <c r="AF354" s="173">
        <f>IFERROR(VLOOKUP($B354,Totalt!$B$1:$AQ$554,MATCH(AF$2,Totalt!$B$1:$AQ$1,0),FALSE),"")</f>
        <v>0.30463000000000001</v>
      </c>
      <c r="AG354" s="173">
        <f>IFERROR(VLOOKUP($B354,Totalt!$B$1:$AQ$554,MATCH(AG$2,Totalt!$B$1:$AQ$1,0),FALSE),"")</f>
        <v>0</v>
      </c>
      <c r="AI354" s="226">
        <f t="shared" si="30"/>
        <v>10.56263</v>
      </c>
      <c r="AJ354" s="226">
        <f>IF(ISERROR(1/VLOOKUP($B354,Leveranser!$B$1:$S$500,MATCH("såld värme (gwh)",Leveranser!$B$1:$S$1,0),FALSE)),"",VLOOKUP($B354,Leveranser!$B$1:$S$500,MATCH("såld värme (gwh)",Leveranser!$B$1:$S$1,0),FALSE))</f>
        <v>7.19</v>
      </c>
      <c r="AM354" s="227" t="str">
        <f>IF(B354&lt;&gt;"",IF(VLOOKUP($B354,Totalt!$B$1:$AQ$554,MATCH("Kvalitetsgranskad:",Totalt!$B$1:$AQ$1,0),FALSE)="ja",VLOOKUP($B354,Miljö!$B$1:$AG$479,MATCH(AM$2,Miljö!$B$1:$AK$1,0),FALSE),""),"")</f>
        <v>Ja</v>
      </c>
      <c r="AN354" s="227" t="str">
        <f>IF(AM354="ja",VLOOKUP($B354,Miljö!$B$1:$J$479,MATCH("Typ av ursprungsspecificerad el   (Om inget värde anges används Nordisk residualmix, se inforuta) ()",Miljö!$B$1:$J$1,0),FALSE),IF(AM354="nej","Nordisk residualel",""))</f>
        <v>'Hörneborgsel'</v>
      </c>
      <c r="AO354" s="227">
        <f>IF(AM354="","",VLOOKUP($B354,Miljö!$B$1:$J$479,MATCH("Fossilandel för ursprungspecificerad el ()",Miljö!$B$1:$J$1,0),FALSE))</f>
        <v>0.03</v>
      </c>
      <c r="AP354" s="227">
        <f>IF(AM354="","",IFERROR(VLOOKUP($B354,Miljö!$B$1:$J$479,MATCH("Kärnkraftsandel för ursprungsspecificerad el ()",Miljö!$B$1:$J$1,0),FALSE)/1,0))</f>
        <v>0</v>
      </c>
      <c r="AQ354" s="227">
        <f t="shared" si="31"/>
        <v>0.97</v>
      </c>
      <c r="AR354" s="227"/>
      <c r="AS354" s="227" t="str">
        <f t="shared" si="32"/>
        <v>Nej</v>
      </c>
      <c r="AT354" s="227" t="str">
        <f>IF(AS354="ja",VLOOKUP($B354,Miljö!$B$1:$O$500,MATCH("Fossil andel i procent (%)",Miljö!$B$1:$O$1,0),FALSE)/100,"")</f>
        <v/>
      </c>
      <c r="AU354" s="227"/>
      <c r="AV354" s="227" t="str">
        <f t="shared" si="33"/>
        <v>Nej</v>
      </c>
      <c r="AW354" s="227" t="str">
        <f>IF(AV354="ja",VLOOKUP($B354,'Egen hetvattenprod'!$B$1:$AO$500,MATCH("Värmekälla till värmepumpar ()",'Egen hetvattenprod'!$B$1:$AO$1,0),FALSE),"")</f>
        <v/>
      </c>
      <c r="AX354" s="227"/>
      <c r="AY354" s="227" t="str">
        <f t="shared" si="34"/>
        <v>Nej</v>
      </c>
      <c r="AZ354" s="228" t="str">
        <f>IF($AY354="ja",(VLOOKUP($B354,'Egen hetvattenprod'!$B$1:$BX$550,MATCH(AZ$2,'Egen hetvattenprod'!$B$1:$BX$1,0),FALSE)+VLOOKUP($B354,Kraftvärmeprod!$B$1:$BX$550,MATCH(AZ$2,Kraftvärmeprod!$B$1:$BX$1,0),FALSE))/$AC354,"")</f>
        <v/>
      </c>
      <c r="BA354" s="228" t="str">
        <f>IF($AY354="ja",(VLOOKUP($B354,'Egen hetvattenprod'!$B$1:$BX$550,MATCH(BA$2,'Egen hetvattenprod'!$B$1:$BX$1,0),FALSE)+VLOOKUP($B354,Kraftvärmeprod!$B$1:$BX$550,MATCH(BA$2,Kraftvärmeprod!$B$1:$BX$1,0),FALSE))/$AC354,"")</f>
        <v/>
      </c>
      <c r="BB354" s="228" t="str">
        <f>IF($AY354="ja",(VLOOKUP($B354,'Egen hetvattenprod'!$B$1:$BX$550,MATCH(BB$2,'Egen hetvattenprod'!$B$1:$BX$1,0),FALSE)+VLOOKUP($B354,Kraftvärmeprod!$B$1:$BX$550,MATCH(BB$2,Kraftvärmeprod!$B$1:$BX$1,0),FALSE))/$AC354,"")</f>
        <v/>
      </c>
      <c r="BC354" s="228" t="str">
        <f>IF($AY354="ja",(VLOOKUP($B354,'Egen hetvattenprod'!$B$1:$BX$550,MATCH(BC$2,'Egen hetvattenprod'!$B$1:$BX$1,0),FALSE)+VLOOKUP($B354,Kraftvärmeprod!$B$1:$BX$550,MATCH(BC$2,Kraftvärmeprod!$B$1:$BX$1,0),FALSE))/$AC354,"")</f>
        <v/>
      </c>
      <c r="BD354" s="228" t="str">
        <f>IF($AY354="ja",(VLOOKUP($B354,'Egen hetvattenprod'!$B$1:$BX$550,MATCH(BD$2,'Egen hetvattenprod'!$B$1:$BX$1,0),FALSE)+VLOOKUP($B354,Kraftvärmeprod!$B$1:$BX$550,MATCH(BD$2,Kraftvärmeprod!$B$1:$BX$1,0),FALSE))/$AC354,"")</f>
        <v/>
      </c>
      <c r="BE354" s="227"/>
      <c r="BF354" s="227" t="str">
        <f t="shared" si="35"/>
        <v>Nej</v>
      </c>
      <c r="BG354" s="227" t="str">
        <f>IF($BF354="ja",VLOOKUP($B354,'Egen hetvattenprod'!$B$1:$BX$550,MATCH("Andelen klimatgaser med fossilt ursprung för avfall ()",'Egen hetvattenprod'!$B$1:$BX$1,0),FALSE),"")</f>
        <v/>
      </c>
      <c r="BH354" s="227" t="str">
        <f>IF($BF354="ja",VLOOKUP($B354,Kraftvärmeprod!$B$1:$BX$550,MATCH("Andelen klimatgaser med fossilt ursprung för avfall ()",Kraftvärmeprod!$B$1:$BX$1,0),FALSE),"")</f>
        <v/>
      </c>
      <c r="BI354" s="227" t="str">
        <f>IF($BF354="ja",VLOOKUP($B354,'Egen hetvattenprod'!$B$1:$BX$550,MATCH("Avfall (GWh)",'Egen hetvattenprod'!$B$1:$BX$1,0),FALSE),"")</f>
        <v/>
      </c>
      <c r="BJ354" s="227" t="str">
        <f>IF($BF354="ja",VLOOKUP($B354,'Slutlig allokering kvv'!$B$1:$BX$550,MATCH("Avfall (GWh)",'Slutlig allokering kvv'!$B$1:$BX$1,0),FALSE),"")</f>
        <v/>
      </c>
      <c r="BK354" s="227" t="str">
        <f>IF($BF354="ja",VLOOKUP($B354,'Köpt hetvatten'!$B$1:$BX$550,MATCH("Avfall i köpt hetvatten",'Köpt hetvatten'!$B$1:$BX$1,0),FALSE),"")</f>
        <v/>
      </c>
      <c r="BL354" s="227" t="str">
        <f>IF($BF354="ja",VLOOKUP($B354,'Egen hetvattenprod'!$B$1:$BX$550,MATCH("Värde enligt ovan. (%)",'Egen hetvattenprod'!$B$1:$BX$1,0),FALSE),"")</f>
        <v/>
      </c>
      <c r="BM354" s="227" t="str">
        <f>IF($BF354="ja",VLOOKUP($B354,Kraftvärmeprod!$B$1:$BX$550,MATCH("Värde enligt ovan. (%)",Kraftvärmeprod!$B$1:$BX$1,0),FALSE),"")</f>
        <v/>
      </c>
      <c r="BN354" s="227"/>
      <c r="BO354" s="227"/>
      <c r="BP354" s="227"/>
      <c r="BQ354" s="227" t="str">
        <f>IF($BF354="ja",VLOOKUP($B354,'Egen hetvattenprod'!$B$1:$BX$550,MATCH("Tillförd olja (fossil) vid avfallsförbränning (GWh)",'Egen hetvattenprod'!$B$1:$BX$1,0),FALSE),"")</f>
        <v/>
      </c>
      <c r="BR354" s="227" t="str">
        <f>IF($BF354="ja",VLOOKUP($B354,Kraftvärmeprod!$B$1:$BX$550,MATCH("Tillförd olja (fossil) vid avfallsförbränning (GWh)",Kraftvärmeprod!$B$1:$BX$1,0),FALSE),"")</f>
        <v/>
      </c>
      <c r="BS354" s="227"/>
      <c r="BT354" s="227"/>
      <c r="BU354" s="227"/>
    </row>
    <row r="355" spans="1:73" x14ac:dyDescent="0.25">
      <c r="A355" s="121" t="str">
        <f>'Miljövärden för publ företag'!B358</f>
        <v>Övik Energi AB</v>
      </c>
      <c r="B355" s="121" t="str">
        <f>'Miljövärden för publ företag'!C358</f>
        <v>Bredbyn</v>
      </c>
      <c r="C355" s="173">
        <f>IFERROR(VLOOKUP($B355,Totalt!$B$1:$AQ$554,MATCH(C$2,Totalt!$B$1:$AQ$1,0),FALSE),"")</f>
        <v>0</v>
      </c>
      <c r="D355" s="173">
        <f>IFERROR(VLOOKUP($B355,Totalt!$B$1:$AQ$554,MATCH(D$2,Totalt!$B$1:$AQ$1,0),FALSE),"")</f>
        <v>1.34E-3</v>
      </c>
      <c r="E355" s="173">
        <f>IFERROR(VLOOKUP($B355,Totalt!$B$1:$AQ$554,MATCH(E$2,Totalt!$B$1:$AQ$1,0),FALSE),"")</f>
        <v>0</v>
      </c>
      <c r="F355" s="173">
        <f>IFERROR(VLOOKUP($B355,Totalt!$B$1:$AQ$554,MATCH(F$2,Totalt!$B$1:$AQ$1,0),FALSE),"")</f>
        <v>0</v>
      </c>
      <c r="G355" s="173">
        <f>IFERROR(VLOOKUP($B355,Totalt!$B$1:$AQ$554,MATCH(G$2,Totalt!$B$1:$AQ$1,0),FALSE),"")</f>
        <v>0</v>
      </c>
      <c r="H355" s="173">
        <f>IFERROR(VLOOKUP($B355,Totalt!$B$1:$AQ$554,MATCH(H$2,Totalt!$B$1:$AQ$1,0),FALSE),"")</f>
        <v>0</v>
      </c>
      <c r="I355" s="173">
        <f>IFERROR(VLOOKUP($B355,Totalt!$B$1:$AQ$554,MATCH(I$2,Totalt!$B$1:$AQ$1,0),FALSE),"")</f>
        <v>0</v>
      </c>
      <c r="J355" s="173">
        <f>IFERROR(VLOOKUP($B355,Totalt!$B$1:$AQ$554,MATCH(J$2,Totalt!$B$1:$AQ$1,0),FALSE),"")</f>
        <v>0</v>
      </c>
      <c r="K355" s="173">
        <f>IFERROR(VLOOKUP($B355,Totalt!$B$1:$AQ$554,MATCH(K$2,Totalt!$B$1:$AQ$1,0),FALSE),"")</f>
        <v>0</v>
      </c>
      <c r="L355" s="173">
        <f>IFERROR(VLOOKUP($B355,Totalt!$B$1:$AQ$554,MATCH(L$2,Totalt!$B$1:$AQ$1,0),FALSE),"")</f>
        <v>0</v>
      </c>
      <c r="M355" s="173">
        <f>IFERROR(VLOOKUP($B355,Totalt!$B$1:$AQ$554,MATCH(M$2,Totalt!$B$1:$AQ$1,0),FALSE),"")</f>
        <v>0</v>
      </c>
      <c r="N355" s="173">
        <f>IFERROR(VLOOKUP($B355,Totalt!$B$1:$AQ$554,MATCH(N$2,Totalt!$B$1:$AQ$1,0),FALSE),"")</f>
        <v>0</v>
      </c>
      <c r="O355" s="173">
        <f>IFERROR(VLOOKUP($B355,Totalt!$B$1:$AQ$554,MATCH(O$2,Totalt!$B$1:$AQ$1,0),FALSE),"")</f>
        <v>0</v>
      </c>
      <c r="P355" s="173">
        <f>IFERROR(VLOOKUP($B355,Totalt!$B$1:$AQ$554,MATCH(P$2,Totalt!$B$1:$AQ$1,0),FALSE),"")</f>
        <v>4.9874700000000001</v>
      </c>
      <c r="Q355" s="173">
        <f>IFERROR(VLOOKUP($B355,Totalt!$B$1:$AQ$554,MATCH(Q$2,Totalt!$B$1:$AQ$1,0),FALSE),"")</f>
        <v>0</v>
      </c>
      <c r="R355" s="173">
        <f>IFERROR(VLOOKUP($B355,Totalt!$B$1:$AQ$554,MATCH(R$2,Totalt!$B$1:$AQ$1,0),FALSE),"")</f>
        <v>0</v>
      </c>
      <c r="S355" s="173">
        <f>IFERROR(VLOOKUP($B355,Totalt!$B$1:$AQ$554,MATCH(S$2,Totalt!$B$1:$AQ$1,0),FALSE),"")</f>
        <v>0</v>
      </c>
      <c r="T355" s="173">
        <f>IFERROR(VLOOKUP($B355,Totalt!$B$1:$AQ$554,MATCH(T$2,Totalt!$B$1:$AQ$1,0),FALSE),"")</f>
        <v>0</v>
      </c>
      <c r="U355" s="173">
        <f>IFERROR(VLOOKUP($B355,Totalt!$B$1:$AQ$554,MATCH(U$2,Totalt!$B$1:$AQ$1,0),FALSE),"")</f>
        <v>0</v>
      </c>
      <c r="V355" s="173">
        <f>IFERROR(VLOOKUP($B355,Totalt!$B$1:$AQ$554,MATCH(V$2,Totalt!$B$1:$AQ$1,0),FALSE),"")</f>
        <v>0</v>
      </c>
      <c r="W355" s="173">
        <f>IFERROR(VLOOKUP($B355,Totalt!$B$1:$AQ$554,MATCH(W$2,Totalt!$B$1:$AQ$1,0),FALSE),"")</f>
        <v>1.1816199999999999</v>
      </c>
      <c r="X355" s="173">
        <f>IFERROR(VLOOKUP($B355,Totalt!$B$1:$AQ$554,MATCH(X$2,Totalt!$B$1:$AQ$1,0),FALSE),"")</f>
        <v>0</v>
      </c>
      <c r="Y355" s="173">
        <f>IFERROR(VLOOKUP($B355,Totalt!$B$1:$AQ$554,MATCH(Y$2,Totalt!$B$1:$AQ$1,0),FALSE),"")</f>
        <v>0</v>
      </c>
      <c r="Z355" s="173">
        <f>IFERROR(VLOOKUP($B355,Totalt!$B$1:$AQ$554,MATCH(Z$2,Totalt!$B$1:$AQ$1,0),FALSE),"")</f>
        <v>1.3621300000000001</v>
      </c>
      <c r="AA355" s="173">
        <f>IFERROR(VLOOKUP($B355,Totalt!$B$1:$AQ$554,MATCH(AA$2,Totalt!$B$1:$AQ$1,0),FALSE),"")</f>
        <v>0</v>
      </c>
      <c r="AB355" s="173">
        <f>IFERROR(VLOOKUP($B355,Totalt!$B$1:$AQ$554,MATCH(AB$2,Totalt!$B$1:$AQ$1,0),FALSE),"")</f>
        <v>0</v>
      </c>
      <c r="AC355" s="173">
        <f>IFERROR(VLOOKUP($B355,Totalt!$B$1:$AQ$554,MATCH(AC$2,Totalt!$B$1:$AQ$1,0),FALSE),"")</f>
        <v>0</v>
      </c>
      <c r="AD355" s="173">
        <f>IFERROR(VLOOKUP($B355,Totalt!$B$1:$AQ$554,MATCH(AD$2,Totalt!$B$1:$AQ$1,0),FALSE),"")</f>
        <v>0</v>
      </c>
      <c r="AE355" s="173">
        <f>IFERROR(VLOOKUP($B355,Totalt!$B$1:$AQ$554,MATCH(AE$2,Totalt!$B$1:$AQ$1,0),FALSE),"")</f>
        <v>0</v>
      </c>
      <c r="AF355" s="173">
        <f>IFERROR(VLOOKUP($B355,Totalt!$B$1:$AQ$554,MATCH(AF$2,Totalt!$B$1:$AQ$1,0),FALSE),"")</f>
        <v>0.1686</v>
      </c>
      <c r="AG355" s="173">
        <f>IFERROR(VLOOKUP($B355,Totalt!$B$1:$AQ$554,MATCH(AG$2,Totalt!$B$1:$AQ$1,0),FALSE),"")</f>
        <v>0</v>
      </c>
      <c r="AI355" s="226">
        <f t="shared" si="30"/>
        <v>7.7011599999999998</v>
      </c>
      <c r="AJ355" s="226">
        <f>IF(ISERROR(1/VLOOKUP($B355,Leveranser!$B$1:$S$500,MATCH("såld värme (gwh)",Leveranser!$B$1:$S$1,0),FALSE)),"",VLOOKUP($B355,Leveranser!$B$1:$S$500,MATCH("såld värme (gwh)",Leveranser!$B$1:$S$1,0),FALSE))</f>
        <v>5.62</v>
      </c>
      <c r="AM355" s="227" t="str">
        <f>IF(B355&lt;&gt;"",IF(VLOOKUP($B355,Totalt!$B$1:$AQ$554,MATCH("Kvalitetsgranskad:",Totalt!$B$1:$AQ$1,0),FALSE)="ja",VLOOKUP($B355,Miljö!$B$1:$AG$479,MATCH(AM$2,Miljö!$B$1:$AK$1,0),FALSE),""),"")</f>
        <v>Ja</v>
      </c>
      <c r="AN355" s="227" t="str">
        <f>IF(AM355="ja",VLOOKUP($B355,Miljö!$B$1:$J$479,MATCH("Typ av ursprungsspecificerad el   (Om inget värde anges används Nordisk residualmix, se inforuta) ()",Miljö!$B$1:$J$1,0),FALSE),IF(AM355="nej","Nordisk residualel",""))</f>
        <v>'Hörneborgsel'</v>
      </c>
      <c r="AO355" s="227">
        <f>IF(AM355="","",VLOOKUP($B355,Miljö!$B$1:$J$479,MATCH("Fossilandel för ursprungspecificerad el ()",Miljö!$B$1:$J$1,0),FALSE))</f>
        <v>0.03</v>
      </c>
      <c r="AP355" s="227">
        <f>IF(AM355="","",IFERROR(VLOOKUP($B355,Miljö!$B$1:$J$479,MATCH("Kärnkraftsandel för ursprungsspecificerad el ()",Miljö!$B$1:$J$1,0),FALSE)/1,0))</f>
        <v>0</v>
      </c>
      <c r="AQ355" s="227">
        <f t="shared" si="31"/>
        <v>0.97</v>
      </c>
      <c r="AR355" s="227"/>
      <c r="AS355" s="227" t="str">
        <f t="shared" si="32"/>
        <v>Nej</v>
      </c>
      <c r="AT355" s="227" t="str">
        <f>IF(AS355="ja",VLOOKUP($B355,Miljö!$B$1:$O$500,MATCH("Fossil andel i procent (%)",Miljö!$B$1:$O$1,0),FALSE)/100,"")</f>
        <v/>
      </c>
      <c r="AU355" s="227"/>
      <c r="AV355" s="227" t="str">
        <f t="shared" si="33"/>
        <v>Nej</v>
      </c>
      <c r="AW355" s="227" t="str">
        <f>IF(AV355="ja",VLOOKUP($B355,'Egen hetvattenprod'!$B$1:$AO$500,MATCH("Värmekälla till värmepumpar ()",'Egen hetvattenprod'!$B$1:$AO$1,0),FALSE),"")</f>
        <v/>
      </c>
      <c r="AX355" s="227"/>
      <c r="AY355" s="227" t="str">
        <f t="shared" si="34"/>
        <v>Nej</v>
      </c>
      <c r="AZ355" s="228" t="str">
        <f>IF($AY355="ja",(VLOOKUP($B355,'Egen hetvattenprod'!$B$1:$BX$550,MATCH(AZ$2,'Egen hetvattenprod'!$B$1:$BX$1,0),FALSE)+VLOOKUP($B355,Kraftvärmeprod!$B$1:$BX$550,MATCH(AZ$2,Kraftvärmeprod!$B$1:$BX$1,0),FALSE))/$AC355,"")</f>
        <v/>
      </c>
      <c r="BA355" s="228" t="str">
        <f>IF($AY355="ja",(VLOOKUP($B355,'Egen hetvattenprod'!$B$1:$BX$550,MATCH(BA$2,'Egen hetvattenprod'!$B$1:$BX$1,0),FALSE)+VLOOKUP($B355,Kraftvärmeprod!$B$1:$BX$550,MATCH(BA$2,Kraftvärmeprod!$B$1:$BX$1,0),FALSE))/$AC355,"")</f>
        <v/>
      </c>
      <c r="BB355" s="228" t="str">
        <f>IF($AY355="ja",(VLOOKUP($B355,'Egen hetvattenprod'!$B$1:$BX$550,MATCH(BB$2,'Egen hetvattenprod'!$B$1:$BX$1,0),FALSE)+VLOOKUP($B355,Kraftvärmeprod!$B$1:$BX$550,MATCH(BB$2,Kraftvärmeprod!$B$1:$BX$1,0),FALSE))/$AC355,"")</f>
        <v/>
      </c>
      <c r="BC355" s="228" t="str">
        <f>IF($AY355="ja",(VLOOKUP($B355,'Egen hetvattenprod'!$B$1:$BX$550,MATCH(BC$2,'Egen hetvattenprod'!$B$1:$BX$1,0),FALSE)+VLOOKUP($B355,Kraftvärmeprod!$B$1:$BX$550,MATCH(BC$2,Kraftvärmeprod!$B$1:$BX$1,0),FALSE))/$AC355,"")</f>
        <v/>
      </c>
      <c r="BD355" s="228" t="str">
        <f>IF($AY355="ja",(VLOOKUP($B355,'Egen hetvattenprod'!$B$1:$BX$550,MATCH(BD$2,'Egen hetvattenprod'!$B$1:$BX$1,0),FALSE)+VLOOKUP($B355,Kraftvärmeprod!$B$1:$BX$550,MATCH(BD$2,Kraftvärmeprod!$B$1:$BX$1,0),FALSE))/$AC355,"")</f>
        <v/>
      </c>
      <c r="BE355" s="227"/>
      <c r="BF355" s="227" t="str">
        <f t="shared" si="35"/>
        <v>Nej</v>
      </c>
      <c r="BG355" s="227" t="str">
        <f>IF($BF355="ja",VLOOKUP($B355,'Egen hetvattenprod'!$B$1:$BX$550,MATCH("Andelen klimatgaser med fossilt ursprung för avfall ()",'Egen hetvattenprod'!$B$1:$BX$1,0),FALSE),"")</f>
        <v/>
      </c>
      <c r="BH355" s="227" t="str">
        <f>IF($BF355="ja",VLOOKUP($B355,Kraftvärmeprod!$B$1:$BX$550,MATCH("Andelen klimatgaser med fossilt ursprung för avfall ()",Kraftvärmeprod!$B$1:$BX$1,0),FALSE),"")</f>
        <v/>
      </c>
      <c r="BI355" s="227" t="str">
        <f>IF($BF355="ja",VLOOKUP($B355,'Egen hetvattenprod'!$B$1:$BX$550,MATCH("Avfall (GWh)",'Egen hetvattenprod'!$B$1:$BX$1,0),FALSE),"")</f>
        <v/>
      </c>
      <c r="BJ355" s="227" t="str">
        <f>IF($BF355="ja",VLOOKUP($B355,'Slutlig allokering kvv'!$B$1:$BX$550,MATCH("Avfall (GWh)",'Slutlig allokering kvv'!$B$1:$BX$1,0),FALSE),"")</f>
        <v/>
      </c>
      <c r="BK355" s="227" t="str">
        <f>IF($BF355="ja",VLOOKUP($B355,'Köpt hetvatten'!$B$1:$BX$550,MATCH("Avfall i köpt hetvatten",'Köpt hetvatten'!$B$1:$BX$1,0),FALSE),"")</f>
        <v/>
      </c>
      <c r="BL355" s="227" t="str">
        <f>IF($BF355="ja",VLOOKUP($B355,'Egen hetvattenprod'!$B$1:$BX$550,MATCH("Värde enligt ovan. (%)",'Egen hetvattenprod'!$B$1:$BX$1,0),FALSE),"")</f>
        <v/>
      </c>
      <c r="BM355" s="227" t="str">
        <f>IF($BF355="ja",VLOOKUP($B355,Kraftvärmeprod!$B$1:$BX$550,MATCH("Värde enligt ovan. (%)",Kraftvärmeprod!$B$1:$BX$1,0),FALSE),"")</f>
        <v/>
      </c>
      <c r="BN355" s="227"/>
      <c r="BO355" s="227"/>
      <c r="BP355" s="227"/>
      <c r="BQ355" s="227" t="str">
        <f>IF($BF355="ja",VLOOKUP($B355,'Egen hetvattenprod'!$B$1:$BX$550,MATCH("Tillförd olja (fossil) vid avfallsförbränning (GWh)",'Egen hetvattenprod'!$B$1:$BX$1,0),FALSE),"")</f>
        <v/>
      </c>
      <c r="BR355" s="227" t="str">
        <f>IF($BF355="ja",VLOOKUP($B355,Kraftvärmeprod!$B$1:$BX$550,MATCH("Tillförd olja (fossil) vid avfallsförbränning (GWh)",Kraftvärmeprod!$B$1:$BX$1,0),FALSE),"")</f>
        <v/>
      </c>
      <c r="BS355" s="227"/>
      <c r="BT355" s="227"/>
      <c r="BU355" s="227"/>
    </row>
    <row r="356" spans="1:73" x14ac:dyDescent="0.25">
      <c r="A356" s="121" t="str">
        <f>'Miljövärden för publ företag'!B359</f>
        <v>Övik Energi AB</v>
      </c>
      <c r="B356" s="121" t="str">
        <f>'Miljövärden för publ företag'!C359</f>
        <v>Husum</v>
      </c>
      <c r="C356" s="173">
        <f>IFERROR(VLOOKUP($B356,Totalt!$B$1:$AQ$554,MATCH(C$2,Totalt!$B$1:$AQ$1,0),FALSE),"")</f>
        <v>0</v>
      </c>
      <c r="D356" s="173">
        <f>IFERROR(VLOOKUP($B356,Totalt!$B$1:$AQ$554,MATCH(D$2,Totalt!$B$1:$AQ$1,0),FALSE),"")</f>
        <v>0.40877000000000002</v>
      </c>
      <c r="E356" s="173">
        <f>IFERROR(VLOOKUP($B356,Totalt!$B$1:$AQ$554,MATCH(E$2,Totalt!$B$1:$AQ$1,0),FALSE),"")</f>
        <v>0</v>
      </c>
      <c r="F356" s="173">
        <f>IFERROR(VLOOKUP($B356,Totalt!$B$1:$AQ$554,MATCH(F$2,Totalt!$B$1:$AQ$1,0),FALSE),"")</f>
        <v>0</v>
      </c>
      <c r="G356" s="173">
        <f>IFERROR(VLOOKUP($B356,Totalt!$B$1:$AQ$554,MATCH(G$2,Totalt!$B$1:$AQ$1,0),FALSE),"")</f>
        <v>0</v>
      </c>
      <c r="H356" s="173">
        <f>IFERROR(VLOOKUP($B356,Totalt!$B$1:$AQ$554,MATCH(H$2,Totalt!$B$1:$AQ$1,0),FALSE),"")</f>
        <v>0</v>
      </c>
      <c r="I356" s="173">
        <f>IFERROR(VLOOKUP($B356,Totalt!$B$1:$AQ$554,MATCH(I$2,Totalt!$B$1:$AQ$1,0),FALSE),"")</f>
        <v>0</v>
      </c>
      <c r="J356" s="173">
        <f>IFERROR(VLOOKUP($B356,Totalt!$B$1:$AQ$554,MATCH(J$2,Totalt!$B$1:$AQ$1,0),FALSE),"")</f>
        <v>0</v>
      </c>
      <c r="K356" s="173">
        <f>IFERROR(VLOOKUP($B356,Totalt!$B$1:$AQ$554,MATCH(K$2,Totalt!$B$1:$AQ$1,0),FALSE),"")</f>
        <v>0</v>
      </c>
      <c r="L356" s="173">
        <f>IFERROR(VLOOKUP($B356,Totalt!$B$1:$AQ$554,MATCH(L$2,Totalt!$B$1:$AQ$1,0),FALSE),"")</f>
        <v>0</v>
      </c>
      <c r="M356" s="173">
        <f>IFERROR(VLOOKUP($B356,Totalt!$B$1:$AQ$554,MATCH(M$2,Totalt!$B$1:$AQ$1,0),FALSE),"")</f>
        <v>0</v>
      </c>
      <c r="N356" s="173">
        <f>IFERROR(VLOOKUP($B356,Totalt!$B$1:$AQ$554,MATCH(N$2,Totalt!$B$1:$AQ$1,0),FALSE),"")</f>
        <v>0</v>
      </c>
      <c r="O356" s="173">
        <f>IFERROR(VLOOKUP($B356,Totalt!$B$1:$AQ$554,MATCH(O$2,Totalt!$B$1:$AQ$1,0),FALSE),"")</f>
        <v>0</v>
      </c>
      <c r="P356" s="173">
        <f>IFERROR(VLOOKUP($B356,Totalt!$B$1:$AQ$554,MATCH(P$2,Totalt!$B$1:$AQ$1,0),FALSE),"")</f>
        <v>0</v>
      </c>
      <c r="Q356" s="173">
        <f>IFERROR(VLOOKUP($B356,Totalt!$B$1:$AQ$554,MATCH(Q$2,Totalt!$B$1:$AQ$1,0),FALSE),"")</f>
        <v>2.2929400000000002</v>
      </c>
      <c r="R356" s="173">
        <f>IFERROR(VLOOKUP($B356,Totalt!$B$1:$AQ$554,MATCH(R$2,Totalt!$B$1:$AQ$1,0),FALSE),"")</f>
        <v>0</v>
      </c>
      <c r="S356" s="173">
        <f>IFERROR(VLOOKUP($B356,Totalt!$B$1:$AQ$554,MATCH(S$2,Totalt!$B$1:$AQ$1,0),FALSE),"")</f>
        <v>0</v>
      </c>
      <c r="T356" s="173">
        <f>IFERROR(VLOOKUP($B356,Totalt!$B$1:$AQ$554,MATCH(T$2,Totalt!$B$1:$AQ$1,0),FALSE),"")</f>
        <v>0</v>
      </c>
      <c r="U356" s="173">
        <f>IFERROR(VLOOKUP($B356,Totalt!$B$1:$AQ$554,MATCH(U$2,Totalt!$B$1:$AQ$1,0),FALSE),"")</f>
        <v>0</v>
      </c>
      <c r="V356" s="173">
        <f>IFERROR(VLOOKUP($B356,Totalt!$B$1:$AQ$554,MATCH(V$2,Totalt!$B$1:$AQ$1,0),FALSE),"")</f>
        <v>0</v>
      </c>
      <c r="W356" s="173">
        <f>IFERROR(VLOOKUP($B356,Totalt!$B$1:$AQ$554,MATCH(W$2,Totalt!$B$1:$AQ$1,0),FALSE),"")</f>
        <v>0</v>
      </c>
      <c r="X356" s="173">
        <f>IFERROR(VLOOKUP($B356,Totalt!$B$1:$AQ$554,MATCH(X$2,Totalt!$B$1:$AQ$1,0),FALSE),"")</f>
        <v>0</v>
      </c>
      <c r="Y356" s="173">
        <f>IFERROR(VLOOKUP($B356,Totalt!$B$1:$AQ$554,MATCH(Y$2,Totalt!$B$1:$AQ$1,0),FALSE),"")</f>
        <v>0</v>
      </c>
      <c r="Z356" s="173">
        <f>IFERROR(VLOOKUP($B356,Totalt!$B$1:$AQ$554,MATCH(Z$2,Totalt!$B$1:$AQ$1,0),FALSE),"")</f>
        <v>0</v>
      </c>
      <c r="AA356" s="173">
        <f>IFERROR(VLOOKUP($B356,Totalt!$B$1:$AQ$554,MATCH(AA$2,Totalt!$B$1:$AQ$1,0),FALSE),"")</f>
        <v>0</v>
      </c>
      <c r="AB356" s="173">
        <f>IFERROR(VLOOKUP($B356,Totalt!$B$1:$AQ$554,MATCH(AB$2,Totalt!$B$1:$AQ$1,0),FALSE),"")</f>
        <v>0</v>
      </c>
      <c r="AC356" s="173">
        <f>IFERROR(VLOOKUP($B356,Totalt!$B$1:$AQ$554,MATCH(AC$2,Totalt!$B$1:$AQ$1,0),FALSE),"")</f>
        <v>0</v>
      </c>
      <c r="AD356" s="173">
        <f>IFERROR(VLOOKUP($B356,Totalt!$B$1:$AQ$554,MATCH(AD$2,Totalt!$B$1:$AQ$1,0),FALSE),"")</f>
        <v>6.2039</v>
      </c>
      <c r="AE356" s="173">
        <f>IFERROR(VLOOKUP($B356,Totalt!$B$1:$AQ$554,MATCH(AE$2,Totalt!$B$1:$AQ$1,0),FALSE),"")</f>
        <v>0</v>
      </c>
      <c r="AF356" s="173">
        <f>IFERROR(VLOOKUP($B356,Totalt!$B$1:$AQ$554,MATCH(AF$2,Totalt!$B$1:$AQ$1,0),FALSE),"")</f>
        <v>0.20399999999999999</v>
      </c>
      <c r="AG356" s="173">
        <f>IFERROR(VLOOKUP($B356,Totalt!$B$1:$AQ$554,MATCH(AG$2,Totalt!$B$1:$AQ$1,0),FALSE),"")</f>
        <v>0</v>
      </c>
      <c r="AI356" s="226">
        <f t="shared" si="30"/>
        <v>9.10961</v>
      </c>
      <c r="AJ356" s="226">
        <f>IF(ISERROR(1/VLOOKUP($B356,Leveranser!$B$1:$S$500,MATCH("såld värme (gwh)",Leveranser!$B$1:$S$1,0),FALSE)),"",VLOOKUP($B356,Leveranser!$B$1:$S$500,MATCH("såld värme (gwh)",Leveranser!$B$1:$S$1,0),FALSE))</f>
        <v>6.8</v>
      </c>
      <c r="AM356" s="227" t="str">
        <f>IF(B356&lt;&gt;"",IF(VLOOKUP($B356,Totalt!$B$1:$AQ$554,MATCH("Kvalitetsgranskad:",Totalt!$B$1:$AQ$1,0),FALSE)="ja",VLOOKUP($B356,Miljö!$B$1:$AG$479,MATCH(AM$2,Miljö!$B$1:$AK$1,0),FALSE),""),"")</f>
        <v>Nej</v>
      </c>
      <c r="AN356" s="227" t="str">
        <f>IF(AM356="ja",VLOOKUP($B356,Miljö!$B$1:$J$479,MATCH("Typ av ursprungsspecificerad el   (Om inget värde anges används Nordisk residualmix, se inforuta) ()",Miljö!$B$1:$J$1,0),FALSE),IF(AM356="nej","Nordisk residualel",""))</f>
        <v>Nordisk residualel</v>
      </c>
      <c r="AO356" s="227">
        <f>IF(AM356="","",VLOOKUP($B356,Miljö!$B$1:$J$479,MATCH("Fossilandel för ursprungspecificerad el ()",Miljö!$B$1:$J$1,0),FALSE))</f>
        <v>0.43</v>
      </c>
      <c r="AP356" s="227">
        <f>IF(AM356="","",IFERROR(VLOOKUP($B356,Miljö!$B$1:$J$479,MATCH("Kärnkraftsandel för ursprungsspecificerad el ()",Miljö!$B$1:$J$1,0),FALSE)/1,0))</f>
        <v>0.40550000000000003</v>
      </c>
      <c r="AQ356" s="227">
        <f t="shared" si="31"/>
        <v>0.16450000000000004</v>
      </c>
      <c r="AR356" s="227"/>
      <c r="AS356" s="227" t="str">
        <f t="shared" si="32"/>
        <v>Nej</v>
      </c>
      <c r="AT356" s="227" t="str">
        <f>IF(AS356="ja",VLOOKUP($B356,Miljö!$B$1:$O$500,MATCH("Fossil andel i procent (%)",Miljö!$B$1:$O$1,0),FALSE)/100,"")</f>
        <v/>
      </c>
      <c r="AU356" s="227"/>
      <c r="AV356" s="227" t="str">
        <f t="shared" si="33"/>
        <v>Nej</v>
      </c>
      <c r="AW356" s="227" t="str">
        <f>IF(AV356="ja",VLOOKUP($B356,'Egen hetvattenprod'!$B$1:$AO$500,MATCH("Värmekälla till värmepumpar ()",'Egen hetvattenprod'!$B$1:$AO$1,0),FALSE),"")</f>
        <v/>
      </c>
      <c r="AX356" s="227"/>
      <c r="AY356" s="227" t="str">
        <f t="shared" si="34"/>
        <v>Nej</v>
      </c>
      <c r="AZ356" s="228" t="str">
        <f>IF($AY356="ja",(VLOOKUP($B356,'Egen hetvattenprod'!$B$1:$BX$550,MATCH(AZ$2,'Egen hetvattenprod'!$B$1:$BX$1,0),FALSE)+VLOOKUP($B356,Kraftvärmeprod!$B$1:$BX$550,MATCH(AZ$2,Kraftvärmeprod!$B$1:$BX$1,0),FALSE))/$AC356,"")</f>
        <v/>
      </c>
      <c r="BA356" s="228" t="str">
        <f>IF($AY356="ja",(VLOOKUP($B356,'Egen hetvattenprod'!$B$1:$BX$550,MATCH(BA$2,'Egen hetvattenprod'!$B$1:$BX$1,0),FALSE)+VLOOKUP($B356,Kraftvärmeprod!$B$1:$BX$550,MATCH(BA$2,Kraftvärmeprod!$B$1:$BX$1,0),FALSE))/$AC356,"")</f>
        <v/>
      </c>
      <c r="BB356" s="228" t="str">
        <f>IF($AY356="ja",(VLOOKUP($B356,'Egen hetvattenprod'!$B$1:$BX$550,MATCH(BB$2,'Egen hetvattenprod'!$B$1:$BX$1,0),FALSE)+VLOOKUP($B356,Kraftvärmeprod!$B$1:$BX$550,MATCH(BB$2,Kraftvärmeprod!$B$1:$BX$1,0),FALSE))/$AC356,"")</f>
        <v/>
      </c>
      <c r="BC356" s="228" t="str">
        <f>IF($AY356="ja",(VLOOKUP($B356,'Egen hetvattenprod'!$B$1:$BX$550,MATCH(BC$2,'Egen hetvattenprod'!$B$1:$BX$1,0),FALSE)+VLOOKUP($B356,Kraftvärmeprod!$B$1:$BX$550,MATCH(BC$2,Kraftvärmeprod!$B$1:$BX$1,0),FALSE))/$AC356,"")</f>
        <v/>
      </c>
      <c r="BD356" s="228" t="str">
        <f>IF($AY356="ja",(VLOOKUP($B356,'Egen hetvattenprod'!$B$1:$BX$550,MATCH(BD$2,'Egen hetvattenprod'!$B$1:$BX$1,0),FALSE)+VLOOKUP($B356,Kraftvärmeprod!$B$1:$BX$550,MATCH(BD$2,Kraftvärmeprod!$B$1:$BX$1,0),FALSE))/$AC356,"")</f>
        <v/>
      </c>
      <c r="BE356" s="227"/>
      <c r="BF356" s="227" t="str">
        <f t="shared" si="35"/>
        <v>Nej</v>
      </c>
      <c r="BG356" s="227" t="str">
        <f>IF($BF356="ja",VLOOKUP($B356,'Egen hetvattenprod'!$B$1:$BX$550,MATCH("Andelen klimatgaser med fossilt ursprung för avfall ()",'Egen hetvattenprod'!$B$1:$BX$1,0),FALSE),"")</f>
        <v/>
      </c>
      <c r="BH356" s="227" t="str">
        <f>IF($BF356="ja",VLOOKUP($B356,Kraftvärmeprod!$B$1:$BX$550,MATCH("Andelen klimatgaser med fossilt ursprung för avfall ()",Kraftvärmeprod!$B$1:$BX$1,0),FALSE),"")</f>
        <v/>
      </c>
      <c r="BI356" s="227" t="str">
        <f>IF($BF356="ja",VLOOKUP($B356,'Egen hetvattenprod'!$B$1:$BX$550,MATCH("Avfall (GWh)",'Egen hetvattenprod'!$B$1:$BX$1,0),FALSE),"")</f>
        <v/>
      </c>
      <c r="BJ356" s="227" t="str">
        <f>IF($BF356="ja",VLOOKUP($B356,'Slutlig allokering kvv'!$B$1:$BX$550,MATCH("Avfall (GWh)",'Slutlig allokering kvv'!$B$1:$BX$1,0),FALSE),"")</f>
        <v/>
      </c>
      <c r="BK356" s="227" t="str">
        <f>IF($BF356="ja",VLOOKUP($B356,'Köpt hetvatten'!$B$1:$BX$550,MATCH("Avfall i köpt hetvatten",'Köpt hetvatten'!$B$1:$BX$1,0),FALSE),"")</f>
        <v/>
      </c>
      <c r="BL356" s="227" t="str">
        <f>IF($BF356="ja",VLOOKUP($B356,'Egen hetvattenprod'!$B$1:$BX$550,MATCH("Värde enligt ovan. (%)",'Egen hetvattenprod'!$B$1:$BX$1,0),FALSE),"")</f>
        <v/>
      </c>
      <c r="BM356" s="227" t="str">
        <f>IF($BF356="ja",VLOOKUP($B356,Kraftvärmeprod!$B$1:$BX$550,MATCH("Värde enligt ovan. (%)",Kraftvärmeprod!$B$1:$BX$1,0),FALSE),"")</f>
        <v/>
      </c>
      <c r="BN356" s="227"/>
      <c r="BO356" s="227"/>
      <c r="BP356" s="227"/>
      <c r="BQ356" s="227" t="str">
        <f>IF($BF356="ja",VLOOKUP($B356,'Egen hetvattenprod'!$B$1:$BX$550,MATCH("Tillförd olja (fossil) vid avfallsförbränning (GWh)",'Egen hetvattenprod'!$B$1:$BX$1,0),FALSE),"")</f>
        <v/>
      </c>
      <c r="BR356" s="227" t="str">
        <f>IF($BF356="ja",VLOOKUP($B356,Kraftvärmeprod!$B$1:$BX$550,MATCH("Tillförd olja (fossil) vid avfallsförbränning (GWh)",Kraftvärmeprod!$B$1:$BX$1,0),FALSE),"")</f>
        <v/>
      </c>
      <c r="BS356" s="227"/>
      <c r="BT356" s="227"/>
      <c r="BU356" s="227"/>
    </row>
    <row r="357" spans="1:73" x14ac:dyDescent="0.25">
      <c r="A357" s="121" t="str">
        <f>'Miljövärden för publ företag'!B360</f>
        <v>Övik Energi AB</v>
      </c>
      <c r="B357" s="121" t="str">
        <f>'Miljövärden för publ företag'!C360</f>
        <v>Moliden</v>
      </c>
      <c r="C357" s="173">
        <f>IFERROR(VLOOKUP($B357,Totalt!$B$1:$AQ$554,MATCH(C$2,Totalt!$B$1:$AQ$1,0),FALSE),"")</f>
        <v>0</v>
      </c>
      <c r="D357" s="173">
        <f>IFERROR(VLOOKUP($B357,Totalt!$B$1:$AQ$554,MATCH(D$2,Totalt!$B$1:$AQ$1,0),FALSE),"")</f>
        <v>5.3699999999999998E-3</v>
      </c>
      <c r="E357" s="173">
        <f>IFERROR(VLOOKUP($B357,Totalt!$B$1:$AQ$554,MATCH(E$2,Totalt!$B$1:$AQ$1,0),FALSE),"")</f>
        <v>0</v>
      </c>
      <c r="F357" s="173">
        <f>IFERROR(VLOOKUP($B357,Totalt!$B$1:$AQ$554,MATCH(F$2,Totalt!$B$1:$AQ$1,0),FALSE),"")</f>
        <v>0</v>
      </c>
      <c r="G357" s="173">
        <f>IFERROR(VLOOKUP($B357,Totalt!$B$1:$AQ$554,MATCH(G$2,Totalt!$B$1:$AQ$1,0),FALSE),"")</f>
        <v>0</v>
      </c>
      <c r="H357" s="173">
        <f>IFERROR(VLOOKUP($B357,Totalt!$B$1:$AQ$554,MATCH(H$2,Totalt!$B$1:$AQ$1,0),FALSE),"")</f>
        <v>0</v>
      </c>
      <c r="I357" s="173">
        <f>IFERROR(VLOOKUP($B357,Totalt!$B$1:$AQ$554,MATCH(I$2,Totalt!$B$1:$AQ$1,0),FALSE),"")</f>
        <v>0</v>
      </c>
      <c r="J357" s="173">
        <f>IFERROR(VLOOKUP($B357,Totalt!$B$1:$AQ$554,MATCH(J$2,Totalt!$B$1:$AQ$1,0),FALSE),"")</f>
        <v>0</v>
      </c>
      <c r="K357" s="173">
        <f>IFERROR(VLOOKUP($B357,Totalt!$B$1:$AQ$554,MATCH(K$2,Totalt!$B$1:$AQ$1,0),FALSE),"")</f>
        <v>0</v>
      </c>
      <c r="L357" s="173">
        <f>IFERROR(VLOOKUP($B357,Totalt!$B$1:$AQ$554,MATCH(L$2,Totalt!$B$1:$AQ$1,0),FALSE),"")</f>
        <v>0</v>
      </c>
      <c r="M357" s="173">
        <f>IFERROR(VLOOKUP($B357,Totalt!$B$1:$AQ$554,MATCH(M$2,Totalt!$B$1:$AQ$1,0),FALSE),"")</f>
        <v>0</v>
      </c>
      <c r="N357" s="173">
        <f>IFERROR(VLOOKUP($B357,Totalt!$B$1:$AQ$554,MATCH(N$2,Totalt!$B$1:$AQ$1,0),FALSE),"")</f>
        <v>0</v>
      </c>
      <c r="O357" s="173">
        <f>IFERROR(VLOOKUP($B357,Totalt!$B$1:$AQ$554,MATCH(O$2,Totalt!$B$1:$AQ$1,0),FALSE),"")</f>
        <v>0</v>
      </c>
      <c r="P357" s="173">
        <f>IFERROR(VLOOKUP($B357,Totalt!$B$1:$AQ$554,MATCH(P$2,Totalt!$B$1:$AQ$1,0),FALSE),"")</f>
        <v>0</v>
      </c>
      <c r="Q357" s="173">
        <f>IFERROR(VLOOKUP($B357,Totalt!$B$1:$AQ$554,MATCH(Q$2,Totalt!$B$1:$AQ$1,0),FALSE),"")</f>
        <v>0</v>
      </c>
      <c r="R357" s="173">
        <f>IFERROR(VLOOKUP($B357,Totalt!$B$1:$AQ$554,MATCH(R$2,Totalt!$B$1:$AQ$1,0),FALSE),"")</f>
        <v>0.71719999999999995</v>
      </c>
      <c r="S357" s="173">
        <f>IFERROR(VLOOKUP($B357,Totalt!$B$1:$AQ$554,MATCH(S$2,Totalt!$B$1:$AQ$1,0),FALSE),"")</f>
        <v>0</v>
      </c>
      <c r="T357" s="173">
        <f>IFERROR(VLOOKUP($B357,Totalt!$B$1:$AQ$554,MATCH(T$2,Totalt!$B$1:$AQ$1,0),FALSE),"")</f>
        <v>0</v>
      </c>
      <c r="U357" s="173">
        <f>IFERROR(VLOOKUP($B357,Totalt!$B$1:$AQ$554,MATCH(U$2,Totalt!$B$1:$AQ$1,0),FALSE),"")</f>
        <v>0</v>
      </c>
      <c r="V357" s="173">
        <f>IFERROR(VLOOKUP($B357,Totalt!$B$1:$AQ$554,MATCH(V$2,Totalt!$B$1:$AQ$1,0),FALSE),"")</f>
        <v>0</v>
      </c>
      <c r="W357" s="173">
        <f>IFERROR(VLOOKUP($B357,Totalt!$B$1:$AQ$554,MATCH(W$2,Totalt!$B$1:$AQ$1,0),FALSE),"")</f>
        <v>0</v>
      </c>
      <c r="X357" s="173">
        <f>IFERROR(VLOOKUP($B357,Totalt!$B$1:$AQ$554,MATCH(X$2,Totalt!$B$1:$AQ$1,0),FALSE),"")</f>
        <v>0</v>
      </c>
      <c r="Y357" s="173">
        <f>IFERROR(VLOOKUP($B357,Totalt!$B$1:$AQ$554,MATCH(Y$2,Totalt!$B$1:$AQ$1,0),FALSE),"")</f>
        <v>0</v>
      </c>
      <c r="Z357" s="173">
        <f>IFERROR(VLOOKUP($B357,Totalt!$B$1:$AQ$554,MATCH(Z$2,Totalt!$B$1:$AQ$1,0),FALSE),"")</f>
        <v>0</v>
      </c>
      <c r="AA357" s="173">
        <f>IFERROR(VLOOKUP($B357,Totalt!$B$1:$AQ$554,MATCH(AA$2,Totalt!$B$1:$AQ$1,0),FALSE),"")</f>
        <v>0</v>
      </c>
      <c r="AB357" s="173">
        <f>IFERROR(VLOOKUP($B357,Totalt!$B$1:$AQ$554,MATCH(AB$2,Totalt!$B$1:$AQ$1,0),FALSE),"")</f>
        <v>0</v>
      </c>
      <c r="AC357" s="173">
        <f>IFERROR(VLOOKUP($B357,Totalt!$B$1:$AQ$554,MATCH(AC$2,Totalt!$B$1:$AQ$1,0),FALSE),"")</f>
        <v>0</v>
      </c>
      <c r="AD357" s="173">
        <f>IFERROR(VLOOKUP($B357,Totalt!$B$1:$AQ$554,MATCH(AD$2,Totalt!$B$1:$AQ$1,0),FALSE),"")</f>
        <v>0</v>
      </c>
      <c r="AE357" s="173">
        <f>IFERROR(VLOOKUP($B357,Totalt!$B$1:$AQ$554,MATCH(AE$2,Totalt!$B$1:$AQ$1,0),FALSE),"")</f>
        <v>0</v>
      </c>
      <c r="AF357" s="173">
        <f>IFERROR(VLOOKUP($B357,Totalt!$B$1:$AQ$554,MATCH(AF$2,Totalt!$B$1:$AQ$1,0),FALSE),"")</f>
        <v>2.3300000000000001E-2</v>
      </c>
      <c r="AG357" s="173">
        <f>IFERROR(VLOOKUP($B357,Totalt!$B$1:$AQ$554,MATCH(AG$2,Totalt!$B$1:$AQ$1,0),FALSE),"")</f>
        <v>0</v>
      </c>
      <c r="AI357" s="226">
        <f t="shared" si="30"/>
        <v>0.74586999999999992</v>
      </c>
      <c r="AJ357" s="226">
        <f>IF(ISERROR(1/VLOOKUP($B357,Leveranser!$B$1:$S$500,MATCH("såld värme (gwh)",Leveranser!$B$1:$S$1,0),FALSE)),"",VLOOKUP($B357,Leveranser!$B$1:$S$500,MATCH("såld värme (gwh)",Leveranser!$B$1:$S$1,0),FALSE))</f>
        <v>0.54</v>
      </c>
      <c r="AM357" s="227" t="str">
        <f>IF(B357&lt;&gt;"",IF(VLOOKUP($B357,Totalt!$B$1:$AQ$554,MATCH("Kvalitetsgranskad:",Totalt!$B$1:$AQ$1,0),FALSE)="ja",VLOOKUP($B357,Miljö!$B$1:$AG$479,MATCH(AM$2,Miljö!$B$1:$AK$1,0),FALSE),""),"")</f>
        <v>Ja</v>
      </c>
      <c r="AN357" s="227" t="str">
        <f>IF(AM357="ja",VLOOKUP($B357,Miljö!$B$1:$J$479,MATCH("Typ av ursprungsspecificerad el   (Om inget värde anges används Nordisk residualmix, se inforuta) ()",Miljö!$B$1:$J$1,0),FALSE),IF(AM357="nej","Nordisk residualel",""))</f>
        <v>'Hörneborgsel'</v>
      </c>
      <c r="AO357" s="227">
        <f>IF(AM357="","",VLOOKUP($B357,Miljö!$B$1:$J$479,MATCH("Fossilandel för ursprungspecificerad el ()",Miljö!$B$1:$J$1,0),FALSE))</f>
        <v>0.03</v>
      </c>
      <c r="AP357" s="227">
        <f>IF(AM357="","",IFERROR(VLOOKUP($B357,Miljö!$B$1:$J$479,MATCH("Kärnkraftsandel för ursprungsspecificerad el ()",Miljö!$B$1:$J$1,0),FALSE)/1,0))</f>
        <v>0</v>
      </c>
      <c r="AQ357" s="227">
        <f t="shared" si="31"/>
        <v>0.97</v>
      </c>
      <c r="AR357" s="227"/>
      <c r="AS357" s="227" t="str">
        <f t="shared" si="32"/>
        <v>Nej</v>
      </c>
      <c r="AT357" s="227" t="str">
        <f>IF(AS357="ja",VLOOKUP($B357,Miljö!$B$1:$O$500,MATCH("Fossil andel i procent (%)",Miljö!$B$1:$O$1,0),FALSE)/100,"")</f>
        <v/>
      </c>
      <c r="AU357" s="227"/>
      <c r="AV357" s="227" t="str">
        <f t="shared" si="33"/>
        <v>Nej</v>
      </c>
      <c r="AW357" s="227" t="str">
        <f>IF(AV357="ja",VLOOKUP($B357,'Egen hetvattenprod'!$B$1:$AO$500,MATCH("Värmekälla till värmepumpar ()",'Egen hetvattenprod'!$B$1:$AO$1,0),FALSE),"")</f>
        <v/>
      </c>
      <c r="AX357" s="227"/>
      <c r="AY357" s="227" t="str">
        <f t="shared" si="34"/>
        <v>Nej</v>
      </c>
      <c r="AZ357" s="228" t="str">
        <f>IF($AY357="ja",(VLOOKUP($B357,'Egen hetvattenprod'!$B$1:$BX$550,MATCH(AZ$2,'Egen hetvattenprod'!$B$1:$BX$1,0),FALSE)+VLOOKUP($B357,Kraftvärmeprod!$B$1:$BX$550,MATCH(AZ$2,Kraftvärmeprod!$B$1:$BX$1,0),FALSE))/$AC357,"")</f>
        <v/>
      </c>
      <c r="BA357" s="228" t="str">
        <f>IF($AY357="ja",(VLOOKUP($B357,'Egen hetvattenprod'!$B$1:$BX$550,MATCH(BA$2,'Egen hetvattenprod'!$B$1:$BX$1,0),FALSE)+VLOOKUP($B357,Kraftvärmeprod!$B$1:$BX$550,MATCH(BA$2,Kraftvärmeprod!$B$1:$BX$1,0),FALSE))/$AC357,"")</f>
        <v/>
      </c>
      <c r="BB357" s="228" t="str">
        <f>IF($AY357="ja",(VLOOKUP($B357,'Egen hetvattenprod'!$B$1:$BX$550,MATCH(BB$2,'Egen hetvattenprod'!$B$1:$BX$1,0),FALSE)+VLOOKUP($B357,Kraftvärmeprod!$B$1:$BX$550,MATCH(BB$2,Kraftvärmeprod!$B$1:$BX$1,0),FALSE))/$AC357,"")</f>
        <v/>
      </c>
      <c r="BC357" s="228" t="str">
        <f>IF($AY357="ja",(VLOOKUP($B357,'Egen hetvattenprod'!$B$1:$BX$550,MATCH(BC$2,'Egen hetvattenprod'!$B$1:$BX$1,0),FALSE)+VLOOKUP($B357,Kraftvärmeprod!$B$1:$BX$550,MATCH(BC$2,Kraftvärmeprod!$B$1:$BX$1,0),FALSE))/$AC357,"")</f>
        <v/>
      </c>
      <c r="BD357" s="228" t="str">
        <f>IF($AY357="ja",(VLOOKUP($B357,'Egen hetvattenprod'!$B$1:$BX$550,MATCH(BD$2,'Egen hetvattenprod'!$B$1:$BX$1,0),FALSE)+VLOOKUP($B357,Kraftvärmeprod!$B$1:$BX$550,MATCH(BD$2,Kraftvärmeprod!$B$1:$BX$1,0),FALSE))/$AC357,"")</f>
        <v/>
      </c>
      <c r="BE357" s="227"/>
      <c r="BF357" s="227" t="str">
        <f t="shared" si="35"/>
        <v>Nej</v>
      </c>
      <c r="BG357" s="227" t="str">
        <f>IF($BF357="ja",VLOOKUP($B357,'Egen hetvattenprod'!$B$1:$BX$550,MATCH("Andelen klimatgaser med fossilt ursprung för avfall ()",'Egen hetvattenprod'!$B$1:$BX$1,0),FALSE),"")</f>
        <v/>
      </c>
      <c r="BH357" s="227" t="str">
        <f>IF($BF357="ja",VLOOKUP($B357,Kraftvärmeprod!$B$1:$BX$550,MATCH("Andelen klimatgaser med fossilt ursprung för avfall ()",Kraftvärmeprod!$B$1:$BX$1,0),FALSE),"")</f>
        <v/>
      </c>
      <c r="BI357" s="227" t="str">
        <f>IF($BF357="ja",VLOOKUP($B357,'Egen hetvattenprod'!$B$1:$BX$550,MATCH("Avfall (GWh)",'Egen hetvattenprod'!$B$1:$BX$1,0),FALSE),"")</f>
        <v/>
      </c>
      <c r="BJ357" s="227" t="str">
        <f>IF($BF357="ja",VLOOKUP($B357,'Slutlig allokering kvv'!$B$1:$BX$550,MATCH("Avfall (GWh)",'Slutlig allokering kvv'!$B$1:$BX$1,0),FALSE),"")</f>
        <v/>
      </c>
      <c r="BK357" s="227" t="str">
        <f>IF($BF357="ja",VLOOKUP($B357,'Köpt hetvatten'!$B$1:$BX$550,MATCH("Avfall i köpt hetvatten",'Köpt hetvatten'!$B$1:$BX$1,0),FALSE),"")</f>
        <v/>
      </c>
      <c r="BL357" s="227" t="str">
        <f>IF($BF357="ja",VLOOKUP($B357,'Egen hetvattenprod'!$B$1:$BX$550,MATCH("Värde enligt ovan. (%)",'Egen hetvattenprod'!$B$1:$BX$1,0),FALSE),"")</f>
        <v/>
      </c>
      <c r="BM357" s="227" t="str">
        <f>IF($BF357="ja",VLOOKUP($B357,Kraftvärmeprod!$B$1:$BX$550,MATCH("Värde enligt ovan. (%)",Kraftvärmeprod!$B$1:$BX$1,0),FALSE),"")</f>
        <v/>
      </c>
      <c r="BN357" s="227"/>
      <c r="BO357" s="227"/>
      <c r="BP357" s="227"/>
      <c r="BQ357" s="227" t="str">
        <f>IF($BF357="ja",VLOOKUP($B357,'Egen hetvattenprod'!$B$1:$BX$550,MATCH("Tillförd olja (fossil) vid avfallsförbränning (GWh)",'Egen hetvattenprod'!$B$1:$BX$1,0),FALSE),"")</f>
        <v/>
      </c>
      <c r="BR357" s="227" t="str">
        <f>IF($BF357="ja",VLOOKUP($B357,Kraftvärmeprod!$B$1:$BX$550,MATCH("Tillförd olja (fossil) vid avfallsförbränning (GWh)",Kraftvärmeprod!$B$1:$BX$1,0),FALSE),"")</f>
        <v/>
      </c>
      <c r="BS357" s="227"/>
      <c r="BT357" s="227"/>
      <c r="BU357" s="227"/>
    </row>
    <row r="358" spans="1:73" x14ac:dyDescent="0.25">
      <c r="A358" s="121" t="str">
        <f>'Miljövärden för publ företag'!B361</f>
        <v>Övik Energi AB</v>
      </c>
      <c r="B358" s="121" t="str">
        <f>'Miljövärden för publ företag'!C361</f>
        <v>Processånga</v>
      </c>
      <c r="C358" s="173">
        <f>IFERROR(VLOOKUP($B358,Totalt!$B$1:$AQ$554,MATCH(C$2,Totalt!$B$1:$AQ$1,0),FALSE),"")</f>
        <v>0</v>
      </c>
      <c r="D358" s="173">
        <f>IFERROR(VLOOKUP($B358,Totalt!$B$1:$AQ$554,MATCH(D$2,Totalt!$B$1:$AQ$1,0),FALSE),"")</f>
        <v>9.6077999999999992</v>
      </c>
      <c r="E358" s="173">
        <f>IFERROR(VLOOKUP($B358,Totalt!$B$1:$AQ$554,MATCH(E$2,Totalt!$B$1:$AQ$1,0),FALSE),"")</f>
        <v>0</v>
      </c>
      <c r="F358" s="173">
        <f>IFERROR(VLOOKUP($B358,Totalt!$B$1:$AQ$554,MATCH(F$2,Totalt!$B$1:$AQ$1,0),FALSE),"")</f>
        <v>4.5744899999999999</v>
      </c>
      <c r="G358" s="173">
        <f>IFERROR(VLOOKUP($B358,Totalt!$B$1:$AQ$554,MATCH(G$2,Totalt!$B$1:$AQ$1,0),FALSE),"")</f>
        <v>0</v>
      </c>
      <c r="H358" s="173">
        <f>IFERROR(VLOOKUP($B358,Totalt!$B$1:$AQ$554,MATCH(H$2,Totalt!$B$1:$AQ$1,0),FALSE),"")</f>
        <v>0</v>
      </c>
      <c r="I358" s="173">
        <f>IFERROR(VLOOKUP($B358,Totalt!$B$1:$AQ$554,MATCH(I$2,Totalt!$B$1:$AQ$1,0),FALSE),"")</f>
        <v>0</v>
      </c>
      <c r="J358" s="173">
        <f>IFERROR(VLOOKUP($B358,Totalt!$B$1:$AQ$554,MATCH(J$2,Totalt!$B$1:$AQ$1,0),FALSE),"")</f>
        <v>4.4244500000000002</v>
      </c>
      <c r="K358" s="173">
        <f>IFERROR(VLOOKUP($B358,Totalt!$B$1:$AQ$554,MATCH(K$2,Totalt!$B$1:$AQ$1,0),FALSE),"")</f>
        <v>0</v>
      </c>
      <c r="L358" s="173">
        <f>IFERROR(VLOOKUP($B358,Totalt!$B$1:$AQ$554,MATCH(L$2,Totalt!$B$1:$AQ$1,0),FALSE),"")</f>
        <v>0</v>
      </c>
      <c r="M358" s="173">
        <f>IFERROR(VLOOKUP($B358,Totalt!$B$1:$AQ$554,MATCH(M$2,Totalt!$B$1:$AQ$1,0),FALSE),"")</f>
        <v>115.14100000000001</v>
      </c>
      <c r="N358" s="173">
        <f>IFERROR(VLOOKUP($B358,Totalt!$B$1:$AQ$554,MATCH(N$2,Totalt!$B$1:$AQ$1,0),FALSE),"")</f>
        <v>9.4079599999999992</v>
      </c>
      <c r="O358" s="173">
        <f>IFERROR(VLOOKUP($B358,Totalt!$B$1:$AQ$554,MATCH(O$2,Totalt!$B$1:$AQ$1,0),FALSE),"")</f>
        <v>45.821199999999997</v>
      </c>
      <c r="P358" s="173">
        <f>IFERROR(VLOOKUP($B358,Totalt!$B$1:$AQ$554,MATCH(P$2,Totalt!$B$1:$AQ$1,0),FALSE),"")</f>
        <v>32.734900000000003</v>
      </c>
      <c r="Q358" s="173">
        <f>IFERROR(VLOOKUP($B358,Totalt!$B$1:$AQ$554,MATCH(Q$2,Totalt!$B$1:$AQ$1,0),FALSE),"")</f>
        <v>0</v>
      </c>
      <c r="R358" s="173">
        <f>IFERROR(VLOOKUP($B358,Totalt!$B$1:$AQ$554,MATCH(R$2,Totalt!$B$1:$AQ$1,0),FALSE),"")</f>
        <v>0</v>
      </c>
      <c r="S358" s="173">
        <f>IFERROR(VLOOKUP($B358,Totalt!$B$1:$AQ$554,MATCH(S$2,Totalt!$B$1:$AQ$1,0),FALSE),"")</f>
        <v>0</v>
      </c>
      <c r="T358" s="173">
        <f>IFERROR(VLOOKUP($B358,Totalt!$B$1:$AQ$554,MATCH(T$2,Totalt!$B$1:$AQ$1,0),FALSE),"")</f>
        <v>0</v>
      </c>
      <c r="U358" s="173">
        <f>IFERROR(VLOOKUP($B358,Totalt!$B$1:$AQ$554,MATCH(U$2,Totalt!$B$1:$AQ$1,0),FALSE),"")</f>
        <v>0</v>
      </c>
      <c r="V358" s="173">
        <f>IFERROR(VLOOKUP($B358,Totalt!$B$1:$AQ$554,MATCH(V$2,Totalt!$B$1:$AQ$1,0),FALSE),"")</f>
        <v>0</v>
      </c>
      <c r="W358" s="173">
        <f>IFERROR(VLOOKUP($B358,Totalt!$B$1:$AQ$554,MATCH(W$2,Totalt!$B$1:$AQ$1,0),FALSE),"")</f>
        <v>0</v>
      </c>
      <c r="X358" s="173">
        <f>IFERROR(VLOOKUP($B358,Totalt!$B$1:$AQ$554,MATCH(X$2,Totalt!$B$1:$AQ$1,0),FALSE),"")</f>
        <v>0</v>
      </c>
      <c r="Y358" s="173">
        <f>IFERROR(VLOOKUP($B358,Totalt!$B$1:$AQ$554,MATCH(Y$2,Totalt!$B$1:$AQ$1,0),FALSE),"")</f>
        <v>39.361499999999999</v>
      </c>
      <c r="Z358" s="173">
        <f>IFERROR(VLOOKUP($B358,Totalt!$B$1:$AQ$554,MATCH(Z$2,Totalt!$B$1:$AQ$1,0),FALSE),"")</f>
        <v>0</v>
      </c>
      <c r="AA358" s="173">
        <f>IFERROR(VLOOKUP($B358,Totalt!$B$1:$AQ$554,MATCH(AA$2,Totalt!$B$1:$AQ$1,0),FALSE),"")</f>
        <v>0</v>
      </c>
      <c r="AB358" s="173">
        <f>IFERROR(VLOOKUP($B358,Totalt!$B$1:$AQ$554,MATCH(AB$2,Totalt!$B$1:$AQ$1,0),FALSE),"")</f>
        <v>0</v>
      </c>
      <c r="AC358" s="173">
        <f>IFERROR(VLOOKUP($B358,Totalt!$B$1:$AQ$554,MATCH(AC$2,Totalt!$B$1:$AQ$1,0),FALSE),"")</f>
        <v>0</v>
      </c>
      <c r="AD358" s="173">
        <f>IFERROR(VLOOKUP($B358,Totalt!$B$1:$AQ$554,MATCH(AD$2,Totalt!$B$1:$AQ$1,0),FALSE),"")</f>
        <v>0</v>
      </c>
      <c r="AE358" s="173">
        <f>IFERROR(VLOOKUP($B358,Totalt!$B$1:$AQ$554,MATCH(AE$2,Totalt!$B$1:$AQ$1,0),FALSE),"")</f>
        <v>0</v>
      </c>
      <c r="AF358" s="173">
        <f>IFERROR(VLOOKUP($B358,Totalt!$B$1:$AQ$554,MATCH(AF$2,Totalt!$B$1:$AQ$1,0),FALSE),"")</f>
        <v>9.2359500000000008</v>
      </c>
      <c r="AG358" s="173">
        <f>IFERROR(VLOOKUP($B358,Totalt!$B$1:$AQ$554,MATCH(AG$2,Totalt!$B$1:$AQ$1,0),FALSE),"")</f>
        <v>0</v>
      </c>
      <c r="AI358" s="226">
        <f t="shared" si="30"/>
        <v>270.30925000000002</v>
      </c>
      <c r="AJ358" s="226">
        <f>IF(ISERROR(1/VLOOKUP($B358,Leveranser!$B$1:$S$500,MATCH("såld värme (gwh)",Leveranser!$B$1:$S$1,0),FALSE)),"",VLOOKUP($B358,Leveranser!$B$1:$S$500,MATCH("såld värme (gwh)",Leveranser!$B$1:$S$1,0),FALSE))</f>
        <v>277.14</v>
      </c>
      <c r="AM358" s="227" t="str">
        <f>IF(B358&lt;&gt;"",IF(VLOOKUP($B358,Totalt!$B$1:$AQ$554,MATCH("Kvalitetsgranskad:",Totalt!$B$1:$AQ$1,0),FALSE)="ja",VLOOKUP($B358,Miljö!$B$1:$AG$479,MATCH(AM$2,Miljö!$B$1:$AK$1,0),FALSE),""),"")</f>
        <v>Ja</v>
      </c>
      <c r="AN358" s="227" t="str">
        <f>IF(AM358="ja",VLOOKUP($B358,Miljö!$B$1:$J$479,MATCH("Typ av ursprungsspecificerad el   (Om inget värde anges används Nordisk residualmix, se inforuta) ()",Miljö!$B$1:$J$1,0),FALSE),IF(AM358="nej","Nordisk residualel",""))</f>
        <v>'Hörneborgsel'</v>
      </c>
      <c r="AO358" s="227">
        <f>IF(AM358="","",VLOOKUP($B358,Miljö!$B$1:$J$479,MATCH("Fossilandel för ursprungspecificerad el ()",Miljö!$B$1:$J$1,0),FALSE))</f>
        <v>0.03</v>
      </c>
      <c r="AP358" s="227">
        <f>IF(AM358="","",IFERROR(VLOOKUP($B358,Miljö!$B$1:$J$479,MATCH("Kärnkraftsandel för ursprungsspecificerad el ()",Miljö!$B$1:$J$1,0),FALSE)/1,0))</f>
        <v>0</v>
      </c>
      <c r="AQ358" s="227">
        <f t="shared" si="31"/>
        <v>0.97</v>
      </c>
      <c r="AR358" s="227"/>
      <c r="AS358" s="227" t="str">
        <f t="shared" si="32"/>
        <v>Nej</v>
      </c>
      <c r="AT358" s="227" t="str">
        <f>IF(AS358="ja",VLOOKUP($B358,Miljö!$B$1:$O$500,MATCH("Fossil andel i procent (%)",Miljö!$B$1:$O$1,0),FALSE)/100,"")</f>
        <v/>
      </c>
      <c r="AU358" s="227"/>
      <c r="AV358" s="227" t="str">
        <f t="shared" si="33"/>
        <v>Nej</v>
      </c>
      <c r="AW358" s="227" t="str">
        <f>IF(AV358="ja",VLOOKUP($B358,'Egen hetvattenprod'!$B$1:$AO$500,MATCH("Värmekälla till värmepumpar ()",'Egen hetvattenprod'!$B$1:$AO$1,0),FALSE),"")</f>
        <v/>
      </c>
      <c r="AX358" s="227"/>
      <c r="AY358" s="227" t="str">
        <f t="shared" si="34"/>
        <v>Nej</v>
      </c>
      <c r="AZ358" s="228" t="str">
        <f>IF($AY358="ja",(VLOOKUP($B358,'Egen hetvattenprod'!$B$1:$BX$550,MATCH(AZ$2,'Egen hetvattenprod'!$B$1:$BX$1,0),FALSE)+VLOOKUP($B358,Kraftvärmeprod!$B$1:$BX$550,MATCH(AZ$2,Kraftvärmeprod!$B$1:$BX$1,0),FALSE))/$AC358,"")</f>
        <v/>
      </c>
      <c r="BA358" s="228" t="str">
        <f>IF($AY358="ja",(VLOOKUP($B358,'Egen hetvattenprod'!$B$1:$BX$550,MATCH(BA$2,'Egen hetvattenprod'!$B$1:$BX$1,0),FALSE)+VLOOKUP($B358,Kraftvärmeprod!$B$1:$BX$550,MATCH(BA$2,Kraftvärmeprod!$B$1:$BX$1,0),FALSE))/$AC358,"")</f>
        <v/>
      </c>
      <c r="BB358" s="228" t="str">
        <f>IF($AY358="ja",(VLOOKUP($B358,'Egen hetvattenprod'!$B$1:$BX$550,MATCH(BB$2,'Egen hetvattenprod'!$B$1:$BX$1,0),FALSE)+VLOOKUP($B358,Kraftvärmeprod!$B$1:$BX$550,MATCH(BB$2,Kraftvärmeprod!$B$1:$BX$1,0),FALSE))/$AC358,"")</f>
        <v/>
      </c>
      <c r="BC358" s="228" t="str">
        <f>IF($AY358="ja",(VLOOKUP($B358,'Egen hetvattenprod'!$B$1:$BX$550,MATCH(BC$2,'Egen hetvattenprod'!$B$1:$BX$1,0),FALSE)+VLOOKUP($B358,Kraftvärmeprod!$B$1:$BX$550,MATCH(BC$2,Kraftvärmeprod!$B$1:$BX$1,0),FALSE))/$AC358,"")</f>
        <v/>
      </c>
      <c r="BD358" s="228" t="str">
        <f>IF($AY358="ja",(VLOOKUP($B358,'Egen hetvattenprod'!$B$1:$BX$550,MATCH(BD$2,'Egen hetvattenprod'!$B$1:$BX$1,0),FALSE)+VLOOKUP($B358,Kraftvärmeprod!$B$1:$BX$550,MATCH(BD$2,Kraftvärmeprod!$B$1:$BX$1,0),FALSE))/$AC358,"")</f>
        <v/>
      </c>
      <c r="BE358" s="227"/>
      <c r="BF358" s="227" t="str">
        <f t="shared" si="35"/>
        <v>Nej</v>
      </c>
      <c r="BG358" s="227" t="str">
        <f>IF($BF358="ja",VLOOKUP($B358,'Egen hetvattenprod'!$B$1:$BX$550,MATCH("Andelen klimatgaser med fossilt ursprung för avfall ()",'Egen hetvattenprod'!$B$1:$BX$1,0),FALSE),"")</f>
        <v/>
      </c>
      <c r="BH358" s="227" t="str">
        <f>IF($BF358="ja",VLOOKUP($B358,Kraftvärmeprod!$B$1:$BX$550,MATCH("Andelen klimatgaser med fossilt ursprung för avfall ()",Kraftvärmeprod!$B$1:$BX$1,0),FALSE),"")</f>
        <v/>
      </c>
      <c r="BI358" s="227" t="str">
        <f>IF($BF358="ja",VLOOKUP($B358,'Egen hetvattenprod'!$B$1:$BX$550,MATCH("Avfall (GWh)",'Egen hetvattenprod'!$B$1:$BX$1,0),FALSE),"")</f>
        <v/>
      </c>
      <c r="BJ358" s="227" t="str">
        <f>IF($BF358="ja",VLOOKUP($B358,'Slutlig allokering kvv'!$B$1:$BX$550,MATCH("Avfall (GWh)",'Slutlig allokering kvv'!$B$1:$BX$1,0),FALSE),"")</f>
        <v/>
      </c>
      <c r="BK358" s="227" t="str">
        <f>IF($BF358="ja",VLOOKUP($B358,'Köpt hetvatten'!$B$1:$BX$550,MATCH("Avfall i köpt hetvatten",'Köpt hetvatten'!$B$1:$BX$1,0),FALSE),"")</f>
        <v/>
      </c>
      <c r="BL358" s="227" t="str">
        <f>IF($BF358="ja",VLOOKUP($B358,'Egen hetvattenprod'!$B$1:$BX$550,MATCH("Värde enligt ovan. (%)",'Egen hetvattenprod'!$B$1:$BX$1,0),FALSE),"")</f>
        <v/>
      </c>
      <c r="BM358" s="227" t="str">
        <f>IF($BF358="ja",VLOOKUP($B358,Kraftvärmeprod!$B$1:$BX$550,MATCH("Värde enligt ovan. (%)",Kraftvärmeprod!$B$1:$BX$1,0),FALSE),"")</f>
        <v/>
      </c>
      <c r="BN358" s="227"/>
      <c r="BO358" s="227"/>
      <c r="BP358" s="227"/>
      <c r="BQ358" s="227" t="str">
        <f>IF($BF358="ja",VLOOKUP($B358,'Egen hetvattenprod'!$B$1:$BX$550,MATCH("Tillförd olja (fossil) vid avfallsförbränning (GWh)",'Egen hetvattenprod'!$B$1:$BX$1,0),FALSE),"")</f>
        <v/>
      </c>
      <c r="BR358" s="227" t="str">
        <f>IF($BF358="ja",VLOOKUP($B358,Kraftvärmeprod!$B$1:$BX$550,MATCH("Tillförd olja (fossil) vid avfallsförbränning (GWh)",Kraftvärmeprod!$B$1:$BX$1,0),FALSE),"")</f>
        <v/>
      </c>
      <c r="BS358" s="227"/>
      <c r="BT358" s="227"/>
      <c r="BU358" s="227"/>
    </row>
    <row r="359" spans="1:73" x14ac:dyDescent="0.25">
      <c r="A359" s="121" t="str">
        <f>'Miljövärden för publ företag'!B362</f>
        <v>Övik Energi AB</v>
      </c>
      <c r="B359" s="121" t="str">
        <f>'Miljövärden för publ företag'!C362</f>
        <v>Örnsköldsvik</v>
      </c>
      <c r="C359" s="173">
        <f>IFERROR(VLOOKUP($B359,Totalt!$B$1:$AQ$554,MATCH(C$2,Totalt!$B$1:$AQ$1,0),FALSE),"")</f>
        <v>0</v>
      </c>
      <c r="D359" s="173">
        <f>IFERROR(VLOOKUP($B359,Totalt!$B$1:$AQ$554,MATCH(D$2,Totalt!$B$1:$AQ$1,0),FALSE),"")</f>
        <v>0.63500000000000001</v>
      </c>
      <c r="E359" s="173">
        <f>IFERROR(VLOOKUP($B359,Totalt!$B$1:$AQ$554,MATCH(E$2,Totalt!$B$1:$AQ$1,0),FALSE),"")</f>
        <v>0</v>
      </c>
      <c r="F359" s="173">
        <f>IFERROR(VLOOKUP($B359,Totalt!$B$1:$AQ$554,MATCH(F$2,Totalt!$B$1:$AQ$1,0),FALSE),"")</f>
        <v>0.101992</v>
      </c>
      <c r="G359" s="173">
        <f>IFERROR(VLOOKUP($B359,Totalt!$B$1:$AQ$554,MATCH(G$2,Totalt!$B$1:$AQ$1,0),FALSE),"")</f>
        <v>0</v>
      </c>
      <c r="H359" s="173">
        <f>IFERROR(VLOOKUP($B359,Totalt!$B$1:$AQ$554,MATCH(H$2,Totalt!$B$1:$AQ$1,0),FALSE),"")</f>
        <v>0</v>
      </c>
      <c r="I359" s="173">
        <f>IFERROR(VLOOKUP($B359,Totalt!$B$1:$AQ$554,MATCH(I$2,Totalt!$B$1:$AQ$1,0),FALSE),"")</f>
        <v>0</v>
      </c>
      <c r="J359" s="173">
        <f>IFERROR(VLOOKUP($B359,Totalt!$B$1:$AQ$554,MATCH(J$2,Totalt!$B$1:$AQ$1,0),FALSE),"")</f>
        <v>2.67638</v>
      </c>
      <c r="K359" s="173">
        <f>IFERROR(VLOOKUP($B359,Totalt!$B$1:$AQ$554,MATCH(K$2,Totalt!$B$1:$AQ$1,0),FALSE),"")</f>
        <v>0</v>
      </c>
      <c r="L359" s="173">
        <f>IFERROR(VLOOKUP($B359,Totalt!$B$1:$AQ$554,MATCH(L$2,Totalt!$B$1:$AQ$1,0),FALSE),"")</f>
        <v>0</v>
      </c>
      <c r="M359" s="173">
        <f>IFERROR(VLOOKUP($B359,Totalt!$B$1:$AQ$554,MATCH(M$2,Totalt!$B$1:$AQ$1,0),FALSE),"")</f>
        <v>62.471299999999999</v>
      </c>
      <c r="N359" s="173">
        <f>IFERROR(VLOOKUP($B359,Totalt!$B$1:$AQ$554,MATCH(N$2,Totalt!$B$1:$AQ$1,0),FALSE),"")</f>
        <v>3.9522699999999999</v>
      </c>
      <c r="O359" s="173">
        <f>IFERROR(VLOOKUP($B359,Totalt!$B$1:$AQ$554,MATCH(O$2,Totalt!$B$1:$AQ$1,0),FALSE),"")</f>
        <v>23.974699999999999</v>
      </c>
      <c r="P359" s="173">
        <f>IFERROR(VLOOKUP($B359,Totalt!$B$1:$AQ$554,MATCH(P$2,Totalt!$B$1:$AQ$1,0),FALSE),"")</f>
        <v>18.327200000000001</v>
      </c>
      <c r="Q359" s="173">
        <f>IFERROR(VLOOKUP($B359,Totalt!$B$1:$AQ$554,MATCH(Q$2,Totalt!$B$1:$AQ$1,0),FALSE),"")</f>
        <v>0</v>
      </c>
      <c r="R359" s="173">
        <f>IFERROR(VLOOKUP($B359,Totalt!$B$1:$AQ$554,MATCH(R$2,Totalt!$B$1:$AQ$1,0),FALSE),"")</f>
        <v>0</v>
      </c>
      <c r="S359" s="173">
        <f>IFERROR(VLOOKUP($B359,Totalt!$B$1:$AQ$554,MATCH(S$2,Totalt!$B$1:$AQ$1,0),FALSE),"")</f>
        <v>0</v>
      </c>
      <c r="T359" s="173">
        <f>IFERROR(VLOOKUP($B359,Totalt!$B$1:$AQ$554,MATCH(T$2,Totalt!$B$1:$AQ$1,0),FALSE),"")</f>
        <v>0</v>
      </c>
      <c r="U359" s="173">
        <f>IFERROR(VLOOKUP($B359,Totalt!$B$1:$AQ$554,MATCH(U$2,Totalt!$B$1:$AQ$1,0),FALSE),"")</f>
        <v>0</v>
      </c>
      <c r="V359" s="173">
        <f>IFERROR(VLOOKUP($B359,Totalt!$B$1:$AQ$554,MATCH(V$2,Totalt!$B$1:$AQ$1,0),FALSE),"")</f>
        <v>0</v>
      </c>
      <c r="W359" s="173">
        <f>IFERROR(VLOOKUP($B359,Totalt!$B$1:$AQ$554,MATCH(W$2,Totalt!$B$1:$AQ$1,0),FALSE),"")</f>
        <v>11.022</v>
      </c>
      <c r="X359" s="173">
        <f>IFERROR(VLOOKUP($B359,Totalt!$B$1:$AQ$554,MATCH(X$2,Totalt!$B$1:$AQ$1,0),FALSE),"")</f>
        <v>0</v>
      </c>
      <c r="Y359" s="173">
        <f>IFERROR(VLOOKUP($B359,Totalt!$B$1:$AQ$554,MATCH(Y$2,Totalt!$B$1:$AQ$1,0),FALSE),"")</f>
        <v>22.1587</v>
      </c>
      <c r="Z359" s="173">
        <f>IFERROR(VLOOKUP($B359,Totalt!$B$1:$AQ$554,MATCH(Z$2,Totalt!$B$1:$AQ$1,0),FALSE),"")</f>
        <v>1.0069999999999999</v>
      </c>
      <c r="AA359" s="173">
        <f>IFERROR(VLOOKUP($B359,Totalt!$B$1:$AQ$554,MATCH(AA$2,Totalt!$B$1:$AQ$1,0),FALSE),"")</f>
        <v>0</v>
      </c>
      <c r="AB359" s="173">
        <f>IFERROR(VLOOKUP($B359,Totalt!$B$1:$AQ$554,MATCH(AB$2,Totalt!$B$1:$AQ$1,0),FALSE),"")</f>
        <v>0</v>
      </c>
      <c r="AC359" s="173">
        <f>IFERROR(VLOOKUP($B359,Totalt!$B$1:$AQ$554,MATCH(AC$2,Totalt!$B$1:$AQ$1,0),FALSE),"")</f>
        <v>75.570999999999998</v>
      </c>
      <c r="AD359" s="173">
        <f>IFERROR(VLOOKUP($B359,Totalt!$B$1:$AQ$554,MATCH(AD$2,Totalt!$B$1:$AQ$1,0),FALSE),"")</f>
        <v>0</v>
      </c>
      <c r="AE359" s="173">
        <f>IFERROR(VLOOKUP($B359,Totalt!$B$1:$AQ$554,MATCH(AE$2,Totalt!$B$1:$AQ$1,0),FALSE),"")</f>
        <v>0</v>
      </c>
      <c r="AF359" s="173">
        <f>IFERROR(VLOOKUP($B359,Totalt!$B$1:$AQ$554,MATCH(AF$2,Totalt!$B$1:$AQ$1,0),FALSE),"")</f>
        <v>6.3315900000000003</v>
      </c>
      <c r="AG359" s="173">
        <f>IFERROR(VLOOKUP($B359,Totalt!$B$1:$AQ$554,MATCH(AG$2,Totalt!$B$1:$AQ$1,0),FALSE),"")</f>
        <v>0</v>
      </c>
      <c r="AI359" s="226">
        <f t="shared" ref="AI359" si="36">IF(B359&lt;&gt;"",SUM(C359:AG359),"")</f>
        <v>228.22913200000002</v>
      </c>
      <c r="AJ359" s="226">
        <f>IF(ISERROR(1/VLOOKUP($B359,Leveranser!$B$1:$S$500,MATCH("såld värme (gwh)",Leveranser!$B$1:$S$1,0),FALSE)),"",VLOOKUP($B359,Leveranser!$B$1:$S$500,MATCH("såld värme (gwh)",Leveranser!$B$1:$S$1,0),FALSE))</f>
        <v>234.08</v>
      </c>
      <c r="AM359" s="227" t="str">
        <f>IF(B359&lt;&gt;"",IF(VLOOKUP($B359,Totalt!$B$1:$AQ$554,MATCH("Kvalitetsgranskad:",Totalt!$B$1:$AQ$1,0),FALSE)="ja",VLOOKUP($B359,Miljö!$B$1:$AG$479,MATCH(AM$2,Miljö!$B$1:$AK$1,0),FALSE),""),"")</f>
        <v>Ja</v>
      </c>
      <c r="AN359" s="227" t="str">
        <f>IF(AM359="ja",VLOOKUP($B359,Miljö!$B$1:$J$479,MATCH("Typ av ursprungsspecificerad el   (Om inget värde anges används Nordisk residualmix, se inforuta) ()",Miljö!$B$1:$J$1,0),FALSE),IF(AM359="nej","Nordisk residualel",""))</f>
        <v>'Hörneborgsel'</v>
      </c>
      <c r="AO359" s="227">
        <f>IF(AM359="","",VLOOKUP($B359,Miljö!$B$1:$J$479,MATCH("Fossilandel för ursprungspecificerad el ()",Miljö!$B$1:$J$1,0),FALSE))</f>
        <v>0.03</v>
      </c>
      <c r="AP359" s="227">
        <f>IF(AM359="","",IFERROR(VLOOKUP($B359,Miljö!$B$1:$J$479,MATCH("Kärnkraftsandel för ursprungsspecificerad el ()",Miljö!$B$1:$J$1,0),FALSE)/1,0))</f>
        <v>0</v>
      </c>
      <c r="AQ359" s="227">
        <f t="shared" ref="AQ359" si="37">IF(AM359="","",1-AO359-AP359)</f>
        <v>0.97</v>
      </c>
      <c r="AR359" s="227"/>
      <c r="AS359" s="227" t="str">
        <f t="shared" ref="AS359" si="38">IF(B359&lt;&gt;"",IF(AND(AG359&gt;0,AG359&lt;&gt;""),"Ja","Nej"),"")</f>
        <v>Nej</v>
      </c>
      <c r="AT359" s="227" t="str">
        <f>IF(AS359="ja",VLOOKUP($B359,Miljö!$B$1:$O$500,MATCH("Fossil andel i procent (%)",Miljö!$B$1:$O$1,0),FALSE)/100,"")</f>
        <v/>
      </c>
      <c r="AU359" s="227"/>
      <c r="AV359" s="227" t="str">
        <f t="shared" ref="AV359" si="39">IF(B359&lt;&gt;"",IF(AND(AB359&gt;0,AB359&lt;&gt;""),"Ja","Nej"),"")</f>
        <v>Nej</v>
      </c>
      <c r="AW359" s="227" t="str">
        <f>IF(AV359="ja",VLOOKUP($B359,'Egen hetvattenprod'!$B$1:$AO$500,MATCH("Värmekälla till värmepumpar ()",'Egen hetvattenprod'!$B$1:$AO$1,0),FALSE),"")</f>
        <v/>
      </c>
      <c r="AX359" s="227"/>
      <c r="AY359" s="227" t="str">
        <f t="shared" ref="AY359" si="40">IF(B359&lt;&gt;"",IF(AND(AC359&gt;0,AC359&lt;&gt;""),"Ja","Nej"),"")</f>
        <v>Ja</v>
      </c>
      <c r="AZ359" s="228">
        <f>IF($AY359="ja",(VLOOKUP($B359,'Egen hetvattenprod'!$B$1:$BX$550,MATCH(AZ$2,'Egen hetvattenprod'!$B$1:$BX$1,0),FALSE)+VLOOKUP($B359,Kraftvärmeprod!$B$1:$BX$550,MATCH(AZ$2,Kraftvärmeprod!$B$1:$BX$1,0),FALSE))/$AC359,"")</f>
        <v>0.85</v>
      </c>
      <c r="BA359" s="228">
        <f>IF($AY359="ja",(VLOOKUP($B359,'Egen hetvattenprod'!$B$1:$BX$550,MATCH(BA$2,'Egen hetvattenprod'!$B$1:$BX$1,0),FALSE)+VLOOKUP($B359,Kraftvärmeprod!$B$1:$BX$550,MATCH(BA$2,Kraftvärmeprod!$B$1:$BX$1,0),FALSE))/$AC359,"")</f>
        <v>0</v>
      </c>
      <c r="BB359" s="228">
        <f>IF($AY359="ja",(VLOOKUP($B359,'Egen hetvattenprod'!$B$1:$BX$550,MATCH(BB$2,'Egen hetvattenprod'!$B$1:$BX$1,0),FALSE)+VLOOKUP($B359,Kraftvärmeprod!$B$1:$BX$550,MATCH(BB$2,Kraftvärmeprod!$B$1:$BX$1,0),FALSE))/$AC359,"")</f>
        <v>0</v>
      </c>
      <c r="BC359" s="228">
        <f>IF($AY359="ja",(VLOOKUP($B359,'Egen hetvattenprod'!$B$1:$BX$550,MATCH(BC$2,'Egen hetvattenprod'!$B$1:$BX$1,0),FALSE)+VLOOKUP($B359,Kraftvärmeprod!$B$1:$BX$550,MATCH(BC$2,Kraftvärmeprod!$B$1:$BX$1,0),FALSE))/$AC359,"")</f>
        <v>0.15</v>
      </c>
      <c r="BD359" s="228">
        <f>IF($AY359="ja",(VLOOKUP($B359,'Egen hetvattenprod'!$B$1:$BX$550,MATCH(BD$2,'Egen hetvattenprod'!$B$1:$BX$1,0),FALSE)+VLOOKUP($B359,Kraftvärmeprod!$B$1:$BX$550,MATCH(BD$2,Kraftvärmeprod!$B$1:$BX$1,0),FALSE))/$AC359,"")</f>
        <v>0</v>
      </c>
      <c r="BE359" s="227"/>
      <c r="BF359" s="227" t="str">
        <f t="shared" ref="BF359" si="41">IF(B359&lt;&gt;"",IF(AND(I359&gt;0,I359&lt;&gt;""),"Ja","Nej"),"")</f>
        <v>Nej</v>
      </c>
      <c r="BG359" s="227" t="str">
        <f>IF($BF359="ja",VLOOKUP($B359,'Egen hetvattenprod'!$B$1:$BX$550,MATCH("Andelen klimatgaser med fossilt ursprung för avfall ()",'Egen hetvattenprod'!$B$1:$BX$1,0),FALSE),"")</f>
        <v/>
      </c>
      <c r="BH359" s="227" t="str">
        <f>IF($BF359="ja",VLOOKUP($B359,Kraftvärmeprod!$B$1:$BX$550,MATCH("Andelen klimatgaser med fossilt ursprung för avfall ()",Kraftvärmeprod!$B$1:$BX$1,0),FALSE),"")</f>
        <v/>
      </c>
      <c r="BI359" s="227" t="str">
        <f>IF($BF359="ja",VLOOKUP($B359,'Egen hetvattenprod'!$B$1:$BX$550,MATCH("Avfall (GWh)",'Egen hetvattenprod'!$B$1:$BX$1,0),FALSE),"")</f>
        <v/>
      </c>
      <c r="BJ359" s="227" t="str">
        <f>IF($BF359="ja",VLOOKUP($B359,'Slutlig allokering kvv'!$B$1:$BX$550,MATCH("Avfall (GWh)",'Slutlig allokering kvv'!$B$1:$BX$1,0),FALSE),"")</f>
        <v/>
      </c>
      <c r="BK359" s="227" t="str">
        <f>IF($BF359="ja",VLOOKUP($B359,'Köpt hetvatten'!$B$1:$BX$550,MATCH("Avfall i köpt hetvatten",'Köpt hetvatten'!$B$1:$BX$1,0),FALSE),"")</f>
        <v/>
      </c>
      <c r="BL359" s="227" t="str">
        <f>IF($BF359="ja",VLOOKUP($B359,'Egen hetvattenprod'!$B$1:$BX$550,MATCH("Värde enligt ovan. (%)",'Egen hetvattenprod'!$B$1:$BX$1,0),FALSE),"")</f>
        <v/>
      </c>
      <c r="BM359" s="227" t="str">
        <f>IF($BF359="ja",VLOOKUP($B359,Kraftvärmeprod!$B$1:$BX$550,MATCH("Värde enligt ovan. (%)",Kraftvärmeprod!$B$1:$BX$1,0),FALSE),"")</f>
        <v/>
      </c>
      <c r="BN359" s="227"/>
      <c r="BO359" s="227"/>
      <c r="BP359" s="227"/>
      <c r="BQ359" s="227" t="str">
        <f>IF($BF359="ja",VLOOKUP($B359,'Egen hetvattenprod'!$B$1:$BX$550,MATCH("Tillförd olja (fossil) vid avfallsförbränning (GWh)",'Egen hetvattenprod'!$B$1:$BX$1,0),FALSE),"")</f>
        <v/>
      </c>
      <c r="BR359" s="227" t="str">
        <f>IF($BF359="ja",VLOOKUP($B359,Kraftvärmeprod!$B$1:$BX$550,MATCH("Tillförd olja (fossil) vid avfallsförbränning (GWh)",Kraftvärmeprod!$B$1:$BX$1,0),FALSE),"")</f>
        <v/>
      </c>
      <c r="BS359" s="227"/>
      <c r="BT359" s="227"/>
      <c r="BU359" s="227"/>
    </row>
  </sheetData>
  <autoFilter ref="A2:BS358"/>
  <mergeCells count="5">
    <mergeCell ref="AM1:AQ1"/>
    <mergeCell ref="AS1:AT1"/>
    <mergeCell ref="AV1:AW1"/>
    <mergeCell ref="AY1:BD1"/>
    <mergeCell ref="BF1:BR1"/>
  </mergeCells>
  <conditionalFormatting sqref="B1:B1048576">
    <cfRule type="duplicateValues" dxfId="8" priority="1"/>
  </conditionalFormatting>
  <pageMargins left="0.7" right="0.7" top="0.75" bottom="0.75" header="0.3" footer="0.3"/>
  <pageSetup paperSize="9"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S40"/>
  <sheetViews>
    <sheetView topLeftCell="B1" workbookViewId="0">
      <selection activeCell="D37" sqref="D37"/>
    </sheetView>
  </sheetViews>
  <sheetFormatPr defaultColWidth="9.140625" defaultRowHeight="15" x14ac:dyDescent="0.25"/>
  <cols>
    <col min="1" max="1" width="46.85546875" style="143" customWidth="1"/>
    <col min="2" max="2" width="15.28515625" style="143" customWidth="1"/>
    <col min="3" max="4" width="18.5703125" style="143" customWidth="1"/>
    <col min="5" max="7" width="17.42578125" style="143" customWidth="1"/>
    <col min="8" max="8" width="19.28515625" style="143" customWidth="1"/>
    <col min="9" max="9" width="17.5703125" style="143" customWidth="1"/>
    <col min="10" max="10" width="18.42578125" style="143" customWidth="1"/>
    <col min="11" max="16384" width="9.140625" style="143"/>
  </cols>
  <sheetData>
    <row r="1" spans="1:19" ht="45" x14ac:dyDescent="0.25">
      <c r="A1" s="229" t="s">
        <v>1286</v>
      </c>
      <c r="B1" s="230" t="s">
        <v>1289</v>
      </c>
      <c r="C1" s="230" t="s">
        <v>1288</v>
      </c>
      <c r="D1" s="230" t="s">
        <v>1287</v>
      </c>
      <c r="E1" s="230" t="s">
        <v>1285</v>
      </c>
      <c r="F1" s="230" t="s">
        <v>1284</v>
      </c>
      <c r="G1" s="230" t="s">
        <v>1283</v>
      </c>
      <c r="H1" s="230" t="s">
        <v>1282</v>
      </c>
      <c r="I1" s="230" t="s">
        <v>1281</v>
      </c>
      <c r="J1" s="230" t="s">
        <v>1280</v>
      </c>
      <c r="K1" s="231">
        <v>2011</v>
      </c>
      <c r="L1" s="231">
        <v>2010</v>
      </c>
      <c r="M1" s="231">
        <v>2009</v>
      </c>
      <c r="N1" s="231" t="s">
        <v>1279</v>
      </c>
      <c r="O1" s="231" t="s">
        <v>1278</v>
      </c>
      <c r="P1" s="231" t="s">
        <v>1277</v>
      </c>
      <c r="Q1" s="231" t="s">
        <v>1276</v>
      </c>
      <c r="R1" s="231" t="s">
        <v>1275</v>
      </c>
      <c r="S1" s="232"/>
    </row>
    <row r="2" spans="1:19" x14ac:dyDescent="0.25">
      <c r="A2" s="233" t="s">
        <v>1274</v>
      </c>
      <c r="B2" s="234">
        <f>(D2-E2)/E2</f>
        <v>5.1155309514189659E-2</v>
      </c>
      <c r="C2" s="235">
        <f>D2-E2</f>
        <v>221.4768000000031</v>
      </c>
      <c r="D2" s="235">
        <f>Totalt!AD414</f>
        <v>4550.9746000000014</v>
      </c>
      <c r="E2" s="235">
        <v>4329.4977999999983</v>
      </c>
      <c r="F2" s="235">
        <v>4249.1614999999993</v>
      </c>
      <c r="G2" s="235">
        <v>4036.7012999999993</v>
      </c>
      <c r="H2" s="235">
        <v>3921.0273300000003</v>
      </c>
      <c r="I2" s="235">
        <v>3834.6844010000018</v>
      </c>
      <c r="J2" s="236">
        <v>4062.6541176470591</v>
      </c>
      <c r="K2" s="236">
        <v>3852.2627938561964</v>
      </c>
      <c r="L2" s="236">
        <v>4121.5038316127693</v>
      </c>
      <c r="M2" s="236">
        <v>3589.8439999999991</v>
      </c>
      <c r="N2" s="237">
        <v>3842.1989999999996</v>
      </c>
      <c r="O2" s="237">
        <v>3739.8814999999986</v>
      </c>
      <c r="P2" s="237">
        <v>3785.0810000000006</v>
      </c>
      <c r="Q2" s="237">
        <v>4171.835</v>
      </c>
      <c r="R2" s="238">
        <v>3713.226349999999</v>
      </c>
      <c r="S2" s="232"/>
    </row>
    <row r="3" spans="1:19" x14ac:dyDescent="0.25">
      <c r="A3" s="233" t="s">
        <v>1273</v>
      </c>
      <c r="B3" s="234"/>
      <c r="C3" s="235"/>
      <c r="D3" s="235"/>
      <c r="E3" s="235"/>
      <c r="F3" s="235"/>
      <c r="G3" s="235"/>
      <c r="H3" s="235"/>
      <c r="I3" s="235"/>
      <c r="J3" s="236"/>
      <c r="K3" s="236"/>
      <c r="L3" s="236"/>
      <c r="M3" s="236"/>
      <c r="N3" s="237" t="s">
        <v>1264</v>
      </c>
      <c r="O3" s="237" t="s">
        <v>1264</v>
      </c>
      <c r="P3" s="237">
        <v>8.109</v>
      </c>
      <c r="Q3" s="237">
        <v>5.6239999999999997</v>
      </c>
      <c r="R3" s="238">
        <v>7.0900000000000007</v>
      </c>
      <c r="S3" s="232"/>
    </row>
    <row r="4" spans="1:19" x14ac:dyDescent="0.25">
      <c r="A4" s="233" t="s">
        <v>747</v>
      </c>
      <c r="B4" s="234">
        <f>(D4-E4)/E4</f>
        <v>1.3387654871502928E-3</v>
      </c>
      <c r="C4" s="235">
        <f t="shared" ref="C4:C27" si="0">D4-E4</f>
        <v>16.157365699998991</v>
      </c>
      <c r="D4" s="235">
        <f>Totalt!I414</f>
        <v>12085.0117357</v>
      </c>
      <c r="E4" s="235">
        <v>12068.854370000001</v>
      </c>
      <c r="F4" s="235">
        <v>11759.713900000001</v>
      </c>
      <c r="G4" s="235">
        <v>11108.776591799999</v>
      </c>
      <c r="H4" s="235">
        <v>11085.367992999998</v>
      </c>
      <c r="I4" s="235">
        <v>10592.484791000001</v>
      </c>
      <c r="J4" s="236">
        <v>10117.78631210712</v>
      </c>
      <c r="K4" s="236">
        <v>9581.3940560378269</v>
      </c>
      <c r="L4" s="236">
        <v>10191.074725472401</v>
      </c>
      <c r="M4" s="236">
        <v>9477.6911432105335</v>
      </c>
      <c r="N4" s="237">
        <v>7719.6883624176662</v>
      </c>
      <c r="O4" s="237">
        <v>7285.5656209451809</v>
      </c>
      <c r="P4" s="237">
        <v>7458.7800952238676</v>
      </c>
      <c r="Q4" s="237">
        <v>6761.9430452443758</v>
      </c>
      <c r="R4" s="238">
        <v>5200.3751892766732</v>
      </c>
      <c r="S4" s="232"/>
    </row>
    <row r="5" spans="1:19" x14ac:dyDescent="0.25">
      <c r="A5" s="239" t="s">
        <v>1272</v>
      </c>
      <c r="B5" s="234">
        <f t="shared" ref="B5:B27" si="1">(D5-E5)/E5</f>
        <v>2.048442825071229E-2</v>
      </c>
      <c r="C5" s="235">
        <f t="shared" si="0"/>
        <v>20.754014299999881</v>
      </c>
      <c r="D5" s="235">
        <f>Totalt!J414+Totalt!K414</f>
        <v>1033.91455</v>
      </c>
      <c r="E5" s="235">
        <v>1013.1605357000001</v>
      </c>
      <c r="F5" s="235">
        <v>820.58468820000007</v>
      </c>
      <c r="G5" s="235">
        <v>861.28116529409999</v>
      </c>
      <c r="H5" s="235">
        <v>922.79043805900005</v>
      </c>
      <c r="I5" s="235">
        <v>865.14805460000002</v>
      </c>
      <c r="J5" s="236">
        <v>866.87128119047986</v>
      </c>
      <c r="K5" s="236">
        <v>718.69999999999993</v>
      </c>
      <c r="L5" s="236">
        <v>740.4</v>
      </c>
      <c r="M5" s="236">
        <v>574.4</v>
      </c>
      <c r="N5" s="237">
        <v>870.10699999999997</v>
      </c>
      <c r="O5" s="237">
        <v>844.29</v>
      </c>
      <c r="P5" s="237">
        <v>828.91</v>
      </c>
      <c r="Q5" s="237">
        <v>865.9</v>
      </c>
      <c r="R5" s="238">
        <v>829.90299999999991</v>
      </c>
      <c r="S5" s="232"/>
    </row>
    <row r="6" spans="1:19" x14ac:dyDescent="0.25">
      <c r="A6" s="233" t="s">
        <v>1271</v>
      </c>
      <c r="B6" s="234">
        <f t="shared" si="1"/>
        <v>-1.0644623710233657E-2</v>
      </c>
      <c r="C6" s="235">
        <f t="shared" si="0"/>
        <v>-42.054004000000077</v>
      </c>
      <c r="D6" s="235">
        <f>Totalt!L414</f>
        <v>3908.6731559999998</v>
      </c>
      <c r="E6" s="235">
        <v>3950.7271599999999</v>
      </c>
      <c r="F6" s="235">
        <v>3651.2839199999999</v>
      </c>
      <c r="G6" s="235">
        <v>2964.7997442000005</v>
      </c>
      <c r="H6" s="235">
        <v>2962.9568862999995</v>
      </c>
      <c r="I6" s="235">
        <v>3005.4039199999997</v>
      </c>
      <c r="J6" s="236">
        <v>2493.2099638723676</v>
      </c>
      <c r="K6" s="236">
        <v>2445.0813815388401</v>
      </c>
      <c r="L6" s="236">
        <v>2906.5185753175629</v>
      </c>
      <c r="M6" s="236">
        <v>3165.5392955741436</v>
      </c>
      <c r="N6" s="237">
        <v>2338.7616180695959</v>
      </c>
      <c r="O6" s="237">
        <v>1453.6847154091563</v>
      </c>
      <c r="P6" s="237">
        <v>1320.9895532827941</v>
      </c>
      <c r="Q6" s="237">
        <v>1393.7318648053556</v>
      </c>
      <c r="R6" s="238">
        <v>1172.118327081906</v>
      </c>
      <c r="S6" s="232"/>
    </row>
    <row r="7" spans="1:19" ht="17.25" x14ac:dyDescent="0.25">
      <c r="A7" s="233" t="s">
        <v>1270</v>
      </c>
      <c r="B7" s="234">
        <f t="shared" si="1"/>
        <v>5.3946490729183852E-2</v>
      </c>
      <c r="C7" s="235">
        <f t="shared" si="0"/>
        <v>802.9377175999889</v>
      </c>
      <c r="D7" s="235">
        <f>Totalt!AW414</f>
        <v>15686.903416699994</v>
      </c>
      <c r="E7" s="235">
        <v>14883.965699100005</v>
      </c>
      <c r="F7" s="235">
        <v>15556.137318300003</v>
      </c>
      <c r="G7" s="235">
        <v>14868.792437519985</v>
      </c>
      <c r="H7" s="235">
        <v>14185.186198480007</v>
      </c>
      <c r="I7" s="235">
        <v>15242.232561699991</v>
      </c>
      <c r="J7" s="236">
        <v>14720.17896007144</v>
      </c>
      <c r="K7" s="236">
        <v>14284.363807058389</v>
      </c>
      <c r="L7" s="236">
        <v>18765.116243748525</v>
      </c>
      <c r="M7" s="236">
        <v>16716.689162779043</v>
      </c>
      <c r="N7" s="237">
        <v>13642</v>
      </c>
      <c r="O7" s="237">
        <v>11823.149864204535</v>
      </c>
      <c r="P7" s="237">
        <v>14182.581055496841</v>
      </c>
      <c r="Q7" s="237">
        <v>13548.84573515328</v>
      </c>
      <c r="R7" s="238">
        <v>11004.57997651525</v>
      </c>
      <c r="S7" s="232"/>
    </row>
    <row r="8" spans="1:19" ht="17.25" x14ac:dyDescent="0.25">
      <c r="A8" s="233" t="s">
        <v>1269</v>
      </c>
      <c r="B8" s="234">
        <f t="shared" si="1"/>
        <v>8.0970002579577566E-2</v>
      </c>
      <c r="C8" s="235">
        <f t="shared" si="0"/>
        <v>233.39160200000106</v>
      </c>
      <c r="D8" s="235">
        <f>Totalt!AX414</f>
        <v>3115.8368849999997</v>
      </c>
      <c r="E8" s="235">
        <v>2882.4452829999987</v>
      </c>
      <c r="F8" s="235">
        <v>3246.1695004000003</v>
      </c>
      <c r="G8" s="235">
        <v>2824.1296110999988</v>
      </c>
      <c r="H8" s="235">
        <v>3144.1345805000014</v>
      </c>
      <c r="I8" s="235">
        <v>3989.1761473999991</v>
      </c>
      <c r="J8" s="236">
        <v>4094.816132363515</v>
      </c>
      <c r="K8" s="236">
        <v>3470.5594193151019</v>
      </c>
      <c r="L8" s="236">
        <v>4579.7834783361404</v>
      </c>
      <c r="M8" s="236">
        <v>4012</v>
      </c>
      <c r="N8" s="237">
        <v>4023</v>
      </c>
      <c r="O8" s="237">
        <v>3479.1850943827053</v>
      </c>
      <c r="P8" s="237">
        <v>3882.9060004888661</v>
      </c>
      <c r="Q8" s="237">
        <v>4606.4713186563831</v>
      </c>
      <c r="R8" s="238">
        <v>3650.6293705967414</v>
      </c>
      <c r="S8" s="232"/>
    </row>
    <row r="9" spans="1:19" x14ac:dyDescent="0.25">
      <c r="A9" s="233" t="s">
        <v>1268</v>
      </c>
      <c r="B9" s="234">
        <f t="shared" si="1"/>
        <v>-0.42416378814729394</v>
      </c>
      <c r="C9" s="235">
        <f t="shared" si="0"/>
        <v>-50.91981890000001</v>
      </c>
      <c r="D9" s="235">
        <f>Totalt!AV414</f>
        <v>69.127720099999991</v>
      </c>
      <c r="E9" s="235">
        <v>120.047539</v>
      </c>
      <c r="F9" s="235">
        <v>129.28275690000001</v>
      </c>
      <c r="G9" s="235">
        <v>147.762909912</v>
      </c>
      <c r="H9" s="235">
        <v>83.864430880000015</v>
      </c>
      <c r="I9" s="235">
        <v>175.22474200000002</v>
      </c>
      <c r="J9" s="236">
        <v>538.82113201178743</v>
      </c>
      <c r="K9" s="236"/>
      <c r="L9" s="236"/>
      <c r="M9" s="236"/>
      <c r="N9" s="237"/>
      <c r="O9" s="237"/>
      <c r="P9" s="237"/>
      <c r="Q9" s="237"/>
      <c r="R9" s="238"/>
      <c r="S9" s="232"/>
    </row>
    <row r="10" spans="1:19" x14ac:dyDescent="0.25">
      <c r="A10" s="233" t="s">
        <v>1267</v>
      </c>
      <c r="B10" s="234"/>
      <c r="C10" s="235"/>
      <c r="D10" s="235"/>
      <c r="E10" s="235"/>
      <c r="F10" s="235"/>
      <c r="G10" s="235"/>
      <c r="H10" s="235"/>
      <c r="I10" s="235"/>
      <c r="J10" s="236"/>
      <c r="K10" s="236">
        <v>115.52465567393369</v>
      </c>
      <c r="L10" s="236">
        <v>173.37</v>
      </c>
      <c r="M10" s="236">
        <v>128.60000000000002</v>
      </c>
      <c r="N10" s="237">
        <v>129.06900000000007</v>
      </c>
      <c r="O10" s="237">
        <v>26.139810493984328</v>
      </c>
      <c r="P10" s="237">
        <v>245.85900000000004</v>
      </c>
      <c r="Q10" s="237">
        <v>302.90631320397836</v>
      </c>
      <c r="R10" s="238">
        <v>360.94666891746544</v>
      </c>
      <c r="S10" s="232"/>
    </row>
    <row r="11" spans="1:19" x14ac:dyDescent="0.25">
      <c r="A11" s="233" t="s">
        <v>834</v>
      </c>
      <c r="B11" s="234">
        <f t="shared" si="1"/>
        <v>0.11975347781079101</v>
      </c>
      <c r="C11" s="235">
        <f t="shared" si="0"/>
        <v>29.233249000000029</v>
      </c>
      <c r="D11" s="235">
        <f>Totalt!V414</f>
        <v>273.34514899999999</v>
      </c>
      <c r="E11" s="235">
        <v>244.11189999999996</v>
      </c>
      <c r="F11" s="235">
        <v>303.10553900000002</v>
      </c>
      <c r="G11" s="235">
        <v>165.96613299999999</v>
      </c>
      <c r="H11" s="235">
        <v>433.24310650999996</v>
      </c>
      <c r="I11" s="235">
        <v>481.05299999999994</v>
      </c>
      <c r="J11" s="236">
        <v>715.33739964474523</v>
      </c>
      <c r="K11" s="236">
        <v>710.83840267551511</v>
      </c>
      <c r="L11" s="236">
        <v>983.67450983735512</v>
      </c>
      <c r="M11" s="236">
        <v>862.45624468046435</v>
      </c>
      <c r="N11" s="237">
        <v>737.93128075924255</v>
      </c>
      <c r="O11" s="237">
        <v>667.65904139378051</v>
      </c>
      <c r="P11" s="237">
        <v>743.7341631400559</v>
      </c>
      <c r="Q11" s="237">
        <v>780.75316215842827</v>
      </c>
      <c r="R11" s="238">
        <v>785.85018390963705</v>
      </c>
      <c r="S11" s="232"/>
    </row>
    <row r="12" spans="1:19" x14ac:dyDescent="0.25">
      <c r="A12" s="233" t="s">
        <v>845</v>
      </c>
      <c r="B12" s="234">
        <f t="shared" si="1"/>
        <v>0.5456832265705549</v>
      </c>
      <c r="C12" s="235">
        <f t="shared" si="0"/>
        <v>348.84526200000028</v>
      </c>
      <c r="D12" s="235">
        <f>Totalt!W414</f>
        <v>988.126891</v>
      </c>
      <c r="E12" s="235">
        <v>639.28162899999973</v>
      </c>
      <c r="F12" s="235">
        <v>910.04787299999998</v>
      </c>
      <c r="G12" s="235">
        <v>622.85854500000039</v>
      </c>
      <c r="H12" s="235">
        <v>769.75212580000004</v>
      </c>
      <c r="I12" s="235">
        <v>1394.5684399999998</v>
      </c>
      <c r="J12" s="236">
        <v>1280.9513403286476</v>
      </c>
      <c r="K12" s="236">
        <v>960.04709982937209</v>
      </c>
      <c r="L12" s="236">
        <v>2256.3852445526745</v>
      </c>
      <c r="M12" s="236">
        <v>2072.6661501367039</v>
      </c>
      <c r="N12" s="237">
        <v>1309.2826857397858</v>
      </c>
      <c r="O12" s="237">
        <v>1641.6741281915881</v>
      </c>
      <c r="P12" s="237">
        <v>1713.6957484982888</v>
      </c>
      <c r="Q12" s="237" t="s">
        <v>1264</v>
      </c>
      <c r="R12" s="238" t="s">
        <v>1264</v>
      </c>
      <c r="S12" s="232"/>
    </row>
    <row r="13" spans="1:19" ht="17.25" x14ac:dyDescent="0.25">
      <c r="A13" s="233" t="s">
        <v>1266</v>
      </c>
      <c r="B13" s="234"/>
      <c r="C13" s="235"/>
      <c r="D13" s="235"/>
      <c r="E13" s="235"/>
      <c r="F13" s="235"/>
      <c r="G13" s="235"/>
      <c r="H13" s="235"/>
      <c r="I13" s="235"/>
      <c r="J13" s="236"/>
      <c r="K13" s="236"/>
      <c r="L13" s="236"/>
      <c r="M13" s="236"/>
      <c r="N13" s="237">
        <v>3288.1429840039877</v>
      </c>
      <c r="O13" s="237">
        <v>3498.5550725485823</v>
      </c>
      <c r="P13" s="237">
        <v>788.91025176562846</v>
      </c>
      <c r="Q13" s="237">
        <v>1349.2552920525159</v>
      </c>
      <c r="R13" s="238">
        <v>1196.8362177197109</v>
      </c>
      <c r="S13" s="232"/>
    </row>
    <row r="14" spans="1:19" x14ac:dyDescent="0.25">
      <c r="A14" s="233" t="s">
        <v>1265</v>
      </c>
      <c r="B14" s="234"/>
      <c r="C14" s="235"/>
      <c r="D14" s="235"/>
      <c r="E14" s="235"/>
      <c r="F14" s="235"/>
      <c r="G14" s="235"/>
      <c r="H14" s="235"/>
      <c r="I14" s="235"/>
      <c r="J14" s="236"/>
      <c r="K14" s="236"/>
      <c r="L14" s="236"/>
      <c r="M14" s="236"/>
      <c r="N14" s="237">
        <v>840.02592297995614</v>
      </c>
      <c r="O14" s="237">
        <v>783.39243737289451</v>
      </c>
      <c r="P14" s="237">
        <v>994.97270805158803</v>
      </c>
      <c r="Q14" s="237" t="s">
        <v>1264</v>
      </c>
      <c r="R14" s="238" t="s">
        <v>1264</v>
      </c>
      <c r="S14" s="232"/>
    </row>
    <row r="15" spans="1:19" x14ac:dyDescent="0.25">
      <c r="A15" s="233" t="s">
        <v>1263</v>
      </c>
      <c r="B15" s="234">
        <f t="shared" si="1"/>
        <v>0.19691870207549736</v>
      </c>
      <c r="C15" s="235">
        <f t="shared" si="0"/>
        <v>196.69911999999999</v>
      </c>
      <c r="D15" s="235">
        <f>Totalt!Y414</f>
        <v>1195.58403</v>
      </c>
      <c r="E15" s="235">
        <v>998.88490999999999</v>
      </c>
      <c r="F15" s="235">
        <v>1013.8402470000001</v>
      </c>
      <c r="G15" s="235">
        <v>1032.9613498099998</v>
      </c>
      <c r="H15" s="235">
        <v>1223.5504582799999</v>
      </c>
      <c r="I15" s="235">
        <v>1463.47236</v>
      </c>
      <c r="J15" s="236">
        <v>1617.8971451755954</v>
      </c>
      <c r="K15" s="236">
        <v>1726.9380841394538</v>
      </c>
      <c r="L15" s="236">
        <v>2674.2666892639713</v>
      </c>
      <c r="M15" s="236">
        <v>2608.0452166126561</v>
      </c>
      <c r="N15" s="237">
        <v>2549.3159979968054</v>
      </c>
      <c r="O15" s="237">
        <v>2583.6857800627899</v>
      </c>
      <c r="P15" s="237">
        <v>2166.5709744718602</v>
      </c>
      <c r="Q15" s="237">
        <v>3006.3172371633814</v>
      </c>
      <c r="R15" s="238">
        <v>2849.4435989512313</v>
      </c>
      <c r="S15" s="232"/>
    </row>
    <row r="16" spans="1:19" x14ac:dyDescent="0.25">
      <c r="A16" s="233" t="s">
        <v>1262</v>
      </c>
      <c r="B16" s="234">
        <f t="shared" si="1"/>
        <v>-0.62702208707045048</v>
      </c>
      <c r="C16" s="235">
        <f t="shared" si="0"/>
        <v>-0.77529399999999993</v>
      </c>
      <c r="D16" s="235">
        <f>Totalt!AE414</f>
        <v>0.46117599999999997</v>
      </c>
      <c r="E16" s="235">
        <v>1.23647</v>
      </c>
      <c r="F16" s="235">
        <v>1.850584</v>
      </c>
      <c r="G16" s="235">
        <v>26.912909999999997</v>
      </c>
      <c r="H16" s="235">
        <v>23.089386000000001</v>
      </c>
      <c r="I16" s="235">
        <v>2.6017099999999997</v>
      </c>
      <c r="J16" s="236">
        <v>2.6352941176470588</v>
      </c>
      <c r="K16" s="236">
        <v>140.44070588235292</v>
      </c>
      <c r="L16" s="236">
        <v>17.3</v>
      </c>
      <c r="M16" s="236">
        <v>47.482999999999997</v>
      </c>
      <c r="N16" s="237">
        <v>182.96064999999999</v>
      </c>
      <c r="O16" s="237">
        <v>600.505</v>
      </c>
      <c r="P16" s="237">
        <v>652.41047999999978</v>
      </c>
      <c r="Q16" s="237">
        <v>3084.7640000000001</v>
      </c>
      <c r="R16" s="238">
        <v>3971.4472869999995</v>
      </c>
      <c r="S16" s="232"/>
    </row>
    <row r="17" spans="1:19" x14ac:dyDescent="0.25">
      <c r="A17" s="233" t="s">
        <v>1261</v>
      </c>
      <c r="B17" s="234">
        <f t="shared" si="1"/>
        <v>-3.3943072262516812E-2</v>
      </c>
      <c r="C17" s="235">
        <f t="shared" si="0"/>
        <v>-35.864519999999743</v>
      </c>
      <c r="D17" s="235">
        <f>Totalt!AA414</f>
        <v>1020.7434300000001</v>
      </c>
      <c r="E17" s="235">
        <v>1056.6079499999998</v>
      </c>
      <c r="F17" s="235">
        <v>1141.1751699999998</v>
      </c>
      <c r="G17" s="235">
        <v>1214.95334</v>
      </c>
      <c r="H17" s="235">
        <v>1215.7718473</v>
      </c>
      <c r="I17" s="235">
        <v>1196.6844300000002</v>
      </c>
      <c r="J17" s="236">
        <v>1458.37</v>
      </c>
      <c r="K17" s="236">
        <v>1264.5516838571427</v>
      </c>
      <c r="L17" s="236">
        <v>1427.7951932604935</v>
      </c>
      <c r="M17" s="236">
        <v>1436.6210000000001</v>
      </c>
      <c r="N17" s="237">
        <v>1564.6350000000002</v>
      </c>
      <c r="O17" s="237">
        <v>1643.0840000000001</v>
      </c>
      <c r="P17" s="237">
        <v>1553.8881875000002</v>
      </c>
      <c r="Q17" s="237">
        <v>1780.5689999999997</v>
      </c>
      <c r="R17" s="238">
        <v>1895.6057500000004</v>
      </c>
      <c r="S17" s="232"/>
    </row>
    <row r="18" spans="1:19" x14ac:dyDescent="0.25">
      <c r="A18" s="233" t="s">
        <v>1260</v>
      </c>
      <c r="B18" s="234">
        <f t="shared" si="1"/>
        <v>-3.8417633147236299E-2</v>
      </c>
      <c r="C18" s="235">
        <f t="shared" si="0"/>
        <v>-127.5341999999996</v>
      </c>
      <c r="D18" s="235">
        <f>Totalt!AB414+Totalt!AA414</f>
        <v>3192.1445399999998</v>
      </c>
      <c r="E18" s="235">
        <v>3319.6787399999994</v>
      </c>
      <c r="F18" s="235">
        <v>3621.5067699999991</v>
      </c>
      <c r="G18" s="235">
        <v>3950.1493200000009</v>
      </c>
      <c r="H18" s="235">
        <v>3951.817826</v>
      </c>
      <c r="I18" s="235">
        <v>3938.7569000000003</v>
      </c>
      <c r="J18" s="236">
        <v>4704.7999999999993</v>
      </c>
      <c r="K18" s="236">
        <v>3921.2891819999995</v>
      </c>
      <c r="L18" s="236">
        <v>4574.5218334401798</v>
      </c>
      <c r="M18" s="236">
        <v>4659.7349999999997</v>
      </c>
      <c r="N18" s="237">
        <v>4768.2410000000009</v>
      </c>
      <c r="O18" s="237">
        <v>5164.4496999999992</v>
      </c>
      <c r="P18" s="237">
        <v>5064.1500000000015</v>
      </c>
      <c r="Q18" s="237">
        <v>5492.8870000000006</v>
      </c>
      <c r="R18" s="238">
        <v>5875.9270000000006</v>
      </c>
      <c r="S18" s="232"/>
    </row>
    <row r="19" spans="1:19" x14ac:dyDescent="0.25">
      <c r="A19" s="233" t="s">
        <v>1259</v>
      </c>
      <c r="B19" s="234">
        <f t="shared" si="1"/>
        <v>-0.31214460966554747</v>
      </c>
      <c r="C19" s="235">
        <f t="shared" si="0"/>
        <v>-86.167463000000055</v>
      </c>
      <c r="D19" s="235">
        <f>Totalt!Z414</f>
        <v>189.88235600000002</v>
      </c>
      <c r="E19" s="235">
        <v>276.04981900000007</v>
      </c>
      <c r="F19" s="235">
        <v>303.52709000000004</v>
      </c>
      <c r="G19" s="235">
        <v>262.29312400000003</v>
      </c>
      <c r="H19" s="235">
        <v>225.17362899999995</v>
      </c>
      <c r="I19" s="235">
        <v>276.40034000000003</v>
      </c>
      <c r="J19" s="236">
        <v>300.82823529411769</v>
      </c>
      <c r="K19" s="236">
        <v>144.71840537505014</v>
      </c>
      <c r="L19" s="236">
        <v>139.37625883982562</v>
      </c>
      <c r="M19" s="236">
        <v>211.12280000000001</v>
      </c>
      <c r="N19" s="237">
        <v>221.34484700000004</v>
      </c>
      <c r="O19" s="237">
        <v>339.31899999999996</v>
      </c>
      <c r="P19" s="237">
        <v>235.935</v>
      </c>
      <c r="Q19" s="237">
        <v>444.69372999999979</v>
      </c>
      <c r="R19" s="238">
        <v>402.17589999999996</v>
      </c>
      <c r="S19" s="232"/>
    </row>
    <row r="20" spans="1:19" ht="17.25" x14ac:dyDescent="0.25">
      <c r="A20" s="233" t="s">
        <v>1258</v>
      </c>
      <c r="B20" s="234">
        <f t="shared" si="1"/>
        <v>1.8386668695917069E-2</v>
      </c>
      <c r="C20" s="235">
        <f t="shared" si="0"/>
        <v>29.344263000002002</v>
      </c>
      <c r="D20" s="235">
        <f>Totalt!AF414</f>
        <v>1625.2974770000003</v>
      </c>
      <c r="E20" s="235">
        <v>1595.9532139999983</v>
      </c>
      <c r="F20" s="235">
        <v>1572.5305387000001</v>
      </c>
      <c r="G20" s="235">
        <v>1582.23738411</v>
      </c>
      <c r="H20" s="235">
        <v>1604.0068908899998</v>
      </c>
      <c r="I20" s="235">
        <v>1696.9427799999994</v>
      </c>
      <c r="J20" s="236">
        <v>1736.1875343008242</v>
      </c>
      <c r="K20" s="236">
        <v>1758.3712661661</v>
      </c>
      <c r="L20" s="236">
        <v>1792.0863795720459</v>
      </c>
      <c r="M20" s="236">
        <v>1458.8205390000001</v>
      </c>
      <c r="N20" s="237">
        <v>1382.0550774687335</v>
      </c>
      <c r="O20" s="237">
        <v>1612</v>
      </c>
      <c r="P20" s="237">
        <v>1156.0666999999999</v>
      </c>
      <c r="Q20" s="237">
        <v>1291.3747049999997</v>
      </c>
      <c r="R20" s="238">
        <v>1107.74981</v>
      </c>
      <c r="S20" s="232"/>
    </row>
    <row r="21" spans="1:19" x14ac:dyDescent="0.25">
      <c r="A21" s="233" t="s">
        <v>748</v>
      </c>
      <c r="B21" s="234">
        <f t="shared" si="1"/>
        <v>0.24207405990154307</v>
      </c>
      <c r="C21" s="235">
        <f t="shared" si="0"/>
        <v>187.25300000000004</v>
      </c>
      <c r="D21" s="235">
        <f>Totalt!G414</f>
        <v>960.7890000000001</v>
      </c>
      <c r="E21" s="235">
        <v>773.53600000000006</v>
      </c>
      <c r="F21" s="235">
        <v>1726.8467700000003</v>
      </c>
      <c r="G21" s="235">
        <v>1194.0680000000002</v>
      </c>
      <c r="H21" s="235">
        <v>958.10299999999995</v>
      </c>
      <c r="I21" s="235">
        <v>1675.088</v>
      </c>
      <c r="J21" s="236">
        <v>1790.1908701842046</v>
      </c>
      <c r="K21" s="236">
        <v>2111.1210444311241</v>
      </c>
      <c r="L21" s="236">
        <v>3305.9884631072509</v>
      </c>
      <c r="M21" s="236">
        <v>2451.8697420165117</v>
      </c>
      <c r="N21" s="237">
        <v>1675.8140365034592</v>
      </c>
      <c r="O21" s="237">
        <v>2049.114212873837</v>
      </c>
      <c r="P21" s="237">
        <v>1721.6433511548271</v>
      </c>
      <c r="Q21" s="237">
        <v>1867.3924365878113</v>
      </c>
      <c r="R21" s="238">
        <v>2742.6258195836335</v>
      </c>
      <c r="S21" s="232"/>
    </row>
    <row r="22" spans="1:19" ht="17.25" x14ac:dyDescent="0.25">
      <c r="A22" s="233" t="s">
        <v>1257</v>
      </c>
      <c r="B22" s="234">
        <f t="shared" si="1"/>
        <v>0.37994446090779865</v>
      </c>
      <c r="C22" s="235">
        <f t="shared" si="0"/>
        <v>246.84858770000028</v>
      </c>
      <c r="D22" s="235">
        <f>Totalt!D414+Totalt!E414+Totalt!F414</f>
        <v>896.54509100000018</v>
      </c>
      <c r="E22" s="235">
        <v>649.6965032999999</v>
      </c>
      <c r="F22" s="235">
        <v>1285.4949872000004</v>
      </c>
      <c r="G22" s="235">
        <v>678.10185996499968</v>
      </c>
      <c r="H22" s="235">
        <v>779.29301750000013</v>
      </c>
      <c r="I22" s="235">
        <v>1239.8003847</v>
      </c>
      <c r="J22" s="236">
        <v>1850.1618853470659</v>
      </c>
      <c r="K22" s="236">
        <v>2068.8706001072387</v>
      </c>
      <c r="L22" s="236">
        <v>4558.0694154630955</v>
      </c>
      <c r="M22" s="236">
        <v>3836.716392178595</v>
      </c>
      <c r="N22" s="237">
        <v>1269.8037483988528</v>
      </c>
      <c r="O22" s="237">
        <v>1686.4408688091753</v>
      </c>
      <c r="P22" s="237">
        <v>2701.8956247377137</v>
      </c>
      <c r="Q22" s="237">
        <v>2304.0838577850745</v>
      </c>
      <c r="R22" s="238">
        <v>3209.8405354312617</v>
      </c>
      <c r="S22" s="232"/>
    </row>
    <row r="23" spans="1:19" x14ac:dyDescent="0.25">
      <c r="A23" s="233" t="s">
        <v>1256</v>
      </c>
      <c r="B23" s="234">
        <f t="shared" si="1"/>
        <v>4.5770067435351544E-2</v>
      </c>
      <c r="C23" s="235">
        <f t="shared" si="0"/>
        <v>36.81982000000005</v>
      </c>
      <c r="D23" s="235">
        <f>Totalt!C414</f>
        <v>841.27177000000006</v>
      </c>
      <c r="E23" s="235">
        <v>804.45195000000001</v>
      </c>
      <c r="F23" s="235">
        <v>702.06129500000009</v>
      </c>
      <c r="G23" s="235">
        <v>1096.66213167</v>
      </c>
      <c r="H23" s="235">
        <v>1156.2032795</v>
      </c>
      <c r="I23" s="235">
        <v>1708.2693099999999</v>
      </c>
      <c r="J23" s="236">
        <v>1242.3651922285537</v>
      </c>
      <c r="K23" s="236">
        <v>1347.6425746928876</v>
      </c>
      <c r="L23" s="236">
        <v>1606.0962613998297</v>
      </c>
      <c r="M23" s="236">
        <v>1443.7285173129358</v>
      </c>
      <c r="N23" s="237">
        <v>1449.3792809004606</v>
      </c>
      <c r="O23" s="237">
        <v>1803.0257275033955</v>
      </c>
      <c r="P23" s="237">
        <v>1947.3608102504072</v>
      </c>
      <c r="Q23" s="237">
        <v>1905.537335712693</v>
      </c>
      <c r="R23" s="238">
        <v>2410.9544915612514</v>
      </c>
      <c r="S23" s="232"/>
    </row>
    <row r="24" spans="1:19" x14ac:dyDescent="0.25">
      <c r="A24" s="240" t="s">
        <v>1255</v>
      </c>
      <c r="B24" s="234">
        <f t="shared" si="1"/>
        <v>0.84277919668540491</v>
      </c>
      <c r="C24" s="235">
        <f t="shared" si="0"/>
        <v>20.723052999999997</v>
      </c>
      <c r="D24" s="235">
        <f>Totalt!H414</f>
        <v>45.311999999999998</v>
      </c>
      <c r="E24" s="235">
        <v>24.588947000000001</v>
      </c>
      <c r="F24" s="235">
        <v>38.562710000000003</v>
      </c>
      <c r="G24" s="235">
        <v>51.842999999999996</v>
      </c>
      <c r="H24" s="235">
        <v>67.857561000000004</v>
      </c>
      <c r="I24" s="235">
        <v>96.690328999999991</v>
      </c>
      <c r="J24" s="236">
        <v>131.92000000000002</v>
      </c>
      <c r="K24" s="236">
        <v>171.75908035336315</v>
      </c>
      <c r="L24" s="236">
        <v>325.0745209771494</v>
      </c>
      <c r="M24" s="236">
        <v>498.12006411600782</v>
      </c>
      <c r="N24" s="237">
        <v>228.98450103823399</v>
      </c>
      <c r="O24" s="237">
        <v>323.87273479925238</v>
      </c>
      <c r="P24" s="237">
        <v>265.38607776231697</v>
      </c>
      <c r="Q24" s="237">
        <v>360.27871455445899</v>
      </c>
      <c r="R24" s="238">
        <v>435.84375553259201</v>
      </c>
      <c r="S24" s="232"/>
    </row>
    <row r="25" spans="1:19" x14ac:dyDescent="0.25">
      <c r="A25" s="241" t="s">
        <v>1254</v>
      </c>
      <c r="B25" s="234">
        <f t="shared" si="1"/>
        <v>-3.5743118628566453E-2</v>
      </c>
      <c r="C25" s="235">
        <f t="shared" si="0"/>
        <v>-221.43537999999535</v>
      </c>
      <c r="D25" s="235">
        <f>Totalt!AC414</f>
        <v>5973.7537500000035</v>
      </c>
      <c r="E25" s="235">
        <v>6195.1891299999988</v>
      </c>
      <c r="F25" s="235">
        <v>5772.5033400000029</v>
      </c>
      <c r="G25" s="235">
        <v>5684.560309999998</v>
      </c>
      <c r="H25" s="235">
        <v>5285.069279999997</v>
      </c>
      <c r="I25" s="235">
        <v>5088.785818999997</v>
      </c>
      <c r="J25" s="242">
        <v>5166.8799999999974</v>
      </c>
      <c r="K25" s="242">
        <v>3898.9579119959885</v>
      </c>
      <c r="L25" s="242"/>
      <c r="M25" s="242"/>
      <c r="N25" s="243"/>
      <c r="O25" s="243"/>
      <c r="P25" s="243"/>
      <c r="Q25" s="243"/>
      <c r="R25" s="244"/>
      <c r="S25" s="232"/>
    </row>
    <row r="26" spans="1:19" ht="17.25" x14ac:dyDescent="0.25">
      <c r="A26" s="245" t="s">
        <v>1253</v>
      </c>
      <c r="B26" s="246">
        <f t="shared" si="1"/>
        <v>3.3988525682090577E-2</v>
      </c>
      <c r="C26" s="247">
        <f t="shared" si="0"/>
        <v>1861.5976943999776</v>
      </c>
      <c r="D26" s="248">
        <f>SUM(D2:D25)-D17</f>
        <v>56632.955293499988</v>
      </c>
      <c r="E26" s="249">
        <v>54771.357599100011</v>
      </c>
      <c r="F26" s="249">
        <v>56664.21132770001</v>
      </c>
      <c r="G26" s="249">
        <f>SUM(G2:G25)-G17</f>
        <v>53160.857827381085</v>
      </c>
      <c r="H26" s="249">
        <v>52782.487417698998</v>
      </c>
      <c r="I26" s="249">
        <f>SUM(I2:I25)-I17</f>
        <v>56766.783990399999</v>
      </c>
      <c r="J26" s="250">
        <f>SUM(J2:J25)-J17</f>
        <v>57434.492795885155</v>
      </c>
      <c r="K26" s="250">
        <v>53428.880471128745</v>
      </c>
      <c r="L26" s="250">
        <v>63710.606430940774</v>
      </c>
      <c r="M26" s="250">
        <v>57815.527267617595</v>
      </c>
      <c r="N26" s="250">
        <v>52468.106993276779</v>
      </c>
      <c r="O26" s="250">
        <v>51405.590308990853</v>
      </c>
      <c r="P26" s="250">
        <v>51865.947594325058</v>
      </c>
      <c r="Q26" s="250">
        <v>53544.594748077739</v>
      </c>
      <c r="R26" s="251">
        <v>50927.563482077363</v>
      </c>
      <c r="S26" s="232"/>
    </row>
    <row r="27" spans="1:19" ht="17.25" x14ac:dyDescent="0.25">
      <c r="A27" s="252" t="s">
        <v>1252</v>
      </c>
      <c r="B27" s="234">
        <f t="shared" si="1"/>
        <v>8.4039539299561958E-3</v>
      </c>
      <c r="C27" s="235">
        <f t="shared" si="0"/>
        <v>405.78545799996937</v>
      </c>
      <c r="D27" s="253">
        <f>Totalt!AK414-Totalt!AL414</f>
        <v>48690.850010000009</v>
      </c>
      <c r="E27" s="250">
        <v>48285.06455200004</v>
      </c>
      <c r="F27" s="254">
        <v>48888.816862999978</v>
      </c>
      <c r="G27" s="254">
        <v>45862.367570000024</v>
      </c>
      <c r="H27" s="250">
        <v>45160.597417999983</v>
      </c>
      <c r="I27" s="250">
        <v>48880.996426999991</v>
      </c>
      <c r="J27" s="250">
        <v>49990.84</v>
      </c>
      <c r="K27" s="250">
        <v>48079.541329865999</v>
      </c>
      <c r="L27" s="250">
        <v>61171.912360500013</v>
      </c>
      <c r="M27" s="250">
        <v>50825.087031000003</v>
      </c>
      <c r="N27" s="250">
        <v>47758.588479000064</v>
      </c>
      <c r="O27" s="250">
        <v>47432.403500000044</v>
      </c>
      <c r="P27" s="250">
        <v>46735.900920000051</v>
      </c>
      <c r="Q27" s="250">
        <v>49149.252615497942</v>
      </c>
      <c r="R27" s="251">
        <v>46311.931681159156</v>
      </c>
      <c r="S27" s="232"/>
    </row>
    <row r="28" spans="1:19" x14ac:dyDescent="0.25">
      <c r="A28" s="255" t="s">
        <v>1251</v>
      </c>
      <c r="B28" s="256"/>
      <c r="C28" s="257"/>
      <c r="D28" s="258">
        <f>D27/(D26-D25)</f>
        <v>0.96114523179348188</v>
      </c>
      <c r="E28" s="259">
        <v>0.99400726886713708</v>
      </c>
      <c r="F28" s="259">
        <v>0.96064405766880323</v>
      </c>
      <c r="G28" s="259">
        <f>G27/(G26-G25)</f>
        <v>0.9660055642125378</v>
      </c>
      <c r="H28" s="259">
        <v>0.95080110011612884</v>
      </c>
      <c r="I28" s="259">
        <f>I27/(I26-I25)</f>
        <v>0.94587635273480952</v>
      </c>
      <c r="J28" s="259">
        <f>J27/(J26-J25)</f>
        <v>0.95644008451703377</v>
      </c>
      <c r="K28" s="260">
        <v>0.97071707052367839</v>
      </c>
      <c r="L28" s="261">
        <v>0.96015272475560909</v>
      </c>
      <c r="M28" s="261">
        <v>0.87909060823297325</v>
      </c>
      <c r="N28" s="261">
        <v>0.91024035773045542</v>
      </c>
      <c r="O28" s="261">
        <v>0.92270905197063946</v>
      </c>
      <c r="P28" s="261">
        <v>0.90109027382570539</v>
      </c>
      <c r="Q28" s="261">
        <v>0.91791249605568093</v>
      </c>
      <c r="R28" s="262">
        <v>0.90936868985411878</v>
      </c>
      <c r="S28" s="232"/>
    </row>
    <row r="29" spans="1:19" x14ac:dyDescent="0.25">
      <c r="A29" s="232"/>
      <c r="B29" s="263"/>
      <c r="C29" s="263"/>
      <c r="D29" s="263"/>
      <c r="E29" s="264"/>
      <c r="F29" s="264"/>
      <c r="G29" s="264"/>
      <c r="H29" s="264"/>
      <c r="I29" s="264"/>
      <c r="J29" s="264"/>
      <c r="K29" s="264"/>
      <c r="L29" s="232"/>
      <c r="M29" s="232"/>
      <c r="N29" s="232"/>
      <c r="O29" s="232"/>
      <c r="P29" s="232"/>
      <c r="Q29" s="232"/>
      <c r="R29" s="232"/>
      <c r="S29" s="232"/>
    </row>
    <row r="30" spans="1:19" x14ac:dyDescent="0.25">
      <c r="A30" s="232"/>
      <c r="B30" s="232"/>
      <c r="C30" s="232"/>
      <c r="D30" s="232"/>
      <c r="E30" s="232"/>
      <c r="F30" s="232"/>
      <c r="G30" s="232"/>
      <c r="H30" s="232"/>
      <c r="I30" s="265"/>
      <c r="J30" s="265"/>
      <c r="K30" s="232"/>
      <c r="L30" s="232"/>
      <c r="M30" s="232"/>
      <c r="N30" s="232"/>
      <c r="O30" s="232"/>
      <c r="P30" s="232"/>
      <c r="Q30" s="232"/>
      <c r="R30" s="232"/>
      <c r="S30" s="232"/>
    </row>
    <row r="31" spans="1:19" x14ac:dyDescent="0.25">
      <c r="A31" s="266">
        <v>1</v>
      </c>
      <c r="B31" s="267" t="s">
        <v>1250</v>
      </c>
      <c r="C31" s="232"/>
      <c r="D31" s="232"/>
      <c r="E31" s="232"/>
      <c r="F31" s="232"/>
      <c r="G31" s="232"/>
      <c r="H31" s="232"/>
      <c r="I31" s="268"/>
      <c r="J31" s="268"/>
      <c r="K31" s="232"/>
      <c r="L31" s="232"/>
      <c r="M31" s="232"/>
      <c r="N31" s="232"/>
      <c r="O31" s="232"/>
      <c r="P31" s="232"/>
      <c r="Q31" s="232"/>
      <c r="R31" s="232"/>
      <c r="S31" s="232"/>
    </row>
    <row r="32" spans="1:19" x14ac:dyDescent="0.25">
      <c r="A32" s="266">
        <v>3</v>
      </c>
      <c r="B32" s="266" t="s">
        <v>1249</v>
      </c>
      <c r="C32" s="266"/>
      <c r="D32" s="266"/>
      <c r="E32" s="266"/>
      <c r="F32" s="266"/>
      <c r="G32" s="266"/>
      <c r="H32" s="266"/>
      <c r="I32" s="266"/>
      <c r="J32" s="266"/>
      <c r="K32" s="232"/>
      <c r="L32" s="232"/>
      <c r="M32" s="232"/>
      <c r="N32" s="232"/>
      <c r="O32" s="232"/>
      <c r="P32" s="232"/>
      <c r="Q32" s="232"/>
      <c r="R32" s="232"/>
      <c r="S32" s="232"/>
    </row>
    <row r="33" spans="1:19" x14ac:dyDescent="0.25">
      <c r="A33" s="266">
        <v>4</v>
      </c>
      <c r="B33" s="266" t="s">
        <v>1248</v>
      </c>
      <c r="C33" s="266"/>
      <c r="D33" s="266"/>
      <c r="E33" s="266"/>
      <c r="F33" s="266"/>
      <c r="G33" s="266"/>
      <c r="H33" s="266"/>
      <c r="I33" s="266"/>
      <c r="J33" s="266"/>
      <c r="K33" s="232"/>
      <c r="L33" s="232"/>
      <c r="M33" s="232"/>
      <c r="N33" s="232"/>
      <c r="O33" s="232"/>
      <c r="P33" s="232"/>
      <c r="Q33" s="232"/>
      <c r="R33" s="232"/>
      <c r="S33" s="232"/>
    </row>
    <row r="34" spans="1:19" x14ac:dyDescent="0.25">
      <c r="A34" s="269">
        <v>6</v>
      </c>
      <c r="B34" s="270" t="s">
        <v>1554</v>
      </c>
      <c r="C34" s="266"/>
      <c r="D34" s="266"/>
      <c r="E34" s="266"/>
      <c r="F34" s="266"/>
      <c r="G34" s="266"/>
      <c r="H34" s="266"/>
      <c r="I34" s="266"/>
      <c r="J34" s="266"/>
      <c r="K34" s="232"/>
      <c r="L34" s="232"/>
      <c r="M34" s="232"/>
      <c r="N34" s="232"/>
      <c r="O34" s="232"/>
      <c r="P34" s="232"/>
      <c r="Q34" s="232"/>
      <c r="R34" s="232"/>
      <c r="S34" s="232"/>
    </row>
    <row r="35" spans="1:19" x14ac:dyDescent="0.25">
      <c r="A35" s="266">
        <v>7</v>
      </c>
      <c r="B35" s="266" t="s">
        <v>1247</v>
      </c>
      <c r="C35" s="266"/>
      <c r="D35" s="266"/>
      <c r="E35" s="266"/>
      <c r="F35" s="266"/>
      <c r="G35" s="266"/>
      <c r="H35" s="266"/>
      <c r="I35" s="266"/>
      <c r="J35" s="266"/>
      <c r="K35" s="232"/>
      <c r="L35" s="232"/>
      <c r="M35" s="232"/>
      <c r="N35" s="232"/>
      <c r="O35" s="232"/>
      <c r="P35" s="232"/>
      <c r="Q35" s="232"/>
      <c r="R35" s="232"/>
      <c r="S35" s="232"/>
    </row>
    <row r="36" spans="1:19" x14ac:dyDescent="0.25">
      <c r="A36" s="266">
        <v>8</v>
      </c>
      <c r="B36" s="270" t="s">
        <v>1555</v>
      </c>
      <c r="C36" s="266"/>
      <c r="D36" s="266"/>
      <c r="E36" s="266"/>
      <c r="F36" s="266"/>
      <c r="G36" s="266"/>
      <c r="H36" s="266"/>
      <c r="I36" s="266"/>
      <c r="J36" s="266"/>
      <c r="K36" s="232"/>
      <c r="L36" s="232"/>
      <c r="M36" s="232"/>
      <c r="N36" s="232"/>
      <c r="O36" s="232"/>
      <c r="P36" s="232"/>
      <c r="Q36" s="232"/>
      <c r="R36" s="232"/>
      <c r="S36" s="232"/>
    </row>
    <row r="37" spans="1:19" x14ac:dyDescent="0.25">
      <c r="A37" s="232"/>
      <c r="B37" s="232"/>
      <c r="C37" s="232"/>
      <c r="D37" s="232"/>
      <c r="E37" s="232"/>
      <c r="F37" s="232"/>
      <c r="G37" s="232"/>
      <c r="H37" s="232"/>
      <c r="I37" s="232"/>
      <c r="J37" s="232"/>
      <c r="K37" s="232"/>
      <c r="L37" s="232"/>
      <c r="M37" s="232"/>
      <c r="N37" s="232"/>
      <c r="O37" s="232"/>
      <c r="P37" s="232"/>
      <c r="Q37" s="232"/>
      <c r="R37" s="232"/>
      <c r="S37" s="232"/>
    </row>
    <row r="38" spans="1:19" x14ac:dyDescent="0.25">
      <c r="A38" s="266"/>
      <c r="B38" s="266"/>
      <c r="C38" s="266"/>
      <c r="D38" s="266"/>
      <c r="E38" s="266"/>
      <c r="F38" s="266"/>
      <c r="G38" s="266"/>
      <c r="H38" s="266"/>
      <c r="I38" s="266"/>
      <c r="J38" s="266"/>
      <c r="K38" s="232"/>
      <c r="L38" s="232"/>
      <c r="M38" s="232"/>
      <c r="N38" s="232"/>
      <c r="O38" s="232"/>
      <c r="P38" s="232"/>
      <c r="Q38" s="232"/>
      <c r="R38" s="232"/>
      <c r="S38" s="232"/>
    </row>
    <row r="39" spans="1:19" x14ac:dyDescent="0.25">
      <c r="A39" s="266"/>
      <c r="B39" s="266"/>
      <c r="C39" s="266"/>
      <c r="D39" s="266"/>
      <c r="E39" s="266"/>
      <c r="F39" s="266"/>
      <c r="G39" s="266"/>
      <c r="H39" s="266"/>
      <c r="I39" s="266"/>
      <c r="J39" s="266"/>
      <c r="K39" s="232"/>
      <c r="L39" s="232"/>
      <c r="M39" s="232"/>
      <c r="N39" s="232"/>
      <c r="O39" s="232"/>
      <c r="P39" s="232"/>
      <c r="Q39" s="232"/>
      <c r="R39" s="232"/>
      <c r="S39" s="232"/>
    </row>
    <row r="40" spans="1:19" x14ac:dyDescent="0.25">
      <c r="A40" s="266"/>
      <c r="B40" s="266"/>
      <c r="C40" s="266"/>
      <c r="D40" s="266"/>
      <c r="E40" s="266"/>
      <c r="F40" s="266"/>
      <c r="G40" s="266"/>
      <c r="H40" s="266"/>
      <c r="I40" s="266"/>
      <c r="J40" s="266"/>
      <c r="K40" s="232"/>
      <c r="L40" s="232"/>
      <c r="M40" s="232"/>
      <c r="N40" s="232"/>
      <c r="O40" s="232"/>
      <c r="P40" s="232"/>
      <c r="Q40" s="232"/>
      <c r="R40" s="232"/>
      <c r="S40" s="232"/>
    </row>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R422"/>
  <sheetViews>
    <sheetView topLeftCell="A385" workbookViewId="0">
      <selection activeCell="A424" sqref="A424"/>
    </sheetView>
  </sheetViews>
  <sheetFormatPr defaultRowHeight="15" x14ac:dyDescent="0.25"/>
  <cols>
    <col min="1" max="1" width="36.140625" style="137" bestFit="1" customWidth="1"/>
    <col min="2" max="2" width="29.140625" style="137" customWidth="1"/>
    <col min="3" max="3" width="9.85546875" style="121" bestFit="1" customWidth="1"/>
    <col min="4" max="5" width="9.140625" style="121"/>
    <col min="6" max="6" width="13.7109375" style="121" customWidth="1"/>
    <col min="7" max="11" width="9.140625" style="121"/>
    <col min="12" max="12" width="11.5703125" style="121" bestFit="1" customWidth="1"/>
    <col min="13" max="16384" width="9.140625" style="121"/>
  </cols>
  <sheetData>
    <row r="1" spans="1:18" ht="75" x14ac:dyDescent="0.25">
      <c r="A1" s="122" t="s">
        <v>151</v>
      </c>
      <c r="B1" s="122" t="s">
        <v>2</v>
      </c>
      <c r="C1" s="121" t="s">
        <v>1236</v>
      </c>
      <c r="E1" s="202" t="s">
        <v>1211</v>
      </c>
      <c r="F1" s="202" t="s">
        <v>1505</v>
      </c>
      <c r="G1" s="202" t="s">
        <v>1506</v>
      </c>
      <c r="H1" s="202" t="s">
        <v>1507</v>
      </c>
      <c r="I1" s="202" t="s">
        <v>1508</v>
      </c>
      <c r="J1" s="202" t="s">
        <v>1509</v>
      </c>
      <c r="K1" s="202"/>
      <c r="L1" s="121" t="s">
        <v>1354</v>
      </c>
      <c r="N1" s="271" t="s">
        <v>1510</v>
      </c>
      <c r="O1" s="271" t="s">
        <v>1511</v>
      </c>
      <c r="P1" s="271" t="s">
        <v>1512</v>
      </c>
      <c r="Q1" s="271" t="s">
        <v>1513</v>
      </c>
      <c r="R1" s="271" t="s">
        <v>39</v>
      </c>
    </row>
    <row r="2" spans="1:18" x14ac:dyDescent="0.25">
      <c r="A2" s="137" t="s">
        <v>15</v>
      </c>
      <c r="B2" s="137" t="s">
        <v>16</v>
      </c>
      <c r="C2" s="121" t="str">
        <f>VLOOKUP($B2,Totalt!$B$1:$BU$497,MATCH("Kvalitetsgranskad:",Totalt!$B$1:$BU$1,0),FALSE)</f>
        <v>Ja</v>
      </c>
      <c r="E2" s="121" t="str">
        <f>VLOOKUP($B2,Miljö!$B$1:$AG$479,MATCH(E$1,Miljö!$B$1:$AK$1,0),FALSE)</f>
        <v>Ja</v>
      </c>
      <c r="F2" s="121" t="str">
        <f>VLOOKUP($B2,Miljö!$B$1:$J$479,MATCH("Typ av ursprungsspecificerad el   (Om inget värde anges används Nordisk residualmix, se inforuta) ()",Miljö!$B$1:$J$1,0),FALSE)</f>
        <v>'Vattenkraft'</v>
      </c>
      <c r="G2" s="121">
        <f>VLOOKUP($B2,Miljö!$B$1:$J$479,MATCH("Primärenergifaktor ()",Miljö!$B$1:$J$1,0),FALSE)</f>
        <v>1.1000000000000001</v>
      </c>
      <c r="H2" s="121">
        <f>VLOOKUP($B2,Miljö!$B$1:$J$479,MATCH("Koldioxidekvivalenter energiomvandling (g/kwh)",Miljö!$B$1:$J$1,0),FALSE)</f>
        <v>0</v>
      </c>
      <c r="I2" s="121">
        <f>VLOOKUP($B2,Miljö!$B$1:$J$479,MATCH("Fossilandel för ursprungspecificerad el ()",Miljö!$B$1:$J$1,0),FALSE)</f>
        <v>0</v>
      </c>
      <c r="J2" s="121">
        <f>VLOOKUP($B2,Miljö!$B$1:$J$479,MATCH("Kärnkraftsandel för ursprungsspecificerad el ()",Miljö!$B$1:$J$1,0),FALSE)</f>
        <v>0</v>
      </c>
      <c r="L2" s="121">
        <f>VLOOKUP($B2,Totalt!$B$1:$BU$497,MATCH("total el",Totalt!$B$1:$BU$1,0),FALSE)</f>
        <v>0.1</v>
      </c>
      <c r="N2" s="271">
        <f>IF(ISERROR($L2*G2),"",$L2*G2)</f>
        <v>0.11000000000000001</v>
      </c>
      <c r="O2" s="271">
        <f>IF(ISERROR($L2*H2),"",$L2*H2)</f>
        <v>0</v>
      </c>
      <c r="P2" s="271">
        <f>IF(ISERROR($L2*I2),"",$L2*I2)</f>
        <v>0</v>
      </c>
      <c r="Q2" s="271">
        <f>IF(ISERROR($L2*J2),"",$L2*J2)</f>
        <v>0</v>
      </c>
    </row>
    <row r="3" spans="1:18" x14ac:dyDescent="0.25">
      <c r="A3" s="137" t="s">
        <v>15</v>
      </c>
      <c r="B3" s="137" t="s">
        <v>18</v>
      </c>
      <c r="C3" s="121" t="str">
        <f>VLOOKUP($B3,Totalt!$B$1:$BU$497,MATCH("Kvalitetsgranskad:",Totalt!$B$1:$BU$1,0),FALSE)</f>
        <v>Ja</v>
      </c>
      <c r="E3" s="121" t="str">
        <f>VLOOKUP($B3,Miljö!$B$1:$AG$479,MATCH(E$1,Miljö!$B$1:$AK$1,0),FALSE)</f>
        <v>Ja</v>
      </c>
      <c r="F3" s="121" t="str">
        <f>VLOOKUP($B3,Miljö!$B$1:$J$479,MATCH("Typ av ursprungsspecificerad el   (Om inget värde anges används Nordisk residualmix, se inforuta) ()",Miljö!$B$1:$J$1,0),FALSE)</f>
        <v>'Vattenkraft'</v>
      </c>
      <c r="G3" s="121">
        <f>VLOOKUP($B3,Miljö!$B$1:$J$479,MATCH("Primärenergifaktor ()",Miljö!$B$1:$J$1,0),FALSE)</f>
        <v>1.1000000000000001</v>
      </c>
      <c r="H3" s="121">
        <f>VLOOKUP($B3,Miljö!$B$1:$J$479,MATCH("Koldioxidekvivalenter energiomvandling (g/kwh)",Miljö!$B$1:$J$1,0),FALSE)</f>
        <v>0</v>
      </c>
      <c r="I3" s="121">
        <f>VLOOKUP($B3,Miljö!$B$1:$J$479,MATCH("Fossilandel för ursprungspecificerad el ()",Miljö!$B$1:$J$1,0),FALSE)</f>
        <v>0</v>
      </c>
      <c r="J3" s="121">
        <f>VLOOKUP($B3,Miljö!$B$1:$J$479,MATCH("Kärnkraftsandel för ursprungsspecificerad el ()",Miljö!$B$1:$J$1,0),FALSE)</f>
        <v>0</v>
      </c>
      <c r="L3" s="121">
        <f>VLOOKUP($B3,Totalt!$B$1:$BU$497,MATCH("total el",Totalt!$B$1:$BU$1,0),FALSE)</f>
        <v>0.6</v>
      </c>
      <c r="N3" s="271">
        <f t="shared" ref="N3:N66" si="0">IF(ISERROR($L3*G3),"",$L3*G3)</f>
        <v>0.66</v>
      </c>
      <c r="O3" s="271">
        <f t="shared" ref="O3:O66" si="1">IF(ISERROR($L3*H3),"",$L3*H3)</f>
        <v>0</v>
      </c>
      <c r="P3" s="271">
        <f t="shared" ref="P3:P66" si="2">IF(ISERROR($L3*I3),"",$L3*I3)</f>
        <v>0</v>
      </c>
      <c r="Q3" s="271">
        <f t="shared" ref="Q3:Q66" si="3">IF(ISERROR($L3*J3),"",$L3*J3)</f>
        <v>0</v>
      </c>
    </row>
    <row r="4" spans="1:18" x14ac:dyDescent="0.25">
      <c r="A4" s="137" t="s">
        <v>15</v>
      </c>
      <c r="B4" s="137" t="s">
        <v>20</v>
      </c>
      <c r="C4" s="121" t="str">
        <f>VLOOKUP($B4,Totalt!$B$1:$BU$497,MATCH("Kvalitetsgranskad:",Totalt!$B$1:$BU$1,0),FALSE)</f>
        <v>Ja</v>
      </c>
      <c r="E4" s="121" t="str">
        <f>VLOOKUP($B4,Miljö!$B$1:$AG$479,MATCH(E$1,Miljö!$B$1:$AK$1,0),FALSE)</f>
        <v>Ja</v>
      </c>
      <c r="F4" s="121" t="str">
        <f>VLOOKUP($B4,Miljö!$B$1:$J$479,MATCH("Typ av ursprungsspecificerad el   (Om inget värde anges används Nordisk residualmix, se inforuta) ()",Miljö!$B$1:$J$1,0),FALSE)</f>
        <v>'Vattenkraft'</v>
      </c>
      <c r="G4" s="121">
        <f>VLOOKUP($B4,Miljö!$B$1:$J$479,MATCH("Primärenergifaktor ()",Miljö!$B$1:$J$1,0),FALSE)</f>
        <v>1.1000000000000001</v>
      </c>
      <c r="H4" s="121">
        <f>VLOOKUP($B4,Miljö!$B$1:$J$479,MATCH("Koldioxidekvivalenter energiomvandling (g/kwh)",Miljö!$B$1:$J$1,0),FALSE)</f>
        <v>0</v>
      </c>
      <c r="I4" s="121">
        <f>VLOOKUP($B4,Miljö!$B$1:$J$479,MATCH("Fossilandel för ursprungspecificerad el ()",Miljö!$B$1:$J$1,0),FALSE)</f>
        <v>0</v>
      </c>
      <c r="J4" s="121">
        <f>VLOOKUP($B4,Miljö!$B$1:$J$479,MATCH("Kärnkraftsandel för ursprungsspecificerad el ()",Miljö!$B$1:$J$1,0),FALSE)</f>
        <v>0</v>
      </c>
      <c r="L4" s="121">
        <f>VLOOKUP($B4,Totalt!$B$1:$BU$497,MATCH("total el",Totalt!$B$1:$BU$1,0),FALSE)</f>
        <v>4.4000000000000004</v>
      </c>
      <c r="N4" s="271">
        <f t="shared" si="0"/>
        <v>4.8400000000000007</v>
      </c>
      <c r="O4" s="271">
        <f t="shared" si="1"/>
        <v>0</v>
      </c>
      <c r="P4" s="271">
        <f t="shared" si="2"/>
        <v>0</v>
      </c>
      <c r="Q4" s="271">
        <f t="shared" si="3"/>
        <v>0</v>
      </c>
    </row>
    <row r="5" spans="1:18" x14ac:dyDescent="0.25">
      <c r="A5" s="137" t="s">
        <v>15</v>
      </c>
      <c r="B5" s="137" t="s">
        <v>22</v>
      </c>
      <c r="C5" s="121" t="str">
        <f>VLOOKUP($B5,Totalt!$B$1:$BU$497,MATCH("Kvalitetsgranskad:",Totalt!$B$1:$BU$1,0),FALSE)</f>
        <v>Ja</v>
      </c>
      <c r="E5" s="121" t="str">
        <f>VLOOKUP($B5,Miljö!$B$1:$AG$479,MATCH(E$1,Miljö!$B$1:$AK$1,0),FALSE)</f>
        <v>Ja</v>
      </c>
      <c r="F5" s="121" t="str">
        <f>VLOOKUP($B5,Miljö!$B$1:$J$479,MATCH("Typ av ursprungsspecificerad el   (Om inget värde anges används Nordisk residualmix, se inforuta) ()",Miljö!$B$1:$J$1,0),FALSE)</f>
        <v>'Vattenkraft'</v>
      </c>
      <c r="G5" s="121">
        <f>VLOOKUP($B5,Miljö!$B$1:$J$479,MATCH("Primärenergifaktor ()",Miljö!$B$1:$J$1,0),FALSE)</f>
        <v>1.1000000000000001</v>
      </c>
      <c r="H5" s="121">
        <f>VLOOKUP($B5,Miljö!$B$1:$J$479,MATCH("Koldioxidekvivalenter energiomvandling (g/kwh)",Miljö!$B$1:$J$1,0),FALSE)</f>
        <v>0</v>
      </c>
      <c r="I5" s="121">
        <f>VLOOKUP($B5,Miljö!$B$1:$J$479,MATCH("Fossilandel för ursprungspecificerad el ()",Miljö!$B$1:$J$1,0),FALSE)</f>
        <v>0</v>
      </c>
      <c r="J5" s="121">
        <f>VLOOKUP($B5,Miljö!$B$1:$J$479,MATCH("Kärnkraftsandel för ursprungsspecificerad el ()",Miljö!$B$1:$J$1,0),FALSE)</f>
        <v>0</v>
      </c>
      <c r="L5" s="121">
        <f>VLOOKUP($B5,Totalt!$B$1:$BU$497,MATCH("total el",Totalt!$B$1:$BU$1,0),FALSE)</f>
        <v>0.5</v>
      </c>
      <c r="N5" s="271">
        <f t="shared" si="0"/>
        <v>0.55000000000000004</v>
      </c>
      <c r="O5" s="271">
        <f t="shared" si="1"/>
        <v>0</v>
      </c>
      <c r="P5" s="271">
        <f t="shared" si="2"/>
        <v>0</v>
      </c>
      <c r="Q5" s="271">
        <f t="shared" si="3"/>
        <v>0</v>
      </c>
    </row>
    <row r="6" spans="1:18" x14ac:dyDescent="0.25">
      <c r="A6" s="137" t="s">
        <v>15</v>
      </c>
      <c r="B6" s="137" t="s">
        <v>24</v>
      </c>
      <c r="C6" s="121" t="str">
        <f>VLOOKUP($B6,Totalt!$B$1:$BU$497,MATCH("Kvalitetsgranskad:",Totalt!$B$1:$BU$1,0),FALSE)</f>
        <v>Ja</v>
      </c>
      <c r="E6" s="121" t="str">
        <f>VLOOKUP($B6,Miljö!$B$1:$AG$479,MATCH(E$1,Miljö!$B$1:$AK$1,0),FALSE)</f>
        <v>Ja</v>
      </c>
      <c r="F6" s="121" t="str">
        <f>VLOOKUP($B6,Miljö!$B$1:$J$479,MATCH("Typ av ursprungsspecificerad el   (Om inget värde anges används Nordisk residualmix, se inforuta) ()",Miljö!$B$1:$J$1,0),FALSE)</f>
        <v>'Vattenkraft'</v>
      </c>
      <c r="G6" s="121">
        <f>VLOOKUP($B6,Miljö!$B$1:$J$479,MATCH("Primärenergifaktor ()",Miljö!$B$1:$J$1,0),FALSE)</f>
        <v>1.1000000000000001</v>
      </c>
      <c r="H6" s="121">
        <f>VLOOKUP($B6,Miljö!$B$1:$J$479,MATCH("Koldioxidekvivalenter energiomvandling (g/kwh)",Miljö!$B$1:$J$1,0),FALSE)</f>
        <v>0</v>
      </c>
      <c r="I6" s="121">
        <f>VLOOKUP($B6,Miljö!$B$1:$J$479,MATCH("Fossilandel för ursprungspecificerad el ()",Miljö!$B$1:$J$1,0),FALSE)</f>
        <v>0</v>
      </c>
      <c r="J6" s="121">
        <f>VLOOKUP($B6,Miljö!$B$1:$J$479,MATCH("Kärnkraftsandel för ursprungsspecificerad el ()",Miljö!$B$1:$J$1,0),FALSE)</f>
        <v>0</v>
      </c>
      <c r="L6" s="121">
        <f>VLOOKUP($B6,Totalt!$B$1:$BU$497,MATCH("total el",Totalt!$B$1:$BU$1,0),FALSE)</f>
        <v>2.5</v>
      </c>
      <c r="N6" s="271">
        <f t="shared" si="0"/>
        <v>2.75</v>
      </c>
      <c r="O6" s="271">
        <f t="shared" si="1"/>
        <v>0</v>
      </c>
      <c r="P6" s="271">
        <f t="shared" si="2"/>
        <v>0</v>
      </c>
      <c r="Q6" s="271">
        <f t="shared" si="3"/>
        <v>0</v>
      </c>
    </row>
    <row r="7" spans="1:18" x14ac:dyDescent="0.25">
      <c r="A7" s="137" t="s">
        <v>15</v>
      </c>
      <c r="B7" s="137" t="s">
        <v>26</v>
      </c>
      <c r="C7" s="121" t="str">
        <f>VLOOKUP($B7,Totalt!$B$1:$BU$497,MATCH("Kvalitetsgranskad:",Totalt!$B$1:$BU$1,0),FALSE)</f>
        <v>Ja</v>
      </c>
      <c r="E7" s="121" t="str">
        <f>VLOOKUP($B7,Miljö!$B$1:$AG$479,MATCH(E$1,Miljö!$B$1:$AK$1,0),FALSE)</f>
        <v>Ja</v>
      </c>
      <c r="F7" s="121" t="str">
        <f>VLOOKUP($B7,Miljö!$B$1:$J$479,MATCH("Typ av ursprungsspecificerad el   (Om inget värde anges används Nordisk residualmix, se inforuta) ()",Miljö!$B$1:$J$1,0),FALSE)</f>
        <v>'Vattenkraft'</v>
      </c>
      <c r="G7" s="121">
        <f>VLOOKUP($B7,Miljö!$B$1:$J$479,MATCH("Primärenergifaktor ()",Miljö!$B$1:$J$1,0),FALSE)</f>
        <v>1.1000000000000001</v>
      </c>
      <c r="H7" s="121">
        <f>VLOOKUP($B7,Miljö!$B$1:$J$479,MATCH("Koldioxidekvivalenter energiomvandling (g/kwh)",Miljö!$B$1:$J$1,0),FALSE)</f>
        <v>0</v>
      </c>
      <c r="I7" s="121">
        <f>VLOOKUP($B7,Miljö!$B$1:$J$479,MATCH("Fossilandel för ursprungspecificerad el ()",Miljö!$B$1:$J$1,0),FALSE)</f>
        <v>0</v>
      </c>
      <c r="J7" s="121">
        <f>VLOOKUP($B7,Miljö!$B$1:$J$479,MATCH("Kärnkraftsandel för ursprungsspecificerad el ()",Miljö!$B$1:$J$1,0),FALSE)</f>
        <v>0</v>
      </c>
      <c r="L7" s="121">
        <f>VLOOKUP($B7,Totalt!$B$1:$BU$497,MATCH("total el",Totalt!$B$1:$BU$1,0),FALSE)</f>
        <v>0.9</v>
      </c>
      <c r="N7" s="271">
        <f t="shared" si="0"/>
        <v>0.9900000000000001</v>
      </c>
      <c r="O7" s="271">
        <f t="shared" si="1"/>
        <v>0</v>
      </c>
      <c r="P7" s="271">
        <f t="shared" si="2"/>
        <v>0</v>
      </c>
      <c r="Q7" s="271">
        <f t="shared" si="3"/>
        <v>0</v>
      </c>
    </row>
    <row r="8" spans="1:18" x14ac:dyDescent="0.25">
      <c r="A8" s="137" t="s">
        <v>15</v>
      </c>
      <c r="B8" s="137" t="s">
        <v>28</v>
      </c>
      <c r="C8" s="121" t="str">
        <f>VLOOKUP($B8,Totalt!$B$1:$BU$497,MATCH("Kvalitetsgranskad:",Totalt!$B$1:$BU$1,0),FALSE)</f>
        <v>Ja</v>
      </c>
      <c r="E8" s="121" t="str">
        <f>VLOOKUP($B8,Miljö!$B$1:$AG$479,MATCH(E$1,Miljö!$B$1:$AK$1,0),FALSE)</f>
        <v>Ja</v>
      </c>
      <c r="F8" s="121" t="str">
        <f>VLOOKUP($B8,Miljö!$B$1:$J$479,MATCH("Typ av ursprungsspecificerad el   (Om inget värde anges används Nordisk residualmix, se inforuta) ()",Miljö!$B$1:$J$1,0),FALSE)</f>
        <v>'Vattenkraft'</v>
      </c>
      <c r="G8" s="121">
        <f>VLOOKUP($B8,Miljö!$B$1:$J$479,MATCH("Primärenergifaktor ()",Miljö!$B$1:$J$1,0),FALSE)</f>
        <v>1.1000000000000001</v>
      </c>
      <c r="H8" s="121">
        <f>VLOOKUP($B8,Miljö!$B$1:$J$479,MATCH("Koldioxidekvivalenter energiomvandling (g/kwh)",Miljö!$B$1:$J$1,0),FALSE)</f>
        <v>0</v>
      </c>
      <c r="I8" s="121">
        <f>VLOOKUP($B8,Miljö!$B$1:$J$479,MATCH("Fossilandel för ursprungspecificerad el ()",Miljö!$B$1:$J$1,0),FALSE)</f>
        <v>0</v>
      </c>
      <c r="J8" s="121">
        <f>VLOOKUP($B8,Miljö!$B$1:$J$479,MATCH("Kärnkraftsandel för ursprungsspecificerad el ()",Miljö!$B$1:$J$1,0),FALSE)</f>
        <v>0</v>
      </c>
      <c r="L8" s="121">
        <f>VLOOKUP($B8,Totalt!$B$1:$BU$497,MATCH("total el",Totalt!$B$1:$BU$1,0),FALSE)</f>
        <v>1.4</v>
      </c>
      <c r="N8" s="271">
        <f t="shared" si="0"/>
        <v>1.54</v>
      </c>
      <c r="O8" s="271">
        <f t="shared" si="1"/>
        <v>0</v>
      </c>
      <c r="P8" s="271">
        <f t="shared" si="2"/>
        <v>0</v>
      </c>
      <c r="Q8" s="271">
        <f t="shared" si="3"/>
        <v>0</v>
      </c>
    </row>
    <row r="9" spans="1:18" x14ac:dyDescent="0.25">
      <c r="A9" s="137" t="s">
        <v>15</v>
      </c>
      <c r="B9" s="137" t="s">
        <v>30</v>
      </c>
      <c r="C9" s="121" t="str">
        <f>VLOOKUP($B9,Totalt!$B$1:$BU$497,MATCH("Kvalitetsgranskad:",Totalt!$B$1:$BU$1,0),FALSE)</f>
        <v>Ja</v>
      </c>
      <c r="E9" s="121" t="str">
        <f>VLOOKUP($B9,Miljö!$B$1:$AG$479,MATCH(E$1,Miljö!$B$1:$AK$1,0),FALSE)</f>
        <v>Ja</v>
      </c>
      <c r="F9" s="121" t="str">
        <f>VLOOKUP($B9,Miljö!$B$1:$J$479,MATCH("Typ av ursprungsspecificerad el   (Om inget värde anges används Nordisk residualmix, se inforuta) ()",Miljö!$B$1:$J$1,0),FALSE)</f>
        <v>'Vattenkraft'</v>
      </c>
      <c r="G9" s="121">
        <f>VLOOKUP($B9,Miljö!$B$1:$J$479,MATCH("Primärenergifaktor ()",Miljö!$B$1:$J$1,0),FALSE)</f>
        <v>1.1000000000000001</v>
      </c>
      <c r="H9" s="121">
        <f>VLOOKUP($B9,Miljö!$B$1:$J$479,MATCH("Koldioxidekvivalenter energiomvandling (g/kwh)",Miljö!$B$1:$J$1,0),FALSE)</f>
        <v>0</v>
      </c>
      <c r="I9" s="121">
        <f>VLOOKUP($B9,Miljö!$B$1:$J$479,MATCH("Fossilandel för ursprungspecificerad el ()",Miljö!$B$1:$J$1,0),FALSE)</f>
        <v>0</v>
      </c>
      <c r="J9" s="121">
        <f>VLOOKUP($B9,Miljö!$B$1:$J$479,MATCH("Kärnkraftsandel för ursprungsspecificerad el ()",Miljö!$B$1:$J$1,0),FALSE)</f>
        <v>0</v>
      </c>
      <c r="L9" s="121">
        <f>VLOOKUP($B9,Totalt!$B$1:$BU$497,MATCH("total el",Totalt!$B$1:$BU$1,0),FALSE)</f>
        <v>0.9</v>
      </c>
      <c r="N9" s="271">
        <f t="shared" si="0"/>
        <v>0.9900000000000001</v>
      </c>
      <c r="O9" s="271">
        <f t="shared" si="1"/>
        <v>0</v>
      </c>
      <c r="P9" s="271">
        <f t="shared" si="2"/>
        <v>0</v>
      </c>
      <c r="Q9" s="271">
        <f t="shared" si="3"/>
        <v>0</v>
      </c>
    </row>
    <row r="10" spans="1:18" x14ac:dyDescent="0.25">
      <c r="A10" s="137" t="s">
        <v>15</v>
      </c>
      <c r="B10" s="137" t="s">
        <v>32</v>
      </c>
      <c r="C10" s="121" t="str">
        <f>VLOOKUP($B10,Totalt!$B$1:$BU$497,MATCH("Kvalitetsgranskad:",Totalt!$B$1:$BU$1,0),FALSE)</f>
        <v>Ja</v>
      </c>
      <c r="E10" s="121" t="str">
        <f>VLOOKUP($B10,Miljö!$B$1:$AG$479,MATCH(E$1,Miljö!$B$1:$AK$1,0),FALSE)</f>
        <v>Ja</v>
      </c>
      <c r="F10" s="121" t="str">
        <f>VLOOKUP($B10,Miljö!$B$1:$J$479,MATCH("Typ av ursprungsspecificerad el   (Om inget värde anges används Nordisk residualmix, se inforuta) ()",Miljö!$B$1:$J$1,0),FALSE)</f>
        <v>'Vattenkraft'</v>
      </c>
      <c r="G10" s="121">
        <f>VLOOKUP($B10,Miljö!$B$1:$J$479,MATCH("Primärenergifaktor ()",Miljö!$B$1:$J$1,0),FALSE)</f>
        <v>1.1000000000000001</v>
      </c>
      <c r="H10" s="121">
        <f>VLOOKUP($B10,Miljö!$B$1:$J$479,MATCH("Koldioxidekvivalenter energiomvandling (g/kwh)",Miljö!$B$1:$J$1,0),FALSE)</f>
        <v>0</v>
      </c>
      <c r="I10" s="121">
        <f>VLOOKUP($B10,Miljö!$B$1:$J$479,MATCH("Fossilandel för ursprungspecificerad el ()",Miljö!$B$1:$J$1,0),FALSE)</f>
        <v>0</v>
      </c>
      <c r="J10" s="121">
        <f>VLOOKUP($B10,Miljö!$B$1:$J$479,MATCH("Kärnkraftsandel för ursprungsspecificerad el ()",Miljö!$B$1:$J$1,0),FALSE)</f>
        <v>0</v>
      </c>
      <c r="L10" s="121">
        <f>VLOOKUP($B10,Totalt!$B$1:$BU$497,MATCH("total el",Totalt!$B$1:$BU$1,0),FALSE)</f>
        <v>1.7</v>
      </c>
      <c r="N10" s="271">
        <f t="shared" si="0"/>
        <v>1.87</v>
      </c>
      <c r="O10" s="271">
        <f t="shared" si="1"/>
        <v>0</v>
      </c>
      <c r="P10" s="271">
        <f t="shared" si="2"/>
        <v>0</v>
      </c>
      <c r="Q10" s="271">
        <f t="shared" si="3"/>
        <v>0</v>
      </c>
    </row>
    <row r="11" spans="1:18" x14ac:dyDescent="0.25">
      <c r="A11" s="137" t="s">
        <v>200</v>
      </c>
      <c r="B11" s="137" t="s">
        <v>201</v>
      </c>
      <c r="C11" s="121" t="str">
        <f>VLOOKUP($B11,Totalt!$B$1:$BU$497,MATCH("Kvalitetsgranskad:",Totalt!$B$1:$BU$1,0),FALSE)</f>
        <v>Ja</v>
      </c>
      <c r="E11" s="121" t="str">
        <f>VLOOKUP($B11,Miljö!$B$1:$AG$479,MATCH(E$1,Miljö!$B$1:$AK$1,0),FALSE)</f>
        <v>Ja</v>
      </c>
      <c r="F11" s="121" t="str">
        <f>VLOOKUP($B11,Miljö!$B$1:$J$479,MATCH("Typ av ursprungsspecificerad el   (Om inget värde anges används Nordisk residualmix, se inforuta) ()",Miljö!$B$1:$J$1,0),FALSE)</f>
        <v>'Sverige Förnybar el Jämtkraft'</v>
      </c>
      <c r="G11" s="121">
        <f>VLOOKUP($B11,Miljö!$B$1:$J$479,MATCH("Primärenergifaktor ()",Miljö!$B$1:$J$1,0),FALSE)</f>
        <v>1</v>
      </c>
      <c r="H11" s="121">
        <f>VLOOKUP($B11,Miljö!$B$1:$J$479,MATCH("Koldioxidekvivalenter energiomvandling (g/kwh)",Miljö!$B$1:$J$1,0),FALSE)</f>
        <v>0.03</v>
      </c>
      <c r="I11" s="121">
        <f>VLOOKUP($B11,Miljö!$B$1:$J$479,MATCH("Fossilandel för ursprungspecificerad el ()",Miljö!$B$1:$J$1,0),FALSE)</f>
        <v>0</v>
      </c>
      <c r="J11" s="121">
        <f>VLOOKUP($B11,Miljö!$B$1:$J$479,MATCH("Kärnkraftsandel för ursprungsspecificerad el ()",Miljö!$B$1:$J$1,0),FALSE)</f>
        <v>0</v>
      </c>
      <c r="L11" s="121">
        <f>VLOOKUP($B11,Totalt!$B$1:$BU$497,MATCH("total el",Totalt!$B$1:$BU$1,0),FALSE)</f>
        <v>0.159</v>
      </c>
      <c r="N11" s="271">
        <f t="shared" si="0"/>
        <v>0.159</v>
      </c>
      <c r="O11" s="271">
        <f t="shared" si="1"/>
        <v>4.7699999999999999E-3</v>
      </c>
      <c r="P11" s="271">
        <f t="shared" si="2"/>
        <v>0</v>
      </c>
      <c r="Q11" s="271">
        <f t="shared" si="3"/>
        <v>0</v>
      </c>
    </row>
    <row r="12" spans="1:18" x14ac:dyDescent="0.25">
      <c r="A12" s="137" t="s">
        <v>200</v>
      </c>
      <c r="B12" s="137" t="s">
        <v>202</v>
      </c>
      <c r="C12" s="121" t="str">
        <f>VLOOKUP($B12,Totalt!$B$1:$BU$497,MATCH("Kvalitetsgranskad:",Totalt!$B$1:$BU$1,0),FALSE)</f>
        <v>Ja</v>
      </c>
      <c r="E12" s="121" t="str">
        <f>VLOOKUP($B12,Miljö!$B$1:$AG$479,MATCH(E$1,Miljö!$B$1:$AK$1,0),FALSE)</f>
        <v>Ja</v>
      </c>
      <c r="F12" s="121" t="str">
        <f>VLOOKUP($B12,Miljö!$B$1:$J$479,MATCH("Typ av ursprungsspecificerad el   (Om inget värde anges används Nordisk residualmix, se inforuta) ()",Miljö!$B$1:$J$1,0),FALSE)</f>
        <v>'Sverige Förnybar el Jämtkraft'</v>
      </c>
      <c r="G12" s="121">
        <f>VLOOKUP($B12,Miljö!$B$1:$J$479,MATCH("Primärenergifaktor ()",Miljö!$B$1:$J$1,0),FALSE)</f>
        <v>1</v>
      </c>
      <c r="H12" s="121">
        <f>VLOOKUP($B12,Miljö!$B$1:$J$479,MATCH("Koldioxidekvivalenter energiomvandling (g/kwh)",Miljö!$B$1:$J$1,0),FALSE)</f>
        <v>0.03</v>
      </c>
      <c r="I12" s="121">
        <f>VLOOKUP($B12,Miljö!$B$1:$J$479,MATCH("Fossilandel för ursprungspecificerad el ()",Miljö!$B$1:$J$1,0),FALSE)</f>
        <v>0</v>
      </c>
      <c r="J12" s="121">
        <f>VLOOKUP($B12,Miljö!$B$1:$J$479,MATCH("Kärnkraftsandel för ursprungsspecificerad el ()",Miljö!$B$1:$J$1,0),FALSE)</f>
        <v>0</v>
      </c>
      <c r="L12" s="121">
        <f>VLOOKUP($B12,Totalt!$B$1:$BU$497,MATCH("total el",Totalt!$B$1:$BU$1,0),FALSE)</f>
        <v>0.4</v>
      </c>
      <c r="N12" s="271">
        <f t="shared" si="0"/>
        <v>0.4</v>
      </c>
      <c r="O12" s="271">
        <f t="shared" si="1"/>
        <v>1.2E-2</v>
      </c>
      <c r="P12" s="271">
        <f t="shared" si="2"/>
        <v>0</v>
      </c>
      <c r="Q12" s="271">
        <f t="shared" si="3"/>
        <v>0</v>
      </c>
    </row>
    <row r="13" spans="1:18" x14ac:dyDescent="0.25">
      <c r="A13" s="137" t="s">
        <v>200</v>
      </c>
      <c r="B13" s="137" t="s">
        <v>203</v>
      </c>
      <c r="C13" s="121" t="str">
        <f>VLOOKUP($B13,Totalt!$B$1:$BU$497,MATCH("Kvalitetsgranskad:",Totalt!$B$1:$BU$1,0),FALSE)</f>
        <v>Ja</v>
      </c>
      <c r="E13" s="121" t="str">
        <f>VLOOKUP($B13,Miljö!$B$1:$AG$479,MATCH(E$1,Miljö!$B$1:$AK$1,0),FALSE)</f>
        <v>Ja</v>
      </c>
      <c r="F13" s="121" t="str">
        <f>VLOOKUP($B13,Miljö!$B$1:$J$479,MATCH("Typ av ursprungsspecificerad el   (Om inget värde anges används Nordisk residualmix, se inforuta) ()",Miljö!$B$1:$J$1,0),FALSE)</f>
        <v>'Sverige Förnybar el Jämtkraft'</v>
      </c>
      <c r="G13" s="121">
        <f>VLOOKUP($B13,Miljö!$B$1:$J$479,MATCH("Primärenergifaktor ()",Miljö!$B$1:$J$1,0),FALSE)</f>
        <v>1</v>
      </c>
      <c r="H13" s="121">
        <f>VLOOKUP($B13,Miljö!$B$1:$J$479,MATCH("Koldioxidekvivalenter energiomvandling (g/kwh)",Miljö!$B$1:$J$1,0),FALSE)</f>
        <v>0.03</v>
      </c>
      <c r="I13" s="121">
        <f>VLOOKUP($B13,Miljö!$B$1:$J$479,MATCH("Fossilandel för ursprungspecificerad el ()",Miljö!$B$1:$J$1,0),FALSE)</f>
        <v>0</v>
      </c>
      <c r="J13" s="121">
        <f>VLOOKUP($B13,Miljö!$B$1:$J$479,MATCH("Kärnkraftsandel för ursprungsspecificerad el ()",Miljö!$B$1:$J$1,0),FALSE)</f>
        <v>0</v>
      </c>
      <c r="L13" s="121">
        <f>VLOOKUP($B13,Totalt!$B$1:$BU$497,MATCH("total el",Totalt!$B$1:$BU$1,0),FALSE)</f>
        <v>0.01</v>
      </c>
      <c r="N13" s="271">
        <f t="shared" si="0"/>
        <v>0.01</v>
      </c>
      <c r="O13" s="271">
        <f t="shared" si="1"/>
        <v>2.9999999999999997E-4</v>
      </c>
      <c r="P13" s="271">
        <f t="shared" si="2"/>
        <v>0</v>
      </c>
      <c r="Q13" s="271">
        <f t="shared" si="3"/>
        <v>0</v>
      </c>
    </row>
    <row r="14" spans="1:18" x14ac:dyDescent="0.25">
      <c r="A14" s="137" t="s">
        <v>200</v>
      </c>
      <c r="B14" s="137" t="s">
        <v>204</v>
      </c>
      <c r="C14" s="121" t="str">
        <f>VLOOKUP($B14,Totalt!$B$1:$BU$497,MATCH("Kvalitetsgranskad:",Totalt!$B$1:$BU$1,0),FALSE)</f>
        <v>Ja</v>
      </c>
      <c r="E14" s="121" t="str">
        <f>VLOOKUP($B14,Miljö!$B$1:$AG$479,MATCH(E$1,Miljö!$B$1:$AK$1,0),FALSE)</f>
        <v>Ja</v>
      </c>
      <c r="F14" s="121" t="str">
        <f>VLOOKUP($B14,Miljö!$B$1:$J$479,MATCH("Typ av ursprungsspecificerad el   (Om inget värde anges används Nordisk residualmix, se inforuta) ()",Miljö!$B$1:$J$1,0),FALSE)</f>
        <v>'Sverige Förnybar el Jämtkraft'</v>
      </c>
      <c r="G14" s="121">
        <f>VLOOKUP($B14,Miljö!$B$1:$J$479,MATCH("Primärenergifaktor ()",Miljö!$B$1:$J$1,0),FALSE)</f>
        <v>1</v>
      </c>
      <c r="H14" s="121">
        <f>VLOOKUP($B14,Miljö!$B$1:$J$479,MATCH("Koldioxidekvivalenter energiomvandling (g/kwh)",Miljö!$B$1:$J$1,0),FALSE)</f>
        <v>0.03</v>
      </c>
      <c r="I14" s="121">
        <f>VLOOKUP($B14,Miljö!$B$1:$J$479,MATCH("Fossilandel för ursprungspecificerad el ()",Miljö!$B$1:$J$1,0),FALSE)</f>
        <v>0</v>
      </c>
      <c r="J14" s="121">
        <f>VLOOKUP($B14,Miljö!$B$1:$J$479,MATCH("Kärnkraftsandel för ursprungsspecificerad el ()",Miljö!$B$1:$J$1,0),FALSE)</f>
        <v>0</v>
      </c>
      <c r="L14" s="121">
        <f>VLOOKUP($B14,Totalt!$B$1:$BU$497,MATCH("total el",Totalt!$B$1:$BU$1,0),FALSE)</f>
        <v>0.1</v>
      </c>
      <c r="N14" s="271">
        <f t="shared" si="0"/>
        <v>0.1</v>
      </c>
      <c r="O14" s="271">
        <f t="shared" si="1"/>
        <v>3.0000000000000001E-3</v>
      </c>
      <c r="P14" s="271">
        <f t="shared" si="2"/>
        <v>0</v>
      </c>
      <c r="Q14" s="271">
        <f t="shared" si="3"/>
        <v>0</v>
      </c>
    </row>
    <row r="15" spans="1:18" x14ac:dyDescent="0.25">
      <c r="A15" s="137" t="s">
        <v>200</v>
      </c>
      <c r="B15" s="137" t="s">
        <v>205</v>
      </c>
      <c r="C15" s="121" t="str">
        <f>VLOOKUP($B15,Totalt!$B$1:$BU$497,MATCH("Kvalitetsgranskad:",Totalt!$B$1:$BU$1,0),FALSE)</f>
        <v>Ja</v>
      </c>
      <c r="E15" s="121" t="str">
        <f>VLOOKUP($B15,Miljö!$B$1:$AG$479,MATCH(E$1,Miljö!$B$1:$AK$1,0),FALSE)</f>
        <v>Ja</v>
      </c>
      <c r="F15" s="121" t="str">
        <f>VLOOKUP($B15,Miljö!$B$1:$J$479,MATCH("Typ av ursprungsspecificerad el   (Om inget värde anges används Nordisk residualmix, se inforuta) ()",Miljö!$B$1:$J$1,0),FALSE)</f>
        <v>'Sverige Förnybar el Jämtkraft'</v>
      </c>
      <c r="G15" s="121">
        <f>VLOOKUP($B15,Miljö!$B$1:$J$479,MATCH("Primärenergifaktor ()",Miljö!$B$1:$J$1,0),FALSE)</f>
        <v>1</v>
      </c>
      <c r="H15" s="121">
        <f>VLOOKUP($B15,Miljö!$B$1:$J$479,MATCH("Koldioxidekvivalenter energiomvandling (g/kwh)",Miljö!$B$1:$J$1,0),FALSE)</f>
        <v>0.03</v>
      </c>
      <c r="I15" s="121">
        <f>VLOOKUP($B15,Miljö!$B$1:$J$479,MATCH("Fossilandel för ursprungspecificerad el ()",Miljö!$B$1:$J$1,0),FALSE)</f>
        <v>0</v>
      </c>
      <c r="J15" s="121">
        <f>VLOOKUP($B15,Miljö!$B$1:$J$479,MATCH("Kärnkraftsandel för ursprungsspecificerad el ()",Miljö!$B$1:$J$1,0),FALSE)</f>
        <v>0</v>
      </c>
      <c r="L15" s="121">
        <f>VLOOKUP($B15,Totalt!$B$1:$BU$497,MATCH("total el",Totalt!$B$1:$BU$1,0),FALSE)</f>
        <v>0.1</v>
      </c>
      <c r="N15" s="271">
        <f t="shared" si="0"/>
        <v>0.1</v>
      </c>
      <c r="O15" s="271">
        <f t="shared" si="1"/>
        <v>3.0000000000000001E-3</v>
      </c>
      <c r="P15" s="271">
        <f t="shared" si="2"/>
        <v>0</v>
      </c>
      <c r="Q15" s="271">
        <f t="shared" si="3"/>
        <v>0</v>
      </c>
    </row>
    <row r="16" spans="1:18" x14ac:dyDescent="0.25">
      <c r="A16" s="137" t="s">
        <v>200</v>
      </c>
      <c r="B16" s="137" t="s">
        <v>206</v>
      </c>
      <c r="C16" s="121" t="str">
        <f>VLOOKUP($B16,Totalt!$B$1:$BU$497,MATCH("Kvalitetsgranskad:",Totalt!$B$1:$BU$1,0),FALSE)</f>
        <v>Ja</v>
      </c>
      <c r="E16" s="121" t="str">
        <f>VLOOKUP($B16,Miljö!$B$1:$AG$479,MATCH(E$1,Miljö!$B$1:$AK$1,0),FALSE)</f>
        <v>Ja</v>
      </c>
      <c r="F16" s="121" t="str">
        <f>VLOOKUP($B16,Miljö!$B$1:$J$479,MATCH("Typ av ursprungsspecificerad el   (Om inget värde anges används Nordisk residualmix, se inforuta) ()",Miljö!$B$1:$J$1,0),FALSE)</f>
        <v>'Sverige Förnybar el Jämtkraft'</v>
      </c>
      <c r="G16" s="121">
        <f>VLOOKUP($B16,Miljö!$B$1:$J$479,MATCH("Primärenergifaktor ()",Miljö!$B$1:$J$1,0),FALSE)</f>
        <v>1</v>
      </c>
      <c r="H16" s="121">
        <f>VLOOKUP($B16,Miljö!$B$1:$J$479,MATCH("Koldioxidekvivalenter energiomvandling (g/kwh)",Miljö!$B$1:$J$1,0),FALSE)</f>
        <v>0.03</v>
      </c>
      <c r="I16" s="121">
        <f>VLOOKUP($B16,Miljö!$B$1:$J$479,MATCH("Fossilandel för ursprungspecificerad el ()",Miljö!$B$1:$J$1,0),FALSE)</f>
        <v>0</v>
      </c>
      <c r="J16" s="121">
        <f>VLOOKUP($B16,Miljö!$B$1:$J$479,MATCH("Kärnkraftsandel för ursprungsspecificerad el ()",Miljö!$B$1:$J$1,0),FALSE)</f>
        <v>0</v>
      </c>
      <c r="L16" s="121">
        <f>VLOOKUP($B16,Totalt!$B$1:$BU$497,MATCH("total el",Totalt!$B$1:$BU$1,0),FALSE)</f>
        <v>0.4</v>
      </c>
      <c r="N16" s="271">
        <f t="shared" si="0"/>
        <v>0.4</v>
      </c>
      <c r="O16" s="271">
        <f t="shared" si="1"/>
        <v>1.2E-2</v>
      </c>
      <c r="P16" s="271">
        <f t="shared" si="2"/>
        <v>0</v>
      </c>
      <c r="Q16" s="271">
        <f t="shared" si="3"/>
        <v>0</v>
      </c>
    </row>
    <row r="17" spans="1:17" x14ac:dyDescent="0.25">
      <c r="A17" s="137" t="s">
        <v>200</v>
      </c>
      <c r="B17" s="137" t="s">
        <v>207</v>
      </c>
      <c r="C17" s="121" t="str">
        <f>VLOOKUP($B17,Totalt!$B$1:$BU$497,MATCH("Kvalitetsgranskad:",Totalt!$B$1:$BU$1,0),FALSE)</f>
        <v>Ja</v>
      </c>
      <c r="E17" s="121" t="str">
        <f>VLOOKUP($B17,Miljö!$B$1:$AG$479,MATCH(E$1,Miljö!$B$1:$AK$1,0),FALSE)</f>
        <v>Ja</v>
      </c>
      <c r="F17" s="121" t="str">
        <f>VLOOKUP($B17,Miljö!$B$1:$J$479,MATCH("Typ av ursprungsspecificerad el   (Om inget värde anges används Nordisk residualmix, se inforuta) ()",Miljö!$B$1:$J$1,0),FALSE)</f>
        <v>'Sverige Förnybar el Jämtkraft'</v>
      </c>
      <c r="G17" s="121">
        <f>VLOOKUP($B17,Miljö!$B$1:$J$479,MATCH("Primärenergifaktor ()",Miljö!$B$1:$J$1,0),FALSE)</f>
        <v>1</v>
      </c>
      <c r="H17" s="121">
        <f>VLOOKUP($B17,Miljö!$B$1:$J$479,MATCH("Koldioxidekvivalenter energiomvandling (g/kwh)",Miljö!$B$1:$J$1,0),FALSE)</f>
        <v>0.03</v>
      </c>
      <c r="I17" s="121">
        <f>VLOOKUP($B17,Miljö!$B$1:$J$479,MATCH("Fossilandel för ursprungspecificerad el ()",Miljö!$B$1:$J$1,0),FALSE)</f>
        <v>0</v>
      </c>
      <c r="J17" s="121">
        <f>VLOOKUP($B17,Miljö!$B$1:$J$479,MATCH("Kärnkraftsandel för ursprungsspecificerad el ()",Miljö!$B$1:$J$1,0),FALSE)</f>
        <v>0</v>
      </c>
      <c r="L17" s="121">
        <f>VLOOKUP($B17,Totalt!$B$1:$BU$497,MATCH("total el",Totalt!$B$1:$BU$1,0),FALSE)</f>
        <v>0.1</v>
      </c>
      <c r="N17" s="271">
        <f t="shared" si="0"/>
        <v>0.1</v>
      </c>
      <c r="O17" s="271">
        <f t="shared" si="1"/>
        <v>3.0000000000000001E-3</v>
      </c>
      <c r="P17" s="271">
        <f t="shared" si="2"/>
        <v>0</v>
      </c>
      <c r="Q17" s="271">
        <f t="shared" si="3"/>
        <v>0</v>
      </c>
    </row>
    <row r="18" spans="1:17" x14ac:dyDescent="0.25">
      <c r="A18" s="137" t="s">
        <v>200</v>
      </c>
      <c r="B18" s="137" t="s">
        <v>208</v>
      </c>
      <c r="C18" s="121" t="str">
        <f>VLOOKUP($B18,Totalt!$B$1:$BU$497,MATCH("Kvalitetsgranskad:",Totalt!$B$1:$BU$1,0),FALSE)</f>
        <v>Ja</v>
      </c>
      <c r="E18" s="121" t="str">
        <f>VLOOKUP($B18,Miljö!$B$1:$AG$479,MATCH(E$1,Miljö!$B$1:$AK$1,0),FALSE)</f>
        <v>Ja</v>
      </c>
      <c r="F18" s="121" t="str">
        <f>VLOOKUP($B18,Miljö!$B$1:$J$479,MATCH("Typ av ursprungsspecificerad el   (Om inget värde anges används Nordisk residualmix, se inforuta) ()",Miljö!$B$1:$J$1,0),FALSE)</f>
        <v>'Sverige Förnybar el Jämtkraft'</v>
      </c>
      <c r="G18" s="121">
        <f>VLOOKUP($B18,Miljö!$B$1:$J$479,MATCH("Primärenergifaktor ()",Miljö!$B$1:$J$1,0),FALSE)</f>
        <v>1</v>
      </c>
      <c r="H18" s="121">
        <f>VLOOKUP($B18,Miljö!$B$1:$J$479,MATCH("Koldioxidekvivalenter energiomvandling (g/kwh)",Miljö!$B$1:$J$1,0),FALSE)</f>
        <v>0.03</v>
      </c>
      <c r="I18" s="121">
        <f>VLOOKUP($B18,Miljö!$B$1:$J$479,MATCH("Fossilandel för ursprungspecificerad el ()",Miljö!$B$1:$J$1,0),FALSE)</f>
        <v>0</v>
      </c>
      <c r="J18" s="121">
        <f>VLOOKUP($B18,Miljö!$B$1:$J$479,MATCH("Kärnkraftsandel för ursprungsspecificerad el ()",Miljö!$B$1:$J$1,0),FALSE)</f>
        <v>0</v>
      </c>
      <c r="L18" s="121">
        <f>VLOOKUP($B18,Totalt!$B$1:$BU$497,MATCH("total el",Totalt!$B$1:$BU$1,0),FALSE)</f>
        <v>0.03</v>
      </c>
      <c r="N18" s="271">
        <f t="shared" si="0"/>
        <v>0.03</v>
      </c>
      <c r="O18" s="271">
        <f t="shared" si="1"/>
        <v>8.9999999999999998E-4</v>
      </c>
      <c r="P18" s="271">
        <f t="shared" si="2"/>
        <v>0</v>
      </c>
      <c r="Q18" s="271">
        <f t="shared" si="3"/>
        <v>0</v>
      </c>
    </row>
    <row r="19" spans="1:17" x14ac:dyDescent="0.25">
      <c r="A19" s="137" t="s">
        <v>200</v>
      </c>
      <c r="B19" s="137" t="s">
        <v>209</v>
      </c>
      <c r="C19" s="121" t="str">
        <f>VLOOKUP($B19,Totalt!$B$1:$BU$497,MATCH("Kvalitetsgranskad:",Totalt!$B$1:$BU$1,0),FALSE)</f>
        <v>Ja</v>
      </c>
      <c r="E19" s="121" t="str">
        <f>VLOOKUP($B19,Miljö!$B$1:$AG$479,MATCH(E$1,Miljö!$B$1:$AK$1,0),FALSE)</f>
        <v>Ja</v>
      </c>
      <c r="F19" s="121" t="str">
        <f>VLOOKUP($B19,Miljö!$B$1:$J$479,MATCH("Typ av ursprungsspecificerad el   (Om inget värde anges används Nordisk residualmix, se inforuta) ()",Miljö!$B$1:$J$1,0),FALSE)</f>
        <v>'Sverige Förnybar el Jämtkraft'</v>
      </c>
      <c r="G19" s="121">
        <f>VLOOKUP($B19,Miljö!$B$1:$J$479,MATCH("Primärenergifaktor ()",Miljö!$B$1:$J$1,0),FALSE)</f>
        <v>1</v>
      </c>
      <c r="H19" s="121">
        <f>VLOOKUP($B19,Miljö!$B$1:$J$479,MATCH("Koldioxidekvivalenter energiomvandling (g/kwh)",Miljö!$B$1:$J$1,0),FALSE)</f>
        <v>0.03</v>
      </c>
      <c r="I19" s="121">
        <f>VLOOKUP($B19,Miljö!$B$1:$J$479,MATCH("Fossilandel för ursprungspecificerad el ()",Miljö!$B$1:$J$1,0),FALSE)</f>
        <v>0</v>
      </c>
      <c r="J19" s="121">
        <f>VLOOKUP($B19,Miljö!$B$1:$J$479,MATCH("Kärnkraftsandel för ursprungsspecificerad el ()",Miljö!$B$1:$J$1,0),FALSE)</f>
        <v>0</v>
      </c>
      <c r="L19" s="121">
        <f>VLOOKUP($B19,Totalt!$B$1:$BU$497,MATCH("total el",Totalt!$B$1:$BU$1,0),FALSE)</f>
        <v>0.3</v>
      </c>
      <c r="N19" s="271">
        <f t="shared" si="0"/>
        <v>0.3</v>
      </c>
      <c r="O19" s="271">
        <f t="shared" si="1"/>
        <v>8.9999999999999993E-3</v>
      </c>
      <c r="P19" s="271">
        <f t="shared" si="2"/>
        <v>0</v>
      </c>
      <c r="Q19" s="271">
        <f t="shared" si="3"/>
        <v>0</v>
      </c>
    </row>
    <row r="20" spans="1:17" x14ac:dyDescent="0.25">
      <c r="A20" s="137" t="s">
        <v>200</v>
      </c>
      <c r="B20" s="137" t="s">
        <v>210</v>
      </c>
      <c r="C20" s="121" t="str">
        <f>VLOOKUP($B20,Totalt!$B$1:$BU$497,MATCH("Kvalitetsgranskad:",Totalt!$B$1:$BU$1,0),FALSE)</f>
        <v>Ja</v>
      </c>
      <c r="E20" s="121" t="str">
        <f>VLOOKUP($B20,Miljö!$B$1:$AG$479,MATCH(E$1,Miljö!$B$1:$AK$1,0),FALSE)</f>
        <v>Ja</v>
      </c>
      <c r="F20" s="121" t="str">
        <f>VLOOKUP($B20,Miljö!$B$1:$J$479,MATCH("Typ av ursprungsspecificerad el   (Om inget värde anges används Nordisk residualmix, se inforuta) ()",Miljö!$B$1:$J$1,0),FALSE)</f>
        <v>'Sverige Förnybar El Jämtkraft'</v>
      </c>
      <c r="G20" s="121">
        <f>VLOOKUP($B20,Miljö!$B$1:$J$479,MATCH("Primärenergifaktor ()",Miljö!$B$1:$J$1,0),FALSE)</f>
        <v>1</v>
      </c>
      <c r="H20" s="121">
        <f>VLOOKUP($B20,Miljö!$B$1:$J$479,MATCH("Koldioxidekvivalenter energiomvandling (g/kwh)",Miljö!$B$1:$J$1,0),FALSE)</f>
        <v>0.03</v>
      </c>
      <c r="I20" s="121">
        <f>VLOOKUP($B20,Miljö!$B$1:$J$479,MATCH("Fossilandel för ursprungspecificerad el ()",Miljö!$B$1:$J$1,0),FALSE)</f>
        <v>0</v>
      </c>
      <c r="J20" s="121">
        <f>VLOOKUP($B20,Miljö!$B$1:$J$479,MATCH("Kärnkraftsandel för ursprungsspecificerad el ()",Miljö!$B$1:$J$1,0),FALSE)</f>
        <v>0</v>
      </c>
      <c r="L20" s="121">
        <f>VLOOKUP($B20,Totalt!$B$1:$BU$497,MATCH("total el",Totalt!$B$1:$BU$1,0),FALSE)</f>
        <v>0.02</v>
      </c>
      <c r="N20" s="271">
        <f t="shared" si="0"/>
        <v>0.02</v>
      </c>
      <c r="O20" s="271">
        <f t="shared" si="1"/>
        <v>5.9999999999999995E-4</v>
      </c>
      <c r="P20" s="271">
        <f t="shared" si="2"/>
        <v>0</v>
      </c>
      <c r="Q20" s="271">
        <f t="shared" si="3"/>
        <v>0</v>
      </c>
    </row>
    <row r="21" spans="1:17" x14ac:dyDescent="0.25">
      <c r="A21" s="137" t="s">
        <v>211</v>
      </c>
      <c r="B21" s="137" t="s">
        <v>212</v>
      </c>
      <c r="C21" s="121" t="str">
        <f>VLOOKUP($B21,Totalt!$B$1:$BU$497,MATCH("Kvalitetsgranskad:",Totalt!$B$1:$BU$1,0),FALSE)</f>
        <v>Ja</v>
      </c>
      <c r="E21" s="121" t="str">
        <f>VLOOKUP($B21,Miljö!$B$1:$AG$479,MATCH(E$1,Miljö!$B$1:$AK$1,0),FALSE)</f>
        <v>Ja</v>
      </c>
      <c r="F21" s="121" t="str">
        <f>VLOOKUP($B21,Miljö!$B$1:$J$479,MATCH("Typ av ursprungsspecificerad el   (Om inget värde anges används Nordisk residualmix, se inforuta) ()",Miljö!$B$1:$J$1,0),FALSE)</f>
        <v>''Förnybar el "guarantee of origin"''</v>
      </c>
      <c r="G21" s="121">
        <f>VLOOKUP($B21,Miljö!$B$1:$J$479,MATCH("Primärenergifaktor ()",Miljö!$B$1:$J$1,0),FALSE)</f>
        <v>1.1000000000000001</v>
      </c>
      <c r="H21" s="121">
        <f>VLOOKUP($B21,Miljö!$B$1:$J$479,MATCH("Koldioxidekvivalenter energiomvandling (g/kwh)",Miljö!$B$1:$J$1,0),FALSE)</f>
        <v>0</v>
      </c>
      <c r="I21" s="121">
        <f>VLOOKUP($B21,Miljö!$B$1:$J$479,MATCH("Fossilandel för ursprungspecificerad el ()",Miljö!$B$1:$J$1,0),FALSE)</f>
        <v>0</v>
      </c>
      <c r="J21" s="121">
        <f>VLOOKUP($B21,Miljö!$B$1:$J$479,MATCH("Kärnkraftsandel för ursprungsspecificerad el ()",Miljö!$B$1:$J$1,0),FALSE)</f>
        <v>0</v>
      </c>
      <c r="L21" s="121">
        <f>VLOOKUP($B21,Totalt!$B$1:$BU$497,MATCH("total el",Totalt!$B$1:$BU$1,0),FALSE)</f>
        <v>1.4E-2</v>
      </c>
      <c r="N21" s="271">
        <f t="shared" si="0"/>
        <v>1.5400000000000002E-2</v>
      </c>
      <c r="O21" s="271">
        <f t="shared" si="1"/>
        <v>0</v>
      </c>
      <c r="P21" s="271">
        <f t="shared" si="2"/>
        <v>0</v>
      </c>
      <c r="Q21" s="271">
        <f t="shared" si="3"/>
        <v>0</v>
      </c>
    </row>
    <row r="22" spans="1:17" x14ac:dyDescent="0.25">
      <c r="A22" s="137" t="s">
        <v>211</v>
      </c>
      <c r="B22" s="137" t="s">
        <v>213</v>
      </c>
      <c r="C22" s="121" t="str">
        <f>VLOOKUP($B22,Totalt!$B$1:$BU$497,MATCH("Kvalitetsgranskad:",Totalt!$B$1:$BU$1,0),FALSE)</f>
        <v>Ja</v>
      </c>
      <c r="E22" s="121" t="str">
        <f>VLOOKUP($B22,Miljö!$B$1:$AG$479,MATCH(E$1,Miljö!$B$1:$AK$1,0),FALSE)</f>
        <v>Ja</v>
      </c>
      <c r="F22" s="121" t="str">
        <f>VLOOKUP($B22,Miljö!$B$1:$J$479,MATCH("Typ av ursprungsspecificerad el   (Om inget värde anges används Nordisk residualmix, se inforuta) ()",Miljö!$B$1:$J$1,0),FALSE)</f>
        <v>''förnybar el "guarantee of origin"''</v>
      </c>
      <c r="G22" s="121">
        <f>VLOOKUP($B22,Miljö!$B$1:$J$479,MATCH("Primärenergifaktor ()",Miljö!$B$1:$J$1,0),FALSE)</f>
        <v>1.1000000000000001</v>
      </c>
      <c r="H22" s="121">
        <f>VLOOKUP($B22,Miljö!$B$1:$J$479,MATCH("Koldioxidekvivalenter energiomvandling (g/kwh)",Miljö!$B$1:$J$1,0),FALSE)</f>
        <v>0</v>
      </c>
      <c r="I22" s="121">
        <f>VLOOKUP($B22,Miljö!$B$1:$J$479,MATCH("Fossilandel för ursprungspecificerad el ()",Miljö!$B$1:$J$1,0),FALSE)</f>
        <v>0</v>
      </c>
      <c r="J22" s="121">
        <f>VLOOKUP($B22,Miljö!$B$1:$J$479,MATCH("Kärnkraftsandel för ursprungsspecificerad el ()",Miljö!$B$1:$J$1,0),FALSE)</f>
        <v>0</v>
      </c>
      <c r="L22" s="121">
        <f>VLOOKUP($B22,Totalt!$B$1:$BU$497,MATCH("total el",Totalt!$B$1:$BU$1,0),FALSE)</f>
        <v>0.104</v>
      </c>
      <c r="N22" s="271">
        <f t="shared" si="0"/>
        <v>0.1144</v>
      </c>
      <c r="O22" s="271">
        <f t="shared" si="1"/>
        <v>0</v>
      </c>
      <c r="P22" s="271">
        <f t="shared" si="2"/>
        <v>0</v>
      </c>
      <c r="Q22" s="271">
        <f t="shared" si="3"/>
        <v>0</v>
      </c>
    </row>
    <row r="23" spans="1:17" x14ac:dyDescent="0.25">
      <c r="A23" s="137" t="s">
        <v>211</v>
      </c>
      <c r="B23" s="137" t="s">
        <v>214</v>
      </c>
      <c r="C23" s="121" t="str">
        <f>VLOOKUP($B23,Totalt!$B$1:$BU$497,MATCH("Kvalitetsgranskad:",Totalt!$B$1:$BU$1,0),FALSE)</f>
        <v>Ja</v>
      </c>
      <c r="E23" s="121" t="str">
        <f>VLOOKUP($B23,Miljö!$B$1:$AG$479,MATCH(E$1,Miljö!$B$1:$AK$1,0),FALSE)</f>
        <v>Ja</v>
      </c>
      <c r="F23" s="121" t="str">
        <f>VLOOKUP($B23,Miljö!$B$1:$J$479,MATCH("Typ av ursprungsspecificerad el   (Om inget värde anges används Nordisk residualmix, se inforuta) ()",Miljö!$B$1:$J$1,0),FALSE)</f>
        <v>''förnybar el "guarantee of origin"''</v>
      </c>
      <c r="G23" s="121">
        <f>VLOOKUP($B23,Miljö!$B$1:$J$479,MATCH("Primärenergifaktor ()",Miljö!$B$1:$J$1,0),FALSE)</f>
        <v>1.1100000000000001</v>
      </c>
      <c r="H23" s="121">
        <f>VLOOKUP($B23,Miljö!$B$1:$J$479,MATCH("Koldioxidekvivalenter energiomvandling (g/kwh)",Miljö!$B$1:$J$1,0),FALSE)</f>
        <v>0</v>
      </c>
      <c r="I23" s="121">
        <f>VLOOKUP($B23,Miljö!$B$1:$J$479,MATCH("Fossilandel för ursprungspecificerad el ()",Miljö!$B$1:$J$1,0),FALSE)</f>
        <v>0</v>
      </c>
      <c r="J23" s="121">
        <f>VLOOKUP($B23,Miljö!$B$1:$J$479,MATCH("Kärnkraftsandel för ursprungsspecificerad el ()",Miljö!$B$1:$J$1,0),FALSE)</f>
        <v>0</v>
      </c>
      <c r="L23" s="121">
        <f>VLOOKUP($B23,Totalt!$B$1:$BU$497,MATCH("total el",Totalt!$B$1:$BU$1,0),FALSE)</f>
        <v>9.6985799999999998</v>
      </c>
      <c r="N23" s="271">
        <f t="shared" si="0"/>
        <v>10.765423800000001</v>
      </c>
      <c r="O23" s="271">
        <f t="shared" si="1"/>
        <v>0</v>
      </c>
      <c r="P23" s="271">
        <f t="shared" si="2"/>
        <v>0</v>
      </c>
      <c r="Q23" s="271">
        <f t="shared" si="3"/>
        <v>0</v>
      </c>
    </row>
    <row r="24" spans="1:17" x14ac:dyDescent="0.25">
      <c r="A24" s="137" t="s">
        <v>211</v>
      </c>
      <c r="B24" s="137" t="s">
        <v>215</v>
      </c>
      <c r="C24" s="121" t="str">
        <f>VLOOKUP($B24,Totalt!$B$1:$BU$497,MATCH("Kvalitetsgranskad:",Totalt!$B$1:$BU$1,0),FALSE)</f>
        <v>Ja</v>
      </c>
      <c r="E24" s="121" t="str">
        <f>VLOOKUP($B24,Miljö!$B$1:$AG$479,MATCH(E$1,Miljö!$B$1:$AK$1,0),FALSE)</f>
        <v>Ja</v>
      </c>
      <c r="F24" s="121" t="str">
        <f>VLOOKUP($B24,Miljö!$B$1:$J$479,MATCH("Typ av ursprungsspecificerad el   (Om inget värde anges används Nordisk residualmix, se inforuta) ()",Miljö!$B$1:$J$1,0),FALSE)</f>
        <v>''förnybar el "guarantee of origin"''</v>
      </c>
      <c r="G24" s="121">
        <f>VLOOKUP($B24,Miljö!$B$1:$J$479,MATCH("Primärenergifaktor ()",Miljö!$B$1:$J$1,0),FALSE)</f>
        <v>1.1000000000000001</v>
      </c>
      <c r="H24" s="121">
        <f>VLOOKUP($B24,Miljö!$B$1:$J$479,MATCH("Koldioxidekvivalenter energiomvandling (g/kwh)",Miljö!$B$1:$J$1,0),FALSE)</f>
        <v>0</v>
      </c>
      <c r="I24" s="121">
        <f>VLOOKUP($B24,Miljö!$B$1:$J$479,MATCH("Fossilandel för ursprungspecificerad el ()",Miljö!$B$1:$J$1,0),FALSE)</f>
        <v>0</v>
      </c>
      <c r="J24" s="121">
        <f>VLOOKUP($B24,Miljö!$B$1:$J$479,MATCH("Kärnkraftsandel för ursprungsspecificerad el ()",Miljö!$B$1:$J$1,0),FALSE)</f>
        <v>0</v>
      </c>
      <c r="L24" s="121">
        <f>VLOOKUP($B24,Totalt!$B$1:$BU$497,MATCH("total el",Totalt!$B$1:$BU$1,0),FALSE)</f>
        <v>0.112</v>
      </c>
      <c r="N24" s="271">
        <f t="shared" si="0"/>
        <v>0.12320000000000002</v>
      </c>
      <c r="O24" s="271">
        <f t="shared" si="1"/>
        <v>0</v>
      </c>
      <c r="P24" s="271">
        <f t="shared" si="2"/>
        <v>0</v>
      </c>
      <c r="Q24" s="271">
        <f t="shared" si="3"/>
        <v>0</v>
      </c>
    </row>
    <row r="25" spans="1:17" x14ac:dyDescent="0.25">
      <c r="A25" s="137" t="s">
        <v>211</v>
      </c>
      <c r="B25" s="137" t="s">
        <v>216</v>
      </c>
      <c r="C25" s="121" t="str">
        <f>VLOOKUP($B25,Totalt!$B$1:$BU$497,MATCH("Kvalitetsgranskad:",Totalt!$B$1:$BU$1,0),FALSE)</f>
        <v>Ja</v>
      </c>
      <c r="E25" s="121" t="str">
        <f>VLOOKUP($B25,Miljö!$B$1:$AG$479,MATCH(E$1,Miljö!$B$1:$AK$1,0),FALSE)</f>
        <v>Ja</v>
      </c>
      <c r="F25" s="121" t="str">
        <f>VLOOKUP($B25,Miljö!$B$1:$J$479,MATCH("Typ av ursprungsspecificerad el   (Om inget värde anges används Nordisk residualmix, se inforuta) ()",Miljö!$B$1:$J$1,0),FALSE)</f>
        <v>''förnybar el "guarantee of origin"'</v>
      </c>
      <c r="G25" s="121">
        <f>VLOOKUP($B25,Miljö!$B$1:$J$479,MATCH("Primärenergifaktor ()",Miljö!$B$1:$J$1,0),FALSE)</f>
        <v>1.1000000000000001</v>
      </c>
      <c r="H25" s="121">
        <f>VLOOKUP($B25,Miljö!$B$1:$J$479,MATCH("Koldioxidekvivalenter energiomvandling (g/kwh)",Miljö!$B$1:$J$1,0),FALSE)</f>
        <v>0</v>
      </c>
      <c r="I25" s="121">
        <f>VLOOKUP($B25,Miljö!$B$1:$J$479,MATCH("Fossilandel för ursprungspecificerad el ()",Miljö!$B$1:$J$1,0),FALSE)</f>
        <v>0</v>
      </c>
      <c r="J25" s="121">
        <f>VLOOKUP($B25,Miljö!$B$1:$J$479,MATCH("Kärnkraftsandel för ursprungsspecificerad el ()",Miljö!$B$1:$J$1,0),FALSE)</f>
        <v>0</v>
      </c>
      <c r="L25" s="121">
        <f>VLOOKUP($B25,Totalt!$B$1:$BU$497,MATCH("total el",Totalt!$B$1:$BU$1,0),FALSE)</f>
        <v>6.8000000000000005E-2</v>
      </c>
      <c r="N25" s="271">
        <f t="shared" si="0"/>
        <v>7.4800000000000005E-2</v>
      </c>
      <c r="O25" s="271">
        <f t="shared" si="1"/>
        <v>0</v>
      </c>
      <c r="P25" s="271">
        <f t="shared" si="2"/>
        <v>0</v>
      </c>
      <c r="Q25" s="271">
        <f t="shared" si="3"/>
        <v>0</v>
      </c>
    </row>
    <row r="26" spans="1:17" x14ac:dyDescent="0.25">
      <c r="A26" s="137" t="s">
        <v>217</v>
      </c>
      <c r="B26" s="137" t="s">
        <v>218</v>
      </c>
      <c r="C26" s="121" t="str">
        <f>VLOOKUP($B26,Totalt!$B$1:$BU$497,MATCH("Kvalitetsgranskad:",Totalt!$B$1:$BU$1,0),FALSE)</f>
        <v>Ja</v>
      </c>
      <c r="E26" s="121" t="str">
        <f>VLOOKUP($B26,Miljö!$B$1:$AG$479,MATCH(E$1,Miljö!$B$1:$AK$1,0),FALSE)</f>
        <v>Ja</v>
      </c>
      <c r="F26" s="121" t="str">
        <f>VLOOKUP($B26,Miljö!$B$1:$J$479,MATCH("Typ av ursprungsspecificerad el   (Om inget värde anges används Nordisk residualmix, se inforuta) ()",Miljö!$B$1:$J$1,0),FALSE)</f>
        <v>'85.9% Vind och 14.1% vattenkraft'</v>
      </c>
      <c r="G26" s="121">
        <f>VLOOKUP($B26,Miljö!$B$1:$J$479,MATCH("Primärenergifaktor ()",Miljö!$B$1:$J$1,0),FALSE)</f>
        <v>0.18</v>
      </c>
      <c r="H26" s="121">
        <f>VLOOKUP($B26,Miljö!$B$1:$J$479,MATCH("Koldioxidekvivalenter energiomvandling (g/kwh)",Miljö!$B$1:$J$1,0),FALSE)</f>
        <v>0</v>
      </c>
      <c r="I26" s="121">
        <f>VLOOKUP($B26,Miljö!$B$1:$J$479,MATCH("Fossilandel för ursprungspecificerad el ()",Miljö!$B$1:$J$1,0),FALSE)</f>
        <v>0</v>
      </c>
      <c r="J26" s="121">
        <f>VLOOKUP($B26,Miljö!$B$1:$J$479,MATCH("Kärnkraftsandel för ursprungsspecificerad el ()",Miljö!$B$1:$J$1,0),FALSE)</f>
        <v>0</v>
      </c>
      <c r="L26" s="121">
        <f>VLOOKUP($B26,Totalt!$B$1:$BU$497,MATCH("total el",Totalt!$B$1:$BU$1,0),FALSE)</f>
        <v>3.2</v>
      </c>
      <c r="N26" s="271">
        <f t="shared" si="0"/>
        <v>0.57599999999999996</v>
      </c>
      <c r="O26" s="271">
        <f t="shared" si="1"/>
        <v>0</v>
      </c>
      <c r="P26" s="271">
        <f t="shared" si="2"/>
        <v>0</v>
      </c>
      <c r="Q26" s="271">
        <f t="shared" si="3"/>
        <v>0</v>
      </c>
    </row>
    <row r="27" spans="1:17" x14ac:dyDescent="0.25">
      <c r="A27" s="137" t="s">
        <v>220</v>
      </c>
      <c r="B27" s="137" t="s">
        <v>221</v>
      </c>
      <c r="C27" s="121" t="str">
        <f>VLOOKUP($B27,Totalt!$B$1:$BU$497,MATCH("Kvalitetsgranskad:",Totalt!$B$1:$BU$1,0),FALSE)</f>
        <v>Ja</v>
      </c>
      <c r="E27" s="121" t="str">
        <f>VLOOKUP($B27,Miljö!$B$1:$AG$479,MATCH(E$1,Miljö!$B$1:$AK$1,0),FALSE)</f>
        <v>Ja</v>
      </c>
      <c r="F27" s="121" t="str">
        <f>VLOOKUP($B27,Miljö!$B$1:$J$479,MATCH("Typ av ursprungsspecificerad el   (Om inget värde anges används Nordisk residualmix, se inforuta) ()",Miljö!$B$1:$J$1,0),FALSE)</f>
        <v>'Nordisk elmix'</v>
      </c>
      <c r="G27" s="121">
        <f>VLOOKUP($B27,Miljö!$B$1:$J$479,MATCH("Primärenergifaktor ()",Miljö!$B$1:$J$1,0),FALSE)</f>
        <v>2.2999999999999998</v>
      </c>
      <c r="H27" s="121">
        <f>VLOOKUP($B27,Miljö!$B$1:$J$479,MATCH("Koldioxidekvivalenter energiomvandling (g/kwh)",Miljö!$B$1:$J$1,0),FALSE)</f>
        <v>329.19</v>
      </c>
      <c r="I27" s="121">
        <f>VLOOKUP($B27,Miljö!$B$1:$J$479,MATCH("Fossilandel för ursprungspecificerad el ()",Miljö!$B$1:$J$1,0),FALSE)</f>
        <v>0.42799999999999999</v>
      </c>
      <c r="J27" s="121">
        <f>VLOOKUP($B27,Miljö!$B$1:$J$479,MATCH("Kärnkraftsandel för ursprungsspecificerad el ()",Miljö!$B$1:$J$1,0),FALSE)</f>
        <v>0.40500000000000003</v>
      </c>
      <c r="L27" s="121">
        <f>VLOOKUP($B27,Totalt!$B$1:$BU$497,MATCH("total el",Totalt!$B$1:$BU$1,0),FALSE)</f>
        <v>1.6791</v>
      </c>
      <c r="N27" s="271">
        <f t="shared" si="0"/>
        <v>3.8619299999999996</v>
      </c>
      <c r="O27" s="271">
        <f t="shared" si="1"/>
        <v>552.742929</v>
      </c>
      <c r="P27" s="271">
        <f t="shared" si="2"/>
        <v>0.71865480000000004</v>
      </c>
      <c r="Q27" s="271">
        <f t="shared" si="3"/>
        <v>0.68003550000000001</v>
      </c>
    </row>
    <row r="28" spans="1:17" x14ac:dyDescent="0.25">
      <c r="A28" s="137" t="s">
        <v>220</v>
      </c>
      <c r="B28" s="137" t="s">
        <v>222</v>
      </c>
      <c r="C28" s="121" t="str">
        <f>VLOOKUP($B28,Totalt!$B$1:$BU$497,MATCH("Kvalitetsgranskad:",Totalt!$B$1:$BU$1,0),FALSE)</f>
        <v>Ja</v>
      </c>
      <c r="E28" s="121" t="str">
        <f>VLOOKUP($B28,Miljö!$B$1:$AG$479,MATCH(E$1,Miljö!$B$1:$AK$1,0),FALSE)</f>
        <v>Ja</v>
      </c>
      <c r="F28" s="121" t="str">
        <f>VLOOKUP($B28,Miljö!$B$1:$J$479,MATCH("Typ av ursprungsspecificerad el   (Om inget värde anges används Nordisk residualmix, se inforuta) ()",Miljö!$B$1:$J$1,0),FALSE)</f>
        <v>'Nordisk Elmix'</v>
      </c>
      <c r="G28" s="121">
        <f>VLOOKUP($B28,Miljö!$B$1:$J$479,MATCH("Primärenergifaktor ()",Miljö!$B$1:$J$1,0),FALSE)</f>
        <v>2.2999999999999998</v>
      </c>
      <c r="H28" s="121">
        <f>VLOOKUP($B28,Miljö!$B$1:$J$479,MATCH("Koldioxidekvivalenter energiomvandling (g/kwh)",Miljö!$B$1:$J$1,0),FALSE)</f>
        <v>329.19</v>
      </c>
      <c r="I28" s="121">
        <f>VLOOKUP($B28,Miljö!$B$1:$J$479,MATCH("Fossilandel för ursprungspecificerad el ()",Miljö!$B$1:$J$1,0),FALSE)</f>
        <v>0.42799999999999999</v>
      </c>
      <c r="J28" s="121">
        <f>VLOOKUP($B28,Miljö!$B$1:$J$479,MATCH("Kärnkraftsandel för ursprungsspecificerad el ()",Miljö!$B$1:$J$1,0),FALSE)</f>
        <v>0.40500000000000003</v>
      </c>
      <c r="L28" s="121">
        <f>VLOOKUP($B28,Totalt!$B$1:$BU$497,MATCH("total el",Totalt!$B$1:$BU$1,0),FALSE)</f>
        <v>0.3201</v>
      </c>
      <c r="N28" s="271">
        <f t="shared" si="0"/>
        <v>0.73622999999999994</v>
      </c>
      <c r="O28" s="271">
        <f t="shared" si="1"/>
        <v>105.37371899999999</v>
      </c>
      <c r="P28" s="271">
        <f t="shared" si="2"/>
        <v>0.13700280000000001</v>
      </c>
      <c r="Q28" s="271">
        <f t="shared" si="3"/>
        <v>0.12964050000000002</v>
      </c>
    </row>
    <row r="29" spans="1:17" x14ac:dyDescent="0.25">
      <c r="A29" s="137" t="s">
        <v>220</v>
      </c>
      <c r="B29" s="137" t="s">
        <v>223</v>
      </c>
      <c r="C29" s="121" t="str">
        <f>VLOOKUP($B29,Totalt!$B$1:$BU$497,MATCH("Kvalitetsgranskad:",Totalt!$B$1:$BU$1,0),FALSE)</f>
        <v>Ja</v>
      </c>
      <c r="E29" s="121" t="str">
        <f>VLOOKUP($B29,Miljö!$B$1:$AG$479,MATCH(E$1,Miljö!$B$1:$AK$1,0),FALSE)</f>
        <v>Ja</v>
      </c>
      <c r="F29" s="121" t="str">
        <f>VLOOKUP($B29,Miljö!$B$1:$J$479,MATCH("Typ av ursprungsspecificerad el   (Om inget värde anges används Nordisk residualmix, se inforuta) ()",Miljö!$B$1:$J$1,0),FALSE)</f>
        <v>'Nordisk Elmix'</v>
      </c>
      <c r="G29" s="121">
        <f>VLOOKUP($B29,Miljö!$B$1:$J$479,MATCH("Primärenergifaktor ()",Miljö!$B$1:$J$1,0),FALSE)</f>
        <v>2.2999999999999998</v>
      </c>
      <c r="H29" s="121">
        <f>VLOOKUP($B29,Miljö!$B$1:$J$479,MATCH("Koldioxidekvivalenter energiomvandling (g/kwh)",Miljö!$B$1:$J$1,0),FALSE)</f>
        <v>329.19</v>
      </c>
      <c r="I29" s="121">
        <f>VLOOKUP($B29,Miljö!$B$1:$J$479,MATCH("Fossilandel för ursprungspecificerad el ()",Miljö!$B$1:$J$1,0),FALSE)</f>
        <v>0.42799999999999999</v>
      </c>
      <c r="J29" s="121">
        <f>VLOOKUP($B29,Miljö!$B$1:$J$479,MATCH("Kärnkraftsandel för ursprungsspecificerad el ()",Miljö!$B$1:$J$1,0),FALSE)</f>
        <v>0.40500000000000003</v>
      </c>
      <c r="L29" s="121">
        <f>VLOOKUP($B29,Totalt!$B$1:$BU$497,MATCH("total el",Totalt!$B$1:$BU$1,0),FALSE)</f>
        <v>0.3201</v>
      </c>
      <c r="N29" s="271">
        <f t="shared" si="0"/>
        <v>0.73622999999999994</v>
      </c>
      <c r="O29" s="271">
        <f t="shared" si="1"/>
        <v>105.37371899999999</v>
      </c>
      <c r="P29" s="271">
        <f t="shared" si="2"/>
        <v>0.13700280000000001</v>
      </c>
      <c r="Q29" s="271">
        <f t="shared" si="3"/>
        <v>0.12964050000000002</v>
      </c>
    </row>
    <row r="30" spans="1:17" x14ac:dyDescent="0.25">
      <c r="A30" s="137" t="s">
        <v>224</v>
      </c>
      <c r="B30" s="137" t="s">
        <v>225</v>
      </c>
      <c r="C30" s="121" t="str">
        <f>VLOOKUP($B30,Totalt!$B$1:$BU$497,MATCH("Kvalitetsgranskad:",Totalt!$B$1:$BU$1,0),FALSE)</f>
        <v>Ja</v>
      </c>
      <c r="E30" s="121" t="str">
        <f>VLOOKUP($B30,Miljö!$B$1:$AG$479,MATCH(E$1,Miljö!$B$1:$AK$1,0),FALSE)</f>
        <v>Ja</v>
      </c>
      <c r="F30" s="121" t="str">
        <f>VLOOKUP($B30,Miljö!$B$1:$J$479,MATCH("Typ av ursprungsspecificerad el   (Om inget värde anges används Nordisk residualmix, se inforuta) ()",Miljö!$B$1:$J$1,0),FALSE)</f>
        <v>'Bra miljöval'</v>
      </c>
      <c r="G30" s="121">
        <f>VLOOKUP($B30,Miljö!$B$1:$J$479,MATCH("Primärenergifaktor ()",Miljö!$B$1:$J$1,0),FALSE)</f>
        <v>1.1000000000000001</v>
      </c>
      <c r="H30" s="121">
        <f>VLOOKUP($B30,Miljö!$B$1:$J$479,MATCH("Koldioxidekvivalenter energiomvandling (g/kwh)",Miljö!$B$1:$J$1,0),FALSE)</f>
        <v>0</v>
      </c>
      <c r="I30" s="121">
        <f>VLOOKUP($B30,Miljö!$B$1:$J$479,MATCH("Fossilandel för ursprungspecificerad el ()",Miljö!$B$1:$J$1,0),FALSE)</f>
        <v>0</v>
      </c>
      <c r="J30" s="121">
        <f>VLOOKUP($B30,Miljö!$B$1:$J$479,MATCH("Kärnkraftsandel för ursprungsspecificerad el ()",Miljö!$B$1:$J$1,0),FALSE)</f>
        <v>0</v>
      </c>
      <c r="L30" s="121">
        <f>VLOOKUP($B30,Totalt!$B$1:$BU$497,MATCH("total el",Totalt!$B$1:$BU$1,0),FALSE)</f>
        <v>0.56999999999999995</v>
      </c>
      <c r="N30" s="271">
        <f t="shared" si="0"/>
        <v>0.627</v>
      </c>
      <c r="O30" s="271">
        <f t="shared" si="1"/>
        <v>0</v>
      </c>
      <c r="P30" s="271">
        <f t="shared" si="2"/>
        <v>0</v>
      </c>
      <c r="Q30" s="271">
        <f t="shared" si="3"/>
        <v>0</v>
      </c>
    </row>
    <row r="31" spans="1:17" x14ac:dyDescent="0.25">
      <c r="A31" s="137" t="s">
        <v>226</v>
      </c>
      <c r="B31" s="137" t="s">
        <v>227</v>
      </c>
      <c r="C31" s="121" t="str">
        <f>VLOOKUP($B31,Totalt!$B$1:$BU$497,MATCH("Kvalitetsgranskad:",Totalt!$B$1:$BU$1,0),FALSE)</f>
        <v>Ja</v>
      </c>
      <c r="E31" s="121" t="str">
        <f>VLOOKUP($B31,Miljö!$B$1:$AG$479,MATCH(E$1,Miljö!$B$1:$AK$1,0),FALSE)</f>
        <v>Ja</v>
      </c>
      <c r="F31" s="121" t="str">
        <f>VLOOKUP($B31,Miljö!$B$1:$J$479,MATCH("Typ av ursprungsspecificerad el   (Om inget värde anges används Nordisk residualmix, se inforuta) ()",Miljö!$B$1:$J$1,0),FALSE)</f>
        <v>'Vattenkraft'</v>
      </c>
      <c r="G31" s="121">
        <f>VLOOKUP($B31,Miljö!$B$1:$J$479,MATCH("Primärenergifaktor ()",Miljö!$B$1:$J$1,0),FALSE)</f>
        <v>1.1000000000000001</v>
      </c>
      <c r="H31" s="121">
        <f>VLOOKUP($B31,Miljö!$B$1:$J$479,MATCH("Koldioxidekvivalenter energiomvandling (g/kwh)",Miljö!$B$1:$J$1,0),FALSE)</f>
        <v>0</v>
      </c>
      <c r="I31" s="121">
        <f>VLOOKUP($B31,Miljö!$B$1:$J$479,MATCH("Fossilandel för ursprungspecificerad el ()",Miljö!$B$1:$J$1,0),FALSE)</f>
        <v>0</v>
      </c>
      <c r="J31" s="121">
        <f>VLOOKUP($B31,Miljö!$B$1:$J$479,MATCH("Kärnkraftsandel för ursprungsspecificerad el ()",Miljö!$B$1:$J$1,0),FALSE)</f>
        <v>0</v>
      </c>
      <c r="L31" s="121">
        <f>VLOOKUP($B31,Totalt!$B$1:$BU$497,MATCH("total el",Totalt!$B$1:$BU$1,0),FALSE)</f>
        <v>3.44</v>
      </c>
      <c r="N31" s="271">
        <f t="shared" si="0"/>
        <v>3.7840000000000003</v>
      </c>
      <c r="O31" s="271">
        <f t="shared" si="1"/>
        <v>0</v>
      </c>
      <c r="P31" s="271">
        <f t="shared" si="2"/>
        <v>0</v>
      </c>
      <c r="Q31" s="271">
        <f t="shared" si="3"/>
        <v>0</v>
      </c>
    </row>
    <row r="32" spans="1:17" x14ac:dyDescent="0.25">
      <c r="A32" s="137" t="s">
        <v>228</v>
      </c>
      <c r="B32" s="137" t="s">
        <v>229</v>
      </c>
      <c r="C32" s="121" t="str">
        <f>VLOOKUP($B32,Totalt!$B$1:$BU$497,MATCH("Kvalitetsgranskad:",Totalt!$B$1:$BU$1,0),FALSE)</f>
        <v>Ja</v>
      </c>
      <c r="E32" s="121" t="str">
        <f>VLOOKUP($B32,Miljö!$B$1:$AG$479,MATCH(E$1,Miljö!$B$1:$AK$1,0),FALSE)</f>
        <v>Ja</v>
      </c>
      <c r="F32" s="121" t="str">
        <f>VLOOKUP($B32,Miljö!$B$1:$J$479,MATCH("Typ av ursprungsspecificerad el   (Om inget värde anges används Nordisk residualmix, se inforuta) ()",Miljö!$B$1:$J$1,0),FALSE)</f>
        <v>'vattenkraft'</v>
      </c>
      <c r="G32" s="121">
        <f>VLOOKUP($B32,Miljö!$B$1:$J$479,MATCH("Primärenergifaktor ()",Miljö!$B$1:$J$1,0),FALSE)</f>
        <v>1.1000000000000001</v>
      </c>
      <c r="H32" s="121">
        <f>VLOOKUP($B32,Miljö!$B$1:$J$479,MATCH("Koldioxidekvivalenter energiomvandling (g/kwh)",Miljö!$B$1:$J$1,0),FALSE)</f>
        <v>329.19</v>
      </c>
      <c r="I32" s="121">
        <f>VLOOKUP($B32,Miljö!$B$1:$J$479,MATCH("Fossilandel för ursprungspecificerad el ()",Miljö!$B$1:$J$1,0),FALSE)</f>
        <v>0</v>
      </c>
      <c r="J32" s="121">
        <f>VLOOKUP($B32,Miljö!$B$1:$J$479,MATCH("Kärnkraftsandel för ursprungsspecificerad el ()",Miljö!$B$1:$J$1,0),FALSE)</f>
        <v>0</v>
      </c>
      <c r="L32" s="121">
        <f>VLOOKUP($B32,Totalt!$B$1:$BU$497,MATCH("total el",Totalt!$B$1:$BU$1,0),FALSE)</f>
        <v>0.06</v>
      </c>
      <c r="N32" s="271">
        <f t="shared" si="0"/>
        <v>6.6000000000000003E-2</v>
      </c>
      <c r="O32" s="271">
        <f t="shared" si="1"/>
        <v>19.7514</v>
      </c>
      <c r="P32" s="271">
        <f t="shared" si="2"/>
        <v>0</v>
      </c>
      <c r="Q32" s="271">
        <f t="shared" si="3"/>
        <v>0</v>
      </c>
    </row>
    <row r="33" spans="1:17" x14ac:dyDescent="0.25">
      <c r="A33" s="137" t="s">
        <v>230</v>
      </c>
      <c r="B33" s="137" t="s">
        <v>66</v>
      </c>
      <c r="C33" s="121" t="str">
        <f>VLOOKUP($B33,Totalt!$B$1:$BU$497,MATCH("Kvalitetsgranskad:",Totalt!$B$1:$BU$1,0),FALSE)</f>
        <v>Ja</v>
      </c>
      <c r="E33" s="121" t="str">
        <f>VLOOKUP($B33,Miljö!$B$1:$AG$479,MATCH(E$1,Miljö!$B$1:$AK$1,0),FALSE)</f>
        <v>Nej</v>
      </c>
      <c r="F33" s="121" t="str">
        <f>VLOOKUP($B33,Miljö!$B$1:$J$479,MATCH("Typ av ursprungsspecificerad el   (Om inget värde anges används Nordisk residualmix, se inforuta) ()",Miljö!$B$1:$J$1,0),FALSE)</f>
        <v>'Nordisk residualmix'</v>
      </c>
      <c r="G33" s="121">
        <f>VLOOKUP($B33,Miljö!$B$1:$J$479,MATCH("Primärenergifaktor ()",Miljö!$B$1:$J$1,0),FALSE)</f>
        <v>2.2999999999999998</v>
      </c>
      <c r="H33" s="121">
        <f>VLOOKUP($B33,Miljö!$B$1:$J$479,MATCH("Koldioxidekvivalenter energiomvandling (g/kwh)",Miljö!$B$1:$J$1,0),FALSE)</f>
        <v>329.19</v>
      </c>
      <c r="I33" s="121">
        <f>VLOOKUP($B33,Miljö!$B$1:$J$479,MATCH("Fossilandel för ursprungspecificerad el ()",Miljö!$B$1:$J$1,0),FALSE)</f>
        <v>0.43</v>
      </c>
      <c r="J33" s="121">
        <f>VLOOKUP($B33,Miljö!$B$1:$J$479,MATCH("Kärnkraftsandel för ursprungsspecificerad el ()",Miljö!$B$1:$J$1,0),FALSE)</f>
        <v>0.40550000000000003</v>
      </c>
      <c r="L33" s="121">
        <f>VLOOKUP($B33,Totalt!$B$1:$BU$497,MATCH("total el",Totalt!$B$1:$BU$1,0),FALSE)</f>
        <v>10.1225</v>
      </c>
      <c r="N33" s="271">
        <f t="shared" si="0"/>
        <v>23.281749999999999</v>
      </c>
      <c r="O33" s="271">
        <f t="shared" si="1"/>
        <v>3332.2257750000003</v>
      </c>
      <c r="P33" s="271">
        <f t="shared" si="2"/>
        <v>4.3526750000000005</v>
      </c>
      <c r="Q33" s="271">
        <f t="shared" si="3"/>
        <v>4.1046737500000008</v>
      </c>
    </row>
    <row r="34" spans="1:17" x14ac:dyDescent="0.25">
      <c r="A34" s="137" t="s">
        <v>231</v>
      </c>
      <c r="B34" s="137" t="s">
        <v>232</v>
      </c>
      <c r="C34" s="121" t="str">
        <f>VLOOKUP($B34,Totalt!$B$1:$BU$497,MATCH("Kvalitetsgranskad:",Totalt!$B$1:$BU$1,0),FALSE)</f>
        <v>Ja</v>
      </c>
      <c r="E34" s="121" t="str">
        <f>VLOOKUP($B34,Miljö!$B$1:$AG$479,MATCH(E$1,Miljö!$B$1:$AK$1,0),FALSE)</f>
        <v>Ja</v>
      </c>
      <c r="F34" s="121" t="str">
        <f>VLOOKUP($B34,Miljö!$B$1:$J$479,MATCH("Typ av ursprungsspecificerad el   (Om inget värde anges används Nordisk residualmix, se inforuta) ()",Miljö!$B$1:$J$1,0),FALSE)</f>
        <v>'Vattenkraft'</v>
      </c>
      <c r="G34" s="121">
        <f>VLOOKUP($B34,Miljö!$B$1:$J$479,MATCH("Primärenergifaktor ()",Miljö!$B$1:$J$1,0),FALSE)</f>
        <v>1.1000000000000001</v>
      </c>
      <c r="H34" s="121">
        <f>VLOOKUP($B34,Miljö!$B$1:$J$479,MATCH("Koldioxidekvivalenter energiomvandling (g/kwh)",Miljö!$B$1:$J$1,0),FALSE)</f>
        <v>0</v>
      </c>
      <c r="I34" s="121">
        <f>VLOOKUP($B34,Miljö!$B$1:$J$479,MATCH("Fossilandel för ursprungspecificerad el ()",Miljö!$B$1:$J$1,0),FALSE)</f>
        <v>0</v>
      </c>
      <c r="J34" s="121">
        <f>VLOOKUP($B34,Miljö!$B$1:$J$479,MATCH("Kärnkraftsandel för ursprungsspecificerad el ()",Miljö!$B$1:$J$1,0),FALSE)</f>
        <v>0</v>
      </c>
      <c r="L34" s="121">
        <f>VLOOKUP($B34,Totalt!$B$1:$BU$497,MATCH("total el",Totalt!$B$1:$BU$1,0),FALSE)</f>
        <v>0.33900000000000002</v>
      </c>
      <c r="N34" s="271">
        <f t="shared" si="0"/>
        <v>0.37290000000000006</v>
      </c>
      <c r="O34" s="271">
        <f t="shared" si="1"/>
        <v>0</v>
      </c>
      <c r="P34" s="271">
        <f t="shared" si="2"/>
        <v>0</v>
      </c>
      <c r="Q34" s="271">
        <f t="shared" si="3"/>
        <v>0</v>
      </c>
    </row>
    <row r="35" spans="1:17" x14ac:dyDescent="0.25">
      <c r="A35" s="137" t="s">
        <v>231</v>
      </c>
      <c r="B35" s="137" t="s">
        <v>233</v>
      </c>
      <c r="C35" s="121" t="str">
        <f>VLOOKUP($B35,Totalt!$B$1:$BU$497,MATCH("Kvalitetsgranskad:",Totalt!$B$1:$BU$1,0),FALSE)</f>
        <v>Ja</v>
      </c>
      <c r="E35" s="121" t="str">
        <f>VLOOKUP($B35,Miljö!$B$1:$AG$479,MATCH(E$1,Miljö!$B$1:$AK$1,0),FALSE)</f>
        <v>Ja</v>
      </c>
      <c r="F35" s="121" t="str">
        <f>VLOOKUP($B35,Miljö!$B$1:$J$479,MATCH("Typ av ursprungsspecificerad el   (Om inget värde anges används Nordisk residualmix, se inforuta) ()",Miljö!$B$1:$J$1,0),FALSE)</f>
        <v>'Vattenkraft'</v>
      </c>
      <c r="G35" s="121">
        <f>VLOOKUP($B35,Miljö!$B$1:$J$479,MATCH("Primärenergifaktor ()",Miljö!$B$1:$J$1,0),FALSE)</f>
        <v>1.1000000000000001</v>
      </c>
      <c r="H35" s="121">
        <f>VLOOKUP($B35,Miljö!$B$1:$J$479,MATCH("Koldioxidekvivalenter energiomvandling (g/kwh)",Miljö!$B$1:$J$1,0),FALSE)</f>
        <v>0</v>
      </c>
      <c r="I35" s="121">
        <f>VLOOKUP($B35,Miljö!$B$1:$J$479,MATCH("Fossilandel för ursprungspecificerad el ()",Miljö!$B$1:$J$1,0),FALSE)</f>
        <v>0</v>
      </c>
      <c r="J35" s="121">
        <f>VLOOKUP($B35,Miljö!$B$1:$J$479,MATCH("Kärnkraftsandel för ursprungsspecificerad el ()",Miljö!$B$1:$J$1,0),FALSE)</f>
        <v>0</v>
      </c>
      <c r="L35" s="121">
        <f>VLOOKUP($B35,Totalt!$B$1:$BU$497,MATCH("total el",Totalt!$B$1:$BU$1,0),FALSE)</f>
        <v>6.2804799999999998</v>
      </c>
      <c r="N35" s="271">
        <f t="shared" si="0"/>
        <v>6.9085280000000004</v>
      </c>
      <c r="O35" s="271">
        <f t="shared" si="1"/>
        <v>0</v>
      </c>
      <c r="P35" s="271">
        <f t="shared" si="2"/>
        <v>0</v>
      </c>
      <c r="Q35" s="271">
        <f t="shared" si="3"/>
        <v>0</v>
      </c>
    </row>
    <row r="36" spans="1:17" x14ac:dyDescent="0.25">
      <c r="A36" s="137" t="s">
        <v>231</v>
      </c>
      <c r="B36" s="137" t="s">
        <v>234</v>
      </c>
      <c r="C36" s="121" t="str">
        <f>VLOOKUP($B36,Totalt!$B$1:$BU$497,MATCH("Kvalitetsgranskad:",Totalt!$B$1:$BU$1,0),FALSE)</f>
        <v>Ja</v>
      </c>
      <c r="E36" s="121" t="str">
        <f>VLOOKUP($B36,Miljö!$B$1:$AG$479,MATCH(E$1,Miljö!$B$1:$AK$1,0),FALSE)</f>
        <v>Ja</v>
      </c>
      <c r="F36" s="121" t="str">
        <f>VLOOKUP($B36,Miljö!$B$1:$J$479,MATCH("Typ av ursprungsspecificerad el   (Om inget värde anges används Nordisk residualmix, se inforuta) ()",Miljö!$B$1:$J$1,0),FALSE)</f>
        <v>'Vattenkraft'</v>
      </c>
      <c r="G36" s="121">
        <f>VLOOKUP($B36,Miljö!$B$1:$J$479,MATCH("Primärenergifaktor ()",Miljö!$B$1:$J$1,0),FALSE)</f>
        <v>1.1000000000000001</v>
      </c>
      <c r="H36" s="121">
        <f>VLOOKUP($B36,Miljö!$B$1:$J$479,MATCH("Koldioxidekvivalenter energiomvandling (g/kwh)",Miljö!$B$1:$J$1,0),FALSE)</f>
        <v>0</v>
      </c>
      <c r="I36" s="121">
        <f>VLOOKUP($B36,Miljö!$B$1:$J$479,MATCH("Fossilandel för ursprungspecificerad el ()",Miljö!$B$1:$J$1,0),FALSE)</f>
        <v>0</v>
      </c>
      <c r="J36" s="121">
        <f>VLOOKUP($B36,Miljö!$B$1:$J$479,MATCH("Kärnkraftsandel för ursprungsspecificerad el ()",Miljö!$B$1:$J$1,0),FALSE)</f>
        <v>0</v>
      </c>
      <c r="L36" s="121">
        <f>VLOOKUP($B36,Totalt!$B$1:$BU$497,MATCH("total el",Totalt!$B$1:$BU$1,0),FALSE)</f>
        <v>0.58399999999999996</v>
      </c>
      <c r="N36" s="271">
        <f t="shared" si="0"/>
        <v>0.64239999999999997</v>
      </c>
      <c r="O36" s="271">
        <f t="shared" si="1"/>
        <v>0</v>
      </c>
      <c r="P36" s="271">
        <f t="shared" si="2"/>
        <v>0</v>
      </c>
      <c r="Q36" s="271">
        <f t="shared" si="3"/>
        <v>0</v>
      </c>
    </row>
    <row r="37" spans="1:17" x14ac:dyDescent="0.25">
      <c r="A37" s="137" t="s">
        <v>235</v>
      </c>
      <c r="B37" s="137" t="s">
        <v>236</v>
      </c>
      <c r="C37" s="121" t="str">
        <f>VLOOKUP($B37,Totalt!$B$1:$BU$497,MATCH("Kvalitetsgranskad:",Totalt!$B$1:$BU$1,0),FALSE)</f>
        <v>Ja</v>
      </c>
      <c r="E37" s="121" t="str">
        <f>VLOOKUP($B37,Miljö!$B$1:$AG$479,MATCH(E$1,Miljö!$B$1:$AK$1,0),FALSE)</f>
        <v>Nej</v>
      </c>
      <c r="F37" s="121" t="str">
        <f>VLOOKUP($B37,Miljö!$B$1:$J$479,MATCH("Typ av ursprungsspecificerad el   (Om inget värde anges används Nordisk residualmix, se inforuta) ()",Miljö!$B$1:$J$1,0),FALSE)</f>
        <v>-</v>
      </c>
      <c r="G37" s="121">
        <f>VLOOKUP($B37,Miljö!$B$1:$J$479,MATCH("Primärenergifaktor ()",Miljö!$B$1:$J$1,0),FALSE)</f>
        <v>2.2999999999999998</v>
      </c>
      <c r="H37" s="121">
        <f>VLOOKUP($B37,Miljö!$B$1:$J$479,MATCH("Koldioxidekvivalenter energiomvandling (g/kwh)",Miljö!$B$1:$J$1,0),FALSE)</f>
        <v>329.19</v>
      </c>
      <c r="I37" s="121">
        <f>VLOOKUP($B37,Miljö!$B$1:$J$479,MATCH("Fossilandel för ursprungspecificerad el ()",Miljö!$B$1:$J$1,0),FALSE)</f>
        <v>0.43</v>
      </c>
      <c r="J37" s="121">
        <f>VLOOKUP($B37,Miljö!$B$1:$J$479,MATCH("Kärnkraftsandel för ursprungsspecificerad el ()",Miljö!$B$1:$J$1,0),FALSE)</f>
        <v>0.40550000000000003</v>
      </c>
      <c r="L37" s="121">
        <f>VLOOKUP($B37,Totalt!$B$1:$BU$497,MATCH("total el",Totalt!$B$1:$BU$1,0),FALSE)</f>
        <v>0.75185999999999997</v>
      </c>
      <c r="N37" s="271">
        <f t="shared" si="0"/>
        <v>1.7292779999999999</v>
      </c>
      <c r="O37" s="271">
        <f t="shared" si="1"/>
        <v>247.50479339999998</v>
      </c>
      <c r="P37" s="271">
        <f t="shared" si="2"/>
        <v>0.32329979999999997</v>
      </c>
      <c r="Q37" s="271">
        <f t="shared" si="3"/>
        <v>0.30487923</v>
      </c>
    </row>
    <row r="38" spans="1:17" x14ac:dyDescent="0.25">
      <c r="A38" s="137" t="s">
        <v>235</v>
      </c>
      <c r="B38" s="137" t="s">
        <v>237</v>
      </c>
      <c r="C38" s="121" t="str">
        <f>VLOOKUP($B38,Totalt!$B$1:$BU$497,MATCH("Kvalitetsgranskad:",Totalt!$B$1:$BU$1,0),FALSE)</f>
        <v>Ja</v>
      </c>
      <c r="E38" s="121" t="str">
        <f>VLOOKUP($B38,Miljö!$B$1:$AG$479,MATCH(E$1,Miljö!$B$1:$AK$1,0),FALSE)</f>
        <v>Nej</v>
      </c>
      <c r="F38" s="121" t="str">
        <f>VLOOKUP($B38,Miljö!$B$1:$J$479,MATCH("Typ av ursprungsspecificerad el   (Om inget värde anges används Nordisk residualmix, se inforuta) ()",Miljö!$B$1:$J$1,0),FALSE)</f>
        <v>-</v>
      </c>
      <c r="G38" s="121">
        <f>VLOOKUP($B38,Miljö!$B$1:$J$479,MATCH("Primärenergifaktor ()",Miljö!$B$1:$J$1,0),FALSE)</f>
        <v>2.2999999999999998</v>
      </c>
      <c r="H38" s="121">
        <f>VLOOKUP($B38,Miljö!$B$1:$J$479,MATCH("Koldioxidekvivalenter energiomvandling (g/kwh)",Miljö!$B$1:$J$1,0),FALSE)</f>
        <v>329.19</v>
      </c>
      <c r="I38" s="121">
        <f>VLOOKUP($B38,Miljö!$B$1:$J$479,MATCH("Fossilandel för ursprungspecificerad el ()",Miljö!$B$1:$J$1,0),FALSE)</f>
        <v>0.43</v>
      </c>
      <c r="J38" s="121">
        <f>VLOOKUP($B38,Miljö!$B$1:$J$479,MATCH("Kärnkraftsandel för ursprungsspecificerad el ()",Miljö!$B$1:$J$1,0),FALSE)</f>
        <v>0.40550000000000003</v>
      </c>
      <c r="L38" s="121">
        <f>VLOOKUP($B38,Totalt!$B$1:$BU$497,MATCH("total el",Totalt!$B$1:$BU$1,0),FALSE)</f>
        <v>6.2969999999999998E-2</v>
      </c>
      <c r="N38" s="271">
        <f t="shared" si="0"/>
        <v>0.14483099999999999</v>
      </c>
      <c r="O38" s="271">
        <f t="shared" si="1"/>
        <v>20.7290943</v>
      </c>
      <c r="P38" s="271">
        <f t="shared" si="2"/>
        <v>2.70771E-2</v>
      </c>
      <c r="Q38" s="271">
        <f t="shared" si="3"/>
        <v>2.5534335000000002E-2</v>
      </c>
    </row>
    <row r="39" spans="1:17" x14ac:dyDescent="0.25">
      <c r="A39" s="137" t="s">
        <v>238</v>
      </c>
      <c r="B39" s="137" t="s">
        <v>239</v>
      </c>
      <c r="C39" s="121" t="str">
        <f>VLOOKUP($B39,Totalt!$B$1:$BU$497,MATCH("Kvalitetsgranskad:",Totalt!$B$1:$BU$1,0),FALSE)</f>
        <v>Ja</v>
      </c>
      <c r="E39" s="121" t="str">
        <f>VLOOKUP($B39,Miljö!$B$1:$AG$479,MATCH(E$1,Miljö!$B$1:$AK$1,0),FALSE)</f>
        <v>Ja</v>
      </c>
      <c r="F39" s="121" t="str">
        <f>VLOOKUP($B39,Miljö!$B$1:$J$479,MATCH("Typ av ursprungsspecificerad el   (Om inget värde anges används Nordisk residualmix, se inforuta) ()",Miljö!$B$1:$J$1,0),FALSE)</f>
        <v>'Vattenkraft'</v>
      </c>
      <c r="G39" s="121">
        <f>VLOOKUP($B39,Miljö!$B$1:$J$479,MATCH("Primärenergifaktor ()",Miljö!$B$1:$J$1,0),FALSE)</f>
        <v>1.1000000000000001</v>
      </c>
      <c r="H39" s="121">
        <f>VLOOKUP($B39,Miljö!$B$1:$J$479,MATCH("Koldioxidekvivalenter energiomvandling (g/kwh)",Miljö!$B$1:$J$1,0),FALSE)</f>
        <v>0</v>
      </c>
      <c r="I39" s="121">
        <f>VLOOKUP($B39,Miljö!$B$1:$J$479,MATCH("Fossilandel för ursprungspecificerad el ()",Miljö!$B$1:$J$1,0),FALSE)</f>
        <v>0</v>
      </c>
      <c r="J39" s="121">
        <f>VLOOKUP($B39,Miljö!$B$1:$J$479,MATCH("Kärnkraftsandel för ursprungsspecificerad el ()",Miljö!$B$1:$J$1,0),FALSE)</f>
        <v>0</v>
      </c>
      <c r="L39" s="121">
        <f>VLOOKUP($B39,Totalt!$B$1:$BU$497,MATCH("total el",Totalt!$B$1:$BU$1,0),FALSE)</f>
        <v>8.3750199999999992</v>
      </c>
      <c r="N39" s="271">
        <f t="shared" si="0"/>
        <v>9.2125219999999999</v>
      </c>
      <c r="O39" s="271">
        <f t="shared" si="1"/>
        <v>0</v>
      </c>
      <c r="P39" s="271">
        <f t="shared" si="2"/>
        <v>0</v>
      </c>
      <c r="Q39" s="271">
        <f t="shared" si="3"/>
        <v>0</v>
      </c>
    </row>
    <row r="40" spans="1:17" x14ac:dyDescent="0.25">
      <c r="A40" s="137" t="s">
        <v>238</v>
      </c>
      <c r="B40" s="137" t="s">
        <v>241</v>
      </c>
      <c r="C40" s="121" t="str">
        <f>VLOOKUP($B40,Totalt!$B$1:$BU$497,MATCH("Kvalitetsgranskad:",Totalt!$B$1:$BU$1,0),FALSE)</f>
        <v>Ja</v>
      </c>
      <c r="E40" s="121" t="str">
        <f>VLOOKUP($B40,Miljö!$B$1:$AG$479,MATCH(E$1,Miljö!$B$1:$AK$1,0),FALSE)</f>
        <v>Ja</v>
      </c>
      <c r="F40" s="121" t="str">
        <f>VLOOKUP($B40,Miljö!$B$1:$J$479,MATCH("Typ av ursprungsspecificerad el   (Om inget värde anges används Nordisk residualmix, se inforuta) ()",Miljö!$B$1:$J$1,0),FALSE)</f>
        <v>'Vattenkraft'</v>
      </c>
      <c r="G40" s="121">
        <f>VLOOKUP($B40,Miljö!$B$1:$J$479,MATCH("Primärenergifaktor ()",Miljö!$B$1:$J$1,0),FALSE)</f>
        <v>1.1000000000000001</v>
      </c>
      <c r="H40" s="121">
        <f>VLOOKUP($B40,Miljö!$B$1:$J$479,MATCH("Koldioxidekvivalenter energiomvandling (g/kwh)",Miljö!$B$1:$J$1,0),FALSE)</f>
        <v>0</v>
      </c>
      <c r="I40" s="121">
        <f>VLOOKUP($B40,Miljö!$B$1:$J$479,MATCH("Fossilandel för ursprungspecificerad el ()",Miljö!$B$1:$J$1,0),FALSE)</f>
        <v>0</v>
      </c>
      <c r="J40" s="121">
        <f>VLOOKUP($B40,Miljö!$B$1:$J$479,MATCH("Kärnkraftsandel för ursprungsspecificerad el ()",Miljö!$B$1:$J$1,0),FALSE)</f>
        <v>0</v>
      </c>
      <c r="L40" s="121">
        <f>VLOOKUP($B40,Totalt!$B$1:$BU$497,MATCH("total el",Totalt!$B$1:$BU$1,0),FALSE)</f>
        <v>6.4999999999999997E-3</v>
      </c>
      <c r="N40" s="271">
        <f t="shared" si="0"/>
        <v>7.1500000000000001E-3</v>
      </c>
      <c r="O40" s="271">
        <f t="shared" si="1"/>
        <v>0</v>
      </c>
      <c r="P40" s="271">
        <f t="shared" si="2"/>
        <v>0</v>
      </c>
      <c r="Q40" s="271">
        <f t="shared" si="3"/>
        <v>0</v>
      </c>
    </row>
    <row r="41" spans="1:17" x14ac:dyDescent="0.25">
      <c r="A41" s="137" t="s">
        <v>238</v>
      </c>
      <c r="B41" s="137" t="s">
        <v>242</v>
      </c>
      <c r="C41" s="121" t="str">
        <f>VLOOKUP($B41,Totalt!$B$1:$BU$497,MATCH("Kvalitetsgranskad:",Totalt!$B$1:$BU$1,0),FALSE)</f>
        <v>Ja</v>
      </c>
      <c r="E41" s="121" t="str">
        <f>VLOOKUP($B41,Miljö!$B$1:$AG$479,MATCH(E$1,Miljö!$B$1:$AK$1,0),FALSE)</f>
        <v>Ja</v>
      </c>
      <c r="F41" s="121" t="str">
        <f>VLOOKUP($B41,Miljö!$B$1:$J$479,MATCH("Typ av ursprungsspecificerad el   (Om inget värde anges används Nordisk residualmix, se inforuta) ()",Miljö!$B$1:$J$1,0),FALSE)</f>
        <v>'Vattenkraft'</v>
      </c>
      <c r="G41" s="121">
        <f>VLOOKUP($B41,Miljö!$B$1:$J$479,MATCH("Primärenergifaktor ()",Miljö!$B$1:$J$1,0),FALSE)</f>
        <v>1.1000000000000001</v>
      </c>
      <c r="H41" s="121">
        <f>VLOOKUP($B41,Miljö!$B$1:$J$479,MATCH("Koldioxidekvivalenter energiomvandling (g/kwh)",Miljö!$B$1:$J$1,0),FALSE)</f>
        <v>0</v>
      </c>
      <c r="I41" s="121">
        <f>VLOOKUP($B41,Miljö!$B$1:$J$479,MATCH("Fossilandel för ursprungspecificerad el ()",Miljö!$B$1:$J$1,0),FALSE)</f>
        <v>0</v>
      </c>
      <c r="J41" s="121">
        <f>VLOOKUP($B41,Miljö!$B$1:$J$479,MATCH("Kärnkraftsandel för ursprungsspecificerad el ()",Miljö!$B$1:$J$1,0),FALSE)</f>
        <v>0</v>
      </c>
      <c r="L41" s="121">
        <f>VLOOKUP($B41,Totalt!$B$1:$BU$497,MATCH("total el",Totalt!$B$1:$BU$1,0),FALSE)</f>
        <v>0.16520000000000001</v>
      </c>
      <c r="N41" s="271">
        <f t="shared" si="0"/>
        <v>0.18172000000000002</v>
      </c>
      <c r="O41" s="271">
        <f t="shared" si="1"/>
        <v>0</v>
      </c>
      <c r="P41" s="271">
        <f t="shared" si="2"/>
        <v>0</v>
      </c>
      <c r="Q41" s="271">
        <f t="shared" si="3"/>
        <v>0</v>
      </c>
    </row>
    <row r="42" spans="1:17" x14ac:dyDescent="0.25">
      <c r="A42" s="137" t="s">
        <v>243</v>
      </c>
      <c r="B42" s="137" t="s">
        <v>244</v>
      </c>
      <c r="C42" s="121" t="str">
        <f>VLOOKUP($B42,Totalt!$B$1:$BU$497,MATCH("Kvalitetsgranskad:",Totalt!$B$1:$BU$1,0),FALSE)</f>
        <v>Ja</v>
      </c>
      <c r="E42" s="121" t="str">
        <f>VLOOKUP($B42,Miljö!$B$1:$AG$479,MATCH(E$1,Miljö!$B$1:$AK$1,0),FALSE)</f>
        <v>Ja</v>
      </c>
      <c r="F42" s="121" t="str">
        <f>VLOOKUP($B42,Miljö!$B$1:$J$479,MATCH("Typ av ursprungsspecificerad el   (Om inget värde anges används Nordisk residualmix, se inforuta) ()",Miljö!$B$1:$J$1,0),FALSE)</f>
        <v>'Ursprungsmärkt egenproducerad el'</v>
      </c>
      <c r="G42" s="121">
        <f>VLOOKUP($B42,Miljö!$B$1:$J$479,MATCH("Primärenergifaktor ()",Miljö!$B$1:$J$1,0),FALSE)</f>
        <v>1.05</v>
      </c>
      <c r="H42" s="121">
        <f>VLOOKUP($B42,Miljö!$B$1:$J$479,MATCH("Koldioxidekvivalenter energiomvandling (g/kwh)",Miljö!$B$1:$J$1,0),FALSE)</f>
        <v>0</v>
      </c>
      <c r="I42" s="121">
        <f>VLOOKUP($B42,Miljö!$B$1:$J$479,MATCH("Fossilandel för ursprungspecificerad el ()",Miljö!$B$1:$J$1,0),FALSE)</f>
        <v>0</v>
      </c>
      <c r="J42" s="121">
        <f>VLOOKUP($B42,Miljö!$B$1:$J$479,MATCH("Kärnkraftsandel för ursprungsspecificerad el ()",Miljö!$B$1:$J$1,0),FALSE)</f>
        <v>0</v>
      </c>
      <c r="L42" s="121">
        <f>VLOOKUP($B42,Totalt!$B$1:$BU$497,MATCH("total el",Totalt!$B$1:$BU$1,0),FALSE)</f>
        <v>31.842099999999999</v>
      </c>
      <c r="N42" s="271">
        <f t="shared" si="0"/>
        <v>33.434204999999999</v>
      </c>
      <c r="O42" s="271">
        <f t="shared" si="1"/>
        <v>0</v>
      </c>
      <c r="P42" s="271">
        <f t="shared" si="2"/>
        <v>0</v>
      </c>
      <c r="Q42" s="271">
        <f t="shared" si="3"/>
        <v>0</v>
      </c>
    </row>
    <row r="43" spans="1:17" x14ac:dyDescent="0.25">
      <c r="A43" s="137" t="s">
        <v>243</v>
      </c>
      <c r="B43" s="137" t="s">
        <v>245</v>
      </c>
      <c r="C43" s="121" t="str">
        <f>VLOOKUP($B43,Totalt!$B$1:$BU$497,MATCH("Kvalitetsgranskad:",Totalt!$B$1:$BU$1,0),FALSE)</f>
        <v>Ja</v>
      </c>
      <c r="E43" s="121" t="str">
        <f>VLOOKUP($B43,Miljö!$B$1:$AG$479,MATCH(E$1,Miljö!$B$1:$AK$1,0),FALSE)</f>
        <v>Ja</v>
      </c>
      <c r="F43" s="121" t="str">
        <f>VLOOKUP($B43,Miljö!$B$1:$J$479,MATCH("Typ av ursprungsspecificerad el   (Om inget värde anges används Nordisk residualmix, se inforuta) ()",Miljö!$B$1:$J$1,0),FALSE)</f>
        <v>'Ursprungsmärkt egenproducerad el'</v>
      </c>
      <c r="G43" s="121">
        <f>VLOOKUP($B43,Miljö!$B$1:$J$479,MATCH("Primärenergifaktor ()",Miljö!$B$1:$J$1,0),FALSE)</f>
        <v>1.05</v>
      </c>
      <c r="H43" s="121">
        <f>VLOOKUP($B43,Miljö!$B$1:$J$479,MATCH("Koldioxidekvivalenter energiomvandling (g/kwh)",Miljö!$B$1:$J$1,0),FALSE)</f>
        <v>0</v>
      </c>
      <c r="I43" s="121">
        <f>VLOOKUP($B43,Miljö!$B$1:$J$479,MATCH("Fossilandel för ursprungspecificerad el ()",Miljö!$B$1:$J$1,0),FALSE)</f>
        <v>0</v>
      </c>
      <c r="J43" s="121">
        <f>VLOOKUP($B43,Miljö!$B$1:$J$479,MATCH("Kärnkraftsandel för ursprungsspecificerad el ()",Miljö!$B$1:$J$1,0),FALSE)</f>
        <v>0</v>
      </c>
      <c r="L43" s="121">
        <f>VLOOKUP($B43,Totalt!$B$1:$BU$497,MATCH("total el",Totalt!$B$1:$BU$1,0),FALSE)</f>
        <v>0.40100000000000002</v>
      </c>
      <c r="N43" s="271">
        <f t="shared" si="0"/>
        <v>0.42105000000000004</v>
      </c>
      <c r="O43" s="271">
        <f t="shared" si="1"/>
        <v>0</v>
      </c>
      <c r="P43" s="271">
        <f t="shared" si="2"/>
        <v>0</v>
      </c>
      <c r="Q43" s="271">
        <f t="shared" si="3"/>
        <v>0</v>
      </c>
    </row>
    <row r="44" spans="1:17" x14ac:dyDescent="0.25">
      <c r="A44" s="137" t="s">
        <v>246</v>
      </c>
      <c r="B44" s="137" t="s">
        <v>247</v>
      </c>
      <c r="C44" s="121" t="str">
        <f>VLOOKUP($B44,Totalt!$B$1:$BU$497,MATCH("Kvalitetsgranskad:",Totalt!$B$1:$BU$1,0),FALSE)</f>
        <v>Nej</v>
      </c>
      <c r="E44" s="121" t="str">
        <f>VLOOKUP($B44,Miljö!$B$1:$AG$479,MATCH(E$1,Miljö!$B$1:$AK$1,0),FALSE)</f>
        <v>Nej</v>
      </c>
      <c r="F44" s="121" t="str">
        <f>VLOOKUP($B44,Miljö!$B$1:$J$479,MATCH("Typ av ursprungsspecificerad el   (Om inget värde anges används Nordisk residualmix, se inforuta) ()",Miljö!$B$1:$J$1,0),FALSE)</f>
        <v>-</v>
      </c>
      <c r="G44" s="121" t="str">
        <f>VLOOKUP($B44,Miljö!$B$1:$J$479,MATCH("Primärenergifaktor ()",Miljö!$B$1:$J$1,0),FALSE)</f>
        <v>-</v>
      </c>
      <c r="H44" s="121" t="str">
        <f>VLOOKUP($B44,Miljö!$B$1:$J$479,MATCH("Koldioxidekvivalenter energiomvandling (g/kwh)",Miljö!$B$1:$J$1,0),FALSE)</f>
        <v>-</v>
      </c>
      <c r="I44" s="121" t="str">
        <f>VLOOKUP($B44,Miljö!$B$1:$J$479,MATCH("Fossilandel för ursprungspecificerad el ()",Miljö!$B$1:$J$1,0),FALSE)</f>
        <v>-</v>
      </c>
      <c r="J44" s="121" t="str">
        <f>VLOOKUP($B44,Miljö!$B$1:$J$479,MATCH("Kärnkraftsandel för ursprungsspecificerad el ()",Miljö!$B$1:$J$1,0),FALSE)</f>
        <v>-</v>
      </c>
      <c r="L44" s="121">
        <f>VLOOKUP($B44,Totalt!$B$1:$BU$497,MATCH("total el",Totalt!$B$1:$BU$1,0),FALSE)</f>
        <v>0</v>
      </c>
      <c r="N44" s="271" t="str">
        <f t="shared" si="0"/>
        <v/>
      </c>
      <c r="O44" s="271" t="str">
        <f t="shared" si="1"/>
        <v/>
      </c>
      <c r="P44" s="271" t="str">
        <f t="shared" si="2"/>
        <v/>
      </c>
      <c r="Q44" s="271" t="str">
        <f t="shared" si="3"/>
        <v/>
      </c>
    </row>
    <row r="45" spans="1:17" x14ac:dyDescent="0.25">
      <c r="A45" s="137" t="s">
        <v>248</v>
      </c>
      <c r="B45" s="137" t="s">
        <v>69</v>
      </c>
      <c r="C45" s="121" t="str">
        <f>VLOOKUP($B45,Totalt!$B$1:$BU$497,MATCH("Kvalitetsgranskad:",Totalt!$B$1:$BU$1,0),FALSE)</f>
        <v>Ja</v>
      </c>
      <c r="E45" s="121" t="str">
        <f>VLOOKUP($B45,Miljö!$B$1:$AG$479,MATCH(E$1,Miljö!$B$1:$AK$1,0),FALSE)</f>
        <v>Nej</v>
      </c>
      <c r="F45" s="121" t="str">
        <f>VLOOKUP($B45,Miljö!$B$1:$J$479,MATCH("Typ av ursprungsspecificerad el   (Om inget värde anges används Nordisk residualmix, se inforuta) ()",Miljö!$B$1:$J$1,0),FALSE)</f>
        <v>-</v>
      </c>
      <c r="G45" s="121">
        <f>VLOOKUP($B45,Miljö!$B$1:$J$479,MATCH("Primärenergifaktor ()",Miljö!$B$1:$J$1,0),FALSE)</f>
        <v>2.2999999999999998</v>
      </c>
      <c r="H45" s="121">
        <f>VLOOKUP($B45,Miljö!$B$1:$J$479,MATCH("Koldioxidekvivalenter energiomvandling (g/kwh)",Miljö!$B$1:$J$1,0),FALSE)</f>
        <v>329.19</v>
      </c>
      <c r="I45" s="121">
        <f>VLOOKUP($B45,Miljö!$B$1:$J$479,MATCH("Fossilandel för ursprungspecificerad el ()",Miljö!$B$1:$J$1,0),FALSE)</f>
        <v>0.43</v>
      </c>
      <c r="J45" s="121">
        <f>VLOOKUP($B45,Miljö!$B$1:$J$479,MATCH("Kärnkraftsandel för ursprungsspecificerad el ()",Miljö!$B$1:$J$1,0),FALSE)</f>
        <v>0.40550000000000003</v>
      </c>
      <c r="L45" s="121">
        <f>VLOOKUP($B45,Totalt!$B$1:$BU$497,MATCH("total el",Totalt!$B$1:$BU$1,0),FALSE)</f>
        <v>0.63178999999999996</v>
      </c>
      <c r="N45" s="271">
        <f t="shared" si="0"/>
        <v>1.4531169999999998</v>
      </c>
      <c r="O45" s="271">
        <f t="shared" si="1"/>
        <v>207.97895009999999</v>
      </c>
      <c r="P45" s="271">
        <f t="shared" si="2"/>
        <v>0.27166969999999996</v>
      </c>
      <c r="Q45" s="271">
        <f t="shared" si="3"/>
        <v>0.256190845</v>
      </c>
    </row>
    <row r="46" spans="1:17" x14ac:dyDescent="0.25">
      <c r="A46" s="137" t="s">
        <v>249</v>
      </c>
      <c r="B46" s="137" t="s">
        <v>250</v>
      </c>
      <c r="C46" s="121" t="str">
        <f>VLOOKUP($B46,Totalt!$B$1:$BU$497,MATCH("Kvalitetsgranskad:",Totalt!$B$1:$BU$1,0),FALSE)</f>
        <v>Ja</v>
      </c>
      <c r="E46" s="121" t="str">
        <f>VLOOKUP($B46,Miljö!$B$1:$AG$479,MATCH(E$1,Miljö!$B$1:$AK$1,0),FALSE)</f>
        <v>Ja</v>
      </c>
      <c r="F46" s="121" t="str">
        <f>VLOOKUP($B46,Miljö!$B$1:$J$479,MATCH("Typ av ursprungsspecificerad el   (Om inget värde anges används Nordisk residualmix, se inforuta) ()",Miljö!$B$1:$J$1,0),FALSE)</f>
        <v>''C4 Energi 100% fossilfritt''</v>
      </c>
      <c r="G46" s="121">
        <f>VLOOKUP($B46,Miljö!$B$1:$J$479,MATCH("Primärenergifaktor ()",Miljö!$B$1:$J$1,0),FALSE)</f>
        <v>0.18</v>
      </c>
      <c r="H46" s="121">
        <f>VLOOKUP($B46,Miljö!$B$1:$J$479,MATCH("Koldioxidekvivalenter energiomvandling (g/kwh)",Miljö!$B$1:$J$1,0),FALSE)</f>
        <v>0</v>
      </c>
      <c r="I46" s="121">
        <f>VLOOKUP($B46,Miljö!$B$1:$J$479,MATCH("Fossilandel för ursprungspecificerad el ()",Miljö!$B$1:$J$1,0),FALSE)</f>
        <v>0</v>
      </c>
      <c r="J46" s="121">
        <f>VLOOKUP($B46,Miljö!$B$1:$J$479,MATCH("Kärnkraftsandel för ursprungsspecificerad el ()",Miljö!$B$1:$J$1,0),FALSE)</f>
        <v>0</v>
      </c>
      <c r="L46" s="121">
        <f>VLOOKUP($B46,Totalt!$B$1:$BU$497,MATCH("total el",Totalt!$B$1:$BU$1,0),FALSE)</f>
        <v>0.13700000000000001</v>
      </c>
      <c r="N46" s="271">
        <f t="shared" si="0"/>
        <v>2.4660000000000001E-2</v>
      </c>
      <c r="O46" s="271">
        <f t="shared" si="1"/>
        <v>0</v>
      </c>
      <c r="P46" s="271">
        <f t="shared" si="2"/>
        <v>0</v>
      </c>
      <c r="Q46" s="271">
        <f t="shared" si="3"/>
        <v>0</v>
      </c>
    </row>
    <row r="47" spans="1:17" x14ac:dyDescent="0.25">
      <c r="A47" s="137" t="s">
        <v>249</v>
      </c>
      <c r="B47" s="137" t="s">
        <v>251</v>
      </c>
      <c r="C47" s="121" t="str">
        <f>VLOOKUP($B47,Totalt!$B$1:$BU$497,MATCH("Kvalitetsgranskad:",Totalt!$B$1:$BU$1,0),FALSE)</f>
        <v>Ja</v>
      </c>
      <c r="E47" s="121" t="str">
        <f>VLOOKUP($B47,Miljö!$B$1:$AG$479,MATCH(E$1,Miljö!$B$1:$AK$1,0),FALSE)</f>
        <v>Ja</v>
      </c>
      <c r="F47" s="121" t="str">
        <f>VLOOKUP($B47,Miljö!$B$1:$J$479,MATCH("Typ av ursprungsspecificerad el   (Om inget värde anges används Nordisk residualmix, se inforuta) ()",Miljö!$B$1:$J$1,0),FALSE)</f>
        <v>'Egenproducerad grön 100%'</v>
      </c>
      <c r="G47" s="121">
        <f>VLOOKUP($B47,Miljö!$B$1:$J$479,MATCH("Primärenergifaktor ()",Miljö!$B$1:$J$1,0),FALSE)</f>
        <v>0.18</v>
      </c>
      <c r="H47" s="121">
        <f>VLOOKUP($B47,Miljö!$B$1:$J$479,MATCH("Koldioxidekvivalenter energiomvandling (g/kwh)",Miljö!$B$1:$J$1,0),FALSE)</f>
        <v>0</v>
      </c>
      <c r="I47" s="121">
        <f>VLOOKUP($B47,Miljö!$B$1:$J$479,MATCH("Fossilandel för ursprungspecificerad el ()",Miljö!$B$1:$J$1,0),FALSE)</f>
        <v>0</v>
      </c>
      <c r="J47" s="121">
        <f>VLOOKUP($B47,Miljö!$B$1:$J$479,MATCH("Kärnkraftsandel för ursprungsspecificerad el ()",Miljö!$B$1:$J$1,0),FALSE)</f>
        <v>0</v>
      </c>
      <c r="L47" s="121">
        <f>VLOOKUP($B47,Totalt!$B$1:$BU$497,MATCH("total el",Totalt!$B$1:$BU$1,0),FALSE)</f>
        <v>11.6058</v>
      </c>
      <c r="N47" s="271">
        <f t="shared" si="0"/>
        <v>2.0890439999999999</v>
      </c>
      <c r="O47" s="271">
        <f t="shared" si="1"/>
        <v>0</v>
      </c>
      <c r="P47" s="271">
        <f t="shared" si="2"/>
        <v>0</v>
      </c>
      <c r="Q47" s="271">
        <f t="shared" si="3"/>
        <v>0</v>
      </c>
    </row>
    <row r="48" spans="1:17" x14ac:dyDescent="0.25">
      <c r="A48" s="137" t="s">
        <v>253</v>
      </c>
      <c r="B48" s="137" t="s">
        <v>254</v>
      </c>
      <c r="C48" s="121" t="str">
        <f>VLOOKUP($B48,Totalt!$B$1:$BU$497,MATCH("Kvalitetsgranskad:",Totalt!$B$1:$BU$1,0),FALSE)</f>
        <v>Ja</v>
      </c>
      <c r="E48" s="121" t="str">
        <f>VLOOKUP($B48,Miljö!$B$1:$AG$479,MATCH(E$1,Miljö!$B$1:$AK$1,0),FALSE)</f>
        <v>Ja</v>
      </c>
      <c r="F48" s="121" t="str">
        <f>VLOOKUP($B48,Miljö!$B$1:$J$479,MATCH("Typ av ursprungsspecificerad el   (Om inget värde anges används Nordisk residualmix, se inforuta) ()",Miljö!$B$1:$J$1,0),FALSE)</f>
        <v>'100% förnybart från Dala Kraft'</v>
      </c>
      <c r="G48" s="121">
        <f>VLOOKUP($B48,Miljö!$B$1:$J$479,MATCH("Primärenergifaktor ()",Miljö!$B$1:$J$1,0),FALSE)</f>
        <v>1.1000000000000001</v>
      </c>
      <c r="H48" s="121">
        <f>VLOOKUP($B48,Miljö!$B$1:$J$479,MATCH("Koldioxidekvivalenter energiomvandling (g/kwh)",Miljö!$B$1:$J$1,0),FALSE)</f>
        <v>0</v>
      </c>
      <c r="I48" s="121">
        <f>VLOOKUP($B48,Miljö!$B$1:$J$479,MATCH("Fossilandel för ursprungspecificerad el ()",Miljö!$B$1:$J$1,0),FALSE)</f>
        <v>0</v>
      </c>
      <c r="J48" s="121">
        <f>VLOOKUP($B48,Miljö!$B$1:$J$479,MATCH("Kärnkraftsandel för ursprungsspecificerad el ()",Miljö!$B$1:$J$1,0),FALSE)</f>
        <v>0</v>
      </c>
      <c r="L48" s="121">
        <f>VLOOKUP($B48,Totalt!$B$1:$BU$497,MATCH("total el",Totalt!$B$1:$BU$1,0),FALSE)</f>
        <v>3.1E-2</v>
      </c>
      <c r="N48" s="271">
        <f t="shared" si="0"/>
        <v>3.4100000000000005E-2</v>
      </c>
      <c r="O48" s="271">
        <f t="shared" si="1"/>
        <v>0</v>
      </c>
      <c r="P48" s="271">
        <f t="shared" si="2"/>
        <v>0</v>
      </c>
      <c r="Q48" s="271">
        <f t="shared" si="3"/>
        <v>0</v>
      </c>
    </row>
    <row r="49" spans="1:17" x14ac:dyDescent="0.25">
      <c r="A49" s="137" t="s">
        <v>253</v>
      </c>
      <c r="B49" s="137" t="s">
        <v>256</v>
      </c>
      <c r="C49" s="121" t="str">
        <f>VLOOKUP($B49,Totalt!$B$1:$BU$497,MATCH("Kvalitetsgranskad:",Totalt!$B$1:$BU$1,0),FALSE)</f>
        <v>Ja</v>
      </c>
      <c r="E49" s="121" t="str">
        <f>VLOOKUP($B49,Miljö!$B$1:$AG$479,MATCH(E$1,Miljö!$B$1:$AK$1,0),FALSE)</f>
        <v>Ja</v>
      </c>
      <c r="F49" s="121" t="str">
        <f>VLOOKUP($B49,Miljö!$B$1:$J$479,MATCH("Typ av ursprungsspecificerad el   (Om inget värde anges används Nordisk residualmix, se inforuta) ()",Miljö!$B$1:$J$1,0),FALSE)</f>
        <v>'100% förnybar el från Dala Kraft'</v>
      </c>
      <c r="G49" s="121">
        <f>VLOOKUP($B49,Miljö!$B$1:$J$479,MATCH("Primärenergifaktor ()",Miljö!$B$1:$J$1,0),FALSE)</f>
        <v>1.1000000000000001</v>
      </c>
      <c r="H49" s="121">
        <f>VLOOKUP($B49,Miljö!$B$1:$J$479,MATCH("Koldioxidekvivalenter energiomvandling (g/kwh)",Miljö!$B$1:$J$1,0),FALSE)</f>
        <v>0</v>
      </c>
      <c r="I49" s="121">
        <f>VLOOKUP($B49,Miljö!$B$1:$J$479,MATCH("Fossilandel för ursprungspecificerad el ()",Miljö!$B$1:$J$1,0),FALSE)</f>
        <v>0</v>
      </c>
      <c r="J49" s="121">
        <f>VLOOKUP($B49,Miljö!$B$1:$J$479,MATCH("Kärnkraftsandel för ursprungsspecificerad el ()",Miljö!$B$1:$J$1,0),FALSE)</f>
        <v>0</v>
      </c>
      <c r="L49" s="121">
        <f>VLOOKUP($B49,Totalt!$B$1:$BU$497,MATCH("total el",Totalt!$B$1:$BU$1,0),FALSE)</f>
        <v>1.173</v>
      </c>
      <c r="N49" s="271">
        <f t="shared" si="0"/>
        <v>1.2903000000000002</v>
      </c>
      <c r="O49" s="271">
        <f t="shared" si="1"/>
        <v>0</v>
      </c>
      <c r="P49" s="271">
        <f t="shared" si="2"/>
        <v>0</v>
      </c>
      <c r="Q49" s="271">
        <f t="shared" si="3"/>
        <v>0</v>
      </c>
    </row>
    <row r="50" spans="1:17" x14ac:dyDescent="0.25">
      <c r="A50" s="137" t="s">
        <v>258</v>
      </c>
      <c r="B50" s="137" t="s">
        <v>259</v>
      </c>
      <c r="C50" s="121" t="str">
        <f>VLOOKUP($B50,Totalt!$B$1:$BU$497,MATCH("Kvalitetsgranskad:",Totalt!$B$1:$BU$1,0),FALSE)</f>
        <v>Ja</v>
      </c>
      <c r="E50" s="121" t="str">
        <f>VLOOKUP($B50,Miljö!$B$1:$AG$479,MATCH(E$1,Miljö!$B$1:$AK$1,0),FALSE)</f>
        <v>Ja</v>
      </c>
      <c r="F50" s="121" t="str">
        <f>VLOOKUP($B50,Miljö!$B$1:$J$479,MATCH("Typ av ursprungsspecificerad el   (Om inget värde anges används Nordisk residualmix, se inforuta) ()",Miljö!$B$1:$J$1,0),FALSE)</f>
        <v>'Vattenkraft'</v>
      </c>
      <c r="G50" s="121">
        <f>VLOOKUP($B50,Miljö!$B$1:$J$479,MATCH("Primärenergifaktor ()",Miljö!$B$1:$J$1,0),FALSE)</f>
        <v>1.1000000000000001</v>
      </c>
      <c r="H50" s="121">
        <f>VLOOKUP($B50,Miljö!$B$1:$J$479,MATCH("Koldioxidekvivalenter energiomvandling (g/kwh)",Miljö!$B$1:$J$1,0),FALSE)</f>
        <v>0</v>
      </c>
      <c r="I50" s="121">
        <f>VLOOKUP($B50,Miljö!$B$1:$J$479,MATCH("Fossilandel för ursprungspecificerad el ()",Miljö!$B$1:$J$1,0),FALSE)</f>
        <v>0</v>
      </c>
      <c r="J50" s="121">
        <f>VLOOKUP($B50,Miljö!$B$1:$J$479,MATCH("Kärnkraftsandel för ursprungsspecificerad el ()",Miljö!$B$1:$J$1,0),FALSE)</f>
        <v>0</v>
      </c>
      <c r="L50" s="121">
        <f>VLOOKUP($B50,Totalt!$B$1:$BU$497,MATCH("total el",Totalt!$B$1:$BU$1,0),FALSE)</f>
        <v>0.69099999999999995</v>
      </c>
      <c r="N50" s="271">
        <f t="shared" si="0"/>
        <v>0.7601</v>
      </c>
      <c r="O50" s="271">
        <f t="shared" si="1"/>
        <v>0</v>
      </c>
      <c r="P50" s="271">
        <f t="shared" si="2"/>
        <v>0</v>
      </c>
      <c r="Q50" s="271">
        <f t="shared" si="3"/>
        <v>0</v>
      </c>
    </row>
    <row r="51" spans="1:17" x14ac:dyDescent="0.25">
      <c r="A51" s="137" t="s">
        <v>258</v>
      </c>
      <c r="B51" s="137" t="s">
        <v>260</v>
      </c>
      <c r="C51" s="121" t="str">
        <f>VLOOKUP($B51,Totalt!$B$1:$BU$497,MATCH("Kvalitetsgranskad:",Totalt!$B$1:$BU$1,0),FALSE)</f>
        <v>Nej</v>
      </c>
      <c r="E51" s="121" t="str">
        <f>VLOOKUP($B51,Miljö!$B$1:$AG$479,MATCH(E$1,Miljö!$B$1:$AK$1,0),FALSE)</f>
        <v>Nej</v>
      </c>
      <c r="F51" s="121" t="str">
        <f>VLOOKUP($B51,Miljö!$B$1:$J$479,MATCH("Typ av ursprungsspecificerad el   (Om inget värde anges används Nordisk residualmix, se inforuta) ()",Miljö!$B$1:$J$1,0),FALSE)</f>
        <v>-</v>
      </c>
      <c r="G51" s="121" t="str">
        <f>VLOOKUP($B51,Miljö!$B$1:$J$479,MATCH("Primärenergifaktor ()",Miljö!$B$1:$J$1,0),FALSE)</f>
        <v>-</v>
      </c>
      <c r="H51" s="121" t="str">
        <f>VLOOKUP($B51,Miljö!$B$1:$J$479,MATCH("Koldioxidekvivalenter energiomvandling (g/kwh)",Miljö!$B$1:$J$1,0),FALSE)</f>
        <v>-</v>
      </c>
      <c r="I51" s="121" t="str">
        <f>VLOOKUP($B51,Miljö!$B$1:$J$479,MATCH("Fossilandel för ursprungspecificerad el ()",Miljö!$B$1:$J$1,0),FALSE)</f>
        <v>-</v>
      </c>
      <c r="J51" s="121" t="str">
        <f>VLOOKUP($B51,Miljö!$B$1:$J$479,MATCH("Kärnkraftsandel för ursprungsspecificerad el ()",Miljö!$B$1:$J$1,0),FALSE)</f>
        <v>-</v>
      </c>
      <c r="L51" s="121">
        <f>VLOOKUP($B51,Totalt!$B$1:$BU$497,MATCH("total el",Totalt!$B$1:$BU$1,0),FALSE)</f>
        <v>0</v>
      </c>
      <c r="N51" s="271" t="str">
        <f t="shared" si="0"/>
        <v/>
      </c>
      <c r="O51" s="271" t="str">
        <f t="shared" si="1"/>
        <v/>
      </c>
      <c r="P51" s="271" t="str">
        <f t="shared" si="2"/>
        <v/>
      </c>
      <c r="Q51" s="271" t="str">
        <f t="shared" si="3"/>
        <v/>
      </c>
    </row>
    <row r="52" spans="1:17" x14ac:dyDescent="0.25">
      <c r="A52" s="137" t="s">
        <v>258</v>
      </c>
      <c r="B52" s="137" t="s">
        <v>261</v>
      </c>
      <c r="C52" s="121" t="str">
        <f>VLOOKUP($B52,Totalt!$B$1:$BU$497,MATCH("Kvalitetsgranskad:",Totalt!$B$1:$BU$1,0),FALSE)</f>
        <v>Ja</v>
      </c>
      <c r="E52" s="121" t="str">
        <f>VLOOKUP($B52,Miljö!$B$1:$AG$479,MATCH(E$1,Miljö!$B$1:$AK$1,0),FALSE)</f>
        <v>Ja</v>
      </c>
      <c r="F52" s="121" t="str">
        <f>VLOOKUP($B52,Miljö!$B$1:$J$479,MATCH("Typ av ursprungsspecificerad el   (Om inget värde anges används Nordisk residualmix, se inforuta) ()",Miljö!$B$1:$J$1,0),FALSE)</f>
        <v>'Vattenkraft'</v>
      </c>
      <c r="G52" s="121">
        <f>VLOOKUP($B52,Miljö!$B$1:$J$479,MATCH("Primärenergifaktor ()",Miljö!$B$1:$J$1,0),FALSE)</f>
        <v>1.1000000000000001</v>
      </c>
      <c r="H52" s="121">
        <f>VLOOKUP($B52,Miljö!$B$1:$J$479,MATCH("Koldioxidekvivalenter energiomvandling (g/kwh)",Miljö!$B$1:$J$1,0),FALSE)</f>
        <v>0</v>
      </c>
      <c r="I52" s="121">
        <f>VLOOKUP($B52,Miljö!$B$1:$J$479,MATCH("Fossilandel för ursprungspecificerad el ()",Miljö!$B$1:$J$1,0),FALSE)</f>
        <v>0</v>
      </c>
      <c r="J52" s="121">
        <f>VLOOKUP($B52,Miljö!$B$1:$J$479,MATCH("Kärnkraftsandel för ursprungsspecificerad el ()",Miljö!$B$1:$J$1,0),FALSE)</f>
        <v>0</v>
      </c>
      <c r="L52" s="121">
        <f>VLOOKUP($B52,Totalt!$B$1:$BU$497,MATCH("total el",Totalt!$B$1:$BU$1,0),FALSE)</f>
        <v>4.5999999999999999E-2</v>
      </c>
      <c r="N52" s="271">
        <f t="shared" si="0"/>
        <v>5.0600000000000006E-2</v>
      </c>
      <c r="O52" s="271">
        <f t="shared" si="1"/>
        <v>0</v>
      </c>
      <c r="P52" s="271">
        <f t="shared" si="2"/>
        <v>0</v>
      </c>
      <c r="Q52" s="271">
        <f t="shared" si="3"/>
        <v>0</v>
      </c>
    </row>
    <row r="53" spans="1:17" x14ac:dyDescent="0.25">
      <c r="A53" s="137" t="s">
        <v>258</v>
      </c>
      <c r="B53" s="137" t="s">
        <v>262</v>
      </c>
      <c r="C53" s="121" t="str">
        <f>VLOOKUP($B53,Totalt!$B$1:$BU$497,MATCH("Kvalitetsgranskad:",Totalt!$B$1:$BU$1,0),FALSE)</f>
        <v>Ja</v>
      </c>
      <c r="E53" s="121" t="str">
        <f>VLOOKUP($B53,Miljö!$B$1:$AG$479,MATCH(E$1,Miljö!$B$1:$AK$1,0),FALSE)</f>
        <v>Ja</v>
      </c>
      <c r="F53" s="121" t="str">
        <f>VLOOKUP($B53,Miljö!$B$1:$J$479,MATCH("Typ av ursprungsspecificerad el   (Om inget värde anges används Nordisk residualmix, se inforuta) ()",Miljö!$B$1:$J$1,0),FALSE)</f>
        <v>'Vattenkraft'</v>
      </c>
      <c r="G53" s="121">
        <f>VLOOKUP($B53,Miljö!$B$1:$J$479,MATCH("Primärenergifaktor ()",Miljö!$B$1:$J$1,0),FALSE)</f>
        <v>1.1000000000000001</v>
      </c>
      <c r="H53" s="121">
        <f>VLOOKUP($B53,Miljö!$B$1:$J$479,MATCH("Koldioxidekvivalenter energiomvandling (g/kwh)",Miljö!$B$1:$J$1,0),FALSE)</f>
        <v>0</v>
      </c>
      <c r="I53" s="121">
        <f>VLOOKUP($B53,Miljö!$B$1:$J$479,MATCH("Fossilandel för ursprungspecificerad el ()",Miljö!$B$1:$J$1,0),FALSE)</f>
        <v>0</v>
      </c>
      <c r="J53" s="121">
        <f>VLOOKUP($B53,Miljö!$B$1:$J$479,MATCH("Kärnkraftsandel för ursprungsspecificerad el ()",Miljö!$B$1:$J$1,0),FALSE)</f>
        <v>0</v>
      </c>
      <c r="L53" s="121">
        <f>VLOOKUP($B53,Totalt!$B$1:$BU$497,MATCH("total el",Totalt!$B$1:$BU$1,0),FALSE)</f>
        <v>1.6619999999999999E-2</v>
      </c>
      <c r="N53" s="271">
        <f t="shared" si="0"/>
        <v>1.8282E-2</v>
      </c>
      <c r="O53" s="271">
        <f t="shared" si="1"/>
        <v>0</v>
      </c>
      <c r="P53" s="271">
        <f t="shared" si="2"/>
        <v>0</v>
      </c>
      <c r="Q53" s="271">
        <f t="shared" si="3"/>
        <v>0</v>
      </c>
    </row>
    <row r="54" spans="1:17" x14ac:dyDescent="0.25">
      <c r="A54" s="137" t="s">
        <v>263</v>
      </c>
      <c r="B54" s="137" t="s">
        <v>264</v>
      </c>
      <c r="C54" s="121" t="str">
        <f>VLOOKUP($B54,Totalt!$B$1:$BU$497,MATCH("Kvalitetsgranskad:",Totalt!$B$1:$BU$1,0),FALSE)</f>
        <v>Ja</v>
      </c>
      <c r="E54" s="121" t="str">
        <f>VLOOKUP($B54,Miljö!$B$1:$AG$479,MATCH(E$1,Miljö!$B$1:$AK$1,0),FALSE)</f>
        <v>Nej</v>
      </c>
      <c r="F54" s="121" t="str">
        <f>VLOOKUP($B54,Miljö!$B$1:$J$479,MATCH("Typ av ursprungsspecificerad el   (Om inget värde anges används Nordisk residualmix, se inforuta) ()",Miljö!$B$1:$J$1,0),FALSE)</f>
        <v>-</v>
      </c>
      <c r="G54" s="121">
        <f>VLOOKUP($B54,Miljö!$B$1:$J$479,MATCH("Primärenergifaktor ()",Miljö!$B$1:$J$1,0),FALSE)</f>
        <v>2.2999999999999998</v>
      </c>
      <c r="H54" s="121">
        <f>VLOOKUP($B54,Miljö!$B$1:$J$479,MATCH("Koldioxidekvivalenter energiomvandling (g/kwh)",Miljö!$B$1:$J$1,0),FALSE)</f>
        <v>329.19</v>
      </c>
      <c r="I54" s="121">
        <f>VLOOKUP($B54,Miljö!$B$1:$J$479,MATCH("Fossilandel för ursprungspecificerad el ()",Miljö!$B$1:$J$1,0),FALSE)</f>
        <v>0.43</v>
      </c>
      <c r="J54" s="121">
        <f>VLOOKUP($B54,Miljö!$B$1:$J$479,MATCH("Kärnkraftsandel för ursprungsspecificerad el ()",Miljö!$B$1:$J$1,0),FALSE)</f>
        <v>0.40550000000000003</v>
      </c>
      <c r="L54" s="121">
        <f>VLOOKUP($B54,Totalt!$B$1:$BU$497,MATCH("total el",Totalt!$B$1:$BU$1,0),FALSE)</f>
        <v>0.93589999999999995</v>
      </c>
      <c r="N54" s="271">
        <f t="shared" si="0"/>
        <v>2.1525699999999999</v>
      </c>
      <c r="O54" s="271">
        <f t="shared" si="1"/>
        <v>308.08892099999997</v>
      </c>
      <c r="P54" s="271">
        <f t="shared" si="2"/>
        <v>0.40243699999999999</v>
      </c>
      <c r="Q54" s="271">
        <f t="shared" si="3"/>
        <v>0.37950745000000002</v>
      </c>
    </row>
    <row r="55" spans="1:17" x14ac:dyDescent="0.25">
      <c r="A55" s="137" t="s">
        <v>263</v>
      </c>
      <c r="B55" s="137" t="s">
        <v>265</v>
      </c>
      <c r="C55" s="121" t="str">
        <f>VLOOKUP($B55,Totalt!$B$1:$BU$497,MATCH("Kvalitetsgranskad:",Totalt!$B$1:$BU$1,0),FALSE)</f>
        <v>Ja</v>
      </c>
      <c r="E55" s="121" t="str">
        <f>VLOOKUP($B55,Miljö!$B$1:$AG$479,MATCH(E$1,Miljö!$B$1:$AK$1,0),FALSE)</f>
        <v>Nej</v>
      </c>
      <c r="F55" s="121" t="str">
        <f>VLOOKUP($B55,Miljö!$B$1:$J$479,MATCH("Typ av ursprungsspecificerad el   (Om inget värde anges används Nordisk residualmix, se inforuta) ()",Miljö!$B$1:$J$1,0),FALSE)</f>
        <v>-</v>
      </c>
      <c r="G55" s="121">
        <f>VLOOKUP($B55,Miljö!$B$1:$J$479,MATCH("Primärenergifaktor ()",Miljö!$B$1:$J$1,0),FALSE)</f>
        <v>2.2999999999999998</v>
      </c>
      <c r="H55" s="121">
        <f>VLOOKUP($B55,Miljö!$B$1:$J$479,MATCH("Koldioxidekvivalenter energiomvandling (g/kwh)",Miljö!$B$1:$J$1,0),FALSE)</f>
        <v>329.19</v>
      </c>
      <c r="I55" s="121">
        <f>VLOOKUP($B55,Miljö!$B$1:$J$479,MATCH("Fossilandel för ursprungspecificerad el ()",Miljö!$B$1:$J$1,0),FALSE)</f>
        <v>0.43</v>
      </c>
      <c r="J55" s="121">
        <f>VLOOKUP($B55,Miljö!$B$1:$J$479,MATCH("Kärnkraftsandel för ursprungsspecificerad el ()",Miljö!$B$1:$J$1,0),FALSE)</f>
        <v>0.40550000000000003</v>
      </c>
      <c r="L55" s="121">
        <f>VLOOKUP($B55,Totalt!$B$1:$BU$497,MATCH("total el",Totalt!$B$1:$BU$1,0),FALSE)</f>
        <v>0.96699999999999997</v>
      </c>
      <c r="N55" s="271">
        <f t="shared" si="0"/>
        <v>2.2241</v>
      </c>
      <c r="O55" s="271">
        <f t="shared" si="1"/>
        <v>318.32673</v>
      </c>
      <c r="P55" s="271">
        <f t="shared" si="2"/>
        <v>0.41580999999999996</v>
      </c>
      <c r="Q55" s="271">
        <f t="shared" si="3"/>
        <v>0.39211850000000004</v>
      </c>
    </row>
    <row r="56" spans="1:17" x14ac:dyDescent="0.25">
      <c r="A56" s="137" t="s">
        <v>263</v>
      </c>
      <c r="B56" s="137" t="s">
        <v>266</v>
      </c>
      <c r="C56" s="121" t="str">
        <f>VLOOKUP($B56,Totalt!$B$1:$BU$497,MATCH("Kvalitetsgranskad:",Totalt!$B$1:$BU$1,0),FALSE)</f>
        <v>Ja</v>
      </c>
      <c r="E56" s="121" t="str">
        <f>VLOOKUP($B56,Miljö!$B$1:$AG$479,MATCH(E$1,Miljö!$B$1:$AK$1,0),FALSE)</f>
        <v>Nej</v>
      </c>
      <c r="F56" s="121" t="str">
        <f>VLOOKUP($B56,Miljö!$B$1:$J$479,MATCH("Typ av ursprungsspecificerad el   (Om inget värde anges används Nordisk residualmix, se inforuta) ()",Miljö!$B$1:$J$1,0),FALSE)</f>
        <v>-</v>
      </c>
      <c r="G56" s="121">
        <f>VLOOKUP($B56,Miljö!$B$1:$J$479,MATCH("Primärenergifaktor ()",Miljö!$B$1:$J$1,0),FALSE)</f>
        <v>2.2999999999999998</v>
      </c>
      <c r="H56" s="121">
        <f>VLOOKUP($B56,Miljö!$B$1:$J$479,MATCH("Koldioxidekvivalenter energiomvandling (g/kwh)",Miljö!$B$1:$J$1,0),FALSE)</f>
        <v>329.19</v>
      </c>
      <c r="I56" s="121">
        <f>VLOOKUP($B56,Miljö!$B$1:$J$479,MATCH("Fossilandel för ursprungspecificerad el ()",Miljö!$B$1:$J$1,0),FALSE)</f>
        <v>0.43</v>
      </c>
      <c r="J56" s="121">
        <f>VLOOKUP($B56,Miljö!$B$1:$J$479,MATCH("Kärnkraftsandel för ursprungsspecificerad el ()",Miljö!$B$1:$J$1,0),FALSE)</f>
        <v>0.40550000000000003</v>
      </c>
      <c r="L56" s="121">
        <f>VLOOKUP($B56,Totalt!$B$1:$BU$497,MATCH("total el",Totalt!$B$1:$BU$1,0),FALSE)</f>
        <v>0.48</v>
      </c>
      <c r="N56" s="271">
        <f t="shared" si="0"/>
        <v>1.1039999999999999</v>
      </c>
      <c r="O56" s="271">
        <f t="shared" si="1"/>
        <v>158.0112</v>
      </c>
      <c r="P56" s="271">
        <f t="shared" si="2"/>
        <v>0.2064</v>
      </c>
      <c r="Q56" s="271">
        <f t="shared" si="3"/>
        <v>0.19464000000000001</v>
      </c>
    </row>
    <row r="57" spans="1:17" x14ac:dyDescent="0.25">
      <c r="A57" s="137" t="s">
        <v>263</v>
      </c>
      <c r="B57" s="137" t="s">
        <v>267</v>
      </c>
      <c r="C57" s="121" t="str">
        <f>VLOOKUP($B57,Totalt!$B$1:$BU$497,MATCH("Kvalitetsgranskad:",Totalt!$B$1:$BU$1,0),FALSE)</f>
        <v>Ja</v>
      </c>
      <c r="E57" s="121" t="str">
        <f>VLOOKUP($B57,Miljö!$B$1:$AG$479,MATCH(E$1,Miljö!$B$1:$AK$1,0),FALSE)</f>
        <v>Ja</v>
      </c>
      <c r="F57" s="121" t="str">
        <f>VLOOKUP($B57,Miljö!$B$1:$J$479,MATCH("Typ av ursprungsspecificerad el   (Om inget värde anges används Nordisk residualmix, se inforuta) ()",Miljö!$B$1:$J$1,0),FALSE)</f>
        <v>''Biokraft samt Nordisk residualmix''</v>
      </c>
      <c r="G57" s="121">
        <f>VLOOKUP($B57,Miljö!$B$1:$J$479,MATCH("Primärenergifaktor ()",Miljö!$B$1:$J$1,0),FALSE)</f>
        <v>0.03</v>
      </c>
      <c r="H57" s="121">
        <f>VLOOKUP($B57,Miljö!$B$1:$J$479,MATCH("Koldioxidekvivalenter energiomvandling (g/kwh)",Miljö!$B$1:$J$1,0),FALSE)</f>
        <v>0</v>
      </c>
      <c r="I57" s="121">
        <f>VLOOKUP($B57,Miljö!$B$1:$J$479,MATCH("Fossilandel för ursprungspecificerad el ()",Miljö!$B$1:$J$1,0),FALSE)</f>
        <v>0</v>
      </c>
      <c r="J57" s="121">
        <f>VLOOKUP($B57,Miljö!$B$1:$J$479,MATCH("Kärnkraftsandel för ursprungsspecificerad el ()",Miljö!$B$1:$J$1,0),FALSE)</f>
        <v>0</v>
      </c>
      <c r="L57" s="121">
        <f>VLOOKUP($B57,Totalt!$B$1:$BU$497,MATCH("total el",Totalt!$B$1:$BU$1,0),FALSE)</f>
        <v>72.3155</v>
      </c>
      <c r="N57" s="271">
        <f t="shared" si="0"/>
        <v>2.1694649999999998</v>
      </c>
      <c r="O57" s="271">
        <f t="shared" si="1"/>
        <v>0</v>
      </c>
      <c r="P57" s="271">
        <f t="shared" si="2"/>
        <v>0</v>
      </c>
      <c r="Q57" s="271">
        <f t="shared" si="3"/>
        <v>0</v>
      </c>
    </row>
    <row r="58" spans="1:17" x14ac:dyDescent="0.25">
      <c r="A58" s="137" t="s">
        <v>263</v>
      </c>
      <c r="B58" s="137" t="s">
        <v>269</v>
      </c>
      <c r="C58" s="121" t="str">
        <f>VLOOKUP($B58,Totalt!$B$1:$BU$497,MATCH("Kvalitetsgranskad:",Totalt!$B$1:$BU$1,0),FALSE)</f>
        <v>Nej</v>
      </c>
      <c r="E58" s="121" t="str">
        <f>VLOOKUP($B58,Miljö!$B$1:$AG$479,MATCH(E$1,Miljö!$B$1:$AK$1,0),FALSE)</f>
        <v>Ja</v>
      </c>
      <c r="F58" s="121" t="str">
        <f>VLOOKUP($B58,Miljö!$B$1:$J$479,MATCH("Typ av ursprungsspecificerad el   (Om inget värde anges används Nordisk residualmix, se inforuta) ()",Miljö!$B$1:$J$1,0),FALSE)</f>
        <v>'Biokraft'</v>
      </c>
      <c r="G58" s="121">
        <f>VLOOKUP($B58,Miljö!$B$1:$J$479,MATCH("Primärenergifaktor ()",Miljö!$B$1:$J$1,0),FALSE)</f>
        <v>0.03</v>
      </c>
      <c r="H58" s="121">
        <f>VLOOKUP($B58,Miljö!$B$1:$J$479,MATCH("Koldioxidekvivalenter energiomvandling (g/kwh)",Miljö!$B$1:$J$1,0),FALSE)</f>
        <v>0</v>
      </c>
      <c r="I58" s="121">
        <f>VLOOKUP($B58,Miljö!$B$1:$J$479,MATCH("Fossilandel för ursprungspecificerad el ()",Miljö!$B$1:$J$1,0),FALSE)</f>
        <v>0</v>
      </c>
      <c r="J58" s="121">
        <f>VLOOKUP($B58,Miljö!$B$1:$J$479,MATCH("Kärnkraftsandel för ursprungsspecificerad el ()",Miljö!$B$1:$J$1,0),FALSE)</f>
        <v>0</v>
      </c>
      <c r="L58" s="121">
        <f>VLOOKUP($B58,Totalt!$B$1:$BU$497,MATCH("total el",Totalt!$B$1:$BU$1,0),FALSE)</f>
        <v>71.599999999999994</v>
      </c>
      <c r="N58" s="271">
        <f t="shared" si="0"/>
        <v>2.1479999999999997</v>
      </c>
      <c r="O58" s="271">
        <f t="shared" si="1"/>
        <v>0</v>
      </c>
      <c r="P58" s="271">
        <f t="shared" si="2"/>
        <v>0</v>
      </c>
      <c r="Q58" s="271">
        <f t="shared" si="3"/>
        <v>0</v>
      </c>
    </row>
    <row r="59" spans="1:17" x14ac:dyDescent="0.25">
      <c r="A59" s="137" t="s">
        <v>263</v>
      </c>
      <c r="B59" s="137" t="s">
        <v>270</v>
      </c>
      <c r="C59" s="121" t="str">
        <f>VLOOKUP($B59,Totalt!$B$1:$BU$497,MATCH("Kvalitetsgranskad:",Totalt!$B$1:$BU$1,0),FALSE)</f>
        <v>Ja</v>
      </c>
      <c r="E59" s="121" t="str">
        <f>VLOOKUP($B59,Miljö!$B$1:$AG$479,MATCH(E$1,Miljö!$B$1:$AK$1,0),FALSE)</f>
        <v>Nej</v>
      </c>
      <c r="F59" s="121" t="str">
        <f>VLOOKUP($B59,Miljö!$B$1:$J$479,MATCH("Typ av ursprungsspecificerad el   (Om inget värde anges används Nordisk residualmix, se inforuta) ()",Miljö!$B$1:$J$1,0),FALSE)</f>
        <v>-</v>
      </c>
      <c r="G59" s="121">
        <f>VLOOKUP($B59,Miljö!$B$1:$J$479,MATCH("Primärenergifaktor ()",Miljö!$B$1:$J$1,0),FALSE)</f>
        <v>2.2999999999999998</v>
      </c>
      <c r="H59" s="121">
        <f>VLOOKUP($B59,Miljö!$B$1:$J$479,MATCH("Koldioxidekvivalenter energiomvandling (g/kwh)",Miljö!$B$1:$J$1,0),FALSE)</f>
        <v>329.19</v>
      </c>
      <c r="I59" s="121">
        <f>VLOOKUP($B59,Miljö!$B$1:$J$479,MATCH("Fossilandel för ursprungspecificerad el ()",Miljö!$B$1:$J$1,0),FALSE)</f>
        <v>0.43</v>
      </c>
      <c r="J59" s="121">
        <f>VLOOKUP($B59,Miljö!$B$1:$J$479,MATCH("Kärnkraftsandel för ursprungsspecificerad el ()",Miljö!$B$1:$J$1,0),FALSE)</f>
        <v>0.40550000000000003</v>
      </c>
      <c r="L59" s="121">
        <f>VLOOKUP($B59,Totalt!$B$1:$BU$497,MATCH("total el",Totalt!$B$1:$BU$1,0),FALSE)</f>
        <v>9.1999999999999993</v>
      </c>
      <c r="N59" s="271">
        <f t="shared" si="0"/>
        <v>21.159999999999997</v>
      </c>
      <c r="O59" s="271">
        <f t="shared" si="1"/>
        <v>3028.5479999999998</v>
      </c>
      <c r="P59" s="271">
        <f t="shared" si="2"/>
        <v>3.9559999999999995</v>
      </c>
      <c r="Q59" s="271">
        <f t="shared" si="3"/>
        <v>3.7305999999999999</v>
      </c>
    </row>
    <row r="60" spans="1:17" x14ac:dyDescent="0.25">
      <c r="A60" s="137" t="s">
        <v>263</v>
      </c>
      <c r="B60" s="137" t="s">
        <v>272</v>
      </c>
      <c r="C60" s="121" t="str">
        <f>VLOOKUP($B60,Totalt!$B$1:$BU$497,MATCH("Kvalitetsgranskad:",Totalt!$B$1:$BU$1,0),FALSE)</f>
        <v>Ja</v>
      </c>
      <c r="E60" s="121" t="str">
        <f>VLOOKUP($B60,Miljö!$B$1:$AG$479,MATCH(E$1,Miljö!$B$1:$AK$1,0),FALSE)</f>
        <v>Ja</v>
      </c>
      <c r="F60" s="121" t="str">
        <f>VLOOKUP($B60,Miljö!$B$1:$J$479,MATCH("Typ av ursprungsspecificerad el   (Om inget värde anges används Nordisk residualmix, se inforuta) ()",Miljö!$B$1:$J$1,0),FALSE)</f>
        <v>'Biokraft och residualel'</v>
      </c>
      <c r="G60" s="121">
        <f>VLOOKUP($B60,Miljö!$B$1:$J$479,MATCH("Primärenergifaktor ()",Miljö!$B$1:$J$1,0),FALSE)</f>
        <v>0.03</v>
      </c>
      <c r="H60" s="121">
        <f>VLOOKUP($B60,Miljö!$B$1:$J$479,MATCH("Koldioxidekvivalenter energiomvandling (g/kwh)",Miljö!$B$1:$J$1,0),FALSE)</f>
        <v>0</v>
      </c>
      <c r="I60" s="121">
        <f>VLOOKUP($B60,Miljö!$B$1:$J$479,MATCH("Fossilandel för ursprungspecificerad el ()",Miljö!$B$1:$J$1,0),FALSE)</f>
        <v>0</v>
      </c>
      <c r="J60" s="121">
        <f>VLOOKUP($B60,Miljö!$B$1:$J$479,MATCH("Kärnkraftsandel för ursprungsspecificerad el ()",Miljö!$B$1:$J$1,0),FALSE)</f>
        <v>0</v>
      </c>
      <c r="L60" s="121">
        <f>VLOOKUP($B60,Totalt!$B$1:$BU$497,MATCH("total el",Totalt!$B$1:$BU$1,0),FALSE)</f>
        <v>54.4375</v>
      </c>
      <c r="N60" s="271">
        <f t="shared" si="0"/>
        <v>1.6331249999999999</v>
      </c>
      <c r="O60" s="271">
        <f t="shared" si="1"/>
        <v>0</v>
      </c>
      <c r="P60" s="271">
        <f t="shared" si="2"/>
        <v>0</v>
      </c>
      <c r="Q60" s="271">
        <f t="shared" si="3"/>
        <v>0</v>
      </c>
    </row>
    <row r="61" spans="1:17" x14ac:dyDescent="0.25">
      <c r="A61" s="137" t="s">
        <v>263</v>
      </c>
      <c r="B61" s="137" t="s">
        <v>273</v>
      </c>
      <c r="C61" s="121" t="str">
        <f>VLOOKUP($B61,Totalt!$B$1:$BU$497,MATCH("Kvalitetsgranskad:",Totalt!$B$1:$BU$1,0),FALSE)</f>
        <v>Ja</v>
      </c>
      <c r="E61" s="121" t="str">
        <f>VLOOKUP($B61,Miljö!$B$1:$AG$479,MATCH(E$1,Miljö!$B$1:$AK$1,0),FALSE)</f>
        <v>Ja</v>
      </c>
      <c r="F61" s="121" t="str">
        <f>VLOOKUP($B61,Miljö!$B$1:$J$479,MATCH("Typ av ursprungsspecificerad el   (Om inget värde anges används Nordisk residualmix, se inforuta) ()",Miljö!$B$1:$J$1,0),FALSE)</f>
        <v>''Biokraft samt Nordisk residualmix''</v>
      </c>
      <c r="G61" s="121">
        <f>VLOOKUP($B61,Miljö!$B$1:$J$479,MATCH("Primärenergifaktor ()",Miljö!$B$1:$J$1,0),FALSE)</f>
        <v>0</v>
      </c>
      <c r="H61" s="121">
        <f>VLOOKUP($B61,Miljö!$B$1:$J$479,MATCH("Koldioxidekvivalenter energiomvandling (g/kwh)",Miljö!$B$1:$J$1,0),FALSE)</f>
        <v>0</v>
      </c>
      <c r="I61" s="121">
        <f>VLOOKUP($B61,Miljö!$B$1:$J$479,MATCH("Fossilandel för ursprungspecificerad el ()",Miljö!$B$1:$J$1,0),FALSE)</f>
        <v>0</v>
      </c>
      <c r="J61" s="121">
        <f>VLOOKUP($B61,Miljö!$B$1:$J$479,MATCH("Kärnkraftsandel för ursprungsspecificerad el ()",Miljö!$B$1:$J$1,0),FALSE)</f>
        <v>0</v>
      </c>
      <c r="L61" s="121">
        <f>VLOOKUP($B61,Totalt!$B$1:$BU$497,MATCH("total el",Totalt!$B$1:$BU$1,0),FALSE)</f>
        <v>42.984200000000001</v>
      </c>
      <c r="N61" s="271">
        <f t="shared" si="0"/>
        <v>0</v>
      </c>
      <c r="O61" s="271">
        <f t="shared" si="1"/>
        <v>0</v>
      </c>
      <c r="P61" s="271">
        <f t="shared" si="2"/>
        <v>0</v>
      </c>
      <c r="Q61" s="271">
        <f t="shared" si="3"/>
        <v>0</v>
      </c>
    </row>
    <row r="62" spans="1:17" x14ac:dyDescent="0.25">
      <c r="A62" s="137" t="s">
        <v>263</v>
      </c>
      <c r="B62" s="137" t="s">
        <v>274</v>
      </c>
      <c r="C62" s="121" t="str">
        <f>VLOOKUP($B62,Totalt!$B$1:$BU$497,MATCH("Kvalitetsgranskad:",Totalt!$B$1:$BU$1,0),FALSE)</f>
        <v>Ja</v>
      </c>
      <c r="E62" s="121" t="str">
        <f>VLOOKUP($B62,Miljö!$B$1:$AG$479,MATCH(E$1,Miljö!$B$1:$AK$1,0),FALSE)</f>
        <v>Nej</v>
      </c>
      <c r="F62" s="121" t="str">
        <f>VLOOKUP($B62,Miljö!$B$1:$J$479,MATCH("Typ av ursprungsspecificerad el   (Om inget värde anges används Nordisk residualmix, se inforuta) ()",Miljö!$B$1:$J$1,0),FALSE)</f>
        <v>-</v>
      </c>
      <c r="G62" s="121">
        <f>VLOOKUP($B62,Miljö!$B$1:$J$479,MATCH("Primärenergifaktor ()",Miljö!$B$1:$J$1,0),FALSE)</f>
        <v>2.2999999999999998</v>
      </c>
      <c r="H62" s="121">
        <f>VLOOKUP($B62,Miljö!$B$1:$J$479,MATCH("Koldioxidekvivalenter energiomvandling (g/kwh)",Miljö!$B$1:$J$1,0),FALSE)</f>
        <v>329.19</v>
      </c>
      <c r="I62" s="121">
        <f>VLOOKUP($B62,Miljö!$B$1:$J$479,MATCH("Fossilandel för ursprungspecificerad el ()",Miljö!$B$1:$J$1,0),FALSE)</f>
        <v>0.43</v>
      </c>
      <c r="J62" s="121">
        <f>VLOOKUP($B62,Miljö!$B$1:$J$479,MATCH("Kärnkraftsandel för ursprungsspecificerad el ()",Miljö!$B$1:$J$1,0),FALSE)</f>
        <v>0.40550000000000003</v>
      </c>
      <c r="L62" s="121">
        <f>VLOOKUP($B62,Totalt!$B$1:$BU$497,MATCH("total el",Totalt!$B$1:$BU$1,0),FALSE)</f>
        <v>2.2999999999999998</v>
      </c>
      <c r="N62" s="271">
        <f t="shared" si="0"/>
        <v>5.2899999999999991</v>
      </c>
      <c r="O62" s="271">
        <f t="shared" si="1"/>
        <v>757.13699999999994</v>
      </c>
      <c r="P62" s="271">
        <f t="shared" si="2"/>
        <v>0.98899999999999988</v>
      </c>
      <c r="Q62" s="271">
        <f t="shared" si="3"/>
        <v>0.93264999999999998</v>
      </c>
    </row>
    <row r="63" spans="1:17" x14ac:dyDescent="0.25">
      <c r="A63" s="137" t="s">
        <v>263</v>
      </c>
      <c r="B63" s="137" t="s">
        <v>275</v>
      </c>
      <c r="C63" s="121" t="str">
        <f>VLOOKUP($B63,Totalt!$B$1:$BU$497,MATCH("Kvalitetsgranskad:",Totalt!$B$1:$BU$1,0),FALSE)</f>
        <v>Ja</v>
      </c>
      <c r="E63" s="121" t="str">
        <f>VLOOKUP($B63,Miljö!$B$1:$AG$479,MATCH(E$1,Miljö!$B$1:$AK$1,0),FALSE)</f>
        <v>Nej</v>
      </c>
      <c r="F63" s="121" t="str">
        <f>VLOOKUP($B63,Miljö!$B$1:$J$479,MATCH("Typ av ursprungsspecificerad el   (Om inget värde anges används Nordisk residualmix, se inforuta) ()",Miljö!$B$1:$J$1,0),FALSE)</f>
        <v>-</v>
      </c>
      <c r="G63" s="121">
        <f>VLOOKUP($B63,Miljö!$B$1:$J$479,MATCH("Primärenergifaktor ()",Miljö!$B$1:$J$1,0),FALSE)</f>
        <v>2.2999999999999998</v>
      </c>
      <c r="H63" s="121">
        <f>VLOOKUP($B63,Miljö!$B$1:$J$479,MATCH("Koldioxidekvivalenter energiomvandling (g/kwh)",Miljö!$B$1:$J$1,0),FALSE)</f>
        <v>329.19</v>
      </c>
      <c r="I63" s="121">
        <f>VLOOKUP($B63,Miljö!$B$1:$J$479,MATCH("Fossilandel för ursprungspecificerad el ()",Miljö!$B$1:$J$1,0),FALSE)</f>
        <v>0.43</v>
      </c>
      <c r="J63" s="121">
        <f>VLOOKUP($B63,Miljö!$B$1:$J$479,MATCH("Kärnkraftsandel för ursprungsspecificerad el ()",Miljö!$B$1:$J$1,0),FALSE)</f>
        <v>0.40550000000000003</v>
      </c>
      <c r="L63" s="121">
        <f>VLOOKUP($B63,Totalt!$B$1:$BU$497,MATCH("total el",Totalt!$B$1:$BU$1,0),FALSE)</f>
        <v>13.7</v>
      </c>
      <c r="N63" s="271">
        <f t="shared" si="0"/>
        <v>31.509999999999994</v>
      </c>
      <c r="O63" s="271">
        <f t="shared" si="1"/>
        <v>4509.9029999999993</v>
      </c>
      <c r="P63" s="271">
        <f t="shared" si="2"/>
        <v>5.891</v>
      </c>
      <c r="Q63" s="271">
        <f t="shared" si="3"/>
        <v>5.5553499999999998</v>
      </c>
    </row>
    <row r="64" spans="1:17" x14ac:dyDescent="0.25">
      <c r="A64" s="137" t="s">
        <v>263</v>
      </c>
      <c r="B64" s="137" t="s">
        <v>276</v>
      </c>
      <c r="C64" s="121" t="str">
        <f>VLOOKUP($B64,Totalt!$B$1:$BU$497,MATCH("Kvalitetsgranskad:",Totalt!$B$1:$BU$1,0),FALSE)</f>
        <v>Ja</v>
      </c>
      <c r="E64" s="121" t="str">
        <f>VLOOKUP($B64,Miljö!$B$1:$AG$479,MATCH(E$1,Miljö!$B$1:$AK$1,0),FALSE)</f>
        <v>Nej</v>
      </c>
      <c r="F64" s="121" t="str">
        <f>VLOOKUP($B64,Miljö!$B$1:$J$479,MATCH("Typ av ursprungsspecificerad el   (Om inget värde anges används Nordisk residualmix, se inforuta) ()",Miljö!$B$1:$J$1,0),FALSE)</f>
        <v>-</v>
      </c>
      <c r="G64" s="121">
        <f>VLOOKUP($B64,Miljö!$B$1:$J$479,MATCH("Primärenergifaktor ()",Miljö!$B$1:$J$1,0),FALSE)</f>
        <v>2.2999999999999998</v>
      </c>
      <c r="H64" s="121">
        <f>VLOOKUP($B64,Miljö!$B$1:$J$479,MATCH("Koldioxidekvivalenter energiomvandling (g/kwh)",Miljö!$B$1:$J$1,0),FALSE)</f>
        <v>329.19</v>
      </c>
      <c r="I64" s="121">
        <f>VLOOKUP($B64,Miljö!$B$1:$J$479,MATCH("Fossilandel för ursprungspecificerad el ()",Miljö!$B$1:$J$1,0),FALSE)</f>
        <v>0.43</v>
      </c>
      <c r="J64" s="121">
        <f>VLOOKUP($B64,Miljö!$B$1:$J$479,MATCH("Kärnkraftsandel för ursprungsspecificerad el ()",Miljö!$B$1:$J$1,0),FALSE)</f>
        <v>0.40550000000000003</v>
      </c>
      <c r="L64" s="121">
        <f>VLOOKUP($B64,Totalt!$B$1:$BU$497,MATCH("total el",Totalt!$B$1:$BU$1,0),FALSE)</f>
        <v>1.6</v>
      </c>
      <c r="N64" s="271">
        <f t="shared" si="0"/>
        <v>3.6799999999999997</v>
      </c>
      <c r="O64" s="271">
        <f t="shared" si="1"/>
        <v>526.70400000000006</v>
      </c>
      <c r="P64" s="271">
        <f t="shared" si="2"/>
        <v>0.68800000000000006</v>
      </c>
      <c r="Q64" s="271">
        <f t="shared" si="3"/>
        <v>0.64880000000000004</v>
      </c>
    </row>
    <row r="65" spans="1:17" x14ac:dyDescent="0.25">
      <c r="A65" s="137" t="s">
        <v>277</v>
      </c>
      <c r="B65" s="137" t="s">
        <v>277</v>
      </c>
      <c r="C65" s="121" t="str">
        <f>VLOOKUP($B65,Totalt!$B$1:$BU$497,MATCH("Kvalitetsgranskad:",Totalt!$B$1:$BU$1,0),FALSE)</f>
        <v>Nej</v>
      </c>
      <c r="E65" s="121" t="str">
        <f>VLOOKUP($B65,Miljö!$B$1:$AG$479,MATCH(E$1,Miljö!$B$1:$AK$1,0),FALSE)</f>
        <v>Nej</v>
      </c>
      <c r="F65" s="121" t="str">
        <f>VLOOKUP($B65,Miljö!$B$1:$J$479,MATCH("Typ av ursprungsspecificerad el   (Om inget värde anges används Nordisk residualmix, se inforuta) ()",Miljö!$B$1:$J$1,0),FALSE)</f>
        <v>-</v>
      </c>
      <c r="G65" s="121" t="str">
        <f>VLOOKUP($B65,Miljö!$B$1:$J$479,MATCH("Primärenergifaktor ()",Miljö!$B$1:$J$1,0),FALSE)</f>
        <v>-</v>
      </c>
      <c r="H65" s="121" t="str">
        <f>VLOOKUP($B65,Miljö!$B$1:$J$479,MATCH("Koldioxidekvivalenter energiomvandling (g/kwh)",Miljö!$B$1:$J$1,0),FALSE)</f>
        <v>-</v>
      </c>
      <c r="I65" s="121" t="str">
        <f>VLOOKUP($B65,Miljö!$B$1:$J$479,MATCH("Fossilandel för ursprungspecificerad el ()",Miljö!$B$1:$J$1,0),FALSE)</f>
        <v>-</v>
      </c>
      <c r="J65" s="121" t="str">
        <f>VLOOKUP($B65,Miljö!$B$1:$J$479,MATCH("Kärnkraftsandel för ursprungsspecificerad el ()",Miljö!$B$1:$J$1,0),FALSE)</f>
        <v>-</v>
      </c>
      <c r="L65" s="121">
        <f>VLOOKUP($B65,Totalt!$B$1:$BU$497,MATCH("total el",Totalt!$B$1:$BU$1,0),FALSE)</f>
        <v>0</v>
      </c>
      <c r="N65" s="271" t="str">
        <f t="shared" si="0"/>
        <v/>
      </c>
      <c r="O65" s="271" t="str">
        <f t="shared" si="1"/>
        <v/>
      </c>
      <c r="P65" s="271" t="str">
        <f t="shared" si="2"/>
        <v/>
      </c>
      <c r="Q65" s="271" t="str">
        <f t="shared" si="3"/>
        <v/>
      </c>
    </row>
    <row r="66" spans="1:17" x14ac:dyDescent="0.25">
      <c r="A66" s="137" t="s">
        <v>277</v>
      </c>
      <c r="B66" s="137" t="s">
        <v>278</v>
      </c>
      <c r="C66" s="121" t="str">
        <f>VLOOKUP($B66,Totalt!$B$1:$BU$497,MATCH("Kvalitetsgranskad:",Totalt!$B$1:$BU$1,0),FALSE)</f>
        <v>Nej</v>
      </c>
      <c r="E66" s="121" t="str">
        <f>VLOOKUP($B66,Miljö!$B$1:$AG$479,MATCH(E$1,Miljö!$B$1:$AK$1,0),FALSE)</f>
        <v>Nej</v>
      </c>
      <c r="F66" s="121" t="str">
        <f>VLOOKUP($B66,Miljö!$B$1:$J$479,MATCH("Typ av ursprungsspecificerad el   (Om inget värde anges används Nordisk residualmix, se inforuta) ()",Miljö!$B$1:$J$1,0),FALSE)</f>
        <v>-</v>
      </c>
      <c r="G66" s="121" t="str">
        <f>VLOOKUP($B66,Miljö!$B$1:$J$479,MATCH("Primärenergifaktor ()",Miljö!$B$1:$J$1,0),FALSE)</f>
        <v>-</v>
      </c>
      <c r="H66" s="121" t="str">
        <f>VLOOKUP($B66,Miljö!$B$1:$J$479,MATCH("Koldioxidekvivalenter energiomvandling (g/kwh)",Miljö!$B$1:$J$1,0),FALSE)</f>
        <v>-</v>
      </c>
      <c r="I66" s="121" t="str">
        <f>VLOOKUP($B66,Miljö!$B$1:$J$479,MATCH("Fossilandel för ursprungspecificerad el ()",Miljö!$B$1:$J$1,0),FALSE)</f>
        <v>-</v>
      </c>
      <c r="J66" s="121" t="str">
        <f>VLOOKUP($B66,Miljö!$B$1:$J$479,MATCH("Kärnkraftsandel för ursprungsspecificerad el ()",Miljö!$B$1:$J$1,0),FALSE)</f>
        <v>-</v>
      </c>
      <c r="L66" s="121">
        <f>VLOOKUP($B66,Totalt!$B$1:$BU$497,MATCH("total el",Totalt!$B$1:$BU$1,0),FALSE)</f>
        <v>0</v>
      </c>
      <c r="N66" s="271" t="str">
        <f t="shared" si="0"/>
        <v/>
      </c>
      <c r="O66" s="271" t="str">
        <f t="shared" si="1"/>
        <v/>
      </c>
      <c r="P66" s="271" t="str">
        <f t="shared" si="2"/>
        <v/>
      </c>
      <c r="Q66" s="271" t="str">
        <f t="shared" si="3"/>
        <v/>
      </c>
    </row>
    <row r="67" spans="1:17" x14ac:dyDescent="0.25">
      <c r="A67" s="137" t="s">
        <v>279</v>
      </c>
      <c r="B67" s="137" t="s">
        <v>280</v>
      </c>
      <c r="C67" s="121" t="str">
        <f>VLOOKUP($B67,Totalt!$B$1:$BU$497,MATCH("Kvalitetsgranskad:",Totalt!$B$1:$BU$1,0),FALSE)</f>
        <v>Ja</v>
      </c>
      <c r="E67" s="121" t="str">
        <f>VLOOKUP($B67,Miljö!$B$1:$AG$479,MATCH(E$1,Miljö!$B$1:$AK$1,0),FALSE)</f>
        <v>Nej</v>
      </c>
      <c r="F67" s="121" t="str">
        <f>VLOOKUP($B67,Miljö!$B$1:$J$479,MATCH("Typ av ursprungsspecificerad el   (Om inget värde anges används Nordisk residualmix, se inforuta) ()",Miljö!$B$1:$J$1,0),FALSE)</f>
        <v>-</v>
      </c>
      <c r="G67" s="121">
        <f>VLOOKUP($B67,Miljö!$B$1:$J$479,MATCH("Primärenergifaktor ()",Miljö!$B$1:$J$1,0),FALSE)</f>
        <v>2.2999999999999998</v>
      </c>
      <c r="H67" s="121">
        <f>VLOOKUP($B67,Miljö!$B$1:$J$479,MATCH("Koldioxidekvivalenter energiomvandling (g/kwh)",Miljö!$B$1:$J$1,0),FALSE)</f>
        <v>329.19</v>
      </c>
      <c r="I67" s="121">
        <f>VLOOKUP($B67,Miljö!$B$1:$J$479,MATCH("Fossilandel för ursprungspecificerad el ()",Miljö!$B$1:$J$1,0),FALSE)</f>
        <v>0.43</v>
      </c>
      <c r="J67" s="121">
        <f>VLOOKUP($B67,Miljö!$B$1:$J$479,MATCH("Kärnkraftsandel för ursprungsspecificerad el ()",Miljö!$B$1:$J$1,0),FALSE)</f>
        <v>0.40550000000000003</v>
      </c>
      <c r="L67" s="121">
        <f>VLOOKUP($B67,Totalt!$B$1:$BU$497,MATCH("total el",Totalt!$B$1:$BU$1,0),FALSE)</f>
        <v>5.9959899999999999</v>
      </c>
      <c r="N67" s="271">
        <f t="shared" ref="N67:N130" si="4">IF(ISERROR($L67*G67),"",$L67*G67)</f>
        <v>13.790776999999999</v>
      </c>
      <c r="O67" s="271">
        <f t="shared" ref="O67:O130" si="5">IF(ISERROR($L67*H67),"",$L67*H67)</f>
        <v>1973.8199480999999</v>
      </c>
      <c r="P67" s="271">
        <f t="shared" ref="P67:P130" si="6">IF(ISERROR($L67*I67),"",$L67*I67)</f>
        <v>2.5782756999999998</v>
      </c>
      <c r="Q67" s="271">
        <f t="shared" ref="Q67:Q130" si="7">IF(ISERROR($L67*J67),"",$L67*J67)</f>
        <v>2.4313739450000003</v>
      </c>
    </row>
    <row r="68" spans="1:17" x14ac:dyDescent="0.25">
      <c r="A68" s="137" t="s">
        <v>279</v>
      </c>
      <c r="B68" s="137" t="s">
        <v>281</v>
      </c>
      <c r="C68" s="121" t="str">
        <f>VLOOKUP($B68,Totalt!$B$1:$BU$497,MATCH("Kvalitetsgranskad:",Totalt!$B$1:$BU$1,0),FALSE)</f>
        <v>Ja</v>
      </c>
      <c r="E68" s="121" t="str">
        <f>VLOOKUP($B68,Miljö!$B$1:$AG$479,MATCH(E$1,Miljö!$B$1:$AK$1,0),FALSE)</f>
        <v>Nej</v>
      </c>
      <c r="F68" s="121" t="str">
        <f>VLOOKUP($B68,Miljö!$B$1:$J$479,MATCH("Typ av ursprungsspecificerad el   (Om inget värde anges används Nordisk residualmix, se inforuta) ()",Miljö!$B$1:$J$1,0),FALSE)</f>
        <v>-</v>
      </c>
      <c r="G68" s="121">
        <f>VLOOKUP($B68,Miljö!$B$1:$J$479,MATCH("Primärenergifaktor ()",Miljö!$B$1:$J$1,0),FALSE)</f>
        <v>2.2999999999999998</v>
      </c>
      <c r="H68" s="121">
        <f>VLOOKUP($B68,Miljö!$B$1:$J$479,MATCH("Koldioxidekvivalenter energiomvandling (g/kwh)",Miljö!$B$1:$J$1,0),FALSE)</f>
        <v>329.19</v>
      </c>
      <c r="I68" s="121">
        <f>VLOOKUP($B68,Miljö!$B$1:$J$479,MATCH("Fossilandel för ursprungspecificerad el ()",Miljö!$B$1:$J$1,0),FALSE)</f>
        <v>0.43</v>
      </c>
      <c r="J68" s="121">
        <f>VLOOKUP($B68,Miljö!$B$1:$J$479,MATCH("Kärnkraftsandel för ursprungsspecificerad el ()",Miljö!$B$1:$J$1,0),FALSE)</f>
        <v>0.40550000000000003</v>
      </c>
      <c r="L68" s="121">
        <f>VLOOKUP($B68,Totalt!$B$1:$BU$497,MATCH("total el",Totalt!$B$1:$BU$1,0),FALSE)</f>
        <v>0.13</v>
      </c>
      <c r="N68" s="271">
        <f t="shared" si="4"/>
        <v>0.29899999999999999</v>
      </c>
      <c r="O68" s="271">
        <f t="shared" si="5"/>
        <v>42.794699999999999</v>
      </c>
      <c r="P68" s="271">
        <f t="shared" si="6"/>
        <v>5.5899999999999998E-2</v>
      </c>
      <c r="Q68" s="271">
        <f t="shared" si="7"/>
        <v>5.2715000000000005E-2</v>
      </c>
    </row>
    <row r="69" spans="1:17" x14ac:dyDescent="0.25">
      <c r="A69" s="137" t="s">
        <v>279</v>
      </c>
      <c r="B69" s="137" t="s">
        <v>282</v>
      </c>
      <c r="C69" s="121" t="str">
        <f>VLOOKUP($B69,Totalt!$B$1:$BU$497,MATCH("Kvalitetsgranskad:",Totalt!$B$1:$BU$1,0),FALSE)</f>
        <v>Ja</v>
      </c>
      <c r="E69" s="121" t="str">
        <f>VLOOKUP($B69,Miljö!$B$1:$AG$479,MATCH(E$1,Miljö!$B$1:$AK$1,0),FALSE)</f>
        <v>Nej</v>
      </c>
      <c r="F69" s="121" t="str">
        <f>VLOOKUP($B69,Miljö!$B$1:$J$479,MATCH("Typ av ursprungsspecificerad el   (Om inget värde anges används Nordisk residualmix, se inforuta) ()",Miljö!$B$1:$J$1,0),FALSE)</f>
        <v>-</v>
      </c>
      <c r="G69" s="121">
        <f>VLOOKUP($B69,Miljö!$B$1:$J$479,MATCH("Primärenergifaktor ()",Miljö!$B$1:$J$1,0),FALSE)</f>
        <v>2.2999999999999998</v>
      </c>
      <c r="H69" s="121">
        <f>VLOOKUP($B69,Miljö!$B$1:$J$479,MATCH("Koldioxidekvivalenter energiomvandling (g/kwh)",Miljö!$B$1:$J$1,0),FALSE)</f>
        <v>329.19</v>
      </c>
      <c r="I69" s="121">
        <f>VLOOKUP($B69,Miljö!$B$1:$J$479,MATCH("Fossilandel för ursprungspecificerad el ()",Miljö!$B$1:$J$1,0),FALSE)</f>
        <v>0.43</v>
      </c>
      <c r="J69" s="121">
        <f>VLOOKUP($B69,Miljö!$B$1:$J$479,MATCH("Kärnkraftsandel för ursprungsspecificerad el ()",Miljö!$B$1:$J$1,0),FALSE)</f>
        <v>0.40550000000000003</v>
      </c>
      <c r="L69" s="121">
        <f>VLOOKUP($B69,Totalt!$B$1:$BU$497,MATCH("total el",Totalt!$B$1:$BU$1,0),FALSE)</f>
        <v>0.35</v>
      </c>
      <c r="N69" s="271">
        <f t="shared" si="4"/>
        <v>0.80499999999999994</v>
      </c>
      <c r="O69" s="271">
        <f t="shared" si="5"/>
        <v>115.2165</v>
      </c>
      <c r="P69" s="271">
        <f t="shared" si="6"/>
        <v>0.15049999999999999</v>
      </c>
      <c r="Q69" s="271">
        <f t="shared" si="7"/>
        <v>0.141925</v>
      </c>
    </row>
    <row r="70" spans="1:17" x14ac:dyDescent="0.25">
      <c r="A70" s="137" t="s">
        <v>283</v>
      </c>
      <c r="B70" s="137" t="s">
        <v>284</v>
      </c>
      <c r="C70" s="121" t="str">
        <f>VLOOKUP($B70,Totalt!$B$1:$BU$497,MATCH("Kvalitetsgranskad:",Totalt!$B$1:$BU$1,0),FALSE)</f>
        <v>Ja</v>
      </c>
      <c r="E70" s="121" t="str">
        <f>VLOOKUP($B70,Miljö!$B$1:$AG$479,MATCH(E$1,Miljö!$B$1:$AK$1,0),FALSE)</f>
        <v>Ja</v>
      </c>
      <c r="F70" s="121" t="str">
        <f>VLOOKUP($B70,Miljö!$B$1:$J$479,MATCH("Typ av ursprungsspecificerad el   (Om inget värde anges används Nordisk residualmix, se inforuta) ()",Miljö!$B$1:$J$1,0),FALSE)</f>
        <v>' ' 100% Förnybart vind.vatten o biobränsle'   '</v>
      </c>
      <c r="G70" s="121">
        <f>VLOOKUP($B70,Miljö!$B$1:$J$479,MATCH("Primärenergifaktor ()",Miljö!$B$1:$J$1,0),FALSE)</f>
        <v>1.1000000000000001</v>
      </c>
      <c r="H70" s="121">
        <f>VLOOKUP($B70,Miljö!$B$1:$J$479,MATCH("Koldioxidekvivalenter energiomvandling (g/kwh)",Miljö!$B$1:$J$1,0),FALSE)</f>
        <v>0</v>
      </c>
      <c r="I70" s="121">
        <f>VLOOKUP($B70,Miljö!$B$1:$J$479,MATCH("Fossilandel för ursprungspecificerad el ()",Miljö!$B$1:$J$1,0),FALSE)</f>
        <v>0</v>
      </c>
      <c r="J70" s="121">
        <f>VLOOKUP($B70,Miljö!$B$1:$J$479,MATCH("Kärnkraftsandel för ursprungsspecificerad el ()",Miljö!$B$1:$J$1,0),FALSE)</f>
        <v>0</v>
      </c>
      <c r="L70" s="121">
        <f>VLOOKUP($B70,Totalt!$B$1:$BU$497,MATCH("total el",Totalt!$B$1:$BU$1,0),FALSE)</f>
        <v>1.59</v>
      </c>
      <c r="N70" s="271">
        <f t="shared" si="4"/>
        <v>1.7490000000000003</v>
      </c>
      <c r="O70" s="271">
        <f t="shared" si="5"/>
        <v>0</v>
      </c>
      <c r="P70" s="271">
        <f t="shared" si="6"/>
        <v>0</v>
      </c>
      <c r="Q70" s="271">
        <f t="shared" si="7"/>
        <v>0</v>
      </c>
    </row>
    <row r="71" spans="1:17" x14ac:dyDescent="0.25">
      <c r="A71" s="137" t="s">
        <v>285</v>
      </c>
      <c r="B71" s="137" t="s">
        <v>286</v>
      </c>
      <c r="C71" s="121" t="str">
        <f>VLOOKUP($B71,Totalt!$B$1:$BU$497,MATCH("Kvalitetsgranskad:",Totalt!$B$1:$BU$1,0),FALSE)</f>
        <v>Ja</v>
      </c>
      <c r="E71" s="121" t="str">
        <f>VLOOKUP($B71,Miljö!$B$1:$AG$479,MATCH(E$1,Miljö!$B$1:$AK$1,0),FALSE)</f>
        <v>Ja</v>
      </c>
      <c r="F71" s="121" t="str">
        <f>VLOOKUP($B71,Miljö!$B$1:$J$479,MATCH("Typ av ursprungsspecificerad el   (Om inget värde anges används Nordisk residualmix, se inforuta) ()",Miljö!$B$1:$J$1,0),FALSE)</f>
        <v>'Biokraft'</v>
      </c>
      <c r="G71" s="121">
        <f>VLOOKUP($B71,Miljö!$B$1:$J$479,MATCH("Primärenergifaktor ()",Miljö!$B$1:$J$1,0),FALSE)</f>
        <v>0.05</v>
      </c>
      <c r="H71" s="121">
        <f>VLOOKUP($B71,Miljö!$B$1:$J$479,MATCH("Koldioxidekvivalenter energiomvandling (g/kwh)",Miljö!$B$1:$J$1,0),FALSE)</f>
        <v>4.2</v>
      </c>
      <c r="I71" s="121">
        <f>VLOOKUP($B71,Miljö!$B$1:$J$479,MATCH("Fossilandel för ursprungspecificerad el ()",Miljö!$B$1:$J$1,0),FALSE)</f>
        <v>0.5</v>
      </c>
      <c r="J71" s="121">
        <f>VLOOKUP($B71,Miljö!$B$1:$J$479,MATCH("Kärnkraftsandel för ursprungsspecificerad el ()",Miljö!$B$1:$J$1,0),FALSE)</f>
        <v>0</v>
      </c>
      <c r="L71" s="121">
        <f>VLOOKUP($B71,Totalt!$B$1:$BU$497,MATCH("total el",Totalt!$B$1:$BU$1,0),FALSE)</f>
        <v>18.284599999999998</v>
      </c>
      <c r="N71" s="271">
        <f t="shared" si="4"/>
        <v>0.91422999999999988</v>
      </c>
      <c r="O71" s="271">
        <f t="shared" si="5"/>
        <v>76.79531999999999</v>
      </c>
      <c r="P71" s="271">
        <f t="shared" si="6"/>
        <v>9.1422999999999988</v>
      </c>
      <c r="Q71" s="271">
        <f t="shared" si="7"/>
        <v>0</v>
      </c>
    </row>
    <row r="72" spans="1:17" x14ac:dyDescent="0.25">
      <c r="A72" s="137" t="s">
        <v>289</v>
      </c>
      <c r="B72" s="137" t="s">
        <v>290</v>
      </c>
      <c r="C72" s="121" t="str">
        <f>VLOOKUP($B72,Totalt!$B$1:$BU$497,MATCH("Kvalitetsgranskad:",Totalt!$B$1:$BU$1,0),FALSE)</f>
        <v>Ja</v>
      </c>
      <c r="E72" s="121" t="str">
        <f>VLOOKUP($B72,Miljö!$B$1:$AG$479,MATCH(E$1,Miljö!$B$1:$AK$1,0),FALSE)</f>
        <v>Ja</v>
      </c>
      <c r="F72" s="121" t="str">
        <f>VLOOKUP($B72,Miljö!$B$1:$J$479,MATCH("Typ av ursprungsspecificerad el   (Om inget värde anges används Nordisk residualmix, se inforuta) ()",Miljö!$B$1:$J$1,0),FALSE)</f>
        <v>'Eskilstuna Bioel'</v>
      </c>
      <c r="G72" s="121">
        <f>VLOOKUP($B72,Miljö!$B$1:$J$479,MATCH("Primärenergifaktor ()",Miljö!$B$1:$J$1,0),FALSE)</f>
        <v>0.03</v>
      </c>
      <c r="H72" s="121">
        <f>VLOOKUP($B72,Miljö!$B$1:$J$479,MATCH("Koldioxidekvivalenter energiomvandling (g/kwh)",Miljö!$B$1:$J$1,0),FALSE)</f>
        <v>22</v>
      </c>
      <c r="I72" s="121">
        <f>VLOOKUP($B72,Miljö!$B$1:$J$479,MATCH("Fossilandel för ursprungspecificerad el ()",Miljö!$B$1:$J$1,0),FALSE)</f>
        <v>0</v>
      </c>
      <c r="J72" s="121">
        <f>VLOOKUP($B72,Miljö!$B$1:$J$479,MATCH("Kärnkraftsandel för ursprungsspecificerad el ()",Miljö!$B$1:$J$1,0),FALSE)</f>
        <v>0</v>
      </c>
      <c r="L72" s="121">
        <f>VLOOKUP($B72,Totalt!$B$1:$BU$497,MATCH("total el",Totalt!$B$1:$BU$1,0),FALSE)</f>
        <v>24.9635</v>
      </c>
      <c r="N72" s="271">
        <f t="shared" si="4"/>
        <v>0.74890499999999993</v>
      </c>
      <c r="O72" s="271">
        <f t="shared" si="5"/>
        <v>549.197</v>
      </c>
      <c r="P72" s="271">
        <f t="shared" si="6"/>
        <v>0</v>
      </c>
      <c r="Q72" s="271">
        <f t="shared" si="7"/>
        <v>0</v>
      </c>
    </row>
    <row r="73" spans="1:17" x14ac:dyDescent="0.25">
      <c r="A73" s="137" t="s">
        <v>289</v>
      </c>
      <c r="B73" s="137" t="s">
        <v>291</v>
      </c>
      <c r="C73" s="121" t="str">
        <f>VLOOKUP($B73,Totalt!$B$1:$BU$497,MATCH("Kvalitetsgranskad:",Totalt!$B$1:$BU$1,0),FALSE)</f>
        <v>Ja</v>
      </c>
      <c r="E73" s="121" t="str">
        <f>VLOOKUP($B73,Miljö!$B$1:$AG$479,MATCH(E$1,Miljö!$B$1:$AK$1,0),FALSE)</f>
        <v>Ja</v>
      </c>
      <c r="F73" s="121" t="str">
        <f>VLOOKUP($B73,Miljö!$B$1:$J$479,MATCH("Typ av ursprungsspecificerad el   (Om inget värde anges används Nordisk residualmix, se inforuta) ()",Miljö!$B$1:$J$1,0),FALSE)</f>
        <v>'Eskilstuna Bioel'</v>
      </c>
      <c r="G73" s="121">
        <f>VLOOKUP($B73,Miljö!$B$1:$J$479,MATCH("Primärenergifaktor ()",Miljö!$B$1:$J$1,0),FALSE)</f>
        <v>0.03</v>
      </c>
      <c r="H73" s="121">
        <f>VLOOKUP($B73,Miljö!$B$1:$J$479,MATCH("Koldioxidekvivalenter energiomvandling (g/kwh)",Miljö!$B$1:$J$1,0),FALSE)</f>
        <v>22</v>
      </c>
      <c r="I73" s="121">
        <f>VLOOKUP($B73,Miljö!$B$1:$J$479,MATCH("Fossilandel för ursprungspecificerad el ()",Miljö!$B$1:$J$1,0),FALSE)</f>
        <v>0</v>
      </c>
      <c r="J73" s="121">
        <f>VLOOKUP($B73,Miljö!$B$1:$J$479,MATCH("Kärnkraftsandel för ursprungsspecificerad el ()",Miljö!$B$1:$J$1,0),FALSE)</f>
        <v>0</v>
      </c>
      <c r="L73" s="121">
        <f>VLOOKUP($B73,Totalt!$B$1:$BU$497,MATCH("total el",Totalt!$B$1:$BU$1,0),FALSE)</f>
        <v>1.9E-2</v>
      </c>
      <c r="N73" s="271">
        <f t="shared" si="4"/>
        <v>5.6999999999999998E-4</v>
      </c>
      <c r="O73" s="271">
        <f t="shared" si="5"/>
        <v>0.41799999999999998</v>
      </c>
      <c r="P73" s="271">
        <f t="shared" si="6"/>
        <v>0</v>
      </c>
      <c r="Q73" s="271">
        <f t="shared" si="7"/>
        <v>0</v>
      </c>
    </row>
    <row r="74" spans="1:17" x14ac:dyDescent="0.25">
      <c r="A74" s="137" t="s">
        <v>289</v>
      </c>
      <c r="B74" s="137" t="s">
        <v>292</v>
      </c>
      <c r="C74" s="121" t="str">
        <f>VLOOKUP($B74,Totalt!$B$1:$BU$497,MATCH("Kvalitetsgranskad:",Totalt!$B$1:$BU$1,0),FALSE)</f>
        <v>Ja</v>
      </c>
      <c r="E74" s="121" t="str">
        <f>VLOOKUP($B74,Miljö!$B$1:$AG$479,MATCH(E$1,Miljö!$B$1:$AK$1,0),FALSE)</f>
        <v>Ja</v>
      </c>
      <c r="F74" s="121" t="str">
        <f>VLOOKUP($B74,Miljö!$B$1:$J$479,MATCH("Typ av ursprungsspecificerad el   (Om inget värde anges används Nordisk residualmix, se inforuta) ()",Miljö!$B$1:$J$1,0),FALSE)</f>
        <v>'Eskilstuna Bioel'</v>
      </c>
      <c r="G74" s="121">
        <f>VLOOKUP($B74,Miljö!$B$1:$J$479,MATCH("Primärenergifaktor ()",Miljö!$B$1:$J$1,0),FALSE)</f>
        <v>0.03</v>
      </c>
      <c r="H74" s="121">
        <f>VLOOKUP($B74,Miljö!$B$1:$J$479,MATCH("Koldioxidekvivalenter energiomvandling (g/kwh)",Miljö!$B$1:$J$1,0),FALSE)</f>
        <v>22</v>
      </c>
      <c r="I74" s="121">
        <f>VLOOKUP($B74,Miljö!$B$1:$J$479,MATCH("Fossilandel för ursprungspecificerad el ()",Miljö!$B$1:$J$1,0),FALSE)</f>
        <v>0</v>
      </c>
      <c r="J74" s="121">
        <f>VLOOKUP($B74,Miljö!$B$1:$J$479,MATCH("Kärnkraftsandel för ursprungsspecificerad el ()",Miljö!$B$1:$J$1,0),FALSE)</f>
        <v>0</v>
      </c>
      <c r="L74" s="121">
        <f>VLOOKUP($B74,Totalt!$B$1:$BU$497,MATCH("total el",Totalt!$B$1:$BU$1,0),FALSE)</f>
        <v>0.125</v>
      </c>
      <c r="N74" s="271">
        <f t="shared" si="4"/>
        <v>3.7499999999999999E-3</v>
      </c>
      <c r="O74" s="271">
        <f t="shared" si="5"/>
        <v>2.75</v>
      </c>
      <c r="P74" s="271">
        <f t="shared" si="6"/>
        <v>0</v>
      </c>
      <c r="Q74" s="271">
        <f t="shared" si="7"/>
        <v>0</v>
      </c>
    </row>
    <row r="75" spans="1:17" x14ac:dyDescent="0.25">
      <c r="A75" s="137" t="s">
        <v>293</v>
      </c>
      <c r="B75" s="137" t="s">
        <v>294</v>
      </c>
      <c r="C75" s="121" t="str">
        <f>VLOOKUP($B75,Totalt!$B$1:$BU$497,MATCH("Kvalitetsgranskad:",Totalt!$B$1:$BU$1,0),FALSE)</f>
        <v>Ja</v>
      </c>
      <c r="E75" s="121" t="str">
        <f>VLOOKUP($B75,Miljö!$B$1:$AG$479,MATCH(E$1,Miljö!$B$1:$AK$1,0),FALSE)</f>
        <v>Ja</v>
      </c>
      <c r="F75" s="121" t="str">
        <f>VLOOKUP($B75,Miljö!$B$1:$J$479,MATCH("Typ av ursprungsspecificerad el   (Om inget värde anges används Nordisk residualmix, se inforuta) ()",Miljö!$B$1:$J$1,0),FALSE)</f>
        <v>'Bra Miljöval'</v>
      </c>
      <c r="G75" s="121">
        <f>VLOOKUP($B75,Miljö!$B$1:$J$479,MATCH("Primärenergifaktor ()",Miljö!$B$1:$J$1,0),FALSE)</f>
        <v>1.1000000000000001</v>
      </c>
      <c r="H75" s="121">
        <f>VLOOKUP($B75,Miljö!$B$1:$J$479,MATCH("Koldioxidekvivalenter energiomvandling (g/kwh)",Miljö!$B$1:$J$1,0),FALSE)</f>
        <v>5</v>
      </c>
      <c r="I75" s="121">
        <f>VLOOKUP($B75,Miljö!$B$1:$J$479,MATCH("Fossilandel för ursprungspecificerad el ()",Miljö!$B$1:$J$1,0),FALSE)</f>
        <v>0</v>
      </c>
      <c r="J75" s="121">
        <f>VLOOKUP($B75,Miljö!$B$1:$J$479,MATCH("Kärnkraftsandel för ursprungsspecificerad el ()",Miljö!$B$1:$J$1,0),FALSE)</f>
        <v>0</v>
      </c>
      <c r="L75" s="121">
        <f>VLOOKUP($B75,Totalt!$B$1:$BU$497,MATCH("total el",Totalt!$B$1:$BU$1,0),FALSE)</f>
        <v>3.1210900000000001</v>
      </c>
      <c r="N75" s="271">
        <f t="shared" si="4"/>
        <v>3.4331990000000006</v>
      </c>
      <c r="O75" s="271">
        <f t="shared" si="5"/>
        <v>15.605450000000001</v>
      </c>
      <c r="P75" s="271">
        <f t="shared" si="6"/>
        <v>0</v>
      </c>
      <c r="Q75" s="271">
        <f t="shared" si="7"/>
        <v>0</v>
      </c>
    </row>
    <row r="76" spans="1:17" x14ac:dyDescent="0.25">
      <c r="A76" s="137" t="s">
        <v>293</v>
      </c>
      <c r="B76" s="137" t="s">
        <v>295</v>
      </c>
      <c r="C76" s="121" t="str">
        <f>VLOOKUP($B76,Totalt!$B$1:$BU$497,MATCH("Kvalitetsgranskad:",Totalt!$B$1:$BU$1,0),FALSE)</f>
        <v>Ja</v>
      </c>
      <c r="E76" s="121" t="str">
        <f>VLOOKUP($B76,Miljö!$B$1:$AG$479,MATCH(E$1,Miljö!$B$1:$AK$1,0),FALSE)</f>
        <v>Ja</v>
      </c>
      <c r="F76" s="121" t="str">
        <f>VLOOKUP($B76,Miljö!$B$1:$J$479,MATCH("Typ av ursprungsspecificerad el   (Om inget värde anges används Nordisk residualmix, se inforuta) ()",Miljö!$B$1:$J$1,0),FALSE)</f>
        <v>'Bra Miljöval'</v>
      </c>
      <c r="G76" s="121">
        <f>VLOOKUP($B76,Miljö!$B$1:$J$479,MATCH("Primärenergifaktor ()",Miljö!$B$1:$J$1,0),FALSE)</f>
        <v>1.1000000000000001</v>
      </c>
      <c r="H76" s="121">
        <f>VLOOKUP($B76,Miljö!$B$1:$J$479,MATCH("Koldioxidekvivalenter energiomvandling (g/kwh)",Miljö!$B$1:$J$1,0),FALSE)</f>
        <v>5</v>
      </c>
      <c r="I76" s="121">
        <f>VLOOKUP($B76,Miljö!$B$1:$J$479,MATCH("Fossilandel för ursprungspecificerad el ()",Miljö!$B$1:$J$1,0),FALSE)</f>
        <v>0</v>
      </c>
      <c r="J76" s="121">
        <f>VLOOKUP($B76,Miljö!$B$1:$J$479,MATCH("Kärnkraftsandel för ursprungsspecificerad el ()",Miljö!$B$1:$J$1,0),FALSE)</f>
        <v>0</v>
      </c>
      <c r="L76" s="121">
        <f>VLOOKUP($B76,Totalt!$B$1:$BU$497,MATCH("total el",Totalt!$B$1:$BU$1,0),FALSE)</f>
        <v>0.12</v>
      </c>
      <c r="N76" s="271">
        <f t="shared" si="4"/>
        <v>0.13200000000000001</v>
      </c>
      <c r="O76" s="271">
        <f t="shared" si="5"/>
        <v>0.6</v>
      </c>
      <c r="P76" s="271">
        <f t="shared" si="6"/>
        <v>0</v>
      </c>
      <c r="Q76" s="271">
        <f t="shared" si="7"/>
        <v>0</v>
      </c>
    </row>
    <row r="77" spans="1:17" x14ac:dyDescent="0.25">
      <c r="A77" s="137" t="s">
        <v>293</v>
      </c>
      <c r="B77" s="137" t="s">
        <v>296</v>
      </c>
      <c r="C77" s="121" t="str">
        <f>VLOOKUP($B77,Totalt!$B$1:$BU$497,MATCH("Kvalitetsgranskad:",Totalt!$B$1:$BU$1,0),FALSE)</f>
        <v>Ja</v>
      </c>
      <c r="E77" s="121" t="str">
        <f>VLOOKUP($B77,Miljö!$B$1:$AG$479,MATCH(E$1,Miljö!$B$1:$AK$1,0),FALSE)</f>
        <v>Ja</v>
      </c>
      <c r="F77" s="121" t="str">
        <f>VLOOKUP($B77,Miljö!$B$1:$J$479,MATCH("Typ av ursprungsspecificerad el   (Om inget värde anges används Nordisk residualmix, se inforuta) ()",Miljö!$B$1:$J$1,0),FALSE)</f>
        <v>'Bra Miljöval'</v>
      </c>
      <c r="G77" s="121">
        <f>VLOOKUP($B77,Miljö!$B$1:$J$479,MATCH("Primärenergifaktor ()",Miljö!$B$1:$J$1,0),FALSE)</f>
        <v>1.1000000000000001</v>
      </c>
      <c r="H77" s="121">
        <f>VLOOKUP($B77,Miljö!$B$1:$J$479,MATCH("Koldioxidekvivalenter energiomvandling (g/kwh)",Miljö!$B$1:$J$1,0),FALSE)</f>
        <v>5</v>
      </c>
      <c r="I77" s="121">
        <f>VLOOKUP($B77,Miljö!$B$1:$J$479,MATCH("Fossilandel för ursprungspecificerad el ()",Miljö!$B$1:$J$1,0),FALSE)</f>
        <v>0</v>
      </c>
      <c r="J77" s="121">
        <f>VLOOKUP($B77,Miljö!$B$1:$J$479,MATCH("Kärnkraftsandel för ursprungsspecificerad el ()",Miljö!$B$1:$J$1,0),FALSE)</f>
        <v>0</v>
      </c>
      <c r="L77" s="121">
        <f>VLOOKUP($B77,Totalt!$B$1:$BU$497,MATCH("total el",Totalt!$B$1:$BU$1,0),FALSE)</f>
        <v>1.06</v>
      </c>
      <c r="N77" s="271">
        <f t="shared" si="4"/>
        <v>1.1660000000000001</v>
      </c>
      <c r="O77" s="271">
        <f t="shared" si="5"/>
        <v>5.3000000000000007</v>
      </c>
      <c r="P77" s="271">
        <f t="shared" si="6"/>
        <v>0</v>
      </c>
      <c r="Q77" s="271">
        <f t="shared" si="7"/>
        <v>0</v>
      </c>
    </row>
    <row r="78" spans="1:17" x14ac:dyDescent="0.25">
      <c r="A78" s="137" t="s">
        <v>297</v>
      </c>
      <c r="B78" s="137" t="s">
        <v>298</v>
      </c>
      <c r="C78" s="121" t="str">
        <f>VLOOKUP($B78,Totalt!$B$1:$BU$497,MATCH("Kvalitetsgranskad:",Totalt!$B$1:$BU$1,0),FALSE)</f>
        <v>Ja</v>
      </c>
      <c r="E78" s="121" t="str">
        <f>VLOOKUP($B78,Miljö!$B$1:$AG$479,MATCH(E$1,Miljö!$B$1:$AK$1,0),FALSE)</f>
        <v>Ja</v>
      </c>
      <c r="F78" s="121" t="str">
        <f>VLOOKUP($B78,Miljö!$B$1:$J$479,MATCH("Typ av ursprungsspecificerad el   (Om inget värde anges används Nordisk residualmix, se inforuta) ()",Miljö!$B$1:$J$1,0),FALSE)</f>
        <v>'"FEAB Bra Miljöval"'</v>
      </c>
      <c r="G78" s="121">
        <f>VLOOKUP($B78,Miljö!$B$1:$J$479,MATCH("Primärenergifaktor ()",Miljö!$B$1:$J$1,0),FALSE)</f>
        <v>0.82</v>
      </c>
      <c r="H78" s="121">
        <f>VLOOKUP($B78,Miljö!$B$1:$J$479,MATCH("Koldioxidekvivalenter energiomvandling (g/kwh)",Miljö!$B$1:$J$1,0),FALSE)</f>
        <v>0</v>
      </c>
      <c r="I78" s="121">
        <f>VLOOKUP($B78,Miljö!$B$1:$J$479,MATCH("Fossilandel för ursprungspecificerad el ()",Miljö!$B$1:$J$1,0),FALSE)</f>
        <v>0</v>
      </c>
      <c r="J78" s="121">
        <f>VLOOKUP($B78,Miljö!$B$1:$J$479,MATCH("Kärnkraftsandel för ursprungsspecificerad el ()",Miljö!$B$1:$J$1,0),FALSE)</f>
        <v>0</v>
      </c>
      <c r="L78" s="121">
        <f>VLOOKUP($B78,Totalt!$B$1:$BU$497,MATCH("total el",Totalt!$B$1:$BU$1,0),FALSE)</f>
        <v>1.7230000000000001</v>
      </c>
      <c r="N78" s="271">
        <f t="shared" si="4"/>
        <v>1.41286</v>
      </c>
      <c r="O78" s="271">
        <f t="shared" si="5"/>
        <v>0</v>
      </c>
      <c r="P78" s="271">
        <f t="shared" si="6"/>
        <v>0</v>
      </c>
      <c r="Q78" s="271">
        <f t="shared" si="7"/>
        <v>0</v>
      </c>
    </row>
    <row r="79" spans="1:17" x14ac:dyDescent="0.25">
      <c r="A79" s="137" t="s">
        <v>297</v>
      </c>
      <c r="B79" s="137" t="s">
        <v>299</v>
      </c>
      <c r="C79" s="121" t="str">
        <f>VLOOKUP($B79,Totalt!$B$1:$BU$497,MATCH("Kvalitetsgranskad:",Totalt!$B$1:$BU$1,0),FALSE)</f>
        <v>Ja</v>
      </c>
      <c r="E79" s="121" t="str">
        <f>VLOOKUP($B79,Miljö!$B$1:$AG$479,MATCH(E$1,Miljö!$B$1:$AK$1,0),FALSE)</f>
        <v>Ja</v>
      </c>
      <c r="F79" s="121" t="str">
        <f>VLOOKUP($B79,Miljö!$B$1:$J$479,MATCH("Typ av ursprungsspecificerad el   (Om inget värde anges används Nordisk residualmix, se inforuta) ()",Miljö!$B$1:$J$1,0),FALSE)</f>
        <v>'"FEAB Bra Miljöval"'</v>
      </c>
      <c r="G79" s="121">
        <f>VLOOKUP($B79,Miljö!$B$1:$J$479,MATCH("Primärenergifaktor ()",Miljö!$B$1:$J$1,0),FALSE)</f>
        <v>0.82</v>
      </c>
      <c r="H79" s="121">
        <f>VLOOKUP($B79,Miljö!$B$1:$J$479,MATCH("Koldioxidekvivalenter energiomvandling (g/kwh)",Miljö!$B$1:$J$1,0),FALSE)</f>
        <v>0</v>
      </c>
      <c r="I79" s="121">
        <f>VLOOKUP($B79,Miljö!$B$1:$J$479,MATCH("Fossilandel för ursprungspecificerad el ()",Miljö!$B$1:$J$1,0),FALSE)</f>
        <v>0</v>
      </c>
      <c r="J79" s="121">
        <f>VLOOKUP($B79,Miljö!$B$1:$J$479,MATCH("Kärnkraftsandel för ursprungsspecificerad el ()",Miljö!$B$1:$J$1,0),FALSE)</f>
        <v>0</v>
      </c>
      <c r="L79" s="121">
        <f>VLOOKUP($B79,Totalt!$B$1:$BU$497,MATCH("total el",Totalt!$B$1:$BU$1,0),FALSE)</f>
        <v>5.0999999999999997E-2</v>
      </c>
      <c r="N79" s="271">
        <f t="shared" si="4"/>
        <v>4.1819999999999996E-2</v>
      </c>
      <c r="O79" s="271">
        <f t="shared" si="5"/>
        <v>0</v>
      </c>
      <c r="P79" s="271">
        <f t="shared" si="6"/>
        <v>0</v>
      </c>
      <c r="Q79" s="271">
        <f t="shared" si="7"/>
        <v>0</v>
      </c>
    </row>
    <row r="80" spans="1:17" x14ac:dyDescent="0.25">
      <c r="A80" s="137" t="s">
        <v>297</v>
      </c>
      <c r="B80" s="137" t="s">
        <v>300</v>
      </c>
      <c r="C80" s="121" t="str">
        <f>VLOOKUP($B80,Totalt!$B$1:$BU$497,MATCH("Kvalitetsgranskad:",Totalt!$B$1:$BU$1,0),FALSE)</f>
        <v>Ja</v>
      </c>
      <c r="E80" s="121" t="str">
        <f>VLOOKUP($B80,Miljö!$B$1:$AG$479,MATCH(E$1,Miljö!$B$1:$AK$1,0),FALSE)</f>
        <v>Ja</v>
      </c>
      <c r="F80" s="121" t="str">
        <f>VLOOKUP($B80,Miljö!$B$1:$J$479,MATCH("Typ av ursprungsspecificerad el   (Om inget värde anges används Nordisk residualmix, se inforuta) ()",Miljö!$B$1:$J$1,0),FALSE)</f>
        <v>'100% Vattenkraftsel'</v>
      </c>
      <c r="G80" s="121">
        <f>VLOOKUP($B80,Miljö!$B$1:$J$479,MATCH("Primärenergifaktor ()",Miljö!$B$1:$J$1,0),FALSE)</f>
        <v>1.1000000000000001</v>
      </c>
      <c r="H80" s="121">
        <f>VLOOKUP($B80,Miljö!$B$1:$J$479,MATCH("Koldioxidekvivalenter energiomvandling (g/kwh)",Miljö!$B$1:$J$1,0),FALSE)</f>
        <v>0</v>
      </c>
      <c r="I80" s="121">
        <f>VLOOKUP($B80,Miljö!$B$1:$J$479,MATCH("Fossilandel för ursprungspecificerad el ()",Miljö!$B$1:$J$1,0),FALSE)</f>
        <v>0.01</v>
      </c>
      <c r="J80" s="121">
        <f>VLOOKUP($B80,Miljö!$B$1:$J$479,MATCH("Kärnkraftsandel för ursprungsspecificerad el ()",Miljö!$B$1:$J$1,0),FALSE)</f>
        <v>0</v>
      </c>
      <c r="L80" s="121">
        <f>VLOOKUP($B80,Totalt!$B$1:$BU$497,MATCH("total el",Totalt!$B$1:$BU$1,0),FALSE)</f>
        <v>5.5E-2</v>
      </c>
      <c r="N80" s="271">
        <f t="shared" si="4"/>
        <v>6.0500000000000005E-2</v>
      </c>
      <c r="O80" s="271">
        <f t="shared" si="5"/>
        <v>0</v>
      </c>
      <c r="P80" s="271">
        <f t="shared" si="6"/>
        <v>5.5000000000000003E-4</v>
      </c>
      <c r="Q80" s="271">
        <f t="shared" si="7"/>
        <v>0</v>
      </c>
    </row>
    <row r="81" spans="1:17" x14ac:dyDescent="0.25">
      <c r="A81" s="137" t="s">
        <v>301</v>
      </c>
      <c r="B81" s="137" t="s">
        <v>302</v>
      </c>
      <c r="C81" s="121" t="str">
        <f>VLOOKUP($B81,Totalt!$B$1:$BU$497,MATCH("Kvalitetsgranskad:",Totalt!$B$1:$BU$1,0),FALSE)</f>
        <v>Ja</v>
      </c>
      <c r="E81" s="121" t="str">
        <f>VLOOKUP($B81,Miljö!$B$1:$AG$479,MATCH(E$1,Miljö!$B$1:$AK$1,0),FALSE)</f>
        <v>Ja</v>
      </c>
      <c r="F81" s="121" t="str">
        <f>VLOOKUP($B81,Miljö!$B$1:$J$479,MATCH("Typ av ursprungsspecificerad el   (Om inget värde anges används Nordisk residualmix, se inforuta) ()",Miljö!$B$1:$J$1,0),FALSE)</f>
        <v>'Bio. vatten. vind'</v>
      </c>
      <c r="G81" s="121">
        <f>VLOOKUP($B81,Miljö!$B$1:$J$479,MATCH("Primärenergifaktor ()",Miljö!$B$1:$J$1,0),FALSE)</f>
        <v>1.5</v>
      </c>
      <c r="H81" s="121">
        <f>VLOOKUP($B81,Miljö!$B$1:$J$479,MATCH("Koldioxidekvivalenter energiomvandling (g/kwh)",Miljö!$B$1:$J$1,0),FALSE)</f>
        <v>0</v>
      </c>
      <c r="I81" s="121">
        <f>VLOOKUP($B81,Miljö!$B$1:$J$479,MATCH("Fossilandel för ursprungspecificerad el ()",Miljö!$B$1:$J$1,0),FALSE)</f>
        <v>0</v>
      </c>
      <c r="J81" s="121">
        <f>VLOOKUP($B81,Miljö!$B$1:$J$479,MATCH("Kärnkraftsandel för ursprungsspecificerad el ()",Miljö!$B$1:$J$1,0),FALSE)</f>
        <v>0</v>
      </c>
      <c r="L81" s="121">
        <f>VLOOKUP($B81,Totalt!$B$1:$BU$497,MATCH("total el",Totalt!$B$1:$BU$1,0),FALSE)</f>
        <v>0.06</v>
      </c>
      <c r="N81" s="271">
        <f t="shared" si="4"/>
        <v>0.09</v>
      </c>
      <c r="O81" s="271">
        <f t="shared" si="5"/>
        <v>0</v>
      </c>
      <c r="P81" s="271">
        <f t="shared" si="6"/>
        <v>0</v>
      </c>
      <c r="Q81" s="271">
        <f t="shared" si="7"/>
        <v>0</v>
      </c>
    </row>
    <row r="82" spans="1:17" x14ac:dyDescent="0.25">
      <c r="A82" s="137" t="s">
        <v>301</v>
      </c>
      <c r="B82" s="137" t="s">
        <v>303</v>
      </c>
      <c r="C82" s="121" t="str">
        <f>VLOOKUP($B82,Totalt!$B$1:$BU$497,MATCH("Kvalitetsgranskad:",Totalt!$B$1:$BU$1,0),FALSE)</f>
        <v>Ja</v>
      </c>
      <c r="E82" s="121" t="str">
        <f>VLOOKUP($B82,Miljö!$B$1:$AG$479,MATCH(E$1,Miljö!$B$1:$AK$1,0),FALSE)</f>
        <v>Ja</v>
      </c>
      <c r="F82" s="121" t="str">
        <f>VLOOKUP($B82,Miljö!$B$1:$J$479,MATCH("Typ av ursprungsspecificerad el   (Om inget värde anges används Nordisk residualmix, se inforuta) ()",Miljö!$B$1:$J$1,0),FALSE)</f>
        <v>'Bio. vatten. vind'</v>
      </c>
      <c r="G82" s="121">
        <f>VLOOKUP($B82,Miljö!$B$1:$J$479,MATCH("Primärenergifaktor ()",Miljö!$B$1:$J$1,0),FALSE)</f>
        <v>1.5</v>
      </c>
      <c r="H82" s="121">
        <f>VLOOKUP($B82,Miljö!$B$1:$J$479,MATCH("Koldioxidekvivalenter energiomvandling (g/kwh)",Miljö!$B$1:$J$1,0),FALSE)</f>
        <v>0</v>
      </c>
      <c r="I82" s="121">
        <f>VLOOKUP($B82,Miljö!$B$1:$J$479,MATCH("Fossilandel för ursprungspecificerad el ()",Miljö!$B$1:$J$1,0),FALSE)</f>
        <v>0</v>
      </c>
      <c r="J82" s="121">
        <f>VLOOKUP($B82,Miljö!$B$1:$J$479,MATCH("Kärnkraftsandel för ursprungsspecificerad el ()",Miljö!$B$1:$J$1,0),FALSE)</f>
        <v>0</v>
      </c>
      <c r="L82" s="121">
        <f>VLOOKUP($B82,Totalt!$B$1:$BU$497,MATCH("total el",Totalt!$B$1:$BU$1,0),FALSE)</f>
        <v>9.9985700000000008</v>
      </c>
      <c r="N82" s="271">
        <f t="shared" si="4"/>
        <v>14.997855000000001</v>
      </c>
      <c r="O82" s="271">
        <f t="shared" si="5"/>
        <v>0</v>
      </c>
      <c r="P82" s="271">
        <f t="shared" si="6"/>
        <v>0</v>
      </c>
      <c r="Q82" s="271">
        <f t="shared" si="7"/>
        <v>0</v>
      </c>
    </row>
    <row r="83" spans="1:17" x14ac:dyDescent="0.25">
      <c r="A83" s="137" t="s">
        <v>301</v>
      </c>
      <c r="B83" s="137" t="s">
        <v>305</v>
      </c>
      <c r="C83" s="121" t="str">
        <f>VLOOKUP($B83,Totalt!$B$1:$BU$497,MATCH("Kvalitetsgranskad:",Totalt!$B$1:$BU$1,0),FALSE)</f>
        <v>Ja</v>
      </c>
      <c r="E83" s="121" t="str">
        <f>VLOOKUP($B83,Miljö!$B$1:$AG$479,MATCH(E$1,Miljö!$B$1:$AK$1,0),FALSE)</f>
        <v>Ja</v>
      </c>
      <c r="F83" s="121" t="str">
        <f>VLOOKUP($B83,Miljö!$B$1:$J$479,MATCH("Typ av ursprungsspecificerad el   (Om inget värde anges används Nordisk residualmix, se inforuta) ()",Miljö!$B$1:$J$1,0),FALSE)</f>
        <v>'Bio. vatten. vind'</v>
      </c>
      <c r="G83" s="121">
        <f>VLOOKUP($B83,Miljö!$B$1:$J$479,MATCH("Primärenergifaktor ()",Miljö!$B$1:$J$1,0),FALSE)</f>
        <v>1.5</v>
      </c>
      <c r="H83" s="121">
        <f>VLOOKUP($B83,Miljö!$B$1:$J$479,MATCH("Koldioxidekvivalenter energiomvandling (g/kwh)",Miljö!$B$1:$J$1,0),FALSE)</f>
        <v>0</v>
      </c>
      <c r="I83" s="121">
        <f>VLOOKUP($B83,Miljö!$B$1:$J$479,MATCH("Fossilandel för ursprungspecificerad el ()",Miljö!$B$1:$J$1,0),FALSE)</f>
        <v>0</v>
      </c>
      <c r="J83" s="121">
        <f>VLOOKUP($B83,Miljö!$B$1:$J$479,MATCH("Kärnkraftsandel för ursprungsspecificerad el ()",Miljö!$B$1:$J$1,0),FALSE)</f>
        <v>0</v>
      </c>
      <c r="L83" s="121">
        <f>VLOOKUP($B83,Totalt!$B$1:$BU$497,MATCH("total el",Totalt!$B$1:$BU$1,0),FALSE)</f>
        <v>5.5E-2</v>
      </c>
      <c r="N83" s="271">
        <f t="shared" si="4"/>
        <v>8.2500000000000004E-2</v>
      </c>
      <c r="O83" s="271">
        <f t="shared" si="5"/>
        <v>0</v>
      </c>
      <c r="P83" s="271">
        <f t="shared" si="6"/>
        <v>0</v>
      </c>
      <c r="Q83" s="271">
        <f t="shared" si="7"/>
        <v>0</v>
      </c>
    </row>
    <row r="84" spans="1:17" x14ac:dyDescent="0.25">
      <c r="A84" s="137" t="s">
        <v>301</v>
      </c>
      <c r="B84" s="137" t="s">
        <v>306</v>
      </c>
      <c r="C84" s="121" t="str">
        <f>VLOOKUP($B84,Totalt!$B$1:$BU$497,MATCH("Kvalitetsgranskad:",Totalt!$B$1:$BU$1,0),FALSE)</f>
        <v>Ja</v>
      </c>
      <c r="E84" s="121" t="str">
        <f>VLOOKUP($B84,Miljö!$B$1:$AG$479,MATCH(E$1,Miljö!$B$1:$AK$1,0),FALSE)</f>
        <v>Ja</v>
      </c>
      <c r="F84" s="121" t="str">
        <f>VLOOKUP($B84,Miljö!$B$1:$J$479,MATCH("Typ av ursprungsspecificerad el   (Om inget värde anges används Nordisk residualmix, se inforuta) ()",Miljö!$B$1:$J$1,0),FALSE)</f>
        <v>'Bio. vatten. vind'</v>
      </c>
      <c r="G84" s="121">
        <f>VLOOKUP($B84,Miljö!$B$1:$J$479,MATCH("Primärenergifaktor ()",Miljö!$B$1:$J$1,0),FALSE)</f>
        <v>1.5</v>
      </c>
      <c r="H84" s="121">
        <f>VLOOKUP($B84,Miljö!$B$1:$J$479,MATCH("Koldioxidekvivalenter energiomvandling (g/kwh)",Miljö!$B$1:$J$1,0),FALSE)</f>
        <v>0</v>
      </c>
      <c r="I84" s="121">
        <f>VLOOKUP($B84,Miljö!$B$1:$J$479,MATCH("Fossilandel för ursprungspecificerad el ()",Miljö!$B$1:$J$1,0),FALSE)</f>
        <v>0</v>
      </c>
      <c r="J84" s="121">
        <f>VLOOKUP($B84,Miljö!$B$1:$J$479,MATCH("Kärnkraftsandel för ursprungsspecificerad el ()",Miljö!$B$1:$J$1,0),FALSE)</f>
        <v>0</v>
      </c>
      <c r="L84" s="121">
        <f>VLOOKUP($B84,Totalt!$B$1:$BU$497,MATCH("total el",Totalt!$B$1:$BU$1,0),FALSE)</f>
        <v>0.105</v>
      </c>
      <c r="N84" s="271">
        <f t="shared" si="4"/>
        <v>0.1575</v>
      </c>
      <c r="O84" s="271">
        <f t="shared" si="5"/>
        <v>0</v>
      </c>
      <c r="P84" s="271">
        <f t="shared" si="6"/>
        <v>0</v>
      </c>
      <c r="Q84" s="271">
        <f t="shared" si="7"/>
        <v>0</v>
      </c>
    </row>
    <row r="85" spans="1:17" x14ac:dyDescent="0.25">
      <c r="A85" s="137" t="s">
        <v>307</v>
      </c>
      <c r="B85" s="137" t="s">
        <v>308</v>
      </c>
      <c r="C85" s="121" t="str">
        <f>VLOOKUP($B85,Totalt!$B$1:$BU$497,MATCH("Kvalitetsgranskad:",Totalt!$B$1:$BU$1,0),FALSE)</f>
        <v>Ja</v>
      </c>
      <c r="E85" s="121" t="str">
        <f>VLOOKUP($B85,Miljö!$B$1:$AG$479,MATCH(E$1,Miljö!$B$1:$AK$1,0),FALSE)</f>
        <v>Ja</v>
      </c>
      <c r="F85" s="121" t="str">
        <f>VLOOKUP($B85,Miljö!$B$1:$J$479,MATCH("Typ av ursprungsspecificerad el   (Om inget värde anges används Nordisk residualmix, se inforuta) ()",Miljö!$B$1:$J$1,0),FALSE)</f>
        <v>'1.1'</v>
      </c>
      <c r="G85" s="121">
        <f>VLOOKUP($B85,Miljö!$B$1:$J$479,MATCH("Primärenergifaktor ()",Miljö!$B$1:$J$1,0),FALSE)</f>
        <v>1.1000000000000001</v>
      </c>
      <c r="H85" s="121">
        <f>VLOOKUP($B85,Miljö!$B$1:$J$479,MATCH("Koldioxidekvivalenter energiomvandling (g/kwh)",Miljö!$B$1:$J$1,0),FALSE)</f>
        <v>0</v>
      </c>
      <c r="I85" s="121">
        <f>VLOOKUP($B85,Miljö!$B$1:$J$479,MATCH("Fossilandel för ursprungspecificerad el ()",Miljö!$B$1:$J$1,0),FALSE)</f>
        <v>0</v>
      </c>
      <c r="J85" s="121">
        <f>VLOOKUP($B85,Miljö!$B$1:$J$479,MATCH("Kärnkraftsandel för ursprungsspecificerad el ()",Miljö!$B$1:$J$1,0),FALSE)</f>
        <v>0</v>
      </c>
      <c r="L85" s="121">
        <f>VLOOKUP($B85,Totalt!$B$1:$BU$497,MATCH("total el",Totalt!$B$1:$BU$1,0),FALSE)</f>
        <v>3.9</v>
      </c>
      <c r="N85" s="271">
        <f t="shared" si="4"/>
        <v>4.29</v>
      </c>
      <c r="O85" s="271">
        <f t="shared" si="5"/>
        <v>0</v>
      </c>
      <c r="P85" s="271">
        <f t="shared" si="6"/>
        <v>0</v>
      </c>
      <c r="Q85" s="271">
        <f t="shared" si="7"/>
        <v>0</v>
      </c>
    </row>
    <row r="86" spans="1:17" x14ac:dyDescent="0.25">
      <c r="A86" s="137" t="s">
        <v>309</v>
      </c>
      <c r="B86" s="137" t="s">
        <v>310</v>
      </c>
      <c r="C86" s="121" t="str">
        <f>VLOOKUP($B86,Totalt!$B$1:$BU$497,MATCH("Kvalitetsgranskad:",Totalt!$B$1:$BU$1,0),FALSE)</f>
        <v>Ja</v>
      </c>
      <c r="E86" s="121" t="str">
        <f>VLOOKUP($B86,Miljö!$B$1:$AG$479,MATCH(E$1,Miljö!$B$1:$AK$1,0),FALSE)</f>
        <v>Ja</v>
      </c>
      <c r="F86" s="121" t="str">
        <f>VLOOKUP($B86,Miljö!$B$1:$J$479,MATCH("Typ av ursprungsspecificerad el   (Om inget värde anges används Nordisk residualmix, se inforuta) ()",Miljö!$B$1:$J$1,0),FALSE)</f>
        <v>'förnybart'</v>
      </c>
      <c r="G86" s="121">
        <f>VLOOKUP($B86,Miljö!$B$1:$J$479,MATCH("Primärenergifaktor ()",Miljö!$B$1:$J$1,0),FALSE)</f>
        <v>1.17</v>
      </c>
      <c r="H86" s="121">
        <f>VLOOKUP($B86,Miljö!$B$1:$J$479,MATCH("Koldioxidekvivalenter energiomvandling (g/kwh)",Miljö!$B$1:$J$1,0),FALSE)</f>
        <v>0</v>
      </c>
      <c r="I86" s="121">
        <f>VLOOKUP($B86,Miljö!$B$1:$J$479,MATCH("Fossilandel för ursprungspecificerad el ()",Miljö!$B$1:$J$1,0),FALSE)</f>
        <v>0</v>
      </c>
      <c r="J86" s="121">
        <f>VLOOKUP($B86,Miljö!$B$1:$J$479,MATCH("Kärnkraftsandel för ursprungsspecificerad el ()",Miljö!$B$1:$J$1,0),FALSE)</f>
        <v>0</v>
      </c>
      <c r="L86" s="121">
        <f>VLOOKUP($B86,Totalt!$B$1:$BU$497,MATCH("total el",Totalt!$B$1:$BU$1,0),FALSE)</f>
        <v>1.06335</v>
      </c>
      <c r="N86" s="271">
        <f t="shared" si="4"/>
        <v>1.2441195</v>
      </c>
      <c r="O86" s="271">
        <f t="shared" si="5"/>
        <v>0</v>
      </c>
      <c r="P86" s="271">
        <f t="shared" si="6"/>
        <v>0</v>
      </c>
      <c r="Q86" s="271">
        <f t="shared" si="7"/>
        <v>0</v>
      </c>
    </row>
    <row r="87" spans="1:17" x14ac:dyDescent="0.25">
      <c r="A87" s="137" t="s">
        <v>309</v>
      </c>
      <c r="B87" s="137" t="s">
        <v>311</v>
      </c>
      <c r="C87" s="121" t="str">
        <f>VLOOKUP($B87,Totalt!$B$1:$BU$497,MATCH("Kvalitetsgranskad:",Totalt!$B$1:$BU$1,0),FALSE)</f>
        <v>Ja</v>
      </c>
      <c r="E87" s="121" t="str">
        <f>VLOOKUP($B87,Miljö!$B$1:$AG$479,MATCH(E$1,Miljö!$B$1:$AK$1,0),FALSE)</f>
        <v>Nej</v>
      </c>
      <c r="F87" s="121" t="str">
        <f>VLOOKUP($B87,Miljö!$B$1:$J$479,MATCH("Typ av ursprungsspecificerad el   (Om inget värde anges används Nordisk residualmix, se inforuta) ()",Miljö!$B$1:$J$1,0),FALSE)</f>
        <v>-</v>
      </c>
      <c r="G87" s="121">
        <f>VLOOKUP($B87,Miljö!$B$1:$J$479,MATCH("Primärenergifaktor ()",Miljö!$B$1:$J$1,0),FALSE)</f>
        <v>2.2999999999999998</v>
      </c>
      <c r="H87" s="121">
        <f>VLOOKUP($B87,Miljö!$B$1:$J$479,MATCH("Koldioxidekvivalenter energiomvandling (g/kwh)",Miljö!$B$1:$J$1,0),FALSE)</f>
        <v>329.19</v>
      </c>
      <c r="I87" s="121">
        <f>VLOOKUP($B87,Miljö!$B$1:$J$479,MATCH("Fossilandel för ursprungspecificerad el ()",Miljö!$B$1:$J$1,0),FALSE)</f>
        <v>0.43</v>
      </c>
      <c r="J87" s="121">
        <f>VLOOKUP($B87,Miljö!$B$1:$J$479,MATCH("Kärnkraftsandel för ursprungsspecificerad el ()",Miljö!$B$1:$J$1,0),FALSE)</f>
        <v>0.40550000000000003</v>
      </c>
      <c r="L87" s="121">
        <f>VLOOKUP($B87,Totalt!$B$1:$BU$497,MATCH("total el",Totalt!$B$1:$BU$1,0),FALSE)</f>
        <v>0.13100999999999999</v>
      </c>
      <c r="N87" s="271">
        <f t="shared" si="4"/>
        <v>0.30132299999999995</v>
      </c>
      <c r="O87" s="271">
        <f t="shared" si="5"/>
        <v>43.127181899999997</v>
      </c>
      <c r="P87" s="271">
        <f t="shared" si="6"/>
        <v>5.6334299999999997E-2</v>
      </c>
      <c r="Q87" s="271">
        <f t="shared" si="7"/>
        <v>5.3124554999999997E-2</v>
      </c>
    </row>
    <row r="88" spans="1:17" x14ac:dyDescent="0.25">
      <c r="A88" s="137" t="s">
        <v>309</v>
      </c>
      <c r="B88" s="137" t="s">
        <v>313</v>
      </c>
      <c r="C88" s="121" t="str">
        <f>VLOOKUP($B88,Totalt!$B$1:$BU$497,MATCH("Kvalitetsgranskad:",Totalt!$B$1:$BU$1,0),FALSE)</f>
        <v>Ja</v>
      </c>
      <c r="E88" s="121" t="str">
        <f>VLOOKUP($B88,Miljö!$B$1:$AG$479,MATCH(E$1,Miljö!$B$1:$AK$1,0),FALSE)</f>
        <v>Ja</v>
      </c>
      <c r="F88" s="121" t="str">
        <f>VLOOKUP($B88,Miljö!$B$1:$J$479,MATCH("Typ av ursprungsspecificerad el   (Om inget värde anges används Nordisk residualmix, se inforuta) ()",Miljö!$B$1:$J$1,0),FALSE)</f>
        <v>'förnybar'</v>
      </c>
      <c r="G88" s="121">
        <f>VLOOKUP($B88,Miljö!$B$1:$J$479,MATCH("Primärenergifaktor ()",Miljö!$B$1:$J$1,0),FALSE)</f>
        <v>1</v>
      </c>
      <c r="H88" s="121">
        <f>VLOOKUP($B88,Miljö!$B$1:$J$479,MATCH("Koldioxidekvivalenter energiomvandling (g/kwh)",Miljö!$B$1:$J$1,0),FALSE)</f>
        <v>0</v>
      </c>
      <c r="I88" s="121">
        <f>VLOOKUP($B88,Miljö!$B$1:$J$479,MATCH("Fossilandel för ursprungspecificerad el ()",Miljö!$B$1:$J$1,0),FALSE)</f>
        <v>0</v>
      </c>
      <c r="J88" s="121">
        <f>VLOOKUP($B88,Miljö!$B$1:$J$479,MATCH("Kärnkraftsandel för ursprungsspecificerad el ()",Miljö!$B$1:$J$1,0),FALSE)</f>
        <v>0</v>
      </c>
      <c r="L88" s="121">
        <f>VLOOKUP($B88,Totalt!$B$1:$BU$497,MATCH("total el",Totalt!$B$1:$BU$1,0),FALSE)</f>
        <v>0.56164999999999998</v>
      </c>
      <c r="N88" s="271">
        <f t="shared" si="4"/>
        <v>0.56164999999999998</v>
      </c>
      <c r="O88" s="271">
        <f t="shared" si="5"/>
        <v>0</v>
      </c>
      <c r="P88" s="271">
        <f t="shared" si="6"/>
        <v>0</v>
      </c>
      <c r="Q88" s="271">
        <f t="shared" si="7"/>
        <v>0</v>
      </c>
    </row>
    <row r="89" spans="1:17" x14ac:dyDescent="0.25">
      <c r="A89" s="137" t="s">
        <v>315</v>
      </c>
      <c r="B89" s="137" t="s">
        <v>316</v>
      </c>
      <c r="C89" s="121" t="str">
        <f>VLOOKUP($B89,Totalt!$B$1:$BU$497,MATCH("Kvalitetsgranskad:",Totalt!$B$1:$BU$1,0),FALSE)</f>
        <v>Ja</v>
      </c>
      <c r="E89" s="121" t="str">
        <f>VLOOKUP($B89,Miljö!$B$1:$AG$479,MATCH(E$1,Miljö!$B$1:$AK$1,0),FALSE)</f>
        <v>Ja</v>
      </c>
      <c r="F89" s="121" t="str">
        <f>VLOOKUP($B89,Miljö!$B$1:$J$479,MATCH("Typ av ursprungsspecificerad el   (Om inget värde anges används Nordisk residualmix, se inforuta) ()",Miljö!$B$1:$J$1,0),FALSE)</f>
        <v>'EPD-EL Miljöcertifierad Vattenkraft'</v>
      </c>
      <c r="G89" s="121">
        <f>VLOOKUP($B89,Miljö!$B$1:$J$479,MATCH("Primärenergifaktor ()",Miljö!$B$1:$J$1,0),FALSE)</f>
        <v>1.1000000000000001</v>
      </c>
      <c r="H89" s="121">
        <f>VLOOKUP($B89,Miljö!$B$1:$J$479,MATCH("Koldioxidekvivalenter energiomvandling (g/kwh)",Miljö!$B$1:$J$1,0),FALSE)</f>
        <v>0</v>
      </c>
      <c r="I89" s="121">
        <f>VLOOKUP($B89,Miljö!$B$1:$J$479,MATCH("Fossilandel för ursprungspecificerad el ()",Miljö!$B$1:$J$1,0),FALSE)</f>
        <v>0</v>
      </c>
      <c r="J89" s="121">
        <f>VLOOKUP($B89,Miljö!$B$1:$J$479,MATCH("Kärnkraftsandel för ursprungsspecificerad el ()",Miljö!$B$1:$J$1,0),FALSE)</f>
        <v>0</v>
      </c>
      <c r="L89" s="121">
        <f>VLOOKUP($B89,Totalt!$B$1:$BU$497,MATCH("total el",Totalt!$B$1:$BU$1,0),FALSE)</f>
        <v>0.35457</v>
      </c>
      <c r="N89" s="271">
        <f t="shared" si="4"/>
        <v>0.39002700000000001</v>
      </c>
      <c r="O89" s="271">
        <f t="shared" si="5"/>
        <v>0</v>
      </c>
      <c r="P89" s="271">
        <f t="shared" si="6"/>
        <v>0</v>
      </c>
      <c r="Q89" s="271">
        <f t="shared" si="7"/>
        <v>0</v>
      </c>
    </row>
    <row r="90" spans="1:17" x14ac:dyDescent="0.25">
      <c r="A90" s="137" t="s">
        <v>315</v>
      </c>
      <c r="B90" s="137" t="s">
        <v>317</v>
      </c>
      <c r="C90" s="121" t="str">
        <f>VLOOKUP($B90,Totalt!$B$1:$BU$497,MATCH("Kvalitetsgranskad:",Totalt!$B$1:$BU$1,0),FALSE)</f>
        <v>Ja</v>
      </c>
      <c r="E90" s="121" t="str">
        <f>VLOOKUP($B90,Miljö!$B$1:$AG$479,MATCH(E$1,Miljö!$B$1:$AK$1,0),FALSE)</f>
        <v>Ja</v>
      </c>
      <c r="F90" s="121" t="str">
        <f>VLOOKUP($B90,Miljö!$B$1:$J$479,MATCH("Typ av ursprungsspecificerad el   (Om inget värde anges används Nordisk residualmix, se inforuta) ()",Miljö!$B$1:$J$1,0),FALSE)</f>
        <v>'EPD-EL Miljöcertifierad Vattenkraft'</v>
      </c>
      <c r="G90" s="121">
        <f>VLOOKUP($B90,Miljö!$B$1:$J$479,MATCH("Primärenergifaktor ()",Miljö!$B$1:$J$1,0),FALSE)</f>
        <v>1.1000000000000001</v>
      </c>
      <c r="H90" s="121">
        <f>VLOOKUP($B90,Miljö!$B$1:$J$479,MATCH("Koldioxidekvivalenter energiomvandling (g/kwh)",Miljö!$B$1:$J$1,0),FALSE)</f>
        <v>0</v>
      </c>
      <c r="I90" s="121">
        <f>VLOOKUP($B90,Miljö!$B$1:$J$479,MATCH("Fossilandel för ursprungspecificerad el ()",Miljö!$B$1:$J$1,0),FALSE)</f>
        <v>0</v>
      </c>
      <c r="J90" s="121">
        <f>VLOOKUP($B90,Miljö!$B$1:$J$479,MATCH("Kärnkraftsandel för ursprungsspecificerad el ()",Miljö!$B$1:$J$1,0),FALSE)</f>
        <v>0</v>
      </c>
      <c r="L90" s="121">
        <f>VLOOKUP($B90,Totalt!$B$1:$BU$497,MATCH("total el",Totalt!$B$1:$BU$1,0),FALSE)</f>
        <v>0.21446999999999999</v>
      </c>
      <c r="N90" s="271">
        <f t="shared" si="4"/>
        <v>0.23591700000000002</v>
      </c>
      <c r="O90" s="271">
        <f t="shared" si="5"/>
        <v>0</v>
      </c>
      <c r="P90" s="271">
        <f t="shared" si="6"/>
        <v>0</v>
      </c>
      <c r="Q90" s="271">
        <f t="shared" si="7"/>
        <v>0</v>
      </c>
    </row>
    <row r="91" spans="1:17" x14ac:dyDescent="0.25">
      <c r="A91" s="137" t="s">
        <v>315</v>
      </c>
      <c r="B91" s="137" t="s">
        <v>318</v>
      </c>
      <c r="C91" s="121" t="str">
        <f>VLOOKUP($B91,Totalt!$B$1:$BU$497,MATCH("Kvalitetsgranskad:",Totalt!$B$1:$BU$1,0),FALSE)</f>
        <v>Ja</v>
      </c>
      <c r="E91" s="121" t="str">
        <f>VLOOKUP($B91,Miljö!$B$1:$AG$479,MATCH(E$1,Miljö!$B$1:$AK$1,0),FALSE)</f>
        <v>Ja</v>
      </c>
      <c r="F91" s="121" t="str">
        <f>VLOOKUP($B91,Miljö!$B$1:$J$479,MATCH("Typ av ursprungsspecificerad el   (Om inget värde anges används Nordisk residualmix, se inforuta) ()",Miljö!$B$1:$J$1,0),FALSE)</f>
        <v>'EPD-EL Miljöcertifierad Vattenkraft'</v>
      </c>
      <c r="G91" s="121">
        <f>VLOOKUP($B91,Miljö!$B$1:$J$479,MATCH("Primärenergifaktor ()",Miljö!$B$1:$J$1,0),FALSE)</f>
        <v>1.1000000000000001</v>
      </c>
      <c r="H91" s="121">
        <f>VLOOKUP($B91,Miljö!$B$1:$J$479,MATCH("Koldioxidekvivalenter energiomvandling (g/kwh)",Miljö!$B$1:$J$1,0),FALSE)</f>
        <v>0</v>
      </c>
      <c r="I91" s="121">
        <f>VLOOKUP($B91,Miljö!$B$1:$J$479,MATCH("Fossilandel för ursprungspecificerad el ()",Miljö!$B$1:$J$1,0),FALSE)</f>
        <v>0</v>
      </c>
      <c r="J91" s="121">
        <f>VLOOKUP($B91,Miljö!$B$1:$J$479,MATCH("Kärnkraftsandel för ursprungsspecificerad el ()",Miljö!$B$1:$J$1,0),FALSE)</f>
        <v>0</v>
      </c>
      <c r="L91" s="121">
        <f>VLOOKUP($B91,Totalt!$B$1:$BU$497,MATCH("total el",Totalt!$B$1:$BU$1,0),FALSE)</f>
        <v>0.47181000000000001</v>
      </c>
      <c r="N91" s="271">
        <f t="shared" si="4"/>
        <v>0.51899100000000009</v>
      </c>
      <c r="O91" s="271">
        <f t="shared" si="5"/>
        <v>0</v>
      </c>
      <c r="P91" s="271">
        <f t="shared" si="6"/>
        <v>0</v>
      </c>
      <c r="Q91" s="271">
        <f t="shared" si="7"/>
        <v>0</v>
      </c>
    </row>
    <row r="92" spans="1:17" x14ac:dyDescent="0.25">
      <c r="A92" s="137" t="s">
        <v>315</v>
      </c>
      <c r="B92" s="137" t="s">
        <v>319</v>
      </c>
      <c r="C92" s="121" t="str">
        <f>VLOOKUP($B92,Totalt!$B$1:$BU$497,MATCH("Kvalitetsgranskad:",Totalt!$B$1:$BU$1,0),FALSE)</f>
        <v>Ja</v>
      </c>
      <c r="E92" s="121" t="str">
        <f>VLOOKUP($B92,Miljö!$B$1:$AG$479,MATCH(E$1,Miljö!$B$1:$AK$1,0),FALSE)</f>
        <v>Ja</v>
      </c>
      <c r="F92" s="121" t="str">
        <f>VLOOKUP($B92,Miljö!$B$1:$J$479,MATCH("Typ av ursprungsspecificerad el   (Om inget värde anges används Nordisk residualmix, se inforuta) ()",Miljö!$B$1:$J$1,0),FALSE)</f>
        <v>'EPD-L Miljöcertifierad Vattenkraft'</v>
      </c>
      <c r="G92" s="121">
        <f>VLOOKUP($B92,Miljö!$B$1:$J$479,MATCH("Primärenergifaktor ()",Miljö!$B$1:$J$1,0),FALSE)</f>
        <v>1.1000000000000001</v>
      </c>
      <c r="H92" s="121">
        <f>VLOOKUP($B92,Miljö!$B$1:$J$479,MATCH("Koldioxidekvivalenter energiomvandling (g/kwh)",Miljö!$B$1:$J$1,0),FALSE)</f>
        <v>0</v>
      </c>
      <c r="I92" s="121">
        <f>VLOOKUP($B92,Miljö!$B$1:$J$479,MATCH("Fossilandel för ursprungspecificerad el ()",Miljö!$B$1:$J$1,0),FALSE)</f>
        <v>0</v>
      </c>
      <c r="J92" s="121">
        <f>VLOOKUP($B92,Miljö!$B$1:$J$479,MATCH("Kärnkraftsandel för ursprungsspecificerad el ()",Miljö!$B$1:$J$1,0),FALSE)</f>
        <v>0</v>
      </c>
      <c r="L92" s="121">
        <f>VLOOKUP($B92,Totalt!$B$1:$BU$497,MATCH("total el",Totalt!$B$1:$BU$1,0),FALSE)</f>
        <v>18.097909999999999</v>
      </c>
      <c r="N92" s="271">
        <f t="shared" si="4"/>
        <v>19.907700999999999</v>
      </c>
      <c r="O92" s="271">
        <f t="shared" si="5"/>
        <v>0</v>
      </c>
      <c r="P92" s="271">
        <f t="shared" si="6"/>
        <v>0</v>
      </c>
      <c r="Q92" s="271">
        <f t="shared" si="7"/>
        <v>0</v>
      </c>
    </row>
    <row r="93" spans="1:17" x14ac:dyDescent="0.25">
      <c r="A93" s="137" t="s">
        <v>320</v>
      </c>
      <c r="B93" s="137" t="s">
        <v>321</v>
      </c>
      <c r="C93" s="121" t="str">
        <f>VLOOKUP($B93,Totalt!$B$1:$BU$497,MATCH("Kvalitetsgranskad:",Totalt!$B$1:$BU$1,0),FALSE)</f>
        <v>Ja</v>
      </c>
      <c r="E93" s="121" t="str">
        <f>VLOOKUP($B93,Miljö!$B$1:$AG$479,MATCH(E$1,Miljö!$B$1:$AK$1,0),FALSE)</f>
        <v>Nej</v>
      </c>
      <c r="F93" s="121" t="str">
        <f>VLOOKUP($B93,Miljö!$B$1:$J$479,MATCH("Typ av ursprungsspecificerad el   (Om inget värde anges används Nordisk residualmix, se inforuta) ()",Miljö!$B$1:$J$1,0),FALSE)</f>
        <v>'-'</v>
      </c>
      <c r="G93" s="121">
        <f>VLOOKUP($B93,Miljö!$B$1:$J$479,MATCH("Primärenergifaktor ()",Miljö!$B$1:$J$1,0),FALSE)</f>
        <v>2.2999999999999998</v>
      </c>
      <c r="H93" s="121">
        <f>VLOOKUP($B93,Miljö!$B$1:$J$479,MATCH("Koldioxidekvivalenter energiomvandling (g/kwh)",Miljö!$B$1:$J$1,0),FALSE)</f>
        <v>329.19</v>
      </c>
      <c r="I93" s="121">
        <f>VLOOKUP($B93,Miljö!$B$1:$J$479,MATCH("Fossilandel för ursprungspecificerad el ()",Miljö!$B$1:$J$1,0),FALSE)</f>
        <v>0.43</v>
      </c>
      <c r="J93" s="121">
        <f>VLOOKUP($B93,Miljö!$B$1:$J$479,MATCH("Kärnkraftsandel för ursprungsspecificerad el ()",Miljö!$B$1:$J$1,0),FALSE)</f>
        <v>0.40550000000000003</v>
      </c>
      <c r="L93" s="121">
        <f>VLOOKUP($B93,Totalt!$B$1:$BU$497,MATCH("total el",Totalt!$B$1:$BU$1,0),FALSE)</f>
        <v>7.0270200000000003</v>
      </c>
      <c r="N93" s="271">
        <f t="shared" si="4"/>
        <v>16.162146</v>
      </c>
      <c r="O93" s="271">
        <f t="shared" si="5"/>
        <v>2313.2247138000002</v>
      </c>
      <c r="P93" s="271">
        <f t="shared" si="6"/>
        <v>3.0216186</v>
      </c>
      <c r="Q93" s="271">
        <f t="shared" si="7"/>
        <v>2.8494566100000003</v>
      </c>
    </row>
    <row r="94" spans="1:17" x14ac:dyDescent="0.25">
      <c r="A94" s="137" t="s">
        <v>322</v>
      </c>
      <c r="B94" s="137" t="s">
        <v>323</v>
      </c>
      <c r="C94" s="121" t="str">
        <f>VLOOKUP($B94,Totalt!$B$1:$BU$497,MATCH("Kvalitetsgranskad:",Totalt!$B$1:$BU$1,0),FALSE)</f>
        <v>Ja</v>
      </c>
      <c r="E94" s="121" t="str">
        <f>VLOOKUP($B94,Miljö!$B$1:$AG$479,MATCH(E$1,Miljö!$B$1:$AK$1,0),FALSE)</f>
        <v>Ja</v>
      </c>
      <c r="F94" s="121" t="str">
        <f>VLOOKUP($B94,Miljö!$B$1:$J$479,MATCH("Typ av ursprungsspecificerad el   (Om inget värde anges används Nordisk residualmix, se inforuta) ()",Miljö!$B$1:$J$1,0),FALSE)</f>
        <v>'Källmärkt Gävle Energi'</v>
      </c>
      <c r="G94" s="121">
        <f>VLOOKUP($B94,Miljö!$B$1:$J$479,MATCH("Primärenergifaktor ()",Miljö!$B$1:$J$1,0),FALSE)</f>
        <v>0.08</v>
      </c>
      <c r="H94" s="121">
        <f>VLOOKUP($B94,Miljö!$B$1:$J$479,MATCH("Koldioxidekvivalenter energiomvandling (g/kwh)",Miljö!$B$1:$J$1,0),FALSE)</f>
        <v>9</v>
      </c>
      <c r="I94" s="121">
        <f>VLOOKUP($B94,Miljö!$B$1:$J$479,MATCH("Fossilandel för ursprungspecificerad el ()",Miljö!$B$1:$J$1,0),FALSE)</f>
        <v>0</v>
      </c>
      <c r="J94" s="121">
        <f>VLOOKUP($B94,Miljö!$B$1:$J$479,MATCH("Kärnkraftsandel för ursprungsspecificerad el ()",Miljö!$B$1:$J$1,0),FALSE)</f>
        <v>0</v>
      </c>
      <c r="L94" s="121">
        <f>VLOOKUP($B94,Totalt!$B$1:$BU$497,MATCH("total el",Totalt!$B$1:$BU$1,0),FALSE)</f>
        <v>11.3766</v>
      </c>
      <c r="N94" s="271">
        <f t="shared" si="4"/>
        <v>0.91012800000000005</v>
      </c>
      <c r="O94" s="271">
        <f t="shared" si="5"/>
        <v>102.38939999999999</v>
      </c>
      <c r="P94" s="271">
        <f t="shared" si="6"/>
        <v>0</v>
      </c>
      <c r="Q94" s="271">
        <f t="shared" si="7"/>
        <v>0</v>
      </c>
    </row>
    <row r="95" spans="1:17" x14ac:dyDescent="0.25">
      <c r="A95" s="137" t="s">
        <v>324</v>
      </c>
      <c r="B95" s="137" t="s">
        <v>325</v>
      </c>
      <c r="C95" s="121" t="str">
        <f>VLOOKUP($B95,Totalt!$B$1:$BU$497,MATCH("Kvalitetsgranskad:",Totalt!$B$1:$BU$1,0),FALSE)</f>
        <v>Nej</v>
      </c>
      <c r="E95" s="121" t="str">
        <f>VLOOKUP($B95,Miljö!$B$1:$AG$479,MATCH(E$1,Miljö!$B$1:$AK$1,0),FALSE)</f>
        <v>Ja</v>
      </c>
      <c r="F95" s="121" t="str">
        <f>VLOOKUP($B95,Miljö!$B$1:$J$479,MATCH("Typ av ursprungsspecificerad el   (Om inget värde anges används Nordisk residualmix, se inforuta) ()",Miljö!$B$1:$J$1,0),FALSE)</f>
        <v>'-'</v>
      </c>
      <c r="G95" s="121">
        <f>VLOOKUP($B95,Miljö!$B$1:$J$479,MATCH("Primärenergifaktor ()",Miljö!$B$1:$J$1,0),FALSE)</f>
        <v>1.1046</v>
      </c>
      <c r="H95" s="121">
        <f>VLOOKUP($B95,Miljö!$B$1:$J$479,MATCH("Koldioxidekvivalenter energiomvandling (g/kwh)",Miljö!$B$1:$J$1,0),FALSE)</f>
        <v>4.9745999999999997</v>
      </c>
      <c r="I95" s="121">
        <f>VLOOKUP($B95,Miljö!$B$1:$J$479,MATCH("Fossilandel för ursprungspecificerad el ()",Miljö!$B$1:$J$1,0),FALSE)</f>
        <v>0</v>
      </c>
      <c r="J95" s="121">
        <f>VLOOKUP($B95,Miljö!$B$1:$J$479,MATCH("Kärnkraftsandel för ursprungsspecificerad el ()",Miljö!$B$1:$J$1,0),FALSE)</f>
        <v>0</v>
      </c>
      <c r="L95" s="121">
        <f>VLOOKUP($B95,Totalt!$B$1:$BU$497,MATCH("total el",Totalt!$B$1:$BU$1,0),FALSE)</f>
        <v>0</v>
      </c>
      <c r="N95" s="271">
        <f t="shared" si="4"/>
        <v>0</v>
      </c>
      <c r="O95" s="271">
        <f t="shared" si="5"/>
        <v>0</v>
      </c>
      <c r="P95" s="271">
        <f t="shared" si="6"/>
        <v>0</v>
      </c>
      <c r="Q95" s="271">
        <f t="shared" si="7"/>
        <v>0</v>
      </c>
    </row>
    <row r="96" spans="1:17" x14ac:dyDescent="0.25">
      <c r="A96" s="137" t="s">
        <v>324</v>
      </c>
      <c r="B96" s="137" t="s">
        <v>326</v>
      </c>
      <c r="C96" s="121" t="str">
        <f>VLOOKUP($B96,Totalt!$B$1:$BU$497,MATCH("Kvalitetsgranskad:",Totalt!$B$1:$BU$1,0),FALSE)</f>
        <v>Ja</v>
      </c>
      <c r="E96" s="121" t="str">
        <f>VLOOKUP($B96,Miljö!$B$1:$AG$479,MATCH(E$1,Miljö!$B$1:$AK$1,0),FALSE)</f>
        <v>Ja</v>
      </c>
      <c r="F96" s="121" t="str">
        <f>VLOOKUP($B96,Miljö!$B$1:$J$479,MATCH("Typ av ursprungsspecificerad el   (Om inget värde anges används Nordisk residualmix, se inforuta) ()",Miljö!$B$1:$J$1,0),FALSE)</f>
        <v>'Bra Miljöval el'</v>
      </c>
      <c r="G96" s="121">
        <f>VLOOKUP($B96,Miljö!$B$1:$J$479,MATCH("Primärenergifaktor ()",Miljö!$B$1:$J$1,0),FALSE)</f>
        <v>1.0248999999999999</v>
      </c>
      <c r="H96" s="121">
        <f>VLOOKUP($B96,Miljö!$B$1:$J$479,MATCH("Koldioxidekvivalenter energiomvandling (g/kwh)",Miljö!$B$1:$J$1,0),FALSE)</f>
        <v>11.044499999999999</v>
      </c>
      <c r="I96" s="121">
        <f>VLOOKUP($B96,Miljö!$B$1:$J$479,MATCH("Fossilandel för ursprungspecificerad el ()",Miljö!$B$1:$J$1,0),FALSE)</f>
        <v>0</v>
      </c>
      <c r="J96" s="121">
        <f>VLOOKUP($B96,Miljö!$B$1:$J$479,MATCH("Kärnkraftsandel för ursprungsspecificerad el ()",Miljö!$B$1:$J$1,0),FALSE)</f>
        <v>0</v>
      </c>
      <c r="L96" s="121">
        <f>VLOOKUP($B96,Totalt!$B$1:$BU$497,MATCH("total el",Totalt!$B$1:$BU$1,0),FALSE)</f>
        <v>170.73500000000001</v>
      </c>
      <c r="N96" s="271">
        <f t="shared" si="4"/>
        <v>174.9863015</v>
      </c>
      <c r="O96" s="271">
        <f t="shared" si="5"/>
        <v>1885.6827075000001</v>
      </c>
      <c r="P96" s="271">
        <f t="shared" si="6"/>
        <v>0</v>
      </c>
      <c r="Q96" s="271">
        <f t="shared" si="7"/>
        <v>0</v>
      </c>
    </row>
    <row r="97" spans="1:17" x14ac:dyDescent="0.25">
      <c r="A97" s="137" t="s">
        <v>324</v>
      </c>
      <c r="B97" s="137" t="s">
        <v>328</v>
      </c>
      <c r="C97" s="121" t="str">
        <f>VLOOKUP($B97,Totalt!$B$1:$BU$497,MATCH("Kvalitetsgranskad:",Totalt!$B$1:$BU$1,0),FALSE)</f>
        <v>Ja</v>
      </c>
      <c r="E97" s="121" t="str">
        <f>VLOOKUP($B97,Miljö!$B$1:$AG$479,MATCH(E$1,Miljö!$B$1:$AK$1,0),FALSE)</f>
        <v>Ja</v>
      </c>
      <c r="F97" s="121" t="str">
        <f>VLOOKUP($B97,Miljö!$B$1:$J$479,MATCH("Typ av ursprungsspecificerad el   (Om inget värde anges används Nordisk residualmix, se inforuta) ()",Miljö!$B$1:$J$1,0),FALSE)</f>
        <v>'Bra Miljöval'</v>
      </c>
      <c r="G97" s="121">
        <f>VLOOKUP($B97,Miljö!$B$1:$J$479,MATCH("Primärenergifaktor ()",Miljö!$B$1:$J$1,0),FALSE)</f>
        <v>1.02</v>
      </c>
      <c r="H97" s="121">
        <f>VLOOKUP($B97,Miljö!$B$1:$J$479,MATCH("Koldioxidekvivalenter energiomvandling (g/kwh)",Miljö!$B$1:$J$1,0),FALSE)</f>
        <v>11.1</v>
      </c>
      <c r="I97" s="121">
        <f>VLOOKUP($B97,Miljö!$B$1:$J$479,MATCH("Fossilandel för ursprungspecificerad el ()",Miljö!$B$1:$J$1,0),FALSE)</f>
        <v>0</v>
      </c>
      <c r="J97" s="121">
        <f>VLOOKUP($B97,Miljö!$B$1:$J$479,MATCH("Kärnkraftsandel för ursprungsspecificerad el ()",Miljö!$B$1:$J$1,0),FALSE)</f>
        <v>0</v>
      </c>
      <c r="L97" s="121">
        <f>VLOOKUP($B97,Totalt!$B$1:$BU$497,MATCH("total el",Totalt!$B$1:$BU$1,0),FALSE)</f>
        <v>7.5789999999999997</v>
      </c>
      <c r="N97" s="271">
        <f t="shared" si="4"/>
        <v>7.7305799999999998</v>
      </c>
      <c r="O97" s="271">
        <f t="shared" si="5"/>
        <v>84.126899999999992</v>
      </c>
      <c r="P97" s="271">
        <f t="shared" si="6"/>
        <v>0</v>
      </c>
      <c r="Q97" s="271">
        <f t="shared" si="7"/>
        <v>0</v>
      </c>
    </row>
    <row r="98" spans="1:17" x14ac:dyDescent="0.25">
      <c r="A98" s="137" t="s">
        <v>324</v>
      </c>
      <c r="B98" s="137" t="s">
        <v>324</v>
      </c>
      <c r="C98" s="121" t="str">
        <f>VLOOKUP($B98,Totalt!$B$1:$BU$497,MATCH("Kvalitetsgranskad:",Totalt!$B$1:$BU$1,0),FALSE)</f>
        <v>Nej</v>
      </c>
      <c r="E98" s="121" t="str">
        <f>VLOOKUP($B98,Miljö!$B$1:$AG$479,MATCH(E$1,Miljö!$B$1:$AK$1,0),FALSE)</f>
        <v>Ja</v>
      </c>
      <c r="F98" s="121" t="str">
        <f>VLOOKUP($B98,Miljö!$B$1:$J$479,MATCH("Typ av ursprungsspecificerad el   (Om inget värde anges används Nordisk residualmix, se inforuta) ()",Miljö!$B$1:$J$1,0),FALSE)</f>
        <v>'-'</v>
      </c>
      <c r="G98" s="121">
        <f>VLOOKUP($B98,Miljö!$B$1:$J$479,MATCH("Primärenergifaktor ()",Miljö!$B$1:$J$1,0),FALSE)</f>
        <v>1.1046</v>
      </c>
      <c r="H98" s="121">
        <f>VLOOKUP($B98,Miljö!$B$1:$J$479,MATCH("Koldioxidekvivalenter energiomvandling (g/kwh)",Miljö!$B$1:$J$1,0),FALSE)</f>
        <v>4.9745999999999997</v>
      </c>
      <c r="I98" s="121">
        <f>VLOOKUP($B98,Miljö!$B$1:$J$479,MATCH("Fossilandel för ursprungspecificerad el ()",Miljö!$B$1:$J$1,0),FALSE)</f>
        <v>0</v>
      </c>
      <c r="J98" s="121">
        <f>VLOOKUP($B98,Miljö!$B$1:$J$479,MATCH("Kärnkraftsandel för ursprungsspecificerad el ()",Miljö!$B$1:$J$1,0),FALSE)</f>
        <v>0</v>
      </c>
      <c r="L98" s="121">
        <f>VLOOKUP($B98,Totalt!$B$1:$BU$497,MATCH("total el",Totalt!$B$1:$BU$1,0),FALSE)</f>
        <v>0</v>
      </c>
      <c r="N98" s="271">
        <f t="shared" si="4"/>
        <v>0</v>
      </c>
      <c r="O98" s="271">
        <f t="shared" si="5"/>
        <v>0</v>
      </c>
      <c r="P98" s="271">
        <f t="shared" si="6"/>
        <v>0</v>
      </c>
      <c r="Q98" s="271">
        <f t="shared" si="7"/>
        <v>0</v>
      </c>
    </row>
    <row r="99" spans="1:17" x14ac:dyDescent="0.25">
      <c r="A99" s="137" t="s">
        <v>324</v>
      </c>
      <c r="B99" s="137" t="s">
        <v>329</v>
      </c>
      <c r="C99" s="121" t="str">
        <f>VLOOKUP($B99,Totalt!$B$1:$BU$497,MATCH("Kvalitetsgranskad:",Totalt!$B$1:$BU$1,0),FALSE)</f>
        <v>Nej</v>
      </c>
      <c r="E99" s="121" t="str">
        <f>VLOOKUP($B99,Miljö!$B$1:$AG$479,MATCH(E$1,Miljö!$B$1:$AK$1,0),FALSE)</f>
        <v>Nej</v>
      </c>
      <c r="F99" s="121" t="str">
        <f>VLOOKUP($B99,Miljö!$B$1:$J$479,MATCH("Typ av ursprungsspecificerad el   (Om inget värde anges används Nordisk residualmix, se inforuta) ()",Miljö!$B$1:$J$1,0),FALSE)</f>
        <v>-</v>
      </c>
      <c r="G99" s="121" t="str">
        <f>VLOOKUP($B99,Miljö!$B$1:$J$479,MATCH("Primärenergifaktor ()",Miljö!$B$1:$J$1,0),FALSE)</f>
        <v>-</v>
      </c>
      <c r="H99" s="121" t="str">
        <f>VLOOKUP($B99,Miljö!$B$1:$J$479,MATCH("Koldioxidekvivalenter energiomvandling (g/kwh)",Miljö!$B$1:$J$1,0),FALSE)</f>
        <v>-</v>
      </c>
      <c r="I99" s="121" t="str">
        <f>VLOOKUP($B99,Miljö!$B$1:$J$479,MATCH("Fossilandel för ursprungspecificerad el ()",Miljö!$B$1:$J$1,0),FALSE)</f>
        <v>-</v>
      </c>
      <c r="J99" s="121" t="str">
        <f>VLOOKUP($B99,Miljö!$B$1:$J$479,MATCH("Kärnkraftsandel för ursprungsspecificerad el ()",Miljö!$B$1:$J$1,0),FALSE)</f>
        <v>-</v>
      </c>
      <c r="L99" s="121">
        <f>VLOOKUP($B99,Totalt!$B$1:$BU$497,MATCH("total el",Totalt!$B$1:$BU$1,0),FALSE)</f>
        <v>0</v>
      </c>
      <c r="N99" s="271" t="str">
        <f t="shared" si="4"/>
        <v/>
      </c>
      <c r="O99" s="271" t="str">
        <f t="shared" si="5"/>
        <v/>
      </c>
      <c r="P99" s="271" t="str">
        <f t="shared" si="6"/>
        <v/>
      </c>
      <c r="Q99" s="271" t="str">
        <f t="shared" si="7"/>
        <v/>
      </c>
    </row>
    <row r="100" spans="1:17" x14ac:dyDescent="0.25">
      <c r="A100" s="137" t="s">
        <v>324</v>
      </c>
      <c r="B100" s="137" t="s">
        <v>330</v>
      </c>
      <c r="C100" s="121" t="str">
        <f>VLOOKUP($B100,Totalt!$B$1:$BU$497,MATCH("Kvalitetsgranskad:",Totalt!$B$1:$BU$1,0),FALSE)</f>
        <v>Nej</v>
      </c>
      <c r="E100" s="121" t="str">
        <f>VLOOKUP($B100,Miljö!$B$1:$AG$479,MATCH(E$1,Miljö!$B$1:$AK$1,0),FALSE)</f>
        <v>Nej</v>
      </c>
      <c r="F100" s="121" t="str">
        <f>VLOOKUP($B100,Miljö!$B$1:$J$479,MATCH("Typ av ursprungsspecificerad el   (Om inget värde anges används Nordisk residualmix, se inforuta) ()",Miljö!$B$1:$J$1,0),FALSE)</f>
        <v>'Nordisk residualmix'</v>
      </c>
      <c r="G100" s="121">
        <f>VLOOKUP($B100,Miljö!$B$1:$J$479,MATCH("Primärenergifaktor ()",Miljö!$B$1:$J$1,0),FALSE)</f>
        <v>2.2999999999999998</v>
      </c>
      <c r="H100" s="121">
        <f>VLOOKUP($B100,Miljö!$B$1:$J$479,MATCH("Koldioxidekvivalenter energiomvandling (g/kwh)",Miljö!$B$1:$J$1,0),FALSE)</f>
        <v>329.19</v>
      </c>
      <c r="I100" s="121">
        <f>VLOOKUP($B100,Miljö!$B$1:$J$479,MATCH("Fossilandel för ursprungspecificerad el ()",Miljö!$B$1:$J$1,0),FALSE)</f>
        <v>0.43</v>
      </c>
      <c r="J100" s="121">
        <f>VLOOKUP($B100,Miljö!$B$1:$J$479,MATCH("Kärnkraftsandel för ursprungsspecificerad el ()",Miljö!$B$1:$J$1,0),FALSE)</f>
        <v>0.40550000000000003</v>
      </c>
      <c r="L100" s="121">
        <f>VLOOKUP($B100,Totalt!$B$1:$BU$497,MATCH("total el",Totalt!$B$1:$BU$1,0),FALSE)</f>
        <v>0</v>
      </c>
      <c r="N100" s="271">
        <f t="shared" si="4"/>
        <v>0</v>
      </c>
      <c r="O100" s="271">
        <f t="shared" si="5"/>
        <v>0</v>
      </c>
      <c r="P100" s="271">
        <f t="shared" si="6"/>
        <v>0</v>
      </c>
      <c r="Q100" s="271">
        <f t="shared" si="7"/>
        <v>0</v>
      </c>
    </row>
    <row r="101" spans="1:17" x14ac:dyDescent="0.25">
      <c r="A101" s="137" t="s">
        <v>324</v>
      </c>
      <c r="B101" s="137" t="s">
        <v>331</v>
      </c>
      <c r="C101" s="121" t="str">
        <f>VLOOKUP($B101,Totalt!$B$1:$BU$497,MATCH("Kvalitetsgranskad:",Totalt!$B$1:$BU$1,0),FALSE)</f>
        <v>Nej</v>
      </c>
      <c r="E101" s="121" t="str">
        <f>VLOOKUP($B101,Miljö!$B$1:$AG$479,MATCH(E$1,Miljö!$B$1:$AK$1,0),FALSE)</f>
        <v>Ja</v>
      </c>
      <c r="F101" s="121" t="str">
        <f>VLOOKUP($B101,Miljö!$B$1:$J$479,MATCH("Typ av ursprungsspecificerad el   (Om inget värde anges används Nordisk residualmix, se inforuta) ()",Miljö!$B$1:$J$1,0),FALSE)</f>
        <v>'-'</v>
      </c>
      <c r="G101" s="121">
        <f>VLOOKUP($B101,Miljö!$B$1:$J$479,MATCH("Primärenergifaktor ()",Miljö!$B$1:$J$1,0),FALSE)</f>
        <v>1.1046</v>
      </c>
      <c r="H101" s="121">
        <f>VLOOKUP($B101,Miljö!$B$1:$J$479,MATCH("Koldioxidekvivalenter energiomvandling (g/kwh)",Miljö!$B$1:$J$1,0),FALSE)</f>
        <v>4.9745999999999997</v>
      </c>
      <c r="I101" s="121">
        <f>VLOOKUP($B101,Miljö!$B$1:$J$479,MATCH("Fossilandel för ursprungspecificerad el ()",Miljö!$B$1:$J$1,0),FALSE)</f>
        <v>0</v>
      </c>
      <c r="J101" s="121">
        <f>VLOOKUP($B101,Miljö!$B$1:$J$479,MATCH("Kärnkraftsandel för ursprungsspecificerad el ()",Miljö!$B$1:$J$1,0),FALSE)</f>
        <v>0</v>
      </c>
      <c r="L101" s="121">
        <f>VLOOKUP($B101,Totalt!$B$1:$BU$497,MATCH("total el",Totalt!$B$1:$BU$1,0),FALSE)</f>
        <v>0</v>
      </c>
      <c r="N101" s="271">
        <f t="shared" si="4"/>
        <v>0</v>
      </c>
      <c r="O101" s="271">
        <f t="shared" si="5"/>
        <v>0</v>
      </c>
      <c r="P101" s="271">
        <f t="shared" si="6"/>
        <v>0</v>
      </c>
      <c r="Q101" s="271">
        <f t="shared" si="7"/>
        <v>0</v>
      </c>
    </row>
    <row r="102" spans="1:17" x14ac:dyDescent="0.25">
      <c r="A102" s="137" t="s">
        <v>332</v>
      </c>
      <c r="B102" s="137" t="s">
        <v>333</v>
      </c>
      <c r="C102" s="121" t="str">
        <f>VLOOKUP($B102,Totalt!$B$1:$BU$497,MATCH("Kvalitetsgranskad:",Totalt!$B$1:$BU$1,0),FALSE)</f>
        <v>Ja</v>
      </c>
      <c r="E102" s="121" t="str">
        <f>VLOOKUP($B102,Miljö!$B$1:$AG$479,MATCH(E$1,Miljö!$B$1:$AK$1,0),FALSE)</f>
        <v>Ja</v>
      </c>
      <c r="F102" s="121" t="str">
        <f>VLOOKUP($B102,Miljö!$B$1:$J$479,MATCH("Typ av ursprungsspecificerad el   (Om inget värde anges används Nordisk residualmix, se inforuta) ()",Miljö!$B$1:$J$1,0),FALSE)</f>
        <v>'Vattenkraft'</v>
      </c>
      <c r="G102" s="121">
        <f>VLOOKUP($B102,Miljö!$B$1:$J$479,MATCH("Primärenergifaktor ()",Miljö!$B$1:$J$1,0),FALSE)</f>
        <v>1.1100000000000001</v>
      </c>
      <c r="H102" s="121">
        <f>VLOOKUP($B102,Miljö!$B$1:$J$479,MATCH("Koldioxidekvivalenter energiomvandling (g/kwh)",Miljö!$B$1:$J$1,0),FALSE)</f>
        <v>9</v>
      </c>
      <c r="I102" s="121">
        <f>VLOOKUP($B102,Miljö!$B$1:$J$479,MATCH("Fossilandel för ursprungspecificerad el ()",Miljö!$B$1:$J$1,0),FALSE)</f>
        <v>0</v>
      </c>
      <c r="J102" s="121">
        <f>VLOOKUP($B102,Miljö!$B$1:$J$479,MATCH("Kärnkraftsandel för ursprungsspecificerad el ()",Miljö!$B$1:$J$1,0),FALSE)</f>
        <v>0</v>
      </c>
      <c r="L102" s="121">
        <f>VLOOKUP($B102,Totalt!$B$1:$BU$497,MATCH("total el",Totalt!$B$1:$BU$1,0),FALSE)</f>
        <v>3.3780000000000001</v>
      </c>
      <c r="N102" s="271">
        <f t="shared" si="4"/>
        <v>3.7495800000000004</v>
      </c>
      <c r="O102" s="271">
        <f t="shared" si="5"/>
        <v>30.402000000000001</v>
      </c>
      <c r="P102" s="271">
        <f t="shared" si="6"/>
        <v>0</v>
      </c>
      <c r="Q102" s="271">
        <f t="shared" si="7"/>
        <v>0</v>
      </c>
    </row>
    <row r="103" spans="1:17" x14ac:dyDescent="0.25">
      <c r="A103" s="137" t="s">
        <v>332</v>
      </c>
      <c r="B103" s="137" t="s">
        <v>334</v>
      </c>
      <c r="C103" s="121" t="str">
        <f>VLOOKUP($B103,Totalt!$B$1:$BU$497,MATCH("Kvalitetsgranskad:",Totalt!$B$1:$BU$1,0),FALSE)</f>
        <v>Ja</v>
      </c>
      <c r="E103" s="121" t="str">
        <f>VLOOKUP($B103,Miljö!$B$1:$AG$479,MATCH(E$1,Miljö!$B$1:$AK$1,0),FALSE)</f>
        <v>Ja</v>
      </c>
      <c r="F103" s="121" t="str">
        <f>VLOOKUP($B103,Miljö!$B$1:$J$479,MATCH("Typ av ursprungsspecificerad el   (Om inget värde anges används Nordisk residualmix, se inforuta) ()",Miljö!$B$1:$J$1,0),FALSE)</f>
        <v>'Vattenkraft'</v>
      </c>
      <c r="G103" s="121">
        <f>VLOOKUP($B103,Miljö!$B$1:$J$479,MATCH("Primärenergifaktor ()",Miljö!$B$1:$J$1,0),FALSE)</f>
        <v>1.1100000000000001</v>
      </c>
      <c r="H103" s="121">
        <f>VLOOKUP($B103,Miljö!$B$1:$J$479,MATCH("Koldioxidekvivalenter energiomvandling (g/kwh)",Miljö!$B$1:$J$1,0),FALSE)</f>
        <v>9</v>
      </c>
      <c r="I103" s="121">
        <f>VLOOKUP($B103,Miljö!$B$1:$J$479,MATCH("Fossilandel för ursprungspecificerad el ()",Miljö!$B$1:$J$1,0),FALSE)</f>
        <v>0</v>
      </c>
      <c r="J103" s="121">
        <f>VLOOKUP($B103,Miljö!$B$1:$J$479,MATCH("Kärnkraftsandel för ursprungsspecificerad el ()",Miljö!$B$1:$J$1,0),FALSE)</f>
        <v>0</v>
      </c>
      <c r="L103" s="121">
        <f>VLOOKUP($B103,Totalt!$B$1:$BU$497,MATCH("total el",Totalt!$B$1:$BU$1,0),FALSE)</f>
        <v>7.5689999999999993E-2</v>
      </c>
      <c r="N103" s="271">
        <f t="shared" si="4"/>
        <v>8.4015900000000004E-2</v>
      </c>
      <c r="O103" s="271">
        <f t="shared" si="5"/>
        <v>0.68120999999999998</v>
      </c>
      <c r="P103" s="271">
        <f t="shared" si="6"/>
        <v>0</v>
      </c>
      <c r="Q103" s="271">
        <f t="shared" si="7"/>
        <v>0</v>
      </c>
    </row>
    <row r="104" spans="1:17" x14ac:dyDescent="0.25">
      <c r="A104" s="137" t="s">
        <v>335</v>
      </c>
      <c r="B104" s="137" t="s">
        <v>336</v>
      </c>
      <c r="C104" s="121" t="str">
        <f>VLOOKUP($B104,Totalt!$B$1:$BU$497,MATCH("Kvalitetsgranskad:",Totalt!$B$1:$BU$1,0),FALSE)</f>
        <v>Ja</v>
      </c>
      <c r="E104" s="121" t="str">
        <f>VLOOKUP($B104,Miljö!$B$1:$AG$479,MATCH(E$1,Miljö!$B$1:$AK$1,0),FALSE)</f>
        <v>Ja</v>
      </c>
      <c r="F104" s="121" t="str">
        <f>VLOOKUP($B104,Miljö!$B$1:$J$479,MATCH("Typ av ursprungsspecificerad el   (Om inget värde anges används Nordisk residualmix, se inforuta) ()",Miljö!$B$1:$J$1,0),FALSE)</f>
        <v>'Förnybar vattenkraft'</v>
      </c>
      <c r="G104" s="121">
        <f>VLOOKUP($B104,Miljö!$B$1:$J$479,MATCH("Primärenergifaktor ()",Miljö!$B$1:$J$1,0),FALSE)</f>
        <v>1.1000000000000001</v>
      </c>
      <c r="H104" s="121">
        <f>VLOOKUP($B104,Miljö!$B$1:$J$479,MATCH("Koldioxidekvivalenter energiomvandling (g/kwh)",Miljö!$B$1:$J$1,0),FALSE)</f>
        <v>0</v>
      </c>
      <c r="I104" s="121">
        <f>VLOOKUP($B104,Miljö!$B$1:$J$479,MATCH("Fossilandel för ursprungspecificerad el ()",Miljö!$B$1:$J$1,0),FALSE)</f>
        <v>0</v>
      </c>
      <c r="J104" s="121">
        <f>VLOOKUP($B104,Miljö!$B$1:$J$479,MATCH("Kärnkraftsandel för ursprungsspecificerad el ()",Miljö!$B$1:$J$1,0),FALSE)</f>
        <v>0</v>
      </c>
      <c r="L104" s="121">
        <f>VLOOKUP($B104,Totalt!$B$1:$BU$497,MATCH("total el",Totalt!$B$1:$BU$1,0),FALSE)</f>
        <v>0.27</v>
      </c>
      <c r="N104" s="271">
        <f t="shared" si="4"/>
        <v>0.29700000000000004</v>
      </c>
      <c r="O104" s="271">
        <f t="shared" si="5"/>
        <v>0</v>
      </c>
      <c r="P104" s="271">
        <f t="shared" si="6"/>
        <v>0</v>
      </c>
      <c r="Q104" s="271">
        <f t="shared" si="7"/>
        <v>0</v>
      </c>
    </row>
    <row r="105" spans="1:17" x14ac:dyDescent="0.25">
      <c r="A105" s="137" t="s">
        <v>337</v>
      </c>
      <c r="B105" s="137" t="s">
        <v>338</v>
      </c>
      <c r="C105" s="121" t="str">
        <f>VLOOKUP($B105,Totalt!$B$1:$BU$497,MATCH("Kvalitetsgranskad:",Totalt!$B$1:$BU$1,0),FALSE)</f>
        <v>Ja</v>
      </c>
      <c r="E105" s="121" t="str">
        <f>VLOOKUP($B105,Miljö!$B$1:$AG$479,MATCH(E$1,Miljö!$B$1:$AK$1,0),FALSE)</f>
        <v>Nej</v>
      </c>
      <c r="F105" s="121" t="str">
        <f>VLOOKUP($B105,Miljö!$B$1:$J$479,MATCH("Typ av ursprungsspecificerad el   (Om inget värde anges används Nordisk residualmix, se inforuta) ()",Miljö!$B$1:$J$1,0),FALSE)</f>
        <v>-</v>
      </c>
      <c r="G105" s="121">
        <f>VLOOKUP($B105,Miljö!$B$1:$J$479,MATCH("Primärenergifaktor ()",Miljö!$B$1:$J$1,0),FALSE)</f>
        <v>2.2999999999999998</v>
      </c>
      <c r="H105" s="121">
        <f>VLOOKUP($B105,Miljö!$B$1:$J$479,MATCH("Koldioxidekvivalenter energiomvandling (g/kwh)",Miljö!$B$1:$J$1,0),FALSE)</f>
        <v>329.19</v>
      </c>
      <c r="I105" s="121">
        <f>VLOOKUP($B105,Miljö!$B$1:$J$479,MATCH("Fossilandel för ursprungspecificerad el ()",Miljö!$B$1:$J$1,0),FALSE)</f>
        <v>0.43</v>
      </c>
      <c r="J105" s="121">
        <f>VLOOKUP($B105,Miljö!$B$1:$J$479,MATCH("Kärnkraftsandel för ursprungsspecificerad el ()",Miljö!$B$1:$J$1,0),FALSE)</f>
        <v>0.40550000000000003</v>
      </c>
      <c r="L105" s="121">
        <f>VLOOKUP($B105,Totalt!$B$1:$BU$497,MATCH("total el",Totalt!$B$1:$BU$1,0),FALSE)</f>
        <v>0.216</v>
      </c>
      <c r="N105" s="271">
        <f t="shared" si="4"/>
        <v>0.49679999999999996</v>
      </c>
      <c r="O105" s="271">
        <f t="shared" si="5"/>
        <v>71.105040000000002</v>
      </c>
      <c r="P105" s="271">
        <f t="shared" si="6"/>
        <v>9.2880000000000004E-2</v>
      </c>
      <c r="Q105" s="271">
        <f t="shared" si="7"/>
        <v>8.7587999999999999E-2</v>
      </c>
    </row>
    <row r="106" spans="1:17" x14ac:dyDescent="0.25">
      <c r="A106" s="137" t="s">
        <v>337</v>
      </c>
      <c r="B106" s="137" t="s">
        <v>339</v>
      </c>
      <c r="C106" s="121" t="str">
        <f>VLOOKUP($B106,Totalt!$B$1:$BU$497,MATCH("Kvalitetsgranskad:",Totalt!$B$1:$BU$1,0),FALSE)</f>
        <v>Ja</v>
      </c>
      <c r="E106" s="121" t="str">
        <f>VLOOKUP($B106,Miljö!$B$1:$AG$479,MATCH(E$1,Miljö!$B$1:$AK$1,0),FALSE)</f>
        <v>Nej</v>
      </c>
      <c r="F106" s="121" t="str">
        <f>VLOOKUP($B106,Miljö!$B$1:$J$479,MATCH("Typ av ursprungsspecificerad el   (Om inget värde anges används Nordisk residualmix, se inforuta) ()",Miljö!$B$1:$J$1,0),FALSE)</f>
        <v>-</v>
      </c>
      <c r="G106" s="121">
        <f>VLOOKUP($B106,Miljö!$B$1:$J$479,MATCH("Primärenergifaktor ()",Miljö!$B$1:$J$1,0),FALSE)</f>
        <v>2.2999999999999998</v>
      </c>
      <c r="H106" s="121">
        <f>VLOOKUP($B106,Miljö!$B$1:$J$479,MATCH("Koldioxidekvivalenter energiomvandling (g/kwh)",Miljö!$B$1:$J$1,0),FALSE)</f>
        <v>329.19</v>
      </c>
      <c r="I106" s="121">
        <f>VLOOKUP($B106,Miljö!$B$1:$J$479,MATCH("Fossilandel för ursprungspecificerad el ()",Miljö!$B$1:$J$1,0),FALSE)</f>
        <v>0.43</v>
      </c>
      <c r="J106" s="121">
        <f>VLOOKUP($B106,Miljö!$B$1:$J$479,MATCH("Kärnkraftsandel för ursprungsspecificerad el ()",Miljö!$B$1:$J$1,0),FALSE)</f>
        <v>0.40550000000000003</v>
      </c>
      <c r="L106" s="121">
        <f>VLOOKUP($B106,Totalt!$B$1:$BU$497,MATCH("total el",Totalt!$B$1:$BU$1,0),FALSE)</f>
        <v>0.96299999999999997</v>
      </c>
      <c r="N106" s="271">
        <f t="shared" si="4"/>
        <v>2.2148999999999996</v>
      </c>
      <c r="O106" s="271">
        <f t="shared" si="5"/>
        <v>317.00997000000001</v>
      </c>
      <c r="P106" s="271">
        <f t="shared" si="6"/>
        <v>0.41408999999999996</v>
      </c>
      <c r="Q106" s="271">
        <f t="shared" si="7"/>
        <v>0.39049650000000002</v>
      </c>
    </row>
    <row r="107" spans="1:17" x14ac:dyDescent="0.25">
      <c r="A107" s="137" t="s">
        <v>337</v>
      </c>
      <c r="B107" s="137" t="s">
        <v>340</v>
      </c>
      <c r="C107" s="121" t="str">
        <f>VLOOKUP($B107,Totalt!$B$1:$BU$497,MATCH("Kvalitetsgranskad:",Totalt!$B$1:$BU$1,0),FALSE)</f>
        <v>Ja</v>
      </c>
      <c r="E107" s="121" t="str">
        <f>VLOOKUP($B107,Miljö!$B$1:$AG$479,MATCH(E$1,Miljö!$B$1:$AK$1,0),FALSE)</f>
        <v>Nej</v>
      </c>
      <c r="F107" s="121" t="str">
        <f>VLOOKUP($B107,Miljö!$B$1:$J$479,MATCH("Typ av ursprungsspecificerad el   (Om inget värde anges används Nordisk residualmix, se inforuta) ()",Miljö!$B$1:$J$1,0),FALSE)</f>
        <v>-</v>
      </c>
      <c r="G107" s="121">
        <f>VLOOKUP($B107,Miljö!$B$1:$J$479,MATCH("Primärenergifaktor ()",Miljö!$B$1:$J$1,0),FALSE)</f>
        <v>2.2999999999999998</v>
      </c>
      <c r="H107" s="121">
        <f>VLOOKUP($B107,Miljö!$B$1:$J$479,MATCH("Koldioxidekvivalenter energiomvandling (g/kwh)",Miljö!$B$1:$J$1,0),FALSE)</f>
        <v>329.19</v>
      </c>
      <c r="I107" s="121">
        <f>VLOOKUP($B107,Miljö!$B$1:$J$479,MATCH("Fossilandel för ursprungspecificerad el ()",Miljö!$B$1:$J$1,0),FALSE)</f>
        <v>0.43</v>
      </c>
      <c r="J107" s="121">
        <f>VLOOKUP($B107,Miljö!$B$1:$J$479,MATCH("Kärnkraftsandel för ursprungsspecificerad el ()",Miljö!$B$1:$J$1,0),FALSE)</f>
        <v>0.40550000000000003</v>
      </c>
      <c r="L107" s="121">
        <f>VLOOKUP($B107,Totalt!$B$1:$BU$497,MATCH("total el",Totalt!$B$1:$BU$1,0),FALSE)</f>
        <v>7.62E-3</v>
      </c>
      <c r="N107" s="271">
        <f t="shared" si="4"/>
        <v>1.7526E-2</v>
      </c>
      <c r="O107" s="271">
        <f t="shared" si="5"/>
        <v>2.5084278000000002</v>
      </c>
      <c r="P107" s="271">
        <f t="shared" si="6"/>
        <v>3.2766000000000002E-3</v>
      </c>
      <c r="Q107" s="271">
        <f t="shared" si="7"/>
        <v>3.0899100000000004E-3</v>
      </c>
    </row>
    <row r="108" spans="1:17" x14ac:dyDescent="0.25">
      <c r="A108" s="137" t="s">
        <v>341</v>
      </c>
      <c r="B108" s="137" t="s">
        <v>342</v>
      </c>
      <c r="C108" s="121" t="str">
        <f>VLOOKUP($B108,Totalt!$B$1:$BU$497,MATCH("Kvalitetsgranskad:",Totalt!$B$1:$BU$1,0),FALSE)</f>
        <v>Ja</v>
      </c>
      <c r="E108" s="121" t="str">
        <f>VLOOKUP($B108,Miljö!$B$1:$AG$479,MATCH(E$1,Miljö!$B$1:$AK$1,0),FALSE)</f>
        <v>Ja</v>
      </c>
      <c r="F108" s="121" t="str">
        <f>VLOOKUP($B108,Miljö!$B$1:$J$479,MATCH("Typ av ursprungsspecificerad el   (Om inget värde anges används Nordisk residualmix, se inforuta) ()",Miljö!$B$1:$J$1,0),FALSE)</f>
        <v>'Vattenkraftsel'</v>
      </c>
      <c r="G108" s="121">
        <f>VLOOKUP($B108,Miljö!$B$1:$J$479,MATCH("Primärenergifaktor ()",Miljö!$B$1:$J$1,0),FALSE)</f>
        <v>1.1000000000000001</v>
      </c>
      <c r="H108" s="121">
        <f>VLOOKUP($B108,Miljö!$B$1:$J$479,MATCH("Koldioxidekvivalenter energiomvandling (g/kwh)",Miljö!$B$1:$J$1,0),FALSE)</f>
        <v>0</v>
      </c>
      <c r="I108" s="121">
        <f>VLOOKUP($B108,Miljö!$B$1:$J$479,MATCH("Fossilandel för ursprungspecificerad el ()",Miljö!$B$1:$J$1,0),FALSE)</f>
        <v>0</v>
      </c>
      <c r="J108" s="121">
        <f>VLOOKUP($B108,Miljö!$B$1:$J$479,MATCH("Kärnkraftsandel för ursprungsspecificerad el ()",Miljö!$B$1:$J$1,0),FALSE)</f>
        <v>0</v>
      </c>
      <c r="L108" s="121">
        <f>VLOOKUP($B108,Totalt!$B$1:$BU$497,MATCH("total el",Totalt!$B$1:$BU$1,0),FALSE)</f>
        <v>22.542200000000001</v>
      </c>
      <c r="N108" s="271">
        <f t="shared" si="4"/>
        <v>24.796420000000005</v>
      </c>
      <c r="O108" s="271">
        <f t="shared" si="5"/>
        <v>0</v>
      </c>
      <c r="P108" s="271">
        <f t="shared" si="6"/>
        <v>0</v>
      </c>
      <c r="Q108" s="271">
        <f t="shared" si="7"/>
        <v>0</v>
      </c>
    </row>
    <row r="109" spans="1:17" x14ac:dyDescent="0.25">
      <c r="A109" s="137" t="s">
        <v>343</v>
      </c>
      <c r="B109" s="137" t="s">
        <v>344</v>
      </c>
      <c r="C109" s="121" t="str">
        <f>VLOOKUP($B109,Totalt!$B$1:$BU$497,MATCH("Kvalitetsgranskad:",Totalt!$B$1:$BU$1,0),FALSE)</f>
        <v>Ja</v>
      </c>
      <c r="E109" s="121" t="str">
        <f>VLOOKUP($B109,Miljö!$B$1:$AG$479,MATCH(E$1,Miljö!$B$1:$AK$1,0),FALSE)</f>
        <v>Ja</v>
      </c>
      <c r="F109" s="121" t="str">
        <f>VLOOKUP($B109,Miljö!$B$1:$J$479,MATCH("Typ av ursprungsspecificerad el   (Om inget värde anges används Nordisk residualmix, se inforuta) ()",Miljö!$B$1:$J$1,0),FALSE)</f>
        <v>'Förnybar'</v>
      </c>
      <c r="G109" s="121">
        <f>VLOOKUP($B109,Miljö!$B$1:$J$479,MATCH("Primärenergifaktor ()",Miljö!$B$1:$J$1,0),FALSE)</f>
        <v>1.4</v>
      </c>
      <c r="H109" s="121">
        <f>VLOOKUP($B109,Miljö!$B$1:$J$479,MATCH("Koldioxidekvivalenter energiomvandling (g/kwh)",Miljö!$B$1:$J$1,0),FALSE)</f>
        <v>0</v>
      </c>
      <c r="I109" s="121">
        <f>VLOOKUP($B109,Miljö!$B$1:$J$479,MATCH("Fossilandel för ursprungspecificerad el ()",Miljö!$B$1:$J$1,0),FALSE)</f>
        <v>0</v>
      </c>
      <c r="J109" s="121">
        <f>VLOOKUP($B109,Miljö!$B$1:$J$479,MATCH("Kärnkraftsandel för ursprungsspecificerad el ()",Miljö!$B$1:$J$1,0),FALSE)</f>
        <v>0</v>
      </c>
      <c r="L109" s="121">
        <f>VLOOKUP($B109,Totalt!$B$1:$BU$497,MATCH("total el",Totalt!$B$1:$BU$1,0),FALSE)</f>
        <v>0.38</v>
      </c>
      <c r="N109" s="271">
        <f t="shared" si="4"/>
        <v>0.53199999999999992</v>
      </c>
      <c r="O109" s="271">
        <f t="shared" si="5"/>
        <v>0</v>
      </c>
      <c r="P109" s="271">
        <f t="shared" si="6"/>
        <v>0</v>
      </c>
      <c r="Q109" s="271">
        <f t="shared" si="7"/>
        <v>0</v>
      </c>
    </row>
    <row r="110" spans="1:17" x14ac:dyDescent="0.25">
      <c r="A110" s="137" t="s">
        <v>345</v>
      </c>
      <c r="B110" s="137" t="s">
        <v>346</v>
      </c>
      <c r="C110" s="121" t="str">
        <f>VLOOKUP($B110,Totalt!$B$1:$BU$497,MATCH("Kvalitetsgranskad:",Totalt!$B$1:$BU$1,0),FALSE)</f>
        <v>Ja</v>
      </c>
      <c r="E110" s="121" t="str">
        <f>VLOOKUP($B110,Miljö!$B$1:$AG$479,MATCH(E$1,Miljö!$B$1:$AK$1,0),FALSE)</f>
        <v>Nej</v>
      </c>
      <c r="F110" s="121" t="str">
        <f>VLOOKUP($B110,Miljö!$B$1:$J$479,MATCH("Typ av ursprungsspecificerad el   (Om inget värde anges används Nordisk residualmix, se inforuta) ()",Miljö!$B$1:$J$1,0),FALSE)</f>
        <v>-</v>
      </c>
      <c r="G110" s="121">
        <f>VLOOKUP($B110,Miljö!$B$1:$J$479,MATCH("Primärenergifaktor ()",Miljö!$B$1:$J$1,0),FALSE)</f>
        <v>2.2999999999999998</v>
      </c>
      <c r="H110" s="121">
        <f>VLOOKUP($B110,Miljö!$B$1:$J$479,MATCH("Koldioxidekvivalenter energiomvandling (g/kwh)",Miljö!$B$1:$J$1,0),FALSE)</f>
        <v>329.19</v>
      </c>
      <c r="I110" s="121">
        <f>VLOOKUP($B110,Miljö!$B$1:$J$479,MATCH("Fossilandel för ursprungspecificerad el ()",Miljö!$B$1:$J$1,0),FALSE)</f>
        <v>0.43</v>
      </c>
      <c r="J110" s="121">
        <f>VLOOKUP($B110,Miljö!$B$1:$J$479,MATCH("Kärnkraftsandel för ursprungsspecificerad el ()",Miljö!$B$1:$J$1,0),FALSE)</f>
        <v>0.40550000000000003</v>
      </c>
      <c r="L110" s="121">
        <f>VLOOKUP($B110,Totalt!$B$1:$BU$497,MATCH("total el",Totalt!$B$1:$BU$1,0),FALSE)</f>
        <v>0.09</v>
      </c>
      <c r="N110" s="271">
        <f t="shared" si="4"/>
        <v>0.20699999999999999</v>
      </c>
      <c r="O110" s="271">
        <f t="shared" si="5"/>
        <v>29.627099999999999</v>
      </c>
      <c r="P110" s="271">
        <f t="shared" si="6"/>
        <v>3.8699999999999998E-2</v>
      </c>
      <c r="Q110" s="271">
        <f t="shared" si="7"/>
        <v>3.6495E-2</v>
      </c>
    </row>
    <row r="111" spans="1:17" x14ac:dyDescent="0.25">
      <c r="A111" s="137" t="s">
        <v>345</v>
      </c>
      <c r="B111" s="137" t="s">
        <v>347</v>
      </c>
      <c r="C111" s="121" t="str">
        <f>VLOOKUP($B111,Totalt!$B$1:$BU$497,MATCH("Kvalitetsgranskad:",Totalt!$B$1:$BU$1,0),FALSE)</f>
        <v>Ja</v>
      </c>
      <c r="E111" s="121" t="str">
        <f>VLOOKUP($B111,Miljö!$B$1:$AG$479,MATCH(E$1,Miljö!$B$1:$AK$1,0),FALSE)</f>
        <v>Nej</v>
      </c>
      <c r="F111" s="121" t="str">
        <f>VLOOKUP($B111,Miljö!$B$1:$J$479,MATCH("Typ av ursprungsspecificerad el   (Om inget värde anges används Nordisk residualmix, se inforuta) ()",Miljö!$B$1:$J$1,0),FALSE)</f>
        <v>-</v>
      </c>
      <c r="G111" s="121">
        <f>VLOOKUP($B111,Miljö!$B$1:$J$479,MATCH("Primärenergifaktor ()",Miljö!$B$1:$J$1,0),FALSE)</f>
        <v>2.2999999999999998</v>
      </c>
      <c r="H111" s="121">
        <f>VLOOKUP($B111,Miljö!$B$1:$J$479,MATCH("Koldioxidekvivalenter energiomvandling (g/kwh)",Miljö!$B$1:$J$1,0),FALSE)</f>
        <v>329.19</v>
      </c>
      <c r="I111" s="121">
        <f>VLOOKUP($B111,Miljö!$B$1:$J$479,MATCH("Fossilandel för ursprungspecificerad el ()",Miljö!$B$1:$J$1,0),FALSE)</f>
        <v>0.43</v>
      </c>
      <c r="J111" s="121">
        <f>VLOOKUP($B111,Miljö!$B$1:$J$479,MATCH("Kärnkraftsandel för ursprungsspecificerad el ()",Miljö!$B$1:$J$1,0),FALSE)</f>
        <v>0.40550000000000003</v>
      </c>
      <c r="L111" s="121">
        <f>VLOOKUP($B111,Totalt!$B$1:$BU$497,MATCH("total el",Totalt!$B$1:$BU$1,0),FALSE)</f>
        <v>0.42399999999999999</v>
      </c>
      <c r="N111" s="271">
        <f t="shared" si="4"/>
        <v>0.97519999999999984</v>
      </c>
      <c r="O111" s="271">
        <f t="shared" si="5"/>
        <v>139.57656</v>
      </c>
      <c r="P111" s="271">
        <f t="shared" si="6"/>
        <v>0.18231999999999998</v>
      </c>
      <c r="Q111" s="271">
        <f t="shared" si="7"/>
        <v>0.171932</v>
      </c>
    </row>
    <row r="112" spans="1:17" x14ac:dyDescent="0.25">
      <c r="A112" s="137" t="s">
        <v>348</v>
      </c>
      <c r="B112" s="137" t="s">
        <v>349</v>
      </c>
      <c r="C112" s="121" t="str">
        <f>VLOOKUP($B112,Totalt!$B$1:$BU$497,MATCH("Kvalitetsgranskad:",Totalt!$B$1:$BU$1,0),FALSE)</f>
        <v>Ja</v>
      </c>
      <c r="E112" s="121" t="str">
        <f>VLOOKUP($B112,Miljö!$B$1:$AG$479,MATCH(E$1,Miljö!$B$1:$AK$1,0),FALSE)</f>
        <v>Nej</v>
      </c>
      <c r="F112" s="121" t="str">
        <f>VLOOKUP($B112,Miljö!$B$1:$J$479,MATCH("Typ av ursprungsspecificerad el   (Om inget värde anges används Nordisk residualmix, se inforuta) ()",Miljö!$B$1:$J$1,0),FALSE)</f>
        <v>-</v>
      </c>
      <c r="G112" s="121">
        <f>VLOOKUP($B112,Miljö!$B$1:$J$479,MATCH("Primärenergifaktor ()",Miljö!$B$1:$J$1,0),FALSE)</f>
        <v>2.2999999999999998</v>
      </c>
      <c r="H112" s="121">
        <f>VLOOKUP($B112,Miljö!$B$1:$J$479,MATCH("Koldioxidekvivalenter energiomvandling (g/kwh)",Miljö!$B$1:$J$1,0),FALSE)</f>
        <v>329.19</v>
      </c>
      <c r="I112" s="121">
        <f>VLOOKUP($B112,Miljö!$B$1:$J$479,MATCH("Fossilandel för ursprungspecificerad el ()",Miljö!$B$1:$J$1,0),FALSE)</f>
        <v>0.43</v>
      </c>
      <c r="J112" s="121">
        <f>VLOOKUP($B112,Miljö!$B$1:$J$479,MATCH("Kärnkraftsandel för ursprungsspecificerad el ()",Miljö!$B$1:$J$1,0),FALSE)</f>
        <v>0.40550000000000003</v>
      </c>
      <c r="L112" s="121">
        <f>VLOOKUP($B112,Totalt!$B$1:$BU$497,MATCH("total el",Totalt!$B$1:$BU$1,0),FALSE)</f>
        <v>2.19597</v>
      </c>
      <c r="N112" s="271">
        <f t="shared" si="4"/>
        <v>5.0507309999999999</v>
      </c>
      <c r="O112" s="271">
        <f t="shared" si="5"/>
        <v>722.89136429999996</v>
      </c>
      <c r="P112" s="271">
        <f t="shared" si="6"/>
        <v>0.94426710000000003</v>
      </c>
      <c r="Q112" s="271">
        <f t="shared" si="7"/>
        <v>0.89046583500000009</v>
      </c>
    </row>
    <row r="113" spans="1:17" x14ac:dyDescent="0.25">
      <c r="A113" s="137" t="s">
        <v>348</v>
      </c>
      <c r="B113" s="137" t="s">
        <v>350</v>
      </c>
      <c r="C113" s="121" t="str">
        <f>VLOOKUP($B113,Totalt!$B$1:$BU$497,MATCH("Kvalitetsgranskad:",Totalt!$B$1:$BU$1,0),FALSE)</f>
        <v>Ja</v>
      </c>
      <c r="E113" s="121" t="str">
        <f>VLOOKUP($B113,Miljö!$B$1:$AG$479,MATCH(E$1,Miljö!$B$1:$AK$1,0),FALSE)</f>
        <v>Nej</v>
      </c>
      <c r="F113" s="121" t="str">
        <f>VLOOKUP($B113,Miljö!$B$1:$J$479,MATCH("Typ av ursprungsspecificerad el   (Om inget värde anges används Nordisk residualmix, se inforuta) ()",Miljö!$B$1:$J$1,0),FALSE)</f>
        <v>-</v>
      </c>
      <c r="G113" s="121">
        <f>VLOOKUP($B113,Miljö!$B$1:$J$479,MATCH("Primärenergifaktor ()",Miljö!$B$1:$J$1,0),FALSE)</f>
        <v>2.2999999999999998</v>
      </c>
      <c r="H113" s="121">
        <f>VLOOKUP($B113,Miljö!$B$1:$J$479,MATCH("Koldioxidekvivalenter energiomvandling (g/kwh)",Miljö!$B$1:$J$1,0),FALSE)</f>
        <v>329.19</v>
      </c>
      <c r="I113" s="121">
        <f>VLOOKUP($B113,Miljö!$B$1:$J$479,MATCH("Fossilandel för ursprungspecificerad el ()",Miljö!$B$1:$J$1,0),FALSE)</f>
        <v>0.43</v>
      </c>
      <c r="J113" s="121">
        <f>VLOOKUP($B113,Miljö!$B$1:$J$479,MATCH("Kärnkraftsandel för ursprungsspecificerad el ()",Miljö!$B$1:$J$1,0),FALSE)</f>
        <v>0.40550000000000003</v>
      </c>
      <c r="L113" s="121">
        <f>VLOOKUP($B113,Totalt!$B$1:$BU$497,MATCH("total el",Totalt!$B$1:$BU$1,0),FALSE)</f>
        <v>0.18</v>
      </c>
      <c r="N113" s="271">
        <f t="shared" si="4"/>
        <v>0.41399999999999998</v>
      </c>
      <c r="O113" s="271">
        <f t="shared" si="5"/>
        <v>59.254199999999997</v>
      </c>
      <c r="P113" s="271">
        <f t="shared" si="6"/>
        <v>7.7399999999999997E-2</v>
      </c>
      <c r="Q113" s="271">
        <f t="shared" si="7"/>
        <v>7.2989999999999999E-2</v>
      </c>
    </row>
    <row r="114" spans="1:17" x14ac:dyDescent="0.25">
      <c r="A114" s="137" t="s">
        <v>348</v>
      </c>
      <c r="B114" s="137" t="s">
        <v>351</v>
      </c>
      <c r="C114" s="121" t="str">
        <f>VLOOKUP($B114,Totalt!$B$1:$BU$497,MATCH("Kvalitetsgranskad:",Totalt!$B$1:$BU$1,0),FALSE)</f>
        <v>Ja</v>
      </c>
      <c r="E114" s="121" t="str">
        <f>VLOOKUP($B114,Miljö!$B$1:$AG$479,MATCH(E$1,Miljö!$B$1:$AK$1,0),FALSE)</f>
        <v>Nej</v>
      </c>
      <c r="F114" s="121" t="str">
        <f>VLOOKUP($B114,Miljö!$B$1:$J$479,MATCH("Typ av ursprungsspecificerad el   (Om inget värde anges används Nordisk residualmix, se inforuta) ()",Miljö!$B$1:$J$1,0),FALSE)</f>
        <v>-</v>
      </c>
      <c r="G114" s="121">
        <f>VLOOKUP($B114,Miljö!$B$1:$J$479,MATCH("Primärenergifaktor ()",Miljö!$B$1:$J$1,0),FALSE)</f>
        <v>2.2999999999999998</v>
      </c>
      <c r="H114" s="121">
        <f>VLOOKUP($B114,Miljö!$B$1:$J$479,MATCH("Koldioxidekvivalenter energiomvandling (g/kwh)",Miljö!$B$1:$J$1,0),FALSE)</f>
        <v>329.19</v>
      </c>
      <c r="I114" s="121">
        <f>VLOOKUP($B114,Miljö!$B$1:$J$479,MATCH("Fossilandel för ursprungspecificerad el ()",Miljö!$B$1:$J$1,0),FALSE)</f>
        <v>0.43</v>
      </c>
      <c r="J114" s="121">
        <f>VLOOKUP($B114,Miljö!$B$1:$J$479,MATCH("Kärnkraftsandel för ursprungsspecificerad el ()",Miljö!$B$1:$J$1,0),FALSE)</f>
        <v>0.40550000000000003</v>
      </c>
      <c r="L114" s="121">
        <f>VLOOKUP($B114,Totalt!$B$1:$BU$497,MATCH("total el",Totalt!$B$1:$BU$1,0),FALSE)</f>
        <v>5.3999999999999999E-2</v>
      </c>
      <c r="N114" s="271">
        <f t="shared" si="4"/>
        <v>0.12419999999999999</v>
      </c>
      <c r="O114" s="271">
        <f t="shared" si="5"/>
        <v>17.776260000000001</v>
      </c>
      <c r="P114" s="271">
        <f t="shared" si="6"/>
        <v>2.3220000000000001E-2</v>
      </c>
      <c r="Q114" s="271">
        <f t="shared" si="7"/>
        <v>2.1897E-2</v>
      </c>
    </row>
    <row r="115" spans="1:17" x14ac:dyDescent="0.25">
      <c r="A115" s="137" t="s">
        <v>348</v>
      </c>
      <c r="B115" s="137" t="s">
        <v>352</v>
      </c>
      <c r="C115" s="121" t="str">
        <f>VLOOKUP($B115,Totalt!$B$1:$BU$497,MATCH("Kvalitetsgranskad:",Totalt!$B$1:$BU$1,0),FALSE)</f>
        <v>Ja</v>
      </c>
      <c r="E115" s="121" t="str">
        <f>VLOOKUP($B115,Miljö!$B$1:$AG$479,MATCH(E$1,Miljö!$B$1:$AK$1,0),FALSE)</f>
        <v>Nej</v>
      </c>
      <c r="F115" s="121" t="str">
        <f>VLOOKUP($B115,Miljö!$B$1:$J$479,MATCH("Typ av ursprungsspecificerad el   (Om inget värde anges används Nordisk residualmix, se inforuta) ()",Miljö!$B$1:$J$1,0),FALSE)</f>
        <v>-</v>
      </c>
      <c r="G115" s="121">
        <f>VLOOKUP($B115,Miljö!$B$1:$J$479,MATCH("Primärenergifaktor ()",Miljö!$B$1:$J$1,0),FALSE)</f>
        <v>2.2999999999999998</v>
      </c>
      <c r="H115" s="121">
        <f>VLOOKUP($B115,Miljö!$B$1:$J$479,MATCH("Koldioxidekvivalenter energiomvandling (g/kwh)",Miljö!$B$1:$J$1,0),FALSE)</f>
        <v>329.19</v>
      </c>
      <c r="I115" s="121">
        <f>VLOOKUP($B115,Miljö!$B$1:$J$479,MATCH("Fossilandel för ursprungspecificerad el ()",Miljö!$B$1:$J$1,0),FALSE)</f>
        <v>0.43</v>
      </c>
      <c r="J115" s="121">
        <f>VLOOKUP($B115,Miljö!$B$1:$J$479,MATCH("Kärnkraftsandel för ursprungsspecificerad el ()",Miljö!$B$1:$J$1,0),FALSE)</f>
        <v>0.40550000000000003</v>
      </c>
      <c r="L115" s="121">
        <f>VLOOKUP($B115,Totalt!$B$1:$BU$497,MATCH("total el",Totalt!$B$1:$BU$1,0),FALSE)</f>
        <v>2.1621999999999999</v>
      </c>
      <c r="N115" s="271">
        <f t="shared" si="4"/>
        <v>4.9730599999999994</v>
      </c>
      <c r="O115" s="271">
        <f t="shared" si="5"/>
        <v>711.77461799999992</v>
      </c>
      <c r="P115" s="271">
        <f t="shared" si="6"/>
        <v>0.92974599999999996</v>
      </c>
      <c r="Q115" s="271">
        <f t="shared" si="7"/>
        <v>0.87677210000000005</v>
      </c>
    </row>
    <row r="116" spans="1:17" x14ac:dyDescent="0.25">
      <c r="A116" s="137" t="s">
        <v>353</v>
      </c>
      <c r="B116" s="137" t="s">
        <v>78</v>
      </c>
      <c r="C116" s="121" t="str">
        <f>VLOOKUP($B116,Totalt!$B$1:$BU$497,MATCH("Kvalitetsgranskad:",Totalt!$B$1:$BU$1,0),FALSE)</f>
        <v>Ja</v>
      </c>
      <c r="E116" s="121" t="str">
        <f>VLOOKUP($B116,Miljö!$B$1:$AG$479,MATCH(E$1,Miljö!$B$1:$AK$1,0),FALSE)</f>
        <v>Ja</v>
      </c>
      <c r="F116" s="121" t="str">
        <f>VLOOKUP($B116,Miljö!$B$1:$J$479,MATCH("Typ av ursprungsspecificerad el   (Om inget värde anges används Nordisk residualmix, se inforuta) ()",Miljö!$B$1:$J$1,0),FALSE)</f>
        <v>-</v>
      </c>
      <c r="G116" s="121">
        <f>VLOOKUP($B116,Miljö!$B$1:$J$479,MATCH("Primärenergifaktor ()",Miljö!$B$1:$J$1,0),FALSE)</f>
        <v>2.2999999999999998</v>
      </c>
      <c r="H116" s="121">
        <f>VLOOKUP($B116,Miljö!$B$1:$J$479,MATCH("Koldioxidekvivalenter energiomvandling (g/kwh)",Miljö!$B$1:$J$1,0),FALSE)</f>
        <v>329.19</v>
      </c>
      <c r="I116" s="121">
        <f>VLOOKUP($B116,Miljö!$B$1:$J$479,MATCH("Fossilandel för ursprungspecificerad el ()",Miljö!$B$1:$J$1,0),FALSE)</f>
        <v>0.42699999999999999</v>
      </c>
      <c r="J116" s="121">
        <f>VLOOKUP($B116,Miljö!$B$1:$J$479,MATCH("Kärnkraftsandel för ursprungsspecificerad el ()",Miljö!$B$1:$J$1,0),FALSE)</f>
        <v>0.40600000000000003</v>
      </c>
      <c r="L116" s="121">
        <f>VLOOKUP($B116,Totalt!$B$1:$BU$497,MATCH("total el",Totalt!$B$1:$BU$1,0),FALSE)</f>
        <v>4.752E-2</v>
      </c>
      <c r="N116" s="271">
        <f t="shared" si="4"/>
        <v>0.10929599999999999</v>
      </c>
      <c r="O116" s="271">
        <f t="shared" si="5"/>
        <v>15.6431088</v>
      </c>
      <c r="P116" s="271">
        <f t="shared" si="6"/>
        <v>2.029104E-2</v>
      </c>
      <c r="Q116" s="271">
        <f t="shared" si="7"/>
        <v>1.929312E-2</v>
      </c>
    </row>
    <row r="117" spans="1:17" x14ac:dyDescent="0.25">
      <c r="A117" s="137" t="s">
        <v>354</v>
      </c>
      <c r="B117" s="137" t="s">
        <v>355</v>
      </c>
      <c r="C117" s="121" t="str">
        <f>VLOOKUP($B117,Totalt!$B$1:$BU$497,MATCH("Kvalitetsgranskad:",Totalt!$B$1:$BU$1,0),FALSE)</f>
        <v>Ja</v>
      </c>
      <c r="E117" s="121" t="str">
        <f>VLOOKUP($B117,Miljö!$B$1:$AG$479,MATCH(E$1,Miljö!$B$1:$AK$1,0),FALSE)</f>
        <v>Ja</v>
      </c>
      <c r="F117" s="121" t="str">
        <f>VLOOKUP($B117,Miljö!$B$1:$J$479,MATCH("Typ av ursprungsspecificerad el   (Om inget värde anges används Nordisk residualmix, se inforuta) ()",Miljö!$B$1:$J$1,0),FALSE)</f>
        <v>'Vatten El'</v>
      </c>
      <c r="G117" s="121">
        <f>VLOOKUP($B117,Miljö!$B$1:$J$479,MATCH("Primärenergifaktor ()",Miljö!$B$1:$J$1,0),FALSE)</f>
        <v>1.1000000000000001</v>
      </c>
      <c r="H117" s="121">
        <f>VLOOKUP($B117,Miljö!$B$1:$J$479,MATCH("Koldioxidekvivalenter energiomvandling (g/kwh)",Miljö!$B$1:$J$1,0),FALSE)</f>
        <v>1.4999999999999999E-4</v>
      </c>
      <c r="I117" s="121">
        <f>VLOOKUP($B117,Miljö!$B$1:$J$479,MATCH("Fossilandel för ursprungspecificerad el ()",Miljö!$B$1:$J$1,0),FALSE)</f>
        <v>0</v>
      </c>
      <c r="J117" s="121">
        <f>VLOOKUP($B117,Miljö!$B$1:$J$479,MATCH("Kärnkraftsandel för ursprungsspecificerad el ()",Miljö!$B$1:$J$1,0),FALSE)</f>
        <v>0</v>
      </c>
      <c r="L117" s="121">
        <f>VLOOKUP($B117,Totalt!$B$1:$BU$497,MATCH("total el",Totalt!$B$1:$BU$1,0),FALSE)</f>
        <v>0.88300000000000001</v>
      </c>
      <c r="N117" s="271">
        <f t="shared" si="4"/>
        <v>0.97130000000000005</v>
      </c>
      <c r="O117" s="271">
        <f t="shared" si="5"/>
        <v>1.3244999999999999E-4</v>
      </c>
      <c r="P117" s="271">
        <f t="shared" si="6"/>
        <v>0</v>
      </c>
      <c r="Q117" s="271">
        <f t="shared" si="7"/>
        <v>0</v>
      </c>
    </row>
    <row r="118" spans="1:17" x14ac:dyDescent="0.25">
      <c r="A118" s="137" t="s">
        <v>356</v>
      </c>
      <c r="B118" s="137" t="s">
        <v>357</v>
      </c>
      <c r="C118" s="121" t="str">
        <f>VLOOKUP($B118,Totalt!$B$1:$BU$497,MATCH("Kvalitetsgranskad:",Totalt!$B$1:$BU$1,0),FALSE)</f>
        <v>Ja</v>
      </c>
      <c r="E118" s="121" t="str">
        <f>VLOOKUP($B118,Miljö!$B$1:$AG$479,MATCH(E$1,Miljö!$B$1:$AK$1,0),FALSE)</f>
        <v>Ja</v>
      </c>
      <c r="F118" s="121" t="str">
        <f>VLOOKUP($B118,Miljö!$B$1:$J$479,MATCH("Typ av ursprungsspecificerad el   (Om inget värde anges används Nordisk residualmix, se inforuta) ()",Miljö!$B$1:$J$1,0),FALSE)</f>
        <v>'Biokraft'</v>
      </c>
      <c r="G118" s="121">
        <f>VLOOKUP($B118,Miljö!$B$1:$J$479,MATCH("Primärenergifaktor ()",Miljö!$B$1:$J$1,0),FALSE)</f>
        <v>0.03</v>
      </c>
      <c r="H118" s="121">
        <f>VLOOKUP($B118,Miljö!$B$1:$J$479,MATCH("Koldioxidekvivalenter energiomvandling (g/kwh)",Miljö!$B$1:$J$1,0),FALSE)</f>
        <v>0</v>
      </c>
      <c r="I118" s="121">
        <f>VLOOKUP($B118,Miljö!$B$1:$J$479,MATCH("Fossilandel för ursprungspecificerad el ()",Miljö!$B$1:$J$1,0),FALSE)</f>
        <v>0</v>
      </c>
      <c r="J118" s="121">
        <f>VLOOKUP($B118,Miljö!$B$1:$J$479,MATCH("Kärnkraftsandel för ursprungsspecificerad el ()",Miljö!$B$1:$J$1,0),FALSE)</f>
        <v>0</v>
      </c>
      <c r="L118" s="121">
        <f>VLOOKUP($B118,Totalt!$B$1:$BU$497,MATCH("total el",Totalt!$B$1:$BU$1,0),FALSE)</f>
        <v>9.2547899999999998</v>
      </c>
      <c r="N118" s="271">
        <f t="shared" si="4"/>
        <v>0.27764369999999999</v>
      </c>
      <c r="O118" s="271">
        <f t="shared" si="5"/>
        <v>0</v>
      </c>
      <c r="P118" s="271">
        <f t="shared" si="6"/>
        <v>0</v>
      </c>
      <c r="Q118" s="271">
        <f t="shared" si="7"/>
        <v>0</v>
      </c>
    </row>
    <row r="119" spans="1:17" x14ac:dyDescent="0.25">
      <c r="A119" s="137" t="s">
        <v>358</v>
      </c>
      <c r="B119" s="137" t="s">
        <v>359</v>
      </c>
      <c r="C119" s="121" t="str">
        <f>VLOOKUP($B119,Totalt!$B$1:$BU$497,MATCH("Kvalitetsgranskad:",Totalt!$B$1:$BU$1,0),FALSE)</f>
        <v>Ja</v>
      </c>
      <c r="E119" s="121" t="str">
        <f>VLOOKUP($B119,Miljö!$B$1:$AG$479,MATCH(E$1,Miljö!$B$1:$AK$1,0),FALSE)</f>
        <v>Ja</v>
      </c>
      <c r="F119" s="121" t="str">
        <f>VLOOKUP($B119,Miljö!$B$1:$J$479,MATCH("Typ av ursprungsspecificerad el   (Om inget värde anges används Nordisk residualmix, se inforuta) ()",Miljö!$B$1:$J$1,0),FALSE)</f>
        <v>'Vattenkraft'</v>
      </c>
      <c r="G119" s="121">
        <f>VLOOKUP($B119,Miljö!$B$1:$J$479,MATCH("Primärenergifaktor ()",Miljö!$B$1:$J$1,0),FALSE)</f>
        <v>1.1000000000000001</v>
      </c>
      <c r="H119" s="121">
        <f>VLOOKUP($B119,Miljö!$B$1:$J$479,MATCH("Koldioxidekvivalenter energiomvandling (g/kwh)",Miljö!$B$1:$J$1,0),FALSE)</f>
        <v>0.02</v>
      </c>
      <c r="I119" s="121">
        <f>VLOOKUP($B119,Miljö!$B$1:$J$479,MATCH("Fossilandel för ursprungspecificerad el ()",Miljö!$B$1:$J$1,0),FALSE)</f>
        <v>0</v>
      </c>
      <c r="J119" s="121">
        <f>VLOOKUP($B119,Miljö!$B$1:$J$479,MATCH("Kärnkraftsandel för ursprungsspecificerad el ()",Miljö!$B$1:$J$1,0),FALSE)</f>
        <v>0</v>
      </c>
      <c r="L119" s="121">
        <f>VLOOKUP($B119,Totalt!$B$1:$BU$497,MATCH("total el",Totalt!$B$1:$BU$1,0),FALSE)</f>
        <v>8.1999999999999993</v>
      </c>
      <c r="N119" s="271">
        <f t="shared" si="4"/>
        <v>9.02</v>
      </c>
      <c r="O119" s="271">
        <f t="shared" si="5"/>
        <v>0.16399999999999998</v>
      </c>
      <c r="P119" s="271">
        <f t="shared" si="6"/>
        <v>0</v>
      </c>
      <c r="Q119" s="271">
        <f t="shared" si="7"/>
        <v>0</v>
      </c>
    </row>
    <row r="120" spans="1:17" x14ac:dyDescent="0.25">
      <c r="A120" s="137" t="s">
        <v>358</v>
      </c>
      <c r="B120" s="137" t="s">
        <v>360</v>
      </c>
      <c r="C120" s="121" t="str">
        <f>VLOOKUP($B120,Totalt!$B$1:$BU$497,MATCH("Kvalitetsgranskad:",Totalt!$B$1:$BU$1,0),FALSE)</f>
        <v>Ja</v>
      </c>
      <c r="E120" s="121" t="str">
        <f>VLOOKUP($B120,Miljö!$B$1:$AG$479,MATCH(E$1,Miljö!$B$1:$AK$1,0),FALSE)</f>
        <v>Ja</v>
      </c>
      <c r="F120" s="121" t="str">
        <f>VLOOKUP($B120,Miljö!$B$1:$J$479,MATCH("Typ av ursprungsspecificerad el   (Om inget värde anges används Nordisk residualmix, se inforuta) ()",Miljö!$B$1:$J$1,0),FALSE)</f>
        <v>'Vattenkraft'</v>
      </c>
      <c r="G120" s="121">
        <f>VLOOKUP($B120,Miljö!$B$1:$J$479,MATCH("Primärenergifaktor ()",Miljö!$B$1:$J$1,0),FALSE)</f>
        <v>1.1000000000000001</v>
      </c>
      <c r="H120" s="121">
        <f>VLOOKUP($B120,Miljö!$B$1:$J$479,MATCH("Koldioxidekvivalenter energiomvandling (g/kwh)",Miljö!$B$1:$J$1,0),FALSE)</f>
        <v>0.02</v>
      </c>
      <c r="I120" s="121">
        <f>VLOOKUP($B120,Miljö!$B$1:$J$479,MATCH("Fossilandel för ursprungspecificerad el ()",Miljö!$B$1:$J$1,0),FALSE)</f>
        <v>0</v>
      </c>
      <c r="J120" s="121">
        <f>VLOOKUP($B120,Miljö!$B$1:$J$479,MATCH("Kärnkraftsandel för ursprungsspecificerad el ()",Miljö!$B$1:$J$1,0),FALSE)</f>
        <v>0</v>
      </c>
      <c r="L120" s="121">
        <f>VLOOKUP($B120,Totalt!$B$1:$BU$497,MATCH("total el",Totalt!$B$1:$BU$1,0),FALSE)</f>
        <v>0.52</v>
      </c>
      <c r="N120" s="271">
        <f t="shared" si="4"/>
        <v>0.57200000000000006</v>
      </c>
      <c r="O120" s="271">
        <f t="shared" si="5"/>
        <v>1.0400000000000001E-2</v>
      </c>
      <c r="P120" s="271">
        <f t="shared" si="6"/>
        <v>0</v>
      </c>
      <c r="Q120" s="271">
        <f t="shared" si="7"/>
        <v>0</v>
      </c>
    </row>
    <row r="121" spans="1:17" x14ac:dyDescent="0.25">
      <c r="A121" s="137" t="s">
        <v>362</v>
      </c>
      <c r="B121" s="137" t="s">
        <v>363</v>
      </c>
      <c r="C121" s="121" t="str">
        <f>VLOOKUP($B121,Totalt!$B$1:$BU$497,MATCH("Kvalitetsgranskad:",Totalt!$B$1:$BU$1,0),FALSE)</f>
        <v>Ja</v>
      </c>
      <c r="E121" s="121" t="str">
        <f>VLOOKUP($B121,Miljö!$B$1:$AG$479,MATCH(E$1,Miljö!$B$1:$AK$1,0),FALSE)</f>
        <v>Ja</v>
      </c>
      <c r="F121" s="121" t="str">
        <f>VLOOKUP($B121,Miljö!$B$1:$J$479,MATCH("Typ av ursprungsspecificerad el   (Om inget värde anges används Nordisk residualmix, se inforuta) ()",Miljö!$B$1:$J$1,0),FALSE)</f>
        <v>'Vattenkraft'</v>
      </c>
      <c r="G121" s="121">
        <f>VLOOKUP($B121,Miljö!$B$1:$J$479,MATCH("Primärenergifaktor ()",Miljö!$B$1:$J$1,0),FALSE)</f>
        <v>1.1000000000000001</v>
      </c>
      <c r="H121" s="121">
        <f>VLOOKUP($B121,Miljö!$B$1:$J$479,MATCH("Koldioxidekvivalenter energiomvandling (g/kwh)",Miljö!$B$1:$J$1,0),FALSE)</f>
        <v>0</v>
      </c>
      <c r="I121" s="121">
        <f>VLOOKUP($B121,Miljö!$B$1:$J$479,MATCH("Fossilandel för ursprungspecificerad el ()",Miljö!$B$1:$J$1,0),FALSE)</f>
        <v>0</v>
      </c>
      <c r="J121" s="121">
        <f>VLOOKUP($B121,Miljö!$B$1:$J$479,MATCH("Kärnkraftsandel för ursprungsspecificerad el ()",Miljö!$B$1:$J$1,0),FALSE)</f>
        <v>0</v>
      </c>
      <c r="L121" s="121">
        <f>VLOOKUP($B121,Totalt!$B$1:$BU$497,MATCH("total el",Totalt!$B$1:$BU$1,0),FALSE)</f>
        <v>0.37866899999999998</v>
      </c>
      <c r="N121" s="271">
        <f t="shared" si="4"/>
        <v>0.41653590000000001</v>
      </c>
      <c r="O121" s="271">
        <f t="shared" si="5"/>
        <v>0</v>
      </c>
      <c r="P121" s="271">
        <f t="shared" si="6"/>
        <v>0</v>
      </c>
      <c r="Q121" s="271">
        <f t="shared" si="7"/>
        <v>0</v>
      </c>
    </row>
    <row r="122" spans="1:17" x14ac:dyDescent="0.25">
      <c r="A122" s="137" t="s">
        <v>364</v>
      </c>
      <c r="B122" s="137" t="s">
        <v>365</v>
      </c>
      <c r="C122" s="121" t="str">
        <f>VLOOKUP($B122,Totalt!$B$1:$BU$497,MATCH("Kvalitetsgranskad:",Totalt!$B$1:$BU$1,0),FALSE)</f>
        <v>Ja</v>
      </c>
      <c r="E122" s="121" t="str">
        <f>VLOOKUP($B122,Miljö!$B$1:$AG$479,MATCH(E$1,Miljö!$B$1:$AK$1,0),FALSE)</f>
        <v>Nej</v>
      </c>
      <c r="F122" s="121" t="str">
        <f>VLOOKUP($B122,Miljö!$B$1:$J$479,MATCH("Typ av ursprungsspecificerad el   (Om inget värde anges används Nordisk residualmix, se inforuta) ()",Miljö!$B$1:$J$1,0),FALSE)</f>
        <v>-</v>
      </c>
      <c r="G122" s="121">
        <f>VLOOKUP($B122,Miljö!$B$1:$J$479,MATCH("Primärenergifaktor ()",Miljö!$B$1:$J$1,0),FALSE)</f>
        <v>2.2999999999999998</v>
      </c>
      <c r="H122" s="121">
        <f>VLOOKUP($B122,Miljö!$B$1:$J$479,MATCH("Koldioxidekvivalenter energiomvandling (g/kwh)",Miljö!$B$1:$J$1,0),FALSE)</f>
        <v>329.19</v>
      </c>
      <c r="I122" s="121">
        <f>VLOOKUP($B122,Miljö!$B$1:$J$479,MATCH("Fossilandel för ursprungspecificerad el ()",Miljö!$B$1:$J$1,0),FALSE)</f>
        <v>0.43</v>
      </c>
      <c r="J122" s="121">
        <f>VLOOKUP($B122,Miljö!$B$1:$J$479,MATCH("Kärnkraftsandel för ursprungsspecificerad el ()",Miljö!$B$1:$J$1,0),FALSE)</f>
        <v>0.40550000000000003</v>
      </c>
      <c r="L122" s="121">
        <f>VLOOKUP($B122,Totalt!$B$1:$BU$497,MATCH("total el",Totalt!$B$1:$BU$1,0),FALSE)</f>
        <v>1.3</v>
      </c>
      <c r="N122" s="271">
        <f t="shared" si="4"/>
        <v>2.9899999999999998</v>
      </c>
      <c r="O122" s="271">
        <f t="shared" si="5"/>
        <v>427.947</v>
      </c>
      <c r="P122" s="271">
        <f t="shared" si="6"/>
        <v>0.55900000000000005</v>
      </c>
      <c r="Q122" s="271">
        <f t="shared" si="7"/>
        <v>0.52715000000000001</v>
      </c>
    </row>
    <row r="123" spans="1:17" x14ac:dyDescent="0.25">
      <c r="A123" s="137" t="s">
        <v>366</v>
      </c>
      <c r="B123" s="137" t="s">
        <v>367</v>
      </c>
      <c r="C123" s="121" t="str">
        <f>VLOOKUP($B123,Totalt!$B$1:$BU$497,MATCH("Kvalitetsgranskad:",Totalt!$B$1:$BU$1,0),FALSE)</f>
        <v>Nej</v>
      </c>
      <c r="E123" s="121" t="str">
        <f>VLOOKUP($B123,Miljö!$B$1:$AG$479,MATCH(E$1,Miljö!$B$1:$AK$1,0),FALSE)</f>
        <v>Ja</v>
      </c>
      <c r="F123" s="121" t="str">
        <f>VLOOKUP($B123,Miljö!$B$1:$J$479,MATCH("Typ av ursprungsspecificerad el   (Om inget värde anges används Nordisk residualmix, se inforuta) ()",Miljö!$B$1:$J$1,0),FALSE)</f>
        <v>'jämtkrafts lokalel'</v>
      </c>
      <c r="G123" s="121">
        <f>VLOOKUP($B123,Miljö!$B$1:$J$479,MATCH("Primärenergifaktor ()",Miljö!$B$1:$J$1,0),FALSE)</f>
        <v>0.8377</v>
      </c>
      <c r="H123" s="121">
        <f>VLOOKUP($B123,Miljö!$B$1:$J$479,MATCH("Koldioxidekvivalenter energiomvandling (g/kwh)",Miljö!$B$1:$J$1,0),FALSE)</f>
        <v>0.19</v>
      </c>
      <c r="I123" s="121">
        <f>VLOOKUP($B123,Miljö!$B$1:$J$479,MATCH("Fossilandel för ursprungspecificerad el ()",Miljö!$B$1:$J$1,0),FALSE)</f>
        <v>0</v>
      </c>
      <c r="J123" s="121">
        <f>VLOOKUP($B123,Miljö!$B$1:$J$479,MATCH("Kärnkraftsandel för ursprungsspecificerad el ()",Miljö!$B$1:$J$1,0),FALSE)</f>
        <v>0</v>
      </c>
      <c r="L123" s="121">
        <f>VLOOKUP($B123,Totalt!$B$1:$BU$497,MATCH("total el",Totalt!$B$1:$BU$1,0),FALSE)</f>
        <v>0</v>
      </c>
      <c r="N123" s="271">
        <f t="shared" si="4"/>
        <v>0</v>
      </c>
      <c r="O123" s="271">
        <f t="shared" si="5"/>
        <v>0</v>
      </c>
      <c r="P123" s="271">
        <f t="shared" si="6"/>
        <v>0</v>
      </c>
      <c r="Q123" s="271">
        <f t="shared" si="7"/>
        <v>0</v>
      </c>
    </row>
    <row r="124" spans="1:17" x14ac:dyDescent="0.25">
      <c r="A124" s="137" t="s">
        <v>366</v>
      </c>
      <c r="B124" s="137" t="s">
        <v>368</v>
      </c>
      <c r="C124" s="121" t="str">
        <f>VLOOKUP($B124,Totalt!$B$1:$BU$497,MATCH("Kvalitetsgranskad:",Totalt!$B$1:$BU$1,0),FALSE)</f>
        <v>Ja</v>
      </c>
      <c r="E124" s="121" t="str">
        <f>VLOOKUP($B124,Miljö!$B$1:$AG$479,MATCH(E$1,Miljö!$B$1:$AK$1,0),FALSE)</f>
        <v>Ja</v>
      </c>
      <c r="F124" s="121" t="str">
        <f>VLOOKUP($B124,Miljö!$B$1:$J$479,MATCH("Typ av ursprungsspecificerad el   (Om inget värde anges används Nordisk residualmix, se inforuta) ()",Miljö!$B$1:$J$1,0),FALSE)</f>
        <v>'Jämtkrafts lokalel'</v>
      </c>
      <c r="G124" s="121">
        <f>VLOOKUP($B124,Miljö!$B$1:$J$479,MATCH("Primärenergifaktor ()",Miljö!$B$1:$J$1,0),FALSE)</f>
        <v>1.1084000000000001</v>
      </c>
      <c r="H124" s="121">
        <f>VLOOKUP($B124,Miljö!$B$1:$J$479,MATCH("Koldioxidekvivalenter energiomvandling (g/kwh)",Miljö!$B$1:$J$1,0),FALSE)</f>
        <v>0</v>
      </c>
      <c r="I124" s="121">
        <f>VLOOKUP($B124,Miljö!$B$1:$J$479,MATCH("Fossilandel för ursprungspecificerad el ()",Miljö!$B$1:$J$1,0),FALSE)</f>
        <v>0</v>
      </c>
      <c r="J124" s="121">
        <f>VLOOKUP($B124,Miljö!$B$1:$J$479,MATCH("Kärnkraftsandel för ursprungsspecificerad el ()",Miljö!$B$1:$J$1,0),FALSE)</f>
        <v>0</v>
      </c>
      <c r="L124" s="121">
        <f>VLOOKUP($B124,Totalt!$B$1:$BU$497,MATCH("total el",Totalt!$B$1:$BU$1,0),FALSE)</f>
        <v>1.2588999999999999</v>
      </c>
      <c r="N124" s="271">
        <f t="shared" si="4"/>
        <v>1.3953647599999999</v>
      </c>
      <c r="O124" s="271">
        <f t="shared" si="5"/>
        <v>0</v>
      </c>
      <c r="P124" s="271">
        <f t="shared" si="6"/>
        <v>0</v>
      </c>
      <c r="Q124" s="271">
        <f t="shared" si="7"/>
        <v>0</v>
      </c>
    </row>
    <row r="125" spans="1:17" x14ac:dyDescent="0.25">
      <c r="A125" s="137" t="s">
        <v>366</v>
      </c>
      <c r="B125" s="137" t="s">
        <v>369</v>
      </c>
      <c r="C125" s="121" t="str">
        <f>VLOOKUP($B125,Totalt!$B$1:$BU$497,MATCH("Kvalitetsgranskad:",Totalt!$B$1:$BU$1,0),FALSE)</f>
        <v>Ja</v>
      </c>
      <c r="E125" s="121" t="str">
        <f>VLOOKUP($B125,Miljö!$B$1:$AG$479,MATCH(E$1,Miljö!$B$1:$AK$1,0),FALSE)</f>
        <v>Ja</v>
      </c>
      <c r="F125" s="121" t="str">
        <f>VLOOKUP($B125,Miljö!$B$1:$J$479,MATCH("Typ av ursprungsspecificerad el   (Om inget värde anges används Nordisk residualmix, se inforuta) ()",Miljö!$B$1:$J$1,0),FALSE)</f>
        <v>'Jämtkrafts lokalel'</v>
      </c>
      <c r="G125" s="121">
        <f>VLOOKUP($B125,Miljö!$B$1:$J$479,MATCH("Primärenergifaktor ()",Miljö!$B$1:$J$1,0),FALSE)</f>
        <v>1.1084000000000001</v>
      </c>
      <c r="H125" s="121">
        <f>VLOOKUP($B125,Miljö!$B$1:$J$479,MATCH("Koldioxidekvivalenter energiomvandling (g/kwh)",Miljö!$B$1:$J$1,0),FALSE)</f>
        <v>0</v>
      </c>
      <c r="I125" s="121">
        <f>VLOOKUP($B125,Miljö!$B$1:$J$479,MATCH("Fossilandel för ursprungspecificerad el ()",Miljö!$B$1:$J$1,0),FALSE)</f>
        <v>0</v>
      </c>
      <c r="J125" s="121">
        <f>VLOOKUP($B125,Miljö!$B$1:$J$479,MATCH("Kärnkraftsandel för ursprungsspecificerad el ()",Miljö!$B$1:$J$1,0),FALSE)</f>
        <v>0</v>
      </c>
      <c r="L125" s="121">
        <f>VLOOKUP($B125,Totalt!$B$1:$BU$497,MATCH("total el",Totalt!$B$1:$BU$1,0),FALSE)</f>
        <v>2.1160000000000001</v>
      </c>
      <c r="N125" s="271">
        <f t="shared" si="4"/>
        <v>2.3453744000000003</v>
      </c>
      <c r="O125" s="271">
        <f t="shared" si="5"/>
        <v>0</v>
      </c>
      <c r="P125" s="271">
        <f t="shared" si="6"/>
        <v>0</v>
      </c>
      <c r="Q125" s="271">
        <f t="shared" si="7"/>
        <v>0</v>
      </c>
    </row>
    <row r="126" spans="1:17" x14ac:dyDescent="0.25">
      <c r="A126" s="137" t="s">
        <v>366</v>
      </c>
      <c r="B126" s="137" t="s">
        <v>370</v>
      </c>
      <c r="C126" s="121" t="str">
        <f>VLOOKUP($B126,Totalt!$B$1:$BU$497,MATCH("Kvalitetsgranskad:",Totalt!$B$1:$BU$1,0),FALSE)</f>
        <v>Ja</v>
      </c>
      <c r="E126" s="121" t="str">
        <f>VLOOKUP($B126,Miljö!$B$1:$AG$479,MATCH(E$1,Miljö!$B$1:$AK$1,0),FALSE)</f>
        <v>Ja</v>
      </c>
      <c r="F126" s="121" t="str">
        <f>VLOOKUP($B126,Miljö!$B$1:$J$479,MATCH("Typ av ursprungsspecificerad el   (Om inget värde anges används Nordisk residualmix, se inforuta) ()",Miljö!$B$1:$J$1,0),FALSE)</f>
        <v>'Jämtkraft lokalel'</v>
      </c>
      <c r="G126" s="121">
        <f>VLOOKUP($B126,Miljö!$B$1:$J$479,MATCH("Primärenergifaktor ()",Miljö!$B$1:$J$1,0),FALSE)</f>
        <v>1.1084000000000001</v>
      </c>
      <c r="H126" s="121">
        <f>VLOOKUP($B126,Miljö!$B$1:$J$479,MATCH("Koldioxidekvivalenter energiomvandling (g/kwh)",Miljö!$B$1:$J$1,0),FALSE)</f>
        <v>0</v>
      </c>
      <c r="I126" s="121">
        <f>VLOOKUP($B126,Miljö!$B$1:$J$479,MATCH("Fossilandel för ursprungspecificerad el ()",Miljö!$B$1:$J$1,0),FALSE)</f>
        <v>0</v>
      </c>
      <c r="J126" s="121">
        <f>VLOOKUP($B126,Miljö!$B$1:$J$479,MATCH("Kärnkraftsandel för ursprungsspecificerad el ()",Miljö!$B$1:$J$1,0),FALSE)</f>
        <v>0</v>
      </c>
      <c r="L126" s="121">
        <f>VLOOKUP($B126,Totalt!$B$1:$BU$497,MATCH("total el",Totalt!$B$1:$BU$1,0),FALSE)</f>
        <v>16.534199999999998</v>
      </c>
      <c r="N126" s="271">
        <f t="shared" si="4"/>
        <v>18.326507279999998</v>
      </c>
      <c r="O126" s="271">
        <f t="shared" si="5"/>
        <v>0</v>
      </c>
      <c r="P126" s="271">
        <f t="shared" si="6"/>
        <v>0</v>
      </c>
      <c r="Q126" s="271">
        <f t="shared" si="7"/>
        <v>0</v>
      </c>
    </row>
    <row r="127" spans="1:17" x14ac:dyDescent="0.25">
      <c r="A127" s="137" t="s">
        <v>371</v>
      </c>
      <c r="B127" s="137" t="s">
        <v>81</v>
      </c>
      <c r="C127" s="121" t="str">
        <f>VLOOKUP($B127,Totalt!$B$1:$BU$497,MATCH("Kvalitetsgranskad:",Totalt!$B$1:$BU$1,0),FALSE)</f>
        <v>Ja</v>
      </c>
      <c r="E127" s="121" t="str">
        <f>VLOOKUP($B127,Miljö!$B$1:$AG$479,MATCH(E$1,Miljö!$B$1:$AK$1,0),FALSE)</f>
        <v>Nej</v>
      </c>
      <c r="F127" s="121" t="str">
        <f>VLOOKUP($B127,Miljö!$B$1:$J$479,MATCH("Typ av ursprungsspecificerad el   (Om inget värde anges används Nordisk residualmix, se inforuta) ()",Miljö!$B$1:$J$1,0),FALSE)</f>
        <v>-</v>
      </c>
      <c r="G127" s="121">
        <f>VLOOKUP($B127,Miljö!$B$1:$J$479,MATCH("Primärenergifaktor ()",Miljö!$B$1:$J$1,0),FALSE)</f>
        <v>2.2999999999999998</v>
      </c>
      <c r="H127" s="121">
        <f>VLOOKUP($B127,Miljö!$B$1:$J$479,MATCH("Koldioxidekvivalenter energiomvandling (g/kwh)",Miljö!$B$1:$J$1,0),FALSE)</f>
        <v>329.19</v>
      </c>
      <c r="I127" s="121">
        <f>VLOOKUP($B127,Miljö!$B$1:$J$479,MATCH("Fossilandel för ursprungspecificerad el ()",Miljö!$B$1:$J$1,0),FALSE)</f>
        <v>0.43</v>
      </c>
      <c r="J127" s="121">
        <f>VLOOKUP($B127,Miljö!$B$1:$J$479,MATCH("Kärnkraftsandel för ursprungsspecificerad el ()",Miljö!$B$1:$J$1,0),FALSE)</f>
        <v>0.40550000000000003</v>
      </c>
      <c r="L127" s="121">
        <f>VLOOKUP($B127,Totalt!$B$1:$BU$497,MATCH("total el",Totalt!$B$1:$BU$1,0),FALSE)</f>
        <v>1.671</v>
      </c>
      <c r="N127" s="271">
        <f t="shared" si="4"/>
        <v>3.8432999999999997</v>
      </c>
      <c r="O127" s="271">
        <f t="shared" si="5"/>
        <v>550.07649000000004</v>
      </c>
      <c r="P127" s="271">
        <f t="shared" si="6"/>
        <v>0.71853</v>
      </c>
      <c r="Q127" s="271">
        <f t="shared" si="7"/>
        <v>0.6775905000000001</v>
      </c>
    </row>
    <row r="128" spans="1:17" x14ac:dyDescent="0.25">
      <c r="A128" s="137" t="s">
        <v>372</v>
      </c>
      <c r="B128" s="137" t="s">
        <v>373</v>
      </c>
      <c r="C128" s="121" t="str">
        <f>VLOOKUP($B128,Totalt!$B$1:$BU$497,MATCH("Kvalitetsgranskad:",Totalt!$B$1:$BU$1,0),FALSE)</f>
        <v>Ja</v>
      </c>
      <c r="E128" s="121" t="str">
        <f>VLOOKUP($B128,Miljö!$B$1:$AG$479,MATCH(E$1,Miljö!$B$1:$AK$1,0),FALSE)</f>
        <v>Ja</v>
      </c>
      <c r="F128" s="121" t="str">
        <f>VLOOKUP($B128,Miljö!$B$1:$J$479,MATCH("Typ av ursprungsspecificerad el   (Om inget värde anges används Nordisk residualmix, se inforuta) ()",Miljö!$B$1:$J$1,0),FALSE)</f>
        <v>'Biokraft'</v>
      </c>
      <c r="G128" s="121">
        <f>VLOOKUP($B128,Miljö!$B$1:$J$479,MATCH("Primärenergifaktor ()",Miljö!$B$1:$J$1,0),FALSE)</f>
        <v>2</v>
      </c>
      <c r="H128" s="121">
        <f>VLOOKUP($B128,Miljö!$B$1:$J$479,MATCH("Koldioxidekvivalenter energiomvandling (g/kwh)",Miljö!$B$1:$J$1,0),FALSE)</f>
        <v>0</v>
      </c>
      <c r="I128" s="121">
        <f>VLOOKUP($B128,Miljö!$B$1:$J$479,MATCH("Fossilandel för ursprungspecificerad el ()",Miljö!$B$1:$J$1,0),FALSE)</f>
        <v>0</v>
      </c>
      <c r="J128" s="121">
        <f>VLOOKUP($B128,Miljö!$B$1:$J$479,MATCH("Kärnkraftsandel för ursprungsspecificerad el ()",Miljö!$B$1:$J$1,0),FALSE)</f>
        <v>0</v>
      </c>
      <c r="L128" s="121">
        <f>VLOOKUP($B128,Totalt!$B$1:$BU$497,MATCH("total el",Totalt!$B$1:$BU$1,0),FALSE)</f>
        <v>0.49</v>
      </c>
      <c r="N128" s="271">
        <f t="shared" si="4"/>
        <v>0.98</v>
      </c>
      <c r="O128" s="271">
        <f t="shared" si="5"/>
        <v>0</v>
      </c>
      <c r="P128" s="271">
        <f t="shared" si="6"/>
        <v>0</v>
      </c>
      <c r="Q128" s="271">
        <f t="shared" si="7"/>
        <v>0</v>
      </c>
    </row>
    <row r="129" spans="1:17" x14ac:dyDescent="0.25">
      <c r="A129" s="137" t="s">
        <v>372</v>
      </c>
      <c r="B129" s="137" t="s">
        <v>374</v>
      </c>
      <c r="C129" s="121" t="str">
        <f>VLOOKUP($B129,Totalt!$B$1:$BU$497,MATCH("Kvalitetsgranskad:",Totalt!$B$1:$BU$1,0),FALSE)</f>
        <v>Ja</v>
      </c>
      <c r="E129" s="121" t="str">
        <f>VLOOKUP($B129,Miljö!$B$1:$AG$479,MATCH(E$1,Miljö!$B$1:$AK$1,0),FALSE)</f>
        <v>Ja</v>
      </c>
      <c r="F129" s="121" t="str">
        <f>VLOOKUP($B129,Miljö!$B$1:$J$479,MATCH("Typ av ursprungsspecificerad el   (Om inget värde anges används Nordisk residualmix, se inforuta) ()",Miljö!$B$1:$J$1,0),FALSE)</f>
        <v>'Biokraft'</v>
      </c>
      <c r="G129" s="121">
        <f>VLOOKUP($B129,Miljö!$B$1:$J$479,MATCH("Primärenergifaktor ()",Miljö!$B$1:$J$1,0),FALSE)</f>
        <v>2</v>
      </c>
      <c r="H129" s="121">
        <f>VLOOKUP($B129,Miljö!$B$1:$J$479,MATCH("Koldioxidekvivalenter energiomvandling (g/kwh)",Miljö!$B$1:$J$1,0),FALSE)</f>
        <v>0</v>
      </c>
      <c r="I129" s="121">
        <f>VLOOKUP($B129,Miljö!$B$1:$J$479,MATCH("Fossilandel för ursprungspecificerad el ()",Miljö!$B$1:$J$1,0),FALSE)</f>
        <v>0</v>
      </c>
      <c r="J129" s="121">
        <f>VLOOKUP($B129,Miljö!$B$1:$J$479,MATCH("Kärnkraftsandel för ursprungsspecificerad el ()",Miljö!$B$1:$J$1,0),FALSE)</f>
        <v>0</v>
      </c>
      <c r="L129" s="121">
        <f>VLOOKUP($B129,Totalt!$B$1:$BU$497,MATCH("total el",Totalt!$B$1:$BU$1,0),FALSE)</f>
        <v>31.2072</v>
      </c>
      <c r="N129" s="271">
        <f t="shared" si="4"/>
        <v>62.414400000000001</v>
      </c>
      <c r="O129" s="271">
        <f t="shared" si="5"/>
        <v>0</v>
      </c>
      <c r="P129" s="271">
        <f t="shared" si="6"/>
        <v>0</v>
      </c>
      <c r="Q129" s="271">
        <f t="shared" si="7"/>
        <v>0</v>
      </c>
    </row>
    <row r="130" spans="1:17" x14ac:dyDescent="0.25">
      <c r="A130" s="137" t="s">
        <v>372</v>
      </c>
      <c r="B130" s="137" t="s">
        <v>375</v>
      </c>
      <c r="C130" s="121" t="str">
        <f>VLOOKUP($B130,Totalt!$B$1:$BU$497,MATCH("Kvalitetsgranskad:",Totalt!$B$1:$BU$1,0),FALSE)</f>
        <v>Ja</v>
      </c>
      <c r="E130" s="121" t="str">
        <f>VLOOKUP($B130,Miljö!$B$1:$AG$479,MATCH(E$1,Miljö!$B$1:$AK$1,0),FALSE)</f>
        <v>Ja</v>
      </c>
      <c r="F130" s="121" t="str">
        <f>VLOOKUP($B130,Miljö!$B$1:$J$479,MATCH("Typ av ursprungsspecificerad el   (Om inget värde anges används Nordisk residualmix, se inforuta) ()",Miljö!$B$1:$J$1,0),FALSE)</f>
        <v>'Biokraft'</v>
      </c>
      <c r="G130" s="121">
        <f>VLOOKUP($B130,Miljö!$B$1:$J$479,MATCH("Primärenergifaktor ()",Miljö!$B$1:$J$1,0),FALSE)</f>
        <v>2</v>
      </c>
      <c r="H130" s="121">
        <f>VLOOKUP($B130,Miljö!$B$1:$J$479,MATCH("Koldioxidekvivalenter energiomvandling (g/kwh)",Miljö!$B$1:$J$1,0),FALSE)</f>
        <v>0</v>
      </c>
      <c r="I130" s="121">
        <f>VLOOKUP($B130,Miljö!$B$1:$J$479,MATCH("Fossilandel för ursprungspecificerad el ()",Miljö!$B$1:$J$1,0),FALSE)</f>
        <v>0</v>
      </c>
      <c r="J130" s="121">
        <f>VLOOKUP($B130,Miljö!$B$1:$J$479,MATCH("Kärnkraftsandel för ursprungsspecificerad el ()",Miljö!$B$1:$J$1,0),FALSE)</f>
        <v>0</v>
      </c>
      <c r="L130" s="121">
        <f>VLOOKUP($B130,Totalt!$B$1:$BU$497,MATCH("total el",Totalt!$B$1:$BU$1,0),FALSE)</f>
        <v>0.09</v>
      </c>
      <c r="N130" s="271">
        <f t="shared" si="4"/>
        <v>0.18</v>
      </c>
      <c r="O130" s="271">
        <f t="shared" si="5"/>
        <v>0</v>
      </c>
      <c r="P130" s="271">
        <f t="shared" si="6"/>
        <v>0</v>
      </c>
      <c r="Q130" s="271">
        <f t="shared" si="7"/>
        <v>0</v>
      </c>
    </row>
    <row r="131" spans="1:17" x14ac:dyDescent="0.25">
      <c r="A131" s="137" t="s">
        <v>376</v>
      </c>
      <c r="B131" s="137" t="s">
        <v>377</v>
      </c>
      <c r="C131" s="121" t="str">
        <f>VLOOKUP($B131,Totalt!$B$1:$BU$497,MATCH("Kvalitetsgranskad:",Totalt!$B$1:$BU$1,0),FALSE)</f>
        <v>Ja</v>
      </c>
      <c r="E131" s="121" t="str">
        <f>VLOOKUP($B131,Miljö!$B$1:$AG$479,MATCH(E$1,Miljö!$B$1:$AK$1,0),FALSE)</f>
        <v>Ja</v>
      </c>
      <c r="F131" s="121" t="str">
        <f>VLOOKUP($B131,Miljö!$B$1:$J$479,MATCH("Typ av ursprungsspecificerad el   (Om inget värde anges används Nordisk residualmix, se inforuta) ()",Miljö!$B$1:$J$1,0),FALSE)</f>
        <v>'100% förnybar el'</v>
      </c>
      <c r="G131" s="121">
        <f>VLOOKUP($B131,Miljö!$B$1:$J$479,MATCH("Primärenergifaktor ()",Miljö!$B$1:$J$1,0),FALSE)</f>
        <v>1.1000000000000001</v>
      </c>
      <c r="H131" s="121">
        <f>VLOOKUP($B131,Miljö!$B$1:$J$479,MATCH("Koldioxidekvivalenter energiomvandling (g/kwh)",Miljö!$B$1:$J$1,0),FALSE)</f>
        <v>0</v>
      </c>
      <c r="I131" s="121">
        <f>VLOOKUP($B131,Miljö!$B$1:$J$479,MATCH("Fossilandel för ursprungspecificerad el ()",Miljö!$B$1:$J$1,0),FALSE)</f>
        <v>0</v>
      </c>
      <c r="J131" s="121">
        <f>VLOOKUP($B131,Miljö!$B$1:$J$479,MATCH("Kärnkraftsandel för ursprungsspecificerad el ()",Miljö!$B$1:$J$1,0),FALSE)</f>
        <v>0</v>
      </c>
      <c r="L131" s="121">
        <f>VLOOKUP($B131,Totalt!$B$1:$BU$497,MATCH("total el",Totalt!$B$1:$BU$1,0),FALSE)</f>
        <v>15.3162</v>
      </c>
      <c r="N131" s="271">
        <f t="shared" ref="N131:N194" si="8">IF(ISERROR($L131*G131),"",$L131*G131)</f>
        <v>16.847820000000002</v>
      </c>
      <c r="O131" s="271">
        <f t="shared" ref="O131:O194" si="9">IF(ISERROR($L131*H131),"",$L131*H131)</f>
        <v>0</v>
      </c>
      <c r="P131" s="271">
        <f t="shared" ref="P131:P194" si="10">IF(ISERROR($L131*I131),"",$L131*I131)</f>
        <v>0</v>
      </c>
      <c r="Q131" s="271">
        <f t="shared" ref="Q131:Q194" si="11">IF(ISERROR($L131*J131),"",$L131*J131)</f>
        <v>0</v>
      </c>
    </row>
    <row r="132" spans="1:17" x14ac:dyDescent="0.25">
      <c r="A132" s="137" t="s">
        <v>378</v>
      </c>
      <c r="B132" s="137" t="s">
        <v>84</v>
      </c>
      <c r="C132" s="121" t="str">
        <f>VLOOKUP($B132,Totalt!$B$1:$BU$497,MATCH("Kvalitetsgranskad:",Totalt!$B$1:$BU$1,0),FALSE)</f>
        <v>Ja</v>
      </c>
      <c r="E132" s="121" t="str">
        <f>VLOOKUP($B132,Miljö!$B$1:$AG$479,MATCH(E$1,Miljö!$B$1:$AK$1,0),FALSE)</f>
        <v>Nej</v>
      </c>
      <c r="F132" s="121" t="str">
        <f>VLOOKUP($B132,Miljö!$B$1:$J$479,MATCH("Typ av ursprungsspecificerad el   (Om inget värde anges används Nordisk residualmix, se inforuta) ()",Miljö!$B$1:$J$1,0),FALSE)</f>
        <v>-</v>
      </c>
      <c r="G132" s="121">
        <f>VLOOKUP($B132,Miljö!$B$1:$J$479,MATCH("Primärenergifaktor ()",Miljö!$B$1:$J$1,0),FALSE)</f>
        <v>2.2999999999999998</v>
      </c>
      <c r="H132" s="121">
        <f>VLOOKUP($B132,Miljö!$B$1:$J$479,MATCH("Koldioxidekvivalenter energiomvandling (g/kwh)",Miljö!$B$1:$J$1,0),FALSE)</f>
        <v>329.19</v>
      </c>
      <c r="I132" s="121">
        <f>VLOOKUP($B132,Miljö!$B$1:$J$479,MATCH("Fossilandel för ursprungspecificerad el ()",Miljö!$B$1:$J$1,0),FALSE)</f>
        <v>0.43</v>
      </c>
      <c r="J132" s="121">
        <f>VLOOKUP($B132,Miljö!$B$1:$J$479,MATCH("Kärnkraftsandel för ursprungsspecificerad el ()",Miljö!$B$1:$J$1,0),FALSE)</f>
        <v>0.40550000000000003</v>
      </c>
      <c r="L132" s="121">
        <f>VLOOKUP($B132,Totalt!$B$1:$BU$497,MATCH("total el",Totalt!$B$1:$BU$1,0),FALSE)</f>
        <v>0.45300000000000001</v>
      </c>
      <c r="N132" s="271">
        <f t="shared" si="8"/>
        <v>1.0419</v>
      </c>
      <c r="O132" s="271">
        <f t="shared" si="9"/>
        <v>149.12307000000001</v>
      </c>
      <c r="P132" s="271">
        <f t="shared" si="10"/>
        <v>0.19478999999999999</v>
      </c>
      <c r="Q132" s="271">
        <f t="shared" si="11"/>
        <v>0.18369150000000001</v>
      </c>
    </row>
    <row r="133" spans="1:17" x14ac:dyDescent="0.25">
      <c r="A133" s="137" t="s">
        <v>380</v>
      </c>
      <c r="B133" s="137" t="s">
        <v>381</v>
      </c>
      <c r="C133" s="121" t="str">
        <f>VLOOKUP($B133,Totalt!$B$1:$BU$497,MATCH("Kvalitetsgranskad:",Totalt!$B$1:$BU$1,0),FALSE)</f>
        <v>Ja</v>
      </c>
      <c r="E133" s="121" t="str">
        <f>VLOOKUP($B133,Miljö!$B$1:$AG$479,MATCH(E$1,Miljö!$B$1:$AK$1,0),FALSE)</f>
        <v>Ja</v>
      </c>
      <c r="F133" s="121" t="str">
        <f>VLOOKUP($B133,Miljö!$B$1:$J$479,MATCH("Typ av ursprungsspecificerad el   (Om inget värde anges används Nordisk residualmix, se inforuta) ()",Miljö!$B$1:$J$1,0),FALSE)</f>
        <v>'100% vindkraft'</v>
      </c>
      <c r="G133" s="121">
        <f>VLOOKUP($B133,Miljö!$B$1:$J$479,MATCH("Primärenergifaktor ()",Miljö!$B$1:$J$1,0),FALSE)</f>
        <v>0.1</v>
      </c>
      <c r="H133" s="121">
        <f>VLOOKUP($B133,Miljö!$B$1:$J$479,MATCH("Koldioxidekvivalenter energiomvandling (g/kwh)",Miljö!$B$1:$J$1,0),FALSE)</f>
        <v>0</v>
      </c>
      <c r="I133" s="121">
        <f>VLOOKUP($B133,Miljö!$B$1:$J$479,MATCH("Fossilandel för ursprungspecificerad el ()",Miljö!$B$1:$J$1,0),FALSE)</f>
        <v>0</v>
      </c>
      <c r="J133" s="121">
        <f>VLOOKUP($B133,Miljö!$B$1:$J$479,MATCH("Kärnkraftsandel för ursprungsspecificerad el ()",Miljö!$B$1:$J$1,0),FALSE)</f>
        <v>0</v>
      </c>
      <c r="L133" s="121">
        <f>VLOOKUP($B133,Totalt!$B$1:$BU$497,MATCH("total el",Totalt!$B$1:$BU$1,0),FALSE)</f>
        <v>5.0346900000000003</v>
      </c>
      <c r="N133" s="271">
        <f t="shared" si="8"/>
        <v>0.50346900000000006</v>
      </c>
      <c r="O133" s="271">
        <f t="shared" si="9"/>
        <v>0</v>
      </c>
      <c r="P133" s="271">
        <f t="shared" si="10"/>
        <v>0</v>
      </c>
      <c r="Q133" s="271">
        <f t="shared" si="11"/>
        <v>0</v>
      </c>
    </row>
    <row r="134" spans="1:17" x14ac:dyDescent="0.25">
      <c r="A134" s="137" t="s">
        <v>382</v>
      </c>
      <c r="B134" s="137" t="s">
        <v>87</v>
      </c>
      <c r="C134" s="121" t="str">
        <f>VLOOKUP($B134,Totalt!$B$1:$BU$497,MATCH("Kvalitetsgranskad:",Totalt!$B$1:$BU$1,0),FALSE)</f>
        <v>Ja</v>
      </c>
      <c r="E134" s="121" t="str">
        <f>VLOOKUP($B134,Miljö!$B$1:$AG$479,MATCH(E$1,Miljö!$B$1:$AK$1,0),FALSE)</f>
        <v>Ja</v>
      </c>
      <c r="F134" s="121" t="str">
        <f>VLOOKUP($B134,Miljö!$B$1:$J$479,MATCH("Typ av ursprungsspecificerad el   (Om inget värde anges används Nordisk residualmix, se inforuta) ()",Miljö!$B$1:$J$1,0),FALSE)</f>
        <v>'Vattenkraft'</v>
      </c>
      <c r="G134" s="121">
        <f>VLOOKUP($B134,Miljö!$B$1:$J$479,MATCH("Primärenergifaktor ()",Miljö!$B$1:$J$1,0),FALSE)</f>
        <v>1.1000000000000001</v>
      </c>
      <c r="H134" s="121">
        <f>VLOOKUP($B134,Miljö!$B$1:$J$479,MATCH("Koldioxidekvivalenter energiomvandling (g/kwh)",Miljö!$B$1:$J$1,0),FALSE)</f>
        <v>0</v>
      </c>
      <c r="I134" s="121">
        <f>VLOOKUP($B134,Miljö!$B$1:$J$479,MATCH("Fossilandel för ursprungspecificerad el ()",Miljö!$B$1:$J$1,0),FALSE)</f>
        <v>0</v>
      </c>
      <c r="J134" s="121">
        <f>VLOOKUP($B134,Miljö!$B$1:$J$479,MATCH("Kärnkraftsandel för ursprungsspecificerad el ()",Miljö!$B$1:$J$1,0),FALSE)</f>
        <v>0</v>
      </c>
      <c r="L134" s="121">
        <f>VLOOKUP($B134,Totalt!$B$1:$BU$497,MATCH("total el",Totalt!$B$1:$BU$1,0),FALSE)</f>
        <v>13.027100000000001</v>
      </c>
      <c r="N134" s="271">
        <f t="shared" si="8"/>
        <v>14.329810000000002</v>
      </c>
      <c r="O134" s="271">
        <f t="shared" si="9"/>
        <v>0</v>
      </c>
      <c r="P134" s="271">
        <f t="shared" si="10"/>
        <v>0</v>
      </c>
      <c r="Q134" s="271">
        <f t="shared" si="11"/>
        <v>0</v>
      </c>
    </row>
    <row r="135" spans="1:17" x14ac:dyDescent="0.25">
      <c r="A135" s="137" t="s">
        <v>383</v>
      </c>
      <c r="B135" s="137" t="s">
        <v>384</v>
      </c>
      <c r="C135" s="121" t="str">
        <f>VLOOKUP($B135,Totalt!$B$1:$BU$497,MATCH("Kvalitetsgranskad:",Totalt!$B$1:$BU$1,0),FALSE)</f>
        <v>Ja</v>
      </c>
      <c r="E135" s="121" t="str">
        <f>VLOOKUP($B135,Miljö!$B$1:$AG$479,MATCH(E$1,Miljö!$B$1:$AK$1,0),FALSE)</f>
        <v>Ja</v>
      </c>
      <c r="F135" s="121" t="str">
        <f>VLOOKUP($B135,Miljö!$B$1:$J$479,MATCH("Typ av ursprungsspecificerad el   (Om inget värde anges används Nordisk residualmix, se inforuta) ()",Miljö!$B$1:$J$1,0),FALSE)</f>
        <v>'Förnybar'</v>
      </c>
      <c r="G135" s="121">
        <f>VLOOKUP($B135,Miljö!$B$1:$J$479,MATCH("Primärenergifaktor ()",Miljö!$B$1:$J$1,0),FALSE)</f>
        <v>1.4</v>
      </c>
      <c r="H135" s="121">
        <f>VLOOKUP($B135,Miljö!$B$1:$J$479,MATCH("Koldioxidekvivalenter energiomvandling (g/kwh)",Miljö!$B$1:$J$1,0),FALSE)</f>
        <v>0</v>
      </c>
      <c r="I135" s="121">
        <f>VLOOKUP($B135,Miljö!$B$1:$J$479,MATCH("Fossilandel för ursprungspecificerad el ()",Miljö!$B$1:$J$1,0),FALSE)</f>
        <v>0</v>
      </c>
      <c r="J135" s="121">
        <f>VLOOKUP($B135,Miljö!$B$1:$J$479,MATCH("Kärnkraftsandel för ursprungsspecificerad el ()",Miljö!$B$1:$J$1,0),FALSE)</f>
        <v>0</v>
      </c>
      <c r="L135" s="121">
        <f>VLOOKUP($B135,Totalt!$B$1:$BU$497,MATCH("total el",Totalt!$B$1:$BU$1,0),FALSE)</f>
        <v>27.029199999999999</v>
      </c>
      <c r="N135" s="271">
        <f t="shared" si="8"/>
        <v>37.840879999999999</v>
      </c>
      <c r="O135" s="271">
        <f t="shared" si="9"/>
        <v>0</v>
      </c>
      <c r="P135" s="271">
        <f t="shared" si="10"/>
        <v>0</v>
      </c>
      <c r="Q135" s="271">
        <f t="shared" si="11"/>
        <v>0</v>
      </c>
    </row>
    <row r="136" spans="1:17" x14ac:dyDescent="0.25">
      <c r="A136" s="137" t="s">
        <v>385</v>
      </c>
      <c r="B136" s="137" t="s">
        <v>386</v>
      </c>
      <c r="C136" s="121" t="str">
        <f>VLOOKUP($B136,Totalt!$B$1:$BU$497,MATCH("Kvalitetsgranskad:",Totalt!$B$1:$BU$1,0),FALSE)</f>
        <v>Ja</v>
      </c>
      <c r="E136" s="121" t="str">
        <f>VLOOKUP($B136,Miljö!$B$1:$AG$479,MATCH(E$1,Miljö!$B$1:$AK$1,0),FALSE)</f>
        <v>Ja</v>
      </c>
      <c r="F136" s="121" t="str">
        <f>VLOOKUP($B136,Miljö!$B$1:$J$479,MATCH("Typ av ursprungsspecificerad el   (Om inget värde anges används Nordisk residualmix, se inforuta) ()",Miljö!$B$1:$J$1,0),FALSE)</f>
        <v>'Miljö el'</v>
      </c>
      <c r="G136" s="121">
        <f>VLOOKUP($B136,Miljö!$B$1:$J$479,MATCH("Primärenergifaktor ()",Miljö!$B$1:$J$1,0),FALSE)</f>
        <v>1.42</v>
      </c>
      <c r="H136" s="121">
        <f>VLOOKUP($B136,Miljö!$B$1:$J$479,MATCH("Koldioxidekvivalenter energiomvandling (g/kwh)",Miljö!$B$1:$J$1,0),FALSE)</f>
        <v>0</v>
      </c>
      <c r="I136" s="121">
        <f>VLOOKUP($B136,Miljö!$B$1:$J$479,MATCH("Fossilandel för ursprungspecificerad el ()",Miljö!$B$1:$J$1,0),FALSE)</f>
        <v>0</v>
      </c>
      <c r="J136" s="121">
        <f>VLOOKUP($B136,Miljö!$B$1:$J$479,MATCH("Kärnkraftsandel för ursprungsspecificerad el ()",Miljö!$B$1:$J$1,0),FALSE)</f>
        <v>0</v>
      </c>
      <c r="L136" s="121">
        <f>VLOOKUP($B136,Totalt!$B$1:$BU$497,MATCH("total el",Totalt!$B$1:$BU$1,0),FALSE)</f>
        <v>1.9</v>
      </c>
      <c r="N136" s="271">
        <f t="shared" si="8"/>
        <v>2.698</v>
      </c>
      <c r="O136" s="271">
        <f t="shared" si="9"/>
        <v>0</v>
      </c>
      <c r="P136" s="271">
        <f t="shared" si="10"/>
        <v>0</v>
      </c>
      <c r="Q136" s="271">
        <f t="shared" si="11"/>
        <v>0</v>
      </c>
    </row>
    <row r="137" spans="1:17" x14ac:dyDescent="0.25">
      <c r="A137" s="137" t="s">
        <v>387</v>
      </c>
      <c r="B137" s="137" t="s">
        <v>388</v>
      </c>
      <c r="C137" s="121" t="str">
        <f>VLOOKUP($B137,Totalt!$B$1:$BU$497,MATCH("Kvalitetsgranskad:",Totalt!$B$1:$BU$1,0),FALSE)</f>
        <v>Ja</v>
      </c>
      <c r="E137" s="121" t="str">
        <f>VLOOKUP($B137,Miljö!$B$1:$AG$479,MATCH(E$1,Miljö!$B$1:$AK$1,0),FALSE)</f>
        <v>Ja</v>
      </c>
      <c r="F137" s="121" t="str">
        <f>VLOOKUP($B137,Miljö!$B$1:$J$479,MATCH("Typ av ursprungsspecificerad el   (Om inget värde anges används Nordisk residualmix, se inforuta) ()",Miljö!$B$1:$J$1,0),FALSE)</f>
        <v>'Mix av nordisk residualmix och förnyelsebart'</v>
      </c>
      <c r="G137" s="121">
        <f>VLOOKUP($B137,Miljö!$B$1:$J$479,MATCH("Primärenergifaktor ()",Miljö!$B$1:$J$1,0),FALSE)</f>
        <v>2.2799999999999998</v>
      </c>
      <c r="H137" s="121">
        <f>VLOOKUP($B137,Miljö!$B$1:$J$479,MATCH("Koldioxidekvivalenter energiomvandling (g/kwh)",Miljö!$B$1:$J$1,0),FALSE)</f>
        <v>246.83</v>
      </c>
      <c r="I137" s="121">
        <f>VLOOKUP($B137,Miljö!$B$1:$J$479,MATCH("Fossilandel för ursprungspecificerad el ()",Miljö!$B$1:$J$1,0),FALSE)</f>
        <v>0.32</v>
      </c>
      <c r="J137" s="121">
        <f>VLOOKUP($B137,Miljö!$B$1:$J$479,MATCH("Kärnkraftsandel för ursprungsspecificerad el ()",Miljö!$B$1:$J$1,0),FALSE)</f>
        <v>0.3</v>
      </c>
      <c r="L137" s="121">
        <f>VLOOKUP($B137,Totalt!$B$1:$BU$497,MATCH("total el",Totalt!$B$1:$BU$1,0),FALSE)</f>
        <v>13.854430000000001</v>
      </c>
      <c r="N137" s="271">
        <f t="shared" si="8"/>
        <v>31.588100399999998</v>
      </c>
      <c r="O137" s="271">
        <f t="shared" si="9"/>
        <v>3419.6889569000004</v>
      </c>
      <c r="P137" s="271">
        <f t="shared" si="10"/>
        <v>4.4334176000000003</v>
      </c>
      <c r="Q137" s="271">
        <f t="shared" si="11"/>
        <v>4.1563290000000004</v>
      </c>
    </row>
    <row r="138" spans="1:17" x14ac:dyDescent="0.25">
      <c r="A138" s="137" t="s">
        <v>387</v>
      </c>
      <c r="B138" s="137" t="s">
        <v>389</v>
      </c>
      <c r="C138" s="121" t="str">
        <f>VLOOKUP($B138,Totalt!$B$1:$BU$497,MATCH("Kvalitetsgranskad:",Totalt!$B$1:$BU$1,0),FALSE)</f>
        <v>Ja</v>
      </c>
      <c r="E138" s="121" t="str">
        <f>VLOOKUP($B138,Miljö!$B$1:$AG$479,MATCH(E$1,Miljö!$B$1:$AK$1,0),FALSE)</f>
        <v>Ja</v>
      </c>
      <c r="F138" s="121" t="str">
        <f>VLOOKUP($B138,Miljö!$B$1:$J$479,MATCH("Typ av ursprungsspecificerad el   (Om inget värde anges används Nordisk residualmix, se inforuta) ()",Miljö!$B$1:$J$1,0),FALSE)</f>
        <v>'Mix av Nordisk residualmix och förnyelsebart'</v>
      </c>
      <c r="G138" s="121">
        <f>VLOOKUP($B138,Miljö!$B$1:$J$479,MATCH("Primärenergifaktor ()",Miljö!$B$1:$J$1,0),FALSE)</f>
        <v>2.2599999999999998</v>
      </c>
      <c r="H138" s="121">
        <f>VLOOKUP($B138,Miljö!$B$1:$J$479,MATCH("Koldioxidekvivalenter energiomvandling (g/kwh)",Miljö!$B$1:$J$1,0),FALSE)</f>
        <v>84.73</v>
      </c>
      <c r="I138" s="121">
        <f>VLOOKUP($B138,Miljö!$B$1:$J$479,MATCH("Fossilandel för ursprungspecificerad el ()",Miljö!$B$1:$J$1,0),FALSE)</f>
        <v>0.11</v>
      </c>
      <c r="J138" s="121">
        <f>VLOOKUP($B138,Miljö!$B$1:$J$479,MATCH("Kärnkraftsandel för ursprungsspecificerad el ()",Miljö!$B$1:$J$1,0),FALSE)</f>
        <v>0.1</v>
      </c>
      <c r="L138" s="121">
        <f>VLOOKUP($B138,Totalt!$B$1:$BU$497,MATCH("total el",Totalt!$B$1:$BU$1,0),FALSE)</f>
        <v>0.59699999999999998</v>
      </c>
      <c r="N138" s="271">
        <f t="shared" si="8"/>
        <v>1.3492199999999999</v>
      </c>
      <c r="O138" s="271">
        <f t="shared" si="9"/>
        <v>50.58381</v>
      </c>
      <c r="P138" s="271">
        <f t="shared" si="10"/>
        <v>6.5669999999999992E-2</v>
      </c>
      <c r="Q138" s="271">
        <f t="shared" si="11"/>
        <v>5.9700000000000003E-2</v>
      </c>
    </row>
    <row r="139" spans="1:17" x14ac:dyDescent="0.25">
      <c r="A139" s="137" t="s">
        <v>390</v>
      </c>
      <c r="B139" s="137" t="s">
        <v>391</v>
      </c>
      <c r="C139" s="121" t="str">
        <f>VLOOKUP($B139,Totalt!$B$1:$BU$497,MATCH("Kvalitetsgranskad:",Totalt!$B$1:$BU$1,0),FALSE)</f>
        <v>Ja</v>
      </c>
      <c r="E139" s="121" t="str">
        <f>VLOOKUP($B139,Miljö!$B$1:$AG$479,MATCH(E$1,Miljö!$B$1:$AK$1,0),FALSE)</f>
        <v>Ja</v>
      </c>
      <c r="F139" s="121" t="str">
        <f>VLOOKUP($B139,Miljö!$B$1:$J$479,MATCH("Typ av ursprungsspecificerad el   (Om inget värde anges används Nordisk residualmix, se inforuta) ()",Miljö!$B$1:$J$1,0),FALSE)</f>
        <v>'biokraft. vindkraft'</v>
      </c>
      <c r="G139" s="121">
        <f>VLOOKUP($B139,Miljö!$B$1:$J$479,MATCH("Primärenergifaktor ()",Miljö!$B$1:$J$1,0),FALSE)</f>
        <v>1.9</v>
      </c>
      <c r="H139" s="121">
        <f>VLOOKUP($B139,Miljö!$B$1:$J$479,MATCH("Koldioxidekvivalenter energiomvandling (g/kwh)",Miljö!$B$1:$J$1,0),FALSE)</f>
        <v>0</v>
      </c>
      <c r="I139" s="121">
        <f>VLOOKUP($B139,Miljö!$B$1:$J$479,MATCH("Fossilandel för ursprungspecificerad el ()",Miljö!$B$1:$J$1,0),FALSE)</f>
        <v>0</v>
      </c>
      <c r="J139" s="121">
        <f>VLOOKUP($B139,Miljö!$B$1:$J$479,MATCH("Kärnkraftsandel för ursprungsspecificerad el ()",Miljö!$B$1:$J$1,0),FALSE)</f>
        <v>0</v>
      </c>
      <c r="L139" s="121">
        <f>VLOOKUP($B139,Totalt!$B$1:$BU$497,MATCH("total el",Totalt!$B$1:$BU$1,0),FALSE)</f>
        <v>92.441999999999993</v>
      </c>
      <c r="N139" s="271">
        <f t="shared" si="8"/>
        <v>175.63979999999998</v>
      </c>
      <c r="O139" s="271">
        <f t="shared" si="9"/>
        <v>0</v>
      </c>
      <c r="P139" s="271">
        <f t="shared" si="10"/>
        <v>0</v>
      </c>
      <c r="Q139" s="271">
        <f t="shared" si="11"/>
        <v>0</v>
      </c>
    </row>
    <row r="140" spans="1:17" x14ac:dyDescent="0.25">
      <c r="A140" s="137" t="s">
        <v>390</v>
      </c>
      <c r="B140" s="137" t="s">
        <v>393</v>
      </c>
      <c r="C140" s="121" t="str">
        <f>VLOOKUP($B140,Totalt!$B$1:$BU$497,MATCH("Kvalitetsgranskad:",Totalt!$B$1:$BU$1,0),FALSE)</f>
        <v>Ja</v>
      </c>
      <c r="E140" s="121" t="str">
        <f>VLOOKUP($B140,Miljö!$B$1:$AG$479,MATCH(E$1,Miljö!$B$1:$AK$1,0),FALSE)</f>
        <v>Ja</v>
      </c>
      <c r="F140" s="121" t="str">
        <f>VLOOKUP($B140,Miljö!$B$1:$J$479,MATCH("Typ av ursprungsspecificerad el   (Om inget värde anges används Nordisk residualmix, se inforuta) ()",Miljö!$B$1:$J$1,0),FALSE)</f>
        <v>'biokraft. vindkraft'</v>
      </c>
      <c r="G140" s="121">
        <f>VLOOKUP($B140,Miljö!$B$1:$J$479,MATCH("Primärenergifaktor ()",Miljö!$B$1:$J$1,0),FALSE)</f>
        <v>1.9</v>
      </c>
      <c r="H140" s="121">
        <f>VLOOKUP($B140,Miljö!$B$1:$J$479,MATCH("Koldioxidekvivalenter energiomvandling (g/kwh)",Miljö!$B$1:$J$1,0),FALSE)</f>
        <v>0</v>
      </c>
      <c r="I140" s="121">
        <f>VLOOKUP($B140,Miljö!$B$1:$J$479,MATCH("Fossilandel för ursprungspecificerad el ()",Miljö!$B$1:$J$1,0),FALSE)</f>
        <v>0</v>
      </c>
      <c r="J140" s="121">
        <f>VLOOKUP($B140,Miljö!$B$1:$J$479,MATCH("Kärnkraftsandel för ursprungsspecificerad el ()",Miljö!$B$1:$J$1,0),FALSE)</f>
        <v>0</v>
      </c>
      <c r="L140" s="121">
        <f>VLOOKUP($B140,Totalt!$B$1:$BU$497,MATCH("total el",Totalt!$B$1:$BU$1,0),FALSE)</f>
        <v>2.004</v>
      </c>
      <c r="N140" s="271">
        <f t="shared" si="8"/>
        <v>3.8075999999999999</v>
      </c>
      <c r="O140" s="271">
        <f t="shared" si="9"/>
        <v>0</v>
      </c>
      <c r="P140" s="271">
        <f t="shared" si="10"/>
        <v>0</v>
      </c>
      <c r="Q140" s="271">
        <f t="shared" si="11"/>
        <v>0</v>
      </c>
    </row>
    <row r="141" spans="1:17" x14ac:dyDescent="0.25">
      <c r="A141" s="137" t="s">
        <v>394</v>
      </c>
      <c r="B141" s="137" t="s">
        <v>395</v>
      </c>
      <c r="C141" s="121" t="str">
        <f>VLOOKUP($B141,Totalt!$B$1:$BU$497,MATCH("Kvalitetsgranskad:",Totalt!$B$1:$BU$1,0),FALSE)</f>
        <v>Ja</v>
      </c>
      <c r="E141" s="121" t="str">
        <f>VLOOKUP($B141,Miljö!$B$1:$AG$479,MATCH(E$1,Miljö!$B$1:$AK$1,0),FALSE)</f>
        <v>Ja</v>
      </c>
      <c r="F141" s="121" t="str">
        <f>VLOOKUP($B141,Miljö!$B$1:$J$479,MATCH("Typ av ursprungsspecificerad el   (Om inget värde anges används Nordisk residualmix, se inforuta) ()",Miljö!$B$1:$J$1,0),FALSE)</f>
        <v>'Vattenkraft'</v>
      </c>
      <c r="G141" s="121">
        <f>VLOOKUP($B141,Miljö!$B$1:$J$479,MATCH("Primärenergifaktor ()",Miljö!$B$1:$J$1,0),FALSE)</f>
        <v>1.1000000000000001</v>
      </c>
      <c r="H141" s="121">
        <f>VLOOKUP($B141,Miljö!$B$1:$J$479,MATCH("Koldioxidekvivalenter energiomvandling (g/kwh)",Miljö!$B$1:$J$1,0),FALSE)</f>
        <v>0</v>
      </c>
      <c r="I141" s="121">
        <f>VLOOKUP($B141,Miljö!$B$1:$J$479,MATCH("Fossilandel för ursprungspecificerad el ()",Miljö!$B$1:$J$1,0),FALSE)</f>
        <v>0</v>
      </c>
      <c r="J141" s="121">
        <f>VLOOKUP($B141,Miljö!$B$1:$J$479,MATCH("Kärnkraftsandel för ursprungsspecificerad el ()",Miljö!$B$1:$J$1,0),FALSE)</f>
        <v>0</v>
      </c>
      <c r="L141" s="121">
        <f>VLOOKUP($B141,Totalt!$B$1:$BU$497,MATCH("total el",Totalt!$B$1:$BU$1,0),FALSE)</f>
        <v>2.8000000000000001E-2</v>
      </c>
      <c r="N141" s="271">
        <f t="shared" si="8"/>
        <v>3.0800000000000004E-2</v>
      </c>
      <c r="O141" s="271">
        <f t="shared" si="9"/>
        <v>0</v>
      </c>
      <c r="P141" s="271">
        <f t="shared" si="10"/>
        <v>0</v>
      </c>
      <c r="Q141" s="271">
        <f t="shared" si="11"/>
        <v>0</v>
      </c>
    </row>
    <row r="142" spans="1:17" x14ac:dyDescent="0.25">
      <c r="A142" s="137" t="s">
        <v>394</v>
      </c>
      <c r="B142" s="137" t="s">
        <v>396</v>
      </c>
      <c r="C142" s="121" t="str">
        <f>VLOOKUP($B142,Totalt!$B$1:$BU$497,MATCH("Kvalitetsgranskad:",Totalt!$B$1:$BU$1,0),FALSE)</f>
        <v>Ja</v>
      </c>
      <c r="E142" s="121" t="str">
        <f>VLOOKUP($B142,Miljö!$B$1:$AG$479,MATCH(E$1,Miljö!$B$1:$AK$1,0),FALSE)</f>
        <v>Ja</v>
      </c>
      <c r="F142" s="121" t="str">
        <f>VLOOKUP($B142,Miljö!$B$1:$J$479,MATCH("Typ av ursprungsspecificerad el   (Om inget värde anges används Nordisk residualmix, se inforuta) ()",Miljö!$B$1:$J$1,0),FALSE)</f>
        <v>'Vattenkraft'</v>
      </c>
      <c r="G142" s="121">
        <f>VLOOKUP($B142,Miljö!$B$1:$J$479,MATCH("Primärenergifaktor ()",Miljö!$B$1:$J$1,0),FALSE)</f>
        <v>1.1000000000000001</v>
      </c>
      <c r="H142" s="121">
        <f>VLOOKUP($B142,Miljö!$B$1:$J$479,MATCH("Koldioxidekvivalenter energiomvandling (g/kwh)",Miljö!$B$1:$J$1,0),FALSE)</f>
        <v>0</v>
      </c>
      <c r="I142" s="121">
        <f>VLOOKUP($B142,Miljö!$B$1:$J$479,MATCH("Fossilandel för ursprungspecificerad el ()",Miljö!$B$1:$J$1,0),FALSE)</f>
        <v>0</v>
      </c>
      <c r="J142" s="121">
        <f>VLOOKUP($B142,Miljö!$B$1:$J$479,MATCH("Kärnkraftsandel för ursprungsspecificerad el ()",Miljö!$B$1:$J$1,0),FALSE)</f>
        <v>0</v>
      </c>
      <c r="L142" s="121">
        <f>VLOOKUP($B142,Totalt!$B$1:$BU$497,MATCH("total el",Totalt!$B$1:$BU$1,0),FALSE)</f>
        <v>2.93E-2</v>
      </c>
      <c r="N142" s="271">
        <f t="shared" si="8"/>
        <v>3.2230000000000002E-2</v>
      </c>
      <c r="O142" s="271">
        <f t="shared" si="9"/>
        <v>0</v>
      </c>
      <c r="P142" s="271">
        <f t="shared" si="10"/>
        <v>0</v>
      </c>
      <c r="Q142" s="271">
        <f t="shared" si="11"/>
        <v>0</v>
      </c>
    </row>
    <row r="143" spans="1:17" x14ac:dyDescent="0.25">
      <c r="A143" s="137" t="s">
        <v>394</v>
      </c>
      <c r="B143" s="137" t="s">
        <v>397</v>
      </c>
      <c r="C143" s="121" t="str">
        <f>VLOOKUP($B143,Totalt!$B$1:$BU$497,MATCH("Kvalitetsgranskad:",Totalt!$B$1:$BU$1,0),FALSE)</f>
        <v>Ja</v>
      </c>
      <c r="E143" s="121" t="str">
        <f>VLOOKUP($B143,Miljö!$B$1:$AG$479,MATCH(E$1,Miljö!$B$1:$AK$1,0),FALSE)</f>
        <v>Ja</v>
      </c>
      <c r="F143" s="121" t="str">
        <f>VLOOKUP($B143,Miljö!$B$1:$J$479,MATCH("Typ av ursprungsspecificerad el   (Om inget värde anges används Nordisk residualmix, se inforuta) ()",Miljö!$B$1:$J$1,0),FALSE)</f>
        <v>''Vattenkraft''</v>
      </c>
      <c r="G143" s="121">
        <f>VLOOKUP($B143,Miljö!$B$1:$J$479,MATCH("Primärenergifaktor ()",Miljö!$B$1:$J$1,0),FALSE)</f>
        <v>1.1000000000000001</v>
      </c>
      <c r="H143" s="121">
        <f>VLOOKUP($B143,Miljö!$B$1:$J$479,MATCH("Koldioxidekvivalenter energiomvandling (g/kwh)",Miljö!$B$1:$J$1,0),FALSE)</f>
        <v>0</v>
      </c>
      <c r="I143" s="121">
        <f>VLOOKUP($B143,Miljö!$B$1:$J$479,MATCH("Fossilandel för ursprungspecificerad el ()",Miljö!$B$1:$J$1,0),FALSE)</f>
        <v>0</v>
      </c>
      <c r="J143" s="121">
        <f>VLOOKUP($B143,Miljö!$B$1:$J$479,MATCH("Kärnkraftsandel för ursprungsspecificerad el ()",Miljö!$B$1:$J$1,0),FALSE)</f>
        <v>0</v>
      </c>
      <c r="L143" s="121">
        <f>VLOOKUP($B143,Totalt!$B$1:$BU$497,MATCH("total el",Totalt!$B$1:$BU$1,0),FALSE)</f>
        <v>4.9000000000000002E-2</v>
      </c>
      <c r="N143" s="271">
        <f t="shared" si="8"/>
        <v>5.3900000000000003E-2</v>
      </c>
      <c r="O143" s="271">
        <f t="shared" si="9"/>
        <v>0</v>
      </c>
      <c r="P143" s="271">
        <f t="shared" si="10"/>
        <v>0</v>
      </c>
      <c r="Q143" s="271">
        <f t="shared" si="11"/>
        <v>0</v>
      </c>
    </row>
    <row r="144" spans="1:17" x14ac:dyDescent="0.25">
      <c r="A144" s="137" t="s">
        <v>394</v>
      </c>
      <c r="B144" s="137" t="s">
        <v>398</v>
      </c>
      <c r="C144" s="121" t="str">
        <f>VLOOKUP($B144,Totalt!$B$1:$BU$497,MATCH("Kvalitetsgranskad:",Totalt!$B$1:$BU$1,0),FALSE)</f>
        <v>Ja</v>
      </c>
      <c r="E144" s="121" t="str">
        <f>VLOOKUP($B144,Miljö!$B$1:$AG$479,MATCH(E$1,Miljö!$B$1:$AK$1,0),FALSE)</f>
        <v>Ja</v>
      </c>
      <c r="F144" s="121" t="str">
        <f>VLOOKUP($B144,Miljö!$B$1:$J$479,MATCH("Typ av ursprungsspecificerad el   (Om inget värde anges används Nordisk residualmix, se inforuta) ()",Miljö!$B$1:$J$1,0),FALSE)</f>
        <v>'Vattenkraft'</v>
      </c>
      <c r="G144" s="121">
        <f>VLOOKUP($B144,Miljö!$B$1:$J$479,MATCH("Primärenergifaktor ()",Miljö!$B$1:$J$1,0),FALSE)</f>
        <v>1.1000000000000001</v>
      </c>
      <c r="H144" s="121">
        <f>VLOOKUP($B144,Miljö!$B$1:$J$479,MATCH("Koldioxidekvivalenter energiomvandling (g/kwh)",Miljö!$B$1:$J$1,0),FALSE)</f>
        <v>0</v>
      </c>
      <c r="I144" s="121">
        <f>VLOOKUP($B144,Miljö!$B$1:$J$479,MATCH("Fossilandel för ursprungspecificerad el ()",Miljö!$B$1:$J$1,0),FALSE)</f>
        <v>0</v>
      </c>
      <c r="J144" s="121">
        <f>VLOOKUP($B144,Miljö!$B$1:$J$479,MATCH("Kärnkraftsandel för ursprungsspecificerad el ()",Miljö!$B$1:$J$1,0),FALSE)</f>
        <v>0</v>
      </c>
      <c r="L144" s="121">
        <f>VLOOKUP($B144,Totalt!$B$1:$BU$497,MATCH("total el",Totalt!$B$1:$BU$1,0),FALSE)</f>
        <v>3.0814400000000002</v>
      </c>
      <c r="N144" s="271">
        <f t="shared" si="8"/>
        <v>3.3895840000000006</v>
      </c>
      <c r="O144" s="271">
        <f t="shared" si="9"/>
        <v>0</v>
      </c>
      <c r="P144" s="271">
        <f t="shared" si="10"/>
        <v>0</v>
      </c>
      <c r="Q144" s="271">
        <f t="shared" si="11"/>
        <v>0</v>
      </c>
    </row>
    <row r="145" spans="1:17" x14ac:dyDescent="0.25">
      <c r="A145" s="137" t="s">
        <v>399</v>
      </c>
      <c r="B145" s="137" t="s">
        <v>400</v>
      </c>
      <c r="C145" s="121" t="str">
        <f>VLOOKUP($B145,Totalt!$B$1:$BU$497,MATCH("Kvalitetsgranskad:",Totalt!$B$1:$BU$1,0),FALSE)</f>
        <v>Ja</v>
      </c>
      <c r="E145" s="121" t="str">
        <f>VLOOKUP($B145,Miljö!$B$1:$AG$479,MATCH(E$1,Miljö!$B$1:$AK$1,0),FALSE)</f>
        <v>Ja</v>
      </c>
      <c r="F145" s="121" t="str">
        <f>VLOOKUP($B145,Miljö!$B$1:$J$479,MATCH("Typ av ursprungsspecificerad el   (Om inget värde anges används Nordisk residualmix, se inforuta) ()",Miljö!$B$1:$J$1,0),FALSE)</f>
        <v>'Vattenkraft'</v>
      </c>
      <c r="G145" s="121">
        <f>VLOOKUP($B145,Miljö!$B$1:$J$479,MATCH("Primärenergifaktor ()",Miljö!$B$1:$J$1,0),FALSE)</f>
        <v>1.1000000000000001</v>
      </c>
      <c r="H145" s="121">
        <f>VLOOKUP($B145,Miljö!$B$1:$J$479,MATCH("Koldioxidekvivalenter energiomvandling (g/kwh)",Miljö!$B$1:$J$1,0),FALSE)</f>
        <v>0</v>
      </c>
      <c r="I145" s="121">
        <f>VLOOKUP($B145,Miljö!$B$1:$J$479,MATCH("Fossilandel för ursprungspecificerad el ()",Miljö!$B$1:$J$1,0),FALSE)</f>
        <v>0</v>
      </c>
      <c r="J145" s="121">
        <f>VLOOKUP($B145,Miljö!$B$1:$J$479,MATCH("Kärnkraftsandel för ursprungsspecificerad el ()",Miljö!$B$1:$J$1,0),FALSE)</f>
        <v>0</v>
      </c>
      <c r="L145" s="121">
        <f>VLOOKUP($B145,Totalt!$B$1:$BU$497,MATCH("total el",Totalt!$B$1:$BU$1,0),FALSE)</f>
        <v>7.0475399999999997</v>
      </c>
      <c r="N145" s="271">
        <f t="shared" si="8"/>
        <v>7.752294</v>
      </c>
      <c r="O145" s="271">
        <f t="shared" si="9"/>
        <v>0</v>
      </c>
      <c r="P145" s="271">
        <f t="shared" si="10"/>
        <v>0</v>
      </c>
      <c r="Q145" s="271">
        <f t="shared" si="11"/>
        <v>0</v>
      </c>
    </row>
    <row r="146" spans="1:17" x14ac:dyDescent="0.25">
      <c r="A146" s="137" t="s">
        <v>401</v>
      </c>
      <c r="B146" s="137" t="s">
        <v>402</v>
      </c>
      <c r="C146" s="121" t="str">
        <f>VLOOKUP($B146,Totalt!$B$1:$BU$497,MATCH("Kvalitetsgranskad:",Totalt!$B$1:$BU$1,0),FALSE)</f>
        <v>Ja</v>
      </c>
      <c r="E146" s="121" t="str">
        <f>VLOOKUP($B146,Miljö!$B$1:$AG$479,MATCH(E$1,Miljö!$B$1:$AK$1,0),FALSE)</f>
        <v>Ja</v>
      </c>
      <c r="F146" s="121" t="str">
        <f>VLOOKUP($B146,Miljö!$B$1:$J$479,MATCH("Typ av ursprungsspecificerad el   (Om inget värde anges används Nordisk residualmix, se inforuta) ()",Miljö!$B$1:$J$1,0),FALSE)</f>
        <v>'vattenkraft'</v>
      </c>
      <c r="G146" s="121">
        <f>VLOOKUP($B146,Miljö!$B$1:$J$479,MATCH("Primärenergifaktor ()",Miljö!$B$1:$J$1,0),FALSE)</f>
        <v>1</v>
      </c>
      <c r="H146" s="121">
        <f>VLOOKUP($B146,Miljö!$B$1:$J$479,MATCH("Koldioxidekvivalenter energiomvandling (g/kwh)",Miljö!$B$1:$J$1,0),FALSE)</f>
        <v>0</v>
      </c>
      <c r="I146" s="121">
        <f>VLOOKUP($B146,Miljö!$B$1:$J$479,MATCH("Fossilandel för ursprungspecificerad el ()",Miljö!$B$1:$J$1,0),FALSE)</f>
        <v>0</v>
      </c>
      <c r="J146" s="121">
        <f>VLOOKUP($B146,Miljö!$B$1:$J$479,MATCH("Kärnkraftsandel för ursprungsspecificerad el ()",Miljö!$B$1:$J$1,0),FALSE)</f>
        <v>0</v>
      </c>
      <c r="L146" s="121">
        <f>VLOOKUP($B146,Totalt!$B$1:$BU$497,MATCH("total el",Totalt!$B$1:$BU$1,0),FALSE)</f>
        <v>0.17699999999999999</v>
      </c>
      <c r="N146" s="271">
        <f t="shared" si="8"/>
        <v>0.17699999999999999</v>
      </c>
      <c r="O146" s="271">
        <f t="shared" si="9"/>
        <v>0</v>
      </c>
      <c r="P146" s="271">
        <f t="shared" si="10"/>
        <v>0</v>
      </c>
      <c r="Q146" s="271">
        <f t="shared" si="11"/>
        <v>0</v>
      </c>
    </row>
    <row r="147" spans="1:17" x14ac:dyDescent="0.25">
      <c r="A147" s="137" t="s">
        <v>401</v>
      </c>
      <c r="B147" s="137" t="s">
        <v>403</v>
      </c>
      <c r="C147" s="121" t="str">
        <f>VLOOKUP($B147,Totalt!$B$1:$BU$497,MATCH("Kvalitetsgranskad:",Totalt!$B$1:$BU$1,0),FALSE)</f>
        <v>Ja</v>
      </c>
      <c r="E147" s="121" t="str">
        <f>VLOOKUP($B147,Miljö!$B$1:$AG$479,MATCH(E$1,Miljö!$B$1:$AK$1,0),FALSE)</f>
        <v>Ja</v>
      </c>
      <c r="F147" s="121" t="str">
        <f>VLOOKUP($B147,Miljö!$B$1:$J$479,MATCH("Typ av ursprungsspecificerad el   (Om inget värde anges används Nordisk residualmix, se inforuta) ()",Miljö!$B$1:$J$1,0),FALSE)</f>
        <v>'vattenkraft'</v>
      </c>
      <c r="G147" s="121">
        <f>VLOOKUP($B147,Miljö!$B$1:$J$479,MATCH("Primärenergifaktor ()",Miljö!$B$1:$J$1,0),FALSE)</f>
        <v>1</v>
      </c>
      <c r="H147" s="121">
        <f>VLOOKUP($B147,Miljö!$B$1:$J$479,MATCH("Koldioxidekvivalenter energiomvandling (g/kwh)",Miljö!$B$1:$J$1,0),FALSE)</f>
        <v>0</v>
      </c>
      <c r="I147" s="121">
        <f>VLOOKUP($B147,Miljö!$B$1:$J$479,MATCH("Fossilandel för ursprungspecificerad el ()",Miljö!$B$1:$J$1,0),FALSE)</f>
        <v>0</v>
      </c>
      <c r="J147" s="121">
        <f>VLOOKUP($B147,Miljö!$B$1:$J$479,MATCH("Kärnkraftsandel för ursprungsspecificerad el ()",Miljö!$B$1:$J$1,0),FALSE)</f>
        <v>0</v>
      </c>
      <c r="L147" s="121">
        <f>VLOOKUP($B147,Totalt!$B$1:$BU$497,MATCH("total el",Totalt!$B$1:$BU$1,0),FALSE)</f>
        <v>8.4000000000000005E-2</v>
      </c>
      <c r="N147" s="271">
        <f t="shared" si="8"/>
        <v>8.4000000000000005E-2</v>
      </c>
      <c r="O147" s="271">
        <f t="shared" si="9"/>
        <v>0</v>
      </c>
      <c r="P147" s="271">
        <f t="shared" si="10"/>
        <v>0</v>
      </c>
      <c r="Q147" s="271">
        <f t="shared" si="11"/>
        <v>0</v>
      </c>
    </row>
    <row r="148" spans="1:17" x14ac:dyDescent="0.25">
      <c r="A148" s="137" t="s">
        <v>401</v>
      </c>
      <c r="B148" s="137" t="s">
        <v>404</v>
      </c>
      <c r="C148" s="121" t="str">
        <f>VLOOKUP($B148,Totalt!$B$1:$BU$497,MATCH("Kvalitetsgranskad:",Totalt!$B$1:$BU$1,0),FALSE)</f>
        <v>Ja</v>
      </c>
      <c r="E148" s="121" t="str">
        <f>VLOOKUP($B148,Miljö!$B$1:$AG$479,MATCH(E$1,Miljö!$B$1:$AK$1,0),FALSE)</f>
        <v>Ja</v>
      </c>
      <c r="F148" s="121" t="str">
        <f>VLOOKUP($B148,Miljö!$B$1:$J$479,MATCH("Typ av ursprungsspecificerad el   (Om inget värde anges används Nordisk residualmix, se inforuta) ()",Miljö!$B$1:$J$1,0),FALSE)</f>
        <v>'Vattenkraft'</v>
      </c>
      <c r="G148" s="121">
        <f>VLOOKUP($B148,Miljö!$B$1:$J$479,MATCH("Primärenergifaktor ()",Miljö!$B$1:$J$1,0),FALSE)</f>
        <v>1</v>
      </c>
      <c r="H148" s="121">
        <f>VLOOKUP($B148,Miljö!$B$1:$J$479,MATCH("Koldioxidekvivalenter energiomvandling (g/kwh)",Miljö!$B$1:$J$1,0),FALSE)</f>
        <v>0</v>
      </c>
      <c r="I148" s="121">
        <f>VLOOKUP($B148,Miljö!$B$1:$J$479,MATCH("Fossilandel för ursprungspecificerad el ()",Miljö!$B$1:$J$1,0),FALSE)</f>
        <v>0</v>
      </c>
      <c r="J148" s="121">
        <f>VLOOKUP($B148,Miljö!$B$1:$J$479,MATCH("Kärnkraftsandel för ursprungsspecificerad el ()",Miljö!$B$1:$J$1,0),FALSE)</f>
        <v>0</v>
      </c>
      <c r="L148" s="121">
        <f>VLOOKUP($B148,Totalt!$B$1:$BU$497,MATCH("total el",Totalt!$B$1:$BU$1,0),FALSE)</f>
        <v>0.247</v>
      </c>
      <c r="N148" s="271">
        <f t="shared" si="8"/>
        <v>0.247</v>
      </c>
      <c r="O148" s="271">
        <f t="shared" si="9"/>
        <v>0</v>
      </c>
      <c r="P148" s="271">
        <f t="shared" si="10"/>
        <v>0</v>
      </c>
      <c r="Q148" s="271">
        <f t="shared" si="11"/>
        <v>0</v>
      </c>
    </row>
    <row r="149" spans="1:17" x14ac:dyDescent="0.25">
      <c r="A149" s="137" t="s">
        <v>401</v>
      </c>
      <c r="B149" s="137" t="s">
        <v>405</v>
      </c>
      <c r="C149" s="121" t="str">
        <f>VLOOKUP($B149,Totalt!$B$1:$BU$497,MATCH("Kvalitetsgranskad:",Totalt!$B$1:$BU$1,0),FALSE)</f>
        <v>Ja</v>
      </c>
      <c r="E149" s="121" t="str">
        <f>VLOOKUP($B149,Miljö!$B$1:$AG$479,MATCH(E$1,Miljö!$B$1:$AK$1,0),FALSE)</f>
        <v>Ja</v>
      </c>
      <c r="F149" s="121" t="str">
        <f>VLOOKUP($B149,Miljö!$B$1:$J$479,MATCH("Typ av ursprungsspecificerad el   (Om inget värde anges används Nordisk residualmix, se inforuta) ()",Miljö!$B$1:$J$1,0),FALSE)</f>
        <v>'vattenkraft'</v>
      </c>
      <c r="G149" s="121">
        <f>VLOOKUP($B149,Miljö!$B$1:$J$479,MATCH("Primärenergifaktor ()",Miljö!$B$1:$J$1,0),FALSE)</f>
        <v>1</v>
      </c>
      <c r="H149" s="121">
        <f>VLOOKUP($B149,Miljö!$B$1:$J$479,MATCH("Koldioxidekvivalenter energiomvandling (g/kwh)",Miljö!$B$1:$J$1,0),FALSE)</f>
        <v>0</v>
      </c>
      <c r="I149" s="121">
        <f>VLOOKUP($B149,Miljö!$B$1:$J$479,MATCH("Fossilandel för ursprungspecificerad el ()",Miljö!$B$1:$J$1,0),FALSE)</f>
        <v>0</v>
      </c>
      <c r="J149" s="121">
        <f>VLOOKUP($B149,Miljö!$B$1:$J$479,MATCH("Kärnkraftsandel för ursprungsspecificerad el ()",Miljö!$B$1:$J$1,0),FALSE)</f>
        <v>0</v>
      </c>
      <c r="L149" s="121">
        <f>VLOOKUP($B149,Totalt!$B$1:$BU$497,MATCH("total el",Totalt!$B$1:$BU$1,0),FALSE)</f>
        <v>0.12</v>
      </c>
      <c r="N149" s="271">
        <f t="shared" si="8"/>
        <v>0.12</v>
      </c>
      <c r="O149" s="271">
        <f t="shared" si="9"/>
        <v>0</v>
      </c>
      <c r="P149" s="271">
        <f t="shared" si="10"/>
        <v>0</v>
      </c>
      <c r="Q149" s="271">
        <f t="shared" si="11"/>
        <v>0</v>
      </c>
    </row>
    <row r="150" spans="1:17" x14ac:dyDescent="0.25">
      <c r="A150" s="137" t="s">
        <v>401</v>
      </c>
      <c r="B150" s="137" t="s">
        <v>406</v>
      </c>
      <c r="C150" s="121" t="str">
        <f>VLOOKUP($B150,Totalt!$B$1:$BU$497,MATCH("Kvalitetsgranskad:",Totalt!$B$1:$BU$1,0),FALSE)</f>
        <v>Ja</v>
      </c>
      <c r="E150" s="121" t="str">
        <f>VLOOKUP($B150,Miljö!$B$1:$AG$479,MATCH(E$1,Miljö!$B$1:$AK$1,0),FALSE)</f>
        <v>Ja</v>
      </c>
      <c r="F150" s="121" t="str">
        <f>VLOOKUP($B150,Miljö!$B$1:$J$479,MATCH("Typ av ursprungsspecificerad el   (Om inget värde anges används Nordisk residualmix, se inforuta) ()",Miljö!$B$1:$J$1,0),FALSE)</f>
        <v>'vattenkraft'</v>
      </c>
      <c r="G150" s="121">
        <f>VLOOKUP($B150,Miljö!$B$1:$J$479,MATCH("Primärenergifaktor ()",Miljö!$B$1:$J$1,0),FALSE)</f>
        <v>1</v>
      </c>
      <c r="H150" s="121">
        <f>VLOOKUP($B150,Miljö!$B$1:$J$479,MATCH("Koldioxidekvivalenter energiomvandling (g/kwh)",Miljö!$B$1:$J$1,0),FALSE)</f>
        <v>0</v>
      </c>
      <c r="I150" s="121">
        <f>VLOOKUP($B150,Miljö!$B$1:$J$479,MATCH("Fossilandel för ursprungspecificerad el ()",Miljö!$B$1:$J$1,0),FALSE)</f>
        <v>0</v>
      </c>
      <c r="J150" s="121">
        <f>VLOOKUP($B150,Miljö!$B$1:$J$479,MATCH("Kärnkraftsandel för ursprungsspecificerad el ()",Miljö!$B$1:$J$1,0),FALSE)</f>
        <v>0</v>
      </c>
      <c r="L150" s="121">
        <f>VLOOKUP($B150,Totalt!$B$1:$BU$497,MATCH("total el",Totalt!$B$1:$BU$1,0),FALSE)</f>
        <v>0.27600000000000002</v>
      </c>
      <c r="N150" s="271">
        <f t="shared" si="8"/>
        <v>0.27600000000000002</v>
      </c>
      <c r="O150" s="271">
        <f t="shared" si="9"/>
        <v>0</v>
      </c>
      <c r="P150" s="271">
        <f t="shared" si="10"/>
        <v>0</v>
      </c>
      <c r="Q150" s="271">
        <f t="shared" si="11"/>
        <v>0</v>
      </c>
    </row>
    <row r="151" spans="1:17" x14ac:dyDescent="0.25">
      <c r="A151" s="137" t="s">
        <v>401</v>
      </c>
      <c r="B151" s="137" t="s">
        <v>407</v>
      </c>
      <c r="C151" s="121" t="str">
        <f>VLOOKUP($B151,Totalt!$B$1:$BU$497,MATCH("Kvalitetsgranskad:",Totalt!$B$1:$BU$1,0),FALSE)</f>
        <v>Ja</v>
      </c>
      <c r="E151" s="121" t="str">
        <f>VLOOKUP($B151,Miljö!$B$1:$AG$479,MATCH(E$1,Miljö!$B$1:$AK$1,0),FALSE)</f>
        <v>Ja</v>
      </c>
      <c r="F151" s="121" t="str">
        <f>VLOOKUP($B151,Miljö!$B$1:$J$479,MATCH("Typ av ursprungsspecificerad el   (Om inget värde anges används Nordisk residualmix, se inforuta) ()",Miljö!$B$1:$J$1,0),FALSE)</f>
        <v>'vattenkraft'</v>
      </c>
      <c r="G151" s="121">
        <f>VLOOKUP($B151,Miljö!$B$1:$J$479,MATCH("Primärenergifaktor ()",Miljö!$B$1:$J$1,0),FALSE)</f>
        <v>1</v>
      </c>
      <c r="H151" s="121">
        <f>VLOOKUP($B151,Miljö!$B$1:$J$479,MATCH("Koldioxidekvivalenter energiomvandling (g/kwh)",Miljö!$B$1:$J$1,0),FALSE)</f>
        <v>0</v>
      </c>
      <c r="I151" s="121">
        <f>VLOOKUP($B151,Miljö!$B$1:$J$479,MATCH("Fossilandel för ursprungspecificerad el ()",Miljö!$B$1:$J$1,0),FALSE)</f>
        <v>0</v>
      </c>
      <c r="J151" s="121">
        <f>VLOOKUP($B151,Miljö!$B$1:$J$479,MATCH("Kärnkraftsandel för ursprungsspecificerad el ()",Miljö!$B$1:$J$1,0),FALSE)</f>
        <v>0</v>
      </c>
      <c r="L151" s="121">
        <f>VLOOKUP($B151,Totalt!$B$1:$BU$497,MATCH("total el",Totalt!$B$1:$BU$1,0),FALSE)</f>
        <v>0.52800000000000002</v>
      </c>
      <c r="N151" s="271">
        <f t="shared" si="8"/>
        <v>0.52800000000000002</v>
      </c>
      <c r="O151" s="271">
        <f t="shared" si="9"/>
        <v>0</v>
      </c>
      <c r="P151" s="271">
        <f t="shared" si="10"/>
        <v>0</v>
      </c>
      <c r="Q151" s="271">
        <f t="shared" si="11"/>
        <v>0</v>
      </c>
    </row>
    <row r="152" spans="1:17" x14ac:dyDescent="0.25">
      <c r="A152" s="137" t="s">
        <v>401</v>
      </c>
      <c r="B152" s="137" t="s">
        <v>408</v>
      </c>
      <c r="C152" s="121" t="str">
        <f>VLOOKUP($B152,Totalt!$B$1:$BU$497,MATCH("Kvalitetsgranskad:",Totalt!$B$1:$BU$1,0),FALSE)</f>
        <v>Ja</v>
      </c>
      <c r="E152" s="121" t="str">
        <f>VLOOKUP($B152,Miljö!$B$1:$AG$479,MATCH(E$1,Miljö!$B$1:$AK$1,0),FALSE)</f>
        <v>Ja</v>
      </c>
      <c r="F152" s="121" t="str">
        <f>VLOOKUP($B152,Miljö!$B$1:$J$479,MATCH("Typ av ursprungsspecificerad el   (Om inget värde anges används Nordisk residualmix, se inforuta) ()",Miljö!$B$1:$J$1,0),FALSE)</f>
        <v>'vattenkraft'</v>
      </c>
      <c r="G152" s="121">
        <f>VLOOKUP($B152,Miljö!$B$1:$J$479,MATCH("Primärenergifaktor ()",Miljö!$B$1:$J$1,0),FALSE)</f>
        <v>1</v>
      </c>
      <c r="H152" s="121">
        <f>VLOOKUP($B152,Miljö!$B$1:$J$479,MATCH("Koldioxidekvivalenter energiomvandling (g/kwh)",Miljö!$B$1:$J$1,0),FALSE)</f>
        <v>0</v>
      </c>
      <c r="I152" s="121">
        <f>VLOOKUP($B152,Miljö!$B$1:$J$479,MATCH("Fossilandel för ursprungspecificerad el ()",Miljö!$B$1:$J$1,0),FALSE)</f>
        <v>0</v>
      </c>
      <c r="J152" s="121">
        <f>VLOOKUP($B152,Miljö!$B$1:$J$479,MATCH("Kärnkraftsandel för ursprungsspecificerad el ()",Miljö!$B$1:$J$1,0),FALSE)</f>
        <v>0</v>
      </c>
      <c r="L152" s="121">
        <f>VLOOKUP($B152,Totalt!$B$1:$BU$497,MATCH("total el",Totalt!$B$1:$BU$1,0),FALSE)</f>
        <v>0.186</v>
      </c>
      <c r="N152" s="271">
        <f t="shared" si="8"/>
        <v>0.186</v>
      </c>
      <c r="O152" s="271">
        <f t="shared" si="9"/>
        <v>0</v>
      </c>
      <c r="P152" s="271">
        <f t="shared" si="10"/>
        <v>0</v>
      </c>
      <c r="Q152" s="271">
        <f t="shared" si="11"/>
        <v>0</v>
      </c>
    </row>
    <row r="153" spans="1:17" x14ac:dyDescent="0.25">
      <c r="A153" s="137" t="s">
        <v>401</v>
      </c>
      <c r="B153" s="137" t="s">
        <v>409</v>
      </c>
      <c r="C153" s="121" t="str">
        <f>VLOOKUP($B153,Totalt!$B$1:$BU$497,MATCH("Kvalitetsgranskad:",Totalt!$B$1:$BU$1,0),FALSE)</f>
        <v>Ja</v>
      </c>
      <c r="E153" s="121" t="str">
        <f>VLOOKUP($B153,Miljö!$B$1:$AG$479,MATCH(E$1,Miljö!$B$1:$AK$1,0),FALSE)</f>
        <v>Ja</v>
      </c>
      <c r="F153" s="121" t="str">
        <f>VLOOKUP($B153,Miljö!$B$1:$J$479,MATCH("Typ av ursprungsspecificerad el   (Om inget värde anges används Nordisk residualmix, se inforuta) ()",Miljö!$B$1:$J$1,0),FALSE)</f>
        <v>'vattenkraft'</v>
      </c>
      <c r="G153" s="121">
        <f>VLOOKUP($B153,Miljö!$B$1:$J$479,MATCH("Primärenergifaktor ()",Miljö!$B$1:$J$1,0),FALSE)</f>
        <v>1</v>
      </c>
      <c r="H153" s="121">
        <f>VLOOKUP($B153,Miljö!$B$1:$J$479,MATCH("Koldioxidekvivalenter energiomvandling (g/kwh)",Miljö!$B$1:$J$1,0),FALSE)</f>
        <v>0</v>
      </c>
      <c r="I153" s="121">
        <f>VLOOKUP($B153,Miljö!$B$1:$J$479,MATCH("Fossilandel för ursprungspecificerad el ()",Miljö!$B$1:$J$1,0),FALSE)</f>
        <v>0</v>
      </c>
      <c r="J153" s="121">
        <f>VLOOKUP($B153,Miljö!$B$1:$J$479,MATCH("Kärnkraftsandel för ursprungsspecificerad el ()",Miljö!$B$1:$J$1,0),FALSE)</f>
        <v>0</v>
      </c>
      <c r="L153" s="121">
        <f>VLOOKUP($B153,Totalt!$B$1:$BU$497,MATCH("total el",Totalt!$B$1:$BU$1,0),FALSE)</f>
        <v>0.27500000000000002</v>
      </c>
      <c r="N153" s="271">
        <f t="shared" si="8"/>
        <v>0.27500000000000002</v>
      </c>
      <c r="O153" s="271">
        <f t="shared" si="9"/>
        <v>0</v>
      </c>
      <c r="P153" s="271">
        <f t="shared" si="10"/>
        <v>0</v>
      </c>
      <c r="Q153" s="271">
        <f t="shared" si="11"/>
        <v>0</v>
      </c>
    </row>
    <row r="154" spans="1:17" x14ac:dyDescent="0.25">
      <c r="A154" s="137" t="s">
        <v>401</v>
      </c>
      <c r="B154" s="137" t="s">
        <v>410</v>
      </c>
      <c r="C154" s="121" t="str">
        <f>VLOOKUP($B154,Totalt!$B$1:$BU$497,MATCH("Kvalitetsgranskad:",Totalt!$B$1:$BU$1,0),FALSE)</f>
        <v>Ja</v>
      </c>
      <c r="E154" s="121" t="str">
        <f>VLOOKUP($B154,Miljö!$B$1:$AG$479,MATCH(E$1,Miljö!$B$1:$AK$1,0),FALSE)</f>
        <v>Ja</v>
      </c>
      <c r="F154" s="121" t="str">
        <f>VLOOKUP($B154,Miljö!$B$1:$J$479,MATCH("Typ av ursprungsspecificerad el   (Om inget värde anges används Nordisk residualmix, se inforuta) ()",Miljö!$B$1:$J$1,0),FALSE)</f>
        <v>'vattenkraft'</v>
      </c>
      <c r="G154" s="121">
        <f>VLOOKUP($B154,Miljö!$B$1:$J$479,MATCH("Primärenergifaktor ()",Miljö!$B$1:$J$1,0),FALSE)</f>
        <v>1</v>
      </c>
      <c r="H154" s="121">
        <f>VLOOKUP($B154,Miljö!$B$1:$J$479,MATCH("Koldioxidekvivalenter energiomvandling (g/kwh)",Miljö!$B$1:$J$1,0),FALSE)</f>
        <v>0</v>
      </c>
      <c r="I154" s="121">
        <f>VLOOKUP($B154,Miljö!$B$1:$J$479,MATCH("Fossilandel för ursprungspecificerad el ()",Miljö!$B$1:$J$1,0),FALSE)</f>
        <v>0</v>
      </c>
      <c r="J154" s="121">
        <f>VLOOKUP($B154,Miljö!$B$1:$J$479,MATCH("Kärnkraftsandel för ursprungsspecificerad el ()",Miljö!$B$1:$J$1,0),FALSE)</f>
        <v>0</v>
      </c>
      <c r="L154" s="121">
        <f>VLOOKUP($B154,Totalt!$B$1:$BU$497,MATCH("total el",Totalt!$B$1:$BU$1,0),FALSE)</f>
        <v>0.114</v>
      </c>
      <c r="N154" s="271">
        <f t="shared" si="8"/>
        <v>0.114</v>
      </c>
      <c r="O154" s="271">
        <f t="shared" si="9"/>
        <v>0</v>
      </c>
      <c r="P154" s="271">
        <f t="shared" si="10"/>
        <v>0</v>
      </c>
      <c r="Q154" s="271">
        <f t="shared" si="11"/>
        <v>0</v>
      </c>
    </row>
    <row r="155" spans="1:17" x14ac:dyDescent="0.25">
      <c r="A155" s="137" t="s">
        <v>411</v>
      </c>
      <c r="B155" s="137" t="s">
        <v>412</v>
      </c>
      <c r="C155" s="121" t="str">
        <f>VLOOKUP($B155,Totalt!$B$1:$BU$497,MATCH("Kvalitetsgranskad:",Totalt!$B$1:$BU$1,0),FALSE)</f>
        <v>Ja</v>
      </c>
      <c r="E155" s="121" t="str">
        <f>VLOOKUP($B155,Miljö!$B$1:$AG$479,MATCH(E$1,Miljö!$B$1:$AK$1,0),FALSE)</f>
        <v>Ja</v>
      </c>
      <c r="F155" s="121" t="str">
        <f>VLOOKUP($B155,Miljö!$B$1:$J$479,MATCH("Typ av ursprungsspecificerad el   (Om inget värde anges används Nordisk residualmix, se inforuta) ()",Miljö!$B$1:$J$1,0),FALSE)</f>
        <v>'100% förnyelsebar'</v>
      </c>
      <c r="G155" s="121">
        <f>VLOOKUP($B155,Miljö!$B$1:$J$479,MATCH("Primärenergifaktor ()",Miljö!$B$1:$J$1,0),FALSE)</f>
        <v>1.1000000000000001</v>
      </c>
      <c r="H155" s="121">
        <f>VLOOKUP($B155,Miljö!$B$1:$J$479,MATCH("Koldioxidekvivalenter energiomvandling (g/kwh)",Miljö!$B$1:$J$1,0),FALSE)</f>
        <v>0</v>
      </c>
      <c r="I155" s="121">
        <f>VLOOKUP($B155,Miljö!$B$1:$J$479,MATCH("Fossilandel för ursprungspecificerad el ()",Miljö!$B$1:$J$1,0),FALSE)</f>
        <v>0</v>
      </c>
      <c r="J155" s="121">
        <f>VLOOKUP($B155,Miljö!$B$1:$J$479,MATCH("Kärnkraftsandel för ursprungsspecificerad el ()",Miljö!$B$1:$J$1,0),FALSE)</f>
        <v>0</v>
      </c>
      <c r="L155" s="121">
        <f>VLOOKUP($B155,Totalt!$B$1:$BU$497,MATCH("total el",Totalt!$B$1:$BU$1,0),FALSE)</f>
        <v>0.47899999999999998</v>
      </c>
      <c r="N155" s="271">
        <f t="shared" si="8"/>
        <v>0.52690000000000003</v>
      </c>
      <c r="O155" s="271">
        <f t="shared" si="9"/>
        <v>0</v>
      </c>
      <c r="P155" s="271">
        <f t="shared" si="10"/>
        <v>0</v>
      </c>
      <c r="Q155" s="271">
        <f t="shared" si="11"/>
        <v>0</v>
      </c>
    </row>
    <row r="156" spans="1:17" x14ac:dyDescent="0.25">
      <c r="A156" s="137" t="s">
        <v>413</v>
      </c>
      <c r="B156" s="137" t="s">
        <v>93</v>
      </c>
      <c r="C156" s="121" t="str">
        <f>VLOOKUP($B156,Totalt!$B$1:$BU$497,MATCH("Kvalitetsgranskad:",Totalt!$B$1:$BU$1,0),FALSE)</f>
        <v>Nej</v>
      </c>
      <c r="E156" s="121" t="str">
        <f>VLOOKUP($B156,Miljö!$B$1:$AG$479,MATCH(E$1,Miljö!$B$1:$AK$1,0),FALSE)</f>
        <v>Nej</v>
      </c>
      <c r="F156" s="121" t="str">
        <f>VLOOKUP($B156,Miljö!$B$1:$J$479,MATCH("Typ av ursprungsspecificerad el   (Om inget värde anges används Nordisk residualmix, se inforuta) ()",Miljö!$B$1:$J$1,0),FALSE)</f>
        <v>-</v>
      </c>
      <c r="G156" s="121" t="str">
        <f>VLOOKUP($B156,Miljö!$B$1:$J$479,MATCH("Primärenergifaktor ()",Miljö!$B$1:$J$1,0),FALSE)</f>
        <v>-</v>
      </c>
      <c r="H156" s="121" t="str">
        <f>VLOOKUP($B156,Miljö!$B$1:$J$479,MATCH("Koldioxidekvivalenter energiomvandling (g/kwh)",Miljö!$B$1:$J$1,0),FALSE)</f>
        <v>-</v>
      </c>
      <c r="I156" s="121" t="str">
        <f>VLOOKUP($B156,Miljö!$B$1:$J$479,MATCH("Fossilandel för ursprungspecificerad el ()",Miljö!$B$1:$J$1,0),FALSE)</f>
        <v>-</v>
      </c>
      <c r="J156" s="121" t="str">
        <f>VLOOKUP($B156,Miljö!$B$1:$J$479,MATCH("Kärnkraftsandel för ursprungsspecificerad el ()",Miljö!$B$1:$J$1,0),FALSE)</f>
        <v>-</v>
      </c>
      <c r="L156" s="121">
        <f>VLOOKUP($B156,Totalt!$B$1:$BU$497,MATCH("total el",Totalt!$B$1:$BU$1,0),FALSE)</f>
        <v>0</v>
      </c>
      <c r="N156" s="271" t="str">
        <f t="shared" si="8"/>
        <v/>
      </c>
      <c r="O156" s="271" t="str">
        <f t="shared" si="9"/>
        <v/>
      </c>
      <c r="P156" s="271" t="str">
        <f t="shared" si="10"/>
        <v/>
      </c>
      <c r="Q156" s="271" t="str">
        <f t="shared" si="11"/>
        <v/>
      </c>
    </row>
    <row r="157" spans="1:17" x14ac:dyDescent="0.25">
      <c r="A157" s="137" t="s">
        <v>414</v>
      </c>
      <c r="B157" s="137" t="s">
        <v>415</v>
      </c>
      <c r="C157" s="121" t="str">
        <f>VLOOKUP($B157,Totalt!$B$1:$BU$497,MATCH("Kvalitetsgranskad:",Totalt!$B$1:$BU$1,0),FALSE)</f>
        <v>Ja</v>
      </c>
      <c r="E157" s="121" t="str">
        <f>VLOOKUP($B157,Miljö!$B$1:$AG$479,MATCH(E$1,Miljö!$B$1:$AK$1,0),FALSE)</f>
        <v>Ja</v>
      </c>
      <c r="F157" s="121" t="str">
        <f>VLOOKUP($B157,Miljö!$B$1:$J$479,MATCH("Typ av ursprungsspecificerad el   (Om inget värde anges används Nordisk residualmix, se inforuta) ()",Miljö!$B$1:$J$1,0),FALSE)</f>
        <v>'Lokal Vindel "Din El" GE'</v>
      </c>
      <c r="G157" s="121">
        <f>VLOOKUP($B157,Miljö!$B$1:$J$479,MATCH("Primärenergifaktor ()",Miljö!$B$1:$J$1,0),FALSE)</f>
        <v>0.1</v>
      </c>
      <c r="H157" s="121">
        <f>VLOOKUP($B157,Miljö!$B$1:$J$479,MATCH("Koldioxidekvivalenter energiomvandling (g/kwh)",Miljö!$B$1:$J$1,0),FALSE)</f>
        <v>0</v>
      </c>
      <c r="I157" s="121">
        <f>VLOOKUP($B157,Miljö!$B$1:$J$479,MATCH("Fossilandel för ursprungspecificerad el ()",Miljö!$B$1:$J$1,0),FALSE)</f>
        <v>0</v>
      </c>
      <c r="J157" s="121">
        <f>VLOOKUP($B157,Miljö!$B$1:$J$479,MATCH("Kärnkraftsandel för ursprungsspecificerad el ()",Miljö!$B$1:$J$1,0),FALSE)</f>
        <v>0</v>
      </c>
      <c r="L157" s="121">
        <f>VLOOKUP($B157,Totalt!$B$1:$BU$497,MATCH("total el",Totalt!$B$1:$BU$1,0),FALSE)</f>
        <v>0.216</v>
      </c>
      <c r="N157" s="271">
        <f t="shared" si="8"/>
        <v>2.1600000000000001E-2</v>
      </c>
      <c r="O157" s="271">
        <f t="shared" si="9"/>
        <v>0</v>
      </c>
      <c r="P157" s="271">
        <f t="shared" si="10"/>
        <v>0</v>
      </c>
      <c r="Q157" s="271">
        <f t="shared" si="11"/>
        <v>0</v>
      </c>
    </row>
    <row r="158" spans="1:17" x14ac:dyDescent="0.25">
      <c r="A158" s="137" t="s">
        <v>414</v>
      </c>
      <c r="B158" s="137" t="s">
        <v>416</v>
      </c>
      <c r="C158" s="121" t="str">
        <f>VLOOKUP($B158,Totalt!$B$1:$BU$497,MATCH("Kvalitetsgranskad:",Totalt!$B$1:$BU$1,0),FALSE)</f>
        <v>Ja</v>
      </c>
      <c r="E158" s="121" t="str">
        <f>VLOOKUP($B158,Miljö!$B$1:$AG$479,MATCH(E$1,Miljö!$B$1:$AK$1,0),FALSE)</f>
        <v>Ja</v>
      </c>
      <c r="F158" s="121" t="str">
        <f>VLOOKUP($B158,Miljö!$B$1:$J$479,MATCH("Typ av ursprungsspecificerad el   (Om inget värde anges används Nordisk residualmix, se inforuta) ()",Miljö!$B$1:$J$1,0),FALSE)</f>
        <v>'Lokal Vindel från GE'</v>
      </c>
      <c r="G158" s="121">
        <f>VLOOKUP($B158,Miljö!$B$1:$J$479,MATCH("Primärenergifaktor ()",Miljö!$B$1:$J$1,0),FALSE)</f>
        <v>0.1</v>
      </c>
      <c r="H158" s="121">
        <f>VLOOKUP($B158,Miljö!$B$1:$J$479,MATCH("Koldioxidekvivalenter energiomvandling (g/kwh)",Miljö!$B$1:$J$1,0),FALSE)</f>
        <v>0</v>
      </c>
      <c r="I158" s="121">
        <f>VLOOKUP($B158,Miljö!$B$1:$J$479,MATCH("Fossilandel för ursprungspecificerad el ()",Miljö!$B$1:$J$1,0),FALSE)</f>
        <v>0</v>
      </c>
      <c r="J158" s="121">
        <f>VLOOKUP($B158,Miljö!$B$1:$J$479,MATCH("Kärnkraftsandel för ursprungsspecificerad el ()",Miljö!$B$1:$J$1,0),FALSE)</f>
        <v>0</v>
      </c>
      <c r="L158" s="121">
        <f>VLOOKUP($B158,Totalt!$B$1:$BU$497,MATCH("total el",Totalt!$B$1:$BU$1,0),FALSE)</f>
        <v>0.23599999999999999</v>
      </c>
      <c r="N158" s="271">
        <f t="shared" si="8"/>
        <v>2.3599999999999999E-2</v>
      </c>
      <c r="O158" s="271">
        <f t="shared" si="9"/>
        <v>0</v>
      </c>
      <c r="P158" s="271">
        <f t="shared" si="10"/>
        <v>0</v>
      </c>
      <c r="Q158" s="271">
        <f t="shared" si="11"/>
        <v>0</v>
      </c>
    </row>
    <row r="159" spans="1:17" x14ac:dyDescent="0.25">
      <c r="A159" s="137" t="s">
        <v>414</v>
      </c>
      <c r="B159" s="137" t="s">
        <v>417</v>
      </c>
      <c r="C159" s="121" t="str">
        <f>VLOOKUP($B159,Totalt!$B$1:$BU$497,MATCH("Kvalitetsgranskad:",Totalt!$B$1:$BU$1,0),FALSE)</f>
        <v>Ja</v>
      </c>
      <c r="E159" s="121" t="str">
        <f>VLOOKUP($B159,Miljö!$B$1:$AG$479,MATCH(E$1,Miljö!$B$1:$AK$1,0),FALSE)</f>
        <v>Ja</v>
      </c>
      <c r="F159" s="121" t="str">
        <f>VLOOKUP($B159,Miljö!$B$1:$J$479,MATCH("Typ av ursprungsspecificerad el   (Om inget värde anges används Nordisk residualmix, se inforuta) ()",Miljö!$B$1:$J$1,0),FALSE)</f>
        <v>'Lokal Vindel Din El GE'</v>
      </c>
      <c r="G159" s="121">
        <f>VLOOKUP($B159,Miljö!$B$1:$J$479,MATCH("Primärenergifaktor ()",Miljö!$B$1:$J$1,0),FALSE)</f>
        <v>0.1</v>
      </c>
      <c r="H159" s="121">
        <f>VLOOKUP($B159,Miljö!$B$1:$J$479,MATCH("Koldioxidekvivalenter energiomvandling (g/kwh)",Miljö!$B$1:$J$1,0),FALSE)</f>
        <v>0</v>
      </c>
      <c r="I159" s="121">
        <f>VLOOKUP($B159,Miljö!$B$1:$J$479,MATCH("Fossilandel för ursprungspecificerad el ()",Miljö!$B$1:$J$1,0),FALSE)</f>
        <v>0</v>
      </c>
      <c r="J159" s="121">
        <f>VLOOKUP($B159,Miljö!$B$1:$J$479,MATCH("Kärnkraftsandel för ursprungsspecificerad el ()",Miljö!$B$1:$J$1,0),FALSE)</f>
        <v>0</v>
      </c>
      <c r="L159" s="121">
        <f>VLOOKUP($B159,Totalt!$B$1:$BU$497,MATCH("total el",Totalt!$B$1:$BU$1,0),FALSE)</f>
        <v>0.55000000000000004</v>
      </c>
      <c r="N159" s="271">
        <f t="shared" si="8"/>
        <v>5.5000000000000007E-2</v>
      </c>
      <c r="O159" s="271">
        <f t="shared" si="9"/>
        <v>0</v>
      </c>
      <c r="P159" s="271">
        <f t="shared" si="10"/>
        <v>0</v>
      </c>
      <c r="Q159" s="271">
        <f t="shared" si="11"/>
        <v>0</v>
      </c>
    </row>
    <row r="160" spans="1:17" x14ac:dyDescent="0.25">
      <c r="A160" s="137" t="s">
        <v>414</v>
      </c>
      <c r="B160" s="137" t="s">
        <v>418</v>
      </c>
      <c r="C160" s="121" t="str">
        <f>VLOOKUP($B160,Totalt!$B$1:$BU$497,MATCH("Kvalitetsgranskad:",Totalt!$B$1:$BU$1,0),FALSE)</f>
        <v>Ja</v>
      </c>
      <c r="E160" s="121" t="str">
        <f>VLOOKUP($B160,Miljö!$B$1:$AG$479,MATCH(E$1,Miljö!$B$1:$AK$1,0),FALSE)</f>
        <v>Ja</v>
      </c>
      <c r="F160" s="121" t="str">
        <f>VLOOKUP($B160,Miljö!$B$1:$J$479,MATCH("Typ av ursprungsspecificerad el   (Om inget värde anges används Nordisk residualmix, se inforuta) ()",Miljö!$B$1:$J$1,0),FALSE)</f>
        <v>'Lokal Vindel GE'</v>
      </c>
      <c r="G160" s="121">
        <f>VLOOKUP($B160,Miljö!$B$1:$J$479,MATCH("Primärenergifaktor ()",Miljö!$B$1:$J$1,0),FALSE)</f>
        <v>0.1</v>
      </c>
      <c r="H160" s="121">
        <f>VLOOKUP($B160,Miljö!$B$1:$J$479,MATCH("Koldioxidekvivalenter energiomvandling (g/kwh)",Miljö!$B$1:$J$1,0),FALSE)</f>
        <v>0</v>
      </c>
      <c r="I160" s="121">
        <f>VLOOKUP($B160,Miljö!$B$1:$J$479,MATCH("Fossilandel för ursprungspecificerad el ()",Miljö!$B$1:$J$1,0),FALSE)</f>
        <v>0</v>
      </c>
      <c r="J160" s="121">
        <f>VLOOKUP($B160,Miljö!$B$1:$J$479,MATCH("Kärnkraftsandel för ursprungsspecificerad el ()",Miljö!$B$1:$J$1,0),FALSE)</f>
        <v>0</v>
      </c>
      <c r="L160" s="121">
        <f>VLOOKUP($B160,Totalt!$B$1:$BU$497,MATCH("total el",Totalt!$B$1:$BU$1,0),FALSE)</f>
        <v>3.3099999999999997E-2</v>
      </c>
      <c r="N160" s="271">
        <f t="shared" si="8"/>
        <v>3.31E-3</v>
      </c>
      <c r="O160" s="271">
        <f t="shared" si="9"/>
        <v>0</v>
      </c>
      <c r="P160" s="271">
        <f t="shared" si="10"/>
        <v>0</v>
      </c>
      <c r="Q160" s="271">
        <f t="shared" si="11"/>
        <v>0</v>
      </c>
    </row>
    <row r="161" spans="1:17" x14ac:dyDescent="0.25">
      <c r="A161" s="137" t="s">
        <v>419</v>
      </c>
      <c r="B161" s="137" t="s">
        <v>420</v>
      </c>
      <c r="C161" s="121" t="str">
        <f>VLOOKUP($B161,Totalt!$B$1:$BU$497,MATCH("Kvalitetsgranskad:",Totalt!$B$1:$BU$1,0),FALSE)</f>
        <v>Ja</v>
      </c>
      <c r="E161" s="121" t="str">
        <f>VLOOKUP($B161,Miljö!$B$1:$AG$479,MATCH(E$1,Miljö!$B$1:$AK$1,0),FALSE)</f>
        <v>Nej</v>
      </c>
      <c r="F161" s="121" t="str">
        <f>VLOOKUP($B161,Miljö!$B$1:$J$479,MATCH("Typ av ursprungsspecificerad el   (Om inget värde anges används Nordisk residualmix, se inforuta) ()",Miljö!$B$1:$J$1,0),FALSE)</f>
        <v>-</v>
      </c>
      <c r="G161" s="121">
        <f>VLOOKUP($B161,Miljö!$B$1:$J$479,MATCH("Primärenergifaktor ()",Miljö!$B$1:$J$1,0),FALSE)</f>
        <v>2.2999999999999998</v>
      </c>
      <c r="H161" s="121">
        <f>VLOOKUP($B161,Miljö!$B$1:$J$479,MATCH("Koldioxidekvivalenter energiomvandling (g/kwh)",Miljö!$B$1:$J$1,0),FALSE)</f>
        <v>329.19</v>
      </c>
      <c r="I161" s="121">
        <f>VLOOKUP($B161,Miljö!$B$1:$J$479,MATCH("Fossilandel för ursprungspecificerad el ()",Miljö!$B$1:$J$1,0),FALSE)</f>
        <v>0.43</v>
      </c>
      <c r="J161" s="121">
        <f>VLOOKUP($B161,Miljö!$B$1:$J$479,MATCH("Kärnkraftsandel för ursprungsspecificerad el ()",Miljö!$B$1:$J$1,0),FALSE)</f>
        <v>0.40550000000000003</v>
      </c>
      <c r="L161" s="121">
        <f>VLOOKUP($B161,Totalt!$B$1:$BU$497,MATCH("total el",Totalt!$B$1:$BU$1,0),FALSE)</f>
        <v>1.3312200000000001</v>
      </c>
      <c r="N161" s="271">
        <f t="shared" si="8"/>
        <v>3.0618059999999998</v>
      </c>
      <c r="O161" s="271">
        <f t="shared" si="9"/>
        <v>438.22431180000001</v>
      </c>
      <c r="P161" s="271">
        <f t="shared" si="10"/>
        <v>0.57242460000000006</v>
      </c>
      <c r="Q161" s="271">
        <f t="shared" si="11"/>
        <v>0.53980971000000011</v>
      </c>
    </row>
    <row r="162" spans="1:17" x14ac:dyDescent="0.25">
      <c r="A162" s="137" t="s">
        <v>421</v>
      </c>
      <c r="B162" s="137" t="s">
        <v>422</v>
      </c>
      <c r="C162" s="121" t="str">
        <f>VLOOKUP($B162,Totalt!$B$1:$BU$497,MATCH("Kvalitetsgranskad:",Totalt!$B$1:$BU$1,0),FALSE)</f>
        <v>Ja</v>
      </c>
      <c r="E162" s="121" t="str">
        <f>VLOOKUP($B162,Miljö!$B$1:$AG$479,MATCH(E$1,Miljö!$B$1:$AK$1,0),FALSE)</f>
        <v>Ja</v>
      </c>
      <c r="F162" s="121" t="str">
        <f>VLOOKUP($B162,Miljö!$B$1:$J$479,MATCH("Typ av ursprungsspecificerad el   (Om inget värde anges används Nordisk residualmix, se inforuta) ()",Miljö!$B$1:$J$1,0),FALSE)</f>
        <v>'Vattenkraft'</v>
      </c>
      <c r="G162" s="121">
        <f>VLOOKUP($B162,Miljö!$B$1:$J$479,MATCH("Primärenergifaktor ()",Miljö!$B$1:$J$1,0),FALSE)</f>
        <v>1.1000000000000001</v>
      </c>
      <c r="H162" s="121">
        <f>VLOOKUP($B162,Miljö!$B$1:$J$479,MATCH("Koldioxidekvivalenter energiomvandling (g/kwh)",Miljö!$B$1:$J$1,0),FALSE)</f>
        <v>0</v>
      </c>
      <c r="I162" s="121">
        <f>VLOOKUP($B162,Miljö!$B$1:$J$479,MATCH("Fossilandel för ursprungspecificerad el ()",Miljö!$B$1:$J$1,0),FALSE)</f>
        <v>0</v>
      </c>
      <c r="J162" s="121">
        <f>VLOOKUP($B162,Miljö!$B$1:$J$479,MATCH("Kärnkraftsandel för ursprungsspecificerad el ()",Miljö!$B$1:$J$1,0),FALSE)</f>
        <v>0</v>
      </c>
      <c r="L162" s="121">
        <f>VLOOKUP($B162,Totalt!$B$1:$BU$497,MATCH("total el",Totalt!$B$1:$BU$1,0),FALSE)</f>
        <v>27.625</v>
      </c>
      <c r="N162" s="271">
        <f t="shared" si="8"/>
        <v>30.387500000000003</v>
      </c>
      <c r="O162" s="271">
        <f t="shared" si="9"/>
        <v>0</v>
      </c>
      <c r="P162" s="271">
        <f t="shared" si="10"/>
        <v>0</v>
      </c>
      <c r="Q162" s="271">
        <f t="shared" si="11"/>
        <v>0</v>
      </c>
    </row>
    <row r="163" spans="1:17" x14ac:dyDescent="0.25">
      <c r="A163" s="137" t="s">
        <v>421</v>
      </c>
      <c r="B163" s="137" t="s">
        <v>423</v>
      </c>
      <c r="C163" s="121" t="str">
        <f>VLOOKUP($B163,Totalt!$B$1:$BU$497,MATCH("Kvalitetsgranskad:",Totalt!$B$1:$BU$1,0),FALSE)</f>
        <v>Ja</v>
      </c>
      <c r="E163" s="121" t="str">
        <f>VLOOKUP($B163,Miljö!$B$1:$AG$479,MATCH(E$1,Miljö!$B$1:$AK$1,0),FALSE)</f>
        <v>Ja</v>
      </c>
      <c r="F163" s="121" t="str">
        <f>VLOOKUP($B163,Miljö!$B$1:$J$479,MATCH("Typ av ursprungsspecificerad el   (Om inget värde anges används Nordisk residualmix, se inforuta) ()",Miljö!$B$1:$J$1,0),FALSE)</f>
        <v>'Vattenkraft'</v>
      </c>
      <c r="G163" s="121">
        <f>VLOOKUP($B163,Miljö!$B$1:$J$479,MATCH("Primärenergifaktor ()",Miljö!$B$1:$J$1,0),FALSE)</f>
        <v>1.1000000000000001</v>
      </c>
      <c r="H163" s="121">
        <f>VLOOKUP($B163,Miljö!$B$1:$J$479,MATCH("Koldioxidekvivalenter energiomvandling (g/kwh)",Miljö!$B$1:$J$1,0),FALSE)</f>
        <v>0</v>
      </c>
      <c r="I163" s="121">
        <f>VLOOKUP($B163,Miljö!$B$1:$J$479,MATCH("Fossilandel för ursprungspecificerad el ()",Miljö!$B$1:$J$1,0),FALSE)</f>
        <v>0</v>
      </c>
      <c r="J163" s="121">
        <f>VLOOKUP($B163,Miljö!$B$1:$J$479,MATCH("Kärnkraftsandel för ursprungsspecificerad el ()",Miljö!$B$1:$J$1,0),FALSE)</f>
        <v>0</v>
      </c>
      <c r="L163" s="121">
        <f>VLOOKUP($B163,Totalt!$B$1:$BU$497,MATCH("total el",Totalt!$B$1:$BU$1,0),FALSE)</f>
        <v>6.6128999999999998</v>
      </c>
      <c r="N163" s="271">
        <f t="shared" si="8"/>
        <v>7.2741899999999999</v>
      </c>
      <c r="O163" s="271">
        <f t="shared" si="9"/>
        <v>0</v>
      </c>
      <c r="P163" s="271">
        <f t="shared" si="10"/>
        <v>0</v>
      </c>
      <c r="Q163" s="271">
        <f t="shared" si="11"/>
        <v>0</v>
      </c>
    </row>
    <row r="164" spans="1:17" x14ac:dyDescent="0.25">
      <c r="A164" s="137" t="s">
        <v>424</v>
      </c>
      <c r="B164" s="137" t="s">
        <v>425</v>
      </c>
      <c r="C164" s="121" t="str">
        <f>VLOOKUP($B164,Totalt!$B$1:$BU$497,MATCH("Kvalitetsgranskad:",Totalt!$B$1:$BU$1,0),FALSE)</f>
        <v>Ja</v>
      </c>
      <c r="E164" s="121" t="str">
        <f>VLOOKUP($B164,Miljö!$B$1:$AG$479,MATCH(E$1,Miljö!$B$1:$AK$1,0),FALSE)</f>
        <v>Ja</v>
      </c>
      <c r="F164" s="121" t="str">
        <f>VLOOKUP($B164,Miljö!$B$1:$J$479,MATCH("Typ av ursprungsspecificerad el   (Om inget värde anges används Nordisk residualmix, se inforuta) ()",Miljö!$B$1:$J$1,0),FALSE)</f>
        <v>-</v>
      </c>
      <c r="G164" s="121">
        <f>VLOOKUP($B164,Miljö!$B$1:$J$479,MATCH("Primärenergifaktor ()",Miljö!$B$1:$J$1,0),FALSE)</f>
        <v>2.23</v>
      </c>
      <c r="H164" s="121">
        <f>VLOOKUP($B164,Miljö!$B$1:$J$479,MATCH("Koldioxidekvivalenter energiomvandling (g/kwh)",Miljö!$B$1:$J$1,0),FALSE)</f>
        <v>329.19</v>
      </c>
      <c r="I164" s="121">
        <f>VLOOKUP($B164,Miljö!$B$1:$J$479,MATCH("Fossilandel för ursprungspecificerad el ()",Miljö!$B$1:$J$1,0),FALSE)</f>
        <v>0.43</v>
      </c>
      <c r="J164" s="121">
        <f>VLOOKUP($B164,Miljö!$B$1:$J$479,MATCH("Kärnkraftsandel för ursprungsspecificerad el ()",Miljö!$B$1:$J$1,0),FALSE)</f>
        <v>0.40550000000000003</v>
      </c>
      <c r="L164" s="121">
        <f>VLOOKUP($B164,Totalt!$B$1:$BU$497,MATCH("total el",Totalt!$B$1:$BU$1,0),FALSE)</f>
        <v>0.36969000000000002</v>
      </c>
      <c r="N164" s="271">
        <f t="shared" si="8"/>
        <v>0.82440869999999999</v>
      </c>
      <c r="O164" s="271">
        <f t="shared" si="9"/>
        <v>121.69825110000001</v>
      </c>
      <c r="P164" s="271">
        <f t="shared" si="10"/>
        <v>0.15896670000000002</v>
      </c>
      <c r="Q164" s="271">
        <f t="shared" si="11"/>
        <v>0.14990929500000003</v>
      </c>
    </row>
    <row r="165" spans="1:17" x14ac:dyDescent="0.25">
      <c r="A165" s="137" t="s">
        <v>426</v>
      </c>
      <c r="B165" s="137" t="s">
        <v>427</v>
      </c>
      <c r="C165" s="121" t="str">
        <f>VLOOKUP($B165,Totalt!$B$1:$BU$497,MATCH("Kvalitetsgranskad:",Totalt!$B$1:$BU$1,0),FALSE)</f>
        <v>Ja</v>
      </c>
      <c r="E165" s="121" t="str">
        <f>VLOOKUP($B165,Miljö!$B$1:$AG$479,MATCH(E$1,Miljö!$B$1:$AK$1,0),FALSE)</f>
        <v>Ja</v>
      </c>
      <c r="F165" s="121" t="str">
        <f>VLOOKUP($B165,Miljö!$B$1:$J$479,MATCH("Typ av ursprungsspecificerad el   (Om inget värde anges används Nordisk residualmix, se inforuta) ()",Miljö!$B$1:$J$1,0),FALSE)</f>
        <v>'Vattenkraft'</v>
      </c>
      <c r="G165" s="121">
        <f>VLOOKUP($B165,Miljö!$B$1:$J$479,MATCH("Primärenergifaktor ()",Miljö!$B$1:$J$1,0),FALSE)</f>
        <v>1.1000000000000001</v>
      </c>
      <c r="H165" s="121">
        <f>VLOOKUP($B165,Miljö!$B$1:$J$479,MATCH("Koldioxidekvivalenter energiomvandling (g/kwh)",Miljö!$B$1:$J$1,0),FALSE)</f>
        <v>0</v>
      </c>
      <c r="I165" s="121">
        <f>VLOOKUP($B165,Miljö!$B$1:$J$479,MATCH("Fossilandel för ursprungspecificerad el ()",Miljö!$B$1:$J$1,0),FALSE)</f>
        <v>0</v>
      </c>
      <c r="J165" s="121">
        <f>VLOOKUP($B165,Miljö!$B$1:$J$479,MATCH("Kärnkraftsandel för ursprungsspecificerad el ()",Miljö!$B$1:$J$1,0),FALSE)</f>
        <v>0</v>
      </c>
      <c r="L165" s="121">
        <f>VLOOKUP($B165,Totalt!$B$1:$BU$497,MATCH("total el",Totalt!$B$1:$BU$1,0),FALSE)</f>
        <v>8.6999999999999994E-2</v>
      </c>
      <c r="N165" s="271">
        <f t="shared" si="8"/>
        <v>9.5700000000000007E-2</v>
      </c>
      <c r="O165" s="271">
        <f t="shared" si="9"/>
        <v>0</v>
      </c>
      <c r="P165" s="271">
        <f t="shared" si="10"/>
        <v>0</v>
      </c>
      <c r="Q165" s="271">
        <f t="shared" si="11"/>
        <v>0</v>
      </c>
    </row>
    <row r="166" spans="1:17" x14ac:dyDescent="0.25">
      <c r="A166" s="137" t="s">
        <v>426</v>
      </c>
      <c r="B166" s="137" t="s">
        <v>428</v>
      </c>
      <c r="C166" s="121" t="str">
        <f>VLOOKUP($B166,Totalt!$B$1:$BU$497,MATCH("Kvalitetsgranskad:",Totalt!$B$1:$BU$1,0),FALSE)</f>
        <v>Ja</v>
      </c>
      <c r="E166" s="121" t="str">
        <f>VLOOKUP($B166,Miljö!$B$1:$AG$479,MATCH(E$1,Miljö!$B$1:$AK$1,0),FALSE)</f>
        <v>Ja</v>
      </c>
      <c r="F166" s="121" t="str">
        <f>VLOOKUP($B166,Miljö!$B$1:$J$479,MATCH("Typ av ursprungsspecificerad el   (Om inget värde anges används Nordisk residualmix, se inforuta) ()",Miljö!$B$1:$J$1,0),FALSE)</f>
        <v>'Vattenkraft'</v>
      </c>
      <c r="G166" s="121">
        <f>VLOOKUP($B166,Miljö!$B$1:$J$479,MATCH("Primärenergifaktor ()",Miljö!$B$1:$J$1,0),FALSE)</f>
        <v>1.1000000000000001</v>
      </c>
      <c r="H166" s="121">
        <f>VLOOKUP($B166,Miljö!$B$1:$J$479,MATCH("Koldioxidekvivalenter energiomvandling (g/kwh)",Miljö!$B$1:$J$1,0),FALSE)</f>
        <v>0</v>
      </c>
      <c r="I166" s="121">
        <f>VLOOKUP($B166,Miljö!$B$1:$J$479,MATCH("Fossilandel för ursprungspecificerad el ()",Miljö!$B$1:$J$1,0),FALSE)</f>
        <v>0</v>
      </c>
      <c r="J166" s="121">
        <f>VLOOKUP($B166,Miljö!$B$1:$J$479,MATCH("Kärnkraftsandel för ursprungsspecificerad el ()",Miljö!$B$1:$J$1,0),FALSE)</f>
        <v>0</v>
      </c>
      <c r="L166" s="121">
        <f>VLOOKUP($B166,Totalt!$B$1:$BU$497,MATCH("total el",Totalt!$B$1:$BU$1,0),FALSE)</f>
        <v>0.98411799999999994</v>
      </c>
      <c r="N166" s="271">
        <f t="shared" si="8"/>
        <v>1.0825298000000001</v>
      </c>
      <c r="O166" s="271">
        <f t="shared" si="9"/>
        <v>0</v>
      </c>
      <c r="P166" s="271">
        <f t="shared" si="10"/>
        <v>0</v>
      </c>
      <c r="Q166" s="271">
        <f t="shared" si="11"/>
        <v>0</v>
      </c>
    </row>
    <row r="167" spans="1:17" x14ac:dyDescent="0.25">
      <c r="A167" s="137" t="s">
        <v>426</v>
      </c>
      <c r="B167" s="137" t="s">
        <v>429</v>
      </c>
      <c r="C167" s="121" t="str">
        <f>VLOOKUP($B167,Totalt!$B$1:$BU$497,MATCH("Kvalitetsgranskad:",Totalt!$B$1:$BU$1,0),FALSE)</f>
        <v>Ja</v>
      </c>
      <c r="E167" s="121" t="str">
        <f>VLOOKUP($B167,Miljö!$B$1:$AG$479,MATCH(E$1,Miljö!$B$1:$AK$1,0),FALSE)</f>
        <v>Ja</v>
      </c>
      <c r="F167" s="121" t="str">
        <f>VLOOKUP($B167,Miljö!$B$1:$J$479,MATCH("Typ av ursprungsspecificerad el   (Om inget värde anges används Nordisk residualmix, se inforuta) ()",Miljö!$B$1:$J$1,0),FALSE)</f>
        <v>'Vattenkraft'</v>
      </c>
      <c r="G167" s="121">
        <f>VLOOKUP($B167,Miljö!$B$1:$J$479,MATCH("Primärenergifaktor ()",Miljö!$B$1:$J$1,0),FALSE)</f>
        <v>1.1000000000000001</v>
      </c>
      <c r="H167" s="121">
        <f>VLOOKUP($B167,Miljö!$B$1:$J$479,MATCH("Koldioxidekvivalenter energiomvandling (g/kwh)",Miljö!$B$1:$J$1,0),FALSE)</f>
        <v>0</v>
      </c>
      <c r="I167" s="121">
        <f>VLOOKUP($B167,Miljö!$B$1:$J$479,MATCH("Fossilandel för ursprungspecificerad el ()",Miljö!$B$1:$J$1,0),FALSE)</f>
        <v>0</v>
      </c>
      <c r="J167" s="121">
        <f>VLOOKUP($B167,Miljö!$B$1:$J$479,MATCH("Kärnkraftsandel för ursprungsspecificerad el ()",Miljö!$B$1:$J$1,0),FALSE)</f>
        <v>0</v>
      </c>
      <c r="L167" s="121">
        <f>VLOOKUP($B167,Totalt!$B$1:$BU$497,MATCH("total el",Totalt!$B$1:$BU$1,0),FALSE)</f>
        <v>5.359</v>
      </c>
      <c r="N167" s="271">
        <f t="shared" si="8"/>
        <v>5.8949000000000007</v>
      </c>
      <c r="O167" s="271">
        <f t="shared" si="9"/>
        <v>0</v>
      </c>
      <c r="P167" s="271">
        <f t="shared" si="10"/>
        <v>0</v>
      </c>
      <c r="Q167" s="271">
        <f t="shared" si="11"/>
        <v>0</v>
      </c>
    </row>
    <row r="168" spans="1:17" x14ac:dyDescent="0.25">
      <c r="A168" s="137" t="s">
        <v>426</v>
      </c>
      <c r="B168" s="137" t="s">
        <v>430</v>
      </c>
      <c r="C168" s="121" t="str">
        <f>VLOOKUP($B168,Totalt!$B$1:$BU$497,MATCH("Kvalitetsgranskad:",Totalt!$B$1:$BU$1,0),FALSE)</f>
        <v>Nej</v>
      </c>
      <c r="E168" s="121" t="str">
        <f>VLOOKUP($B168,Miljö!$B$1:$AG$479,MATCH(E$1,Miljö!$B$1:$AK$1,0),FALSE)</f>
        <v>Ja</v>
      </c>
      <c r="F168" s="121" t="str">
        <f>VLOOKUP($B168,Miljö!$B$1:$J$479,MATCH("Typ av ursprungsspecificerad el   (Om inget värde anges används Nordisk residualmix, se inforuta) ()",Miljö!$B$1:$J$1,0),FALSE)</f>
        <v>'Vattenkraft'</v>
      </c>
      <c r="G168" s="121">
        <f>VLOOKUP($B168,Miljö!$B$1:$J$479,MATCH("Primärenergifaktor ()",Miljö!$B$1:$J$1,0),FALSE)</f>
        <v>1.1000000000000001</v>
      </c>
      <c r="H168" s="121">
        <f>VLOOKUP($B168,Miljö!$B$1:$J$479,MATCH("Koldioxidekvivalenter energiomvandling (g/kwh)",Miljö!$B$1:$J$1,0),FALSE)</f>
        <v>0</v>
      </c>
      <c r="I168" s="121">
        <f>VLOOKUP($B168,Miljö!$B$1:$J$479,MATCH("Fossilandel för ursprungspecificerad el ()",Miljö!$B$1:$J$1,0),FALSE)</f>
        <v>0</v>
      </c>
      <c r="J168" s="121">
        <f>VLOOKUP($B168,Miljö!$B$1:$J$479,MATCH("Kärnkraftsandel för ursprungsspecificerad el ()",Miljö!$B$1:$J$1,0),FALSE)</f>
        <v>0</v>
      </c>
      <c r="L168" s="121">
        <f>VLOOKUP($B168,Totalt!$B$1:$BU$497,MATCH("total el",Totalt!$B$1:$BU$1,0),FALSE)</f>
        <v>0</v>
      </c>
      <c r="N168" s="271">
        <f t="shared" si="8"/>
        <v>0</v>
      </c>
      <c r="O168" s="271">
        <f t="shared" si="9"/>
        <v>0</v>
      </c>
      <c r="P168" s="271">
        <f t="shared" si="10"/>
        <v>0</v>
      </c>
      <c r="Q168" s="271">
        <f t="shared" si="11"/>
        <v>0</v>
      </c>
    </row>
    <row r="169" spans="1:17" x14ac:dyDescent="0.25">
      <c r="A169" s="137" t="s">
        <v>426</v>
      </c>
      <c r="B169" s="137" t="s">
        <v>431</v>
      </c>
      <c r="C169" s="121" t="str">
        <f>VLOOKUP($B169,Totalt!$B$1:$BU$497,MATCH("Kvalitetsgranskad:",Totalt!$B$1:$BU$1,0),FALSE)</f>
        <v>Ja</v>
      </c>
      <c r="E169" s="121" t="str">
        <f>VLOOKUP($B169,Miljö!$B$1:$AG$479,MATCH(E$1,Miljö!$B$1:$AK$1,0),FALSE)</f>
        <v>Ja</v>
      </c>
      <c r="F169" s="121" t="str">
        <f>VLOOKUP($B169,Miljö!$B$1:$J$479,MATCH("Typ av ursprungsspecificerad el   (Om inget värde anges används Nordisk residualmix, se inforuta) ()",Miljö!$B$1:$J$1,0),FALSE)</f>
        <v>'Vattenkraft'</v>
      </c>
      <c r="G169" s="121">
        <f>VLOOKUP($B169,Miljö!$B$1:$J$479,MATCH("Primärenergifaktor ()",Miljö!$B$1:$J$1,0),FALSE)</f>
        <v>1.1000000000000001</v>
      </c>
      <c r="H169" s="121">
        <f>VLOOKUP($B169,Miljö!$B$1:$J$479,MATCH("Koldioxidekvivalenter energiomvandling (g/kwh)",Miljö!$B$1:$J$1,0),FALSE)</f>
        <v>0</v>
      </c>
      <c r="I169" s="121">
        <f>VLOOKUP($B169,Miljö!$B$1:$J$479,MATCH("Fossilandel för ursprungspecificerad el ()",Miljö!$B$1:$J$1,0),FALSE)</f>
        <v>0</v>
      </c>
      <c r="J169" s="121">
        <f>VLOOKUP($B169,Miljö!$B$1:$J$479,MATCH("Kärnkraftsandel för ursprungsspecificerad el ()",Miljö!$B$1:$J$1,0),FALSE)</f>
        <v>0</v>
      </c>
      <c r="L169" s="121">
        <f>VLOOKUP($B169,Totalt!$B$1:$BU$497,MATCH("total el",Totalt!$B$1:$BU$1,0),FALSE)</f>
        <v>2.7E-2</v>
      </c>
      <c r="N169" s="271">
        <f t="shared" si="8"/>
        <v>2.9700000000000001E-2</v>
      </c>
      <c r="O169" s="271">
        <f t="shared" si="9"/>
        <v>0</v>
      </c>
      <c r="P169" s="271">
        <f t="shared" si="10"/>
        <v>0</v>
      </c>
      <c r="Q169" s="271">
        <f t="shared" si="11"/>
        <v>0</v>
      </c>
    </row>
    <row r="170" spans="1:17" x14ac:dyDescent="0.25">
      <c r="A170" s="137" t="s">
        <v>432</v>
      </c>
      <c r="B170" s="137" t="s">
        <v>433</v>
      </c>
      <c r="C170" s="121" t="str">
        <f>VLOOKUP($B170,Totalt!$B$1:$BU$497,MATCH("Kvalitetsgranskad:",Totalt!$B$1:$BU$1,0),FALSE)</f>
        <v>Ja</v>
      </c>
      <c r="E170" s="121" t="str">
        <f>VLOOKUP($B170,Miljö!$B$1:$AG$479,MATCH(E$1,Miljö!$B$1:$AK$1,0),FALSE)</f>
        <v>Ja</v>
      </c>
      <c r="F170" s="121" t="str">
        <f>VLOOKUP($B170,Miljö!$B$1:$J$479,MATCH("Typ av ursprungsspecificerad el   (Om inget värde anges används Nordisk residualmix, se inforuta) ()",Miljö!$B$1:$J$1,0),FALSE)</f>
        <v>''Bixias  mix '</v>
      </c>
      <c r="G170" s="121">
        <f>VLOOKUP($B170,Miljö!$B$1:$J$479,MATCH("Primärenergifaktor ()",Miljö!$B$1:$J$1,0),FALSE)</f>
        <v>1.5</v>
      </c>
      <c r="H170" s="121">
        <f>VLOOKUP($B170,Miljö!$B$1:$J$479,MATCH("Koldioxidekvivalenter energiomvandling (g/kwh)",Miljö!$B$1:$J$1,0),FALSE)</f>
        <v>113.53</v>
      </c>
      <c r="I170" s="121">
        <f>VLOOKUP($B170,Miljö!$B$1:$J$479,MATCH("Fossilandel för ursprungspecificerad el ()",Miljö!$B$1:$J$1,0),FALSE)</f>
        <v>0.14799999999999999</v>
      </c>
      <c r="J170" s="121">
        <f>VLOOKUP($B170,Miljö!$B$1:$J$479,MATCH("Kärnkraftsandel för ursprungsspecificerad el ()",Miljö!$B$1:$J$1,0),FALSE)</f>
        <v>0.13900000000000001</v>
      </c>
      <c r="L170" s="121">
        <f>VLOOKUP($B170,Totalt!$B$1:$BU$497,MATCH("total el",Totalt!$B$1:$BU$1,0),FALSE)</f>
        <v>4.2869999999999999</v>
      </c>
      <c r="N170" s="271">
        <f t="shared" si="8"/>
        <v>6.4305000000000003</v>
      </c>
      <c r="O170" s="271">
        <f t="shared" si="9"/>
        <v>486.70310999999998</v>
      </c>
      <c r="P170" s="271">
        <f t="shared" si="10"/>
        <v>0.63447599999999993</v>
      </c>
      <c r="Q170" s="271">
        <f t="shared" si="11"/>
        <v>0.59589300000000001</v>
      </c>
    </row>
    <row r="171" spans="1:17" x14ac:dyDescent="0.25">
      <c r="A171" s="137" t="s">
        <v>434</v>
      </c>
      <c r="B171" s="137" t="s">
        <v>435</v>
      </c>
      <c r="C171" s="121" t="str">
        <f>VLOOKUP($B171,Totalt!$B$1:$BU$497,MATCH("Kvalitetsgranskad:",Totalt!$B$1:$BU$1,0),FALSE)</f>
        <v>Ja</v>
      </c>
      <c r="E171" s="121" t="str">
        <f>VLOOKUP($B171,Miljö!$B$1:$AG$479,MATCH(E$1,Miljö!$B$1:$AK$1,0),FALSE)</f>
        <v>Ja</v>
      </c>
      <c r="F171" s="121" t="str">
        <f>VLOOKUP($B171,Miljö!$B$1:$J$479,MATCH("Typ av ursprungsspecificerad el   (Om inget värde anges används Nordisk residualmix, se inforuta) ()",Miljö!$B$1:$J$1,0),FALSE)</f>
        <v>'Vattenkraft el'</v>
      </c>
      <c r="G171" s="121">
        <f>VLOOKUP($B171,Miljö!$B$1:$J$479,MATCH("Primärenergifaktor ()",Miljö!$B$1:$J$1,0),FALSE)</f>
        <v>1.1000000000000001</v>
      </c>
      <c r="H171" s="121">
        <f>VLOOKUP($B171,Miljö!$B$1:$J$479,MATCH("Koldioxidekvivalenter energiomvandling (g/kwh)",Miljö!$B$1:$J$1,0),FALSE)</f>
        <v>0</v>
      </c>
      <c r="I171" s="121">
        <f>VLOOKUP($B171,Miljö!$B$1:$J$479,MATCH("Fossilandel för ursprungspecificerad el ()",Miljö!$B$1:$J$1,0),FALSE)</f>
        <v>0</v>
      </c>
      <c r="J171" s="121">
        <f>VLOOKUP($B171,Miljö!$B$1:$J$479,MATCH("Kärnkraftsandel för ursprungsspecificerad el ()",Miljö!$B$1:$J$1,0),FALSE)</f>
        <v>0</v>
      </c>
      <c r="L171" s="121">
        <f>VLOOKUP($B171,Totalt!$B$1:$BU$497,MATCH("total el",Totalt!$B$1:$BU$1,0),FALSE)</f>
        <v>0.16400000000000001</v>
      </c>
      <c r="N171" s="271">
        <f t="shared" si="8"/>
        <v>0.18040000000000003</v>
      </c>
      <c r="O171" s="271">
        <f t="shared" si="9"/>
        <v>0</v>
      </c>
      <c r="P171" s="271">
        <f t="shared" si="10"/>
        <v>0</v>
      </c>
      <c r="Q171" s="271">
        <f t="shared" si="11"/>
        <v>0</v>
      </c>
    </row>
    <row r="172" spans="1:17" x14ac:dyDescent="0.25">
      <c r="A172" s="137" t="s">
        <v>434</v>
      </c>
      <c r="B172" s="137" t="s">
        <v>436</v>
      </c>
      <c r="C172" s="121" t="str">
        <f>VLOOKUP($B172,Totalt!$B$1:$BU$497,MATCH("Kvalitetsgranskad:",Totalt!$B$1:$BU$1,0),FALSE)</f>
        <v>Ja</v>
      </c>
      <c r="E172" s="121" t="str">
        <f>VLOOKUP($B172,Miljö!$B$1:$AG$479,MATCH(E$1,Miljö!$B$1:$AK$1,0),FALSE)</f>
        <v>Ja</v>
      </c>
      <c r="F172" s="121" t="str">
        <f>VLOOKUP($B172,Miljö!$B$1:$J$479,MATCH("Typ av ursprungsspecificerad el   (Om inget värde anges används Nordisk residualmix, se inforuta) ()",Miljö!$B$1:$J$1,0),FALSE)</f>
        <v>'Vattenkraft'</v>
      </c>
      <c r="G172" s="121">
        <f>VLOOKUP($B172,Miljö!$B$1:$J$479,MATCH("Primärenergifaktor ()",Miljö!$B$1:$J$1,0),FALSE)</f>
        <v>1.1000000000000001</v>
      </c>
      <c r="H172" s="121">
        <f>VLOOKUP($B172,Miljö!$B$1:$J$479,MATCH("Koldioxidekvivalenter energiomvandling (g/kwh)",Miljö!$B$1:$J$1,0),FALSE)</f>
        <v>0</v>
      </c>
      <c r="I172" s="121">
        <f>VLOOKUP($B172,Miljö!$B$1:$J$479,MATCH("Fossilandel för ursprungspecificerad el ()",Miljö!$B$1:$J$1,0),FALSE)</f>
        <v>0</v>
      </c>
      <c r="J172" s="121">
        <f>VLOOKUP($B172,Miljö!$B$1:$J$479,MATCH("Kärnkraftsandel för ursprungsspecificerad el ()",Miljö!$B$1:$J$1,0),FALSE)</f>
        <v>0</v>
      </c>
      <c r="L172" s="121">
        <f>VLOOKUP($B172,Totalt!$B$1:$BU$497,MATCH("total el",Totalt!$B$1:$BU$1,0),FALSE)</f>
        <v>0.39</v>
      </c>
      <c r="N172" s="271">
        <f t="shared" si="8"/>
        <v>0.42900000000000005</v>
      </c>
      <c r="O172" s="271">
        <f t="shared" si="9"/>
        <v>0</v>
      </c>
      <c r="P172" s="271">
        <f t="shared" si="10"/>
        <v>0</v>
      </c>
      <c r="Q172" s="271">
        <f t="shared" si="11"/>
        <v>0</v>
      </c>
    </row>
    <row r="173" spans="1:17" x14ac:dyDescent="0.25">
      <c r="A173" s="137" t="s">
        <v>434</v>
      </c>
      <c r="B173" s="137" t="s">
        <v>437</v>
      </c>
      <c r="C173" s="121" t="str">
        <f>VLOOKUP($B173,Totalt!$B$1:$BU$497,MATCH("Kvalitetsgranskad:",Totalt!$B$1:$BU$1,0),FALSE)</f>
        <v>Ja</v>
      </c>
      <c r="E173" s="121" t="str">
        <f>VLOOKUP($B173,Miljö!$B$1:$AG$479,MATCH(E$1,Miljö!$B$1:$AK$1,0),FALSE)</f>
        <v>Ja</v>
      </c>
      <c r="F173" s="121" t="str">
        <f>VLOOKUP($B173,Miljö!$B$1:$J$479,MATCH("Typ av ursprungsspecificerad el   (Om inget värde anges används Nordisk residualmix, se inforuta) ()",Miljö!$B$1:$J$1,0),FALSE)</f>
        <v>'Vattekraft'</v>
      </c>
      <c r="G173" s="121">
        <f>VLOOKUP($B173,Miljö!$B$1:$J$479,MATCH("Primärenergifaktor ()",Miljö!$B$1:$J$1,0),FALSE)</f>
        <v>1.1000000000000001</v>
      </c>
      <c r="H173" s="121">
        <f>VLOOKUP($B173,Miljö!$B$1:$J$479,MATCH("Koldioxidekvivalenter energiomvandling (g/kwh)",Miljö!$B$1:$J$1,0),FALSE)</f>
        <v>0</v>
      </c>
      <c r="I173" s="121">
        <f>VLOOKUP($B173,Miljö!$B$1:$J$479,MATCH("Fossilandel för ursprungspecificerad el ()",Miljö!$B$1:$J$1,0),FALSE)</f>
        <v>0</v>
      </c>
      <c r="J173" s="121">
        <f>VLOOKUP($B173,Miljö!$B$1:$J$479,MATCH("Kärnkraftsandel för ursprungsspecificerad el ()",Miljö!$B$1:$J$1,0),FALSE)</f>
        <v>0</v>
      </c>
      <c r="L173" s="121">
        <f>VLOOKUP($B173,Totalt!$B$1:$BU$497,MATCH("total el",Totalt!$B$1:$BU$1,0),FALSE)</f>
        <v>2.38</v>
      </c>
      <c r="N173" s="271">
        <f t="shared" si="8"/>
        <v>2.6179999999999999</v>
      </c>
      <c r="O173" s="271">
        <f t="shared" si="9"/>
        <v>0</v>
      </c>
      <c r="P173" s="271">
        <f t="shared" si="10"/>
        <v>0</v>
      </c>
      <c r="Q173" s="271">
        <f t="shared" si="11"/>
        <v>0</v>
      </c>
    </row>
    <row r="174" spans="1:17" x14ac:dyDescent="0.25">
      <c r="A174" s="137" t="s">
        <v>438</v>
      </c>
      <c r="B174" s="137" t="s">
        <v>439</v>
      </c>
      <c r="C174" s="121" t="str">
        <f>VLOOKUP($B174,Totalt!$B$1:$BU$497,MATCH("Kvalitetsgranskad:",Totalt!$B$1:$BU$1,0),FALSE)</f>
        <v>Ja</v>
      </c>
      <c r="E174" s="121" t="str">
        <f>VLOOKUP($B174,Miljö!$B$1:$AG$479,MATCH(E$1,Miljö!$B$1:$AK$1,0),FALSE)</f>
        <v>Ja</v>
      </c>
      <c r="F174" s="121" t="str">
        <f>VLOOKUP($B174,Miljö!$B$1:$J$479,MATCH("Typ av ursprungsspecificerad el   (Om inget värde anges används Nordisk residualmix, se inforuta) ()",Miljö!$B$1:$J$1,0),FALSE)</f>
        <v>'VindEl+El från KVV'</v>
      </c>
      <c r="G174" s="121">
        <f>VLOOKUP($B174,Miljö!$B$1:$J$479,MATCH("Primärenergifaktor ()",Miljö!$B$1:$J$1,0),FALSE)</f>
        <v>4.2999999999999997E-2</v>
      </c>
      <c r="H174" s="121">
        <f>VLOOKUP($B174,Miljö!$B$1:$J$479,MATCH("Koldioxidekvivalenter energiomvandling (g/kwh)",Miljö!$B$1:$J$1,0),FALSE)</f>
        <v>12.76</v>
      </c>
      <c r="I174" s="121">
        <f>VLOOKUP($B174,Miljö!$B$1:$J$479,MATCH("Fossilandel för ursprungspecificerad el ()",Miljö!$B$1:$J$1,0),FALSE)</f>
        <v>2.1000000000000001E-2</v>
      </c>
      <c r="J174" s="121">
        <f>VLOOKUP($B174,Miljö!$B$1:$J$479,MATCH("Kärnkraftsandel för ursprungsspecificerad el ()",Miljö!$B$1:$J$1,0),FALSE)</f>
        <v>0</v>
      </c>
      <c r="L174" s="121">
        <f>VLOOKUP($B174,Totalt!$B$1:$BU$497,MATCH("total el",Totalt!$B$1:$BU$1,0),FALSE)</f>
        <v>33.700000000000003</v>
      </c>
      <c r="N174" s="271">
        <f t="shared" si="8"/>
        <v>1.4491000000000001</v>
      </c>
      <c r="O174" s="271">
        <f t="shared" si="9"/>
        <v>430.01200000000006</v>
      </c>
      <c r="P174" s="271">
        <f t="shared" si="10"/>
        <v>0.70770000000000011</v>
      </c>
      <c r="Q174" s="271">
        <f t="shared" si="11"/>
        <v>0</v>
      </c>
    </row>
    <row r="175" spans="1:17" x14ac:dyDescent="0.25">
      <c r="A175" s="137" t="s">
        <v>438</v>
      </c>
      <c r="B175" s="137" t="s">
        <v>440</v>
      </c>
      <c r="C175" s="121" t="str">
        <f>VLOOKUP($B175,Totalt!$B$1:$BU$497,MATCH("Kvalitetsgranskad:",Totalt!$B$1:$BU$1,0),FALSE)</f>
        <v>Ja</v>
      </c>
      <c r="E175" s="121" t="str">
        <f>VLOOKUP($B175,Miljö!$B$1:$AG$479,MATCH(E$1,Miljö!$B$1:$AK$1,0),FALSE)</f>
        <v>Ja</v>
      </c>
      <c r="F175" s="121" t="str">
        <f>VLOOKUP($B175,Miljö!$B$1:$J$479,MATCH("Typ av ursprungsspecificerad el   (Om inget värde anges används Nordisk residualmix, se inforuta) ()",Miljö!$B$1:$J$1,0),FALSE)</f>
        <v>'VindEl+El från KVV'</v>
      </c>
      <c r="G175" s="121">
        <f>VLOOKUP($B175,Miljö!$B$1:$J$479,MATCH("Primärenergifaktor ()",Miljö!$B$1:$J$1,0),FALSE)</f>
        <v>4.9000000000000002E-2</v>
      </c>
      <c r="H175" s="121">
        <f>VLOOKUP($B175,Miljö!$B$1:$J$479,MATCH("Koldioxidekvivalenter energiomvandling (g/kwh)",Miljö!$B$1:$J$1,0),FALSE)</f>
        <v>0</v>
      </c>
      <c r="I175" s="121">
        <f>VLOOKUP($B175,Miljö!$B$1:$J$479,MATCH("Fossilandel för ursprungspecificerad el ()",Miljö!$B$1:$J$1,0),FALSE)</f>
        <v>0</v>
      </c>
      <c r="J175" s="121">
        <f>VLOOKUP($B175,Miljö!$B$1:$J$479,MATCH("Kärnkraftsandel för ursprungsspecificerad el ()",Miljö!$B$1:$J$1,0),FALSE)</f>
        <v>0</v>
      </c>
      <c r="L175" s="121">
        <f>VLOOKUP($B175,Totalt!$B$1:$BU$497,MATCH("total el",Totalt!$B$1:$BU$1,0),FALSE)</f>
        <v>0.28000000000000003</v>
      </c>
      <c r="N175" s="271">
        <f t="shared" si="8"/>
        <v>1.3720000000000001E-2</v>
      </c>
      <c r="O175" s="271">
        <f t="shared" si="9"/>
        <v>0</v>
      </c>
      <c r="P175" s="271">
        <f t="shared" si="10"/>
        <v>0</v>
      </c>
      <c r="Q175" s="271">
        <f t="shared" si="11"/>
        <v>0</v>
      </c>
    </row>
    <row r="176" spans="1:17" x14ac:dyDescent="0.25">
      <c r="A176" s="137" t="s">
        <v>438</v>
      </c>
      <c r="B176" s="137" t="s">
        <v>441</v>
      </c>
      <c r="C176" s="121" t="str">
        <f>VLOOKUP($B176,Totalt!$B$1:$BU$497,MATCH("Kvalitetsgranskad:",Totalt!$B$1:$BU$1,0),FALSE)</f>
        <v>Ja</v>
      </c>
      <c r="E176" s="121" t="str">
        <f>VLOOKUP($B176,Miljö!$B$1:$AG$479,MATCH(E$1,Miljö!$B$1:$AK$1,0),FALSE)</f>
        <v>Ja</v>
      </c>
      <c r="F176" s="121" t="str">
        <f>VLOOKUP($B176,Miljö!$B$1:$J$479,MATCH("Typ av ursprungsspecificerad el   (Om inget värde anges används Nordisk residualmix, se inforuta) ()",Miljö!$B$1:$J$1,0),FALSE)</f>
        <v>'Vindel'</v>
      </c>
      <c r="G176" s="121">
        <f>VLOOKUP($B176,Miljö!$B$1:$J$479,MATCH("Primärenergifaktor ()",Miljö!$B$1:$J$1,0),FALSE)</f>
        <v>0.1</v>
      </c>
      <c r="H176" s="121">
        <f>VLOOKUP($B176,Miljö!$B$1:$J$479,MATCH("Koldioxidekvivalenter energiomvandling (g/kwh)",Miljö!$B$1:$J$1,0),FALSE)</f>
        <v>0</v>
      </c>
      <c r="I176" s="121">
        <f>VLOOKUP($B176,Miljö!$B$1:$J$479,MATCH("Fossilandel för ursprungspecificerad el ()",Miljö!$B$1:$J$1,0),FALSE)</f>
        <v>0</v>
      </c>
      <c r="J176" s="121">
        <f>VLOOKUP($B176,Miljö!$B$1:$J$479,MATCH("Kärnkraftsandel för ursprungsspecificerad el ()",Miljö!$B$1:$J$1,0),FALSE)</f>
        <v>0</v>
      </c>
      <c r="L176" s="121">
        <f>VLOOKUP($B176,Totalt!$B$1:$BU$497,MATCH("total el",Totalt!$B$1:$BU$1,0),FALSE)</f>
        <v>0.42</v>
      </c>
      <c r="N176" s="271">
        <f t="shared" si="8"/>
        <v>4.2000000000000003E-2</v>
      </c>
      <c r="O176" s="271">
        <f t="shared" si="9"/>
        <v>0</v>
      </c>
      <c r="P176" s="271">
        <f t="shared" si="10"/>
        <v>0</v>
      </c>
      <c r="Q176" s="271">
        <f t="shared" si="11"/>
        <v>0</v>
      </c>
    </row>
    <row r="177" spans="1:17" x14ac:dyDescent="0.25">
      <c r="A177" s="137" t="s">
        <v>442</v>
      </c>
      <c r="B177" s="137" t="s">
        <v>443</v>
      </c>
      <c r="C177" s="121" t="str">
        <f>VLOOKUP($B177,Totalt!$B$1:$BU$497,MATCH("Kvalitetsgranskad:",Totalt!$B$1:$BU$1,0),FALSE)</f>
        <v>Ja</v>
      </c>
      <c r="E177" s="121" t="str">
        <f>VLOOKUP($B177,Miljö!$B$1:$AG$479,MATCH(E$1,Miljö!$B$1:$AK$1,0),FALSE)</f>
        <v>Ja</v>
      </c>
      <c r="F177" s="121" t="str">
        <f>VLOOKUP($B177,Miljö!$B$1:$J$479,MATCH("Typ av ursprungsspecificerad el   (Om inget värde anges används Nordisk residualmix, se inforuta) ()",Miljö!$B$1:$J$1,0),FALSE)</f>
        <v>'84%vatten 16%vind'</v>
      </c>
      <c r="G177" s="121">
        <f>VLOOKUP($B177,Miljö!$B$1:$J$479,MATCH("Primärenergifaktor ()",Miljö!$B$1:$J$1,0),FALSE)</f>
        <v>0.94</v>
      </c>
      <c r="H177" s="121">
        <f>VLOOKUP($B177,Miljö!$B$1:$J$479,MATCH("Koldioxidekvivalenter energiomvandling (g/kwh)",Miljö!$B$1:$J$1,0),FALSE)</f>
        <v>0</v>
      </c>
      <c r="I177" s="121">
        <f>VLOOKUP($B177,Miljö!$B$1:$J$479,MATCH("Fossilandel för ursprungspecificerad el ()",Miljö!$B$1:$J$1,0),FALSE)</f>
        <v>0</v>
      </c>
      <c r="J177" s="121">
        <f>VLOOKUP($B177,Miljö!$B$1:$J$479,MATCH("Kärnkraftsandel för ursprungsspecificerad el ()",Miljö!$B$1:$J$1,0),FALSE)</f>
        <v>0</v>
      </c>
      <c r="L177" s="121">
        <f>VLOOKUP($B177,Totalt!$B$1:$BU$497,MATCH("total el",Totalt!$B$1:$BU$1,0),FALSE)</f>
        <v>0.5</v>
      </c>
      <c r="N177" s="271">
        <f t="shared" si="8"/>
        <v>0.47</v>
      </c>
      <c r="O177" s="271">
        <f t="shared" si="9"/>
        <v>0</v>
      </c>
      <c r="P177" s="271">
        <f t="shared" si="10"/>
        <v>0</v>
      </c>
      <c r="Q177" s="271">
        <f t="shared" si="11"/>
        <v>0</v>
      </c>
    </row>
    <row r="178" spans="1:17" x14ac:dyDescent="0.25">
      <c r="A178" s="137" t="s">
        <v>444</v>
      </c>
      <c r="B178" s="137" t="s">
        <v>445</v>
      </c>
      <c r="C178" s="121" t="str">
        <f>VLOOKUP($B178,Totalt!$B$1:$BU$497,MATCH("Kvalitetsgranskad:",Totalt!$B$1:$BU$1,0),FALSE)</f>
        <v>Ja</v>
      </c>
      <c r="E178" s="121" t="str">
        <f>VLOOKUP($B178,Miljö!$B$1:$AG$479,MATCH(E$1,Miljö!$B$1:$AK$1,0),FALSE)</f>
        <v>Ja</v>
      </c>
      <c r="F178" s="121" t="str">
        <f>VLOOKUP($B178,Miljö!$B$1:$J$479,MATCH("Typ av ursprungsspecificerad el   (Om inget värde anges används Nordisk residualmix, se inforuta) ()",Miljö!$B$1:$J$1,0),FALSE)</f>
        <v>'Bra Miljöval'</v>
      </c>
      <c r="G178" s="121">
        <f>VLOOKUP($B178,Miljö!$B$1:$J$479,MATCH("Primärenergifaktor ()",Miljö!$B$1:$J$1,0),FALSE)</f>
        <v>0.41</v>
      </c>
      <c r="H178" s="121">
        <f>VLOOKUP($B178,Miljö!$B$1:$J$479,MATCH("Koldioxidekvivalenter energiomvandling (g/kwh)",Miljö!$B$1:$J$1,0),FALSE)</f>
        <v>0</v>
      </c>
      <c r="I178" s="121">
        <f>VLOOKUP($B178,Miljö!$B$1:$J$479,MATCH("Fossilandel för ursprungspecificerad el ()",Miljö!$B$1:$J$1,0),FALSE)</f>
        <v>0</v>
      </c>
      <c r="J178" s="121">
        <f>VLOOKUP($B178,Miljö!$B$1:$J$479,MATCH("Kärnkraftsandel för ursprungsspecificerad el ()",Miljö!$B$1:$J$1,0),FALSE)</f>
        <v>0</v>
      </c>
      <c r="L178" s="121">
        <f>VLOOKUP($B178,Totalt!$B$1:$BU$497,MATCH("total el",Totalt!$B$1:$BU$1,0),FALSE)</f>
        <v>3.7203900000000001</v>
      </c>
      <c r="N178" s="271">
        <f t="shared" si="8"/>
        <v>1.5253599</v>
      </c>
      <c r="O178" s="271">
        <f t="shared" si="9"/>
        <v>0</v>
      </c>
      <c r="P178" s="271">
        <f t="shared" si="10"/>
        <v>0</v>
      </c>
      <c r="Q178" s="271">
        <f t="shared" si="11"/>
        <v>0</v>
      </c>
    </row>
    <row r="179" spans="1:17" x14ac:dyDescent="0.25">
      <c r="A179" s="137" t="s">
        <v>444</v>
      </c>
      <c r="B179" s="137" t="s">
        <v>446</v>
      </c>
      <c r="C179" s="121" t="str">
        <f>VLOOKUP($B179,Totalt!$B$1:$BU$497,MATCH("Kvalitetsgranskad:",Totalt!$B$1:$BU$1,0),FALSE)</f>
        <v>Ja</v>
      </c>
      <c r="E179" s="121" t="str">
        <f>VLOOKUP($B179,Miljö!$B$1:$AG$479,MATCH(E$1,Miljö!$B$1:$AK$1,0),FALSE)</f>
        <v>Ja</v>
      </c>
      <c r="F179" s="121" t="str">
        <f>VLOOKUP($B179,Miljö!$B$1:$J$479,MATCH("Typ av ursprungsspecificerad el   (Om inget värde anges används Nordisk residualmix, se inforuta) ()",Miljö!$B$1:$J$1,0),FALSE)</f>
        <v>'Bramiljöval'</v>
      </c>
      <c r="G179" s="121">
        <f>VLOOKUP($B179,Miljö!$B$1:$J$479,MATCH("Primärenergifaktor ()",Miljö!$B$1:$J$1,0),FALSE)</f>
        <v>1.1000000000000001</v>
      </c>
      <c r="H179" s="121">
        <f>VLOOKUP($B179,Miljö!$B$1:$J$479,MATCH("Koldioxidekvivalenter energiomvandling (g/kwh)",Miljö!$B$1:$J$1,0),FALSE)</f>
        <v>0</v>
      </c>
      <c r="I179" s="121">
        <f>VLOOKUP($B179,Miljö!$B$1:$J$479,MATCH("Fossilandel för ursprungspecificerad el ()",Miljö!$B$1:$J$1,0),FALSE)</f>
        <v>0</v>
      </c>
      <c r="J179" s="121">
        <f>VLOOKUP($B179,Miljö!$B$1:$J$479,MATCH("Kärnkraftsandel för ursprungsspecificerad el ()",Miljö!$B$1:$J$1,0),FALSE)</f>
        <v>0</v>
      </c>
      <c r="L179" s="121">
        <f>VLOOKUP($B179,Totalt!$B$1:$BU$497,MATCH("total el",Totalt!$B$1:$BU$1,0),FALSE)</f>
        <v>0.04</v>
      </c>
      <c r="N179" s="271">
        <f t="shared" si="8"/>
        <v>4.4000000000000004E-2</v>
      </c>
      <c r="O179" s="271">
        <f t="shared" si="9"/>
        <v>0</v>
      </c>
      <c r="P179" s="271">
        <f t="shared" si="10"/>
        <v>0</v>
      </c>
      <c r="Q179" s="271">
        <f t="shared" si="11"/>
        <v>0</v>
      </c>
    </row>
    <row r="180" spans="1:17" x14ac:dyDescent="0.25">
      <c r="A180" s="137" t="s">
        <v>447</v>
      </c>
      <c r="B180" s="137" t="s">
        <v>448</v>
      </c>
      <c r="C180" s="121" t="str">
        <f>VLOOKUP($B180,Totalt!$B$1:$BU$497,MATCH("Kvalitetsgranskad:",Totalt!$B$1:$BU$1,0),FALSE)</f>
        <v>Ja</v>
      </c>
      <c r="E180" s="121" t="str">
        <f>VLOOKUP($B180,Miljö!$B$1:$AG$479,MATCH(E$1,Miljö!$B$1:$AK$1,0),FALSE)</f>
        <v>Ja</v>
      </c>
      <c r="F180" s="121" t="str">
        <f>VLOOKUP($B180,Miljö!$B$1:$J$479,MATCH("Typ av ursprungsspecificerad el   (Om inget värde anges används Nordisk residualmix, se inforuta) ()",Miljö!$B$1:$J$1,0),FALSE)</f>
        <v>'Nordisk mix för inköpt el'</v>
      </c>
      <c r="G180" s="121">
        <f>VLOOKUP($B180,Miljö!$B$1:$J$479,MATCH("Primärenergifaktor ()",Miljö!$B$1:$J$1,0),FALSE)</f>
        <v>2.056</v>
      </c>
      <c r="H180" s="121">
        <f>VLOOKUP($B180,Miljö!$B$1:$J$479,MATCH("Koldioxidekvivalenter energiomvandling (g/kwh)",Miljö!$B$1:$J$1,0),FALSE)</f>
        <v>61.51</v>
      </c>
      <c r="I180" s="121">
        <f>VLOOKUP($B180,Miljö!$B$1:$J$479,MATCH("Fossilandel för ursprungspecificerad el ()",Miljö!$B$1:$J$1,0),FALSE)</f>
        <v>0.08</v>
      </c>
      <c r="J180" s="121">
        <f>VLOOKUP($B180,Miljö!$B$1:$J$479,MATCH("Kärnkraftsandel för ursprungsspecificerad el ()",Miljö!$B$1:$J$1,0),FALSE)</f>
        <v>0.08</v>
      </c>
      <c r="L180" s="121">
        <f>VLOOKUP($B180,Totalt!$B$1:$BU$497,MATCH("total el",Totalt!$B$1:$BU$1,0),FALSE)</f>
        <v>5.0341699999999996</v>
      </c>
      <c r="N180" s="271">
        <f t="shared" si="8"/>
        <v>10.350253519999999</v>
      </c>
      <c r="O180" s="271">
        <f t="shared" si="9"/>
        <v>309.65179669999998</v>
      </c>
      <c r="P180" s="271">
        <f t="shared" si="10"/>
        <v>0.40273359999999997</v>
      </c>
      <c r="Q180" s="271">
        <f t="shared" si="11"/>
        <v>0.40273359999999997</v>
      </c>
    </row>
    <row r="181" spans="1:17" x14ac:dyDescent="0.25">
      <c r="A181" s="137" t="s">
        <v>449</v>
      </c>
      <c r="B181" s="137" t="s">
        <v>450</v>
      </c>
      <c r="C181" s="121" t="str">
        <f>VLOOKUP($B181,Totalt!$B$1:$BU$497,MATCH("Kvalitetsgranskad:",Totalt!$B$1:$BU$1,0),FALSE)</f>
        <v>Ja</v>
      </c>
      <c r="E181" s="121" t="str">
        <f>VLOOKUP($B181,Miljö!$B$1:$AG$479,MATCH(E$1,Miljö!$B$1:$AK$1,0),FALSE)</f>
        <v>Nej</v>
      </c>
      <c r="F181" s="121" t="str">
        <f>VLOOKUP($B181,Miljö!$B$1:$J$479,MATCH("Typ av ursprungsspecificerad el   (Om inget värde anges används Nordisk residualmix, se inforuta) ()",Miljö!$B$1:$J$1,0),FALSE)</f>
        <v>-</v>
      </c>
      <c r="G181" s="121">
        <f>VLOOKUP($B181,Miljö!$B$1:$J$479,MATCH("Primärenergifaktor ()",Miljö!$B$1:$J$1,0),FALSE)</f>
        <v>2.2999999999999998</v>
      </c>
      <c r="H181" s="121">
        <f>VLOOKUP($B181,Miljö!$B$1:$J$479,MATCH("Koldioxidekvivalenter energiomvandling (g/kwh)",Miljö!$B$1:$J$1,0),FALSE)</f>
        <v>329.19</v>
      </c>
      <c r="I181" s="121">
        <f>VLOOKUP($B181,Miljö!$B$1:$J$479,MATCH("Fossilandel för ursprungspecificerad el ()",Miljö!$B$1:$J$1,0),FALSE)</f>
        <v>0.43</v>
      </c>
      <c r="J181" s="121">
        <f>VLOOKUP($B181,Miljö!$B$1:$J$479,MATCH("Kärnkraftsandel för ursprungsspecificerad el ()",Miljö!$B$1:$J$1,0),FALSE)</f>
        <v>0.40550000000000003</v>
      </c>
      <c r="L181" s="121">
        <f>VLOOKUP($B181,Totalt!$B$1:$BU$497,MATCH("total el",Totalt!$B$1:$BU$1,0),FALSE)</f>
        <v>0.26</v>
      </c>
      <c r="N181" s="271">
        <f t="shared" si="8"/>
        <v>0.59799999999999998</v>
      </c>
      <c r="O181" s="271">
        <f t="shared" si="9"/>
        <v>85.589399999999998</v>
      </c>
      <c r="P181" s="271">
        <f t="shared" si="10"/>
        <v>0.1118</v>
      </c>
      <c r="Q181" s="271">
        <f t="shared" si="11"/>
        <v>0.10543000000000001</v>
      </c>
    </row>
    <row r="182" spans="1:17" x14ac:dyDescent="0.25">
      <c r="A182" s="137" t="s">
        <v>451</v>
      </c>
      <c r="B182" s="137" t="s">
        <v>452</v>
      </c>
      <c r="C182" s="121" t="str">
        <f>VLOOKUP($B182,Totalt!$B$1:$BU$497,MATCH("Kvalitetsgranskad:",Totalt!$B$1:$BU$1,0),FALSE)</f>
        <v>Nej</v>
      </c>
      <c r="E182" s="121" t="str">
        <f>VLOOKUP($B182,Miljö!$B$1:$AG$479,MATCH(E$1,Miljö!$B$1:$AK$1,0),FALSE)</f>
        <v>Nej</v>
      </c>
      <c r="F182" s="121" t="str">
        <f>VLOOKUP($B182,Miljö!$B$1:$J$479,MATCH("Typ av ursprungsspecificerad el   (Om inget värde anges används Nordisk residualmix, se inforuta) ()",Miljö!$B$1:$J$1,0),FALSE)</f>
        <v>-</v>
      </c>
      <c r="G182" s="121" t="str">
        <f>VLOOKUP($B182,Miljö!$B$1:$J$479,MATCH("Primärenergifaktor ()",Miljö!$B$1:$J$1,0),FALSE)</f>
        <v>-</v>
      </c>
      <c r="H182" s="121" t="str">
        <f>VLOOKUP($B182,Miljö!$B$1:$J$479,MATCH("Koldioxidekvivalenter energiomvandling (g/kwh)",Miljö!$B$1:$J$1,0),FALSE)</f>
        <v>-</v>
      </c>
      <c r="I182" s="121" t="str">
        <f>VLOOKUP($B182,Miljö!$B$1:$J$479,MATCH("Fossilandel för ursprungspecificerad el ()",Miljö!$B$1:$J$1,0),FALSE)</f>
        <v>-</v>
      </c>
      <c r="J182" s="121" t="str">
        <f>VLOOKUP($B182,Miljö!$B$1:$J$479,MATCH("Kärnkraftsandel för ursprungsspecificerad el ()",Miljö!$B$1:$J$1,0),FALSE)</f>
        <v>-</v>
      </c>
      <c r="L182" s="121">
        <f>VLOOKUP($B182,Totalt!$B$1:$BU$497,MATCH("total el",Totalt!$B$1:$BU$1,0),FALSE)</f>
        <v>0</v>
      </c>
      <c r="N182" s="271" t="str">
        <f t="shared" si="8"/>
        <v/>
      </c>
      <c r="O182" s="271" t="str">
        <f t="shared" si="9"/>
        <v/>
      </c>
      <c r="P182" s="271" t="str">
        <f t="shared" si="10"/>
        <v/>
      </c>
      <c r="Q182" s="271" t="str">
        <f t="shared" si="11"/>
        <v/>
      </c>
    </row>
    <row r="183" spans="1:17" x14ac:dyDescent="0.25">
      <c r="A183" s="137" t="s">
        <v>453</v>
      </c>
      <c r="B183" s="137" t="s">
        <v>454</v>
      </c>
      <c r="C183" s="121" t="str">
        <f>VLOOKUP($B183,Totalt!$B$1:$BU$497,MATCH("Kvalitetsgranskad:",Totalt!$B$1:$BU$1,0),FALSE)</f>
        <v>Ja</v>
      </c>
      <c r="E183" s="121" t="str">
        <f>VLOOKUP($B183,Miljö!$B$1:$AG$479,MATCH(E$1,Miljö!$B$1:$AK$1,0),FALSE)</f>
        <v>Ja</v>
      </c>
      <c r="F183" s="121" t="str">
        <f>VLOOKUP($B183,Miljö!$B$1:$J$479,MATCH("Typ av ursprungsspecificerad el   (Om inget värde anges används Nordisk residualmix, se inforuta) ()",Miljö!$B$1:$J$1,0),FALSE)</f>
        <v>'Ursprungsmärkt vattenkraft'</v>
      </c>
      <c r="G183" s="121">
        <f>VLOOKUP($B183,Miljö!$B$1:$J$479,MATCH("Primärenergifaktor ()",Miljö!$B$1:$J$1,0),FALSE)</f>
        <v>1.1000000000000001</v>
      </c>
      <c r="H183" s="121">
        <f>VLOOKUP($B183,Miljö!$B$1:$J$479,MATCH("Koldioxidekvivalenter energiomvandling (g/kwh)",Miljö!$B$1:$J$1,0),FALSE)</f>
        <v>0</v>
      </c>
      <c r="I183" s="121">
        <f>VLOOKUP($B183,Miljö!$B$1:$J$479,MATCH("Fossilandel för ursprungspecificerad el ()",Miljö!$B$1:$J$1,0),FALSE)</f>
        <v>0</v>
      </c>
      <c r="J183" s="121">
        <f>VLOOKUP($B183,Miljö!$B$1:$J$479,MATCH("Kärnkraftsandel för ursprungsspecificerad el ()",Miljö!$B$1:$J$1,0),FALSE)</f>
        <v>0</v>
      </c>
      <c r="L183" s="121">
        <f>VLOOKUP($B183,Totalt!$B$1:$BU$497,MATCH("total el",Totalt!$B$1:$BU$1,0),FALSE)</f>
        <v>0.96299999999999997</v>
      </c>
      <c r="N183" s="271">
        <f t="shared" si="8"/>
        <v>1.0593000000000001</v>
      </c>
      <c r="O183" s="271">
        <f t="shared" si="9"/>
        <v>0</v>
      </c>
      <c r="P183" s="271">
        <f t="shared" si="10"/>
        <v>0</v>
      </c>
      <c r="Q183" s="271">
        <f t="shared" si="11"/>
        <v>0</v>
      </c>
    </row>
    <row r="184" spans="1:17" x14ac:dyDescent="0.25">
      <c r="A184" s="137" t="s">
        <v>453</v>
      </c>
      <c r="B184" s="137" t="s">
        <v>126</v>
      </c>
      <c r="C184" s="121" t="str">
        <f>VLOOKUP($B184,Totalt!$B$1:$BU$497,MATCH("Kvalitetsgranskad:",Totalt!$B$1:$BU$1,0),FALSE)</f>
        <v>Nej</v>
      </c>
      <c r="E184" s="121" t="str">
        <f>VLOOKUP($B184,Miljö!$B$1:$AG$479,MATCH(E$1,Miljö!$B$1:$AK$1,0),FALSE)</f>
        <v>Nej</v>
      </c>
      <c r="F184" s="121" t="str">
        <f>VLOOKUP($B184,Miljö!$B$1:$J$479,MATCH("Typ av ursprungsspecificerad el   (Om inget värde anges används Nordisk residualmix, se inforuta) ()",Miljö!$B$1:$J$1,0),FALSE)</f>
        <v>ET</v>
      </c>
      <c r="G184" s="121">
        <f>VLOOKUP($B184,Miljö!$B$1:$J$479,MATCH("Primärenergifaktor ()",Miljö!$B$1:$J$1,0),FALSE)</f>
        <v>2.2999999999999998</v>
      </c>
      <c r="H184" s="121">
        <f>VLOOKUP($B184,Miljö!$B$1:$J$479,MATCH("Koldioxidekvivalenter energiomvandling (g/kwh)",Miljö!$B$1:$J$1,0),FALSE)</f>
        <v>329.19</v>
      </c>
      <c r="I184" s="121">
        <f>VLOOKUP($B184,Miljö!$B$1:$J$479,MATCH("Fossilandel för ursprungspecificerad el ()",Miljö!$B$1:$J$1,0),FALSE)</f>
        <v>0.43</v>
      </c>
      <c r="J184" s="121">
        <f>VLOOKUP($B184,Miljö!$B$1:$J$479,MATCH("Kärnkraftsandel för ursprungsspecificerad el ()",Miljö!$B$1:$J$1,0),FALSE)</f>
        <v>0.40550000000000003</v>
      </c>
      <c r="L184" s="121">
        <f>VLOOKUP($B184,Totalt!$B$1:$BU$497,MATCH("total el",Totalt!$B$1:$BU$1,0),FALSE)</f>
        <v>0</v>
      </c>
      <c r="N184" s="271">
        <f t="shared" si="8"/>
        <v>0</v>
      </c>
      <c r="O184" s="271">
        <f t="shared" si="9"/>
        <v>0</v>
      </c>
      <c r="P184" s="271">
        <f t="shared" si="10"/>
        <v>0</v>
      </c>
      <c r="Q184" s="271">
        <f t="shared" si="11"/>
        <v>0</v>
      </c>
    </row>
    <row r="185" spans="1:17" x14ac:dyDescent="0.25">
      <c r="A185" s="137" t="s">
        <v>453</v>
      </c>
      <c r="B185" s="137" t="s">
        <v>455</v>
      </c>
      <c r="C185" s="121" t="str">
        <f>VLOOKUP($B185,Totalt!$B$1:$BU$497,MATCH("Kvalitetsgranskad:",Totalt!$B$1:$BU$1,0),FALSE)</f>
        <v>ja</v>
      </c>
      <c r="E185" s="121" t="str">
        <f>VLOOKUP($B185,Miljö!$B$1:$AG$479,MATCH(E$1,Miljö!$B$1:$AK$1,0),FALSE)</f>
        <v>Ja</v>
      </c>
      <c r="F185" s="121" t="str">
        <f>VLOOKUP($B185,Miljö!$B$1:$J$479,MATCH("Typ av ursprungsspecificerad el   (Om inget värde anges används Nordisk residualmix, se inforuta) ()",Miljö!$B$1:$J$1,0),FALSE)</f>
        <v>'ursprungsmätkt egen produktion av BIO samt Vatten</v>
      </c>
      <c r="G185" s="121">
        <f>VLOOKUP($B185,Miljö!$B$1:$J$479,MATCH("Primärenergifaktor ()",Miljö!$B$1:$J$1,0),FALSE)</f>
        <v>0.42</v>
      </c>
      <c r="H185" s="121">
        <f>VLOOKUP($B185,Miljö!$B$1:$J$479,MATCH("Koldioxidekvivalenter energiomvandling (g/kwh)",Miljö!$B$1:$J$1,0),FALSE)</f>
        <v>62.34</v>
      </c>
      <c r="I185" s="121">
        <f>VLOOKUP($B185,Miljö!$B$1:$J$479,MATCH("Fossilandel för ursprungspecificerad el ()",Miljö!$B$1:$J$1,0),FALSE)</f>
        <v>0.08</v>
      </c>
      <c r="J185" s="121">
        <f>VLOOKUP($B185,Miljö!$B$1:$J$479,MATCH("Kärnkraftsandel för ursprungsspecificerad el ()",Miljö!$B$1:$J$1,0),FALSE)</f>
        <v>0</v>
      </c>
      <c r="L185" s="121">
        <f>VLOOKUP($B185,Totalt!$B$1:$BU$497,MATCH("total el",Totalt!$B$1:$BU$1,0),FALSE)</f>
        <v>64.795599999999993</v>
      </c>
      <c r="N185" s="271">
        <f t="shared" si="8"/>
        <v>27.214151999999995</v>
      </c>
      <c r="O185" s="271">
        <f t="shared" si="9"/>
        <v>4039.357704</v>
      </c>
      <c r="P185" s="271">
        <f t="shared" si="10"/>
        <v>5.1836479999999998</v>
      </c>
      <c r="Q185" s="271">
        <f t="shared" si="11"/>
        <v>0</v>
      </c>
    </row>
    <row r="186" spans="1:17" x14ac:dyDescent="0.25">
      <c r="A186" s="137" t="s">
        <v>453</v>
      </c>
      <c r="B186" s="137" t="s">
        <v>456</v>
      </c>
      <c r="C186" s="121" t="str">
        <f>VLOOKUP($B186,Totalt!$B$1:$BU$497,MATCH("Kvalitetsgranskad:",Totalt!$B$1:$BU$1,0),FALSE)</f>
        <v>ja</v>
      </c>
      <c r="E186" s="121" t="str">
        <f>VLOOKUP($B186,Miljö!$B$1:$AG$479,MATCH(E$1,Miljö!$B$1:$AK$1,0),FALSE)</f>
        <v>Ja</v>
      </c>
      <c r="F186" s="121" t="str">
        <f>VLOOKUP($B186,Miljö!$B$1:$J$479,MATCH("Typ av ursprungsspecificerad el   (Om inget värde anges används Nordisk residualmix, se inforuta) ()",Miljö!$B$1:$J$1,0),FALSE)</f>
        <v>'ursprungsmärkt egenproducerad Bio'</v>
      </c>
      <c r="G186" s="121">
        <f>VLOOKUP($B186,Miljö!$B$1:$J$479,MATCH("Primärenergifaktor ()",Miljö!$B$1:$J$1,0),FALSE)</f>
        <v>0.42</v>
      </c>
      <c r="H186" s="121">
        <f>VLOOKUP($B186,Miljö!$B$1:$J$479,MATCH("Koldioxidekvivalenter energiomvandling (g/kwh)",Miljö!$B$1:$J$1,0),FALSE)</f>
        <v>62.34</v>
      </c>
      <c r="I186" s="121">
        <f>VLOOKUP($B186,Miljö!$B$1:$J$479,MATCH("Fossilandel för ursprungspecificerad el ()",Miljö!$B$1:$J$1,0),FALSE)</f>
        <v>0.08</v>
      </c>
      <c r="J186" s="121">
        <f>VLOOKUP($B186,Miljö!$B$1:$J$479,MATCH("Kärnkraftsandel för ursprungsspecificerad el ()",Miljö!$B$1:$J$1,0),FALSE)</f>
        <v>0.40550000000000003</v>
      </c>
      <c r="L186" s="121">
        <f>VLOOKUP($B186,Totalt!$B$1:$BU$497,MATCH("total el",Totalt!$B$1:$BU$1,0),FALSE)</f>
        <v>2.7095499999999997</v>
      </c>
      <c r="N186" s="271">
        <f t="shared" si="8"/>
        <v>1.1380109999999999</v>
      </c>
      <c r="O186" s="271">
        <f t="shared" si="9"/>
        <v>168.91334699999999</v>
      </c>
      <c r="P186" s="271">
        <f t="shared" si="10"/>
        <v>0.21676399999999998</v>
      </c>
      <c r="Q186" s="271">
        <f t="shared" si="11"/>
        <v>1.0987225249999999</v>
      </c>
    </row>
    <row r="187" spans="1:17" x14ac:dyDescent="0.25">
      <c r="A187" s="137" t="s">
        <v>457</v>
      </c>
      <c r="B187" s="137" t="s">
        <v>458</v>
      </c>
      <c r="C187" s="121" t="str">
        <f>VLOOKUP($B187,Totalt!$B$1:$BU$497,MATCH("Kvalitetsgranskad:",Totalt!$B$1:$BU$1,0),FALSE)</f>
        <v>ja</v>
      </c>
      <c r="E187" s="121" t="str">
        <f>VLOOKUP($B187,Miljö!$B$1:$AG$479,MATCH(E$1,Miljö!$B$1:$AK$1,0),FALSE)</f>
        <v>Ja</v>
      </c>
      <c r="F187" s="121" t="str">
        <f>VLOOKUP($B187,Miljö!$B$1:$J$479,MATCH("Typ av ursprungsspecificerad el   (Om inget värde anges används Nordisk residualmix, se inforuta) ()",Miljö!$B$1:$J$1,0),FALSE)</f>
        <v>'Förnybar el från egen produktion'</v>
      </c>
      <c r="G187" s="121">
        <f>VLOOKUP($B187,Miljö!$B$1:$J$479,MATCH("Primärenergifaktor ()",Miljö!$B$1:$J$1,0),FALSE)</f>
        <v>0.09</v>
      </c>
      <c r="H187" s="121">
        <f>VLOOKUP($B187,Miljö!$B$1:$J$479,MATCH("Koldioxidekvivalenter energiomvandling (g/kwh)",Miljö!$B$1:$J$1,0),FALSE)</f>
        <v>0</v>
      </c>
      <c r="I187" s="121">
        <f>VLOOKUP($B187,Miljö!$B$1:$J$479,MATCH("Fossilandel för ursprungspecificerad el ()",Miljö!$B$1:$J$1,0),FALSE)</f>
        <v>0</v>
      </c>
      <c r="J187" s="121">
        <f>VLOOKUP($B187,Miljö!$B$1:$J$479,MATCH("Kärnkraftsandel för ursprungsspecificerad el ()",Miljö!$B$1:$J$1,0),FALSE)</f>
        <v>0</v>
      </c>
      <c r="L187" s="121">
        <f>VLOOKUP($B187,Totalt!$B$1:$BU$497,MATCH("total el",Totalt!$B$1:$BU$1,0),FALSE)</f>
        <v>9.4852900000000009</v>
      </c>
      <c r="N187" s="271">
        <f t="shared" si="8"/>
        <v>0.85367610000000005</v>
      </c>
      <c r="O187" s="271">
        <f t="shared" si="9"/>
        <v>0</v>
      </c>
      <c r="P187" s="271">
        <f t="shared" si="10"/>
        <v>0</v>
      </c>
      <c r="Q187" s="271">
        <f t="shared" si="11"/>
        <v>0</v>
      </c>
    </row>
    <row r="188" spans="1:17" x14ac:dyDescent="0.25">
      <c r="A188" s="137" t="s">
        <v>457</v>
      </c>
      <c r="B188" s="137" t="s">
        <v>459</v>
      </c>
      <c r="C188" s="121" t="str">
        <f>VLOOKUP($B188,Totalt!$B$1:$BU$497,MATCH("Kvalitetsgranskad:",Totalt!$B$1:$BU$1,0),FALSE)</f>
        <v>ja</v>
      </c>
      <c r="E188" s="121" t="str">
        <f>VLOOKUP($B188,Miljö!$B$1:$AG$479,MATCH(E$1,Miljö!$B$1:$AK$1,0),FALSE)</f>
        <v>Ja</v>
      </c>
      <c r="F188" s="121" t="str">
        <f>VLOOKUP($B188,Miljö!$B$1:$J$479,MATCH("Typ av ursprungsspecificerad el   (Om inget värde anges används Nordisk residualmix, se inforuta) ()",Miljö!$B$1:$J$1,0),FALSE)</f>
        <v>'Förnybar el från egen produktion'</v>
      </c>
      <c r="G188" s="121">
        <f>VLOOKUP($B188,Miljö!$B$1:$J$479,MATCH("Primärenergifaktor ()",Miljö!$B$1:$J$1,0),FALSE)</f>
        <v>0.09</v>
      </c>
      <c r="H188" s="121">
        <f>VLOOKUP($B188,Miljö!$B$1:$J$479,MATCH("Koldioxidekvivalenter energiomvandling (g/kwh)",Miljö!$B$1:$J$1,0),FALSE)</f>
        <v>0</v>
      </c>
      <c r="I188" s="121">
        <f>VLOOKUP($B188,Miljö!$B$1:$J$479,MATCH("Fossilandel för ursprungspecificerad el ()",Miljö!$B$1:$J$1,0),FALSE)</f>
        <v>0</v>
      </c>
      <c r="J188" s="121">
        <f>VLOOKUP($B188,Miljö!$B$1:$J$479,MATCH("Kärnkraftsandel för ursprungsspecificerad el ()",Miljö!$B$1:$J$1,0),FALSE)</f>
        <v>0</v>
      </c>
      <c r="L188" s="121">
        <f>VLOOKUP($B188,Totalt!$B$1:$BU$497,MATCH("total el",Totalt!$B$1:$BU$1,0),FALSE)</f>
        <v>1.2359100000000001</v>
      </c>
      <c r="N188" s="271">
        <f t="shared" si="8"/>
        <v>0.11123190000000001</v>
      </c>
      <c r="O188" s="271">
        <f t="shared" si="9"/>
        <v>0</v>
      </c>
      <c r="P188" s="271">
        <f t="shared" si="10"/>
        <v>0</v>
      </c>
      <c r="Q188" s="271">
        <f t="shared" si="11"/>
        <v>0</v>
      </c>
    </row>
    <row r="189" spans="1:17" x14ac:dyDescent="0.25">
      <c r="A189" s="137" t="s">
        <v>457</v>
      </c>
      <c r="B189" s="137" t="s">
        <v>460</v>
      </c>
      <c r="C189" s="121" t="str">
        <f>VLOOKUP($B189,Totalt!$B$1:$BU$497,MATCH("Kvalitetsgranskad:",Totalt!$B$1:$BU$1,0),FALSE)</f>
        <v>ja</v>
      </c>
      <c r="E189" s="121" t="str">
        <f>VLOOKUP($B189,Miljö!$B$1:$AG$479,MATCH(E$1,Miljö!$B$1:$AK$1,0),FALSE)</f>
        <v>Ja</v>
      </c>
      <c r="F189" s="121" t="str">
        <f>VLOOKUP($B189,Miljö!$B$1:$J$479,MATCH("Typ av ursprungsspecificerad el   (Om inget värde anges används Nordisk residualmix, se inforuta) ()",Miljö!$B$1:$J$1,0),FALSE)</f>
        <v>'Förnybar el från egen produktion'</v>
      </c>
      <c r="G189" s="121">
        <f>VLOOKUP($B189,Miljö!$B$1:$J$479,MATCH("Primärenergifaktor ()",Miljö!$B$1:$J$1,0),FALSE)</f>
        <v>0.09</v>
      </c>
      <c r="H189" s="121">
        <f>VLOOKUP($B189,Miljö!$B$1:$J$479,MATCH("Koldioxidekvivalenter energiomvandling (g/kwh)",Miljö!$B$1:$J$1,0),FALSE)</f>
        <v>0</v>
      </c>
      <c r="I189" s="121">
        <f>VLOOKUP($B189,Miljö!$B$1:$J$479,MATCH("Fossilandel för ursprungspecificerad el ()",Miljö!$B$1:$J$1,0),FALSE)</f>
        <v>0</v>
      </c>
      <c r="J189" s="121">
        <f>VLOOKUP($B189,Miljö!$B$1:$J$479,MATCH("Kärnkraftsandel för ursprungsspecificerad el ()",Miljö!$B$1:$J$1,0),FALSE)</f>
        <v>0</v>
      </c>
      <c r="L189" s="121">
        <f>VLOOKUP($B189,Totalt!$B$1:$BU$497,MATCH("total el",Totalt!$B$1:$BU$1,0),FALSE)</f>
        <v>0.279553</v>
      </c>
      <c r="N189" s="271">
        <f t="shared" si="8"/>
        <v>2.5159769999999998E-2</v>
      </c>
      <c r="O189" s="271">
        <f t="shared" si="9"/>
        <v>0</v>
      </c>
      <c r="P189" s="271">
        <f t="shared" si="10"/>
        <v>0</v>
      </c>
      <c r="Q189" s="271">
        <f t="shared" si="11"/>
        <v>0</v>
      </c>
    </row>
    <row r="190" spans="1:17" x14ac:dyDescent="0.25">
      <c r="A190" s="137" t="s">
        <v>461</v>
      </c>
      <c r="B190" s="137" t="s">
        <v>462</v>
      </c>
      <c r="C190" s="121" t="str">
        <f>VLOOKUP($B190,Totalt!$B$1:$BU$497,MATCH("Kvalitetsgranskad:",Totalt!$B$1:$BU$1,0),FALSE)</f>
        <v>Ja</v>
      </c>
      <c r="E190" s="121" t="str">
        <f>VLOOKUP($B190,Miljö!$B$1:$AG$479,MATCH(E$1,Miljö!$B$1:$AK$1,0),FALSE)</f>
        <v>Ja</v>
      </c>
      <c r="F190" s="121" t="str">
        <f>VLOOKUP($B190,Miljö!$B$1:$J$479,MATCH("Typ av ursprungsspecificerad el   (Om inget värde anges används Nordisk residualmix, se inforuta) ()",Miljö!$B$1:$J$1,0),FALSE)</f>
        <v>'Ursprungsmärkt Vattenkraft'</v>
      </c>
      <c r="G190" s="121">
        <f>VLOOKUP($B190,Miljö!$B$1:$J$479,MATCH("Primärenergifaktor ()",Miljö!$B$1:$J$1,0),FALSE)</f>
        <v>1.1000000000000001</v>
      </c>
      <c r="H190" s="121">
        <f>VLOOKUP($B190,Miljö!$B$1:$J$479,MATCH("Koldioxidekvivalenter energiomvandling (g/kwh)",Miljö!$B$1:$J$1,0),FALSE)</f>
        <v>0</v>
      </c>
      <c r="I190" s="121">
        <f>VLOOKUP($B190,Miljö!$B$1:$J$479,MATCH("Fossilandel för ursprungspecificerad el ()",Miljö!$B$1:$J$1,0),FALSE)</f>
        <v>0</v>
      </c>
      <c r="J190" s="121">
        <f>VLOOKUP($B190,Miljö!$B$1:$J$479,MATCH("Kärnkraftsandel för ursprungsspecificerad el ()",Miljö!$B$1:$J$1,0),FALSE)</f>
        <v>0</v>
      </c>
      <c r="L190" s="121">
        <f>VLOOKUP($B190,Totalt!$B$1:$BU$497,MATCH("total el",Totalt!$B$1:$BU$1,0),FALSE)</f>
        <v>5.1499999999999997E-2</v>
      </c>
      <c r="N190" s="271">
        <f t="shared" si="8"/>
        <v>5.6649999999999999E-2</v>
      </c>
      <c r="O190" s="271">
        <f t="shared" si="9"/>
        <v>0</v>
      </c>
      <c r="P190" s="271">
        <f t="shared" si="10"/>
        <v>0</v>
      </c>
      <c r="Q190" s="271">
        <f t="shared" si="11"/>
        <v>0</v>
      </c>
    </row>
    <row r="191" spans="1:17" x14ac:dyDescent="0.25">
      <c r="A191" s="137" t="s">
        <v>461</v>
      </c>
      <c r="B191" s="137" t="s">
        <v>464</v>
      </c>
      <c r="C191" s="121" t="str">
        <f>VLOOKUP($B191,Totalt!$B$1:$BU$497,MATCH("Kvalitetsgranskad:",Totalt!$B$1:$BU$1,0),FALSE)</f>
        <v>Ja</v>
      </c>
      <c r="E191" s="121" t="str">
        <f>VLOOKUP($B191,Miljö!$B$1:$AG$479,MATCH(E$1,Miljö!$B$1:$AK$1,0),FALSE)</f>
        <v>Ja</v>
      </c>
      <c r="F191" s="121" t="str">
        <f>VLOOKUP($B191,Miljö!$B$1:$J$479,MATCH("Typ av ursprungsspecificerad el   (Om inget värde anges används Nordisk residualmix, se inforuta) ()",Miljö!$B$1:$J$1,0),FALSE)</f>
        <v>'Ursprungsmärkt Vattenkraft'</v>
      </c>
      <c r="G191" s="121">
        <f>VLOOKUP($B191,Miljö!$B$1:$J$479,MATCH("Primärenergifaktor ()",Miljö!$B$1:$J$1,0),FALSE)</f>
        <v>1.1000000000000001</v>
      </c>
      <c r="H191" s="121">
        <f>VLOOKUP($B191,Miljö!$B$1:$J$479,MATCH("Koldioxidekvivalenter energiomvandling (g/kwh)",Miljö!$B$1:$J$1,0),FALSE)</f>
        <v>0</v>
      </c>
      <c r="I191" s="121">
        <f>VLOOKUP($B191,Miljö!$B$1:$J$479,MATCH("Fossilandel för ursprungspecificerad el ()",Miljö!$B$1:$J$1,0),FALSE)</f>
        <v>0</v>
      </c>
      <c r="J191" s="121">
        <f>VLOOKUP($B191,Miljö!$B$1:$J$479,MATCH("Kärnkraftsandel för ursprungsspecificerad el ()",Miljö!$B$1:$J$1,0),FALSE)</f>
        <v>0</v>
      </c>
      <c r="L191" s="121">
        <f>VLOOKUP($B191,Totalt!$B$1:$BU$497,MATCH("total el",Totalt!$B$1:$BU$1,0),FALSE)</f>
        <v>0.69569999999999999</v>
      </c>
      <c r="N191" s="271">
        <f t="shared" si="8"/>
        <v>0.76527000000000001</v>
      </c>
      <c r="O191" s="271">
        <f t="shared" si="9"/>
        <v>0</v>
      </c>
      <c r="P191" s="271">
        <f t="shared" si="10"/>
        <v>0</v>
      </c>
      <c r="Q191" s="271">
        <f t="shared" si="11"/>
        <v>0</v>
      </c>
    </row>
    <row r="192" spans="1:17" x14ac:dyDescent="0.25">
      <c r="A192" s="137" t="s">
        <v>461</v>
      </c>
      <c r="B192" s="137" t="s">
        <v>465</v>
      </c>
      <c r="C192" s="121" t="str">
        <f>VLOOKUP($B192,Totalt!$B$1:$BU$497,MATCH("Kvalitetsgranskad:",Totalt!$B$1:$BU$1,0),FALSE)</f>
        <v>Ja</v>
      </c>
      <c r="E192" s="121" t="str">
        <f>VLOOKUP($B192,Miljö!$B$1:$AG$479,MATCH(E$1,Miljö!$B$1:$AK$1,0),FALSE)</f>
        <v>Ja</v>
      </c>
      <c r="F192" s="121" t="str">
        <f>VLOOKUP($B192,Miljö!$B$1:$J$479,MATCH("Typ av ursprungsspecificerad el   (Om inget värde anges används Nordisk residualmix, se inforuta) ()",Miljö!$B$1:$J$1,0),FALSE)</f>
        <v>'Ursprungsmärkt Vattenkraft'</v>
      </c>
      <c r="G192" s="121">
        <f>VLOOKUP($B192,Miljö!$B$1:$J$479,MATCH("Primärenergifaktor ()",Miljö!$B$1:$J$1,0),FALSE)</f>
        <v>1.1000000000000001</v>
      </c>
      <c r="H192" s="121">
        <f>VLOOKUP($B192,Miljö!$B$1:$J$479,MATCH("Koldioxidekvivalenter energiomvandling (g/kwh)",Miljö!$B$1:$J$1,0),FALSE)</f>
        <v>0</v>
      </c>
      <c r="I192" s="121">
        <f>VLOOKUP($B192,Miljö!$B$1:$J$479,MATCH("Fossilandel för ursprungspecificerad el ()",Miljö!$B$1:$J$1,0),FALSE)</f>
        <v>0</v>
      </c>
      <c r="J192" s="121">
        <f>VLOOKUP($B192,Miljö!$B$1:$J$479,MATCH("Kärnkraftsandel för ursprungsspecificerad el ()",Miljö!$B$1:$J$1,0),FALSE)</f>
        <v>0</v>
      </c>
      <c r="L192" s="121">
        <f>VLOOKUP($B192,Totalt!$B$1:$BU$497,MATCH("total el",Totalt!$B$1:$BU$1,0),FALSE)</f>
        <v>0.245</v>
      </c>
      <c r="N192" s="271">
        <f t="shared" si="8"/>
        <v>0.26950000000000002</v>
      </c>
      <c r="O192" s="271">
        <f t="shared" si="9"/>
        <v>0</v>
      </c>
      <c r="P192" s="271">
        <f t="shared" si="10"/>
        <v>0</v>
      </c>
      <c r="Q192" s="271">
        <f t="shared" si="11"/>
        <v>0</v>
      </c>
    </row>
    <row r="193" spans="1:17" x14ac:dyDescent="0.25">
      <c r="A193" s="137" t="s">
        <v>461</v>
      </c>
      <c r="B193" s="137" t="s">
        <v>101</v>
      </c>
      <c r="C193" s="121" t="str">
        <f>VLOOKUP($B193,Totalt!$B$1:$BU$497,MATCH("Kvalitetsgranskad:",Totalt!$B$1:$BU$1,0),FALSE)</f>
        <v>Ja</v>
      </c>
      <c r="E193" s="121" t="str">
        <f>VLOOKUP($B193,Miljö!$B$1:$AG$479,MATCH(E$1,Miljö!$B$1:$AK$1,0),FALSE)</f>
        <v>Ja</v>
      </c>
      <c r="F193" s="121" t="str">
        <f>VLOOKUP($B193,Miljö!$B$1:$J$479,MATCH("Typ av ursprungsspecificerad el   (Om inget värde anges används Nordisk residualmix, se inforuta) ()",Miljö!$B$1:$J$1,0),FALSE)</f>
        <v>'ursprungsmärkt vattenkraft'</v>
      </c>
      <c r="G193" s="121">
        <f>VLOOKUP($B193,Miljö!$B$1:$J$479,MATCH("Primärenergifaktor ()",Miljö!$B$1:$J$1,0),FALSE)</f>
        <v>1.1000000000000001</v>
      </c>
      <c r="H193" s="121">
        <f>VLOOKUP($B193,Miljö!$B$1:$J$479,MATCH("Koldioxidekvivalenter energiomvandling (g/kwh)",Miljö!$B$1:$J$1,0),FALSE)</f>
        <v>0</v>
      </c>
      <c r="I193" s="121">
        <f>VLOOKUP($B193,Miljö!$B$1:$J$479,MATCH("Fossilandel för ursprungspecificerad el ()",Miljö!$B$1:$J$1,0),FALSE)</f>
        <v>0</v>
      </c>
      <c r="J193" s="121">
        <f>VLOOKUP($B193,Miljö!$B$1:$J$479,MATCH("Kärnkraftsandel för ursprungsspecificerad el ()",Miljö!$B$1:$J$1,0),FALSE)</f>
        <v>0</v>
      </c>
      <c r="L193" s="121">
        <f>VLOOKUP($B193,Totalt!$B$1:$BU$497,MATCH("total el",Totalt!$B$1:$BU$1,0),FALSE)</f>
        <v>0.85399999999999998</v>
      </c>
      <c r="N193" s="271">
        <f t="shared" si="8"/>
        <v>0.93940000000000001</v>
      </c>
      <c r="O193" s="271">
        <f t="shared" si="9"/>
        <v>0</v>
      </c>
      <c r="P193" s="271">
        <f t="shared" si="10"/>
        <v>0</v>
      </c>
      <c r="Q193" s="271">
        <f t="shared" si="11"/>
        <v>0</v>
      </c>
    </row>
    <row r="194" spans="1:17" x14ac:dyDescent="0.25">
      <c r="A194" s="137" t="s">
        <v>461</v>
      </c>
      <c r="B194" s="137" t="s">
        <v>103</v>
      </c>
      <c r="C194" s="121" t="str">
        <f>VLOOKUP($B194,Totalt!$B$1:$BU$497,MATCH("Kvalitetsgranskad:",Totalt!$B$1:$BU$1,0),FALSE)</f>
        <v>Ja</v>
      </c>
      <c r="E194" s="121" t="str">
        <f>VLOOKUP($B194,Miljö!$B$1:$AG$479,MATCH(E$1,Miljö!$B$1:$AK$1,0),FALSE)</f>
        <v>Ja</v>
      </c>
      <c r="F194" s="121" t="str">
        <f>VLOOKUP($B194,Miljö!$B$1:$J$479,MATCH("Typ av ursprungsspecificerad el   (Om inget värde anges används Nordisk residualmix, se inforuta) ()",Miljö!$B$1:$J$1,0),FALSE)</f>
        <v>'Ursprungsmärkt Vattenkraft'</v>
      </c>
      <c r="G194" s="121">
        <f>VLOOKUP($B194,Miljö!$B$1:$J$479,MATCH("Primärenergifaktor ()",Miljö!$B$1:$J$1,0),FALSE)</f>
        <v>1.1000000000000001</v>
      </c>
      <c r="H194" s="121">
        <f>VLOOKUP($B194,Miljö!$B$1:$J$479,MATCH("Koldioxidekvivalenter energiomvandling (g/kwh)",Miljö!$B$1:$J$1,0),FALSE)</f>
        <v>0</v>
      </c>
      <c r="I194" s="121">
        <f>VLOOKUP($B194,Miljö!$B$1:$J$479,MATCH("Fossilandel för ursprungspecificerad el ()",Miljö!$B$1:$J$1,0),FALSE)</f>
        <v>0</v>
      </c>
      <c r="J194" s="121">
        <f>VLOOKUP($B194,Miljö!$B$1:$J$479,MATCH("Kärnkraftsandel för ursprungsspecificerad el ()",Miljö!$B$1:$J$1,0),FALSE)</f>
        <v>0</v>
      </c>
      <c r="L194" s="121">
        <f>VLOOKUP($B194,Totalt!$B$1:$BU$497,MATCH("total el",Totalt!$B$1:$BU$1,0),FALSE)</f>
        <v>1.4670000000000001</v>
      </c>
      <c r="N194" s="271">
        <f t="shared" si="8"/>
        <v>1.6137000000000001</v>
      </c>
      <c r="O194" s="271">
        <f t="shared" si="9"/>
        <v>0</v>
      </c>
      <c r="P194" s="271">
        <f t="shared" si="10"/>
        <v>0</v>
      </c>
      <c r="Q194" s="271">
        <f t="shared" si="11"/>
        <v>0</v>
      </c>
    </row>
    <row r="195" spans="1:17" x14ac:dyDescent="0.25">
      <c r="A195" s="137" t="s">
        <v>461</v>
      </c>
      <c r="B195" s="137" t="s">
        <v>468</v>
      </c>
      <c r="C195" s="121" t="str">
        <f>VLOOKUP($B195,Totalt!$B$1:$BU$497,MATCH("Kvalitetsgranskad:",Totalt!$B$1:$BU$1,0),FALSE)</f>
        <v>Ja</v>
      </c>
      <c r="E195" s="121" t="str">
        <f>VLOOKUP($B195,Miljö!$B$1:$AG$479,MATCH(E$1,Miljö!$B$1:$AK$1,0),FALSE)</f>
        <v>Ja</v>
      </c>
      <c r="F195" s="121" t="str">
        <f>VLOOKUP($B195,Miljö!$B$1:$J$479,MATCH("Typ av ursprungsspecificerad el   (Om inget värde anges används Nordisk residualmix, se inforuta) ()",Miljö!$B$1:$J$1,0),FALSE)</f>
        <v>'Ursprungsmärkt vattenkraft'</v>
      </c>
      <c r="G195" s="121">
        <f>VLOOKUP($B195,Miljö!$B$1:$J$479,MATCH("Primärenergifaktor ()",Miljö!$B$1:$J$1,0),FALSE)</f>
        <v>1.1000000000000001</v>
      </c>
      <c r="H195" s="121">
        <f>VLOOKUP($B195,Miljö!$B$1:$J$479,MATCH("Koldioxidekvivalenter energiomvandling (g/kwh)",Miljö!$B$1:$J$1,0),FALSE)</f>
        <v>0</v>
      </c>
      <c r="I195" s="121">
        <f>VLOOKUP($B195,Miljö!$B$1:$J$479,MATCH("Fossilandel för ursprungspecificerad el ()",Miljö!$B$1:$J$1,0),FALSE)</f>
        <v>0</v>
      </c>
      <c r="J195" s="121">
        <f>VLOOKUP($B195,Miljö!$B$1:$J$479,MATCH("Kärnkraftsandel för ursprungsspecificerad el ()",Miljö!$B$1:$J$1,0),FALSE)</f>
        <v>0</v>
      </c>
      <c r="L195" s="121">
        <f>VLOOKUP($B195,Totalt!$B$1:$BU$497,MATCH("total el",Totalt!$B$1:$BU$1,0),FALSE)</f>
        <v>9.1999999999999998E-2</v>
      </c>
      <c r="N195" s="271">
        <f t="shared" ref="N195:N258" si="12">IF(ISERROR($L195*G195),"",$L195*G195)</f>
        <v>0.10120000000000001</v>
      </c>
      <c r="O195" s="271">
        <f t="shared" ref="O195:O258" si="13">IF(ISERROR($L195*H195),"",$L195*H195)</f>
        <v>0</v>
      </c>
      <c r="P195" s="271">
        <f t="shared" ref="P195:P258" si="14">IF(ISERROR($L195*I195),"",$L195*I195)</f>
        <v>0</v>
      </c>
      <c r="Q195" s="271">
        <f t="shared" ref="Q195:Q258" si="15">IF(ISERROR($L195*J195),"",$L195*J195)</f>
        <v>0</v>
      </c>
    </row>
    <row r="196" spans="1:17" x14ac:dyDescent="0.25">
      <c r="A196" s="137" t="s">
        <v>461</v>
      </c>
      <c r="B196" s="137" t="s">
        <v>105</v>
      </c>
      <c r="C196" s="121" t="str">
        <f>VLOOKUP($B196,Totalt!$B$1:$BU$497,MATCH("Kvalitetsgranskad:",Totalt!$B$1:$BU$1,0),FALSE)</f>
        <v>Ja</v>
      </c>
      <c r="E196" s="121" t="str">
        <f>VLOOKUP($B196,Miljö!$B$1:$AG$479,MATCH(E$1,Miljö!$B$1:$AK$1,0),FALSE)</f>
        <v>Ja</v>
      </c>
      <c r="F196" s="121" t="str">
        <f>VLOOKUP($B196,Miljö!$B$1:$J$479,MATCH("Typ av ursprungsspecificerad el   (Om inget värde anges används Nordisk residualmix, se inforuta) ()",Miljö!$B$1:$J$1,0),FALSE)</f>
        <v>'ursprungsmärkt Vattenkraft'</v>
      </c>
      <c r="G196" s="121">
        <f>VLOOKUP($B196,Miljö!$B$1:$J$479,MATCH("Primärenergifaktor ()",Miljö!$B$1:$J$1,0),FALSE)</f>
        <v>1.1000000000000001</v>
      </c>
      <c r="H196" s="121">
        <f>VLOOKUP($B196,Miljö!$B$1:$J$479,MATCH("Koldioxidekvivalenter energiomvandling (g/kwh)",Miljö!$B$1:$J$1,0),FALSE)</f>
        <v>0</v>
      </c>
      <c r="I196" s="121">
        <f>VLOOKUP($B196,Miljö!$B$1:$J$479,MATCH("Fossilandel för ursprungspecificerad el ()",Miljö!$B$1:$J$1,0),FALSE)</f>
        <v>0</v>
      </c>
      <c r="J196" s="121">
        <f>VLOOKUP($B196,Miljö!$B$1:$J$479,MATCH("Kärnkraftsandel för ursprungsspecificerad el ()",Miljö!$B$1:$J$1,0),FALSE)</f>
        <v>0</v>
      </c>
      <c r="L196" s="121">
        <f>VLOOKUP($B196,Totalt!$B$1:$BU$497,MATCH("total el",Totalt!$B$1:$BU$1,0),FALSE)</f>
        <v>0.128</v>
      </c>
      <c r="N196" s="271">
        <f t="shared" si="12"/>
        <v>0.14080000000000001</v>
      </c>
      <c r="O196" s="271">
        <f t="shared" si="13"/>
        <v>0</v>
      </c>
      <c r="P196" s="271">
        <f t="shared" si="14"/>
        <v>0</v>
      </c>
      <c r="Q196" s="271">
        <f t="shared" si="15"/>
        <v>0</v>
      </c>
    </row>
    <row r="197" spans="1:17" x14ac:dyDescent="0.25">
      <c r="A197" s="137" t="s">
        <v>461</v>
      </c>
      <c r="B197" s="137" t="s">
        <v>107</v>
      </c>
      <c r="C197" s="121" t="str">
        <f>VLOOKUP($B197,Totalt!$B$1:$BU$497,MATCH("Kvalitetsgranskad:",Totalt!$B$1:$BU$1,0),FALSE)</f>
        <v>Ja</v>
      </c>
      <c r="E197" s="121" t="str">
        <f>VLOOKUP($B197,Miljö!$B$1:$AG$479,MATCH(E$1,Miljö!$B$1:$AK$1,0),FALSE)</f>
        <v>Ja</v>
      </c>
      <c r="F197" s="121" t="str">
        <f>VLOOKUP($B197,Miljö!$B$1:$J$479,MATCH("Typ av ursprungsspecificerad el   (Om inget värde anges används Nordisk residualmix, se inforuta) ()",Miljö!$B$1:$J$1,0),FALSE)</f>
        <v>'Ursprungsmärkt vattenkraft'</v>
      </c>
      <c r="G197" s="121">
        <f>VLOOKUP($B197,Miljö!$B$1:$J$479,MATCH("Primärenergifaktor ()",Miljö!$B$1:$J$1,0),FALSE)</f>
        <v>1.1000000000000001</v>
      </c>
      <c r="H197" s="121">
        <f>VLOOKUP($B197,Miljö!$B$1:$J$479,MATCH("Koldioxidekvivalenter energiomvandling (g/kwh)",Miljö!$B$1:$J$1,0),FALSE)</f>
        <v>0</v>
      </c>
      <c r="I197" s="121">
        <f>VLOOKUP($B197,Miljö!$B$1:$J$479,MATCH("Fossilandel för ursprungspecificerad el ()",Miljö!$B$1:$J$1,0),FALSE)</f>
        <v>0</v>
      </c>
      <c r="J197" s="121">
        <f>VLOOKUP($B197,Miljö!$B$1:$J$479,MATCH("Kärnkraftsandel för ursprungsspecificerad el ()",Miljö!$B$1:$J$1,0),FALSE)</f>
        <v>0</v>
      </c>
      <c r="L197" s="121">
        <f>VLOOKUP($B197,Totalt!$B$1:$BU$497,MATCH("total el",Totalt!$B$1:$BU$1,0),FALSE)</f>
        <v>1.3109999999999999</v>
      </c>
      <c r="N197" s="271">
        <f t="shared" si="12"/>
        <v>1.4421000000000002</v>
      </c>
      <c r="O197" s="271">
        <f t="shared" si="13"/>
        <v>0</v>
      </c>
      <c r="P197" s="271">
        <f t="shared" si="14"/>
        <v>0</v>
      </c>
      <c r="Q197" s="271">
        <f t="shared" si="15"/>
        <v>0</v>
      </c>
    </row>
    <row r="198" spans="1:17" x14ac:dyDescent="0.25">
      <c r="A198" s="137" t="s">
        <v>461</v>
      </c>
      <c r="B198" s="137" t="s">
        <v>109</v>
      </c>
      <c r="C198" s="121" t="str">
        <f>VLOOKUP($B198,Totalt!$B$1:$BU$497,MATCH("Kvalitetsgranskad:",Totalt!$B$1:$BU$1,0),FALSE)</f>
        <v>Ja</v>
      </c>
      <c r="E198" s="121" t="str">
        <f>VLOOKUP($B198,Miljö!$B$1:$AG$479,MATCH(E$1,Miljö!$B$1:$AK$1,0),FALSE)</f>
        <v>Ja</v>
      </c>
      <c r="F198" s="121" t="str">
        <f>VLOOKUP($B198,Miljö!$B$1:$J$479,MATCH("Typ av ursprungsspecificerad el   (Om inget värde anges används Nordisk residualmix, se inforuta) ()",Miljö!$B$1:$J$1,0),FALSE)</f>
        <v>'Ursprungsmärkt Vattenkraft'</v>
      </c>
      <c r="G198" s="121">
        <f>VLOOKUP($B198,Miljö!$B$1:$J$479,MATCH("Primärenergifaktor ()",Miljö!$B$1:$J$1,0),FALSE)</f>
        <v>1.1000000000000001</v>
      </c>
      <c r="H198" s="121">
        <f>VLOOKUP($B198,Miljö!$B$1:$J$479,MATCH("Koldioxidekvivalenter energiomvandling (g/kwh)",Miljö!$B$1:$J$1,0),FALSE)</f>
        <v>0</v>
      </c>
      <c r="I198" s="121">
        <f>VLOOKUP($B198,Miljö!$B$1:$J$479,MATCH("Fossilandel för ursprungspecificerad el ()",Miljö!$B$1:$J$1,0),FALSE)</f>
        <v>0</v>
      </c>
      <c r="J198" s="121">
        <f>VLOOKUP($B198,Miljö!$B$1:$J$479,MATCH("Kärnkraftsandel för ursprungsspecificerad el ()",Miljö!$B$1:$J$1,0),FALSE)</f>
        <v>0</v>
      </c>
      <c r="L198" s="121">
        <f>VLOOKUP($B198,Totalt!$B$1:$BU$497,MATCH("total el",Totalt!$B$1:$BU$1,0),FALSE)</f>
        <v>0.317</v>
      </c>
      <c r="N198" s="271">
        <f t="shared" si="12"/>
        <v>0.34870000000000001</v>
      </c>
      <c r="O198" s="271">
        <f t="shared" si="13"/>
        <v>0</v>
      </c>
      <c r="P198" s="271">
        <f t="shared" si="14"/>
        <v>0</v>
      </c>
      <c r="Q198" s="271">
        <f t="shared" si="15"/>
        <v>0</v>
      </c>
    </row>
    <row r="199" spans="1:17" x14ac:dyDescent="0.25">
      <c r="A199" s="137" t="s">
        <v>461</v>
      </c>
      <c r="B199" s="137" t="s">
        <v>111</v>
      </c>
      <c r="C199" s="121" t="str">
        <f>VLOOKUP($B199,Totalt!$B$1:$BU$497,MATCH("Kvalitetsgranskad:",Totalt!$B$1:$BU$1,0),FALSE)</f>
        <v>Ja</v>
      </c>
      <c r="E199" s="121" t="str">
        <f>VLOOKUP($B199,Miljö!$B$1:$AG$479,MATCH(E$1,Miljö!$B$1:$AK$1,0),FALSE)</f>
        <v>Ja</v>
      </c>
      <c r="F199" s="121" t="str">
        <f>VLOOKUP($B199,Miljö!$B$1:$J$479,MATCH("Typ av ursprungsspecificerad el   (Om inget värde anges används Nordisk residualmix, se inforuta) ()",Miljö!$B$1:$J$1,0),FALSE)</f>
        <v>'Ursprungsmärkt Vattenkraft'</v>
      </c>
      <c r="G199" s="121">
        <f>VLOOKUP($B199,Miljö!$B$1:$J$479,MATCH("Primärenergifaktor ()",Miljö!$B$1:$J$1,0),FALSE)</f>
        <v>1.1000000000000001</v>
      </c>
      <c r="H199" s="121">
        <f>VLOOKUP($B199,Miljö!$B$1:$J$479,MATCH("Koldioxidekvivalenter energiomvandling (g/kwh)",Miljö!$B$1:$J$1,0),FALSE)</f>
        <v>0</v>
      </c>
      <c r="I199" s="121">
        <f>VLOOKUP($B199,Miljö!$B$1:$J$479,MATCH("Fossilandel för ursprungspecificerad el ()",Miljö!$B$1:$J$1,0),FALSE)</f>
        <v>0</v>
      </c>
      <c r="J199" s="121">
        <f>VLOOKUP($B199,Miljö!$B$1:$J$479,MATCH("Kärnkraftsandel för ursprungsspecificerad el ()",Miljö!$B$1:$J$1,0),FALSE)</f>
        <v>0</v>
      </c>
      <c r="L199" s="121">
        <f>VLOOKUP($B199,Totalt!$B$1:$BU$497,MATCH("total el",Totalt!$B$1:$BU$1,0),FALSE)</f>
        <v>0.128</v>
      </c>
      <c r="N199" s="271">
        <f t="shared" si="12"/>
        <v>0.14080000000000001</v>
      </c>
      <c r="O199" s="271">
        <f t="shared" si="13"/>
        <v>0</v>
      </c>
      <c r="P199" s="271">
        <f t="shared" si="14"/>
        <v>0</v>
      </c>
      <c r="Q199" s="271">
        <f t="shared" si="15"/>
        <v>0</v>
      </c>
    </row>
    <row r="200" spans="1:17" x14ac:dyDescent="0.25">
      <c r="A200" s="137" t="s">
        <v>461</v>
      </c>
      <c r="B200" s="137" t="s">
        <v>469</v>
      </c>
      <c r="C200" s="121" t="str">
        <f>VLOOKUP($B200,Totalt!$B$1:$BU$497,MATCH("Kvalitetsgranskad:",Totalt!$B$1:$BU$1,0),FALSE)</f>
        <v>Ja</v>
      </c>
      <c r="E200" s="121" t="str">
        <f>VLOOKUP($B200,Miljö!$B$1:$AG$479,MATCH(E$1,Miljö!$B$1:$AK$1,0),FALSE)</f>
        <v>Ja</v>
      </c>
      <c r="F200" s="121" t="str">
        <f>VLOOKUP($B200,Miljö!$B$1:$J$479,MATCH("Typ av ursprungsspecificerad el   (Om inget värde anges används Nordisk residualmix, se inforuta) ()",Miljö!$B$1:$J$1,0),FALSE)</f>
        <v>'Ursprungsmärkt Vattenkraft'</v>
      </c>
      <c r="G200" s="121">
        <f>VLOOKUP($B200,Miljö!$B$1:$J$479,MATCH("Primärenergifaktor ()",Miljö!$B$1:$J$1,0),FALSE)</f>
        <v>1.1000000000000001</v>
      </c>
      <c r="H200" s="121">
        <f>VLOOKUP($B200,Miljö!$B$1:$J$479,MATCH("Koldioxidekvivalenter energiomvandling (g/kwh)",Miljö!$B$1:$J$1,0),FALSE)</f>
        <v>0</v>
      </c>
      <c r="I200" s="121">
        <f>VLOOKUP($B200,Miljö!$B$1:$J$479,MATCH("Fossilandel för ursprungspecificerad el ()",Miljö!$B$1:$J$1,0),FALSE)</f>
        <v>0</v>
      </c>
      <c r="J200" s="121">
        <f>VLOOKUP($B200,Miljö!$B$1:$J$479,MATCH("Kärnkraftsandel för ursprungsspecificerad el ()",Miljö!$B$1:$J$1,0),FALSE)</f>
        <v>0</v>
      </c>
      <c r="L200" s="121">
        <f>VLOOKUP($B200,Totalt!$B$1:$BU$497,MATCH("total el",Totalt!$B$1:$BU$1,0),FALSE)</f>
        <v>0.65600000000000003</v>
      </c>
      <c r="N200" s="271">
        <f t="shared" si="12"/>
        <v>0.72160000000000013</v>
      </c>
      <c r="O200" s="271">
        <f t="shared" si="13"/>
        <v>0</v>
      </c>
      <c r="P200" s="271">
        <f t="shared" si="14"/>
        <v>0</v>
      </c>
      <c r="Q200" s="271">
        <f t="shared" si="15"/>
        <v>0</v>
      </c>
    </row>
    <row r="201" spans="1:17" x14ac:dyDescent="0.25">
      <c r="A201" s="137" t="s">
        <v>461</v>
      </c>
      <c r="B201" s="137" t="s">
        <v>470</v>
      </c>
      <c r="C201" s="121" t="str">
        <f>VLOOKUP($B201,Totalt!$B$1:$BU$497,MATCH("Kvalitetsgranskad:",Totalt!$B$1:$BU$1,0),FALSE)</f>
        <v>Ja</v>
      </c>
      <c r="E201" s="121" t="str">
        <f>VLOOKUP($B201,Miljö!$B$1:$AG$479,MATCH(E$1,Miljö!$B$1:$AK$1,0),FALSE)</f>
        <v>Ja</v>
      </c>
      <c r="F201" s="121" t="str">
        <f>VLOOKUP($B201,Miljö!$B$1:$J$479,MATCH("Typ av ursprungsspecificerad el   (Om inget värde anges används Nordisk residualmix, se inforuta) ()",Miljö!$B$1:$J$1,0),FALSE)</f>
        <v>'Ursprungsmärkt vattenkraft'</v>
      </c>
      <c r="G201" s="121">
        <f>VLOOKUP($B201,Miljö!$B$1:$J$479,MATCH("Primärenergifaktor ()",Miljö!$B$1:$J$1,0),FALSE)</f>
        <v>1.1000000000000001</v>
      </c>
      <c r="H201" s="121">
        <f>VLOOKUP($B201,Miljö!$B$1:$J$479,MATCH("Koldioxidekvivalenter energiomvandling (g/kwh)",Miljö!$B$1:$J$1,0),FALSE)</f>
        <v>0</v>
      </c>
      <c r="I201" s="121">
        <f>VLOOKUP($B201,Miljö!$B$1:$J$479,MATCH("Fossilandel för ursprungspecificerad el ()",Miljö!$B$1:$J$1,0),FALSE)</f>
        <v>0</v>
      </c>
      <c r="J201" s="121">
        <f>VLOOKUP($B201,Miljö!$B$1:$J$479,MATCH("Kärnkraftsandel för ursprungsspecificerad el ()",Miljö!$B$1:$J$1,0),FALSE)</f>
        <v>0</v>
      </c>
      <c r="L201" s="121">
        <f>VLOOKUP($B201,Totalt!$B$1:$BU$497,MATCH("total el",Totalt!$B$1:$BU$1,0),FALSE)</f>
        <v>0.22800000000000001</v>
      </c>
      <c r="N201" s="271">
        <f t="shared" si="12"/>
        <v>0.25080000000000002</v>
      </c>
      <c r="O201" s="271">
        <f t="shared" si="13"/>
        <v>0</v>
      </c>
      <c r="P201" s="271">
        <f t="shared" si="14"/>
        <v>0</v>
      </c>
      <c r="Q201" s="271">
        <f t="shared" si="15"/>
        <v>0</v>
      </c>
    </row>
    <row r="202" spans="1:17" x14ac:dyDescent="0.25">
      <c r="A202" s="137" t="s">
        <v>461</v>
      </c>
      <c r="B202" s="137" t="s">
        <v>113</v>
      </c>
      <c r="C202" s="121" t="str">
        <f>VLOOKUP($B202,Totalt!$B$1:$BU$497,MATCH("Kvalitetsgranskad:",Totalt!$B$1:$BU$1,0),FALSE)</f>
        <v>Ja</v>
      </c>
      <c r="E202" s="121" t="str">
        <f>VLOOKUP($B202,Miljö!$B$1:$AG$479,MATCH(E$1,Miljö!$B$1:$AK$1,0),FALSE)</f>
        <v>Ja</v>
      </c>
      <c r="F202" s="121" t="str">
        <f>VLOOKUP($B202,Miljö!$B$1:$J$479,MATCH("Typ av ursprungsspecificerad el   (Om inget värde anges används Nordisk residualmix, se inforuta) ()",Miljö!$B$1:$J$1,0),FALSE)</f>
        <v>'Ursprungsmärkt Vattenkraft'</v>
      </c>
      <c r="G202" s="121">
        <f>VLOOKUP($B202,Miljö!$B$1:$J$479,MATCH("Primärenergifaktor ()",Miljö!$B$1:$J$1,0),FALSE)</f>
        <v>1.1000000000000001</v>
      </c>
      <c r="H202" s="121">
        <f>VLOOKUP($B202,Miljö!$B$1:$J$479,MATCH("Koldioxidekvivalenter energiomvandling (g/kwh)",Miljö!$B$1:$J$1,0),FALSE)</f>
        <v>0</v>
      </c>
      <c r="I202" s="121">
        <f>VLOOKUP($B202,Miljö!$B$1:$J$479,MATCH("Fossilandel för ursprungspecificerad el ()",Miljö!$B$1:$J$1,0),FALSE)</f>
        <v>0</v>
      </c>
      <c r="J202" s="121">
        <f>VLOOKUP($B202,Miljö!$B$1:$J$479,MATCH("Kärnkraftsandel för ursprungsspecificerad el ()",Miljö!$B$1:$J$1,0),FALSE)</f>
        <v>0</v>
      </c>
      <c r="L202" s="121">
        <f>VLOOKUP($B202,Totalt!$B$1:$BU$497,MATCH("total el",Totalt!$B$1:$BU$1,0),FALSE)</f>
        <v>8.8999999999999996E-2</v>
      </c>
      <c r="N202" s="271">
        <f t="shared" si="12"/>
        <v>9.7900000000000001E-2</v>
      </c>
      <c r="O202" s="271">
        <f t="shared" si="13"/>
        <v>0</v>
      </c>
      <c r="P202" s="271">
        <f t="shared" si="14"/>
        <v>0</v>
      </c>
      <c r="Q202" s="271">
        <f t="shared" si="15"/>
        <v>0</v>
      </c>
    </row>
    <row r="203" spans="1:17" x14ac:dyDescent="0.25">
      <c r="A203" s="137" t="s">
        <v>474</v>
      </c>
      <c r="B203" s="137" t="s">
        <v>475</v>
      </c>
      <c r="C203" s="121" t="str">
        <f>VLOOKUP($B203,Totalt!$B$1:$BU$497,MATCH("Kvalitetsgranskad:",Totalt!$B$1:$BU$1,0),FALSE)</f>
        <v>Ja</v>
      </c>
      <c r="E203" s="121" t="str">
        <f>VLOOKUP($B203,Miljö!$B$1:$AG$479,MATCH(E$1,Miljö!$B$1:$AK$1,0),FALSE)</f>
        <v>Nej</v>
      </c>
      <c r="F203" s="121" t="str">
        <f>VLOOKUP($B203,Miljö!$B$1:$J$479,MATCH("Typ av ursprungsspecificerad el   (Om inget värde anges används Nordisk residualmix, se inforuta) ()",Miljö!$B$1:$J$1,0),FALSE)</f>
        <v>'-'</v>
      </c>
      <c r="G203" s="121">
        <f>VLOOKUP($B203,Miljö!$B$1:$J$479,MATCH("Primärenergifaktor ()",Miljö!$B$1:$J$1,0),FALSE)</f>
        <v>2.2999999999999998</v>
      </c>
      <c r="H203" s="121">
        <f>VLOOKUP($B203,Miljö!$B$1:$J$479,MATCH("Koldioxidekvivalenter energiomvandling (g/kwh)",Miljö!$B$1:$J$1,0),FALSE)</f>
        <v>329.19</v>
      </c>
      <c r="I203" s="121">
        <f>VLOOKUP($B203,Miljö!$B$1:$J$479,MATCH("Fossilandel för ursprungspecificerad el ()",Miljö!$B$1:$J$1,0),FALSE)</f>
        <v>0.43</v>
      </c>
      <c r="J203" s="121">
        <f>VLOOKUP($B203,Miljö!$B$1:$J$479,MATCH("Kärnkraftsandel för ursprungsspecificerad el ()",Miljö!$B$1:$J$1,0),FALSE)</f>
        <v>0.40550000000000003</v>
      </c>
      <c r="L203" s="121">
        <f>VLOOKUP($B203,Totalt!$B$1:$BU$497,MATCH("total el",Totalt!$B$1:$BU$1,0),FALSE)</f>
        <v>0.11193</v>
      </c>
      <c r="N203" s="271">
        <f t="shared" si="12"/>
        <v>0.25743899999999997</v>
      </c>
      <c r="O203" s="271">
        <f t="shared" si="13"/>
        <v>36.846236699999999</v>
      </c>
      <c r="P203" s="271">
        <f t="shared" si="14"/>
        <v>4.8129900000000003E-2</v>
      </c>
      <c r="Q203" s="271">
        <f t="shared" si="15"/>
        <v>4.5387615000000006E-2</v>
      </c>
    </row>
    <row r="204" spans="1:17" x14ac:dyDescent="0.25">
      <c r="A204" s="137" t="s">
        <v>474</v>
      </c>
      <c r="B204" s="137" t="s">
        <v>476</v>
      </c>
      <c r="C204" s="121" t="str">
        <f>VLOOKUP($B204,Totalt!$B$1:$BU$497,MATCH("Kvalitetsgranskad:",Totalt!$B$1:$BU$1,0),FALSE)</f>
        <v>Ja</v>
      </c>
      <c r="E204" s="121" t="str">
        <f>VLOOKUP($B204,Miljö!$B$1:$AG$479,MATCH(E$1,Miljö!$B$1:$AK$1,0),FALSE)</f>
        <v>Nej</v>
      </c>
      <c r="F204" s="121" t="str">
        <f>VLOOKUP($B204,Miljö!$B$1:$J$479,MATCH("Typ av ursprungsspecificerad el   (Om inget värde anges används Nordisk residualmix, se inforuta) ()",Miljö!$B$1:$J$1,0),FALSE)</f>
        <v>-</v>
      </c>
      <c r="G204" s="121">
        <f>VLOOKUP($B204,Miljö!$B$1:$J$479,MATCH("Primärenergifaktor ()",Miljö!$B$1:$J$1,0),FALSE)</f>
        <v>2.2999999999999998</v>
      </c>
      <c r="H204" s="121">
        <f>VLOOKUP($B204,Miljö!$B$1:$J$479,MATCH("Koldioxidekvivalenter energiomvandling (g/kwh)",Miljö!$B$1:$J$1,0),FALSE)</f>
        <v>329.19</v>
      </c>
      <c r="I204" s="121">
        <f>VLOOKUP($B204,Miljö!$B$1:$J$479,MATCH("Fossilandel för ursprungspecificerad el ()",Miljö!$B$1:$J$1,0),FALSE)</f>
        <v>0.43</v>
      </c>
      <c r="J204" s="121">
        <f>VLOOKUP($B204,Miljö!$B$1:$J$479,MATCH("Kärnkraftsandel för ursprungsspecificerad el ()",Miljö!$B$1:$J$1,0),FALSE)</f>
        <v>0.40550000000000003</v>
      </c>
      <c r="L204" s="121">
        <f>VLOOKUP($B204,Totalt!$B$1:$BU$497,MATCH("total el",Totalt!$B$1:$BU$1,0),FALSE)</f>
        <v>1.32843</v>
      </c>
      <c r="N204" s="271">
        <f t="shared" si="12"/>
        <v>3.0553889999999999</v>
      </c>
      <c r="O204" s="271">
        <f t="shared" si="13"/>
        <v>437.30587170000001</v>
      </c>
      <c r="P204" s="271">
        <f t="shared" si="14"/>
        <v>0.57122490000000004</v>
      </c>
      <c r="Q204" s="271">
        <f t="shared" si="15"/>
        <v>0.53867836499999999</v>
      </c>
    </row>
    <row r="205" spans="1:17" x14ac:dyDescent="0.25">
      <c r="A205" s="137" t="s">
        <v>477</v>
      </c>
      <c r="B205" s="137" t="s">
        <v>478</v>
      </c>
      <c r="C205" s="121" t="str">
        <f>VLOOKUP($B205,Totalt!$B$1:$BU$497,MATCH("Kvalitetsgranskad:",Totalt!$B$1:$BU$1,0),FALSE)</f>
        <v>Ja</v>
      </c>
      <c r="E205" s="121" t="str">
        <f>VLOOKUP($B205,Miljö!$B$1:$AG$479,MATCH(E$1,Miljö!$B$1:$AK$1,0),FALSE)</f>
        <v>Nej</v>
      </c>
      <c r="F205" s="121" t="str">
        <f>VLOOKUP($B205,Miljö!$B$1:$J$479,MATCH("Typ av ursprungsspecificerad el   (Om inget värde anges används Nordisk residualmix, se inforuta) ()",Miljö!$B$1:$J$1,0),FALSE)</f>
        <v>'-'</v>
      </c>
      <c r="G205" s="121">
        <f>VLOOKUP($B205,Miljö!$B$1:$J$479,MATCH("Primärenergifaktor ()",Miljö!$B$1:$J$1,0),FALSE)</f>
        <v>2.2999999999999998</v>
      </c>
      <c r="H205" s="121">
        <f>VLOOKUP($B205,Miljö!$B$1:$J$479,MATCH("Koldioxidekvivalenter energiomvandling (g/kwh)",Miljö!$B$1:$J$1,0),FALSE)</f>
        <v>329.19</v>
      </c>
      <c r="I205" s="121">
        <f>VLOOKUP($B205,Miljö!$B$1:$J$479,MATCH("Fossilandel för ursprungspecificerad el ()",Miljö!$B$1:$J$1,0),FALSE)</f>
        <v>0.43</v>
      </c>
      <c r="J205" s="121">
        <f>VLOOKUP($B205,Miljö!$B$1:$J$479,MATCH("Kärnkraftsandel för ursprungsspecificerad el ()",Miljö!$B$1:$J$1,0),FALSE)</f>
        <v>0.40550000000000003</v>
      </c>
      <c r="L205" s="121">
        <f>VLOOKUP($B205,Totalt!$B$1:$BU$497,MATCH("total el",Totalt!$B$1:$BU$1,0),FALSE)</f>
        <v>0.126</v>
      </c>
      <c r="N205" s="271">
        <f t="shared" si="12"/>
        <v>0.2898</v>
      </c>
      <c r="O205" s="271">
        <f t="shared" si="13"/>
        <v>41.477939999999997</v>
      </c>
      <c r="P205" s="271">
        <f t="shared" si="14"/>
        <v>5.4179999999999999E-2</v>
      </c>
      <c r="Q205" s="271">
        <f t="shared" si="15"/>
        <v>5.1093000000000006E-2</v>
      </c>
    </row>
    <row r="206" spans="1:17" x14ac:dyDescent="0.25">
      <c r="A206" s="137" t="s">
        <v>477</v>
      </c>
      <c r="B206" s="137" t="s">
        <v>479</v>
      </c>
      <c r="C206" s="121" t="str">
        <f>VLOOKUP($B206,Totalt!$B$1:$BU$497,MATCH("Kvalitetsgranskad:",Totalt!$B$1:$BU$1,0),FALSE)</f>
        <v>Ja</v>
      </c>
      <c r="E206" s="121" t="str">
        <f>VLOOKUP($B206,Miljö!$B$1:$AG$479,MATCH(E$1,Miljö!$B$1:$AK$1,0),FALSE)</f>
        <v>Ja</v>
      </c>
      <c r="F206" s="121" t="str">
        <f>VLOOKUP($B206,Miljö!$B$1:$J$479,MATCH("Typ av ursprungsspecificerad el   (Om inget värde anges används Nordisk residualmix, se inforuta) ()",Miljö!$B$1:$J$1,0),FALSE)</f>
        <v>'-'</v>
      </c>
      <c r="G206" s="121">
        <f>VLOOKUP($B206,Miljö!$B$1:$J$479,MATCH("Primärenergifaktor ()",Miljö!$B$1:$J$1,0),FALSE)</f>
        <v>2.23</v>
      </c>
      <c r="H206" s="121">
        <f>VLOOKUP($B206,Miljö!$B$1:$J$479,MATCH("Koldioxidekvivalenter energiomvandling (g/kwh)",Miljö!$B$1:$J$1,0),FALSE)</f>
        <v>329.19</v>
      </c>
      <c r="I206" s="121">
        <f>VLOOKUP($B206,Miljö!$B$1:$J$479,MATCH("Fossilandel för ursprungspecificerad el ()",Miljö!$B$1:$J$1,0),FALSE)</f>
        <v>0.43</v>
      </c>
      <c r="J206" s="121">
        <f>VLOOKUP($B206,Miljö!$B$1:$J$479,MATCH("Kärnkraftsandel för ursprungsspecificerad el ()",Miljö!$B$1:$J$1,0),FALSE)</f>
        <v>0.40550000000000003</v>
      </c>
      <c r="L206" s="121">
        <f>VLOOKUP($B206,Totalt!$B$1:$BU$497,MATCH("total el",Totalt!$B$1:$BU$1,0),FALSE)</f>
        <v>3.8340000000000001</v>
      </c>
      <c r="N206" s="271">
        <f t="shared" si="12"/>
        <v>8.5498200000000004</v>
      </c>
      <c r="O206" s="271">
        <f t="shared" si="13"/>
        <v>1262.11446</v>
      </c>
      <c r="P206" s="271">
        <f t="shared" si="14"/>
        <v>1.64862</v>
      </c>
      <c r="Q206" s="271">
        <f t="shared" si="15"/>
        <v>1.5546870000000002</v>
      </c>
    </row>
    <row r="207" spans="1:17" x14ac:dyDescent="0.25">
      <c r="A207" s="137" t="s">
        <v>480</v>
      </c>
      <c r="B207" s="137" t="s">
        <v>481</v>
      </c>
      <c r="C207" s="121" t="str">
        <f>VLOOKUP($B207,Totalt!$B$1:$BU$497,MATCH("Kvalitetsgranskad:",Totalt!$B$1:$BU$1,0),FALSE)</f>
        <v>Nej</v>
      </c>
      <c r="E207" s="121" t="str">
        <f>VLOOKUP($B207,Miljö!$B$1:$AG$479,MATCH(E$1,Miljö!$B$1:$AK$1,0),FALSE)</f>
        <v>Nej</v>
      </c>
      <c r="F207" s="121" t="str">
        <f>VLOOKUP($B207,Miljö!$B$1:$J$479,MATCH("Typ av ursprungsspecificerad el   (Om inget värde anges används Nordisk residualmix, se inforuta) ()",Miljö!$B$1:$J$1,0),FALSE)</f>
        <v>-</v>
      </c>
      <c r="G207" s="121" t="str">
        <f>VLOOKUP($B207,Miljö!$B$1:$J$479,MATCH("Primärenergifaktor ()",Miljö!$B$1:$J$1,0),FALSE)</f>
        <v>-</v>
      </c>
      <c r="H207" s="121" t="str">
        <f>VLOOKUP($B207,Miljö!$B$1:$J$479,MATCH("Koldioxidekvivalenter energiomvandling (g/kwh)",Miljö!$B$1:$J$1,0),FALSE)</f>
        <v>-</v>
      </c>
      <c r="I207" s="121" t="str">
        <f>VLOOKUP($B207,Miljö!$B$1:$J$479,MATCH("Fossilandel för ursprungspecificerad el ()",Miljö!$B$1:$J$1,0),FALSE)</f>
        <v>-</v>
      </c>
      <c r="J207" s="121" t="str">
        <f>VLOOKUP($B207,Miljö!$B$1:$J$479,MATCH("Kärnkraftsandel för ursprungsspecificerad el ()",Miljö!$B$1:$J$1,0),FALSE)</f>
        <v>-</v>
      </c>
      <c r="L207" s="121">
        <f>VLOOKUP($B207,Totalt!$B$1:$BU$497,MATCH("total el",Totalt!$B$1:$BU$1,0),FALSE)</f>
        <v>0</v>
      </c>
      <c r="N207" s="271" t="str">
        <f t="shared" si="12"/>
        <v/>
      </c>
      <c r="O207" s="271" t="str">
        <f t="shared" si="13"/>
        <v/>
      </c>
      <c r="P207" s="271" t="str">
        <f t="shared" si="14"/>
        <v/>
      </c>
      <c r="Q207" s="271" t="str">
        <f t="shared" si="15"/>
        <v/>
      </c>
    </row>
    <row r="208" spans="1:17" x14ac:dyDescent="0.25">
      <c r="A208" s="137" t="s">
        <v>115</v>
      </c>
      <c r="B208" s="137" t="s">
        <v>482</v>
      </c>
      <c r="C208" s="121" t="str">
        <f>VLOOKUP($B208,Totalt!$B$1:$BU$497,MATCH("Kvalitetsgranskad:",Totalt!$B$1:$BU$1,0),FALSE)</f>
        <v>Ja</v>
      </c>
      <c r="E208" s="121" t="str">
        <f>VLOOKUP($B208,Miljö!$B$1:$AG$479,MATCH(E$1,Miljö!$B$1:$AK$1,0),FALSE)</f>
        <v>Ja</v>
      </c>
      <c r="F208" s="121" t="str">
        <f>VLOOKUP($B208,Miljö!$B$1:$J$479,MATCH("Typ av ursprungsspecificerad el   (Om inget värde anges används Nordisk residualmix, se inforuta) ()",Miljö!$B$1:$J$1,0),FALSE)</f>
        <v>'Bra Miljöval El'</v>
      </c>
      <c r="G208" s="121">
        <f>VLOOKUP($B208,Miljö!$B$1:$J$479,MATCH("Primärenergifaktor ()",Miljö!$B$1:$J$1,0),FALSE)</f>
        <v>1.03</v>
      </c>
      <c r="H208" s="121">
        <f>VLOOKUP($B208,Miljö!$B$1:$J$479,MATCH("Koldioxidekvivalenter energiomvandling (g/kwh)",Miljö!$B$1:$J$1,0),FALSE)</f>
        <v>0</v>
      </c>
      <c r="I208" s="121">
        <f>VLOOKUP($B208,Miljö!$B$1:$J$479,MATCH("Fossilandel för ursprungspecificerad el ()",Miljö!$B$1:$J$1,0),FALSE)</f>
        <v>0</v>
      </c>
      <c r="J208" s="121">
        <f>VLOOKUP($B208,Miljö!$B$1:$J$479,MATCH("Kärnkraftsandel för ursprungsspecificerad el ()",Miljö!$B$1:$J$1,0),FALSE)</f>
        <v>0</v>
      </c>
      <c r="L208" s="121">
        <f>VLOOKUP($B208,Totalt!$B$1:$BU$497,MATCH("total el",Totalt!$B$1:$BU$1,0),FALSE)</f>
        <v>163.018</v>
      </c>
      <c r="N208" s="271">
        <f t="shared" si="12"/>
        <v>167.90854000000002</v>
      </c>
      <c r="O208" s="271">
        <f t="shared" si="13"/>
        <v>0</v>
      </c>
      <c r="P208" s="271">
        <f t="shared" si="14"/>
        <v>0</v>
      </c>
      <c r="Q208" s="271">
        <f t="shared" si="15"/>
        <v>0</v>
      </c>
    </row>
    <row r="209" spans="1:17" x14ac:dyDescent="0.25">
      <c r="A209" s="137" t="s">
        <v>483</v>
      </c>
      <c r="B209" s="137" t="s">
        <v>484</v>
      </c>
      <c r="C209" s="121" t="str">
        <f>VLOOKUP($B209,Totalt!$B$1:$BU$497,MATCH("Kvalitetsgranskad:",Totalt!$B$1:$BU$1,0),FALSE)</f>
        <v>Ja</v>
      </c>
      <c r="E209" s="121" t="str">
        <f>VLOOKUP($B209,Miljö!$B$1:$AG$479,MATCH(E$1,Miljö!$B$1:$AK$1,0),FALSE)</f>
        <v>Ja</v>
      </c>
      <c r="F209" s="121" t="str">
        <f>VLOOKUP($B209,Miljö!$B$1:$J$479,MATCH("Typ av ursprungsspecificerad el   (Om inget värde anges används Nordisk residualmix, se inforuta) ()",Miljö!$B$1:$J$1,0),FALSE)</f>
        <v>'Vattenfall EPD 100%'</v>
      </c>
      <c r="G209" s="121">
        <f>VLOOKUP($B209,Miljö!$B$1:$J$479,MATCH("Primärenergifaktor ()",Miljö!$B$1:$J$1,0),FALSE)</f>
        <v>1.1000000000000001</v>
      </c>
      <c r="H209" s="121">
        <f>VLOOKUP($B209,Miljö!$B$1:$J$479,MATCH("Koldioxidekvivalenter energiomvandling (g/kwh)",Miljö!$B$1:$J$1,0),FALSE)</f>
        <v>0</v>
      </c>
      <c r="I209" s="121">
        <f>VLOOKUP($B209,Miljö!$B$1:$J$479,MATCH("Fossilandel för ursprungspecificerad el ()",Miljö!$B$1:$J$1,0),FALSE)</f>
        <v>0</v>
      </c>
      <c r="J209" s="121">
        <f>VLOOKUP($B209,Miljö!$B$1:$J$479,MATCH("Kärnkraftsandel för ursprungsspecificerad el ()",Miljö!$B$1:$J$1,0),FALSE)</f>
        <v>0</v>
      </c>
      <c r="L209" s="121">
        <f>VLOOKUP($B209,Totalt!$B$1:$BU$497,MATCH("total el",Totalt!$B$1:$BU$1,0),FALSE)</f>
        <v>0.499</v>
      </c>
      <c r="N209" s="271">
        <f t="shared" si="12"/>
        <v>0.54890000000000005</v>
      </c>
      <c r="O209" s="271">
        <f t="shared" si="13"/>
        <v>0</v>
      </c>
      <c r="P209" s="271">
        <f t="shared" si="14"/>
        <v>0</v>
      </c>
      <c r="Q209" s="271">
        <f t="shared" si="15"/>
        <v>0</v>
      </c>
    </row>
    <row r="210" spans="1:17" x14ac:dyDescent="0.25">
      <c r="A210" s="137" t="s">
        <v>483</v>
      </c>
      <c r="B210" s="137" t="s">
        <v>485</v>
      </c>
      <c r="C210" s="121" t="str">
        <f>VLOOKUP($B210,Totalt!$B$1:$BU$497,MATCH("Kvalitetsgranskad:",Totalt!$B$1:$BU$1,0),FALSE)</f>
        <v>Ja</v>
      </c>
      <c r="E210" s="121" t="str">
        <f>VLOOKUP($B210,Miljö!$B$1:$AG$479,MATCH(E$1,Miljö!$B$1:$AK$1,0),FALSE)</f>
        <v>Ja</v>
      </c>
      <c r="F210" s="121" t="str">
        <f>VLOOKUP($B210,Miljö!$B$1:$J$479,MATCH("Typ av ursprungsspecificerad el   (Om inget värde anges används Nordisk residualmix, se inforuta) ()",Miljö!$B$1:$J$1,0),FALSE)</f>
        <v>'Vattenfall EPD 100%'</v>
      </c>
      <c r="G210" s="121">
        <f>VLOOKUP($B210,Miljö!$B$1:$J$479,MATCH("Primärenergifaktor ()",Miljö!$B$1:$J$1,0),FALSE)</f>
        <v>1.1000000000000001</v>
      </c>
      <c r="H210" s="121">
        <f>VLOOKUP($B210,Miljö!$B$1:$J$479,MATCH("Koldioxidekvivalenter energiomvandling (g/kwh)",Miljö!$B$1:$J$1,0),FALSE)</f>
        <v>0</v>
      </c>
      <c r="I210" s="121">
        <f>VLOOKUP($B210,Miljö!$B$1:$J$479,MATCH("Fossilandel för ursprungspecificerad el ()",Miljö!$B$1:$J$1,0),FALSE)</f>
        <v>0</v>
      </c>
      <c r="J210" s="121">
        <f>VLOOKUP($B210,Miljö!$B$1:$J$479,MATCH("Kärnkraftsandel för ursprungsspecificerad el ()",Miljö!$B$1:$J$1,0),FALSE)</f>
        <v>0</v>
      </c>
      <c r="L210" s="121">
        <f>VLOOKUP($B210,Totalt!$B$1:$BU$497,MATCH("total el",Totalt!$B$1:$BU$1,0),FALSE)</f>
        <v>5.4435599999999997</v>
      </c>
      <c r="N210" s="271">
        <f t="shared" si="12"/>
        <v>5.9879160000000002</v>
      </c>
      <c r="O210" s="271">
        <f t="shared" si="13"/>
        <v>0</v>
      </c>
      <c r="P210" s="271">
        <f t="shared" si="14"/>
        <v>0</v>
      </c>
      <c r="Q210" s="271">
        <f t="shared" si="15"/>
        <v>0</v>
      </c>
    </row>
    <row r="211" spans="1:17" x14ac:dyDescent="0.25">
      <c r="A211" s="137" t="s">
        <v>483</v>
      </c>
      <c r="B211" s="137" t="s">
        <v>486</v>
      </c>
      <c r="C211" s="121" t="str">
        <f>VLOOKUP($B211,Totalt!$B$1:$BU$497,MATCH("Kvalitetsgranskad:",Totalt!$B$1:$BU$1,0),FALSE)</f>
        <v>Ja</v>
      </c>
      <c r="E211" s="121" t="str">
        <f>VLOOKUP($B211,Miljö!$B$1:$AG$479,MATCH(E$1,Miljö!$B$1:$AK$1,0),FALSE)</f>
        <v>Ja</v>
      </c>
      <c r="F211" s="121" t="str">
        <f>VLOOKUP($B211,Miljö!$B$1:$J$479,MATCH("Typ av ursprungsspecificerad el   (Om inget värde anges används Nordisk residualmix, se inforuta) ()",Miljö!$B$1:$J$1,0),FALSE)</f>
        <v>'Vattenfall EPD 100%'</v>
      </c>
      <c r="G211" s="121">
        <f>VLOOKUP($B211,Miljö!$B$1:$J$479,MATCH("Primärenergifaktor ()",Miljö!$B$1:$J$1,0),FALSE)</f>
        <v>1.1000000000000001</v>
      </c>
      <c r="H211" s="121">
        <f>VLOOKUP($B211,Miljö!$B$1:$J$479,MATCH("Koldioxidekvivalenter energiomvandling (g/kwh)",Miljö!$B$1:$J$1,0),FALSE)</f>
        <v>0</v>
      </c>
      <c r="I211" s="121">
        <f>VLOOKUP($B211,Miljö!$B$1:$J$479,MATCH("Fossilandel för ursprungspecificerad el ()",Miljö!$B$1:$J$1,0),FALSE)</f>
        <v>0</v>
      </c>
      <c r="J211" s="121">
        <f>VLOOKUP($B211,Miljö!$B$1:$J$479,MATCH("Kärnkraftsandel för ursprungsspecificerad el ()",Miljö!$B$1:$J$1,0),FALSE)</f>
        <v>0</v>
      </c>
      <c r="L211" s="121">
        <f>VLOOKUP($B211,Totalt!$B$1:$BU$497,MATCH("total el",Totalt!$B$1:$BU$1,0),FALSE)</f>
        <v>1.9339999999999999</v>
      </c>
      <c r="N211" s="271">
        <f t="shared" si="12"/>
        <v>2.1274000000000002</v>
      </c>
      <c r="O211" s="271">
        <f t="shared" si="13"/>
        <v>0</v>
      </c>
      <c r="P211" s="271">
        <f t="shared" si="14"/>
        <v>0</v>
      </c>
      <c r="Q211" s="271">
        <f t="shared" si="15"/>
        <v>0</v>
      </c>
    </row>
    <row r="212" spans="1:17" x14ac:dyDescent="0.25">
      <c r="A212" s="137" t="s">
        <v>487</v>
      </c>
      <c r="B212" s="137" t="s">
        <v>488</v>
      </c>
      <c r="C212" s="121" t="str">
        <f>VLOOKUP($B212,Totalt!$B$1:$BU$497,MATCH("Kvalitetsgranskad:",Totalt!$B$1:$BU$1,0),FALSE)</f>
        <v>Ja</v>
      </c>
      <c r="E212" s="121" t="str">
        <f>VLOOKUP($B212,Miljö!$B$1:$AG$479,MATCH(E$1,Miljö!$B$1:$AK$1,0),FALSE)</f>
        <v>Ja</v>
      </c>
      <c r="F212" s="121" t="str">
        <f>VLOOKUP($B212,Miljö!$B$1:$J$479,MATCH("Typ av ursprungsspecificerad el   (Om inget värde anges används Nordisk residualmix, se inforuta) ()",Miljö!$B$1:$J$1,0),FALSE)</f>
        <v>'vattenkraft'</v>
      </c>
      <c r="G212" s="121">
        <f>VLOOKUP($B212,Miljö!$B$1:$J$479,MATCH("Primärenergifaktor ()",Miljö!$B$1:$J$1,0),FALSE)</f>
        <v>1.1000000000000001</v>
      </c>
      <c r="H212" s="121">
        <f>VLOOKUP($B212,Miljö!$B$1:$J$479,MATCH("Koldioxidekvivalenter energiomvandling (g/kwh)",Miljö!$B$1:$J$1,0),FALSE)</f>
        <v>0</v>
      </c>
      <c r="I212" s="121">
        <f>VLOOKUP($B212,Miljö!$B$1:$J$479,MATCH("Fossilandel för ursprungspecificerad el ()",Miljö!$B$1:$J$1,0),FALSE)</f>
        <v>0</v>
      </c>
      <c r="J212" s="121">
        <f>VLOOKUP($B212,Miljö!$B$1:$J$479,MATCH("Kärnkraftsandel för ursprungsspecificerad el ()",Miljö!$B$1:$J$1,0),FALSE)</f>
        <v>0</v>
      </c>
      <c r="L212" s="121">
        <f>VLOOKUP($B212,Totalt!$B$1:$BU$497,MATCH("total el",Totalt!$B$1:$BU$1,0),FALSE)</f>
        <v>0.15</v>
      </c>
      <c r="N212" s="271">
        <f t="shared" si="12"/>
        <v>0.16500000000000001</v>
      </c>
      <c r="O212" s="271">
        <f t="shared" si="13"/>
        <v>0</v>
      </c>
      <c r="P212" s="271">
        <f t="shared" si="14"/>
        <v>0</v>
      </c>
      <c r="Q212" s="271">
        <f t="shared" si="15"/>
        <v>0</v>
      </c>
    </row>
    <row r="213" spans="1:17" x14ac:dyDescent="0.25">
      <c r="A213" s="137" t="s">
        <v>489</v>
      </c>
      <c r="B213" s="137" t="s">
        <v>490</v>
      </c>
      <c r="C213" s="121" t="str">
        <f>VLOOKUP($B213,Totalt!$B$1:$BU$497,MATCH("Kvalitetsgranskad:",Totalt!$B$1:$BU$1,0),FALSE)</f>
        <v>Ja</v>
      </c>
      <c r="E213" s="121" t="str">
        <f>VLOOKUP($B213,Miljö!$B$1:$AG$479,MATCH(E$1,Miljö!$B$1:$AK$1,0),FALSE)</f>
        <v>Ja</v>
      </c>
      <c r="F213" s="121" t="str">
        <f>VLOOKUP($B213,Miljö!$B$1:$J$479,MATCH("Typ av ursprungsspecificerad el   (Om inget värde anges används Nordisk residualmix, se inforuta) ()",Miljö!$B$1:$J$1,0),FALSE)</f>
        <v>'Biobränsle'</v>
      </c>
      <c r="G213" s="121">
        <f>VLOOKUP($B213,Miljö!$B$1:$J$479,MATCH("Primärenergifaktor ()",Miljö!$B$1:$J$1,0),FALSE)</f>
        <v>1.1000000000000001</v>
      </c>
      <c r="H213" s="121">
        <f>VLOOKUP($B213,Miljö!$B$1:$J$479,MATCH("Koldioxidekvivalenter energiomvandling (g/kwh)",Miljö!$B$1:$J$1,0),FALSE)</f>
        <v>0</v>
      </c>
      <c r="I213" s="121">
        <f>VLOOKUP($B213,Miljö!$B$1:$J$479,MATCH("Fossilandel för ursprungspecificerad el ()",Miljö!$B$1:$J$1,0),FALSE)</f>
        <v>0</v>
      </c>
      <c r="J213" s="121">
        <f>VLOOKUP($B213,Miljö!$B$1:$J$479,MATCH("Kärnkraftsandel för ursprungsspecificerad el ()",Miljö!$B$1:$J$1,0),FALSE)</f>
        <v>0</v>
      </c>
      <c r="L213" s="121">
        <f>VLOOKUP($B213,Totalt!$B$1:$BU$497,MATCH("total el",Totalt!$B$1:$BU$1,0),FALSE)</f>
        <v>6.4656099999999999</v>
      </c>
      <c r="N213" s="271">
        <f t="shared" si="12"/>
        <v>7.112171</v>
      </c>
      <c r="O213" s="271">
        <f t="shared" si="13"/>
        <v>0</v>
      </c>
      <c r="P213" s="271">
        <f t="shared" si="14"/>
        <v>0</v>
      </c>
      <c r="Q213" s="271">
        <f t="shared" si="15"/>
        <v>0</v>
      </c>
    </row>
    <row r="214" spans="1:17" x14ac:dyDescent="0.25">
      <c r="A214" s="137" t="s">
        <v>491</v>
      </c>
      <c r="B214" s="137" t="s">
        <v>492</v>
      </c>
      <c r="C214" s="121" t="str">
        <f>VLOOKUP($B214,Totalt!$B$1:$BU$497,MATCH("Kvalitetsgranskad:",Totalt!$B$1:$BU$1,0),FALSE)</f>
        <v>Ja</v>
      </c>
      <c r="E214" s="121" t="str">
        <f>VLOOKUP($B214,Miljö!$B$1:$AG$479,MATCH(E$1,Miljö!$B$1:$AK$1,0),FALSE)</f>
        <v>Ja</v>
      </c>
      <c r="F214" s="121" t="str">
        <f>VLOOKUP($B214,Miljö!$B$1:$J$479,MATCH("Typ av ursprungsspecificerad el   (Om inget värde anges används Nordisk residualmix, se inforuta) ()",Miljö!$B$1:$J$1,0),FALSE)</f>
        <v>'Bixia Miljömärkt'</v>
      </c>
      <c r="G214" s="121">
        <f>VLOOKUP($B214,Miljö!$B$1:$J$479,MATCH("Primärenergifaktor ()",Miljö!$B$1:$J$1,0),FALSE)</f>
        <v>2</v>
      </c>
      <c r="H214" s="121">
        <f>VLOOKUP($B214,Miljö!$B$1:$J$479,MATCH("Koldioxidekvivalenter energiomvandling (g/kwh)",Miljö!$B$1:$J$1,0),FALSE)</f>
        <v>0</v>
      </c>
      <c r="I214" s="121">
        <f>VLOOKUP($B214,Miljö!$B$1:$J$479,MATCH("Fossilandel för ursprungspecificerad el ()",Miljö!$B$1:$J$1,0),FALSE)</f>
        <v>0</v>
      </c>
      <c r="J214" s="121">
        <f>VLOOKUP($B214,Miljö!$B$1:$J$479,MATCH("Kärnkraftsandel för ursprungsspecificerad el ()",Miljö!$B$1:$J$1,0),FALSE)</f>
        <v>0</v>
      </c>
      <c r="L214" s="121">
        <f>VLOOKUP($B214,Totalt!$B$1:$BU$497,MATCH("total el",Totalt!$B$1:$BU$1,0),FALSE)</f>
        <v>3.5000000000000003E-2</v>
      </c>
      <c r="N214" s="271">
        <f t="shared" si="12"/>
        <v>7.0000000000000007E-2</v>
      </c>
      <c r="O214" s="271">
        <f t="shared" si="13"/>
        <v>0</v>
      </c>
      <c r="P214" s="271">
        <f t="shared" si="14"/>
        <v>0</v>
      </c>
      <c r="Q214" s="271">
        <f t="shared" si="15"/>
        <v>0</v>
      </c>
    </row>
    <row r="215" spans="1:17" x14ac:dyDescent="0.25">
      <c r="A215" s="137" t="s">
        <v>491</v>
      </c>
      <c r="B215" s="137" t="s">
        <v>493</v>
      </c>
      <c r="C215" s="121" t="str">
        <f>VLOOKUP($B215,Totalt!$B$1:$BU$497,MATCH("Kvalitetsgranskad:",Totalt!$B$1:$BU$1,0),FALSE)</f>
        <v>Ja</v>
      </c>
      <c r="E215" s="121" t="str">
        <f>VLOOKUP($B215,Miljö!$B$1:$AG$479,MATCH(E$1,Miljö!$B$1:$AK$1,0),FALSE)</f>
        <v>Ja</v>
      </c>
      <c r="F215" s="121" t="str">
        <f>VLOOKUP($B215,Miljö!$B$1:$J$479,MATCH("Typ av ursprungsspecificerad el   (Om inget värde anges används Nordisk residualmix, se inforuta) ()",Miljö!$B$1:$J$1,0),FALSE)</f>
        <v>'BIxia Miljömärkt'</v>
      </c>
      <c r="G215" s="121">
        <f>VLOOKUP($B215,Miljö!$B$1:$J$479,MATCH("Primärenergifaktor ()",Miljö!$B$1:$J$1,0),FALSE)</f>
        <v>2</v>
      </c>
      <c r="H215" s="121">
        <f>VLOOKUP($B215,Miljö!$B$1:$J$479,MATCH("Koldioxidekvivalenter energiomvandling (g/kwh)",Miljö!$B$1:$J$1,0),FALSE)</f>
        <v>0</v>
      </c>
      <c r="I215" s="121">
        <f>VLOOKUP($B215,Miljö!$B$1:$J$479,MATCH("Fossilandel för ursprungspecificerad el ()",Miljö!$B$1:$J$1,0),FALSE)</f>
        <v>0</v>
      </c>
      <c r="J215" s="121">
        <f>VLOOKUP($B215,Miljö!$B$1:$J$479,MATCH("Kärnkraftsandel för ursprungsspecificerad el ()",Miljö!$B$1:$J$1,0),FALSE)</f>
        <v>0</v>
      </c>
      <c r="L215" s="121">
        <f>VLOOKUP($B215,Totalt!$B$1:$BU$497,MATCH("total el",Totalt!$B$1:$BU$1,0),FALSE)</f>
        <v>0.29499999999999998</v>
      </c>
      <c r="N215" s="271">
        <f t="shared" si="12"/>
        <v>0.59</v>
      </c>
      <c r="O215" s="271">
        <f t="shared" si="13"/>
        <v>0</v>
      </c>
      <c r="P215" s="271">
        <f t="shared" si="14"/>
        <v>0</v>
      </c>
      <c r="Q215" s="271">
        <f t="shared" si="15"/>
        <v>0</v>
      </c>
    </row>
    <row r="216" spans="1:17" x14ac:dyDescent="0.25">
      <c r="A216" s="137" t="s">
        <v>491</v>
      </c>
      <c r="B216" s="137" t="s">
        <v>494</v>
      </c>
      <c r="C216" s="121" t="str">
        <f>VLOOKUP($B216,Totalt!$B$1:$BU$497,MATCH("Kvalitetsgranskad:",Totalt!$B$1:$BU$1,0),FALSE)</f>
        <v>Ja</v>
      </c>
      <c r="E216" s="121" t="str">
        <f>VLOOKUP($B216,Miljö!$B$1:$AG$479,MATCH(E$1,Miljö!$B$1:$AK$1,0),FALSE)</f>
        <v>Ja</v>
      </c>
      <c r="F216" s="121" t="str">
        <f>VLOOKUP($B216,Miljö!$B$1:$J$479,MATCH("Typ av ursprungsspecificerad el   (Om inget värde anges används Nordisk residualmix, se inforuta) ()",Miljö!$B$1:$J$1,0),FALSE)</f>
        <v>'Bixia Miljömärkt'</v>
      </c>
      <c r="G216" s="121">
        <f>VLOOKUP($B216,Miljö!$B$1:$J$479,MATCH("Primärenergifaktor ()",Miljö!$B$1:$J$1,0),FALSE)</f>
        <v>2</v>
      </c>
      <c r="H216" s="121">
        <f>VLOOKUP($B216,Miljö!$B$1:$J$479,MATCH("Koldioxidekvivalenter energiomvandling (g/kwh)",Miljö!$B$1:$J$1,0),FALSE)</f>
        <v>0</v>
      </c>
      <c r="I216" s="121">
        <f>VLOOKUP($B216,Miljö!$B$1:$J$479,MATCH("Fossilandel för ursprungspecificerad el ()",Miljö!$B$1:$J$1,0),FALSE)</f>
        <v>0</v>
      </c>
      <c r="J216" s="121">
        <f>VLOOKUP($B216,Miljö!$B$1:$J$479,MATCH("Kärnkraftsandel för ursprungsspecificerad el ()",Miljö!$B$1:$J$1,0),FALSE)</f>
        <v>0</v>
      </c>
      <c r="L216" s="121">
        <f>VLOOKUP($B216,Totalt!$B$1:$BU$497,MATCH("total el",Totalt!$B$1:$BU$1,0),FALSE)</f>
        <v>2.8884400000000001</v>
      </c>
      <c r="N216" s="271">
        <f t="shared" si="12"/>
        <v>5.7768800000000002</v>
      </c>
      <c r="O216" s="271">
        <f t="shared" si="13"/>
        <v>0</v>
      </c>
      <c r="P216" s="271">
        <f t="shared" si="14"/>
        <v>0</v>
      </c>
      <c r="Q216" s="271">
        <f t="shared" si="15"/>
        <v>0</v>
      </c>
    </row>
    <row r="217" spans="1:17" x14ac:dyDescent="0.25">
      <c r="A217" s="137" t="s">
        <v>495</v>
      </c>
      <c r="B217" s="137" t="s">
        <v>496</v>
      </c>
      <c r="C217" s="121" t="str">
        <f>VLOOKUP($B217,Totalt!$B$1:$BU$497,MATCH("Kvalitetsgranskad:",Totalt!$B$1:$BU$1,0),FALSE)</f>
        <v>Ja</v>
      </c>
      <c r="E217" s="121" t="str">
        <f>VLOOKUP($B217,Miljö!$B$1:$AG$479,MATCH(E$1,Miljö!$B$1:$AK$1,0),FALSE)</f>
        <v>Ja</v>
      </c>
      <c r="F217" s="121" t="str">
        <f>VLOOKUP($B217,Miljö!$B$1:$J$479,MATCH("Typ av ursprungsspecificerad el   (Om inget värde anges används Nordisk residualmix, se inforuta) ()",Miljö!$B$1:$J$1,0),FALSE)</f>
        <v>'Vattenkraft. Vindkraft. biobränsle och solkraft'</v>
      </c>
      <c r="G217" s="121">
        <f>VLOOKUP($B217,Miljö!$B$1:$J$479,MATCH("Primärenergifaktor ()",Miljö!$B$1:$J$1,0),FALSE)</f>
        <v>1.1000000000000001</v>
      </c>
      <c r="H217" s="121">
        <f>VLOOKUP($B217,Miljö!$B$1:$J$479,MATCH("Koldioxidekvivalenter energiomvandling (g/kwh)",Miljö!$B$1:$J$1,0),FALSE)</f>
        <v>0</v>
      </c>
      <c r="I217" s="121">
        <f>VLOOKUP($B217,Miljö!$B$1:$J$479,MATCH("Fossilandel för ursprungspecificerad el ()",Miljö!$B$1:$J$1,0),FALSE)</f>
        <v>0</v>
      </c>
      <c r="J217" s="121">
        <f>VLOOKUP($B217,Miljö!$B$1:$J$479,MATCH("Kärnkraftsandel för ursprungsspecificerad el ()",Miljö!$B$1:$J$1,0),FALSE)</f>
        <v>0</v>
      </c>
      <c r="L217" s="121">
        <f>VLOOKUP($B217,Totalt!$B$1:$BU$497,MATCH("total el",Totalt!$B$1:$BU$1,0),FALSE)</f>
        <v>1.9670000000000001</v>
      </c>
      <c r="N217" s="271">
        <f t="shared" si="12"/>
        <v>2.1637000000000004</v>
      </c>
      <c r="O217" s="271">
        <f t="shared" si="13"/>
        <v>0</v>
      </c>
      <c r="P217" s="271">
        <f t="shared" si="14"/>
        <v>0</v>
      </c>
      <c r="Q217" s="271">
        <f t="shared" si="15"/>
        <v>0</v>
      </c>
    </row>
    <row r="218" spans="1:17" x14ac:dyDescent="0.25">
      <c r="A218" s="137" t="s">
        <v>498</v>
      </c>
      <c r="B218" s="137" t="s">
        <v>499</v>
      </c>
      <c r="C218" s="121" t="str">
        <f>VLOOKUP($B218,Totalt!$B$1:$BU$497,MATCH("Kvalitetsgranskad:",Totalt!$B$1:$BU$1,0),FALSE)</f>
        <v>Nej</v>
      </c>
      <c r="E218" s="121" t="str">
        <f>VLOOKUP($B218,Miljö!$B$1:$AG$479,MATCH(E$1,Miljö!$B$1:$AK$1,0),FALSE)</f>
        <v>Nej</v>
      </c>
      <c r="F218" s="121" t="str">
        <f>VLOOKUP($B218,Miljö!$B$1:$J$479,MATCH("Typ av ursprungsspecificerad el   (Om inget värde anges används Nordisk residualmix, se inforuta) ()",Miljö!$B$1:$J$1,0),FALSE)</f>
        <v>-</v>
      </c>
      <c r="G218" s="121" t="str">
        <f>VLOOKUP($B218,Miljö!$B$1:$J$479,MATCH("Primärenergifaktor ()",Miljö!$B$1:$J$1,0),FALSE)</f>
        <v>-</v>
      </c>
      <c r="H218" s="121" t="str">
        <f>VLOOKUP($B218,Miljö!$B$1:$J$479,MATCH("Koldioxidekvivalenter energiomvandling (g/kwh)",Miljö!$B$1:$J$1,0),FALSE)</f>
        <v>-</v>
      </c>
      <c r="I218" s="121" t="str">
        <f>VLOOKUP($B218,Miljö!$B$1:$J$479,MATCH("Fossilandel för ursprungspecificerad el ()",Miljö!$B$1:$J$1,0),FALSE)</f>
        <v>-</v>
      </c>
      <c r="J218" s="121" t="str">
        <f>VLOOKUP($B218,Miljö!$B$1:$J$479,MATCH("Kärnkraftsandel för ursprungsspecificerad el ()",Miljö!$B$1:$J$1,0),FALSE)</f>
        <v>-</v>
      </c>
      <c r="L218" s="121">
        <f>VLOOKUP($B218,Totalt!$B$1:$BU$497,MATCH("total el",Totalt!$B$1:$BU$1,0),FALSE)</f>
        <v>0</v>
      </c>
      <c r="N218" s="271" t="str">
        <f t="shared" si="12"/>
        <v/>
      </c>
      <c r="O218" s="271" t="str">
        <f t="shared" si="13"/>
        <v/>
      </c>
      <c r="P218" s="271" t="str">
        <f t="shared" si="14"/>
        <v/>
      </c>
      <c r="Q218" s="271" t="str">
        <f t="shared" si="15"/>
        <v/>
      </c>
    </row>
    <row r="219" spans="1:17" x14ac:dyDescent="0.25">
      <c r="A219" s="137" t="s">
        <v>498</v>
      </c>
      <c r="B219" s="137" t="s">
        <v>500</v>
      </c>
      <c r="C219" s="121" t="str">
        <f>VLOOKUP($B219,Totalt!$B$1:$BU$497,MATCH("Kvalitetsgranskad:",Totalt!$B$1:$BU$1,0),FALSE)</f>
        <v>Nej</v>
      </c>
      <c r="E219" s="121" t="str">
        <f>VLOOKUP($B219,Miljö!$B$1:$AG$479,MATCH(E$1,Miljö!$B$1:$AK$1,0),FALSE)</f>
        <v>Nej</v>
      </c>
      <c r="F219" s="121" t="str">
        <f>VLOOKUP($B219,Miljö!$B$1:$J$479,MATCH("Typ av ursprungsspecificerad el   (Om inget värde anges används Nordisk residualmix, se inforuta) ()",Miljö!$B$1:$J$1,0),FALSE)</f>
        <v>-</v>
      </c>
      <c r="G219" s="121" t="str">
        <f>VLOOKUP($B219,Miljö!$B$1:$J$479,MATCH("Primärenergifaktor ()",Miljö!$B$1:$J$1,0),FALSE)</f>
        <v>-</v>
      </c>
      <c r="H219" s="121" t="str">
        <f>VLOOKUP($B219,Miljö!$B$1:$J$479,MATCH("Koldioxidekvivalenter energiomvandling (g/kwh)",Miljö!$B$1:$J$1,0),FALSE)</f>
        <v>-</v>
      </c>
      <c r="I219" s="121" t="str">
        <f>VLOOKUP($B219,Miljö!$B$1:$J$479,MATCH("Fossilandel för ursprungspecificerad el ()",Miljö!$B$1:$J$1,0),FALSE)</f>
        <v>-</v>
      </c>
      <c r="J219" s="121" t="str">
        <f>VLOOKUP($B219,Miljö!$B$1:$J$479,MATCH("Kärnkraftsandel för ursprungsspecificerad el ()",Miljö!$B$1:$J$1,0),FALSE)</f>
        <v>-</v>
      </c>
      <c r="L219" s="121">
        <f>VLOOKUP($B219,Totalt!$B$1:$BU$497,MATCH("total el",Totalt!$B$1:$BU$1,0),FALSE)</f>
        <v>0</v>
      </c>
      <c r="N219" s="271" t="str">
        <f t="shared" si="12"/>
        <v/>
      </c>
      <c r="O219" s="271" t="str">
        <f t="shared" si="13"/>
        <v/>
      </c>
      <c r="P219" s="271" t="str">
        <f t="shared" si="14"/>
        <v/>
      </c>
      <c r="Q219" s="271" t="str">
        <f t="shared" si="15"/>
        <v/>
      </c>
    </row>
    <row r="220" spans="1:17" x14ac:dyDescent="0.25">
      <c r="A220" s="137" t="s">
        <v>501</v>
      </c>
      <c r="B220" s="137" t="s">
        <v>502</v>
      </c>
      <c r="C220" s="121" t="str">
        <f>VLOOKUP($B220,Totalt!$B$1:$BU$497,MATCH("Kvalitetsgranskad:",Totalt!$B$1:$BU$1,0),FALSE)</f>
        <v>Ja</v>
      </c>
      <c r="E220" s="121" t="str">
        <f>VLOOKUP($B220,Miljö!$B$1:$AG$479,MATCH(E$1,Miljö!$B$1:$AK$1,0),FALSE)</f>
        <v>Ja</v>
      </c>
      <c r="F220" s="121" t="str">
        <f>VLOOKUP($B220,Miljö!$B$1:$J$479,MATCH("Typ av ursprungsspecificerad el   (Om inget värde anges används Nordisk residualmix, se inforuta) ()",Miljö!$B$1:$J$1,0),FALSE)</f>
        <v>'Vattenkraft/kärnkraft'</v>
      </c>
      <c r="G220" s="121">
        <f>VLOOKUP($B220,Miljö!$B$1:$J$479,MATCH("Primärenergifaktor ()",Miljö!$B$1:$J$1,0),FALSE)</f>
        <v>2.1</v>
      </c>
      <c r="H220" s="121">
        <f>VLOOKUP($B220,Miljö!$B$1:$J$479,MATCH("Koldioxidekvivalenter energiomvandling (g/kwh)",Miljö!$B$1:$J$1,0),FALSE)</f>
        <v>5</v>
      </c>
      <c r="I220" s="121">
        <f>VLOOKUP($B220,Miljö!$B$1:$J$479,MATCH("Fossilandel för ursprungspecificerad el ()",Miljö!$B$1:$J$1,0),FALSE)</f>
        <v>0</v>
      </c>
      <c r="J220" s="121">
        <f>VLOOKUP($B220,Miljö!$B$1:$J$479,MATCH("Kärnkraftsandel för ursprungsspecificerad el ()",Miljö!$B$1:$J$1,0),FALSE)</f>
        <v>0.5</v>
      </c>
      <c r="L220" s="121">
        <f>VLOOKUP($B220,Totalt!$B$1:$BU$497,MATCH("total el",Totalt!$B$1:$BU$1,0),FALSE)</f>
        <v>4.2985699999999998</v>
      </c>
      <c r="N220" s="271">
        <f t="shared" si="12"/>
        <v>9.0269969999999997</v>
      </c>
      <c r="O220" s="271">
        <f t="shared" si="13"/>
        <v>21.492849999999997</v>
      </c>
      <c r="P220" s="271">
        <f t="shared" si="14"/>
        <v>0</v>
      </c>
      <c r="Q220" s="271">
        <f t="shared" si="15"/>
        <v>2.1492849999999999</v>
      </c>
    </row>
    <row r="221" spans="1:17" x14ac:dyDescent="0.25">
      <c r="A221" s="137" t="s">
        <v>503</v>
      </c>
      <c r="B221" s="137" t="s">
        <v>504</v>
      </c>
      <c r="C221" s="121" t="str">
        <f>VLOOKUP($B221,Totalt!$B$1:$BU$497,MATCH("Kvalitetsgranskad:",Totalt!$B$1:$BU$1,0),FALSE)</f>
        <v>Ja</v>
      </c>
      <c r="E221" s="121" t="str">
        <f>VLOOKUP($B221,Miljö!$B$1:$AG$479,MATCH(E$1,Miljö!$B$1:$AK$1,0),FALSE)</f>
        <v>Nej</v>
      </c>
      <c r="F221" s="121" t="str">
        <f>VLOOKUP($B221,Miljö!$B$1:$J$479,MATCH("Typ av ursprungsspecificerad el   (Om inget värde anges används Nordisk residualmix, se inforuta) ()",Miljö!$B$1:$J$1,0),FALSE)</f>
        <v>-</v>
      </c>
      <c r="G221" s="121">
        <f>VLOOKUP($B221,Miljö!$B$1:$J$479,MATCH("Primärenergifaktor ()",Miljö!$B$1:$J$1,0),FALSE)</f>
        <v>2.2999999999999998</v>
      </c>
      <c r="H221" s="121">
        <f>VLOOKUP($B221,Miljö!$B$1:$J$479,MATCH("Koldioxidekvivalenter energiomvandling (g/kwh)",Miljö!$B$1:$J$1,0),FALSE)</f>
        <v>329.19</v>
      </c>
      <c r="I221" s="121">
        <f>VLOOKUP($B221,Miljö!$B$1:$J$479,MATCH("Fossilandel för ursprungspecificerad el ()",Miljö!$B$1:$J$1,0),FALSE)</f>
        <v>0.43</v>
      </c>
      <c r="J221" s="121">
        <f>VLOOKUP($B221,Miljö!$B$1:$J$479,MATCH("Kärnkraftsandel för ursprungsspecificerad el ()",Miljö!$B$1:$J$1,0),FALSE)</f>
        <v>0.40550000000000003</v>
      </c>
      <c r="L221" s="121">
        <f>VLOOKUP($B221,Totalt!$B$1:$BU$497,MATCH("total el",Totalt!$B$1:$BU$1,0),FALSE)</f>
        <v>2.4870000000000001</v>
      </c>
      <c r="N221" s="271">
        <f t="shared" si="12"/>
        <v>5.7200999999999995</v>
      </c>
      <c r="O221" s="271">
        <f t="shared" si="13"/>
        <v>818.69553000000008</v>
      </c>
      <c r="P221" s="271">
        <f t="shared" si="14"/>
        <v>1.06941</v>
      </c>
      <c r="Q221" s="271">
        <f t="shared" si="15"/>
        <v>1.0084785000000001</v>
      </c>
    </row>
    <row r="222" spans="1:17" x14ac:dyDescent="0.25">
      <c r="A222" s="137" t="s">
        <v>505</v>
      </c>
      <c r="B222" s="137" t="s">
        <v>119</v>
      </c>
      <c r="C222" s="121" t="str">
        <f>VLOOKUP($B222,Totalt!$B$1:$BU$497,MATCH("Kvalitetsgranskad:",Totalt!$B$1:$BU$1,0),FALSE)</f>
        <v>Nej</v>
      </c>
      <c r="E222" s="121" t="str">
        <f>VLOOKUP($B222,Miljö!$B$1:$AG$479,MATCH(E$1,Miljö!$B$1:$AK$1,0),FALSE)</f>
        <v>Nej</v>
      </c>
      <c r="F222" s="121" t="str">
        <f>VLOOKUP($B222,Miljö!$B$1:$J$479,MATCH("Typ av ursprungsspecificerad el   (Om inget värde anges används Nordisk residualmix, se inforuta) ()",Miljö!$B$1:$J$1,0),FALSE)</f>
        <v>-</v>
      </c>
      <c r="G222" s="121" t="str">
        <f>VLOOKUP($B222,Miljö!$B$1:$J$479,MATCH("Primärenergifaktor ()",Miljö!$B$1:$J$1,0),FALSE)</f>
        <v>-</v>
      </c>
      <c r="H222" s="121" t="str">
        <f>VLOOKUP($B222,Miljö!$B$1:$J$479,MATCH("Koldioxidekvivalenter energiomvandling (g/kwh)",Miljö!$B$1:$J$1,0),FALSE)</f>
        <v>-</v>
      </c>
      <c r="I222" s="121" t="str">
        <f>VLOOKUP($B222,Miljö!$B$1:$J$479,MATCH("Fossilandel för ursprungspecificerad el ()",Miljö!$B$1:$J$1,0),FALSE)</f>
        <v>-</v>
      </c>
      <c r="J222" s="121" t="str">
        <f>VLOOKUP($B222,Miljö!$B$1:$J$479,MATCH("Kärnkraftsandel för ursprungsspecificerad el ()",Miljö!$B$1:$J$1,0),FALSE)</f>
        <v>-</v>
      </c>
      <c r="L222" s="121">
        <f>VLOOKUP($B222,Totalt!$B$1:$BU$497,MATCH("total el",Totalt!$B$1:$BU$1,0),FALSE)</f>
        <v>0</v>
      </c>
      <c r="N222" s="271" t="str">
        <f t="shared" si="12"/>
        <v/>
      </c>
      <c r="O222" s="271" t="str">
        <f t="shared" si="13"/>
        <v/>
      </c>
      <c r="P222" s="271" t="str">
        <f t="shared" si="14"/>
        <v/>
      </c>
      <c r="Q222" s="271" t="str">
        <f t="shared" si="15"/>
        <v/>
      </c>
    </row>
    <row r="223" spans="1:17" x14ac:dyDescent="0.25">
      <c r="A223" s="137" t="s">
        <v>506</v>
      </c>
      <c r="B223" s="137" t="s">
        <v>507</v>
      </c>
      <c r="C223" s="121" t="str">
        <f>VLOOKUP($B223,Totalt!$B$1:$BU$497,MATCH("Kvalitetsgranskad:",Totalt!$B$1:$BU$1,0),FALSE)</f>
        <v>Ja</v>
      </c>
      <c r="E223" s="121" t="str">
        <f>VLOOKUP($B223,Miljö!$B$1:$AG$479,MATCH(E$1,Miljö!$B$1:$AK$1,0),FALSE)</f>
        <v>Ja</v>
      </c>
      <c r="F223" s="121" t="str">
        <f>VLOOKUP($B223,Miljö!$B$1:$J$479,MATCH("Typ av ursprungsspecificerad el   (Om inget värde anges används Nordisk residualmix, se inforuta) ()",Miljö!$B$1:$J$1,0),FALSE)</f>
        <v>'Bra Miljöval'</v>
      </c>
      <c r="G223" s="121">
        <f>VLOOKUP($B223,Miljö!$B$1:$J$479,MATCH("Primärenergifaktor ()",Miljö!$B$1:$J$1,0),FALSE)</f>
        <v>1.1000000000000001</v>
      </c>
      <c r="H223" s="121">
        <f>VLOOKUP($B223,Miljö!$B$1:$J$479,MATCH("Koldioxidekvivalenter energiomvandling (g/kwh)",Miljö!$B$1:$J$1,0),FALSE)</f>
        <v>5</v>
      </c>
      <c r="I223" s="121">
        <f>VLOOKUP($B223,Miljö!$B$1:$J$479,MATCH("Fossilandel för ursprungspecificerad el ()",Miljö!$B$1:$J$1,0),FALSE)</f>
        <v>0</v>
      </c>
      <c r="J223" s="121">
        <f>VLOOKUP($B223,Miljö!$B$1:$J$479,MATCH("Kärnkraftsandel för ursprungsspecificerad el ()",Miljö!$B$1:$J$1,0),FALSE)</f>
        <v>0</v>
      </c>
      <c r="L223" s="121">
        <f>VLOOKUP($B223,Totalt!$B$1:$BU$497,MATCH("total el",Totalt!$B$1:$BU$1,0),FALSE)</f>
        <v>9.9999999999999995E-7</v>
      </c>
      <c r="N223" s="271">
        <f t="shared" si="12"/>
        <v>1.1000000000000001E-6</v>
      </c>
      <c r="O223" s="271">
        <f t="shared" si="13"/>
        <v>4.9999999999999996E-6</v>
      </c>
      <c r="P223" s="271">
        <f t="shared" si="14"/>
        <v>0</v>
      </c>
      <c r="Q223" s="271">
        <f t="shared" si="15"/>
        <v>0</v>
      </c>
    </row>
    <row r="224" spans="1:17" x14ac:dyDescent="0.25">
      <c r="A224" s="137" t="s">
        <v>4</v>
      </c>
      <c r="B224" s="137" t="s">
        <v>508</v>
      </c>
      <c r="C224" s="121" t="str">
        <f>VLOOKUP($B224,Totalt!$B$1:$BU$497,MATCH("Kvalitetsgranskad:",Totalt!$B$1:$BU$1,0),FALSE)</f>
        <v>Nej</v>
      </c>
      <c r="E224" s="121" t="str">
        <f>VLOOKUP($B224,Miljö!$B$1:$AG$479,MATCH(E$1,Miljö!$B$1:$AK$1,0),FALSE)</f>
        <v>Nej</v>
      </c>
      <c r="F224" s="121" t="str">
        <f>VLOOKUP($B224,Miljö!$B$1:$J$479,MATCH("Typ av ursprungsspecificerad el   (Om inget värde anges används Nordisk residualmix, se inforuta) ()",Miljö!$B$1:$J$1,0),FALSE)</f>
        <v>-</v>
      </c>
      <c r="G224" s="121" t="str">
        <f>VLOOKUP($B224,Miljö!$B$1:$J$479,MATCH("Primärenergifaktor ()",Miljö!$B$1:$J$1,0),FALSE)</f>
        <v>-</v>
      </c>
      <c r="H224" s="121" t="str">
        <f>VLOOKUP($B224,Miljö!$B$1:$J$479,MATCH("Koldioxidekvivalenter energiomvandling (g/kwh)",Miljö!$B$1:$J$1,0),FALSE)</f>
        <v>-</v>
      </c>
      <c r="I224" s="121" t="str">
        <f>VLOOKUP($B224,Miljö!$B$1:$J$479,MATCH("Fossilandel för ursprungspecificerad el ()",Miljö!$B$1:$J$1,0),FALSE)</f>
        <v>-</v>
      </c>
      <c r="J224" s="121" t="str">
        <f>VLOOKUP($B224,Miljö!$B$1:$J$479,MATCH("Kärnkraftsandel för ursprungsspecificerad el ()",Miljö!$B$1:$J$1,0),FALSE)</f>
        <v>-</v>
      </c>
      <c r="L224" s="121">
        <f>VLOOKUP($B224,Totalt!$B$1:$BU$497,MATCH("total el",Totalt!$B$1:$BU$1,0),FALSE)</f>
        <v>0</v>
      </c>
      <c r="N224" s="271" t="str">
        <f t="shared" si="12"/>
        <v/>
      </c>
      <c r="O224" s="271" t="str">
        <f t="shared" si="13"/>
        <v/>
      </c>
      <c r="P224" s="271" t="str">
        <f t="shared" si="14"/>
        <v/>
      </c>
      <c r="Q224" s="271" t="str">
        <f t="shared" si="15"/>
        <v/>
      </c>
    </row>
    <row r="225" spans="1:17" x14ac:dyDescent="0.25">
      <c r="A225" s="137" t="s">
        <v>4</v>
      </c>
      <c r="B225" s="137" t="s">
        <v>509</v>
      </c>
      <c r="C225" s="121" t="str">
        <f>VLOOKUP($B225,Totalt!$B$1:$BU$497,MATCH("Kvalitetsgranskad:",Totalt!$B$1:$BU$1,0),FALSE)</f>
        <v>Nej</v>
      </c>
      <c r="E225" s="121" t="str">
        <f>VLOOKUP($B225,Miljö!$B$1:$AG$479,MATCH(E$1,Miljö!$B$1:$AK$1,0),FALSE)</f>
        <v>Nej</v>
      </c>
      <c r="F225" s="121" t="str">
        <f>VLOOKUP($B225,Miljö!$B$1:$J$479,MATCH("Typ av ursprungsspecificerad el   (Om inget värde anges används Nordisk residualmix, se inforuta) ()",Miljö!$B$1:$J$1,0),FALSE)</f>
        <v>-</v>
      </c>
      <c r="G225" s="121" t="str">
        <f>VLOOKUP($B225,Miljö!$B$1:$J$479,MATCH("Primärenergifaktor ()",Miljö!$B$1:$J$1,0),FALSE)</f>
        <v>-</v>
      </c>
      <c r="H225" s="121" t="str">
        <f>VLOOKUP($B225,Miljö!$B$1:$J$479,MATCH("Koldioxidekvivalenter energiomvandling (g/kwh)",Miljö!$B$1:$J$1,0),FALSE)</f>
        <v>-</v>
      </c>
      <c r="I225" s="121" t="str">
        <f>VLOOKUP($B225,Miljö!$B$1:$J$479,MATCH("Fossilandel för ursprungspecificerad el ()",Miljö!$B$1:$J$1,0),FALSE)</f>
        <v>-</v>
      </c>
      <c r="J225" s="121" t="str">
        <f>VLOOKUP($B225,Miljö!$B$1:$J$479,MATCH("Kärnkraftsandel för ursprungsspecificerad el ()",Miljö!$B$1:$J$1,0),FALSE)</f>
        <v>-</v>
      </c>
      <c r="L225" s="121">
        <f>VLOOKUP($B225,Totalt!$B$1:$BU$497,MATCH("total el",Totalt!$B$1:$BU$1,0),FALSE)</f>
        <v>0</v>
      </c>
      <c r="N225" s="271" t="str">
        <f t="shared" si="12"/>
        <v/>
      </c>
      <c r="O225" s="271" t="str">
        <f t="shared" si="13"/>
        <v/>
      </c>
      <c r="P225" s="271" t="str">
        <f t="shared" si="14"/>
        <v/>
      </c>
      <c r="Q225" s="271" t="str">
        <f t="shared" si="15"/>
        <v/>
      </c>
    </row>
    <row r="226" spans="1:17" x14ac:dyDescent="0.25">
      <c r="A226" s="137" t="s">
        <v>4</v>
      </c>
      <c r="B226" s="137" t="s">
        <v>5</v>
      </c>
      <c r="C226" s="121" t="str">
        <f>VLOOKUP($B226,Totalt!$B$1:$BU$497,MATCH("Kvalitetsgranskad:",Totalt!$B$1:$BU$1,0),FALSE)</f>
        <v>Nej</v>
      </c>
      <c r="E226" s="121" t="str">
        <f>VLOOKUP($B226,Miljö!$B$1:$AG$479,MATCH(E$1,Miljö!$B$1:$AK$1,0),FALSE)</f>
        <v>Nej</v>
      </c>
      <c r="F226" s="121" t="str">
        <f>VLOOKUP($B226,Miljö!$B$1:$J$479,MATCH("Typ av ursprungsspecificerad el   (Om inget värde anges används Nordisk residualmix, se inforuta) ()",Miljö!$B$1:$J$1,0),FALSE)</f>
        <v>-</v>
      </c>
      <c r="G226" s="121" t="str">
        <f>VLOOKUP($B226,Miljö!$B$1:$J$479,MATCH("Primärenergifaktor ()",Miljö!$B$1:$J$1,0),FALSE)</f>
        <v>-</v>
      </c>
      <c r="H226" s="121" t="str">
        <f>VLOOKUP($B226,Miljö!$B$1:$J$479,MATCH("Koldioxidekvivalenter energiomvandling (g/kwh)",Miljö!$B$1:$J$1,0),FALSE)</f>
        <v>-</v>
      </c>
      <c r="I226" s="121" t="str">
        <f>VLOOKUP($B226,Miljö!$B$1:$J$479,MATCH("Fossilandel för ursprungspecificerad el ()",Miljö!$B$1:$J$1,0),FALSE)</f>
        <v>-</v>
      </c>
      <c r="J226" s="121" t="str">
        <f>VLOOKUP($B226,Miljö!$B$1:$J$479,MATCH("Kärnkraftsandel för ursprungsspecificerad el ()",Miljö!$B$1:$J$1,0),FALSE)</f>
        <v>-</v>
      </c>
      <c r="L226" s="121">
        <f>VLOOKUP($B226,Totalt!$B$1:$BU$497,MATCH("total el",Totalt!$B$1:$BU$1,0),FALSE)</f>
        <v>0</v>
      </c>
      <c r="N226" s="271" t="str">
        <f t="shared" si="12"/>
        <v/>
      </c>
      <c r="O226" s="271" t="str">
        <f t="shared" si="13"/>
        <v/>
      </c>
      <c r="P226" s="271" t="str">
        <f t="shared" si="14"/>
        <v/>
      </c>
      <c r="Q226" s="271" t="str">
        <f t="shared" si="15"/>
        <v/>
      </c>
    </row>
    <row r="227" spans="1:17" x14ac:dyDescent="0.25">
      <c r="A227" s="137" t="s">
        <v>510</v>
      </c>
      <c r="B227" s="137" t="s">
        <v>511</v>
      </c>
      <c r="C227" s="121" t="str">
        <f>VLOOKUP($B227,Totalt!$B$1:$BU$497,MATCH("Kvalitetsgranskad:",Totalt!$B$1:$BU$1,0),FALSE)</f>
        <v>Ja</v>
      </c>
      <c r="E227" s="121" t="str">
        <f>VLOOKUP($B227,Miljö!$B$1:$AG$479,MATCH(E$1,Miljö!$B$1:$AK$1,0),FALSE)</f>
        <v>Ja</v>
      </c>
      <c r="F227" s="121" t="str">
        <f>VLOOKUP($B227,Miljö!$B$1:$J$479,MATCH("Typ av ursprungsspecificerad el   (Om inget värde anges används Nordisk residualmix, se inforuta) ()",Miljö!$B$1:$J$1,0),FALSE)</f>
        <v>'Vindkraft'</v>
      </c>
      <c r="G227" s="121">
        <f>VLOOKUP($B227,Miljö!$B$1:$J$479,MATCH("Primärenergifaktor ()",Miljö!$B$1:$J$1,0),FALSE)</f>
        <v>0.1</v>
      </c>
      <c r="H227" s="121">
        <f>VLOOKUP($B227,Miljö!$B$1:$J$479,MATCH("Koldioxidekvivalenter energiomvandling (g/kwh)",Miljö!$B$1:$J$1,0),FALSE)</f>
        <v>0</v>
      </c>
      <c r="I227" s="121">
        <f>VLOOKUP($B227,Miljö!$B$1:$J$479,MATCH("Fossilandel för ursprungspecificerad el ()",Miljö!$B$1:$J$1,0),FALSE)</f>
        <v>0</v>
      </c>
      <c r="J227" s="121">
        <f>VLOOKUP($B227,Miljö!$B$1:$J$479,MATCH("Kärnkraftsandel för ursprungsspecificerad el ()",Miljö!$B$1:$J$1,0),FALSE)</f>
        <v>0</v>
      </c>
      <c r="L227" s="121">
        <f>VLOOKUP($B227,Totalt!$B$1:$BU$497,MATCH("total el",Totalt!$B$1:$BU$1,0),FALSE)</f>
        <v>0.96899999999999997</v>
      </c>
      <c r="N227" s="271">
        <f t="shared" si="12"/>
        <v>9.69E-2</v>
      </c>
      <c r="O227" s="271">
        <f t="shared" si="13"/>
        <v>0</v>
      </c>
      <c r="P227" s="271">
        <f t="shared" si="14"/>
        <v>0</v>
      </c>
      <c r="Q227" s="271">
        <f t="shared" si="15"/>
        <v>0</v>
      </c>
    </row>
    <row r="228" spans="1:17" x14ac:dyDescent="0.25">
      <c r="A228" s="137" t="s">
        <v>513</v>
      </c>
      <c r="B228" s="137" t="s">
        <v>514</v>
      </c>
      <c r="C228" s="121" t="str">
        <f>VLOOKUP($B228,Totalt!$B$1:$BU$497,MATCH("Kvalitetsgranskad:",Totalt!$B$1:$BU$1,0),FALSE)</f>
        <v>Ja</v>
      </c>
      <c r="E228" s="121" t="str">
        <f>VLOOKUP($B228,Miljö!$B$1:$AG$479,MATCH(E$1,Miljö!$B$1:$AK$1,0),FALSE)</f>
        <v>Ja</v>
      </c>
      <c r="F228" s="121" t="str">
        <f>VLOOKUP($B228,Miljö!$B$1:$J$479,MATCH("Typ av ursprungsspecificerad el   (Om inget värde anges används Nordisk residualmix, se inforuta) ()",Miljö!$B$1:$J$1,0),FALSE)</f>
        <v>'100% förnybart'</v>
      </c>
      <c r="G228" s="121">
        <f>VLOOKUP($B228,Miljö!$B$1:$J$479,MATCH("Primärenergifaktor ()",Miljö!$B$1:$J$1,0),FALSE)</f>
        <v>1.1000000000000001</v>
      </c>
      <c r="H228" s="121">
        <f>VLOOKUP($B228,Miljö!$B$1:$J$479,MATCH("Koldioxidekvivalenter energiomvandling (g/kwh)",Miljö!$B$1:$J$1,0),FALSE)</f>
        <v>0</v>
      </c>
      <c r="I228" s="121">
        <f>VLOOKUP($B228,Miljö!$B$1:$J$479,MATCH("Fossilandel för ursprungspecificerad el ()",Miljö!$B$1:$J$1,0),FALSE)</f>
        <v>0</v>
      </c>
      <c r="J228" s="121">
        <f>VLOOKUP($B228,Miljö!$B$1:$J$479,MATCH("Kärnkraftsandel för ursprungsspecificerad el ()",Miljö!$B$1:$J$1,0),FALSE)</f>
        <v>0</v>
      </c>
      <c r="L228" s="121">
        <f>VLOOKUP($B228,Totalt!$B$1:$BU$497,MATCH("total el",Totalt!$B$1:$BU$1,0),FALSE)</f>
        <v>0.80099999999999993</v>
      </c>
      <c r="N228" s="271">
        <f t="shared" si="12"/>
        <v>0.88109999999999999</v>
      </c>
      <c r="O228" s="271">
        <f t="shared" si="13"/>
        <v>0</v>
      </c>
      <c r="P228" s="271">
        <f t="shared" si="14"/>
        <v>0</v>
      </c>
      <c r="Q228" s="271">
        <f t="shared" si="15"/>
        <v>0</v>
      </c>
    </row>
    <row r="229" spans="1:17" x14ac:dyDescent="0.25">
      <c r="A229" s="137" t="s">
        <v>513</v>
      </c>
      <c r="B229" s="137" t="s">
        <v>515</v>
      </c>
      <c r="C229" s="121" t="str">
        <f>VLOOKUP($B229,Totalt!$B$1:$BU$497,MATCH("Kvalitetsgranskad:",Totalt!$B$1:$BU$1,0),FALSE)</f>
        <v>Ja</v>
      </c>
      <c r="E229" s="121" t="str">
        <f>VLOOKUP($B229,Miljö!$B$1:$AG$479,MATCH(E$1,Miljö!$B$1:$AK$1,0),FALSE)</f>
        <v>Ja</v>
      </c>
      <c r="F229" s="121" t="str">
        <f>VLOOKUP($B229,Miljö!$B$1:$J$479,MATCH("Typ av ursprungsspecificerad el   (Om inget värde anges används Nordisk residualmix, se inforuta) ()",Miljö!$B$1:$J$1,0),FALSE)</f>
        <v>'100% förnybar'</v>
      </c>
      <c r="G229" s="121">
        <f>VLOOKUP($B229,Miljö!$B$1:$J$479,MATCH("Primärenergifaktor ()",Miljö!$B$1:$J$1,0),FALSE)</f>
        <v>1.1000000000000001</v>
      </c>
      <c r="H229" s="121">
        <f>VLOOKUP($B229,Miljö!$B$1:$J$479,MATCH("Koldioxidekvivalenter energiomvandling (g/kwh)",Miljö!$B$1:$J$1,0),FALSE)</f>
        <v>0</v>
      </c>
      <c r="I229" s="121">
        <f>VLOOKUP($B229,Miljö!$B$1:$J$479,MATCH("Fossilandel för ursprungspecificerad el ()",Miljö!$B$1:$J$1,0),FALSE)</f>
        <v>0</v>
      </c>
      <c r="J229" s="121">
        <f>VLOOKUP($B229,Miljö!$B$1:$J$479,MATCH("Kärnkraftsandel för ursprungsspecificerad el ()",Miljö!$B$1:$J$1,0),FALSE)</f>
        <v>0</v>
      </c>
      <c r="L229" s="121">
        <f>VLOOKUP($B229,Totalt!$B$1:$BU$497,MATCH("total el",Totalt!$B$1:$BU$1,0),FALSE)</f>
        <v>2</v>
      </c>
      <c r="N229" s="271">
        <f t="shared" si="12"/>
        <v>2.2000000000000002</v>
      </c>
      <c r="O229" s="271">
        <f t="shared" si="13"/>
        <v>0</v>
      </c>
      <c r="P229" s="271">
        <f t="shared" si="14"/>
        <v>0</v>
      </c>
      <c r="Q229" s="271">
        <f t="shared" si="15"/>
        <v>0</v>
      </c>
    </row>
    <row r="230" spans="1:17" x14ac:dyDescent="0.25">
      <c r="A230" s="137" t="s">
        <v>513</v>
      </c>
      <c r="B230" s="137" t="s">
        <v>517</v>
      </c>
      <c r="C230" s="121" t="str">
        <f>VLOOKUP($B230,Totalt!$B$1:$BU$497,MATCH("Kvalitetsgranskad:",Totalt!$B$1:$BU$1,0),FALSE)</f>
        <v>Ja</v>
      </c>
      <c r="E230" s="121" t="str">
        <f>VLOOKUP($B230,Miljö!$B$1:$AG$479,MATCH(E$1,Miljö!$B$1:$AK$1,0),FALSE)</f>
        <v>Ja</v>
      </c>
      <c r="F230" s="121" t="str">
        <f>VLOOKUP($B230,Miljö!$B$1:$J$479,MATCH("Typ av ursprungsspecificerad el   (Om inget värde anges används Nordisk residualmix, se inforuta) ()",Miljö!$B$1:$J$1,0),FALSE)</f>
        <v>'100%förnybar'</v>
      </c>
      <c r="G230" s="121">
        <f>VLOOKUP($B230,Miljö!$B$1:$J$479,MATCH("Primärenergifaktor ()",Miljö!$B$1:$J$1,0),FALSE)</f>
        <v>1.1000000000000001</v>
      </c>
      <c r="H230" s="121">
        <f>VLOOKUP($B230,Miljö!$B$1:$J$479,MATCH("Koldioxidekvivalenter energiomvandling (g/kwh)",Miljö!$B$1:$J$1,0),FALSE)</f>
        <v>0</v>
      </c>
      <c r="I230" s="121">
        <f>VLOOKUP($B230,Miljö!$B$1:$J$479,MATCH("Fossilandel för ursprungspecificerad el ()",Miljö!$B$1:$J$1,0),FALSE)</f>
        <v>0</v>
      </c>
      <c r="J230" s="121">
        <f>VLOOKUP($B230,Miljö!$B$1:$J$479,MATCH("Kärnkraftsandel för ursprungsspecificerad el ()",Miljö!$B$1:$J$1,0),FALSE)</f>
        <v>0</v>
      </c>
      <c r="L230" s="121">
        <f>VLOOKUP($B230,Totalt!$B$1:$BU$497,MATCH("total el",Totalt!$B$1:$BU$1,0),FALSE)</f>
        <v>4.4040000000000003E-2</v>
      </c>
      <c r="N230" s="271">
        <f t="shared" si="12"/>
        <v>4.8444000000000008E-2</v>
      </c>
      <c r="O230" s="271">
        <f t="shared" si="13"/>
        <v>0</v>
      </c>
      <c r="P230" s="271">
        <f t="shared" si="14"/>
        <v>0</v>
      </c>
      <c r="Q230" s="271">
        <f t="shared" si="15"/>
        <v>0</v>
      </c>
    </row>
    <row r="231" spans="1:17" x14ac:dyDescent="0.25">
      <c r="A231" s="137" t="s">
        <v>513</v>
      </c>
      <c r="B231" s="137" t="s">
        <v>518</v>
      </c>
      <c r="C231" s="121" t="str">
        <f>VLOOKUP($B231,Totalt!$B$1:$BU$497,MATCH("Kvalitetsgranskad:",Totalt!$B$1:$BU$1,0),FALSE)</f>
        <v>Ja</v>
      </c>
      <c r="E231" s="121" t="str">
        <f>VLOOKUP($B231,Miljö!$B$1:$AG$479,MATCH(E$1,Miljö!$B$1:$AK$1,0),FALSE)</f>
        <v>Ja</v>
      </c>
      <c r="F231" s="121" t="str">
        <f>VLOOKUP($B231,Miljö!$B$1:$J$479,MATCH("Typ av ursprungsspecificerad el   (Om inget värde anges används Nordisk residualmix, se inforuta) ()",Miljö!$B$1:$J$1,0),FALSE)</f>
        <v>'100% förnybar'</v>
      </c>
      <c r="G231" s="121">
        <f>VLOOKUP($B231,Miljö!$B$1:$J$479,MATCH("Primärenergifaktor ()",Miljö!$B$1:$J$1,0),FALSE)</f>
        <v>1.1000000000000001</v>
      </c>
      <c r="H231" s="121">
        <f>VLOOKUP($B231,Miljö!$B$1:$J$479,MATCH("Koldioxidekvivalenter energiomvandling (g/kwh)",Miljö!$B$1:$J$1,0),FALSE)</f>
        <v>0</v>
      </c>
      <c r="I231" s="121">
        <f>VLOOKUP($B231,Miljö!$B$1:$J$479,MATCH("Fossilandel för ursprungspecificerad el ()",Miljö!$B$1:$J$1,0),FALSE)</f>
        <v>0</v>
      </c>
      <c r="J231" s="121">
        <f>VLOOKUP($B231,Miljö!$B$1:$J$479,MATCH("Kärnkraftsandel för ursprungsspecificerad el ()",Miljö!$B$1:$J$1,0),FALSE)</f>
        <v>0</v>
      </c>
      <c r="L231" s="121">
        <f>VLOOKUP($B231,Totalt!$B$1:$BU$497,MATCH("total el",Totalt!$B$1:$BU$1,0),FALSE)</f>
        <v>0.34179999999999999</v>
      </c>
      <c r="N231" s="271">
        <f t="shared" si="12"/>
        <v>0.37598000000000004</v>
      </c>
      <c r="O231" s="271">
        <f t="shared" si="13"/>
        <v>0</v>
      </c>
      <c r="P231" s="271">
        <f t="shared" si="14"/>
        <v>0</v>
      </c>
      <c r="Q231" s="271">
        <f t="shared" si="15"/>
        <v>0</v>
      </c>
    </row>
    <row r="232" spans="1:17" x14ac:dyDescent="0.25">
      <c r="A232" s="137" t="s">
        <v>519</v>
      </c>
      <c r="B232" s="137" t="s">
        <v>520</v>
      </c>
      <c r="C232" s="121" t="str">
        <f>VLOOKUP($B232,Totalt!$B$1:$BU$497,MATCH("Kvalitetsgranskad:",Totalt!$B$1:$BU$1,0),FALSE)</f>
        <v>Nej</v>
      </c>
      <c r="E232" s="121" t="str">
        <f>VLOOKUP($B232,Miljö!$B$1:$AG$479,MATCH(E$1,Miljö!$B$1:$AK$1,0),FALSE)</f>
        <v>Nej</v>
      </c>
      <c r="F232" s="121" t="str">
        <f>VLOOKUP($B232,Miljö!$B$1:$J$479,MATCH("Typ av ursprungsspecificerad el   (Om inget värde anges används Nordisk residualmix, se inforuta) ()",Miljö!$B$1:$J$1,0),FALSE)</f>
        <v>-</v>
      </c>
      <c r="G232" s="121" t="str">
        <f>VLOOKUP($B232,Miljö!$B$1:$J$479,MATCH("Primärenergifaktor ()",Miljö!$B$1:$J$1,0),FALSE)</f>
        <v>-</v>
      </c>
      <c r="H232" s="121" t="str">
        <f>VLOOKUP($B232,Miljö!$B$1:$J$479,MATCH("Koldioxidekvivalenter energiomvandling (g/kwh)",Miljö!$B$1:$J$1,0),FALSE)</f>
        <v>-</v>
      </c>
      <c r="I232" s="121" t="str">
        <f>VLOOKUP($B232,Miljö!$B$1:$J$479,MATCH("Fossilandel för ursprungspecificerad el ()",Miljö!$B$1:$J$1,0),FALSE)</f>
        <v>-</v>
      </c>
      <c r="J232" s="121" t="str">
        <f>VLOOKUP($B232,Miljö!$B$1:$J$479,MATCH("Kärnkraftsandel för ursprungsspecificerad el ()",Miljö!$B$1:$J$1,0),FALSE)</f>
        <v>-</v>
      </c>
      <c r="L232" s="121">
        <f>VLOOKUP($B232,Totalt!$B$1:$BU$497,MATCH("total el",Totalt!$B$1:$BU$1,0),FALSE)</f>
        <v>0</v>
      </c>
      <c r="N232" s="271" t="str">
        <f t="shared" si="12"/>
        <v/>
      </c>
      <c r="O232" s="271" t="str">
        <f t="shared" si="13"/>
        <v/>
      </c>
      <c r="P232" s="271" t="str">
        <f t="shared" si="14"/>
        <v/>
      </c>
      <c r="Q232" s="271" t="str">
        <f t="shared" si="15"/>
        <v/>
      </c>
    </row>
    <row r="233" spans="1:17" x14ac:dyDescent="0.25">
      <c r="A233" s="137" t="s">
        <v>521</v>
      </c>
      <c r="B233" s="137" t="s">
        <v>522</v>
      </c>
      <c r="C233" s="121" t="str">
        <f>VLOOKUP($B233,Totalt!$B$1:$BU$497,MATCH("Kvalitetsgranskad:",Totalt!$B$1:$BU$1,0),FALSE)</f>
        <v>Ja</v>
      </c>
      <c r="E233" s="121" t="str">
        <f>VLOOKUP($B233,Miljö!$B$1:$AG$479,MATCH(E$1,Miljö!$B$1:$AK$1,0),FALSE)</f>
        <v>Ja</v>
      </c>
      <c r="F233" s="121" t="str">
        <f>VLOOKUP($B233,Miljö!$B$1:$J$479,MATCH("Typ av ursprungsspecificerad el   (Om inget värde anges används Nordisk residualmix, se inforuta) ()",Miljö!$B$1:$J$1,0),FALSE)</f>
        <v>'Bra Miljöval'</v>
      </c>
      <c r="G233" s="121">
        <f>VLOOKUP($B233,Miljö!$B$1:$J$479,MATCH("Primärenergifaktor ()",Miljö!$B$1:$J$1,0),FALSE)</f>
        <v>1.1000000000000001</v>
      </c>
      <c r="H233" s="121">
        <f>VLOOKUP($B233,Miljö!$B$1:$J$479,MATCH("Koldioxidekvivalenter energiomvandling (g/kwh)",Miljö!$B$1:$J$1,0),FALSE)</f>
        <v>1.3</v>
      </c>
      <c r="I233" s="121">
        <f>VLOOKUP($B233,Miljö!$B$1:$J$479,MATCH("Fossilandel för ursprungspecificerad el ()",Miljö!$B$1:$J$1,0),FALSE)</f>
        <v>0</v>
      </c>
      <c r="J233" s="121">
        <f>VLOOKUP($B233,Miljö!$B$1:$J$479,MATCH("Kärnkraftsandel för ursprungsspecificerad el ()",Miljö!$B$1:$J$1,0),FALSE)</f>
        <v>0</v>
      </c>
      <c r="L233" s="121">
        <f>VLOOKUP($B233,Totalt!$B$1:$BU$497,MATCH("total el",Totalt!$B$1:$BU$1,0),FALSE)</f>
        <v>0.301952</v>
      </c>
      <c r="N233" s="271">
        <f t="shared" si="12"/>
        <v>0.33214720000000003</v>
      </c>
      <c r="O233" s="271">
        <f t="shared" si="13"/>
        <v>0.39253759999999999</v>
      </c>
      <c r="P233" s="271">
        <f t="shared" si="14"/>
        <v>0</v>
      </c>
      <c r="Q233" s="271">
        <f t="shared" si="15"/>
        <v>0</v>
      </c>
    </row>
    <row r="234" spans="1:17" x14ac:dyDescent="0.25">
      <c r="A234" s="137" t="s">
        <v>521</v>
      </c>
      <c r="B234" s="137" t="s">
        <v>523</v>
      </c>
      <c r="C234" s="121" t="str">
        <f>VLOOKUP($B234,Totalt!$B$1:$BU$497,MATCH("Kvalitetsgranskad:",Totalt!$B$1:$BU$1,0),FALSE)</f>
        <v>Ja</v>
      </c>
      <c r="E234" s="121" t="str">
        <f>VLOOKUP($B234,Miljö!$B$1:$AG$479,MATCH(E$1,Miljö!$B$1:$AK$1,0),FALSE)</f>
        <v>Ja</v>
      </c>
      <c r="F234" s="121" t="str">
        <f>VLOOKUP($B234,Miljö!$B$1:$J$479,MATCH("Typ av ursprungsspecificerad el   (Om inget värde anges används Nordisk residualmix, se inforuta) ()",Miljö!$B$1:$J$1,0),FALSE)</f>
        <v>'VBra Miljöval'</v>
      </c>
      <c r="G234" s="121">
        <f>VLOOKUP($B234,Miljö!$B$1:$J$479,MATCH("Primärenergifaktor ()",Miljö!$B$1:$J$1,0),FALSE)</f>
        <v>1.1000000000000001</v>
      </c>
      <c r="H234" s="121">
        <f>VLOOKUP($B234,Miljö!$B$1:$J$479,MATCH("Koldioxidekvivalenter energiomvandling (g/kwh)",Miljö!$B$1:$J$1,0),FALSE)</f>
        <v>1.3</v>
      </c>
      <c r="I234" s="121">
        <f>VLOOKUP($B234,Miljö!$B$1:$J$479,MATCH("Fossilandel för ursprungspecificerad el ()",Miljö!$B$1:$J$1,0),FALSE)</f>
        <v>0</v>
      </c>
      <c r="J234" s="121">
        <f>VLOOKUP($B234,Miljö!$B$1:$J$479,MATCH("Kärnkraftsandel för ursprungsspecificerad el ()",Miljö!$B$1:$J$1,0),FALSE)</f>
        <v>0</v>
      </c>
      <c r="L234" s="121">
        <f>VLOOKUP($B234,Totalt!$B$1:$BU$497,MATCH("total el",Totalt!$B$1:$BU$1,0),FALSE)</f>
        <v>2.1304599999999998</v>
      </c>
      <c r="N234" s="271">
        <f t="shared" si="12"/>
        <v>2.3435060000000001</v>
      </c>
      <c r="O234" s="271">
        <f t="shared" si="13"/>
        <v>2.7695979999999998</v>
      </c>
      <c r="P234" s="271">
        <f t="shared" si="14"/>
        <v>0</v>
      </c>
      <c r="Q234" s="271">
        <f t="shared" si="15"/>
        <v>0</v>
      </c>
    </row>
    <row r="235" spans="1:17" x14ac:dyDescent="0.25">
      <c r="A235" s="137" t="s">
        <v>524</v>
      </c>
      <c r="B235" s="137" t="s">
        <v>525</v>
      </c>
      <c r="C235" s="121" t="str">
        <f>VLOOKUP($B235,Totalt!$B$1:$BU$497,MATCH("Kvalitetsgranskad:",Totalt!$B$1:$BU$1,0),FALSE)</f>
        <v>Ja</v>
      </c>
      <c r="E235" s="121" t="str">
        <f>VLOOKUP($B235,Miljö!$B$1:$AG$479,MATCH(E$1,Miljö!$B$1:$AK$1,0),FALSE)</f>
        <v>Ja</v>
      </c>
      <c r="F235" s="121" t="str">
        <f>VLOOKUP($B235,Miljö!$B$1:$J$479,MATCH("Typ av ursprungsspecificerad el   (Om inget värde anges används Nordisk residualmix, se inforuta) ()",Miljö!$B$1:$J$1,0),FALSE)</f>
        <v>'Förnybart'</v>
      </c>
      <c r="G235" s="121">
        <f>VLOOKUP($B235,Miljö!$B$1:$J$479,MATCH("Primärenergifaktor ()",Miljö!$B$1:$J$1,0),FALSE)</f>
        <v>1.1000000000000001</v>
      </c>
      <c r="H235" s="121">
        <f>VLOOKUP($B235,Miljö!$B$1:$J$479,MATCH("Koldioxidekvivalenter energiomvandling (g/kwh)",Miljö!$B$1:$J$1,0),FALSE)</f>
        <v>0</v>
      </c>
      <c r="I235" s="121">
        <f>VLOOKUP($B235,Miljö!$B$1:$J$479,MATCH("Fossilandel för ursprungspecificerad el ()",Miljö!$B$1:$J$1,0),FALSE)</f>
        <v>0</v>
      </c>
      <c r="J235" s="121">
        <f>VLOOKUP($B235,Miljö!$B$1:$J$479,MATCH("Kärnkraftsandel för ursprungsspecificerad el ()",Miljö!$B$1:$J$1,0),FALSE)</f>
        <v>0</v>
      </c>
      <c r="L235" s="121">
        <f>VLOOKUP($B235,Totalt!$B$1:$BU$497,MATCH("total el",Totalt!$B$1:$BU$1,0),FALSE)</f>
        <v>3.2192219999999998</v>
      </c>
      <c r="N235" s="271">
        <f t="shared" si="12"/>
        <v>3.5411442000000002</v>
      </c>
      <c r="O235" s="271">
        <f t="shared" si="13"/>
        <v>0</v>
      </c>
      <c r="P235" s="271">
        <f t="shared" si="14"/>
        <v>0</v>
      </c>
      <c r="Q235" s="271">
        <f t="shared" si="15"/>
        <v>0</v>
      </c>
    </row>
    <row r="236" spans="1:17" x14ac:dyDescent="0.25">
      <c r="A236" s="137" t="s">
        <v>526</v>
      </c>
      <c r="B236" s="137" t="s">
        <v>527</v>
      </c>
      <c r="C236" s="121" t="str">
        <f>VLOOKUP($B236,Totalt!$B$1:$BU$497,MATCH("Kvalitetsgranskad:",Totalt!$B$1:$BU$1,0),FALSE)</f>
        <v>Ja</v>
      </c>
      <c r="E236" s="121" t="str">
        <f>VLOOKUP($B236,Miljö!$B$1:$AG$479,MATCH(E$1,Miljö!$B$1:$AK$1,0),FALSE)</f>
        <v>Nej</v>
      </c>
      <c r="F236" s="121" t="str">
        <f>VLOOKUP($B236,Miljö!$B$1:$J$479,MATCH("Typ av ursprungsspecificerad el   (Om inget värde anges används Nordisk residualmix, se inforuta) ()",Miljö!$B$1:$J$1,0),FALSE)</f>
        <v>-</v>
      </c>
      <c r="G236" s="121">
        <f>VLOOKUP($B236,Miljö!$B$1:$J$479,MATCH("Primärenergifaktor ()",Miljö!$B$1:$J$1,0),FALSE)</f>
        <v>2.2999999999999998</v>
      </c>
      <c r="H236" s="121">
        <f>VLOOKUP($B236,Miljö!$B$1:$J$479,MATCH("Koldioxidekvivalenter energiomvandling (g/kwh)",Miljö!$B$1:$J$1,0),FALSE)</f>
        <v>329.19</v>
      </c>
      <c r="I236" s="121">
        <f>VLOOKUP($B236,Miljö!$B$1:$J$479,MATCH("Fossilandel för ursprungspecificerad el ()",Miljö!$B$1:$J$1,0),FALSE)</f>
        <v>0.43</v>
      </c>
      <c r="J236" s="121">
        <f>VLOOKUP($B236,Miljö!$B$1:$J$479,MATCH("Kärnkraftsandel för ursprungsspecificerad el ()",Miljö!$B$1:$J$1,0),FALSE)</f>
        <v>0.40550000000000003</v>
      </c>
      <c r="L236" s="121">
        <f>VLOOKUP($B236,Totalt!$B$1:$BU$497,MATCH("total el",Totalt!$B$1:$BU$1,0),FALSE)</f>
        <v>8.67</v>
      </c>
      <c r="N236" s="271">
        <f t="shared" si="12"/>
        <v>19.940999999999999</v>
      </c>
      <c r="O236" s="271">
        <f t="shared" si="13"/>
        <v>2854.0772999999999</v>
      </c>
      <c r="P236" s="271">
        <f t="shared" si="14"/>
        <v>3.7281</v>
      </c>
      <c r="Q236" s="271">
        <f t="shared" si="15"/>
        <v>3.5156850000000004</v>
      </c>
    </row>
    <row r="237" spans="1:17" x14ac:dyDescent="0.25">
      <c r="A237" s="137" t="s">
        <v>528</v>
      </c>
      <c r="B237" s="137" t="s">
        <v>529</v>
      </c>
      <c r="C237" s="121" t="str">
        <f>VLOOKUP($B237,Totalt!$B$1:$BU$497,MATCH("Kvalitetsgranskad:",Totalt!$B$1:$BU$1,0),FALSE)</f>
        <v>Ja</v>
      </c>
      <c r="E237" s="121" t="str">
        <f>VLOOKUP($B237,Miljö!$B$1:$AG$479,MATCH(E$1,Miljö!$B$1:$AK$1,0),FALSE)</f>
        <v>Ja</v>
      </c>
      <c r="F237" s="121" t="str">
        <f>VLOOKUP($B237,Miljö!$B$1:$J$479,MATCH("Typ av ursprungsspecificerad el   (Om inget värde anges används Nordisk residualmix, se inforuta) ()",Miljö!$B$1:$J$1,0),FALSE)</f>
        <v>'Eskilstuna bioel'</v>
      </c>
      <c r="G237" s="121">
        <f>VLOOKUP($B237,Miljö!$B$1:$J$479,MATCH("Primärenergifaktor ()",Miljö!$B$1:$J$1,0),FALSE)</f>
        <v>0.03</v>
      </c>
      <c r="H237" s="121">
        <f>VLOOKUP($B237,Miljö!$B$1:$J$479,MATCH("Koldioxidekvivalenter energiomvandling (g/kwh)",Miljö!$B$1:$J$1,0),FALSE)</f>
        <v>22</v>
      </c>
      <c r="I237" s="121">
        <f>VLOOKUP($B237,Miljö!$B$1:$J$479,MATCH("Fossilandel för ursprungspecificerad el ()",Miljö!$B$1:$J$1,0),FALSE)</f>
        <v>0</v>
      </c>
      <c r="J237" s="121">
        <f>VLOOKUP($B237,Miljö!$B$1:$J$479,MATCH("Kärnkraftsandel för ursprungsspecificerad el ()",Miljö!$B$1:$J$1,0),FALSE)</f>
        <v>0</v>
      </c>
      <c r="L237" s="121">
        <f>VLOOKUP($B237,Totalt!$B$1:$BU$497,MATCH("total el",Totalt!$B$1:$BU$1,0),FALSE)</f>
        <v>4.4977999999999998</v>
      </c>
      <c r="N237" s="271">
        <f t="shared" si="12"/>
        <v>0.134934</v>
      </c>
      <c r="O237" s="271">
        <f t="shared" si="13"/>
        <v>98.951599999999999</v>
      </c>
      <c r="P237" s="271">
        <f t="shared" si="14"/>
        <v>0</v>
      </c>
      <c r="Q237" s="271">
        <f t="shared" si="15"/>
        <v>0</v>
      </c>
    </row>
    <row r="238" spans="1:17" x14ac:dyDescent="0.25">
      <c r="A238" s="137" t="s">
        <v>530</v>
      </c>
      <c r="B238" s="137" t="s">
        <v>531</v>
      </c>
      <c r="C238" s="121" t="str">
        <f>VLOOKUP($B238,Totalt!$B$1:$BU$497,MATCH("Kvalitetsgranskad:",Totalt!$B$1:$BU$1,0),FALSE)</f>
        <v>Ja</v>
      </c>
      <c r="E238" s="121" t="str">
        <f>VLOOKUP($B238,Miljö!$B$1:$AG$479,MATCH(E$1,Miljö!$B$1:$AK$1,0),FALSE)</f>
        <v>Nej</v>
      </c>
      <c r="F238" s="121" t="str">
        <f>VLOOKUP($B238,Miljö!$B$1:$J$479,MATCH("Typ av ursprungsspecificerad el   (Om inget värde anges används Nordisk residualmix, se inforuta) ()",Miljö!$B$1:$J$1,0),FALSE)</f>
        <v>-</v>
      </c>
      <c r="G238" s="121">
        <f>VLOOKUP($B238,Miljö!$B$1:$J$479,MATCH("Primärenergifaktor ()",Miljö!$B$1:$J$1,0),FALSE)</f>
        <v>2.2999999999999998</v>
      </c>
      <c r="H238" s="121">
        <f>VLOOKUP($B238,Miljö!$B$1:$J$479,MATCH("Koldioxidekvivalenter energiomvandling (g/kwh)",Miljö!$B$1:$J$1,0),FALSE)</f>
        <v>329.19</v>
      </c>
      <c r="I238" s="121">
        <f>VLOOKUP($B238,Miljö!$B$1:$J$479,MATCH("Fossilandel för ursprungspecificerad el ()",Miljö!$B$1:$J$1,0),FALSE)</f>
        <v>0.43</v>
      </c>
      <c r="J238" s="121">
        <f>VLOOKUP($B238,Miljö!$B$1:$J$479,MATCH("Kärnkraftsandel för ursprungsspecificerad el ()",Miljö!$B$1:$J$1,0),FALSE)</f>
        <v>0.40550000000000003</v>
      </c>
      <c r="L238" s="121">
        <f>VLOOKUP($B238,Totalt!$B$1:$BU$497,MATCH("total el",Totalt!$B$1:$BU$1,0),FALSE)</f>
        <v>1.94</v>
      </c>
      <c r="N238" s="271">
        <f t="shared" si="12"/>
        <v>4.4619999999999997</v>
      </c>
      <c r="O238" s="271">
        <f t="shared" si="13"/>
        <v>638.62860000000001</v>
      </c>
      <c r="P238" s="271">
        <f t="shared" si="14"/>
        <v>0.83419999999999994</v>
      </c>
      <c r="Q238" s="271">
        <f t="shared" si="15"/>
        <v>0.78666999999999998</v>
      </c>
    </row>
    <row r="239" spans="1:17" x14ac:dyDescent="0.25">
      <c r="A239" s="137" t="s">
        <v>532</v>
      </c>
      <c r="B239" s="137" t="s">
        <v>533</v>
      </c>
      <c r="C239" s="121" t="str">
        <f>VLOOKUP($B239,Totalt!$B$1:$BU$497,MATCH("Kvalitetsgranskad:",Totalt!$B$1:$BU$1,0),FALSE)</f>
        <v>Ja</v>
      </c>
      <c r="E239" s="121" t="str">
        <f>VLOOKUP($B239,Miljö!$B$1:$AG$479,MATCH(E$1,Miljö!$B$1:$AK$1,0),FALSE)</f>
        <v>Ja</v>
      </c>
      <c r="F239" s="121" t="str">
        <f>VLOOKUP($B239,Miljö!$B$1:$J$479,MATCH("Typ av ursprungsspecificerad el   (Om inget värde anges används Nordisk residualmix, se inforuta) ()",Miljö!$B$1:$J$1,0),FALSE)</f>
        <v>'vatten. vind. bio'</v>
      </c>
      <c r="G239" s="121">
        <f>VLOOKUP($B239,Miljö!$B$1:$J$479,MATCH("Primärenergifaktor ()",Miljö!$B$1:$J$1,0),FALSE)</f>
        <v>0.73</v>
      </c>
      <c r="H239" s="121">
        <f>VLOOKUP($B239,Miljö!$B$1:$J$479,MATCH("Koldioxidekvivalenter energiomvandling (g/kwh)",Miljö!$B$1:$J$1,0),FALSE)</f>
        <v>0</v>
      </c>
      <c r="I239" s="121">
        <f>VLOOKUP($B239,Miljö!$B$1:$J$479,MATCH("Fossilandel för ursprungspecificerad el ()",Miljö!$B$1:$J$1,0),FALSE)</f>
        <v>0</v>
      </c>
      <c r="J239" s="121">
        <f>VLOOKUP($B239,Miljö!$B$1:$J$479,MATCH("Kärnkraftsandel för ursprungsspecificerad el ()",Miljö!$B$1:$J$1,0),FALSE)</f>
        <v>0</v>
      </c>
      <c r="L239" s="121">
        <f>VLOOKUP($B239,Totalt!$B$1:$BU$497,MATCH("total el",Totalt!$B$1:$BU$1,0),FALSE)</f>
        <v>0.13400000000000001</v>
      </c>
      <c r="N239" s="271">
        <f t="shared" si="12"/>
        <v>9.7820000000000004E-2</v>
      </c>
      <c r="O239" s="271">
        <f t="shared" si="13"/>
        <v>0</v>
      </c>
      <c r="P239" s="271">
        <f t="shared" si="14"/>
        <v>0</v>
      </c>
      <c r="Q239" s="271">
        <f t="shared" si="15"/>
        <v>0</v>
      </c>
    </row>
    <row r="240" spans="1:17" x14ac:dyDescent="0.25">
      <c r="A240" s="137" t="s">
        <v>532</v>
      </c>
      <c r="B240" s="137" t="s">
        <v>534</v>
      </c>
      <c r="C240" s="121" t="str">
        <f>VLOOKUP($B240,Totalt!$B$1:$BU$497,MATCH("Kvalitetsgranskad:",Totalt!$B$1:$BU$1,0),FALSE)</f>
        <v>Ja</v>
      </c>
      <c r="E240" s="121" t="str">
        <f>VLOOKUP($B240,Miljö!$B$1:$AG$479,MATCH(E$1,Miljö!$B$1:$AK$1,0),FALSE)</f>
        <v>Ja</v>
      </c>
      <c r="F240" s="121" t="str">
        <f>VLOOKUP($B240,Miljö!$B$1:$J$479,MATCH("Typ av ursprungsspecificerad el   (Om inget värde anges används Nordisk residualmix, se inforuta) ()",Miljö!$B$1:$J$1,0),FALSE)</f>
        <v>'vatten. vind. bio'</v>
      </c>
      <c r="G240" s="121">
        <f>VLOOKUP($B240,Miljö!$B$1:$J$479,MATCH("Primärenergifaktor ()",Miljö!$B$1:$J$1,0),FALSE)</f>
        <v>0.73</v>
      </c>
      <c r="H240" s="121">
        <f>VLOOKUP($B240,Miljö!$B$1:$J$479,MATCH("Koldioxidekvivalenter energiomvandling (g/kwh)",Miljö!$B$1:$J$1,0),FALSE)</f>
        <v>0</v>
      </c>
      <c r="I240" s="121">
        <f>VLOOKUP($B240,Miljö!$B$1:$J$479,MATCH("Fossilandel för ursprungspecificerad el ()",Miljö!$B$1:$J$1,0),FALSE)</f>
        <v>0</v>
      </c>
      <c r="J240" s="121">
        <f>VLOOKUP($B240,Miljö!$B$1:$J$479,MATCH("Kärnkraftsandel för ursprungsspecificerad el ()",Miljö!$B$1:$J$1,0),FALSE)</f>
        <v>0</v>
      </c>
      <c r="L240" s="121">
        <f>VLOOKUP($B240,Totalt!$B$1:$BU$497,MATCH("total el",Totalt!$B$1:$BU$1,0),FALSE)</f>
        <v>0.104</v>
      </c>
      <c r="N240" s="271">
        <f t="shared" si="12"/>
        <v>7.5920000000000001E-2</v>
      </c>
      <c r="O240" s="271">
        <f t="shared" si="13"/>
        <v>0</v>
      </c>
      <c r="P240" s="271">
        <f t="shared" si="14"/>
        <v>0</v>
      </c>
      <c r="Q240" s="271">
        <f t="shared" si="15"/>
        <v>0</v>
      </c>
    </row>
    <row r="241" spans="1:17" x14ac:dyDescent="0.25">
      <c r="A241" s="137" t="s">
        <v>532</v>
      </c>
      <c r="B241" s="137" t="s">
        <v>536</v>
      </c>
      <c r="C241" s="121" t="str">
        <f>VLOOKUP($B241,Totalt!$B$1:$BU$497,MATCH("Kvalitetsgranskad:",Totalt!$B$1:$BU$1,0),FALSE)</f>
        <v>Ja</v>
      </c>
      <c r="E241" s="121" t="str">
        <f>VLOOKUP($B241,Miljö!$B$1:$AG$479,MATCH(E$1,Miljö!$B$1:$AK$1,0),FALSE)</f>
        <v>Ja</v>
      </c>
      <c r="F241" s="121" t="str">
        <f>VLOOKUP($B241,Miljö!$B$1:$J$479,MATCH("Typ av ursprungsspecificerad el   (Om inget värde anges används Nordisk residualmix, se inforuta) ()",Miljö!$B$1:$J$1,0),FALSE)</f>
        <v>'vatten. vind. bio'</v>
      </c>
      <c r="G241" s="121">
        <f>VLOOKUP($B241,Miljö!$B$1:$J$479,MATCH("Primärenergifaktor ()",Miljö!$B$1:$J$1,0),FALSE)</f>
        <v>0.73</v>
      </c>
      <c r="H241" s="121">
        <f>VLOOKUP($B241,Miljö!$B$1:$J$479,MATCH("Koldioxidekvivalenter energiomvandling (g/kwh)",Miljö!$B$1:$J$1,0),FALSE)</f>
        <v>0</v>
      </c>
      <c r="I241" s="121">
        <f>VLOOKUP($B241,Miljö!$B$1:$J$479,MATCH("Fossilandel för ursprungspecificerad el ()",Miljö!$B$1:$J$1,0),FALSE)</f>
        <v>0</v>
      </c>
      <c r="J241" s="121">
        <f>VLOOKUP($B241,Miljö!$B$1:$J$479,MATCH("Kärnkraftsandel för ursprungsspecificerad el ()",Miljö!$B$1:$J$1,0),FALSE)</f>
        <v>0</v>
      </c>
      <c r="L241" s="121">
        <f>VLOOKUP($B241,Totalt!$B$1:$BU$497,MATCH("total el",Totalt!$B$1:$BU$1,0),FALSE)</f>
        <v>0.29699999999999999</v>
      </c>
      <c r="N241" s="271">
        <f t="shared" si="12"/>
        <v>0.21680999999999997</v>
      </c>
      <c r="O241" s="271">
        <f t="shared" si="13"/>
        <v>0</v>
      </c>
      <c r="P241" s="271">
        <f t="shared" si="14"/>
        <v>0</v>
      </c>
      <c r="Q241" s="271">
        <f t="shared" si="15"/>
        <v>0</v>
      </c>
    </row>
    <row r="242" spans="1:17" x14ac:dyDescent="0.25">
      <c r="A242" s="137" t="s">
        <v>532</v>
      </c>
      <c r="B242" s="137" t="s">
        <v>537</v>
      </c>
      <c r="C242" s="121" t="str">
        <f>VLOOKUP($B242,Totalt!$B$1:$BU$497,MATCH("Kvalitetsgranskad:",Totalt!$B$1:$BU$1,0),FALSE)</f>
        <v>Ja</v>
      </c>
      <c r="E242" s="121" t="str">
        <f>VLOOKUP($B242,Miljö!$B$1:$AG$479,MATCH(E$1,Miljö!$B$1:$AK$1,0),FALSE)</f>
        <v>Ja</v>
      </c>
      <c r="F242" s="121" t="str">
        <f>VLOOKUP($B242,Miljö!$B$1:$J$479,MATCH("Typ av ursprungsspecificerad el   (Om inget värde anges används Nordisk residualmix, se inforuta) ()",Miljö!$B$1:$J$1,0),FALSE)</f>
        <v>'vatten. vind. bio'</v>
      </c>
      <c r="G242" s="121">
        <f>VLOOKUP($B242,Miljö!$B$1:$J$479,MATCH("Primärenergifaktor ()",Miljö!$B$1:$J$1,0),FALSE)</f>
        <v>0.73</v>
      </c>
      <c r="H242" s="121">
        <f>VLOOKUP($B242,Miljö!$B$1:$J$479,MATCH("Koldioxidekvivalenter energiomvandling (g/kwh)",Miljö!$B$1:$J$1,0),FALSE)</f>
        <v>0</v>
      </c>
      <c r="I242" s="121">
        <f>VLOOKUP($B242,Miljö!$B$1:$J$479,MATCH("Fossilandel för ursprungspecificerad el ()",Miljö!$B$1:$J$1,0),FALSE)</f>
        <v>0</v>
      </c>
      <c r="J242" s="121">
        <f>VLOOKUP($B242,Miljö!$B$1:$J$479,MATCH("Kärnkraftsandel för ursprungsspecificerad el ()",Miljö!$B$1:$J$1,0),FALSE)</f>
        <v>0</v>
      </c>
      <c r="L242" s="121">
        <f>VLOOKUP($B242,Totalt!$B$1:$BU$497,MATCH("total el",Totalt!$B$1:$BU$1,0),FALSE)</f>
        <v>0.11</v>
      </c>
      <c r="N242" s="271">
        <f t="shared" si="12"/>
        <v>8.0299999999999996E-2</v>
      </c>
      <c r="O242" s="271">
        <f t="shared" si="13"/>
        <v>0</v>
      </c>
      <c r="P242" s="271">
        <f t="shared" si="14"/>
        <v>0</v>
      </c>
      <c r="Q242" s="271">
        <f t="shared" si="15"/>
        <v>0</v>
      </c>
    </row>
    <row r="243" spans="1:17" x14ac:dyDescent="0.25">
      <c r="A243" s="137" t="s">
        <v>532</v>
      </c>
      <c r="B243" s="137" t="s">
        <v>538</v>
      </c>
      <c r="C243" s="121" t="str">
        <f>VLOOKUP($B243,Totalt!$B$1:$BU$497,MATCH("Kvalitetsgranskad:",Totalt!$B$1:$BU$1,0),FALSE)</f>
        <v>Ja</v>
      </c>
      <c r="E243" s="121" t="str">
        <f>VLOOKUP($B243,Miljö!$B$1:$AG$479,MATCH(E$1,Miljö!$B$1:$AK$1,0),FALSE)</f>
        <v>Ja</v>
      </c>
      <c r="F243" s="121" t="str">
        <f>VLOOKUP($B243,Miljö!$B$1:$J$479,MATCH("Typ av ursprungsspecificerad el   (Om inget värde anges används Nordisk residualmix, se inforuta) ()",Miljö!$B$1:$J$1,0),FALSE)</f>
        <v>'vatten. vind. bio'</v>
      </c>
      <c r="G243" s="121">
        <f>VLOOKUP($B243,Miljö!$B$1:$J$479,MATCH("Primärenergifaktor ()",Miljö!$B$1:$J$1,0),FALSE)</f>
        <v>0.73</v>
      </c>
      <c r="H243" s="121">
        <f>VLOOKUP($B243,Miljö!$B$1:$J$479,MATCH("Koldioxidekvivalenter energiomvandling (g/kwh)",Miljö!$B$1:$J$1,0),FALSE)</f>
        <v>0</v>
      </c>
      <c r="I243" s="121">
        <f>VLOOKUP($B243,Miljö!$B$1:$J$479,MATCH("Fossilandel för ursprungspecificerad el ()",Miljö!$B$1:$J$1,0),FALSE)</f>
        <v>0</v>
      </c>
      <c r="J243" s="121">
        <f>VLOOKUP($B243,Miljö!$B$1:$J$479,MATCH("Kärnkraftsandel för ursprungsspecificerad el ()",Miljö!$B$1:$J$1,0),FALSE)</f>
        <v>0</v>
      </c>
      <c r="L243" s="121">
        <f>VLOOKUP($B243,Totalt!$B$1:$BU$497,MATCH("total el",Totalt!$B$1:$BU$1,0),FALSE)</f>
        <v>0.14099999999999999</v>
      </c>
      <c r="N243" s="271">
        <f t="shared" si="12"/>
        <v>0.10292999999999999</v>
      </c>
      <c r="O243" s="271">
        <f t="shared" si="13"/>
        <v>0</v>
      </c>
      <c r="P243" s="271">
        <f t="shared" si="14"/>
        <v>0</v>
      </c>
      <c r="Q243" s="271">
        <f t="shared" si="15"/>
        <v>0</v>
      </c>
    </row>
    <row r="244" spans="1:17" x14ac:dyDescent="0.25">
      <c r="A244" s="137" t="s">
        <v>532</v>
      </c>
      <c r="B244" s="137" t="s">
        <v>539</v>
      </c>
      <c r="C244" s="121" t="str">
        <f>VLOOKUP($B244,Totalt!$B$1:$BU$497,MATCH("Kvalitetsgranskad:",Totalt!$B$1:$BU$1,0),FALSE)</f>
        <v>Nej</v>
      </c>
      <c r="E244" s="121" t="str">
        <f>VLOOKUP($B244,Miljö!$B$1:$AG$479,MATCH(E$1,Miljö!$B$1:$AK$1,0),FALSE)</f>
        <v>Nej</v>
      </c>
      <c r="F244" s="121" t="str">
        <f>VLOOKUP($B244,Miljö!$B$1:$J$479,MATCH("Typ av ursprungsspecificerad el   (Om inget värde anges används Nordisk residualmix, se inforuta) ()",Miljö!$B$1:$J$1,0),FALSE)</f>
        <v>-</v>
      </c>
      <c r="G244" s="121">
        <f>VLOOKUP($B244,Miljö!$B$1:$J$479,MATCH("Primärenergifaktor ()",Miljö!$B$1:$J$1,0),FALSE)</f>
        <v>2.2999999999999998</v>
      </c>
      <c r="H244" s="121">
        <f>VLOOKUP($B244,Miljö!$B$1:$J$479,MATCH("Koldioxidekvivalenter energiomvandling (g/kwh)",Miljö!$B$1:$J$1,0),FALSE)</f>
        <v>329.19</v>
      </c>
      <c r="I244" s="121">
        <f>VLOOKUP($B244,Miljö!$B$1:$J$479,MATCH("Fossilandel för ursprungspecificerad el ()",Miljö!$B$1:$J$1,0),FALSE)</f>
        <v>0.43</v>
      </c>
      <c r="J244" s="121">
        <f>VLOOKUP($B244,Miljö!$B$1:$J$479,MATCH("Kärnkraftsandel för ursprungsspecificerad el ()",Miljö!$B$1:$J$1,0),FALSE)</f>
        <v>0.40550000000000003</v>
      </c>
      <c r="L244" s="121">
        <f>VLOOKUP($B244,Totalt!$B$1:$BU$497,MATCH("total el",Totalt!$B$1:$BU$1,0),FALSE)</f>
        <v>0</v>
      </c>
      <c r="N244" s="271">
        <f t="shared" si="12"/>
        <v>0</v>
      </c>
      <c r="O244" s="271">
        <f t="shared" si="13"/>
        <v>0</v>
      </c>
      <c r="P244" s="271">
        <f t="shared" si="14"/>
        <v>0</v>
      </c>
      <c r="Q244" s="271">
        <f t="shared" si="15"/>
        <v>0</v>
      </c>
    </row>
    <row r="245" spans="1:17" x14ac:dyDescent="0.25">
      <c r="A245" s="137" t="s">
        <v>532</v>
      </c>
      <c r="B245" s="137" t="s">
        <v>540</v>
      </c>
      <c r="C245" s="121" t="str">
        <f>VLOOKUP($B245,Totalt!$B$1:$BU$497,MATCH("Kvalitetsgranskad:",Totalt!$B$1:$BU$1,0),FALSE)</f>
        <v>Ja</v>
      </c>
      <c r="E245" s="121" t="str">
        <f>VLOOKUP($B245,Miljö!$B$1:$AG$479,MATCH(E$1,Miljö!$B$1:$AK$1,0),FALSE)</f>
        <v>Ja</v>
      </c>
      <c r="F245" s="121" t="str">
        <f>VLOOKUP($B245,Miljö!$B$1:$J$479,MATCH("Typ av ursprungsspecificerad el   (Om inget värde anges används Nordisk residualmix, se inforuta) ()",Miljö!$B$1:$J$1,0),FALSE)</f>
        <v>'vatten. vind. bio'</v>
      </c>
      <c r="G245" s="121">
        <f>VLOOKUP($B245,Miljö!$B$1:$J$479,MATCH("Primärenergifaktor ()",Miljö!$B$1:$J$1,0),FALSE)</f>
        <v>0.73</v>
      </c>
      <c r="H245" s="121">
        <f>VLOOKUP($B245,Miljö!$B$1:$J$479,MATCH("Koldioxidekvivalenter energiomvandling (g/kwh)",Miljö!$B$1:$J$1,0),FALSE)</f>
        <v>0</v>
      </c>
      <c r="I245" s="121">
        <f>VLOOKUP($B245,Miljö!$B$1:$J$479,MATCH("Fossilandel för ursprungspecificerad el ()",Miljö!$B$1:$J$1,0),FALSE)</f>
        <v>0</v>
      </c>
      <c r="J245" s="121">
        <f>VLOOKUP($B245,Miljö!$B$1:$J$479,MATCH("Kärnkraftsandel för ursprungsspecificerad el ()",Miljö!$B$1:$J$1,0),FALSE)</f>
        <v>0</v>
      </c>
      <c r="L245" s="121">
        <f>VLOOKUP($B245,Totalt!$B$1:$BU$497,MATCH("total el",Totalt!$B$1:$BU$1,0),FALSE)</f>
        <v>0.14700000000000002</v>
      </c>
      <c r="N245" s="271">
        <f t="shared" si="12"/>
        <v>0.10731000000000002</v>
      </c>
      <c r="O245" s="271">
        <f t="shared" si="13"/>
        <v>0</v>
      </c>
      <c r="P245" s="271">
        <f t="shared" si="14"/>
        <v>0</v>
      </c>
      <c r="Q245" s="271">
        <f t="shared" si="15"/>
        <v>0</v>
      </c>
    </row>
    <row r="246" spans="1:17" x14ac:dyDescent="0.25">
      <c r="A246" s="137" t="s">
        <v>532</v>
      </c>
      <c r="B246" s="137" t="s">
        <v>541</v>
      </c>
      <c r="C246" s="121" t="str">
        <f>VLOOKUP($B246,Totalt!$B$1:$BU$497,MATCH("Kvalitetsgranskad:",Totalt!$B$1:$BU$1,0),FALSE)</f>
        <v>Ja</v>
      </c>
      <c r="E246" s="121" t="str">
        <f>VLOOKUP($B246,Miljö!$B$1:$AG$479,MATCH(E$1,Miljö!$B$1:$AK$1,0),FALSE)</f>
        <v>Ja</v>
      </c>
      <c r="F246" s="121" t="str">
        <f>VLOOKUP($B246,Miljö!$B$1:$J$479,MATCH("Typ av ursprungsspecificerad el   (Om inget värde anges används Nordisk residualmix, se inforuta) ()",Miljö!$B$1:$J$1,0),FALSE)</f>
        <v>'vatten. vind. bio'</v>
      </c>
      <c r="G246" s="121">
        <f>VLOOKUP($B246,Miljö!$B$1:$J$479,MATCH("Primärenergifaktor ()",Miljö!$B$1:$J$1,0),FALSE)</f>
        <v>0.73</v>
      </c>
      <c r="H246" s="121">
        <f>VLOOKUP($B246,Miljö!$B$1:$J$479,MATCH("Koldioxidekvivalenter energiomvandling (g/kwh)",Miljö!$B$1:$J$1,0),FALSE)</f>
        <v>0</v>
      </c>
      <c r="I246" s="121">
        <f>VLOOKUP($B246,Miljö!$B$1:$J$479,MATCH("Fossilandel för ursprungspecificerad el ()",Miljö!$B$1:$J$1,0),FALSE)</f>
        <v>0</v>
      </c>
      <c r="J246" s="121">
        <f>VLOOKUP($B246,Miljö!$B$1:$J$479,MATCH("Kärnkraftsandel för ursprungsspecificerad el ()",Miljö!$B$1:$J$1,0),FALSE)</f>
        <v>0</v>
      </c>
      <c r="L246" s="121">
        <f>VLOOKUP($B246,Totalt!$B$1:$BU$497,MATCH("total el",Totalt!$B$1:$BU$1,0),FALSE)</f>
        <v>3.2000000000000001E-2</v>
      </c>
      <c r="N246" s="271">
        <f t="shared" si="12"/>
        <v>2.3359999999999999E-2</v>
      </c>
      <c r="O246" s="271">
        <f t="shared" si="13"/>
        <v>0</v>
      </c>
      <c r="P246" s="271">
        <f t="shared" si="14"/>
        <v>0</v>
      </c>
      <c r="Q246" s="271">
        <f t="shared" si="15"/>
        <v>0</v>
      </c>
    </row>
    <row r="247" spans="1:17" x14ac:dyDescent="0.25">
      <c r="A247" s="137" t="s">
        <v>532</v>
      </c>
      <c r="B247" s="137" t="s">
        <v>542</v>
      </c>
      <c r="C247" s="121" t="str">
        <f>VLOOKUP($B247,Totalt!$B$1:$BU$497,MATCH("Kvalitetsgranskad:",Totalt!$B$1:$BU$1,0),FALSE)</f>
        <v>Ja</v>
      </c>
      <c r="E247" s="121" t="str">
        <f>VLOOKUP($B247,Miljö!$B$1:$AG$479,MATCH(E$1,Miljö!$B$1:$AK$1,0),FALSE)</f>
        <v>Ja</v>
      </c>
      <c r="F247" s="121" t="str">
        <f>VLOOKUP($B247,Miljö!$B$1:$J$479,MATCH("Typ av ursprungsspecificerad el   (Om inget värde anges används Nordisk residualmix, se inforuta) ()",Miljö!$B$1:$J$1,0),FALSE)</f>
        <v>'vatten. vind. bio. egenprod i kraftvärmeverk'</v>
      </c>
      <c r="G247" s="121">
        <f>VLOOKUP($B247,Miljö!$B$1:$J$479,MATCH("Primärenergifaktor ()",Miljö!$B$1:$J$1,0),FALSE)</f>
        <v>0.38</v>
      </c>
      <c r="H247" s="121">
        <f>VLOOKUP($B247,Miljö!$B$1:$J$479,MATCH("Koldioxidekvivalenter energiomvandling (g/kwh)",Miljö!$B$1:$J$1,0),FALSE)</f>
        <v>0</v>
      </c>
      <c r="I247" s="121">
        <f>VLOOKUP($B247,Miljö!$B$1:$J$479,MATCH("Fossilandel för ursprungspecificerad el ()",Miljö!$B$1:$J$1,0),FALSE)</f>
        <v>0</v>
      </c>
      <c r="J247" s="121">
        <f>VLOOKUP($B247,Miljö!$B$1:$J$479,MATCH("Kärnkraftsandel för ursprungsspecificerad el ()",Miljö!$B$1:$J$1,0),FALSE)</f>
        <v>0</v>
      </c>
      <c r="L247" s="121">
        <f>VLOOKUP($B247,Totalt!$B$1:$BU$497,MATCH("total el",Totalt!$B$1:$BU$1,0),FALSE)</f>
        <v>4.112196</v>
      </c>
      <c r="N247" s="271">
        <f t="shared" si="12"/>
        <v>1.56263448</v>
      </c>
      <c r="O247" s="271">
        <f t="shared" si="13"/>
        <v>0</v>
      </c>
      <c r="P247" s="271">
        <f t="shared" si="14"/>
        <v>0</v>
      </c>
      <c r="Q247" s="271">
        <f t="shared" si="15"/>
        <v>0</v>
      </c>
    </row>
    <row r="248" spans="1:17" x14ac:dyDescent="0.25">
      <c r="A248" s="137" t="s">
        <v>532</v>
      </c>
      <c r="B248" s="137" t="s">
        <v>543</v>
      </c>
      <c r="C248" s="121" t="str">
        <f>VLOOKUP($B248,Totalt!$B$1:$BU$497,MATCH("Kvalitetsgranskad:",Totalt!$B$1:$BU$1,0),FALSE)</f>
        <v>Ja</v>
      </c>
      <c r="E248" s="121" t="str">
        <f>VLOOKUP($B248,Miljö!$B$1:$AG$479,MATCH(E$1,Miljö!$B$1:$AK$1,0),FALSE)</f>
        <v>Ja</v>
      </c>
      <c r="F248" s="121" t="str">
        <f>VLOOKUP($B248,Miljö!$B$1:$J$479,MATCH("Typ av ursprungsspecificerad el   (Om inget värde anges används Nordisk residualmix, se inforuta) ()",Miljö!$B$1:$J$1,0),FALSE)</f>
        <v>'vatten. vind. bio'</v>
      </c>
      <c r="G248" s="121">
        <f>VLOOKUP($B248,Miljö!$B$1:$J$479,MATCH("Primärenergifaktor ()",Miljö!$B$1:$J$1,0),FALSE)</f>
        <v>0.73</v>
      </c>
      <c r="H248" s="121">
        <f>VLOOKUP($B248,Miljö!$B$1:$J$479,MATCH("Koldioxidekvivalenter energiomvandling (g/kwh)",Miljö!$B$1:$J$1,0),FALSE)</f>
        <v>0</v>
      </c>
      <c r="I248" s="121">
        <f>VLOOKUP($B248,Miljö!$B$1:$J$479,MATCH("Fossilandel för ursprungspecificerad el ()",Miljö!$B$1:$J$1,0),FALSE)</f>
        <v>0</v>
      </c>
      <c r="J248" s="121">
        <f>VLOOKUP($B248,Miljö!$B$1:$J$479,MATCH("Kärnkraftsandel för ursprungsspecificerad el ()",Miljö!$B$1:$J$1,0),FALSE)</f>
        <v>0</v>
      </c>
      <c r="L248" s="121">
        <f>VLOOKUP($B248,Totalt!$B$1:$BU$497,MATCH("total el",Totalt!$B$1:$BU$1,0),FALSE)</f>
        <v>4.7E-2</v>
      </c>
      <c r="N248" s="271">
        <f t="shared" si="12"/>
        <v>3.431E-2</v>
      </c>
      <c r="O248" s="271">
        <f t="shared" si="13"/>
        <v>0</v>
      </c>
      <c r="P248" s="271">
        <f t="shared" si="14"/>
        <v>0</v>
      </c>
      <c r="Q248" s="271">
        <f t="shared" si="15"/>
        <v>0</v>
      </c>
    </row>
    <row r="249" spans="1:17" x14ac:dyDescent="0.25">
      <c r="A249" s="137" t="s">
        <v>532</v>
      </c>
      <c r="B249" s="137" t="s">
        <v>544</v>
      </c>
      <c r="C249" s="121" t="str">
        <f>VLOOKUP($B249,Totalt!$B$1:$BU$497,MATCH("Kvalitetsgranskad:",Totalt!$B$1:$BU$1,0),FALSE)</f>
        <v>Ja</v>
      </c>
      <c r="E249" s="121" t="str">
        <f>VLOOKUP($B249,Miljö!$B$1:$AG$479,MATCH(E$1,Miljö!$B$1:$AK$1,0),FALSE)</f>
        <v>Ja</v>
      </c>
      <c r="F249" s="121" t="str">
        <f>VLOOKUP($B249,Miljö!$B$1:$J$479,MATCH("Typ av ursprungsspecificerad el   (Om inget värde anges används Nordisk residualmix, se inforuta) ()",Miljö!$B$1:$J$1,0),FALSE)</f>
        <v>'vatten. vind. bio. egenprod i kraftvärmeverk'</v>
      </c>
      <c r="G249" s="121">
        <f>VLOOKUP($B249,Miljö!$B$1:$J$479,MATCH("Primärenergifaktor ()",Miljö!$B$1:$J$1,0),FALSE)</f>
        <v>0.13</v>
      </c>
      <c r="H249" s="121">
        <f>VLOOKUP($B249,Miljö!$B$1:$J$479,MATCH("Koldioxidekvivalenter energiomvandling (g/kwh)",Miljö!$B$1:$J$1,0),FALSE)</f>
        <v>0</v>
      </c>
      <c r="I249" s="121">
        <f>VLOOKUP($B249,Miljö!$B$1:$J$479,MATCH("Fossilandel för ursprungspecificerad el ()",Miljö!$B$1:$J$1,0),FALSE)</f>
        <v>0</v>
      </c>
      <c r="J249" s="121">
        <f>VLOOKUP($B249,Miljö!$B$1:$J$479,MATCH("Kärnkraftsandel för ursprungsspecificerad el ()",Miljö!$B$1:$J$1,0),FALSE)</f>
        <v>0</v>
      </c>
      <c r="L249" s="121">
        <f>VLOOKUP($B249,Totalt!$B$1:$BU$497,MATCH("total el",Totalt!$B$1:$BU$1,0),FALSE)</f>
        <v>3.0891299999999999</v>
      </c>
      <c r="N249" s="271">
        <f t="shared" si="12"/>
        <v>0.40158690000000002</v>
      </c>
      <c r="O249" s="271">
        <f t="shared" si="13"/>
        <v>0</v>
      </c>
      <c r="P249" s="271">
        <f t="shared" si="14"/>
        <v>0</v>
      </c>
      <c r="Q249" s="271">
        <f t="shared" si="15"/>
        <v>0</v>
      </c>
    </row>
    <row r="250" spans="1:17" x14ac:dyDescent="0.25">
      <c r="A250" s="137" t="s">
        <v>532</v>
      </c>
      <c r="B250" s="137" t="s">
        <v>545</v>
      </c>
      <c r="C250" s="121" t="str">
        <f>VLOOKUP($B250,Totalt!$B$1:$BU$497,MATCH("Kvalitetsgranskad:",Totalt!$B$1:$BU$1,0),FALSE)</f>
        <v>Ja</v>
      </c>
      <c r="E250" s="121" t="str">
        <f>VLOOKUP($B250,Miljö!$B$1:$AG$479,MATCH(E$1,Miljö!$B$1:$AK$1,0),FALSE)</f>
        <v>Ja</v>
      </c>
      <c r="F250" s="121" t="str">
        <f>VLOOKUP($B250,Miljö!$B$1:$J$479,MATCH("Typ av ursprungsspecificerad el   (Om inget värde anges används Nordisk residualmix, se inforuta) ()",Miljö!$B$1:$J$1,0),FALSE)</f>
        <v>'vatten. vind. bio'</v>
      </c>
      <c r="G250" s="121">
        <f>VLOOKUP($B250,Miljö!$B$1:$J$479,MATCH("Primärenergifaktor ()",Miljö!$B$1:$J$1,0),FALSE)</f>
        <v>0.73</v>
      </c>
      <c r="H250" s="121">
        <f>VLOOKUP($B250,Miljö!$B$1:$J$479,MATCH("Koldioxidekvivalenter energiomvandling (g/kwh)",Miljö!$B$1:$J$1,0),FALSE)</f>
        <v>0</v>
      </c>
      <c r="I250" s="121">
        <f>VLOOKUP($B250,Miljö!$B$1:$J$479,MATCH("Fossilandel för ursprungspecificerad el ()",Miljö!$B$1:$J$1,0),FALSE)</f>
        <v>0</v>
      </c>
      <c r="J250" s="121">
        <f>VLOOKUP($B250,Miljö!$B$1:$J$479,MATCH("Kärnkraftsandel för ursprungsspecificerad el ()",Miljö!$B$1:$J$1,0),FALSE)</f>
        <v>0</v>
      </c>
      <c r="L250" s="121">
        <f>VLOOKUP($B250,Totalt!$B$1:$BU$497,MATCH("total el",Totalt!$B$1:$BU$1,0),FALSE)</f>
        <v>0.41800000000000004</v>
      </c>
      <c r="N250" s="271">
        <f t="shared" si="12"/>
        <v>0.30514000000000002</v>
      </c>
      <c r="O250" s="271">
        <f t="shared" si="13"/>
        <v>0</v>
      </c>
      <c r="P250" s="271">
        <f t="shared" si="14"/>
        <v>0</v>
      </c>
      <c r="Q250" s="271">
        <f t="shared" si="15"/>
        <v>0</v>
      </c>
    </row>
    <row r="251" spans="1:17" x14ac:dyDescent="0.25">
      <c r="A251" s="137" t="s">
        <v>532</v>
      </c>
      <c r="B251" s="137" t="s">
        <v>546</v>
      </c>
      <c r="C251" s="121" t="str">
        <f>VLOOKUP($B251,Totalt!$B$1:$BU$497,MATCH("Kvalitetsgranskad:",Totalt!$B$1:$BU$1,0),FALSE)</f>
        <v>Ja</v>
      </c>
      <c r="E251" s="121" t="str">
        <f>VLOOKUP($B251,Miljö!$B$1:$AG$479,MATCH(E$1,Miljö!$B$1:$AK$1,0),FALSE)</f>
        <v>Ja</v>
      </c>
      <c r="F251" s="121" t="str">
        <f>VLOOKUP($B251,Miljö!$B$1:$J$479,MATCH("Typ av ursprungsspecificerad el   (Om inget värde anges används Nordisk residualmix, se inforuta) ()",Miljö!$B$1:$J$1,0),FALSE)</f>
        <v>'vatten. vind. bio'</v>
      </c>
      <c r="G251" s="121">
        <f>VLOOKUP($B251,Miljö!$B$1:$J$479,MATCH("Primärenergifaktor ()",Miljö!$B$1:$J$1,0),FALSE)</f>
        <v>0.73</v>
      </c>
      <c r="H251" s="121">
        <f>VLOOKUP($B251,Miljö!$B$1:$J$479,MATCH("Koldioxidekvivalenter energiomvandling (g/kwh)",Miljö!$B$1:$J$1,0),FALSE)</f>
        <v>0</v>
      </c>
      <c r="I251" s="121">
        <f>VLOOKUP($B251,Miljö!$B$1:$J$479,MATCH("Fossilandel för ursprungspecificerad el ()",Miljö!$B$1:$J$1,0),FALSE)</f>
        <v>0</v>
      </c>
      <c r="J251" s="121">
        <f>VLOOKUP($B251,Miljö!$B$1:$J$479,MATCH("Kärnkraftsandel för ursprungsspecificerad el ()",Miljö!$B$1:$J$1,0),FALSE)</f>
        <v>0</v>
      </c>
      <c r="L251" s="121">
        <f>VLOOKUP($B251,Totalt!$B$1:$BU$497,MATCH("total el",Totalt!$B$1:$BU$1,0),FALSE)</f>
        <v>0.114</v>
      </c>
      <c r="N251" s="271">
        <f t="shared" si="12"/>
        <v>8.3220000000000002E-2</v>
      </c>
      <c r="O251" s="271">
        <f t="shared" si="13"/>
        <v>0</v>
      </c>
      <c r="P251" s="271">
        <f t="shared" si="14"/>
        <v>0</v>
      </c>
      <c r="Q251" s="271">
        <f t="shared" si="15"/>
        <v>0</v>
      </c>
    </row>
    <row r="252" spans="1:17" x14ac:dyDescent="0.25">
      <c r="A252" s="137" t="s">
        <v>532</v>
      </c>
      <c r="B252" s="137" t="s">
        <v>547</v>
      </c>
      <c r="C252" s="121" t="str">
        <f>VLOOKUP($B252,Totalt!$B$1:$BU$497,MATCH("Kvalitetsgranskad:",Totalt!$B$1:$BU$1,0),FALSE)</f>
        <v>Ja</v>
      </c>
      <c r="E252" s="121" t="str">
        <f>VLOOKUP($B252,Miljö!$B$1:$AG$479,MATCH(E$1,Miljö!$B$1:$AK$1,0),FALSE)</f>
        <v>Ja</v>
      </c>
      <c r="F252" s="121" t="str">
        <f>VLOOKUP($B252,Miljö!$B$1:$J$479,MATCH("Typ av ursprungsspecificerad el   (Om inget värde anges används Nordisk residualmix, se inforuta) ()",Miljö!$B$1:$J$1,0),FALSE)</f>
        <v>'vatten. vind. bio. egenprod i kraftvärmeverk'</v>
      </c>
      <c r="G252" s="121">
        <f>VLOOKUP($B252,Miljö!$B$1:$J$479,MATCH("Primärenergifaktor ()",Miljö!$B$1:$J$1,0),FALSE)</f>
        <v>0.42</v>
      </c>
      <c r="H252" s="121">
        <f>VLOOKUP($B252,Miljö!$B$1:$J$479,MATCH("Koldioxidekvivalenter energiomvandling (g/kwh)",Miljö!$B$1:$J$1,0),FALSE)</f>
        <v>0</v>
      </c>
      <c r="I252" s="121">
        <f>VLOOKUP($B252,Miljö!$B$1:$J$479,MATCH("Fossilandel för ursprungspecificerad el ()",Miljö!$B$1:$J$1,0),FALSE)</f>
        <v>0</v>
      </c>
      <c r="J252" s="121">
        <f>VLOOKUP($B252,Miljö!$B$1:$J$479,MATCH("Kärnkraftsandel för ursprungsspecificerad el ()",Miljö!$B$1:$J$1,0),FALSE)</f>
        <v>0</v>
      </c>
      <c r="L252" s="121">
        <f>VLOOKUP($B252,Totalt!$B$1:$BU$497,MATCH("total el",Totalt!$B$1:$BU$1,0),FALSE)</f>
        <v>13.6165</v>
      </c>
      <c r="N252" s="271">
        <f t="shared" si="12"/>
        <v>5.7189300000000003</v>
      </c>
      <c r="O252" s="271">
        <f t="shared" si="13"/>
        <v>0</v>
      </c>
      <c r="P252" s="271">
        <f t="shared" si="14"/>
        <v>0</v>
      </c>
      <c r="Q252" s="271">
        <f t="shared" si="15"/>
        <v>0</v>
      </c>
    </row>
    <row r="253" spans="1:17" x14ac:dyDescent="0.25">
      <c r="A253" s="137" t="s">
        <v>532</v>
      </c>
      <c r="B253" s="137" t="s">
        <v>548</v>
      </c>
      <c r="C253" s="121" t="str">
        <f>VLOOKUP($B253,Totalt!$B$1:$BU$497,MATCH("Kvalitetsgranskad:",Totalt!$B$1:$BU$1,0),FALSE)</f>
        <v>Ja</v>
      </c>
      <c r="E253" s="121" t="str">
        <f>VLOOKUP($B253,Miljö!$B$1:$AG$479,MATCH(E$1,Miljö!$B$1:$AK$1,0),FALSE)</f>
        <v>Ja</v>
      </c>
      <c r="F253" s="121" t="str">
        <f>VLOOKUP($B253,Miljö!$B$1:$J$479,MATCH("Typ av ursprungsspecificerad el   (Om inget värde anges används Nordisk residualmix, se inforuta) ()",Miljö!$B$1:$J$1,0),FALSE)</f>
        <v>'vatten. vind. bio'</v>
      </c>
      <c r="G253" s="121">
        <f>VLOOKUP($B253,Miljö!$B$1:$J$479,MATCH("Primärenergifaktor ()",Miljö!$B$1:$J$1,0),FALSE)</f>
        <v>0.73</v>
      </c>
      <c r="H253" s="121">
        <f>VLOOKUP($B253,Miljö!$B$1:$J$479,MATCH("Koldioxidekvivalenter energiomvandling (g/kwh)",Miljö!$B$1:$J$1,0),FALSE)</f>
        <v>0</v>
      </c>
      <c r="I253" s="121">
        <f>VLOOKUP($B253,Miljö!$B$1:$J$479,MATCH("Fossilandel för ursprungspecificerad el ()",Miljö!$B$1:$J$1,0),FALSE)</f>
        <v>0</v>
      </c>
      <c r="J253" s="121">
        <f>VLOOKUP($B253,Miljö!$B$1:$J$479,MATCH("Kärnkraftsandel för ursprungsspecificerad el ()",Miljö!$B$1:$J$1,0),FALSE)</f>
        <v>0</v>
      </c>
      <c r="L253" s="121">
        <f>VLOOKUP($B253,Totalt!$B$1:$BU$497,MATCH("total el",Totalt!$B$1:$BU$1,0),FALSE)</f>
        <v>0.69899999999999995</v>
      </c>
      <c r="N253" s="271">
        <f t="shared" si="12"/>
        <v>0.51027</v>
      </c>
      <c r="O253" s="271">
        <f t="shared" si="13"/>
        <v>0</v>
      </c>
      <c r="P253" s="271">
        <f t="shared" si="14"/>
        <v>0</v>
      </c>
      <c r="Q253" s="271">
        <f t="shared" si="15"/>
        <v>0</v>
      </c>
    </row>
    <row r="254" spans="1:17" x14ac:dyDescent="0.25">
      <c r="A254" s="137" t="s">
        <v>532</v>
      </c>
      <c r="B254" s="137" t="s">
        <v>549</v>
      </c>
      <c r="C254" s="121" t="str">
        <f>VLOOKUP($B254,Totalt!$B$1:$BU$497,MATCH("Kvalitetsgranskad:",Totalt!$B$1:$BU$1,0),FALSE)</f>
        <v>Ja</v>
      </c>
      <c r="E254" s="121" t="str">
        <f>VLOOKUP($B254,Miljö!$B$1:$AG$479,MATCH(E$1,Miljö!$B$1:$AK$1,0),FALSE)</f>
        <v>Ja</v>
      </c>
      <c r="F254" s="121" t="str">
        <f>VLOOKUP($B254,Miljö!$B$1:$J$479,MATCH("Typ av ursprungsspecificerad el   (Om inget värde anges används Nordisk residualmix, se inforuta) ()",Miljö!$B$1:$J$1,0),FALSE)</f>
        <v>'vatten. vind. bio'</v>
      </c>
      <c r="G254" s="121">
        <f>VLOOKUP($B254,Miljö!$B$1:$J$479,MATCH("Primärenergifaktor ()",Miljö!$B$1:$J$1,0),FALSE)</f>
        <v>0.73</v>
      </c>
      <c r="H254" s="121">
        <f>VLOOKUP($B254,Miljö!$B$1:$J$479,MATCH("Koldioxidekvivalenter energiomvandling (g/kwh)",Miljö!$B$1:$J$1,0),FALSE)</f>
        <v>0</v>
      </c>
      <c r="I254" s="121">
        <f>VLOOKUP($B254,Miljö!$B$1:$J$479,MATCH("Fossilandel för ursprungspecificerad el ()",Miljö!$B$1:$J$1,0),FALSE)</f>
        <v>0</v>
      </c>
      <c r="J254" s="121">
        <f>VLOOKUP($B254,Miljö!$B$1:$J$479,MATCH("Kärnkraftsandel för ursprungsspecificerad el ()",Miljö!$B$1:$J$1,0),FALSE)</f>
        <v>0</v>
      </c>
      <c r="L254" s="121">
        <f>VLOOKUP($B254,Totalt!$B$1:$BU$497,MATCH("total el",Totalt!$B$1:$BU$1,0),FALSE)</f>
        <v>1.0999999999999999E-2</v>
      </c>
      <c r="N254" s="271">
        <f t="shared" si="12"/>
        <v>8.0299999999999989E-3</v>
      </c>
      <c r="O254" s="271">
        <f t="shared" si="13"/>
        <v>0</v>
      </c>
      <c r="P254" s="271">
        <f t="shared" si="14"/>
        <v>0</v>
      </c>
      <c r="Q254" s="271">
        <f t="shared" si="15"/>
        <v>0</v>
      </c>
    </row>
    <row r="255" spans="1:17" x14ac:dyDescent="0.25">
      <c r="A255" s="137" t="s">
        <v>532</v>
      </c>
      <c r="B255" s="137" t="s">
        <v>550</v>
      </c>
      <c r="C255" s="121" t="str">
        <f>VLOOKUP($B255,Totalt!$B$1:$BU$497,MATCH("Kvalitetsgranskad:",Totalt!$B$1:$BU$1,0),FALSE)</f>
        <v>Ja</v>
      </c>
      <c r="E255" s="121" t="str">
        <f>VLOOKUP($B255,Miljö!$B$1:$AG$479,MATCH(E$1,Miljö!$B$1:$AK$1,0),FALSE)</f>
        <v>Ja</v>
      </c>
      <c r="F255" s="121" t="str">
        <f>VLOOKUP($B255,Miljö!$B$1:$J$479,MATCH("Typ av ursprungsspecificerad el   (Om inget värde anges används Nordisk residualmix, se inforuta) ()",Miljö!$B$1:$J$1,0),FALSE)</f>
        <v>'vatten. vind. bio'</v>
      </c>
      <c r="G255" s="121">
        <f>VLOOKUP($B255,Miljö!$B$1:$J$479,MATCH("Primärenergifaktor ()",Miljö!$B$1:$J$1,0),FALSE)</f>
        <v>0.73</v>
      </c>
      <c r="H255" s="121">
        <f>VLOOKUP($B255,Miljö!$B$1:$J$479,MATCH("Koldioxidekvivalenter energiomvandling (g/kwh)",Miljö!$B$1:$J$1,0),FALSE)</f>
        <v>0</v>
      </c>
      <c r="I255" s="121">
        <f>VLOOKUP($B255,Miljö!$B$1:$J$479,MATCH("Fossilandel för ursprungspecificerad el ()",Miljö!$B$1:$J$1,0),FALSE)</f>
        <v>0</v>
      </c>
      <c r="J255" s="121">
        <f>VLOOKUP($B255,Miljö!$B$1:$J$479,MATCH("Kärnkraftsandel för ursprungsspecificerad el ()",Miljö!$B$1:$J$1,0),FALSE)</f>
        <v>0</v>
      </c>
      <c r="L255" s="121">
        <f>VLOOKUP($B255,Totalt!$B$1:$BU$497,MATCH("total el",Totalt!$B$1:$BU$1,0),FALSE)</f>
        <v>0.161</v>
      </c>
      <c r="N255" s="271">
        <f t="shared" si="12"/>
        <v>0.11753</v>
      </c>
      <c r="O255" s="271">
        <f t="shared" si="13"/>
        <v>0</v>
      </c>
      <c r="P255" s="271">
        <f t="shared" si="14"/>
        <v>0</v>
      </c>
      <c r="Q255" s="271">
        <f t="shared" si="15"/>
        <v>0</v>
      </c>
    </row>
    <row r="256" spans="1:17" x14ac:dyDescent="0.25">
      <c r="A256" s="137" t="s">
        <v>532</v>
      </c>
      <c r="B256" s="137" t="s">
        <v>551</v>
      </c>
      <c r="C256" s="121" t="str">
        <f>VLOOKUP($B256,Totalt!$B$1:$BU$497,MATCH("Kvalitetsgranskad:",Totalt!$B$1:$BU$1,0),FALSE)</f>
        <v>Ja</v>
      </c>
      <c r="E256" s="121" t="str">
        <f>VLOOKUP($B256,Miljö!$B$1:$AG$479,MATCH(E$1,Miljö!$B$1:$AK$1,0),FALSE)</f>
        <v>Ja</v>
      </c>
      <c r="F256" s="121" t="str">
        <f>VLOOKUP($B256,Miljö!$B$1:$J$479,MATCH("Typ av ursprungsspecificerad el   (Om inget värde anges används Nordisk residualmix, se inforuta) ()",Miljö!$B$1:$J$1,0),FALSE)</f>
        <v>'vatten. vind. bio'</v>
      </c>
      <c r="G256" s="121">
        <f>VLOOKUP($B256,Miljö!$B$1:$J$479,MATCH("Primärenergifaktor ()",Miljö!$B$1:$J$1,0),FALSE)</f>
        <v>0.73</v>
      </c>
      <c r="H256" s="121">
        <f>VLOOKUP($B256,Miljö!$B$1:$J$479,MATCH("Koldioxidekvivalenter energiomvandling (g/kwh)",Miljö!$B$1:$J$1,0),FALSE)</f>
        <v>0</v>
      </c>
      <c r="I256" s="121">
        <f>VLOOKUP($B256,Miljö!$B$1:$J$479,MATCH("Fossilandel för ursprungspecificerad el ()",Miljö!$B$1:$J$1,0),FALSE)</f>
        <v>0</v>
      </c>
      <c r="J256" s="121">
        <f>VLOOKUP($B256,Miljö!$B$1:$J$479,MATCH("Kärnkraftsandel för ursprungsspecificerad el ()",Miljö!$B$1:$J$1,0),FALSE)</f>
        <v>0</v>
      </c>
      <c r="L256" s="121">
        <f>VLOOKUP($B256,Totalt!$B$1:$BU$497,MATCH("total el",Totalt!$B$1:$BU$1,0),FALSE)</f>
        <v>5.5E-2</v>
      </c>
      <c r="N256" s="271">
        <f t="shared" si="12"/>
        <v>4.0149999999999998E-2</v>
      </c>
      <c r="O256" s="271">
        <f t="shared" si="13"/>
        <v>0</v>
      </c>
      <c r="P256" s="271">
        <f t="shared" si="14"/>
        <v>0</v>
      </c>
      <c r="Q256" s="271">
        <f t="shared" si="15"/>
        <v>0</v>
      </c>
    </row>
    <row r="257" spans="1:17" x14ac:dyDescent="0.25">
      <c r="A257" s="137" t="s">
        <v>552</v>
      </c>
      <c r="B257" s="137" t="s">
        <v>553</v>
      </c>
      <c r="C257" s="121" t="str">
        <f>VLOOKUP($B257,Totalt!$B$1:$BU$497,MATCH("Kvalitetsgranskad:",Totalt!$B$1:$BU$1,0),FALSE)</f>
        <v>Ja</v>
      </c>
      <c r="E257" s="121" t="str">
        <f>VLOOKUP($B257,Miljö!$B$1:$AG$479,MATCH(E$1,Miljö!$B$1:$AK$1,0),FALSE)</f>
        <v>Ja</v>
      </c>
      <c r="F257" s="121" t="str">
        <f>VLOOKUP($B257,Miljö!$B$1:$J$479,MATCH("Typ av ursprungsspecificerad el   (Om inget värde anges används Nordisk residualmix, se inforuta) ()",Miljö!$B$1:$J$1,0),FALSE)</f>
        <v>'vattenproducerad el'</v>
      </c>
      <c r="G257" s="121">
        <f>VLOOKUP($B257,Miljö!$B$1:$J$479,MATCH("Primärenergifaktor ()",Miljö!$B$1:$J$1,0),FALSE)</f>
        <v>1.1000000000000001</v>
      </c>
      <c r="H257" s="121">
        <f>VLOOKUP($B257,Miljö!$B$1:$J$479,MATCH("Koldioxidekvivalenter energiomvandling (g/kwh)",Miljö!$B$1:$J$1,0),FALSE)</f>
        <v>0</v>
      </c>
      <c r="I257" s="121">
        <f>VLOOKUP($B257,Miljö!$B$1:$J$479,MATCH("Fossilandel för ursprungspecificerad el ()",Miljö!$B$1:$J$1,0),FALSE)</f>
        <v>0</v>
      </c>
      <c r="J257" s="121">
        <f>VLOOKUP($B257,Miljö!$B$1:$J$479,MATCH("Kärnkraftsandel för ursprungsspecificerad el ()",Miljö!$B$1:$J$1,0),FALSE)</f>
        <v>0</v>
      </c>
      <c r="L257" s="121">
        <f>VLOOKUP($B257,Totalt!$B$1:$BU$497,MATCH("total el",Totalt!$B$1:$BU$1,0),FALSE)</f>
        <v>0.1</v>
      </c>
      <c r="N257" s="271">
        <f t="shared" si="12"/>
        <v>0.11000000000000001</v>
      </c>
      <c r="O257" s="271">
        <f t="shared" si="13"/>
        <v>0</v>
      </c>
      <c r="P257" s="271">
        <f t="shared" si="14"/>
        <v>0</v>
      </c>
      <c r="Q257" s="271">
        <f t="shared" si="15"/>
        <v>0</v>
      </c>
    </row>
    <row r="258" spans="1:17" x14ac:dyDescent="0.25">
      <c r="A258" s="137" t="s">
        <v>552</v>
      </c>
      <c r="B258" s="137" t="s">
        <v>554</v>
      </c>
      <c r="C258" s="121" t="str">
        <f>VLOOKUP($B258,Totalt!$B$1:$BU$497,MATCH("Kvalitetsgranskad:",Totalt!$B$1:$BU$1,0),FALSE)</f>
        <v>Ja</v>
      </c>
      <c r="E258" s="121" t="str">
        <f>VLOOKUP($B258,Miljö!$B$1:$AG$479,MATCH(E$1,Miljö!$B$1:$AK$1,0),FALSE)</f>
        <v>Ja</v>
      </c>
      <c r="F258" s="121" t="str">
        <f>VLOOKUP($B258,Miljö!$B$1:$J$479,MATCH("Typ av ursprungsspecificerad el   (Om inget värde anges används Nordisk residualmix, se inforuta) ()",Miljö!$B$1:$J$1,0),FALSE)</f>
        <v>'vattenproducerad el'</v>
      </c>
      <c r="G258" s="121">
        <f>VLOOKUP($B258,Miljö!$B$1:$J$479,MATCH("Primärenergifaktor ()",Miljö!$B$1:$J$1,0),FALSE)</f>
        <v>1.1000000000000001</v>
      </c>
      <c r="H258" s="121">
        <f>VLOOKUP($B258,Miljö!$B$1:$J$479,MATCH("Koldioxidekvivalenter energiomvandling (g/kwh)",Miljö!$B$1:$J$1,0),FALSE)</f>
        <v>0</v>
      </c>
      <c r="I258" s="121">
        <f>VLOOKUP($B258,Miljö!$B$1:$J$479,MATCH("Fossilandel för ursprungspecificerad el ()",Miljö!$B$1:$J$1,0),FALSE)</f>
        <v>0</v>
      </c>
      <c r="J258" s="121">
        <f>VLOOKUP($B258,Miljö!$B$1:$J$479,MATCH("Kärnkraftsandel för ursprungsspecificerad el ()",Miljö!$B$1:$J$1,0),FALSE)</f>
        <v>0</v>
      </c>
      <c r="L258" s="121">
        <f>VLOOKUP($B258,Totalt!$B$1:$BU$497,MATCH("total el",Totalt!$B$1:$BU$1,0),FALSE)</f>
        <v>12.8391</v>
      </c>
      <c r="N258" s="271">
        <f t="shared" si="12"/>
        <v>14.123010000000001</v>
      </c>
      <c r="O258" s="271">
        <f t="shared" si="13"/>
        <v>0</v>
      </c>
      <c r="P258" s="271">
        <f t="shared" si="14"/>
        <v>0</v>
      </c>
      <c r="Q258" s="271">
        <f t="shared" si="15"/>
        <v>0</v>
      </c>
    </row>
    <row r="259" spans="1:17" x14ac:dyDescent="0.25">
      <c r="A259" s="137" t="s">
        <v>552</v>
      </c>
      <c r="B259" s="137" t="s">
        <v>555</v>
      </c>
      <c r="C259" s="121" t="str">
        <f>VLOOKUP($B259,Totalt!$B$1:$BU$497,MATCH("Kvalitetsgranskad:",Totalt!$B$1:$BU$1,0),FALSE)</f>
        <v>Ja</v>
      </c>
      <c r="E259" s="121" t="str">
        <f>VLOOKUP($B259,Miljö!$B$1:$AG$479,MATCH(E$1,Miljö!$B$1:$AK$1,0),FALSE)</f>
        <v>Ja</v>
      </c>
      <c r="F259" s="121" t="str">
        <f>VLOOKUP($B259,Miljö!$B$1:$J$479,MATCH("Typ av ursprungsspecificerad el   (Om inget värde anges används Nordisk residualmix, se inforuta) ()",Miljö!$B$1:$J$1,0),FALSE)</f>
        <v>'vattenproducerad el'</v>
      </c>
      <c r="G259" s="121">
        <f>VLOOKUP($B259,Miljö!$B$1:$J$479,MATCH("Primärenergifaktor ()",Miljö!$B$1:$J$1,0),FALSE)</f>
        <v>1.1000000000000001</v>
      </c>
      <c r="H259" s="121">
        <f>VLOOKUP($B259,Miljö!$B$1:$J$479,MATCH("Koldioxidekvivalenter energiomvandling (g/kwh)",Miljö!$B$1:$J$1,0),FALSE)</f>
        <v>0</v>
      </c>
      <c r="I259" s="121">
        <f>VLOOKUP($B259,Miljö!$B$1:$J$479,MATCH("Fossilandel för ursprungspecificerad el ()",Miljö!$B$1:$J$1,0),FALSE)</f>
        <v>0</v>
      </c>
      <c r="J259" s="121">
        <f>VLOOKUP($B259,Miljö!$B$1:$J$479,MATCH("Kärnkraftsandel för ursprungsspecificerad el ()",Miljö!$B$1:$J$1,0),FALSE)</f>
        <v>0</v>
      </c>
      <c r="L259" s="121">
        <f>VLOOKUP($B259,Totalt!$B$1:$BU$497,MATCH("total el",Totalt!$B$1:$BU$1,0),FALSE)</f>
        <v>0.06</v>
      </c>
      <c r="N259" s="271">
        <f t="shared" ref="N259:N322" si="16">IF(ISERROR($L259*G259),"",$L259*G259)</f>
        <v>6.6000000000000003E-2</v>
      </c>
      <c r="O259" s="271">
        <f t="shared" ref="O259:O322" si="17">IF(ISERROR($L259*H259),"",$L259*H259)</f>
        <v>0</v>
      </c>
      <c r="P259" s="271">
        <f t="shared" ref="P259:P322" si="18">IF(ISERROR($L259*I259),"",$L259*I259)</f>
        <v>0</v>
      </c>
      <c r="Q259" s="271">
        <f t="shared" ref="Q259:Q322" si="19">IF(ISERROR($L259*J259),"",$L259*J259)</f>
        <v>0</v>
      </c>
    </row>
    <row r="260" spans="1:17" x14ac:dyDescent="0.25">
      <c r="A260" s="137" t="s">
        <v>552</v>
      </c>
      <c r="B260" s="137" t="s">
        <v>556</v>
      </c>
      <c r="C260" s="121" t="str">
        <f>VLOOKUP($B260,Totalt!$B$1:$BU$497,MATCH("Kvalitetsgranskad:",Totalt!$B$1:$BU$1,0),FALSE)</f>
        <v>Ja</v>
      </c>
      <c r="E260" s="121" t="str">
        <f>VLOOKUP($B260,Miljö!$B$1:$AG$479,MATCH(E$1,Miljö!$B$1:$AK$1,0),FALSE)</f>
        <v>Ja</v>
      </c>
      <c r="F260" s="121" t="str">
        <f>VLOOKUP($B260,Miljö!$B$1:$J$479,MATCH("Typ av ursprungsspecificerad el   (Om inget värde anges används Nordisk residualmix, se inforuta) ()",Miljö!$B$1:$J$1,0),FALSE)</f>
        <v>'vattenproducerad'</v>
      </c>
      <c r="G260" s="121">
        <f>VLOOKUP($B260,Miljö!$B$1:$J$479,MATCH("Primärenergifaktor ()",Miljö!$B$1:$J$1,0),FALSE)</f>
        <v>1.1000000000000001</v>
      </c>
      <c r="H260" s="121">
        <f>VLOOKUP($B260,Miljö!$B$1:$J$479,MATCH("Koldioxidekvivalenter energiomvandling (g/kwh)",Miljö!$B$1:$J$1,0),FALSE)</f>
        <v>0</v>
      </c>
      <c r="I260" s="121">
        <f>VLOOKUP($B260,Miljö!$B$1:$J$479,MATCH("Fossilandel för ursprungspecificerad el ()",Miljö!$B$1:$J$1,0),FALSE)</f>
        <v>0</v>
      </c>
      <c r="J260" s="121">
        <f>VLOOKUP($B260,Miljö!$B$1:$J$479,MATCH("Kärnkraftsandel för ursprungsspecificerad el ()",Miljö!$B$1:$J$1,0),FALSE)</f>
        <v>0</v>
      </c>
      <c r="L260" s="121">
        <f>VLOOKUP($B260,Totalt!$B$1:$BU$497,MATCH("total el",Totalt!$B$1:$BU$1,0),FALSE)</f>
        <v>2.4E-2</v>
      </c>
      <c r="N260" s="271">
        <f t="shared" si="16"/>
        <v>2.6400000000000003E-2</v>
      </c>
      <c r="O260" s="271">
        <f t="shared" si="17"/>
        <v>0</v>
      </c>
      <c r="P260" s="271">
        <f t="shared" si="18"/>
        <v>0</v>
      </c>
      <c r="Q260" s="271">
        <f t="shared" si="19"/>
        <v>0</v>
      </c>
    </row>
    <row r="261" spans="1:17" x14ac:dyDescent="0.25">
      <c r="A261" s="137" t="s">
        <v>552</v>
      </c>
      <c r="B261" s="137" t="s">
        <v>557</v>
      </c>
      <c r="C261" s="121" t="str">
        <f>VLOOKUP($B261,Totalt!$B$1:$BU$497,MATCH("Kvalitetsgranskad:",Totalt!$B$1:$BU$1,0),FALSE)</f>
        <v>Ja</v>
      </c>
      <c r="E261" s="121" t="str">
        <f>VLOOKUP($B261,Miljö!$B$1:$AG$479,MATCH(E$1,Miljö!$B$1:$AK$1,0),FALSE)</f>
        <v>Ja</v>
      </c>
      <c r="F261" s="121" t="str">
        <f>VLOOKUP($B261,Miljö!$B$1:$J$479,MATCH("Typ av ursprungsspecificerad el   (Om inget värde anges används Nordisk residualmix, se inforuta) ()",Miljö!$B$1:$J$1,0),FALSE)</f>
        <v>'vattenproducerad'</v>
      </c>
      <c r="G261" s="121">
        <f>VLOOKUP($B261,Miljö!$B$1:$J$479,MATCH("Primärenergifaktor ()",Miljö!$B$1:$J$1,0),FALSE)</f>
        <v>1.1000000000000001</v>
      </c>
      <c r="H261" s="121">
        <f>VLOOKUP($B261,Miljö!$B$1:$J$479,MATCH("Koldioxidekvivalenter energiomvandling (g/kwh)",Miljö!$B$1:$J$1,0),FALSE)</f>
        <v>0</v>
      </c>
      <c r="I261" s="121">
        <f>VLOOKUP($B261,Miljö!$B$1:$J$479,MATCH("Fossilandel för ursprungspecificerad el ()",Miljö!$B$1:$J$1,0),FALSE)</f>
        <v>0</v>
      </c>
      <c r="J261" s="121">
        <f>VLOOKUP($B261,Miljö!$B$1:$J$479,MATCH("Kärnkraftsandel för ursprungsspecificerad el ()",Miljö!$B$1:$J$1,0),FALSE)</f>
        <v>0</v>
      </c>
      <c r="L261" s="121">
        <f>VLOOKUP($B261,Totalt!$B$1:$BU$497,MATCH("total el",Totalt!$B$1:$BU$1,0),FALSE)</f>
        <v>5.1999999999999998E-2</v>
      </c>
      <c r="N261" s="271">
        <f t="shared" si="16"/>
        <v>5.7200000000000001E-2</v>
      </c>
      <c r="O261" s="271">
        <f t="shared" si="17"/>
        <v>0</v>
      </c>
      <c r="P261" s="271">
        <f t="shared" si="18"/>
        <v>0</v>
      </c>
      <c r="Q261" s="271">
        <f t="shared" si="19"/>
        <v>0</v>
      </c>
    </row>
    <row r="262" spans="1:17" x14ac:dyDescent="0.25">
      <c r="A262" s="137" t="s">
        <v>558</v>
      </c>
      <c r="B262" s="137" t="s">
        <v>559</v>
      </c>
      <c r="C262" s="121" t="str">
        <f>VLOOKUP($B262,Totalt!$B$1:$BU$497,MATCH("Kvalitetsgranskad:",Totalt!$B$1:$BU$1,0),FALSE)</f>
        <v>Ja</v>
      </c>
      <c r="E262" s="121" t="str">
        <f>VLOOKUP($B262,Miljö!$B$1:$AG$479,MATCH(E$1,Miljö!$B$1:$AK$1,0),FALSE)</f>
        <v>Ja</v>
      </c>
      <c r="F262" s="121" t="str">
        <f>VLOOKUP($B262,Miljö!$B$1:$J$479,MATCH("Typ av ursprungsspecificerad el   (Om inget värde anges används Nordisk residualmix, se inforuta) ()",Miljö!$B$1:$J$1,0),FALSE)</f>
        <v>-</v>
      </c>
      <c r="G262" s="121">
        <f>VLOOKUP($B262,Miljö!$B$1:$J$479,MATCH("Primärenergifaktor ()",Miljö!$B$1:$J$1,0),FALSE)</f>
        <v>2.23</v>
      </c>
      <c r="H262" s="121">
        <f>VLOOKUP($B262,Miljö!$B$1:$J$479,MATCH("Koldioxidekvivalenter energiomvandling (g/kwh)",Miljö!$B$1:$J$1,0),FALSE)</f>
        <v>329.19</v>
      </c>
      <c r="I262" s="121">
        <f>VLOOKUP($B262,Miljö!$B$1:$J$479,MATCH("Fossilandel för ursprungspecificerad el ()",Miljö!$B$1:$J$1,0),FALSE)</f>
        <v>0.43</v>
      </c>
      <c r="J262" s="121">
        <f>VLOOKUP($B262,Miljö!$B$1:$J$479,MATCH("Kärnkraftsandel för ursprungsspecificerad el ()",Miljö!$B$1:$J$1,0),FALSE)</f>
        <v>0.40550000000000003</v>
      </c>
      <c r="L262" s="121">
        <f>VLOOKUP($B262,Totalt!$B$1:$BU$497,MATCH("total el",Totalt!$B$1:$BU$1,0),FALSE)</f>
        <v>3.012</v>
      </c>
      <c r="N262" s="271">
        <f t="shared" si="16"/>
        <v>6.7167599999999998</v>
      </c>
      <c r="O262" s="271">
        <f t="shared" si="17"/>
        <v>991.52027999999996</v>
      </c>
      <c r="P262" s="271">
        <f t="shared" si="18"/>
        <v>1.2951600000000001</v>
      </c>
      <c r="Q262" s="271">
        <f t="shared" si="19"/>
        <v>1.2213660000000002</v>
      </c>
    </row>
    <row r="263" spans="1:17" x14ac:dyDescent="0.25">
      <c r="A263" s="137" t="s">
        <v>558</v>
      </c>
      <c r="B263" s="137" t="s">
        <v>560</v>
      </c>
      <c r="C263" s="121" t="str">
        <f>VLOOKUP($B263,Totalt!$B$1:$BU$497,MATCH("Kvalitetsgranskad:",Totalt!$B$1:$BU$1,0),FALSE)</f>
        <v>Ja</v>
      </c>
      <c r="E263" s="121" t="str">
        <f>VLOOKUP($B263,Miljö!$B$1:$AG$479,MATCH(E$1,Miljö!$B$1:$AK$1,0),FALSE)</f>
        <v>Ja</v>
      </c>
      <c r="F263" s="121" t="str">
        <f>VLOOKUP($B263,Miljö!$B$1:$J$479,MATCH("Typ av ursprungsspecificerad el   (Om inget värde anges används Nordisk residualmix, se inforuta) ()",Miljö!$B$1:$J$1,0),FALSE)</f>
        <v>-</v>
      </c>
      <c r="G263" s="121">
        <f>VLOOKUP($B263,Miljö!$B$1:$J$479,MATCH("Primärenergifaktor ()",Miljö!$B$1:$J$1,0),FALSE)</f>
        <v>2.23</v>
      </c>
      <c r="H263" s="121">
        <f>VLOOKUP($B263,Miljö!$B$1:$J$479,MATCH("Koldioxidekvivalenter energiomvandling (g/kwh)",Miljö!$B$1:$J$1,0),FALSE)</f>
        <v>329.19</v>
      </c>
      <c r="I263" s="121">
        <f>VLOOKUP($B263,Miljö!$B$1:$J$479,MATCH("Fossilandel för ursprungspecificerad el ()",Miljö!$B$1:$J$1,0),FALSE)</f>
        <v>0.43</v>
      </c>
      <c r="J263" s="121">
        <f>VLOOKUP($B263,Miljö!$B$1:$J$479,MATCH("Kärnkraftsandel för ursprungsspecificerad el ()",Miljö!$B$1:$J$1,0),FALSE)</f>
        <v>0.40550000000000003</v>
      </c>
      <c r="L263" s="121">
        <f>VLOOKUP($B263,Totalt!$B$1:$BU$497,MATCH("total el",Totalt!$B$1:$BU$1,0),FALSE)</f>
        <v>0.1</v>
      </c>
      <c r="N263" s="271">
        <f t="shared" si="16"/>
        <v>0.223</v>
      </c>
      <c r="O263" s="271">
        <f t="shared" si="17"/>
        <v>32.919000000000004</v>
      </c>
      <c r="P263" s="271">
        <f t="shared" si="18"/>
        <v>4.3000000000000003E-2</v>
      </c>
      <c r="Q263" s="271">
        <f t="shared" si="19"/>
        <v>4.0550000000000003E-2</v>
      </c>
    </row>
    <row r="264" spans="1:17" x14ac:dyDescent="0.25">
      <c r="A264" s="137" t="s">
        <v>561</v>
      </c>
      <c r="B264" s="137" t="s">
        <v>562</v>
      </c>
      <c r="C264" s="121" t="str">
        <f>VLOOKUP($B264,Totalt!$B$1:$BU$497,MATCH("Kvalitetsgranskad:",Totalt!$B$1:$BU$1,0),FALSE)</f>
        <v>Ja</v>
      </c>
      <c r="E264" s="121" t="str">
        <f>VLOOKUP($B264,Miljö!$B$1:$AG$479,MATCH(E$1,Miljö!$B$1:$AK$1,0),FALSE)</f>
        <v>Ja</v>
      </c>
      <c r="F264" s="121" t="str">
        <f>VLOOKUP($B264,Miljö!$B$1:$J$479,MATCH("Typ av ursprungsspecificerad el   (Om inget värde anges används Nordisk residualmix, se inforuta) ()",Miljö!$B$1:$J$1,0),FALSE)</f>
        <v>'Vattenkraft'</v>
      </c>
      <c r="G264" s="121">
        <f>VLOOKUP($B264,Miljö!$B$1:$J$479,MATCH("Primärenergifaktor ()",Miljö!$B$1:$J$1,0),FALSE)</f>
        <v>1.1000000000000001</v>
      </c>
      <c r="H264" s="121">
        <f>VLOOKUP($B264,Miljö!$B$1:$J$479,MATCH("Koldioxidekvivalenter energiomvandling (g/kwh)",Miljö!$B$1:$J$1,0),FALSE)</f>
        <v>0</v>
      </c>
      <c r="I264" s="121">
        <f>VLOOKUP($B264,Miljö!$B$1:$J$479,MATCH("Fossilandel för ursprungspecificerad el ()",Miljö!$B$1:$J$1,0),FALSE)</f>
        <v>0</v>
      </c>
      <c r="J264" s="121">
        <f>VLOOKUP($B264,Miljö!$B$1:$J$479,MATCH("Kärnkraftsandel för ursprungsspecificerad el ()",Miljö!$B$1:$J$1,0),FALSE)</f>
        <v>0</v>
      </c>
      <c r="L264" s="121">
        <f>VLOOKUP($B264,Totalt!$B$1:$BU$497,MATCH("total el",Totalt!$B$1:$BU$1,0),FALSE)</f>
        <v>9.06</v>
      </c>
      <c r="N264" s="271">
        <f t="shared" si="16"/>
        <v>9.9660000000000011</v>
      </c>
      <c r="O264" s="271">
        <f t="shared" si="17"/>
        <v>0</v>
      </c>
      <c r="P264" s="271">
        <f t="shared" si="18"/>
        <v>0</v>
      </c>
      <c r="Q264" s="271">
        <f t="shared" si="19"/>
        <v>0</v>
      </c>
    </row>
    <row r="265" spans="1:17" x14ac:dyDescent="0.25">
      <c r="A265" s="137" t="s">
        <v>563</v>
      </c>
      <c r="B265" s="137" t="s">
        <v>564</v>
      </c>
      <c r="C265" s="121" t="str">
        <f>VLOOKUP($B265,Totalt!$B$1:$BU$497,MATCH("Kvalitetsgranskad:",Totalt!$B$1:$BU$1,0),FALSE)</f>
        <v>Nej</v>
      </c>
      <c r="E265" s="121" t="str">
        <f>VLOOKUP($B265,Miljö!$B$1:$AG$479,MATCH(E$1,Miljö!$B$1:$AK$1,0),FALSE)</f>
        <v>Nej</v>
      </c>
      <c r="F265" s="121" t="str">
        <f>VLOOKUP($B265,Miljö!$B$1:$J$479,MATCH("Typ av ursprungsspecificerad el   (Om inget värde anges används Nordisk residualmix, se inforuta) ()",Miljö!$B$1:$J$1,0),FALSE)</f>
        <v>-</v>
      </c>
      <c r="G265" s="121" t="str">
        <f>VLOOKUP($B265,Miljö!$B$1:$J$479,MATCH("Primärenergifaktor ()",Miljö!$B$1:$J$1,0),FALSE)</f>
        <v>-</v>
      </c>
      <c r="H265" s="121" t="str">
        <f>VLOOKUP($B265,Miljö!$B$1:$J$479,MATCH("Koldioxidekvivalenter energiomvandling (g/kwh)",Miljö!$B$1:$J$1,0),FALSE)</f>
        <v>-</v>
      </c>
      <c r="I265" s="121" t="str">
        <f>VLOOKUP($B265,Miljö!$B$1:$J$479,MATCH("Fossilandel för ursprungspecificerad el ()",Miljö!$B$1:$J$1,0),FALSE)</f>
        <v>-</v>
      </c>
      <c r="J265" s="121" t="str">
        <f>VLOOKUP($B265,Miljö!$B$1:$J$479,MATCH("Kärnkraftsandel för ursprungsspecificerad el ()",Miljö!$B$1:$J$1,0),FALSE)</f>
        <v>-</v>
      </c>
      <c r="L265" s="121">
        <f>VLOOKUP($B265,Totalt!$B$1:$BU$497,MATCH("total el",Totalt!$B$1:$BU$1,0),FALSE)</f>
        <v>0</v>
      </c>
      <c r="N265" s="271" t="str">
        <f t="shared" si="16"/>
        <v/>
      </c>
      <c r="O265" s="271" t="str">
        <f t="shared" si="17"/>
        <v/>
      </c>
      <c r="P265" s="271" t="str">
        <f t="shared" si="18"/>
        <v/>
      </c>
      <c r="Q265" s="271" t="str">
        <f t="shared" si="19"/>
        <v/>
      </c>
    </row>
    <row r="266" spans="1:17" x14ac:dyDescent="0.25">
      <c r="A266" s="137" t="s">
        <v>565</v>
      </c>
      <c r="B266" s="137" t="s">
        <v>566</v>
      </c>
      <c r="C266" s="121" t="str">
        <f>VLOOKUP($B266,Totalt!$B$1:$BU$497,MATCH("Kvalitetsgranskad:",Totalt!$B$1:$BU$1,0),FALSE)</f>
        <v>Ja</v>
      </c>
      <c r="E266" s="121" t="str">
        <f>VLOOKUP($B266,Miljö!$B$1:$AG$479,MATCH(E$1,Miljö!$B$1:$AK$1,0),FALSE)</f>
        <v>Ja</v>
      </c>
      <c r="F266" s="121" t="str">
        <f>VLOOKUP($B266,Miljö!$B$1:$J$479,MATCH("Typ av ursprungsspecificerad el   (Om inget värde anges används Nordisk residualmix, se inforuta) ()",Miljö!$B$1:$J$1,0),FALSE)</f>
        <v>'100% vattenkraft'</v>
      </c>
      <c r="G266" s="121">
        <f>VLOOKUP($B266,Miljö!$B$1:$J$479,MATCH("Primärenergifaktor ()",Miljö!$B$1:$J$1,0),FALSE)</f>
        <v>0.95</v>
      </c>
      <c r="H266" s="121">
        <f>VLOOKUP($B266,Miljö!$B$1:$J$479,MATCH("Koldioxidekvivalenter energiomvandling (g/kwh)",Miljö!$B$1:$J$1,0),FALSE)</f>
        <v>0</v>
      </c>
      <c r="I266" s="121">
        <f>VLOOKUP($B266,Miljö!$B$1:$J$479,MATCH("Fossilandel för ursprungspecificerad el ()",Miljö!$B$1:$J$1,0),FALSE)</f>
        <v>0</v>
      </c>
      <c r="J266" s="121">
        <f>VLOOKUP($B266,Miljö!$B$1:$J$479,MATCH("Kärnkraftsandel för ursprungsspecificerad el ()",Miljö!$B$1:$J$1,0),FALSE)</f>
        <v>0</v>
      </c>
      <c r="L266" s="121">
        <f>VLOOKUP($B266,Totalt!$B$1:$BU$497,MATCH("total el",Totalt!$B$1:$BU$1,0),FALSE)</f>
        <v>4</v>
      </c>
      <c r="N266" s="271">
        <f t="shared" si="16"/>
        <v>3.8</v>
      </c>
      <c r="O266" s="271">
        <f t="shared" si="17"/>
        <v>0</v>
      </c>
      <c r="P266" s="271">
        <f t="shared" si="18"/>
        <v>0</v>
      </c>
      <c r="Q266" s="271">
        <f t="shared" si="19"/>
        <v>0</v>
      </c>
    </row>
    <row r="267" spans="1:17" x14ac:dyDescent="0.25">
      <c r="A267" s="137" t="s">
        <v>565</v>
      </c>
      <c r="B267" s="137" t="s">
        <v>567</v>
      </c>
      <c r="C267" s="121" t="str">
        <f>VLOOKUP($B267,Totalt!$B$1:$BU$497,MATCH("Kvalitetsgranskad:",Totalt!$B$1:$BU$1,0),FALSE)</f>
        <v>Ja</v>
      </c>
      <c r="E267" s="121" t="str">
        <f>VLOOKUP($B267,Miljö!$B$1:$AG$479,MATCH(E$1,Miljö!$B$1:$AK$1,0),FALSE)</f>
        <v>Ja</v>
      </c>
      <c r="F267" s="121" t="str">
        <f>VLOOKUP($B267,Miljö!$B$1:$J$479,MATCH("Typ av ursprungsspecificerad el   (Om inget värde anges används Nordisk residualmix, se inforuta) ()",Miljö!$B$1:$J$1,0),FALSE)</f>
        <v>'100% vattenkraft'</v>
      </c>
      <c r="G267" s="121">
        <f>VLOOKUP($B267,Miljö!$B$1:$J$479,MATCH("Primärenergifaktor ()",Miljö!$B$1:$J$1,0),FALSE)</f>
        <v>0.95</v>
      </c>
      <c r="H267" s="121">
        <f>VLOOKUP($B267,Miljö!$B$1:$J$479,MATCH("Koldioxidekvivalenter energiomvandling (g/kwh)",Miljö!$B$1:$J$1,0),FALSE)</f>
        <v>0</v>
      </c>
      <c r="I267" s="121">
        <f>VLOOKUP($B267,Miljö!$B$1:$J$479,MATCH("Fossilandel för ursprungspecificerad el ()",Miljö!$B$1:$J$1,0),FALSE)</f>
        <v>0</v>
      </c>
      <c r="J267" s="121">
        <f>VLOOKUP($B267,Miljö!$B$1:$J$479,MATCH("Kärnkraftsandel för ursprungsspecificerad el ()",Miljö!$B$1:$J$1,0),FALSE)</f>
        <v>0</v>
      </c>
      <c r="L267" s="121">
        <f>VLOOKUP($B267,Totalt!$B$1:$BU$497,MATCH("total el",Totalt!$B$1:$BU$1,0),FALSE)</f>
        <v>0.83</v>
      </c>
      <c r="N267" s="271">
        <f t="shared" si="16"/>
        <v>0.78849999999999998</v>
      </c>
      <c r="O267" s="271">
        <f t="shared" si="17"/>
        <v>0</v>
      </c>
      <c r="P267" s="271">
        <f t="shared" si="18"/>
        <v>0</v>
      </c>
      <c r="Q267" s="271">
        <f t="shared" si="19"/>
        <v>0</v>
      </c>
    </row>
    <row r="268" spans="1:17" x14ac:dyDescent="0.25">
      <c r="A268" s="137" t="s">
        <v>565</v>
      </c>
      <c r="B268" s="137" t="s">
        <v>568</v>
      </c>
      <c r="C268" s="121" t="str">
        <f>VLOOKUP($B268,Totalt!$B$1:$BU$497,MATCH("Kvalitetsgranskad:",Totalt!$B$1:$BU$1,0),FALSE)</f>
        <v>Ja</v>
      </c>
      <c r="E268" s="121" t="str">
        <f>VLOOKUP($B268,Miljö!$B$1:$AG$479,MATCH(E$1,Miljö!$B$1:$AK$1,0),FALSE)</f>
        <v>Ja</v>
      </c>
      <c r="F268" s="121" t="str">
        <f>VLOOKUP($B268,Miljö!$B$1:$J$479,MATCH("Typ av ursprungsspecificerad el   (Om inget värde anges används Nordisk residualmix, se inforuta) ()",Miljö!$B$1:$J$1,0),FALSE)</f>
        <v>'100% vattenkraft'</v>
      </c>
      <c r="G268" s="121">
        <f>VLOOKUP($B268,Miljö!$B$1:$J$479,MATCH("Primärenergifaktor ()",Miljö!$B$1:$J$1,0),FALSE)</f>
        <v>0.95</v>
      </c>
      <c r="H268" s="121">
        <f>VLOOKUP($B268,Miljö!$B$1:$J$479,MATCH("Koldioxidekvivalenter energiomvandling (g/kwh)",Miljö!$B$1:$J$1,0),FALSE)</f>
        <v>0</v>
      </c>
      <c r="I268" s="121">
        <f>VLOOKUP($B268,Miljö!$B$1:$J$479,MATCH("Fossilandel för ursprungspecificerad el ()",Miljö!$B$1:$J$1,0),FALSE)</f>
        <v>0</v>
      </c>
      <c r="J268" s="121">
        <f>VLOOKUP($B268,Miljö!$B$1:$J$479,MATCH("Kärnkraftsandel för ursprungsspecificerad el ()",Miljö!$B$1:$J$1,0),FALSE)</f>
        <v>0</v>
      </c>
      <c r="L268" s="121">
        <f>VLOOKUP($B268,Totalt!$B$1:$BU$497,MATCH("total el",Totalt!$B$1:$BU$1,0),FALSE)</f>
        <v>0.24</v>
      </c>
      <c r="N268" s="271">
        <f t="shared" si="16"/>
        <v>0.22799999999999998</v>
      </c>
      <c r="O268" s="271">
        <f t="shared" si="17"/>
        <v>0</v>
      </c>
      <c r="P268" s="271">
        <f t="shared" si="18"/>
        <v>0</v>
      </c>
      <c r="Q268" s="271">
        <f t="shared" si="19"/>
        <v>0</v>
      </c>
    </row>
    <row r="269" spans="1:17" x14ac:dyDescent="0.25">
      <c r="A269" s="137" t="s">
        <v>565</v>
      </c>
      <c r="B269" s="137" t="s">
        <v>569</v>
      </c>
      <c r="C269" s="121" t="str">
        <f>VLOOKUP($B269,Totalt!$B$1:$BU$497,MATCH("Kvalitetsgranskad:",Totalt!$B$1:$BU$1,0),FALSE)</f>
        <v>Ja</v>
      </c>
      <c r="E269" s="121" t="str">
        <f>VLOOKUP($B269,Miljö!$B$1:$AG$479,MATCH(E$1,Miljö!$B$1:$AK$1,0),FALSE)</f>
        <v>Ja</v>
      </c>
      <c r="F269" s="121" t="str">
        <f>VLOOKUP($B269,Miljö!$B$1:$J$479,MATCH("Typ av ursprungsspecificerad el   (Om inget värde anges används Nordisk residualmix, se inforuta) ()",Miljö!$B$1:$J$1,0),FALSE)</f>
        <v>'100% vattenkraft'</v>
      </c>
      <c r="G269" s="121">
        <f>VLOOKUP($B269,Miljö!$B$1:$J$479,MATCH("Primärenergifaktor ()",Miljö!$B$1:$J$1,0),FALSE)</f>
        <v>0.95</v>
      </c>
      <c r="H269" s="121">
        <f>VLOOKUP($B269,Miljö!$B$1:$J$479,MATCH("Koldioxidekvivalenter energiomvandling (g/kwh)",Miljö!$B$1:$J$1,0),FALSE)</f>
        <v>0</v>
      </c>
      <c r="I269" s="121">
        <f>VLOOKUP($B269,Miljö!$B$1:$J$479,MATCH("Fossilandel för ursprungspecificerad el ()",Miljö!$B$1:$J$1,0),FALSE)</f>
        <v>0</v>
      </c>
      <c r="J269" s="121">
        <f>VLOOKUP($B269,Miljö!$B$1:$J$479,MATCH("Kärnkraftsandel för ursprungsspecificerad el ()",Miljö!$B$1:$J$1,0),FALSE)</f>
        <v>0</v>
      </c>
      <c r="L269" s="121">
        <f>VLOOKUP($B269,Totalt!$B$1:$BU$497,MATCH("total el",Totalt!$B$1:$BU$1,0),FALSE)</f>
        <v>1.06</v>
      </c>
      <c r="N269" s="271">
        <f t="shared" si="16"/>
        <v>1.0069999999999999</v>
      </c>
      <c r="O269" s="271">
        <f t="shared" si="17"/>
        <v>0</v>
      </c>
      <c r="P269" s="271">
        <f t="shared" si="18"/>
        <v>0</v>
      </c>
      <c r="Q269" s="271">
        <f t="shared" si="19"/>
        <v>0</v>
      </c>
    </row>
    <row r="270" spans="1:17" x14ac:dyDescent="0.25">
      <c r="A270" s="137" t="s">
        <v>570</v>
      </c>
      <c r="B270" s="137" t="s">
        <v>571</v>
      </c>
      <c r="C270" s="121" t="str">
        <f>VLOOKUP($B270,Totalt!$B$1:$BU$497,MATCH("Kvalitetsgranskad:",Totalt!$B$1:$BU$1,0),FALSE)</f>
        <v>Ja</v>
      </c>
      <c r="E270" s="121" t="str">
        <f>VLOOKUP($B270,Miljö!$B$1:$AG$479,MATCH(E$1,Miljö!$B$1:$AK$1,0),FALSE)</f>
        <v>Ja</v>
      </c>
      <c r="F270" s="121" t="str">
        <f>VLOOKUP($B270,Miljö!$B$1:$J$479,MATCH("Typ av ursprungsspecificerad el   (Om inget värde anges används Nordisk residualmix, se inforuta) ()",Miljö!$B$1:$J$1,0),FALSE)</f>
        <v>'Förnybart'</v>
      </c>
      <c r="G270" s="121">
        <f>VLOOKUP($B270,Miljö!$B$1:$J$479,MATCH("Primärenergifaktor ()",Miljö!$B$1:$J$1,0),FALSE)</f>
        <v>1.1000000000000001</v>
      </c>
      <c r="H270" s="121">
        <f>VLOOKUP($B270,Miljö!$B$1:$J$479,MATCH("Koldioxidekvivalenter energiomvandling (g/kwh)",Miljö!$B$1:$J$1,0),FALSE)</f>
        <v>0</v>
      </c>
      <c r="I270" s="121">
        <f>VLOOKUP($B270,Miljö!$B$1:$J$479,MATCH("Fossilandel för ursprungspecificerad el ()",Miljö!$B$1:$J$1,0),FALSE)</f>
        <v>0</v>
      </c>
      <c r="J270" s="121">
        <f>VLOOKUP($B270,Miljö!$B$1:$J$479,MATCH("Kärnkraftsandel för ursprungsspecificerad el ()",Miljö!$B$1:$J$1,0),FALSE)</f>
        <v>0</v>
      </c>
      <c r="L270" s="121">
        <f>VLOOKUP($B270,Totalt!$B$1:$BU$497,MATCH("total el",Totalt!$B$1:$BU$1,0),FALSE)</f>
        <v>1</v>
      </c>
      <c r="N270" s="271">
        <f t="shared" si="16"/>
        <v>1.1000000000000001</v>
      </c>
      <c r="O270" s="271">
        <f t="shared" si="17"/>
        <v>0</v>
      </c>
      <c r="P270" s="271">
        <f t="shared" si="18"/>
        <v>0</v>
      </c>
      <c r="Q270" s="271">
        <f t="shared" si="19"/>
        <v>0</v>
      </c>
    </row>
    <row r="271" spans="1:17" x14ac:dyDescent="0.25">
      <c r="A271" s="137" t="s">
        <v>570</v>
      </c>
      <c r="B271" s="137" t="s">
        <v>572</v>
      </c>
      <c r="C271" s="121" t="str">
        <f>VLOOKUP($B271,Totalt!$B$1:$BU$497,MATCH("Kvalitetsgranskad:",Totalt!$B$1:$BU$1,0),FALSE)</f>
        <v>Ja</v>
      </c>
      <c r="E271" s="121" t="str">
        <f>VLOOKUP($B271,Miljö!$B$1:$AG$479,MATCH(E$1,Miljö!$B$1:$AK$1,0),FALSE)</f>
        <v>Ja</v>
      </c>
      <c r="F271" s="121" t="str">
        <f>VLOOKUP($B271,Miljö!$B$1:$J$479,MATCH("Typ av ursprungsspecificerad el   (Om inget värde anges används Nordisk residualmix, se inforuta) ()",Miljö!$B$1:$J$1,0),FALSE)</f>
        <v>'Förnybart'</v>
      </c>
      <c r="G271" s="121">
        <f>VLOOKUP($B271,Miljö!$B$1:$J$479,MATCH("Primärenergifaktor ()",Miljö!$B$1:$J$1,0),FALSE)</f>
        <v>1.1000000000000001</v>
      </c>
      <c r="H271" s="121">
        <f>VLOOKUP($B271,Miljö!$B$1:$J$479,MATCH("Koldioxidekvivalenter energiomvandling (g/kwh)",Miljö!$B$1:$J$1,0),FALSE)</f>
        <v>0</v>
      </c>
      <c r="I271" s="121">
        <f>VLOOKUP($B271,Miljö!$B$1:$J$479,MATCH("Fossilandel för ursprungspecificerad el ()",Miljö!$B$1:$J$1,0),FALSE)</f>
        <v>0</v>
      </c>
      <c r="J271" s="121">
        <f>VLOOKUP($B271,Miljö!$B$1:$J$479,MATCH("Kärnkraftsandel för ursprungsspecificerad el ()",Miljö!$B$1:$J$1,0),FALSE)</f>
        <v>0</v>
      </c>
      <c r="L271" s="121">
        <f>VLOOKUP($B271,Totalt!$B$1:$BU$497,MATCH("total el",Totalt!$B$1:$BU$1,0),FALSE)</f>
        <v>2.1000000000000001E-2</v>
      </c>
      <c r="N271" s="271">
        <f t="shared" si="16"/>
        <v>2.3100000000000002E-2</v>
      </c>
      <c r="O271" s="271">
        <f t="shared" si="17"/>
        <v>0</v>
      </c>
      <c r="P271" s="271">
        <f t="shared" si="18"/>
        <v>0</v>
      </c>
      <c r="Q271" s="271">
        <f t="shared" si="19"/>
        <v>0</v>
      </c>
    </row>
    <row r="272" spans="1:17" x14ac:dyDescent="0.25">
      <c r="A272" s="137" t="s">
        <v>573</v>
      </c>
      <c r="B272" s="137" t="s">
        <v>574</v>
      </c>
      <c r="C272" s="121" t="str">
        <f>VLOOKUP($B272,Totalt!$B$1:$BU$497,MATCH("Kvalitetsgranskad:",Totalt!$B$1:$BU$1,0),FALSE)</f>
        <v>Nej</v>
      </c>
      <c r="E272" s="121" t="str">
        <f>VLOOKUP($B272,Miljö!$B$1:$AG$479,MATCH(E$1,Miljö!$B$1:$AK$1,0),FALSE)</f>
        <v>Nej</v>
      </c>
      <c r="F272" s="121" t="str">
        <f>VLOOKUP($B272,Miljö!$B$1:$J$479,MATCH("Typ av ursprungsspecificerad el   (Om inget värde anges används Nordisk residualmix, se inforuta) ()",Miljö!$B$1:$J$1,0),FALSE)</f>
        <v>-</v>
      </c>
      <c r="G272" s="121" t="str">
        <f>VLOOKUP($B272,Miljö!$B$1:$J$479,MATCH("Primärenergifaktor ()",Miljö!$B$1:$J$1,0),FALSE)</f>
        <v>-</v>
      </c>
      <c r="H272" s="121" t="str">
        <f>VLOOKUP($B272,Miljö!$B$1:$J$479,MATCH("Koldioxidekvivalenter energiomvandling (g/kwh)",Miljö!$B$1:$J$1,0),FALSE)</f>
        <v>-</v>
      </c>
      <c r="I272" s="121" t="str">
        <f>VLOOKUP($B272,Miljö!$B$1:$J$479,MATCH("Fossilandel för ursprungspecificerad el ()",Miljö!$B$1:$J$1,0),FALSE)</f>
        <v>-</v>
      </c>
      <c r="J272" s="121" t="str">
        <f>VLOOKUP($B272,Miljö!$B$1:$J$479,MATCH("Kärnkraftsandel för ursprungsspecificerad el ()",Miljö!$B$1:$J$1,0),FALSE)</f>
        <v>-</v>
      </c>
      <c r="L272" s="121">
        <f>VLOOKUP($B272,Totalt!$B$1:$BU$497,MATCH("total el",Totalt!$B$1:$BU$1,0),FALSE)</f>
        <v>0</v>
      </c>
      <c r="N272" s="271" t="str">
        <f t="shared" si="16"/>
        <v/>
      </c>
      <c r="O272" s="271" t="str">
        <f t="shared" si="17"/>
        <v/>
      </c>
      <c r="P272" s="271" t="str">
        <f t="shared" si="18"/>
        <v/>
      </c>
      <c r="Q272" s="271" t="str">
        <f t="shared" si="19"/>
        <v/>
      </c>
    </row>
    <row r="273" spans="1:17" x14ac:dyDescent="0.25">
      <c r="A273" s="137" t="s">
        <v>573</v>
      </c>
      <c r="B273" s="137" t="s">
        <v>575</v>
      </c>
      <c r="C273" s="121" t="str">
        <f>VLOOKUP($B273,Totalt!$B$1:$BU$497,MATCH("Kvalitetsgranskad:",Totalt!$B$1:$BU$1,0),FALSE)</f>
        <v>Nej</v>
      </c>
      <c r="E273" s="121" t="str">
        <f>VLOOKUP($B273,Miljö!$B$1:$AG$479,MATCH(E$1,Miljö!$B$1:$AK$1,0),FALSE)</f>
        <v>Nej</v>
      </c>
      <c r="F273" s="121" t="str">
        <f>VLOOKUP($B273,Miljö!$B$1:$J$479,MATCH("Typ av ursprungsspecificerad el   (Om inget värde anges används Nordisk residualmix, se inforuta) ()",Miljö!$B$1:$J$1,0),FALSE)</f>
        <v>-</v>
      </c>
      <c r="G273" s="121" t="str">
        <f>VLOOKUP($B273,Miljö!$B$1:$J$479,MATCH("Primärenergifaktor ()",Miljö!$B$1:$J$1,0),FALSE)</f>
        <v>-</v>
      </c>
      <c r="H273" s="121" t="str">
        <f>VLOOKUP($B273,Miljö!$B$1:$J$479,MATCH("Koldioxidekvivalenter energiomvandling (g/kwh)",Miljö!$B$1:$J$1,0),FALSE)</f>
        <v>-</v>
      </c>
      <c r="I273" s="121" t="str">
        <f>VLOOKUP($B273,Miljö!$B$1:$J$479,MATCH("Fossilandel för ursprungspecificerad el ()",Miljö!$B$1:$J$1,0),FALSE)</f>
        <v>-</v>
      </c>
      <c r="J273" s="121" t="str">
        <f>VLOOKUP($B273,Miljö!$B$1:$J$479,MATCH("Kärnkraftsandel för ursprungsspecificerad el ()",Miljö!$B$1:$J$1,0),FALSE)</f>
        <v>-</v>
      </c>
      <c r="L273" s="121">
        <f>VLOOKUP($B273,Totalt!$B$1:$BU$497,MATCH("total el",Totalt!$B$1:$BU$1,0),FALSE)</f>
        <v>0</v>
      </c>
      <c r="N273" s="271" t="str">
        <f t="shared" si="16"/>
        <v/>
      </c>
      <c r="O273" s="271" t="str">
        <f t="shared" si="17"/>
        <v/>
      </c>
      <c r="P273" s="271" t="str">
        <f t="shared" si="18"/>
        <v/>
      </c>
      <c r="Q273" s="271" t="str">
        <f t="shared" si="19"/>
        <v/>
      </c>
    </row>
    <row r="274" spans="1:17" x14ac:dyDescent="0.25">
      <c r="A274" s="137" t="s">
        <v>573</v>
      </c>
      <c r="B274" s="137" t="s">
        <v>576</v>
      </c>
      <c r="C274" s="121" t="str">
        <f>VLOOKUP($B274,Totalt!$B$1:$BU$497,MATCH("Kvalitetsgranskad:",Totalt!$B$1:$BU$1,0),FALSE)</f>
        <v>Nej</v>
      </c>
      <c r="E274" s="121" t="str">
        <f>VLOOKUP($B274,Miljö!$B$1:$AG$479,MATCH(E$1,Miljö!$B$1:$AK$1,0),FALSE)</f>
        <v>Nej</v>
      </c>
      <c r="F274" s="121" t="str">
        <f>VLOOKUP($B274,Miljö!$B$1:$J$479,MATCH("Typ av ursprungsspecificerad el   (Om inget värde anges används Nordisk residualmix, se inforuta) ()",Miljö!$B$1:$J$1,0),FALSE)</f>
        <v>-</v>
      </c>
      <c r="G274" s="121" t="str">
        <f>VLOOKUP($B274,Miljö!$B$1:$J$479,MATCH("Primärenergifaktor ()",Miljö!$B$1:$J$1,0),FALSE)</f>
        <v>-</v>
      </c>
      <c r="H274" s="121" t="str">
        <f>VLOOKUP($B274,Miljö!$B$1:$J$479,MATCH("Koldioxidekvivalenter energiomvandling (g/kwh)",Miljö!$B$1:$J$1,0),FALSE)</f>
        <v>-</v>
      </c>
      <c r="I274" s="121" t="str">
        <f>VLOOKUP($B274,Miljö!$B$1:$J$479,MATCH("Fossilandel för ursprungspecificerad el ()",Miljö!$B$1:$J$1,0),FALSE)</f>
        <v>-</v>
      </c>
      <c r="J274" s="121" t="str">
        <f>VLOOKUP($B274,Miljö!$B$1:$J$479,MATCH("Kärnkraftsandel för ursprungsspecificerad el ()",Miljö!$B$1:$J$1,0),FALSE)</f>
        <v>-</v>
      </c>
      <c r="L274" s="121">
        <f>VLOOKUP($B274,Totalt!$B$1:$BU$497,MATCH("total el",Totalt!$B$1:$BU$1,0),FALSE)</f>
        <v>0</v>
      </c>
      <c r="N274" s="271" t="str">
        <f t="shared" si="16"/>
        <v/>
      </c>
      <c r="O274" s="271" t="str">
        <f t="shared" si="17"/>
        <v/>
      </c>
      <c r="P274" s="271" t="str">
        <f t="shared" si="18"/>
        <v/>
      </c>
      <c r="Q274" s="271" t="str">
        <f t="shared" si="19"/>
        <v/>
      </c>
    </row>
    <row r="275" spans="1:17" x14ac:dyDescent="0.25">
      <c r="A275" s="137" t="s">
        <v>573</v>
      </c>
      <c r="B275" s="137" t="s">
        <v>116</v>
      </c>
      <c r="C275" s="121" t="str">
        <f>VLOOKUP($B275,Totalt!$B$1:$BU$497,MATCH("Kvalitetsgranskad:",Totalt!$B$1:$BU$1,0),FALSE)</f>
        <v>Ja</v>
      </c>
      <c r="E275" s="121" t="str">
        <f>VLOOKUP($B275,Miljö!$B$1:$AG$479,MATCH(E$1,Miljö!$B$1:$AK$1,0),FALSE)</f>
        <v>Ja</v>
      </c>
      <c r="F275" s="121" t="str">
        <f>VLOOKUP($B275,Miljö!$B$1:$J$479,MATCH("Typ av ursprungsspecificerad el   (Om inget värde anges används Nordisk residualmix, se inforuta) ()",Miljö!$B$1:$J$1,0),FALSE)</f>
        <v>'Mix Biokraft. vattenkraft'</v>
      </c>
      <c r="G275" s="121">
        <f>VLOOKUP($B275,Miljö!$B$1:$J$479,MATCH("Primärenergifaktor ()",Miljö!$B$1:$J$1,0),FALSE)</f>
        <v>0.1</v>
      </c>
      <c r="H275" s="121">
        <f>VLOOKUP($B275,Miljö!$B$1:$J$479,MATCH("Koldioxidekvivalenter energiomvandling (g/kwh)",Miljö!$B$1:$J$1,0),FALSE)</f>
        <v>0</v>
      </c>
      <c r="I275" s="121">
        <f>VLOOKUP($B275,Miljö!$B$1:$J$479,MATCH("Fossilandel för ursprungspecificerad el ()",Miljö!$B$1:$J$1,0),FALSE)</f>
        <v>0</v>
      </c>
      <c r="J275" s="121">
        <f>VLOOKUP($B275,Miljö!$B$1:$J$479,MATCH("Kärnkraftsandel för ursprungsspecificerad el ()",Miljö!$B$1:$J$1,0),FALSE)</f>
        <v>0</v>
      </c>
      <c r="L275" s="121">
        <f>VLOOKUP($B275,Totalt!$B$1:$BU$497,MATCH("total el",Totalt!$B$1:$BU$1,0),FALSE)</f>
        <v>847.84300000000007</v>
      </c>
      <c r="N275" s="271">
        <f t="shared" si="16"/>
        <v>84.784300000000016</v>
      </c>
      <c r="O275" s="271">
        <f t="shared" si="17"/>
        <v>0</v>
      </c>
      <c r="P275" s="271">
        <f t="shared" si="18"/>
        <v>0</v>
      </c>
      <c r="Q275" s="271">
        <f t="shared" si="19"/>
        <v>0</v>
      </c>
    </row>
    <row r="276" spans="1:17" x14ac:dyDescent="0.25">
      <c r="A276" s="137" t="s">
        <v>573</v>
      </c>
      <c r="B276" s="137" t="s">
        <v>577</v>
      </c>
      <c r="C276" s="121" t="str">
        <f>VLOOKUP($B276,Totalt!$B$1:$BU$497,MATCH("Kvalitetsgranskad:",Totalt!$B$1:$BU$1,0),FALSE)</f>
        <v>Nej</v>
      </c>
      <c r="E276" s="121" t="str">
        <f>VLOOKUP($B276,Miljö!$B$1:$AG$479,MATCH(E$1,Miljö!$B$1:$AK$1,0),FALSE)</f>
        <v>Nej</v>
      </c>
      <c r="F276" s="121" t="str">
        <f>VLOOKUP($B276,Miljö!$B$1:$J$479,MATCH("Typ av ursprungsspecificerad el   (Om inget värde anges används Nordisk residualmix, se inforuta) ()",Miljö!$B$1:$J$1,0),FALSE)</f>
        <v>-</v>
      </c>
      <c r="G276" s="121" t="str">
        <f>VLOOKUP($B276,Miljö!$B$1:$J$479,MATCH("Primärenergifaktor ()",Miljö!$B$1:$J$1,0),FALSE)</f>
        <v>-</v>
      </c>
      <c r="H276" s="121" t="str">
        <f>VLOOKUP($B276,Miljö!$B$1:$J$479,MATCH("Koldioxidekvivalenter energiomvandling (g/kwh)",Miljö!$B$1:$J$1,0),FALSE)</f>
        <v>-</v>
      </c>
      <c r="I276" s="121" t="str">
        <f>VLOOKUP($B276,Miljö!$B$1:$J$479,MATCH("Fossilandel för ursprungspecificerad el ()",Miljö!$B$1:$J$1,0),FALSE)</f>
        <v>-</v>
      </c>
      <c r="J276" s="121" t="str">
        <f>VLOOKUP($B276,Miljö!$B$1:$J$479,MATCH("Kärnkraftsandel för ursprungsspecificerad el ()",Miljö!$B$1:$J$1,0),FALSE)</f>
        <v>-</v>
      </c>
      <c r="L276" s="121">
        <f>VLOOKUP($B276,Totalt!$B$1:$BU$497,MATCH("total el",Totalt!$B$1:$BU$1,0),FALSE)</f>
        <v>0</v>
      </c>
      <c r="N276" s="271" t="str">
        <f t="shared" si="16"/>
        <v/>
      </c>
      <c r="O276" s="271" t="str">
        <f t="shared" si="17"/>
        <v/>
      </c>
      <c r="P276" s="271" t="str">
        <f t="shared" si="18"/>
        <v/>
      </c>
      <c r="Q276" s="271" t="str">
        <f t="shared" si="19"/>
        <v/>
      </c>
    </row>
    <row r="277" spans="1:17" x14ac:dyDescent="0.25">
      <c r="A277" s="137" t="s">
        <v>573</v>
      </c>
      <c r="B277" s="137" t="s">
        <v>578</v>
      </c>
      <c r="C277" s="121" t="str">
        <f>VLOOKUP($B277,Totalt!$B$1:$BU$497,MATCH("Kvalitetsgranskad:",Totalt!$B$1:$BU$1,0),FALSE)</f>
        <v>Nej</v>
      </c>
      <c r="E277" s="121" t="str">
        <f>VLOOKUP($B277,Miljö!$B$1:$AG$479,MATCH(E$1,Miljö!$B$1:$AK$1,0),FALSE)</f>
        <v>Nej</v>
      </c>
      <c r="F277" s="121" t="str">
        <f>VLOOKUP($B277,Miljö!$B$1:$J$479,MATCH("Typ av ursprungsspecificerad el   (Om inget värde anges används Nordisk residualmix, se inforuta) ()",Miljö!$B$1:$J$1,0),FALSE)</f>
        <v>-</v>
      </c>
      <c r="G277" s="121" t="str">
        <f>VLOOKUP($B277,Miljö!$B$1:$J$479,MATCH("Primärenergifaktor ()",Miljö!$B$1:$J$1,0),FALSE)</f>
        <v>-</v>
      </c>
      <c r="H277" s="121" t="str">
        <f>VLOOKUP($B277,Miljö!$B$1:$J$479,MATCH("Koldioxidekvivalenter energiomvandling (g/kwh)",Miljö!$B$1:$J$1,0),FALSE)</f>
        <v>-</v>
      </c>
      <c r="I277" s="121" t="str">
        <f>VLOOKUP($B277,Miljö!$B$1:$J$479,MATCH("Fossilandel för ursprungspecificerad el ()",Miljö!$B$1:$J$1,0),FALSE)</f>
        <v>-</v>
      </c>
      <c r="J277" s="121" t="str">
        <f>VLOOKUP($B277,Miljö!$B$1:$J$479,MATCH("Kärnkraftsandel för ursprungsspecificerad el ()",Miljö!$B$1:$J$1,0),FALSE)</f>
        <v>-</v>
      </c>
      <c r="L277" s="121">
        <f>VLOOKUP($B277,Totalt!$B$1:$BU$497,MATCH("total el",Totalt!$B$1:$BU$1,0),FALSE)</f>
        <v>0</v>
      </c>
      <c r="N277" s="271" t="str">
        <f t="shared" si="16"/>
        <v/>
      </c>
      <c r="O277" s="271" t="str">
        <f t="shared" si="17"/>
        <v/>
      </c>
      <c r="P277" s="271" t="str">
        <f t="shared" si="18"/>
        <v/>
      </c>
      <c r="Q277" s="271" t="str">
        <f t="shared" si="19"/>
        <v/>
      </c>
    </row>
    <row r="278" spans="1:17" x14ac:dyDescent="0.25">
      <c r="A278" s="137" t="s">
        <v>573</v>
      </c>
      <c r="B278" s="137" t="s">
        <v>579</v>
      </c>
      <c r="C278" s="121" t="str">
        <f>VLOOKUP($B278,Totalt!$B$1:$BU$497,MATCH("Kvalitetsgranskad:",Totalt!$B$1:$BU$1,0),FALSE)</f>
        <v>Nej</v>
      </c>
      <c r="E278" s="121" t="str">
        <f>VLOOKUP($B278,Miljö!$B$1:$AG$479,MATCH(E$1,Miljö!$B$1:$AK$1,0),FALSE)</f>
        <v>Nej</v>
      </c>
      <c r="F278" s="121" t="str">
        <f>VLOOKUP($B278,Miljö!$B$1:$J$479,MATCH("Typ av ursprungsspecificerad el   (Om inget värde anges används Nordisk residualmix, se inforuta) ()",Miljö!$B$1:$J$1,0),FALSE)</f>
        <v>-</v>
      </c>
      <c r="G278" s="121" t="str">
        <f>VLOOKUP($B278,Miljö!$B$1:$J$479,MATCH("Primärenergifaktor ()",Miljö!$B$1:$J$1,0),FALSE)</f>
        <v>-</v>
      </c>
      <c r="H278" s="121" t="str">
        <f>VLOOKUP($B278,Miljö!$B$1:$J$479,MATCH("Koldioxidekvivalenter energiomvandling (g/kwh)",Miljö!$B$1:$J$1,0),FALSE)</f>
        <v>-</v>
      </c>
      <c r="I278" s="121" t="str">
        <f>VLOOKUP($B278,Miljö!$B$1:$J$479,MATCH("Fossilandel för ursprungspecificerad el ()",Miljö!$B$1:$J$1,0),FALSE)</f>
        <v>-</v>
      </c>
      <c r="J278" s="121" t="str">
        <f>VLOOKUP($B278,Miljö!$B$1:$J$479,MATCH("Kärnkraftsandel för ursprungsspecificerad el ()",Miljö!$B$1:$J$1,0),FALSE)</f>
        <v>-</v>
      </c>
      <c r="L278" s="121">
        <f>VLOOKUP($B278,Totalt!$B$1:$BU$497,MATCH("total el",Totalt!$B$1:$BU$1,0),FALSE)</f>
        <v>0</v>
      </c>
      <c r="N278" s="271" t="str">
        <f t="shared" si="16"/>
        <v/>
      </c>
      <c r="O278" s="271" t="str">
        <f t="shared" si="17"/>
        <v/>
      </c>
      <c r="P278" s="271" t="str">
        <f t="shared" si="18"/>
        <v/>
      </c>
      <c r="Q278" s="271" t="str">
        <f t="shared" si="19"/>
        <v/>
      </c>
    </row>
    <row r="279" spans="1:17" x14ac:dyDescent="0.25">
      <c r="A279" s="137" t="s">
        <v>573</v>
      </c>
      <c r="B279" s="137" t="s">
        <v>580</v>
      </c>
      <c r="C279" s="121" t="str">
        <f>VLOOKUP($B279,Totalt!$B$1:$BU$497,MATCH("Kvalitetsgranskad:",Totalt!$B$1:$BU$1,0),FALSE)</f>
        <v>Nej</v>
      </c>
      <c r="E279" s="121" t="str">
        <f>VLOOKUP($B279,Miljö!$B$1:$AG$479,MATCH(E$1,Miljö!$B$1:$AK$1,0),FALSE)</f>
        <v>Nej</v>
      </c>
      <c r="F279" s="121" t="str">
        <f>VLOOKUP($B279,Miljö!$B$1:$J$479,MATCH("Typ av ursprungsspecificerad el   (Om inget värde anges används Nordisk residualmix, se inforuta) ()",Miljö!$B$1:$J$1,0),FALSE)</f>
        <v>-</v>
      </c>
      <c r="G279" s="121" t="str">
        <f>VLOOKUP($B279,Miljö!$B$1:$J$479,MATCH("Primärenergifaktor ()",Miljö!$B$1:$J$1,0),FALSE)</f>
        <v>-</v>
      </c>
      <c r="H279" s="121" t="str">
        <f>VLOOKUP($B279,Miljö!$B$1:$J$479,MATCH("Koldioxidekvivalenter energiomvandling (g/kwh)",Miljö!$B$1:$J$1,0),FALSE)</f>
        <v>-</v>
      </c>
      <c r="I279" s="121" t="str">
        <f>VLOOKUP($B279,Miljö!$B$1:$J$479,MATCH("Fossilandel för ursprungspecificerad el ()",Miljö!$B$1:$J$1,0),FALSE)</f>
        <v>-</v>
      </c>
      <c r="J279" s="121" t="str">
        <f>VLOOKUP($B279,Miljö!$B$1:$J$479,MATCH("Kärnkraftsandel för ursprungsspecificerad el ()",Miljö!$B$1:$J$1,0),FALSE)</f>
        <v>-</v>
      </c>
      <c r="L279" s="121">
        <f>VLOOKUP($B279,Totalt!$B$1:$BU$497,MATCH("total el",Totalt!$B$1:$BU$1,0),FALSE)</f>
        <v>0</v>
      </c>
      <c r="N279" s="271" t="str">
        <f t="shared" si="16"/>
        <v/>
      </c>
      <c r="O279" s="271" t="str">
        <f t="shared" si="17"/>
        <v/>
      </c>
      <c r="P279" s="271" t="str">
        <f t="shared" si="18"/>
        <v/>
      </c>
      <c r="Q279" s="271" t="str">
        <f t="shared" si="19"/>
        <v/>
      </c>
    </row>
    <row r="280" spans="1:17" x14ac:dyDescent="0.25">
      <c r="A280" s="137" t="s">
        <v>573</v>
      </c>
      <c r="B280" s="137" t="s">
        <v>581</v>
      </c>
      <c r="C280" s="121" t="str">
        <f>VLOOKUP($B280,Totalt!$B$1:$BU$497,MATCH("Kvalitetsgranskad:",Totalt!$B$1:$BU$1,0),FALSE)</f>
        <v>Nej</v>
      </c>
      <c r="E280" s="121" t="str">
        <f>VLOOKUP($B280,Miljö!$B$1:$AG$479,MATCH(E$1,Miljö!$B$1:$AK$1,0),FALSE)</f>
        <v>Nej</v>
      </c>
      <c r="F280" s="121" t="str">
        <f>VLOOKUP($B280,Miljö!$B$1:$J$479,MATCH("Typ av ursprungsspecificerad el   (Om inget värde anges används Nordisk residualmix, se inforuta) ()",Miljö!$B$1:$J$1,0),FALSE)</f>
        <v>-</v>
      </c>
      <c r="G280" s="121" t="str">
        <f>VLOOKUP($B280,Miljö!$B$1:$J$479,MATCH("Primärenergifaktor ()",Miljö!$B$1:$J$1,0),FALSE)</f>
        <v>-</v>
      </c>
      <c r="H280" s="121" t="str">
        <f>VLOOKUP($B280,Miljö!$B$1:$J$479,MATCH("Koldioxidekvivalenter energiomvandling (g/kwh)",Miljö!$B$1:$J$1,0),FALSE)</f>
        <v>-</v>
      </c>
      <c r="I280" s="121" t="str">
        <f>VLOOKUP($B280,Miljö!$B$1:$J$479,MATCH("Fossilandel för ursprungspecificerad el ()",Miljö!$B$1:$J$1,0),FALSE)</f>
        <v>-</v>
      </c>
      <c r="J280" s="121" t="str">
        <f>VLOOKUP($B280,Miljö!$B$1:$J$479,MATCH("Kärnkraftsandel för ursprungsspecificerad el ()",Miljö!$B$1:$J$1,0),FALSE)</f>
        <v>-</v>
      </c>
      <c r="L280" s="121">
        <f>VLOOKUP($B280,Totalt!$B$1:$BU$497,MATCH("total el",Totalt!$B$1:$BU$1,0),FALSE)</f>
        <v>0</v>
      </c>
      <c r="N280" s="271" t="str">
        <f t="shared" si="16"/>
        <v/>
      </c>
      <c r="O280" s="271" t="str">
        <f t="shared" si="17"/>
        <v/>
      </c>
      <c r="P280" s="271" t="str">
        <f t="shared" si="18"/>
        <v/>
      </c>
      <c r="Q280" s="271" t="str">
        <f t="shared" si="19"/>
        <v/>
      </c>
    </row>
    <row r="281" spans="1:17" x14ac:dyDescent="0.25">
      <c r="A281" s="137" t="s">
        <v>573</v>
      </c>
      <c r="B281" s="137" t="s">
        <v>582</v>
      </c>
      <c r="C281" s="121" t="str">
        <f>VLOOKUP($B281,Totalt!$B$1:$BU$497,MATCH("Kvalitetsgranskad:",Totalt!$B$1:$BU$1,0),FALSE)</f>
        <v>Nej</v>
      </c>
      <c r="E281" s="121" t="str">
        <f>VLOOKUP($B281,Miljö!$B$1:$AG$479,MATCH(E$1,Miljö!$B$1:$AK$1,0),FALSE)</f>
        <v>Nej</v>
      </c>
      <c r="F281" s="121" t="str">
        <f>VLOOKUP($B281,Miljö!$B$1:$J$479,MATCH("Typ av ursprungsspecificerad el   (Om inget värde anges används Nordisk residualmix, se inforuta) ()",Miljö!$B$1:$J$1,0),FALSE)</f>
        <v>-</v>
      </c>
      <c r="G281" s="121" t="str">
        <f>VLOOKUP($B281,Miljö!$B$1:$J$479,MATCH("Primärenergifaktor ()",Miljö!$B$1:$J$1,0),FALSE)</f>
        <v>-</v>
      </c>
      <c r="H281" s="121" t="str">
        <f>VLOOKUP($B281,Miljö!$B$1:$J$479,MATCH("Koldioxidekvivalenter energiomvandling (g/kwh)",Miljö!$B$1:$J$1,0),FALSE)</f>
        <v>-</v>
      </c>
      <c r="I281" s="121" t="str">
        <f>VLOOKUP($B281,Miljö!$B$1:$J$479,MATCH("Fossilandel för ursprungspecificerad el ()",Miljö!$B$1:$J$1,0),FALSE)</f>
        <v>-</v>
      </c>
      <c r="J281" s="121" t="str">
        <f>VLOOKUP($B281,Miljö!$B$1:$J$479,MATCH("Kärnkraftsandel för ursprungsspecificerad el ()",Miljö!$B$1:$J$1,0),FALSE)</f>
        <v>-</v>
      </c>
      <c r="L281" s="121">
        <f>VLOOKUP($B281,Totalt!$B$1:$BU$497,MATCH("total el",Totalt!$B$1:$BU$1,0),FALSE)</f>
        <v>0</v>
      </c>
      <c r="N281" s="271" t="str">
        <f t="shared" si="16"/>
        <v/>
      </c>
      <c r="O281" s="271" t="str">
        <f t="shared" si="17"/>
        <v/>
      </c>
      <c r="P281" s="271" t="str">
        <f t="shared" si="18"/>
        <v/>
      </c>
      <c r="Q281" s="271" t="str">
        <f t="shared" si="19"/>
        <v/>
      </c>
    </row>
    <row r="282" spans="1:17" x14ac:dyDescent="0.25">
      <c r="A282" s="137" t="s">
        <v>573</v>
      </c>
      <c r="B282" s="137" t="s">
        <v>583</v>
      </c>
      <c r="C282" s="121" t="str">
        <f>VLOOKUP($B282,Totalt!$B$1:$BU$497,MATCH("Kvalitetsgranskad:",Totalt!$B$1:$BU$1,0),FALSE)</f>
        <v>Ja</v>
      </c>
      <c r="E282" s="121" t="str">
        <f>VLOOKUP($B282,Miljö!$B$1:$AG$479,MATCH(E$1,Miljö!$B$1:$AK$1,0),FALSE)</f>
        <v>Ja</v>
      </c>
      <c r="F282" s="121" t="str">
        <f>VLOOKUP($B282,Miljö!$B$1:$J$479,MATCH("Typ av ursprungsspecificerad el   (Om inget värde anges används Nordisk residualmix, se inforuta) ()",Miljö!$B$1:$J$1,0),FALSE)</f>
        <v>-</v>
      </c>
      <c r="G282" s="121">
        <f>VLOOKUP($B282,Miljö!$B$1:$J$479,MATCH("Primärenergifaktor ()",Miljö!$B$1:$J$1,0),FALSE)</f>
        <v>2.2999999999999998</v>
      </c>
      <c r="H282" s="121">
        <f>VLOOKUP($B282,Miljö!$B$1:$J$479,MATCH("Koldioxidekvivalenter energiomvandling (g/kwh)",Miljö!$B$1:$J$1,0),FALSE)</f>
        <v>329.19</v>
      </c>
      <c r="I282" s="121">
        <f>VLOOKUP($B282,Miljö!$B$1:$J$479,MATCH("Fossilandel för ursprungspecificerad el ()",Miljö!$B$1:$J$1,0),FALSE)</f>
        <v>0.42770000000000002</v>
      </c>
      <c r="J282" s="121">
        <f>VLOOKUP($B282,Miljö!$B$1:$J$479,MATCH("Kärnkraftsandel för ursprungsspecificerad el ()",Miljö!$B$1:$J$1,0),FALSE)</f>
        <v>0.40550000000000003</v>
      </c>
      <c r="L282" s="121">
        <f>VLOOKUP($B282,Totalt!$B$1:$BU$497,MATCH("total el",Totalt!$B$1:$BU$1,0),FALSE)</f>
        <v>12.89</v>
      </c>
      <c r="N282" s="271">
        <f t="shared" si="16"/>
        <v>29.646999999999998</v>
      </c>
      <c r="O282" s="271">
        <f t="shared" si="17"/>
        <v>4243.2591000000002</v>
      </c>
      <c r="P282" s="271">
        <f t="shared" si="18"/>
        <v>5.5130530000000002</v>
      </c>
      <c r="Q282" s="271">
        <f t="shared" si="19"/>
        <v>5.2268950000000007</v>
      </c>
    </row>
    <row r="283" spans="1:17" x14ac:dyDescent="0.25">
      <c r="A283" s="137" t="s">
        <v>573</v>
      </c>
      <c r="B283" s="137" t="s">
        <v>584</v>
      </c>
      <c r="C283" s="121" t="str">
        <f>VLOOKUP($B283,Totalt!$B$1:$BU$497,MATCH("Kvalitetsgranskad:",Totalt!$B$1:$BU$1,0),FALSE)</f>
        <v>Nej</v>
      </c>
      <c r="E283" s="121" t="str">
        <f>VLOOKUP($B283,Miljö!$B$1:$AG$479,MATCH(E$1,Miljö!$B$1:$AK$1,0),FALSE)</f>
        <v>Nej</v>
      </c>
      <c r="F283" s="121" t="str">
        <f>VLOOKUP($B283,Miljö!$B$1:$J$479,MATCH("Typ av ursprungsspecificerad el   (Om inget värde anges används Nordisk residualmix, se inforuta) ()",Miljö!$B$1:$J$1,0),FALSE)</f>
        <v>-</v>
      </c>
      <c r="G283" s="121" t="str">
        <f>VLOOKUP($B283,Miljö!$B$1:$J$479,MATCH("Primärenergifaktor ()",Miljö!$B$1:$J$1,0),FALSE)</f>
        <v>-</v>
      </c>
      <c r="H283" s="121" t="str">
        <f>VLOOKUP($B283,Miljö!$B$1:$J$479,MATCH("Koldioxidekvivalenter energiomvandling (g/kwh)",Miljö!$B$1:$J$1,0),FALSE)</f>
        <v>-</v>
      </c>
      <c r="I283" s="121" t="str">
        <f>VLOOKUP($B283,Miljö!$B$1:$J$479,MATCH("Fossilandel för ursprungspecificerad el ()",Miljö!$B$1:$J$1,0),FALSE)</f>
        <v>-</v>
      </c>
      <c r="J283" s="121" t="str">
        <f>VLOOKUP($B283,Miljö!$B$1:$J$479,MATCH("Kärnkraftsandel för ursprungsspecificerad el ()",Miljö!$B$1:$J$1,0),FALSE)</f>
        <v>-</v>
      </c>
      <c r="L283" s="121">
        <f>VLOOKUP($B283,Totalt!$B$1:$BU$497,MATCH("total el",Totalt!$B$1:$BU$1,0),FALSE)</f>
        <v>0</v>
      </c>
      <c r="N283" s="271" t="str">
        <f t="shared" si="16"/>
        <v/>
      </c>
      <c r="O283" s="271" t="str">
        <f t="shared" si="17"/>
        <v/>
      </c>
      <c r="P283" s="271" t="str">
        <f t="shared" si="18"/>
        <v/>
      </c>
      <c r="Q283" s="271" t="str">
        <f t="shared" si="19"/>
        <v/>
      </c>
    </row>
    <row r="284" spans="1:17" x14ac:dyDescent="0.25">
      <c r="A284" s="137" t="s">
        <v>585</v>
      </c>
      <c r="B284" s="137" t="s">
        <v>586</v>
      </c>
      <c r="C284" s="121" t="str">
        <f>VLOOKUP($B284,Totalt!$B$1:$BU$497,MATCH("Kvalitetsgranskad:",Totalt!$B$1:$BU$1,0),FALSE)</f>
        <v>Ja</v>
      </c>
      <c r="E284" s="121" t="str">
        <f>VLOOKUP($B284,Miljö!$B$1:$AG$479,MATCH(E$1,Miljö!$B$1:$AK$1,0),FALSE)</f>
        <v>Nej</v>
      </c>
      <c r="F284" s="121" t="str">
        <f>VLOOKUP($B284,Miljö!$B$1:$J$479,MATCH("Typ av ursprungsspecificerad el   (Om inget värde anges används Nordisk residualmix, se inforuta) ()",Miljö!$B$1:$J$1,0),FALSE)</f>
        <v>'Nordisk residual'</v>
      </c>
      <c r="G284" s="121">
        <f>VLOOKUP($B284,Miljö!$B$1:$J$479,MATCH("Primärenergifaktor ()",Miljö!$B$1:$J$1,0),FALSE)</f>
        <v>2.2999999999999998</v>
      </c>
      <c r="H284" s="121">
        <f>VLOOKUP($B284,Miljö!$B$1:$J$479,MATCH("Koldioxidekvivalenter energiomvandling (g/kwh)",Miljö!$B$1:$J$1,0),FALSE)</f>
        <v>329.19</v>
      </c>
      <c r="I284" s="121">
        <f>VLOOKUP($B284,Miljö!$B$1:$J$479,MATCH("Fossilandel för ursprungspecificerad el ()",Miljö!$B$1:$J$1,0),FALSE)</f>
        <v>0.43</v>
      </c>
      <c r="J284" s="121">
        <f>VLOOKUP($B284,Miljö!$B$1:$J$479,MATCH("Kärnkraftsandel för ursprungsspecificerad el ()",Miljö!$B$1:$J$1,0),FALSE)</f>
        <v>0.40550000000000003</v>
      </c>
      <c r="L284" s="121">
        <f>VLOOKUP($B284,Totalt!$B$1:$BU$497,MATCH("total el",Totalt!$B$1:$BU$1,0),FALSE)</f>
        <v>0.83499999999999996</v>
      </c>
      <c r="N284" s="271">
        <f t="shared" si="16"/>
        <v>1.9204999999999999</v>
      </c>
      <c r="O284" s="271">
        <f t="shared" si="17"/>
        <v>274.87365</v>
      </c>
      <c r="P284" s="271">
        <f t="shared" si="18"/>
        <v>0.35904999999999998</v>
      </c>
      <c r="Q284" s="271">
        <f t="shared" si="19"/>
        <v>0.33859250000000002</v>
      </c>
    </row>
    <row r="285" spans="1:17" x14ac:dyDescent="0.25">
      <c r="A285" s="137" t="s">
        <v>585</v>
      </c>
      <c r="B285" s="137" t="s">
        <v>587</v>
      </c>
      <c r="C285" s="121" t="str">
        <f>VLOOKUP($B285,Totalt!$B$1:$BU$497,MATCH("Kvalitetsgranskad:",Totalt!$B$1:$BU$1,0),FALSE)</f>
        <v>Ja</v>
      </c>
      <c r="E285" s="121" t="str">
        <f>VLOOKUP($B285,Miljö!$B$1:$AG$479,MATCH(E$1,Miljö!$B$1:$AK$1,0),FALSE)</f>
        <v>Nej</v>
      </c>
      <c r="F285" s="121" t="str">
        <f>VLOOKUP($B285,Miljö!$B$1:$J$479,MATCH("Typ av ursprungsspecificerad el   (Om inget värde anges används Nordisk residualmix, se inforuta) ()",Miljö!$B$1:$J$1,0),FALSE)</f>
        <v>'Nordisk Residual'</v>
      </c>
      <c r="G285" s="121">
        <f>VLOOKUP($B285,Miljö!$B$1:$J$479,MATCH("Primärenergifaktor ()",Miljö!$B$1:$J$1,0),FALSE)</f>
        <v>2.2999999999999998</v>
      </c>
      <c r="H285" s="121">
        <f>VLOOKUP($B285,Miljö!$B$1:$J$479,MATCH("Koldioxidekvivalenter energiomvandling (g/kwh)",Miljö!$B$1:$J$1,0),FALSE)</f>
        <v>329.19</v>
      </c>
      <c r="I285" s="121">
        <f>VLOOKUP($B285,Miljö!$B$1:$J$479,MATCH("Fossilandel för ursprungspecificerad el ()",Miljö!$B$1:$J$1,0),FALSE)</f>
        <v>0.43</v>
      </c>
      <c r="J285" s="121">
        <f>VLOOKUP($B285,Miljö!$B$1:$J$479,MATCH("Kärnkraftsandel för ursprungsspecificerad el ()",Miljö!$B$1:$J$1,0),FALSE)</f>
        <v>0.40550000000000003</v>
      </c>
      <c r="L285" s="121">
        <f>VLOOKUP($B285,Totalt!$B$1:$BU$497,MATCH("total el",Totalt!$B$1:$BU$1,0),FALSE)</f>
        <v>0.54300000000000004</v>
      </c>
      <c r="N285" s="271">
        <f t="shared" si="16"/>
        <v>1.2488999999999999</v>
      </c>
      <c r="O285" s="271">
        <f t="shared" si="17"/>
        <v>178.75017000000003</v>
      </c>
      <c r="P285" s="271">
        <f t="shared" si="18"/>
        <v>0.23349</v>
      </c>
      <c r="Q285" s="271">
        <f t="shared" si="19"/>
        <v>0.22018650000000003</v>
      </c>
    </row>
    <row r="286" spans="1:17" x14ac:dyDescent="0.25">
      <c r="A286" s="137" t="s">
        <v>585</v>
      </c>
      <c r="B286" s="137" t="s">
        <v>588</v>
      </c>
      <c r="C286" s="121" t="str">
        <f>VLOOKUP($B286,Totalt!$B$1:$BU$497,MATCH("Kvalitetsgranskad:",Totalt!$B$1:$BU$1,0),FALSE)</f>
        <v>Ja</v>
      </c>
      <c r="E286" s="121" t="str">
        <f>VLOOKUP($B286,Miljö!$B$1:$AG$479,MATCH(E$1,Miljö!$B$1:$AK$1,0),FALSE)</f>
        <v>Nej</v>
      </c>
      <c r="F286" s="121" t="str">
        <f>VLOOKUP($B286,Miljö!$B$1:$J$479,MATCH("Typ av ursprungsspecificerad el   (Om inget värde anges används Nordisk residualmix, se inforuta) ()",Miljö!$B$1:$J$1,0),FALSE)</f>
        <v>'Nordisk residual'</v>
      </c>
      <c r="G286" s="121">
        <f>VLOOKUP($B286,Miljö!$B$1:$J$479,MATCH("Primärenergifaktor ()",Miljö!$B$1:$J$1,0),FALSE)</f>
        <v>2.2999999999999998</v>
      </c>
      <c r="H286" s="121">
        <f>VLOOKUP($B286,Miljö!$B$1:$J$479,MATCH("Koldioxidekvivalenter energiomvandling (g/kwh)",Miljö!$B$1:$J$1,0),FALSE)</f>
        <v>329.19</v>
      </c>
      <c r="I286" s="121">
        <f>VLOOKUP($B286,Miljö!$B$1:$J$479,MATCH("Fossilandel för ursprungspecificerad el ()",Miljö!$B$1:$J$1,0),FALSE)</f>
        <v>0.43</v>
      </c>
      <c r="J286" s="121">
        <f>VLOOKUP($B286,Miljö!$B$1:$J$479,MATCH("Kärnkraftsandel för ursprungsspecificerad el ()",Miljö!$B$1:$J$1,0),FALSE)</f>
        <v>0.40550000000000003</v>
      </c>
      <c r="L286" s="121">
        <f>VLOOKUP($B286,Totalt!$B$1:$BU$497,MATCH("total el",Totalt!$B$1:$BU$1,0),FALSE)</f>
        <v>19.2073</v>
      </c>
      <c r="N286" s="271">
        <f t="shared" si="16"/>
        <v>44.176789999999997</v>
      </c>
      <c r="O286" s="271">
        <f t="shared" si="17"/>
        <v>6322.851087</v>
      </c>
      <c r="P286" s="271">
        <f t="shared" si="18"/>
        <v>8.2591389999999993</v>
      </c>
      <c r="Q286" s="271">
        <f t="shared" si="19"/>
        <v>7.7885601500000003</v>
      </c>
    </row>
    <row r="287" spans="1:17" x14ac:dyDescent="0.25">
      <c r="A287" s="137" t="s">
        <v>585</v>
      </c>
      <c r="B287" s="137" t="s">
        <v>589</v>
      </c>
      <c r="C287" s="121" t="str">
        <f>VLOOKUP($B287,Totalt!$B$1:$BU$497,MATCH("Kvalitetsgranskad:",Totalt!$B$1:$BU$1,0),FALSE)</f>
        <v>Ja</v>
      </c>
      <c r="E287" s="121" t="str">
        <f>VLOOKUP($B287,Miljö!$B$1:$AG$479,MATCH(E$1,Miljö!$B$1:$AK$1,0),FALSE)</f>
        <v>Nej</v>
      </c>
      <c r="F287" s="121" t="str">
        <f>VLOOKUP($B287,Miljö!$B$1:$J$479,MATCH("Typ av ursprungsspecificerad el   (Om inget värde anges används Nordisk residualmix, se inforuta) ()",Miljö!$B$1:$J$1,0),FALSE)</f>
        <v>-</v>
      </c>
      <c r="G287" s="121">
        <f>VLOOKUP($B287,Miljö!$B$1:$J$479,MATCH("Primärenergifaktor ()",Miljö!$B$1:$J$1,0),FALSE)</f>
        <v>2.2999999999999998</v>
      </c>
      <c r="H287" s="121">
        <f>VLOOKUP($B287,Miljö!$B$1:$J$479,MATCH("Koldioxidekvivalenter energiomvandling (g/kwh)",Miljö!$B$1:$J$1,0),FALSE)</f>
        <v>329.19</v>
      </c>
      <c r="I287" s="121">
        <f>VLOOKUP($B287,Miljö!$B$1:$J$479,MATCH("Fossilandel för ursprungspecificerad el ()",Miljö!$B$1:$J$1,0),FALSE)</f>
        <v>0.43</v>
      </c>
      <c r="J287" s="121">
        <f>VLOOKUP($B287,Miljö!$B$1:$J$479,MATCH("Kärnkraftsandel för ursprungsspecificerad el ()",Miljö!$B$1:$J$1,0),FALSE)</f>
        <v>0.40550000000000003</v>
      </c>
      <c r="L287" s="121">
        <f>VLOOKUP($B287,Totalt!$B$1:$BU$497,MATCH("total el",Totalt!$B$1:$BU$1,0),FALSE)</f>
        <v>48.126489999999997</v>
      </c>
      <c r="N287" s="271">
        <f t="shared" si="16"/>
        <v>110.69092699999999</v>
      </c>
      <c r="O287" s="271">
        <f t="shared" si="17"/>
        <v>15842.759243099999</v>
      </c>
      <c r="P287" s="271">
        <f t="shared" si="18"/>
        <v>20.6943907</v>
      </c>
      <c r="Q287" s="271">
        <f t="shared" si="19"/>
        <v>19.515291694999998</v>
      </c>
    </row>
    <row r="288" spans="1:17" x14ac:dyDescent="0.25">
      <c r="A288" s="137" t="s">
        <v>585</v>
      </c>
      <c r="B288" s="137" t="s">
        <v>590</v>
      </c>
      <c r="C288" s="121" t="str">
        <f>VLOOKUP($B288,Totalt!$B$1:$BU$497,MATCH("Kvalitetsgranskad:",Totalt!$B$1:$BU$1,0),FALSE)</f>
        <v>Ja</v>
      </c>
      <c r="E288" s="121" t="str">
        <f>VLOOKUP($B288,Miljö!$B$1:$AG$479,MATCH(E$1,Miljö!$B$1:$AK$1,0),FALSE)</f>
        <v>Ja</v>
      </c>
      <c r="F288" s="121" t="str">
        <f>VLOOKUP($B288,Miljö!$B$1:$J$479,MATCH("Typ av ursprungsspecificerad el   (Om inget värde anges används Nordisk residualmix, se inforuta) ()",Miljö!$B$1:$J$1,0),FALSE)</f>
        <v>'Förnyelsebar'</v>
      </c>
      <c r="G288" s="121">
        <f>VLOOKUP($B288,Miljö!$B$1:$J$479,MATCH("Primärenergifaktor ()",Miljö!$B$1:$J$1,0),FALSE)</f>
        <v>0.8</v>
      </c>
      <c r="H288" s="121">
        <f>VLOOKUP($B288,Miljö!$B$1:$J$479,MATCH("Koldioxidekvivalenter energiomvandling (g/kwh)",Miljö!$B$1:$J$1,0),FALSE)</f>
        <v>0</v>
      </c>
      <c r="I288" s="121">
        <f>VLOOKUP($B288,Miljö!$B$1:$J$479,MATCH("Fossilandel för ursprungspecificerad el ()",Miljö!$B$1:$J$1,0),FALSE)</f>
        <v>0</v>
      </c>
      <c r="J288" s="121">
        <f>VLOOKUP($B288,Miljö!$B$1:$J$479,MATCH("Kärnkraftsandel för ursprungsspecificerad el ()",Miljö!$B$1:$J$1,0),FALSE)</f>
        <v>0</v>
      </c>
      <c r="L288" s="121">
        <f>VLOOKUP($B288,Totalt!$B$1:$BU$497,MATCH("total el",Totalt!$B$1:$BU$1,0),FALSE)</f>
        <v>0.1</v>
      </c>
      <c r="N288" s="271">
        <f t="shared" si="16"/>
        <v>8.0000000000000016E-2</v>
      </c>
      <c r="O288" s="271">
        <f t="shared" si="17"/>
        <v>0</v>
      </c>
      <c r="P288" s="271">
        <f t="shared" si="18"/>
        <v>0</v>
      </c>
      <c r="Q288" s="271">
        <f t="shared" si="19"/>
        <v>0</v>
      </c>
    </row>
    <row r="289" spans="1:17" x14ac:dyDescent="0.25">
      <c r="A289" s="137" t="s">
        <v>591</v>
      </c>
      <c r="B289" s="137" t="s">
        <v>592</v>
      </c>
      <c r="C289" s="121" t="str">
        <f>VLOOKUP($B289,Totalt!$B$1:$BU$497,MATCH("Kvalitetsgranskad:",Totalt!$B$1:$BU$1,0),FALSE)</f>
        <v>Ja</v>
      </c>
      <c r="E289" s="121" t="str">
        <f>VLOOKUP($B289,Miljö!$B$1:$AG$479,MATCH(E$1,Miljö!$B$1:$AK$1,0),FALSE)</f>
        <v>Ja</v>
      </c>
      <c r="F289" s="121" t="str">
        <f>VLOOKUP($B289,Miljö!$B$1:$J$479,MATCH("Typ av ursprungsspecificerad el   (Om inget värde anges används Nordisk residualmix, se inforuta) ()",Miljö!$B$1:$J$1,0),FALSE)</f>
        <v>'Vind vatten bio'</v>
      </c>
      <c r="G289" s="121">
        <f>VLOOKUP($B289,Miljö!$B$1:$J$479,MATCH("Primärenergifaktor ()",Miljö!$B$1:$J$1,0),FALSE)</f>
        <v>1.462</v>
      </c>
      <c r="H289" s="121">
        <f>VLOOKUP($B289,Miljö!$B$1:$J$479,MATCH("Koldioxidekvivalenter energiomvandling (g/kwh)",Miljö!$B$1:$J$1,0),FALSE)</f>
        <v>0</v>
      </c>
      <c r="I289" s="121">
        <f>VLOOKUP($B289,Miljö!$B$1:$J$479,MATCH("Fossilandel för ursprungspecificerad el ()",Miljö!$B$1:$J$1,0),FALSE)</f>
        <v>0</v>
      </c>
      <c r="J289" s="121">
        <f>VLOOKUP($B289,Miljö!$B$1:$J$479,MATCH("Kärnkraftsandel för ursprungsspecificerad el ()",Miljö!$B$1:$J$1,0),FALSE)</f>
        <v>0</v>
      </c>
      <c r="L289" s="121">
        <f>VLOOKUP($B289,Totalt!$B$1:$BU$497,MATCH("total el",Totalt!$B$1:$BU$1,0),FALSE)</f>
        <v>0.13900000000000001</v>
      </c>
      <c r="N289" s="271">
        <f t="shared" si="16"/>
        <v>0.20321800000000001</v>
      </c>
      <c r="O289" s="271">
        <f t="shared" si="17"/>
        <v>0</v>
      </c>
      <c r="P289" s="271">
        <f t="shared" si="18"/>
        <v>0</v>
      </c>
      <c r="Q289" s="271">
        <f t="shared" si="19"/>
        <v>0</v>
      </c>
    </row>
    <row r="290" spans="1:17" x14ac:dyDescent="0.25">
      <c r="A290" s="137" t="s">
        <v>591</v>
      </c>
      <c r="B290" s="137" t="s">
        <v>594</v>
      </c>
      <c r="C290" s="121" t="str">
        <f>VLOOKUP($B290,Totalt!$B$1:$BU$497,MATCH("Kvalitetsgranskad:",Totalt!$B$1:$BU$1,0),FALSE)</f>
        <v>Nej</v>
      </c>
      <c r="E290" s="121" t="str">
        <f>VLOOKUP($B290,Miljö!$B$1:$AG$479,MATCH(E$1,Miljö!$B$1:$AK$1,0),FALSE)</f>
        <v>Nej</v>
      </c>
      <c r="F290" s="121" t="str">
        <f>VLOOKUP($B290,Miljö!$B$1:$J$479,MATCH("Typ av ursprungsspecificerad el   (Om inget värde anges används Nordisk residualmix, se inforuta) ()",Miljö!$B$1:$J$1,0),FALSE)</f>
        <v>-</v>
      </c>
      <c r="G290" s="121">
        <f>VLOOKUP($B290,Miljö!$B$1:$J$479,MATCH("Primärenergifaktor ()",Miljö!$B$1:$J$1,0),FALSE)</f>
        <v>2.2999999999999998</v>
      </c>
      <c r="H290" s="121">
        <f>VLOOKUP($B290,Miljö!$B$1:$J$479,MATCH("Koldioxidekvivalenter energiomvandling (g/kwh)",Miljö!$B$1:$J$1,0),FALSE)</f>
        <v>329.19</v>
      </c>
      <c r="I290" s="121">
        <f>VLOOKUP($B290,Miljö!$B$1:$J$479,MATCH("Fossilandel för ursprungspecificerad el ()",Miljö!$B$1:$J$1,0),FALSE)</f>
        <v>0.43</v>
      </c>
      <c r="J290" s="121">
        <f>VLOOKUP($B290,Miljö!$B$1:$J$479,MATCH("Kärnkraftsandel för ursprungsspecificerad el ()",Miljö!$B$1:$J$1,0),FALSE)</f>
        <v>0.40550000000000003</v>
      </c>
      <c r="L290" s="121">
        <f>VLOOKUP($B290,Totalt!$B$1:$BU$497,MATCH("total el",Totalt!$B$1:$BU$1,0),FALSE)</f>
        <v>0</v>
      </c>
      <c r="N290" s="271">
        <f t="shared" si="16"/>
        <v>0</v>
      </c>
      <c r="O290" s="271">
        <f t="shared" si="17"/>
        <v>0</v>
      </c>
      <c r="P290" s="271">
        <f t="shared" si="18"/>
        <v>0</v>
      </c>
      <c r="Q290" s="271">
        <f t="shared" si="19"/>
        <v>0</v>
      </c>
    </row>
    <row r="291" spans="1:17" x14ac:dyDescent="0.25">
      <c r="A291" s="137" t="s">
        <v>591</v>
      </c>
      <c r="B291" s="137" t="s">
        <v>595</v>
      </c>
      <c r="C291" s="121" t="str">
        <f>VLOOKUP($B291,Totalt!$B$1:$BU$497,MATCH("Kvalitetsgranskad:",Totalt!$B$1:$BU$1,0),FALSE)</f>
        <v>Ja</v>
      </c>
      <c r="E291" s="121" t="str">
        <f>VLOOKUP($B291,Miljö!$B$1:$AG$479,MATCH(E$1,Miljö!$B$1:$AK$1,0),FALSE)</f>
        <v>Ja</v>
      </c>
      <c r="F291" s="121" t="str">
        <f>VLOOKUP($B291,Miljö!$B$1:$J$479,MATCH("Typ av ursprungsspecificerad el   (Om inget värde anges används Nordisk residualmix, se inforuta) ()",Miljö!$B$1:$J$1,0),FALSE)</f>
        <v>'"Vind vatten bio"'</v>
      </c>
      <c r="G291" s="121">
        <f>VLOOKUP($B291,Miljö!$B$1:$J$479,MATCH("Primärenergifaktor ()",Miljö!$B$1:$J$1,0),FALSE)</f>
        <v>1.462</v>
      </c>
      <c r="H291" s="121">
        <f>VLOOKUP($B291,Miljö!$B$1:$J$479,MATCH("Koldioxidekvivalenter energiomvandling (g/kwh)",Miljö!$B$1:$J$1,0),FALSE)</f>
        <v>0</v>
      </c>
      <c r="I291" s="121">
        <f>VLOOKUP($B291,Miljö!$B$1:$J$479,MATCH("Fossilandel för ursprungspecificerad el ()",Miljö!$B$1:$J$1,0),FALSE)</f>
        <v>0</v>
      </c>
      <c r="J291" s="121">
        <f>VLOOKUP($B291,Miljö!$B$1:$J$479,MATCH("Kärnkraftsandel för ursprungsspecificerad el ()",Miljö!$B$1:$J$1,0),FALSE)</f>
        <v>0</v>
      </c>
      <c r="L291" s="121">
        <f>VLOOKUP($B291,Totalt!$B$1:$BU$497,MATCH("total el",Totalt!$B$1:$BU$1,0),FALSE)</f>
        <v>5.7000000000000002E-2</v>
      </c>
      <c r="N291" s="271">
        <f t="shared" si="16"/>
        <v>8.3334000000000005E-2</v>
      </c>
      <c r="O291" s="271">
        <f t="shared" si="17"/>
        <v>0</v>
      </c>
      <c r="P291" s="271">
        <f t="shared" si="18"/>
        <v>0</v>
      </c>
      <c r="Q291" s="271">
        <f t="shared" si="19"/>
        <v>0</v>
      </c>
    </row>
    <row r="292" spans="1:17" x14ac:dyDescent="0.25">
      <c r="A292" s="137" t="s">
        <v>591</v>
      </c>
      <c r="B292" s="137" t="s">
        <v>597</v>
      </c>
      <c r="C292" s="121" t="str">
        <f>VLOOKUP($B292,Totalt!$B$1:$BU$497,MATCH("Kvalitetsgranskad:",Totalt!$B$1:$BU$1,0),FALSE)</f>
        <v>Ja</v>
      </c>
      <c r="E292" s="121" t="str">
        <f>VLOOKUP($B292,Miljö!$B$1:$AG$479,MATCH(E$1,Miljö!$B$1:$AK$1,0),FALSE)</f>
        <v>Ja</v>
      </c>
      <c r="F292" s="121" t="str">
        <f>VLOOKUP($B292,Miljö!$B$1:$J$479,MATCH("Typ av ursprungsspecificerad el   (Om inget värde anges används Nordisk residualmix, se inforuta) ()",Miljö!$B$1:$J$1,0),FALSE)</f>
        <v>'"Vind vatten bio"'</v>
      </c>
      <c r="G292" s="121">
        <f>VLOOKUP($B292,Miljö!$B$1:$J$479,MATCH("Primärenergifaktor ()",Miljö!$B$1:$J$1,0),FALSE)</f>
        <v>1.462</v>
      </c>
      <c r="H292" s="121">
        <f>VLOOKUP($B292,Miljö!$B$1:$J$479,MATCH("Koldioxidekvivalenter energiomvandling (g/kwh)",Miljö!$B$1:$J$1,0),FALSE)</f>
        <v>0</v>
      </c>
      <c r="I292" s="121">
        <f>VLOOKUP($B292,Miljö!$B$1:$J$479,MATCH("Fossilandel för ursprungspecificerad el ()",Miljö!$B$1:$J$1,0),FALSE)</f>
        <v>0</v>
      </c>
      <c r="J292" s="121">
        <f>VLOOKUP($B292,Miljö!$B$1:$J$479,MATCH("Kärnkraftsandel för ursprungsspecificerad el ()",Miljö!$B$1:$J$1,0),FALSE)</f>
        <v>0</v>
      </c>
      <c r="L292" s="121">
        <f>VLOOKUP($B292,Totalt!$B$1:$BU$497,MATCH("total el",Totalt!$B$1:$BU$1,0),FALSE)</f>
        <v>6.2671000000000001</v>
      </c>
      <c r="N292" s="271">
        <f t="shared" si="16"/>
        <v>9.1625002000000002</v>
      </c>
      <c r="O292" s="271">
        <f t="shared" si="17"/>
        <v>0</v>
      </c>
      <c r="P292" s="271">
        <f t="shared" si="18"/>
        <v>0</v>
      </c>
      <c r="Q292" s="271">
        <f t="shared" si="19"/>
        <v>0</v>
      </c>
    </row>
    <row r="293" spans="1:17" x14ac:dyDescent="0.25">
      <c r="A293" s="137" t="s">
        <v>598</v>
      </c>
      <c r="B293" s="137" t="s">
        <v>599</v>
      </c>
      <c r="C293" s="121" t="str">
        <f>VLOOKUP($B293,Totalt!$B$1:$BU$497,MATCH("Kvalitetsgranskad:",Totalt!$B$1:$BU$1,0),FALSE)</f>
        <v>Ja</v>
      </c>
      <c r="E293" s="121" t="str">
        <f>VLOOKUP($B293,Miljö!$B$1:$AG$479,MATCH(E$1,Miljö!$B$1:$AK$1,0),FALSE)</f>
        <v>Ja</v>
      </c>
      <c r="F293" s="121" t="str">
        <f>VLOOKUP($B293,Miljö!$B$1:$J$479,MATCH("Typ av ursprungsspecificerad el   (Om inget värde anges används Nordisk residualmix, se inforuta) ()",Miljö!$B$1:$J$1,0),FALSE)</f>
        <v>'Biokraft'</v>
      </c>
      <c r="G293" s="121">
        <f>VLOOKUP($B293,Miljö!$B$1:$J$479,MATCH("Primärenergifaktor ()",Miljö!$B$1:$J$1,0),FALSE)</f>
        <v>0.28000000000000003</v>
      </c>
      <c r="H293" s="121">
        <f>VLOOKUP($B293,Miljö!$B$1:$J$479,MATCH("Koldioxidekvivalenter energiomvandling (g/kwh)",Miljö!$B$1:$J$1,0),FALSE)</f>
        <v>0</v>
      </c>
      <c r="I293" s="121">
        <f>VLOOKUP($B293,Miljö!$B$1:$J$479,MATCH("Fossilandel för ursprungspecificerad el ()",Miljö!$B$1:$J$1,0),FALSE)</f>
        <v>0</v>
      </c>
      <c r="J293" s="121">
        <f>VLOOKUP($B293,Miljö!$B$1:$J$479,MATCH("Kärnkraftsandel för ursprungsspecificerad el ()",Miljö!$B$1:$J$1,0),FALSE)</f>
        <v>0</v>
      </c>
      <c r="L293" s="121">
        <f>VLOOKUP($B293,Totalt!$B$1:$BU$497,MATCH("total el",Totalt!$B$1:$BU$1,0),FALSE)</f>
        <v>38.136799999999994</v>
      </c>
      <c r="N293" s="271">
        <f t="shared" si="16"/>
        <v>10.678303999999999</v>
      </c>
      <c r="O293" s="271">
        <f t="shared" si="17"/>
        <v>0</v>
      </c>
      <c r="P293" s="271">
        <f t="shared" si="18"/>
        <v>0</v>
      </c>
      <c r="Q293" s="271">
        <f t="shared" si="19"/>
        <v>0</v>
      </c>
    </row>
    <row r="294" spans="1:17" x14ac:dyDescent="0.25">
      <c r="A294" s="137" t="s">
        <v>600</v>
      </c>
      <c r="B294" s="137" t="s">
        <v>132</v>
      </c>
      <c r="C294" s="121" t="str">
        <f>VLOOKUP($B294,Totalt!$B$1:$BU$497,MATCH("Kvalitetsgranskad:",Totalt!$B$1:$BU$1,0),FALSE)</f>
        <v>Nej</v>
      </c>
      <c r="E294" s="121" t="str">
        <f>VLOOKUP($B294,Miljö!$B$1:$AG$479,MATCH(E$1,Miljö!$B$1:$AK$1,0),FALSE)</f>
        <v>Nej</v>
      </c>
      <c r="F294" s="121" t="str">
        <f>VLOOKUP($B294,Miljö!$B$1:$J$479,MATCH("Typ av ursprungsspecificerad el   (Om inget värde anges används Nordisk residualmix, se inforuta) ()",Miljö!$B$1:$J$1,0),FALSE)</f>
        <v>-</v>
      </c>
      <c r="G294" s="121" t="str">
        <f>VLOOKUP($B294,Miljö!$B$1:$J$479,MATCH("Primärenergifaktor ()",Miljö!$B$1:$J$1,0),FALSE)</f>
        <v>-</v>
      </c>
      <c r="H294" s="121" t="str">
        <f>VLOOKUP($B294,Miljö!$B$1:$J$479,MATCH("Koldioxidekvivalenter energiomvandling (g/kwh)",Miljö!$B$1:$J$1,0),FALSE)</f>
        <v>-</v>
      </c>
      <c r="I294" s="121" t="str">
        <f>VLOOKUP($B294,Miljö!$B$1:$J$479,MATCH("Fossilandel för ursprungspecificerad el ()",Miljö!$B$1:$J$1,0),FALSE)</f>
        <v>-</v>
      </c>
      <c r="J294" s="121" t="str">
        <f>VLOOKUP($B294,Miljö!$B$1:$J$479,MATCH("Kärnkraftsandel för ursprungsspecificerad el ()",Miljö!$B$1:$J$1,0),FALSE)</f>
        <v>-</v>
      </c>
      <c r="L294" s="121">
        <f>VLOOKUP($B294,Totalt!$B$1:$BU$497,MATCH("total el",Totalt!$B$1:$BU$1,0),FALSE)</f>
        <v>0</v>
      </c>
      <c r="N294" s="271" t="str">
        <f t="shared" si="16"/>
        <v/>
      </c>
      <c r="O294" s="271" t="str">
        <f t="shared" si="17"/>
        <v/>
      </c>
      <c r="P294" s="271" t="str">
        <f t="shared" si="18"/>
        <v/>
      </c>
      <c r="Q294" s="271" t="str">
        <f t="shared" si="19"/>
        <v/>
      </c>
    </row>
    <row r="295" spans="1:17" x14ac:dyDescent="0.25">
      <c r="A295" s="137" t="s">
        <v>601</v>
      </c>
      <c r="B295" s="137" t="s">
        <v>602</v>
      </c>
      <c r="C295" s="121" t="str">
        <f>VLOOKUP($B295,Totalt!$B$1:$BU$497,MATCH("Kvalitetsgranskad:",Totalt!$B$1:$BU$1,0),FALSE)</f>
        <v>Ja</v>
      </c>
      <c r="E295" s="121" t="str">
        <f>VLOOKUP($B295,Miljö!$B$1:$AG$479,MATCH(E$1,Miljö!$B$1:$AK$1,0),FALSE)</f>
        <v>Ja</v>
      </c>
      <c r="F295" s="121" t="str">
        <f>VLOOKUP($B295,Miljö!$B$1:$J$479,MATCH("Typ av ursprungsspecificerad el   (Om inget värde anges används Nordisk residualmix, se inforuta) ()",Miljö!$B$1:$J$1,0),FALSE)</f>
        <v>'Vattenkraft'</v>
      </c>
      <c r="G295" s="121">
        <f>VLOOKUP($B295,Miljö!$B$1:$J$479,MATCH("Primärenergifaktor ()",Miljö!$B$1:$J$1,0),FALSE)</f>
        <v>1.1000000000000001</v>
      </c>
      <c r="H295" s="121">
        <f>VLOOKUP($B295,Miljö!$B$1:$J$479,MATCH("Koldioxidekvivalenter energiomvandling (g/kwh)",Miljö!$B$1:$J$1,0),FALSE)</f>
        <v>0</v>
      </c>
      <c r="I295" s="121">
        <f>VLOOKUP($B295,Miljö!$B$1:$J$479,MATCH("Fossilandel för ursprungspecificerad el ()",Miljö!$B$1:$J$1,0),FALSE)</f>
        <v>0</v>
      </c>
      <c r="J295" s="121">
        <f>VLOOKUP($B295,Miljö!$B$1:$J$479,MATCH("Kärnkraftsandel för ursprungsspecificerad el ()",Miljö!$B$1:$J$1,0),FALSE)</f>
        <v>0</v>
      </c>
      <c r="L295" s="121">
        <f>VLOOKUP($B295,Totalt!$B$1:$BU$497,MATCH("total el",Totalt!$B$1:$BU$1,0),FALSE)</f>
        <v>0.42099999999999999</v>
      </c>
      <c r="N295" s="271">
        <f t="shared" si="16"/>
        <v>0.46310000000000001</v>
      </c>
      <c r="O295" s="271">
        <f t="shared" si="17"/>
        <v>0</v>
      </c>
      <c r="P295" s="271">
        <f t="shared" si="18"/>
        <v>0</v>
      </c>
      <c r="Q295" s="271">
        <f t="shared" si="19"/>
        <v>0</v>
      </c>
    </row>
    <row r="296" spans="1:17" x14ac:dyDescent="0.25">
      <c r="A296" s="137" t="s">
        <v>601</v>
      </c>
      <c r="B296" s="137" t="s">
        <v>603</v>
      </c>
      <c r="C296" s="121" t="str">
        <f>VLOOKUP($B296,Totalt!$B$1:$BU$497,MATCH("Kvalitetsgranskad:",Totalt!$B$1:$BU$1,0),FALSE)</f>
        <v>Ja</v>
      </c>
      <c r="E296" s="121" t="str">
        <f>VLOOKUP($B296,Miljö!$B$1:$AG$479,MATCH(E$1,Miljö!$B$1:$AK$1,0),FALSE)</f>
        <v>Ja</v>
      </c>
      <c r="F296" s="121" t="str">
        <f>VLOOKUP($B296,Miljö!$B$1:$J$479,MATCH("Typ av ursprungsspecificerad el   (Om inget värde anges används Nordisk residualmix, se inforuta) ()",Miljö!$B$1:$J$1,0),FALSE)</f>
        <v>'Bioenergi'</v>
      </c>
      <c r="G296" s="121">
        <f>VLOOKUP($B296,Miljö!$B$1:$J$479,MATCH("Primärenergifaktor ()",Miljö!$B$1:$J$1,0),FALSE)</f>
        <v>0.03</v>
      </c>
      <c r="H296" s="121">
        <f>VLOOKUP($B296,Miljö!$B$1:$J$479,MATCH("Koldioxidekvivalenter energiomvandling (g/kwh)",Miljö!$B$1:$J$1,0),FALSE)</f>
        <v>0</v>
      </c>
      <c r="I296" s="121">
        <f>VLOOKUP($B296,Miljö!$B$1:$J$479,MATCH("Fossilandel för ursprungspecificerad el ()",Miljö!$B$1:$J$1,0),FALSE)</f>
        <v>0</v>
      </c>
      <c r="J296" s="121">
        <f>VLOOKUP($B296,Miljö!$B$1:$J$479,MATCH("Kärnkraftsandel för ursprungsspecificerad el ()",Miljö!$B$1:$J$1,0),FALSE)</f>
        <v>0</v>
      </c>
      <c r="L296" s="121">
        <f>VLOOKUP($B296,Totalt!$B$1:$BU$497,MATCH("total el",Totalt!$B$1:$BU$1,0),FALSE)</f>
        <v>5.3337000000000003</v>
      </c>
      <c r="N296" s="271">
        <f t="shared" si="16"/>
        <v>0.16001100000000001</v>
      </c>
      <c r="O296" s="271">
        <f t="shared" si="17"/>
        <v>0</v>
      </c>
      <c r="P296" s="271">
        <f t="shared" si="18"/>
        <v>0</v>
      </c>
      <c r="Q296" s="271">
        <f t="shared" si="19"/>
        <v>0</v>
      </c>
    </row>
    <row r="297" spans="1:17" x14ac:dyDescent="0.25">
      <c r="A297" s="137" t="s">
        <v>601</v>
      </c>
      <c r="B297" s="137" t="s">
        <v>604</v>
      </c>
      <c r="C297" s="121" t="str">
        <f>VLOOKUP($B297,Totalt!$B$1:$BU$497,MATCH("Kvalitetsgranskad:",Totalt!$B$1:$BU$1,0),FALSE)</f>
        <v>Ja</v>
      </c>
      <c r="E297" s="121" t="str">
        <f>VLOOKUP($B297,Miljö!$B$1:$AG$479,MATCH(E$1,Miljö!$B$1:$AK$1,0),FALSE)</f>
        <v>Ja</v>
      </c>
      <c r="F297" s="121" t="str">
        <f>VLOOKUP($B297,Miljö!$B$1:$J$479,MATCH("Typ av ursprungsspecificerad el   (Om inget värde anges används Nordisk residualmix, se inforuta) ()",Miljö!$B$1:$J$1,0),FALSE)</f>
        <v>'Vattenkraft'</v>
      </c>
      <c r="G297" s="121">
        <f>VLOOKUP($B297,Miljö!$B$1:$J$479,MATCH("Primärenergifaktor ()",Miljö!$B$1:$J$1,0),FALSE)</f>
        <v>1.1000000000000001</v>
      </c>
      <c r="H297" s="121">
        <f>VLOOKUP($B297,Miljö!$B$1:$J$479,MATCH("Koldioxidekvivalenter energiomvandling (g/kwh)",Miljö!$B$1:$J$1,0),FALSE)</f>
        <v>0</v>
      </c>
      <c r="I297" s="121">
        <f>VLOOKUP($B297,Miljö!$B$1:$J$479,MATCH("Fossilandel för ursprungspecificerad el ()",Miljö!$B$1:$J$1,0),FALSE)</f>
        <v>0</v>
      </c>
      <c r="J297" s="121">
        <f>VLOOKUP($B297,Miljö!$B$1:$J$479,MATCH("Kärnkraftsandel för ursprungsspecificerad el ()",Miljö!$B$1:$J$1,0),FALSE)</f>
        <v>0</v>
      </c>
      <c r="L297" s="121">
        <f>VLOOKUP($B297,Totalt!$B$1:$BU$497,MATCH("total el",Totalt!$B$1:$BU$1,0),FALSE)</f>
        <v>3.0000000000000001E-3</v>
      </c>
      <c r="N297" s="271">
        <f t="shared" si="16"/>
        <v>3.3000000000000004E-3</v>
      </c>
      <c r="O297" s="271">
        <f t="shared" si="17"/>
        <v>0</v>
      </c>
      <c r="P297" s="271">
        <f t="shared" si="18"/>
        <v>0</v>
      </c>
      <c r="Q297" s="271">
        <f t="shared" si="19"/>
        <v>0</v>
      </c>
    </row>
    <row r="298" spans="1:17" x14ac:dyDescent="0.25">
      <c r="A298" s="137" t="s">
        <v>601</v>
      </c>
      <c r="B298" s="137" t="s">
        <v>605</v>
      </c>
      <c r="C298" s="121" t="str">
        <f>VLOOKUP($B298,Totalt!$B$1:$BU$497,MATCH("Kvalitetsgranskad:",Totalt!$B$1:$BU$1,0),FALSE)</f>
        <v>Ja</v>
      </c>
      <c r="E298" s="121" t="str">
        <f>VLOOKUP($B298,Miljö!$B$1:$AG$479,MATCH(E$1,Miljö!$B$1:$AK$1,0),FALSE)</f>
        <v>Ja</v>
      </c>
      <c r="F298" s="121" t="str">
        <f>VLOOKUP($B298,Miljö!$B$1:$J$479,MATCH("Typ av ursprungsspecificerad el   (Om inget värde anges används Nordisk residualmix, se inforuta) ()",Miljö!$B$1:$J$1,0),FALSE)</f>
        <v>'Biobränsle'</v>
      </c>
      <c r="G298" s="121">
        <f>VLOOKUP($B298,Miljö!$B$1:$J$479,MATCH("Primärenergifaktor ()",Miljö!$B$1:$J$1,0),FALSE)</f>
        <v>0.03</v>
      </c>
      <c r="H298" s="121">
        <f>VLOOKUP($B298,Miljö!$B$1:$J$479,MATCH("Koldioxidekvivalenter energiomvandling (g/kwh)",Miljö!$B$1:$J$1,0),FALSE)</f>
        <v>0</v>
      </c>
      <c r="I298" s="121">
        <f>VLOOKUP($B298,Miljö!$B$1:$J$479,MATCH("Fossilandel för ursprungspecificerad el ()",Miljö!$B$1:$J$1,0),FALSE)</f>
        <v>0</v>
      </c>
      <c r="J298" s="121">
        <f>VLOOKUP($B298,Miljö!$B$1:$J$479,MATCH("Kärnkraftsandel för ursprungsspecificerad el ()",Miljö!$B$1:$J$1,0),FALSE)</f>
        <v>0</v>
      </c>
      <c r="L298" s="121">
        <f>VLOOKUP($B298,Totalt!$B$1:$BU$497,MATCH("total el",Totalt!$B$1:$BU$1,0),FALSE)</f>
        <v>42.9</v>
      </c>
      <c r="N298" s="271">
        <f t="shared" si="16"/>
        <v>1.2869999999999999</v>
      </c>
      <c r="O298" s="271">
        <f t="shared" si="17"/>
        <v>0</v>
      </c>
      <c r="P298" s="271">
        <f t="shared" si="18"/>
        <v>0</v>
      </c>
      <c r="Q298" s="271">
        <f t="shared" si="19"/>
        <v>0</v>
      </c>
    </row>
    <row r="299" spans="1:17" x14ac:dyDescent="0.25">
      <c r="A299" s="137" t="s">
        <v>601</v>
      </c>
      <c r="B299" s="137" t="s">
        <v>606</v>
      </c>
      <c r="C299" s="121" t="str">
        <f>VLOOKUP($B299,Totalt!$B$1:$BU$497,MATCH("Kvalitetsgranskad:",Totalt!$B$1:$BU$1,0),FALSE)</f>
        <v>Ja</v>
      </c>
      <c r="E299" s="121" t="str">
        <f>VLOOKUP($B299,Miljö!$B$1:$AG$479,MATCH(E$1,Miljö!$B$1:$AK$1,0),FALSE)</f>
        <v>Nej</v>
      </c>
      <c r="F299" s="121" t="str">
        <f>VLOOKUP($B299,Miljö!$B$1:$J$479,MATCH("Typ av ursprungsspecificerad el   (Om inget värde anges används Nordisk residualmix, se inforuta) ()",Miljö!$B$1:$J$1,0),FALSE)</f>
        <v>-</v>
      </c>
      <c r="G299" s="121">
        <f>VLOOKUP($B299,Miljö!$B$1:$J$479,MATCH("Primärenergifaktor ()",Miljö!$B$1:$J$1,0),FALSE)</f>
        <v>2.2999999999999998</v>
      </c>
      <c r="H299" s="121">
        <f>VLOOKUP($B299,Miljö!$B$1:$J$479,MATCH("Koldioxidekvivalenter energiomvandling (g/kwh)",Miljö!$B$1:$J$1,0),FALSE)</f>
        <v>329.19</v>
      </c>
      <c r="I299" s="121">
        <f>VLOOKUP($B299,Miljö!$B$1:$J$479,MATCH("Fossilandel för ursprungspecificerad el ()",Miljö!$B$1:$J$1,0),FALSE)</f>
        <v>0.43</v>
      </c>
      <c r="J299" s="121">
        <f>VLOOKUP($B299,Miljö!$B$1:$J$479,MATCH("Kärnkraftsandel för ursprungsspecificerad el ()",Miljö!$B$1:$J$1,0),FALSE)</f>
        <v>0.40550000000000003</v>
      </c>
      <c r="L299" s="121">
        <f>VLOOKUP($B299,Totalt!$B$1:$BU$497,MATCH("total el",Totalt!$B$1:$BU$1,0),FALSE)</f>
        <v>0.39</v>
      </c>
      <c r="N299" s="271">
        <f t="shared" si="16"/>
        <v>0.89699999999999991</v>
      </c>
      <c r="O299" s="271">
        <f t="shared" si="17"/>
        <v>128.38409999999999</v>
      </c>
      <c r="P299" s="271">
        <f t="shared" si="18"/>
        <v>0.16770000000000002</v>
      </c>
      <c r="Q299" s="271">
        <f t="shared" si="19"/>
        <v>0.15814500000000001</v>
      </c>
    </row>
    <row r="300" spans="1:17" x14ac:dyDescent="0.25">
      <c r="A300" s="137" t="s">
        <v>601</v>
      </c>
      <c r="B300" s="137" t="s">
        <v>607</v>
      </c>
      <c r="C300" s="121" t="str">
        <f>VLOOKUP($B300,Totalt!$B$1:$BU$497,MATCH("Kvalitetsgranskad:",Totalt!$B$1:$BU$1,0),FALSE)</f>
        <v>Ja</v>
      </c>
      <c r="E300" s="121" t="str">
        <f>VLOOKUP($B300,Miljö!$B$1:$AG$479,MATCH(E$1,Miljö!$B$1:$AK$1,0),FALSE)</f>
        <v>Nej</v>
      </c>
      <c r="F300" s="121" t="str">
        <f>VLOOKUP($B300,Miljö!$B$1:$J$479,MATCH("Typ av ursprungsspecificerad el   (Om inget värde anges används Nordisk residualmix, se inforuta) ()",Miljö!$B$1:$J$1,0),FALSE)</f>
        <v>-</v>
      </c>
      <c r="G300" s="121">
        <f>VLOOKUP($B300,Miljö!$B$1:$J$479,MATCH("Primärenergifaktor ()",Miljö!$B$1:$J$1,0),FALSE)</f>
        <v>2.2999999999999998</v>
      </c>
      <c r="H300" s="121">
        <f>VLOOKUP($B300,Miljö!$B$1:$J$479,MATCH("Koldioxidekvivalenter energiomvandling (g/kwh)",Miljö!$B$1:$J$1,0),FALSE)</f>
        <v>329.19</v>
      </c>
      <c r="I300" s="121">
        <f>VLOOKUP($B300,Miljö!$B$1:$J$479,MATCH("Fossilandel för ursprungspecificerad el ()",Miljö!$B$1:$J$1,0),FALSE)</f>
        <v>0.43</v>
      </c>
      <c r="J300" s="121">
        <f>VLOOKUP($B300,Miljö!$B$1:$J$479,MATCH("Kärnkraftsandel för ursprungsspecificerad el ()",Miljö!$B$1:$J$1,0),FALSE)</f>
        <v>0.40550000000000003</v>
      </c>
      <c r="L300" s="121">
        <f>VLOOKUP($B300,Totalt!$B$1:$BU$497,MATCH("total el",Totalt!$B$1:$BU$1,0),FALSE)</f>
        <v>0.53900000000000003</v>
      </c>
      <c r="N300" s="271">
        <f t="shared" si="16"/>
        <v>1.2397</v>
      </c>
      <c r="O300" s="271">
        <f t="shared" si="17"/>
        <v>177.43341000000001</v>
      </c>
      <c r="P300" s="271">
        <f t="shared" si="18"/>
        <v>0.23177</v>
      </c>
      <c r="Q300" s="271">
        <f t="shared" si="19"/>
        <v>0.21856450000000002</v>
      </c>
    </row>
    <row r="301" spans="1:17" x14ac:dyDescent="0.25">
      <c r="A301" s="137" t="s">
        <v>608</v>
      </c>
      <c r="B301" s="137" t="s">
        <v>609</v>
      </c>
      <c r="C301" s="121" t="str">
        <f>VLOOKUP($B301,Totalt!$B$1:$BU$497,MATCH("Kvalitetsgranskad:",Totalt!$B$1:$BU$1,0),FALSE)</f>
        <v>Ja</v>
      </c>
      <c r="E301" s="121" t="str">
        <f>VLOOKUP($B301,Miljö!$B$1:$AG$479,MATCH(E$1,Miljö!$B$1:$AK$1,0),FALSE)</f>
        <v>Ja</v>
      </c>
      <c r="F301" s="121" t="str">
        <f>VLOOKUP($B301,Miljö!$B$1:$J$479,MATCH("Typ av ursprungsspecificerad el   (Om inget värde anges används Nordisk residualmix, se inforuta) ()",Miljö!$B$1:$J$1,0),FALSE)</f>
        <v>'vind och vatten'</v>
      </c>
      <c r="G301" s="121">
        <f>VLOOKUP($B301,Miljö!$B$1:$J$479,MATCH("Primärenergifaktor ()",Miljö!$B$1:$J$1,0),FALSE)</f>
        <v>1</v>
      </c>
      <c r="H301" s="121">
        <f>VLOOKUP($B301,Miljö!$B$1:$J$479,MATCH("Koldioxidekvivalenter energiomvandling (g/kwh)",Miljö!$B$1:$J$1,0),FALSE)</f>
        <v>0</v>
      </c>
      <c r="I301" s="121">
        <f>VLOOKUP($B301,Miljö!$B$1:$J$479,MATCH("Fossilandel för ursprungspecificerad el ()",Miljö!$B$1:$J$1,0),FALSE)</f>
        <v>0</v>
      </c>
      <c r="J301" s="121">
        <f>VLOOKUP($B301,Miljö!$B$1:$J$479,MATCH("Kärnkraftsandel för ursprungsspecificerad el ()",Miljö!$B$1:$J$1,0),FALSE)</f>
        <v>0</v>
      </c>
      <c r="L301" s="121">
        <f>VLOOKUP($B301,Totalt!$B$1:$BU$497,MATCH("total el",Totalt!$B$1:$BU$1,0),FALSE)</f>
        <v>2.2999999999999998</v>
      </c>
      <c r="N301" s="271">
        <f t="shared" si="16"/>
        <v>2.2999999999999998</v>
      </c>
      <c r="O301" s="271">
        <f t="shared" si="17"/>
        <v>0</v>
      </c>
      <c r="P301" s="271">
        <f t="shared" si="18"/>
        <v>0</v>
      </c>
      <c r="Q301" s="271">
        <f t="shared" si="19"/>
        <v>0</v>
      </c>
    </row>
    <row r="302" spans="1:17" x14ac:dyDescent="0.25">
      <c r="A302" s="137" t="s">
        <v>608</v>
      </c>
      <c r="B302" s="137" t="s">
        <v>610</v>
      </c>
      <c r="C302" s="121" t="str">
        <f>VLOOKUP($B302,Totalt!$B$1:$BU$497,MATCH("Kvalitetsgranskad:",Totalt!$B$1:$BU$1,0),FALSE)</f>
        <v>Ja</v>
      </c>
      <c r="E302" s="121" t="str">
        <f>VLOOKUP($B302,Miljö!$B$1:$AG$479,MATCH(E$1,Miljö!$B$1:$AK$1,0),FALSE)</f>
        <v>Ja</v>
      </c>
      <c r="F302" s="121" t="str">
        <f>VLOOKUP($B302,Miljö!$B$1:$J$479,MATCH("Typ av ursprungsspecificerad el   (Om inget värde anges används Nordisk residualmix, se inforuta) ()",Miljö!$B$1:$J$1,0),FALSE)</f>
        <v>'Biokraft'</v>
      </c>
      <c r="G302" s="121">
        <f>VLOOKUP($B302,Miljö!$B$1:$J$479,MATCH("Primärenergifaktor ()",Miljö!$B$1:$J$1,0),FALSE)</f>
        <v>0.28000000000000003</v>
      </c>
      <c r="H302" s="121">
        <f>VLOOKUP($B302,Miljö!$B$1:$J$479,MATCH("Koldioxidekvivalenter energiomvandling (g/kwh)",Miljö!$B$1:$J$1,0),FALSE)</f>
        <v>0</v>
      </c>
      <c r="I302" s="121">
        <f>VLOOKUP($B302,Miljö!$B$1:$J$479,MATCH("Fossilandel för ursprungspecificerad el ()",Miljö!$B$1:$J$1,0),FALSE)</f>
        <v>0</v>
      </c>
      <c r="J302" s="121">
        <f>VLOOKUP($B302,Miljö!$B$1:$J$479,MATCH("Kärnkraftsandel för ursprungsspecificerad el ()",Miljö!$B$1:$J$1,0),FALSE)</f>
        <v>0</v>
      </c>
      <c r="L302" s="121">
        <f>VLOOKUP($B302,Totalt!$B$1:$BU$497,MATCH("total el",Totalt!$B$1:$BU$1,0),FALSE)</f>
        <v>36.997</v>
      </c>
      <c r="N302" s="271">
        <f t="shared" si="16"/>
        <v>10.359160000000001</v>
      </c>
      <c r="O302" s="271">
        <f t="shared" si="17"/>
        <v>0</v>
      </c>
      <c r="P302" s="271">
        <f t="shared" si="18"/>
        <v>0</v>
      </c>
      <c r="Q302" s="271">
        <f t="shared" si="19"/>
        <v>0</v>
      </c>
    </row>
    <row r="303" spans="1:17" x14ac:dyDescent="0.25">
      <c r="A303" s="137" t="s">
        <v>611</v>
      </c>
      <c r="B303" s="137" t="s">
        <v>612</v>
      </c>
      <c r="C303" s="121" t="str">
        <f>VLOOKUP($B303,Totalt!$B$1:$BU$497,MATCH("Kvalitetsgranskad:",Totalt!$B$1:$BU$1,0),FALSE)</f>
        <v>Ja</v>
      </c>
      <c r="E303" s="121" t="str">
        <f>VLOOKUP($B303,Miljö!$B$1:$AG$479,MATCH(E$1,Miljö!$B$1:$AK$1,0),FALSE)</f>
        <v>Ja</v>
      </c>
      <c r="F303" s="121" t="str">
        <f>VLOOKUP($B303,Miljö!$B$1:$J$479,MATCH("Typ av ursprungsspecificerad el   (Om inget värde anges används Nordisk residualmix, se inforuta) ()",Miljö!$B$1:$J$1,0),FALSE)</f>
        <v>'vattenkraft'</v>
      </c>
      <c r="G303" s="121">
        <f>VLOOKUP($B303,Miljö!$B$1:$J$479,MATCH("Primärenergifaktor ()",Miljö!$B$1:$J$1,0),FALSE)</f>
        <v>1.1000000000000001</v>
      </c>
      <c r="H303" s="121">
        <f>VLOOKUP($B303,Miljö!$B$1:$J$479,MATCH("Koldioxidekvivalenter energiomvandling (g/kwh)",Miljö!$B$1:$J$1,0),FALSE)</f>
        <v>0</v>
      </c>
      <c r="I303" s="121">
        <f>VLOOKUP($B303,Miljö!$B$1:$J$479,MATCH("Fossilandel för ursprungspecificerad el ()",Miljö!$B$1:$J$1,0),FALSE)</f>
        <v>0</v>
      </c>
      <c r="J303" s="121">
        <f>VLOOKUP($B303,Miljö!$B$1:$J$479,MATCH("Kärnkraftsandel för ursprungsspecificerad el ()",Miljö!$B$1:$J$1,0),FALSE)</f>
        <v>0</v>
      </c>
      <c r="L303" s="121">
        <f>VLOOKUP($B303,Totalt!$B$1:$BU$497,MATCH("total el",Totalt!$B$1:$BU$1,0),FALSE)</f>
        <v>1.83806</v>
      </c>
      <c r="N303" s="271">
        <f t="shared" si="16"/>
        <v>2.0218660000000002</v>
      </c>
      <c r="O303" s="271">
        <f t="shared" si="17"/>
        <v>0</v>
      </c>
      <c r="P303" s="271">
        <f t="shared" si="18"/>
        <v>0</v>
      </c>
      <c r="Q303" s="271">
        <f t="shared" si="19"/>
        <v>0</v>
      </c>
    </row>
    <row r="304" spans="1:17" x14ac:dyDescent="0.25">
      <c r="A304" s="137" t="s">
        <v>613</v>
      </c>
      <c r="B304" s="137" t="s">
        <v>614</v>
      </c>
      <c r="C304" s="121" t="str">
        <f>VLOOKUP($B304,Totalt!$B$1:$BU$497,MATCH("Kvalitetsgranskad:",Totalt!$B$1:$BU$1,0),FALSE)</f>
        <v>Ja</v>
      </c>
      <c r="E304" s="121" t="str">
        <f>VLOOKUP($B304,Miljö!$B$1:$AG$479,MATCH(E$1,Miljö!$B$1:$AK$1,0),FALSE)</f>
        <v>Ja</v>
      </c>
      <c r="F304" s="121" t="str">
        <f>VLOOKUP($B304,Miljö!$B$1:$J$479,MATCH("Typ av ursprungsspecificerad el   (Om inget värde anges används Nordisk residualmix, se inforuta) ()",Miljö!$B$1:$J$1,0),FALSE)</f>
        <v>'Vattenkraft'</v>
      </c>
      <c r="G304" s="121">
        <f>VLOOKUP($B304,Miljö!$B$1:$J$479,MATCH("Primärenergifaktor ()",Miljö!$B$1:$J$1,0),FALSE)</f>
        <v>1.1000000000000001</v>
      </c>
      <c r="H304" s="121">
        <f>VLOOKUP($B304,Miljö!$B$1:$J$479,MATCH("Koldioxidekvivalenter energiomvandling (g/kwh)",Miljö!$B$1:$J$1,0),FALSE)</f>
        <v>1.3</v>
      </c>
      <c r="I304" s="121">
        <f>VLOOKUP($B304,Miljö!$B$1:$J$479,MATCH("Fossilandel för ursprungspecificerad el ()",Miljö!$B$1:$J$1,0),FALSE)</f>
        <v>0</v>
      </c>
      <c r="J304" s="121">
        <f>VLOOKUP($B304,Miljö!$B$1:$J$479,MATCH("Kärnkraftsandel för ursprungsspecificerad el ()",Miljö!$B$1:$J$1,0),FALSE)</f>
        <v>0</v>
      </c>
      <c r="L304" s="121">
        <f>VLOOKUP($B304,Totalt!$B$1:$BU$497,MATCH("total el",Totalt!$B$1:$BU$1,0),FALSE)</f>
        <v>2.0590000000000002</v>
      </c>
      <c r="N304" s="271">
        <f t="shared" si="16"/>
        <v>2.2649000000000004</v>
      </c>
      <c r="O304" s="271">
        <f t="shared" si="17"/>
        <v>2.6767000000000003</v>
      </c>
      <c r="P304" s="271">
        <f t="shared" si="18"/>
        <v>0</v>
      </c>
      <c r="Q304" s="271">
        <f t="shared" si="19"/>
        <v>0</v>
      </c>
    </row>
    <row r="305" spans="1:17" x14ac:dyDescent="0.25">
      <c r="A305" s="137" t="s">
        <v>613</v>
      </c>
      <c r="B305" s="137" t="s">
        <v>615</v>
      </c>
      <c r="C305" s="121" t="str">
        <f>VLOOKUP($B305,Totalt!$B$1:$BU$497,MATCH("Kvalitetsgranskad:",Totalt!$B$1:$BU$1,0),FALSE)</f>
        <v>Nej</v>
      </c>
      <c r="E305" s="121" t="str">
        <f>VLOOKUP($B305,Miljö!$B$1:$AG$479,MATCH(E$1,Miljö!$B$1:$AK$1,0),FALSE)</f>
        <v>Ja</v>
      </c>
      <c r="F305" s="121" t="str">
        <f>VLOOKUP($B305,Miljö!$B$1:$J$479,MATCH("Typ av ursprungsspecificerad el   (Om inget värde anges används Nordisk residualmix, se inforuta) ()",Miljö!$B$1:$J$1,0),FALSE)</f>
        <v>'Vattenkraft'</v>
      </c>
      <c r="G305" s="121">
        <f>VLOOKUP($B305,Miljö!$B$1:$J$479,MATCH("Primärenergifaktor ()",Miljö!$B$1:$J$1,0),FALSE)</f>
        <v>1.1000000000000001</v>
      </c>
      <c r="H305" s="121">
        <f>VLOOKUP($B305,Miljö!$B$1:$J$479,MATCH("Koldioxidekvivalenter energiomvandling (g/kwh)",Miljö!$B$1:$J$1,0),FALSE)</f>
        <v>1.3</v>
      </c>
      <c r="I305" s="121">
        <f>VLOOKUP($B305,Miljö!$B$1:$J$479,MATCH("Fossilandel för ursprungspecificerad el ()",Miljö!$B$1:$J$1,0),FALSE)</f>
        <v>0</v>
      </c>
      <c r="J305" s="121">
        <f>VLOOKUP($B305,Miljö!$B$1:$J$479,MATCH("Kärnkraftsandel för ursprungsspecificerad el ()",Miljö!$B$1:$J$1,0),FALSE)</f>
        <v>0</v>
      </c>
      <c r="L305" s="121">
        <f>VLOOKUP($B305,Totalt!$B$1:$BU$497,MATCH("total el",Totalt!$B$1:$BU$1,0),FALSE)</f>
        <v>0</v>
      </c>
      <c r="N305" s="271">
        <f t="shared" si="16"/>
        <v>0</v>
      </c>
      <c r="O305" s="271">
        <f t="shared" si="17"/>
        <v>0</v>
      </c>
      <c r="P305" s="271">
        <f t="shared" si="18"/>
        <v>0</v>
      </c>
      <c r="Q305" s="271">
        <f t="shared" si="19"/>
        <v>0</v>
      </c>
    </row>
    <row r="306" spans="1:17" x14ac:dyDescent="0.25">
      <c r="A306" s="137" t="s">
        <v>616</v>
      </c>
      <c r="B306" s="137" t="s">
        <v>616</v>
      </c>
      <c r="C306" s="121" t="str">
        <f>VLOOKUP($B306,Totalt!$B$1:$BU$497,MATCH("Kvalitetsgranskad:",Totalt!$B$1:$BU$1,0),FALSE)</f>
        <v>Ja</v>
      </c>
      <c r="E306" s="121" t="str">
        <f>VLOOKUP($B306,Miljö!$B$1:$AG$479,MATCH(E$1,Miljö!$B$1:$AK$1,0),FALSE)</f>
        <v>Ja</v>
      </c>
      <c r="F306" s="121" t="str">
        <f>VLOOKUP($B306,Miljö!$B$1:$J$479,MATCH("Typ av ursprungsspecificerad el   (Om inget värde anges används Nordisk residualmix, se inforuta) ()",Miljö!$B$1:$J$1,0),FALSE)</f>
        <v>'5 % Vind och 95 % vatten'</v>
      </c>
      <c r="G306" s="121">
        <f>VLOOKUP($B306,Miljö!$B$1:$J$479,MATCH("Primärenergifaktor ()",Miljö!$B$1:$J$1,0),FALSE)</f>
        <v>1.1000000000000001</v>
      </c>
      <c r="H306" s="121">
        <f>VLOOKUP($B306,Miljö!$B$1:$J$479,MATCH("Koldioxidekvivalenter energiomvandling (g/kwh)",Miljö!$B$1:$J$1,0),FALSE)</f>
        <v>0</v>
      </c>
      <c r="I306" s="121">
        <f>VLOOKUP($B306,Miljö!$B$1:$J$479,MATCH("Fossilandel för ursprungspecificerad el ()",Miljö!$B$1:$J$1,0),FALSE)</f>
        <v>0</v>
      </c>
      <c r="J306" s="121">
        <f>VLOOKUP($B306,Miljö!$B$1:$J$479,MATCH("Kärnkraftsandel för ursprungsspecificerad el ()",Miljö!$B$1:$J$1,0),FALSE)</f>
        <v>0</v>
      </c>
      <c r="L306" s="121">
        <f>VLOOKUP($B306,Totalt!$B$1:$BU$497,MATCH("total el",Totalt!$B$1:$BU$1,0),FALSE)</f>
        <v>7.3499999999999996E-2</v>
      </c>
      <c r="N306" s="271">
        <f t="shared" si="16"/>
        <v>8.0850000000000005E-2</v>
      </c>
      <c r="O306" s="271">
        <f t="shared" si="17"/>
        <v>0</v>
      </c>
      <c r="P306" s="271">
        <f t="shared" si="18"/>
        <v>0</v>
      </c>
      <c r="Q306" s="271">
        <f t="shared" si="19"/>
        <v>0</v>
      </c>
    </row>
    <row r="307" spans="1:17" x14ac:dyDescent="0.25">
      <c r="A307" s="137" t="s">
        <v>617</v>
      </c>
      <c r="B307" s="137" t="s">
        <v>135</v>
      </c>
      <c r="C307" s="121" t="str">
        <f>VLOOKUP($B307,Totalt!$B$1:$BU$497,MATCH("Kvalitetsgranskad:",Totalt!$B$1:$BU$1,0),FALSE)</f>
        <v>Ja</v>
      </c>
      <c r="E307" s="121" t="str">
        <f>VLOOKUP($B307,Miljö!$B$1:$AG$479,MATCH(E$1,Miljö!$B$1:$AK$1,0),FALSE)</f>
        <v>Nej</v>
      </c>
      <c r="F307" s="121" t="str">
        <f>VLOOKUP($B307,Miljö!$B$1:$J$479,MATCH("Typ av ursprungsspecificerad el   (Om inget värde anges används Nordisk residualmix, se inforuta) ()",Miljö!$B$1:$J$1,0),FALSE)</f>
        <v>-</v>
      </c>
      <c r="G307" s="121">
        <f>VLOOKUP($B307,Miljö!$B$1:$J$479,MATCH("Primärenergifaktor ()",Miljö!$B$1:$J$1,0),FALSE)</f>
        <v>2.2999999999999998</v>
      </c>
      <c r="H307" s="121">
        <f>VLOOKUP($B307,Miljö!$B$1:$J$479,MATCH("Koldioxidekvivalenter energiomvandling (g/kwh)",Miljö!$B$1:$J$1,0),FALSE)</f>
        <v>329.19</v>
      </c>
      <c r="I307" s="121">
        <f>VLOOKUP($B307,Miljö!$B$1:$J$479,MATCH("Fossilandel för ursprungspecificerad el ()",Miljö!$B$1:$J$1,0),FALSE)</f>
        <v>0.43</v>
      </c>
      <c r="J307" s="121">
        <f>VLOOKUP($B307,Miljö!$B$1:$J$479,MATCH("Kärnkraftsandel för ursprungsspecificerad el ()",Miljö!$B$1:$J$1,0),FALSE)</f>
        <v>0.40550000000000003</v>
      </c>
      <c r="L307" s="121">
        <f>VLOOKUP($B307,Totalt!$B$1:$BU$497,MATCH("total el",Totalt!$B$1:$BU$1,0),FALSE)</f>
        <v>0.37064999999999998</v>
      </c>
      <c r="N307" s="271">
        <f t="shared" si="16"/>
        <v>0.85249499999999989</v>
      </c>
      <c r="O307" s="271">
        <f t="shared" si="17"/>
        <v>122.01427349999999</v>
      </c>
      <c r="P307" s="271">
        <f t="shared" si="18"/>
        <v>0.15937949999999998</v>
      </c>
      <c r="Q307" s="271">
        <f t="shared" si="19"/>
        <v>0.15029857499999999</v>
      </c>
    </row>
    <row r="308" spans="1:17" x14ac:dyDescent="0.25">
      <c r="A308" s="137" t="s">
        <v>618</v>
      </c>
      <c r="B308" s="137" t="s">
        <v>619</v>
      </c>
      <c r="C308" s="121" t="str">
        <f>VLOOKUP($B308,Totalt!$B$1:$BU$497,MATCH("Kvalitetsgranskad:",Totalt!$B$1:$BU$1,0),FALSE)</f>
        <v>Ja</v>
      </c>
      <c r="E308" s="121" t="str">
        <f>VLOOKUP($B308,Miljö!$B$1:$AG$479,MATCH(E$1,Miljö!$B$1:$AK$1,0),FALSE)</f>
        <v>Ja</v>
      </c>
      <c r="F308" s="121" t="str">
        <f>VLOOKUP($B308,Miljö!$B$1:$J$479,MATCH("Typ av ursprungsspecificerad el   (Om inget värde anges används Nordisk residualmix, se inforuta) ()",Miljö!$B$1:$J$1,0),FALSE)</f>
        <v>'Vattenkraft'</v>
      </c>
      <c r="G308" s="121">
        <f>VLOOKUP($B308,Miljö!$B$1:$J$479,MATCH("Primärenergifaktor ()",Miljö!$B$1:$J$1,0),FALSE)</f>
        <v>1.1000000000000001</v>
      </c>
      <c r="H308" s="121">
        <f>VLOOKUP($B308,Miljö!$B$1:$J$479,MATCH("Koldioxidekvivalenter energiomvandling (g/kwh)",Miljö!$B$1:$J$1,0),FALSE)</f>
        <v>0</v>
      </c>
      <c r="I308" s="121">
        <f>VLOOKUP($B308,Miljö!$B$1:$J$479,MATCH("Fossilandel för ursprungspecificerad el ()",Miljö!$B$1:$J$1,0),FALSE)</f>
        <v>0</v>
      </c>
      <c r="J308" s="121">
        <f>VLOOKUP($B308,Miljö!$B$1:$J$479,MATCH("Kärnkraftsandel för ursprungsspecificerad el ()",Miljö!$B$1:$J$1,0),FALSE)</f>
        <v>0</v>
      </c>
      <c r="L308" s="121">
        <f>VLOOKUP($B308,Totalt!$B$1:$BU$497,MATCH("total el",Totalt!$B$1:$BU$1,0),FALSE)</f>
        <v>5.5</v>
      </c>
      <c r="N308" s="271">
        <f t="shared" si="16"/>
        <v>6.0500000000000007</v>
      </c>
      <c r="O308" s="271">
        <f t="shared" si="17"/>
        <v>0</v>
      </c>
      <c r="P308" s="271">
        <f t="shared" si="18"/>
        <v>0</v>
      </c>
      <c r="Q308" s="271">
        <f t="shared" si="19"/>
        <v>0</v>
      </c>
    </row>
    <row r="309" spans="1:17" x14ac:dyDescent="0.25">
      <c r="A309" s="137" t="s">
        <v>621</v>
      </c>
      <c r="B309" s="137" t="s">
        <v>622</v>
      </c>
      <c r="C309" s="121" t="str">
        <f>VLOOKUP($B309,Totalt!$B$1:$BU$497,MATCH("Kvalitetsgranskad:",Totalt!$B$1:$BU$1,0),FALSE)</f>
        <v>Nej</v>
      </c>
      <c r="E309" s="121" t="str">
        <f>VLOOKUP($B309,Miljö!$B$1:$AG$479,MATCH(E$1,Miljö!$B$1:$AK$1,0),FALSE)</f>
        <v>Ja</v>
      </c>
      <c r="F309" s="121" t="str">
        <f>VLOOKUP($B309,Miljö!$B$1:$J$479,MATCH("Typ av ursprungsspecificerad el   (Om inget värde anges används Nordisk residualmix, se inforuta) ()",Miljö!$B$1:$J$1,0),FALSE)</f>
        <v>-</v>
      </c>
      <c r="G309" s="121" t="str">
        <f>VLOOKUP($B309,Miljö!$B$1:$J$479,MATCH("Primärenergifaktor ()",Miljö!$B$1:$J$1,0),FALSE)</f>
        <v>-</v>
      </c>
      <c r="H309" s="121">
        <f>VLOOKUP($B309,Miljö!$B$1:$J$479,MATCH("Koldioxidekvivalenter energiomvandling (g/kwh)",Miljö!$B$1:$J$1,0),FALSE)</f>
        <v>0</v>
      </c>
      <c r="I309" s="121">
        <f>VLOOKUP($B309,Miljö!$B$1:$J$479,MATCH("Fossilandel för ursprungspecificerad el ()",Miljö!$B$1:$J$1,0),FALSE)</f>
        <v>0</v>
      </c>
      <c r="J309" s="121">
        <f>VLOOKUP($B309,Miljö!$B$1:$J$479,MATCH("Kärnkraftsandel för ursprungsspecificerad el ()",Miljö!$B$1:$J$1,0),FALSE)</f>
        <v>0</v>
      </c>
      <c r="L309" s="121">
        <f>VLOOKUP($B309,Totalt!$B$1:$BU$497,MATCH("total el",Totalt!$B$1:$BU$1,0),FALSE)</f>
        <v>0</v>
      </c>
      <c r="N309" s="271" t="str">
        <f t="shared" si="16"/>
        <v/>
      </c>
      <c r="O309" s="271">
        <f t="shared" si="17"/>
        <v>0</v>
      </c>
      <c r="P309" s="271">
        <f t="shared" si="18"/>
        <v>0</v>
      </c>
      <c r="Q309" s="271">
        <f t="shared" si="19"/>
        <v>0</v>
      </c>
    </row>
    <row r="310" spans="1:17" x14ac:dyDescent="0.25">
      <c r="A310" s="137" t="s">
        <v>623</v>
      </c>
      <c r="B310" s="137" t="s">
        <v>624</v>
      </c>
      <c r="C310" s="121" t="str">
        <f>VLOOKUP($B310,Totalt!$B$1:$BU$497,MATCH("Kvalitetsgranskad:",Totalt!$B$1:$BU$1,0),FALSE)</f>
        <v>Ja</v>
      </c>
      <c r="E310" s="121" t="str">
        <f>VLOOKUP($B310,Miljö!$B$1:$AG$479,MATCH(E$1,Miljö!$B$1:$AK$1,0),FALSE)</f>
        <v>Ja</v>
      </c>
      <c r="F310" s="121" t="str">
        <f>VLOOKUP($B310,Miljö!$B$1:$J$479,MATCH("Typ av ursprungsspecificerad el   (Om inget värde anges används Nordisk residualmix, se inforuta) ()",Miljö!$B$1:$J$1,0),FALSE)</f>
        <v>'''El producerad i eget biokraftvärmeverk'''</v>
      </c>
      <c r="G310" s="121">
        <f>VLOOKUP($B310,Miljö!$B$1:$J$479,MATCH("Primärenergifaktor ()",Miljö!$B$1:$J$1,0),FALSE)</f>
        <v>0.03</v>
      </c>
      <c r="H310" s="121">
        <f>VLOOKUP($B310,Miljö!$B$1:$J$479,MATCH("Koldioxidekvivalenter energiomvandling (g/kwh)",Miljö!$B$1:$J$1,0),FALSE)</f>
        <v>0</v>
      </c>
      <c r="I310" s="121">
        <f>VLOOKUP($B310,Miljö!$B$1:$J$479,MATCH("Fossilandel för ursprungspecificerad el ()",Miljö!$B$1:$J$1,0),FALSE)</f>
        <v>0</v>
      </c>
      <c r="J310" s="121">
        <f>VLOOKUP($B310,Miljö!$B$1:$J$479,MATCH("Kärnkraftsandel för ursprungsspecificerad el ()",Miljö!$B$1:$J$1,0),FALSE)</f>
        <v>0</v>
      </c>
      <c r="L310" s="121">
        <f>VLOOKUP($B310,Totalt!$B$1:$BU$497,MATCH("total el",Totalt!$B$1:$BU$1,0),FALSE)</f>
        <v>6.7520499999999997</v>
      </c>
      <c r="N310" s="271">
        <f t="shared" si="16"/>
        <v>0.20256149999999998</v>
      </c>
      <c r="O310" s="271">
        <f t="shared" si="17"/>
        <v>0</v>
      </c>
      <c r="P310" s="271">
        <f t="shared" si="18"/>
        <v>0</v>
      </c>
      <c r="Q310" s="271">
        <f t="shared" si="19"/>
        <v>0</v>
      </c>
    </row>
    <row r="311" spans="1:17" x14ac:dyDescent="0.25">
      <c r="A311" s="137" t="s">
        <v>625</v>
      </c>
      <c r="B311" s="137" t="s">
        <v>626</v>
      </c>
      <c r="C311" s="121" t="str">
        <f>VLOOKUP($B311,Totalt!$B$1:$BU$497,MATCH("Kvalitetsgranskad:",Totalt!$B$1:$BU$1,0),FALSE)</f>
        <v>Ja</v>
      </c>
      <c r="E311" s="121" t="str">
        <f>VLOOKUP($B311,Miljö!$B$1:$AG$479,MATCH(E$1,Miljö!$B$1:$AK$1,0),FALSE)</f>
        <v>Nej</v>
      </c>
      <c r="F311" s="121" t="str">
        <f>VLOOKUP($B311,Miljö!$B$1:$J$479,MATCH("Typ av ursprungsspecificerad el   (Om inget värde anges används Nordisk residualmix, se inforuta) ()",Miljö!$B$1:$J$1,0),FALSE)</f>
        <v>'Residualmix'</v>
      </c>
      <c r="G311" s="121">
        <f>VLOOKUP($B311,Miljö!$B$1:$J$479,MATCH("Primärenergifaktor ()",Miljö!$B$1:$J$1,0),FALSE)</f>
        <v>2.2999999999999998</v>
      </c>
      <c r="H311" s="121">
        <f>VLOOKUP($B311,Miljö!$B$1:$J$479,MATCH("Koldioxidekvivalenter energiomvandling (g/kwh)",Miljö!$B$1:$J$1,0),FALSE)</f>
        <v>329.19</v>
      </c>
      <c r="I311" s="121">
        <f>VLOOKUP($B311,Miljö!$B$1:$J$479,MATCH("Fossilandel för ursprungspecificerad el ()",Miljö!$B$1:$J$1,0),FALSE)</f>
        <v>0.43</v>
      </c>
      <c r="J311" s="121">
        <f>VLOOKUP($B311,Miljö!$B$1:$J$479,MATCH("Kärnkraftsandel för ursprungsspecificerad el ()",Miljö!$B$1:$J$1,0),FALSE)</f>
        <v>0.40550000000000003</v>
      </c>
      <c r="L311" s="121">
        <f>VLOOKUP($B311,Totalt!$B$1:$BU$497,MATCH("total el",Totalt!$B$1:$BU$1,0),FALSE)</f>
        <v>9.887E-2</v>
      </c>
      <c r="N311" s="271">
        <f t="shared" si="16"/>
        <v>0.22740099999999999</v>
      </c>
      <c r="O311" s="271">
        <f t="shared" si="17"/>
        <v>32.547015299999998</v>
      </c>
      <c r="P311" s="271">
        <f t="shared" si="18"/>
        <v>4.2514099999999999E-2</v>
      </c>
      <c r="Q311" s="271">
        <f t="shared" si="19"/>
        <v>4.0091785000000005E-2</v>
      </c>
    </row>
    <row r="312" spans="1:17" x14ac:dyDescent="0.25">
      <c r="A312" s="137" t="s">
        <v>625</v>
      </c>
      <c r="B312" s="137" t="s">
        <v>627</v>
      </c>
      <c r="C312" s="121" t="str">
        <f>VLOOKUP($B312,Totalt!$B$1:$BU$497,MATCH("Kvalitetsgranskad:",Totalt!$B$1:$BU$1,0),FALSE)</f>
        <v>Ja</v>
      </c>
      <c r="E312" s="121" t="str">
        <f>VLOOKUP($B312,Miljö!$B$1:$AG$479,MATCH(E$1,Miljö!$B$1:$AK$1,0),FALSE)</f>
        <v>Nej</v>
      </c>
      <c r="F312" s="121" t="str">
        <f>VLOOKUP($B312,Miljö!$B$1:$J$479,MATCH("Typ av ursprungsspecificerad el   (Om inget värde anges används Nordisk residualmix, se inforuta) ()",Miljö!$B$1:$J$1,0),FALSE)</f>
        <v>'Residualmix'</v>
      </c>
      <c r="G312" s="121">
        <f>VLOOKUP($B312,Miljö!$B$1:$J$479,MATCH("Primärenergifaktor ()",Miljö!$B$1:$J$1,0),FALSE)</f>
        <v>2.2999999999999998</v>
      </c>
      <c r="H312" s="121">
        <f>VLOOKUP($B312,Miljö!$B$1:$J$479,MATCH("Koldioxidekvivalenter energiomvandling (g/kwh)",Miljö!$B$1:$J$1,0),FALSE)</f>
        <v>329.19</v>
      </c>
      <c r="I312" s="121">
        <f>VLOOKUP($B312,Miljö!$B$1:$J$479,MATCH("Fossilandel för ursprungspecificerad el ()",Miljö!$B$1:$J$1,0),FALSE)</f>
        <v>0.43</v>
      </c>
      <c r="J312" s="121">
        <f>VLOOKUP($B312,Miljö!$B$1:$J$479,MATCH("Kärnkraftsandel för ursprungsspecificerad el ()",Miljö!$B$1:$J$1,0),FALSE)</f>
        <v>0.40550000000000003</v>
      </c>
      <c r="L312" s="121">
        <f>VLOOKUP($B312,Totalt!$B$1:$BU$497,MATCH("total el",Totalt!$B$1:$BU$1,0),FALSE)</f>
        <v>0.14000000000000001</v>
      </c>
      <c r="N312" s="271">
        <f t="shared" si="16"/>
        <v>0.32200000000000001</v>
      </c>
      <c r="O312" s="271">
        <f t="shared" si="17"/>
        <v>46.086600000000004</v>
      </c>
      <c r="P312" s="271">
        <f t="shared" si="18"/>
        <v>6.0200000000000004E-2</v>
      </c>
      <c r="Q312" s="271">
        <f t="shared" si="19"/>
        <v>5.6770000000000008E-2</v>
      </c>
    </row>
    <row r="313" spans="1:17" x14ac:dyDescent="0.25">
      <c r="A313" s="137" t="s">
        <v>625</v>
      </c>
      <c r="B313" s="137" t="s">
        <v>628</v>
      </c>
      <c r="C313" s="121" t="str">
        <f>VLOOKUP($B313,Totalt!$B$1:$BU$497,MATCH("Kvalitetsgranskad:",Totalt!$B$1:$BU$1,0),FALSE)</f>
        <v>Ja</v>
      </c>
      <c r="E313" s="121" t="str">
        <f>VLOOKUP($B313,Miljö!$B$1:$AG$479,MATCH(E$1,Miljö!$B$1:$AK$1,0),FALSE)</f>
        <v>Nej</v>
      </c>
      <c r="F313" s="121" t="str">
        <f>VLOOKUP($B313,Miljö!$B$1:$J$479,MATCH("Typ av ursprungsspecificerad el   (Om inget värde anges används Nordisk residualmix, se inforuta) ()",Miljö!$B$1:$J$1,0),FALSE)</f>
        <v>'Residualmix'</v>
      </c>
      <c r="G313" s="121">
        <f>VLOOKUP($B313,Miljö!$B$1:$J$479,MATCH("Primärenergifaktor ()",Miljö!$B$1:$J$1,0),FALSE)</f>
        <v>2.2999999999999998</v>
      </c>
      <c r="H313" s="121">
        <f>VLOOKUP($B313,Miljö!$B$1:$J$479,MATCH("Koldioxidekvivalenter energiomvandling (g/kwh)",Miljö!$B$1:$J$1,0),FALSE)</f>
        <v>329.19</v>
      </c>
      <c r="I313" s="121">
        <f>VLOOKUP($B313,Miljö!$B$1:$J$479,MATCH("Fossilandel för ursprungspecificerad el ()",Miljö!$B$1:$J$1,0),FALSE)</f>
        <v>0.43</v>
      </c>
      <c r="J313" s="121">
        <f>VLOOKUP($B313,Miljö!$B$1:$J$479,MATCH("Kärnkraftsandel för ursprungsspecificerad el ()",Miljö!$B$1:$J$1,0),FALSE)</f>
        <v>0.40550000000000003</v>
      </c>
      <c r="L313" s="121">
        <f>VLOOKUP($B313,Totalt!$B$1:$BU$497,MATCH("total el",Totalt!$B$1:$BU$1,0),FALSE)</f>
        <v>11.280799999999999</v>
      </c>
      <c r="N313" s="271">
        <f t="shared" si="16"/>
        <v>25.945839999999997</v>
      </c>
      <c r="O313" s="271">
        <f t="shared" si="17"/>
        <v>3713.5265519999998</v>
      </c>
      <c r="P313" s="271">
        <f t="shared" si="18"/>
        <v>4.8507439999999997</v>
      </c>
      <c r="Q313" s="271">
        <f t="shared" si="19"/>
        <v>4.5743644000000003</v>
      </c>
    </row>
    <row r="314" spans="1:17" x14ac:dyDescent="0.25">
      <c r="A314" s="137" t="s">
        <v>629</v>
      </c>
      <c r="B314" s="137" t="s">
        <v>630</v>
      </c>
      <c r="C314" s="121" t="str">
        <f>VLOOKUP($B314,Totalt!$B$1:$BU$497,MATCH("Kvalitetsgranskad:",Totalt!$B$1:$BU$1,0),FALSE)</f>
        <v>Ja</v>
      </c>
      <c r="E314" s="121" t="str">
        <f>VLOOKUP($B314,Miljö!$B$1:$AG$479,MATCH(E$1,Miljö!$B$1:$AK$1,0),FALSE)</f>
        <v>Nej</v>
      </c>
      <c r="F314" s="121" t="str">
        <f>VLOOKUP($B314,Miljö!$B$1:$J$479,MATCH("Typ av ursprungsspecificerad el   (Om inget värde anges används Nordisk residualmix, se inforuta) ()",Miljö!$B$1:$J$1,0),FALSE)</f>
        <v>-</v>
      </c>
      <c r="G314" s="121">
        <f>VLOOKUP($B314,Miljö!$B$1:$J$479,MATCH("Primärenergifaktor ()",Miljö!$B$1:$J$1,0),FALSE)</f>
        <v>2.2999999999999998</v>
      </c>
      <c r="H314" s="121">
        <f>VLOOKUP($B314,Miljö!$B$1:$J$479,MATCH("Koldioxidekvivalenter energiomvandling (g/kwh)",Miljö!$B$1:$J$1,0),FALSE)</f>
        <v>329.19</v>
      </c>
      <c r="I314" s="121">
        <f>VLOOKUP($B314,Miljö!$B$1:$J$479,MATCH("Fossilandel för ursprungspecificerad el ()",Miljö!$B$1:$J$1,0),FALSE)</f>
        <v>0.43</v>
      </c>
      <c r="J314" s="121">
        <f>VLOOKUP($B314,Miljö!$B$1:$J$479,MATCH("Kärnkraftsandel för ursprungsspecificerad el ()",Miljö!$B$1:$J$1,0),FALSE)</f>
        <v>0.40550000000000003</v>
      </c>
      <c r="L314" s="121">
        <f>VLOOKUP($B314,Totalt!$B$1:$BU$497,MATCH("total el",Totalt!$B$1:$BU$1,0),FALSE)</f>
        <v>3.4269000000000001E-2</v>
      </c>
      <c r="N314" s="271">
        <f t="shared" si="16"/>
        <v>7.8818699999999992E-2</v>
      </c>
      <c r="O314" s="271">
        <f t="shared" si="17"/>
        <v>11.281012110000001</v>
      </c>
      <c r="P314" s="271">
        <f t="shared" si="18"/>
        <v>1.4735669999999999E-2</v>
      </c>
      <c r="Q314" s="271">
        <f t="shared" si="19"/>
        <v>1.3896079500000002E-2</v>
      </c>
    </row>
    <row r="315" spans="1:17" x14ac:dyDescent="0.25">
      <c r="A315" s="137" t="s">
        <v>629</v>
      </c>
      <c r="B315" s="137" t="s">
        <v>631</v>
      </c>
      <c r="C315" s="121" t="str">
        <f>VLOOKUP($B315,Totalt!$B$1:$BU$497,MATCH("Kvalitetsgranskad:",Totalt!$B$1:$BU$1,0),FALSE)</f>
        <v>Ja</v>
      </c>
      <c r="E315" s="121" t="str">
        <f>VLOOKUP($B315,Miljö!$B$1:$AG$479,MATCH(E$1,Miljö!$B$1:$AK$1,0),FALSE)</f>
        <v>Nej</v>
      </c>
      <c r="F315" s="121" t="str">
        <f>VLOOKUP($B315,Miljö!$B$1:$J$479,MATCH("Typ av ursprungsspecificerad el   (Om inget värde anges används Nordisk residualmix, se inforuta) ()",Miljö!$B$1:$J$1,0),FALSE)</f>
        <v>-</v>
      </c>
      <c r="G315" s="121">
        <f>VLOOKUP($B315,Miljö!$B$1:$J$479,MATCH("Primärenergifaktor ()",Miljö!$B$1:$J$1,0),FALSE)</f>
        <v>2.2999999999999998</v>
      </c>
      <c r="H315" s="121">
        <f>VLOOKUP($B315,Miljö!$B$1:$J$479,MATCH("Koldioxidekvivalenter energiomvandling (g/kwh)",Miljö!$B$1:$J$1,0),FALSE)</f>
        <v>329.19</v>
      </c>
      <c r="I315" s="121">
        <f>VLOOKUP($B315,Miljö!$B$1:$J$479,MATCH("Fossilandel för ursprungspecificerad el ()",Miljö!$B$1:$J$1,0),FALSE)</f>
        <v>0.43</v>
      </c>
      <c r="J315" s="121">
        <f>VLOOKUP($B315,Miljö!$B$1:$J$479,MATCH("Kärnkraftsandel för ursprungsspecificerad el ()",Miljö!$B$1:$J$1,0),FALSE)</f>
        <v>0.40550000000000003</v>
      </c>
      <c r="L315" s="121">
        <f>VLOOKUP($B315,Totalt!$B$1:$BU$497,MATCH("total el",Totalt!$B$1:$BU$1,0),FALSE)</f>
        <v>1.2913000000000001E-2</v>
      </c>
      <c r="N315" s="271">
        <f t="shared" si="16"/>
        <v>2.9699900000000001E-2</v>
      </c>
      <c r="O315" s="271">
        <f t="shared" si="17"/>
        <v>4.2508304700000004</v>
      </c>
      <c r="P315" s="271">
        <f t="shared" si="18"/>
        <v>5.5525900000000005E-3</v>
      </c>
      <c r="Q315" s="271">
        <f t="shared" si="19"/>
        <v>5.2362215000000007E-3</v>
      </c>
    </row>
    <row r="316" spans="1:17" x14ac:dyDescent="0.25">
      <c r="A316" s="137" t="s">
        <v>629</v>
      </c>
      <c r="B316" s="137" t="s">
        <v>632</v>
      </c>
      <c r="C316" s="121" t="str">
        <f>VLOOKUP($B316,Totalt!$B$1:$BU$497,MATCH("Kvalitetsgranskad:",Totalt!$B$1:$BU$1,0),FALSE)</f>
        <v>Ja</v>
      </c>
      <c r="E316" s="121" t="str">
        <f>VLOOKUP($B316,Miljö!$B$1:$AG$479,MATCH(E$1,Miljö!$B$1:$AK$1,0),FALSE)</f>
        <v>Nej</v>
      </c>
      <c r="F316" s="121" t="str">
        <f>VLOOKUP($B316,Miljö!$B$1:$J$479,MATCH("Typ av ursprungsspecificerad el   (Om inget värde anges används Nordisk residualmix, se inforuta) ()",Miljö!$B$1:$J$1,0),FALSE)</f>
        <v>-</v>
      </c>
      <c r="G316" s="121">
        <f>VLOOKUP($B316,Miljö!$B$1:$J$479,MATCH("Primärenergifaktor ()",Miljö!$B$1:$J$1,0),FALSE)</f>
        <v>2.2999999999999998</v>
      </c>
      <c r="H316" s="121">
        <f>VLOOKUP($B316,Miljö!$B$1:$J$479,MATCH("Koldioxidekvivalenter energiomvandling (g/kwh)",Miljö!$B$1:$J$1,0),FALSE)</f>
        <v>329.19</v>
      </c>
      <c r="I316" s="121">
        <f>VLOOKUP($B316,Miljö!$B$1:$J$479,MATCH("Fossilandel för ursprungspecificerad el ()",Miljö!$B$1:$J$1,0),FALSE)</f>
        <v>0.43</v>
      </c>
      <c r="J316" s="121">
        <f>VLOOKUP($B316,Miljö!$B$1:$J$479,MATCH("Kärnkraftsandel för ursprungsspecificerad el ()",Miljö!$B$1:$J$1,0),FALSE)</f>
        <v>0.40550000000000003</v>
      </c>
      <c r="L316" s="121">
        <f>VLOOKUP($B316,Totalt!$B$1:$BU$497,MATCH("total el",Totalt!$B$1:$BU$1,0),FALSE)</f>
        <v>0.57499999999999996</v>
      </c>
      <c r="N316" s="271">
        <f t="shared" si="16"/>
        <v>1.3224999999999998</v>
      </c>
      <c r="O316" s="271">
        <f t="shared" si="17"/>
        <v>189.28424999999999</v>
      </c>
      <c r="P316" s="271">
        <f t="shared" si="18"/>
        <v>0.24724999999999997</v>
      </c>
      <c r="Q316" s="271">
        <f t="shared" si="19"/>
        <v>0.23316249999999999</v>
      </c>
    </row>
    <row r="317" spans="1:17" x14ac:dyDescent="0.25">
      <c r="A317" s="137" t="s">
        <v>633</v>
      </c>
      <c r="B317" s="137" t="s">
        <v>634</v>
      </c>
      <c r="C317" s="121" t="str">
        <f>VLOOKUP($B317,Totalt!$B$1:$BU$497,MATCH("Kvalitetsgranskad:",Totalt!$B$1:$BU$1,0),FALSE)</f>
        <v>Ja</v>
      </c>
      <c r="E317" s="121" t="str">
        <f>VLOOKUP($B317,Miljö!$B$1:$AG$479,MATCH(E$1,Miljö!$B$1:$AK$1,0),FALSE)</f>
        <v>Ja</v>
      </c>
      <c r="F317" s="121" t="str">
        <f>VLOOKUP($B317,Miljö!$B$1:$J$479,MATCH("Typ av ursprungsspecificerad el   (Om inget värde anges används Nordisk residualmix, se inforuta) ()",Miljö!$B$1:$J$1,0),FALSE)</f>
        <v>'sol. vind. vatten. bio'</v>
      </c>
      <c r="G317" s="121">
        <f>VLOOKUP($B317,Miljö!$B$1:$J$479,MATCH("Primärenergifaktor ()",Miljö!$B$1:$J$1,0),FALSE)</f>
        <v>1.1599999999999999</v>
      </c>
      <c r="H317" s="121">
        <f>VLOOKUP($B317,Miljö!$B$1:$J$479,MATCH("Koldioxidekvivalenter energiomvandling (g/kwh)",Miljö!$B$1:$J$1,0),FALSE)</f>
        <v>31.87</v>
      </c>
      <c r="I317" s="121">
        <f>VLOOKUP($B317,Miljö!$B$1:$J$479,MATCH("Fossilandel för ursprungspecificerad el ()",Miljö!$B$1:$J$1,0),FALSE)</f>
        <v>0</v>
      </c>
      <c r="J317" s="121">
        <f>VLOOKUP($B317,Miljö!$B$1:$J$479,MATCH("Kärnkraftsandel för ursprungsspecificerad el ()",Miljö!$B$1:$J$1,0),FALSE)</f>
        <v>0</v>
      </c>
      <c r="L317" s="121">
        <f>VLOOKUP($B317,Totalt!$B$1:$BU$497,MATCH("total el",Totalt!$B$1:$BU$1,0),FALSE)</f>
        <v>0.16600000000000001</v>
      </c>
      <c r="N317" s="271">
        <f t="shared" si="16"/>
        <v>0.19256000000000001</v>
      </c>
      <c r="O317" s="271">
        <f t="shared" si="17"/>
        <v>5.2904200000000001</v>
      </c>
      <c r="P317" s="271">
        <f t="shared" si="18"/>
        <v>0</v>
      </c>
      <c r="Q317" s="271">
        <f t="shared" si="19"/>
        <v>0</v>
      </c>
    </row>
    <row r="318" spans="1:17" x14ac:dyDescent="0.25">
      <c r="A318" s="137" t="s">
        <v>633</v>
      </c>
      <c r="B318" s="137" t="s">
        <v>635</v>
      </c>
      <c r="C318" s="121" t="str">
        <f>VLOOKUP($B318,Totalt!$B$1:$BU$497,MATCH("Kvalitetsgranskad:",Totalt!$B$1:$BU$1,0),FALSE)</f>
        <v>Ja</v>
      </c>
      <c r="E318" s="121" t="str">
        <f>VLOOKUP($B318,Miljö!$B$1:$AG$479,MATCH(E$1,Miljö!$B$1:$AK$1,0),FALSE)</f>
        <v>Ja</v>
      </c>
      <c r="F318" s="121" t="str">
        <f>VLOOKUP($B318,Miljö!$B$1:$J$479,MATCH("Typ av ursprungsspecificerad el   (Om inget värde anges används Nordisk residualmix, se inforuta) ()",Miljö!$B$1:$J$1,0),FALSE)</f>
        <v>'sol. vind. vatten. bio'</v>
      </c>
      <c r="G318" s="121">
        <f>VLOOKUP($B318,Miljö!$B$1:$J$479,MATCH("Primärenergifaktor ()",Miljö!$B$1:$J$1,0),FALSE)</f>
        <v>1.1599999999999999</v>
      </c>
      <c r="H318" s="121">
        <f>VLOOKUP($B318,Miljö!$B$1:$J$479,MATCH("Koldioxidekvivalenter energiomvandling (g/kwh)",Miljö!$B$1:$J$1,0),FALSE)</f>
        <v>31.87</v>
      </c>
      <c r="I318" s="121">
        <f>VLOOKUP($B318,Miljö!$B$1:$J$479,MATCH("Fossilandel för ursprungspecificerad el ()",Miljö!$B$1:$J$1,0),FALSE)</f>
        <v>0</v>
      </c>
      <c r="J318" s="121">
        <f>VLOOKUP($B318,Miljö!$B$1:$J$479,MATCH("Kärnkraftsandel för ursprungsspecificerad el ()",Miljö!$B$1:$J$1,0),FALSE)</f>
        <v>0</v>
      </c>
      <c r="L318" s="121">
        <f>VLOOKUP($B318,Totalt!$B$1:$BU$497,MATCH("total el",Totalt!$B$1:$BU$1,0),FALSE)</f>
        <v>0.29699999999999999</v>
      </c>
      <c r="N318" s="271">
        <f t="shared" si="16"/>
        <v>0.34451999999999994</v>
      </c>
      <c r="O318" s="271">
        <f t="shared" si="17"/>
        <v>9.4653899999999993</v>
      </c>
      <c r="P318" s="271">
        <f t="shared" si="18"/>
        <v>0</v>
      </c>
      <c r="Q318" s="271">
        <f t="shared" si="19"/>
        <v>0</v>
      </c>
    </row>
    <row r="319" spans="1:17" x14ac:dyDescent="0.25">
      <c r="A319" s="137" t="s">
        <v>633</v>
      </c>
      <c r="B319" s="137" t="s">
        <v>636</v>
      </c>
      <c r="C319" s="121" t="str">
        <f>VLOOKUP($B319,Totalt!$B$1:$BU$497,MATCH("Kvalitetsgranskad:",Totalt!$B$1:$BU$1,0),FALSE)</f>
        <v>Ja</v>
      </c>
      <c r="E319" s="121" t="str">
        <f>VLOOKUP($B319,Miljö!$B$1:$AG$479,MATCH(E$1,Miljö!$B$1:$AK$1,0),FALSE)</f>
        <v>Ja</v>
      </c>
      <c r="F319" s="121" t="str">
        <f>VLOOKUP($B319,Miljö!$B$1:$J$479,MATCH("Typ av ursprungsspecificerad el   (Om inget värde anges används Nordisk residualmix, se inforuta) ()",Miljö!$B$1:$J$1,0),FALSE)</f>
        <v>'sol. vind. vatten. bio'</v>
      </c>
      <c r="G319" s="121">
        <f>VLOOKUP($B319,Miljö!$B$1:$J$479,MATCH("Primärenergifaktor ()",Miljö!$B$1:$J$1,0),FALSE)</f>
        <v>1.1599999999999999</v>
      </c>
      <c r="H319" s="121">
        <f>VLOOKUP($B319,Miljö!$B$1:$J$479,MATCH("Koldioxidekvivalenter energiomvandling (g/kwh)",Miljö!$B$1:$J$1,0),FALSE)</f>
        <v>31.87</v>
      </c>
      <c r="I319" s="121">
        <f>VLOOKUP($B319,Miljö!$B$1:$J$479,MATCH("Fossilandel för ursprungspecificerad el ()",Miljö!$B$1:$J$1,0),FALSE)</f>
        <v>0</v>
      </c>
      <c r="J319" s="121">
        <f>VLOOKUP($B319,Miljö!$B$1:$J$479,MATCH("Kärnkraftsandel för ursprungsspecificerad el ()",Miljö!$B$1:$J$1,0),FALSE)</f>
        <v>0</v>
      </c>
      <c r="L319" s="121">
        <f>VLOOKUP($B319,Totalt!$B$1:$BU$497,MATCH("total el",Totalt!$B$1:$BU$1,0),FALSE)</f>
        <v>3.4000000000000002E-2</v>
      </c>
      <c r="N319" s="271">
        <f t="shared" si="16"/>
        <v>3.9440000000000003E-2</v>
      </c>
      <c r="O319" s="271">
        <f t="shared" si="17"/>
        <v>1.0835800000000002</v>
      </c>
      <c r="P319" s="271">
        <f t="shared" si="18"/>
        <v>0</v>
      </c>
      <c r="Q319" s="271">
        <f t="shared" si="19"/>
        <v>0</v>
      </c>
    </row>
    <row r="320" spans="1:17" x14ac:dyDescent="0.25">
      <c r="A320" s="137" t="s">
        <v>633</v>
      </c>
      <c r="B320" s="137" t="s">
        <v>637</v>
      </c>
      <c r="C320" s="121" t="str">
        <f>VLOOKUP($B320,Totalt!$B$1:$BU$497,MATCH("Kvalitetsgranskad:",Totalt!$B$1:$BU$1,0),FALSE)</f>
        <v>Ja</v>
      </c>
      <c r="E320" s="121" t="str">
        <f>VLOOKUP($B320,Miljö!$B$1:$AG$479,MATCH(E$1,Miljö!$B$1:$AK$1,0),FALSE)</f>
        <v>Ja</v>
      </c>
      <c r="F320" s="121" t="str">
        <f>VLOOKUP($B320,Miljö!$B$1:$J$479,MATCH("Typ av ursprungsspecificerad el   (Om inget värde anges används Nordisk residualmix, se inforuta) ()",Miljö!$B$1:$J$1,0),FALSE)</f>
        <v>'sol. vind. vatten. bio'</v>
      </c>
      <c r="G320" s="121">
        <f>VLOOKUP($B320,Miljö!$B$1:$J$479,MATCH("Primärenergifaktor ()",Miljö!$B$1:$J$1,0),FALSE)</f>
        <v>1.1599999999999999</v>
      </c>
      <c r="H320" s="121">
        <f>VLOOKUP($B320,Miljö!$B$1:$J$479,MATCH("Koldioxidekvivalenter energiomvandling (g/kwh)",Miljö!$B$1:$J$1,0),FALSE)</f>
        <v>31.87</v>
      </c>
      <c r="I320" s="121">
        <f>VLOOKUP($B320,Miljö!$B$1:$J$479,MATCH("Fossilandel för ursprungspecificerad el ()",Miljö!$B$1:$J$1,0),FALSE)</f>
        <v>0</v>
      </c>
      <c r="J320" s="121">
        <f>VLOOKUP($B320,Miljö!$B$1:$J$479,MATCH("Kärnkraftsandel för ursprungsspecificerad el ()",Miljö!$B$1:$J$1,0),FALSE)</f>
        <v>0</v>
      </c>
      <c r="L320" s="121">
        <f>VLOOKUP($B320,Totalt!$B$1:$BU$497,MATCH("total el",Totalt!$B$1:$BU$1,0),FALSE)</f>
        <v>59.412700000000001</v>
      </c>
      <c r="N320" s="271">
        <f t="shared" si="16"/>
        <v>68.918731999999991</v>
      </c>
      <c r="O320" s="271">
        <f t="shared" si="17"/>
        <v>1893.482749</v>
      </c>
      <c r="P320" s="271">
        <f t="shared" si="18"/>
        <v>0</v>
      </c>
      <c r="Q320" s="271">
        <f t="shared" si="19"/>
        <v>0</v>
      </c>
    </row>
    <row r="321" spans="1:17" x14ac:dyDescent="0.25">
      <c r="A321" s="137" t="s">
        <v>638</v>
      </c>
      <c r="B321" s="137" t="s">
        <v>639</v>
      </c>
      <c r="C321" s="121" t="str">
        <f>VLOOKUP($B321,Totalt!$B$1:$BU$497,MATCH("Kvalitetsgranskad:",Totalt!$B$1:$BU$1,0),FALSE)</f>
        <v>Ja</v>
      </c>
      <c r="E321" s="121" t="str">
        <f>VLOOKUP($B321,Miljö!$B$1:$AG$479,MATCH(E$1,Miljö!$B$1:$AK$1,0),FALSE)</f>
        <v>Ja</v>
      </c>
      <c r="F321" s="121" t="str">
        <f>VLOOKUP($B321,Miljö!$B$1:$J$479,MATCH("Typ av ursprungsspecificerad el   (Om inget värde anges används Nordisk residualmix, se inforuta) ()",Miljö!$B$1:$J$1,0),FALSE)</f>
        <v>'vatten'</v>
      </c>
      <c r="G321" s="121">
        <f>VLOOKUP($B321,Miljö!$B$1:$J$479,MATCH("Primärenergifaktor ()",Miljö!$B$1:$J$1,0),FALSE)</f>
        <v>1.1000000000000001</v>
      </c>
      <c r="H321" s="121">
        <f>VLOOKUP($B321,Miljö!$B$1:$J$479,MATCH("Koldioxidekvivalenter energiomvandling (g/kwh)",Miljö!$B$1:$J$1,0),FALSE)</f>
        <v>0</v>
      </c>
      <c r="I321" s="121">
        <f>VLOOKUP($B321,Miljö!$B$1:$J$479,MATCH("Fossilandel för ursprungspecificerad el ()",Miljö!$B$1:$J$1,0),FALSE)</f>
        <v>0</v>
      </c>
      <c r="J321" s="121">
        <f>VLOOKUP($B321,Miljö!$B$1:$J$479,MATCH("Kärnkraftsandel för ursprungsspecificerad el ()",Miljö!$B$1:$J$1,0),FALSE)</f>
        <v>0</v>
      </c>
      <c r="L321" s="121">
        <f>VLOOKUP($B321,Totalt!$B$1:$BU$497,MATCH("total el",Totalt!$B$1:$BU$1,0),FALSE)</f>
        <v>0.56699999999999995</v>
      </c>
      <c r="N321" s="271">
        <f t="shared" si="16"/>
        <v>0.62370000000000003</v>
      </c>
      <c r="O321" s="271">
        <f t="shared" si="17"/>
        <v>0</v>
      </c>
      <c r="P321" s="271">
        <f t="shared" si="18"/>
        <v>0</v>
      </c>
      <c r="Q321" s="271">
        <f t="shared" si="19"/>
        <v>0</v>
      </c>
    </row>
    <row r="322" spans="1:17" x14ac:dyDescent="0.25">
      <c r="A322" s="137" t="s">
        <v>638</v>
      </c>
      <c r="B322" s="137" t="s">
        <v>641</v>
      </c>
      <c r="C322" s="121" t="str">
        <f>VLOOKUP($B322,Totalt!$B$1:$BU$497,MATCH("Kvalitetsgranskad:",Totalt!$B$1:$BU$1,0),FALSE)</f>
        <v>Ja</v>
      </c>
      <c r="E322" s="121" t="str">
        <f>VLOOKUP($B322,Miljö!$B$1:$AG$479,MATCH(E$1,Miljö!$B$1:$AK$1,0),FALSE)</f>
        <v>Ja</v>
      </c>
      <c r="F322" s="121" t="str">
        <f>VLOOKUP($B322,Miljö!$B$1:$J$479,MATCH("Typ av ursprungsspecificerad el   (Om inget värde anges används Nordisk residualmix, se inforuta) ()",Miljö!$B$1:$J$1,0),FALSE)</f>
        <v>'vatten'</v>
      </c>
      <c r="G322" s="121">
        <f>VLOOKUP($B322,Miljö!$B$1:$J$479,MATCH("Primärenergifaktor ()",Miljö!$B$1:$J$1,0),FALSE)</f>
        <v>1.1000000000000001</v>
      </c>
      <c r="H322" s="121">
        <f>VLOOKUP($B322,Miljö!$B$1:$J$479,MATCH("Koldioxidekvivalenter energiomvandling (g/kwh)",Miljö!$B$1:$J$1,0),FALSE)</f>
        <v>0</v>
      </c>
      <c r="I322" s="121">
        <f>VLOOKUP($B322,Miljö!$B$1:$J$479,MATCH("Fossilandel för ursprungspecificerad el ()",Miljö!$B$1:$J$1,0),FALSE)</f>
        <v>0</v>
      </c>
      <c r="J322" s="121">
        <f>VLOOKUP($B322,Miljö!$B$1:$J$479,MATCH("Kärnkraftsandel för ursprungsspecificerad el ()",Miljö!$B$1:$J$1,0),FALSE)</f>
        <v>0</v>
      </c>
      <c r="L322" s="121">
        <f>VLOOKUP($B322,Totalt!$B$1:$BU$497,MATCH("total el",Totalt!$B$1:$BU$1,0),FALSE)</f>
        <v>0.86799999999999999</v>
      </c>
      <c r="N322" s="271">
        <f t="shared" si="16"/>
        <v>0.95480000000000009</v>
      </c>
      <c r="O322" s="271">
        <f t="shared" si="17"/>
        <v>0</v>
      </c>
      <c r="P322" s="271">
        <f t="shared" si="18"/>
        <v>0</v>
      </c>
      <c r="Q322" s="271">
        <f t="shared" si="19"/>
        <v>0</v>
      </c>
    </row>
    <row r="323" spans="1:17" x14ac:dyDescent="0.25">
      <c r="A323" s="137" t="s">
        <v>643</v>
      </c>
      <c r="B323" s="137" t="s">
        <v>644</v>
      </c>
      <c r="C323" s="121" t="str">
        <f>VLOOKUP($B323,Totalt!$B$1:$BU$497,MATCH("Kvalitetsgranskad:",Totalt!$B$1:$BU$1,0),FALSE)</f>
        <v>Ja</v>
      </c>
      <c r="E323" s="121" t="str">
        <f>VLOOKUP($B323,Miljö!$B$1:$AG$479,MATCH(E$1,Miljö!$B$1:$AK$1,0),FALSE)</f>
        <v>Ja</v>
      </c>
      <c r="F323" s="121" t="str">
        <f>VLOOKUP($B323,Miljö!$B$1:$J$479,MATCH("Typ av ursprungsspecificerad el   (Om inget värde anges används Nordisk residualmix, se inforuta) ()",Miljö!$B$1:$J$1,0),FALSE)</f>
        <v>'Vind'</v>
      </c>
      <c r="G323" s="121">
        <f>VLOOKUP($B323,Miljö!$B$1:$J$479,MATCH("Primärenergifaktor ()",Miljö!$B$1:$J$1,0),FALSE)</f>
        <v>0.1</v>
      </c>
      <c r="H323" s="121">
        <f>VLOOKUP($B323,Miljö!$B$1:$J$479,MATCH("Koldioxidekvivalenter energiomvandling (g/kwh)",Miljö!$B$1:$J$1,0),FALSE)</f>
        <v>0</v>
      </c>
      <c r="I323" s="121">
        <f>VLOOKUP($B323,Miljö!$B$1:$J$479,MATCH("Fossilandel för ursprungspecificerad el ()",Miljö!$B$1:$J$1,0),FALSE)</f>
        <v>0</v>
      </c>
      <c r="J323" s="121">
        <f>VLOOKUP($B323,Miljö!$B$1:$J$479,MATCH("Kärnkraftsandel för ursprungsspecificerad el ()",Miljö!$B$1:$J$1,0),FALSE)</f>
        <v>0</v>
      </c>
      <c r="L323" s="121">
        <f>VLOOKUP($B323,Totalt!$B$1:$BU$497,MATCH("total el",Totalt!$B$1:$BU$1,0),FALSE)</f>
        <v>0.54900000000000004</v>
      </c>
      <c r="N323" s="271">
        <f t="shared" ref="N323:N386" si="20">IF(ISERROR($L323*G323),"",$L323*G323)</f>
        <v>5.4900000000000004E-2</v>
      </c>
      <c r="O323" s="271">
        <f t="shared" ref="O323:O386" si="21">IF(ISERROR($L323*H323),"",$L323*H323)</f>
        <v>0</v>
      </c>
      <c r="P323" s="271">
        <f t="shared" ref="P323:P386" si="22">IF(ISERROR($L323*I323),"",$L323*I323)</f>
        <v>0</v>
      </c>
      <c r="Q323" s="271">
        <f t="shared" ref="Q323:Q386" si="23">IF(ISERROR($L323*J323),"",$L323*J323)</f>
        <v>0</v>
      </c>
    </row>
    <row r="324" spans="1:17" x14ac:dyDescent="0.25">
      <c r="A324" s="137" t="s">
        <v>645</v>
      </c>
      <c r="B324" s="137" t="s">
        <v>646</v>
      </c>
      <c r="C324" s="121" t="str">
        <f>VLOOKUP($B324,Totalt!$B$1:$BU$497,MATCH("Kvalitetsgranskad:",Totalt!$B$1:$BU$1,0),FALSE)</f>
        <v>Ja</v>
      </c>
      <c r="E324" s="121" t="str">
        <f>VLOOKUP($B324,Miljö!$B$1:$AG$479,MATCH(E$1,Miljö!$B$1:$AK$1,0),FALSE)</f>
        <v>Ja</v>
      </c>
      <c r="F324" s="121" t="str">
        <f>VLOOKUP($B324,Miljö!$B$1:$J$479,MATCH("Typ av ursprungsspecificerad el   (Om inget värde anges används Nordisk residualmix, se inforuta) ()",Miljö!$B$1:$J$1,0),FALSE)</f>
        <v>'Vind 31% vatten 68% sol 1%'</v>
      </c>
      <c r="G324" s="121">
        <f>VLOOKUP($B324,Miljö!$B$1:$J$479,MATCH("Primärenergifaktor ()",Miljö!$B$1:$J$1,0),FALSE)</f>
        <v>0.78</v>
      </c>
      <c r="H324" s="121">
        <f>VLOOKUP($B324,Miljö!$B$1:$J$479,MATCH("Koldioxidekvivalenter energiomvandling (g/kwh)",Miljö!$B$1:$J$1,0),FALSE)</f>
        <v>0</v>
      </c>
      <c r="I324" s="121">
        <f>VLOOKUP($B324,Miljö!$B$1:$J$479,MATCH("Fossilandel för ursprungspecificerad el ()",Miljö!$B$1:$J$1,0),FALSE)</f>
        <v>0</v>
      </c>
      <c r="J324" s="121">
        <f>VLOOKUP($B324,Miljö!$B$1:$J$479,MATCH("Kärnkraftsandel för ursprungsspecificerad el ()",Miljö!$B$1:$J$1,0),FALSE)</f>
        <v>0</v>
      </c>
      <c r="L324" s="121">
        <f>VLOOKUP($B324,Totalt!$B$1:$BU$497,MATCH("total el",Totalt!$B$1:$BU$1,0),FALSE)</f>
        <v>9.4E-2</v>
      </c>
      <c r="N324" s="271">
        <f t="shared" si="20"/>
        <v>7.3319999999999996E-2</v>
      </c>
      <c r="O324" s="271">
        <f t="shared" si="21"/>
        <v>0</v>
      </c>
      <c r="P324" s="271">
        <f t="shared" si="22"/>
        <v>0</v>
      </c>
      <c r="Q324" s="271">
        <f t="shared" si="23"/>
        <v>0</v>
      </c>
    </row>
    <row r="325" spans="1:17" x14ac:dyDescent="0.25">
      <c r="A325" s="137" t="s">
        <v>645</v>
      </c>
      <c r="B325" s="137" t="s">
        <v>647</v>
      </c>
      <c r="C325" s="121" t="str">
        <f>VLOOKUP($B325,Totalt!$B$1:$BU$497,MATCH("Kvalitetsgranskad:",Totalt!$B$1:$BU$1,0),FALSE)</f>
        <v>Ja</v>
      </c>
      <c r="E325" s="121" t="str">
        <f>VLOOKUP($B325,Miljö!$B$1:$AG$479,MATCH(E$1,Miljö!$B$1:$AK$1,0),FALSE)</f>
        <v>Ja</v>
      </c>
      <c r="F325" s="121" t="str">
        <f>VLOOKUP($B325,Miljö!$B$1:$J$479,MATCH("Typ av ursprungsspecificerad el   (Om inget värde anges används Nordisk residualmix, se inforuta) ()",Miljö!$B$1:$J$1,0),FALSE)</f>
        <v>'Vatten 68% vind 31% sol 1%'</v>
      </c>
      <c r="G325" s="121">
        <f>VLOOKUP($B325,Miljö!$B$1:$J$479,MATCH("Primärenergifaktor ()",Miljö!$B$1:$J$1,0),FALSE)</f>
        <v>0.78</v>
      </c>
      <c r="H325" s="121">
        <f>VLOOKUP($B325,Miljö!$B$1:$J$479,MATCH("Koldioxidekvivalenter energiomvandling (g/kwh)",Miljö!$B$1:$J$1,0),FALSE)</f>
        <v>0</v>
      </c>
      <c r="I325" s="121">
        <f>VLOOKUP($B325,Miljö!$B$1:$J$479,MATCH("Fossilandel för ursprungspecificerad el ()",Miljö!$B$1:$J$1,0),FALSE)</f>
        <v>0</v>
      </c>
      <c r="J325" s="121">
        <f>VLOOKUP($B325,Miljö!$B$1:$J$479,MATCH("Kärnkraftsandel för ursprungsspecificerad el ()",Miljö!$B$1:$J$1,0),FALSE)</f>
        <v>0</v>
      </c>
      <c r="L325" s="121">
        <f>VLOOKUP($B325,Totalt!$B$1:$BU$497,MATCH("total el",Totalt!$B$1:$BU$1,0),FALSE)</f>
        <v>1.4</v>
      </c>
      <c r="N325" s="271">
        <f t="shared" si="20"/>
        <v>1.0919999999999999</v>
      </c>
      <c r="O325" s="271">
        <f t="shared" si="21"/>
        <v>0</v>
      </c>
      <c r="P325" s="271">
        <f t="shared" si="22"/>
        <v>0</v>
      </c>
      <c r="Q325" s="271">
        <f t="shared" si="23"/>
        <v>0</v>
      </c>
    </row>
    <row r="326" spans="1:17" x14ac:dyDescent="0.25">
      <c r="A326" s="137" t="s">
        <v>645</v>
      </c>
      <c r="B326" s="137" t="s">
        <v>648</v>
      </c>
      <c r="C326" s="121" t="str">
        <f>VLOOKUP($B326,Totalt!$B$1:$BU$497,MATCH("Kvalitetsgranskad:",Totalt!$B$1:$BU$1,0),FALSE)</f>
        <v>Ja</v>
      </c>
      <c r="E326" s="121" t="str">
        <f>VLOOKUP($B326,Miljö!$B$1:$AG$479,MATCH(E$1,Miljö!$B$1:$AK$1,0),FALSE)</f>
        <v>Ja</v>
      </c>
      <c r="F326" s="121" t="str">
        <f>VLOOKUP($B326,Miljö!$B$1:$J$479,MATCH("Typ av ursprungsspecificerad el   (Om inget värde anges används Nordisk residualmix, se inforuta) ()",Miljö!$B$1:$J$1,0),FALSE)</f>
        <v>'Vatten 68% vind 31% sol 1%'</v>
      </c>
      <c r="G326" s="121">
        <f>VLOOKUP($B326,Miljö!$B$1:$J$479,MATCH("Primärenergifaktor ()",Miljö!$B$1:$J$1,0),FALSE)</f>
        <v>0.78</v>
      </c>
      <c r="H326" s="121">
        <f>VLOOKUP($B326,Miljö!$B$1:$J$479,MATCH("Koldioxidekvivalenter energiomvandling (g/kwh)",Miljö!$B$1:$J$1,0),FALSE)</f>
        <v>0</v>
      </c>
      <c r="I326" s="121">
        <f>VLOOKUP($B326,Miljö!$B$1:$J$479,MATCH("Fossilandel för ursprungspecificerad el ()",Miljö!$B$1:$J$1,0),FALSE)</f>
        <v>0</v>
      </c>
      <c r="J326" s="121">
        <f>VLOOKUP($B326,Miljö!$B$1:$J$479,MATCH("Kärnkraftsandel för ursprungsspecificerad el ()",Miljö!$B$1:$J$1,0),FALSE)</f>
        <v>0</v>
      </c>
      <c r="L326" s="121">
        <f>VLOOKUP($B326,Totalt!$B$1:$BU$497,MATCH("total el",Totalt!$B$1:$BU$1,0),FALSE)</f>
        <v>8.1000000000000003E-2</v>
      </c>
      <c r="N326" s="271">
        <f t="shared" si="20"/>
        <v>6.318E-2</v>
      </c>
      <c r="O326" s="271">
        <f t="shared" si="21"/>
        <v>0</v>
      </c>
      <c r="P326" s="271">
        <f t="shared" si="22"/>
        <v>0</v>
      </c>
      <c r="Q326" s="271">
        <f t="shared" si="23"/>
        <v>0</v>
      </c>
    </row>
    <row r="327" spans="1:17" x14ac:dyDescent="0.25">
      <c r="A327" s="137" t="s">
        <v>649</v>
      </c>
      <c r="B327" s="137" t="s">
        <v>650</v>
      </c>
      <c r="C327" s="121" t="str">
        <f>VLOOKUP($B327,Totalt!$B$1:$BU$497,MATCH("Kvalitetsgranskad:",Totalt!$B$1:$BU$1,0),FALSE)</f>
        <v>Ja</v>
      </c>
      <c r="E327" s="121" t="str">
        <f>VLOOKUP($B327,Miljö!$B$1:$AG$479,MATCH(E$1,Miljö!$B$1:$AK$1,0),FALSE)</f>
        <v>Nej</v>
      </c>
      <c r="F327" s="121" t="str">
        <f>VLOOKUP($B327,Miljö!$B$1:$J$479,MATCH("Typ av ursprungsspecificerad el   (Om inget värde anges används Nordisk residualmix, se inforuta) ()",Miljö!$B$1:$J$1,0),FALSE)</f>
        <v>-</v>
      </c>
      <c r="G327" s="121">
        <f>VLOOKUP($B327,Miljö!$B$1:$J$479,MATCH("Primärenergifaktor ()",Miljö!$B$1:$J$1,0),FALSE)</f>
        <v>2.2999999999999998</v>
      </c>
      <c r="H327" s="121">
        <f>VLOOKUP($B327,Miljö!$B$1:$J$479,MATCH("Koldioxidekvivalenter energiomvandling (g/kwh)",Miljö!$B$1:$J$1,0),FALSE)</f>
        <v>329.19</v>
      </c>
      <c r="I327" s="121">
        <f>VLOOKUP($B327,Miljö!$B$1:$J$479,MATCH("Fossilandel för ursprungspecificerad el ()",Miljö!$B$1:$J$1,0),FALSE)</f>
        <v>0.43</v>
      </c>
      <c r="J327" s="121">
        <f>VLOOKUP($B327,Miljö!$B$1:$J$479,MATCH("Kärnkraftsandel för ursprungsspecificerad el ()",Miljö!$B$1:$J$1,0),FALSE)</f>
        <v>0.40550000000000003</v>
      </c>
      <c r="L327" s="121">
        <f>VLOOKUP($B327,Totalt!$B$1:$BU$497,MATCH("total el",Totalt!$B$1:$BU$1,0),FALSE)</f>
        <v>0.50600000000000001</v>
      </c>
      <c r="N327" s="271">
        <f t="shared" si="20"/>
        <v>1.1637999999999999</v>
      </c>
      <c r="O327" s="271">
        <f t="shared" si="21"/>
        <v>166.57014000000001</v>
      </c>
      <c r="P327" s="271">
        <f t="shared" si="22"/>
        <v>0.21758</v>
      </c>
      <c r="Q327" s="271">
        <f t="shared" si="23"/>
        <v>0.205183</v>
      </c>
    </row>
    <row r="328" spans="1:17" x14ac:dyDescent="0.25">
      <c r="A328" s="137" t="s">
        <v>649</v>
      </c>
      <c r="B328" s="137" t="s">
        <v>651</v>
      </c>
      <c r="C328" s="121" t="str">
        <f>VLOOKUP($B328,Totalt!$B$1:$BU$497,MATCH("Kvalitetsgranskad:",Totalt!$B$1:$BU$1,0),FALSE)</f>
        <v>Ja</v>
      </c>
      <c r="E328" s="121" t="str">
        <f>VLOOKUP($B328,Miljö!$B$1:$AG$479,MATCH(E$1,Miljö!$B$1:$AK$1,0),FALSE)</f>
        <v>Nej</v>
      </c>
      <c r="F328" s="121" t="str">
        <f>VLOOKUP($B328,Miljö!$B$1:$J$479,MATCH("Typ av ursprungsspecificerad el   (Om inget värde anges används Nordisk residualmix, se inforuta) ()",Miljö!$B$1:$J$1,0),FALSE)</f>
        <v>-</v>
      </c>
      <c r="G328" s="121">
        <f>VLOOKUP($B328,Miljö!$B$1:$J$479,MATCH("Primärenergifaktor ()",Miljö!$B$1:$J$1,0),FALSE)</f>
        <v>2.2999999999999998</v>
      </c>
      <c r="H328" s="121">
        <f>VLOOKUP($B328,Miljö!$B$1:$J$479,MATCH("Koldioxidekvivalenter energiomvandling (g/kwh)",Miljö!$B$1:$J$1,0),FALSE)</f>
        <v>329.19</v>
      </c>
      <c r="I328" s="121">
        <f>VLOOKUP($B328,Miljö!$B$1:$J$479,MATCH("Fossilandel för ursprungspecificerad el ()",Miljö!$B$1:$J$1,0),FALSE)</f>
        <v>0.43</v>
      </c>
      <c r="J328" s="121">
        <f>VLOOKUP($B328,Miljö!$B$1:$J$479,MATCH("Kärnkraftsandel för ursprungsspecificerad el ()",Miljö!$B$1:$J$1,0),FALSE)</f>
        <v>0.40550000000000003</v>
      </c>
      <c r="L328" s="121">
        <f>VLOOKUP($B328,Totalt!$B$1:$BU$497,MATCH("total el",Totalt!$B$1:$BU$1,0),FALSE)</f>
        <v>0.127</v>
      </c>
      <c r="N328" s="271">
        <f t="shared" si="20"/>
        <v>0.29209999999999997</v>
      </c>
      <c r="O328" s="271">
        <f t="shared" si="21"/>
        <v>41.807130000000001</v>
      </c>
      <c r="P328" s="271">
        <f t="shared" si="22"/>
        <v>5.4609999999999999E-2</v>
      </c>
      <c r="Q328" s="271">
        <f t="shared" si="23"/>
        <v>5.1498500000000003E-2</v>
      </c>
    </row>
    <row r="329" spans="1:17" x14ac:dyDescent="0.25">
      <c r="A329" s="137" t="s">
        <v>649</v>
      </c>
      <c r="B329" s="137" t="s">
        <v>652</v>
      </c>
      <c r="C329" s="121" t="str">
        <f>VLOOKUP($B329,Totalt!$B$1:$BU$497,MATCH("Kvalitetsgranskad:",Totalt!$B$1:$BU$1,0),FALSE)</f>
        <v>Ja</v>
      </c>
      <c r="E329" s="121" t="str">
        <f>VLOOKUP($B329,Miljö!$B$1:$AG$479,MATCH(E$1,Miljö!$B$1:$AK$1,0),FALSE)</f>
        <v>Nej</v>
      </c>
      <c r="F329" s="121" t="str">
        <f>VLOOKUP($B329,Miljö!$B$1:$J$479,MATCH("Typ av ursprungsspecificerad el   (Om inget värde anges används Nordisk residualmix, se inforuta) ()",Miljö!$B$1:$J$1,0),FALSE)</f>
        <v>-</v>
      </c>
      <c r="G329" s="121">
        <f>VLOOKUP($B329,Miljö!$B$1:$J$479,MATCH("Primärenergifaktor ()",Miljö!$B$1:$J$1,0),FALSE)</f>
        <v>2.2999999999999998</v>
      </c>
      <c r="H329" s="121">
        <f>VLOOKUP($B329,Miljö!$B$1:$J$479,MATCH("Koldioxidekvivalenter energiomvandling (g/kwh)",Miljö!$B$1:$J$1,0),FALSE)</f>
        <v>329.19</v>
      </c>
      <c r="I329" s="121">
        <f>VLOOKUP($B329,Miljö!$B$1:$J$479,MATCH("Fossilandel för ursprungspecificerad el ()",Miljö!$B$1:$J$1,0),FALSE)</f>
        <v>0.43</v>
      </c>
      <c r="J329" s="121">
        <f>VLOOKUP($B329,Miljö!$B$1:$J$479,MATCH("Kärnkraftsandel för ursprungsspecificerad el ()",Miljö!$B$1:$J$1,0),FALSE)</f>
        <v>0.40550000000000003</v>
      </c>
      <c r="L329" s="121">
        <f>VLOOKUP($B329,Totalt!$B$1:$BU$497,MATCH("total el",Totalt!$B$1:$BU$1,0),FALSE)</f>
        <v>3.6</v>
      </c>
      <c r="N329" s="271">
        <f t="shared" si="20"/>
        <v>8.2799999999999994</v>
      </c>
      <c r="O329" s="271">
        <f t="shared" si="21"/>
        <v>1185.0840000000001</v>
      </c>
      <c r="P329" s="271">
        <f t="shared" si="22"/>
        <v>1.548</v>
      </c>
      <c r="Q329" s="271">
        <f t="shared" si="23"/>
        <v>1.4598000000000002</v>
      </c>
    </row>
    <row r="330" spans="1:17" x14ac:dyDescent="0.25">
      <c r="A330" s="137" t="s">
        <v>649</v>
      </c>
      <c r="B330" s="137" t="s">
        <v>653</v>
      </c>
      <c r="C330" s="121" t="str">
        <f>VLOOKUP($B330,Totalt!$B$1:$BU$497,MATCH("Kvalitetsgranskad:",Totalt!$B$1:$BU$1,0),FALSE)</f>
        <v>Ja</v>
      </c>
      <c r="E330" s="121" t="str">
        <f>VLOOKUP($B330,Miljö!$B$1:$AG$479,MATCH(E$1,Miljö!$B$1:$AK$1,0),FALSE)</f>
        <v>Nej</v>
      </c>
      <c r="F330" s="121" t="str">
        <f>VLOOKUP($B330,Miljö!$B$1:$J$479,MATCH("Typ av ursprungsspecificerad el   (Om inget värde anges används Nordisk residualmix, se inforuta) ()",Miljö!$B$1:$J$1,0),FALSE)</f>
        <v>-</v>
      </c>
      <c r="G330" s="121">
        <f>VLOOKUP($B330,Miljö!$B$1:$J$479,MATCH("Primärenergifaktor ()",Miljö!$B$1:$J$1,0),FALSE)</f>
        <v>2.2999999999999998</v>
      </c>
      <c r="H330" s="121">
        <f>VLOOKUP($B330,Miljö!$B$1:$J$479,MATCH("Koldioxidekvivalenter energiomvandling (g/kwh)",Miljö!$B$1:$J$1,0),FALSE)</f>
        <v>329.19</v>
      </c>
      <c r="I330" s="121">
        <f>VLOOKUP($B330,Miljö!$B$1:$J$479,MATCH("Fossilandel för ursprungspecificerad el ()",Miljö!$B$1:$J$1,0),FALSE)</f>
        <v>0.43</v>
      </c>
      <c r="J330" s="121">
        <f>VLOOKUP($B330,Miljö!$B$1:$J$479,MATCH("Kärnkraftsandel för ursprungsspecificerad el ()",Miljö!$B$1:$J$1,0),FALSE)</f>
        <v>0.40550000000000003</v>
      </c>
      <c r="L330" s="121">
        <f>VLOOKUP($B330,Totalt!$B$1:$BU$497,MATCH("total el",Totalt!$B$1:$BU$1,0),FALSE)</f>
        <v>4.3999999999999997E-2</v>
      </c>
      <c r="N330" s="271">
        <f t="shared" si="20"/>
        <v>0.10119999999999998</v>
      </c>
      <c r="O330" s="271">
        <f t="shared" si="21"/>
        <v>14.484359999999999</v>
      </c>
      <c r="P330" s="271">
        <f t="shared" si="22"/>
        <v>1.8919999999999999E-2</v>
      </c>
      <c r="Q330" s="271">
        <f t="shared" si="23"/>
        <v>1.7842E-2</v>
      </c>
    </row>
    <row r="331" spans="1:17" x14ac:dyDescent="0.25">
      <c r="A331" s="137" t="s">
        <v>649</v>
      </c>
      <c r="B331" s="137" t="s">
        <v>138</v>
      </c>
      <c r="C331" s="121" t="str">
        <f>VLOOKUP($B331,Totalt!$B$1:$BU$497,MATCH("Kvalitetsgranskad:",Totalt!$B$1:$BU$1,0),FALSE)</f>
        <v>Nej</v>
      </c>
      <c r="E331" s="121" t="str">
        <f>VLOOKUP($B331,Miljö!$B$1:$AG$479,MATCH(E$1,Miljö!$B$1:$AK$1,0),FALSE)</f>
        <v>Nej</v>
      </c>
      <c r="F331" s="121" t="str">
        <f>VLOOKUP($B331,Miljö!$B$1:$J$479,MATCH("Typ av ursprungsspecificerad el   (Om inget värde anges används Nordisk residualmix, se inforuta) ()",Miljö!$B$1:$J$1,0),FALSE)</f>
        <v>-</v>
      </c>
      <c r="G331" s="121">
        <f>VLOOKUP($B331,Miljö!$B$1:$J$479,MATCH("Primärenergifaktor ()",Miljö!$B$1:$J$1,0),FALSE)</f>
        <v>2.2999999999999998</v>
      </c>
      <c r="H331" s="121">
        <f>VLOOKUP($B331,Miljö!$B$1:$J$479,MATCH("Koldioxidekvivalenter energiomvandling (g/kwh)",Miljö!$B$1:$J$1,0),FALSE)</f>
        <v>329.19</v>
      </c>
      <c r="I331" s="121">
        <f>VLOOKUP($B331,Miljö!$B$1:$J$479,MATCH("Fossilandel för ursprungspecificerad el ()",Miljö!$B$1:$J$1,0),FALSE)</f>
        <v>0.43</v>
      </c>
      <c r="J331" s="121">
        <f>VLOOKUP($B331,Miljö!$B$1:$J$479,MATCH("Kärnkraftsandel för ursprungsspecificerad el ()",Miljö!$B$1:$J$1,0),FALSE)</f>
        <v>0.40550000000000003</v>
      </c>
      <c r="L331" s="121">
        <f>VLOOKUP($B331,Totalt!$B$1:$BU$497,MATCH("total el",Totalt!$B$1:$BU$1,0),FALSE)</f>
        <v>0.35</v>
      </c>
      <c r="N331" s="271">
        <f t="shared" si="20"/>
        <v>0.80499999999999994</v>
      </c>
      <c r="O331" s="271">
        <f t="shared" si="21"/>
        <v>115.2165</v>
      </c>
      <c r="P331" s="271">
        <f t="shared" si="22"/>
        <v>0.15049999999999999</v>
      </c>
      <c r="Q331" s="271">
        <f t="shared" si="23"/>
        <v>0.141925</v>
      </c>
    </row>
    <row r="332" spans="1:17" x14ac:dyDescent="0.25">
      <c r="A332" s="137" t="s">
        <v>654</v>
      </c>
      <c r="B332" s="137" t="s">
        <v>655</v>
      </c>
      <c r="C332" s="121" t="str">
        <f>VLOOKUP($B332,Totalt!$B$1:$BU$497,MATCH("Kvalitetsgranskad:",Totalt!$B$1:$BU$1,0),FALSE)</f>
        <v>Ja</v>
      </c>
      <c r="E332" s="121" t="str">
        <f>VLOOKUP($B332,Miljö!$B$1:$AG$479,MATCH(E$1,Miljö!$B$1:$AK$1,0),FALSE)</f>
        <v>Ja</v>
      </c>
      <c r="F332" s="121" t="str">
        <f>VLOOKUP($B332,Miljö!$B$1:$J$479,MATCH("Typ av ursprungsspecificerad el   (Om inget värde anges används Nordisk residualmix, se inforuta) ()",Miljö!$B$1:$J$1,0),FALSE)</f>
        <v>-</v>
      </c>
      <c r="G332" s="121">
        <f>VLOOKUP($B332,Miljö!$B$1:$J$479,MATCH("Primärenergifaktor ()",Miljö!$B$1:$J$1,0),FALSE)</f>
        <v>1.9</v>
      </c>
      <c r="H332" s="121">
        <f>VLOOKUP($B332,Miljö!$B$1:$J$479,MATCH("Koldioxidekvivalenter energiomvandling (g/kwh)",Miljö!$B$1:$J$1,0),FALSE)</f>
        <v>0.05</v>
      </c>
      <c r="I332" s="121">
        <f>VLOOKUP($B332,Miljö!$B$1:$J$479,MATCH("Fossilandel för ursprungspecificerad el ()",Miljö!$B$1:$J$1,0),FALSE)</f>
        <v>0</v>
      </c>
      <c r="J332" s="121">
        <f>VLOOKUP($B332,Miljö!$B$1:$J$479,MATCH("Kärnkraftsandel för ursprungsspecificerad el ()",Miljö!$B$1:$J$1,0),FALSE)</f>
        <v>0.59399999999999997</v>
      </c>
      <c r="L332" s="121">
        <f>VLOOKUP($B332,Totalt!$B$1:$BU$497,MATCH("total el",Totalt!$B$1:$BU$1,0),FALSE)</f>
        <v>0.65300000000000002</v>
      </c>
      <c r="N332" s="271">
        <f t="shared" si="20"/>
        <v>1.2406999999999999</v>
      </c>
      <c r="O332" s="271">
        <f t="shared" si="21"/>
        <v>3.2650000000000005E-2</v>
      </c>
      <c r="P332" s="271">
        <f t="shared" si="22"/>
        <v>0</v>
      </c>
      <c r="Q332" s="271">
        <f t="shared" si="23"/>
        <v>0.387882</v>
      </c>
    </row>
    <row r="333" spans="1:17" x14ac:dyDescent="0.25">
      <c r="A333" s="137" t="s">
        <v>654</v>
      </c>
      <c r="B333" s="137" t="s">
        <v>656</v>
      </c>
      <c r="C333" s="121" t="str">
        <f>VLOOKUP($B333,Totalt!$B$1:$BU$497,MATCH("Kvalitetsgranskad:",Totalt!$B$1:$BU$1,0),FALSE)</f>
        <v>Ja</v>
      </c>
      <c r="E333" s="121" t="str">
        <f>VLOOKUP($B333,Miljö!$B$1:$AG$479,MATCH(E$1,Miljö!$B$1:$AK$1,0),FALSE)</f>
        <v>Ja</v>
      </c>
      <c r="F333" s="121" t="str">
        <f>VLOOKUP($B333,Miljö!$B$1:$J$479,MATCH("Typ av ursprungsspecificerad el   (Om inget värde anges används Nordisk residualmix, se inforuta) ()",Miljö!$B$1:$J$1,0),FALSE)</f>
        <v>''Egenproducerad el från biobränsle''</v>
      </c>
      <c r="G333" s="121">
        <f>VLOOKUP($B333,Miljö!$B$1:$J$479,MATCH("Primärenergifaktor ()",Miljö!$B$1:$J$1,0),FALSE)</f>
        <v>0.05</v>
      </c>
      <c r="H333" s="121">
        <f>VLOOKUP($B333,Miljö!$B$1:$J$479,MATCH("Koldioxidekvivalenter energiomvandling (g/kwh)",Miljö!$B$1:$J$1,0),FALSE)</f>
        <v>0</v>
      </c>
      <c r="I333" s="121">
        <f>VLOOKUP($B333,Miljö!$B$1:$J$479,MATCH("Fossilandel för ursprungspecificerad el ()",Miljö!$B$1:$J$1,0),FALSE)</f>
        <v>0</v>
      </c>
      <c r="J333" s="121">
        <f>VLOOKUP($B333,Miljö!$B$1:$J$479,MATCH("Kärnkraftsandel för ursprungsspecificerad el ()",Miljö!$B$1:$J$1,0),FALSE)</f>
        <v>0</v>
      </c>
      <c r="L333" s="121">
        <f>VLOOKUP($B333,Totalt!$B$1:$BU$497,MATCH("total el",Totalt!$B$1:$BU$1,0),FALSE)</f>
        <v>23.020499999999998</v>
      </c>
      <c r="N333" s="271">
        <f t="shared" si="20"/>
        <v>1.151025</v>
      </c>
      <c r="O333" s="271">
        <f t="shared" si="21"/>
        <v>0</v>
      </c>
      <c r="P333" s="271">
        <f t="shared" si="22"/>
        <v>0</v>
      </c>
      <c r="Q333" s="271">
        <f t="shared" si="23"/>
        <v>0</v>
      </c>
    </row>
    <row r="334" spans="1:17" x14ac:dyDescent="0.25">
      <c r="A334" s="137" t="s">
        <v>654</v>
      </c>
      <c r="B334" s="137" t="s">
        <v>657</v>
      </c>
      <c r="C334" s="121" t="str">
        <f>VLOOKUP($B334,Totalt!$B$1:$BU$497,MATCH("Kvalitetsgranskad:",Totalt!$B$1:$BU$1,0),FALSE)</f>
        <v>Ja</v>
      </c>
      <c r="E334" s="121" t="str">
        <f>VLOOKUP($B334,Miljö!$B$1:$AG$479,MATCH(E$1,Miljö!$B$1:$AK$1,0),FALSE)</f>
        <v>Ja</v>
      </c>
      <c r="F334" s="121" t="str">
        <f>VLOOKUP($B334,Miljö!$B$1:$J$479,MATCH("Typ av ursprungsspecificerad el   (Om inget värde anges används Nordisk residualmix, se inforuta) ()",Miljö!$B$1:$J$1,0),FALSE)</f>
        <v>'Vattenfalls elmix'</v>
      </c>
      <c r="G334" s="121">
        <f>VLOOKUP($B334,Miljö!$B$1:$J$479,MATCH("Primärenergifaktor ()",Miljö!$B$1:$J$1,0),FALSE)</f>
        <v>1.9</v>
      </c>
      <c r="H334" s="121">
        <f>VLOOKUP($B334,Miljö!$B$1:$J$479,MATCH("Koldioxidekvivalenter energiomvandling (g/kwh)",Miljö!$B$1:$J$1,0),FALSE)</f>
        <v>0.05</v>
      </c>
      <c r="I334" s="121">
        <f>VLOOKUP($B334,Miljö!$B$1:$J$479,MATCH("Fossilandel för ursprungspecificerad el ()",Miljö!$B$1:$J$1,0),FALSE)</f>
        <v>0</v>
      </c>
      <c r="J334" s="121">
        <f>VLOOKUP($B334,Miljö!$B$1:$J$479,MATCH("Kärnkraftsandel för ursprungsspecificerad el ()",Miljö!$B$1:$J$1,0),FALSE)</f>
        <v>0.59399999999999997</v>
      </c>
      <c r="L334" s="121">
        <f>VLOOKUP($B334,Totalt!$B$1:$BU$497,MATCH("total el",Totalt!$B$1:$BU$1,0),FALSE)</f>
        <v>1.6</v>
      </c>
      <c r="N334" s="271">
        <f t="shared" si="20"/>
        <v>3.04</v>
      </c>
      <c r="O334" s="271">
        <f t="shared" si="21"/>
        <v>8.0000000000000016E-2</v>
      </c>
      <c r="P334" s="271">
        <f t="shared" si="22"/>
        <v>0</v>
      </c>
      <c r="Q334" s="271">
        <f t="shared" si="23"/>
        <v>0.95040000000000002</v>
      </c>
    </row>
    <row r="335" spans="1:17" x14ac:dyDescent="0.25">
      <c r="A335" s="137" t="s">
        <v>654</v>
      </c>
      <c r="B335" s="141" t="s">
        <v>11</v>
      </c>
      <c r="C335" s="121" t="str">
        <f>VLOOKUP($B335,Totalt!$B$1:$BU$497,MATCH("Kvalitetsgranskad:",Totalt!$B$1:$BU$1,0),FALSE)</f>
        <v>Ja</v>
      </c>
      <c r="E335" s="121" t="str">
        <f>VLOOKUP($B335,Miljö!$B$1:$AG$479,MATCH(E$1,Miljö!$B$1:$AK$1,0),FALSE)</f>
        <v>Ja</v>
      </c>
      <c r="F335" s="121" t="str">
        <f>VLOOKUP($B335,Miljö!$B$1:$J$479,MATCH("Typ av ursprungsspecificerad el   (Om inget värde anges används Nordisk residualmix, se inforuta) ()",Miljö!$B$1:$J$1,0),FALSE)</f>
        <v>'"Vattenfall elmix"'</v>
      </c>
      <c r="G335" s="121">
        <f>VLOOKUP($B335,Miljö!$B$1:$J$479,MATCH("Primärenergifaktor ()",Miljö!$B$1:$J$1,0),FALSE)</f>
        <v>1.9</v>
      </c>
      <c r="H335" s="121">
        <f>VLOOKUP($B335,Miljö!$B$1:$J$479,MATCH("Koldioxidekvivalenter energiomvandling (g/kwh)",Miljö!$B$1:$J$1,0),FALSE)</f>
        <v>0.05</v>
      </c>
      <c r="I335" s="121">
        <f>VLOOKUP($B335,Miljö!$B$1:$J$479,MATCH("Fossilandel för ursprungspecificerad el ()",Miljö!$B$1:$J$1,0),FALSE)</f>
        <v>0</v>
      </c>
      <c r="J335" s="121">
        <f>VLOOKUP($B335,Miljö!$B$1:$J$479,MATCH("Kärnkraftsandel för ursprungsspecificerad el ()",Miljö!$B$1:$J$1,0),FALSE)</f>
        <v>0.59399999999999997</v>
      </c>
      <c r="L335" s="121">
        <f>VLOOKUP($B335,Totalt!$B$1:$BU$497,MATCH("total el",Totalt!$B$1:$BU$1,0),FALSE)</f>
        <v>2.1</v>
      </c>
      <c r="N335" s="271">
        <f t="shared" si="20"/>
        <v>3.9899999999999998</v>
      </c>
      <c r="O335" s="271">
        <f t="shared" si="21"/>
        <v>0.10500000000000001</v>
      </c>
      <c r="P335" s="271">
        <f t="shared" si="22"/>
        <v>0</v>
      </c>
      <c r="Q335" s="271">
        <f t="shared" si="23"/>
        <v>1.2474000000000001</v>
      </c>
    </row>
    <row r="336" spans="1:17" x14ac:dyDescent="0.25">
      <c r="A336" s="137" t="s">
        <v>654</v>
      </c>
      <c r="B336" s="137" t="s">
        <v>658</v>
      </c>
      <c r="C336" s="121" t="str">
        <f>VLOOKUP($B336,Totalt!$B$1:$BU$497,MATCH("Kvalitetsgranskad:",Totalt!$B$1:$BU$1,0),FALSE)</f>
        <v>Ja</v>
      </c>
      <c r="E336" s="121" t="str">
        <f>VLOOKUP($B336,Miljö!$B$1:$AG$479,MATCH(E$1,Miljö!$B$1:$AK$1,0),FALSE)</f>
        <v>Ja</v>
      </c>
      <c r="F336" s="121" t="str">
        <f>VLOOKUP($B336,Miljö!$B$1:$J$479,MATCH("Typ av ursprungsspecificerad el   (Om inget värde anges används Nordisk residualmix, se inforuta) ()",Miljö!$B$1:$J$1,0),FALSE)</f>
        <v>'Egenproducerad el biobränsle'</v>
      </c>
      <c r="G336" s="121">
        <f>VLOOKUP($B336,Miljö!$B$1:$J$479,MATCH("Primärenergifaktor ()",Miljö!$B$1:$J$1,0),FALSE)</f>
        <v>0.05</v>
      </c>
      <c r="H336" s="121">
        <f>VLOOKUP($B336,Miljö!$B$1:$J$479,MATCH("Koldioxidekvivalenter energiomvandling (g/kwh)",Miljö!$B$1:$J$1,0),FALSE)</f>
        <v>0</v>
      </c>
      <c r="I336" s="121">
        <f>VLOOKUP($B336,Miljö!$B$1:$J$479,MATCH("Fossilandel för ursprungspecificerad el ()",Miljö!$B$1:$J$1,0),FALSE)</f>
        <v>0</v>
      </c>
      <c r="J336" s="121">
        <f>VLOOKUP($B336,Miljö!$B$1:$J$479,MATCH("Kärnkraftsandel för ursprungsspecificerad el ()",Miljö!$B$1:$J$1,0),FALSE)</f>
        <v>0</v>
      </c>
      <c r="L336" s="121">
        <f>VLOOKUP($B336,Totalt!$B$1:$BU$497,MATCH("total el",Totalt!$B$1:$BU$1,0),FALSE)</f>
        <v>6.8137699999999999</v>
      </c>
      <c r="N336" s="271">
        <f t="shared" si="20"/>
        <v>0.34068850000000001</v>
      </c>
      <c r="O336" s="271">
        <f t="shared" si="21"/>
        <v>0</v>
      </c>
      <c r="P336" s="271">
        <f t="shared" si="22"/>
        <v>0</v>
      </c>
      <c r="Q336" s="271">
        <f t="shared" si="23"/>
        <v>0</v>
      </c>
    </row>
    <row r="337" spans="1:17" x14ac:dyDescent="0.25">
      <c r="A337" s="137" t="s">
        <v>654</v>
      </c>
      <c r="B337" s="137" t="s">
        <v>659</v>
      </c>
      <c r="C337" s="121" t="str">
        <f>VLOOKUP($B337,Totalt!$B$1:$BU$497,MATCH("Kvalitetsgranskad:",Totalt!$B$1:$BU$1,0),FALSE)</f>
        <v>Ja</v>
      </c>
      <c r="E337" s="121" t="str">
        <f>VLOOKUP($B337,Miljö!$B$1:$AG$479,MATCH(E$1,Miljö!$B$1:$AK$1,0),FALSE)</f>
        <v>Ja</v>
      </c>
      <c r="F337" s="121" t="str">
        <f>VLOOKUP($B337,Miljö!$B$1:$J$479,MATCH("Typ av ursprungsspecificerad el   (Om inget värde anges används Nordisk residualmix, se inforuta) ()",Miljö!$B$1:$J$1,0),FALSE)</f>
        <v>'Egenproducerad el. biobränsle'</v>
      </c>
      <c r="G337" s="121">
        <f>VLOOKUP($B337,Miljö!$B$1:$J$479,MATCH("Primärenergifaktor ()",Miljö!$B$1:$J$1,0),FALSE)</f>
        <v>0.05</v>
      </c>
      <c r="H337" s="121">
        <f>VLOOKUP($B337,Miljö!$B$1:$J$479,MATCH("Koldioxidekvivalenter energiomvandling (g/kwh)",Miljö!$B$1:$J$1,0),FALSE)</f>
        <v>2.4700000000000002</v>
      </c>
      <c r="I337" s="121">
        <f>VLOOKUP($B337,Miljö!$B$1:$J$479,MATCH("Fossilandel för ursprungspecificerad el ()",Miljö!$B$1:$J$1,0),FALSE)</f>
        <v>0.9</v>
      </c>
      <c r="J337" s="121">
        <f>VLOOKUP($B337,Miljö!$B$1:$J$479,MATCH("Kärnkraftsandel för ursprungsspecificerad el ()",Miljö!$B$1:$J$1,0),FALSE)</f>
        <v>0</v>
      </c>
      <c r="L337" s="121">
        <f>VLOOKUP($B337,Totalt!$B$1:$BU$497,MATCH("total el",Totalt!$B$1:$BU$1,0),FALSE)</f>
        <v>11.6707</v>
      </c>
      <c r="N337" s="271">
        <f t="shared" si="20"/>
        <v>0.58353500000000003</v>
      </c>
      <c r="O337" s="271">
        <f t="shared" si="21"/>
        <v>28.826629000000004</v>
      </c>
      <c r="P337" s="271">
        <f t="shared" si="22"/>
        <v>10.503630000000001</v>
      </c>
      <c r="Q337" s="271">
        <f t="shared" si="23"/>
        <v>0</v>
      </c>
    </row>
    <row r="338" spans="1:17" x14ac:dyDescent="0.25">
      <c r="A338" s="137" t="s">
        <v>654</v>
      </c>
      <c r="B338" s="137" t="s">
        <v>660</v>
      </c>
      <c r="C338" s="121" t="str">
        <f>VLOOKUP($B338,Totalt!$B$1:$BU$497,MATCH("Kvalitetsgranskad:",Totalt!$B$1:$BU$1,0),FALSE)</f>
        <v>Ja</v>
      </c>
      <c r="E338" s="121" t="str">
        <f>VLOOKUP($B338,Miljö!$B$1:$AG$479,MATCH(E$1,Miljö!$B$1:$AK$1,0),FALSE)</f>
        <v>Ja</v>
      </c>
      <c r="F338" s="121" t="str">
        <f>VLOOKUP($B338,Miljö!$B$1:$J$479,MATCH("Typ av ursprungsspecificerad el   (Om inget värde anges används Nordisk residualmix, se inforuta) ()",Miljö!$B$1:$J$1,0),FALSE)</f>
        <v>'Vattenfalls elmix'</v>
      </c>
      <c r="G338" s="121">
        <f>VLOOKUP($B338,Miljö!$B$1:$J$479,MATCH("Primärenergifaktor ()",Miljö!$B$1:$J$1,0),FALSE)</f>
        <v>1.9</v>
      </c>
      <c r="H338" s="121">
        <f>VLOOKUP($B338,Miljö!$B$1:$J$479,MATCH("Koldioxidekvivalenter energiomvandling (g/kwh)",Miljö!$B$1:$J$1,0),FALSE)</f>
        <v>0.05</v>
      </c>
      <c r="I338" s="121">
        <f>VLOOKUP($B338,Miljö!$B$1:$J$479,MATCH("Fossilandel för ursprungspecificerad el ()",Miljö!$B$1:$J$1,0),FALSE)</f>
        <v>0</v>
      </c>
      <c r="J338" s="121">
        <f>VLOOKUP($B338,Miljö!$B$1:$J$479,MATCH("Kärnkraftsandel för ursprungsspecificerad el ()",Miljö!$B$1:$J$1,0),FALSE)</f>
        <v>0.59399999999999997</v>
      </c>
      <c r="L338" s="121">
        <f>VLOOKUP($B338,Totalt!$B$1:$BU$497,MATCH("total el",Totalt!$B$1:$BU$1,0),FALSE)</f>
        <v>0.51800000000000002</v>
      </c>
      <c r="N338" s="271">
        <f t="shared" si="20"/>
        <v>0.98419999999999996</v>
      </c>
      <c r="O338" s="271">
        <f t="shared" si="21"/>
        <v>2.5900000000000003E-2</v>
      </c>
      <c r="P338" s="271">
        <f t="shared" si="22"/>
        <v>0</v>
      </c>
      <c r="Q338" s="271">
        <f t="shared" si="23"/>
        <v>0.30769200000000002</v>
      </c>
    </row>
    <row r="339" spans="1:17" x14ac:dyDescent="0.25">
      <c r="A339" s="137" t="s">
        <v>654</v>
      </c>
      <c r="B339" s="137" t="s">
        <v>661</v>
      </c>
      <c r="C339" s="121" t="str">
        <f>VLOOKUP($B339,Totalt!$B$1:$BU$497,MATCH("Kvalitetsgranskad:",Totalt!$B$1:$BU$1,0),FALSE)</f>
        <v>Ja</v>
      </c>
      <c r="E339" s="121" t="str">
        <f>VLOOKUP($B339,Miljö!$B$1:$AG$479,MATCH(E$1,Miljö!$B$1:$AK$1,0),FALSE)</f>
        <v>Ja</v>
      </c>
      <c r="F339" s="121" t="str">
        <f>VLOOKUP($B339,Miljö!$B$1:$J$479,MATCH("Typ av ursprungsspecificerad el   (Om inget värde anges används Nordisk residualmix, se inforuta) ()",Miljö!$B$1:$J$1,0),FALSE)</f>
        <v>'"Vattenfall elmix"'</v>
      </c>
      <c r="G339" s="121">
        <f>VLOOKUP($B339,Miljö!$B$1:$J$479,MATCH("Primärenergifaktor ()",Miljö!$B$1:$J$1,0),FALSE)</f>
        <v>1.9</v>
      </c>
      <c r="H339" s="121">
        <f>VLOOKUP($B339,Miljö!$B$1:$J$479,MATCH("Koldioxidekvivalenter energiomvandling (g/kwh)",Miljö!$B$1:$J$1,0),FALSE)</f>
        <v>0.05</v>
      </c>
      <c r="I339" s="121">
        <f>VLOOKUP($B339,Miljö!$B$1:$J$479,MATCH("Fossilandel för ursprungspecificerad el ()",Miljö!$B$1:$J$1,0),FALSE)</f>
        <v>0</v>
      </c>
      <c r="J339" s="121">
        <f>VLOOKUP($B339,Miljö!$B$1:$J$479,MATCH("Kärnkraftsandel för ursprungsspecificerad el ()",Miljö!$B$1:$J$1,0),FALSE)</f>
        <v>0.59399999999999997</v>
      </c>
      <c r="L339" s="121">
        <f>VLOOKUP($B339,Totalt!$B$1:$BU$497,MATCH("total el",Totalt!$B$1:$BU$1,0),FALSE)</f>
        <v>0.2</v>
      </c>
      <c r="N339" s="271">
        <f t="shared" si="20"/>
        <v>0.38</v>
      </c>
      <c r="O339" s="271">
        <f t="shared" si="21"/>
        <v>1.0000000000000002E-2</v>
      </c>
      <c r="P339" s="271">
        <f t="shared" si="22"/>
        <v>0</v>
      </c>
      <c r="Q339" s="271">
        <f t="shared" si="23"/>
        <v>0.1188</v>
      </c>
    </row>
    <row r="340" spans="1:17" x14ac:dyDescent="0.25">
      <c r="A340" s="137" t="s">
        <v>654</v>
      </c>
      <c r="B340" s="137" t="s">
        <v>662</v>
      </c>
      <c r="C340" s="121" t="str">
        <f>VLOOKUP($B340,Totalt!$B$1:$BU$497,MATCH("Kvalitetsgranskad:",Totalt!$B$1:$BU$1,0),FALSE)</f>
        <v>Ja</v>
      </c>
      <c r="E340" s="121" t="str">
        <f>VLOOKUP($B340,Miljö!$B$1:$AG$479,MATCH(E$1,Miljö!$B$1:$AK$1,0),FALSE)</f>
        <v>Ja</v>
      </c>
      <c r="F340" s="121" t="str">
        <f>VLOOKUP($B340,Miljö!$B$1:$J$479,MATCH("Typ av ursprungsspecificerad el   (Om inget värde anges används Nordisk residualmix, se inforuta) ()",Miljö!$B$1:$J$1,0),FALSE)</f>
        <v>'"Vattenfall elmix"'</v>
      </c>
      <c r="G340" s="121">
        <f>VLOOKUP($B340,Miljö!$B$1:$J$479,MATCH("Primärenergifaktor ()",Miljö!$B$1:$J$1,0),FALSE)</f>
        <v>1.9</v>
      </c>
      <c r="H340" s="121">
        <f>VLOOKUP($B340,Miljö!$B$1:$J$479,MATCH("Koldioxidekvivalenter energiomvandling (g/kwh)",Miljö!$B$1:$J$1,0),FALSE)</f>
        <v>0.05</v>
      </c>
      <c r="I340" s="121">
        <f>VLOOKUP($B340,Miljö!$B$1:$J$479,MATCH("Fossilandel för ursprungspecificerad el ()",Miljö!$B$1:$J$1,0),FALSE)</f>
        <v>0</v>
      </c>
      <c r="J340" s="121">
        <f>VLOOKUP($B340,Miljö!$B$1:$J$479,MATCH("Kärnkraftsandel för ursprungsspecificerad el ()",Miljö!$B$1:$J$1,0),FALSE)</f>
        <v>0.59399999999999997</v>
      </c>
      <c r="L340" s="121">
        <f>VLOOKUP($B340,Totalt!$B$1:$BU$497,MATCH("total el",Totalt!$B$1:$BU$1,0),FALSE)</f>
        <v>118.07389999999999</v>
      </c>
      <c r="N340" s="271">
        <f t="shared" si="20"/>
        <v>224.34040999999999</v>
      </c>
      <c r="O340" s="271">
        <f t="shared" si="21"/>
        <v>5.9036949999999999</v>
      </c>
      <c r="P340" s="271">
        <f t="shared" si="22"/>
        <v>0</v>
      </c>
      <c r="Q340" s="271">
        <f t="shared" si="23"/>
        <v>70.135896599999995</v>
      </c>
    </row>
    <row r="341" spans="1:17" x14ac:dyDescent="0.25">
      <c r="A341" s="137" t="s">
        <v>654</v>
      </c>
      <c r="B341" s="137" t="s">
        <v>663</v>
      </c>
      <c r="C341" s="121" t="str">
        <f>VLOOKUP($B341,Totalt!$B$1:$BU$497,MATCH("Kvalitetsgranskad:",Totalt!$B$1:$BU$1,0),FALSE)</f>
        <v>Ja</v>
      </c>
      <c r="E341" s="121" t="str">
        <f>VLOOKUP($B341,Miljö!$B$1:$AG$479,MATCH(E$1,Miljö!$B$1:$AK$1,0),FALSE)</f>
        <v>Ja</v>
      </c>
      <c r="F341" s="121" t="str">
        <f>VLOOKUP($B341,Miljö!$B$1:$J$479,MATCH("Typ av ursprungsspecificerad el   (Om inget värde anges används Nordisk residualmix, se inforuta) ()",Miljö!$B$1:$J$1,0),FALSE)</f>
        <v>-</v>
      </c>
      <c r="G341" s="121">
        <f>VLOOKUP($B341,Miljö!$B$1:$J$479,MATCH("Primärenergifaktor ()",Miljö!$B$1:$J$1,0),FALSE)</f>
        <v>1.9</v>
      </c>
      <c r="H341" s="121">
        <f>VLOOKUP($B341,Miljö!$B$1:$J$479,MATCH("Koldioxidekvivalenter energiomvandling (g/kwh)",Miljö!$B$1:$J$1,0),FALSE)</f>
        <v>0.05</v>
      </c>
      <c r="I341" s="121">
        <f>VLOOKUP($B341,Miljö!$B$1:$J$479,MATCH("Fossilandel för ursprungspecificerad el ()",Miljö!$B$1:$J$1,0),FALSE)</f>
        <v>0</v>
      </c>
      <c r="J341" s="121">
        <f>VLOOKUP($B341,Miljö!$B$1:$J$479,MATCH("Kärnkraftsandel för ursprungsspecificerad el ()",Miljö!$B$1:$J$1,0),FALSE)</f>
        <v>0.59399999999999997</v>
      </c>
      <c r="L341" s="121">
        <f>VLOOKUP($B341,Totalt!$B$1:$BU$497,MATCH("total el",Totalt!$B$1:$BU$1,0),FALSE)</f>
        <v>1.1000000000000001</v>
      </c>
      <c r="N341" s="271">
        <f t="shared" si="20"/>
        <v>2.09</v>
      </c>
      <c r="O341" s="271">
        <f t="shared" si="21"/>
        <v>5.5000000000000007E-2</v>
      </c>
      <c r="P341" s="271">
        <f t="shared" si="22"/>
        <v>0</v>
      </c>
      <c r="Q341" s="271">
        <f t="shared" si="23"/>
        <v>0.65339999999999998</v>
      </c>
    </row>
    <row r="342" spans="1:17" x14ac:dyDescent="0.25">
      <c r="A342" s="137" t="s">
        <v>7</v>
      </c>
      <c r="B342" s="137" t="s">
        <v>664</v>
      </c>
      <c r="C342" s="121" t="str">
        <f>VLOOKUP($B342,Totalt!$B$1:$BU$497,MATCH("Kvalitetsgranskad:",Totalt!$B$1:$BU$1,0),FALSE)</f>
        <v>Ja</v>
      </c>
      <c r="E342" s="121" t="str">
        <f>VLOOKUP($B342,Miljö!$B$1:$AG$479,MATCH(E$1,Miljö!$B$1:$AK$1,0),FALSE)</f>
        <v>Nej</v>
      </c>
      <c r="F342" s="121" t="str">
        <f>VLOOKUP($B342,Miljö!$B$1:$J$479,MATCH("Typ av ursprungsspecificerad el   (Om inget värde anges används Nordisk residualmix, se inforuta) ()",Miljö!$B$1:$J$1,0),FALSE)</f>
        <v>-</v>
      </c>
      <c r="G342" s="121">
        <f>VLOOKUP($B342,Miljö!$B$1:$J$479,MATCH("Primärenergifaktor ()",Miljö!$B$1:$J$1,0),FALSE)</f>
        <v>2.2999999999999998</v>
      </c>
      <c r="H342" s="121">
        <f>VLOOKUP($B342,Miljö!$B$1:$J$479,MATCH("Koldioxidekvivalenter energiomvandling (g/kwh)",Miljö!$B$1:$J$1,0),FALSE)</f>
        <v>329.19</v>
      </c>
      <c r="I342" s="121">
        <f>VLOOKUP($B342,Miljö!$B$1:$J$479,MATCH("Fossilandel för ursprungspecificerad el ()",Miljö!$B$1:$J$1,0),FALSE)</f>
        <v>0.43</v>
      </c>
      <c r="J342" s="121">
        <f>VLOOKUP($B342,Miljö!$B$1:$J$479,MATCH("Kärnkraftsandel för ursprungsspecificerad el ()",Miljö!$B$1:$J$1,0),FALSE)</f>
        <v>0.40550000000000003</v>
      </c>
      <c r="L342" s="121">
        <f>VLOOKUP($B342,Totalt!$B$1:$BU$497,MATCH("total el",Totalt!$B$1:$BU$1,0),FALSE)</f>
        <v>0.1</v>
      </c>
      <c r="N342" s="271">
        <f t="shared" si="20"/>
        <v>0.22999999999999998</v>
      </c>
      <c r="O342" s="271">
        <f t="shared" si="21"/>
        <v>32.919000000000004</v>
      </c>
      <c r="P342" s="271">
        <f t="shared" si="22"/>
        <v>4.3000000000000003E-2</v>
      </c>
      <c r="Q342" s="271">
        <f t="shared" si="23"/>
        <v>4.0550000000000003E-2</v>
      </c>
    </row>
    <row r="343" spans="1:17" x14ac:dyDescent="0.25">
      <c r="A343" s="137" t="s">
        <v>7</v>
      </c>
      <c r="B343" s="137" t="s">
        <v>8</v>
      </c>
      <c r="C343" s="121" t="str">
        <f>VLOOKUP($B343,Totalt!$B$1:$BU$497,MATCH("Kvalitetsgranskad:",Totalt!$B$1:$BU$1,0),FALSE)</f>
        <v>Nej</v>
      </c>
      <c r="E343" s="121" t="str">
        <f>VLOOKUP($B343,Miljö!$B$1:$AG$479,MATCH(E$1,Miljö!$B$1:$AK$1,0),FALSE)</f>
        <v>Nej</v>
      </c>
      <c r="F343" s="121" t="str">
        <f>VLOOKUP($B343,Miljö!$B$1:$J$479,MATCH("Typ av ursprungsspecificerad el   (Om inget värde anges används Nordisk residualmix, se inforuta) ()",Miljö!$B$1:$J$1,0),FALSE)</f>
        <v>-</v>
      </c>
      <c r="G343" s="121">
        <f>VLOOKUP($B343,Miljö!$B$1:$J$479,MATCH("Primärenergifaktor ()",Miljö!$B$1:$J$1,0),FALSE)</f>
        <v>2.2999999999999998</v>
      </c>
      <c r="H343" s="121">
        <f>VLOOKUP($B343,Miljö!$B$1:$J$479,MATCH("Koldioxidekvivalenter energiomvandling (g/kwh)",Miljö!$B$1:$J$1,0),FALSE)</f>
        <v>329.19</v>
      </c>
      <c r="I343" s="121">
        <f>VLOOKUP($B343,Miljö!$B$1:$J$479,MATCH("Fossilandel för ursprungspecificerad el ()",Miljö!$B$1:$J$1,0),FALSE)</f>
        <v>0.43</v>
      </c>
      <c r="J343" s="121">
        <f>VLOOKUP($B343,Miljö!$B$1:$J$479,MATCH("Kärnkraftsandel för ursprungsspecificerad el ()",Miljö!$B$1:$J$1,0),FALSE)</f>
        <v>0.40550000000000003</v>
      </c>
      <c r="L343" s="121">
        <f>VLOOKUP($B343,Totalt!$B$1:$BU$497,MATCH("total el",Totalt!$B$1:$BU$1,0),FALSE)</f>
        <v>9.9000000000000005E-2</v>
      </c>
      <c r="N343" s="271">
        <f t="shared" si="20"/>
        <v>0.22769999999999999</v>
      </c>
      <c r="O343" s="271">
        <f t="shared" si="21"/>
        <v>32.58981</v>
      </c>
      <c r="P343" s="271">
        <f t="shared" si="22"/>
        <v>4.2570000000000004E-2</v>
      </c>
      <c r="Q343" s="271">
        <f t="shared" si="23"/>
        <v>4.0144500000000007E-2</v>
      </c>
    </row>
    <row r="344" spans="1:17" x14ac:dyDescent="0.25">
      <c r="A344" s="137" t="s">
        <v>665</v>
      </c>
      <c r="B344" s="137" t="s">
        <v>666</v>
      </c>
      <c r="C344" s="121" t="str">
        <f>VLOOKUP($B344,Totalt!$B$1:$BU$497,MATCH("Kvalitetsgranskad:",Totalt!$B$1:$BU$1,0),FALSE)</f>
        <v>Ja</v>
      </c>
      <c r="E344" s="121" t="str">
        <f>VLOOKUP($B344,Miljö!$B$1:$AG$479,MATCH(E$1,Miljö!$B$1:$AK$1,0),FALSE)</f>
        <v>Nej</v>
      </c>
      <c r="F344" s="121" t="str">
        <f>VLOOKUP($B344,Miljö!$B$1:$J$479,MATCH("Typ av ursprungsspecificerad el   (Om inget värde anges används Nordisk residualmix, se inforuta) ()",Miljö!$B$1:$J$1,0),FALSE)</f>
        <v>'-'</v>
      </c>
      <c r="G344" s="121">
        <f>VLOOKUP($B344,Miljö!$B$1:$J$479,MATCH("Primärenergifaktor ()",Miljö!$B$1:$J$1,0),FALSE)</f>
        <v>2.2999999999999998</v>
      </c>
      <c r="H344" s="121">
        <f>VLOOKUP($B344,Miljö!$B$1:$J$479,MATCH("Koldioxidekvivalenter energiomvandling (g/kwh)",Miljö!$B$1:$J$1,0),FALSE)</f>
        <v>329.19</v>
      </c>
      <c r="I344" s="121">
        <f>VLOOKUP($B344,Miljö!$B$1:$J$479,MATCH("Fossilandel för ursprungspecificerad el ()",Miljö!$B$1:$J$1,0),FALSE)</f>
        <v>0.43</v>
      </c>
      <c r="J344" s="121">
        <f>VLOOKUP($B344,Miljö!$B$1:$J$479,MATCH("Kärnkraftsandel för ursprungsspecificerad el ()",Miljö!$B$1:$J$1,0),FALSE)</f>
        <v>0.40550000000000003</v>
      </c>
      <c r="L344" s="121">
        <f>VLOOKUP($B344,Totalt!$B$1:$BU$497,MATCH("total el",Totalt!$B$1:$BU$1,0),FALSE)</f>
        <v>0.13569000000000001</v>
      </c>
      <c r="N344" s="271">
        <f t="shared" si="20"/>
        <v>0.312087</v>
      </c>
      <c r="O344" s="271">
        <f t="shared" si="21"/>
        <v>44.667791100000002</v>
      </c>
      <c r="P344" s="271">
        <f t="shared" si="22"/>
        <v>5.8346700000000001E-2</v>
      </c>
      <c r="Q344" s="271">
        <f t="shared" si="23"/>
        <v>5.5022295000000006E-2</v>
      </c>
    </row>
    <row r="345" spans="1:17" x14ac:dyDescent="0.25">
      <c r="A345" s="137" t="s">
        <v>665</v>
      </c>
      <c r="B345" s="137" t="s">
        <v>667</v>
      </c>
      <c r="C345" s="121" t="str">
        <f>VLOOKUP($B345,Totalt!$B$1:$BU$497,MATCH("Kvalitetsgranskad:",Totalt!$B$1:$BU$1,0),FALSE)</f>
        <v>Ja</v>
      </c>
      <c r="E345" s="121" t="str">
        <f>VLOOKUP($B345,Miljö!$B$1:$AG$479,MATCH(E$1,Miljö!$B$1:$AK$1,0),FALSE)</f>
        <v>Ja</v>
      </c>
      <c r="F345" s="121" t="str">
        <f>VLOOKUP($B345,Miljö!$B$1:$J$479,MATCH("Typ av ursprungsspecificerad el   (Om inget värde anges används Nordisk residualmix, se inforuta) ()",Miljö!$B$1:$J$1,0),FALSE)</f>
        <v>'Vattenel EPD. kraftvärme bio'</v>
      </c>
      <c r="G345" s="121">
        <f>VLOOKUP($B345,Miljö!$B$1:$J$479,MATCH("Primärenergifaktor ()",Miljö!$B$1:$J$1,0),FALSE)</f>
        <v>1.1000000000000001</v>
      </c>
      <c r="H345" s="121">
        <f>VLOOKUP($B345,Miljö!$B$1:$J$479,MATCH("Koldioxidekvivalenter energiomvandling (g/kwh)",Miljö!$B$1:$J$1,0),FALSE)</f>
        <v>2.9700000000000001E-4</v>
      </c>
      <c r="I345" s="121">
        <f>VLOOKUP($B345,Miljö!$B$1:$J$479,MATCH("Fossilandel för ursprungspecificerad el ()",Miljö!$B$1:$J$1,0),FALSE)</f>
        <v>0</v>
      </c>
      <c r="J345" s="121">
        <f>VLOOKUP($B345,Miljö!$B$1:$J$479,MATCH("Kärnkraftsandel för ursprungsspecificerad el ()",Miljö!$B$1:$J$1,0),FALSE)</f>
        <v>0</v>
      </c>
      <c r="L345" s="121">
        <f>VLOOKUP($B345,Totalt!$B$1:$BU$497,MATCH("total el",Totalt!$B$1:$BU$1,0),FALSE)</f>
        <v>0.106</v>
      </c>
      <c r="N345" s="271">
        <f t="shared" si="20"/>
        <v>0.11660000000000001</v>
      </c>
      <c r="O345" s="271">
        <f t="shared" si="21"/>
        <v>3.1482000000000001E-5</v>
      </c>
      <c r="P345" s="271">
        <f t="shared" si="22"/>
        <v>0</v>
      </c>
      <c r="Q345" s="271">
        <f t="shared" si="23"/>
        <v>0</v>
      </c>
    </row>
    <row r="346" spans="1:17" x14ac:dyDescent="0.25">
      <c r="A346" s="137" t="s">
        <v>665</v>
      </c>
      <c r="B346" s="137" t="s">
        <v>668</v>
      </c>
      <c r="C346" s="121" t="str">
        <f>VLOOKUP($B346,Totalt!$B$1:$BU$497,MATCH("Kvalitetsgranskad:",Totalt!$B$1:$BU$1,0),FALSE)</f>
        <v>Ja</v>
      </c>
      <c r="E346" s="121" t="str">
        <f>VLOOKUP($B346,Miljö!$B$1:$AG$479,MATCH(E$1,Miljö!$B$1:$AK$1,0),FALSE)</f>
        <v>Ja</v>
      </c>
      <c r="F346" s="121" t="str">
        <f>VLOOKUP($B346,Miljö!$B$1:$J$479,MATCH("Typ av ursprungsspecificerad el   (Om inget värde anges används Nordisk residualmix, se inforuta) ()",Miljö!$B$1:$J$1,0),FALSE)</f>
        <v>'Vattenel EPD. Kraftvärme bio'</v>
      </c>
      <c r="G346" s="121">
        <f>VLOOKUP($B346,Miljö!$B$1:$J$479,MATCH("Primärenergifaktor ()",Miljö!$B$1:$J$1,0),FALSE)</f>
        <v>1.1000000000000001</v>
      </c>
      <c r="H346" s="121">
        <f>VLOOKUP($B346,Miljö!$B$1:$J$479,MATCH("Koldioxidekvivalenter energiomvandling (g/kwh)",Miljö!$B$1:$J$1,0),FALSE)</f>
        <v>2.9700000000000001E-4</v>
      </c>
      <c r="I346" s="121">
        <f>VLOOKUP($B346,Miljö!$B$1:$J$479,MATCH("Fossilandel för ursprungspecificerad el ()",Miljö!$B$1:$J$1,0),FALSE)</f>
        <v>0</v>
      </c>
      <c r="J346" s="121">
        <f>VLOOKUP($B346,Miljö!$B$1:$J$479,MATCH("Kärnkraftsandel för ursprungsspecificerad el ()",Miljö!$B$1:$J$1,0),FALSE)</f>
        <v>0</v>
      </c>
      <c r="L346" s="121">
        <f>VLOOKUP($B346,Totalt!$B$1:$BU$497,MATCH("total el",Totalt!$B$1:$BU$1,0),FALSE)</f>
        <v>0.154</v>
      </c>
      <c r="N346" s="271">
        <f t="shared" si="20"/>
        <v>0.16940000000000002</v>
      </c>
      <c r="O346" s="271">
        <f t="shared" si="21"/>
        <v>4.5738000000000002E-5</v>
      </c>
      <c r="P346" s="271">
        <f t="shared" si="22"/>
        <v>0</v>
      </c>
      <c r="Q346" s="271">
        <f t="shared" si="23"/>
        <v>0</v>
      </c>
    </row>
    <row r="347" spans="1:17" x14ac:dyDescent="0.25">
      <c r="A347" s="137" t="s">
        <v>665</v>
      </c>
      <c r="B347" s="137" t="s">
        <v>669</v>
      </c>
      <c r="C347" s="121" t="str">
        <f>VLOOKUP($B347,Totalt!$B$1:$BU$497,MATCH("Kvalitetsgranskad:",Totalt!$B$1:$BU$1,0),FALSE)</f>
        <v>Ja</v>
      </c>
      <c r="E347" s="121" t="str">
        <f>VLOOKUP($B347,Miljö!$B$1:$AG$479,MATCH(E$1,Miljö!$B$1:$AK$1,0),FALSE)</f>
        <v>Ja</v>
      </c>
      <c r="F347" s="121" t="str">
        <f>VLOOKUP($B347,Miljö!$B$1:$J$479,MATCH("Typ av ursprungsspecificerad el   (Om inget värde anges används Nordisk residualmix, se inforuta) ()",Miljö!$B$1:$J$1,0),FALSE)</f>
        <v>'Vattenel EPD. Kraftvärme bio'</v>
      </c>
      <c r="G347" s="121">
        <f>VLOOKUP($B347,Miljö!$B$1:$J$479,MATCH("Primärenergifaktor ()",Miljö!$B$1:$J$1,0),FALSE)</f>
        <v>1.1000000000000001</v>
      </c>
      <c r="H347" s="121">
        <f>VLOOKUP($B347,Miljö!$B$1:$J$479,MATCH("Koldioxidekvivalenter energiomvandling (g/kwh)",Miljö!$B$1:$J$1,0),FALSE)</f>
        <v>2.9700000000000001E-4</v>
      </c>
      <c r="I347" s="121">
        <f>VLOOKUP($B347,Miljö!$B$1:$J$479,MATCH("Fossilandel för ursprungspecificerad el ()",Miljö!$B$1:$J$1,0),FALSE)</f>
        <v>0</v>
      </c>
      <c r="J347" s="121">
        <f>VLOOKUP($B347,Miljö!$B$1:$J$479,MATCH("Kärnkraftsandel för ursprungsspecificerad el ()",Miljö!$B$1:$J$1,0),FALSE)</f>
        <v>0</v>
      </c>
      <c r="L347" s="121">
        <f>VLOOKUP($B347,Totalt!$B$1:$BU$497,MATCH("total el",Totalt!$B$1:$BU$1,0),FALSE)</f>
        <v>0.22700000000000001</v>
      </c>
      <c r="N347" s="271">
        <f t="shared" si="20"/>
        <v>0.24970000000000003</v>
      </c>
      <c r="O347" s="271">
        <f t="shared" si="21"/>
        <v>6.7418999999999999E-5</v>
      </c>
      <c r="P347" s="271">
        <f t="shared" si="22"/>
        <v>0</v>
      </c>
      <c r="Q347" s="271">
        <f t="shared" si="23"/>
        <v>0</v>
      </c>
    </row>
    <row r="348" spans="1:17" x14ac:dyDescent="0.25">
      <c r="A348" s="137" t="s">
        <v>665</v>
      </c>
      <c r="B348" s="137" t="s">
        <v>670</v>
      </c>
      <c r="C348" s="121" t="str">
        <f>VLOOKUP($B348,Totalt!$B$1:$BU$497,MATCH("Kvalitetsgranskad:",Totalt!$B$1:$BU$1,0),FALSE)</f>
        <v>Ja</v>
      </c>
      <c r="E348" s="121" t="str">
        <f>VLOOKUP($B348,Miljö!$B$1:$AG$479,MATCH(E$1,Miljö!$B$1:$AK$1,0),FALSE)</f>
        <v>Ja</v>
      </c>
      <c r="F348" s="121" t="str">
        <f>VLOOKUP($B348,Miljö!$B$1:$J$479,MATCH("Typ av ursprungsspecificerad el   (Om inget värde anges används Nordisk residualmix, se inforuta) ()",Miljö!$B$1:$J$1,0),FALSE)</f>
        <v>'Vattenel EPD. kraftvärme bio'</v>
      </c>
      <c r="G348" s="121">
        <f>VLOOKUP($B348,Miljö!$B$1:$J$479,MATCH("Primärenergifaktor ()",Miljö!$B$1:$J$1,0),FALSE)</f>
        <v>1.1000000000000001</v>
      </c>
      <c r="H348" s="121">
        <f>VLOOKUP($B348,Miljö!$B$1:$J$479,MATCH("Koldioxidekvivalenter energiomvandling (g/kwh)",Miljö!$B$1:$J$1,0),FALSE)</f>
        <v>2.9700000000000001E-4</v>
      </c>
      <c r="I348" s="121">
        <f>VLOOKUP($B348,Miljö!$B$1:$J$479,MATCH("Fossilandel för ursprungspecificerad el ()",Miljö!$B$1:$J$1,0),FALSE)</f>
        <v>0</v>
      </c>
      <c r="J348" s="121">
        <f>VLOOKUP($B348,Miljö!$B$1:$J$479,MATCH("Kärnkraftsandel för ursprungsspecificerad el ()",Miljö!$B$1:$J$1,0),FALSE)</f>
        <v>0</v>
      </c>
      <c r="L348" s="121">
        <f>VLOOKUP($B348,Totalt!$B$1:$BU$497,MATCH("total el",Totalt!$B$1:$BU$1,0),FALSE)</f>
        <v>1.10554</v>
      </c>
      <c r="N348" s="271">
        <f t="shared" si="20"/>
        <v>1.216094</v>
      </c>
      <c r="O348" s="271">
        <f t="shared" si="21"/>
        <v>3.2834538000000001E-4</v>
      </c>
      <c r="P348" s="271">
        <f t="shared" si="22"/>
        <v>0</v>
      </c>
      <c r="Q348" s="271">
        <f t="shared" si="23"/>
        <v>0</v>
      </c>
    </row>
    <row r="349" spans="1:17" x14ac:dyDescent="0.25">
      <c r="A349" s="137" t="s">
        <v>671</v>
      </c>
      <c r="B349" s="137" t="s">
        <v>672</v>
      </c>
      <c r="C349" s="121" t="str">
        <f>VLOOKUP($B349,Totalt!$B$1:$BU$497,MATCH("Kvalitetsgranskad:",Totalt!$B$1:$BU$1,0),FALSE)</f>
        <v>Ja</v>
      </c>
      <c r="E349" s="121" t="str">
        <f>VLOOKUP($B349,Miljö!$B$1:$AG$479,MATCH(E$1,Miljö!$B$1:$AK$1,0),FALSE)</f>
        <v>Ja</v>
      </c>
      <c r="F349" s="121" t="str">
        <f>VLOOKUP($B349,Miljö!$B$1:$J$479,MATCH("Typ av ursprungsspecificerad el   (Om inget värde anges används Nordisk residualmix, se inforuta) ()",Miljö!$B$1:$J$1,0),FALSE)</f>
        <v>'100% ursprungsmärkt nordisk vattenkraft'</v>
      </c>
      <c r="G349" s="121">
        <f>VLOOKUP($B349,Miljö!$B$1:$J$479,MATCH("Primärenergifaktor ()",Miljö!$B$1:$J$1,0),FALSE)</f>
        <v>1.1000000000000001</v>
      </c>
      <c r="H349" s="121">
        <f>VLOOKUP($B349,Miljö!$B$1:$J$479,MATCH("Koldioxidekvivalenter energiomvandling (g/kwh)",Miljö!$B$1:$J$1,0),FALSE)</f>
        <v>0</v>
      </c>
      <c r="I349" s="121">
        <f>VLOOKUP($B349,Miljö!$B$1:$J$479,MATCH("Fossilandel för ursprungspecificerad el ()",Miljö!$B$1:$J$1,0),FALSE)</f>
        <v>0</v>
      </c>
      <c r="J349" s="121">
        <f>VLOOKUP($B349,Miljö!$B$1:$J$479,MATCH("Kärnkraftsandel för ursprungsspecificerad el ()",Miljö!$B$1:$J$1,0),FALSE)</f>
        <v>0</v>
      </c>
      <c r="L349" s="121">
        <f>VLOOKUP($B349,Totalt!$B$1:$BU$497,MATCH("total el",Totalt!$B$1:$BU$1,0),FALSE)</f>
        <v>5.28E-2</v>
      </c>
      <c r="N349" s="271">
        <f t="shared" si="20"/>
        <v>5.8080000000000007E-2</v>
      </c>
      <c r="O349" s="271">
        <f t="shared" si="21"/>
        <v>0</v>
      </c>
      <c r="P349" s="271">
        <f t="shared" si="22"/>
        <v>0</v>
      </c>
      <c r="Q349" s="271">
        <f t="shared" si="23"/>
        <v>0</v>
      </c>
    </row>
    <row r="350" spans="1:17" x14ac:dyDescent="0.25">
      <c r="A350" s="137" t="s">
        <v>671</v>
      </c>
      <c r="B350" s="137" t="s">
        <v>673</v>
      </c>
      <c r="C350" s="121" t="str">
        <f>VLOOKUP($B350,Totalt!$B$1:$BU$497,MATCH("Kvalitetsgranskad:",Totalt!$B$1:$BU$1,0),FALSE)</f>
        <v>Ja</v>
      </c>
      <c r="E350" s="121" t="str">
        <f>VLOOKUP($B350,Miljö!$B$1:$AG$479,MATCH(E$1,Miljö!$B$1:$AK$1,0),FALSE)</f>
        <v>Ja</v>
      </c>
      <c r="F350" s="121" t="str">
        <f>VLOOKUP($B350,Miljö!$B$1:$J$479,MATCH("Typ av ursprungsspecificerad el   (Om inget värde anges används Nordisk residualmix, se inforuta) ()",Miljö!$B$1:$J$1,0),FALSE)</f>
        <v>'Biobränslebaserad kraftvärme från KKAB'</v>
      </c>
      <c r="G350" s="121">
        <f>VLOOKUP($B350,Miljö!$B$1:$J$479,MATCH("Primärenergifaktor ()",Miljö!$B$1:$J$1,0),FALSE)</f>
        <v>0.05</v>
      </c>
      <c r="H350" s="121">
        <f>VLOOKUP($B350,Miljö!$B$1:$J$479,MATCH("Koldioxidekvivalenter energiomvandling (g/kwh)",Miljö!$B$1:$J$1,0),FALSE)</f>
        <v>0.7</v>
      </c>
      <c r="I350" s="121">
        <f>VLOOKUP($B350,Miljö!$B$1:$J$479,MATCH("Fossilandel för ursprungspecificerad el ()",Miljö!$B$1:$J$1,0),FALSE)</f>
        <v>0</v>
      </c>
      <c r="J350" s="121">
        <f>VLOOKUP($B350,Miljö!$B$1:$J$479,MATCH("Kärnkraftsandel för ursprungsspecificerad el ()",Miljö!$B$1:$J$1,0),FALSE)</f>
        <v>0</v>
      </c>
      <c r="L350" s="121">
        <f>VLOOKUP($B350,Totalt!$B$1:$BU$497,MATCH("total el",Totalt!$B$1:$BU$1,0),FALSE)</f>
        <v>2.2601200000000001</v>
      </c>
      <c r="N350" s="271">
        <f t="shared" si="20"/>
        <v>0.11300600000000001</v>
      </c>
      <c r="O350" s="271">
        <f t="shared" si="21"/>
        <v>1.582084</v>
      </c>
      <c r="P350" s="271">
        <f t="shared" si="22"/>
        <v>0</v>
      </c>
      <c r="Q350" s="271">
        <f t="shared" si="23"/>
        <v>0</v>
      </c>
    </row>
    <row r="351" spans="1:17" x14ac:dyDescent="0.25">
      <c r="A351" s="137" t="s">
        <v>671</v>
      </c>
      <c r="B351" s="137" t="s">
        <v>674</v>
      </c>
      <c r="C351" s="121" t="str">
        <f>VLOOKUP($B351,Totalt!$B$1:$BU$497,MATCH("Kvalitetsgranskad:",Totalt!$B$1:$BU$1,0),FALSE)</f>
        <v>Ja</v>
      </c>
      <c r="E351" s="121" t="str">
        <f>VLOOKUP($B351,Miljö!$B$1:$AG$479,MATCH(E$1,Miljö!$B$1:$AK$1,0),FALSE)</f>
        <v>Ja</v>
      </c>
      <c r="F351" s="121" t="str">
        <f>VLOOKUP($B351,Miljö!$B$1:$J$479,MATCH("Typ av ursprungsspecificerad el   (Om inget värde anges används Nordisk residualmix, se inforuta) ()",Miljö!$B$1:$J$1,0),FALSE)</f>
        <v>'100% Ursprungsmärkt nordisk vattenkraft'</v>
      </c>
      <c r="G351" s="121">
        <f>VLOOKUP($B351,Miljö!$B$1:$J$479,MATCH("Primärenergifaktor ()",Miljö!$B$1:$J$1,0),FALSE)</f>
        <v>1.1000000000000001</v>
      </c>
      <c r="H351" s="121">
        <f>VLOOKUP($B351,Miljö!$B$1:$J$479,MATCH("Koldioxidekvivalenter energiomvandling (g/kwh)",Miljö!$B$1:$J$1,0),FALSE)</f>
        <v>0</v>
      </c>
      <c r="I351" s="121">
        <f>VLOOKUP($B351,Miljö!$B$1:$J$479,MATCH("Fossilandel för ursprungspecificerad el ()",Miljö!$B$1:$J$1,0),FALSE)</f>
        <v>0</v>
      </c>
      <c r="J351" s="121">
        <f>VLOOKUP($B351,Miljö!$B$1:$J$479,MATCH("Kärnkraftsandel för ursprungsspecificerad el ()",Miljö!$B$1:$J$1,0),FALSE)</f>
        <v>0</v>
      </c>
      <c r="L351" s="121">
        <f>VLOOKUP($B351,Totalt!$B$1:$BU$497,MATCH("total el",Totalt!$B$1:$BU$1,0),FALSE)</f>
        <v>0.6</v>
      </c>
      <c r="N351" s="271">
        <f t="shared" si="20"/>
        <v>0.66</v>
      </c>
      <c r="O351" s="271">
        <f t="shared" si="21"/>
        <v>0</v>
      </c>
      <c r="P351" s="271">
        <f t="shared" si="22"/>
        <v>0</v>
      </c>
      <c r="Q351" s="271">
        <f t="shared" si="23"/>
        <v>0</v>
      </c>
    </row>
    <row r="352" spans="1:17" x14ac:dyDescent="0.25">
      <c r="A352" s="137" t="s">
        <v>52</v>
      </c>
      <c r="B352" s="137" t="s">
        <v>675</v>
      </c>
      <c r="C352" s="121" t="str">
        <f>VLOOKUP($B352,Totalt!$B$1:$BU$497,MATCH("Kvalitetsgranskad:",Totalt!$B$1:$BU$1,0),FALSE)</f>
        <v>Ja</v>
      </c>
      <c r="E352" s="121" t="str">
        <f>VLOOKUP($B352,Miljö!$B$1:$AG$479,MATCH(E$1,Miljö!$B$1:$AK$1,0),FALSE)</f>
        <v>Ja</v>
      </c>
      <c r="F352" s="121" t="str">
        <f>VLOOKUP($B352,Miljö!$B$1:$J$479,MATCH("Typ av ursprungsspecificerad el   (Om inget värde anges används Nordisk residualmix, se inforuta) ()",Miljö!$B$1:$J$1,0),FALSE)</f>
        <v>'Bio energi'</v>
      </c>
      <c r="G352" s="121">
        <f>VLOOKUP($B352,Miljö!$B$1:$J$479,MATCH("Primärenergifaktor ()",Miljö!$B$1:$J$1,0),FALSE)</f>
        <v>2</v>
      </c>
      <c r="H352" s="121">
        <f>VLOOKUP($B352,Miljö!$B$1:$J$479,MATCH("Koldioxidekvivalenter energiomvandling (g/kwh)",Miljö!$B$1:$J$1,0),FALSE)</f>
        <v>0</v>
      </c>
      <c r="I352" s="121">
        <f>VLOOKUP($B352,Miljö!$B$1:$J$479,MATCH("Fossilandel för ursprungspecificerad el ()",Miljö!$B$1:$J$1,0),FALSE)</f>
        <v>0</v>
      </c>
      <c r="J352" s="121">
        <f>VLOOKUP($B352,Miljö!$B$1:$J$479,MATCH("Kärnkraftsandel för ursprungsspecificerad el ()",Miljö!$B$1:$J$1,0),FALSE)</f>
        <v>0</v>
      </c>
      <c r="L352" s="121">
        <f>VLOOKUP($B352,Totalt!$B$1:$BU$497,MATCH("total el",Totalt!$B$1:$BU$1,0),FALSE)</f>
        <v>8.6880000000000006</v>
      </c>
      <c r="N352" s="271">
        <f t="shared" si="20"/>
        <v>17.376000000000001</v>
      </c>
      <c r="O352" s="271">
        <f t="shared" si="21"/>
        <v>0</v>
      </c>
      <c r="P352" s="271">
        <f t="shared" si="22"/>
        <v>0</v>
      </c>
      <c r="Q352" s="271">
        <f t="shared" si="23"/>
        <v>0</v>
      </c>
    </row>
    <row r="353" spans="1:17" x14ac:dyDescent="0.25">
      <c r="A353" s="137" t="s">
        <v>52</v>
      </c>
      <c r="B353" s="137" t="s">
        <v>676</v>
      </c>
      <c r="C353" s="121" t="str">
        <f>VLOOKUP($B353,Totalt!$B$1:$BU$497,MATCH("Kvalitetsgranskad:",Totalt!$B$1:$BU$1,0),FALSE)</f>
        <v>Ja</v>
      </c>
      <c r="E353" s="121" t="str">
        <f>VLOOKUP($B353,Miljö!$B$1:$AG$479,MATCH(E$1,Miljö!$B$1:$AK$1,0),FALSE)</f>
        <v>Ja</v>
      </c>
      <c r="F353" s="121" t="str">
        <f>VLOOKUP($B353,Miljö!$B$1:$J$479,MATCH("Typ av ursprungsspecificerad el   (Om inget värde anges används Nordisk residualmix, se inforuta) ()",Miljö!$B$1:$J$1,0),FALSE)</f>
        <v>'Bioel'</v>
      </c>
      <c r="G353" s="121">
        <f>VLOOKUP($B353,Miljö!$B$1:$J$479,MATCH("Primärenergifaktor ()",Miljö!$B$1:$J$1,0),FALSE)</f>
        <v>2</v>
      </c>
      <c r="H353" s="121">
        <f>VLOOKUP($B353,Miljö!$B$1:$J$479,MATCH("Koldioxidekvivalenter energiomvandling (g/kwh)",Miljö!$B$1:$J$1,0),FALSE)</f>
        <v>0</v>
      </c>
      <c r="I353" s="121">
        <f>VLOOKUP($B353,Miljö!$B$1:$J$479,MATCH("Fossilandel för ursprungspecificerad el ()",Miljö!$B$1:$J$1,0),FALSE)</f>
        <v>0</v>
      </c>
      <c r="J353" s="121">
        <f>VLOOKUP($B353,Miljö!$B$1:$J$479,MATCH("Kärnkraftsandel för ursprungsspecificerad el ()",Miljö!$B$1:$J$1,0),FALSE)</f>
        <v>0</v>
      </c>
      <c r="L353" s="121">
        <f>VLOOKUP($B353,Totalt!$B$1:$BU$497,MATCH("total el",Totalt!$B$1:$BU$1,0),FALSE)</f>
        <v>0.44400000000000001</v>
      </c>
      <c r="N353" s="271">
        <f t="shared" si="20"/>
        <v>0.88800000000000001</v>
      </c>
      <c r="O353" s="271">
        <f t="shared" si="21"/>
        <v>0</v>
      </c>
      <c r="P353" s="271">
        <f t="shared" si="22"/>
        <v>0</v>
      </c>
      <c r="Q353" s="271">
        <f t="shared" si="23"/>
        <v>0</v>
      </c>
    </row>
    <row r="354" spans="1:17" x14ac:dyDescent="0.25">
      <c r="A354" s="137" t="s">
        <v>52</v>
      </c>
      <c r="B354" s="137" t="s">
        <v>677</v>
      </c>
      <c r="C354" s="121" t="str">
        <f>VLOOKUP($B354,Totalt!$B$1:$BU$497,MATCH("Kvalitetsgranskad:",Totalt!$B$1:$BU$1,0),FALSE)</f>
        <v>Ja</v>
      </c>
      <c r="E354" s="121" t="str">
        <f>VLOOKUP($B354,Miljö!$B$1:$AG$479,MATCH(E$1,Miljö!$B$1:$AK$1,0),FALSE)</f>
        <v>Nej</v>
      </c>
      <c r="F354" s="121" t="str">
        <f>VLOOKUP($B354,Miljö!$B$1:$J$479,MATCH("Typ av ursprungsspecificerad el   (Om inget värde anges används Nordisk residualmix, se inforuta) ()",Miljö!$B$1:$J$1,0),FALSE)</f>
        <v>-</v>
      </c>
      <c r="G354" s="121">
        <f>VLOOKUP($B354,Miljö!$B$1:$J$479,MATCH("Primärenergifaktor ()",Miljö!$B$1:$J$1,0),FALSE)</f>
        <v>2.2999999999999998</v>
      </c>
      <c r="H354" s="121">
        <f>VLOOKUP($B354,Miljö!$B$1:$J$479,MATCH("Koldioxidekvivalenter energiomvandling (g/kwh)",Miljö!$B$1:$J$1,0),FALSE)</f>
        <v>329.19</v>
      </c>
      <c r="I354" s="121">
        <f>VLOOKUP($B354,Miljö!$B$1:$J$479,MATCH("Fossilandel för ursprungspecificerad el ()",Miljö!$B$1:$J$1,0),FALSE)</f>
        <v>0.43</v>
      </c>
      <c r="J354" s="121">
        <f>VLOOKUP($B354,Miljö!$B$1:$J$479,MATCH("Kärnkraftsandel för ursprungsspecificerad el ()",Miljö!$B$1:$J$1,0),FALSE)</f>
        <v>0.40550000000000003</v>
      </c>
      <c r="L354" s="121">
        <f>VLOOKUP($B354,Totalt!$B$1:$BU$497,MATCH("total el",Totalt!$B$1:$BU$1,0),FALSE)</f>
        <v>8.7999999999999995E-2</v>
      </c>
      <c r="N354" s="271">
        <f t="shared" si="20"/>
        <v>0.20239999999999997</v>
      </c>
      <c r="O354" s="271">
        <f t="shared" si="21"/>
        <v>28.968719999999998</v>
      </c>
      <c r="P354" s="271">
        <f t="shared" si="22"/>
        <v>3.7839999999999999E-2</v>
      </c>
      <c r="Q354" s="271">
        <f t="shared" si="23"/>
        <v>3.5684E-2</v>
      </c>
    </row>
    <row r="355" spans="1:17" x14ac:dyDescent="0.25">
      <c r="A355" s="137" t="s">
        <v>52</v>
      </c>
      <c r="B355" s="137" t="s">
        <v>678</v>
      </c>
      <c r="C355" s="121" t="str">
        <f>VLOOKUP($B355,Totalt!$B$1:$BU$497,MATCH("Kvalitetsgranskad:",Totalt!$B$1:$BU$1,0),FALSE)</f>
        <v>Ja</v>
      </c>
      <c r="E355" s="121" t="str">
        <f>VLOOKUP($B355,Miljö!$B$1:$AG$479,MATCH(E$1,Miljö!$B$1:$AK$1,0),FALSE)</f>
        <v>Ja</v>
      </c>
      <c r="F355" s="121" t="str">
        <f>VLOOKUP($B355,Miljö!$B$1:$J$479,MATCH("Typ av ursprungsspecificerad el   (Om inget värde anges används Nordisk residualmix, se inforuta) ()",Miljö!$B$1:$J$1,0),FALSE)</f>
        <v>'Bioel'</v>
      </c>
      <c r="G355" s="121">
        <f>VLOOKUP($B355,Miljö!$B$1:$J$479,MATCH("Primärenergifaktor ()",Miljö!$B$1:$J$1,0),FALSE)</f>
        <v>2</v>
      </c>
      <c r="H355" s="121">
        <f>VLOOKUP($B355,Miljö!$B$1:$J$479,MATCH("Koldioxidekvivalenter energiomvandling (g/kwh)",Miljö!$B$1:$J$1,0),FALSE)</f>
        <v>0</v>
      </c>
      <c r="I355" s="121">
        <f>VLOOKUP($B355,Miljö!$B$1:$J$479,MATCH("Fossilandel för ursprungspecificerad el ()",Miljö!$B$1:$J$1,0),FALSE)</f>
        <v>0</v>
      </c>
      <c r="J355" s="121">
        <f>VLOOKUP($B355,Miljö!$B$1:$J$479,MATCH("Kärnkraftsandel för ursprungsspecificerad el ()",Miljö!$B$1:$J$1,0),FALSE)</f>
        <v>0</v>
      </c>
      <c r="L355" s="121">
        <f>VLOOKUP($B355,Totalt!$B$1:$BU$497,MATCH("total el",Totalt!$B$1:$BU$1,0),FALSE)</f>
        <v>0.125</v>
      </c>
      <c r="N355" s="271">
        <f t="shared" si="20"/>
        <v>0.25</v>
      </c>
      <c r="O355" s="271">
        <f t="shared" si="21"/>
        <v>0</v>
      </c>
      <c r="P355" s="271">
        <f t="shared" si="22"/>
        <v>0</v>
      </c>
      <c r="Q355" s="271">
        <f t="shared" si="23"/>
        <v>0</v>
      </c>
    </row>
    <row r="356" spans="1:17" x14ac:dyDescent="0.25">
      <c r="A356" s="137" t="s">
        <v>52</v>
      </c>
      <c r="B356" s="137" t="s">
        <v>679</v>
      </c>
      <c r="C356" s="121" t="str">
        <f>VLOOKUP($B356,Totalt!$B$1:$BU$497,MATCH("Kvalitetsgranskad:",Totalt!$B$1:$BU$1,0),FALSE)</f>
        <v>Ja</v>
      </c>
      <c r="E356" s="121" t="str">
        <f>VLOOKUP($B356,Miljö!$B$1:$AG$479,MATCH(E$1,Miljö!$B$1:$AK$1,0),FALSE)</f>
        <v>Nej</v>
      </c>
      <c r="F356" s="121" t="str">
        <f>VLOOKUP($B356,Miljö!$B$1:$J$479,MATCH("Typ av ursprungsspecificerad el   (Om inget värde anges används Nordisk residualmix, se inforuta) ()",Miljö!$B$1:$J$1,0),FALSE)</f>
        <v>-</v>
      </c>
      <c r="G356" s="121">
        <f>VLOOKUP($B356,Miljö!$B$1:$J$479,MATCH("Primärenergifaktor ()",Miljö!$B$1:$J$1,0),FALSE)</f>
        <v>2.2999999999999998</v>
      </c>
      <c r="H356" s="121">
        <f>VLOOKUP($B356,Miljö!$B$1:$J$479,MATCH("Koldioxidekvivalenter energiomvandling (g/kwh)",Miljö!$B$1:$J$1,0),FALSE)</f>
        <v>329.19</v>
      </c>
      <c r="I356" s="121">
        <f>VLOOKUP($B356,Miljö!$B$1:$J$479,MATCH("Fossilandel för ursprungspecificerad el ()",Miljö!$B$1:$J$1,0),FALSE)</f>
        <v>0.43</v>
      </c>
      <c r="J356" s="121">
        <f>VLOOKUP($B356,Miljö!$B$1:$J$479,MATCH("Kärnkraftsandel för ursprungsspecificerad el ()",Miljö!$B$1:$J$1,0),FALSE)</f>
        <v>0.40550000000000003</v>
      </c>
      <c r="L356" s="121">
        <f>VLOOKUP($B356,Totalt!$B$1:$BU$497,MATCH("total el",Totalt!$B$1:$BU$1,0),FALSE)</f>
        <v>2.1694900000000001</v>
      </c>
      <c r="N356" s="271">
        <f t="shared" si="20"/>
        <v>4.989827</v>
      </c>
      <c r="O356" s="271">
        <f t="shared" si="21"/>
        <v>714.17441310000004</v>
      </c>
      <c r="P356" s="271">
        <f t="shared" si="22"/>
        <v>0.93288070000000001</v>
      </c>
      <c r="Q356" s="271">
        <f t="shared" si="23"/>
        <v>0.8797281950000001</v>
      </c>
    </row>
    <row r="357" spans="1:17" x14ac:dyDescent="0.25">
      <c r="A357" s="137" t="s">
        <v>52</v>
      </c>
      <c r="B357" s="137" t="s">
        <v>680</v>
      </c>
      <c r="C357" s="121" t="str">
        <f>VLOOKUP($B357,Totalt!$B$1:$BU$497,MATCH("Kvalitetsgranskad:",Totalt!$B$1:$BU$1,0),FALSE)</f>
        <v>Ja</v>
      </c>
      <c r="E357" s="121" t="str">
        <f>VLOOKUP($B357,Miljö!$B$1:$AG$479,MATCH(E$1,Miljö!$B$1:$AK$1,0),FALSE)</f>
        <v>Ja</v>
      </c>
      <c r="F357" s="121" t="str">
        <f>VLOOKUP($B357,Miljö!$B$1:$J$479,MATCH("Typ av ursprungsspecificerad el   (Om inget värde anges används Nordisk residualmix, se inforuta) ()",Miljö!$B$1:$J$1,0),FALSE)</f>
        <v>-</v>
      </c>
      <c r="G357" s="121">
        <f>VLOOKUP($B357,Miljö!$B$1:$J$479,MATCH("Primärenergifaktor ()",Miljö!$B$1:$J$1,0),FALSE)</f>
        <v>2</v>
      </c>
      <c r="H357" s="121">
        <f>VLOOKUP($B357,Miljö!$B$1:$J$479,MATCH("Koldioxidekvivalenter energiomvandling (g/kwh)",Miljö!$B$1:$J$1,0),FALSE)</f>
        <v>0</v>
      </c>
      <c r="I357" s="121">
        <f>VLOOKUP($B357,Miljö!$B$1:$J$479,MATCH("Fossilandel för ursprungspecificerad el ()",Miljö!$B$1:$J$1,0),FALSE)</f>
        <v>0</v>
      </c>
      <c r="J357" s="121">
        <f>VLOOKUP($B357,Miljö!$B$1:$J$479,MATCH("Kärnkraftsandel för ursprungsspecificerad el ()",Miljö!$B$1:$J$1,0),FALSE)</f>
        <v>0</v>
      </c>
      <c r="L357" s="121">
        <f>VLOOKUP($B357,Totalt!$B$1:$BU$497,MATCH("total el",Totalt!$B$1:$BU$1,0),FALSE)</f>
        <v>3.4624199999999998</v>
      </c>
      <c r="N357" s="271">
        <f t="shared" si="20"/>
        <v>6.9248399999999997</v>
      </c>
      <c r="O357" s="271">
        <f t="shared" si="21"/>
        <v>0</v>
      </c>
      <c r="P357" s="271">
        <f t="shared" si="22"/>
        <v>0</v>
      </c>
      <c r="Q357" s="271">
        <f t="shared" si="23"/>
        <v>0</v>
      </c>
    </row>
    <row r="358" spans="1:17" x14ac:dyDescent="0.25">
      <c r="A358" s="137" t="s">
        <v>52</v>
      </c>
      <c r="B358" s="137" t="s">
        <v>681</v>
      </c>
      <c r="C358" s="121" t="str">
        <f>VLOOKUP($B358,Totalt!$B$1:$BU$497,MATCH("Kvalitetsgranskad:",Totalt!$B$1:$BU$1,0),FALSE)</f>
        <v>Ja</v>
      </c>
      <c r="E358" s="121" t="str">
        <f>VLOOKUP($B358,Miljö!$B$1:$AG$479,MATCH(E$1,Miljö!$B$1:$AK$1,0),FALSE)</f>
        <v>Ja</v>
      </c>
      <c r="F358" s="121" t="str">
        <f>VLOOKUP($B358,Miljö!$B$1:$J$479,MATCH("Typ av ursprungsspecificerad el   (Om inget värde anges används Nordisk residualmix, se inforuta) ()",Miljö!$B$1:$J$1,0),FALSE)</f>
        <v>'Bioel'</v>
      </c>
      <c r="G358" s="121">
        <f>VLOOKUP($B358,Miljö!$B$1:$J$479,MATCH("Primärenergifaktor ()",Miljö!$B$1:$J$1,0),FALSE)</f>
        <v>2</v>
      </c>
      <c r="H358" s="121">
        <f>VLOOKUP($B358,Miljö!$B$1:$J$479,MATCH("Koldioxidekvivalenter energiomvandling (g/kwh)",Miljö!$B$1:$J$1,0),FALSE)</f>
        <v>0</v>
      </c>
      <c r="I358" s="121">
        <f>VLOOKUP($B358,Miljö!$B$1:$J$479,MATCH("Fossilandel för ursprungspecificerad el ()",Miljö!$B$1:$J$1,0),FALSE)</f>
        <v>0</v>
      </c>
      <c r="J358" s="121">
        <f>VLOOKUP($B358,Miljö!$B$1:$J$479,MATCH("Kärnkraftsandel för ursprungsspecificerad el ()",Miljö!$B$1:$J$1,0),FALSE)</f>
        <v>0</v>
      </c>
      <c r="L358" s="121">
        <f>VLOOKUP($B358,Totalt!$B$1:$BU$497,MATCH("total el",Totalt!$B$1:$BU$1,0),FALSE)</f>
        <v>0.95699999999999996</v>
      </c>
      <c r="N358" s="271">
        <f t="shared" si="20"/>
        <v>1.9139999999999999</v>
      </c>
      <c r="O358" s="271">
        <f t="shared" si="21"/>
        <v>0</v>
      </c>
      <c r="P358" s="271">
        <f t="shared" si="22"/>
        <v>0</v>
      </c>
      <c r="Q358" s="271">
        <f t="shared" si="23"/>
        <v>0</v>
      </c>
    </row>
    <row r="359" spans="1:17" x14ac:dyDescent="0.25">
      <c r="A359" s="137" t="s">
        <v>52</v>
      </c>
      <c r="B359" s="137" t="s">
        <v>682</v>
      </c>
      <c r="C359" s="121" t="str">
        <f>VLOOKUP($B359,Totalt!$B$1:$BU$497,MATCH("Kvalitetsgranskad:",Totalt!$B$1:$BU$1,0),FALSE)</f>
        <v>Ja</v>
      </c>
      <c r="E359" s="121" t="str">
        <f>VLOOKUP($B359,Miljö!$B$1:$AG$479,MATCH(E$1,Miljö!$B$1:$AK$1,0),FALSE)</f>
        <v>Ja</v>
      </c>
      <c r="F359" s="121" t="str">
        <f>VLOOKUP($B359,Miljö!$B$1:$J$479,MATCH("Typ av ursprungsspecificerad el   (Om inget värde anges används Nordisk residualmix, se inforuta) ()",Miljö!$B$1:$J$1,0),FALSE)</f>
        <v>'Bioel'</v>
      </c>
      <c r="G359" s="121">
        <f>VLOOKUP($B359,Miljö!$B$1:$J$479,MATCH("Primärenergifaktor ()",Miljö!$B$1:$J$1,0),FALSE)</f>
        <v>2</v>
      </c>
      <c r="H359" s="121">
        <f>VLOOKUP($B359,Miljö!$B$1:$J$479,MATCH("Koldioxidekvivalenter energiomvandling (g/kwh)",Miljö!$B$1:$J$1,0),FALSE)</f>
        <v>0</v>
      </c>
      <c r="I359" s="121">
        <f>VLOOKUP($B359,Miljö!$B$1:$J$479,MATCH("Fossilandel för ursprungspecificerad el ()",Miljö!$B$1:$J$1,0),FALSE)</f>
        <v>0</v>
      </c>
      <c r="J359" s="121">
        <f>VLOOKUP($B359,Miljö!$B$1:$J$479,MATCH("Kärnkraftsandel för ursprungsspecificerad el ()",Miljö!$B$1:$J$1,0),FALSE)</f>
        <v>0</v>
      </c>
      <c r="L359" s="121">
        <f>VLOOKUP($B359,Totalt!$B$1:$BU$497,MATCH("total el",Totalt!$B$1:$BU$1,0),FALSE)</f>
        <v>4.5999999999999999E-2</v>
      </c>
      <c r="N359" s="271">
        <f t="shared" si="20"/>
        <v>9.1999999999999998E-2</v>
      </c>
      <c r="O359" s="271">
        <f t="shared" si="21"/>
        <v>0</v>
      </c>
      <c r="P359" s="271">
        <f t="shared" si="22"/>
        <v>0</v>
      </c>
      <c r="Q359" s="271">
        <f t="shared" si="23"/>
        <v>0</v>
      </c>
    </row>
    <row r="360" spans="1:17" x14ac:dyDescent="0.25">
      <c r="A360" s="137" t="s">
        <v>52</v>
      </c>
      <c r="B360" s="137" t="s">
        <v>683</v>
      </c>
      <c r="C360" s="121" t="str">
        <f>VLOOKUP($B360,Totalt!$B$1:$BU$497,MATCH("Kvalitetsgranskad:",Totalt!$B$1:$BU$1,0),FALSE)</f>
        <v>Ja</v>
      </c>
      <c r="E360" s="121" t="str">
        <f>VLOOKUP($B360,Miljö!$B$1:$AG$479,MATCH(E$1,Miljö!$B$1:$AK$1,0),FALSE)</f>
        <v>Ja</v>
      </c>
      <c r="F360" s="121" t="str">
        <f>VLOOKUP($B360,Miljö!$B$1:$J$479,MATCH("Typ av ursprungsspecificerad el   (Om inget värde anges används Nordisk residualmix, se inforuta) ()",Miljö!$B$1:$J$1,0),FALSE)</f>
        <v>'Bioel'</v>
      </c>
      <c r="G360" s="121">
        <f>VLOOKUP($B360,Miljö!$B$1:$J$479,MATCH("Primärenergifaktor ()",Miljö!$B$1:$J$1,0),FALSE)</f>
        <v>2</v>
      </c>
      <c r="H360" s="121">
        <f>VLOOKUP($B360,Miljö!$B$1:$J$479,MATCH("Koldioxidekvivalenter energiomvandling (g/kwh)",Miljö!$B$1:$J$1,0),FALSE)</f>
        <v>0</v>
      </c>
      <c r="I360" s="121">
        <f>VLOOKUP($B360,Miljö!$B$1:$J$479,MATCH("Fossilandel för ursprungspecificerad el ()",Miljö!$B$1:$J$1,0),FALSE)</f>
        <v>0</v>
      </c>
      <c r="J360" s="121">
        <f>VLOOKUP($B360,Miljö!$B$1:$J$479,MATCH("Kärnkraftsandel för ursprungsspecificerad el ()",Miljö!$B$1:$J$1,0),FALSE)</f>
        <v>0</v>
      </c>
      <c r="L360" s="121">
        <f>VLOOKUP($B360,Totalt!$B$1:$BU$497,MATCH("total el",Totalt!$B$1:$BU$1,0),FALSE)</f>
        <v>0.33500000000000002</v>
      </c>
      <c r="N360" s="271">
        <f t="shared" si="20"/>
        <v>0.67</v>
      </c>
      <c r="O360" s="271">
        <f t="shared" si="21"/>
        <v>0</v>
      </c>
      <c r="P360" s="271">
        <f t="shared" si="22"/>
        <v>0</v>
      </c>
      <c r="Q360" s="271">
        <f t="shared" si="23"/>
        <v>0</v>
      </c>
    </row>
    <row r="361" spans="1:17" x14ac:dyDescent="0.25">
      <c r="A361" s="137" t="s">
        <v>52</v>
      </c>
      <c r="B361" s="137" t="s">
        <v>684</v>
      </c>
      <c r="C361" s="121" t="str">
        <f>VLOOKUP($B361,Totalt!$B$1:$BU$497,MATCH("Kvalitetsgranskad:",Totalt!$B$1:$BU$1,0),FALSE)</f>
        <v>Ja</v>
      </c>
      <c r="E361" s="121" t="str">
        <f>VLOOKUP($B361,Miljö!$B$1:$AG$479,MATCH(E$1,Miljö!$B$1:$AK$1,0),FALSE)</f>
        <v>Ja</v>
      </c>
      <c r="F361" s="121" t="str">
        <f>VLOOKUP($B361,Miljö!$B$1:$J$479,MATCH("Typ av ursprungsspecificerad el   (Om inget värde anges används Nordisk residualmix, se inforuta) ()",Miljö!$B$1:$J$1,0),FALSE)</f>
        <v>'Bioel'</v>
      </c>
      <c r="G361" s="121">
        <f>VLOOKUP($B361,Miljö!$B$1:$J$479,MATCH("Primärenergifaktor ()",Miljö!$B$1:$J$1,0),FALSE)</f>
        <v>2</v>
      </c>
      <c r="H361" s="121">
        <f>VLOOKUP($B361,Miljö!$B$1:$J$479,MATCH("Koldioxidekvivalenter energiomvandling (g/kwh)",Miljö!$B$1:$J$1,0),FALSE)</f>
        <v>0</v>
      </c>
      <c r="I361" s="121">
        <f>VLOOKUP($B361,Miljö!$B$1:$J$479,MATCH("Fossilandel för ursprungspecificerad el ()",Miljö!$B$1:$J$1,0),FALSE)</f>
        <v>0</v>
      </c>
      <c r="J361" s="121">
        <f>VLOOKUP($B361,Miljö!$B$1:$J$479,MATCH("Kärnkraftsandel för ursprungsspecificerad el ()",Miljö!$B$1:$J$1,0),FALSE)</f>
        <v>0</v>
      </c>
      <c r="L361" s="121">
        <f>VLOOKUP($B361,Totalt!$B$1:$BU$497,MATCH("total el",Totalt!$B$1:$BU$1,0),FALSE)</f>
        <v>2.5230000000000001</v>
      </c>
      <c r="N361" s="271">
        <f t="shared" si="20"/>
        <v>5.0460000000000003</v>
      </c>
      <c r="O361" s="271">
        <f t="shared" si="21"/>
        <v>0</v>
      </c>
      <c r="P361" s="271">
        <f t="shared" si="22"/>
        <v>0</v>
      </c>
      <c r="Q361" s="271">
        <f t="shared" si="23"/>
        <v>0</v>
      </c>
    </row>
    <row r="362" spans="1:17" x14ac:dyDescent="0.25">
      <c r="A362" s="137" t="s">
        <v>52</v>
      </c>
      <c r="B362" s="137" t="s">
        <v>685</v>
      </c>
      <c r="C362" s="121" t="str">
        <f>VLOOKUP($B362,Totalt!$B$1:$BU$497,MATCH("Kvalitetsgranskad:",Totalt!$B$1:$BU$1,0),FALSE)</f>
        <v>Ja</v>
      </c>
      <c r="E362" s="121" t="str">
        <f>VLOOKUP($B362,Miljö!$B$1:$AG$479,MATCH(E$1,Miljö!$B$1:$AK$1,0),FALSE)</f>
        <v>Nej</v>
      </c>
      <c r="F362" s="121" t="str">
        <f>VLOOKUP($B362,Miljö!$B$1:$J$479,MATCH("Typ av ursprungsspecificerad el   (Om inget värde anges används Nordisk residualmix, se inforuta) ()",Miljö!$B$1:$J$1,0),FALSE)</f>
        <v>-</v>
      </c>
      <c r="G362" s="121">
        <f>VLOOKUP($B362,Miljö!$B$1:$J$479,MATCH("Primärenergifaktor ()",Miljö!$B$1:$J$1,0),FALSE)</f>
        <v>2.2999999999999998</v>
      </c>
      <c r="H362" s="121">
        <f>VLOOKUP($B362,Miljö!$B$1:$J$479,MATCH("Koldioxidekvivalenter energiomvandling (g/kwh)",Miljö!$B$1:$J$1,0),FALSE)</f>
        <v>329.19</v>
      </c>
      <c r="I362" s="121">
        <f>VLOOKUP($B362,Miljö!$B$1:$J$479,MATCH("Fossilandel för ursprungspecificerad el ()",Miljö!$B$1:$J$1,0),FALSE)</f>
        <v>0.43</v>
      </c>
      <c r="J362" s="121">
        <f>VLOOKUP($B362,Miljö!$B$1:$J$479,MATCH("Kärnkraftsandel för ursprungsspecificerad el ()",Miljö!$B$1:$J$1,0),FALSE)</f>
        <v>0.40550000000000003</v>
      </c>
      <c r="L362" s="121">
        <f>VLOOKUP($B362,Totalt!$B$1:$BU$497,MATCH("total el",Totalt!$B$1:$BU$1,0),FALSE)</f>
        <v>21.717780000000001</v>
      </c>
      <c r="N362" s="271">
        <f t="shared" si="20"/>
        <v>49.950893999999998</v>
      </c>
      <c r="O362" s="271">
        <f t="shared" si="21"/>
        <v>7149.2759982000007</v>
      </c>
      <c r="P362" s="271">
        <f t="shared" si="22"/>
        <v>9.3386454000000008</v>
      </c>
      <c r="Q362" s="271">
        <f t="shared" si="23"/>
        <v>8.8065597900000014</v>
      </c>
    </row>
    <row r="363" spans="1:17" x14ac:dyDescent="0.25">
      <c r="A363" s="137" t="s">
        <v>52</v>
      </c>
      <c r="B363" s="137" t="s">
        <v>686</v>
      </c>
      <c r="C363" s="121" t="str">
        <f>VLOOKUP($B363,Totalt!$B$1:$BU$497,MATCH("Kvalitetsgranskad:",Totalt!$B$1:$BU$1,0),FALSE)</f>
        <v>Ja</v>
      </c>
      <c r="E363" s="121" t="str">
        <f>VLOOKUP($B363,Miljö!$B$1:$AG$479,MATCH(E$1,Miljö!$B$1:$AK$1,0),FALSE)</f>
        <v>Ja</v>
      </c>
      <c r="F363" s="121" t="str">
        <f>VLOOKUP($B363,Miljö!$B$1:$J$479,MATCH("Typ av ursprungsspecificerad el   (Om inget värde anges används Nordisk residualmix, se inforuta) ()",Miljö!$B$1:$J$1,0),FALSE)</f>
        <v>'Bioel'</v>
      </c>
      <c r="G363" s="121">
        <f>VLOOKUP($B363,Miljö!$B$1:$J$479,MATCH("Primärenergifaktor ()",Miljö!$B$1:$J$1,0),FALSE)</f>
        <v>2</v>
      </c>
      <c r="H363" s="121">
        <f>VLOOKUP($B363,Miljö!$B$1:$J$479,MATCH("Koldioxidekvivalenter energiomvandling (g/kwh)",Miljö!$B$1:$J$1,0),FALSE)</f>
        <v>0</v>
      </c>
      <c r="I363" s="121">
        <f>VLOOKUP($B363,Miljö!$B$1:$J$479,MATCH("Fossilandel för ursprungspecificerad el ()",Miljö!$B$1:$J$1,0),FALSE)</f>
        <v>0</v>
      </c>
      <c r="J363" s="121">
        <f>VLOOKUP($B363,Miljö!$B$1:$J$479,MATCH("Kärnkraftsandel för ursprungsspecificerad el ()",Miljö!$B$1:$J$1,0),FALSE)</f>
        <v>0</v>
      </c>
      <c r="L363" s="121">
        <f>VLOOKUP($B363,Totalt!$B$1:$BU$497,MATCH("total el",Totalt!$B$1:$BU$1,0),FALSE)</f>
        <v>0.06</v>
      </c>
      <c r="N363" s="271">
        <f t="shared" si="20"/>
        <v>0.12</v>
      </c>
      <c r="O363" s="271">
        <f t="shared" si="21"/>
        <v>0</v>
      </c>
      <c r="P363" s="271">
        <f t="shared" si="22"/>
        <v>0</v>
      </c>
      <c r="Q363" s="271">
        <f t="shared" si="23"/>
        <v>0</v>
      </c>
    </row>
    <row r="364" spans="1:17" x14ac:dyDescent="0.25">
      <c r="A364" s="137" t="s">
        <v>52</v>
      </c>
      <c r="B364" s="137" t="s">
        <v>687</v>
      </c>
      <c r="C364" s="121" t="str">
        <f>VLOOKUP($B364,Totalt!$B$1:$BU$497,MATCH("Kvalitetsgranskad:",Totalt!$B$1:$BU$1,0),FALSE)</f>
        <v>Ja</v>
      </c>
      <c r="E364" s="121" t="str">
        <f>VLOOKUP($B364,Miljö!$B$1:$AG$479,MATCH(E$1,Miljö!$B$1:$AK$1,0),FALSE)</f>
        <v>Nej</v>
      </c>
      <c r="F364" s="121" t="str">
        <f>VLOOKUP($B364,Miljö!$B$1:$J$479,MATCH("Typ av ursprungsspecificerad el   (Om inget värde anges används Nordisk residualmix, se inforuta) ()",Miljö!$B$1:$J$1,0),FALSE)</f>
        <v>-</v>
      </c>
      <c r="G364" s="121">
        <f>VLOOKUP($B364,Miljö!$B$1:$J$479,MATCH("Primärenergifaktor ()",Miljö!$B$1:$J$1,0),FALSE)</f>
        <v>2.2999999999999998</v>
      </c>
      <c r="H364" s="121">
        <f>VLOOKUP($B364,Miljö!$B$1:$J$479,MATCH("Koldioxidekvivalenter energiomvandling (g/kwh)",Miljö!$B$1:$J$1,0),FALSE)</f>
        <v>329.19</v>
      </c>
      <c r="I364" s="121">
        <f>VLOOKUP($B364,Miljö!$B$1:$J$479,MATCH("Fossilandel för ursprungspecificerad el ()",Miljö!$B$1:$J$1,0),FALSE)</f>
        <v>0.43</v>
      </c>
      <c r="J364" s="121">
        <f>VLOOKUP($B364,Miljö!$B$1:$J$479,MATCH("Kärnkraftsandel för ursprungsspecificerad el ()",Miljö!$B$1:$J$1,0),FALSE)</f>
        <v>0.40550000000000003</v>
      </c>
      <c r="L364" s="121">
        <f>VLOOKUP($B364,Totalt!$B$1:$BU$497,MATCH("total el",Totalt!$B$1:$BU$1,0),FALSE)</f>
        <v>0.70699999999999996</v>
      </c>
      <c r="N364" s="271">
        <f t="shared" si="20"/>
        <v>1.6260999999999999</v>
      </c>
      <c r="O364" s="271">
        <f t="shared" si="21"/>
        <v>232.73732999999999</v>
      </c>
      <c r="P364" s="271">
        <f t="shared" si="22"/>
        <v>0.30401</v>
      </c>
      <c r="Q364" s="271">
        <f t="shared" si="23"/>
        <v>0.28668850000000001</v>
      </c>
    </row>
    <row r="365" spans="1:17" x14ac:dyDescent="0.25">
      <c r="A365" s="137" t="s">
        <v>52</v>
      </c>
      <c r="B365" s="137" t="s">
        <v>688</v>
      </c>
      <c r="C365" s="121" t="str">
        <f>VLOOKUP($B365,Totalt!$B$1:$BU$497,MATCH("Kvalitetsgranskad:",Totalt!$B$1:$BU$1,0),FALSE)</f>
        <v>Ja</v>
      </c>
      <c r="E365" s="121" t="str">
        <f>VLOOKUP($B365,Miljö!$B$1:$AG$479,MATCH(E$1,Miljö!$B$1:$AK$1,0),FALSE)</f>
        <v>Ja</v>
      </c>
      <c r="F365" s="121" t="str">
        <f>VLOOKUP($B365,Miljö!$B$1:$J$479,MATCH("Typ av ursprungsspecificerad el   (Om inget värde anges används Nordisk residualmix, se inforuta) ()",Miljö!$B$1:$J$1,0),FALSE)</f>
        <v>'Bioel'</v>
      </c>
      <c r="G365" s="121">
        <f>VLOOKUP($B365,Miljö!$B$1:$J$479,MATCH("Primärenergifaktor ()",Miljö!$B$1:$J$1,0),FALSE)</f>
        <v>2</v>
      </c>
      <c r="H365" s="121">
        <f>VLOOKUP($B365,Miljö!$B$1:$J$479,MATCH("Koldioxidekvivalenter energiomvandling (g/kwh)",Miljö!$B$1:$J$1,0),FALSE)</f>
        <v>0</v>
      </c>
      <c r="I365" s="121">
        <f>VLOOKUP($B365,Miljö!$B$1:$J$479,MATCH("Fossilandel för ursprungspecificerad el ()",Miljö!$B$1:$J$1,0),FALSE)</f>
        <v>0</v>
      </c>
      <c r="J365" s="121">
        <f>VLOOKUP($B365,Miljö!$B$1:$J$479,MATCH("Kärnkraftsandel för ursprungsspecificerad el ()",Miljö!$B$1:$J$1,0),FALSE)</f>
        <v>0</v>
      </c>
      <c r="L365" s="121">
        <f>VLOOKUP($B365,Totalt!$B$1:$BU$497,MATCH("total el",Totalt!$B$1:$BU$1,0),FALSE)</f>
        <v>0.1</v>
      </c>
      <c r="N365" s="271">
        <f t="shared" si="20"/>
        <v>0.2</v>
      </c>
      <c r="O365" s="271">
        <f t="shared" si="21"/>
        <v>0</v>
      </c>
      <c r="P365" s="271">
        <f t="shared" si="22"/>
        <v>0</v>
      </c>
      <c r="Q365" s="271">
        <f t="shared" si="23"/>
        <v>0</v>
      </c>
    </row>
    <row r="366" spans="1:17" x14ac:dyDescent="0.25">
      <c r="A366" s="137" t="s">
        <v>52</v>
      </c>
      <c r="B366" s="137" t="s">
        <v>689</v>
      </c>
      <c r="C366" s="121" t="str">
        <f>VLOOKUP($B366,Totalt!$B$1:$BU$497,MATCH("Kvalitetsgranskad:",Totalt!$B$1:$BU$1,0),FALSE)</f>
        <v>Ja</v>
      </c>
      <c r="E366" s="121" t="str">
        <f>VLOOKUP($B366,Miljö!$B$1:$AG$479,MATCH(E$1,Miljö!$B$1:$AK$1,0),FALSE)</f>
        <v>Ja</v>
      </c>
      <c r="F366" s="121" t="str">
        <f>VLOOKUP($B366,Miljö!$B$1:$J$479,MATCH("Typ av ursprungsspecificerad el   (Om inget värde anges används Nordisk residualmix, se inforuta) ()",Miljö!$B$1:$J$1,0),FALSE)</f>
        <v>'Bioel'</v>
      </c>
      <c r="G366" s="121">
        <f>VLOOKUP($B366,Miljö!$B$1:$J$479,MATCH("Primärenergifaktor ()",Miljö!$B$1:$J$1,0),FALSE)</f>
        <v>2</v>
      </c>
      <c r="H366" s="121">
        <f>VLOOKUP($B366,Miljö!$B$1:$J$479,MATCH("Koldioxidekvivalenter energiomvandling (g/kwh)",Miljö!$B$1:$J$1,0),FALSE)</f>
        <v>0</v>
      </c>
      <c r="I366" s="121">
        <f>VLOOKUP($B366,Miljö!$B$1:$J$479,MATCH("Fossilandel för ursprungspecificerad el ()",Miljö!$B$1:$J$1,0),FALSE)</f>
        <v>0</v>
      </c>
      <c r="J366" s="121">
        <f>VLOOKUP($B366,Miljö!$B$1:$J$479,MATCH("Kärnkraftsandel för ursprungsspecificerad el ()",Miljö!$B$1:$J$1,0),FALSE)</f>
        <v>0</v>
      </c>
      <c r="L366" s="121">
        <f>VLOOKUP($B366,Totalt!$B$1:$BU$497,MATCH("total el",Totalt!$B$1:$BU$1,0),FALSE)</f>
        <v>3.1E-2</v>
      </c>
      <c r="N366" s="271">
        <f t="shared" si="20"/>
        <v>6.2E-2</v>
      </c>
      <c r="O366" s="271">
        <f t="shared" si="21"/>
        <v>0</v>
      </c>
      <c r="P366" s="271">
        <f t="shared" si="22"/>
        <v>0</v>
      </c>
      <c r="Q366" s="271">
        <f t="shared" si="23"/>
        <v>0</v>
      </c>
    </row>
    <row r="367" spans="1:17" x14ac:dyDescent="0.25">
      <c r="A367" s="137" t="s">
        <v>52</v>
      </c>
      <c r="B367" s="137" t="s">
        <v>690</v>
      </c>
      <c r="C367" s="121" t="str">
        <f>VLOOKUP($B367,Totalt!$B$1:$BU$497,MATCH("Kvalitetsgranskad:",Totalt!$B$1:$BU$1,0),FALSE)</f>
        <v>Nej</v>
      </c>
      <c r="E367" s="121" t="str">
        <f>VLOOKUP($B367,Miljö!$B$1:$AG$479,MATCH(E$1,Miljö!$B$1:$AK$1,0),FALSE)</f>
        <v>Nej</v>
      </c>
      <c r="F367" s="121" t="str">
        <f>VLOOKUP($B367,Miljö!$B$1:$J$479,MATCH("Typ av ursprungsspecificerad el   (Om inget värde anges används Nordisk residualmix, se inforuta) ()",Miljö!$B$1:$J$1,0),FALSE)</f>
        <v>-</v>
      </c>
      <c r="G367" s="121">
        <f>VLOOKUP($B367,Miljö!$B$1:$J$479,MATCH("Primärenergifaktor ()",Miljö!$B$1:$J$1,0),FALSE)</f>
        <v>2.2999999999999998</v>
      </c>
      <c r="H367" s="121">
        <f>VLOOKUP($B367,Miljö!$B$1:$J$479,MATCH("Koldioxidekvivalenter energiomvandling (g/kwh)",Miljö!$B$1:$J$1,0),FALSE)</f>
        <v>329.19</v>
      </c>
      <c r="I367" s="121">
        <f>VLOOKUP($B367,Miljö!$B$1:$J$479,MATCH("Fossilandel för ursprungspecificerad el ()",Miljö!$B$1:$J$1,0),FALSE)</f>
        <v>0.43</v>
      </c>
      <c r="J367" s="121">
        <f>VLOOKUP($B367,Miljö!$B$1:$J$479,MATCH("Kärnkraftsandel för ursprungsspecificerad el ()",Miljö!$B$1:$J$1,0),FALSE)</f>
        <v>0.40550000000000003</v>
      </c>
      <c r="L367" s="121">
        <f>VLOOKUP($B367,Totalt!$B$1:$BU$497,MATCH("total el",Totalt!$B$1:$BU$1,0),FALSE)</f>
        <v>0</v>
      </c>
      <c r="N367" s="271">
        <f t="shared" si="20"/>
        <v>0</v>
      </c>
      <c r="O367" s="271">
        <f t="shared" si="21"/>
        <v>0</v>
      </c>
      <c r="P367" s="271">
        <f t="shared" si="22"/>
        <v>0</v>
      </c>
      <c r="Q367" s="271">
        <f t="shared" si="23"/>
        <v>0</v>
      </c>
    </row>
    <row r="368" spans="1:17" x14ac:dyDescent="0.25">
      <c r="A368" s="137" t="s">
        <v>691</v>
      </c>
      <c r="B368" s="137" t="s">
        <v>692</v>
      </c>
      <c r="C368" s="121" t="str">
        <f>VLOOKUP($B368,Totalt!$B$1:$BU$497,MATCH("Kvalitetsgranskad:",Totalt!$B$1:$BU$1,0),FALSE)</f>
        <v>Ja</v>
      </c>
      <c r="E368" s="121" t="str">
        <f>VLOOKUP($B368,Miljö!$B$1:$AG$479,MATCH(E$1,Miljö!$B$1:$AK$1,0),FALSE)</f>
        <v>Ja</v>
      </c>
      <c r="F368" s="121" t="str">
        <f>VLOOKUP($B368,Miljö!$B$1:$J$479,MATCH("Typ av ursprungsspecificerad el   (Om inget värde anges används Nordisk residualmix, se inforuta) ()",Miljö!$B$1:$J$1,0),FALSE)</f>
        <v>-</v>
      </c>
      <c r="G368" s="121">
        <f>VLOOKUP($B368,Miljö!$B$1:$J$479,MATCH("Primärenergifaktor ()",Miljö!$B$1:$J$1,0),FALSE)</f>
        <v>1.1000000000000001</v>
      </c>
      <c r="H368" s="121">
        <f>VLOOKUP($B368,Miljö!$B$1:$J$479,MATCH("Koldioxidekvivalenter energiomvandling (g/kwh)",Miljö!$B$1:$J$1,0),FALSE)</f>
        <v>0</v>
      </c>
      <c r="I368" s="121">
        <f>VLOOKUP($B368,Miljö!$B$1:$J$479,MATCH("Fossilandel för ursprungspecificerad el ()",Miljö!$B$1:$J$1,0),FALSE)</f>
        <v>0</v>
      </c>
      <c r="J368" s="121">
        <f>VLOOKUP($B368,Miljö!$B$1:$J$479,MATCH("Kärnkraftsandel för ursprungsspecificerad el ()",Miljö!$B$1:$J$1,0),FALSE)</f>
        <v>0</v>
      </c>
      <c r="L368" s="121">
        <f>VLOOKUP($B368,Totalt!$B$1:$BU$497,MATCH("total el",Totalt!$B$1:$BU$1,0),FALSE)</f>
        <v>1.4460000000000001E-2</v>
      </c>
      <c r="N368" s="271">
        <f t="shared" si="20"/>
        <v>1.5906000000000003E-2</v>
      </c>
      <c r="O368" s="271">
        <f t="shared" si="21"/>
        <v>0</v>
      </c>
      <c r="P368" s="271">
        <f t="shared" si="22"/>
        <v>0</v>
      </c>
      <c r="Q368" s="271">
        <f t="shared" si="23"/>
        <v>0</v>
      </c>
    </row>
    <row r="369" spans="1:17" x14ac:dyDescent="0.25">
      <c r="A369" s="137" t="s">
        <v>691</v>
      </c>
      <c r="B369" s="137" t="s">
        <v>693</v>
      </c>
      <c r="C369" s="121" t="str">
        <f>VLOOKUP($B369,Totalt!$B$1:$BU$497,MATCH("Kvalitetsgranskad:",Totalt!$B$1:$BU$1,0),FALSE)</f>
        <v>Nej</v>
      </c>
      <c r="E369" s="121" t="str">
        <f>VLOOKUP($B369,Miljö!$B$1:$AG$479,MATCH(E$1,Miljö!$B$1:$AK$1,0),FALSE)</f>
        <v>Nej</v>
      </c>
      <c r="F369" s="121" t="str">
        <f>VLOOKUP($B369,Miljö!$B$1:$J$479,MATCH("Typ av ursprungsspecificerad el   (Om inget värde anges används Nordisk residualmix, se inforuta) ()",Miljö!$B$1:$J$1,0),FALSE)</f>
        <v>-</v>
      </c>
      <c r="G369" s="121">
        <f>VLOOKUP($B369,Miljö!$B$1:$J$479,MATCH("Primärenergifaktor ()",Miljö!$B$1:$J$1,0),FALSE)</f>
        <v>2.2999999999999998</v>
      </c>
      <c r="H369" s="121">
        <f>VLOOKUP($B369,Miljö!$B$1:$J$479,MATCH("Koldioxidekvivalenter energiomvandling (g/kwh)",Miljö!$B$1:$J$1,0),FALSE)</f>
        <v>329.19</v>
      </c>
      <c r="I369" s="121">
        <f>VLOOKUP($B369,Miljö!$B$1:$J$479,MATCH("Fossilandel för ursprungspecificerad el ()",Miljö!$B$1:$J$1,0),FALSE)</f>
        <v>0.43</v>
      </c>
      <c r="J369" s="121">
        <f>VLOOKUP($B369,Miljö!$B$1:$J$479,MATCH("Kärnkraftsandel för ursprungsspecificerad el ()",Miljö!$B$1:$J$1,0),FALSE)</f>
        <v>0.40550000000000003</v>
      </c>
      <c r="L369" s="121">
        <f>VLOOKUP($B369,Totalt!$B$1:$BU$497,MATCH("total el",Totalt!$B$1:$BU$1,0),FALSE)</f>
        <v>0</v>
      </c>
      <c r="N369" s="271">
        <f t="shared" si="20"/>
        <v>0</v>
      </c>
      <c r="O369" s="271">
        <f t="shared" si="21"/>
        <v>0</v>
      </c>
      <c r="P369" s="271">
        <f t="shared" si="22"/>
        <v>0</v>
      </c>
      <c r="Q369" s="271">
        <f t="shared" si="23"/>
        <v>0</v>
      </c>
    </row>
    <row r="370" spans="1:17" x14ac:dyDescent="0.25">
      <c r="A370" s="137" t="s">
        <v>691</v>
      </c>
      <c r="B370" s="137" t="s">
        <v>694</v>
      </c>
      <c r="C370" s="121" t="str">
        <f>VLOOKUP($B370,Totalt!$B$1:$BU$497,MATCH("Kvalitetsgranskad:",Totalt!$B$1:$BU$1,0),FALSE)</f>
        <v>Nej</v>
      </c>
      <c r="E370" s="121" t="str">
        <f>VLOOKUP($B370,Miljö!$B$1:$AG$479,MATCH(E$1,Miljö!$B$1:$AK$1,0),FALSE)</f>
        <v>Nej</v>
      </c>
      <c r="F370" s="121" t="str">
        <f>VLOOKUP($B370,Miljö!$B$1:$J$479,MATCH("Typ av ursprungsspecificerad el   (Om inget värde anges används Nordisk residualmix, se inforuta) ()",Miljö!$B$1:$J$1,0),FALSE)</f>
        <v>-</v>
      </c>
      <c r="G370" s="121">
        <f>VLOOKUP($B370,Miljö!$B$1:$J$479,MATCH("Primärenergifaktor ()",Miljö!$B$1:$J$1,0),FALSE)</f>
        <v>2.2999999999999998</v>
      </c>
      <c r="H370" s="121">
        <f>VLOOKUP($B370,Miljö!$B$1:$J$479,MATCH("Koldioxidekvivalenter energiomvandling (g/kwh)",Miljö!$B$1:$J$1,0),FALSE)</f>
        <v>329.19</v>
      </c>
      <c r="I370" s="121">
        <f>VLOOKUP($B370,Miljö!$B$1:$J$479,MATCH("Fossilandel för ursprungspecificerad el ()",Miljö!$B$1:$J$1,0),FALSE)</f>
        <v>0.43</v>
      </c>
      <c r="J370" s="121">
        <f>VLOOKUP($B370,Miljö!$B$1:$J$479,MATCH("Kärnkraftsandel för ursprungsspecificerad el ()",Miljö!$B$1:$J$1,0),FALSE)</f>
        <v>0.40550000000000003</v>
      </c>
      <c r="L370" s="121">
        <f>VLOOKUP($B370,Totalt!$B$1:$BU$497,MATCH("total el",Totalt!$B$1:$BU$1,0),FALSE)</f>
        <v>0</v>
      </c>
      <c r="N370" s="271">
        <f t="shared" si="20"/>
        <v>0</v>
      </c>
      <c r="O370" s="271">
        <f t="shared" si="21"/>
        <v>0</v>
      </c>
      <c r="P370" s="271">
        <f t="shared" si="22"/>
        <v>0</v>
      </c>
      <c r="Q370" s="271">
        <f t="shared" si="23"/>
        <v>0</v>
      </c>
    </row>
    <row r="371" spans="1:17" x14ac:dyDescent="0.25">
      <c r="A371" s="137" t="s">
        <v>691</v>
      </c>
      <c r="B371" s="137" t="s">
        <v>695</v>
      </c>
      <c r="C371" s="121" t="str">
        <f>VLOOKUP($B371,Totalt!$B$1:$BU$497,MATCH("Kvalitetsgranskad:",Totalt!$B$1:$BU$1,0),FALSE)</f>
        <v>Ja</v>
      </c>
      <c r="E371" s="121" t="str">
        <f>VLOOKUP($B371,Miljö!$B$1:$AG$479,MATCH(E$1,Miljö!$B$1:$AK$1,0),FALSE)</f>
        <v>Ja</v>
      </c>
      <c r="F371" s="121" t="str">
        <f>VLOOKUP($B371,Miljö!$B$1:$J$479,MATCH("Typ av ursprungsspecificerad el   (Om inget värde anges används Nordisk residualmix, se inforuta) ()",Miljö!$B$1:$J$1,0),FALSE)</f>
        <v>-</v>
      </c>
      <c r="G371" s="121">
        <f>VLOOKUP($B371,Miljö!$B$1:$J$479,MATCH("Primärenergifaktor ()",Miljö!$B$1:$J$1,0),FALSE)</f>
        <v>1.1000000000000001</v>
      </c>
      <c r="H371" s="121">
        <f>VLOOKUP($B371,Miljö!$B$1:$J$479,MATCH("Koldioxidekvivalenter energiomvandling (g/kwh)",Miljö!$B$1:$J$1,0),FALSE)</f>
        <v>0</v>
      </c>
      <c r="I371" s="121">
        <f>VLOOKUP($B371,Miljö!$B$1:$J$479,MATCH("Fossilandel för ursprungspecificerad el ()",Miljö!$B$1:$J$1,0),FALSE)</f>
        <v>0</v>
      </c>
      <c r="J371" s="121">
        <f>VLOOKUP($B371,Miljö!$B$1:$J$479,MATCH("Kärnkraftsandel för ursprungsspecificerad el ()",Miljö!$B$1:$J$1,0),FALSE)</f>
        <v>0</v>
      </c>
      <c r="L371" s="121">
        <f>VLOOKUP($B371,Totalt!$B$1:$BU$497,MATCH("total el",Totalt!$B$1:$BU$1,0),FALSE)</f>
        <v>2.1389999999999999E-2</v>
      </c>
      <c r="N371" s="271">
        <f t="shared" si="20"/>
        <v>2.3529000000000001E-2</v>
      </c>
      <c r="O371" s="271">
        <f t="shared" si="21"/>
        <v>0</v>
      </c>
      <c r="P371" s="271">
        <f t="shared" si="22"/>
        <v>0</v>
      </c>
      <c r="Q371" s="271">
        <f t="shared" si="23"/>
        <v>0</v>
      </c>
    </row>
    <row r="372" spans="1:17" x14ac:dyDescent="0.25">
      <c r="A372" s="137" t="s">
        <v>691</v>
      </c>
      <c r="B372" s="137" t="s">
        <v>696</v>
      </c>
      <c r="C372" s="121" t="str">
        <f>VLOOKUP($B372,Totalt!$B$1:$BU$497,MATCH("Kvalitetsgranskad:",Totalt!$B$1:$BU$1,0),FALSE)</f>
        <v>Ja</v>
      </c>
      <c r="E372" s="121" t="str">
        <f>VLOOKUP($B372,Miljö!$B$1:$AG$479,MATCH(E$1,Miljö!$B$1:$AK$1,0),FALSE)</f>
        <v>Ja</v>
      </c>
      <c r="F372" s="121" t="str">
        <f>VLOOKUP($B372,Miljö!$B$1:$J$479,MATCH("Typ av ursprungsspecificerad el   (Om inget värde anges används Nordisk residualmix, se inforuta) ()",Miljö!$B$1:$J$1,0),FALSE)</f>
        <v>-</v>
      </c>
      <c r="G372" s="121">
        <f>VLOOKUP($B372,Miljö!$B$1:$J$479,MATCH("Primärenergifaktor ()",Miljö!$B$1:$J$1,0),FALSE)</f>
        <v>1.1000000000000001</v>
      </c>
      <c r="H372" s="121">
        <f>VLOOKUP($B372,Miljö!$B$1:$J$479,MATCH("Koldioxidekvivalenter energiomvandling (g/kwh)",Miljö!$B$1:$J$1,0),FALSE)</f>
        <v>0</v>
      </c>
      <c r="I372" s="121">
        <f>VLOOKUP($B372,Miljö!$B$1:$J$479,MATCH("Fossilandel för ursprungspecificerad el ()",Miljö!$B$1:$J$1,0),FALSE)</f>
        <v>0</v>
      </c>
      <c r="J372" s="121">
        <f>VLOOKUP($B372,Miljö!$B$1:$J$479,MATCH("Kärnkraftsandel för ursprungsspecificerad el ()",Miljö!$B$1:$J$1,0),FALSE)</f>
        <v>0</v>
      </c>
      <c r="L372" s="121">
        <f>VLOOKUP($B372,Totalt!$B$1:$BU$497,MATCH("total el",Totalt!$B$1:$BU$1,0),FALSE)</f>
        <v>0.28797</v>
      </c>
      <c r="N372" s="271">
        <f t="shared" si="20"/>
        <v>0.31676700000000002</v>
      </c>
      <c r="O372" s="271">
        <f t="shared" si="21"/>
        <v>0</v>
      </c>
      <c r="P372" s="271">
        <f t="shared" si="22"/>
        <v>0</v>
      </c>
      <c r="Q372" s="271">
        <f t="shared" si="23"/>
        <v>0</v>
      </c>
    </row>
    <row r="373" spans="1:17" x14ac:dyDescent="0.25">
      <c r="A373" s="137" t="s">
        <v>691</v>
      </c>
      <c r="B373" s="137" t="s">
        <v>697</v>
      </c>
      <c r="C373" s="121" t="str">
        <f>VLOOKUP($B373,Totalt!$B$1:$BU$497,MATCH("Kvalitetsgranskad:",Totalt!$B$1:$BU$1,0),FALSE)</f>
        <v>Ja</v>
      </c>
      <c r="E373" s="121" t="str">
        <f>VLOOKUP($B373,Miljö!$B$1:$AG$479,MATCH(E$1,Miljö!$B$1:$AK$1,0),FALSE)</f>
        <v>Ja</v>
      </c>
      <c r="F373" s="121" t="str">
        <f>VLOOKUP($B373,Miljö!$B$1:$J$479,MATCH("Typ av ursprungsspecificerad el   (Om inget värde anges används Nordisk residualmix, se inforuta) ()",Miljö!$B$1:$J$1,0),FALSE)</f>
        <v>'Vindkraft och egen kraftvärme'</v>
      </c>
      <c r="G373" s="121">
        <f>VLOOKUP($B373,Miljö!$B$1:$J$479,MATCH("Primärenergifaktor ()",Miljö!$B$1:$J$1,0),FALSE)</f>
        <v>1.1000000000000001</v>
      </c>
      <c r="H373" s="121">
        <f>VLOOKUP($B373,Miljö!$B$1:$J$479,MATCH("Koldioxidekvivalenter energiomvandling (g/kwh)",Miljö!$B$1:$J$1,0),FALSE)</f>
        <v>0</v>
      </c>
      <c r="I373" s="121">
        <f>VLOOKUP($B373,Miljö!$B$1:$J$479,MATCH("Fossilandel för ursprungspecificerad el ()",Miljö!$B$1:$J$1,0),FALSE)</f>
        <v>0</v>
      </c>
      <c r="J373" s="121">
        <f>VLOOKUP($B373,Miljö!$B$1:$J$479,MATCH("Kärnkraftsandel för ursprungsspecificerad el ()",Miljö!$B$1:$J$1,0),FALSE)</f>
        <v>0</v>
      </c>
      <c r="L373" s="121">
        <f>VLOOKUP($B373,Totalt!$B$1:$BU$497,MATCH("total el",Totalt!$B$1:$BU$1,0),FALSE)</f>
        <v>4.3228799999999996</v>
      </c>
      <c r="N373" s="271">
        <f t="shared" si="20"/>
        <v>4.7551680000000003</v>
      </c>
      <c r="O373" s="271">
        <f t="shared" si="21"/>
        <v>0</v>
      </c>
      <c r="P373" s="271">
        <f t="shared" si="22"/>
        <v>0</v>
      </c>
      <c r="Q373" s="271">
        <f t="shared" si="23"/>
        <v>0</v>
      </c>
    </row>
    <row r="374" spans="1:17" x14ac:dyDescent="0.25">
      <c r="A374" s="137" t="s">
        <v>698</v>
      </c>
      <c r="B374" s="137" t="s">
        <v>699</v>
      </c>
      <c r="C374" s="121" t="str">
        <f>VLOOKUP($B374,Totalt!$B$1:$BU$497,MATCH("Kvalitetsgranskad:",Totalt!$B$1:$BU$1,0),FALSE)</f>
        <v>Ja</v>
      </c>
      <c r="E374" s="121" t="str">
        <f>VLOOKUP($B374,Miljö!$B$1:$AG$479,MATCH(E$1,Miljö!$B$1:$AK$1,0),FALSE)</f>
        <v>Ja</v>
      </c>
      <c r="F374" s="121" t="str">
        <f>VLOOKUP($B374,Miljö!$B$1:$J$479,MATCH("Typ av ursprungsspecificerad el   (Om inget värde anges används Nordisk residualmix, se inforuta) ()",Miljö!$B$1:$J$1,0),FALSE)</f>
        <v>'EPD Vattenfalls vindkraft'</v>
      </c>
      <c r="G374" s="121">
        <f>VLOOKUP($B374,Miljö!$B$1:$J$479,MATCH("Primärenergifaktor ()",Miljö!$B$1:$J$1,0),FALSE)</f>
        <v>0.05</v>
      </c>
      <c r="H374" s="121">
        <f>VLOOKUP($B374,Miljö!$B$1:$J$479,MATCH("Koldioxidekvivalenter energiomvandling (g/kwh)",Miljö!$B$1:$J$1,0),FALSE)</f>
        <v>0</v>
      </c>
      <c r="I374" s="121">
        <f>VLOOKUP($B374,Miljö!$B$1:$J$479,MATCH("Fossilandel för ursprungspecificerad el ()",Miljö!$B$1:$J$1,0),FALSE)</f>
        <v>0</v>
      </c>
      <c r="J374" s="121">
        <f>VLOOKUP($B374,Miljö!$B$1:$J$479,MATCH("Kärnkraftsandel för ursprungsspecificerad el ()",Miljö!$B$1:$J$1,0),FALSE)</f>
        <v>0</v>
      </c>
      <c r="L374" s="121">
        <f>VLOOKUP($B374,Totalt!$B$1:$BU$497,MATCH("total el",Totalt!$B$1:$BU$1,0),FALSE)</f>
        <v>4.54</v>
      </c>
      <c r="N374" s="271">
        <f t="shared" si="20"/>
        <v>0.22700000000000001</v>
      </c>
      <c r="O374" s="271">
        <f t="shared" si="21"/>
        <v>0</v>
      </c>
      <c r="P374" s="271">
        <f t="shared" si="22"/>
        <v>0</v>
      </c>
      <c r="Q374" s="271">
        <f t="shared" si="23"/>
        <v>0</v>
      </c>
    </row>
    <row r="375" spans="1:17" x14ac:dyDescent="0.25">
      <c r="A375" s="137" t="s">
        <v>698</v>
      </c>
      <c r="B375" s="137" t="s">
        <v>700</v>
      </c>
      <c r="C375" s="121" t="str">
        <f>VLOOKUP($B375,Totalt!$B$1:$BU$497,MATCH("Kvalitetsgranskad:",Totalt!$B$1:$BU$1,0),FALSE)</f>
        <v>Ja</v>
      </c>
      <c r="E375" s="121" t="str">
        <f>VLOOKUP($B375,Miljö!$B$1:$AG$479,MATCH(E$1,Miljö!$B$1:$AK$1,0),FALSE)</f>
        <v>Ja</v>
      </c>
      <c r="F375" s="121" t="str">
        <f>VLOOKUP($B375,Miljö!$B$1:$J$479,MATCH("Typ av ursprungsspecificerad el   (Om inget värde anges används Nordisk residualmix, se inforuta) ()",Miljö!$B$1:$J$1,0),FALSE)</f>
        <v>'EPD Vattenfall. vindkraft'</v>
      </c>
      <c r="G375" s="121">
        <f>VLOOKUP($B375,Miljö!$B$1:$J$479,MATCH("Primärenergifaktor ()",Miljö!$B$1:$J$1,0),FALSE)</f>
        <v>0.05</v>
      </c>
      <c r="H375" s="121">
        <f>VLOOKUP($B375,Miljö!$B$1:$J$479,MATCH("Koldioxidekvivalenter energiomvandling (g/kwh)",Miljö!$B$1:$J$1,0),FALSE)</f>
        <v>0</v>
      </c>
      <c r="I375" s="121">
        <f>VLOOKUP($B375,Miljö!$B$1:$J$479,MATCH("Fossilandel för ursprungspecificerad el ()",Miljö!$B$1:$J$1,0),FALSE)</f>
        <v>0</v>
      </c>
      <c r="J375" s="121">
        <f>VLOOKUP($B375,Miljö!$B$1:$J$479,MATCH("Kärnkraftsandel för ursprungsspecificerad el ()",Miljö!$B$1:$J$1,0),FALSE)</f>
        <v>0</v>
      </c>
      <c r="L375" s="121">
        <f>VLOOKUP($B375,Totalt!$B$1:$BU$497,MATCH("total el",Totalt!$B$1:$BU$1,0),FALSE)</f>
        <v>0.38819999999999999</v>
      </c>
      <c r="N375" s="271">
        <f t="shared" si="20"/>
        <v>1.941E-2</v>
      </c>
      <c r="O375" s="271">
        <f t="shared" si="21"/>
        <v>0</v>
      </c>
      <c r="P375" s="271">
        <f t="shared" si="22"/>
        <v>0</v>
      </c>
      <c r="Q375" s="271">
        <f t="shared" si="23"/>
        <v>0</v>
      </c>
    </row>
    <row r="376" spans="1:17" x14ac:dyDescent="0.25">
      <c r="A376" s="137" t="s">
        <v>698</v>
      </c>
      <c r="B376" s="137" t="s">
        <v>701</v>
      </c>
      <c r="C376" s="121" t="str">
        <f>VLOOKUP($B376,Totalt!$B$1:$BU$497,MATCH("Kvalitetsgranskad:",Totalt!$B$1:$BU$1,0),FALSE)</f>
        <v>Ja</v>
      </c>
      <c r="E376" s="121" t="str">
        <f>VLOOKUP($B376,Miljö!$B$1:$AG$479,MATCH(E$1,Miljö!$B$1:$AK$1,0),FALSE)</f>
        <v>Ja</v>
      </c>
      <c r="F376" s="121" t="str">
        <f>VLOOKUP($B376,Miljö!$B$1:$J$479,MATCH("Typ av ursprungsspecificerad el   (Om inget värde anges används Nordisk residualmix, se inforuta) ()",Miljö!$B$1:$J$1,0),FALSE)</f>
        <v>'EPD Vattenflls vindkraft'</v>
      </c>
      <c r="G376" s="121">
        <f>VLOOKUP($B376,Miljö!$B$1:$J$479,MATCH("Primärenergifaktor ()",Miljö!$B$1:$J$1,0),FALSE)</f>
        <v>0.05</v>
      </c>
      <c r="H376" s="121">
        <f>VLOOKUP($B376,Miljö!$B$1:$J$479,MATCH("Koldioxidekvivalenter energiomvandling (g/kwh)",Miljö!$B$1:$J$1,0),FALSE)</f>
        <v>0</v>
      </c>
      <c r="I376" s="121">
        <f>VLOOKUP($B376,Miljö!$B$1:$J$479,MATCH("Fossilandel för ursprungspecificerad el ()",Miljö!$B$1:$J$1,0),FALSE)</f>
        <v>0</v>
      </c>
      <c r="J376" s="121">
        <f>VLOOKUP($B376,Miljö!$B$1:$J$479,MATCH("Kärnkraftsandel för ursprungsspecificerad el ()",Miljö!$B$1:$J$1,0),FALSE)</f>
        <v>0</v>
      </c>
      <c r="L376" s="121">
        <f>VLOOKUP($B376,Totalt!$B$1:$BU$497,MATCH("total el",Totalt!$B$1:$BU$1,0),FALSE)</f>
        <v>4.0860000000000003</v>
      </c>
      <c r="N376" s="271">
        <f t="shared" si="20"/>
        <v>0.20430000000000004</v>
      </c>
      <c r="O376" s="271">
        <f t="shared" si="21"/>
        <v>0</v>
      </c>
      <c r="P376" s="271">
        <f t="shared" si="22"/>
        <v>0</v>
      </c>
      <c r="Q376" s="271">
        <f t="shared" si="23"/>
        <v>0</v>
      </c>
    </row>
    <row r="377" spans="1:17" x14ac:dyDescent="0.25">
      <c r="A377" s="137" t="s">
        <v>698</v>
      </c>
      <c r="B377" s="137" t="s">
        <v>702</v>
      </c>
      <c r="C377" s="121" t="str">
        <f>VLOOKUP($B377,Totalt!$B$1:$BU$497,MATCH("Kvalitetsgranskad:",Totalt!$B$1:$BU$1,0),FALSE)</f>
        <v>Ja</v>
      </c>
      <c r="E377" s="121" t="str">
        <f>VLOOKUP($B377,Miljö!$B$1:$AG$479,MATCH(E$1,Miljö!$B$1:$AK$1,0),FALSE)</f>
        <v>Ja</v>
      </c>
      <c r="F377" s="121" t="str">
        <f>VLOOKUP($B377,Miljö!$B$1:$J$479,MATCH("Typ av ursprungsspecificerad el   (Om inget värde anges används Nordisk residualmix, se inforuta) ()",Miljö!$B$1:$J$1,0),FALSE)</f>
        <v>-</v>
      </c>
      <c r="G377" s="121">
        <f>VLOOKUP($B377,Miljö!$B$1:$J$479,MATCH("Primärenergifaktor ()",Miljö!$B$1:$J$1,0),FALSE)</f>
        <v>2.23</v>
      </c>
      <c r="H377" s="121">
        <f>VLOOKUP($B377,Miljö!$B$1:$J$479,MATCH("Koldioxidekvivalenter energiomvandling (g/kwh)",Miljö!$B$1:$J$1,0),FALSE)</f>
        <v>329.19</v>
      </c>
      <c r="I377" s="121">
        <f>VLOOKUP($B377,Miljö!$B$1:$J$479,MATCH("Fossilandel för ursprungspecificerad el ()",Miljö!$B$1:$J$1,0),FALSE)</f>
        <v>0.43</v>
      </c>
      <c r="J377" s="121">
        <f>VLOOKUP($B377,Miljö!$B$1:$J$479,MATCH("Kärnkraftsandel för ursprungsspecificerad el ()",Miljö!$B$1:$J$1,0),FALSE)</f>
        <v>0.40550000000000003</v>
      </c>
      <c r="L377" s="121">
        <f>VLOOKUP($B377,Totalt!$B$1:$BU$497,MATCH("total el",Totalt!$B$1:$BU$1,0),FALSE)</f>
        <v>8.6999999999999994E-2</v>
      </c>
      <c r="N377" s="271">
        <f t="shared" si="20"/>
        <v>0.19400999999999999</v>
      </c>
      <c r="O377" s="271">
        <f t="shared" si="21"/>
        <v>28.639529999999997</v>
      </c>
      <c r="P377" s="271">
        <f t="shared" si="22"/>
        <v>3.7409999999999999E-2</v>
      </c>
      <c r="Q377" s="271">
        <f t="shared" si="23"/>
        <v>3.5278499999999997E-2</v>
      </c>
    </row>
    <row r="378" spans="1:17" x14ac:dyDescent="0.25">
      <c r="A378" s="137" t="s">
        <v>703</v>
      </c>
      <c r="B378" s="137" t="s">
        <v>704</v>
      </c>
      <c r="C378" s="121" t="str">
        <f>VLOOKUP($B378,Totalt!$B$1:$BU$497,MATCH("Kvalitetsgranskad:",Totalt!$B$1:$BU$1,0),FALSE)</f>
        <v>Ja</v>
      </c>
      <c r="E378" s="121" t="str">
        <f>VLOOKUP($B378,Miljö!$B$1:$AG$479,MATCH(E$1,Miljö!$B$1:$AK$1,0),FALSE)</f>
        <v>Nej</v>
      </c>
      <c r="F378" s="121" t="str">
        <f>VLOOKUP($B378,Miljö!$B$1:$J$479,MATCH("Typ av ursprungsspecificerad el   (Om inget värde anges används Nordisk residualmix, se inforuta) ()",Miljö!$B$1:$J$1,0),FALSE)</f>
        <v>-</v>
      </c>
      <c r="G378" s="121">
        <f>VLOOKUP($B378,Miljö!$B$1:$J$479,MATCH("Primärenergifaktor ()",Miljö!$B$1:$J$1,0),FALSE)</f>
        <v>2.2999999999999998</v>
      </c>
      <c r="H378" s="121">
        <f>VLOOKUP($B378,Miljö!$B$1:$J$479,MATCH("Koldioxidekvivalenter energiomvandling (g/kwh)",Miljö!$B$1:$J$1,0),FALSE)</f>
        <v>329.19</v>
      </c>
      <c r="I378" s="121">
        <f>VLOOKUP($B378,Miljö!$B$1:$J$479,MATCH("Fossilandel för ursprungspecificerad el ()",Miljö!$B$1:$J$1,0),FALSE)</f>
        <v>0.43</v>
      </c>
      <c r="J378" s="121">
        <f>VLOOKUP($B378,Miljö!$B$1:$J$479,MATCH("Kärnkraftsandel för ursprungsspecificerad el ()",Miljö!$B$1:$J$1,0),FALSE)</f>
        <v>0.40550000000000003</v>
      </c>
      <c r="L378" s="121">
        <f>VLOOKUP($B378,Totalt!$B$1:$BU$497,MATCH("total el",Totalt!$B$1:$BU$1,0),FALSE)</f>
        <v>0.28999999999999998</v>
      </c>
      <c r="N378" s="271">
        <f t="shared" si="20"/>
        <v>0.66699999999999993</v>
      </c>
      <c r="O378" s="271">
        <f t="shared" si="21"/>
        <v>95.465099999999993</v>
      </c>
      <c r="P378" s="271">
        <f t="shared" si="22"/>
        <v>0.12469999999999999</v>
      </c>
      <c r="Q378" s="271">
        <f t="shared" si="23"/>
        <v>0.11759500000000001</v>
      </c>
    </row>
    <row r="379" spans="1:17" x14ac:dyDescent="0.25">
      <c r="A379" s="137" t="s">
        <v>703</v>
      </c>
      <c r="B379" s="137" t="s">
        <v>705</v>
      </c>
      <c r="C379" s="121" t="str">
        <f>VLOOKUP($B379,Totalt!$B$1:$BU$497,MATCH("Kvalitetsgranskad:",Totalt!$B$1:$BU$1,0),FALSE)</f>
        <v>Ja</v>
      </c>
      <c r="E379" s="121" t="str">
        <f>VLOOKUP($B379,Miljö!$B$1:$AG$479,MATCH(E$1,Miljö!$B$1:$AK$1,0),FALSE)</f>
        <v>Nej</v>
      </c>
      <c r="F379" s="121" t="str">
        <f>VLOOKUP($B379,Miljö!$B$1:$J$479,MATCH("Typ av ursprungsspecificerad el   (Om inget värde anges används Nordisk residualmix, se inforuta) ()",Miljö!$B$1:$J$1,0),FALSE)</f>
        <v>-</v>
      </c>
      <c r="G379" s="121">
        <f>VLOOKUP($B379,Miljö!$B$1:$J$479,MATCH("Primärenergifaktor ()",Miljö!$B$1:$J$1,0),FALSE)</f>
        <v>2.2999999999999998</v>
      </c>
      <c r="H379" s="121">
        <f>VLOOKUP($B379,Miljö!$B$1:$J$479,MATCH("Koldioxidekvivalenter energiomvandling (g/kwh)",Miljö!$B$1:$J$1,0),FALSE)</f>
        <v>329.19</v>
      </c>
      <c r="I379" s="121">
        <f>VLOOKUP($B379,Miljö!$B$1:$J$479,MATCH("Fossilandel för ursprungspecificerad el ()",Miljö!$B$1:$J$1,0),FALSE)</f>
        <v>0.43</v>
      </c>
      <c r="J379" s="121">
        <f>VLOOKUP($B379,Miljö!$B$1:$J$479,MATCH("Kärnkraftsandel för ursprungsspecificerad el ()",Miljö!$B$1:$J$1,0),FALSE)</f>
        <v>0.40550000000000003</v>
      </c>
      <c r="L379" s="121">
        <f>VLOOKUP($B379,Totalt!$B$1:$BU$497,MATCH("total el",Totalt!$B$1:$BU$1,0),FALSE)</f>
        <v>0.872</v>
      </c>
      <c r="N379" s="271">
        <f t="shared" si="20"/>
        <v>2.0055999999999998</v>
      </c>
      <c r="O379" s="271">
        <f t="shared" si="21"/>
        <v>287.05367999999999</v>
      </c>
      <c r="P379" s="271">
        <f t="shared" si="22"/>
        <v>0.37496000000000002</v>
      </c>
      <c r="Q379" s="271">
        <f t="shared" si="23"/>
        <v>0.35359600000000002</v>
      </c>
    </row>
    <row r="380" spans="1:17" x14ac:dyDescent="0.25">
      <c r="A380" s="137" t="s">
        <v>703</v>
      </c>
      <c r="B380" s="137" t="s">
        <v>706</v>
      </c>
      <c r="C380" s="121" t="str">
        <f>VLOOKUP($B380,Totalt!$B$1:$BU$497,MATCH("Kvalitetsgranskad:",Totalt!$B$1:$BU$1,0),FALSE)</f>
        <v>Ja</v>
      </c>
      <c r="E380" s="121" t="str">
        <f>VLOOKUP($B380,Miljö!$B$1:$AG$479,MATCH(E$1,Miljö!$B$1:$AK$1,0),FALSE)</f>
        <v>Nej</v>
      </c>
      <c r="F380" s="121" t="str">
        <f>VLOOKUP($B380,Miljö!$B$1:$J$479,MATCH("Typ av ursprungsspecificerad el   (Om inget värde anges används Nordisk residualmix, se inforuta) ()",Miljö!$B$1:$J$1,0),FALSE)</f>
        <v>-</v>
      </c>
      <c r="G380" s="121">
        <f>VLOOKUP($B380,Miljö!$B$1:$J$479,MATCH("Primärenergifaktor ()",Miljö!$B$1:$J$1,0),FALSE)</f>
        <v>2.2999999999999998</v>
      </c>
      <c r="H380" s="121">
        <f>VLOOKUP($B380,Miljö!$B$1:$J$479,MATCH("Koldioxidekvivalenter energiomvandling (g/kwh)",Miljö!$B$1:$J$1,0),FALSE)</f>
        <v>329.19</v>
      </c>
      <c r="I380" s="121">
        <f>VLOOKUP($B380,Miljö!$B$1:$J$479,MATCH("Fossilandel för ursprungspecificerad el ()",Miljö!$B$1:$J$1,0),FALSE)</f>
        <v>0.43</v>
      </c>
      <c r="J380" s="121">
        <f>VLOOKUP($B380,Miljö!$B$1:$J$479,MATCH("Kärnkraftsandel för ursprungsspecificerad el ()",Miljö!$B$1:$J$1,0),FALSE)</f>
        <v>0.40550000000000003</v>
      </c>
      <c r="L380" s="121">
        <f>VLOOKUP($B380,Totalt!$B$1:$BU$497,MATCH("total el",Totalt!$B$1:$BU$1,0),FALSE)</f>
        <v>10.130800000000001</v>
      </c>
      <c r="N380" s="271">
        <f t="shared" si="20"/>
        <v>23.300840000000001</v>
      </c>
      <c r="O380" s="271">
        <f t="shared" si="21"/>
        <v>3334.9580520000004</v>
      </c>
      <c r="P380" s="271">
        <f t="shared" si="22"/>
        <v>4.3562440000000002</v>
      </c>
      <c r="Q380" s="271">
        <f t="shared" si="23"/>
        <v>4.1080394000000009</v>
      </c>
    </row>
    <row r="381" spans="1:17" x14ac:dyDescent="0.25">
      <c r="A381" s="137" t="s">
        <v>707</v>
      </c>
      <c r="B381" s="137" t="s">
        <v>708</v>
      </c>
      <c r="C381" s="121" t="str">
        <f>VLOOKUP($B381,Totalt!$B$1:$BU$497,MATCH("Kvalitetsgranskad:",Totalt!$B$1:$BU$1,0),FALSE)</f>
        <v>Ja</v>
      </c>
      <c r="E381" s="121" t="str">
        <f>VLOOKUP($B381,Miljö!$B$1:$AG$479,MATCH(E$1,Miljö!$B$1:$AK$1,0),FALSE)</f>
        <v>Ja</v>
      </c>
      <c r="F381" s="121" t="str">
        <f>VLOOKUP($B381,Miljö!$B$1:$J$479,MATCH("Typ av ursprungsspecificerad el   (Om inget värde anges används Nordisk residualmix, se inforuta) ()",Miljö!$B$1:$J$1,0),FALSE)</f>
        <v>'Vattenfall "Klimatsmart/VattenEl"'</v>
      </c>
      <c r="G381" s="121">
        <f>VLOOKUP($B381,Miljö!$B$1:$J$479,MATCH("Primärenergifaktor ()",Miljö!$B$1:$J$1,0),FALSE)</f>
        <v>1.1000000000000001</v>
      </c>
      <c r="H381" s="121">
        <f>VLOOKUP($B381,Miljö!$B$1:$J$479,MATCH("Koldioxidekvivalenter energiomvandling (g/kwh)",Miljö!$B$1:$J$1,0),FALSE)</f>
        <v>8.1</v>
      </c>
      <c r="I381" s="121">
        <f>VLOOKUP($B381,Miljö!$B$1:$J$479,MATCH("Fossilandel för ursprungspecificerad el ()",Miljö!$B$1:$J$1,0),FALSE)</f>
        <v>0</v>
      </c>
      <c r="J381" s="121">
        <f>VLOOKUP($B381,Miljö!$B$1:$J$479,MATCH("Kärnkraftsandel för ursprungsspecificerad el ()",Miljö!$B$1:$J$1,0),FALSE)</f>
        <v>0</v>
      </c>
      <c r="L381" s="121">
        <f>VLOOKUP($B381,Totalt!$B$1:$BU$497,MATCH("total el",Totalt!$B$1:$BU$1,0),FALSE)</f>
        <v>3.9</v>
      </c>
      <c r="N381" s="271">
        <f t="shared" si="20"/>
        <v>4.29</v>
      </c>
      <c r="O381" s="271">
        <f t="shared" si="21"/>
        <v>31.589999999999996</v>
      </c>
      <c r="P381" s="271">
        <f t="shared" si="22"/>
        <v>0</v>
      </c>
      <c r="Q381" s="271">
        <f t="shared" si="23"/>
        <v>0</v>
      </c>
    </row>
    <row r="382" spans="1:17" x14ac:dyDescent="0.25">
      <c r="A382" s="137" t="s">
        <v>707</v>
      </c>
      <c r="B382" s="137" t="s">
        <v>709</v>
      </c>
      <c r="C382" s="121" t="str">
        <f>VLOOKUP($B382,Totalt!$B$1:$BU$497,MATCH("Kvalitetsgranskad:",Totalt!$B$1:$BU$1,0),FALSE)</f>
        <v>Nej</v>
      </c>
      <c r="E382" s="121" t="str">
        <f>VLOOKUP($B382,Miljö!$B$1:$AG$479,MATCH(E$1,Miljö!$B$1:$AK$1,0),FALSE)</f>
        <v>Nej</v>
      </c>
      <c r="F382" s="121" t="str">
        <f>VLOOKUP($B382,Miljö!$B$1:$J$479,MATCH("Typ av ursprungsspecificerad el   (Om inget värde anges används Nordisk residualmix, se inforuta) ()",Miljö!$B$1:$J$1,0),FALSE)</f>
        <v>-</v>
      </c>
      <c r="G382" s="121" t="str">
        <f>VLOOKUP($B382,Miljö!$B$1:$J$479,MATCH("Primärenergifaktor ()",Miljö!$B$1:$J$1,0),FALSE)</f>
        <v>-</v>
      </c>
      <c r="H382" s="121" t="str">
        <f>VLOOKUP($B382,Miljö!$B$1:$J$479,MATCH("Koldioxidekvivalenter energiomvandling (g/kwh)",Miljö!$B$1:$J$1,0),FALSE)</f>
        <v>-</v>
      </c>
      <c r="I382" s="121" t="str">
        <f>VLOOKUP($B382,Miljö!$B$1:$J$479,MATCH("Fossilandel för ursprungspecificerad el ()",Miljö!$B$1:$J$1,0),FALSE)</f>
        <v>-</v>
      </c>
      <c r="J382" s="121" t="str">
        <f>VLOOKUP($B382,Miljö!$B$1:$J$479,MATCH("Kärnkraftsandel för ursprungsspecificerad el ()",Miljö!$B$1:$J$1,0),FALSE)</f>
        <v>-</v>
      </c>
      <c r="L382" s="121">
        <f>VLOOKUP($B382,Totalt!$B$1:$BU$497,MATCH("total el",Totalt!$B$1:$BU$1,0),FALSE)</f>
        <v>0</v>
      </c>
      <c r="N382" s="271" t="str">
        <f t="shared" si="20"/>
        <v/>
      </c>
      <c r="O382" s="271" t="str">
        <f t="shared" si="21"/>
        <v/>
      </c>
      <c r="P382" s="271" t="str">
        <f t="shared" si="22"/>
        <v/>
      </c>
      <c r="Q382" s="271" t="str">
        <f t="shared" si="23"/>
        <v/>
      </c>
    </row>
    <row r="383" spans="1:17" x14ac:dyDescent="0.25">
      <c r="A383" s="137" t="s">
        <v>707</v>
      </c>
      <c r="B383" s="137" t="s">
        <v>710</v>
      </c>
      <c r="C383" s="121" t="str">
        <f>VLOOKUP($B383,Totalt!$B$1:$BU$497,MATCH("Kvalitetsgranskad:",Totalt!$B$1:$BU$1,0),FALSE)</f>
        <v>Ja</v>
      </c>
      <c r="E383" s="121" t="str">
        <f>VLOOKUP($B383,Miljö!$B$1:$AG$479,MATCH(E$1,Miljö!$B$1:$AK$1,0),FALSE)</f>
        <v>Ja</v>
      </c>
      <c r="F383" s="121" t="str">
        <f>VLOOKUP($B383,Miljö!$B$1:$J$479,MATCH("Typ av ursprungsspecificerad el   (Om inget värde anges används Nordisk residualmix, se inforuta) ()",Miljö!$B$1:$J$1,0),FALSE)</f>
        <v>'Vattenfall Klimatsmart/VattenEl'</v>
      </c>
      <c r="G383" s="121">
        <f>VLOOKUP($B383,Miljö!$B$1:$J$479,MATCH("Primärenergifaktor ()",Miljö!$B$1:$J$1,0),FALSE)</f>
        <v>1.1000000000000001</v>
      </c>
      <c r="H383" s="121">
        <f>VLOOKUP($B383,Miljö!$B$1:$J$479,MATCH("Koldioxidekvivalenter energiomvandling (g/kwh)",Miljö!$B$1:$J$1,0),FALSE)</f>
        <v>8.1</v>
      </c>
      <c r="I383" s="121">
        <f>VLOOKUP($B383,Miljö!$B$1:$J$479,MATCH("Fossilandel för ursprungspecificerad el ()",Miljö!$B$1:$J$1,0),FALSE)</f>
        <v>0.43</v>
      </c>
      <c r="J383" s="121">
        <f>VLOOKUP($B383,Miljö!$B$1:$J$479,MATCH("Kärnkraftsandel för ursprungsspecificerad el ()",Miljö!$B$1:$J$1,0),FALSE)</f>
        <v>0.40550000000000003</v>
      </c>
      <c r="L383" s="121">
        <f>VLOOKUP($B383,Totalt!$B$1:$BU$497,MATCH("total el",Totalt!$B$1:$BU$1,0),FALSE)</f>
        <v>0.04</v>
      </c>
      <c r="N383" s="271">
        <f t="shared" si="20"/>
        <v>4.4000000000000004E-2</v>
      </c>
      <c r="O383" s="271">
        <f t="shared" si="21"/>
        <v>0.32400000000000001</v>
      </c>
      <c r="P383" s="271">
        <f t="shared" si="22"/>
        <v>1.72E-2</v>
      </c>
      <c r="Q383" s="271">
        <f t="shared" si="23"/>
        <v>1.6220000000000002E-2</v>
      </c>
    </row>
    <row r="384" spans="1:17" x14ac:dyDescent="0.25">
      <c r="A384" s="137" t="s">
        <v>707</v>
      </c>
      <c r="B384" s="137" t="s">
        <v>711</v>
      </c>
      <c r="C384" s="121" t="str">
        <f>VLOOKUP($B384,Totalt!$B$1:$BU$497,MATCH("Kvalitetsgranskad:",Totalt!$B$1:$BU$1,0),FALSE)</f>
        <v>Nej</v>
      </c>
      <c r="E384" s="121" t="str">
        <f>VLOOKUP($B384,Miljö!$B$1:$AG$479,MATCH(E$1,Miljö!$B$1:$AK$1,0),FALSE)</f>
        <v>Nej</v>
      </c>
      <c r="F384" s="121" t="str">
        <f>VLOOKUP($B384,Miljö!$B$1:$J$479,MATCH("Typ av ursprungsspecificerad el   (Om inget värde anges används Nordisk residualmix, se inforuta) ()",Miljö!$B$1:$J$1,0),FALSE)</f>
        <v>-</v>
      </c>
      <c r="G384" s="121" t="str">
        <f>VLOOKUP($B384,Miljö!$B$1:$J$479,MATCH("Primärenergifaktor ()",Miljö!$B$1:$J$1,0),FALSE)</f>
        <v>-</v>
      </c>
      <c r="H384" s="121" t="str">
        <f>VLOOKUP($B384,Miljö!$B$1:$J$479,MATCH("Koldioxidekvivalenter energiomvandling (g/kwh)",Miljö!$B$1:$J$1,0),FALSE)</f>
        <v>-</v>
      </c>
      <c r="I384" s="121" t="str">
        <f>VLOOKUP($B384,Miljö!$B$1:$J$479,MATCH("Fossilandel för ursprungspecificerad el ()",Miljö!$B$1:$J$1,0),FALSE)</f>
        <v>-</v>
      </c>
      <c r="J384" s="121" t="str">
        <f>VLOOKUP($B384,Miljö!$B$1:$J$479,MATCH("Kärnkraftsandel för ursprungsspecificerad el ()",Miljö!$B$1:$J$1,0),FALSE)</f>
        <v>-</v>
      </c>
      <c r="L384" s="121">
        <f>VLOOKUP($B384,Totalt!$B$1:$BU$497,MATCH("total el",Totalt!$B$1:$BU$1,0),FALSE)</f>
        <v>0</v>
      </c>
      <c r="N384" s="271" t="str">
        <f t="shared" si="20"/>
        <v/>
      </c>
      <c r="O384" s="271" t="str">
        <f t="shared" si="21"/>
        <v/>
      </c>
      <c r="P384" s="271" t="str">
        <f t="shared" si="22"/>
        <v/>
      </c>
      <c r="Q384" s="271" t="str">
        <f t="shared" si="23"/>
        <v/>
      </c>
    </row>
    <row r="385" spans="1:17" x14ac:dyDescent="0.25">
      <c r="A385" s="137" t="s">
        <v>712</v>
      </c>
      <c r="B385" s="137" t="s">
        <v>713</v>
      </c>
      <c r="C385" s="121" t="str">
        <f>VLOOKUP($B385,Totalt!$B$1:$BU$497,MATCH("Kvalitetsgranskad:",Totalt!$B$1:$BU$1,0),FALSE)</f>
        <v>Ja</v>
      </c>
      <c r="E385" s="121" t="str">
        <f>VLOOKUP($B385,Miljö!$B$1:$AG$479,MATCH(E$1,Miljö!$B$1:$AK$1,0),FALSE)</f>
        <v>Ja</v>
      </c>
      <c r="F385" s="121" t="str">
        <f>VLOOKUP($B385,Miljö!$B$1:$J$479,MATCH("Typ av ursprungsspecificerad el   (Om inget värde anges används Nordisk residualmix, se inforuta) ()",Miljö!$B$1:$J$1,0),FALSE)</f>
        <v>'Bra miljöval'</v>
      </c>
      <c r="G385" s="121">
        <f>VLOOKUP($B385,Miljö!$B$1:$J$479,MATCH("Primärenergifaktor ()",Miljö!$B$1:$J$1,0),FALSE)</f>
        <v>0.05</v>
      </c>
      <c r="H385" s="121">
        <f>VLOOKUP($B385,Miljö!$B$1:$J$479,MATCH("Koldioxidekvivalenter energiomvandling (g/kwh)",Miljö!$B$1:$J$1,0),FALSE)</f>
        <v>0</v>
      </c>
      <c r="I385" s="121">
        <f>VLOOKUP($B385,Miljö!$B$1:$J$479,MATCH("Fossilandel för ursprungspecificerad el ()",Miljö!$B$1:$J$1,0),FALSE)</f>
        <v>0</v>
      </c>
      <c r="J385" s="121">
        <f>VLOOKUP($B385,Miljö!$B$1:$J$479,MATCH("Kärnkraftsandel för ursprungsspecificerad el ()",Miljö!$B$1:$J$1,0),FALSE)</f>
        <v>0</v>
      </c>
      <c r="L385" s="121">
        <f>VLOOKUP($B385,Totalt!$B$1:$BU$497,MATCH("total el",Totalt!$B$1:$BU$1,0),FALSE)</f>
        <v>0.27</v>
      </c>
      <c r="N385" s="271">
        <f t="shared" si="20"/>
        <v>1.3500000000000002E-2</v>
      </c>
      <c r="O385" s="271">
        <f t="shared" si="21"/>
        <v>0</v>
      </c>
      <c r="P385" s="271">
        <f t="shared" si="22"/>
        <v>0</v>
      </c>
      <c r="Q385" s="271">
        <f t="shared" si="23"/>
        <v>0</v>
      </c>
    </row>
    <row r="386" spans="1:17" x14ac:dyDescent="0.25">
      <c r="A386" s="137" t="s">
        <v>712</v>
      </c>
      <c r="B386" s="137" t="s">
        <v>714</v>
      </c>
      <c r="C386" s="121" t="str">
        <f>VLOOKUP($B386,Totalt!$B$1:$BU$497,MATCH("Kvalitetsgranskad:",Totalt!$B$1:$BU$1,0),FALSE)</f>
        <v>Ja</v>
      </c>
      <c r="E386" s="121" t="str">
        <f>VLOOKUP($B386,Miljö!$B$1:$AG$479,MATCH(E$1,Miljö!$B$1:$AK$1,0),FALSE)</f>
        <v>Ja</v>
      </c>
      <c r="F386" s="121" t="str">
        <f>VLOOKUP($B386,Miljö!$B$1:$J$479,MATCH("Typ av ursprungsspecificerad el   (Om inget värde anges används Nordisk residualmix, se inforuta) ()",Miljö!$B$1:$J$1,0),FALSE)</f>
        <v>-</v>
      </c>
      <c r="G386" s="121">
        <f>VLOOKUP($B386,Miljö!$B$1:$J$479,MATCH("Primärenergifaktor ()",Miljö!$B$1:$J$1,0),FALSE)</f>
        <v>0.05</v>
      </c>
      <c r="H386" s="121">
        <f>VLOOKUP($B386,Miljö!$B$1:$J$479,MATCH("Koldioxidekvivalenter energiomvandling (g/kwh)",Miljö!$B$1:$J$1,0),FALSE)</f>
        <v>0</v>
      </c>
      <c r="I386" s="121">
        <f>VLOOKUP($B386,Miljö!$B$1:$J$479,MATCH("Fossilandel för ursprungspecificerad el ()",Miljö!$B$1:$J$1,0),FALSE)</f>
        <v>0</v>
      </c>
      <c r="J386" s="121">
        <f>VLOOKUP($B386,Miljö!$B$1:$J$479,MATCH("Kärnkraftsandel för ursprungsspecificerad el ()",Miljö!$B$1:$J$1,0),FALSE)</f>
        <v>0</v>
      </c>
      <c r="L386" s="121">
        <f>VLOOKUP($B386,Totalt!$B$1:$BU$497,MATCH("total el",Totalt!$B$1:$BU$1,0),FALSE)</f>
        <v>0.159</v>
      </c>
      <c r="N386" s="271">
        <f t="shared" si="20"/>
        <v>7.9500000000000005E-3</v>
      </c>
      <c r="O386" s="271">
        <f t="shared" si="21"/>
        <v>0</v>
      </c>
      <c r="P386" s="271">
        <f t="shared" si="22"/>
        <v>0</v>
      </c>
      <c r="Q386" s="271">
        <f t="shared" si="23"/>
        <v>0</v>
      </c>
    </row>
    <row r="387" spans="1:17" x14ac:dyDescent="0.25">
      <c r="A387" s="137" t="s">
        <v>712</v>
      </c>
      <c r="B387" s="137" t="s">
        <v>715</v>
      </c>
      <c r="C387" s="121" t="str">
        <f>VLOOKUP($B387,Totalt!$B$1:$BU$497,MATCH("Kvalitetsgranskad:",Totalt!$B$1:$BU$1,0),FALSE)</f>
        <v>Ja</v>
      </c>
      <c r="E387" s="121" t="str">
        <f>VLOOKUP($B387,Miljö!$B$1:$AG$479,MATCH(E$1,Miljö!$B$1:$AK$1,0),FALSE)</f>
        <v>Ja</v>
      </c>
      <c r="F387" s="121" t="str">
        <f>VLOOKUP($B387,Miljö!$B$1:$J$479,MATCH("Typ av ursprungsspecificerad el   (Om inget värde anges används Nordisk residualmix, se inforuta) ()",Miljö!$B$1:$J$1,0),FALSE)</f>
        <v>'Bra miljöval'</v>
      </c>
      <c r="G387" s="121">
        <f>VLOOKUP($B387,Miljö!$B$1:$J$479,MATCH("Primärenergifaktor ()",Miljö!$B$1:$J$1,0),FALSE)</f>
        <v>0.05</v>
      </c>
      <c r="H387" s="121">
        <f>VLOOKUP($B387,Miljö!$B$1:$J$479,MATCH("Koldioxidekvivalenter energiomvandling (g/kwh)",Miljö!$B$1:$J$1,0),FALSE)</f>
        <v>0</v>
      </c>
      <c r="I387" s="121">
        <f>VLOOKUP($B387,Miljö!$B$1:$J$479,MATCH("Fossilandel för ursprungspecificerad el ()",Miljö!$B$1:$J$1,0),FALSE)</f>
        <v>0</v>
      </c>
      <c r="J387" s="121">
        <f>VLOOKUP($B387,Miljö!$B$1:$J$479,MATCH("Kärnkraftsandel för ursprungsspecificerad el ()",Miljö!$B$1:$J$1,0),FALSE)</f>
        <v>0</v>
      </c>
      <c r="L387" s="121">
        <f>VLOOKUP($B387,Totalt!$B$1:$BU$497,MATCH("total el",Totalt!$B$1:$BU$1,0),FALSE)</f>
        <v>0.214</v>
      </c>
      <c r="N387" s="271">
        <f t="shared" ref="N387:N406" si="24">IF(ISERROR($L387*G387),"",$L387*G387)</f>
        <v>1.0700000000000001E-2</v>
      </c>
      <c r="O387" s="271">
        <f t="shared" ref="O387:O406" si="25">IF(ISERROR($L387*H387),"",$L387*H387)</f>
        <v>0</v>
      </c>
      <c r="P387" s="271">
        <f t="shared" ref="P387:P406" si="26">IF(ISERROR($L387*I387),"",$L387*I387)</f>
        <v>0</v>
      </c>
      <c r="Q387" s="271">
        <f t="shared" ref="Q387:Q406" si="27">IF(ISERROR($L387*J387),"",$L387*J387)</f>
        <v>0</v>
      </c>
    </row>
    <row r="388" spans="1:17" x14ac:dyDescent="0.25">
      <c r="A388" s="137" t="s">
        <v>712</v>
      </c>
      <c r="B388" s="137" t="s">
        <v>716</v>
      </c>
      <c r="C388" s="121" t="str">
        <f>VLOOKUP($B388,Totalt!$B$1:$BU$497,MATCH("Kvalitetsgranskad:",Totalt!$B$1:$BU$1,0),FALSE)</f>
        <v>Ja</v>
      </c>
      <c r="E388" s="121" t="str">
        <f>VLOOKUP($B388,Miljö!$B$1:$AG$479,MATCH(E$1,Miljö!$B$1:$AK$1,0),FALSE)</f>
        <v>Ja</v>
      </c>
      <c r="F388" s="121" t="str">
        <f>VLOOKUP($B388,Miljö!$B$1:$J$479,MATCH("Typ av ursprungsspecificerad el   (Om inget värde anges används Nordisk residualmix, se inforuta) ()",Miljö!$B$1:$J$1,0),FALSE)</f>
        <v>'Bra miljöval'</v>
      </c>
      <c r="G388" s="121">
        <f>VLOOKUP($B388,Miljö!$B$1:$J$479,MATCH("Primärenergifaktor ()",Miljö!$B$1:$J$1,0),FALSE)</f>
        <v>0.1</v>
      </c>
      <c r="H388" s="121">
        <f>VLOOKUP($B388,Miljö!$B$1:$J$479,MATCH("Koldioxidekvivalenter energiomvandling (g/kwh)",Miljö!$B$1:$J$1,0),FALSE)</f>
        <v>0</v>
      </c>
      <c r="I388" s="121">
        <f>VLOOKUP($B388,Miljö!$B$1:$J$479,MATCH("Fossilandel för ursprungspecificerad el ()",Miljö!$B$1:$J$1,0),FALSE)</f>
        <v>0</v>
      </c>
      <c r="J388" s="121">
        <f>VLOOKUP($B388,Miljö!$B$1:$J$479,MATCH("Kärnkraftsandel för ursprungsspecificerad el ()",Miljö!$B$1:$J$1,0),FALSE)</f>
        <v>0</v>
      </c>
      <c r="L388" s="121">
        <f>VLOOKUP($B388,Totalt!$B$1:$BU$497,MATCH("total el",Totalt!$B$1:$BU$1,0),FALSE)</f>
        <v>2.1</v>
      </c>
      <c r="N388" s="271">
        <f t="shared" si="24"/>
        <v>0.21000000000000002</v>
      </c>
      <c r="O388" s="271">
        <f t="shared" si="25"/>
        <v>0</v>
      </c>
      <c r="P388" s="271">
        <f t="shared" si="26"/>
        <v>0</v>
      </c>
      <c r="Q388" s="271">
        <f t="shared" si="27"/>
        <v>0</v>
      </c>
    </row>
    <row r="389" spans="1:17" x14ac:dyDescent="0.25">
      <c r="A389" s="137" t="s">
        <v>712</v>
      </c>
      <c r="B389" s="137" t="s">
        <v>717</v>
      </c>
      <c r="C389" s="121" t="str">
        <f>VLOOKUP($B389,Totalt!$B$1:$BU$497,MATCH("Kvalitetsgranskad:",Totalt!$B$1:$BU$1,0),FALSE)</f>
        <v>Ja</v>
      </c>
      <c r="E389" s="121" t="str">
        <f>VLOOKUP($B389,Miljö!$B$1:$AG$479,MATCH(E$1,Miljö!$B$1:$AK$1,0),FALSE)</f>
        <v>Ja</v>
      </c>
      <c r="F389" s="121" t="str">
        <f>VLOOKUP($B389,Miljö!$B$1:$J$479,MATCH("Typ av ursprungsspecificerad el   (Om inget värde anges används Nordisk residualmix, se inforuta) ()",Miljö!$B$1:$J$1,0),FALSE)</f>
        <v>'Förnybar el'</v>
      </c>
      <c r="G389" s="121">
        <f>VLOOKUP($B389,Miljö!$B$1:$J$479,MATCH("Primärenergifaktor ()",Miljö!$B$1:$J$1,0),FALSE)</f>
        <v>0.05</v>
      </c>
      <c r="H389" s="121">
        <f>VLOOKUP($B389,Miljö!$B$1:$J$479,MATCH("Koldioxidekvivalenter energiomvandling (g/kwh)",Miljö!$B$1:$J$1,0),FALSE)</f>
        <v>0</v>
      </c>
      <c r="I389" s="121">
        <f>VLOOKUP($B389,Miljö!$B$1:$J$479,MATCH("Fossilandel för ursprungspecificerad el ()",Miljö!$B$1:$J$1,0),FALSE)</f>
        <v>0</v>
      </c>
      <c r="J389" s="121">
        <f>VLOOKUP($B389,Miljö!$B$1:$J$479,MATCH("Kärnkraftsandel för ursprungsspecificerad el ()",Miljö!$B$1:$J$1,0),FALSE)</f>
        <v>0</v>
      </c>
      <c r="L389" s="121">
        <f>VLOOKUP($B389,Totalt!$B$1:$BU$497,MATCH("total el",Totalt!$B$1:$BU$1,0),FALSE)</f>
        <v>14.4039</v>
      </c>
      <c r="N389" s="271">
        <f t="shared" si="24"/>
        <v>0.72019500000000003</v>
      </c>
      <c r="O389" s="271">
        <f t="shared" si="25"/>
        <v>0</v>
      </c>
      <c r="P389" s="271">
        <f t="shared" si="26"/>
        <v>0</v>
      </c>
      <c r="Q389" s="271">
        <f t="shared" si="27"/>
        <v>0</v>
      </c>
    </row>
    <row r="390" spans="1:17" x14ac:dyDescent="0.25">
      <c r="A390" s="137" t="s">
        <v>712</v>
      </c>
      <c r="B390" s="137" t="s">
        <v>718</v>
      </c>
      <c r="C390" s="121" t="str">
        <f>VLOOKUP($B390,Totalt!$B$1:$BU$497,MATCH("Kvalitetsgranskad:",Totalt!$B$1:$BU$1,0),FALSE)</f>
        <v>Nej</v>
      </c>
      <c r="E390" s="121" t="str">
        <f>VLOOKUP($B390,Miljö!$B$1:$AG$479,MATCH(E$1,Miljö!$B$1:$AK$1,0),FALSE)</f>
        <v>Nej</v>
      </c>
      <c r="F390" s="121" t="str">
        <f>VLOOKUP($B390,Miljö!$B$1:$J$479,MATCH("Typ av ursprungsspecificerad el   (Om inget värde anges används Nordisk residualmix, se inforuta) ()",Miljö!$B$1:$J$1,0),FALSE)</f>
        <v>-</v>
      </c>
      <c r="G390" s="121" t="str">
        <f>VLOOKUP($B390,Miljö!$B$1:$J$479,MATCH("Primärenergifaktor ()",Miljö!$B$1:$J$1,0),FALSE)</f>
        <v>-</v>
      </c>
      <c r="H390" s="121" t="str">
        <f>VLOOKUP($B390,Miljö!$B$1:$J$479,MATCH("Koldioxidekvivalenter energiomvandling (g/kwh)",Miljö!$B$1:$J$1,0),FALSE)</f>
        <v>-</v>
      </c>
      <c r="I390" s="121" t="str">
        <f>VLOOKUP($B390,Miljö!$B$1:$J$479,MATCH("Fossilandel för ursprungspecificerad el ()",Miljö!$B$1:$J$1,0),FALSE)</f>
        <v>-</v>
      </c>
      <c r="J390" s="121" t="str">
        <f>VLOOKUP($B390,Miljö!$B$1:$J$479,MATCH("Kärnkraftsandel för ursprungsspecificerad el ()",Miljö!$B$1:$J$1,0),FALSE)</f>
        <v>-</v>
      </c>
      <c r="L390" s="121">
        <f>VLOOKUP($B390,Totalt!$B$1:$BU$497,MATCH("total el",Totalt!$B$1:$BU$1,0),FALSE)</f>
        <v>0</v>
      </c>
      <c r="N390" s="271" t="str">
        <f t="shared" si="24"/>
        <v/>
      </c>
      <c r="O390" s="271" t="str">
        <f t="shared" si="25"/>
        <v/>
      </c>
      <c r="P390" s="271" t="str">
        <f t="shared" si="26"/>
        <v/>
      </c>
      <c r="Q390" s="271" t="str">
        <f t="shared" si="27"/>
        <v/>
      </c>
    </row>
    <row r="391" spans="1:17" x14ac:dyDescent="0.25">
      <c r="A391" s="137" t="s">
        <v>719</v>
      </c>
      <c r="B391" s="137" t="s">
        <v>720</v>
      </c>
      <c r="C391" s="121" t="str">
        <f>VLOOKUP($B391,Totalt!$B$1:$BU$497,MATCH("Kvalitetsgranskad:",Totalt!$B$1:$BU$1,0),FALSE)</f>
        <v>Ja</v>
      </c>
      <c r="E391" s="121" t="str">
        <f>VLOOKUP($B391,Miljö!$B$1:$AG$479,MATCH(E$1,Miljö!$B$1:$AK$1,0),FALSE)</f>
        <v>Ja</v>
      </c>
      <c r="F391" s="121" t="str">
        <f>VLOOKUP($B391,Miljö!$B$1:$J$479,MATCH("Typ av ursprungsspecificerad el   (Om inget värde anges används Nordisk residualmix, se inforuta) ()",Miljö!$B$1:$J$1,0),FALSE)</f>
        <v>'Bra miljöval'</v>
      </c>
      <c r="G391" s="121">
        <f>VLOOKUP($B391,Miljö!$B$1:$J$479,MATCH("Primärenergifaktor ()",Miljö!$B$1:$J$1,0),FALSE)</f>
        <v>1.1000000000000001</v>
      </c>
      <c r="H391" s="121">
        <f>VLOOKUP($B391,Miljö!$B$1:$J$479,MATCH("Koldioxidekvivalenter energiomvandling (g/kwh)",Miljö!$B$1:$J$1,0),FALSE)</f>
        <v>0</v>
      </c>
      <c r="I391" s="121">
        <f>VLOOKUP($B391,Miljö!$B$1:$J$479,MATCH("Fossilandel för ursprungspecificerad el ()",Miljö!$B$1:$J$1,0),FALSE)</f>
        <v>0</v>
      </c>
      <c r="J391" s="121">
        <f>VLOOKUP($B391,Miljö!$B$1:$J$479,MATCH("Kärnkraftsandel för ursprungsspecificerad el ()",Miljö!$B$1:$J$1,0),FALSE)</f>
        <v>0</v>
      </c>
      <c r="L391" s="121">
        <f>VLOOKUP($B391,Totalt!$B$1:$BU$497,MATCH("total el",Totalt!$B$1:$BU$1,0),FALSE)</f>
        <v>3.6030000000000002</v>
      </c>
      <c r="N391" s="271">
        <f t="shared" si="24"/>
        <v>3.9633000000000007</v>
      </c>
      <c r="O391" s="271">
        <f t="shared" si="25"/>
        <v>0</v>
      </c>
      <c r="P391" s="271">
        <f t="shared" si="26"/>
        <v>0</v>
      </c>
      <c r="Q391" s="271">
        <f t="shared" si="27"/>
        <v>0</v>
      </c>
    </row>
    <row r="392" spans="1:17" x14ac:dyDescent="0.25">
      <c r="A392" s="137" t="s">
        <v>721</v>
      </c>
      <c r="B392" s="137" t="s">
        <v>722</v>
      </c>
      <c r="C392" s="121" t="str">
        <f>VLOOKUP($B392,Totalt!$B$1:$BU$497,MATCH("Kvalitetsgranskad:",Totalt!$B$1:$BU$1,0),FALSE)</f>
        <v>Ja</v>
      </c>
      <c r="E392" s="121" t="str">
        <f>VLOOKUP($B392,Miljö!$B$1:$AG$479,MATCH(E$1,Miljö!$B$1:$AK$1,0),FALSE)</f>
        <v>Ja</v>
      </c>
      <c r="F392" s="121" t="str">
        <f>VLOOKUP($B392,Miljö!$B$1:$J$479,MATCH("Typ av ursprungsspecificerad el   (Om inget värde anges används Nordisk residualmix, se inforuta) ()",Miljö!$B$1:$J$1,0),FALSE)</f>
        <v>-</v>
      </c>
      <c r="G392" s="121">
        <f>VLOOKUP($B392,Miljö!$B$1:$J$479,MATCH("Primärenergifaktor ()",Miljö!$B$1:$J$1,0),FALSE)</f>
        <v>1.94</v>
      </c>
      <c r="H392" s="121">
        <f>VLOOKUP($B392,Miljö!$B$1:$J$479,MATCH("Koldioxidekvivalenter energiomvandling (g/kwh)",Miljö!$B$1:$J$1,0),FALSE)</f>
        <v>0</v>
      </c>
      <c r="I392" s="121">
        <f>VLOOKUP($B392,Miljö!$B$1:$J$479,MATCH("Fossilandel för ursprungspecificerad el ()",Miljö!$B$1:$J$1,0),FALSE)</f>
        <v>0</v>
      </c>
      <c r="J392" s="121">
        <f>VLOOKUP($B392,Miljö!$B$1:$J$479,MATCH("Kärnkraftsandel för ursprungsspecificerad el ()",Miljö!$B$1:$J$1,0),FALSE)</f>
        <v>0.42</v>
      </c>
      <c r="L392" s="121">
        <f>VLOOKUP($B392,Totalt!$B$1:$BU$497,MATCH("total el",Totalt!$B$1:$BU$1,0),FALSE)</f>
        <v>0.13</v>
      </c>
      <c r="N392" s="271">
        <f t="shared" si="24"/>
        <v>0.25219999999999998</v>
      </c>
      <c r="O392" s="271">
        <f t="shared" si="25"/>
        <v>0</v>
      </c>
      <c r="P392" s="271">
        <f t="shared" si="26"/>
        <v>0</v>
      </c>
      <c r="Q392" s="271">
        <f t="shared" si="27"/>
        <v>5.4600000000000003E-2</v>
      </c>
    </row>
    <row r="393" spans="1:17" x14ac:dyDescent="0.25">
      <c r="A393" s="137" t="s">
        <v>721</v>
      </c>
      <c r="B393" s="137" t="s">
        <v>723</v>
      </c>
      <c r="C393" s="121" t="str">
        <f>VLOOKUP($B393,Totalt!$B$1:$BU$497,MATCH("Kvalitetsgranskad:",Totalt!$B$1:$BU$1,0),FALSE)</f>
        <v>Ja</v>
      </c>
      <c r="E393" s="121" t="str">
        <f>VLOOKUP($B393,Miljö!$B$1:$AG$479,MATCH(E$1,Miljö!$B$1:$AK$1,0),FALSE)</f>
        <v>Ja</v>
      </c>
      <c r="F393" s="121" t="str">
        <f>VLOOKUP($B393,Miljö!$B$1:$J$479,MATCH("Typ av ursprungsspecificerad el   (Om inget värde anges används Nordisk residualmix, se inforuta) ()",Miljö!$B$1:$J$1,0),FALSE)</f>
        <v>-</v>
      </c>
      <c r="G393" s="121">
        <f>VLOOKUP($B393,Miljö!$B$1:$J$479,MATCH("Primärenergifaktor ()",Miljö!$B$1:$J$1,0),FALSE)</f>
        <v>1.94</v>
      </c>
      <c r="H393" s="121">
        <f>VLOOKUP($B393,Miljö!$B$1:$J$479,MATCH("Koldioxidekvivalenter energiomvandling (g/kwh)",Miljö!$B$1:$J$1,0),FALSE)</f>
        <v>0</v>
      </c>
      <c r="I393" s="121">
        <f>VLOOKUP($B393,Miljö!$B$1:$J$479,MATCH("Fossilandel för ursprungspecificerad el ()",Miljö!$B$1:$J$1,0),FALSE)</f>
        <v>0</v>
      </c>
      <c r="J393" s="121">
        <f>VLOOKUP($B393,Miljö!$B$1:$J$479,MATCH("Kärnkraftsandel för ursprungsspecificerad el ()",Miljö!$B$1:$J$1,0),FALSE)</f>
        <v>0.42</v>
      </c>
      <c r="L393" s="121">
        <f>VLOOKUP($B393,Totalt!$B$1:$BU$497,MATCH("total el",Totalt!$B$1:$BU$1,0),FALSE)</f>
        <v>0.52500000000000002</v>
      </c>
      <c r="N393" s="271">
        <f t="shared" si="24"/>
        <v>1.0185</v>
      </c>
      <c r="O393" s="271">
        <f t="shared" si="25"/>
        <v>0</v>
      </c>
      <c r="P393" s="271">
        <f t="shared" si="26"/>
        <v>0</v>
      </c>
      <c r="Q393" s="271">
        <f t="shared" si="27"/>
        <v>0.2205</v>
      </c>
    </row>
    <row r="394" spans="1:17" x14ac:dyDescent="0.25">
      <c r="A394" s="137" t="s">
        <v>724</v>
      </c>
      <c r="B394" s="137" t="s">
        <v>141</v>
      </c>
      <c r="C394" s="121" t="str">
        <f>VLOOKUP($B394,Totalt!$B$1:$BU$497,MATCH("Kvalitetsgranskad:",Totalt!$B$1:$BU$1,0),FALSE)</f>
        <v>Nej</v>
      </c>
      <c r="E394" s="121" t="str">
        <f>VLOOKUP($B394,Miljö!$B$1:$AG$479,MATCH(E$1,Miljö!$B$1:$AK$1,0),FALSE)</f>
        <v>Nej</v>
      </c>
      <c r="F394" s="121" t="str">
        <f>VLOOKUP($B394,Miljö!$B$1:$J$479,MATCH("Typ av ursprungsspecificerad el   (Om inget värde anges används Nordisk residualmix, se inforuta) ()",Miljö!$B$1:$J$1,0),FALSE)</f>
        <v>-</v>
      </c>
      <c r="G394" s="121" t="str">
        <f>VLOOKUP($B394,Miljö!$B$1:$J$479,MATCH("Primärenergifaktor ()",Miljö!$B$1:$J$1,0),FALSE)</f>
        <v>-</v>
      </c>
      <c r="H394" s="121" t="str">
        <f>VLOOKUP($B394,Miljö!$B$1:$J$479,MATCH("Koldioxidekvivalenter energiomvandling (g/kwh)",Miljö!$B$1:$J$1,0),FALSE)</f>
        <v>-</v>
      </c>
      <c r="I394" s="121" t="str">
        <f>VLOOKUP($B394,Miljö!$B$1:$J$479,MATCH("Fossilandel för ursprungspecificerad el ()",Miljö!$B$1:$J$1,0),FALSE)</f>
        <v>-</v>
      </c>
      <c r="J394" s="121" t="str">
        <f>VLOOKUP($B394,Miljö!$B$1:$J$479,MATCH("Kärnkraftsandel för ursprungsspecificerad el ()",Miljö!$B$1:$J$1,0),FALSE)</f>
        <v>-</v>
      </c>
      <c r="L394" s="121">
        <f>VLOOKUP($B394,Totalt!$B$1:$BU$497,MATCH("total el",Totalt!$B$1:$BU$1,0),FALSE)</f>
        <v>0</v>
      </c>
      <c r="N394" s="271" t="str">
        <f t="shared" si="24"/>
        <v/>
      </c>
      <c r="O394" s="271" t="str">
        <f t="shared" si="25"/>
        <v/>
      </c>
      <c r="P394" s="271" t="str">
        <f t="shared" si="26"/>
        <v/>
      </c>
      <c r="Q394" s="271" t="str">
        <f t="shared" si="27"/>
        <v/>
      </c>
    </row>
    <row r="395" spans="1:17" x14ac:dyDescent="0.25">
      <c r="A395" s="137" t="s">
        <v>725</v>
      </c>
      <c r="B395" s="137" t="s">
        <v>726</v>
      </c>
      <c r="C395" s="121" t="str">
        <f>VLOOKUP($B395,Totalt!$B$1:$BU$497,MATCH("Kvalitetsgranskad:",Totalt!$B$1:$BU$1,0),FALSE)</f>
        <v>Ja</v>
      </c>
      <c r="E395" s="121" t="str">
        <f>VLOOKUP($B395,Miljö!$B$1:$AG$479,MATCH(E$1,Miljö!$B$1:$AK$1,0),FALSE)</f>
        <v>Ja</v>
      </c>
      <c r="F395" s="121" t="str">
        <f>VLOOKUP($B395,Miljö!$B$1:$J$479,MATCH("Typ av ursprungsspecificerad el   (Om inget värde anges används Nordisk residualmix, se inforuta) ()",Miljö!$B$1:$J$1,0),FALSE)</f>
        <v>'Bra miljöval och egenproducerad el'</v>
      </c>
      <c r="G395" s="121">
        <f>VLOOKUP($B395,Miljö!$B$1:$J$479,MATCH("Primärenergifaktor ()",Miljö!$B$1:$J$1,0),FALSE)</f>
        <v>0.72</v>
      </c>
      <c r="H395" s="121">
        <f>VLOOKUP($B395,Miljö!$B$1:$J$479,MATCH("Koldioxidekvivalenter energiomvandling (g/kwh)",Miljö!$B$1:$J$1,0),FALSE)</f>
        <v>82.5</v>
      </c>
      <c r="I395" s="121">
        <f>VLOOKUP($B395,Miljö!$B$1:$J$479,MATCH("Fossilandel för ursprungspecificerad el ()",Miljö!$B$1:$J$1,0),FALSE)</f>
        <v>0</v>
      </c>
      <c r="J395" s="121">
        <f>VLOOKUP($B395,Miljö!$B$1:$J$479,MATCH("Kärnkraftsandel för ursprungsspecificerad el ()",Miljö!$B$1:$J$1,0),FALSE)</f>
        <v>0</v>
      </c>
      <c r="L395" s="121">
        <f>VLOOKUP($B395,Totalt!$B$1:$BU$497,MATCH("total el",Totalt!$B$1:$BU$1,0),FALSE)</f>
        <v>40.556899999999999</v>
      </c>
      <c r="N395" s="271">
        <f t="shared" si="24"/>
        <v>29.200968</v>
      </c>
      <c r="O395" s="271">
        <f t="shared" si="25"/>
        <v>3345.94425</v>
      </c>
      <c r="P395" s="271">
        <f t="shared" si="26"/>
        <v>0</v>
      </c>
      <c r="Q395" s="271">
        <f t="shared" si="27"/>
        <v>0</v>
      </c>
    </row>
    <row r="396" spans="1:17" x14ac:dyDescent="0.25">
      <c r="A396" s="137" t="s">
        <v>725</v>
      </c>
      <c r="B396" s="137" t="s">
        <v>727</v>
      </c>
      <c r="C396" s="121" t="str">
        <f>VLOOKUP($B396,Totalt!$B$1:$BU$497,MATCH("Kvalitetsgranskad:",Totalt!$B$1:$BU$1,0),FALSE)</f>
        <v>Ja</v>
      </c>
      <c r="E396" s="121" t="str">
        <f>VLOOKUP($B396,Miljö!$B$1:$AG$479,MATCH(E$1,Miljö!$B$1:$AK$1,0),FALSE)</f>
        <v>Ja</v>
      </c>
      <c r="F396" s="121" t="str">
        <f>VLOOKUP($B396,Miljö!$B$1:$J$479,MATCH("Typ av ursprungsspecificerad el   (Om inget värde anges används Nordisk residualmix, se inforuta) ()",Miljö!$B$1:$J$1,0),FALSE)</f>
        <v>'Bra miljöval'</v>
      </c>
      <c r="G396" s="121">
        <f>VLOOKUP($B396,Miljö!$B$1:$J$479,MATCH("Primärenergifaktor ()",Miljö!$B$1:$J$1,0),FALSE)</f>
        <v>1.1000000000000001</v>
      </c>
      <c r="H396" s="121">
        <f>VLOOKUP($B396,Miljö!$B$1:$J$479,MATCH("Koldioxidekvivalenter energiomvandling (g/kwh)",Miljö!$B$1:$J$1,0),FALSE)</f>
        <v>0</v>
      </c>
      <c r="I396" s="121">
        <f>VLOOKUP($B396,Miljö!$B$1:$J$479,MATCH("Fossilandel för ursprungspecificerad el ()",Miljö!$B$1:$J$1,0),FALSE)</f>
        <v>0</v>
      </c>
      <c r="J396" s="121">
        <f>VLOOKUP($B396,Miljö!$B$1:$J$479,MATCH("Kärnkraftsandel för ursprungsspecificerad el ()",Miljö!$B$1:$J$1,0),FALSE)</f>
        <v>0</v>
      </c>
      <c r="L396" s="121">
        <f>VLOOKUP($B396,Totalt!$B$1:$BU$497,MATCH("total el",Totalt!$B$1:$BU$1,0),FALSE)</f>
        <v>4.3400000000000001E-2</v>
      </c>
      <c r="N396" s="271">
        <f t="shared" si="24"/>
        <v>4.7740000000000005E-2</v>
      </c>
      <c r="O396" s="271">
        <f t="shared" si="25"/>
        <v>0</v>
      </c>
      <c r="P396" s="271">
        <f t="shared" si="26"/>
        <v>0</v>
      </c>
      <c r="Q396" s="271">
        <f t="shared" si="27"/>
        <v>0</v>
      </c>
    </row>
    <row r="397" spans="1:17" x14ac:dyDescent="0.25">
      <c r="A397" s="137" t="s">
        <v>725</v>
      </c>
      <c r="B397" s="137" t="s">
        <v>728</v>
      </c>
      <c r="C397" s="121" t="str">
        <f>VLOOKUP($B397,Totalt!$B$1:$BU$497,MATCH("Kvalitetsgranskad:",Totalt!$B$1:$BU$1,0),FALSE)</f>
        <v>Ja</v>
      </c>
      <c r="E397" s="121" t="str">
        <f>VLOOKUP($B397,Miljö!$B$1:$AG$479,MATCH(E$1,Miljö!$B$1:$AK$1,0),FALSE)</f>
        <v>Ja</v>
      </c>
      <c r="F397" s="121" t="str">
        <f>VLOOKUP($B397,Miljö!$B$1:$J$479,MATCH("Typ av ursprungsspecificerad el   (Om inget värde anges används Nordisk residualmix, se inforuta) ()",Miljö!$B$1:$J$1,0),FALSE)</f>
        <v>'Bra miljöval'</v>
      </c>
      <c r="G397" s="121">
        <f>VLOOKUP($B397,Miljö!$B$1:$J$479,MATCH("Primärenergifaktor ()",Miljö!$B$1:$J$1,0),FALSE)</f>
        <v>1.1000000000000001</v>
      </c>
      <c r="H397" s="121">
        <f>VLOOKUP($B397,Miljö!$B$1:$J$479,MATCH("Koldioxidekvivalenter energiomvandling (g/kwh)",Miljö!$B$1:$J$1,0),FALSE)</f>
        <v>0</v>
      </c>
      <c r="I397" s="121">
        <f>VLOOKUP($B397,Miljö!$B$1:$J$479,MATCH("Fossilandel för ursprungspecificerad el ()",Miljö!$B$1:$J$1,0),FALSE)</f>
        <v>0</v>
      </c>
      <c r="J397" s="121">
        <f>VLOOKUP($B397,Miljö!$B$1:$J$479,MATCH("Kärnkraftsandel för ursprungsspecificerad el ()",Miljö!$B$1:$J$1,0),FALSE)</f>
        <v>0</v>
      </c>
      <c r="L397" s="121">
        <f>VLOOKUP($B397,Totalt!$B$1:$BU$497,MATCH("total el",Totalt!$B$1:$BU$1,0),FALSE)</f>
        <v>0.16700000000000001</v>
      </c>
      <c r="N397" s="271">
        <f t="shared" si="24"/>
        <v>0.18370000000000003</v>
      </c>
      <c r="O397" s="271">
        <f t="shared" si="25"/>
        <v>0</v>
      </c>
      <c r="P397" s="271">
        <f t="shared" si="26"/>
        <v>0</v>
      </c>
      <c r="Q397" s="271">
        <f t="shared" si="27"/>
        <v>0</v>
      </c>
    </row>
    <row r="398" spans="1:17" x14ac:dyDescent="0.25">
      <c r="A398" s="137" t="s">
        <v>725</v>
      </c>
      <c r="B398" s="137" t="s">
        <v>729</v>
      </c>
      <c r="C398" s="121" t="str">
        <f>VLOOKUP($B398,Totalt!$B$1:$BU$497,MATCH("Kvalitetsgranskad:",Totalt!$B$1:$BU$1,0),FALSE)</f>
        <v>Ja</v>
      </c>
      <c r="E398" s="121" t="str">
        <f>VLOOKUP($B398,Miljö!$B$1:$AG$479,MATCH(E$1,Miljö!$B$1:$AK$1,0),FALSE)</f>
        <v>Ja</v>
      </c>
      <c r="F398" s="121" t="str">
        <f>VLOOKUP($B398,Miljö!$B$1:$J$479,MATCH("Typ av ursprungsspecificerad el   (Om inget värde anges används Nordisk residualmix, se inforuta) ()",Miljö!$B$1:$J$1,0),FALSE)</f>
        <v>'Bra Miljöval'</v>
      </c>
      <c r="G398" s="121">
        <f>VLOOKUP($B398,Miljö!$B$1:$J$479,MATCH("Primärenergifaktor ()",Miljö!$B$1:$J$1,0),FALSE)</f>
        <v>1.1000000000000001</v>
      </c>
      <c r="H398" s="121">
        <f>VLOOKUP($B398,Miljö!$B$1:$J$479,MATCH("Koldioxidekvivalenter energiomvandling (g/kwh)",Miljö!$B$1:$J$1,0),FALSE)</f>
        <v>0</v>
      </c>
      <c r="I398" s="121">
        <f>VLOOKUP($B398,Miljö!$B$1:$J$479,MATCH("Fossilandel för ursprungspecificerad el ()",Miljö!$B$1:$J$1,0),FALSE)</f>
        <v>0</v>
      </c>
      <c r="J398" s="121">
        <f>VLOOKUP($B398,Miljö!$B$1:$J$479,MATCH("Kärnkraftsandel för ursprungsspecificerad el ()",Miljö!$B$1:$J$1,0),FALSE)</f>
        <v>0</v>
      </c>
      <c r="L398" s="121">
        <f>VLOOKUP($B398,Totalt!$B$1:$BU$497,MATCH("total el",Totalt!$B$1:$BU$1,0),FALSE)</f>
        <v>8.6820000000000004</v>
      </c>
      <c r="N398" s="271">
        <f t="shared" si="24"/>
        <v>9.550200000000002</v>
      </c>
      <c r="O398" s="271">
        <f t="shared" si="25"/>
        <v>0</v>
      </c>
      <c r="P398" s="271">
        <f t="shared" si="26"/>
        <v>0</v>
      </c>
      <c r="Q398" s="271">
        <f t="shared" si="27"/>
        <v>0</v>
      </c>
    </row>
    <row r="399" spans="1:17" x14ac:dyDescent="0.25">
      <c r="A399" s="137" t="s">
        <v>730</v>
      </c>
      <c r="B399" s="137" t="s">
        <v>731</v>
      </c>
      <c r="C399" s="121" t="str">
        <f>VLOOKUP($B399,Totalt!$B$1:$BU$497,MATCH("Kvalitetsgranskad:",Totalt!$B$1:$BU$1,0),FALSE)</f>
        <v>Ja</v>
      </c>
      <c r="E399" s="121" t="str">
        <f>VLOOKUP($B399,Miljö!$B$1:$AG$479,MATCH(E$1,Miljö!$B$1:$AK$1,0),FALSE)</f>
        <v>Ja</v>
      </c>
      <c r="F399" s="121" t="str">
        <f>VLOOKUP($B399,Miljö!$B$1:$J$479,MATCH("Typ av ursprungsspecificerad el   (Om inget värde anges används Nordisk residualmix, se inforuta) ()",Miljö!$B$1:$J$1,0),FALSE)</f>
        <v>-</v>
      </c>
      <c r="G399" s="121">
        <f>VLOOKUP($B399,Miljö!$B$1:$J$479,MATCH("Primärenergifaktor ()",Miljö!$B$1:$J$1,0),FALSE)</f>
        <v>2.23</v>
      </c>
      <c r="H399" s="121">
        <f>VLOOKUP($B399,Miljö!$B$1:$J$479,MATCH("Koldioxidekvivalenter energiomvandling (g/kwh)",Miljö!$B$1:$J$1,0),FALSE)</f>
        <v>329.19</v>
      </c>
      <c r="I399" s="121">
        <f>VLOOKUP($B399,Miljö!$B$1:$J$479,MATCH("Fossilandel för ursprungspecificerad el ()",Miljö!$B$1:$J$1,0),FALSE)</f>
        <v>0.43</v>
      </c>
      <c r="J399" s="121">
        <f>VLOOKUP($B399,Miljö!$B$1:$J$479,MATCH("Kärnkraftsandel för ursprungsspecificerad el ()",Miljö!$B$1:$J$1,0),FALSE)</f>
        <v>0.40550000000000003</v>
      </c>
      <c r="L399" s="121">
        <f>VLOOKUP($B399,Totalt!$B$1:$BU$497,MATCH("total el",Totalt!$B$1:$BU$1,0),FALSE)</f>
        <v>0.81599999999999995</v>
      </c>
      <c r="N399" s="271">
        <f t="shared" si="24"/>
        <v>1.81968</v>
      </c>
      <c r="O399" s="271">
        <f t="shared" si="25"/>
        <v>268.61903999999998</v>
      </c>
      <c r="P399" s="271">
        <f t="shared" si="26"/>
        <v>0.35087999999999997</v>
      </c>
      <c r="Q399" s="271">
        <f t="shared" si="27"/>
        <v>0.33088800000000002</v>
      </c>
    </row>
    <row r="400" spans="1:17" x14ac:dyDescent="0.25">
      <c r="A400" s="137" t="s">
        <v>732</v>
      </c>
      <c r="B400" s="137" t="s">
        <v>733</v>
      </c>
      <c r="C400" s="121" t="str">
        <f>VLOOKUP($B400,Totalt!$B$1:$BU$497,MATCH("Kvalitetsgranskad:",Totalt!$B$1:$BU$1,0),FALSE)</f>
        <v>Ja</v>
      </c>
      <c r="E400" s="121" t="str">
        <f>VLOOKUP($B400,Miljö!$B$1:$AG$479,MATCH(E$1,Miljö!$B$1:$AK$1,0),FALSE)</f>
        <v>Ja</v>
      </c>
      <c r="F400" s="121" t="str">
        <f>VLOOKUP($B400,Miljö!$B$1:$J$479,MATCH("Typ av ursprungsspecificerad el   (Om inget värde anges används Nordisk residualmix, se inforuta) ()",Miljö!$B$1:$J$1,0),FALSE)</f>
        <v>-</v>
      </c>
      <c r="G400" s="121">
        <f>VLOOKUP($B400,Miljö!$B$1:$J$479,MATCH("Primärenergifaktor ()",Miljö!$B$1:$J$1,0),FALSE)</f>
        <v>2.23</v>
      </c>
      <c r="H400" s="121">
        <f>VLOOKUP($B400,Miljö!$B$1:$J$479,MATCH("Koldioxidekvivalenter energiomvandling (g/kwh)",Miljö!$B$1:$J$1,0),FALSE)</f>
        <v>329.19</v>
      </c>
      <c r="I400" s="121">
        <f>VLOOKUP($B400,Miljö!$B$1:$J$479,MATCH("Fossilandel för ursprungspecificerad el ()",Miljö!$B$1:$J$1,0),FALSE)</f>
        <v>0.43</v>
      </c>
      <c r="J400" s="121">
        <f>VLOOKUP($B400,Miljö!$B$1:$J$479,MATCH("Kärnkraftsandel för ursprungsspecificerad el ()",Miljö!$B$1:$J$1,0),FALSE)</f>
        <v>0.40550000000000003</v>
      </c>
      <c r="L400" s="121">
        <f>VLOOKUP($B400,Totalt!$B$1:$BU$497,MATCH("total el",Totalt!$B$1:$BU$1,0),FALSE)</f>
        <v>2</v>
      </c>
      <c r="N400" s="271">
        <f t="shared" si="24"/>
        <v>4.46</v>
      </c>
      <c r="O400" s="271">
        <f t="shared" si="25"/>
        <v>658.38</v>
      </c>
      <c r="P400" s="271">
        <f t="shared" si="26"/>
        <v>0.86</v>
      </c>
      <c r="Q400" s="271">
        <f t="shared" si="27"/>
        <v>0.81100000000000005</v>
      </c>
    </row>
    <row r="401" spans="1:17" x14ac:dyDescent="0.25">
      <c r="A401" s="137" t="s">
        <v>734</v>
      </c>
      <c r="B401" s="137" t="s">
        <v>735</v>
      </c>
      <c r="C401" s="121" t="str">
        <f>VLOOKUP($B401,Totalt!$B$1:$BU$497,MATCH("Kvalitetsgranskad:",Totalt!$B$1:$BU$1,0),FALSE)</f>
        <v>Ja</v>
      </c>
      <c r="E401" s="121" t="str">
        <f>VLOOKUP($B401,Miljö!$B$1:$AG$479,MATCH(E$1,Miljö!$B$1:$AK$1,0),FALSE)</f>
        <v>Ja</v>
      </c>
      <c r="F401" s="121" t="str">
        <f>VLOOKUP($B401,Miljö!$B$1:$J$479,MATCH("Typ av ursprungsspecificerad el   (Om inget värde anges används Nordisk residualmix, se inforuta) ()",Miljö!$B$1:$J$1,0),FALSE)</f>
        <v>'Hörneborgsel'</v>
      </c>
      <c r="G401" s="121">
        <f>VLOOKUP($B401,Miljö!$B$1:$J$479,MATCH("Primärenergifaktor ()",Miljö!$B$1:$J$1,0),FALSE)</f>
        <v>0.183</v>
      </c>
      <c r="H401" s="121">
        <f>VLOOKUP($B401,Miljö!$B$1:$J$479,MATCH("Koldioxidekvivalenter energiomvandling (g/kwh)",Miljö!$B$1:$J$1,0),FALSE)</f>
        <v>60.9</v>
      </c>
      <c r="I401" s="121">
        <f>VLOOKUP($B401,Miljö!$B$1:$J$479,MATCH("Fossilandel för ursprungspecificerad el ()",Miljö!$B$1:$J$1,0),FALSE)</f>
        <v>0.03</v>
      </c>
      <c r="J401" s="121">
        <f>VLOOKUP($B401,Miljö!$B$1:$J$479,MATCH("Kärnkraftsandel för ursprungsspecificerad el ()",Miljö!$B$1:$J$1,0),FALSE)</f>
        <v>0</v>
      </c>
      <c r="L401" s="121">
        <f>VLOOKUP($B401,Totalt!$B$1:$BU$497,MATCH("total el",Totalt!$B$1:$BU$1,0),FALSE)</f>
        <v>0.68962999999999997</v>
      </c>
      <c r="N401" s="271">
        <f t="shared" si="24"/>
        <v>0.12620228999999999</v>
      </c>
      <c r="O401" s="271">
        <f t="shared" si="25"/>
        <v>41.998466999999998</v>
      </c>
      <c r="P401" s="271">
        <f t="shared" si="26"/>
        <v>2.06889E-2</v>
      </c>
      <c r="Q401" s="271">
        <f t="shared" si="27"/>
        <v>0</v>
      </c>
    </row>
    <row r="402" spans="1:17" x14ac:dyDescent="0.25">
      <c r="A402" s="137" t="s">
        <v>734</v>
      </c>
      <c r="B402" s="137" t="s">
        <v>736</v>
      </c>
      <c r="C402" s="121" t="str">
        <f>VLOOKUP($B402,Totalt!$B$1:$BU$497,MATCH("Kvalitetsgranskad:",Totalt!$B$1:$BU$1,0),FALSE)</f>
        <v>Ja</v>
      </c>
      <c r="E402" s="121" t="str">
        <f>VLOOKUP($B402,Miljö!$B$1:$AG$479,MATCH(E$1,Miljö!$B$1:$AK$1,0),FALSE)</f>
        <v>Ja</v>
      </c>
      <c r="F402" s="121" t="str">
        <f>VLOOKUP($B402,Miljö!$B$1:$J$479,MATCH("Typ av ursprungsspecificerad el   (Om inget värde anges används Nordisk residualmix, se inforuta) ()",Miljö!$B$1:$J$1,0),FALSE)</f>
        <v>'Hörneborgsel'</v>
      </c>
      <c r="G402" s="121">
        <f>VLOOKUP($B402,Miljö!$B$1:$J$479,MATCH("Primärenergifaktor ()",Miljö!$B$1:$J$1,0),FALSE)</f>
        <v>0.183</v>
      </c>
      <c r="H402" s="121">
        <f>VLOOKUP($B402,Miljö!$B$1:$J$479,MATCH("Koldioxidekvivalenter energiomvandling (g/kwh)",Miljö!$B$1:$J$1,0),FALSE)</f>
        <v>60.9</v>
      </c>
      <c r="I402" s="121">
        <f>VLOOKUP($B402,Miljö!$B$1:$J$479,MATCH("Fossilandel för ursprungspecificerad el ()",Miljö!$B$1:$J$1,0),FALSE)</f>
        <v>0.03</v>
      </c>
      <c r="J402" s="121">
        <f>VLOOKUP($B402,Miljö!$B$1:$J$479,MATCH("Kärnkraftsandel för ursprungsspecificerad el ()",Miljö!$B$1:$J$1,0),FALSE)</f>
        <v>0</v>
      </c>
      <c r="L402" s="121">
        <f>VLOOKUP($B402,Totalt!$B$1:$BU$497,MATCH("total el",Totalt!$B$1:$BU$1,0),FALSE)</f>
        <v>1.5307300000000001</v>
      </c>
      <c r="N402" s="271">
        <f t="shared" si="24"/>
        <v>0.28012359000000003</v>
      </c>
      <c r="O402" s="271">
        <f t="shared" si="25"/>
        <v>93.221457000000001</v>
      </c>
      <c r="P402" s="271">
        <f t="shared" si="26"/>
        <v>4.5921900000000002E-2</v>
      </c>
      <c r="Q402" s="271">
        <f t="shared" si="27"/>
        <v>0</v>
      </c>
    </row>
    <row r="403" spans="1:17" x14ac:dyDescent="0.25">
      <c r="A403" s="137" t="s">
        <v>734</v>
      </c>
      <c r="B403" s="137" t="s">
        <v>737</v>
      </c>
      <c r="C403" s="121" t="str">
        <f>VLOOKUP($B403,Totalt!$B$1:$BU$497,MATCH("Kvalitetsgranskad:",Totalt!$B$1:$BU$1,0),FALSE)</f>
        <v>Ja</v>
      </c>
      <c r="E403" s="121" t="str">
        <f>VLOOKUP($B403,Miljö!$B$1:$AG$479,MATCH(E$1,Miljö!$B$1:$AK$1,0),FALSE)</f>
        <v>Nej</v>
      </c>
      <c r="F403" s="121" t="str">
        <f>VLOOKUP($B403,Miljö!$B$1:$J$479,MATCH("Typ av ursprungsspecificerad el   (Om inget värde anges används Nordisk residualmix, se inforuta) ()",Miljö!$B$1:$J$1,0),FALSE)</f>
        <v>-</v>
      </c>
      <c r="G403" s="121">
        <f>VLOOKUP($B403,Miljö!$B$1:$J$479,MATCH("Primärenergifaktor ()",Miljö!$B$1:$J$1,0),FALSE)</f>
        <v>2.2999999999999998</v>
      </c>
      <c r="H403" s="121">
        <f>VLOOKUP($B403,Miljö!$B$1:$J$479,MATCH("Koldioxidekvivalenter energiomvandling (g/kwh)",Miljö!$B$1:$J$1,0),FALSE)</f>
        <v>329.19</v>
      </c>
      <c r="I403" s="121">
        <f>VLOOKUP($B403,Miljö!$B$1:$J$479,MATCH("Fossilandel för ursprungspecificerad el ()",Miljö!$B$1:$J$1,0),FALSE)</f>
        <v>0.43</v>
      </c>
      <c r="J403" s="121">
        <f>VLOOKUP($B403,Miljö!$B$1:$J$479,MATCH("Kärnkraftsandel för ursprungsspecificerad el ()",Miljö!$B$1:$J$1,0),FALSE)</f>
        <v>0.40550000000000003</v>
      </c>
      <c r="L403" s="121">
        <f>VLOOKUP($B403,Totalt!$B$1:$BU$497,MATCH("total el",Totalt!$B$1:$BU$1,0),FALSE)</f>
        <v>0.20399999999999999</v>
      </c>
      <c r="N403" s="271">
        <f t="shared" si="24"/>
        <v>0.46919999999999995</v>
      </c>
      <c r="O403" s="271">
        <f t="shared" si="25"/>
        <v>67.154759999999996</v>
      </c>
      <c r="P403" s="271">
        <f t="shared" si="26"/>
        <v>8.7719999999999992E-2</v>
      </c>
      <c r="Q403" s="271">
        <f t="shared" si="27"/>
        <v>8.2722000000000004E-2</v>
      </c>
    </row>
    <row r="404" spans="1:17" x14ac:dyDescent="0.25">
      <c r="A404" s="137" t="s">
        <v>734</v>
      </c>
      <c r="B404" s="137" t="s">
        <v>738</v>
      </c>
      <c r="C404" s="121" t="str">
        <f>VLOOKUP($B404,Totalt!$B$1:$BU$497,MATCH("Kvalitetsgranskad:",Totalt!$B$1:$BU$1,0),FALSE)</f>
        <v>Ja</v>
      </c>
      <c r="E404" s="121" t="str">
        <f>VLOOKUP($B404,Miljö!$B$1:$AG$479,MATCH(E$1,Miljö!$B$1:$AK$1,0),FALSE)</f>
        <v>Ja</v>
      </c>
      <c r="F404" s="121" t="str">
        <f>VLOOKUP($B404,Miljö!$B$1:$J$479,MATCH("Typ av ursprungsspecificerad el   (Om inget värde anges används Nordisk residualmix, se inforuta) ()",Miljö!$B$1:$J$1,0),FALSE)</f>
        <v>'Hörneborgsel'</v>
      </c>
      <c r="G404" s="121">
        <f>VLOOKUP($B404,Miljö!$B$1:$J$479,MATCH("Primärenergifaktor ()",Miljö!$B$1:$J$1,0),FALSE)</f>
        <v>0.183</v>
      </c>
      <c r="H404" s="121">
        <f>VLOOKUP($B404,Miljö!$B$1:$J$479,MATCH("Koldioxidekvivalenter energiomvandling (g/kwh)",Miljö!$B$1:$J$1,0),FALSE)</f>
        <v>60.9</v>
      </c>
      <c r="I404" s="121">
        <f>VLOOKUP($B404,Miljö!$B$1:$J$479,MATCH("Fossilandel för ursprungspecificerad el ()",Miljö!$B$1:$J$1,0),FALSE)</f>
        <v>0.03</v>
      </c>
      <c r="J404" s="121">
        <f>VLOOKUP($B404,Miljö!$B$1:$J$479,MATCH("Kärnkraftsandel för ursprungsspecificerad el ()",Miljö!$B$1:$J$1,0),FALSE)</f>
        <v>0</v>
      </c>
      <c r="L404" s="121">
        <f>VLOOKUP($B404,Totalt!$B$1:$BU$497,MATCH("total el",Totalt!$B$1:$BU$1,0),FALSE)</f>
        <v>2.3300000000000001E-2</v>
      </c>
      <c r="N404" s="271">
        <f t="shared" si="24"/>
        <v>4.2639000000000002E-3</v>
      </c>
      <c r="O404" s="271">
        <f t="shared" si="25"/>
        <v>1.4189700000000001</v>
      </c>
      <c r="P404" s="271">
        <f t="shared" si="26"/>
        <v>6.9899999999999997E-4</v>
      </c>
      <c r="Q404" s="271">
        <f t="shared" si="27"/>
        <v>0</v>
      </c>
    </row>
    <row r="405" spans="1:17" x14ac:dyDescent="0.25">
      <c r="A405" s="137" t="s">
        <v>734</v>
      </c>
      <c r="B405" s="137" t="s">
        <v>739</v>
      </c>
      <c r="C405" s="121" t="str">
        <f>VLOOKUP($B405,Totalt!$B$1:$BU$497,MATCH("Kvalitetsgranskad:",Totalt!$B$1:$BU$1,0),FALSE)</f>
        <v>Ja</v>
      </c>
      <c r="E405" s="121" t="str">
        <f>VLOOKUP($B405,Miljö!$B$1:$AG$479,MATCH(E$1,Miljö!$B$1:$AK$1,0),FALSE)</f>
        <v>Ja</v>
      </c>
      <c r="F405" s="121" t="str">
        <f>VLOOKUP($B405,Miljö!$B$1:$J$479,MATCH("Typ av ursprungsspecificerad el   (Om inget värde anges används Nordisk residualmix, se inforuta) ()",Miljö!$B$1:$J$1,0),FALSE)</f>
        <v>'Hörneborgsel'</v>
      </c>
      <c r="G405" s="121">
        <f>VLOOKUP($B405,Miljö!$B$1:$J$479,MATCH("Primärenergifaktor ()",Miljö!$B$1:$J$1,0),FALSE)</f>
        <v>0.183</v>
      </c>
      <c r="H405" s="121">
        <f>VLOOKUP($B405,Miljö!$B$1:$J$479,MATCH("Koldioxidekvivalenter energiomvandling (g/kwh)",Miljö!$B$1:$J$1,0),FALSE)</f>
        <v>60.9</v>
      </c>
      <c r="I405" s="121">
        <f>VLOOKUP($B405,Miljö!$B$1:$J$479,MATCH("Fossilandel för ursprungspecificerad el ()",Miljö!$B$1:$J$1,0),FALSE)</f>
        <v>0.03</v>
      </c>
      <c r="J405" s="121">
        <f>VLOOKUP($B405,Miljö!$B$1:$J$479,MATCH("Kärnkraftsandel för ursprungsspecificerad el ()",Miljö!$B$1:$J$1,0),FALSE)</f>
        <v>0</v>
      </c>
      <c r="L405" s="121">
        <f>VLOOKUP($B405,Totalt!$B$1:$BU$497,MATCH("total el",Totalt!$B$1:$BU$1,0),FALSE)</f>
        <v>9.2359500000000008</v>
      </c>
      <c r="N405" s="271">
        <f t="shared" si="24"/>
        <v>1.6901788500000001</v>
      </c>
      <c r="O405" s="271">
        <f t="shared" si="25"/>
        <v>562.46935500000006</v>
      </c>
      <c r="P405" s="271">
        <f t="shared" si="26"/>
        <v>0.27707850000000001</v>
      </c>
      <c r="Q405" s="271">
        <f t="shared" si="27"/>
        <v>0</v>
      </c>
    </row>
    <row r="406" spans="1:17" x14ac:dyDescent="0.25">
      <c r="A406" s="137" t="s">
        <v>734</v>
      </c>
      <c r="B406" s="137" t="s">
        <v>740</v>
      </c>
      <c r="C406" s="121" t="str">
        <f>VLOOKUP($B406,Totalt!$B$1:$BU$497,MATCH("Kvalitetsgranskad:",Totalt!$B$1:$BU$1,0),FALSE)</f>
        <v>Ja</v>
      </c>
      <c r="E406" s="121" t="str">
        <f>VLOOKUP($B406,Miljö!$B$1:$AG$479,MATCH(E$1,Miljö!$B$1:$AK$1,0),FALSE)</f>
        <v>Ja</v>
      </c>
      <c r="F406" s="121" t="str">
        <f>VLOOKUP($B406,Miljö!$B$1:$J$479,MATCH("Typ av ursprungsspecificerad el   (Om inget värde anges används Nordisk residualmix, se inforuta) ()",Miljö!$B$1:$J$1,0),FALSE)</f>
        <v>'Hörneborgsel'</v>
      </c>
      <c r="G406" s="121">
        <f>VLOOKUP($B406,Miljö!$B$1:$J$479,MATCH("Primärenergifaktor ()",Miljö!$B$1:$J$1,0),FALSE)</f>
        <v>0.183</v>
      </c>
      <c r="H406" s="121">
        <f>VLOOKUP($B406,Miljö!$B$1:$J$479,MATCH("Koldioxidekvivalenter energiomvandling (g/kwh)",Miljö!$B$1:$J$1,0),FALSE)</f>
        <v>60.9</v>
      </c>
      <c r="I406" s="121">
        <f>VLOOKUP($B406,Miljö!$B$1:$J$479,MATCH("Fossilandel för ursprungspecificerad el ()",Miljö!$B$1:$J$1,0),FALSE)</f>
        <v>0.03</v>
      </c>
      <c r="J406" s="121">
        <f>VLOOKUP($B406,Miljö!$B$1:$J$479,MATCH("Kärnkraftsandel för ursprungsspecificerad el ()",Miljö!$B$1:$J$1,0),FALSE)</f>
        <v>0</v>
      </c>
      <c r="L406" s="121">
        <f>VLOOKUP($B406,Totalt!$B$1:$BU$497,MATCH("total el",Totalt!$B$1:$BU$1,0),FALSE)</f>
        <v>7.3385899999999999</v>
      </c>
      <c r="N406" s="271">
        <f t="shared" si="24"/>
        <v>1.3429619699999999</v>
      </c>
      <c r="O406" s="271">
        <f t="shared" si="25"/>
        <v>446.92013099999997</v>
      </c>
      <c r="P406" s="271">
        <f t="shared" si="26"/>
        <v>0.22015769999999998</v>
      </c>
      <c r="Q406" s="271">
        <f t="shared" si="27"/>
        <v>0</v>
      </c>
    </row>
    <row r="411" spans="1:17" x14ac:dyDescent="0.25">
      <c r="I411" s="121" t="s">
        <v>1556</v>
      </c>
      <c r="L411" s="121">
        <f>SUMIF($C2:$C406,"=ja",L2:L406)</f>
        <v>2835.9232629999974</v>
      </c>
      <c r="N411" s="271">
        <f>SUMIF($C2:$C406,"=ja",N2:N406)</f>
        <v>2170.3310901099994</v>
      </c>
      <c r="O411" s="271">
        <f>SUMIF($C2:$C406,"=ja",O2:O406)</f>
        <v>93553.448307814353</v>
      </c>
      <c r="P411" s="271">
        <f>SUMIF($C2:$C406,"=ja",P2:P406)</f>
        <v>130.16973499999995</v>
      </c>
      <c r="Q411" s="271">
        <f>SUMIF($C2:$C406,"=ja",Q2:Q406)</f>
        <v>175.28323548099996</v>
      </c>
    </row>
    <row r="414" spans="1:17" x14ac:dyDescent="0.25">
      <c r="C414" s="272" t="s">
        <v>1514</v>
      </c>
      <c r="D414" s="273"/>
      <c r="E414" s="273"/>
      <c r="F414" s="273"/>
      <c r="G414" s="273"/>
      <c r="H414" s="273">
        <f>N411/$L$411</f>
        <v>0.76529965335313854</v>
      </c>
      <c r="I414" s="273">
        <f t="shared" ref="I414:K414" si="28">O411/$L$411</f>
        <v>32.988709366151291</v>
      </c>
      <c r="J414" s="273">
        <f t="shared" si="28"/>
        <v>4.5900302274857453E-2</v>
      </c>
      <c r="K414" s="273">
        <f t="shared" si="28"/>
        <v>6.1808172938916411E-2</v>
      </c>
    </row>
    <row r="416" spans="1:17" x14ac:dyDescent="0.25">
      <c r="C416" s="121" t="s">
        <v>1515</v>
      </c>
      <c r="F416" s="121">
        <f>COUNTIF($C$2:$C$406,"=ja")</f>
        <v>357</v>
      </c>
    </row>
    <row r="417" spans="3:12" x14ac:dyDescent="0.25">
      <c r="C417" s="274" t="s">
        <v>1516</v>
      </c>
      <c r="D417" s="275"/>
      <c r="E417" s="275"/>
      <c r="F417" s="276">
        <f>COUNTIFS($C$2:$C$406,"=ja",$E$2:$E$406,"=nej")</f>
        <v>63</v>
      </c>
      <c r="G417" s="274" t="s">
        <v>1518</v>
      </c>
      <c r="H417" s="277"/>
      <c r="I417" s="275"/>
      <c r="J417" s="277">
        <f>SUMIFS($L$2:$L$406,$C$2:$C$406,"=ja",$E$2:$E$406,"=nej")</f>
        <v>203.202462</v>
      </c>
      <c r="K417" s="276" t="s">
        <v>1228</v>
      </c>
      <c r="L417" s="172">
        <f>J417/L411</f>
        <v>7.1653018490014125E-2</v>
      </c>
    </row>
    <row r="418" spans="3:12" x14ac:dyDescent="0.25">
      <c r="C418" s="278" t="s">
        <v>1517</v>
      </c>
      <c r="D418" s="279"/>
      <c r="E418" s="279"/>
      <c r="F418" s="280">
        <f>COUNTIFS($C$2:$C$406,"=ja",$E$2:$E$406,"=ja")</f>
        <v>294</v>
      </c>
      <c r="G418" s="278" t="s">
        <v>1519</v>
      </c>
      <c r="H418" s="281"/>
      <c r="I418" s="279"/>
      <c r="J418" s="281">
        <f>SUMIFS($L$2:$L$406,$C$2:$C$406,"=ja",$E$2:$E$406,"=ja")</f>
        <v>2632.7208009999981</v>
      </c>
      <c r="K418" s="280" t="s">
        <v>1228</v>
      </c>
      <c r="L418" s="172">
        <f>J418/L411</f>
        <v>0.92834698150998618</v>
      </c>
    </row>
    <row r="421" spans="3:12" x14ac:dyDescent="0.25">
      <c r="G421" s="121" t="s">
        <v>1520</v>
      </c>
    </row>
    <row r="422" spans="3:12" x14ac:dyDescent="0.25">
      <c r="G422" s="282">
        <f>SUMIFS($N$2:$N$406,$C$2:$C$406,"=ja",$E$2:$E$406,"=ja")/$J$418</f>
        <v>0.64684619305744662</v>
      </c>
      <c r="H422" s="282">
        <f>SUMIFS($O$2:$O$406,$C$2:$C$406,"=ja",$E$2:$E$406,"=ja")/$J$418</f>
        <v>10.126873245316229</v>
      </c>
      <c r="I422" s="282">
        <f>SUMIFS($P$2:$P$406,$C$2:$C$406,"=ja",$E$2:$E$406,"=ja")/$J$418</f>
        <v>1.6254164256136037E-2</v>
      </c>
      <c r="J422" s="282">
        <f>SUMIFS($Q$2:$Q$406,$C$2:$C$406,"=ja",$E$2:$E$406,"=ja")/$J$418</f>
        <v>3.5280853596294459E-2</v>
      </c>
    </row>
  </sheetData>
  <conditionalFormatting sqref="B1:B334 B336:B342 B344:B1048576">
    <cfRule type="duplicateValues" dxfId="7" priority="2"/>
  </conditionalFormatting>
  <conditionalFormatting sqref="B343">
    <cfRule type="duplicateValues" dxfId="6" priority="1"/>
  </conditionalFormatting>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H516"/>
  <sheetViews>
    <sheetView topLeftCell="A374" workbookViewId="0">
      <pane xSplit="1" topLeftCell="B1" activePane="topRight" state="frozen"/>
      <selection pane="topRight" activeCell="A415" sqref="A415"/>
    </sheetView>
  </sheetViews>
  <sheetFormatPr defaultColWidth="9.140625" defaultRowHeight="15" customHeight="1" x14ac:dyDescent="0.25"/>
  <cols>
    <col min="1" max="1" width="44.5703125" style="143" customWidth="1"/>
    <col min="2" max="2" width="29" style="143" customWidth="1"/>
    <col min="3" max="3" width="18.5703125" style="143" customWidth="1"/>
    <col min="4" max="4" width="21.7109375" style="143" customWidth="1"/>
    <col min="5" max="5" width="27" style="143" customWidth="1"/>
    <col min="6" max="6" width="12.140625" style="143" customWidth="1"/>
    <col min="7" max="7" width="11.5703125" style="143" customWidth="1"/>
    <col min="8" max="8" width="11.42578125" style="143" customWidth="1"/>
    <col min="9" max="16384" width="9.140625" style="143"/>
  </cols>
  <sheetData>
    <row r="1" spans="1:8" s="121" customFormat="1" ht="15" customHeight="1" x14ac:dyDescent="0.25">
      <c r="A1" s="400" t="s">
        <v>1290</v>
      </c>
      <c r="B1" s="401"/>
      <c r="C1" s="401"/>
      <c r="D1" s="401"/>
      <c r="E1" s="402"/>
    </row>
    <row r="2" spans="1:8" s="283" customFormat="1" ht="50.25" customHeight="1" x14ac:dyDescent="0.25">
      <c r="A2" s="283" t="s">
        <v>1</v>
      </c>
      <c r="B2" s="283" t="s">
        <v>2</v>
      </c>
      <c r="C2" s="283" t="s">
        <v>1094</v>
      </c>
      <c r="D2" s="283" t="s">
        <v>1095</v>
      </c>
      <c r="E2" s="283" t="s">
        <v>1096</v>
      </c>
      <c r="F2" s="283" t="s">
        <v>1097</v>
      </c>
      <c r="G2" s="283" t="s">
        <v>1098</v>
      </c>
      <c r="H2" s="283" t="s">
        <v>1099</v>
      </c>
    </row>
    <row r="3" spans="1:8" ht="15" customHeight="1" x14ac:dyDescent="0.25">
      <c r="A3" s="143" t="s">
        <v>15</v>
      </c>
      <c r="B3" s="143" t="s">
        <v>16</v>
      </c>
      <c r="C3" s="143">
        <v>0.14693700000000001</v>
      </c>
      <c r="D3" s="143">
        <v>4.5989599999999999</v>
      </c>
      <c r="E3" s="143">
        <v>16.5488</v>
      </c>
      <c r="F3" s="143">
        <v>0</v>
      </c>
      <c r="G3" s="143" t="s">
        <v>194</v>
      </c>
      <c r="H3" s="143" t="s">
        <v>379</v>
      </c>
    </row>
    <row r="4" spans="1:8" ht="15" customHeight="1" x14ac:dyDescent="0.25">
      <c r="A4" s="143" t="s">
        <v>15</v>
      </c>
      <c r="B4" s="143" t="s">
        <v>18</v>
      </c>
      <c r="C4" s="143">
        <v>8.3529599999999996E-2</v>
      </c>
      <c r="D4" s="143">
        <v>5.9866700000000002</v>
      </c>
      <c r="E4" s="143">
        <v>9.4281500000000005</v>
      </c>
      <c r="F4" s="143">
        <v>1.7011400000000001E-3</v>
      </c>
      <c r="G4" s="143" t="s">
        <v>194</v>
      </c>
      <c r="H4" s="143" t="s">
        <v>379</v>
      </c>
    </row>
    <row r="5" spans="1:8" ht="15" customHeight="1" x14ac:dyDescent="0.25">
      <c r="A5" s="143" t="s">
        <v>15</v>
      </c>
      <c r="B5" s="143" t="s">
        <v>20</v>
      </c>
      <c r="C5" s="143">
        <v>9.6584500000000004E-2</v>
      </c>
      <c r="D5" s="143">
        <v>87.644800000000004</v>
      </c>
      <c r="E5" s="143">
        <v>6.3934499999999996</v>
      </c>
      <c r="F5" s="143">
        <v>5.6617000000000004E-3</v>
      </c>
      <c r="G5" s="143" t="s">
        <v>194</v>
      </c>
      <c r="H5" s="143" t="s">
        <v>379</v>
      </c>
    </row>
    <row r="6" spans="1:8" ht="15" customHeight="1" x14ac:dyDescent="0.25">
      <c r="A6" s="143" t="s">
        <v>15</v>
      </c>
      <c r="B6" s="143" t="s">
        <v>22</v>
      </c>
      <c r="C6" s="143">
        <v>6.5183900000000003E-2</v>
      </c>
      <c r="D6" s="143">
        <v>5.7255599999999998</v>
      </c>
      <c r="E6" s="143">
        <v>8.8170400000000004</v>
      </c>
      <c r="F6" s="143">
        <v>1.8891699999999999E-3</v>
      </c>
      <c r="G6" s="143" t="s">
        <v>194</v>
      </c>
      <c r="H6" s="143" t="s">
        <v>379</v>
      </c>
    </row>
    <row r="7" spans="1:8" ht="15" customHeight="1" x14ac:dyDescent="0.25">
      <c r="A7" s="143" t="s">
        <v>15</v>
      </c>
      <c r="B7" s="143" t="s">
        <v>24</v>
      </c>
      <c r="C7" s="143">
        <v>9.8408099999999998E-2</v>
      </c>
      <c r="D7" s="143">
        <v>9.48522</v>
      </c>
      <c r="E7" s="143">
        <v>8.1486000000000001</v>
      </c>
      <c r="F7" s="143">
        <v>1.43784E-2</v>
      </c>
      <c r="G7" s="143" t="s">
        <v>194</v>
      </c>
      <c r="H7" s="143" t="s">
        <v>379</v>
      </c>
    </row>
    <row r="8" spans="1:8" ht="15" customHeight="1" x14ac:dyDescent="0.25">
      <c r="A8" s="143" t="s">
        <v>15</v>
      </c>
      <c r="B8" s="143" t="s">
        <v>26</v>
      </c>
      <c r="C8" s="143">
        <v>8.6162799999999998E-2</v>
      </c>
      <c r="D8" s="143">
        <v>4.3540200000000002</v>
      </c>
      <c r="E8" s="143">
        <v>8.5676199999999998</v>
      </c>
      <c r="F8" s="143">
        <v>0</v>
      </c>
      <c r="G8" s="143" t="s">
        <v>194</v>
      </c>
      <c r="H8" s="143" t="s">
        <v>379</v>
      </c>
    </row>
    <row r="9" spans="1:8" ht="15" customHeight="1" x14ac:dyDescent="0.25">
      <c r="A9" s="143" t="s">
        <v>15</v>
      </c>
      <c r="B9" s="143" t="s">
        <v>196</v>
      </c>
      <c r="C9" s="143">
        <v>0.23200299999999999</v>
      </c>
      <c r="D9" s="143">
        <v>23.004300000000001</v>
      </c>
      <c r="E9" s="143">
        <v>16.922799999999999</v>
      </c>
      <c r="F9" s="143">
        <v>3.6307100000000002E-2</v>
      </c>
      <c r="G9" s="143" t="s">
        <v>194</v>
      </c>
      <c r="H9" s="143" t="s">
        <v>379</v>
      </c>
    </row>
    <row r="10" spans="1:8" ht="15" customHeight="1" x14ac:dyDescent="0.25">
      <c r="A10" s="143" t="s">
        <v>15</v>
      </c>
      <c r="B10" s="143" t="s">
        <v>28</v>
      </c>
      <c r="C10" s="143">
        <v>0.11096</v>
      </c>
      <c r="D10" s="143">
        <v>21.6189</v>
      </c>
      <c r="E10" s="143">
        <v>1.7746900000000001</v>
      </c>
      <c r="F10" s="143">
        <v>7.2409500000000002E-2</v>
      </c>
      <c r="G10" s="143" t="s">
        <v>194</v>
      </c>
      <c r="H10" s="143" t="s">
        <v>379</v>
      </c>
    </row>
    <row r="11" spans="1:8" ht="15" customHeight="1" x14ac:dyDescent="0.25">
      <c r="A11" s="143" t="s">
        <v>15</v>
      </c>
      <c r="B11" s="143" t="s">
        <v>30</v>
      </c>
      <c r="C11" s="143">
        <v>0.10720300000000001</v>
      </c>
      <c r="D11" s="143">
        <v>11.237299999999999</v>
      </c>
      <c r="E11" s="143">
        <v>8.5678000000000001</v>
      </c>
      <c r="F11" s="143">
        <v>1.8017999999999999E-2</v>
      </c>
      <c r="G11" s="143" t="s">
        <v>194</v>
      </c>
      <c r="H11" s="143" t="s">
        <v>379</v>
      </c>
    </row>
    <row r="12" spans="1:8" ht="15" customHeight="1" x14ac:dyDescent="0.25">
      <c r="A12" s="143" t="s">
        <v>15</v>
      </c>
      <c r="B12" s="143" t="s">
        <v>32</v>
      </c>
      <c r="C12" s="143">
        <v>5.8250299999999998E-2</v>
      </c>
      <c r="D12" s="143">
        <v>4.6567699999999999</v>
      </c>
      <c r="E12" s="143">
        <v>6.0791000000000004</v>
      </c>
      <c r="F12" s="143">
        <v>5.2270499999999996E-3</v>
      </c>
      <c r="G12" s="143" t="s">
        <v>194</v>
      </c>
      <c r="H12" s="143" t="s">
        <v>379</v>
      </c>
    </row>
    <row r="13" spans="1:8" ht="15" customHeight="1" x14ac:dyDescent="0.25">
      <c r="A13" s="143" t="s">
        <v>200</v>
      </c>
      <c r="B13" s="143" t="s">
        <v>201</v>
      </c>
      <c r="C13" s="143">
        <v>7.1953400000000001E-2</v>
      </c>
      <c r="D13" s="143">
        <v>5.5946699999999998</v>
      </c>
      <c r="E13" s="143">
        <v>9.7891100000000009</v>
      </c>
      <c r="F13" s="143">
        <v>0</v>
      </c>
      <c r="G13" s="143" t="s">
        <v>194</v>
      </c>
      <c r="H13" s="143" t="s">
        <v>379</v>
      </c>
    </row>
    <row r="14" spans="1:8" ht="15" customHeight="1" x14ac:dyDescent="0.25">
      <c r="A14" s="143" t="s">
        <v>200</v>
      </c>
      <c r="B14" s="143" t="s">
        <v>202</v>
      </c>
      <c r="C14" s="143">
        <v>9.9505499999999997E-2</v>
      </c>
      <c r="D14" s="143">
        <v>10.0886</v>
      </c>
      <c r="E14" s="143">
        <v>11.747299999999999</v>
      </c>
      <c r="F14" s="143">
        <v>1.1320800000000001E-2</v>
      </c>
      <c r="G14" s="143" t="s">
        <v>379</v>
      </c>
      <c r="H14" s="143" t="s">
        <v>379</v>
      </c>
    </row>
    <row r="15" spans="1:8" ht="15" customHeight="1" x14ac:dyDescent="0.25">
      <c r="A15" s="143" t="s">
        <v>200</v>
      </c>
      <c r="B15" s="143" t="s">
        <v>203</v>
      </c>
      <c r="C15" s="143">
        <v>0.10485700000000001</v>
      </c>
      <c r="D15" s="143">
        <v>20.4572</v>
      </c>
      <c r="E15" s="143">
        <v>10.257099999999999</v>
      </c>
      <c r="F15" s="143">
        <v>4.2462800000000002E-2</v>
      </c>
      <c r="G15" s="143" t="s">
        <v>379</v>
      </c>
      <c r="H15" s="143" t="s">
        <v>379</v>
      </c>
    </row>
    <row r="16" spans="1:8" ht="15" customHeight="1" x14ac:dyDescent="0.25">
      <c r="A16" s="143" t="s">
        <v>200</v>
      </c>
      <c r="B16" s="143" t="s">
        <v>204</v>
      </c>
      <c r="C16" s="143">
        <v>0.22963</v>
      </c>
      <c r="D16" s="143">
        <v>45.926499999999997</v>
      </c>
      <c r="E16" s="143">
        <v>14.148099999999999</v>
      </c>
      <c r="F16" s="143">
        <v>8.6021500000000001E-2</v>
      </c>
      <c r="G16" s="143" t="s">
        <v>379</v>
      </c>
      <c r="H16" s="143" t="s">
        <v>379</v>
      </c>
    </row>
    <row r="17" spans="1:8" ht="15" customHeight="1" x14ac:dyDescent="0.25">
      <c r="A17" s="143" t="s">
        <v>200</v>
      </c>
      <c r="B17" s="143" t="s">
        <v>205</v>
      </c>
      <c r="C17" s="143">
        <v>8.6666699999999999E-2</v>
      </c>
      <c r="D17" s="143">
        <v>12.923500000000001</v>
      </c>
      <c r="E17" s="143">
        <v>11.1538</v>
      </c>
      <c r="F17" s="143">
        <v>1.6528899999999999E-2</v>
      </c>
      <c r="G17" s="143" t="s">
        <v>379</v>
      </c>
      <c r="H17" s="143" t="s">
        <v>379</v>
      </c>
    </row>
    <row r="18" spans="1:8" ht="15" customHeight="1" x14ac:dyDescent="0.25">
      <c r="A18" s="143" t="s">
        <v>200</v>
      </c>
      <c r="B18" s="143" t="s">
        <v>206</v>
      </c>
      <c r="C18" s="143">
        <v>8.2687899999999995E-2</v>
      </c>
      <c r="D18" s="143">
        <v>9.3103200000000008</v>
      </c>
      <c r="E18" s="143">
        <v>10.028</v>
      </c>
      <c r="F18" s="143">
        <v>9.8126700000000008E-3</v>
      </c>
      <c r="G18" s="143" t="s">
        <v>379</v>
      </c>
      <c r="H18" s="143" t="s">
        <v>379</v>
      </c>
    </row>
    <row r="19" spans="1:8" ht="15" customHeight="1" x14ac:dyDescent="0.25">
      <c r="A19" s="143" t="s">
        <v>200</v>
      </c>
      <c r="B19" s="143" t="s">
        <v>207</v>
      </c>
      <c r="C19" s="143">
        <v>0.36249999999999999</v>
      </c>
      <c r="D19" s="143">
        <v>57.800800000000002</v>
      </c>
      <c r="E19" s="143">
        <v>19.100000000000001</v>
      </c>
      <c r="F19" s="143">
        <v>0.156863</v>
      </c>
      <c r="G19" s="143" t="s">
        <v>379</v>
      </c>
      <c r="H19" s="143" t="s">
        <v>379</v>
      </c>
    </row>
    <row r="20" spans="1:8" ht="15" customHeight="1" x14ac:dyDescent="0.25">
      <c r="A20" s="143" t="s">
        <v>200</v>
      </c>
      <c r="B20" s="143" t="s">
        <v>208</v>
      </c>
      <c r="C20" s="143">
        <v>0.157222</v>
      </c>
      <c r="D20" s="143">
        <v>5.1116099999999998</v>
      </c>
      <c r="E20" s="143">
        <v>17.8889</v>
      </c>
      <c r="F20" s="143">
        <v>0</v>
      </c>
      <c r="G20" s="143" t="s">
        <v>379</v>
      </c>
      <c r="H20" s="143" t="s">
        <v>379</v>
      </c>
    </row>
    <row r="21" spans="1:8" ht="15" customHeight="1" x14ac:dyDescent="0.25">
      <c r="A21" s="143" t="s">
        <v>200</v>
      </c>
      <c r="B21" s="143" t="s">
        <v>209</v>
      </c>
      <c r="C21" s="143">
        <v>0.109818</v>
      </c>
      <c r="D21" s="143">
        <v>5.81982</v>
      </c>
      <c r="E21" s="143">
        <v>11.2</v>
      </c>
      <c r="F21" s="143">
        <v>0</v>
      </c>
      <c r="G21" s="143" t="s">
        <v>379</v>
      </c>
      <c r="H21" s="143" t="s">
        <v>379</v>
      </c>
    </row>
    <row r="22" spans="1:8" ht="15" customHeight="1" x14ac:dyDescent="0.25">
      <c r="A22" s="143" t="s">
        <v>200</v>
      </c>
      <c r="B22" s="143" t="s">
        <v>210</v>
      </c>
      <c r="C22" s="143">
        <v>8.2857100000000003E-2</v>
      </c>
      <c r="D22" s="143">
        <v>13.714499999999999</v>
      </c>
      <c r="E22" s="143">
        <v>11.2286</v>
      </c>
      <c r="F22" s="143">
        <v>1.84502E-2</v>
      </c>
      <c r="G22" s="143" t="s">
        <v>379</v>
      </c>
      <c r="H22" s="143" t="s">
        <v>379</v>
      </c>
    </row>
    <row r="23" spans="1:8" ht="15" customHeight="1" x14ac:dyDescent="0.25">
      <c r="A23" s="143" t="s">
        <v>211</v>
      </c>
      <c r="B23" s="143" t="s">
        <v>212</v>
      </c>
      <c r="C23" s="143">
        <v>0.25694699999999998</v>
      </c>
      <c r="D23" s="143">
        <v>18.6526</v>
      </c>
      <c r="E23" s="143">
        <v>21.8947</v>
      </c>
      <c r="F23" s="143">
        <v>3.01003E-2</v>
      </c>
      <c r="G23" s="143" t="s">
        <v>379</v>
      </c>
      <c r="H23" s="143" t="s">
        <v>379</v>
      </c>
    </row>
    <row r="24" spans="1:8" ht="15" customHeight="1" x14ac:dyDescent="0.25">
      <c r="A24" s="143" t="s">
        <v>211</v>
      </c>
      <c r="B24" s="143" t="s">
        <v>213</v>
      </c>
      <c r="C24" s="143">
        <v>0.18767500000000001</v>
      </c>
      <c r="D24" s="143">
        <v>8.1915200000000006</v>
      </c>
      <c r="E24" s="143">
        <v>19.7879</v>
      </c>
      <c r="F24" s="143">
        <v>6.7863699999999999E-3</v>
      </c>
      <c r="G24" s="143" t="s">
        <v>379</v>
      </c>
      <c r="H24" s="143" t="s">
        <v>379</v>
      </c>
    </row>
    <row r="25" spans="1:8" ht="15" customHeight="1" x14ac:dyDescent="0.25">
      <c r="A25" s="143" t="s">
        <v>211</v>
      </c>
      <c r="B25" s="143" t="s">
        <v>214</v>
      </c>
      <c r="C25" s="143">
        <v>0.11419600000000001</v>
      </c>
      <c r="D25" s="143">
        <v>18.911100000000001</v>
      </c>
      <c r="E25" s="143">
        <v>7.1196900000000003</v>
      </c>
      <c r="F25" s="143">
        <v>1.27089E-3</v>
      </c>
      <c r="G25" s="143" t="s">
        <v>379</v>
      </c>
      <c r="H25" s="143" t="s">
        <v>379</v>
      </c>
    </row>
    <row r="26" spans="1:8" ht="15" customHeight="1" x14ac:dyDescent="0.25">
      <c r="A26" s="143" t="s">
        <v>211</v>
      </c>
      <c r="B26" s="143" t="s">
        <v>215</v>
      </c>
      <c r="C26" s="143">
        <v>0.234406</v>
      </c>
      <c r="D26" s="143">
        <v>18.1538</v>
      </c>
      <c r="E26" s="143">
        <v>20.387599999999999</v>
      </c>
      <c r="F26" s="143">
        <v>3.2339100000000003E-2</v>
      </c>
      <c r="G26" s="143" t="s">
        <v>379</v>
      </c>
      <c r="H26" s="143" t="s">
        <v>379</v>
      </c>
    </row>
    <row r="27" spans="1:8" ht="15" customHeight="1" x14ac:dyDescent="0.25">
      <c r="A27" s="143" t="s">
        <v>211</v>
      </c>
      <c r="B27" s="143" t="s">
        <v>216</v>
      </c>
      <c r="C27" s="143">
        <v>0.47891400000000001</v>
      </c>
      <c r="D27" s="143">
        <v>69.462900000000005</v>
      </c>
      <c r="E27" s="143">
        <v>18.0457</v>
      </c>
      <c r="F27" s="143">
        <v>0.19724800000000001</v>
      </c>
      <c r="G27" s="143" t="s">
        <v>379</v>
      </c>
      <c r="H27" s="143" t="s">
        <v>379</v>
      </c>
    </row>
    <row r="28" spans="1:8" ht="15" customHeight="1" x14ac:dyDescent="0.25">
      <c r="A28" s="143" t="s">
        <v>217</v>
      </c>
      <c r="B28" s="143" t="s">
        <v>218</v>
      </c>
      <c r="C28" s="143">
        <v>3.86658E-2</v>
      </c>
      <c r="D28" s="143">
        <v>4.2578800000000001</v>
      </c>
      <c r="E28" s="143">
        <v>7.4178600000000001</v>
      </c>
      <c r="F28" s="143">
        <v>3.6852800000000002E-4</v>
      </c>
      <c r="G28" s="143" t="s">
        <v>194</v>
      </c>
      <c r="H28" s="143" t="s">
        <v>379</v>
      </c>
    </row>
    <row r="29" spans="1:8" ht="15" customHeight="1" x14ac:dyDescent="0.25">
      <c r="A29" s="143" t="s">
        <v>220</v>
      </c>
      <c r="B29" s="143" t="s">
        <v>221</v>
      </c>
      <c r="C29" s="143">
        <v>0.116758</v>
      </c>
      <c r="D29" s="143">
        <v>16.886600000000001</v>
      </c>
      <c r="E29" s="143">
        <v>9.8731500000000008</v>
      </c>
      <c r="F29" s="143">
        <v>1.2736600000000001E-2</v>
      </c>
      <c r="G29" s="143" t="s">
        <v>194</v>
      </c>
      <c r="H29" s="143" t="s">
        <v>379</v>
      </c>
    </row>
    <row r="30" spans="1:8" ht="15" customHeight="1" x14ac:dyDescent="0.25">
      <c r="A30" s="143" t="s">
        <v>220</v>
      </c>
      <c r="B30" s="143" t="s">
        <v>222</v>
      </c>
      <c r="C30" s="143">
        <v>0.13839099999999999</v>
      </c>
      <c r="D30" s="143">
        <v>21.827000000000002</v>
      </c>
      <c r="E30" s="143">
        <v>10.8604</v>
      </c>
      <c r="F30" s="143">
        <v>2.3044100000000001E-2</v>
      </c>
      <c r="G30" s="143" t="s">
        <v>194</v>
      </c>
      <c r="H30" s="143" t="s">
        <v>379</v>
      </c>
    </row>
    <row r="31" spans="1:8" ht="15" customHeight="1" x14ac:dyDescent="0.25">
      <c r="A31" s="143" t="s">
        <v>220</v>
      </c>
      <c r="B31" s="143" t="s">
        <v>223</v>
      </c>
      <c r="C31" s="143">
        <v>0.139347</v>
      </c>
      <c r="D31" s="143">
        <v>19.930099999999999</v>
      </c>
      <c r="E31" s="143">
        <v>15.0815</v>
      </c>
      <c r="F31" s="143">
        <v>8.4988000000000008E-3</v>
      </c>
      <c r="G31" s="143" t="s">
        <v>194</v>
      </c>
      <c r="H31" s="143" t="s">
        <v>379</v>
      </c>
    </row>
    <row r="32" spans="1:8" ht="15" customHeight="1" x14ac:dyDescent="0.25">
      <c r="A32" s="143" t="s">
        <v>224</v>
      </c>
      <c r="B32" s="143" t="s">
        <v>225</v>
      </c>
      <c r="C32" s="143">
        <v>8.6572999999999997E-2</v>
      </c>
      <c r="D32" s="143">
        <v>5.5802800000000001</v>
      </c>
      <c r="E32" s="143">
        <v>11.566000000000001</v>
      </c>
      <c r="F32" s="143">
        <v>0</v>
      </c>
      <c r="G32" s="143" t="s">
        <v>379</v>
      </c>
      <c r="H32" s="284" t="s">
        <v>379</v>
      </c>
    </row>
    <row r="33" spans="1:8" ht="15" customHeight="1" x14ac:dyDescent="0.25">
      <c r="A33" s="143" t="s">
        <v>1100</v>
      </c>
      <c r="B33" s="143" t="s">
        <v>1101</v>
      </c>
      <c r="C33" s="143">
        <v>0</v>
      </c>
      <c r="D33" s="143">
        <v>0</v>
      </c>
      <c r="E33" s="143">
        <v>0</v>
      </c>
      <c r="F33" s="143">
        <v>0</v>
      </c>
      <c r="G33" s="143" t="s">
        <v>194</v>
      </c>
      <c r="H33" s="162" t="s">
        <v>194</v>
      </c>
    </row>
    <row r="34" spans="1:8" ht="15" customHeight="1" x14ac:dyDescent="0.25">
      <c r="A34" s="143" t="s">
        <v>1102</v>
      </c>
      <c r="B34" s="143" t="s">
        <v>58</v>
      </c>
      <c r="C34" s="143">
        <v>0</v>
      </c>
      <c r="D34" s="143">
        <v>0</v>
      </c>
      <c r="E34" s="143">
        <v>0</v>
      </c>
      <c r="F34" s="143">
        <v>0</v>
      </c>
      <c r="G34" s="143" t="s">
        <v>194</v>
      </c>
      <c r="H34" s="162" t="s">
        <v>194</v>
      </c>
    </row>
    <row r="35" spans="1:8" ht="15" customHeight="1" x14ac:dyDescent="0.25">
      <c r="A35" s="143" t="s">
        <v>57</v>
      </c>
      <c r="B35" s="159" t="s">
        <v>59</v>
      </c>
      <c r="C35" s="143">
        <v>0</v>
      </c>
      <c r="D35" s="143">
        <v>0</v>
      </c>
      <c r="E35" s="143">
        <v>0</v>
      </c>
      <c r="F35" s="143">
        <v>0</v>
      </c>
      <c r="G35" s="143" t="s">
        <v>194</v>
      </c>
      <c r="H35" s="162" t="s">
        <v>194</v>
      </c>
    </row>
    <row r="36" spans="1:8" ht="15" customHeight="1" x14ac:dyDescent="0.25">
      <c r="A36" s="143" t="s">
        <v>60</v>
      </c>
      <c r="B36" s="159" t="s">
        <v>61</v>
      </c>
      <c r="C36" s="143">
        <v>0</v>
      </c>
      <c r="D36" s="143">
        <v>0</v>
      </c>
      <c r="E36" s="143">
        <v>0</v>
      </c>
      <c r="F36" s="143">
        <v>0</v>
      </c>
      <c r="G36" s="143" t="s">
        <v>194</v>
      </c>
      <c r="H36" s="162" t="s">
        <v>194</v>
      </c>
    </row>
    <row r="37" spans="1:8" ht="15" customHeight="1" x14ac:dyDescent="0.25">
      <c r="A37" s="143" t="s">
        <v>226</v>
      </c>
      <c r="B37" s="143" t="s">
        <v>227</v>
      </c>
      <c r="C37" s="143">
        <v>0.10333199999999999</v>
      </c>
      <c r="D37" s="143">
        <v>10.095800000000001</v>
      </c>
      <c r="E37" s="143">
        <v>8.2805199999999992</v>
      </c>
      <c r="F37" s="143">
        <v>1.8644899999999999E-2</v>
      </c>
      <c r="G37" s="143" t="s">
        <v>379</v>
      </c>
      <c r="H37" s="284" t="s">
        <v>379</v>
      </c>
    </row>
    <row r="38" spans="1:8" ht="15" customHeight="1" x14ac:dyDescent="0.25">
      <c r="A38" s="143" t="s">
        <v>228</v>
      </c>
      <c r="B38" s="143" t="s">
        <v>229</v>
      </c>
      <c r="C38" s="143">
        <v>6.1666699999999998E-2</v>
      </c>
      <c r="D38" s="143">
        <v>7.0180199999999999</v>
      </c>
      <c r="E38" s="143">
        <v>5.4285699999999997</v>
      </c>
      <c r="F38" s="143">
        <v>1.05708E-2</v>
      </c>
      <c r="G38" s="143" t="s">
        <v>194</v>
      </c>
      <c r="H38" s="143" t="s">
        <v>379</v>
      </c>
    </row>
    <row r="39" spans="1:8" ht="15" customHeight="1" x14ac:dyDescent="0.25">
      <c r="A39" s="143" t="s">
        <v>1103</v>
      </c>
      <c r="B39" s="143" t="s">
        <v>1104</v>
      </c>
      <c r="C39" s="143">
        <v>0</v>
      </c>
      <c r="D39" s="143">
        <v>0</v>
      </c>
      <c r="E39" s="143">
        <v>0</v>
      </c>
      <c r="F39" s="143">
        <v>0</v>
      </c>
      <c r="G39" s="143" t="s">
        <v>194</v>
      </c>
      <c r="H39" s="162" t="s">
        <v>194</v>
      </c>
    </row>
    <row r="40" spans="1:8" ht="15" customHeight="1" x14ac:dyDescent="0.25">
      <c r="A40" s="143" t="s">
        <v>1103</v>
      </c>
      <c r="B40" s="143" t="s">
        <v>1105</v>
      </c>
      <c r="C40" s="143">
        <v>0</v>
      </c>
      <c r="D40" s="143">
        <v>0</v>
      </c>
      <c r="E40" s="143">
        <v>0</v>
      </c>
      <c r="F40" s="143">
        <v>0</v>
      </c>
      <c r="G40" s="143" t="s">
        <v>194</v>
      </c>
      <c r="H40" s="162" t="s">
        <v>194</v>
      </c>
    </row>
    <row r="41" spans="1:8" ht="15" customHeight="1" x14ac:dyDescent="0.25">
      <c r="A41" s="143" t="s">
        <v>1103</v>
      </c>
      <c r="B41" s="143" t="s">
        <v>1106</v>
      </c>
      <c r="C41" s="143">
        <v>0</v>
      </c>
      <c r="D41" s="143">
        <v>0</v>
      </c>
      <c r="E41" s="143">
        <v>0</v>
      </c>
      <c r="F41" s="143">
        <v>0</v>
      </c>
      <c r="G41" s="143" t="s">
        <v>194</v>
      </c>
      <c r="H41" s="162" t="s">
        <v>194</v>
      </c>
    </row>
    <row r="42" spans="1:8" ht="15" customHeight="1" x14ac:dyDescent="0.25">
      <c r="A42" s="143" t="s">
        <v>1103</v>
      </c>
      <c r="B42" s="143" t="s">
        <v>1107</v>
      </c>
      <c r="C42" s="143">
        <v>0</v>
      </c>
      <c r="D42" s="143">
        <v>0</v>
      </c>
      <c r="E42" s="143">
        <v>0</v>
      </c>
      <c r="F42" s="143">
        <v>0</v>
      </c>
      <c r="G42" s="143" t="s">
        <v>194</v>
      </c>
      <c r="H42" s="162" t="s">
        <v>194</v>
      </c>
    </row>
    <row r="43" spans="1:8" ht="15" customHeight="1" x14ac:dyDescent="0.25">
      <c r="A43" s="143" t="s">
        <v>1103</v>
      </c>
      <c r="B43" s="143" t="s">
        <v>1108</v>
      </c>
      <c r="C43" s="143">
        <v>0</v>
      </c>
      <c r="D43" s="143">
        <v>0</v>
      </c>
      <c r="E43" s="143">
        <v>0</v>
      </c>
      <c r="F43" s="143">
        <v>0</v>
      </c>
      <c r="G43" s="143" t="s">
        <v>194</v>
      </c>
      <c r="H43" s="162" t="s">
        <v>194</v>
      </c>
    </row>
    <row r="44" spans="1:8" ht="15" customHeight="1" x14ac:dyDescent="0.25">
      <c r="A44" s="143" t="s">
        <v>1103</v>
      </c>
      <c r="B44" s="143" t="s">
        <v>1109</v>
      </c>
      <c r="C44" s="143">
        <v>0</v>
      </c>
      <c r="D44" s="143">
        <v>0</v>
      </c>
      <c r="E44" s="143">
        <v>0</v>
      </c>
      <c r="F44" s="143">
        <v>0</v>
      </c>
      <c r="G44" s="143" t="s">
        <v>194</v>
      </c>
      <c r="H44" s="162" t="s">
        <v>194</v>
      </c>
    </row>
    <row r="45" spans="1:8" ht="15" customHeight="1" x14ac:dyDescent="0.25">
      <c r="A45" s="143" t="s">
        <v>1103</v>
      </c>
      <c r="B45" s="143" t="s">
        <v>1110</v>
      </c>
      <c r="C45" s="143">
        <v>0</v>
      </c>
      <c r="D45" s="143">
        <v>0</v>
      </c>
      <c r="E45" s="143">
        <v>0</v>
      </c>
      <c r="F45" s="143">
        <v>0</v>
      </c>
      <c r="G45" s="143" t="s">
        <v>194</v>
      </c>
      <c r="H45" s="162" t="s">
        <v>194</v>
      </c>
    </row>
    <row r="46" spans="1:8" ht="15" customHeight="1" x14ac:dyDescent="0.25">
      <c r="A46" s="143" t="s">
        <v>1103</v>
      </c>
      <c r="B46" s="143" t="s">
        <v>1111</v>
      </c>
      <c r="C46" s="143">
        <v>0</v>
      </c>
      <c r="D46" s="143">
        <v>0</v>
      </c>
      <c r="E46" s="143">
        <v>0</v>
      </c>
      <c r="F46" s="143">
        <v>0</v>
      </c>
      <c r="G46" s="143" t="s">
        <v>194</v>
      </c>
      <c r="H46" s="162" t="s">
        <v>194</v>
      </c>
    </row>
    <row r="47" spans="1:8" ht="15" customHeight="1" x14ac:dyDescent="0.25">
      <c r="A47" s="143" t="s">
        <v>1103</v>
      </c>
      <c r="B47" s="143" t="s">
        <v>1112</v>
      </c>
      <c r="C47" s="143">
        <v>0</v>
      </c>
      <c r="D47" s="143">
        <v>0</v>
      </c>
      <c r="E47" s="143">
        <v>0</v>
      </c>
      <c r="F47" s="143">
        <v>0</v>
      </c>
      <c r="G47" s="143" t="s">
        <v>194</v>
      </c>
      <c r="H47" s="162" t="s">
        <v>194</v>
      </c>
    </row>
    <row r="48" spans="1:8" ht="15" customHeight="1" x14ac:dyDescent="0.25">
      <c r="A48" s="143" t="s">
        <v>1103</v>
      </c>
      <c r="B48" s="143" t="s">
        <v>1113</v>
      </c>
      <c r="C48" s="143">
        <v>0</v>
      </c>
      <c r="D48" s="143">
        <v>0</v>
      </c>
      <c r="E48" s="143">
        <v>0</v>
      </c>
      <c r="F48" s="143">
        <v>0</v>
      </c>
      <c r="G48" s="143" t="s">
        <v>194</v>
      </c>
      <c r="H48" s="162" t="s">
        <v>194</v>
      </c>
    </row>
    <row r="49" spans="1:8" ht="15" customHeight="1" x14ac:dyDescent="0.25">
      <c r="A49" s="143" t="s">
        <v>230</v>
      </c>
      <c r="B49" s="143" t="s">
        <v>66</v>
      </c>
      <c r="C49" s="143">
        <v>0.23332900000000001</v>
      </c>
      <c r="D49" s="143">
        <v>173.41499999999999</v>
      </c>
      <c r="E49" s="143">
        <v>6.4313900000000004</v>
      </c>
      <c r="F49" s="143">
        <v>5.0210699999999997E-2</v>
      </c>
      <c r="G49" s="143" t="s">
        <v>194</v>
      </c>
      <c r="H49" s="143" t="s">
        <v>379</v>
      </c>
    </row>
    <row r="50" spans="1:8" ht="15" customHeight="1" x14ac:dyDescent="0.25">
      <c r="A50" s="143" t="s">
        <v>65</v>
      </c>
      <c r="B50" s="159" t="s">
        <v>67</v>
      </c>
      <c r="C50" s="143">
        <v>0</v>
      </c>
      <c r="D50" s="143">
        <v>0</v>
      </c>
      <c r="E50" s="143">
        <v>0</v>
      </c>
      <c r="F50" s="143">
        <v>0</v>
      </c>
      <c r="G50" s="143" t="s">
        <v>194</v>
      </c>
      <c r="H50" s="162" t="s">
        <v>194</v>
      </c>
    </row>
    <row r="51" spans="1:8" ht="15" customHeight="1" x14ac:dyDescent="0.25">
      <c r="A51" s="143" t="s">
        <v>231</v>
      </c>
      <c r="B51" s="143" t="s">
        <v>232</v>
      </c>
      <c r="C51" s="143">
        <v>0.180367</v>
      </c>
      <c r="D51" s="143">
        <v>34.545200000000001</v>
      </c>
      <c r="E51" s="143">
        <v>10.6671</v>
      </c>
      <c r="F51" s="143">
        <v>8.0655299999999999E-2</v>
      </c>
      <c r="G51" s="143" t="s">
        <v>379</v>
      </c>
      <c r="H51" s="143" t="s">
        <v>379</v>
      </c>
    </row>
    <row r="52" spans="1:8" ht="15" customHeight="1" x14ac:dyDescent="0.25">
      <c r="A52" s="143" t="s">
        <v>231</v>
      </c>
      <c r="B52" s="143" t="s">
        <v>233</v>
      </c>
      <c r="C52" s="143">
        <v>0.113537</v>
      </c>
      <c r="D52" s="143">
        <v>104.892</v>
      </c>
      <c r="E52" s="143">
        <v>3.4186299999999998</v>
      </c>
      <c r="F52" s="143">
        <v>1.3748399999999999E-2</v>
      </c>
      <c r="G52" s="143" t="s">
        <v>379</v>
      </c>
      <c r="H52" s="143" t="s">
        <v>379</v>
      </c>
    </row>
    <row r="53" spans="1:8" ht="15" customHeight="1" x14ac:dyDescent="0.25">
      <c r="A53" s="143" t="s">
        <v>231</v>
      </c>
      <c r="B53" s="143" t="s">
        <v>234</v>
      </c>
      <c r="C53" s="143">
        <v>7.4134699999999998E-2</v>
      </c>
      <c r="D53" s="143">
        <v>7.3777499999999998</v>
      </c>
      <c r="E53" s="143">
        <v>8.1806999999999999</v>
      </c>
      <c r="F53" s="143">
        <v>8.0256800000000003E-3</v>
      </c>
      <c r="G53" s="143" t="s">
        <v>379</v>
      </c>
      <c r="H53" s="143" t="s">
        <v>379</v>
      </c>
    </row>
    <row r="54" spans="1:8" ht="15" customHeight="1" x14ac:dyDescent="0.25">
      <c r="A54" s="143" t="s">
        <v>235</v>
      </c>
      <c r="B54" s="143" t="s">
        <v>236</v>
      </c>
      <c r="C54" s="143">
        <v>0.102369</v>
      </c>
      <c r="D54" s="143">
        <v>14.4445</v>
      </c>
      <c r="E54" s="143">
        <v>7.5495599999999996</v>
      </c>
      <c r="F54" s="143">
        <v>1.07338E-2</v>
      </c>
      <c r="G54" s="143" t="s">
        <v>379</v>
      </c>
      <c r="H54" s="143" t="s">
        <v>379</v>
      </c>
    </row>
    <row r="55" spans="1:8" ht="15" customHeight="1" x14ac:dyDescent="0.25">
      <c r="A55" s="143" t="s">
        <v>235</v>
      </c>
      <c r="B55" s="143" t="s">
        <v>237</v>
      </c>
      <c r="C55" s="143">
        <v>0.15676999999999999</v>
      </c>
      <c r="D55" s="143">
        <v>26.780899999999999</v>
      </c>
      <c r="E55" s="143">
        <v>10.2049</v>
      </c>
      <c r="F55" s="143">
        <v>4.0327300000000003E-2</v>
      </c>
      <c r="G55" s="143" t="s">
        <v>379</v>
      </c>
      <c r="H55" s="143" t="s">
        <v>379</v>
      </c>
    </row>
    <row r="56" spans="1:8" ht="15" customHeight="1" x14ac:dyDescent="0.25">
      <c r="A56" s="143" t="s">
        <v>238</v>
      </c>
      <c r="B56" s="143" t="s">
        <v>239</v>
      </c>
      <c r="C56" s="143">
        <v>6.2764799999999996E-2</v>
      </c>
      <c r="D56" s="143">
        <v>76.628100000000003</v>
      </c>
      <c r="E56" s="143">
        <v>4.1427399999999999</v>
      </c>
      <c r="F56" s="143">
        <v>4.2882800000000002E-3</v>
      </c>
      <c r="G56" s="143" t="s">
        <v>379</v>
      </c>
      <c r="H56" s="143" t="s">
        <v>379</v>
      </c>
    </row>
    <row r="57" spans="1:8" ht="15" customHeight="1" x14ac:dyDescent="0.25">
      <c r="A57" s="143" t="s">
        <v>238</v>
      </c>
      <c r="B57" s="143" t="s">
        <v>241</v>
      </c>
      <c r="C57" s="143">
        <v>0.173536</v>
      </c>
      <c r="D57" s="143">
        <v>6.3055099999999999</v>
      </c>
      <c r="E57" s="143">
        <v>21.555199999999999</v>
      </c>
      <c r="F57" s="143">
        <v>3.6380499999999998E-4</v>
      </c>
      <c r="G57" s="143" t="s">
        <v>379</v>
      </c>
      <c r="H57" s="143" t="s">
        <v>379</v>
      </c>
    </row>
    <row r="58" spans="1:8" ht="15" customHeight="1" x14ac:dyDescent="0.25">
      <c r="A58" s="143" t="s">
        <v>238</v>
      </c>
      <c r="B58" s="143" t="s">
        <v>242</v>
      </c>
      <c r="C58" s="143">
        <v>0.25008900000000001</v>
      </c>
      <c r="D58" s="143">
        <v>6.9850000000000003</v>
      </c>
      <c r="E58" s="143">
        <v>24.447500000000002</v>
      </c>
      <c r="F58" s="143">
        <v>0</v>
      </c>
      <c r="G58" s="143" t="s">
        <v>379</v>
      </c>
      <c r="H58" s="143" t="s">
        <v>379</v>
      </c>
    </row>
    <row r="59" spans="1:8" ht="15" customHeight="1" x14ac:dyDescent="0.25">
      <c r="A59" s="143" t="s">
        <v>243</v>
      </c>
      <c r="B59" s="143" t="s">
        <v>244</v>
      </c>
      <c r="C59" s="143">
        <v>0.12605</v>
      </c>
      <c r="D59" s="143">
        <v>54.766199999999998</v>
      </c>
      <c r="E59" s="143">
        <v>7.0995299999999997</v>
      </c>
      <c r="F59" s="143">
        <v>1.9663199999999999E-2</v>
      </c>
      <c r="G59" s="143" t="s">
        <v>379</v>
      </c>
      <c r="H59" s="143" t="s">
        <v>379</v>
      </c>
    </row>
    <row r="60" spans="1:8" ht="15" customHeight="1" x14ac:dyDescent="0.25">
      <c r="A60" s="143" t="s">
        <v>243</v>
      </c>
      <c r="B60" s="143" t="s">
        <v>245</v>
      </c>
      <c r="C60" s="143">
        <v>0.33060299999999998</v>
      </c>
      <c r="D60" s="143">
        <v>46.113500000000002</v>
      </c>
      <c r="E60" s="143">
        <v>20.787500000000001</v>
      </c>
      <c r="F60" s="143">
        <v>0.10814600000000001</v>
      </c>
      <c r="G60" s="143" t="s">
        <v>379</v>
      </c>
      <c r="H60" s="143" t="s">
        <v>379</v>
      </c>
    </row>
    <row r="61" spans="1:8" ht="15" customHeight="1" x14ac:dyDescent="0.25">
      <c r="A61" s="143" t="s">
        <v>62</v>
      </c>
      <c r="B61" s="159" t="s">
        <v>64</v>
      </c>
      <c r="C61" s="143">
        <v>0</v>
      </c>
      <c r="D61" s="143">
        <v>0</v>
      </c>
      <c r="E61" s="143">
        <v>0</v>
      </c>
      <c r="F61" s="143">
        <v>0</v>
      </c>
      <c r="G61" s="143" t="s">
        <v>194</v>
      </c>
      <c r="H61" s="162" t="s">
        <v>194</v>
      </c>
    </row>
    <row r="62" spans="1:8" ht="15" customHeight="1" x14ac:dyDescent="0.25">
      <c r="A62" s="143" t="s">
        <v>246</v>
      </c>
      <c r="B62" s="143" t="s">
        <v>247</v>
      </c>
      <c r="C62" s="143">
        <v>0</v>
      </c>
      <c r="D62" s="143">
        <v>0</v>
      </c>
      <c r="E62" s="143">
        <v>0</v>
      </c>
      <c r="F62" s="143">
        <v>0</v>
      </c>
      <c r="G62" s="143" t="s">
        <v>194</v>
      </c>
      <c r="H62" s="162" t="s">
        <v>194</v>
      </c>
    </row>
    <row r="63" spans="1:8" ht="15" customHeight="1" x14ac:dyDescent="0.25">
      <c r="A63" s="143" t="s">
        <v>1114</v>
      </c>
      <c r="B63" s="143" t="s">
        <v>1115</v>
      </c>
      <c r="C63" s="143">
        <v>0</v>
      </c>
      <c r="D63" s="143">
        <v>0</v>
      </c>
      <c r="E63" s="143">
        <v>0</v>
      </c>
      <c r="F63" s="143">
        <v>0</v>
      </c>
      <c r="G63" s="143" t="s">
        <v>194</v>
      </c>
      <c r="H63" s="162" t="s">
        <v>194</v>
      </c>
    </row>
    <row r="64" spans="1:8" ht="15" customHeight="1" x14ac:dyDescent="0.25">
      <c r="A64" s="143" t="s">
        <v>1114</v>
      </c>
      <c r="B64" s="143" t="s">
        <v>1116</v>
      </c>
      <c r="C64" s="143">
        <v>0</v>
      </c>
      <c r="D64" s="143">
        <v>0</v>
      </c>
      <c r="E64" s="143">
        <v>0</v>
      </c>
      <c r="F64" s="143">
        <v>0</v>
      </c>
      <c r="G64" s="143" t="s">
        <v>194</v>
      </c>
      <c r="H64" s="162" t="s">
        <v>194</v>
      </c>
    </row>
    <row r="65" spans="1:8" ht="15" customHeight="1" x14ac:dyDescent="0.25">
      <c r="A65" s="143" t="s">
        <v>68</v>
      </c>
      <c r="B65" s="159" t="s">
        <v>70</v>
      </c>
      <c r="C65" s="143">
        <v>0</v>
      </c>
      <c r="D65" s="143">
        <v>0</v>
      </c>
      <c r="E65" s="143">
        <v>0</v>
      </c>
      <c r="F65" s="143">
        <v>0</v>
      </c>
      <c r="G65" s="143" t="s">
        <v>194</v>
      </c>
      <c r="H65" s="162" t="s">
        <v>194</v>
      </c>
    </row>
    <row r="66" spans="1:8" ht="15" customHeight="1" x14ac:dyDescent="0.25">
      <c r="A66" s="143" t="s">
        <v>248</v>
      </c>
      <c r="B66" s="143" t="s">
        <v>69</v>
      </c>
      <c r="C66" s="143">
        <v>0.19001199999999999</v>
      </c>
      <c r="D66" s="143">
        <v>28.133900000000001</v>
      </c>
      <c r="E66" s="143">
        <v>9.2664200000000001</v>
      </c>
      <c r="F66" s="143">
        <v>3.2416800000000003E-2</v>
      </c>
      <c r="G66" s="143" t="s">
        <v>194</v>
      </c>
      <c r="H66" s="143" t="s">
        <v>379</v>
      </c>
    </row>
    <row r="67" spans="1:8" ht="15" customHeight="1" x14ac:dyDescent="0.25">
      <c r="A67" s="143" t="s">
        <v>1117</v>
      </c>
      <c r="B67" s="143" t="s">
        <v>1118</v>
      </c>
      <c r="C67" s="143">
        <v>0</v>
      </c>
      <c r="D67" s="143">
        <v>0</v>
      </c>
      <c r="E67" s="143">
        <v>0</v>
      </c>
      <c r="F67" s="143">
        <v>0</v>
      </c>
      <c r="G67" s="143" t="s">
        <v>194</v>
      </c>
      <c r="H67" s="162" t="s">
        <v>194</v>
      </c>
    </row>
    <row r="68" spans="1:8" ht="15" customHeight="1" x14ac:dyDescent="0.25">
      <c r="A68" s="143" t="s">
        <v>249</v>
      </c>
      <c r="B68" s="143" t="s">
        <v>250</v>
      </c>
      <c r="C68" s="143">
        <v>7.3205300000000001E-2</v>
      </c>
      <c r="D68" s="143">
        <v>10.1525</v>
      </c>
      <c r="E68" s="143">
        <v>10.609299999999999</v>
      </c>
      <c r="F68" s="143">
        <v>1.0678399999999999E-2</v>
      </c>
      <c r="G68" s="143" t="s">
        <v>379</v>
      </c>
      <c r="H68" s="143" t="s">
        <v>379</v>
      </c>
    </row>
    <row r="69" spans="1:8" ht="15" customHeight="1" x14ac:dyDescent="0.25">
      <c r="A69" s="143" t="s">
        <v>249</v>
      </c>
      <c r="B69" s="143" t="s">
        <v>251</v>
      </c>
      <c r="C69" s="143">
        <v>4.0347599999999997E-2</v>
      </c>
      <c r="D69" s="143">
        <v>3.4278</v>
      </c>
      <c r="E69" s="143">
        <v>6.24125</v>
      </c>
      <c r="F69" s="143">
        <v>9.8272599999999996E-4</v>
      </c>
      <c r="G69" s="143" t="s">
        <v>379</v>
      </c>
      <c r="H69" s="143" t="s">
        <v>379</v>
      </c>
    </row>
    <row r="70" spans="1:8" ht="15" customHeight="1" x14ac:dyDescent="0.25">
      <c r="A70" s="143" t="s">
        <v>253</v>
      </c>
      <c r="B70" s="143" t="s">
        <v>254</v>
      </c>
      <c r="C70" s="143">
        <v>4.0702000000000002E-2</v>
      </c>
      <c r="D70" s="143">
        <v>5.0009699999999997</v>
      </c>
      <c r="E70" s="143">
        <v>8.7517099999999992</v>
      </c>
      <c r="F70" s="143">
        <v>0</v>
      </c>
      <c r="G70" s="143" t="s">
        <v>379</v>
      </c>
      <c r="H70" s="143" t="s">
        <v>379</v>
      </c>
    </row>
    <row r="71" spans="1:8" ht="15" customHeight="1" x14ac:dyDescent="0.25">
      <c r="A71" s="143" t="s">
        <v>253</v>
      </c>
      <c r="B71" s="143" t="s">
        <v>256</v>
      </c>
      <c r="C71" s="143">
        <v>7.4506199999999995E-2</v>
      </c>
      <c r="D71" s="143">
        <v>4.9841100000000003</v>
      </c>
      <c r="E71" s="143">
        <v>8.2742900000000006</v>
      </c>
      <c r="F71" s="143">
        <v>7.26325E-4</v>
      </c>
      <c r="G71" s="143" t="s">
        <v>379</v>
      </c>
      <c r="H71" s="143" t="s">
        <v>379</v>
      </c>
    </row>
    <row r="72" spans="1:8" ht="15" customHeight="1" x14ac:dyDescent="0.25">
      <c r="A72" s="143" t="s">
        <v>258</v>
      </c>
      <c r="B72" s="143" t="s">
        <v>259</v>
      </c>
      <c r="C72" s="143">
        <v>7.7559799999999998E-2</v>
      </c>
      <c r="D72" s="143">
        <v>4.9810600000000003</v>
      </c>
      <c r="E72" s="143">
        <v>10.354100000000001</v>
      </c>
      <c r="F72" s="143">
        <v>0</v>
      </c>
      <c r="G72" s="143" t="s">
        <v>379</v>
      </c>
      <c r="H72" s="143" t="s">
        <v>379</v>
      </c>
    </row>
    <row r="73" spans="1:8" ht="15" customHeight="1" x14ac:dyDescent="0.25">
      <c r="A73" s="143" t="s">
        <v>258</v>
      </c>
      <c r="B73" s="143" t="s">
        <v>260</v>
      </c>
      <c r="C73" s="143">
        <v>0</v>
      </c>
      <c r="D73" s="143">
        <v>0</v>
      </c>
      <c r="E73" s="143">
        <v>0</v>
      </c>
      <c r="F73" s="143">
        <v>0</v>
      </c>
      <c r="G73" s="143" t="s">
        <v>194</v>
      </c>
      <c r="H73" s="162" t="s">
        <v>194</v>
      </c>
    </row>
    <row r="74" spans="1:8" ht="15" customHeight="1" x14ac:dyDescent="0.25">
      <c r="A74" s="143" t="s">
        <v>258</v>
      </c>
      <c r="B74" s="143" t="s">
        <v>261</v>
      </c>
      <c r="C74" s="143">
        <v>0.152169</v>
      </c>
      <c r="D74" s="143">
        <v>6.41798</v>
      </c>
      <c r="E74" s="143">
        <v>14.7438</v>
      </c>
      <c r="F74" s="143">
        <v>7.8451900000000001E-3</v>
      </c>
      <c r="G74" s="143" t="s">
        <v>194</v>
      </c>
      <c r="H74" s="143" t="s">
        <v>379</v>
      </c>
    </row>
    <row r="75" spans="1:8" ht="15" customHeight="1" x14ac:dyDescent="0.25">
      <c r="A75" s="143" t="s">
        <v>258</v>
      </c>
      <c r="B75" s="143" t="s">
        <v>262</v>
      </c>
      <c r="C75" s="143">
        <v>0.17637</v>
      </c>
      <c r="D75" s="143">
        <v>10.020899999999999</v>
      </c>
      <c r="E75" s="143">
        <v>15.728199999999999</v>
      </c>
      <c r="F75" s="143">
        <v>1.85033E-2</v>
      </c>
      <c r="G75" s="143" t="s">
        <v>194</v>
      </c>
      <c r="H75" s="143" t="s">
        <v>379</v>
      </c>
    </row>
    <row r="76" spans="1:8" ht="15" customHeight="1" x14ac:dyDescent="0.25">
      <c r="A76" s="143" t="s">
        <v>263</v>
      </c>
      <c r="B76" s="143" t="s">
        <v>264</v>
      </c>
      <c r="C76" s="143">
        <v>9.1494699999999998E-2</v>
      </c>
      <c r="D76" s="143">
        <v>10.9434</v>
      </c>
      <c r="E76" s="143">
        <v>1.3081</v>
      </c>
      <c r="F76" s="143">
        <v>7.5040899999999994E-2</v>
      </c>
      <c r="G76" s="143" t="s">
        <v>194</v>
      </c>
      <c r="H76" s="143" t="s">
        <v>379</v>
      </c>
    </row>
    <row r="77" spans="1:8" ht="15" customHeight="1" x14ac:dyDescent="0.25">
      <c r="A77" s="143" t="s">
        <v>263</v>
      </c>
      <c r="B77" s="143" t="s">
        <v>265</v>
      </c>
      <c r="C77" s="143">
        <v>0.14374400000000001</v>
      </c>
      <c r="D77" s="143">
        <v>19.5745</v>
      </c>
      <c r="E77" s="143">
        <v>9.3200599999999998</v>
      </c>
      <c r="F77" s="143">
        <v>2.5560900000000001E-2</v>
      </c>
      <c r="G77" s="143" t="s">
        <v>194</v>
      </c>
      <c r="H77" s="143" t="s">
        <v>379</v>
      </c>
    </row>
    <row r="78" spans="1:8" ht="15" customHeight="1" x14ac:dyDescent="0.25">
      <c r="A78" s="143" t="s">
        <v>263</v>
      </c>
      <c r="B78" s="143" t="s">
        <v>266</v>
      </c>
      <c r="C78" s="143">
        <v>0.23774999999999999</v>
      </c>
      <c r="D78" s="143">
        <v>19.9757</v>
      </c>
      <c r="E78" s="143">
        <v>25.8125</v>
      </c>
      <c r="F78" s="143">
        <v>5.0489200000000001E-3</v>
      </c>
      <c r="G78" s="143" t="s">
        <v>194</v>
      </c>
      <c r="H78" s="143" t="s">
        <v>379</v>
      </c>
    </row>
    <row r="79" spans="1:8" ht="15" customHeight="1" x14ac:dyDescent="0.25">
      <c r="A79" s="143" t="s">
        <v>263</v>
      </c>
      <c r="B79" s="143" t="s">
        <v>267</v>
      </c>
      <c r="C79" s="143">
        <v>0.16848399999999999</v>
      </c>
      <c r="D79" s="143">
        <v>79.013199999999998</v>
      </c>
      <c r="E79" s="143">
        <v>8.3843700000000005</v>
      </c>
      <c r="F79" s="143">
        <v>3.3838100000000003E-2</v>
      </c>
      <c r="G79" s="143" t="s">
        <v>194</v>
      </c>
      <c r="H79" s="143" t="s">
        <v>379</v>
      </c>
    </row>
    <row r="80" spans="1:8" ht="15" customHeight="1" x14ac:dyDescent="0.25">
      <c r="A80" s="143" t="s">
        <v>263</v>
      </c>
      <c r="B80" s="143" t="s">
        <v>269</v>
      </c>
      <c r="C80" s="143" t="s">
        <v>1119</v>
      </c>
      <c r="D80" s="143" t="s">
        <v>1119</v>
      </c>
      <c r="E80" s="143" t="s">
        <v>1119</v>
      </c>
      <c r="F80" s="143" t="s">
        <v>1119</v>
      </c>
      <c r="G80" s="143" t="s">
        <v>194</v>
      </c>
      <c r="H80" s="162" t="s">
        <v>194</v>
      </c>
    </row>
    <row r="81" spans="1:8" ht="15" customHeight="1" x14ac:dyDescent="0.25">
      <c r="A81" s="143" t="s">
        <v>263</v>
      </c>
      <c r="B81" s="143" t="s">
        <v>270</v>
      </c>
      <c r="C81" s="143">
        <v>0.48994500000000002</v>
      </c>
      <c r="D81" s="143">
        <v>62.358800000000002</v>
      </c>
      <c r="E81" s="143">
        <v>10.941000000000001</v>
      </c>
      <c r="F81" s="143">
        <v>7.0226200000000003E-2</v>
      </c>
      <c r="G81" s="143" t="s">
        <v>194</v>
      </c>
      <c r="H81" s="143" t="s">
        <v>379</v>
      </c>
    </row>
    <row r="82" spans="1:8" ht="15" customHeight="1" x14ac:dyDescent="0.25">
      <c r="A82" s="143" t="s">
        <v>263</v>
      </c>
      <c r="B82" s="143" t="s">
        <v>272</v>
      </c>
      <c r="C82" s="143">
        <v>0.29722799999999999</v>
      </c>
      <c r="D82" s="143">
        <v>120.047</v>
      </c>
      <c r="E82" s="143">
        <v>13.367900000000001</v>
      </c>
      <c r="F82" s="143">
        <v>0.25335299999999999</v>
      </c>
      <c r="G82" s="143" t="s">
        <v>194</v>
      </c>
      <c r="H82" s="143" t="s">
        <v>379</v>
      </c>
    </row>
    <row r="83" spans="1:8" ht="15" customHeight="1" x14ac:dyDescent="0.25">
      <c r="A83" s="143" t="s">
        <v>263</v>
      </c>
      <c r="B83" s="143" t="s">
        <v>273</v>
      </c>
      <c r="C83" s="143">
        <v>0.119852</v>
      </c>
      <c r="D83" s="143">
        <v>131.34</v>
      </c>
      <c r="E83" s="143">
        <v>3.8597700000000001</v>
      </c>
      <c r="F83" s="143">
        <v>7.0929199999999998E-2</v>
      </c>
      <c r="G83" s="143" t="s">
        <v>194</v>
      </c>
      <c r="H83" s="143" t="s">
        <v>379</v>
      </c>
    </row>
    <row r="84" spans="1:8" ht="15" customHeight="1" x14ac:dyDescent="0.25">
      <c r="A84" s="143" t="s">
        <v>263</v>
      </c>
      <c r="B84" s="143" t="s">
        <v>274</v>
      </c>
      <c r="C84" s="143">
        <v>0.13214400000000001</v>
      </c>
      <c r="D84" s="143">
        <v>19.674099999999999</v>
      </c>
      <c r="E84" s="143">
        <v>8.5864499999999992</v>
      </c>
      <c r="F84" s="143">
        <v>2.38189E-2</v>
      </c>
      <c r="G84" s="143" t="s">
        <v>194</v>
      </c>
      <c r="H84" s="143" t="s">
        <v>379</v>
      </c>
    </row>
    <row r="85" spans="1:8" ht="15" customHeight="1" x14ac:dyDescent="0.25">
      <c r="A85" s="143" t="s">
        <v>263</v>
      </c>
      <c r="B85" s="143" t="s">
        <v>275</v>
      </c>
      <c r="C85" s="143">
        <v>0.53888499999999995</v>
      </c>
      <c r="D85" s="143">
        <v>76.462299999999999</v>
      </c>
      <c r="E85" s="143">
        <v>4.6590199999999999</v>
      </c>
      <c r="F85" s="143">
        <v>7.8862100000000004E-2</v>
      </c>
      <c r="G85" s="143" t="s">
        <v>194</v>
      </c>
      <c r="H85" s="143" t="s">
        <v>379</v>
      </c>
    </row>
    <row r="86" spans="1:8" ht="15" customHeight="1" x14ac:dyDescent="0.25">
      <c r="A86" s="143" t="s">
        <v>263</v>
      </c>
      <c r="B86" s="143" t="s">
        <v>276</v>
      </c>
      <c r="C86" s="143">
        <v>0.106985</v>
      </c>
      <c r="D86" s="143">
        <v>14.676500000000001</v>
      </c>
      <c r="E86" s="143">
        <v>8.3764699999999994</v>
      </c>
      <c r="F86" s="143">
        <v>1.56659E-2</v>
      </c>
      <c r="G86" s="143" t="s">
        <v>194</v>
      </c>
      <c r="H86" s="143" t="s">
        <v>379</v>
      </c>
    </row>
    <row r="87" spans="1:8" ht="15" customHeight="1" x14ac:dyDescent="0.25">
      <c r="A87" s="143" t="s">
        <v>277</v>
      </c>
      <c r="B87" s="143" t="s">
        <v>277</v>
      </c>
      <c r="C87" s="143" t="s">
        <v>1119</v>
      </c>
      <c r="D87" s="143" t="s">
        <v>1119</v>
      </c>
      <c r="E87" s="143" t="s">
        <v>1119</v>
      </c>
      <c r="F87" s="143" t="s">
        <v>1119</v>
      </c>
      <c r="G87" s="143" t="s">
        <v>194</v>
      </c>
      <c r="H87" s="162" t="s">
        <v>194</v>
      </c>
    </row>
    <row r="88" spans="1:8" ht="15" customHeight="1" x14ac:dyDescent="0.25">
      <c r="A88" s="143" t="s">
        <v>277</v>
      </c>
      <c r="B88" s="143" t="s">
        <v>278</v>
      </c>
      <c r="C88" s="143">
        <v>0</v>
      </c>
      <c r="D88" s="143">
        <v>0</v>
      </c>
      <c r="E88" s="143">
        <v>0</v>
      </c>
      <c r="F88" s="143">
        <v>0</v>
      </c>
      <c r="G88" s="143" t="s">
        <v>194</v>
      </c>
      <c r="H88" s="162" t="s">
        <v>194</v>
      </c>
    </row>
    <row r="89" spans="1:8" ht="15" customHeight="1" x14ac:dyDescent="0.25">
      <c r="A89" s="143" t="s">
        <v>279</v>
      </c>
      <c r="B89" s="143" t="s">
        <v>280</v>
      </c>
      <c r="C89" s="143">
        <v>0.181143</v>
      </c>
      <c r="D89" s="143">
        <v>168.358</v>
      </c>
      <c r="E89" s="143">
        <v>5.1575499999999996</v>
      </c>
      <c r="F89" s="143">
        <v>1.6612700000000001E-2</v>
      </c>
      <c r="G89" s="143" t="s">
        <v>194</v>
      </c>
      <c r="H89" s="143" t="s">
        <v>379</v>
      </c>
    </row>
    <row r="90" spans="1:8" ht="15" customHeight="1" x14ac:dyDescent="0.25">
      <c r="A90" s="143" t="s">
        <v>279</v>
      </c>
      <c r="B90" s="143" t="s">
        <v>281</v>
      </c>
      <c r="C90" s="143">
        <v>0.150257</v>
      </c>
      <c r="D90" s="143">
        <v>20.844899999999999</v>
      </c>
      <c r="E90" s="143">
        <v>10.904999999999999</v>
      </c>
      <c r="F90" s="143">
        <v>1.1818199999999999E-2</v>
      </c>
      <c r="G90" s="143" t="s">
        <v>194</v>
      </c>
      <c r="H90" s="143" t="s">
        <v>379</v>
      </c>
    </row>
    <row r="91" spans="1:8" ht="15" customHeight="1" x14ac:dyDescent="0.25">
      <c r="A91" s="143" t="s">
        <v>279</v>
      </c>
      <c r="B91" s="143" t="s">
        <v>282</v>
      </c>
      <c r="C91" s="143">
        <v>0.102994</v>
      </c>
      <c r="D91" s="143">
        <v>14.2483</v>
      </c>
      <c r="E91" s="143">
        <v>10.5832</v>
      </c>
      <c r="F91" s="143">
        <v>6.9611500000000002E-3</v>
      </c>
      <c r="G91" s="143" t="s">
        <v>194</v>
      </c>
      <c r="H91" s="143" t="s">
        <v>379</v>
      </c>
    </row>
    <row r="92" spans="1:8" ht="15" customHeight="1" x14ac:dyDescent="0.25">
      <c r="A92" s="143" t="s">
        <v>1120</v>
      </c>
      <c r="B92" s="143" t="s">
        <v>1121</v>
      </c>
      <c r="C92" s="143">
        <v>0</v>
      </c>
      <c r="D92" s="143">
        <v>0</v>
      </c>
      <c r="E92" s="143">
        <v>0</v>
      </c>
      <c r="F92" s="143">
        <v>0</v>
      </c>
      <c r="G92" s="143" t="s">
        <v>194</v>
      </c>
      <c r="H92" s="162" t="s">
        <v>194</v>
      </c>
    </row>
    <row r="93" spans="1:8" ht="15" customHeight="1" x14ac:dyDescent="0.25">
      <c r="A93" s="143" t="s">
        <v>283</v>
      </c>
      <c r="B93" s="143" t="s">
        <v>284</v>
      </c>
      <c r="C93" s="143">
        <v>0.10116</v>
      </c>
      <c r="D93" s="143">
        <v>9.8641000000000005</v>
      </c>
      <c r="E93" s="143">
        <v>9.0525599999999997</v>
      </c>
      <c r="F93" s="143">
        <v>1.4504100000000001E-2</v>
      </c>
      <c r="G93" s="143" t="s">
        <v>379</v>
      </c>
      <c r="H93" s="143" t="s">
        <v>379</v>
      </c>
    </row>
    <row r="94" spans="1:8" ht="15" customHeight="1" x14ac:dyDescent="0.25">
      <c r="A94" s="143" t="s">
        <v>285</v>
      </c>
      <c r="B94" s="143" t="s">
        <v>286</v>
      </c>
      <c r="C94" s="143">
        <v>8.2742200000000002E-2</v>
      </c>
      <c r="D94" s="143">
        <v>9.0184800000000003</v>
      </c>
      <c r="E94" s="143">
        <v>5.8632600000000004</v>
      </c>
      <c r="F94" s="143">
        <v>4.8001700000000001E-2</v>
      </c>
      <c r="G94" s="143" t="s">
        <v>194</v>
      </c>
      <c r="H94" s="143" t="s">
        <v>379</v>
      </c>
    </row>
    <row r="95" spans="1:8" ht="15" customHeight="1" x14ac:dyDescent="0.25">
      <c r="A95" s="143" t="s">
        <v>289</v>
      </c>
      <c r="B95" s="143" t="s">
        <v>290</v>
      </c>
      <c r="C95" s="143">
        <v>3.6269200000000001E-2</v>
      </c>
      <c r="D95" s="143">
        <v>6.3342999999999998</v>
      </c>
      <c r="E95" s="143">
        <v>6.3712</v>
      </c>
      <c r="F95" s="143">
        <v>6.1148900000000004E-3</v>
      </c>
      <c r="G95" s="143" t="s">
        <v>194</v>
      </c>
      <c r="H95" s="143" t="s">
        <v>379</v>
      </c>
    </row>
    <row r="96" spans="1:8" ht="15" customHeight="1" x14ac:dyDescent="0.25">
      <c r="A96" s="143" t="s">
        <v>289</v>
      </c>
      <c r="B96" s="143" t="s">
        <v>291</v>
      </c>
      <c r="C96" s="143">
        <v>0.32552599999999998</v>
      </c>
      <c r="D96" s="143">
        <v>53.7744</v>
      </c>
      <c r="E96" s="143">
        <v>19.633500000000002</v>
      </c>
      <c r="F96" s="143">
        <v>0.13752500000000001</v>
      </c>
      <c r="G96" s="143" t="s">
        <v>379</v>
      </c>
      <c r="H96" s="143" t="s">
        <v>379</v>
      </c>
    </row>
    <row r="97" spans="1:8" ht="15" customHeight="1" x14ac:dyDescent="0.25">
      <c r="A97" s="143" t="s">
        <v>289</v>
      </c>
      <c r="B97" s="143" t="s">
        <v>292</v>
      </c>
      <c r="C97" s="143">
        <v>0.12388100000000001</v>
      </c>
      <c r="D97" s="143">
        <v>4.69916</v>
      </c>
      <c r="E97" s="143">
        <v>15.0808</v>
      </c>
      <c r="F97" s="143">
        <v>0</v>
      </c>
      <c r="G97" s="143" t="s">
        <v>379</v>
      </c>
      <c r="H97" s="143" t="s">
        <v>379</v>
      </c>
    </row>
    <row r="98" spans="1:8" ht="15" customHeight="1" x14ac:dyDescent="0.25">
      <c r="A98" s="143" t="s">
        <v>293</v>
      </c>
      <c r="B98" s="143" t="s">
        <v>294</v>
      </c>
      <c r="C98" s="143">
        <v>7.1390700000000001E-2</v>
      </c>
      <c r="D98" s="143">
        <v>4.3940999999999999</v>
      </c>
      <c r="E98" s="143">
        <v>7.9763700000000002</v>
      </c>
      <c r="F98" s="143">
        <v>0</v>
      </c>
      <c r="G98" s="143" t="s">
        <v>379</v>
      </c>
      <c r="H98" s="143" t="s">
        <v>379</v>
      </c>
    </row>
    <row r="99" spans="1:8" ht="15" customHeight="1" x14ac:dyDescent="0.25">
      <c r="A99" s="143" t="s">
        <v>293</v>
      </c>
      <c r="B99" s="143" t="s">
        <v>295</v>
      </c>
      <c r="C99" s="143">
        <v>0.134884</v>
      </c>
      <c r="D99" s="143">
        <v>4.5120199999999997</v>
      </c>
      <c r="E99" s="143">
        <v>15.607699999999999</v>
      </c>
      <c r="F99" s="143">
        <v>0</v>
      </c>
      <c r="G99" s="143" t="s">
        <v>379</v>
      </c>
      <c r="H99" s="143" t="s">
        <v>379</v>
      </c>
    </row>
    <row r="100" spans="1:8" ht="15" customHeight="1" x14ac:dyDescent="0.25">
      <c r="A100" s="143" t="s">
        <v>293</v>
      </c>
      <c r="B100" s="143" t="s">
        <v>296</v>
      </c>
      <c r="C100" s="143">
        <v>0.39779799999999998</v>
      </c>
      <c r="D100" s="143">
        <v>5.4165900000000002</v>
      </c>
      <c r="E100" s="143">
        <v>14.4337</v>
      </c>
      <c r="F100" s="143">
        <v>0</v>
      </c>
      <c r="G100" s="143" t="s">
        <v>379</v>
      </c>
      <c r="H100" s="143" t="s">
        <v>379</v>
      </c>
    </row>
    <row r="101" spans="1:8" ht="15" customHeight="1" x14ac:dyDescent="0.25">
      <c r="A101" s="143" t="s">
        <v>297</v>
      </c>
      <c r="B101" s="143" t="s">
        <v>298</v>
      </c>
      <c r="C101" s="143">
        <v>7.4481699999999998E-2</v>
      </c>
      <c r="D101" s="143">
        <v>6.91092</v>
      </c>
      <c r="E101" s="143">
        <v>8.7785799999999998</v>
      </c>
      <c r="F101" s="143">
        <v>6.5320200000000004E-3</v>
      </c>
      <c r="G101" s="143" t="s">
        <v>379</v>
      </c>
      <c r="H101" s="143" t="s">
        <v>379</v>
      </c>
    </row>
    <row r="102" spans="1:8" ht="15" customHeight="1" x14ac:dyDescent="0.25">
      <c r="A102" s="143" t="s">
        <v>297</v>
      </c>
      <c r="B102" s="143" t="s">
        <v>299</v>
      </c>
      <c r="C102" s="143">
        <v>0.16744100000000001</v>
      </c>
      <c r="D102" s="143">
        <v>8.0567700000000002</v>
      </c>
      <c r="E102" s="143">
        <v>17.798100000000002</v>
      </c>
      <c r="F102" s="143">
        <v>8.83281E-3</v>
      </c>
      <c r="G102" s="143" t="s">
        <v>379</v>
      </c>
      <c r="H102" s="143" t="s">
        <v>379</v>
      </c>
    </row>
    <row r="103" spans="1:8" ht="15" customHeight="1" x14ac:dyDescent="0.25">
      <c r="A103" s="143" t="s">
        <v>297</v>
      </c>
      <c r="B103" s="143" t="s">
        <v>300</v>
      </c>
      <c r="C103" s="143">
        <v>0.24005799999999999</v>
      </c>
      <c r="D103" s="143">
        <v>27.284300000000002</v>
      </c>
      <c r="E103" s="143">
        <v>18.1416</v>
      </c>
      <c r="F103" s="143">
        <v>6.6927E-2</v>
      </c>
      <c r="G103" s="143" t="s">
        <v>379</v>
      </c>
      <c r="H103" s="143" t="s">
        <v>379</v>
      </c>
    </row>
    <row r="104" spans="1:8" ht="15" customHeight="1" x14ac:dyDescent="0.25">
      <c r="A104" s="143" t="s">
        <v>301</v>
      </c>
      <c r="B104" s="143" t="s">
        <v>302</v>
      </c>
      <c r="C104" s="143">
        <v>0.20041500000000001</v>
      </c>
      <c r="D104" s="143">
        <v>7.2646899999999999</v>
      </c>
      <c r="E104" s="143">
        <v>21.969799999999999</v>
      </c>
      <c r="F104" s="143">
        <v>2.38338E-3</v>
      </c>
      <c r="G104" s="143" t="s">
        <v>379</v>
      </c>
      <c r="H104" s="143" t="s">
        <v>379</v>
      </c>
    </row>
    <row r="105" spans="1:8" ht="15" customHeight="1" x14ac:dyDescent="0.25">
      <c r="A105" s="143" t="s">
        <v>301</v>
      </c>
      <c r="B105" s="143" t="s">
        <v>303</v>
      </c>
      <c r="C105" s="143">
        <v>9.7938999999999998E-2</v>
      </c>
      <c r="D105" s="143">
        <v>10.870200000000001</v>
      </c>
      <c r="E105" s="143">
        <v>6.1179699999999997</v>
      </c>
      <c r="F105" s="143">
        <v>2.1941800000000001E-2</v>
      </c>
      <c r="G105" s="143" t="s">
        <v>379</v>
      </c>
      <c r="H105" s="143" t="s">
        <v>379</v>
      </c>
    </row>
    <row r="106" spans="1:8" ht="15" customHeight="1" x14ac:dyDescent="0.25">
      <c r="A106" s="143" t="s">
        <v>301</v>
      </c>
      <c r="B106" s="143" t="s">
        <v>305</v>
      </c>
      <c r="C106" s="143">
        <v>0.14856</v>
      </c>
      <c r="D106" s="143">
        <v>8.9492899999999995</v>
      </c>
      <c r="E106" s="143">
        <v>14.6004</v>
      </c>
      <c r="F106" s="143">
        <v>1.74927E-2</v>
      </c>
      <c r="G106" s="143" t="s">
        <v>379</v>
      </c>
      <c r="H106" s="143" t="s">
        <v>379</v>
      </c>
    </row>
    <row r="107" spans="1:8" ht="15" customHeight="1" x14ac:dyDescent="0.25">
      <c r="A107" s="143" t="s">
        <v>301</v>
      </c>
      <c r="B107" s="143" t="s">
        <v>306</v>
      </c>
      <c r="C107" s="143">
        <v>0.17438500000000001</v>
      </c>
      <c r="D107" s="143">
        <v>7.5</v>
      </c>
      <c r="E107" s="143">
        <v>16.864799999999999</v>
      </c>
      <c r="F107" s="143">
        <v>8.3963100000000006E-3</v>
      </c>
      <c r="G107" s="143" t="s">
        <v>379</v>
      </c>
      <c r="H107" s="143" t="s">
        <v>379</v>
      </c>
    </row>
    <row r="108" spans="1:8" ht="15" customHeight="1" x14ac:dyDescent="0.25">
      <c r="A108" s="143" t="s">
        <v>307</v>
      </c>
      <c r="B108" s="143" t="s">
        <v>308</v>
      </c>
      <c r="C108" s="143">
        <v>0.134879</v>
      </c>
      <c r="D108" s="143">
        <v>107.464</v>
      </c>
      <c r="E108" s="143">
        <v>6.0495299999999999</v>
      </c>
      <c r="F108" s="143">
        <v>3.3760999999999999E-2</v>
      </c>
      <c r="G108" s="143" t="s">
        <v>194</v>
      </c>
      <c r="H108" s="143" t="s">
        <v>379</v>
      </c>
    </row>
    <row r="109" spans="1:8" ht="15" customHeight="1" x14ac:dyDescent="0.25">
      <c r="A109" s="143" t="s">
        <v>71</v>
      </c>
      <c r="B109" s="159" t="s">
        <v>73</v>
      </c>
      <c r="C109" s="143">
        <v>0</v>
      </c>
      <c r="D109" s="143">
        <v>0</v>
      </c>
      <c r="E109" s="143">
        <v>0</v>
      </c>
      <c r="F109" s="143">
        <v>0</v>
      </c>
      <c r="G109" s="143" t="s">
        <v>194</v>
      </c>
      <c r="H109" s="162" t="s">
        <v>194</v>
      </c>
    </row>
    <row r="110" spans="1:8" ht="15" customHeight="1" x14ac:dyDescent="0.25">
      <c r="A110" s="143" t="s">
        <v>1122</v>
      </c>
      <c r="B110" s="143" t="s">
        <v>72</v>
      </c>
      <c r="C110" s="143">
        <v>0</v>
      </c>
      <c r="D110" s="143">
        <v>0</v>
      </c>
      <c r="E110" s="143">
        <v>0</v>
      </c>
      <c r="F110" s="143">
        <v>0</v>
      </c>
      <c r="G110" s="143" t="s">
        <v>194</v>
      </c>
      <c r="H110" s="162" t="s">
        <v>194</v>
      </c>
    </row>
    <row r="111" spans="1:8" ht="15" customHeight="1" x14ac:dyDescent="0.25">
      <c r="A111" s="143" t="s">
        <v>74</v>
      </c>
      <c r="B111" s="159" t="s">
        <v>76</v>
      </c>
      <c r="C111" s="143">
        <v>0</v>
      </c>
      <c r="D111" s="143">
        <v>0</v>
      </c>
      <c r="E111" s="143">
        <v>0</v>
      </c>
      <c r="F111" s="143">
        <v>0</v>
      </c>
      <c r="G111" s="143" t="s">
        <v>194</v>
      </c>
      <c r="H111" s="162" t="s">
        <v>194</v>
      </c>
    </row>
    <row r="112" spans="1:8" ht="15" customHeight="1" x14ac:dyDescent="0.25">
      <c r="A112" s="143" t="s">
        <v>74</v>
      </c>
      <c r="B112" s="143" t="s">
        <v>1123</v>
      </c>
      <c r="C112" s="143">
        <v>0</v>
      </c>
      <c r="D112" s="143">
        <v>0</v>
      </c>
      <c r="E112" s="143">
        <v>0</v>
      </c>
      <c r="F112" s="143">
        <v>0</v>
      </c>
      <c r="G112" s="143" t="s">
        <v>194</v>
      </c>
      <c r="H112" s="162" t="s">
        <v>194</v>
      </c>
    </row>
    <row r="113" spans="1:8" ht="15" customHeight="1" x14ac:dyDescent="0.25">
      <c r="A113" s="143" t="s">
        <v>74</v>
      </c>
      <c r="B113" s="143" t="s">
        <v>1124</v>
      </c>
      <c r="C113" s="143">
        <v>0</v>
      </c>
      <c r="D113" s="143">
        <v>0</v>
      </c>
      <c r="E113" s="143">
        <v>0</v>
      </c>
      <c r="F113" s="143">
        <v>0</v>
      </c>
      <c r="G113" s="143" t="s">
        <v>194</v>
      </c>
      <c r="H113" s="162" t="s">
        <v>194</v>
      </c>
    </row>
    <row r="114" spans="1:8" ht="15" customHeight="1" x14ac:dyDescent="0.25">
      <c r="A114" s="143" t="s">
        <v>1125</v>
      </c>
      <c r="B114" s="143" t="s">
        <v>75</v>
      </c>
      <c r="C114" s="143">
        <v>0</v>
      </c>
      <c r="D114" s="143">
        <v>0</v>
      </c>
      <c r="E114" s="143">
        <v>0</v>
      </c>
      <c r="F114" s="143">
        <v>0</v>
      </c>
      <c r="G114" s="143" t="s">
        <v>194</v>
      </c>
      <c r="H114" s="162" t="s">
        <v>194</v>
      </c>
    </row>
    <row r="115" spans="1:8" ht="15" customHeight="1" x14ac:dyDescent="0.25">
      <c r="A115" s="143" t="s">
        <v>1126</v>
      </c>
      <c r="B115" s="143" t="s">
        <v>1127</v>
      </c>
      <c r="C115" s="143">
        <v>0</v>
      </c>
      <c r="D115" s="143">
        <v>0</v>
      </c>
      <c r="E115" s="143">
        <v>0</v>
      </c>
      <c r="F115" s="143">
        <v>0</v>
      </c>
      <c r="G115" s="143" t="s">
        <v>194</v>
      </c>
      <c r="H115" s="162" t="s">
        <v>194</v>
      </c>
    </row>
    <row r="116" spans="1:8" ht="15" customHeight="1" x14ac:dyDescent="0.25">
      <c r="A116" s="143" t="s">
        <v>1126</v>
      </c>
      <c r="B116" s="143" t="s">
        <v>1128</v>
      </c>
      <c r="C116" s="143">
        <v>0</v>
      </c>
      <c r="D116" s="143">
        <v>0</v>
      </c>
      <c r="E116" s="143">
        <v>0</v>
      </c>
      <c r="F116" s="143">
        <v>0</v>
      </c>
      <c r="G116" s="143" t="s">
        <v>194</v>
      </c>
      <c r="H116" s="162" t="s">
        <v>194</v>
      </c>
    </row>
    <row r="117" spans="1:8" ht="15" customHeight="1" x14ac:dyDescent="0.25">
      <c r="A117" s="143" t="s">
        <v>1126</v>
      </c>
      <c r="B117" s="143" t="s">
        <v>1129</v>
      </c>
      <c r="C117" s="143">
        <v>0</v>
      </c>
      <c r="D117" s="143">
        <v>0</v>
      </c>
      <c r="E117" s="143">
        <v>0</v>
      </c>
      <c r="F117" s="143">
        <v>0</v>
      </c>
      <c r="G117" s="143" t="s">
        <v>194</v>
      </c>
      <c r="H117" s="162" t="s">
        <v>194</v>
      </c>
    </row>
    <row r="118" spans="1:8" ht="15" customHeight="1" x14ac:dyDescent="0.25">
      <c r="A118" s="143" t="s">
        <v>1126</v>
      </c>
      <c r="B118" s="143" t="s">
        <v>1130</v>
      </c>
      <c r="C118" s="143">
        <v>0</v>
      </c>
      <c r="D118" s="143">
        <v>0</v>
      </c>
      <c r="E118" s="143">
        <v>0</v>
      </c>
      <c r="F118" s="143">
        <v>0</v>
      </c>
      <c r="G118" s="143" t="s">
        <v>194</v>
      </c>
      <c r="H118" s="162" t="s">
        <v>194</v>
      </c>
    </row>
    <row r="119" spans="1:8" ht="15" customHeight="1" x14ac:dyDescent="0.25">
      <c r="A119" s="143" t="s">
        <v>1126</v>
      </c>
      <c r="B119" s="143" t="s">
        <v>1131</v>
      </c>
      <c r="C119" s="143">
        <v>0</v>
      </c>
      <c r="D119" s="143">
        <v>0</v>
      </c>
      <c r="E119" s="143">
        <v>0</v>
      </c>
      <c r="F119" s="143">
        <v>0</v>
      </c>
      <c r="G119" s="143" t="s">
        <v>194</v>
      </c>
      <c r="H119" s="162" t="s">
        <v>194</v>
      </c>
    </row>
    <row r="120" spans="1:8" ht="15" customHeight="1" x14ac:dyDescent="0.25">
      <c r="A120" s="143" t="s">
        <v>1126</v>
      </c>
      <c r="B120" s="143" t="s">
        <v>1132</v>
      </c>
      <c r="C120" s="143">
        <v>0</v>
      </c>
      <c r="D120" s="143">
        <v>0</v>
      </c>
      <c r="E120" s="143">
        <v>0</v>
      </c>
      <c r="F120" s="143">
        <v>0</v>
      </c>
      <c r="G120" s="143" t="s">
        <v>194</v>
      </c>
      <c r="H120" s="162" t="s">
        <v>194</v>
      </c>
    </row>
    <row r="121" spans="1:8" ht="15" customHeight="1" x14ac:dyDescent="0.25">
      <c r="A121" s="143" t="s">
        <v>1126</v>
      </c>
      <c r="B121" s="143" t="s">
        <v>1133</v>
      </c>
      <c r="C121" s="143">
        <v>0</v>
      </c>
      <c r="D121" s="143">
        <v>0</v>
      </c>
      <c r="E121" s="143">
        <v>0</v>
      </c>
      <c r="F121" s="143">
        <v>0</v>
      </c>
      <c r="G121" s="143" t="s">
        <v>194</v>
      </c>
      <c r="H121" s="162" t="s">
        <v>194</v>
      </c>
    </row>
    <row r="122" spans="1:8" ht="15" customHeight="1" x14ac:dyDescent="0.25">
      <c r="A122" s="143" t="s">
        <v>309</v>
      </c>
      <c r="B122" s="143" t="s">
        <v>310</v>
      </c>
      <c r="C122" s="143">
        <v>9.6941799999999995E-2</v>
      </c>
      <c r="D122" s="143">
        <v>9.2079500000000003</v>
      </c>
      <c r="E122" s="143">
        <v>8.7159200000000006</v>
      </c>
      <c r="F122" s="143">
        <v>1.49693E-2</v>
      </c>
      <c r="G122" s="143" t="s">
        <v>379</v>
      </c>
      <c r="H122" s="143" t="s">
        <v>379</v>
      </c>
    </row>
    <row r="123" spans="1:8" ht="15" customHeight="1" x14ac:dyDescent="0.25">
      <c r="A123" s="143" t="s">
        <v>309</v>
      </c>
      <c r="B123" s="143" t="s">
        <v>311</v>
      </c>
      <c r="C123" s="143">
        <v>0.10960399999999999</v>
      </c>
      <c r="D123" s="143">
        <v>15.2896</v>
      </c>
      <c r="E123" s="143">
        <v>9.4742599999999992</v>
      </c>
      <c r="F123" s="143">
        <v>9.3244E-3</v>
      </c>
      <c r="G123" s="143" t="s">
        <v>379</v>
      </c>
      <c r="H123" s="143" t="s">
        <v>379</v>
      </c>
    </row>
    <row r="124" spans="1:8" ht="15" customHeight="1" x14ac:dyDescent="0.25">
      <c r="A124" s="143" t="s">
        <v>309</v>
      </c>
      <c r="B124" s="143" t="s">
        <v>313</v>
      </c>
      <c r="C124" s="143">
        <v>0.36199999999999999</v>
      </c>
      <c r="D124" s="143">
        <v>3.6863100000000002</v>
      </c>
      <c r="E124" s="143">
        <v>12.902100000000001</v>
      </c>
      <c r="F124" s="143">
        <v>0</v>
      </c>
      <c r="G124" s="143" t="s">
        <v>379</v>
      </c>
      <c r="H124" s="143" t="s">
        <v>379</v>
      </c>
    </row>
    <row r="125" spans="1:8" ht="15" customHeight="1" x14ac:dyDescent="0.25">
      <c r="A125" s="143" t="s">
        <v>315</v>
      </c>
      <c r="B125" s="143" t="s">
        <v>316</v>
      </c>
      <c r="C125" s="143">
        <v>9.7830399999999998E-2</v>
      </c>
      <c r="D125" s="143">
        <v>11.852399999999999</v>
      </c>
      <c r="E125" s="143">
        <v>8.7905099999999994</v>
      </c>
      <c r="F125" s="143">
        <v>2.17637E-2</v>
      </c>
      <c r="G125" s="143" t="s">
        <v>379</v>
      </c>
      <c r="H125" s="143" t="s">
        <v>379</v>
      </c>
    </row>
    <row r="126" spans="1:8" ht="15" customHeight="1" x14ac:dyDescent="0.25">
      <c r="A126" s="143" t="s">
        <v>315</v>
      </c>
      <c r="B126" s="143" t="s">
        <v>317</v>
      </c>
      <c r="C126" s="143">
        <v>1.54108</v>
      </c>
      <c r="D126" s="143">
        <v>16.408100000000001</v>
      </c>
      <c r="E126" s="143">
        <v>48.269399999999997</v>
      </c>
      <c r="F126" s="143">
        <v>2.7613800000000001E-2</v>
      </c>
      <c r="G126" s="143" t="s">
        <v>379</v>
      </c>
      <c r="H126" s="143" t="s">
        <v>379</v>
      </c>
    </row>
    <row r="127" spans="1:8" ht="15" customHeight="1" x14ac:dyDescent="0.25">
      <c r="A127" s="143" t="s">
        <v>315</v>
      </c>
      <c r="B127" s="143" t="s">
        <v>318</v>
      </c>
      <c r="C127" s="143">
        <v>5.7265299999999998E-2</v>
      </c>
      <c r="D127" s="143">
        <v>4.3646000000000003</v>
      </c>
      <c r="E127" s="143">
        <v>1.0344</v>
      </c>
      <c r="F127" s="143">
        <v>1.37894E-2</v>
      </c>
      <c r="G127" s="143" t="s">
        <v>379</v>
      </c>
      <c r="H127" s="143" t="s">
        <v>379</v>
      </c>
    </row>
    <row r="128" spans="1:8" ht="15" customHeight="1" x14ac:dyDescent="0.25">
      <c r="A128" s="143" t="s">
        <v>315</v>
      </c>
      <c r="B128" s="143" t="s">
        <v>319</v>
      </c>
      <c r="C128" s="143">
        <v>0.145319</v>
      </c>
      <c r="D128" s="143">
        <v>3.5079699999999998</v>
      </c>
      <c r="E128" s="143">
        <v>6.3263299999999996</v>
      </c>
      <c r="F128" s="143">
        <v>0</v>
      </c>
      <c r="G128" s="143" t="s">
        <v>379</v>
      </c>
      <c r="H128" s="143" t="s">
        <v>379</v>
      </c>
    </row>
    <row r="129" spans="1:8" ht="15" customHeight="1" x14ac:dyDescent="0.25">
      <c r="A129" s="143" t="s">
        <v>320</v>
      </c>
      <c r="B129" s="143" t="s">
        <v>321</v>
      </c>
      <c r="C129" s="143">
        <v>0.678149</v>
      </c>
      <c r="D129" s="143">
        <v>229.65100000000001</v>
      </c>
      <c r="E129" s="143">
        <v>25.364699999999999</v>
      </c>
      <c r="F129" s="143">
        <v>2.2761300000000002E-2</v>
      </c>
      <c r="G129" s="143" t="s">
        <v>379</v>
      </c>
      <c r="H129" s="143" t="s">
        <v>379</v>
      </c>
    </row>
    <row r="130" spans="1:8" ht="15" customHeight="1" x14ac:dyDescent="0.25">
      <c r="A130" s="143" t="s">
        <v>322</v>
      </c>
      <c r="B130" s="143" t="s">
        <v>323</v>
      </c>
      <c r="C130" s="143">
        <v>1.61496E-2</v>
      </c>
      <c r="D130" s="143">
        <v>1.85758</v>
      </c>
      <c r="E130" s="143">
        <v>2.4361600000000001</v>
      </c>
      <c r="F130" s="143">
        <v>2.2425099999999999E-4</v>
      </c>
      <c r="G130" s="143" t="s">
        <v>379</v>
      </c>
      <c r="H130" s="143" t="s">
        <v>379</v>
      </c>
    </row>
    <row r="131" spans="1:8" ht="15" customHeight="1" x14ac:dyDescent="0.25">
      <c r="A131" s="143" t="s">
        <v>324</v>
      </c>
      <c r="B131" s="143" t="s">
        <v>325</v>
      </c>
      <c r="C131" s="143">
        <v>0</v>
      </c>
      <c r="D131" s="143">
        <v>0</v>
      </c>
      <c r="E131" s="143">
        <v>0</v>
      </c>
      <c r="F131" s="143">
        <v>0</v>
      </c>
      <c r="G131" s="143" t="s">
        <v>194</v>
      </c>
      <c r="H131" s="162" t="s">
        <v>194</v>
      </c>
    </row>
    <row r="132" spans="1:8" ht="15" customHeight="1" x14ac:dyDescent="0.25">
      <c r="A132" s="143" t="s">
        <v>324</v>
      </c>
      <c r="B132" s="143" t="s">
        <v>326</v>
      </c>
      <c r="C132" s="143">
        <v>0.21677099999999999</v>
      </c>
      <c r="D132" s="143">
        <v>65.121600000000001</v>
      </c>
      <c r="E132" s="143">
        <v>7.9223600000000003</v>
      </c>
      <c r="F132" s="143">
        <v>0.115129</v>
      </c>
      <c r="G132" s="143" t="s">
        <v>194</v>
      </c>
      <c r="H132" s="143" t="s">
        <v>379</v>
      </c>
    </row>
    <row r="133" spans="1:8" ht="15" customHeight="1" x14ac:dyDescent="0.25">
      <c r="A133" s="143" t="s">
        <v>324</v>
      </c>
      <c r="B133" s="143" t="s">
        <v>328</v>
      </c>
      <c r="C133" s="143">
        <v>7.2237899999999994E-2</v>
      </c>
      <c r="D133" s="143">
        <v>3.88089</v>
      </c>
      <c r="E133" s="143">
        <v>5.9069200000000004</v>
      </c>
      <c r="F133" s="143">
        <v>0</v>
      </c>
      <c r="G133" s="143" t="s">
        <v>379</v>
      </c>
      <c r="H133" s="143" t="s">
        <v>379</v>
      </c>
    </row>
    <row r="134" spans="1:8" ht="15" customHeight="1" x14ac:dyDescent="0.25">
      <c r="A134" s="143" t="s">
        <v>324</v>
      </c>
      <c r="B134" s="143" t="s">
        <v>324</v>
      </c>
      <c r="C134" s="143">
        <v>0</v>
      </c>
      <c r="D134" s="143">
        <v>0</v>
      </c>
      <c r="E134" s="143">
        <v>0</v>
      </c>
      <c r="F134" s="143">
        <v>0</v>
      </c>
      <c r="G134" s="143" t="s">
        <v>194</v>
      </c>
      <c r="H134" s="162" t="s">
        <v>194</v>
      </c>
    </row>
    <row r="135" spans="1:8" ht="15" customHeight="1" x14ac:dyDescent="0.25">
      <c r="A135" s="143" t="s">
        <v>324</v>
      </c>
      <c r="B135" s="143" t="s">
        <v>329</v>
      </c>
      <c r="C135" s="143">
        <v>0</v>
      </c>
      <c r="D135" s="143">
        <v>0</v>
      </c>
      <c r="E135" s="143">
        <v>0</v>
      </c>
      <c r="F135" s="143">
        <v>0</v>
      </c>
      <c r="G135" s="143" t="s">
        <v>194</v>
      </c>
      <c r="H135" s="162" t="s">
        <v>194</v>
      </c>
    </row>
    <row r="136" spans="1:8" ht="15" customHeight="1" x14ac:dyDescent="0.25">
      <c r="A136" s="143" t="s">
        <v>324</v>
      </c>
      <c r="B136" s="143" t="s">
        <v>330</v>
      </c>
      <c r="C136" s="143">
        <v>0</v>
      </c>
      <c r="D136" s="143">
        <v>0</v>
      </c>
      <c r="E136" s="143">
        <v>0</v>
      </c>
      <c r="F136" s="143">
        <v>0</v>
      </c>
      <c r="G136" s="143" t="s">
        <v>194</v>
      </c>
      <c r="H136" s="162" t="s">
        <v>194</v>
      </c>
    </row>
    <row r="137" spans="1:8" ht="15" customHeight="1" x14ac:dyDescent="0.25">
      <c r="A137" s="143" t="s">
        <v>324</v>
      </c>
      <c r="B137" s="143" t="s">
        <v>331</v>
      </c>
      <c r="C137" s="143">
        <v>0</v>
      </c>
      <c r="D137" s="143">
        <v>0</v>
      </c>
      <c r="E137" s="143">
        <v>0</v>
      </c>
      <c r="F137" s="143">
        <v>0</v>
      </c>
      <c r="G137" s="143" t="s">
        <v>194</v>
      </c>
      <c r="H137" s="162" t="s">
        <v>194</v>
      </c>
    </row>
    <row r="138" spans="1:8" ht="15" customHeight="1" x14ac:dyDescent="0.25">
      <c r="A138" s="143" t="s">
        <v>332</v>
      </c>
      <c r="B138" s="143" t="s">
        <v>333</v>
      </c>
      <c r="C138" s="143">
        <v>0.11376500000000001</v>
      </c>
      <c r="D138" s="143">
        <v>15.958600000000001</v>
      </c>
      <c r="E138" s="143">
        <v>9.1673799999999996</v>
      </c>
      <c r="F138" s="143">
        <v>3.0377100000000001E-2</v>
      </c>
      <c r="G138" s="143" t="s">
        <v>379</v>
      </c>
      <c r="H138" s="143" t="s">
        <v>379</v>
      </c>
    </row>
    <row r="139" spans="1:8" ht="15" customHeight="1" x14ac:dyDescent="0.25">
      <c r="A139" s="143" t="s">
        <v>332</v>
      </c>
      <c r="B139" s="143" t="s">
        <v>334</v>
      </c>
      <c r="C139" s="143">
        <v>7.8107800000000005E-2</v>
      </c>
      <c r="D139" s="143">
        <v>9.5684500000000003</v>
      </c>
      <c r="E139" s="143">
        <v>1.6845000000000001</v>
      </c>
      <c r="F139" s="143">
        <v>2.5436199999999999E-2</v>
      </c>
      <c r="G139" s="143" t="s">
        <v>379</v>
      </c>
      <c r="H139" s="143" t="s">
        <v>379</v>
      </c>
    </row>
    <row r="140" spans="1:8" ht="15" customHeight="1" x14ac:dyDescent="0.25">
      <c r="A140" s="143" t="s">
        <v>335</v>
      </c>
      <c r="B140" s="143" t="s">
        <v>336</v>
      </c>
      <c r="C140" s="143">
        <v>6.1173699999999998E-2</v>
      </c>
      <c r="D140" s="143">
        <v>6.0328600000000003</v>
      </c>
      <c r="E140" s="143">
        <v>10.694800000000001</v>
      </c>
      <c r="F140" s="143">
        <v>0</v>
      </c>
      <c r="G140" s="143" t="s">
        <v>194</v>
      </c>
      <c r="H140" s="143" t="s">
        <v>379</v>
      </c>
    </row>
    <row r="141" spans="1:8" ht="15" customHeight="1" x14ac:dyDescent="0.25">
      <c r="A141" s="143" t="s">
        <v>337</v>
      </c>
      <c r="B141" s="143" t="s">
        <v>338</v>
      </c>
      <c r="C141" s="143">
        <v>0.136492</v>
      </c>
      <c r="D141" s="143">
        <v>24.0245</v>
      </c>
      <c r="E141" s="143">
        <v>10.9512</v>
      </c>
      <c r="F141" s="143">
        <v>3.0816699999999999E-2</v>
      </c>
      <c r="G141" s="143" t="s">
        <v>379</v>
      </c>
      <c r="H141" s="143" t="s">
        <v>379</v>
      </c>
    </row>
    <row r="142" spans="1:8" ht="15" customHeight="1" x14ac:dyDescent="0.25">
      <c r="A142" s="143" t="s">
        <v>337</v>
      </c>
      <c r="B142" s="143" t="s">
        <v>339</v>
      </c>
      <c r="C142" s="143">
        <v>0.26883699999999999</v>
      </c>
      <c r="D142" s="143">
        <v>47.651200000000003</v>
      </c>
      <c r="E142" s="143">
        <v>14.8378</v>
      </c>
      <c r="F142" s="143">
        <v>0.14099600000000001</v>
      </c>
      <c r="G142" s="143" t="s">
        <v>379</v>
      </c>
      <c r="H142" s="143" t="s">
        <v>379</v>
      </c>
    </row>
    <row r="143" spans="1:8" ht="15" customHeight="1" x14ac:dyDescent="0.25">
      <c r="A143" s="143" t="s">
        <v>337</v>
      </c>
      <c r="B143" s="143" t="s">
        <v>340</v>
      </c>
      <c r="C143" s="143">
        <v>0.34431499999999998</v>
      </c>
      <c r="D143" s="143">
        <v>56.631599999999999</v>
      </c>
      <c r="E143" s="143">
        <v>15.7874</v>
      </c>
      <c r="F143" s="143">
        <v>0.16361200000000001</v>
      </c>
      <c r="G143" s="143" t="s">
        <v>379</v>
      </c>
      <c r="H143" s="143" t="s">
        <v>379</v>
      </c>
    </row>
    <row r="144" spans="1:8" ht="15" customHeight="1" x14ac:dyDescent="0.25">
      <c r="A144" s="143" t="s">
        <v>341</v>
      </c>
      <c r="B144" s="143" t="s">
        <v>342</v>
      </c>
      <c r="C144" s="143">
        <v>9.0389999999999998E-2</v>
      </c>
      <c r="D144" s="143">
        <v>101.444</v>
      </c>
      <c r="E144" s="143">
        <v>4.7256499999999999</v>
      </c>
      <c r="F144" s="143">
        <v>1.3587600000000001E-3</v>
      </c>
      <c r="G144" s="143" t="s">
        <v>379</v>
      </c>
      <c r="H144" s="143" t="s">
        <v>379</v>
      </c>
    </row>
    <row r="145" spans="1:8" ht="15" customHeight="1" x14ac:dyDescent="0.25">
      <c r="A145" s="143" t="s">
        <v>343</v>
      </c>
      <c r="B145" s="143" t="s">
        <v>344</v>
      </c>
      <c r="C145" s="143">
        <v>0.166161</v>
      </c>
      <c r="D145" s="143">
        <v>51.086300000000001</v>
      </c>
      <c r="E145" s="143">
        <v>7.9993600000000002</v>
      </c>
      <c r="F145" s="143">
        <v>1.1488099999999999E-2</v>
      </c>
      <c r="G145" s="143" t="s">
        <v>194</v>
      </c>
      <c r="H145" s="143" t="s">
        <v>379</v>
      </c>
    </row>
    <row r="146" spans="1:8" ht="15" customHeight="1" x14ac:dyDescent="0.25">
      <c r="A146" s="143" t="s">
        <v>345</v>
      </c>
      <c r="B146" s="143" t="s">
        <v>346</v>
      </c>
      <c r="C146" s="143">
        <v>0.20399</v>
      </c>
      <c r="D146" s="143">
        <v>7.5695499999999996</v>
      </c>
      <c r="E146" s="143">
        <v>14.017200000000001</v>
      </c>
      <c r="F146" s="143">
        <v>2.88588E-3</v>
      </c>
      <c r="G146" s="143" t="s">
        <v>194</v>
      </c>
      <c r="H146" s="143" t="s">
        <v>379</v>
      </c>
    </row>
    <row r="147" spans="1:8" ht="15" customHeight="1" x14ac:dyDescent="0.25">
      <c r="A147" s="143" t="s">
        <v>345</v>
      </c>
      <c r="B147" s="143" t="s">
        <v>347</v>
      </c>
      <c r="C147" s="143">
        <v>1.44814</v>
      </c>
      <c r="D147" s="143">
        <v>549.90200000000004</v>
      </c>
      <c r="E147" s="143">
        <v>54.185099999999998</v>
      </c>
      <c r="F147" s="143">
        <v>1.5839599999999999E-2</v>
      </c>
      <c r="G147" s="143" t="s">
        <v>194</v>
      </c>
      <c r="H147" s="143" t="s">
        <v>379</v>
      </c>
    </row>
    <row r="148" spans="1:8" ht="15" customHeight="1" x14ac:dyDescent="0.25">
      <c r="A148" s="143" t="s">
        <v>348</v>
      </c>
      <c r="B148" s="143" t="s">
        <v>349</v>
      </c>
      <c r="C148" s="143">
        <v>0.15521799999999999</v>
      </c>
      <c r="D148" s="143">
        <v>25.213799999999999</v>
      </c>
      <c r="E148" s="143">
        <v>8.0285799999999998</v>
      </c>
      <c r="F148" s="143">
        <v>3.6027200000000002E-2</v>
      </c>
      <c r="G148" s="143" t="s">
        <v>379</v>
      </c>
      <c r="H148" s="143" t="s">
        <v>379</v>
      </c>
    </row>
    <row r="149" spans="1:8" ht="15" customHeight="1" x14ac:dyDescent="0.25">
      <c r="A149" s="143" t="s">
        <v>348</v>
      </c>
      <c r="B149" s="143" t="s">
        <v>350</v>
      </c>
      <c r="C149" s="143">
        <v>0.12710199999999999</v>
      </c>
      <c r="D149" s="143">
        <v>20.4756</v>
      </c>
      <c r="E149" s="143">
        <v>9.2443100000000005</v>
      </c>
      <c r="F149" s="143">
        <v>2.77986E-2</v>
      </c>
      <c r="G149" s="143" t="s">
        <v>379</v>
      </c>
      <c r="H149" s="143" t="s">
        <v>379</v>
      </c>
    </row>
    <row r="150" spans="1:8" ht="15" customHeight="1" x14ac:dyDescent="0.25">
      <c r="A150" s="143" t="s">
        <v>348</v>
      </c>
      <c r="B150" s="143" t="s">
        <v>351</v>
      </c>
      <c r="C150" s="143">
        <v>0.17220299999999999</v>
      </c>
      <c r="D150" s="143">
        <v>32.482999999999997</v>
      </c>
      <c r="E150" s="143">
        <v>9.6652000000000005</v>
      </c>
      <c r="F150" s="143">
        <v>6.8420700000000001E-2</v>
      </c>
      <c r="G150" s="143" t="s">
        <v>379</v>
      </c>
      <c r="H150" s="143" t="s">
        <v>379</v>
      </c>
    </row>
    <row r="151" spans="1:8" ht="15" customHeight="1" x14ac:dyDescent="0.25">
      <c r="A151" s="143" t="s">
        <v>348</v>
      </c>
      <c r="B151" s="143" t="s">
        <v>352</v>
      </c>
      <c r="C151" s="143">
        <v>0.17802599999999999</v>
      </c>
      <c r="D151" s="143">
        <v>29.973299999999998</v>
      </c>
      <c r="E151" s="143">
        <v>7.9977</v>
      </c>
      <c r="F151" s="143">
        <v>5.1295399999999998E-2</v>
      </c>
      <c r="G151" s="143" t="s">
        <v>379</v>
      </c>
      <c r="H151" s="143" t="s">
        <v>379</v>
      </c>
    </row>
    <row r="152" spans="1:8" ht="15" customHeight="1" x14ac:dyDescent="0.25">
      <c r="A152" s="143" t="s">
        <v>353</v>
      </c>
      <c r="B152" s="143" t="s">
        <v>78</v>
      </c>
      <c r="C152" s="143">
        <v>7.7061900000000003E-2</v>
      </c>
      <c r="D152" s="143">
        <v>13.5288</v>
      </c>
      <c r="E152" s="143">
        <v>10.316800000000001</v>
      </c>
      <c r="F152" s="143">
        <v>1.9530100000000002E-2</v>
      </c>
      <c r="G152" s="143" t="s">
        <v>194</v>
      </c>
      <c r="H152" s="143" t="s">
        <v>379</v>
      </c>
    </row>
    <row r="153" spans="1:8" ht="15" customHeight="1" x14ac:dyDescent="0.25">
      <c r="A153" s="143" t="s">
        <v>77</v>
      </c>
      <c r="B153" s="159" t="s">
        <v>79</v>
      </c>
      <c r="C153" s="143">
        <v>0</v>
      </c>
      <c r="D153" s="143">
        <v>0</v>
      </c>
      <c r="E153" s="143">
        <v>0</v>
      </c>
      <c r="F153" s="143">
        <v>0</v>
      </c>
      <c r="G153" s="143" t="s">
        <v>194</v>
      </c>
      <c r="H153" s="162" t="s">
        <v>194</v>
      </c>
    </row>
    <row r="154" spans="1:8" ht="15" customHeight="1" x14ac:dyDescent="0.25">
      <c r="A154" s="143" t="s">
        <v>354</v>
      </c>
      <c r="B154" s="143" t="s">
        <v>355</v>
      </c>
      <c r="C154" s="143">
        <v>7.6287999999999995E-2</v>
      </c>
      <c r="D154" s="143">
        <v>7.4157099999999998</v>
      </c>
      <c r="E154" s="143">
        <v>9.0249900000000007</v>
      </c>
      <c r="F154" s="143">
        <v>6.0020400000000002E-3</v>
      </c>
      <c r="G154" s="143" t="s">
        <v>379</v>
      </c>
      <c r="H154" s="143" t="s">
        <v>379</v>
      </c>
    </row>
    <row r="155" spans="1:8" ht="15" customHeight="1" x14ac:dyDescent="0.25">
      <c r="A155" s="143" t="s">
        <v>1134</v>
      </c>
      <c r="B155" s="143" t="s">
        <v>63</v>
      </c>
      <c r="C155" s="143">
        <v>0</v>
      </c>
      <c r="D155" s="143">
        <v>0</v>
      </c>
      <c r="E155" s="143">
        <v>0</v>
      </c>
      <c r="F155" s="143">
        <v>0</v>
      </c>
      <c r="G155" s="143" t="s">
        <v>194</v>
      </c>
      <c r="H155" s="162" t="s">
        <v>194</v>
      </c>
    </row>
    <row r="156" spans="1:8" ht="15" customHeight="1" x14ac:dyDescent="0.25">
      <c r="A156" s="143" t="s">
        <v>356</v>
      </c>
      <c r="B156" s="143" t="s">
        <v>357</v>
      </c>
      <c r="C156" s="143">
        <v>0.16745699999999999</v>
      </c>
      <c r="D156" s="143">
        <v>56.367699999999999</v>
      </c>
      <c r="E156" s="143">
        <v>9.4693100000000001</v>
      </c>
      <c r="F156" s="143">
        <v>1.17705E-2</v>
      </c>
      <c r="G156" s="143" t="s">
        <v>379</v>
      </c>
      <c r="H156" s="143" t="s">
        <v>379</v>
      </c>
    </row>
    <row r="157" spans="1:8" ht="15" customHeight="1" x14ac:dyDescent="0.25">
      <c r="A157" s="143" t="s">
        <v>358</v>
      </c>
      <c r="B157" s="143" t="s">
        <v>359</v>
      </c>
      <c r="C157" s="143">
        <v>9.9837999999999996E-2</v>
      </c>
      <c r="D157" s="143">
        <v>96.654700000000005</v>
      </c>
      <c r="E157" s="143">
        <v>5.87174</v>
      </c>
      <c r="F157" s="143">
        <v>4.6521799999999997E-3</v>
      </c>
      <c r="G157" s="143" t="s">
        <v>379</v>
      </c>
      <c r="H157" s="143" t="s">
        <v>379</v>
      </c>
    </row>
    <row r="158" spans="1:8" ht="15" customHeight="1" x14ac:dyDescent="0.25">
      <c r="A158" s="143" t="s">
        <v>358</v>
      </c>
      <c r="B158" s="143" t="s">
        <v>360</v>
      </c>
      <c r="C158" s="143">
        <v>7.6952900000000005E-2</v>
      </c>
      <c r="D158" s="143">
        <v>5.6906100000000004</v>
      </c>
      <c r="E158" s="143">
        <v>10.001200000000001</v>
      </c>
      <c r="F158" s="143">
        <v>0</v>
      </c>
      <c r="G158" s="143" t="s">
        <v>194</v>
      </c>
      <c r="H158" s="143" t="s">
        <v>379</v>
      </c>
    </row>
    <row r="159" spans="1:8" ht="15" customHeight="1" x14ac:dyDescent="0.25">
      <c r="A159" s="143" t="s">
        <v>362</v>
      </c>
      <c r="B159" s="143" t="s">
        <v>363</v>
      </c>
      <c r="C159" s="143">
        <v>1.5989099999999999E-2</v>
      </c>
      <c r="D159" s="143">
        <v>0.214388</v>
      </c>
      <c r="E159" s="143">
        <v>0.60380299999999998</v>
      </c>
      <c r="F159" s="143">
        <v>2.8238500000000001E-4</v>
      </c>
      <c r="G159" s="143" t="s">
        <v>379</v>
      </c>
      <c r="H159" s="143" t="s">
        <v>379</v>
      </c>
    </row>
    <row r="160" spans="1:8" ht="15" customHeight="1" x14ac:dyDescent="0.25">
      <c r="A160" s="143" t="s">
        <v>364</v>
      </c>
      <c r="B160" s="143" t="s">
        <v>365</v>
      </c>
      <c r="C160" s="143">
        <v>0.14491399999999999</v>
      </c>
      <c r="D160" s="143">
        <v>19.665099999999999</v>
      </c>
      <c r="E160" s="143">
        <v>10.045999999999999</v>
      </c>
      <c r="F160" s="143">
        <v>1.66473E-2</v>
      </c>
      <c r="G160" s="143" t="s">
        <v>194</v>
      </c>
      <c r="H160" s="143" t="s">
        <v>379</v>
      </c>
    </row>
    <row r="161" spans="1:8" ht="15" customHeight="1" x14ac:dyDescent="0.25">
      <c r="A161" s="143" t="s">
        <v>366</v>
      </c>
      <c r="B161" s="143" t="s">
        <v>367</v>
      </c>
      <c r="C161" s="143">
        <v>0</v>
      </c>
      <c r="D161" s="143">
        <v>0</v>
      </c>
      <c r="E161" s="143">
        <v>0</v>
      </c>
      <c r="F161" s="143">
        <v>0</v>
      </c>
      <c r="G161" s="143" t="s">
        <v>379</v>
      </c>
      <c r="H161" s="162" t="s">
        <v>194</v>
      </c>
    </row>
    <row r="162" spans="1:8" ht="15" customHeight="1" x14ac:dyDescent="0.25">
      <c r="A162" s="143" t="s">
        <v>366</v>
      </c>
      <c r="B162" s="143" t="s">
        <v>368</v>
      </c>
      <c r="C162" s="143">
        <v>0.160965</v>
      </c>
      <c r="D162" s="143">
        <v>9.5484899999999993</v>
      </c>
      <c r="E162" s="143">
        <v>12.0413</v>
      </c>
      <c r="F162" s="143">
        <v>1.1535800000000001E-2</v>
      </c>
      <c r="G162" s="143" t="s">
        <v>379</v>
      </c>
      <c r="H162" s="143" t="s">
        <v>379</v>
      </c>
    </row>
    <row r="163" spans="1:8" ht="15" customHeight="1" x14ac:dyDescent="0.25">
      <c r="A163" s="143" t="s">
        <v>366</v>
      </c>
      <c r="B163" s="143" t="s">
        <v>369</v>
      </c>
      <c r="C163" s="143">
        <v>9.9132300000000007E-2</v>
      </c>
      <c r="D163" s="143">
        <v>6.2797200000000002</v>
      </c>
      <c r="E163" s="143">
        <v>9.9527999999999999</v>
      </c>
      <c r="F163" s="143">
        <v>3.65782E-3</v>
      </c>
      <c r="G163" s="143" t="s">
        <v>379</v>
      </c>
      <c r="H163" s="143" t="s">
        <v>379</v>
      </c>
    </row>
    <row r="164" spans="1:8" ht="15" customHeight="1" x14ac:dyDescent="0.25">
      <c r="A164" s="143" t="s">
        <v>366</v>
      </c>
      <c r="B164" s="143" t="s">
        <v>370</v>
      </c>
      <c r="C164" s="143">
        <v>0.13127900000000001</v>
      </c>
      <c r="D164" s="143">
        <v>28.7864</v>
      </c>
      <c r="E164" s="143">
        <v>6.6769299999999996</v>
      </c>
      <c r="F164" s="143">
        <v>1.9982E-2</v>
      </c>
      <c r="G164" s="143" t="s">
        <v>379</v>
      </c>
      <c r="H164" s="143" t="s">
        <v>379</v>
      </c>
    </row>
    <row r="165" spans="1:8" ht="15" customHeight="1" x14ac:dyDescent="0.25">
      <c r="A165" s="143" t="s">
        <v>371</v>
      </c>
      <c r="B165" s="143" t="s">
        <v>81</v>
      </c>
      <c r="C165" s="143">
        <v>0.15041499999999999</v>
      </c>
      <c r="D165" s="143">
        <v>20.239599999999999</v>
      </c>
      <c r="E165" s="143">
        <v>11.8004</v>
      </c>
      <c r="F165" s="143">
        <v>2.00901E-2</v>
      </c>
      <c r="G165" s="143" t="s">
        <v>194</v>
      </c>
      <c r="H165" s="143" t="s">
        <v>379</v>
      </c>
    </row>
    <row r="166" spans="1:8" ht="15" customHeight="1" x14ac:dyDescent="0.25">
      <c r="A166" s="143" t="s">
        <v>80</v>
      </c>
      <c r="B166" s="159" t="s">
        <v>82</v>
      </c>
      <c r="C166" s="143">
        <v>0</v>
      </c>
      <c r="D166" s="143">
        <v>0</v>
      </c>
      <c r="E166" s="143">
        <v>0</v>
      </c>
      <c r="F166" s="143">
        <v>0</v>
      </c>
      <c r="G166" s="143" t="s">
        <v>194</v>
      </c>
      <c r="H166" s="162" t="s">
        <v>194</v>
      </c>
    </row>
    <row r="167" spans="1:8" ht="15" customHeight="1" x14ac:dyDescent="0.25">
      <c r="A167" s="143" t="s">
        <v>372</v>
      </c>
      <c r="B167" s="143" t="s">
        <v>373</v>
      </c>
      <c r="C167" s="143">
        <v>0.14960699999999999</v>
      </c>
      <c r="D167" s="143">
        <v>11.651300000000001</v>
      </c>
      <c r="E167" s="143">
        <v>9.6923100000000009</v>
      </c>
      <c r="F167" s="143">
        <v>1.51188E-2</v>
      </c>
      <c r="G167" s="143" t="s">
        <v>194</v>
      </c>
      <c r="H167" s="143" t="s">
        <v>379</v>
      </c>
    </row>
    <row r="168" spans="1:8" ht="15" customHeight="1" x14ac:dyDescent="0.25">
      <c r="A168" s="143" t="s">
        <v>372</v>
      </c>
      <c r="B168" s="143" t="s">
        <v>374</v>
      </c>
      <c r="C168" s="143">
        <v>0.159631</v>
      </c>
      <c r="D168" s="143">
        <v>56.293100000000003</v>
      </c>
      <c r="E168" s="143">
        <v>5.7362399999999996</v>
      </c>
      <c r="F168" s="143">
        <v>2.32248E-2</v>
      </c>
      <c r="G168" s="143" t="s">
        <v>379</v>
      </c>
      <c r="H168" s="143" t="s">
        <v>379</v>
      </c>
    </row>
    <row r="169" spans="1:8" ht="15" customHeight="1" x14ac:dyDescent="0.25">
      <c r="A169" s="143" t="s">
        <v>372</v>
      </c>
      <c r="B169" s="143" t="s">
        <v>375</v>
      </c>
      <c r="C169" s="143">
        <v>0.25990400000000002</v>
      </c>
      <c r="D169" s="143">
        <v>17.515899999999998</v>
      </c>
      <c r="E169" s="143">
        <v>20.465</v>
      </c>
      <c r="F169" s="143">
        <v>3.0434800000000001E-2</v>
      </c>
      <c r="G169" s="143" t="s">
        <v>194</v>
      </c>
      <c r="H169" s="143" t="s">
        <v>379</v>
      </c>
    </row>
    <row r="170" spans="1:8" ht="15" customHeight="1" x14ac:dyDescent="0.25">
      <c r="A170" s="143" t="s">
        <v>376</v>
      </c>
      <c r="B170" s="143" t="s">
        <v>377</v>
      </c>
      <c r="C170" s="143">
        <v>8.6381899999999998E-2</v>
      </c>
      <c r="D170" s="143">
        <v>4.0436699999999997</v>
      </c>
      <c r="E170" s="143">
        <v>6.5823299999999998</v>
      </c>
      <c r="F170" s="143">
        <v>3.6148399999999998E-3</v>
      </c>
      <c r="G170" s="143" t="s">
        <v>379</v>
      </c>
      <c r="H170" s="143" t="s">
        <v>379</v>
      </c>
    </row>
    <row r="171" spans="1:8" ht="15" customHeight="1" x14ac:dyDescent="0.25">
      <c r="A171" s="143" t="s">
        <v>83</v>
      </c>
      <c r="B171" s="159" t="s">
        <v>85</v>
      </c>
      <c r="C171" s="143">
        <v>0</v>
      </c>
      <c r="D171" s="143">
        <v>0</v>
      </c>
      <c r="E171" s="143">
        <v>0</v>
      </c>
      <c r="F171" s="143">
        <v>0</v>
      </c>
      <c r="G171" s="143" t="s">
        <v>194</v>
      </c>
      <c r="H171" s="162" t="s">
        <v>194</v>
      </c>
    </row>
    <row r="172" spans="1:8" ht="15" customHeight="1" x14ac:dyDescent="0.25">
      <c r="A172" s="143" t="s">
        <v>378</v>
      </c>
      <c r="B172" s="143" t="s">
        <v>84</v>
      </c>
      <c r="C172" s="143">
        <v>0.16819999999999999</v>
      </c>
      <c r="D172" s="143">
        <v>26.191099999999999</v>
      </c>
      <c r="E172" s="143">
        <v>9.9466900000000003</v>
      </c>
      <c r="F172" s="143">
        <v>3.7897199999999999E-2</v>
      </c>
      <c r="G172" s="143" t="s">
        <v>194</v>
      </c>
      <c r="H172" s="143" t="s">
        <v>379</v>
      </c>
    </row>
    <row r="173" spans="1:8" ht="15" customHeight="1" x14ac:dyDescent="0.25">
      <c r="A173" s="143" t="s">
        <v>380</v>
      </c>
      <c r="B173" s="143" t="s">
        <v>381</v>
      </c>
      <c r="C173" s="143">
        <v>3.15584E-2</v>
      </c>
      <c r="D173" s="143">
        <v>4.9435799999999999</v>
      </c>
      <c r="E173" s="143">
        <v>1.5379799999999999</v>
      </c>
      <c r="F173" s="143">
        <v>1.6313000000000001E-2</v>
      </c>
      <c r="G173" s="143" t="s">
        <v>379</v>
      </c>
      <c r="H173" s="143" t="s">
        <v>379</v>
      </c>
    </row>
    <row r="174" spans="1:8" ht="15" customHeight="1" x14ac:dyDescent="0.25">
      <c r="A174" s="143" t="s">
        <v>86</v>
      </c>
      <c r="B174" s="159" t="s">
        <v>88</v>
      </c>
      <c r="C174" s="143">
        <v>0</v>
      </c>
      <c r="D174" s="143">
        <v>0</v>
      </c>
      <c r="E174" s="143">
        <v>0</v>
      </c>
      <c r="F174" s="143">
        <v>0</v>
      </c>
      <c r="G174" s="143" t="s">
        <v>194</v>
      </c>
      <c r="H174" s="162" t="s">
        <v>194</v>
      </c>
    </row>
    <row r="175" spans="1:8" ht="15" customHeight="1" x14ac:dyDescent="0.25">
      <c r="A175" s="143" t="s">
        <v>382</v>
      </c>
      <c r="B175" s="143" t="s">
        <v>87</v>
      </c>
      <c r="C175" s="143">
        <v>0.32860299999999998</v>
      </c>
      <c r="D175" s="143">
        <v>118.545</v>
      </c>
      <c r="E175" s="143">
        <v>10.9161</v>
      </c>
      <c r="F175" s="143">
        <v>4.7862500000000002E-2</v>
      </c>
      <c r="G175" s="143" t="s">
        <v>379</v>
      </c>
      <c r="H175" s="143" t="s">
        <v>379</v>
      </c>
    </row>
    <row r="176" spans="1:8" ht="15" customHeight="1" x14ac:dyDescent="0.25">
      <c r="A176" s="143" t="s">
        <v>89</v>
      </c>
      <c r="B176" s="159" t="s">
        <v>88</v>
      </c>
      <c r="C176" s="143">
        <v>0</v>
      </c>
      <c r="D176" s="143">
        <v>0</v>
      </c>
      <c r="E176" s="143">
        <v>0</v>
      </c>
      <c r="F176" s="143">
        <v>0</v>
      </c>
      <c r="G176" s="143" t="s">
        <v>194</v>
      </c>
      <c r="H176" s="162" t="s">
        <v>194</v>
      </c>
    </row>
    <row r="177" spans="1:8" ht="15" customHeight="1" x14ac:dyDescent="0.25">
      <c r="A177" s="143" t="s">
        <v>383</v>
      </c>
      <c r="B177" s="143" t="s">
        <v>384</v>
      </c>
      <c r="C177" s="143">
        <v>0.11104</v>
      </c>
      <c r="D177" s="143">
        <v>41.955399999999997</v>
      </c>
      <c r="E177" s="143">
        <v>5.29406</v>
      </c>
      <c r="F177" s="143">
        <v>1.2768E-2</v>
      </c>
      <c r="G177" s="143" t="s">
        <v>379</v>
      </c>
      <c r="H177" s="143" t="s">
        <v>379</v>
      </c>
    </row>
    <row r="178" spans="1:8" ht="15" customHeight="1" x14ac:dyDescent="0.25">
      <c r="A178" s="143" t="s">
        <v>1135</v>
      </c>
      <c r="B178" s="143" t="s">
        <v>1136</v>
      </c>
      <c r="C178" s="143">
        <v>0</v>
      </c>
      <c r="D178" s="143">
        <v>0</v>
      </c>
      <c r="E178" s="143">
        <v>0</v>
      </c>
      <c r="F178" s="143">
        <v>0</v>
      </c>
      <c r="G178" s="143" t="s">
        <v>194</v>
      </c>
      <c r="H178" s="162" t="s">
        <v>194</v>
      </c>
    </row>
    <row r="179" spans="1:8" ht="15" customHeight="1" x14ac:dyDescent="0.25">
      <c r="A179" s="143" t="s">
        <v>385</v>
      </c>
      <c r="B179" s="143" t="s">
        <v>386</v>
      </c>
      <c r="C179" s="143">
        <v>0.16110099999999999</v>
      </c>
      <c r="D179" s="143">
        <v>9.4329800000000006</v>
      </c>
      <c r="E179" s="143">
        <v>5.1782399999999997</v>
      </c>
      <c r="F179" s="143">
        <v>1.2286200000000001E-2</v>
      </c>
      <c r="G179" s="143" t="s">
        <v>194</v>
      </c>
      <c r="H179" s="143" t="s">
        <v>379</v>
      </c>
    </row>
    <row r="180" spans="1:8" ht="15" customHeight="1" x14ac:dyDescent="0.25">
      <c r="A180" s="143" t="s">
        <v>387</v>
      </c>
      <c r="B180" s="143" t="s">
        <v>388</v>
      </c>
      <c r="C180" s="143">
        <v>0.28053400000000001</v>
      </c>
      <c r="D180" s="143">
        <v>126.28100000000001</v>
      </c>
      <c r="E180" s="143">
        <v>5.18865</v>
      </c>
      <c r="F180" s="143">
        <v>6.0873400000000001E-2</v>
      </c>
      <c r="G180" s="143" t="s">
        <v>379</v>
      </c>
      <c r="H180" s="143" t="s">
        <v>379</v>
      </c>
    </row>
    <row r="181" spans="1:8" ht="15" customHeight="1" x14ac:dyDescent="0.25">
      <c r="A181" s="143" t="s">
        <v>387</v>
      </c>
      <c r="B181" s="143" t="s">
        <v>389</v>
      </c>
      <c r="C181" s="143">
        <v>0.65499700000000005</v>
      </c>
      <c r="D181" s="143">
        <v>105.455</v>
      </c>
      <c r="E181" s="143">
        <v>17.995699999999999</v>
      </c>
      <c r="F181" s="143">
        <v>0.17930199999999999</v>
      </c>
      <c r="G181" s="143" t="s">
        <v>379</v>
      </c>
      <c r="H181" s="143" t="s">
        <v>379</v>
      </c>
    </row>
    <row r="182" spans="1:8" ht="15" customHeight="1" x14ac:dyDescent="0.25">
      <c r="A182" s="143" t="s">
        <v>390</v>
      </c>
      <c r="B182" s="143" t="s">
        <v>391</v>
      </c>
      <c r="C182" s="143">
        <v>0.27183600000000002</v>
      </c>
      <c r="D182" s="143">
        <v>10.2934</v>
      </c>
      <c r="E182" s="143">
        <v>4.5726100000000001</v>
      </c>
      <c r="F182" s="143">
        <v>2.89318E-3</v>
      </c>
      <c r="G182" s="143" t="s">
        <v>194</v>
      </c>
      <c r="H182" s="143" t="s">
        <v>379</v>
      </c>
    </row>
    <row r="183" spans="1:8" ht="15" customHeight="1" x14ac:dyDescent="0.25">
      <c r="A183" s="143" t="s">
        <v>390</v>
      </c>
      <c r="B183" s="143" t="s">
        <v>393</v>
      </c>
      <c r="C183" s="143">
        <v>0.14219899999999999</v>
      </c>
      <c r="D183" s="143">
        <v>4.7392500000000002</v>
      </c>
      <c r="E183" s="143">
        <v>11.2302</v>
      </c>
      <c r="F183" s="143">
        <v>0</v>
      </c>
      <c r="G183" s="143" t="s">
        <v>379</v>
      </c>
      <c r="H183" s="143" t="s">
        <v>379</v>
      </c>
    </row>
    <row r="184" spans="1:8" ht="15" customHeight="1" x14ac:dyDescent="0.25">
      <c r="A184" s="143" t="s">
        <v>1137</v>
      </c>
      <c r="B184" s="143" t="s">
        <v>1138</v>
      </c>
      <c r="C184" s="143">
        <v>0</v>
      </c>
      <c r="D184" s="143">
        <v>0</v>
      </c>
      <c r="E184" s="143">
        <v>0</v>
      </c>
      <c r="F184" s="143">
        <v>0</v>
      </c>
      <c r="G184" s="143" t="s">
        <v>194</v>
      </c>
      <c r="H184" s="162" t="s">
        <v>194</v>
      </c>
    </row>
    <row r="185" spans="1:8" ht="15" customHeight="1" x14ac:dyDescent="0.25">
      <c r="A185" s="143" t="s">
        <v>394</v>
      </c>
      <c r="B185" s="143" t="s">
        <v>395</v>
      </c>
      <c r="C185" s="143">
        <v>0.20696600000000001</v>
      </c>
      <c r="D185" s="143">
        <v>16.4209</v>
      </c>
      <c r="E185" s="143">
        <v>17.592700000000001</v>
      </c>
      <c r="F185" s="143">
        <v>3.4632000000000003E-2</v>
      </c>
      <c r="G185" s="143" t="s">
        <v>194</v>
      </c>
      <c r="H185" s="143" t="s">
        <v>379</v>
      </c>
    </row>
    <row r="186" spans="1:8" ht="15" customHeight="1" x14ac:dyDescent="0.25">
      <c r="A186" s="143" t="s">
        <v>394</v>
      </c>
      <c r="B186" s="143" t="s">
        <v>396</v>
      </c>
      <c r="C186" s="143">
        <v>0.20006199999999999</v>
      </c>
      <c r="D186" s="143">
        <v>11.444100000000001</v>
      </c>
      <c r="E186" s="143">
        <v>17.4621</v>
      </c>
      <c r="F186" s="143">
        <v>1.9430699999999999E-2</v>
      </c>
      <c r="G186" s="143" t="s">
        <v>194</v>
      </c>
      <c r="H186" s="143" t="s">
        <v>379</v>
      </c>
    </row>
    <row r="187" spans="1:8" ht="15" customHeight="1" x14ac:dyDescent="0.25">
      <c r="A187" s="143" t="s">
        <v>394</v>
      </c>
      <c r="B187" s="143" t="s">
        <v>397</v>
      </c>
      <c r="C187" s="143">
        <v>0.17079</v>
      </c>
      <c r="D187" s="143">
        <v>10.4893</v>
      </c>
      <c r="E187" s="143">
        <v>16.866</v>
      </c>
      <c r="F187" s="143">
        <v>1.79261E-2</v>
      </c>
      <c r="G187" s="143" t="s">
        <v>194</v>
      </c>
      <c r="H187" s="143" t="s">
        <v>379</v>
      </c>
    </row>
    <row r="188" spans="1:8" ht="15" customHeight="1" x14ac:dyDescent="0.25">
      <c r="A188" s="143" t="s">
        <v>394</v>
      </c>
      <c r="B188" s="143" t="s">
        <v>398</v>
      </c>
      <c r="C188" s="143">
        <v>0.13517399999999999</v>
      </c>
      <c r="D188" s="143">
        <v>21.789000000000001</v>
      </c>
      <c r="E188" s="143">
        <v>7.3974099999999998</v>
      </c>
      <c r="F188" s="143">
        <v>3.01424E-2</v>
      </c>
      <c r="G188" s="143" t="s">
        <v>379</v>
      </c>
      <c r="H188" s="143" t="s">
        <v>379</v>
      </c>
    </row>
    <row r="189" spans="1:8" ht="15" customHeight="1" x14ac:dyDescent="0.25">
      <c r="A189" s="143" t="s">
        <v>399</v>
      </c>
      <c r="B189" s="143" t="s">
        <v>400</v>
      </c>
      <c r="C189" s="143">
        <v>0.11178100000000001</v>
      </c>
      <c r="D189" s="143">
        <v>85.353700000000003</v>
      </c>
      <c r="E189" s="143">
        <v>5.0381600000000004</v>
      </c>
      <c r="F189" s="143">
        <v>5.1787100000000004E-3</v>
      </c>
      <c r="G189" s="143" t="s">
        <v>379</v>
      </c>
      <c r="H189" s="143" t="s">
        <v>379</v>
      </c>
    </row>
    <row r="190" spans="1:8" ht="15" customHeight="1" x14ac:dyDescent="0.25">
      <c r="A190" s="143" t="s">
        <v>401</v>
      </c>
      <c r="B190" s="143" t="s">
        <v>402</v>
      </c>
      <c r="C190" s="143">
        <v>0.24146699999999999</v>
      </c>
      <c r="D190" s="143">
        <v>48.029000000000003</v>
      </c>
      <c r="E190" s="143">
        <v>12.480600000000001</v>
      </c>
      <c r="F190" s="143">
        <v>0.11666700000000001</v>
      </c>
      <c r="G190" s="143" t="s">
        <v>194</v>
      </c>
      <c r="H190" s="143" t="s">
        <v>379</v>
      </c>
    </row>
    <row r="191" spans="1:8" ht="15" customHeight="1" x14ac:dyDescent="0.25">
      <c r="A191" s="143" t="s">
        <v>401</v>
      </c>
      <c r="B191" s="143" t="s">
        <v>403</v>
      </c>
      <c r="C191" s="143">
        <v>0.176347</v>
      </c>
      <c r="D191" s="143">
        <v>35.49</v>
      </c>
      <c r="E191" s="143">
        <v>11.5158</v>
      </c>
      <c r="F191" s="143">
        <v>8.0008099999999999E-2</v>
      </c>
      <c r="G191" s="143" t="s">
        <v>194</v>
      </c>
      <c r="H191" s="143" t="s">
        <v>379</v>
      </c>
    </row>
    <row r="192" spans="1:8" ht="15" customHeight="1" x14ac:dyDescent="0.25">
      <c r="A192" s="143" t="s">
        <v>401</v>
      </c>
      <c r="B192" s="143" t="s">
        <v>404</v>
      </c>
      <c r="C192" s="143">
        <v>0.42294100000000001</v>
      </c>
      <c r="D192" s="143">
        <v>9.4465800000000009</v>
      </c>
      <c r="E192" s="143">
        <v>19.4575</v>
      </c>
      <c r="F192" s="143">
        <v>9.2552599999999995E-3</v>
      </c>
      <c r="G192" s="143" t="s">
        <v>194</v>
      </c>
      <c r="H192" s="143" t="s">
        <v>379</v>
      </c>
    </row>
    <row r="193" spans="1:8" ht="15" customHeight="1" x14ac:dyDescent="0.25">
      <c r="A193" s="143" t="s">
        <v>401</v>
      </c>
      <c r="B193" s="143" t="s">
        <v>405</v>
      </c>
      <c r="C193" s="143">
        <v>0.23441400000000001</v>
      </c>
      <c r="D193" s="143">
        <v>18.9817</v>
      </c>
      <c r="E193" s="143">
        <v>21.139199999999999</v>
      </c>
      <c r="F193" s="143">
        <v>3.2886699999999998E-2</v>
      </c>
      <c r="G193" s="143" t="s">
        <v>194</v>
      </c>
      <c r="H193" s="143" t="s">
        <v>379</v>
      </c>
    </row>
    <row r="194" spans="1:8" ht="15" customHeight="1" x14ac:dyDescent="0.25">
      <c r="A194" s="143" t="s">
        <v>401</v>
      </c>
      <c r="B194" s="143" t="s">
        <v>406</v>
      </c>
      <c r="C194" s="143">
        <v>0.75653700000000002</v>
      </c>
      <c r="D194" s="143">
        <v>5.5423200000000001</v>
      </c>
      <c r="E194" s="143">
        <v>28.6568</v>
      </c>
      <c r="F194" s="143">
        <v>3.4374499999999999E-3</v>
      </c>
      <c r="G194" s="143" t="s">
        <v>194</v>
      </c>
      <c r="H194" s="143" t="s">
        <v>379</v>
      </c>
    </row>
    <row r="195" spans="1:8" ht="15" customHeight="1" x14ac:dyDescent="0.25">
      <c r="A195" s="143" t="s">
        <v>401</v>
      </c>
      <c r="B195" s="143" t="s">
        <v>407</v>
      </c>
      <c r="C195" s="143">
        <v>0.955789</v>
      </c>
      <c r="D195" s="143">
        <v>24.015699999999999</v>
      </c>
      <c r="E195" s="143">
        <v>31.8339</v>
      </c>
      <c r="F195" s="143">
        <v>5.4588100000000001E-2</v>
      </c>
      <c r="G195" s="143" t="s">
        <v>194</v>
      </c>
      <c r="H195" s="143" t="s">
        <v>379</v>
      </c>
    </row>
    <row r="196" spans="1:8" ht="15" customHeight="1" x14ac:dyDescent="0.25">
      <c r="A196" s="143" t="s">
        <v>401</v>
      </c>
      <c r="B196" s="143" t="s">
        <v>408</v>
      </c>
      <c r="C196" s="143">
        <v>7.9085299999999997E-2</v>
      </c>
      <c r="D196" s="143">
        <v>8.1467700000000001</v>
      </c>
      <c r="E196" s="143">
        <v>11.2537</v>
      </c>
      <c r="F196" s="143">
        <v>4.1540199999999996E-3</v>
      </c>
      <c r="G196" s="143" t="s">
        <v>194</v>
      </c>
      <c r="H196" s="143" t="s">
        <v>379</v>
      </c>
    </row>
    <row r="197" spans="1:8" ht="15" customHeight="1" x14ac:dyDescent="0.25">
      <c r="A197" s="143" t="s">
        <v>401</v>
      </c>
      <c r="B197" s="143" t="s">
        <v>409</v>
      </c>
      <c r="C197" s="143">
        <v>6.8823099999999998E-2</v>
      </c>
      <c r="D197" s="143">
        <v>6.3238099999999999</v>
      </c>
      <c r="E197" s="143">
        <v>10.0784</v>
      </c>
      <c r="F197" s="143">
        <v>1.5159500000000001E-3</v>
      </c>
      <c r="G197" s="143" t="s">
        <v>194</v>
      </c>
      <c r="H197" s="143" t="s">
        <v>379</v>
      </c>
    </row>
    <row r="198" spans="1:8" ht="15" customHeight="1" x14ac:dyDescent="0.25">
      <c r="A198" s="143" t="s">
        <v>401</v>
      </c>
      <c r="B198" s="143" t="s">
        <v>410</v>
      </c>
      <c r="C198" s="143">
        <v>7.54769E-2</v>
      </c>
      <c r="D198" s="143">
        <v>8.6513899999999992</v>
      </c>
      <c r="E198" s="143">
        <v>9.9345700000000008</v>
      </c>
      <c r="F198" s="143">
        <v>8.2277700000000006E-3</v>
      </c>
      <c r="G198" s="143" t="s">
        <v>194</v>
      </c>
      <c r="H198" s="143" t="s">
        <v>379</v>
      </c>
    </row>
    <row r="199" spans="1:8" ht="15" customHeight="1" x14ac:dyDescent="0.25">
      <c r="A199" s="143" t="s">
        <v>411</v>
      </c>
      <c r="B199" s="143" t="s">
        <v>412</v>
      </c>
      <c r="C199" s="143">
        <v>0.16898099999999999</v>
      </c>
      <c r="D199" s="143">
        <v>8.4911200000000004</v>
      </c>
      <c r="E199" s="143">
        <v>17.678899999999999</v>
      </c>
      <c r="F199" s="143">
        <v>1.0338200000000001E-2</v>
      </c>
      <c r="G199" s="143" t="s">
        <v>194</v>
      </c>
      <c r="H199" s="143" t="s">
        <v>379</v>
      </c>
    </row>
    <row r="200" spans="1:8" ht="15" customHeight="1" x14ac:dyDescent="0.25">
      <c r="A200" s="143" t="s">
        <v>413</v>
      </c>
      <c r="B200" s="143" t="s">
        <v>93</v>
      </c>
      <c r="C200" s="143">
        <v>0</v>
      </c>
      <c r="D200" s="143">
        <v>0</v>
      </c>
      <c r="E200" s="143">
        <v>0</v>
      </c>
      <c r="F200" s="143">
        <v>0</v>
      </c>
      <c r="G200" s="143" t="s">
        <v>194</v>
      </c>
      <c r="H200" s="162" t="s">
        <v>194</v>
      </c>
    </row>
    <row r="201" spans="1:8" ht="15" customHeight="1" x14ac:dyDescent="0.25">
      <c r="A201" s="143" t="s">
        <v>92</v>
      </c>
      <c r="B201" s="143" t="s">
        <v>1139</v>
      </c>
      <c r="C201" s="143">
        <v>0</v>
      </c>
      <c r="D201" s="143">
        <v>0</v>
      </c>
      <c r="E201" s="143">
        <v>0</v>
      </c>
      <c r="F201" s="143">
        <v>0</v>
      </c>
      <c r="G201" s="143" t="s">
        <v>194</v>
      </c>
      <c r="H201" s="162" t="s">
        <v>194</v>
      </c>
    </row>
    <row r="202" spans="1:8" ht="15" customHeight="1" x14ac:dyDescent="0.25">
      <c r="A202" s="143" t="s">
        <v>92</v>
      </c>
      <c r="B202" s="159" t="s">
        <v>94</v>
      </c>
      <c r="C202" s="143">
        <v>0</v>
      </c>
      <c r="D202" s="143">
        <v>0</v>
      </c>
      <c r="E202" s="143">
        <v>0</v>
      </c>
      <c r="F202" s="143">
        <v>0</v>
      </c>
      <c r="G202" s="143" t="s">
        <v>194</v>
      </c>
      <c r="H202" s="162" t="s">
        <v>194</v>
      </c>
    </row>
    <row r="203" spans="1:8" ht="15" customHeight="1" x14ac:dyDescent="0.25">
      <c r="A203" s="143" t="s">
        <v>414</v>
      </c>
      <c r="B203" s="143" t="s">
        <v>415</v>
      </c>
      <c r="C203" s="143">
        <v>0.15681899999999999</v>
      </c>
      <c r="D203" s="143">
        <v>33.445799999999998</v>
      </c>
      <c r="E203" s="143">
        <v>10.144600000000001</v>
      </c>
      <c r="F203" s="143">
        <v>8.8097099999999998E-2</v>
      </c>
      <c r="G203" s="143" t="s">
        <v>379</v>
      </c>
      <c r="H203" s="143" t="s">
        <v>379</v>
      </c>
    </row>
    <row r="204" spans="1:8" ht="15" customHeight="1" x14ac:dyDescent="0.25">
      <c r="A204" s="143" t="s">
        <v>414</v>
      </c>
      <c r="B204" s="143" t="s">
        <v>416</v>
      </c>
      <c r="C204" s="143">
        <v>0.189529</v>
      </c>
      <c r="D204" s="143">
        <v>21.193300000000001</v>
      </c>
      <c r="E204" s="143">
        <v>16.305800000000001</v>
      </c>
      <c r="F204" s="143">
        <v>5.4905799999999998E-2</v>
      </c>
      <c r="G204" s="143" t="s">
        <v>379</v>
      </c>
      <c r="H204" s="143" t="s">
        <v>379</v>
      </c>
    </row>
    <row r="205" spans="1:8" ht="15" customHeight="1" x14ac:dyDescent="0.25">
      <c r="A205" s="143" t="s">
        <v>414</v>
      </c>
      <c r="B205" s="143" t="s">
        <v>417</v>
      </c>
      <c r="C205" s="143">
        <v>9.2851699999999995E-2</v>
      </c>
      <c r="D205" s="143">
        <v>5.5020699999999998</v>
      </c>
      <c r="E205" s="143">
        <v>13.0876</v>
      </c>
      <c r="F205" s="143">
        <v>1.8756700000000001E-3</v>
      </c>
      <c r="G205" s="143" t="s">
        <v>379</v>
      </c>
      <c r="H205" s="143" t="s">
        <v>379</v>
      </c>
    </row>
    <row r="206" spans="1:8" ht="15" customHeight="1" x14ac:dyDescent="0.25">
      <c r="A206" s="143" t="s">
        <v>414</v>
      </c>
      <c r="B206" s="143" t="s">
        <v>418</v>
      </c>
      <c r="C206" s="143">
        <v>0.16611300000000001</v>
      </c>
      <c r="D206" s="143">
        <v>15.107100000000001</v>
      </c>
      <c r="E206" s="143">
        <v>16.2348</v>
      </c>
      <c r="F206" s="143">
        <v>3.4859899999999999E-2</v>
      </c>
      <c r="G206" s="143" t="s">
        <v>379</v>
      </c>
      <c r="H206" s="143" t="s">
        <v>379</v>
      </c>
    </row>
    <row r="207" spans="1:8" ht="15" customHeight="1" x14ac:dyDescent="0.25">
      <c r="A207" s="143" t="s">
        <v>1140</v>
      </c>
      <c r="B207" s="143" t="s">
        <v>96</v>
      </c>
      <c r="C207" s="143">
        <v>0</v>
      </c>
      <c r="D207" s="143">
        <v>0</v>
      </c>
      <c r="E207" s="143">
        <v>0</v>
      </c>
      <c r="F207" s="143">
        <v>0</v>
      </c>
      <c r="G207" s="143" t="s">
        <v>194</v>
      </c>
      <c r="H207" s="162" t="s">
        <v>194</v>
      </c>
    </row>
    <row r="208" spans="1:8" ht="15" customHeight="1" x14ac:dyDescent="0.25">
      <c r="A208" s="143" t="s">
        <v>95</v>
      </c>
      <c r="B208" s="159" t="s">
        <v>97</v>
      </c>
      <c r="C208" s="143">
        <v>0</v>
      </c>
      <c r="D208" s="143">
        <v>0</v>
      </c>
      <c r="E208" s="143">
        <v>0</v>
      </c>
      <c r="F208" s="143">
        <v>0</v>
      </c>
      <c r="G208" s="143" t="s">
        <v>194</v>
      </c>
      <c r="H208" s="162" t="s">
        <v>194</v>
      </c>
    </row>
    <row r="209" spans="1:8" ht="15" customHeight="1" x14ac:dyDescent="0.25">
      <c r="A209" s="143" t="s">
        <v>419</v>
      </c>
      <c r="B209" s="143" t="s">
        <v>420</v>
      </c>
      <c r="C209" s="143">
        <v>0.12053</v>
      </c>
      <c r="D209" s="143">
        <v>22.3172</v>
      </c>
      <c r="E209" s="143">
        <v>1.02132</v>
      </c>
      <c r="F209" s="143">
        <v>4.4662E-2</v>
      </c>
      <c r="G209" s="143" t="s">
        <v>379</v>
      </c>
      <c r="H209" s="143" t="s">
        <v>379</v>
      </c>
    </row>
    <row r="210" spans="1:8" ht="15" customHeight="1" x14ac:dyDescent="0.25">
      <c r="A210" s="143" t="s">
        <v>421</v>
      </c>
      <c r="B210" s="143" t="s">
        <v>422</v>
      </c>
      <c r="C210" s="143">
        <v>0.43176300000000001</v>
      </c>
      <c r="D210" s="143">
        <v>102.815</v>
      </c>
      <c r="E210" s="143">
        <v>2.2031800000000001</v>
      </c>
      <c r="F210" s="143">
        <v>0</v>
      </c>
      <c r="G210" s="143" t="s">
        <v>379</v>
      </c>
      <c r="H210" s="143" t="s">
        <v>379</v>
      </c>
    </row>
    <row r="211" spans="1:8" ht="15" customHeight="1" x14ac:dyDescent="0.25">
      <c r="A211" s="143" t="s">
        <v>421</v>
      </c>
      <c r="B211" s="143" t="s">
        <v>423</v>
      </c>
      <c r="C211" s="143">
        <v>0.10184600000000001</v>
      </c>
      <c r="D211" s="143">
        <v>174.24799999999999</v>
      </c>
      <c r="E211" s="143">
        <v>4.1048600000000004</v>
      </c>
      <c r="F211" s="143">
        <v>1.28938E-2</v>
      </c>
      <c r="G211" s="143" t="s">
        <v>194</v>
      </c>
      <c r="H211" s="143" t="s">
        <v>379</v>
      </c>
    </row>
    <row r="212" spans="1:8" ht="15" customHeight="1" x14ac:dyDescent="0.25">
      <c r="A212" s="143" t="s">
        <v>424</v>
      </c>
      <c r="B212" s="143" t="s">
        <v>425</v>
      </c>
      <c r="C212" s="143">
        <v>0.146619</v>
      </c>
      <c r="D212" s="143">
        <v>24.9649</v>
      </c>
      <c r="E212" s="143">
        <v>9.7927499999999998</v>
      </c>
      <c r="F212" s="143">
        <v>3.71048E-2</v>
      </c>
      <c r="G212" s="143" t="s">
        <v>379</v>
      </c>
      <c r="H212" s="143" t="s">
        <v>379</v>
      </c>
    </row>
    <row r="213" spans="1:8" ht="15" customHeight="1" x14ac:dyDescent="0.25">
      <c r="A213" s="143" t="s">
        <v>426</v>
      </c>
      <c r="B213" s="143" t="s">
        <v>427</v>
      </c>
      <c r="C213" s="143">
        <v>5.1945400000000003E-2</v>
      </c>
      <c r="D213" s="143">
        <v>10.838100000000001</v>
      </c>
      <c r="E213" s="143">
        <v>1.0233000000000001</v>
      </c>
      <c r="F213" s="143">
        <v>3.0536199999999999E-2</v>
      </c>
      <c r="G213" s="143" t="s">
        <v>379</v>
      </c>
      <c r="H213" s="143" t="s">
        <v>379</v>
      </c>
    </row>
    <row r="214" spans="1:8" ht="15" customHeight="1" x14ac:dyDescent="0.25">
      <c r="A214" s="143" t="s">
        <v>426</v>
      </c>
      <c r="B214" s="143" t="s">
        <v>428</v>
      </c>
      <c r="C214" s="143">
        <v>0.34472999999999998</v>
      </c>
      <c r="D214" s="143">
        <v>3.5890900000000001</v>
      </c>
      <c r="E214" s="143">
        <v>12.5618</v>
      </c>
      <c r="F214" s="143">
        <v>0</v>
      </c>
      <c r="G214" s="143" t="s">
        <v>379</v>
      </c>
      <c r="H214" s="143" t="s">
        <v>379</v>
      </c>
    </row>
    <row r="215" spans="1:8" ht="15" customHeight="1" x14ac:dyDescent="0.25">
      <c r="A215" s="143" t="s">
        <v>426</v>
      </c>
      <c r="B215" s="143" t="s">
        <v>429</v>
      </c>
      <c r="C215" s="143">
        <v>8.9625999999999997E-2</v>
      </c>
      <c r="D215" s="143">
        <v>2.9685999999999999</v>
      </c>
      <c r="E215" s="143">
        <v>1.6952</v>
      </c>
      <c r="F215" s="143">
        <v>7.7380399999999998E-3</v>
      </c>
      <c r="G215" s="143" t="s">
        <v>379</v>
      </c>
      <c r="H215" s="143" t="s">
        <v>379</v>
      </c>
    </row>
    <row r="216" spans="1:8" ht="15" customHeight="1" x14ac:dyDescent="0.25">
      <c r="A216" s="143" t="s">
        <v>426</v>
      </c>
      <c r="B216" s="143" t="s">
        <v>430</v>
      </c>
      <c r="C216" s="143" t="s">
        <v>1119</v>
      </c>
      <c r="D216" s="143" t="s">
        <v>1119</v>
      </c>
      <c r="E216" s="143" t="s">
        <v>1119</v>
      </c>
      <c r="F216" s="143" t="s">
        <v>1119</v>
      </c>
      <c r="G216" s="143" t="s">
        <v>379</v>
      </c>
      <c r="H216" s="162" t="s">
        <v>194</v>
      </c>
    </row>
    <row r="217" spans="1:8" ht="15" customHeight="1" x14ac:dyDescent="0.25">
      <c r="A217" s="143" t="s">
        <v>426</v>
      </c>
      <c r="B217" s="143" t="s">
        <v>431</v>
      </c>
      <c r="C217" s="143">
        <v>7.9844600000000002E-2</v>
      </c>
      <c r="D217" s="143">
        <v>17.119599999999998</v>
      </c>
      <c r="E217" s="143">
        <v>1.9630300000000001</v>
      </c>
      <c r="F217" s="143">
        <v>5.0934699999999999E-2</v>
      </c>
      <c r="G217" s="143" t="s">
        <v>379</v>
      </c>
      <c r="H217" s="143" t="s">
        <v>379</v>
      </c>
    </row>
    <row r="218" spans="1:8" ht="15" customHeight="1" x14ac:dyDescent="0.25">
      <c r="A218" s="143" t="s">
        <v>432</v>
      </c>
      <c r="B218" s="143" t="s">
        <v>433</v>
      </c>
      <c r="C218" s="143">
        <v>0.15060000000000001</v>
      </c>
      <c r="D218" s="143">
        <v>132.03899999999999</v>
      </c>
      <c r="E218" s="143">
        <v>7.5058999999999996</v>
      </c>
      <c r="F218" s="143">
        <v>1.6263199999999998E-2</v>
      </c>
      <c r="G218" s="143" t="s">
        <v>194</v>
      </c>
      <c r="H218" s="143" t="s">
        <v>379</v>
      </c>
    </row>
    <row r="219" spans="1:8" ht="15" customHeight="1" x14ac:dyDescent="0.25">
      <c r="A219" s="143" t="s">
        <v>434</v>
      </c>
      <c r="B219" s="143" t="s">
        <v>435</v>
      </c>
      <c r="C219" s="143">
        <v>9.6592600000000001E-2</v>
      </c>
      <c r="D219" s="143">
        <v>10.7654</v>
      </c>
      <c r="E219" s="143">
        <v>9.1851900000000004</v>
      </c>
      <c r="F219" s="143">
        <v>2.28206E-2</v>
      </c>
      <c r="G219" s="143" t="s">
        <v>194</v>
      </c>
      <c r="H219" s="143" t="s">
        <v>379</v>
      </c>
    </row>
    <row r="220" spans="1:8" ht="15" customHeight="1" x14ac:dyDescent="0.25">
      <c r="A220" s="143" t="s">
        <v>434</v>
      </c>
      <c r="B220" s="143" t="s">
        <v>436</v>
      </c>
      <c r="C220" s="143">
        <v>0.172571</v>
      </c>
      <c r="D220" s="143">
        <v>27.8476</v>
      </c>
      <c r="E220" s="143">
        <v>10.419</v>
      </c>
      <c r="F220" s="143">
        <v>5.8861999999999998E-2</v>
      </c>
      <c r="G220" s="143" t="s">
        <v>194</v>
      </c>
      <c r="H220" s="143" t="s">
        <v>379</v>
      </c>
    </row>
    <row r="221" spans="1:8" ht="15" customHeight="1" x14ac:dyDescent="0.25">
      <c r="A221" s="143" t="s">
        <v>434</v>
      </c>
      <c r="B221" s="143" t="s">
        <v>437</v>
      </c>
      <c r="C221" s="143">
        <v>8.62377E-2</v>
      </c>
      <c r="D221" s="143">
        <v>7.0313800000000004</v>
      </c>
      <c r="E221" s="143">
        <v>8.3378800000000002</v>
      </c>
      <c r="F221" s="143">
        <v>6.4264400000000003E-3</v>
      </c>
      <c r="G221" s="143" t="s">
        <v>194</v>
      </c>
      <c r="H221" s="143" t="s">
        <v>379</v>
      </c>
    </row>
    <row r="222" spans="1:8" ht="15" customHeight="1" x14ac:dyDescent="0.25">
      <c r="A222" s="143" t="s">
        <v>438</v>
      </c>
      <c r="B222" s="143" t="s">
        <v>439</v>
      </c>
      <c r="C222" s="121">
        <v>5.7063000000000003E-2</v>
      </c>
      <c r="D222" s="121">
        <v>13.400399999999999</v>
      </c>
      <c r="E222" s="121">
        <v>1.5060800000000001</v>
      </c>
      <c r="F222" s="121">
        <v>4.4263299999999998E-2</v>
      </c>
      <c r="G222" s="143" t="s">
        <v>194</v>
      </c>
      <c r="H222" s="162" t="s">
        <v>379</v>
      </c>
    </row>
    <row r="223" spans="1:8" ht="15" customHeight="1" x14ac:dyDescent="0.25">
      <c r="A223" s="143" t="s">
        <v>438</v>
      </c>
      <c r="B223" s="143" t="s">
        <v>440</v>
      </c>
      <c r="C223" s="143">
        <v>7.0390899999999996E-3</v>
      </c>
      <c r="D223" s="143">
        <v>0.17101</v>
      </c>
      <c r="E223" s="143">
        <v>0.60260599999999998</v>
      </c>
      <c r="F223" s="143">
        <v>0</v>
      </c>
      <c r="G223" s="143" t="s">
        <v>379</v>
      </c>
      <c r="H223" s="143" t="s">
        <v>379</v>
      </c>
    </row>
    <row r="224" spans="1:8" ht="15" customHeight="1" x14ac:dyDescent="0.25">
      <c r="A224" s="143" t="s">
        <v>438</v>
      </c>
      <c r="B224" s="143" t="s">
        <v>441</v>
      </c>
      <c r="C224" s="143">
        <v>0.174732</v>
      </c>
      <c r="D224" s="143">
        <v>22.071400000000001</v>
      </c>
      <c r="E224" s="143">
        <v>16.25</v>
      </c>
      <c r="F224" s="143">
        <v>4.4275799999999997E-2</v>
      </c>
      <c r="G224" s="143" t="s">
        <v>379</v>
      </c>
      <c r="H224" s="143" t="s">
        <v>379</v>
      </c>
    </row>
    <row r="225" spans="1:8" ht="15" customHeight="1" x14ac:dyDescent="0.25">
      <c r="A225" s="143" t="s">
        <v>137</v>
      </c>
      <c r="B225" s="143" t="s">
        <v>138</v>
      </c>
      <c r="C225" s="143">
        <v>0</v>
      </c>
      <c r="D225" s="143">
        <v>0</v>
      </c>
      <c r="E225" s="143">
        <v>0</v>
      </c>
      <c r="F225" s="143">
        <v>0</v>
      </c>
      <c r="G225" s="143" t="s">
        <v>194</v>
      </c>
      <c r="H225" s="162" t="s">
        <v>194</v>
      </c>
    </row>
    <row r="226" spans="1:8" ht="15" customHeight="1" x14ac:dyDescent="0.25">
      <c r="A226" s="143" t="s">
        <v>442</v>
      </c>
      <c r="B226" s="143" t="s">
        <v>443</v>
      </c>
      <c r="C226" s="143">
        <v>5.5085200000000001E-2</v>
      </c>
      <c r="D226" s="143">
        <v>5.6014799999999996</v>
      </c>
      <c r="E226" s="143">
        <v>7.6503699999999997</v>
      </c>
      <c r="F226" s="143">
        <v>3.87712E-3</v>
      </c>
      <c r="G226" s="143" t="s">
        <v>379</v>
      </c>
      <c r="H226" s="143" t="s">
        <v>379</v>
      </c>
    </row>
    <row r="227" spans="1:8" ht="15" customHeight="1" x14ac:dyDescent="0.25">
      <c r="A227" s="143" t="s">
        <v>444</v>
      </c>
      <c r="B227" s="143" t="s">
        <v>445</v>
      </c>
      <c r="C227" s="143">
        <v>6.7336400000000005E-2</v>
      </c>
      <c r="D227" s="143">
        <v>7.31942</v>
      </c>
      <c r="E227" s="143">
        <v>9.1912599999999998</v>
      </c>
      <c r="F227" s="143">
        <v>6.0262500000000004E-3</v>
      </c>
      <c r="G227" s="143" t="s">
        <v>379</v>
      </c>
      <c r="H227" s="143" t="s">
        <v>379</v>
      </c>
    </row>
    <row r="228" spans="1:8" ht="15" customHeight="1" x14ac:dyDescent="0.25">
      <c r="A228" s="143" t="s">
        <v>444</v>
      </c>
      <c r="B228" s="143" t="s">
        <v>446</v>
      </c>
      <c r="C228" s="143">
        <v>0.18005599999999999</v>
      </c>
      <c r="D228" s="143">
        <v>6.8949400000000001</v>
      </c>
      <c r="E228" s="143">
        <v>17.482700000000001</v>
      </c>
      <c r="F228" s="143">
        <v>5.6836300000000003E-3</v>
      </c>
      <c r="G228" s="143" t="s">
        <v>379</v>
      </c>
      <c r="H228" s="143" t="s">
        <v>379</v>
      </c>
    </row>
    <row r="229" spans="1:8" ht="15" customHeight="1" x14ac:dyDescent="0.25">
      <c r="A229" s="143" t="s">
        <v>1141</v>
      </c>
      <c r="B229" s="143" t="s">
        <v>1142</v>
      </c>
      <c r="C229" s="143">
        <v>0</v>
      </c>
      <c r="D229" s="143">
        <v>0</v>
      </c>
      <c r="E229" s="143">
        <v>0</v>
      </c>
      <c r="F229" s="143">
        <v>0</v>
      </c>
      <c r="G229" s="143" t="s">
        <v>194</v>
      </c>
      <c r="H229" s="162" t="s">
        <v>194</v>
      </c>
    </row>
    <row r="230" spans="1:8" ht="15" customHeight="1" x14ac:dyDescent="0.25">
      <c r="A230" s="143" t="s">
        <v>447</v>
      </c>
      <c r="B230" s="143" t="s">
        <v>448</v>
      </c>
      <c r="C230" s="143">
        <v>0.13430700000000001</v>
      </c>
      <c r="D230" s="143">
        <v>57.757199999999997</v>
      </c>
      <c r="E230" s="143">
        <v>7.5542499999999997</v>
      </c>
      <c r="F230" s="143">
        <v>1.9531099999999999E-2</v>
      </c>
      <c r="G230" s="143" t="s">
        <v>379</v>
      </c>
      <c r="H230" s="143" t="s">
        <v>379</v>
      </c>
    </row>
    <row r="231" spans="1:8" ht="15" customHeight="1" x14ac:dyDescent="0.25">
      <c r="A231" s="143" t="s">
        <v>449</v>
      </c>
      <c r="B231" s="143" t="s">
        <v>450</v>
      </c>
      <c r="C231" s="143">
        <v>9.7415699999999994E-2</v>
      </c>
      <c r="D231" s="143">
        <v>10.741</v>
      </c>
      <c r="E231" s="143">
        <v>12.073</v>
      </c>
      <c r="F231" s="143">
        <v>4.1935499999999999E-3</v>
      </c>
      <c r="G231" s="143" t="s">
        <v>379</v>
      </c>
      <c r="H231" s="143" t="s">
        <v>379</v>
      </c>
    </row>
    <row r="232" spans="1:8" ht="15" customHeight="1" x14ac:dyDescent="0.25">
      <c r="A232" s="143" t="s">
        <v>451</v>
      </c>
      <c r="B232" s="143" t="s">
        <v>452</v>
      </c>
      <c r="C232" s="143">
        <v>0</v>
      </c>
      <c r="D232" s="143">
        <v>0</v>
      </c>
      <c r="E232" s="143">
        <v>0</v>
      </c>
      <c r="F232" s="143">
        <v>0</v>
      </c>
      <c r="G232" s="143" t="s">
        <v>194</v>
      </c>
      <c r="H232" s="162" t="s">
        <v>194</v>
      </c>
    </row>
    <row r="233" spans="1:8" ht="15" customHeight="1" x14ac:dyDescent="0.25">
      <c r="A233" s="143" t="s">
        <v>453</v>
      </c>
      <c r="B233" s="143" t="s">
        <v>454</v>
      </c>
      <c r="C233" s="143">
        <v>0.12781200000000001</v>
      </c>
      <c r="D233" s="143">
        <v>11.4201</v>
      </c>
      <c r="E233" s="143">
        <v>8.5174599999999998</v>
      </c>
      <c r="F233" s="143">
        <v>1.7739000000000001E-2</v>
      </c>
      <c r="G233" s="143" t="s">
        <v>379</v>
      </c>
      <c r="H233" s="143" t="s">
        <v>379</v>
      </c>
    </row>
    <row r="234" spans="1:8" ht="15" customHeight="1" x14ac:dyDescent="0.25">
      <c r="A234" s="143" t="s">
        <v>453</v>
      </c>
      <c r="B234" s="143" t="s">
        <v>126</v>
      </c>
      <c r="C234" s="143">
        <v>0</v>
      </c>
      <c r="D234" s="143">
        <v>0</v>
      </c>
      <c r="E234" s="143">
        <v>0</v>
      </c>
      <c r="F234" s="143">
        <v>0</v>
      </c>
      <c r="G234" s="143" t="s">
        <v>379</v>
      </c>
      <c r="H234" s="162" t="s">
        <v>194</v>
      </c>
    </row>
    <row r="235" spans="1:8" ht="15" customHeight="1" x14ac:dyDescent="0.25">
      <c r="A235" s="143" t="s">
        <v>453</v>
      </c>
      <c r="B235" s="143" t="s">
        <v>455</v>
      </c>
      <c r="C235" s="143">
        <v>0.20119200000000001</v>
      </c>
      <c r="D235" s="143">
        <v>107.276</v>
      </c>
      <c r="E235" s="143">
        <v>7.0889199999999999</v>
      </c>
      <c r="F235" s="143">
        <v>7.2165400000000005E-2</v>
      </c>
      <c r="G235" s="143" t="s">
        <v>379</v>
      </c>
      <c r="H235" s="143" t="s">
        <v>1294</v>
      </c>
    </row>
    <row r="236" spans="1:8" ht="15" customHeight="1" x14ac:dyDescent="0.25">
      <c r="A236" s="143" t="s">
        <v>453</v>
      </c>
      <c r="B236" s="143" t="s">
        <v>456</v>
      </c>
      <c r="C236" s="143">
        <v>0.123335</v>
      </c>
      <c r="D236" s="143">
        <v>75.087999999999994</v>
      </c>
      <c r="E236" s="143">
        <v>6.1700799999999996</v>
      </c>
      <c r="F236" s="143">
        <v>2.6933700000000001E-2</v>
      </c>
      <c r="G236" s="143" t="s">
        <v>379</v>
      </c>
      <c r="H236" s="143" t="s">
        <v>1294</v>
      </c>
    </row>
    <row r="237" spans="1:8" ht="15" customHeight="1" x14ac:dyDescent="0.25">
      <c r="A237" s="143" t="s">
        <v>457</v>
      </c>
      <c r="B237" s="143" t="s">
        <v>458</v>
      </c>
      <c r="C237" s="143">
        <v>3.5402299999999998E-2</v>
      </c>
      <c r="D237" s="143">
        <v>10.761799999999999</v>
      </c>
      <c r="E237" s="143">
        <v>3.49193</v>
      </c>
      <c r="F237" s="143">
        <v>3.0791400000000002E-3</v>
      </c>
      <c r="G237" s="143" t="s">
        <v>379</v>
      </c>
      <c r="H237" s="143" t="s">
        <v>1294</v>
      </c>
    </row>
    <row r="238" spans="1:8" ht="15" customHeight="1" x14ac:dyDescent="0.25">
      <c r="A238" s="143" t="s">
        <v>457</v>
      </c>
      <c r="B238" s="143" t="s">
        <v>459</v>
      </c>
      <c r="C238" s="143">
        <v>2.1118999999999999E-2</v>
      </c>
      <c r="D238" s="143">
        <v>2.5081099999999998</v>
      </c>
      <c r="E238" s="143">
        <v>4.3892100000000003</v>
      </c>
      <c r="F238" s="143">
        <v>0</v>
      </c>
      <c r="G238" s="143" t="s">
        <v>379</v>
      </c>
      <c r="H238" s="143" t="s">
        <v>1294</v>
      </c>
    </row>
    <row r="239" spans="1:8" ht="15" customHeight="1" x14ac:dyDescent="0.25">
      <c r="A239" s="143" t="s">
        <v>457</v>
      </c>
      <c r="B239" s="143" t="s">
        <v>460</v>
      </c>
      <c r="C239" s="143">
        <v>2.1118000000000001E-2</v>
      </c>
      <c r="D239" s="143">
        <v>2.5080800000000001</v>
      </c>
      <c r="E239" s="143">
        <v>4.3891499999999999</v>
      </c>
      <c r="F239" s="143">
        <v>0</v>
      </c>
      <c r="G239" s="143" t="s">
        <v>379</v>
      </c>
      <c r="H239" s="143" t="s">
        <v>1294</v>
      </c>
    </row>
    <row r="240" spans="1:8" ht="15" customHeight="1" x14ac:dyDescent="0.25">
      <c r="A240" s="143" t="s">
        <v>1143</v>
      </c>
      <c r="B240" s="143" t="s">
        <v>1144</v>
      </c>
      <c r="C240" s="143">
        <v>0</v>
      </c>
      <c r="D240" s="143">
        <v>0</v>
      </c>
      <c r="E240" s="143">
        <v>0</v>
      </c>
      <c r="F240" s="143">
        <v>0</v>
      </c>
      <c r="G240" s="143" t="s">
        <v>194</v>
      </c>
      <c r="H240" s="162" t="s">
        <v>194</v>
      </c>
    </row>
    <row r="241" spans="1:8" ht="15" customHeight="1" x14ac:dyDescent="0.25">
      <c r="A241" s="143" t="s">
        <v>98</v>
      </c>
      <c r="B241" s="159" t="s">
        <v>100</v>
      </c>
      <c r="C241" s="143">
        <v>0</v>
      </c>
      <c r="D241" s="143">
        <v>0</v>
      </c>
      <c r="E241" s="143">
        <v>0</v>
      </c>
      <c r="F241" s="143">
        <v>0</v>
      </c>
      <c r="G241" s="143" t="s">
        <v>194</v>
      </c>
      <c r="H241" s="162" t="s">
        <v>194</v>
      </c>
    </row>
    <row r="242" spans="1:8" ht="15" customHeight="1" x14ac:dyDescent="0.25">
      <c r="A242" s="143" t="s">
        <v>98</v>
      </c>
      <c r="B242" s="159" t="s">
        <v>102</v>
      </c>
      <c r="C242" s="143">
        <v>0</v>
      </c>
      <c r="D242" s="143">
        <v>0</v>
      </c>
      <c r="E242" s="143">
        <v>0</v>
      </c>
      <c r="F242" s="143">
        <v>0</v>
      </c>
      <c r="G242" s="143" t="s">
        <v>194</v>
      </c>
      <c r="H242" s="162" t="s">
        <v>194</v>
      </c>
    </row>
    <row r="243" spans="1:8" ht="15" customHeight="1" x14ac:dyDescent="0.25">
      <c r="A243" s="143" t="s">
        <v>98</v>
      </c>
      <c r="B243" s="159" t="s">
        <v>104</v>
      </c>
      <c r="C243" s="143">
        <v>0</v>
      </c>
      <c r="D243" s="143">
        <v>0</v>
      </c>
      <c r="E243" s="143">
        <v>0</v>
      </c>
      <c r="F243" s="143">
        <v>0</v>
      </c>
      <c r="G243" s="143" t="s">
        <v>194</v>
      </c>
      <c r="H243" s="162" t="s">
        <v>194</v>
      </c>
    </row>
    <row r="244" spans="1:8" ht="15" customHeight="1" x14ac:dyDescent="0.25">
      <c r="A244" s="143" t="s">
        <v>98</v>
      </c>
      <c r="B244" s="159" t="s">
        <v>106</v>
      </c>
      <c r="C244" s="143">
        <v>0</v>
      </c>
      <c r="D244" s="143">
        <v>0</v>
      </c>
      <c r="E244" s="143">
        <v>0</v>
      </c>
      <c r="F244" s="143">
        <v>0</v>
      </c>
      <c r="G244" s="143" t="s">
        <v>194</v>
      </c>
      <c r="H244" s="162" t="s">
        <v>194</v>
      </c>
    </row>
    <row r="245" spans="1:8" ht="15" customHeight="1" x14ac:dyDescent="0.25">
      <c r="A245" s="143" t="s">
        <v>98</v>
      </c>
      <c r="B245" s="159" t="s">
        <v>108</v>
      </c>
      <c r="C245" s="143">
        <v>0</v>
      </c>
      <c r="D245" s="143">
        <v>0</v>
      </c>
      <c r="E245" s="143">
        <v>0</v>
      </c>
      <c r="F245" s="143">
        <v>0</v>
      </c>
      <c r="G245" s="143" t="s">
        <v>194</v>
      </c>
      <c r="H245" s="162" t="s">
        <v>194</v>
      </c>
    </row>
    <row r="246" spans="1:8" ht="15" customHeight="1" x14ac:dyDescent="0.25">
      <c r="A246" s="143" t="s">
        <v>98</v>
      </c>
      <c r="B246" s="159" t="s">
        <v>110</v>
      </c>
      <c r="C246" s="143">
        <v>0</v>
      </c>
      <c r="D246" s="143">
        <v>0</v>
      </c>
      <c r="E246" s="143">
        <v>0</v>
      </c>
      <c r="F246" s="143">
        <v>0</v>
      </c>
      <c r="G246" s="143" t="s">
        <v>194</v>
      </c>
      <c r="H246" s="162" t="s">
        <v>194</v>
      </c>
    </row>
    <row r="247" spans="1:8" ht="15" customHeight="1" x14ac:dyDescent="0.25">
      <c r="A247" s="143" t="s">
        <v>98</v>
      </c>
      <c r="B247" s="159" t="s">
        <v>112</v>
      </c>
      <c r="C247" s="143">
        <v>0</v>
      </c>
      <c r="D247" s="143">
        <v>0</v>
      </c>
      <c r="E247" s="143">
        <v>0</v>
      </c>
      <c r="F247" s="143">
        <v>0</v>
      </c>
      <c r="G247" s="143" t="s">
        <v>194</v>
      </c>
      <c r="H247" s="162" t="s">
        <v>194</v>
      </c>
    </row>
    <row r="248" spans="1:8" ht="15" customHeight="1" x14ac:dyDescent="0.25">
      <c r="A248" s="143" t="s">
        <v>98</v>
      </c>
      <c r="B248" s="159" t="s">
        <v>114</v>
      </c>
      <c r="C248" s="143">
        <v>0</v>
      </c>
      <c r="D248" s="143">
        <v>0</v>
      </c>
      <c r="E248" s="143">
        <v>0</v>
      </c>
      <c r="F248" s="143">
        <v>0</v>
      </c>
      <c r="G248" s="143" t="s">
        <v>194</v>
      </c>
      <c r="H248" s="162" t="s">
        <v>194</v>
      </c>
    </row>
    <row r="249" spans="1:8" ht="15" customHeight="1" x14ac:dyDescent="0.25">
      <c r="A249" s="143" t="s">
        <v>461</v>
      </c>
      <c r="B249" s="143" t="s">
        <v>462</v>
      </c>
      <c r="C249" s="143">
        <v>0.24473700000000001</v>
      </c>
      <c r="D249" s="143">
        <v>30.4072</v>
      </c>
      <c r="E249" s="143">
        <v>17.302499999999998</v>
      </c>
      <c r="F249" s="143">
        <v>8.1330399999999997E-2</v>
      </c>
      <c r="G249" s="143" t="s">
        <v>379</v>
      </c>
      <c r="H249" s="143" t="s">
        <v>379</v>
      </c>
    </row>
    <row r="250" spans="1:8" ht="15" customHeight="1" x14ac:dyDescent="0.25">
      <c r="A250" s="143" t="s">
        <v>461</v>
      </c>
      <c r="B250" s="143" t="s">
        <v>464</v>
      </c>
      <c r="C250" s="143">
        <v>0.19753699999999999</v>
      </c>
      <c r="D250" s="143">
        <v>28.388100000000001</v>
      </c>
      <c r="E250" s="143">
        <v>13.496700000000001</v>
      </c>
      <c r="F250" s="143">
        <v>8.2490099999999997E-2</v>
      </c>
      <c r="G250" s="143" t="s">
        <v>379</v>
      </c>
      <c r="H250" s="143" t="s">
        <v>379</v>
      </c>
    </row>
    <row r="251" spans="1:8" ht="15" customHeight="1" x14ac:dyDescent="0.25">
      <c r="A251" s="143" t="s">
        <v>461</v>
      </c>
      <c r="B251" s="143" t="s">
        <v>465</v>
      </c>
      <c r="C251" s="143">
        <v>0.29239399999999999</v>
      </c>
      <c r="D251" s="143">
        <v>61.579599999999999</v>
      </c>
      <c r="E251" s="143">
        <v>12.8767</v>
      </c>
      <c r="F251" s="143">
        <v>0.15116399999999999</v>
      </c>
      <c r="G251" s="143" t="s">
        <v>379</v>
      </c>
      <c r="H251" s="143" t="s">
        <v>379</v>
      </c>
    </row>
    <row r="252" spans="1:8" ht="15" customHeight="1" x14ac:dyDescent="0.25">
      <c r="A252" s="143" t="s">
        <v>461</v>
      </c>
      <c r="B252" s="143" t="s">
        <v>101</v>
      </c>
      <c r="C252" s="143">
        <v>6.9220400000000001E-2</v>
      </c>
      <c r="D252" s="143">
        <v>5.7840600000000002</v>
      </c>
      <c r="E252" s="143">
        <v>8.6409400000000005</v>
      </c>
      <c r="F252" s="143">
        <v>2.3235299999999999E-3</v>
      </c>
      <c r="G252" s="143" t="s">
        <v>379</v>
      </c>
      <c r="H252" s="143" t="s">
        <v>379</v>
      </c>
    </row>
    <row r="253" spans="1:8" ht="15" customHeight="1" x14ac:dyDescent="0.25">
      <c r="A253" s="143" t="s">
        <v>461</v>
      </c>
      <c r="B253" s="143" t="s">
        <v>103</v>
      </c>
      <c r="C253" s="143">
        <v>0.54477900000000001</v>
      </c>
      <c r="D253" s="143">
        <v>180.89099999999999</v>
      </c>
      <c r="E253" s="143">
        <v>24.659400000000002</v>
      </c>
      <c r="F253" s="143">
        <v>1.26664E-2</v>
      </c>
      <c r="G253" s="143" t="s">
        <v>379</v>
      </c>
      <c r="H253" s="143" t="s">
        <v>379</v>
      </c>
    </row>
    <row r="254" spans="1:8" ht="15" customHeight="1" x14ac:dyDescent="0.25">
      <c r="A254" s="143" t="s">
        <v>461</v>
      </c>
      <c r="B254" s="143" t="s">
        <v>468</v>
      </c>
      <c r="C254" s="143">
        <v>0.247974</v>
      </c>
      <c r="D254" s="143">
        <v>24.950600000000001</v>
      </c>
      <c r="E254" s="143">
        <v>18.364599999999999</v>
      </c>
      <c r="F254" s="143">
        <v>5.79637E-2</v>
      </c>
      <c r="G254" s="143" t="s">
        <v>379</v>
      </c>
      <c r="H254" s="143" t="s">
        <v>379</v>
      </c>
    </row>
    <row r="255" spans="1:8" ht="15" customHeight="1" x14ac:dyDescent="0.25">
      <c r="A255" s="143" t="s">
        <v>461</v>
      </c>
      <c r="B255" s="143" t="s">
        <v>105</v>
      </c>
      <c r="C255" s="143">
        <v>0.15568799999999999</v>
      </c>
      <c r="D255" s="143">
        <v>8.4451199999999993</v>
      </c>
      <c r="E255" s="143">
        <v>15.945499999999999</v>
      </c>
      <c r="F255" s="143">
        <v>1.2973699999999999E-2</v>
      </c>
      <c r="G255" s="143" t="s">
        <v>379</v>
      </c>
      <c r="H255" s="143" t="s">
        <v>379</v>
      </c>
    </row>
    <row r="256" spans="1:8" ht="15" customHeight="1" x14ac:dyDescent="0.25">
      <c r="A256" s="143" t="s">
        <v>461</v>
      </c>
      <c r="B256" s="143" t="s">
        <v>107</v>
      </c>
      <c r="C256" s="143">
        <v>8.9399999999999993E-2</v>
      </c>
      <c r="D256" s="143">
        <v>6.1893099999999999</v>
      </c>
      <c r="E256" s="143">
        <v>10.464499999999999</v>
      </c>
      <c r="F256" s="143">
        <v>4.3789199999999997E-3</v>
      </c>
      <c r="G256" s="143" t="s">
        <v>379</v>
      </c>
      <c r="H256" s="143" t="s">
        <v>379</v>
      </c>
    </row>
    <row r="257" spans="1:8" ht="15" customHeight="1" x14ac:dyDescent="0.25">
      <c r="A257" s="143" t="s">
        <v>461</v>
      </c>
      <c r="B257" s="143" t="s">
        <v>109</v>
      </c>
      <c r="C257" s="143">
        <v>0.152451</v>
      </c>
      <c r="D257" s="143">
        <v>6.2602099999999998</v>
      </c>
      <c r="E257" s="143">
        <v>16.3489</v>
      </c>
      <c r="F257" s="143">
        <v>3.2463800000000001E-3</v>
      </c>
      <c r="G257" s="143" t="s">
        <v>379</v>
      </c>
      <c r="H257" s="143" t="s">
        <v>379</v>
      </c>
    </row>
    <row r="258" spans="1:8" ht="15" customHeight="1" x14ac:dyDescent="0.25">
      <c r="A258" s="143" t="s">
        <v>461</v>
      </c>
      <c r="B258" s="143" t="s">
        <v>111</v>
      </c>
      <c r="C258" s="143">
        <v>0.22401399999999999</v>
      </c>
      <c r="D258" s="143">
        <v>42.442599999999999</v>
      </c>
      <c r="E258" s="143">
        <v>13.283200000000001</v>
      </c>
      <c r="F258" s="143">
        <v>0.109136</v>
      </c>
      <c r="G258" s="143" t="s">
        <v>379</v>
      </c>
      <c r="H258" s="143" t="s">
        <v>379</v>
      </c>
    </row>
    <row r="259" spans="1:8" ht="15" customHeight="1" x14ac:dyDescent="0.25">
      <c r="A259" s="143" t="s">
        <v>461</v>
      </c>
      <c r="B259" s="143" t="s">
        <v>469</v>
      </c>
      <c r="C259" s="143">
        <v>0.14615700000000001</v>
      </c>
      <c r="D259" s="143">
        <v>24.435400000000001</v>
      </c>
      <c r="E259" s="143">
        <v>9.8613900000000001</v>
      </c>
      <c r="F259" s="143">
        <v>5.1912199999999999E-2</v>
      </c>
      <c r="G259" s="143" t="s">
        <v>379</v>
      </c>
      <c r="H259" s="143" t="s">
        <v>379</v>
      </c>
    </row>
    <row r="260" spans="1:8" ht="15" customHeight="1" x14ac:dyDescent="0.25">
      <c r="A260" s="143" t="s">
        <v>461</v>
      </c>
      <c r="B260" s="143" t="s">
        <v>470</v>
      </c>
      <c r="C260" s="143">
        <v>0.16236800000000001</v>
      </c>
      <c r="D260" s="143">
        <v>26.486799999999999</v>
      </c>
      <c r="E260" s="143">
        <v>11.270200000000001</v>
      </c>
      <c r="F260" s="143">
        <v>5.3277499999999998E-2</v>
      </c>
      <c r="G260" s="143" t="s">
        <v>379</v>
      </c>
      <c r="H260" s="143" t="s">
        <v>379</v>
      </c>
    </row>
    <row r="261" spans="1:8" ht="15" customHeight="1" x14ac:dyDescent="0.25">
      <c r="A261" s="143" t="s">
        <v>461</v>
      </c>
      <c r="B261" s="143" t="s">
        <v>113</v>
      </c>
      <c r="C261" s="143">
        <v>0.20510500000000001</v>
      </c>
      <c r="D261" s="143">
        <v>17.3108</v>
      </c>
      <c r="E261" s="143">
        <v>17.952000000000002</v>
      </c>
      <c r="F261" s="143">
        <v>3.6527400000000002E-2</v>
      </c>
      <c r="G261" s="143" t="s">
        <v>379</v>
      </c>
      <c r="H261" s="143" t="s">
        <v>379</v>
      </c>
    </row>
    <row r="262" spans="1:8" ht="15" customHeight="1" x14ac:dyDescent="0.25">
      <c r="A262" s="143" t="s">
        <v>474</v>
      </c>
      <c r="B262" s="143" t="s">
        <v>475</v>
      </c>
      <c r="C262" s="143">
        <v>0.11348900000000001</v>
      </c>
      <c r="D262" s="143">
        <v>15.807600000000001</v>
      </c>
      <c r="E262" s="143">
        <v>10.380800000000001</v>
      </c>
      <c r="F262" s="143">
        <v>8.5263100000000005E-3</v>
      </c>
      <c r="G262" s="143" t="s">
        <v>379</v>
      </c>
      <c r="H262" s="143" t="s">
        <v>379</v>
      </c>
    </row>
    <row r="263" spans="1:8" ht="15" customHeight="1" x14ac:dyDescent="0.25">
      <c r="A263" s="143" t="s">
        <v>474</v>
      </c>
      <c r="B263" s="143" t="s">
        <v>476</v>
      </c>
      <c r="C263" s="143">
        <v>0.121572</v>
      </c>
      <c r="D263" s="143">
        <v>17.851299999999998</v>
      </c>
      <c r="E263" s="143">
        <v>9.6226599999999998</v>
      </c>
      <c r="F263" s="143">
        <v>1.6866599999999999E-2</v>
      </c>
      <c r="G263" s="143" t="s">
        <v>379</v>
      </c>
      <c r="H263" s="143" t="s">
        <v>379</v>
      </c>
    </row>
    <row r="264" spans="1:8" ht="15" customHeight="1" x14ac:dyDescent="0.25">
      <c r="A264" s="143" t="s">
        <v>477</v>
      </c>
      <c r="B264" s="143" t="s">
        <v>478</v>
      </c>
      <c r="C264" s="143">
        <v>0.191857</v>
      </c>
      <c r="D264" s="143">
        <v>34.828099999999999</v>
      </c>
      <c r="E264" s="143">
        <v>11.738099999999999</v>
      </c>
      <c r="F264" s="143">
        <v>5.4272099999999997E-2</v>
      </c>
      <c r="G264" s="143" t="s">
        <v>379</v>
      </c>
      <c r="H264" s="143" t="s">
        <v>379</v>
      </c>
    </row>
    <row r="265" spans="1:8" ht="15" customHeight="1" x14ac:dyDescent="0.25">
      <c r="A265" s="143" t="s">
        <v>477</v>
      </c>
      <c r="B265" s="143" t="s">
        <v>479</v>
      </c>
      <c r="C265" s="143">
        <v>0.13836699999999999</v>
      </c>
      <c r="D265" s="143">
        <v>20.052800000000001</v>
      </c>
      <c r="E265" s="143">
        <v>6.1343100000000002</v>
      </c>
      <c r="F265" s="143">
        <v>2.4383999999999999E-2</v>
      </c>
      <c r="G265" s="143" t="s">
        <v>194</v>
      </c>
      <c r="H265" s="143" t="s">
        <v>379</v>
      </c>
    </row>
    <row r="266" spans="1:8" ht="15" customHeight="1" x14ac:dyDescent="0.25">
      <c r="A266" s="143" t="s">
        <v>480</v>
      </c>
      <c r="B266" s="143" t="s">
        <v>481</v>
      </c>
      <c r="C266" s="143">
        <v>0</v>
      </c>
      <c r="D266" s="143">
        <v>0</v>
      </c>
      <c r="E266" s="143">
        <v>0</v>
      </c>
      <c r="F266" s="143">
        <v>0</v>
      </c>
      <c r="G266" s="143" t="s">
        <v>194</v>
      </c>
      <c r="H266" s="162" t="s">
        <v>194</v>
      </c>
    </row>
    <row r="267" spans="1:8" ht="15" customHeight="1" x14ac:dyDescent="0.25">
      <c r="A267" s="143" t="s">
        <v>115</v>
      </c>
      <c r="B267" s="143" t="s">
        <v>482</v>
      </c>
      <c r="C267" s="143">
        <v>0.35609299999999999</v>
      </c>
      <c r="D267" s="143">
        <v>2.9906000000000001</v>
      </c>
      <c r="E267" s="143">
        <v>2.9077500000000001</v>
      </c>
      <c r="F267" s="143">
        <v>7.39962E-3</v>
      </c>
      <c r="G267" s="143" t="s">
        <v>379</v>
      </c>
      <c r="H267" s="143" t="s">
        <v>379</v>
      </c>
    </row>
    <row r="268" spans="1:8" ht="15" customHeight="1" x14ac:dyDescent="0.25">
      <c r="A268" s="143" t="s">
        <v>483</v>
      </c>
      <c r="B268" s="143" t="s">
        <v>484</v>
      </c>
      <c r="C268" s="143">
        <v>0.135245</v>
      </c>
      <c r="D268" s="143">
        <v>3.7322299999999999</v>
      </c>
      <c r="E268" s="143">
        <v>13.0078</v>
      </c>
      <c r="F268" s="143">
        <v>4.8642900000000001E-5</v>
      </c>
      <c r="G268" s="143" t="s">
        <v>379</v>
      </c>
      <c r="H268" s="143" t="s">
        <v>379</v>
      </c>
    </row>
    <row r="269" spans="1:8" ht="15" customHeight="1" x14ac:dyDescent="0.25">
      <c r="A269" s="143" t="s">
        <v>483</v>
      </c>
      <c r="B269" s="143" t="s">
        <v>485</v>
      </c>
      <c r="C269" s="143">
        <v>8.3348400000000003E-2</v>
      </c>
      <c r="D269" s="143">
        <v>5.20594</v>
      </c>
      <c r="E269" s="143">
        <v>7.1156600000000001</v>
      </c>
      <c r="F269" s="143">
        <v>3.4868E-3</v>
      </c>
      <c r="G269" s="143" t="s">
        <v>379</v>
      </c>
      <c r="H269" s="143" t="s">
        <v>379</v>
      </c>
    </row>
    <row r="270" spans="1:8" ht="15" customHeight="1" x14ac:dyDescent="0.25">
      <c r="A270" s="143" t="s">
        <v>483</v>
      </c>
      <c r="B270" s="143" t="s">
        <v>486</v>
      </c>
      <c r="C270" s="143">
        <v>0.24087600000000001</v>
      </c>
      <c r="D270" s="143">
        <v>24.736799999999999</v>
      </c>
      <c r="E270" s="143">
        <v>9.6369399999999992</v>
      </c>
      <c r="F270" s="143">
        <v>5.1971400000000001E-2</v>
      </c>
      <c r="G270" s="143" t="s">
        <v>379</v>
      </c>
      <c r="H270" s="143" t="s">
        <v>379</v>
      </c>
    </row>
    <row r="271" spans="1:8" ht="15" customHeight="1" x14ac:dyDescent="0.25">
      <c r="A271" s="143" t="s">
        <v>487</v>
      </c>
      <c r="B271" s="143" t="s">
        <v>488</v>
      </c>
      <c r="C271" s="143">
        <v>7.0571400000000006E-2</v>
      </c>
      <c r="D271" s="143">
        <v>6.1142899999999996</v>
      </c>
      <c r="E271" s="143">
        <v>10.8</v>
      </c>
      <c r="F271" s="143">
        <v>0</v>
      </c>
      <c r="G271" s="143" t="s">
        <v>194</v>
      </c>
      <c r="H271" s="143" t="s">
        <v>379</v>
      </c>
    </row>
    <row r="272" spans="1:8" ht="15" customHeight="1" x14ac:dyDescent="0.25">
      <c r="A272" s="143" t="s">
        <v>489</v>
      </c>
      <c r="B272" s="143" t="s">
        <v>490</v>
      </c>
      <c r="C272" s="143">
        <v>0.104822</v>
      </c>
      <c r="D272" s="143">
        <v>102.465</v>
      </c>
      <c r="E272" s="143">
        <v>4.7289899999999996</v>
      </c>
      <c r="F272" s="143">
        <v>1.4928500000000001E-2</v>
      </c>
      <c r="G272" s="143" t="s">
        <v>379</v>
      </c>
      <c r="H272" s="143" t="s">
        <v>379</v>
      </c>
    </row>
    <row r="273" spans="1:8" ht="15" customHeight="1" x14ac:dyDescent="0.25">
      <c r="A273" s="143" t="s">
        <v>491</v>
      </c>
      <c r="B273" s="143" t="s">
        <v>492</v>
      </c>
      <c r="C273" s="143">
        <v>0.215174</v>
      </c>
      <c r="D273" s="143">
        <v>15.344200000000001</v>
      </c>
      <c r="E273" s="143">
        <v>17.4907</v>
      </c>
      <c r="F273" s="143">
        <v>3.1701600000000003E-2</v>
      </c>
      <c r="G273" s="143" t="s">
        <v>379</v>
      </c>
      <c r="H273" s="143" t="s">
        <v>379</v>
      </c>
    </row>
    <row r="274" spans="1:8" ht="15" customHeight="1" x14ac:dyDescent="0.25">
      <c r="A274" s="143" t="s">
        <v>491</v>
      </c>
      <c r="B274" s="143" t="s">
        <v>493</v>
      </c>
      <c r="C274" s="143">
        <v>0.13469500000000001</v>
      </c>
      <c r="D274" s="143">
        <v>15.0657</v>
      </c>
      <c r="E274" s="143">
        <v>8.4077699999999993</v>
      </c>
      <c r="F274" s="143">
        <v>3.1463600000000001E-2</v>
      </c>
      <c r="G274" s="143" t="s">
        <v>379</v>
      </c>
      <c r="H274" s="143" t="s">
        <v>379</v>
      </c>
    </row>
    <row r="275" spans="1:8" ht="15" customHeight="1" x14ac:dyDescent="0.25">
      <c r="A275" s="143" t="s">
        <v>491</v>
      </c>
      <c r="B275" s="143" t="s">
        <v>494</v>
      </c>
      <c r="C275" s="143">
        <v>0.114214</v>
      </c>
      <c r="D275" s="143">
        <v>15.705299999999999</v>
      </c>
      <c r="E275" s="143">
        <v>7.0085300000000004</v>
      </c>
      <c r="F275" s="143">
        <v>4.0208099999999997E-2</v>
      </c>
      <c r="G275" s="143" t="s">
        <v>379</v>
      </c>
      <c r="H275" s="143" t="s">
        <v>379</v>
      </c>
    </row>
    <row r="276" spans="1:8" ht="15" customHeight="1" x14ac:dyDescent="0.25">
      <c r="A276" s="143" t="s">
        <v>495</v>
      </c>
      <c r="B276" s="143" t="s">
        <v>496</v>
      </c>
      <c r="C276" s="143">
        <v>8.4718399999999999E-2</v>
      </c>
      <c r="D276" s="143">
        <v>3.65347</v>
      </c>
      <c r="E276" s="143">
        <v>7.5244900000000001</v>
      </c>
      <c r="F276" s="143">
        <v>0</v>
      </c>
      <c r="G276" s="143" t="s">
        <v>194</v>
      </c>
      <c r="H276" s="143" t="s">
        <v>379</v>
      </c>
    </row>
    <row r="277" spans="1:8" ht="15" customHeight="1" x14ac:dyDescent="0.25">
      <c r="A277" s="143" t="s">
        <v>498</v>
      </c>
      <c r="B277" s="143" t="s">
        <v>499</v>
      </c>
      <c r="C277" s="143">
        <v>0</v>
      </c>
      <c r="D277" s="143">
        <v>0</v>
      </c>
      <c r="E277" s="143">
        <v>0</v>
      </c>
      <c r="F277" s="143">
        <v>0</v>
      </c>
      <c r="G277" s="143" t="s">
        <v>194</v>
      </c>
      <c r="H277" s="162" t="s">
        <v>194</v>
      </c>
    </row>
    <row r="278" spans="1:8" ht="15" customHeight="1" x14ac:dyDescent="0.25">
      <c r="A278" s="143" t="s">
        <v>498</v>
      </c>
      <c r="B278" s="143" t="s">
        <v>500</v>
      </c>
      <c r="C278" s="143">
        <v>0</v>
      </c>
      <c r="D278" s="143">
        <v>0</v>
      </c>
      <c r="E278" s="143">
        <v>0</v>
      </c>
      <c r="F278" s="143">
        <v>0</v>
      </c>
      <c r="G278" s="143" t="s">
        <v>194</v>
      </c>
      <c r="H278" s="162" t="s">
        <v>194</v>
      </c>
    </row>
    <row r="279" spans="1:8" ht="15" customHeight="1" x14ac:dyDescent="0.25">
      <c r="A279" s="143" t="s">
        <v>501</v>
      </c>
      <c r="B279" s="143" t="s">
        <v>502</v>
      </c>
      <c r="C279" s="143">
        <v>9.8822300000000002E-2</v>
      </c>
      <c r="D279" s="143">
        <v>4.5609599999999997</v>
      </c>
      <c r="E279" s="143">
        <v>7.3961399999999999</v>
      </c>
      <c r="F279" s="143">
        <v>1.6423500000000001E-3</v>
      </c>
      <c r="G279" s="143" t="s">
        <v>194</v>
      </c>
      <c r="H279" s="143" t="s">
        <v>379</v>
      </c>
    </row>
    <row r="280" spans="1:8" ht="15" customHeight="1" x14ac:dyDescent="0.25">
      <c r="A280" s="143" t="s">
        <v>503</v>
      </c>
      <c r="B280" s="143" t="s">
        <v>504</v>
      </c>
      <c r="C280" s="143">
        <v>7.8412899999999994E-2</v>
      </c>
      <c r="D280" s="143">
        <v>12.148400000000001</v>
      </c>
      <c r="E280" s="143">
        <v>0.18656200000000001</v>
      </c>
      <c r="F280" s="143">
        <v>1.73612E-2</v>
      </c>
      <c r="G280" s="143" t="s">
        <v>194</v>
      </c>
      <c r="H280" s="143" t="s">
        <v>379</v>
      </c>
    </row>
    <row r="281" spans="1:8" ht="15" customHeight="1" x14ac:dyDescent="0.25">
      <c r="A281" s="143" t="s">
        <v>505</v>
      </c>
      <c r="B281" s="143" t="s">
        <v>119</v>
      </c>
      <c r="C281" s="143">
        <v>0</v>
      </c>
      <c r="D281" s="143">
        <v>0</v>
      </c>
      <c r="E281" s="143">
        <v>0</v>
      </c>
      <c r="F281" s="143">
        <v>0</v>
      </c>
      <c r="G281" s="143" t="s">
        <v>194</v>
      </c>
      <c r="H281" s="162" t="s">
        <v>194</v>
      </c>
    </row>
    <row r="282" spans="1:8" ht="15" customHeight="1" x14ac:dyDescent="0.25">
      <c r="A282" s="143" t="s">
        <v>118</v>
      </c>
      <c r="B282" s="159" t="s">
        <v>120</v>
      </c>
      <c r="C282" s="143">
        <v>0</v>
      </c>
      <c r="D282" s="143">
        <v>0</v>
      </c>
      <c r="E282" s="143">
        <v>0</v>
      </c>
      <c r="F282" s="143">
        <v>0</v>
      </c>
      <c r="G282" s="143" t="s">
        <v>194</v>
      </c>
      <c r="H282" s="162" t="s">
        <v>194</v>
      </c>
    </row>
    <row r="283" spans="1:8" ht="15" customHeight="1" x14ac:dyDescent="0.25">
      <c r="A283" s="143" t="s">
        <v>506</v>
      </c>
      <c r="B283" s="143" t="s">
        <v>507</v>
      </c>
      <c r="C283" s="143">
        <v>0.21645600000000001</v>
      </c>
      <c r="D283" s="143">
        <v>64.936700000000002</v>
      </c>
      <c r="E283" s="143">
        <v>8.6582299999999996</v>
      </c>
      <c r="F283" s="143">
        <v>0.12</v>
      </c>
      <c r="G283" s="143" t="s">
        <v>379</v>
      </c>
      <c r="H283" s="143" t="s">
        <v>379</v>
      </c>
    </row>
    <row r="284" spans="1:8" ht="15" customHeight="1" x14ac:dyDescent="0.25">
      <c r="A284" s="143" t="s">
        <v>4</v>
      </c>
      <c r="B284" s="143" t="s">
        <v>508</v>
      </c>
      <c r="C284" s="143">
        <v>0</v>
      </c>
      <c r="D284" s="143">
        <v>0</v>
      </c>
      <c r="E284" s="143">
        <v>0</v>
      </c>
      <c r="F284" s="143">
        <v>0</v>
      </c>
      <c r="G284" s="143" t="s">
        <v>194</v>
      </c>
      <c r="H284" s="162" t="s">
        <v>194</v>
      </c>
    </row>
    <row r="285" spans="1:8" ht="15" customHeight="1" x14ac:dyDescent="0.25">
      <c r="A285" s="143" t="s">
        <v>4</v>
      </c>
      <c r="B285" s="143" t="s">
        <v>509</v>
      </c>
      <c r="C285" s="143">
        <v>0</v>
      </c>
      <c r="D285" s="143">
        <v>0</v>
      </c>
      <c r="E285" s="143">
        <v>0</v>
      </c>
      <c r="F285" s="143">
        <v>0</v>
      </c>
      <c r="G285" s="143" t="s">
        <v>194</v>
      </c>
      <c r="H285" s="162" t="s">
        <v>194</v>
      </c>
    </row>
    <row r="286" spans="1:8" ht="15" customHeight="1" x14ac:dyDescent="0.25">
      <c r="A286" s="143" t="s">
        <v>4</v>
      </c>
      <c r="B286" s="159" t="s">
        <v>121</v>
      </c>
      <c r="C286" s="143">
        <v>0</v>
      </c>
      <c r="D286" s="143">
        <v>0</v>
      </c>
      <c r="E286" s="143">
        <v>0</v>
      </c>
      <c r="F286" s="143">
        <v>0</v>
      </c>
      <c r="G286" s="143" t="s">
        <v>194</v>
      </c>
      <c r="H286" s="162" t="s">
        <v>194</v>
      </c>
    </row>
    <row r="287" spans="1:8" ht="15" customHeight="1" x14ac:dyDescent="0.25">
      <c r="A287" s="143" t="s">
        <v>510</v>
      </c>
      <c r="B287" s="143" t="s">
        <v>511</v>
      </c>
      <c r="C287" s="143">
        <v>9.6884300000000007E-2</v>
      </c>
      <c r="D287" s="143">
        <v>4.4901299999999997</v>
      </c>
      <c r="E287" s="143">
        <v>9.3224</v>
      </c>
      <c r="F287" s="143">
        <v>1.63948E-4</v>
      </c>
      <c r="G287" s="143" t="s">
        <v>379</v>
      </c>
      <c r="H287" s="143" t="s">
        <v>379</v>
      </c>
    </row>
    <row r="288" spans="1:8" ht="15" customHeight="1" x14ac:dyDescent="0.25">
      <c r="A288" s="143" t="s">
        <v>513</v>
      </c>
      <c r="B288" s="143" t="s">
        <v>514</v>
      </c>
      <c r="C288" s="143">
        <v>0.27860000000000001</v>
      </c>
      <c r="D288" s="143">
        <v>4.9865300000000001</v>
      </c>
      <c r="E288" s="143">
        <v>16.878499999999999</v>
      </c>
      <c r="F288" s="143">
        <v>4.68858E-4</v>
      </c>
      <c r="G288" s="143" t="s">
        <v>379</v>
      </c>
      <c r="H288" s="143" t="s">
        <v>379</v>
      </c>
    </row>
    <row r="289" spans="1:8" ht="15" customHeight="1" x14ac:dyDescent="0.25">
      <c r="A289" s="143" t="s">
        <v>513</v>
      </c>
      <c r="B289" s="143" t="s">
        <v>515</v>
      </c>
      <c r="C289" s="143">
        <v>1.24402E-2</v>
      </c>
      <c r="D289" s="143">
        <v>0.85469200000000001</v>
      </c>
      <c r="E289" s="143">
        <v>6.9886500000000004E-2</v>
      </c>
      <c r="F289" s="143">
        <v>2.6485599999999999E-3</v>
      </c>
      <c r="G289" s="143" t="s">
        <v>379</v>
      </c>
      <c r="H289" s="143" t="s">
        <v>379</v>
      </c>
    </row>
    <row r="290" spans="1:8" ht="15" customHeight="1" x14ac:dyDescent="0.25">
      <c r="A290" s="143" t="s">
        <v>513</v>
      </c>
      <c r="B290" s="143" t="s">
        <v>517</v>
      </c>
      <c r="C290" s="143">
        <v>7.4593099999999996E-2</v>
      </c>
      <c r="D290" s="143">
        <v>5.54575</v>
      </c>
      <c r="E290" s="143">
        <v>9.7050400000000003</v>
      </c>
      <c r="F290" s="143">
        <v>0</v>
      </c>
      <c r="G290" s="143" t="s">
        <v>379</v>
      </c>
      <c r="H290" s="143" t="s">
        <v>379</v>
      </c>
    </row>
    <row r="291" spans="1:8" ht="15" customHeight="1" x14ac:dyDescent="0.25">
      <c r="A291" s="143" t="s">
        <v>513</v>
      </c>
      <c r="B291" s="143" t="s">
        <v>518</v>
      </c>
      <c r="C291" s="143">
        <v>0.34536800000000001</v>
      </c>
      <c r="D291" s="143">
        <v>14.4038</v>
      </c>
      <c r="E291" s="143">
        <v>16.666</v>
      </c>
      <c r="F291" s="143">
        <v>2.76402E-2</v>
      </c>
      <c r="G291" s="143" t="s">
        <v>379</v>
      </c>
      <c r="H291" s="143" t="s">
        <v>379</v>
      </c>
    </row>
    <row r="292" spans="1:8" ht="15" customHeight="1" x14ac:dyDescent="0.25">
      <c r="A292" s="143" t="s">
        <v>122</v>
      </c>
      <c r="B292" s="159" t="s">
        <v>124</v>
      </c>
      <c r="C292" s="143">
        <v>0</v>
      </c>
      <c r="D292" s="143">
        <v>0</v>
      </c>
      <c r="E292" s="143">
        <v>0</v>
      </c>
      <c r="F292" s="143">
        <v>0</v>
      </c>
      <c r="G292" s="143" t="s">
        <v>194</v>
      </c>
      <c r="H292" s="162" t="s">
        <v>194</v>
      </c>
    </row>
    <row r="293" spans="1:8" ht="15" customHeight="1" x14ac:dyDescent="0.25">
      <c r="A293" s="143" t="s">
        <v>519</v>
      </c>
      <c r="B293" s="143" t="s">
        <v>520</v>
      </c>
      <c r="C293" s="143">
        <v>0</v>
      </c>
      <c r="D293" s="143">
        <v>0</v>
      </c>
      <c r="E293" s="143">
        <v>0</v>
      </c>
      <c r="F293" s="143">
        <v>0</v>
      </c>
      <c r="G293" s="143" t="s">
        <v>194</v>
      </c>
      <c r="H293" s="162" t="s">
        <v>194</v>
      </c>
    </row>
    <row r="294" spans="1:8" ht="15" customHeight="1" x14ac:dyDescent="0.25">
      <c r="A294" s="143" t="s">
        <v>1145</v>
      </c>
      <c r="B294" s="143" t="s">
        <v>1146</v>
      </c>
      <c r="C294" s="143">
        <v>0</v>
      </c>
      <c r="D294" s="143">
        <v>0</v>
      </c>
      <c r="E294" s="143">
        <v>0</v>
      </c>
      <c r="F294" s="143">
        <v>0</v>
      </c>
      <c r="G294" s="143" t="s">
        <v>194</v>
      </c>
      <c r="H294" s="162" t="s">
        <v>194</v>
      </c>
    </row>
    <row r="295" spans="1:8" ht="15" customHeight="1" x14ac:dyDescent="0.25">
      <c r="A295" s="143" t="s">
        <v>1145</v>
      </c>
      <c r="B295" s="143" t="s">
        <v>1147</v>
      </c>
      <c r="C295" s="143">
        <v>0</v>
      </c>
      <c r="D295" s="143">
        <v>0</v>
      </c>
      <c r="E295" s="143">
        <v>0</v>
      </c>
      <c r="F295" s="143">
        <v>0</v>
      </c>
      <c r="G295" s="143" t="s">
        <v>194</v>
      </c>
      <c r="H295" s="162" t="s">
        <v>194</v>
      </c>
    </row>
    <row r="296" spans="1:8" ht="15" customHeight="1" x14ac:dyDescent="0.25">
      <c r="A296" s="143" t="s">
        <v>1145</v>
      </c>
      <c r="B296" s="143" t="s">
        <v>1148</v>
      </c>
      <c r="C296" s="143">
        <v>0</v>
      </c>
      <c r="D296" s="143">
        <v>0</v>
      </c>
      <c r="E296" s="143">
        <v>0</v>
      </c>
      <c r="F296" s="143">
        <v>0</v>
      </c>
      <c r="G296" s="143" t="s">
        <v>194</v>
      </c>
      <c r="H296" s="162" t="s">
        <v>194</v>
      </c>
    </row>
    <row r="297" spans="1:8" ht="15" customHeight="1" x14ac:dyDescent="0.25">
      <c r="A297" s="143" t="s">
        <v>1145</v>
      </c>
      <c r="B297" s="143" t="s">
        <v>1149</v>
      </c>
      <c r="C297" s="143">
        <v>0</v>
      </c>
      <c r="D297" s="143">
        <v>0</v>
      </c>
      <c r="E297" s="143">
        <v>0</v>
      </c>
      <c r="F297" s="143">
        <v>0</v>
      </c>
      <c r="G297" s="143" t="s">
        <v>194</v>
      </c>
      <c r="H297" s="162" t="s">
        <v>194</v>
      </c>
    </row>
    <row r="298" spans="1:8" ht="15" customHeight="1" x14ac:dyDescent="0.25">
      <c r="A298" s="143" t="s">
        <v>1145</v>
      </c>
      <c r="B298" s="143" t="s">
        <v>1150</v>
      </c>
      <c r="C298" s="143">
        <v>0</v>
      </c>
      <c r="D298" s="143">
        <v>0</v>
      </c>
      <c r="E298" s="143">
        <v>0</v>
      </c>
      <c r="F298" s="143">
        <v>0</v>
      </c>
      <c r="G298" s="143" t="s">
        <v>194</v>
      </c>
      <c r="H298" s="162" t="s">
        <v>194</v>
      </c>
    </row>
    <row r="299" spans="1:8" ht="15" customHeight="1" x14ac:dyDescent="0.25">
      <c r="A299" s="143" t="s">
        <v>1145</v>
      </c>
      <c r="B299" s="143" t="s">
        <v>1151</v>
      </c>
      <c r="C299" s="143">
        <v>0</v>
      </c>
      <c r="D299" s="143">
        <v>0</v>
      </c>
      <c r="E299" s="143">
        <v>0</v>
      </c>
      <c r="F299" s="143">
        <v>0</v>
      </c>
      <c r="G299" s="143" t="s">
        <v>194</v>
      </c>
      <c r="H299" s="162" t="s">
        <v>194</v>
      </c>
    </row>
    <row r="300" spans="1:8" ht="15" customHeight="1" x14ac:dyDescent="0.25">
      <c r="A300" s="143" t="s">
        <v>1145</v>
      </c>
      <c r="B300" s="143" t="s">
        <v>1152</v>
      </c>
      <c r="C300" s="143">
        <v>0</v>
      </c>
      <c r="D300" s="143">
        <v>0</v>
      </c>
      <c r="E300" s="143">
        <v>0</v>
      </c>
      <c r="F300" s="143">
        <v>0</v>
      </c>
      <c r="G300" s="143" t="s">
        <v>194</v>
      </c>
      <c r="H300" s="162" t="s">
        <v>194</v>
      </c>
    </row>
    <row r="301" spans="1:8" ht="15" customHeight="1" x14ac:dyDescent="0.25">
      <c r="A301" s="143" t="s">
        <v>1145</v>
      </c>
      <c r="B301" s="143" t="s">
        <v>1153</v>
      </c>
      <c r="C301" s="143">
        <v>0</v>
      </c>
      <c r="D301" s="143">
        <v>0</v>
      </c>
      <c r="E301" s="143">
        <v>0</v>
      </c>
      <c r="F301" s="143">
        <v>0</v>
      </c>
      <c r="G301" s="143" t="s">
        <v>194</v>
      </c>
      <c r="H301" s="162" t="s">
        <v>194</v>
      </c>
    </row>
    <row r="302" spans="1:8" ht="15" customHeight="1" x14ac:dyDescent="0.25">
      <c r="A302" s="143" t="s">
        <v>1145</v>
      </c>
      <c r="B302" s="143" t="s">
        <v>1154</v>
      </c>
      <c r="C302" s="143">
        <v>0</v>
      </c>
      <c r="D302" s="143">
        <v>0</v>
      </c>
      <c r="E302" s="143">
        <v>0</v>
      </c>
      <c r="F302" s="143">
        <v>0</v>
      </c>
      <c r="G302" s="143" t="s">
        <v>194</v>
      </c>
      <c r="H302" s="162" t="s">
        <v>194</v>
      </c>
    </row>
    <row r="303" spans="1:8" ht="15" customHeight="1" x14ac:dyDescent="0.25">
      <c r="A303" s="143" t="s">
        <v>1145</v>
      </c>
      <c r="B303" s="143" t="s">
        <v>1155</v>
      </c>
      <c r="C303" s="143">
        <v>0</v>
      </c>
      <c r="D303" s="143">
        <v>0</v>
      </c>
      <c r="E303" s="143">
        <v>0</v>
      </c>
      <c r="F303" s="143">
        <v>0</v>
      </c>
      <c r="G303" s="143" t="s">
        <v>194</v>
      </c>
      <c r="H303" s="162" t="s">
        <v>194</v>
      </c>
    </row>
    <row r="304" spans="1:8" ht="15" customHeight="1" x14ac:dyDescent="0.25">
      <c r="A304" s="143" t="s">
        <v>1145</v>
      </c>
      <c r="B304" s="143" t="s">
        <v>1156</v>
      </c>
      <c r="C304" s="143">
        <v>0</v>
      </c>
      <c r="D304" s="143">
        <v>0</v>
      </c>
      <c r="E304" s="143">
        <v>0</v>
      </c>
      <c r="F304" s="143">
        <v>0</v>
      </c>
      <c r="G304" s="143" t="s">
        <v>194</v>
      </c>
      <c r="H304" s="162" t="s">
        <v>194</v>
      </c>
    </row>
    <row r="305" spans="1:8" ht="15" customHeight="1" x14ac:dyDescent="0.25">
      <c r="A305" s="143" t="s">
        <v>1145</v>
      </c>
      <c r="B305" s="143" t="s">
        <v>1157</v>
      </c>
      <c r="C305" s="143">
        <v>0</v>
      </c>
      <c r="D305" s="143">
        <v>0</v>
      </c>
      <c r="E305" s="143">
        <v>0</v>
      </c>
      <c r="F305" s="143">
        <v>0</v>
      </c>
      <c r="G305" s="143" t="s">
        <v>194</v>
      </c>
      <c r="H305" s="162" t="s">
        <v>194</v>
      </c>
    </row>
    <row r="306" spans="1:8" ht="15" customHeight="1" x14ac:dyDescent="0.25">
      <c r="A306" s="143" t="s">
        <v>1145</v>
      </c>
      <c r="B306" s="143" t="s">
        <v>1158</v>
      </c>
      <c r="C306" s="143">
        <v>0</v>
      </c>
      <c r="D306" s="143">
        <v>0</v>
      </c>
      <c r="E306" s="143">
        <v>0</v>
      </c>
      <c r="F306" s="143">
        <v>0</v>
      </c>
      <c r="G306" s="143" t="s">
        <v>194</v>
      </c>
      <c r="H306" s="162" t="s">
        <v>194</v>
      </c>
    </row>
    <row r="307" spans="1:8" ht="15" customHeight="1" x14ac:dyDescent="0.25">
      <c r="A307" s="143" t="s">
        <v>1145</v>
      </c>
      <c r="B307" s="143" t="s">
        <v>5</v>
      </c>
      <c r="C307" s="143">
        <v>0</v>
      </c>
      <c r="D307" s="143">
        <v>0</v>
      </c>
      <c r="E307" s="143">
        <v>0</v>
      </c>
      <c r="F307" s="143">
        <v>0</v>
      </c>
      <c r="G307" s="143" t="s">
        <v>194</v>
      </c>
      <c r="H307" s="162" t="s">
        <v>194</v>
      </c>
    </row>
    <row r="308" spans="1:8" ht="15" customHeight="1" x14ac:dyDescent="0.25">
      <c r="A308" s="143" t="s">
        <v>521</v>
      </c>
      <c r="B308" s="143" t="s">
        <v>522</v>
      </c>
      <c r="C308" s="143">
        <v>0.10263600000000001</v>
      </c>
      <c r="D308" s="143">
        <v>10.5505</v>
      </c>
      <c r="E308" s="143">
        <v>13.9602</v>
      </c>
      <c r="F308" s="143">
        <v>6.7081099999999998E-3</v>
      </c>
      <c r="G308" s="143" t="s">
        <v>379</v>
      </c>
      <c r="H308" s="143" t="s">
        <v>379</v>
      </c>
    </row>
    <row r="309" spans="1:8" ht="15" customHeight="1" x14ac:dyDescent="0.25">
      <c r="A309" s="143" t="s">
        <v>521</v>
      </c>
      <c r="B309" s="143" t="s">
        <v>523</v>
      </c>
      <c r="C309" s="143">
        <v>0.1229</v>
      </c>
      <c r="D309" s="143">
        <v>12.466799999999999</v>
      </c>
      <c r="E309" s="143">
        <v>12.1084</v>
      </c>
      <c r="F309" s="143">
        <v>2.1959699999999999E-2</v>
      </c>
      <c r="G309" s="143" t="s">
        <v>379</v>
      </c>
      <c r="H309" s="143" t="s">
        <v>379</v>
      </c>
    </row>
    <row r="310" spans="1:8" ht="15" customHeight="1" x14ac:dyDescent="0.25">
      <c r="A310" s="143" t="s">
        <v>1159</v>
      </c>
      <c r="B310" s="143" t="s">
        <v>1160</v>
      </c>
      <c r="C310" s="143">
        <v>0</v>
      </c>
      <c r="D310" s="143">
        <v>0</v>
      </c>
      <c r="E310" s="143">
        <v>0</v>
      </c>
      <c r="F310" s="143">
        <v>0</v>
      </c>
      <c r="G310" s="143" t="s">
        <v>194</v>
      </c>
      <c r="H310" s="162" t="s">
        <v>194</v>
      </c>
    </row>
    <row r="311" spans="1:8" ht="15" customHeight="1" x14ac:dyDescent="0.25">
      <c r="A311" s="143" t="s">
        <v>524</v>
      </c>
      <c r="B311" s="143" t="s">
        <v>525</v>
      </c>
      <c r="C311" s="143">
        <v>8.1732100000000002E-2</v>
      </c>
      <c r="D311" s="143">
        <v>4.0972099999999996</v>
      </c>
      <c r="E311" s="143">
        <v>9.45791</v>
      </c>
      <c r="F311" s="143">
        <v>0</v>
      </c>
      <c r="G311" s="143" t="s">
        <v>194</v>
      </c>
      <c r="H311" s="143" t="s">
        <v>379</v>
      </c>
    </row>
    <row r="312" spans="1:8" ht="15" customHeight="1" x14ac:dyDescent="0.25">
      <c r="A312" s="143" t="s">
        <v>526</v>
      </c>
      <c r="B312" s="143" t="s">
        <v>527</v>
      </c>
      <c r="C312" s="143">
        <v>0.68839099999999998</v>
      </c>
      <c r="D312" s="143">
        <v>224.57</v>
      </c>
      <c r="E312" s="143">
        <v>27.3721</v>
      </c>
      <c r="F312" s="143">
        <v>1.8946899999999999E-2</v>
      </c>
      <c r="G312" s="143" t="s">
        <v>194</v>
      </c>
      <c r="H312" s="143" t="s">
        <v>379</v>
      </c>
    </row>
    <row r="313" spans="1:8" ht="15" customHeight="1" x14ac:dyDescent="0.25">
      <c r="A313" s="143" t="s">
        <v>528</v>
      </c>
      <c r="B313" s="143" t="s">
        <v>529</v>
      </c>
      <c r="C313" s="143">
        <v>0.13877300000000001</v>
      </c>
      <c r="D313" s="143">
        <v>23.485900000000001</v>
      </c>
      <c r="E313" s="143">
        <v>7.16709</v>
      </c>
      <c r="F313" s="143">
        <v>5.3130700000000003E-2</v>
      </c>
      <c r="G313" s="143" t="s">
        <v>379</v>
      </c>
      <c r="H313" s="143" t="s">
        <v>379</v>
      </c>
    </row>
    <row r="314" spans="1:8" ht="15" customHeight="1" x14ac:dyDescent="0.25">
      <c r="A314" s="143" t="s">
        <v>530</v>
      </c>
      <c r="B314" s="143" t="s">
        <v>531</v>
      </c>
      <c r="C314" s="143">
        <v>8.95701E-2</v>
      </c>
      <c r="D314" s="143">
        <v>13.2515</v>
      </c>
      <c r="E314" s="143">
        <v>7.5135699999999996</v>
      </c>
      <c r="F314" s="143">
        <v>1.30572E-2</v>
      </c>
      <c r="G314" s="143" t="s">
        <v>194</v>
      </c>
      <c r="H314" s="143" t="s">
        <v>379</v>
      </c>
    </row>
    <row r="315" spans="1:8" ht="15" customHeight="1" x14ac:dyDescent="0.25">
      <c r="A315" s="143" t="s">
        <v>532</v>
      </c>
      <c r="B315" s="143" t="s">
        <v>533</v>
      </c>
      <c r="C315" s="143">
        <v>0.16922799999999999</v>
      </c>
      <c r="D315" s="143">
        <v>10.456300000000001</v>
      </c>
      <c r="E315" s="143">
        <v>17.4726</v>
      </c>
      <c r="F315" s="143">
        <v>1.6661599999999999E-2</v>
      </c>
      <c r="G315" s="143" t="s">
        <v>379</v>
      </c>
      <c r="H315" s="143" t="s">
        <v>379</v>
      </c>
    </row>
    <row r="316" spans="1:8" ht="15" customHeight="1" x14ac:dyDescent="0.25">
      <c r="A316" s="143" t="s">
        <v>532</v>
      </c>
      <c r="B316" s="143" t="s">
        <v>534</v>
      </c>
      <c r="C316" s="143">
        <v>0.164187</v>
      </c>
      <c r="D316" s="143">
        <v>7.4444999999999997</v>
      </c>
      <c r="E316" s="143">
        <v>18.71</v>
      </c>
      <c r="F316" s="143">
        <v>5.9619599999999997E-3</v>
      </c>
      <c r="G316" s="143" t="s">
        <v>379</v>
      </c>
      <c r="H316" s="143" t="s">
        <v>379</v>
      </c>
    </row>
    <row r="317" spans="1:8" ht="15" customHeight="1" x14ac:dyDescent="0.25">
      <c r="A317" s="143" t="s">
        <v>532</v>
      </c>
      <c r="B317" s="143" t="s">
        <v>536</v>
      </c>
      <c r="C317" s="143">
        <v>0.141929</v>
      </c>
      <c r="D317" s="143">
        <v>13.9908</v>
      </c>
      <c r="E317" s="143">
        <v>14.641999999999999</v>
      </c>
      <c r="F317" s="143">
        <v>2.31262E-2</v>
      </c>
      <c r="G317" s="143" t="s">
        <v>379</v>
      </c>
      <c r="H317" s="143" t="s">
        <v>379</v>
      </c>
    </row>
    <row r="318" spans="1:8" ht="15" customHeight="1" x14ac:dyDescent="0.25">
      <c r="A318" s="143" t="s">
        <v>532</v>
      </c>
      <c r="B318" s="143" t="s">
        <v>537</v>
      </c>
      <c r="C318" s="143">
        <v>0.156613</v>
      </c>
      <c r="D318" s="143">
        <v>8.8405900000000006</v>
      </c>
      <c r="E318" s="143">
        <v>17.2104</v>
      </c>
      <c r="F318" s="143">
        <v>1.21797E-2</v>
      </c>
      <c r="G318" s="143" t="s">
        <v>379</v>
      </c>
      <c r="H318" s="143" t="s">
        <v>379</v>
      </c>
    </row>
    <row r="319" spans="1:8" ht="15" customHeight="1" x14ac:dyDescent="0.25">
      <c r="A319" s="143" t="s">
        <v>532</v>
      </c>
      <c r="B319" s="143" t="s">
        <v>538</v>
      </c>
      <c r="C319" s="143">
        <v>0.16390099999999999</v>
      </c>
      <c r="D319" s="143">
        <v>7.1050899999999997</v>
      </c>
      <c r="E319" s="143">
        <v>18.067799999999998</v>
      </c>
      <c r="F319" s="143">
        <v>5.6805500000000004E-3</v>
      </c>
      <c r="G319" s="143" t="s">
        <v>379</v>
      </c>
      <c r="H319" s="143" t="s">
        <v>379</v>
      </c>
    </row>
    <row r="320" spans="1:8" ht="15" customHeight="1" x14ac:dyDescent="0.25">
      <c r="A320" s="143" t="s">
        <v>532</v>
      </c>
      <c r="B320" s="143" t="s">
        <v>539</v>
      </c>
      <c r="C320" s="143">
        <v>0</v>
      </c>
      <c r="D320" s="143">
        <v>0</v>
      </c>
      <c r="E320" s="143">
        <v>0</v>
      </c>
      <c r="F320" s="143">
        <v>0</v>
      </c>
      <c r="G320" s="143" t="s">
        <v>194</v>
      </c>
      <c r="H320" s="162" t="s">
        <v>194</v>
      </c>
    </row>
    <row r="321" spans="1:8" ht="15" customHeight="1" x14ac:dyDescent="0.25">
      <c r="A321" s="143" t="s">
        <v>532</v>
      </c>
      <c r="B321" s="143" t="s">
        <v>540</v>
      </c>
      <c r="C321" s="143">
        <v>0.171044</v>
      </c>
      <c r="D321" s="143">
        <v>6.4295999999999998</v>
      </c>
      <c r="E321" s="143">
        <v>18.6797</v>
      </c>
      <c r="F321" s="143">
        <v>3.0700499999999999E-3</v>
      </c>
      <c r="G321" s="143" t="s">
        <v>379</v>
      </c>
      <c r="H321" s="143" t="s">
        <v>379</v>
      </c>
    </row>
    <row r="322" spans="1:8" ht="15" customHeight="1" x14ac:dyDescent="0.25">
      <c r="A322" s="143" t="s">
        <v>532</v>
      </c>
      <c r="B322" s="143" t="s">
        <v>541</v>
      </c>
      <c r="C322" s="143">
        <v>0.16664799999999999</v>
      </c>
      <c r="D322" s="143">
        <v>10.068</v>
      </c>
      <c r="E322" s="143">
        <v>17.912400000000002</v>
      </c>
      <c r="F322" s="143">
        <v>1.4778299999999999E-2</v>
      </c>
      <c r="G322" s="143" t="s">
        <v>379</v>
      </c>
      <c r="H322" s="143" t="s">
        <v>379</v>
      </c>
    </row>
    <row r="323" spans="1:8" ht="15" customHeight="1" x14ac:dyDescent="0.25">
      <c r="A323" s="143" t="s">
        <v>532</v>
      </c>
      <c r="B323" s="143" t="s">
        <v>542</v>
      </c>
      <c r="C323" s="143">
        <v>0.25069999999999998</v>
      </c>
      <c r="D323" s="143">
        <v>84.057400000000001</v>
      </c>
      <c r="E323" s="143">
        <v>13.574299999999999</v>
      </c>
      <c r="F323" s="143">
        <v>4.2881500000000001E-3</v>
      </c>
      <c r="G323" s="143" t="s">
        <v>379</v>
      </c>
      <c r="H323" s="143" t="s">
        <v>379</v>
      </c>
    </row>
    <row r="324" spans="1:8" ht="15" customHeight="1" x14ac:dyDescent="0.25">
      <c r="A324" s="143" t="s">
        <v>532</v>
      </c>
      <c r="B324" s="143" t="s">
        <v>543</v>
      </c>
      <c r="C324" s="143">
        <v>0.15926999999999999</v>
      </c>
      <c r="D324" s="143">
        <v>6.9605199999999998</v>
      </c>
      <c r="E324" s="143">
        <v>18.0976</v>
      </c>
      <c r="F324" s="143">
        <v>5.24684E-3</v>
      </c>
      <c r="G324" s="143" t="s">
        <v>379</v>
      </c>
      <c r="H324" s="143" t="s">
        <v>379</v>
      </c>
    </row>
    <row r="325" spans="1:8" ht="15" customHeight="1" x14ac:dyDescent="0.25">
      <c r="A325" s="143" t="s">
        <v>532</v>
      </c>
      <c r="B325" s="143" t="s">
        <v>544</v>
      </c>
      <c r="C325" s="143">
        <v>6.2543299999999996E-2</v>
      </c>
      <c r="D325" s="143">
        <v>8.4602299999999993</v>
      </c>
      <c r="E325" s="143">
        <v>7.6211099999999998</v>
      </c>
      <c r="F325" s="143">
        <v>1.9192500000000001E-2</v>
      </c>
      <c r="G325" s="143" t="s">
        <v>379</v>
      </c>
      <c r="H325" s="143" t="s">
        <v>379</v>
      </c>
    </row>
    <row r="326" spans="1:8" ht="15" customHeight="1" x14ac:dyDescent="0.25">
      <c r="A326" s="143" t="s">
        <v>532</v>
      </c>
      <c r="B326" s="143" t="s">
        <v>545</v>
      </c>
      <c r="C326" s="143">
        <v>0.137548</v>
      </c>
      <c r="D326" s="143">
        <v>9.6733200000000004</v>
      </c>
      <c r="E326" s="143">
        <v>11.667899999999999</v>
      </c>
      <c r="F326" s="143">
        <v>1.90005E-2</v>
      </c>
      <c r="G326" s="143" t="s">
        <v>379</v>
      </c>
      <c r="H326" s="143" t="s">
        <v>379</v>
      </c>
    </row>
    <row r="327" spans="1:8" ht="15" customHeight="1" x14ac:dyDescent="0.25">
      <c r="A327" s="143" t="s">
        <v>532</v>
      </c>
      <c r="B327" s="143" t="s">
        <v>546</v>
      </c>
      <c r="C327" s="143">
        <v>0.16056899999999999</v>
      </c>
      <c r="D327" s="143">
        <v>7.6607700000000003</v>
      </c>
      <c r="E327" s="143">
        <v>18.243200000000002</v>
      </c>
      <c r="F327" s="143">
        <v>7.1450799999999998E-3</v>
      </c>
      <c r="G327" s="143" t="s">
        <v>379</v>
      </c>
      <c r="H327" s="143" t="s">
        <v>379</v>
      </c>
    </row>
    <row r="328" spans="1:8" ht="15" customHeight="1" x14ac:dyDescent="0.25">
      <c r="A328" s="143" t="s">
        <v>532</v>
      </c>
      <c r="B328" s="143" t="s">
        <v>547</v>
      </c>
      <c r="C328" s="143">
        <v>0.17643600000000001</v>
      </c>
      <c r="D328" s="143">
        <v>53.073300000000003</v>
      </c>
      <c r="E328" s="143">
        <v>9.6063500000000008</v>
      </c>
      <c r="F328" s="143">
        <v>1.7339400000000001E-2</v>
      </c>
      <c r="G328" s="143" t="s">
        <v>379</v>
      </c>
      <c r="H328" s="143" t="s">
        <v>379</v>
      </c>
    </row>
    <row r="329" spans="1:8" ht="15" customHeight="1" x14ac:dyDescent="0.25">
      <c r="A329" s="143" t="s">
        <v>532</v>
      </c>
      <c r="B329" s="143" t="s">
        <v>548</v>
      </c>
      <c r="C329" s="143">
        <v>0.21923599999999999</v>
      </c>
      <c r="D329" s="143">
        <v>17.077999999999999</v>
      </c>
      <c r="E329" s="143">
        <v>20.714200000000002</v>
      </c>
      <c r="F329" s="143">
        <v>2.88531E-2</v>
      </c>
      <c r="G329" s="143" t="s">
        <v>379</v>
      </c>
      <c r="H329" s="143" t="s">
        <v>379</v>
      </c>
    </row>
    <row r="330" spans="1:8" ht="15" customHeight="1" x14ac:dyDescent="0.25">
      <c r="A330" s="143" t="s">
        <v>532</v>
      </c>
      <c r="B330" s="143" t="s">
        <v>549</v>
      </c>
      <c r="C330" s="143">
        <v>2.5945100000000001E-4</v>
      </c>
      <c r="D330" s="143">
        <v>0</v>
      </c>
      <c r="E330" s="143">
        <v>0</v>
      </c>
      <c r="F330" s="143">
        <v>0</v>
      </c>
      <c r="G330" s="143" t="s">
        <v>379</v>
      </c>
      <c r="H330" s="143" t="s">
        <v>379</v>
      </c>
    </row>
    <row r="331" spans="1:8" ht="15" customHeight="1" x14ac:dyDescent="0.25">
      <c r="A331" s="143" t="s">
        <v>532</v>
      </c>
      <c r="B331" s="143" t="s">
        <v>550</v>
      </c>
      <c r="C331" s="143">
        <v>0.200875</v>
      </c>
      <c r="D331" s="143">
        <v>19.603000000000002</v>
      </c>
      <c r="E331" s="143">
        <v>17.863299999999999</v>
      </c>
      <c r="F331" s="143">
        <v>4.41065E-2</v>
      </c>
      <c r="G331" s="143" t="s">
        <v>379</v>
      </c>
      <c r="H331" s="143" t="s">
        <v>379</v>
      </c>
    </row>
    <row r="332" spans="1:8" ht="15" customHeight="1" x14ac:dyDescent="0.25">
      <c r="A332" s="143" t="s">
        <v>532</v>
      </c>
      <c r="B332" s="143" t="s">
        <v>551</v>
      </c>
      <c r="C332" s="143">
        <v>0.172678</v>
      </c>
      <c r="D332" s="143">
        <v>7.8969500000000004</v>
      </c>
      <c r="E332" s="143">
        <v>18.997800000000002</v>
      </c>
      <c r="F332" s="143">
        <v>6.8783100000000003E-3</v>
      </c>
      <c r="G332" s="143" t="s">
        <v>379</v>
      </c>
      <c r="H332" s="143" t="s">
        <v>379</v>
      </c>
    </row>
    <row r="333" spans="1:8" ht="15" customHeight="1" x14ac:dyDescent="0.25">
      <c r="A333" s="143" t="s">
        <v>552</v>
      </c>
      <c r="B333" s="143" t="s">
        <v>553</v>
      </c>
      <c r="C333" s="143">
        <v>0.160053</v>
      </c>
      <c r="D333" s="143">
        <v>6.80938</v>
      </c>
      <c r="E333" s="143">
        <v>18.203399999999998</v>
      </c>
      <c r="F333" s="143">
        <v>4.7021900000000002E-3</v>
      </c>
      <c r="G333" s="143" t="s">
        <v>379</v>
      </c>
      <c r="H333" s="143" t="s">
        <v>379</v>
      </c>
    </row>
    <row r="334" spans="1:8" ht="15" customHeight="1" x14ac:dyDescent="0.25">
      <c r="A334" s="143" t="s">
        <v>552</v>
      </c>
      <c r="B334" s="143" t="s">
        <v>554</v>
      </c>
      <c r="C334" s="143">
        <v>8.23575E-2</v>
      </c>
      <c r="D334" s="143">
        <v>55.278700000000001</v>
      </c>
      <c r="E334" s="143">
        <v>6.0789099999999996</v>
      </c>
      <c r="F334" s="143">
        <v>5.1011199999999998E-3</v>
      </c>
      <c r="G334" s="143" t="s">
        <v>379</v>
      </c>
      <c r="H334" s="143" t="s">
        <v>379</v>
      </c>
    </row>
    <row r="335" spans="1:8" ht="15" customHeight="1" x14ac:dyDescent="0.25">
      <c r="A335" s="143" t="s">
        <v>552</v>
      </c>
      <c r="B335" s="143" t="s">
        <v>555</v>
      </c>
      <c r="C335" s="143">
        <v>0.19146299999999999</v>
      </c>
      <c r="D335" s="143">
        <v>15.8164</v>
      </c>
      <c r="E335" s="143">
        <v>17.575500000000002</v>
      </c>
      <c r="F335" s="143">
        <v>3.3124399999999998E-2</v>
      </c>
      <c r="G335" s="143" t="s">
        <v>379</v>
      </c>
      <c r="H335" s="143" t="s">
        <v>379</v>
      </c>
    </row>
    <row r="336" spans="1:8" ht="15" customHeight="1" x14ac:dyDescent="0.25">
      <c r="A336" s="143" t="s">
        <v>552</v>
      </c>
      <c r="B336" s="143" t="s">
        <v>556</v>
      </c>
      <c r="C336" s="143">
        <v>0.17418500000000001</v>
      </c>
      <c r="D336" s="143">
        <v>10.92</v>
      </c>
      <c r="E336" s="143">
        <v>17.903600000000001</v>
      </c>
      <c r="F336" s="143">
        <v>1.7358499999999999E-2</v>
      </c>
      <c r="G336" s="143" t="s">
        <v>379</v>
      </c>
      <c r="H336" s="143" t="s">
        <v>379</v>
      </c>
    </row>
    <row r="337" spans="1:8" ht="15" customHeight="1" x14ac:dyDescent="0.25">
      <c r="A337" s="143" t="s">
        <v>552</v>
      </c>
      <c r="B337" s="143" t="s">
        <v>557</v>
      </c>
      <c r="C337" s="143">
        <v>0.17063500000000001</v>
      </c>
      <c r="D337" s="143">
        <v>9.2990399999999998</v>
      </c>
      <c r="E337" s="143">
        <v>17.502300000000002</v>
      </c>
      <c r="F337" s="143">
        <v>1.30671E-2</v>
      </c>
      <c r="G337" s="143" t="s">
        <v>379</v>
      </c>
      <c r="H337" s="143" t="s">
        <v>379</v>
      </c>
    </row>
    <row r="338" spans="1:8" ht="15" customHeight="1" x14ac:dyDescent="0.25">
      <c r="A338" s="143" t="s">
        <v>558</v>
      </c>
      <c r="B338" s="143" t="s">
        <v>559</v>
      </c>
      <c r="C338" s="143">
        <v>0.21454300000000001</v>
      </c>
      <c r="D338" s="143">
        <v>27.247699999999998</v>
      </c>
      <c r="E338" s="143">
        <v>6.3924599999999998</v>
      </c>
      <c r="F338" s="143">
        <v>3.4614300000000001E-2</v>
      </c>
      <c r="G338" s="143" t="s">
        <v>379</v>
      </c>
      <c r="H338" s="143" t="s">
        <v>379</v>
      </c>
    </row>
    <row r="339" spans="1:8" ht="15" customHeight="1" x14ac:dyDescent="0.25">
      <c r="A339" s="143" t="s">
        <v>558</v>
      </c>
      <c r="B339" s="143" t="s">
        <v>560</v>
      </c>
      <c r="C339" s="143">
        <v>0.104384</v>
      </c>
      <c r="D339" s="143">
        <v>17.032800000000002</v>
      </c>
      <c r="E339" s="143">
        <v>8.5152099999999997</v>
      </c>
      <c r="F339" s="143">
        <v>2.4657700000000001E-2</v>
      </c>
      <c r="G339" s="143" t="s">
        <v>379</v>
      </c>
      <c r="H339" s="143" t="s">
        <v>379</v>
      </c>
    </row>
    <row r="340" spans="1:8" ht="15" customHeight="1" x14ac:dyDescent="0.25">
      <c r="A340" s="143" t="s">
        <v>561</v>
      </c>
      <c r="B340" s="143" t="s">
        <v>562</v>
      </c>
      <c r="C340" s="143">
        <v>8.9704800000000001E-2</v>
      </c>
      <c r="D340" s="143">
        <v>99.8005</v>
      </c>
      <c r="E340" s="143">
        <v>5.2168400000000004</v>
      </c>
      <c r="F340" s="143">
        <v>0</v>
      </c>
      <c r="G340" s="143" t="s">
        <v>379</v>
      </c>
      <c r="H340" s="143" t="s">
        <v>379</v>
      </c>
    </row>
    <row r="341" spans="1:8" ht="15" customHeight="1" x14ac:dyDescent="0.25">
      <c r="A341" s="143" t="s">
        <v>1161</v>
      </c>
      <c r="B341" s="143" t="s">
        <v>1162</v>
      </c>
      <c r="C341" s="143">
        <v>0</v>
      </c>
      <c r="D341" s="143">
        <v>0</v>
      </c>
      <c r="E341" s="143">
        <v>0</v>
      </c>
      <c r="F341" s="143">
        <v>0</v>
      </c>
      <c r="G341" s="143" t="s">
        <v>194</v>
      </c>
      <c r="H341" s="162" t="s">
        <v>194</v>
      </c>
    </row>
    <row r="342" spans="1:8" ht="15" customHeight="1" x14ac:dyDescent="0.25">
      <c r="A342" s="143" t="s">
        <v>1161</v>
      </c>
      <c r="B342" s="143" t="s">
        <v>1163</v>
      </c>
      <c r="C342" s="143">
        <v>0</v>
      </c>
      <c r="D342" s="143">
        <v>0</v>
      </c>
      <c r="E342" s="143">
        <v>0</v>
      </c>
      <c r="F342" s="143">
        <v>0</v>
      </c>
      <c r="G342" s="143" t="s">
        <v>194</v>
      </c>
      <c r="H342" s="162" t="s">
        <v>194</v>
      </c>
    </row>
    <row r="343" spans="1:8" ht="15" customHeight="1" x14ac:dyDescent="0.25">
      <c r="A343" s="143" t="s">
        <v>1161</v>
      </c>
      <c r="B343" s="143" t="s">
        <v>1164</v>
      </c>
      <c r="C343" s="143">
        <v>0</v>
      </c>
      <c r="D343" s="143">
        <v>0</v>
      </c>
      <c r="E343" s="143">
        <v>0</v>
      </c>
      <c r="F343" s="143">
        <v>0</v>
      </c>
      <c r="G343" s="143" t="s">
        <v>194</v>
      </c>
      <c r="H343" s="162" t="s">
        <v>194</v>
      </c>
    </row>
    <row r="344" spans="1:8" ht="15" customHeight="1" x14ac:dyDescent="0.25">
      <c r="A344" s="143" t="s">
        <v>1161</v>
      </c>
      <c r="B344" s="143" t="s">
        <v>1165</v>
      </c>
      <c r="C344" s="143">
        <v>0</v>
      </c>
      <c r="D344" s="143">
        <v>0</v>
      </c>
      <c r="E344" s="143">
        <v>0</v>
      </c>
      <c r="F344" s="143">
        <v>0</v>
      </c>
      <c r="G344" s="143" t="s">
        <v>194</v>
      </c>
      <c r="H344" s="162" t="s">
        <v>194</v>
      </c>
    </row>
    <row r="345" spans="1:8" ht="15" customHeight="1" x14ac:dyDescent="0.25">
      <c r="A345" s="143" t="s">
        <v>1161</v>
      </c>
      <c r="B345" s="143" t="s">
        <v>1166</v>
      </c>
      <c r="C345" s="143">
        <v>0</v>
      </c>
      <c r="D345" s="143">
        <v>0</v>
      </c>
      <c r="E345" s="143">
        <v>0</v>
      </c>
      <c r="F345" s="143">
        <v>0</v>
      </c>
      <c r="G345" s="143" t="s">
        <v>194</v>
      </c>
      <c r="H345" s="162" t="s">
        <v>194</v>
      </c>
    </row>
    <row r="346" spans="1:8" ht="15" customHeight="1" x14ac:dyDescent="0.25">
      <c r="A346" s="143" t="s">
        <v>1161</v>
      </c>
      <c r="B346" s="143" t="s">
        <v>1167</v>
      </c>
      <c r="C346" s="143">
        <v>0</v>
      </c>
      <c r="D346" s="143">
        <v>0</v>
      </c>
      <c r="E346" s="143">
        <v>0</v>
      </c>
      <c r="F346" s="143">
        <v>0</v>
      </c>
      <c r="G346" s="143" t="s">
        <v>194</v>
      </c>
      <c r="H346" s="162" t="s">
        <v>194</v>
      </c>
    </row>
    <row r="347" spans="1:8" ht="15" customHeight="1" x14ac:dyDescent="0.25">
      <c r="A347" s="143" t="s">
        <v>1161</v>
      </c>
      <c r="B347" s="143" t="s">
        <v>1168</v>
      </c>
      <c r="C347" s="143">
        <v>0</v>
      </c>
      <c r="D347" s="143">
        <v>0</v>
      </c>
      <c r="E347" s="143">
        <v>0</v>
      </c>
      <c r="F347" s="143">
        <v>0</v>
      </c>
      <c r="G347" s="143" t="s">
        <v>194</v>
      </c>
      <c r="H347" s="162" t="s">
        <v>194</v>
      </c>
    </row>
    <row r="348" spans="1:8" ht="15" customHeight="1" x14ac:dyDescent="0.25">
      <c r="A348" s="143" t="s">
        <v>1161</v>
      </c>
      <c r="B348" s="143" t="s">
        <v>129</v>
      </c>
      <c r="C348" s="143">
        <v>0</v>
      </c>
      <c r="D348" s="143">
        <v>0</v>
      </c>
      <c r="E348" s="143">
        <v>0</v>
      </c>
      <c r="F348" s="143">
        <v>0</v>
      </c>
      <c r="G348" s="143" t="s">
        <v>194</v>
      </c>
      <c r="H348" s="162" t="s">
        <v>194</v>
      </c>
    </row>
    <row r="349" spans="1:8" ht="15" customHeight="1" x14ac:dyDescent="0.25">
      <c r="A349" s="143" t="s">
        <v>1161</v>
      </c>
      <c r="B349" s="143" t="s">
        <v>1169</v>
      </c>
      <c r="C349" s="143">
        <v>0</v>
      </c>
      <c r="D349" s="143">
        <v>0</v>
      </c>
      <c r="E349" s="143">
        <v>0</v>
      </c>
      <c r="F349" s="143">
        <v>0</v>
      </c>
      <c r="G349" s="143" t="s">
        <v>194</v>
      </c>
      <c r="H349" s="162" t="s">
        <v>194</v>
      </c>
    </row>
    <row r="350" spans="1:8" ht="15" customHeight="1" x14ac:dyDescent="0.25">
      <c r="A350" s="143" t="s">
        <v>1161</v>
      </c>
      <c r="B350" s="143" t="s">
        <v>1170</v>
      </c>
      <c r="C350" s="143">
        <v>0</v>
      </c>
      <c r="D350" s="143">
        <v>0</v>
      </c>
      <c r="E350" s="143">
        <v>0</v>
      </c>
      <c r="F350" s="143">
        <v>0</v>
      </c>
      <c r="G350" s="143" t="s">
        <v>194</v>
      </c>
      <c r="H350" s="162" t="s">
        <v>194</v>
      </c>
    </row>
    <row r="351" spans="1:8" ht="15" customHeight="1" x14ac:dyDescent="0.25">
      <c r="A351" s="143" t="s">
        <v>1161</v>
      </c>
      <c r="B351" s="143" t="s">
        <v>1171</v>
      </c>
      <c r="C351" s="143">
        <v>0</v>
      </c>
      <c r="D351" s="143">
        <v>0</v>
      </c>
      <c r="E351" s="143">
        <v>0</v>
      </c>
      <c r="F351" s="143">
        <v>0</v>
      </c>
      <c r="G351" s="143" t="s">
        <v>194</v>
      </c>
      <c r="H351" s="162" t="s">
        <v>194</v>
      </c>
    </row>
    <row r="352" spans="1:8" ht="15" customHeight="1" x14ac:dyDescent="0.25">
      <c r="A352" s="143" t="s">
        <v>563</v>
      </c>
      <c r="B352" s="143" t="s">
        <v>564</v>
      </c>
      <c r="C352" s="143">
        <v>0</v>
      </c>
      <c r="D352" s="143">
        <v>0</v>
      </c>
      <c r="E352" s="143">
        <v>0</v>
      </c>
      <c r="F352" s="143">
        <v>0</v>
      </c>
      <c r="G352" s="143" t="s">
        <v>194</v>
      </c>
      <c r="H352" s="162" t="s">
        <v>194</v>
      </c>
    </row>
    <row r="353" spans="1:8" ht="15" customHeight="1" x14ac:dyDescent="0.25">
      <c r="A353" s="143" t="s">
        <v>1172</v>
      </c>
      <c r="B353" s="143" t="s">
        <v>1173</v>
      </c>
      <c r="C353" s="143">
        <v>0</v>
      </c>
      <c r="D353" s="143">
        <v>0</v>
      </c>
      <c r="E353" s="143">
        <v>0</v>
      </c>
      <c r="F353" s="143">
        <v>0</v>
      </c>
      <c r="G353" s="143" t="s">
        <v>194</v>
      </c>
      <c r="H353" s="162" t="s">
        <v>194</v>
      </c>
    </row>
    <row r="354" spans="1:8" ht="15" customHeight="1" x14ac:dyDescent="0.25">
      <c r="A354" s="143" t="s">
        <v>565</v>
      </c>
      <c r="B354" s="143" t="s">
        <v>566</v>
      </c>
      <c r="C354" s="143">
        <v>6.3733999999999999E-2</v>
      </c>
      <c r="D354" s="143">
        <v>4.2104600000000003</v>
      </c>
      <c r="E354" s="143">
        <v>7.4283200000000003</v>
      </c>
      <c r="F354" s="143">
        <v>0</v>
      </c>
      <c r="G354" s="143" t="s">
        <v>194</v>
      </c>
      <c r="H354" s="143" t="s">
        <v>379</v>
      </c>
    </row>
    <row r="355" spans="1:8" ht="15" customHeight="1" x14ac:dyDescent="0.25">
      <c r="A355" s="143" t="s">
        <v>565</v>
      </c>
      <c r="B355" s="143" t="s">
        <v>567</v>
      </c>
      <c r="C355" s="143">
        <v>6.9476099999999999E-2</v>
      </c>
      <c r="D355" s="143">
        <v>4.3139000000000003</v>
      </c>
      <c r="E355" s="143">
        <v>7.6323499999999997</v>
      </c>
      <c r="F355" s="143">
        <v>0</v>
      </c>
      <c r="G355" s="143" t="s">
        <v>194</v>
      </c>
      <c r="H355" s="143" t="s">
        <v>379</v>
      </c>
    </row>
    <row r="356" spans="1:8" ht="15" customHeight="1" x14ac:dyDescent="0.25">
      <c r="A356" s="143" t="s">
        <v>565</v>
      </c>
      <c r="B356" s="143" t="s">
        <v>568</v>
      </c>
      <c r="C356" s="143">
        <v>9.8686200000000002E-2</v>
      </c>
      <c r="D356" s="143">
        <v>13.6754</v>
      </c>
      <c r="E356" s="143">
        <v>9.0010899999999996</v>
      </c>
      <c r="F356" s="143">
        <v>2.38278E-2</v>
      </c>
      <c r="G356" s="143" t="s">
        <v>194</v>
      </c>
      <c r="H356" s="143" t="s">
        <v>379</v>
      </c>
    </row>
    <row r="357" spans="1:8" ht="15" customHeight="1" x14ac:dyDescent="0.25">
      <c r="A357" s="143" t="s">
        <v>565</v>
      </c>
      <c r="B357" s="143" t="s">
        <v>569</v>
      </c>
      <c r="C357" s="143">
        <v>5.8965999999999998E-2</v>
      </c>
      <c r="D357" s="143">
        <v>4.5054100000000004</v>
      </c>
      <c r="E357" s="143">
        <v>7.4078900000000001</v>
      </c>
      <c r="F357" s="143">
        <v>1.1713699999999999E-3</v>
      </c>
      <c r="G357" s="143" t="s">
        <v>194</v>
      </c>
      <c r="H357" s="143" t="s">
        <v>379</v>
      </c>
    </row>
    <row r="358" spans="1:8" ht="15" customHeight="1" x14ac:dyDescent="0.25">
      <c r="A358" s="143" t="s">
        <v>570</v>
      </c>
      <c r="B358" s="143" t="s">
        <v>571</v>
      </c>
      <c r="C358" s="143">
        <v>5.4400799999999999E-2</v>
      </c>
      <c r="D358" s="143">
        <v>6.8575699999999999</v>
      </c>
      <c r="E358" s="143">
        <v>1.8025599999999999</v>
      </c>
      <c r="F358" s="143">
        <v>2.7156900000000001E-2</v>
      </c>
      <c r="G358" s="143" t="s">
        <v>379</v>
      </c>
      <c r="H358" s="143" t="s">
        <v>379</v>
      </c>
    </row>
    <row r="359" spans="1:8" ht="15" customHeight="1" x14ac:dyDescent="0.25">
      <c r="A359" s="143" t="s">
        <v>570</v>
      </c>
      <c r="B359" s="143" t="s">
        <v>572</v>
      </c>
      <c r="C359" s="143">
        <v>0.148979</v>
      </c>
      <c r="D359" s="143">
        <v>7.3256899999999998</v>
      </c>
      <c r="E359" s="143">
        <v>14.084899999999999</v>
      </c>
      <c r="F359" s="143">
        <v>1.23318E-2</v>
      </c>
      <c r="G359" s="143" t="s">
        <v>379</v>
      </c>
      <c r="H359" s="143" t="s">
        <v>379</v>
      </c>
    </row>
    <row r="360" spans="1:8" ht="15" customHeight="1" x14ac:dyDescent="0.25">
      <c r="A360" s="143" t="s">
        <v>573</v>
      </c>
      <c r="B360" s="143" t="s">
        <v>574</v>
      </c>
      <c r="C360" s="143">
        <v>0</v>
      </c>
      <c r="D360" s="143">
        <v>0</v>
      </c>
      <c r="E360" s="143">
        <v>0</v>
      </c>
      <c r="F360" s="143">
        <v>0</v>
      </c>
      <c r="G360" s="143" t="s">
        <v>194</v>
      </c>
      <c r="H360" s="162" t="s">
        <v>194</v>
      </c>
    </row>
    <row r="361" spans="1:8" ht="15" customHeight="1" x14ac:dyDescent="0.25">
      <c r="A361" s="143" t="s">
        <v>573</v>
      </c>
      <c r="B361" s="143" t="s">
        <v>575</v>
      </c>
      <c r="C361" s="143">
        <v>0</v>
      </c>
      <c r="D361" s="143">
        <v>0</v>
      </c>
      <c r="E361" s="143">
        <v>0</v>
      </c>
      <c r="F361" s="143">
        <v>0</v>
      </c>
      <c r="G361" s="143" t="s">
        <v>194</v>
      </c>
      <c r="H361" s="162" t="s">
        <v>194</v>
      </c>
    </row>
    <row r="362" spans="1:8" ht="15" customHeight="1" x14ac:dyDescent="0.25">
      <c r="A362" s="143" t="s">
        <v>573</v>
      </c>
      <c r="B362" s="143" t="s">
        <v>576</v>
      </c>
      <c r="C362" s="143">
        <v>0</v>
      </c>
      <c r="D362" s="143">
        <v>0</v>
      </c>
      <c r="E362" s="143">
        <v>0</v>
      </c>
      <c r="F362" s="143">
        <v>0</v>
      </c>
      <c r="G362" s="143" t="s">
        <v>194</v>
      </c>
      <c r="H362" s="162" t="s">
        <v>194</v>
      </c>
    </row>
    <row r="363" spans="1:8" ht="15" customHeight="1" x14ac:dyDescent="0.25">
      <c r="A363" s="143" t="s">
        <v>573</v>
      </c>
      <c r="B363" s="143" t="s">
        <v>116</v>
      </c>
      <c r="C363" s="143">
        <v>0.17238100000000001</v>
      </c>
      <c r="D363" s="143">
        <v>77.263800000000003</v>
      </c>
      <c r="E363" s="143">
        <v>4.8871399999999996</v>
      </c>
      <c r="F363" s="143">
        <v>0.115923</v>
      </c>
      <c r="G363" s="143" t="s">
        <v>379</v>
      </c>
      <c r="H363" s="143" t="s">
        <v>379</v>
      </c>
    </row>
    <row r="364" spans="1:8" ht="15" customHeight="1" x14ac:dyDescent="0.25">
      <c r="A364" s="143" t="s">
        <v>573</v>
      </c>
      <c r="B364" s="143" t="s">
        <v>577</v>
      </c>
      <c r="C364" s="143">
        <v>0</v>
      </c>
      <c r="D364" s="143">
        <v>0</v>
      </c>
      <c r="E364" s="143">
        <v>0</v>
      </c>
      <c r="F364" s="143">
        <v>0</v>
      </c>
      <c r="G364" s="143" t="s">
        <v>194</v>
      </c>
      <c r="H364" s="162" t="s">
        <v>194</v>
      </c>
    </row>
    <row r="365" spans="1:8" ht="15" customHeight="1" x14ac:dyDescent="0.25">
      <c r="A365" s="143" t="s">
        <v>573</v>
      </c>
      <c r="B365" s="143" t="s">
        <v>578</v>
      </c>
      <c r="C365" s="143">
        <v>0</v>
      </c>
      <c r="D365" s="143">
        <v>0</v>
      </c>
      <c r="E365" s="143">
        <v>0</v>
      </c>
      <c r="F365" s="143">
        <v>0</v>
      </c>
      <c r="G365" s="143" t="s">
        <v>194</v>
      </c>
      <c r="H365" s="162" t="s">
        <v>194</v>
      </c>
    </row>
    <row r="366" spans="1:8" ht="15" customHeight="1" x14ac:dyDescent="0.25">
      <c r="A366" s="143" t="s">
        <v>573</v>
      </c>
      <c r="B366" s="143" t="s">
        <v>579</v>
      </c>
      <c r="C366" s="143">
        <v>0</v>
      </c>
      <c r="D366" s="143">
        <v>0</v>
      </c>
      <c r="E366" s="143">
        <v>0</v>
      </c>
      <c r="F366" s="143">
        <v>0</v>
      </c>
      <c r="G366" s="143" t="s">
        <v>194</v>
      </c>
      <c r="H366" s="162" t="s">
        <v>194</v>
      </c>
    </row>
    <row r="367" spans="1:8" ht="15" customHeight="1" x14ac:dyDescent="0.25">
      <c r="A367" s="143" t="s">
        <v>573</v>
      </c>
      <c r="B367" s="143" t="s">
        <v>580</v>
      </c>
      <c r="C367" s="143">
        <v>0</v>
      </c>
      <c r="D367" s="143">
        <v>0</v>
      </c>
      <c r="E367" s="143">
        <v>0</v>
      </c>
      <c r="F367" s="143">
        <v>0</v>
      </c>
      <c r="G367" s="143" t="s">
        <v>194</v>
      </c>
      <c r="H367" s="162" t="s">
        <v>194</v>
      </c>
    </row>
    <row r="368" spans="1:8" ht="15" customHeight="1" x14ac:dyDescent="0.25">
      <c r="A368" s="143" t="s">
        <v>573</v>
      </c>
      <c r="B368" s="143" t="s">
        <v>581</v>
      </c>
      <c r="C368" s="143">
        <v>0</v>
      </c>
      <c r="D368" s="143">
        <v>0</v>
      </c>
      <c r="E368" s="143">
        <v>0</v>
      </c>
      <c r="F368" s="143">
        <v>0</v>
      </c>
      <c r="G368" s="143" t="s">
        <v>194</v>
      </c>
      <c r="H368" s="162" t="s">
        <v>194</v>
      </c>
    </row>
    <row r="369" spans="1:8" ht="15" customHeight="1" x14ac:dyDescent="0.25">
      <c r="A369" s="143" t="s">
        <v>573</v>
      </c>
      <c r="B369" s="143" t="s">
        <v>582</v>
      </c>
      <c r="C369" s="143">
        <v>0</v>
      </c>
      <c r="D369" s="143">
        <v>0</v>
      </c>
      <c r="E369" s="143">
        <v>0</v>
      </c>
      <c r="F369" s="143">
        <v>0</v>
      </c>
      <c r="G369" s="143" t="s">
        <v>194</v>
      </c>
      <c r="H369" s="162" t="s">
        <v>194</v>
      </c>
    </row>
    <row r="370" spans="1:8" ht="15" customHeight="1" x14ac:dyDescent="0.25">
      <c r="A370" s="143" t="s">
        <v>573</v>
      </c>
      <c r="B370" s="143" t="s">
        <v>583</v>
      </c>
      <c r="C370" s="143">
        <v>0.52318100000000001</v>
      </c>
      <c r="D370" s="143">
        <v>69.256900000000002</v>
      </c>
      <c r="E370" s="143">
        <v>5.9041300000000003</v>
      </c>
      <c r="F370" s="143">
        <v>7.9658099999999996E-2</v>
      </c>
      <c r="G370" s="143" t="s">
        <v>379</v>
      </c>
      <c r="H370" s="143" t="s">
        <v>379</v>
      </c>
    </row>
    <row r="371" spans="1:8" ht="15" customHeight="1" x14ac:dyDescent="0.25">
      <c r="A371" s="143" t="s">
        <v>573</v>
      </c>
      <c r="B371" s="143" t="s">
        <v>584</v>
      </c>
      <c r="C371" s="143">
        <v>0</v>
      </c>
      <c r="D371" s="143">
        <v>0</v>
      </c>
      <c r="E371" s="143">
        <v>0</v>
      </c>
      <c r="F371" s="143">
        <v>0</v>
      </c>
      <c r="G371" s="143" t="s">
        <v>194</v>
      </c>
      <c r="H371" s="162" t="s">
        <v>194</v>
      </c>
    </row>
    <row r="372" spans="1:8" ht="15" customHeight="1" x14ac:dyDescent="0.25">
      <c r="A372" s="143" t="s">
        <v>1174</v>
      </c>
      <c r="B372" s="143" t="s">
        <v>1175</v>
      </c>
      <c r="C372" s="143">
        <v>0</v>
      </c>
      <c r="D372" s="143">
        <v>0</v>
      </c>
      <c r="E372" s="143">
        <v>0</v>
      </c>
      <c r="F372" s="143">
        <v>0</v>
      </c>
      <c r="G372" s="143" t="s">
        <v>194</v>
      </c>
      <c r="H372" s="162" t="s">
        <v>194</v>
      </c>
    </row>
    <row r="373" spans="1:8" ht="15" customHeight="1" x14ac:dyDescent="0.25">
      <c r="A373" s="143" t="s">
        <v>585</v>
      </c>
      <c r="B373" s="143" t="s">
        <v>586</v>
      </c>
      <c r="C373" s="143">
        <v>0.33237499999999998</v>
      </c>
      <c r="D373" s="143">
        <v>69.433199999999999</v>
      </c>
      <c r="E373" s="143">
        <v>12.0266</v>
      </c>
      <c r="F373" s="143">
        <v>0.13588800000000001</v>
      </c>
      <c r="G373" s="143" t="s">
        <v>194</v>
      </c>
      <c r="H373" s="143" t="s">
        <v>379</v>
      </c>
    </row>
    <row r="374" spans="1:8" ht="15" customHeight="1" x14ac:dyDescent="0.25">
      <c r="A374" s="143" t="s">
        <v>585</v>
      </c>
      <c r="B374" s="143" t="s">
        <v>587</v>
      </c>
      <c r="C374" s="143">
        <v>0.14496899999999999</v>
      </c>
      <c r="D374" s="143">
        <v>23.698699999999999</v>
      </c>
      <c r="E374" s="143">
        <v>7.6882299999999999</v>
      </c>
      <c r="F374" s="143">
        <v>4.0067100000000001E-2</v>
      </c>
      <c r="G374" s="143" t="s">
        <v>194</v>
      </c>
      <c r="H374" s="143" t="s">
        <v>379</v>
      </c>
    </row>
    <row r="375" spans="1:8" ht="15" customHeight="1" x14ac:dyDescent="0.25">
      <c r="A375" s="143" t="s">
        <v>585</v>
      </c>
      <c r="B375" s="143" t="s">
        <v>588</v>
      </c>
      <c r="C375" s="143">
        <v>0.18005299999999999</v>
      </c>
      <c r="D375" s="143">
        <v>110.27200000000001</v>
      </c>
      <c r="E375" s="143">
        <v>7.42692</v>
      </c>
      <c r="F375" s="143">
        <v>2.6358099999999999E-2</v>
      </c>
      <c r="G375" s="143" t="s">
        <v>194</v>
      </c>
      <c r="H375" s="143" t="s">
        <v>379</v>
      </c>
    </row>
    <row r="376" spans="1:8" ht="15" customHeight="1" x14ac:dyDescent="0.25">
      <c r="A376" s="143" t="s">
        <v>585</v>
      </c>
      <c r="B376" s="143" t="s">
        <v>589</v>
      </c>
      <c r="C376" s="143">
        <v>0.89398</v>
      </c>
      <c r="D376" s="143">
        <v>231.65899999999999</v>
      </c>
      <c r="E376" s="143">
        <v>2.5897600000000001</v>
      </c>
      <c r="F376" s="143">
        <v>0.14677499999999999</v>
      </c>
      <c r="G376" s="143" t="s">
        <v>194</v>
      </c>
      <c r="H376" s="143" t="s">
        <v>379</v>
      </c>
    </row>
    <row r="377" spans="1:8" ht="15" customHeight="1" x14ac:dyDescent="0.25">
      <c r="A377" s="143" t="s">
        <v>585</v>
      </c>
      <c r="B377" s="143" t="s">
        <v>590</v>
      </c>
      <c r="C377" s="143">
        <v>0.29254400000000003</v>
      </c>
      <c r="D377" s="143">
        <v>39.807699999999997</v>
      </c>
      <c r="E377" s="143">
        <v>20.184799999999999</v>
      </c>
      <c r="F377" s="143">
        <v>9.4080499999999997E-2</v>
      </c>
      <c r="G377" s="143" t="s">
        <v>194</v>
      </c>
      <c r="H377" s="143" t="s">
        <v>379</v>
      </c>
    </row>
    <row r="378" spans="1:8" ht="15" customHeight="1" x14ac:dyDescent="0.25">
      <c r="A378" s="143" t="s">
        <v>125</v>
      </c>
      <c r="B378" s="143" t="s">
        <v>1176</v>
      </c>
      <c r="C378" s="143">
        <v>0</v>
      </c>
      <c r="D378" s="143">
        <v>0</v>
      </c>
      <c r="E378" s="143">
        <v>0</v>
      </c>
      <c r="F378" s="143">
        <v>0</v>
      </c>
      <c r="G378" s="143" t="s">
        <v>194</v>
      </c>
      <c r="H378" s="162" t="s">
        <v>194</v>
      </c>
    </row>
    <row r="379" spans="1:8" ht="15" customHeight="1" x14ac:dyDescent="0.25">
      <c r="A379" s="143" t="s">
        <v>125</v>
      </c>
      <c r="B379" s="159" t="s">
        <v>127</v>
      </c>
      <c r="C379" s="143">
        <v>0</v>
      </c>
      <c r="D379" s="143">
        <v>0</v>
      </c>
      <c r="E379" s="143">
        <v>0</v>
      </c>
      <c r="F379" s="143">
        <v>0</v>
      </c>
      <c r="G379" s="143" t="s">
        <v>194</v>
      </c>
      <c r="H379" s="162" t="s">
        <v>194</v>
      </c>
    </row>
    <row r="380" spans="1:8" ht="15" customHeight="1" x14ac:dyDescent="0.25">
      <c r="A380" s="143" t="s">
        <v>125</v>
      </c>
      <c r="B380" s="143" t="s">
        <v>1177</v>
      </c>
      <c r="C380" s="143">
        <v>0</v>
      </c>
      <c r="D380" s="143">
        <v>0</v>
      </c>
      <c r="E380" s="143">
        <v>0</v>
      </c>
      <c r="F380" s="143">
        <v>0</v>
      </c>
      <c r="G380" s="143" t="s">
        <v>194</v>
      </c>
      <c r="H380" s="162" t="s">
        <v>194</v>
      </c>
    </row>
    <row r="381" spans="1:8" ht="15" customHeight="1" x14ac:dyDescent="0.25">
      <c r="A381" s="143" t="s">
        <v>125</v>
      </c>
      <c r="B381" s="143" t="s">
        <v>1178</v>
      </c>
      <c r="C381" s="143">
        <v>0</v>
      </c>
      <c r="D381" s="143">
        <v>0</v>
      </c>
      <c r="E381" s="143">
        <v>0</v>
      </c>
      <c r="F381" s="143">
        <v>0</v>
      </c>
      <c r="G381" s="143" t="s">
        <v>194</v>
      </c>
      <c r="H381" s="162" t="s">
        <v>194</v>
      </c>
    </row>
    <row r="382" spans="1:8" ht="15" customHeight="1" x14ac:dyDescent="0.25">
      <c r="A382" s="143" t="s">
        <v>128</v>
      </c>
      <c r="B382" s="159" t="s">
        <v>130</v>
      </c>
      <c r="C382" s="143">
        <v>0</v>
      </c>
      <c r="D382" s="143">
        <v>0</v>
      </c>
      <c r="E382" s="143">
        <v>0</v>
      </c>
      <c r="F382" s="143">
        <v>0</v>
      </c>
      <c r="G382" s="143" t="s">
        <v>194</v>
      </c>
      <c r="H382" s="162" t="s">
        <v>194</v>
      </c>
    </row>
    <row r="383" spans="1:8" ht="15" customHeight="1" x14ac:dyDescent="0.25">
      <c r="A383" s="143" t="s">
        <v>1179</v>
      </c>
      <c r="B383" s="143" t="s">
        <v>1180</v>
      </c>
      <c r="C383" s="143" t="s">
        <v>1119</v>
      </c>
      <c r="D383" s="143" t="s">
        <v>1119</v>
      </c>
      <c r="E383" s="143" t="s">
        <v>1119</v>
      </c>
      <c r="F383" s="143" t="s">
        <v>1119</v>
      </c>
      <c r="G383" s="143" t="s">
        <v>194</v>
      </c>
      <c r="H383" s="162" t="s">
        <v>194</v>
      </c>
    </row>
    <row r="384" spans="1:8" ht="15" customHeight="1" x14ac:dyDescent="0.25">
      <c r="A384" s="143" t="s">
        <v>1179</v>
      </c>
      <c r="B384" s="143" t="s">
        <v>1181</v>
      </c>
      <c r="C384" s="143">
        <v>0</v>
      </c>
      <c r="D384" s="143">
        <v>0</v>
      </c>
      <c r="E384" s="143">
        <v>0</v>
      </c>
      <c r="F384" s="143">
        <v>0</v>
      </c>
      <c r="G384" s="143" t="s">
        <v>194</v>
      </c>
      <c r="H384" s="162" t="s">
        <v>194</v>
      </c>
    </row>
    <row r="385" spans="1:8" ht="15" customHeight="1" x14ac:dyDescent="0.25">
      <c r="A385" s="143" t="s">
        <v>1179</v>
      </c>
      <c r="B385" s="143" t="s">
        <v>1182</v>
      </c>
      <c r="C385" s="143">
        <v>0</v>
      </c>
      <c r="D385" s="143">
        <v>0</v>
      </c>
      <c r="E385" s="143">
        <v>0</v>
      </c>
      <c r="F385" s="143">
        <v>0</v>
      </c>
      <c r="G385" s="143" t="s">
        <v>194</v>
      </c>
      <c r="H385" s="162" t="s">
        <v>194</v>
      </c>
    </row>
    <row r="386" spans="1:8" ht="15" customHeight="1" x14ac:dyDescent="0.25">
      <c r="A386" s="143" t="s">
        <v>1179</v>
      </c>
      <c r="B386" s="143" t="s">
        <v>1183</v>
      </c>
      <c r="C386" s="143">
        <v>0</v>
      </c>
      <c r="D386" s="143">
        <v>0</v>
      </c>
      <c r="E386" s="143">
        <v>0</v>
      </c>
      <c r="F386" s="143">
        <v>0</v>
      </c>
      <c r="G386" s="143" t="s">
        <v>194</v>
      </c>
      <c r="H386" s="162" t="s">
        <v>194</v>
      </c>
    </row>
    <row r="387" spans="1:8" ht="15" customHeight="1" x14ac:dyDescent="0.25">
      <c r="A387" s="143" t="s">
        <v>591</v>
      </c>
      <c r="B387" s="143" t="s">
        <v>592</v>
      </c>
      <c r="C387" s="143">
        <v>0.26423400000000002</v>
      </c>
      <c r="D387" s="143">
        <v>55.101799999999997</v>
      </c>
      <c r="E387" s="143">
        <v>12.728400000000001</v>
      </c>
      <c r="F387" s="143">
        <v>0.12697900000000001</v>
      </c>
      <c r="G387" s="143" t="s">
        <v>379</v>
      </c>
      <c r="H387" s="143" t="s">
        <v>379</v>
      </c>
    </row>
    <row r="388" spans="1:8" ht="15" customHeight="1" x14ac:dyDescent="0.25">
      <c r="A388" s="143" t="s">
        <v>591</v>
      </c>
      <c r="B388" s="143" t="s">
        <v>594</v>
      </c>
      <c r="C388" s="143">
        <v>0</v>
      </c>
      <c r="D388" s="143">
        <v>0</v>
      </c>
      <c r="E388" s="143">
        <v>0</v>
      </c>
      <c r="F388" s="143">
        <v>0</v>
      </c>
      <c r="G388" s="143" t="s">
        <v>379</v>
      </c>
      <c r="H388" s="162" t="s">
        <v>194</v>
      </c>
    </row>
    <row r="389" spans="1:8" ht="15" customHeight="1" x14ac:dyDescent="0.25">
      <c r="A389" s="143" t="s">
        <v>591</v>
      </c>
      <c r="B389" s="143" t="s">
        <v>595</v>
      </c>
      <c r="C389" s="143">
        <v>0.19256699999999999</v>
      </c>
      <c r="D389" s="143">
        <v>11.678599999999999</v>
      </c>
      <c r="E389" s="143">
        <v>18.1861</v>
      </c>
      <c r="F389" s="143">
        <v>1.90105E-2</v>
      </c>
      <c r="G389" s="143" t="s">
        <v>379</v>
      </c>
      <c r="H389" s="143" t="s">
        <v>379</v>
      </c>
    </row>
    <row r="390" spans="1:8" ht="15" customHeight="1" x14ac:dyDescent="0.25">
      <c r="A390" s="143" t="s">
        <v>591</v>
      </c>
      <c r="B390" s="143" t="s">
        <v>597</v>
      </c>
      <c r="C390" s="143">
        <v>0.12837799999999999</v>
      </c>
      <c r="D390" s="143">
        <v>5.79854</v>
      </c>
      <c r="E390" s="143">
        <v>7.8837799999999998</v>
      </c>
      <c r="F390" s="143">
        <v>6.6030699999999999E-3</v>
      </c>
      <c r="G390" s="143" t="s">
        <v>379</v>
      </c>
      <c r="H390" s="143" t="s">
        <v>379</v>
      </c>
    </row>
    <row r="391" spans="1:8" ht="15" customHeight="1" x14ac:dyDescent="0.25">
      <c r="A391" s="143" t="s">
        <v>598</v>
      </c>
      <c r="B391" s="143" t="s">
        <v>599</v>
      </c>
      <c r="C391" s="143">
        <v>6.9791000000000006E-2</v>
      </c>
      <c r="D391" s="143">
        <v>35.1813</v>
      </c>
      <c r="E391" s="143">
        <v>3.63388</v>
      </c>
      <c r="F391" s="143">
        <v>1.7193199999999999E-2</v>
      </c>
      <c r="G391" s="143" t="s">
        <v>379</v>
      </c>
      <c r="H391" s="143" t="s">
        <v>379</v>
      </c>
    </row>
    <row r="392" spans="1:8" ht="15" customHeight="1" x14ac:dyDescent="0.25">
      <c r="A392" s="143" t="s">
        <v>600</v>
      </c>
      <c r="B392" s="143" t="s">
        <v>132</v>
      </c>
      <c r="C392" s="143">
        <v>0</v>
      </c>
      <c r="D392" s="143">
        <v>0</v>
      </c>
      <c r="E392" s="143">
        <v>0</v>
      </c>
      <c r="F392" s="143">
        <v>0</v>
      </c>
      <c r="G392" s="143" t="s">
        <v>194</v>
      </c>
      <c r="H392" s="162" t="s">
        <v>194</v>
      </c>
    </row>
    <row r="393" spans="1:8" ht="15" customHeight="1" x14ac:dyDescent="0.25">
      <c r="A393" s="143" t="s">
        <v>131</v>
      </c>
      <c r="B393" s="143" t="s">
        <v>1184</v>
      </c>
      <c r="C393" s="143">
        <v>0</v>
      </c>
      <c r="D393" s="143">
        <v>0</v>
      </c>
      <c r="E393" s="143">
        <v>0</v>
      </c>
      <c r="F393" s="143">
        <v>0</v>
      </c>
      <c r="G393" s="143" t="s">
        <v>194</v>
      </c>
      <c r="H393" s="162" t="s">
        <v>194</v>
      </c>
    </row>
    <row r="394" spans="1:8" ht="15" customHeight="1" x14ac:dyDescent="0.25">
      <c r="A394" s="143" t="s">
        <v>601</v>
      </c>
      <c r="B394" s="143" t="s">
        <v>602</v>
      </c>
      <c r="C394" s="143">
        <v>8.9928599999999997E-2</v>
      </c>
      <c r="D394" s="143">
        <v>5.9357100000000003</v>
      </c>
      <c r="E394" s="143">
        <v>10.668799999999999</v>
      </c>
      <c r="F394" s="143">
        <v>0</v>
      </c>
      <c r="G394" s="143" t="s">
        <v>379</v>
      </c>
      <c r="H394" s="143" t="s">
        <v>379</v>
      </c>
    </row>
    <row r="395" spans="1:8" ht="15" customHeight="1" x14ac:dyDescent="0.25">
      <c r="A395" s="143" t="s">
        <v>601</v>
      </c>
      <c r="B395" s="143" t="s">
        <v>603</v>
      </c>
      <c r="C395" s="143">
        <v>5.3736699999999998E-2</v>
      </c>
      <c r="D395" s="143">
        <v>4.2982300000000002</v>
      </c>
      <c r="E395" s="143">
        <v>4.7138999999999998</v>
      </c>
      <c r="F395" s="143">
        <v>0</v>
      </c>
      <c r="G395" s="143" t="s">
        <v>379</v>
      </c>
      <c r="H395" s="143" t="s">
        <v>379</v>
      </c>
    </row>
    <row r="396" spans="1:8" ht="15" customHeight="1" x14ac:dyDescent="0.25">
      <c r="A396" s="143" t="s">
        <v>601</v>
      </c>
      <c r="B396" s="143" t="s">
        <v>604</v>
      </c>
      <c r="C396" s="143">
        <v>9.5203499999999996E-2</v>
      </c>
      <c r="D396" s="143">
        <v>18.638200000000001</v>
      </c>
      <c r="E396" s="143">
        <v>10.3864</v>
      </c>
      <c r="F396" s="143">
        <v>3.6107399999999998E-2</v>
      </c>
      <c r="G396" s="143" t="s">
        <v>379</v>
      </c>
      <c r="H396" s="143" t="s">
        <v>379</v>
      </c>
    </row>
    <row r="397" spans="1:8" ht="15" customHeight="1" x14ac:dyDescent="0.25">
      <c r="A397" s="143" t="s">
        <v>601</v>
      </c>
      <c r="B397" s="143" t="s">
        <v>605</v>
      </c>
      <c r="C397" s="143">
        <v>0.119863</v>
      </c>
      <c r="D397" s="143">
        <v>132.072</v>
      </c>
      <c r="E397" s="143">
        <v>4.2682399999999996</v>
      </c>
      <c r="F397" s="143">
        <v>6.16979E-2</v>
      </c>
      <c r="G397" s="143" t="s">
        <v>379</v>
      </c>
      <c r="H397" s="143" t="s">
        <v>379</v>
      </c>
    </row>
    <row r="398" spans="1:8" ht="15" customHeight="1" x14ac:dyDescent="0.25">
      <c r="A398" s="143" t="s">
        <v>601</v>
      </c>
      <c r="B398" s="143" t="s">
        <v>606</v>
      </c>
      <c r="C398" s="143">
        <v>0.32890200000000003</v>
      </c>
      <c r="D398" s="143">
        <v>73.741799999999998</v>
      </c>
      <c r="E398" s="143">
        <v>9.2968499999999992</v>
      </c>
      <c r="F398" s="143">
        <v>0.17460200000000001</v>
      </c>
      <c r="G398" s="143" t="s">
        <v>379</v>
      </c>
      <c r="H398" s="143" t="s">
        <v>379</v>
      </c>
    </row>
    <row r="399" spans="1:8" ht="15" customHeight="1" x14ac:dyDescent="0.25">
      <c r="A399" s="143" t="s">
        <v>601</v>
      </c>
      <c r="B399" s="143" t="s">
        <v>607</v>
      </c>
      <c r="C399" s="143">
        <v>8.63318E-2</v>
      </c>
      <c r="D399" s="143">
        <v>13.930999999999999</v>
      </c>
      <c r="E399" s="143">
        <v>6.7511099999999997</v>
      </c>
      <c r="F399" s="143">
        <v>2.1734E-2</v>
      </c>
      <c r="G399" s="143" t="s">
        <v>379</v>
      </c>
      <c r="H399" s="143" t="s">
        <v>379</v>
      </c>
    </row>
    <row r="400" spans="1:8" ht="15" customHeight="1" x14ac:dyDescent="0.25">
      <c r="A400" s="143" t="s">
        <v>608</v>
      </c>
      <c r="B400" s="143" t="s">
        <v>609</v>
      </c>
      <c r="C400" s="143">
        <v>7.8887700000000005E-2</v>
      </c>
      <c r="D400" s="143">
        <v>0.73768800000000001</v>
      </c>
      <c r="E400" s="143">
        <v>2.9132600000000002</v>
      </c>
      <c r="F400" s="143">
        <v>0</v>
      </c>
      <c r="G400" s="143" t="s">
        <v>379</v>
      </c>
      <c r="H400" s="143" t="s">
        <v>379</v>
      </c>
    </row>
    <row r="401" spans="1:8" ht="15" customHeight="1" x14ac:dyDescent="0.25">
      <c r="A401" s="143" t="s">
        <v>608</v>
      </c>
      <c r="B401" s="143" t="s">
        <v>610</v>
      </c>
      <c r="C401" s="143">
        <v>6.5173999999999996E-2</v>
      </c>
      <c r="D401" s="143">
        <v>37.975999999999999</v>
      </c>
      <c r="E401" s="143">
        <v>3.6631200000000002</v>
      </c>
      <c r="F401" s="143">
        <v>8.2770399999999994E-3</v>
      </c>
      <c r="G401" s="143" t="s">
        <v>379</v>
      </c>
      <c r="H401" s="143" t="s">
        <v>379</v>
      </c>
    </row>
    <row r="402" spans="1:8" ht="15" customHeight="1" x14ac:dyDescent="0.25">
      <c r="A402" s="143" t="s">
        <v>611</v>
      </c>
      <c r="B402" s="143" t="s">
        <v>612</v>
      </c>
      <c r="C402" s="143">
        <v>0.12501000000000001</v>
      </c>
      <c r="D402" s="143">
        <v>8.5084400000000002</v>
      </c>
      <c r="E402" s="143">
        <v>6.5709</v>
      </c>
      <c r="F402" s="143">
        <v>1.29654E-2</v>
      </c>
      <c r="G402" s="143" t="s">
        <v>379</v>
      </c>
      <c r="H402" s="143" t="s">
        <v>379</v>
      </c>
    </row>
    <row r="403" spans="1:8" ht="15" customHeight="1" x14ac:dyDescent="0.25">
      <c r="A403" s="143" t="s">
        <v>613</v>
      </c>
      <c r="B403" s="143" t="s">
        <v>614</v>
      </c>
      <c r="C403" s="143">
        <v>0.11408500000000001</v>
      </c>
      <c r="D403" s="143">
        <v>6.3340199999999998</v>
      </c>
      <c r="E403" s="143">
        <v>10.993399999999999</v>
      </c>
      <c r="F403" s="143">
        <v>5.45511E-3</v>
      </c>
      <c r="G403" s="143" t="s">
        <v>379</v>
      </c>
      <c r="H403" s="143" t="s">
        <v>379</v>
      </c>
    </row>
    <row r="404" spans="1:8" ht="15" customHeight="1" x14ac:dyDescent="0.25">
      <c r="A404" s="143" t="s">
        <v>613</v>
      </c>
      <c r="B404" s="143" t="s">
        <v>615</v>
      </c>
      <c r="C404" s="143">
        <v>0</v>
      </c>
      <c r="D404" s="143">
        <v>0</v>
      </c>
      <c r="E404" s="143">
        <v>0</v>
      </c>
      <c r="F404" s="143">
        <v>0</v>
      </c>
      <c r="G404" s="143" t="s">
        <v>379</v>
      </c>
      <c r="H404" s="162" t="s">
        <v>194</v>
      </c>
    </row>
    <row r="405" spans="1:8" ht="15" customHeight="1" x14ac:dyDescent="0.25">
      <c r="A405" s="143" t="s">
        <v>1185</v>
      </c>
      <c r="B405" s="143" t="s">
        <v>1186</v>
      </c>
      <c r="C405" s="143">
        <v>0</v>
      </c>
      <c r="D405" s="143">
        <v>0</v>
      </c>
      <c r="E405" s="143">
        <v>0</v>
      </c>
      <c r="F405" s="143">
        <v>0</v>
      </c>
      <c r="G405" s="143" t="s">
        <v>194</v>
      </c>
      <c r="H405" s="162" t="s">
        <v>194</v>
      </c>
    </row>
    <row r="406" spans="1:8" ht="15" customHeight="1" x14ac:dyDescent="0.25">
      <c r="A406" s="143" t="s">
        <v>616</v>
      </c>
      <c r="B406" s="143" t="s">
        <v>616</v>
      </c>
      <c r="C406" s="143">
        <v>0.27294299999999999</v>
      </c>
      <c r="D406" s="143">
        <v>51.550600000000003</v>
      </c>
      <c r="E406" s="143">
        <v>17.2514</v>
      </c>
      <c r="F406" s="143">
        <v>7.6009499999999994E-2</v>
      </c>
      <c r="G406" s="143" t="s">
        <v>194</v>
      </c>
      <c r="H406" s="143" t="s">
        <v>379</v>
      </c>
    </row>
    <row r="407" spans="1:8" ht="15" customHeight="1" x14ac:dyDescent="0.25">
      <c r="A407" s="143" t="s">
        <v>134</v>
      </c>
      <c r="B407" s="159" t="s">
        <v>136</v>
      </c>
      <c r="C407" s="143">
        <v>0</v>
      </c>
      <c r="D407" s="143">
        <v>0</v>
      </c>
      <c r="E407" s="143">
        <v>0</v>
      </c>
      <c r="F407" s="143">
        <v>0</v>
      </c>
      <c r="G407" s="143" t="s">
        <v>194</v>
      </c>
      <c r="H407" s="162" t="s">
        <v>194</v>
      </c>
    </row>
    <row r="408" spans="1:8" ht="15" customHeight="1" x14ac:dyDescent="0.25">
      <c r="A408" s="143" t="s">
        <v>617</v>
      </c>
      <c r="B408" s="143" t="s">
        <v>135</v>
      </c>
      <c r="C408" s="143">
        <v>0.11054899999999999</v>
      </c>
      <c r="D408" s="143">
        <v>15.4155</v>
      </c>
      <c r="E408" s="143">
        <v>9.6946999999999992</v>
      </c>
      <c r="F408" s="143">
        <v>9.1168499999999993E-3</v>
      </c>
      <c r="G408" s="143" t="s">
        <v>194</v>
      </c>
      <c r="H408" s="143" t="s">
        <v>379</v>
      </c>
    </row>
    <row r="409" spans="1:8" ht="15" customHeight="1" x14ac:dyDescent="0.25">
      <c r="A409" s="143" t="s">
        <v>1187</v>
      </c>
      <c r="B409" s="143" t="s">
        <v>1188</v>
      </c>
      <c r="C409" s="143">
        <v>0</v>
      </c>
      <c r="D409" s="143">
        <v>0</v>
      </c>
      <c r="E409" s="143">
        <v>0</v>
      </c>
      <c r="F409" s="143">
        <v>0</v>
      </c>
      <c r="G409" s="143" t="s">
        <v>194</v>
      </c>
      <c r="H409" s="162" t="s">
        <v>194</v>
      </c>
    </row>
    <row r="410" spans="1:8" ht="15" customHeight="1" x14ac:dyDescent="0.25">
      <c r="A410" s="143" t="s">
        <v>618</v>
      </c>
      <c r="B410" s="143" t="s">
        <v>619</v>
      </c>
      <c r="C410" s="143">
        <v>9.0747900000000006E-2</v>
      </c>
      <c r="D410" s="143">
        <v>7.0372500000000002</v>
      </c>
      <c r="E410" s="143">
        <v>6.9403600000000001</v>
      </c>
      <c r="F410" s="143">
        <v>9.5890999999999997E-3</v>
      </c>
      <c r="G410" s="143" t="s">
        <v>379</v>
      </c>
      <c r="H410" s="143" t="s">
        <v>379</v>
      </c>
    </row>
    <row r="411" spans="1:8" ht="15" customHeight="1" x14ac:dyDescent="0.25">
      <c r="A411" s="143" t="s">
        <v>621</v>
      </c>
      <c r="B411" s="143" t="s">
        <v>622</v>
      </c>
      <c r="C411" s="143" t="s">
        <v>1119</v>
      </c>
      <c r="D411" s="143" t="s">
        <v>1119</v>
      </c>
      <c r="E411" s="143" t="s">
        <v>1119</v>
      </c>
      <c r="F411" s="143" t="s">
        <v>1119</v>
      </c>
      <c r="G411" s="143" t="s">
        <v>194</v>
      </c>
      <c r="H411" s="162" t="s">
        <v>194</v>
      </c>
    </row>
    <row r="412" spans="1:8" ht="15" customHeight="1" x14ac:dyDescent="0.25">
      <c r="A412" s="143" t="s">
        <v>623</v>
      </c>
      <c r="B412" s="143" t="s">
        <v>624</v>
      </c>
      <c r="C412" s="143">
        <v>3.11268E-2</v>
      </c>
      <c r="D412" s="143">
        <v>3.7227000000000001</v>
      </c>
      <c r="E412" s="143">
        <v>6.10731</v>
      </c>
      <c r="F412" s="143">
        <v>1.2239499999999999E-3</v>
      </c>
      <c r="G412" s="143" t="s">
        <v>379</v>
      </c>
      <c r="H412" s="143" t="s">
        <v>379</v>
      </c>
    </row>
    <row r="413" spans="1:8" ht="15" customHeight="1" x14ac:dyDescent="0.25">
      <c r="A413" s="143" t="s">
        <v>625</v>
      </c>
      <c r="B413" s="143" t="s">
        <v>626</v>
      </c>
      <c r="C413" s="143">
        <v>0.19350200000000001</v>
      </c>
      <c r="D413" s="143">
        <v>12.7163</v>
      </c>
      <c r="E413" s="143">
        <v>17.8309</v>
      </c>
      <c r="F413" s="143">
        <v>7.61373E-3</v>
      </c>
      <c r="G413" s="143" t="s">
        <v>379</v>
      </c>
      <c r="H413" s="143" t="s">
        <v>379</v>
      </c>
    </row>
    <row r="414" spans="1:8" ht="15" customHeight="1" x14ac:dyDescent="0.25">
      <c r="A414" s="143" t="s">
        <v>625</v>
      </c>
      <c r="B414" s="143" t="s">
        <v>627</v>
      </c>
      <c r="C414" s="143">
        <v>0.157773</v>
      </c>
      <c r="D414" s="143">
        <v>11.669499999999999</v>
      </c>
      <c r="E414" s="143">
        <v>15.390599999999999</v>
      </c>
      <c r="F414" s="143">
        <v>6.4165400000000001E-3</v>
      </c>
      <c r="G414" s="143" t="s">
        <v>379</v>
      </c>
      <c r="H414" s="143" t="s">
        <v>379</v>
      </c>
    </row>
    <row r="415" spans="1:8" ht="15" customHeight="1" x14ac:dyDescent="0.25">
      <c r="A415" s="143" t="s">
        <v>625</v>
      </c>
      <c r="B415" s="143" t="s">
        <v>628</v>
      </c>
      <c r="C415" s="143">
        <v>0.224138</v>
      </c>
      <c r="D415" s="143">
        <v>133.01900000000001</v>
      </c>
      <c r="E415" s="143">
        <v>7.1558900000000003</v>
      </c>
      <c r="F415" s="143">
        <v>1.5808900000000001E-2</v>
      </c>
      <c r="G415" s="143" t="s">
        <v>379</v>
      </c>
      <c r="H415" s="143" t="s">
        <v>379</v>
      </c>
    </row>
    <row r="416" spans="1:8" ht="15" customHeight="1" x14ac:dyDescent="0.25">
      <c r="A416" s="143" t="s">
        <v>629</v>
      </c>
      <c r="B416" s="143" t="s">
        <v>630</v>
      </c>
      <c r="C416" s="143">
        <v>0.22755500000000001</v>
      </c>
      <c r="D416" s="143">
        <v>22.9343</v>
      </c>
      <c r="E416" s="143">
        <v>18.678799999999999</v>
      </c>
      <c r="F416" s="143">
        <v>4.0899999999999999E-2</v>
      </c>
      <c r="G416" s="143" t="s">
        <v>379</v>
      </c>
      <c r="H416" s="143" t="s">
        <v>379</v>
      </c>
    </row>
    <row r="417" spans="1:8" ht="15" customHeight="1" x14ac:dyDescent="0.25">
      <c r="A417" s="143" t="s">
        <v>629</v>
      </c>
      <c r="B417" s="143" t="s">
        <v>631</v>
      </c>
      <c r="C417" s="143">
        <v>0.18653500000000001</v>
      </c>
      <c r="D417" s="143">
        <v>10.6312</v>
      </c>
      <c r="E417" s="143">
        <v>19.153500000000001</v>
      </c>
      <c r="F417" s="143">
        <v>4.8697100000000002E-3</v>
      </c>
      <c r="G417" s="143" t="s">
        <v>379</v>
      </c>
      <c r="H417" s="143" t="s">
        <v>379</v>
      </c>
    </row>
    <row r="418" spans="1:8" ht="15" customHeight="1" x14ac:dyDescent="0.25">
      <c r="A418" s="143" t="s">
        <v>629</v>
      </c>
      <c r="B418" s="143" t="s">
        <v>632</v>
      </c>
      <c r="C418" s="143">
        <v>5.9961899999999999E-2</v>
      </c>
      <c r="D418" s="143">
        <v>8.7242899999999999</v>
      </c>
      <c r="E418" s="143">
        <v>4.6688700000000001</v>
      </c>
      <c r="F418" s="143">
        <v>1.1858499999999999E-2</v>
      </c>
      <c r="G418" s="143" t="s">
        <v>379</v>
      </c>
      <c r="H418" s="143" t="s">
        <v>379</v>
      </c>
    </row>
    <row r="419" spans="1:8" ht="15" customHeight="1" x14ac:dyDescent="0.25">
      <c r="A419" s="143" t="s">
        <v>633</v>
      </c>
      <c r="B419" s="143" t="s">
        <v>634</v>
      </c>
      <c r="C419" s="143">
        <v>0.37255500000000003</v>
      </c>
      <c r="D419" s="143">
        <v>62.1646</v>
      </c>
      <c r="E419" s="143">
        <v>18.5777</v>
      </c>
      <c r="F419" s="143">
        <v>0.17496500000000001</v>
      </c>
      <c r="G419" s="143" t="s">
        <v>379</v>
      </c>
      <c r="H419" s="143" t="s">
        <v>379</v>
      </c>
    </row>
    <row r="420" spans="1:8" ht="15" customHeight="1" x14ac:dyDescent="0.25">
      <c r="A420" s="143" t="s">
        <v>633</v>
      </c>
      <c r="B420" s="143" t="s">
        <v>635</v>
      </c>
      <c r="C420" s="143">
        <v>0.20418600000000001</v>
      </c>
      <c r="D420" s="143">
        <v>7.9332500000000001</v>
      </c>
      <c r="E420" s="143">
        <v>19.587</v>
      </c>
      <c r="F420" s="143">
        <v>2.8176999999999998E-3</v>
      </c>
      <c r="G420" s="143" t="s">
        <v>379</v>
      </c>
      <c r="H420" s="143" t="s">
        <v>379</v>
      </c>
    </row>
    <row r="421" spans="1:8" ht="15" customHeight="1" x14ac:dyDescent="0.25">
      <c r="A421" s="143" t="s">
        <v>633</v>
      </c>
      <c r="B421" s="143" t="s">
        <v>636</v>
      </c>
      <c r="C421" s="143">
        <v>0.105124</v>
      </c>
      <c r="D421" s="143">
        <v>19.669699999999999</v>
      </c>
      <c r="E421" s="143">
        <v>11.049799999999999</v>
      </c>
      <c r="F421" s="143">
        <v>3.5133600000000001E-2</v>
      </c>
      <c r="G421" s="143" t="s">
        <v>379</v>
      </c>
      <c r="H421" s="143" t="s">
        <v>379</v>
      </c>
    </row>
    <row r="422" spans="1:8" ht="15" customHeight="1" x14ac:dyDescent="0.25">
      <c r="A422" s="143" t="s">
        <v>633</v>
      </c>
      <c r="B422" s="143" t="s">
        <v>637</v>
      </c>
      <c r="C422" s="143">
        <v>0.198881</v>
      </c>
      <c r="D422" s="143">
        <v>74.049400000000006</v>
      </c>
      <c r="E422" s="143">
        <v>6.3486000000000002</v>
      </c>
      <c r="F422" s="143">
        <v>3.3022999999999997E-2</v>
      </c>
      <c r="G422" s="143" t="s">
        <v>379</v>
      </c>
      <c r="H422" s="143" t="s">
        <v>379</v>
      </c>
    </row>
    <row r="423" spans="1:8" ht="15" customHeight="1" x14ac:dyDescent="0.25">
      <c r="A423" s="143" t="s">
        <v>638</v>
      </c>
      <c r="B423" s="143" t="s">
        <v>639</v>
      </c>
      <c r="C423" s="143">
        <v>0.18293899999999999</v>
      </c>
      <c r="D423" s="143">
        <v>30.517399999999999</v>
      </c>
      <c r="E423" s="143">
        <v>13.86</v>
      </c>
      <c r="F423" s="143">
        <v>2.8365600000000001E-2</v>
      </c>
      <c r="G423" s="143" t="s">
        <v>379</v>
      </c>
      <c r="H423" s="143" t="s">
        <v>379</v>
      </c>
    </row>
    <row r="424" spans="1:8" ht="15" customHeight="1" x14ac:dyDescent="0.25">
      <c r="A424" s="143" t="s">
        <v>638</v>
      </c>
      <c r="B424" s="143" t="s">
        <v>641</v>
      </c>
      <c r="C424" s="143">
        <v>0.115351</v>
      </c>
      <c r="D424" s="143">
        <v>21.345500000000001</v>
      </c>
      <c r="E424" s="143">
        <v>9.4928899999999992</v>
      </c>
      <c r="F424" s="143">
        <v>1.11682E-2</v>
      </c>
      <c r="G424" s="143" t="s">
        <v>379</v>
      </c>
      <c r="H424" s="143" t="s">
        <v>379</v>
      </c>
    </row>
    <row r="425" spans="1:8" ht="15" customHeight="1" x14ac:dyDescent="0.25">
      <c r="A425" s="143" t="s">
        <v>643</v>
      </c>
      <c r="B425" s="143" t="s">
        <v>644</v>
      </c>
      <c r="C425" s="143">
        <v>4.3928599999999998E-2</v>
      </c>
      <c r="D425" s="143">
        <v>5.6529199999999999</v>
      </c>
      <c r="E425" s="143">
        <v>9.7940000000000005</v>
      </c>
      <c r="F425" s="143">
        <v>1.55802E-4</v>
      </c>
      <c r="G425" s="143" t="s">
        <v>379</v>
      </c>
      <c r="H425" s="143" t="s">
        <v>379</v>
      </c>
    </row>
    <row r="426" spans="1:8" ht="15" customHeight="1" x14ac:dyDescent="0.25">
      <c r="A426" s="143" t="s">
        <v>645</v>
      </c>
      <c r="B426" s="143" t="s">
        <v>646</v>
      </c>
      <c r="C426" s="143">
        <v>0.18986500000000001</v>
      </c>
      <c r="D426" s="143">
        <v>12.1409</v>
      </c>
      <c r="E426" s="143">
        <v>19.261299999999999</v>
      </c>
      <c r="F426" s="143">
        <v>1.83754E-2</v>
      </c>
      <c r="G426" s="143" t="s">
        <v>379</v>
      </c>
      <c r="H426" s="143" t="s">
        <v>379</v>
      </c>
    </row>
    <row r="427" spans="1:8" ht="15" customHeight="1" x14ac:dyDescent="0.25">
      <c r="A427" s="143" t="s">
        <v>645</v>
      </c>
      <c r="B427" s="143" t="s">
        <v>647</v>
      </c>
      <c r="C427" s="143">
        <v>1.7321E-2</v>
      </c>
      <c r="D427" s="143">
        <v>0.88209400000000004</v>
      </c>
      <c r="E427" s="143">
        <v>1.81012</v>
      </c>
      <c r="F427" s="143">
        <v>0</v>
      </c>
      <c r="G427" s="143" t="s">
        <v>379</v>
      </c>
      <c r="H427" s="143" t="s">
        <v>379</v>
      </c>
    </row>
    <row r="428" spans="1:8" ht="15" customHeight="1" x14ac:dyDescent="0.25">
      <c r="A428" s="143" t="s">
        <v>645</v>
      </c>
      <c r="B428" s="143" t="s">
        <v>648</v>
      </c>
      <c r="C428" s="143">
        <v>0.44373600000000002</v>
      </c>
      <c r="D428" s="143">
        <v>75.497100000000003</v>
      </c>
      <c r="E428" s="143">
        <v>22.8292</v>
      </c>
      <c r="F428" s="143">
        <v>0.175426</v>
      </c>
      <c r="G428" s="143" t="s">
        <v>379</v>
      </c>
      <c r="H428" s="143" t="s">
        <v>379</v>
      </c>
    </row>
    <row r="429" spans="1:8" ht="15" customHeight="1" x14ac:dyDescent="0.25">
      <c r="A429" s="143" t="s">
        <v>649</v>
      </c>
      <c r="B429" s="143" t="s">
        <v>650</v>
      </c>
      <c r="C429" s="143">
        <v>0.299539</v>
      </c>
      <c r="D429" s="143">
        <v>16.079499999999999</v>
      </c>
      <c r="E429" s="143">
        <v>13.7201</v>
      </c>
      <c r="F429" s="143">
        <v>1.4806100000000001E-2</v>
      </c>
      <c r="G429" s="143" t="s">
        <v>379</v>
      </c>
      <c r="H429" s="143" t="s">
        <v>379</v>
      </c>
    </row>
    <row r="430" spans="1:8" ht="15" customHeight="1" x14ac:dyDescent="0.25">
      <c r="A430" s="143" t="s">
        <v>649</v>
      </c>
      <c r="B430" s="143" t="s">
        <v>651</v>
      </c>
      <c r="C430" s="143">
        <v>6.3138399999999997E-2</v>
      </c>
      <c r="D430" s="143">
        <v>9.8184900000000006</v>
      </c>
      <c r="E430" s="143">
        <v>10.0321</v>
      </c>
      <c r="F430" s="143">
        <v>8.9267800000000005E-3</v>
      </c>
      <c r="G430" s="143" t="s">
        <v>379</v>
      </c>
      <c r="H430" s="143" t="s">
        <v>379</v>
      </c>
    </row>
    <row r="431" spans="1:8" ht="15" customHeight="1" x14ac:dyDescent="0.25">
      <c r="A431" s="143" t="s">
        <v>649</v>
      </c>
      <c r="B431" s="143" t="s">
        <v>652</v>
      </c>
      <c r="C431" s="143">
        <v>0.15110000000000001</v>
      </c>
      <c r="D431" s="143">
        <v>25.114999999999998</v>
      </c>
      <c r="E431" s="143">
        <v>9.0530399999999993</v>
      </c>
      <c r="F431" s="143">
        <v>3.6664799999999997E-2</v>
      </c>
      <c r="G431" s="143" t="s">
        <v>379</v>
      </c>
      <c r="H431" s="143" t="s">
        <v>379</v>
      </c>
    </row>
    <row r="432" spans="1:8" ht="15" customHeight="1" x14ac:dyDescent="0.25">
      <c r="A432" s="143" t="s">
        <v>649</v>
      </c>
      <c r="B432" s="143" t="s">
        <v>653</v>
      </c>
      <c r="C432" s="143">
        <v>0.157994</v>
      </c>
      <c r="D432" s="143">
        <v>10.122999999999999</v>
      </c>
      <c r="E432" s="143">
        <v>15.0078</v>
      </c>
      <c r="F432" s="143">
        <v>7.4714300000000003E-3</v>
      </c>
      <c r="G432" s="143" t="s">
        <v>379</v>
      </c>
      <c r="H432" s="143" t="s">
        <v>379</v>
      </c>
    </row>
    <row r="433" spans="1:8" ht="15" customHeight="1" x14ac:dyDescent="0.25">
      <c r="A433" s="143" t="s">
        <v>649</v>
      </c>
      <c r="B433" s="159" t="s">
        <v>139</v>
      </c>
      <c r="C433" s="143">
        <v>0.1</v>
      </c>
      <c r="D433" s="143">
        <v>14.6768</v>
      </c>
      <c r="E433" s="143">
        <v>9.04054</v>
      </c>
      <c r="F433" s="143">
        <v>1.22536E-2</v>
      </c>
      <c r="G433" s="143" t="s">
        <v>379</v>
      </c>
      <c r="H433" s="143" t="s">
        <v>379</v>
      </c>
    </row>
    <row r="434" spans="1:8" ht="15" customHeight="1" x14ac:dyDescent="0.25">
      <c r="A434" s="143" t="s">
        <v>654</v>
      </c>
      <c r="B434" s="143" t="s">
        <v>655</v>
      </c>
      <c r="C434" s="143">
        <v>0.13369300000000001</v>
      </c>
      <c r="D434" s="143">
        <v>13.060700000000001</v>
      </c>
      <c r="E434" s="143">
        <v>8.0398499999999995</v>
      </c>
      <c r="F434" s="143">
        <v>2.5090000000000001E-2</v>
      </c>
      <c r="G434" s="143" t="s">
        <v>379</v>
      </c>
      <c r="H434" s="143" t="s">
        <v>379</v>
      </c>
    </row>
    <row r="435" spans="1:8" ht="15" customHeight="1" x14ac:dyDescent="0.25">
      <c r="A435" s="143" t="s">
        <v>654</v>
      </c>
      <c r="B435" s="143" t="s">
        <v>656</v>
      </c>
      <c r="C435" s="143">
        <v>7.5997099999999998E-2</v>
      </c>
      <c r="D435" s="143">
        <v>4.2380899999999997</v>
      </c>
      <c r="E435" s="143">
        <v>6.9395899999999999</v>
      </c>
      <c r="F435" s="143">
        <v>0</v>
      </c>
      <c r="G435" s="143" t="s">
        <v>379</v>
      </c>
      <c r="H435" s="143" t="s">
        <v>379</v>
      </c>
    </row>
    <row r="436" spans="1:8" ht="15" customHeight="1" x14ac:dyDescent="0.25">
      <c r="A436" s="143" t="s">
        <v>654</v>
      </c>
      <c r="B436" s="143" t="s">
        <v>657</v>
      </c>
      <c r="C436" s="143">
        <v>0.109828</v>
      </c>
      <c r="D436" s="143">
        <v>3.1710099999999999</v>
      </c>
      <c r="E436" s="143">
        <v>8.6828599999999998</v>
      </c>
      <c r="F436" s="143">
        <v>1.3706100000000001E-4</v>
      </c>
      <c r="G436" s="143" t="s">
        <v>379</v>
      </c>
      <c r="H436" s="143" t="s">
        <v>379</v>
      </c>
    </row>
    <row r="437" spans="1:8" ht="15" customHeight="1" x14ac:dyDescent="0.25">
      <c r="A437" s="143" t="s">
        <v>654</v>
      </c>
      <c r="B437" s="141" t="s">
        <v>11</v>
      </c>
      <c r="C437" s="143">
        <v>0.177427</v>
      </c>
      <c r="D437" s="143">
        <v>20.071000000000002</v>
      </c>
      <c r="E437" s="143">
        <v>11.2987</v>
      </c>
      <c r="F437" s="143">
        <v>3.4621499999999999E-2</v>
      </c>
      <c r="G437" s="143" t="s">
        <v>379</v>
      </c>
      <c r="H437" s="143" t="s">
        <v>379</v>
      </c>
    </row>
    <row r="438" spans="1:8" ht="15" customHeight="1" x14ac:dyDescent="0.25">
      <c r="A438" s="143" t="s">
        <v>654</v>
      </c>
      <c r="B438" s="143" t="s">
        <v>658</v>
      </c>
      <c r="C438" s="143">
        <v>7.1760500000000005E-2</v>
      </c>
      <c r="D438" s="143">
        <v>13.4047</v>
      </c>
      <c r="E438" s="143">
        <v>8.3444900000000004</v>
      </c>
      <c r="F438" s="143">
        <v>2.3621900000000001E-2</v>
      </c>
      <c r="G438" s="143" t="s">
        <v>379</v>
      </c>
      <c r="H438" s="143" t="s">
        <v>379</v>
      </c>
    </row>
    <row r="439" spans="1:8" ht="15" customHeight="1" x14ac:dyDescent="0.25">
      <c r="A439" s="143" t="s">
        <v>654</v>
      </c>
      <c r="B439" s="143" t="s">
        <v>659</v>
      </c>
      <c r="C439" s="143">
        <v>7.7673099999999995E-2</v>
      </c>
      <c r="D439" s="143">
        <v>12.560499999999999</v>
      </c>
      <c r="E439" s="143">
        <v>4.2868300000000001</v>
      </c>
      <c r="F439" s="143">
        <v>5.7934300000000001E-2</v>
      </c>
      <c r="G439" s="143" t="s">
        <v>379</v>
      </c>
      <c r="H439" s="143" t="s">
        <v>379</v>
      </c>
    </row>
    <row r="440" spans="1:8" ht="15" customHeight="1" x14ac:dyDescent="0.25">
      <c r="A440" s="143" t="s">
        <v>654</v>
      </c>
      <c r="B440" s="143" t="s">
        <v>660</v>
      </c>
      <c r="C440" s="143">
        <v>7.9901100000000003E-2</v>
      </c>
      <c r="D440" s="143">
        <v>1.0905800000000001</v>
      </c>
      <c r="E440" s="143">
        <v>4.3585099999999999</v>
      </c>
      <c r="F440" s="143">
        <v>0</v>
      </c>
      <c r="G440" s="143" t="s">
        <v>379</v>
      </c>
      <c r="H440" s="143" t="s">
        <v>379</v>
      </c>
    </row>
    <row r="441" spans="1:8" ht="15" customHeight="1" x14ac:dyDescent="0.25">
      <c r="A441" s="143" t="s">
        <v>654</v>
      </c>
      <c r="B441" s="143" t="s">
        <v>661</v>
      </c>
      <c r="C441" s="143">
        <v>0.22966300000000001</v>
      </c>
      <c r="D441" s="143">
        <v>10.8682</v>
      </c>
      <c r="E441" s="143">
        <v>23.953900000000001</v>
      </c>
      <c r="F441" s="143">
        <v>8.9567099999999997E-3</v>
      </c>
      <c r="G441" s="143" t="s">
        <v>379</v>
      </c>
      <c r="H441" s="143" t="s">
        <v>379</v>
      </c>
    </row>
    <row r="442" spans="1:8" ht="15" customHeight="1" x14ac:dyDescent="0.25">
      <c r="A442" s="143" t="s">
        <v>654</v>
      </c>
      <c r="B442" s="143" t="s">
        <v>662</v>
      </c>
      <c r="C442" s="143">
        <v>0.53025299999999997</v>
      </c>
      <c r="D442" s="143">
        <v>224.70599999999999</v>
      </c>
      <c r="E442" s="143">
        <v>14.6374</v>
      </c>
      <c r="F442" s="143">
        <v>2.9853299999999999E-2</v>
      </c>
      <c r="G442" s="143" t="s">
        <v>379</v>
      </c>
      <c r="H442" s="143" t="s">
        <v>379</v>
      </c>
    </row>
    <row r="443" spans="1:8" ht="15" customHeight="1" x14ac:dyDescent="0.25">
      <c r="A443" s="143" t="s">
        <v>654</v>
      </c>
      <c r="B443" s="143" t="s">
        <v>663</v>
      </c>
      <c r="C443" s="143">
        <v>2.4651800000000001E-2</v>
      </c>
      <c r="D443" s="143">
        <v>0.40868900000000002</v>
      </c>
      <c r="E443" s="143">
        <v>0.85931199999999996</v>
      </c>
      <c r="F443" s="143">
        <v>6.4683099999999995E-4</v>
      </c>
      <c r="G443" s="143" t="s">
        <v>379</v>
      </c>
      <c r="H443" s="143" t="s">
        <v>379</v>
      </c>
    </row>
    <row r="444" spans="1:8" ht="15" customHeight="1" x14ac:dyDescent="0.25">
      <c r="A444" s="143" t="s">
        <v>7</v>
      </c>
      <c r="B444" s="143" t="s">
        <v>664</v>
      </c>
      <c r="C444" s="143">
        <v>0.315745</v>
      </c>
      <c r="D444" s="143">
        <v>41.607100000000003</v>
      </c>
      <c r="E444" s="143">
        <v>21.418199999999999</v>
      </c>
      <c r="F444" s="143">
        <v>8.1250000000000003E-2</v>
      </c>
      <c r="G444" s="143" t="s">
        <v>194</v>
      </c>
      <c r="H444" s="143" t="s">
        <v>379</v>
      </c>
    </row>
    <row r="445" spans="1:8" ht="15" customHeight="1" x14ac:dyDescent="0.25">
      <c r="A445" s="143" t="s">
        <v>7</v>
      </c>
      <c r="B445" s="143" t="s">
        <v>8</v>
      </c>
      <c r="C445" s="143" t="s">
        <v>1119</v>
      </c>
      <c r="D445" s="143" t="s">
        <v>1119</v>
      </c>
      <c r="E445" s="143" t="s">
        <v>1119</v>
      </c>
      <c r="F445" s="143" t="s">
        <v>1119</v>
      </c>
      <c r="G445" s="143" t="s">
        <v>194</v>
      </c>
      <c r="H445" s="162" t="s">
        <v>194</v>
      </c>
    </row>
    <row r="446" spans="1:8" ht="15" customHeight="1" x14ac:dyDescent="0.25">
      <c r="A446" s="143" t="s">
        <v>665</v>
      </c>
      <c r="B446" s="143" t="s">
        <v>666</v>
      </c>
      <c r="C446" s="143">
        <v>0.11104600000000001</v>
      </c>
      <c r="D446" s="143">
        <v>15.4818</v>
      </c>
      <c r="E446" s="143">
        <v>9.8106600000000004</v>
      </c>
      <c r="F446" s="143">
        <v>9.0113899999999993E-3</v>
      </c>
      <c r="G446" s="143" t="s">
        <v>194</v>
      </c>
      <c r="H446" s="143" t="s">
        <v>379</v>
      </c>
    </row>
    <row r="447" spans="1:8" ht="15" customHeight="1" x14ac:dyDescent="0.25">
      <c r="A447" s="143" t="s">
        <v>665</v>
      </c>
      <c r="B447" s="143" t="s">
        <v>667</v>
      </c>
      <c r="C447" s="143">
        <v>7.4426099999999995E-2</v>
      </c>
      <c r="D447" s="143">
        <v>5.65787</v>
      </c>
      <c r="E447" s="143">
        <v>10.1234</v>
      </c>
      <c r="F447" s="143">
        <v>0</v>
      </c>
      <c r="G447" s="143" t="s">
        <v>194</v>
      </c>
      <c r="H447" s="143" t="s">
        <v>379</v>
      </c>
    </row>
    <row r="448" spans="1:8" ht="15" customHeight="1" x14ac:dyDescent="0.25">
      <c r="A448" s="143" t="s">
        <v>665</v>
      </c>
      <c r="B448" s="143" t="s">
        <v>668</v>
      </c>
      <c r="C448" s="143">
        <v>7.0669399999999993E-2</v>
      </c>
      <c r="D448" s="143">
        <v>5.9091699999999996</v>
      </c>
      <c r="E448" s="143">
        <v>10.4245</v>
      </c>
      <c r="F448" s="143">
        <v>0</v>
      </c>
      <c r="G448" s="143" t="s">
        <v>194</v>
      </c>
      <c r="H448" s="143" t="s">
        <v>379</v>
      </c>
    </row>
    <row r="449" spans="1:8" ht="15" customHeight="1" x14ac:dyDescent="0.25">
      <c r="A449" s="143" t="s">
        <v>665</v>
      </c>
      <c r="B449" s="143" t="s">
        <v>669</v>
      </c>
      <c r="C449" s="143">
        <v>6.1473600000000003E-2</v>
      </c>
      <c r="D449" s="143">
        <v>5.1674600000000002</v>
      </c>
      <c r="E449" s="143">
        <v>9.1863100000000006</v>
      </c>
      <c r="F449" s="143">
        <v>0</v>
      </c>
      <c r="G449" s="143" t="s">
        <v>194</v>
      </c>
      <c r="H449" s="143" t="s">
        <v>379</v>
      </c>
    </row>
    <row r="450" spans="1:8" ht="15" customHeight="1" x14ac:dyDescent="0.25">
      <c r="A450" s="143" t="s">
        <v>665</v>
      </c>
      <c r="B450" s="143" t="s">
        <v>670</v>
      </c>
      <c r="C450" s="143">
        <v>5.4351700000000003E-2</v>
      </c>
      <c r="D450" s="143">
        <v>5.7818500000000004</v>
      </c>
      <c r="E450" s="143">
        <v>7.3270799999999996</v>
      </c>
      <c r="F450" s="143">
        <v>6.1269200000000001E-3</v>
      </c>
      <c r="G450" s="143" t="s">
        <v>194</v>
      </c>
      <c r="H450" s="143" t="s">
        <v>379</v>
      </c>
    </row>
    <row r="451" spans="1:8" ht="15" customHeight="1" x14ac:dyDescent="0.25">
      <c r="A451" s="143" t="s">
        <v>671</v>
      </c>
      <c r="B451" s="143" t="s">
        <v>672</v>
      </c>
      <c r="C451" s="143">
        <v>0.182807</v>
      </c>
      <c r="D451" s="143">
        <v>8.2283000000000008</v>
      </c>
      <c r="E451" s="143">
        <v>18.429200000000002</v>
      </c>
      <c r="F451" s="143">
        <v>8.4811599999999997E-3</v>
      </c>
      <c r="G451" s="143" t="s">
        <v>379</v>
      </c>
      <c r="H451" s="143" t="s">
        <v>379</v>
      </c>
    </row>
    <row r="452" spans="1:8" ht="15" customHeight="1" x14ac:dyDescent="0.25">
      <c r="A452" s="143" t="s">
        <v>671</v>
      </c>
      <c r="B452" s="143" t="s">
        <v>673</v>
      </c>
      <c r="C452" s="143">
        <v>7.3857099999999995E-2</v>
      </c>
      <c r="D452" s="143">
        <v>11.117599999999999</v>
      </c>
      <c r="E452" s="143">
        <v>3.0676899999999998</v>
      </c>
      <c r="F452" s="143">
        <v>2.73335E-2</v>
      </c>
      <c r="G452" s="143" t="s">
        <v>379</v>
      </c>
      <c r="H452" s="143" t="s">
        <v>379</v>
      </c>
    </row>
    <row r="453" spans="1:8" ht="15" customHeight="1" x14ac:dyDescent="0.25">
      <c r="A453" s="143" t="s">
        <v>671</v>
      </c>
      <c r="B453" s="143" t="s">
        <v>674</v>
      </c>
      <c r="C453" s="143">
        <v>6.8299600000000002E-2</v>
      </c>
      <c r="D453" s="143">
        <v>5.4451499999999999</v>
      </c>
      <c r="E453" s="143">
        <v>8.5799400000000006</v>
      </c>
      <c r="F453" s="143">
        <v>2.4760099999999998E-3</v>
      </c>
      <c r="G453" s="143" t="s">
        <v>379</v>
      </c>
      <c r="H453" s="143" t="s">
        <v>379</v>
      </c>
    </row>
    <row r="454" spans="1:8" ht="15" customHeight="1" x14ac:dyDescent="0.25">
      <c r="A454" s="143" t="s">
        <v>52</v>
      </c>
      <c r="B454" s="143" t="s">
        <v>675</v>
      </c>
      <c r="C454" s="143">
        <v>0.27603100000000003</v>
      </c>
      <c r="D454" s="143">
        <v>162.68899999999999</v>
      </c>
      <c r="E454" s="143">
        <v>6.8928200000000004</v>
      </c>
      <c r="F454" s="143">
        <v>9.3474100000000004E-2</v>
      </c>
      <c r="G454" s="143" t="s">
        <v>379</v>
      </c>
      <c r="H454" s="143" t="s">
        <v>379</v>
      </c>
    </row>
    <row r="455" spans="1:8" ht="15" customHeight="1" x14ac:dyDescent="0.25">
      <c r="A455" s="143" t="s">
        <v>52</v>
      </c>
      <c r="B455" s="143" t="s">
        <v>676</v>
      </c>
      <c r="C455" s="143">
        <v>0.142593</v>
      </c>
      <c r="D455" s="143">
        <v>16.469200000000001</v>
      </c>
      <c r="E455" s="143">
        <v>8.4946599999999997</v>
      </c>
      <c r="F455" s="143">
        <v>3.4334999999999997E-2</v>
      </c>
      <c r="G455" s="143" t="s">
        <v>379</v>
      </c>
      <c r="H455" s="143" t="s">
        <v>379</v>
      </c>
    </row>
    <row r="456" spans="1:8" ht="15" customHeight="1" x14ac:dyDescent="0.25">
      <c r="A456" s="143" t="s">
        <v>52</v>
      </c>
      <c r="B456" s="143" t="s">
        <v>677</v>
      </c>
      <c r="C456" s="143">
        <v>0.255851</v>
      </c>
      <c r="D456" s="143">
        <v>60.875300000000003</v>
      </c>
      <c r="E456" s="143">
        <v>5.1045299999999996</v>
      </c>
      <c r="F456" s="143">
        <v>0.16911799999999999</v>
      </c>
      <c r="G456" s="143" t="s">
        <v>379</v>
      </c>
      <c r="H456" s="143" t="s">
        <v>379</v>
      </c>
    </row>
    <row r="457" spans="1:8" ht="15" customHeight="1" x14ac:dyDescent="0.25">
      <c r="A457" s="143" t="s">
        <v>52</v>
      </c>
      <c r="B457" s="143" t="s">
        <v>678</v>
      </c>
      <c r="C457" s="143">
        <v>0.23861399999999999</v>
      </c>
      <c r="D457" s="143">
        <v>19.511700000000001</v>
      </c>
      <c r="E457" s="143">
        <v>18.384799999999998</v>
      </c>
      <c r="F457" s="143">
        <v>4.1793400000000001E-2</v>
      </c>
      <c r="G457" s="143" t="s">
        <v>379</v>
      </c>
      <c r="H457" s="143" t="s">
        <v>379</v>
      </c>
    </row>
    <row r="458" spans="1:8" ht="15" customHeight="1" x14ac:dyDescent="0.25">
      <c r="A458" s="143" t="s">
        <v>52</v>
      </c>
      <c r="B458" s="143" t="s">
        <v>679</v>
      </c>
      <c r="C458" s="143">
        <v>0.10676099999999999</v>
      </c>
      <c r="D458" s="143">
        <v>18.689699999999998</v>
      </c>
      <c r="E458" s="143">
        <v>5.5573399999999999</v>
      </c>
      <c r="F458" s="143">
        <v>3.4554000000000001E-2</v>
      </c>
      <c r="G458" s="143" t="s">
        <v>379</v>
      </c>
      <c r="H458" s="143" t="s">
        <v>379</v>
      </c>
    </row>
    <row r="459" spans="1:8" ht="15" customHeight="1" x14ac:dyDescent="0.25">
      <c r="A459" s="143" t="s">
        <v>52</v>
      </c>
      <c r="B459" s="143" t="s">
        <v>680</v>
      </c>
      <c r="C459" s="143">
        <v>9.0690199999999999E-2</v>
      </c>
      <c r="D459" s="143">
        <v>4.1687099999999999</v>
      </c>
      <c r="E459" s="143">
        <v>6.2664299999999997</v>
      </c>
      <c r="F459" s="143">
        <v>2.4820100000000002E-3</v>
      </c>
      <c r="G459" s="143" t="s">
        <v>379</v>
      </c>
      <c r="H459" s="143" t="s">
        <v>379</v>
      </c>
    </row>
    <row r="460" spans="1:8" ht="15" customHeight="1" x14ac:dyDescent="0.25">
      <c r="A460" s="143" t="s">
        <v>52</v>
      </c>
      <c r="B460" s="143" t="s">
        <v>681</v>
      </c>
      <c r="C460" s="143">
        <v>8.9904700000000004E-2</v>
      </c>
      <c r="D460" s="143">
        <v>4.9344799999999998</v>
      </c>
      <c r="E460" s="143">
        <v>6.6987800000000002</v>
      </c>
      <c r="F460" s="143">
        <v>3.0665800000000002E-3</v>
      </c>
      <c r="G460" s="143" t="s">
        <v>379</v>
      </c>
      <c r="H460" s="143" t="s">
        <v>379</v>
      </c>
    </row>
    <row r="461" spans="1:8" ht="15" customHeight="1" x14ac:dyDescent="0.25">
      <c r="A461" s="143" t="s">
        <v>52</v>
      </c>
      <c r="B461" s="143" t="s">
        <v>682</v>
      </c>
      <c r="C461" s="143">
        <v>8.3193699999999995E-2</v>
      </c>
      <c r="D461" s="143">
        <v>17.825700000000001</v>
      </c>
      <c r="E461" s="143">
        <v>3.9082400000000002</v>
      </c>
      <c r="F461" s="143">
        <v>5.1652499999999997E-2</v>
      </c>
      <c r="G461" s="143" t="s">
        <v>379</v>
      </c>
      <c r="H461" s="143" t="s">
        <v>379</v>
      </c>
    </row>
    <row r="462" spans="1:8" ht="15" customHeight="1" x14ac:dyDescent="0.25">
      <c r="A462" s="143" t="s">
        <v>52</v>
      </c>
      <c r="B462" s="143" t="s">
        <v>683</v>
      </c>
      <c r="C462" s="143">
        <v>0.145202</v>
      </c>
      <c r="D462" s="143">
        <v>15.2303</v>
      </c>
      <c r="E462" s="143">
        <v>10.3802</v>
      </c>
      <c r="F462" s="143">
        <v>2.6921299999999999E-2</v>
      </c>
      <c r="G462" s="143" t="s">
        <v>379</v>
      </c>
      <c r="H462" s="143" t="s">
        <v>379</v>
      </c>
    </row>
    <row r="463" spans="1:8" ht="15" customHeight="1" x14ac:dyDescent="0.25">
      <c r="A463" s="143" t="s">
        <v>52</v>
      </c>
      <c r="B463" s="143" t="s">
        <v>684</v>
      </c>
      <c r="C463" s="143">
        <v>0.102696</v>
      </c>
      <c r="D463" s="143">
        <v>8.3208099999999998</v>
      </c>
      <c r="E463" s="143">
        <v>7.8254099999999998</v>
      </c>
      <c r="F463" s="143">
        <v>1.35449E-2</v>
      </c>
      <c r="G463" s="143" t="s">
        <v>379</v>
      </c>
      <c r="H463" s="143" t="s">
        <v>379</v>
      </c>
    </row>
    <row r="464" spans="1:8" ht="15" customHeight="1" x14ac:dyDescent="0.25">
      <c r="A464" s="143" t="s">
        <v>52</v>
      </c>
      <c r="B464" s="143" t="s">
        <v>685</v>
      </c>
      <c r="C464" s="143">
        <v>0.341669</v>
      </c>
      <c r="D464" s="143">
        <v>59.146599999999999</v>
      </c>
      <c r="E464" s="143">
        <v>4.2037800000000001</v>
      </c>
      <c r="F464" s="143">
        <v>8.4537799999999996E-2</v>
      </c>
      <c r="G464" s="143" t="s">
        <v>379</v>
      </c>
      <c r="H464" s="143" t="s">
        <v>379</v>
      </c>
    </row>
    <row r="465" spans="1:8" ht="15" customHeight="1" x14ac:dyDescent="0.25">
      <c r="A465" s="143" t="s">
        <v>52</v>
      </c>
      <c r="B465" s="143" t="s">
        <v>686</v>
      </c>
      <c r="C465" s="143">
        <v>0.24321200000000001</v>
      </c>
      <c r="D465" s="143">
        <v>7.4823500000000003</v>
      </c>
      <c r="E465" s="143">
        <v>21.338799999999999</v>
      </c>
      <c r="F465" s="143">
        <v>3.40136E-3</v>
      </c>
      <c r="G465" s="143" t="s">
        <v>379</v>
      </c>
      <c r="H465" s="143" t="s">
        <v>379</v>
      </c>
    </row>
    <row r="466" spans="1:8" ht="15" customHeight="1" x14ac:dyDescent="0.25">
      <c r="A466" s="143" t="s">
        <v>52</v>
      </c>
      <c r="B466" s="143" t="s">
        <v>687</v>
      </c>
      <c r="C466" s="143">
        <v>0.19629199999999999</v>
      </c>
      <c r="D466" s="143">
        <v>29.659500000000001</v>
      </c>
      <c r="E466" s="143">
        <v>11.111000000000001</v>
      </c>
      <c r="F466" s="143">
        <v>7.4892200000000006E-2</v>
      </c>
      <c r="G466" s="143" t="s">
        <v>379</v>
      </c>
      <c r="H466" s="143" t="s">
        <v>379</v>
      </c>
    </row>
    <row r="467" spans="1:8" ht="15" customHeight="1" x14ac:dyDescent="0.25">
      <c r="A467" s="143" t="s">
        <v>52</v>
      </c>
      <c r="B467" s="143" t="s">
        <v>688</v>
      </c>
      <c r="C467" s="143">
        <v>0.13681199999999999</v>
      </c>
      <c r="D467" s="143">
        <v>22.931799999999999</v>
      </c>
      <c r="E467" s="143">
        <v>8.0517599999999998</v>
      </c>
      <c r="F467" s="143">
        <v>7.0971500000000007E-2</v>
      </c>
      <c r="G467" s="143" t="s">
        <v>379</v>
      </c>
      <c r="H467" s="143" t="s">
        <v>379</v>
      </c>
    </row>
    <row r="468" spans="1:8" ht="15" customHeight="1" x14ac:dyDescent="0.25">
      <c r="A468" s="143" t="s">
        <v>52</v>
      </c>
      <c r="B468" s="143" t="s">
        <v>689</v>
      </c>
      <c r="C468" s="143">
        <v>5.2268799999999997E-2</v>
      </c>
      <c r="D468" s="143">
        <v>9.3484200000000008</v>
      </c>
      <c r="E468" s="143">
        <v>7.16195</v>
      </c>
      <c r="F468" s="143">
        <v>1.7963799999999999E-2</v>
      </c>
      <c r="G468" s="143" t="s">
        <v>379</v>
      </c>
      <c r="H468" s="143" t="s">
        <v>379</v>
      </c>
    </row>
    <row r="469" spans="1:8" ht="15" customHeight="1" x14ac:dyDescent="0.25">
      <c r="A469" s="143" t="s">
        <v>52</v>
      </c>
      <c r="B469" s="143" t="s">
        <v>690</v>
      </c>
      <c r="C469" s="143">
        <v>0</v>
      </c>
      <c r="D469" s="143">
        <v>0</v>
      </c>
      <c r="E469" s="143">
        <v>0</v>
      </c>
      <c r="F469" s="143">
        <v>0</v>
      </c>
      <c r="G469" s="143" t="s">
        <v>379</v>
      </c>
      <c r="H469" s="162" t="s">
        <v>194</v>
      </c>
    </row>
    <row r="470" spans="1:8" ht="15" customHeight="1" x14ac:dyDescent="0.25">
      <c r="A470" s="143" t="s">
        <v>691</v>
      </c>
      <c r="B470" s="143" t="s">
        <v>692</v>
      </c>
      <c r="C470" s="143">
        <v>0.49571799999999999</v>
      </c>
      <c r="D470" s="143">
        <v>87.194999999999993</v>
      </c>
      <c r="E470" s="143">
        <v>22.020700000000001</v>
      </c>
      <c r="F470" s="143">
        <v>0.21673999999999999</v>
      </c>
      <c r="G470" s="143" t="s">
        <v>379</v>
      </c>
      <c r="H470" s="143" t="s">
        <v>379</v>
      </c>
    </row>
    <row r="471" spans="1:8" ht="15" customHeight="1" x14ac:dyDescent="0.25">
      <c r="A471" s="143" t="s">
        <v>691</v>
      </c>
      <c r="B471" s="143" t="s">
        <v>693</v>
      </c>
      <c r="C471" s="143">
        <v>0</v>
      </c>
      <c r="D471" s="143">
        <v>0</v>
      </c>
      <c r="E471" s="143">
        <v>0</v>
      </c>
      <c r="F471" s="143">
        <v>0</v>
      </c>
      <c r="G471" s="143" t="s">
        <v>379</v>
      </c>
      <c r="H471" s="162" t="s">
        <v>194</v>
      </c>
    </row>
    <row r="472" spans="1:8" ht="15" customHeight="1" x14ac:dyDescent="0.25">
      <c r="A472" s="143" t="s">
        <v>691</v>
      </c>
      <c r="B472" s="143" t="s">
        <v>694</v>
      </c>
      <c r="C472" s="143">
        <v>0</v>
      </c>
      <c r="D472" s="143">
        <v>0</v>
      </c>
      <c r="E472" s="143">
        <v>0</v>
      </c>
      <c r="F472" s="143">
        <v>0</v>
      </c>
      <c r="G472" s="143" t="s">
        <v>379</v>
      </c>
      <c r="H472" s="162" t="s">
        <v>194</v>
      </c>
    </row>
    <row r="473" spans="1:8" ht="15" customHeight="1" x14ac:dyDescent="0.25">
      <c r="A473" s="143" t="s">
        <v>691</v>
      </c>
      <c r="B473" s="143" t="s">
        <v>695</v>
      </c>
      <c r="C473" s="143">
        <v>0.15426200000000001</v>
      </c>
      <c r="D473" s="143">
        <v>4.4095399999999998</v>
      </c>
      <c r="E473" s="143">
        <v>15.433400000000001</v>
      </c>
      <c r="F473" s="143">
        <v>0</v>
      </c>
      <c r="G473" s="143" t="s">
        <v>379</v>
      </c>
      <c r="H473" s="143" t="s">
        <v>379</v>
      </c>
    </row>
    <row r="474" spans="1:8" ht="15" customHeight="1" x14ac:dyDescent="0.25">
      <c r="A474" s="143" t="s">
        <v>691</v>
      </c>
      <c r="B474" s="143" t="s">
        <v>696</v>
      </c>
      <c r="C474" s="143">
        <v>8.5717699999999994E-2</v>
      </c>
      <c r="D474" s="143">
        <v>8.1041399999999992</v>
      </c>
      <c r="E474" s="143">
        <v>10.1774</v>
      </c>
      <c r="F474" s="143">
        <v>6.1166900000000001E-3</v>
      </c>
      <c r="G474" s="143" t="s">
        <v>379</v>
      </c>
      <c r="H474" s="143" t="s">
        <v>379</v>
      </c>
    </row>
    <row r="475" spans="1:8" ht="15" customHeight="1" x14ac:dyDescent="0.25">
      <c r="A475" s="143" t="s">
        <v>691</v>
      </c>
      <c r="B475" s="143" t="s">
        <v>697</v>
      </c>
      <c r="C475" s="143">
        <v>8.5159600000000002E-2</v>
      </c>
      <c r="D475" s="143">
        <v>8.7917400000000008</v>
      </c>
      <c r="E475" s="143">
        <v>7.2196899999999999</v>
      </c>
      <c r="F475" s="143">
        <v>1.4175200000000001E-2</v>
      </c>
      <c r="G475" s="143" t="s">
        <v>379</v>
      </c>
      <c r="H475" s="143" t="s">
        <v>379</v>
      </c>
    </row>
    <row r="476" spans="1:8" ht="15" customHeight="1" x14ac:dyDescent="0.25">
      <c r="A476" s="143" t="s">
        <v>698</v>
      </c>
      <c r="B476" s="143" t="s">
        <v>699</v>
      </c>
      <c r="C476" s="143">
        <v>8.3530300000000002E-2</v>
      </c>
      <c r="D476" s="143">
        <v>23.430700000000002</v>
      </c>
      <c r="E476" s="143">
        <v>8.3649100000000001</v>
      </c>
      <c r="F476" s="143">
        <v>7.3179699999999996E-4</v>
      </c>
      <c r="G476" s="143" t="s">
        <v>379</v>
      </c>
      <c r="H476" s="143" t="s">
        <v>379</v>
      </c>
    </row>
    <row r="477" spans="1:8" ht="15" customHeight="1" x14ac:dyDescent="0.25">
      <c r="A477" s="143" t="s">
        <v>698</v>
      </c>
      <c r="B477" s="143" t="s">
        <v>700</v>
      </c>
      <c r="C477" s="143">
        <v>3.84047E-2</v>
      </c>
      <c r="D477" s="143">
        <v>4.5126999999999997</v>
      </c>
      <c r="E477" s="143">
        <v>8.1020400000000006</v>
      </c>
      <c r="F477" s="143">
        <v>0</v>
      </c>
      <c r="G477" s="143" t="s">
        <v>379</v>
      </c>
      <c r="H477" s="143" t="s">
        <v>379</v>
      </c>
    </row>
    <row r="478" spans="1:8" ht="15" customHeight="1" x14ac:dyDescent="0.25">
      <c r="A478" s="143" t="s">
        <v>698</v>
      </c>
      <c r="B478" s="143" t="s">
        <v>701</v>
      </c>
      <c r="C478" s="143">
        <v>7.7901999999999999E-2</v>
      </c>
      <c r="D478" s="143">
        <v>10.635</v>
      </c>
      <c r="E478" s="143">
        <v>4.5627000000000004</v>
      </c>
      <c r="F478" s="143">
        <v>1.9501000000000001E-2</v>
      </c>
      <c r="G478" s="143" t="s">
        <v>379</v>
      </c>
      <c r="H478" s="143" t="s">
        <v>379</v>
      </c>
    </row>
    <row r="479" spans="1:8" ht="15" customHeight="1" x14ac:dyDescent="0.25">
      <c r="A479" s="143" t="s">
        <v>698</v>
      </c>
      <c r="B479" s="143" t="s">
        <v>702</v>
      </c>
      <c r="C479" s="143">
        <v>4.4255999999999997E-2</v>
      </c>
      <c r="D479" s="143">
        <v>7.78965</v>
      </c>
      <c r="E479" s="143">
        <v>1.6733100000000001</v>
      </c>
      <c r="F479" s="143">
        <v>2.1201600000000001E-2</v>
      </c>
      <c r="G479" s="143" t="s">
        <v>379</v>
      </c>
      <c r="H479" s="143" t="s">
        <v>379</v>
      </c>
    </row>
    <row r="480" spans="1:8" ht="15" customHeight="1" x14ac:dyDescent="0.25">
      <c r="A480" s="143" t="s">
        <v>703</v>
      </c>
      <c r="B480" s="143" t="s">
        <v>704</v>
      </c>
      <c r="C480" s="143">
        <v>0.22767799999999999</v>
      </c>
      <c r="D480" s="143">
        <v>39.203299999999999</v>
      </c>
      <c r="E480" s="143">
        <v>12.997299999999999</v>
      </c>
      <c r="F480" s="143">
        <v>4.8132099999999997E-2</v>
      </c>
      <c r="G480" s="143" t="s">
        <v>194</v>
      </c>
      <c r="H480" s="143" t="s">
        <v>379</v>
      </c>
    </row>
    <row r="481" spans="1:8" ht="15" customHeight="1" x14ac:dyDescent="0.25">
      <c r="A481" s="143" t="s">
        <v>703</v>
      </c>
      <c r="B481" s="143" t="s">
        <v>705</v>
      </c>
      <c r="C481" s="143">
        <v>0.33182099999999998</v>
      </c>
      <c r="D481" s="143">
        <v>67.870500000000007</v>
      </c>
      <c r="E481" s="143">
        <v>13.313800000000001</v>
      </c>
      <c r="F481" s="143">
        <v>0.134326</v>
      </c>
      <c r="G481" s="143" t="s">
        <v>194</v>
      </c>
      <c r="H481" s="143" t="s">
        <v>379</v>
      </c>
    </row>
    <row r="482" spans="1:8" ht="15" customHeight="1" x14ac:dyDescent="0.25">
      <c r="A482" s="143" t="s">
        <v>703</v>
      </c>
      <c r="B482" s="143" t="s">
        <v>706</v>
      </c>
      <c r="C482" s="143">
        <v>0.21398400000000001</v>
      </c>
      <c r="D482" s="143">
        <v>167.59100000000001</v>
      </c>
      <c r="E482" s="143">
        <v>7.0116899999999998</v>
      </c>
      <c r="F482" s="143">
        <v>3.0309099999999999E-2</v>
      </c>
      <c r="G482" s="143" t="s">
        <v>194</v>
      </c>
      <c r="H482" s="143" t="s">
        <v>379</v>
      </c>
    </row>
    <row r="483" spans="1:8" ht="15" customHeight="1" x14ac:dyDescent="0.25">
      <c r="A483" s="143" t="s">
        <v>707</v>
      </c>
      <c r="B483" s="143" t="s">
        <v>708</v>
      </c>
      <c r="C483" s="143">
        <v>4.3800600000000002E-5</v>
      </c>
      <c r="D483" s="143">
        <v>3.4802399999999997E-2</v>
      </c>
      <c r="E483" s="143">
        <v>4.0085600000000004E-3</v>
      </c>
      <c r="F483" s="143">
        <v>0</v>
      </c>
      <c r="G483" s="143" t="s">
        <v>379</v>
      </c>
      <c r="H483" s="143" t="s">
        <v>379</v>
      </c>
    </row>
    <row r="484" spans="1:8" ht="15" customHeight="1" x14ac:dyDescent="0.25">
      <c r="A484" s="143" t="s">
        <v>707</v>
      </c>
      <c r="B484" s="143" t="s">
        <v>709</v>
      </c>
      <c r="C484" s="143">
        <v>0</v>
      </c>
      <c r="D484" s="143">
        <v>0</v>
      </c>
      <c r="E484" s="143">
        <v>0</v>
      </c>
      <c r="F484" s="143">
        <v>0</v>
      </c>
      <c r="G484" s="143" t="s">
        <v>194</v>
      </c>
      <c r="H484" s="162" t="s">
        <v>194</v>
      </c>
    </row>
    <row r="485" spans="1:8" ht="15" customHeight="1" x14ac:dyDescent="0.25">
      <c r="A485" s="143" t="s">
        <v>707</v>
      </c>
      <c r="B485" s="143" t="s">
        <v>710</v>
      </c>
      <c r="C485" s="143">
        <v>0.11347599999999999</v>
      </c>
      <c r="D485" s="143">
        <v>4.0319500000000001</v>
      </c>
      <c r="E485" s="143">
        <v>14.061</v>
      </c>
      <c r="F485" s="143">
        <v>1.0153499999999999E-3</v>
      </c>
      <c r="G485" s="143" t="s">
        <v>379</v>
      </c>
      <c r="H485" s="143" t="s">
        <v>379</v>
      </c>
    </row>
    <row r="486" spans="1:8" ht="15" customHeight="1" x14ac:dyDescent="0.25">
      <c r="A486" s="143" t="s">
        <v>707</v>
      </c>
      <c r="B486" s="143" t="s">
        <v>711</v>
      </c>
      <c r="C486" s="143">
        <v>0</v>
      </c>
      <c r="D486" s="143">
        <v>0</v>
      </c>
      <c r="E486" s="143">
        <v>0</v>
      </c>
      <c r="F486" s="143">
        <v>0</v>
      </c>
      <c r="G486" s="143" t="s">
        <v>194</v>
      </c>
      <c r="H486" s="162" t="s">
        <v>194</v>
      </c>
    </row>
    <row r="487" spans="1:8" ht="15" customHeight="1" x14ac:dyDescent="0.25">
      <c r="A487" s="143" t="s">
        <v>712</v>
      </c>
      <c r="B487" s="143" t="s">
        <v>713</v>
      </c>
      <c r="C487" s="143">
        <v>7.0259600000000005E-2</v>
      </c>
      <c r="D487" s="143">
        <v>5.5744800000000003</v>
      </c>
      <c r="E487" s="143">
        <v>12.1187</v>
      </c>
      <c r="F487" s="143">
        <v>0</v>
      </c>
      <c r="G487" s="143" t="s">
        <v>379</v>
      </c>
      <c r="H487" s="143" t="s">
        <v>379</v>
      </c>
    </row>
    <row r="488" spans="1:8" ht="15" customHeight="1" x14ac:dyDescent="0.25">
      <c r="A488" s="143" t="s">
        <v>712</v>
      </c>
      <c r="B488" s="143" t="s">
        <v>714</v>
      </c>
      <c r="C488" s="143">
        <v>8.9627499999999999E-2</v>
      </c>
      <c r="D488" s="143">
        <v>5.2301399999999996</v>
      </c>
      <c r="E488" s="143">
        <v>13.3779</v>
      </c>
      <c r="F488" s="143">
        <v>0</v>
      </c>
      <c r="G488" s="143" t="s">
        <v>379</v>
      </c>
      <c r="H488" s="143" t="s">
        <v>379</v>
      </c>
    </row>
    <row r="489" spans="1:8" ht="15" customHeight="1" x14ac:dyDescent="0.25">
      <c r="A489" s="143" t="s">
        <v>712</v>
      </c>
      <c r="B489" s="143" t="s">
        <v>715</v>
      </c>
      <c r="C489" s="143">
        <v>4.44219E-2</v>
      </c>
      <c r="D489" s="143">
        <v>5.1340199999999996</v>
      </c>
      <c r="E489" s="143">
        <v>9.3212600000000005</v>
      </c>
      <c r="F489" s="143">
        <v>0</v>
      </c>
      <c r="G489" s="143" t="s">
        <v>379</v>
      </c>
      <c r="H489" s="143" t="s">
        <v>379</v>
      </c>
    </row>
    <row r="490" spans="1:8" ht="15" customHeight="1" x14ac:dyDescent="0.25">
      <c r="A490" s="143" t="s">
        <v>712</v>
      </c>
      <c r="B490" s="143" t="s">
        <v>716</v>
      </c>
      <c r="C490" s="143">
        <v>3.6345500000000003E-2</v>
      </c>
      <c r="D490" s="143">
        <v>3.09748</v>
      </c>
      <c r="E490" s="143">
        <v>5.4206000000000003</v>
      </c>
      <c r="F490" s="143">
        <v>0</v>
      </c>
      <c r="G490" s="143" t="s">
        <v>379</v>
      </c>
      <c r="H490" s="143" t="s">
        <v>379</v>
      </c>
    </row>
    <row r="491" spans="1:8" ht="15" customHeight="1" x14ac:dyDescent="0.25">
      <c r="A491" s="143" t="s">
        <v>712</v>
      </c>
      <c r="B491" s="143" t="s">
        <v>717</v>
      </c>
      <c r="C491" s="143">
        <v>8.6899699999999996E-2</v>
      </c>
      <c r="D491" s="143">
        <v>26.2042</v>
      </c>
      <c r="E491" s="143">
        <v>7.3947599999999998</v>
      </c>
      <c r="F491" s="143">
        <v>3.5462699999999998E-3</v>
      </c>
      <c r="G491" s="143" t="s">
        <v>379</v>
      </c>
      <c r="H491" s="143" t="s">
        <v>379</v>
      </c>
    </row>
    <row r="492" spans="1:8" ht="15" customHeight="1" x14ac:dyDescent="0.25">
      <c r="A492" s="143" t="s">
        <v>712</v>
      </c>
      <c r="B492" s="143" t="s">
        <v>718</v>
      </c>
      <c r="C492" s="143">
        <v>0</v>
      </c>
      <c r="D492" s="143">
        <v>0</v>
      </c>
      <c r="E492" s="143">
        <v>0</v>
      </c>
      <c r="F492" s="143">
        <v>0</v>
      </c>
      <c r="G492" s="143" t="s">
        <v>379</v>
      </c>
      <c r="H492" s="162" t="s">
        <v>194</v>
      </c>
    </row>
    <row r="493" spans="1:8" ht="15" customHeight="1" x14ac:dyDescent="0.25">
      <c r="A493" s="143" t="s">
        <v>1189</v>
      </c>
      <c r="B493" s="143" t="s">
        <v>1190</v>
      </c>
      <c r="C493" s="143">
        <v>0</v>
      </c>
      <c r="D493" s="143">
        <v>0</v>
      </c>
      <c r="E493" s="143">
        <v>0</v>
      </c>
      <c r="F493" s="143">
        <v>0</v>
      </c>
      <c r="G493" s="143" t="s">
        <v>194</v>
      </c>
      <c r="H493" s="162" t="s">
        <v>194</v>
      </c>
    </row>
    <row r="494" spans="1:8" ht="15" customHeight="1" x14ac:dyDescent="0.25">
      <c r="A494" s="143" t="s">
        <v>719</v>
      </c>
      <c r="B494" s="143" t="s">
        <v>720</v>
      </c>
      <c r="C494" s="143">
        <v>0.16696900000000001</v>
      </c>
      <c r="D494" s="143">
        <v>25.057400000000001</v>
      </c>
      <c r="E494" s="143">
        <v>9.9869900000000005</v>
      </c>
      <c r="F494" s="143">
        <v>5.4309900000000001E-2</v>
      </c>
      <c r="G494" s="143" t="s">
        <v>379</v>
      </c>
      <c r="H494" s="143" t="s">
        <v>379</v>
      </c>
    </row>
    <row r="495" spans="1:8" ht="15" customHeight="1" x14ac:dyDescent="0.25">
      <c r="A495" s="143" t="s">
        <v>721</v>
      </c>
      <c r="B495" s="143" t="s">
        <v>722</v>
      </c>
      <c r="C495" s="143">
        <v>0.222164</v>
      </c>
      <c r="D495" s="143">
        <v>17.582100000000001</v>
      </c>
      <c r="E495" s="143">
        <v>17.7881</v>
      </c>
      <c r="F495" s="143">
        <v>3.78251E-2</v>
      </c>
      <c r="G495" s="143" t="s">
        <v>379</v>
      </c>
      <c r="H495" s="143" t="s">
        <v>379</v>
      </c>
    </row>
    <row r="496" spans="1:8" ht="15" customHeight="1" x14ac:dyDescent="0.25">
      <c r="A496" s="143" t="s">
        <v>721</v>
      </c>
      <c r="B496" s="143" t="s">
        <v>723</v>
      </c>
      <c r="C496" s="143">
        <v>7.7844999999999998E-2</v>
      </c>
      <c r="D496" s="143">
        <v>5.3616200000000003</v>
      </c>
      <c r="E496" s="143">
        <v>3.9429099999999999</v>
      </c>
      <c r="F496" s="143">
        <v>1.0333800000000001E-2</v>
      </c>
      <c r="G496" s="143" t="s">
        <v>379</v>
      </c>
      <c r="H496" s="143" t="s">
        <v>379</v>
      </c>
    </row>
    <row r="497" spans="1:8" ht="15" customHeight="1" x14ac:dyDescent="0.25">
      <c r="A497" s="143" t="s">
        <v>140</v>
      </c>
      <c r="B497" s="159" t="s">
        <v>142</v>
      </c>
      <c r="C497" s="143">
        <v>0</v>
      </c>
      <c r="D497" s="143">
        <v>0</v>
      </c>
      <c r="E497" s="143">
        <v>0</v>
      </c>
      <c r="F497" s="143">
        <v>0</v>
      </c>
      <c r="G497" s="143" t="s">
        <v>194</v>
      </c>
      <c r="H497" s="162" t="s">
        <v>194</v>
      </c>
    </row>
    <row r="498" spans="1:8" ht="15" customHeight="1" x14ac:dyDescent="0.25">
      <c r="A498" s="143" t="s">
        <v>724</v>
      </c>
      <c r="B498" s="143" t="s">
        <v>141</v>
      </c>
      <c r="C498" s="143">
        <v>0</v>
      </c>
      <c r="D498" s="143">
        <v>0</v>
      </c>
      <c r="E498" s="143">
        <v>0</v>
      </c>
      <c r="F498" s="143">
        <v>0</v>
      </c>
      <c r="G498" s="143" t="s">
        <v>194</v>
      </c>
      <c r="H498" s="162" t="s">
        <v>194</v>
      </c>
    </row>
    <row r="499" spans="1:8" ht="15" customHeight="1" x14ac:dyDescent="0.25">
      <c r="A499" s="143" t="s">
        <v>1191</v>
      </c>
      <c r="B499" s="143" t="s">
        <v>144</v>
      </c>
      <c r="C499" s="143">
        <v>0</v>
      </c>
      <c r="D499" s="143">
        <v>0</v>
      </c>
      <c r="E499" s="143">
        <v>0</v>
      </c>
      <c r="F499" s="143">
        <v>0</v>
      </c>
      <c r="G499" s="143" t="s">
        <v>194</v>
      </c>
      <c r="H499" s="162" t="s">
        <v>194</v>
      </c>
    </row>
    <row r="500" spans="1:8" ht="15" customHeight="1" x14ac:dyDescent="0.25">
      <c r="A500" s="143" t="s">
        <v>143</v>
      </c>
      <c r="B500" s="159" t="s">
        <v>145</v>
      </c>
      <c r="C500" s="143">
        <v>0</v>
      </c>
      <c r="D500" s="143">
        <v>0</v>
      </c>
      <c r="E500" s="143">
        <v>0</v>
      </c>
      <c r="F500" s="143">
        <v>0</v>
      </c>
      <c r="G500" s="143" t="s">
        <v>194</v>
      </c>
      <c r="H500" s="162" t="s">
        <v>194</v>
      </c>
    </row>
    <row r="501" spans="1:8" ht="15" customHeight="1" x14ac:dyDescent="0.25">
      <c r="A501" s="143" t="s">
        <v>725</v>
      </c>
      <c r="B501" s="143" t="s">
        <v>726</v>
      </c>
      <c r="C501" s="143">
        <v>7.1446899999999994E-2</v>
      </c>
      <c r="D501" s="143">
        <v>44.307099999999998</v>
      </c>
      <c r="E501" s="143">
        <v>3.8380100000000001</v>
      </c>
      <c r="F501" s="143">
        <v>3.3001300000000001E-3</v>
      </c>
      <c r="G501" s="143" t="s">
        <v>379</v>
      </c>
      <c r="H501" s="143" t="s">
        <v>379</v>
      </c>
    </row>
    <row r="502" spans="1:8" ht="15" customHeight="1" x14ac:dyDescent="0.25">
      <c r="A502" s="143" t="s">
        <v>725</v>
      </c>
      <c r="B502" s="143" t="s">
        <v>727</v>
      </c>
      <c r="C502" s="143">
        <v>0.18379899999999999</v>
      </c>
      <c r="D502" s="143">
        <v>7.6941600000000001</v>
      </c>
      <c r="E502" s="143">
        <v>18.657399999999999</v>
      </c>
      <c r="F502" s="143">
        <v>6.67141E-3</v>
      </c>
      <c r="G502" s="143" t="s">
        <v>379</v>
      </c>
      <c r="H502" s="143" t="s">
        <v>379</v>
      </c>
    </row>
    <row r="503" spans="1:8" ht="15" customHeight="1" x14ac:dyDescent="0.25">
      <c r="A503" s="143" t="s">
        <v>725</v>
      </c>
      <c r="B503" s="143" t="s">
        <v>728</v>
      </c>
      <c r="C503" s="143">
        <v>0.197605</v>
      </c>
      <c r="D503" s="143">
        <v>7.4391499999999997</v>
      </c>
      <c r="E503" s="143">
        <v>21.8508</v>
      </c>
      <c r="F503" s="143">
        <v>2.8964300000000002E-3</v>
      </c>
      <c r="G503" s="143" t="s">
        <v>379</v>
      </c>
      <c r="H503" s="143" t="s">
        <v>379</v>
      </c>
    </row>
    <row r="504" spans="1:8" ht="15" customHeight="1" x14ac:dyDescent="0.25">
      <c r="A504" s="143" t="s">
        <v>725</v>
      </c>
      <c r="B504" s="143" t="s">
        <v>729</v>
      </c>
      <c r="C504" s="143">
        <v>0.12859599999999999</v>
      </c>
      <c r="D504" s="143">
        <v>7.6274899999999999</v>
      </c>
      <c r="E504" s="143">
        <v>4.5093800000000002</v>
      </c>
      <c r="F504" s="143">
        <v>5.7358000000000001E-3</v>
      </c>
      <c r="G504" s="143" t="s">
        <v>379</v>
      </c>
      <c r="H504" s="143" t="s">
        <v>379</v>
      </c>
    </row>
    <row r="505" spans="1:8" ht="15" customHeight="1" x14ac:dyDescent="0.25">
      <c r="A505" s="143" t="s">
        <v>730</v>
      </c>
      <c r="B505" s="143" t="s">
        <v>731</v>
      </c>
      <c r="C505" s="143">
        <v>0.108171</v>
      </c>
      <c r="D505" s="143">
        <v>15.819699999999999</v>
      </c>
      <c r="E505" s="143">
        <v>8.7585700000000006</v>
      </c>
      <c r="F505" s="143">
        <v>1.16401E-2</v>
      </c>
      <c r="G505" s="143" t="s">
        <v>379</v>
      </c>
      <c r="H505" s="143" t="s">
        <v>379</v>
      </c>
    </row>
    <row r="506" spans="1:8" ht="15" customHeight="1" x14ac:dyDescent="0.25">
      <c r="A506" s="143" t="s">
        <v>732</v>
      </c>
      <c r="B506" s="143" t="s">
        <v>733</v>
      </c>
      <c r="C506" s="143">
        <v>0.19856199999999999</v>
      </c>
      <c r="D506" s="143">
        <v>35.433</v>
      </c>
      <c r="E506" s="143">
        <v>9.2980999999999998</v>
      </c>
      <c r="F506" s="143">
        <v>6.6095899999999999E-2</v>
      </c>
      <c r="G506" s="143" t="s">
        <v>379</v>
      </c>
      <c r="H506" s="143" t="s">
        <v>379</v>
      </c>
    </row>
    <row r="507" spans="1:8" ht="15" customHeight="1" x14ac:dyDescent="0.25">
      <c r="A507" s="143" t="s">
        <v>1192</v>
      </c>
      <c r="B507" s="143" t="s">
        <v>147</v>
      </c>
      <c r="C507" s="143">
        <v>0</v>
      </c>
      <c r="D507" s="143">
        <v>0</v>
      </c>
      <c r="E507" s="143">
        <v>0</v>
      </c>
      <c r="F507" s="143">
        <v>0</v>
      </c>
      <c r="G507" s="143" t="s">
        <v>194</v>
      </c>
      <c r="H507" s="162" t="s">
        <v>194</v>
      </c>
    </row>
    <row r="508" spans="1:8" ht="15" customHeight="1" x14ac:dyDescent="0.25">
      <c r="A508" s="143" t="s">
        <v>146</v>
      </c>
      <c r="B508" s="159" t="s">
        <v>148</v>
      </c>
      <c r="C508" s="143">
        <v>0</v>
      </c>
      <c r="D508" s="143">
        <v>0</v>
      </c>
      <c r="E508" s="143">
        <v>0</v>
      </c>
      <c r="F508" s="143">
        <v>0</v>
      </c>
      <c r="G508" s="143" t="s">
        <v>194</v>
      </c>
      <c r="H508" s="162" t="s">
        <v>194</v>
      </c>
    </row>
    <row r="509" spans="1:8" ht="15" customHeight="1" x14ac:dyDescent="0.25">
      <c r="A509" s="143" t="s">
        <v>149</v>
      </c>
      <c r="B509" s="159" t="s">
        <v>150</v>
      </c>
      <c r="C509" s="143">
        <v>0</v>
      </c>
      <c r="D509" s="143">
        <v>0</v>
      </c>
      <c r="E509" s="143">
        <v>0</v>
      </c>
      <c r="F509" s="143">
        <v>0</v>
      </c>
      <c r="G509" s="143" t="s">
        <v>194</v>
      </c>
      <c r="H509" s="162" t="s">
        <v>194</v>
      </c>
    </row>
    <row r="510" spans="1:8" ht="15" customHeight="1" x14ac:dyDescent="0.25">
      <c r="A510" s="143" t="s">
        <v>12</v>
      </c>
      <c r="B510" s="143" t="s">
        <v>13</v>
      </c>
      <c r="C510" s="143">
        <v>0</v>
      </c>
      <c r="D510" s="143">
        <v>0</v>
      </c>
      <c r="E510" s="143">
        <v>0</v>
      </c>
      <c r="F510" s="143">
        <v>0</v>
      </c>
      <c r="G510" s="143" t="s">
        <v>194</v>
      </c>
      <c r="H510" s="162" t="s">
        <v>194</v>
      </c>
    </row>
    <row r="511" spans="1:8" ht="15" customHeight="1" x14ac:dyDescent="0.25">
      <c r="A511" s="143" t="s">
        <v>734</v>
      </c>
      <c r="B511" s="143" t="s">
        <v>735</v>
      </c>
      <c r="C511" s="143">
        <v>6.9480200000000006E-2</v>
      </c>
      <c r="D511" s="143">
        <v>12.1212</v>
      </c>
      <c r="E511" s="143">
        <v>8.7025000000000006</v>
      </c>
      <c r="F511" s="143">
        <v>6.5976999999999997E-3</v>
      </c>
      <c r="G511" s="143" t="s">
        <v>194</v>
      </c>
      <c r="H511" s="143" t="s">
        <v>379</v>
      </c>
    </row>
    <row r="512" spans="1:8" ht="15" customHeight="1" x14ac:dyDescent="0.25">
      <c r="A512" s="143" t="s">
        <v>734</v>
      </c>
      <c r="B512" s="143" t="s">
        <v>736</v>
      </c>
      <c r="C512" s="143">
        <v>8.5142300000000004E-2</v>
      </c>
      <c r="D512" s="143">
        <v>20.4114</v>
      </c>
      <c r="E512" s="143">
        <v>7.0584100000000003</v>
      </c>
      <c r="F512" s="143">
        <v>6.1369800000000002E-3</v>
      </c>
      <c r="G512" s="143" t="s">
        <v>194</v>
      </c>
      <c r="H512" s="143" t="s">
        <v>379</v>
      </c>
    </row>
    <row r="513" spans="1:8" ht="15" customHeight="1" x14ac:dyDescent="0.25">
      <c r="A513" s="143" t="s">
        <v>734</v>
      </c>
      <c r="B513" s="143" t="s">
        <v>737</v>
      </c>
      <c r="C513" s="143">
        <v>0.145842</v>
      </c>
      <c r="D513" s="143">
        <v>27.334800000000001</v>
      </c>
      <c r="E513" s="143">
        <v>3.6828699999999999</v>
      </c>
      <c r="F513" s="143">
        <v>5.4501800000000003E-2</v>
      </c>
      <c r="G513" s="143" t="s">
        <v>194</v>
      </c>
      <c r="H513" s="143" t="s">
        <v>379</v>
      </c>
    </row>
    <row r="514" spans="1:8" ht="15" customHeight="1" x14ac:dyDescent="0.25">
      <c r="A514" s="143" t="s">
        <v>734</v>
      </c>
      <c r="B514" s="143" t="s">
        <v>738</v>
      </c>
      <c r="C514" s="143">
        <v>0.16503100000000001</v>
      </c>
      <c r="D514" s="143">
        <v>10.605399999999999</v>
      </c>
      <c r="E514" s="143">
        <v>18.812899999999999</v>
      </c>
      <c r="F514" s="143">
        <v>8.1368099999999995E-3</v>
      </c>
      <c r="G514" s="143" t="s">
        <v>194</v>
      </c>
      <c r="H514" s="143" t="s">
        <v>379</v>
      </c>
    </row>
    <row r="515" spans="1:8" ht="15" customHeight="1" x14ac:dyDescent="0.25">
      <c r="A515" s="143" t="s">
        <v>734</v>
      </c>
      <c r="B515" s="143" t="s">
        <v>739</v>
      </c>
      <c r="C515" s="143">
        <v>0.23215</v>
      </c>
      <c r="D515" s="143">
        <v>74.611199999999997</v>
      </c>
      <c r="E515" s="143">
        <v>11.986499999999999</v>
      </c>
      <c r="F515" s="143">
        <v>5.3492100000000001E-2</v>
      </c>
      <c r="G515" s="143" t="s">
        <v>194</v>
      </c>
      <c r="H515" s="143" t="s">
        <v>379</v>
      </c>
    </row>
    <row r="516" spans="1:8" ht="15" customHeight="1" x14ac:dyDescent="0.25">
      <c r="A516" s="143" t="s">
        <v>734</v>
      </c>
      <c r="B516" s="143" t="s">
        <v>740</v>
      </c>
      <c r="C516" s="143">
        <v>0.123321</v>
      </c>
      <c r="D516" s="143">
        <v>41.865900000000003</v>
      </c>
      <c r="E516" s="143">
        <v>7.3380299999999998</v>
      </c>
      <c r="F516" s="143">
        <v>4.1938100000000001E-3</v>
      </c>
      <c r="G516" s="143" t="s">
        <v>379</v>
      </c>
      <c r="H516" s="143" t="s">
        <v>379</v>
      </c>
    </row>
  </sheetData>
  <autoFilter ref="A2:H516"/>
  <mergeCells count="1">
    <mergeCell ref="A1:E1"/>
  </mergeCells>
  <conditionalFormatting sqref="B2:B34 B37:B49 B62:B64 B51:B60 B66:B108 B110 B112:B152 B154:B165 B167:B170 B175 B177:B201 B172:B173 B203:B207 B209:B240 B249:B281 B283:B285 B287:B291 B293:B378 B380:B381 B383:B406 B408:B432 B434:B436 B438:B496 B498:B499 B501:B507 B510:B1048576">
    <cfRule type="duplicateValues" dxfId="5" priority="1"/>
  </conditionalFormatting>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R416"/>
  <sheetViews>
    <sheetView topLeftCell="A385" workbookViewId="0">
      <selection activeCell="A425" sqref="A425"/>
    </sheetView>
  </sheetViews>
  <sheetFormatPr defaultRowHeight="15" x14ac:dyDescent="0.25"/>
  <cols>
    <col min="1" max="1" width="36.140625" style="137" bestFit="1" customWidth="1"/>
    <col min="2" max="2" width="25.85546875" style="137" customWidth="1"/>
    <col min="3" max="3" width="14.7109375" style="121" customWidth="1"/>
    <col min="4" max="4" width="14.42578125" style="121" customWidth="1"/>
    <col min="5" max="5" width="15.42578125" style="121" customWidth="1"/>
    <col min="6" max="6" width="14.140625" style="121" customWidth="1"/>
    <col min="7" max="7" width="13.42578125" style="121" customWidth="1"/>
    <col min="8" max="8" width="12.5703125" style="285" customWidth="1"/>
    <col min="9" max="10" width="9.140625" style="121"/>
    <col min="11" max="13" width="29.140625" style="287" customWidth="1"/>
    <col min="14" max="14" width="24.140625" style="287" customWidth="1"/>
    <col min="15" max="15" width="9.140625" style="121"/>
    <col min="16" max="16" width="12.140625" style="121" customWidth="1"/>
    <col min="17" max="16384" width="9.140625" style="121"/>
  </cols>
  <sheetData>
    <row r="1" spans="1:18" x14ac:dyDescent="0.25">
      <c r="A1" s="403" t="s">
        <v>1291</v>
      </c>
      <c r="B1" s="404"/>
      <c r="C1" s="404"/>
      <c r="D1" s="404"/>
      <c r="E1" s="405"/>
      <c r="K1" s="286" t="s">
        <v>1292</v>
      </c>
      <c r="R1" s="121" t="s">
        <v>1293</v>
      </c>
    </row>
    <row r="2" spans="1:18" ht="75" x14ac:dyDescent="0.25">
      <c r="A2" s="288" t="s">
        <v>151</v>
      </c>
      <c r="B2" s="288" t="s">
        <v>2</v>
      </c>
      <c r="C2" s="288" t="s">
        <v>1094</v>
      </c>
      <c r="D2" s="288" t="s">
        <v>1095</v>
      </c>
      <c r="E2" s="288" t="s">
        <v>1096</v>
      </c>
      <c r="F2" s="288" t="s">
        <v>1097</v>
      </c>
      <c r="G2" s="288" t="s">
        <v>1098</v>
      </c>
      <c r="H2" s="289" t="s">
        <v>1099</v>
      </c>
      <c r="J2" s="290"/>
      <c r="K2" s="291" t="s">
        <v>1298</v>
      </c>
      <c r="L2" s="291" t="s">
        <v>1299</v>
      </c>
      <c r="M2" s="291" t="s">
        <v>1300</v>
      </c>
      <c r="N2" s="292" t="s">
        <v>1295</v>
      </c>
      <c r="P2" s="293" t="s">
        <v>1302</v>
      </c>
      <c r="R2" s="121">
        <v>1</v>
      </c>
    </row>
    <row r="3" spans="1:18" x14ac:dyDescent="0.25">
      <c r="A3" s="137" t="s">
        <v>15</v>
      </c>
      <c r="B3" s="137" t="s">
        <v>16</v>
      </c>
      <c r="C3" s="121">
        <f>IFERROR(VLOOKUP($B3,Miljövärden!$B$3:$H$552,MATCH(C$2,Miljövärden!$B$2:$H$2,0),FALSE),"Saknas")</f>
        <v>0.14693700000000001</v>
      </c>
      <c r="D3" s="121">
        <f>IFERROR(VLOOKUP($B3,Miljövärden!$B$3:$H$552,MATCH(D$2,Miljövärden!$B$2:$H$2,0),FALSE),"Saknas")</f>
        <v>4.5989599999999999</v>
      </c>
      <c r="E3" s="121">
        <f>IFERROR(VLOOKUP($B3,Miljövärden!$B$3:$H$552,MATCH(E$2,Miljövärden!$B$2:$H$2,0),FALSE),"Saknas")</f>
        <v>16.5488</v>
      </c>
      <c r="F3" s="121">
        <f>IFERROR(VLOOKUP($B3,Miljövärden!$B$3:$H$552,MATCH(F$2,Miljövärden!$B$2:$H$2,0),FALSE),"Saknas")</f>
        <v>0</v>
      </c>
      <c r="G3" s="121" t="str">
        <f>IFERROR(VLOOKUP($B3,Miljövärden!$B$3:$H$552,MATCH(G$2,Miljövärden!$B$2:$H$2,0),FALSE),"Nej, saknas")</f>
        <v>Nej</v>
      </c>
      <c r="H3" s="285" t="str">
        <f>IFERROR(VLOOKUP($B3,Miljövärden!$B$3:$H$552,MATCH(H$2,Miljövärden!$B$2:$H$2,0),FALSE),"Nej, saknas")</f>
        <v>Ja</v>
      </c>
      <c r="P3" s="121" t="str">
        <f>IF(K3="x","nej",
IF(L3="x","ja",
IF(H3="ja","ja","nej")))</f>
        <v>ja</v>
      </c>
      <c r="R3" s="121">
        <f>IF(ISERROR(P3),R2,IF(P3="ja",R2+1,R2))</f>
        <v>2</v>
      </c>
    </row>
    <row r="4" spans="1:18" x14ac:dyDescent="0.25">
      <c r="A4" s="137" t="s">
        <v>15</v>
      </c>
      <c r="B4" s="137" t="s">
        <v>18</v>
      </c>
      <c r="C4" s="121">
        <f>IFERROR(VLOOKUP($B4,Miljövärden!$B$3:$H$552,MATCH(C$2,Miljövärden!$B$2:$H$2,0),FALSE),"Saknas")</f>
        <v>8.3529599999999996E-2</v>
      </c>
      <c r="D4" s="121">
        <f>IFERROR(VLOOKUP($B4,Miljövärden!$B$3:$H$552,MATCH(D$2,Miljövärden!$B$2:$H$2,0),FALSE),"Saknas")</f>
        <v>5.9866700000000002</v>
      </c>
      <c r="E4" s="121">
        <f>IFERROR(VLOOKUP($B4,Miljövärden!$B$3:$H$552,MATCH(E$2,Miljövärden!$B$2:$H$2,0),FALSE),"Saknas")</f>
        <v>9.4281500000000005</v>
      </c>
      <c r="F4" s="121">
        <f>IFERROR(VLOOKUP($B4,Miljövärden!$B$3:$H$552,MATCH(F$2,Miljövärden!$B$2:$H$2,0),FALSE),"Saknas")</f>
        <v>1.7011400000000001E-3</v>
      </c>
      <c r="G4" s="121" t="str">
        <f>IFERROR(VLOOKUP($B4,Miljövärden!$B$3:$H$552,MATCH(G$2,Miljövärden!$B$2:$H$2,0),FALSE),"Nej, saknas")</f>
        <v>Nej</v>
      </c>
      <c r="H4" s="285" t="str">
        <f>IFERROR(VLOOKUP($B4,Miljövärden!$B$3:$H$552,MATCH(H$2,Miljövärden!$B$2:$H$2,0),FALSE),"Nej, saknas")</f>
        <v>Ja</v>
      </c>
      <c r="P4" s="121" t="str">
        <f t="shared" ref="P4:P67" si="0">IF(K4="x","nej",
IF(L4="x","ja",
IF(H4="ja","ja","nej")))</f>
        <v>ja</v>
      </c>
      <c r="R4" s="121">
        <f t="shared" ref="R4:R67" si="1">IF(ISERROR(P4),R3,IF(P4="ja",R3+1,R3))</f>
        <v>3</v>
      </c>
    </row>
    <row r="5" spans="1:18" x14ac:dyDescent="0.25">
      <c r="A5" s="137" t="s">
        <v>15</v>
      </c>
      <c r="B5" s="137" t="s">
        <v>20</v>
      </c>
      <c r="C5" s="121">
        <f>IFERROR(VLOOKUP($B5,Miljövärden!$B$3:$H$552,MATCH(C$2,Miljövärden!$B$2:$H$2,0),FALSE),"Saknas")</f>
        <v>9.6584500000000004E-2</v>
      </c>
      <c r="D5" s="121">
        <f>IFERROR(VLOOKUP($B5,Miljövärden!$B$3:$H$552,MATCH(D$2,Miljövärden!$B$2:$H$2,0),FALSE),"Saknas")</f>
        <v>87.644800000000004</v>
      </c>
      <c r="E5" s="121">
        <f>IFERROR(VLOOKUP($B5,Miljövärden!$B$3:$H$552,MATCH(E$2,Miljövärden!$B$2:$H$2,0),FALSE),"Saknas")</f>
        <v>6.3934499999999996</v>
      </c>
      <c r="F5" s="121">
        <f>IFERROR(VLOOKUP($B5,Miljövärden!$B$3:$H$552,MATCH(F$2,Miljövärden!$B$2:$H$2,0),FALSE),"Saknas")</f>
        <v>5.6617000000000004E-3</v>
      </c>
      <c r="G5" s="121" t="str">
        <f>IFERROR(VLOOKUP($B5,Miljövärden!$B$3:$H$552,MATCH(G$2,Miljövärden!$B$2:$H$2,0),FALSE),"Nej, saknas")</f>
        <v>Nej</v>
      </c>
      <c r="H5" s="285" t="str">
        <f>IFERROR(VLOOKUP($B5,Miljövärden!$B$3:$H$552,MATCH(H$2,Miljövärden!$B$2:$H$2,0),FALSE),"Nej, saknas")</f>
        <v>Ja</v>
      </c>
      <c r="P5" s="121" t="str">
        <f t="shared" si="0"/>
        <v>ja</v>
      </c>
      <c r="R5" s="121">
        <f t="shared" si="1"/>
        <v>4</v>
      </c>
    </row>
    <row r="6" spans="1:18" x14ac:dyDescent="0.25">
      <c r="A6" s="137" t="s">
        <v>15</v>
      </c>
      <c r="B6" s="137" t="s">
        <v>22</v>
      </c>
      <c r="C6" s="121">
        <f>IFERROR(VLOOKUP($B6,Miljövärden!$B$3:$H$552,MATCH(C$2,Miljövärden!$B$2:$H$2,0),FALSE),"Saknas")</f>
        <v>6.5183900000000003E-2</v>
      </c>
      <c r="D6" s="121">
        <f>IFERROR(VLOOKUP($B6,Miljövärden!$B$3:$H$552,MATCH(D$2,Miljövärden!$B$2:$H$2,0),FALSE),"Saknas")</f>
        <v>5.7255599999999998</v>
      </c>
      <c r="E6" s="121">
        <f>IFERROR(VLOOKUP($B6,Miljövärden!$B$3:$H$552,MATCH(E$2,Miljövärden!$B$2:$H$2,0),FALSE),"Saknas")</f>
        <v>8.8170400000000004</v>
      </c>
      <c r="F6" s="121">
        <f>IFERROR(VLOOKUP($B6,Miljövärden!$B$3:$H$552,MATCH(F$2,Miljövärden!$B$2:$H$2,0),FALSE),"Saknas")</f>
        <v>1.8891699999999999E-3</v>
      </c>
      <c r="G6" s="121" t="str">
        <f>IFERROR(VLOOKUP($B6,Miljövärden!$B$3:$H$552,MATCH(G$2,Miljövärden!$B$2:$H$2,0),FALSE),"Nej, saknas")</f>
        <v>Nej</v>
      </c>
      <c r="H6" s="285" t="str">
        <f>IFERROR(VLOOKUP($B6,Miljövärden!$B$3:$H$552,MATCH(H$2,Miljövärden!$B$2:$H$2,0),FALSE),"Nej, saknas")</f>
        <v>Ja</v>
      </c>
      <c r="P6" s="121" t="str">
        <f t="shared" si="0"/>
        <v>ja</v>
      </c>
      <c r="R6" s="121">
        <f t="shared" si="1"/>
        <v>5</v>
      </c>
    </row>
    <row r="7" spans="1:18" x14ac:dyDescent="0.25">
      <c r="A7" s="137" t="s">
        <v>15</v>
      </c>
      <c r="B7" s="137" t="s">
        <v>24</v>
      </c>
      <c r="C7" s="121">
        <f>IFERROR(VLOOKUP($B7,Miljövärden!$B$3:$H$552,MATCH(C$2,Miljövärden!$B$2:$H$2,0),FALSE),"Saknas")</f>
        <v>9.8408099999999998E-2</v>
      </c>
      <c r="D7" s="121">
        <f>IFERROR(VLOOKUP($B7,Miljövärden!$B$3:$H$552,MATCH(D$2,Miljövärden!$B$2:$H$2,0),FALSE),"Saknas")</f>
        <v>9.48522</v>
      </c>
      <c r="E7" s="121">
        <f>IFERROR(VLOOKUP($B7,Miljövärden!$B$3:$H$552,MATCH(E$2,Miljövärden!$B$2:$H$2,0),FALSE),"Saknas")</f>
        <v>8.1486000000000001</v>
      </c>
      <c r="F7" s="121">
        <f>IFERROR(VLOOKUP($B7,Miljövärden!$B$3:$H$552,MATCH(F$2,Miljövärden!$B$2:$H$2,0),FALSE),"Saknas")</f>
        <v>1.43784E-2</v>
      </c>
      <c r="G7" s="121" t="str">
        <f>IFERROR(VLOOKUP($B7,Miljövärden!$B$3:$H$552,MATCH(G$2,Miljövärden!$B$2:$H$2,0),FALSE),"Nej, saknas")</f>
        <v>Nej</v>
      </c>
      <c r="H7" s="285" t="str">
        <f>IFERROR(VLOOKUP($B7,Miljövärden!$B$3:$H$552,MATCH(H$2,Miljövärden!$B$2:$H$2,0),FALSE),"Nej, saknas")</f>
        <v>Ja</v>
      </c>
      <c r="P7" s="121" t="str">
        <f t="shared" si="0"/>
        <v>ja</v>
      </c>
      <c r="R7" s="121">
        <f t="shared" si="1"/>
        <v>6</v>
      </c>
    </row>
    <row r="8" spans="1:18" x14ac:dyDescent="0.25">
      <c r="A8" s="137" t="s">
        <v>15</v>
      </c>
      <c r="B8" s="137" t="s">
        <v>26</v>
      </c>
      <c r="C8" s="121">
        <f>IFERROR(VLOOKUP($B8,Miljövärden!$B$3:$H$552,MATCH(C$2,Miljövärden!$B$2:$H$2,0),FALSE),"Saknas")</f>
        <v>8.6162799999999998E-2</v>
      </c>
      <c r="D8" s="121">
        <f>IFERROR(VLOOKUP($B8,Miljövärden!$B$3:$H$552,MATCH(D$2,Miljövärden!$B$2:$H$2,0),FALSE),"Saknas")</f>
        <v>4.3540200000000002</v>
      </c>
      <c r="E8" s="121">
        <f>IFERROR(VLOOKUP($B8,Miljövärden!$B$3:$H$552,MATCH(E$2,Miljövärden!$B$2:$H$2,0),FALSE),"Saknas")</f>
        <v>8.5676199999999998</v>
      </c>
      <c r="F8" s="121">
        <f>IFERROR(VLOOKUP($B8,Miljövärden!$B$3:$H$552,MATCH(F$2,Miljövärden!$B$2:$H$2,0),FALSE),"Saknas")</f>
        <v>0</v>
      </c>
      <c r="G8" s="121" t="str">
        <f>IFERROR(VLOOKUP($B8,Miljövärden!$B$3:$H$552,MATCH(G$2,Miljövärden!$B$2:$H$2,0),FALSE),"Nej, saknas")</f>
        <v>Nej</v>
      </c>
      <c r="H8" s="285" t="str">
        <f>IFERROR(VLOOKUP($B8,Miljövärden!$B$3:$H$552,MATCH(H$2,Miljövärden!$B$2:$H$2,0),FALSE),"Nej, saknas")</f>
        <v>Ja</v>
      </c>
      <c r="P8" s="121" t="str">
        <f t="shared" si="0"/>
        <v>ja</v>
      </c>
      <c r="R8" s="121">
        <f t="shared" si="1"/>
        <v>7</v>
      </c>
    </row>
    <row r="9" spans="1:18" x14ac:dyDescent="0.25">
      <c r="A9" s="137" t="s">
        <v>15</v>
      </c>
      <c r="B9" s="137" t="s">
        <v>196</v>
      </c>
      <c r="C9" s="121">
        <f>IFERROR(VLOOKUP($B9,Miljövärden!$B$3:$H$552,MATCH(C$2,Miljövärden!$B$2:$H$2,0),FALSE),"Saknas")</f>
        <v>0.23200299999999999</v>
      </c>
      <c r="D9" s="121">
        <f>IFERROR(VLOOKUP($B9,Miljövärden!$B$3:$H$552,MATCH(D$2,Miljövärden!$B$2:$H$2,0),FALSE),"Saknas")</f>
        <v>23.004300000000001</v>
      </c>
      <c r="E9" s="121">
        <f>IFERROR(VLOOKUP($B9,Miljövärden!$B$3:$H$552,MATCH(E$2,Miljövärden!$B$2:$H$2,0),FALSE),"Saknas")</f>
        <v>16.922799999999999</v>
      </c>
      <c r="F9" s="121">
        <f>IFERROR(VLOOKUP($B9,Miljövärden!$B$3:$H$552,MATCH(F$2,Miljövärden!$B$2:$H$2,0),FALSE),"Saknas")</f>
        <v>3.6307100000000002E-2</v>
      </c>
      <c r="G9" s="121" t="str">
        <f>IFERROR(VLOOKUP($B9,Miljövärden!$B$3:$H$552,MATCH(G$2,Miljövärden!$B$2:$H$2,0),FALSE),"Nej, saknas")</f>
        <v>Nej</v>
      </c>
      <c r="H9" s="285" t="str">
        <f>IFERROR(VLOOKUP($B9,Miljövärden!$B$3:$H$552,MATCH(H$2,Miljövärden!$B$2:$H$2,0),FALSE),"Nej, saknas")</f>
        <v>Ja</v>
      </c>
      <c r="P9" s="121" t="str">
        <f t="shared" si="0"/>
        <v>ja</v>
      </c>
      <c r="R9" s="121">
        <f t="shared" si="1"/>
        <v>8</v>
      </c>
    </row>
    <row r="10" spans="1:18" x14ac:dyDescent="0.25">
      <c r="A10" s="137" t="s">
        <v>15</v>
      </c>
      <c r="B10" s="137" t="s">
        <v>28</v>
      </c>
      <c r="C10" s="121">
        <f>IFERROR(VLOOKUP($B10,Miljövärden!$B$3:$H$552,MATCH(C$2,Miljövärden!$B$2:$H$2,0),FALSE),"Saknas")</f>
        <v>0.11096</v>
      </c>
      <c r="D10" s="121">
        <f>IFERROR(VLOOKUP($B10,Miljövärden!$B$3:$H$552,MATCH(D$2,Miljövärden!$B$2:$H$2,0),FALSE),"Saknas")</f>
        <v>21.6189</v>
      </c>
      <c r="E10" s="121">
        <f>IFERROR(VLOOKUP($B10,Miljövärden!$B$3:$H$552,MATCH(E$2,Miljövärden!$B$2:$H$2,0),FALSE),"Saknas")</f>
        <v>1.7746900000000001</v>
      </c>
      <c r="F10" s="121">
        <f>IFERROR(VLOOKUP($B10,Miljövärden!$B$3:$H$552,MATCH(F$2,Miljövärden!$B$2:$H$2,0),FALSE),"Saknas")</f>
        <v>7.2409500000000002E-2</v>
      </c>
      <c r="G10" s="121" t="str">
        <f>IFERROR(VLOOKUP($B10,Miljövärden!$B$3:$H$552,MATCH(G$2,Miljövärden!$B$2:$H$2,0),FALSE),"Nej, saknas")</f>
        <v>Nej</v>
      </c>
      <c r="H10" s="285" t="str">
        <f>IFERROR(VLOOKUP($B10,Miljövärden!$B$3:$H$552,MATCH(H$2,Miljövärden!$B$2:$H$2,0),FALSE),"Nej, saknas")</f>
        <v>Ja</v>
      </c>
      <c r="P10" s="121" t="str">
        <f t="shared" si="0"/>
        <v>ja</v>
      </c>
      <c r="R10" s="121">
        <f t="shared" si="1"/>
        <v>9</v>
      </c>
    </row>
    <row r="11" spans="1:18" x14ac:dyDescent="0.25">
      <c r="A11" s="137" t="s">
        <v>15</v>
      </c>
      <c r="B11" s="137" t="s">
        <v>30</v>
      </c>
      <c r="C11" s="121">
        <f>IFERROR(VLOOKUP($B11,Miljövärden!$B$3:$H$552,MATCH(C$2,Miljövärden!$B$2:$H$2,0),FALSE),"Saknas")</f>
        <v>0.10720300000000001</v>
      </c>
      <c r="D11" s="121">
        <f>IFERROR(VLOOKUP($B11,Miljövärden!$B$3:$H$552,MATCH(D$2,Miljövärden!$B$2:$H$2,0),FALSE),"Saknas")</f>
        <v>11.237299999999999</v>
      </c>
      <c r="E11" s="121">
        <f>IFERROR(VLOOKUP($B11,Miljövärden!$B$3:$H$552,MATCH(E$2,Miljövärden!$B$2:$H$2,0),FALSE),"Saknas")</f>
        <v>8.5678000000000001</v>
      </c>
      <c r="F11" s="121">
        <f>IFERROR(VLOOKUP($B11,Miljövärden!$B$3:$H$552,MATCH(F$2,Miljövärden!$B$2:$H$2,0),FALSE),"Saknas")</f>
        <v>1.8017999999999999E-2</v>
      </c>
      <c r="G11" s="121" t="str">
        <f>IFERROR(VLOOKUP($B11,Miljövärden!$B$3:$H$552,MATCH(G$2,Miljövärden!$B$2:$H$2,0),FALSE),"Nej, saknas")</f>
        <v>Nej</v>
      </c>
      <c r="H11" s="285" t="str">
        <f>IFERROR(VLOOKUP($B11,Miljövärden!$B$3:$H$552,MATCH(H$2,Miljövärden!$B$2:$H$2,0),FALSE),"Nej, saknas")</f>
        <v>Ja</v>
      </c>
      <c r="P11" s="121" t="str">
        <f t="shared" si="0"/>
        <v>ja</v>
      </c>
      <c r="R11" s="121">
        <f t="shared" si="1"/>
        <v>10</v>
      </c>
    </row>
    <row r="12" spans="1:18" x14ac:dyDescent="0.25">
      <c r="A12" s="137" t="s">
        <v>15</v>
      </c>
      <c r="B12" s="137" t="s">
        <v>32</v>
      </c>
      <c r="C12" s="121">
        <f>IFERROR(VLOOKUP($B12,Miljövärden!$B$3:$H$552,MATCH(C$2,Miljövärden!$B$2:$H$2,0),FALSE),"Saknas")</f>
        <v>5.8250299999999998E-2</v>
      </c>
      <c r="D12" s="121">
        <f>IFERROR(VLOOKUP($B12,Miljövärden!$B$3:$H$552,MATCH(D$2,Miljövärden!$B$2:$H$2,0),FALSE),"Saknas")</f>
        <v>4.6567699999999999</v>
      </c>
      <c r="E12" s="121">
        <f>IFERROR(VLOOKUP($B12,Miljövärden!$B$3:$H$552,MATCH(E$2,Miljövärden!$B$2:$H$2,0),FALSE),"Saknas")</f>
        <v>6.0791000000000004</v>
      </c>
      <c r="F12" s="121">
        <f>IFERROR(VLOOKUP($B12,Miljövärden!$B$3:$H$552,MATCH(F$2,Miljövärden!$B$2:$H$2,0),FALSE),"Saknas")</f>
        <v>5.2270499999999996E-3</v>
      </c>
      <c r="G12" s="121" t="str">
        <f>IFERROR(VLOOKUP($B12,Miljövärden!$B$3:$H$552,MATCH(G$2,Miljövärden!$B$2:$H$2,0),FALSE),"Nej, saknas")</f>
        <v>Nej</v>
      </c>
      <c r="H12" s="285" t="str">
        <f>IFERROR(VLOOKUP($B12,Miljövärden!$B$3:$H$552,MATCH(H$2,Miljövärden!$B$2:$H$2,0),FALSE),"Nej, saknas")</f>
        <v>Ja</v>
      </c>
      <c r="P12" s="121" t="str">
        <f t="shared" si="0"/>
        <v>ja</v>
      </c>
      <c r="R12" s="121">
        <f t="shared" si="1"/>
        <v>11</v>
      </c>
    </row>
    <row r="13" spans="1:18" x14ac:dyDescent="0.25">
      <c r="A13" s="137" t="s">
        <v>200</v>
      </c>
      <c r="B13" s="137" t="s">
        <v>201</v>
      </c>
      <c r="C13" s="121">
        <f>IFERROR(VLOOKUP($B13,Miljövärden!$B$3:$H$552,MATCH(C$2,Miljövärden!$B$2:$H$2,0),FALSE),"Saknas")</f>
        <v>7.1953400000000001E-2</v>
      </c>
      <c r="D13" s="121">
        <f>IFERROR(VLOOKUP($B13,Miljövärden!$B$3:$H$552,MATCH(D$2,Miljövärden!$B$2:$H$2,0),FALSE),"Saknas")</f>
        <v>5.5946699999999998</v>
      </c>
      <c r="E13" s="121">
        <f>IFERROR(VLOOKUP($B13,Miljövärden!$B$3:$H$552,MATCH(E$2,Miljövärden!$B$2:$H$2,0),FALSE),"Saknas")</f>
        <v>9.7891100000000009</v>
      </c>
      <c r="F13" s="121">
        <f>IFERROR(VLOOKUP($B13,Miljövärden!$B$3:$H$552,MATCH(F$2,Miljövärden!$B$2:$H$2,0),FALSE),"Saknas")</f>
        <v>0</v>
      </c>
      <c r="G13" s="121" t="str">
        <f>IFERROR(VLOOKUP($B13,Miljövärden!$B$3:$H$552,MATCH(G$2,Miljövärden!$B$2:$H$2,0),FALSE),"Nej, saknas")</f>
        <v>Nej</v>
      </c>
      <c r="H13" s="285" t="str">
        <f>IFERROR(VLOOKUP($B13,Miljövärden!$B$3:$H$552,MATCH(H$2,Miljövärden!$B$2:$H$2,0),FALSE),"Nej, saknas")</f>
        <v>Ja</v>
      </c>
      <c r="P13" s="121" t="str">
        <f t="shared" si="0"/>
        <v>ja</v>
      </c>
      <c r="R13" s="121">
        <f t="shared" si="1"/>
        <v>12</v>
      </c>
    </row>
    <row r="14" spans="1:18" x14ac:dyDescent="0.25">
      <c r="A14" s="137" t="s">
        <v>200</v>
      </c>
      <c r="B14" s="137" t="s">
        <v>202</v>
      </c>
      <c r="C14" s="121">
        <f>IFERROR(VLOOKUP($B14,Miljövärden!$B$3:$H$552,MATCH(C$2,Miljövärden!$B$2:$H$2,0),FALSE),"Saknas")</f>
        <v>9.9505499999999997E-2</v>
      </c>
      <c r="D14" s="121">
        <f>IFERROR(VLOOKUP($B14,Miljövärden!$B$3:$H$552,MATCH(D$2,Miljövärden!$B$2:$H$2,0),FALSE),"Saknas")</f>
        <v>10.0886</v>
      </c>
      <c r="E14" s="121">
        <f>IFERROR(VLOOKUP($B14,Miljövärden!$B$3:$H$552,MATCH(E$2,Miljövärden!$B$2:$H$2,0),FALSE),"Saknas")</f>
        <v>11.747299999999999</v>
      </c>
      <c r="F14" s="121">
        <f>IFERROR(VLOOKUP($B14,Miljövärden!$B$3:$H$552,MATCH(F$2,Miljövärden!$B$2:$H$2,0),FALSE),"Saknas")</f>
        <v>1.1320800000000001E-2</v>
      </c>
      <c r="G14" s="121" t="str">
        <f>IFERROR(VLOOKUP($B14,Miljövärden!$B$3:$H$552,MATCH(G$2,Miljövärden!$B$2:$H$2,0),FALSE),"Nej, saknas")</f>
        <v>Ja</v>
      </c>
      <c r="H14" s="285" t="str">
        <f>IFERROR(VLOOKUP($B14,Miljövärden!$B$3:$H$552,MATCH(H$2,Miljövärden!$B$2:$H$2,0),FALSE),"Nej, saknas")</f>
        <v>Ja</v>
      </c>
      <c r="P14" s="121" t="str">
        <f t="shared" si="0"/>
        <v>ja</v>
      </c>
      <c r="R14" s="121">
        <f t="shared" si="1"/>
        <v>13</v>
      </c>
    </row>
    <row r="15" spans="1:18" x14ac:dyDescent="0.25">
      <c r="A15" s="137" t="s">
        <v>200</v>
      </c>
      <c r="B15" s="137" t="s">
        <v>203</v>
      </c>
      <c r="C15" s="121">
        <f>IFERROR(VLOOKUP($B15,Miljövärden!$B$3:$H$552,MATCH(C$2,Miljövärden!$B$2:$H$2,0),FALSE),"Saknas")</f>
        <v>0.10485700000000001</v>
      </c>
      <c r="D15" s="121">
        <f>IFERROR(VLOOKUP($B15,Miljövärden!$B$3:$H$552,MATCH(D$2,Miljövärden!$B$2:$H$2,0),FALSE),"Saknas")</f>
        <v>20.4572</v>
      </c>
      <c r="E15" s="121">
        <f>IFERROR(VLOOKUP($B15,Miljövärden!$B$3:$H$552,MATCH(E$2,Miljövärden!$B$2:$H$2,0),FALSE),"Saknas")</f>
        <v>10.257099999999999</v>
      </c>
      <c r="F15" s="121">
        <f>IFERROR(VLOOKUP($B15,Miljövärden!$B$3:$H$552,MATCH(F$2,Miljövärden!$B$2:$H$2,0),FALSE),"Saknas")</f>
        <v>4.2462800000000002E-2</v>
      </c>
      <c r="G15" s="121" t="str">
        <f>IFERROR(VLOOKUP($B15,Miljövärden!$B$3:$H$552,MATCH(G$2,Miljövärden!$B$2:$H$2,0),FALSE),"Nej, saknas")</f>
        <v>Ja</v>
      </c>
      <c r="H15" s="285" t="str">
        <f>IFERROR(VLOOKUP($B15,Miljövärden!$B$3:$H$552,MATCH(H$2,Miljövärden!$B$2:$H$2,0),FALSE),"Nej, saknas")</f>
        <v>Ja</v>
      </c>
      <c r="P15" s="121" t="str">
        <f t="shared" si="0"/>
        <v>ja</v>
      </c>
      <c r="R15" s="121">
        <f t="shared" si="1"/>
        <v>14</v>
      </c>
    </row>
    <row r="16" spans="1:18" x14ac:dyDescent="0.25">
      <c r="A16" s="137" t="s">
        <v>200</v>
      </c>
      <c r="B16" s="137" t="s">
        <v>204</v>
      </c>
      <c r="C16" s="121">
        <f>IFERROR(VLOOKUP($B16,Miljövärden!$B$3:$H$552,MATCH(C$2,Miljövärden!$B$2:$H$2,0),FALSE),"Saknas")</f>
        <v>0.22963</v>
      </c>
      <c r="D16" s="121">
        <f>IFERROR(VLOOKUP($B16,Miljövärden!$B$3:$H$552,MATCH(D$2,Miljövärden!$B$2:$H$2,0),FALSE),"Saknas")</f>
        <v>45.926499999999997</v>
      </c>
      <c r="E16" s="121">
        <f>IFERROR(VLOOKUP($B16,Miljövärden!$B$3:$H$552,MATCH(E$2,Miljövärden!$B$2:$H$2,0),FALSE),"Saknas")</f>
        <v>14.148099999999999</v>
      </c>
      <c r="F16" s="121">
        <f>IFERROR(VLOOKUP($B16,Miljövärden!$B$3:$H$552,MATCH(F$2,Miljövärden!$B$2:$H$2,0),FALSE),"Saknas")</f>
        <v>8.6021500000000001E-2</v>
      </c>
      <c r="G16" s="121" t="str">
        <f>IFERROR(VLOOKUP($B16,Miljövärden!$B$3:$H$552,MATCH(G$2,Miljövärden!$B$2:$H$2,0),FALSE),"Nej, saknas")</f>
        <v>Ja</v>
      </c>
      <c r="H16" s="285" t="str">
        <f>IFERROR(VLOOKUP($B16,Miljövärden!$B$3:$H$552,MATCH(H$2,Miljövärden!$B$2:$H$2,0),FALSE),"Nej, saknas")</f>
        <v>Ja</v>
      </c>
      <c r="P16" s="121" t="str">
        <f t="shared" si="0"/>
        <v>ja</v>
      </c>
      <c r="R16" s="121">
        <f t="shared" si="1"/>
        <v>15</v>
      </c>
    </row>
    <row r="17" spans="1:18" x14ac:dyDescent="0.25">
      <c r="A17" s="137" t="s">
        <v>200</v>
      </c>
      <c r="B17" s="137" t="s">
        <v>205</v>
      </c>
      <c r="C17" s="121">
        <f>IFERROR(VLOOKUP($B17,Miljövärden!$B$3:$H$552,MATCH(C$2,Miljövärden!$B$2:$H$2,0),FALSE),"Saknas")</f>
        <v>8.6666699999999999E-2</v>
      </c>
      <c r="D17" s="121">
        <f>IFERROR(VLOOKUP($B17,Miljövärden!$B$3:$H$552,MATCH(D$2,Miljövärden!$B$2:$H$2,0),FALSE),"Saknas")</f>
        <v>12.923500000000001</v>
      </c>
      <c r="E17" s="121">
        <f>IFERROR(VLOOKUP($B17,Miljövärden!$B$3:$H$552,MATCH(E$2,Miljövärden!$B$2:$H$2,0),FALSE),"Saknas")</f>
        <v>11.1538</v>
      </c>
      <c r="F17" s="121">
        <f>IFERROR(VLOOKUP($B17,Miljövärden!$B$3:$H$552,MATCH(F$2,Miljövärden!$B$2:$H$2,0),FALSE),"Saknas")</f>
        <v>1.6528899999999999E-2</v>
      </c>
      <c r="G17" s="121" t="str">
        <f>IFERROR(VLOOKUP($B17,Miljövärden!$B$3:$H$552,MATCH(G$2,Miljövärden!$B$2:$H$2,0),FALSE),"Nej, saknas")</f>
        <v>Ja</v>
      </c>
      <c r="H17" s="285" t="str">
        <f>IFERROR(VLOOKUP($B17,Miljövärden!$B$3:$H$552,MATCH(H$2,Miljövärden!$B$2:$H$2,0),FALSE),"Nej, saknas")</f>
        <v>Ja</v>
      </c>
      <c r="P17" s="121" t="str">
        <f t="shared" si="0"/>
        <v>ja</v>
      </c>
      <c r="R17" s="121">
        <f t="shared" si="1"/>
        <v>16</v>
      </c>
    </row>
    <row r="18" spans="1:18" x14ac:dyDescent="0.25">
      <c r="A18" s="137" t="s">
        <v>200</v>
      </c>
      <c r="B18" s="137" t="s">
        <v>206</v>
      </c>
      <c r="C18" s="121">
        <f>IFERROR(VLOOKUP($B18,Miljövärden!$B$3:$H$552,MATCH(C$2,Miljövärden!$B$2:$H$2,0),FALSE),"Saknas")</f>
        <v>8.2687899999999995E-2</v>
      </c>
      <c r="D18" s="121">
        <f>IFERROR(VLOOKUP($B18,Miljövärden!$B$3:$H$552,MATCH(D$2,Miljövärden!$B$2:$H$2,0),FALSE),"Saknas")</f>
        <v>9.3103200000000008</v>
      </c>
      <c r="E18" s="121">
        <f>IFERROR(VLOOKUP($B18,Miljövärden!$B$3:$H$552,MATCH(E$2,Miljövärden!$B$2:$H$2,0),FALSE),"Saknas")</f>
        <v>10.028</v>
      </c>
      <c r="F18" s="121">
        <f>IFERROR(VLOOKUP($B18,Miljövärden!$B$3:$H$552,MATCH(F$2,Miljövärden!$B$2:$H$2,0),FALSE),"Saknas")</f>
        <v>9.8126700000000008E-3</v>
      </c>
      <c r="G18" s="121" t="str">
        <f>IFERROR(VLOOKUP($B18,Miljövärden!$B$3:$H$552,MATCH(G$2,Miljövärden!$B$2:$H$2,0),FALSE),"Nej, saknas")</f>
        <v>Ja</v>
      </c>
      <c r="H18" s="285" t="str">
        <f>IFERROR(VLOOKUP($B18,Miljövärden!$B$3:$H$552,MATCH(H$2,Miljövärden!$B$2:$H$2,0),FALSE),"Nej, saknas")</f>
        <v>Ja</v>
      </c>
      <c r="P18" s="121" t="str">
        <f t="shared" si="0"/>
        <v>ja</v>
      </c>
      <c r="R18" s="121">
        <f t="shared" si="1"/>
        <v>17</v>
      </c>
    </row>
    <row r="19" spans="1:18" x14ac:dyDescent="0.25">
      <c r="A19" s="137" t="s">
        <v>200</v>
      </c>
      <c r="B19" s="137" t="s">
        <v>207</v>
      </c>
      <c r="C19" s="121">
        <f>IFERROR(VLOOKUP($B19,Miljövärden!$B$3:$H$552,MATCH(C$2,Miljövärden!$B$2:$H$2,0),FALSE),"Saknas")</f>
        <v>0.36249999999999999</v>
      </c>
      <c r="D19" s="121">
        <f>IFERROR(VLOOKUP($B19,Miljövärden!$B$3:$H$552,MATCH(D$2,Miljövärden!$B$2:$H$2,0),FALSE),"Saknas")</f>
        <v>57.800800000000002</v>
      </c>
      <c r="E19" s="121">
        <f>IFERROR(VLOOKUP($B19,Miljövärden!$B$3:$H$552,MATCH(E$2,Miljövärden!$B$2:$H$2,0),FALSE),"Saknas")</f>
        <v>19.100000000000001</v>
      </c>
      <c r="F19" s="121">
        <f>IFERROR(VLOOKUP($B19,Miljövärden!$B$3:$H$552,MATCH(F$2,Miljövärden!$B$2:$H$2,0),FALSE),"Saknas")</f>
        <v>0.156863</v>
      </c>
      <c r="G19" s="121" t="str">
        <f>IFERROR(VLOOKUP($B19,Miljövärden!$B$3:$H$552,MATCH(G$2,Miljövärden!$B$2:$H$2,0),FALSE),"Nej, saknas")</f>
        <v>Ja</v>
      </c>
      <c r="H19" s="285" t="str">
        <f>IFERROR(VLOOKUP($B19,Miljövärden!$B$3:$H$552,MATCH(H$2,Miljövärden!$B$2:$H$2,0),FALSE),"Nej, saknas")</f>
        <v>Ja</v>
      </c>
      <c r="P19" s="121" t="str">
        <f t="shared" si="0"/>
        <v>ja</v>
      </c>
      <c r="R19" s="121">
        <f t="shared" si="1"/>
        <v>18</v>
      </c>
    </row>
    <row r="20" spans="1:18" x14ac:dyDescent="0.25">
      <c r="A20" s="137" t="s">
        <v>200</v>
      </c>
      <c r="B20" s="137" t="s">
        <v>208</v>
      </c>
      <c r="C20" s="121">
        <f>IFERROR(VLOOKUP($B20,Miljövärden!$B$3:$H$552,MATCH(C$2,Miljövärden!$B$2:$H$2,0),FALSE),"Saknas")</f>
        <v>0.157222</v>
      </c>
      <c r="D20" s="121">
        <f>IFERROR(VLOOKUP($B20,Miljövärden!$B$3:$H$552,MATCH(D$2,Miljövärden!$B$2:$H$2,0),FALSE),"Saknas")</f>
        <v>5.1116099999999998</v>
      </c>
      <c r="E20" s="121">
        <f>IFERROR(VLOOKUP($B20,Miljövärden!$B$3:$H$552,MATCH(E$2,Miljövärden!$B$2:$H$2,0),FALSE),"Saknas")</f>
        <v>17.8889</v>
      </c>
      <c r="F20" s="121">
        <f>IFERROR(VLOOKUP($B20,Miljövärden!$B$3:$H$552,MATCH(F$2,Miljövärden!$B$2:$H$2,0),FALSE),"Saknas")</f>
        <v>0</v>
      </c>
      <c r="G20" s="121" t="str">
        <f>IFERROR(VLOOKUP($B20,Miljövärden!$B$3:$H$552,MATCH(G$2,Miljövärden!$B$2:$H$2,0),FALSE),"Nej, saknas")</f>
        <v>Ja</v>
      </c>
      <c r="H20" s="285" t="str">
        <f>IFERROR(VLOOKUP($B20,Miljövärden!$B$3:$H$552,MATCH(H$2,Miljövärden!$B$2:$H$2,0),FALSE),"Nej, saknas")</f>
        <v>Ja</v>
      </c>
      <c r="P20" s="121" t="str">
        <f t="shared" si="0"/>
        <v>ja</v>
      </c>
      <c r="R20" s="121">
        <f t="shared" si="1"/>
        <v>19</v>
      </c>
    </row>
    <row r="21" spans="1:18" x14ac:dyDescent="0.25">
      <c r="A21" s="137" t="s">
        <v>200</v>
      </c>
      <c r="B21" s="137" t="s">
        <v>209</v>
      </c>
      <c r="C21" s="121">
        <f>IFERROR(VLOOKUP($B21,Miljövärden!$B$3:$H$552,MATCH(C$2,Miljövärden!$B$2:$H$2,0),FALSE),"Saknas")</f>
        <v>0.109818</v>
      </c>
      <c r="D21" s="121">
        <f>IFERROR(VLOOKUP($B21,Miljövärden!$B$3:$H$552,MATCH(D$2,Miljövärden!$B$2:$H$2,0),FALSE),"Saknas")</f>
        <v>5.81982</v>
      </c>
      <c r="E21" s="121">
        <f>IFERROR(VLOOKUP($B21,Miljövärden!$B$3:$H$552,MATCH(E$2,Miljövärden!$B$2:$H$2,0),FALSE),"Saknas")</f>
        <v>11.2</v>
      </c>
      <c r="F21" s="121">
        <f>IFERROR(VLOOKUP($B21,Miljövärden!$B$3:$H$552,MATCH(F$2,Miljövärden!$B$2:$H$2,0),FALSE),"Saknas")</f>
        <v>0</v>
      </c>
      <c r="G21" s="121" t="str">
        <f>IFERROR(VLOOKUP($B21,Miljövärden!$B$3:$H$552,MATCH(G$2,Miljövärden!$B$2:$H$2,0),FALSE),"Nej, saknas")</f>
        <v>Ja</v>
      </c>
      <c r="H21" s="285" t="str">
        <f>IFERROR(VLOOKUP($B21,Miljövärden!$B$3:$H$552,MATCH(H$2,Miljövärden!$B$2:$H$2,0),FALSE),"Nej, saknas")</f>
        <v>Ja</v>
      </c>
      <c r="P21" s="121" t="str">
        <f t="shared" si="0"/>
        <v>ja</v>
      </c>
      <c r="R21" s="121">
        <f t="shared" si="1"/>
        <v>20</v>
      </c>
    </row>
    <row r="22" spans="1:18" x14ac:dyDescent="0.25">
      <c r="A22" s="137" t="s">
        <v>200</v>
      </c>
      <c r="B22" s="137" t="s">
        <v>210</v>
      </c>
      <c r="C22" s="121">
        <f>IFERROR(VLOOKUP($B22,Miljövärden!$B$3:$H$552,MATCH(C$2,Miljövärden!$B$2:$H$2,0),FALSE),"Saknas")</f>
        <v>8.2857100000000003E-2</v>
      </c>
      <c r="D22" s="121">
        <f>IFERROR(VLOOKUP($B22,Miljövärden!$B$3:$H$552,MATCH(D$2,Miljövärden!$B$2:$H$2,0),FALSE),"Saknas")</f>
        <v>13.714499999999999</v>
      </c>
      <c r="E22" s="121">
        <f>IFERROR(VLOOKUP($B22,Miljövärden!$B$3:$H$552,MATCH(E$2,Miljövärden!$B$2:$H$2,0),FALSE),"Saknas")</f>
        <v>11.2286</v>
      </c>
      <c r="F22" s="121">
        <f>IFERROR(VLOOKUP($B22,Miljövärden!$B$3:$H$552,MATCH(F$2,Miljövärden!$B$2:$H$2,0),FALSE),"Saknas")</f>
        <v>1.84502E-2</v>
      </c>
      <c r="G22" s="121" t="str">
        <f>IFERROR(VLOOKUP($B22,Miljövärden!$B$3:$H$552,MATCH(G$2,Miljövärden!$B$2:$H$2,0),FALSE),"Nej, saknas")</f>
        <v>Ja</v>
      </c>
      <c r="H22" s="285" t="str">
        <f>IFERROR(VLOOKUP($B22,Miljövärden!$B$3:$H$552,MATCH(H$2,Miljövärden!$B$2:$H$2,0),FALSE),"Nej, saknas")</f>
        <v>Ja</v>
      </c>
      <c r="P22" s="121" t="str">
        <f t="shared" si="0"/>
        <v>ja</v>
      </c>
      <c r="R22" s="121">
        <f t="shared" si="1"/>
        <v>21</v>
      </c>
    </row>
    <row r="23" spans="1:18" x14ac:dyDescent="0.25">
      <c r="A23" s="137" t="s">
        <v>211</v>
      </c>
      <c r="B23" s="137" t="s">
        <v>212</v>
      </c>
      <c r="C23" s="121">
        <f>IFERROR(VLOOKUP($B23,Miljövärden!$B$3:$H$552,MATCH(C$2,Miljövärden!$B$2:$H$2,0),FALSE),"Saknas")</f>
        <v>0.25694699999999998</v>
      </c>
      <c r="D23" s="121">
        <f>IFERROR(VLOOKUP($B23,Miljövärden!$B$3:$H$552,MATCH(D$2,Miljövärden!$B$2:$H$2,0),FALSE),"Saknas")</f>
        <v>18.6526</v>
      </c>
      <c r="E23" s="121">
        <f>IFERROR(VLOOKUP($B23,Miljövärden!$B$3:$H$552,MATCH(E$2,Miljövärden!$B$2:$H$2,0),FALSE),"Saknas")</f>
        <v>21.8947</v>
      </c>
      <c r="F23" s="121">
        <f>IFERROR(VLOOKUP($B23,Miljövärden!$B$3:$H$552,MATCH(F$2,Miljövärden!$B$2:$H$2,0),FALSE),"Saknas")</f>
        <v>3.01003E-2</v>
      </c>
      <c r="G23" s="121" t="str">
        <f>IFERROR(VLOOKUP($B23,Miljövärden!$B$3:$H$552,MATCH(G$2,Miljövärden!$B$2:$H$2,0),FALSE),"Nej, saknas")</f>
        <v>Ja</v>
      </c>
      <c r="H23" s="285" t="str">
        <f>IFERROR(VLOOKUP($B23,Miljövärden!$B$3:$H$552,MATCH(H$2,Miljövärden!$B$2:$H$2,0),FALSE),"Nej, saknas")</f>
        <v>Ja</v>
      </c>
      <c r="P23" s="121" t="str">
        <f t="shared" si="0"/>
        <v>ja</v>
      </c>
      <c r="R23" s="121">
        <f t="shared" si="1"/>
        <v>22</v>
      </c>
    </row>
    <row r="24" spans="1:18" x14ac:dyDescent="0.25">
      <c r="A24" s="137" t="s">
        <v>211</v>
      </c>
      <c r="B24" s="137" t="s">
        <v>213</v>
      </c>
      <c r="C24" s="121">
        <f>IFERROR(VLOOKUP($B24,Miljövärden!$B$3:$H$552,MATCH(C$2,Miljövärden!$B$2:$H$2,0),FALSE),"Saknas")</f>
        <v>0.18767500000000001</v>
      </c>
      <c r="D24" s="121">
        <f>IFERROR(VLOOKUP($B24,Miljövärden!$B$3:$H$552,MATCH(D$2,Miljövärden!$B$2:$H$2,0),FALSE),"Saknas")</f>
        <v>8.1915200000000006</v>
      </c>
      <c r="E24" s="121">
        <f>IFERROR(VLOOKUP($B24,Miljövärden!$B$3:$H$552,MATCH(E$2,Miljövärden!$B$2:$H$2,0),FALSE),"Saknas")</f>
        <v>19.7879</v>
      </c>
      <c r="F24" s="121">
        <f>IFERROR(VLOOKUP($B24,Miljövärden!$B$3:$H$552,MATCH(F$2,Miljövärden!$B$2:$H$2,0),FALSE),"Saknas")</f>
        <v>6.7863699999999999E-3</v>
      </c>
      <c r="G24" s="121" t="str">
        <f>IFERROR(VLOOKUP($B24,Miljövärden!$B$3:$H$552,MATCH(G$2,Miljövärden!$B$2:$H$2,0),FALSE),"Nej, saknas")</f>
        <v>Ja</v>
      </c>
      <c r="H24" s="285" t="str">
        <f>IFERROR(VLOOKUP($B24,Miljövärden!$B$3:$H$552,MATCH(H$2,Miljövärden!$B$2:$H$2,0),FALSE),"Nej, saknas")</f>
        <v>Ja</v>
      </c>
      <c r="P24" s="121" t="str">
        <f t="shared" si="0"/>
        <v>ja</v>
      </c>
      <c r="R24" s="121">
        <f t="shared" si="1"/>
        <v>23</v>
      </c>
    </row>
    <row r="25" spans="1:18" x14ac:dyDescent="0.25">
      <c r="A25" s="137" t="s">
        <v>211</v>
      </c>
      <c r="B25" s="137" t="s">
        <v>214</v>
      </c>
      <c r="C25" s="121">
        <f>IFERROR(VLOOKUP($B25,Miljövärden!$B$3:$H$552,MATCH(C$2,Miljövärden!$B$2:$H$2,0),FALSE),"Saknas")</f>
        <v>0.11419600000000001</v>
      </c>
      <c r="D25" s="121">
        <f>IFERROR(VLOOKUP($B25,Miljövärden!$B$3:$H$552,MATCH(D$2,Miljövärden!$B$2:$H$2,0),FALSE),"Saknas")</f>
        <v>18.911100000000001</v>
      </c>
      <c r="E25" s="121">
        <f>IFERROR(VLOOKUP($B25,Miljövärden!$B$3:$H$552,MATCH(E$2,Miljövärden!$B$2:$H$2,0),FALSE),"Saknas")</f>
        <v>7.1196900000000003</v>
      </c>
      <c r="F25" s="121">
        <f>IFERROR(VLOOKUP($B25,Miljövärden!$B$3:$H$552,MATCH(F$2,Miljövärden!$B$2:$H$2,0),FALSE),"Saknas")</f>
        <v>1.27089E-3</v>
      </c>
      <c r="G25" s="121" t="str">
        <f>IFERROR(VLOOKUP($B25,Miljövärden!$B$3:$H$552,MATCH(G$2,Miljövärden!$B$2:$H$2,0),FALSE),"Nej, saknas")</f>
        <v>Ja</v>
      </c>
      <c r="H25" s="285" t="str">
        <f>IFERROR(VLOOKUP($B25,Miljövärden!$B$3:$H$552,MATCH(H$2,Miljövärden!$B$2:$H$2,0),FALSE),"Nej, saknas")</f>
        <v>Ja</v>
      </c>
      <c r="P25" s="121" t="str">
        <f t="shared" si="0"/>
        <v>ja</v>
      </c>
      <c r="R25" s="121">
        <f t="shared" si="1"/>
        <v>24</v>
      </c>
    </row>
    <row r="26" spans="1:18" x14ac:dyDescent="0.25">
      <c r="A26" s="137" t="s">
        <v>211</v>
      </c>
      <c r="B26" s="137" t="s">
        <v>215</v>
      </c>
      <c r="C26" s="121">
        <f>IFERROR(VLOOKUP($B26,Miljövärden!$B$3:$H$552,MATCH(C$2,Miljövärden!$B$2:$H$2,0),FALSE),"Saknas")</f>
        <v>0.234406</v>
      </c>
      <c r="D26" s="121">
        <f>IFERROR(VLOOKUP($B26,Miljövärden!$B$3:$H$552,MATCH(D$2,Miljövärden!$B$2:$H$2,0),FALSE),"Saknas")</f>
        <v>18.1538</v>
      </c>
      <c r="E26" s="121">
        <f>IFERROR(VLOOKUP($B26,Miljövärden!$B$3:$H$552,MATCH(E$2,Miljövärden!$B$2:$H$2,0),FALSE),"Saknas")</f>
        <v>20.387599999999999</v>
      </c>
      <c r="F26" s="121">
        <f>IFERROR(VLOOKUP($B26,Miljövärden!$B$3:$H$552,MATCH(F$2,Miljövärden!$B$2:$H$2,0),FALSE),"Saknas")</f>
        <v>3.2339100000000003E-2</v>
      </c>
      <c r="G26" s="121" t="str">
        <f>IFERROR(VLOOKUP($B26,Miljövärden!$B$3:$H$552,MATCH(G$2,Miljövärden!$B$2:$H$2,0),FALSE),"Nej, saknas")</f>
        <v>Ja</v>
      </c>
      <c r="H26" s="285" t="str">
        <f>IFERROR(VLOOKUP($B26,Miljövärden!$B$3:$H$552,MATCH(H$2,Miljövärden!$B$2:$H$2,0),FALSE),"Nej, saknas")</f>
        <v>Ja</v>
      </c>
      <c r="P26" s="121" t="str">
        <f t="shared" si="0"/>
        <v>ja</v>
      </c>
      <c r="R26" s="121">
        <f t="shared" si="1"/>
        <v>25</v>
      </c>
    </row>
    <row r="27" spans="1:18" x14ac:dyDescent="0.25">
      <c r="A27" s="137" t="s">
        <v>211</v>
      </c>
      <c r="B27" s="137" t="s">
        <v>216</v>
      </c>
      <c r="C27" s="121">
        <f>IFERROR(VLOOKUP($B27,Miljövärden!$B$3:$H$552,MATCH(C$2,Miljövärden!$B$2:$H$2,0),FALSE),"Saknas")</f>
        <v>0.47891400000000001</v>
      </c>
      <c r="D27" s="121">
        <f>IFERROR(VLOOKUP($B27,Miljövärden!$B$3:$H$552,MATCH(D$2,Miljövärden!$B$2:$H$2,0),FALSE),"Saknas")</f>
        <v>69.462900000000005</v>
      </c>
      <c r="E27" s="121">
        <f>IFERROR(VLOOKUP($B27,Miljövärden!$B$3:$H$552,MATCH(E$2,Miljövärden!$B$2:$H$2,0),FALSE),"Saknas")</f>
        <v>18.0457</v>
      </c>
      <c r="F27" s="121">
        <f>IFERROR(VLOOKUP($B27,Miljövärden!$B$3:$H$552,MATCH(F$2,Miljövärden!$B$2:$H$2,0),FALSE),"Saknas")</f>
        <v>0.19724800000000001</v>
      </c>
      <c r="G27" s="121" t="str">
        <f>IFERROR(VLOOKUP($B27,Miljövärden!$B$3:$H$552,MATCH(G$2,Miljövärden!$B$2:$H$2,0),FALSE),"Nej, saknas")</f>
        <v>Ja</v>
      </c>
      <c r="H27" s="285" t="str">
        <f>IFERROR(VLOOKUP($B27,Miljövärden!$B$3:$H$552,MATCH(H$2,Miljövärden!$B$2:$H$2,0),FALSE),"Nej, saknas")</f>
        <v>Ja</v>
      </c>
      <c r="P27" s="121" t="str">
        <f t="shared" si="0"/>
        <v>ja</v>
      </c>
      <c r="R27" s="121">
        <f t="shared" si="1"/>
        <v>26</v>
      </c>
    </row>
    <row r="28" spans="1:18" x14ac:dyDescent="0.25">
      <c r="A28" s="137" t="s">
        <v>217</v>
      </c>
      <c r="B28" s="137" t="s">
        <v>218</v>
      </c>
      <c r="C28" s="121">
        <f>IFERROR(VLOOKUP($B28,Miljövärden!$B$3:$H$552,MATCH(C$2,Miljövärden!$B$2:$H$2,0),FALSE),"Saknas")</f>
        <v>3.86658E-2</v>
      </c>
      <c r="D28" s="121">
        <f>IFERROR(VLOOKUP($B28,Miljövärden!$B$3:$H$552,MATCH(D$2,Miljövärden!$B$2:$H$2,0),FALSE),"Saknas")</f>
        <v>4.2578800000000001</v>
      </c>
      <c r="E28" s="121">
        <f>IFERROR(VLOOKUP($B28,Miljövärden!$B$3:$H$552,MATCH(E$2,Miljövärden!$B$2:$H$2,0),FALSE),"Saknas")</f>
        <v>7.4178600000000001</v>
      </c>
      <c r="F28" s="121">
        <f>IFERROR(VLOOKUP($B28,Miljövärden!$B$3:$H$552,MATCH(F$2,Miljövärden!$B$2:$H$2,0),FALSE),"Saknas")</f>
        <v>3.6852800000000002E-4</v>
      </c>
      <c r="G28" s="121" t="str">
        <f>IFERROR(VLOOKUP($B28,Miljövärden!$B$3:$H$552,MATCH(G$2,Miljövärden!$B$2:$H$2,0),FALSE),"Nej, saknas")</f>
        <v>Nej</v>
      </c>
      <c r="H28" s="285" t="str">
        <f>IFERROR(VLOOKUP($B28,Miljövärden!$B$3:$H$552,MATCH(H$2,Miljövärden!$B$2:$H$2,0),FALSE),"Nej, saknas")</f>
        <v>Ja</v>
      </c>
      <c r="P28" s="121" t="str">
        <f t="shared" si="0"/>
        <v>ja</v>
      </c>
      <c r="R28" s="121">
        <f t="shared" si="1"/>
        <v>27</v>
      </c>
    </row>
    <row r="29" spans="1:18" x14ac:dyDescent="0.25">
      <c r="A29" s="137" t="s">
        <v>220</v>
      </c>
      <c r="B29" s="137" t="s">
        <v>221</v>
      </c>
      <c r="C29" s="121">
        <f>IFERROR(VLOOKUP($B29,Miljövärden!$B$3:$H$552,MATCH(C$2,Miljövärden!$B$2:$H$2,0),FALSE),"Saknas")</f>
        <v>0.116758</v>
      </c>
      <c r="D29" s="121">
        <f>IFERROR(VLOOKUP($B29,Miljövärden!$B$3:$H$552,MATCH(D$2,Miljövärden!$B$2:$H$2,0),FALSE),"Saknas")</f>
        <v>16.886600000000001</v>
      </c>
      <c r="E29" s="121">
        <f>IFERROR(VLOOKUP($B29,Miljövärden!$B$3:$H$552,MATCH(E$2,Miljövärden!$B$2:$H$2,0),FALSE),"Saknas")</f>
        <v>9.8731500000000008</v>
      </c>
      <c r="F29" s="121">
        <f>IFERROR(VLOOKUP($B29,Miljövärden!$B$3:$H$552,MATCH(F$2,Miljövärden!$B$2:$H$2,0),FALSE),"Saknas")</f>
        <v>1.2736600000000001E-2</v>
      </c>
      <c r="G29" s="121" t="str">
        <f>IFERROR(VLOOKUP($B29,Miljövärden!$B$3:$H$552,MATCH(G$2,Miljövärden!$B$2:$H$2,0),FALSE),"Nej, saknas")</f>
        <v>Nej</v>
      </c>
      <c r="H29" s="285" t="str">
        <f>IFERROR(VLOOKUP($B29,Miljövärden!$B$3:$H$552,MATCH(H$2,Miljövärden!$B$2:$H$2,0),FALSE),"Nej, saknas")</f>
        <v>Ja</v>
      </c>
      <c r="P29" s="121" t="str">
        <f t="shared" si="0"/>
        <v>ja</v>
      </c>
      <c r="R29" s="121">
        <f t="shared" si="1"/>
        <v>28</v>
      </c>
    </row>
    <row r="30" spans="1:18" x14ac:dyDescent="0.25">
      <c r="A30" s="137" t="s">
        <v>220</v>
      </c>
      <c r="B30" s="137" t="s">
        <v>222</v>
      </c>
      <c r="C30" s="121">
        <f>IFERROR(VLOOKUP($B30,Miljövärden!$B$3:$H$552,MATCH(C$2,Miljövärden!$B$2:$H$2,0),FALSE),"Saknas")</f>
        <v>0.13839099999999999</v>
      </c>
      <c r="D30" s="121">
        <f>IFERROR(VLOOKUP($B30,Miljövärden!$B$3:$H$552,MATCH(D$2,Miljövärden!$B$2:$H$2,0),FALSE),"Saknas")</f>
        <v>21.827000000000002</v>
      </c>
      <c r="E30" s="121">
        <f>IFERROR(VLOOKUP($B30,Miljövärden!$B$3:$H$552,MATCH(E$2,Miljövärden!$B$2:$H$2,0),FALSE),"Saknas")</f>
        <v>10.8604</v>
      </c>
      <c r="F30" s="121">
        <f>IFERROR(VLOOKUP($B30,Miljövärden!$B$3:$H$552,MATCH(F$2,Miljövärden!$B$2:$H$2,0),FALSE),"Saknas")</f>
        <v>2.3044100000000001E-2</v>
      </c>
      <c r="G30" s="121" t="str">
        <f>IFERROR(VLOOKUP($B30,Miljövärden!$B$3:$H$552,MATCH(G$2,Miljövärden!$B$2:$H$2,0),FALSE),"Nej, saknas")</f>
        <v>Nej</v>
      </c>
      <c r="H30" s="285" t="str">
        <f>IFERROR(VLOOKUP($B30,Miljövärden!$B$3:$H$552,MATCH(H$2,Miljövärden!$B$2:$H$2,0),FALSE),"Nej, saknas")</f>
        <v>Ja</v>
      </c>
      <c r="P30" s="121" t="str">
        <f t="shared" si="0"/>
        <v>ja</v>
      </c>
      <c r="R30" s="121">
        <f t="shared" si="1"/>
        <v>29</v>
      </c>
    </row>
    <row r="31" spans="1:18" x14ac:dyDescent="0.25">
      <c r="A31" s="137" t="s">
        <v>220</v>
      </c>
      <c r="B31" s="137" t="s">
        <v>223</v>
      </c>
      <c r="C31" s="121">
        <f>IFERROR(VLOOKUP($B31,Miljövärden!$B$3:$H$552,MATCH(C$2,Miljövärden!$B$2:$H$2,0),FALSE),"Saknas")</f>
        <v>0.139347</v>
      </c>
      <c r="D31" s="121">
        <f>IFERROR(VLOOKUP($B31,Miljövärden!$B$3:$H$552,MATCH(D$2,Miljövärden!$B$2:$H$2,0),FALSE),"Saknas")</f>
        <v>19.930099999999999</v>
      </c>
      <c r="E31" s="121">
        <f>IFERROR(VLOOKUP($B31,Miljövärden!$B$3:$H$552,MATCH(E$2,Miljövärden!$B$2:$H$2,0),FALSE),"Saknas")</f>
        <v>15.0815</v>
      </c>
      <c r="F31" s="121">
        <f>IFERROR(VLOOKUP($B31,Miljövärden!$B$3:$H$552,MATCH(F$2,Miljövärden!$B$2:$H$2,0),FALSE),"Saknas")</f>
        <v>8.4988000000000008E-3</v>
      </c>
      <c r="G31" s="121" t="str">
        <f>IFERROR(VLOOKUP($B31,Miljövärden!$B$3:$H$552,MATCH(G$2,Miljövärden!$B$2:$H$2,0),FALSE),"Nej, saknas")</f>
        <v>Nej</v>
      </c>
      <c r="H31" s="285" t="str">
        <f>IFERROR(VLOOKUP($B31,Miljövärden!$B$3:$H$552,MATCH(H$2,Miljövärden!$B$2:$H$2,0),FALSE),"Nej, saknas")</f>
        <v>Ja</v>
      </c>
      <c r="P31" s="121" t="str">
        <f t="shared" si="0"/>
        <v>ja</v>
      </c>
      <c r="R31" s="121">
        <f t="shared" si="1"/>
        <v>30</v>
      </c>
    </row>
    <row r="32" spans="1:18" x14ac:dyDescent="0.25">
      <c r="A32" s="137" t="s">
        <v>224</v>
      </c>
      <c r="B32" s="137" t="s">
        <v>225</v>
      </c>
      <c r="C32" s="121">
        <f>IFERROR(VLOOKUP($B32,Miljövärden!$B$3:$H$552,MATCH(C$2,Miljövärden!$B$2:$H$2,0),FALSE),"Saknas")</f>
        <v>8.6572999999999997E-2</v>
      </c>
      <c r="D32" s="121">
        <f>IFERROR(VLOOKUP($B32,Miljövärden!$B$3:$H$552,MATCH(D$2,Miljövärden!$B$2:$H$2,0),FALSE),"Saknas")</f>
        <v>5.5802800000000001</v>
      </c>
      <c r="E32" s="121">
        <f>IFERROR(VLOOKUP($B32,Miljövärden!$B$3:$H$552,MATCH(E$2,Miljövärden!$B$2:$H$2,0),FALSE),"Saknas")</f>
        <v>11.566000000000001</v>
      </c>
      <c r="F32" s="121">
        <f>IFERROR(VLOOKUP($B32,Miljövärden!$B$3:$H$552,MATCH(F$2,Miljövärden!$B$2:$H$2,0),FALSE),"Saknas")</f>
        <v>0</v>
      </c>
      <c r="G32" s="121" t="str">
        <f>IFERROR(VLOOKUP($B32,Miljövärden!$B$3:$H$552,MATCH(G$2,Miljövärden!$B$2:$H$2,0),FALSE),"Nej, saknas")</f>
        <v>Ja</v>
      </c>
      <c r="H32" s="285" t="str">
        <f>IFERROR(VLOOKUP($B32,Miljövärden!$B$3:$H$552,MATCH(H$2,Miljövärden!$B$2:$H$2,0),FALSE),"Nej, saknas")</f>
        <v>Ja</v>
      </c>
      <c r="P32" s="121" t="str">
        <f t="shared" si="0"/>
        <v>ja</v>
      </c>
      <c r="R32" s="121">
        <f t="shared" si="1"/>
        <v>31</v>
      </c>
    </row>
    <row r="33" spans="1:18" x14ac:dyDescent="0.25">
      <c r="A33" s="137" t="s">
        <v>36</v>
      </c>
      <c r="B33" s="141" t="s">
        <v>37</v>
      </c>
      <c r="C33" s="121" t="str">
        <f>IFERROR(VLOOKUP($B33,Miljövärden!$B$3:$H$552,MATCH(C$2,Miljövärden!$B$2:$H$2,0),FALSE),"Saknas")</f>
        <v>Saknas</v>
      </c>
      <c r="D33" s="121" t="str">
        <f>IFERROR(VLOOKUP($B33,Miljövärden!$B$3:$H$552,MATCH(D$2,Miljövärden!$B$2:$H$2,0),FALSE),"Saknas")</f>
        <v>Saknas</v>
      </c>
      <c r="E33" s="121" t="str">
        <f>IFERROR(VLOOKUP($B33,Miljövärden!$B$3:$H$552,MATCH(E$2,Miljövärden!$B$2:$H$2,0),FALSE),"Saknas")</f>
        <v>Saknas</v>
      </c>
      <c r="F33" s="121" t="str">
        <f>IFERROR(VLOOKUP($B33,Miljövärden!$B$3:$H$552,MATCH(F$2,Miljövärden!$B$2:$H$2,0),FALSE),"Saknas")</f>
        <v>Saknas</v>
      </c>
      <c r="G33" s="121" t="str">
        <f>IFERROR(VLOOKUP($B33,Miljövärden!$B$3:$H$552,MATCH(G$2,Miljövärden!$B$2:$H$2,0),FALSE),"Nej, saknas")</f>
        <v>Nej, saknas</v>
      </c>
      <c r="H33" s="285" t="str">
        <f>IFERROR(VLOOKUP($B33,Miljövärden!$B$3:$H$552,MATCH(H$2,Miljövärden!$B$2:$H$2,0),FALSE),"Nej, saknas")</f>
        <v>Nej, saknas</v>
      </c>
      <c r="P33" s="121" t="str">
        <f t="shared" si="0"/>
        <v>nej</v>
      </c>
      <c r="R33" s="121">
        <f t="shared" si="1"/>
        <v>31</v>
      </c>
    </row>
    <row r="34" spans="1:18" x14ac:dyDescent="0.25">
      <c r="A34" s="137" t="s">
        <v>226</v>
      </c>
      <c r="B34" s="137" t="s">
        <v>227</v>
      </c>
      <c r="C34" s="121">
        <f>IFERROR(VLOOKUP($B34,Miljövärden!$B$3:$H$552,MATCH(C$2,Miljövärden!$B$2:$H$2,0),FALSE),"Saknas")</f>
        <v>0.10333199999999999</v>
      </c>
      <c r="D34" s="121">
        <f>IFERROR(VLOOKUP($B34,Miljövärden!$B$3:$H$552,MATCH(D$2,Miljövärden!$B$2:$H$2,0),FALSE),"Saknas")</f>
        <v>10.095800000000001</v>
      </c>
      <c r="E34" s="121">
        <f>IFERROR(VLOOKUP($B34,Miljövärden!$B$3:$H$552,MATCH(E$2,Miljövärden!$B$2:$H$2,0),FALSE),"Saknas")</f>
        <v>8.2805199999999992</v>
      </c>
      <c r="F34" s="121">
        <f>IFERROR(VLOOKUP($B34,Miljövärden!$B$3:$H$552,MATCH(F$2,Miljövärden!$B$2:$H$2,0),FALSE),"Saknas")</f>
        <v>1.8644899999999999E-2</v>
      </c>
      <c r="G34" s="121" t="str">
        <f>IFERROR(VLOOKUP($B34,Miljövärden!$B$3:$H$552,MATCH(G$2,Miljövärden!$B$2:$H$2,0),FALSE),"Nej, saknas")</f>
        <v>Ja</v>
      </c>
      <c r="H34" s="285" t="str">
        <f>IFERROR(VLOOKUP($B34,Miljövärden!$B$3:$H$552,MATCH(H$2,Miljövärden!$B$2:$H$2,0),FALSE),"Nej, saknas")</f>
        <v>Ja</v>
      </c>
      <c r="P34" s="121" t="str">
        <f t="shared" si="0"/>
        <v>ja</v>
      </c>
      <c r="R34" s="121">
        <f t="shared" si="1"/>
        <v>32</v>
      </c>
    </row>
    <row r="35" spans="1:18" x14ac:dyDescent="0.25">
      <c r="A35" s="137" t="s">
        <v>228</v>
      </c>
      <c r="B35" s="137" t="s">
        <v>229</v>
      </c>
      <c r="C35" s="121">
        <f>IFERROR(VLOOKUP($B35,Miljövärden!$B$3:$H$552,MATCH(C$2,Miljövärden!$B$2:$H$2,0),FALSE),"Saknas")</f>
        <v>6.1666699999999998E-2</v>
      </c>
      <c r="D35" s="121">
        <f>IFERROR(VLOOKUP($B35,Miljövärden!$B$3:$H$552,MATCH(D$2,Miljövärden!$B$2:$H$2,0),FALSE),"Saknas")</f>
        <v>7.0180199999999999</v>
      </c>
      <c r="E35" s="121">
        <f>IFERROR(VLOOKUP($B35,Miljövärden!$B$3:$H$552,MATCH(E$2,Miljövärden!$B$2:$H$2,0),FALSE),"Saknas")</f>
        <v>5.4285699999999997</v>
      </c>
      <c r="F35" s="121">
        <f>IFERROR(VLOOKUP($B35,Miljövärden!$B$3:$H$552,MATCH(F$2,Miljövärden!$B$2:$H$2,0),FALSE),"Saknas")</f>
        <v>1.05708E-2</v>
      </c>
      <c r="G35" s="121" t="str">
        <f>IFERROR(VLOOKUP($B35,Miljövärden!$B$3:$H$552,MATCH(G$2,Miljövärden!$B$2:$H$2,0),FALSE),"Nej, saknas")</f>
        <v>Nej</v>
      </c>
      <c r="H35" s="285" t="str">
        <f>IFERROR(VLOOKUP($B35,Miljövärden!$B$3:$H$552,MATCH(H$2,Miljövärden!$B$2:$H$2,0),FALSE),"Nej, saknas")</f>
        <v>Ja</v>
      </c>
      <c r="P35" s="121" t="str">
        <f t="shared" si="0"/>
        <v>ja</v>
      </c>
      <c r="R35" s="121">
        <f t="shared" si="1"/>
        <v>33</v>
      </c>
    </row>
    <row r="36" spans="1:18" x14ac:dyDescent="0.25">
      <c r="A36" s="137" t="s">
        <v>230</v>
      </c>
      <c r="B36" s="137" t="s">
        <v>66</v>
      </c>
      <c r="C36" s="121">
        <f>IFERROR(VLOOKUP($B36,Miljövärden!$B$3:$H$552,MATCH(C$2,Miljövärden!$B$2:$H$2,0),FALSE),"Saknas")</f>
        <v>0.23332900000000001</v>
      </c>
      <c r="D36" s="121">
        <f>IFERROR(VLOOKUP($B36,Miljövärden!$B$3:$H$552,MATCH(D$2,Miljövärden!$B$2:$H$2,0),FALSE),"Saknas")</f>
        <v>173.41499999999999</v>
      </c>
      <c r="E36" s="121">
        <f>IFERROR(VLOOKUP($B36,Miljövärden!$B$3:$H$552,MATCH(E$2,Miljövärden!$B$2:$H$2,0),FALSE),"Saknas")</f>
        <v>6.4313900000000004</v>
      </c>
      <c r="F36" s="121">
        <f>IFERROR(VLOOKUP($B36,Miljövärden!$B$3:$H$552,MATCH(F$2,Miljövärden!$B$2:$H$2,0),FALSE),"Saknas")</f>
        <v>5.0210699999999997E-2</v>
      </c>
      <c r="G36" s="121" t="str">
        <f>IFERROR(VLOOKUP($B36,Miljövärden!$B$3:$H$552,MATCH(G$2,Miljövärden!$B$2:$H$2,0),FALSE),"Nej, saknas")</f>
        <v>Nej</v>
      </c>
      <c r="H36" s="285" t="str">
        <f>IFERROR(VLOOKUP($B36,Miljövärden!$B$3:$H$552,MATCH(H$2,Miljövärden!$B$2:$H$2,0),FALSE),"Nej, saknas")</f>
        <v>Ja</v>
      </c>
      <c r="P36" s="121" t="str">
        <f t="shared" si="0"/>
        <v>ja</v>
      </c>
      <c r="R36" s="121">
        <f t="shared" si="1"/>
        <v>34</v>
      </c>
    </row>
    <row r="37" spans="1:18" x14ac:dyDescent="0.25">
      <c r="A37" s="137" t="s">
        <v>231</v>
      </c>
      <c r="B37" s="137" t="s">
        <v>232</v>
      </c>
      <c r="C37" s="121">
        <f>IFERROR(VLOOKUP($B37,Miljövärden!$B$3:$H$552,MATCH(C$2,Miljövärden!$B$2:$H$2,0),FALSE),"Saknas")</f>
        <v>0.180367</v>
      </c>
      <c r="D37" s="121">
        <f>IFERROR(VLOOKUP($B37,Miljövärden!$B$3:$H$552,MATCH(D$2,Miljövärden!$B$2:$H$2,0),FALSE),"Saknas")</f>
        <v>34.545200000000001</v>
      </c>
      <c r="E37" s="121">
        <f>IFERROR(VLOOKUP($B37,Miljövärden!$B$3:$H$552,MATCH(E$2,Miljövärden!$B$2:$H$2,0),FALSE),"Saknas")</f>
        <v>10.6671</v>
      </c>
      <c r="F37" s="121">
        <f>IFERROR(VLOOKUP($B37,Miljövärden!$B$3:$H$552,MATCH(F$2,Miljövärden!$B$2:$H$2,0),FALSE),"Saknas")</f>
        <v>8.0655299999999999E-2</v>
      </c>
      <c r="G37" s="121" t="str">
        <f>IFERROR(VLOOKUP($B37,Miljövärden!$B$3:$H$552,MATCH(G$2,Miljövärden!$B$2:$H$2,0),FALSE),"Nej, saknas")</f>
        <v>Ja</v>
      </c>
      <c r="H37" s="285" t="str">
        <f>IFERROR(VLOOKUP($B37,Miljövärden!$B$3:$H$552,MATCH(H$2,Miljövärden!$B$2:$H$2,0),FALSE),"Nej, saknas")</f>
        <v>Ja</v>
      </c>
      <c r="P37" s="121" t="str">
        <f t="shared" si="0"/>
        <v>ja</v>
      </c>
      <c r="R37" s="121">
        <f t="shared" si="1"/>
        <v>35</v>
      </c>
    </row>
    <row r="38" spans="1:18" x14ac:dyDescent="0.25">
      <c r="A38" s="137" t="s">
        <v>231</v>
      </c>
      <c r="B38" s="137" t="s">
        <v>233</v>
      </c>
      <c r="C38" s="121">
        <f>IFERROR(VLOOKUP($B38,Miljövärden!$B$3:$H$552,MATCH(C$2,Miljövärden!$B$2:$H$2,0),FALSE),"Saknas")</f>
        <v>0.113537</v>
      </c>
      <c r="D38" s="121">
        <f>IFERROR(VLOOKUP($B38,Miljövärden!$B$3:$H$552,MATCH(D$2,Miljövärden!$B$2:$H$2,0),FALSE),"Saknas")</f>
        <v>104.892</v>
      </c>
      <c r="E38" s="121">
        <f>IFERROR(VLOOKUP($B38,Miljövärden!$B$3:$H$552,MATCH(E$2,Miljövärden!$B$2:$H$2,0),FALSE),"Saknas")</f>
        <v>3.4186299999999998</v>
      </c>
      <c r="F38" s="121">
        <f>IFERROR(VLOOKUP($B38,Miljövärden!$B$3:$H$552,MATCH(F$2,Miljövärden!$B$2:$H$2,0),FALSE),"Saknas")</f>
        <v>1.3748399999999999E-2</v>
      </c>
      <c r="G38" s="121" t="str">
        <f>IFERROR(VLOOKUP($B38,Miljövärden!$B$3:$H$552,MATCH(G$2,Miljövärden!$B$2:$H$2,0),FALSE),"Nej, saknas")</f>
        <v>Ja</v>
      </c>
      <c r="H38" s="285" t="str">
        <f>IFERROR(VLOOKUP($B38,Miljövärden!$B$3:$H$552,MATCH(H$2,Miljövärden!$B$2:$H$2,0),FALSE),"Nej, saknas")</f>
        <v>Ja</v>
      </c>
      <c r="P38" s="121" t="str">
        <f t="shared" si="0"/>
        <v>ja</v>
      </c>
      <c r="R38" s="121">
        <f t="shared" si="1"/>
        <v>36</v>
      </c>
    </row>
    <row r="39" spans="1:18" x14ac:dyDescent="0.25">
      <c r="A39" s="137" t="s">
        <v>231</v>
      </c>
      <c r="B39" s="137" t="s">
        <v>234</v>
      </c>
      <c r="C39" s="121">
        <f>IFERROR(VLOOKUP($B39,Miljövärden!$B$3:$H$552,MATCH(C$2,Miljövärden!$B$2:$H$2,0),FALSE),"Saknas")</f>
        <v>7.4134699999999998E-2</v>
      </c>
      <c r="D39" s="121">
        <f>IFERROR(VLOOKUP($B39,Miljövärden!$B$3:$H$552,MATCH(D$2,Miljövärden!$B$2:$H$2,0),FALSE),"Saknas")</f>
        <v>7.3777499999999998</v>
      </c>
      <c r="E39" s="121">
        <f>IFERROR(VLOOKUP($B39,Miljövärden!$B$3:$H$552,MATCH(E$2,Miljövärden!$B$2:$H$2,0),FALSE),"Saknas")</f>
        <v>8.1806999999999999</v>
      </c>
      <c r="F39" s="121">
        <f>IFERROR(VLOOKUP($B39,Miljövärden!$B$3:$H$552,MATCH(F$2,Miljövärden!$B$2:$H$2,0),FALSE),"Saknas")</f>
        <v>8.0256800000000003E-3</v>
      </c>
      <c r="G39" s="121" t="str">
        <f>IFERROR(VLOOKUP($B39,Miljövärden!$B$3:$H$552,MATCH(G$2,Miljövärden!$B$2:$H$2,0),FALSE),"Nej, saknas")</f>
        <v>Ja</v>
      </c>
      <c r="H39" s="285" t="str">
        <f>IFERROR(VLOOKUP($B39,Miljövärden!$B$3:$H$552,MATCH(H$2,Miljövärden!$B$2:$H$2,0),FALSE),"Nej, saknas")</f>
        <v>Ja</v>
      </c>
      <c r="P39" s="121" t="str">
        <f t="shared" si="0"/>
        <v>ja</v>
      </c>
      <c r="R39" s="121">
        <f t="shared" si="1"/>
        <v>37</v>
      </c>
    </row>
    <row r="40" spans="1:18" x14ac:dyDescent="0.25">
      <c r="A40" s="137" t="s">
        <v>235</v>
      </c>
      <c r="B40" s="137" t="s">
        <v>236</v>
      </c>
      <c r="C40" s="121">
        <f>IFERROR(VLOOKUP($B40,Miljövärden!$B$3:$H$552,MATCH(C$2,Miljövärden!$B$2:$H$2,0),FALSE),"Saknas")</f>
        <v>0.102369</v>
      </c>
      <c r="D40" s="121">
        <f>IFERROR(VLOOKUP($B40,Miljövärden!$B$3:$H$552,MATCH(D$2,Miljövärden!$B$2:$H$2,0),FALSE),"Saknas")</f>
        <v>14.4445</v>
      </c>
      <c r="E40" s="121">
        <f>IFERROR(VLOOKUP($B40,Miljövärden!$B$3:$H$552,MATCH(E$2,Miljövärden!$B$2:$H$2,0),FALSE),"Saknas")</f>
        <v>7.5495599999999996</v>
      </c>
      <c r="F40" s="121">
        <f>IFERROR(VLOOKUP($B40,Miljövärden!$B$3:$H$552,MATCH(F$2,Miljövärden!$B$2:$H$2,0),FALSE),"Saknas")</f>
        <v>1.07338E-2</v>
      </c>
      <c r="G40" s="121" t="str">
        <f>IFERROR(VLOOKUP($B40,Miljövärden!$B$3:$H$552,MATCH(G$2,Miljövärden!$B$2:$H$2,0),FALSE),"Nej, saknas")</f>
        <v>Ja</v>
      </c>
      <c r="H40" s="285" t="str">
        <f>IFERROR(VLOOKUP($B40,Miljövärden!$B$3:$H$552,MATCH(H$2,Miljövärden!$B$2:$H$2,0),FALSE),"Nej, saknas")</f>
        <v>Ja</v>
      </c>
      <c r="P40" s="121" t="str">
        <f t="shared" si="0"/>
        <v>ja</v>
      </c>
      <c r="R40" s="121">
        <f t="shared" si="1"/>
        <v>38</v>
      </c>
    </row>
    <row r="41" spans="1:18" x14ac:dyDescent="0.25">
      <c r="A41" s="137" t="s">
        <v>235</v>
      </c>
      <c r="B41" s="137" t="s">
        <v>237</v>
      </c>
      <c r="C41" s="121">
        <f>IFERROR(VLOOKUP($B41,Miljövärden!$B$3:$H$552,MATCH(C$2,Miljövärden!$B$2:$H$2,0),FALSE),"Saknas")</f>
        <v>0.15676999999999999</v>
      </c>
      <c r="D41" s="121">
        <f>IFERROR(VLOOKUP($B41,Miljövärden!$B$3:$H$552,MATCH(D$2,Miljövärden!$B$2:$H$2,0),FALSE),"Saknas")</f>
        <v>26.780899999999999</v>
      </c>
      <c r="E41" s="121">
        <f>IFERROR(VLOOKUP($B41,Miljövärden!$B$3:$H$552,MATCH(E$2,Miljövärden!$B$2:$H$2,0),FALSE),"Saknas")</f>
        <v>10.2049</v>
      </c>
      <c r="F41" s="121">
        <f>IFERROR(VLOOKUP($B41,Miljövärden!$B$3:$H$552,MATCH(F$2,Miljövärden!$B$2:$H$2,0),FALSE),"Saknas")</f>
        <v>4.0327300000000003E-2</v>
      </c>
      <c r="G41" s="121" t="str">
        <f>IFERROR(VLOOKUP($B41,Miljövärden!$B$3:$H$552,MATCH(G$2,Miljövärden!$B$2:$H$2,0),FALSE),"Nej, saknas")</f>
        <v>Ja</v>
      </c>
      <c r="H41" s="285" t="str">
        <f>IFERROR(VLOOKUP($B41,Miljövärden!$B$3:$H$552,MATCH(H$2,Miljövärden!$B$2:$H$2,0),FALSE),"Nej, saknas")</f>
        <v>Ja</v>
      </c>
      <c r="P41" s="121" t="str">
        <f t="shared" si="0"/>
        <v>ja</v>
      </c>
      <c r="R41" s="121">
        <f t="shared" si="1"/>
        <v>39</v>
      </c>
    </row>
    <row r="42" spans="1:18" x14ac:dyDescent="0.25">
      <c r="A42" s="137" t="s">
        <v>238</v>
      </c>
      <c r="B42" s="137" t="s">
        <v>239</v>
      </c>
      <c r="C42" s="121">
        <f>IFERROR(VLOOKUP($B42,Miljövärden!$B$3:$H$552,MATCH(C$2,Miljövärden!$B$2:$H$2,0),FALSE),"Saknas")</f>
        <v>6.2764799999999996E-2</v>
      </c>
      <c r="D42" s="121">
        <f>IFERROR(VLOOKUP($B42,Miljövärden!$B$3:$H$552,MATCH(D$2,Miljövärden!$B$2:$H$2,0),FALSE),"Saknas")</f>
        <v>76.628100000000003</v>
      </c>
      <c r="E42" s="121">
        <f>IFERROR(VLOOKUP($B42,Miljövärden!$B$3:$H$552,MATCH(E$2,Miljövärden!$B$2:$H$2,0),FALSE),"Saknas")</f>
        <v>4.1427399999999999</v>
      </c>
      <c r="F42" s="121">
        <f>IFERROR(VLOOKUP($B42,Miljövärden!$B$3:$H$552,MATCH(F$2,Miljövärden!$B$2:$H$2,0),FALSE),"Saknas")</f>
        <v>4.2882800000000002E-3</v>
      </c>
      <c r="G42" s="121" t="str">
        <f>IFERROR(VLOOKUP($B42,Miljövärden!$B$3:$H$552,MATCH(G$2,Miljövärden!$B$2:$H$2,0),FALSE),"Nej, saknas")</f>
        <v>Ja</v>
      </c>
      <c r="H42" s="285" t="str">
        <f>IFERROR(VLOOKUP($B42,Miljövärden!$B$3:$H$552,MATCH(H$2,Miljövärden!$B$2:$H$2,0),FALSE),"Nej, saknas")</f>
        <v>Ja</v>
      </c>
      <c r="P42" s="121" t="str">
        <f t="shared" si="0"/>
        <v>ja</v>
      </c>
      <c r="R42" s="121">
        <f t="shared" si="1"/>
        <v>40</v>
      </c>
    </row>
    <row r="43" spans="1:18" x14ac:dyDescent="0.25">
      <c r="A43" s="137" t="s">
        <v>238</v>
      </c>
      <c r="B43" s="137" t="s">
        <v>241</v>
      </c>
      <c r="C43" s="121">
        <f>IFERROR(VLOOKUP($B43,Miljövärden!$B$3:$H$552,MATCH(C$2,Miljövärden!$B$2:$H$2,0),FALSE),"Saknas")</f>
        <v>0.173536</v>
      </c>
      <c r="D43" s="121">
        <f>IFERROR(VLOOKUP($B43,Miljövärden!$B$3:$H$552,MATCH(D$2,Miljövärden!$B$2:$H$2,0),FALSE),"Saknas")</f>
        <v>6.3055099999999999</v>
      </c>
      <c r="E43" s="121">
        <f>IFERROR(VLOOKUP($B43,Miljövärden!$B$3:$H$552,MATCH(E$2,Miljövärden!$B$2:$H$2,0),FALSE),"Saknas")</f>
        <v>21.555199999999999</v>
      </c>
      <c r="F43" s="121">
        <f>IFERROR(VLOOKUP($B43,Miljövärden!$B$3:$H$552,MATCH(F$2,Miljövärden!$B$2:$H$2,0),FALSE),"Saknas")</f>
        <v>3.6380499999999998E-4</v>
      </c>
      <c r="G43" s="121" t="str">
        <f>IFERROR(VLOOKUP($B43,Miljövärden!$B$3:$H$552,MATCH(G$2,Miljövärden!$B$2:$H$2,0),FALSE),"Nej, saknas")</f>
        <v>Ja</v>
      </c>
      <c r="H43" s="285" t="str">
        <f>IFERROR(VLOOKUP($B43,Miljövärden!$B$3:$H$552,MATCH(H$2,Miljövärden!$B$2:$H$2,0),FALSE),"Nej, saknas")</f>
        <v>Ja</v>
      </c>
      <c r="P43" s="121" t="str">
        <f t="shared" si="0"/>
        <v>ja</v>
      </c>
      <c r="R43" s="121">
        <f t="shared" si="1"/>
        <v>41</v>
      </c>
    </row>
    <row r="44" spans="1:18" x14ac:dyDescent="0.25">
      <c r="A44" s="137" t="s">
        <v>238</v>
      </c>
      <c r="B44" s="137" t="s">
        <v>242</v>
      </c>
      <c r="C44" s="121">
        <f>IFERROR(VLOOKUP($B44,Miljövärden!$B$3:$H$552,MATCH(C$2,Miljövärden!$B$2:$H$2,0),FALSE),"Saknas")</f>
        <v>0.25008900000000001</v>
      </c>
      <c r="D44" s="121">
        <f>IFERROR(VLOOKUP($B44,Miljövärden!$B$3:$H$552,MATCH(D$2,Miljövärden!$B$2:$H$2,0),FALSE),"Saknas")</f>
        <v>6.9850000000000003</v>
      </c>
      <c r="E44" s="121">
        <f>IFERROR(VLOOKUP($B44,Miljövärden!$B$3:$H$552,MATCH(E$2,Miljövärden!$B$2:$H$2,0),FALSE),"Saknas")</f>
        <v>24.447500000000002</v>
      </c>
      <c r="F44" s="121">
        <f>IFERROR(VLOOKUP($B44,Miljövärden!$B$3:$H$552,MATCH(F$2,Miljövärden!$B$2:$H$2,0),FALSE),"Saknas")</f>
        <v>0</v>
      </c>
      <c r="G44" s="121" t="str">
        <f>IFERROR(VLOOKUP($B44,Miljövärden!$B$3:$H$552,MATCH(G$2,Miljövärden!$B$2:$H$2,0),FALSE),"Nej, saknas")</f>
        <v>Ja</v>
      </c>
      <c r="H44" s="285" t="str">
        <f>IFERROR(VLOOKUP($B44,Miljövärden!$B$3:$H$552,MATCH(H$2,Miljövärden!$B$2:$H$2,0),FALSE),"Nej, saknas")</f>
        <v>Ja</v>
      </c>
      <c r="P44" s="121" t="str">
        <f t="shared" si="0"/>
        <v>ja</v>
      </c>
      <c r="R44" s="121">
        <f t="shared" si="1"/>
        <v>42</v>
      </c>
    </row>
    <row r="45" spans="1:18" x14ac:dyDescent="0.25">
      <c r="A45" s="137" t="s">
        <v>243</v>
      </c>
      <c r="B45" s="137" t="s">
        <v>244</v>
      </c>
      <c r="C45" s="121">
        <f>IFERROR(VLOOKUP($B45,Miljövärden!$B$3:$H$552,MATCH(C$2,Miljövärden!$B$2:$H$2,0),FALSE),"Saknas")</f>
        <v>0.12605</v>
      </c>
      <c r="D45" s="121">
        <f>IFERROR(VLOOKUP($B45,Miljövärden!$B$3:$H$552,MATCH(D$2,Miljövärden!$B$2:$H$2,0),FALSE),"Saknas")</f>
        <v>54.766199999999998</v>
      </c>
      <c r="E45" s="121">
        <f>IFERROR(VLOOKUP($B45,Miljövärden!$B$3:$H$552,MATCH(E$2,Miljövärden!$B$2:$H$2,0),FALSE),"Saknas")</f>
        <v>7.0995299999999997</v>
      </c>
      <c r="F45" s="121">
        <f>IFERROR(VLOOKUP($B45,Miljövärden!$B$3:$H$552,MATCH(F$2,Miljövärden!$B$2:$H$2,0),FALSE),"Saknas")</f>
        <v>1.9663199999999999E-2</v>
      </c>
      <c r="G45" s="121" t="str">
        <f>IFERROR(VLOOKUP($B45,Miljövärden!$B$3:$H$552,MATCH(G$2,Miljövärden!$B$2:$H$2,0),FALSE),"Nej, saknas")</f>
        <v>Ja</v>
      </c>
      <c r="H45" s="285" t="str">
        <f>IFERROR(VLOOKUP($B45,Miljövärden!$B$3:$H$552,MATCH(H$2,Miljövärden!$B$2:$H$2,0),FALSE),"Nej, saknas")</f>
        <v>Ja</v>
      </c>
      <c r="P45" s="121" t="str">
        <f t="shared" si="0"/>
        <v>ja</v>
      </c>
      <c r="R45" s="121">
        <f t="shared" si="1"/>
        <v>43</v>
      </c>
    </row>
    <row r="46" spans="1:18" x14ac:dyDescent="0.25">
      <c r="A46" s="137" t="s">
        <v>243</v>
      </c>
      <c r="B46" s="137" t="s">
        <v>245</v>
      </c>
      <c r="C46" s="121">
        <f>IFERROR(VLOOKUP($B46,Miljövärden!$B$3:$H$552,MATCH(C$2,Miljövärden!$B$2:$H$2,0),FALSE),"Saknas")</f>
        <v>0.33060299999999998</v>
      </c>
      <c r="D46" s="121">
        <f>IFERROR(VLOOKUP($B46,Miljövärden!$B$3:$H$552,MATCH(D$2,Miljövärden!$B$2:$H$2,0),FALSE),"Saknas")</f>
        <v>46.113500000000002</v>
      </c>
      <c r="E46" s="121">
        <f>IFERROR(VLOOKUP($B46,Miljövärden!$B$3:$H$552,MATCH(E$2,Miljövärden!$B$2:$H$2,0),FALSE),"Saknas")</f>
        <v>20.787500000000001</v>
      </c>
      <c r="F46" s="121">
        <f>IFERROR(VLOOKUP($B46,Miljövärden!$B$3:$H$552,MATCH(F$2,Miljövärden!$B$2:$H$2,0),FALSE),"Saknas")</f>
        <v>0.10814600000000001</v>
      </c>
      <c r="G46" s="121" t="str">
        <f>IFERROR(VLOOKUP($B46,Miljövärden!$B$3:$H$552,MATCH(G$2,Miljövärden!$B$2:$H$2,0),FALSE),"Nej, saknas")</f>
        <v>Ja</v>
      </c>
      <c r="H46" s="285" t="str">
        <f>IFERROR(VLOOKUP($B46,Miljövärden!$B$3:$H$552,MATCH(H$2,Miljövärden!$B$2:$H$2,0),FALSE),"Nej, saknas")</f>
        <v>Ja</v>
      </c>
      <c r="P46" s="121" t="str">
        <f t="shared" si="0"/>
        <v>ja</v>
      </c>
      <c r="R46" s="121">
        <f t="shared" si="1"/>
        <v>44</v>
      </c>
    </row>
    <row r="47" spans="1:18" x14ac:dyDescent="0.25">
      <c r="A47" s="137" t="s">
        <v>246</v>
      </c>
      <c r="B47" s="137" t="s">
        <v>247</v>
      </c>
      <c r="C47" s="121">
        <f>IFERROR(VLOOKUP($B47,Miljövärden!$B$3:$H$552,MATCH(C$2,Miljövärden!$B$2:$H$2,0),FALSE),"Saknas")</f>
        <v>0</v>
      </c>
      <c r="D47" s="121">
        <f>IFERROR(VLOOKUP($B47,Miljövärden!$B$3:$H$552,MATCH(D$2,Miljövärden!$B$2:$H$2,0),FALSE),"Saknas")</f>
        <v>0</v>
      </c>
      <c r="E47" s="121">
        <f>IFERROR(VLOOKUP($B47,Miljövärden!$B$3:$H$552,MATCH(E$2,Miljövärden!$B$2:$H$2,0),FALSE),"Saknas")</f>
        <v>0</v>
      </c>
      <c r="F47" s="121">
        <f>IFERROR(VLOOKUP($B47,Miljövärden!$B$3:$H$552,MATCH(F$2,Miljövärden!$B$2:$H$2,0),FALSE),"Saknas")</f>
        <v>0</v>
      </c>
      <c r="G47" s="121" t="str">
        <f>IFERROR(VLOOKUP($B47,Miljövärden!$B$3:$H$552,MATCH(G$2,Miljövärden!$B$2:$H$2,0),FALSE),"Nej, saknas")</f>
        <v>Nej</v>
      </c>
      <c r="H47" s="285" t="str">
        <f>IFERROR(VLOOKUP($B47,Miljövärden!$B$3:$H$552,MATCH(H$2,Miljövärden!$B$2:$H$2,0),FALSE),"Nej, saknas")</f>
        <v>Nej</v>
      </c>
      <c r="P47" s="121" t="str">
        <f t="shared" si="0"/>
        <v>nej</v>
      </c>
      <c r="R47" s="121">
        <f t="shared" si="1"/>
        <v>44</v>
      </c>
    </row>
    <row r="48" spans="1:18" x14ac:dyDescent="0.25">
      <c r="A48" s="137" t="s">
        <v>248</v>
      </c>
      <c r="B48" s="137" t="s">
        <v>69</v>
      </c>
      <c r="C48" s="121">
        <f>IFERROR(VLOOKUP($B48,Miljövärden!$B$3:$H$552,MATCH(C$2,Miljövärden!$B$2:$H$2,0),FALSE),"Saknas")</f>
        <v>0.19001199999999999</v>
      </c>
      <c r="D48" s="121">
        <f>IFERROR(VLOOKUP($B48,Miljövärden!$B$3:$H$552,MATCH(D$2,Miljövärden!$B$2:$H$2,0),FALSE),"Saknas")</f>
        <v>28.133900000000001</v>
      </c>
      <c r="E48" s="121">
        <f>IFERROR(VLOOKUP($B48,Miljövärden!$B$3:$H$552,MATCH(E$2,Miljövärden!$B$2:$H$2,0),FALSE),"Saknas")</f>
        <v>9.2664200000000001</v>
      </c>
      <c r="F48" s="121">
        <f>IFERROR(VLOOKUP($B48,Miljövärden!$B$3:$H$552,MATCH(F$2,Miljövärden!$B$2:$H$2,0),FALSE),"Saknas")</f>
        <v>3.2416800000000003E-2</v>
      </c>
      <c r="G48" s="121" t="str">
        <f>IFERROR(VLOOKUP($B48,Miljövärden!$B$3:$H$552,MATCH(G$2,Miljövärden!$B$2:$H$2,0),FALSE),"Nej, saknas")</f>
        <v>Nej</v>
      </c>
      <c r="H48" s="285" t="str">
        <f>IFERROR(VLOOKUP($B48,Miljövärden!$B$3:$H$552,MATCH(H$2,Miljövärden!$B$2:$H$2,0),FALSE),"Nej, saknas")</f>
        <v>Ja</v>
      </c>
      <c r="P48" s="121" t="str">
        <f t="shared" si="0"/>
        <v>ja</v>
      </c>
      <c r="R48" s="121">
        <f t="shared" si="1"/>
        <v>45</v>
      </c>
    </row>
    <row r="49" spans="1:18" x14ac:dyDescent="0.25">
      <c r="A49" s="137" t="s">
        <v>249</v>
      </c>
      <c r="B49" s="137" t="s">
        <v>250</v>
      </c>
      <c r="C49" s="121">
        <f>IFERROR(VLOOKUP($B49,Miljövärden!$B$3:$H$552,MATCH(C$2,Miljövärden!$B$2:$H$2,0),FALSE),"Saknas")</f>
        <v>7.3205300000000001E-2</v>
      </c>
      <c r="D49" s="121">
        <f>IFERROR(VLOOKUP($B49,Miljövärden!$B$3:$H$552,MATCH(D$2,Miljövärden!$B$2:$H$2,0),FALSE),"Saknas")</f>
        <v>10.1525</v>
      </c>
      <c r="E49" s="121">
        <f>IFERROR(VLOOKUP($B49,Miljövärden!$B$3:$H$552,MATCH(E$2,Miljövärden!$B$2:$H$2,0),FALSE),"Saknas")</f>
        <v>10.609299999999999</v>
      </c>
      <c r="F49" s="121">
        <f>IFERROR(VLOOKUP($B49,Miljövärden!$B$3:$H$552,MATCH(F$2,Miljövärden!$B$2:$H$2,0),FALSE),"Saknas")</f>
        <v>1.0678399999999999E-2</v>
      </c>
      <c r="G49" s="121" t="str">
        <f>IFERROR(VLOOKUP($B49,Miljövärden!$B$3:$H$552,MATCH(G$2,Miljövärden!$B$2:$H$2,0),FALSE),"Nej, saknas")</f>
        <v>Ja</v>
      </c>
      <c r="H49" s="285" t="str">
        <f>IFERROR(VLOOKUP($B49,Miljövärden!$B$3:$H$552,MATCH(H$2,Miljövärden!$B$2:$H$2,0),FALSE),"Nej, saknas")</f>
        <v>Ja</v>
      </c>
      <c r="P49" s="121" t="str">
        <f t="shared" si="0"/>
        <v>ja</v>
      </c>
      <c r="R49" s="121">
        <f t="shared" si="1"/>
        <v>46</v>
      </c>
    </row>
    <row r="50" spans="1:18" x14ac:dyDescent="0.25">
      <c r="A50" s="137" t="s">
        <v>249</v>
      </c>
      <c r="B50" s="137" t="s">
        <v>251</v>
      </c>
      <c r="C50" s="121">
        <f>IFERROR(VLOOKUP($B50,Miljövärden!$B$3:$H$552,MATCH(C$2,Miljövärden!$B$2:$H$2,0),FALSE),"Saknas")</f>
        <v>4.0347599999999997E-2</v>
      </c>
      <c r="D50" s="121">
        <f>IFERROR(VLOOKUP($B50,Miljövärden!$B$3:$H$552,MATCH(D$2,Miljövärden!$B$2:$H$2,0),FALSE),"Saknas")</f>
        <v>3.4278</v>
      </c>
      <c r="E50" s="121">
        <f>IFERROR(VLOOKUP($B50,Miljövärden!$B$3:$H$552,MATCH(E$2,Miljövärden!$B$2:$H$2,0),FALSE),"Saknas")</f>
        <v>6.24125</v>
      </c>
      <c r="F50" s="121">
        <f>IFERROR(VLOOKUP($B50,Miljövärden!$B$3:$H$552,MATCH(F$2,Miljövärden!$B$2:$H$2,0),FALSE),"Saknas")</f>
        <v>9.8272599999999996E-4</v>
      </c>
      <c r="G50" s="121" t="str">
        <f>IFERROR(VLOOKUP($B50,Miljövärden!$B$3:$H$552,MATCH(G$2,Miljövärden!$B$2:$H$2,0),FALSE),"Nej, saknas")</f>
        <v>Ja</v>
      </c>
      <c r="H50" s="285" t="str">
        <f>IFERROR(VLOOKUP($B50,Miljövärden!$B$3:$H$552,MATCH(H$2,Miljövärden!$B$2:$H$2,0),FALSE),"Nej, saknas")</f>
        <v>Ja</v>
      </c>
      <c r="P50" s="121" t="str">
        <f t="shared" si="0"/>
        <v>ja</v>
      </c>
      <c r="R50" s="121">
        <f t="shared" si="1"/>
        <v>47</v>
      </c>
    </row>
    <row r="51" spans="1:18" x14ac:dyDescent="0.25">
      <c r="A51" s="137" t="s">
        <v>253</v>
      </c>
      <c r="B51" s="137" t="s">
        <v>254</v>
      </c>
      <c r="C51" s="121">
        <f>IFERROR(VLOOKUP($B51,Miljövärden!$B$3:$H$552,MATCH(C$2,Miljövärden!$B$2:$H$2,0),FALSE),"Saknas")</f>
        <v>4.0702000000000002E-2</v>
      </c>
      <c r="D51" s="121">
        <f>IFERROR(VLOOKUP($B51,Miljövärden!$B$3:$H$552,MATCH(D$2,Miljövärden!$B$2:$H$2,0),FALSE),"Saknas")</f>
        <v>5.0009699999999997</v>
      </c>
      <c r="E51" s="121">
        <f>IFERROR(VLOOKUP($B51,Miljövärden!$B$3:$H$552,MATCH(E$2,Miljövärden!$B$2:$H$2,0),FALSE),"Saknas")</f>
        <v>8.7517099999999992</v>
      </c>
      <c r="F51" s="121">
        <f>IFERROR(VLOOKUP($B51,Miljövärden!$B$3:$H$552,MATCH(F$2,Miljövärden!$B$2:$H$2,0),FALSE),"Saknas")</f>
        <v>0</v>
      </c>
      <c r="G51" s="121" t="str">
        <f>IFERROR(VLOOKUP($B51,Miljövärden!$B$3:$H$552,MATCH(G$2,Miljövärden!$B$2:$H$2,0),FALSE),"Nej, saknas")</f>
        <v>Ja</v>
      </c>
      <c r="H51" s="285" t="str">
        <f>IFERROR(VLOOKUP($B51,Miljövärden!$B$3:$H$552,MATCH(H$2,Miljövärden!$B$2:$H$2,0),FALSE),"Nej, saknas")</f>
        <v>Ja</v>
      </c>
      <c r="P51" s="121" t="str">
        <f t="shared" si="0"/>
        <v>ja</v>
      </c>
      <c r="R51" s="121">
        <f t="shared" si="1"/>
        <v>48</v>
      </c>
    </row>
    <row r="52" spans="1:18" x14ac:dyDescent="0.25">
      <c r="A52" s="137" t="s">
        <v>253</v>
      </c>
      <c r="B52" s="137" t="s">
        <v>256</v>
      </c>
      <c r="C52" s="121">
        <f>IFERROR(VLOOKUP($B52,Miljövärden!$B$3:$H$552,MATCH(C$2,Miljövärden!$B$2:$H$2,0),FALSE),"Saknas")</f>
        <v>7.4506199999999995E-2</v>
      </c>
      <c r="D52" s="121">
        <f>IFERROR(VLOOKUP($B52,Miljövärden!$B$3:$H$552,MATCH(D$2,Miljövärden!$B$2:$H$2,0),FALSE),"Saknas")</f>
        <v>4.9841100000000003</v>
      </c>
      <c r="E52" s="121">
        <f>IFERROR(VLOOKUP($B52,Miljövärden!$B$3:$H$552,MATCH(E$2,Miljövärden!$B$2:$H$2,0),FALSE),"Saknas")</f>
        <v>8.2742900000000006</v>
      </c>
      <c r="F52" s="121">
        <f>IFERROR(VLOOKUP($B52,Miljövärden!$B$3:$H$552,MATCH(F$2,Miljövärden!$B$2:$H$2,0),FALSE),"Saknas")</f>
        <v>7.26325E-4</v>
      </c>
      <c r="G52" s="121" t="str">
        <f>IFERROR(VLOOKUP($B52,Miljövärden!$B$3:$H$552,MATCH(G$2,Miljövärden!$B$2:$H$2,0),FALSE),"Nej, saknas")</f>
        <v>Ja</v>
      </c>
      <c r="H52" s="285" t="str">
        <f>IFERROR(VLOOKUP($B52,Miljövärden!$B$3:$H$552,MATCH(H$2,Miljövärden!$B$2:$H$2,0),FALSE),"Nej, saknas")</f>
        <v>Ja</v>
      </c>
      <c r="P52" s="121" t="str">
        <f t="shared" si="0"/>
        <v>ja</v>
      </c>
      <c r="R52" s="121">
        <f t="shared" si="1"/>
        <v>49</v>
      </c>
    </row>
    <row r="53" spans="1:18" x14ac:dyDescent="0.25">
      <c r="A53" s="137" t="s">
        <v>258</v>
      </c>
      <c r="B53" s="137" t="s">
        <v>259</v>
      </c>
      <c r="C53" s="121">
        <f>IFERROR(VLOOKUP($B53,Miljövärden!$B$3:$H$552,MATCH(C$2,Miljövärden!$B$2:$H$2,0),FALSE),"Saknas")</f>
        <v>7.7559799999999998E-2</v>
      </c>
      <c r="D53" s="121">
        <f>IFERROR(VLOOKUP($B53,Miljövärden!$B$3:$H$552,MATCH(D$2,Miljövärden!$B$2:$H$2,0),FALSE),"Saknas")</f>
        <v>4.9810600000000003</v>
      </c>
      <c r="E53" s="121">
        <f>IFERROR(VLOOKUP($B53,Miljövärden!$B$3:$H$552,MATCH(E$2,Miljövärden!$B$2:$H$2,0),FALSE),"Saknas")</f>
        <v>10.354100000000001</v>
      </c>
      <c r="F53" s="121">
        <f>IFERROR(VLOOKUP($B53,Miljövärden!$B$3:$H$552,MATCH(F$2,Miljövärden!$B$2:$H$2,0),FALSE),"Saknas")</f>
        <v>0</v>
      </c>
      <c r="G53" s="121" t="str">
        <f>IFERROR(VLOOKUP($B53,Miljövärden!$B$3:$H$552,MATCH(G$2,Miljövärden!$B$2:$H$2,0),FALSE),"Nej, saknas")</f>
        <v>Ja</v>
      </c>
      <c r="H53" s="285" t="str">
        <f>IFERROR(VLOOKUP($B53,Miljövärden!$B$3:$H$552,MATCH(H$2,Miljövärden!$B$2:$H$2,0),FALSE),"Nej, saknas")</f>
        <v>Ja</v>
      </c>
      <c r="P53" s="121" t="str">
        <f t="shared" si="0"/>
        <v>ja</v>
      </c>
      <c r="R53" s="121">
        <f t="shared" si="1"/>
        <v>50</v>
      </c>
    </row>
    <row r="54" spans="1:18" x14ac:dyDescent="0.25">
      <c r="A54" s="137" t="s">
        <v>258</v>
      </c>
      <c r="B54" s="137" t="s">
        <v>260</v>
      </c>
      <c r="C54" s="121">
        <f>IFERROR(VLOOKUP($B54,Miljövärden!$B$3:$H$552,MATCH(C$2,Miljövärden!$B$2:$H$2,0),FALSE),"Saknas")</f>
        <v>0</v>
      </c>
      <c r="D54" s="121">
        <f>IFERROR(VLOOKUP($B54,Miljövärden!$B$3:$H$552,MATCH(D$2,Miljövärden!$B$2:$H$2,0),FALSE),"Saknas")</f>
        <v>0</v>
      </c>
      <c r="E54" s="121">
        <f>IFERROR(VLOOKUP($B54,Miljövärden!$B$3:$H$552,MATCH(E$2,Miljövärden!$B$2:$H$2,0),FALSE),"Saknas")</f>
        <v>0</v>
      </c>
      <c r="F54" s="121">
        <f>IFERROR(VLOOKUP($B54,Miljövärden!$B$3:$H$552,MATCH(F$2,Miljövärden!$B$2:$H$2,0),FALSE),"Saknas")</f>
        <v>0</v>
      </c>
      <c r="G54" s="121" t="str">
        <f>IFERROR(VLOOKUP($B54,Miljövärden!$B$3:$H$552,MATCH(G$2,Miljövärden!$B$2:$H$2,0),FALSE),"Nej, saknas")</f>
        <v>Nej</v>
      </c>
      <c r="H54" s="285" t="str">
        <f>IFERROR(VLOOKUP($B54,Miljövärden!$B$3:$H$552,MATCH(H$2,Miljövärden!$B$2:$H$2,0),FALSE),"Nej, saknas")</f>
        <v>Nej</v>
      </c>
      <c r="P54" s="121" t="str">
        <f t="shared" si="0"/>
        <v>nej</v>
      </c>
      <c r="R54" s="121">
        <f t="shared" si="1"/>
        <v>50</v>
      </c>
    </row>
    <row r="55" spans="1:18" x14ac:dyDescent="0.25">
      <c r="A55" s="137" t="s">
        <v>258</v>
      </c>
      <c r="B55" s="137" t="s">
        <v>261</v>
      </c>
      <c r="C55" s="121">
        <f>IFERROR(VLOOKUP($B55,Miljövärden!$B$3:$H$552,MATCH(C$2,Miljövärden!$B$2:$H$2,0),FALSE),"Saknas")</f>
        <v>0.152169</v>
      </c>
      <c r="D55" s="121">
        <f>IFERROR(VLOOKUP($B55,Miljövärden!$B$3:$H$552,MATCH(D$2,Miljövärden!$B$2:$H$2,0),FALSE),"Saknas")</f>
        <v>6.41798</v>
      </c>
      <c r="E55" s="121">
        <f>IFERROR(VLOOKUP($B55,Miljövärden!$B$3:$H$552,MATCH(E$2,Miljövärden!$B$2:$H$2,0),FALSE),"Saknas")</f>
        <v>14.7438</v>
      </c>
      <c r="F55" s="121">
        <f>IFERROR(VLOOKUP($B55,Miljövärden!$B$3:$H$552,MATCH(F$2,Miljövärden!$B$2:$H$2,0),FALSE),"Saknas")</f>
        <v>7.8451900000000001E-3</v>
      </c>
      <c r="G55" s="121" t="str">
        <f>IFERROR(VLOOKUP($B55,Miljövärden!$B$3:$H$552,MATCH(G$2,Miljövärden!$B$2:$H$2,0),FALSE),"Nej, saknas")</f>
        <v>Nej</v>
      </c>
      <c r="H55" s="285" t="str">
        <f>IFERROR(VLOOKUP($B55,Miljövärden!$B$3:$H$552,MATCH(H$2,Miljövärden!$B$2:$H$2,0),FALSE),"Nej, saknas")</f>
        <v>Ja</v>
      </c>
      <c r="P55" s="121" t="str">
        <f t="shared" si="0"/>
        <v>ja</v>
      </c>
      <c r="R55" s="121">
        <f t="shared" si="1"/>
        <v>51</v>
      </c>
    </row>
    <row r="56" spans="1:18" x14ac:dyDescent="0.25">
      <c r="A56" s="137" t="s">
        <v>258</v>
      </c>
      <c r="B56" s="137" t="s">
        <v>262</v>
      </c>
      <c r="C56" s="121">
        <f>IFERROR(VLOOKUP($B56,Miljövärden!$B$3:$H$552,MATCH(C$2,Miljövärden!$B$2:$H$2,0),FALSE),"Saknas")</f>
        <v>0.17637</v>
      </c>
      <c r="D56" s="121">
        <f>IFERROR(VLOOKUP($B56,Miljövärden!$B$3:$H$552,MATCH(D$2,Miljövärden!$B$2:$H$2,0),FALSE),"Saknas")</f>
        <v>10.020899999999999</v>
      </c>
      <c r="E56" s="121">
        <f>IFERROR(VLOOKUP($B56,Miljövärden!$B$3:$H$552,MATCH(E$2,Miljövärden!$B$2:$H$2,0),FALSE),"Saknas")</f>
        <v>15.728199999999999</v>
      </c>
      <c r="F56" s="121">
        <f>IFERROR(VLOOKUP($B56,Miljövärden!$B$3:$H$552,MATCH(F$2,Miljövärden!$B$2:$H$2,0),FALSE),"Saknas")</f>
        <v>1.85033E-2</v>
      </c>
      <c r="G56" s="121" t="str">
        <f>IFERROR(VLOOKUP($B56,Miljövärden!$B$3:$H$552,MATCH(G$2,Miljövärden!$B$2:$H$2,0),FALSE),"Nej, saknas")</f>
        <v>Nej</v>
      </c>
      <c r="H56" s="285" t="str">
        <f>IFERROR(VLOOKUP($B56,Miljövärden!$B$3:$H$552,MATCH(H$2,Miljövärden!$B$2:$H$2,0),FALSE),"Nej, saknas")</f>
        <v>Ja</v>
      </c>
      <c r="P56" s="121" t="str">
        <f t="shared" si="0"/>
        <v>ja</v>
      </c>
      <c r="R56" s="121">
        <f t="shared" si="1"/>
        <v>52</v>
      </c>
    </row>
    <row r="57" spans="1:18" x14ac:dyDescent="0.25">
      <c r="A57" s="137" t="s">
        <v>263</v>
      </c>
      <c r="B57" s="137" t="s">
        <v>264</v>
      </c>
      <c r="C57" s="121">
        <f>IFERROR(VLOOKUP($B57,Miljövärden!$B$3:$H$552,MATCH(C$2,Miljövärden!$B$2:$H$2,0),FALSE),"Saknas")</f>
        <v>9.1494699999999998E-2</v>
      </c>
      <c r="D57" s="121">
        <f>IFERROR(VLOOKUP($B57,Miljövärden!$B$3:$H$552,MATCH(D$2,Miljövärden!$B$2:$H$2,0),FALSE),"Saknas")</f>
        <v>10.9434</v>
      </c>
      <c r="E57" s="121">
        <f>IFERROR(VLOOKUP($B57,Miljövärden!$B$3:$H$552,MATCH(E$2,Miljövärden!$B$2:$H$2,0),FALSE),"Saknas")</f>
        <v>1.3081</v>
      </c>
      <c r="F57" s="121">
        <f>IFERROR(VLOOKUP($B57,Miljövärden!$B$3:$H$552,MATCH(F$2,Miljövärden!$B$2:$H$2,0),FALSE),"Saknas")</f>
        <v>7.5040899999999994E-2</v>
      </c>
      <c r="G57" s="121" t="str">
        <f>IFERROR(VLOOKUP($B57,Miljövärden!$B$3:$H$552,MATCH(G$2,Miljövärden!$B$2:$H$2,0),FALSE),"Nej, saknas")</f>
        <v>Nej</v>
      </c>
      <c r="H57" s="285" t="str">
        <f>IFERROR(VLOOKUP($B57,Miljövärden!$B$3:$H$552,MATCH(H$2,Miljövärden!$B$2:$H$2,0),FALSE),"Nej, saknas")</f>
        <v>Ja</v>
      </c>
      <c r="M57" s="287" t="s">
        <v>1296</v>
      </c>
      <c r="N57" s="287" t="s">
        <v>1297</v>
      </c>
      <c r="P57" s="121" t="str">
        <f t="shared" si="0"/>
        <v>ja</v>
      </c>
      <c r="R57" s="121">
        <f t="shared" si="1"/>
        <v>53</v>
      </c>
    </row>
    <row r="58" spans="1:18" x14ac:dyDescent="0.25">
      <c r="A58" s="137" t="s">
        <v>263</v>
      </c>
      <c r="B58" s="137" t="s">
        <v>265</v>
      </c>
      <c r="C58" s="121">
        <f>IFERROR(VLOOKUP($B58,Miljövärden!$B$3:$H$552,MATCH(C$2,Miljövärden!$B$2:$H$2,0),FALSE),"Saknas")</f>
        <v>0.14374400000000001</v>
      </c>
      <c r="D58" s="121">
        <f>IFERROR(VLOOKUP($B58,Miljövärden!$B$3:$H$552,MATCH(D$2,Miljövärden!$B$2:$H$2,0),FALSE),"Saknas")</f>
        <v>19.5745</v>
      </c>
      <c r="E58" s="121">
        <f>IFERROR(VLOOKUP($B58,Miljövärden!$B$3:$H$552,MATCH(E$2,Miljövärden!$B$2:$H$2,0),FALSE),"Saknas")</f>
        <v>9.3200599999999998</v>
      </c>
      <c r="F58" s="121">
        <f>IFERROR(VLOOKUP($B58,Miljövärden!$B$3:$H$552,MATCH(F$2,Miljövärden!$B$2:$H$2,0),FALSE),"Saknas")</f>
        <v>2.5560900000000001E-2</v>
      </c>
      <c r="G58" s="121" t="str">
        <f>IFERROR(VLOOKUP($B58,Miljövärden!$B$3:$H$552,MATCH(G$2,Miljövärden!$B$2:$H$2,0),FALSE),"Nej, saknas")</f>
        <v>Nej</v>
      </c>
      <c r="H58" s="285" t="str">
        <f>IFERROR(VLOOKUP($B58,Miljövärden!$B$3:$H$552,MATCH(H$2,Miljövärden!$B$2:$H$2,0),FALSE),"Nej, saknas")</f>
        <v>Ja</v>
      </c>
      <c r="M58" s="287" t="s">
        <v>1296</v>
      </c>
      <c r="N58" s="287" t="s">
        <v>1297</v>
      </c>
      <c r="P58" s="121" t="str">
        <f t="shared" si="0"/>
        <v>ja</v>
      </c>
      <c r="R58" s="121">
        <f t="shared" si="1"/>
        <v>54</v>
      </c>
    </row>
    <row r="59" spans="1:18" x14ac:dyDescent="0.25">
      <c r="A59" s="137" t="s">
        <v>263</v>
      </c>
      <c r="B59" s="137" t="s">
        <v>266</v>
      </c>
      <c r="C59" s="121">
        <f>IFERROR(VLOOKUP($B59,Miljövärden!$B$3:$H$552,MATCH(C$2,Miljövärden!$B$2:$H$2,0),FALSE),"Saknas")</f>
        <v>0.23774999999999999</v>
      </c>
      <c r="D59" s="121">
        <f>IFERROR(VLOOKUP($B59,Miljövärden!$B$3:$H$552,MATCH(D$2,Miljövärden!$B$2:$H$2,0),FALSE),"Saknas")</f>
        <v>19.9757</v>
      </c>
      <c r="E59" s="121">
        <f>IFERROR(VLOOKUP($B59,Miljövärden!$B$3:$H$552,MATCH(E$2,Miljövärden!$B$2:$H$2,0),FALSE),"Saknas")</f>
        <v>25.8125</v>
      </c>
      <c r="F59" s="121">
        <f>IFERROR(VLOOKUP($B59,Miljövärden!$B$3:$H$552,MATCH(F$2,Miljövärden!$B$2:$H$2,0),FALSE),"Saknas")</f>
        <v>5.0489200000000001E-3</v>
      </c>
      <c r="G59" s="121" t="str">
        <f>IFERROR(VLOOKUP($B59,Miljövärden!$B$3:$H$552,MATCH(G$2,Miljövärden!$B$2:$H$2,0),FALSE),"Nej, saknas")</f>
        <v>Nej</v>
      </c>
      <c r="H59" s="285" t="str">
        <f>IFERROR(VLOOKUP($B59,Miljövärden!$B$3:$H$552,MATCH(H$2,Miljövärden!$B$2:$H$2,0),FALSE),"Nej, saknas")</f>
        <v>Ja</v>
      </c>
      <c r="M59" s="287" t="s">
        <v>1296</v>
      </c>
      <c r="N59" s="287" t="s">
        <v>1297</v>
      </c>
      <c r="P59" s="121" t="str">
        <f t="shared" si="0"/>
        <v>ja</v>
      </c>
      <c r="R59" s="121">
        <f t="shared" si="1"/>
        <v>55</v>
      </c>
    </row>
    <row r="60" spans="1:18" x14ac:dyDescent="0.25">
      <c r="A60" s="137" t="s">
        <v>263</v>
      </c>
      <c r="B60" s="137" t="s">
        <v>267</v>
      </c>
      <c r="C60" s="121">
        <f>IFERROR(VLOOKUP($B60,Miljövärden!$B$3:$H$552,MATCH(C$2,Miljövärden!$B$2:$H$2,0),FALSE),"Saknas")</f>
        <v>0.16848399999999999</v>
      </c>
      <c r="D60" s="121">
        <f>IFERROR(VLOOKUP($B60,Miljövärden!$B$3:$H$552,MATCH(D$2,Miljövärden!$B$2:$H$2,0),FALSE),"Saknas")</f>
        <v>79.013199999999998</v>
      </c>
      <c r="E60" s="121">
        <f>IFERROR(VLOOKUP($B60,Miljövärden!$B$3:$H$552,MATCH(E$2,Miljövärden!$B$2:$H$2,0),FALSE),"Saknas")</f>
        <v>8.3843700000000005</v>
      </c>
      <c r="F60" s="121">
        <f>IFERROR(VLOOKUP($B60,Miljövärden!$B$3:$H$552,MATCH(F$2,Miljövärden!$B$2:$H$2,0),FALSE),"Saknas")</f>
        <v>3.3838100000000003E-2</v>
      </c>
      <c r="G60" s="121" t="str">
        <f>IFERROR(VLOOKUP($B60,Miljövärden!$B$3:$H$552,MATCH(G$2,Miljövärden!$B$2:$H$2,0),FALSE),"Nej, saknas")</f>
        <v>Nej</v>
      </c>
      <c r="H60" s="285" t="str">
        <f>IFERROR(VLOOKUP($B60,Miljövärden!$B$3:$H$552,MATCH(H$2,Miljövärden!$B$2:$H$2,0),FALSE),"Nej, saknas")</f>
        <v>Ja</v>
      </c>
      <c r="M60" s="287" t="s">
        <v>1296</v>
      </c>
      <c r="N60" s="287" t="s">
        <v>1297</v>
      </c>
      <c r="P60" s="121" t="str">
        <f t="shared" si="0"/>
        <v>ja</v>
      </c>
      <c r="R60" s="121">
        <f t="shared" si="1"/>
        <v>56</v>
      </c>
    </row>
    <row r="61" spans="1:18" x14ac:dyDescent="0.25">
      <c r="A61" s="137" t="s">
        <v>263</v>
      </c>
      <c r="B61" s="137" t="s">
        <v>269</v>
      </c>
      <c r="C61" s="121" t="str">
        <f>IFERROR(VLOOKUP($B61,Miljövärden!$B$3:$H$552,MATCH(C$2,Miljövärden!$B$2:$H$2,0),FALSE),"Saknas")</f>
        <v/>
      </c>
      <c r="D61" s="121" t="str">
        <f>IFERROR(VLOOKUP($B61,Miljövärden!$B$3:$H$552,MATCH(D$2,Miljövärden!$B$2:$H$2,0),FALSE),"Saknas")</f>
        <v/>
      </c>
      <c r="E61" s="121" t="str">
        <f>IFERROR(VLOOKUP($B61,Miljövärden!$B$3:$H$552,MATCH(E$2,Miljövärden!$B$2:$H$2,0),FALSE),"Saknas")</f>
        <v/>
      </c>
      <c r="F61" s="121" t="str">
        <f>IFERROR(VLOOKUP($B61,Miljövärden!$B$3:$H$552,MATCH(F$2,Miljövärden!$B$2:$H$2,0),FALSE),"Saknas")</f>
        <v/>
      </c>
      <c r="G61" s="121" t="str">
        <f>IFERROR(VLOOKUP($B61,Miljövärden!$B$3:$H$552,MATCH(G$2,Miljövärden!$B$2:$H$2,0),FALSE),"Nej, saknas")</f>
        <v>Nej</v>
      </c>
      <c r="H61" s="285" t="str">
        <f>IFERROR(VLOOKUP($B61,Miljövärden!$B$3:$H$552,MATCH(H$2,Miljövärden!$B$2:$H$2,0),FALSE),"Nej, saknas")</f>
        <v>Nej</v>
      </c>
      <c r="L61" s="287" t="s">
        <v>1301</v>
      </c>
      <c r="M61" s="287" t="s">
        <v>1296</v>
      </c>
      <c r="N61" s="287" t="s">
        <v>1297</v>
      </c>
      <c r="P61" s="121" t="str">
        <f t="shared" si="0"/>
        <v>nej</v>
      </c>
      <c r="R61" s="121">
        <f t="shared" si="1"/>
        <v>56</v>
      </c>
    </row>
    <row r="62" spans="1:18" x14ac:dyDescent="0.25">
      <c r="A62" s="137" t="s">
        <v>263</v>
      </c>
      <c r="B62" s="137" t="s">
        <v>270</v>
      </c>
      <c r="C62" s="121">
        <f>IFERROR(VLOOKUP($B62,Miljövärden!$B$3:$H$552,MATCH(C$2,Miljövärden!$B$2:$H$2,0),FALSE),"Saknas")</f>
        <v>0.48994500000000002</v>
      </c>
      <c r="D62" s="121">
        <f>IFERROR(VLOOKUP($B62,Miljövärden!$B$3:$H$552,MATCH(D$2,Miljövärden!$B$2:$H$2,0),FALSE),"Saknas")</f>
        <v>62.358800000000002</v>
      </c>
      <c r="E62" s="121">
        <f>IFERROR(VLOOKUP($B62,Miljövärden!$B$3:$H$552,MATCH(E$2,Miljövärden!$B$2:$H$2,0),FALSE),"Saknas")</f>
        <v>10.941000000000001</v>
      </c>
      <c r="F62" s="121">
        <f>IFERROR(VLOOKUP($B62,Miljövärden!$B$3:$H$552,MATCH(F$2,Miljövärden!$B$2:$H$2,0),FALSE),"Saknas")</f>
        <v>7.0226200000000003E-2</v>
      </c>
      <c r="G62" s="121" t="str">
        <f>IFERROR(VLOOKUP($B62,Miljövärden!$B$3:$H$552,MATCH(G$2,Miljövärden!$B$2:$H$2,0),FALSE),"Nej, saknas")</f>
        <v>Nej</v>
      </c>
      <c r="H62" s="285" t="str">
        <f>IFERROR(VLOOKUP($B62,Miljövärden!$B$3:$H$552,MATCH(H$2,Miljövärden!$B$2:$H$2,0),FALSE),"Nej, saknas")</f>
        <v>Ja</v>
      </c>
      <c r="M62" s="287" t="s">
        <v>1296</v>
      </c>
      <c r="N62" s="287" t="s">
        <v>1297</v>
      </c>
      <c r="P62" s="121" t="str">
        <f t="shared" si="0"/>
        <v>ja</v>
      </c>
      <c r="R62" s="121">
        <f t="shared" si="1"/>
        <v>57</v>
      </c>
    </row>
    <row r="63" spans="1:18" x14ac:dyDescent="0.25">
      <c r="A63" s="137" t="s">
        <v>263</v>
      </c>
      <c r="B63" s="137" t="s">
        <v>272</v>
      </c>
      <c r="C63" s="121">
        <f>IFERROR(VLOOKUP($B63,Miljövärden!$B$3:$H$552,MATCH(C$2,Miljövärden!$B$2:$H$2,0),FALSE),"Saknas")</f>
        <v>0.29722799999999999</v>
      </c>
      <c r="D63" s="121">
        <f>IFERROR(VLOOKUP($B63,Miljövärden!$B$3:$H$552,MATCH(D$2,Miljövärden!$B$2:$H$2,0),FALSE),"Saknas")</f>
        <v>120.047</v>
      </c>
      <c r="E63" s="121">
        <f>IFERROR(VLOOKUP($B63,Miljövärden!$B$3:$H$552,MATCH(E$2,Miljövärden!$B$2:$H$2,0),FALSE),"Saknas")</f>
        <v>13.367900000000001</v>
      </c>
      <c r="F63" s="121">
        <f>IFERROR(VLOOKUP($B63,Miljövärden!$B$3:$H$552,MATCH(F$2,Miljövärden!$B$2:$H$2,0),FALSE),"Saknas")</f>
        <v>0.25335299999999999</v>
      </c>
      <c r="G63" s="121" t="str">
        <f>IFERROR(VLOOKUP($B63,Miljövärden!$B$3:$H$552,MATCH(G$2,Miljövärden!$B$2:$H$2,0),FALSE),"Nej, saknas")</f>
        <v>Nej</v>
      </c>
      <c r="H63" s="285" t="str">
        <f>IFERROR(VLOOKUP($B63,Miljövärden!$B$3:$H$552,MATCH(H$2,Miljövärden!$B$2:$H$2,0),FALSE),"Nej, saknas")</f>
        <v>Ja</v>
      </c>
      <c r="M63" s="287" t="s">
        <v>1296</v>
      </c>
      <c r="N63" s="287" t="s">
        <v>1297</v>
      </c>
      <c r="P63" s="121" t="str">
        <f t="shared" si="0"/>
        <v>ja</v>
      </c>
      <c r="R63" s="121">
        <f t="shared" si="1"/>
        <v>58</v>
      </c>
    </row>
    <row r="64" spans="1:18" x14ac:dyDescent="0.25">
      <c r="A64" s="137" t="s">
        <v>263</v>
      </c>
      <c r="B64" s="137" t="s">
        <v>273</v>
      </c>
      <c r="C64" s="121">
        <f>IFERROR(VLOOKUP($B64,Miljövärden!$B$3:$H$552,MATCH(C$2,Miljövärden!$B$2:$H$2,0),FALSE),"Saknas")</f>
        <v>0.119852</v>
      </c>
      <c r="D64" s="121">
        <f>IFERROR(VLOOKUP($B64,Miljövärden!$B$3:$H$552,MATCH(D$2,Miljövärden!$B$2:$H$2,0),FALSE),"Saknas")</f>
        <v>131.34</v>
      </c>
      <c r="E64" s="121">
        <f>IFERROR(VLOOKUP($B64,Miljövärden!$B$3:$H$552,MATCH(E$2,Miljövärden!$B$2:$H$2,0),FALSE),"Saknas")</f>
        <v>3.8597700000000001</v>
      </c>
      <c r="F64" s="121">
        <f>IFERROR(VLOOKUP($B64,Miljövärden!$B$3:$H$552,MATCH(F$2,Miljövärden!$B$2:$H$2,0),FALSE),"Saknas")</f>
        <v>7.0929199999999998E-2</v>
      </c>
      <c r="G64" s="121" t="str">
        <f>IFERROR(VLOOKUP($B64,Miljövärden!$B$3:$H$552,MATCH(G$2,Miljövärden!$B$2:$H$2,0),FALSE),"Nej, saknas")</f>
        <v>Nej</v>
      </c>
      <c r="H64" s="285" t="str">
        <f>IFERROR(VLOOKUP($B64,Miljövärden!$B$3:$H$552,MATCH(H$2,Miljövärden!$B$2:$H$2,0),FALSE),"Nej, saknas")</f>
        <v>Ja</v>
      </c>
      <c r="M64" s="287" t="s">
        <v>1296</v>
      </c>
      <c r="N64" s="287" t="s">
        <v>1297</v>
      </c>
      <c r="P64" s="121" t="str">
        <f t="shared" si="0"/>
        <v>ja</v>
      </c>
      <c r="R64" s="121">
        <f t="shared" si="1"/>
        <v>59</v>
      </c>
    </row>
    <row r="65" spans="1:18" x14ac:dyDescent="0.25">
      <c r="A65" s="137" t="s">
        <v>263</v>
      </c>
      <c r="B65" s="137" t="s">
        <v>274</v>
      </c>
      <c r="C65" s="121">
        <f>IFERROR(VLOOKUP($B65,Miljövärden!$B$3:$H$552,MATCH(C$2,Miljövärden!$B$2:$H$2,0),FALSE),"Saknas")</f>
        <v>0.13214400000000001</v>
      </c>
      <c r="D65" s="121">
        <f>IFERROR(VLOOKUP($B65,Miljövärden!$B$3:$H$552,MATCH(D$2,Miljövärden!$B$2:$H$2,0),FALSE),"Saknas")</f>
        <v>19.674099999999999</v>
      </c>
      <c r="E65" s="121">
        <f>IFERROR(VLOOKUP($B65,Miljövärden!$B$3:$H$552,MATCH(E$2,Miljövärden!$B$2:$H$2,0),FALSE),"Saknas")</f>
        <v>8.5864499999999992</v>
      </c>
      <c r="F65" s="121">
        <f>IFERROR(VLOOKUP($B65,Miljövärden!$B$3:$H$552,MATCH(F$2,Miljövärden!$B$2:$H$2,0),FALSE),"Saknas")</f>
        <v>2.38189E-2</v>
      </c>
      <c r="G65" s="121" t="str">
        <f>IFERROR(VLOOKUP($B65,Miljövärden!$B$3:$H$552,MATCH(G$2,Miljövärden!$B$2:$H$2,0),FALSE),"Nej, saknas")</f>
        <v>Nej</v>
      </c>
      <c r="H65" s="285" t="str">
        <f>IFERROR(VLOOKUP($B65,Miljövärden!$B$3:$H$552,MATCH(H$2,Miljövärden!$B$2:$H$2,0),FALSE),"Nej, saknas")</f>
        <v>Ja</v>
      </c>
      <c r="M65" s="287" t="s">
        <v>1296</v>
      </c>
      <c r="N65" s="287" t="s">
        <v>1297</v>
      </c>
      <c r="P65" s="121" t="str">
        <f t="shared" si="0"/>
        <v>ja</v>
      </c>
      <c r="R65" s="121">
        <f t="shared" si="1"/>
        <v>60</v>
      </c>
    </row>
    <row r="66" spans="1:18" x14ac:dyDescent="0.25">
      <c r="A66" s="137" t="s">
        <v>263</v>
      </c>
      <c r="B66" s="137" t="s">
        <v>275</v>
      </c>
      <c r="C66" s="121">
        <f>IFERROR(VLOOKUP($B66,Miljövärden!$B$3:$H$552,MATCH(C$2,Miljövärden!$B$2:$H$2,0),FALSE),"Saknas")</f>
        <v>0.53888499999999995</v>
      </c>
      <c r="D66" s="121">
        <f>IFERROR(VLOOKUP($B66,Miljövärden!$B$3:$H$552,MATCH(D$2,Miljövärden!$B$2:$H$2,0),FALSE),"Saknas")</f>
        <v>76.462299999999999</v>
      </c>
      <c r="E66" s="121">
        <f>IFERROR(VLOOKUP($B66,Miljövärden!$B$3:$H$552,MATCH(E$2,Miljövärden!$B$2:$H$2,0),FALSE),"Saknas")</f>
        <v>4.6590199999999999</v>
      </c>
      <c r="F66" s="121">
        <f>IFERROR(VLOOKUP($B66,Miljövärden!$B$3:$H$552,MATCH(F$2,Miljövärden!$B$2:$H$2,0),FALSE),"Saknas")</f>
        <v>7.8862100000000004E-2</v>
      </c>
      <c r="G66" s="121" t="str">
        <f>IFERROR(VLOOKUP($B66,Miljövärden!$B$3:$H$552,MATCH(G$2,Miljövärden!$B$2:$H$2,0),FALSE),"Nej, saknas")</f>
        <v>Nej</v>
      </c>
      <c r="H66" s="285" t="str">
        <f>IFERROR(VLOOKUP($B66,Miljövärden!$B$3:$H$552,MATCH(H$2,Miljövärden!$B$2:$H$2,0),FALSE),"Nej, saknas")</f>
        <v>Ja</v>
      </c>
      <c r="M66" s="287" t="s">
        <v>1296</v>
      </c>
      <c r="N66" s="287" t="s">
        <v>1297</v>
      </c>
      <c r="P66" s="121" t="str">
        <f t="shared" si="0"/>
        <v>ja</v>
      </c>
      <c r="R66" s="121">
        <f t="shared" si="1"/>
        <v>61</v>
      </c>
    </row>
    <row r="67" spans="1:18" x14ac:dyDescent="0.25">
      <c r="A67" s="137" t="s">
        <v>263</v>
      </c>
      <c r="B67" s="137" t="s">
        <v>276</v>
      </c>
      <c r="C67" s="121">
        <f>IFERROR(VLOOKUP($B67,Miljövärden!$B$3:$H$552,MATCH(C$2,Miljövärden!$B$2:$H$2,0),FALSE),"Saknas")</f>
        <v>0.106985</v>
      </c>
      <c r="D67" s="121">
        <f>IFERROR(VLOOKUP($B67,Miljövärden!$B$3:$H$552,MATCH(D$2,Miljövärden!$B$2:$H$2,0),FALSE),"Saknas")</f>
        <v>14.676500000000001</v>
      </c>
      <c r="E67" s="121">
        <f>IFERROR(VLOOKUP($B67,Miljövärden!$B$3:$H$552,MATCH(E$2,Miljövärden!$B$2:$H$2,0),FALSE),"Saknas")</f>
        <v>8.3764699999999994</v>
      </c>
      <c r="F67" s="121">
        <f>IFERROR(VLOOKUP($B67,Miljövärden!$B$3:$H$552,MATCH(F$2,Miljövärden!$B$2:$H$2,0),FALSE),"Saknas")</f>
        <v>1.56659E-2</v>
      </c>
      <c r="G67" s="121" t="str">
        <f>IFERROR(VLOOKUP($B67,Miljövärden!$B$3:$H$552,MATCH(G$2,Miljövärden!$B$2:$H$2,0),FALSE),"Nej, saknas")</f>
        <v>Nej</v>
      </c>
      <c r="H67" s="285" t="str">
        <f>IFERROR(VLOOKUP($B67,Miljövärden!$B$3:$H$552,MATCH(H$2,Miljövärden!$B$2:$H$2,0),FALSE),"Nej, saknas")</f>
        <v>Ja</v>
      </c>
      <c r="M67" s="287" t="s">
        <v>1296</v>
      </c>
      <c r="N67" s="287" t="s">
        <v>1297</v>
      </c>
      <c r="P67" s="121" t="str">
        <f t="shared" si="0"/>
        <v>ja</v>
      </c>
      <c r="R67" s="121">
        <f t="shared" si="1"/>
        <v>62</v>
      </c>
    </row>
    <row r="68" spans="1:18" x14ac:dyDescent="0.25">
      <c r="A68" s="137" t="s">
        <v>277</v>
      </c>
      <c r="B68" s="137" t="s">
        <v>277</v>
      </c>
      <c r="C68" s="121" t="str">
        <f>IFERROR(VLOOKUP($B68,Miljövärden!$B$3:$H$552,MATCH(C$2,Miljövärden!$B$2:$H$2,0),FALSE),"Saknas")</f>
        <v/>
      </c>
      <c r="D68" s="121" t="str">
        <f>IFERROR(VLOOKUP($B68,Miljövärden!$B$3:$H$552,MATCH(D$2,Miljövärden!$B$2:$H$2,0),FALSE),"Saknas")</f>
        <v/>
      </c>
      <c r="E68" s="121" t="str">
        <f>IFERROR(VLOOKUP($B68,Miljövärden!$B$3:$H$552,MATCH(E$2,Miljövärden!$B$2:$H$2,0),FALSE),"Saknas")</f>
        <v/>
      </c>
      <c r="F68" s="121" t="str">
        <f>IFERROR(VLOOKUP($B68,Miljövärden!$B$3:$H$552,MATCH(F$2,Miljövärden!$B$2:$H$2,0),FALSE),"Saknas")</f>
        <v/>
      </c>
      <c r="G68" s="121" t="str">
        <f>IFERROR(VLOOKUP($B68,Miljövärden!$B$3:$H$552,MATCH(G$2,Miljövärden!$B$2:$H$2,0),FALSE),"Nej, saknas")</f>
        <v>Nej</v>
      </c>
      <c r="H68" s="285" t="str">
        <f>IFERROR(VLOOKUP($B68,Miljövärden!$B$3:$H$552,MATCH(H$2,Miljövärden!$B$2:$H$2,0),FALSE),"Nej, saknas")</f>
        <v>Nej</v>
      </c>
      <c r="P68" s="121" t="str">
        <f t="shared" ref="P68:P131" si="2">IF(K68="x","nej",
IF(L68="x","ja",
IF(H68="ja","ja","nej")))</f>
        <v>nej</v>
      </c>
      <c r="R68" s="121">
        <f t="shared" ref="R68:R131" si="3">IF(ISERROR(P68),R67,IF(P68="ja",R67+1,R67))</f>
        <v>62</v>
      </c>
    </row>
    <row r="69" spans="1:18" x14ac:dyDescent="0.25">
      <c r="A69" s="137" t="s">
        <v>277</v>
      </c>
      <c r="B69" s="137" t="s">
        <v>278</v>
      </c>
      <c r="C69" s="121">
        <f>IFERROR(VLOOKUP($B69,Miljövärden!$B$3:$H$552,MATCH(C$2,Miljövärden!$B$2:$H$2,0),FALSE),"Saknas")</f>
        <v>0</v>
      </c>
      <c r="D69" s="121">
        <f>IFERROR(VLOOKUP($B69,Miljövärden!$B$3:$H$552,MATCH(D$2,Miljövärden!$B$2:$H$2,0),FALSE),"Saknas")</f>
        <v>0</v>
      </c>
      <c r="E69" s="121">
        <f>IFERROR(VLOOKUP($B69,Miljövärden!$B$3:$H$552,MATCH(E$2,Miljövärden!$B$2:$H$2,0),FALSE),"Saknas")</f>
        <v>0</v>
      </c>
      <c r="F69" s="121">
        <f>IFERROR(VLOOKUP($B69,Miljövärden!$B$3:$H$552,MATCH(F$2,Miljövärden!$B$2:$H$2,0),FALSE),"Saknas")</f>
        <v>0</v>
      </c>
      <c r="G69" s="121" t="str">
        <f>IFERROR(VLOOKUP($B69,Miljövärden!$B$3:$H$552,MATCH(G$2,Miljövärden!$B$2:$H$2,0),FALSE),"Nej, saknas")</f>
        <v>Nej</v>
      </c>
      <c r="H69" s="285" t="str">
        <f>IFERROR(VLOOKUP($B69,Miljövärden!$B$3:$H$552,MATCH(H$2,Miljövärden!$B$2:$H$2,0),FALSE),"Nej, saknas")</f>
        <v>Nej</v>
      </c>
      <c r="P69" s="121" t="str">
        <f t="shared" si="2"/>
        <v>nej</v>
      </c>
      <c r="R69" s="121">
        <f t="shared" si="3"/>
        <v>62</v>
      </c>
    </row>
    <row r="70" spans="1:18" x14ac:dyDescent="0.25">
      <c r="A70" s="137" t="s">
        <v>279</v>
      </c>
      <c r="B70" s="137" t="s">
        <v>280</v>
      </c>
      <c r="C70" s="121">
        <f>IFERROR(VLOOKUP($B70,Miljövärden!$B$3:$H$552,MATCH(C$2,Miljövärden!$B$2:$H$2,0),FALSE),"Saknas")</f>
        <v>0.181143</v>
      </c>
      <c r="D70" s="121">
        <f>IFERROR(VLOOKUP($B70,Miljövärden!$B$3:$H$552,MATCH(D$2,Miljövärden!$B$2:$H$2,0),FALSE),"Saknas")</f>
        <v>168.358</v>
      </c>
      <c r="E70" s="121">
        <f>IFERROR(VLOOKUP($B70,Miljövärden!$B$3:$H$552,MATCH(E$2,Miljövärden!$B$2:$H$2,0),FALSE),"Saknas")</f>
        <v>5.1575499999999996</v>
      </c>
      <c r="F70" s="121">
        <f>IFERROR(VLOOKUP($B70,Miljövärden!$B$3:$H$552,MATCH(F$2,Miljövärden!$B$2:$H$2,0),FALSE),"Saknas")</f>
        <v>1.6612700000000001E-2</v>
      </c>
      <c r="G70" s="121" t="str">
        <f>IFERROR(VLOOKUP($B70,Miljövärden!$B$3:$H$552,MATCH(G$2,Miljövärden!$B$2:$H$2,0),FALSE),"Nej, saknas")</f>
        <v>Nej</v>
      </c>
      <c r="H70" s="285" t="str">
        <f>IFERROR(VLOOKUP($B70,Miljövärden!$B$3:$H$552,MATCH(H$2,Miljövärden!$B$2:$H$2,0),FALSE),"Nej, saknas")</f>
        <v>Ja</v>
      </c>
      <c r="P70" s="121" t="str">
        <f t="shared" si="2"/>
        <v>ja</v>
      </c>
      <c r="R70" s="121">
        <f t="shared" si="3"/>
        <v>63</v>
      </c>
    </row>
    <row r="71" spans="1:18" x14ac:dyDescent="0.25">
      <c r="A71" s="137" t="s">
        <v>279</v>
      </c>
      <c r="B71" s="137" t="s">
        <v>281</v>
      </c>
      <c r="C71" s="121">
        <f>IFERROR(VLOOKUP($B71,Miljövärden!$B$3:$H$552,MATCH(C$2,Miljövärden!$B$2:$H$2,0),FALSE),"Saknas")</f>
        <v>0.150257</v>
      </c>
      <c r="D71" s="121">
        <f>IFERROR(VLOOKUP($B71,Miljövärden!$B$3:$H$552,MATCH(D$2,Miljövärden!$B$2:$H$2,0),FALSE),"Saknas")</f>
        <v>20.844899999999999</v>
      </c>
      <c r="E71" s="121">
        <f>IFERROR(VLOOKUP($B71,Miljövärden!$B$3:$H$552,MATCH(E$2,Miljövärden!$B$2:$H$2,0),FALSE),"Saknas")</f>
        <v>10.904999999999999</v>
      </c>
      <c r="F71" s="121">
        <f>IFERROR(VLOOKUP($B71,Miljövärden!$B$3:$H$552,MATCH(F$2,Miljövärden!$B$2:$H$2,0),FALSE),"Saknas")</f>
        <v>1.1818199999999999E-2</v>
      </c>
      <c r="G71" s="121" t="str">
        <f>IFERROR(VLOOKUP($B71,Miljövärden!$B$3:$H$552,MATCH(G$2,Miljövärden!$B$2:$H$2,0),FALSE),"Nej, saknas")</f>
        <v>Nej</v>
      </c>
      <c r="H71" s="285" t="str">
        <f>IFERROR(VLOOKUP($B71,Miljövärden!$B$3:$H$552,MATCH(H$2,Miljövärden!$B$2:$H$2,0),FALSE),"Nej, saknas")</f>
        <v>Ja</v>
      </c>
      <c r="P71" s="121" t="str">
        <f t="shared" si="2"/>
        <v>ja</v>
      </c>
      <c r="R71" s="121">
        <f t="shared" si="3"/>
        <v>64</v>
      </c>
    </row>
    <row r="72" spans="1:18" x14ac:dyDescent="0.25">
      <c r="A72" s="137" t="s">
        <v>279</v>
      </c>
      <c r="B72" s="137" t="s">
        <v>282</v>
      </c>
      <c r="C72" s="121">
        <f>IFERROR(VLOOKUP($B72,Miljövärden!$B$3:$H$552,MATCH(C$2,Miljövärden!$B$2:$H$2,0),FALSE),"Saknas")</f>
        <v>0.102994</v>
      </c>
      <c r="D72" s="121">
        <f>IFERROR(VLOOKUP($B72,Miljövärden!$B$3:$H$552,MATCH(D$2,Miljövärden!$B$2:$H$2,0),FALSE),"Saknas")</f>
        <v>14.2483</v>
      </c>
      <c r="E72" s="121">
        <f>IFERROR(VLOOKUP($B72,Miljövärden!$B$3:$H$552,MATCH(E$2,Miljövärden!$B$2:$H$2,0),FALSE),"Saknas")</f>
        <v>10.5832</v>
      </c>
      <c r="F72" s="121">
        <f>IFERROR(VLOOKUP($B72,Miljövärden!$B$3:$H$552,MATCH(F$2,Miljövärden!$B$2:$H$2,0),FALSE),"Saknas")</f>
        <v>6.9611500000000002E-3</v>
      </c>
      <c r="G72" s="121" t="str">
        <f>IFERROR(VLOOKUP($B72,Miljövärden!$B$3:$H$552,MATCH(G$2,Miljövärden!$B$2:$H$2,0),FALSE),"Nej, saknas")</f>
        <v>Nej</v>
      </c>
      <c r="H72" s="285" t="str">
        <f>IFERROR(VLOOKUP($B72,Miljövärden!$B$3:$H$552,MATCH(H$2,Miljövärden!$B$2:$H$2,0),FALSE),"Nej, saknas")</f>
        <v>Ja</v>
      </c>
      <c r="P72" s="121" t="str">
        <f t="shared" si="2"/>
        <v>ja</v>
      </c>
      <c r="R72" s="121">
        <f t="shared" si="3"/>
        <v>65</v>
      </c>
    </row>
    <row r="73" spans="1:18" x14ac:dyDescent="0.25">
      <c r="A73" s="137" t="s">
        <v>47</v>
      </c>
      <c r="B73" s="141" t="s">
        <v>48</v>
      </c>
      <c r="C73" s="121" t="str">
        <f>IFERROR(VLOOKUP($B73,Miljövärden!$B$3:$H$552,MATCH(C$2,Miljövärden!$B$2:$H$2,0),FALSE),"Saknas")</f>
        <v>Saknas</v>
      </c>
      <c r="D73" s="121" t="str">
        <f>IFERROR(VLOOKUP($B73,Miljövärden!$B$3:$H$552,MATCH(D$2,Miljövärden!$B$2:$H$2,0),FALSE),"Saknas")</f>
        <v>Saknas</v>
      </c>
      <c r="E73" s="121" t="str">
        <f>IFERROR(VLOOKUP($B73,Miljövärden!$B$3:$H$552,MATCH(E$2,Miljövärden!$B$2:$H$2,0),FALSE),"Saknas")</f>
        <v>Saknas</v>
      </c>
      <c r="F73" s="121" t="str">
        <f>IFERROR(VLOOKUP($B73,Miljövärden!$B$3:$H$552,MATCH(F$2,Miljövärden!$B$2:$H$2,0),FALSE),"Saknas")</f>
        <v>Saknas</v>
      </c>
      <c r="G73" s="121" t="str">
        <f>IFERROR(VLOOKUP($B73,Miljövärden!$B$3:$H$552,MATCH(G$2,Miljövärden!$B$2:$H$2,0),FALSE),"Nej, saknas")</f>
        <v>Nej, saknas</v>
      </c>
      <c r="H73" s="285" t="str">
        <f>IFERROR(VLOOKUP($B73,Miljövärden!$B$3:$H$552,MATCH(H$2,Miljövärden!$B$2:$H$2,0),FALSE),"Nej, saknas")</f>
        <v>Nej, saknas</v>
      </c>
      <c r="P73" s="121" t="str">
        <f t="shared" si="2"/>
        <v>nej</v>
      </c>
      <c r="R73" s="121">
        <f t="shared" si="3"/>
        <v>65</v>
      </c>
    </row>
    <row r="74" spans="1:18" x14ac:dyDescent="0.25">
      <c r="A74" s="137" t="s">
        <v>283</v>
      </c>
      <c r="B74" s="137" t="s">
        <v>284</v>
      </c>
      <c r="C74" s="121">
        <f>IFERROR(VLOOKUP($B74,Miljövärden!$B$3:$H$552,MATCH(C$2,Miljövärden!$B$2:$H$2,0),FALSE),"Saknas")</f>
        <v>0.10116</v>
      </c>
      <c r="D74" s="121">
        <f>IFERROR(VLOOKUP($B74,Miljövärden!$B$3:$H$552,MATCH(D$2,Miljövärden!$B$2:$H$2,0),FALSE),"Saknas")</f>
        <v>9.8641000000000005</v>
      </c>
      <c r="E74" s="121">
        <f>IFERROR(VLOOKUP($B74,Miljövärden!$B$3:$H$552,MATCH(E$2,Miljövärden!$B$2:$H$2,0),FALSE),"Saknas")</f>
        <v>9.0525599999999997</v>
      </c>
      <c r="F74" s="121">
        <f>IFERROR(VLOOKUP($B74,Miljövärden!$B$3:$H$552,MATCH(F$2,Miljövärden!$B$2:$H$2,0),FALSE),"Saknas")</f>
        <v>1.4504100000000001E-2</v>
      </c>
      <c r="G74" s="121" t="str">
        <f>IFERROR(VLOOKUP($B74,Miljövärden!$B$3:$H$552,MATCH(G$2,Miljövärden!$B$2:$H$2,0),FALSE),"Nej, saknas")</f>
        <v>Ja</v>
      </c>
      <c r="H74" s="285" t="str">
        <f>IFERROR(VLOOKUP($B74,Miljövärden!$B$3:$H$552,MATCH(H$2,Miljövärden!$B$2:$H$2,0),FALSE),"Nej, saknas")</f>
        <v>Ja</v>
      </c>
      <c r="P74" s="121" t="str">
        <f t="shared" si="2"/>
        <v>ja</v>
      </c>
      <c r="R74" s="121">
        <f t="shared" si="3"/>
        <v>66</v>
      </c>
    </row>
    <row r="75" spans="1:18" x14ac:dyDescent="0.25">
      <c r="A75" s="137" t="s">
        <v>285</v>
      </c>
      <c r="B75" s="137" t="s">
        <v>286</v>
      </c>
      <c r="C75" s="121">
        <f>IFERROR(VLOOKUP($B75,Miljövärden!$B$3:$H$552,MATCH(C$2,Miljövärden!$B$2:$H$2,0),FALSE),"Saknas")</f>
        <v>8.2742200000000002E-2</v>
      </c>
      <c r="D75" s="121">
        <f>IFERROR(VLOOKUP($B75,Miljövärden!$B$3:$H$552,MATCH(D$2,Miljövärden!$B$2:$H$2,0),FALSE),"Saknas")</f>
        <v>9.0184800000000003</v>
      </c>
      <c r="E75" s="121">
        <f>IFERROR(VLOOKUP($B75,Miljövärden!$B$3:$H$552,MATCH(E$2,Miljövärden!$B$2:$H$2,0),FALSE),"Saknas")</f>
        <v>5.8632600000000004</v>
      </c>
      <c r="F75" s="121">
        <f>IFERROR(VLOOKUP($B75,Miljövärden!$B$3:$H$552,MATCH(F$2,Miljövärden!$B$2:$H$2,0),FALSE),"Saknas")</f>
        <v>4.8001700000000001E-2</v>
      </c>
      <c r="G75" s="121" t="str">
        <f>IFERROR(VLOOKUP($B75,Miljövärden!$B$3:$H$552,MATCH(G$2,Miljövärden!$B$2:$H$2,0),FALSE),"Nej, saknas")</f>
        <v>Nej</v>
      </c>
      <c r="H75" s="285" t="str">
        <f>IFERROR(VLOOKUP($B75,Miljövärden!$B$3:$H$552,MATCH(H$2,Miljövärden!$B$2:$H$2,0),FALSE),"Nej, saknas")</f>
        <v>Ja</v>
      </c>
      <c r="P75" s="121" t="str">
        <f t="shared" si="2"/>
        <v>ja</v>
      </c>
      <c r="R75" s="121">
        <f t="shared" si="3"/>
        <v>67</v>
      </c>
    </row>
    <row r="76" spans="1:18" x14ac:dyDescent="0.25">
      <c r="A76" s="137" t="s">
        <v>289</v>
      </c>
      <c r="B76" s="137" t="s">
        <v>290</v>
      </c>
      <c r="C76" s="121">
        <f>IFERROR(VLOOKUP($B76,Miljövärden!$B$3:$H$552,MATCH(C$2,Miljövärden!$B$2:$H$2,0),FALSE),"Saknas")</f>
        <v>3.6269200000000001E-2</v>
      </c>
      <c r="D76" s="121">
        <f>IFERROR(VLOOKUP($B76,Miljövärden!$B$3:$H$552,MATCH(D$2,Miljövärden!$B$2:$H$2,0),FALSE),"Saknas")</f>
        <v>6.3342999999999998</v>
      </c>
      <c r="E76" s="121">
        <f>IFERROR(VLOOKUP($B76,Miljövärden!$B$3:$H$552,MATCH(E$2,Miljövärden!$B$2:$H$2,0),FALSE),"Saknas")</f>
        <v>6.3712</v>
      </c>
      <c r="F76" s="121">
        <f>IFERROR(VLOOKUP($B76,Miljövärden!$B$3:$H$552,MATCH(F$2,Miljövärden!$B$2:$H$2,0),FALSE),"Saknas")</f>
        <v>6.1148900000000004E-3</v>
      </c>
      <c r="G76" s="121" t="str">
        <f>IFERROR(VLOOKUP($B76,Miljövärden!$B$3:$H$552,MATCH(G$2,Miljövärden!$B$2:$H$2,0),FALSE),"Nej, saknas")</f>
        <v>Nej</v>
      </c>
      <c r="H76" s="285" t="str">
        <f>IFERROR(VLOOKUP($B76,Miljövärden!$B$3:$H$552,MATCH(H$2,Miljövärden!$B$2:$H$2,0),FALSE),"Nej, saknas")</f>
        <v>Ja</v>
      </c>
      <c r="P76" s="121" t="str">
        <f t="shared" si="2"/>
        <v>ja</v>
      </c>
      <c r="R76" s="121">
        <f t="shared" si="3"/>
        <v>68</v>
      </c>
    </row>
    <row r="77" spans="1:18" x14ac:dyDescent="0.25">
      <c r="A77" s="137" t="s">
        <v>289</v>
      </c>
      <c r="B77" s="137" t="s">
        <v>291</v>
      </c>
      <c r="C77" s="121">
        <f>IFERROR(VLOOKUP($B77,Miljövärden!$B$3:$H$552,MATCH(C$2,Miljövärden!$B$2:$H$2,0),FALSE),"Saknas")</f>
        <v>0.32552599999999998</v>
      </c>
      <c r="D77" s="121">
        <f>IFERROR(VLOOKUP($B77,Miljövärden!$B$3:$H$552,MATCH(D$2,Miljövärden!$B$2:$H$2,0),FALSE),"Saknas")</f>
        <v>53.7744</v>
      </c>
      <c r="E77" s="121">
        <f>IFERROR(VLOOKUP($B77,Miljövärden!$B$3:$H$552,MATCH(E$2,Miljövärden!$B$2:$H$2,0),FALSE),"Saknas")</f>
        <v>19.633500000000002</v>
      </c>
      <c r="F77" s="121">
        <f>IFERROR(VLOOKUP($B77,Miljövärden!$B$3:$H$552,MATCH(F$2,Miljövärden!$B$2:$H$2,0),FALSE),"Saknas")</f>
        <v>0.13752500000000001</v>
      </c>
      <c r="G77" s="121" t="str">
        <f>IFERROR(VLOOKUP($B77,Miljövärden!$B$3:$H$552,MATCH(G$2,Miljövärden!$B$2:$H$2,0),FALSE),"Nej, saknas")</f>
        <v>Ja</v>
      </c>
      <c r="H77" s="285" t="str">
        <f>IFERROR(VLOOKUP($B77,Miljövärden!$B$3:$H$552,MATCH(H$2,Miljövärden!$B$2:$H$2,0),FALSE),"Nej, saknas")</f>
        <v>Ja</v>
      </c>
      <c r="P77" s="121" t="str">
        <f t="shared" si="2"/>
        <v>ja</v>
      </c>
      <c r="R77" s="121">
        <f t="shared" si="3"/>
        <v>69</v>
      </c>
    </row>
    <row r="78" spans="1:18" x14ac:dyDescent="0.25">
      <c r="A78" s="137" t="s">
        <v>289</v>
      </c>
      <c r="B78" s="137" t="s">
        <v>292</v>
      </c>
      <c r="C78" s="121">
        <f>IFERROR(VLOOKUP($B78,Miljövärden!$B$3:$H$552,MATCH(C$2,Miljövärden!$B$2:$H$2,0),FALSE),"Saknas")</f>
        <v>0.12388100000000001</v>
      </c>
      <c r="D78" s="121">
        <f>IFERROR(VLOOKUP($B78,Miljövärden!$B$3:$H$552,MATCH(D$2,Miljövärden!$B$2:$H$2,0),FALSE),"Saknas")</f>
        <v>4.69916</v>
      </c>
      <c r="E78" s="121">
        <f>IFERROR(VLOOKUP($B78,Miljövärden!$B$3:$H$552,MATCH(E$2,Miljövärden!$B$2:$H$2,0),FALSE),"Saknas")</f>
        <v>15.0808</v>
      </c>
      <c r="F78" s="121">
        <f>IFERROR(VLOOKUP($B78,Miljövärden!$B$3:$H$552,MATCH(F$2,Miljövärden!$B$2:$H$2,0),FALSE),"Saknas")</f>
        <v>0</v>
      </c>
      <c r="G78" s="121" t="str">
        <f>IFERROR(VLOOKUP($B78,Miljövärden!$B$3:$H$552,MATCH(G$2,Miljövärden!$B$2:$H$2,0),FALSE),"Nej, saknas")</f>
        <v>Ja</v>
      </c>
      <c r="H78" s="285" t="str">
        <f>IFERROR(VLOOKUP($B78,Miljövärden!$B$3:$H$552,MATCH(H$2,Miljövärden!$B$2:$H$2,0),FALSE),"Nej, saknas")</f>
        <v>Ja</v>
      </c>
      <c r="P78" s="121" t="str">
        <f t="shared" si="2"/>
        <v>ja</v>
      </c>
      <c r="R78" s="121">
        <f t="shared" si="3"/>
        <v>70</v>
      </c>
    </row>
    <row r="79" spans="1:18" x14ac:dyDescent="0.25">
      <c r="A79" s="137" t="s">
        <v>293</v>
      </c>
      <c r="B79" s="137" t="s">
        <v>294</v>
      </c>
      <c r="C79" s="121">
        <f>IFERROR(VLOOKUP($B79,Miljövärden!$B$3:$H$552,MATCH(C$2,Miljövärden!$B$2:$H$2,0),FALSE),"Saknas")</f>
        <v>7.1390700000000001E-2</v>
      </c>
      <c r="D79" s="121">
        <f>IFERROR(VLOOKUP($B79,Miljövärden!$B$3:$H$552,MATCH(D$2,Miljövärden!$B$2:$H$2,0),FALSE),"Saknas")</f>
        <v>4.3940999999999999</v>
      </c>
      <c r="E79" s="121">
        <f>IFERROR(VLOOKUP($B79,Miljövärden!$B$3:$H$552,MATCH(E$2,Miljövärden!$B$2:$H$2,0),FALSE),"Saknas")</f>
        <v>7.9763700000000002</v>
      </c>
      <c r="F79" s="121">
        <f>IFERROR(VLOOKUP($B79,Miljövärden!$B$3:$H$552,MATCH(F$2,Miljövärden!$B$2:$H$2,0),FALSE),"Saknas")</f>
        <v>0</v>
      </c>
      <c r="G79" s="121" t="str">
        <f>IFERROR(VLOOKUP($B79,Miljövärden!$B$3:$H$552,MATCH(G$2,Miljövärden!$B$2:$H$2,0),FALSE),"Nej, saknas")</f>
        <v>Ja</v>
      </c>
      <c r="H79" s="285" t="str">
        <f>IFERROR(VLOOKUP($B79,Miljövärden!$B$3:$H$552,MATCH(H$2,Miljövärden!$B$2:$H$2,0),FALSE),"Nej, saknas")</f>
        <v>Ja</v>
      </c>
      <c r="P79" s="121" t="str">
        <f t="shared" si="2"/>
        <v>ja</v>
      </c>
      <c r="R79" s="121">
        <f t="shared" si="3"/>
        <v>71</v>
      </c>
    </row>
    <row r="80" spans="1:18" x14ac:dyDescent="0.25">
      <c r="A80" s="137" t="s">
        <v>293</v>
      </c>
      <c r="B80" s="137" t="s">
        <v>295</v>
      </c>
      <c r="C80" s="121">
        <f>IFERROR(VLOOKUP($B80,Miljövärden!$B$3:$H$552,MATCH(C$2,Miljövärden!$B$2:$H$2,0),FALSE),"Saknas")</f>
        <v>0.134884</v>
      </c>
      <c r="D80" s="121">
        <f>IFERROR(VLOOKUP($B80,Miljövärden!$B$3:$H$552,MATCH(D$2,Miljövärden!$B$2:$H$2,0),FALSE),"Saknas")</f>
        <v>4.5120199999999997</v>
      </c>
      <c r="E80" s="121">
        <f>IFERROR(VLOOKUP($B80,Miljövärden!$B$3:$H$552,MATCH(E$2,Miljövärden!$B$2:$H$2,0),FALSE),"Saknas")</f>
        <v>15.607699999999999</v>
      </c>
      <c r="F80" s="121">
        <f>IFERROR(VLOOKUP($B80,Miljövärden!$B$3:$H$552,MATCH(F$2,Miljövärden!$B$2:$H$2,0),FALSE),"Saknas")</f>
        <v>0</v>
      </c>
      <c r="G80" s="121" t="str">
        <f>IFERROR(VLOOKUP($B80,Miljövärden!$B$3:$H$552,MATCH(G$2,Miljövärden!$B$2:$H$2,0),FALSE),"Nej, saknas")</f>
        <v>Ja</v>
      </c>
      <c r="H80" s="285" t="str">
        <f>IFERROR(VLOOKUP($B80,Miljövärden!$B$3:$H$552,MATCH(H$2,Miljövärden!$B$2:$H$2,0),FALSE),"Nej, saknas")</f>
        <v>Ja</v>
      </c>
      <c r="P80" s="121" t="str">
        <f t="shared" si="2"/>
        <v>ja</v>
      </c>
      <c r="R80" s="121">
        <f t="shared" si="3"/>
        <v>72</v>
      </c>
    </row>
    <row r="81" spans="1:18" x14ac:dyDescent="0.25">
      <c r="A81" s="137" t="s">
        <v>293</v>
      </c>
      <c r="B81" s="137" t="s">
        <v>296</v>
      </c>
      <c r="C81" s="121">
        <f>IFERROR(VLOOKUP($B81,Miljövärden!$B$3:$H$552,MATCH(C$2,Miljövärden!$B$2:$H$2,0),FALSE),"Saknas")</f>
        <v>0.39779799999999998</v>
      </c>
      <c r="D81" s="121">
        <f>IFERROR(VLOOKUP($B81,Miljövärden!$B$3:$H$552,MATCH(D$2,Miljövärden!$B$2:$H$2,0),FALSE),"Saknas")</f>
        <v>5.4165900000000002</v>
      </c>
      <c r="E81" s="121">
        <f>IFERROR(VLOOKUP($B81,Miljövärden!$B$3:$H$552,MATCH(E$2,Miljövärden!$B$2:$H$2,0),FALSE),"Saknas")</f>
        <v>14.4337</v>
      </c>
      <c r="F81" s="121">
        <f>IFERROR(VLOOKUP($B81,Miljövärden!$B$3:$H$552,MATCH(F$2,Miljövärden!$B$2:$H$2,0),FALSE),"Saknas")</f>
        <v>0</v>
      </c>
      <c r="G81" s="121" t="str">
        <f>IFERROR(VLOOKUP($B81,Miljövärden!$B$3:$H$552,MATCH(G$2,Miljövärden!$B$2:$H$2,0),FALSE),"Nej, saknas")</f>
        <v>Ja</v>
      </c>
      <c r="H81" s="285" t="str">
        <f>IFERROR(VLOOKUP($B81,Miljövärden!$B$3:$H$552,MATCH(H$2,Miljövärden!$B$2:$H$2,0),FALSE),"Nej, saknas")</f>
        <v>Ja</v>
      </c>
      <c r="P81" s="121" t="str">
        <f t="shared" si="2"/>
        <v>ja</v>
      </c>
      <c r="R81" s="121">
        <f t="shared" si="3"/>
        <v>73</v>
      </c>
    </row>
    <row r="82" spans="1:18" x14ac:dyDescent="0.25">
      <c r="A82" s="137" t="s">
        <v>297</v>
      </c>
      <c r="B82" s="137" t="s">
        <v>298</v>
      </c>
      <c r="C82" s="121">
        <f>IFERROR(VLOOKUP($B82,Miljövärden!$B$3:$H$552,MATCH(C$2,Miljövärden!$B$2:$H$2,0),FALSE),"Saknas")</f>
        <v>7.4481699999999998E-2</v>
      </c>
      <c r="D82" s="121">
        <f>IFERROR(VLOOKUP($B82,Miljövärden!$B$3:$H$552,MATCH(D$2,Miljövärden!$B$2:$H$2,0),FALSE),"Saknas")</f>
        <v>6.91092</v>
      </c>
      <c r="E82" s="121">
        <f>IFERROR(VLOOKUP($B82,Miljövärden!$B$3:$H$552,MATCH(E$2,Miljövärden!$B$2:$H$2,0),FALSE),"Saknas")</f>
        <v>8.7785799999999998</v>
      </c>
      <c r="F82" s="121">
        <f>IFERROR(VLOOKUP($B82,Miljövärden!$B$3:$H$552,MATCH(F$2,Miljövärden!$B$2:$H$2,0),FALSE),"Saknas")</f>
        <v>6.5320200000000004E-3</v>
      </c>
      <c r="G82" s="121" t="str">
        <f>IFERROR(VLOOKUP($B82,Miljövärden!$B$3:$H$552,MATCH(G$2,Miljövärden!$B$2:$H$2,0),FALSE),"Nej, saknas")</f>
        <v>Ja</v>
      </c>
      <c r="H82" s="285" t="str">
        <f>IFERROR(VLOOKUP($B82,Miljövärden!$B$3:$H$552,MATCH(H$2,Miljövärden!$B$2:$H$2,0),FALSE),"Nej, saknas")</f>
        <v>Ja</v>
      </c>
      <c r="P82" s="121" t="str">
        <f t="shared" si="2"/>
        <v>ja</v>
      </c>
      <c r="R82" s="121">
        <f t="shared" si="3"/>
        <v>74</v>
      </c>
    </row>
    <row r="83" spans="1:18" x14ac:dyDescent="0.25">
      <c r="A83" s="137" t="s">
        <v>297</v>
      </c>
      <c r="B83" s="137" t="s">
        <v>299</v>
      </c>
      <c r="C83" s="121">
        <f>IFERROR(VLOOKUP($B83,Miljövärden!$B$3:$H$552,MATCH(C$2,Miljövärden!$B$2:$H$2,0),FALSE),"Saknas")</f>
        <v>0.16744100000000001</v>
      </c>
      <c r="D83" s="121">
        <f>IFERROR(VLOOKUP($B83,Miljövärden!$B$3:$H$552,MATCH(D$2,Miljövärden!$B$2:$H$2,0),FALSE),"Saknas")</f>
        <v>8.0567700000000002</v>
      </c>
      <c r="E83" s="121">
        <f>IFERROR(VLOOKUP($B83,Miljövärden!$B$3:$H$552,MATCH(E$2,Miljövärden!$B$2:$H$2,0),FALSE),"Saknas")</f>
        <v>17.798100000000002</v>
      </c>
      <c r="F83" s="121">
        <f>IFERROR(VLOOKUP($B83,Miljövärden!$B$3:$H$552,MATCH(F$2,Miljövärden!$B$2:$H$2,0),FALSE),"Saknas")</f>
        <v>8.83281E-3</v>
      </c>
      <c r="G83" s="121" t="str">
        <f>IFERROR(VLOOKUP($B83,Miljövärden!$B$3:$H$552,MATCH(G$2,Miljövärden!$B$2:$H$2,0),FALSE),"Nej, saknas")</f>
        <v>Ja</v>
      </c>
      <c r="H83" s="285" t="str">
        <f>IFERROR(VLOOKUP($B83,Miljövärden!$B$3:$H$552,MATCH(H$2,Miljövärden!$B$2:$H$2,0),FALSE),"Nej, saknas")</f>
        <v>Ja</v>
      </c>
      <c r="P83" s="121" t="str">
        <f t="shared" si="2"/>
        <v>ja</v>
      </c>
      <c r="R83" s="121">
        <f t="shared" si="3"/>
        <v>75</v>
      </c>
    </row>
    <row r="84" spans="1:18" x14ac:dyDescent="0.25">
      <c r="A84" s="137" t="s">
        <v>297</v>
      </c>
      <c r="B84" s="137" t="s">
        <v>300</v>
      </c>
      <c r="C84" s="121">
        <f>IFERROR(VLOOKUP($B84,Miljövärden!$B$3:$H$552,MATCH(C$2,Miljövärden!$B$2:$H$2,0),FALSE),"Saknas")</f>
        <v>0.24005799999999999</v>
      </c>
      <c r="D84" s="121">
        <f>IFERROR(VLOOKUP($B84,Miljövärden!$B$3:$H$552,MATCH(D$2,Miljövärden!$B$2:$H$2,0),FALSE),"Saknas")</f>
        <v>27.284300000000002</v>
      </c>
      <c r="E84" s="121">
        <f>IFERROR(VLOOKUP($B84,Miljövärden!$B$3:$H$552,MATCH(E$2,Miljövärden!$B$2:$H$2,0),FALSE),"Saknas")</f>
        <v>18.1416</v>
      </c>
      <c r="F84" s="121">
        <f>IFERROR(VLOOKUP($B84,Miljövärden!$B$3:$H$552,MATCH(F$2,Miljövärden!$B$2:$H$2,0),FALSE),"Saknas")</f>
        <v>6.6927E-2</v>
      </c>
      <c r="G84" s="121" t="str">
        <f>IFERROR(VLOOKUP($B84,Miljövärden!$B$3:$H$552,MATCH(G$2,Miljövärden!$B$2:$H$2,0),FALSE),"Nej, saknas")</f>
        <v>Ja</v>
      </c>
      <c r="H84" s="285" t="str">
        <f>IFERROR(VLOOKUP($B84,Miljövärden!$B$3:$H$552,MATCH(H$2,Miljövärden!$B$2:$H$2,0),FALSE),"Nej, saknas")</f>
        <v>Ja</v>
      </c>
      <c r="P84" s="121" t="str">
        <f t="shared" si="2"/>
        <v>ja</v>
      </c>
      <c r="R84" s="121">
        <f t="shared" si="3"/>
        <v>76</v>
      </c>
    </row>
    <row r="85" spans="1:18" x14ac:dyDescent="0.25">
      <c r="A85" s="137" t="s">
        <v>301</v>
      </c>
      <c r="B85" s="137" t="s">
        <v>302</v>
      </c>
      <c r="C85" s="121">
        <f>IFERROR(VLOOKUP($B85,Miljövärden!$B$3:$H$552,MATCH(C$2,Miljövärden!$B$2:$H$2,0),FALSE),"Saknas")</f>
        <v>0.20041500000000001</v>
      </c>
      <c r="D85" s="121">
        <f>IFERROR(VLOOKUP($B85,Miljövärden!$B$3:$H$552,MATCH(D$2,Miljövärden!$B$2:$H$2,0),FALSE),"Saknas")</f>
        <v>7.2646899999999999</v>
      </c>
      <c r="E85" s="121">
        <f>IFERROR(VLOOKUP($B85,Miljövärden!$B$3:$H$552,MATCH(E$2,Miljövärden!$B$2:$H$2,0),FALSE),"Saknas")</f>
        <v>21.969799999999999</v>
      </c>
      <c r="F85" s="121">
        <f>IFERROR(VLOOKUP($B85,Miljövärden!$B$3:$H$552,MATCH(F$2,Miljövärden!$B$2:$H$2,0),FALSE),"Saknas")</f>
        <v>2.38338E-3</v>
      </c>
      <c r="G85" s="121" t="str">
        <f>IFERROR(VLOOKUP($B85,Miljövärden!$B$3:$H$552,MATCH(G$2,Miljövärden!$B$2:$H$2,0),FALSE),"Nej, saknas")</f>
        <v>Ja</v>
      </c>
      <c r="H85" s="285" t="str">
        <f>IFERROR(VLOOKUP($B85,Miljövärden!$B$3:$H$552,MATCH(H$2,Miljövärden!$B$2:$H$2,0),FALSE),"Nej, saknas")</f>
        <v>Ja</v>
      </c>
      <c r="P85" s="121" t="str">
        <f t="shared" si="2"/>
        <v>ja</v>
      </c>
      <c r="R85" s="121">
        <f t="shared" si="3"/>
        <v>77</v>
      </c>
    </row>
    <row r="86" spans="1:18" x14ac:dyDescent="0.25">
      <c r="A86" s="137" t="s">
        <v>301</v>
      </c>
      <c r="B86" s="137" t="s">
        <v>303</v>
      </c>
      <c r="C86" s="121">
        <f>IFERROR(VLOOKUP($B86,Miljövärden!$B$3:$H$552,MATCH(C$2,Miljövärden!$B$2:$H$2,0),FALSE),"Saknas")</f>
        <v>9.7938999999999998E-2</v>
      </c>
      <c r="D86" s="121">
        <f>IFERROR(VLOOKUP($B86,Miljövärden!$B$3:$H$552,MATCH(D$2,Miljövärden!$B$2:$H$2,0),FALSE),"Saknas")</f>
        <v>10.870200000000001</v>
      </c>
      <c r="E86" s="121">
        <f>IFERROR(VLOOKUP($B86,Miljövärden!$B$3:$H$552,MATCH(E$2,Miljövärden!$B$2:$H$2,0),FALSE),"Saknas")</f>
        <v>6.1179699999999997</v>
      </c>
      <c r="F86" s="121">
        <f>IFERROR(VLOOKUP($B86,Miljövärden!$B$3:$H$552,MATCH(F$2,Miljövärden!$B$2:$H$2,0),FALSE),"Saknas")</f>
        <v>2.1941800000000001E-2</v>
      </c>
      <c r="G86" s="121" t="str">
        <f>IFERROR(VLOOKUP($B86,Miljövärden!$B$3:$H$552,MATCH(G$2,Miljövärden!$B$2:$H$2,0),FALSE),"Nej, saknas")</f>
        <v>Ja</v>
      </c>
      <c r="H86" s="285" t="str">
        <f>IFERROR(VLOOKUP($B86,Miljövärden!$B$3:$H$552,MATCH(H$2,Miljövärden!$B$2:$H$2,0),FALSE),"Nej, saknas")</f>
        <v>Ja</v>
      </c>
      <c r="P86" s="121" t="str">
        <f t="shared" si="2"/>
        <v>ja</v>
      </c>
      <c r="R86" s="121">
        <f t="shared" si="3"/>
        <v>78</v>
      </c>
    </row>
    <row r="87" spans="1:18" x14ac:dyDescent="0.25">
      <c r="A87" s="137" t="s">
        <v>301</v>
      </c>
      <c r="B87" s="137" t="s">
        <v>305</v>
      </c>
      <c r="C87" s="121">
        <f>IFERROR(VLOOKUP($B87,Miljövärden!$B$3:$H$552,MATCH(C$2,Miljövärden!$B$2:$H$2,0),FALSE),"Saknas")</f>
        <v>0.14856</v>
      </c>
      <c r="D87" s="121">
        <f>IFERROR(VLOOKUP($B87,Miljövärden!$B$3:$H$552,MATCH(D$2,Miljövärden!$B$2:$H$2,0),FALSE),"Saknas")</f>
        <v>8.9492899999999995</v>
      </c>
      <c r="E87" s="121">
        <f>IFERROR(VLOOKUP($B87,Miljövärden!$B$3:$H$552,MATCH(E$2,Miljövärden!$B$2:$H$2,0),FALSE),"Saknas")</f>
        <v>14.6004</v>
      </c>
      <c r="F87" s="121">
        <f>IFERROR(VLOOKUP($B87,Miljövärden!$B$3:$H$552,MATCH(F$2,Miljövärden!$B$2:$H$2,0),FALSE),"Saknas")</f>
        <v>1.74927E-2</v>
      </c>
      <c r="G87" s="121" t="str">
        <f>IFERROR(VLOOKUP($B87,Miljövärden!$B$3:$H$552,MATCH(G$2,Miljövärden!$B$2:$H$2,0),FALSE),"Nej, saknas")</f>
        <v>Ja</v>
      </c>
      <c r="H87" s="285" t="str">
        <f>IFERROR(VLOOKUP($B87,Miljövärden!$B$3:$H$552,MATCH(H$2,Miljövärden!$B$2:$H$2,0),FALSE),"Nej, saknas")</f>
        <v>Ja</v>
      </c>
      <c r="P87" s="121" t="str">
        <f t="shared" si="2"/>
        <v>ja</v>
      </c>
      <c r="R87" s="121">
        <f t="shared" si="3"/>
        <v>79</v>
      </c>
    </row>
    <row r="88" spans="1:18" x14ac:dyDescent="0.25">
      <c r="A88" s="137" t="s">
        <v>301</v>
      </c>
      <c r="B88" s="137" t="s">
        <v>306</v>
      </c>
      <c r="C88" s="121">
        <f>IFERROR(VLOOKUP($B88,Miljövärden!$B$3:$H$552,MATCH(C$2,Miljövärden!$B$2:$H$2,0),FALSE),"Saknas")</f>
        <v>0.17438500000000001</v>
      </c>
      <c r="D88" s="121">
        <f>IFERROR(VLOOKUP($B88,Miljövärden!$B$3:$H$552,MATCH(D$2,Miljövärden!$B$2:$H$2,0),FALSE),"Saknas")</f>
        <v>7.5</v>
      </c>
      <c r="E88" s="121">
        <f>IFERROR(VLOOKUP($B88,Miljövärden!$B$3:$H$552,MATCH(E$2,Miljövärden!$B$2:$H$2,0),FALSE),"Saknas")</f>
        <v>16.864799999999999</v>
      </c>
      <c r="F88" s="121">
        <f>IFERROR(VLOOKUP($B88,Miljövärden!$B$3:$H$552,MATCH(F$2,Miljövärden!$B$2:$H$2,0),FALSE),"Saknas")</f>
        <v>8.3963100000000006E-3</v>
      </c>
      <c r="G88" s="121" t="str">
        <f>IFERROR(VLOOKUP($B88,Miljövärden!$B$3:$H$552,MATCH(G$2,Miljövärden!$B$2:$H$2,0),FALSE),"Nej, saknas")</f>
        <v>Ja</v>
      </c>
      <c r="H88" s="285" t="str">
        <f>IFERROR(VLOOKUP($B88,Miljövärden!$B$3:$H$552,MATCH(H$2,Miljövärden!$B$2:$H$2,0),FALSE),"Nej, saknas")</f>
        <v>Ja</v>
      </c>
      <c r="P88" s="121" t="str">
        <f t="shared" si="2"/>
        <v>ja</v>
      </c>
      <c r="R88" s="121">
        <f t="shared" si="3"/>
        <v>80</v>
      </c>
    </row>
    <row r="89" spans="1:18" x14ac:dyDescent="0.25">
      <c r="A89" s="137" t="s">
        <v>307</v>
      </c>
      <c r="B89" s="137" t="s">
        <v>308</v>
      </c>
      <c r="C89" s="121">
        <f>IFERROR(VLOOKUP($B89,Miljövärden!$B$3:$H$552,MATCH(C$2,Miljövärden!$B$2:$H$2,0),FALSE),"Saknas")</f>
        <v>0.134879</v>
      </c>
      <c r="D89" s="121">
        <f>IFERROR(VLOOKUP($B89,Miljövärden!$B$3:$H$552,MATCH(D$2,Miljövärden!$B$2:$H$2,0),FALSE),"Saknas")</f>
        <v>107.464</v>
      </c>
      <c r="E89" s="121">
        <f>IFERROR(VLOOKUP($B89,Miljövärden!$B$3:$H$552,MATCH(E$2,Miljövärden!$B$2:$H$2,0),FALSE),"Saknas")</f>
        <v>6.0495299999999999</v>
      </c>
      <c r="F89" s="121">
        <f>IFERROR(VLOOKUP($B89,Miljövärden!$B$3:$H$552,MATCH(F$2,Miljövärden!$B$2:$H$2,0),FALSE),"Saknas")</f>
        <v>3.3760999999999999E-2</v>
      </c>
      <c r="G89" s="121" t="str">
        <f>IFERROR(VLOOKUP($B89,Miljövärden!$B$3:$H$552,MATCH(G$2,Miljövärden!$B$2:$H$2,0),FALSE),"Nej, saknas")</f>
        <v>Nej</v>
      </c>
      <c r="H89" s="285" t="str">
        <f>IFERROR(VLOOKUP($B89,Miljövärden!$B$3:$H$552,MATCH(H$2,Miljövärden!$B$2:$H$2,0),FALSE),"Nej, saknas")</f>
        <v>Ja</v>
      </c>
      <c r="P89" s="121" t="str">
        <f t="shared" si="2"/>
        <v>ja</v>
      </c>
      <c r="R89" s="121">
        <f t="shared" si="3"/>
        <v>81</v>
      </c>
    </row>
    <row r="90" spans="1:18" x14ac:dyDescent="0.25">
      <c r="A90" s="137" t="s">
        <v>309</v>
      </c>
      <c r="B90" s="137" t="s">
        <v>310</v>
      </c>
      <c r="C90" s="121">
        <f>IFERROR(VLOOKUP($B90,Miljövärden!$B$3:$H$552,MATCH(C$2,Miljövärden!$B$2:$H$2,0),FALSE),"Saknas")</f>
        <v>9.6941799999999995E-2</v>
      </c>
      <c r="D90" s="121">
        <f>IFERROR(VLOOKUP($B90,Miljövärden!$B$3:$H$552,MATCH(D$2,Miljövärden!$B$2:$H$2,0),FALSE),"Saknas")</f>
        <v>9.2079500000000003</v>
      </c>
      <c r="E90" s="121">
        <f>IFERROR(VLOOKUP($B90,Miljövärden!$B$3:$H$552,MATCH(E$2,Miljövärden!$B$2:$H$2,0),FALSE),"Saknas")</f>
        <v>8.7159200000000006</v>
      </c>
      <c r="F90" s="121">
        <f>IFERROR(VLOOKUP($B90,Miljövärden!$B$3:$H$552,MATCH(F$2,Miljövärden!$B$2:$H$2,0),FALSE),"Saknas")</f>
        <v>1.49693E-2</v>
      </c>
      <c r="G90" s="121" t="str">
        <f>IFERROR(VLOOKUP($B90,Miljövärden!$B$3:$H$552,MATCH(G$2,Miljövärden!$B$2:$H$2,0),FALSE),"Nej, saknas")</f>
        <v>Ja</v>
      </c>
      <c r="H90" s="285" t="str">
        <f>IFERROR(VLOOKUP($B90,Miljövärden!$B$3:$H$552,MATCH(H$2,Miljövärden!$B$2:$H$2,0),FALSE),"Nej, saknas")</f>
        <v>Ja</v>
      </c>
      <c r="P90" s="121" t="str">
        <f t="shared" si="2"/>
        <v>ja</v>
      </c>
      <c r="R90" s="121">
        <f t="shared" si="3"/>
        <v>82</v>
      </c>
    </row>
    <row r="91" spans="1:18" x14ac:dyDescent="0.25">
      <c r="A91" s="137" t="s">
        <v>309</v>
      </c>
      <c r="B91" s="137" t="s">
        <v>311</v>
      </c>
      <c r="C91" s="121">
        <f>IFERROR(VLOOKUP($B91,Miljövärden!$B$3:$H$552,MATCH(C$2,Miljövärden!$B$2:$H$2,0),FALSE),"Saknas")</f>
        <v>0.10960399999999999</v>
      </c>
      <c r="D91" s="121">
        <f>IFERROR(VLOOKUP($B91,Miljövärden!$B$3:$H$552,MATCH(D$2,Miljövärden!$B$2:$H$2,0),FALSE),"Saknas")</f>
        <v>15.2896</v>
      </c>
      <c r="E91" s="121">
        <f>IFERROR(VLOOKUP($B91,Miljövärden!$B$3:$H$552,MATCH(E$2,Miljövärden!$B$2:$H$2,0),FALSE),"Saknas")</f>
        <v>9.4742599999999992</v>
      </c>
      <c r="F91" s="121">
        <f>IFERROR(VLOOKUP($B91,Miljövärden!$B$3:$H$552,MATCH(F$2,Miljövärden!$B$2:$H$2,0),FALSE),"Saknas")</f>
        <v>9.3244E-3</v>
      </c>
      <c r="G91" s="121" t="str">
        <f>IFERROR(VLOOKUP($B91,Miljövärden!$B$3:$H$552,MATCH(G$2,Miljövärden!$B$2:$H$2,0),FALSE),"Nej, saknas")</f>
        <v>Ja</v>
      </c>
      <c r="H91" s="285" t="str">
        <f>IFERROR(VLOOKUP($B91,Miljövärden!$B$3:$H$552,MATCH(H$2,Miljövärden!$B$2:$H$2,0),FALSE),"Nej, saknas")</f>
        <v>Ja</v>
      </c>
      <c r="P91" s="121" t="str">
        <f t="shared" si="2"/>
        <v>ja</v>
      </c>
      <c r="R91" s="121">
        <f t="shared" si="3"/>
        <v>83</v>
      </c>
    </row>
    <row r="92" spans="1:18" x14ac:dyDescent="0.25">
      <c r="A92" s="137" t="s">
        <v>309</v>
      </c>
      <c r="B92" s="137" t="s">
        <v>313</v>
      </c>
      <c r="C92" s="121">
        <f>IFERROR(VLOOKUP($B92,Miljövärden!$B$3:$H$552,MATCH(C$2,Miljövärden!$B$2:$H$2,0),FALSE),"Saknas")</f>
        <v>0.36199999999999999</v>
      </c>
      <c r="D92" s="121">
        <f>IFERROR(VLOOKUP($B92,Miljövärden!$B$3:$H$552,MATCH(D$2,Miljövärden!$B$2:$H$2,0),FALSE),"Saknas")</f>
        <v>3.6863100000000002</v>
      </c>
      <c r="E92" s="121">
        <f>IFERROR(VLOOKUP($B92,Miljövärden!$B$3:$H$552,MATCH(E$2,Miljövärden!$B$2:$H$2,0),FALSE),"Saknas")</f>
        <v>12.902100000000001</v>
      </c>
      <c r="F92" s="121">
        <f>IFERROR(VLOOKUP($B92,Miljövärden!$B$3:$H$552,MATCH(F$2,Miljövärden!$B$2:$H$2,0),FALSE),"Saknas")</f>
        <v>0</v>
      </c>
      <c r="G92" s="121" t="str">
        <f>IFERROR(VLOOKUP($B92,Miljövärden!$B$3:$H$552,MATCH(G$2,Miljövärden!$B$2:$H$2,0),FALSE),"Nej, saknas")</f>
        <v>Ja</v>
      </c>
      <c r="H92" s="285" t="str">
        <f>IFERROR(VLOOKUP($B92,Miljövärden!$B$3:$H$552,MATCH(H$2,Miljövärden!$B$2:$H$2,0),FALSE),"Nej, saknas")</f>
        <v>Ja</v>
      </c>
      <c r="P92" s="121" t="str">
        <f t="shared" si="2"/>
        <v>ja</v>
      </c>
      <c r="R92" s="121">
        <f t="shared" si="3"/>
        <v>84</v>
      </c>
    </row>
    <row r="93" spans="1:18" x14ac:dyDescent="0.25">
      <c r="A93" s="137" t="s">
        <v>315</v>
      </c>
      <c r="B93" s="137" t="s">
        <v>316</v>
      </c>
      <c r="C93" s="121">
        <f>IFERROR(VLOOKUP($B93,Miljövärden!$B$3:$H$552,MATCH(C$2,Miljövärden!$B$2:$H$2,0),FALSE),"Saknas")</f>
        <v>9.7830399999999998E-2</v>
      </c>
      <c r="D93" s="121">
        <f>IFERROR(VLOOKUP($B93,Miljövärden!$B$3:$H$552,MATCH(D$2,Miljövärden!$B$2:$H$2,0),FALSE),"Saknas")</f>
        <v>11.852399999999999</v>
      </c>
      <c r="E93" s="121">
        <f>IFERROR(VLOOKUP($B93,Miljövärden!$B$3:$H$552,MATCH(E$2,Miljövärden!$B$2:$H$2,0),FALSE),"Saknas")</f>
        <v>8.7905099999999994</v>
      </c>
      <c r="F93" s="121">
        <f>IFERROR(VLOOKUP($B93,Miljövärden!$B$3:$H$552,MATCH(F$2,Miljövärden!$B$2:$H$2,0),FALSE),"Saknas")</f>
        <v>2.17637E-2</v>
      </c>
      <c r="G93" s="121" t="str">
        <f>IFERROR(VLOOKUP($B93,Miljövärden!$B$3:$H$552,MATCH(G$2,Miljövärden!$B$2:$H$2,0),FALSE),"Nej, saknas")</f>
        <v>Ja</v>
      </c>
      <c r="H93" s="285" t="str">
        <f>IFERROR(VLOOKUP($B93,Miljövärden!$B$3:$H$552,MATCH(H$2,Miljövärden!$B$2:$H$2,0),FALSE),"Nej, saknas")</f>
        <v>Ja</v>
      </c>
      <c r="P93" s="121" t="str">
        <f t="shared" si="2"/>
        <v>ja</v>
      </c>
      <c r="R93" s="121">
        <f t="shared" si="3"/>
        <v>85</v>
      </c>
    </row>
    <row r="94" spans="1:18" x14ac:dyDescent="0.25">
      <c r="A94" s="137" t="s">
        <v>315</v>
      </c>
      <c r="B94" s="137" t="s">
        <v>317</v>
      </c>
      <c r="C94" s="121">
        <f>IFERROR(VLOOKUP($B94,Miljövärden!$B$3:$H$552,MATCH(C$2,Miljövärden!$B$2:$H$2,0),FALSE),"Saknas")</f>
        <v>1.54108</v>
      </c>
      <c r="D94" s="121">
        <f>IFERROR(VLOOKUP($B94,Miljövärden!$B$3:$H$552,MATCH(D$2,Miljövärden!$B$2:$H$2,0),FALSE),"Saknas")</f>
        <v>16.408100000000001</v>
      </c>
      <c r="E94" s="121">
        <f>IFERROR(VLOOKUP($B94,Miljövärden!$B$3:$H$552,MATCH(E$2,Miljövärden!$B$2:$H$2,0),FALSE),"Saknas")</f>
        <v>48.269399999999997</v>
      </c>
      <c r="F94" s="121">
        <f>IFERROR(VLOOKUP($B94,Miljövärden!$B$3:$H$552,MATCH(F$2,Miljövärden!$B$2:$H$2,0),FALSE),"Saknas")</f>
        <v>2.7613800000000001E-2</v>
      </c>
      <c r="G94" s="121" t="str">
        <f>IFERROR(VLOOKUP($B94,Miljövärden!$B$3:$H$552,MATCH(G$2,Miljövärden!$B$2:$H$2,0),FALSE),"Nej, saknas")</f>
        <v>Ja</v>
      </c>
      <c r="H94" s="285" t="str">
        <f>IFERROR(VLOOKUP($B94,Miljövärden!$B$3:$H$552,MATCH(H$2,Miljövärden!$B$2:$H$2,0),FALSE),"Nej, saknas")</f>
        <v>Ja</v>
      </c>
      <c r="P94" s="121" t="str">
        <f t="shared" si="2"/>
        <v>ja</v>
      </c>
      <c r="R94" s="121">
        <f t="shared" si="3"/>
        <v>86</v>
      </c>
    </row>
    <row r="95" spans="1:18" x14ac:dyDescent="0.25">
      <c r="A95" s="137" t="s">
        <v>315</v>
      </c>
      <c r="B95" s="137" t="s">
        <v>318</v>
      </c>
      <c r="C95" s="121">
        <f>IFERROR(VLOOKUP($B95,Miljövärden!$B$3:$H$552,MATCH(C$2,Miljövärden!$B$2:$H$2,0),FALSE),"Saknas")</f>
        <v>5.7265299999999998E-2</v>
      </c>
      <c r="D95" s="121">
        <f>IFERROR(VLOOKUP($B95,Miljövärden!$B$3:$H$552,MATCH(D$2,Miljövärden!$B$2:$H$2,0),FALSE),"Saknas")</f>
        <v>4.3646000000000003</v>
      </c>
      <c r="E95" s="121">
        <f>IFERROR(VLOOKUP($B95,Miljövärden!$B$3:$H$552,MATCH(E$2,Miljövärden!$B$2:$H$2,0),FALSE),"Saknas")</f>
        <v>1.0344</v>
      </c>
      <c r="F95" s="121">
        <f>IFERROR(VLOOKUP($B95,Miljövärden!$B$3:$H$552,MATCH(F$2,Miljövärden!$B$2:$H$2,0),FALSE),"Saknas")</f>
        <v>1.37894E-2</v>
      </c>
      <c r="G95" s="121" t="str">
        <f>IFERROR(VLOOKUP($B95,Miljövärden!$B$3:$H$552,MATCH(G$2,Miljövärden!$B$2:$H$2,0),FALSE),"Nej, saknas")</f>
        <v>Ja</v>
      </c>
      <c r="H95" s="285" t="str">
        <f>IFERROR(VLOOKUP($B95,Miljövärden!$B$3:$H$552,MATCH(H$2,Miljövärden!$B$2:$H$2,0),FALSE),"Nej, saknas")</f>
        <v>Ja</v>
      </c>
      <c r="P95" s="121" t="str">
        <f t="shared" si="2"/>
        <v>ja</v>
      </c>
      <c r="R95" s="121">
        <f t="shared" si="3"/>
        <v>87</v>
      </c>
    </row>
    <row r="96" spans="1:18" x14ac:dyDescent="0.25">
      <c r="A96" s="137" t="s">
        <v>315</v>
      </c>
      <c r="B96" s="137" t="s">
        <v>319</v>
      </c>
      <c r="C96" s="121">
        <f>IFERROR(VLOOKUP($B96,Miljövärden!$B$3:$H$552,MATCH(C$2,Miljövärden!$B$2:$H$2,0),FALSE),"Saknas")</f>
        <v>0.145319</v>
      </c>
      <c r="D96" s="121">
        <f>IFERROR(VLOOKUP($B96,Miljövärden!$B$3:$H$552,MATCH(D$2,Miljövärden!$B$2:$H$2,0),FALSE),"Saknas")</f>
        <v>3.5079699999999998</v>
      </c>
      <c r="E96" s="121">
        <f>IFERROR(VLOOKUP($B96,Miljövärden!$B$3:$H$552,MATCH(E$2,Miljövärden!$B$2:$H$2,0),FALSE),"Saknas")</f>
        <v>6.3263299999999996</v>
      </c>
      <c r="F96" s="121">
        <f>IFERROR(VLOOKUP($B96,Miljövärden!$B$3:$H$552,MATCH(F$2,Miljövärden!$B$2:$H$2,0),FALSE),"Saknas")</f>
        <v>0</v>
      </c>
      <c r="G96" s="121" t="str">
        <f>IFERROR(VLOOKUP($B96,Miljövärden!$B$3:$H$552,MATCH(G$2,Miljövärden!$B$2:$H$2,0),FALSE),"Nej, saknas")</f>
        <v>Ja</v>
      </c>
      <c r="H96" s="285" t="str">
        <f>IFERROR(VLOOKUP($B96,Miljövärden!$B$3:$H$552,MATCH(H$2,Miljövärden!$B$2:$H$2,0),FALSE),"Nej, saknas")</f>
        <v>Ja</v>
      </c>
      <c r="P96" s="121" t="str">
        <f t="shared" si="2"/>
        <v>ja</v>
      </c>
      <c r="R96" s="121">
        <f t="shared" si="3"/>
        <v>88</v>
      </c>
    </row>
    <row r="97" spans="1:18" x14ac:dyDescent="0.25">
      <c r="A97" s="137" t="s">
        <v>320</v>
      </c>
      <c r="B97" s="137" t="s">
        <v>321</v>
      </c>
      <c r="C97" s="121">
        <f>IFERROR(VLOOKUP($B97,Miljövärden!$B$3:$H$552,MATCH(C$2,Miljövärden!$B$2:$H$2,0),FALSE),"Saknas")</f>
        <v>0.678149</v>
      </c>
      <c r="D97" s="121">
        <f>IFERROR(VLOOKUP($B97,Miljövärden!$B$3:$H$552,MATCH(D$2,Miljövärden!$B$2:$H$2,0),FALSE),"Saknas")</f>
        <v>229.65100000000001</v>
      </c>
      <c r="E97" s="121">
        <f>IFERROR(VLOOKUP($B97,Miljövärden!$B$3:$H$552,MATCH(E$2,Miljövärden!$B$2:$H$2,0),FALSE),"Saknas")</f>
        <v>25.364699999999999</v>
      </c>
      <c r="F97" s="121">
        <f>IFERROR(VLOOKUP($B97,Miljövärden!$B$3:$H$552,MATCH(F$2,Miljövärden!$B$2:$H$2,0),FALSE),"Saknas")</f>
        <v>2.2761300000000002E-2</v>
      </c>
      <c r="G97" s="121" t="str">
        <f>IFERROR(VLOOKUP($B97,Miljövärden!$B$3:$H$552,MATCH(G$2,Miljövärden!$B$2:$H$2,0),FALSE),"Nej, saknas")</f>
        <v>Ja</v>
      </c>
      <c r="H97" s="285" t="str">
        <f>IFERROR(VLOOKUP($B97,Miljövärden!$B$3:$H$552,MATCH(H$2,Miljövärden!$B$2:$H$2,0),FALSE),"Nej, saknas")</f>
        <v>Ja</v>
      </c>
      <c r="P97" s="121" t="str">
        <f t="shared" si="2"/>
        <v>ja</v>
      </c>
      <c r="R97" s="121">
        <f t="shared" si="3"/>
        <v>89</v>
      </c>
    </row>
    <row r="98" spans="1:18" x14ac:dyDescent="0.25">
      <c r="A98" s="137" t="s">
        <v>322</v>
      </c>
      <c r="B98" s="137" t="s">
        <v>323</v>
      </c>
      <c r="C98" s="121">
        <f>IFERROR(VLOOKUP($B98,Miljövärden!$B$3:$H$552,MATCH(C$2,Miljövärden!$B$2:$H$2,0),FALSE),"Saknas")</f>
        <v>1.61496E-2</v>
      </c>
      <c r="D98" s="121">
        <f>IFERROR(VLOOKUP($B98,Miljövärden!$B$3:$H$552,MATCH(D$2,Miljövärden!$B$2:$H$2,0),FALSE),"Saknas")</f>
        <v>1.85758</v>
      </c>
      <c r="E98" s="121">
        <f>IFERROR(VLOOKUP($B98,Miljövärden!$B$3:$H$552,MATCH(E$2,Miljövärden!$B$2:$H$2,0),FALSE),"Saknas")</f>
        <v>2.4361600000000001</v>
      </c>
      <c r="F98" s="121">
        <f>IFERROR(VLOOKUP($B98,Miljövärden!$B$3:$H$552,MATCH(F$2,Miljövärden!$B$2:$H$2,0),FALSE),"Saknas")</f>
        <v>2.2425099999999999E-4</v>
      </c>
      <c r="G98" s="121" t="str">
        <f>IFERROR(VLOOKUP($B98,Miljövärden!$B$3:$H$552,MATCH(G$2,Miljövärden!$B$2:$H$2,0),FALSE),"Nej, saknas")</f>
        <v>Ja</v>
      </c>
      <c r="H98" s="285" t="str">
        <f>IFERROR(VLOOKUP($B98,Miljövärden!$B$3:$H$552,MATCH(H$2,Miljövärden!$B$2:$H$2,0),FALSE),"Nej, saknas")</f>
        <v>Ja</v>
      </c>
      <c r="P98" s="121" t="str">
        <f t="shared" si="2"/>
        <v>ja</v>
      </c>
      <c r="R98" s="121">
        <f t="shared" si="3"/>
        <v>90</v>
      </c>
    </row>
    <row r="99" spans="1:18" x14ac:dyDescent="0.25">
      <c r="A99" s="137" t="s">
        <v>324</v>
      </c>
      <c r="B99" s="137" t="s">
        <v>325</v>
      </c>
      <c r="C99" s="121">
        <f>IFERROR(VLOOKUP($B99,Miljövärden!$B$3:$H$552,MATCH(C$2,Miljövärden!$B$2:$H$2,0),FALSE),"Saknas")</f>
        <v>0</v>
      </c>
      <c r="D99" s="121">
        <f>IFERROR(VLOOKUP($B99,Miljövärden!$B$3:$H$552,MATCH(D$2,Miljövärden!$B$2:$H$2,0),FALSE),"Saknas")</f>
        <v>0</v>
      </c>
      <c r="E99" s="121">
        <f>IFERROR(VLOOKUP($B99,Miljövärden!$B$3:$H$552,MATCH(E$2,Miljövärden!$B$2:$H$2,0),FALSE),"Saknas")</f>
        <v>0</v>
      </c>
      <c r="F99" s="121">
        <f>IFERROR(VLOOKUP($B99,Miljövärden!$B$3:$H$552,MATCH(F$2,Miljövärden!$B$2:$H$2,0),FALSE),"Saknas")</f>
        <v>0</v>
      </c>
      <c r="G99" s="121" t="str">
        <f>IFERROR(VLOOKUP($B99,Miljövärden!$B$3:$H$552,MATCH(G$2,Miljövärden!$B$2:$H$2,0),FALSE),"Nej, saknas")</f>
        <v>Nej</v>
      </c>
      <c r="H99" s="285" t="str">
        <f>IFERROR(VLOOKUP($B99,Miljövärden!$B$3:$H$552,MATCH(H$2,Miljövärden!$B$2:$H$2,0),FALSE),"Nej, saknas")</f>
        <v>Nej</v>
      </c>
      <c r="P99" s="121" t="str">
        <f t="shared" si="2"/>
        <v>nej</v>
      </c>
      <c r="R99" s="121">
        <f t="shared" si="3"/>
        <v>90</v>
      </c>
    </row>
    <row r="100" spans="1:18" x14ac:dyDescent="0.25">
      <c r="A100" s="137" t="s">
        <v>324</v>
      </c>
      <c r="B100" s="137" t="s">
        <v>326</v>
      </c>
      <c r="C100" s="121">
        <f>IFERROR(VLOOKUP($B100,Miljövärden!$B$3:$H$552,MATCH(C$2,Miljövärden!$B$2:$H$2,0),FALSE),"Saknas")</f>
        <v>0.21677099999999999</v>
      </c>
      <c r="D100" s="121">
        <f>IFERROR(VLOOKUP($B100,Miljövärden!$B$3:$H$552,MATCH(D$2,Miljövärden!$B$2:$H$2,0),FALSE),"Saknas")</f>
        <v>65.121600000000001</v>
      </c>
      <c r="E100" s="121">
        <f>IFERROR(VLOOKUP($B100,Miljövärden!$B$3:$H$552,MATCH(E$2,Miljövärden!$B$2:$H$2,0),FALSE),"Saknas")</f>
        <v>7.9223600000000003</v>
      </c>
      <c r="F100" s="121">
        <f>IFERROR(VLOOKUP($B100,Miljövärden!$B$3:$H$552,MATCH(F$2,Miljövärden!$B$2:$H$2,0),FALSE),"Saknas")</f>
        <v>0.115129</v>
      </c>
      <c r="G100" s="121" t="str">
        <f>IFERROR(VLOOKUP($B100,Miljövärden!$B$3:$H$552,MATCH(G$2,Miljövärden!$B$2:$H$2,0),FALSE),"Nej, saknas")</f>
        <v>Nej</v>
      </c>
      <c r="H100" s="285" t="str">
        <f>IFERROR(VLOOKUP($B100,Miljövärden!$B$3:$H$552,MATCH(H$2,Miljövärden!$B$2:$H$2,0),FALSE),"Nej, saknas")</f>
        <v>Ja</v>
      </c>
      <c r="P100" s="121" t="str">
        <f t="shared" si="2"/>
        <v>ja</v>
      </c>
      <c r="R100" s="121">
        <f t="shared" si="3"/>
        <v>91</v>
      </c>
    </row>
    <row r="101" spans="1:18" x14ac:dyDescent="0.25">
      <c r="A101" s="137" t="s">
        <v>324</v>
      </c>
      <c r="B101" s="137" t="s">
        <v>328</v>
      </c>
      <c r="C101" s="121">
        <f>IFERROR(VLOOKUP($B101,Miljövärden!$B$3:$H$552,MATCH(C$2,Miljövärden!$B$2:$H$2,0),FALSE),"Saknas")</f>
        <v>7.2237899999999994E-2</v>
      </c>
      <c r="D101" s="121">
        <f>IFERROR(VLOOKUP($B101,Miljövärden!$B$3:$H$552,MATCH(D$2,Miljövärden!$B$2:$H$2,0),FALSE),"Saknas")</f>
        <v>3.88089</v>
      </c>
      <c r="E101" s="121">
        <f>IFERROR(VLOOKUP($B101,Miljövärden!$B$3:$H$552,MATCH(E$2,Miljövärden!$B$2:$H$2,0),FALSE),"Saknas")</f>
        <v>5.9069200000000004</v>
      </c>
      <c r="F101" s="121">
        <f>IFERROR(VLOOKUP($B101,Miljövärden!$B$3:$H$552,MATCH(F$2,Miljövärden!$B$2:$H$2,0),FALSE),"Saknas")</f>
        <v>0</v>
      </c>
      <c r="G101" s="121" t="str">
        <f>IFERROR(VLOOKUP($B101,Miljövärden!$B$3:$H$552,MATCH(G$2,Miljövärden!$B$2:$H$2,0),FALSE),"Nej, saknas")</f>
        <v>Ja</v>
      </c>
      <c r="H101" s="285" t="str">
        <f>IFERROR(VLOOKUP($B101,Miljövärden!$B$3:$H$552,MATCH(H$2,Miljövärden!$B$2:$H$2,0),FALSE),"Nej, saknas")</f>
        <v>Ja</v>
      </c>
      <c r="P101" s="121" t="str">
        <f t="shared" si="2"/>
        <v>ja</v>
      </c>
      <c r="R101" s="121">
        <f t="shared" si="3"/>
        <v>92</v>
      </c>
    </row>
    <row r="102" spans="1:18" x14ac:dyDescent="0.25">
      <c r="A102" s="137" t="s">
        <v>324</v>
      </c>
      <c r="B102" s="137" t="s">
        <v>324</v>
      </c>
      <c r="C102" s="121">
        <f>IFERROR(VLOOKUP($B102,Miljövärden!$B$3:$H$552,MATCH(C$2,Miljövärden!$B$2:$H$2,0),FALSE),"Saknas")</f>
        <v>0</v>
      </c>
      <c r="D102" s="121">
        <f>IFERROR(VLOOKUP($B102,Miljövärden!$B$3:$H$552,MATCH(D$2,Miljövärden!$B$2:$H$2,0),FALSE),"Saknas")</f>
        <v>0</v>
      </c>
      <c r="E102" s="121">
        <f>IFERROR(VLOOKUP($B102,Miljövärden!$B$3:$H$552,MATCH(E$2,Miljövärden!$B$2:$H$2,0),FALSE),"Saknas")</f>
        <v>0</v>
      </c>
      <c r="F102" s="121">
        <f>IFERROR(VLOOKUP($B102,Miljövärden!$B$3:$H$552,MATCH(F$2,Miljövärden!$B$2:$H$2,0),FALSE),"Saknas")</f>
        <v>0</v>
      </c>
      <c r="G102" s="121" t="str">
        <f>IFERROR(VLOOKUP($B102,Miljövärden!$B$3:$H$552,MATCH(G$2,Miljövärden!$B$2:$H$2,0),FALSE),"Nej, saknas")</f>
        <v>Nej</v>
      </c>
      <c r="H102" s="285" t="str">
        <f>IFERROR(VLOOKUP($B102,Miljövärden!$B$3:$H$552,MATCH(H$2,Miljövärden!$B$2:$H$2,0),FALSE),"Nej, saknas")</f>
        <v>Nej</v>
      </c>
      <c r="P102" s="121" t="str">
        <f t="shared" si="2"/>
        <v>nej</v>
      </c>
      <c r="R102" s="121">
        <f t="shared" si="3"/>
        <v>92</v>
      </c>
    </row>
    <row r="103" spans="1:18" x14ac:dyDescent="0.25">
      <c r="A103" s="137" t="s">
        <v>324</v>
      </c>
      <c r="B103" s="137" t="s">
        <v>329</v>
      </c>
      <c r="C103" s="121">
        <f>IFERROR(VLOOKUP($B103,Miljövärden!$B$3:$H$552,MATCH(C$2,Miljövärden!$B$2:$H$2,0),FALSE),"Saknas")</f>
        <v>0</v>
      </c>
      <c r="D103" s="121">
        <f>IFERROR(VLOOKUP($B103,Miljövärden!$B$3:$H$552,MATCH(D$2,Miljövärden!$B$2:$H$2,0),FALSE),"Saknas")</f>
        <v>0</v>
      </c>
      <c r="E103" s="121">
        <f>IFERROR(VLOOKUP($B103,Miljövärden!$B$3:$H$552,MATCH(E$2,Miljövärden!$B$2:$H$2,0),FALSE),"Saknas")</f>
        <v>0</v>
      </c>
      <c r="F103" s="121">
        <f>IFERROR(VLOOKUP($B103,Miljövärden!$B$3:$H$552,MATCH(F$2,Miljövärden!$B$2:$H$2,0),FALSE),"Saknas")</f>
        <v>0</v>
      </c>
      <c r="G103" s="121" t="str">
        <f>IFERROR(VLOOKUP($B103,Miljövärden!$B$3:$H$552,MATCH(G$2,Miljövärden!$B$2:$H$2,0),FALSE),"Nej, saknas")</f>
        <v>Nej</v>
      </c>
      <c r="H103" s="285" t="str">
        <f>IFERROR(VLOOKUP($B103,Miljövärden!$B$3:$H$552,MATCH(H$2,Miljövärden!$B$2:$H$2,0),FALSE),"Nej, saknas")</f>
        <v>Nej</v>
      </c>
      <c r="P103" s="121" t="str">
        <f t="shared" si="2"/>
        <v>nej</v>
      </c>
      <c r="R103" s="121">
        <f t="shared" si="3"/>
        <v>92</v>
      </c>
    </row>
    <row r="104" spans="1:18" x14ac:dyDescent="0.25">
      <c r="A104" s="137" t="s">
        <v>324</v>
      </c>
      <c r="B104" s="137" t="s">
        <v>330</v>
      </c>
      <c r="C104" s="121">
        <f>IFERROR(VLOOKUP($B104,Miljövärden!$B$3:$H$552,MATCH(C$2,Miljövärden!$B$2:$H$2,0),FALSE),"Saknas")</f>
        <v>0</v>
      </c>
      <c r="D104" s="121">
        <f>IFERROR(VLOOKUP($B104,Miljövärden!$B$3:$H$552,MATCH(D$2,Miljövärden!$B$2:$H$2,0),FALSE),"Saknas")</f>
        <v>0</v>
      </c>
      <c r="E104" s="121">
        <f>IFERROR(VLOOKUP($B104,Miljövärden!$B$3:$H$552,MATCH(E$2,Miljövärden!$B$2:$H$2,0),FALSE),"Saknas")</f>
        <v>0</v>
      </c>
      <c r="F104" s="121">
        <f>IFERROR(VLOOKUP($B104,Miljövärden!$B$3:$H$552,MATCH(F$2,Miljövärden!$B$2:$H$2,0),FALSE),"Saknas")</f>
        <v>0</v>
      </c>
      <c r="G104" s="121" t="str">
        <f>IFERROR(VLOOKUP($B104,Miljövärden!$B$3:$H$552,MATCH(G$2,Miljövärden!$B$2:$H$2,0),FALSE),"Nej, saknas")</f>
        <v>Nej</v>
      </c>
      <c r="H104" s="285" t="str">
        <f>IFERROR(VLOOKUP($B104,Miljövärden!$B$3:$H$552,MATCH(H$2,Miljövärden!$B$2:$H$2,0),FALSE),"Nej, saknas")</f>
        <v>Nej</v>
      </c>
      <c r="P104" s="121" t="str">
        <f t="shared" si="2"/>
        <v>nej</v>
      </c>
      <c r="R104" s="121">
        <f t="shared" si="3"/>
        <v>92</v>
      </c>
    </row>
    <row r="105" spans="1:18" x14ac:dyDescent="0.25">
      <c r="A105" s="137" t="s">
        <v>324</v>
      </c>
      <c r="B105" s="137" t="s">
        <v>331</v>
      </c>
      <c r="C105" s="121">
        <f>IFERROR(VLOOKUP($B105,Miljövärden!$B$3:$H$552,MATCH(C$2,Miljövärden!$B$2:$H$2,0),FALSE),"Saknas")</f>
        <v>0</v>
      </c>
      <c r="D105" s="121">
        <f>IFERROR(VLOOKUP($B105,Miljövärden!$B$3:$H$552,MATCH(D$2,Miljövärden!$B$2:$H$2,0),FALSE),"Saknas")</f>
        <v>0</v>
      </c>
      <c r="E105" s="121">
        <f>IFERROR(VLOOKUP($B105,Miljövärden!$B$3:$H$552,MATCH(E$2,Miljövärden!$B$2:$H$2,0),FALSE),"Saknas")</f>
        <v>0</v>
      </c>
      <c r="F105" s="121">
        <f>IFERROR(VLOOKUP($B105,Miljövärden!$B$3:$H$552,MATCH(F$2,Miljövärden!$B$2:$H$2,0),FALSE),"Saknas")</f>
        <v>0</v>
      </c>
      <c r="G105" s="121" t="str">
        <f>IFERROR(VLOOKUP($B105,Miljövärden!$B$3:$H$552,MATCH(G$2,Miljövärden!$B$2:$H$2,0),FALSE),"Nej, saknas")</f>
        <v>Nej</v>
      </c>
      <c r="H105" s="285" t="str">
        <f>IFERROR(VLOOKUP($B105,Miljövärden!$B$3:$H$552,MATCH(H$2,Miljövärden!$B$2:$H$2,0),FALSE),"Nej, saknas")</f>
        <v>Nej</v>
      </c>
      <c r="P105" s="121" t="str">
        <f t="shared" si="2"/>
        <v>nej</v>
      </c>
      <c r="R105" s="121">
        <f t="shared" si="3"/>
        <v>92</v>
      </c>
    </row>
    <row r="106" spans="1:18" x14ac:dyDescent="0.25">
      <c r="A106" s="137" t="s">
        <v>332</v>
      </c>
      <c r="B106" s="137" t="s">
        <v>333</v>
      </c>
      <c r="C106" s="121">
        <f>IFERROR(VLOOKUP($B106,Miljövärden!$B$3:$H$552,MATCH(C$2,Miljövärden!$B$2:$H$2,0),FALSE),"Saknas")</f>
        <v>0.11376500000000001</v>
      </c>
      <c r="D106" s="121">
        <f>IFERROR(VLOOKUP($B106,Miljövärden!$B$3:$H$552,MATCH(D$2,Miljövärden!$B$2:$H$2,0),FALSE),"Saknas")</f>
        <v>15.958600000000001</v>
      </c>
      <c r="E106" s="121">
        <f>IFERROR(VLOOKUP($B106,Miljövärden!$B$3:$H$552,MATCH(E$2,Miljövärden!$B$2:$H$2,0),FALSE),"Saknas")</f>
        <v>9.1673799999999996</v>
      </c>
      <c r="F106" s="121">
        <f>IFERROR(VLOOKUP($B106,Miljövärden!$B$3:$H$552,MATCH(F$2,Miljövärden!$B$2:$H$2,0),FALSE),"Saknas")</f>
        <v>3.0377100000000001E-2</v>
      </c>
      <c r="G106" s="121" t="str">
        <f>IFERROR(VLOOKUP($B106,Miljövärden!$B$3:$H$552,MATCH(G$2,Miljövärden!$B$2:$H$2,0),FALSE),"Nej, saknas")</f>
        <v>Ja</v>
      </c>
      <c r="H106" s="285" t="str">
        <f>IFERROR(VLOOKUP($B106,Miljövärden!$B$3:$H$552,MATCH(H$2,Miljövärden!$B$2:$H$2,0),FALSE),"Nej, saknas")</f>
        <v>Ja</v>
      </c>
      <c r="P106" s="121" t="str">
        <f t="shared" si="2"/>
        <v>ja</v>
      </c>
      <c r="R106" s="121">
        <f t="shared" si="3"/>
        <v>93</v>
      </c>
    </row>
    <row r="107" spans="1:18" x14ac:dyDescent="0.25">
      <c r="A107" s="137" t="s">
        <v>332</v>
      </c>
      <c r="B107" s="137" t="s">
        <v>334</v>
      </c>
      <c r="C107" s="121">
        <f>IFERROR(VLOOKUP($B107,Miljövärden!$B$3:$H$552,MATCH(C$2,Miljövärden!$B$2:$H$2,0),FALSE),"Saknas")</f>
        <v>7.8107800000000005E-2</v>
      </c>
      <c r="D107" s="121">
        <f>IFERROR(VLOOKUP($B107,Miljövärden!$B$3:$H$552,MATCH(D$2,Miljövärden!$B$2:$H$2,0),FALSE),"Saknas")</f>
        <v>9.5684500000000003</v>
      </c>
      <c r="E107" s="121">
        <f>IFERROR(VLOOKUP($B107,Miljövärden!$B$3:$H$552,MATCH(E$2,Miljövärden!$B$2:$H$2,0),FALSE),"Saknas")</f>
        <v>1.6845000000000001</v>
      </c>
      <c r="F107" s="121">
        <f>IFERROR(VLOOKUP($B107,Miljövärden!$B$3:$H$552,MATCH(F$2,Miljövärden!$B$2:$H$2,0),FALSE),"Saknas")</f>
        <v>2.5436199999999999E-2</v>
      </c>
      <c r="G107" s="121" t="str">
        <f>IFERROR(VLOOKUP($B107,Miljövärden!$B$3:$H$552,MATCH(G$2,Miljövärden!$B$2:$H$2,0),FALSE),"Nej, saknas")</f>
        <v>Ja</v>
      </c>
      <c r="H107" s="285" t="str">
        <f>IFERROR(VLOOKUP($B107,Miljövärden!$B$3:$H$552,MATCH(H$2,Miljövärden!$B$2:$H$2,0),FALSE),"Nej, saknas")</f>
        <v>Ja</v>
      </c>
      <c r="P107" s="121" t="str">
        <f t="shared" si="2"/>
        <v>ja</v>
      </c>
      <c r="R107" s="121">
        <f t="shared" si="3"/>
        <v>94</v>
      </c>
    </row>
    <row r="108" spans="1:18" x14ac:dyDescent="0.25">
      <c r="A108" s="137" t="s">
        <v>335</v>
      </c>
      <c r="B108" s="137" t="s">
        <v>336</v>
      </c>
      <c r="C108" s="121">
        <f>IFERROR(VLOOKUP($B108,Miljövärden!$B$3:$H$552,MATCH(C$2,Miljövärden!$B$2:$H$2,0),FALSE),"Saknas")</f>
        <v>6.1173699999999998E-2</v>
      </c>
      <c r="D108" s="121">
        <f>IFERROR(VLOOKUP($B108,Miljövärden!$B$3:$H$552,MATCH(D$2,Miljövärden!$B$2:$H$2,0),FALSE),"Saknas")</f>
        <v>6.0328600000000003</v>
      </c>
      <c r="E108" s="121">
        <f>IFERROR(VLOOKUP($B108,Miljövärden!$B$3:$H$552,MATCH(E$2,Miljövärden!$B$2:$H$2,0),FALSE),"Saknas")</f>
        <v>10.694800000000001</v>
      </c>
      <c r="F108" s="121">
        <f>IFERROR(VLOOKUP($B108,Miljövärden!$B$3:$H$552,MATCH(F$2,Miljövärden!$B$2:$H$2,0),FALSE),"Saknas")</f>
        <v>0</v>
      </c>
      <c r="G108" s="121" t="str">
        <f>IFERROR(VLOOKUP($B108,Miljövärden!$B$3:$H$552,MATCH(G$2,Miljövärden!$B$2:$H$2,0),FALSE),"Nej, saknas")</f>
        <v>Nej</v>
      </c>
      <c r="H108" s="285" t="str">
        <f>IFERROR(VLOOKUP($B108,Miljövärden!$B$3:$H$552,MATCH(H$2,Miljövärden!$B$2:$H$2,0),FALSE),"Nej, saknas")</f>
        <v>Ja</v>
      </c>
      <c r="P108" s="121" t="str">
        <f t="shared" si="2"/>
        <v>ja</v>
      </c>
      <c r="R108" s="121">
        <f t="shared" si="3"/>
        <v>95</v>
      </c>
    </row>
    <row r="109" spans="1:18" x14ac:dyDescent="0.25">
      <c r="A109" s="137" t="s">
        <v>337</v>
      </c>
      <c r="B109" s="137" t="s">
        <v>338</v>
      </c>
      <c r="C109" s="121">
        <f>IFERROR(VLOOKUP($B109,Miljövärden!$B$3:$H$552,MATCH(C$2,Miljövärden!$B$2:$H$2,0),FALSE),"Saknas")</f>
        <v>0.136492</v>
      </c>
      <c r="D109" s="121">
        <f>IFERROR(VLOOKUP($B109,Miljövärden!$B$3:$H$552,MATCH(D$2,Miljövärden!$B$2:$H$2,0),FALSE),"Saknas")</f>
        <v>24.0245</v>
      </c>
      <c r="E109" s="121">
        <f>IFERROR(VLOOKUP($B109,Miljövärden!$B$3:$H$552,MATCH(E$2,Miljövärden!$B$2:$H$2,0),FALSE),"Saknas")</f>
        <v>10.9512</v>
      </c>
      <c r="F109" s="121">
        <f>IFERROR(VLOOKUP($B109,Miljövärden!$B$3:$H$552,MATCH(F$2,Miljövärden!$B$2:$H$2,0),FALSE),"Saknas")</f>
        <v>3.0816699999999999E-2</v>
      </c>
      <c r="G109" s="121" t="str">
        <f>IFERROR(VLOOKUP($B109,Miljövärden!$B$3:$H$552,MATCH(G$2,Miljövärden!$B$2:$H$2,0),FALSE),"Nej, saknas")</f>
        <v>Ja</v>
      </c>
      <c r="H109" s="285" t="str">
        <f>IFERROR(VLOOKUP($B109,Miljövärden!$B$3:$H$552,MATCH(H$2,Miljövärden!$B$2:$H$2,0),FALSE),"Nej, saknas")</f>
        <v>Ja</v>
      </c>
      <c r="P109" s="121" t="str">
        <f t="shared" si="2"/>
        <v>ja</v>
      </c>
      <c r="R109" s="121">
        <f t="shared" si="3"/>
        <v>96</v>
      </c>
    </row>
    <row r="110" spans="1:18" x14ac:dyDescent="0.25">
      <c r="A110" s="137" t="s">
        <v>337</v>
      </c>
      <c r="B110" s="137" t="s">
        <v>339</v>
      </c>
      <c r="C110" s="121">
        <f>IFERROR(VLOOKUP($B110,Miljövärden!$B$3:$H$552,MATCH(C$2,Miljövärden!$B$2:$H$2,0),FALSE),"Saknas")</f>
        <v>0.26883699999999999</v>
      </c>
      <c r="D110" s="121">
        <f>IFERROR(VLOOKUP($B110,Miljövärden!$B$3:$H$552,MATCH(D$2,Miljövärden!$B$2:$H$2,0),FALSE),"Saknas")</f>
        <v>47.651200000000003</v>
      </c>
      <c r="E110" s="121">
        <f>IFERROR(VLOOKUP($B110,Miljövärden!$B$3:$H$552,MATCH(E$2,Miljövärden!$B$2:$H$2,0),FALSE),"Saknas")</f>
        <v>14.8378</v>
      </c>
      <c r="F110" s="121">
        <f>IFERROR(VLOOKUP($B110,Miljövärden!$B$3:$H$552,MATCH(F$2,Miljövärden!$B$2:$H$2,0),FALSE),"Saknas")</f>
        <v>0.14099600000000001</v>
      </c>
      <c r="G110" s="121" t="str">
        <f>IFERROR(VLOOKUP($B110,Miljövärden!$B$3:$H$552,MATCH(G$2,Miljövärden!$B$2:$H$2,0),FALSE),"Nej, saknas")</f>
        <v>Ja</v>
      </c>
      <c r="H110" s="285" t="str">
        <f>IFERROR(VLOOKUP($B110,Miljövärden!$B$3:$H$552,MATCH(H$2,Miljövärden!$B$2:$H$2,0),FALSE),"Nej, saknas")</f>
        <v>Ja</v>
      </c>
      <c r="P110" s="121" t="str">
        <f t="shared" si="2"/>
        <v>ja</v>
      </c>
      <c r="R110" s="121">
        <f t="shared" si="3"/>
        <v>97</v>
      </c>
    </row>
    <row r="111" spans="1:18" x14ac:dyDescent="0.25">
      <c r="A111" s="137" t="s">
        <v>337</v>
      </c>
      <c r="B111" s="137" t="s">
        <v>340</v>
      </c>
      <c r="C111" s="121">
        <f>IFERROR(VLOOKUP($B111,Miljövärden!$B$3:$H$552,MATCH(C$2,Miljövärden!$B$2:$H$2,0),FALSE),"Saknas")</f>
        <v>0.34431499999999998</v>
      </c>
      <c r="D111" s="121">
        <f>IFERROR(VLOOKUP($B111,Miljövärden!$B$3:$H$552,MATCH(D$2,Miljövärden!$B$2:$H$2,0),FALSE),"Saknas")</f>
        <v>56.631599999999999</v>
      </c>
      <c r="E111" s="121">
        <f>IFERROR(VLOOKUP($B111,Miljövärden!$B$3:$H$552,MATCH(E$2,Miljövärden!$B$2:$H$2,0),FALSE),"Saknas")</f>
        <v>15.7874</v>
      </c>
      <c r="F111" s="121">
        <f>IFERROR(VLOOKUP($B111,Miljövärden!$B$3:$H$552,MATCH(F$2,Miljövärden!$B$2:$H$2,0),FALSE),"Saknas")</f>
        <v>0.16361200000000001</v>
      </c>
      <c r="G111" s="121" t="str">
        <f>IFERROR(VLOOKUP($B111,Miljövärden!$B$3:$H$552,MATCH(G$2,Miljövärden!$B$2:$H$2,0),FALSE),"Nej, saknas")</f>
        <v>Ja</v>
      </c>
      <c r="H111" s="285" t="str">
        <f>IFERROR(VLOOKUP($B111,Miljövärden!$B$3:$H$552,MATCH(H$2,Miljövärden!$B$2:$H$2,0),FALSE),"Nej, saknas")</f>
        <v>Ja</v>
      </c>
      <c r="P111" s="121" t="str">
        <f t="shared" si="2"/>
        <v>ja</v>
      </c>
      <c r="R111" s="121">
        <f t="shared" si="3"/>
        <v>98</v>
      </c>
    </row>
    <row r="112" spans="1:18" x14ac:dyDescent="0.25">
      <c r="A112" s="137" t="s">
        <v>341</v>
      </c>
      <c r="B112" s="137" t="s">
        <v>342</v>
      </c>
      <c r="C112" s="121">
        <f>IFERROR(VLOOKUP($B112,Miljövärden!$B$3:$H$552,MATCH(C$2,Miljövärden!$B$2:$H$2,0),FALSE),"Saknas")</f>
        <v>9.0389999999999998E-2</v>
      </c>
      <c r="D112" s="121">
        <f>IFERROR(VLOOKUP($B112,Miljövärden!$B$3:$H$552,MATCH(D$2,Miljövärden!$B$2:$H$2,0),FALSE),"Saknas")</f>
        <v>101.444</v>
      </c>
      <c r="E112" s="121">
        <f>IFERROR(VLOOKUP($B112,Miljövärden!$B$3:$H$552,MATCH(E$2,Miljövärden!$B$2:$H$2,0),FALSE),"Saknas")</f>
        <v>4.7256499999999999</v>
      </c>
      <c r="F112" s="121">
        <f>IFERROR(VLOOKUP($B112,Miljövärden!$B$3:$H$552,MATCH(F$2,Miljövärden!$B$2:$H$2,0),FALSE),"Saknas")</f>
        <v>1.3587600000000001E-3</v>
      </c>
      <c r="G112" s="121" t="str">
        <f>IFERROR(VLOOKUP($B112,Miljövärden!$B$3:$H$552,MATCH(G$2,Miljövärden!$B$2:$H$2,0),FALSE),"Nej, saknas")</f>
        <v>Ja</v>
      </c>
      <c r="H112" s="285" t="str">
        <f>IFERROR(VLOOKUP($B112,Miljövärden!$B$3:$H$552,MATCH(H$2,Miljövärden!$B$2:$H$2,0),FALSE),"Nej, saknas")</f>
        <v>Ja</v>
      </c>
      <c r="P112" s="121" t="str">
        <f t="shared" si="2"/>
        <v>ja</v>
      </c>
      <c r="R112" s="121">
        <f t="shared" si="3"/>
        <v>99</v>
      </c>
    </row>
    <row r="113" spans="1:18" x14ac:dyDescent="0.25">
      <c r="A113" s="137" t="s">
        <v>343</v>
      </c>
      <c r="B113" s="137" t="s">
        <v>344</v>
      </c>
      <c r="C113" s="121">
        <f>IFERROR(VLOOKUP($B113,Miljövärden!$B$3:$H$552,MATCH(C$2,Miljövärden!$B$2:$H$2,0),FALSE),"Saknas")</f>
        <v>0.166161</v>
      </c>
      <c r="D113" s="121">
        <f>IFERROR(VLOOKUP($B113,Miljövärden!$B$3:$H$552,MATCH(D$2,Miljövärden!$B$2:$H$2,0),FALSE),"Saknas")</f>
        <v>51.086300000000001</v>
      </c>
      <c r="E113" s="121">
        <f>IFERROR(VLOOKUP($B113,Miljövärden!$B$3:$H$552,MATCH(E$2,Miljövärden!$B$2:$H$2,0),FALSE),"Saknas")</f>
        <v>7.9993600000000002</v>
      </c>
      <c r="F113" s="121">
        <f>IFERROR(VLOOKUP($B113,Miljövärden!$B$3:$H$552,MATCH(F$2,Miljövärden!$B$2:$H$2,0),FALSE),"Saknas")</f>
        <v>1.1488099999999999E-2</v>
      </c>
      <c r="G113" s="121" t="str">
        <f>IFERROR(VLOOKUP($B113,Miljövärden!$B$3:$H$552,MATCH(G$2,Miljövärden!$B$2:$H$2,0),FALSE),"Nej, saknas")</f>
        <v>Nej</v>
      </c>
      <c r="H113" s="285" t="str">
        <f>IFERROR(VLOOKUP($B113,Miljövärden!$B$3:$H$552,MATCH(H$2,Miljövärden!$B$2:$H$2,0),FALSE),"Nej, saknas")</f>
        <v>Ja</v>
      </c>
      <c r="P113" s="121" t="str">
        <f t="shared" si="2"/>
        <v>ja</v>
      </c>
      <c r="R113" s="121">
        <f t="shared" si="3"/>
        <v>100</v>
      </c>
    </row>
    <row r="114" spans="1:18" x14ac:dyDescent="0.25">
      <c r="A114" s="137" t="s">
        <v>345</v>
      </c>
      <c r="B114" s="137" t="s">
        <v>346</v>
      </c>
      <c r="C114" s="121">
        <f>IFERROR(VLOOKUP($B114,Miljövärden!$B$3:$H$552,MATCH(C$2,Miljövärden!$B$2:$H$2,0),FALSE),"Saknas")</f>
        <v>0.20399</v>
      </c>
      <c r="D114" s="121">
        <f>IFERROR(VLOOKUP($B114,Miljövärden!$B$3:$H$552,MATCH(D$2,Miljövärden!$B$2:$H$2,0),FALSE),"Saknas")</f>
        <v>7.5695499999999996</v>
      </c>
      <c r="E114" s="121">
        <f>IFERROR(VLOOKUP($B114,Miljövärden!$B$3:$H$552,MATCH(E$2,Miljövärden!$B$2:$H$2,0),FALSE),"Saknas")</f>
        <v>14.017200000000001</v>
      </c>
      <c r="F114" s="121">
        <f>IFERROR(VLOOKUP($B114,Miljövärden!$B$3:$H$552,MATCH(F$2,Miljövärden!$B$2:$H$2,0),FALSE),"Saknas")</f>
        <v>2.88588E-3</v>
      </c>
      <c r="G114" s="121" t="str">
        <f>IFERROR(VLOOKUP($B114,Miljövärden!$B$3:$H$552,MATCH(G$2,Miljövärden!$B$2:$H$2,0),FALSE),"Nej, saknas")</f>
        <v>Nej</v>
      </c>
      <c r="H114" s="285" t="str">
        <f>IFERROR(VLOOKUP($B114,Miljövärden!$B$3:$H$552,MATCH(H$2,Miljövärden!$B$2:$H$2,0),FALSE),"Nej, saknas")</f>
        <v>Ja</v>
      </c>
      <c r="P114" s="121" t="str">
        <f t="shared" si="2"/>
        <v>ja</v>
      </c>
      <c r="R114" s="121">
        <f t="shared" si="3"/>
        <v>101</v>
      </c>
    </row>
    <row r="115" spans="1:18" x14ac:dyDescent="0.25">
      <c r="A115" s="137" t="s">
        <v>345</v>
      </c>
      <c r="B115" s="137" t="s">
        <v>347</v>
      </c>
      <c r="C115" s="121">
        <f>IFERROR(VLOOKUP($B115,Miljövärden!$B$3:$H$552,MATCH(C$2,Miljövärden!$B$2:$H$2,0),FALSE),"Saknas")</f>
        <v>1.44814</v>
      </c>
      <c r="D115" s="121">
        <f>IFERROR(VLOOKUP($B115,Miljövärden!$B$3:$H$552,MATCH(D$2,Miljövärden!$B$2:$H$2,0),FALSE),"Saknas")</f>
        <v>549.90200000000004</v>
      </c>
      <c r="E115" s="121">
        <f>IFERROR(VLOOKUP($B115,Miljövärden!$B$3:$H$552,MATCH(E$2,Miljövärden!$B$2:$H$2,0),FALSE),"Saknas")</f>
        <v>54.185099999999998</v>
      </c>
      <c r="F115" s="121">
        <f>IFERROR(VLOOKUP($B115,Miljövärden!$B$3:$H$552,MATCH(F$2,Miljövärden!$B$2:$H$2,0),FALSE),"Saknas")</f>
        <v>1.5839599999999999E-2</v>
      </c>
      <c r="G115" s="121" t="str">
        <f>IFERROR(VLOOKUP($B115,Miljövärden!$B$3:$H$552,MATCH(G$2,Miljövärden!$B$2:$H$2,0),FALSE),"Nej, saknas")</f>
        <v>Nej</v>
      </c>
      <c r="H115" s="285" t="str">
        <f>IFERROR(VLOOKUP($B115,Miljövärden!$B$3:$H$552,MATCH(H$2,Miljövärden!$B$2:$H$2,0),FALSE),"Nej, saknas")</f>
        <v>Ja</v>
      </c>
      <c r="P115" s="121" t="str">
        <f t="shared" si="2"/>
        <v>ja</v>
      </c>
      <c r="R115" s="121">
        <f t="shared" si="3"/>
        <v>102</v>
      </c>
    </row>
    <row r="116" spans="1:18" x14ac:dyDescent="0.25">
      <c r="A116" s="137" t="s">
        <v>348</v>
      </c>
      <c r="B116" s="137" t="s">
        <v>349</v>
      </c>
      <c r="C116" s="121">
        <f>IFERROR(VLOOKUP($B116,Miljövärden!$B$3:$H$552,MATCH(C$2,Miljövärden!$B$2:$H$2,0),FALSE),"Saknas")</f>
        <v>0.15521799999999999</v>
      </c>
      <c r="D116" s="121">
        <f>IFERROR(VLOOKUP($B116,Miljövärden!$B$3:$H$552,MATCH(D$2,Miljövärden!$B$2:$H$2,0),FALSE),"Saknas")</f>
        <v>25.213799999999999</v>
      </c>
      <c r="E116" s="121">
        <f>IFERROR(VLOOKUP($B116,Miljövärden!$B$3:$H$552,MATCH(E$2,Miljövärden!$B$2:$H$2,0),FALSE),"Saknas")</f>
        <v>8.0285799999999998</v>
      </c>
      <c r="F116" s="121">
        <f>IFERROR(VLOOKUP($B116,Miljövärden!$B$3:$H$552,MATCH(F$2,Miljövärden!$B$2:$H$2,0),FALSE),"Saknas")</f>
        <v>3.6027200000000002E-2</v>
      </c>
      <c r="G116" s="121" t="str">
        <f>IFERROR(VLOOKUP($B116,Miljövärden!$B$3:$H$552,MATCH(G$2,Miljövärden!$B$2:$H$2,0),FALSE),"Nej, saknas")</f>
        <v>Ja</v>
      </c>
      <c r="H116" s="285" t="str">
        <f>IFERROR(VLOOKUP($B116,Miljövärden!$B$3:$H$552,MATCH(H$2,Miljövärden!$B$2:$H$2,0),FALSE),"Nej, saknas")</f>
        <v>Ja</v>
      </c>
      <c r="P116" s="121" t="str">
        <f t="shared" si="2"/>
        <v>ja</v>
      </c>
      <c r="R116" s="121">
        <f t="shared" si="3"/>
        <v>103</v>
      </c>
    </row>
    <row r="117" spans="1:18" x14ac:dyDescent="0.25">
      <c r="A117" s="137" t="s">
        <v>348</v>
      </c>
      <c r="B117" s="137" t="s">
        <v>350</v>
      </c>
      <c r="C117" s="121">
        <f>IFERROR(VLOOKUP($B117,Miljövärden!$B$3:$H$552,MATCH(C$2,Miljövärden!$B$2:$H$2,0),FALSE),"Saknas")</f>
        <v>0.12710199999999999</v>
      </c>
      <c r="D117" s="121">
        <f>IFERROR(VLOOKUP($B117,Miljövärden!$B$3:$H$552,MATCH(D$2,Miljövärden!$B$2:$H$2,0),FALSE),"Saknas")</f>
        <v>20.4756</v>
      </c>
      <c r="E117" s="121">
        <f>IFERROR(VLOOKUP($B117,Miljövärden!$B$3:$H$552,MATCH(E$2,Miljövärden!$B$2:$H$2,0),FALSE),"Saknas")</f>
        <v>9.2443100000000005</v>
      </c>
      <c r="F117" s="121">
        <f>IFERROR(VLOOKUP($B117,Miljövärden!$B$3:$H$552,MATCH(F$2,Miljövärden!$B$2:$H$2,0),FALSE),"Saknas")</f>
        <v>2.77986E-2</v>
      </c>
      <c r="G117" s="121" t="str">
        <f>IFERROR(VLOOKUP($B117,Miljövärden!$B$3:$H$552,MATCH(G$2,Miljövärden!$B$2:$H$2,0),FALSE),"Nej, saknas")</f>
        <v>Ja</v>
      </c>
      <c r="H117" s="285" t="str">
        <f>IFERROR(VLOOKUP($B117,Miljövärden!$B$3:$H$552,MATCH(H$2,Miljövärden!$B$2:$H$2,0),FALSE),"Nej, saknas")</f>
        <v>Ja</v>
      </c>
      <c r="P117" s="121" t="str">
        <f t="shared" si="2"/>
        <v>ja</v>
      </c>
      <c r="R117" s="121">
        <f t="shared" si="3"/>
        <v>104</v>
      </c>
    </row>
    <row r="118" spans="1:18" x14ac:dyDescent="0.25">
      <c r="A118" s="137" t="s">
        <v>348</v>
      </c>
      <c r="B118" s="137" t="s">
        <v>351</v>
      </c>
      <c r="C118" s="121">
        <f>IFERROR(VLOOKUP($B118,Miljövärden!$B$3:$H$552,MATCH(C$2,Miljövärden!$B$2:$H$2,0),FALSE),"Saknas")</f>
        <v>0.17220299999999999</v>
      </c>
      <c r="D118" s="121">
        <f>IFERROR(VLOOKUP($B118,Miljövärden!$B$3:$H$552,MATCH(D$2,Miljövärden!$B$2:$H$2,0),FALSE),"Saknas")</f>
        <v>32.482999999999997</v>
      </c>
      <c r="E118" s="121">
        <f>IFERROR(VLOOKUP($B118,Miljövärden!$B$3:$H$552,MATCH(E$2,Miljövärden!$B$2:$H$2,0),FALSE),"Saknas")</f>
        <v>9.6652000000000005</v>
      </c>
      <c r="F118" s="121">
        <f>IFERROR(VLOOKUP($B118,Miljövärden!$B$3:$H$552,MATCH(F$2,Miljövärden!$B$2:$H$2,0),FALSE),"Saknas")</f>
        <v>6.8420700000000001E-2</v>
      </c>
      <c r="G118" s="121" t="str">
        <f>IFERROR(VLOOKUP($B118,Miljövärden!$B$3:$H$552,MATCH(G$2,Miljövärden!$B$2:$H$2,0),FALSE),"Nej, saknas")</f>
        <v>Ja</v>
      </c>
      <c r="H118" s="285" t="str">
        <f>IFERROR(VLOOKUP($B118,Miljövärden!$B$3:$H$552,MATCH(H$2,Miljövärden!$B$2:$H$2,0),FALSE),"Nej, saknas")</f>
        <v>Ja</v>
      </c>
      <c r="P118" s="121" t="str">
        <f t="shared" si="2"/>
        <v>ja</v>
      </c>
      <c r="R118" s="121">
        <f t="shared" si="3"/>
        <v>105</v>
      </c>
    </row>
    <row r="119" spans="1:18" x14ac:dyDescent="0.25">
      <c r="A119" s="137" t="s">
        <v>348</v>
      </c>
      <c r="B119" s="137" t="s">
        <v>352</v>
      </c>
      <c r="C119" s="121">
        <f>IFERROR(VLOOKUP($B119,Miljövärden!$B$3:$H$552,MATCH(C$2,Miljövärden!$B$2:$H$2,0),FALSE),"Saknas")</f>
        <v>0.17802599999999999</v>
      </c>
      <c r="D119" s="121">
        <f>IFERROR(VLOOKUP($B119,Miljövärden!$B$3:$H$552,MATCH(D$2,Miljövärden!$B$2:$H$2,0),FALSE),"Saknas")</f>
        <v>29.973299999999998</v>
      </c>
      <c r="E119" s="121">
        <f>IFERROR(VLOOKUP($B119,Miljövärden!$B$3:$H$552,MATCH(E$2,Miljövärden!$B$2:$H$2,0),FALSE),"Saknas")</f>
        <v>7.9977</v>
      </c>
      <c r="F119" s="121">
        <f>IFERROR(VLOOKUP($B119,Miljövärden!$B$3:$H$552,MATCH(F$2,Miljövärden!$B$2:$H$2,0),FALSE),"Saknas")</f>
        <v>5.1295399999999998E-2</v>
      </c>
      <c r="G119" s="121" t="str">
        <f>IFERROR(VLOOKUP($B119,Miljövärden!$B$3:$H$552,MATCH(G$2,Miljövärden!$B$2:$H$2,0),FALSE),"Nej, saknas")</f>
        <v>Ja</v>
      </c>
      <c r="H119" s="285" t="str">
        <f>IFERROR(VLOOKUP($B119,Miljövärden!$B$3:$H$552,MATCH(H$2,Miljövärden!$B$2:$H$2,0),FALSE),"Nej, saknas")</f>
        <v>Ja</v>
      </c>
      <c r="P119" s="121" t="str">
        <f t="shared" si="2"/>
        <v>ja</v>
      </c>
      <c r="R119" s="121">
        <f t="shared" si="3"/>
        <v>106</v>
      </c>
    </row>
    <row r="120" spans="1:18" x14ac:dyDescent="0.25">
      <c r="A120" s="137" t="s">
        <v>353</v>
      </c>
      <c r="B120" s="137" t="s">
        <v>78</v>
      </c>
      <c r="C120" s="121">
        <f>IFERROR(VLOOKUP($B120,Miljövärden!$B$3:$H$552,MATCH(C$2,Miljövärden!$B$2:$H$2,0),FALSE),"Saknas")</f>
        <v>7.7061900000000003E-2</v>
      </c>
      <c r="D120" s="121">
        <f>IFERROR(VLOOKUP($B120,Miljövärden!$B$3:$H$552,MATCH(D$2,Miljövärden!$B$2:$H$2,0),FALSE),"Saknas")</f>
        <v>13.5288</v>
      </c>
      <c r="E120" s="121">
        <f>IFERROR(VLOOKUP($B120,Miljövärden!$B$3:$H$552,MATCH(E$2,Miljövärden!$B$2:$H$2,0),FALSE),"Saknas")</f>
        <v>10.316800000000001</v>
      </c>
      <c r="F120" s="121">
        <f>IFERROR(VLOOKUP($B120,Miljövärden!$B$3:$H$552,MATCH(F$2,Miljövärden!$B$2:$H$2,0),FALSE),"Saknas")</f>
        <v>1.9530100000000002E-2</v>
      </c>
      <c r="G120" s="121" t="str">
        <f>IFERROR(VLOOKUP($B120,Miljövärden!$B$3:$H$552,MATCH(G$2,Miljövärden!$B$2:$H$2,0),FALSE),"Nej, saknas")</f>
        <v>Nej</v>
      </c>
      <c r="H120" s="285" t="str">
        <f>IFERROR(VLOOKUP($B120,Miljövärden!$B$3:$H$552,MATCH(H$2,Miljövärden!$B$2:$H$2,0),FALSE),"Nej, saknas")</f>
        <v>Ja</v>
      </c>
      <c r="P120" s="121" t="str">
        <f t="shared" si="2"/>
        <v>ja</v>
      </c>
      <c r="R120" s="121">
        <f t="shared" si="3"/>
        <v>107</v>
      </c>
    </row>
    <row r="121" spans="1:18" x14ac:dyDescent="0.25">
      <c r="A121" s="137" t="s">
        <v>354</v>
      </c>
      <c r="B121" s="137" t="s">
        <v>355</v>
      </c>
      <c r="C121" s="121">
        <f>IFERROR(VLOOKUP($B121,Miljövärden!$B$3:$H$552,MATCH(C$2,Miljövärden!$B$2:$H$2,0),FALSE),"Saknas")</f>
        <v>7.6287999999999995E-2</v>
      </c>
      <c r="D121" s="121">
        <f>IFERROR(VLOOKUP($B121,Miljövärden!$B$3:$H$552,MATCH(D$2,Miljövärden!$B$2:$H$2,0),FALSE),"Saknas")</f>
        <v>7.4157099999999998</v>
      </c>
      <c r="E121" s="121">
        <f>IFERROR(VLOOKUP($B121,Miljövärden!$B$3:$H$552,MATCH(E$2,Miljövärden!$B$2:$H$2,0),FALSE),"Saknas")</f>
        <v>9.0249900000000007</v>
      </c>
      <c r="F121" s="121">
        <f>IFERROR(VLOOKUP($B121,Miljövärden!$B$3:$H$552,MATCH(F$2,Miljövärden!$B$2:$H$2,0),FALSE),"Saknas")</f>
        <v>6.0020400000000002E-3</v>
      </c>
      <c r="G121" s="121" t="str">
        <f>IFERROR(VLOOKUP($B121,Miljövärden!$B$3:$H$552,MATCH(G$2,Miljövärden!$B$2:$H$2,0),FALSE),"Nej, saknas")</f>
        <v>Ja</v>
      </c>
      <c r="H121" s="285" t="str">
        <f>IFERROR(VLOOKUP($B121,Miljövärden!$B$3:$H$552,MATCH(H$2,Miljövärden!$B$2:$H$2,0),FALSE),"Nej, saknas")</f>
        <v>Ja</v>
      </c>
      <c r="P121" s="121" t="str">
        <f t="shared" si="2"/>
        <v>ja</v>
      </c>
      <c r="R121" s="121">
        <f t="shared" si="3"/>
        <v>108</v>
      </c>
    </row>
    <row r="122" spans="1:18" x14ac:dyDescent="0.25">
      <c r="A122" s="137" t="s">
        <v>356</v>
      </c>
      <c r="B122" s="137" t="s">
        <v>357</v>
      </c>
      <c r="C122" s="121">
        <f>IFERROR(VLOOKUP($B122,Miljövärden!$B$3:$H$552,MATCH(C$2,Miljövärden!$B$2:$H$2,0),FALSE),"Saknas")</f>
        <v>0.16745699999999999</v>
      </c>
      <c r="D122" s="121">
        <f>IFERROR(VLOOKUP($B122,Miljövärden!$B$3:$H$552,MATCH(D$2,Miljövärden!$B$2:$H$2,0),FALSE),"Saknas")</f>
        <v>56.367699999999999</v>
      </c>
      <c r="E122" s="121">
        <f>IFERROR(VLOOKUP($B122,Miljövärden!$B$3:$H$552,MATCH(E$2,Miljövärden!$B$2:$H$2,0),FALSE),"Saknas")</f>
        <v>9.4693100000000001</v>
      </c>
      <c r="F122" s="121">
        <f>IFERROR(VLOOKUP($B122,Miljövärden!$B$3:$H$552,MATCH(F$2,Miljövärden!$B$2:$H$2,0),FALSE),"Saknas")</f>
        <v>1.17705E-2</v>
      </c>
      <c r="G122" s="121" t="str">
        <f>IFERROR(VLOOKUP($B122,Miljövärden!$B$3:$H$552,MATCH(G$2,Miljövärden!$B$2:$H$2,0),FALSE),"Nej, saknas")</f>
        <v>Ja</v>
      </c>
      <c r="H122" s="285" t="str">
        <f>IFERROR(VLOOKUP($B122,Miljövärden!$B$3:$H$552,MATCH(H$2,Miljövärden!$B$2:$H$2,0),FALSE),"Nej, saknas")</f>
        <v>Ja</v>
      </c>
      <c r="P122" s="121" t="str">
        <f t="shared" si="2"/>
        <v>ja</v>
      </c>
      <c r="R122" s="121">
        <f t="shared" si="3"/>
        <v>109</v>
      </c>
    </row>
    <row r="123" spans="1:18" x14ac:dyDescent="0.25">
      <c r="A123" s="137" t="s">
        <v>358</v>
      </c>
      <c r="B123" s="137" t="s">
        <v>359</v>
      </c>
      <c r="C123" s="121">
        <f>IFERROR(VLOOKUP($B123,Miljövärden!$B$3:$H$552,MATCH(C$2,Miljövärden!$B$2:$H$2,0),FALSE),"Saknas")</f>
        <v>9.9837999999999996E-2</v>
      </c>
      <c r="D123" s="121">
        <f>IFERROR(VLOOKUP($B123,Miljövärden!$B$3:$H$552,MATCH(D$2,Miljövärden!$B$2:$H$2,0),FALSE),"Saknas")</f>
        <v>96.654700000000005</v>
      </c>
      <c r="E123" s="121">
        <f>IFERROR(VLOOKUP($B123,Miljövärden!$B$3:$H$552,MATCH(E$2,Miljövärden!$B$2:$H$2,0),FALSE),"Saknas")</f>
        <v>5.87174</v>
      </c>
      <c r="F123" s="121">
        <f>IFERROR(VLOOKUP($B123,Miljövärden!$B$3:$H$552,MATCH(F$2,Miljövärden!$B$2:$H$2,0),FALSE),"Saknas")</f>
        <v>4.6521799999999997E-3</v>
      </c>
      <c r="G123" s="121" t="str">
        <f>IFERROR(VLOOKUP($B123,Miljövärden!$B$3:$H$552,MATCH(G$2,Miljövärden!$B$2:$H$2,0),FALSE),"Nej, saknas")</f>
        <v>Ja</v>
      </c>
      <c r="H123" s="285" t="str">
        <f>IFERROR(VLOOKUP($B123,Miljövärden!$B$3:$H$552,MATCH(H$2,Miljövärden!$B$2:$H$2,0),FALSE),"Nej, saknas")</f>
        <v>Ja</v>
      </c>
      <c r="P123" s="121" t="str">
        <f t="shared" si="2"/>
        <v>ja</v>
      </c>
      <c r="R123" s="121">
        <f t="shared" si="3"/>
        <v>110</v>
      </c>
    </row>
    <row r="124" spans="1:18" x14ac:dyDescent="0.25">
      <c r="A124" s="137" t="s">
        <v>358</v>
      </c>
      <c r="B124" s="137" t="s">
        <v>360</v>
      </c>
      <c r="C124" s="121">
        <f>IFERROR(VLOOKUP($B124,Miljövärden!$B$3:$H$552,MATCH(C$2,Miljövärden!$B$2:$H$2,0),FALSE),"Saknas")</f>
        <v>7.6952900000000005E-2</v>
      </c>
      <c r="D124" s="121">
        <f>IFERROR(VLOOKUP($B124,Miljövärden!$B$3:$H$552,MATCH(D$2,Miljövärden!$B$2:$H$2,0),FALSE),"Saknas")</f>
        <v>5.6906100000000004</v>
      </c>
      <c r="E124" s="121">
        <f>IFERROR(VLOOKUP($B124,Miljövärden!$B$3:$H$552,MATCH(E$2,Miljövärden!$B$2:$H$2,0),FALSE),"Saknas")</f>
        <v>10.001200000000001</v>
      </c>
      <c r="F124" s="121">
        <f>IFERROR(VLOOKUP($B124,Miljövärden!$B$3:$H$552,MATCH(F$2,Miljövärden!$B$2:$H$2,0),FALSE),"Saknas")</f>
        <v>0</v>
      </c>
      <c r="G124" s="121" t="str">
        <f>IFERROR(VLOOKUP($B124,Miljövärden!$B$3:$H$552,MATCH(G$2,Miljövärden!$B$2:$H$2,0),FALSE),"Nej, saknas")</f>
        <v>Nej</v>
      </c>
      <c r="H124" s="285" t="str">
        <f>IFERROR(VLOOKUP($B124,Miljövärden!$B$3:$H$552,MATCH(H$2,Miljövärden!$B$2:$H$2,0),FALSE),"Nej, saknas")</f>
        <v>Ja</v>
      </c>
      <c r="P124" s="121" t="str">
        <f t="shared" si="2"/>
        <v>ja</v>
      </c>
      <c r="R124" s="121">
        <f t="shared" si="3"/>
        <v>111</v>
      </c>
    </row>
    <row r="125" spans="1:18" x14ac:dyDescent="0.25">
      <c r="A125" s="137" t="s">
        <v>362</v>
      </c>
      <c r="B125" s="137" t="s">
        <v>363</v>
      </c>
      <c r="C125" s="121">
        <f>IFERROR(VLOOKUP($B125,Miljövärden!$B$3:$H$552,MATCH(C$2,Miljövärden!$B$2:$H$2,0),FALSE),"Saknas")</f>
        <v>1.5989099999999999E-2</v>
      </c>
      <c r="D125" s="121">
        <f>IFERROR(VLOOKUP($B125,Miljövärden!$B$3:$H$552,MATCH(D$2,Miljövärden!$B$2:$H$2,0),FALSE),"Saknas")</f>
        <v>0.214388</v>
      </c>
      <c r="E125" s="121">
        <f>IFERROR(VLOOKUP($B125,Miljövärden!$B$3:$H$552,MATCH(E$2,Miljövärden!$B$2:$H$2,0),FALSE),"Saknas")</f>
        <v>0.60380299999999998</v>
      </c>
      <c r="F125" s="121">
        <f>IFERROR(VLOOKUP($B125,Miljövärden!$B$3:$H$552,MATCH(F$2,Miljövärden!$B$2:$H$2,0),FALSE),"Saknas")</f>
        <v>2.8238500000000001E-4</v>
      </c>
      <c r="G125" s="121" t="str">
        <f>IFERROR(VLOOKUP($B125,Miljövärden!$B$3:$H$552,MATCH(G$2,Miljövärden!$B$2:$H$2,0),FALSE),"Nej, saknas")</f>
        <v>Ja</v>
      </c>
      <c r="H125" s="285" t="str">
        <f>IFERROR(VLOOKUP($B125,Miljövärden!$B$3:$H$552,MATCH(H$2,Miljövärden!$B$2:$H$2,0),FALSE),"Nej, saknas")</f>
        <v>Ja</v>
      </c>
      <c r="P125" s="121" t="str">
        <f t="shared" si="2"/>
        <v>ja</v>
      </c>
      <c r="R125" s="121">
        <f t="shared" si="3"/>
        <v>112</v>
      </c>
    </row>
    <row r="126" spans="1:18" x14ac:dyDescent="0.25">
      <c r="A126" s="137" t="s">
        <v>364</v>
      </c>
      <c r="B126" s="137" t="s">
        <v>365</v>
      </c>
      <c r="C126" s="121">
        <f>IFERROR(VLOOKUP($B126,Miljövärden!$B$3:$H$552,MATCH(C$2,Miljövärden!$B$2:$H$2,0),FALSE),"Saknas")</f>
        <v>0.14491399999999999</v>
      </c>
      <c r="D126" s="121">
        <f>IFERROR(VLOOKUP($B126,Miljövärden!$B$3:$H$552,MATCH(D$2,Miljövärden!$B$2:$H$2,0),FALSE),"Saknas")</f>
        <v>19.665099999999999</v>
      </c>
      <c r="E126" s="121">
        <f>IFERROR(VLOOKUP($B126,Miljövärden!$B$3:$H$552,MATCH(E$2,Miljövärden!$B$2:$H$2,0),FALSE),"Saknas")</f>
        <v>10.045999999999999</v>
      </c>
      <c r="F126" s="121">
        <f>IFERROR(VLOOKUP($B126,Miljövärden!$B$3:$H$552,MATCH(F$2,Miljövärden!$B$2:$H$2,0),FALSE),"Saknas")</f>
        <v>1.66473E-2</v>
      </c>
      <c r="G126" s="121" t="str">
        <f>IFERROR(VLOOKUP($B126,Miljövärden!$B$3:$H$552,MATCH(G$2,Miljövärden!$B$2:$H$2,0),FALSE),"Nej, saknas")</f>
        <v>Nej</v>
      </c>
      <c r="H126" s="285" t="str">
        <f>IFERROR(VLOOKUP($B126,Miljövärden!$B$3:$H$552,MATCH(H$2,Miljövärden!$B$2:$H$2,0),FALSE),"Nej, saknas")</f>
        <v>Ja</v>
      </c>
      <c r="P126" s="121" t="str">
        <f t="shared" si="2"/>
        <v>ja</v>
      </c>
      <c r="R126" s="121">
        <f t="shared" si="3"/>
        <v>113</v>
      </c>
    </row>
    <row r="127" spans="1:18" x14ac:dyDescent="0.25">
      <c r="A127" s="137" t="s">
        <v>366</v>
      </c>
      <c r="B127" s="137" t="s">
        <v>367</v>
      </c>
      <c r="C127" s="121">
        <f>IFERROR(VLOOKUP($B127,Miljövärden!$B$3:$H$552,MATCH(C$2,Miljövärden!$B$2:$H$2,0),FALSE),"Saknas")</f>
        <v>0</v>
      </c>
      <c r="D127" s="121">
        <f>IFERROR(VLOOKUP($B127,Miljövärden!$B$3:$H$552,MATCH(D$2,Miljövärden!$B$2:$H$2,0),FALSE),"Saknas")</f>
        <v>0</v>
      </c>
      <c r="E127" s="121">
        <f>IFERROR(VLOOKUP($B127,Miljövärden!$B$3:$H$552,MATCH(E$2,Miljövärden!$B$2:$H$2,0),FALSE),"Saknas")</f>
        <v>0</v>
      </c>
      <c r="F127" s="121">
        <f>IFERROR(VLOOKUP($B127,Miljövärden!$B$3:$H$552,MATCH(F$2,Miljövärden!$B$2:$H$2,0),FALSE),"Saknas")</f>
        <v>0</v>
      </c>
      <c r="G127" s="121" t="str">
        <f>IFERROR(VLOOKUP($B127,Miljövärden!$B$3:$H$552,MATCH(G$2,Miljövärden!$B$2:$H$2,0),FALSE),"Nej, saknas")</f>
        <v>Ja</v>
      </c>
      <c r="H127" s="285" t="str">
        <f>IFERROR(VLOOKUP($B127,Miljövärden!$B$3:$H$552,MATCH(H$2,Miljövärden!$B$2:$H$2,0),FALSE),"Nej, saknas")</f>
        <v>Nej</v>
      </c>
      <c r="P127" s="121" t="str">
        <f t="shared" si="2"/>
        <v>nej</v>
      </c>
      <c r="R127" s="121">
        <f t="shared" si="3"/>
        <v>113</v>
      </c>
    </row>
    <row r="128" spans="1:18" x14ac:dyDescent="0.25">
      <c r="A128" s="137" t="s">
        <v>366</v>
      </c>
      <c r="B128" s="137" t="s">
        <v>368</v>
      </c>
      <c r="C128" s="121">
        <f>IFERROR(VLOOKUP($B128,Miljövärden!$B$3:$H$552,MATCH(C$2,Miljövärden!$B$2:$H$2,0),FALSE),"Saknas")</f>
        <v>0.160965</v>
      </c>
      <c r="D128" s="121">
        <f>IFERROR(VLOOKUP($B128,Miljövärden!$B$3:$H$552,MATCH(D$2,Miljövärden!$B$2:$H$2,0),FALSE),"Saknas")</f>
        <v>9.5484899999999993</v>
      </c>
      <c r="E128" s="121">
        <f>IFERROR(VLOOKUP($B128,Miljövärden!$B$3:$H$552,MATCH(E$2,Miljövärden!$B$2:$H$2,0),FALSE),"Saknas")</f>
        <v>12.0413</v>
      </c>
      <c r="F128" s="121">
        <f>IFERROR(VLOOKUP($B128,Miljövärden!$B$3:$H$552,MATCH(F$2,Miljövärden!$B$2:$H$2,0),FALSE),"Saknas")</f>
        <v>1.1535800000000001E-2</v>
      </c>
      <c r="G128" s="121" t="str">
        <f>IFERROR(VLOOKUP($B128,Miljövärden!$B$3:$H$552,MATCH(G$2,Miljövärden!$B$2:$H$2,0),FALSE),"Nej, saknas")</f>
        <v>Ja</v>
      </c>
      <c r="H128" s="285" t="str">
        <f>IFERROR(VLOOKUP($B128,Miljövärden!$B$3:$H$552,MATCH(H$2,Miljövärden!$B$2:$H$2,0),FALSE),"Nej, saknas")</f>
        <v>Ja</v>
      </c>
      <c r="P128" s="121" t="str">
        <f t="shared" si="2"/>
        <v>ja</v>
      </c>
      <c r="R128" s="121">
        <f t="shared" si="3"/>
        <v>114</v>
      </c>
    </row>
    <row r="129" spans="1:18" x14ac:dyDescent="0.25">
      <c r="A129" s="137" t="s">
        <v>366</v>
      </c>
      <c r="B129" s="137" t="s">
        <v>369</v>
      </c>
      <c r="C129" s="121">
        <f>IFERROR(VLOOKUP($B129,Miljövärden!$B$3:$H$552,MATCH(C$2,Miljövärden!$B$2:$H$2,0),FALSE),"Saknas")</f>
        <v>9.9132300000000007E-2</v>
      </c>
      <c r="D129" s="121">
        <f>IFERROR(VLOOKUP($B129,Miljövärden!$B$3:$H$552,MATCH(D$2,Miljövärden!$B$2:$H$2,0),FALSE),"Saknas")</f>
        <v>6.2797200000000002</v>
      </c>
      <c r="E129" s="121">
        <f>IFERROR(VLOOKUP($B129,Miljövärden!$B$3:$H$552,MATCH(E$2,Miljövärden!$B$2:$H$2,0),FALSE),"Saknas")</f>
        <v>9.9527999999999999</v>
      </c>
      <c r="F129" s="121">
        <f>IFERROR(VLOOKUP($B129,Miljövärden!$B$3:$H$552,MATCH(F$2,Miljövärden!$B$2:$H$2,0),FALSE),"Saknas")</f>
        <v>3.65782E-3</v>
      </c>
      <c r="G129" s="121" t="str">
        <f>IFERROR(VLOOKUP($B129,Miljövärden!$B$3:$H$552,MATCH(G$2,Miljövärden!$B$2:$H$2,0),FALSE),"Nej, saknas")</f>
        <v>Ja</v>
      </c>
      <c r="H129" s="285" t="str">
        <f>IFERROR(VLOOKUP($B129,Miljövärden!$B$3:$H$552,MATCH(H$2,Miljövärden!$B$2:$H$2,0),FALSE),"Nej, saknas")</f>
        <v>Ja</v>
      </c>
      <c r="P129" s="121" t="str">
        <f t="shared" si="2"/>
        <v>ja</v>
      </c>
      <c r="R129" s="121">
        <f t="shared" si="3"/>
        <v>115</v>
      </c>
    </row>
    <row r="130" spans="1:18" x14ac:dyDescent="0.25">
      <c r="A130" s="137" t="s">
        <v>366</v>
      </c>
      <c r="B130" s="137" t="s">
        <v>370</v>
      </c>
      <c r="C130" s="121">
        <f>IFERROR(VLOOKUP($B130,Miljövärden!$B$3:$H$552,MATCH(C$2,Miljövärden!$B$2:$H$2,0),FALSE),"Saknas")</f>
        <v>0.13127900000000001</v>
      </c>
      <c r="D130" s="121">
        <f>IFERROR(VLOOKUP($B130,Miljövärden!$B$3:$H$552,MATCH(D$2,Miljövärden!$B$2:$H$2,0),FALSE),"Saknas")</f>
        <v>28.7864</v>
      </c>
      <c r="E130" s="121">
        <f>IFERROR(VLOOKUP($B130,Miljövärden!$B$3:$H$552,MATCH(E$2,Miljövärden!$B$2:$H$2,0),FALSE),"Saknas")</f>
        <v>6.6769299999999996</v>
      </c>
      <c r="F130" s="121">
        <f>IFERROR(VLOOKUP($B130,Miljövärden!$B$3:$H$552,MATCH(F$2,Miljövärden!$B$2:$H$2,0),FALSE),"Saknas")</f>
        <v>1.9982E-2</v>
      </c>
      <c r="G130" s="121" t="str">
        <f>IFERROR(VLOOKUP($B130,Miljövärden!$B$3:$H$552,MATCH(G$2,Miljövärden!$B$2:$H$2,0),FALSE),"Nej, saknas")</f>
        <v>Ja</v>
      </c>
      <c r="H130" s="285" t="str">
        <f>IFERROR(VLOOKUP($B130,Miljövärden!$B$3:$H$552,MATCH(H$2,Miljövärden!$B$2:$H$2,0),FALSE),"Nej, saknas")</f>
        <v>Ja</v>
      </c>
      <c r="P130" s="121" t="str">
        <f t="shared" si="2"/>
        <v>ja</v>
      </c>
      <c r="R130" s="121">
        <f t="shared" si="3"/>
        <v>116</v>
      </c>
    </row>
    <row r="131" spans="1:18" x14ac:dyDescent="0.25">
      <c r="A131" s="137" t="s">
        <v>371</v>
      </c>
      <c r="B131" s="137" t="s">
        <v>81</v>
      </c>
      <c r="C131" s="121">
        <f>IFERROR(VLOOKUP($B131,Miljövärden!$B$3:$H$552,MATCH(C$2,Miljövärden!$B$2:$H$2,0),FALSE),"Saknas")</f>
        <v>0.15041499999999999</v>
      </c>
      <c r="D131" s="121">
        <f>IFERROR(VLOOKUP($B131,Miljövärden!$B$3:$H$552,MATCH(D$2,Miljövärden!$B$2:$H$2,0),FALSE),"Saknas")</f>
        <v>20.239599999999999</v>
      </c>
      <c r="E131" s="121">
        <f>IFERROR(VLOOKUP($B131,Miljövärden!$B$3:$H$552,MATCH(E$2,Miljövärden!$B$2:$H$2,0),FALSE),"Saknas")</f>
        <v>11.8004</v>
      </c>
      <c r="F131" s="121">
        <f>IFERROR(VLOOKUP($B131,Miljövärden!$B$3:$H$552,MATCH(F$2,Miljövärden!$B$2:$H$2,0),FALSE),"Saknas")</f>
        <v>2.00901E-2</v>
      </c>
      <c r="G131" s="121" t="str">
        <f>IFERROR(VLOOKUP($B131,Miljövärden!$B$3:$H$552,MATCH(G$2,Miljövärden!$B$2:$H$2,0),FALSE),"Nej, saknas")</f>
        <v>Nej</v>
      </c>
      <c r="H131" s="285" t="str">
        <f>IFERROR(VLOOKUP($B131,Miljövärden!$B$3:$H$552,MATCH(H$2,Miljövärden!$B$2:$H$2,0),FALSE),"Nej, saknas")</f>
        <v>Ja</v>
      </c>
      <c r="P131" s="121" t="str">
        <f t="shared" si="2"/>
        <v>ja</v>
      </c>
      <c r="R131" s="121">
        <f t="shared" si="3"/>
        <v>117</v>
      </c>
    </row>
    <row r="132" spans="1:18" x14ac:dyDescent="0.25">
      <c r="A132" s="137" t="s">
        <v>372</v>
      </c>
      <c r="B132" s="137" t="s">
        <v>373</v>
      </c>
      <c r="C132" s="121">
        <f>IFERROR(VLOOKUP($B132,Miljövärden!$B$3:$H$552,MATCH(C$2,Miljövärden!$B$2:$H$2,0),FALSE),"Saknas")</f>
        <v>0.14960699999999999</v>
      </c>
      <c r="D132" s="121">
        <f>IFERROR(VLOOKUP($B132,Miljövärden!$B$3:$H$552,MATCH(D$2,Miljövärden!$B$2:$H$2,0),FALSE),"Saknas")</f>
        <v>11.651300000000001</v>
      </c>
      <c r="E132" s="121">
        <f>IFERROR(VLOOKUP($B132,Miljövärden!$B$3:$H$552,MATCH(E$2,Miljövärden!$B$2:$H$2,0),FALSE),"Saknas")</f>
        <v>9.6923100000000009</v>
      </c>
      <c r="F132" s="121">
        <f>IFERROR(VLOOKUP($B132,Miljövärden!$B$3:$H$552,MATCH(F$2,Miljövärden!$B$2:$H$2,0),FALSE),"Saknas")</f>
        <v>1.51188E-2</v>
      </c>
      <c r="G132" s="121" t="str">
        <f>IFERROR(VLOOKUP($B132,Miljövärden!$B$3:$H$552,MATCH(G$2,Miljövärden!$B$2:$H$2,0),FALSE),"Nej, saknas")</f>
        <v>Nej</v>
      </c>
      <c r="H132" s="285" t="str">
        <f>IFERROR(VLOOKUP($B132,Miljövärden!$B$3:$H$552,MATCH(H$2,Miljövärden!$B$2:$H$2,0),FALSE),"Nej, saknas")</f>
        <v>Ja</v>
      </c>
      <c r="P132" s="121" t="str">
        <f t="shared" ref="P132:P195" si="4">IF(K132="x","nej",
IF(L132="x","ja",
IF(H132="ja","ja","nej")))</f>
        <v>ja</v>
      </c>
      <c r="R132" s="121">
        <f t="shared" ref="R132:R195" si="5">IF(ISERROR(P132),R131,IF(P132="ja",R131+1,R131))</f>
        <v>118</v>
      </c>
    </row>
    <row r="133" spans="1:18" x14ac:dyDescent="0.25">
      <c r="A133" s="137" t="s">
        <v>372</v>
      </c>
      <c r="B133" s="137" t="s">
        <v>374</v>
      </c>
      <c r="C133" s="121">
        <f>IFERROR(VLOOKUP($B133,Miljövärden!$B$3:$H$552,MATCH(C$2,Miljövärden!$B$2:$H$2,0),FALSE),"Saknas")</f>
        <v>0.159631</v>
      </c>
      <c r="D133" s="121">
        <f>IFERROR(VLOOKUP($B133,Miljövärden!$B$3:$H$552,MATCH(D$2,Miljövärden!$B$2:$H$2,0),FALSE),"Saknas")</f>
        <v>56.293100000000003</v>
      </c>
      <c r="E133" s="121">
        <f>IFERROR(VLOOKUP($B133,Miljövärden!$B$3:$H$552,MATCH(E$2,Miljövärden!$B$2:$H$2,0),FALSE),"Saknas")</f>
        <v>5.7362399999999996</v>
      </c>
      <c r="F133" s="121">
        <f>IFERROR(VLOOKUP($B133,Miljövärden!$B$3:$H$552,MATCH(F$2,Miljövärden!$B$2:$H$2,0),FALSE),"Saknas")</f>
        <v>2.32248E-2</v>
      </c>
      <c r="G133" s="121" t="str">
        <f>IFERROR(VLOOKUP($B133,Miljövärden!$B$3:$H$552,MATCH(G$2,Miljövärden!$B$2:$H$2,0),FALSE),"Nej, saknas")</f>
        <v>Ja</v>
      </c>
      <c r="H133" s="285" t="str">
        <f>IFERROR(VLOOKUP($B133,Miljövärden!$B$3:$H$552,MATCH(H$2,Miljövärden!$B$2:$H$2,0),FALSE),"Nej, saknas")</f>
        <v>Ja</v>
      </c>
      <c r="P133" s="121" t="str">
        <f t="shared" si="4"/>
        <v>ja</v>
      </c>
      <c r="R133" s="121">
        <f t="shared" si="5"/>
        <v>119</v>
      </c>
    </row>
    <row r="134" spans="1:18" x14ac:dyDescent="0.25">
      <c r="A134" s="137" t="s">
        <v>372</v>
      </c>
      <c r="B134" s="137" t="s">
        <v>375</v>
      </c>
      <c r="C134" s="121">
        <f>IFERROR(VLOOKUP($B134,Miljövärden!$B$3:$H$552,MATCH(C$2,Miljövärden!$B$2:$H$2,0),FALSE),"Saknas")</f>
        <v>0.25990400000000002</v>
      </c>
      <c r="D134" s="121">
        <f>IFERROR(VLOOKUP($B134,Miljövärden!$B$3:$H$552,MATCH(D$2,Miljövärden!$B$2:$H$2,0),FALSE),"Saknas")</f>
        <v>17.515899999999998</v>
      </c>
      <c r="E134" s="121">
        <f>IFERROR(VLOOKUP($B134,Miljövärden!$B$3:$H$552,MATCH(E$2,Miljövärden!$B$2:$H$2,0),FALSE),"Saknas")</f>
        <v>20.465</v>
      </c>
      <c r="F134" s="121">
        <f>IFERROR(VLOOKUP($B134,Miljövärden!$B$3:$H$552,MATCH(F$2,Miljövärden!$B$2:$H$2,0),FALSE),"Saknas")</f>
        <v>3.0434800000000001E-2</v>
      </c>
      <c r="G134" s="121" t="str">
        <f>IFERROR(VLOOKUP($B134,Miljövärden!$B$3:$H$552,MATCH(G$2,Miljövärden!$B$2:$H$2,0),FALSE),"Nej, saknas")</f>
        <v>Nej</v>
      </c>
      <c r="H134" s="285" t="str">
        <f>IFERROR(VLOOKUP($B134,Miljövärden!$B$3:$H$552,MATCH(H$2,Miljövärden!$B$2:$H$2,0),FALSE),"Nej, saknas")</f>
        <v>Ja</v>
      </c>
      <c r="P134" s="121" t="str">
        <f t="shared" si="4"/>
        <v>ja</v>
      </c>
      <c r="R134" s="121">
        <f t="shared" si="5"/>
        <v>120</v>
      </c>
    </row>
    <row r="135" spans="1:18" x14ac:dyDescent="0.25">
      <c r="A135" s="137" t="s">
        <v>376</v>
      </c>
      <c r="B135" s="137" t="s">
        <v>377</v>
      </c>
      <c r="C135" s="121">
        <f>IFERROR(VLOOKUP($B135,Miljövärden!$B$3:$H$552,MATCH(C$2,Miljövärden!$B$2:$H$2,0),FALSE),"Saknas")</f>
        <v>8.6381899999999998E-2</v>
      </c>
      <c r="D135" s="121">
        <f>IFERROR(VLOOKUP($B135,Miljövärden!$B$3:$H$552,MATCH(D$2,Miljövärden!$B$2:$H$2,0),FALSE),"Saknas")</f>
        <v>4.0436699999999997</v>
      </c>
      <c r="E135" s="121">
        <f>IFERROR(VLOOKUP($B135,Miljövärden!$B$3:$H$552,MATCH(E$2,Miljövärden!$B$2:$H$2,0),FALSE),"Saknas")</f>
        <v>6.5823299999999998</v>
      </c>
      <c r="F135" s="121">
        <f>IFERROR(VLOOKUP($B135,Miljövärden!$B$3:$H$552,MATCH(F$2,Miljövärden!$B$2:$H$2,0),FALSE),"Saknas")</f>
        <v>3.6148399999999998E-3</v>
      </c>
      <c r="G135" s="121" t="str">
        <f>IFERROR(VLOOKUP($B135,Miljövärden!$B$3:$H$552,MATCH(G$2,Miljövärden!$B$2:$H$2,0),FALSE),"Nej, saknas")</f>
        <v>Ja</v>
      </c>
      <c r="H135" s="285" t="str">
        <f>IFERROR(VLOOKUP($B135,Miljövärden!$B$3:$H$552,MATCH(H$2,Miljövärden!$B$2:$H$2,0),FALSE),"Nej, saknas")</f>
        <v>Ja</v>
      </c>
      <c r="P135" s="121" t="str">
        <f t="shared" si="4"/>
        <v>ja</v>
      </c>
      <c r="R135" s="121">
        <f t="shared" si="5"/>
        <v>121</v>
      </c>
    </row>
    <row r="136" spans="1:18" x14ac:dyDescent="0.25">
      <c r="A136" s="137" t="s">
        <v>378</v>
      </c>
      <c r="B136" s="137" t="s">
        <v>84</v>
      </c>
      <c r="C136" s="121">
        <f>IFERROR(VLOOKUP($B136,Miljövärden!$B$3:$H$552,MATCH(C$2,Miljövärden!$B$2:$H$2,0),FALSE),"Saknas")</f>
        <v>0.16819999999999999</v>
      </c>
      <c r="D136" s="121">
        <f>IFERROR(VLOOKUP($B136,Miljövärden!$B$3:$H$552,MATCH(D$2,Miljövärden!$B$2:$H$2,0),FALSE),"Saknas")</f>
        <v>26.191099999999999</v>
      </c>
      <c r="E136" s="121">
        <f>IFERROR(VLOOKUP($B136,Miljövärden!$B$3:$H$552,MATCH(E$2,Miljövärden!$B$2:$H$2,0),FALSE),"Saknas")</f>
        <v>9.9466900000000003</v>
      </c>
      <c r="F136" s="121">
        <f>IFERROR(VLOOKUP($B136,Miljövärden!$B$3:$H$552,MATCH(F$2,Miljövärden!$B$2:$H$2,0),FALSE),"Saknas")</f>
        <v>3.7897199999999999E-2</v>
      </c>
      <c r="G136" s="121" t="str">
        <f>IFERROR(VLOOKUP($B136,Miljövärden!$B$3:$H$552,MATCH(G$2,Miljövärden!$B$2:$H$2,0),FALSE),"Nej, saknas")</f>
        <v>Nej</v>
      </c>
      <c r="H136" s="285" t="str">
        <f>IFERROR(VLOOKUP($B136,Miljövärden!$B$3:$H$552,MATCH(H$2,Miljövärden!$B$2:$H$2,0),FALSE),"Nej, saknas")</f>
        <v>Ja</v>
      </c>
      <c r="P136" s="121" t="str">
        <f t="shared" si="4"/>
        <v>ja</v>
      </c>
      <c r="R136" s="121">
        <f t="shared" si="5"/>
        <v>122</v>
      </c>
    </row>
    <row r="137" spans="1:18" x14ac:dyDescent="0.25">
      <c r="A137" s="137" t="s">
        <v>380</v>
      </c>
      <c r="B137" s="137" t="s">
        <v>381</v>
      </c>
      <c r="C137" s="121">
        <f>IFERROR(VLOOKUP($B137,Miljövärden!$B$3:$H$552,MATCH(C$2,Miljövärden!$B$2:$H$2,0),FALSE),"Saknas")</f>
        <v>3.15584E-2</v>
      </c>
      <c r="D137" s="121">
        <f>IFERROR(VLOOKUP($B137,Miljövärden!$B$3:$H$552,MATCH(D$2,Miljövärden!$B$2:$H$2,0),FALSE),"Saknas")</f>
        <v>4.9435799999999999</v>
      </c>
      <c r="E137" s="121">
        <f>IFERROR(VLOOKUP($B137,Miljövärden!$B$3:$H$552,MATCH(E$2,Miljövärden!$B$2:$H$2,0),FALSE),"Saknas")</f>
        <v>1.5379799999999999</v>
      </c>
      <c r="F137" s="121">
        <f>IFERROR(VLOOKUP($B137,Miljövärden!$B$3:$H$552,MATCH(F$2,Miljövärden!$B$2:$H$2,0),FALSE),"Saknas")</f>
        <v>1.6313000000000001E-2</v>
      </c>
      <c r="G137" s="121" t="str">
        <f>IFERROR(VLOOKUP($B137,Miljövärden!$B$3:$H$552,MATCH(G$2,Miljövärden!$B$2:$H$2,0),FALSE),"Nej, saknas")</f>
        <v>Ja</v>
      </c>
      <c r="H137" s="285" t="str">
        <f>IFERROR(VLOOKUP($B137,Miljövärden!$B$3:$H$552,MATCH(H$2,Miljövärden!$B$2:$H$2,0),FALSE),"Nej, saknas")</f>
        <v>Ja</v>
      </c>
      <c r="P137" s="121" t="str">
        <f t="shared" si="4"/>
        <v>ja</v>
      </c>
      <c r="R137" s="121">
        <f t="shared" si="5"/>
        <v>123</v>
      </c>
    </row>
    <row r="138" spans="1:18" x14ac:dyDescent="0.25">
      <c r="A138" s="137" t="s">
        <v>382</v>
      </c>
      <c r="B138" s="137" t="s">
        <v>87</v>
      </c>
      <c r="C138" s="121">
        <f>IFERROR(VLOOKUP($B138,Miljövärden!$B$3:$H$552,MATCH(C$2,Miljövärden!$B$2:$H$2,0),FALSE),"Saknas")</f>
        <v>0.32860299999999998</v>
      </c>
      <c r="D138" s="121">
        <f>IFERROR(VLOOKUP($B138,Miljövärden!$B$3:$H$552,MATCH(D$2,Miljövärden!$B$2:$H$2,0),FALSE),"Saknas")</f>
        <v>118.545</v>
      </c>
      <c r="E138" s="121">
        <f>IFERROR(VLOOKUP($B138,Miljövärden!$B$3:$H$552,MATCH(E$2,Miljövärden!$B$2:$H$2,0),FALSE),"Saknas")</f>
        <v>10.9161</v>
      </c>
      <c r="F138" s="121">
        <f>IFERROR(VLOOKUP($B138,Miljövärden!$B$3:$H$552,MATCH(F$2,Miljövärden!$B$2:$H$2,0),FALSE),"Saknas")</f>
        <v>4.7862500000000002E-2</v>
      </c>
      <c r="G138" s="121" t="str">
        <f>IFERROR(VLOOKUP($B138,Miljövärden!$B$3:$H$552,MATCH(G$2,Miljövärden!$B$2:$H$2,0),FALSE),"Nej, saknas")</f>
        <v>Ja</v>
      </c>
      <c r="H138" s="285" t="str">
        <f>IFERROR(VLOOKUP($B138,Miljövärden!$B$3:$H$552,MATCH(H$2,Miljövärden!$B$2:$H$2,0),FALSE),"Nej, saknas")</f>
        <v>Ja</v>
      </c>
      <c r="P138" s="121" t="str">
        <f t="shared" si="4"/>
        <v>ja</v>
      </c>
      <c r="R138" s="121">
        <f t="shared" si="5"/>
        <v>124</v>
      </c>
    </row>
    <row r="139" spans="1:18" x14ac:dyDescent="0.25">
      <c r="A139" s="137" t="s">
        <v>383</v>
      </c>
      <c r="B139" s="137" t="s">
        <v>384</v>
      </c>
      <c r="C139" s="121">
        <f>IFERROR(VLOOKUP($B139,Miljövärden!$B$3:$H$552,MATCH(C$2,Miljövärden!$B$2:$H$2,0),FALSE),"Saknas")</f>
        <v>0.11104</v>
      </c>
      <c r="D139" s="121">
        <f>IFERROR(VLOOKUP($B139,Miljövärden!$B$3:$H$552,MATCH(D$2,Miljövärden!$B$2:$H$2,0),FALSE),"Saknas")</f>
        <v>41.955399999999997</v>
      </c>
      <c r="E139" s="121">
        <f>IFERROR(VLOOKUP($B139,Miljövärden!$B$3:$H$552,MATCH(E$2,Miljövärden!$B$2:$H$2,0),FALSE),"Saknas")</f>
        <v>5.29406</v>
      </c>
      <c r="F139" s="121">
        <f>IFERROR(VLOOKUP($B139,Miljövärden!$B$3:$H$552,MATCH(F$2,Miljövärden!$B$2:$H$2,0),FALSE),"Saknas")</f>
        <v>1.2768E-2</v>
      </c>
      <c r="G139" s="121" t="str">
        <f>IFERROR(VLOOKUP($B139,Miljövärden!$B$3:$H$552,MATCH(G$2,Miljövärden!$B$2:$H$2,0),FALSE),"Nej, saknas")</f>
        <v>Ja</v>
      </c>
      <c r="H139" s="285" t="str">
        <f>IFERROR(VLOOKUP($B139,Miljövärden!$B$3:$H$552,MATCH(H$2,Miljövärden!$B$2:$H$2,0),FALSE),"Nej, saknas")</f>
        <v>Ja</v>
      </c>
      <c r="P139" s="121" t="str">
        <f t="shared" si="4"/>
        <v>ja</v>
      </c>
      <c r="R139" s="121">
        <f t="shared" si="5"/>
        <v>125</v>
      </c>
    </row>
    <row r="140" spans="1:18" x14ac:dyDescent="0.25">
      <c r="A140" s="137" t="s">
        <v>385</v>
      </c>
      <c r="B140" s="137" t="s">
        <v>386</v>
      </c>
      <c r="C140" s="121">
        <f>IFERROR(VLOOKUP($B140,Miljövärden!$B$3:$H$552,MATCH(C$2,Miljövärden!$B$2:$H$2,0),FALSE),"Saknas")</f>
        <v>0.16110099999999999</v>
      </c>
      <c r="D140" s="121">
        <f>IFERROR(VLOOKUP($B140,Miljövärden!$B$3:$H$552,MATCH(D$2,Miljövärden!$B$2:$H$2,0),FALSE),"Saknas")</f>
        <v>9.4329800000000006</v>
      </c>
      <c r="E140" s="121">
        <f>IFERROR(VLOOKUP($B140,Miljövärden!$B$3:$H$552,MATCH(E$2,Miljövärden!$B$2:$H$2,0),FALSE),"Saknas")</f>
        <v>5.1782399999999997</v>
      </c>
      <c r="F140" s="121">
        <f>IFERROR(VLOOKUP($B140,Miljövärden!$B$3:$H$552,MATCH(F$2,Miljövärden!$B$2:$H$2,0),FALSE),"Saknas")</f>
        <v>1.2286200000000001E-2</v>
      </c>
      <c r="G140" s="121" t="str">
        <f>IFERROR(VLOOKUP($B140,Miljövärden!$B$3:$H$552,MATCH(G$2,Miljövärden!$B$2:$H$2,0),FALSE),"Nej, saknas")</f>
        <v>Nej</v>
      </c>
      <c r="H140" s="285" t="str">
        <f>IFERROR(VLOOKUP($B140,Miljövärden!$B$3:$H$552,MATCH(H$2,Miljövärden!$B$2:$H$2,0),FALSE),"Nej, saknas")</f>
        <v>Ja</v>
      </c>
      <c r="P140" s="121" t="str">
        <f t="shared" si="4"/>
        <v>ja</v>
      </c>
      <c r="R140" s="121">
        <f t="shared" si="5"/>
        <v>126</v>
      </c>
    </row>
    <row r="141" spans="1:18" x14ac:dyDescent="0.25">
      <c r="A141" s="137" t="s">
        <v>387</v>
      </c>
      <c r="B141" s="137" t="s">
        <v>388</v>
      </c>
      <c r="C141" s="121">
        <f>IFERROR(VLOOKUP($B141,Miljövärden!$B$3:$H$552,MATCH(C$2,Miljövärden!$B$2:$H$2,0),FALSE),"Saknas")</f>
        <v>0.28053400000000001</v>
      </c>
      <c r="D141" s="121">
        <f>IFERROR(VLOOKUP($B141,Miljövärden!$B$3:$H$552,MATCH(D$2,Miljövärden!$B$2:$H$2,0),FALSE),"Saknas")</f>
        <v>126.28100000000001</v>
      </c>
      <c r="E141" s="121">
        <f>IFERROR(VLOOKUP($B141,Miljövärden!$B$3:$H$552,MATCH(E$2,Miljövärden!$B$2:$H$2,0),FALSE),"Saknas")</f>
        <v>5.18865</v>
      </c>
      <c r="F141" s="121">
        <f>IFERROR(VLOOKUP($B141,Miljövärden!$B$3:$H$552,MATCH(F$2,Miljövärden!$B$2:$H$2,0),FALSE),"Saknas")</f>
        <v>6.0873400000000001E-2</v>
      </c>
      <c r="G141" s="121" t="str">
        <f>IFERROR(VLOOKUP($B141,Miljövärden!$B$3:$H$552,MATCH(G$2,Miljövärden!$B$2:$H$2,0),FALSE),"Nej, saknas")</f>
        <v>Ja</v>
      </c>
      <c r="H141" s="285" t="str">
        <f>IFERROR(VLOOKUP($B141,Miljövärden!$B$3:$H$552,MATCH(H$2,Miljövärden!$B$2:$H$2,0),FALSE),"Nej, saknas")</f>
        <v>Ja</v>
      </c>
      <c r="P141" s="121" t="str">
        <f t="shared" si="4"/>
        <v>ja</v>
      </c>
      <c r="R141" s="121">
        <f t="shared" si="5"/>
        <v>127</v>
      </c>
    </row>
    <row r="142" spans="1:18" x14ac:dyDescent="0.25">
      <c r="A142" s="137" t="s">
        <v>387</v>
      </c>
      <c r="B142" s="137" t="s">
        <v>389</v>
      </c>
      <c r="C142" s="121">
        <f>IFERROR(VLOOKUP($B142,Miljövärden!$B$3:$H$552,MATCH(C$2,Miljövärden!$B$2:$H$2,0),FALSE),"Saknas")</f>
        <v>0.65499700000000005</v>
      </c>
      <c r="D142" s="121">
        <f>IFERROR(VLOOKUP($B142,Miljövärden!$B$3:$H$552,MATCH(D$2,Miljövärden!$B$2:$H$2,0),FALSE),"Saknas")</f>
        <v>105.455</v>
      </c>
      <c r="E142" s="121">
        <f>IFERROR(VLOOKUP($B142,Miljövärden!$B$3:$H$552,MATCH(E$2,Miljövärden!$B$2:$H$2,0),FALSE),"Saknas")</f>
        <v>17.995699999999999</v>
      </c>
      <c r="F142" s="121">
        <f>IFERROR(VLOOKUP($B142,Miljövärden!$B$3:$H$552,MATCH(F$2,Miljövärden!$B$2:$H$2,0),FALSE),"Saknas")</f>
        <v>0.17930199999999999</v>
      </c>
      <c r="G142" s="121" t="str">
        <f>IFERROR(VLOOKUP($B142,Miljövärden!$B$3:$H$552,MATCH(G$2,Miljövärden!$B$2:$H$2,0),FALSE),"Nej, saknas")</f>
        <v>Ja</v>
      </c>
      <c r="H142" s="285" t="str">
        <f>IFERROR(VLOOKUP($B142,Miljövärden!$B$3:$H$552,MATCH(H$2,Miljövärden!$B$2:$H$2,0),FALSE),"Nej, saknas")</f>
        <v>Ja</v>
      </c>
      <c r="P142" s="121" t="str">
        <f t="shared" si="4"/>
        <v>ja</v>
      </c>
      <c r="R142" s="121">
        <f t="shared" si="5"/>
        <v>128</v>
      </c>
    </row>
    <row r="143" spans="1:18" x14ac:dyDescent="0.25">
      <c r="A143" s="137" t="s">
        <v>390</v>
      </c>
      <c r="B143" s="137" t="s">
        <v>391</v>
      </c>
      <c r="C143" s="121">
        <f>IFERROR(VLOOKUP($B143,Miljövärden!$B$3:$H$552,MATCH(C$2,Miljövärden!$B$2:$H$2,0),FALSE),"Saknas")</f>
        <v>0.27183600000000002</v>
      </c>
      <c r="D143" s="121">
        <f>IFERROR(VLOOKUP($B143,Miljövärden!$B$3:$H$552,MATCH(D$2,Miljövärden!$B$2:$H$2,0),FALSE),"Saknas")</f>
        <v>10.2934</v>
      </c>
      <c r="E143" s="121">
        <f>IFERROR(VLOOKUP($B143,Miljövärden!$B$3:$H$552,MATCH(E$2,Miljövärden!$B$2:$H$2,0),FALSE),"Saknas")</f>
        <v>4.5726100000000001</v>
      </c>
      <c r="F143" s="121">
        <f>IFERROR(VLOOKUP($B143,Miljövärden!$B$3:$H$552,MATCH(F$2,Miljövärden!$B$2:$H$2,0),FALSE),"Saknas")</f>
        <v>2.89318E-3</v>
      </c>
      <c r="G143" s="121" t="str">
        <f>IFERROR(VLOOKUP($B143,Miljövärden!$B$3:$H$552,MATCH(G$2,Miljövärden!$B$2:$H$2,0),FALSE),"Nej, saknas")</f>
        <v>Nej</v>
      </c>
      <c r="H143" s="285" t="str">
        <f>IFERROR(VLOOKUP($B143,Miljövärden!$B$3:$H$552,MATCH(H$2,Miljövärden!$B$2:$H$2,0),FALSE),"Nej, saknas")</f>
        <v>Ja</v>
      </c>
      <c r="P143" s="121" t="str">
        <f t="shared" si="4"/>
        <v>ja</v>
      </c>
      <c r="R143" s="121">
        <f t="shared" si="5"/>
        <v>129</v>
      </c>
    </row>
    <row r="144" spans="1:18" x14ac:dyDescent="0.25">
      <c r="A144" s="137" t="s">
        <v>390</v>
      </c>
      <c r="B144" s="137" t="s">
        <v>393</v>
      </c>
      <c r="C144" s="121">
        <f>IFERROR(VLOOKUP($B144,Miljövärden!$B$3:$H$552,MATCH(C$2,Miljövärden!$B$2:$H$2,0),FALSE),"Saknas")</f>
        <v>0.14219899999999999</v>
      </c>
      <c r="D144" s="121">
        <f>IFERROR(VLOOKUP($B144,Miljövärden!$B$3:$H$552,MATCH(D$2,Miljövärden!$B$2:$H$2,0),FALSE),"Saknas")</f>
        <v>4.7392500000000002</v>
      </c>
      <c r="E144" s="121">
        <f>IFERROR(VLOOKUP($B144,Miljövärden!$B$3:$H$552,MATCH(E$2,Miljövärden!$B$2:$H$2,0),FALSE),"Saknas")</f>
        <v>11.2302</v>
      </c>
      <c r="F144" s="121">
        <f>IFERROR(VLOOKUP($B144,Miljövärden!$B$3:$H$552,MATCH(F$2,Miljövärden!$B$2:$H$2,0),FALSE),"Saknas")</f>
        <v>0</v>
      </c>
      <c r="G144" s="121" t="str">
        <f>IFERROR(VLOOKUP($B144,Miljövärden!$B$3:$H$552,MATCH(G$2,Miljövärden!$B$2:$H$2,0),FALSE),"Nej, saknas")</f>
        <v>Ja</v>
      </c>
      <c r="H144" s="285" t="str">
        <f>IFERROR(VLOOKUP($B144,Miljövärden!$B$3:$H$552,MATCH(H$2,Miljövärden!$B$2:$H$2,0),FALSE),"Nej, saknas")</f>
        <v>Ja</v>
      </c>
      <c r="P144" s="121" t="str">
        <f t="shared" si="4"/>
        <v>ja</v>
      </c>
      <c r="R144" s="121">
        <f t="shared" si="5"/>
        <v>130</v>
      </c>
    </row>
    <row r="145" spans="1:18" x14ac:dyDescent="0.25">
      <c r="A145" s="137" t="s">
        <v>394</v>
      </c>
      <c r="B145" s="137" t="s">
        <v>395</v>
      </c>
      <c r="C145" s="121">
        <f>IFERROR(VLOOKUP($B145,Miljövärden!$B$3:$H$552,MATCH(C$2,Miljövärden!$B$2:$H$2,0),FALSE),"Saknas")</f>
        <v>0.20696600000000001</v>
      </c>
      <c r="D145" s="121">
        <f>IFERROR(VLOOKUP($B145,Miljövärden!$B$3:$H$552,MATCH(D$2,Miljövärden!$B$2:$H$2,0),FALSE),"Saknas")</f>
        <v>16.4209</v>
      </c>
      <c r="E145" s="121">
        <f>IFERROR(VLOOKUP($B145,Miljövärden!$B$3:$H$552,MATCH(E$2,Miljövärden!$B$2:$H$2,0),FALSE),"Saknas")</f>
        <v>17.592700000000001</v>
      </c>
      <c r="F145" s="121">
        <f>IFERROR(VLOOKUP($B145,Miljövärden!$B$3:$H$552,MATCH(F$2,Miljövärden!$B$2:$H$2,0),FALSE),"Saknas")</f>
        <v>3.4632000000000003E-2</v>
      </c>
      <c r="G145" s="121" t="str">
        <f>IFERROR(VLOOKUP($B145,Miljövärden!$B$3:$H$552,MATCH(G$2,Miljövärden!$B$2:$H$2,0),FALSE),"Nej, saknas")</f>
        <v>Nej</v>
      </c>
      <c r="H145" s="285" t="str">
        <f>IFERROR(VLOOKUP($B145,Miljövärden!$B$3:$H$552,MATCH(H$2,Miljövärden!$B$2:$H$2,0),FALSE),"Nej, saknas")</f>
        <v>Ja</v>
      </c>
      <c r="P145" s="121" t="str">
        <f t="shared" si="4"/>
        <v>ja</v>
      </c>
      <c r="R145" s="121">
        <f t="shared" si="5"/>
        <v>131</v>
      </c>
    </row>
    <row r="146" spans="1:18" x14ac:dyDescent="0.25">
      <c r="A146" s="137" t="s">
        <v>394</v>
      </c>
      <c r="B146" s="137" t="s">
        <v>396</v>
      </c>
      <c r="C146" s="121">
        <f>IFERROR(VLOOKUP($B146,Miljövärden!$B$3:$H$552,MATCH(C$2,Miljövärden!$B$2:$H$2,0),FALSE),"Saknas")</f>
        <v>0.20006199999999999</v>
      </c>
      <c r="D146" s="121">
        <f>IFERROR(VLOOKUP($B146,Miljövärden!$B$3:$H$552,MATCH(D$2,Miljövärden!$B$2:$H$2,0),FALSE),"Saknas")</f>
        <v>11.444100000000001</v>
      </c>
      <c r="E146" s="121">
        <f>IFERROR(VLOOKUP($B146,Miljövärden!$B$3:$H$552,MATCH(E$2,Miljövärden!$B$2:$H$2,0),FALSE),"Saknas")</f>
        <v>17.4621</v>
      </c>
      <c r="F146" s="121">
        <f>IFERROR(VLOOKUP($B146,Miljövärden!$B$3:$H$552,MATCH(F$2,Miljövärden!$B$2:$H$2,0),FALSE),"Saknas")</f>
        <v>1.9430699999999999E-2</v>
      </c>
      <c r="G146" s="121" t="str">
        <f>IFERROR(VLOOKUP($B146,Miljövärden!$B$3:$H$552,MATCH(G$2,Miljövärden!$B$2:$H$2,0),FALSE),"Nej, saknas")</f>
        <v>Nej</v>
      </c>
      <c r="H146" s="285" t="str">
        <f>IFERROR(VLOOKUP($B146,Miljövärden!$B$3:$H$552,MATCH(H$2,Miljövärden!$B$2:$H$2,0),FALSE),"Nej, saknas")</f>
        <v>Ja</v>
      </c>
      <c r="P146" s="121" t="str">
        <f t="shared" si="4"/>
        <v>ja</v>
      </c>
      <c r="R146" s="121">
        <f t="shared" si="5"/>
        <v>132</v>
      </c>
    </row>
    <row r="147" spans="1:18" x14ac:dyDescent="0.25">
      <c r="A147" s="137" t="s">
        <v>394</v>
      </c>
      <c r="B147" s="137" t="s">
        <v>397</v>
      </c>
      <c r="C147" s="121">
        <f>IFERROR(VLOOKUP($B147,Miljövärden!$B$3:$H$552,MATCH(C$2,Miljövärden!$B$2:$H$2,0),FALSE),"Saknas")</f>
        <v>0.17079</v>
      </c>
      <c r="D147" s="121">
        <f>IFERROR(VLOOKUP($B147,Miljövärden!$B$3:$H$552,MATCH(D$2,Miljövärden!$B$2:$H$2,0),FALSE),"Saknas")</f>
        <v>10.4893</v>
      </c>
      <c r="E147" s="121">
        <f>IFERROR(VLOOKUP($B147,Miljövärden!$B$3:$H$552,MATCH(E$2,Miljövärden!$B$2:$H$2,0),FALSE),"Saknas")</f>
        <v>16.866</v>
      </c>
      <c r="F147" s="121">
        <f>IFERROR(VLOOKUP($B147,Miljövärden!$B$3:$H$552,MATCH(F$2,Miljövärden!$B$2:$H$2,0),FALSE),"Saknas")</f>
        <v>1.79261E-2</v>
      </c>
      <c r="G147" s="121" t="str">
        <f>IFERROR(VLOOKUP($B147,Miljövärden!$B$3:$H$552,MATCH(G$2,Miljövärden!$B$2:$H$2,0),FALSE),"Nej, saknas")</f>
        <v>Nej</v>
      </c>
      <c r="H147" s="285" t="str">
        <f>IFERROR(VLOOKUP($B147,Miljövärden!$B$3:$H$552,MATCH(H$2,Miljövärden!$B$2:$H$2,0),FALSE),"Nej, saknas")</f>
        <v>Ja</v>
      </c>
      <c r="P147" s="121" t="str">
        <f t="shared" si="4"/>
        <v>ja</v>
      </c>
      <c r="R147" s="121">
        <f t="shared" si="5"/>
        <v>133</v>
      </c>
    </row>
    <row r="148" spans="1:18" x14ac:dyDescent="0.25">
      <c r="A148" s="137" t="s">
        <v>394</v>
      </c>
      <c r="B148" s="137" t="s">
        <v>398</v>
      </c>
      <c r="C148" s="121">
        <f>IFERROR(VLOOKUP($B148,Miljövärden!$B$3:$H$552,MATCH(C$2,Miljövärden!$B$2:$H$2,0),FALSE),"Saknas")</f>
        <v>0.13517399999999999</v>
      </c>
      <c r="D148" s="121">
        <f>IFERROR(VLOOKUP($B148,Miljövärden!$B$3:$H$552,MATCH(D$2,Miljövärden!$B$2:$H$2,0),FALSE),"Saknas")</f>
        <v>21.789000000000001</v>
      </c>
      <c r="E148" s="121">
        <f>IFERROR(VLOOKUP($B148,Miljövärden!$B$3:$H$552,MATCH(E$2,Miljövärden!$B$2:$H$2,0),FALSE),"Saknas")</f>
        <v>7.3974099999999998</v>
      </c>
      <c r="F148" s="121">
        <f>IFERROR(VLOOKUP($B148,Miljövärden!$B$3:$H$552,MATCH(F$2,Miljövärden!$B$2:$H$2,0),FALSE),"Saknas")</f>
        <v>3.01424E-2</v>
      </c>
      <c r="G148" s="121" t="str">
        <f>IFERROR(VLOOKUP($B148,Miljövärden!$B$3:$H$552,MATCH(G$2,Miljövärden!$B$2:$H$2,0),FALSE),"Nej, saknas")</f>
        <v>Ja</v>
      </c>
      <c r="H148" s="285" t="str">
        <f>IFERROR(VLOOKUP($B148,Miljövärden!$B$3:$H$552,MATCH(H$2,Miljövärden!$B$2:$H$2,0),FALSE),"Nej, saknas")</f>
        <v>Ja</v>
      </c>
      <c r="P148" s="121" t="str">
        <f t="shared" si="4"/>
        <v>ja</v>
      </c>
      <c r="R148" s="121">
        <f t="shared" si="5"/>
        <v>134</v>
      </c>
    </row>
    <row r="149" spans="1:18" x14ac:dyDescent="0.25">
      <c r="A149" s="137" t="s">
        <v>45</v>
      </c>
      <c r="B149" s="141" t="s">
        <v>46</v>
      </c>
      <c r="C149" s="121" t="str">
        <f>IFERROR(VLOOKUP($B149,Miljövärden!$B$3:$H$552,MATCH(C$2,Miljövärden!$B$2:$H$2,0),FALSE),"Saknas")</f>
        <v>Saknas</v>
      </c>
      <c r="D149" s="121" t="str">
        <f>IFERROR(VLOOKUP($B149,Miljövärden!$B$3:$H$552,MATCH(D$2,Miljövärden!$B$2:$H$2,0),FALSE),"Saknas")</f>
        <v>Saknas</v>
      </c>
      <c r="E149" s="121" t="str">
        <f>IFERROR(VLOOKUP($B149,Miljövärden!$B$3:$H$552,MATCH(E$2,Miljövärden!$B$2:$H$2,0),FALSE),"Saknas")</f>
        <v>Saknas</v>
      </c>
      <c r="F149" s="121" t="str">
        <f>IFERROR(VLOOKUP($B149,Miljövärden!$B$3:$H$552,MATCH(F$2,Miljövärden!$B$2:$H$2,0),FALSE),"Saknas")</f>
        <v>Saknas</v>
      </c>
      <c r="G149" s="121" t="str">
        <f>IFERROR(VLOOKUP($B149,Miljövärden!$B$3:$H$552,MATCH(G$2,Miljövärden!$B$2:$H$2,0),FALSE),"Nej, saknas")</f>
        <v>Nej, saknas</v>
      </c>
      <c r="H149" s="285" t="str">
        <f>IFERROR(VLOOKUP($B149,Miljövärden!$B$3:$H$552,MATCH(H$2,Miljövärden!$B$2:$H$2,0),FALSE),"Nej, saknas")</f>
        <v>Nej, saknas</v>
      </c>
      <c r="P149" s="121" t="str">
        <f t="shared" si="4"/>
        <v>nej</v>
      </c>
      <c r="R149" s="121">
        <f t="shared" si="5"/>
        <v>134</v>
      </c>
    </row>
    <row r="150" spans="1:18" x14ac:dyDescent="0.25">
      <c r="A150" s="137" t="s">
        <v>399</v>
      </c>
      <c r="B150" s="137" t="s">
        <v>400</v>
      </c>
      <c r="C150" s="121">
        <f>IFERROR(VLOOKUP($B150,Miljövärden!$B$3:$H$552,MATCH(C$2,Miljövärden!$B$2:$H$2,0),FALSE),"Saknas")</f>
        <v>0.11178100000000001</v>
      </c>
      <c r="D150" s="121">
        <f>IFERROR(VLOOKUP($B150,Miljövärden!$B$3:$H$552,MATCH(D$2,Miljövärden!$B$2:$H$2,0),FALSE),"Saknas")</f>
        <v>85.353700000000003</v>
      </c>
      <c r="E150" s="121">
        <f>IFERROR(VLOOKUP($B150,Miljövärden!$B$3:$H$552,MATCH(E$2,Miljövärden!$B$2:$H$2,0),FALSE),"Saknas")</f>
        <v>5.0381600000000004</v>
      </c>
      <c r="F150" s="121">
        <f>IFERROR(VLOOKUP($B150,Miljövärden!$B$3:$H$552,MATCH(F$2,Miljövärden!$B$2:$H$2,0),FALSE),"Saknas")</f>
        <v>5.1787100000000004E-3</v>
      </c>
      <c r="G150" s="121" t="str">
        <f>IFERROR(VLOOKUP($B150,Miljövärden!$B$3:$H$552,MATCH(G$2,Miljövärden!$B$2:$H$2,0),FALSE),"Nej, saknas")</f>
        <v>Ja</v>
      </c>
      <c r="H150" s="285" t="str">
        <f>IFERROR(VLOOKUP($B150,Miljövärden!$B$3:$H$552,MATCH(H$2,Miljövärden!$B$2:$H$2,0),FALSE),"Nej, saknas")</f>
        <v>Ja</v>
      </c>
      <c r="P150" s="121" t="str">
        <f t="shared" si="4"/>
        <v>ja</v>
      </c>
      <c r="R150" s="121">
        <f t="shared" si="5"/>
        <v>135</v>
      </c>
    </row>
    <row r="151" spans="1:18" x14ac:dyDescent="0.25">
      <c r="A151" s="137" t="s">
        <v>401</v>
      </c>
      <c r="B151" s="137" t="s">
        <v>402</v>
      </c>
      <c r="C151" s="121">
        <f>IFERROR(VLOOKUP($B151,Miljövärden!$B$3:$H$552,MATCH(C$2,Miljövärden!$B$2:$H$2,0),FALSE),"Saknas")</f>
        <v>0.24146699999999999</v>
      </c>
      <c r="D151" s="121">
        <f>IFERROR(VLOOKUP($B151,Miljövärden!$B$3:$H$552,MATCH(D$2,Miljövärden!$B$2:$H$2,0),FALSE),"Saknas")</f>
        <v>48.029000000000003</v>
      </c>
      <c r="E151" s="121">
        <f>IFERROR(VLOOKUP($B151,Miljövärden!$B$3:$H$552,MATCH(E$2,Miljövärden!$B$2:$H$2,0),FALSE),"Saknas")</f>
        <v>12.480600000000001</v>
      </c>
      <c r="F151" s="121">
        <f>IFERROR(VLOOKUP($B151,Miljövärden!$B$3:$H$552,MATCH(F$2,Miljövärden!$B$2:$H$2,0),FALSE),"Saknas")</f>
        <v>0.11666700000000001</v>
      </c>
      <c r="G151" s="121" t="str">
        <f>IFERROR(VLOOKUP($B151,Miljövärden!$B$3:$H$552,MATCH(G$2,Miljövärden!$B$2:$H$2,0),FALSE),"Nej, saknas")</f>
        <v>Nej</v>
      </c>
      <c r="H151" s="285" t="str">
        <f>IFERROR(VLOOKUP($B151,Miljövärden!$B$3:$H$552,MATCH(H$2,Miljövärden!$B$2:$H$2,0),FALSE),"Nej, saknas")</f>
        <v>Ja</v>
      </c>
      <c r="P151" s="121" t="str">
        <f t="shared" si="4"/>
        <v>ja</v>
      </c>
      <c r="R151" s="121">
        <f t="shared" si="5"/>
        <v>136</v>
      </c>
    </row>
    <row r="152" spans="1:18" x14ac:dyDescent="0.25">
      <c r="A152" s="137" t="s">
        <v>401</v>
      </c>
      <c r="B152" s="137" t="s">
        <v>403</v>
      </c>
      <c r="C152" s="121">
        <f>IFERROR(VLOOKUP($B152,Miljövärden!$B$3:$H$552,MATCH(C$2,Miljövärden!$B$2:$H$2,0),FALSE),"Saknas")</f>
        <v>0.176347</v>
      </c>
      <c r="D152" s="121">
        <f>IFERROR(VLOOKUP($B152,Miljövärden!$B$3:$H$552,MATCH(D$2,Miljövärden!$B$2:$H$2,0),FALSE),"Saknas")</f>
        <v>35.49</v>
      </c>
      <c r="E152" s="121">
        <f>IFERROR(VLOOKUP($B152,Miljövärden!$B$3:$H$552,MATCH(E$2,Miljövärden!$B$2:$H$2,0),FALSE),"Saknas")</f>
        <v>11.5158</v>
      </c>
      <c r="F152" s="121">
        <f>IFERROR(VLOOKUP($B152,Miljövärden!$B$3:$H$552,MATCH(F$2,Miljövärden!$B$2:$H$2,0),FALSE),"Saknas")</f>
        <v>8.0008099999999999E-2</v>
      </c>
      <c r="G152" s="121" t="str">
        <f>IFERROR(VLOOKUP($B152,Miljövärden!$B$3:$H$552,MATCH(G$2,Miljövärden!$B$2:$H$2,0),FALSE),"Nej, saknas")</f>
        <v>Nej</v>
      </c>
      <c r="H152" s="285" t="str">
        <f>IFERROR(VLOOKUP($B152,Miljövärden!$B$3:$H$552,MATCH(H$2,Miljövärden!$B$2:$H$2,0),FALSE),"Nej, saknas")</f>
        <v>Ja</v>
      </c>
      <c r="P152" s="121" t="str">
        <f t="shared" si="4"/>
        <v>ja</v>
      </c>
      <c r="R152" s="121">
        <f t="shared" si="5"/>
        <v>137</v>
      </c>
    </row>
    <row r="153" spans="1:18" x14ac:dyDescent="0.25">
      <c r="A153" s="137" t="s">
        <v>401</v>
      </c>
      <c r="B153" s="137" t="s">
        <v>404</v>
      </c>
      <c r="C153" s="121">
        <f>IFERROR(VLOOKUP($B153,Miljövärden!$B$3:$H$552,MATCH(C$2,Miljövärden!$B$2:$H$2,0),FALSE),"Saknas")</f>
        <v>0.42294100000000001</v>
      </c>
      <c r="D153" s="121">
        <f>IFERROR(VLOOKUP($B153,Miljövärden!$B$3:$H$552,MATCH(D$2,Miljövärden!$B$2:$H$2,0),FALSE),"Saknas")</f>
        <v>9.4465800000000009</v>
      </c>
      <c r="E153" s="121">
        <f>IFERROR(VLOOKUP($B153,Miljövärden!$B$3:$H$552,MATCH(E$2,Miljövärden!$B$2:$H$2,0),FALSE),"Saknas")</f>
        <v>19.4575</v>
      </c>
      <c r="F153" s="121">
        <f>IFERROR(VLOOKUP($B153,Miljövärden!$B$3:$H$552,MATCH(F$2,Miljövärden!$B$2:$H$2,0),FALSE),"Saknas")</f>
        <v>9.2552599999999995E-3</v>
      </c>
      <c r="G153" s="121" t="str">
        <f>IFERROR(VLOOKUP($B153,Miljövärden!$B$3:$H$552,MATCH(G$2,Miljövärden!$B$2:$H$2,0),FALSE),"Nej, saknas")</f>
        <v>Nej</v>
      </c>
      <c r="H153" s="285" t="str">
        <f>IFERROR(VLOOKUP($B153,Miljövärden!$B$3:$H$552,MATCH(H$2,Miljövärden!$B$2:$H$2,0),FALSE),"Nej, saknas")</f>
        <v>Ja</v>
      </c>
      <c r="P153" s="121" t="str">
        <f t="shared" si="4"/>
        <v>ja</v>
      </c>
      <c r="R153" s="121">
        <f t="shared" si="5"/>
        <v>138</v>
      </c>
    </row>
    <row r="154" spans="1:18" x14ac:dyDescent="0.25">
      <c r="A154" s="137" t="s">
        <v>401</v>
      </c>
      <c r="B154" s="137" t="s">
        <v>405</v>
      </c>
      <c r="C154" s="121">
        <f>IFERROR(VLOOKUP($B154,Miljövärden!$B$3:$H$552,MATCH(C$2,Miljövärden!$B$2:$H$2,0),FALSE),"Saknas")</f>
        <v>0.23441400000000001</v>
      </c>
      <c r="D154" s="121">
        <f>IFERROR(VLOOKUP($B154,Miljövärden!$B$3:$H$552,MATCH(D$2,Miljövärden!$B$2:$H$2,0),FALSE),"Saknas")</f>
        <v>18.9817</v>
      </c>
      <c r="E154" s="121">
        <f>IFERROR(VLOOKUP($B154,Miljövärden!$B$3:$H$552,MATCH(E$2,Miljövärden!$B$2:$H$2,0),FALSE),"Saknas")</f>
        <v>21.139199999999999</v>
      </c>
      <c r="F154" s="121">
        <f>IFERROR(VLOOKUP($B154,Miljövärden!$B$3:$H$552,MATCH(F$2,Miljövärden!$B$2:$H$2,0),FALSE),"Saknas")</f>
        <v>3.2886699999999998E-2</v>
      </c>
      <c r="G154" s="121" t="str">
        <f>IFERROR(VLOOKUP($B154,Miljövärden!$B$3:$H$552,MATCH(G$2,Miljövärden!$B$2:$H$2,0),FALSE),"Nej, saknas")</f>
        <v>Nej</v>
      </c>
      <c r="H154" s="285" t="str">
        <f>IFERROR(VLOOKUP($B154,Miljövärden!$B$3:$H$552,MATCH(H$2,Miljövärden!$B$2:$H$2,0),FALSE),"Nej, saknas")</f>
        <v>Ja</v>
      </c>
      <c r="P154" s="121" t="str">
        <f t="shared" si="4"/>
        <v>ja</v>
      </c>
      <c r="R154" s="121">
        <f t="shared" si="5"/>
        <v>139</v>
      </c>
    </row>
    <row r="155" spans="1:18" x14ac:dyDescent="0.25">
      <c r="A155" s="137" t="s">
        <v>401</v>
      </c>
      <c r="B155" s="137" t="s">
        <v>406</v>
      </c>
      <c r="C155" s="121">
        <f>IFERROR(VLOOKUP($B155,Miljövärden!$B$3:$H$552,MATCH(C$2,Miljövärden!$B$2:$H$2,0),FALSE),"Saknas")</f>
        <v>0.75653700000000002</v>
      </c>
      <c r="D155" s="121">
        <f>IFERROR(VLOOKUP($B155,Miljövärden!$B$3:$H$552,MATCH(D$2,Miljövärden!$B$2:$H$2,0),FALSE),"Saknas")</f>
        <v>5.5423200000000001</v>
      </c>
      <c r="E155" s="121">
        <f>IFERROR(VLOOKUP($B155,Miljövärden!$B$3:$H$552,MATCH(E$2,Miljövärden!$B$2:$H$2,0),FALSE),"Saknas")</f>
        <v>28.6568</v>
      </c>
      <c r="F155" s="121">
        <f>IFERROR(VLOOKUP($B155,Miljövärden!$B$3:$H$552,MATCH(F$2,Miljövärden!$B$2:$H$2,0),FALSE),"Saknas")</f>
        <v>3.4374499999999999E-3</v>
      </c>
      <c r="G155" s="121" t="str">
        <f>IFERROR(VLOOKUP($B155,Miljövärden!$B$3:$H$552,MATCH(G$2,Miljövärden!$B$2:$H$2,0),FALSE),"Nej, saknas")</f>
        <v>Nej</v>
      </c>
      <c r="H155" s="285" t="str">
        <f>IFERROR(VLOOKUP($B155,Miljövärden!$B$3:$H$552,MATCH(H$2,Miljövärden!$B$2:$H$2,0),FALSE),"Nej, saknas")</f>
        <v>Ja</v>
      </c>
      <c r="P155" s="121" t="str">
        <f t="shared" si="4"/>
        <v>ja</v>
      </c>
      <c r="R155" s="121">
        <f t="shared" si="5"/>
        <v>140</v>
      </c>
    </row>
    <row r="156" spans="1:18" x14ac:dyDescent="0.25">
      <c r="A156" s="137" t="s">
        <v>401</v>
      </c>
      <c r="B156" s="137" t="s">
        <v>407</v>
      </c>
      <c r="C156" s="121">
        <f>IFERROR(VLOOKUP($B156,Miljövärden!$B$3:$H$552,MATCH(C$2,Miljövärden!$B$2:$H$2,0),FALSE),"Saknas")</f>
        <v>0.955789</v>
      </c>
      <c r="D156" s="121">
        <f>IFERROR(VLOOKUP($B156,Miljövärden!$B$3:$H$552,MATCH(D$2,Miljövärden!$B$2:$H$2,0),FALSE),"Saknas")</f>
        <v>24.015699999999999</v>
      </c>
      <c r="E156" s="121">
        <f>IFERROR(VLOOKUP($B156,Miljövärden!$B$3:$H$552,MATCH(E$2,Miljövärden!$B$2:$H$2,0),FALSE),"Saknas")</f>
        <v>31.8339</v>
      </c>
      <c r="F156" s="121">
        <f>IFERROR(VLOOKUP($B156,Miljövärden!$B$3:$H$552,MATCH(F$2,Miljövärden!$B$2:$H$2,0),FALSE),"Saknas")</f>
        <v>5.4588100000000001E-2</v>
      </c>
      <c r="G156" s="121" t="str">
        <f>IFERROR(VLOOKUP($B156,Miljövärden!$B$3:$H$552,MATCH(G$2,Miljövärden!$B$2:$H$2,0),FALSE),"Nej, saknas")</f>
        <v>Nej</v>
      </c>
      <c r="H156" s="285" t="str">
        <f>IFERROR(VLOOKUP($B156,Miljövärden!$B$3:$H$552,MATCH(H$2,Miljövärden!$B$2:$H$2,0),FALSE),"Nej, saknas")</f>
        <v>Ja</v>
      </c>
      <c r="P156" s="121" t="str">
        <f t="shared" si="4"/>
        <v>ja</v>
      </c>
      <c r="R156" s="121">
        <f t="shared" si="5"/>
        <v>141</v>
      </c>
    </row>
    <row r="157" spans="1:18" x14ac:dyDescent="0.25">
      <c r="A157" s="137" t="s">
        <v>401</v>
      </c>
      <c r="B157" s="137" t="s">
        <v>408</v>
      </c>
      <c r="C157" s="121">
        <f>IFERROR(VLOOKUP($B157,Miljövärden!$B$3:$H$552,MATCH(C$2,Miljövärden!$B$2:$H$2,0),FALSE),"Saknas")</f>
        <v>7.9085299999999997E-2</v>
      </c>
      <c r="D157" s="121">
        <f>IFERROR(VLOOKUP($B157,Miljövärden!$B$3:$H$552,MATCH(D$2,Miljövärden!$B$2:$H$2,0),FALSE),"Saknas")</f>
        <v>8.1467700000000001</v>
      </c>
      <c r="E157" s="121">
        <f>IFERROR(VLOOKUP($B157,Miljövärden!$B$3:$H$552,MATCH(E$2,Miljövärden!$B$2:$H$2,0),FALSE),"Saknas")</f>
        <v>11.2537</v>
      </c>
      <c r="F157" s="121">
        <f>IFERROR(VLOOKUP($B157,Miljövärden!$B$3:$H$552,MATCH(F$2,Miljövärden!$B$2:$H$2,0),FALSE),"Saknas")</f>
        <v>4.1540199999999996E-3</v>
      </c>
      <c r="G157" s="121" t="str">
        <f>IFERROR(VLOOKUP($B157,Miljövärden!$B$3:$H$552,MATCH(G$2,Miljövärden!$B$2:$H$2,0),FALSE),"Nej, saknas")</f>
        <v>Nej</v>
      </c>
      <c r="H157" s="285" t="str">
        <f>IFERROR(VLOOKUP($B157,Miljövärden!$B$3:$H$552,MATCH(H$2,Miljövärden!$B$2:$H$2,0),FALSE),"Nej, saknas")</f>
        <v>Ja</v>
      </c>
      <c r="P157" s="121" t="str">
        <f t="shared" si="4"/>
        <v>ja</v>
      </c>
      <c r="R157" s="121">
        <f t="shared" si="5"/>
        <v>142</v>
      </c>
    </row>
    <row r="158" spans="1:18" x14ac:dyDescent="0.25">
      <c r="A158" s="137" t="s">
        <v>401</v>
      </c>
      <c r="B158" s="137" t="s">
        <v>409</v>
      </c>
      <c r="C158" s="121">
        <f>IFERROR(VLOOKUP($B158,Miljövärden!$B$3:$H$552,MATCH(C$2,Miljövärden!$B$2:$H$2,0),FALSE),"Saknas")</f>
        <v>6.8823099999999998E-2</v>
      </c>
      <c r="D158" s="121">
        <f>IFERROR(VLOOKUP($B158,Miljövärden!$B$3:$H$552,MATCH(D$2,Miljövärden!$B$2:$H$2,0),FALSE),"Saknas")</f>
        <v>6.3238099999999999</v>
      </c>
      <c r="E158" s="121">
        <f>IFERROR(VLOOKUP($B158,Miljövärden!$B$3:$H$552,MATCH(E$2,Miljövärden!$B$2:$H$2,0),FALSE),"Saknas")</f>
        <v>10.0784</v>
      </c>
      <c r="F158" s="121">
        <f>IFERROR(VLOOKUP($B158,Miljövärden!$B$3:$H$552,MATCH(F$2,Miljövärden!$B$2:$H$2,0),FALSE),"Saknas")</f>
        <v>1.5159500000000001E-3</v>
      </c>
      <c r="G158" s="121" t="str">
        <f>IFERROR(VLOOKUP($B158,Miljövärden!$B$3:$H$552,MATCH(G$2,Miljövärden!$B$2:$H$2,0),FALSE),"Nej, saknas")</f>
        <v>Nej</v>
      </c>
      <c r="H158" s="285" t="str">
        <f>IFERROR(VLOOKUP($B158,Miljövärden!$B$3:$H$552,MATCH(H$2,Miljövärden!$B$2:$H$2,0),FALSE),"Nej, saknas")</f>
        <v>Ja</v>
      </c>
      <c r="P158" s="121" t="str">
        <f t="shared" si="4"/>
        <v>ja</v>
      </c>
      <c r="R158" s="121">
        <f t="shared" si="5"/>
        <v>143</v>
      </c>
    </row>
    <row r="159" spans="1:18" x14ac:dyDescent="0.25">
      <c r="A159" s="137" t="s">
        <v>401</v>
      </c>
      <c r="B159" s="137" t="s">
        <v>410</v>
      </c>
      <c r="C159" s="121">
        <f>IFERROR(VLOOKUP($B159,Miljövärden!$B$3:$H$552,MATCH(C$2,Miljövärden!$B$2:$H$2,0),FALSE),"Saknas")</f>
        <v>7.54769E-2</v>
      </c>
      <c r="D159" s="121">
        <f>IFERROR(VLOOKUP($B159,Miljövärden!$B$3:$H$552,MATCH(D$2,Miljövärden!$B$2:$H$2,0),FALSE),"Saknas")</f>
        <v>8.6513899999999992</v>
      </c>
      <c r="E159" s="121">
        <f>IFERROR(VLOOKUP($B159,Miljövärden!$B$3:$H$552,MATCH(E$2,Miljövärden!$B$2:$H$2,0),FALSE),"Saknas")</f>
        <v>9.9345700000000008</v>
      </c>
      <c r="F159" s="121">
        <f>IFERROR(VLOOKUP($B159,Miljövärden!$B$3:$H$552,MATCH(F$2,Miljövärden!$B$2:$H$2,0),FALSE),"Saknas")</f>
        <v>8.2277700000000006E-3</v>
      </c>
      <c r="G159" s="121" t="str">
        <f>IFERROR(VLOOKUP($B159,Miljövärden!$B$3:$H$552,MATCH(G$2,Miljövärden!$B$2:$H$2,0),FALSE),"Nej, saknas")</f>
        <v>Nej</v>
      </c>
      <c r="H159" s="285" t="str">
        <f>IFERROR(VLOOKUP($B159,Miljövärden!$B$3:$H$552,MATCH(H$2,Miljövärden!$B$2:$H$2,0),FALSE),"Nej, saknas")</f>
        <v>Ja</v>
      </c>
      <c r="P159" s="121" t="str">
        <f t="shared" si="4"/>
        <v>ja</v>
      </c>
      <c r="R159" s="121">
        <f t="shared" si="5"/>
        <v>144</v>
      </c>
    </row>
    <row r="160" spans="1:18" x14ac:dyDescent="0.25">
      <c r="A160" s="137" t="s">
        <v>411</v>
      </c>
      <c r="B160" s="137" t="s">
        <v>412</v>
      </c>
      <c r="C160" s="121">
        <f>IFERROR(VLOOKUP($B160,Miljövärden!$B$3:$H$552,MATCH(C$2,Miljövärden!$B$2:$H$2,0),FALSE),"Saknas")</f>
        <v>0.16898099999999999</v>
      </c>
      <c r="D160" s="121">
        <f>IFERROR(VLOOKUP($B160,Miljövärden!$B$3:$H$552,MATCH(D$2,Miljövärden!$B$2:$H$2,0),FALSE),"Saknas")</f>
        <v>8.4911200000000004</v>
      </c>
      <c r="E160" s="121">
        <f>IFERROR(VLOOKUP($B160,Miljövärden!$B$3:$H$552,MATCH(E$2,Miljövärden!$B$2:$H$2,0),FALSE),"Saknas")</f>
        <v>17.678899999999999</v>
      </c>
      <c r="F160" s="121">
        <f>IFERROR(VLOOKUP($B160,Miljövärden!$B$3:$H$552,MATCH(F$2,Miljövärden!$B$2:$H$2,0),FALSE),"Saknas")</f>
        <v>1.0338200000000001E-2</v>
      </c>
      <c r="G160" s="121" t="str">
        <f>IFERROR(VLOOKUP($B160,Miljövärden!$B$3:$H$552,MATCH(G$2,Miljövärden!$B$2:$H$2,0),FALSE),"Nej, saknas")</f>
        <v>Nej</v>
      </c>
      <c r="H160" s="285" t="str">
        <f>IFERROR(VLOOKUP($B160,Miljövärden!$B$3:$H$552,MATCH(H$2,Miljövärden!$B$2:$H$2,0),FALSE),"Nej, saknas")</f>
        <v>Ja</v>
      </c>
      <c r="P160" s="121" t="str">
        <f t="shared" si="4"/>
        <v>ja</v>
      </c>
      <c r="R160" s="121">
        <f t="shared" si="5"/>
        <v>145</v>
      </c>
    </row>
    <row r="161" spans="1:18" x14ac:dyDescent="0.25">
      <c r="A161" s="137" t="s">
        <v>413</v>
      </c>
      <c r="B161" s="137" t="s">
        <v>93</v>
      </c>
      <c r="C161" s="121">
        <f>IFERROR(VLOOKUP($B161,Miljövärden!$B$3:$H$552,MATCH(C$2,Miljövärden!$B$2:$H$2,0),FALSE),"Saknas")</f>
        <v>0</v>
      </c>
      <c r="D161" s="121">
        <f>IFERROR(VLOOKUP($B161,Miljövärden!$B$3:$H$552,MATCH(D$2,Miljövärden!$B$2:$H$2,0),FALSE),"Saknas")</f>
        <v>0</v>
      </c>
      <c r="E161" s="121">
        <f>IFERROR(VLOOKUP($B161,Miljövärden!$B$3:$H$552,MATCH(E$2,Miljövärden!$B$2:$H$2,0),FALSE),"Saknas")</f>
        <v>0</v>
      </c>
      <c r="F161" s="121">
        <f>IFERROR(VLOOKUP($B161,Miljövärden!$B$3:$H$552,MATCH(F$2,Miljövärden!$B$2:$H$2,0),FALSE),"Saknas")</f>
        <v>0</v>
      </c>
      <c r="G161" s="121" t="str">
        <f>IFERROR(VLOOKUP($B161,Miljövärden!$B$3:$H$552,MATCH(G$2,Miljövärden!$B$2:$H$2,0),FALSE),"Nej, saknas")</f>
        <v>Nej</v>
      </c>
      <c r="H161" s="285" t="str">
        <f>IFERROR(VLOOKUP($B161,Miljövärden!$B$3:$H$552,MATCH(H$2,Miljövärden!$B$2:$H$2,0),FALSE),"Nej, saknas")</f>
        <v>Nej</v>
      </c>
      <c r="P161" s="121" t="str">
        <f t="shared" si="4"/>
        <v>nej</v>
      </c>
      <c r="R161" s="121">
        <f t="shared" si="5"/>
        <v>145</v>
      </c>
    </row>
    <row r="162" spans="1:18" x14ac:dyDescent="0.25">
      <c r="A162" s="137" t="s">
        <v>414</v>
      </c>
      <c r="B162" s="137" t="s">
        <v>415</v>
      </c>
      <c r="C162" s="121">
        <f>IFERROR(VLOOKUP($B162,Miljövärden!$B$3:$H$552,MATCH(C$2,Miljövärden!$B$2:$H$2,0),FALSE),"Saknas")</f>
        <v>0.15681899999999999</v>
      </c>
      <c r="D162" s="121">
        <f>IFERROR(VLOOKUP($B162,Miljövärden!$B$3:$H$552,MATCH(D$2,Miljövärden!$B$2:$H$2,0),FALSE),"Saknas")</f>
        <v>33.445799999999998</v>
      </c>
      <c r="E162" s="121">
        <f>IFERROR(VLOOKUP($B162,Miljövärden!$B$3:$H$552,MATCH(E$2,Miljövärden!$B$2:$H$2,0),FALSE),"Saknas")</f>
        <v>10.144600000000001</v>
      </c>
      <c r="F162" s="121">
        <f>IFERROR(VLOOKUP($B162,Miljövärden!$B$3:$H$552,MATCH(F$2,Miljövärden!$B$2:$H$2,0),FALSE),"Saknas")</f>
        <v>8.8097099999999998E-2</v>
      </c>
      <c r="G162" s="121" t="str">
        <f>IFERROR(VLOOKUP($B162,Miljövärden!$B$3:$H$552,MATCH(G$2,Miljövärden!$B$2:$H$2,0),FALSE),"Nej, saknas")</f>
        <v>Ja</v>
      </c>
      <c r="H162" s="285" t="str">
        <f>IFERROR(VLOOKUP($B162,Miljövärden!$B$3:$H$552,MATCH(H$2,Miljövärden!$B$2:$H$2,0),FALSE),"Nej, saknas")</f>
        <v>Ja</v>
      </c>
      <c r="P162" s="121" t="str">
        <f t="shared" si="4"/>
        <v>ja</v>
      </c>
      <c r="R162" s="121">
        <f t="shared" si="5"/>
        <v>146</v>
      </c>
    </row>
    <row r="163" spans="1:18" x14ac:dyDescent="0.25">
      <c r="A163" s="137" t="s">
        <v>414</v>
      </c>
      <c r="B163" s="137" t="s">
        <v>416</v>
      </c>
      <c r="C163" s="121">
        <f>IFERROR(VLOOKUP($B163,Miljövärden!$B$3:$H$552,MATCH(C$2,Miljövärden!$B$2:$H$2,0),FALSE),"Saknas")</f>
        <v>0.189529</v>
      </c>
      <c r="D163" s="121">
        <f>IFERROR(VLOOKUP($B163,Miljövärden!$B$3:$H$552,MATCH(D$2,Miljövärden!$B$2:$H$2,0),FALSE),"Saknas")</f>
        <v>21.193300000000001</v>
      </c>
      <c r="E163" s="121">
        <f>IFERROR(VLOOKUP($B163,Miljövärden!$B$3:$H$552,MATCH(E$2,Miljövärden!$B$2:$H$2,0),FALSE),"Saknas")</f>
        <v>16.305800000000001</v>
      </c>
      <c r="F163" s="121">
        <f>IFERROR(VLOOKUP($B163,Miljövärden!$B$3:$H$552,MATCH(F$2,Miljövärden!$B$2:$H$2,0),FALSE),"Saknas")</f>
        <v>5.4905799999999998E-2</v>
      </c>
      <c r="G163" s="121" t="str">
        <f>IFERROR(VLOOKUP($B163,Miljövärden!$B$3:$H$552,MATCH(G$2,Miljövärden!$B$2:$H$2,0),FALSE),"Nej, saknas")</f>
        <v>Ja</v>
      </c>
      <c r="H163" s="285" t="str">
        <f>IFERROR(VLOOKUP($B163,Miljövärden!$B$3:$H$552,MATCH(H$2,Miljövärden!$B$2:$H$2,0),FALSE),"Nej, saknas")</f>
        <v>Ja</v>
      </c>
      <c r="P163" s="121" t="str">
        <f t="shared" si="4"/>
        <v>ja</v>
      </c>
      <c r="R163" s="121">
        <f t="shared" si="5"/>
        <v>147</v>
      </c>
    </row>
    <row r="164" spans="1:18" x14ac:dyDescent="0.25">
      <c r="A164" s="137" t="s">
        <v>414</v>
      </c>
      <c r="B164" s="137" t="s">
        <v>417</v>
      </c>
      <c r="C164" s="121">
        <f>IFERROR(VLOOKUP($B164,Miljövärden!$B$3:$H$552,MATCH(C$2,Miljövärden!$B$2:$H$2,0),FALSE),"Saknas")</f>
        <v>9.2851699999999995E-2</v>
      </c>
      <c r="D164" s="121">
        <f>IFERROR(VLOOKUP($B164,Miljövärden!$B$3:$H$552,MATCH(D$2,Miljövärden!$B$2:$H$2,0),FALSE),"Saknas")</f>
        <v>5.5020699999999998</v>
      </c>
      <c r="E164" s="121">
        <f>IFERROR(VLOOKUP($B164,Miljövärden!$B$3:$H$552,MATCH(E$2,Miljövärden!$B$2:$H$2,0),FALSE),"Saknas")</f>
        <v>13.0876</v>
      </c>
      <c r="F164" s="121">
        <f>IFERROR(VLOOKUP($B164,Miljövärden!$B$3:$H$552,MATCH(F$2,Miljövärden!$B$2:$H$2,0),FALSE),"Saknas")</f>
        <v>1.8756700000000001E-3</v>
      </c>
      <c r="G164" s="121" t="str">
        <f>IFERROR(VLOOKUP($B164,Miljövärden!$B$3:$H$552,MATCH(G$2,Miljövärden!$B$2:$H$2,0),FALSE),"Nej, saknas")</f>
        <v>Ja</v>
      </c>
      <c r="H164" s="285" t="str">
        <f>IFERROR(VLOOKUP($B164,Miljövärden!$B$3:$H$552,MATCH(H$2,Miljövärden!$B$2:$H$2,0),FALSE),"Nej, saknas")</f>
        <v>Ja</v>
      </c>
      <c r="P164" s="121" t="str">
        <f t="shared" si="4"/>
        <v>ja</v>
      </c>
      <c r="R164" s="121">
        <f t="shared" si="5"/>
        <v>148</v>
      </c>
    </row>
    <row r="165" spans="1:18" x14ac:dyDescent="0.25">
      <c r="A165" s="137" t="s">
        <v>414</v>
      </c>
      <c r="B165" s="137" t="s">
        <v>418</v>
      </c>
      <c r="C165" s="121">
        <f>IFERROR(VLOOKUP($B165,Miljövärden!$B$3:$H$552,MATCH(C$2,Miljövärden!$B$2:$H$2,0),FALSE),"Saknas")</f>
        <v>0.16611300000000001</v>
      </c>
      <c r="D165" s="121">
        <f>IFERROR(VLOOKUP($B165,Miljövärden!$B$3:$H$552,MATCH(D$2,Miljövärden!$B$2:$H$2,0),FALSE),"Saknas")</f>
        <v>15.107100000000001</v>
      </c>
      <c r="E165" s="121">
        <f>IFERROR(VLOOKUP($B165,Miljövärden!$B$3:$H$552,MATCH(E$2,Miljövärden!$B$2:$H$2,0),FALSE),"Saknas")</f>
        <v>16.2348</v>
      </c>
      <c r="F165" s="121">
        <f>IFERROR(VLOOKUP($B165,Miljövärden!$B$3:$H$552,MATCH(F$2,Miljövärden!$B$2:$H$2,0),FALSE),"Saknas")</f>
        <v>3.4859899999999999E-2</v>
      </c>
      <c r="G165" s="121" t="str">
        <f>IFERROR(VLOOKUP($B165,Miljövärden!$B$3:$H$552,MATCH(G$2,Miljövärden!$B$2:$H$2,0),FALSE),"Nej, saknas")</f>
        <v>Ja</v>
      </c>
      <c r="H165" s="285" t="str">
        <f>IFERROR(VLOOKUP($B165,Miljövärden!$B$3:$H$552,MATCH(H$2,Miljövärden!$B$2:$H$2,0),FALSE),"Nej, saknas")</f>
        <v>Ja</v>
      </c>
      <c r="P165" s="121" t="str">
        <f t="shared" si="4"/>
        <v>ja</v>
      </c>
      <c r="R165" s="121">
        <f t="shared" si="5"/>
        <v>149</v>
      </c>
    </row>
    <row r="166" spans="1:18" x14ac:dyDescent="0.25">
      <c r="A166" s="137" t="s">
        <v>419</v>
      </c>
      <c r="B166" s="137" t="s">
        <v>420</v>
      </c>
      <c r="C166" s="121">
        <f>IFERROR(VLOOKUP($B166,Miljövärden!$B$3:$H$552,MATCH(C$2,Miljövärden!$B$2:$H$2,0),FALSE),"Saknas")</f>
        <v>0.12053</v>
      </c>
      <c r="D166" s="121">
        <f>IFERROR(VLOOKUP($B166,Miljövärden!$B$3:$H$552,MATCH(D$2,Miljövärden!$B$2:$H$2,0),FALSE),"Saknas")</f>
        <v>22.3172</v>
      </c>
      <c r="E166" s="121">
        <f>IFERROR(VLOOKUP($B166,Miljövärden!$B$3:$H$552,MATCH(E$2,Miljövärden!$B$2:$H$2,0),FALSE),"Saknas")</f>
        <v>1.02132</v>
      </c>
      <c r="F166" s="121">
        <f>IFERROR(VLOOKUP($B166,Miljövärden!$B$3:$H$552,MATCH(F$2,Miljövärden!$B$2:$H$2,0),FALSE),"Saknas")</f>
        <v>4.4662E-2</v>
      </c>
      <c r="G166" s="121" t="str">
        <f>IFERROR(VLOOKUP($B166,Miljövärden!$B$3:$H$552,MATCH(G$2,Miljövärden!$B$2:$H$2,0),FALSE),"Nej, saknas")</f>
        <v>Ja</v>
      </c>
      <c r="H166" s="285" t="str">
        <f>IFERROR(VLOOKUP($B166,Miljövärden!$B$3:$H$552,MATCH(H$2,Miljövärden!$B$2:$H$2,0),FALSE),"Nej, saknas")</f>
        <v>Ja</v>
      </c>
      <c r="P166" s="121" t="str">
        <f t="shared" si="4"/>
        <v>ja</v>
      </c>
      <c r="R166" s="121">
        <f t="shared" si="5"/>
        <v>150</v>
      </c>
    </row>
    <row r="167" spans="1:18" x14ac:dyDescent="0.25">
      <c r="A167" s="137" t="s">
        <v>421</v>
      </c>
      <c r="B167" s="137" t="s">
        <v>422</v>
      </c>
      <c r="C167" s="121">
        <f>IFERROR(VLOOKUP($B167,Miljövärden!$B$3:$H$552,MATCH(C$2,Miljövärden!$B$2:$H$2,0),FALSE),"Saknas")</f>
        <v>0.43176300000000001</v>
      </c>
      <c r="D167" s="121">
        <f>IFERROR(VLOOKUP($B167,Miljövärden!$B$3:$H$552,MATCH(D$2,Miljövärden!$B$2:$H$2,0),FALSE),"Saknas")</f>
        <v>102.815</v>
      </c>
      <c r="E167" s="121">
        <f>IFERROR(VLOOKUP($B167,Miljövärden!$B$3:$H$552,MATCH(E$2,Miljövärden!$B$2:$H$2,0),FALSE),"Saknas")</f>
        <v>2.2031800000000001</v>
      </c>
      <c r="F167" s="121">
        <f>IFERROR(VLOOKUP($B167,Miljövärden!$B$3:$H$552,MATCH(F$2,Miljövärden!$B$2:$H$2,0),FALSE),"Saknas")</f>
        <v>0</v>
      </c>
      <c r="G167" s="121" t="str">
        <f>IFERROR(VLOOKUP($B167,Miljövärden!$B$3:$H$552,MATCH(G$2,Miljövärden!$B$2:$H$2,0),FALSE),"Nej, saknas")</f>
        <v>Ja</v>
      </c>
      <c r="H167" s="285" t="str">
        <f>IFERROR(VLOOKUP($B167,Miljövärden!$B$3:$H$552,MATCH(H$2,Miljövärden!$B$2:$H$2,0),FALSE),"Nej, saknas")</f>
        <v>Ja</v>
      </c>
      <c r="P167" s="121" t="str">
        <f t="shared" si="4"/>
        <v>ja</v>
      </c>
      <c r="R167" s="121">
        <f t="shared" si="5"/>
        <v>151</v>
      </c>
    </row>
    <row r="168" spans="1:18" x14ac:dyDescent="0.25">
      <c r="A168" s="137" t="s">
        <v>421</v>
      </c>
      <c r="B168" s="137" t="s">
        <v>423</v>
      </c>
      <c r="C168" s="121">
        <f>IFERROR(VLOOKUP($B168,Miljövärden!$B$3:$H$552,MATCH(C$2,Miljövärden!$B$2:$H$2,0),FALSE),"Saknas")</f>
        <v>0.10184600000000001</v>
      </c>
      <c r="D168" s="121">
        <f>IFERROR(VLOOKUP($B168,Miljövärden!$B$3:$H$552,MATCH(D$2,Miljövärden!$B$2:$H$2,0),FALSE),"Saknas")</f>
        <v>174.24799999999999</v>
      </c>
      <c r="E168" s="121">
        <f>IFERROR(VLOOKUP($B168,Miljövärden!$B$3:$H$552,MATCH(E$2,Miljövärden!$B$2:$H$2,0),FALSE),"Saknas")</f>
        <v>4.1048600000000004</v>
      </c>
      <c r="F168" s="121">
        <f>IFERROR(VLOOKUP($B168,Miljövärden!$B$3:$H$552,MATCH(F$2,Miljövärden!$B$2:$H$2,0),FALSE),"Saknas")</f>
        <v>1.28938E-2</v>
      </c>
      <c r="G168" s="121" t="str">
        <f>IFERROR(VLOOKUP($B168,Miljövärden!$B$3:$H$552,MATCH(G$2,Miljövärden!$B$2:$H$2,0),FALSE),"Nej, saknas")</f>
        <v>Nej</v>
      </c>
      <c r="H168" s="285" t="str">
        <f>IFERROR(VLOOKUP($B168,Miljövärden!$B$3:$H$552,MATCH(H$2,Miljövärden!$B$2:$H$2,0),FALSE),"Nej, saknas")</f>
        <v>Ja</v>
      </c>
      <c r="P168" s="121" t="str">
        <f t="shared" si="4"/>
        <v>ja</v>
      </c>
      <c r="R168" s="121">
        <f t="shared" si="5"/>
        <v>152</v>
      </c>
    </row>
    <row r="169" spans="1:18" x14ac:dyDescent="0.25">
      <c r="A169" s="137" t="s">
        <v>424</v>
      </c>
      <c r="B169" s="137" t="s">
        <v>425</v>
      </c>
      <c r="C169" s="121">
        <f>IFERROR(VLOOKUP($B169,Miljövärden!$B$3:$H$552,MATCH(C$2,Miljövärden!$B$2:$H$2,0),FALSE),"Saknas")</f>
        <v>0.146619</v>
      </c>
      <c r="D169" s="121">
        <f>IFERROR(VLOOKUP($B169,Miljövärden!$B$3:$H$552,MATCH(D$2,Miljövärden!$B$2:$H$2,0),FALSE),"Saknas")</f>
        <v>24.9649</v>
      </c>
      <c r="E169" s="121">
        <f>IFERROR(VLOOKUP($B169,Miljövärden!$B$3:$H$552,MATCH(E$2,Miljövärden!$B$2:$H$2,0),FALSE),"Saknas")</f>
        <v>9.7927499999999998</v>
      </c>
      <c r="F169" s="121">
        <f>IFERROR(VLOOKUP($B169,Miljövärden!$B$3:$H$552,MATCH(F$2,Miljövärden!$B$2:$H$2,0),FALSE),"Saknas")</f>
        <v>3.71048E-2</v>
      </c>
      <c r="G169" s="121" t="str">
        <f>IFERROR(VLOOKUP($B169,Miljövärden!$B$3:$H$552,MATCH(G$2,Miljövärden!$B$2:$H$2,0),FALSE),"Nej, saknas")</f>
        <v>Ja</v>
      </c>
      <c r="H169" s="285" t="str">
        <f>IFERROR(VLOOKUP($B169,Miljövärden!$B$3:$H$552,MATCH(H$2,Miljövärden!$B$2:$H$2,0),FALSE),"Nej, saknas")</f>
        <v>Ja</v>
      </c>
      <c r="P169" s="121" t="str">
        <f t="shared" si="4"/>
        <v>ja</v>
      </c>
      <c r="R169" s="121">
        <f t="shared" si="5"/>
        <v>153</v>
      </c>
    </row>
    <row r="170" spans="1:18" x14ac:dyDescent="0.25">
      <c r="A170" s="137" t="s">
        <v>426</v>
      </c>
      <c r="B170" s="137" t="s">
        <v>427</v>
      </c>
      <c r="C170" s="121">
        <f>IFERROR(VLOOKUP($B170,Miljövärden!$B$3:$H$552,MATCH(C$2,Miljövärden!$B$2:$H$2,0),FALSE),"Saknas")</f>
        <v>5.1945400000000003E-2</v>
      </c>
      <c r="D170" s="121">
        <f>IFERROR(VLOOKUP($B170,Miljövärden!$B$3:$H$552,MATCH(D$2,Miljövärden!$B$2:$H$2,0),FALSE),"Saknas")</f>
        <v>10.838100000000001</v>
      </c>
      <c r="E170" s="121">
        <f>IFERROR(VLOOKUP($B170,Miljövärden!$B$3:$H$552,MATCH(E$2,Miljövärden!$B$2:$H$2,0),FALSE),"Saknas")</f>
        <v>1.0233000000000001</v>
      </c>
      <c r="F170" s="121">
        <f>IFERROR(VLOOKUP($B170,Miljövärden!$B$3:$H$552,MATCH(F$2,Miljövärden!$B$2:$H$2,0),FALSE),"Saknas")</f>
        <v>3.0536199999999999E-2</v>
      </c>
      <c r="G170" s="121" t="str">
        <f>IFERROR(VLOOKUP($B170,Miljövärden!$B$3:$H$552,MATCH(G$2,Miljövärden!$B$2:$H$2,0),FALSE),"Nej, saknas")</f>
        <v>Ja</v>
      </c>
      <c r="H170" s="285" t="str">
        <f>IFERROR(VLOOKUP($B170,Miljövärden!$B$3:$H$552,MATCH(H$2,Miljövärden!$B$2:$H$2,0),FALSE),"Nej, saknas")</f>
        <v>Ja</v>
      </c>
      <c r="P170" s="121" t="str">
        <f t="shared" si="4"/>
        <v>ja</v>
      </c>
      <c r="R170" s="121">
        <f t="shared" si="5"/>
        <v>154</v>
      </c>
    </row>
    <row r="171" spans="1:18" x14ac:dyDescent="0.25">
      <c r="A171" s="137" t="s">
        <v>426</v>
      </c>
      <c r="B171" s="137" t="s">
        <v>428</v>
      </c>
      <c r="C171" s="121">
        <f>IFERROR(VLOOKUP($B171,Miljövärden!$B$3:$H$552,MATCH(C$2,Miljövärden!$B$2:$H$2,0),FALSE),"Saknas")</f>
        <v>0.34472999999999998</v>
      </c>
      <c r="D171" s="121">
        <f>IFERROR(VLOOKUP($B171,Miljövärden!$B$3:$H$552,MATCH(D$2,Miljövärden!$B$2:$H$2,0),FALSE),"Saknas")</f>
        <v>3.5890900000000001</v>
      </c>
      <c r="E171" s="121">
        <f>IFERROR(VLOOKUP($B171,Miljövärden!$B$3:$H$552,MATCH(E$2,Miljövärden!$B$2:$H$2,0),FALSE),"Saknas")</f>
        <v>12.5618</v>
      </c>
      <c r="F171" s="121">
        <f>IFERROR(VLOOKUP($B171,Miljövärden!$B$3:$H$552,MATCH(F$2,Miljövärden!$B$2:$H$2,0),FALSE),"Saknas")</f>
        <v>0</v>
      </c>
      <c r="G171" s="121" t="str">
        <f>IFERROR(VLOOKUP($B171,Miljövärden!$B$3:$H$552,MATCH(G$2,Miljövärden!$B$2:$H$2,0),FALSE),"Nej, saknas")</f>
        <v>Ja</v>
      </c>
      <c r="H171" s="285" t="str">
        <f>IFERROR(VLOOKUP($B171,Miljövärden!$B$3:$H$552,MATCH(H$2,Miljövärden!$B$2:$H$2,0),FALSE),"Nej, saknas")</f>
        <v>Ja</v>
      </c>
      <c r="P171" s="121" t="str">
        <f t="shared" si="4"/>
        <v>ja</v>
      </c>
      <c r="R171" s="121">
        <f t="shared" si="5"/>
        <v>155</v>
      </c>
    </row>
    <row r="172" spans="1:18" x14ac:dyDescent="0.25">
      <c r="A172" s="137" t="s">
        <v>426</v>
      </c>
      <c r="B172" s="137" t="s">
        <v>429</v>
      </c>
      <c r="C172" s="121">
        <f>IFERROR(VLOOKUP($B172,Miljövärden!$B$3:$H$552,MATCH(C$2,Miljövärden!$B$2:$H$2,0),FALSE),"Saknas")</f>
        <v>8.9625999999999997E-2</v>
      </c>
      <c r="D172" s="121">
        <f>IFERROR(VLOOKUP($B172,Miljövärden!$B$3:$H$552,MATCH(D$2,Miljövärden!$B$2:$H$2,0),FALSE),"Saknas")</f>
        <v>2.9685999999999999</v>
      </c>
      <c r="E172" s="121">
        <f>IFERROR(VLOOKUP($B172,Miljövärden!$B$3:$H$552,MATCH(E$2,Miljövärden!$B$2:$H$2,0),FALSE),"Saknas")</f>
        <v>1.6952</v>
      </c>
      <c r="F172" s="121">
        <f>IFERROR(VLOOKUP($B172,Miljövärden!$B$3:$H$552,MATCH(F$2,Miljövärden!$B$2:$H$2,0),FALSE),"Saknas")</f>
        <v>7.7380399999999998E-3</v>
      </c>
      <c r="G172" s="121" t="str">
        <f>IFERROR(VLOOKUP($B172,Miljövärden!$B$3:$H$552,MATCH(G$2,Miljövärden!$B$2:$H$2,0),FALSE),"Nej, saknas")</f>
        <v>Ja</v>
      </c>
      <c r="H172" s="285" t="str">
        <f>IFERROR(VLOOKUP($B172,Miljövärden!$B$3:$H$552,MATCH(H$2,Miljövärden!$B$2:$H$2,0),FALSE),"Nej, saknas")</f>
        <v>Ja</v>
      </c>
      <c r="P172" s="121" t="str">
        <f t="shared" si="4"/>
        <v>ja</v>
      </c>
      <c r="R172" s="121">
        <f t="shared" si="5"/>
        <v>156</v>
      </c>
    </row>
    <row r="173" spans="1:18" x14ac:dyDescent="0.25">
      <c r="A173" s="137" t="s">
        <v>426</v>
      </c>
      <c r="B173" s="137" t="s">
        <v>430</v>
      </c>
      <c r="C173" s="121" t="str">
        <f>IFERROR(VLOOKUP($B173,Miljövärden!$B$3:$H$552,MATCH(C$2,Miljövärden!$B$2:$H$2,0),FALSE),"Saknas")</f>
        <v/>
      </c>
      <c r="D173" s="121" t="str">
        <f>IFERROR(VLOOKUP($B173,Miljövärden!$B$3:$H$552,MATCH(D$2,Miljövärden!$B$2:$H$2,0),FALSE),"Saknas")</f>
        <v/>
      </c>
      <c r="E173" s="121" t="str">
        <f>IFERROR(VLOOKUP($B173,Miljövärden!$B$3:$H$552,MATCH(E$2,Miljövärden!$B$2:$H$2,0),FALSE),"Saknas")</f>
        <v/>
      </c>
      <c r="F173" s="121" t="str">
        <f>IFERROR(VLOOKUP($B173,Miljövärden!$B$3:$H$552,MATCH(F$2,Miljövärden!$B$2:$H$2,0),FALSE),"Saknas")</f>
        <v/>
      </c>
      <c r="G173" s="121" t="str">
        <f>IFERROR(VLOOKUP($B173,Miljövärden!$B$3:$H$552,MATCH(G$2,Miljövärden!$B$2:$H$2,0),FALSE),"Nej, saknas")</f>
        <v>Ja</v>
      </c>
      <c r="H173" s="285" t="str">
        <f>IFERROR(VLOOKUP($B173,Miljövärden!$B$3:$H$552,MATCH(H$2,Miljövärden!$B$2:$H$2,0),FALSE),"Nej, saknas")</f>
        <v>Nej</v>
      </c>
      <c r="P173" s="121" t="str">
        <f t="shared" si="4"/>
        <v>nej</v>
      </c>
      <c r="R173" s="121">
        <f t="shared" si="5"/>
        <v>156</v>
      </c>
    </row>
    <row r="174" spans="1:18" x14ac:dyDescent="0.25">
      <c r="A174" s="137" t="s">
        <v>426</v>
      </c>
      <c r="B174" s="137" t="s">
        <v>431</v>
      </c>
      <c r="C174" s="121">
        <f>IFERROR(VLOOKUP($B174,Miljövärden!$B$3:$H$552,MATCH(C$2,Miljövärden!$B$2:$H$2,0),FALSE),"Saknas")</f>
        <v>7.9844600000000002E-2</v>
      </c>
      <c r="D174" s="121">
        <f>IFERROR(VLOOKUP($B174,Miljövärden!$B$3:$H$552,MATCH(D$2,Miljövärden!$B$2:$H$2,0),FALSE),"Saknas")</f>
        <v>17.119599999999998</v>
      </c>
      <c r="E174" s="121">
        <f>IFERROR(VLOOKUP($B174,Miljövärden!$B$3:$H$552,MATCH(E$2,Miljövärden!$B$2:$H$2,0),FALSE),"Saknas")</f>
        <v>1.9630300000000001</v>
      </c>
      <c r="F174" s="121">
        <f>IFERROR(VLOOKUP($B174,Miljövärden!$B$3:$H$552,MATCH(F$2,Miljövärden!$B$2:$H$2,0),FALSE),"Saknas")</f>
        <v>5.0934699999999999E-2</v>
      </c>
      <c r="G174" s="121" t="str">
        <f>IFERROR(VLOOKUP($B174,Miljövärden!$B$3:$H$552,MATCH(G$2,Miljövärden!$B$2:$H$2,0),FALSE),"Nej, saknas")</f>
        <v>Ja</v>
      </c>
      <c r="H174" s="285" t="str">
        <f>IFERROR(VLOOKUP($B174,Miljövärden!$B$3:$H$552,MATCH(H$2,Miljövärden!$B$2:$H$2,0),FALSE),"Nej, saknas")</f>
        <v>Ja</v>
      </c>
      <c r="P174" s="121" t="str">
        <f t="shared" si="4"/>
        <v>ja</v>
      </c>
      <c r="R174" s="121">
        <f t="shared" si="5"/>
        <v>157</v>
      </c>
    </row>
    <row r="175" spans="1:18" x14ac:dyDescent="0.25">
      <c r="A175" s="137" t="s">
        <v>432</v>
      </c>
      <c r="B175" s="137" t="s">
        <v>433</v>
      </c>
      <c r="C175" s="121">
        <f>IFERROR(VLOOKUP($B175,Miljövärden!$B$3:$H$552,MATCH(C$2,Miljövärden!$B$2:$H$2,0),FALSE),"Saknas")</f>
        <v>0.15060000000000001</v>
      </c>
      <c r="D175" s="121">
        <f>IFERROR(VLOOKUP($B175,Miljövärden!$B$3:$H$552,MATCH(D$2,Miljövärden!$B$2:$H$2,0),FALSE),"Saknas")</f>
        <v>132.03899999999999</v>
      </c>
      <c r="E175" s="121">
        <f>IFERROR(VLOOKUP($B175,Miljövärden!$B$3:$H$552,MATCH(E$2,Miljövärden!$B$2:$H$2,0),FALSE),"Saknas")</f>
        <v>7.5058999999999996</v>
      </c>
      <c r="F175" s="121">
        <f>IFERROR(VLOOKUP($B175,Miljövärden!$B$3:$H$552,MATCH(F$2,Miljövärden!$B$2:$H$2,0),FALSE),"Saknas")</f>
        <v>1.6263199999999998E-2</v>
      </c>
      <c r="G175" s="121" t="str">
        <f>IFERROR(VLOOKUP($B175,Miljövärden!$B$3:$H$552,MATCH(G$2,Miljövärden!$B$2:$H$2,0),FALSE),"Nej, saknas")</f>
        <v>Nej</v>
      </c>
      <c r="H175" s="285" t="str">
        <f>IFERROR(VLOOKUP($B175,Miljövärden!$B$3:$H$552,MATCH(H$2,Miljövärden!$B$2:$H$2,0),FALSE),"Nej, saknas")</f>
        <v>Ja</v>
      </c>
      <c r="P175" s="121" t="str">
        <f t="shared" si="4"/>
        <v>ja</v>
      </c>
      <c r="R175" s="121">
        <f t="shared" si="5"/>
        <v>158</v>
      </c>
    </row>
    <row r="176" spans="1:18" x14ac:dyDescent="0.25">
      <c r="A176" s="137" t="s">
        <v>434</v>
      </c>
      <c r="B176" s="137" t="s">
        <v>435</v>
      </c>
      <c r="C176" s="121">
        <f>IFERROR(VLOOKUP($B176,Miljövärden!$B$3:$H$552,MATCH(C$2,Miljövärden!$B$2:$H$2,0),FALSE),"Saknas")</f>
        <v>9.6592600000000001E-2</v>
      </c>
      <c r="D176" s="121">
        <f>IFERROR(VLOOKUP($B176,Miljövärden!$B$3:$H$552,MATCH(D$2,Miljövärden!$B$2:$H$2,0),FALSE),"Saknas")</f>
        <v>10.7654</v>
      </c>
      <c r="E176" s="121">
        <f>IFERROR(VLOOKUP($B176,Miljövärden!$B$3:$H$552,MATCH(E$2,Miljövärden!$B$2:$H$2,0),FALSE),"Saknas")</f>
        <v>9.1851900000000004</v>
      </c>
      <c r="F176" s="121">
        <f>IFERROR(VLOOKUP($B176,Miljövärden!$B$3:$H$552,MATCH(F$2,Miljövärden!$B$2:$H$2,0),FALSE),"Saknas")</f>
        <v>2.28206E-2</v>
      </c>
      <c r="G176" s="121" t="str">
        <f>IFERROR(VLOOKUP($B176,Miljövärden!$B$3:$H$552,MATCH(G$2,Miljövärden!$B$2:$H$2,0),FALSE),"Nej, saknas")</f>
        <v>Nej</v>
      </c>
      <c r="H176" s="285" t="str">
        <f>IFERROR(VLOOKUP($B176,Miljövärden!$B$3:$H$552,MATCH(H$2,Miljövärden!$B$2:$H$2,0),FALSE),"Nej, saknas")</f>
        <v>Ja</v>
      </c>
      <c r="P176" s="121" t="str">
        <f t="shared" si="4"/>
        <v>ja</v>
      </c>
      <c r="R176" s="121">
        <f t="shared" si="5"/>
        <v>159</v>
      </c>
    </row>
    <row r="177" spans="1:18" x14ac:dyDescent="0.25">
      <c r="A177" s="137" t="s">
        <v>434</v>
      </c>
      <c r="B177" s="137" t="s">
        <v>436</v>
      </c>
      <c r="C177" s="121">
        <f>IFERROR(VLOOKUP($B177,Miljövärden!$B$3:$H$552,MATCH(C$2,Miljövärden!$B$2:$H$2,0),FALSE),"Saknas")</f>
        <v>0.172571</v>
      </c>
      <c r="D177" s="121">
        <f>IFERROR(VLOOKUP($B177,Miljövärden!$B$3:$H$552,MATCH(D$2,Miljövärden!$B$2:$H$2,0),FALSE),"Saknas")</f>
        <v>27.8476</v>
      </c>
      <c r="E177" s="121">
        <f>IFERROR(VLOOKUP($B177,Miljövärden!$B$3:$H$552,MATCH(E$2,Miljövärden!$B$2:$H$2,0),FALSE),"Saknas")</f>
        <v>10.419</v>
      </c>
      <c r="F177" s="121">
        <f>IFERROR(VLOOKUP($B177,Miljövärden!$B$3:$H$552,MATCH(F$2,Miljövärden!$B$2:$H$2,0),FALSE),"Saknas")</f>
        <v>5.8861999999999998E-2</v>
      </c>
      <c r="G177" s="121" t="str">
        <f>IFERROR(VLOOKUP($B177,Miljövärden!$B$3:$H$552,MATCH(G$2,Miljövärden!$B$2:$H$2,0),FALSE),"Nej, saknas")</f>
        <v>Nej</v>
      </c>
      <c r="H177" s="285" t="str">
        <f>IFERROR(VLOOKUP($B177,Miljövärden!$B$3:$H$552,MATCH(H$2,Miljövärden!$B$2:$H$2,0),FALSE),"Nej, saknas")</f>
        <v>Ja</v>
      </c>
      <c r="P177" s="121" t="str">
        <f t="shared" si="4"/>
        <v>ja</v>
      </c>
      <c r="R177" s="121">
        <f t="shared" si="5"/>
        <v>160</v>
      </c>
    </row>
    <row r="178" spans="1:18" x14ac:dyDescent="0.25">
      <c r="A178" s="137" t="s">
        <v>434</v>
      </c>
      <c r="B178" s="137" t="s">
        <v>437</v>
      </c>
      <c r="C178" s="121">
        <f>IFERROR(VLOOKUP($B178,Miljövärden!$B$3:$H$552,MATCH(C$2,Miljövärden!$B$2:$H$2,0),FALSE),"Saknas")</f>
        <v>8.62377E-2</v>
      </c>
      <c r="D178" s="121">
        <f>IFERROR(VLOOKUP($B178,Miljövärden!$B$3:$H$552,MATCH(D$2,Miljövärden!$B$2:$H$2,0),FALSE),"Saknas")</f>
        <v>7.0313800000000004</v>
      </c>
      <c r="E178" s="121">
        <f>IFERROR(VLOOKUP($B178,Miljövärden!$B$3:$H$552,MATCH(E$2,Miljövärden!$B$2:$H$2,0),FALSE),"Saknas")</f>
        <v>8.3378800000000002</v>
      </c>
      <c r="F178" s="121">
        <f>IFERROR(VLOOKUP($B178,Miljövärden!$B$3:$H$552,MATCH(F$2,Miljövärden!$B$2:$H$2,0),FALSE),"Saknas")</f>
        <v>6.4264400000000003E-3</v>
      </c>
      <c r="G178" s="121" t="str">
        <f>IFERROR(VLOOKUP($B178,Miljövärden!$B$3:$H$552,MATCH(G$2,Miljövärden!$B$2:$H$2,0),FALSE),"Nej, saknas")</f>
        <v>Nej</v>
      </c>
      <c r="H178" s="285" t="str">
        <f>IFERROR(VLOOKUP($B178,Miljövärden!$B$3:$H$552,MATCH(H$2,Miljövärden!$B$2:$H$2,0),FALSE),"Nej, saknas")</f>
        <v>Ja</v>
      </c>
      <c r="P178" s="121" t="str">
        <f t="shared" si="4"/>
        <v>ja</v>
      </c>
      <c r="R178" s="121">
        <f t="shared" si="5"/>
        <v>161</v>
      </c>
    </row>
    <row r="179" spans="1:18" x14ac:dyDescent="0.25">
      <c r="A179" s="137" t="s">
        <v>438</v>
      </c>
      <c r="B179" s="137" t="s">
        <v>439</v>
      </c>
      <c r="C179" s="121">
        <f>IFERROR(VLOOKUP($B179,Miljövärden!$B$3:$H$552,MATCH(C$2,Miljövärden!$B$2:$H$2,0),FALSE),"Saknas")</f>
        <v>5.7063000000000003E-2</v>
      </c>
      <c r="D179" s="121">
        <f>IFERROR(VLOOKUP($B179,Miljövärden!$B$3:$H$552,MATCH(D$2,Miljövärden!$B$2:$H$2,0),FALSE),"Saknas")</f>
        <v>13.400399999999999</v>
      </c>
      <c r="E179" s="121">
        <f>IFERROR(VLOOKUP($B179,Miljövärden!$B$3:$H$552,MATCH(E$2,Miljövärden!$B$2:$H$2,0),FALSE),"Saknas")</f>
        <v>1.5060800000000001</v>
      </c>
      <c r="F179" s="121">
        <f>IFERROR(VLOOKUP($B179,Miljövärden!$B$3:$H$552,MATCH(F$2,Miljövärden!$B$2:$H$2,0),FALSE),"Saknas")</f>
        <v>4.4263299999999998E-2</v>
      </c>
      <c r="G179" s="121" t="str">
        <f>IFERROR(VLOOKUP($B179,Miljövärden!$B$3:$H$552,MATCH(G$2,Miljövärden!$B$2:$H$2,0),FALSE),"Nej, saknas")</f>
        <v>Nej</v>
      </c>
      <c r="H179" s="285" t="str">
        <f>IFERROR(VLOOKUP($B179,Miljövärden!$B$3:$H$552,MATCH(H$2,Miljövärden!$B$2:$H$2,0),FALSE),"Nej, saknas")</f>
        <v>Ja</v>
      </c>
      <c r="P179" s="121" t="str">
        <f t="shared" si="4"/>
        <v>ja</v>
      </c>
      <c r="R179" s="121">
        <f t="shared" si="5"/>
        <v>162</v>
      </c>
    </row>
    <row r="180" spans="1:18" x14ac:dyDescent="0.25">
      <c r="A180" s="137" t="s">
        <v>438</v>
      </c>
      <c r="B180" s="137" t="s">
        <v>440</v>
      </c>
      <c r="C180" s="121">
        <f>IFERROR(VLOOKUP($B180,Miljövärden!$B$3:$H$552,MATCH(C$2,Miljövärden!$B$2:$H$2,0),FALSE),"Saknas")</f>
        <v>7.0390899999999996E-3</v>
      </c>
      <c r="D180" s="121">
        <f>IFERROR(VLOOKUP($B180,Miljövärden!$B$3:$H$552,MATCH(D$2,Miljövärden!$B$2:$H$2,0),FALSE),"Saknas")</f>
        <v>0.17101</v>
      </c>
      <c r="E180" s="121">
        <f>IFERROR(VLOOKUP($B180,Miljövärden!$B$3:$H$552,MATCH(E$2,Miljövärden!$B$2:$H$2,0),FALSE),"Saknas")</f>
        <v>0.60260599999999998</v>
      </c>
      <c r="F180" s="121">
        <f>IFERROR(VLOOKUP($B180,Miljövärden!$B$3:$H$552,MATCH(F$2,Miljövärden!$B$2:$H$2,0),FALSE),"Saknas")</f>
        <v>0</v>
      </c>
      <c r="G180" s="121" t="str">
        <f>IFERROR(VLOOKUP($B180,Miljövärden!$B$3:$H$552,MATCH(G$2,Miljövärden!$B$2:$H$2,0),FALSE),"Nej, saknas")</f>
        <v>Ja</v>
      </c>
      <c r="H180" s="285" t="str">
        <f>IFERROR(VLOOKUP($B180,Miljövärden!$B$3:$H$552,MATCH(H$2,Miljövärden!$B$2:$H$2,0),FALSE),"Nej, saknas")</f>
        <v>Ja</v>
      </c>
      <c r="P180" s="121" t="str">
        <f t="shared" si="4"/>
        <v>ja</v>
      </c>
      <c r="R180" s="121">
        <f t="shared" si="5"/>
        <v>163</v>
      </c>
    </row>
    <row r="181" spans="1:18" x14ac:dyDescent="0.25">
      <c r="A181" s="137" t="s">
        <v>438</v>
      </c>
      <c r="B181" s="137" t="s">
        <v>441</v>
      </c>
      <c r="C181" s="121">
        <f>IFERROR(VLOOKUP($B181,Miljövärden!$B$3:$H$552,MATCH(C$2,Miljövärden!$B$2:$H$2,0),FALSE),"Saknas")</f>
        <v>0.174732</v>
      </c>
      <c r="D181" s="121">
        <f>IFERROR(VLOOKUP($B181,Miljövärden!$B$3:$H$552,MATCH(D$2,Miljövärden!$B$2:$H$2,0),FALSE),"Saknas")</f>
        <v>22.071400000000001</v>
      </c>
      <c r="E181" s="121">
        <f>IFERROR(VLOOKUP($B181,Miljövärden!$B$3:$H$552,MATCH(E$2,Miljövärden!$B$2:$H$2,0),FALSE),"Saknas")</f>
        <v>16.25</v>
      </c>
      <c r="F181" s="121">
        <f>IFERROR(VLOOKUP($B181,Miljövärden!$B$3:$H$552,MATCH(F$2,Miljövärden!$B$2:$H$2,0),FALSE),"Saknas")</f>
        <v>4.4275799999999997E-2</v>
      </c>
      <c r="G181" s="121" t="str">
        <f>IFERROR(VLOOKUP($B181,Miljövärden!$B$3:$H$552,MATCH(G$2,Miljövärden!$B$2:$H$2,0),FALSE),"Nej, saknas")</f>
        <v>Ja</v>
      </c>
      <c r="H181" s="285" t="str">
        <f>IFERROR(VLOOKUP($B181,Miljövärden!$B$3:$H$552,MATCH(H$2,Miljövärden!$B$2:$H$2,0),FALSE),"Nej, saknas")</f>
        <v>Ja</v>
      </c>
      <c r="P181" s="121" t="str">
        <f t="shared" si="4"/>
        <v>ja</v>
      </c>
      <c r="R181" s="121">
        <f t="shared" si="5"/>
        <v>164</v>
      </c>
    </row>
    <row r="182" spans="1:18" x14ac:dyDescent="0.25">
      <c r="A182" s="137" t="s">
        <v>442</v>
      </c>
      <c r="B182" s="137" t="s">
        <v>443</v>
      </c>
      <c r="C182" s="121">
        <f>IFERROR(VLOOKUP($B182,Miljövärden!$B$3:$H$552,MATCH(C$2,Miljövärden!$B$2:$H$2,0),FALSE),"Saknas")</f>
        <v>5.5085200000000001E-2</v>
      </c>
      <c r="D182" s="121">
        <f>IFERROR(VLOOKUP($B182,Miljövärden!$B$3:$H$552,MATCH(D$2,Miljövärden!$B$2:$H$2,0),FALSE),"Saknas")</f>
        <v>5.6014799999999996</v>
      </c>
      <c r="E182" s="121">
        <f>IFERROR(VLOOKUP($B182,Miljövärden!$B$3:$H$552,MATCH(E$2,Miljövärden!$B$2:$H$2,0),FALSE),"Saknas")</f>
        <v>7.6503699999999997</v>
      </c>
      <c r="F182" s="121">
        <f>IFERROR(VLOOKUP($B182,Miljövärden!$B$3:$H$552,MATCH(F$2,Miljövärden!$B$2:$H$2,0),FALSE),"Saknas")</f>
        <v>3.87712E-3</v>
      </c>
      <c r="G182" s="121" t="str">
        <f>IFERROR(VLOOKUP($B182,Miljövärden!$B$3:$H$552,MATCH(G$2,Miljövärden!$B$2:$H$2,0),FALSE),"Nej, saknas")</f>
        <v>Ja</v>
      </c>
      <c r="H182" s="285" t="str">
        <f>IFERROR(VLOOKUP($B182,Miljövärden!$B$3:$H$552,MATCH(H$2,Miljövärden!$B$2:$H$2,0),FALSE),"Nej, saknas")</f>
        <v>Ja</v>
      </c>
      <c r="P182" s="121" t="str">
        <f t="shared" si="4"/>
        <v>ja</v>
      </c>
      <c r="R182" s="121">
        <f t="shared" si="5"/>
        <v>165</v>
      </c>
    </row>
    <row r="183" spans="1:18" x14ac:dyDescent="0.25">
      <c r="A183" s="137" t="s">
        <v>444</v>
      </c>
      <c r="B183" s="137" t="s">
        <v>445</v>
      </c>
      <c r="C183" s="121">
        <f>IFERROR(VLOOKUP($B183,Miljövärden!$B$3:$H$552,MATCH(C$2,Miljövärden!$B$2:$H$2,0),FALSE),"Saknas")</f>
        <v>6.7336400000000005E-2</v>
      </c>
      <c r="D183" s="121">
        <f>IFERROR(VLOOKUP($B183,Miljövärden!$B$3:$H$552,MATCH(D$2,Miljövärden!$B$2:$H$2,0),FALSE),"Saknas")</f>
        <v>7.31942</v>
      </c>
      <c r="E183" s="121">
        <f>IFERROR(VLOOKUP($B183,Miljövärden!$B$3:$H$552,MATCH(E$2,Miljövärden!$B$2:$H$2,0),FALSE),"Saknas")</f>
        <v>9.1912599999999998</v>
      </c>
      <c r="F183" s="121">
        <f>IFERROR(VLOOKUP($B183,Miljövärden!$B$3:$H$552,MATCH(F$2,Miljövärden!$B$2:$H$2,0),FALSE),"Saknas")</f>
        <v>6.0262500000000004E-3</v>
      </c>
      <c r="G183" s="121" t="str">
        <f>IFERROR(VLOOKUP($B183,Miljövärden!$B$3:$H$552,MATCH(G$2,Miljövärden!$B$2:$H$2,0),FALSE),"Nej, saknas")</f>
        <v>Ja</v>
      </c>
      <c r="H183" s="285" t="str">
        <f>IFERROR(VLOOKUP($B183,Miljövärden!$B$3:$H$552,MATCH(H$2,Miljövärden!$B$2:$H$2,0),FALSE),"Nej, saknas")</f>
        <v>Ja</v>
      </c>
      <c r="P183" s="121" t="str">
        <f t="shared" si="4"/>
        <v>ja</v>
      </c>
      <c r="R183" s="121">
        <f t="shared" si="5"/>
        <v>166</v>
      </c>
    </row>
    <row r="184" spans="1:18" x14ac:dyDescent="0.25">
      <c r="A184" s="137" t="s">
        <v>444</v>
      </c>
      <c r="B184" s="137" t="s">
        <v>446</v>
      </c>
      <c r="C184" s="121">
        <f>IFERROR(VLOOKUP($B184,Miljövärden!$B$3:$H$552,MATCH(C$2,Miljövärden!$B$2:$H$2,0),FALSE),"Saknas")</f>
        <v>0.18005599999999999</v>
      </c>
      <c r="D184" s="121">
        <f>IFERROR(VLOOKUP($B184,Miljövärden!$B$3:$H$552,MATCH(D$2,Miljövärden!$B$2:$H$2,0),FALSE),"Saknas")</f>
        <v>6.8949400000000001</v>
      </c>
      <c r="E184" s="121">
        <f>IFERROR(VLOOKUP($B184,Miljövärden!$B$3:$H$552,MATCH(E$2,Miljövärden!$B$2:$H$2,0),FALSE),"Saknas")</f>
        <v>17.482700000000001</v>
      </c>
      <c r="F184" s="121">
        <f>IFERROR(VLOOKUP($B184,Miljövärden!$B$3:$H$552,MATCH(F$2,Miljövärden!$B$2:$H$2,0),FALSE),"Saknas")</f>
        <v>5.6836300000000003E-3</v>
      </c>
      <c r="G184" s="121" t="str">
        <f>IFERROR(VLOOKUP($B184,Miljövärden!$B$3:$H$552,MATCH(G$2,Miljövärden!$B$2:$H$2,0),FALSE),"Nej, saknas")</f>
        <v>Ja</v>
      </c>
      <c r="H184" s="285" t="str">
        <f>IFERROR(VLOOKUP($B184,Miljövärden!$B$3:$H$552,MATCH(H$2,Miljövärden!$B$2:$H$2,0),FALSE),"Nej, saknas")</f>
        <v>Ja</v>
      </c>
      <c r="P184" s="121" t="str">
        <f t="shared" si="4"/>
        <v>ja</v>
      </c>
      <c r="R184" s="121">
        <f t="shared" si="5"/>
        <v>167</v>
      </c>
    </row>
    <row r="185" spans="1:18" x14ac:dyDescent="0.25">
      <c r="A185" s="137" t="s">
        <v>447</v>
      </c>
      <c r="B185" s="137" t="s">
        <v>448</v>
      </c>
      <c r="C185" s="121">
        <f>IFERROR(VLOOKUP($B185,Miljövärden!$B$3:$H$552,MATCH(C$2,Miljövärden!$B$2:$H$2,0),FALSE),"Saknas")</f>
        <v>0.13430700000000001</v>
      </c>
      <c r="D185" s="121">
        <f>IFERROR(VLOOKUP($B185,Miljövärden!$B$3:$H$552,MATCH(D$2,Miljövärden!$B$2:$H$2,0),FALSE),"Saknas")</f>
        <v>57.757199999999997</v>
      </c>
      <c r="E185" s="121">
        <f>IFERROR(VLOOKUP($B185,Miljövärden!$B$3:$H$552,MATCH(E$2,Miljövärden!$B$2:$H$2,0),FALSE),"Saknas")</f>
        <v>7.5542499999999997</v>
      </c>
      <c r="F185" s="121">
        <f>IFERROR(VLOOKUP($B185,Miljövärden!$B$3:$H$552,MATCH(F$2,Miljövärden!$B$2:$H$2,0),FALSE),"Saknas")</f>
        <v>1.9531099999999999E-2</v>
      </c>
      <c r="G185" s="121" t="str">
        <f>IFERROR(VLOOKUP($B185,Miljövärden!$B$3:$H$552,MATCH(G$2,Miljövärden!$B$2:$H$2,0),FALSE),"Nej, saknas")</f>
        <v>Ja</v>
      </c>
      <c r="H185" s="285" t="str">
        <f>IFERROR(VLOOKUP($B185,Miljövärden!$B$3:$H$552,MATCH(H$2,Miljövärden!$B$2:$H$2,0),FALSE),"Nej, saknas")</f>
        <v>Ja</v>
      </c>
      <c r="P185" s="121" t="str">
        <f t="shared" si="4"/>
        <v>ja</v>
      </c>
      <c r="R185" s="121">
        <f t="shared" si="5"/>
        <v>168</v>
      </c>
    </row>
    <row r="186" spans="1:18" x14ac:dyDescent="0.25">
      <c r="A186" s="137" t="s">
        <v>449</v>
      </c>
      <c r="B186" s="137" t="s">
        <v>450</v>
      </c>
      <c r="C186" s="121">
        <f>IFERROR(VLOOKUP($B186,Miljövärden!$B$3:$H$552,MATCH(C$2,Miljövärden!$B$2:$H$2,0),FALSE),"Saknas")</f>
        <v>9.7415699999999994E-2</v>
      </c>
      <c r="D186" s="121">
        <f>IFERROR(VLOOKUP($B186,Miljövärden!$B$3:$H$552,MATCH(D$2,Miljövärden!$B$2:$H$2,0),FALSE),"Saknas")</f>
        <v>10.741</v>
      </c>
      <c r="E186" s="121">
        <f>IFERROR(VLOOKUP($B186,Miljövärden!$B$3:$H$552,MATCH(E$2,Miljövärden!$B$2:$H$2,0),FALSE),"Saknas")</f>
        <v>12.073</v>
      </c>
      <c r="F186" s="121">
        <f>IFERROR(VLOOKUP($B186,Miljövärden!$B$3:$H$552,MATCH(F$2,Miljövärden!$B$2:$H$2,0),FALSE),"Saknas")</f>
        <v>4.1935499999999999E-3</v>
      </c>
      <c r="G186" s="121" t="str">
        <f>IFERROR(VLOOKUP($B186,Miljövärden!$B$3:$H$552,MATCH(G$2,Miljövärden!$B$2:$H$2,0),FALSE),"Nej, saknas")</f>
        <v>Ja</v>
      </c>
      <c r="H186" s="285" t="str">
        <f>IFERROR(VLOOKUP($B186,Miljövärden!$B$3:$H$552,MATCH(H$2,Miljövärden!$B$2:$H$2,0),FALSE),"Nej, saknas")</f>
        <v>Ja</v>
      </c>
      <c r="P186" s="121" t="str">
        <f t="shared" si="4"/>
        <v>ja</v>
      </c>
      <c r="R186" s="121">
        <f t="shared" si="5"/>
        <v>169</v>
      </c>
    </row>
    <row r="187" spans="1:18" x14ac:dyDescent="0.25">
      <c r="A187" s="137" t="s">
        <v>451</v>
      </c>
      <c r="B187" s="137" t="s">
        <v>452</v>
      </c>
      <c r="C187" s="121">
        <f>IFERROR(VLOOKUP($B187,Miljövärden!$B$3:$H$552,MATCH(C$2,Miljövärden!$B$2:$H$2,0),FALSE),"Saknas")</f>
        <v>0</v>
      </c>
      <c r="D187" s="121">
        <f>IFERROR(VLOOKUP($B187,Miljövärden!$B$3:$H$552,MATCH(D$2,Miljövärden!$B$2:$H$2,0),FALSE),"Saknas")</f>
        <v>0</v>
      </c>
      <c r="E187" s="121">
        <f>IFERROR(VLOOKUP($B187,Miljövärden!$B$3:$H$552,MATCH(E$2,Miljövärden!$B$2:$H$2,0),FALSE),"Saknas")</f>
        <v>0</v>
      </c>
      <c r="F187" s="121">
        <f>IFERROR(VLOOKUP($B187,Miljövärden!$B$3:$H$552,MATCH(F$2,Miljövärden!$B$2:$H$2,0),FALSE),"Saknas")</f>
        <v>0</v>
      </c>
      <c r="G187" s="121" t="str">
        <f>IFERROR(VLOOKUP($B187,Miljövärden!$B$3:$H$552,MATCH(G$2,Miljövärden!$B$2:$H$2,0),FALSE),"Nej, saknas")</f>
        <v>Nej</v>
      </c>
      <c r="H187" s="285" t="str">
        <f>IFERROR(VLOOKUP($B187,Miljövärden!$B$3:$H$552,MATCH(H$2,Miljövärden!$B$2:$H$2,0),FALSE),"Nej, saknas")</f>
        <v>Nej</v>
      </c>
      <c r="P187" s="121" t="str">
        <f t="shared" si="4"/>
        <v>nej</v>
      </c>
      <c r="R187" s="121">
        <f t="shared" si="5"/>
        <v>169</v>
      </c>
    </row>
    <row r="188" spans="1:18" x14ac:dyDescent="0.25">
      <c r="A188" s="137" t="s">
        <v>453</v>
      </c>
      <c r="B188" s="137" t="s">
        <v>454</v>
      </c>
      <c r="C188" s="121">
        <f>IFERROR(VLOOKUP($B188,Miljövärden!$B$3:$H$552,MATCH(C$2,Miljövärden!$B$2:$H$2,0),FALSE),"Saknas")</f>
        <v>0.12781200000000001</v>
      </c>
      <c r="D188" s="121">
        <f>IFERROR(VLOOKUP($B188,Miljövärden!$B$3:$H$552,MATCH(D$2,Miljövärden!$B$2:$H$2,0),FALSE),"Saknas")</f>
        <v>11.4201</v>
      </c>
      <c r="E188" s="121">
        <f>IFERROR(VLOOKUP($B188,Miljövärden!$B$3:$H$552,MATCH(E$2,Miljövärden!$B$2:$H$2,0),FALSE),"Saknas")</f>
        <v>8.5174599999999998</v>
      </c>
      <c r="F188" s="121">
        <f>IFERROR(VLOOKUP($B188,Miljövärden!$B$3:$H$552,MATCH(F$2,Miljövärden!$B$2:$H$2,0),FALSE),"Saknas")</f>
        <v>1.7739000000000001E-2</v>
      </c>
      <c r="G188" s="121" t="str">
        <f>IFERROR(VLOOKUP($B188,Miljövärden!$B$3:$H$552,MATCH(G$2,Miljövärden!$B$2:$H$2,0),FALSE),"Nej, saknas")</f>
        <v>Ja</v>
      </c>
      <c r="H188" s="285" t="str">
        <f>IFERROR(VLOOKUP($B188,Miljövärden!$B$3:$H$552,MATCH(H$2,Miljövärden!$B$2:$H$2,0),FALSE),"Nej, saknas")</f>
        <v>Ja</v>
      </c>
      <c r="P188" s="121" t="str">
        <f t="shared" si="4"/>
        <v>ja</v>
      </c>
      <c r="R188" s="121">
        <f t="shared" si="5"/>
        <v>170</v>
      </c>
    </row>
    <row r="189" spans="1:18" x14ac:dyDescent="0.25">
      <c r="A189" s="137" t="s">
        <v>453</v>
      </c>
      <c r="B189" s="137" t="s">
        <v>126</v>
      </c>
      <c r="C189" s="121">
        <f>IFERROR(VLOOKUP($B189,Miljövärden!$B$3:$H$552,MATCH(C$2,Miljövärden!$B$2:$H$2,0),FALSE),"Saknas")</f>
        <v>0</v>
      </c>
      <c r="D189" s="121">
        <f>IFERROR(VLOOKUP($B189,Miljövärden!$B$3:$H$552,MATCH(D$2,Miljövärden!$B$2:$H$2,0),FALSE),"Saknas")</f>
        <v>0</v>
      </c>
      <c r="E189" s="121">
        <f>IFERROR(VLOOKUP($B189,Miljövärden!$B$3:$H$552,MATCH(E$2,Miljövärden!$B$2:$H$2,0),FALSE),"Saknas")</f>
        <v>0</v>
      </c>
      <c r="F189" s="121">
        <f>IFERROR(VLOOKUP($B189,Miljövärden!$B$3:$H$552,MATCH(F$2,Miljövärden!$B$2:$H$2,0),FALSE),"Saknas")</f>
        <v>0</v>
      </c>
      <c r="G189" s="121" t="str">
        <f>IFERROR(VLOOKUP($B189,Miljövärden!$B$3:$H$552,MATCH(G$2,Miljövärden!$B$2:$H$2,0),FALSE),"Nej, saknas")</f>
        <v>Ja</v>
      </c>
      <c r="H189" s="285" t="str">
        <f>IFERROR(VLOOKUP($B189,Miljövärden!$B$3:$H$552,MATCH(H$2,Miljövärden!$B$2:$H$2,0),FALSE),"Nej, saknas")</f>
        <v>Nej</v>
      </c>
      <c r="P189" s="121" t="str">
        <f t="shared" si="4"/>
        <v>nej</v>
      </c>
      <c r="R189" s="121">
        <f t="shared" si="5"/>
        <v>170</v>
      </c>
    </row>
    <row r="190" spans="1:18" x14ac:dyDescent="0.25">
      <c r="A190" s="137" t="s">
        <v>453</v>
      </c>
      <c r="B190" s="137" t="s">
        <v>455</v>
      </c>
      <c r="C190" s="121">
        <f>IFERROR(VLOOKUP($B190,Miljövärden!$B$3:$H$552,MATCH(C$2,Miljövärden!$B$2:$H$2,0),FALSE),"Saknas")</f>
        <v>0.20119200000000001</v>
      </c>
      <c r="D190" s="121">
        <f>IFERROR(VLOOKUP($B190,Miljövärden!$B$3:$H$552,MATCH(D$2,Miljövärden!$B$2:$H$2,0),FALSE),"Saknas")</f>
        <v>107.276</v>
      </c>
      <c r="E190" s="121">
        <f>IFERROR(VLOOKUP($B190,Miljövärden!$B$3:$H$552,MATCH(E$2,Miljövärden!$B$2:$H$2,0),FALSE),"Saknas")</f>
        <v>7.0889199999999999</v>
      </c>
      <c r="F190" s="121">
        <f>IFERROR(VLOOKUP($B190,Miljövärden!$B$3:$H$552,MATCH(F$2,Miljövärden!$B$2:$H$2,0),FALSE),"Saknas")</f>
        <v>7.2165400000000005E-2</v>
      </c>
      <c r="G190" s="121" t="str">
        <f>IFERROR(VLOOKUP($B190,Miljövärden!$B$3:$H$552,MATCH(G$2,Miljövärden!$B$2:$H$2,0),FALSE),"Nej, saknas")</f>
        <v>Ja</v>
      </c>
      <c r="H190" s="285" t="str">
        <f>IFERROR(VLOOKUP($B190,Miljövärden!$B$3:$H$552,MATCH(H$2,Miljövärden!$B$2:$H$2,0),FALSE),"Nej, saknas")</f>
        <v>ja</v>
      </c>
      <c r="P190" s="121" t="str">
        <f t="shared" si="4"/>
        <v>ja</v>
      </c>
      <c r="R190" s="121">
        <f t="shared" si="5"/>
        <v>171</v>
      </c>
    </row>
    <row r="191" spans="1:18" x14ac:dyDescent="0.25">
      <c r="A191" s="137" t="s">
        <v>453</v>
      </c>
      <c r="B191" s="137" t="s">
        <v>456</v>
      </c>
      <c r="C191" s="121">
        <f>IFERROR(VLOOKUP($B191,Miljövärden!$B$3:$H$552,MATCH(C$2,Miljövärden!$B$2:$H$2,0),FALSE),"Saknas")</f>
        <v>0.123335</v>
      </c>
      <c r="D191" s="121">
        <f>IFERROR(VLOOKUP($B191,Miljövärden!$B$3:$H$552,MATCH(D$2,Miljövärden!$B$2:$H$2,0),FALSE),"Saknas")</f>
        <v>75.087999999999994</v>
      </c>
      <c r="E191" s="121">
        <f>IFERROR(VLOOKUP($B191,Miljövärden!$B$3:$H$552,MATCH(E$2,Miljövärden!$B$2:$H$2,0),FALSE),"Saknas")</f>
        <v>6.1700799999999996</v>
      </c>
      <c r="F191" s="121">
        <f>IFERROR(VLOOKUP($B191,Miljövärden!$B$3:$H$552,MATCH(F$2,Miljövärden!$B$2:$H$2,0),FALSE),"Saknas")</f>
        <v>2.6933700000000001E-2</v>
      </c>
      <c r="G191" s="121" t="str">
        <f>IFERROR(VLOOKUP($B191,Miljövärden!$B$3:$H$552,MATCH(G$2,Miljövärden!$B$2:$H$2,0),FALSE),"Nej, saknas")</f>
        <v>Ja</v>
      </c>
      <c r="H191" s="285" t="str">
        <f>IFERROR(VLOOKUP($B191,Miljövärden!$B$3:$H$552,MATCH(H$2,Miljövärden!$B$2:$H$2,0),FALSE),"Nej, saknas")</f>
        <v>ja</v>
      </c>
      <c r="P191" s="121" t="str">
        <f t="shared" si="4"/>
        <v>ja</v>
      </c>
      <c r="R191" s="121">
        <f t="shared" si="5"/>
        <v>172</v>
      </c>
    </row>
    <row r="192" spans="1:18" x14ac:dyDescent="0.25">
      <c r="A192" s="137" t="s">
        <v>457</v>
      </c>
      <c r="B192" s="137" t="s">
        <v>458</v>
      </c>
      <c r="C192" s="121">
        <f>IFERROR(VLOOKUP($B192,Miljövärden!$B$3:$H$552,MATCH(C$2,Miljövärden!$B$2:$H$2,0),FALSE),"Saknas")</f>
        <v>3.5402299999999998E-2</v>
      </c>
      <c r="D192" s="121">
        <f>IFERROR(VLOOKUP($B192,Miljövärden!$B$3:$H$552,MATCH(D$2,Miljövärden!$B$2:$H$2,0),FALSE),"Saknas")</f>
        <v>10.761799999999999</v>
      </c>
      <c r="E192" s="121">
        <f>IFERROR(VLOOKUP($B192,Miljövärden!$B$3:$H$552,MATCH(E$2,Miljövärden!$B$2:$H$2,0),FALSE),"Saknas")</f>
        <v>3.49193</v>
      </c>
      <c r="F192" s="121">
        <f>IFERROR(VLOOKUP($B192,Miljövärden!$B$3:$H$552,MATCH(F$2,Miljövärden!$B$2:$H$2,0),FALSE),"Saknas")</f>
        <v>3.0791400000000002E-3</v>
      </c>
      <c r="G192" s="121" t="str">
        <f>IFERROR(VLOOKUP($B192,Miljövärden!$B$3:$H$552,MATCH(G$2,Miljövärden!$B$2:$H$2,0),FALSE),"Nej, saknas")</f>
        <v>Ja</v>
      </c>
      <c r="H192" s="285" t="str">
        <f>IFERROR(VLOOKUP($B192,Miljövärden!$B$3:$H$552,MATCH(H$2,Miljövärden!$B$2:$H$2,0),FALSE),"Nej, saknas")</f>
        <v>ja</v>
      </c>
      <c r="P192" s="121" t="str">
        <f t="shared" si="4"/>
        <v>ja</v>
      </c>
      <c r="R192" s="121">
        <f t="shared" si="5"/>
        <v>173</v>
      </c>
    </row>
    <row r="193" spans="1:18" x14ac:dyDescent="0.25">
      <c r="A193" s="137" t="s">
        <v>457</v>
      </c>
      <c r="B193" s="137" t="s">
        <v>459</v>
      </c>
      <c r="C193" s="121">
        <f>IFERROR(VLOOKUP($B193,Miljövärden!$B$3:$H$552,MATCH(C$2,Miljövärden!$B$2:$H$2,0),FALSE),"Saknas")</f>
        <v>2.1118999999999999E-2</v>
      </c>
      <c r="D193" s="121">
        <f>IFERROR(VLOOKUP($B193,Miljövärden!$B$3:$H$552,MATCH(D$2,Miljövärden!$B$2:$H$2,0),FALSE),"Saknas")</f>
        <v>2.5081099999999998</v>
      </c>
      <c r="E193" s="121">
        <f>IFERROR(VLOOKUP($B193,Miljövärden!$B$3:$H$552,MATCH(E$2,Miljövärden!$B$2:$H$2,0),FALSE),"Saknas")</f>
        <v>4.3892100000000003</v>
      </c>
      <c r="F193" s="121">
        <f>IFERROR(VLOOKUP($B193,Miljövärden!$B$3:$H$552,MATCH(F$2,Miljövärden!$B$2:$H$2,0),FALSE),"Saknas")</f>
        <v>0</v>
      </c>
      <c r="G193" s="121" t="str">
        <f>IFERROR(VLOOKUP($B193,Miljövärden!$B$3:$H$552,MATCH(G$2,Miljövärden!$B$2:$H$2,0),FALSE),"Nej, saknas")</f>
        <v>Ja</v>
      </c>
      <c r="H193" s="285" t="str">
        <f>IFERROR(VLOOKUP($B193,Miljövärden!$B$3:$H$552,MATCH(H$2,Miljövärden!$B$2:$H$2,0),FALSE),"Nej, saknas")</f>
        <v>ja</v>
      </c>
      <c r="P193" s="121" t="str">
        <f t="shared" si="4"/>
        <v>ja</v>
      </c>
      <c r="R193" s="121">
        <f t="shared" si="5"/>
        <v>174</v>
      </c>
    </row>
    <row r="194" spans="1:18" x14ac:dyDescent="0.25">
      <c r="A194" s="137" t="s">
        <v>457</v>
      </c>
      <c r="B194" s="137" t="s">
        <v>460</v>
      </c>
      <c r="C194" s="121">
        <f>IFERROR(VLOOKUP($B194,Miljövärden!$B$3:$H$552,MATCH(C$2,Miljövärden!$B$2:$H$2,0),FALSE),"Saknas")</f>
        <v>2.1118000000000001E-2</v>
      </c>
      <c r="D194" s="121">
        <f>IFERROR(VLOOKUP($B194,Miljövärden!$B$3:$H$552,MATCH(D$2,Miljövärden!$B$2:$H$2,0),FALSE),"Saknas")</f>
        <v>2.5080800000000001</v>
      </c>
      <c r="E194" s="121">
        <f>IFERROR(VLOOKUP($B194,Miljövärden!$B$3:$H$552,MATCH(E$2,Miljövärden!$B$2:$H$2,0),FALSE),"Saknas")</f>
        <v>4.3891499999999999</v>
      </c>
      <c r="F194" s="121">
        <f>IFERROR(VLOOKUP($B194,Miljövärden!$B$3:$H$552,MATCH(F$2,Miljövärden!$B$2:$H$2,0),FALSE),"Saknas")</f>
        <v>0</v>
      </c>
      <c r="G194" s="121" t="str">
        <f>IFERROR(VLOOKUP($B194,Miljövärden!$B$3:$H$552,MATCH(G$2,Miljövärden!$B$2:$H$2,0),FALSE),"Nej, saknas")</f>
        <v>Ja</v>
      </c>
      <c r="H194" s="285" t="str">
        <f>IFERROR(VLOOKUP($B194,Miljövärden!$B$3:$H$552,MATCH(H$2,Miljövärden!$B$2:$H$2,0),FALSE),"Nej, saknas")</f>
        <v>ja</v>
      </c>
      <c r="P194" s="121" t="str">
        <f t="shared" si="4"/>
        <v>ja</v>
      </c>
      <c r="R194" s="121">
        <f t="shared" si="5"/>
        <v>175</v>
      </c>
    </row>
    <row r="195" spans="1:18" x14ac:dyDescent="0.25">
      <c r="A195" s="137" t="s">
        <v>461</v>
      </c>
      <c r="B195" s="137" t="s">
        <v>462</v>
      </c>
      <c r="C195" s="121">
        <f>IFERROR(VLOOKUP($B195,Miljövärden!$B$3:$H$552,MATCH(C$2,Miljövärden!$B$2:$H$2,0),FALSE),"Saknas")</f>
        <v>0.24473700000000001</v>
      </c>
      <c r="D195" s="121">
        <f>IFERROR(VLOOKUP($B195,Miljövärden!$B$3:$H$552,MATCH(D$2,Miljövärden!$B$2:$H$2,0),FALSE),"Saknas")</f>
        <v>30.4072</v>
      </c>
      <c r="E195" s="121">
        <f>IFERROR(VLOOKUP($B195,Miljövärden!$B$3:$H$552,MATCH(E$2,Miljövärden!$B$2:$H$2,0),FALSE),"Saknas")</f>
        <v>17.302499999999998</v>
      </c>
      <c r="F195" s="121">
        <f>IFERROR(VLOOKUP($B195,Miljövärden!$B$3:$H$552,MATCH(F$2,Miljövärden!$B$2:$H$2,0),FALSE),"Saknas")</f>
        <v>8.1330399999999997E-2</v>
      </c>
      <c r="G195" s="121" t="str">
        <f>IFERROR(VLOOKUP($B195,Miljövärden!$B$3:$H$552,MATCH(G$2,Miljövärden!$B$2:$H$2,0),FALSE),"Nej, saknas")</f>
        <v>Ja</v>
      </c>
      <c r="H195" s="285" t="str">
        <f>IFERROR(VLOOKUP($B195,Miljövärden!$B$3:$H$552,MATCH(H$2,Miljövärden!$B$2:$H$2,0),FALSE),"Nej, saknas")</f>
        <v>Ja</v>
      </c>
      <c r="P195" s="121" t="str">
        <f t="shared" si="4"/>
        <v>ja</v>
      </c>
      <c r="R195" s="121">
        <f t="shared" si="5"/>
        <v>176</v>
      </c>
    </row>
    <row r="196" spans="1:18" x14ac:dyDescent="0.25">
      <c r="A196" s="137" t="s">
        <v>461</v>
      </c>
      <c r="B196" s="137" t="s">
        <v>464</v>
      </c>
      <c r="C196" s="121">
        <f>IFERROR(VLOOKUP($B196,Miljövärden!$B$3:$H$552,MATCH(C$2,Miljövärden!$B$2:$H$2,0),FALSE),"Saknas")</f>
        <v>0.19753699999999999</v>
      </c>
      <c r="D196" s="121">
        <f>IFERROR(VLOOKUP($B196,Miljövärden!$B$3:$H$552,MATCH(D$2,Miljövärden!$B$2:$H$2,0),FALSE),"Saknas")</f>
        <v>28.388100000000001</v>
      </c>
      <c r="E196" s="121">
        <f>IFERROR(VLOOKUP($B196,Miljövärden!$B$3:$H$552,MATCH(E$2,Miljövärden!$B$2:$H$2,0),FALSE),"Saknas")</f>
        <v>13.496700000000001</v>
      </c>
      <c r="F196" s="121">
        <f>IFERROR(VLOOKUP($B196,Miljövärden!$B$3:$H$552,MATCH(F$2,Miljövärden!$B$2:$H$2,0),FALSE),"Saknas")</f>
        <v>8.2490099999999997E-2</v>
      </c>
      <c r="G196" s="121" t="str">
        <f>IFERROR(VLOOKUP($B196,Miljövärden!$B$3:$H$552,MATCH(G$2,Miljövärden!$B$2:$H$2,0),FALSE),"Nej, saknas")</f>
        <v>Ja</v>
      </c>
      <c r="H196" s="285" t="str">
        <f>IFERROR(VLOOKUP($B196,Miljövärden!$B$3:$H$552,MATCH(H$2,Miljövärden!$B$2:$H$2,0),FALSE),"Nej, saknas")</f>
        <v>Ja</v>
      </c>
      <c r="P196" s="121" t="str">
        <f t="shared" ref="P196:P259" si="6">IF(K196="x","nej",
IF(L196="x","ja",
IF(H196="ja","ja","nej")))</f>
        <v>ja</v>
      </c>
      <c r="R196" s="121">
        <f t="shared" ref="R196:R259" si="7">IF(ISERROR(P196),R195,IF(P196="ja",R195+1,R195))</f>
        <v>177</v>
      </c>
    </row>
    <row r="197" spans="1:18" x14ac:dyDescent="0.25">
      <c r="A197" s="137" t="s">
        <v>461</v>
      </c>
      <c r="B197" s="137" t="s">
        <v>465</v>
      </c>
      <c r="C197" s="121">
        <f>IFERROR(VLOOKUP($B197,Miljövärden!$B$3:$H$552,MATCH(C$2,Miljövärden!$B$2:$H$2,0),FALSE),"Saknas")</f>
        <v>0.29239399999999999</v>
      </c>
      <c r="D197" s="121">
        <f>IFERROR(VLOOKUP($B197,Miljövärden!$B$3:$H$552,MATCH(D$2,Miljövärden!$B$2:$H$2,0),FALSE),"Saknas")</f>
        <v>61.579599999999999</v>
      </c>
      <c r="E197" s="121">
        <f>IFERROR(VLOOKUP($B197,Miljövärden!$B$3:$H$552,MATCH(E$2,Miljövärden!$B$2:$H$2,0),FALSE),"Saknas")</f>
        <v>12.8767</v>
      </c>
      <c r="F197" s="121">
        <f>IFERROR(VLOOKUP($B197,Miljövärden!$B$3:$H$552,MATCH(F$2,Miljövärden!$B$2:$H$2,0),FALSE),"Saknas")</f>
        <v>0.15116399999999999</v>
      </c>
      <c r="G197" s="121" t="str">
        <f>IFERROR(VLOOKUP($B197,Miljövärden!$B$3:$H$552,MATCH(G$2,Miljövärden!$B$2:$H$2,0),FALSE),"Nej, saknas")</f>
        <v>Ja</v>
      </c>
      <c r="H197" s="285" t="str">
        <f>IFERROR(VLOOKUP($B197,Miljövärden!$B$3:$H$552,MATCH(H$2,Miljövärden!$B$2:$H$2,0),FALSE),"Nej, saknas")</f>
        <v>Ja</v>
      </c>
      <c r="P197" s="121" t="str">
        <f t="shared" si="6"/>
        <v>ja</v>
      </c>
      <c r="R197" s="121">
        <f t="shared" si="7"/>
        <v>178</v>
      </c>
    </row>
    <row r="198" spans="1:18" x14ac:dyDescent="0.25">
      <c r="A198" s="137" t="s">
        <v>461</v>
      </c>
      <c r="B198" s="137" t="s">
        <v>101</v>
      </c>
      <c r="C198" s="121">
        <f>IFERROR(VLOOKUP($B198,Miljövärden!$B$3:$H$552,MATCH(C$2,Miljövärden!$B$2:$H$2,0),FALSE),"Saknas")</f>
        <v>6.9220400000000001E-2</v>
      </c>
      <c r="D198" s="121">
        <f>IFERROR(VLOOKUP($B198,Miljövärden!$B$3:$H$552,MATCH(D$2,Miljövärden!$B$2:$H$2,0),FALSE),"Saknas")</f>
        <v>5.7840600000000002</v>
      </c>
      <c r="E198" s="121">
        <f>IFERROR(VLOOKUP($B198,Miljövärden!$B$3:$H$552,MATCH(E$2,Miljövärden!$B$2:$H$2,0),FALSE),"Saknas")</f>
        <v>8.6409400000000005</v>
      </c>
      <c r="F198" s="121">
        <f>IFERROR(VLOOKUP($B198,Miljövärden!$B$3:$H$552,MATCH(F$2,Miljövärden!$B$2:$H$2,0),FALSE),"Saknas")</f>
        <v>2.3235299999999999E-3</v>
      </c>
      <c r="G198" s="121" t="str">
        <f>IFERROR(VLOOKUP($B198,Miljövärden!$B$3:$H$552,MATCH(G$2,Miljövärden!$B$2:$H$2,0),FALSE),"Nej, saknas")</f>
        <v>Ja</v>
      </c>
      <c r="H198" s="285" t="str">
        <f>IFERROR(VLOOKUP($B198,Miljövärden!$B$3:$H$552,MATCH(H$2,Miljövärden!$B$2:$H$2,0),FALSE),"Nej, saknas")</f>
        <v>Ja</v>
      </c>
      <c r="P198" s="121" t="str">
        <f t="shared" si="6"/>
        <v>ja</v>
      </c>
      <c r="R198" s="121">
        <f t="shared" si="7"/>
        <v>179</v>
      </c>
    </row>
    <row r="199" spans="1:18" x14ac:dyDescent="0.25">
      <c r="A199" s="137" t="s">
        <v>461</v>
      </c>
      <c r="B199" s="137" t="s">
        <v>103</v>
      </c>
      <c r="C199" s="121">
        <f>IFERROR(VLOOKUP($B199,Miljövärden!$B$3:$H$552,MATCH(C$2,Miljövärden!$B$2:$H$2,0),FALSE),"Saknas")</f>
        <v>0.54477900000000001</v>
      </c>
      <c r="D199" s="121">
        <f>IFERROR(VLOOKUP($B199,Miljövärden!$B$3:$H$552,MATCH(D$2,Miljövärden!$B$2:$H$2,0),FALSE),"Saknas")</f>
        <v>180.89099999999999</v>
      </c>
      <c r="E199" s="121">
        <f>IFERROR(VLOOKUP($B199,Miljövärden!$B$3:$H$552,MATCH(E$2,Miljövärden!$B$2:$H$2,0),FALSE),"Saknas")</f>
        <v>24.659400000000002</v>
      </c>
      <c r="F199" s="121">
        <f>IFERROR(VLOOKUP($B199,Miljövärden!$B$3:$H$552,MATCH(F$2,Miljövärden!$B$2:$H$2,0),FALSE),"Saknas")</f>
        <v>1.26664E-2</v>
      </c>
      <c r="G199" s="121" t="str">
        <f>IFERROR(VLOOKUP($B199,Miljövärden!$B$3:$H$552,MATCH(G$2,Miljövärden!$B$2:$H$2,0),FALSE),"Nej, saknas")</f>
        <v>Ja</v>
      </c>
      <c r="H199" s="285" t="str">
        <f>IFERROR(VLOOKUP($B199,Miljövärden!$B$3:$H$552,MATCH(H$2,Miljövärden!$B$2:$H$2,0),FALSE),"Nej, saknas")</f>
        <v>Ja</v>
      </c>
      <c r="P199" s="121" t="str">
        <f t="shared" si="6"/>
        <v>ja</v>
      </c>
      <c r="R199" s="121">
        <f t="shared" si="7"/>
        <v>180</v>
      </c>
    </row>
    <row r="200" spans="1:18" x14ac:dyDescent="0.25">
      <c r="A200" s="137" t="s">
        <v>461</v>
      </c>
      <c r="B200" s="137" t="s">
        <v>468</v>
      </c>
      <c r="C200" s="121">
        <f>IFERROR(VLOOKUP($B200,Miljövärden!$B$3:$H$552,MATCH(C$2,Miljövärden!$B$2:$H$2,0),FALSE),"Saknas")</f>
        <v>0.247974</v>
      </c>
      <c r="D200" s="121">
        <f>IFERROR(VLOOKUP($B200,Miljövärden!$B$3:$H$552,MATCH(D$2,Miljövärden!$B$2:$H$2,0),FALSE),"Saknas")</f>
        <v>24.950600000000001</v>
      </c>
      <c r="E200" s="121">
        <f>IFERROR(VLOOKUP($B200,Miljövärden!$B$3:$H$552,MATCH(E$2,Miljövärden!$B$2:$H$2,0),FALSE),"Saknas")</f>
        <v>18.364599999999999</v>
      </c>
      <c r="F200" s="121">
        <f>IFERROR(VLOOKUP($B200,Miljövärden!$B$3:$H$552,MATCH(F$2,Miljövärden!$B$2:$H$2,0),FALSE),"Saknas")</f>
        <v>5.79637E-2</v>
      </c>
      <c r="G200" s="121" t="str">
        <f>IFERROR(VLOOKUP($B200,Miljövärden!$B$3:$H$552,MATCH(G$2,Miljövärden!$B$2:$H$2,0),FALSE),"Nej, saknas")</f>
        <v>Ja</v>
      </c>
      <c r="H200" s="285" t="str">
        <f>IFERROR(VLOOKUP($B200,Miljövärden!$B$3:$H$552,MATCH(H$2,Miljövärden!$B$2:$H$2,0),FALSE),"Nej, saknas")</f>
        <v>Ja</v>
      </c>
      <c r="P200" s="121" t="str">
        <f t="shared" si="6"/>
        <v>ja</v>
      </c>
      <c r="R200" s="121">
        <f t="shared" si="7"/>
        <v>181</v>
      </c>
    </row>
    <row r="201" spans="1:18" x14ac:dyDescent="0.25">
      <c r="A201" s="137" t="s">
        <v>461</v>
      </c>
      <c r="B201" s="137" t="s">
        <v>105</v>
      </c>
      <c r="C201" s="121">
        <f>IFERROR(VLOOKUP($B201,Miljövärden!$B$3:$H$552,MATCH(C$2,Miljövärden!$B$2:$H$2,0),FALSE),"Saknas")</f>
        <v>0.15568799999999999</v>
      </c>
      <c r="D201" s="121">
        <f>IFERROR(VLOOKUP($B201,Miljövärden!$B$3:$H$552,MATCH(D$2,Miljövärden!$B$2:$H$2,0),FALSE),"Saknas")</f>
        <v>8.4451199999999993</v>
      </c>
      <c r="E201" s="121">
        <f>IFERROR(VLOOKUP($B201,Miljövärden!$B$3:$H$552,MATCH(E$2,Miljövärden!$B$2:$H$2,0),FALSE),"Saknas")</f>
        <v>15.945499999999999</v>
      </c>
      <c r="F201" s="121">
        <f>IFERROR(VLOOKUP($B201,Miljövärden!$B$3:$H$552,MATCH(F$2,Miljövärden!$B$2:$H$2,0),FALSE),"Saknas")</f>
        <v>1.2973699999999999E-2</v>
      </c>
      <c r="G201" s="121" t="str">
        <f>IFERROR(VLOOKUP($B201,Miljövärden!$B$3:$H$552,MATCH(G$2,Miljövärden!$B$2:$H$2,0),FALSE),"Nej, saknas")</f>
        <v>Ja</v>
      </c>
      <c r="H201" s="285" t="str">
        <f>IFERROR(VLOOKUP($B201,Miljövärden!$B$3:$H$552,MATCH(H$2,Miljövärden!$B$2:$H$2,0),FALSE),"Nej, saknas")</f>
        <v>Ja</v>
      </c>
      <c r="P201" s="121" t="str">
        <f t="shared" si="6"/>
        <v>ja</v>
      </c>
      <c r="R201" s="121">
        <f t="shared" si="7"/>
        <v>182</v>
      </c>
    </row>
    <row r="202" spans="1:18" x14ac:dyDescent="0.25">
      <c r="A202" s="137" t="s">
        <v>461</v>
      </c>
      <c r="B202" s="137" t="s">
        <v>107</v>
      </c>
      <c r="C202" s="121">
        <f>IFERROR(VLOOKUP($B202,Miljövärden!$B$3:$H$552,MATCH(C$2,Miljövärden!$B$2:$H$2,0),FALSE),"Saknas")</f>
        <v>8.9399999999999993E-2</v>
      </c>
      <c r="D202" s="121">
        <f>IFERROR(VLOOKUP($B202,Miljövärden!$B$3:$H$552,MATCH(D$2,Miljövärden!$B$2:$H$2,0),FALSE),"Saknas")</f>
        <v>6.1893099999999999</v>
      </c>
      <c r="E202" s="121">
        <f>IFERROR(VLOOKUP($B202,Miljövärden!$B$3:$H$552,MATCH(E$2,Miljövärden!$B$2:$H$2,0),FALSE),"Saknas")</f>
        <v>10.464499999999999</v>
      </c>
      <c r="F202" s="121">
        <f>IFERROR(VLOOKUP($B202,Miljövärden!$B$3:$H$552,MATCH(F$2,Miljövärden!$B$2:$H$2,0),FALSE),"Saknas")</f>
        <v>4.3789199999999997E-3</v>
      </c>
      <c r="G202" s="121" t="str">
        <f>IFERROR(VLOOKUP($B202,Miljövärden!$B$3:$H$552,MATCH(G$2,Miljövärden!$B$2:$H$2,0),FALSE),"Nej, saknas")</f>
        <v>Ja</v>
      </c>
      <c r="H202" s="285" t="str">
        <f>IFERROR(VLOOKUP($B202,Miljövärden!$B$3:$H$552,MATCH(H$2,Miljövärden!$B$2:$H$2,0),FALSE),"Nej, saknas")</f>
        <v>Ja</v>
      </c>
      <c r="P202" s="121" t="str">
        <f t="shared" si="6"/>
        <v>ja</v>
      </c>
      <c r="R202" s="121">
        <f t="shared" si="7"/>
        <v>183</v>
      </c>
    </row>
    <row r="203" spans="1:18" x14ac:dyDescent="0.25">
      <c r="A203" s="137" t="s">
        <v>461</v>
      </c>
      <c r="B203" s="137" t="s">
        <v>109</v>
      </c>
      <c r="C203" s="121">
        <f>IFERROR(VLOOKUP($B203,Miljövärden!$B$3:$H$552,MATCH(C$2,Miljövärden!$B$2:$H$2,0),FALSE),"Saknas")</f>
        <v>0.152451</v>
      </c>
      <c r="D203" s="121">
        <f>IFERROR(VLOOKUP($B203,Miljövärden!$B$3:$H$552,MATCH(D$2,Miljövärden!$B$2:$H$2,0),FALSE),"Saknas")</f>
        <v>6.2602099999999998</v>
      </c>
      <c r="E203" s="121">
        <f>IFERROR(VLOOKUP($B203,Miljövärden!$B$3:$H$552,MATCH(E$2,Miljövärden!$B$2:$H$2,0),FALSE),"Saknas")</f>
        <v>16.3489</v>
      </c>
      <c r="F203" s="121">
        <f>IFERROR(VLOOKUP($B203,Miljövärden!$B$3:$H$552,MATCH(F$2,Miljövärden!$B$2:$H$2,0),FALSE),"Saknas")</f>
        <v>3.2463800000000001E-3</v>
      </c>
      <c r="G203" s="121" t="str">
        <f>IFERROR(VLOOKUP($B203,Miljövärden!$B$3:$H$552,MATCH(G$2,Miljövärden!$B$2:$H$2,0),FALSE),"Nej, saknas")</f>
        <v>Ja</v>
      </c>
      <c r="H203" s="285" t="str">
        <f>IFERROR(VLOOKUP($B203,Miljövärden!$B$3:$H$552,MATCH(H$2,Miljövärden!$B$2:$H$2,0),FALSE),"Nej, saknas")</f>
        <v>Ja</v>
      </c>
      <c r="P203" s="121" t="str">
        <f t="shared" si="6"/>
        <v>ja</v>
      </c>
      <c r="R203" s="121">
        <f t="shared" si="7"/>
        <v>184</v>
      </c>
    </row>
    <row r="204" spans="1:18" x14ac:dyDescent="0.25">
      <c r="A204" s="137" t="s">
        <v>461</v>
      </c>
      <c r="B204" s="137" t="s">
        <v>111</v>
      </c>
      <c r="C204" s="121">
        <f>IFERROR(VLOOKUP($B204,Miljövärden!$B$3:$H$552,MATCH(C$2,Miljövärden!$B$2:$H$2,0),FALSE),"Saknas")</f>
        <v>0.22401399999999999</v>
      </c>
      <c r="D204" s="121">
        <f>IFERROR(VLOOKUP($B204,Miljövärden!$B$3:$H$552,MATCH(D$2,Miljövärden!$B$2:$H$2,0),FALSE),"Saknas")</f>
        <v>42.442599999999999</v>
      </c>
      <c r="E204" s="121">
        <f>IFERROR(VLOOKUP($B204,Miljövärden!$B$3:$H$552,MATCH(E$2,Miljövärden!$B$2:$H$2,0),FALSE),"Saknas")</f>
        <v>13.283200000000001</v>
      </c>
      <c r="F204" s="121">
        <f>IFERROR(VLOOKUP($B204,Miljövärden!$B$3:$H$552,MATCH(F$2,Miljövärden!$B$2:$H$2,0),FALSE),"Saknas")</f>
        <v>0.109136</v>
      </c>
      <c r="G204" s="121" t="str">
        <f>IFERROR(VLOOKUP($B204,Miljövärden!$B$3:$H$552,MATCH(G$2,Miljövärden!$B$2:$H$2,0),FALSE),"Nej, saknas")</f>
        <v>Ja</v>
      </c>
      <c r="H204" s="285" t="str">
        <f>IFERROR(VLOOKUP($B204,Miljövärden!$B$3:$H$552,MATCH(H$2,Miljövärden!$B$2:$H$2,0),FALSE),"Nej, saknas")</f>
        <v>Ja</v>
      </c>
      <c r="P204" s="121" t="str">
        <f t="shared" si="6"/>
        <v>ja</v>
      </c>
      <c r="R204" s="121">
        <f t="shared" si="7"/>
        <v>185</v>
      </c>
    </row>
    <row r="205" spans="1:18" x14ac:dyDescent="0.25">
      <c r="A205" s="137" t="s">
        <v>461</v>
      </c>
      <c r="B205" s="137" t="s">
        <v>469</v>
      </c>
      <c r="C205" s="121">
        <f>IFERROR(VLOOKUP($B205,Miljövärden!$B$3:$H$552,MATCH(C$2,Miljövärden!$B$2:$H$2,0),FALSE),"Saknas")</f>
        <v>0.14615700000000001</v>
      </c>
      <c r="D205" s="121">
        <f>IFERROR(VLOOKUP($B205,Miljövärden!$B$3:$H$552,MATCH(D$2,Miljövärden!$B$2:$H$2,0),FALSE),"Saknas")</f>
        <v>24.435400000000001</v>
      </c>
      <c r="E205" s="121">
        <f>IFERROR(VLOOKUP($B205,Miljövärden!$B$3:$H$552,MATCH(E$2,Miljövärden!$B$2:$H$2,0),FALSE),"Saknas")</f>
        <v>9.8613900000000001</v>
      </c>
      <c r="F205" s="121">
        <f>IFERROR(VLOOKUP($B205,Miljövärden!$B$3:$H$552,MATCH(F$2,Miljövärden!$B$2:$H$2,0),FALSE),"Saknas")</f>
        <v>5.1912199999999999E-2</v>
      </c>
      <c r="G205" s="121" t="str">
        <f>IFERROR(VLOOKUP($B205,Miljövärden!$B$3:$H$552,MATCH(G$2,Miljövärden!$B$2:$H$2,0),FALSE),"Nej, saknas")</f>
        <v>Ja</v>
      </c>
      <c r="H205" s="285" t="str">
        <f>IFERROR(VLOOKUP($B205,Miljövärden!$B$3:$H$552,MATCH(H$2,Miljövärden!$B$2:$H$2,0),FALSE),"Nej, saknas")</f>
        <v>Ja</v>
      </c>
      <c r="P205" s="121" t="str">
        <f t="shared" si="6"/>
        <v>ja</v>
      </c>
      <c r="R205" s="121">
        <f t="shared" si="7"/>
        <v>186</v>
      </c>
    </row>
    <row r="206" spans="1:18" x14ac:dyDescent="0.25">
      <c r="A206" s="137" t="s">
        <v>461</v>
      </c>
      <c r="B206" s="137" t="s">
        <v>470</v>
      </c>
      <c r="C206" s="121">
        <f>IFERROR(VLOOKUP($B206,Miljövärden!$B$3:$H$552,MATCH(C$2,Miljövärden!$B$2:$H$2,0),FALSE),"Saknas")</f>
        <v>0.16236800000000001</v>
      </c>
      <c r="D206" s="121">
        <f>IFERROR(VLOOKUP($B206,Miljövärden!$B$3:$H$552,MATCH(D$2,Miljövärden!$B$2:$H$2,0),FALSE),"Saknas")</f>
        <v>26.486799999999999</v>
      </c>
      <c r="E206" s="121">
        <f>IFERROR(VLOOKUP($B206,Miljövärden!$B$3:$H$552,MATCH(E$2,Miljövärden!$B$2:$H$2,0),FALSE),"Saknas")</f>
        <v>11.270200000000001</v>
      </c>
      <c r="F206" s="121">
        <f>IFERROR(VLOOKUP($B206,Miljövärden!$B$3:$H$552,MATCH(F$2,Miljövärden!$B$2:$H$2,0),FALSE),"Saknas")</f>
        <v>5.3277499999999998E-2</v>
      </c>
      <c r="G206" s="121" t="str">
        <f>IFERROR(VLOOKUP($B206,Miljövärden!$B$3:$H$552,MATCH(G$2,Miljövärden!$B$2:$H$2,0),FALSE),"Nej, saknas")</f>
        <v>Ja</v>
      </c>
      <c r="H206" s="285" t="str">
        <f>IFERROR(VLOOKUP($B206,Miljövärden!$B$3:$H$552,MATCH(H$2,Miljövärden!$B$2:$H$2,0),FALSE),"Nej, saknas")</f>
        <v>Ja</v>
      </c>
      <c r="P206" s="121" t="str">
        <f t="shared" si="6"/>
        <v>ja</v>
      </c>
      <c r="R206" s="121">
        <f t="shared" si="7"/>
        <v>187</v>
      </c>
    </row>
    <row r="207" spans="1:18" x14ac:dyDescent="0.25">
      <c r="A207" s="137" t="s">
        <v>461</v>
      </c>
      <c r="B207" s="137" t="s">
        <v>113</v>
      </c>
      <c r="C207" s="121">
        <f>IFERROR(VLOOKUP($B207,Miljövärden!$B$3:$H$552,MATCH(C$2,Miljövärden!$B$2:$H$2,0),FALSE),"Saknas")</f>
        <v>0.20510500000000001</v>
      </c>
      <c r="D207" s="121">
        <f>IFERROR(VLOOKUP($B207,Miljövärden!$B$3:$H$552,MATCH(D$2,Miljövärden!$B$2:$H$2,0),FALSE),"Saknas")</f>
        <v>17.3108</v>
      </c>
      <c r="E207" s="121">
        <f>IFERROR(VLOOKUP($B207,Miljövärden!$B$3:$H$552,MATCH(E$2,Miljövärden!$B$2:$H$2,0),FALSE),"Saknas")</f>
        <v>17.952000000000002</v>
      </c>
      <c r="F207" s="121">
        <f>IFERROR(VLOOKUP($B207,Miljövärden!$B$3:$H$552,MATCH(F$2,Miljövärden!$B$2:$H$2,0),FALSE),"Saknas")</f>
        <v>3.6527400000000002E-2</v>
      </c>
      <c r="G207" s="121" t="str">
        <f>IFERROR(VLOOKUP($B207,Miljövärden!$B$3:$H$552,MATCH(G$2,Miljövärden!$B$2:$H$2,0),FALSE),"Nej, saknas")</f>
        <v>Ja</v>
      </c>
      <c r="H207" s="285" t="str">
        <f>IFERROR(VLOOKUP($B207,Miljövärden!$B$3:$H$552,MATCH(H$2,Miljövärden!$B$2:$H$2,0),FALSE),"Nej, saknas")</f>
        <v>Ja</v>
      </c>
      <c r="P207" s="121" t="str">
        <f t="shared" si="6"/>
        <v>ja</v>
      </c>
      <c r="R207" s="121">
        <f t="shared" si="7"/>
        <v>188</v>
      </c>
    </row>
    <row r="208" spans="1:18" x14ac:dyDescent="0.25">
      <c r="A208" s="137" t="s">
        <v>474</v>
      </c>
      <c r="B208" s="137" t="s">
        <v>475</v>
      </c>
      <c r="C208" s="121">
        <f>IFERROR(VLOOKUP($B208,Miljövärden!$B$3:$H$552,MATCH(C$2,Miljövärden!$B$2:$H$2,0),FALSE),"Saknas")</f>
        <v>0.11348900000000001</v>
      </c>
      <c r="D208" s="121">
        <f>IFERROR(VLOOKUP($B208,Miljövärden!$B$3:$H$552,MATCH(D$2,Miljövärden!$B$2:$H$2,0),FALSE),"Saknas")</f>
        <v>15.807600000000001</v>
      </c>
      <c r="E208" s="121">
        <f>IFERROR(VLOOKUP($B208,Miljövärden!$B$3:$H$552,MATCH(E$2,Miljövärden!$B$2:$H$2,0),FALSE),"Saknas")</f>
        <v>10.380800000000001</v>
      </c>
      <c r="F208" s="121">
        <f>IFERROR(VLOOKUP($B208,Miljövärden!$B$3:$H$552,MATCH(F$2,Miljövärden!$B$2:$H$2,0),FALSE),"Saknas")</f>
        <v>8.5263100000000005E-3</v>
      </c>
      <c r="G208" s="121" t="str">
        <f>IFERROR(VLOOKUP($B208,Miljövärden!$B$3:$H$552,MATCH(G$2,Miljövärden!$B$2:$H$2,0),FALSE),"Nej, saknas")</f>
        <v>Ja</v>
      </c>
      <c r="H208" s="285" t="str">
        <f>IFERROR(VLOOKUP($B208,Miljövärden!$B$3:$H$552,MATCH(H$2,Miljövärden!$B$2:$H$2,0),FALSE),"Nej, saknas")</f>
        <v>Ja</v>
      </c>
      <c r="P208" s="121" t="str">
        <f t="shared" si="6"/>
        <v>ja</v>
      </c>
      <c r="R208" s="121">
        <f t="shared" si="7"/>
        <v>189</v>
      </c>
    </row>
    <row r="209" spans="1:18" x14ac:dyDescent="0.25">
      <c r="A209" s="137" t="s">
        <v>474</v>
      </c>
      <c r="B209" s="137" t="s">
        <v>476</v>
      </c>
      <c r="C209" s="121">
        <f>IFERROR(VLOOKUP($B209,Miljövärden!$B$3:$H$552,MATCH(C$2,Miljövärden!$B$2:$H$2,0),FALSE),"Saknas")</f>
        <v>0.121572</v>
      </c>
      <c r="D209" s="121">
        <f>IFERROR(VLOOKUP($B209,Miljövärden!$B$3:$H$552,MATCH(D$2,Miljövärden!$B$2:$H$2,0),FALSE),"Saknas")</f>
        <v>17.851299999999998</v>
      </c>
      <c r="E209" s="121">
        <f>IFERROR(VLOOKUP($B209,Miljövärden!$B$3:$H$552,MATCH(E$2,Miljövärden!$B$2:$H$2,0),FALSE),"Saknas")</f>
        <v>9.6226599999999998</v>
      </c>
      <c r="F209" s="121">
        <f>IFERROR(VLOOKUP($B209,Miljövärden!$B$3:$H$552,MATCH(F$2,Miljövärden!$B$2:$H$2,0),FALSE),"Saknas")</f>
        <v>1.6866599999999999E-2</v>
      </c>
      <c r="G209" s="121" t="str">
        <f>IFERROR(VLOOKUP($B209,Miljövärden!$B$3:$H$552,MATCH(G$2,Miljövärden!$B$2:$H$2,0),FALSE),"Nej, saknas")</f>
        <v>Ja</v>
      </c>
      <c r="H209" s="285" t="str">
        <f>IFERROR(VLOOKUP($B209,Miljövärden!$B$3:$H$552,MATCH(H$2,Miljövärden!$B$2:$H$2,0),FALSE),"Nej, saknas")</f>
        <v>Ja</v>
      </c>
      <c r="P209" s="121" t="str">
        <f t="shared" si="6"/>
        <v>ja</v>
      </c>
      <c r="R209" s="121">
        <f t="shared" si="7"/>
        <v>190</v>
      </c>
    </row>
    <row r="210" spans="1:18" x14ac:dyDescent="0.25">
      <c r="A210" s="137" t="s">
        <v>477</v>
      </c>
      <c r="B210" s="137" t="s">
        <v>478</v>
      </c>
      <c r="C210" s="121">
        <f>IFERROR(VLOOKUP($B210,Miljövärden!$B$3:$H$552,MATCH(C$2,Miljövärden!$B$2:$H$2,0),FALSE),"Saknas")</f>
        <v>0.191857</v>
      </c>
      <c r="D210" s="121">
        <f>IFERROR(VLOOKUP($B210,Miljövärden!$B$3:$H$552,MATCH(D$2,Miljövärden!$B$2:$H$2,0),FALSE),"Saknas")</f>
        <v>34.828099999999999</v>
      </c>
      <c r="E210" s="121">
        <f>IFERROR(VLOOKUP($B210,Miljövärden!$B$3:$H$552,MATCH(E$2,Miljövärden!$B$2:$H$2,0),FALSE),"Saknas")</f>
        <v>11.738099999999999</v>
      </c>
      <c r="F210" s="121">
        <f>IFERROR(VLOOKUP($B210,Miljövärden!$B$3:$H$552,MATCH(F$2,Miljövärden!$B$2:$H$2,0),FALSE),"Saknas")</f>
        <v>5.4272099999999997E-2</v>
      </c>
      <c r="G210" s="121" t="str">
        <f>IFERROR(VLOOKUP($B210,Miljövärden!$B$3:$H$552,MATCH(G$2,Miljövärden!$B$2:$H$2,0),FALSE),"Nej, saknas")</f>
        <v>Ja</v>
      </c>
      <c r="H210" s="285" t="str">
        <f>IFERROR(VLOOKUP($B210,Miljövärden!$B$3:$H$552,MATCH(H$2,Miljövärden!$B$2:$H$2,0),FALSE),"Nej, saknas")</f>
        <v>Ja</v>
      </c>
      <c r="P210" s="121" t="str">
        <f t="shared" si="6"/>
        <v>ja</v>
      </c>
      <c r="R210" s="121">
        <f t="shared" si="7"/>
        <v>191</v>
      </c>
    </row>
    <row r="211" spans="1:18" x14ac:dyDescent="0.25">
      <c r="A211" s="137" t="s">
        <v>477</v>
      </c>
      <c r="B211" s="137" t="s">
        <v>479</v>
      </c>
      <c r="C211" s="121">
        <f>IFERROR(VLOOKUP($B211,Miljövärden!$B$3:$H$552,MATCH(C$2,Miljövärden!$B$2:$H$2,0),FALSE),"Saknas")</f>
        <v>0.13836699999999999</v>
      </c>
      <c r="D211" s="121">
        <f>IFERROR(VLOOKUP($B211,Miljövärden!$B$3:$H$552,MATCH(D$2,Miljövärden!$B$2:$H$2,0),FALSE),"Saknas")</f>
        <v>20.052800000000001</v>
      </c>
      <c r="E211" s="121">
        <f>IFERROR(VLOOKUP($B211,Miljövärden!$B$3:$H$552,MATCH(E$2,Miljövärden!$B$2:$H$2,0),FALSE),"Saknas")</f>
        <v>6.1343100000000002</v>
      </c>
      <c r="F211" s="121">
        <f>IFERROR(VLOOKUP($B211,Miljövärden!$B$3:$H$552,MATCH(F$2,Miljövärden!$B$2:$H$2,0),FALSE),"Saknas")</f>
        <v>2.4383999999999999E-2</v>
      </c>
      <c r="G211" s="121" t="str">
        <f>IFERROR(VLOOKUP($B211,Miljövärden!$B$3:$H$552,MATCH(G$2,Miljövärden!$B$2:$H$2,0),FALSE),"Nej, saknas")</f>
        <v>Nej</v>
      </c>
      <c r="H211" s="285" t="str">
        <f>IFERROR(VLOOKUP($B211,Miljövärden!$B$3:$H$552,MATCH(H$2,Miljövärden!$B$2:$H$2,0),FALSE),"Nej, saknas")</f>
        <v>Ja</v>
      </c>
      <c r="P211" s="121" t="str">
        <f t="shared" si="6"/>
        <v>ja</v>
      </c>
      <c r="R211" s="121">
        <f t="shared" si="7"/>
        <v>192</v>
      </c>
    </row>
    <row r="212" spans="1:18" x14ac:dyDescent="0.25">
      <c r="A212" s="137" t="s">
        <v>480</v>
      </c>
      <c r="B212" s="137" t="s">
        <v>481</v>
      </c>
      <c r="C212" s="121">
        <f>IFERROR(VLOOKUP($B212,Miljövärden!$B$3:$H$552,MATCH(C$2,Miljövärden!$B$2:$H$2,0),FALSE),"Saknas")</f>
        <v>0</v>
      </c>
      <c r="D212" s="121">
        <f>IFERROR(VLOOKUP($B212,Miljövärden!$B$3:$H$552,MATCH(D$2,Miljövärden!$B$2:$H$2,0),FALSE),"Saknas")</f>
        <v>0</v>
      </c>
      <c r="E212" s="121">
        <f>IFERROR(VLOOKUP($B212,Miljövärden!$B$3:$H$552,MATCH(E$2,Miljövärden!$B$2:$H$2,0),FALSE),"Saknas")</f>
        <v>0</v>
      </c>
      <c r="F212" s="121">
        <f>IFERROR(VLOOKUP($B212,Miljövärden!$B$3:$H$552,MATCH(F$2,Miljövärden!$B$2:$H$2,0),FALSE),"Saknas")</f>
        <v>0</v>
      </c>
      <c r="G212" s="121" t="str">
        <f>IFERROR(VLOOKUP($B212,Miljövärden!$B$3:$H$552,MATCH(G$2,Miljövärden!$B$2:$H$2,0),FALSE),"Nej, saknas")</f>
        <v>Nej</v>
      </c>
      <c r="H212" s="285" t="str">
        <f>IFERROR(VLOOKUP($B212,Miljövärden!$B$3:$H$552,MATCH(H$2,Miljövärden!$B$2:$H$2,0),FALSE),"Nej, saknas")</f>
        <v>Nej</v>
      </c>
      <c r="P212" s="121" t="str">
        <f t="shared" si="6"/>
        <v>nej</v>
      </c>
      <c r="R212" s="121">
        <f t="shared" si="7"/>
        <v>192</v>
      </c>
    </row>
    <row r="213" spans="1:18" x14ac:dyDescent="0.25">
      <c r="A213" s="137" t="s">
        <v>115</v>
      </c>
      <c r="B213" s="137" t="s">
        <v>482</v>
      </c>
      <c r="C213" s="121">
        <f>IFERROR(VLOOKUP($B213,Miljövärden!$B$3:$H$552,MATCH(C$2,Miljövärden!$B$2:$H$2,0),FALSE),"Saknas")</f>
        <v>0.35609299999999999</v>
      </c>
      <c r="D213" s="121">
        <f>IFERROR(VLOOKUP($B213,Miljövärden!$B$3:$H$552,MATCH(D$2,Miljövärden!$B$2:$H$2,0),FALSE),"Saknas")</f>
        <v>2.9906000000000001</v>
      </c>
      <c r="E213" s="121">
        <f>IFERROR(VLOOKUP($B213,Miljövärden!$B$3:$H$552,MATCH(E$2,Miljövärden!$B$2:$H$2,0),FALSE),"Saknas")</f>
        <v>2.9077500000000001</v>
      </c>
      <c r="F213" s="121">
        <f>IFERROR(VLOOKUP($B213,Miljövärden!$B$3:$H$552,MATCH(F$2,Miljövärden!$B$2:$H$2,0),FALSE),"Saknas")</f>
        <v>7.39962E-3</v>
      </c>
      <c r="G213" s="121" t="str">
        <f>IFERROR(VLOOKUP($B213,Miljövärden!$B$3:$H$552,MATCH(G$2,Miljövärden!$B$2:$H$2,0),FALSE),"Nej, saknas")</f>
        <v>Ja</v>
      </c>
      <c r="H213" s="285" t="str">
        <f>IFERROR(VLOOKUP($B213,Miljövärden!$B$3:$H$552,MATCH(H$2,Miljövärden!$B$2:$H$2,0),FALSE),"Nej, saknas")</f>
        <v>Ja</v>
      </c>
      <c r="P213" s="121" t="str">
        <f t="shared" si="6"/>
        <v>ja</v>
      </c>
      <c r="R213" s="121">
        <f t="shared" si="7"/>
        <v>193</v>
      </c>
    </row>
    <row r="214" spans="1:18" x14ac:dyDescent="0.25">
      <c r="A214" s="137" t="s">
        <v>483</v>
      </c>
      <c r="B214" s="137" t="s">
        <v>484</v>
      </c>
      <c r="C214" s="121">
        <f>IFERROR(VLOOKUP($B214,Miljövärden!$B$3:$H$552,MATCH(C$2,Miljövärden!$B$2:$H$2,0),FALSE),"Saknas")</f>
        <v>0.135245</v>
      </c>
      <c r="D214" s="121">
        <f>IFERROR(VLOOKUP($B214,Miljövärden!$B$3:$H$552,MATCH(D$2,Miljövärden!$B$2:$H$2,0),FALSE),"Saknas")</f>
        <v>3.7322299999999999</v>
      </c>
      <c r="E214" s="121">
        <f>IFERROR(VLOOKUP($B214,Miljövärden!$B$3:$H$552,MATCH(E$2,Miljövärden!$B$2:$H$2,0),FALSE),"Saknas")</f>
        <v>13.0078</v>
      </c>
      <c r="F214" s="121">
        <f>IFERROR(VLOOKUP($B214,Miljövärden!$B$3:$H$552,MATCH(F$2,Miljövärden!$B$2:$H$2,0),FALSE),"Saknas")</f>
        <v>4.8642900000000001E-5</v>
      </c>
      <c r="G214" s="121" t="str">
        <f>IFERROR(VLOOKUP($B214,Miljövärden!$B$3:$H$552,MATCH(G$2,Miljövärden!$B$2:$H$2,0),FALSE),"Nej, saknas")</f>
        <v>Ja</v>
      </c>
      <c r="H214" s="285" t="str">
        <f>IFERROR(VLOOKUP($B214,Miljövärden!$B$3:$H$552,MATCH(H$2,Miljövärden!$B$2:$H$2,0),FALSE),"Nej, saknas")</f>
        <v>Ja</v>
      </c>
      <c r="P214" s="121" t="str">
        <f t="shared" si="6"/>
        <v>ja</v>
      </c>
      <c r="R214" s="121">
        <f t="shared" si="7"/>
        <v>194</v>
      </c>
    </row>
    <row r="215" spans="1:18" x14ac:dyDescent="0.25">
      <c r="A215" s="137" t="s">
        <v>483</v>
      </c>
      <c r="B215" s="137" t="s">
        <v>485</v>
      </c>
      <c r="C215" s="121">
        <f>IFERROR(VLOOKUP($B215,Miljövärden!$B$3:$H$552,MATCH(C$2,Miljövärden!$B$2:$H$2,0),FALSE),"Saknas")</f>
        <v>8.3348400000000003E-2</v>
      </c>
      <c r="D215" s="121">
        <f>IFERROR(VLOOKUP($B215,Miljövärden!$B$3:$H$552,MATCH(D$2,Miljövärden!$B$2:$H$2,0),FALSE),"Saknas")</f>
        <v>5.20594</v>
      </c>
      <c r="E215" s="121">
        <f>IFERROR(VLOOKUP($B215,Miljövärden!$B$3:$H$552,MATCH(E$2,Miljövärden!$B$2:$H$2,0),FALSE),"Saknas")</f>
        <v>7.1156600000000001</v>
      </c>
      <c r="F215" s="121">
        <f>IFERROR(VLOOKUP($B215,Miljövärden!$B$3:$H$552,MATCH(F$2,Miljövärden!$B$2:$H$2,0),FALSE),"Saknas")</f>
        <v>3.4868E-3</v>
      </c>
      <c r="G215" s="121" t="str">
        <f>IFERROR(VLOOKUP($B215,Miljövärden!$B$3:$H$552,MATCH(G$2,Miljövärden!$B$2:$H$2,0),FALSE),"Nej, saknas")</f>
        <v>Ja</v>
      </c>
      <c r="H215" s="285" t="str">
        <f>IFERROR(VLOOKUP($B215,Miljövärden!$B$3:$H$552,MATCH(H$2,Miljövärden!$B$2:$H$2,0),FALSE),"Nej, saknas")</f>
        <v>Ja</v>
      </c>
      <c r="P215" s="121" t="str">
        <f t="shared" si="6"/>
        <v>ja</v>
      </c>
      <c r="R215" s="121">
        <f t="shared" si="7"/>
        <v>195</v>
      </c>
    </row>
    <row r="216" spans="1:18" x14ac:dyDescent="0.25">
      <c r="A216" s="137" t="s">
        <v>483</v>
      </c>
      <c r="B216" s="137" t="s">
        <v>486</v>
      </c>
      <c r="C216" s="121">
        <f>IFERROR(VLOOKUP($B216,Miljövärden!$B$3:$H$552,MATCH(C$2,Miljövärden!$B$2:$H$2,0),FALSE),"Saknas")</f>
        <v>0.24087600000000001</v>
      </c>
      <c r="D216" s="121">
        <f>IFERROR(VLOOKUP($B216,Miljövärden!$B$3:$H$552,MATCH(D$2,Miljövärden!$B$2:$H$2,0),FALSE),"Saknas")</f>
        <v>24.736799999999999</v>
      </c>
      <c r="E216" s="121">
        <f>IFERROR(VLOOKUP($B216,Miljövärden!$B$3:$H$552,MATCH(E$2,Miljövärden!$B$2:$H$2,0),FALSE),"Saknas")</f>
        <v>9.6369399999999992</v>
      </c>
      <c r="F216" s="121">
        <f>IFERROR(VLOOKUP($B216,Miljövärden!$B$3:$H$552,MATCH(F$2,Miljövärden!$B$2:$H$2,0),FALSE),"Saknas")</f>
        <v>5.1971400000000001E-2</v>
      </c>
      <c r="G216" s="121" t="str">
        <f>IFERROR(VLOOKUP($B216,Miljövärden!$B$3:$H$552,MATCH(G$2,Miljövärden!$B$2:$H$2,0),FALSE),"Nej, saknas")</f>
        <v>Ja</v>
      </c>
      <c r="H216" s="285" t="str">
        <f>IFERROR(VLOOKUP($B216,Miljövärden!$B$3:$H$552,MATCH(H$2,Miljövärden!$B$2:$H$2,0),FALSE),"Nej, saknas")</f>
        <v>Ja</v>
      </c>
      <c r="P216" s="121" t="str">
        <f t="shared" si="6"/>
        <v>ja</v>
      </c>
      <c r="R216" s="121">
        <f t="shared" si="7"/>
        <v>196</v>
      </c>
    </row>
    <row r="217" spans="1:18" x14ac:dyDescent="0.25">
      <c r="A217" s="137" t="s">
        <v>487</v>
      </c>
      <c r="B217" s="137" t="s">
        <v>488</v>
      </c>
      <c r="C217" s="121">
        <f>IFERROR(VLOOKUP($B217,Miljövärden!$B$3:$H$552,MATCH(C$2,Miljövärden!$B$2:$H$2,0),FALSE),"Saknas")</f>
        <v>7.0571400000000006E-2</v>
      </c>
      <c r="D217" s="121">
        <f>IFERROR(VLOOKUP($B217,Miljövärden!$B$3:$H$552,MATCH(D$2,Miljövärden!$B$2:$H$2,0),FALSE),"Saknas")</f>
        <v>6.1142899999999996</v>
      </c>
      <c r="E217" s="121">
        <f>IFERROR(VLOOKUP($B217,Miljövärden!$B$3:$H$552,MATCH(E$2,Miljövärden!$B$2:$H$2,0),FALSE),"Saknas")</f>
        <v>10.8</v>
      </c>
      <c r="F217" s="121">
        <f>IFERROR(VLOOKUP($B217,Miljövärden!$B$3:$H$552,MATCH(F$2,Miljövärden!$B$2:$H$2,0),FALSE),"Saknas")</f>
        <v>0</v>
      </c>
      <c r="G217" s="121" t="str">
        <f>IFERROR(VLOOKUP($B217,Miljövärden!$B$3:$H$552,MATCH(G$2,Miljövärden!$B$2:$H$2,0),FALSE),"Nej, saknas")</f>
        <v>Nej</v>
      </c>
      <c r="H217" s="285" t="str">
        <f>IFERROR(VLOOKUP($B217,Miljövärden!$B$3:$H$552,MATCH(H$2,Miljövärden!$B$2:$H$2,0),FALSE),"Nej, saknas")</f>
        <v>Ja</v>
      </c>
      <c r="P217" s="121" t="str">
        <f t="shared" si="6"/>
        <v>ja</v>
      </c>
      <c r="R217" s="121">
        <f t="shared" si="7"/>
        <v>197</v>
      </c>
    </row>
    <row r="218" spans="1:18" x14ac:dyDescent="0.25">
      <c r="A218" s="137" t="s">
        <v>489</v>
      </c>
      <c r="B218" s="137" t="s">
        <v>490</v>
      </c>
      <c r="C218" s="121">
        <f>IFERROR(VLOOKUP($B218,Miljövärden!$B$3:$H$552,MATCH(C$2,Miljövärden!$B$2:$H$2,0),FALSE),"Saknas")</f>
        <v>0.104822</v>
      </c>
      <c r="D218" s="121">
        <f>IFERROR(VLOOKUP($B218,Miljövärden!$B$3:$H$552,MATCH(D$2,Miljövärden!$B$2:$H$2,0),FALSE),"Saknas")</f>
        <v>102.465</v>
      </c>
      <c r="E218" s="121">
        <f>IFERROR(VLOOKUP($B218,Miljövärden!$B$3:$H$552,MATCH(E$2,Miljövärden!$B$2:$H$2,0),FALSE),"Saknas")</f>
        <v>4.7289899999999996</v>
      </c>
      <c r="F218" s="121">
        <f>IFERROR(VLOOKUP($B218,Miljövärden!$B$3:$H$552,MATCH(F$2,Miljövärden!$B$2:$H$2,0),FALSE),"Saknas")</f>
        <v>1.4928500000000001E-2</v>
      </c>
      <c r="G218" s="121" t="str">
        <f>IFERROR(VLOOKUP($B218,Miljövärden!$B$3:$H$552,MATCH(G$2,Miljövärden!$B$2:$H$2,0),FALSE),"Nej, saknas")</f>
        <v>Ja</v>
      </c>
      <c r="H218" s="285" t="str">
        <f>IFERROR(VLOOKUP($B218,Miljövärden!$B$3:$H$552,MATCH(H$2,Miljövärden!$B$2:$H$2,0),FALSE),"Nej, saknas")</f>
        <v>Ja</v>
      </c>
      <c r="P218" s="121" t="str">
        <f t="shared" si="6"/>
        <v>ja</v>
      </c>
      <c r="R218" s="121">
        <f t="shared" si="7"/>
        <v>198</v>
      </c>
    </row>
    <row r="219" spans="1:18" x14ac:dyDescent="0.25">
      <c r="A219" s="137" t="s">
        <v>491</v>
      </c>
      <c r="B219" s="137" t="s">
        <v>492</v>
      </c>
      <c r="C219" s="121">
        <f>IFERROR(VLOOKUP($B219,Miljövärden!$B$3:$H$552,MATCH(C$2,Miljövärden!$B$2:$H$2,0),FALSE),"Saknas")</f>
        <v>0.215174</v>
      </c>
      <c r="D219" s="121">
        <f>IFERROR(VLOOKUP($B219,Miljövärden!$B$3:$H$552,MATCH(D$2,Miljövärden!$B$2:$H$2,0),FALSE),"Saknas")</f>
        <v>15.344200000000001</v>
      </c>
      <c r="E219" s="121">
        <f>IFERROR(VLOOKUP($B219,Miljövärden!$B$3:$H$552,MATCH(E$2,Miljövärden!$B$2:$H$2,0),FALSE),"Saknas")</f>
        <v>17.4907</v>
      </c>
      <c r="F219" s="121">
        <f>IFERROR(VLOOKUP($B219,Miljövärden!$B$3:$H$552,MATCH(F$2,Miljövärden!$B$2:$H$2,0),FALSE),"Saknas")</f>
        <v>3.1701600000000003E-2</v>
      </c>
      <c r="G219" s="121" t="str">
        <f>IFERROR(VLOOKUP($B219,Miljövärden!$B$3:$H$552,MATCH(G$2,Miljövärden!$B$2:$H$2,0),FALSE),"Nej, saknas")</f>
        <v>Ja</v>
      </c>
      <c r="H219" s="285" t="str">
        <f>IFERROR(VLOOKUP($B219,Miljövärden!$B$3:$H$552,MATCH(H$2,Miljövärden!$B$2:$H$2,0),FALSE),"Nej, saknas")</f>
        <v>Ja</v>
      </c>
      <c r="P219" s="121" t="str">
        <f t="shared" si="6"/>
        <v>ja</v>
      </c>
      <c r="R219" s="121">
        <f t="shared" si="7"/>
        <v>199</v>
      </c>
    </row>
    <row r="220" spans="1:18" x14ac:dyDescent="0.25">
      <c r="A220" s="137" t="s">
        <v>491</v>
      </c>
      <c r="B220" s="137" t="s">
        <v>493</v>
      </c>
      <c r="C220" s="121">
        <f>IFERROR(VLOOKUP($B220,Miljövärden!$B$3:$H$552,MATCH(C$2,Miljövärden!$B$2:$H$2,0),FALSE),"Saknas")</f>
        <v>0.13469500000000001</v>
      </c>
      <c r="D220" s="121">
        <f>IFERROR(VLOOKUP($B220,Miljövärden!$B$3:$H$552,MATCH(D$2,Miljövärden!$B$2:$H$2,0),FALSE),"Saknas")</f>
        <v>15.0657</v>
      </c>
      <c r="E220" s="121">
        <f>IFERROR(VLOOKUP($B220,Miljövärden!$B$3:$H$552,MATCH(E$2,Miljövärden!$B$2:$H$2,0),FALSE),"Saknas")</f>
        <v>8.4077699999999993</v>
      </c>
      <c r="F220" s="121">
        <f>IFERROR(VLOOKUP($B220,Miljövärden!$B$3:$H$552,MATCH(F$2,Miljövärden!$B$2:$H$2,0),FALSE),"Saknas")</f>
        <v>3.1463600000000001E-2</v>
      </c>
      <c r="G220" s="121" t="str">
        <f>IFERROR(VLOOKUP($B220,Miljövärden!$B$3:$H$552,MATCH(G$2,Miljövärden!$B$2:$H$2,0),FALSE),"Nej, saknas")</f>
        <v>Ja</v>
      </c>
      <c r="H220" s="285" t="str">
        <f>IFERROR(VLOOKUP($B220,Miljövärden!$B$3:$H$552,MATCH(H$2,Miljövärden!$B$2:$H$2,0),FALSE),"Nej, saknas")</f>
        <v>Ja</v>
      </c>
      <c r="P220" s="121" t="str">
        <f t="shared" si="6"/>
        <v>ja</v>
      </c>
      <c r="R220" s="121">
        <f t="shared" si="7"/>
        <v>200</v>
      </c>
    </row>
    <row r="221" spans="1:18" x14ac:dyDescent="0.25">
      <c r="A221" s="137" t="s">
        <v>491</v>
      </c>
      <c r="B221" s="137" t="s">
        <v>494</v>
      </c>
      <c r="C221" s="121">
        <f>IFERROR(VLOOKUP($B221,Miljövärden!$B$3:$H$552,MATCH(C$2,Miljövärden!$B$2:$H$2,0),FALSE),"Saknas")</f>
        <v>0.114214</v>
      </c>
      <c r="D221" s="121">
        <f>IFERROR(VLOOKUP($B221,Miljövärden!$B$3:$H$552,MATCH(D$2,Miljövärden!$B$2:$H$2,0),FALSE),"Saknas")</f>
        <v>15.705299999999999</v>
      </c>
      <c r="E221" s="121">
        <f>IFERROR(VLOOKUP($B221,Miljövärden!$B$3:$H$552,MATCH(E$2,Miljövärden!$B$2:$H$2,0),FALSE),"Saknas")</f>
        <v>7.0085300000000004</v>
      </c>
      <c r="F221" s="121">
        <f>IFERROR(VLOOKUP($B221,Miljövärden!$B$3:$H$552,MATCH(F$2,Miljövärden!$B$2:$H$2,0),FALSE),"Saknas")</f>
        <v>4.0208099999999997E-2</v>
      </c>
      <c r="G221" s="121" t="str">
        <f>IFERROR(VLOOKUP($B221,Miljövärden!$B$3:$H$552,MATCH(G$2,Miljövärden!$B$2:$H$2,0),FALSE),"Nej, saknas")</f>
        <v>Ja</v>
      </c>
      <c r="H221" s="285" t="str">
        <f>IFERROR(VLOOKUP($B221,Miljövärden!$B$3:$H$552,MATCH(H$2,Miljövärden!$B$2:$H$2,0),FALSE),"Nej, saknas")</f>
        <v>Ja</v>
      </c>
      <c r="P221" s="121" t="str">
        <f t="shared" si="6"/>
        <v>ja</v>
      </c>
      <c r="R221" s="121">
        <f t="shared" si="7"/>
        <v>201</v>
      </c>
    </row>
    <row r="222" spans="1:18" x14ac:dyDescent="0.25">
      <c r="A222" s="137" t="s">
        <v>495</v>
      </c>
      <c r="B222" s="137" t="s">
        <v>496</v>
      </c>
      <c r="C222" s="121">
        <f>IFERROR(VLOOKUP($B222,Miljövärden!$B$3:$H$552,MATCH(C$2,Miljövärden!$B$2:$H$2,0),FALSE),"Saknas")</f>
        <v>8.4718399999999999E-2</v>
      </c>
      <c r="D222" s="121">
        <f>IFERROR(VLOOKUP($B222,Miljövärden!$B$3:$H$552,MATCH(D$2,Miljövärden!$B$2:$H$2,0),FALSE),"Saknas")</f>
        <v>3.65347</v>
      </c>
      <c r="E222" s="121">
        <f>IFERROR(VLOOKUP($B222,Miljövärden!$B$3:$H$552,MATCH(E$2,Miljövärden!$B$2:$H$2,0),FALSE),"Saknas")</f>
        <v>7.5244900000000001</v>
      </c>
      <c r="F222" s="121">
        <f>IFERROR(VLOOKUP($B222,Miljövärden!$B$3:$H$552,MATCH(F$2,Miljövärden!$B$2:$H$2,0),FALSE),"Saknas")</f>
        <v>0</v>
      </c>
      <c r="G222" s="121" t="str">
        <f>IFERROR(VLOOKUP($B222,Miljövärden!$B$3:$H$552,MATCH(G$2,Miljövärden!$B$2:$H$2,0),FALSE),"Nej, saknas")</f>
        <v>Nej</v>
      </c>
      <c r="H222" s="285" t="str">
        <f>IFERROR(VLOOKUP($B222,Miljövärden!$B$3:$H$552,MATCH(H$2,Miljövärden!$B$2:$H$2,0),FALSE),"Nej, saknas")</f>
        <v>Ja</v>
      </c>
      <c r="P222" s="121" t="str">
        <f t="shared" si="6"/>
        <v>ja</v>
      </c>
      <c r="R222" s="121">
        <f t="shared" si="7"/>
        <v>202</v>
      </c>
    </row>
    <row r="223" spans="1:18" x14ac:dyDescent="0.25">
      <c r="A223" s="137" t="s">
        <v>498</v>
      </c>
      <c r="B223" s="137" t="s">
        <v>499</v>
      </c>
      <c r="C223" s="121">
        <f>IFERROR(VLOOKUP($B223,Miljövärden!$B$3:$H$552,MATCH(C$2,Miljövärden!$B$2:$H$2,0),FALSE),"Saknas")</f>
        <v>0</v>
      </c>
      <c r="D223" s="121">
        <f>IFERROR(VLOOKUP($B223,Miljövärden!$B$3:$H$552,MATCH(D$2,Miljövärden!$B$2:$H$2,0),FALSE),"Saknas")</f>
        <v>0</v>
      </c>
      <c r="E223" s="121">
        <f>IFERROR(VLOOKUP($B223,Miljövärden!$B$3:$H$552,MATCH(E$2,Miljövärden!$B$2:$H$2,0),FALSE),"Saknas")</f>
        <v>0</v>
      </c>
      <c r="F223" s="121">
        <f>IFERROR(VLOOKUP($B223,Miljövärden!$B$3:$H$552,MATCH(F$2,Miljövärden!$B$2:$H$2,0),FALSE),"Saknas")</f>
        <v>0</v>
      </c>
      <c r="G223" s="121" t="str">
        <f>IFERROR(VLOOKUP($B223,Miljövärden!$B$3:$H$552,MATCH(G$2,Miljövärden!$B$2:$H$2,0),FALSE),"Nej, saknas")</f>
        <v>Nej</v>
      </c>
      <c r="H223" s="285" t="str">
        <f>IFERROR(VLOOKUP($B223,Miljövärden!$B$3:$H$552,MATCH(H$2,Miljövärden!$B$2:$H$2,0),FALSE),"Nej, saknas")</f>
        <v>Nej</v>
      </c>
      <c r="P223" s="121" t="str">
        <f t="shared" si="6"/>
        <v>nej</v>
      </c>
      <c r="R223" s="121">
        <f t="shared" si="7"/>
        <v>202</v>
      </c>
    </row>
    <row r="224" spans="1:18" x14ac:dyDescent="0.25">
      <c r="A224" s="137" t="s">
        <v>498</v>
      </c>
      <c r="B224" s="137" t="s">
        <v>500</v>
      </c>
      <c r="C224" s="121">
        <f>IFERROR(VLOOKUP($B224,Miljövärden!$B$3:$H$552,MATCH(C$2,Miljövärden!$B$2:$H$2,0),FALSE),"Saknas")</f>
        <v>0</v>
      </c>
      <c r="D224" s="121">
        <f>IFERROR(VLOOKUP($B224,Miljövärden!$B$3:$H$552,MATCH(D$2,Miljövärden!$B$2:$H$2,0),FALSE),"Saknas")</f>
        <v>0</v>
      </c>
      <c r="E224" s="121">
        <f>IFERROR(VLOOKUP($B224,Miljövärden!$B$3:$H$552,MATCH(E$2,Miljövärden!$B$2:$H$2,0),FALSE),"Saknas")</f>
        <v>0</v>
      </c>
      <c r="F224" s="121">
        <f>IFERROR(VLOOKUP($B224,Miljövärden!$B$3:$H$552,MATCH(F$2,Miljövärden!$B$2:$H$2,0),FALSE),"Saknas")</f>
        <v>0</v>
      </c>
      <c r="G224" s="121" t="str">
        <f>IFERROR(VLOOKUP($B224,Miljövärden!$B$3:$H$552,MATCH(G$2,Miljövärden!$B$2:$H$2,0),FALSE),"Nej, saknas")</f>
        <v>Nej</v>
      </c>
      <c r="H224" s="285" t="str">
        <f>IFERROR(VLOOKUP($B224,Miljövärden!$B$3:$H$552,MATCH(H$2,Miljövärden!$B$2:$H$2,0),FALSE),"Nej, saknas")</f>
        <v>Nej</v>
      </c>
      <c r="P224" s="121" t="str">
        <f t="shared" si="6"/>
        <v>nej</v>
      </c>
      <c r="R224" s="121">
        <f t="shared" si="7"/>
        <v>202</v>
      </c>
    </row>
    <row r="225" spans="1:18" x14ac:dyDescent="0.25">
      <c r="A225" s="137" t="s">
        <v>501</v>
      </c>
      <c r="B225" s="137" t="s">
        <v>502</v>
      </c>
      <c r="C225" s="121">
        <f>IFERROR(VLOOKUP($B225,Miljövärden!$B$3:$H$552,MATCH(C$2,Miljövärden!$B$2:$H$2,0),FALSE),"Saknas")</f>
        <v>9.8822300000000002E-2</v>
      </c>
      <c r="D225" s="121">
        <f>IFERROR(VLOOKUP($B225,Miljövärden!$B$3:$H$552,MATCH(D$2,Miljövärden!$B$2:$H$2,0),FALSE),"Saknas")</f>
        <v>4.5609599999999997</v>
      </c>
      <c r="E225" s="121">
        <f>IFERROR(VLOOKUP($B225,Miljövärden!$B$3:$H$552,MATCH(E$2,Miljövärden!$B$2:$H$2,0),FALSE),"Saknas")</f>
        <v>7.3961399999999999</v>
      </c>
      <c r="F225" s="121">
        <f>IFERROR(VLOOKUP($B225,Miljövärden!$B$3:$H$552,MATCH(F$2,Miljövärden!$B$2:$H$2,0),FALSE),"Saknas")</f>
        <v>1.6423500000000001E-3</v>
      </c>
      <c r="G225" s="121" t="str">
        <f>IFERROR(VLOOKUP($B225,Miljövärden!$B$3:$H$552,MATCH(G$2,Miljövärden!$B$2:$H$2,0),FALSE),"Nej, saknas")</f>
        <v>Nej</v>
      </c>
      <c r="H225" s="285" t="str">
        <f>IFERROR(VLOOKUP($B225,Miljövärden!$B$3:$H$552,MATCH(H$2,Miljövärden!$B$2:$H$2,0),FALSE),"Nej, saknas")</f>
        <v>Ja</v>
      </c>
      <c r="P225" s="121" t="str">
        <f t="shared" si="6"/>
        <v>ja</v>
      </c>
      <c r="R225" s="121">
        <f t="shared" si="7"/>
        <v>203</v>
      </c>
    </row>
    <row r="226" spans="1:18" x14ac:dyDescent="0.25">
      <c r="A226" s="137" t="s">
        <v>503</v>
      </c>
      <c r="B226" s="137" t="s">
        <v>504</v>
      </c>
      <c r="C226" s="121">
        <f>IFERROR(VLOOKUP($B226,Miljövärden!$B$3:$H$552,MATCH(C$2,Miljövärden!$B$2:$H$2,0),FALSE),"Saknas")</f>
        <v>7.8412899999999994E-2</v>
      </c>
      <c r="D226" s="121">
        <f>IFERROR(VLOOKUP($B226,Miljövärden!$B$3:$H$552,MATCH(D$2,Miljövärden!$B$2:$H$2,0),FALSE),"Saknas")</f>
        <v>12.148400000000001</v>
      </c>
      <c r="E226" s="121">
        <f>IFERROR(VLOOKUP($B226,Miljövärden!$B$3:$H$552,MATCH(E$2,Miljövärden!$B$2:$H$2,0),FALSE),"Saknas")</f>
        <v>0.18656200000000001</v>
      </c>
      <c r="F226" s="121">
        <f>IFERROR(VLOOKUP($B226,Miljövärden!$B$3:$H$552,MATCH(F$2,Miljövärden!$B$2:$H$2,0),FALSE),"Saknas")</f>
        <v>1.73612E-2</v>
      </c>
      <c r="G226" s="121" t="str">
        <f>IFERROR(VLOOKUP($B226,Miljövärden!$B$3:$H$552,MATCH(G$2,Miljövärden!$B$2:$H$2,0),FALSE),"Nej, saknas")</f>
        <v>Nej</v>
      </c>
      <c r="H226" s="285" t="str">
        <f>IFERROR(VLOOKUP($B226,Miljövärden!$B$3:$H$552,MATCH(H$2,Miljövärden!$B$2:$H$2,0),FALSE),"Nej, saknas")</f>
        <v>Ja</v>
      </c>
      <c r="P226" s="121" t="str">
        <f t="shared" si="6"/>
        <v>ja</v>
      </c>
      <c r="R226" s="121">
        <f t="shared" si="7"/>
        <v>204</v>
      </c>
    </row>
    <row r="227" spans="1:18" x14ac:dyDescent="0.25">
      <c r="A227" s="137" t="s">
        <v>505</v>
      </c>
      <c r="B227" s="137" t="s">
        <v>119</v>
      </c>
      <c r="C227" s="121">
        <f>IFERROR(VLOOKUP($B227,Miljövärden!$B$3:$H$552,MATCH(C$2,Miljövärden!$B$2:$H$2,0),FALSE),"Saknas")</f>
        <v>0</v>
      </c>
      <c r="D227" s="121">
        <f>IFERROR(VLOOKUP($B227,Miljövärden!$B$3:$H$552,MATCH(D$2,Miljövärden!$B$2:$H$2,0),FALSE),"Saknas")</f>
        <v>0</v>
      </c>
      <c r="E227" s="121">
        <f>IFERROR(VLOOKUP($B227,Miljövärden!$B$3:$H$552,MATCH(E$2,Miljövärden!$B$2:$H$2,0),FALSE),"Saknas")</f>
        <v>0</v>
      </c>
      <c r="F227" s="121">
        <f>IFERROR(VLOOKUP($B227,Miljövärden!$B$3:$H$552,MATCH(F$2,Miljövärden!$B$2:$H$2,0),FALSE),"Saknas")</f>
        <v>0</v>
      </c>
      <c r="G227" s="121" t="str">
        <f>IFERROR(VLOOKUP($B227,Miljövärden!$B$3:$H$552,MATCH(G$2,Miljövärden!$B$2:$H$2,0),FALSE),"Nej, saknas")</f>
        <v>Nej</v>
      </c>
      <c r="H227" s="285" t="str">
        <f>IFERROR(VLOOKUP($B227,Miljövärden!$B$3:$H$552,MATCH(H$2,Miljövärden!$B$2:$H$2,0),FALSE),"Nej, saknas")</f>
        <v>Nej</v>
      </c>
      <c r="P227" s="121" t="str">
        <f t="shared" si="6"/>
        <v>nej</v>
      </c>
      <c r="R227" s="121">
        <f t="shared" si="7"/>
        <v>204</v>
      </c>
    </row>
    <row r="228" spans="1:18" x14ac:dyDescent="0.25">
      <c r="A228" s="137" t="s">
        <v>506</v>
      </c>
      <c r="B228" s="137" t="s">
        <v>507</v>
      </c>
      <c r="C228" s="121">
        <f>IFERROR(VLOOKUP($B228,Miljövärden!$B$3:$H$552,MATCH(C$2,Miljövärden!$B$2:$H$2,0),FALSE),"Saknas")</f>
        <v>0.21645600000000001</v>
      </c>
      <c r="D228" s="121">
        <f>IFERROR(VLOOKUP($B228,Miljövärden!$B$3:$H$552,MATCH(D$2,Miljövärden!$B$2:$H$2,0),FALSE),"Saknas")</f>
        <v>64.936700000000002</v>
      </c>
      <c r="E228" s="121">
        <f>IFERROR(VLOOKUP($B228,Miljövärden!$B$3:$H$552,MATCH(E$2,Miljövärden!$B$2:$H$2,0),FALSE),"Saknas")</f>
        <v>8.6582299999999996</v>
      </c>
      <c r="F228" s="121">
        <f>IFERROR(VLOOKUP($B228,Miljövärden!$B$3:$H$552,MATCH(F$2,Miljövärden!$B$2:$H$2,0),FALSE),"Saknas")</f>
        <v>0.12</v>
      </c>
      <c r="G228" s="121" t="str">
        <f>IFERROR(VLOOKUP($B228,Miljövärden!$B$3:$H$552,MATCH(G$2,Miljövärden!$B$2:$H$2,0),FALSE),"Nej, saknas")</f>
        <v>Ja</v>
      </c>
      <c r="H228" s="285" t="str">
        <f>IFERROR(VLOOKUP($B228,Miljövärden!$B$3:$H$552,MATCH(H$2,Miljövärden!$B$2:$H$2,0),FALSE),"Nej, saknas")</f>
        <v>Ja</v>
      </c>
      <c r="P228" s="121" t="str">
        <f t="shared" si="6"/>
        <v>ja</v>
      </c>
      <c r="R228" s="121">
        <f t="shared" si="7"/>
        <v>205</v>
      </c>
    </row>
    <row r="229" spans="1:18" x14ac:dyDescent="0.25">
      <c r="A229" s="137" t="s">
        <v>38</v>
      </c>
      <c r="B229" s="141" t="s">
        <v>40</v>
      </c>
      <c r="C229" s="121" t="str">
        <f>IFERROR(VLOOKUP($B229,Miljövärden!$B$3:$H$552,MATCH(C$2,Miljövärden!$B$2:$H$2,0),FALSE),"Saknas")</f>
        <v>Saknas</v>
      </c>
      <c r="D229" s="121" t="str">
        <f>IFERROR(VLOOKUP($B229,Miljövärden!$B$3:$H$552,MATCH(D$2,Miljövärden!$B$2:$H$2,0),FALSE),"Saknas")</f>
        <v>Saknas</v>
      </c>
      <c r="E229" s="121" t="str">
        <f>IFERROR(VLOOKUP($B229,Miljövärden!$B$3:$H$552,MATCH(E$2,Miljövärden!$B$2:$H$2,0),FALSE),"Saknas")</f>
        <v>Saknas</v>
      </c>
      <c r="F229" s="121" t="str">
        <f>IFERROR(VLOOKUP($B229,Miljövärden!$B$3:$H$552,MATCH(F$2,Miljövärden!$B$2:$H$2,0),FALSE),"Saknas")</f>
        <v>Saknas</v>
      </c>
      <c r="G229" s="121" t="str">
        <f>IFERROR(VLOOKUP($B229,Miljövärden!$B$3:$H$552,MATCH(G$2,Miljövärden!$B$2:$H$2,0),FALSE),"Nej, saknas")</f>
        <v>Nej, saknas</v>
      </c>
      <c r="H229" s="285" t="str">
        <f>IFERROR(VLOOKUP($B229,Miljövärden!$B$3:$H$552,MATCH(H$2,Miljövärden!$B$2:$H$2,0),FALSE),"Nej, saknas")</f>
        <v>Nej, saknas</v>
      </c>
      <c r="P229" s="121" t="str">
        <f t="shared" si="6"/>
        <v>nej</v>
      </c>
      <c r="R229" s="121">
        <f t="shared" si="7"/>
        <v>205</v>
      </c>
    </row>
    <row r="230" spans="1:18" x14ac:dyDescent="0.25">
      <c r="A230" s="137" t="s">
        <v>4</v>
      </c>
      <c r="B230" s="137" t="s">
        <v>508</v>
      </c>
      <c r="C230" s="121">
        <f>IFERROR(VLOOKUP($B230,Miljövärden!$B$3:$H$552,MATCH(C$2,Miljövärden!$B$2:$H$2,0),FALSE),"Saknas")</f>
        <v>0</v>
      </c>
      <c r="D230" s="121">
        <f>IFERROR(VLOOKUP($B230,Miljövärden!$B$3:$H$552,MATCH(D$2,Miljövärden!$B$2:$H$2,0),FALSE),"Saknas")</f>
        <v>0</v>
      </c>
      <c r="E230" s="121">
        <f>IFERROR(VLOOKUP($B230,Miljövärden!$B$3:$H$552,MATCH(E$2,Miljövärden!$B$2:$H$2,0),FALSE),"Saknas")</f>
        <v>0</v>
      </c>
      <c r="F230" s="121">
        <f>IFERROR(VLOOKUP($B230,Miljövärden!$B$3:$H$552,MATCH(F$2,Miljövärden!$B$2:$H$2,0),FALSE),"Saknas")</f>
        <v>0</v>
      </c>
      <c r="G230" s="121" t="str">
        <f>IFERROR(VLOOKUP($B230,Miljövärden!$B$3:$H$552,MATCH(G$2,Miljövärden!$B$2:$H$2,0),FALSE),"Nej, saknas")</f>
        <v>Nej</v>
      </c>
      <c r="H230" s="285" t="str">
        <f>IFERROR(VLOOKUP($B230,Miljövärden!$B$3:$H$552,MATCH(H$2,Miljövärden!$B$2:$H$2,0),FALSE),"Nej, saknas")</f>
        <v>Nej</v>
      </c>
      <c r="P230" s="121" t="str">
        <f t="shared" si="6"/>
        <v>nej</v>
      </c>
      <c r="R230" s="121">
        <f t="shared" si="7"/>
        <v>205</v>
      </c>
    </row>
    <row r="231" spans="1:18" x14ac:dyDescent="0.25">
      <c r="A231" s="137" t="s">
        <v>4</v>
      </c>
      <c r="B231" s="137" t="s">
        <v>509</v>
      </c>
      <c r="C231" s="121">
        <f>IFERROR(VLOOKUP($B231,Miljövärden!$B$3:$H$552,MATCH(C$2,Miljövärden!$B$2:$H$2,0),FALSE),"Saknas")</f>
        <v>0</v>
      </c>
      <c r="D231" s="121">
        <f>IFERROR(VLOOKUP($B231,Miljövärden!$B$3:$H$552,MATCH(D$2,Miljövärden!$B$2:$H$2,0),FALSE),"Saknas")</f>
        <v>0</v>
      </c>
      <c r="E231" s="121">
        <f>IFERROR(VLOOKUP($B231,Miljövärden!$B$3:$H$552,MATCH(E$2,Miljövärden!$B$2:$H$2,0),FALSE),"Saknas")</f>
        <v>0</v>
      </c>
      <c r="F231" s="121">
        <f>IFERROR(VLOOKUP($B231,Miljövärden!$B$3:$H$552,MATCH(F$2,Miljövärden!$B$2:$H$2,0),FALSE),"Saknas")</f>
        <v>0</v>
      </c>
      <c r="G231" s="121" t="str">
        <f>IFERROR(VLOOKUP($B231,Miljövärden!$B$3:$H$552,MATCH(G$2,Miljövärden!$B$2:$H$2,0),FALSE),"Nej, saknas")</f>
        <v>Nej</v>
      </c>
      <c r="H231" s="285" t="str">
        <f>IFERROR(VLOOKUP($B231,Miljövärden!$B$3:$H$552,MATCH(H$2,Miljövärden!$B$2:$H$2,0),FALSE),"Nej, saknas")</f>
        <v>Nej</v>
      </c>
      <c r="P231" s="121" t="str">
        <f t="shared" si="6"/>
        <v>nej</v>
      </c>
      <c r="R231" s="121">
        <f t="shared" si="7"/>
        <v>205</v>
      </c>
    </row>
    <row r="232" spans="1:18" x14ac:dyDescent="0.25">
      <c r="A232" s="137" t="s">
        <v>4</v>
      </c>
      <c r="B232" s="137" t="s">
        <v>5</v>
      </c>
      <c r="C232" s="121">
        <f>IFERROR(VLOOKUP($B232,Miljövärden!$B$3:$H$552,MATCH(C$2,Miljövärden!$B$2:$H$2,0),FALSE),"Saknas")</f>
        <v>0</v>
      </c>
      <c r="D232" s="121">
        <f>IFERROR(VLOOKUP($B232,Miljövärden!$B$3:$H$552,MATCH(D$2,Miljövärden!$B$2:$H$2,0),FALSE),"Saknas")</f>
        <v>0</v>
      </c>
      <c r="E232" s="121">
        <f>IFERROR(VLOOKUP($B232,Miljövärden!$B$3:$H$552,MATCH(E$2,Miljövärden!$B$2:$H$2,0),FALSE),"Saknas")</f>
        <v>0</v>
      </c>
      <c r="F232" s="121">
        <f>IFERROR(VLOOKUP($B232,Miljövärden!$B$3:$H$552,MATCH(F$2,Miljövärden!$B$2:$H$2,0),FALSE),"Saknas")</f>
        <v>0</v>
      </c>
      <c r="G232" s="121" t="str">
        <f>IFERROR(VLOOKUP($B232,Miljövärden!$B$3:$H$552,MATCH(G$2,Miljövärden!$B$2:$H$2,0),FALSE),"Nej, saknas")</f>
        <v>Nej</v>
      </c>
      <c r="H232" s="285" t="str">
        <f>IFERROR(VLOOKUP($B232,Miljövärden!$B$3:$H$552,MATCH(H$2,Miljövärden!$B$2:$H$2,0),FALSE),"Nej, saknas")</f>
        <v>Nej</v>
      </c>
      <c r="P232" s="121" t="str">
        <f t="shared" si="6"/>
        <v>nej</v>
      </c>
      <c r="R232" s="121">
        <f t="shared" si="7"/>
        <v>205</v>
      </c>
    </row>
    <row r="233" spans="1:18" x14ac:dyDescent="0.25">
      <c r="A233" s="137" t="s">
        <v>510</v>
      </c>
      <c r="B233" s="137" t="s">
        <v>511</v>
      </c>
      <c r="C233" s="121">
        <f>IFERROR(VLOOKUP($B233,Miljövärden!$B$3:$H$552,MATCH(C$2,Miljövärden!$B$2:$H$2,0),FALSE),"Saknas")</f>
        <v>9.6884300000000007E-2</v>
      </c>
      <c r="D233" s="121">
        <f>IFERROR(VLOOKUP($B233,Miljövärden!$B$3:$H$552,MATCH(D$2,Miljövärden!$B$2:$H$2,0),FALSE),"Saknas")</f>
        <v>4.4901299999999997</v>
      </c>
      <c r="E233" s="121">
        <f>IFERROR(VLOOKUP($B233,Miljövärden!$B$3:$H$552,MATCH(E$2,Miljövärden!$B$2:$H$2,0),FALSE),"Saknas")</f>
        <v>9.3224</v>
      </c>
      <c r="F233" s="121">
        <f>IFERROR(VLOOKUP($B233,Miljövärden!$B$3:$H$552,MATCH(F$2,Miljövärden!$B$2:$H$2,0),FALSE),"Saknas")</f>
        <v>1.63948E-4</v>
      </c>
      <c r="G233" s="121" t="str">
        <f>IFERROR(VLOOKUP($B233,Miljövärden!$B$3:$H$552,MATCH(G$2,Miljövärden!$B$2:$H$2,0),FALSE),"Nej, saknas")</f>
        <v>Ja</v>
      </c>
      <c r="H233" s="285" t="str">
        <f>IFERROR(VLOOKUP($B233,Miljövärden!$B$3:$H$552,MATCH(H$2,Miljövärden!$B$2:$H$2,0),FALSE),"Nej, saknas")</f>
        <v>Ja</v>
      </c>
      <c r="P233" s="121" t="str">
        <f t="shared" si="6"/>
        <v>ja</v>
      </c>
      <c r="R233" s="121">
        <f t="shared" si="7"/>
        <v>206</v>
      </c>
    </row>
    <row r="234" spans="1:18" x14ac:dyDescent="0.25">
      <c r="A234" s="137" t="s">
        <v>513</v>
      </c>
      <c r="B234" s="137" t="s">
        <v>514</v>
      </c>
      <c r="C234" s="121">
        <f>IFERROR(VLOOKUP($B234,Miljövärden!$B$3:$H$552,MATCH(C$2,Miljövärden!$B$2:$H$2,0),FALSE),"Saknas")</f>
        <v>0.27860000000000001</v>
      </c>
      <c r="D234" s="121">
        <f>IFERROR(VLOOKUP($B234,Miljövärden!$B$3:$H$552,MATCH(D$2,Miljövärden!$B$2:$H$2,0),FALSE),"Saknas")</f>
        <v>4.9865300000000001</v>
      </c>
      <c r="E234" s="121">
        <f>IFERROR(VLOOKUP($B234,Miljövärden!$B$3:$H$552,MATCH(E$2,Miljövärden!$B$2:$H$2,0),FALSE),"Saknas")</f>
        <v>16.878499999999999</v>
      </c>
      <c r="F234" s="121">
        <f>IFERROR(VLOOKUP($B234,Miljövärden!$B$3:$H$552,MATCH(F$2,Miljövärden!$B$2:$H$2,0),FALSE),"Saknas")</f>
        <v>4.68858E-4</v>
      </c>
      <c r="G234" s="121" t="str">
        <f>IFERROR(VLOOKUP($B234,Miljövärden!$B$3:$H$552,MATCH(G$2,Miljövärden!$B$2:$H$2,0),FALSE),"Nej, saknas")</f>
        <v>Ja</v>
      </c>
      <c r="H234" s="285" t="str">
        <f>IFERROR(VLOOKUP($B234,Miljövärden!$B$3:$H$552,MATCH(H$2,Miljövärden!$B$2:$H$2,0),FALSE),"Nej, saknas")</f>
        <v>Ja</v>
      </c>
      <c r="P234" s="121" t="str">
        <f t="shared" si="6"/>
        <v>ja</v>
      </c>
      <c r="R234" s="121">
        <f t="shared" si="7"/>
        <v>207</v>
      </c>
    </row>
    <row r="235" spans="1:18" x14ac:dyDescent="0.25">
      <c r="A235" s="137" t="s">
        <v>513</v>
      </c>
      <c r="B235" s="137" t="s">
        <v>515</v>
      </c>
      <c r="C235" s="121">
        <f>IFERROR(VLOOKUP($B235,Miljövärden!$B$3:$H$552,MATCH(C$2,Miljövärden!$B$2:$H$2,0),FALSE),"Saknas")</f>
        <v>1.24402E-2</v>
      </c>
      <c r="D235" s="121">
        <f>IFERROR(VLOOKUP($B235,Miljövärden!$B$3:$H$552,MATCH(D$2,Miljövärden!$B$2:$H$2,0),FALSE),"Saknas")</f>
        <v>0.85469200000000001</v>
      </c>
      <c r="E235" s="121">
        <f>IFERROR(VLOOKUP($B235,Miljövärden!$B$3:$H$552,MATCH(E$2,Miljövärden!$B$2:$H$2,0),FALSE),"Saknas")</f>
        <v>6.9886500000000004E-2</v>
      </c>
      <c r="F235" s="121">
        <f>IFERROR(VLOOKUP($B235,Miljövärden!$B$3:$H$552,MATCH(F$2,Miljövärden!$B$2:$H$2,0),FALSE),"Saknas")</f>
        <v>2.6485599999999999E-3</v>
      </c>
      <c r="G235" s="121" t="str">
        <f>IFERROR(VLOOKUP($B235,Miljövärden!$B$3:$H$552,MATCH(G$2,Miljövärden!$B$2:$H$2,0),FALSE),"Nej, saknas")</f>
        <v>Ja</v>
      </c>
      <c r="H235" s="285" t="str">
        <f>IFERROR(VLOOKUP($B235,Miljövärden!$B$3:$H$552,MATCH(H$2,Miljövärden!$B$2:$H$2,0),FALSE),"Nej, saknas")</f>
        <v>Ja</v>
      </c>
      <c r="P235" s="121" t="str">
        <f t="shared" si="6"/>
        <v>ja</v>
      </c>
      <c r="R235" s="121">
        <f t="shared" si="7"/>
        <v>208</v>
      </c>
    </row>
    <row r="236" spans="1:18" x14ac:dyDescent="0.25">
      <c r="A236" s="137" t="s">
        <v>513</v>
      </c>
      <c r="B236" s="137" t="s">
        <v>517</v>
      </c>
      <c r="C236" s="121">
        <f>IFERROR(VLOOKUP($B236,Miljövärden!$B$3:$H$552,MATCH(C$2,Miljövärden!$B$2:$H$2,0),FALSE),"Saknas")</f>
        <v>7.4593099999999996E-2</v>
      </c>
      <c r="D236" s="121">
        <f>IFERROR(VLOOKUP($B236,Miljövärden!$B$3:$H$552,MATCH(D$2,Miljövärden!$B$2:$H$2,0),FALSE),"Saknas")</f>
        <v>5.54575</v>
      </c>
      <c r="E236" s="121">
        <f>IFERROR(VLOOKUP($B236,Miljövärden!$B$3:$H$552,MATCH(E$2,Miljövärden!$B$2:$H$2,0),FALSE),"Saknas")</f>
        <v>9.7050400000000003</v>
      </c>
      <c r="F236" s="121">
        <f>IFERROR(VLOOKUP($B236,Miljövärden!$B$3:$H$552,MATCH(F$2,Miljövärden!$B$2:$H$2,0),FALSE),"Saknas")</f>
        <v>0</v>
      </c>
      <c r="G236" s="121" t="str">
        <f>IFERROR(VLOOKUP($B236,Miljövärden!$B$3:$H$552,MATCH(G$2,Miljövärden!$B$2:$H$2,0),FALSE),"Nej, saknas")</f>
        <v>Ja</v>
      </c>
      <c r="H236" s="285" t="str">
        <f>IFERROR(VLOOKUP($B236,Miljövärden!$B$3:$H$552,MATCH(H$2,Miljövärden!$B$2:$H$2,0),FALSE),"Nej, saknas")</f>
        <v>Ja</v>
      </c>
      <c r="P236" s="121" t="str">
        <f t="shared" si="6"/>
        <v>ja</v>
      </c>
      <c r="R236" s="121">
        <f t="shared" si="7"/>
        <v>209</v>
      </c>
    </row>
    <row r="237" spans="1:18" x14ac:dyDescent="0.25">
      <c r="A237" s="137" t="s">
        <v>513</v>
      </c>
      <c r="B237" s="137" t="s">
        <v>518</v>
      </c>
      <c r="C237" s="121">
        <f>IFERROR(VLOOKUP($B237,Miljövärden!$B$3:$H$552,MATCH(C$2,Miljövärden!$B$2:$H$2,0),FALSE),"Saknas")</f>
        <v>0.34536800000000001</v>
      </c>
      <c r="D237" s="121">
        <f>IFERROR(VLOOKUP($B237,Miljövärden!$B$3:$H$552,MATCH(D$2,Miljövärden!$B$2:$H$2,0),FALSE),"Saknas")</f>
        <v>14.4038</v>
      </c>
      <c r="E237" s="121">
        <f>IFERROR(VLOOKUP($B237,Miljövärden!$B$3:$H$552,MATCH(E$2,Miljövärden!$B$2:$H$2,0),FALSE),"Saknas")</f>
        <v>16.666</v>
      </c>
      <c r="F237" s="121">
        <f>IFERROR(VLOOKUP($B237,Miljövärden!$B$3:$H$552,MATCH(F$2,Miljövärden!$B$2:$H$2,0),FALSE),"Saknas")</f>
        <v>2.76402E-2</v>
      </c>
      <c r="G237" s="121" t="str">
        <f>IFERROR(VLOOKUP($B237,Miljövärden!$B$3:$H$552,MATCH(G$2,Miljövärden!$B$2:$H$2,0),FALSE),"Nej, saknas")</f>
        <v>Ja</v>
      </c>
      <c r="H237" s="285" t="str">
        <f>IFERROR(VLOOKUP($B237,Miljövärden!$B$3:$H$552,MATCH(H$2,Miljövärden!$B$2:$H$2,0),FALSE),"Nej, saknas")</f>
        <v>Ja</v>
      </c>
      <c r="P237" s="121" t="str">
        <f t="shared" si="6"/>
        <v>ja</v>
      </c>
      <c r="R237" s="121">
        <f t="shared" si="7"/>
        <v>210</v>
      </c>
    </row>
    <row r="238" spans="1:18" x14ac:dyDescent="0.25">
      <c r="A238" s="137" t="s">
        <v>519</v>
      </c>
      <c r="B238" s="137" t="s">
        <v>520</v>
      </c>
      <c r="C238" s="121">
        <f>IFERROR(VLOOKUP($B238,Miljövärden!$B$3:$H$552,MATCH(C$2,Miljövärden!$B$2:$H$2,0),FALSE),"Saknas")</f>
        <v>0</v>
      </c>
      <c r="D238" s="121">
        <f>IFERROR(VLOOKUP($B238,Miljövärden!$B$3:$H$552,MATCH(D$2,Miljövärden!$B$2:$H$2,0),FALSE),"Saknas")</f>
        <v>0</v>
      </c>
      <c r="E238" s="121">
        <f>IFERROR(VLOOKUP($B238,Miljövärden!$B$3:$H$552,MATCH(E$2,Miljövärden!$B$2:$H$2,0),FALSE),"Saknas")</f>
        <v>0</v>
      </c>
      <c r="F238" s="121">
        <f>IFERROR(VLOOKUP($B238,Miljövärden!$B$3:$H$552,MATCH(F$2,Miljövärden!$B$2:$H$2,0),FALSE),"Saknas")</f>
        <v>0</v>
      </c>
      <c r="G238" s="121" t="str">
        <f>IFERROR(VLOOKUP($B238,Miljövärden!$B$3:$H$552,MATCH(G$2,Miljövärden!$B$2:$H$2,0),FALSE),"Nej, saknas")</f>
        <v>Nej</v>
      </c>
      <c r="H238" s="285" t="str">
        <f>IFERROR(VLOOKUP($B238,Miljövärden!$B$3:$H$552,MATCH(H$2,Miljövärden!$B$2:$H$2,0),FALSE),"Nej, saknas")</f>
        <v>Nej</v>
      </c>
      <c r="P238" s="121" t="str">
        <f t="shared" si="6"/>
        <v>nej</v>
      </c>
      <c r="R238" s="121">
        <f t="shared" si="7"/>
        <v>210</v>
      </c>
    </row>
    <row r="239" spans="1:18" x14ac:dyDescent="0.25">
      <c r="A239" s="137" t="s">
        <v>521</v>
      </c>
      <c r="B239" s="137" t="s">
        <v>522</v>
      </c>
      <c r="C239" s="121">
        <f>IFERROR(VLOOKUP($B239,Miljövärden!$B$3:$H$552,MATCH(C$2,Miljövärden!$B$2:$H$2,0),FALSE),"Saknas")</f>
        <v>0.10263600000000001</v>
      </c>
      <c r="D239" s="121">
        <f>IFERROR(VLOOKUP($B239,Miljövärden!$B$3:$H$552,MATCH(D$2,Miljövärden!$B$2:$H$2,0),FALSE),"Saknas")</f>
        <v>10.5505</v>
      </c>
      <c r="E239" s="121">
        <f>IFERROR(VLOOKUP($B239,Miljövärden!$B$3:$H$552,MATCH(E$2,Miljövärden!$B$2:$H$2,0),FALSE),"Saknas")</f>
        <v>13.9602</v>
      </c>
      <c r="F239" s="121">
        <f>IFERROR(VLOOKUP($B239,Miljövärden!$B$3:$H$552,MATCH(F$2,Miljövärden!$B$2:$H$2,0),FALSE),"Saknas")</f>
        <v>6.7081099999999998E-3</v>
      </c>
      <c r="G239" s="121" t="str">
        <f>IFERROR(VLOOKUP($B239,Miljövärden!$B$3:$H$552,MATCH(G$2,Miljövärden!$B$2:$H$2,0),FALSE),"Nej, saknas")</f>
        <v>Ja</v>
      </c>
      <c r="H239" s="285" t="str">
        <f>IFERROR(VLOOKUP($B239,Miljövärden!$B$3:$H$552,MATCH(H$2,Miljövärden!$B$2:$H$2,0),FALSE),"Nej, saknas")</f>
        <v>Ja</v>
      </c>
      <c r="P239" s="121" t="str">
        <f t="shared" si="6"/>
        <v>ja</v>
      </c>
      <c r="R239" s="121">
        <f t="shared" si="7"/>
        <v>211</v>
      </c>
    </row>
    <row r="240" spans="1:18" x14ac:dyDescent="0.25">
      <c r="A240" s="137" t="s">
        <v>521</v>
      </c>
      <c r="B240" s="137" t="s">
        <v>523</v>
      </c>
      <c r="C240" s="121">
        <f>IFERROR(VLOOKUP($B240,Miljövärden!$B$3:$H$552,MATCH(C$2,Miljövärden!$B$2:$H$2,0),FALSE),"Saknas")</f>
        <v>0.1229</v>
      </c>
      <c r="D240" s="121">
        <f>IFERROR(VLOOKUP($B240,Miljövärden!$B$3:$H$552,MATCH(D$2,Miljövärden!$B$2:$H$2,0),FALSE),"Saknas")</f>
        <v>12.466799999999999</v>
      </c>
      <c r="E240" s="121">
        <f>IFERROR(VLOOKUP($B240,Miljövärden!$B$3:$H$552,MATCH(E$2,Miljövärden!$B$2:$H$2,0),FALSE),"Saknas")</f>
        <v>12.1084</v>
      </c>
      <c r="F240" s="121">
        <f>IFERROR(VLOOKUP($B240,Miljövärden!$B$3:$H$552,MATCH(F$2,Miljövärden!$B$2:$H$2,0),FALSE),"Saknas")</f>
        <v>2.1959699999999999E-2</v>
      </c>
      <c r="G240" s="121" t="str">
        <f>IFERROR(VLOOKUP($B240,Miljövärden!$B$3:$H$552,MATCH(G$2,Miljövärden!$B$2:$H$2,0),FALSE),"Nej, saknas")</f>
        <v>Ja</v>
      </c>
      <c r="H240" s="285" t="str">
        <f>IFERROR(VLOOKUP($B240,Miljövärden!$B$3:$H$552,MATCH(H$2,Miljövärden!$B$2:$H$2,0),FALSE),"Nej, saknas")</f>
        <v>Ja</v>
      </c>
      <c r="P240" s="121" t="str">
        <f t="shared" si="6"/>
        <v>ja</v>
      </c>
      <c r="R240" s="121">
        <f t="shared" si="7"/>
        <v>212</v>
      </c>
    </row>
    <row r="241" spans="1:18" x14ac:dyDescent="0.25">
      <c r="A241" s="137" t="s">
        <v>524</v>
      </c>
      <c r="B241" s="137" t="s">
        <v>525</v>
      </c>
      <c r="C241" s="121">
        <f>IFERROR(VLOOKUP($B241,Miljövärden!$B$3:$H$552,MATCH(C$2,Miljövärden!$B$2:$H$2,0),FALSE),"Saknas")</f>
        <v>8.1732100000000002E-2</v>
      </c>
      <c r="D241" s="121">
        <f>IFERROR(VLOOKUP($B241,Miljövärden!$B$3:$H$552,MATCH(D$2,Miljövärden!$B$2:$H$2,0),FALSE),"Saknas")</f>
        <v>4.0972099999999996</v>
      </c>
      <c r="E241" s="121">
        <f>IFERROR(VLOOKUP($B241,Miljövärden!$B$3:$H$552,MATCH(E$2,Miljövärden!$B$2:$H$2,0),FALSE),"Saknas")</f>
        <v>9.45791</v>
      </c>
      <c r="F241" s="121">
        <f>IFERROR(VLOOKUP($B241,Miljövärden!$B$3:$H$552,MATCH(F$2,Miljövärden!$B$2:$H$2,0),FALSE),"Saknas")</f>
        <v>0</v>
      </c>
      <c r="G241" s="121" t="str">
        <f>IFERROR(VLOOKUP($B241,Miljövärden!$B$3:$H$552,MATCH(G$2,Miljövärden!$B$2:$H$2,0),FALSE),"Nej, saknas")</f>
        <v>Nej</v>
      </c>
      <c r="H241" s="285" t="str">
        <f>IFERROR(VLOOKUP($B241,Miljövärden!$B$3:$H$552,MATCH(H$2,Miljövärden!$B$2:$H$2,0),FALSE),"Nej, saknas")</f>
        <v>Ja</v>
      </c>
      <c r="P241" s="121" t="str">
        <f t="shared" si="6"/>
        <v>ja</v>
      </c>
      <c r="R241" s="121">
        <f t="shared" si="7"/>
        <v>213</v>
      </c>
    </row>
    <row r="242" spans="1:18" x14ac:dyDescent="0.25">
      <c r="A242" s="137" t="s">
        <v>526</v>
      </c>
      <c r="B242" s="137" t="s">
        <v>527</v>
      </c>
      <c r="C242" s="121">
        <f>IFERROR(VLOOKUP($B242,Miljövärden!$B$3:$H$552,MATCH(C$2,Miljövärden!$B$2:$H$2,0),FALSE),"Saknas")</f>
        <v>0.68839099999999998</v>
      </c>
      <c r="D242" s="121">
        <f>IFERROR(VLOOKUP($B242,Miljövärden!$B$3:$H$552,MATCH(D$2,Miljövärden!$B$2:$H$2,0),FALSE),"Saknas")</f>
        <v>224.57</v>
      </c>
      <c r="E242" s="121">
        <f>IFERROR(VLOOKUP($B242,Miljövärden!$B$3:$H$552,MATCH(E$2,Miljövärden!$B$2:$H$2,0),FALSE),"Saknas")</f>
        <v>27.3721</v>
      </c>
      <c r="F242" s="121">
        <f>IFERROR(VLOOKUP($B242,Miljövärden!$B$3:$H$552,MATCH(F$2,Miljövärden!$B$2:$H$2,0),FALSE),"Saknas")</f>
        <v>1.8946899999999999E-2</v>
      </c>
      <c r="G242" s="121" t="str">
        <f>IFERROR(VLOOKUP($B242,Miljövärden!$B$3:$H$552,MATCH(G$2,Miljövärden!$B$2:$H$2,0),FALSE),"Nej, saknas")</f>
        <v>Nej</v>
      </c>
      <c r="H242" s="285" t="str">
        <f>IFERROR(VLOOKUP($B242,Miljövärden!$B$3:$H$552,MATCH(H$2,Miljövärden!$B$2:$H$2,0),FALSE),"Nej, saknas")</f>
        <v>Ja</v>
      </c>
      <c r="P242" s="121" t="str">
        <f t="shared" si="6"/>
        <v>ja</v>
      </c>
      <c r="R242" s="121">
        <f t="shared" si="7"/>
        <v>214</v>
      </c>
    </row>
    <row r="243" spans="1:18" x14ac:dyDescent="0.25">
      <c r="A243" s="137" t="s">
        <v>528</v>
      </c>
      <c r="B243" s="137" t="s">
        <v>529</v>
      </c>
      <c r="C243" s="121">
        <f>IFERROR(VLOOKUP($B243,Miljövärden!$B$3:$H$552,MATCH(C$2,Miljövärden!$B$2:$H$2,0),FALSE),"Saknas")</f>
        <v>0.13877300000000001</v>
      </c>
      <c r="D243" s="121">
        <f>IFERROR(VLOOKUP($B243,Miljövärden!$B$3:$H$552,MATCH(D$2,Miljövärden!$B$2:$H$2,0),FALSE),"Saknas")</f>
        <v>23.485900000000001</v>
      </c>
      <c r="E243" s="121">
        <f>IFERROR(VLOOKUP($B243,Miljövärden!$B$3:$H$552,MATCH(E$2,Miljövärden!$B$2:$H$2,0),FALSE),"Saknas")</f>
        <v>7.16709</v>
      </c>
      <c r="F243" s="121">
        <f>IFERROR(VLOOKUP($B243,Miljövärden!$B$3:$H$552,MATCH(F$2,Miljövärden!$B$2:$H$2,0),FALSE),"Saknas")</f>
        <v>5.3130700000000003E-2</v>
      </c>
      <c r="G243" s="121" t="str">
        <f>IFERROR(VLOOKUP($B243,Miljövärden!$B$3:$H$552,MATCH(G$2,Miljövärden!$B$2:$H$2,0),FALSE),"Nej, saknas")</f>
        <v>Ja</v>
      </c>
      <c r="H243" s="285" t="str">
        <f>IFERROR(VLOOKUP($B243,Miljövärden!$B$3:$H$552,MATCH(H$2,Miljövärden!$B$2:$H$2,0),FALSE),"Nej, saknas")</f>
        <v>Ja</v>
      </c>
      <c r="P243" s="121" t="str">
        <f t="shared" si="6"/>
        <v>ja</v>
      </c>
      <c r="R243" s="121">
        <f t="shared" si="7"/>
        <v>215</v>
      </c>
    </row>
    <row r="244" spans="1:18" x14ac:dyDescent="0.25">
      <c r="A244" s="137" t="s">
        <v>530</v>
      </c>
      <c r="B244" s="137" t="s">
        <v>531</v>
      </c>
      <c r="C244" s="121">
        <f>IFERROR(VLOOKUP($B244,Miljövärden!$B$3:$H$552,MATCH(C$2,Miljövärden!$B$2:$H$2,0),FALSE),"Saknas")</f>
        <v>8.95701E-2</v>
      </c>
      <c r="D244" s="121">
        <f>IFERROR(VLOOKUP($B244,Miljövärden!$B$3:$H$552,MATCH(D$2,Miljövärden!$B$2:$H$2,0),FALSE),"Saknas")</f>
        <v>13.2515</v>
      </c>
      <c r="E244" s="121">
        <f>IFERROR(VLOOKUP($B244,Miljövärden!$B$3:$H$552,MATCH(E$2,Miljövärden!$B$2:$H$2,0),FALSE),"Saknas")</f>
        <v>7.5135699999999996</v>
      </c>
      <c r="F244" s="121">
        <f>IFERROR(VLOOKUP($B244,Miljövärden!$B$3:$H$552,MATCH(F$2,Miljövärden!$B$2:$H$2,0),FALSE),"Saknas")</f>
        <v>1.30572E-2</v>
      </c>
      <c r="G244" s="121" t="str">
        <f>IFERROR(VLOOKUP($B244,Miljövärden!$B$3:$H$552,MATCH(G$2,Miljövärden!$B$2:$H$2,0),FALSE),"Nej, saknas")</f>
        <v>Nej</v>
      </c>
      <c r="H244" s="285" t="str">
        <f>IFERROR(VLOOKUP($B244,Miljövärden!$B$3:$H$552,MATCH(H$2,Miljövärden!$B$2:$H$2,0),FALSE),"Nej, saknas")</f>
        <v>Ja</v>
      </c>
      <c r="P244" s="121" t="str">
        <f t="shared" si="6"/>
        <v>ja</v>
      </c>
      <c r="R244" s="121">
        <f t="shared" si="7"/>
        <v>216</v>
      </c>
    </row>
    <row r="245" spans="1:18" x14ac:dyDescent="0.25">
      <c r="A245" s="137" t="s">
        <v>532</v>
      </c>
      <c r="B245" s="137" t="s">
        <v>533</v>
      </c>
      <c r="C245" s="121">
        <f>IFERROR(VLOOKUP($B245,Miljövärden!$B$3:$H$552,MATCH(C$2,Miljövärden!$B$2:$H$2,0),FALSE),"Saknas")</f>
        <v>0.16922799999999999</v>
      </c>
      <c r="D245" s="121">
        <f>IFERROR(VLOOKUP($B245,Miljövärden!$B$3:$H$552,MATCH(D$2,Miljövärden!$B$2:$H$2,0),FALSE),"Saknas")</f>
        <v>10.456300000000001</v>
      </c>
      <c r="E245" s="121">
        <f>IFERROR(VLOOKUP($B245,Miljövärden!$B$3:$H$552,MATCH(E$2,Miljövärden!$B$2:$H$2,0),FALSE),"Saknas")</f>
        <v>17.4726</v>
      </c>
      <c r="F245" s="121">
        <f>IFERROR(VLOOKUP($B245,Miljövärden!$B$3:$H$552,MATCH(F$2,Miljövärden!$B$2:$H$2,0),FALSE),"Saknas")</f>
        <v>1.6661599999999999E-2</v>
      </c>
      <c r="G245" s="121" t="str">
        <f>IFERROR(VLOOKUP($B245,Miljövärden!$B$3:$H$552,MATCH(G$2,Miljövärden!$B$2:$H$2,0),FALSE),"Nej, saknas")</f>
        <v>Ja</v>
      </c>
      <c r="H245" s="285" t="str">
        <f>IFERROR(VLOOKUP($B245,Miljövärden!$B$3:$H$552,MATCH(H$2,Miljövärden!$B$2:$H$2,0),FALSE),"Nej, saknas")</f>
        <v>Ja</v>
      </c>
      <c r="P245" s="121" t="str">
        <f t="shared" si="6"/>
        <v>ja</v>
      </c>
      <c r="R245" s="121">
        <f t="shared" si="7"/>
        <v>217</v>
      </c>
    </row>
    <row r="246" spans="1:18" x14ac:dyDescent="0.25">
      <c r="A246" s="137" t="s">
        <v>532</v>
      </c>
      <c r="B246" s="137" t="s">
        <v>534</v>
      </c>
      <c r="C246" s="121">
        <f>IFERROR(VLOOKUP($B246,Miljövärden!$B$3:$H$552,MATCH(C$2,Miljövärden!$B$2:$H$2,0),FALSE),"Saknas")</f>
        <v>0.164187</v>
      </c>
      <c r="D246" s="121">
        <f>IFERROR(VLOOKUP($B246,Miljövärden!$B$3:$H$552,MATCH(D$2,Miljövärden!$B$2:$H$2,0),FALSE),"Saknas")</f>
        <v>7.4444999999999997</v>
      </c>
      <c r="E246" s="121">
        <f>IFERROR(VLOOKUP($B246,Miljövärden!$B$3:$H$552,MATCH(E$2,Miljövärden!$B$2:$H$2,0),FALSE),"Saknas")</f>
        <v>18.71</v>
      </c>
      <c r="F246" s="121">
        <f>IFERROR(VLOOKUP($B246,Miljövärden!$B$3:$H$552,MATCH(F$2,Miljövärden!$B$2:$H$2,0),FALSE),"Saknas")</f>
        <v>5.9619599999999997E-3</v>
      </c>
      <c r="G246" s="121" t="str">
        <f>IFERROR(VLOOKUP($B246,Miljövärden!$B$3:$H$552,MATCH(G$2,Miljövärden!$B$2:$H$2,0),FALSE),"Nej, saknas")</f>
        <v>Ja</v>
      </c>
      <c r="H246" s="285" t="str">
        <f>IFERROR(VLOOKUP($B246,Miljövärden!$B$3:$H$552,MATCH(H$2,Miljövärden!$B$2:$H$2,0),FALSE),"Nej, saknas")</f>
        <v>Ja</v>
      </c>
      <c r="P246" s="121" t="str">
        <f t="shared" si="6"/>
        <v>ja</v>
      </c>
      <c r="R246" s="121">
        <f t="shared" si="7"/>
        <v>218</v>
      </c>
    </row>
    <row r="247" spans="1:18" x14ac:dyDescent="0.25">
      <c r="A247" s="137" t="s">
        <v>532</v>
      </c>
      <c r="B247" s="137" t="s">
        <v>536</v>
      </c>
      <c r="C247" s="121">
        <f>IFERROR(VLOOKUP($B247,Miljövärden!$B$3:$H$552,MATCH(C$2,Miljövärden!$B$2:$H$2,0),FALSE),"Saknas")</f>
        <v>0.141929</v>
      </c>
      <c r="D247" s="121">
        <f>IFERROR(VLOOKUP($B247,Miljövärden!$B$3:$H$552,MATCH(D$2,Miljövärden!$B$2:$H$2,0),FALSE),"Saknas")</f>
        <v>13.9908</v>
      </c>
      <c r="E247" s="121">
        <f>IFERROR(VLOOKUP($B247,Miljövärden!$B$3:$H$552,MATCH(E$2,Miljövärden!$B$2:$H$2,0),FALSE),"Saknas")</f>
        <v>14.641999999999999</v>
      </c>
      <c r="F247" s="121">
        <f>IFERROR(VLOOKUP($B247,Miljövärden!$B$3:$H$552,MATCH(F$2,Miljövärden!$B$2:$H$2,0),FALSE),"Saknas")</f>
        <v>2.31262E-2</v>
      </c>
      <c r="G247" s="121" t="str">
        <f>IFERROR(VLOOKUP($B247,Miljövärden!$B$3:$H$552,MATCH(G$2,Miljövärden!$B$2:$H$2,0),FALSE),"Nej, saknas")</f>
        <v>Ja</v>
      </c>
      <c r="H247" s="285" t="str">
        <f>IFERROR(VLOOKUP($B247,Miljövärden!$B$3:$H$552,MATCH(H$2,Miljövärden!$B$2:$H$2,0),FALSE),"Nej, saknas")</f>
        <v>Ja</v>
      </c>
      <c r="P247" s="121" t="str">
        <f t="shared" si="6"/>
        <v>ja</v>
      </c>
      <c r="R247" s="121">
        <f t="shared" si="7"/>
        <v>219</v>
      </c>
    </row>
    <row r="248" spans="1:18" x14ac:dyDescent="0.25">
      <c r="A248" s="137" t="s">
        <v>532</v>
      </c>
      <c r="B248" s="137" t="s">
        <v>537</v>
      </c>
      <c r="C248" s="121">
        <f>IFERROR(VLOOKUP($B248,Miljövärden!$B$3:$H$552,MATCH(C$2,Miljövärden!$B$2:$H$2,0),FALSE),"Saknas")</f>
        <v>0.156613</v>
      </c>
      <c r="D248" s="121">
        <f>IFERROR(VLOOKUP($B248,Miljövärden!$B$3:$H$552,MATCH(D$2,Miljövärden!$B$2:$H$2,0),FALSE),"Saknas")</f>
        <v>8.8405900000000006</v>
      </c>
      <c r="E248" s="121">
        <f>IFERROR(VLOOKUP($B248,Miljövärden!$B$3:$H$552,MATCH(E$2,Miljövärden!$B$2:$H$2,0),FALSE),"Saknas")</f>
        <v>17.2104</v>
      </c>
      <c r="F248" s="121">
        <f>IFERROR(VLOOKUP($B248,Miljövärden!$B$3:$H$552,MATCH(F$2,Miljövärden!$B$2:$H$2,0),FALSE),"Saknas")</f>
        <v>1.21797E-2</v>
      </c>
      <c r="G248" s="121" t="str">
        <f>IFERROR(VLOOKUP($B248,Miljövärden!$B$3:$H$552,MATCH(G$2,Miljövärden!$B$2:$H$2,0),FALSE),"Nej, saknas")</f>
        <v>Ja</v>
      </c>
      <c r="H248" s="285" t="str">
        <f>IFERROR(VLOOKUP($B248,Miljövärden!$B$3:$H$552,MATCH(H$2,Miljövärden!$B$2:$H$2,0),FALSE),"Nej, saknas")</f>
        <v>Ja</v>
      </c>
      <c r="P248" s="121" t="str">
        <f t="shared" si="6"/>
        <v>ja</v>
      </c>
      <c r="R248" s="121">
        <f t="shared" si="7"/>
        <v>220</v>
      </c>
    </row>
    <row r="249" spans="1:18" x14ac:dyDescent="0.25">
      <c r="A249" s="137" t="s">
        <v>532</v>
      </c>
      <c r="B249" s="137" t="s">
        <v>538</v>
      </c>
      <c r="C249" s="121">
        <f>IFERROR(VLOOKUP($B249,Miljövärden!$B$3:$H$552,MATCH(C$2,Miljövärden!$B$2:$H$2,0),FALSE),"Saknas")</f>
        <v>0.16390099999999999</v>
      </c>
      <c r="D249" s="121">
        <f>IFERROR(VLOOKUP($B249,Miljövärden!$B$3:$H$552,MATCH(D$2,Miljövärden!$B$2:$H$2,0),FALSE),"Saknas")</f>
        <v>7.1050899999999997</v>
      </c>
      <c r="E249" s="121">
        <f>IFERROR(VLOOKUP($B249,Miljövärden!$B$3:$H$552,MATCH(E$2,Miljövärden!$B$2:$H$2,0),FALSE),"Saknas")</f>
        <v>18.067799999999998</v>
      </c>
      <c r="F249" s="121">
        <f>IFERROR(VLOOKUP($B249,Miljövärden!$B$3:$H$552,MATCH(F$2,Miljövärden!$B$2:$H$2,0),FALSE),"Saknas")</f>
        <v>5.6805500000000004E-3</v>
      </c>
      <c r="G249" s="121" t="str">
        <f>IFERROR(VLOOKUP($B249,Miljövärden!$B$3:$H$552,MATCH(G$2,Miljövärden!$B$2:$H$2,0),FALSE),"Nej, saknas")</f>
        <v>Ja</v>
      </c>
      <c r="H249" s="285" t="str">
        <f>IFERROR(VLOOKUP($B249,Miljövärden!$B$3:$H$552,MATCH(H$2,Miljövärden!$B$2:$H$2,0),FALSE),"Nej, saknas")</f>
        <v>Ja</v>
      </c>
      <c r="P249" s="121" t="str">
        <f t="shared" si="6"/>
        <v>ja</v>
      </c>
      <c r="R249" s="121">
        <f t="shared" si="7"/>
        <v>221</v>
      </c>
    </row>
    <row r="250" spans="1:18" x14ac:dyDescent="0.25">
      <c r="A250" s="137" t="s">
        <v>532</v>
      </c>
      <c r="B250" s="137" t="s">
        <v>539</v>
      </c>
      <c r="C250" s="121">
        <f>IFERROR(VLOOKUP($B250,Miljövärden!$B$3:$H$552,MATCH(C$2,Miljövärden!$B$2:$H$2,0),FALSE),"Saknas")</f>
        <v>0</v>
      </c>
      <c r="D250" s="121">
        <f>IFERROR(VLOOKUP($B250,Miljövärden!$B$3:$H$552,MATCH(D$2,Miljövärden!$B$2:$H$2,0),FALSE),"Saknas")</f>
        <v>0</v>
      </c>
      <c r="E250" s="121">
        <f>IFERROR(VLOOKUP($B250,Miljövärden!$B$3:$H$552,MATCH(E$2,Miljövärden!$B$2:$H$2,0),FALSE),"Saknas")</f>
        <v>0</v>
      </c>
      <c r="F250" s="121">
        <f>IFERROR(VLOOKUP($B250,Miljövärden!$B$3:$H$552,MATCH(F$2,Miljövärden!$B$2:$H$2,0),FALSE),"Saknas")</f>
        <v>0</v>
      </c>
      <c r="G250" s="121" t="str">
        <f>IFERROR(VLOOKUP($B250,Miljövärden!$B$3:$H$552,MATCH(G$2,Miljövärden!$B$2:$H$2,0),FALSE),"Nej, saknas")</f>
        <v>Nej</v>
      </c>
      <c r="H250" s="285" t="str">
        <f>IFERROR(VLOOKUP($B250,Miljövärden!$B$3:$H$552,MATCH(H$2,Miljövärden!$B$2:$H$2,0),FALSE),"Nej, saknas")</f>
        <v>Nej</v>
      </c>
      <c r="P250" s="121" t="str">
        <f t="shared" si="6"/>
        <v>nej</v>
      </c>
      <c r="R250" s="121">
        <f t="shared" si="7"/>
        <v>221</v>
      </c>
    </row>
    <row r="251" spans="1:18" x14ac:dyDescent="0.25">
      <c r="A251" s="137" t="s">
        <v>532</v>
      </c>
      <c r="B251" s="137" t="s">
        <v>540</v>
      </c>
      <c r="C251" s="121">
        <f>IFERROR(VLOOKUP($B251,Miljövärden!$B$3:$H$552,MATCH(C$2,Miljövärden!$B$2:$H$2,0),FALSE),"Saknas")</f>
        <v>0.171044</v>
      </c>
      <c r="D251" s="121">
        <f>IFERROR(VLOOKUP($B251,Miljövärden!$B$3:$H$552,MATCH(D$2,Miljövärden!$B$2:$H$2,0),FALSE),"Saknas")</f>
        <v>6.4295999999999998</v>
      </c>
      <c r="E251" s="121">
        <f>IFERROR(VLOOKUP($B251,Miljövärden!$B$3:$H$552,MATCH(E$2,Miljövärden!$B$2:$H$2,0),FALSE),"Saknas")</f>
        <v>18.6797</v>
      </c>
      <c r="F251" s="121">
        <f>IFERROR(VLOOKUP($B251,Miljövärden!$B$3:$H$552,MATCH(F$2,Miljövärden!$B$2:$H$2,0),FALSE),"Saknas")</f>
        <v>3.0700499999999999E-3</v>
      </c>
      <c r="G251" s="121" t="str">
        <f>IFERROR(VLOOKUP($B251,Miljövärden!$B$3:$H$552,MATCH(G$2,Miljövärden!$B$2:$H$2,0),FALSE),"Nej, saknas")</f>
        <v>Ja</v>
      </c>
      <c r="H251" s="285" t="str">
        <f>IFERROR(VLOOKUP($B251,Miljövärden!$B$3:$H$552,MATCH(H$2,Miljövärden!$B$2:$H$2,0),FALSE),"Nej, saknas")</f>
        <v>Ja</v>
      </c>
      <c r="P251" s="121" t="str">
        <f t="shared" si="6"/>
        <v>ja</v>
      </c>
      <c r="R251" s="121">
        <f t="shared" si="7"/>
        <v>222</v>
      </c>
    </row>
    <row r="252" spans="1:18" x14ac:dyDescent="0.25">
      <c r="A252" s="137" t="s">
        <v>532</v>
      </c>
      <c r="B252" s="137" t="s">
        <v>541</v>
      </c>
      <c r="C252" s="121">
        <f>IFERROR(VLOOKUP($B252,Miljövärden!$B$3:$H$552,MATCH(C$2,Miljövärden!$B$2:$H$2,0),FALSE),"Saknas")</f>
        <v>0.16664799999999999</v>
      </c>
      <c r="D252" s="121">
        <f>IFERROR(VLOOKUP($B252,Miljövärden!$B$3:$H$552,MATCH(D$2,Miljövärden!$B$2:$H$2,0),FALSE),"Saknas")</f>
        <v>10.068</v>
      </c>
      <c r="E252" s="121">
        <f>IFERROR(VLOOKUP($B252,Miljövärden!$B$3:$H$552,MATCH(E$2,Miljövärden!$B$2:$H$2,0),FALSE),"Saknas")</f>
        <v>17.912400000000002</v>
      </c>
      <c r="F252" s="121">
        <f>IFERROR(VLOOKUP($B252,Miljövärden!$B$3:$H$552,MATCH(F$2,Miljövärden!$B$2:$H$2,0),FALSE),"Saknas")</f>
        <v>1.4778299999999999E-2</v>
      </c>
      <c r="G252" s="121" t="str">
        <f>IFERROR(VLOOKUP($B252,Miljövärden!$B$3:$H$552,MATCH(G$2,Miljövärden!$B$2:$H$2,0),FALSE),"Nej, saknas")</f>
        <v>Ja</v>
      </c>
      <c r="H252" s="285" t="str">
        <f>IFERROR(VLOOKUP($B252,Miljövärden!$B$3:$H$552,MATCH(H$2,Miljövärden!$B$2:$H$2,0),FALSE),"Nej, saknas")</f>
        <v>Ja</v>
      </c>
      <c r="P252" s="121" t="str">
        <f t="shared" si="6"/>
        <v>ja</v>
      </c>
      <c r="R252" s="121">
        <f t="shared" si="7"/>
        <v>223</v>
      </c>
    </row>
    <row r="253" spans="1:18" x14ac:dyDescent="0.25">
      <c r="A253" s="137" t="s">
        <v>532</v>
      </c>
      <c r="B253" s="137" t="s">
        <v>542</v>
      </c>
      <c r="C253" s="121">
        <f>IFERROR(VLOOKUP($B253,Miljövärden!$B$3:$H$552,MATCH(C$2,Miljövärden!$B$2:$H$2,0),FALSE),"Saknas")</f>
        <v>0.25069999999999998</v>
      </c>
      <c r="D253" s="121">
        <f>IFERROR(VLOOKUP($B253,Miljövärden!$B$3:$H$552,MATCH(D$2,Miljövärden!$B$2:$H$2,0),FALSE),"Saknas")</f>
        <v>84.057400000000001</v>
      </c>
      <c r="E253" s="121">
        <f>IFERROR(VLOOKUP($B253,Miljövärden!$B$3:$H$552,MATCH(E$2,Miljövärden!$B$2:$H$2,0),FALSE),"Saknas")</f>
        <v>13.574299999999999</v>
      </c>
      <c r="F253" s="121">
        <f>IFERROR(VLOOKUP($B253,Miljövärden!$B$3:$H$552,MATCH(F$2,Miljövärden!$B$2:$H$2,0),FALSE),"Saknas")</f>
        <v>4.2881500000000001E-3</v>
      </c>
      <c r="G253" s="121" t="str">
        <f>IFERROR(VLOOKUP($B253,Miljövärden!$B$3:$H$552,MATCH(G$2,Miljövärden!$B$2:$H$2,0),FALSE),"Nej, saknas")</f>
        <v>Ja</v>
      </c>
      <c r="H253" s="285" t="str">
        <f>IFERROR(VLOOKUP($B253,Miljövärden!$B$3:$H$552,MATCH(H$2,Miljövärden!$B$2:$H$2,0),FALSE),"Nej, saknas")</f>
        <v>Ja</v>
      </c>
      <c r="P253" s="121" t="str">
        <f t="shared" si="6"/>
        <v>ja</v>
      </c>
      <c r="R253" s="121">
        <f t="shared" si="7"/>
        <v>224</v>
      </c>
    </row>
    <row r="254" spans="1:18" x14ac:dyDescent="0.25">
      <c r="A254" s="137" t="s">
        <v>532</v>
      </c>
      <c r="B254" s="137" t="s">
        <v>543</v>
      </c>
      <c r="C254" s="121">
        <f>IFERROR(VLOOKUP($B254,Miljövärden!$B$3:$H$552,MATCH(C$2,Miljövärden!$B$2:$H$2,0),FALSE),"Saknas")</f>
        <v>0.15926999999999999</v>
      </c>
      <c r="D254" s="121">
        <f>IFERROR(VLOOKUP($B254,Miljövärden!$B$3:$H$552,MATCH(D$2,Miljövärden!$B$2:$H$2,0),FALSE),"Saknas")</f>
        <v>6.9605199999999998</v>
      </c>
      <c r="E254" s="121">
        <f>IFERROR(VLOOKUP($B254,Miljövärden!$B$3:$H$552,MATCH(E$2,Miljövärden!$B$2:$H$2,0),FALSE),"Saknas")</f>
        <v>18.0976</v>
      </c>
      <c r="F254" s="121">
        <f>IFERROR(VLOOKUP($B254,Miljövärden!$B$3:$H$552,MATCH(F$2,Miljövärden!$B$2:$H$2,0),FALSE),"Saknas")</f>
        <v>5.24684E-3</v>
      </c>
      <c r="G254" s="121" t="str">
        <f>IFERROR(VLOOKUP($B254,Miljövärden!$B$3:$H$552,MATCH(G$2,Miljövärden!$B$2:$H$2,0),FALSE),"Nej, saknas")</f>
        <v>Ja</v>
      </c>
      <c r="H254" s="285" t="str">
        <f>IFERROR(VLOOKUP($B254,Miljövärden!$B$3:$H$552,MATCH(H$2,Miljövärden!$B$2:$H$2,0),FALSE),"Nej, saknas")</f>
        <v>Ja</v>
      </c>
      <c r="P254" s="121" t="str">
        <f t="shared" si="6"/>
        <v>ja</v>
      </c>
      <c r="R254" s="121">
        <f t="shared" si="7"/>
        <v>225</v>
      </c>
    </row>
    <row r="255" spans="1:18" x14ac:dyDescent="0.25">
      <c r="A255" s="137" t="s">
        <v>532</v>
      </c>
      <c r="B255" s="137" t="s">
        <v>544</v>
      </c>
      <c r="C255" s="121">
        <f>IFERROR(VLOOKUP($B255,Miljövärden!$B$3:$H$552,MATCH(C$2,Miljövärden!$B$2:$H$2,0),FALSE),"Saknas")</f>
        <v>6.2543299999999996E-2</v>
      </c>
      <c r="D255" s="121">
        <f>IFERROR(VLOOKUP($B255,Miljövärden!$B$3:$H$552,MATCH(D$2,Miljövärden!$B$2:$H$2,0),FALSE),"Saknas")</f>
        <v>8.4602299999999993</v>
      </c>
      <c r="E255" s="121">
        <f>IFERROR(VLOOKUP($B255,Miljövärden!$B$3:$H$552,MATCH(E$2,Miljövärden!$B$2:$H$2,0),FALSE),"Saknas")</f>
        <v>7.6211099999999998</v>
      </c>
      <c r="F255" s="121">
        <f>IFERROR(VLOOKUP($B255,Miljövärden!$B$3:$H$552,MATCH(F$2,Miljövärden!$B$2:$H$2,0),FALSE),"Saknas")</f>
        <v>1.9192500000000001E-2</v>
      </c>
      <c r="G255" s="121" t="str">
        <f>IFERROR(VLOOKUP($B255,Miljövärden!$B$3:$H$552,MATCH(G$2,Miljövärden!$B$2:$H$2,0),FALSE),"Nej, saknas")</f>
        <v>Ja</v>
      </c>
      <c r="H255" s="285" t="str">
        <f>IFERROR(VLOOKUP($B255,Miljövärden!$B$3:$H$552,MATCH(H$2,Miljövärden!$B$2:$H$2,0),FALSE),"Nej, saknas")</f>
        <v>Ja</v>
      </c>
      <c r="P255" s="121" t="str">
        <f t="shared" si="6"/>
        <v>ja</v>
      </c>
      <c r="R255" s="121">
        <f t="shared" si="7"/>
        <v>226</v>
      </c>
    </row>
    <row r="256" spans="1:18" x14ac:dyDescent="0.25">
      <c r="A256" s="137" t="s">
        <v>532</v>
      </c>
      <c r="B256" s="137" t="s">
        <v>545</v>
      </c>
      <c r="C256" s="121">
        <f>IFERROR(VLOOKUP($B256,Miljövärden!$B$3:$H$552,MATCH(C$2,Miljövärden!$B$2:$H$2,0),FALSE),"Saknas")</f>
        <v>0.137548</v>
      </c>
      <c r="D256" s="121">
        <f>IFERROR(VLOOKUP($B256,Miljövärden!$B$3:$H$552,MATCH(D$2,Miljövärden!$B$2:$H$2,0),FALSE),"Saknas")</f>
        <v>9.6733200000000004</v>
      </c>
      <c r="E256" s="121">
        <f>IFERROR(VLOOKUP($B256,Miljövärden!$B$3:$H$552,MATCH(E$2,Miljövärden!$B$2:$H$2,0),FALSE),"Saknas")</f>
        <v>11.667899999999999</v>
      </c>
      <c r="F256" s="121">
        <f>IFERROR(VLOOKUP($B256,Miljövärden!$B$3:$H$552,MATCH(F$2,Miljövärden!$B$2:$H$2,0),FALSE),"Saknas")</f>
        <v>1.90005E-2</v>
      </c>
      <c r="G256" s="121" t="str">
        <f>IFERROR(VLOOKUP($B256,Miljövärden!$B$3:$H$552,MATCH(G$2,Miljövärden!$B$2:$H$2,0),FALSE),"Nej, saknas")</f>
        <v>Ja</v>
      </c>
      <c r="H256" s="285" t="str">
        <f>IFERROR(VLOOKUP($B256,Miljövärden!$B$3:$H$552,MATCH(H$2,Miljövärden!$B$2:$H$2,0),FALSE),"Nej, saknas")</f>
        <v>Ja</v>
      </c>
      <c r="P256" s="121" t="str">
        <f t="shared" si="6"/>
        <v>ja</v>
      </c>
      <c r="R256" s="121">
        <f t="shared" si="7"/>
        <v>227</v>
      </c>
    </row>
    <row r="257" spans="1:18" x14ac:dyDescent="0.25">
      <c r="A257" s="137" t="s">
        <v>532</v>
      </c>
      <c r="B257" s="137" t="s">
        <v>546</v>
      </c>
      <c r="C257" s="121">
        <f>IFERROR(VLOOKUP($B257,Miljövärden!$B$3:$H$552,MATCH(C$2,Miljövärden!$B$2:$H$2,0),FALSE),"Saknas")</f>
        <v>0.16056899999999999</v>
      </c>
      <c r="D257" s="121">
        <f>IFERROR(VLOOKUP($B257,Miljövärden!$B$3:$H$552,MATCH(D$2,Miljövärden!$B$2:$H$2,0),FALSE),"Saknas")</f>
        <v>7.6607700000000003</v>
      </c>
      <c r="E257" s="121">
        <f>IFERROR(VLOOKUP($B257,Miljövärden!$B$3:$H$552,MATCH(E$2,Miljövärden!$B$2:$H$2,0),FALSE),"Saknas")</f>
        <v>18.243200000000002</v>
      </c>
      <c r="F257" s="121">
        <f>IFERROR(VLOOKUP($B257,Miljövärden!$B$3:$H$552,MATCH(F$2,Miljövärden!$B$2:$H$2,0),FALSE),"Saknas")</f>
        <v>7.1450799999999998E-3</v>
      </c>
      <c r="G257" s="121" t="str">
        <f>IFERROR(VLOOKUP($B257,Miljövärden!$B$3:$H$552,MATCH(G$2,Miljövärden!$B$2:$H$2,0),FALSE),"Nej, saknas")</f>
        <v>Ja</v>
      </c>
      <c r="H257" s="285" t="str">
        <f>IFERROR(VLOOKUP($B257,Miljövärden!$B$3:$H$552,MATCH(H$2,Miljövärden!$B$2:$H$2,0),FALSE),"Nej, saknas")</f>
        <v>Ja</v>
      </c>
      <c r="P257" s="121" t="str">
        <f t="shared" si="6"/>
        <v>ja</v>
      </c>
      <c r="R257" s="121">
        <f t="shared" si="7"/>
        <v>228</v>
      </c>
    </row>
    <row r="258" spans="1:18" x14ac:dyDescent="0.25">
      <c r="A258" s="137" t="s">
        <v>532</v>
      </c>
      <c r="B258" s="137" t="s">
        <v>547</v>
      </c>
      <c r="C258" s="121">
        <f>IFERROR(VLOOKUP($B258,Miljövärden!$B$3:$H$552,MATCH(C$2,Miljövärden!$B$2:$H$2,0),FALSE),"Saknas")</f>
        <v>0.17643600000000001</v>
      </c>
      <c r="D258" s="121">
        <f>IFERROR(VLOOKUP($B258,Miljövärden!$B$3:$H$552,MATCH(D$2,Miljövärden!$B$2:$H$2,0),FALSE),"Saknas")</f>
        <v>53.073300000000003</v>
      </c>
      <c r="E258" s="121">
        <f>IFERROR(VLOOKUP($B258,Miljövärden!$B$3:$H$552,MATCH(E$2,Miljövärden!$B$2:$H$2,0),FALSE),"Saknas")</f>
        <v>9.6063500000000008</v>
      </c>
      <c r="F258" s="121">
        <f>IFERROR(VLOOKUP($B258,Miljövärden!$B$3:$H$552,MATCH(F$2,Miljövärden!$B$2:$H$2,0),FALSE),"Saknas")</f>
        <v>1.7339400000000001E-2</v>
      </c>
      <c r="G258" s="121" t="str">
        <f>IFERROR(VLOOKUP($B258,Miljövärden!$B$3:$H$552,MATCH(G$2,Miljövärden!$B$2:$H$2,0),FALSE),"Nej, saknas")</f>
        <v>Ja</v>
      </c>
      <c r="H258" s="285" t="str">
        <f>IFERROR(VLOOKUP($B258,Miljövärden!$B$3:$H$552,MATCH(H$2,Miljövärden!$B$2:$H$2,0),FALSE),"Nej, saknas")</f>
        <v>Ja</v>
      </c>
      <c r="P258" s="121" t="str">
        <f t="shared" si="6"/>
        <v>ja</v>
      </c>
      <c r="R258" s="121">
        <f t="shared" si="7"/>
        <v>229</v>
      </c>
    </row>
    <row r="259" spans="1:18" x14ac:dyDescent="0.25">
      <c r="A259" s="137" t="s">
        <v>532</v>
      </c>
      <c r="B259" s="137" t="s">
        <v>548</v>
      </c>
      <c r="C259" s="121">
        <f>IFERROR(VLOOKUP($B259,Miljövärden!$B$3:$H$552,MATCH(C$2,Miljövärden!$B$2:$H$2,0),FALSE),"Saknas")</f>
        <v>0.21923599999999999</v>
      </c>
      <c r="D259" s="121">
        <f>IFERROR(VLOOKUP($B259,Miljövärden!$B$3:$H$552,MATCH(D$2,Miljövärden!$B$2:$H$2,0),FALSE),"Saknas")</f>
        <v>17.077999999999999</v>
      </c>
      <c r="E259" s="121">
        <f>IFERROR(VLOOKUP($B259,Miljövärden!$B$3:$H$552,MATCH(E$2,Miljövärden!$B$2:$H$2,0),FALSE),"Saknas")</f>
        <v>20.714200000000002</v>
      </c>
      <c r="F259" s="121">
        <f>IFERROR(VLOOKUP($B259,Miljövärden!$B$3:$H$552,MATCH(F$2,Miljövärden!$B$2:$H$2,0),FALSE),"Saknas")</f>
        <v>2.88531E-2</v>
      </c>
      <c r="G259" s="121" t="str">
        <f>IFERROR(VLOOKUP($B259,Miljövärden!$B$3:$H$552,MATCH(G$2,Miljövärden!$B$2:$H$2,0),FALSE),"Nej, saknas")</f>
        <v>Ja</v>
      </c>
      <c r="H259" s="285" t="str">
        <f>IFERROR(VLOOKUP($B259,Miljövärden!$B$3:$H$552,MATCH(H$2,Miljövärden!$B$2:$H$2,0),FALSE),"Nej, saknas")</f>
        <v>Ja</v>
      </c>
      <c r="P259" s="121" t="str">
        <f t="shared" si="6"/>
        <v>ja</v>
      </c>
      <c r="R259" s="121">
        <f t="shared" si="7"/>
        <v>230</v>
      </c>
    </row>
    <row r="260" spans="1:18" x14ac:dyDescent="0.25">
      <c r="A260" s="137" t="s">
        <v>532</v>
      </c>
      <c r="B260" s="137" t="s">
        <v>549</v>
      </c>
      <c r="C260" s="121">
        <f>IFERROR(VLOOKUP($B260,Miljövärden!$B$3:$H$552,MATCH(C$2,Miljövärden!$B$2:$H$2,0),FALSE),"Saknas")</f>
        <v>2.5945100000000001E-4</v>
      </c>
      <c r="D260" s="121">
        <f>IFERROR(VLOOKUP($B260,Miljövärden!$B$3:$H$552,MATCH(D$2,Miljövärden!$B$2:$H$2,0),FALSE),"Saknas")</f>
        <v>0</v>
      </c>
      <c r="E260" s="121">
        <f>IFERROR(VLOOKUP($B260,Miljövärden!$B$3:$H$552,MATCH(E$2,Miljövärden!$B$2:$H$2,0),FALSE),"Saknas")</f>
        <v>0</v>
      </c>
      <c r="F260" s="121">
        <f>IFERROR(VLOOKUP($B260,Miljövärden!$B$3:$H$552,MATCH(F$2,Miljövärden!$B$2:$H$2,0),FALSE),"Saknas")</f>
        <v>0</v>
      </c>
      <c r="G260" s="121" t="str">
        <f>IFERROR(VLOOKUP($B260,Miljövärden!$B$3:$H$552,MATCH(G$2,Miljövärden!$B$2:$H$2,0),FALSE),"Nej, saknas")</f>
        <v>Ja</v>
      </c>
      <c r="H260" s="285" t="str">
        <f>IFERROR(VLOOKUP($B260,Miljövärden!$B$3:$H$552,MATCH(H$2,Miljövärden!$B$2:$H$2,0),FALSE),"Nej, saknas")</f>
        <v>Ja</v>
      </c>
      <c r="P260" s="121" t="str">
        <f t="shared" ref="P260:P323" si="8">IF(K260="x","nej",
IF(L260="x","ja",
IF(H260="ja","ja","nej")))</f>
        <v>ja</v>
      </c>
      <c r="R260" s="121">
        <f t="shared" ref="R260:R323" si="9">IF(ISERROR(P260),R259,IF(P260="ja",R259+1,R259))</f>
        <v>231</v>
      </c>
    </row>
    <row r="261" spans="1:18" x14ac:dyDescent="0.25">
      <c r="A261" s="137" t="s">
        <v>532</v>
      </c>
      <c r="B261" s="137" t="s">
        <v>550</v>
      </c>
      <c r="C261" s="121">
        <f>IFERROR(VLOOKUP($B261,Miljövärden!$B$3:$H$552,MATCH(C$2,Miljövärden!$B$2:$H$2,0),FALSE),"Saknas")</f>
        <v>0.200875</v>
      </c>
      <c r="D261" s="121">
        <f>IFERROR(VLOOKUP($B261,Miljövärden!$B$3:$H$552,MATCH(D$2,Miljövärden!$B$2:$H$2,0),FALSE),"Saknas")</f>
        <v>19.603000000000002</v>
      </c>
      <c r="E261" s="121">
        <f>IFERROR(VLOOKUP($B261,Miljövärden!$B$3:$H$552,MATCH(E$2,Miljövärden!$B$2:$H$2,0),FALSE),"Saknas")</f>
        <v>17.863299999999999</v>
      </c>
      <c r="F261" s="121">
        <f>IFERROR(VLOOKUP($B261,Miljövärden!$B$3:$H$552,MATCH(F$2,Miljövärden!$B$2:$H$2,0),FALSE),"Saknas")</f>
        <v>4.41065E-2</v>
      </c>
      <c r="G261" s="121" t="str">
        <f>IFERROR(VLOOKUP($B261,Miljövärden!$B$3:$H$552,MATCH(G$2,Miljövärden!$B$2:$H$2,0),FALSE),"Nej, saknas")</f>
        <v>Ja</v>
      </c>
      <c r="H261" s="285" t="str">
        <f>IFERROR(VLOOKUP($B261,Miljövärden!$B$3:$H$552,MATCH(H$2,Miljövärden!$B$2:$H$2,0),FALSE),"Nej, saknas")</f>
        <v>Ja</v>
      </c>
      <c r="P261" s="121" t="str">
        <f t="shared" si="8"/>
        <v>ja</v>
      </c>
      <c r="R261" s="121">
        <f t="shared" si="9"/>
        <v>232</v>
      </c>
    </row>
    <row r="262" spans="1:18" x14ac:dyDescent="0.25">
      <c r="A262" s="137" t="s">
        <v>532</v>
      </c>
      <c r="B262" s="137" t="s">
        <v>551</v>
      </c>
      <c r="C262" s="121">
        <f>IFERROR(VLOOKUP($B262,Miljövärden!$B$3:$H$552,MATCH(C$2,Miljövärden!$B$2:$H$2,0),FALSE),"Saknas")</f>
        <v>0.172678</v>
      </c>
      <c r="D262" s="121">
        <f>IFERROR(VLOOKUP($B262,Miljövärden!$B$3:$H$552,MATCH(D$2,Miljövärden!$B$2:$H$2,0),FALSE),"Saknas")</f>
        <v>7.8969500000000004</v>
      </c>
      <c r="E262" s="121">
        <f>IFERROR(VLOOKUP($B262,Miljövärden!$B$3:$H$552,MATCH(E$2,Miljövärden!$B$2:$H$2,0),FALSE),"Saknas")</f>
        <v>18.997800000000002</v>
      </c>
      <c r="F262" s="121">
        <f>IFERROR(VLOOKUP($B262,Miljövärden!$B$3:$H$552,MATCH(F$2,Miljövärden!$B$2:$H$2,0),FALSE),"Saknas")</f>
        <v>6.8783100000000003E-3</v>
      </c>
      <c r="G262" s="121" t="str">
        <f>IFERROR(VLOOKUP($B262,Miljövärden!$B$3:$H$552,MATCH(G$2,Miljövärden!$B$2:$H$2,0),FALSE),"Nej, saknas")</f>
        <v>Ja</v>
      </c>
      <c r="H262" s="285" t="str">
        <f>IFERROR(VLOOKUP($B262,Miljövärden!$B$3:$H$552,MATCH(H$2,Miljövärden!$B$2:$H$2,0),FALSE),"Nej, saknas")</f>
        <v>Ja</v>
      </c>
      <c r="P262" s="121" t="str">
        <f t="shared" si="8"/>
        <v>ja</v>
      </c>
      <c r="R262" s="121">
        <f t="shared" si="9"/>
        <v>233</v>
      </c>
    </row>
    <row r="263" spans="1:18" x14ac:dyDescent="0.25">
      <c r="A263" s="137" t="s">
        <v>552</v>
      </c>
      <c r="B263" s="137" t="s">
        <v>553</v>
      </c>
      <c r="C263" s="121">
        <f>IFERROR(VLOOKUP($B263,Miljövärden!$B$3:$H$552,MATCH(C$2,Miljövärden!$B$2:$H$2,0),FALSE),"Saknas")</f>
        <v>0.160053</v>
      </c>
      <c r="D263" s="121">
        <f>IFERROR(VLOOKUP($B263,Miljövärden!$B$3:$H$552,MATCH(D$2,Miljövärden!$B$2:$H$2,0),FALSE),"Saknas")</f>
        <v>6.80938</v>
      </c>
      <c r="E263" s="121">
        <f>IFERROR(VLOOKUP($B263,Miljövärden!$B$3:$H$552,MATCH(E$2,Miljövärden!$B$2:$H$2,0),FALSE),"Saknas")</f>
        <v>18.203399999999998</v>
      </c>
      <c r="F263" s="121">
        <f>IFERROR(VLOOKUP($B263,Miljövärden!$B$3:$H$552,MATCH(F$2,Miljövärden!$B$2:$H$2,0),FALSE),"Saknas")</f>
        <v>4.7021900000000002E-3</v>
      </c>
      <c r="G263" s="121" t="str">
        <f>IFERROR(VLOOKUP($B263,Miljövärden!$B$3:$H$552,MATCH(G$2,Miljövärden!$B$2:$H$2,0),FALSE),"Nej, saknas")</f>
        <v>Ja</v>
      </c>
      <c r="H263" s="285" t="str">
        <f>IFERROR(VLOOKUP($B263,Miljövärden!$B$3:$H$552,MATCH(H$2,Miljövärden!$B$2:$H$2,0),FALSE),"Nej, saknas")</f>
        <v>Ja</v>
      </c>
      <c r="P263" s="121" t="str">
        <f t="shared" si="8"/>
        <v>ja</v>
      </c>
      <c r="R263" s="121">
        <f t="shared" si="9"/>
        <v>234</v>
      </c>
    </row>
    <row r="264" spans="1:18" x14ac:dyDescent="0.25">
      <c r="A264" s="137" t="s">
        <v>552</v>
      </c>
      <c r="B264" s="137" t="s">
        <v>554</v>
      </c>
      <c r="C264" s="121">
        <f>IFERROR(VLOOKUP($B264,Miljövärden!$B$3:$H$552,MATCH(C$2,Miljövärden!$B$2:$H$2,0),FALSE),"Saknas")</f>
        <v>8.23575E-2</v>
      </c>
      <c r="D264" s="121">
        <f>IFERROR(VLOOKUP($B264,Miljövärden!$B$3:$H$552,MATCH(D$2,Miljövärden!$B$2:$H$2,0),FALSE),"Saknas")</f>
        <v>55.278700000000001</v>
      </c>
      <c r="E264" s="121">
        <f>IFERROR(VLOOKUP($B264,Miljövärden!$B$3:$H$552,MATCH(E$2,Miljövärden!$B$2:$H$2,0),FALSE),"Saknas")</f>
        <v>6.0789099999999996</v>
      </c>
      <c r="F264" s="121">
        <f>IFERROR(VLOOKUP($B264,Miljövärden!$B$3:$H$552,MATCH(F$2,Miljövärden!$B$2:$H$2,0),FALSE),"Saknas")</f>
        <v>5.1011199999999998E-3</v>
      </c>
      <c r="G264" s="121" t="str">
        <f>IFERROR(VLOOKUP($B264,Miljövärden!$B$3:$H$552,MATCH(G$2,Miljövärden!$B$2:$H$2,0),FALSE),"Nej, saknas")</f>
        <v>Ja</v>
      </c>
      <c r="H264" s="285" t="str">
        <f>IFERROR(VLOOKUP($B264,Miljövärden!$B$3:$H$552,MATCH(H$2,Miljövärden!$B$2:$H$2,0),FALSE),"Nej, saknas")</f>
        <v>Ja</v>
      </c>
      <c r="P264" s="121" t="str">
        <f t="shared" si="8"/>
        <v>ja</v>
      </c>
      <c r="R264" s="121">
        <f t="shared" si="9"/>
        <v>235</v>
      </c>
    </row>
    <row r="265" spans="1:18" x14ac:dyDescent="0.25">
      <c r="A265" s="137" t="s">
        <v>552</v>
      </c>
      <c r="B265" s="137" t="s">
        <v>555</v>
      </c>
      <c r="C265" s="121">
        <f>IFERROR(VLOOKUP($B265,Miljövärden!$B$3:$H$552,MATCH(C$2,Miljövärden!$B$2:$H$2,0),FALSE),"Saknas")</f>
        <v>0.19146299999999999</v>
      </c>
      <c r="D265" s="121">
        <f>IFERROR(VLOOKUP($B265,Miljövärden!$B$3:$H$552,MATCH(D$2,Miljövärden!$B$2:$H$2,0),FALSE),"Saknas")</f>
        <v>15.8164</v>
      </c>
      <c r="E265" s="121">
        <f>IFERROR(VLOOKUP($B265,Miljövärden!$B$3:$H$552,MATCH(E$2,Miljövärden!$B$2:$H$2,0),FALSE),"Saknas")</f>
        <v>17.575500000000002</v>
      </c>
      <c r="F265" s="121">
        <f>IFERROR(VLOOKUP($B265,Miljövärden!$B$3:$H$552,MATCH(F$2,Miljövärden!$B$2:$H$2,0),FALSE),"Saknas")</f>
        <v>3.3124399999999998E-2</v>
      </c>
      <c r="G265" s="121" t="str">
        <f>IFERROR(VLOOKUP($B265,Miljövärden!$B$3:$H$552,MATCH(G$2,Miljövärden!$B$2:$H$2,0),FALSE),"Nej, saknas")</f>
        <v>Ja</v>
      </c>
      <c r="H265" s="285" t="str">
        <f>IFERROR(VLOOKUP($B265,Miljövärden!$B$3:$H$552,MATCH(H$2,Miljövärden!$B$2:$H$2,0),FALSE),"Nej, saknas")</f>
        <v>Ja</v>
      </c>
      <c r="P265" s="121" t="str">
        <f t="shared" si="8"/>
        <v>ja</v>
      </c>
      <c r="R265" s="121">
        <f t="shared" si="9"/>
        <v>236</v>
      </c>
    </row>
    <row r="266" spans="1:18" x14ac:dyDescent="0.25">
      <c r="A266" s="137" t="s">
        <v>552</v>
      </c>
      <c r="B266" s="137" t="s">
        <v>556</v>
      </c>
      <c r="C266" s="121">
        <f>IFERROR(VLOOKUP($B266,Miljövärden!$B$3:$H$552,MATCH(C$2,Miljövärden!$B$2:$H$2,0),FALSE),"Saknas")</f>
        <v>0.17418500000000001</v>
      </c>
      <c r="D266" s="121">
        <f>IFERROR(VLOOKUP($B266,Miljövärden!$B$3:$H$552,MATCH(D$2,Miljövärden!$B$2:$H$2,0),FALSE),"Saknas")</f>
        <v>10.92</v>
      </c>
      <c r="E266" s="121">
        <f>IFERROR(VLOOKUP($B266,Miljövärden!$B$3:$H$552,MATCH(E$2,Miljövärden!$B$2:$H$2,0),FALSE),"Saknas")</f>
        <v>17.903600000000001</v>
      </c>
      <c r="F266" s="121">
        <f>IFERROR(VLOOKUP($B266,Miljövärden!$B$3:$H$552,MATCH(F$2,Miljövärden!$B$2:$H$2,0),FALSE),"Saknas")</f>
        <v>1.7358499999999999E-2</v>
      </c>
      <c r="G266" s="121" t="str">
        <f>IFERROR(VLOOKUP($B266,Miljövärden!$B$3:$H$552,MATCH(G$2,Miljövärden!$B$2:$H$2,0),FALSE),"Nej, saknas")</f>
        <v>Ja</v>
      </c>
      <c r="H266" s="285" t="str">
        <f>IFERROR(VLOOKUP($B266,Miljövärden!$B$3:$H$552,MATCH(H$2,Miljövärden!$B$2:$H$2,0),FALSE),"Nej, saknas")</f>
        <v>Ja</v>
      </c>
      <c r="P266" s="121" t="str">
        <f t="shared" si="8"/>
        <v>ja</v>
      </c>
      <c r="R266" s="121">
        <f t="shared" si="9"/>
        <v>237</v>
      </c>
    </row>
    <row r="267" spans="1:18" x14ac:dyDescent="0.25">
      <c r="A267" s="137" t="s">
        <v>552</v>
      </c>
      <c r="B267" s="137" t="s">
        <v>557</v>
      </c>
      <c r="C267" s="121">
        <f>IFERROR(VLOOKUP($B267,Miljövärden!$B$3:$H$552,MATCH(C$2,Miljövärden!$B$2:$H$2,0),FALSE),"Saknas")</f>
        <v>0.17063500000000001</v>
      </c>
      <c r="D267" s="121">
        <f>IFERROR(VLOOKUP($B267,Miljövärden!$B$3:$H$552,MATCH(D$2,Miljövärden!$B$2:$H$2,0),FALSE),"Saknas")</f>
        <v>9.2990399999999998</v>
      </c>
      <c r="E267" s="121">
        <f>IFERROR(VLOOKUP($B267,Miljövärden!$B$3:$H$552,MATCH(E$2,Miljövärden!$B$2:$H$2,0),FALSE),"Saknas")</f>
        <v>17.502300000000002</v>
      </c>
      <c r="F267" s="121">
        <f>IFERROR(VLOOKUP($B267,Miljövärden!$B$3:$H$552,MATCH(F$2,Miljövärden!$B$2:$H$2,0),FALSE),"Saknas")</f>
        <v>1.30671E-2</v>
      </c>
      <c r="G267" s="121" t="str">
        <f>IFERROR(VLOOKUP($B267,Miljövärden!$B$3:$H$552,MATCH(G$2,Miljövärden!$B$2:$H$2,0),FALSE),"Nej, saknas")</f>
        <v>Ja</v>
      </c>
      <c r="H267" s="285" t="str">
        <f>IFERROR(VLOOKUP($B267,Miljövärden!$B$3:$H$552,MATCH(H$2,Miljövärden!$B$2:$H$2,0),FALSE),"Nej, saknas")</f>
        <v>Ja</v>
      </c>
      <c r="P267" s="121" t="str">
        <f t="shared" si="8"/>
        <v>ja</v>
      </c>
      <c r="R267" s="121">
        <f t="shared" si="9"/>
        <v>238</v>
      </c>
    </row>
    <row r="268" spans="1:18" x14ac:dyDescent="0.25">
      <c r="A268" s="137" t="s">
        <v>558</v>
      </c>
      <c r="B268" s="137" t="s">
        <v>559</v>
      </c>
      <c r="C268" s="121">
        <f>IFERROR(VLOOKUP($B268,Miljövärden!$B$3:$H$552,MATCH(C$2,Miljövärden!$B$2:$H$2,0),FALSE),"Saknas")</f>
        <v>0.21454300000000001</v>
      </c>
      <c r="D268" s="121">
        <f>IFERROR(VLOOKUP($B268,Miljövärden!$B$3:$H$552,MATCH(D$2,Miljövärden!$B$2:$H$2,0),FALSE),"Saknas")</f>
        <v>27.247699999999998</v>
      </c>
      <c r="E268" s="121">
        <f>IFERROR(VLOOKUP($B268,Miljövärden!$B$3:$H$552,MATCH(E$2,Miljövärden!$B$2:$H$2,0),FALSE),"Saknas")</f>
        <v>6.3924599999999998</v>
      </c>
      <c r="F268" s="121">
        <f>IFERROR(VLOOKUP($B268,Miljövärden!$B$3:$H$552,MATCH(F$2,Miljövärden!$B$2:$H$2,0),FALSE),"Saknas")</f>
        <v>3.4614300000000001E-2</v>
      </c>
      <c r="G268" s="121" t="str">
        <f>IFERROR(VLOOKUP($B268,Miljövärden!$B$3:$H$552,MATCH(G$2,Miljövärden!$B$2:$H$2,0),FALSE),"Nej, saknas")</f>
        <v>Ja</v>
      </c>
      <c r="H268" s="285" t="str">
        <f>IFERROR(VLOOKUP($B268,Miljövärden!$B$3:$H$552,MATCH(H$2,Miljövärden!$B$2:$H$2,0),FALSE),"Nej, saknas")</f>
        <v>Ja</v>
      </c>
      <c r="P268" s="121" t="str">
        <f t="shared" si="8"/>
        <v>ja</v>
      </c>
      <c r="R268" s="121">
        <f t="shared" si="9"/>
        <v>239</v>
      </c>
    </row>
    <row r="269" spans="1:18" x14ac:dyDescent="0.25">
      <c r="A269" s="137" t="s">
        <v>558</v>
      </c>
      <c r="B269" s="137" t="s">
        <v>560</v>
      </c>
      <c r="C269" s="121">
        <f>IFERROR(VLOOKUP($B269,Miljövärden!$B$3:$H$552,MATCH(C$2,Miljövärden!$B$2:$H$2,0),FALSE),"Saknas")</f>
        <v>0.104384</v>
      </c>
      <c r="D269" s="121">
        <f>IFERROR(VLOOKUP($B269,Miljövärden!$B$3:$H$552,MATCH(D$2,Miljövärden!$B$2:$H$2,0),FALSE),"Saknas")</f>
        <v>17.032800000000002</v>
      </c>
      <c r="E269" s="121">
        <f>IFERROR(VLOOKUP($B269,Miljövärden!$B$3:$H$552,MATCH(E$2,Miljövärden!$B$2:$H$2,0),FALSE),"Saknas")</f>
        <v>8.5152099999999997</v>
      </c>
      <c r="F269" s="121">
        <f>IFERROR(VLOOKUP($B269,Miljövärden!$B$3:$H$552,MATCH(F$2,Miljövärden!$B$2:$H$2,0),FALSE),"Saknas")</f>
        <v>2.4657700000000001E-2</v>
      </c>
      <c r="G269" s="121" t="str">
        <f>IFERROR(VLOOKUP($B269,Miljövärden!$B$3:$H$552,MATCH(G$2,Miljövärden!$B$2:$H$2,0),FALSE),"Nej, saknas")</f>
        <v>Ja</v>
      </c>
      <c r="H269" s="285" t="str">
        <f>IFERROR(VLOOKUP($B269,Miljövärden!$B$3:$H$552,MATCH(H$2,Miljövärden!$B$2:$H$2,0),FALSE),"Nej, saknas")</f>
        <v>Ja</v>
      </c>
      <c r="P269" s="121" t="str">
        <f t="shared" si="8"/>
        <v>ja</v>
      </c>
      <c r="R269" s="121">
        <f t="shared" si="9"/>
        <v>240</v>
      </c>
    </row>
    <row r="270" spans="1:18" x14ac:dyDescent="0.25">
      <c r="A270" s="137" t="s">
        <v>561</v>
      </c>
      <c r="B270" s="137" t="s">
        <v>562</v>
      </c>
      <c r="C270" s="121">
        <f>IFERROR(VLOOKUP($B270,Miljövärden!$B$3:$H$552,MATCH(C$2,Miljövärden!$B$2:$H$2,0),FALSE),"Saknas")</f>
        <v>8.9704800000000001E-2</v>
      </c>
      <c r="D270" s="121">
        <f>IFERROR(VLOOKUP($B270,Miljövärden!$B$3:$H$552,MATCH(D$2,Miljövärden!$B$2:$H$2,0),FALSE),"Saknas")</f>
        <v>99.8005</v>
      </c>
      <c r="E270" s="121">
        <f>IFERROR(VLOOKUP($B270,Miljövärden!$B$3:$H$552,MATCH(E$2,Miljövärden!$B$2:$H$2,0),FALSE),"Saknas")</f>
        <v>5.2168400000000004</v>
      </c>
      <c r="F270" s="121">
        <f>IFERROR(VLOOKUP($B270,Miljövärden!$B$3:$H$552,MATCH(F$2,Miljövärden!$B$2:$H$2,0),FALSE),"Saknas")</f>
        <v>0</v>
      </c>
      <c r="G270" s="121" t="str">
        <f>IFERROR(VLOOKUP($B270,Miljövärden!$B$3:$H$552,MATCH(G$2,Miljövärden!$B$2:$H$2,0),FALSE),"Nej, saknas")</f>
        <v>Ja</v>
      </c>
      <c r="H270" s="285" t="str">
        <f>IFERROR(VLOOKUP($B270,Miljövärden!$B$3:$H$552,MATCH(H$2,Miljövärden!$B$2:$H$2,0),FALSE),"Nej, saknas")</f>
        <v>Ja</v>
      </c>
      <c r="P270" s="121" t="str">
        <f t="shared" si="8"/>
        <v>ja</v>
      </c>
      <c r="R270" s="121">
        <f t="shared" si="9"/>
        <v>241</v>
      </c>
    </row>
    <row r="271" spans="1:18" x14ac:dyDescent="0.25">
      <c r="A271" s="137" t="s">
        <v>563</v>
      </c>
      <c r="B271" s="137" t="s">
        <v>564</v>
      </c>
      <c r="C271" s="121">
        <f>IFERROR(VLOOKUP($B271,Miljövärden!$B$3:$H$552,MATCH(C$2,Miljövärden!$B$2:$H$2,0),FALSE),"Saknas")</f>
        <v>0</v>
      </c>
      <c r="D271" s="121">
        <f>IFERROR(VLOOKUP($B271,Miljövärden!$B$3:$H$552,MATCH(D$2,Miljövärden!$B$2:$H$2,0),FALSE),"Saknas")</f>
        <v>0</v>
      </c>
      <c r="E271" s="121">
        <f>IFERROR(VLOOKUP($B271,Miljövärden!$B$3:$H$552,MATCH(E$2,Miljövärden!$B$2:$H$2,0),FALSE),"Saknas")</f>
        <v>0</v>
      </c>
      <c r="F271" s="121">
        <f>IFERROR(VLOOKUP($B271,Miljövärden!$B$3:$H$552,MATCH(F$2,Miljövärden!$B$2:$H$2,0),FALSE),"Saknas")</f>
        <v>0</v>
      </c>
      <c r="G271" s="121" t="str">
        <f>IFERROR(VLOOKUP($B271,Miljövärden!$B$3:$H$552,MATCH(G$2,Miljövärden!$B$2:$H$2,0),FALSE),"Nej, saknas")</f>
        <v>Nej</v>
      </c>
      <c r="H271" s="285" t="str">
        <f>IFERROR(VLOOKUP($B271,Miljövärden!$B$3:$H$552,MATCH(H$2,Miljövärden!$B$2:$H$2,0),FALSE),"Nej, saknas")</f>
        <v>Nej</v>
      </c>
      <c r="P271" s="121" t="str">
        <f t="shared" si="8"/>
        <v>nej</v>
      </c>
      <c r="R271" s="121">
        <f t="shared" si="9"/>
        <v>241</v>
      </c>
    </row>
    <row r="272" spans="1:18" x14ac:dyDescent="0.25">
      <c r="A272" s="137" t="s">
        <v>565</v>
      </c>
      <c r="B272" s="137" t="s">
        <v>566</v>
      </c>
      <c r="C272" s="121">
        <f>IFERROR(VLOOKUP($B272,Miljövärden!$B$3:$H$552,MATCH(C$2,Miljövärden!$B$2:$H$2,0),FALSE),"Saknas")</f>
        <v>6.3733999999999999E-2</v>
      </c>
      <c r="D272" s="121">
        <f>IFERROR(VLOOKUP($B272,Miljövärden!$B$3:$H$552,MATCH(D$2,Miljövärden!$B$2:$H$2,0),FALSE),"Saknas")</f>
        <v>4.2104600000000003</v>
      </c>
      <c r="E272" s="121">
        <f>IFERROR(VLOOKUP($B272,Miljövärden!$B$3:$H$552,MATCH(E$2,Miljövärden!$B$2:$H$2,0),FALSE),"Saknas")</f>
        <v>7.4283200000000003</v>
      </c>
      <c r="F272" s="121">
        <f>IFERROR(VLOOKUP($B272,Miljövärden!$B$3:$H$552,MATCH(F$2,Miljövärden!$B$2:$H$2,0),FALSE),"Saknas")</f>
        <v>0</v>
      </c>
      <c r="G272" s="121" t="str">
        <f>IFERROR(VLOOKUP($B272,Miljövärden!$B$3:$H$552,MATCH(G$2,Miljövärden!$B$2:$H$2,0),FALSE),"Nej, saknas")</f>
        <v>Nej</v>
      </c>
      <c r="H272" s="285" t="str">
        <f>IFERROR(VLOOKUP($B272,Miljövärden!$B$3:$H$552,MATCH(H$2,Miljövärden!$B$2:$H$2,0),FALSE),"Nej, saknas")</f>
        <v>Ja</v>
      </c>
      <c r="P272" s="121" t="str">
        <f t="shared" si="8"/>
        <v>ja</v>
      </c>
      <c r="R272" s="121">
        <f t="shared" si="9"/>
        <v>242</v>
      </c>
    </row>
    <row r="273" spans="1:18" x14ac:dyDescent="0.25">
      <c r="A273" s="137" t="s">
        <v>565</v>
      </c>
      <c r="B273" s="137" t="s">
        <v>567</v>
      </c>
      <c r="C273" s="121">
        <f>IFERROR(VLOOKUP($B273,Miljövärden!$B$3:$H$552,MATCH(C$2,Miljövärden!$B$2:$H$2,0),FALSE),"Saknas")</f>
        <v>6.9476099999999999E-2</v>
      </c>
      <c r="D273" s="121">
        <f>IFERROR(VLOOKUP($B273,Miljövärden!$B$3:$H$552,MATCH(D$2,Miljövärden!$B$2:$H$2,0),FALSE),"Saknas")</f>
        <v>4.3139000000000003</v>
      </c>
      <c r="E273" s="121">
        <f>IFERROR(VLOOKUP($B273,Miljövärden!$B$3:$H$552,MATCH(E$2,Miljövärden!$B$2:$H$2,0),FALSE),"Saknas")</f>
        <v>7.6323499999999997</v>
      </c>
      <c r="F273" s="121">
        <f>IFERROR(VLOOKUP($B273,Miljövärden!$B$3:$H$552,MATCH(F$2,Miljövärden!$B$2:$H$2,0),FALSE),"Saknas")</f>
        <v>0</v>
      </c>
      <c r="G273" s="121" t="str">
        <f>IFERROR(VLOOKUP($B273,Miljövärden!$B$3:$H$552,MATCH(G$2,Miljövärden!$B$2:$H$2,0),FALSE),"Nej, saknas")</f>
        <v>Nej</v>
      </c>
      <c r="H273" s="285" t="str">
        <f>IFERROR(VLOOKUP($B273,Miljövärden!$B$3:$H$552,MATCH(H$2,Miljövärden!$B$2:$H$2,0),FALSE),"Nej, saknas")</f>
        <v>Ja</v>
      </c>
      <c r="P273" s="121" t="str">
        <f t="shared" si="8"/>
        <v>ja</v>
      </c>
      <c r="R273" s="121">
        <f t="shared" si="9"/>
        <v>243</v>
      </c>
    </row>
    <row r="274" spans="1:18" x14ac:dyDescent="0.25">
      <c r="A274" s="137" t="s">
        <v>565</v>
      </c>
      <c r="B274" s="137" t="s">
        <v>568</v>
      </c>
      <c r="C274" s="121">
        <f>IFERROR(VLOOKUP($B274,Miljövärden!$B$3:$H$552,MATCH(C$2,Miljövärden!$B$2:$H$2,0),FALSE),"Saknas")</f>
        <v>9.8686200000000002E-2</v>
      </c>
      <c r="D274" s="121">
        <f>IFERROR(VLOOKUP($B274,Miljövärden!$B$3:$H$552,MATCH(D$2,Miljövärden!$B$2:$H$2,0),FALSE),"Saknas")</f>
        <v>13.6754</v>
      </c>
      <c r="E274" s="121">
        <f>IFERROR(VLOOKUP($B274,Miljövärden!$B$3:$H$552,MATCH(E$2,Miljövärden!$B$2:$H$2,0),FALSE),"Saknas")</f>
        <v>9.0010899999999996</v>
      </c>
      <c r="F274" s="121">
        <f>IFERROR(VLOOKUP($B274,Miljövärden!$B$3:$H$552,MATCH(F$2,Miljövärden!$B$2:$H$2,0),FALSE),"Saknas")</f>
        <v>2.38278E-2</v>
      </c>
      <c r="G274" s="121" t="str">
        <f>IFERROR(VLOOKUP($B274,Miljövärden!$B$3:$H$552,MATCH(G$2,Miljövärden!$B$2:$H$2,0),FALSE),"Nej, saknas")</f>
        <v>Nej</v>
      </c>
      <c r="H274" s="285" t="str">
        <f>IFERROR(VLOOKUP($B274,Miljövärden!$B$3:$H$552,MATCH(H$2,Miljövärden!$B$2:$H$2,0),FALSE),"Nej, saknas")</f>
        <v>Ja</v>
      </c>
      <c r="P274" s="121" t="str">
        <f t="shared" si="8"/>
        <v>ja</v>
      </c>
      <c r="R274" s="121">
        <f t="shared" si="9"/>
        <v>244</v>
      </c>
    </row>
    <row r="275" spans="1:18" x14ac:dyDescent="0.25">
      <c r="A275" s="137" t="s">
        <v>565</v>
      </c>
      <c r="B275" s="137" t="s">
        <v>569</v>
      </c>
      <c r="C275" s="121">
        <f>IFERROR(VLOOKUP($B275,Miljövärden!$B$3:$H$552,MATCH(C$2,Miljövärden!$B$2:$H$2,0),FALSE),"Saknas")</f>
        <v>5.8965999999999998E-2</v>
      </c>
      <c r="D275" s="121">
        <f>IFERROR(VLOOKUP($B275,Miljövärden!$B$3:$H$552,MATCH(D$2,Miljövärden!$B$2:$H$2,0),FALSE),"Saknas")</f>
        <v>4.5054100000000004</v>
      </c>
      <c r="E275" s="121">
        <f>IFERROR(VLOOKUP($B275,Miljövärden!$B$3:$H$552,MATCH(E$2,Miljövärden!$B$2:$H$2,0),FALSE),"Saknas")</f>
        <v>7.4078900000000001</v>
      </c>
      <c r="F275" s="121">
        <f>IFERROR(VLOOKUP($B275,Miljövärden!$B$3:$H$552,MATCH(F$2,Miljövärden!$B$2:$H$2,0),FALSE),"Saknas")</f>
        <v>1.1713699999999999E-3</v>
      </c>
      <c r="G275" s="121" t="str">
        <f>IFERROR(VLOOKUP($B275,Miljövärden!$B$3:$H$552,MATCH(G$2,Miljövärden!$B$2:$H$2,0),FALSE),"Nej, saknas")</f>
        <v>Nej</v>
      </c>
      <c r="H275" s="285" t="str">
        <f>IFERROR(VLOOKUP($B275,Miljövärden!$B$3:$H$552,MATCH(H$2,Miljövärden!$B$2:$H$2,0),FALSE),"Nej, saknas")</f>
        <v>Ja</v>
      </c>
      <c r="P275" s="121" t="str">
        <f t="shared" si="8"/>
        <v>ja</v>
      </c>
      <c r="R275" s="121">
        <f t="shared" si="9"/>
        <v>245</v>
      </c>
    </row>
    <row r="276" spans="1:18" x14ac:dyDescent="0.25">
      <c r="A276" s="137" t="s">
        <v>570</v>
      </c>
      <c r="B276" s="137" t="s">
        <v>571</v>
      </c>
      <c r="C276" s="121">
        <f>IFERROR(VLOOKUP($B276,Miljövärden!$B$3:$H$552,MATCH(C$2,Miljövärden!$B$2:$H$2,0),FALSE),"Saknas")</f>
        <v>5.4400799999999999E-2</v>
      </c>
      <c r="D276" s="121">
        <f>IFERROR(VLOOKUP($B276,Miljövärden!$B$3:$H$552,MATCH(D$2,Miljövärden!$B$2:$H$2,0),FALSE),"Saknas")</f>
        <v>6.8575699999999999</v>
      </c>
      <c r="E276" s="121">
        <f>IFERROR(VLOOKUP($B276,Miljövärden!$B$3:$H$552,MATCH(E$2,Miljövärden!$B$2:$H$2,0),FALSE),"Saknas")</f>
        <v>1.8025599999999999</v>
      </c>
      <c r="F276" s="121">
        <f>IFERROR(VLOOKUP($B276,Miljövärden!$B$3:$H$552,MATCH(F$2,Miljövärden!$B$2:$H$2,0),FALSE),"Saknas")</f>
        <v>2.7156900000000001E-2</v>
      </c>
      <c r="G276" s="121" t="str">
        <f>IFERROR(VLOOKUP($B276,Miljövärden!$B$3:$H$552,MATCH(G$2,Miljövärden!$B$2:$H$2,0),FALSE),"Nej, saknas")</f>
        <v>Ja</v>
      </c>
      <c r="H276" s="285" t="str">
        <f>IFERROR(VLOOKUP($B276,Miljövärden!$B$3:$H$552,MATCH(H$2,Miljövärden!$B$2:$H$2,0),FALSE),"Nej, saknas")</f>
        <v>Ja</v>
      </c>
      <c r="P276" s="121" t="str">
        <f t="shared" si="8"/>
        <v>ja</v>
      </c>
      <c r="R276" s="121">
        <f t="shared" si="9"/>
        <v>246</v>
      </c>
    </row>
    <row r="277" spans="1:18" x14ac:dyDescent="0.25">
      <c r="A277" s="137" t="s">
        <v>570</v>
      </c>
      <c r="B277" s="137" t="s">
        <v>572</v>
      </c>
      <c r="C277" s="121">
        <f>IFERROR(VLOOKUP($B277,Miljövärden!$B$3:$H$552,MATCH(C$2,Miljövärden!$B$2:$H$2,0),FALSE),"Saknas")</f>
        <v>0.148979</v>
      </c>
      <c r="D277" s="121">
        <f>IFERROR(VLOOKUP($B277,Miljövärden!$B$3:$H$552,MATCH(D$2,Miljövärden!$B$2:$H$2,0),FALSE),"Saknas")</f>
        <v>7.3256899999999998</v>
      </c>
      <c r="E277" s="121">
        <f>IFERROR(VLOOKUP($B277,Miljövärden!$B$3:$H$552,MATCH(E$2,Miljövärden!$B$2:$H$2,0),FALSE),"Saknas")</f>
        <v>14.084899999999999</v>
      </c>
      <c r="F277" s="121">
        <f>IFERROR(VLOOKUP($B277,Miljövärden!$B$3:$H$552,MATCH(F$2,Miljövärden!$B$2:$H$2,0),FALSE),"Saknas")</f>
        <v>1.23318E-2</v>
      </c>
      <c r="G277" s="121" t="str">
        <f>IFERROR(VLOOKUP($B277,Miljövärden!$B$3:$H$552,MATCH(G$2,Miljövärden!$B$2:$H$2,0),FALSE),"Nej, saknas")</f>
        <v>Ja</v>
      </c>
      <c r="H277" s="285" t="str">
        <f>IFERROR(VLOOKUP($B277,Miljövärden!$B$3:$H$552,MATCH(H$2,Miljövärden!$B$2:$H$2,0),FALSE),"Nej, saknas")</f>
        <v>Ja</v>
      </c>
      <c r="P277" s="121" t="str">
        <f t="shared" si="8"/>
        <v>ja</v>
      </c>
      <c r="R277" s="121">
        <f t="shared" si="9"/>
        <v>247</v>
      </c>
    </row>
    <row r="278" spans="1:18" x14ac:dyDescent="0.25">
      <c r="A278" s="137" t="s">
        <v>573</v>
      </c>
      <c r="B278" s="137" t="s">
        <v>574</v>
      </c>
      <c r="C278" s="121">
        <f>IFERROR(VLOOKUP($B278,Miljövärden!$B$3:$H$552,MATCH(C$2,Miljövärden!$B$2:$H$2,0),FALSE),"Saknas")</f>
        <v>0</v>
      </c>
      <c r="D278" s="121">
        <f>IFERROR(VLOOKUP($B278,Miljövärden!$B$3:$H$552,MATCH(D$2,Miljövärden!$B$2:$H$2,0),FALSE),"Saknas")</f>
        <v>0</v>
      </c>
      <c r="E278" s="121">
        <f>IFERROR(VLOOKUP($B278,Miljövärden!$B$3:$H$552,MATCH(E$2,Miljövärden!$B$2:$H$2,0),FALSE),"Saknas")</f>
        <v>0</v>
      </c>
      <c r="F278" s="121">
        <f>IFERROR(VLOOKUP($B278,Miljövärden!$B$3:$H$552,MATCH(F$2,Miljövärden!$B$2:$H$2,0),FALSE),"Saknas")</f>
        <v>0</v>
      </c>
      <c r="G278" s="121" t="str">
        <f>IFERROR(VLOOKUP($B278,Miljövärden!$B$3:$H$552,MATCH(G$2,Miljövärden!$B$2:$H$2,0),FALSE),"Nej, saknas")</f>
        <v>Nej</v>
      </c>
      <c r="H278" s="285" t="str">
        <f>IFERROR(VLOOKUP($B278,Miljövärden!$B$3:$H$552,MATCH(H$2,Miljövärden!$B$2:$H$2,0),FALSE),"Nej, saknas")</f>
        <v>Nej</v>
      </c>
      <c r="P278" s="121" t="str">
        <f t="shared" si="8"/>
        <v>nej</v>
      </c>
      <c r="R278" s="121">
        <f t="shared" si="9"/>
        <v>247</v>
      </c>
    </row>
    <row r="279" spans="1:18" x14ac:dyDescent="0.25">
      <c r="A279" s="137" t="s">
        <v>573</v>
      </c>
      <c r="B279" s="137" t="s">
        <v>575</v>
      </c>
      <c r="C279" s="121">
        <f>IFERROR(VLOOKUP($B279,Miljövärden!$B$3:$H$552,MATCH(C$2,Miljövärden!$B$2:$H$2,0),FALSE),"Saknas")</f>
        <v>0</v>
      </c>
      <c r="D279" s="121">
        <f>IFERROR(VLOOKUP($B279,Miljövärden!$B$3:$H$552,MATCH(D$2,Miljövärden!$B$2:$H$2,0),FALSE),"Saknas")</f>
        <v>0</v>
      </c>
      <c r="E279" s="121">
        <f>IFERROR(VLOOKUP($B279,Miljövärden!$B$3:$H$552,MATCH(E$2,Miljövärden!$B$2:$H$2,0),FALSE),"Saknas")</f>
        <v>0</v>
      </c>
      <c r="F279" s="121">
        <f>IFERROR(VLOOKUP($B279,Miljövärden!$B$3:$H$552,MATCH(F$2,Miljövärden!$B$2:$H$2,0),FALSE),"Saknas")</f>
        <v>0</v>
      </c>
      <c r="G279" s="121" t="str">
        <f>IFERROR(VLOOKUP($B279,Miljövärden!$B$3:$H$552,MATCH(G$2,Miljövärden!$B$2:$H$2,0),FALSE),"Nej, saknas")</f>
        <v>Nej</v>
      </c>
      <c r="H279" s="285" t="str">
        <f>IFERROR(VLOOKUP($B279,Miljövärden!$B$3:$H$552,MATCH(H$2,Miljövärden!$B$2:$H$2,0),FALSE),"Nej, saknas")</f>
        <v>Nej</v>
      </c>
      <c r="P279" s="121" t="str">
        <f t="shared" si="8"/>
        <v>nej</v>
      </c>
      <c r="R279" s="121">
        <f t="shared" si="9"/>
        <v>247</v>
      </c>
    </row>
    <row r="280" spans="1:18" x14ac:dyDescent="0.25">
      <c r="A280" s="137" t="s">
        <v>573</v>
      </c>
      <c r="B280" s="137" t="s">
        <v>576</v>
      </c>
      <c r="C280" s="121">
        <f>IFERROR(VLOOKUP($B280,Miljövärden!$B$3:$H$552,MATCH(C$2,Miljövärden!$B$2:$H$2,0),FALSE),"Saknas")</f>
        <v>0</v>
      </c>
      <c r="D280" s="121">
        <f>IFERROR(VLOOKUP($B280,Miljövärden!$B$3:$H$552,MATCH(D$2,Miljövärden!$B$2:$H$2,0),FALSE),"Saknas")</f>
        <v>0</v>
      </c>
      <c r="E280" s="121">
        <f>IFERROR(VLOOKUP($B280,Miljövärden!$B$3:$H$552,MATCH(E$2,Miljövärden!$B$2:$H$2,0),FALSE),"Saknas")</f>
        <v>0</v>
      </c>
      <c r="F280" s="121">
        <f>IFERROR(VLOOKUP($B280,Miljövärden!$B$3:$H$552,MATCH(F$2,Miljövärden!$B$2:$H$2,0),FALSE),"Saknas")</f>
        <v>0</v>
      </c>
      <c r="G280" s="121" t="str">
        <f>IFERROR(VLOOKUP($B280,Miljövärden!$B$3:$H$552,MATCH(G$2,Miljövärden!$B$2:$H$2,0),FALSE),"Nej, saknas")</f>
        <v>Nej</v>
      </c>
      <c r="H280" s="285" t="str">
        <f>IFERROR(VLOOKUP($B280,Miljövärden!$B$3:$H$552,MATCH(H$2,Miljövärden!$B$2:$H$2,0),FALSE),"Nej, saknas")</f>
        <v>Nej</v>
      </c>
      <c r="P280" s="121" t="str">
        <f t="shared" si="8"/>
        <v>nej</v>
      </c>
      <c r="R280" s="121">
        <f t="shared" si="9"/>
        <v>247</v>
      </c>
    </row>
    <row r="281" spans="1:18" x14ac:dyDescent="0.25">
      <c r="A281" s="137" t="s">
        <v>573</v>
      </c>
      <c r="B281" s="137" t="s">
        <v>116</v>
      </c>
      <c r="C281" s="121">
        <f>IFERROR(VLOOKUP($B281,Miljövärden!$B$3:$H$552,MATCH(C$2,Miljövärden!$B$2:$H$2,0),FALSE),"Saknas")</f>
        <v>0.17238100000000001</v>
      </c>
      <c r="D281" s="121">
        <f>IFERROR(VLOOKUP($B281,Miljövärden!$B$3:$H$552,MATCH(D$2,Miljövärden!$B$2:$H$2,0),FALSE),"Saknas")</f>
        <v>77.263800000000003</v>
      </c>
      <c r="E281" s="121">
        <f>IFERROR(VLOOKUP($B281,Miljövärden!$B$3:$H$552,MATCH(E$2,Miljövärden!$B$2:$H$2,0),FALSE),"Saknas")</f>
        <v>4.8871399999999996</v>
      </c>
      <c r="F281" s="121">
        <f>IFERROR(VLOOKUP($B281,Miljövärden!$B$3:$H$552,MATCH(F$2,Miljövärden!$B$2:$H$2,0),FALSE),"Saknas")</f>
        <v>0.115923</v>
      </c>
      <c r="G281" s="121" t="str">
        <f>IFERROR(VLOOKUP($B281,Miljövärden!$B$3:$H$552,MATCH(G$2,Miljövärden!$B$2:$H$2,0),FALSE),"Nej, saknas")</f>
        <v>Ja</v>
      </c>
      <c r="H281" s="285" t="str">
        <f>IFERROR(VLOOKUP($B281,Miljövärden!$B$3:$H$552,MATCH(H$2,Miljövärden!$B$2:$H$2,0),FALSE),"Nej, saknas")</f>
        <v>Ja</v>
      </c>
      <c r="P281" s="121" t="str">
        <f t="shared" si="8"/>
        <v>ja</v>
      </c>
      <c r="R281" s="121">
        <f t="shared" si="9"/>
        <v>248</v>
      </c>
    </row>
    <row r="282" spans="1:18" x14ac:dyDescent="0.25">
      <c r="A282" s="137" t="s">
        <v>573</v>
      </c>
      <c r="B282" s="137" t="s">
        <v>577</v>
      </c>
      <c r="C282" s="121">
        <f>IFERROR(VLOOKUP($B282,Miljövärden!$B$3:$H$552,MATCH(C$2,Miljövärden!$B$2:$H$2,0),FALSE),"Saknas")</f>
        <v>0</v>
      </c>
      <c r="D282" s="121">
        <f>IFERROR(VLOOKUP($B282,Miljövärden!$B$3:$H$552,MATCH(D$2,Miljövärden!$B$2:$H$2,0),FALSE),"Saknas")</f>
        <v>0</v>
      </c>
      <c r="E282" s="121">
        <f>IFERROR(VLOOKUP($B282,Miljövärden!$B$3:$H$552,MATCH(E$2,Miljövärden!$B$2:$H$2,0),FALSE),"Saknas")</f>
        <v>0</v>
      </c>
      <c r="F282" s="121">
        <f>IFERROR(VLOOKUP($B282,Miljövärden!$B$3:$H$552,MATCH(F$2,Miljövärden!$B$2:$H$2,0),FALSE),"Saknas")</f>
        <v>0</v>
      </c>
      <c r="G282" s="121" t="str">
        <f>IFERROR(VLOOKUP($B282,Miljövärden!$B$3:$H$552,MATCH(G$2,Miljövärden!$B$2:$H$2,0),FALSE),"Nej, saknas")</f>
        <v>Nej</v>
      </c>
      <c r="H282" s="285" t="str">
        <f>IFERROR(VLOOKUP($B282,Miljövärden!$B$3:$H$552,MATCH(H$2,Miljövärden!$B$2:$H$2,0),FALSE),"Nej, saknas")</f>
        <v>Nej</v>
      </c>
      <c r="P282" s="121" t="str">
        <f t="shared" si="8"/>
        <v>nej</v>
      </c>
      <c r="R282" s="121">
        <f t="shared" si="9"/>
        <v>248</v>
      </c>
    </row>
    <row r="283" spans="1:18" x14ac:dyDescent="0.25">
      <c r="A283" s="137" t="s">
        <v>573</v>
      </c>
      <c r="B283" s="137" t="s">
        <v>578</v>
      </c>
      <c r="C283" s="121">
        <f>IFERROR(VLOOKUP($B283,Miljövärden!$B$3:$H$552,MATCH(C$2,Miljövärden!$B$2:$H$2,0),FALSE),"Saknas")</f>
        <v>0</v>
      </c>
      <c r="D283" s="121">
        <f>IFERROR(VLOOKUP($B283,Miljövärden!$B$3:$H$552,MATCH(D$2,Miljövärden!$B$2:$H$2,0),FALSE),"Saknas")</f>
        <v>0</v>
      </c>
      <c r="E283" s="121">
        <f>IFERROR(VLOOKUP($B283,Miljövärden!$B$3:$H$552,MATCH(E$2,Miljövärden!$B$2:$H$2,0),FALSE),"Saknas")</f>
        <v>0</v>
      </c>
      <c r="F283" s="121">
        <f>IFERROR(VLOOKUP($B283,Miljövärden!$B$3:$H$552,MATCH(F$2,Miljövärden!$B$2:$H$2,0),FALSE),"Saknas")</f>
        <v>0</v>
      </c>
      <c r="G283" s="121" t="str">
        <f>IFERROR(VLOOKUP($B283,Miljövärden!$B$3:$H$552,MATCH(G$2,Miljövärden!$B$2:$H$2,0),FALSE),"Nej, saknas")</f>
        <v>Nej</v>
      </c>
      <c r="H283" s="285" t="str">
        <f>IFERROR(VLOOKUP($B283,Miljövärden!$B$3:$H$552,MATCH(H$2,Miljövärden!$B$2:$H$2,0),FALSE),"Nej, saknas")</f>
        <v>Nej</v>
      </c>
      <c r="P283" s="121" t="str">
        <f t="shared" si="8"/>
        <v>nej</v>
      </c>
      <c r="R283" s="121">
        <f t="shared" si="9"/>
        <v>248</v>
      </c>
    </row>
    <row r="284" spans="1:18" x14ac:dyDescent="0.25">
      <c r="A284" s="137" t="s">
        <v>573</v>
      </c>
      <c r="B284" s="137" t="s">
        <v>579</v>
      </c>
      <c r="C284" s="121">
        <f>IFERROR(VLOOKUP($B284,Miljövärden!$B$3:$H$552,MATCH(C$2,Miljövärden!$B$2:$H$2,0),FALSE),"Saknas")</f>
        <v>0</v>
      </c>
      <c r="D284" s="121">
        <f>IFERROR(VLOOKUP($B284,Miljövärden!$B$3:$H$552,MATCH(D$2,Miljövärden!$B$2:$H$2,0),FALSE),"Saknas")</f>
        <v>0</v>
      </c>
      <c r="E284" s="121">
        <f>IFERROR(VLOOKUP($B284,Miljövärden!$B$3:$H$552,MATCH(E$2,Miljövärden!$B$2:$H$2,0),FALSE),"Saknas")</f>
        <v>0</v>
      </c>
      <c r="F284" s="121">
        <f>IFERROR(VLOOKUP($B284,Miljövärden!$B$3:$H$552,MATCH(F$2,Miljövärden!$B$2:$H$2,0),FALSE),"Saknas")</f>
        <v>0</v>
      </c>
      <c r="G284" s="121" t="str">
        <f>IFERROR(VLOOKUP($B284,Miljövärden!$B$3:$H$552,MATCH(G$2,Miljövärden!$B$2:$H$2,0),FALSE),"Nej, saknas")</f>
        <v>Nej</v>
      </c>
      <c r="H284" s="285" t="str">
        <f>IFERROR(VLOOKUP($B284,Miljövärden!$B$3:$H$552,MATCH(H$2,Miljövärden!$B$2:$H$2,0),FALSE),"Nej, saknas")</f>
        <v>Nej</v>
      </c>
      <c r="P284" s="121" t="str">
        <f t="shared" si="8"/>
        <v>nej</v>
      </c>
      <c r="R284" s="121">
        <f t="shared" si="9"/>
        <v>248</v>
      </c>
    </row>
    <row r="285" spans="1:18" x14ac:dyDescent="0.25">
      <c r="A285" s="137" t="s">
        <v>573</v>
      </c>
      <c r="B285" s="137" t="s">
        <v>580</v>
      </c>
      <c r="C285" s="121">
        <f>IFERROR(VLOOKUP($B285,Miljövärden!$B$3:$H$552,MATCH(C$2,Miljövärden!$B$2:$H$2,0),FALSE),"Saknas")</f>
        <v>0</v>
      </c>
      <c r="D285" s="121">
        <f>IFERROR(VLOOKUP($B285,Miljövärden!$B$3:$H$552,MATCH(D$2,Miljövärden!$B$2:$H$2,0),FALSE),"Saknas")</f>
        <v>0</v>
      </c>
      <c r="E285" s="121">
        <f>IFERROR(VLOOKUP($B285,Miljövärden!$B$3:$H$552,MATCH(E$2,Miljövärden!$B$2:$H$2,0),FALSE),"Saknas")</f>
        <v>0</v>
      </c>
      <c r="F285" s="121">
        <f>IFERROR(VLOOKUP($B285,Miljövärden!$B$3:$H$552,MATCH(F$2,Miljövärden!$B$2:$H$2,0),FALSE),"Saknas")</f>
        <v>0</v>
      </c>
      <c r="G285" s="121" t="str">
        <f>IFERROR(VLOOKUP($B285,Miljövärden!$B$3:$H$552,MATCH(G$2,Miljövärden!$B$2:$H$2,0),FALSE),"Nej, saknas")</f>
        <v>Nej</v>
      </c>
      <c r="H285" s="285" t="str">
        <f>IFERROR(VLOOKUP($B285,Miljövärden!$B$3:$H$552,MATCH(H$2,Miljövärden!$B$2:$H$2,0),FALSE),"Nej, saknas")</f>
        <v>Nej</v>
      </c>
      <c r="P285" s="121" t="str">
        <f t="shared" si="8"/>
        <v>nej</v>
      </c>
      <c r="R285" s="121">
        <f t="shared" si="9"/>
        <v>248</v>
      </c>
    </row>
    <row r="286" spans="1:18" x14ac:dyDescent="0.25">
      <c r="A286" s="137" t="s">
        <v>573</v>
      </c>
      <c r="B286" s="137" t="s">
        <v>581</v>
      </c>
      <c r="C286" s="121">
        <f>IFERROR(VLOOKUP($B286,Miljövärden!$B$3:$H$552,MATCH(C$2,Miljövärden!$B$2:$H$2,0),FALSE),"Saknas")</f>
        <v>0</v>
      </c>
      <c r="D286" s="121">
        <f>IFERROR(VLOOKUP($B286,Miljövärden!$B$3:$H$552,MATCH(D$2,Miljövärden!$B$2:$H$2,0),FALSE),"Saknas")</f>
        <v>0</v>
      </c>
      <c r="E286" s="121">
        <f>IFERROR(VLOOKUP($B286,Miljövärden!$B$3:$H$552,MATCH(E$2,Miljövärden!$B$2:$H$2,0),FALSE),"Saknas")</f>
        <v>0</v>
      </c>
      <c r="F286" s="121">
        <f>IFERROR(VLOOKUP($B286,Miljövärden!$B$3:$H$552,MATCH(F$2,Miljövärden!$B$2:$H$2,0),FALSE),"Saknas")</f>
        <v>0</v>
      </c>
      <c r="G286" s="121" t="str">
        <f>IFERROR(VLOOKUP($B286,Miljövärden!$B$3:$H$552,MATCH(G$2,Miljövärden!$B$2:$H$2,0),FALSE),"Nej, saknas")</f>
        <v>Nej</v>
      </c>
      <c r="H286" s="285" t="str">
        <f>IFERROR(VLOOKUP($B286,Miljövärden!$B$3:$H$552,MATCH(H$2,Miljövärden!$B$2:$H$2,0),FALSE),"Nej, saknas")</f>
        <v>Nej</v>
      </c>
      <c r="P286" s="121" t="str">
        <f t="shared" si="8"/>
        <v>nej</v>
      </c>
      <c r="R286" s="121">
        <f t="shared" si="9"/>
        <v>248</v>
      </c>
    </row>
    <row r="287" spans="1:18" x14ac:dyDescent="0.25">
      <c r="A287" s="137" t="s">
        <v>573</v>
      </c>
      <c r="B287" s="137" t="s">
        <v>582</v>
      </c>
      <c r="C287" s="121">
        <f>IFERROR(VLOOKUP($B287,Miljövärden!$B$3:$H$552,MATCH(C$2,Miljövärden!$B$2:$H$2,0),FALSE),"Saknas")</f>
        <v>0</v>
      </c>
      <c r="D287" s="121">
        <f>IFERROR(VLOOKUP($B287,Miljövärden!$B$3:$H$552,MATCH(D$2,Miljövärden!$B$2:$H$2,0),FALSE),"Saknas")</f>
        <v>0</v>
      </c>
      <c r="E287" s="121">
        <f>IFERROR(VLOOKUP($B287,Miljövärden!$B$3:$H$552,MATCH(E$2,Miljövärden!$B$2:$H$2,0),FALSE),"Saknas")</f>
        <v>0</v>
      </c>
      <c r="F287" s="121">
        <f>IFERROR(VLOOKUP($B287,Miljövärden!$B$3:$H$552,MATCH(F$2,Miljövärden!$B$2:$H$2,0),FALSE),"Saknas")</f>
        <v>0</v>
      </c>
      <c r="G287" s="121" t="str">
        <f>IFERROR(VLOOKUP($B287,Miljövärden!$B$3:$H$552,MATCH(G$2,Miljövärden!$B$2:$H$2,0),FALSE),"Nej, saknas")</f>
        <v>Nej</v>
      </c>
      <c r="H287" s="285" t="str">
        <f>IFERROR(VLOOKUP($B287,Miljövärden!$B$3:$H$552,MATCH(H$2,Miljövärden!$B$2:$H$2,0),FALSE),"Nej, saknas")</f>
        <v>Nej</v>
      </c>
      <c r="P287" s="121" t="str">
        <f t="shared" si="8"/>
        <v>nej</v>
      </c>
      <c r="R287" s="121">
        <f t="shared" si="9"/>
        <v>248</v>
      </c>
    </row>
    <row r="288" spans="1:18" x14ac:dyDescent="0.25">
      <c r="A288" s="137" t="s">
        <v>573</v>
      </c>
      <c r="B288" s="137" t="s">
        <v>583</v>
      </c>
      <c r="C288" s="121">
        <f>IFERROR(VLOOKUP($B288,Miljövärden!$B$3:$H$552,MATCH(C$2,Miljövärden!$B$2:$H$2,0),FALSE),"Saknas")</f>
        <v>0.52318100000000001</v>
      </c>
      <c r="D288" s="121">
        <f>IFERROR(VLOOKUP($B288,Miljövärden!$B$3:$H$552,MATCH(D$2,Miljövärden!$B$2:$H$2,0),FALSE),"Saknas")</f>
        <v>69.256900000000002</v>
      </c>
      <c r="E288" s="121">
        <f>IFERROR(VLOOKUP($B288,Miljövärden!$B$3:$H$552,MATCH(E$2,Miljövärden!$B$2:$H$2,0),FALSE),"Saknas")</f>
        <v>5.9041300000000003</v>
      </c>
      <c r="F288" s="121">
        <f>IFERROR(VLOOKUP($B288,Miljövärden!$B$3:$H$552,MATCH(F$2,Miljövärden!$B$2:$H$2,0),FALSE),"Saknas")</f>
        <v>7.9658099999999996E-2</v>
      </c>
      <c r="G288" s="121" t="str">
        <f>IFERROR(VLOOKUP($B288,Miljövärden!$B$3:$H$552,MATCH(G$2,Miljövärden!$B$2:$H$2,0),FALSE),"Nej, saknas")</f>
        <v>Ja</v>
      </c>
      <c r="H288" s="285" t="str">
        <f>IFERROR(VLOOKUP($B288,Miljövärden!$B$3:$H$552,MATCH(H$2,Miljövärden!$B$2:$H$2,0),FALSE),"Nej, saknas")</f>
        <v>Ja</v>
      </c>
      <c r="P288" s="121" t="str">
        <f t="shared" si="8"/>
        <v>ja</v>
      </c>
      <c r="R288" s="121">
        <f t="shared" si="9"/>
        <v>249</v>
      </c>
    </row>
    <row r="289" spans="1:18" x14ac:dyDescent="0.25">
      <c r="A289" s="137" t="s">
        <v>573</v>
      </c>
      <c r="B289" s="137" t="s">
        <v>584</v>
      </c>
      <c r="C289" s="121">
        <f>IFERROR(VLOOKUP($B289,Miljövärden!$B$3:$H$552,MATCH(C$2,Miljövärden!$B$2:$H$2,0),FALSE),"Saknas")</f>
        <v>0</v>
      </c>
      <c r="D289" s="121">
        <f>IFERROR(VLOOKUP($B289,Miljövärden!$B$3:$H$552,MATCH(D$2,Miljövärden!$B$2:$H$2,0),FALSE),"Saknas")</f>
        <v>0</v>
      </c>
      <c r="E289" s="121">
        <f>IFERROR(VLOOKUP($B289,Miljövärden!$B$3:$H$552,MATCH(E$2,Miljövärden!$B$2:$H$2,0),FALSE),"Saknas")</f>
        <v>0</v>
      </c>
      <c r="F289" s="121">
        <f>IFERROR(VLOOKUP($B289,Miljövärden!$B$3:$H$552,MATCH(F$2,Miljövärden!$B$2:$H$2,0),FALSE),"Saknas")</f>
        <v>0</v>
      </c>
      <c r="G289" s="121" t="str">
        <f>IFERROR(VLOOKUP($B289,Miljövärden!$B$3:$H$552,MATCH(G$2,Miljövärden!$B$2:$H$2,0),FALSE),"Nej, saknas")</f>
        <v>Nej</v>
      </c>
      <c r="H289" s="285" t="str">
        <f>IFERROR(VLOOKUP($B289,Miljövärden!$B$3:$H$552,MATCH(H$2,Miljövärden!$B$2:$H$2,0),FALSE),"Nej, saknas")</f>
        <v>Nej</v>
      </c>
      <c r="P289" s="121" t="str">
        <f t="shared" si="8"/>
        <v>nej</v>
      </c>
      <c r="R289" s="121">
        <f t="shared" si="9"/>
        <v>249</v>
      </c>
    </row>
    <row r="290" spans="1:18" x14ac:dyDescent="0.25">
      <c r="A290" s="137" t="s">
        <v>585</v>
      </c>
      <c r="B290" s="137" t="s">
        <v>586</v>
      </c>
      <c r="C290" s="121">
        <f>IFERROR(VLOOKUP($B290,Miljövärden!$B$3:$H$552,MATCH(C$2,Miljövärden!$B$2:$H$2,0),FALSE),"Saknas")</f>
        <v>0.33237499999999998</v>
      </c>
      <c r="D290" s="121">
        <f>IFERROR(VLOOKUP($B290,Miljövärden!$B$3:$H$552,MATCH(D$2,Miljövärden!$B$2:$H$2,0),FALSE),"Saknas")</f>
        <v>69.433199999999999</v>
      </c>
      <c r="E290" s="121">
        <f>IFERROR(VLOOKUP($B290,Miljövärden!$B$3:$H$552,MATCH(E$2,Miljövärden!$B$2:$H$2,0),FALSE),"Saknas")</f>
        <v>12.0266</v>
      </c>
      <c r="F290" s="121">
        <f>IFERROR(VLOOKUP($B290,Miljövärden!$B$3:$H$552,MATCH(F$2,Miljövärden!$B$2:$H$2,0),FALSE),"Saknas")</f>
        <v>0.13588800000000001</v>
      </c>
      <c r="G290" s="121" t="str">
        <f>IFERROR(VLOOKUP($B290,Miljövärden!$B$3:$H$552,MATCH(G$2,Miljövärden!$B$2:$H$2,0),FALSE),"Nej, saknas")</f>
        <v>Nej</v>
      </c>
      <c r="H290" s="285" t="str">
        <f>IFERROR(VLOOKUP($B290,Miljövärden!$B$3:$H$552,MATCH(H$2,Miljövärden!$B$2:$H$2,0),FALSE),"Nej, saknas")</f>
        <v>Ja</v>
      </c>
      <c r="P290" s="121" t="str">
        <f t="shared" si="8"/>
        <v>ja</v>
      </c>
      <c r="R290" s="121">
        <f t="shared" si="9"/>
        <v>250</v>
      </c>
    </row>
    <row r="291" spans="1:18" x14ac:dyDescent="0.25">
      <c r="A291" s="137" t="s">
        <v>585</v>
      </c>
      <c r="B291" s="137" t="s">
        <v>587</v>
      </c>
      <c r="C291" s="121">
        <f>IFERROR(VLOOKUP($B291,Miljövärden!$B$3:$H$552,MATCH(C$2,Miljövärden!$B$2:$H$2,0),FALSE),"Saknas")</f>
        <v>0.14496899999999999</v>
      </c>
      <c r="D291" s="121">
        <f>IFERROR(VLOOKUP($B291,Miljövärden!$B$3:$H$552,MATCH(D$2,Miljövärden!$B$2:$H$2,0),FALSE),"Saknas")</f>
        <v>23.698699999999999</v>
      </c>
      <c r="E291" s="121">
        <f>IFERROR(VLOOKUP($B291,Miljövärden!$B$3:$H$552,MATCH(E$2,Miljövärden!$B$2:$H$2,0),FALSE),"Saknas")</f>
        <v>7.6882299999999999</v>
      </c>
      <c r="F291" s="121">
        <f>IFERROR(VLOOKUP($B291,Miljövärden!$B$3:$H$552,MATCH(F$2,Miljövärden!$B$2:$H$2,0),FALSE),"Saknas")</f>
        <v>4.0067100000000001E-2</v>
      </c>
      <c r="G291" s="121" t="str">
        <f>IFERROR(VLOOKUP($B291,Miljövärden!$B$3:$H$552,MATCH(G$2,Miljövärden!$B$2:$H$2,0),FALSE),"Nej, saknas")</f>
        <v>Nej</v>
      </c>
      <c r="H291" s="285" t="str">
        <f>IFERROR(VLOOKUP($B291,Miljövärden!$B$3:$H$552,MATCH(H$2,Miljövärden!$B$2:$H$2,0),FALSE),"Nej, saknas")</f>
        <v>Ja</v>
      </c>
      <c r="P291" s="121" t="str">
        <f t="shared" si="8"/>
        <v>ja</v>
      </c>
      <c r="R291" s="121">
        <f t="shared" si="9"/>
        <v>251</v>
      </c>
    </row>
    <row r="292" spans="1:18" x14ac:dyDescent="0.25">
      <c r="A292" s="137" t="s">
        <v>585</v>
      </c>
      <c r="B292" s="137" t="s">
        <v>588</v>
      </c>
      <c r="C292" s="121">
        <f>IFERROR(VLOOKUP($B292,Miljövärden!$B$3:$H$552,MATCH(C$2,Miljövärden!$B$2:$H$2,0),FALSE),"Saknas")</f>
        <v>0.18005299999999999</v>
      </c>
      <c r="D292" s="121">
        <f>IFERROR(VLOOKUP($B292,Miljövärden!$B$3:$H$552,MATCH(D$2,Miljövärden!$B$2:$H$2,0),FALSE),"Saknas")</f>
        <v>110.27200000000001</v>
      </c>
      <c r="E292" s="121">
        <f>IFERROR(VLOOKUP($B292,Miljövärden!$B$3:$H$552,MATCH(E$2,Miljövärden!$B$2:$H$2,0),FALSE),"Saknas")</f>
        <v>7.42692</v>
      </c>
      <c r="F292" s="121">
        <f>IFERROR(VLOOKUP($B292,Miljövärden!$B$3:$H$552,MATCH(F$2,Miljövärden!$B$2:$H$2,0),FALSE),"Saknas")</f>
        <v>2.6358099999999999E-2</v>
      </c>
      <c r="G292" s="121" t="str">
        <f>IFERROR(VLOOKUP($B292,Miljövärden!$B$3:$H$552,MATCH(G$2,Miljövärden!$B$2:$H$2,0),FALSE),"Nej, saknas")</f>
        <v>Nej</v>
      </c>
      <c r="H292" s="285" t="str">
        <f>IFERROR(VLOOKUP($B292,Miljövärden!$B$3:$H$552,MATCH(H$2,Miljövärden!$B$2:$H$2,0),FALSE),"Nej, saknas")</f>
        <v>Ja</v>
      </c>
      <c r="P292" s="121" t="str">
        <f t="shared" si="8"/>
        <v>ja</v>
      </c>
      <c r="R292" s="121">
        <f t="shared" si="9"/>
        <v>252</v>
      </c>
    </row>
    <row r="293" spans="1:18" x14ac:dyDescent="0.25">
      <c r="A293" s="137" t="s">
        <v>585</v>
      </c>
      <c r="B293" s="137" t="s">
        <v>589</v>
      </c>
      <c r="C293" s="121">
        <f>IFERROR(VLOOKUP($B293,Miljövärden!$B$3:$H$552,MATCH(C$2,Miljövärden!$B$2:$H$2,0),FALSE),"Saknas")</f>
        <v>0.89398</v>
      </c>
      <c r="D293" s="121">
        <f>IFERROR(VLOOKUP($B293,Miljövärden!$B$3:$H$552,MATCH(D$2,Miljövärden!$B$2:$H$2,0),FALSE),"Saknas")</f>
        <v>231.65899999999999</v>
      </c>
      <c r="E293" s="121">
        <f>IFERROR(VLOOKUP($B293,Miljövärden!$B$3:$H$552,MATCH(E$2,Miljövärden!$B$2:$H$2,0),FALSE),"Saknas")</f>
        <v>2.5897600000000001</v>
      </c>
      <c r="F293" s="121">
        <f>IFERROR(VLOOKUP($B293,Miljövärden!$B$3:$H$552,MATCH(F$2,Miljövärden!$B$2:$H$2,0),FALSE),"Saknas")</f>
        <v>0.14677499999999999</v>
      </c>
      <c r="G293" s="121" t="str">
        <f>IFERROR(VLOOKUP($B293,Miljövärden!$B$3:$H$552,MATCH(G$2,Miljövärden!$B$2:$H$2,0),FALSE),"Nej, saknas")</f>
        <v>Nej</v>
      </c>
      <c r="H293" s="285" t="str">
        <f>IFERROR(VLOOKUP($B293,Miljövärden!$B$3:$H$552,MATCH(H$2,Miljövärden!$B$2:$H$2,0),FALSE),"Nej, saknas")</f>
        <v>Ja</v>
      </c>
      <c r="P293" s="121" t="str">
        <f t="shared" si="8"/>
        <v>ja</v>
      </c>
      <c r="R293" s="121">
        <f t="shared" si="9"/>
        <v>253</v>
      </c>
    </row>
    <row r="294" spans="1:18" x14ac:dyDescent="0.25">
      <c r="A294" s="137" t="s">
        <v>585</v>
      </c>
      <c r="B294" s="137" t="s">
        <v>590</v>
      </c>
      <c r="C294" s="121">
        <f>IFERROR(VLOOKUP($B294,Miljövärden!$B$3:$H$552,MATCH(C$2,Miljövärden!$B$2:$H$2,0),FALSE),"Saknas")</f>
        <v>0.29254400000000003</v>
      </c>
      <c r="D294" s="121">
        <f>IFERROR(VLOOKUP($B294,Miljövärden!$B$3:$H$552,MATCH(D$2,Miljövärden!$B$2:$H$2,0),FALSE),"Saknas")</f>
        <v>39.807699999999997</v>
      </c>
      <c r="E294" s="121">
        <f>IFERROR(VLOOKUP($B294,Miljövärden!$B$3:$H$552,MATCH(E$2,Miljövärden!$B$2:$H$2,0),FALSE),"Saknas")</f>
        <v>20.184799999999999</v>
      </c>
      <c r="F294" s="121">
        <f>IFERROR(VLOOKUP($B294,Miljövärden!$B$3:$H$552,MATCH(F$2,Miljövärden!$B$2:$H$2,0),FALSE),"Saknas")</f>
        <v>9.4080499999999997E-2</v>
      </c>
      <c r="G294" s="121" t="str">
        <f>IFERROR(VLOOKUP($B294,Miljövärden!$B$3:$H$552,MATCH(G$2,Miljövärden!$B$2:$H$2,0),FALSE),"Nej, saknas")</f>
        <v>Nej</v>
      </c>
      <c r="H294" s="285" t="str">
        <f>IFERROR(VLOOKUP($B294,Miljövärden!$B$3:$H$552,MATCH(H$2,Miljövärden!$B$2:$H$2,0),FALSE),"Nej, saknas")</f>
        <v>Ja</v>
      </c>
      <c r="P294" s="121" t="str">
        <f t="shared" si="8"/>
        <v>ja</v>
      </c>
      <c r="R294" s="121">
        <f t="shared" si="9"/>
        <v>254</v>
      </c>
    </row>
    <row r="295" spans="1:18" x14ac:dyDescent="0.25">
      <c r="A295" s="137" t="s">
        <v>49</v>
      </c>
      <c r="B295" s="141" t="s">
        <v>50</v>
      </c>
      <c r="C295" s="121" t="str">
        <f>IFERROR(VLOOKUP($B295,Miljövärden!$B$3:$H$552,MATCH(C$2,Miljövärden!$B$2:$H$2,0),FALSE),"Saknas")</f>
        <v>Saknas</v>
      </c>
      <c r="D295" s="121" t="str">
        <f>IFERROR(VLOOKUP($B295,Miljövärden!$B$3:$H$552,MATCH(D$2,Miljövärden!$B$2:$H$2,0),FALSE),"Saknas")</f>
        <v>Saknas</v>
      </c>
      <c r="E295" s="121" t="str">
        <f>IFERROR(VLOOKUP($B295,Miljövärden!$B$3:$H$552,MATCH(E$2,Miljövärden!$B$2:$H$2,0),FALSE),"Saknas")</f>
        <v>Saknas</v>
      </c>
      <c r="F295" s="121" t="str">
        <f>IFERROR(VLOOKUP($B295,Miljövärden!$B$3:$H$552,MATCH(F$2,Miljövärden!$B$2:$H$2,0),FALSE),"Saknas")</f>
        <v>Saknas</v>
      </c>
      <c r="G295" s="121" t="str">
        <f>IFERROR(VLOOKUP($B295,Miljövärden!$B$3:$H$552,MATCH(G$2,Miljövärden!$B$2:$H$2,0),FALSE),"Nej, saknas")</f>
        <v>Nej, saknas</v>
      </c>
      <c r="H295" s="285" t="str">
        <f>IFERROR(VLOOKUP($B295,Miljövärden!$B$3:$H$552,MATCH(H$2,Miljövärden!$B$2:$H$2,0),FALSE),"Nej, saknas")</f>
        <v>Nej, saknas</v>
      </c>
      <c r="P295" s="121" t="str">
        <f t="shared" si="8"/>
        <v>nej</v>
      </c>
      <c r="R295" s="121">
        <f t="shared" si="9"/>
        <v>254</v>
      </c>
    </row>
    <row r="296" spans="1:18" x14ac:dyDescent="0.25">
      <c r="A296" s="137" t="s">
        <v>591</v>
      </c>
      <c r="B296" s="137" t="s">
        <v>592</v>
      </c>
      <c r="C296" s="121">
        <f>IFERROR(VLOOKUP($B296,Miljövärden!$B$3:$H$552,MATCH(C$2,Miljövärden!$B$2:$H$2,0),FALSE),"Saknas")</f>
        <v>0.26423400000000002</v>
      </c>
      <c r="D296" s="121">
        <f>IFERROR(VLOOKUP($B296,Miljövärden!$B$3:$H$552,MATCH(D$2,Miljövärden!$B$2:$H$2,0),FALSE),"Saknas")</f>
        <v>55.101799999999997</v>
      </c>
      <c r="E296" s="121">
        <f>IFERROR(VLOOKUP($B296,Miljövärden!$B$3:$H$552,MATCH(E$2,Miljövärden!$B$2:$H$2,0),FALSE),"Saknas")</f>
        <v>12.728400000000001</v>
      </c>
      <c r="F296" s="121">
        <f>IFERROR(VLOOKUP($B296,Miljövärden!$B$3:$H$552,MATCH(F$2,Miljövärden!$B$2:$H$2,0),FALSE),"Saknas")</f>
        <v>0.12697900000000001</v>
      </c>
      <c r="G296" s="121" t="str">
        <f>IFERROR(VLOOKUP($B296,Miljövärden!$B$3:$H$552,MATCH(G$2,Miljövärden!$B$2:$H$2,0),FALSE),"Nej, saknas")</f>
        <v>Ja</v>
      </c>
      <c r="H296" s="285" t="str">
        <f>IFERROR(VLOOKUP($B296,Miljövärden!$B$3:$H$552,MATCH(H$2,Miljövärden!$B$2:$H$2,0),FALSE),"Nej, saknas")</f>
        <v>Ja</v>
      </c>
      <c r="P296" s="121" t="str">
        <f t="shared" si="8"/>
        <v>ja</v>
      </c>
      <c r="R296" s="121">
        <f t="shared" si="9"/>
        <v>255</v>
      </c>
    </row>
    <row r="297" spans="1:18" x14ac:dyDescent="0.25">
      <c r="A297" s="137" t="s">
        <v>591</v>
      </c>
      <c r="B297" s="137" t="s">
        <v>594</v>
      </c>
      <c r="C297" s="121">
        <f>IFERROR(VLOOKUP($B297,Miljövärden!$B$3:$H$552,MATCH(C$2,Miljövärden!$B$2:$H$2,0),FALSE),"Saknas")</f>
        <v>0</v>
      </c>
      <c r="D297" s="121">
        <f>IFERROR(VLOOKUP($B297,Miljövärden!$B$3:$H$552,MATCH(D$2,Miljövärden!$B$2:$H$2,0),FALSE),"Saknas")</f>
        <v>0</v>
      </c>
      <c r="E297" s="121">
        <f>IFERROR(VLOOKUP($B297,Miljövärden!$B$3:$H$552,MATCH(E$2,Miljövärden!$B$2:$H$2,0),FALSE),"Saknas")</f>
        <v>0</v>
      </c>
      <c r="F297" s="121">
        <f>IFERROR(VLOOKUP($B297,Miljövärden!$B$3:$H$552,MATCH(F$2,Miljövärden!$B$2:$H$2,0),FALSE),"Saknas")</f>
        <v>0</v>
      </c>
      <c r="G297" s="121" t="str">
        <f>IFERROR(VLOOKUP($B297,Miljövärden!$B$3:$H$552,MATCH(G$2,Miljövärden!$B$2:$H$2,0),FALSE),"Nej, saknas")</f>
        <v>Ja</v>
      </c>
      <c r="H297" s="285" t="str">
        <f>IFERROR(VLOOKUP($B297,Miljövärden!$B$3:$H$552,MATCH(H$2,Miljövärden!$B$2:$H$2,0),FALSE),"Nej, saknas")</f>
        <v>Nej</v>
      </c>
      <c r="P297" s="121" t="str">
        <f t="shared" si="8"/>
        <v>nej</v>
      </c>
      <c r="R297" s="121">
        <f t="shared" si="9"/>
        <v>255</v>
      </c>
    </row>
    <row r="298" spans="1:18" x14ac:dyDescent="0.25">
      <c r="A298" s="137" t="s">
        <v>591</v>
      </c>
      <c r="B298" s="137" t="s">
        <v>595</v>
      </c>
      <c r="C298" s="121">
        <f>IFERROR(VLOOKUP($B298,Miljövärden!$B$3:$H$552,MATCH(C$2,Miljövärden!$B$2:$H$2,0),FALSE),"Saknas")</f>
        <v>0.19256699999999999</v>
      </c>
      <c r="D298" s="121">
        <f>IFERROR(VLOOKUP($B298,Miljövärden!$B$3:$H$552,MATCH(D$2,Miljövärden!$B$2:$H$2,0),FALSE),"Saknas")</f>
        <v>11.678599999999999</v>
      </c>
      <c r="E298" s="121">
        <f>IFERROR(VLOOKUP($B298,Miljövärden!$B$3:$H$552,MATCH(E$2,Miljövärden!$B$2:$H$2,0),FALSE),"Saknas")</f>
        <v>18.1861</v>
      </c>
      <c r="F298" s="121">
        <f>IFERROR(VLOOKUP($B298,Miljövärden!$B$3:$H$552,MATCH(F$2,Miljövärden!$B$2:$H$2,0),FALSE),"Saknas")</f>
        <v>1.90105E-2</v>
      </c>
      <c r="G298" s="121" t="str">
        <f>IFERROR(VLOOKUP($B298,Miljövärden!$B$3:$H$552,MATCH(G$2,Miljövärden!$B$2:$H$2,0),FALSE),"Nej, saknas")</f>
        <v>Ja</v>
      </c>
      <c r="H298" s="285" t="str">
        <f>IFERROR(VLOOKUP($B298,Miljövärden!$B$3:$H$552,MATCH(H$2,Miljövärden!$B$2:$H$2,0),FALSE),"Nej, saknas")</f>
        <v>Ja</v>
      </c>
      <c r="P298" s="121" t="str">
        <f t="shared" si="8"/>
        <v>ja</v>
      </c>
      <c r="R298" s="121">
        <f t="shared" si="9"/>
        <v>256</v>
      </c>
    </row>
    <row r="299" spans="1:18" x14ac:dyDescent="0.25">
      <c r="A299" s="137" t="s">
        <v>591</v>
      </c>
      <c r="B299" s="137" t="s">
        <v>597</v>
      </c>
      <c r="C299" s="121">
        <f>IFERROR(VLOOKUP($B299,Miljövärden!$B$3:$H$552,MATCH(C$2,Miljövärden!$B$2:$H$2,0),FALSE),"Saknas")</f>
        <v>0.12837799999999999</v>
      </c>
      <c r="D299" s="121">
        <f>IFERROR(VLOOKUP($B299,Miljövärden!$B$3:$H$552,MATCH(D$2,Miljövärden!$B$2:$H$2,0),FALSE),"Saknas")</f>
        <v>5.79854</v>
      </c>
      <c r="E299" s="121">
        <f>IFERROR(VLOOKUP($B299,Miljövärden!$B$3:$H$552,MATCH(E$2,Miljövärden!$B$2:$H$2,0),FALSE),"Saknas")</f>
        <v>7.8837799999999998</v>
      </c>
      <c r="F299" s="121">
        <f>IFERROR(VLOOKUP($B299,Miljövärden!$B$3:$H$552,MATCH(F$2,Miljövärden!$B$2:$H$2,0),FALSE),"Saknas")</f>
        <v>6.6030699999999999E-3</v>
      </c>
      <c r="G299" s="121" t="str">
        <f>IFERROR(VLOOKUP($B299,Miljövärden!$B$3:$H$552,MATCH(G$2,Miljövärden!$B$2:$H$2,0),FALSE),"Nej, saknas")</f>
        <v>Ja</v>
      </c>
      <c r="H299" s="285" t="str">
        <f>IFERROR(VLOOKUP($B299,Miljövärden!$B$3:$H$552,MATCH(H$2,Miljövärden!$B$2:$H$2,0),FALSE),"Nej, saknas")</f>
        <v>Ja</v>
      </c>
      <c r="P299" s="121" t="str">
        <f t="shared" si="8"/>
        <v>ja</v>
      </c>
      <c r="R299" s="121">
        <f t="shared" si="9"/>
        <v>257</v>
      </c>
    </row>
    <row r="300" spans="1:18" x14ac:dyDescent="0.25">
      <c r="A300" s="137" t="s">
        <v>598</v>
      </c>
      <c r="B300" s="137" t="s">
        <v>599</v>
      </c>
      <c r="C300" s="121">
        <f>IFERROR(VLOOKUP($B300,Miljövärden!$B$3:$H$552,MATCH(C$2,Miljövärden!$B$2:$H$2,0),FALSE),"Saknas")</f>
        <v>6.9791000000000006E-2</v>
      </c>
      <c r="D300" s="121">
        <f>IFERROR(VLOOKUP($B300,Miljövärden!$B$3:$H$552,MATCH(D$2,Miljövärden!$B$2:$H$2,0),FALSE),"Saknas")</f>
        <v>35.1813</v>
      </c>
      <c r="E300" s="121">
        <f>IFERROR(VLOOKUP($B300,Miljövärden!$B$3:$H$552,MATCH(E$2,Miljövärden!$B$2:$H$2,0),FALSE),"Saknas")</f>
        <v>3.63388</v>
      </c>
      <c r="F300" s="121">
        <f>IFERROR(VLOOKUP($B300,Miljövärden!$B$3:$H$552,MATCH(F$2,Miljövärden!$B$2:$H$2,0),FALSE),"Saknas")</f>
        <v>1.7193199999999999E-2</v>
      </c>
      <c r="G300" s="121" t="str">
        <f>IFERROR(VLOOKUP($B300,Miljövärden!$B$3:$H$552,MATCH(G$2,Miljövärden!$B$2:$H$2,0),FALSE),"Nej, saknas")</f>
        <v>Ja</v>
      </c>
      <c r="H300" s="285" t="str">
        <f>IFERROR(VLOOKUP($B300,Miljövärden!$B$3:$H$552,MATCH(H$2,Miljövärden!$B$2:$H$2,0),FALSE),"Nej, saknas")</f>
        <v>Ja</v>
      </c>
      <c r="P300" s="121" t="str">
        <f t="shared" si="8"/>
        <v>ja</v>
      </c>
      <c r="R300" s="121">
        <f t="shared" si="9"/>
        <v>258</v>
      </c>
    </row>
    <row r="301" spans="1:18" x14ac:dyDescent="0.25">
      <c r="A301" s="137" t="s">
        <v>600</v>
      </c>
      <c r="B301" s="137" t="s">
        <v>132</v>
      </c>
      <c r="C301" s="121">
        <f>IFERROR(VLOOKUP($B301,Miljövärden!$B$3:$H$552,MATCH(C$2,Miljövärden!$B$2:$H$2,0),FALSE),"Saknas")</f>
        <v>0</v>
      </c>
      <c r="D301" s="121">
        <f>IFERROR(VLOOKUP($B301,Miljövärden!$B$3:$H$552,MATCH(D$2,Miljövärden!$B$2:$H$2,0),FALSE),"Saknas")</f>
        <v>0</v>
      </c>
      <c r="E301" s="121">
        <f>IFERROR(VLOOKUP($B301,Miljövärden!$B$3:$H$552,MATCH(E$2,Miljövärden!$B$2:$H$2,0),FALSE),"Saknas")</f>
        <v>0</v>
      </c>
      <c r="F301" s="121">
        <f>IFERROR(VLOOKUP($B301,Miljövärden!$B$3:$H$552,MATCH(F$2,Miljövärden!$B$2:$H$2,0),FALSE),"Saknas")</f>
        <v>0</v>
      </c>
      <c r="G301" s="121" t="str">
        <f>IFERROR(VLOOKUP($B301,Miljövärden!$B$3:$H$552,MATCH(G$2,Miljövärden!$B$2:$H$2,0),FALSE),"Nej, saknas")</f>
        <v>Nej</v>
      </c>
      <c r="H301" s="285" t="str">
        <f>IFERROR(VLOOKUP($B301,Miljövärden!$B$3:$H$552,MATCH(H$2,Miljövärden!$B$2:$H$2,0),FALSE),"Nej, saknas")</f>
        <v>Nej</v>
      </c>
      <c r="P301" s="121" t="str">
        <f t="shared" si="8"/>
        <v>nej</v>
      </c>
      <c r="R301" s="121">
        <f t="shared" si="9"/>
        <v>258</v>
      </c>
    </row>
    <row r="302" spans="1:18" x14ac:dyDescent="0.25">
      <c r="A302" s="137" t="s">
        <v>601</v>
      </c>
      <c r="B302" s="137" t="s">
        <v>602</v>
      </c>
      <c r="C302" s="121">
        <f>IFERROR(VLOOKUP($B302,Miljövärden!$B$3:$H$552,MATCH(C$2,Miljövärden!$B$2:$H$2,0),FALSE),"Saknas")</f>
        <v>8.9928599999999997E-2</v>
      </c>
      <c r="D302" s="121">
        <f>IFERROR(VLOOKUP($B302,Miljövärden!$B$3:$H$552,MATCH(D$2,Miljövärden!$B$2:$H$2,0),FALSE),"Saknas")</f>
        <v>5.9357100000000003</v>
      </c>
      <c r="E302" s="121">
        <f>IFERROR(VLOOKUP($B302,Miljövärden!$B$3:$H$552,MATCH(E$2,Miljövärden!$B$2:$H$2,0),FALSE),"Saknas")</f>
        <v>10.668799999999999</v>
      </c>
      <c r="F302" s="121">
        <f>IFERROR(VLOOKUP($B302,Miljövärden!$B$3:$H$552,MATCH(F$2,Miljövärden!$B$2:$H$2,0),FALSE),"Saknas")</f>
        <v>0</v>
      </c>
      <c r="G302" s="121" t="str">
        <f>IFERROR(VLOOKUP($B302,Miljövärden!$B$3:$H$552,MATCH(G$2,Miljövärden!$B$2:$H$2,0),FALSE),"Nej, saknas")</f>
        <v>Ja</v>
      </c>
      <c r="H302" s="285" t="str">
        <f>IFERROR(VLOOKUP($B302,Miljövärden!$B$3:$H$552,MATCH(H$2,Miljövärden!$B$2:$H$2,0),FALSE),"Nej, saknas")</f>
        <v>Ja</v>
      </c>
      <c r="P302" s="121" t="str">
        <f t="shared" si="8"/>
        <v>ja</v>
      </c>
      <c r="R302" s="121">
        <f t="shared" si="9"/>
        <v>259</v>
      </c>
    </row>
    <row r="303" spans="1:18" x14ac:dyDescent="0.25">
      <c r="A303" s="137" t="s">
        <v>601</v>
      </c>
      <c r="B303" s="137" t="s">
        <v>603</v>
      </c>
      <c r="C303" s="121">
        <f>IFERROR(VLOOKUP($B303,Miljövärden!$B$3:$H$552,MATCH(C$2,Miljövärden!$B$2:$H$2,0),FALSE),"Saknas")</f>
        <v>5.3736699999999998E-2</v>
      </c>
      <c r="D303" s="121">
        <f>IFERROR(VLOOKUP($B303,Miljövärden!$B$3:$H$552,MATCH(D$2,Miljövärden!$B$2:$H$2,0),FALSE),"Saknas")</f>
        <v>4.2982300000000002</v>
      </c>
      <c r="E303" s="121">
        <f>IFERROR(VLOOKUP($B303,Miljövärden!$B$3:$H$552,MATCH(E$2,Miljövärden!$B$2:$H$2,0),FALSE),"Saknas")</f>
        <v>4.7138999999999998</v>
      </c>
      <c r="F303" s="121">
        <f>IFERROR(VLOOKUP($B303,Miljövärden!$B$3:$H$552,MATCH(F$2,Miljövärden!$B$2:$H$2,0),FALSE),"Saknas")</f>
        <v>0</v>
      </c>
      <c r="G303" s="121" t="str">
        <f>IFERROR(VLOOKUP($B303,Miljövärden!$B$3:$H$552,MATCH(G$2,Miljövärden!$B$2:$H$2,0),FALSE),"Nej, saknas")</f>
        <v>Ja</v>
      </c>
      <c r="H303" s="285" t="str">
        <f>IFERROR(VLOOKUP($B303,Miljövärden!$B$3:$H$552,MATCH(H$2,Miljövärden!$B$2:$H$2,0),FALSE),"Nej, saknas")</f>
        <v>Ja</v>
      </c>
      <c r="P303" s="121" t="str">
        <f t="shared" si="8"/>
        <v>ja</v>
      </c>
      <c r="R303" s="121">
        <f t="shared" si="9"/>
        <v>260</v>
      </c>
    </row>
    <row r="304" spans="1:18" x14ac:dyDescent="0.25">
      <c r="A304" s="137" t="s">
        <v>601</v>
      </c>
      <c r="B304" s="137" t="s">
        <v>604</v>
      </c>
      <c r="C304" s="121">
        <f>IFERROR(VLOOKUP($B304,Miljövärden!$B$3:$H$552,MATCH(C$2,Miljövärden!$B$2:$H$2,0),FALSE),"Saknas")</f>
        <v>9.5203499999999996E-2</v>
      </c>
      <c r="D304" s="121">
        <f>IFERROR(VLOOKUP($B304,Miljövärden!$B$3:$H$552,MATCH(D$2,Miljövärden!$B$2:$H$2,0),FALSE),"Saknas")</f>
        <v>18.638200000000001</v>
      </c>
      <c r="E304" s="121">
        <f>IFERROR(VLOOKUP($B304,Miljövärden!$B$3:$H$552,MATCH(E$2,Miljövärden!$B$2:$H$2,0),FALSE),"Saknas")</f>
        <v>10.3864</v>
      </c>
      <c r="F304" s="121">
        <f>IFERROR(VLOOKUP($B304,Miljövärden!$B$3:$H$552,MATCH(F$2,Miljövärden!$B$2:$H$2,0),FALSE),"Saknas")</f>
        <v>3.6107399999999998E-2</v>
      </c>
      <c r="G304" s="121" t="str">
        <f>IFERROR(VLOOKUP($B304,Miljövärden!$B$3:$H$552,MATCH(G$2,Miljövärden!$B$2:$H$2,0),FALSE),"Nej, saknas")</f>
        <v>Ja</v>
      </c>
      <c r="H304" s="285" t="str">
        <f>IFERROR(VLOOKUP($B304,Miljövärden!$B$3:$H$552,MATCH(H$2,Miljövärden!$B$2:$H$2,0),FALSE),"Nej, saknas")</f>
        <v>Ja</v>
      </c>
      <c r="P304" s="121" t="str">
        <f t="shared" si="8"/>
        <v>ja</v>
      </c>
      <c r="R304" s="121">
        <f t="shared" si="9"/>
        <v>261</v>
      </c>
    </row>
    <row r="305" spans="1:18" x14ac:dyDescent="0.25">
      <c r="A305" s="137" t="s">
        <v>601</v>
      </c>
      <c r="B305" s="137" t="s">
        <v>605</v>
      </c>
      <c r="C305" s="121">
        <f>IFERROR(VLOOKUP($B305,Miljövärden!$B$3:$H$552,MATCH(C$2,Miljövärden!$B$2:$H$2,0),FALSE),"Saknas")</f>
        <v>0.119863</v>
      </c>
      <c r="D305" s="121">
        <f>IFERROR(VLOOKUP($B305,Miljövärden!$B$3:$H$552,MATCH(D$2,Miljövärden!$B$2:$H$2,0),FALSE),"Saknas")</f>
        <v>132.072</v>
      </c>
      <c r="E305" s="121">
        <f>IFERROR(VLOOKUP($B305,Miljövärden!$B$3:$H$552,MATCH(E$2,Miljövärden!$B$2:$H$2,0),FALSE),"Saknas")</f>
        <v>4.2682399999999996</v>
      </c>
      <c r="F305" s="121">
        <f>IFERROR(VLOOKUP($B305,Miljövärden!$B$3:$H$552,MATCH(F$2,Miljövärden!$B$2:$H$2,0),FALSE),"Saknas")</f>
        <v>6.16979E-2</v>
      </c>
      <c r="G305" s="121" t="str">
        <f>IFERROR(VLOOKUP($B305,Miljövärden!$B$3:$H$552,MATCH(G$2,Miljövärden!$B$2:$H$2,0),FALSE),"Nej, saknas")</f>
        <v>Ja</v>
      </c>
      <c r="H305" s="285" t="str">
        <f>IFERROR(VLOOKUP($B305,Miljövärden!$B$3:$H$552,MATCH(H$2,Miljövärden!$B$2:$H$2,0),FALSE),"Nej, saknas")</f>
        <v>Ja</v>
      </c>
      <c r="P305" s="121" t="str">
        <f t="shared" si="8"/>
        <v>ja</v>
      </c>
      <c r="R305" s="121">
        <f t="shared" si="9"/>
        <v>262</v>
      </c>
    </row>
    <row r="306" spans="1:18" x14ac:dyDescent="0.25">
      <c r="A306" s="137" t="s">
        <v>601</v>
      </c>
      <c r="B306" s="137" t="s">
        <v>606</v>
      </c>
      <c r="C306" s="121">
        <f>IFERROR(VLOOKUP($B306,Miljövärden!$B$3:$H$552,MATCH(C$2,Miljövärden!$B$2:$H$2,0),FALSE),"Saknas")</f>
        <v>0.32890200000000003</v>
      </c>
      <c r="D306" s="121">
        <f>IFERROR(VLOOKUP($B306,Miljövärden!$B$3:$H$552,MATCH(D$2,Miljövärden!$B$2:$H$2,0),FALSE),"Saknas")</f>
        <v>73.741799999999998</v>
      </c>
      <c r="E306" s="121">
        <f>IFERROR(VLOOKUP($B306,Miljövärden!$B$3:$H$552,MATCH(E$2,Miljövärden!$B$2:$H$2,0),FALSE),"Saknas")</f>
        <v>9.2968499999999992</v>
      </c>
      <c r="F306" s="121">
        <f>IFERROR(VLOOKUP($B306,Miljövärden!$B$3:$H$552,MATCH(F$2,Miljövärden!$B$2:$H$2,0),FALSE),"Saknas")</f>
        <v>0.17460200000000001</v>
      </c>
      <c r="G306" s="121" t="str">
        <f>IFERROR(VLOOKUP($B306,Miljövärden!$B$3:$H$552,MATCH(G$2,Miljövärden!$B$2:$H$2,0),FALSE),"Nej, saknas")</f>
        <v>Ja</v>
      </c>
      <c r="H306" s="285" t="str">
        <f>IFERROR(VLOOKUP($B306,Miljövärden!$B$3:$H$552,MATCH(H$2,Miljövärden!$B$2:$H$2,0),FALSE),"Nej, saknas")</f>
        <v>Ja</v>
      </c>
      <c r="P306" s="121" t="str">
        <f t="shared" si="8"/>
        <v>ja</v>
      </c>
      <c r="R306" s="121">
        <f t="shared" si="9"/>
        <v>263</v>
      </c>
    </row>
    <row r="307" spans="1:18" x14ac:dyDescent="0.25">
      <c r="A307" s="137" t="s">
        <v>601</v>
      </c>
      <c r="B307" s="137" t="s">
        <v>607</v>
      </c>
      <c r="C307" s="121">
        <f>IFERROR(VLOOKUP($B307,Miljövärden!$B$3:$H$552,MATCH(C$2,Miljövärden!$B$2:$H$2,0),FALSE),"Saknas")</f>
        <v>8.63318E-2</v>
      </c>
      <c r="D307" s="121">
        <f>IFERROR(VLOOKUP($B307,Miljövärden!$B$3:$H$552,MATCH(D$2,Miljövärden!$B$2:$H$2,0),FALSE),"Saknas")</f>
        <v>13.930999999999999</v>
      </c>
      <c r="E307" s="121">
        <f>IFERROR(VLOOKUP($B307,Miljövärden!$B$3:$H$552,MATCH(E$2,Miljövärden!$B$2:$H$2,0),FALSE),"Saknas")</f>
        <v>6.7511099999999997</v>
      </c>
      <c r="F307" s="121">
        <f>IFERROR(VLOOKUP($B307,Miljövärden!$B$3:$H$552,MATCH(F$2,Miljövärden!$B$2:$H$2,0),FALSE),"Saknas")</f>
        <v>2.1734E-2</v>
      </c>
      <c r="G307" s="121" t="str">
        <f>IFERROR(VLOOKUP($B307,Miljövärden!$B$3:$H$552,MATCH(G$2,Miljövärden!$B$2:$H$2,0),FALSE),"Nej, saknas")</f>
        <v>Ja</v>
      </c>
      <c r="H307" s="285" t="str">
        <f>IFERROR(VLOOKUP($B307,Miljövärden!$B$3:$H$552,MATCH(H$2,Miljövärden!$B$2:$H$2,0),FALSE),"Nej, saknas")</f>
        <v>Ja</v>
      </c>
      <c r="P307" s="121" t="str">
        <f t="shared" si="8"/>
        <v>ja</v>
      </c>
      <c r="R307" s="121">
        <f t="shared" si="9"/>
        <v>264</v>
      </c>
    </row>
    <row r="308" spans="1:18" x14ac:dyDescent="0.25">
      <c r="A308" s="137" t="s">
        <v>608</v>
      </c>
      <c r="B308" s="137" t="s">
        <v>609</v>
      </c>
      <c r="C308" s="121">
        <f>IFERROR(VLOOKUP($B308,Miljövärden!$B$3:$H$552,MATCH(C$2,Miljövärden!$B$2:$H$2,0),FALSE),"Saknas")</f>
        <v>7.8887700000000005E-2</v>
      </c>
      <c r="D308" s="121">
        <f>IFERROR(VLOOKUP($B308,Miljövärden!$B$3:$H$552,MATCH(D$2,Miljövärden!$B$2:$H$2,0),FALSE),"Saknas")</f>
        <v>0.73768800000000001</v>
      </c>
      <c r="E308" s="121">
        <f>IFERROR(VLOOKUP($B308,Miljövärden!$B$3:$H$552,MATCH(E$2,Miljövärden!$B$2:$H$2,0),FALSE),"Saknas")</f>
        <v>2.9132600000000002</v>
      </c>
      <c r="F308" s="121">
        <f>IFERROR(VLOOKUP($B308,Miljövärden!$B$3:$H$552,MATCH(F$2,Miljövärden!$B$2:$H$2,0),FALSE),"Saknas")</f>
        <v>0</v>
      </c>
      <c r="G308" s="121" t="str">
        <f>IFERROR(VLOOKUP($B308,Miljövärden!$B$3:$H$552,MATCH(G$2,Miljövärden!$B$2:$H$2,0),FALSE),"Nej, saknas")</f>
        <v>Ja</v>
      </c>
      <c r="H308" s="285" t="str">
        <f>IFERROR(VLOOKUP($B308,Miljövärden!$B$3:$H$552,MATCH(H$2,Miljövärden!$B$2:$H$2,0),FALSE),"Nej, saknas")</f>
        <v>Ja</v>
      </c>
      <c r="P308" s="121" t="str">
        <f t="shared" si="8"/>
        <v>ja</v>
      </c>
      <c r="R308" s="121">
        <f t="shared" si="9"/>
        <v>265</v>
      </c>
    </row>
    <row r="309" spans="1:18" x14ac:dyDescent="0.25">
      <c r="A309" s="137" t="s">
        <v>608</v>
      </c>
      <c r="B309" s="137" t="s">
        <v>610</v>
      </c>
      <c r="C309" s="121">
        <f>IFERROR(VLOOKUP($B309,Miljövärden!$B$3:$H$552,MATCH(C$2,Miljövärden!$B$2:$H$2,0),FALSE),"Saknas")</f>
        <v>6.5173999999999996E-2</v>
      </c>
      <c r="D309" s="121">
        <f>IFERROR(VLOOKUP($B309,Miljövärden!$B$3:$H$552,MATCH(D$2,Miljövärden!$B$2:$H$2,0),FALSE),"Saknas")</f>
        <v>37.975999999999999</v>
      </c>
      <c r="E309" s="121">
        <f>IFERROR(VLOOKUP($B309,Miljövärden!$B$3:$H$552,MATCH(E$2,Miljövärden!$B$2:$H$2,0),FALSE),"Saknas")</f>
        <v>3.6631200000000002</v>
      </c>
      <c r="F309" s="121">
        <f>IFERROR(VLOOKUP($B309,Miljövärden!$B$3:$H$552,MATCH(F$2,Miljövärden!$B$2:$H$2,0),FALSE),"Saknas")</f>
        <v>8.2770399999999994E-3</v>
      </c>
      <c r="G309" s="121" t="str">
        <f>IFERROR(VLOOKUP($B309,Miljövärden!$B$3:$H$552,MATCH(G$2,Miljövärden!$B$2:$H$2,0),FALSE),"Nej, saknas")</f>
        <v>Ja</v>
      </c>
      <c r="H309" s="285" t="str">
        <f>IFERROR(VLOOKUP($B309,Miljövärden!$B$3:$H$552,MATCH(H$2,Miljövärden!$B$2:$H$2,0),FALSE),"Nej, saknas")</f>
        <v>Ja</v>
      </c>
      <c r="P309" s="121" t="str">
        <f t="shared" si="8"/>
        <v>ja</v>
      </c>
      <c r="R309" s="121">
        <f t="shared" si="9"/>
        <v>266</v>
      </c>
    </row>
    <row r="310" spans="1:18" x14ac:dyDescent="0.25">
      <c r="A310" s="137" t="s">
        <v>611</v>
      </c>
      <c r="B310" s="137" t="s">
        <v>612</v>
      </c>
      <c r="C310" s="121">
        <f>IFERROR(VLOOKUP($B310,Miljövärden!$B$3:$H$552,MATCH(C$2,Miljövärden!$B$2:$H$2,0),FALSE),"Saknas")</f>
        <v>0.12501000000000001</v>
      </c>
      <c r="D310" s="121">
        <f>IFERROR(VLOOKUP($B310,Miljövärden!$B$3:$H$552,MATCH(D$2,Miljövärden!$B$2:$H$2,0),FALSE),"Saknas")</f>
        <v>8.5084400000000002</v>
      </c>
      <c r="E310" s="121">
        <f>IFERROR(VLOOKUP($B310,Miljövärden!$B$3:$H$552,MATCH(E$2,Miljövärden!$B$2:$H$2,0),FALSE),"Saknas")</f>
        <v>6.5709</v>
      </c>
      <c r="F310" s="121">
        <f>IFERROR(VLOOKUP($B310,Miljövärden!$B$3:$H$552,MATCH(F$2,Miljövärden!$B$2:$H$2,0),FALSE),"Saknas")</f>
        <v>1.29654E-2</v>
      </c>
      <c r="G310" s="121" t="str">
        <f>IFERROR(VLOOKUP($B310,Miljövärden!$B$3:$H$552,MATCH(G$2,Miljövärden!$B$2:$H$2,0),FALSE),"Nej, saknas")</f>
        <v>Ja</v>
      </c>
      <c r="H310" s="285" t="str">
        <f>IFERROR(VLOOKUP($B310,Miljövärden!$B$3:$H$552,MATCH(H$2,Miljövärden!$B$2:$H$2,0),FALSE),"Nej, saknas")</f>
        <v>Ja</v>
      </c>
      <c r="P310" s="121" t="str">
        <f t="shared" si="8"/>
        <v>ja</v>
      </c>
      <c r="R310" s="121">
        <f t="shared" si="9"/>
        <v>267</v>
      </c>
    </row>
    <row r="311" spans="1:18" x14ac:dyDescent="0.25">
      <c r="A311" s="137" t="s">
        <v>613</v>
      </c>
      <c r="B311" s="137" t="s">
        <v>614</v>
      </c>
      <c r="C311" s="121">
        <f>IFERROR(VLOOKUP($B311,Miljövärden!$B$3:$H$552,MATCH(C$2,Miljövärden!$B$2:$H$2,0),FALSE),"Saknas")</f>
        <v>0.11408500000000001</v>
      </c>
      <c r="D311" s="121">
        <f>IFERROR(VLOOKUP($B311,Miljövärden!$B$3:$H$552,MATCH(D$2,Miljövärden!$B$2:$H$2,0),FALSE),"Saknas")</f>
        <v>6.3340199999999998</v>
      </c>
      <c r="E311" s="121">
        <f>IFERROR(VLOOKUP($B311,Miljövärden!$B$3:$H$552,MATCH(E$2,Miljövärden!$B$2:$H$2,0),FALSE),"Saknas")</f>
        <v>10.993399999999999</v>
      </c>
      <c r="F311" s="121">
        <f>IFERROR(VLOOKUP($B311,Miljövärden!$B$3:$H$552,MATCH(F$2,Miljövärden!$B$2:$H$2,0),FALSE),"Saknas")</f>
        <v>5.45511E-3</v>
      </c>
      <c r="G311" s="121" t="str">
        <f>IFERROR(VLOOKUP($B311,Miljövärden!$B$3:$H$552,MATCH(G$2,Miljövärden!$B$2:$H$2,0),FALSE),"Nej, saknas")</f>
        <v>Ja</v>
      </c>
      <c r="H311" s="285" t="str">
        <f>IFERROR(VLOOKUP($B311,Miljövärden!$B$3:$H$552,MATCH(H$2,Miljövärden!$B$2:$H$2,0),FALSE),"Nej, saknas")</f>
        <v>Ja</v>
      </c>
      <c r="P311" s="121" t="str">
        <f t="shared" si="8"/>
        <v>ja</v>
      </c>
      <c r="R311" s="121">
        <f t="shared" si="9"/>
        <v>268</v>
      </c>
    </row>
    <row r="312" spans="1:18" x14ac:dyDescent="0.25">
      <c r="A312" s="137" t="s">
        <v>613</v>
      </c>
      <c r="B312" s="137" t="s">
        <v>615</v>
      </c>
      <c r="C312" s="121">
        <f>IFERROR(VLOOKUP($B312,Miljövärden!$B$3:$H$552,MATCH(C$2,Miljövärden!$B$2:$H$2,0),FALSE),"Saknas")</f>
        <v>0</v>
      </c>
      <c r="D312" s="121">
        <f>IFERROR(VLOOKUP($B312,Miljövärden!$B$3:$H$552,MATCH(D$2,Miljövärden!$B$2:$H$2,0),FALSE),"Saknas")</f>
        <v>0</v>
      </c>
      <c r="E312" s="121">
        <f>IFERROR(VLOOKUP($B312,Miljövärden!$B$3:$H$552,MATCH(E$2,Miljövärden!$B$2:$H$2,0),FALSE),"Saknas")</f>
        <v>0</v>
      </c>
      <c r="F312" s="121">
        <f>IFERROR(VLOOKUP($B312,Miljövärden!$B$3:$H$552,MATCH(F$2,Miljövärden!$B$2:$H$2,0),FALSE),"Saknas")</f>
        <v>0</v>
      </c>
      <c r="G312" s="121" t="str">
        <f>IFERROR(VLOOKUP($B312,Miljövärden!$B$3:$H$552,MATCH(G$2,Miljövärden!$B$2:$H$2,0),FALSE),"Nej, saknas")</f>
        <v>Ja</v>
      </c>
      <c r="H312" s="285" t="str">
        <f>IFERROR(VLOOKUP($B312,Miljövärden!$B$3:$H$552,MATCH(H$2,Miljövärden!$B$2:$H$2,0),FALSE),"Nej, saknas")</f>
        <v>Nej</v>
      </c>
      <c r="P312" s="121" t="str">
        <f t="shared" si="8"/>
        <v>nej</v>
      </c>
      <c r="R312" s="121">
        <f t="shared" si="9"/>
        <v>268</v>
      </c>
    </row>
    <row r="313" spans="1:18" x14ac:dyDescent="0.25">
      <c r="A313" s="137" t="s">
        <v>616</v>
      </c>
      <c r="B313" s="137" t="s">
        <v>616</v>
      </c>
      <c r="C313" s="121">
        <f>IFERROR(VLOOKUP($B313,Miljövärden!$B$3:$H$552,MATCH(C$2,Miljövärden!$B$2:$H$2,0),FALSE),"Saknas")</f>
        <v>0.27294299999999999</v>
      </c>
      <c r="D313" s="121">
        <f>IFERROR(VLOOKUP($B313,Miljövärden!$B$3:$H$552,MATCH(D$2,Miljövärden!$B$2:$H$2,0),FALSE),"Saknas")</f>
        <v>51.550600000000003</v>
      </c>
      <c r="E313" s="121">
        <f>IFERROR(VLOOKUP($B313,Miljövärden!$B$3:$H$552,MATCH(E$2,Miljövärden!$B$2:$H$2,0),FALSE),"Saknas")</f>
        <v>17.2514</v>
      </c>
      <c r="F313" s="121">
        <f>IFERROR(VLOOKUP($B313,Miljövärden!$B$3:$H$552,MATCH(F$2,Miljövärden!$B$2:$H$2,0),FALSE),"Saknas")</f>
        <v>7.6009499999999994E-2</v>
      </c>
      <c r="G313" s="121" t="str">
        <f>IFERROR(VLOOKUP($B313,Miljövärden!$B$3:$H$552,MATCH(G$2,Miljövärden!$B$2:$H$2,0),FALSE),"Nej, saknas")</f>
        <v>Nej</v>
      </c>
      <c r="H313" s="285" t="str">
        <f>IFERROR(VLOOKUP($B313,Miljövärden!$B$3:$H$552,MATCH(H$2,Miljövärden!$B$2:$H$2,0),FALSE),"Nej, saknas")</f>
        <v>Ja</v>
      </c>
      <c r="P313" s="121" t="str">
        <f t="shared" si="8"/>
        <v>ja</v>
      </c>
      <c r="R313" s="121">
        <f t="shared" si="9"/>
        <v>269</v>
      </c>
    </row>
    <row r="314" spans="1:18" x14ac:dyDescent="0.25">
      <c r="A314" s="137" t="s">
        <v>617</v>
      </c>
      <c r="B314" s="137" t="s">
        <v>135</v>
      </c>
      <c r="C314" s="121">
        <f>IFERROR(VLOOKUP($B314,Miljövärden!$B$3:$H$552,MATCH(C$2,Miljövärden!$B$2:$H$2,0),FALSE),"Saknas")</f>
        <v>0.11054899999999999</v>
      </c>
      <c r="D314" s="121">
        <f>IFERROR(VLOOKUP($B314,Miljövärden!$B$3:$H$552,MATCH(D$2,Miljövärden!$B$2:$H$2,0),FALSE),"Saknas")</f>
        <v>15.4155</v>
      </c>
      <c r="E314" s="121">
        <f>IFERROR(VLOOKUP($B314,Miljövärden!$B$3:$H$552,MATCH(E$2,Miljövärden!$B$2:$H$2,0),FALSE),"Saknas")</f>
        <v>9.6946999999999992</v>
      </c>
      <c r="F314" s="121">
        <f>IFERROR(VLOOKUP($B314,Miljövärden!$B$3:$H$552,MATCH(F$2,Miljövärden!$B$2:$H$2,0),FALSE),"Saknas")</f>
        <v>9.1168499999999993E-3</v>
      </c>
      <c r="G314" s="121" t="str">
        <f>IFERROR(VLOOKUP($B314,Miljövärden!$B$3:$H$552,MATCH(G$2,Miljövärden!$B$2:$H$2,0),FALSE),"Nej, saknas")</f>
        <v>Nej</v>
      </c>
      <c r="H314" s="285" t="str">
        <f>IFERROR(VLOOKUP($B314,Miljövärden!$B$3:$H$552,MATCH(H$2,Miljövärden!$B$2:$H$2,0),FALSE),"Nej, saknas")</f>
        <v>Ja</v>
      </c>
      <c r="P314" s="121" t="str">
        <f t="shared" si="8"/>
        <v>ja</v>
      </c>
      <c r="R314" s="121">
        <f t="shared" si="9"/>
        <v>270</v>
      </c>
    </row>
    <row r="315" spans="1:18" x14ac:dyDescent="0.25">
      <c r="A315" s="137" t="s">
        <v>618</v>
      </c>
      <c r="B315" s="137" t="s">
        <v>619</v>
      </c>
      <c r="C315" s="121">
        <f>IFERROR(VLOOKUP($B315,Miljövärden!$B$3:$H$552,MATCH(C$2,Miljövärden!$B$2:$H$2,0),FALSE),"Saknas")</f>
        <v>9.0747900000000006E-2</v>
      </c>
      <c r="D315" s="121">
        <f>IFERROR(VLOOKUP($B315,Miljövärden!$B$3:$H$552,MATCH(D$2,Miljövärden!$B$2:$H$2,0),FALSE),"Saknas")</f>
        <v>7.0372500000000002</v>
      </c>
      <c r="E315" s="121">
        <f>IFERROR(VLOOKUP($B315,Miljövärden!$B$3:$H$552,MATCH(E$2,Miljövärden!$B$2:$H$2,0),FALSE),"Saknas")</f>
        <v>6.9403600000000001</v>
      </c>
      <c r="F315" s="121">
        <f>IFERROR(VLOOKUP($B315,Miljövärden!$B$3:$H$552,MATCH(F$2,Miljövärden!$B$2:$H$2,0),FALSE),"Saknas")</f>
        <v>9.5890999999999997E-3</v>
      </c>
      <c r="G315" s="121" t="str">
        <f>IFERROR(VLOOKUP($B315,Miljövärden!$B$3:$H$552,MATCH(G$2,Miljövärden!$B$2:$H$2,0),FALSE),"Nej, saknas")</f>
        <v>Ja</v>
      </c>
      <c r="H315" s="285" t="str">
        <f>IFERROR(VLOOKUP($B315,Miljövärden!$B$3:$H$552,MATCH(H$2,Miljövärden!$B$2:$H$2,0),FALSE),"Nej, saknas")</f>
        <v>Ja</v>
      </c>
      <c r="P315" s="121" t="str">
        <f t="shared" si="8"/>
        <v>ja</v>
      </c>
      <c r="R315" s="121">
        <f t="shared" si="9"/>
        <v>271</v>
      </c>
    </row>
    <row r="316" spans="1:18" x14ac:dyDescent="0.25">
      <c r="A316" s="137" t="s">
        <v>621</v>
      </c>
      <c r="B316" s="137" t="s">
        <v>622</v>
      </c>
      <c r="C316" s="121" t="str">
        <f>IFERROR(VLOOKUP($B316,Miljövärden!$B$3:$H$552,MATCH(C$2,Miljövärden!$B$2:$H$2,0),FALSE),"Saknas")</f>
        <v/>
      </c>
      <c r="D316" s="121" t="str">
        <f>IFERROR(VLOOKUP($B316,Miljövärden!$B$3:$H$552,MATCH(D$2,Miljövärden!$B$2:$H$2,0),FALSE),"Saknas")</f>
        <v/>
      </c>
      <c r="E316" s="121" t="str">
        <f>IFERROR(VLOOKUP($B316,Miljövärden!$B$3:$H$552,MATCH(E$2,Miljövärden!$B$2:$H$2,0),FALSE),"Saknas")</f>
        <v/>
      </c>
      <c r="F316" s="121" t="str">
        <f>IFERROR(VLOOKUP($B316,Miljövärden!$B$3:$H$552,MATCH(F$2,Miljövärden!$B$2:$H$2,0),FALSE),"Saknas")</f>
        <v/>
      </c>
      <c r="G316" s="121" t="str">
        <f>IFERROR(VLOOKUP($B316,Miljövärden!$B$3:$H$552,MATCH(G$2,Miljövärden!$B$2:$H$2,0),FALSE),"Nej, saknas")</f>
        <v>Nej</v>
      </c>
      <c r="H316" s="285" t="str">
        <f>IFERROR(VLOOKUP($B316,Miljövärden!$B$3:$H$552,MATCH(H$2,Miljövärden!$B$2:$H$2,0),FALSE),"Nej, saknas")</f>
        <v>Nej</v>
      </c>
      <c r="P316" s="121" t="str">
        <f t="shared" si="8"/>
        <v>nej</v>
      </c>
      <c r="R316" s="121">
        <f t="shared" si="9"/>
        <v>271</v>
      </c>
    </row>
    <row r="317" spans="1:18" x14ac:dyDescent="0.25">
      <c r="A317" s="137" t="s">
        <v>623</v>
      </c>
      <c r="B317" s="137" t="s">
        <v>624</v>
      </c>
      <c r="C317" s="121">
        <f>IFERROR(VLOOKUP($B317,Miljövärden!$B$3:$H$552,MATCH(C$2,Miljövärden!$B$2:$H$2,0),FALSE),"Saknas")</f>
        <v>3.11268E-2</v>
      </c>
      <c r="D317" s="121">
        <f>IFERROR(VLOOKUP($B317,Miljövärden!$B$3:$H$552,MATCH(D$2,Miljövärden!$B$2:$H$2,0),FALSE),"Saknas")</f>
        <v>3.7227000000000001</v>
      </c>
      <c r="E317" s="121">
        <f>IFERROR(VLOOKUP($B317,Miljövärden!$B$3:$H$552,MATCH(E$2,Miljövärden!$B$2:$H$2,0),FALSE),"Saknas")</f>
        <v>6.10731</v>
      </c>
      <c r="F317" s="121">
        <f>IFERROR(VLOOKUP($B317,Miljövärden!$B$3:$H$552,MATCH(F$2,Miljövärden!$B$2:$H$2,0),FALSE),"Saknas")</f>
        <v>1.2239499999999999E-3</v>
      </c>
      <c r="G317" s="121" t="str">
        <f>IFERROR(VLOOKUP($B317,Miljövärden!$B$3:$H$552,MATCH(G$2,Miljövärden!$B$2:$H$2,0),FALSE),"Nej, saknas")</f>
        <v>Ja</v>
      </c>
      <c r="H317" s="285" t="str">
        <f>IFERROR(VLOOKUP($B317,Miljövärden!$B$3:$H$552,MATCH(H$2,Miljövärden!$B$2:$H$2,0),FALSE),"Nej, saknas")</f>
        <v>Ja</v>
      </c>
      <c r="P317" s="121" t="str">
        <f t="shared" si="8"/>
        <v>ja</v>
      </c>
      <c r="R317" s="121">
        <f t="shared" si="9"/>
        <v>272</v>
      </c>
    </row>
    <row r="318" spans="1:18" x14ac:dyDescent="0.25">
      <c r="A318" s="137" t="s">
        <v>43</v>
      </c>
      <c r="B318" s="141" t="s">
        <v>51</v>
      </c>
      <c r="C318" s="121" t="str">
        <f>IFERROR(VLOOKUP($B318,Miljövärden!$B$3:$H$552,MATCH(C$2,Miljövärden!$B$2:$H$2,0),FALSE),"Saknas")</f>
        <v>Saknas</v>
      </c>
      <c r="D318" s="121" t="str">
        <f>IFERROR(VLOOKUP($B318,Miljövärden!$B$3:$H$552,MATCH(D$2,Miljövärden!$B$2:$H$2,0),FALSE),"Saknas")</f>
        <v>Saknas</v>
      </c>
      <c r="E318" s="121" t="str">
        <f>IFERROR(VLOOKUP($B318,Miljövärden!$B$3:$H$552,MATCH(E$2,Miljövärden!$B$2:$H$2,0),FALSE),"Saknas")</f>
        <v>Saknas</v>
      </c>
      <c r="F318" s="121" t="str">
        <f>IFERROR(VLOOKUP($B318,Miljövärden!$B$3:$H$552,MATCH(F$2,Miljövärden!$B$2:$H$2,0),FALSE),"Saknas")</f>
        <v>Saknas</v>
      </c>
      <c r="G318" s="121" t="str">
        <f>IFERROR(VLOOKUP($B318,Miljövärden!$B$3:$H$552,MATCH(G$2,Miljövärden!$B$2:$H$2,0),FALSE),"Nej, saknas")</f>
        <v>Nej, saknas</v>
      </c>
      <c r="H318" s="285" t="str">
        <f>IFERROR(VLOOKUP($B318,Miljövärden!$B$3:$H$552,MATCH(H$2,Miljövärden!$B$2:$H$2,0),FALSE),"Nej, saknas")</f>
        <v>Nej, saknas</v>
      </c>
      <c r="P318" s="121" t="str">
        <f t="shared" si="8"/>
        <v>nej</v>
      </c>
      <c r="R318" s="121">
        <f t="shared" si="9"/>
        <v>272</v>
      </c>
    </row>
    <row r="319" spans="1:18" x14ac:dyDescent="0.25">
      <c r="A319" s="137" t="s">
        <v>625</v>
      </c>
      <c r="B319" s="137" t="s">
        <v>626</v>
      </c>
      <c r="C319" s="121">
        <f>IFERROR(VLOOKUP($B319,Miljövärden!$B$3:$H$552,MATCH(C$2,Miljövärden!$B$2:$H$2,0),FALSE),"Saknas")</f>
        <v>0.19350200000000001</v>
      </c>
      <c r="D319" s="121">
        <f>IFERROR(VLOOKUP($B319,Miljövärden!$B$3:$H$552,MATCH(D$2,Miljövärden!$B$2:$H$2,0),FALSE),"Saknas")</f>
        <v>12.7163</v>
      </c>
      <c r="E319" s="121">
        <f>IFERROR(VLOOKUP($B319,Miljövärden!$B$3:$H$552,MATCH(E$2,Miljövärden!$B$2:$H$2,0),FALSE),"Saknas")</f>
        <v>17.8309</v>
      </c>
      <c r="F319" s="121">
        <f>IFERROR(VLOOKUP($B319,Miljövärden!$B$3:$H$552,MATCH(F$2,Miljövärden!$B$2:$H$2,0),FALSE),"Saknas")</f>
        <v>7.61373E-3</v>
      </c>
      <c r="G319" s="121" t="str">
        <f>IFERROR(VLOOKUP($B319,Miljövärden!$B$3:$H$552,MATCH(G$2,Miljövärden!$B$2:$H$2,0),FALSE),"Nej, saknas")</f>
        <v>Ja</v>
      </c>
      <c r="H319" s="285" t="str">
        <f>IFERROR(VLOOKUP($B319,Miljövärden!$B$3:$H$552,MATCH(H$2,Miljövärden!$B$2:$H$2,0),FALSE),"Nej, saknas")</f>
        <v>Ja</v>
      </c>
      <c r="P319" s="121" t="str">
        <f t="shared" si="8"/>
        <v>ja</v>
      </c>
      <c r="R319" s="121">
        <f t="shared" si="9"/>
        <v>273</v>
      </c>
    </row>
    <row r="320" spans="1:18" x14ac:dyDescent="0.25">
      <c r="A320" s="137" t="s">
        <v>625</v>
      </c>
      <c r="B320" s="137" t="s">
        <v>627</v>
      </c>
      <c r="C320" s="121">
        <f>IFERROR(VLOOKUP($B320,Miljövärden!$B$3:$H$552,MATCH(C$2,Miljövärden!$B$2:$H$2,0),FALSE),"Saknas")</f>
        <v>0.157773</v>
      </c>
      <c r="D320" s="121">
        <f>IFERROR(VLOOKUP($B320,Miljövärden!$B$3:$H$552,MATCH(D$2,Miljövärden!$B$2:$H$2,0),FALSE),"Saknas")</f>
        <v>11.669499999999999</v>
      </c>
      <c r="E320" s="121">
        <f>IFERROR(VLOOKUP($B320,Miljövärden!$B$3:$H$552,MATCH(E$2,Miljövärden!$B$2:$H$2,0),FALSE),"Saknas")</f>
        <v>15.390599999999999</v>
      </c>
      <c r="F320" s="121">
        <f>IFERROR(VLOOKUP($B320,Miljövärden!$B$3:$H$552,MATCH(F$2,Miljövärden!$B$2:$H$2,0),FALSE),"Saknas")</f>
        <v>6.4165400000000001E-3</v>
      </c>
      <c r="G320" s="121" t="str">
        <f>IFERROR(VLOOKUP($B320,Miljövärden!$B$3:$H$552,MATCH(G$2,Miljövärden!$B$2:$H$2,0),FALSE),"Nej, saknas")</f>
        <v>Ja</v>
      </c>
      <c r="H320" s="285" t="str">
        <f>IFERROR(VLOOKUP($B320,Miljövärden!$B$3:$H$552,MATCH(H$2,Miljövärden!$B$2:$H$2,0),FALSE),"Nej, saknas")</f>
        <v>Ja</v>
      </c>
      <c r="P320" s="121" t="str">
        <f t="shared" si="8"/>
        <v>ja</v>
      </c>
      <c r="R320" s="121">
        <f t="shared" si="9"/>
        <v>274</v>
      </c>
    </row>
    <row r="321" spans="1:18" x14ac:dyDescent="0.25">
      <c r="A321" s="137" t="s">
        <v>625</v>
      </c>
      <c r="B321" s="137" t="s">
        <v>628</v>
      </c>
      <c r="C321" s="121">
        <f>IFERROR(VLOOKUP($B321,Miljövärden!$B$3:$H$552,MATCH(C$2,Miljövärden!$B$2:$H$2,0),FALSE),"Saknas")</f>
        <v>0.224138</v>
      </c>
      <c r="D321" s="121">
        <f>IFERROR(VLOOKUP($B321,Miljövärden!$B$3:$H$552,MATCH(D$2,Miljövärden!$B$2:$H$2,0),FALSE),"Saknas")</f>
        <v>133.01900000000001</v>
      </c>
      <c r="E321" s="121">
        <f>IFERROR(VLOOKUP($B321,Miljövärden!$B$3:$H$552,MATCH(E$2,Miljövärden!$B$2:$H$2,0),FALSE),"Saknas")</f>
        <v>7.1558900000000003</v>
      </c>
      <c r="F321" s="121">
        <f>IFERROR(VLOOKUP($B321,Miljövärden!$B$3:$H$552,MATCH(F$2,Miljövärden!$B$2:$H$2,0),FALSE),"Saknas")</f>
        <v>1.5808900000000001E-2</v>
      </c>
      <c r="G321" s="121" t="str">
        <f>IFERROR(VLOOKUP($B321,Miljövärden!$B$3:$H$552,MATCH(G$2,Miljövärden!$B$2:$H$2,0),FALSE),"Nej, saknas")</f>
        <v>Ja</v>
      </c>
      <c r="H321" s="285" t="str">
        <f>IFERROR(VLOOKUP($B321,Miljövärden!$B$3:$H$552,MATCH(H$2,Miljövärden!$B$2:$H$2,0),FALSE),"Nej, saknas")</f>
        <v>Ja</v>
      </c>
      <c r="P321" s="121" t="str">
        <f t="shared" si="8"/>
        <v>ja</v>
      </c>
      <c r="R321" s="121">
        <f t="shared" si="9"/>
        <v>275</v>
      </c>
    </row>
    <row r="322" spans="1:18" x14ac:dyDescent="0.25">
      <c r="A322" s="137" t="s">
        <v>629</v>
      </c>
      <c r="B322" s="137" t="s">
        <v>630</v>
      </c>
      <c r="C322" s="121">
        <f>IFERROR(VLOOKUP($B322,Miljövärden!$B$3:$H$552,MATCH(C$2,Miljövärden!$B$2:$H$2,0),FALSE),"Saknas")</f>
        <v>0.22755500000000001</v>
      </c>
      <c r="D322" s="121">
        <f>IFERROR(VLOOKUP($B322,Miljövärden!$B$3:$H$552,MATCH(D$2,Miljövärden!$B$2:$H$2,0),FALSE),"Saknas")</f>
        <v>22.9343</v>
      </c>
      <c r="E322" s="121">
        <f>IFERROR(VLOOKUP($B322,Miljövärden!$B$3:$H$552,MATCH(E$2,Miljövärden!$B$2:$H$2,0),FALSE),"Saknas")</f>
        <v>18.678799999999999</v>
      </c>
      <c r="F322" s="121">
        <f>IFERROR(VLOOKUP($B322,Miljövärden!$B$3:$H$552,MATCH(F$2,Miljövärden!$B$2:$H$2,0),FALSE),"Saknas")</f>
        <v>4.0899999999999999E-2</v>
      </c>
      <c r="G322" s="121" t="str">
        <f>IFERROR(VLOOKUP($B322,Miljövärden!$B$3:$H$552,MATCH(G$2,Miljövärden!$B$2:$H$2,0),FALSE),"Nej, saknas")</f>
        <v>Ja</v>
      </c>
      <c r="H322" s="285" t="str">
        <f>IFERROR(VLOOKUP($B322,Miljövärden!$B$3:$H$552,MATCH(H$2,Miljövärden!$B$2:$H$2,0),FALSE),"Nej, saknas")</f>
        <v>Ja</v>
      </c>
      <c r="P322" s="121" t="str">
        <f t="shared" si="8"/>
        <v>ja</v>
      </c>
      <c r="R322" s="121">
        <f t="shared" si="9"/>
        <v>276</v>
      </c>
    </row>
    <row r="323" spans="1:18" x14ac:dyDescent="0.25">
      <c r="A323" s="137" t="s">
        <v>629</v>
      </c>
      <c r="B323" s="137" t="s">
        <v>631</v>
      </c>
      <c r="C323" s="121">
        <f>IFERROR(VLOOKUP($B323,Miljövärden!$B$3:$H$552,MATCH(C$2,Miljövärden!$B$2:$H$2,0),FALSE),"Saknas")</f>
        <v>0.18653500000000001</v>
      </c>
      <c r="D323" s="121">
        <f>IFERROR(VLOOKUP($B323,Miljövärden!$B$3:$H$552,MATCH(D$2,Miljövärden!$B$2:$H$2,0),FALSE),"Saknas")</f>
        <v>10.6312</v>
      </c>
      <c r="E323" s="121">
        <f>IFERROR(VLOOKUP($B323,Miljövärden!$B$3:$H$552,MATCH(E$2,Miljövärden!$B$2:$H$2,0),FALSE),"Saknas")</f>
        <v>19.153500000000001</v>
      </c>
      <c r="F323" s="121">
        <f>IFERROR(VLOOKUP($B323,Miljövärden!$B$3:$H$552,MATCH(F$2,Miljövärden!$B$2:$H$2,0),FALSE),"Saknas")</f>
        <v>4.8697100000000002E-3</v>
      </c>
      <c r="G323" s="121" t="str">
        <f>IFERROR(VLOOKUP($B323,Miljövärden!$B$3:$H$552,MATCH(G$2,Miljövärden!$B$2:$H$2,0),FALSE),"Nej, saknas")</f>
        <v>Ja</v>
      </c>
      <c r="H323" s="285" t="str">
        <f>IFERROR(VLOOKUP($B323,Miljövärden!$B$3:$H$552,MATCH(H$2,Miljövärden!$B$2:$H$2,0),FALSE),"Nej, saknas")</f>
        <v>Ja</v>
      </c>
      <c r="P323" s="121" t="str">
        <f t="shared" si="8"/>
        <v>ja</v>
      </c>
      <c r="R323" s="121">
        <f t="shared" si="9"/>
        <v>277</v>
      </c>
    </row>
    <row r="324" spans="1:18" x14ac:dyDescent="0.25">
      <c r="A324" s="137" t="s">
        <v>629</v>
      </c>
      <c r="B324" s="137" t="s">
        <v>632</v>
      </c>
      <c r="C324" s="121">
        <f>IFERROR(VLOOKUP($B324,Miljövärden!$B$3:$H$552,MATCH(C$2,Miljövärden!$B$2:$H$2,0),FALSE),"Saknas")</f>
        <v>5.9961899999999999E-2</v>
      </c>
      <c r="D324" s="121">
        <f>IFERROR(VLOOKUP($B324,Miljövärden!$B$3:$H$552,MATCH(D$2,Miljövärden!$B$2:$H$2,0),FALSE),"Saknas")</f>
        <v>8.7242899999999999</v>
      </c>
      <c r="E324" s="121">
        <f>IFERROR(VLOOKUP($B324,Miljövärden!$B$3:$H$552,MATCH(E$2,Miljövärden!$B$2:$H$2,0),FALSE),"Saknas")</f>
        <v>4.6688700000000001</v>
      </c>
      <c r="F324" s="121">
        <f>IFERROR(VLOOKUP($B324,Miljövärden!$B$3:$H$552,MATCH(F$2,Miljövärden!$B$2:$H$2,0),FALSE),"Saknas")</f>
        <v>1.1858499999999999E-2</v>
      </c>
      <c r="G324" s="121" t="str">
        <f>IFERROR(VLOOKUP($B324,Miljövärden!$B$3:$H$552,MATCH(G$2,Miljövärden!$B$2:$H$2,0),FALSE),"Nej, saknas")</f>
        <v>Ja</v>
      </c>
      <c r="H324" s="285" t="str">
        <f>IFERROR(VLOOKUP($B324,Miljövärden!$B$3:$H$552,MATCH(H$2,Miljövärden!$B$2:$H$2,0),FALSE),"Nej, saknas")</f>
        <v>Ja</v>
      </c>
      <c r="P324" s="121" t="str">
        <f t="shared" ref="P324:P387" si="10">IF(K324="x","nej",
IF(L324="x","ja",
IF(H324="ja","ja","nej")))</f>
        <v>ja</v>
      </c>
      <c r="R324" s="121">
        <f t="shared" ref="R324:R387" si="11">IF(ISERROR(P324),R323,IF(P324="ja",R323+1,R323))</f>
        <v>278</v>
      </c>
    </row>
    <row r="325" spans="1:18" x14ac:dyDescent="0.25">
      <c r="A325" s="137" t="s">
        <v>633</v>
      </c>
      <c r="B325" s="137" t="s">
        <v>634</v>
      </c>
      <c r="C325" s="121">
        <f>IFERROR(VLOOKUP($B325,Miljövärden!$B$3:$H$552,MATCH(C$2,Miljövärden!$B$2:$H$2,0),FALSE),"Saknas")</f>
        <v>0.37255500000000003</v>
      </c>
      <c r="D325" s="121">
        <f>IFERROR(VLOOKUP($B325,Miljövärden!$B$3:$H$552,MATCH(D$2,Miljövärden!$B$2:$H$2,0),FALSE),"Saknas")</f>
        <v>62.1646</v>
      </c>
      <c r="E325" s="121">
        <f>IFERROR(VLOOKUP($B325,Miljövärden!$B$3:$H$552,MATCH(E$2,Miljövärden!$B$2:$H$2,0),FALSE),"Saknas")</f>
        <v>18.5777</v>
      </c>
      <c r="F325" s="121">
        <f>IFERROR(VLOOKUP($B325,Miljövärden!$B$3:$H$552,MATCH(F$2,Miljövärden!$B$2:$H$2,0),FALSE),"Saknas")</f>
        <v>0.17496500000000001</v>
      </c>
      <c r="G325" s="121" t="str">
        <f>IFERROR(VLOOKUP($B325,Miljövärden!$B$3:$H$552,MATCH(G$2,Miljövärden!$B$2:$H$2,0),FALSE),"Nej, saknas")</f>
        <v>Ja</v>
      </c>
      <c r="H325" s="285" t="str">
        <f>IFERROR(VLOOKUP($B325,Miljövärden!$B$3:$H$552,MATCH(H$2,Miljövärden!$B$2:$H$2,0),FALSE),"Nej, saknas")</f>
        <v>Ja</v>
      </c>
      <c r="P325" s="121" t="str">
        <f t="shared" si="10"/>
        <v>ja</v>
      </c>
      <c r="R325" s="121">
        <f t="shared" si="11"/>
        <v>279</v>
      </c>
    </row>
    <row r="326" spans="1:18" x14ac:dyDescent="0.25">
      <c r="A326" s="137" t="s">
        <v>633</v>
      </c>
      <c r="B326" s="137" t="s">
        <v>635</v>
      </c>
      <c r="C326" s="121">
        <f>IFERROR(VLOOKUP($B326,Miljövärden!$B$3:$H$552,MATCH(C$2,Miljövärden!$B$2:$H$2,0),FALSE),"Saknas")</f>
        <v>0.20418600000000001</v>
      </c>
      <c r="D326" s="121">
        <f>IFERROR(VLOOKUP($B326,Miljövärden!$B$3:$H$552,MATCH(D$2,Miljövärden!$B$2:$H$2,0),FALSE),"Saknas")</f>
        <v>7.9332500000000001</v>
      </c>
      <c r="E326" s="121">
        <f>IFERROR(VLOOKUP($B326,Miljövärden!$B$3:$H$552,MATCH(E$2,Miljövärden!$B$2:$H$2,0),FALSE),"Saknas")</f>
        <v>19.587</v>
      </c>
      <c r="F326" s="121">
        <f>IFERROR(VLOOKUP($B326,Miljövärden!$B$3:$H$552,MATCH(F$2,Miljövärden!$B$2:$H$2,0),FALSE),"Saknas")</f>
        <v>2.8176999999999998E-3</v>
      </c>
      <c r="G326" s="121" t="str">
        <f>IFERROR(VLOOKUP($B326,Miljövärden!$B$3:$H$552,MATCH(G$2,Miljövärden!$B$2:$H$2,0),FALSE),"Nej, saknas")</f>
        <v>Ja</v>
      </c>
      <c r="H326" s="285" t="str">
        <f>IFERROR(VLOOKUP($B326,Miljövärden!$B$3:$H$552,MATCH(H$2,Miljövärden!$B$2:$H$2,0),FALSE),"Nej, saknas")</f>
        <v>Ja</v>
      </c>
      <c r="P326" s="121" t="str">
        <f t="shared" si="10"/>
        <v>ja</v>
      </c>
      <c r="R326" s="121">
        <f t="shared" si="11"/>
        <v>280</v>
      </c>
    </row>
    <row r="327" spans="1:18" x14ac:dyDescent="0.25">
      <c r="A327" s="137" t="s">
        <v>633</v>
      </c>
      <c r="B327" s="137" t="s">
        <v>636</v>
      </c>
      <c r="C327" s="121">
        <f>IFERROR(VLOOKUP($B327,Miljövärden!$B$3:$H$552,MATCH(C$2,Miljövärden!$B$2:$H$2,0),FALSE),"Saknas")</f>
        <v>0.105124</v>
      </c>
      <c r="D327" s="121">
        <f>IFERROR(VLOOKUP($B327,Miljövärden!$B$3:$H$552,MATCH(D$2,Miljövärden!$B$2:$H$2,0),FALSE),"Saknas")</f>
        <v>19.669699999999999</v>
      </c>
      <c r="E327" s="121">
        <f>IFERROR(VLOOKUP($B327,Miljövärden!$B$3:$H$552,MATCH(E$2,Miljövärden!$B$2:$H$2,0),FALSE),"Saknas")</f>
        <v>11.049799999999999</v>
      </c>
      <c r="F327" s="121">
        <f>IFERROR(VLOOKUP($B327,Miljövärden!$B$3:$H$552,MATCH(F$2,Miljövärden!$B$2:$H$2,0),FALSE),"Saknas")</f>
        <v>3.5133600000000001E-2</v>
      </c>
      <c r="G327" s="121" t="str">
        <f>IFERROR(VLOOKUP($B327,Miljövärden!$B$3:$H$552,MATCH(G$2,Miljövärden!$B$2:$H$2,0),FALSE),"Nej, saknas")</f>
        <v>Ja</v>
      </c>
      <c r="H327" s="285" t="str">
        <f>IFERROR(VLOOKUP($B327,Miljövärden!$B$3:$H$552,MATCH(H$2,Miljövärden!$B$2:$H$2,0),FALSE),"Nej, saknas")</f>
        <v>Ja</v>
      </c>
      <c r="P327" s="121" t="str">
        <f t="shared" si="10"/>
        <v>ja</v>
      </c>
      <c r="R327" s="121">
        <f t="shared" si="11"/>
        <v>281</v>
      </c>
    </row>
    <row r="328" spans="1:18" x14ac:dyDescent="0.25">
      <c r="A328" s="137" t="s">
        <v>633</v>
      </c>
      <c r="B328" s="137" t="s">
        <v>637</v>
      </c>
      <c r="C328" s="121">
        <f>IFERROR(VLOOKUP($B328,Miljövärden!$B$3:$H$552,MATCH(C$2,Miljövärden!$B$2:$H$2,0),FALSE),"Saknas")</f>
        <v>0.198881</v>
      </c>
      <c r="D328" s="121">
        <f>IFERROR(VLOOKUP($B328,Miljövärden!$B$3:$H$552,MATCH(D$2,Miljövärden!$B$2:$H$2,0),FALSE),"Saknas")</f>
        <v>74.049400000000006</v>
      </c>
      <c r="E328" s="121">
        <f>IFERROR(VLOOKUP($B328,Miljövärden!$B$3:$H$552,MATCH(E$2,Miljövärden!$B$2:$H$2,0),FALSE),"Saknas")</f>
        <v>6.3486000000000002</v>
      </c>
      <c r="F328" s="121">
        <f>IFERROR(VLOOKUP($B328,Miljövärden!$B$3:$H$552,MATCH(F$2,Miljövärden!$B$2:$H$2,0),FALSE),"Saknas")</f>
        <v>3.3022999999999997E-2</v>
      </c>
      <c r="G328" s="121" t="str">
        <f>IFERROR(VLOOKUP($B328,Miljövärden!$B$3:$H$552,MATCH(G$2,Miljövärden!$B$2:$H$2,0),FALSE),"Nej, saknas")</f>
        <v>Ja</v>
      </c>
      <c r="H328" s="285" t="str">
        <f>IFERROR(VLOOKUP($B328,Miljövärden!$B$3:$H$552,MATCH(H$2,Miljövärden!$B$2:$H$2,0),FALSE),"Nej, saknas")</f>
        <v>Ja</v>
      </c>
      <c r="P328" s="121" t="str">
        <f t="shared" si="10"/>
        <v>ja</v>
      </c>
      <c r="R328" s="121">
        <f t="shared" si="11"/>
        <v>282</v>
      </c>
    </row>
    <row r="329" spans="1:18" x14ac:dyDescent="0.25">
      <c r="A329" s="137" t="s">
        <v>638</v>
      </c>
      <c r="B329" s="137" t="s">
        <v>639</v>
      </c>
      <c r="C329" s="121">
        <f>IFERROR(VLOOKUP($B329,Miljövärden!$B$3:$H$552,MATCH(C$2,Miljövärden!$B$2:$H$2,0),FALSE),"Saknas")</f>
        <v>0.18293899999999999</v>
      </c>
      <c r="D329" s="121">
        <f>IFERROR(VLOOKUP($B329,Miljövärden!$B$3:$H$552,MATCH(D$2,Miljövärden!$B$2:$H$2,0),FALSE),"Saknas")</f>
        <v>30.517399999999999</v>
      </c>
      <c r="E329" s="121">
        <f>IFERROR(VLOOKUP($B329,Miljövärden!$B$3:$H$552,MATCH(E$2,Miljövärden!$B$2:$H$2,0),FALSE),"Saknas")</f>
        <v>13.86</v>
      </c>
      <c r="F329" s="121">
        <f>IFERROR(VLOOKUP($B329,Miljövärden!$B$3:$H$552,MATCH(F$2,Miljövärden!$B$2:$H$2,0),FALSE),"Saknas")</f>
        <v>2.8365600000000001E-2</v>
      </c>
      <c r="G329" s="121" t="str">
        <f>IFERROR(VLOOKUP($B329,Miljövärden!$B$3:$H$552,MATCH(G$2,Miljövärden!$B$2:$H$2,0),FALSE),"Nej, saknas")</f>
        <v>Ja</v>
      </c>
      <c r="H329" s="285" t="str">
        <f>IFERROR(VLOOKUP($B329,Miljövärden!$B$3:$H$552,MATCH(H$2,Miljövärden!$B$2:$H$2,0),FALSE),"Nej, saknas")</f>
        <v>Ja</v>
      </c>
      <c r="P329" s="121" t="str">
        <f t="shared" si="10"/>
        <v>ja</v>
      </c>
      <c r="R329" s="121">
        <f t="shared" si="11"/>
        <v>283</v>
      </c>
    </row>
    <row r="330" spans="1:18" x14ac:dyDescent="0.25">
      <c r="A330" s="137" t="s">
        <v>638</v>
      </c>
      <c r="B330" s="137" t="s">
        <v>641</v>
      </c>
      <c r="C330" s="121">
        <f>IFERROR(VLOOKUP($B330,Miljövärden!$B$3:$H$552,MATCH(C$2,Miljövärden!$B$2:$H$2,0),FALSE),"Saknas")</f>
        <v>0.115351</v>
      </c>
      <c r="D330" s="121">
        <f>IFERROR(VLOOKUP($B330,Miljövärden!$B$3:$H$552,MATCH(D$2,Miljövärden!$B$2:$H$2,0),FALSE),"Saknas")</f>
        <v>21.345500000000001</v>
      </c>
      <c r="E330" s="121">
        <f>IFERROR(VLOOKUP($B330,Miljövärden!$B$3:$H$552,MATCH(E$2,Miljövärden!$B$2:$H$2,0),FALSE),"Saknas")</f>
        <v>9.4928899999999992</v>
      </c>
      <c r="F330" s="121">
        <f>IFERROR(VLOOKUP($B330,Miljövärden!$B$3:$H$552,MATCH(F$2,Miljövärden!$B$2:$H$2,0),FALSE),"Saknas")</f>
        <v>1.11682E-2</v>
      </c>
      <c r="G330" s="121" t="str">
        <f>IFERROR(VLOOKUP($B330,Miljövärden!$B$3:$H$552,MATCH(G$2,Miljövärden!$B$2:$H$2,0),FALSE),"Nej, saknas")</f>
        <v>Ja</v>
      </c>
      <c r="H330" s="285" t="str">
        <f>IFERROR(VLOOKUP($B330,Miljövärden!$B$3:$H$552,MATCH(H$2,Miljövärden!$B$2:$H$2,0),FALSE),"Nej, saknas")</f>
        <v>Ja</v>
      </c>
      <c r="P330" s="121" t="str">
        <f t="shared" si="10"/>
        <v>ja</v>
      </c>
      <c r="R330" s="121">
        <f t="shared" si="11"/>
        <v>284</v>
      </c>
    </row>
    <row r="331" spans="1:18" x14ac:dyDescent="0.25">
      <c r="A331" s="137" t="s">
        <v>643</v>
      </c>
      <c r="B331" s="137" t="s">
        <v>644</v>
      </c>
      <c r="C331" s="121">
        <f>IFERROR(VLOOKUP($B331,Miljövärden!$B$3:$H$552,MATCH(C$2,Miljövärden!$B$2:$H$2,0),FALSE),"Saknas")</f>
        <v>4.3928599999999998E-2</v>
      </c>
      <c r="D331" s="121">
        <f>IFERROR(VLOOKUP($B331,Miljövärden!$B$3:$H$552,MATCH(D$2,Miljövärden!$B$2:$H$2,0),FALSE),"Saknas")</f>
        <v>5.6529199999999999</v>
      </c>
      <c r="E331" s="121">
        <f>IFERROR(VLOOKUP($B331,Miljövärden!$B$3:$H$552,MATCH(E$2,Miljövärden!$B$2:$H$2,0),FALSE),"Saknas")</f>
        <v>9.7940000000000005</v>
      </c>
      <c r="F331" s="121">
        <f>IFERROR(VLOOKUP($B331,Miljövärden!$B$3:$H$552,MATCH(F$2,Miljövärden!$B$2:$H$2,0),FALSE),"Saknas")</f>
        <v>1.55802E-4</v>
      </c>
      <c r="G331" s="121" t="str">
        <f>IFERROR(VLOOKUP($B331,Miljövärden!$B$3:$H$552,MATCH(G$2,Miljövärden!$B$2:$H$2,0),FALSE),"Nej, saknas")</f>
        <v>Ja</v>
      </c>
      <c r="H331" s="285" t="str">
        <f>IFERROR(VLOOKUP($B331,Miljövärden!$B$3:$H$552,MATCH(H$2,Miljövärden!$B$2:$H$2,0),FALSE),"Nej, saknas")</f>
        <v>Ja</v>
      </c>
      <c r="P331" s="121" t="str">
        <f t="shared" si="10"/>
        <v>ja</v>
      </c>
      <c r="R331" s="121">
        <f t="shared" si="11"/>
        <v>285</v>
      </c>
    </row>
    <row r="332" spans="1:18" x14ac:dyDescent="0.25">
      <c r="A332" s="137" t="s">
        <v>645</v>
      </c>
      <c r="B332" s="137" t="s">
        <v>646</v>
      </c>
      <c r="C332" s="121">
        <f>IFERROR(VLOOKUP($B332,Miljövärden!$B$3:$H$552,MATCH(C$2,Miljövärden!$B$2:$H$2,0),FALSE),"Saknas")</f>
        <v>0.18986500000000001</v>
      </c>
      <c r="D332" s="121">
        <f>IFERROR(VLOOKUP($B332,Miljövärden!$B$3:$H$552,MATCH(D$2,Miljövärden!$B$2:$H$2,0),FALSE),"Saknas")</f>
        <v>12.1409</v>
      </c>
      <c r="E332" s="121">
        <f>IFERROR(VLOOKUP($B332,Miljövärden!$B$3:$H$552,MATCH(E$2,Miljövärden!$B$2:$H$2,0),FALSE),"Saknas")</f>
        <v>19.261299999999999</v>
      </c>
      <c r="F332" s="121">
        <f>IFERROR(VLOOKUP($B332,Miljövärden!$B$3:$H$552,MATCH(F$2,Miljövärden!$B$2:$H$2,0),FALSE),"Saknas")</f>
        <v>1.83754E-2</v>
      </c>
      <c r="G332" s="121" t="str">
        <f>IFERROR(VLOOKUP($B332,Miljövärden!$B$3:$H$552,MATCH(G$2,Miljövärden!$B$2:$H$2,0),FALSE),"Nej, saknas")</f>
        <v>Ja</v>
      </c>
      <c r="H332" s="285" t="str">
        <f>IFERROR(VLOOKUP($B332,Miljövärden!$B$3:$H$552,MATCH(H$2,Miljövärden!$B$2:$H$2,0),FALSE),"Nej, saknas")</f>
        <v>Ja</v>
      </c>
      <c r="P332" s="121" t="str">
        <f t="shared" si="10"/>
        <v>ja</v>
      </c>
      <c r="R332" s="121">
        <f t="shared" si="11"/>
        <v>286</v>
      </c>
    </row>
    <row r="333" spans="1:18" x14ac:dyDescent="0.25">
      <c r="A333" s="137" t="s">
        <v>645</v>
      </c>
      <c r="B333" s="137" t="s">
        <v>647</v>
      </c>
      <c r="C333" s="121">
        <f>IFERROR(VLOOKUP($B333,Miljövärden!$B$3:$H$552,MATCH(C$2,Miljövärden!$B$2:$H$2,0),FALSE),"Saknas")</f>
        <v>1.7321E-2</v>
      </c>
      <c r="D333" s="121">
        <f>IFERROR(VLOOKUP($B333,Miljövärden!$B$3:$H$552,MATCH(D$2,Miljövärden!$B$2:$H$2,0),FALSE),"Saknas")</f>
        <v>0.88209400000000004</v>
      </c>
      <c r="E333" s="121">
        <f>IFERROR(VLOOKUP($B333,Miljövärden!$B$3:$H$552,MATCH(E$2,Miljövärden!$B$2:$H$2,0),FALSE),"Saknas")</f>
        <v>1.81012</v>
      </c>
      <c r="F333" s="121">
        <f>IFERROR(VLOOKUP($B333,Miljövärden!$B$3:$H$552,MATCH(F$2,Miljövärden!$B$2:$H$2,0),FALSE),"Saknas")</f>
        <v>0</v>
      </c>
      <c r="G333" s="121" t="str">
        <f>IFERROR(VLOOKUP($B333,Miljövärden!$B$3:$H$552,MATCH(G$2,Miljövärden!$B$2:$H$2,0),FALSE),"Nej, saknas")</f>
        <v>Ja</v>
      </c>
      <c r="H333" s="285" t="str">
        <f>IFERROR(VLOOKUP($B333,Miljövärden!$B$3:$H$552,MATCH(H$2,Miljövärden!$B$2:$H$2,0),FALSE),"Nej, saknas")</f>
        <v>Ja</v>
      </c>
      <c r="P333" s="121" t="str">
        <f t="shared" si="10"/>
        <v>ja</v>
      </c>
      <c r="R333" s="121">
        <f t="shared" si="11"/>
        <v>287</v>
      </c>
    </row>
    <row r="334" spans="1:18" x14ac:dyDescent="0.25">
      <c r="A334" s="137" t="s">
        <v>645</v>
      </c>
      <c r="B334" s="137" t="s">
        <v>648</v>
      </c>
      <c r="C334" s="121">
        <f>IFERROR(VLOOKUP($B334,Miljövärden!$B$3:$H$552,MATCH(C$2,Miljövärden!$B$2:$H$2,0),FALSE),"Saknas")</f>
        <v>0.44373600000000002</v>
      </c>
      <c r="D334" s="121">
        <f>IFERROR(VLOOKUP($B334,Miljövärden!$B$3:$H$552,MATCH(D$2,Miljövärden!$B$2:$H$2,0),FALSE),"Saknas")</f>
        <v>75.497100000000003</v>
      </c>
      <c r="E334" s="121">
        <f>IFERROR(VLOOKUP($B334,Miljövärden!$B$3:$H$552,MATCH(E$2,Miljövärden!$B$2:$H$2,0),FALSE),"Saknas")</f>
        <v>22.8292</v>
      </c>
      <c r="F334" s="121">
        <f>IFERROR(VLOOKUP($B334,Miljövärden!$B$3:$H$552,MATCH(F$2,Miljövärden!$B$2:$H$2,0),FALSE),"Saknas")</f>
        <v>0.175426</v>
      </c>
      <c r="G334" s="121" t="str">
        <f>IFERROR(VLOOKUP($B334,Miljövärden!$B$3:$H$552,MATCH(G$2,Miljövärden!$B$2:$H$2,0),FALSE),"Nej, saknas")</f>
        <v>Ja</v>
      </c>
      <c r="H334" s="285" t="str">
        <f>IFERROR(VLOOKUP($B334,Miljövärden!$B$3:$H$552,MATCH(H$2,Miljövärden!$B$2:$H$2,0),FALSE),"Nej, saknas")</f>
        <v>Ja</v>
      </c>
      <c r="P334" s="121" t="str">
        <f t="shared" si="10"/>
        <v>ja</v>
      </c>
      <c r="R334" s="121">
        <f t="shared" si="11"/>
        <v>288</v>
      </c>
    </row>
    <row r="335" spans="1:18" x14ac:dyDescent="0.25">
      <c r="A335" s="137" t="s">
        <v>649</v>
      </c>
      <c r="B335" s="137" t="s">
        <v>650</v>
      </c>
      <c r="C335" s="121">
        <f>IFERROR(VLOOKUP($B335,Miljövärden!$B$3:$H$552,MATCH(C$2,Miljövärden!$B$2:$H$2,0),FALSE),"Saknas")</f>
        <v>0.299539</v>
      </c>
      <c r="D335" s="121">
        <f>IFERROR(VLOOKUP($B335,Miljövärden!$B$3:$H$552,MATCH(D$2,Miljövärden!$B$2:$H$2,0),FALSE),"Saknas")</f>
        <v>16.079499999999999</v>
      </c>
      <c r="E335" s="121">
        <f>IFERROR(VLOOKUP($B335,Miljövärden!$B$3:$H$552,MATCH(E$2,Miljövärden!$B$2:$H$2,0),FALSE),"Saknas")</f>
        <v>13.7201</v>
      </c>
      <c r="F335" s="121">
        <f>IFERROR(VLOOKUP($B335,Miljövärden!$B$3:$H$552,MATCH(F$2,Miljövärden!$B$2:$H$2,0),FALSE),"Saknas")</f>
        <v>1.4806100000000001E-2</v>
      </c>
      <c r="G335" s="121" t="str">
        <f>IFERROR(VLOOKUP($B335,Miljövärden!$B$3:$H$552,MATCH(G$2,Miljövärden!$B$2:$H$2,0),FALSE),"Nej, saknas")</f>
        <v>Ja</v>
      </c>
      <c r="H335" s="285" t="str">
        <f>IFERROR(VLOOKUP($B335,Miljövärden!$B$3:$H$552,MATCH(H$2,Miljövärden!$B$2:$H$2,0),FALSE),"Nej, saknas")</f>
        <v>Ja</v>
      </c>
      <c r="P335" s="121" t="str">
        <f t="shared" si="10"/>
        <v>ja</v>
      </c>
      <c r="R335" s="121">
        <f t="shared" si="11"/>
        <v>289</v>
      </c>
    </row>
    <row r="336" spans="1:18" x14ac:dyDescent="0.25">
      <c r="A336" s="137" t="s">
        <v>649</v>
      </c>
      <c r="B336" s="137" t="s">
        <v>651</v>
      </c>
      <c r="C336" s="121">
        <f>IFERROR(VLOOKUP($B336,Miljövärden!$B$3:$H$552,MATCH(C$2,Miljövärden!$B$2:$H$2,0),FALSE),"Saknas")</f>
        <v>6.3138399999999997E-2</v>
      </c>
      <c r="D336" s="121">
        <f>IFERROR(VLOOKUP($B336,Miljövärden!$B$3:$H$552,MATCH(D$2,Miljövärden!$B$2:$H$2,0),FALSE),"Saknas")</f>
        <v>9.8184900000000006</v>
      </c>
      <c r="E336" s="121">
        <f>IFERROR(VLOOKUP($B336,Miljövärden!$B$3:$H$552,MATCH(E$2,Miljövärden!$B$2:$H$2,0),FALSE),"Saknas")</f>
        <v>10.0321</v>
      </c>
      <c r="F336" s="121">
        <f>IFERROR(VLOOKUP($B336,Miljövärden!$B$3:$H$552,MATCH(F$2,Miljövärden!$B$2:$H$2,0),FALSE),"Saknas")</f>
        <v>8.9267800000000005E-3</v>
      </c>
      <c r="G336" s="121" t="str">
        <f>IFERROR(VLOOKUP($B336,Miljövärden!$B$3:$H$552,MATCH(G$2,Miljövärden!$B$2:$H$2,0),FALSE),"Nej, saknas")</f>
        <v>Ja</v>
      </c>
      <c r="H336" s="285" t="str">
        <f>IFERROR(VLOOKUP($B336,Miljövärden!$B$3:$H$552,MATCH(H$2,Miljövärden!$B$2:$H$2,0),FALSE),"Nej, saknas")</f>
        <v>Ja</v>
      </c>
      <c r="P336" s="121" t="str">
        <f t="shared" si="10"/>
        <v>ja</v>
      </c>
      <c r="R336" s="121">
        <f t="shared" si="11"/>
        <v>290</v>
      </c>
    </row>
    <row r="337" spans="1:18" x14ac:dyDescent="0.25">
      <c r="A337" s="137" t="s">
        <v>649</v>
      </c>
      <c r="B337" s="137" t="s">
        <v>652</v>
      </c>
      <c r="C337" s="121">
        <f>IFERROR(VLOOKUP($B337,Miljövärden!$B$3:$H$552,MATCH(C$2,Miljövärden!$B$2:$H$2,0),FALSE),"Saknas")</f>
        <v>0.15110000000000001</v>
      </c>
      <c r="D337" s="121">
        <f>IFERROR(VLOOKUP($B337,Miljövärden!$B$3:$H$552,MATCH(D$2,Miljövärden!$B$2:$H$2,0),FALSE),"Saknas")</f>
        <v>25.114999999999998</v>
      </c>
      <c r="E337" s="121">
        <f>IFERROR(VLOOKUP($B337,Miljövärden!$B$3:$H$552,MATCH(E$2,Miljövärden!$B$2:$H$2,0),FALSE),"Saknas")</f>
        <v>9.0530399999999993</v>
      </c>
      <c r="F337" s="121">
        <f>IFERROR(VLOOKUP($B337,Miljövärden!$B$3:$H$552,MATCH(F$2,Miljövärden!$B$2:$H$2,0),FALSE),"Saknas")</f>
        <v>3.6664799999999997E-2</v>
      </c>
      <c r="G337" s="121" t="str">
        <f>IFERROR(VLOOKUP($B337,Miljövärden!$B$3:$H$552,MATCH(G$2,Miljövärden!$B$2:$H$2,0),FALSE),"Nej, saknas")</f>
        <v>Ja</v>
      </c>
      <c r="H337" s="285" t="str">
        <f>IFERROR(VLOOKUP($B337,Miljövärden!$B$3:$H$552,MATCH(H$2,Miljövärden!$B$2:$H$2,0),FALSE),"Nej, saknas")</f>
        <v>Ja</v>
      </c>
      <c r="P337" s="121" t="str">
        <f t="shared" si="10"/>
        <v>ja</v>
      </c>
      <c r="R337" s="121">
        <f t="shared" si="11"/>
        <v>291</v>
      </c>
    </row>
    <row r="338" spans="1:18" x14ac:dyDescent="0.25">
      <c r="A338" s="137" t="s">
        <v>649</v>
      </c>
      <c r="B338" s="137" t="s">
        <v>653</v>
      </c>
      <c r="C338" s="121">
        <f>IFERROR(VLOOKUP($B338,Miljövärden!$B$3:$H$552,MATCH(C$2,Miljövärden!$B$2:$H$2,0),FALSE),"Saknas")</f>
        <v>0.157994</v>
      </c>
      <c r="D338" s="121">
        <f>IFERROR(VLOOKUP($B338,Miljövärden!$B$3:$H$552,MATCH(D$2,Miljövärden!$B$2:$H$2,0),FALSE),"Saknas")</f>
        <v>10.122999999999999</v>
      </c>
      <c r="E338" s="121">
        <f>IFERROR(VLOOKUP($B338,Miljövärden!$B$3:$H$552,MATCH(E$2,Miljövärden!$B$2:$H$2,0),FALSE),"Saknas")</f>
        <v>15.0078</v>
      </c>
      <c r="F338" s="121">
        <f>IFERROR(VLOOKUP($B338,Miljövärden!$B$3:$H$552,MATCH(F$2,Miljövärden!$B$2:$H$2,0),FALSE),"Saknas")</f>
        <v>7.4714300000000003E-3</v>
      </c>
      <c r="G338" s="121" t="str">
        <f>IFERROR(VLOOKUP($B338,Miljövärden!$B$3:$H$552,MATCH(G$2,Miljövärden!$B$2:$H$2,0),FALSE),"Nej, saknas")</f>
        <v>Ja</v>
      </c>
      <c r="H338" s="285" t="str">
        <f>IFERROR(VLOOKUP($B338,Miljövärden!$B$3:$H$552,MATCH(H$2,Miljövärden!$B$2:$H$2,0),FALSE),"Nej, saknas")</f>
        <v>Ja</v>
      </c>
      <c r="P338" s="121" t="str">
        <f t="shared" si="10"/>
        <v>ja</v>
      </c>
      <c r="R338" s="121">
        <f t="shared" si="11"/>
        <v>292</v>
      </c>
    </row>
    <row r="339" spans="1:18" x14ac:dyDescent="0.25">
      <c r="A339" s="137" t="s">
        <v>649</v>
      </c>
      <c r="B339" s="137" t="s">
        <v>138</v>
      </c>
      <c r="C339" s="121">
        <f>IFERROR(VLOOKUP($B339,Miljövärden!$B$3:$H$552,MATCH(C$2,Miljövärden!$B$2:$H$2,0),FALSE),"Saknas")</f>
        <v>0</v>
      </c>
      <c r="D339" s="121">
        <f>IFERROR(VLOOKUP($B339,Miljövärden!$B$3:$H$552,MATCH(D$2,Miljövärden!$B$2:$H$2,0),FALSE),"Saknas")</f>
        <v>0</v>
      </c>
      <c r="E339" s="121">
        <f>IFERROR(VLOOKUP($B339,Miljövärden!$B$3:$H$552,MATCH(E$2,Miljövärden!$B$2:$H$2,0),FALSE),"Saknas")</f>
        <v>0</v>
      </c>
      <c r="F339" s="121">
        <f>IFERROR(VLOOKUP($B339,Miljövärden!$B$3:$H$552,MATCH(F$2,Miljövärden!$B$2:$H$2,0),FALSE),"Saknas")</f>
        <v>0</v>
      </c>
      <c r="G339" s="121" t="str">
        <f>IFERROR(VLOOKUP($B339,Miljövärden!$B$3:$H$552,MATCH(G$2,Miljövärden!$B$2:$H$2,0),FALSE),"Nej, saknas")</f>
        <v>Nej</v>
      </c>
      <c r="H339" s="285" t="str">
        <f>IFERROR(VLOOKUP($B339,Miljövärden!$B$3:$H$552,MATCH(H$2,Miljövärden!$B$2:$H$2,0),FALSE),"Nej, saknas")</f>
        <v>Nej</v>
      </c>
      <c r="P339" s="121" t="str">
        <f t="shared" si="10"/>
        <v>nej</v>
      </c>
      <c r="R339" s="121">
        <f t="shared" si="11"/>
        <v>292</v>
      </c>
    </row>
    <row r="340" spans="1:18" x14ac:dyDescent="0.25">
      <c r="A340" s="137" t="s">
        <v>654</v>
      </c>
      <c r="B340" s="137" t="s">
        <v>655</v>
      </c>
      <c r="C340" s="121">
        <f>IFERROR(VLOOKUP($B340,Miljövärden!$B$3:$H$552,MATCH(C$2,Miljövärden!$B$2:$H$2,0),FALSE),"Saknas")</f>
        <v>0.13369300000000001</v>
      </c>
      <c r="D340" s="121">
        <f>IFERROR(VLOOKUP($B340,Miljövärden!$B$3:$H$552,MATCH(D$2,Miljövärden!$B$2:$H$2,0),FALSE),"Saknas")</f>
        <v>13.060700000000001</v>
      </c>
      <c r="E340" s="121">
        <f>IFERROR(VLOOKUP($B340,Miljövärden!$B$3:$H$552,MATCH(E$2,Miljövärden!$B$2:$H$2,0),FALSE),"Saknas")</f>
        <v>8.0398499999999995</v>
      </c>
      <c r="F340" s="121">
        <f>IFERROR(VLOOKUP($B340,Miljövärden!$B$3:$H$552,MATCH(F$2,Miljövärden!$B$2:$H$2,0),FALSE),"Saknas")</f>
        <v>2.5090000000000001E-2</v>
      </c>
      <c r="G340" s="121" t="str">
        <f>IFERROR(VLOOKUP($B340,Miljövärden!$B$3:$H$552,MATCH(G$2,Miljövärden!$B$2:$H$2,0),FALSE),"Nej, saknas")</f>
        <v>Ja</v>
      </c>
      <c r="H340" s="285" t="str">
        <f>IFERROR(VLOOKUP($B340,Miljövärden!$B$3:$H$552,MATCH(H$2,Miljövärden!$B$2:$H$2,0),FALSE),"Nej, saknas")</f>
        <v>Ja</v>
      </c>
      <c r="P340" s="121" t="str">
        <f t="shared" si="10"/>
        <v>ja</v>
      </c>
      <c r="R340" s="121">
        <f t="shared" si="11"/>
        <v>293</v>
      </c>
    </row>
    <row r="341" spans="1:18" x14ac:dyDescent="0.25">
      <c r="A341" s="137" t="s">
        <v>654</v>
      </c>
      <c r="B341" s="137" t="s">
        <v>656</v>
      </c>
      <c r="C341" s="121">
        <f>IFERROR(VLOOKUP($B341,Miljövärden!$B$3:$H$552,MATCH(C$2,Miljövärden!$B$2:$H$2,0),FALSE),"Saknas")</f>
        <v>7.5997099999999998E-2</v>
      </c>
      <c r="D341" s="121">
        <f>IFERROR(VLOOKUP($B341,Miljövärden!$B$3:$H$552,MATCH(D$2,Miljövärden!$B$2:$H$2,0),FALSE),"Saknas")</f>
        <v>4.2380899999999997</v>
      </c>
      <c r="E341" s="121">
        <f>IFERROR(VLOOKUP($B341,Miljövärden!$B$3:$H$552,MATCH(E$2,Miljövärden!$B$2:$H$2,0),FALSE),"Saknas")</f>
        <v>6.9395899999999999</v>
      </c>
      <c r="F341" s="121">
        <f>IFERROR(VLOOKUP($B341,Miljövärden!$B$3:$H$552,MATCH(F$2,Miljövärden!$B$2:$H$2,0),FALSE),"Saknas")</f>
        <v>0</v>
      </c>
      <c r="G341" s="121" t="str">
        <f>IFERROR(VLOOKUP($B341,Miljövärden!$B$3:$H$552,MATCH(G$2,Miljövärden!$B$2:$H$2,0),FALSE),"Nej, saknas")</f>
        <v>Ja</v>
      </c>
      <c r="H341" s="285" t="str">
        <f>IFERROR(VLOOKUP($B341,Miljövärden!$B$3:$H$552,MATCH(H$2,Miljövärden!$B$2:$H$2,0),FALSE),"Nej, saknas")</f>
        <v>Ja</v>
      </c>
      <c r="P341" s="121" t="str">
        <f t="shared" si="10"/>
        <v>ja</v>
      </c>
      <c r="R341" s="121">
        <f t="shared" si="11"/>
        <v>294</v>
      </c>
    </row>
    <row r="342" spans="1:18" x14ac:dyDescent="0.25">
      <c r="A342" s="137" t="s">
        <v>654</v>
      </c>
      <c r="B342" s="137" t="s">
        <v>657</v>
      </c>
      <c r="C342" s="121">
        <f>IFERROR(VLOOKUP($B342,Miljövärden!$B$3:$H$552,MATCH(C$2,Miljövärden!$B$2:$H$2,0),FALSE),"Saknas")</f>
        <v>0.109828</v>
      </c>
      <c r="D342" s="121">
        <f>IFERROR(VLOOKUP($B342,Miljövärden!$B$3:$H$552,MATCH(D$2,Miljövärden!$B$2:$H$2,0),FALSE),"Saknas")</f>
        <v>3.1710099999999999</v>
      </c>
      <c r="E342" s="121">
        <f>IFERROR(VLOOKUP($B342,Miljövärden!$B$3:$H$552,MATCH(E$2,Miljövärden!$B$2:$H$2,0),FALSE),"Saknas")</f>
        <v>8.6828599999999998</v>
      </c>
      <c r="F342" s="121">
        <f>IFERROR(VLOOKUP($B342,Miljövärden!$B$3:$H$552,MATCH(F$2,Miljövärden!$B$2:$H$2,0),FALSE),"Saknas")</f>
        <v>1.3706100000000001E-4</v>
      </c>
      <c r="G342" s="121" t="str">
        <f>IFERROR(VLOOKUP($B342,Miljövärden!$B$3:$H$552,MATCH(G$2,Miljövärden!$B$2:$H$2,0),FALSE),"Nej, saknas")</f>
        <v>Ja</v>
      </c>
      <c r="H342" s="285" t="str">
        <f>IFERROR(VLOOKUP($B342,Miljövärden!$B$3:$H$552,MATCH(H$2,Miljövärden!$B$2:$H$2,0),FALSE),"Nej, saknas")</f>
        <v>Ja</v>
      </c>
      <c r="P342" s="121" t="str">
        <f t="shared" si="10"/>
        <v>ja</v>
      </c>
      <c r="R342" s="121">
        <f t="shared" si="11"/>
        <v>295</v>
      </c>
    </row>
    <row r="343" spans="1:18" x14ac:dyDescent="0.25">
      <c r="A343" s="137" t="s">
        <v>654</v>
      </c>
      <c r="B343" s="141" t="s">
        <v>11</v>
      </c>
      <c r="C343" s="121">
        <f>IFERROR(VLOOKUP($B343,Miljövärden!$B$3:$H$552,MATCH(C$2,Miljövärden!$B$2:$H$2,0),FALSE),"Saknas")</f>
        <v>0.177427</v>
      </c>
      <c r="D343" s="121">
        <f>IFERROR(VLOOKUP($B343,Miljövärden!$B$3:$H$552,MATCH(D$2,Miljövärden!$B$2:$H$2,0),FALSE),"Saknas")</f>
        <v>20.071000000000002</v>
      </c>
      <c r="E343" s="121">
        <f>IFERROR(VLOOKUP($B343,Miljövärden!$B$3:$H$552,MATCH(E$2,Miljövärden!$B$2:$H$2,0),FALSE),"Saknas")</f>
        <v>11.2987</v>
      </c>
      <c r="F343" s="121">
        <f>IFERROR(VLOOKUP($B343,Miljövärden!$B$3:$H$552,MATCH(F$2,Miljövärden!$B$2:$H$2,0),FALSE),"Saknas")</f>
        <v>3.4621499999999999E-2</v>
      </c>
      <c r="G343" s="121" t="str">
        <f>IFERROR(VLOOKUP($B343,Miljövärden!$B$3:$H$552,MATCH(G$2,Miljövärden!$B$2:$H$2,0),FALSE),"Nej, saknas")</f>
        <v>Ja</v>
      </c>
      <c r="H343" s="285" t="str">
        <f>IFERROR(VLOOKUP($B343,Miljövärden!$B$3:$H$552,MATCH(H$2,Miljövärden!$B$2:$H$2,0),FALSE),"Nej, saknas")</f>
        <v>Ja</v>
      </c>
      <c r="P343" s="121" t="str">
        <f t="shared" si="10"/>
        <v>ja</v>
      </c>
      <c r="R343" s="121">
        <f t="shared" si="11"/>
        <v>296</v>
      </c>
    </row>
    <row r="344" spans="1:18" x14ac:dyDescent="0.25">
      <c r="A344" s="137" t="s">
        <v>654</v>
      </c>
      <c r="B344" s="137" t="s">
        <v>658</v>
      </c>
      <c r="C344" s="121">
        <f>IFERROR(VLOOKUP($B344,Miljövärden!$B$3:$H$552,MATCH(C$2,Miljövärden!$B$2:$H$2,0),FALSE),"Saknas")</f>
        <v>7.1760500000000005E-2</v>
      </c>
      <c r="D344" s="121">
        <f>IFERROR(VLOOKUP($B344,Miljövärden!$B$3:$H$552,MATCH(D$2,Miljövärden!$B$2:$H$2,0),FALSE),"Saknas")</f>
        <v>13.4047</v>
      </c>
      <c r="E344" s="121">
        <f>IFERROR(VLOOKUP($B344,Miljövärden!$B$3:$H$552,MATCH(E$2,Miljövärden!$B$2:$H$2,0),FALSE),"Saknas")</f>
        <v>8.3444900000000004</v>
      </c>
      <c r="F344" s="121">
        <f>IFERROR(VLOOKUP($B344,Miljövärden!$B$3:$H$552,MATCH(F$2,Miljövärden!$B$2:$H$2,0),FALSE),"Saknas")</f>
        <v>2.3621900000000001E-2</v>
      </c>
      <c r="G344" s="121" t="str">
        <f>IFERROR(VLOOKUP($B344,Miljövärden!$B$3:$H$552,MATCH(G$2,Miljövärden!$B$2:$H$2,0),FALSE),"Nej, saknas")</f>
        <v>Ja</v>
      </c>
      <c r="H344" s="285" t="str">
        <f>IFERROR(VLOOKUP($B344,Miljövärden!$B$3:$H$552,MATCH(H$2,Miljövärden!$B$2:$H$2,0),FALSE),"Nej, saknas")</f>
        <v>Ja</v>
      </c>
      <c r="P344" s="121" t="str">
        <f t="shared" si="10"/>
        <v>ja</v>
      </c>
      <c r="R344" s="121">
        <f t="shared" si="11"/>
        <v>297</v>
      </c>
    </row>
    <row r="345" spans="1:18" x14ac:dyDescent="0.25">
      <c r="A345" s="137" t="s">
        <v>654</v>
      </c>
      <c r="B345" s="137" t="s">
        <v>659</v>
      </c>
      <c r="C345" s="121">
        <f>IFERROR(VLOOKUP($B345,Miljövärden!$B$3:$H$552,MATCH(C$2,Miljövärden!$B$2:$H$2,0),FALSE),"Saknas")</f>
        <v>7.7673099999999995E-2</v>
      </c>
      <c r="D345" s="121">
        <f>IFERROR(VLOOKUP($B345,Miljövärden!$B$3:$H$552,MATCH(D$2,Miljövärden!$B$2:$H$2,0),FALSE),"Saknas")</f>
        <v>12.560499999999999</v>
      </c>
      <c r="E345" s="121">
        <f>IFERROR(VLOOKUP($B345,Miljövärden!$B$3:$H$552,MATCH(E$2,Miljövärden!$B$2:$H$2,0),FALSE),"Saknas")</f>
        <v>4.2868300000000001</v>
      </c>
      <c r="F345" s="121">
        <f>IFERROR(VLOOKUP($B345,Miljövärden!$B$3:$H$552,MATCH(F$2,Miljövärden!$B$2:$H$2,0),FALSE),"Saknas")</f>
        <v>5.7934300000000001E-2</v>
      </c>
      <c r="G345" s="121" t="str">
        <f>IFERROR(VLOOKUP($B345,Miljövärden!$B$3:$H$552,MATCH(G$2,Miljövärden!$B$2:$H$2,0),FALSE),"Nej, saknas")</f>
        <v>Ja</v>
      </c>
      <c r="H345" s="285" t="str">
        <f>IFERROR(VLOOKUP($B345,Miljövärden!$B$3:$H$552,MATCH(H$2,Miljövärden!$B$2:$H$2,0),FALSE),"Nej, saknas")</f>
        <v>Ja</v>
      </c>
      <c r="P345" s="121" t="str">
        <f t="shared" si="10"/>
        <v>ja</v>
      </c>
      <c r="R345" s="121">
        <f t="shared" si="11"/>
        <v>298</v>
      </c>
    </row>
    <row r="346" spans="1:18" x14ac:dyDescent="0.25">
      <c r="A346" s="137" t="s">
        <v>654</v>
      </c>
      <c r="B346" s="137" t="s">
        <v>660</v>
      </c>
      <c r="C346" s="121">
        <f>IFERROR(VLOOKUP($B346,Miljövärden!$B$3:$H$552,MATCH(C$2,Miljövärden!$B$2:$H$2,0),FALSE),"Saknas")</f>
        <v>7.9901100000000003E-2</v>
      </c>
      <c r="D346" s="121">
        <f>IFERROR(VLOOKUP($B346,Miljövärden!$B$3:$H$552,MATCH(D$2,Miljövärden!$B$2:$H$2,0),FALSE),"Saknas")</f>
        <v>1.0905800000000001</v>
      </c>
      <c r="E346" s="121">
        <f>IFERROR(VLOOKUP($B346,Miljövärden!$B$3:$H$552,MATCH(E$2,Miljövärden!$B$2:$H$2,0),FALSE),"Saknas")</f>
        <v>4.3585099999999999</v>
      </c>
      <c r="F346" s="121">
        <f>IFERROR(VLOOKUP($B346,Miljövärden!$B$3:$H$552,MATCH(F$2,Miljövärden!$B$2:$H$2,0),FALSE),"Saknas")</f>
        <v>0</v>
      </c>
      <c r="G346" s="121" t="str">
        <f>IFERROR(VLOOKUP($B346,Miljövärden!$B$3:$H$552,MATCH(G$2,Miljövärden!$B$2:$H$2,0),FALSE),"Nej, saknas")</f>
        <v>Ja</v>
      </c>
      <c r="H346" s="285" t="str">
        <f>IFERROR(VLOOKUP($B346,Miljövärden!$B$3:$H$552,MATCH(H$2,Miljövärden!$B$2:$H$2,0),FALSE),"Nej, saknas")</f>
        <v>Ja</v>
      </c>
      <c r="P346" s="121" t="str">
        <f t="shared" si="10"/>
        <v>ja</v>
      </c>
      <c r="R346" s="121">
        <f t="shared" si="11"/>
        <v>299</v>
      </c>
    </row>
    <row r="347" spans="1:18" x14ac:dyDescent="0.25">
      <c r="A347" s="137" t="s">
        <v>654</v>
      </c>
      <c r="B347" s="137" t="s">
        <v>661</v>
      </c>
      <c r="C347" s="121">
        <f>IFERROR(VLOOKUP($B347,Miljövärden!$B$3:$H$552,MATCH(C$2,Miljövärden!$B$2:$H$2,0),FALSE),"Saknas")</f>
        <v>0.22966300000000001</v>
      </c>
      <c r="D347" s="121">
        <f>IFERROR(VLOOKUP($B347,Miljövärden!$B$3:$H$552,MATCH(D$2,Miljövärden!$B$2:$H$2,0),FALSE),"Saknas")</f>
        <v>10.8682</v>
      </c>
      <c r="E347" s="121">
        <f>IFERROR(VLOOKUP($B347,Miljövärden!$B$3:$H$552,MATCH(E$2,Miljövärden!$B$2:$H$2,0),FALSE),"Saknas")</f>
        <v>23.953900000000001</v>
      </c>
      <c r="F347" s="121">
        <f>IFERROR(VLOOKUP($B347,Miljövärden!$B$3:$H$552,MATCH(F$2,Miljövärden!$B$2:$H$2,0),FALSE),"Saknas")</f>
        <v>8.9567099999999997E-3</v>
      </c>
      <c r="G347" s="121" t="str">
        <f>IFERROR(VLOOKUP($B347,Miljövärden!$B$3:$H$552,MATCH(G$2,Miljövärden!$B$2:$H$2,0),FALSE),"Nej, saknas")</f>
        <v>Ja</v>
      </c>
      <c r="H347" s="285" t="str">
        <f>IFERROR(VLOOKUP($B347,Miljövärden!$B$3:$H$552,MATCH(H$2,Miljövärden!$B$2:$H$2,0),FALSE),"Nej, saknas")</f>
        <v>Ja</v>
      </c>
      <c r="P347" s="121" t="str">
        <f t="shared" si="10"/>
        <v>ja</v>
      </c>
      <c r="R347" s="121">
        <f t="shared" si="11"/>
        <v>300</v>
      </c>
    </row>
    <row r="348" spans="1:18" x14ac:dyDescent="0.25">
      <c r="A348" s="137" t="s">
        <v>654</v>
      </c>
      <c r="B348" s="137" t="s">
        <v>662</v>
      </c>
      <c r="C348" s="121">
        <f>IFERROR(VLOOKUP($B348,Miljövärden!$B$3:$H$552,MATCH(C$2,Miljövärden!$B$2:$H$2,0),FALSE),"Saknas")</f>
        <v>0.53025299999999997</v>
      </c>
      <c r="D348" s="121">
        <f>IFERROR(VLOOKUP($B348,Miljövärden!$B$3:$H$552,MATCH(D$2,Miljövärden!$B$2:$H$2,0),FALSE),"Saknas")</f>
        <v>224.70599999999999</v>
      </c>
      <c r="E348" s="121">
        <f>IFERROR(VLOOKUP($B348,Miljövärden!$B$3:$H$552,MATCH(E$2,Miljövärden!$B$2:$H$2,0),FALSE),"Saknas")</f>
        <v>14.6374</v>
      </c>
      <c r="F348" s="121">
        <f>IFERROR(VLOOKUP($B348,Miljövärden!$B$3:$H$552,MATCH(F$2,Miljövärden!$B$2:$H$2,0),FALSE),"Saknas")</f>
        <v>2.9853299999999999E-2</v>
      </c>
      <c r="G348" s="121" t="str">
        <f>IFERROR(VLOOKUP($B348,Miljövärden!$B$3:$H$552,MATCH(G$2,Miljövärden!$B$2:$H$2,0),FALSE),"Nej, saknas")</f>
        <v>Ja</v>
      </c>
      <c r="H348" s="285" t="str">
        <f>IFERROR(VLOOKUP($B348,Miljövärden!$B$3:$H$552,MATCH(H$2,Miljövärden!$B$2:$H$2,0),FALSE),"Nej, saknas")</f>
        <v>Ja</v>
      </c>
      <c r="P348" s="121" t="str">
        <f t="shared" si="10"/>
        <v>ja</v>
      </c>
      <c r="R348" s="121">
        <f t="shared" si="11"/>
        <v>301</v>
      </c>
    </row>
    <row r="349" spans="1:18" x14ac:dyDescent="0.25">
      <c r="A349" s="137" t="s">
        <v>654</v>
      </c>
      <c r="B349" s="137" t="s">
        <v>663</v>
      </c>
      <c r="C349" s="121">
        <f>IFERROR(VLOOKUP($B349,Miljövärden!$B$3:$H$552,MATCH(C$2,Miljövärden!$B$2:$H$2,0),FALSE),"Saknas")</f>
        <v>2.4651800000000001E-2</v>
      </c>
      <c r="D349" s="121">
        <f>IFERROR(VLOOKUP($B349,Miljövärden!$B$3:$H$552,MATCH(D$2,Miljövärden!$B$2:$H$2,0),FALSE),"Saknas")</f>
        <v>0.40868900000000002</v>
      </c>
      <c r="E349" s="121">
        <f>IFERROR(VLOOKUP($B349,Miljövärden!$B$3:$H$552,MATCH(E$2,Miljövärden!$B$2:$H$2,0),FALSE),"Saknas")</f>
        <v>0.85931199999999996</v>
      </c>
      <c r="F349" s="121">
        <f>IFERROR(VLOOKUP($B349,Miljövärden!$B$3:$H$552,MATCH(F$2,Miljövärden!$B$2:$H$2,0),FALSE),"Saknas")</f>
        <v>6.4683099999999995E-4</v>
      </c>
      <c r="G349" s="121" t="str">
        <f>IFERROR(VLOOKUP($B349,Miljövärden!$B$3:$H$552,MATCH(G$2,Miljövärden!$B$2:$H$2,0),FALSE),"Nej, saknas")</f>
        <v>Ja</v>
      </c>
      <c r="H349" s="285" t="str">
        <f>IFERROR(VLOOKUP($B349,Miljövärden!$B$3:$H$552,MATCH(H$2,Miljövärden!$B$2:$H$2,0),FALSE),"Nej, saknas")</f>
        <v>Ja</v>
      </c>
      <c r="P349" s="121" t="str">
        <f t="shared" si="10"/>
        <v>ja</v>
      </c>
      <c r="R349" s="121">
        <f t="shared" si="11"/>
        <v>302</v>
      </c>
    </row>
    <row r="350" spans="1:18" x14ac:dyDescent="0.25">
      <c r="A350" s="137" t="s">
        <v>7</v>
      </c>
      <c r="B350" s="137" t="s">
        <v>664</v>
      </c>
      <c r="C350" s="121">
        <f>IFERROR(VLOOKUP($B350,Miljövärden!$B$3:$H$552,MATCH(C$2,Miljövärden!$B$2:$H$2,0),FALSE),"Saknas")</f>
        <v>0.315745</v>
      </c>
      <c r="D350" s="121">
        <f>IFERROR(VLOOKUP($B350,Miljövärden!$B$3:$H$552,MATCH(D$2,Miljövärden!$B$2:$H$2,0),FALSE),"Saknas")</f>
        <v>41.607100000000003</v>
      </c>
      <c r="E350" s="121">
        <f>IFERROR(VLOOKUP($B350,Miljövärden!$B$3:$H$552,MATCH(E$2,Miljövärden!$B$2:$H$2,0),FALSE),"Saknas")</f>
        <v>21.418199999999999</v>
      </c>
      <c r="F350" s="121">
        <f>IFERROR(VLOOKUP($B350,Miljövärden!$B$3:$H$552,MATCH(F$2,Miljövärden!$B$2:$H$2,0),FALSE),"Saknas")</f>
        <v>8.1250000000000003E-2</v>
      </c>
      <c r="G350" s="121" t="str">
        <f>IFERROR(VLOOKUP($B350,Miljövärden!$B$3:$H$552,MATCH(G$2,Miljövärden!$B$2:$H$2,0),FALSE),"Nej, saknas")</f>
        <v>Nej</v>
      </c>
      <c r="H350" s="285" t="str">
        <f>IFERROR(VLOOKUP($B350,Miljövärden!$B$3:$H$552,MATCH(H$2,Miljövärden!$B$2:$H$2,0),FALSE),"Nej, saknas")</f>
        <v>Ja</v>
      </c>
      <c r="P350" s="121" t="str">
        <f t="shared" si="10"/>
        <v>ja</v>
      </c>
      <c r="R350" s="121">
        <f t="shared" si="11"/>
        <v>303</v>
      </c>
    </row>
    <row r="351" spans="1:18" x14ac:dyDescent="0.25">
      <c r="A351" s="137" t="s">
        <v>7</v>
      </c>
      <c r="B351" s="137" t="s">
        <v>8</v>
      </c>
      <c r="C351" s="121" t="str">
        <f>IFERROR(VLOOKUP($B351,Miljövärden!$B$3:$H$552,MATCH(C$2,Miljövärden!$B$2:$H$2,0),FALSE),"Saknas")</f>
        <v/>
      </c>
      <c r="D351" s="121" t="str">
        <f>IFERROR(VLOOKUP($B351,Miljövärden!$B$3:$H$552,MATCH(D$2,Miljövärden!$B$2:$H$2,0),FALSE),"Saknas")</f>
        <v/>
      </c>
      <c r="E351" s="121" t="str">
        <f>IFERROR(VLOOKUP($B351,Miljövärden!$B$3:$H$552,MATCH(E$2,Miljövärden!$B$2:$H$2,0),FALSE),"Saknas")</f>
        <v/>
      </c>
      <c r="F351" s="121" t="str">
        <f>IFERROR(VLOOKUP($B351,Miljövärden!$B$3:$H$552,MATCH(F$2,Miljövärden!$B$2:$H$2,0),FALSE),"Saknas")</f>
        <v/>
      </c>
      <c r="G351" s="121" t="str">
        <f>IFERROR(VLOOKUP($B351,Miljövärden!$B$3:$H$552,MATCH(G$2,Miljövärden!$B$2:$H$2,0),FALSE),"Nej, saknas")</f>
        <v>Nej</v>
      </c>
      <c r="H351" s="285" t="str">
        <f>IFERROR(VLOOKUP($B351,Miljövärden!$B$3:$H$552,MATCH(H$2,Miljövärden!$B$2:$H$2,0),FALSE),"Nej, saknas")</f>
        <v>Nej</v>
      </c>
      <c r="P351" s="121" t="str">
        <f t="shared" si="10"/>
        <v>nej</v>
      </c>
      <c r="R351" s="121">
        <f t="shared" si="11"/>
        <v>303</v>
      </c>
    </row>
    <row r="352" spans="1:18" x14ac:dyDescent="0.25">
      <c r="A352" s="137" t="s">
        <v>665</v>
      </c>
      <c r="B352" s="137" t="s">
        <v>666</v>
      </c>
      <c r="C352" s="121">
        <f>IFERROR(VLOOKUP($B352,Miljövärden!$B$3:$H$552,MATCH(C$2,Miljövärden!$B$2:$H$2,0),FALSE),"Saknas")</f>
        <v>0.11104600000000001</v>
      </c>
      <c r="D352" s="121">
        <f>IFERROR(VLOOKUP($B352,Miljövärden!$B$3:$H$552,MATCH(D$2,Miljövärden!$B$2:$H$2,0),FALSE),"Saknas")</f>
        <v>15.4818</v>
      </c>
      <c r="E352" s="121">
        <f>IFERROR(VLOOKUP($B352,Miljövärden!$B$3:$H$552,MATCH(E$2,Miljövärden!$B$2:$H$2,0),FALSE),"Saknas")</f>
        <v>9.8106600000000004</v>
      </c>
      <c r="F352" s="121">
        <f>IFERROR(VLOOKUP($B352,Miljövärden!$B$3:$H$552,MATCH(F$2,Miljövärden!$B$2:$H$2,0),FALSE),"Saknas")</f>
        <v>9.0113899999999993E-3</v>
      </c>
      <c r="G352" s="121" t="str">
        <f>IFERROR(VLOOKUP($B352,Miljövärden!$B$3:$H$552,MATCH(G$2,Miljövärden!$B$2:$H$2,0),FALSE),"Nej, saknas")</f>
        <v>Nej</v>
      </c>
      <c r="H352" s="285" t="str">
        <f>IFERROR(VLOOKUP($B352,Miljövärden!$B$3:$H$552,MATCH(H$2,Miljövärden!$B$2:$H$2,0),FALSE),"Nej, saknas")</f>
        <v>Ja</v>
      </c>
      <c r="P352" s="121" t="str">
        <f t="shared" si="10"/>
        <v>ja</v>
      </c>
      <c r="R352" s="121">
        <f t="shared" si="11"/>
        <v>304</v>
      </c>
    </row>
    <row r="353" spans="1:18" x14ac:dyDescent="0.25">
      <c r="A353" s="137" t="s">
        <v>665</v>
      </c>
      <c r="B353" s="137" t="s">
        <v>667</v>
      </c>
      <c r="C353" s="121">
        <f>IFERROR(VLOOKUP($B353,Miljövärden!$B$3:$H$552,MATCH(C$2,Miljövärden!$B$2:$H$2,0),FALSE),"Saknas")</f>
        <v>7.4426099999999995E-2</v>
      </c>
      <c r="D353" s="121">
        <f>IFERROR(VLOOKUP($B353,Miljövärden!$B$3:$H$552,MATCH(D$2,Miljövärden!$B$2:$H$2,0),FALSE),"Saknas")</f>
        <v>5.65787</v>
      </c>
      <c r="E353" s="121">
        <f>IFERROR(VLOOKUP($B353,Miljövärden!$B$3:$H$552,MATCH(E$2,Miljövärden!$B$2:$H$2,0),FALSE),"Saknas")</f>
        <v>10.1234</v>
      </c>
      <c r="F353" s="121">
        <f>IFERROR(VLOOKUP($B353,Miljövärden!$B$3:$H$552,MATCH(F$2,Miljövärden!$B$2:$H$2,0),FALSE),"Saknas")</f>
        <v>0</v>
      </c>
      <c r="G353" s="121" t="str">
        <f>IFERROR(VLOOKUP($B353,Miljövärden!$B$3:$H$552,MATCH(G$2,Miljövärden!$B$2:$H$2,0),FALSE),"Nej, saknas")</f>
        <v>Nej</v>
      </c>
      <c r="H353" s="285" t="str">
        <f>IFERROR(VLOOKUP($B353,Miljövärden!$B$3:$H$552,MATCH(H$2,Miljövärden!$B$2:$H$2,0),FALSE),"Nej, saknas")</f>
        <v>Ja</v>
      </c>
      <c r="P353" s="121" t="str">
        <f t="shared" si="10"/>
        <v>ja</v>
      </c>
      <c r="R353" s="121">
        <f t="shared" si="11"/>
        <v>305</v>
      </c>
    </row>
    <row r="354" spans="1:18" x14ac:dyDescent="0.25">
      <c r="A354" s="137" t="s">
        <v>665</v>
      </c>
      <c r="B354" s="137" t="s">
        <v>668</v>
      </c>
      <c r="C354" s="121">
        <f>IFERROR(VLOOKUP($B354,Miljövärden!$B$3:$H$552,MATCH(C$2,Miljövärden!$B$2:$H$2,0),FALSE),"Saknas")</f>
        <v>7.0669399999999993E-2</v>
      </c>
      <c r="D354" s="121">
        <f>IFERROR(VLOOKUP($B354,Miljövärden!$B$3:$H$552,MATCH(D$2,Miljövärden!$B$2:$H$2,0),FALSE),"Saknas")</f>
        <v>5.9091699999999996</v>
      </c>
      <c r="E354" s="121">
        <f>IFERROR(VLOOKUP($B354,Miljövärden!$B$3:$H$552,MATCH(E$2,Miljövärden!$B$2:$H$2,0),FALSE),"Saknas")</f>
        <v>10.4245</v>
      </c>
      <c r="F354" s="121">
        <f>IFERROR(VLOOKUP($B354,Miljövärden!$B$3:$H$552,MATCH(F$2,Miljövärden!$B$2:$H$2,0),FALSE),"Saknas")</f>
        <v>0</v>
      </c>
      <c r="G354" s="121" t="str">
        <f>IFERROR(VLOOKUP($B354,Miljövärden!$B$3:$H$552,MATCH(G$2,Miljövärden!$B$2:$H$2,0),FALSE),"Nej, saknas")</f>
        <v>Nej</v>
      </c>
      <c r="H354" s="285" t="str">
        <f>IFERROR(VLOOKUP($B354,Miljövärden!$B$3:$H$552,MATCH(H$2,Miljövärden!$B$2:$H$2,0),FALSE),"Nej, saknas")</f>
        <v>Ja</v>
      </c>
      <c r="P354" s="121" t="str">
        <f t="shared" si="10"/>
        <v>ja</v>
      </c>
      <c r="R354" s="121">
        <f t="shared" si="11"/>
        <v>306</v>
      </c>
    </row>
    <row r="355" spans="1:18" x14ac:dyDescent="0.25">
      <c r="A355" s="137" t="s">
        <v>665</v>
      </c>
      <c r="B355" s="137" t="s">
        <v>669</v>
      </c>
      <c r="C355" s="121">
        <f>IFERROR(VLOOKUP($B355,Miljövärden!$B$3:$H$552,MATCH(C$2,Miljövärden!$B$2:$H$2,0),FALSE),"Saknas")</f>
        <v>6.1473600000000003E-2</v>
      </c>
      <c r="D355" s="121">
        <f>IFERROR(VLOOKUP($B355,Miljövärden!$B$3:$H$552,MATCH(D$2,Miljövärden!$B$2:$H$2,0),FALSE),"Saknas")</f>
        <v>5.1674600000000002</v>
      </c>
      <c r="E355" s="121">
        <f>IFERROR(VLOOKUP($B355,Miljövärden!$B$3:$H$552,MATCH(E$2,Miljövärden!$B$2:$H$2,0),FALSE),"Saknas")</f>
        <v>9.1863100000000006</v>
      </c>
      <c r="F355" s="121">
        <f>IFERROR(VLOOKUP($B355,Miljövärden!$B$3:$H$552,MATCH(F$2,Miljövärden!$B$2:$H$2,0),FALSE),"Saknas")</f>
        <v>0</v>
      </c>
      <c r="G355" s="121" t="str">
        <f>IFERROR(VLOOKUP($B355,Miljövärden!$B$3:$H$552,MATCH(G$2,Miljövärden!$B$2:$H$2,0),FALSE),"Nej, saknas")</f>
        <v>Nej</v>
      </c>
      <c r="H355" s="285" t="str">
        <f>IFERROR(VLOOKUP($B355,Miljövärden!$B$3:$H$552,MATCH(H$2,Miljövärden!$B$2:$H$2,0),FALSE),"Nej, saknas")</f>
        <v>Ja</v>
      </c>
      <c r="P355" s="121" t="str">
        <f t="shared" si="10"/>
        <v>ja</v>
      </c>
      <c r="R355" s="121">
        <f t="shared" si="11"/>
        <v>307</v>
      </c>
    </row>
    <row r="356" spans="1:18" x14ac:dyDescent="0.25">
      <c r="A356" s="137" t="s">
        <v>665</v>
      </c>
      <c r="B356" s="137" t="s">
        <v>670</v>
      </c>
      <c r="C356" s="121">
        <f>IFERROR(VLOOKUP($B356,Miljövärden!$B$3:$H$552,MATCH(C$2,Miljövärden!$B$2:$H$2,0),FALSE),"Saknas")</f>
        <v>5.4351700000000003E-2</v>
      </c>
      <c r="D356" s="121">
        <f>IFERROR(VLOOKUP($B356,Miljövärden!$B$3:$H$552,MATCH(D$2,Miljövärden!$B$2:$H$2,0),FALSE),"Saknas")</f>
        <v>5.7818500000000004</v>
      </c>
      <c r="E356" s="121">
        <f>IFERROR(VLOOKUP($B356,Miljövärden!$B$3:$H$552,MATCH(E$2,Miljövärden!$B$2:$H$2,0),FALSE),"Saknas")</f>
        <v>7.3270799999999996</v>
      </c>
      <c r="F356" s="121">
        <f>IFERROR(VLOOKUP($B356,Miljövärden!$B$3:$H$552,MATCH(F$2,Miljövärden!$B$2:$H$2,0),FALSE),"Saknas")</f>
        <v>6.1269200000000001E-3</v>
      </c>
      <c r="G356" s="121" t="str">
        <f>IFERROR(VLOOKUP($B356,Miljövärden!$B$3:$H$552,MATCH(G$2,Miljövärden!$B$2:$H$2,0),FALSE),"Nej, saknas")</f>
        <v>Nej</v>
      </c>
      <c r="H356" s="285" t="str">
        <f>IFERROR(VLOOKUP($B356,Miljövärden!$B$3:$H$552,MATCH(H$2,Miljövärden!$B$2:$H$2,0),FALSE),"Nej, saknas")</f>
        <v>Ja</v>
      </c>
      <c r="P356" s="121" t="str">
        <f t="shared" si="10"/>
        <v>ja</v>
      </c>
      <c r="R356" s="121">
        <f t="shared" si="11"/>
        <v>308</v>
      </c>
    </row>
    <row r="357" spans="1:18" x14ac:dyDescent="0.25">
      <c r="A357" s="137" t="s">
        <v>671</v>
      </c>
      <c r="B357" s="137" t="s">
        <v>672</v>
      </c>
      <c r="C357" s="121">
        <f>IFERROR(VLOOKUP($B357,Miljövärden!$B$3:$H$552,MATCH(C$2,Miljövärden!$B$2:$H$2,0),FALSE),"Saknas")</f>
        <v>0.182807</v>
      </c>
      <c r="D357" s="121">
        <f>IFERROR(VLOOKUP($B357,Miljövärden!$B$3:$H$552,MATCH(D$2,Miljövärden!$B$2:$H$2,0),FALSE),"Saknas")</f>
        <v>8.2283000000000008</v>
      </c>
      <c r="E357" s="121">
        <f>IFERROR(VLOOKUP($B357,Miljövärden!$B$3:$H$552,MATCH(E$2,Miljövärden!$B$2:$H$2,0),FALSE),"Saknas")</f>
        <v>18.429200000000002</v>
      </c>
      <c r="F357" s="121">
        <f>IFERROR(VLOOKUP($B357,Miljövärden!$B$3:$H$552,MATCH(F$2,Miljövärden!$B$2:$H$2,0),FALSE),"Saknas")</f>
        <v>8.4811599999999997E-3</v>
      </c>
      <c r="G357" s="121" t="str">
        <f>IFERROR(VLOOKUP($B357,Miljövärden!$B$3:$H$552,MATCH(G$2,Miljövärden!$B$2:$H$2,0),FALSE),"Nej, saknas")</f>
        <v>Ja</v>
      </c>
      <c r="H357" s="285" t="str">
        <f>IFERROR(VLOOKUP($B357,Miljövärden!$B$3:$H$552,MATCH(H$2,Miljövärden!$B$2:$H$2,0),FALSE),"Nej, saknas")</f>
        <v>Ja</v>
      </c>
      <c r="P357" s="121" t="str">
        <f t="shared" si="10"/>
        <v>ja</v>
      </c>
      <c r="R357" s="121">
        <f t="shared" si="11"/>
        <v>309</v>
      </c>
    </row>
    <row r="358" spans="1:18" x14ac:dyDescent="0.25">
      <c r="A358" s="137" t="s">
        <v>671</v>
      </c>
      <c r="B358" s="137" t="s">
        <v>673</v>
      </c>
      <c r="C358" s="121">
        <f>IFERROR(VLOOKUP($B358,Miljövärden!$B$3:$H$552,MATCH(C$2,Miljövärden!$B$2:$H$2,0),FALSE),"Saknas")</f>
        <v>7.3857099999999995E-2</v>
      </c>
      <c r="D358" s="121">
        <f>IFERROR(VLOOKUP($B358,Miljövärden!$B$3:$H$552,MATCH(D$2,Miljövärden!$B$2:$H$2,0),FALSE),"Saknas")</f>
        <v>11.117599999999999</v>
      </c>
      <c r="E358" s="121">
        <f>IFERROR(VLOOKUP($B358,Miljövärden!$B$3:$H$552,MATCH(E$2,Miljövärden!$B$2:$H$2,0),FALSE),"Saknas")</f>
        <v>3.0676899999999998</v>
      </c>
      <c r="F358" s="121">
        <f>IFERROR(VLOOKUP($B358,Miljövärden!$B$3:$H$552,MATCH(F$2,Miljövärden!$B$2:$H$2,0),FALSE),"Saknas")</f>
        <v>2.73335E-2</v>
      </c>
      <c r="G358" s="121" t="str">
        <f>IFERROR(VLOOKUP($B358,Miljövärden!$B$3:$H$552,MATCH(G$2,Miljövärden!$B$2:$H$2,0),FALSE),"Nej, saknas")</f>
        <v>Ja</v>
      </c>
      <c r="H358" s="285" t="str">
        <f>IFERROR(VLOOKUP($B358,Miljövärden!$B$3:$H$552,MATCH(H$2,Miljövärden!$B$2:$H$2,0),FALSE),"Nej, saknas")</f>
        <v>Ja</v>
      </c>
      <c r="P358" s="121" t="str">
        <f t="shared" si="10"/>
        <v>ja</v>
      </c>
      <c r="R358" s="121">
        <f t="shared" si="11"/>
        <v>310</v>
      </c>
    </row>
    <row r="359" spans="1:18" x14ac:dyDescent="0.25">
      <c r="A359" s="137" t="s">
        <v>671</v>
      </c>
      <c r="B359" s="137" t="s">
        <v>674</v>
      </c>
      <c r="C359" s="121">
        <f>IFERROR(VLOOKUP($B359,Miljövärden!$B$3:$H$552,MATCH(C$2,Miljövärden!$B$2:$H$2,0),FALSE),"Saknas")</f>
        <v>6.8299600000000002E-2</v>
      </c>
      <c r="D359" s="121">
        <f>IFERROR(VLOOKUP($B359,Miljövärden!$B$3:$H$552,MATCH(D$2,Miljövärden!$B$2:$H$2,0),FALSE),"Saknas")</f>
        <v>5.4451499999999999</v>
      </c>
      <c r="E359" s="121">
        <f>IFERROR(VLOOKUP($B359,Miljövärden!$B$3:$H$552,MATCH(E$2,Miljövärden!$B$2:$H$2,0),FALSE),"Saknas")</f>
        <v>8.5799400000000006</v>
      </c>
      <c r="F359" s="121">
        <f>IFERROR(VLOOKUP($B359,Miljövärden!$B$3:$H$552,MATCH(F$2,Miljövärden!$B$2:$H$2,0),FALSE),"Saknas")</f>
        <v>2.4760099999999998E-3</v>
      </c>
      <c r="G359" s="121" t="str">
        <f>IFERROR(VLOOKUP($B359,Miljövärden!$B$3:$H$552,MATCH(G$2,Miljövärden!$B$2:$H$2,0),FALSE),"Nej, saknas")</f>
        <v>Ja</v>
      </c>
      <c r="H359" s="285" t="str">
        <f>IFERROR(VLOOKUP($B359,Miljövärden!$B$3:$H$552,MATCH(H$2,Miljövärden!$B$2:$H$2,0),FALSE),"Nej, saknas")</f>
        <v>Ja</v>
      </c>
      <c r="P359" s="121" t="str">
        <f t="shared" si="10"/>
        <v>ja</v>
      </c>
      <c r="R359" s="121">
        <f t="shared" si="11"/>
        <v>311</v>
      </c>
    </row>
    <row r="360" spans="1:18" x14ac:dyDescent="0.25">
      <c r="A360" s="137" t="s">
        <v>52</v>
      </c>
      <c r="B360" s="137" t="s">
        <v>675</v>
      </c>
      <c r="C360" s="121">
        <f>IFERROR(VLOOKUP($B360,Miljövärden!$B$3:$H$552,MATCH(C$2,Miljövärden!$B$2:$H$2,0),FALSE),"Saknas")</f>
        <v>0.27603100000000003</v>
      </c>
      <c r="D360" s="121">
        <f>IFERROR(VLOOKUP($B360,Miljövärden!$B$3:$H$552,MATCH(D$2,Miljövärden!$B$2:$H$2,0),FALSE),"Saknas")</f>
        <v>162.68899999999999</v>
      </c>
      <c r="E360" s="121">
        <f>IFERROR(VLOOKUP($B360,Miljövärden!$B$3:$H$552,MATCH(E$2,Miljövärden!$B$2:$H$2,0),FALSE),"Saknas")</f>
        <v>6.8928200000000004</v>
      </c>
      <c r="F360" s="121">
        <f>IFERROR(VLOOKUP($B360,Miljövärden!$B$3:$H$552,MATCH(F$2,Miljövärden!$B$2:$H$2,0),FALSE),"Saknas")</f>
        <v>9.3474100000000004E-2</v>
      </c>
      <c r="G360" s="121" t="str">
        <f>IFERROR(VLOOKUP($B360,Miljövärden!$B$3:$H$552,MATCH(G$2,Miljövärden!$B$2:$H$2,0),FALSE),"Nej, saknas")</f>
        <v>Ja</v>
      </c>
      <c r="H360" s="285" t="str">
        <f>IFERROR(VLOOKUP($B360,Miljövärden!$B$3:$H$552,MATCH(H$2,Miljövärden!$B$2:$H$2,0),FALSE),"Nej, saknas")</f>
        <v>Ja</v>
      </c>
      <c r="P360" s="121" t="str">
        <f t="shared" si="10"/>
        <v>ja</v>
      </c>
      <c r="R360" s="121">
        <f t="shared" si="11"/>
        <v>312</v>
      </c>
    </row>
    <row r="361" spans="1:18" x14ac:dyDescent="0.25">
      <c r="A361" s="137" t="s">
        <v>52</v>
      </c>
      <c r="B361" s="137" t="s">
        <v>676</v>
      </c>
      <c r="C361" s="121">
        <f>IFERROR(VLOOKUP($B361,Miljövärden!$B$3:$H$552,MATCH(C$2,Miljövärden!$B$2:$H$2,0),FALSE),"Saknas")</f>
        <v>0.142593</v>
      </c>
      <c r="D361" s="121">
        <f>IFERROR(VLOOKUP($B361,Miljövärden!$B$3:$H$552,MATCH(D$2,Miljövärden!$B$2:$H$2,0),FALSE),"Saknas")</f>
        <v>16.469200000000001</v>
      </c>
      <c r="E361" s="121">
        <f>IFERROR(VLOOKUP($B361,Miljövärden!$B$3:$H$552,MATCH(E$2,Miljövärden!$B$2:$H$2,0),FALSE),"Saknas")</f>
        <v>8.4946599999999997</v>
      </c>
      <c r="F361" s="121">
        <f>IFERROR(VLOOKUP($B361,Miljövärden!$B$3:$H$552,MATCH(F$2,Miljövärden!$B$2:$H$2,0),FALSE),"Saknas")</f>
        <v>3.4334999999999997E-2</v>
      </c>
      <c r="G361" s="121" t="str">
        <f>IFERROR(VLOOKUP($B361,Miljövärden!$B$3:$H$552,MATCH(G$2,Miljövärden!$B$2:$H$2,0),FALSE),"Nej, saknas")</f>
        <v>Ja</v>
      </c>
      <c r="H361" s="285" t="str">
        <f>IFERROR(VLOOKUP($B361,Miljövärden!$B$3:$H$552,MATCH(H$2,Miljövärden!$B$2:$H$2,0),FALSE),"Nej, saknas")</f>
        <v>Ja</v>
      </c>
      <c r="P361" s="121" t="str">
        <f t="shared" si="10"/>
        <v>ja</v>
      </c>
      <c r="R361" s="121">
        <f t="shared" si="11"/>
        <v>313</v>
      </c>
    </row>
    <row r="362" spans="1:18" x14ac:dyDescent="0.25">
      <c r="A362" s="137" t="s">
        <v>52</v>
      </c>
      <c r="B362" s="137" t="s">
        <v>677</v>
      </c>
      <c r="C362" s="121">
        <f>IFERROR(VLOOKUP($B362,Miljövärden!$B$3:$H$552,MATCH(C$2,Miljövärden!$B$2:$H$2,0),FALSE),"Saknas")</f>
        <v>0.255851</v>
      </c>
      <c r="D362" s="121">
        <f>IFERROR(VLOOKUP($B362,Miljövärden!$B$3:$H$552,MATCH(D$2,Miljövärden!$B$2:$H$2,0),FALSE),"Saknas")</f>
        <v>60.875300000000003</v>
      </c>
      <c r="E362" s="121">
        <f>IFERROR(VLOOKUP($B362,Miljövärden!$B$3:$H$552,MATCH(E$2,Miljövärden!$B$2:$H$2,0),FALSE),"Saknas")</f>
        <v>5.1045299999999996</v>
      </c>
      <c r="F362" s="121">
        <f>IFERROR(VLOOKUP($B362,Miljövärden!$B$3:$H$552,MATCH(F$2,Miljövärden!$B$2:$H$2,0),FALSE),"Saknas")</f>
        <v>0.16911799999999999</v>
      </c>
      <c r="G362" s="121" t="str">
        <f>IFERROR(VLOOKUP($B362,Miljövärden!$B$3:$H$552,MATCH(G$2,Miljövärden!$B$2:$H$2,0),FALSE),"Nej, saknas")</f>
        <v>Ja</v>
      </c>
      <c r="H362" s="285" t="str">
        <f>IFERROR(VLOOKUP($B362,Miljövärden!$B$3:$H$552,MATCH(H$2,Miljövärden!$B$2:$H$2,0),FALSE),"Nej, saknas")</f>
        <v>Ja</v>
      </c>
      <c r="P362" s="121" t="str">
        <f t="shared" si="10"/>
        <v>ja</v>
      </c>
      <c r="R362" s="121">
        <f t="shared" si="11"/>
        <v>314</v>
      </c>
    </row>
    <row r="363" spans="1:18" x14ac:dyDescent="0.25">
      <c r="A363" s="137" t="s">
        <v>52</v>
      </c>
      <c r="B363" s="137" t="s">
        <v>678</v>
      </c>
      <c r="C363" s="121">
        <f>IFERROR(VLOOKUP($B363,Miljövärden!$B$3:$H$552,MATCH(C$2,Miljövärden!$B$2:$H$2,0),FALSE),"Saknas")</f>
        <v>0.23861399999999999</v>
      </c>
      <c r="D363" s="121">
        <f>IFERROR(VLOOKUP($B363,Miljövärden!$B$3:$H$552,MATCH(D$2,Miljövärden!$B$2:$H$2,0),FALSE),"Saknas")</f>
        <v>19.511700000000001</v>
      </c>
      <c r="E363" s="121">
        <f>IFERROR(VLOOKUP($B363,Miljövärden!$B$3:$H$552,MATCH(E$2,Miljövärden!$B$2:$H$2,0),FALSE),"Saknas")</f>
        <v>18.384799999999998</v>
      </c>
      <c r="F363" s="121">
        <f>IFERROR(VLOOKUP($B363,Miljövärden!$B$3:$H$552,MATCH(F$2,Miljövärden!$B$2:$H$2,0),FALSE),"Saknas")</f>
        <v>4.1793400000000001E-2</v>
      </c>
      <c r="G363" s="121" t="str">
        <f>IFERROR(VLOOKUP($B363,Miljövärden!$B$3:$H$552,MATCH(G$2,Miljövärden!$B$2:$H$2,0),FALSE),"Nej, saknas")</f>
        <v>Ja</v>
      </c>
      <c r="H363" s="285" t="str">
        <f>IFERROR(VLOOKUP($B363,Miljövärden!$B$3:$H$552,MATCH(H$2,Miljövärden!$B$2:$H$2,0),FALSE),"Nej, saknas")</f>
        <v>Ja</v>
      </c>
      <c r="P363" s="121" t="str">
        <f t="shared" si="10"/>
        <v>ja</v>
      </c>
      <c r="R363" s="121">
        <f t="shared" si="11"/>
        <v>315</v>
      </c>
    </row>
    <row r="364" spans="1:18" x14ac:dyDescent="0.25">
      <c r="A364" s="137" t="s">
        <v>52</v>
      </c>
      <c r="B364" s="137" t="s">
        <v>679</v>
      </c>
      <c r="C364" s="121">
        <f>IFERROR(VLOOKUP($B364,Miljövärden!$B$3:$H$552,MATCH(C$2,Miljövärden!$B$2:$H$2,0),FALSE),"Saknas")</f>
        <v>0.10676099999999999</v>
      </c>
      <c r="D364" s="121">
        <f>IFERROR(VLOOKUP($B364,Miljövärden!$B$3:$H$552,MATCH(D$2,Miljövärden!$B$2:$H$2,0),FALSE),"Saknas")</f>
        <v>18.689699999999998</v>
      </c>
      <c r="E364" s="121">
        <f>IFERROR(VLOOKUP($B364,Miljövärden!$B$3:$H$552,MATCH(E$2,Miljövärden!$B$2:$H$2,0),FALSE),"Saknas")</f>
        <v>5.5573399999999999</v>
      </c>
      <c r="F364" s="121">
        <f>IFERROR(VLOOKUP($B364,Miljövärden!$B$3:$H$552,MATCH(F$2,Miljövärden!$B$2:$H$2,0),FALSE),"Saknas")</f>
        <v>3.4554000000000001E-2</v>
      </c>
      <c r="G364" s="121" t="str">
        <f>IFERROR(VLOOKUP($B364,Miljövärden!$B$3:$H$552,MATCH(G$2,Miljövärden!$B$2:$H$2,0),FALSE),"Nej, saknas")</f>
        <v>Ja</v>
      </c>
      <c r="H364" s="285" t="str">
        <f>IFERROR(VLOOKUP($B364,Miljövärden!$B$3:$H$552,MATCH(H$2,Miljövärden!$B$2:$H$2,0),FALSE),"Nej, saknas")</f>
        <v>Ja</v>
      </c>
      <c r="P364" s="121" t="str">
        <f t="shared" si="10"/>
        <v>ja</v>
      </c>
      <c r="R364" s="121">
        <f t="shared" si="11"/>
        <v>316</v>
      </c>
    </row>
    <row r="365" spans="1:18" x14ac:dyDescent="0.25">
      <c r="A365" s="137" t="s">
        <v>52</v>
      </c>
      <c r="B365" s="137" t="s">
        <v>680</v>
      </c>
      <c r="C365" s="121">
        <f>IFERROR(VLOOKUP($B365,Miljövärden!$B$3:$H$552,MATCH(C$2,Miljövärden!$B$2:$H$2,0),FALSE),"Saknas")</f>
        <v>9.0690199999999999E-2</v>
      </c>
      <c r="D365" s="121">
        <f>IFERROR(VLOOKUP($B365,Miljövärden!$B$3:$H$552,MATCH(D$2,Miljövärden!$B$2:$H$2,0),FALSE),"Saknas")</f>
        <v>4.1687099999999999</v>
      </c>
      <c r="E365" s="121">
        <f>IFERROR(VLOOKUP($B365,Miljövärden!$B$3:$H$552,MATCH(E$2,Miljövärden!$B$2:$H$2,0),FALSE),"Saknas")</f>
        <v>6.2664299999999997</v>
      </c>
      <c r="F365" s="121">
        <f>IFERROR(VLOOKUP($B365,Miljövärden!$B$3:$H$552,MATCH(F$2,Miljövärden!$B$2:$H$2,0),FALSE),"Saknas")</f>
        <v>2.4820100000000002E-3</v>
      </c>
      <c r="G365" s="121" t="str">
        <f>IFERROR(VLOOKUP($B365,Miljövärden!$B$3:$H$552,MATCH(G$2,Miljövärden!$B$2:$H$2,0),FALSE),"Nej, saknas")</f>
        <v>Ja</v>
      </c>
      <c r="H365" s="285" t="str">
        <f>IFERROR(VLOOKUP($B365,Miljövärden!$B$3:$H$552,MATCH(H$2,Miljövärden!$B$2:$H$2,0),FALSE),"Nej, saknas")</f>
        <v>Ja</v>
      </c>
      <c r="P365" s="121" t="str">
        <f t="shared" si="10"/>
        <v>ja</v>
      </c>
      <c r="R365" s="121">
        <f t="shared" si="11"/>
        <v>317</v>
      </c>
    </row>
    <row r="366" spans="1:18" x14ac:dyDescent="0.25">
      <c r="A366" s="137" t="s">
        <v>52</v>
      </c>
      <c r="B366" s="137" t="s">
        <v>681</v>
      </c>
      <c r="C366" s="121">
        <f>IFERROR(VLOOKUP($B366,Miljövärden!$B$3:$H$552,MATCH(C$2,Miljövärden!$B$2:$H$2,0),FALSE),"Saknas")</f>
        <v>8.9904700000000004E-2</v>
      </c>
      <c r="D366" s="121">
        <f>IFERROR(VLOOKUP($B366,Miljövärden!$B$3:$H$552,MATCH(D$2,Miljövärden!$B$2:$H$2,0),FALSE),"Saknas")</f>
        <v>4.9344799999999998</v>
      </c>
      <c r="E366" s="121">
        <f>IFERROR(VLOOKUP($B366,Miljövärden!$B$3:$H$552,MATCH(E$2,Miljövärden!$B$2:$H$2,0),FALSE),"Saknas")</f>
        <v>6.6987800000000002</v>
      </c>
      <c r="F366" s="121">
        <f>IFERROR(VLOOKUP($B366,Miljövärden!$B$3:$H$552,MATCH(F$2,Miljövärden!$B$2:$H$2,0),FALSE),"Saknas")</f>
        <v>3.0665800000000002E-3</v>
      </c>
      <c r="G366" s="121" t="str">
        <f>IFERROR(VLOOKUP($B366,Miljövärden!$B$3:$H$552,MATCH(G$2,Miljövärden!$B$2:$H$2,0),FALSE),"Nej, saknas")</f>
        <v>Ja</v>
      </c>
      <c r="H366" s="285" t="str">
        <f>IFERROR(VLOOKUP($B366,Miljövärden!$B$3:$H$552,MATCH(H$2,Miljövärden!$B$2:$H$2,0),FALSE),"Nej, saknas")</f>
        <v>Ja</v>
      </c>
      <c r="P366" s="121" t="str">
        <f t="shared" si="10"/>
        <v>ja</v>
      </c>
      <c r="R366" s="121">
        <f t="shared" si="11"/>
        <v>318</v>
      </c>
    </row>
    <row r="367" spans="1:18" x14ac:dyDescent="0.25">
      <c r="A367" s="137" t="s">
        <v>52</v>
      </c>
      <c r="B367" s="137" t="s">
        <v>682</v>
      </c>
      <c r="C367" s="121">
        <f>IFERROR(VLOOKUP($B367,Miljövärden!$B$3:$H$552,MATCH(C$2,Miljövärden!$B$2:$H$2,0),FALSE),"Saknas")</f>
        <v>8.3193699999999995E-2</v>
      </c>
      <c r="D367" s="121">
        <f>IFERROR(VLOOKUP($B367,Miljövärden!$B$3:$H$552,MATCH(D$2,Miljövärden!$B$2:$H$2,0),FALSE),"Saknas")</f>
        <v>17.825700000000001</v>
      </c>
      <c r="E367" s="121">
        <f>IFERROR(VLOOKUP($B367,Miljövärden!$B$3:$H$552,MATCH(E$2,Miljövärden!$B$2:$H$2,0),FALSE),"Saknas")</f>
        <v>3.9082400000000002</v>
      </c>
      <c r="F367" s="121">
        <f>IFERROR(VLOOKUP($B367,Miljövärden!$B$3:$H$552,MATCH(F$2,Miljövärden!$B$2:$H$2,0),FALSE),"Saknas")</f>
        <v>5.1652499999999997E-2</v>
      </c>
      <c r="G367" s="121" t="str">
        <f>IFERROR(VLOOKUP($B367,Miljövärden!$B$3:$H$552,MATCH(G$2,Miljövärden!$B$2:$H$2,0),FALSE),"Nej, saknas")</f>
        <v>Ja</v>
      </c>
      <c r="H367" s="285" t="str">
        <f>IFERROR(VLOOKUP($B367,Miljövärden!$B$3:$H$552,MATCH(H$2,Miljövärden!$B$2:$H$2,0),FALSE),"Nej, saknas")</f>
        <v>Ja</v>
      </c>
      <c r="P367" s="121" t="str">
        <f t="shared" si="10"/>
        <v>ja</v>
      </c>
      <c r="R367" s="121">
        <f t="shared" si="11"/>
        <v>319</v>
      </c>
    </row>
    <row r="368" spans="1:18" x14ac:dyDescent="0.25">
      <c r="A368" s="137" t="s">
        <v>52</v>
      </c>
      <c r="B368" s="137" t="s">
        <v>683</v>
      </c>
      <c r="C368" s="121">
        <f>IFERROR(VLOOKUP($B368,Miljövärden!$B$3:$H$552,MATCH(C$2,Miljövärden!$B$2:$H$2,0),FALSE),"Saknas")</f>
        <v>0.145202</v>
      </c>
      <c r="D368" s="121">
        <f>IFERROR(VLOOKUP($B368,Miljövärden!$B$3:$H$552,MATCH(D$2,Miljövärden!$B$2:$H$2,0),FALSE),"Saknas")</f>
        <v>15.2303</v>
      </c>
      <c r="E368" s="121">
        <f>IFERROR(VLOOKUP($B368,Miljövärden!$B$3:$H$552,MATCH(E$2,Miljövärden!$B$2:$H$2,0),FALSE),"Saknas")</f>
        <v>10.3802</v>
      </c>
      <c r="F368" s="121">
        <f>IFERROR(VLOOKUP($B368,Miljövärden!$B$3:$H$552,MATCH(F$2,Miljövärden!$B$2:$H$2,0),FALSE),"Saknas")</f>
        <v>2.6921299999999999E-2</v>
      </c>
      <c r="G368" s="121" t="str">
        <f>IFERROR(VLOOKUP($B368,Miljövärden!$B$3:$H$552,MATCH(G$2,Miljövärden!$B$2:$H$2,0),FALSE),"Nej, saknas")</f>
        <v>Ja</v>
      </c>
      <c r="H368" s="285" t="str">
        <f>IFERROR(VLOOKUP($B368,Miljövärden!$B$3:$H$552,MATCH(H$2,Miljövärden!$B$2:$H$2,0),FALSE),"Nej, saknas")</f>
        <v>Ja</v>
      </c>
      <c r="P368" s="121" t="str">
        <f t="shared" si="10"/>
        <v>ja</v>
      </c>
      <c r="R368" s="121">
        <f t="shared" si="11"/>
        <v>320</v>
      </c>
    </row>
    <row r="369" spans="1:18" x14ac:dyDescent="0.25">
      <c r="A369" s="137" t="s">
        <v>52</v>
      </c>
      <c r="B369" s="137" t="s">
        <v>684</v>
      </c>
      <c r="C369" s="121">
        <f>IFERROR(VLOOKUP($B369,Miljövärden!$B$3:$H$552,MATCH(C$2,Miljövärden!$B$2:$H$2,0),FALSE),"Saknas")</f>
        <v>0.102696</v>
      </c>
      <c r="D369" s="121">
        <f>IFERROR(VLOOKUP($B369,Miljövärden!$B$3:$H$552,MATCH(D$2,Miljövärden!$B$2:$H$2,0),FALSE),"Saknas")</f>
        <v>8.3208099999999998</v>
      </c>
      <c r="E369" s="121">
        <f>IFERROR(VLOOKUP($B369,Miljövärden!$B$3:$H$552,MATCH(E$2,Miljövärden!$B$2:$H$2,0),FALSE),"Saknas")</f>
        <v>7.8254099999999998</v>
      </c>
      <c r="F369" s="121">
        <f>IFERROR(VLOOKUP($B369,Miljövärden!$B$3:$H$552,MATCH(F$2,Miljövärden!$B$2:$H$2,0),FALSE),"Saknas")</f>
        <v>1.35449E-2</v>
      </c>
      <c r="G369" s="121" t="str">
        <f>IFERROR(VLOOKUP($B369,Miljövärden!$B$3:$H$552,MATCH(G$2,Miljövärden!$B$2:$H$2,0),FALSE),"Nej, saknas")</f>
        <v>Ja</v>
      </c>
      <c r="H369" s="285" t="str">
        <f>IFERROR(VLOOKUP($B369,Miljövärden!$B$3:$H$552,MATCH(H$2,Miljövärden!$B$2:$H$2,0),FALSE),"Nej, saknas")</f>
        <v>Ja</v>
      </c>
      <c r="P369" s="121" t="str">
        <f t="shared" si="10"/>
        <v>ja</v>
      </c>
      <c r="R369" s="121">
        <f t="shared" si="11"/>
        <v>321</v>
      </c>
    </row>
    <row r="370" spans="1:18" x14ac:dyDescent="0.25">
      <c r="A370" s="137" t="s">
        <v>52</v>
      </c>
      <c r="B370" s="137" t="s">
        <v>685</v>
      </c>
      <c r="C370" s="121">
        <f>IFERROR(VLOOKUP($B370,Miljövärden!$B$3:$H$552,MATCH(C$2,Miljövärden!$B$2:$H$2,0),FALSE),"Saknas")</f>
        <v>0.341669</v>
      </c>
      <c r="D370" s="121">
        <f>IFERROR(VLOOKUP($B370,Miljövärden!$B$3:$H$552,MATCH(D$2,Miljövärden!$B$2:$H$2,0),FALSE),"Saknas")</f>
        <v>59.146599999999999</v>
      </c>
      <c r="E370" s="121">
        <f>IFERROR(VLOOKUP($B370,Miljövärden!$B$3:$H$552,MATCH(E$2,Miljövärden!$B$2:$H$2,0),FALSE),"Saknas")</f>
        <v>4.2037800000000001</v>
      </c>
      <c r="F370" s="121">
        <f>IFERROR(VLOOKUP($B370,Miljövärden!$B$3:$H$552,MATCH(F$2,Miljövärden!$B$2:$H$2,0),FALSE),"Saknas")</f>
        <v>8.4537799999999996E-2</v>
      </c>
      <c r="G370" s="121" t="str">
        <f>IFERROR(VLOOKUP($B370,Miljövärden!$B$3:$H$552,MATCH(G$2,Miljövärden!$B$2:$H$2,0),FALSE),"Nej, saknas")</f>
        <v>Ja</v>
      </c>
      <c r="H370" s="285" t="str">
        <f>IFERROR(VLOOKUP($B370,Miljövärden!$B$3:$H$552,MATCH(H$2,Miljövärden!$B$2:$H$2,0),FALSE),"Nej, saknas")</f>
        <v>Ja</v>
      </c>
      <c r="P370" s="121" t="str">
        <f t="shared" si="10"/>
        <v>ja</v>
      </c>
      <c r="R370" s="121">
        <f t="shared" si="11"/>
        <v>322</v>
      </c>
    </row>
    <row r="371" spans="1:18" x14ac:dyDescent="0.25">
      <c r="A371" s="137" t="s">
        <v>52</v>
      </c>
      <c r="B371" s="137" t="s">
        <v>686</v>
      </c>
      <c r="C371" s="121">
        <f>IFERROR(VLOOKUP($B371,Miljövärden!$B$3:$H$552,MATCH(C$2,Miljövärden!$B$2:$H$2,0),FALSE),"Saknas")</f>
        <v>0.24321200000000001</v>
      </c>
      <c r="D371" s="121">
        <f>IFERROR(VLOOKUP($B371,Miljövärden!$B$3:$H$552,MATCH(D$2,Miljövärden!$B$2:$H$2,0),FALSE),"Saknas")</f>
        <v>7.4823500000000003</v>
      </c>
      <c r="E371" s="121">
        <f>IFERROR(VLOOKUP($B371,Miljövärden!$B$3:$H$552,MATCH(E$2,Miljövärden!$B$2:$H$2,0),FALSE),"Saknas")</f>
        <v>21.338799999999999</v>
      </c>
      <c r="F371" s="121">
        <f>IFERROR(VLOOKUP($B371,Miljövärden!$B$3:$H$552,MATCH(F$2,Miljövärden!$B$2:$H$2,0),FALSE),"Saknas")</f>
        <v>3.40136E-3</v>
      </c>
      <c r="G371" s="121" t="str">
        <f>IFERROR(VLOOKUP($B371,Miljövärden!$B$3:$H$552,MATCH(G$2,Miljövärden!$B$2:$H$2,0),FALSE),"Nej, saknas")</f>
        <v>Ja</v>
      </c>
      <c r="H371" s="285" t="str">
        <f>IFERROR(VLOOKUP($B371,Miljövärden!$B$3:$H$552,MATCH(H$2,Miljövärden!$B$2:$H$2,0),FALSE),"Nej, saknas")</f>
        <v>Ja</v>
      </c>
      <c r="P371" s="121" t="str">
        <f t="shared" si="10"/>
        <v>ja</v>
      </c>
      <c r="R371" s="121">
        <f t="shared" si="11"/>
        <v>323</v>
      </c>
    </row>
    <row r="372" spans="1:18" x14ac:dyDescent="0.25">
      <c r="A372" s="137" t="s">
        <v>52</v>
      </c>
      <c r="B372" s="137" t="s">
        <v>687</v>
      </c>
      <c r="C372" s="121">
        <f>IFERROR(VLOOKUP($B372,Miljövärden!$B$3:$H$552,MATCH(C$2,Miljövärden!$B$2:$H$2,0),FALSE),"Saknas")</f>
        <v>0.19629199999999999</v>
      </c>
      <c r="D372" s="121">
        <f>IFERROR(VLOOKUP($B372,Miljövärden!$B$3:$H$552,MATCH(D$2,Miljövärden!$B$2:$H$2,0),FALSE),"Saknas")</f>
        <v>29.659500000000001</v>
      </c>
      <c r="E372" s="121">
        <f>IFERROR(VLOOKUP($B372,Miljövärden!$B$3:$H$552,MATCH(E$2,Miljövärden!$B$2:$H$2,0),FALSE),"Saknas")</f>
        <v>11.111000000000001</v>
      </c>
      <c r="F372" s="121">
        <f>IFERROR(VLOOKUP($B372,Miljövärden!$B$3:$H$552,MATCH(F$2,Miljövärden!$B$2:$H$2,0),FALSE),"Saknas")</f>
        <v>7.4892200000000006E-2</v>
      </c>
      <c r="G372" s="121" t="str">
        <f>IFERROR(VLOOKUP($B372,Miljövärden!$B$3:$H$552,MATCH(G$2,Miljövärden!$B$2:$H$2,0),FALSE),"Nej, saknas")</f>
        <v>Ja</v>
      </c>
      <c r="H372" s="285" t="str">
        <f>IFERROR(VLOOKUP($B372,Miljövärden!$B$3:$H$552,MATCH(H$2,Miljövärden!$B$2:$H$2,0),FALSE),"Nej, saknas")</f>
        <v>Ja</v>
      </c>
      <c r="P372" s="121" t="str">
        <f t="shared" si="10"/>
        <v>ja</v>
      </c>
      <c r="R372" s="121">
        <f t="shared" si="11"/>
        <v>324</v>
      </c>
    </row>
    <row r="373" spans="1:18" x14ac:dyDescent="0.25">
      <c r="A373" s="137" t="s">
        <v>52</v>
      </c>
      <c r="B373" s="137" t="s">
        <v>688</v>
      </c>
      <c r="C373" s="121">
        <f>IFERROR(VLOOKUP($B373,Miljövärden!$B$3:$H$552,MATCH(C$2,Miljövärden!$B$2:$H$2,0),FALSE),"Saknas")</f>
        <v>0.13681199999999999</v>
      </c>
      <c r="D373" s="121">
        <f>IFERROR(VLOOKUP($B373,Miljövärden!$B$3:$H$552,MATCH(D$2,Miljövärden!$B$2:$H$2,0),FALSE),"Saknas")</f>
        <v>22.931799999999999</v>
      </c>
      <c r="E373" s="121">
        <f>IFERROR(VLOOKUP($B373,Miljövärden!$B$3:$H$552,MATCH(E$2,Miljövärden!$B$2:$H$2,0),FALSE),"Saknas")</f>
        <v>8.0517599999999998</v>
      </c>
      <c r="F373" s="121">
        <f>IFERROR(VLOOKUP($B373,Miljövärden!$B$3:$H$552,MATCH(F$2,Miljövärden!$B$2:$H$2,0),FALSE),"Saknas")</f>
        <v>7.0971500000000007E-2</v>
      </c>
      <c r="G373" s="121" t="str">
        <f>IFERROR(VLOOKUP($B373,Miljövärden!$B$3:$H$552,MATCH(G$2,Miljövärden!$B$2:$H$2,0),FALSE),"Nej, saknas")</f>
        <v>Ja</v>
      </c>
      <c r="H373" s="285" t="str">
        <f>IFERROR(VLOOKUP($B373,Miljövärden!$B$3:$H$552,MATCH(H$2,Miljövärden!$B$2:$H$2,0),FALSE),"Nej, saknas")</f>
        <v>Ja</v>
      </c>
      <c r="P373" s="121" t="str">
        <f t="shared" si="10"/>
        <v>ja</v>
      </c>
      <c r="R373" s="121">
        <f t="shared" si="11"/>
        <v>325</v>
      </c>
    </row>
    <row r="374" spans="1:18" x14ac:dyDescent="0.25">
      <c r="A374" s="137" t="s">
        <v>52</v>
      </c>
      <c r="B374" s="137" t="s">
        <v>689</v>
      </c>
      <c r="C374" s="121">
        <f>IFERROR(VLOOKUP($B374,Miljövärden!$B$3:$H$552,MATCH(C$2,Miljövärden!$B$2:$H$2,0),FALSE),"Saknas")</f>
        <v>5.2268799999999997E-2</v>
      </c>
      <c r="D374" s="121">
        <f>IFERROR(VLOOKUP($B374,Miljövärden!$B$3:$H$552,MATCH(D$2,Miljövärden!$B$2:$H$2,0),FALSE),"Saknas")</f>
        <v>9.3484200000000008</v>
      </c>
      <c r="E374" s="121">
        <f>IFERROR(VLOOKUP($B374,Miljövärden!$B$3:$H$552,MATCH(E$2,Miljövärden!$B$2:$H$2,0),FALSE),"Saknas")</f>
        <v>7.16195</v>
      </c>
      <c r="F374" s="121">
        <f>IFERROR(VLOOKUP($B374,Miljövärden!$B$3:$H$552,MATCH(F$2,Miljövärden!$B$2:$H$2,0),FALSE),"Saknas")</f>
        <v>1.7963799999999999E-2</v>
      </c>
      <c r="G374" s="121" t="str">
        <f>IFERROR(VLOOKUP($B374,Miljövärden!$B$3:$H$552,MATCH(G$2,Miljövärden!$B$2:$H$2,0),FALSE),"Nej, saknas")</f>
        <v>Ja</v>
      </c>
      <c r="H374" s="285" t="str">
        <f>IFERROR(VLOOKUP($B374,Miljövärden!$B$3:$H$552,MATCH(H$2,Miljövärden!$B$2:$H$2,0),FALSE),"Nej, saknas")</f>
        <v>Ja</v>
      </c>
      <c r="P374" s="121" t="str">
        <f t="shared" si="10"/>
        <v>ja</v>
      </c>
      <c r="R374" s="121">
        <f t="shared" si="11"/>
        <v>326</v>
      </c>
    </row>
    <row r="375" spans="1:18" x14ac:dyDescent="0.25">
      <c r="A375" s="137" t="s">
        <v>52</v>
      </c>
      <c r="B375" s="137" t="s">
        <v>690</v>
      </c>
      <c r="C375" s="121">
        <f>IFERROR(VLOOKUP($B375,Miljövärden!$B$3:$H$552,MATCH(C$2,Miljövärden!$B$2:$H$2,0),FALSE),"Saknas")</f>
        <v>0</v>
      </c>
      <c r="D375" s="121">
        <f>IFERROR(VLOOKUP($B375,Miljövärden!$B$3:$H$552,MATCH(D$2,Miljövärden!$B$2:$H$2,0),FALSE),"Saknas")</f>
        <v>0</v>
      </c>
      <c r="E375" s="121">
        <f>IFERROR(VLOOKUP($B375,Miljövärden!$B$3:$H$552,MATCH(E$2,Miljövärden!$B$2:$H$2,0),FALSE),"Saknas")</f>
        <v>0</v>
      </c>
      <c r="F375" s="121">
        <f>IFERROR(VLOOKUP($B375,Miljövärden!$B$3:$H$552,MATCH(F$2,Miljövärden!$B$2:$H$2,0),FALSE),"Saknas")</f>
        <v>0</v>
      </c>
      <c r="G375" s="121" t="str">
        <f>IFERROR(VLOOKUP($B375,Miljövärden!$B$3:$H$552,MATCH(G$2,Miljövärden!$B$2:$H$2,0),FALSE),"Nej, saknas")</f>
        <v>Ja</v>
      </c>
      <c r="H375" s="285" t="str">
        <f>IFERROR(VLOOKUP($B375,Miljövärden!$B$3:$H$552,MATCH(H$2,Miljövärden!$B$2:$H$2,0),FALSE),"Nej, saknas")</f>
        <v>Nej</v>
      </c>
      <c r="P375" s="121" t="str">
        <f t="shared" si="10"/>
        <v>nej</v>
      </c>
      <c r="R375" s="121">
        <f t="shared" si="11"/>
        <v>326</v>
      </c>
    </row>
    <row r="376" spans="1:18" x14ac:dyDescent="0.25">
      <c r="A376" s="137" t="s">
        <v>691</v>
      </c>
      <c r="B376" s="137" t="s">
        <v>692</v>
      </c>
      <c r="C376" s="121">
        <f>IFERROR(VLOOKUP($B376,Miljövärden!$B$3:$H$552,MATCH(C$2,Miljövärden!$B$2:$H$2,0),FALSE),"Saknas")</f>
        <v>0.49571799999999999</v>
      </c>
      <c r="D376" s="121">
        <f>IFERROR(VLOOKUP($B376,Miljövärden!$B$3:$H$552,MATCH(D$2,Miljövärden!$B$2:$H$2,0),FALSE),"Saknas")</f>
        <v>87.194999999999993</v>
      </c>
      <c r="E376" s="121">
        <f>IFERROR(VLOOKUP($B376,Miljövärden!$B$3:$H$552,MATCH(E$2,Miljövärden!$B$2:$H$2,0),FALSE),"Saknas")</f>
        <v>22.020700000000001</v>
      </c>
      <c r="F376" s="121">
        <f>IFERROR(VLOOKUP($B376,Miljövärden!$B$3:$H$552,MATCH(F$2,Miljövärden!$B$2:$H$2,0),FALSE),"Saknas")</f>
        <v>0.21673999999999999</v>
      </c>
      <c r="G376" s="121" t="str">
        <f>IFERROR(VLOOKUP($B376,Miljövärden!$B$3:$H$552,MATCH(G$2,Miljövärden!$B$2:$H$2,0),FALSE),"Nej, saknas")</f>
        <v>Ja</v>
      </c>
      <c r="H376" s="285" t="str">
        <f>IFERROR(VLOOKUP($B376,Miljövärden!$B$3:$H$552,MATCH(H$2,Miljövärden!$B$2:$H$2,0),FALSE),"Nej, saknas")</f>
        <v>Ja</v>
      </c>
      <c r="P376" s="121" t="str">
        <f t="shared" si="10"/>
        <v>ja</v>
      </c>
      <c r="R376" s="121">
        <f t="shared" si="11"/>
        <v>327</v>
      </c>
    </row>
    <row r="377" spans="1:18" x14ac:dyDescent="0.25">
      <c r="A377" s="137" t="s">
        <v>691</v>
      </c>
      <c r="B377" s="137" t="s">
        <v>693</v>
      </c>
      <c r="C377" s="121">
        <f>IFERROR(VLOOKUP($B377,Miljövärden!$B$3:$H$552,MATCH(C$2,Miljövärden!$B$2:$H$2,0),FALSE),"Saknas")</f>
        <v>0</v>
      </c>
      <c r="D377" s="121">
        <f>IFERROR(VLOOKUP($B377,Miljövärden!$B$3:$H$552,MATCH(D$2,Miljövärden!$B$2:$H$2,0),FALSE),"Saknas")</f>
        <v>0</v>
      </c>
      <c r="E377" s="121">
        <f>IFERROR(VLOOKUP($B377,Miljövärden!$B$3:$H$552,MATCH(E$2,Miljövärden!$B$2:$H$2,0),FALSE),"Saknas")</f>
        <v>0</v>
      </c>
      <c r="F377" s="121">
        <f>IFERROR(VLOOKUP($B377,Miljövärden!$B$3:$H$552,MATCH(F$2,Miljövärden!$B$2:$H$2,0),FALSE),"Saknas")</f>
        <v>0</v>
      </c>
      <c r="G377" s="121" t="str">
        <f>IFERROR(VLOOKUP($B377,Miljövärden!$B$3:$H$552,MATCH(G$2,Miljövärden!$B$2:$H$2,0),FALSE),"Nej, saknas")</f>
        <v>Ja</v>
      </c>
      <c r="H377" s="285" t="str">
        <f>IFERROR(VLOOKUP($B377,Miljövärden!$B$3:$H$552,MATCH(H$2,Miljövärden!$B$2:$H$2,0),FALSE),"Nej, saknas")</f>
        <v>Nej</v>
      </c>
      <c r="P377" s="121" t="str">
        <f t="shared" si="10"/>
        <v>nej</v>
      </c>
      <c r="R377" s="121">
        <f t="shared" si="11"/>
        <v>327</v>
      </c>
    </row>
    <row r="378" spans="1:18" x14ac:dyDescent="0.25">
      <c r="A378" s="137" t="s">
        <v>691</v>
      </c>
      <c r="B378" s="137" t="s">
        <v>694</v>
      </c>
      <c r="C378" s="121">
        <f>IFERROR(VLOOKUP($B378,Miljövärden!$B$3:$H$552,MATCH(C$2,Miljövärden!$B$2:$H$2,0),FALSE),"Saknas")</f>
        <v>0</v>
      </c>
      <c r="D378" s="121">
        <f>IFERROR(VLOOKUP($B378,Miljövärden!$B$3:$H$552,MATCH(D$2,Miljövärden!$B$2:$H$2,0),FALSE),"Saknas")</f>
        <v>0</v>
      </c>
      <c r="E378" s="121">
        <f>IFERROR(VLOOKUP($B378,Miljövärden!$B$3:$H$552,MATCH(E$2,Miljövärden!$B$2:$H$2,0),FALSE),"Saknas")</f>
        <v>0</v>
      </c>
      <c r="F378" s="121">
        <f>IFERROR(VLOOKUP($B378,Miljövärden!$B$3:$H$552,MATCH(F$2,Miljövärden!$B$2:$H$2,0),FALSE),"Saknas")</f>
        <v>0</v>
      </c>
      <c r="G378" s="121" t="str">
        <f>IFERROR(VLOOKUP($B378,Miljövärden!$B$3:$H$552,MATCH(G$2,Miljövärden!$B$2:$H$2,0),FALSE),"Nej, saknas")</f>
        <v>Ja</v>
      </c>
      <c r="H378" s="285" t="str">
        <f>IFERROR(VLOOKUP($B378,Miljövärden!$B$3:$H$552,MATCH(H$2,Miljövärden!$B$2:$H$2,0),FALSE),"Nej, saknas")</f>
        <v>Nej</v>
      </c>
      <c r="P378" s="121" t="str">
        <f t="shared" si="10"/>
        <v>nej</v>
      </c>
      <c r="R378" s="121">
        <f t="shared" si="11"/>
        <v>327</v>
      </c>
    </row>
    <row r="379" spans="1:18" x14ac:dyDescent="0.25">
      <c r="A379" s="137" t="s">
        <v>691</v>
      </c>
      <c r="B379" s="137" t="s">
        <v>695</v>
      </c>
      <c r="C379" s="121">
        <f>IFERROR(VLOOKUP($B379,Miljövärden!$B$3:$H$552,MATCH(C$2,Miljövärden!$B$2:$H$2,0),FALSE),"Saknas")</f>
        <v>0.15426200000000001</v>
      </c>
      <c r="D379" s="121">
        <f>IFERROR(VLOOKUP($B379,Miljövärden!$B$3:$H$552,MATCH(D$2,Miljövärden!$B$2:$H$2,0),FALSE),"Saknas")</f>
        <v>4.4095399999999998</v>
      </c>
      <c r="E379" s="121">
        <f>IFERROR(VLOOKUP($B379,Miljövärden!$B$3:$H$552,MATCH(E$2,Miljövärden!$B$2:$H$2,0),FALSE),"Saknas")</f>
        <v>15.433400000000001</v>
      </c>
      <c r="F379" s="121">
        <f>IFERROR(VLOOKUP($B379,Miljövärden!$B$3:$H$552,MATCH(F$2,Miljövärden!$B$2:$H$2,0),FALSE),"Saknas")</f>
        <v>0</v>
      </c>
      <c r="G379" s="121" t="str">
        <f>IFERROR(VLOOKUP($B379,Miljövärden!$B$3:$H$552,MATCH(G$2,Miljövärden!$B$2:$H$2,0),FALSE),"Nej, saknas")</f>
        <v>Ja</v>
      </c>
      <c r="H379" s="285" t="str">
        <f>IFERROR(VLOOKUP($B379,Miljövärden!$B$3:$H$552,MATCH(H$2,Miljövärden!$B$2:$H$2,0),FALSE),"Nej, saknas")</f>
        <v>Ja</v>
      </c>
      <c r="P379" s="121" t="str">
        <f t="shared" si="10"/>
        <v>ja</v>
      </c>
      <c r="R379" s="121">
        <f t="shared" si="11"/>
        <v>328</v>
      </c>
    </row>
    <row r="380" spans="1:18" x14ac:dyDescent="0.25">
      <c r="A380" s="137" t="s">
        <v>691</v>
      </c>
      <c r="B380" s="137" t="s">
        <v>696</v>
      </c>
      <c r="C380" s="121">
        <f>IFERROR(VLOOKUP($B380,Miljövärden!$B$3:$H$552,MATCH(C$2,Miljövärden!$B$2:$H$2,0),FALSE),"Saknas")</f>
        <v>8.5717699999999994E-2</v>
      </c>
      <c r="D380" s="121">
        <f>IFERROR(VLOOKUP($B380,Miljövärden!$B$3:$H$552,MATCH(D$2,Miljövärden!$B$2:$H$2,0),FALSE),"Saknas")</f>
        <v>8.1041399999999992</v>
      </c>
      <c r="E380" s="121">
        <f>IFERROR(VLOOKUP($B380,Miljövärden!$B$3:$H$552,MATCH(E$2,Miljövärden!$B$2:$H$2,0),FALSE),"Saknas")</f>
        <v>10.1774</v>
      </c>
      <c r="F380" s="121">
        <f>IFERROR(VLOOKUP($B380,Miljövärden!$B$3:$H$552,MATCH(F$2,Miljövärden!$B$2:$H$2,0),FALSE),"Saknas")</f>
        <v>6.1166900000000001E-3</v>
      </c>
      <c r="G380" s="121" t="str">
        <f>IFERROR(VLOOKUP($B380,Miljövärden!$B$3:$H$552,MATCH(G$2,Miljövärden!$B$2:$H$2,0),FALSE),"Nej, saknas")</f>
        <v>Ja</v>
      </c>
      <c r="H380" s="285" t="str">
        <f>IFERROR(VLOOKUP($B380,Miljövärden!$B$3:$H$552,MATCH(H$2,Miljövärden!$B$2:$H$2,0),FALSE),"Nej, saknas")</f>
        <v>Ja</v>
      </c>
      <c r="P380" s="121" t="str">
        <f t="shared" si="10"/>
        <v>ja</v>
      </c>
      <c r="R380" s="121">
        <f t="shared" si="11"/>
        <v>329</v>
      </c>
    </row>
    <row r="381" spans="1:18" x14ac:dyDescent="0.25">
      <c r="A381" s="137" t="s">
        <v>691</v>
      </c>
      <c r="B381" s="137" t="s">
        <v>697</v>
      </c>
      <c r="C381" s="121">
        <f>IFERROR(VLOOKUP($B381,Miljövärden!$B$3:$H$552,MATCH(C$2,Miljövärden!$B$2:$H$2,0),FALSE),"Saknas")</f>
        <v>8.5159600000000002E-2</v>
      </c>
      <c r="D381" s="121">
        <f>IFERROR(VLOOKUP($B381,Miljövärden!$B$3:$H$552,MATCH(D$2,Miljövärden!$B$2:$H$2,0),FALSE),"Saknas")</f>
        <v>8.7917400000000008</v>
      </c>
      <c r="E381" s="121">
        <f>IFERROR(VLOOKUP($B381,Miljövärden!$B$3:$H$552,MATCH(E$2,Miljövärden!$B$2:$H$2,0),FALSE),"Saknas")</f>
        <v>7.2196899999999999</v>
      </c>
      <c r="F381" s="121">
        <f>IFERROR(VLOOKUP($B381,Miljövärden!$B$3:$H$552,MATCH(F$2,Miljövärden!$B$2:$H$2,0),FALSE),"Saknas")</f>
        <v>1.4175200000000001E-2</v>
      </c>
      <c r="G381" s="121" t="str">
        <f>IFERROR(VLOOKUP($B381,Miljövärden!$B$3:$H$552,MATCH(G$2,Miljövärden!$B$2:$H$2,0),FALSE),"Nej, saknas")</f>
        <v>Ja</v>
      </c>
      <c r="H381" s="285" t="str">
        <f>IFERROR(VLOOKUP($B381,Miljövärden!$B$3:$H$552,MATCH(H$2,Miljövärden!$B$2:$H$2,0),FALSE),"Nej, saknas")</f>
        <v>Ja</v>
      </c>
      <c r="P381" s="121" t="str">
        <f t="shared" si="10"/>
        <v>ja</v>
      </c>
      <c r="R381" s="121">
        <f t="shared" si="11"/>
        <v>330</v>
      </c>
    </row>
    <row r="382" spans="1:18" x14ac:dyDescent="0.25">
      <c r="A382" s="137" t="s">
        <v>698</v>
      </c>
      <c r="B382" s="137" t="s">
        <v>699</v>
      </c>
      <c r="C382" s="121">
        <f>IFERROR(VLOOKUP($B382,Miljövärden!$B$3:$H$552,MATCH(C$2,Miljövärden!$B$2:$H$2,0),FALSE),"Saknas")</f>
        <v>8.3530300000000002E-2</v>
      </c>
      <c r="D382" s="121">
        <f>IFERROR(VLOOKUP($B382,Miljövärden!$B$3:$H$552,MATCH(D$2,Miljövärden!$B$2:$H$2,0),FALSE),"Saknas")</f>
        <v>23.430700000000002</v>
      </c>
      <c r="E382" s="121">
        <f>IFERROR(VLOOKUP($B382,Miljövärden!$B$3:$H$552,MATCH(E$2,Miljövärden!$B$2:$H$2,0),FALSE),"Saknas")</f>
        <v>8.3649100000000001</v>
      </c>
      <c r="F382" s="121">
        <f>IFERROR(VLOOKUP($B382,Miljövärden!$B$3:$H$552,MATCH(F$2,Miljövärden!$B$2:$H$2,0),FALSE),"Saknas")</f>
        <v>7.3179699999999996E-4</v>
      </c>
      <c r="G382" s="121" t="str">
        <f>IFERROR(VLOOKUP($B382,Miljövärden!$B$3:$H$552,MATCH(G$2,Miljövärden!$B$2:$H$2,0),FALSE),"Nej, saknas")</f>
        <v>Ja</v>
      </c>
      <c r="H382" s="285" t="str">
        <f>IFERROR(VLOOKUP($B382,Miljövärden!$B$3:$H$552,MATCH(H$2,Miljövärden!$B$2:$H$2,0),FALSE),"Nej, saknas")</f>
        <v>Ja</v>
      </c>
      <c r="P382" s="121" t="str">
        <f t="shared" si="10"/>
        <v>ja</v>
      </c>
      <c r="R382" s="121">
        <f t="shared" si="11"/>
        <v>331</v>
      </c>
    </row>
    <row r="383" spans="1:18" x14ac:dyDescent="0.25">
      <c r="A383" s="137" t="s">
        <v>698</v>
      </c>
      <c r="B383" s="137" t="s">
        <v>700</v>
      </c>
      <c r="C383" s="121">
        <f>IFERROR(VLOOKUP($B383,Miljövärden!$B$3:$H$552,MATCH(C$2,Miljövärden!$B$2:$H$2,0),FALSE),"Saknas")</f>
        <v>3.84047E-2</v>
      </c>
      <c r="D383" s="121">
        <f>IFERROR(VLOOKUP($B383,Miljövärden!$B$3:$H$552,MATCH(D$2,Miljövärden!$B$2:$H$2,0),FALSE),"Saknas")</f>
        <v>4.5126999999999997</v>
      </c>
      <c r="E383" s="121">
        <f>IFERROR(VLOOKUP($B383,Miljövärden!$B$3:$H$552,MATCH(E$2,Miljövärden!$B$2:$H$2,0),FALSE),"Saknas")</f>
        <v>8.1020400000000006</v>
      </c>
      <c r="F383" s="121">
        <f>IFERROR(VLOOKUP($B383,Miljövärden!$B$3:$H$552,MATCH(F$2,Miljövärden!$B$2:$H$2,0),FALSE),"Saknas")</f>
        <v>0</v>
      </c>
      <c r="G383" s="121" t="str">
        <f>IFERROR(VLOOKUP($B383,Miljövärden!$B$3:$H$552,MATCH(G$2,Miljövärden!$B$2:$H$2,0),FALSE),"Nej, saknas")</f>
        <v>Ja</v>
      </c>
      <c r="H383" s="285" t="str">
        <f>IFERROR(VLOOKUP($B383,Miljövärden!$B$3:$H$552,MATCH(H$2,Miljövärden!$B$2:$H$2,0),FALSE),"Nej, saknas")</f>
        <v>Ja</v>
      </c>
      <c r="P383" s="121" t="str">
        <f t="shared" si="10"/>
        <v>ja</v>
      </c>
      <c r="R383" s="121">
        <f t="shared" si="11"/>
        <v>332</v>
      </c>
    </row>
    <row r="384" spans="1:18" x14ac:dyDescent="0.25">
      <c r="A384" s="137" t="s">
        <v>698</v>
      </c>
      <c r="B384" s="137" t="s">
        <v>701</v>
      </c>
      <c r="C384" s="121">
        <f>IFERROR(VLOOKUP($B384,Miljövärden!$B$3:$H$552,MATCH(C$2,Miljövärden!$B$2:$H$2,0),FALSE),"Saknas")</f>
        <v>7.7901999999999999E-2</v>
      </c>
      <c r="D384" s="121">
        <f>IFERROR(VLOOKUP($B384,Miljövärden!$B$3:$H$552,MATCH(D$2,Miljövärden!$B$2:$H$2,0),FALSE),"Saknas")</f>
        <v>10.635</v>
      </c>
      <c r="E384" s="121">
        <f>IFERROR(VLOOKUP($B384,Miljövärden!$B$3:$H$552,MATCH(E$2,Miljövärden!$B$2:$H$2,0),FALSE),"Saknas")</f>
        <v>4.5627000000000004</v>
      </c>
      <c r="F384" s="121">
        <f>IFERROR(VLOOKUP($B384,Miljövärden!$B$3:$H$552,MATCH(F$2,Miljövärden!$B$2:$H$2,0),FALSE),"Saknas")</f>
        <v>1.9501000000000001E-2</v>
      </c>
      <c r="G384" s="121" t="str">
        <f>IFERROR(VLOOKUP($B384,Miljövärden!$B$3:$H$552,MATCH(G$2,Miljövärden!$B$2:$H$2,0),FALSE),"Nej, saknas")</f>
        <v>Ja</v>
      </c>
      <c r="H384" s="285" t="str">
        <f>IFERROR(VLOOKUP($B384,Miljövärden!$B$3:$H$552,MATCH(H$2,Miljövärden!$B$2:$H$2,0),FALSE),"Nej, saknas")</f>
        <v>Ja</v>
      </c>
      <c r="P384" s="121" t="str">
        <f t="shared" si="10"/>
        <v>ja</v>
      </c>
      <c r="R384" s="121">
        <f t="shared" si="11"/>
        <v>333</v>
      </c>
    </row>
    <row r="385" spans="1:18" x14ac:dyDescent="0.25">
      <c r="A385" s="137" t="s">
        <v>698</v>
      </c>
      <c r="B385" s="137" t="s">
        <v>702</v>
      </c>
      <c r="C385" s="121">
        <f>IFERROR(VLOOKUP($B385,Miljövärden!$B$3:$H$552,MATCH(C$2,Miljövärden!$B$2:$H$2,0),FALSE),"Saknas")</f>
        <v>4.4255999999999997E-2</v>
      </c>
      <c r="D385" s="121">
        <f>IFERROR(VLOOKUP($B385,Miljövärden!$B$3:$H$552,MATCH(D$2,Miljövärden!$B$2:$H$2,0),FALSE),"Saknas")</f>
        <v>7.78965</v>
      </c>
      <c r="E385" s="121">
        <f>IFERROR(VLOOKUP($B385,Miljövärden!$B$3:$H$552,MATCH(E$2,Miljövärden!$B$2:$H$2,0),FALSE),"Saknas")</f>
        <v>1.6733100000000001</v>
      </c>
      <c r="F385" s="121">
        <f>IFERROR(VLOOKUP($B385,Miljövärden!$B$3:$H$552,MATCH(F$2,Miljövärden!$B$2:$H$2,0),FALSE),"Saknas")</f>
        <v>2.1201600000000001E-2</v>
      </c>
      <c r="G385" s="121" t="str">
        <f>IFERROR(VLOOKUP($B385,Miljövärden!$B$3:$H$552,MATCH(G$2,Miljövärden!$B$2:$H$2,0),FALSE),"Nej, saknas")</f>
        <v>Ja</v>
      </c>
      <c r="H385" s="285" t="str">
        <f>IFERROR(VLOOKUP($B385,Miljövärden!$B$3:$H$552,MATCH(H$2,Miljövärden!$B$2:$H$2,0),FALSE),"Nej, saknas")</f>
        <v>Ja</v>
      </c>
      <c r="P385" s="121" t="str">
        <f t="shared" si="10"/>
        <v>ja</v>
      </c>
      <c r="R385" s="121">
        <f t="shared" si="11"/>
        <v>334</v>
      </c>
    </row>
    <row r="386" spans="1:18" x14ac:dyDescent="0.25">
      <c r="A386" s="137" t="s">
        <v>703</v>
      </c>
      <c r="B386" s="137" t="s">
        <v>704</v>
      </c>
      <c r="C386" s="121">
        <f>IFERROR(VLOOKUP($B386,Miljövärden!$B$3:$H$552,MATCH(C$2,Miljövärden!$B$2:$H$2,0),FALSE),"Saknas")</f>
        <v>0.22767799999999999</v>
      </c>
      <c r="D386" s="121">
        <f>IFERROR(VLOOKUP($B386,Miljövärden!$B$3:$H$552,MATCH(D$2,Miljövärden!$B$2:$H$2,0),FALSE),"Saknas")</f>
        <v>39.203299999999999</v>
      </c>
      <c r="E386" s="121">
        <f>IFERROR(VLOOKUP($B386,Miljövärden!$B$3:$H$552,MATCH(E$2,Miljövärden!$B$2:$H$2,0),FALSE),"Saknas")</f>
        <v>12.997299999999999</v>
      </c>
      <c r="F386" s="121">
        <f>IFERROR(VLOOKUP($B386,Miljövärden!$B$3:$H$552,MATCH(F$2,Miljövärden!$B$2:$H$2,0),FALSE),"Saknas")</f>
        <v>4.8132099999999997E-2</v>
      </c>
      <c r="G386" s="121" t="str">
        <f>IFERROR(VLOOKUP($B386,Miljövärden!$B$3:$H$552,MATCH(G$2,Miljövärden!$B$2:$H$2,0),FALSE),"Nej, saknas")</f>
        <v>Nej</v>
      </c>
      <c r="H386" s="285" t="str">
        <f>IFERROR(VLOOKUP($B386,Miljövärden!$B$3:$H$552,MATCH(H$2,Miljövärden!$B$2:$H$2,0),FALSE),"Nej, saknas")</f>
        <v>Ja</v>
      </c>
      <c r="P386" s="121" t="str">
        <f t="shared" si="10"/>
        <v>ja</v>
      </c>
      <c r="R386" s="121">
        <f t="shared" si="11"/>
        <v>335</v>
      </c>
    </row>
    <row r="387" spans="1:18" x14ac:dyDescent="0.25">
      <c r="A387" s="137" t="s">
        <v>703</v>
      </c>
      <c r="B387" s="137" t="s">
        <v>705</v>
      </c>
      <c r="C387" s="121">
        <f>IFERROR(VLOOKUP($B387,Miljövärden!$B$3:$H$552,MATCH(C$2,Miljövärden!$B$2:$H$2,0),FALSE),"Saknas")</f>
        <v>0.33182099999999998</v>
      </c>
      <c r="D387" s="121">
        <f>IFERROR(VLOOKUP($B387,Miljövärden!$B$3:$H$552,MATCH(D$2,Miljövärden!$B$2:$H$2,0),FALSE),"Saknas")</f>
        <v>67.870500000000007</v>
      </c>
      <c r="E387" s="121">
        <f>IFERROR(VLOOKUP($B387,Miljövärden!$B$3:$H$552,MATCH(E$2,Miljövärden!$B$2:$H$2,0),FALSE),"Saknas")</f>
        <v>13.313800000000001</v>
      </c>
      <c r="F387" s="121">
        <f>IFERROR(VLOOKUP($B387,Miljövärden!$B$3:$H$552,MATCH(F$2,Miljövärden!$B$2:$H$2,0),FALSE),"Saknas")</f>
        <v>0.134326</v>
      </c>
      <c r="G387" s="121" t="str">
        <f>IFERROR(VLOOKUP($B387,Miljövärden!$B$3:$H$552,MATCH(G$2,Miljövärden!$B$2:$H$2,0),FALSE),"Nej, saknas")</f>
        <v>Nej</v>
      </c>
      <c r="H387" s="285" t="str">
        <f>IFERROR(VLOOKUP($B387,Miljövärden!$B$3:$H$552,MATCH(H$2,Miljövärden!$B$2:$H$2,0),FALSE),"Nej, saknas")</f>
        <v>Ja</v>
      </c>
      <c r="P387" s="121" t="str">
        <f t="shared" si="10"/>
        <v>ja</v>
      </c>
      <c r="R387" s="121">
        <f t="shared" si="11"/>
        <v>336</v>
      </c>
    </row>
    <row r="388" spans="1:18" x14ac:dyDescent="0.25">
      <c r="A388" s="137" t="s">
        <v>703</v>
      </c>
      <c r="B388" s="137" t="s">
        <v>706</v>
      </c>
      <c r="C388" s="121">
        <f>IFERROR(VLOOKUP($B388,Miljövärden!$B$3:$H$552,MATCH(C$2,Miljövärden!$B$2:$H$2,0),FALSE),"Saknas")</f>
        <v>0.21398400000000001</v>
      </c>
      <c r="D388" s="121">
        <f>IFERROR(VLOOKUP($B388,Miljövärden!$B$3:$H$552,MATCH(D$2,Miljövärden!$B$2:$H$2,0),FALSE),"Saknas")</f>
        <v>167.59100000000001</v>
      </c>
      <c r="E388" s="121">
        <f>IFERROR(VLOOKUP($B388,Miljövärden!$B$3:$H$552,MATCH(E$2,Miljövärden!$B$2:$H$2,0),FALSE),"Saknas")</f>
        <v>7.0116899999999998</v>
      </c>
      <c r="F388" s="121">
        <f>IFERROR(VLOOKUP($B388,Miljövärden!$B$3:$H$552,MATCH(F$2,Miljövärden!$B$2:$H$2,0),FALSE),"Saknas")</f>
        <v>3.0309099999999999E-2</v>
      </c>
      <c r="G388" s="121" t="str">
        <f>IFERROR(VLOOKUP($B388,Miljövärden!$B$3:$H$552,MATCH(G$2,Miljövärden!$B$2:$H$2,0),FALSE),"Nej, saknas")</f>
        <v>Nej</v>
      </c>
      <c r="H388" s="285" t="str">
        <f>IFERROR(VLOOKUP($B388,Miljövärden!$B$3:$H$552,MATCH(H$2,Miljövärden!$B$2:$H$2,0),FALSE),"Nej, saknas")</f>
        <v>Ja</v>
      </c>
      <c r="P388" s="121" t="str">
        <f t="shared" ref="P388:P416" si="12">IF(K388="x","nej",
IF(L388="x","ja",
IF(H388="ja","ja","nej")))</f>
        <v>ja</v>
      </c>
      <c r="R388" s="121">
        <f t="shared" ref="R388:R416" si="13">IF(ISERROR(P388),R387,IF(P388="ja",R387+1,R387))</f>
        <v>337</v>
      </c>
    </row>
    <row r="389" spans="1:18" x14ac:dyDescent="0.25">
      <c r="A389" s="137" t="s">
        <v>707</v>
      </c>
      <c r="B389" s="137" t="s">
        <v>708</v>
      </c>
      <c r="C389" s="121">
        <f>IFERROR(VLOOKUP($B389,Miljövärden!$B$3:$H$552,MATCH(C$2,Miljövärden!$B$2:$H$2,0),FALSE),"Saknas")</f>
        <v>4.3800600000000002E-5</v>
      </c>
      <c r="D389" s="121">
        <f>IFERROR(VLOOKUP($B389,Miljövärden!$B$3:$H$552,MATCH(D$2,Miljövärden!$B$2:$H$2,0),FALSE),"Saknas")</f>
        <v>3.4802399999999997E-2</v>
      </c>
      <c r="E389" s="121">
        <f>IFERROR(VLOOKUP($B389,Miljövärden!$B$3:$H$552,MATCH(E$2,Miljövärden!$B$2:$H$2,0),FALSE),"Saknas")</f>
        <v>4.0085600000000004E-3</v>
      </c>
      <c r="F389" s="121">
        <f>IFERROR(VLOOKUP($B389,Miljövärden!$B$3:$H$552,MATCH(F$2,Miljövärden!$B$2:$H$2,0),FALSE),"Saknas")</f>
        <v>0</v>
      </c>
      <c r="G389" s="121" t="str">
        <f>IFERROR(VLOOKUP($B389,Miljövärden!$B$3:$H$552,MATCH(G$2,Miljövärden!$B$2:$H$2,0),FALSE),"Nej, saknas")</f>
        <v>Ja</v>
      </c>
      <c r="H389" s="285" t="str">
        <f>IFERROR(VLOOKUP($B389,Miljövärden!$B$3:$H$552,MATCH(H$2,Miljövärden!$B$2:$H$2,0),FALSE),"Nej, saknas")</f>
        <v>Ja</v>
      </c>
      <c r="P389" s="121" t="str">
        <f t="shared" si="12"/>
        <v>ja</v>
      </c>
      <c r="R389" s="121">
        <f t="shared" si="13"/>
        <v>338</v>
      </c>
    </row>
    <row r="390" spans="1:18" x14ac:dyDescent="0.25">
      <c r="A390" s="137" t="s">
        <v>707</v>
      </c>
      <c r="B390" s="137" t="s">
        <v>709</v>
      </c>
      <c r="C390" s="121">
        <f>IFERROR(VLOOKUP($B390,Miljövärden!$B$3:$H$552,MATCH(C$2,Miljövärden!$B$2:$H$2,0),FALSE),"Saknas")</f>
        <v>0</v>
      </c>
      <c r="D390" s="121">
        <f>IFERROR(VLOOKUP($B390,Miljövärden!$B$3:$H$552,MATCH(D$2,Miljövärden!$B$2:$H$2,0),FALSE),"Saknas")</f>
        <v>0</v>
      </c>
      <c r="E390" s="121">
        <f>IFERROR(VLOOKUP($B390,Miljövärden!$B$3:$H$552,MATCH(E$2,Miljövärden!$B$2:$H$2,0),FALSE),"Saknas")</f>
        <v>0</v>
      </c>
      <c r="F390" s="121">
        <f>IFERROR(VLOOKUP($B390,Miljövärden!$B$3:$H$552,MATCH(F$2,Miljövärden!$B$2:$H$2,0),FALSE),"Saknas")</f>
        <v>0</v>
      </c>
      <c r="G390" s="121" t="str">
        <f>IFERROR(VLOOKUP($B390,Miljövärden!$B$3:$H$552,MATCH(G$2,Miljövärden!$B$2:$H$2,0),FALSE),"Nej, saknas")</f>
        <v>Nej</v>
      </c>
      <c r="H390" s="285" t="str">
        <f>IFERROR(VLOOKUP($B390,Miljövärden!$B$3:$H$552,MATCH(H$2,Miljövärden!$B$2:$H$2,0),FALSE),"Nej, saknas")</f>
        <v>Nej</v>
      </c>
      <c r="P390" s="121" t="str">
        <f t="shared" si="12"/>
        <v>nej</v>
      </c>
      <c r="R390" s="121">
        <f t="shared" si="13"/>
        <v>338</v>
      </c>
    </row>
    <row r="391" spans="1:18" x14ac:dyDescent="0.25">
      <c r="A391" s="137" t="s">
        <v>707</v>
      </c>
      <c r="B391" s="137" t="s">
        <v>710</v>
      </c>
      <c r="C391" s="121">
        <f>IFERROR(VLOOKUP($B391,Miljövärden!$B$3:$H$552,MATCH(C$2,Miljövärden!$B$2:$H$2,0),FALSE),"Saknas")</f>
        <v>0.11347599999999999</v>
      </c>
      <c r="D391" s="121">
        <f>IFERROR(VLOOKUP($B391,Miljövärden!$B$3:$H$552,MATCH(D$2,Miljövärden!$B$2:$H$2,0),FALSE),"Saknas")</f>
        <v>4.0319500000000001</v>
      </c>
      <c r="E391" s="121">
        <f>IFERROR(VLOOKUP($B391,Miljövärden!$B$3:$H$552,MATCH(E$2,Miljövärden!$B$2:$H$2,0),FALSE),"Saknas")</f>
        <v>14.061</v>
      </c>
      <c r="F391" s="121">
        <f>IFERROR(VLOOKUP($B391,Miljövärden!$B$3:$H$552,MATCH(F$2,Miljövärden!$B$2:$H$2,0),FALSE),"Saknas")</f>
        <v>1.0153499999999999E-3</v>
      </c>
      <c r="G391" s="121" t="str">
        <f>IFERROR(VLOOKUP($B391,Miljövärden!$B$3:$H$552,MATCH(G$2,Miljövärden!$B$2:$H$2,0),FALSE),"Nej, saknas")</f>
        <v>Ja</v>
      </c>
      <c r="H391" s="285" t="str">
        <f>IFERROR(VLOOKUP($B391,Miljövärden!$B$3:$H$552,MATCH(H$2,Miljövärden!$B$2:$H$2,0),FALSE),"Nej, saknas")</f>
        <v>Ja</v>
      </c>
      <c r="P391" s="121" t="str">
        <f t="shared" si="12"/>
        <v>ja</v>
      </c>
      <c r="R391" s="121">
        <f t="shared" si="13"/>
        <v>339</v>
      </c>
    </row>
    <row r="392" spans="1:18" x14ac:dyDescent="0.25">
      <c r="A392" s="137" t="s">
        <v>707</v>
      </c>
      <c r="B392" s="137" t="s">
        <v>711</v>
      </c>
      <c r="C392" s="121">
        <f>IFERROR(VLOOKUP($B392,Miljövärden!$B$3:$H$552,MATCH(C$2,Miljövärden!$B$2:$H$2,0),FALSE),"Saknas")</f>
        <v>0</v>
      </c>
      <c r="D392" s="121">
        <f>IFERROR(VLOOKUP($B392,Miljövärden!$B$3:$H$552,MATCH(D$2,Miljövärden!$B$2:$H$2,0),FALSE),"Saknas")</f>
        <v>0</v>
      </c>
      <c r="E392" s="121">
        <f>IFERROR(VLOOKUP($B392,Miljövärden!$B$3:$H$552,MATCH(E$2,Miljövärden!$B$2:$H$2,0),FALSE),"Saknas")</f>
        <v>0</v>
      </c>
      <c r="F392" s="121">
        <f>IFERROR(VLOOKUP($B392,Miljövärden!$B$3:$H$552,MATCH(F$2,Miljövärden!$B$2:$H$2,0),FALSE),"Saknas")</f>
        <v>0</v>
      </c>
      <c r="G392" s="121" t="str">
        <f>IFERROR(VLOOKUP($B392,Miljövärden!$B$3:$H$552,MATCH(G$2,Miljövärden!$B$2:$H$2,0),FALSE),"Nej, saknas")</f>
        <v>Nej</v>
      </c>
      <c r="H392" s="285" t="str">
        <f>IFERROR(VLOOKUP($B392,Miljövärden!$B$3:$H$552,MATCH(H$2,Miljövärden!$B$2:$H$2,0),FALSE),"Nej, saknas")</f>
        <v>Nej</v>
      </c>
      <c r="P392" s="121" t="str">
        <f t="shared" si="12"/>
        <v>nej</v>
      </c>
      <c r="R392" s="121">
        <f t="shared" si="13"/>
        <v>339</v>
      </c>
    </row>
    <row r="393" spans="1:18" x14ac:dyDescent="0.25">
      <c r="A393" s="137" t="s">
        <v>712</v>
      </c>
      <c r="B393" s="137" t="s">
        <v>713</v>
      </c>
      <c r="C393" s="121">
        <f>IFERROR(VLOOKUP($B393,Miljövärden!$B$3:$H$552,MATCH(C$2,Miljövärden!$B$2:$H$2,0),FALSE),"Saknas")</f>
        <v>7.0259600000000005E-2</v>
      </c>
      <c r="D393" s="121">
        <f>IFERROR(VLOOKUP($B393,Miljövärden!$B$3:$H$552,MATCH(D$2,Miljövärden!$B$2:$H$2,0),FALSE),"Saknas")</f>
        <v>5.5744800000000003</v>
      </c>
      <c r="E393" s="121">
        <f>IFERROR(VLOOKUP($B393,Miljövärden!$B$3:$H$552,MATCH(E$2,Miljövärden!$B$2:$H$2,0),FALSE),"Saknas")</f>
        <v>12.1187</v>
      </c>
      <c r="F393" s="121">
        <f>IFERROR(VLOOKUP($B393,Miljövärden!$B$3:$H$552,MATCH(F$2,Miljövärden!$B$2:$H$2,0),FALSE),"Saknas")</f>
        <v>0</v>
      </c>
      <c r="G393" s="121" t="str">
        <f>IFERROR(VLOOKUP($B393,Miljövärden!$B$3:$H$552,MATCH(G$2,Miljövärden!$B$2:$H$2,0),FALSE),"Nej, saknas")</f>
        <v>Ja</v>
      </c>
      <c r="H393" s="285" t="str">
        <f>IFERROR(VLOOKUP($B393,Miljövärden!$B$3:$H$552,MATCH(H$2,Miljövärden!$B$2:$H$2,0),FALSE),"Nej, saknas")</f>
        <v>Ja</v>
      </c>
      <c r="P393" s="121" t="str">
        <f t="shared" si="12"/>
        <v>ja</v>
      </c>
      <c r="R393" s="121">
        <f t="shared" si="13"/>
        <v>340</v>
      </c>
    </row>
    <row r="394" spans="1:18" x14ac:dyDescent="0.25">
      <c r="A394" s="137" t="s">
        <v>712</v>
      </c>
      <c r="B394" s="137" t="s">
        <v>714</v>
      </c>
      <c r="C394" s="121">
        <f>IFERROR(VLOOKUP($B394,Miljövärden!$B$3:$H$552,MATCH(C$2,Miljövärden!$B$2:$H$2,0),FALSE),"Saknas")</f>
        <v>8.9627499999999999E-2</v>
      </c>
      <c r="D394" s="121">
        <f>IFERROR(VLOOKUP($B394,Miljövärden!$B$3:$H$552,MATCH(D$2,Miljövärden!$B$2:$H$2,0),FALSE),"Saknas")</f>
        <v>5.2301399999999996</v>
      </c>
      <c r="E394" s="121">
        <f>IFERROR(VLOOKUP($B394,Miljövärden!$B$3:$H$552,MATCH(E$2,Miljövärden!$B$2:$H$2,0),FALSE),"Saknas")</f>
        <v>13.3779</v>
      </c>
      <c r="F394" s="121">
        <f>IFERROR(VLOOKUP($B394,Miljövärden!$B$3:$H$552,MATCH(F$2,Miljövärden!$B$2:$H$2,0),FALSE),"Saknas")</f>
        <v>0</v>
      </c>
      <c r="G394" s="121" t="str">
        <f>IFERROR(VLOOKUP($B394,Miljövärden!$B$3:$H$552,MATCH(G$2,Miljövärden!$B$2:$H$2,0),FALSE),"Nej, saknas")</f>
        <v>Ja</v>
      </c>
      <c r="H394" s="285" t="str">
        <f>IFERROR(VLOOKUP($B394,Miljövärden!$B$3:$H$552,MATCH(H$2,Miljövärden!$B$2:$H$2,0),FALSE),"Nej, saknas")</f>
        <v>Ja</v>
      </c>
      <c r="P394" s="121" t="str">
        <f t="shared" si="12"/>
        <v>ja</v>
      </c>
      <c r="R394" s="121">
        <f t="shared" si="13"/>
        <v>341</v>
      </c>
    </row>
    <row r="395" spans="1:18" x14ac:dyDescent="0.25">
      <c r="A395" s="137" t="s">
        <v>712</v>
      </c>
      <c r="B395" s="137" t="s">
        <v>715</v>
      </c>
      <c r="C395" s="121">
        <f>IFERROR(VLOOKUP($B395,Miljövärden!$B$3:$H$552,MATCH(C$2,Miljövärden!$B$2:$H$2,0),FALSE),"Saknas")</f>
        <v>4.44219E-2</v>
      </c>
      <c r="D395" s="121">
        <f>IFERROR(VLOOKUP($B395,Miljövärden!$B$3:$H$552,MATCH(D$2,Miljövärden!$B$2:$H$2,0),FALSE),"Saknas")</f>
        <v>5.1340199999999996</v>
      </c>
      <c r="E395" s="121">
        <f>IFERROR(VLOOKUP($B395,Miljövärden!$B$3:$H$552,MATCH(E$2,Miljövärden!$B$2:$H$2,0),FALSE),"Saknas")</f>
        <v>9.3212600000000005</v>
      </c>
      <c r="F395" s="121">
        <f>IFERROR(VLOOKUP($B395,Miljövärden!$B$3:$H$552,MATCH(F$2,Miljövärden!$B$2:$H$2,0),FALSE),"Saknas")</f>
        <v>0</v>
      </c>
      <c r="G395" s="121" t="str">
        <f>IFERROR(VLOOKUP($B395,Miljövärden!$B$3:$H$552,MATCH(G$2,Miljövärden!$B$2:$H$2,0),FALSE),"Nej, saknas")</f>
        <v>Ja</v>
      </c>
      <c r="H395" s="285" t="str">
        <f>IFERROR(VLOOKUP($B395,Miljövärden!$B$3:$H$552,MATCH(H$2,Miljövärden!$B$2:$H$2,0),FALSE),"Nej, saknas")</f>
        <v>Ja</v>
      </c>
      <c r="P395" s="121" t="str">
        <f t="shared" si="12"/>
        <v>ja</v>
      </c>
      <c r="R395" s="121">
        <f t="shared" si="13"/>
        <v>342</v>
      </c>
    </row>
    <row r="396" spans="1:18" x14ac:dyDescent="0.25">
      <c r="A396" s="137" t="s">
        <v>712</v>
      </c>
      <c r="B396" s="137" t="s">
        <v>716</v>
      </c>
      <c r="C396" s="121">
        <f>IFERROR(VLOOKUP($B396,Miljövärden!$B$3:$H$552,MATCH(C$2,Miljövärden!$B$2:$H$2,0),FALSE),"Saknas")</f>
        <v>3.6345500000000003E-2</v>
      </c>
      <c r="D396" s="121">
        <f>IFERROR(VLOOKUP($B396,Miljövärden!$B$3:$H$552,MATCH(D$2,Miljövärden!$B$2:$H$2,0),FALSE),"Saknas")</f>
        <v>3.09748</v>
      </c>
      <c r="E396" s="121">
        <f>IFERROR(VLOOKUP($B396,Miljövärden!$B$3:$H$552,MATCH(E$2,Miljövärden!$B$2:$H$2,0),FALSE),"Saknas")</f>
        <v>5.4206000000000003</v>
      </c>
      <c r="F396" s="121">
        <f>IFERROR(VLOOKUP($B396,Miljövärden!$B$3:$H$552,MATCH(F$2,Miljövärden!$B$2:$H$2,0),FALSE),"Saknas")</f>
        <v>0</v>
      </c>
      <c r="G396" s="121" t="str">
        <f>IFERROR(VLOOKUP($B396,Miljövärden!$B$3:$H$552,MATCH(G$2,Miljövärden!$B$2:$H$2,0),FALSE),"Nej, saknas")</f>
        <v>Ja</v>
      </c>
      <c r="H396" s="285" t="str">
        <f>IFERROR(VLOOKUP($B396,Miljövärden!$B$3:$H$552,MATCH(H$2,Miljövärden!$B$2:$H$2,0),FALSE),"Nej, saknas")</f>
        <v>Ja</v>
      </c>
      <c r="P396" s="121" t="str">
        <f t="shared" si="12"/>
        <v>ja</v>
      </c>
      <c r="R396" s="121">
        <f t="shared" si="13"/>
        <v>343</v>
      </c>
    </row>
    <row r="397" spans="1:18" x14ac:dyDescent="0.25">
      <c r="A397" s="137" t="s">
        <v>712</v>
      </c>
      <c r="B397" s="137" t="s">
        <v>717</v>
      </c>
      <c r="C397" s="121">
        <f>IFERROR(VLOOKUP($B397,Miljövärden!$B$3:$H$552,MATCH(C$2,Miljövärden!$B$2:$H$2,0),FALSE),"Saknas")</f>
        <v>8.6899699999999996E-2</v>
      </c>
      <c r="D397" s="121">
        <f>IFERROR(VLOOKUP($B397,Miljövärden!$B$3:$H$552,MATCH(D$2,Miljövärden!$B$2:$H$2,0),FALSE),"Saknas")</f>
        <v>26.2042</v>
      </c>
      <c r="E397" s="121">
        <f>IFERROR(VLOOKUP($B397,Miljövärden!$B$3:$H$552,MATCH(E$2,Miljövärden!$B$2:$H$2,0),FALSE),"Saknas")</f>
        <v>7.3947599999999998</v>
      </c>
      <c r="F397" s="121">
        <f>IFERROR(VLOOKUP($B397,Miljövärden!$B$3:$H$552,MATCH(F$2,Miljövärden!$B$2:$H$2,0),FALSE),"Saknas")</f>
        <v>3.5462699999999998E-3</v>
      </c>
      <c r="G397" s="121" t="str">
        <f>IFERROR(VLOOKUP($B397,Miljövärden!$B$3:$H$552,MATCH(G$2,Miljövärden!$B$2:$H$2,0),FALSE),"Nej, saknas")</f>
        <v>Ja</v>
      </c>
      <c r="H397" s="285" t="str">
        <f>IFERROR(VLOOKUP($B397,Miljövärden!$B$3:$H$552,MATCH(H$2,Miljövärden!$B$2:$H$2,0),FALSE),"Nej, saknas")</f>
        <v>Ja</v>
      </c>
      <c r="P397" s="121" t="str">
        <f t="shared" si="12"/>
        <v>ja</v>
      </c>
      <c r="R397" s="121">
        <f t="shared" si="13"/>
        <v>344</v>
      </c>
    </row>
    <row r="398" spans="1:18" x14ac:dyDescent="0.25">
      <c r="A398" s="137" t="s">
        <v>712</v>
      </c>
      <c r="B398" s="137" t="s">
        <v>718</v>
      </c>
      <c r="C398" s="121">
        <f>IFERROR(VLOOKUP($B398,Miljövärden!$B$3:$H$552,MATCH(C$2,Miljövärden!$B$2:$H$2,0),FALSE),"Saknas")</f>
        <v>0</v>
      </c>
      <c r="D398" s="121">
        <f>IFERROR(VLOOKUP($B398,Miljövärden!$B$3:$H$552,MATCH(D$2,Miljövärden!$B$2:$H$2,0),FALSE),"Saknas")</f>
        <v>0</v>
      </c>
      <c r="E398" s="121">
        <f>IFERROR(VLOOKUP($B398,Miljövärden!$B$3:$H$552,MATCH(E$2,Miljövärden!$B$2:$H$2,0),FALSE),"Saknas")</f>
        <v>0</v>
      </c>
      <c r="F398" s="121">
        <f>IFERROR(VLOOKUP($B398,Miljövärden!$B$3:$H$552,MATCH(F$2,Miljövärden!$B$2:$H$2,0),FALSE),"Saknas")</f>
        <v>0</v>
      </c>
      <c r="G398" s="121" t="str">
        <f>IFERROR(VLOOKUP($B398,Miljövärden!$B$3:$H$552,MATCH(G$2,Miljövärden!$B$2:$H$2,0),FALSE),"Nej, saknas")</f>
        <v>Ja</v>
      </c>
      <c r="H398" s="285" t="str">
        <f>IFERROR(VLOOKUP($B398,Miljövärden!$B$3:$H$552,MATCH(H$2,Miljövärden!$B$2:$H$2,0),FALSE),"Nej, saknas")</f>
        <v>Nej</v>
      </c>
      <c r="P398" s="121" t="str">
        <f t="shared" si="12"/>
        <v>nej</v>
      </c>
      <c r="R398" s="121">
        <f t="shared" si="13"/>
        <v>344</v>
      </c>
    </row>
    <row r="399" spans="1:18" x14ac:dyDescent="0.25">
      <c r="A399" s="137" t="s">
        <v>719</v>
      </c>
      <c r="B399" s="137" t="s">
        <v>720</v>
      </c>
      <c r="C399" s="121">
        <f>IFERROR(VLOOKUP($B399,Miljövärden!$B$3:$H$552,MATCH(C$2,Miljövärden!$B$2:$H$2,0),FALSE),"Saknas")</f>
        <v>0.16696900000000001</v>
      </c>
      <c r="D399" s="121">
        <f>IFERROR(VLOOKUP($B399,Miljövärden!$B$3:$H$552,MATCH(D$2,Miljövärden!$B$2:$H$2,0),FALSE),"Saknas")</f>
        <v>25.057400000000001</v>
      </c>
      <c r="E399" s="121">
        <f>IFERROR(VLOOKUP($B399,Miljövärden!$B$3:$H$552,MATCH(E$2,Miljövärden!$B$2:$H$2,0),FALSE),"Saknas")</f>
        <v>9.9869900000000005</v>
      </c>
      <c r="F399" s="121">
        <f>IFERROR(VLOOKUP($B399,Miljövärden!$B$3:$H$552,MATCH(F$2,Miljövärden!$B$2:$H$2,0),FALSE),"Saknas")</f>
        <v>5.4309900000000001E-2</v>
      </c>
      <c r="G399" s="121" t="str">
        <f>IFERROR(VLOOKUP($B399,Miljövärden!$B$3:$H$552,MATCH(G$2,Miljövärden!$B$2:$H$2,0),FALSE),"Nej, saknas")</f>
        <v>Ja</v>
      </c>
      <c r="H399" s="285" t="str">
        <f>IFERROR(VLOOKUP($B399,Miljövärden!$B$3:$H$552,MATCH(H$2,Miljövärden!$B$2:$H$2,0),FALSE),"Nej, saknas")</f>
        <v>Ja</v>
      </c>
      <c r="P399" s="121" t="str">
        <f t="shared" si="12"/>
        <v>ja</v>
      </c>
      <c r="R399" s="121">
        <f t="shared" si="13"/>
        <v>345</v>
      </c>
    </row>
    <row r="400" spans="1:18" x14ac:dyDescent="0.25">
      <c r="A400" s="137" t="s">
        <v>721</v>
      </c>
      <c r="B400" s="137" t="s">
        <v>722</v>
      </c>
      <c r="C400" s="121">
        <f>IFERROR(VLOOKUP($B400,Miljövärden!$B$3:$H$552,MATCH(C$2,Miljövärden!$B$2:$H$2,0),FALSE),"Saknas")</f>
        <v>0.222164</v>
      </c>
      <c r="D400" s="121">
        <f>IFERROR(VLOOKUP($B400,Miljövärden!$B$3:$H$552,MATCH(D$2,Miljövärden!$B$2:$H$2,0),FALSE),"Saknas")</f>
        <v>17.582100000000001</v>
      </c>
      <c r="E400" s="121">
        <f>IFERROR(VLOOKUP($B400,Miljövärden!$B$3:$H$552,MATCH(E$2,Miljövärden!$B$2:$H$2,0),FALSE),"Saknas")</f>
        <v>17.7881</v>
      </c>
      <c r="F400" s="121">
        <f>IFERROR(VLOOKUP($B400,Miljövärden!$B$3:$H$552,MATCH(F$2,Miljövärden!$B$2:$H$2,0),FALSE),"Saknas")</f>
        <v>3.78251E-2</v>
      </c>
      <c r="G400" s="121" t="str">
        <f>IFERROR(VLOOKUP($B400,Miljövärden!$B$3:$H$552,MATCH(G$2,Miljövärden!$B$2:$H$2,0),FALSE),"Nej, saknas")</f>
        <v>Ja</v>
      </c>
      <c r="H400" s="285" t="str">
        <f>IFERROR(VLOOKUP($B400,Miljövärden!$B$3:$H$552,MATCH(H$2,Miljövärden!$B$2:$H$2,0),FALSE),"Nej, saknas")</f>
        <v>Ja</v>
      </c>
      <c r="P400" s="121" t="str">
        <f t="shared" si="12"/>
        <v>ja</v>
      </c>
      <c r="R400" s="121">
        <f t="shared" si="13"/>
        <v>346</v>
      </c>
    </row>
    <row r="401" spans="1:18" x14ac:dyDescent="0.25">
      <c r="A401" s="137" t="s">
        <v>721</v>
      </c>
      <c r="B401" s="137" t="s">
        <v>723</v>
      </c>
      <c r="C401" s="121">
        <f>IFERROR(VLOOKUP($B401,Miljövärden!$B$3:$H$552,MATCH(C$2,Miljövärden!$B$2:$H$2,0),FALSE),"Saknas")</f>
        <v>7.7844999999999998E-2</v>
      </c>
      <c r="D401" s="121">
        <f>IFERROR(VLOOKUP($B401,Miljövärden!$B$3:$H$552,MATCH(D$2,Miljövärden!$B$2:$H$2,0),FALSE),"Saknas")</f>
        <v>5.3616200000000003</v>
      </c>
      <c r="E401" s="121">
        <f>IFERROR(VLOOKUP($B401,Miljövärden!$B$3:$H$552,MATCH(E$2,Miljövärden!$B$2:$H$2,0),FALSE),"Saknas")</f>
        <v>3.9429099999999999</v>
      </c>
      <c r="F401" s="121">
        <f>IFERROR(VLOOKUP($B401,Miljövärden!$B$3:$H$552,MATCH(F$2,Miljövärden!$B$2:$H$2,0),FALSE),"Saknas")</f>
        <v>1.0333800000000001E-2</v>
      </c>
      <c r="G401" s="121" t="str">
        <f>IFERROR(VLOOKUP($B401,Miljövärden!$B$3:$H$552,MATCH(G$2,Miljövärden!$B$2:$H$2,0),FALSE),"Nej, saknas")</f>
        <v>Ja</v>
      </c>
      <c r="H401" s="285" t="str">
        <f>IFERROR(VLOOKUP($B401,Miljövärden!$B$3:$H$552,MATCH(H$2,Miljövärden!$B$2:$H$2,0),FALSE),"Nej, saknas")</f>
        <v>Ja</v>
      </c>
      <c r="P401" s="121" t="str">
        <f t="shared" si="12"/>
        <v>ja</v>
      </c>
      <c r="R401" s="121">
        <f t="shared" si="13"/>
        <v>347</v>
      </c>
    </row>
    <row r="402" spans="1:18" x14ac:dyDescent="0.25">
      <c r="A402" s="137" t="s">
        <v>724</v>
      </c>
      <c r="B402" s="137" t="s">
        <v>141</v>
      </c>
      <c r="C402" s="121">
        <f>IFERROR(VLOOKUP($B402,Miljövärden!$B$3:$H$552,MATCH(C$2,Miljövärden!$B$2:$H$2,0),FALSE),"Saknas")</f>
        <v>0</v>
      </c>
      <c r="D402" s="121">
        <f>IFERROR(VLOOKUP($B402,Miljövärden!$B$3:$H$552,MATCH(D$2,Miljövärden!$B$2:$H$2,0),FALSE),"Saknas")</f>
        <v>0</v>
      </c>
      <c r="E402" s="121">
        <f>IFERROR(VLOOKUP($B402,Miljövärden!$B$3:$H$552,MATCH(E$2,Miljövärden!$B$2:$H$2,0),FALSE),"Saknas")</f>
        <v>0</v>
      </c>
      <c r="F402" s="121">
        <f>IFERROR(VLOOKUP($B402,Miljövärden!$B$3:$H$552,MATCH(F$2,Miljövärden!$B$2:$H$2,0),FALSE),"Saknas")</f>
        <v>0</v>
      </c>
      <c r="G402" s="121" t="str">
        <f>IFERROR(VLOOKUP($B402,Miljövärden!$B$3:$H$552,MATCH(G$2,Miljövärden!$B$2:$H$2,0),FALSE),"Nej, saknas")</f>
        <v>Nej</v>
      </c>
      <c r="H402" s="285" t="str">
        <f>IFERROR(VLOOKUP($B402,Miljövärden!$B$3:$H$552,MATCH(H$2,Miljövärden!$B$2:$H$2,0),FALSE),"Nej, saknas")</f>
        <v>Nej</v>
      </c>
      <c r="P402" s="121" t="str">
        <f t="shared" si="12"/>
        <v>nej</v>
      </c>
      <c r="R402" s="121">
        <f t="shared" si="13"/>
        <v>347</v>
      </c>
    </row>
    <row r="403" spans="1:18" x14ac:dyDescent="0.25">
      <c r="A403" s="137" t="s">
        <v>725</v>
      </c>
      <c r="B403" s="137" t="s">
        <v>726</v>
      </c>
      <c r="C403" s="121">
        <f>IFERROR(VLOOKUP($B403,Miljövärden!$B$3:$H$552,MATCH(C$2,Miljövärden!$B$2:$H$2,0),FALSE),"Saknas")</f>
        <v>7.1446899999999994E-2</v>
      </c>
      <c r="D403" s="121">
        <f>IFERROR(VLOOKUP($B403,Miljövärden!$B$3:$H$552,MATCH(D$2,Miljövärden!$B$2:$H$2,0),FALSE),"Saknas")</f>
        <v>44.307099999999998</v>
      </c>
      <c r="E403" s="121">
        <f>IFERROR(VLOOKUP($B403,Miljövärden!$B$3:$H$552,MATCH(E$2,Miljövärden!$B$2:$H$2,0),FALSE),"Saknas")</f>
        <v>3.8380100000000001</v>
      </c>
      <c r="F403" s="121">
        <f>IFERROR(VLOOKUP($B403,Miljövärden!$B$3:$H$552,MATCH(F$2,Miljövärden!$B$2:$H$2,0),FALSE),"Saknas")</f>
        <v>3.3001300000000001E-3</v>
      </c>
      <c r="G403" s="121" t="str">
        <f>IFERROR(VLOOKUP($B403,Miljövärden!$B$3:$H$552,MATCH(G$2,Miljövärden!$B$2:$H$2,0),FALSE),"Nej, saknas")</f>
        <v>Ja</v>
      </c>
      <c r="H403" s="285" t="str">
        <f>IFERROR(VLOOKUP($B403,Miljövärden!$B$3:$H$552,MATCH(H$2,Miljövärden!$B$2:$H$2,0),FALSE),"Nej, saknas")</f>
        <v>Ja</v>
      </c>
      <c r="P403" s="121" t="str">
        <f t="shared" si="12"/>
        <v>ja</v>
      </c>
      <c r="R403" s="121">
        <f t="shared" si="13"/>
        <v>348</v>
      </c>
    </row>
    <row r="404" spans="1:18" x14ac:dyDescent="0.25">
      <c r="A404" s="137" t="s">
        <v>725</v>
      </c>
      <c r="B404" s="137" t="s">
        <v>727</v>
      </c>
      <c r="C404" s="121">
        <f>IFERROR(VLOOKUP($B404,Miljövärden!$B$3:$H$552,MATCH(C$2,Miljövärden!$B$2:$H$2,0),FALSE),"Saknas")</f>
        <v>0.18379899999999999</v>
      </c>
      <c r="D404" s="121">
        <f>IFERROR(VLOOKUP($B404,Miljövärden!$B$3:$H$552,MATCH(D$2,Miljövärden!$B$2:$H$2,0),FALSE),"Saknas")</f>
        <v>7.6941600000000001</v>
      </c>
      <c r="E404" s="121">
        <f>IFERROR(VLOOKUP($B404,Miljövärden!$B$3:$H$552,MATCH(E$2,Miljövärden!$B$2:$H$2,0),FALSE),"Saknas")</f>
        <v>18.657399999999999</v>
      </c>
      <c r="F404" s="121">
        <f>IFERROR(VLOOKUP($B404,Miljövärden!$B$3:$H$552,MATCH(F$2,Miljövärden!$B$2:$H$2,0),FALSE),"Saknas")</f>
        <v>6.67141E-3</v>
      </c>
      <c r="G404" s="121" t="str">
        <f>IFERROR(VLOOKUP($B404,Miljövärden!$B$3:$H$552,MATCH(G$2,Miljövärden!$B$2:$H$2,0),FALSE),"Nej, saknas")</f>
        <v>Ja</v>
      </c>
      <c r="H404" s="285" t="str">
        <f>IFERROR(VLOOKUP($B404,Miljövärden!$B$3:$H$552,MATCH(H$2,Miljövärden!$B$2:$H$2,0),FALSE),"Nej, saknas")</f>
        <v>Ja</v>
      </c>
      <c r="P404" s="121" t="str">
        <f t="shared" si="12"/>
        <v>ja</v>
      </c>
      <c r="R404" s="121">
        <f t="shared" si="13"/>
        <v>349</v>
      </c>
    </row>
    <row r="405" spans="1:18" x14ac:dyDescent="0.25">
      <c r="A405" s="137" t="s">
        <v>725</v>
      </c>
      <c r="B405" s="137" t="s">
        <v>728</v>
      </c>
      <c r="C405" s="121">
        <f>IFERROR(VLOOKUP($B405,Miljövärden!$B$3:$H$552,MATCH(C$2,Miljövärden!$B$2:$H$2,0),FALSE),"Saknas")</f>
        <v>0.197605</v>
      </c>
      <c r="D405" s="121">
        <f>IFERROR(VLOOKUP($B405,Miljövärden!$B$3:$H$552,MATCH(D$2,Miljövärden!$B$2:$H$2,0),FALSE),"Saknas")</f>
        <v>7.4391499999999997</v>
      </c>
      <c r="E405" s="121">
        <f>IFERROR(VLOOKUP($B405,Miljövärden!$B$3:$H$552,MATCH(E$2,Miljövärden!$B$2:$H$2,0),FALSE),"Saknas")</f>
        <v>21.8508</v>
      </c>
      <c r="F405" s="121">
        <f>IFERROR(VLOOKUP($B405,Miljövärden!$B$3:$H$552,MATCH(F$2,Miljövärden!$B$2:$H$2,0),FALSE),"Saknas")</f>
        <v>2.8964300000000002E-3</v>
      </c>
      <c r="G405" s="121" t="str">
        <f>IFERROR(VLOOKUP($B405,Miljövärden!$B$3:$H$552,MATCH(G$2,Miljövärden!$B$2:$H$2,0),FALSE),"Nej, saknas")</f>
        <v>Ja</v>
      </c>
      <c r="H405" s="285" t="str">
        <f>IFERROR(VLOOKUP($B405,Miljövärden!$B$3:$H$552,MATCH(H$2,Miljövärden!$B$2:$H$2,0),FALSE),"Nej, saknas")</f>
        <v>Ja</v>
      </c>
      <c r="P405" s="121" t="str">
        <f t="shared" si="12"/>
        <v>ja</v>
      </c>
      <c r="R405" s="121">
        <f t="shared" si="13"/>
        <v>350</v>
      </c>
    </row>
    <row r="406" spans="1:18" x14ac:dyDescent="0.25">
      <c r="A406" s="137" t="s">
        <v>725</v>
      </c>
      <c r="B406" s="137" t="s">
        <v>729</v>
      </c>
      <c r="C406" s="121">
        <f>IFERROR(VLOOKUP($B406,Miljövärden!$B$3:$H$552,MATCH(C$2,Miljövärden!$B$2:$H$2,0),FALSE),"Saknas")</f>
        <v>0.12859599999999999</v>
      </c>
      <c r="D406" s="121">
        <f>IFERROR(VLOOKUP($B406,Miljövärden!$B$3:$H$552,MATCH(D$2,Miljövärden!$B$2:$H$2,0),FALSE),"Saknas")</f>
        <v>7.6274899999999999</v>
      </c>
      <c r="E406" s="121">
        <f>IFERROR(VLOOKUP($B406,Miljövärden!$B$3:$H$552,MATCH(E$2,Miljövärden!$B$2:$H$2,0),FALSE),"Saknas")</f>
        <v>4.5093800000000002</v>
      </c>
      <c r="F406" s="121">
        <f>IFERROR(VLOOKUP($B406,Miljövärden!$B$3:$H$552,MATCH(F$2,Miljövärden!$B$2:$H$2,0),FALSE),"Saknas")</f>
        <v>5.7358000000000001E-3</v>
      </c>
      <c r="G406" s="121" t="str">
        <f>IFERROR(VLOOKUP($B406,Miljövärden!$B$3:$H$552,MATCH(G$2,Miljövärden!$B$2:$H$2,0),FALSE),"Nej, saknas")</f>
        <v>Ja</v>
      </c>
      <c r="H406" s="285" t="str">
        <f>IFERROR(VLOOKUP($B406,Miljövärden!$B$3:$H$552,MATCH(H$2,Miljövärden!$B$2:$H$2,0),FALSE),"Nej, saknas")</f>
        <v>Ja</v>
      </c>
      <c r="P406" s="121" t="str">
        <f t="shared" si="12"/>
        <v>ja</v>
      </c>
      <c r="R406" s="121">
        <f t="shared" si="13"/>
        <v>351</v>
      </c>
    </row>
    <row r="407" spans="1:18" x14ac:dyDescent="0.25">
      <c r="A407" s="137" t="s">
        <v>730</v>
      </c>
      <c r="B407" s="137" t="s">
        <v>731</v>
      </c>
      <c r="C407" s="121">
        <f>IFERROR(VLOOKUP($B407,Miljövärden!$B$3:$H$552,MATCH(C$2,Miljövärden!$B$2:$H$2,0),FALSE),"Saknas")</f>
        <v>0.108171</v>
      </c>
      <c r="D407" s="121">
        <f>IFERROR(VLOOKUP($B407,Miljövärden!$B$3:$H$552,MATCH(D$2,Miljövärden!$B$2:$H$2,0),FALSE),"Saknas")</f>
        <v>15.819699999999999</v>
      </c>
      <c r="E407" s="121">
        <f>IFERROR(VLOOKUP($B407,Miljövärden!$B$3:$H$552,MATCH(E$2,Miljövärden!$B$2:$H$2,0),FALSE),"Saknas")</f>
        <v>8.7585700000000006</v>
      </c>
      <c r="F407" s="121">
        <f>IFERROR(VLOOKUP($B407,Miljövärden!$B$3:$H$552,MATCH(F$2,Miljövärden!$B$2:$H$2,0),FALSE),"Saknas")</f>
        <v>1.16401E-2</v>
      </c>
      <c r="G407" s="121" t="str">
        <f>IFERROR(VLOOKUP($B407,Miljövärden!$B$3:$H$552,MATCH(G$2,Miljövärden!$B$2:$H$2,0),FALSE),"Nej, saknas")</f>
        <v>Ja</v>
      </c>
      <c r="H407" s="285" t="str">
        <f>IFERROR(VLOOKUP($B407,Miljövärden!$B$3:$H$552,MATCH(H$2,Miljövärden!$B$2:$H$2,0),FALSE),"Nej, saknas")</f>
        <v>Ja</v>
      </c>
      <c r="P407" s="121" t="str">
        <f t="shared" si="12"/>
        <v>ja</v>
      </c>
      <c r="R407" s="121">
        <f t="shared" si="13"/>
        <v>352</v>
      </c>
    </row>
    <row r="408" spans="1:18" x14ac:dyDescent="0.25">
      <c r="A408" s="137" t="s">
        <v>732</v>
      </c>
      <c r="B408" s="137" t="s">
        <v>733</v>
      </c>
      <c r="C408" s="121">
        <f>IFERROR(VLOOKUP($B408,Miljövärden!$B$3:$H$552,MATCH(C$2,Miljövärden!$B$2:$H$2,0),FALSE),"Saknas")</f>
        <v>0.19856199999999999</v>
      </c>
      <c r="D408" s="121">
        <f>IFERROR(VLOOKUP($B408,Miljövärden!$B$3:$H$552,MATCH(D$2,Miljövärden!$B$2:$H$2,0),FALSE),"Saknas")</f>
        <v>35.433</v>
      </c>
      <c r="E408" s="121">
        <f>IFERROR(VLOOKUP($B408,Miljövärden!$B$3:$H$552,MATCH(E$2,Miljövärden!$B$2:$H$2,0),FALSE),"Saknas")</f>
        <v>9.2980999999999998</v>
      </c>
      <c r="F408" s="121">
        <f>IFERROR(VLOOKUP($B408,Miljövärden!$B$3:$H$552,MATCH(F$2,Miljövärden!$B$2:$H$2,0),FALSE),"Saknas")</f>
        <v>6.6095899999999999E-2</v>
      </c>
      <c r="G408" s="121" t="str">
        <f>IFERROR(VLOOKUP($B408,Miljövärden!$B$3:$H$552,MATCH(G$2,Miljövärden!$B$2:$H$2,0),FALSE),"Nej, saknas")</f>
        <v>Ja</v>
      </c>
      <c r="H408" s="285" t="str">
        <f>IFERROR(VLOOKUP($B408,Miljövärden!$B$3:$H$552,MATCH(H$2,Miljövärden!$B$2:$H$2,0),FALSE),"Nej, saknas")</f>
        <v>Ja</v>
      </c>
      <c r="P408" s="121" t="str">
        <f t="shared" si="12"/>
        <v>ja</v>
      </c>
      <c r="R408" s="121">
        <f t="shared" si="13"/>
        <v>353</v>
      </c>
    </row>
    <row r="409" spans="1:18" x14ac:dyDescent="0.25">
      <c r="A409" s="137" t="s">
        <v>149</v>
      </c>
      <c r="B409" s="137" t="s">
        <v>13</v>
      </c>
      <c r="C409" s="121">
        <f>IFERROR(VLOOKUP($B409,Miljövärden!$B$3:$H$552,MATCH(C$2,Miljövärden!$B$2:$H$2,0),FALSE),"Saknas")</f>
        <v>0</v>
      </c>
      <c r="D409" s="121">
        <f>IFERROR(VLOOKUP($B409,Miljövärden!$B$3:$H$552,MATCH(D$2,Miljövärden!$B$2:$H$2,0),FALSE),"Saknas")</f>
        <v>0</v>
      </c>
      <c r="E409" s="121">
        <f>IFERROR(VLOOKUP($B409,Miljövärden!$B$3:$H$552,MATCH(E$2,Miljövärden!$B$2:$H$2,0),FALSE),"Saknas")</f>
        <v>0</v>
      </c>
      <c r="F409" s="121">
        <f>IFERROR(VLOOKUP($B409,Miljövärden!$B$3:$H$552,MATCH(F$2,Miljövärden!$B$2:$H$2,0),FALSE),"Saknas")</f>
        <v>0</v>
      </c>
      <c r="G409" s="121" t="str">
        <f>IFERROR(VLOOKUP($B409,Miljövärden!$B$3:$H$552,MATCH(G$2,Miljövärden!$B$2:$H$2,0),FALSE),"Nej, saknas")</f>
        <v>Nej</v>
      </c>
      <c r="H409" s="285" t="str">
        <f>IFERROR(VLOOKUP($B409,Miljövärden!$B$3:$H$552,MATCH(H$2,Miljövärden!$B$2:$H$2,0),FALSE),"Nej, saknas")</f>
        <v>Nej</v>
      </c>
      <c r="P409" s="121" t="str">
        <f t="shared" si="12"/>
        <v>nej</v>
      </c>
      <c r="R409" s="121">
        <f t="shared" si="13"/>
        <v>353</v>
      </c>
    </row>
    <row r="410" spans="1:18" x14ac:dyDescent="0.25">
      <c r="A410" s="137" t="s">
        <v>12</v>
      </c>
      <c r="B410" s="141" t="s">
        <v>14</v>
      </c>
      <c r="C410" s="121" t="str">
        <f>IFERROR(VLOOKUP($B410,Miljövärden!$B$3:$H$552,MATCH(C$2,Miljövärden!$B$2:$H$2,0),FALSE),"Saknas")</f>
        <v>Saknas</v>
      </c>
      <c r="D410" s="121" t="str">
        <f>IFERROR(VLOOKUP($B410,Miljövärden!$B$3:$H$552,MATCH(D$2,Miljövärden!$B$2:$H$2,0),FALSE),"Saknas")</f>
        <v>Saknas</v>
      </c>
      <c r="E410" s="121" t="str">
        <f>IFERROR(VLOOKUP($B410,Miljövärden!$B$3:$H$552,MATCH(E$2,Miljövärden!$B$2:$H$2,0),FALSE),"Saknas")</f>
        <v>Saknas</v>
      </c>
      <c r="F410" s="121" t="str">
        <f>IFERROR(VLOOKUP($B410,Miljövärden!$B$3:$H$552,MATCH(F$2,Miljövärden!$B$2:$H$2,0),FALSE),"Saknas")</f>
        <v>Saknas</v>
      </c>
      <c r="G410" s="121" t="str">
        <f>IFERROR(VLOOKUP($B410,Miljövärden!$B$3:$H$552,MATCH(G$2,Miljövärden!$B$2:$H$2,0),FALSE),"Nej, saknas")</f>
        <v>Nej, saknas</v>
      </c>
      <c r="H410" s="285" t="str">
        <f>IFERROR(VLOOKUP($B410,Miljövärden!$B$3:$H$552,MATCH(H$2,Miljövärden!$B$2:$H$2,0),FALSE),"Nej, saknas")</f>
        <v>Nej, saknas</v>
      </c>
      <c r="P410" s="121" t="str">
        <f t="shared" si="12"/>
        <v>nej</v>
      </c>
      <c r="R410" s="121">
        <f t="shared" si="13"/>
        <v>353</v>
      </c>
    </row>
    <row r="411" spans="1:18" x14ac:dyDescent="0.25">
      <c r="A411" s="137" t="s">
        <v>734</v>
      </c>
      <c r="B411" s="137" t="s">
        <v>735</v>
      </c>
      <c r="C411" s="121">
        <f>IFERROR(VLOOKUP($B411,Miljövärden!$B$3:$H$552,MATCH(C$2,Miljövärden!$B$2:$H$2,0),FALSE),"Saknas")</f>
        <v>6.9480200000000006E-2</v>
      </c>
      <c r="D411" s="121">
        <f>IFERROR(VLOOKUP($B411,Miljövärden!$B$3:$H$552,MATCH(D$2,Miljövärden!$B$2:$H$2,0),FALSE),"Saknas")</f>
        <v>12.1212</v>
      </c>
      <c r="E411" s="121">
        <f>IFERROR(VLOOKUP($B411,Miljövärden!$B$3:$H$552,MATCH(E$2,Miljövärden!$B$2:$H$2,0),FALSE),"Saknas")</f>
        <v>8.7025000000000006</v>
      </c>
      <c r="F411" s="121">
        <f>IFERROR(VLOOKUP($B411,Miljövärden!$B$3:$H$552,MATCH(F$2,Miljövärden!$B$2:$H$2,0),FALSE),"Saknas")</f>
        <v>6.5976999999999997E-3</v>
      </c>
      <c r="G411" s="121" t="str">
        <f>IFERROR(VLOOKUP($B411,Miljövärden!$B$3:$H$552,MATCH(G$2,Miljövärden!$B$2:$H$2,0),FALSE),"Nej, saknas")</f>
        <v>Nej</v>
      </c>
      <c r="H411" s="285" t="str">
        <f>IFERROR(VLOOKUP($B411,Miljövärden!$B$3:$H$552,MATCH(H$2,Miljövärden!$B$2:$H$2,0),FALSE),"Nej, saknas")</f>
        <v>Ja</v>
      </c>
      <c r="P411" s="121" t="str">
        <f t="shared" si="12"/>
        <v>ja</v>
      </c>
      <c r="R411" s="121">
        <f t="shared" si="13"/>
        <v>354</v>
      </c>
    </row>
    <row r="412" spans="1:18" x14ac:dyDescent="0.25">
      <c r="A412" s="137" t="s">
        <v>734</v>
      </c>
      <c r="B412" s="137" t="s">
        <v>736</v>
      </c>
      <c r="C412" s="121">
        <f>IFERROR(VLOOKUP($B412,Miljövärden!$B$3:$H$552,MATCH(C$2,Miljövärden!$B$2:$H$2,0),FALSE),"Saknas")</f>
        <v>8.5142300000000004E-2</v>
      </c>
      <c r="D412" s="121">
        <f>IFERROR(VLOOKUP($B412,Miljövärden!$B$3:$H$552,MATCH(D$2,Miljövärden!$B$2:$H$2,0),FALSE),"Saknas")</f>
        <v>20.4114</v>
      </c>
      <c r="E412" s="121">
        <f>IFERROR(VLOOKUP($B412,Miljövärden!$B$3:$H$552,MATCH(E$2,Miljövärden!$B$2:$H$2,0),FALSE),"Saknas")</f>
        <v>7.0584100000000003</v>
      </c>
      <c r="F412" s="121">
        <f>IFERROR(VLOOKUP($B412,Miljövärden!$B$3:$H$552,MATCH(F$2,Miljövärden!$B$2:$H$2,0),FALSE),"Saknas")</f>
        <v>6.1369800000000002E-3</v>
      </c>
      <c r="G412" s="121" t="str">
        <f>IFERROR(VLOOKUP($B412,Miljövärden!$B$3:$H$552,MATCH(G$2,Miljövärden!$B$2:$H$2,0),FALSE),"Nej, saknas")</f>
        <v>Nej</v>
      </c>
      <c r="H412" s="285" t="str">
        <f>IFERROR(VLOOKUP($B412,Miljövärden!$B$3:$H$552,MATCH(H$2,Miljövärden!$B$2:$H$2,0),FALSE),"Nej, saknas")</f>
        <v>Ja</v>
      </c>
      <c r="P412" s="121" t="str">
        <f t="shared" si="12"/>
        <v>ja</v>
      </c>
      <c r="R412" s="121">
        <f t="shared" si="13"/>
        <v>355</v>
      </c>
    </row>
    <row r="413" spans="1:18" x14ac:dyDescent="0.25">
      <c r="A413" s="137" t="s">
        <v>734</v>
      </c>
      <c r="B413" s="137" t="s">
        <v>737</v>
      </c>
      <c r="C413" s="121">
        <f>IFERROR(VLOOKUP($B413,Miljövärden!$B$3:$H$552,MATCH(C$2,Miljövärden!$B$2:$H$2,0),FALSE),"Saknas")</f>
        <v>0.145842</v>
      </c>
      <c r="D413" s="121">
        <f>IFERROR(VLOOKUP($B413,Miljövärden!$B$3:$H$552,MATCH(D$2,Miljövärden!$B$2:$H$2,0),FALSE),"Saknas")</f>
        <v>27.334800000000001</v>
      </c>
      <c r="E413" s="121">
        <f>IFERROR(VLOOKUP($B413,Miljövärden!$B$3:$H$552,MATCH(E$2,Miljövärden!$B$2:$H$2,0),FALSE),"Saknas")</f>
        <v>3.6828699999999999</v>
      </c>
      <c r="F413" s="121">
        <f>IFERROR(VLOOKUP($B413,Miljövärden!$B$3:$H$552,MATCH(F$2,Miljövärden!$B$2:$H$2,0),FALSE),"Saknas")</f>
        <v>5.4501800000000003E-2</v>
      </c>
      <c r="G413" s="121" t="str">
        <f>IFERROR(VLOOKUP($B413,Miljövärden!$B$3:$H$552,MATCH(G$2,Miljövärden!$B$2:$H$2,0),FALSE),"Nej, saknas")</f>
        <v>Nej</v>
      </c>
      <c r="H413" s="285" t="str">
        <f>IFERROR(VLOOKUP($B413,Miljövärden!$B$3:$H$552,MATCH(H$2,Miljövärden!$B$2:$H$2,0),FALSE),"Nej, saknas")</f>
        <v>Ja</v>
      </c>
      <c r="P413" s="121" t="str">
        <f t="shared" si="12"/>
        <v>ja</v>
      </c>
      <c r="R413" s="121">
        <f t="shared" si="13"/>
        <v>356</v>
      </c>
    </row>
    <row r="414" spans="1:18" x14ac:dyDescent="0.25">
      <c r="A414" s="137" t="s">
        <v>734</v>
      </c>
      <c r="B414" s="137" t="s">
        <v>738</v>
      </c>
      <c r="C414" s="121">
        <f>IFERROR(VLOOKUP($B414,Miljövärden!$B$3:$H$552,MATCH(C$2,Miljövärden!$B$2:$H$2,0),FALSE),"Saknas")</f>
        <v>0.16503100000000001</v>
      </c>
      <c r="D414" s="121">
        <f>IFERROR(VLOOKUP($B414,Miljövärden!$B$3:$H$552,MATCH(D$2,Miljövärden!$B$2:$H$2,0),FALSE),"Saknas")</f>
        <v>10.605399999999999</v>
      </c>
      <c r="E414" s="121">
        <f>IFERROR(VLOOKUP($B414,Miljövärden!$B$3:$H$552,MATCH(E$2,Miljövärden!$B$2:$H$2,0),FALSE),"Saknas")</f>
        <v>18.812899999999999</v>
      </c>
      <c r="F414" s="121">
        <f>IFERROR(VLOOKUP($B414,Miljövärden!$B$3:$H$552,MATCH(F$2,Miljövärden!$B$2:$H$2,0),FALSE),"Saknas")</f>
        <v>8.1368099999999995E-3</v>
      </c>
      <c r="G414" s="121" t="str">
        <f>IFERROR(VLOOKUP($B414,Miljövärden!$B$3:$H$552,MATCH(G$2,Miljövärden!$B$2:$H$2,0),FALSE),"Nej, saknas")</f>
        <v>Nej</v>
      </c>
      <c r="H414" s="285" t="str">
        <f>IFERROR(VLOOKUP($B414,Miljövärden!$B$3:$H$552,MATCH(H$2,Miljövärden!$B$2:$H$2,0),FALSE),"Nej, saknas")</f>
        <v>Ja</v>
      </c>
      <c r="P414" s="121" t="str">
        <f t="shared" si="12"/>
        <v>ja</v>
      </c>
      <c r="R414" s="121">
        <f t="shared" si="13"/>
        <v>357</v>
      </c>
    </row>
    <row r="415" spans="1:18" x14ac:dyDescent="0.25">
      <c r="A415" s="137" t="s">
        <v>734</v>
      </c>
      <c r="B415" s="137" t="s">
        <v>739</v>
      </c>
      <c r="C415" s="121">
        <f>IFERROR(VLOOKUP($B415,Miljövärden!$B$3:$H$552,MATCH(C$2,Miljövärden!$B$2:$H$2,0),FALSE),"Saknas")</f>
        <v>0.23215</v>
      </c>
      <c r="D415" s="121">
        <f>IFERROR(VLOOKUP($B415,Miljövärden!$B$3:$H$552,MATCH(D$2,Miljövärden!$B$2:$H$2,0),FALSE),"Saknas")</f>
        <v>74.611199999999997</v>
      </c>
      <c r="E415" s="121">
        <f>IFERROR(VLOOKUP($B415,Miljövärden!$B$3:$H$552,MATCH(E$2,Miljövärden!$B$2:$H$2,0),FALSE),"Saknas")</f>
        <v>11.986499999999999</v>
      </c>
      <c r="F415" s="121">
        <f>IFERROR(VLOOKUP($B415,Miljövärden!$B$3:$H$552,MATCH(F$2,Miljövärden!$B$2:$H$2,0),FALSE),"Saknas")</f>
        <v>5.3492100000000001E-2</v>
      </c>
      <c r="G415" s="121" t="str">
        <f>IFERROR(VLOOKUP($B415,Miljövärden!$B$3:$H$552,MATCH(G$2,Miljövärden!$B$2:$H$2,0),FALSE),"Nej, saknas")</f>
        <v>Nej</v>
      </c>
      <c r="H415" s="285" t="str">
        <f>IFERROR(VLOOKUP($B415,Miljövärden!$B$3:$H$552,MATCH(H$2,Miljövärden!$B$2:$H$2,0),FALSE),"Nej, saknas")</f>
        <v>Ja</v>
      </c>
      <c r="P415" s="121" t="str">
        <f t="shared" si="12"/>
        <v>ja</v>
      </c>
      <c r="R415" s="121">
        <f t="shared" si="13"/>
        <v>358</v>
      </c>
    </row>
    <row r="416" spans="1:18" x14ac:dyDescent="0.25">
      <c r="A416" s="137" t="s">
        <v>734</v>
      </c>
      <c r="B416" s="137" t="s">
        <v>740</v>
      </c>
      <c r="C416" s="121">
        <f>IFERROR(VLOOKUP($B416,Miljövärden!$B$3:$H$552,MATCH(C$2,Miljövärden!$B$2:$H$2,0),FALSE),"Saknas")</f>
        <v>0.123321</v>
      </c>
      <c r="D416" s="121">
        <f>IFERROR(VLOOKUP($B416,Miljövärden!$B$3:$H$552,MATCH(D$2,Miljövärden!$B$2:$H$2,0),FALSE),"Saknas")</f>
        <v>41.865900000000003</v>
      </c>
      <c r="E416" s="121">
        <f>IFERROR(VLOOKUP($B416,Miljövärden!$B$3:$H$552,MATCH(E$2,Miljövärden!$B$2:$H$2,0),FALSE),"Saknas")</f>
        <v>7.3380299999999998</v>
      </c>
      <c r="F416" s="121">
        <f>IFERROR(VLOOKUP($B416,Miljövärden!$B$3:$H$552,MATCH(F$2,Miljövärden!$B$2:$H$2,0),FALSE),"Saknas")</f>
        <v>4.1938100000000001E-3</v>
      </c>
      <c r="G416" s="121" t="str">
        <f>IFERROR(VLOOKUP($B416,Miljövärden!$B$3:$H$552,MATCH(G$2,Miljövärden!$B$2:$H$2,0),FALSE),"Nej, saknas")</f>
        <v>Ja</v>
      </c>
      <c r="H416" s="285" t="str">
        <f>IFERROR(VLOOKUP($B416,Miljövärden!$B$3:$H$552,MATCH(H$2,Miljövärden!$B$2:$H$2,0),FALSE),"Nej, saknas")</f>
        <v>Ja</v>
      </c>
      <c r="P416" s="121" t="str">
        <f t="shared" si="12"/>
        <v>ja</v>
      </c>
      <c r="R416" s="121">
        <f t="shared" si="13"/>
        <v>359</v>
      </c>
    </row>
  </sheetData>
  <mergeCells count="1">
    <mergeCell ref="A1:E1"/>
  </mergeCells>
  <conditionalFormatting sqref="B2:B32 B34:B72 B74:B148 B150:B228 B230:B294 B296:B317 B319:B342 B344:B409 B411:B1048576">
    <cfRule type="duplicateValues" dxfId="4" priority="1"/>
  </conditionalFormatting>
  <pageMargins left="0.7" right="0.7" top="0.75" bottom="0.75" header="0.3" footer="0.3"/>
  <pageSetup paperSize="9"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S620"/>
  <sheetViews>
    <sheetView topLeftCell="A325" workbookViewId="0">
      <selection activeCell="B366" sqref="B366"/>
    </sheetView>
  </sheetViews>
  <sheetFormatPr defaultRowHeight="15" x14ac:dyDescent="0.25"/>
  <cols>
    <col min="1" max="1" width="19.5703125" style="121" customWidth="1"/>
    <col min="2" max="2" width="24.28515625" style="121" customWidth="1"/>
    <col min="3" max="3" width="31.7109375" style="121" customWidth="1"/>
    <col min="4" max="4" width="22.140625" style="121" customWidth="1"/>
    <col min="5" max="5" width="27.7109375" style="121" customWidth="1"/>
    <col min="6" max="7" width="24.85546875" style="121" customWidth="1"/>
    <col min="8" max="13" width="9.140625" style="121"/>
    <col min="14" max="14" width="32.85546875" style="121" customWidth="1"/>
    <col min="15" max="16" width="9.140625" style="121"/>
    <col min="17" max="17" width="24.85546875" style="121" customWidth="1"/>
    <col min="18" max="18" width="28.28515625" style="121" customWidth="1"/>
    <col min="19" max="19" width="19.7109375" style="121" customWidth="1"/>
    <col min="20" max="16384" width="9.140625" style="121"/>
  </cols>
  <sheetData>
    <row r="1" spans="1:19" ht="30" x14ac:dyDescent="0.25">
      <c r="A1" s="294"/>
      <c r="B1" s="295" t="s">
        <v>1303</v>
      </c>
      <c r="C1" s="294"/>
      <c r="D1" s="294"/>
      <c r="E1" s="294"/>
      <c r="F1" s="294"/>
      <c r="G1" s="294"/>
      <c r="H1" s="294"/>
      <c r="I1" s="295"/>
      <c r="J1" s="295" t="s">
        <v>1304</v>
      </c>
      <c r="K1" s="294"/>
      <c r="L1" s="294"/>
      <c r="P1" s="296"/>
      <c r="Q1" s="297" t="s">
        <v>1305</v>
      </c>
    </row>
    <row r="2" spans="1:19" ht="30" x14ac:dyDescent="0.25">
      <c r="A2" s="294"/>
      <c r="B2" s="294"/>
      <c r="C2" s="294"/>
      <c r="D2" s="294"/>
      <c r="E2" s="294"/>
      <c r="F2" s="294"/>
      <c r="G2" s="294"/>
      <c r="H2" s="294"/>
      <c r="I2" s="294"/>
      <c r="J2" s="298"/>
      <c r="K2" s="294"/>
      <c r="L2" s="294"/>
      <c r="P2" s="296"/>
      <c r="Q2" s="290" t="s">
        <v>1306</v>
      </c>
      <c r="R2" s="299" t="str">
        <f>'Redovisning för kunder'!B4</f>
        <v>Västerbergslagens Energi AB</v>
      </c>
    </row>
    <row r="3" spans="1:19" x14ac:dyDescent="0.25">
      <c r="A3" s="300" t="s">
        <v>1307</v>
      </c>
      <c r="B3" s="294"/>
      <c r="C3" s="294"/>
      <c r="D3" s="294"/>
      <c r="E3" s="294"/>
      <c r="F3" s="294"/>
      <c r="G3" s="294"/>
      <c r="H3" s="300"/>
      <c r="I3" s="294"/>
      <c r="J3" s="298" t="s">
        <v>1308</v>
      </c>
      <c r="K3" s="294"/>
      <c r="L3" s="294"/>
      <c r="M3" s="121" t="s">
        <v>1309</v>
      </c>
      <c r="P3" s="296" t="s">
        <v>1310</v>
      </c>
      <c r="Q3" s="301" t="s">
        <v>1311</v>
      </c>
      <c r="R3" s="301"/>
      <c r="S3" s="121" t="s">
        <v>1312</v>
      </c>
    </row>
    <row r="4" spans="1:19" ht="30" x14ac:dyDescent="0.25">
      <c r="A4" s="302">
        <v>1</v>
      </c>
      <c r="B4" s="295" t="s">
        <v>1</v>
      </c>
      <c r="C4" s="295" t="s">
        <v>2</v>
      </c>
      <c r="D4" s="303" t="s">
        <v>1094</v>
      </c>
      <c r="E4" s="303" t="s">
        <v>1095</v>
      </c>
      <c r="F4" s="303" t="s">
        <v>1096</v>
      </c>
      <c r="G4" s="303" t="s">
        <v>1097</v>
      </c>
      <c r="H4" s="302"/>
      <c r="I4" s="295"/>
      <c r="J4" s="298">
        <v>0</v>
      </c>
      <c r="K4" s="303"/>
      <c r="L4" s="303"/>
      <c r="N4" s="121" t="s">
        <v>1313</v>
      </c>
      <c r="P4" s="296">
        <v>0</v>
      </c>
      <c r="Q4" s="290" t="str">
        <f>IF(B4=$R$2,C4,"")</f>
        <v/>
      </c>
      <c r="R4" s="290"/>
      <c r="S4" s="121" t="s">
        <v>1314</v>
      </c>
    </row>
    <row r="5" spans="1:19" x14ac:dyDescent="0.25">
      <c r="A5" s="121">
        <v>2</v>
      </c>
      <c r="B5" s="121" t="str">
        <f>IFERROR(INDEX('Miljövrärden urval för publ'!$A$2:$AA$419,MATCH('Miljövärden för publ företag'!$A5,'Miljövrärden urval för publ'!$R$2:$R$416,0),1),"")</f>
        <v>Adven Energilösningar AB</v>
      </c>
      <c r="C5" s="121" t="str">
        <f>IFERROR(INDEX('Miljövrärden urval för publ'!$A$2:$AA$419,MATCH('Miljövärden för publ företag'!$A5,'Miljövrärden urval för publ'!$R$2:$R$416,0),2),"")</f>
        <v>Bara</v>
      </c>
      <c r="D5" s="121">
        <f>IFERROR(VLOOKUP($C5,'Miljövrärden urval för publ'!$B$2:$H$416,MATCH('Miljövärden för publ företag'!D$4,'Miljövrärden urval för publ'!$B$2:$H$2,0),FALSE),"")</f>
        <v>0.14693700000000001</v>
      </c>
      <c r="E5" s="121">
        <f>IFERROR(VLOOKUP($C5,'Miljövrärden urval för publ'!$B$2:$H$416,MATCH('Miljövärden för publ företag'!E$4,'Miljövrärden urval för publ'!$B$2:$H$2,0),FALSE),"")</f>
        <v>4.5989599999999999</v>
      </c>
      <c r="F5" s="121">
        <f>IFERROR(VLOOKUP($C5,'Miljövrärden urval för publ'!$B$2:$H$416,MATCH('Miljövärden för publ företag'!F$4,'Miljövrärden urval för publ'!$B$2:$H$2,0),FALSE),"")</f>
        <v>16.5488</v>
      </c>
      <c r="G5" s="121">
        <f>IFERROR(VLOOKUP($C5,'Miljövrärden urval för publ'!$B$2:$H$416,MATCH('Miljövärden för publ företag'!G$4,'Miljövrärden urval för publ'!$B$2:$H$2,0),FALSE),"")</f>
        <v>0</v>
      </c>
      <c r="J5" s="121">
        <f>IF(B5=B4,J4,J4+1)</f>
        <v>1</v>
      </c>
      <c r="M5" s="121">
        <v>1</v>
      </c>
      <c r="N5" s="121" t="str">
        <f>IFERROR(INDEX($B$4:$J$487,MATCH(M5,$J$4:$J$369,0),1),"")</f>
        <v>Adven Energilösningar AB</v>
      </c>
      <c r="P5" s="296">
        <f>IF(Q5="",P4,P4+1)</f>
        <v>0</v>
      </c>
      <c r="Q5" s="290" t="str">
        <f t="shared" ref="Q5:Q68" si="0">IF(B5=$R$2,C5,"")</f>
        <v/>
      </c>
      <c r="R5" s="121">
        <v>1</v>
      </c>
      <c r="S5" s="121" t="str">
        <f>IFERROR(INDEX($P$4:$Q$468,MATCH(R5,$P$4:$P$468,0),2),"")</f>
        <v>Fagersta</v>
      </c>
    </row>
    <row r="6" spans="1:19" x14ac:dyDescent="0.25">
      <c r="A6" s="121">
        <v>3</v>
      </c>
      <c r="B6" s="121" t="str">
        <f>IFERROR(INDEX('Miljövrärden urval för publ'!$A$2:$AA$419,MATCH('Miljövärden för publ företag'!$A6,'Miljövrärden urval för publ'!$R$2:$R$416,0),1),"")</f>
        <v>Adven Energilösningar AB</v>
      </c>
      <c r="C6" s="121" t="str">
        <f>IFERROR(INDEX('Miljövrärden urval för publ'!$A$2:$AA$419,MATCH('Miljövärden för publ företag'!$A6,'Miljövrärden urval för publ'!$R$2:$R$416,0),2),"")</f>
        <v>Boxholm</v>
      </c>
      <c r="D6" s="121">
        <f>IFERROR(VLOOKUP($C6,'Miljövrärden urval för publ'!$B$2:$H$416,MATCH('Miljövärden för publ företag'!D$4,'Miljövrärden urval för publ'!$B$2:$H$2,0),FALSE),"")</f>
        <v>8.3529599999999996E-2</v>
      </c>
      <c r="E6" s="121">
        <f>IFERROR(VLOOKUP($C6,'Miljövrärden urval för publ'!$B$2:$H$416,MATCH('Miljövärden för publ företag'!E$4,'Miljövrärden urval för publ'!$B$2:$H$2,0),FALSE),"")</f>
        <v>5.9866700000000002</v>
      </c>
      <c r="F6" s="121">
        <f>IFERROR(VLOOKUP($C6,'Miljövrärden urval för publ'!$B$2:$H$416,MATCH('Miljövärden för publ företag'!F$4,'Miljövrärden urval för publ'!$B$2:$H$2,0),FALSE),"")</f>
        <v>9.4281500000000005</v>
      </c>
      <c r="G6" s="121">
        <f>IFERROR(VLOOKUP($C6,'Miljövrärden urval för publ'!$B$2:$H$416,MATCH('Miljövärden för publ företag'!G$4,'Miljövrärden urval för publ'!$B$2:$H$2,0),FALSE),"")</f>
        <v>1.7011400000000001E-3</v>
      </c>
      <c r="J6" s="121">
        <f t="shared" ref="J6:J69" si="1">IF(B6=B5,J5,J5+1)</f>
        <v>1</v>
      </c>
      <c r="M6" s="121">
        <v>2</v>
      </c>
      <c r="N6" s="121" t="str">
        <f t="shared" ref="N6:N69" si="2">IFERROR(INDEX($B$4:$J$487,MATCH(M6,$J$4:$J$369,0),1),"")</f>
        <v>Adven Värme AB.</v>
      </c>
      <c r="P6" s="296">
        <f t="shared" ref="P6:P69" si="3">IF(Q6="",P5,P5+1)</f>
        <v>0</v>
      </c>
      <c r="Q6" s="290" t="str">
        <f t="shared" si="0"/>
        <v/>
      </c>
      <c r="R6" s="121">
        <v>2</v>
      </c>
      <c r="S6" s="121" t="str">
        <f t="shared" ref="S6:S34" si="4">IFERROR(INDEX($P$4:$Q$468,MATCH(R6,$P$4:$P$468,0),2),"")</f>
        <v>Grängesberg</v>
      </c>
    </row>
    <row r="7" spans="1:19" x14ac:dyDescent="0.25">
      <c r="A7" s="121">
        <v>4</v>
      </c>
      <c r="B7" s="121" t="str">
        <f>IFERROR(INDEX('Miljövrärden urval för publ'!$A$2:$AA$419,MATCH('Miljövärden för publ företag'!$A7,'Miljövrärden urval för publ'!$R$2:$R$416,0),1),"")</f>
        <v>Adven Energilösningar AB</v>
      </c>
      <c r="C7" s="121" t="str">
        <f>IFERROR(INDEX('Miljövrärden urval för publ'!$A$2:$AA$419,MATCH('Miljövärden för publ företag'!$A7,'Miljövrärden urval för publ'!$R$2:$R$416,0),2),"")</f>
        <v>Mora</v>
      </c>
      <c r="D7" s="121">
        <f>IFERROR(VLOOKUP($C7,'Miljövrärden urval för publ'!$B$2:$H$416,MATCH('Miljövärden för publ företag'!D$4,'Miljövrärden urval för publ'!$B$2:$H$2,0),FALSE),"")</f>
        <v>9.6584500000000004E-2</v>
      </c>
      <c r="E7" s="121">
        <f>IFERROR(VLOOKUP($C7,'Miljövrärden urval för publ'!$B$2:$H$416,MATCH('Miljövärden för publ företag'!E$4,'Miljövrärden urval för publ'!$B$2:$H$2,0),FALSE),"")</f>
        <v>87.644800000000004</v>
      </c>
      <c r="F7" s="121">
        <f>IFERROR(VLOOKUP($C7,'Miljövrärden urval för publ'!$B$2:$H$416,MATCH('Miljövärden för publ företag'!F$4,'Miljövrärden urval för publ'!$B$2:$H$2,0),FALSE),"")</f>
        <v>6.3934499999999996</v>
      </c>
      <c r="G7" s="121">
        <f>IFERROR(VLOOKUP($C7,'Miljövrärden urval för publ'!$B$2:$H$416,MATCH('Miljövärden för publ företag'!G$4,'Miljövrärden urval för publ'!$B$2:$H$2,0),FALSE),"")</f>
        <v>5.6617000000000004E-3</v>
      </c>
      <c r="J7" s="121">
        <f t="shared" si="1"/>
        <v>1</v>
      </c>
      <c r="M7" s="121">
        <v>3</v>
      </c>
      <c r="N7" s="121" t="str">
        <f t="shared" si="2"/>
        <v>Affärsverken Karlskrona AB</v>
      </c>
      <c r="P7" s="296">
        <f t="shared" si="3"/>
        <v>0</v>
      </c>
      <c r="Q7" s="290" t="str">
        <f t="shared" si="0"/>
        <v/>
      </c>
      <c r="R7" s="121">
        <v>3</v>
      </c>
      <c r="S7" s="121" t="str">
        <f t="shared" si="4"/>
        <v>Ludvika</v>
      </c>
    </row>
    <row r="8" spans="1:19" x14ac:dyDescent="0.25">
      <c r="A8" s="121">
        <v>5</v>
      </c>
      <c r="B8" s="121" t="str">
        <f>IFERROR(INDEX('Miljövrärden urval för publ'!$A$2:$AA$419,MATCH('Miljövärden för publ företag'!$A8,'Miljövrärden urval för publ'!$R$2:$R$416,0),1),"")</f>
        <v>Adven Energilösningar AB</v>
      </c>
      <c r="C8" s="121" t="str">
        <f>IFERROR(INDEX('Miljövrärden urval för publ'!$A$2:$AA$419,MATCH('Miljövärden för publ företag'!$A8,'Miljövrärden urval för publ'!$R$2:$R$416,0),2),"")</f>
        <v>Orsa</v>
      </c>
      <c r="D8" s="121">
        <f>IFERROR(VLOOKUP($C8,'Miljövrärden urval för publ'!$B$2:$H$416,MATCH('Miljövärden för publ företag'!D$4,'Miljövrärden urval för publ'!$B$2:$H$2,0),FALSE),"")</f>
        <v>6.5183900000000003E-2</v>
      </c>
      <c r="E8" s="121">
        <f>IFERROR(VLOOKUP($C8,'Miljövrärden urval för publ'!$B$2:$H$416,MATCH('Miljövärden för publ företag'!E$4,'Miljövrärden urval för publ'!$B$2:$H$2,0),FALSE),"")</f>
        <v>5.7255599999999998</v>
      </c>
      <c r="F8" s="121">
        <f>IFERROR(VLOOKUP($C8,'Miljövrärden urval för publ'!$B$2:$H$416,MATCH('Miljövärden för publ företag'!F$4,'Miljövrärden urval för publ'!$B$2:$H$2,0),FALSE),"")</f>
        <v>8.8170400000000004</v>
      </c>
      <c r="G8" s="121">
        <f>IFERROR(VLOOKUP($C8,'Miljövrärden urval för publ'!$B$2:$H$416,MATCH('Miljövärden för publ företag'!G$4,'Miljövrärden urval för publ'!$B$2:$H$2,0),FALSE),"")</f>
        <v>1.8891699999999999E-3</v>
      </c>
      <c r="J8" s="121">
        <f t="shared" si="1"/>
        <v>1</v>
      </c>
      <c r="M8" s="121">
        <v>4</v>
      </c>
      <c r="N8" s="121" t="str">
        <f t="shared" si="2"/>
        <v>Alingsås Energi Nät AB</v>
      </c>
      <c r="P8" s="296">
        <f t="shared" si="3"/>
        <v>0</v>
      </c>
      <c r="Q8" s="290" t="str">
        <f t="shared" si="0"/>
        <v/>
      </c>
      <c r="R8" s="121">
        <v>4</v>
      </c>
      <c r="S8" s="121" t="str">
        <f t="shared" si="4"/>
        <v>Norberg</v>
      </c>
    </row>
    <row r="9" spans="1:19" x14ac:dyDescent="0.25">
      <c r="A9" s="121">
        <v>6</v>
      </c>
      <c r="B9" s="121" t="str">
        <f>IFERROR(INDEX('Miljövrärden urval för publ'!$A$2:$AA$419,MATCH('Miljövärden för publ företag'!$A9,'Miljövrärden urval för publ'!$R$2:$R$416,0),1),"")</f>
        <v>Adven Energilösningar AB</v>
      </c>
      <c r="C9" s="121" t="str">
        <f>IFERROR(INDEX('Miljövrärden urval för publ'!$A$2:$AA$419,MATCH('Miljövärden för publ företag'!$A9,'Miljövrärden urval för publ'!$R$2:$R$416,0),2),"")</f>
        <v>Sollefteå</v>
      </c>
      <c r="D9" s="121">
        <f>IFERROR(VLOOKUP($C9,'Miljövrärden urval för publ'!$B$2:$H$416,MATCH('Miljövärden för publ företag'!D$4,'Miljövrärden urval för publ'!$B$2:$H$2,0),FALSE),"")</f>
        <v>9.8408099999999998E-2</v>
      </c>
      <c r="E9" s="121">
        <f>IFERROR(VLOOKUP($C9,'Miljövrärden urval för publ'!$B$2:$H$416,MATCH('Miljövärden för publ företag'!E$4,'Miljövrärden urval för publ'!$B$2:$H$2,0),FALSE),"")</f>
        <v>9.48522</v>
      </c>
      <c r="F9" s="121">
        <f>IFERROR(VLOOKUP($C9,'Miljövrärden urval för publ'!$B$2:$H$416,MATCH('Miljövärden för publ företag'!F$4,'Miljövrärden urval för publ'!$B$2:$H$2,0),FALSE),"")</f>
        <v>8.1486000000000001</v>
      </c>
      <c r="G9" s="121">
        <f>IFERROR(VLOOKUP($C9,'Miljövrärden urval för publ'!$B$2:$H$416,MATCH('Miljövärden för publ företag'!G$4,'Miljövrärden urval för publ'!$B$2:$H$2,0),FALSE),"")</f>
        <v>1.43784E-2</v>
      </c>
      <c r="J9" s="121">
        <f t="shared" si="1"/>
        <v>1</v>
      </c>
      <c r="M9" s="121">
        <v>5</v>
      </c>
      <c r="N9" s="121" t="str">
        <f t="shared" si="2"/>
        <v>Alvesta Energi AB</v>
      </c>
      <c r="P9" s="296">
        <f t="shared" si="3"/>
        <v>0</v>
      </c>
      <c r="Q9" s="290" t="str">
        <f t="shared" si="0"/>
        <v/>
      </c>
      <c r="R9" s="121">
        <v>5</v>
      </c>
      <c r="S9" s="121" t="str">
        <f t="shared" si="4"/>
        <v/>
      </c>
    </row>
    <row r="10" spans="1:19" x14ac:dyDescent="0.25">
      <c r="A10" s="121">
        <v>7</v>
      </c>
      <c r="B10" s="121" t="str">
        <f>IFERROR(INDEX('Miljövrärden urval för publ'!$A$2:$AA$419,MATCH('Miljövärden för publ företag'!$A10,'Miljövrärden urval för publ'!$R$2:$R$416,0),1),"")</f>
        <v>Adven Energilösningar AB</v>
      </c>
      <c r="C10" s="121" t="str">
        <f>IFERROR(INDEX('Miljövrärden urval för publ'!$A$2:$AA$419,MATCH('Miljövärden för publ företag'!$A10,'Miljövrärden urval för publ'!$R$2:$R$416,0),2),"")</f>
        <v>Staffanstorp</v>
      </c>
      <c r="D10" s="121">
        <f>IFERROR(VLOOKUP($C10,'Miljövrärden urval för publ'!$B$2:$H$416,MATCH('Miljövärden för publ företag'!D$4,'Miljövrärden urval för publ'!$B$2:$H$2,0),FALSE),"")</f>
        <v>8.6162799999999998E-2</v>
      </c>
      <c r="E10" s="121">
        <f>IFERROR(VLOOKUP($C10,'Miljövrärden urval för publ'!$B$2:$H$416,MATCH('Miljövärden för publ företag'!E$4,'Miljövrärden urval för publ'!$B$2:$H$2,0),FALSE),"")</f>
        <v>4.3540200000000002</v>
      </c>
      <c r="F10" s="121">
        <f>IFERROR(VLOOKUP($C10,'Miljövrärden urval för publ'!$B$2:$H$416,MATCH('Miljövärden för publ företag'!F$4,'Miljövrärden urval för publ'!$B$2:$H$2,0),FALSE),"")</f>
        <v>8.5676199999999998</v>
      </c>
      <c r="G10" s="121">
        <f>IFERROR(VLOOKUP($C10,'Miljövrärden urval för publ'!$B$2:$H$416,MATCH('Miljövärden för publ företag'!G$4,'Miljövrärden urval för publ'!$B$2:$H$2,0),FALSE),"")</f>
        <v>0</v>
      </c>
      <c r="J10" s="121">
        <f t="shared" si="1"/>
        <v>1</v>
      </c>
      <c r="M10" s="121">
        <v>6</v>
      </c>
      <c r="N10" s="121" t="str">
        <f t="shared" si="2"/>
        <v>Aneby Miljö &amp; Vatten AB</v>
      </c>
      <c r="P10" s="296">
        <f t="shared" si="3"/>
        <v>0</v>
      </c>
      <c r="Q10" s="290" t="str">
        <f t="shared" si="0"/>
        <v/>
      </c>
      <c r="R10" s="121">
        <v>6</v>
      </c>
      <c r="S10" s="121" t="str">
        <f t="shared" si="4"/>
        <v/>
      </c>
    </row>
    <row r="11" spans="1:19" x14ac:dyDescent="0.25">
      <c r="A11" s="121">
        <v>8</v>
      </c>
      <c r="B11" s="121" t="str">
        <f>IFERROR(INDEX('Miljövrärden urval för publ'!$A$2:$AA$419,MATCH('Miljövärden för publ företag'!$A11,'Miljövrärden urval för publ'!$R$2:$R$416,0),1),"")</f>
        <v>Adven Energilösningar AB</v>
      </c>
      <c r="C11" s="121" t="str">
        <f>IFERROR(INDEX('Miljövrärden urval för publ'!$A$2:$AA$419,MATCH('Miljövärden för publ företag'!$A11,'Miljövrärden urval för publ'!$R$2:$R$416,0),2),"")</f>
        <v>Testnät</v>
      </c>
      <c r="D11" s="121">
        <f>IFERROR(VLOOKUP($C11,'Miljövrärden urval för publ'!$B$2:$H$416,MATCH('Miljövärden för publ företag'!D$4,'Miljövrärden urval för publ'!$B$2:$H$2,0),FALSE),"")</f>
        <v>0.23200299999999999</v>
      </c>
      <c r="E11" s="121">
        <f>IFERROR(VLOOKUP($C11,'Miljövrärden urval för publ'!$B$2:$H$416,MATCH('Miljövärden för publ företag'!E$4,'Miljövrärden urval för publ'!$B$2:$H$2,0),FALSE),"")</f>
        <v>23.004300000000001</v>
      </c>
      <c r="F11" s="121">
        <f>IFERROR(VLOOKUP($C11,'Miljövrärden urval för publ'!$B$2:$H$416,MATCH('Miljövärden för publ företag'!F$4,'Miljövrärden urval för publ'!$B$2:$H$2,0),FALSE),"")</f>
        <v>16.922799999999999</v>
      </c>
      <c r="G11" s="121">
        <f>IFERROR(VLOOKUP($C11,'Miljövrärden urval för publ'!$B$2:$H$416,MATCH('Miljövärden för publ företag'!G$4,'Miljövrärden urval för publ'!$B$2:$H$2,0),FALSE),"")</f>
        <v>3.6307100000000002E-2</v>
      </c>
      <c r="J11" s="121">
        <f t="shared" si="1"/>
        <v>1</v>
      </c>
      <c r="M11" s="121">
        <v>7</v>
      </c>
      <c r="N11" s="121" t="str">
        <f t="shared" si="2"/>
        <v>Arvika Fjärrvärme AB</v>
      </c>
      <c r="P11" s="296">
        <f t="shared" si="3"/>
        <v>0</v>
      </c>
      <c r="Q11" s="290" t="str">
        <f t="shared" si="0"/>
        <v/>
      </c>
      <c r="R11" s="121">
        <v>7</v>
      </c>
      <c r="S11" s="121" t="str">
        <f t="shared" si="4"/>
        <v/>
      </c>
    </row>
    <row r="12" spans="1:19" x14ac:dyDescent="0.25">
      <c r="A12" s="121">
        <v>9</v>
      </c>
      <c r="B12" s="121" t="str">
        <f>IFERROR(INDEX('Miljövrärden urval för publ'!$A$2:$AA$419,MATCH('Miljövärden för publ företag'!$A12,'Miljövrärden urval för publ'!$R$2:$R$416,0),1),"")</f>
        <v>Adven Energilösningar AB</v>
      </c>
      <c r="C12" s="121" t="str">
        <f>IFERROR(INDEX('Miljövrärden urval för publ'!$A$2:$AA$419,MATCH('Miljövärden för publ företag'!$A12,'Miljövrärden urval för publ'!$R$2:$R$416,0),2),"")</f>
        <v>Timrå</v>
      </c>
      <c r="D12" s="121">
        <f>IFERROR(VLOOKUP($C12,'Miljövrärden urval för publ'!$B$2:$H$416,MATCH('Miljövärden för publ företag'!D$4,'Miljövrärden urval för publ'!$B$2:$H$2,0),FALSE),"")</f>
        <v>0.11096</v>
      </c>
      <c r="E12" s="121">
        <f>IFERROR(VLOOKUP($C12,'Miljövrärden urval för publ'!$B$2:$H$416,MATCH('Miljövärden för publ företag'!E$4,'Miljövrärden urval för publ'!$B$2:$H$2,0),FALSE),"")</f>
        <v>21.6189</v>
      </c>
      <c r="F12" s="121">
        <f>IFERROR(VLOOKUP($C12,'Miljövrärden urval för publ'!$B$2:$H$416,MATCH('Miljövärden för publ företag'!F$4,'Miljövrärden urval för publ'!$B$2:$H$2,0),FALSE),"")</f>
        <v>1.7746900000000001</v>
      </c>
      <c r="G12" s="121">
        <f>IFERROR(VLOOKUP($C12,'Miljövrärden urval för publ'!$B$2:$H$416,MATCH('Miljövärden för publ företag'!G$4,'Miljövrärden urval för publ'!$B$2:$H$2,0),FALSE),"")</f>
        <v>7.2409500000000002E-2</v>
      </c>
      <c r="J12" s="121">
        <f t="shared" si="1"/>
        <v>1</v>
      </c>
      <c r="M12" s="121">
        <v>8</v>
      </c>
      <c r="N12" s="121" t="str">
        <f t="shared" si="2"/>
        <v>Bengtsfors Energi</v>
      </c>
      <c r="P12" s="296">
        <f t="shared" si="3"/>
        <v>0</v>
      </c>
      <c r="Q12" s="290" t="str">
        <f t="shared" si="0"/>
        <v/>
      </c>
      <c r="R12" s="121">
        <v>8</v>
      </c>
      <c r="S12" s="121" t="str">
        <f t="shared" si="4"/>
        <v/>
      </c>
    </row>
    <row r="13" spans="1:19" x14ac:dyDescent="0.25">
      <c r="A13" s="121">
        <v>10</v>
      </c>
      <c r="B13" s="121" t="str">
        <f>IFERROR(INDEX('Miljövrärden urval för publ'!$A$2:$AA$419,MATCH('Miljövärden för publ företag'!$A13,'Miljövrärden urval för publ'!$R$2:$R$416,0),1),"")</f>
        <v>Adven Energilösningar AB</v>
      </c>
      <c r="C13" s="121" t="str">
        <f>IFERROR(INDEX('Miljövrärden urval för publ'!$A$2:$AA$419,MATCH('Miljövärden för publ företag'!$A13,'Miljövrärden urval för publ'!$R$2:$R$416,0),2),"")</f>
        <v>Vaxholm</v>
      </c>
      <c r="D13" s="121">
        <f>IFERROR(VLOOKUP($C13,'Miljövrärden urval för publ'!$B$2:$H$416,MATCH('Miljövärden för publ företag'!D$4,'Miljövrärden urval för publ'!$B$2:$H$2,0),FALSE),"")</f>
        <v>0.10720300000000001</v>
      </c>
      <c r="E13" s="121">
        <f>IFERROR(VLOOKUP($C13,'Miljövrärden urval för publ'!$B$2:$H$416,MATCH('Miljövärden för publ företag'!E$4,'Miljövrärden urval för publ'!$B$2:$H$2,0),FALSE),"")</f>
        <v>11.237299999999999</v>
      </c>
      <c r="F13" s="121">
        <f>IFERROR(VLOOKUP($C13,'Miljövrärden urval för publ'!$B$2:$H$416,MATCH('Miljövärden för publ företag'!F$4,'Miljövrärden urval för publ'!$B$2:$H$2,0),FALSE),"")</f>
        <v>8.5678000000000001</v>
      </c>
      <c r="G13" s="121">
        <f>IFERROR(VLOOKUP($C13,'Miljövrärden urval för publ'!$B$2:$H$416,MATCH('Miljövärden för publ företag'!G$4,'Miljövrärden urval för publ'!$B$2:$H$2,0),FALSE),"")</f>
        <v>1.8017999999999999E-2</v>
      </c>
      <c r="J13" s="121">
        <f t="shared" si="1"/>
        <v>1</v>
      </c>
      <c r="M13" s="121">
        <v>9</v>
      </c>
      <c r="N13" s="121" t="str">
        <f t="shared" si="2"/>
        <v>Bodens Energi AB</v>
      </c>
      <c r="P13" s="296">
        <f t="shared" si="3"/>
        <v>0</v>
      </c>
      <c r="Q13" s="290" t="str">
        <f t="shared" si="0"/>
        <v/>
      </c>
      <c r="R13" s="121">
        <v>9</v>
      </c>
      <c r="S13" s="121" t="str">
        <f t="shared" si="4"/>
        <v/>
      </c>
    </row>
    <row r="14" spans="1:19" x14ac:dyDescent="0.25">
      <c r="A14" s="121">
        <v>11</v>
      </c>
      <c r="B14" s="121" t="str">
        <f>IFERROR(INDEX('Miljövrärden urval för publ'!$A$2:$AA$419,MATCH('Miljövärden för publ företag'!$A14,'Miljövrärden urval för publ'!$R$2:$R$416,0),1),"")</f>
        <v>Adven Energilösningar AB</v>
      </c>
      <c r="C14" s="121" t="str">
        <f>IFERROR(INDEX('Miljövrärden urval för publ'!$A$2:$AA$419,MATCH('Miljövärden för publ företag'!$A14,'Miljövrärden urval för publ'!$R$2:$R$416,0),2),"")</f>
        <v>Älmhult</v>
      </c>
      <c r="D14" s="121">
        <f>IFERROR(VLOOKUP($C14,'Miljövrärden urval för publ'!$B$2:$H$416,MATCH('Miljövärden för publ företag'!D$4,'Miljövrärden urval för publ'!$B$2:$H$2,0),FALSE),"")</f>
        <v>5.8250299999999998E-2</v>
      </c>
      <c r="E14" s="121">
        <f>IFERROR(VLOOKUP($C14,'Miljövrärden urval för publ'!$B$2:$H$416,MATCH('Miljövärden för publ företag'!E$4,'Miljövrärden urval för publ'!$B$2:$H$2,0),FALSE),"")</f>
        <v>4.6567699999999999</v>
      </c>
      <c r="F14" s="121">
        <f>IFERROR(VLOOKUP($C14,'Miljövrärden urval för publ'!$B$2:$H$416,MATCH('Miljövärden för publ företag'!F$4,'Miljövrärden urval för publ'!$B$2:$H$2,0),FALSE),"")</f>
        <v>6.0791000000000004</v>
      </c>
      <c r="G14" s="121">
        <f>IFERROR(VLOOKUP($C14,'Miljövrärden urval för publ'!$B$2:$H$416,MATCH('Miljövärden för publ företag'!G$4,'Miljövrärden urval för publ'!$B$2:$H$2,0),FALSE),"")</f>
        <v>5.2270499999999996E-3</v>
      </c>
      <c r="J14" s="121">
        <f t="shared" si="1"/>
        <v>1</v>
      </c>
      <c r="M14" s="121">
        <v>10</v>
      </c>
      <c r="N14" s="121" t="str">
        <f t="shared" si="2"/>
        <v>Bollnäs Energi AB</v>
      </c>
      <c r="P14" s="296">
        <f t="shared" si="3"/>
        <v>0</v>
      </c>
      <c r="Q14" s="290" t="str">
        <f t="shared" si="0"/>
        <v/>
      </c>
      <c r="R14" s="121">
        <v>10</v>
      </c>
      <c r="S14" s="121" t="str">
        <f t="shared" si="4"/>
        <v/>
      </c>
    </row>
    <row r="15" spans="1:19" x14ac:dyDescent="0.25">
      <c r="A15" s="121">
        <v>12</v>
      </c>
      <c r="B15" s="121" t="str">
        <f>IFERROR(INDEX('Miljövrärden urval för publ'!$A$2:$AA$419,MATCH('Miljövärden för publ företag'!$A15,'Miljövrärden urval för publ'!$R$2:$R$416,0),1),"")</f>
        <v>Adven Värme AB.</v>
      </c>
      <c r="C15" s="121" t="str">
        <f>IFERROR(INDEX('Miljövrärden urval för publ'!$A$2:$AA$419,MATCH('Miljövärden för publ företag'!$A15,'Miljövrärden urval för publ'!$R$2:$R$416,0),2),"")</f>
        <v>Bollstabruk</v>
      </c>
      <c r="D15" s="121">
        <f>IFERROR(VLOOKUP($C15,'Miljövrärden urval för publ'!$B$2:$H$416,MATCH('Miljövärden för publ företag'!D$4,'Miljövrärden urval för publ'!$B$2:$H$2,0),FALSE),"")</f>
        <v>7.1953400000000001E-2</v>
      </c>
      <c r="E15" s="121">
        <f>IFERROR(VLOOKUP($C15,'Miljövrärden urval för publ'!$B$2:$H$416,MATCH('Miljövärden för publ företag'!E$4,'Miljövrärden urval för publ'!$B$2:$H$2,0),FALSE),"")</f>
        <v>5.5946699999999998</v>
      </c>
      <c r="F15" s="121">
        <f>IFERROR(VLOOKUP($C15,'Miljövrärden urval för publ'!$B$2:$H$416,MATCH('Miljövärden för publ företag'!F$4,'Miljövrärden urval för publ'!$B$2:$H$2,0),FALSE),"")</f>
        <v>9.7891100000000009</v>
      </c>
      <c r="G15" s="121">
        <f>IFERROR(VLOOKUP($C15,'Miljövrärden urval för publ'!$B$2:$H$416,MATCH('Miljövärden för publ företag'!G$4,'Miljövrärden urval för publ'!$B$2:$H$2,0),FALSE),"")</f>
        <v>0</v>
      </c>
      <c r="J15" s="121">
        <f t="shared" si="1"/>
        <v>2</v>
      </c>
      <c r="M15" s="121">
        <v>11</v>
      </c>
      <c r="N15" s="121" t="str">
        <f t="shared" si="2"/>
        <v>Borgholm Energi AB</v>
      </c>
      <c r="P15" s="296">
        <f t="shared" si="3"/>
        <v>0</v>
      </c>
      <c r="Q15" s="290" t="str">
        <f t="shared" si="0"/>
        <v/>
      </c>
      <c r="R15" s="121">
        <v>11</v>
      </c>
      <c r="S15" s="121" t="str">
        <f t="shared" si="4"/>
        <v/>
      </c>
    </row>
    <row r="16" spans="1:19" x14ac:dyDescent="0.25">
      <c r="A16" s="121">
        <v>13</v>
      </c>
      <c r="B16" s="121" t="str">
        <f>IFERROR(INDEX('Miljövrärden urval för publ'!$A$2:$AA$419,MATCH('Miljövärden för publ företag'!$A16,'Miljövrärden urval för publ'!$R$2:$R$416,0),1),"")</f>
        <v>Adven Värme AB.</v>
      </c>
      <c r="C16" s="121" t="str">
        <f>IFERROR(INDEX('Miljövrärden urval för publ'!$A$2:$AA$419,MATCH('Miljövärden för publ företag'!$A16,'Miljövrärden urval för publ'!$R$2:$R$416,0),2),"")</f>
        <v>Bräcke, Enycon</v>
      </c>
      <c r="D16" s="121">
        <f>IFERROR(VLOOKUP($C16,'Miljövrärden urval för publ'!$B$2:$H$416,MATCH('Miljövärden för publ företag'!D$4,'Miljövrärden urval för publ'!$B$2:$H$2,0),FALSE),"")</f>
        <v>9.9505499999999997E-2</v>
      </c>
      <c r="E16" s="121">
        <f>IFERROR(VLOOKUP($C16,'Miljövrärden urval för publ'!$B$2:$H$416,MATCH('Miljövärden för publ företag'!E$4,'Miljövrärden urval för publ'!$B$2:$H$2,0),FALSE),"")</f>
        <v>10.0886</v>
      </c>
      <c r="F16" s="121">
        <f>IFERROR(VLOOKUP($C16,'Miljövrärden urval för publ'!$B$2:$H$416,MATCH('Miljövärden för publ företag'!F$4,'Miljövrärden urval för publ'!$B$2:$H$2,0),FALSE),"")</f>
        <v>11.747299999999999</v>
      </c>
      <c r="G16" s="121">
        <f>IFERROR(VLOOKUP($C16,'Miljövrärden urval för publ'!$B$2:$H$416,MATCH('Miljövärden för publ företag'!G$4,'Miljövrärden urval för publ'!$B$2:$H$2,0),FALSE),"")</f>
        <v>1.1320800000000001E-2</v>
      </c>
      <c r="J16" s="121">
        <f t="shared" si="1"/>
        <v>2</v>
      </c>
      <c r="M16" s="121">
        <v>12</v>
      </c>
      <c r="N16" s="121" t="str">
        <f t="shared" si="2"/>
        <v>Borlänge Energi AB</v>
      </c>
      <c r="P16" s="296">
        <f t="shared" si="3"/>
        <v>0</v>
      </c>
      <c r="Q16" s="290" t="str">
        <f t="shared" si="0"/>
        <v/>
      </c>
      <c r="R16" s="121">
        <v>12</v>
      </c>
      <c r="S16" s="121" t="str">
        <f t="shared" si="4"/>
        <v/>
      </c>
    </row>
    <row r="17" spans="1:19" x14ac:dyDescent="0.25">
      <c r="A17" s="121">
        <v>14</v>
      </c>
      <c r="B17" s="121" t="str">
        <f>IFERROR(INDEX('Miljövrärden urval för publ'!$A$2:$AA$419,MATCH('Miljövärden för publ företag'!$A17,'Miljövrärden urval för publ'!$R$2:$R$416,0),1),"")</f>
        <v>Adven Värme AB.</v>
      </c>
      <c r="C17" s="121" t="str">
        <f>IFERROR(INDEX('Miljövrärden urval för publ'!$A$2:$AA$419,MATCH('Miljövärden för publ företag'!$A17,'Miljövrärden urval för publ'!$R$2:$R$416,0),2),"")</f>
        <v>Friggesund</v>
      </c>
      <c r="D17" s="121">
        <f>IFERROR(VLOOKUP($C17,'Miljövrärden urval för publ'!$B$2:$H$416,MATCH('Miljövärden för publ företag'!D$4,'Miljövrärden urval för publ'!$B$2:$H$2,0),FALSE),"")</f>
        <v>0.10485700000000001</v>
      </c>
      <c r="E17" s="121">
        <f>IFERROR(VLOOKUP($C17,'Miljövrärden urval för publ'!$B$2:$H$416,MATCH('Miljövärden för publ företag'!E$4,'Miljövrärden urval för publ'!$B$2:$H$2,0),FALSE),"")</f>
        <v>20.4572</v>
      </c>
      <c r="F17" s="121">
        <f>IFERROR(VLOOKUP($C17,'Miljövrärden urval för publ'!$B$2:$H$416,MATCH('Miljövärden för publ företag'!F$4,'Miljövrärden urval för publ'!$B$2:$H$2,0),FALSE),"")</f>
        <v>10.257099999999999</v>
      </c>
      <c r="G17" s="121">
        <f>IFERROR(VLOOKUP($C17,'Miljövrärden urval för publ'!$B$2:$H$416,MATCH('Miljövärden för publ företag'!G$4,'Miljövrärden urval för publ'!$B$2:$H$2,0),FALSE),"")</f>
        <v>4.2462800000000002E-2</v>
      </c>
      <c r="J17" s="121">
        <f t="shared" si="1"/>
        <v>2</v>
      </c>
      <c r="M17" s="121">
        <v>13</v>
      </c>
      <c r="N17" s="121" t="str">
        <f t="shared" si="2"/>
        <v>Borås Energi &amp; Miljö AB</v>
      </c>
      <c r="P17" s="296">
        <f t="shared" si="3"/>
        <v>0</v>
      </c>
      <c r="Q17" s="290" t="str">
        <f t="shared" si="0"/>
        <v/>
      </c>
      <c r="R17" s="121">
        <v>13</v>
      </c>
      <c r="S17" s="121" t="str">
        <f t="shared" si="4"/>
        <v/>
      </c>
    </row>
    <row r="18" spans="1:19" x14ac:dyDescent="0.25">
      <c r="A18" s="121">
        <v>15</v>
      </c>
      <c r="B18" s="121" t="str">
        <f>IFERROR(INDEX('Miljövrärden urval för publ'!$A$2:$AA$419,MATCH('Miljövärden för publ företag'!$A18,'Miljövrärden urval för publ'!$R$2:$R$416,0),1),"")</f>
        <v>Adven Värme AB.</v>
      </c>
      <c r="C18" s="121" t="str">
        <f>IFERROR(INDEX('Miljövrärden urval för publ'!$A$2:$AA$419,MATCH('Miljövärden för publ företag'!$A18,'Miljövrärden urval för publ'!$R$2:$R$416,0),2),"")</f>
        <v>Funäsdalen</v>
      </c>
      <c r="D18" s="121">
        <f>IFERROR(VLOOKUP($C18,'Miljövrärden urval för publ'!$B$2:$H$416,MATCH('Miljövärden för publ företag'!D$4,'Miljövrärden urval för publ'!$B$2:$H$2,0),FALSE),"")</f>
        <v>0.22963</v>
      </c>
      <c r="E18" s="121">
        <f>IFERROR(VLOOKUP($C18,'Miljövrärden urval för publ'!$B$2:$H$416,MATCH('Miljövärden för publ företag'!E$4,'Miljövrärden urval för publ'!$B$2:$H$2,0),FALSE),"")</f>
        <v>45.926499999999997</v>
      </c>
      <c r="F18" s="121">
        <f>IFERROR(VLOOKUP($C18,'Miljövrärden urval för publ'!$B$2:$H$416,MATCH('Miljövärden för publ företag'!F$4,'Miljövrärden urval för publ'!$B$2:$H$2,0),FALSE),"")</f>
        <v>14.148099999999999</v>
      </c>
      <c r="G18" s="121">
        <f>IFERROR(VLOOKUP($C18,'Miljövrärden urval för publ'!$B$2:$H$416,MATCH('Miljövärden för publ företag'!G$4,'Miljövrärden urval för publ'!$B$2:$H$2,0),FALSE),"")</f>
        <v>8.6021500000000001E-2</v>
      </c>
      <c r="J18" s="121">
        <f t="shared" si="1"/>
        <v>2</v>
      </c>
      <c r="M18" s="121">
        <v>14</v>
      </c>
      <c r="N18" s="121" t="str">
        <f t="shared" si="2"/>
        <v>BTEA Energi AB</v>
      </c>
      <c r="P18" s="296">
        <f t="shared" si="3"/>
        <v>0</v>
      </c>
      <c r="Q18" s="290" t="str">
        <f t="shared" si="0"/>
        <v/>
      </c>
      <c r="R18" s="121">
        <v>14</v>
      </c>
      <c r="S18" s="121" t="str">
        <f t="shared" si="4"/>
        <v/>
      </c>
    </row>
    <row r="19" spans="1:19" x14ac:dyDescent="0.25">
      <c r="A19" s="121">
        <v>16</v>
      </c>
      <c r="B19" s="121" t="str">
        <f>IFERROR(INDEX('Miljövrärden urval för publ'!$A$2:$AA$419,MATCH('Miljövärden för publ företag'!$A19,'Miljövrärden urval för publ'!$R$2:$R$416,0),1),"")</f>
        <v>Adven Värme AB.</v>
      </c>
      <c r="C19" s="121" t="str">
        <f>IFERROR(INDEX('Miljövrärden urval för publ'!$A$2:$AA$419,MATCH('Miljövärden för publ företag'!$A19,'Miljövrärden urval för publ'!$R$2:$R$416,0),2),"")</f>
        <v>Hede</v>
      </c>
      <c r="D19" s="121">
        <f>IFERROR(VLOOKUP($C19,'Miljövrärden urval för publ'!$B$2:$H$416,MATCH('Miljövärden för publ företag'!D$4,'Miljövrärden urval för publ'!$B$2:$H$2,0),FALSE),"")</f>
        <v>8.6666699999999999E-2</v>
      </c>
      <c r="E19" s="121">
        <f>IFERROR(VLOOKUP($C19,'Miljövrärden urval för publ'!$B$2:$H$416,MATCH('Miljövärden för publ företag'!E$4,'Miljövrärden urval för publ'!$B$2:$H$2,0),FALSE),"")</f>
        <v>12.923500000000001</v>
      </c>
      <c r="F19" s="121">
        <f>IFERROR(VLOOKUP($C19,'Miljövrärden urval för publ'!$B$2:$H$416,MATCH('Miljövärden för publ företag'!F$4,'Miljövrärden urval för publ'!$B$2:$H$2,0),FALSE),"")</f>
        <v>11.1538</v>
      </c>
      <c r="G19" s="121">
        <f>IFERROR(VLOOKUP($C19,'Miljövrärden urval för publ'!$B$2:$H$416,MATCH('Miljövärden för publ företag'!G$4,'Miljövrärden urval för publ'!$B$2:$H$2,0),FALSE),"")</f>
        <v>1.6528899999999999E-2</v>
      </c>
      <c r="J19" s="121">
        <f t="shared" si="1"/>
        <v>2</v>
      </c>
      <c r="M19" s="121">
        <v>15</v>
      </c>
      <c r="N19" s="121" t="str">
        <f t="shared" si="2"/>
        <v>C4 Energi AB</v>
      </c>
      <c r="P19" s="296">
        <f t="shared" si="3"/>
        <v>0</v>
      </c>
      <c r="Q19" s="290" t="str">
        <f t="shared" si="0"/>
        <v/>
      </c>
      <c r="R19" s="121">
        <v>15</v>
      </c>
      <c r="S19" s="121" t="str">
        <f t="shared" si="4"/>
        <v/>
      </c>
    </row>
    <row r="20" spans="1:19" x14ac:dyDescent="0.25">
      <c r="A20" s="121">
        <v>17</v>
      </c>
      <c r="B20" s="121" t="str">
        <f>IFERROR(INDEX('Miljövrärden urval för publ'!$A$2:$AA$419,MATCH('Miljövärden för publ företag'!$A20,'Miljövrärden urval för publ'!$R$2:$R$416,0),1),"")</f>
        <v>Adven Värme AB.</v>
      </c>
      <c r="C20" s="121" t="str">
        <f>IFERROR(INDEX('Miljövrärden urval för publ'!$A$2:$AA$419,MATCH('Miljövärden för publ företag'!$A20,'Miljövrärden urval för publ'!$R$2:$R$416,0),2),"")</f>
        <v>Lenhovda</v>
      </c>
      <c r="D20" s="121">
        <f>IFERROR(VLOOKUP($C20,'Miljövrärden urval för publ'!$B$2:$H$416,MATCH('Miljövärden för publ företag'!D$4,'Miljövrärden urval för publ'!$B$2:$H$2,0),FALSE),"")</f>
        <v>8.2687899999999995E-2</v>
      </c>
      <c r="E20" s="121">
        <f>IFERROR(VLOOKUP($C20,'Miljövrärden urval för publ'!$B$2:$H$416,MATCH('Miljövärden för publ företag'!E$4,'Miljövrärden urval för publ'!$B$2:$H$2,0),FALSE),"")</f>
        <v>9.3103200000000008</v>
      </c>
      <c r="F20" s="121">
        <f>IFERROR(VLOOKUP($C20,'Miljövrärden urval för publ'!$B$2:$H$416,MATCH('Miljövärden för publ företag'!F$4,'Miljövrärden urval för publ'!$B$2:$H$2,0),FALSE),"")</f>
        <v>10.028</v>
      </c>
      <c r="G20" s="121">
        <f>IFERROR(VLOOKUP($C20,'Miljövrärden urval för publ'!$B$2:$H$416,MATCH('Miljövärden för publ företag'!G$4,'Miljövrärden urval för publ'!$B$2:$H$2,0),FALSE),"")</f>
        <v>9.8126700000000008E-3</v>
      </c>
      <c r="J20" s="121">
        <f t="shared" si="1"/>
        <v>2</v>
      </c>
      <c r="M20" s="121">
        <v>16</v>
      </c>
      <c r="N20" s="121" t="str">
        <f t="shared" si="2"/>
        <v>Dala Energi Värme AB</v>
      </c>
      <c r="P20" s="296">
        <f t="shared" si="3"/>
        <v>0</v>
      </c>
      <c r="Q20" s="290" t="str">
        <f t="shared" si="0"/>
        <v/>
      </c>
      <c r="R20" s="121">
        <v>16</v>
      </c>
      <c r="S20" s="121" t="str">
        <f t="shared" si="4"/>
        <v/>
      </c>
    </row>
    <row r="21" spans="1:19" x14ac:dyDescent="0.25">
      <c r="A21" s="121">
        <v>18</v>
      </c>
      <c r="B21" s="121" t="str">
        <f>IFERROR(INDEX('Miljövrärden urval för publ'!$A$2:$AA$419,MATCH('Miljövärden för publ företag'!$A21,'Miljövrärden urval för publ'!$R$2:$R$416,0),1),"")</f>
        <v>Adven Värme AB.</v>
      </c>
      <c r="C21" s="121" t="str">
        <f>IFERROR(INDEX('Miljövrärden urval för publ'!$A$2:$AA$419,MATCH('Miljövärden för publ företag'!$A21,'Miljövrärden urval för publ'!$R$2:$R$416,0),2),"")</f>
        <v>Långsele</v>
      </c>
      <c r="D21" s="121">
        <f>IFERROR(VLOOKUP($C21,'Miljövrärden urval för publ'!$B$2:$H$416,MATCH('Miljövärden för publ företag'!D$4,'Miljövrärden urval för publ'!$B$2:$H$2,0),FALSE),"")</f>
        <v>0.36249999999999999</v>
      </c>
      <c r="E21" s="121">
        <f>IFERROR(VLOOKUP($C21,'Miljövrärden urval för publ'!$B$2:$H$416,MATCH('Miljövärden för publ företag'!E$4,'Miljövrärden urval för publ'!$B$2:$H$2,0),FALSE),"")</f>
        <v>57.800800000000002</v>
      </c>
      <c r="F21" s="121">
        <f>IFERROR(VLOOKUP($C21,'Miljövrärden urval för publ'!$B$2:$H$416,MATCH('Miljövärden för publ företag'!F$4,'Miljövrärden urval för publ'!$B$2:$H$2,0),FALSE),"")</f>
        <v>19.100000000000001</v>
      </c>
      <c r="G21" s="121">
        <f>IFERROR(VLOOKUP($C21,'Miljövrärden urval för publ'!$B$2:$H$416,MATCH('Miljövärden för publ företag'!G$4,'Miljövrärden urval för publ'!$B$2:$H$2,0),FALSE),"")</f>
        <v>0.156863</v>
      </c>
      <c r="J21" s="121">
        <f t="shared" si="1"/>
        <v>2</v>
      </c>
      <c r="M21" s="121">
        <v>17</v>
      </c>
      <c r="N21" s="121" t="str">
        <f t="shared" si="2"/>
        <v>Degerfors Energi AB</v>
      </c>
      <c r="P21" s="296">
        <f t="shared" si="3"/>
        <v>0</v>
      </c>
      <c r="Q21" s="290" t="str">
        <f t="shared" si="0"/>
        <v/>
      </c>
      <c r="R21" s="121">
        <v>17</v>
      </c>
      <c r="S21" s="121" t="str">
        <f t="shared" si="4"/>
        <v/>
      </c>
    </row>
    <row r="22" spans="1:19" x14ac:dyDescent="0.25">
      <c r="A22" s="121">
        <v>19</v>
      </c>
      <c r="B22" s="121" t="str">
        <f>IFERROR(INDEX('Miljövrärden urval för publ'!$A$2:$AA$419,MATCH('Miljövärden för publ företag'!$A22,'Miljövrärden urval för publ'!$R$2:$R$416,0),1),"")</f>
        <v>Adven Värme AB.</v>
      </c>
      <c r="C22" s="121" t="str">
        <f>IFERROR(INDEX('Miljövrärden urval för publ'!$A$2:$AA$419,MATCH('Miljövärden för publ företag'!$A22,'Miljövrärden urval för publ'!$R$2:$R$416,0),2),"")</f>
        <v>Näsåker</v>
      </c>
      <c r="D22" s="121">
        <f>IFERROR(VLOOKUP($C22,'Miljövrärden urval för publ'!$B$2:$H$416,MATCH('Miljövärden för publ företag'!D$4,'Miljövrärden urval för publ'!$B$2:$H$2,0),FALSE),"")</f>
        <v>0.157222</v>
      </c>
      <c r="E22" s="121">
        <f>IFERROR(VLOOKUP($C22,'Miljövrärden urval för publ'!$B$2:$H$416,MATCH('Miljövärden för publ företag'!E$4,'Miljövrärden urval för publ'!$B$2:$H$2,0),FALSE),"")</f>
        <v>5.1116099999999998</v>
      </c>
      <c r="F22" s="121">
        <f>IFERROR(VLOOKUP($C22,'Miljövrärden urval för publ'!$B$2:$H$416,MATCH('Miljövärden för publ företag'!F$4,'Miljövrärden urval för publ'!$B$2:$H$2,0),FALSE),"")</f>
        <v>17.8889</v>
      </c>
      <c r="G22" s="121">
        <f>IFERROR(VLOOKUP($C22,'Miljövrärden urval för publ'!$B$2:$H$416,MATCH('Miljövärden för publ företag'!G$4,'Miljövrärden urval för publ'!$B$2:$H$2,0),FALSE),"")</f>
        <v>0</v>
      </c>
      <c r="J22" s="121">
        <f t="shared" si="1"/>
        <v>2</v>
      </c>
      <c r="M22" s="121">
        <v>18</v>
      </c>
      <c r="N22" s="121" t="str">
        <f t="shared" si="2"/>
        <v>E.ON Värme Sverige AB</v>
      </c>
      <c r="P22" s="296">
        <f t="shared" si="3"/>
        <v>0</v>
      </c>
      <c r="Q22" s="290" t="str">
        <f t="shared" si="0"/>
        <v/>
      </c>
      <c r="R22" s="121">
        <v>18</v>
      </c>
      <c r="S22" s="121" t="str">
        <f t="shared" si="4"/>
        <v/>
      </c>
    </row>
    <row r="23" spans="1:19" x14ac:dyDescent="0.25">
      <c r="A23" s="121">
        <v>20</v>
      </c>
      <c r="B23" s="121" t="str">
        <f>IFERROR(INDEX('Miljövrärden urval för publ'!$A$2:$AA$419,MATCH('Miljövärden för publ företag'!$A23,'Miljövrärden urval för publ'!$R$2:$R$416,0),1),"")</f>
        <v>Adven Värme AB.</v>
      </c>
      <c r="C23" s="121" t="str">
        <f>IFERROR(INDEX('Miljövrärden urval för publ'!$A$2:$AA$419,MATCH('Miljövärden för publ företag'!$A23,'Miljövrärden urval för publ'!$R$2:$R$416,0),2),"")</f>
        <v>Ramsele</v>
      </c>
      <c r="D23" s="121">
        <f>IFERROR(VLOOKUP($C23,'Miljövrärden urval för publ'!$B$2:$H$416,MATCH('Miljövärden för publ företag'!D$4,'Miljövrärden urval för publ'!$B$2:$H$2,0),FALSE),"")</f>
        <v>0.109818</v>
      </c>
      <c r="E23" s="121">
        <f>IFERROR(VLOOKUP($C23,'Miljövrärden urval för publ'!$B$2:$H$416,MATCH('Miljövärden för publ företag'!E$4,'Miljövrärden urval för publ'!$B$2:$H$2,0),FALSE),"")</f>
        <v>5.81982</v>
      </c>
      <c r="F23" s="121">
        <f>IFERROR(VLOOKUP($C23,'Miljövrärden urval för publ'!$B$2:$H$416,MATCH('Miljövärden för publ företag'!F$4,'Miljövrärden urval för publ'!$B$2:$H$2,0),FALSE),"")</f>
        <v>11.2</v>
      </c>
      <c r="G23" s="121">
        <f>IFERROR(VLOOKUP($C23,'Miljövrärden urval för publ'!$B$2:$H$416,MATCH('Miljövärden för publ företag'!G$4,'Miljövrärden urval för publ'!$B$2:$H$2,0),FALSE),"")</f>
        <v>0</v>
      </c>
      <c r="J23" s="121">
        <f t="shared" si="1"/>
        <v>2</v>
      </c>
      <c r="M23" s="121">
        <v>19</v>
      </c>
      <c r="N23" s="121" t="str">
        <f t="shared" si="2"/>
        <v>Eksjö Energi AB</v>
      </c>
      <c r="P23" s="296">
        <f t="shared" si="3"/>
        <v>0</v>
      </c>
      <c r="Q23" s="290" t="str">
        <f t="shared" si="0"/>
        <v/>
      </c>
      <c r="R23" s="121">
        <v>19</v>
      </c>
      <c r="S23" s="121" t="str">
        <f t="shared" si="4"/>
        <v/>
      </c>
    </row>
    <row r="24" spans="1:19" x14ac:dyDescent="0.25">
      <c r="A24" s="121">
        <v>21</v>
      </c>
      <c r="B24" s="121" t="str">
        <f>IFERROR(INDEX('Miljövrärden urval för publ'!$A$2:$AA$419,MATCH('Miljövärden för publ företag'!$A24,'Miljövrärden urval för publ'!$R$2:$R$416,0),1),"")</f>
        <v>Adven Värme AB.</v>
      </c>
      <c r="C24" s="121" t="str">
        <f>IFERROR(INDEX('Miljövrärden urval för publ'!$A$2:$AA$419,MATCH('Miljövärden för publ företag'!$A24,'Miljövrärden urval för publ'!$R$2:$R$416,0),2),"")</f>
        <v>Sösdala</v>
      </c>
      <c r="D24" s="121">
        <f>IFERROR(VLOOKUP($C24,'Miljövrärden urval för publ'!$B$2:$H$416,MATCH('Miljövärden för publ företag'!D$4,'Miljövrärden urval för publ'!$B$2:$H$2,0),FALSE),"")</f>
        <v>8.2857100000000003E-2</v>
      </c>
      <c r="E24" s="121">
        <f>IFERROR(VLOOKUP($C24,'Miljövrärden urval för publ'!$B$2:$H$416,MATCH('Miljövärden för publ företag'!E$4,'Miljövrärden urval för publ'!$B$2:$H$2,0),FALSE),"")</f>
        <v>13.714499999999999</v>
      </c>
      <c r="F24" s="121">
        <f>IFERROR(VLOOKUP($C24,'Miljövrärden urval för publ'!$B$2:$H$416,MATCH('Miljövärden för publ företag'!F$4,'Miljövrärden urval för publ'!$B$2:$H$2,0),FALSE),"")</f>
        <v>11.2286</v>
      </c>
      <c r="G24" s="121">
        <f>IFERROR(VLOOKUP($C24,'Miljövrärden urval för publ'!$B$2:$H$416,MATCH('Miljövärden för publ företag'!G$4,'Miljövrärden urval för publ'!$B$2:$H$2,0),FALSE),"")</f>
        <v>1.84502E-2</v>
      </c>
      <c r="J24" s="121">
        <f t="shared" si="1"/>
        <v>2</v>
      </c>
      <c r="M24" s="121">
        <v>20</v>
      </c>
      <c r="N24" s="121" t="str">
        <f t="shared" si="2"/>
        <v>Emmaboda Energi och Miljö AB</v>
      </c>
      <c r="P24" s="296">
        <f t="shared" si="3"/>
        <v>0</v>
      </c>
      <c r="Q24" s="290" t="str">
        <f t="shared" si="0"/>
        <v/>
      </c>
      <c r="R24" s="121">
        <v>20</v>
      </c>
      <c r="S24" s="121" t="str">
        <f t="shared" si="4"/>
        <v/>
      </c>
    </row>
    <row r="25" spans="1:19" x14ac:dyDescent="0.25">
      <c r="A25" s="121">
        <v>22</v>
      </c>
      <c r="B25" s="121" t="str">
        <f>IFERROR(INDEX('Miljövrärden urval för publ'!$A$2:$AA$419,MATCH('Miljövärden för publ företag'!$A25,'Miljövrärden urval för publ'!$R$2:$R$416,0),1),"")</f>
        <v>Affärsverken Karlskrona AB</v>
      </c>
      <c r="C25" s="121" t="str">
        <f>IFERROR(INDEX('Miljövrärden urval för publ'!$A$2:$AA$419,MATCH('Miljövärden för publ företag'!$A25,'Miljövrärden urval för publ'!$R$2:$R$416,0),2),"")</f>
        <v>Fridlevstad</v>
      </c>
      <c r="D25" s="121">
        <f>IFERROR(VLOOKUP($C25,'Miljövrärden urval för publ'!$B$2:$H$416,MATCH('Miljövärden för publ företag'!D$4,'Miljövrärden urval för publ'!$B$2:$H$2,0),FALSE),"")</f>
        <v>0.25694699999999998</v>
      </c>
      <c r="E25" s="121">
        <f>IFERROR(VLOOKUP($C25,'Miljövrärden urval för publ'!$B$2:$H$416,MATCH('Miljövärden för publ företag'!E$4,'Miljövrärden urval för publ'!$B$2:$H$2,0),FALSE),"")</f>
        <v>18.6526</v>
      </c>
      <c r="F25" s="121">
        <f>IFERROR(VLOOKUP($C25,'Miljövrärden urval för publ'!$B$2:$H$416,MATCH('Miljövärden för publ företag'!F$4,'Miljövrärden urval för publ'!$B$2:$H$2,0),FALSE),"")</f>
        <v>21.8947</v>
      </c>
      <c r="G25" s="121">
        <f>IFERROR(VLOOKUP($C25,'Miljövrärden urval för publ'!$B$2:$H$416,MATCH('Miljövärden för publ företag'!G$4,'Miljövrärden urval för publ'!$B$2:$H$2,0),FALSE),"")</f>
        <v>3.01003E-2</v>
      </c>
      <c r="J25" s="121">
        <f t="shared" si="1"/>
        <v>3</v>
      </c>
      <c r="M25" s="121">
        <v>21</v>
      </c>
      <c r="N25" s="121" t="str">
        <f t="shared" si="2"/>
        <v>Ena Energi AB</v>
      </c>
      <c r="P25" s="296">
        <f t="shared" si="3"/>
        <v>0</v>
      </c>
      <c r="Q25" s="290" t="str">
        <f t="shared" si="0"/>
        <v/>
      </c>
      <c r="R25" s="121">
        <v>21</v>
      </c>
      <c r="S25" s="121" t="str">
        <f t="shared" si="4"/>
        <v/>
      </c>
    </row>
    <row r="26" spans="1:19" x14ac:dyDescent="0.25">
      <c r="A26" s="121">
        <v>23</v>
      </c>
      <c r="B26" s="121" t="str">
        <f>IFERROR(INDEX('Miljövrärden urval för publ'!$A$2:$AA$419,MATCH('Miljövärden för publ företag'!$A26,'Miljövrärden urval för publ'!$R$2:$R$416,0),1),"")</f>
        <v>Affärsverken Karlskrona AB</v>
      </c>
      <c r="C26" s="121" t="str">
        <f>IFERROR(INDEX('Miljövrärden urval för publ'!$A$2:$AA$419,MATCH('Miljövärden för publ företag'!$A26,'Miljövrärden urval för publ'!$R$2:$R$416,0),2),"")</f>
        <v>Jämjö</v>
      </c>
      <c r="D26" s="121">
        <f>IFERROR(VLOOKUP($C26,'Miljövrärden urval för publ'!$B$2:$H$416,MATCH('Miljövärden för publ företag'!D$4,'Miljövrärden urval för publ'!$B$2:$H$2,0),FALSE),"")</f>
        <v>0.18767500000000001</v>
      </c>
      <c r="E26" s="121">
        <f>IFERROR(VLOOKUP($C26,'Miljövrärden urval för publ'!$B$2:$H$416,MATCH('Miljövärden för publ företag'!E$4,'Miljövrärden urval för publ'!$B$2:$H$2,0),FALSE),"")</f>
        <v>8.1915200000000006</v>
      </c>
      <c r="F26" s="121">
        <f>IFERROR(VLOOKUP($C26,'Miljövrärden urval för publ'!$B$2:$H$416,MATCH('Miljövärden för publ företag'!F$4,'Miljövrärden urval för publ'!$B$2:$H$2,0),FALSE),"")</f>
        <v>19.7879</v>
      </c>
      <c r="G26" s="121">
        <f>IFERROR(VLOOKUP($C26,'Miljövrärden urval för publ'!$B$2:$H$416,MATCH('Miljövärden för publ företag'!G$4,'Miljövrärden urval för publ'!$B$2:$H$2,0),FALSE),"")</f>
        <v>6.7863699999999999E-3</v>
      </c>
      <c r="J26" s="121">
        <f t="shared" si="1"/>
        <v>3</v>
      </c>
      <c r="M26" s="121">
        <v>22</v>
      </c>
      <c r="N26" s="121" t="str">
        <f t="shared" si="2"/>
        <v>Eskilstuna Energi &amp; Miljö AB</v>
      </c>
      <c r="P26" s="296">
        <f t="shared" si="3"/>
        <v>0</v>
      </c>
      <c r="Q26" s="290" t="str">
        <f t="shared" si="0"/>
        <v/>
      </c>
      <c r="R26" s="121">
        <v>22</v>
      </c>
      <c r="S26" s="121" t="str">
        <f t="shared" si="4"/>
        <v/>
      </c>
    </row>
    <row r="27" spans="1:19" x14ac:dyDescent="0.25">
      <c r="A27" s="121">
        <v>24</v>
      </c>
      <c r="B27" s="121" t="str">
        <f>IFERROR(INDEX('Miljövrärden urval för publ'!$A$2:$AA$419,MATCH('Miljövärden för publ företag'!$A27,'Miljövrärden urval för publ'!$R$2:$R$416,0),1),"")</f>
        <v>Affärsverken Karlskrona AB</v>
      </c>
      <c r="C27" s="121" t="str">
        <f>IFERROR(INDEX('Miljövrärden urval för publ'!$A$2:$AA$419,MATCH('Miljövärden för publ företag'!$A27,'Miljövrärden urval för publ'!$R$2:$R$416,0),2),"")</f>
        <v>Karlskrona</v>
      </c>
      <c r="D27" s="121">
        <f>IFERROR(VLOOKUP($C27,'Miljövrärden urval för publ'!$B$2:$H$416,MATCH('Miljövärden för publ företag'!D$4,'Miljövrärden urval för publ'!$B$2:$H$2,0),FALSE),"")</f>
        <v>0.11419600000000001</v>
      </c>
      <c r="E27" s="121">
        <f>IFERROR(VLOOKUP($C27,'Miljövrärden urval för publ'!$B$2:$H$416,MATCH('Miljövärden för publ företag'!E$4,'Miljövrärden urval för publ'!$B$2:$H$2,0),FALSE),"")</f>
        <v>18.911100000000001</v>
      </c>
      <c r="F27" s="121">
        <f>IFERROR(VLOOKUP($C27,'Miljövrärden urval för publ'!$B$2:$H$416,MATCH('Miljövärden för publ företag'!F$4,'Miljövrärden urval för publ'!$B$2:$H$2,0),FALSE),"")</f>
        <v>7.1196900000000003</v>
      </c>
      <c r="G27" s="121">
        <f>IFERROR(VLOOKUP($C27,'Miljövrärden urval för publ'!$B$2:$H$416,MATCH('Miljövärden för publ företag'!G$4,'Miljövrärden urval för publ'!$B$2:$H$2,0),FALSE),"")</f>
        <v>1.27089E-3</v>
      </c>
      <c r="J27" s="121">
        <f t="shared" si="1"/>
        <v>3</v>
      </c>
      <c r="M27" s="121">
        <v>23</v>
      </c>
      <c r="N27" s="121" t="str">
        <f t="shared" si="2"/>
        <v>Falbygdens Energi AB</v>
      </c>
      <c r="P27" s="296">
        <f t="shared" si="3"/>
        <v>0</v>
      </c>
      <c r="Q27" s="290" t="str">
        <f t="shared" si="0"/>
        <v/>
      </c>
      <c r="R27" s="121">
        <v>23</v>
      </c>
      <c r="S27" s="121" t="str">
        <f t="shared" si="4"/>
        <v/>
      </c>
    </row>
    <row r="28" spans="1:19" x14ac:dyDescent="0.25">
      <c r="A28" s="121">
        <v>25</v>
      </c>
      <c r="B28" s="121" t="str">
        <f>IFERROR(INDEX('Miljövrärden urval för publ'!$A$2:$AA$419,MATCH('Miljövärden för publ företag'!$A28,'Miljövrärden urval för publ'!$R$2:$R$416,0),1),"")</f>
        <v>Affärsverken Karlskrona AB</v>
      </c>
      <c r="C28" s="121" t="str">
        <f>IFERROR(INDEX('Miljövrärden urval för publ'!$A$2:$AA$419,MATCH('Miljövärden för publ företag'!$A28,'Miljövrärden urval för publ'!$R$2:$R$416,0),2),"")</f>
        <v>Nättraby</v>
      </c>
      <c r="D28" s="121">
        <f>IFERROR(VLOOKUP($C28,'Miljövrärden urval för publ'!$B$2:$H$416,MATCH('Miljövärden för publ företag'!D$4,'Miljövrärden urval för publ'!$B$2:$H$2,0),FALSE),"")</f>
        <v>0.234406</v>
      </c>
      <c r="E28" s="121">
        <f>IFERROR(VLOOKUP($C28,'Miljövrärden urval för publ'!$B$2:$H$416,MATCH('Miljövärden för publ företag'!E$4,'Miljövrärden urval för publ'!$B$2:$H$2,0),FALSE),"")</f>
        <v>18.1538</v>
      </c>
      <c r="F28" s="121">
        <f>IFERROR(VLOOKUP($C28,'Miljövrärden urval för publ'!$B$2:$H$416,MATCH('Miljövärden för publ företag'!F$4,'Miljövrärden urval för publ'!$B$2:$H$2,0),FALSE),"")</f>
        <v>20.387599999999999</v>
      </c>
      <c r="G28" s="121">
        <f>IFERROR(VLOOKUP($C28,'Miljövrärden urval för publ'!$B$2:$H$416,MATCH('Miljövärden för publ företag'!G$4,'Miljövrärden urval för publ'!$B$2:$H$2,0),FALSE),"")</f>
        <v>3.2339100000000003E-2</v>
      </c>
      <c r="J28" s="121">
        <f t="shared" si="1"/>
        <v>3</v>
      </c>
      <c r="M28" s="121">
        <v>24</v>
      </c>
      <c r="N28" s="121" t="str">
        <f t="shared" si="2"/>
        <v>Falkenberg Energi AB</v>
      </c>
      <c r="P28" s="296">
        <f t="shared" si="3"/>
        <v>0</v>
      </c>
      <c r="Q28" s="290" t="str">
        <f t="shared" si="0"/>
        <v/>
      </c>
      <c r="R28" s="121">
        <v>24</v>
      </c>
      <c r="S28" s="121" t="str">
        <f t="shared" si="4"/>
        <v/>
      </c>
    </row>
    <row r="29" spans="1:19" x14ac:dyDescent="0.25">
      <c r="A29" s="121">
        <v>26</v>
      </c>
      <c r="B29" s="121" t="str">
        <f>IFERROR(INDEX('Miljövrärden urval för publ'!$A$2:$AA$419,MATCH('Miljövärden för publ företag'!$A29,'Miljövrärden urval för publ'!$R$2:$R$416,0),1),"")</f>
        <v>Affärsverken Karlskrona AB</v>
      </c>
      <c r="C29" s="121" t="str">
        <f>IFERROR(INDEX('Miljövrärden urval för publ'!$A$2:$AA$419,MATCH('Miljövärden för publ företag'!$A29,'Miljövrärden urval för publ'!$R$2:$R$416,0),2),"")</f>
        <v>Sturkö</v>
      </c>
      <c r="D29" s="121">
        <f>IFERROR(VLOOKUP($C29,'Miljövrärden urval för publ'!$B$2:$H$416,MATCH('Miljövärden för publ företag'!D$4,'Miljövrärden urval för publ'!$B$2:$H$2,0),FALSE),"")</f>
        <v>0.47891400000000001</v>
      </c>
      <c r="E29" s="121">
        <f>IFERROR(VLOOKUP($C29,'Miljövrärden urval för publ'!$B$2:$H$416,MATCH('Miljövärden för publ företag'!E$4,'Miljövrärden urval för publ'!$B$2:$H$2,0),FALSE),"")</f>
        <v>69.462900000000005</v>
      </c>
      <c r="F29" s="121">
        <f>IFERROR(VLOOKUP($C29,'Miljövrärden urval för publ'!$B$2:$H$416,MATCH('Miljövärden för publ företag'!F$4,'Miljövrärden urval för publ'!$B$2:$H$2,0),FALSE),"")</f>
        <v>18.0457</v>
      </c>
      <c r="G29" s="121">
        <f>IFERROR(VLOOKUP($C29,'Miljövrärden urval för publ'!$B$2:$H$416,MATCH('Miljövärden för publ företag'!G$4,'Miljövrärden urval för publ'!$B$2:$H$2,0),FALSE),"")</f>
        <v>0.19724800000000001</v>
      </c>
      <c r="J29" s="121">
        <f t="shared" si="1"/>
        <v>3</v>
      </c>
      <c r="M29" s="121">
        <v>25</v>
      </c>
      <c r="N29" s="121" t="str">
        <f t="shared" si="2"/>
        <v>Falu Energi &amp; Vatten AB</v>
      </c>
      <c r="P29" s="296">
        <f t="shared" si="3"/>
        <v>0</v>
      </c>
      <c r="Q29" s="290" t="str">
        <f t="shared" si="0"/>
        <v/>
      </c>
      <c r="R29" s="121">
        <v>25</v>
      </c>
      <c r="S29" s="121" t="str">
        <f t="shared" si="4"/>
        <v/>
      </c>
    </row>
    <row r="30" spans="1:19" x14ac:dyDescent="0.25">
      <c r="A30" s="121">
        <v>27</v>
      </c>
      <c r="B30" s="121" t="str">
        <f>IFERROR(INDEX('Miljövrärden urval för publ'!$A$2:$AA$419,MATCH('Miljövärden för publ företag'!$A30,'Miljövrärden urval för publ'!$R$2:$R$416,0),1),"")</f>
        <v>Alingsås Energi Nät AB</v>
      </c>
      <c r="C30" s="121" t="str">
        <f>IFERROR(INDEX('Miljövrärden urval för publ'!$A$2:$AA$419,MATCH('Miljövärden för publ företag'!$A30,'Miljövrärden urval för publ'!$R$2:$R$416,0),2),"")</f>
        <v>Alingsås</v>
      </c>
      <c r="D30" s="121">
        <f>IFERROR(VLOOKUP($C30,'Miljövrärden urval för publ'!$B$2:$H$416,MATCH('Miljövärden för publ företag'!D$4,'Miljövrärden urval för publ'!$B$2:$H$2,0),FALSE),"")</f>
        <v>3.86658E-2</v>
      </c>
      <c r="E30" s="121">
        <f>IFERROR(VLOOKUP($C30,'Miljövrärden urval för publ'!$B$2:$H$416,MATCH('Miljövärden för publ företag'!E$4,'Miljövrärden urval för publ'!$B$2:$H$2,0),FALSE),"")</f>
        <v>4.2578800000000001</v>
      </c>
      <c r="F30" s="121">
        <f>IFERROR(VLOOKUP($C30,'Miljövrärden urval för publ'!$B$2:$H$416,MATCH('Miljövärden för publ företag'!F$4,'Miljövrärden urval för publ'!$B$2:$H$2,0),FALSE),"")</f>
        <v>7.4178600000000001</v>
      </c>
      <c r="G30" s="121">
        <f>IFERROR(VLOOKUP($C30,'Miljövrärden urval för publ'!$B$2:$H$416,MATCH('Miljövärden för publ företag'!G$4,'Miljövrärden urval för publ'!$B$2:$H$2,0),FALSE),"")</f>
        <v>3.6852800000000002E-4</v>
      </c>
      <c r="J30" s="121">
        <f t="shared" si="1"/>
        <v>4</v>
      </c>
      <c r="M30" s="121">
        <v>26</v>
      </c>
      <c r="N30" s="121" t="str">
        <f t="shared" si="2"/>
        <v>Finspångs Tekniska Verk AB</v>
      </c>
      <c r="P30" s="296">
        <f t="shared" si="3"/>
        <v>0</v>
      </c>
      <c r="Q30" s="290" t="str">
        <f t="shared" si="0"/>
        <v/>
      </c>
      <c r="R30" s="121">
        <v>26</v>
      </c>
      <c r="S30" s="121" t="str">
        <f t="shared" si="4"/>
        <v/>
      </c>
    </row>
    <row r="31" spans="1:19" x14ac:dyDescent="0.25">
      <c r="A31" s="121">
        <v>28</v>
      </c>
      <c r="B31" s="121" t="str">
        <f>IFERROR(INDEX('Miljövrärden urval för publ'!$A$2:$AA$419,MATCH('Miljövärden för publ företag'!$A31,'Miljövrärden urval för publ'!$R$2:$R$416,0),1),"")</f>
        <v>Alvesta Energi AB</v>
      </c>
      <c r="C31" s="121" t="str">
        <f>IFERROR(INDEX('Miljövrärden urval för publ'!$A$2:$AA$419,MATCH('Miljövärden för publ företag'!$A31,'Miljövrärden urval för publ'!$R$2:$R$416,0),2),"")</f>
        <v>Alvesta</v>
      </c>
      <c r="D31" s="121">
        <f>IFERROR(VLOOKUP($C31,'Miljövrärden urval för publ'!$B$2:$H$416,MATCH('Miljövärden för publ företag'!D$4,'Miljövrärden urval för publ'!$B$2:$H$2,0),FALSE),"")</f>
        <v>0.116758</v>
      </c>
      <c r="E31" s="121">
        <f>IFERROR(VLOOKUP($C31,'Miljövrärden urval för publ'!$B$2:$H$416,MATCH('Miljövärden för publ företag'!E$4,'Miljövrärden urval för publ'!$B$2:$H$2,0),FALSE),"")</f>
        <v>16.886600000000001</v>
      </c>
      <c r="F31" s="121">
        <f>IFERROR(VLOOKUP($C31,'Miljövrärden urval för publ'!$B$2:$H$416,MATCH('Miljövärden för publ företag'!F$4,'Miljövrärden urval för publ'!$B$2:$H$2,0),FALSE),"")</f>
        <v>9.8731500000000008</v>
      </c>
      <c r="G31" s="121">
        <f>IFERROR(VLOOKUP($C31,'Miljövrärden urval för publ'!$B$2:$H$416,MATCH('Miljövärden för publ företag'!G$4,'Miljövrärden urval för publ'!$B$2:$H$2,0),FALSE),"")</f>
        <v>1.2736600000000001E-2</v>
      </c>
      <c r="J31" s="121">
        <f t="shared" si="1"/>
        <v>5</v>
      </c>
      <c r="M31" s="121">
        <v>27</v>
      </c>
      <c r="N31" s="121" t="str">
        <f t="shared" si="2"/>
        <v>Gislaved Energi AB</v>
      </c>
      <c r="P31" s="296">
        <f t="shared" si="3"/>
        <v>0</v>
      </c>
      <c r="Q31" s="290" t="str">
        <f t="shared" si="0"/>
        <v/>
      </c>
      <c r="R31" s="121">
        <v>27</v>
      </c>
      <c r="S31" s="121" t="str">
        <f t="shared" si="4"/>
        <v/>
      </c>
    </row>
    <row r="32" spans="1:19" x14ac:dyDescent="0.25">
      <c r="A32" s="121">
        <v>29</v>
      </c>
      <c r="B32" s="121" t="str">
        <f>IFERROR(INDEX('Miljövrärden urval för publ'!$A$2:$AA$419,MATCH('Miljövärden för publ företag'!$A32,'Miljövrärden urval för publ'!$R$2:$R$416,0),1),"")</f>
        <v>Alvesta Energi AB</v>
      </c>
      <c r="C32" s="121" t="str">
        <f>IFERROR(INDEX('Miljövrärden urval för publ'!$A$2:$AA$419,MATCH('Miljövärden för publ företag'!$A32,'Miljövrärden urval för publ'!$R$2:$R$416,0),2),"")</f>
        <v>Moheda</v>
      </c>
      <c r="D32" s="121">
        <f>IFERROR(VLOOKUP($C32,'Miljövrärden urval för publ'!$B$2:$H$416,MATCH('Miljövärden för publ företag'!D$4,'Miljövrärden urval för publ'!$B$2:$H$2,0),FALSE),"")</f>
        <v>0.13839099999999999</v>
      </c>
      <c r="E32" s="121">
        <f>IFERROR(VLOOKUP($C32,'Miljövrärden urval för publ'!$B$2:$H$416,MATCH('Miljövärden för publ företag'!E$4,'Miljövrärden urval för publ'!$B$2:$H$2,0),FALSE),"")</f>
        <v>21.827000000000002</v>
      </c>
      <c r="F32" s="121">
        <f>IFERROR(VLOOKUP($C32,'Miljövrärden urval för publ'!$B$2:$H$416,MATCH('Miljövärden för publ företag'!F$4,'Miljövrärden urval för publ'!$B$2:$H$2,0),FALSE),"")</f>
        <v>10.8604</v>
      </c>
      <c r="G32" s="121">
        <f>IFERROR(VLOOKUP($C32,'Miljövrärden urval för publ'!$B$2:$H$416,MATCH('Miljövärden för publ företag'!G$4,'Miljövrärden urval för publ'!$B$2:$H$2,0),FALSE),"")</f>
        <v>2.3044100000000001E-2</v>
      </c>
      <c r="J32" s="121">
        <f t="shared" si="1"/>
        <v>5</v>
      </c>
      <c r="M32" s="121">
        <v>28</v>
      </c>
      <c r="N32" s="121" t="str">
        <f t="shared" si="2"/>
        <v>Gotlands Energi AB</v>
      </c>
      <c r="P32" s="296">
        <f t="shared" si="3"/>
        <v>0</v>
      </c>
      <c r="Q32" s="290" t="str">
        <f t="shared" si="0"/>
        <v/>
      </c>
      <c r="R32" s="121">
        <v>28</v>
      </c>
      <c r="S32" s="121" t="str">
        <f t="shared" si="4"/>
        <v/>
      </c>
    </row>
    <row r="33" spans="1:19" x14ac:dyDescent="0.25">
      <c r="A33" s="121">
        <v>30</v>
      </c>
      <c r="B33" s="121" t="str">
        <f>IFERROR(INDEX('Miljövrärden urval för publ'!$A$2:$AA$419,MATCH('Miljövärden för publ företag'!$A33,'Miljövrärden urval för publ'!$R$2:$R$416,0),1),"")</f>
        <v>Alvesta Energi AB</v>
      </c>
      <c r="C33" s="121" t="str">
        <f>IFERROR(INDEX('Miljövrärden urval för publ'!$A$2:$AA$419,MATCH('Miljövärden för publ företag'!$A33,'Miljövrärden urval för publ'!$R$2:$R$416,0),2),"")</f>
        <v>Vislanda</v>
      </c>
      <c r="D33" s="121">
        <f>IFERROR(VLOOKUP($C33,'Miljövrärden urval för publ'!$B$2:$H$416,MATCH('Miljövärden för publ företag'!D$4,'Miljövrärden urval för publ'!$B$2:$H$2,0),FALSE),"")</f>
        <v>0.139347</v>
      </c>
      <c r="E33" s="121">
        <f>IFERROR(VLOOKUP($C33,'Miljövrärden urval för publ'!$B$2:$H$416,MATCH('Miljövärden för publ företag'!E$4,'Miljövrärden urval för publ'!$B$2:$H$2,0),FALSE),"")</f>
        <v>19.930099999999999</v>
      </c>
      <c r="F33" s="121">
        <f>IFERROR(VLOOKUP($C33,'Miljövrärden urval för publ'!$B$2:$H$416,MATCH('Miljövärden för publ företag'!F$4,'Miljövrärden urval för publ'!$B$2:$H$2,0),FALSE),"")</f>
        <v>15.0815</v>
      </c>
      <c r="G33" s="121">
        <f>IFERROR(VLOOKUP($C33,'Miljövrärden urval för publ'!$B$2:$H$416,MATCH('Miljövärden för publ företag'!G$4,'Miljövrärden urval för publ'!$B$2:$H$2,0),FALSE),"")</f>
        <v>8.4988000000000008E-3</v>
      </c>
      <c r="J33" s="121">
        <f t="shared" si="1"/>
        <v>5</v>
      </c>
      <c r="M33" s="121">
        <v>29</v>
      </c>
      <c r="N33" s="121" t="str">
        <f t="shared" si="2"/>
        <v>Gällivare Energi AB</v>
      </c>
      <c r="P33" s="296">
        <f t="shared" si="3"/>
        <v>0</v>
      </c>
      <c r="Q33" s="290" t="str">
        <f t="shared" si="0"/>
        <v/>
      </c>
      <c r="R33" s="121">
        <v>29</v>
      </c>
      <c r="S33" s="121" t="str">
        <f t="shared" si="4"/>
        <v/>
      </c>
    </row>
    <row r="34" spans="1:19" x14ac:dyDescent="0.25">
      <c r="A34" s="121">
        <v>31</v>
      </c>
      <c r="B34" s="121" t="str">
        <f>IFERROR(INDEX('Miljövrärden urval för publ'!$A$2:$AA$419,MATCH('Miljövärden för publ företag'!$A34,'Miljövrärden urval för publ'!$R$2:$R$416,0),1),"")</f>
        <v>Aneby Miljö &amp; Vatten AB</v>
      </c>
      <c r="C34" s="121" t="str">
        <f>IFERROR(INDEX('Miljövrärden urval för publ'!$A$2:$AA$419,MATCH('Miljövärden för publ företag'!$A34,'Miljövrärden urval för publ'!$R$2:$R$416,0),2),"")</f>
        <v xml:space="preserve">Aneby </v>
      </c>
      <c r="D34" s="121">
        <f>IFERROR(VLOOKUP($C34,'Miljövrärden urval för publ'!$B$2:$H$416,MATCH('Miljövärden för publ företag'!D$4,'Miljövrärden urval för publ'!$B$2:$H$2,0),FALSE),"")</f>
        <v>8.6572999999999997E-2</v>
      </c>
      <c r="E34" s="121">
        <f>IFERROR(VLOOKUP($C34,'Miljövrärden urval för publ'!$B$2:$H$416,MATCH('Miljövärden för publ företag'!E$4,'Miljövrärden urval för publ'!$B$2:$H$2,0),FALSE),"")</f>
        <v>5.5802800000000001</v>
      </c>
      <c r="F34" s="121">
        <f>IFERROR(VLOOKUP($C34,'Miljövrärden urval för publ'!$B$2:$H$416,MATCH('Miljövärden för publ företag'!F$4,'Miljövrärden urval för publ'!$B$2:$H$2,0),FALSE),"")</f>
        <v>11.566000000000001</v>
      </c>
      <c r="G34" s="121">
        <f>IFERROR(VLOOKUP($C34,'Miljövrärden urval för publ'!$B$2:$H$416,MATCH('Miljövärden för publ företag'!G$4,'Miljövrärden urval för publ'!$B$2:$H$2,0),FALSE),"")</f>
        <v>0</v>
      </c>
      <c r="J34" s="121">
        <f t="shared" si="1"/>
        <v>6</v>
      </c>
      <c r="M34" s="121">
        <v>30</v>
      </c>
      <c r="N34" s="121" t="str">
        <f t="shared" si="2"/>
        <v>Gävle Energi AB</v>
      </c>
      <c r="P34" s="296">
        <f t="shared" si="3"/>
        <v>0</v>
      </c>
      <c r="Q34" s="290" t="str">
        <f t="shared" si="0"/>
        <v/>
      </c>
      <c r="R34" s="121">
        <v>30</v>
      </c>
      <c r="S34" s="121" t="str">
        <f t="shared" si="4"/>
        <v/>
      </c>
    </row>
    <row r="35" spans="1:19" x14ac:dyDescent="0.25">
      <c r="A35" s="121">
        <v>32</v>
      </c>
      <c r="B35" s="121" t="str">
        <f>IFERROR(INDEX('Miljövrärden urval för publ'!$A$2:$AA$419,MATCH('Miljövärden för publ företag'!$A35,'Miljövrärden urval för publ'!$R$2:$R$416,0),1),"")</f>
        <v>Arvika Fjärrvärme AB</v>
      </c>
      <c r="C35" s="121" t="str">
        <f>IFERROR(INDEX('Miljövrärden urval för publ'!$A$2:$AA$419,MATCH('Miljövärden för publ företag'!$A35,'Miljövrärden urval för publ'!$R$2:$R$416,0),2),"")</f>
        <v>Arvika</v>
      </c>
      <c r="D35" s="121">
        <f>IFERROR(VLOOKUP($C35,'Miljövrärden urval för publ'!$B$2:$H$416,MATCH('Miljövärden för publ företag'!D$4,'Miljövrärden urval för publ'!$B$2:$H$2,0),FALSE),"")</f>
        <v>0.10333199999999999</v>
      </c>
      <c r="E35" s="121">
        <f>IFERROR(VLOOKUP($C35,'Miljövrärden urval för publ'!$B$2:$H$416,MATCH('Miljövärden för publ företag'!E$4,'Miljövrärden urval för publ'!$B$2:$H$2,0),FALSE),"")</f>
        <v>10.095800000000001</v>
      </c>
      <c r="F35" s="121">
        <f>IFERROR(VLOOKUP($C35,'Miljövrärden urval för publ'!$B$2:$H$416,MATCH('Miljövärden för publ företag'!F$4,'Miljövrärden urval för publ'!$B$2:$H$2,0),FALSE),"")</f>
        <v>8.2805199999999992</v>
      </c>
      <c r="G35" s="121">
        <f>IFERROR(VLOOKUP($C35,'Miljövrärden urval för publ'!$B$2:$H$416,MATCH('Miljövärden för publ företag'!G$4,'Miljövrärden urval för publ'!$B$2:$H$2,0),FALSE),"")</f>
        <v>1.8644899999999999E-2</v>
      </c>
      <c r="J35" s="121">
        <f t="shared" si="1"/>
        <v>7</v>
      </c>
      <c r="M35" s="121">
        <v>31</v>
      </c>
      <c r="N35" s="121" t="str">
        <f t="shared" si="2"/>
        <v>Göteborg Energi AB</v>
      </c>
      <c r="P35" s="296">
        <f t="shared" si="3"/>
        <v>0</v>
      </c>
      <c r="Q35" s="290" t="str">
        <f t="shared" si="0"/>
        <v/>
      </c>
    </row>
    <row r="36" spans="1:19" x14ac:dyDescent="0.25">
      <c r="A36" s="121">
        <v>33</v>
      </c>
      <c r="B36" s="121" t="str">
        <f>IFERROR(INDEX('Miljövrärden urval för publ'!$A$2:$AA$419,MATCH('Miljövärden för publ företag'!$A36,'Miljövrärden urval för publ'!$R$2:$R$416,0),1),"")</f>
        <v>Bengtsfors Energi</v>
      </c>
      <c r="C36" s="121" t="str">
        <f>IFERROR(INDEX('Miljövrärden urval för publ'!$A$2:$AA$419,MATCH('Miljövärden för publ företag'!$A36,'Miljövrärden urval för publ'!$R$2:$R$416,0),2),"")</f>
        <v>Bengtsfors</v>
      </c>
      <c r="D36" s="121">
        <f>IFERROR(VLOOKUP($C36,'Miljövrärden urval för publ'!$B$2:$H$416,MATCH('Miljövärden för publ företag'!D$4,'Miljövrärden urval för publ'!$B$2:$H$2,0),FALSE),"")</f>
        <v>6.1666699999999998E-2</v>
      </c>
      <c r="E36" s="121">
        <f>IFERROR(VLOOKUP($C36,'Miljövrärden urval för publ'!$B$2:$H$416,MATCH('Miljövärden för publ företag'!E$4,'Miljövrärden urval för publ'!$B$2:$H$2,0),FALSE),"")</f>
        <v>7.0180199999999999</v>
      </c>
      <c r="F36" s="121">
        <f>IFERROR(VLOOKUP($C36,'Miljövrärden urval för publ'!$B$2:$H$416,MATCH('Miljövärden för publ företag'!F$4,'Miljövrärden urval för publ'!$B$2:$H$2,0),FALSE),"")</f>
        <v>5.4285699999999997</v>
      </c>
      <c r="G36" s="121">
        <f>IFERROR(VLOOKUP($C36,'Miljövrärden urval för publ'!$B$2:$H$416,MATCH('Miljövärden för publ företag'!G$4,'Miljövrärden urval för publ'!$B$2:$H$2,0),FALSE),"")</f>
        <v>1.05708E-2</v>
      </c>
      <c r="J36" s="121">
        <f t="shared" si="1"/>
        <v>8</v>
      </c>
      <c r="M36" s="121">
        <v>32</v>
      </c>
      <c r="N36" s="121" t="str">
        <f t="shared" si="2"/>
        <v>Götene Vatten &amp; Värme AB</v>
      </c>
      <c r="P36" s="296">
        <f t="shared" si="3"/>
        <v>0</v>
      </c>
      <c r="Q36" s="290" t="str">
        <f t="shared" si="0"/>
        <v/>
      </c>
    </row>
    <row r="37" spans="1:19" x14ac:dyDescent="0.25">
      <c r="A37" s="121">
        <v>34</v>
      </c>
      <c r="B37" s="121" t="str">
        <f>IFERROR(INDEX('Miljövrärden urval för publ'!$A$2:$AA$419,MATCH('Miljövärden för publ företag'!$A37,'Miljövrärden urval för publ'!$R$2:$R$416,0),1),"")</f>
        <v>Bodens Energi AB</v>
      </c>
      <c r="C37" s="121" t="str">
        <f>IFERROR(INDEX('Miljövrärden urval för publ'!$A$2:$AA$419,MATCH('Miljövärden för publ företag'!$A37,'Miljövrärden urval för publ'!$R$2:$R$416,0),2),"")</f>
        <v>Boden</v>
      </c>
      <c r="D37" s="121">
        <f>IFERROR(VLOOKUP($C37,'Miljövrärden urval för publ'!$B$2:$H$416,MATCH('Miljövärden för publ företag'!D$4,'Miljövrärden urval för publ'!$B$2:$H$2,0),FALSE),"")</f>
        <v>0.23332900000000001</v>
      </c>
      <c r="E37" s="121">
        <f>IFERROR(VLOOKUP($C37,'Miljövrärden urval för publ'!$B$2:$H$416,MATCH('Miljövärden för publ företag'!E$4,'Miljövrärden urval för publ'!$B$2:$H$2,0),FALSE),"")</f>
        <v>173.41499999999999</v>
      </c>
      <c r="F37" s="121">
        <f>IFERROR(VLOOKUP($C37,'Miljövrärden urval för publ'!$B$2:$H$416,MATCH('Miljövärden för publ företag'!F$4,'Miljövrärden urval för publ'!$B$2:$H$2,0),FALSE),"")</f>
        <v>6.4313900000000004</v>
      </c>
      <c r="G37" s="121">
        <f>IFERROR(VLOOKUP($C37,'Miljövrärden urval för publ'!$B$2:$H$416,MATCH('Miljövärden för publ företag'!G$4,'Miljövrärden urval för publ'!$B$2:$H$2,0),FALSE),"")</f>
        <v>5.0210699999999997E-2</v>
      </c>
      <c r="J37" s="121">
        <f t="shared" si="1"/>
        <v>9</v>
      </c>
      <c r="M37" s="121">
        <v>33</v>
      </c>
      <c r="N37" s="121" t="str">
        <f t="shared" si="2"/>
        <v>Habo Energi AB</v>
      </c>
      <c r="P37" s="296">
        <f t="shared" si="3"/>
        <v>0</v>
      </c>
      <c r="Q37" s="290" t="str">
        <f t="shared" si="0"/>
        <v/>
      </c>
    </row>
    <row r="38" spans="1:19" x14ac:dyDescent="0.25">
      <c r="A38" s="121">
        <v>35</v>
      </c>
      <c r="B38" s="121" t="str">
        <f>IFERROR(INDEX('Miljövrärden urval för publ'!$A$2:$AA$419,MATCH('Miljövärden för publ företag'!$A38,'Miljövrärden urval för publ'!$R$2:$R$416,0),1),"")</f>
        <v>Bollnäs Energi AB</v>
      </c>
      <c r="C38" s="121" t="str">
        <f>IFERROR(INDEX('Miljövrärden urval för publ'!$A$2:$AA$419,MATCH('Miljövärden för publ företag'!$A38,'Miljövrärden urval för publ'!$R$2:$R$416,0),2),"")</f>
        <v>Arbrå</v>
      </c>
      <c r="D38" s="121">
        <f>IFERROR(VLOOKUP($C38,'Miljövrärden urval för publ'!$B$2:$H$416,MATCH('Miljövärden för publ företag'!D$4,'Miljövrärden urval för publ'!$B$2:$H$2,0),FALSE),"")</f>
        <v>0.180367</v>
      </c>
      <c r="E38" s="121">
        <f>IFERROR(VLOOKUP($C38,'Miljövrärden urval för publ'!$B$2:$H$416,MATCH('Miljövärden för publ företag'!E$4,'Miljövrärden urval för publ'!$B$2:$H$2,0),FALSE),"")</f>
        <v>34.545200000000001</v>
      </c>
      <c r="F38" s="121">
        <f>IFERROR(VLOOKUP($C38,'Miljövrärden urval för publ'!$B$2:$H$416,MATCH('Miljövärden för publ företag'!F$4,'Miljövrärden urval för publ'!$B$2:$H$2,0),FALSE),"")</f>
        <v>10.6671</v>
      </c>
      <c r="G38" s="121">
        <f>IFERROR(VLOOKUP($C38,'Miljövrärden urval för publ'!$B$2:$H$416,MATCH('Miljövärden för publ företag'!G$4,'Miljövrärden urval för publ'!$B$2:$H$2,0),FALSE),"")</f>
        <v>8.0655299999999999E-2</v>
      </c>
      <c r="J38" s="121">
        <f t="shared" si="1"/>
        <v>10</v>
      </c>
      <c r="M38" s="121">
        <v>34</v>
      </c>
      <c r="N38" s="121" t="str">
        <f t="shared" si="2"/>
        <v>Hagfors Energi</v>
      </c>
      <c r="P38" s="296">
        <f t="shared" si="3"/>
        <v>0</v>
      </c>
      <c r="Q38" s="290" t="str">
        <f t="shared" si="0"/>
        <v/>
      </c>
    </row>
    <row r="39" spans="1:19" x14ac:dyDescent="0.25">
      <c r="A39" s="121">
        <v>36</v>
      </c>
      <c r="B39" s="121" t="str">
        <f>IFERROR(INDEX('Miljövrärden urval för publ'!$A$2:$AA$419,MATCH('Miljövärden för publ företag'!$A39,'Miljövrärden urval för publ'!$R$2:$R$416,0),1),"")</f>
        <v>Bollnäs Energi AB</v>
      </c>
      <c r="C39" s="121" t="str">
        <f>IFERROR(INDEX('Miljövrärden urval för publ'!$A$2:$AA$419,MATCH('Miljövärden för publ företag'!$A39,'Miljövrärden urval för publ'!$R$2:$R$416,0),2),"")</f>
        <v>Bollnäs</v>
      </c>
      <c r="D39" s="121">
        <f>IFERROR(VLOOKUP($C39,'Miljövrärden urval för publ'!$B$2:$H$416,MATCH('Miljövärden för publ företag'!D$4,'Miljövrärden urval för publ'!$B$2:$H$2,0),FALSE),"")</f>
        <v>0.113537</v>
      </c>
      <c r="E39" s="121">
        <f>IFERROR(VLOOKUP($C39,'Miljövrärden urval för publ'!$B$2:$H$416,MATCH('Miljövärden för publ företag'!E$4,'Miljövrärden urval för publ'!$B$2:$H$2,0),FALSE),"")</f>
        <v>104.892</v>
      </c>
      <c r="F39" s="121">
        <f>IFERROR(VLOOKUP($C39,'Miljövrärden urval för publ'!$B$2:$H$416,MATCH('Miljövärden för publ företag'!F$4,'Miljövrärden urval för publ'!$B$2:$H$2,0),FALSE),"")</f>
        <v>3.4186299999999998</v>
      </c>
      <c r="G39" s="121">
        <f>IFERROR(VLOOKUP($C39,'Miljövrärden urval för publ'!$B$2:$H$416,MATCH('Miljövärden för publ företag'!G$4,'Miljövrärden urval för publ'!$B$2:$H$2,0),FALSE),"")</f>
        <v>1.3748399999999999E-2</v>
      </c>
      <c r="J39" s="121">
        <f t="shared" si="1"/>
        <v>10</v>
      </c>
      <c r="M39" s="121">
        <v>35</v>
      </c>
      <c r="N39" s="121" t="str">
        <f t="shared" si="2"/>
        <v>Halmstads Energi och Miljö AB</v>
      </c>
      <c r="P39" s="296">
        <f t="shared" si="3"/>
        <v>0</v>
      </c>
      <c r="Q39" s="290" t="str">
        <f t="shared" si="0"/>
        <v/>
      </c>
    </row>
    <row r="40" spans="1:19" x14ac:dyDescent="0.25">
      <c r="A40" s="121">
        <v>37</v>
      </c>
      <c r="B40" s="121" t="str">
        <f>IFERROR(INDEX('Miljövrärden urval för publ'!$A$2:$AA$419,MATCH('Miljövärden för publ företag'!$A40,'Miljövrärden urval för publ'!$R$2:$R$416,0),1),"")</f>
        <v>Bollnäs Energi AB</v>
      </c>
      <c r="C40" s="121" t="str">
        <f>IFERROR(INDEX('Miljövrärden urval för publ'!$A$2:$AA$419,MATCH('Miljövärden för publ företag'!$A40,'Miljövrärden urval för publ'!$R$2:$R$416,0),2),"")</f>
        <v>Kilafors</v>
      </c>
      <c r="D40" s="121">
        <f>IFERROR(VLOOKUP($C40,'Miljövrärden urval för publ'!$B$2:$H$416,MATCH('Miljövärden för publ företag'!D$4,'Miljövrärden urval för publ'!$B$2:$H$2,0),FALSE),"")</f>
        <v>7.4134699999999998E-2</v>
      </c>
      <c r="E40" s="121">
        <f>IFERROR(VLOOKUP($C40,'Miljövrärden urval för publ'!$B$2:$H$416,MATCH('Miljövärden för publ företag'!E$4,'Miljövrärden urval för publ'!$B$2:$H$2,0),FALSE),"")</f>
        <v>7.3777499999999998</v>
      </c>
      <c r="F40" s="121">
        <f>IFERROR(VLOOKUP($C40,'Miljövrärden urval för publ'!$B$2:$H$416,MATCH('Miljövärden för publ företag'!F$4,'Miljövrärden urval för publ'!$B$2:$H$2,0),FALSE),"")</f>
        <v>8.1806999999999999</v>
      </c>
      <c r="G40" s="121">
        <f>IFERROR(VLOOKUP($C40,'Miljövrärden urval för publ'!$B$2:$H$416,MATCH('Miljövärden för publ företag'!G$4,'Miljövrärden urval för publ'!$B$2:$H$2,0),FALSE),"")</f>
        <v>8.0256800000000003E-3</v>
      </c>
      <c r="J40" s="121">
        <f t="shared" si="1"/>
        <v>10</v>
      </c>
      <c r="M40" s="121">
        <v>36</v>
      </c>
      <c r="N40" s="121" t="str">
        <f t="shared" si="2"/>
        <v>Hammarö Energi AB</v>
      </c>
      <c r="P40" s="296">
        <f t="shared" si="3"/>
        <v>0</v>
      </c>
      <c r="Q40" s="290" t="str">
        <f t="shared" si="0"/>
        <v/>
      </c>
    </row>
    <row r="41" spans="1:19" x14ac:dyDescent="0.25">
      <c r="A41" s="121">
        <v>38</v>
      </c>
      <c r="B41" s="121" t="str">
        <f>IFERROR(INDEX('Miljövrärden urval för publ'!$A$2:$AA$419,MATCH('Miljövärden för publ företag'!$A41,'Miljövrärden urval för publ'!$R$2:$R$416,0),1),"")</f>
        <v>Borgholm Energi AB</v>
      </c>
      <c r="C41" s="121" t="str">
        <f>IFERROR(INDEX('Miljövrärden urval för publ'!$A$2:$AA$419,MATCH('Miljövärden för publ företag'!$A41,'Miljövrärden urval för publ'!$R$2:$R$416,0),2),"")</f>
        <v>Borgholm</v>
      </c>
      <c r="D41" s="121">
        <f>IFERROR(VLOOKUP($C41,'Miljövrärden urval för publ'!$B$2:$H$416,MATCH('Miljövärden för publ företag'!D$4,'Miljövrärden urval för publ'!$B$2:$H$2,0),FALSE),"")</f>
        <v>0.102369</v>
      </c>
      <c r="E41" s="121">
        <f>IFERROR(VLOOKUP($C41,'Miljövrärden urval för publ'!$B$2:$H$416,MATCH('Miljövärden för publ företag'!E$4,'Miljövrärden urval för publ'!$B$2:$H$2,0),FALSE),"")</f>
        <v>14.4445</v>
      </c>
      <c r="F41" s="121">
        <f>IFERROR(VLOOKUP($C41,'Miljövrärden urval för publ'!$B$2:$H$416,MATCH('Miljövärden för publ företag'!F$4,'Miljövrärden urval för publ'!$B$2:$H$2,0),FALSE),"")</f>
        <v>7.5495599999999996</v>
      </c>
      <c r="G41" s="121">
        <f>IFERROR(VLOOKUP($C41,'Miljövrärden urval för publ'!$B$2:$H$416,MATCH('Miljövärden för publ företag'!G$4,'Miljövrärden urval för publ'!$B$2:$H$2,0),FALSE),"")</f>
        <v>1.07338E-2</v>
      </c>
      <c r="J41" s="121">
        <f t="shared" si="1"/>
        <v>11</v>
      </c>
      <c r="M41" s="121">
        <v>37</v>
      </c>
      <c r="N41" s="121" t="str">
        <f t="shared" si="2"/>
        <v>Haparanda Värmeverk AB</v>
      </c>
      <c r="P41" s="296">
        <f t="shared" si="3"/>
        <v>0</v>
      </c>
      <c r="Q41" s="290" t="str">
        <f t="shared" si="0"/>
        <v/>
      </c>
    </row>
    <row r="42" spans="1:19" x14ac:dyDescent="0.25">
      <c r="A42" s="121">
        <v>39</v>
      </c>
      <c r="B42" s="121" t="str">
        <f>IFERROR(INDEX('Miljövrärden urval för publ'!$A$2:$AA$419,MATCH('Miljövärden för publ företag'!$A42,'Miljövrärden urval för publ'!$R$2:$R$416,0),1),"")</f>
        <v>Borgholm Energi AB</v>
      </c>
      <c r="C42" s="121" t="str">
        <f>IFERROR(INDEX('Miljövrärden urval för publ'!$A$2:$AA$419,MATCH('Miljövärden för publ företag'!$A42,'Miljövrärden urval för publ'!$R$2:$R$416,0),2),"")</f>
        <v>Löttorp</v>
      </c>
      <c r="D42" s="121">
        <f>IFERROR(VLOOKUP($C42,'Miljövrärden urval för publ'!$B$2:$H$416,MATCH('Miljövärden för publ företag'!D$4,'Miljövrärden urval för publ'!$B$2:$H$2,0),FALSE),"")</f>
        <v>0.15676999999999999</v>
      </c>
      <c r="E42" s="121">
        <f>IFERROR(VLOOKUP($C42,'Miljövrärden urval för publ'!$B$2:$H$416,MATCH('Miljövärden för publ företag'!E$4,'Miljövrärden urval för publ'!$B$2:$H$2,0),FALSE),"")</f>
        <v>26.780899999999999</v>
      </c>
      <c r="F42" s="121">
        <f>IFERROR(VLOOKUP($C42,'Miljövrärden urval för publ'!$B$2:$H$416,MATCH('Miljövärden för publ företag'!F$4,'Miljövrärden urval för publ'!$B$2:$H$2,0),FALSE),"")</f>
        <v>10.2049</v>
      </c>
      <c r="G42" s="121">
        <f>IFERROR(VLOOKUP($C42,'Miljövrärden urval för publ'!$B$2:$H$416,MATCH('Miljövärden för publ företag'!G$4,'Miljövrärden urval för publ'!$B$2:$H$2,0),FALSE),"")</f>
        <v>4.0327300000000003E-2</v>
      </c>
      <c r="J42" s="121">
        <f t="shared" si="1"/>
        <v>11</v>
      </c>
      <c r="M42" s="121">
        <v>38</v>
      </c>
      <c r="N42" s="121" t="str">
        <f t="shared" si="2"/>
        <v>Hedemora Energi AB</v>
      </c>
      <c r="P42" s="296">
        <f t="shared" si="3"/>
        <v>0</v>
      </c>
      <c r="Q42" s="290" t="str">
        <f t="shared" si="0"/>
        <v/>
      </c>
    </row>
    <row r="43" spans="1:19" x14ac:dyDescent="0.25">
      <c r="A43" s="121">
        <v>40</v>
      </c>
      <c r="B43" s="121" t="str">
        <f>IFERROR(INDEX('Miljövrärden urval för publ'!$A$2:$AA$419,MATCH('Miljövärden för publ företag'!$A43,'Miljövrärden urval för publ'!$R$2:$R$416,0),1),"")</f>
        <v>Borlänge Energi AB</v>
      </c>
      <c r="C43" s="121" t="str">
        <f>IFERROR(INDEX('Miljövrärden urval för publ'!$A$2:$AA$419,MATCH('Miljövärden för publ företag'!$A43,'Miljövrärden urval för publ'!$R$2:$R$416,0),2),"")</f>
        <v>Borlänge</v>
      </c>
      <c r="D43" s="121">
        <f>IFERROR(VLOOKUP($C43,'Miljövrärden urval för publ'!$B$2:$H$416,MATCH('Miljövärden för publ företag'!D$4,'Miljövrärden urval för publ'!$B$2:$H$2,0),FALSE),"")</f>
        <v>6.2764799999999996E-2</v>
      </c>
      <c r="E43" s="121">
        <f>IFERROR(VLOOKUP($C43,'Miljövrärden urval för publ'!$B$2:$H$416,MATCH('Miljövärden för publ företag'!E$4,'Miljövrärden urval för publ'!$B$2:$H$2,0),FALSE),"")</f>
        <v>76.628100000000003</v>
      </c>
      <c r="F43" s="121">
        <f>IFERROR(VLOOKUP($C43,'Miljövrärden urval för publ'!$B$2:$H$416,MATCH('Miljövärden för publ företag'!F$4,'Miljövrärden urval för publ'!$B$2:$H$2,0),FALSE),"")</f>
        <v>4.1427399999999999</v>
      </c>
      <c r="G43" s="121">
        <f>IFERROR(VLOOKUP($C43,'Miljövrärden urval för publ'!$B$2:$H$416,MATCH('Miljövärden för publ företag'!G$4,'Miljövrärden urval för publ'!$B$2:$H$2,0),FALSE),"")</f>
        <v>4.2882800000000002E-3</v>
      </c>
      <c r="J43" s="121">
        <f t="shared" si="1"/>
        <v>12</v>
      </c>
      <c r="M43" s="121">
        <v>39</v>
      </c>
      <c r="N43" s="121" t="str">
        <f t="shared" si="2"/>
        <v>Herrljunga Elektriska AB</v>
      </c>
      <c r="P43" s="296">
        <f t="shared" si="3"/>
        <v>0</v>
      </c>
      <c r="Q43" s="290" t="str">
        <f t="shared" si="0"/>
        <v/>
      </c>
    </row>
    <row r="44" spans="1:19" x14ac:dyDescent="0.25">
      <c r="A44" s="121">
        <v>41</v>
      </c>
      <c r="B44" s="121" t="str">
        <f>IFERROR(INDEX('Miljövrärden urval för publ'!$A$2:$AA$419,MATCH('Miljövärden för publ företag'!$A44,'Miljövrärden urval för publ'!$R$2:$R$416,0),1),"")</f>
        <v>Borlänge Energi AB</v>
      </c>
      <c r="C44" s="121" t="str">
        <f>IFERROR(INDEX('Miljövrärden urval för publ'!$A$2:$AA$419,MATCH('Miljövärden för publ företag'!$A44,'Miljövrärden urval för publ'!$R$2:$R$416,0),2),"")</f>
        <v>Ornäs</v>
      </c>
      <c r="D44" s="121">
        <f>IFERROR(VLOOKUP($C44,'Miljövrärden urval för publ'!$B$2:$H$416,MATCH('Miljövärden för publ företag'!D$4,'Miljövrärden urval för publ'!$B$2:$H$2,0),FALSE),"")</f>
        <v>0.173536</v>
      </c>
      <c r="E44" s="121">
        <f>IFERROR(VLOOKUP($C44,'Miljövrärden urval för publ'!$B$2:$H$416,MATCH('Miljövärden för publ företag'!E$4,'Miljövrärden urval för publ'!$B$2:$H$2,0),FALSE),"")</f>
        <v>6.3055099999999999</v>
      </c>
      <c r="F44" s="121">
        <f>IFERROR(VLOOKUP($C44,'Miljövrärden urval för publ'!$B$2:$H$416,MATCH('Miljövärden för publ företag'!F$4,'Miljövrärden urval för publ'!$B$2:$H$2,0),FALSE),"")</f>
        <v>21.555199999999999</v>
      </c>
      <c r="G44" s="121">
        <f>IFERROR(VLOOKUP($C44,'Miljövrärden urval för publ'!$B$2:$H$416,MATCH('Miljövärden för publ företag'!G$4,'Miljövrärden urval för publ'!$B$2:$H$2,0),FALSE),"")</f>
        <v>3.6380499999999998E-4</v>
      </c>
      <c r="J44" s="121">
        <f t="shared" si="1"/>
        <v>12</v>
      </c>
      <c r="M44" s="121">
        <v>40</v>
      </c>
      <c r="N44" s="121" t="str">
        <f t="shared" si="2"/>
        <v>Hjo Energi AB</v>
      </c>
      <c r="P44" s="296">
        <f t="shared" si="3"/>
        <v>0</v>
      </c>
      <c r="Q44" s="290" t="str">
        <f t="shared" si="0"/>
        <v/>
      </c>
    </row>
    <row r="45" spans="1:19" x14ac:dyDescent="0.25">
      <c r="A45" s="121">
        <v>42</v>
      </c>
      <c r="B45" s="121" t="str">
        <f>IFERROR(INDEX('Miljövrärden urval för publ'!$A$2:$AA$419,MATCH('Miljövärden för publ företag'!$A45,'Miljövrärden urval för publ'!$R$2:$R$416,0),1),"")</f>
        <v>Borlänge Energi AB</v>
      </c>
      <c r="C45" s="121" t="str">
        <f>IFERROR(INDEX('Miljövrärden urval för publ'!$A$2:$AA$419,MATCH('Miljövärden för publ företag'!$A45,'Miljövrärden urval för publ'!$R$2:$R$416,0),2),"")</f>
        <v>Torsång</v>
      </c>
      <c r="D45" s="121">
        <f>IFERROR(VLOOKUP($C45,'Miljövrärden urval för publ'!$B$2:$H$416,MATCH('Miljövärden för publ företag'!D$4,'Miljövrärden urval för publ'!$B$2:$H$2,0),FALSE),"")</f>
        <v>0.25008900000000001</v>
      </c>
      <c r="E45" s="121">
        <f>IFERROR(VLOOKUP($C45,'Miljövrärden urval för publ'!$B$2:$H$416,MATCH('Miljövärden för publ företag'!E$4,'Miljövrärden urval för publ'!$B$2:$H$2,0),FALSE),"")</f>
        <v>6.9850000000000003</v>
      </c>
      <c r="F45" s="121">
        <f>IFERROR(VLOOKUP($C45,'Miljövrärden urval för publ'!$B$2:$H$416,MATCH('Miljövärden för publ företag'!F$4,'Miljövrärden urval för publ'!$B$2:$H$2,0),FALSE),"")</f>
        <v>24.447500000000002</v>
      </c>
      <c r="G45" s="121">
        <f>IFERROR(VLOOKUP($C45,'Miljövrärden urval för publ'!$B$2:$H$416,MATCH('Miljövärden för publ företag'!G$4,'Miljövrärden urval för publ'!$B$2:$H$2,0),FALSE),"")</f>
        <v>0</v>
      </c>
      <c r="J45" s="121">
        <f t="shared" si="1"/>
        <v>12</v>
      </c>
      <c r="M45" s="121">
        <v>41</v>
      </c>
      <c r="N45" s="121" t="str">
        <f t="shared" si="2"/>
        <v>Härnösand Energi &amp; Miljö AB</v>
      </c>
      <c r="P45" s="296">
        <f t="shared" si="3"/>
        <v>0</v>
      </c>
      <c r="Q45" s="290" t="str">
        <f t="shared" si="0"/>
        <v/>
      </c>
    </row>
    <row r="46" spans="1:19" x14ac:dyDescent="0.25">
      <c r="A46" s="121">
        <v>43</v>
      </c>
      <c r="B46" s="121" t="str">
        <f>IFERROR(INDEX('Miljövrärden urval för publ'!$A$2:$AA$419,MATCH('Miljövärden för publ företag'!$A46,'Miljövrärden urval för publ'!$R$2:$R$416,0),1),"")</f>
        <v>Borås Energi &amp; Miljö AB</v>
      </c>
      <c r="C46" s="121" t="str">
        <f>IFERROR(INDEX('Miljövrärden urval för publ'!$A$2:$AA$419,MATCH('Miljövärden för publ företag'!$A46,'Miljövrärden urval för publ'!$R$2:$R$416,0),2),"")</f>
        <v>Borås</v>
      </c>
      <c r="D46" s="121">
        <f>IFERROR(VLOOKUP($C46,'Miljövrärden urval för publ'!$B$2:$H$416,MATCH('Miljövärden för publ företag'!D$4,'Miljövrärden urval för publ'!$B$2:$H$2,0),FALSE),"")</f>
        <v>0.12605</v>
      </c>
      <c r="E46" s="121">
        <f>IFERROR(VLOOKUP($C46,'Miljövrärden urval för publ'!$B$2:$H$416,MATCH('Miljövärden för publ företag'!E$4,'Miljövrärden urval för publ'!$B$2:$H$2,0),FALSE),"")</f>
        <v>54.766199999999998</v>
      </c>
      <c r="F46" s="121">
        <f>IFERROR(VLOOKUP($C46,'Miljövrärden urval för publ'!$B$2:$H$416,MATCH('Miljövärden för publ företag'!F$4,'Miljövrärden urval för publ'!$B$2:$H$2,0),FALSE),"")</f>
        <v>7.0995299999999997</v>
      </c>
      <c r="G46" s="121">
        <f>IFERROR(VLOOKUP($C46,'Miljövrärden urval för publ'!$B$2:$H$416,MATCH('Miljövärden för publ företag'!G$4,'Miljövrärden urval för publ'!$B$2:$H$2,0),FALSE),"")</f>
        <v>1.9663199999999999E-2</v>
      </c>
      <c r="J46" s="121">
        <f t="shared" si="1"/>
        <v>13</v>
      </c>
      <c r="M46" s="121">
        <v>42</v>
      </c>
      <c r="N46" s="121" t="str">
        <f t="shared" si="2"/>
        <v>Hässleholm Miljö AB</v>
      </c>
      <c r="P46" s="296">
        <f t="shared" si="3"/>
        <v>0</v>
      </c>
      <c r="Q46" s="290" t="str">
        <f t="shared" si="0"/>
        <v/>
      </c>
    </row>
    <row r="47" spans="1:19" x14ac:dyDescent="0.25">
      <c r="A47" s="121">
        <v>44</v>
      </c>
      <c r="B47" s="121" t="str">
        <f>IFERROR(INDEX('Miljövrärden urval för publ'!$A$2:$AA$419,MATCH('Miljövärden för publ företag'!$A47,'Miljövrärden urval för publ'!$R$2:$R$416,0),1),"")</f>
        <v>Borås Energi &amp; Miljö AB</v>
      </c>
      <c r="C47" s="121" t="str">
        <f>IFERROR(INDEX('Miljövrärden urval för publ'!$A$2:$AA$419,MATCH('Miljövärden för publ företag'!$A47,'Miljövrärden urval för publ'!$R$2:$R$416,0),2),"")</f>
        <v>Fristad</v>
      </c>
      <c r="D47" s="121">
        <f>IFERROR(VLOOKUP($C47,'Miljövrärden urval för publ'!$B$2:$H$416,MATCH('Miljövärden för publ företag'!D$4,'Miljövrärden urval för publ'!$B$2:$H$2,0),FALSE),"")</f>
        <v>0.33060299999999998</v>
      </c>
      <c r="E47" s="121">
        <f>IFERROR(VLOOKUP($C47,'Miljövrärden urval för publ'!$B$2:$H$416,MATCH('Miljövärden för publ företag'!E$4,'Miljövrärden urval för publ'!$B$2:$H$2,0),FALSE),"")</f>
        <v>46.113500000000002</v>
      </c>
      <c r="F47" s="121">
        <f>IFERROR(VLOOKUP($C47,'Miljövrärden urval för publ'!$B$2:$H$416,MATCH('Miljövärden för publ företag'!F$4,'Miljövrärden urval för publ'!$B$2:$H$2,0),FALSE),"")</f>
        <v>20.787500000000001</v>
      </c>
      <c r="G47" s="121">
        <f>IFERROR(VLOOKUP($C47,'Miljövrärden urval för publ'!$B$2:$H$416,MATCH('Miljövärden för publ företag'!G$4,'Miljövrärden urval för publ'!$B$2:$H$2,0),FALSE),"")</f>
        <v>0.10814600000000001</v>
      </c>
      <c r="J47" s="121">
        <f t="shared" si="1"/>
        <v>13</v>
      </c>
      <c r="M47" s="121">
        <v>43</v>
      </c>
      <c r="N47" s="121" t="str">
        <f t="shared" si="2"/>
        <v>Höganäs Energi AB</v>
      </c>
      <c r="P47" s="296">
        <f t="shared" si="3"/>
        <v>0</v>
      </c>
      <c r="Q47" s="290" t="str">
        <f t="shared" si="0"/>
        <v/>
      </c>
    </row>
    <row r="48" spans="1:19" x14ac:dyDescent="0.25">
      <c r="A48" s="121">
        <v>45</v>
      </c>
      <c r="B48" s="121" t="str">
        <f>IFERROR(INDEX('Miljövrärden urval för publ'!$A$2:$AA$419,MATCH('Miljövärden för publ företag'!$A48,'Miljövrärden urval för publ'!$R$2:$R$416,0),1),"")</f>
        <v>BTEA Energi AB</v>
      </c>
      <c r="C48" s="121" t="str">
        <f>IFERROR(INDEX('Miljövrärden urval för publ'!$A$2:$AA$419,MATCH('Miljövärden för publ företag'!$A48,'Miljövrärden urval för publ'!$R$2:$R$416,0),2),"")</f>
        <v>Berg</v>
      </c>
      <c r="D48" s="121">
        <f>IFERROR(VLOOKUP($C48,'Miljövrärden urval för publ'!$B$2:$H$416,MATCH('Miljövärden för publ företag'!D$4,'Miljövrärden urval för publ'!$B$2:$H$2,0),FALSE),"")</f>
        <v>0.19001199999999999</v>
      </c>
      <c r="E48" s="121">
        <f>IFERROR(VLOOKUP($C48,'Miljövrärden urval för publ'!$B$2:$H$416,MATCH('Miljövärden för publ företag'!E$4,'Miljövrärden urval för publ'!$B$2:$H$2,0),FALSE),"")</f>
        <v>28.133900000000001</v>
      </c>
      <c r="F48" s="121">
        <f>IFERROR(VLOOKUP($C48,'Miljövrärden urval för publ'!$B$2:$H$416,MATCH('Miljövärden för publ företag'!F$4,'Miljövrärden urval för publ'!$B$2:$H$2,0),FALSE),"")</f>
        <v>9.2664200000000001</v>
      </c>
      <c r="G48" s="121">
        <f>IFERROR(VLOOKUP($C48,'Miljövrärden urval för publ'!$B$2:$H$416,MATCH('Miljövärden för publ företag'!G$4,'Miljövrärden urval för publ'!$B$2:$H$2,0),FALSE),"")</f>
        <v>3.2416800000000003E-2</v>
      </c>
      <c r="J48" s="121">
        <f t="shared" si="1"/>
        <v>14</v>
      </c>
      <c r="M48" s="121">
        <v>44</v>
      </c>
      <c r="N48" s="121" t="str">
        <f t="shared" si="2"/>
        <v>Jokkmokks Värmeverk AB</v>
      </c>
      <c r="P48" s="296">
        <f t="shared" si="3"/>
        <v>0</v>
      </c>
      <c r="Q48" s="290" t="str">
        <f t="shared" si="0"/>
        <v/>
      </c>
    </row>
    <row r="49" spans="1:17" x14ac:dyDescent="0.25">
      <c r="A49" s="121">
        <v>46</v>
      </c>
      <c r="B49" s="121" t="str">
        <f>IFERROR(INDEX('Miljövrärden urval för publ'!$A$2:$AA$419,MATCH('Miljövärden för publ företag'!$A49,'Miljövrärden urval för publ'!$R$2:$R$416,0),1),"")</f>
        <v>C4 Energi AB</v>
      </c>
      <c r="C49" s="121" t="str">
        <f>IFERROR(INDEX('Miljövrärden urval för publ'!$A$2:$AA$419,MATCH('Miljövärden för publ företag'!$A49,'Miljövrärden urval för publ'!$R$2:$R$416,0),2),"")</f>
        <v>Fjälkinge</v>
      </c>
      <c r="D49" s="121">
        <f>IFERROR(VLOOKUP($C49,'Miljövrärden urval för publ'!$B$2:$H$416,MATCH('Miljövärden för publ företag'!D$4,'Miljövrärden urval för publ'!$B$2:$H$2,0),FALSE),"")</f>
        <v>7.3205300000000001E-2</v>
      </c>
      <c r="E49" s="121">
        <f>IFERROR(VLOOKUP($C49,'Miljövrärden urval för publ'!$B$2:$H$416,MATCH('Miljövärden för publ företag'!E$4,'Miljövrärden urval för publ'!$B$2:$H$2,0),FALSE),"")</f>
        <v>10.1525</v>
      </c>
      <c r="F49" s="121">
        <f>IFERROR(VLOOKUP($C49,'Miljövrärden urval för publ'!$B$2:$H$416,MATCH('Miljövärden för publ företag'!F$4,'Miljövrärden urval för publ'!$B$2:$H$2,0),FALSE),"")</f>
        <v>10.609299999999999</v>
      </c>
      <c r="G49" s="121">
        <f>IFERROR(VLOOKUP($C49,'Miljövrärden urval för publ'!$B$2:$H$416,MATCH('Miljövärden för publ företag'!G$4,'Miljövrärden urval för publ'!$B$2:$H$2,0),FALSE),"")</f>
        <v>1.0678399999999999E-2</v>
      </c>
      <c r="J49" s="121">
        <f t="shared" si="1"/>
        <v>15</v>
      </c>
      <c r="M49" s="121">
        <v>45</v>
      </c>
      <c r="N49" s="121" t="str">
        <f t="shared" si="2"/>
        <v>Jämtkraft AB</v>
      </c>
      <c r="P49" s="296">
        <f t="shared" si="3"/>
        <v>0</v>
      </c>
      <c r="Q49" s="290" t="str">
        <f t="shared" si="0"/>
        <v/>
      </c>
    </row>
    <row r="50" spans="1:17" x14ac:dyDescent="0.25">
      <c r="A50" s="121">
        <v>47</v>
      </c>
      <c r="B50" s="121" t="str">
        <f>IFERROR(INDEX('Miljövrärden urval för publ'!$A$2:$AA$419,MATCH('Miljövärden för publ företag'!$A50,'Miljövrärden urval för publ'!$R$2:$R$416,0),1),"")</f>
        <v>C4 Energi AB</v>
      </c>
      <c r="C50" s="121" t="str">
        <f>IFERROR(INDEX('Miljövrärden urval för publ'!$A$2:$AA$419,MATCH('Miljövärden för publ företag'!$A50,'Miljövrärden urval för publ'!$R$2:$R$416,0),2),"")</f>
        <v>Kristianstad</v>
      </c>
      <c r="D50" s="121">
        <f>IFERROR(VLOOKUP($C50,'Miljövrärden urval för publ'!$B$2:$H$416,MATCH('Miljövärden för publ företag'!D$4,'Miljövrärden urval för publ'!$B$2:$H$2,0),FALSE),"")</f>
        <v>4.0347599999999997E-2</v>
      </c>
      <c r="E50" s="121">
        <f>IFERROR(VLOOKUP($C50,'Miljövrärden urval för publ'!$B$2:$H$416,MATCH('Miljövärden för publ företag'!E$4,'Miljövrärden urval för publ'!$B$2:$H$2,0),FALSE),"")</f>
        <v>3.4278</v>
      </c>
      <c r="F50" s="121">
        <f>IFERROR(VLOOKUP($C50,'Miljövrärden urval för publ'!$B$2:$H$416,MATCH('Miljövärden för publ företag'!F$4,'Miljövrärden urval för publ'!$B$2:$H$2,0),FALSE),"")</f>
        <v>6.24125</v>
      </c>
      <c r="G50" s="121">
        <f>IFERROR(VLOOKUP($C50,'Miljövrärden urval för publ'!$B$2:$H$416,MATCH('Miljövärden för publ företag'!G$4,'Miljövrärden urval för publ'!$B$2:$H$2,0),FALSE),"")</f>
        <v>9.8272599999999996E-4</v>
      </c>
      <c r="J50" s="121">
        <f t="shared" si="1"/>
        <v>15</v>
      </c>
      <c r="M50" s="121">
        <v>46</v>
      </c>
      <c r="N50" s="121" t="str">
        <f t="shared" si="2"/>
        <v>Jämtlands Värme AB</v>
      </c>
      <c r="P50" s="296">
        <f t="shared" si="3"/>
        <v>0</v>
      </c>
      <c r="Q50" s="290" t="str">
        <f t="shared" si="0"/>
        <v/>
      </c>
    </row>
    <row r="51" spans="1:17" x14ac:dyDescent="0.25">
      <c r="A51" s="121">
        <v>48</v>
      </c>
      <c r="B51" s="121" t="str">
        <f>IFERROR(INDEX('Miljövrärden urval för publ'!$A$2:$AA$419,MATCH('Miljövärden för publ företag'!$A51,'Miljövrärden urval för publ'!$R$2:$R$416,0),1),"")</f>
        <v>Dala Energi Värme AB</v>
      </c>
      <c r="C51" s="121" t="str">
        <f>IFERROR(INDEX('Miljövrärden urval för publ'!$A$2:$AA$419,MATCH('Miljövärden för publ företag'!$A51,'Miljövrärden urval för publ'!$R$2:$R$416,0),2),"")</f>
        <v>Insjön</v>
      </c>
      <c r="D51" s="121">
        <f>IFERROR(VLOOKUP($C51,'Miljövrärden urval för publ'!$B$2:$H$416,MATCH('Miljövärden för publ företag'!D$4,'Miljövrärden urval för publ'!$B$2:$H$2,0),FALSE),"")</f>
        <v>4.0702000000000002E-2</v>
      </c>
      <c r="E51" s="121">
        <f>IFERROR(VLOOKUP($C51,'Miljövrärden urval för publ'!$B$2:$H$416,MATCH('Miljövärden för publ företag'!E$4,'Miljövrärden urval för publ'!$B$2:$H$2,0),FALSE),"")</f>
        <v>5.0009699999999997</v>
      </c>
      <c r="F51" s="121">
        <f>IFERROR(VLOOKUP($C51,'Miljövrärden urval för publ'!$B$2:$H$416,MATCH('Miljövärden för publ företag'!F$4,'Miljövrärden urval för publ'!$B$2:$H$2,0),FALSE),"")</f>
        <v>8.7517099999999992</v>
      </c>
      <c r="G51" s="121">
        <f>IFERROR(VLOOKUP($C51,'Miljövrärden urval för publ'!$B$2:$H$416,MATCH('Miljövärden för publ företag'!G$4,'Miljövrärden urval för publ'!$B$2:$H$2,0),FALSE),"")</f>
        <v>0</v>
      </c>
      <c r="J51" s="121">
        <f t="shared" si="1"/>
        <v>16</v>
      </c>
      <c r="M51" s="121">
        <v>47</v>
      </c>
      <c r="N51" s="121" t="str">
        <f t="shared" si="2"/>
        <v>Jönköping Energi AB</v>
      </c>
      <c r="P51" s="296">
        <f t="shared" si="3"/>
        <v>0</v>
      </c>
      <c r="Q51" s="290" t="str">
        <f t="shared" si="0"/>
        <v/>
      </c>
    </row>
    <row r="52" spans="1:17" x14ac:dyDescent="0.25">
      <c r="A52" s="121">
        <v>49</v>
      </c>
      <c r="B52" s="121" t="str">
        <f>IFERROR(INDEX('Miljövrärden urval för publ'!$A$2:$AA$419,MATCH('Miljövärden för publ företag'!$A52,'Miljövrärden urval för publ'!$R$2:$R$416,0),1),"")</f>
        <v>Dala Energi Värme AB</v>
      </c>
      <c r="C52" s="121" t="str">
        <f>IFERROR(INDEX('Miljövrärden urval för publ'!$A$2:$AA$419,MATCH('Miljövärden för publ företag'!$A52,'Miljövrärden urval för publ'!$R$2:$R$416,0),2),"")</f>
        <v>Leksand</v>
      </c>
      <c r="D52" s="121">
        <f>IFERROR(VLOOKUP($C52,'Miljövrärden urval för publ'!$B$2:$H$416,MATCH('Miljövärden för publ företag'!D$4,'Miljövrärden urval för publ'!$B$2:$H$2,0),FALSE),"")</f>
        <v>7.4506199999999995E-2</v>
      </c>
      <c r="E52" s="121">
        <f>IFERROR(VLOOKUP($C52,'Miljövrärden urval för publ'!$B$2:$H$416,MATCH('Miljövärden för publ företag'!E$4,'Miljövrärden urval för publ'!$B$2:$H$2,0),FALSE),"")</f>
        <v>4.9841100000000003</v>
      </c>
      <c r="F52" s="121">
        <f>IFERROR(VLOOKUP($C52,'Miljövrärden urval för publ'!$B$2:$H$416,MATCH('Miljövärden för publ företag'!F$4,'Miljövrärden urval för publ'!$B$2:$H$2,0),FALSE),"")</f>
        <v>8.2742900000000006</v>
      </c>
      <c r="G52" s="121">
        <f>IFERROR(VLOOKUP($C52,'Miljövrärden urval för publ'!$B$2:$H$416,MATCH('Miljövärden för publ företag'!G$4,'Miljövrärden urval för publ'!$B$2:$H$2,0),FALSE),"")</f>
        <v>7.26325E-4</v>
      </c>
      <c r="J52" s="121">
        <f t="shared" si="1"/>
        <v>16</v>
      </c>
      <c r="M52" s="121">
        <v>48</v>
      </c>
      <c r="N52" s="121" t="str">
        <f t="shared" si="2"/>
        <v>Kalmar Energi Värme AB</v>
      </c>
      <c r="P52" s="296">
        <f t="shared" si="3"/>
        <v>0</v>
      </c>
      <c r="Q52" s="290" t="str">
        <f t="shared" si="0"/>
        <v/>
      </c>
    </row>
    <row r="53" spans="1:17" x14ac:dyDescent="0.25">
      <c r="A53" s="121">
        <v>50</v>
      </c>
      <c r="B53" s="121" t="str">
        <f>IFERROR(INDEX('Miljövrärden urval för publ'!$A$2:$AA$419,MATCH('Miljövärden för publ företag'!$A53,'Miljövrärden urval för publ'!$R$2:$R$416,0),1),"")</f>
        <v>Degerfors Energi AB</v>
      </c>
      <c r="C53" s="121" t="str">
        <f>IFERROR(INDEX('Miljövrärden urval för publ'!$A$2:$AA$419,MATCH('Miljövärden för publ företag'!$A53,'Miljövrärden urval för publ'!$R$2:$R$416,0),2),"")</f>
        <v>HVC Degerfors</v>
      </c>
      <c r="D53" s="121">
        <f>IFERROR(VLOOKUP($C53,'Miljövrärden urval för publ'!$B$2:$H$416,MATCH('Miljövärden för publ företag'!D$4,'Miljövrärden urval för publ'!$B$2:$H$2,0),FALSE),"")</f>
        <v>7.7559799999999998E-2</v>
      </c>
      <c r="E53" s="121">
        <f>IFERROR(VLOOKUP($C53,'Miljövrärden urval för publ'!$B$2:$H$416,MATCH('Miljövärden för publ företag'!E$4,'Miljövrärden urval för publ'!$B$2:$H$2,0),FALSE),"")</f>
        <v>4.9810600000000003</v>
      </c>
      <c r="F53" s="121">
        <f>IFERROR(VLOOKUP($C53,'Miljövrärden urval för publ'!$B$2:$H$416,MATCH('Miljövärden för publ företag'!F$4,'Miljövrärden urval för publ'!$B$2:$H$2,0),FALSE),"")</f>
        <v>10.354100000000001</v>
      </c>
      <c r="G53" s="121">
        <f>IFERROR(VLOOKUP($C53,'Miljövrärden urval för publ'!$B$2:$H$416,MATCH('Miljövärden för publ företag'!G$4,'Miljövrärden urval för publ'!$B$2:$H$2,0),FALSE),"")</f>
        <v>0</v>
      </c>
      <c r="J53" s="121">
        <f t="shared" si="1"/>
        <v>17</v>
      </c>
      <c r="M53" s="121">
        <v>49</v>
      </c>
      <c r="N53" s="121" t="str">
        <f t="shared" si="2"/>
        <v>Karlsborgs Värme AB</v>
      </c>
      <c r="P53" s="296">
        <f t="shared" si="3"/>
        <v>0</v>
      </c>
      <c r="Q53" s="290" t="str">
        <f t="shared" si="0"/>
        <v/>
      </c>
    </row>
    <row r="54" spans="1:17" x14ac:dyDescent="0.25">
      <c r="A54" s="121">
        <v>51</v>
      </c>
      <c r="B54" s="121" t="str">
        <f>IFERROR(INDEX('Miljövrärden urval för publ'!$A$2:$AA$419,MATCH('Miljövärden för publ företag'!$A54,'Miljövrärden urval för publ'!$R$2:$R$416,0),1),"")</f>
        <v>Degerfors Energi AB</v>
      </c>
      <c r="C54" s="121" t="str">
        <f>IFERROR(INDEX('Miljövrärden urval för publ'!$A$2:$AA$419,MATCH('Miljövärden för publ företag'!$A54,'Miljövrärden urval för publ'!$R$2:$R$416,0),2),"")</f>
        <v>Svartå</v>
      </c>
      <c r="D54" s="121">
        <f>IFERROR(VLOOKUP($C54,'Miljövrärden urval för publ'!$B$2:$H$416,MATCH('Miljövärden för publ företag'!D$4,'Miljövrärden urval för publ'!$B$2:$H$2,0),FALSE),"")</f>
        <v>0.152169</v>
      </c>
      <c r="E54" s="121">
        <f>IFERROR(VLOOKUP($C54,'Miljövrärden urval för publ'!$B$2:$H$416,MATCH('Miljövärden för publ företag'!E$4,'Miljövrärden urval för publ'!$B$2:$H$2,0),FALSE),"")</f>
        <v>6.41798</v>
      </c>
      <c r="F54" s="121">
        <f>IFERROR(VLOOKUP($C54,'Miljövrärden urval för publ'!$B$2:$H$416,MATCH('Miljövärden för publ företag'!F$4,'Miljövrärden urval för publ'!$B$2:$H$2,0),FALSE),"")</f>
        <v>14.7438</v>
      </c>
      <c r="G54" s="121">
        <f>IFERROR(VLOOKUP($C54,'Miljövrärden urval för publ'!$B$2:$H$416,MATCH('Miljövärden för publ företag'!G$4,'Miljövrärden urval för publ'!$B$2:$H$2,0),FALSE),"")</f>
        <v>7.8451900000000001E-3</v>
      </c>
      <c r="J54" s="121">
        <f t="shared" si="1"/>
        <v>17</v>
      </c>
      <c r="M54" s="121">
        <v>50</v>
      </c>
      <c r="N54" s="121" t="str">
        <f t="shared" si="2"/>
        <v>Karlshamn Energi AB</v>
      </c>
      <c r="P54" s="296">
        <f t="shared" si="3"/>
        <v>0</v>
      </c>
      <c r="Q54" s="290" t="str">
        <f t="shared" si="0"/>
        <v/>
      </c>
    </row>
    <row r="55" spans="1:17" x14ac:dyDescent="0.25">
      <c r="A55" s="121">
        <v>52</v>
      </c>
      <c r="B55" s="121" t="str">
        <f>IFERROR(INDEX('Miljövrärden urval för publ'!$A$2:$AA$419,MATCH('Miljövärden för publ företag'!$A55,'Miljövrärden urval för publ'!$R$2:$R$416,0),1),"")</f>
        <v>Degerfors Energi AB</v>
      </c>
      <c r="C55" s="121" t="str">
        <f>IFERROR(INDEX('Miljövrärden urval för publ'!$A$2:$AA$419,MATCH('Miljövärden för publ företag'!$A55,'Miljövrärden urval för publ'!$R$2:$R$416,0),2),"")</f>
        <v>Åtorp</v>
      </c>
      <c r="D55" s="121">
        <f>IFERROR(VLOOKUP($C55,'Miljövrärden urval för publ'!$B$2:$H$416,MATCH('Miljövärden för publ företag'!D$4,'Miljövrärden urval för publ'!$B$2:$H$2,0),FALSE),"")</f>
        <v>0.17637</v>
      </c>
      <c r="E55" s="121">
        <f>IFERROR(VLOOKUP($C55,'Miljövrärden urval för publ'!$B$2:$H$416,MATCH('Miljövärden för publ företag'!E$4,'Miljövrärden urval för publ'!$B$2:$H$2,0),FALSE),"")</f>
        <v>10.020899999999999</v>
      </c>
      <c r="F55" s="121">
        <f>IFERROR(VLOOKUP($C55,'Miljövrärden urval för publ'!$B$2:$H$416,MATCH('Miljövärden för publ företag'!F$4,'Miljövrärden urval för publ'!$B$2:$H$2,0),FALSE),"")</f>
        <v>15.728199999999999</v>
      </c>
      <c r="G55" s="121">
        <f>IFERROR(VLOOKUP($C55,'Miljövrärden urval för publ'!$B$2:$H$416,MATCH('Miljövärden för publ företag'!G$4,'Miljövrärden urval för publ'!$B$2:$H$2,0),FALSE),"")</f>
        <v>1.85033E-2</v>
      </c>
      <c r="J55" s="121">
        <f t="shared" si="1"/>
        <v>17</v>
      </c>
      <c r="M55" s="121">
        <v>51</v>
      </c>
      <c r="N55" s="121" t="str">
        <f t="shared" si="2"/>
        <v>Karlskoga Kraftvärmeverk AB</v>
      </c>
      <c r="P55" s="296">
        <f t="shared" si="3"/>
        <v>0</v>
      </c>
      <c r="Q55" s="290" t="str">
        <f t="shared" si="0"/>
        <v/>
      </c>
    </row>
    <row r="56" spans="1:17" x14ac:dyDescent="0.25">
      <c r="A56" s="121">
        <v>53</v>
      </c>
      <c r="B56" s="121" t="str">
        <f>IFERROR(INDEX('Miljövrärden urval för publ'!$A$2:$AA$419,MATCH('Miljövärden för publ företag'!$A56,'Miljövrärden urval för publ'!$R$2:$R$416,0),1),"")</f>
        <v>E.ON Värme Sverige AB</v>
      </c>
      <c r="C56" s="121" t="str">
        <f>IFERROR(INDEX('Miljövrärden urval för publ'!$A$2:$AA$419,MATCH('Miljövärden för publ företag'!$A56,'Miljövrärden urval för publ'!$R$2:$R$416,0),2),"")</f>
        <v>Bro</v>
      </c>
      <c r="D56" s="121">
        <f>IFERROR(VLOOKUP($C56,'Miljövrärden urval för publ'!$B$2:$H$416,MATCH('Miljövärden för publ företag'!D$4,'Miljövrärden urval för publ'!$B$2:$H$2,0),FALSE),"")</f>
        <v>9.1494699999999998E-2</v>
      </c>
      <c r="E56" s="121">
        <f>IFERROR(VLOOKUP($C56,'Miljövrärden urval för publ'!$B$2:$H$416,MATCH('Miljövärden för publ företag'!E$4,'Miljövrärden urval för publ'!$B$2:$H$2,0),FALSE),"")</f>
        <v>10.9434</v>
      </c>
      <c r="F56" s="121">
        <f>IFERROR(VLOOKUP($C56,'Miljövrärden urval för publ'!$B$2:$H$416,MATCH('Miljövärden för publ företag'!F$4,'Miljövrärden urval för publ'!$B$2:$H$2,0),FALSE),"")</f>
        <v>1.3081</v>
      </c>
      <c r="G56" s="121">
        <f>IFERROR(VLOOKUP($C56,'Miljövrärden urval för publ'!$B$2:$H$416,MATCH('Miljövärden för publ företag'!G$4,'Miljövrärden urval för publ'!$B$2:$H$2,0),FALSE),"")</f>
        <v>7.5040899999999994E-2</v>
      </c>
      <c r="J56" s="121">
        <f t="shared" si="1"/>
        <v>18</v>
      </c>
      <c r="M56" s="121">
        <v>52</v>
      </c>
      <c r="N56" s="121" t="str">
        <f t="shared" si="2"/>
        <v>Karlstads Energi AB</v>
      </c>
      <c r="P56" s="296">
        <f t="shared" si="3"/>
        <v>0</v>
      </c>
      <c r="Q56" s="290" t="str">
        <f t="shared" si="0"/>
        <v/>
      </c>
    </row>
    <row r="57" spans="1:17" x14ac:dyDescent="0.25">
      <c r="A57" s="121">
        <v>54</v>
      </c>
      <c r="B57" s="121" t="str">
        <f>IFERROR(INDEX('Miljövrärden urval för publ'!$A$2:$AA$419,MATCH('Miljövärden för publ företag'!$A57,'Miljövrärden urval för publ'!$R$2:$R$416,0),1),"")</f>
        <v>E.ON Värme Sverige AB</v>
      </c>
      <c r="C57" s="121" t="str">
        <f>IFERROR(INDEX('Miljövrärden urval för publ'!$A$2:$AA$419,MATCH('Miljövärden för publ företag'!$A57,'Miljövrärden urval för publ'!$R$2:$R$416,0),2),"")</f>
        <v>Bålsta</v>
      </c>
      <c r="D57" s="121">
        <f>IFERROR(VLOOKUP($C57,'Miljövrärden urval för publ'!$B$2:$H$416,MATCH('Miljövärden för publ företag'!D$4,'Miljövrärden urval för publ'!$B$2:$H$2,0),FALSE),"")</f>
        <v>0.14374400000000001</v>
      </c>
      <c r="E57" s="121">
        <f>IFERROR(VLOOKUP($C57,'Miljövrärden urval för publ'!$B$2:$H$416,MATCH('Miljövärden för publ företag'!E$4,'Miljövrärden urval för publ'!$B$2:$H$2,0),FALSE),"")</f>
        <v>19.5745</v>
      </c>
      <c r="F57" s="121">
        <f>IFERROR(VLOOKUP($C57,'Miljövrärden urval för publ'!$B$2:$H$416,MATCH('Miljövärden för publ företag'!F$4,'Miljövrärden urval för publ'!$B$2:$H$2,0),FALSE),"")</f>
        <v>9.3200599999999998</v>
      </c>
      <c r="G57" s="121">
        <f>IFERROR(VLOOKUP($C57,'Miljövrärden urval för publ'!$B$2:$H$416,MATCH('Miljövärden för publ företag'!G$4,'Miljövrärden urval för publ'!$B$2:$H$2,0),FALSE),"")</f>
        <v>2.5560900000000001E-2</v>
      </c>
      <c r="J57" s="121">
        <f t="shared" si="1"/>
        <v>18</v>
      </c>
      <c r="M57" s="121">
        <v>53</v>
      </c>
      <c r="N57" s="121" t="str">
        <f t="shared" si="2"/>
        <v>Kils Energi AB</v>
      </c>
      <c r="P57" s="296">
        <f t="shared" si="3"/>
        <v>0</v>
      </c>
      <c r="Q57" s="290" t="str">
        <f t="shared" si="0"/>
        <v/>
      </c>
    </row>
    <row r="58" spans="1:17" x14ac:dyDescent="0.25">
      <c r="A58" s="121">
        <v>55</v>
      </c>
      <c r="B58" s="121" t="str">
        <f>IFERROR(INDEX('Miljövrärden urval för publ'!$A$2:$AA$419,MATCH('Miljövärden för publ företag'!$A58,'Miljövrärden urval för publ'!$R$2:$R$416,0),1),"")</f>
        <v>E.ON Värme Sverige AB</v>
      </c>
      <c r="C58" s="121" t="str">
        <f>IFERROR(INDEX('Miljövrärden urval för publ'!$A$2:$AA$419,MATCH('Miljövärden för publ företag'!$A58,'Miljövrärden urval för publ'!$R$2:$R$416,0),2),"")</f>
        <v>Coop</v>
      </c>
      <c r="D58" s="121">
        <f>IFERROR(VLOOKUP($C58,'Miljövrärden urval för publ'!$B$2:$H$416,MATCH('Miljövärden för publ företag'!D$4,'Miljövrärden urval för publ'!$B$2:$H$2,0),FALSE),"")</f>
        <v>0.23774999999999999</v>
      </c>
      <c r="E58" s="121">
        <f>IFERROR(VLOOKUP($C58,'Miljövrärden urval för publ'!$B$2:$H$416,MATCH('Miljövärden för publ företag'!E$4,'Miljövrärden urval för publ'!$B$2:$H$2,0),FALSE),"")</f>
        <v>19.9757</v>
      </c>
      <c r="F58" s="121">
        <f>IFERROR(VLOOKUP($C58,'Miljövrärden urval för publ'!$B$2:$H$416,MATCH('Miljövärden för publ företag'!F$4,'Miljövrärden urval för publ'!$B$2:$H$2,0),FALSE),"")</f>
        <v>25.8125</v>
      </c>
      <c r="G58" s="121">
        <f>IFERROR(VLOOKUP($C58,'Miljövrärden urval för publ'!$B$2:$H$416,MATCH('Miljövärden för publ företag'!G$4,'Miljövrärden urval för publ'!$B$2:$H$2,0),FALSE),"")</f>
        <v>5.0489200000000001E-3</v>
      </c>
      <c r="J58" s="121">
        <f t="shared" si="1"/>
        <v>18</v>
      </c>
      <c r="M58" s="121">
        <v>54</v>
      </c>
      <c r="N58" s="121" t="str">
        <f t="shared" si="2"/>
        <v>Kiruna Kraft AB</v>
      </c>
      <c r="P58" s="296">
        <f t="shared" si="3"/>
        <v>0</v>
      </c>
      <c r="Q58" s="290" t="str">
        <f t="shared" si="0"/>
        <v/>
      </c>
    </row>
    <row r="59" spans="1:17" x14ac:dyDescent="0.25">
      <c r="A59" s="121">
        <v>56</v>
      </c>
      <c r="B59" s="121" t="str">
        <f>IFERROR(INDEX('Miljövrärden urval för publ'!$A$2:$AA$419,MATCH('Miljövärden för publ företag'!$A59,'Miljövrärden urval för publ'!$R$2:$R$416,0),1),"")</f>
        <v>E.ON Värme Sverige AB</v>
      </c>
      <c r="C59" s="121" t="str">
        <f>IFERROR(INDEX('Miljövrärden urval för publ'!$A$2:$AA$419,MATCH('Miljövärden för publ företag'!$A59,'Miljövrärden urval för publ'!$R$2:$R$416,0),2),"")</f>
        <v>HÖK</v>
      </c>
      <c r="D59" s="121">
        <f>IFERROR(VLOOKUP($C59,'Miljövrärden urval för publ'!$B$2:$H$416,MATCH('Miljövärden för publ företag'!D$4,'Miljövrärden urval för publ'!$B$2:$H$2,0),FALSE),"")</f>
        <v>0.16848399999999999</v>
      </c>
      <c r="E59" s="121">
        <f>IFERROR(VLOOKUP($C59,'Miljövrärden urval för publ'!$B$2:$H$416,MATCH('Miljövärden för publ företag'!E$4,'Miljövrärden urval för publ'!$B$2:$H$2,0),FALSE),"")</f>
        <v>79.013199999999998</v>
      </c>
      <c r="F59" s="121">
        <f>IFERROR(VLOOKUP($C59,'Miljövrärden urval för publ'!$B$2:$H$416,MATCH('Miljövärden för publ företag'!F$4,'Miljövrärden urval för publ'!$B$2:$H$2,0),FALSE),"")</f>
        <v>8.3843700000000005</v>
      </c>
      <c r="G59" s="121">
        <f>IFERROR(VLOOKUP($C59,'Miljövrärden urval för publ'!$B$2:$H$416,MATCH('Miljövärden för publ företag'!G$4,'Miljövrärden urval för publ'!$B$2:$H$2,0),FALSE),"")</f>
        <v>3.3838100000000003E-2</v>
      </c>
      <c r="J59" s="121">
        <f t="shared" si="1"/>
        <v>18</v>
      </c>
      <c r="M59" s="121">
        <v>55</v>
      </c>
      <c r="N59" s="121" t="str">
        <f t="shared" si="2"/>
        <v>Kraftringen Energi AB (publ)</v>
      </c>
      <c r="P59" s="296">
        <f t="shared" si="3"/>
        <v>0</v>
      </c>
      <c r="Q59" s="290" t="str">
        <f t="shared" si="0"/>
        <v/>
      </c>
    </row>
    <row r="60" spans="1:17" x14ac:dyDescent="0.25">
      <c r="A60" s="121">
        <v>57</v>
      </c>
      <c r="B60" s="121" t="str">
        <f>IFERROR(INDEX('Miljövrärden urval för publ'!$A$2:$AA$419,MATCH('Miljövärden för publ företag'!$A60,'Miljövrärden urval för publ'!$R$2:$R$416,0),1),"")</f>
        <v>E.ON Värme Sverige AB</v>
      </c>
      <c r="C60" s="121" t="str">
        <f>IFERROR(INDEX('Miljövrärden urval för publ'!$A$2:$AA$419,MATCH('Miljövärden för publ företag'!$A60,'Miljövrärden urval för publ'!$R$2:$R$416,0),2),"")</f>
        <v>Kungsängen</v>
      </c>
      <c r="D60" s="121">
        <f>IFERROR(VLOOKUP($C60,'Miljövrärden urval för publ'!$B$2:$H$416,MATCH('Miljövärden för publ företag'!D$4,'Miljövrärden urval för publ'!$B$2:$H$2,0),FALSE),"")</f>
        <v>0.48994500000000002</v>
      </c>
      <c r="E60" s="121">
        <f>IFERROR(VLOOKUP($C60,'Miljövrärden urval för publ'!$B$2:$H$416,MATCH('Miljövärden för publ företag'!E$4,'Miljövrärden urval för publ'!$B$2:$H$2,0),FALSE),"")</f>
        <v>62.358800000000002</v>
      </c>
      <c r="F60" s="121">
        <f>IFERROR(VLOOKUP($C60,'Miljövrärden urval för publ'!$B$2:$H$416,MATCH('Miljövärden för publ företag'!F$4,'Miljövrärden urval för publ'!$B$2:$H$2,0),FALSE),"")</f>
        <v>10.941000000000001</v>
      </c>
      <c r="G60" s="121">
        <f>IFERROR(VLOOKUP($C60,'Miljövrärden urval för publ'!$B$2:$H$416,MATCH('Miljövärden för publ företag'!G$4,'Miljövrärden urval för publ'!$B$2:$H$2,0),FALSE),"")</f>
        <v>7.0226200000000003E-2</v>
      </c>
      <c r="J60" s="121">
        <f t="shared" si="1"/>
        <v>18</v>
      </c>
      <c r="M60" s="121">
        <v>56</v>
      </c>
      <c r="N60" s="121" t="str">
        <f t="shared" si="2"/>
        <v>Kungälv Energi AB</v>
      </c>
      <c r="P60" s="296">
        <f t="shared" si="3"/>
        <v>0</v>
      </c>
      <c r="Q60" s="290" t="str">
        <f t="shared" si="0"/>
        <v/>
      </c>
    </row>
    <row r="61" spans="1:17" x14ac:dyDescent="0.25">
      <c r="A61" s="121">
        <v>58</v>
      </c>
      <c r="B61" s="121" t="str">
        <f>IFERROR(INDEX('Miljövrärden urval för publ'!$A$2:$AA$419,MATCH('Miljövärden för publ företag'!$A61,'Miljövrärden urval för publ'!$R$2:$R$416,0),1),"")</f>
        <v>E.ON Värme Sverige AB</v>
      </c>
      <c r="C61" s="121" t="str">
        <f>IFERROR(INDEX('Miljövrärden urval för publ'!$A$2:$AA$419,MATCH('Miljövärden för publ företag'!$A61,'Miljövrärden urval för publ'!$R$2:$R$416,0),2),"")</f>
        <v>Malmö</v>
      </c>
      <c r="D61" s="121">
        <f>IFERROR(VLOOKUP($C61,'Miljövrärden urval för publ'!$B$2:$H$416,MATCH('Miljövärden för publ företag'!D$4,'Miljövrärden urval för publ'!$B$2:$H$2,0),FALSE),"")</f>
        <v>0.29722799999999999</v>
      </c>
      <c r="E61" s="121">
        <f>IFERROR(VLOOKUP($C61,'Miljövrärden urval för publ'!$B$2:$H$416,MATCH('Miljövärden för publ företag'!E$4,'Miljövrärden urval för publ'!$B$2:$H$2,0),FALSE),"")</f>
        <v>120.047</v>
      </c>
      <c r="F61" s="121">
        <f>IFERROR(VLOOKUP($C61,'Miljövrärden urval för publ'!$B$2:$H$416,MATCH('Miljövärden för publ företag'!F$4,'Miljövrärden urval för publ'!$B$2:$H$2,0),FALSE),"")</f>
        <v>13.367900000000001</v>
      </c>
      <c r="G61" s="121">
        <f>IFERROR(VLOOKUP($C61,'Miljövrärden urval för publ'!$B$2:$H$416,MATCH('Miljövärden för publ företag'!G$4,'Miljövrärden urval för publ'!$B$2:$H$2,0),FALSE),"")</f>
        <v>0.25335299999999999</v>
      </c>
      <c r="J61" s="121">
        <f t="shared" si="1"/>
        <v>18</v>
      </c>
      <c r="M61" s="121">
        <v>57</v>
      </c>
      <c r="N61" s="121" t="str">
        <f t="shared" si="2"/>
        <v>Landskrona Energi AB</v>
      </c>
      <c r="P61" s="296">
        <f t="shared" si="3"/>
        <v>0</v>
      </c>
      <c r="Q61" s="290" t="str">
        <f t="shared" si="0"/>
        <v/>
      </c>
    </row>
    <row r="62" spans="1:17" x14ac:dyDescent="0.25">
      <c r="A62" s="121">
        <v>59</v>
      </c>
      <c r="B62" s="121" t="str">
        <f>IFERROR(INDEX('Miljövrärden urval för publ'!$A$2:$AA$419,MATCH('Miljövärden för publ företag'!$A62,'Miljövrärden urval för publ'!$R$2:$R$416,0),1),"")</f>
        <v>E.ON Värme Sverige AB</v>
      </c>
      <c r="C62" s="121" t="str">
        <f>IFERROR(INDEX('Miljövrärden urval för publ'!$A$2:$AA$419,MATCH('Miljövärden för publ företag'!$A62,'Miljövrärden urval för publ'!$R$2:$R$416,0),2),"")</f>
        <v>Norrköping - Söderköping</v>
      </c>
      <c r="D62" s="121">
        <f>IFERROR(VLOOKUP($C62,'Miljövrärden urval för publ'!$B$2:$H$416,MATCH('Miljövärden för publ företag'!D$4,'Miljövrärden urval för publ'!$B$2:$H$2,0),FALSE),"")</f>
        <v>0.119852</v>
      </c>
      <c r="E62" s="121">
        <f>IFERROR(VLOOKUP($C62,'Miljövrärden urval för publ'!$B$2:$H$416,MATCH('Miljövärden för publ företag'!E$4,'Miljövrärden urval för publ'!$B$2:$H$2,0),FALSE),"")</f>
        <v>131.34</v>
      </c>
      <c r="F62" s="121">
        <f>IFERROR(VLOOKUP($C62,'Miljövrärden urval för publ'!$B$2:$H$416,MATCH('Miljövärden för publ företag'!F$4,'Miljövrärden urval för publ'!$B$2:$H$2,0),FALSE),"")</f>
        <v>3.8597700000000001</v>
      </c>
      <c r="G62" s="121">
        <f>IFERROR(VLOOKUP($C62,'Miljövrärden urval för publ'!$B$2:$H$416,MATCH('Miljövärden för publ företag'!G$4,'Miljövrärden urval för publ'!$B$2:$H$2,0),FALSE),"")</f>
        <v>7.0929199999999998E-2</v>
      </c>
      <c r="J62" s="121">
        <f t="shared" si="1"/>
        <v>18</v>
      </c>
      <c r="M62" s="121">
        <v>58</v>
      </c>
      <c r="N62" s="121" t="str">
        <f t="shared" si="2"/>
        <v>Lantmännen Agrovärme AB</v>
      </c>
      <c r="P62" s="296">
        <f t="shared" si="3"/>
        <v>0</v>
      </c>
      <c r="Q62" s="290" t="str">
        <f t="shared" si="0"/>
        <v/>
      </c>
    </row>
    <row r="63" spans="1:17" x14ac:dyDescent="0.25">
      <c r="A63" s="121">
        <v>60</v>
      </c>
      <c r="B63" s="121" t="str">
        <f>IFERROR(INDEX('Miljövrärden urval för publ'!$A$2:$AA$419,MATCH('Miljövärden för publ företag'!$A63,'Miljövrärden urval för publ'!$R$2:$R$416,0),1),"")</f>
        <v>E.ON Värme Sverige AB</v>
      </c>
      <c r="C63" s="121" t="str">
        <f>IFERROR(INDEX('Miljövrärden urval för publ'!$A$2:$AA$419,MATCH('Miljövärden för publ företag'!$A63,'Miljövrärden urval för publ'!$R$2:$R$416,0),2),"")</f>
        <v>Täby E.ON.</v>
      </c>
      <c r="D63" s="121">
        <f>IFERROR(VLOOKUP($C63,'Miljövrärden urval för publ'!$B$2:$H$416,MATCH('Miljövärden för publ företag'!D$4,'Miljövrärden urval för publ'!$B$2:$H$2,0),FALSE),"")</f>
        <v>0.13214400000000001</v>
      </c>
      <c r="E63" s="121">
        <f>IFERROR(VLOOKUP($C63,'Miljövrärden urval för publ'!$B$2:$H$416,MATCH('Miljövärden för publ företag'!E$4,'Miljövrärden urval för publ'!$B$2:$H$2,0),FALSE),"")</f>
        <v>19.674099999999999</v>
      </c>
      <c r="F63" s="121">
        <f>IFERROR(VLOOKUP($C63,'Miljövrärden urval för publ'!$B$2:$H$416,MATCH('Miljövärden för publ företag'!F$4,'Miljövrärden urval för publ'!$B$2:$H$2,0),FALSE),"")</f>
        <v>8.5864499999999992</v>
      </c>
      <c r="G63" s="121">
        <f>IFERROR(VLOOKUP($C63,'Miljövrärden urval för publ'!$B$2:$H$416,MATCH('Miljövärden för publ företag'!G$4,'Miljövrärden urval för publ'!$B$2:$H$2,0),FALSE),"")</f>
        <v>2.38189E-2</v>
      </c>
      <c r="J63" s="121">
        <f t="shared" si="1"/>
        <v>18</v>
      </c>
      <c r="M63" s="121">
        <v>59</v>
      </c>
      <c r="N63" s="121" t="str">
        <f t="shared" si="2"/>
        <v>Laxå Värme AB</v>
      </c>
      <c r="P63" s="296">
        <f t="shared" si="3"/>
        <v>0</v>
      </c>
      <c r="Q63" s="290" t="str">
        <f t="shared" si="0"/>
        <v/>
      </c>
    </row>
    <row r="64" spans="1:17" x14ac:dyDescent="0.25">
      <c r="A64" s="121">
        <v>61</v>
      </c>
      <c r="B64" s="121" t="str">
        <f>IFERROR(INDEX('Miljövrärden urval för publ'!$A$2:$AA$419,MATCH('Miljövärden för publ företag'!$A64,'Miljövrärden urval för publ'!$R$2:$R$416,0),1),"")</f>
        <v>E.ON Värme Sverige AB</v>
      </c>
      <c r="C64" s="121" t="str">
        <f>IFERROR(INDEX('Miljövrärden urval för publ'!$A$2:$AA$419,MATCH('Miljövärden för publ företag'!$A64,'Miljövrärden urval för publ'!$R$2:$R$416,0),2),"")</f>
        <v>Vallentuna</v>
      </c>
      <c r="D64" s="121">
        <f>IFERROR(VLOOKUP($C64,'Miljövrärden urval för publ'!$B$2:$H$416,MATCH('Miljövärden för publ företag'!D$4,'Miljövrärden urval för publ'!$B$2:$H$2,0),FALSE),"")</f>
        <v>0.53888499999999995</v>
      </c>
      <c r="E64" s="121">
        <f>IFERROR(VLOOKUP($C64,'Miljövrärden urval för publ'!$B$2:$H$416,MATCH('Miljövärden för publ företag'!E$4,'Miljövrärden urval för publ'!$B$2:$H$2,0),FALSE),"")</f>
        <v>76.462299999999999</v>
      </c>
      <c r="F64" s="121">
        <f>IFERROR(VLOOKUP($C64,'Miljövrärden urval för publ'!$B$2:$H$416,MATCH('Miljövärden för publ företag'!F$4,'Miljövrärden urval för publ'!$B$2:$H$2,0),FALSE),"")</f>
        <v>4.6590199999999999</v>
      </c>
      <c r="G64" s="121">
        <f>IFERROR(VLOOKUP($C64,'Miljövrärden urval för publ'!$B$2:$H$416,MATCH('Miljövärden för publ företag'!G$4,'Miljövrärden urval för publ'!$B$2:$H$2,0),FALSE),"")</f>
        <v>7.8862100000000004E-2</v>
      </c>
      <c r="J64" s="121">
        <f t="shared" si="1"/>
        <v>18</v>
      </c>
      <c r="M64" s="121">
        <v>60</v>
      </c>
      <c r="N64" s="121" t="str">
        <f t="shared" si="2"/>
        <v>Lerum Fjärrvärme AB</v>
      </c>
      <c r="P64" s="296">
        <f t="shared" si="3"/>
        <v>0</v>
      </c>
      <c r="Q64" s="290" t="str">
        <f t="shared" si="0"/>
        <v/>
      </c>
    </row>
    <row r="65" spans="1:17" x14ac:dyDescent="0.25">
      <c r="A65" s="121">
        <v>62</v>
      </c>
      <c r="B65" s="121" t="str">
        <f>IFERROR(INDEX('Miljövrärden urval för publ'!$A$2:$AA$419,MATCH('Miljövärden för publ företag'!$A65,'Miljövrärden urval för publ'!$R$2:$R$416,0),1),"")</f>
        <v>E.ON Värme Sverige AB</v>
      </c>
      <c r="C65" s="121" t="str">
        <f>IFERROR(INDEX('Miljövrärden urval för publ'!$A$2:$AA$419,MATCH('Miljövärden för publ företag'!$A65,'Miljövrärden urval för publ'!$R$2:$R$416,0),2),"")</f>
        <v>Österåker</v>
      </c>
      <c r="D65" s="121">
        <f>IFERROR(VLOOKUP($C65,'Miljövrärden urval för publ'!$B$2:$H$416,MATCH('Miljövärden för publ företag'!D$4,'Miljövrärden urval för publ'!$B$2:$H$2,0),FALSE),"")</f>
        <v>0.106985</v>
      </c>
      <c r="E65" s="121">
        <f>IFERROR(VLOOKUP($C65,'Miljövrärden urval för publ'!$B$2:$H$416,MATCH('Miljövärden för publ företag'!E$4,'Miljövrärden urval för publ'!$B$2:$H$2,0),FALSE),"")</f>
        <v>14.676500000000001</v>
      </c>
      <c r="F65" s="121">
        <f>IFERROR(VLOOKUP($C65,'Miljövrärden urval för publ'!$B$2:$H$416,MATCH('Miljövärden för publ företag'!F$4,'Miljövrärden urval för publ'!$B$2:$H$2,0),FALSE),"")</f>
        <v>8.3764699999999994</v>
      </c>
      <c r="G65" s="121">
        <f>IFERROR(VLOOKUP($C65,'Miljövrärden urval för publ'!$B$2:$H$416,MATCH('Miljövärden för publ företag'!G$4,'Miljövrärden urval för publ'!$B$2:$H$2,0),FALSE),"")</f>
        <v>1.56659E-2</v>
      </c>
      <c r="J65" s="121">
        <f t="shared" si="1"/>
        <v>18</v>
      </c>
      <c r="M65" s="121">
        <v>61</v>
      </c>
      <c r="N65" s="121" t="str">
        <f t="shared" si="2"/>
        <v>LEVA i Lysekil AB</v>
      </c>
      <c r="P65" s="296">
        <f t="shared" si="3"/>
        <v>0</v>
      </c>
      <c r="Q65" s="290" t="str">
        <f t="shared" si="0"/>
        <v/>
      </c>
    </row>
    <row r="66" spans="1:17" x14ac:dyDescent="0.25">
      <c r="A66" s="121">
        <v>63</v>
      </c>
      <c r="B66" s="121" t="str">
        <f>IFERROR(INDEX('Miljövrärden urval för publ'!$A$2:$AA$419,MATCH('Miljövärden för publ företag'!$A66,'Miljövrärden urval för publ'!$R$2:$R$416,0),1),"")</f>
        <v>Eksjö Energi AB</v>
      </c>
      <c r="C66" s="121" t="str">
        <f>IFERROR(INDEX('Miljövrärden urval för publ'!$A$2:$AA$419,MATCH('Miljövärden för publ företag'!$A66,'Miljövrärden urval för publ'!$R$2:$R$416,0),2),"")</f>
        <v>Eksjö</v>
      </c>
      <c r="D66" s="121">
        <f>IFERROR(VLOOKUP($C66,'Miljövrärden urval för publ'!$B$2:$H$416,MATCH('Miljövärden för publ företag'!D$4,'Miljövrärden urval för publ'!$B$2:$H$2,0),FALSE),"")</f>
        <v>0.181143</v>
      </c>
      <c r="E66" s="121">
        <f>IFERROR(VLOOKUP($C66,'Miljövrärden urval för publ'!$B$2:$H$416,MATCH('Miljövärden för publ företag'!E$4,'Miljövrärden urval för publ'!$B$2:$H$2,0),FALSE),"")</f>
        <v>168.358</v>
      </c>
      <c r="F66" s="121">
        <f>IFERROR(VLOOKUP($C66,'Miljövrärden urval för publ'!$B$2:$H$416,MATCH('Miljövärden för publ företag'!F$4,'Miljövrärden urval för publ'!$B$2:$H$2,0),FALSE),"")</f>
        <v>5.1575499999999996</v>
      </c>
      <c r="G66" s="121">
        <f>IFERROR(VLOOKUP($C66,'Miljövrärden urval för publ'!$B$2:$H$416,MATCH('Miljövärden för publ företag'!G$4,'Miljövrärden urval för publ'!$B$2:$H$2,0),FALSE),"")</f>
        <v>1.6612700000000001E-2</v>
      </c>
      <c r="J66" s="121">
        <f t="shared" si="1"/>
        <v>19</v>
      </c>
      <c r="M66" s="121">
        <v>62</v>
      </c>
      <c r="N66" s="121" t="str">
        <f t="shared" si="2"/>
        <v>Lidköping Energi AB</v>
      </c>
      <c r="P66" s="296">
        <f t="shared" si="3"/>
        <v>0</v>
      </c>
      <c r="Q66" s="290" t="str">
        <f t="shared" si="0"/>
        <v/>
      </c>
    </row>
    <row r="67" spans="1:17" x14ac:dyDescent="0.25">
      <c r="A67" s="121">
        <v>64</v>
      </c>
      <c r="B67" s="121" t="str">
        <f>IFERROR(INDEX('Miljövrärden urval för publ'!$A$2:$AA$419,MATCH('Miljövärden för publ företag'!$A67,'Miljövrärden urval för publ'!$R$2:$R$416,0),1),"")</f>
        <v>Eksjö Energi AB</v>
      </c>
      <c r="C67" s="121" t="str">
        <f>IFERROR(INDEX('Miljövrärden urval för publ'!$A$2:$AA$419,MATCH('Miljövärden för publ företag'!$A67,'Miljövrärden urval för publ'!$R$2:$R$416,0),2),"")</f>
        <v>Ingatorp</v>
      </c>
      <c r="D67" s="121">
        <f>IFERROR(VLOOKUP($C67,'Miljövrärden urval för publ'!$B$2:$H$416,MATCH('Miljövärden för publ företag'!D$4,'Miljövrärden urval för publ'!$B$2:$H$2,0),FALSE),"")</f>
        <v>0.150257</v>
      </c>
      <c r="E67" s="121">
        <f>IFERROR(VLOOKUP($C67,'Miljövrärden urval för publ'!$B$2:$H$416,MATCH('Miljövärden för publ företag'!E$4,'Miljövrärden urval för publ'!$B$2:$H$2,0),FALSE),"")</f>
        <v>20.844899999999999</v>
      </c>
      <c r="F67" s="121">
        <f>IFERROR(VLOOKUP($C67,'Miljövrärden urval för publ'!$B$2:$H$416,MATCH('Miljövärden för publ företag'!F$4,'Miljövrärden urval för publ'!$B$2:$H$2,0),FALSE),"")</f>
        <v>10.904999999999999</v>
      </c>
      <c r="G67" s="121">
        <f>IFERROR(VLOOKUP($C67,'Miljövrärden urval för publ'!$B$2:$H$416,MATCH('Miljövärden för publ företag'!G$4,'Miljövrärden urval för publ'!$B$2:$H$2,0),FALSE),"")</f>
        <v>1.1818199999999999E-2</v>
      </c>
      <c r="J67" s="121">
        <f t="shared" si="1"/>
        <v>19</v>
      </c>
      <c r="M67" s="121">
        <v>63</v>
      </c>
      <c r="N67" s="121" t="str">
        <f t="shared" si="2"/>
        <v>Lilla Edets Fjärrvärme AB</v>
      </c>
      <c r="P67" s="296">
        <f t="shared" si="3"/>
        <v>0</v>
      </c>
      <c r="Q67" s="290" t="str">
        <f t="shared" si="0"/>
        <v/>
      </c>
    </row>
    <row r="68" spans="1:17" x14ac:dyDescent="0.25">
      <c r="A68" s="121">
        <v>65</v>
      </c>
      <c r="B68" s="121" t="str">
        <f>IFERROR(INDEX('Miljövrärden urval för publ'!$A$2:$AA$419,MATCH('Miljövärden för publ företag'!$A68,'Miljövrärden urval för publ'!$R$2:$R$416,0),1),"")</f>
        <v>Eksjö Energi AB</v>
      </c>
      <c r="C68" s="121" t="str">
        <f>IFERROR(INDEX('Miljövrärden urval för publ'!$A$2:$AA$419,MATCH('Miljövärden för publ företag'!$A68,'Miljövrärden urval för publ'!$R$2:$R$416,0),2),"")</f>
        <v>Mariannelund</v>
      </c>
      <c r="D68" s="121">
        <f>IFERROR(VLOOKUP($C68,'Miljövrärden urval för publ'!$B$2:$H$416,MATCH('Miljövärden för publ företag'!D$4,'Miljövrärden urval för publ'!$B$2:$H$2,0),FALSE),"")</f>
        <v>0.102994</v>
      </c>
      <c r="E68" s="121">
        <f>IFERROR(VLOOKUP($C68,'Miljövrärden urval för publ'!$B$2:$H$416,MATCH('Miljövärden för publ företag'!E$4,'Miljövrärden urval för publ'!$B$2:$H$2,0),FALSE),"")</f>
        <v>14.2483</v>
      </c>
      <c r="F68" s="121">
        <f>IFERROR(VLOOKUP($C68,'Miljövrärden urval för publ'!$B$2:$H$416,MATCH('Miljövärden för publ företag'!F$4,'Miljövrärden urval för publ'!$B$2:$H$2,0),FALSE),"")</f>
        <v>10.5832</v>
      </c>
      <c r="G68" s="121">
        <f>IFERROR(VLOOKUP($C68,'Miljövrärden urval för publ'!$B$2:$H$416,MATCH('Miljövärden för publ företag'!G$4,'Miljövrärden urval för publ'!$B$2:$H$2,0),FALSE),"")</f>
        <v>6.9611500000000002E-3</v>
      </c>
      <c r="J68" s="121">
        <f t="shared" si="1"/>
        <v>19</v>
      </c>
      <c r="M68" s="121">
        <v>64</v>
      </c>
      <c r="N68" s="121" t="str">
        <f t="shared" si="2"/>
        <v>Linde Energi AB</v>
      </c>
      <c r="P68" s="296">
        <f t="shared" si="3"/>
        <v>0</v>
      </c>
      <c r="Q68" s="290" t="str">
        <f t="shared" si="0"/>
        <v/>
      </c>
    </row>
    <row r="69" spans="1:17" x14ac:dyDescent="0.25">
      <c r="A69" s="121">
        <v>66</v>
      </c>
      <c r="B69" s="121" t="str">
        <f>IFERROR(INDEX('Miljövrärden urval för publ'!$A$2:$AA$419,MATCH('Miljövärden för publ företag'!$A69,'Miljövrärden urval för publ'!$R$2:$R$416,0),1),"")</f>
        <v>Emmaboda Energi och Miljö AB</v>
      </c>
      <c r="C69" s="121" t="str">
        <f>IFERROR(INDEX('Miljövrärden urval för publ'!$A$2:$AA$419,MATCH('Miljövärden för publ företag'!$A69,'Miljövrärden urval för publ'!$R$2:$R$416,0),2),"")</f>
        <v>Emmaboda</v>
      </c>
      <c r="D69" s="121">
        <f>IFERROR(VLOOKUP($C69,'Miljövrärden urval för publ'!$B$2:$H$416,MATCH('Miljövärden för publ företag'!D$4,'Miljövrärden urval för publ'!$B$2:$H$2,0),FALSE),"")</f>
        <v>0.10116</v>
      </c>
      <c r="E69" s="121">
        <f>IFERROR(VLOOKUP($C69,'Miljövrärden urval för publ'!$B$2:$H$416,MATCH('Miljövärden för publ företag'!E$4,'Miljövrärden urval för publ'!$B$2:$H$2,0),FALSE),"")</f>
        <v>9.8641000000000005</v>
      </c>
      <c r="F69" s="121">
        <f>IFERROR(VLOOKUP($C69,'Miljövrärden urval för publ'!$B$2:$H$416,MATCH('Miljövärden för publ företag'!F$4,'Miljövrärden urval för publ'!$B$2:$H$2,0),FALSE),"")</f>
        <v>9.0525599999999997</v>
      </c>
      <c r="G69" s="121">
        <f>IFERROR(VLOOKUP($C69,'Miljövrärden urval för publ'!$B$2:$H$416,MATCH('Miljövärden för publ företag'!G$4,'Miljövrärden urval för publ'!$B$2:$H$2,0),FALSE),"")</f>
        <v>1.4504100000000001E-2</v>
      </c>
      <c r="J69" s="121">
        <f t="shared" si="1"/>
        <v>20</v>
      </c>
      <c r="M69" s="121">
        <v>65</v>
      </c>
      <c r="N69" s="121" t="str">
        <f t="shared" si="2"/>
        <v>Ljungby Energi AB</v>
      </c>
      <c r="P69" s="296">
        <f t="shared" si="3"/>
        <v>0</v>
      </c>
      <c r="Q69" s="290" t="str">
        <f t="shared" ref="Q69:Q132" si="5">IF(B69=$R$2,C69,"")</f>
        <v/>
      </c>
    </row>
    <row r="70" spans="1:17" x14ac:dyDescent="0.25">
      <c r="A70" s="121">
        <v>67</v>
      </c>
      <c r="B70" s="121" t="str">
        <f>IFERROR(INDEX('Miljövrärden urval för publ'!$A$2:$AA$419,MATCH('Miljövärden för publ företag'!$A70,'Miljövrärden urval för publ'!$R$2:$R$416,0),1),"")</f>
        <v>Ena Energi AB</v>
      </c>
      <c r="C70" s="121" t="str">
        <f>IFERROR(INDEX('Miljövrärden urval för publ'!$A$2:$AA$419,MATCH('Miljövärden för publ företag'!$A70,'Miljövrärden urval för publ'!$R$2:$R$416,0),2),"")</f>
        <v>Enköping</v>
      </c>
      <c r="D70" s="121">
        <f>IFERROR(VLOOKUP($C70,'Miljövrärden urval för publ'!$B$2:$H$416,MATCH('Miljövärden för publ företag'!D$4,'Miljövrärden urval för publ'!$B$2:$H$2,0),FALSE),"")</f>
        <v>8.2742200000000002E-2</v>
      </c>
      <c r="E70" s="121">
        <f>IFERROR(VLOOKUP($C70,'Miljövrärden urval för publ'!$B$2:$H$416,MATCH('Miljövärden för publ företag'!E$4,'Miljövrärden urval för publ'!$B$2:$H$2,0),FALSE),"")</f>
        <v>9.0184800000000003</v>
      </c>
      <c r="F70" s="121">
        <f>IFERROR(VLOOKUP($C70,'Miljövrärden urval för publ'!$B$2:$H$416,MATCH('Miljövärden för publ företag'!F$4,'Miljövrärden urval för publ'!$B$2:$H$2,0),FALSE),"")</f>
        <v>5.8632600000000004</v>
      </c>
      <c r="G70" s="121">
        <f>IFERROR(VLOOKUP($C70,'Miljövrärden urval för publ'!$B$2:$H$416,MATCH('Miljövärden för publ företag'!G$4,'Miljövrärden urval för publ'!$B$2:$H$2,0),FALSE),"")</f>
        <v>4.8001700000000001E-2</v>
      </c>
      <c r="J70" s="121">
        <f t="shared" ref="J70:J133" si="6">IF(B70=B69,J69,J69+1)</f>
        <v>21</v>
      </c>
      <c r="M70" s="121">
        <v>66</v>
      </c>
      <c r="N70" s="121" t="str">
        <f t="shared" ref="N70:N133" si="7">IFERROR(INDEX($B$4:$J$487,MATCH(M70,$J$4:$J$369,0),1),"")</f>
        <v>Ljusdal Energi AB</v>
      </c>
      <c r="P70" s="296">
        <f t="shared" ref="P70:P133" si="8">IF(Q70="",P69,P69+1)</f>
        <v>0</v>
      </c>
      <c r="Q70" s="290" t="str">
        <f t="shared" si="5"/>
        <v/>
      </c>
    </row>
    <row r="71" spans="1:17" x14ac:dyDescent="0.25">
      <c r="A71" s="121">
        <v>68</v>
      </c>
      <c r="B71" s="121" t="str">
        <f>IFERROR(INDEX('Miljövrärden urval för publ'!$A$2:$AA$419,MATCH('Miljövärden för publ företag'!$A71,'Miljövrärden urval för publ'!$R$2:$R$416,0),1),"")</f>
        <v>Eskilstuna Energi &amp; Miljö AB</v>
      </c>
      <c r="C71" s="121" t="str">
        <f>IFERROR(INDEX('Miljövrärden urval för publ'!$A$2:$AA$419,MATCH('Miljövärden för publ företag'!$A71,'Miljövrärden urval för publ'!$R$2:$R$416,0),2),"")</f>
        <v>Eskilstuna-Torshälla</v>
      </c>
      <c r="D71" s="121">
        <f>IFERROR(VLOOKUP($C71,'Miljövrärden urval för publ'!$B$2:$H$416,MATCH('Miljövärden för publ företag'!D$4,'Miljövrärden urval för publ'!$B$2:$H$2,0),FALSE),"")</f>
        <v>3.6269200000000001E-2</v>
      </c>
      <c r="E71" s="121">
        <f>IFERROR(VLOOKUP($C71,'Miljövrärden urval för publ'!$B$2:$H$416,MATCH('Miljövärden för publ företag'!E$4,'Miljövrärden urval för publ'!$B$2:$H$2,0),FALSE),"")</f>
        <v>6.3342999999999998</v>
      </c>
      <c r="F71" s="121">
        <f>IFERROR(VLOOKUP($C71,'Miljövrärden urval för publ'!$B$2:$H$416,MATCH('Miljövärden för publ företag'!F$4,'Miljövrärden urval för publ'!$B$2:$H$2,0),FALSE),"")</f>
        <v>6.3712</v>
      </c>
      <c r="G71" s="121">
        <f>IFERROR(VLOOKUP($C71,'Miljövrärden urval för publ'!$B$2:$H$416,MATCH('Miljövärden för publ företag'!G$4,'Miljövrärden urval för publ'!$B$2:$H$2,0),FALSE),"")</f>
        <v>6.1148900000000004E-3</v>
      </c>
      <c r="J71" s="121">
        <f t="shared" si="6"/>
        <v>22</v>
      </c>
      <c r="M71" s="121">
        <v>67</v>
      </c>
      <c r="N71" s="121" t="str">
        <f t="shared" si="7"/>
        <v>Luleå Energi AB</v>
      </c>
      <c r="P71" s="296">
        <f t="shared" si="8"/>
        <v>0</v>
      </c>
      <c r="Q71" s="290" t="str">
        <f t="shared" si="5"/>
        <v/>
      </c>
    </row>
    <row r="72" spans="1:17" x14ac:dyDescent="0.25">
      <c r="A72" s="121">
        <v>69</v>
      </c>
      <c r="B72" s="121" t="str">
        <f>IFERROR(INDEX('Miljövrärden urval för publ'!$A$2:$AA$419,MATCH('Miljövärden för publ företag'!$A72,'Miljövrärden urval för publ'!$R$2:$R$416,0),1),"")</f>
        <v>Eskilstuna Energi &amp; Miljö AB</v>
      </c>
      <c r="C72" s="121" t="str">
        <f>IFERROR(INDEX('Miljövrärden urval för publ'!$A$2:$AA$419,MATCH('Miljövärden för publ företag'!$A72,'Miljövrärden urval för publ'!$R$2:$R$416,0),2),"")</f>
        <v>Kvicksund</v>
      </c>
      <c r="D72" s="121">
        <f>IFERROR(VLOOKUP($C72,'Miljövrärden urval för publ'!$B$2:$H$416,MATCH('Miljövärden för publ företag'!D$4,'Miljövrärden urval för publ'!$B$2:$H$2,0),FALSE),"")</f>
        <v>0.32552599999999998</v>
      </c>
      <c r="E72" s="121">
        <f>IFERROR(VLOOKUP($C72,'Miljövrärden urval för publ'!$B$2:$H$416,MATCH('Miljövärden för publ företag'!E$4,'Miljövrärden urval för publ'!$B$2:$H$2,0),FALSE),"")</f>
        <v>53.7744</v>
      </c>
      <c r="F72" s="121">
        <f>IFERROR(VLOOKUP($C72,'Miljövrärden urval för publ'!$B$2:$H$416,MATCH('Miljövärden för publ företag'!F$4,'Miljövrärden urval för publ'!$B$2:$H$2,0),FALSE),"")</f>
        <v>19.633500000000002</v>
      </c>
      <c r="G72" s="121">
        <f>IFERROR(VLOOKUP($C72,'Miljövrärden urval för publ'!$B$2:$H$416,MATCH('Miljövärden för publ företag'!G$4,'Miljövrärden urval för publ'!$B$2:$H$2,0),FALSE),"")</f>
        <v>0.13752500000000001</v>
      </c>
      <c r="J72" s="121">
        <f t="shared" si="6"/>
        <v>22</v>
      </c>
      <c r="M72" s="121">
        <v>68</v>
      </c>
      <c r="N72" s="121" t="str">
        <f t="shared" si="7"/>
        <v>Malung-Sälens kommun</v>
      </c>
      <c r="P72" s="296">
        <f t="shared" si="8"/>
        <v>0</v>
      </c>
      <c r="Q72" s="290" t="str">
        <f t="shared" si="5"/>
        <v/>
      </c>
    </row>
    <row r="73" spans="1:17" x14ac:dyDescent="0.25">
      <c r="A73" s="121">
        <v>70</v>
      </c>
      <c r="B73" s="121" t="str">
        <f>IFERROR(INDEX('Miljövrärden urval för publ'!$A$2:$AA$419,MATCH('Miljövärden för publ företag'!$A73,'Miljövrärden urval för publ'!$R$2:$R$416,0),1),"")</f>
        <v>Eskilstuna Energi &amp; Miljö AB</v>
      </c>
      <c r="C73" s="121" t="str">
        <f>IFERROR(INDEX('Miljövrärden urval för publ'!$A$2:$AA$419,MATCH('Miljövärden för publ företag'!$A73,'Miljövrärden urval för publ'!$R$2:$R$416,0),2),"")</f>
        <v>Ärla</v>
      </c>
      <c r="D73" s="121">
        <f>IFERROR(VLOOKUP($C73,'Miljövrärden urval för publ'!$B$2:$H$416,MATCH('Miljövärden för publ företag'!D$4,'Miljövrärden urval för publ'!$B$2:$H$2,0),FALSE),"")</f>
        <v>0.12388100000000001</v>
      </c>
      <c r="E73" s="121">
        <f>IFERROR(VLOOKUP($C73,'Miljövrärden urval för publ'!$B$2:$H$416,MATCH('Miljövärden för publ företag'!E$4,'Miljövrärden urval för publ'!$B$2:$H$2,0),FALSE),"")</f>
        <v>4.69916</v>
      </c>
      <c r="F73" s="121">
        <f>IFERROR(VLOOKUP($C73,'Miljövrärden urval för publ'!$B$2:$H$416,MATCH('Miljövärden för publ företag'!F$4,'Miljövrärden urval för publ'!$B$2:$H$2,0),FALSE),"")</f>
        <v>15.0808</v>
      </c>
      <c r="G73" s="121">
        <f>IFERROR(VLOOKUP($C73,'Miljövrärden urval för publ'!$B$2:$H$416,MATCH('Miljövärden för publ företag'!G$4,'Miljövrärden urval för publ'!$B$2:$H$2,0),FALSE),"")</f>
        <v>0</v>
      </c>
      <c r="J73" s="121">
        <f t="shared" si="6"/>
        <v>22</v>
      </c>
      <c r="M73" s="121">
        <v>69</v>
      </c>
      <c r="N73" s="121" t="str">
        <f t="shared" si="7"/>
        <v>Mark Kraftvärme AB</v>
      </c>
      <c r="P73" s="296">
        <f t="shared" si="8"/>
        <v>0</v>
      </c>
      <c r="Q73" s="290" t="str">
        <f t="shared" si="5"/>
        <v/>
      </c>
    </row>
    <row r="74" spans="1:17" x14ac:dyDescent="0.25">
      <c r="A74" s="121">
        <v>71</v>
      </c>
      <c r="B74" s="121" t="str">
        <f>IFERROR(INDEX('Miljövrärden urval för publ'!$A$2:$AA$419,MATCH('Miljövärden för publ företag'!$A74,'Miljövrärden urval för publ'!$R$2:$R$416,0),1),"")</f>
        <v>Falbygdens Energi AB</v>
      </c>
      <c r="C74" s="121" t="str">
        <f>IFERROR(INDEX('Miljövrärden urval för publ'!$A$2:$AA$419,MATCH('Miljövärden för publ företag'!$A74,'Miljövrärden urval för publ'!$R$2:$R$416,0),2),"")</f>
        <v>Falköping</v>
      </c>
      <c r="D74" s="121">
        <f>IFERROR(VLOOKUP($C74,'Miljövrärden urval för publ'!$B$2:$H$416,MATCH('Miljövärden för publ företag'!D$4,'Miljövrärden urval för publ'!$B$2:$H$2,0),FALSE),"")</f>
        <v>7.1390700000000001E-2</v>
      </c>
      <c r="E74" s="121">
        <f>IFERROR(VLOOKUP($C74,'Miljövrärden urval för publ'!$B$2:$H$416,MATCH('Miljövärden för publ företag'!E$4,'Miljövrärden urval för publ'!$B$2:$H$2,0),FALSE),"")</f>
        <v>4.3940999999999999</v>
      </c>
      <c r="F74" s="121">
        <f>IFERROR(VLOOKUP($C74,'Miljövrärden urval för publ'!$B$2:$H$416,MATCH('Miljövärden för publ företag'!F$4,'Miljövrärden urval för publ'!$B$2:$H$2,0),FALSE),"")</f>
        <v>7.9763700000000002</v>
      </c>
      <c r="G74" s="121">
        <f>IFERROR(VLOOKUP($C74,'Miljövrärden urval för publ'!$B$2:$H$416,MATCH('Miljövärden för publ företag'!G$4,'Miljövrärden urval för publ'!$B$2:$H$2,0),FALSE),"")</f>
        <v>0</v>
      </c>
      <c r="J74" s="121">
        <f t="shared" si="6"/>
        <v>23</v>
      </c>
      <c r="M74" s="121">
        <v>70</v>
      </c>
      <c r="N74" s="121" t="str">
        <f t="shared" si="7"/>
        <v>Mjölby-Svartådalen Energi AB</v>
      </c>
      <c r="P74" s="296">
        <f t="shared" si="8"/>
        <v>0</v>
      </c>
      <c r="Q74" s="290" t="str">
        <f t="shared" si="5"/>
        <v/>
      </c>
    </row>
    <row r="75" spans="1:17" x14ac:dyDescent="0.25">
      <c r="A75" s="121">
        <v>72</v>
      </c>
      <c r="B75" s="121" t="str">
        <f>IFERROR(INDEX('Miljövrärden urval för publ'!$A$2:$AA$419,MATCH('Miljövärden för publ företag'!$A75,'Miljövrärden urval för publ'!$R$2:$R$416,0),1),"")</f>
        <v>Falbygdens Energi AB</v>
      </c>
      <c r="C75" s="121" t="str">
        <f>IFERROR(INDEX('Miljövrärden urval för publ'!$A$2:$AA$419,MATCH('Miljövärden för publ företag'!$A75,'Miljövrärden urval för publ'!$R$2:$R$416,0),2),"")</f>
        <v>Floby</v>
      </c>
      <c r="D75" s="121">
        <f>IFERROR(VLOOKUP($C75,'Miljövrärden urval för publ'!$B$2:$H$416,MATCH('Miljövärden för publ företag'!D$4,'Miljövrärden urval för publ'!$B$2:$H$2,0),FALSE),"")</f>
        <v>0.134884</v>
      </c>
      <c r="E75" s="121">
        <f>IFERROR(VLOOKUP($C75,'Miljövrärden urval för publ'!$B$2:$H$416,MATCH('Miljövärden för publ företag'!E$4,'Miljövrärden urval för publ'!$B$2:$H$2,0),FALSE),"")</f>
        <v>4.5120199999999997</v>
      </c>
      <c r="F75" s="121">
        <f>IFERROR(VLOOKUP($C75,'Miljövrärden urval för publ'!$B$2:$H$416,MATCH('Miljövärden för publ företag'!F$4,'Miljövrärden urval för publ'!$B$2:$H$2,0),FALSE),"")</f>
        <v>15.607699999999999</v>
      </c>
      <c r="G75" s="121">
        <f>IFERROR(VLOOKUP($C75,'Miljövrärden urval för publ'!$B$2:$H$416,MATCH('Miljövärden för publ företag'!G$4,'Miljövrärden urval för publ'!$B$2:$H$2,0),FALSE),"")</f>
        <v>0</v>
      </c>
      <c r="J75" s="121">
        <f t="shared" si="6"/>
        <v>23</v>
      </c>
      <c r="M75" s="121">
        <v>71</v>
      </c>
      <c r="N75" s="121" t="str">
        <f t="shared" si="7"/>
        <v>Mullsjö Energi &amp; Miljö AB</v>
      </c>
      <c r="P75" s="296">
        <f t="shared" si="8"/>
        <v>0</v>
      </c>
      <c r="Q75" s="290" t="str">
        <f t="shared" si="5"/>
        <v/>
      </c>
    </row>
    <row r="76" spans="1:17" x14ac:dyDescent="0.25">
      <c r="A76" s="121">
        <v>73</v>
      </c>
      <c r="B76" s="121" t="str">
        <f>IFERROR(INDEX('Miljövrärden urval för publ'!$A$2:$AA$419,MATCH('Miljövärden för publ företag'!$A76,'Miljövrärden urval för publ'!$R$2:$R$416,0),1),"")</f>
        <v>Falbygdens Energi AB</v>
      </c>
      <c r="C76" s="121" t="str">
        <f>IFERROR(INDEX('Miljövrärden urval för publ'!$A$2:$AA$419,MATCH('Miljövärden för publ företag'!$A76,'Miljövrärden urval för publ'!$R$2:$R$416,0),2),"")</f>
        <v>Stenstorp</v>
      </c>
      <c r="D76" s="121">
        <f>IFERROR(VLOOKUP($C76,'Miljövrärden urval för publ'!$B$2:$H$416,MATCH('Miljövärden för publ företag'!D$4,'Miljövrärden urval för publ'!$B$2:$H$2,0),FALSE),"")</f>
        <v>0.39779799999999998</v>
      </c>
      <c r="E76" s="121">
        <f>IFERROR(VLOOKUP($C76,'Miljövrärden urval för publ'!$B$2:$H$416,MATCH('Miljövärden för publ företag'!E$4,'Miljövrärden urval för publ'!$B$2:$H$2,0),FALSE),"")</f>
        <v>5.4165900000000002</v>
      </c>
      <c r="F76" s="121">
        <f>IFERROR(VLOOKUP($C76,'Miljövrärden urval för publ'!$B$2:$H$416,MATCH('Miljövärden för publ företag'!F$4,'Miljövrärden urval för publ'!$B$2:$H$2,0),FALSE),"")</f>
        <v>14.4337</v>
      </c>
      <c r="G76" s="121">
        <f>IFERROR(VLOOKUP($C76,'Miljövrärden urval för publ'!$B$2:$H$416,MATCH('Miljövärden för publ företag'!G$4,'Miljövrärden urval för publ'!$B$2:$H$2,0),FALSE),"")</f>
        <v>0</v>
      </c>
      <c r="J76" s="121">
        <f t="shared" si="6"/>
        <v>23</v>
      </c>
      <c r="M76" s="121">
        <v>72</v>
      </c>
      <c r="N76" s="121" t="str">
        <f t="shared" si="7"/>
        <v>Mälarenergi AB</v>
      </c>
      <c r="P76" s="296">
        <f t="shared" si="8"/>
        <v>0</v>
      </c>
      <c r="Q76" s="290" t="str">
        <f t="shared" si="5"/>
        <v/>
      </c>
    </row>
    <row r="77" spans="1:17" x14ac:dyDescent="0.25">
      <c r="A77" s="121">
        <v>74</v>
      </c>
      <c r="B77" s="121" t="str">
        <f>IFERROR(INDEX('Miljövrärden urval för publ'!$A$2:$AA$419,MATCH('Miljövärden för publ företag'!$A77,'Miljövrärden urval för publ'!$R$2:$R$416,0),1),"")</f>
        <v>Falkenberg Energi AB</v>
      </c>
      <c r="C77" s="121" t="str">
        <f>IFERROR(INDEX('Miljövrärden urval för publ'!$A$2:$AA$419,MATCH('Miljövärden för publ företag'!$A77,'Miljövrärden urval för publ'!$R$2:$R$416,0),2),"")</f>
        <v>Falkenberg</v>
      </c>
      <c r="D77" s="121">
        <f>IFERROR(VLOOKUP($C77,'Miljövrärden urval för publ'!$B$2:$H$416,MATCH('Miljövärden för publ företag'!D$4,'Miljövrärden urval för publ'!$B$2:$H$2,0),FALSE),"")</f>
        <v>7.4481699999999998E-2</v>
      </c>
      <c r="E77" s="121">
        <f>IFERROR(VLOOKUP($C77,'Miljövrärden urval för publ'!$B$2:$H$416,MATCH('Miljövärden för publ företag'!E$4,'Miljövrärden urval för publ'!$B$2:$H$2,0),FALSE),"")</f>
        <v>6.91092</v>
      </c>
      <c r="F77" s="121">
        <f>IFERROR(VLOOKUP($C77,'Miljövrärden urval för publ'!$B$2:$H$416,MATCH('Miljövärden för publ företag'!F$4,'Miljövrärden urval för publ'!$B$2:$H$2,0),FALSE),"")</f>
        <v>8.7785799999999998</v>
      </c>
      <c r="G77" s="121">
        <f>IFERROR(VLOOKUP($C77,'Miljövrärden urval för publ'!$B$2:$H$416,MATCH('Miljövärden för publ företag'!G$4,'Miljövrärden urval för publ'!$B$2:$H$2,0),FALSE),"")</f>
        <v>6.5320200000000004E-3</v>
      </c>
      <c r="J77" s="121">
        <f t="shared" si="6"/>
        <v>24</v>
      </c>
      <c r="M77" s="121">
        <v>73</v>
      </c>
      <c r="N77" s="121" t="str">
        <f t="shared" si="7"/>
        <v>Mölndal Energi AB</v>
      </c>
      <c r="P77" s="296">
        <f t="shared" si="8"/>
        <v>0</v>
      </c>
      <c r="Q77" s="290" t="str">
        <f t="shared" si="5"/>
        <v/>
      </c>
    </row>
    <row r="78" spans="1:17" x14ac:dyDescent="0.25">
      <c r="A78" s="121">
        <v>75</v>
      </c>
      <c r="B78" s="121" t="str">
        <f>IFERROR(INDEX('Miljövrärden urval för publ'!$A$2:$AA$419,MATCH('Miljövärden för publ företag'!$A78,'Miljövrärden urval för publ'!$R$2:$R$416,0),1),"")</f>
        <v>Falkenberg Energi AB</v>
      </c>
      <c r="C78" s="121" t="str">
        <f>IFERROR(INDEX('Miljövrärden urval för publ'!$A$2:$AA$419,MATCH('Miljövärden för publ företag'!$A78,'Miljövrärden urval för publ'!$R$2:$R$416,0),2),"")</f>
        <v>Ullared-närvärme</v>
      </c>
      <c r="D78" s="121">
        <f>IFERROR(VLOOKUP($C78,'Miljövrärden urval för publ'!$B$2:$H$416,MATCH('Miljövärden för publ företag'!D$4,'Miljövrärden urval för publ'!$B$2:$H$2,0),FALSE),"")</f>
        <v>0.16744100000000001</v>
      </c>
      <c r="E78" s="121">
        <f>IFERROR(VLOOKUP($C78,'Miljövrärden urval för publ'!$B$2:$H$416,MATCH('Miljövärden för publ företag'!E$4,'Miljövrärden urval för publ'!$B$2:$H$2,0),FALSE),"")</f>
        <v>8.0567700000000002</v>
      </c>
      <c r="F78" s="121">
        <f>IFERROR(VLOOKUP($C78,'Miljövrärden urval för publ'!$B$2:$H$416,MATCH('Miljövärden för publ företag'!F$4,'Miljövrärden urval för publ'!$B$2:$H$2,0),FALSE),"")</f>
        <v>17.798100000000002</v>
      </c>
      <c r="G78" s="121">
        <f>IFERROR(VLOOKUP($C78,'Miljövrärden urval för publ'!$B$2:$H$416,MATCH('Miljövärden för publ företag'!G$4,'Miljövrärden urval för publ'!$B$2:$H$2,0),FALSE),"")</f>
        <v>8.83281E-3</v>
      </c>
      <c r="J78" s="121">
        <f t="shared" si="6"/>
        <v>24</v>
      </c>
      <c r="M78" s="121">
        <v>74</v>
      </c>
      <c r="N78" s="121" t="str">
        <f t="shared" si="7"/>
        <v>Neova AB</v>
      </c>
      <c r="P78" s="296">
        <f t="shared" si="8"/>
        <v>0</v>
      </c>
      <c r="Q78" s="290" t="str">
        <f t="shared" si="5"/>
        <v/>
      </c>
    </row>
    <row r="79" spans="1:17" x14ac:dyDescent="0.25">
      <c r="A79" s="121">
        <v>76</v>
      </c>
      <c r="B79" s="121" t="str">
        <f>IFERROR(INDEX('Miljövrärden urval för publ'!$A$2:$AA$419,MATCH('Miljövärden för publ företag'!$A79,'Miljövrärden urval för publ'!$R$2:$R$416,0),1),"")</f>
        <v>Falkenberg Energi AB</v>
      </c>
      <c r="C79" s="121" t="str">
        <f>IFERROR(INDEX('Miljövrärden urval för publ'!$A$2:$AA$419,MATCH('Miljövärden för publ företag'!$A79,'Miljövrärden urval för publ'!$R$2:$R$416,0),2),"")</f>
        <v>Vessigebro-närvärme</v>
      </c>
      <c r="D79" s="121">
        <f>IFERROR(VLOOKUP($C79,'Miljövrärden urval för publ'!$B$2:$H$416,MATCH('Miljövärden för publ företag'!D$4,'Miljövrärden urval för publ'!$B$2:$H$2,0),FALSE),"")</f>
        <v>0.24005799999999999</v>
      </c>
      <c r="E79" s="121">
        <f>IFERROR(VLOOKUP($C79,'Miljövrärden urval för publ'!$B$2:$H$416,MATCH('Miljövärden för publ företag'!E$4,'Miljövrärden urval för publ'!$B$2:$H$2,0),FALSE),"")</f>
        <v>27.284300000000002</v>
      </c>
      <c r="F79" s="121">
        <f>IFERROR(VLOOKUP($C79,'Miljövrärden urval för publ'!$B$2:$H$416,MATCH('Miljövärden för publ företag'!F$4,'Miljövrärden urval för publ'!$B$2:$H$2,0),FALSE),"")</f>
        <v>18.1416</v>
      </c>
      <c r="G79" s="121">
        <f>IFERROR(VLOOKUP($C79,'Miljövrärden urval för publ'!$B$2:$H$416,MATCH('Miljövärden för publ företag'!G$4,'Miljövrärden urval för publ'!$B$2:$H$2,0),FALSE),"")</f>
        <v>6.6927E-2</v>
      </c>
      <c r="J79" s="121">
        <f t="shared" si="6"/>
        <v>24</v>
      </c>
      <c r="M79" s="121">
        <v>75</v>
      </c>
      <c r="N79" s="121" t="str">
        <f t="shared" si="7"/>
        <v>Njudung Energi Sävsjö AB</v>
      </c>
      <c r="P79" s="296">
        <f t="shared" si="8"/>
        <v>0</v>
      </c>
      <c r="Q79" s="290" t="str">
        <f t="shared" si="5"/>
        <v/>
      </c>
    </row>
    <row r="80" spans="1:17" x14ac:dyDescent="0.25">
      <c r="A80" s="121">
        <v>77</v>
      </c>
      <c r="B80" s="121" t="str">
        <f>IFERROR(INDEX('Miljövrärden urval för publ'!$A$2:$AA$419,MATCH('Miljövärden för publ företag'!$A80,'Miljövrärden urval för publ'!$R$2:$R$416,0),1),"")</f>
        <v>Falu Energi &amp; Vatten AB</v>
      </c>
      <c r="C80" s="121" t="str">
        <f>IFERROR(INDEX('Miljövrärden urval för publ'!$A$2:$AA$419,MATCH('Miljövärden för publ företag'!$A80,'Miljövrärden urval för publ'!$R$2:$R$416,0),2),"")</f>
        <v>Bjursås</v>
      </c>
      <c r="D80" s="121">
        <f>IFERROR(VLOOKUP($C80,'Miljövrärden urval för publ'!$B$2:$H$416,MATCH('Miljövärden för publ företag'!D$4,'Miljövrärden urval för publ'!$B$2:$H$2,0),FALSE),"")</f>
        <v>0.20041500000000001</v>
      </c>
      <c r="E80" s="121">
        <f>IFERROR(VLOOKUP($C80,'Miljövrärden urval för publ'!$B$2:$H$416,MATCH('Miljövärden för publ företag'!E$4,'Miljövrärden urval för publ'!$B$2:$H$2,0),FALSE),"")</f>
        <v>7.2646899999999999</v>
      </c>
      <c r="F80" s="121">
        <f>IFERROR(VLOOKUP($C80,'Miljövrärden urval för publ'!$B$2:$H$416,MATCH('Miljövärden för publ företag'!F$4,'Miljövrärden urval för publ'!$B$2:$H$2,0),FALSE),"")</f>
        <v>21.969799999999999</v>
      </c>
      <c r="G80" s="121">
        <f>IFERROR(VLOOKUP($C80,'Miljövrärden urval för publ'!$B$2:$H$416,MATCH('Miljövärden för publ företag'!G$4,'Miljövrärden urval för publ'!$B$2:$H$2,0),FALSE),"")</f>
        <v>2.38338E-3</v>
      </c>
      <c r="J80" s="121">
        <f t="shared" si="6"/>
        <v>25</v>
      </c>
      <c r="M80" s="121">
        <v>76</v>
      </c>
      <c r="N80" s="121" t="str">
        <f t="shared" si="7"/>
        <v>Njudung Energi Vetlanda AB</v>
      </c>
      <c r="P80" s="296">
        <f t="shared" si="8"/>
        <v>0</v>
      </c>
      <c r="Q80" s="290" t="str">
        <f t="shared" si="5"/>
        <v/>
      </c>
    </row>
    <row r="81" spans="1:17" x14ac:dyDescent="0.25">
      <c r="A81" s="121">
        <v>78</v>
      </c>
      <c r="B81" s="121" t="str">
        <f>IFERROR(INDEX('Miljövrärden urval för publ'!$A$2:$AA$419,MATCH('Miljövärden för publ företag'!$A81,'Miljövrärden urval för publ'!$R$2:$R$416,0),1),"")</f>
        <v>Falu Energi &amp; Vatten AB</v>
      </c>
      <c r="C81" s="121" t="str">
        <f>IFERROR(INDEX('Miljövrärden urval för publ'!$A$2:$AA$419,MATCH('Miljövärden för publ företag'!$A81,'Miljövrärden urval för publ'!$R$2:$R$416,0),2),"")</f>
        <v>Falun</v>
      </c>
      <c r="D81" s="121">
        <f>IFERROR(VLOOKUP($C81,'Miljövrärden urval för publ'!$B$2:$H$416,MATCH('Miljövärden för publ företag'!D$4,'Miljövrärden urval för publ'!$B$2:$H$2,0),FALSE),"")</f>
        <v>9.7938999999999998E-2</v>
      </c>
      <c r="E81" s="121">
        <f>IFERROR(VLOOKUP($C81,'Miljövrärden urval för publ'!$B$2:$H$416,MATCH('Miljövärden för publ företag'!E$4,'Miljövrärden urval för publ'!$B$2:$H$2,0),FALSE),"")</f>
        <v>10.870200000000001</v>
      </c>
      <c r="F81" s="121">
        <f>IFERROR(VLOOKUP($C81,'Miljövrärden urval för publ'!$B$2:$H$416,MATCH('Miljövärden för publ företag'!F$4,'Miljövrärden urval för publ'!$B$2:$H$2,0),FALSE),"")</f>
        <v>6.1179699999999997</v>
      </c>
      <c r="G81" s="121">
        <f>IFERROR(VLOOKUP($C81,'Miljövrärden urval för publ'!$B$2:$H$416,MATCH('Miljövärden för publ företag'!G$4,'Miljövrärden urval för publ'!$B$2:$H$2,0),FALSE),"")</f>
        <v>2.1941800000000001E-2</v>
      </c>
      <c r="J81" s="121">
        <f t="shared" si="6"/>
        <v>25</v>
      </c>
      <c r="M81" s="121">
        <v>77</v>
      </c>
      <c r="N81" s="121" t="str">
        <f t="shared" si="7"/>
        <v>Norrenergi AB</v>
      </c>
      <c r="P81" s="296">
        <f t="shared" si="8"/>
        <v>0</v>
      </c>
      <c r="Q81" s="290" t="str">
        <f t="shared" si="5"/>
        <v/>
      </c>
    </row>
    <row r="82" spans="1:17" x14ac:dyDescent="0.25">
      <c r="A82" s="121">
        <v>79</v>
      </c>
      <c r="B82" s="121" t="str">
        <f>IFERROR(INDEX('Miljövrärden urval för publ'!$A$2:$AA$419,MATCH('Miljövärden för publ företag'!$A82,'Miljövrärden urval för publ'!$R$2:$R$416,0),1),"")</f>
        <v>Falu Energi &amp; Vatten AB</v>
      </c>
      <c r="C82" s="121" t="str">
        <f>IFERROR(INDEX('Miljövrärden urval för publ'!$A$2:$AA$419,MATCH('Miljövärden för publ företag'!$A82,'Miljövrärden urval för publ'!$R$2:$R$416,0),2),"")</f>
        <v>Grycksbo</v>
      </c>
      <c r="D82" s="121">
        <f>IFERROR(VLOOKUP($C82,'Miljövrärden urval för publ'!$B$2:$H$416,MATCH('Miljövärden för publ företag'!D$4,'Miljövrärden urval för publ'!$B$2:$H$2,0),FALSE),"")</f>
        <v>0.14856</v>
      </c>
      <c r="E82" s="121">
        <f>IFERROR(VLOOKUP($C82,'Miljövrärden urval för publ'!$B$2:$H$416,MATCH('Miljövärden för publ företag'!E$4,'Miljövrärden urval för publ'!$B$2:$H$2,0),FALSE),"")</f>
        <v>8.9492899999999995</v>
      </c>
      <c r="F82" s="121">
        <f>IFERROR(VLOOKUP($C82,'Miljövrärden urval för publ'!$B$2:$H$416,MATCH('Miljövärden för publ företag'!F$4,'Miljövrärden urval för publ'!$B$2:$H$2,0),FALSE),"")</f>
        <v>14.6004</v>
      </c>
      <c r="G82" s="121">
        <f>IFERROR(VLOOKUP($C82,'Miljövrärden urval för publ'!$B$2:$H$416,MATCH('Miljövärden för publ företag'!G$4,'Miljövrärden urval för publ'!$B$2:$H$2,0),FALSE),"")</f>
        <v>1.74927E-2</v>
      </c>
      <c r="J82" s="121">
        <f t="shared" si="6"/>
        <v>25</v>
      </c>
      <c r="M82" s="121">
        <v>78</v>
      </c>
      <c r="N82" s="121" t="str">
        <f t="shared" si="7"/>
        <v>Norrtälje Energi AB</v>
      </c>
      <c r="P82" s="296">
        <f t="shared" si="8"/>
        <v>0</v>
      </c>
      <c r="Q82" s="290" t="str">
        <f t="shared" si="5"/>
        <v/>
      </c>
    </row>
    <row r="83" spans="1:17" x14ac:dyDescent="0.25">
      <c r="A83" s="121">
        <v>80</v>
      </c>
      <c r="B83" s="121" t="str">
        <f>IFERROR(INDEX('Miljövrärden urval för publ'!$A$2:$AA$419,MATCH('Miljövärden för publ företag'!$A83,'Miljövrärden urval för publ'!$R$2:$R$416,0),1),"")</f>
        <v>Falu Energi &amp; Vatten AB</v>
      </c>
      <c r="C83" s="121" t="str">
        <f>IFERROR(INDEX('Miljövrärden urval för publ'!$A$2:$AA$419,MATCH('Miljövärden för publ företag'!$A83,'Miljövrärden urval för publ'!$R$2:$R$416,0),2),"")</f>
        <v>Svärdsjö</v>
      </c>
      <c r="D83" s="121">
        <f>IFERROR(VLOOKUP($C83,'Miljövrärden urval för publ'!$B$2:$H$416,MATCH('Miljövärden för publ företag'!D$4,'Miljövrärden urval för publ'!$B$2:$H$2,0),FALSE),"")</f>
        <v>0.17438500000000001</v>
      </c>
      <c r="E83" s="121">
        <f>IFERROR(VLOOKUP($C83,'Miljövrärden urval för publ'!$B$2:$H$416,MATCH('Miljövärden för publ företag'!E$4,'Miljövrärden urval för publ'!$B$2:$H$2,0),FALSE),"")</f>
        <v>7.5</v>
      </c>
      <c r="F83" s="121">
        <f>IFERROR(VLOOKUP($C83,'Miljövrärden urval för publ'!$B$2:$H$416,MATCH('Miljövärden för publ företag'!F$4,'Miljövrärden urval för publ'!$B$2:$H$2,0),FALSE),"")</f>
        <v>16.864799999999999</v>
      </c>
      <c r="G83" s="121">
        <f>IFERROR(VLOOKUP($C83,'Miljövrärden urval för publ'!$B$2:$H$416,MATCH('Miljövärden för publ företag'!G$4,'Miljövrärden urval för publ'!$B$2:$H$2,0),FALSE),"")</f>
        <v>8.3963100000000006E-3</v>
      </c>
      <c r="J83" s="121">
        <f t="shared" si="6"/>
        <v>25</v>
      </c>
      <c r="M83" s="121">
        <v>79</v>
      </c>
      <c r="N83" s="121" t="str">
        <f t="shared" si="7"/>
        <v>Nossebro Energi Värme AB</v>
      </c>
      <c r="P83" s="296">
        <f t="shared" si="8"/>
        <v>0</v>
      </c>
      <c r="Q83" s="290" t="str">
        <f t="shared" si="5"/>
        <v/>
      </c>
    </row>
    <row r="84" spans="1:17" x14ac:dyDescent="0.25">
      <c r="A84" s="121">
        <v>81</v>
      </c>
      <c r="B84" s="121" t="str">
        <f>IFERROR(INDEX('Miljövrärden urval för publ'!$A$2:$AA$419,MATCH('Miljövärden för publ företag'!$A84,'Miljövrärden urval för publ'!$R$2:$R$416,0),1),"")</f>
        <v>Finspångs Tekniska Verk AB</v>
      </c>
      <c r="C84" s="121" t="str">
        <f>IFERROR(INDEX('Miljövrärden urval för publ'!$A$2:$AA$419,MATCH('Miljövärden för publ företag'!$A84,'Miljövrärden urval för publ'!$R$2:$R$416,0),2),"")</f>
        <v>Finspång</v>
      </c>
      <c r="D84" s="121">
        <f>IFERROR(VLOOKUP($C84,'Miljövrärden urval för publ'!$B$2:$H$416,MATCH('Miljövärden för publ företag'!D$4,'Miljövrärden urval för publ'!$B$2:$H$2,0),FALSE),"")</f>
        <v>0.134879</v>
      </c>
      <c r="E84" s="121">
        <f>IFERROR(VLOOKUP($C84,'Miljövrärden urval för publ'!$B$2:$H$416,MATCH('Miljövärden för publ företag'!E$4,'Miljövrärden urval för publ'!$B$2:$H$2,0),FALSE),"")</f>
        <v>107.464</v>
      </c>
      <c r="F84" s="121">
        <f>IFERROR(VLOOKUP($C84,'Miljövrärden urval för publ'!$B$2:$H$416,MATCH('Miljövärden för publ företag'!F$4,'Miljövrärden urval för publ'!$B$2:$H$2,0),FALSE),"")</f>
        <v>6.0495299999999999</v>
      </c>
      <c r="G84" s="121">
        <f>IFERROR(VLOOKUP($C84,'Miljövrärden urval för publ'!$B$2:$H$416,MATCH('Miljövärden för publ företag'!G$4,'Miljövrärden urval för publ'!$B$2:$H$2,0),FALSE),"")</f>
        <v>3.3760999999999999E-2</v>
      </c>
      <c r="J84" s="121">
        <f t="shared" si="6"/>
        <v>26</v>
      </c>
      <c r="M84" s="121">
        <v>80</v>
      </c>
      <c r="N84" s="121" t="str">
        <f t="shared" si="7"/>
        <v>Nybro Energi AB</v>
      </c>
      <c r="P84" s="296">
        <f t="shared" si="8"/>
        <v>0</v>
      </c>
      <c r="Q84" s="290" t="str">
        <f t="shared" si="5"/>
        <v/>
      </c>
    </row>
    <row r="85" spans="1:17" x14ac:dyDescent="0.25">
      <c r="A85" s="121">
        <v>82</v>
      </c>
      <c r="B85" s="121" t="str">
        <f>IFERROR(INDEX('Miljövrärden urval för publ'!$A$2:$AA$419,MATCH('Miljövärden för publ företag'!$A85,'Miljövrärden urval för publ'!$R$2:$R$416,0),1),"")</f>
        <v>Gislaved Energi AB</v>
      </c>
      <c r="C85" s="121" t="str">
        <f>IFERROR(INDEX('Miljövrärden urval för publ'!$A$2:$AA$419,MATCH('Miljövärden för publ företag'!$A85,'Miljövrärden urval för publ'!$R$2:$R$416,0),2),"")</f>
        <v>Gislaved</v>
      </c>
      <c r="D85" s="121">
        <f>IFERROR(VLOOKUP($C85,'Miljövrärden urval för publ'!$B$2:$H$416,MATCH('Miljövärden för publ företag'!D$4,'Miljövrärden urval för publ'!$B$2:$H$2,0),FALSE),"")</f>
        <v>9.6941799999999995E-2</v>
      </c>
      <c r="E85" s="121">
        <f>IFERROR(VLOOKUP($C85,'Miljövrärden urval för publ'!$B$2:$H$416,MATCH('Miljövärden för publ företag'!E$4,'Miljövrärden urval för publ'!$B$2:$H$2,0),FALSE),"")</f>
        <v>9.2079500000000003</v>
      </c>
      <c r="F85" s="121">
        <f>IFERROR(VLOOKUP($C85,'Miljövrärden urval för publ'!$B$2:$H$416,MATCH('Miljövärden för publ företag'!F$4,'Miljövrärden urval för publ'!$B$2:$H$2,0),FALSE),"")</f>
        <v>8.7159200000000006</v>
      </c>
      <c r="G85" s="121">
        <f>IFERROR(VLOOKUP($C85,'Miljövrärden urval för publ'!$B$2:$H$416,MATCH('Miljövärden för publ företag'!G$4,'Miljövrärden urval för publ'!$B$2:$H$2,0),FALSE),"")</f>
        <v>1.49693E-2</v>
      </c>
      <c r="J85" s="121">
        <f t="shared" si="6"/>
        <v>27</v>
      </c>
      <c r="M85" s="121">
        <v>81</v>
      </c>
      <c r="N85" s="121" t="str">
        <f t="shared" si="7"/>
        <v>Nässjö Affärsverk AB</v>
      </c>
      <c r="P85" s="296">
        <f t="shared" si="8"/>
        <v>0</v>
      </c>
      <c r="Q85" s="290" t="str">
        <f t="shared" si="5"/>
        <v/>
      </c>
    </row>
    <row r="86" spans="1:17" x14ac:dyDescent="0.25">
      <c r="A86" s="121">
        <v>83</v>
      </c>
      <c r="B86" s="121" t="str">
        <f>IFERROR(INDEX('Miljövrärden urval för publ'!$A$2:$AA$419,MATCH('Miljövärden för publ företag'!$A86,'Miljövrärden urval för publ'!$R$2:$R$416,0),1),"")</f>
        <v>Gislaved Energi AB</v>
      </c>
      <c r="C86" s="121" t="str">
        <f>IFERROR(INDEX('Miljövrärden urval för publ'!$A$2:$AA$419,MATCH('Miljövärden för publ företag'!$A86,'Miljövrärden urval för publ'!$R$2:$R$416,0),2),"")</f>
        <v>Hestra</v>
      </c>
      <c r="D86" s="121">
        <f>IFERROR(VLOOKUP($C86,'Miljövrärden urval för publ'!$B$2:$H$416,MATCH('Miljövärden för publ företag'!D$4,'Miljövrärden urval för publ'!$B$2:$H$2,0),FALSE),"")</f>
        <v>0.10960399999999999</v>
      </c>
      <c r="E86" s="121">
        <f>IFERROR(VLOOKUP($C86,'Miljövrärden urval för publ'!$B$2:$H$416,MATCH('Miljövärden för publ företag'!E$4,'Miljövrärden urval för publ'!$B$2:$H$2,0),FALSE),"")</f>
        <v>15.2896</v>
      </c>
      <c r="F86" s="121">
        <f>IFERROR(VLOOKUP($C86,'Miljövrärden urval för publ'!$B$2:$H$416,MATCH('Miljövärden för publ företag'!F$4,'Miljövrärden urval för publ'!$B$2:$H$2,0),FALSE),"")</f>
        <v>9.4742599999999992</v>
      </c>
      <c r="G86" s="121">
        <f>IFERROR(VLOOKUP($C86,'Miljövrärden urval för publ'!$B$2:$H$416,MATCH('Miljövärden för publ företag'!G$4,'Miljövrärden urval för publ'!$B$2:$H$2,0),FALSE),"")</f>
        <v>9.3244E-3</v>
      </c>
      <c r="J86" s="121">
        <f t="shared" si="6"/>
        <v>27</v>
      </c>
      <c r="M86" s="121">
        <v>82</v>
      </c>
      <c r="N86" s="121" t="str">
        <f t="shared" si="7"/>
        <v>Olofströms Kraft AB</v>
      </c>
      <c r="P86" s="296">
        <f t="shared" si="8"/>
        <v>0</v>
      </c>
      <c r="Q86" s="290" t="str">
        <f t="shared" si="5"/>
        <v/>
      </c>
    </row>
    <row r="87" spans="1:17" x14ac:dyDescent="0.25">
      <c r="A87" s="121">
        <v>84</v>
      </c>
      <c r="B87" s="121" t="str">
        <f>IFERROR(INDEX('Miljövrärden urval för publ'!$A$2:$AA$419,MATCH('Miljövärden för publ företag'!$A87,'Miljövrärden urval för publ'!$R$2:$R$416,0),1),"")</f>
        <v>Gislaved Energi AB</v>
      </c>
      <c r="C87" s="121" t="str">
        <f>IFERROR(INDEX('Miljövrärden urval för publ'!$A$2:$AA$419,MATCH('Miljövärden för publ företag'!$A87,'Miljövrärden urval för publ'!$R$2:$R$416,0),2),"")</f>
        <v>Reftele</v>
      </c>
      <c r="D87" s="121">
        <f>IFERROR(VLOOKUP($C87,'Miljövrärden urval för publ'!$B$2:$H$416,MATCH('Miljövärden för publ företag'!D$4,'Miljövrärden urval för publ'!$B$2:$H$2,0),FALSE),"")</f>
        <v>0.36199999999999999</v>
      </c>
      <c r="E87" s="121">
        <f>IFERROR(VLOOKUP($C87,'Miljövrärden urval för publ'!$B$2:$H$416,MATCH('Miljövärden för publ företag'!E$4,'Miljövrärden urval för publ'!$B$2:$H$2,0),FALSE),"")</f>
        <v>3.6863100000000002</v>
      </c>
      <c r="F87" s="121">
        <f>IFERROR(VLOOKUP($C87,'Miljövrärden urval för publ'!$B$2:$H$416,MATCH('Miljövärden för publ företag'!F$4,'Miljövrärden urval för publ'!$B$2:$H$2,0),FALSE),"")</f>
        <v>12.902100000000001</v>
      </c>
      <c r="G87" s="121">
        <f>IFERROR(VLOOKUP($C87,'Miljövrärden urval för publ'!$B$2:$H$416,MATCH('Miljövärden för publ företag'!G$4,'Miljövrärden urval för publ'!$B$2:$H$2,0),FALSE),"")</f>
        <v>0</v>
      </c>
      <c r="J87" s="121">
        <f t="shared" si="6"/>
        <v>27</v>
      </c>
      <c r="M87" s="121">
        <v>83</v>
      </c>
      <c r="N87" s="121" t="str">
        <f t="shared" si="7"/>
        <v>Oskarshamn Energi AB</v>
      </c>
      <c r="P87" s="296">
        <f t="shared" si="8"/>
        <v>0</v>
      </c>
      <c r="Q87" s="290" t="str">
        <f t="shared" si="5"/>
        <v/>
      </c>
    </row>
    <row r="88" spans="1:17" x14ac:dyDescent="0.25">
      <c r="A88" s="121">
        <v>85</v>
      </c>
      <c r="B88" s="121" t="str">
        <f>IFERROR(INDEX('Miljövrärden urval för publ'!$A$2:$AA$419,MATCH('Miljövärden för publ företag'!$A88,'Miljövrärden urval för publ'!$R$2:$R$416,0),1),"")</f>
        <v>Gotlands Energi AB</v>
      </c>
      <c r="C88" s="121" t="str">
        <f>IFERROR(INDEX('Miljövrärden urval för publ'!$A$2:$AA$419,MATCH('Miljövärden för publ företag'!$A88,'Miljövrärden urval för publ'!$R$2:$R$416,0),2),"")</f>
        <v>Hemse</v>
      </c>
      <c r="D88" s="121">
        <f>IFERROR(VLOOKUP($C88,'Miljövrärden urval för publ'!$B$2:$H$416,MATCH('Miljövärden för publ företag'!D$4,'Miljövrärden urval för publ'!$B$2:$H$2,0),FALSE),"")</f>
        <v>9.7830399999999998E-2</v>
      </c>
      <c r="E88" s="121">
        <f>IFERROR(VLOOKUP($C88,'Miljövrärden urval för publ'!$B$2:$H$416,MATCH('Miljövärden för publ företag'!E$4,'Miljövrärden urval för publ'!$B$2:$H$2,0),FALSE),"")</f>
        <v>11.852399999999999</v>
      </c>
      <c r="F88" s="121">
        <f>IFERROR(VLOOKUP($C88,'Miljövrärden urval för publ'!$B$2:$H$416,MATCH('Miljövärden för publ företag'!F$4,'Miljövrärden urval för publ'!$B$2:$H$2,0),FALSE),"")</f>
        <v>8.7905099999999994</v>
      </c>
      <c r="G88" s="121">
        <f>IFERROR(VLOOKUP($C88,'Miljövrärden urval för publ'!$B$2:$H$416,MATCH('Miljövärden för publ företag'!G$4,'Miljövrärden urval för publ'!$B$2:$H$2,0),FALSE),"")</f>
        <v>2.17637E-2</v>
      </c>
      <c r="J88" s="121">
        <f t="shared" si="6"/>
        <v>28</v>
      </c>
      <c r="M88" s="121">
        <v>84</v>
      </c>
      <c r="N88" s="121" t="str">
        <f t="shared" si="7"/>
        <v>Oxelö Energi AB</v>
      </c>
      <c r="P88" s="296">
        <f t="shared" si="8"/>
        <v>0</v>
      </c>
      <c r="Q88" s="290" t="str">
        <f t="shared" si="5"/>
        <v/>
      </c>
    </row>
    <row r="89" spans="1:17" x14ac:dyDescent="0.25">
      <c r="A89" s="121">
        <v>86</v>
      </c>
      <c r="B89" s="121" t="str">
        <f>IFERROR(INDEX('Miljövrärden urval för publ'!$A$2:$AA$419,MATCH('Miljövärden för publ företag'!$A89,'Miljövrärden urval för publ'!$R$2:$R$416,0),1),"")</f>
        <v>Gotlands Energi AB</v>
      </c>
      <c r="C89" s="121" t="str">
        <f>IFERROR(INDEX('Miljövrärden urval för publ'!$A$2:$AA$419,MATCH('Miljövärden för publ företag'!$A89,'Miljövrärden urval för publ'!$R$2:$R$416,0),2),"")</f>
        <v>Klintehamn</v>
      </c>
      <c r="D89" s="121">
        <f>IFERROR(VLOOKUP($C89,'Miljövrärden urval för publ'!$B$2:$H$416,MATCH('Miljövärden för publ företag'!D$4,'Miljövrärden urval för publ'!$B$2:$H$2,0),FALSE),"")</f>
        <v>1.54108</v>
      </c>
      <c r="E89" s="121">
        <f>IFERROR(VLOOKUP($C89,'Miljövrärden urval för publ'!$B$2:$H$416,MATCH('Miljövärden för publ företag'!E$4,'Miljövrärden urval för publ'!$B$2:$H$2,0),FALSE),"")</f>
        <v>16.408100000000001</v>
      </c>
      <c r="F89" s="121">
        <f>IFERROR(VLOOKUP($C89,'Miljövrärden urval för publ'!$B$2:$H$416,MATCH('Miljövärden för publ företag'!F$4,'Miljövrärden urval för publ'!$B$2:$H$2,0),FALSE),"")</f>
        <v>48.269399999999997</v>
      </c>
      <c r="G89" s="121">
        <f>IFERROR(VLOOKUP($C89,'Miljövrärden urval för publ'!$B$2:$H$416,MATCH('Miljövärden för publ företag'!G$4,'Miljövrärden urval för publ'!$B$2:$H$2,0),FALSE),"")</f>
        <v>2.7613800000000001E-2</v>
      </c>
      <c r="J89" s="121">
        <f t="shared" si="6"/>
        <v>28</v>
      </c>
      <c r="M89" s="121">
        <v>85</v>
      </c>
      <c r="N89" s="121" t="str">
        <f t="shared" si="7"/>
        <v>Partille Energi AB</v>
      </c>
      <c r="P89" s="296">
        <f t="shared" si="8"/>
        <v>0</v>
      </c>
      <c r="Q89" s="290" t="str">
        <f t="shared" si="5"/>
        <v/>
      </c>
    </row>
    <row r="90" spans="1:17" x14ac:dyDescent="0.25">
      <c r="A90" s="121">
        <v>87</v>
      </c>
      <c r="B90" s="121" t="str">
        <f>IFERROR(INDEX('Miljövrärden urval för publ'!$A$2:$AA$419,MATCH('Miljövärden för publ företag'!$A90,'Miljövrärden urval för publ'!$R$2:$R$416,0),1),"")</f>
        <v>Gotlands Energi AB</v>
      </c>
      <c r="C90" s="121" t="str">
        <f>IFERROR(INDEX('Miljövrärden urval för publ'!$A$2:$AA$419,MATCH('Miljövärden för publ företag'!$A90,'Miljövrärden urval för publ'!$R$2:$R$416,0),2),"")</f>
        <v>Slite</v>
      </c>
      <c r="D90" s="121">
        <f>IFERROR(VLOOKUP($C90,'Miljövrärden urval för publ'!$B$2:$H$416,MATCH('Miljövärden för publ företag'!D$4,'Miljövrärden urval för publ'!$B$2:$H$2,0),FALSE),"")</f>
        <v>5.7265299999999998E-2</v>
      </c>
      <c r="E90" s="121">
        <f>IFERROR(VLOOKUP($C90,'Miljövrärden urval för publ'!$B$2:$H$416,MATCH('Miljövärden för publ företag'!E$4,'Miljövrärden urval för publ'!$B$2:$H$2,0),FALSE),"")</f>
        <v>4.3646000000000003</v>
      </c>
      <c r="F90" s="121">
        <f>IFERROR(VLOOKUP($C90,'Miljövrärden urval för publ'!$B$2:$H$416,MATCH('Miljövärden för publ företag'!F$4,'Miljövrärden urval för publ'!$B$2:$H$2,0),FALSE),"")</f>
        <v>1.0344</v>
      </c>
      <c r="G90" s="121">
        <f>IFERROR(VLOOKUP($C90,'Miljövrärden urval för publ'!$B$2:$H$416,MATCH('Miljövärden för publ företag'!G$4,'Miljövrärden urval för publ'!$B$2:$H$2,0),FALSE),"")</f>
        <v>1.37894E-2</v>
      </c>
      <c r="J90" s="121">
        <f t="shared" si="6"/>
        <v>28</v>
      </c>
      <c r="M90" s="121">
        <v>86</v>
      </c>
      <c r="N90" s="121" t="str">
        <f t="shared" si="7"/>
        <v>Perstorps Fjärrvärme AB</v>
      </c>
      <c r="P90" s="296">
        <f t="shared" si="8"/>
        <v>0</v>
      </c>
      <c r="Q90" s="290" t="str">
        <f t="shared" si="5"/>
        <v/>
      </c>
    </row>
    <row r="91" spans="1:17" x14ac:dyDescent="0.25">
      <c r="A91" s="121">
        <v>88</v>
      </c>
      <c r="B91" s="121" t="str">
        <f>IFERROR(INDEX('Miljövrärden urval för publ'!$A$2:$AA$419,MATCH('Miljövärden för publ företag'!$A91,'Miljövrärden urval för publ'!$R$2:$R$416,0),1),"")</f>
        <v>Gotlands Energi AB</v>
      </c>
      <c r="C91" s="121" t="str">
        <f>IFERROR(INDEX('Miljövrärden urval för publ'!$A$2:$AA$419,MATCH('Miljövärden för publ företag'!$A91,'Miljövrärden urval för publ'!$R$2:$R$416,0),2),"")</f>
        <v>Visby</v>
      </c>
      <c r="D91" s="121">
        <f>IFERROR(VLOOKUP($C91,'Miljövrärden urval för publ'!$B$2:$H$416,MATCH('Miljövärden för publ företag'!D$4,'Miljövrärden urval för publ'!$B$2:$H$2,0),FALSE),"")</f>
        <v>0.145319</v>
      </c>
      <c r="E91" s="121">
        <f>IFERROR(VLOOKUP($C91,'Miljövrärden urval för publ'!$B$2:$H$416,MATCH('Miljövärden för publ företag'!E$4,'Miljövrärden urval för publ'!$B$2:$H$2,0),FALSE),"")</f>
        <v>3.5079699999999998</v>
      </c>
      <c r="F91" s="121">
        <f>IFERROR(VLOOKUP($C91,'Miljövrärden urval för publ'!$B$2:$H$416,MATCH('Miljövärden för publ företag'!F$4,'Miljövrärden urval för publ'!$B$2:$H$2,0),FALSE),"")</f>
        <v>6.3263299999999996</v>
      </c>
      <c r="G91" s="121">
        <f>IFERROR(VLOOKUP($C91,'Miljövrärden urval för publ'!$B$2:$H$416,MATCH('Miljövärden för publ företag'!G$4,'Miljövrärden urval för publ'!$B$2:$H$2,0),FALSE),"")</f>
        <v>0</v>
      </c>
      <c r="J91" s="121">
        <f t="shared" si="6"/>
        <v>28</v>
      </c>
      <c r="M91" s="121">
        <v>87</v>
      </c>
      <c r="N91" s="121" t="str">
        <f t="shared" si="7"/>
        <v>PiteEnergi AB</v>
      </c>
      <c r="P91" s="296">
        <f t="shared" si="8"/>
        <v>0</v>
      </c>
      <c r="Q91" s="290" t="str">
        <f t="shared" si="5"/>
        <v/>
      </c>
    </row>
    <row r="92" spans="1:17" x14ac:dyDescent="0.25">
      <c r="A92" s="121">
        <v>89</v>
      </c>
      <c r="B92" s="121" t="str">
        <f>IFERROR(INDEX('Miljövrärden urval för publ'!$A$2:$AA$419,MATCH('Miljövärden för publ företag'!$A92,'Miljövrärden urval för publ'!$R$2:$R$416,0),1),"")</f>
        <v>Gällivare Energi AB</v>
      </c>
      <c r="C92" s="121" t="str">
        <f>IFERROR(INDEX('Miljövrärden urval för publ'!$A$2:$AA$419,MATCH('Miljövärden för publ företag'!$A92,'Miljövrärden urval för publ'!$R$2:$R$416,0),2),"")</f>
        <v>Gällivare-Malmberget</v>
      </c>
      <c r="D92" s="121">
        <f>IFERROR(VLOOKUP($C92,'Miljövrärden urval för publ'!$B$2:$H$416,MATCH('Miljövärden för publ företag'!D$4,'Miljövrärden urval för publ'!$B$2:$H$2,0),FALSE),"")</f>
        <v>0.678149</v>
      </c>
      <c r="E92" s="121">
        <f>IFERROR(VLOOKUP($C92,'Miljövrärden urval för publ'!$B$2:$H$416,MATCH('Miljövärden för publ företag'!E$4,'Miljövrärden urval för publ'!$B$2:$H$2,0),FALSE),"")</f>
        <v>229.65100000000001</v>
      </c>
      <c r="F92" s="121">
        <f>IFERROR(VLOOKUP($C92,'Miljövrärden urval för publ'!$B$2:$H$416,MATCH('Miljövärden för publ företag'!F$4,'Miljövrärden urval för publ'!$B$2:$H$2,0),FALSE),"")</f>
        <v>25.364699999999999</v>
      </c>
      <c r="G92" s="121">
        <f>IFERROR(VLOOKUP($C92,'Miljövrärden urval för publ'!$B$2:$H$416,MATCH('Miljövärden för publ företag'!G$4,'Miljövrärden urval för publ'!$B$2:$H$2,0),FALSE),"")</f>
        <v>2.2761300000000002E-2</v>
      </c>
      <c r="J92" s="121">
        <f t="shared" si="6"/>
        <v>29</v>
      </c>
      <c r="M92" s="121">
        <v>88</v>
      </c>
      <c r="N92" s="121" t="str">
        <f t="shared" si="7"/>
        <v>Ronneby Miljö och Teknik AB</v>
      </c>
      <c r="P92" s="296">
        <f t="shared" si="8"/>
        <v>0</v>
      </c>
      <c r="Q92" s="290" t="str">
        <f t="shared" si="5"/>
        <v/>
      </c>
    </row>
    <row r="93" spans="1:17" x14ac:dyDescent="0.25">
      <c r="A93" s="121">
        <v>90</v>
      </c>
      <c r="B93" s="121" t="str">
        <f>IFERROR(INDEX('Miljövrärden urval för publ'!$A$2:$AA$419,MATCH('Miljövärden för publ företag'!$A93,'Miljövrärden urval för publ'!$R$2:$R$416,0),1),"")</f>
        <v>Gävle Energi AB</v>
      </c>
      <c r="C93" s="121" t="str">
        <f>IFERROR(INDEX('Miljövrärden urval för publ'!$A$2:$AA$419,MATCH('Miljövärden för publ företag'!$A93,'Miljövrärden urval för publ'!$R$2:$R$416,0),2),"")</f>
        <v>Gävle</v>
      </c>
      <c r="D93" s="121">
        <f>IFERROR(VLOOKUP($C93,'Miljövrärden urval för publ'!$B$2:$H$416,MATCH('Miljövärden för publ företag'!D$4,'Miljövrärden urval för publ'!$B$2:$H$2,0),FALSE),"")</f>
        <v>1.61496E-2</v>
      </c>
      <c r="E93" s="121">
        <f>IFERROR(VLOOKUP($C93,'Miljövrärden urval för publ'!$B$2:$H$416,MATCH('Miljövärden för publ företag'!E$4,'Miljövrärden urval för publ'!$B$2:$H$2,0),FALSE),"")</f>
        <v>1.85758</v>
      </c>
      <c r="F93" s="121">
        <f>IFERROR(VLOOKUP($C93,'Miljövrärden urval för publ'!$B$2:$H$416,MATCH('Miljövärden för publ företag'!F$4,'Miljövrärden urval för publ'!$B$2:$H$2,0),FALSE),"")</f>
        <v>2.4361600000000001</v>
      </c>
      <c r="G93" s="121">
        <f>IFERROR(VLOOKUP($C93,'Miljövrärden urval för publ'!$B$2:$H$416,MATCH('Miljövärden för publ företag'!G$4,'Miljövrärden urval för publ'!$B$2:$H$2,0),FALSE),"")</f>
        <v>2.2425099999999999E-4</v>
      </c>
      <c r="J93" s="121">
        <f t="shared" si="6"/>
        <v>30</v>
      </c>
      <c r="M93" s="121">
        <v>89</v>
      </c>
      <c r="N93" s="121" t="str">
        <f t="shared" si="7"/>
        <v>Sala-Heby Energi AB</v>
      </c>
      <c r="P93" s="296">
        <f t="shared" si="8"/>
        <v>0</v>
      </c>
      <c r="Q93" s="290" t="str">
        <f t="shared" si="5"/>
        <v/>
      </c>
    </row>
    <row r="94" spans="1:17" x14ac:dyDescent="0.25">
      <c r="A94" s="121">
        <v>91</v>
      </c>
      <c r="B94" s="121" t="str">
        <f>IFERROR(INDEX('Miljövrärden urval för publ'!$A$2:$AA$419,MATCH('Miljövärden för publ företag'!$A94,'Miljövrärden urval för publ'!$R$2:$R$416,0),1),"")</f>
        <v>Göteborg Energi AB</v>
      </c>
      <c r="C94" s="121" t="str">
        <f>IFERROR(INDEX('Miljövrärden urval för publ'!$A$2:$AA$419,MATCH('Miljövärden för publ företag'!$A94,'Miljövrärden urval för publ'!$R$2:$R$416,0),2),"")</f>
        <v>Göteborg Ale</v>
      </c>
      <c r="D94" s="121">
        <f>IFERROR(VLOOKUP($C94,'Miljövrärden urval för publ'!$B$2:$H$416,MATCH('Miljövärden för publ företag'!D$4,'Miljövrärden urval för publ'!$B$2:$H$2,0),FALSE),"")</f>
        <v>0.21677099999999999</v>
      </c>
      <c r="E94" s="121">
        <f>IFERROR(VLOOKUP($C94,'Miljövrärden urval för publ'!$B$2:$H$416,MATCH('Miljövärden för publ företag'!E$4,'Miljövrärden urval för publ'!$B$2:$H$2,0),FALSE),"")</f>
        <v>65.121600000000001</v>
      </c>
      <c r="F94" s="121">
        <f>IFERROR(VLOOKUP($C94,'Miljövrärden urval för publ'!$B$2:$H$416,MATCH('Miljövärden för publ företag'!F$4,'Miljövrärden urval för publ'!$B$2:$H$2,0),FALSE),"")</f>
        <v>7.9223600000000003</v>
      </c>
      <c r="G94" s="121">
        <f>IFERROR(VLOOKUP($C94,'Miljövrärden urval för publ'!$B$2:$H$416,MATCH('Miljövärden för publ företag'!G$4,'Miljövrärden urval för publ'!$B$2:$H$2,0),FALSE),"")</f>
        <v>0.115129</v>
      </c>
      <c r="J94" s="121">
        <f t="shared" si="6"/>
        <v>31</v>
      </c>
      <c r="M94" s="121">
        <v>90</v>
      </c>
      <c r="N94" s="121" t="str">
        <f t="shared" si="7"/>
        <v>Sandviken Energi AB</v>
      </c>
      <c r="P94" s="296">
        <f t="shared" si="8"/>
        <v>0</v>
      </c>
      <c r="Q94" s="290" t="str">
        <f t="shared" si="5"/>
        <v/>
      </c>
    </row>
    <row r="95" spans="1:17" x14ac:dyDescent="0.25">
      <c r="A95" s="121">
        <v>92</v>
      </c>
      <c r="B95" s="121" t="str">
        <f>IFERROR(INDEX('Miljövrärden urval för publ'!$A$2:$AA$419,MATCH('Miljövärden för publ företag'!$A95,'Miljövrärden urval för publ'!$R$2:$R$416,0),1),"")</f>
        <v>Göteborg Energi AB</v>
      </c>
      <c r="C95" s="121" t="str">
        <f>IFERROR(INDEX('Miljövrärden urval för publ'!$A$2:$AA$419,MATCH('Miljövärden för publ företag'!$A95,'Miljövrärden urval för publ'!$R$2:$R$416,0),2),"")</f>
        <v>Göteborg Ale Bra Miljöval</v>
      </c>
      <c r="D95" s="121">
        <f>IFERROR(VLOOKUP($C95,'Miljövrärden urval för publ'!$B$2:$H$416,MATCH('Miljövärden för publ företag'!D$4,'Miljövrärden urval för publ'!$B$2:$H$2,0),FALSE),"")</f>
        <v>7.2237899999999994E-2</v>
      </c>
      <c r="E95" s="121">
        <f>IFERROR(VLOOKUP($C95,'Miljövrärden urval för publ'!$B$2:$H$416,MATCH('Miljövärden för publ företag'!E$4,'Miljövrärden urval för publ'!$B$2:$H$2,0),FALSE),"")</f>
        <v>3.88089</v>
      </c>
      <c r="F95" s="121">
        <f>IFERROR(VLOOKUP($C95,'Miljövrärden urval för publ'!$B$2:$H$416,MATCH('Miljövärden för publ företag'!F$4,'Miljövrärden urval för publ'!$B$2:$H$2,0),FALSE),"")</f>
        <v>5.9069200000000004</v>
      </c>
      <c r="G95" s="121">
        <f>IFERROR(VLOOKUP($C95,'Miljövrärden urval för publ'!$B$2:$H$416,MATCH('Miljövärden för publ företag'!G$4,'Miljövrärden urval för publ'!$B$2:$H$2,0),FALSE),"")</f>
        <v>0</v>
      </c>
      <c r="J95" s="121">
        <f t="shared" si="6"/>
        <v>31</v>
      </c>
      <c r="M95" s="121">
        <v>91</v>
      </c>
      <c r="N95" s="121" t="str">
        <f t="shared" si="7"/>
        <v>SEVAB Strängnäs Energi AB</v>
      </c>
      <c r="P95" s="296">
        <f t="shared" si="8"/>
        <v>0</v>
      </c>
      <c r="Q95" s="290" t="str">
        <f t="shared" si="5"/>
        <v/>
      </c>
    </row>
    <row r="96" spans="1:17" x14ac:dyDescent="0.25">
      <c r="A96" s="121">
        <v>93</v>
      </c>
      <c r="B96" s="121" t="str">
        <f>IFERROR(INDEX('Miljövrärden urval för publ'!$A$2:$AA$419,MATCH('Miljövärden för publ företag'!$A96,'Miljövrärden urval för publ'!$R$2:$R$416,0),1),"")</f>
        <v>Götene Vatten &amp; Värme AB</v>
      </c>
      <c r="C96" s="121" t="str">
        <f>IFERROR(INDEX('Miljövrärden urval för publ'!$A$2:$AA$419,MATCH('Miljövärden för publ företag'!$A96,'Miljövrärden urval för publ'!$R$2:$R$416,0),2),"")</f>
        <v>Götene</v>
      </c>
      <c r="D96" s="121">
        <f>IFERROR(VLOOKUP($C96,'Miljövrärden urval för publ'!$B$2:$H$416,MATCH('Miljövärden för publ företag'!D$4,'Miljövrärden urval för publ'!$B$2:$H$2,0),FALSE),"")</f>
        <v>0.11376500000000001</v>
      </c>
      <c r="E96" s="121">
        <f>IFERROR(VLOOKUP($C96,'Miljövrärden urval för publ'!$B$2:$H$416,MATCH('Miljövärden för publ företag'!E$4,'Miljövrärden urval för publ'!$B$2:$H$2,0),FALSE),"")</f>
        <v>15.958600000000001</v>
      </c>
      <c r="F96" s="121">
        <f>IFERROR(VLOOKUP($C96,'Miljövrärden urval för publ'!$B$2:$H$416,MATCH('Miljövärden för publ företag'!F$4,'Miljövrärden urval för publ'!$B$2:$H$2,0),FALSE),"")</f>
        <v>9.1673799999999996</v>
      </c>
      <c r="G96" s="121">
        <f>IFERROR(VLOOKUP($C96,'Miljövrärden urval för publ'!$B$2:$H$416,MATCH('Miljövärden för publ företag'!G$4,'Miljövrärden urval för publ'!$B$2:$H$2,0),FALSE),"")</f>
        <v>3.0377100000000001E-2</v>
      </c>
      <c r="J96" s="121">
        <f t="shared" si="6"/>
        <v>32</v>
      </c>
      <c r="M96" s="121">
        <v>92</v>
      </c>
      <c r="N96" s="121" t="str">
        <f t="shared" si="7"/>
        <v>Skara Energi AB</v>
      </c>
      <c r="P96" s="296">
        <f t="shared" si="8"/>
        <v>0</v>
      </c>
      <c r="Q96" s="290" t="str">
        <f t="shared" si="5"/>
        <v/>
      </c>
    </row>
    <row r="97" spans="1:17" x14ac:dyDescent="0.25">
      <c r="A97" s="121">
        <v>94</v>
      </c>
      <c r="B97" s="121" t="str">
        <f>IFERROR(INDEX('Miljövrärden urval för publ'!$A$2:$AA$419,MATCH('Miljövärden för publ företag'!$A97,'Miljövrärden urval för publ'!$R$2:$R$416,0),1),"")</f>
        <v>Götene Vatten &amp; Värme AB</v>
      </c>
      <c r="C97" s="121" t="str">
        <f>IFERROR(INDEX('Miljövrärden urval för publ'!$A$2:$AA$419,MATCH('Miljövärden för publ företag'!$A97,'Miljövrärden urval för publ'!$R$2:$R$416,0),2),"")</f>
        <v>Hällekis</v>
      </c>
      <c r="D97" s="121">
        <f>IFERROR(VLOOKUP($C97,'Miljövrärden urval för publ'!$B$2:$H$416,MATCH('Miljövärden för publ företag'!D$4,'Miljövrärden urval för publ'!$B$2:$H$2,0),FALSE),"")</f>
        <v>7.8107800000000005E-2</v>
      </c>
      <c r="E97" s="121">
        <f>IFERROR(VLOOKUP($C97,'Miljövrärden urval för publ'!$B$2:$H$416,MATCH('Miljövärden för publ företag'!E$4,'Miljövrärden urval för publ'!$B$2:$H$2,0),FALSE),"")</f>
        <v>9.5684500000000003</v>
      </c>
      <c r="F97" s="121">
        <f>IFERROR(VLOOKUP($C97,'Miljövrärden urval för publ'!$B$2:$H$416,MATCH('Miljövärden för publ företag'!F$4,'Miljövrärden urval för publ'!$B$2:$H$2,0),FALSE),"")</f>
        <v>1.6845000000000001</v>
      </c>
      <c r="G97" s="121">
        <f>IFERROR(VLOOKUP($C97,'Miljövrärden urval för publ'!$B$2:$H$416,MATCH('Miljövärden för publ företag'!G$4,'Miljövrärden urval för publ'!$B$2:$H$2,0),FALSE),"")</f>
        <v>2.5436199999999999E-2</v>
      </c>
      <c r="J97" s="121">
        <f t="shared" si="6"/>
        <v>32</v>
      </c>
      <c r="M97" s="121">
        <v>93</v>
      </c>
      <c r="N97" s="121" t="str">
        <f t="shared" si="7"/>
        <v>Skellefteå Kraft AB</v>
      </c>
      <c r="P97" s="296">
        <f t="shared" si="8"/>
        <v>0</v>
      </c>
      <c r="Q97" s="290" t="str">
        <f t="shared" si="5"/>
        <v/>
      </c>
    </row>
    <row r="98" spans="1:17" x14ac:dyDescent="0.25">
      <c r="A98" s="121">
        <v>95</v>
      </c>
      <c r="B98" s="121" t="str">
        <f>IFERROR(INDEX('Miljövrärden urval för publ'!$A$2:$AA$419,MATCH('Miljövärden för publ företag'!$A98,'Miljövrärden urval för publ'!$R$2:$R$416,0),1),"")</f>
        <v>Habo Energi AB</v>
      </c>
      <c r="C98" s="121" t="str">
        <f>IFERROR(INDEX('Miljövrärden urval för publ'!$A$2:$AA$419,MATCH('Miljövärden för publ företag'!$A98,'Miljövrärden urval för publ'!$R$2:$R$416,0),2),"")</f>
        <v>Habo</v>
      </c>
      <c r="D98" s="121">
        <f>IFERROR(VLOOKUP($C98,'Miljövrärden urval för publ'!$B$2:$H$416,MATCH('Miljövärden för publ företag'!D$4,'Miljövrärden urval för publ'!$B$2:$H$2,0),FALSE),"")</f>
        <v>6.1173699999999998E-2</v>
      </c>
      <c r="E98" s="121">
        <f>IFERROR(VLOOKUP($C98,'Miljövrärden urval för publ'!$B$2:$H$416,MATCH('Miljövärden för publ företag'!E$4,'Miljövrärden urval för publ'!$B$2:$H$2,0),FALSE),"")</f>
        <v>6.0328600000000003</v>
      </c>
      <c r="F98" s="121">
        <f>IFERROR(VLOOKUP($C98,'Miljövrärden urval för publ'!$B$2:$H$416,MATCH('Miljövärden för publ företag'!F$4,'Miljövrärden urval för publ'!$B$2:$H$2,0),FALSE),"")</f>
        <v>10.694800000000001</v>
      </c>
      <c r="G98" s="121">
        <f>IFERROR(VLOOKUP($C98,'Miljövrärden urval för publ'!$B$2:$H$416,MATCH('Miljövärden för publ företag'!G$4,'Miljövrärden urval för publ'!$B$2:$H$2,0),FALSE),"")</f>
        <v>0</v>
      </c>
      <c r="J98" s="121">
        <f t="shared" si="6"/>
        <v>33</v>
      </c>
      <c r="M98" s="121">
        <v>94</v>
      </c>
      <c r="N98" s="121" t="str">
        <f t="shared" si="7"/>
        <v>Skövde Energi AB</v>
      </c>
      <c r="P98" s="296">
        <f t="shared" si="8"/>
        <v>0</v>
      </c>
      <c r="Q98" s="290" t="str">
        <f t="shared" si="5"/>
        <v/>
      </c>
    </row>
    <row r="99" spans="1:17" x14ac:dyDescent="0.25">
      <c r="A99" s="121">
        <v>96</v>
      </c>
      <c r="B99" s="121" t="str">
        <f>IFERROR(INDEX('Miljövrärden urval för publ'!$A$2:$AA$419,MATCH('Miljövärden för publ företag'!$A99,'Miljövrärden urval för publ'!$R$2:$R$416,0),1),"")</f>
        <v>Hagfors Energi</v>
      </c>
      <c r="C99" s="121" t="str">
        <f>IFERROR(INDEX('Miljövrärden urval för publ'!$A$2:$AA$419,MATCH('Miljövärden för publ företag'!$A99,'Miljövrärden urval för publ'!$R$2:$R$416,0),2),"")</f>
        <v>Ekshärad</v>
      </c>
      <c r="D99" s="121">
        <f>IFERROR(VLOOKUP($C99,'Miljövrärden urval för publ'!$B$2:$H$416,MATCH('Miljövärden för publ företag'!D$4,'Miljövrärden urval för publ'!$B$2:$H$2,0),FALSE),"")</f>
        <v>0.136492</v>
      </c>
      <c r="E99" s="121">
        <f>IFERROR(VLOOKUP($C99,'Miljövrärden urval för publ'!$B$2:$H$416,MATCH('Miljövärden för publ företag'!E$4,'Miljövrärden urval för publ'!$B$2:$H$2,0),FALSE),"")</f>
        <v>24.0245</v>
      </c>
      <c r="F99" s="121">
        <f>IFERROR(VLOOKUP($C99,'Miljövrärden urval för publ'!$B$2:$H$416,MATCH('Miljövärden för publ företag'!F$4,'Miljövrärden urval för publ'!$B$2:$H$2,0),FALSE),"")</f>
        <v>10.9512</v>
      </c>
      <c r="G99" s="121">
        <f>IFERROR(VLOOKUP($C99,'Miljövrärden urval för publ'!$B$2:$H$416,MATCH('Miljövärden för publ företag'!G$4,'Miljövrärden urval för publ'!$B$2:$H$2,0),FALSE),"")</f>
        <v>3.0816699999999999E-2</v>
      </c>
      <c r="J99" s="121">
        <f t="shared" si="6"/>
        <v>34</v>
      </c>
      <c r="M99" s="121">
        <v>95</v>
      </c>
      <c r="N99" s="121" t="str">
        <f t="shared" si="7"/>
        <v>Smedjebacken Energi AB</v>
      </c>
      <c r="P99" s="296">
        <f t="shared" si="8"/>
        <v>0</v>
      </c>
      <c r="Q99" s="290" t="str">
        <f t="shared" si="5"/>
        <v/>
      </c>
    </row>
    <row r="100" spans="1:17" x14ac:dyDescent="0.25">
      <c r="A100" s="121">
        <v>97</v>
      </c>
      <c r="B100" s="121" t="str">
        <f>IFERROR(INDEX('Miljövrärden urval för publ'!$A$2:$AA$419,MATCH('Miljövärden för publ företag'!$A100,'Miljövrärden urval för publ'!$R$2:$R$416,0),1),"")</f>
        <v>Hagfors Energi</v>
      </c>
      <c r="C100" s="121" t="str">
        <f>IFERROR(INDEX('Miljövrärden urval för publ'!$A$2:$AA$419,MATCH('Miljövärden för publ företag'!$A100,'Miljövrärden urval för publ'!$R$2:$R$416,0),2),"")</f>
        <v>Hagfors</v>
      </c>
      <c r="D100" s="121">
        <f>IFERROR(VLOOKUP($C100,'Miljövrärden urval för publ'!$B$2:$H$416,MATCH('Miljövärden för publ företag'!D$4,'Miljövrärden urval för publ'!$B$2:$H$2,0),FALSE),"")</f>
        <v>0.26883699999999999</v>
      </c>
      <c r="E100" s="121">
        <f>IFERROR(VLOOKUP($C100,'Miljövrärden urval för publ'!$B$2:$H$416,MATCH('Miljövärden för publ företag'!E$4,'Miljövrärden urval för publ'!$B$2:$H$2,0),FALSE),"")</f>
        <v>47.651200000000003</v>
      </c>
      <c r="F100" s="121">
        <f>IFERROR(VLOOKUP($C100,'Miljövrärden urval för publ'!$B$2:$H$416,MATCH('Miljövärden för publ företag'!F$4,'Miljövrärden urval för publ'!$B$2:$H$2,0),FALSE),"")</f>
        <v>14.8378</v>
      </c>
      <c r="G100" s="121">
        <f>IFERROR(VLOOKUP($C100,'Miljövrärden urval för publ'!$B$2:$H$416,MATCH('Miljövärden för publ företag'!G$4,'Miljövrärden urval för publ'!$B$2:$H$2,0),FALSE),"")</f>
        <v>0.14099600000000001</v>
      </c>
      <c r="J100" s="121">
        <f t="shared" si="6"/>
        <v>34</v>
      </c>
      <c r="M100" s="121">
        <v>96</v>
      </c>
      <c r="N100" s="121" t="str">
        <f t="shared" si="7"/>
        <v>Sollentuna Energi &amp; Miljö AB</v>
      </c>
      <c r="P100" s="296">
        <f t="shared" si="8"/>
        <v>0</v>
      </c>
      <c r="Q100" s="290" t="str">
        <f t="shared" si="5"/>
        <v/>
      </c>
    </row>
    <row r="101" spans="1:17" x14ac:dyDescent="0.25">
      <c r="A101" s="121">
        <v>98</v>
      </c>
      <c r="B101" s="121" t="str">
        <f>IFERROR(INDEX('Miljövrärden urval för publ'!$A$2:$AA$419,MATCH('Miljövärden för publ företag'!$A101,'Miljövrärden urval för publ'!$R$2:$R$416,0),1),"")</f>
        <v>Hagfors Energi</v>
      </c>
      <c r="C101" s="121" t="str">
        <f>IFERROR(INDEX('Miljövrärden urval för publ'!$A$2:$AA$419,MATCH('Miljövärden för publ företag'!$A101,'Miljövrärden urval för publ'!$R$2:$R$416,0),2),"")</f>
        <v>Sunnemo</v>
      </c>
      <c r="D101" s="121">
        <f>IFERROR(VLOOKUP($C101,'Miljövrärden urval för publ'!$B$2:$H$416,MATCH('Miljövärden för publ företag'!D$4,'Miljövrärden urval för publ'!$B$2:$H$2,0),FALSE),"")</f>
        <v>0.34431499999999998</v>
      </c>
      <c r="E101" s="121">
        <f>IFERROR(VLOOKUP($C101,'Miljövrärden urval för publ'!$B$2:$H$416,MATCH('Miljövärden för publ företag'!E$4,'Miljövrärden urval för publ'!$B$2:$H$2,0),FALSE),"")</f>
        <v>56.631599999999999</v>
      </c>
      <c r="F101" s="121">
        <f>IFERROR(VLOOKUP($C101,'Miljövrärden urval för publ'!$B$2:$H$416,MATCH('Miljövärden för publ företag'!F$4,'Miljövrärden urval för publ'!$B$2:$H$2,0),FALSE),"")</f>
        <v>15.7874</v>
      </c>
      <c r="G101" s="121">
        <f>IFERROR(VLOOKUP($C101,'Miljövrärden urval för publ'!$B$2:$H$416,MATCH('Miljövärden för publ företag'!G$4,'Miljövrärden urval för publ'!$B$2:$H$2,0),FALSE),"")</f>
        <v>0.16361200000000001</v>
      </c>
      <c r="J101" s="121">
        <f t="shared" si="6"/>
        <v>34</v>
      </c>
      <c r="M101" s="121">
        <v>97</v>
      </c>
      <c r="N101" s="121" t="str">
        <f t="shared" si="7"/>
        <v>Statkraft Värme AB</v>
      </c>
      <c r="P101" s="296">
        <f t="shared" si="8"/>
        <v>0</v>
      </c>
      <c r="Q101" s="290" t="str">
        <f t="shared" si="5"/>
        <v/>
      </c>
    </row>
    <row r="102" spans="1:17" x14ac:dyDescent="0.25">
      <c r="A102" s="121">
        <v>99</v>
      </c>
      <c r="B102" s="121" t="str">
        <f>IFERROR(INDEX('Miljövrärden urval för publ'!$A$2:$AA$419,MATCH('Miljövärden för publ företag'!$A102,'Miljövrärden urval för publ'!$R$2:$R$416,0),1),"")</f>
        <v>Halmstads Energi och Miljö AB</v>
      </c>
      <c r="C102" s="121" t="str">
        <f>IFERROR(INDEX('Miljövrärden urval för publ'!$A$2:$AA$419,MATCH('Miljövärden för publ företag'!$A102,'Miljövrärden urval för publ'!$R$2:$R$416,0),2),"")</f>
        <v>Halmstad</v>
      </c>
      <c r="D102" s="121">
        <f>IFERROR(VLOOKUP($C102,'Miljövrärden urval för publ'!$B$2:$H$416,MATCH('Miljövärden för publ företag'!D$4,'Miljövrärden urval för publ'!$B$2:$H$2,0),FALSE),"")</f>
        <v>9.0389999999999998E-2</v>
      </c>
      <c r="E102" s="121">
        <f>IFERROR(VLOOKUP($C102,'Miljövrärden urval för publ'!$B$2:$H$416,MATCH('Miljövärden för publ företag'!E$4,'Miljövrärden urval för publ'!$B$2:$H$2,0),FALSE),"")</f>
        <v>101.444</v>
      </c>
      <c r="F102" s="121">
        <f>IFERROR(VLOOKUP($C102,'Miljövrärden urval för publ'!$B$2:$H$416,MATCH('Miljövärden för publ företag'!F$4,'Miljövrärden urval för publ'!$B$2:$H$2,0),FALSE),"")</f>
        <v>4.7256499999999999</v>
      </c>
      <c r="G102" s="121">
        <f>IFERROR(VLOOKUP($C102,'Miljövrärden urval för publ'!$B$2:$H$416,MATCH('Miljövärden för publ företag'!G$4,'Miljövrärden urval för publ'!$B$2:$H$2,0),FALSE),"")</f>
        <v>1.3587600000000001E-3</v>
      </c>
      <c r="J102" s="121">
        <f t="shared" si="6"/>
        <v>35</v>
      </c>
      <c r="M102" s="121">
        <v>98</v>
      </c>
      <c r="N102" s="121" t="str">
        <f t="shared" si="7"/>
        <v>Stenungsunds Energi och Miljö AB</v>
      </c>
      <c r="P102" s="296">
        <f t="shared" si="8"/>
        <v>0</v>
      </c>
      <c r="Q102" s="290" t="str">
        <f t="shared" si="5"/>
        <v/>
      </c>
    </row>
    <row r="103" spans="1:17" x14ac:dyDescent="0.25">
      <c r="A103" s="121">
        <v>100</v>
      </c>
      <c r="B103" s="121" t="str">
        <f>IFERROR(INDEX('Miljövrärden urval för publ'!$A$2:$AA$419,MATCH('Miljövärden för publ företag'!$A103,'Miljövrärden urval för publ'!$R$2:$R$416,0),1),"")</f>
        <v>Hammarö Energi AB</v>
      </c>
      <c r="C103" s="121" t="str">
        <f>IFERROR(INDEX('Miljövrärden urval för publ'!$A$2:$AA$419,MATCH('Miljövärden för publ företag'!$A103,'Miljövrärden urval för publ'!$R$2:$R$416,0),2),"")</f>
        <v>Skoghall</v>
      </c>
      <c r="D103" s="121">
        <f>IFERROR(VLOOKUP($C103,'Miljövrärden urval för publ'!$B$2:$H$416,MATCH('Miljövärden för publ företag'!D$4,'Miljövrärden urval för publ'!$B$2:$H$2,0),FALSE),"")</f>
        <v>0.166161</v>
      </c>
      <c r="E103" s="121">
        <f>IFERROR(VLOOKUP($C103,'Miljövrärden urval för publ'!$B$2:$H$416,MATCH('Miljövärden för publ företag'!E$4,'Miljövrärden urval för publ'!$B$2:$H$2,0),FALSE),"")</f>
        <v>51.086300000000001</v>
      </c>
      <c r="F103" s="121">
        <f>IFERROR(VLOOKUP($C103,'Miljövrärden urval för publ'!$B$2:$H$416,MATCH('Miljövärden för publ företag'!F$4,'Miljövrärden urval för publ'!$B$2:$H$2,0),FALSE),"")</f>
        <v>7.9993600000000002</v>
      </c>
      <c r="G103" s="121">
        <f>IFERROR(VLOOKUP($C103,'Miljövrärden urval för publ'!$B$2:$H$416,MATCH('Miljövärden för publ företag'!G$4,'Miljövrärden urval för publ'!$B$2:$H$2,0),FALSE),"")</f>
        <v>1.1488099999999999E-2</v>
      </c>
      <c r="J103" s="121">
        <f t="shared" si="6"/>
        <v>36</v>
      </c>
      <c r="M103" s="121">
        <v>99</v>
      </c>
      <c r="N103" s="121" t="str">
        <f t="shared" si="7"/>
        <v>Stockholm Exergi AB</v>
      </c>
      <c r="P103" s="296">
        <f t="shared" si="8"/>
        <v>0</v>
      </c>
      <c r="Q103" s="290" t="str">
        <f t="shared" si="5"/>
        <v/>
      </c>
    </row>
    <row r="104" spans="1:17" x14ac:dyDescent="0.25">
      <c r="A104" s="121">
        <v>101</v>
      </c>
      <c r="B104" s="121" t="str">
        <f>IFERROR(INDEX('Miljövrärden urval för publ'!$A$2:$AA$419,MATCH('Miljövärden för publ företag'!$A104,'Miljövrärden urval för publ'!$R$2:$R$416,0),1),"")</f>
        <v>Haparanda Värmeverk AB</v>
      </c>
      <c r="C104" s="121" t="str">
        <f>IFERROR(INDEX('Miljövrärden urval för publ'!$A$2:$AA$419,MATCH('Miljövärden för publ företag'!$A104,'Miljövrärden urval för publ'!$R$2:$R$416,0),2),"")</f>
        <v>Min miljö</v>
      </c>
      <c r="D104" s="121">
        <f>IFERROR(VLOOKUP($C104,'Miljövrärden urval för publ'!$B$2:$H$416,MATCH('Miljövärden för publ företag'!D$4,'Miljövrärden urval för publ'!$B$2:$H$2,0),FALSE),"")</f>
        <v>0.20399</v>
      </c>
      <c r="E104" s="121">
        <f>IFERROR(VLOOKUP($C104,'Miljövrärden urval för publ'!$B$2:$H$416,MATCH('Miljövärden för publ företag'!E$4,'Miljövrärden urval för publ'!$B$2:$H$2,0),FALSE),"")</f>
        <v>7.5695499999999996</v>
      </c>
      <c r="F104" s="121">
        <f>IFERROR(VLOOKUP($C104,'Miljövrärden urval för publ'!$B$2:$H$416,MATCH('Miljövärden för publ företag'!F$4,'Miljövrärden urval för publ'!$B$2:$H$2,0),FALSE),"")</f>
        <v>14.017200000000001</v>
      </c>
      <c r="G104" s="121">
        <f>IFERROR(VLOOKUP($C104,'Miljövrärden urval för publ'!$B$2:$H$416,MATCH('Miljövärden för publ företag'!G$4,'Miljövrärden urval för publ'!$B$2:$H$2,0),FALSE),"")</f>
        <v>2.88588E-3</v>
      </c>
      <c r="J104" s="121">
        <f t="shared" si="6"/>
        <v>37</v>
      </c>
      <c r="M104" s="121">
        <v>100</v>
      </c>
      <c r="N104" s="121" t="str">
        <f t="shared" si="7"/>
        <v>Sundsvall Energi AB</v>
      </c>
      <c r="P104" s="296">
        <f t="shared" si="8"/>
        <v>0</v>
      </c>
      <c r="Q104" s="290" t="str">
        <f t="shared" si="5"/>
        <v/>
      </c>
    </row>
    <row r="105" spans="1:17" x14ac:dyDescent="0.25">
      <c r="A105" s="121">
        <v>102</v>
      </c>
      <c r="B105" s="121" t="str">
        <f>IFERROR(INDEX('Miljövrärden urval för publ'!$A$2:$AA$419,MATCH('Miljövärden för publ företag'!$A105,'Miljövrärden urval för publ'!$R$2:$R$416,0),1),"")</f>
        <v>Haparanda Värmeverk AB</v>
      </c>
      <c r="C105" s="121" t="str">
        <f>IFERROR(INDEX('Miljövrärden urval för publ'!$A$2:$AA$419,MATCH('Miljövärden för publ företag'!$A105,'Miljövrärden urval för publ'!$R$2:$R$416,0),2),"")</f>
        <v>Övriga nät</v>
      </c>
      <c r="D105" s="121">
        <f>IFERROR(VLOOKUP($C105,'Miljövrärden urval för publ'!$B$2:$H$416,MATCH('Miljövärden för publ företag'!D$4,'Miljövrärden urval för publ'!$B$2:$H$2,0),FALSE),"")</f>
        <v>1.44814</v>
      </c>
      <c r="E105" s="121">
        <f>IFERROR(VLOOKUP($C105,'Miljövrärden urval för publ'!$B$2:$H$416,MATCH('Miljövärden för publ företag'!E$4,'Miljövrärden urval för publ'!$B$2:$H$2,0),FALSE),"")</f>
        <v>549.90200000000004</v>
      </c>
      <c r="F105" s="121">
        <f>IFERROR(VLOOKUP($C105,'Miljövrärden urval för publ'!$B$2:$H$416,MATCH('Miljövärden för publ företag'!F$4,'Miljövrärden urval för publ'!$B$2:$H$2,0),FALSE),"")</f>
        <v>54.185099999999998</v>
      </c>
      <c r="G105" s="121">
        <f>IFERROR(VLOOKUP($C105,'Miljövrärden urval för publ'!$B$2:$H$416,MATCH('Miljövärden för publ företag'!G$4,'Miljövrärden urval för publ'!$B$2:$H$2,0),FALSE),"")</f>
        <v>1.5839599999999999E-2</v>
      </c>
      <c r="J105" s="121">
        <f t="shared" si="6"/>
        <v>37</v>
      </c>
      <c r="M105" s="121">
        <v>101</v>
      </c>
      <c r="N105" s="121" t="str">
        <f t="shared" si="7"/>
        <v>Söderhamn Nära AB</v>
      </c>
      <c r="P105" s="296">
        <f t="shared" si="8"/>
        <v>0</v>
      </c>
      <c r="Q105" s="290" t="str">
        <f t="shared" si="5"/>
        <v/>
      </c>
    </row>
    <row r="106" spans="1:17" x14ac:dyDescent="0.25">
      <c r="A106" s="121">
        <v>103</v>
      </c>
      <c r="B106" s="121" t="str">
        <f>IFERROR(INDEX('Miljövrärden urval för publ'!$A$2:$AA$419,MATCH('Miljövärden för publ företag'!$A106,'Miljövrärden urval för publ'!$R$2:$R$416,0),1),"")</f>
        <v>Hedemora Energi AB</v>
      </c>
      <c r="C106" s="121" t="str">
        <f>IFERROR(INDEX('Miljövrärden urval för publ'!$A$2:$AA$419,MATCH('Miljövärden för publ företag'!$A106,'Miljövrärden urval för publ'!$R$2:$R$416,0),2),"")</f>
        <v>Hedemora</v>
      </c>
      <c r="D106" s="121">
        <f>IFERROR(VLOOKUP($C106,'Miljövrärden urval för publ'!$B$2:$H$416,MATCH('Miljövärden för publ företag'!D$4,'Miljövrärden urval för publ'!$B$2:$H$2,0),FALSE),"")</f>
        <v>0.15521799999999999</v>
      </c>
      <c r="E106" s="121">
        <f>IFERROR(VLOOKUP($C106,'Miljövrärden urval för publ'!$B$2:$H$416,MATCH('Miljövärden för publ företag'!E$4,'Miljövrärden urval för publ'!$B$2:$H$2,0),FALSE),"")</f>
        <v>25.213799999999999</v>
      </c>
      <c r="F106" s="121">
        <f>IFERROR(VLOOKUP($C106,'Miljövrärden urval för publ'!$B$2:$H$416,MATCH('Miljövärden för publ företag'!F$4,'Miljövrärden urval för publ'!$B$2:$H$2,0),FALSE),"")</f>
        <v>8.0285799999999998</v>
      </c>
      <c r="G106" s="121">
        <f>IFERROR(VLOOKUP($C106,'Miljövrärden urval för publ'!$B$2:$H$416,MATCH('Miljövärden för publ företag'!G$4,'Miljövrärden urval för publ'!$B$2:$H$2,0),FALSE),"")</f>
        <v>3.6027200000000002E-2</v>
      </c>
      <c r="J106" s="121">
        <f t="shared" si="6"/>
        <v>38</v>
      </c>
      <c r="M106" s="121">
        <v>102</v>
      </c>
      <c r="N106" s="121" t="str">
        <f t="shared" si="7"/>
        <v>Södertörns Fjärrvärme AB</v>
      </c>
      <c r="P106" s="296">
        <f t="shared" si="8"/>
        <v>0</v>
      </c>
      <c r="Q106" s="290" t="str">
        <f t="shared" si="5"/>
        <v/>
      </c>
    </row>
    <row r="107" spans="1:17" x14ac:dyDescent="0.25">
      <c r="A107" s="121">
        <v>104</v>
      </c>
      <c r="B107" s="121" t="str">
        <f>IFERROR(INDEX('Miljövrärden urval för publ'!$A$2:$AA$419,MATCH('Miljövärden för publ företag'!$A107,'Miljövrärden urval för publ'!$R$2:$R$416,0),1),"")</f>
        <v>Hedemora Energi AB</v>
      </c>
      <c r="C107" s="121" t="str">
        <f>IFERROR(INDEX('Miljövrärden urval för publ'!$A$2:$AA$419,MATCH('Miljövärden för publ företag'!$A107,'Miljövrärden urval för publ'!$R$2:$R$416,0),2),"")</f>
        <v>Långshyttan</v>
      </c>
      <c r="D107" s="121">
        <f>IFERROR(VLOOKUP($C107,'Miljövrärden urval för publ'!$B$2:$H$416,MATCH('Miljövärden för publ företag'!D$4,'Miljövrärden urval för publ'!$B$2:$H$2,0),FALSE),"")</f>
        <v>0.12710199999999999</v>
      </c>
      <c r="E107" s="121">
        <f>IFERROR(VLOOKUP($C107,'Miljövrärden urval för publ'!$B$2:$H$416,MATCH('Miljövärden för publ företag'!E$4,'Miljövrärden urval för publ'!$B$2:$H$2,0),FALSE),"")</f>
        <v>20.4756</v>
      </c>
      <c r="F107" s="121">
        <f>IFERROR(VLOOKUP($C107,'Miljövrärden urval för publ'!$B$2:$H$416,MATCH('Miljövärden för publ företag'!F$4,'Miljövrärden urval för publ'!$B$2:$H$2,0),FALSE),"")</f>
        <v>9.2443100000000005</v>
      </c>
      <c r="G107" s="121">
        <f>IFERROR(VLOOKUP($C107,'Miljövrärden urval för publ'!$B$2:$H$416,MATCH('Miljövärden för publ företag'!G$4,'Miljövrärden urval för publ'!$B$2:$H$2,0),FALSE),"")</f>
        <v>2.77986E-2</v>
      </c>
      <c r="J107" s="121">
        <f t="shared" si="6"/>
        <v>38</v>
      </c>
      <c r="M107" s="121">
        <v>103</v>
      </c>
      <c r="N107" s="121" t="str">
        <f t="shared" si="7"/>
        <v>Tekniska Verken i Linköping AB</v>
      </c>
      <c r="P107" s="296">
        <f t="shared" si="8"/>
        <v>0</v>
      </c>
      <c r="Q107" s="290" t="str">
        <f t="shared" si="5"/>
        <v/>
      </c>
    </row>
    <row r="108" spans="1:17" x14ac:dyDescent="0.25">
      <c r="A108" s="121">
        <v>105</v>
      </c>
      <c r="B108" s="121" t="str">
        <f>IFERROR(INDEX('Miljövrärden urval för publ'!$A$2:$AA$419,MATCH('Miljövärden för publ företag'!$A108,'Miljövrärden urval för publ'!$R$2:$R$416,0),1),"")</f>
        <v>Hedemora Energi AB</v>
      </c>
      <c r="C108" s="121" t="str">
        <f>IFERROR(INDEX('Miljövrärden urval för publ'!$A$2:$AA$419,MATCH('Miljövärden för publ företag'!$A108,'Miljövrärden urval för publ'!$R$2:$R$416,0),2),"")</f>
        <v>St Skedvi</v>
      </c>
      <c r="D108" s="121">
        <f>IFERROR(VLOOKUP($C108,'Miljövrärden urval för publ'!$B$2:$H$416,MATCH('Miljövärden för publ företag'!D$4,'Miljövrärden urval för publ'!$B$2:$H$2,0),FALSE),"")</f>
        <v>0.17220299999999999</v>
      </c>
      <c r="E108" s="121">
        <f>IFERROR(VLOOKUP($C108,'Miljövrärden urval för publ'!$B$2:$H$416,MATCH('Miljövärden för publ företag'!E$4,'Miljövrärden urval för publ'!$B$2:$H$2,0),FALSE),"")</f>
        <v>32.482999999999997</v>
      </c>
      <c r="F108" s="121">
        <f>IFERROR(VLOOKUP($C108,'Miljövrärden urval för publ'!$B$2:$H$416,MATCH('Miljövärden för publ företag'!F$4,'Miljövrärden urval för publ'!$B$2:$H$2,0),FALSE),"")</f>
        <v>9.6652000000000005</v>
      </c>
      <c r="G108" s="121">
        <f>IFERROR(VLOOKUP($C108,'Miljövrärden urval för publ'!$B$2:$H$416,MATCH('Miljövärden för publ företag'!G$4,'Miljövrärden urval för publ'!$B$2:$H$2,0),FALSE),"")</f>
        <v>6.8420700000000001E-2</v>
      </c>
      <c r="J108" s="121">
        <f t="shared" si="6"/>
        <v>38</v>
      </c>
      <c r="M108" s="121">
        <v>104</v>
      </c>
      <c r="N108" s="121" t="str">
        <f t="shared" si="7"/>
        <v>Telge Nät AB</v>
      </c>
      <c r="P108" s="296">
        <f t="shared" si="8"/>
        <v>0</v>
      </c>
      <c r="Q108" s="290" t="str">
        <f t="shared" si="5"/>
        <v/>
      </c>
    </row>
    <row r="109" spans="1:17" x14ac:dyDescent="0.25">
      <c r="A109" s="121">
        <v>106</v>
      </c>
      <c r="B109" s="121" t="str">
        <f>IFERROR(INDEX('Miljövrärden urval för publ'!$A$2:$AA$419,MATCH('Miljövärden för publ företag'!$A109,'Miljövrärden urval för publ'!$R$2:$R$416,0),1),"")</f>
        <v>Hedemora Energi AB</v>
      </c>
      <c r="C109" s="121" t="str">
        <f>IFERROR(INDEX('Miljövrärden urval för publ'!$A$2:$AA$419,MATCH('Miljövärden för publ företag'!$A109,'Miljövrärden urval för publ'!$R$2:$R$416,0),2),"")</f>
        <v>Säter</v>
      </c>
      <c r="D109" s="121">
        <f>IFERROR(VLOOKUP($C109,'Miljövrärden urval för publ'!$B$2:$H$416,MATCH('Miljövärden för publ företag'!D$4,'Miljövrärden urval för publ'!$B$2:$H$2,0),FALSE),"")</f>
        <v>0.17802599999999999</v>
      </c>
      <c r="E109" s="121">
        <f>IFERROR(VLOOKUP($C109,'Miljövrärden urval för publ'!$B$2:$H$416,MATCH('Miljövärden för publ företag'!E$4,'Miljövrärden urval för publ'!$B$2:$H$2,0),FALSE),"")</f>
        <v>29.973299999999998</v>
      </c>
      <c r="F109" s="121">
        <f>IFERROR(VLOOKUP($C109,'Miljövrärden urval för publ'!$B$2:$H$416,MATCH('Miljövärden för publ företag'!F$4,'Miljövrärden urval för publ'!$B$2:$H$2,0),FALSE),"")</f>
        <v>7.9977</v>
      </c>
      <c r="G109" s="121">
        <f>IFERROR(VLOOKUP($C109,'Miljövrärden urval för publ'!$B$2:$H$416,MATCH('Miljövärden för publ företag'!G$4,'Miljövrärden urval för publ'!$B$2:$H$2,0),FALSE),"")</f>
        <v>5.1295399999999998E-2</v>
      </c>
      <c r="J109" s="121">
        <f t="shared" si="6"/>
        <v>38</v>
      </c>
      <c r="M109" s="121">
        <v>105</v>
      </c>
      <c r="N109" s="121" t="str">
        <f t="shared" si="7"/>
        <v>Tidaholms Energi AB</v>
      </c>
      <c r="P109" s="296">
        <f t="shared" si="8"/>
        <v>0</v>
      </c>
      <c r="Q109" s="290" t="str">
        <f t="shared" si="5"/>
        <v/>
      </c>
    </row>
    <row r="110" spans="1:17" x14ac:dyDescent="0.25">
      <c r="A110" s="121">
        <v>107</v>
      </c>
      <c r="B110" s="121" t="str">
        <f>IFERROR(INDEX('Miljövrärden urval för publ'!$A$2:$AA$419,MATCH('Miljövärden för publ företag'!$A110,'Miljövrärden urval för publ'!$R$2:$R$416,0),1),"")</f>
        <v>Herrljunga Elektriska AB</v>
      </c>
      <c r="C110" s="121" t="str">
        <f>IFERROR(INDEX('Miljövrärden urval för publ'!$A$2:$AA$419,MATCH('Miljövärden för publ företag'!$A110,'Miljövrärden urval för publ'!$R$2:$R$416,0),2),"")</f>
        <v>Herrljunga</v>
      </c>
      <c r="D110" s="121">
        <f>IFERROR(VLOOKUP($C110,'Miljövrärden urval för publ'!$B$2:$H$416,MATCH('Miljövärden för publ företag'!D$4,'Miljövrärden urval för publ'!$B$2:$H$2,0),FALSE),"")</f>
        <v>7.7061900000000003E-2</v>
      </c>
      <c r="E110" s="121">
        <f>IFERROR(VLOOKUP($C110,'Miljövrärden urval för publ'!$B$2:$H$416,MATCH('Miljövärden för publ företag'!E$4,'Miljövrärden urval för publ'!$B$2:$H$2,0),FALSE),"")</f>
        <v>13.5288</v>
      </c>
      <c r="F110" s="121">
        <f>IFERROR(VLOOKUP($C110,'Miljövrärden urval för publ'!$B$2:$H$416,MATCH('Miljövärden för publ företag'!F$4,'Miljövrärden urval för publ'!$B$2:$H$2,0),FALSE),"")</f>
        <v>10.316800000000001</v>
      </c>
      <c r="G110" s="121">
        <f>IFERROR(VLOOKUP($C110,'Miljövrärden urval för publ'!$B$2:$H$416,MATCH('Miljövärden för publ företag'!G$4,'Miljövrärden urval för publ'!$B$2:$H$2,0),FALSE),"")</f>
        <v>1.9530100000000002E-2</v>
      </c>
      <c r="J110" s="121">
        <f t="shared" si="6"/>
        <v>39</v>
      </c>
      <c r="M110" s="121">
        <v>106</v>
      </c>
      <c r="N110" s="121" t="str">
        <f t="shared" si="7"/>
        <v>Tierps Fjärrvärme AB</v>
      </c>
      <c r="P110" s="296">
        <f t="shared" si="8"/>
        <v>0</v>
      </c>
      <c r="Q110" s="290" t="str">
        <f t="shared" si="5"/>
        <v/>
      </c>
    </row>
    <row r="111" spans="1:17" x14ac:dyDescent="0.25">
      <c r="A111" s="121">
        <v>108</v>
      </c>
      <c r="B111" s="121" t="str">
        <f>IFERROR(INDEX('Miljövrärden urval för publ'!$A$2:$AA$419,MATCH('Miljövärden för publ företag'!$A111,'Miljövrärden urval för publ'!$R$2:$R$416,0),1),"")</f>
        <v>Hjo Energi AB</v>
      </c>
      <c r="C111" s="121" t="str">
        <f>IFERROR(INDEX('Miljövrärden urval för publ'!$A$2:$AA$419,MATCH('Miljövärden för publ företag'!$A111,'Miljövrärden urval för publ'!$R$2:$R$416,0),2),"")</f>
        <v>Hjo</v>
      </c>
      <c r="D111" s="121">
        <f>IFERROR(VLOOKUP($C111,'Miljövrärden urval för publ'!$B$2:$H$416,MATCH('Miljövärden för publ företag'!D$4,'Miljövrärden urval för publ'!$B$2:$H$2,0),FALSE),"")</f>
        <v>7.6287999999999995E-2</v>
      </c>
      <c r="E111" s="121">
        <f>IFERROR(VLOOKUP($C111,'Miljövrärden urval för publ'!$B$2:$H$416,MATCH('Miljövärden för publ företag'!E$4,'Miljövrärden urval för publ'!$B$2:$H$2,0),FALSE),"")</f>
        <v>7.4157099999999998</v>
      </c>
      <c r="F111" s="121">
        <f>IFERROR(VLOOKUP($C111,'Miljövrärden urval för publ'!$B$2:$H$416,MATCH('Miljövärden för publ företag'!F$4,'Miljövrärden urval för publ'!$B$2:$H$2,0),FALSE),"")</f>
        <v>9.0249900000000007</v>
      </c>
      <c r="G111" s="121">
        <f>IFERROR(VLOOKUP($C111,'Miljövrärden urval för publ'!$B$2:$H$416,MATCH('Miljövärden för publ företag'!G$4,'Miljövrärden urval för publ'!$B$2:$H$2,0),FALSE),"")</f>
        <v>6.0020400000000002E-3</v>
      </c>
      <c r="J111" s="121">
        <f t="shared" si="6"/>
        <v>40</v>
      </c>
      <c r="M111" s="121">
        <v>107</v>
      </c>
      <c r="N111" s="121" t="str">
        <f t="shared" si="7"/>
        <v>Torsby kommun</v>
      </c>
      <c r="P111" s="296">
        <f t="shared" si="8"/>
        <v>0</v>
      </c>
      <c r="Q111" s="290" t="str">
        <f t="shared" si="5"/>
        <v/>
      </c>
    </row>
    <row r="112" spans="1:17" x14ac:dyDescent="0.25">
      <c r="A112" s="121">
        <v>109</v>
      </c>
      <c r="B112" s="121" t="str">
        <f>IFERROR(INDEX('Miljövrärden urval för publ'!$A$2:$AA$419,MATCH('Miljövärden för publ företag'!$A112,'Miljövrärden urval för publ'!$R$2:$R$416,0),1),"")</f>
        <v>Härnösand Energi &amp; Miljö AB</v>
      </c>
      <c r="C112" s="121" t="str">
        <f>IFERROR(INDEX('Miljövrärden urval för publ'!$A$2:$AA$419,MATCH('Miljövärden för publ företag'!$A112,'Miljövrärden urval för publ'!$R$2:$R$416,0),2),"")</f>
        <v>Härnösand</v>
      </c>
      <c r="D112" s="121">
        <f>IFERROR(VLOOKUP($C112,'Miljövrärden urval för publ'!$B$2:$H$416,MATCH('Miljövärden för publ företag'!D$4,'Miljövrärden urval för publ'!$B$2:$H$2,0),FALSE),"")</f>
        <v>0.16745699999999999</v>
      </c>
      <c r="E112" s="121">
        <f>IFERROR(VLOOKUP($C112,'Miljövrärden urval för publ'!$B$2:$H$416,MATCH('Miljövärden för publ företag'!E$4,'Miljövrärden urval för publ'!$B$2:$H$2,0),FALSE),"")</f>
        <v>56.367699999999999</v>
      </c>
      <c r="F112" s="121">
        <f>IFERROR(VLOOKUP($C112,'Miljövrärden urval för publ'!$B$2:$H$416,MATCH('Miljövärden för publ företag'!F$4,'Miljövrärden urval för publ'!$B$2:$H$2,0),FALSE),"")</f>
        <v>9.4693100000000001</v>
      </c>
      <c r="G112" s="121">
        <f>IFERROR(VLOOKUP($C112,'Miljövrärden urval för publ'!$B$2:$H$416,MATCH('Miljövärden för publ företag'!G$4,'Miljövrärden urval för publ'!$B$2:$H$2,0),FALSE),"")</f>
        <v>1.17705E-2</v>
      </c>
      <c r="J112" s="121">
        <f t="shared" si="6"/>
        <v>41</v>
      </c>
      <c r="M112" s="121">
        <v>108</v>
      </c>
      <c r="N112" s="121" t="str">
        <f t="shared" si="7"/>
        <v>Torsås fjärrvärmenät AB</v>
      </c>
      <c r="P112" s="296">
        <f t="shared" si="8"/>
        <v>0</v>
      </c>
      <c r="Q112" s="290" t="str">
        <f t="shared" si="5"/>
        <v/>
      </c>
    </row>
    <row r="113" spans="1:17" x14ac:dyDescent="0.25">
      <c r="A113" s="121">
        <v>110</v>
      </c>
      <c r="B113" s="121" t="str">
        <f>IFERROR(INDEX('Miljövrärden urval för publ'!$A$2:$AA$419,MATCH('Miljövärden för publ företag'!$A113,'Miljövrärden urval för publ'!$R$2:$R$416,0),1),"")</f>
        <v>Hässleholm Miljö AB</v>
      </c>
      <c r="C113" s="121" t="str">
        <f>IFERROR(INDEX('Miljövrärden urval för publ'!$A$2:$AA$419,MATCH('Miljövärden för publ företag'!$A113,'Miljövrärden urval för publ'!$R$2:$R$416,0),2),"")</f>
        <v>Hässleholm</v>
      </c>
      <c r="D113" s="121">
        <f>IFERROR(VLOOKUP($C113,'Miljövrärden urval för publ'!$B$2:$H$416,MATCH('Miljövärden för publ företag'!D$4,'Miljövrärden urval för publ'!$B$2:$H$2,0),FALSE),"")</f>
        <v>9.9837999999999996E-2</v>
      </c>
      <c r="E113" s="121">
        <f>IFERROR(VLOOKUP($C113,'Miljövrärden urval för publ'!$B$2:$H$416,MATCH('Miljövärden för publ företag'!E$4,'Miljövrärden urval för publ'!$B$2:$H$2,0),FALSE),"")</f>
        <v>96.654700000000005</v>
      </c>
      <c r="F113" s="121">
        <f>IFERROR(VLOOKUP($C113,'Miljövrärden urval för publ'!$B$2:$H$416,MATCH('Miljövärden för publ företag'!F$4,'Miljövrärden urval för publ'!$B$2:$H$2,0),FALSE),"")</f>
        <v>5.87174</v>
      </c>
      <c r="G113" s="121">
        <f>IFERROR(VLOOKUP($C113,'Miljövrärden urval för publ'!$B$2:$H$416,MATCH('Miljövärden för publ företag'!G$4,'Miljövrärden urval för publ'!$B$2:$H$2,0),FALSE),"")</f>
        <v>4.6521799999999997E-3</v>
      </c>
      <c r="J113" s="121">
        <f t="shared" si="6"/>
        <v>42</v>
      </c>
      <c r="M113" s="121">
        <v>109</v>
      </c>
      <c r="N113" s="121" t="str">
        <f t="shared" si="7"/>
        <v>Tranås Energi AB</v>
      </c>
      <c r="P113" s="296">
        <f t="shared" si="8"/>
        <v>0</v>
      </c>
      <c r="Q113" s="290" t="str">
        <f t="shared" si="5"/>
        <v/>
      </c>
    </row>
    <row r="114" spans="1:17" x14ac:dyDescent="0.25">
      <c r="A114" s="121">
        <v>111</v>
      </c>
      <c r="B114" s="121" t="str">
        <f>IFERROR(INDEX('Miljövrärden urval för publ'!$A$2:$AA$419,MATCH('Miljövärden för publ företag'!$A114,'Miljövrärden urval för publ'!$R$2:$R$416,0),1),"")</f>
        <v>Hässleholm Miljö AB</v>
      </c>
      <c r="C114" s="121" t="str">
        <f>IFERROR(INDEX('Miljövrärden urval för publ'!$A$2:$AA$419,MATCH('Miljövärden för publ företag'!$A114,'Miljövrärden urval för publ'!$R$2:$R$416,0),2),"")</f>
        <v>Tyringe</v>
      </c>
      <c r="D114" s="121">
        <f>IFERROR(VLOOKUP($C114,'Miljövrärden urval för publ'!$B$2:$H$416,MATCH('Miljövärden för publ företag'!D$4,'Miljövrärden urval för publ'!$B$2:$H$2,0),FALSE),"")</f>
        <v>7.6952900000000005E-2</v>
      </c>
      <c r="E114" s="121">
        <f>IFERROR(VLOOKUP($C114,'Miljövrärden urval för publ'!$B$2:$H$416,MATCH('Miljövärden för publ företag'!E$4,'Miljövrärden urval för publ'!$B$2:$H$2,0),FALSE),"")</f>
        <v>5.6906100000000004</v>
      </c>
      <c r="F114" s="121">
        <f>IFERROR(VLOOKUP($C114,'Miljövrärden urval för publ'!$B$2:$H$416,MATCH('Miljövärden för publ företag'!F$4,'Miljövrärden urval för publ'!$B$2:$H$2,0),FALSE),"")</f>
        <v>10.001200000000001</v>
      </c>
      <c r="G114" s="121">
        <f>IFERROR(VLOOKUP($C114,'Miljövrärden urval för publ'!$B$2:$H$416,MATCH('Miljövärden för publ företag'!G$4,'Miljövrärden urval för publ'!$B$2:$H$2,0),FALSE),"")</f>
        <v>0</v>
      </c>
      <c r="J114" s="121">
        <f t="shared" si="6"/>
        <v>42</v>
      </c>
      <c r="M114" s="121">
        <v>110</v>
      </c>
      <c r="N114" s="121" t="str">
        <f t="shared" si="7"/>
        <v>Trollhättan Energi AB</v>
      </c>
      <c r="P114" s="296">
        <f t="shared" si="8"/>
        <v>0</v>
      </c>
      <c r="Q114" s="290" t="str">
        <f t="shared" si="5"/>
        <v/>
      </c>
    </row>
    <row r="115" spans="1:17" x14ac:dyDescent="0.25">
      <c r="A115" s="121">
        <v>112</v>
      </c>
      <c r="B115" s="121" t="str">
        <f>IFERROR(INDEX('Miljövrärden urval för publ'!$A$2:$AA$419,MATCH('Miljövärden för publ företag'!$A115,'Miljövrärden urval för publ'!$R$2:$R$416,0),1),"")</f>
        <v>Höganäs Energi AB</v>
      </c>
      <c r="C115" s="121" t="str">
        <f>IFERROR(INDEX('Miljövrärden urval för publ'!$A$2:$AA$419,MATCH('Miljövärden för publ företag'!$A115,'Miljövrärden urval för publ'!$R$2:$R$416,0),2),"")</f>
        <v>Höganäs</v>
      </c>
      <c r="D115" s="121">
        <f>IFERROR(VLOOKUP($C115,'Miljövrärden urval för publ'!$B$2:$H$416,MATCH('Miljövärden för publ företag'!D$4,'Miljövrärden urval för publ'!$B$2:$H$2,0),FALSE),"")</f>
        <v>1.5989099999999999E-2</v>
      </c>
      <c r="E115" s="121">
        <f>IFERROR(VLOOKUP($C115,'Miljövrärden urval för publ'!$B$2:$H$416,MATCH('Miljövärden för publ företag'!E$4,'Miljövrärden urval för publ'!$B$2:$H$2,0),FALSE),"")</f>
        <v>0.214388</v>
      </c>
      <c r="F115" s="121">
        <f>IFERROR(VLOOKUP($C115,'Miljövrärden urval för publ'!$B$2:$H$416,MATCH('Miljövärden för publ företag'!F$4,'Miljövrärden urval för publ'!$B$2:$H$2,0),FALSE),"")</f>
        <v>0.60380299999999998</v>
      </c>
      <c r="G115" s="121">
        <f>IFERROR(VLOOKUP($C115,'Miljövrärden urval för publ'!$B$2:$H$416,MATCH('Miljövärden för publ företag'!G$4,'Miljövrärden urval för publ'!$B$2:$H$2,0),FALSE),"")</f>
        <v>2.8238500000000001E-4</v>
      </c>
      <c r="J115" s="121">
        <f t="shared" si="6"/>
        <v>43</v>
      </c>
      <c r="M115" s="121">
        <v>111</v>
      </c>
      <c r="N115" s="121" t="str">
        <f t="shared" si="7"/>
        <v>Uddevalla Energi AB</v>
      </c>
      <c r="P115" s="296">
        <f t="shared" si="8"/>
        <v>0</v>
      </c>
      <c r="Q115" s="290" t="str">
        <f t="shared" si="5"/>
        <v/>
      </c>
    </row>
    <row r="116" spans="1:17" x14ac:dyDescent="0.25">
      <c r="A116" s="121">
        <v>113</v>
      </c>
      <c r="B116" s="121" t="str">
        <f>IFERROR(INDEX('Miljövrärden urval för publ'!$A$2:$AA$419,MATCH('Miljövärden för publ företag'!$A116,'Miljövrärden urval för publ'!$R$2:$R$416,0),1),"")</f>
        <v>Jokkmokks Värmeverk AB</v>
      </c>
      <c r="C116" s="121" t="str">
        <f>IFERROR(INDEX('Miljövrärden urval för publ'!$A$2:$AA$419,MATCH('Miljövärden för publ företag'!$A116,'Miljövrärden urval för publ'!$R$2:$R$416,0),2),"")</f>
        <v>Jokkmokk</v>
      </c>
      <c r="D116" s="121">
        <f>IFERROR(VLOOKUP($C116,'Miljövrärden urval för publ'!$B$2:$H$416,MATCH('Miljövärden för publ företag'!D$4,'Miljövrärden urval för publ'!$B$2:$H$2,0),FALSE),"")</f>
        <v>0.14491399999999999</v>
      </c>
      <c r="E116" s="121">
        <f>IFERROR(VLOOKUP($C116,'Miljövrärden urval för publ'!$B$2:$H$416,MATCH('Miljövärden för publ företag'!E$4,'Miljövrärden urval för publ'!$B$2:$H$2,0),FALSE),"")</f>
        <v>19.665099999999999</v>
      </c>
      <c r="F116" s="121">
        <f>IFERROR(VLOOKUP($C116,'Miljövrärden urval för publ'!$B$2:$H$416,MATCH('Miljövärden för publ företag'!F$4,'Miljövrärden urval för publ'!$B$2:$H$2,0),FALSE),"")</f>
        <v>10.045999999999999</v>
      </c>
      <c r="G116" s="121">
        <f>IFERROR(VLOOKUP($C116,'Miljövrärden urval för publ'!$B$2:$H$416,MATCH('Miljövärden för publ företag'!G$4,'Miljövrärden urval för publ'!$B$2:$H$2,0),FALSE),"")</f>
        <v>1.66473E-2</v>
      </c>
      <c r="J116" s="121">
        <f t="shared" si="6"/>
        <v>44</v>
      </c>
      <c r="M116" s="121">
        <v>112</v>
      </c>
      <c r="N116" s="121" t="str">
        <f t="shared" si="7"/>
        <v>Ulricehamns Energi AB</v>
      </c>
      <c r="P116" s="296">
        <f t="shared" si="8"/>
        <v>0</v>
      </c>
      <c r="Q116" s="290" t="str">
        <f t="shared" si="5"/>
        <v/>
      </c>
    </row>
    <row r="117" spans="1:17" x14ac:dyDescent="0.25">
      <c r="A117" s="121">
        <v>114</v>
      </c>
      <c r="B117" s="121" t="str">
        <f>IFERROR(INDEX('Miljövrärden urval för publ'!$A$2:$AA$419,MATCH('Miljövärden för publ företag'!$A117,'Miljövrärden urval för publ'!$R$2:$R$416,0),1),"")</f>
        <v>Jämtkraft AB</v>
      </c>
      <c r="C117" s="121" t="str">
        <f>IFERROR(INDEX('Miljövrärden urval för publ'!$A$2:$AA$419,MATCH('Miljövärden för publ företag'!$A117,'Miljövrärden urval för publ'!$R$2:$R$416,0),2),"")</f>
        <v>Krokom</v>
      </c>
      <c r="D117" s="121">
        <f>IFERROR(VLOOKUP($C117,'Miljövrärden urval för publ'!$B$2:$H$416,MATCH('Miljövärden för publ företag'!D$4,'Miljövrärden urval för publ'!$B$2:$H$2,0),FALSE),"")</f>
        <v>0.160965</v>
      </c>
      <c r="E117" s="121">
        <f>IFERROR(VLOOKUP($C117,'Miljövrärden urval för publ'!$B$2:$H$416,MATCH('Miljövärden för publ företag'!E$4,'Miljövrärden urval för publ'!$B$2:$H$2,0),FALSE),"")</f>
        <v>9.5484899999999993</v>
      </c>
      <c r="F117" s="121">
        <f>IFERROR(VLOOKUP($C117,'Miljövrärden urval för publ'!$B$2:$H$416,MATCH('Miljövärden för publ företag'!F$4,'Miljövrärden urval för publ'!$B$2:$H$2,0),FALSE),"")</f>
        <v>12.0413</v>
      </c>
      <c r="G117" s="121">
        <f>IFERROR(VLOOKUP($C117,'Miljövrärden urval för publ'!$B$2:$H$416,MATCH('Miljövärden för publ företag'!G$4,'Miljövrärden urval för publ'!$B$2:$H$2,0),FALSE),"")</f>
        <v>1.1535800000000001E-2</v>
      </c>
      <c r="J117" s="121">
        <f t="shared" si="6"/>
        <v>45</v>
      </c>
      <c r="M117" s="121">
        <v>113</v>
      </c>
      <c r="N117" s="121" t="str">
        <f t="shared" si="7"/>
        <v>Umeå Energi AB</v>
      </c>
      <c r="P117" s="296">
        <f t="shared" si="8"/>
        <v>0</v>
      </c>
      <c r="Q117" s="290" t="str">
        <f t="shared" si="5"/>
        <v/>
      </c>
    </row>
    <row r="118" spans="1:17" x14ac:dyDescent="0.25">
      <c r="A118" s="121">
        <v>115</v>
      </c>
      <c r="B118" s="121" t="str">
        <f>IFERROR(INDEX('Miljövrärden urval för publ'!$A$2:$AA$419,MATCH('Miljövärden för publ företag'!$A118,'Miljövrärden urval för publ'!$R$2:$R$416,0),1),"")</f>
        <v>Jämtkraft AB</v>
      </c>
      <c r="C118" s="121" t="str">
        <f>IFERROR(INDEX('Miljövrärden urval för publ'!$A$2:$AA$419,MATCH('Miljövärden för publ företag'!$A118,'Miljövrärden urval för publ'!$R$2:$R$416,0),2),"")</f>
        <v>Åre</v>
      </c>
      <c r="D118" s="121">
        <f>IFERROR(VLOOKUP($C118,'Miljövrärden urval för publ'!$B$2:$H$416,MATCH('Miljövärden för publ företag'!D$4,'Miljövrärden urval för publ'!$B$2:$H$2,0),FALSE),"")</f>
        <v>9.9132300000000007E-2</v>
      </c>
      <c r="E118" s="121">
        <f>IFERROR(VLOOKUP($C118,'Miljövrärden urval för publ'!$B$2:$H$416,MATCH('Miljövärden för publ företag'!E$4,'Miljövrärden urval för publ'!$B$2:$H$2,0),FALSE),"")</f>
        <v>6.2797200000000002</v>
      </c>
      <c r="F118" s="121">
        <f>IFERROR(VLOOKUP($C118,'Miljövrärden urval för publ'!$B$2:$H$416,MATCH('Miljövärden för publ företag'!F$4,'Miljövrärden urval för publ'!$B$2:$H$2,0),FALSE),"")</f>
        <v>9.9527999999999999</v>
      </c>
      <c r="G118" s="121">
        <f>IFERROR(VLOOKUP($C118,'Miljövrärden urval för publ'!$B$2:$H$416,MATCH('Miljövärden för publ företag'!G$4,'Miljövrärden urval för publ'!$B$2:$H$2,0),FALSE),"")</f>
        <v>3.65782E-3</v>
      </c>
      <c r="J118" s="121">
        <f t="shared" si="6"/>
        <v>45</v>
      </c>
      <c r="M118" s="121">
        <v>114</v>
      </c>
      <c r="N118" s="121" t="str">
        <f t="shared" si="7"/>
        <v>Vaggeryds Energi AB</v>
      </c>
      <c r="P118" s="296">
        <f t="shared" si="8"/>
        <v>0</v>
      </c>
      <c r="Q118" s="290" t="str">
        <f t="shared" si="5"/>
        <v/>
      </c>
    </row>
    <row r="119" spans="1:17" x14ac:dyDescent="0.25">
      <c r="A119" s="121">
        <v>116</v>
      </c>
      <c r="B119" s="121" t="str">
        <f>IFERROR(INDEX('Miljövrärden urval för publ'!$A$2:$AA$419,MATCH('Miljövärden för publ företag'!$A119,'Miljövrärden urval för publ'!$R$2:$R$416,0),1),"")</f>
        <v>Jämtkraft AB</v>
      </c>
      <c r="C119" s="121" t="str">
        <f>IFERROR(INDEX('Miljövrärden urval för publ'!$A$2:$AA$419,MATCH('Miljövärden för publ företag'!$A119,'Miljövrärden urval för publ'!$R$2:$R$416,0),2),"")</f>
        <v>Östersund</v>
      </c>
      <c r="D119" s="121">
        <f>IFERROR(VLOOKUP($C119,'Miljövrärden urval för publ'!$B$2:$H$416,MATCH('Miljövärden för publ företag'!D$4,'Miljövrärden urval för publ'!$B$2:$H$2,0),FALSE),"")</f>
        <v>0.13127900000000001</v>
      </c>
      <c r="E119" s="121">
        <f>IFERROR(VLOOKUP($C119,'Miljövrärden urval för publ'!$B$2:$H$416,MATCH('Miljövärden för publ företag'!E$4,'Miljövrärden urval för publ'!$B$2:$H$2,0),FALSE),"")</f>
        <v>28.7864</v>
      </c>
      <c r="F119" s="121">
        <f>IFERROR(VLOOKUP($C119,'Miljövrärden urval för publ'!$B$2:$H$416,MATCH('Miljövärden för publ företag'!F$4,'Miljövrärden urval för publ'!$B$2:$H$2,0),FALSE),"")</f>
        <v>6.6769299999999996</v>
      </c>
      <c r="G119" s="121">
        <f>IFERROR(VLOOKUP($C119,'Miljövrärden urval för publ'!$B$2:$H$416,MATCH('Miljövärden för publ företag'!G$4,'Miljövrärden urval för publ'!$B$2:$H$2,0),FALSE),"")</f>
        <v>1.9982E-2</v>
      </c>
      <c r="J119" s="121">
        <f t="shared" si="6"/>
        <v>45</v>
      </c>
      <c r="M119" s="121">
        <v>115</v>
      </c>
      <c r="N119" s="121" t="str">
        <f t="shared" si="7"/>
        <v>Vara Energi Värme AB</v>
      </c>
      <c r="P119" s="296">
        <f t="shared" si="8"/>
        <v>0</v>
      </c>
      <c r="Q119" s="290" t="str">
        <f t="shared" si="5"/>
        <v/>
      </c>
    </row>
    <row r="120" spans="1:17" x14ac:dyDescent="0.25">
      <c r="A120" s="121">
        <v>117</v>
      </c>
      <c r="B120" s="121" t="str">
        <f>IFERROR(INDEX('Miljövrärden urval för publ'!$A$2:$AA$419,MATCH('Miljövärden för publ företag'!$A120,'Miljövrärden urval för publ'!$R$2:$R$416,0),1),"")</f>
        <v>Jämtlands Värme AB</v>
      </c>
      <c r="C120" s="121" t="str">
        <f>IFERROR(INDEX('Miljövrärden urval för publ'!$A$2:$AA$419,MATCH('Miljövärden för publ företag'!$A120,'Miljövrärden urval för publ'!$R$2:$R$416,0),2),"")</f>
        <v>Strömsund</v>
      </c>
      <c r="D120" s="121">
        <f>IFERROR(VLOOKUP($C120,'Miljövrärden urval för publ'!$B$2:$H$416,MATCH('Miljövärden för publ företag'!D$4,'Miljövrärden urval för publ'!$B$2:$H$2,0),FALSE),"")</f>
        <v>0.15041499999999999</v>
      </c>
      <c r="E120" s="121">
        <f>IFERROR(VLOOKUP($C120,'Miljövrärden urval för publ'!$B$2:$H$416,MATCH('Miljövärden för publ företag'!E$4,'Miljövrärden urval för publ'!$B$2:$H$2,0),FALSE),"")</f>
        <v>20.239599999999999</v>
      </c>
      <c r="F120" s="121">
        <f>IFERROR(VLOOKUP($C120,'Miljövrärden urval för publ'!$B$2:$H$416,MATCH('Miljövärden för publ företag'!F$4,'Miljövrärden urval för publ'!$B$2:$H$2,0),FALSE),"")</f>
        <v>11.8004</v>
      </c>
      <c r="G120" s="121">
        <f>IFERROR(VLOOKUP($C120,'Miljövrärden urval för publ'!$B$2:$H$416,MATCH('Miljövärden för publ företag'!G$4,'Miljövrärden urval för publ'!$B$2:$H$2,0),FALSE),"")</f>
        <v>2.00901E-2</v>
      </c>
      <c r="J120" s="121">
        <f t="shared" si="6"/>
        <v>46</v>
      </c>
      <c r="M120" s="121">
        <v>116</v>
      </c>
      <c r="N120" s="121" t="str">
        <f t="shared" si="7"/>
        <v>Varberg Energi AB</v>
      </c>
      <c r="P120" s="296">
        <f t="shared" si="8"/>
        <v>0</v>
      </c>
      <c r="Q120" s="290" t="str">
        <f t="shared" si="5"/>
        <v/>
      </c>
    </row>
    <row r="121" spans="1:17" x14ac:dyDescent="0.25">
      <c r="A121" s="121">
        <v>118</v>
      </c>
      <c r="B121" s="121" t="str">
        <f>IFERROR(INDEX('Miljövrärden urval för publ'!$A$2:$AA$419,MATCH('Miljövärden för publ företag'!$A121,'Miljövrärden urval för publ'!$R$2:$R$416,0),1),"")</f>
        <v>Jönköping Energi AB</v>
      </c>
      <c r="C121" s="121" t="str">
        <f>IFERROR(INDEX('Miljövrärden urval för publ'!$A$2:$AA$419,MATCH('Miljövärden för publ företag'!$A121,'Miljövrärden urval för publ'!$R$2:$R$416,0),2),"")</f>
        <v>Gränna</v>
      </c>
      <c r="D121" s="121">
        <f>IFERROR(VLOOKUP($C121,'Miljövrärden urval för publ'!$B$2:$H$416,MATCH('Miljövärden för publ företag'!D$4,'Miljövrärden urval för publ'!$B$2:$H$2,0),FALSE),"")</f>
        <v>0.14960699999999999</v>
      </c>
      <c r="E121" s="121">
        <f>IFERROR(VLOOKUP($C121,'Miljövrärden urval för publ'!$B$2:$H$416,MATCH('Miljövärden för publ företag'!E$4,'Miljövrärden urval för publ'!$B$2:$H$2,0),FALSE),"")</f>
        <v>11.651300000000001</v>
      </c>
      <c r="F121" s="121">
        <f>IFERROR(VLOOKUP($C121,'Miljövrärden urval för publ'!$B$2:$H$416,MATCH('Miljövärden för publ företag'!F$4,'Miljövrärden urval för publ'!$B$2:$H$2,0),FALSE),"")</f>
        <v>9.6923100000000009</v>
      </c>
      <c r="G121" s="121">
        <f>IFERROR(VLOOKUP($C121,'Miljövrärden urval för publ'!$B$2:$H$416,MATCH('Miljövärden för publ företag'!G$4,'Miljövrärden urval för publ'!$B$2:$H$2,0),FALSE),"")</f>
        <v>1.51188E-2</v>
      </c>
      <c r="J121" s="121">
        <f t="shared" si="6"/>
        <v>47</v>
      </c>
      <c r="M121" s="121">
        <v>117</v>
      </c>
      <c r="N121" s="121" t="str">
        <f t="shared" si="7"/>
        <v>Vasa Värme Holding AB</v>
      </c>
      <c r="P121" s="296">
        <f t="shared" si="8"/>
        <v>0</v>
      </c>
      <c r="Q121" s="290" t="str">
        <f t="shared" si="5"/>
        <v/>
      </c>
    </row>
    <row r="122" spans="1:17" x14ac:dyDescent="0.25">
      <c r="A122" s="121">
        <v>119</v>
      </c>
      <c r="B122" s="121" t="str">
        <f>IFERROR(INDEX('Miljövrärden urval för publ'!$A$2:$AA$419,MATCH('Miljövärden för publ företag'!$A122,'Miljövrärden urval för publ'!$R$2:$R$416,0),1),"")</f>
        <v>Jönköping Energi AB</v>
      </c>
      <c r="C122" s="121" t="str">
        <f>IFERROR(INDEX('Miljövrärden urval för publ'!$A$2:$AA$419,MATCH('Miljövärden för publ företag'!$A122,'Miljövrärden urval för publ'!$R$2:$R$416,0),2),"")</f>
        <v>Jönköping</v>
      </c>
      <c r="D122" s="121">
        <f>IFERROR(VLOOKUP($C122,'Miljövrärden urval för publ'!$B$2:$H$416,MATCH('Miljövärden för publ företag'!D$4,'Miljövrärden urval för publ'!$B$2:$H$2,0),FALSE),"")</f>
        <v>0.159631</v>
      </c>
      <c r="E122" s="121">
        <f>IFERROR(VLOOKUP($C122,'Miljövrärden urval för publ'!$B$2:$H$416,MATCH('Miljövärden för publ företag'!E$4,'Miljövrärden urval för publ'!$B$2:$H$2,0),FALSE),"")</f>
        <v>56.293100000000003</v>
      </c>
      <c r="F122" s="121">
        <f>IFERROR(VLOOKUP($C122,'Miljövrärden urval för publ'!$B$2:$H$416,MATCH('Miljövärden för publ företag'!F$4,'Miljövrärden urval för publ'!$B$2:$H$2,0),FALSE),"")</f>
        <v>5.7362399999999996</v>
      </c>
      <c r="G122" s="121">
        <f>IFERROR(VLOOKUP($C122,'Miljövrärden urval för publ'!$B$2:$H$416,MATCH('Miljövärden för publ företag'!G$4,'Miljövrärden urval för publ'!$B$2:$H$2,0),FALSE),"")</f>
        <v>2.32248E-2</v>
      </c>
      <c r="J122" s="121">
        <f t="shared" si="6"/>
        <v>47</v>
      </c>
      <c r="M122" s="121">
        <v>118</v>
      </c>
      <c r="N122" s="121" t="str">
        <f t="shared" si="7"/>
        <v>Vattenfall AB</v>
      </c>
      <c r="P122" s="296">
        <f t="shared" si="8"/>
        <v>0</v>
      </c>
      <c r="Q122" s="290" t="str">
        <f t="shared" si="5"/>
        <v/>
      </c>
    </row>
    <row r="123" spans="1:17" x14ac:dyDescent="0.25">
      <c r="A123" s="121">
        <v>120</v>
      </c>
      <c r="B123" s="121" t="str">
        <f>IFERROR(INDEX('Miljövrärden urval för publ'!$A$2:$AA$419,MATCH('Miljövärden för publ företag'!$A123,'Miljövrärden urval för publ'!$R$2:$R$416,0),1),"")</f>
        <v>Jönköping Energi AB</v>
      </c>
      <c r="C123" s="121" t="str">
        <f>IFERROR(INDEX('Miljövrärden urval för publ'!$A$2:$AA$419,MATCH('Miljövärden för publ företag'!$A123,'Miljövrärden urval för publ'!$R$2:$R$416,0),2),"")</f>
        <v>Stigamo</v>
      </c>
      <c r="D123" s="121">
        <f>IFERROR(VLOOKUP($C123,'Miljövrärden urval för publ'!$B$2:$H$416,MATCH('Miljövärden för publ företag'!D$4,'Miljövrärden urval för publ'!$B$2:$H$2,0),FALSE),"")</f>
        <v>0.25990400000000002</v>
      </c>
      <c r="E123" s="121">
        <f>IFERROR(VLOOKUP($C123,'Miljövrärden urval för publ'!$B$2:$H$416,MATCH('Miljövärden för publ företag'!E$4,'Miljövrärden urval för publ'!$B$2:$H$2,0),FALSE),"")</f>
        <v>17.515899999999998</v>
      </c>
      <c r="F123" s="121">
        <f>IFERROR(VLOOKUP($C123,'Miljövrärden urval för publ'!$B$2:$H$416,MATCH('Miljövärden för publ företag'!F$4,'Miljövrärden urval för publ'!$B$2:$H$2,0),FALSE),"")</f>
        <v>20.465</v>
      </c>
      <c r="G123" s="121">
        <f>IFERROR(VLOOKUP($C123,'Miljövrärden urval för publ'!$B$2:$H$416,MATCH('Miljövärden för publ företag'!G$4,'Miljövrärden urval för publ'!$B$2:$H$2,0),FALSE),"")</f>
        <v>3.0434800000000001E-2</v>
      </c>
      <c r="J123" s="121">
        <f t="shared" si="6"/>
        <v>47</v>
      </c>
      <c r="M123" s="121">
        <v>119</v>
      </c>
      <c r="N123" s="121" t="str">
        <f t="shared" si="7"/>
        <v>Veolia</v>
      </c>
      <c r="P123" s="296">
        <f t="shared" si="8"/>
        <v>0</v>
      </c>
      <c r="Q123" s="290" t="str">
        <f t="shared" si="5"/>
        <v/>
      </c>
    </row>
    <row r="124" spans="1:17" x14ac:dyDescent="0.25">
      <c r="A124" s="121">
        <v>121</v>
      </c>
      <c r="B124" s="121" t="str">
        <f>IFERROR(INDEX('Miljövrärden urval för publ'!$A$2:$AA$419,MATCH('Miljövärden för publ företag'!$A124,'Miljövrärden urval för publ'!$R$2:$R$416,0),1),"")</f>
        <v>Kalmar Energi Värme AB</v>
      </c>
      <c r="C124" s="121" t="str">
        <f>IFERROR(INDEX('Miljövrärden urval för publ'!$A$2:$AA$419,MATCH('Miljövärden för publ företag'!$A124,'Miljövrärden urval för publ'!$R$2:$R$416,0),2),"")</f>
        <v>Kalmar</v>
      </c>
      <c r="D124" s="121">
        <f>IFERROR(VLOOKUP($C124,'Miljövrärden urval för publ'!$B$2:$H$416,MATCH('Miljövärden för publ företag'!D$4,'Miljövrärden urval för publ'!$B$2:$H$2,0),FALSE),"")</f>
        <v>8.6381899999999998E-2</v>
      </c>
      <c r="E124" s="121">
        <f>IFERROR(VLOOKUP($C124,'Miljövrärden urval för publ'!$B$2:$H$416,MATCH('Miljövärden för publ företag'!E$4,'Miljövrärden urval för publ'!$B$2:$H$2,0),FALSE),"")</f>
        <v>4.0436699999999997</v>
      </c>
      <c r="F124" s="121">
        <f>IFERROR(VLOOKUP($C124,'Miljövrärden urval för publ'!$B$2:$H$416,MATCH('Miljövärden för publ företag'!F$4,'Miljövrärden urval för publ'!$B$2:$H$2,0),FALSE),"")</f>
        <v>6.5823299999999998</v>
      </c>
      <c r="G124" s="121">
        <f>IFERROR(VLOOKUP($C124,'Miljövrärden urval för publ'!$B$2:$H$416,MATCH('Miljövärden för publ företag'!G$4,'Miljövrärden urval för publ'!$B$2:$H$2,0),FALSE),"")</f>
        <v>3.6148399999999998E-3</v>
      </c>
      <c r="J124" s="121">
        <f t="shared" si="6"/>
        <v>48</v>
      </c>
      <c r="M124" s="121">
        <v>120</v>
      </c>
      <c r="N124" s="121" t="str">
        <f t="shared" si="7"/>
        <v>Vimmerby Energi &amp; Miljö AB</v>
      </c>
      <c r="P124" s="296">
        <f t="shared" si="8"/>
        <v>0</v>
      </c>
      <c r="Q124" s="290" t="str">
        <f t="shared" si="5"/>
        <v/>
      </c>
    </row>
    <row r="125" spans="1:17" x14ac:dyDescent="0.25">
      <c r="A125" s="121">
        <v>122</v>
      </c>
      <c r="B125" s="121" t="str">
        <f>IFERROR(INDEX('Miljövrärden urval för publ'!$A$2:$AA$419,MATCH('Miljövärden för publ företag'!$A125,'Miljövrärden urval för publ'!$R$2:$R$416,0),1),"")</f>
        <v>Karlsborgs Värme AB</v>
      </c>
      <c r="C125" s="121" t="str">
        <f>IFERROR(INDEX('Miljövrärden urval för publ'!$A$2:$AA$419,MATCH('Miljövärden för publ företag'!$A125,'Miljövrärden urval för publ'!$R$2:$R$416,0),2),"")</f>
        <v>Karlsborg</v>
      </c>
      <c r="D125" s="121">
        <f>IFERROR(VLOOKUP($C125,'Miljövrärden urval för publ'!$B$2:$H$416,MATCH('Miljövärden för publ företag'!D$4,'Miljövrärden urval för publ'!$B$2:$H$2,0),FALSE),"")</f>
        <v>0.16819999999999999</v>
      </c>
      <c r="E125" s="121">
        <f>IFERROR(VLOOKUP($C125,'Miljövrärden urval för publ'!$B$2:$H$416,MATCH('Miljövärden för publ företag'!E$4,'Miljövrärden urval för publ'!$B$2:$H$2,0),FALSE),"")</f>
        <v>26.191099999999999</v>
      </c>
      <c r="F125" s="121">
        <f>IFERROR(VLOOKUP($C125,'Miljövrärden urval för publ'!$B$2:$H$416,MATCH('Miljövärden för publ företag'!F$4,'Miljövrärden urval för publ'!$B$2:$H$2,0),FALSE),"")</f>
        <v>9.9466900000000003</v>
      </c>
      <c r="G125" s="121">
        <f>IFERROR(VLOOKUP($C125,'Miljövrärden urval för publ'!$B$2:$H$416,MATCH('Miljövärden för publ företag'!G$4,'Miljövrärden urval för publ'!$B$2:$H$2,0),FALSE),"")</f>
        <v>3.7897199999999999E-2</v>
      </c>
      <c r="J125" s="121">
        <f t="shared" si="6"/>
        <v>49</v>
      </c>
      <c r="M125" s="121">
        <v>121</v>
      </c>
      <c r="N125" s="121" t="str">
        <f t="shared" si="7"/>
        <v>VänerEnergi AB</v>
      </c>
      <c r="P125" s="296">
        <f t="shared" si="8"/>
        <v>0</v>
      </c>
      <c r="Q125" s="290" t="str">
        <f t="shared" si="5"/>
        <v/>
      </c>
    </row>
    <row r="126" spans="1:17" x14ac:dyDescent="0.25">
      <c r="A126" s="121">
        <v>123</v>
      </c>
      <c r="B126" s="121" t="str">
        <f>IFERROR(INDEX('Miljövrärden urval för publ'!$A$2:$AA$419,MATCH('Miljövärden för publ företag'!$A126,'Miljövrärden urval för publ'!$R$2:$R$416,0),1),"")</f>
        <v>Karlshamn Energi AB</v>
      </c>
      <c r="C126" s="121" t="str">
        <f>IFERROR(INDEX('Miljövrärden urval för publ'!$A$2:$AA$419,MATCH('Miljövärden för publ företag'!$A126,'Miljövrärden urval för publ'!$R$2:$R$416,0),2),"")</f>
        <v>Karlshamn</v>
      </c>
      <c r="D126" s="121">
        <f>IFERROR(VLOOKUP($C126,'Miljövrärden urval för publ'!$B$2:$H$416,MATCH('Miljövärden för publ företag'!D$4,'Miljövrärden urval för publ'!$B$2:$H$2,0),FALSE),"")</f>
        <v>3.15584E-2</v>
      </c>
      <c r="E126" s="121">
        <f>IFERROR(VLOOKUP($C126,'Miljövrärden urval för publ'!$B$2:$H$416,MATCH('Miljövärden för publ företag'!E$4,'Miljövrärden urval för publ'!$B$2:$H$2,0),FALSE),"")</f>
        <v>4.9435799999999999</v>
      </c>
      <c r="F126" s="121">
        <f>IFERROR(VLOOKUP($C126,'Miljövrärden urval för publ'!$B$2:$H$416,MATCH('Miljövärden för publ företag'!F$4,'Miljövrärden urval för publ'!$B$2:$H$2,0),FALSE),"")</f>
        <v>1.5379799999999999</v>
      </c>
      <c r="G126" s="121">
        <f>IFERROR(VLOOKUP($C126,'Miljövrärden urval för publ'!$B$2:$H$416,MATCH('Miljövärden för publ företag'!G$4,'Miljövrärden urval för publ'!$B$2:$H$2,0),FALSE),"")</f>
        <v>1.6313000000000001E-2</v>
      </c>
      <c r="J126" s="121">
        <f t="shared" si="6"/>
        <v>50</v>
      </c>
      <c r="M126" s="121">
        <v>122</v>
      </c>
      <c r="N126" s="121" t="str">
        <f t="shared" si="7"/>
        <v>Värmevärden AB</v>
      </c>
      <c r="P126" s="296">
        <f t="shared" si="8"/>
        <v>0</v>
      </c>
      <c r="Q126" s="290" t="str">
        <f t="shared" si="5"/>
        <v/>
      </c>
    </row>
    <row r="127" spans="1:17" x14ac:dyDescent="0.25">
      <c r="A127" s="121">
        <v>124</v>
      </c>
      <c r="B127" s="121" t="str">
        <f>IFERROR(INDEX('Miljövrärden urval för publ'!$A$2:$AA$419,MATCH('Miljövärden för publ företag'!$A127,'Miljövrärden urval för publ'!$R$2:$R$416,0),1),"")</f>
        <v>Karlskoga Kraftvärmeverk AB</v>
      </c>
      <c r="C127" s="121" t="str">
        <f>IFERROR(INDEX('Miljövrärden urval för publ'!$A$2:$AA$419,MATCH('Miljövärden för publ företag'!$A127,'Miljövrärden urval för publ'!$R$2:$R$416,0),2),"")</f>
        <v>Karlskoga</v>
      </c>
      <c r="D127" s="121">
        <f>IFERROR(VLOOKUP($C127,'Miljövrärden urval för publ'!$B$2:$H$416,MATCH('Miljövärden för publ företag'!D$4,'Miljövrärden urval för publ'!$B$2:$H$2,0),FALSE),"")</f>
        <v>0.32860299999999998</v>
      </c>
      <c r="E127" s="121">
        <f>IFERROR(VLOOKUP($C127,'Miljövrärden urval för publ'!$B$2:$H$416,MATCH('Miljövärden för publ företag'!E$4,'Miljövrärden urval för publ'!$B$2:$H$2,0),FALSE),"")</f>
        <v>118.545</v>
      </c>
      <c r="F127" s="121">
        <f>IFERROR(VLOOKUP($C127,'Miljövrärden urval för publ'!$B$2:$H$416,MATCH('Miljövärden för publ företag'!F$4,'Miljövrärden urval för publ'!$B$2:$H$2,0),FALSE),"")</f>
        <v>10.9161</v>
      </c>
      <c r="G127" s="121">
        <f>IFERROR(VLOOKUP($C127,'Miljövrärden urval för publ'!$B$2:$H$416,MATCH('Miljövärden för publ företag'!G$4,'Miljövrärden urval för publ'!$B$2:$H$2,0),FALSE),"")</f>
        <v>4.7862500000000002E-2</v>
      </c>
      <c r="J127" s="121">
        <f t="shared" si="6"/>
        <v>51</v>
      </c>
      <c r="M127" s="121">
        <v>123</v>
      </c>
      <c r="N127" s="121" t="str">
        <f t="shared" si="7"/>
        <v>Värnamo Energi AB</v>
      </c>
      <c r="P127" s="296">
        <f t="shared" si="8"/>
        <v>0</v>
      </c>
      <c r="Q127" s="290" t="str">
        <f t="shared" si="5"/>
        <v/>
      </c>
    </row>
    <row r="128" spans="1:17" x14ac:dyDescent="0.25">
      <c r="A128" s="121">
        <v>125</v>
      </c>
      <c r="B128" s="121" t="str">
        <f>IFERROR(INDEX('Miljövrärden urval för publ'!$A$2:$AA$419,MATCH('Miljövärden för publ företag'!$A128,'Miljövrärden urval för publ'!$R$2:$R$416,0),1),"")</f>
        <v>Karlstads Energi AB</v>
      </c>
      <c r="C128" s="121" t="str">
        <f>IFERROR(INDEX('Miljövrärden urval för publ'!$A$2:$AA$419,MATCH('Miljövärden för publ företag'!$A128,'Miljövrärden urval för publ'!$R$2:$R$416,0),2),"")</f>
        <v>Karlstad</v>
      </c>
      <c r="D128" s="121">
        <f>IFERROR(VLOOKUP($C128,'Miljövrärden urval för publ'!$B$2:$H$416,MATCH('Miljövärden för publ företag'!D$4,'Miljövrärden urval för publ'!$B$2:$H$2,0),FALSE),"")</f>
        <v>0.11104</v>
      </c>
      <c r="E128" s="121">
        <f>IFERROR(VLOOKUP($C128,'Miljövrärden urval för publ'!$B$2:$H$416,MATCH('Miljövärden för publ företag'!E$4,'Miljövrärden urval för publ'!$B$2:$H$2,0),FALSE),"")</f>
        <v>41.955399999999997</v>
      </c>
      <c r="F128" s="121">
        <f>IFERROR(VLOOKUP($C128,'Miljövrärden urval för publ'!$B$2:$H$416,MATCH('Miljövärden för publ företag'!F$4,'Miljövrärden urval för publ'!$B$2:$H$2,0),FALSE),"")</f>
        <v>5.29406</v>
      </c>
      <c r="G128" s="121">
        <f>IFERROR(VLOOKUP($C128,'Miljövrärden urval för publ'!$B$2:$H$416,MATCH('Miljövärden för publ företag'!G$4,'Miljövrärden urval för publ'!$B$2:$H$2,0),FALSE),"")</f>
        <v>1.2768E-2</v>
      </c>
      <c r="J128" s="121">
        <f t="shared" si="6"/>
        <v>52</v>
      </c>
      <c r="M128" s="121">
        <v>124</v>
      </c>
      <c r="N128" s="121" t="str">
        <f t="shared" si="7"/>
        <v>Västerbergslagens Energi AB</v>
      </c>
      <c r="P128" s="296">
        <f t="shared" si="8"/>
        <v>0</v>
      </c>
      <c r="Q128" s="290" t="str">
        <f t="shared" si="5"/>
        <v/>
      </c>
    </row>
    <row r="129" spans="1:17" x14ac:dyDescent="0.25">
      <c r="A129" s="121">
        <v>126</v>
      </c>
      <c r="B129" s="121" t="str">
        <f>IFERROR(INDEX('Miljövrärden urval för publ'!$A$2:$AA$419,MATCH('Miljövärden för publ företag'!$A129,'Miljövrärden urval för publ'!$R$2:$R$416,0),1),"")</f>
        <v>Kils Energi AB</v>
      </c>
      <c r="C129" s="121" t="str">
        <f>IFERROR(INDEX('Miljövrärden urval för publ'!$A$2:$AA$419,MATCH('Miljövärden för publ företag'!$A129,'Miljövrärden urval för publ'!$R$2:$R$416,0),2),"")</f>
        <v>Kil</v>
      </c>
      <c r="D129" s="121">
        <f>IFERROR(VLOOKUP($C129,'Miljövrärden urval för publ'!$B$2:$H$416,MATCH('Miljövärden för publ företag'!D$4,'Miljövrärden urval för publ'!$B$2:$H$2,0),FALSE),"")</f>
        <v>0.16110099999999999</v>
      </c>
      <c r="E129" s="121">
        <f>IFERROR(VLOOKUP($C129,'Miljövrärden urval för publ'!$B$2:$H$416,MATCH('Miljövärden för publ företag'!E$4,'Miljövrärden urval för publ'!$B$2:$H$2,0),FALSE),"")</f>
        <v>9.4329800000000006</v>
      </c>
      <c r="F129" s="121">
        <f>IFERROR(VLOOKUP($C129,'Miljövrärden urval för publ'!$B$2:$H$416,MATCH('Miljövärden för publ företag'!F$4,'Miljövrärden urval för publ'!$B$2:$H$2,0),FALSE),"")</f>
        <v>5.1782399999999997</v>
      </c>
      <c r="G129" s="121">
        <f>IFERROR(VLOOKUP($C129,'Miljövrärden urval för publ'!$B$2:$H$416,MATCH('Miljövärden för publ företag'!G$4,'Miljövrärden urval för publ'!$B$2:$H$2,0),FALSE),"")</f>
        <v>1.2286200000000001E-2</v>
      </c>
      <c r="J129" s="121">
        <f t="shared" si="6"/>
        <v>53</v>
      </c>
      <c r="M129" s="121">
        <v>125</v>
      </c>
      <c r="N129" s="121" t="str">
        <f t="shared" si="7"/>
        <v>Västervik Miljö &amp; Energi AB</v>
      </c>
      <c r="P129" s="296">
        <f t="shared" si="8"/>
        <v>0</v>
      </c>
      <c r="Q129" s="290" t="str">
        <f t="shared" si="5"/>
        <v/>
      </c>
    </row>
    <row r="130" spans="1:17" x14ac:dyDescent="0.25">
      <c r="A130" s="121">
        <v>127</v>
      </c>
      <c r="B130" s="121" t="str">
        <f>IFERROR(INDEX('Miljövrärden urval för publ'!$A$2:$AA$419,MATCH('Miljövärden för publ företag'!$A130,'Miljövrärden urval för publ'!$R$2:$R$416,0),1),"")</f>
        <v>Kiruna Kraft AB</v>
      </c>
      <c r="C130" s="121" t="str">
        <f>IFERROR(INDEX('Miljövrärden urval för publ'!$A$2:$AA$419,MATCH('Miljövärden för publ företag'!$A130,'Miljövrärden urval för publ'!$R$2:$R$416,0),2),"")</f>
        <v>Kiruna C</v>
      </c>
      <c r="D130" s="121">
        <f>IFERROR(VLOOKUP($C130,'Miljövrärden urval för publ'!$B$2:$H$416,MATCH('Miljövärden för publ företag'!D$4,'Miljövrärden urval för publ'!$B$2:$H$2,0),FALSE),"")</f>
        <v>0.28053400000000001</v>
      </c>
      <c r="E130" s="121">
        <f>IFERROR(VLOOKUP($C130,'Miljövrärden urval för publ'!$B$2:$H$416,MATCH('Miljövärden för publ företag'!E$4,'Miljövrärden urval för publ'!$B$2:$H$2,0),FALSE),"")</f>
        <v>126.28100000000001</v>
      </c>
      <c r="F130" s="121">
        <f>IFERROR(VLOOKUP($C130,'Miljövrärden urval för publ'!$B$2:$H$416,MATCH('Miljövärden för publ företag'!F$4,'Miljövrärden urval för publ'!$B$2:$H$2,0),FALSE),"")</f>
        <v>5.18865</v>
      </c>
      <c r="G130" s="121">
        <f>IFERROR(VLOOKUP($C130,'Miljövrärden urval för publ'!$B$2:$H$416,MATCH('Miljövärden för publ företag'!G$4,'Miljövrärden urval för publ'!$B$2:$H$2,0),FALSE),"")</f>
        <v>6.0873400000000001E-2</v>
      </c>
      <c r="J130" s="121">
        <f t="shared" si="6"/>
        <v>54</v>
      </c>
      <c r="M130" s="121">
        <v>126</v>
      </c>
      <c r="N130" s="121" t="str">
        <f t="shared" si="7"/>
        <v>Västra Mälardalens Energi och Miljö AB</v>
      </c>
      <c r="P130" s="296">
        <f t="shared" si="8"/>
        <v>0</v>
      </c>
      <c r="Q130" s="290" t="str">
        <f t="shared" si="5"/>
        <v/>
      </c>
    </row>
    <row r="131" spans="1:17" x14ac:dyDescent="0.25">
      <c r="A131" s="121">
        <v>128</v>
      </c>
      <c r="B131" s="121" t="str">
        <f>IFERROR(INDEX('Miljövrärden urval för publ'!$A$2:$AA$419,MATCH('Miljövärden för publ företag'!$A131,'Miljövrärden urval för publ'!$R$2:$R$416,0),1),"")</f>
        <v>Kiruna Kraft AB</v>
      </c>
      <c r="C131" s="121" t="str">
        <f>IFERROR(INDEX('Miljövrärden urval för publ'!$A$2:$AA$419,MATCH('Miljövärden för publ företag'!$A131,'Miljövrärden urval för publ'!$R$2:$R$416,0),2),"")</f>
        <v>Vittangi</v>
      </c>
      <c r="D131" s="121">
        <f>IFERROR(VLOOKUP($C131,'Miljövrärden urval för publ'!$B$2:$H$416,MATCH('Miljövärden för publ företag'!D$4,'Miljövrärden urval för publ'!$B$2:$H$2,0),FALSE),"")</f>
        <v>0.65499700000000005</v>
      </c>
      <c r="E131" s="121">
        <f>IFERROR(VLOOKUP($C131,'Miljövrärden urval för publ'!$B$2:$H$416,MATCH('Miljövärden för publ företag'!E$4,'Miljövrärden urval för publ'!$B$2:$H$2,0),FALSE),"")</f>
        <v>105.455</v>
      </c>
      <c r="F131" s="121">
        <f>IFERROR(VLOOKUP($C131,'Miljövrärden urval för publ'!$B$2:$H$416,MATCH('Miljövärden för publ företag'!F$4,'Miljövrärden urval för publ'!$B$2:$H$2,0),FALSE),"")</f>
        <v>17.995699999999999</v>
      </c>
      <c r="G131" s="121">
        <f>IFERROR(VLOOKUP($C131,'Miljövrärden urval för publ'!$B$2:$H$416,MATCH('Miljövärden för publ företag'!G$4,'Miljövrärden urval för publ'!$B$2:$H$2,0),FALSE),"")</f>
        <v>0.17930199999999999</v>
      </c>
      <c r="J131" s="121">
        <f t="shared" si="6"/>
        <v>54</v>
      </c>
      <c r="M131" s="121">
        <v>127</v>
      </c>
      <c r="N131" s="121" t="str">
        <f t="shared" si="7"/>
        <v>Växjö Energi AB</v>
      </c>
      <c r="P131" s="296">
        <f t="shared" si="8"/>
        <v>0</v>
      </c>
      <c r="Q131" s="290" t="str">
        <f t="shared" si="5"/>
        <v/>
      </c>
    </row>
    <row r="132" spans="1:17" x14ac:dyDescent="0.25">
      <c r="A132" s="121">
        <v>129</v>
      </c>
      <c r="B132" s="121" t="str">
        <f>IFERROR(INDEX('Miljövrärden urval för publ'!$A$2:$AA$419,MATCH('Miljövärden för publ företag'!$A132,'Miljövrärden urval för publ'!$R$2:$R$416,0),1),"")</f>
        <v>Kraftringen Energi AB (publ)</v>
      </c>
      <c r="C132" s="121" t="str">
        <f>IFERROR(INDEX('Miljövrärden urval för publ'!$A$2:$AA$419,MATCH('Miljövärden för publ företag'!$A132,'Miljövrärden urval för publ'!$R$2:$R$416,0),2),"")</f>
        <v>Eslöv-Lund-Lomma m fl</v>
      </c>
      <c r="D132" s="121">
        <f>IFERROR(VLOOKUP($C132,'Miljövrärden urval för publ'!$B$2:$H$416,MATCH('Miljövärden för publ företag'!D$4,'Miljövrärden urval för publ'!$B$2:$H$2,0),FALSE),"")</f>
        <v>0.27183600000000002</v>
      </c>
      <c r="E132" s="121">
        <f>IFERROR(VLOOKUP($C132,'Miljövrärden urval för publ'!$B$2:$H$416,MATCH('Miljövärden för publ företag'!E$4,'Miljövrärden urval för publ'!$B$2:$H$2,0),FALSE),"")</f>
        <v>10.2934</v>
      </c>
      <c r="F132" s="121">
        <f>IFERROR(VLOOKUP($C132,'Miljövrärden urval för publ'!$B$2:$H$416,MATCH('Miljövärden för publ företag'!F$4,'Miljövrärden urval för publ'!$B$2:$H$2,0),FALSE),"")</f>
        <v>4.5726100000000001</v>
      </c>
      <c r="G132" s="121">
        <f>IFERROR(VLOOKUP($C132,'Miljövrärden urval för publ'!$B$2:$H$416,MATCH('Miljövärden för publ företag'!G$4,'Miljövrärden urval för publ'!$B$2:$H$2,0),FALSE),"")</f>
        <v>2.89318E-3</v>
      </c>
      <c r="J132" s="121">
        <f t="shared" si="6"/>
        <v>55</v>
      </c>
      <c r="M132" s="121">
        <v>128</v>
      </c>
      <c r="N132" s="121" t="str">
        <f t="shared" si="7"/>
        <v>Ystad Energi AB</v>
      </c>
      <c r="P132" s="296">
        <f t="shared" si="8"/>
        <v>0</v>
      </c>
      <c r="Q132" s="290" t="str">
        <f t="shared" si="5"/>
        <v/>
      </c>
    </row>
    <row r="133" spans="1:17" x14ac:dyDescent="0.25">
      <c r="A133" s="121">
        <v>130</v>
      </c>
      <c r="B133" s="121" t="str">
        <f>IFERROR(INDEX('Miljövrärden urval för publ'!$A$2:$AA$419,MATCH('Miljövärden för publ företag'!$A133,'Miljövrärden urval för publ'!$R$2:$R$416,0),1),"")</f>
        <v>Kraftringen Energi AB (publ)</v>
      </c>
      <c r="C133" s="121" t="str">
        <f>IFERROR(INDEX('Miljövrärden urval för publ'!$A$2:$AA$419,MATCH('Miljövärden för publ företag'!$A133,'Miljövrärden urval för publ'!$R$2:$R$416,0),2),"")</f>
        <v>Klippan-Ljungbyhed-Östra Ljungby</v>
      </c>
      <c r="D133" s="121">
        <f>IFERROR(VLOOKUP($C133,'Miljövrärden urval för publ'!$B$2:$H$416,MATCH('Miljövärden för publ företag'!D$4,'Miljövrärden urval för publ'!$B$2:$H$2,0),FALSE),"")</f>
        <v>0.14219899999999999</v>
      </c>
      <c r="E133" s="121">
        <f>IFERROR(VLOOKUP($C133,'Miljövrärden urval för publ'!$B$2:$H$416,MATCH('Miljövärden för publ företag'!E$4,'Miljövrärden urval för publ'!$B$2:$H$2,0),FALSE),"")</f>
        <v>4.7392500000000002</v>
      </c>
      <c r="F133" s="121">
        <f>IFERROR(VLOOKUP($C133,'Miljövrärden urval för publ'!$B$2:$H$416,MATCH('Miljövärden för publ företag'!F$4,'Miljövrärden urval för publ'!$B$2:$H$2,0),FALSE),"")</f>
        <v>11.2302</v>
      </c>
      <c r="G133" s="121">
        <f>IFERROR(VLOOKUP($C133,'Miljövrärden urval för publ'!$B$2:$H$416,MATCH('Miljövärden för publ företag'!G$4,'Miljövrärden urval för publ'!$B$2:$H$2,0),FALSE),"")</f>
        <v>0</v>
      </c>
      <c r="J133" s="121">
        <f t="shared" si="6"/>
        <v>55</v>
      </c>
      <c r="M133" s="121">
        <v>129</v>
      </c>
      <c r="N133" s="121" t="str">
        <f t="shared" si="7"/>
        <v>Ånge Energi AB</v>
      </c>
      <c r="P133" s="296">
        <f t="shared" si="8"/>
        <v>0</v>
      </c>
      <c r="Q133" s="290" t="str">
        <f t="shared" ref="Q133:Q196" si="9">IF(B133=$R$2,C133,"")</f>
        <v/>
      </c>
    </row>
    <row r="134" spans="1:17" x14ac:dyDescent="0.25">
      <c r="A134" s="121">
        <v>131</v>
      </c>
      <c r="B134" s="121" t="str">
        <f>IFERROR(INDEX('Miljövrärden urval för publ'!$A$2:$AA$419,MATCH('Miljövärden för publ företag'!$A134,'Miljövrärden urval för publ'!$R$2:$R$416,0),1),"")</f>
        <v>Kungälv Energi AB</v>
      </c>
      <c r="C134" s="121" t="str">
        <f>IFERROR(INDEX('Miljövrärden urval för publ'!$A$2:$AA$419,MATCH('Miljövärden för publ företag'!$A134,'Miljövrärden urval för publ'!$R$2:$R$416,0),2),"")</f>
        <v>HVC Kode</v>
      </c>
      <c r="D134" s="121">
        <f>IFERROR(VLOOKUP($C134,'Miljövrärden urval för publ'!$B$2:$H$416,MATCH('Miljövärden för publ företag'!D$4,'Miljövrärden urval för publ'!$B$2:$H$2,0),FALSE),"")</f>
        <v>0.20696600000000001</v>
      </c>
      <c r="E134" s="121">
        <f>IFERROR(VLOOKUP($C134,'Miljövrärden urval för publ'!$B$2:$H$416,MATCH('Miljövärden för publ företag'!E$4,'Miljövrärden urval för publ'!$B$2:$H$2,0),FALSE),"")</f>
        <v>16.4209</v>
      </c>
      <c r="F134" s="121">
        <f>IFERROR(VLOOKUP($C134,'Miljövrärden urval för publ'!$B$2:$H$416,MATCH('Miljövärden för publ företag'!F$4,'Miljövrärden urval för publ'!$B$2:$H$2,0),FALSE),"")</f>
        <v>17.592700000000001</v>
      </c>
      <c r="G134" s="121">
        <f>IFERROR(VLOOKUP($C134,'Miljövrärden urval för publ'!$B$2:$H$416,MATCH('Miljövärden för publ företag'!G$4,'Miljövrärden urval för publ'!$B$2:$H$2,0),FALSE),"")</f>
        <v>3.4632000000000003E-2</v>
      </c>
      <c r="J134" s="121">
        <f t="shared" ref="J134:J197" si="10">IF(B134=B133,J133,J133+1)</f>
        <v>56</v>
      </c>
      <c r="M134" s="121">
        <v>130</v>
      </c>
      <c r="N134" s="121" t="str">
        <f t="shared" ref="N134:N197" si="11">IFERROR(INDEX($B$4:$J$487,MATCH(M134,$J$4:$J$369,0),1),"")</f>
        <v>Öresundskraft AB</v>
      </c>
      <c r="P134" s="296">
        <f t="shared" ref="P134:P197" si="12">IF(Q134="",P133,P133+1)</f>
        <v>0</v>
      </c>
      <c r="Q134" s="290" t="str">
        <f t="shared" si="9"/>
        <v/>
      </c>
    </row>
    <row r="135" spans="1:17" x14ac:dyDescent="0.25">
      <c r="A135" s="121">
        <v>132</v>
      </c>
      <c r="B135" s="121" t="str">
        <f>IFERROR(INDEX('Miljövrärden urval för publ'!$A$2:$AA$419,MATCH('Miljövärden för publ företag'!$A135,'Miljövrärden urval för publ'!$R$2:$R$416,0),1),"")</f>
        <v>Kungälv Energi AB</v>
      </c>
      <c r="C135" s="121" t="str">
        <f>IFERROR(INDEX('Miljövrärden urval för publ'!$A$2:$AA$419,MATCH('Miljövärden för publ företag'!$A135,'Miljövrärden urval för publ'!$R$2:$R$416,0),2),"")</f>
        <v>HVC Kärna</v>
      </c>
      <c r="D135" s="121">
        <f>IFERROR(VLOOKUP($C135,'Miljövrärden urval för publ'!$B$2:$H$416,MATCH('Miljövärden för publ företag'!D$4,'Miljövrärden urval för publ'!$B$2:$H$2,0),FALSE),"")</f>
        <v>0.20006199999999999</v>
      </c>
      <c r="E135" s="121">
        <f>IFERROR(VLOOKUP($C135,'Miljövrärden urval för publ'!$B$2:$H$416,MATCH('Miljövärden för publ företag'!E$4,'Miljövrärden urval för publ'!$B$2:$H$2,0),FALSE),"")</f>
        <v>11.444100000000001</v>
      </c>
      <c r="F135" s="121">
        <f>IFERROR(VLOOKUP($C135,'Miljövrärden urval för publ'!$B$2:$H$416,MATCH('Miljövärden för publ företag'!F$4,'Miljövrärden urval för publ'!$B$2:$H$2,0),FALSE),"")</f>
        <v>17.4621</v>
      </c>
      <c r="G135" s="121">
        <f>IFERROR(VLOOKUP($C135,'Miljövrärden urval för publ'!$B$2:$H$416,MATCH('Miljövärden för publ företag'!G$4,'Miljövrärden urval för publ'!$B$2:$H$2,0),FALSE),"")</f>
        <v>1.9430699999999999E-2</v>
      </c>
      <c r="J135" s="121">
        <f t="shared" si="10"/>
        <v>56</v>
      </c>
      <c r="M135" s="121">
        <v>131</v>
      </c>
      <c r="N135" s="121" t="str">
        <f t="shared" si="11"/>
        <v>Örkelljunga Fjärrvärmeverk AB</v>
      </c>
      <c r="P135" s="296">
        <f t="shared" si="12"/>
        <v>0</v>
      </c>
      <c r="Q135" s="290" t="str">
        <f t="shared" si="9"/>
        <v/>
      </c>
    </row>
    <row r="136" spans="1:17" x14ac:dyDescent="0.25">
      <c r="A136" s="121">
        <v>133</v>
      </c>
      <c r="B136" s="121" t="str">
        <f>IFERROR(INDEX('Miljövrärden urval för publ'!$A$2:$AA$419,MATCH('Miljövärden för publ företag'!$A136,'Miljövrärden urval för publ'!$R$2:$R$416,0),1),"")</f>
        <v>Kungälv Energi AB</v>
      </c>
      <c r="C136" s="121" t="str">
        <f>IFERROR(INDEX('Miljövrärden urval för publ'!$A$2:$AA$419,MATCH('Miljövärden för publ företag'!$A136,'Miljövrärden urval för publ'!$R$2:$R$416,0),2),"")</f>
        <v>HVC Stålkullen</v>
      </c>
      <c r="D136" s="121">
        <f>IFERROR(VLOOKUP($C136,'Miljövrärden urval för publ'!$B$2:$H$416,MATCH('Miljövärden för publ företag'!D$4,'Miljövrärden urval för publ'!$B$2:$H$2,0),FALSE),"")</f>
        <v>0.17079</v>
      </c>
      <c r="E136" s="121">
        <f>IFERROR(VLOOKUP($C136,'Miljövrärden urval för publ'!$B$2:$H$416,MATCH('Miljövärden för publ företag'!E$4,'Miljövrärden urval för publ'!$B$2:$H$2,0),FALSE),"")</f>
        <v>10.4893</v>
      </c>
      <c r="F136" s="121">
        <f>IFERROR(VLOOKUP($C136,'Miljövrärden urval för publ'!$B$2:$H$416,MATCH('Miljövärden för publ företag'!F$4,'Miljövrärden urval för publ'!$B$2:$H$2,0),FALSE),"")</f>
        <v>16.866</v>
      </c>
      <c r="G136" s="121">
        <f>IFERROR(VLOOKUP($C136,'Miljövrärden urval för publ'!$B$2:$H$416,MATCH('Miljövärden för publ företag'!G$4,'Miljövrärden urval för publ'!$B$2:$H$2,0),FALSE),"")</f>
        <v>1.79261E-2</v>
      </c>
      <c r="J136" s="121">
        <f t="shared" si="10"/>
        <v>56</v>
      </c>
      <c r="M136" s="121">
        <v>132</v>
      </c>
      <c r="N136" s="121" t="str">
        <f t="shared" si="11"/>
        <v>Österlens Kraft AB</v>
      </c>
      <c r="P136" s="296">
        <f t="shared" si="12"/>
        <v>0</v>
      </c>
      <c r="Q136" s="290" t="str">
        <f t="shared" si="9"/>
        <v/>
      </c>
    </row>
    <row r="137" spans="1:17" x14ac:dyDescent="0.25">
      <c r="A137" s="121">
        <v>134</v>
      </c>
      <c r="B137" s="121" t="str">
        <f>IFERROR(INDEX('Miljövrärden urval för publ'!$A$2:$AA$419,MATCH('Miljövärden för publ företag'!$A137,'Miljövrärden urval för publ'!$R$2:$R$416,0),1),"")</f>
        <v>Kungälv Energi AB</v>
      </c>
      <c r="C137" s="121" t="str">
        <f>IFERROR(INDEX('Miljövrärden urval för publ'!$A$2:$AA$419,MATCH('Miljövärden för publ företag'!$A137,'Miljövrärden urval för publ'!$R$2:$R$416,0),2),"")</f>
        <v>Kungälv</v>
      </c>
      <c r="D137" s="121">
        <f>IFERROR(VLOOKUP($C137,'Miljövrärden urval för publ'!$B$2:$H$416,MATCH('Miljövärden för publ företag'!D$4,'Miljövrärden urval för publ'!$B$2:$H$2,0),FALSE),"")</f>
        <v>0.13517399999999999</v>
      </c>
      <c r="E137" s="121">
        <f>IFERROR(VLOOKUP($C137,'Miljövrärden urval för publ'!$B$2:$H$416,MATCH('Miljövärden för publ företag'!E$4,'Miljövrärden urval för publ'!$B$2:$H$2,0),FALSE),"")</f>
        <v>21.789000000000001</v>
      </c>
      <c r="F137" s="121">
        <f>IFERROR(VLOOKUP($C137,'Miljövrärden urval för publ'!$B$2:$H$416,MATCH('Miljövärden för publ företag'!F$4,'Miljövrärden urval för publ'!$B$2:$H$2,0),FALSE),"")</f>
        <v>7.3974099999999998</v>
      </c>
      <c r="G137" s="121">
        <f>IFERROR(VLOOKUP($C137,'Miljövrärden urval för publ'!$B$2:$H$416,MATCH('Miljövärden för publ företag'!G$4,'Miljövrärden urval för publ'!$B$2:$H$2,0),FALSE),"")</f>
        <v>3.01424E-2</v>
      </c>
      <c r="J137" s="121">
        <f t="shared" si="10"/>
        <v>56</v>
      </c>
      <c r="M137" s="121">
        <v>133</v>
      </c>
      <c r="N137" s="121" t="str">
        <f t="shared" si="11"/>
        <v>Övik Energi AB</v>
      </c>
      <c r="P137" s="296">
        <f t="shared" si="12"/>
        <v>0</v>
      </c>
      <c r="Q137" s="290" t="str">
        <f t="shared" si="9"/>
        <v/>
      </c>
    </row>
    <row r="138" spans="1:17" x14ac:dyDescent="0.25">
      <c r="A138" s="121">
        <v>135</v>
      </c>
      <c r="B138" s="121" t="str">
        <f>IFERROR(INDEX('Miljövrärden urval för publ'!$A$2:$AA$419,MATCH('Miljövärden för publ företag'!$A138,'Miljövrärden urval för publ'!$R$2:$R$416,0),1),"")</f>
        <v>Landskrona Energi AB</v>
      </c>
      <c r="C138" s="121" t="str">
        <f>IFERROR(INDEX('Miljövrärden urval för publ'!$A$2:$AA$419,MATCH('Miljövärden för publ företag'!$A138,'Miljövrärden urval för publ'!$R$2:$R$416,0),2),"")</f>
        <v>Landskrona</v>
      </c>
      <c r="D138" s="121">
        <f>IFERROR(VLOOKUP($C138,'Miljövrärden urval för publ'!$B$2:$H$416,MATCH('Miljövärden för publ företag'!D$4,'Miljövrärden urval för publ'!$B$2:$H$2,0),FALSE),"")</f>
        <v>0.11178100000000001</v>
      </c>
      <c r="E138" s="121">
        <f>IFERROR(VLOOKUP($C138,'Miljövrärden urval för publ'!$B$2:$H$416,MATCH('Miljövärden för publ företag'!E$4,'Miljövrärden urval för publ'!$B$2:$H$2,0),FALSE),"")</f>
        <v>85.353700000000003</v>
      </c>
      <c r="F138" s="121">
        <f>IFERROR(VLOOKUP($C138,'Miljövrärden urval för publ'!$B$2:$H$416,MATCH('Miljövärden för publ företag'!F$4,'Miljövrärden urval för publ'!$B$2:$H$2,0),FALSE),"")</f>
        <v>5.0381600000000004</v>
      </c>
      <c r="G138" s="121">
        <f>IFERROR(VLOOKUP($C138,'Miljövrärden urval för publ'!$B$2:$H$416,MATCH('Miljövärden för publ företag'!G$4,'Miljövrärden urval för publ'!$B$2:$H$2,0),FALSE),"")</f>
        <v>5.1787100000000004E-3</v>
      </c>
      <c r="J138" s="121">
        <f t="shared" si="10"/>
        <v>57</v>
      </c>
      <c r="M138" s="121">
        <v>134</v>
      </c>
      <c r="N138" s="121" t="str">
        <f t="shared" si="11"/>
        <v/>
      </c>
      <c r="P138" s="296">
        <f t="shared" si="12"/>
        <v>0</v>
      </c>
      <c r="Q138" s="290" t="str">
        <f t="shared" si="9"/>
        <v/>
      </c>
    </row>
    <row r="139" spans="1:17" x14ac:dyDescent="0.25">
      <c r="A139" s="121">
        <v>136</v>
      </c>
      <c r="B139" s="121" t="str">
        <f>IFERROR(INDEX('Miljövrärden urval för publ'!$A$2:$AA$419,MATCH('Miljövärden för publ företag'!$A139,'Miljövrärden urval för publ'!$R$2:$R$416,0),1),"")</f>
        <v>Lantmännen Agrovärme AB</v>
      </c>
      <c r="C139" s="121" t="str">
        <f>IFERROR(INDEX('Miljövrärden urval för publ'!$A$2:$AA$419,MATCH('Miljövärden för publ företag'!$A139,'Miljövrärden urval för publ'!$R$2:$R$416,0),2),"")</f>
        <v>Bjärnum</v>
      </c>
      <c r="D139" s="121">
        <f>IFERROR(VLOOKUP($C139,'Miljövrärden urval för publ'!$B$2:$H$416,MATCH('Miljövärden för publ företag'!D$4,'Miljövrärden urval för publ'!$B$2:$H$2,0),FALSE),"")</f>
        <v>0.24146699999999999</v>
      </c>
      <c r="E139" s="121">
        <f>IFERROR(VLOOKUP($C139,'Miljövrärden urval för publ'!$B$2:$H$416,MATCH('Miljövärden för publ företag'!E$4,'Miljövrärden urval för publ'!$B$2:$H$2,0),FALSE),"")</f>
        <v>48.029000000000003</v>
      </c>
      <c r="F139" s="121">
        <f>IFERROR(VLOOKUP($C139,'Miljövrärden urval för publ'!$B$2:$H$416,MATCH('Miljövärden för publ företag'!F$4,'Miljövrärden urval för publ'!$B$2:$H$2,0),FALSE),"")</f>
        <v>12.480600000000001</v>
      </c>
      <c r="G139" s="121">
        <f>IFERROR(VLOOKUP($C139,'Miljövrärden urval för publ'!$B$2:$H$416,MATCH('Miljövärden för publ företag'!G$4,'Miljövrärden urval för publ'!$B$2:$H$2,0),FALSE),"")</f>
        <v>0.11666700000000001</v>
      </c>
      <c r="J139" s="121">
        <f t="shared" si="10"/>
        <v>58</v>
      </c>
      <c r="M139" s="121">
        <v>135</v>
      </c>
      <c r="N139" s="121" t="str">
        <f t="shared" si="11"/>
        <v/>
      </c>
      <c r="P139" s="296">
        <f t="shared" si="12"/>
        <v>0</v>
      </c>
      <c r="Q139" s="290" t="str">
        <f t="shared" si="9"/>
        <v/>
      </c>
    </row>
    <row r="140" spans="1:17" x14ac:dyDescent="0.25">
      <c r="A140" s="121">
        <v>137</v>
      </c>
      <c r="B140" s="121" t="str">
        <f>IFERROR(INDEX('Miljövrärden urval för publ'!$A$2:$AA$419,MATCH('Miljövärden för publ företag'!$A140,'Miljövrärden urval för publ'!$R$2:$R$416,0),1),"")</f>
        <v>Lantmännen Agrovärme AB</v>
      </c>
      <c r="C140" s="121" t="str">
        <f>IFERROR(INDEX('Miljövrärden urval för publ'!$A$2:$AA$419,MATCH('Miljövärden för publ företag'!$A140,'Miljövrärden urval för publ'!$R$2:$R$416,0),2),"")</f>
        <v>Ed</v>
      </c>
      <c r="D140" s="121">
        <f>IFERROR(VLOOKUP($C140,'Miljövrärden urval för publ'!$B$2:$H$416,MATCH('Miljövärden för publ företag'!D$4,'Miljövrärden urval för publ'!$B$2:$H$2,0),FALSE),"")</f>
        <v>0.176347</v>
      </c>
      <c r="E140" s="121">
        <f>IFERROR(VLOOKUP($C140,'Miljövrärden urval för publ'!$B$2:$H$416,MATCH('Miljövärden för publ företag'!E$4,'Miljövrärden urval för publ'!$B$2:$H$2,0),FALSE),"")</f>
        <v>35.49</v>
      </c>
      <c r="F140" s="121">
        <f>IFERROR(VLOOKUP($C140,'Miljövrärden urval för publ'!$B$2:$H$416,MATCH('Miljövärden för publ företag'!F$4,'Miljövrärden urval för publ'!$B$2:$H$2,0),FALSE),"")</f>
        <v>11.5158</v>
      </c>
      <c r="G140" s="121">
        <f>IFERROR(VLOOKUP($C140,'Miljövrärden urval för publ'!$B$2:$H$416,MATCH('Miljövärden för publ företag'!G$4,'Miljövrärden urval för publ'!$B$2:$H$2,0),FALSE),"")</f>
        <v>8.0008099999999999E-2</v>
      </c>
      <c r="J140" s="121">
        <f t="shared" si="10"/>
        <v>58</v>
      </c>
      <c r="M140" s="121">
        <v>136</v>
      </c>
      <c r="N140" s="121" t="str">
        <f t="shared" si="11"/>
        <v/>
      </c>
      <c r="P140" s="296">
        <f t="shared" si="12"/>
        <v>0</v>
      </c>
      <c r="Q140" s="290" t="str">
        <f t="shared" si="9"/>
        <v/>
      </c>
    </row>
    <row r="141" spans="1:17" x14ac:dyDescent="0.25">
      <c r="A141" s="121">
        <v>138</v>
      </c>
      <c r="B141" s="121" t="str">
        <f>IFERROR(INDEX('Miljövrärden urval för publ'!$A$2:$AA$419,MATCH('Miljövärden för publ företag'!$A141,'Miljövrärden urval för publ'!$R$2:$R$416,0),1),"")</f>
        <v>Lantmännen Agrovärme AB</v>
      </c>
      <c r="C141" s="121" t="str">
        <f>IFERROR(INDEX('Miljövrärden urval för publ'!$A$2:$AA$419,MATCH('Miljövärden för publ företag'!$A141,'Miljövrärden urval för publ'!$R$2:$R$416,0),2),"")</f>
        <v>Grästorp</v>
      </c>
      <c r="D141" s="121">
        <f>IFERROR(VLOOKUP($C141,'Miljövrärden urval för publ'!$B$2:$H$416,MATCH('Miljövärden för publ företag'!D$4,'Miljövrärden urval för publ'!$B$2:$H$2,0),FALSE),"")</f>
        <v>0.42294100000000001</v>
      </c>
      <c r="E141" s="121">
        <f>IFERROR(VLOOKUP($C141,'Miljövrärden urval för publ'!$B$2:$H$416,MATCH('Miljövärden för publ företag'!E$4,'Miljövrärden urval för publ'!$B$2:$H$2,0),FALSE),"")</f>
        <v>9.4465800000000009</v>
      </c>
      <c r="F141" s="121">
        <f>IFERROR(VLOOKUP($C141,'Miljövrärden urval för publ'!$B$2:$H$416,MATCH('Miljövärden för publ företag'!F$4,'Miljövrärden urval för publ'!$B$2:$H$2,0),FALSE),"")</f>
        <v>19.4575</v>
      </c>
      <c r="G141" s="121">
        <f>IFERROR(VLOOKUP($C141,'Miljövrärden urval för publ'!$B$2:$H$416,MATCH('Miljövärden för publ företag'!G$4,'Miljövrärden urval för publ'!$B$2:$H$2,0),FALSE),"")</f>
        <v>9.2552599999999995E-3</v>
      </c>
      <c r="J141" s="121">
        <f t="shared" si="10"/>
        <v>58</v>
      </c>
      <c r="M141" s="121">
        <v>137</v>
      </c>
      <c r="N141" s="121" t="str">
        <f t="shared" si="11"/>
        <v/>
      </c>
      <c r="P141" s="296">
        <f t="shared" si="12"/>
        <v>0</v>
      </c>
      <c r="Q141" s="290" t="str">
        <f t="shared" si="9"/>
        <v/>
      </c>
    </row>
    <row r="142" spans="1:17" x14ac:dyDescent="0.25">
      <c r="A142" s="121">
        <v>139</v>
      </c>
      <c r="B142" s="121" t="str">
        <f>IFERROR(INDEX('Miljövrärden urval för publ'!$A$2:$AA$419,MATCH('Miljövärden för publ företag'!$A142,'Miljövrärden urval för publ'!$R$2:$R$416,0),1),"")</f>
        <v>Lantmännen Agrovärme AB</v>
      </c>
      <c r="C142" s="121" t="str">
        <f>IFERROR(INDEX('Miljövrärden urval för publ'!$A$2:$AA$419,MATCH('Miljövärden för publ företag'!$A142,'Miljövrärden urval för publ'!$R$2:$R$416,0),2),"")</f>
        <v>Horred</v>
      </c>
      <c r="D142" s="121">
        <f>IFERROR(VLOOKUP($C142,'Miljövrärden urval för publ'!$B$2:$H$416,MATCH('Miljövärden för publ företag'!D$4,'Miljövrärden urval för publ'!$B$2:$H$2,0),FALSE),"")</f>
        <v>0.23441400000000001</v>
      </c>
      <c r="E142" s="121">
        <f>IFERROR(VLOOKUP($C142,'Miljövrärden urval för publ'!$B$2:$H$416,MATCH('Miljövärden för publ företag'!E$4,'Miljövrärden urval för publ'!$B$2:$H$2,0),FALSE),"")</f>
        <v>18.9817</v>
      </c>
      <c r="F142" s="121">
        <f>IFERROR(VLOOKUP($C142,'Miljövrärden urval för publ'!$B$2:$H$416,MATCH('Miljövärden för publ företag'!F$4,'Miljövrärden urval för publ'!$B$2:$H$2,0),FALSE),"")</f>
        <v>21.139199999999999</v>
      </c>
      <c r="G142" s="121">
        <f>IFERROR(VLOOKUP($C142,'Miljövrärden urval för publ'!$B$2:$H$416,MATCH('Miljövärden för publ företag'!G$4,'Miljövrärden urval för publ'!$B$2:$H$2,0),FALSE),"")</f>
        <v>3.2886699999999998E-2</v>
      </c>
      <c r="J142" s="121">
        <f t="shared" si="10"/>
        <v>58</v>
      </c>
      <c r="M142" s="121">
        <v>138</v>
      </c>
      <c r="N142" s="121" t="str">
        <f t="shared" si="11"/>
        <v/>
      </c>
      <c r="P142" s="296">
        <f t="shared" si="12"/>
        <v>0</v>
      </c>
      <c r="Q142" s="290" t="str">
        <f t="shared" si="9"/>
        <v/>
      </c>
    </row>
    <row r="143" spans="1:17" x14ac:dyDescent="0.25">
      <c r="A143" s="121">
        <v>140</v>
      </c>
      <c r="B143" s="121" t="str">
        <f>IFERROR(INDEX('Miljövrärden urval för publ'!$A$2:$AA$419,MATCH('Miljövärden för publ företag'!$A143,'Miljövrärden urval för publ'!$R$2:$R$416,0),1),"")</f>
        <v>Lantmännen Agrovärme AB</v>
      </c>
      <c r="C143" s="121" t="str">
        <f>IFERROR(INDEX('Miljövrärden urval för publ'!$A$2:$AA$419,MATCH('Miljövärden för publ företag'!$A143,'Miljövrärden urval för publ'!$R$2:$R$416,0),2),"")</f>
        <v>Kvänum</v>
      </c>
      <c r="D143" s="121">
        <f>IFERROR(VLOOKUP($C143,'Miljövrärden urval för publ'!$B$2:$H$416,MATCH('Miljövärden för publ företag'!D$4,'Miljövrärden urval för publ'!$B$2:$H$2,0),FALSE),"")</f>
        <v>0.75653700000000002</v>
      </c>
      <c r="E143" s="121">
        <f>IFERROR(VLOOKUP($C143,'Miljövrärden urval för publ'!$B$2:$H$416,MATCH('Miljövärden för publ företag'!E$4,'Miljövrärden urval för publ'!$B$2:$H$2,0),FALSE),"")</f>
        <v>5.5423200000000001</v>
      </c>
      <c r="F143" s="121">
        <f>IFERROR(VLOOKUP($C143,'Miljövrärden urval för publ'!$B$2:$H$416,MATCH('Miljövärden för publ företag'!F$4,'Miljövrärden urval för publ'!$B$2:$H$2,0),FALSE),"")</f>
        <v>28.6568</v>
      </c>
      <c r="G143" s="121">
        <f>IFERROR(VLOOKUP($C143,'Miljövrärden urval för publ'!$B$2:$H$416,MATCH('Miljövärden för publ företag'!G$4,'Miljövrärden urval för publ'!$B$2:$H$2,0),FALSE),"")</f>
        <v>3.4374499999999999E-3</v>
      </c>
      <c r="J143" s="121">
        <f t="shared" si="10"/>
        <v>58</v>
      </c>
      <c r="M143" s="121">
        <v>139</v>
      </c>
      <c r="N143" s="121" t="str">
        <f t="shared" si="11"/>
        <v/>
      </c>
      <c r="P143" s="296">
        <f t="shared" si="12"/>
        <v>0</v>
      </c>
      <c r="Q143" s="290" t="str">
        <f t="shared" si="9"/>
        <v/>
      </c>
    </row>
    <row r="144" spans="1:17" x14ac:dyDescent="0.25">
      <c r="A144" s="121">
        <v>141</v>
      </c>
      <c r="B144" s="121" t="str">
        <f>IFERROR(INDEX('Miljövrärden urval för publ'!$A$2:$AA$419,MATCH('Miljövärden för publ företag'!$A144,'Miljövrärden urval för publ'!$R$2:$R$416,0),1),"")</f>
        <v>Lantmännen Agrovärme AB</v>
      </c>
      <c r="C144" s="121" t="str">
        <f>IFERROR(INDEX('Miljövrärden urval för publ'!$A$2:$AA$419,MATCH('Miljövärden för publ företag'!$A144,'Miljövrärden urval för publ'!$R$2:$R$416,0),2),"")</f>
        <v>Skurup</v>
      </c>
      <c r="D144" s="121">
        <f>IFERROR(VLOOKUP($C144,'Miljövrärden urval för publ'!$B$2:$H$416,MATCH('Miljövärden för publ företag'!D$4,'Miljövrärden urval för publ'!$B$2:$H$2,0),FALSE),"")</f>
        <v>0.955789</v>
      </c>
      <c r="E144" s="121">
        <f>IFERROR(VLOOKUP($C144,'Miljövrärden urval för publ'!$B$2:$H$416,MATCH('Miljövärden för publ företag'!E$4,'Miljövrärden urval för publ'!$B$2:$H$2,0),FALSE),"")</f>
        <v>24.015699999999999</v>
      </c>
      <c r="F144" s="121">
        <f>IFERROR(VLOOKUP($C144,'Miljövrärden urval för publ'!$B$2:$H$416,MATCH('Miljövärden för publ företag'!F$4,'Miljövrärden urval för publ'!$B$2:$H$2,0),FALSE),"")</f>
        <v>31.8339</v>
      </c>
      <c r="G144" s="121">
        <f>IFERROR(VLOOKUP($C144,'Miljövrärden urval för publ'!$B$2:$H$416,MATCH('Miljövärden för publ företag'!G$4,'Miljövrärden urval för publ'!$B$2:$H$2,0),FALSE),"")</f>
        <v>5.4588100000000001E-2</v>
      </c>
      <c r="J144" s="121">
        <f t="shared" si="10"/>
        <v>58</v>
      </c>
      <c r="M144" s="121">
        <v>140</v>
      </c>
      <c r="N144" s="121" t="str">
        <f t="shared" si="11"/>
        <v/>
      </c>
      <c r="P144" s="296">
        <f t="shared" si="12"/>
        <v>0</v>
      </c>
      <c r="Q144" s="290" t="str">
        <f t="shared" si="9"/>
        <v/>
      </c>
    </row>
    <row r="145" spans="1:17" x14ac:dyDescent="0.25">
      <c r="A145" s="121">
        <v>142</v>
      </c>
      <c r="B145" s="121" t="str">
        <f>IFERROR(INDEX('Miljövrärden urval för publ'!$A$2:$AA$419,MATCH('Miljövärden för publ företag'!$A145,'Miljövrärden urval för publ'!$R$2:$R$416,0),1),"")</f>
        <v>Lantmännen Agrovärme AB</v>
      </c>
      <c r="C145" s="121" t="str">
        <f>IFERROR(INDEX('Miljövrärden urval för publ'!$A$2:$AA$419,MATCH('Miljövärden för publ företag'!$A145,'Miljövrärden urval för publ'!$R$2:$R$416,0),2),"")</f>
        <v>Vinslöv</v>
      </c>
      <c r="D145" s="121">
        <f>IFERROR(VLOOKUP($C145,'Miljövrärden urval för publ'!$B$2:$H$416,MATCH('Miljövärden för publ företag'!D$4,'Miljövrärden urval för publ'!$B$2:$H$2,0),FALSE),"")</f>
        <v>7.9085299999999997E-2</v>
      </c>
      <c r="E145" s="121">
        <f>IFERROR(VLOOKUP($C145,'Miljövrärden urval för publ'!$B$2:$H$416,MATCH('Miljövärden för publ företag'!E$4,'Miljövrärden urval för publ'!$B$2:$H$2,0),FALSE),"")</f>
        <v>8.1467700000000001</v>
      </c>
      <c r="F145" s="121">
        <f>IFERROR(VLOOKUP($C145,'Miljövrärden urval för publ'!$B$2:$H$416,MATCH('Miljövärden för publ företag'!F$4,'Miljövrärden urval för publ'!$B$2:$H$2,0),FALSE),"")</f>
        <v>11.2537</v>
      </c>
      <c r="G145" s="121">
        <f>IFERROR(VLOOKUP($C145,'Miljövrärden urval för publ'!$B$2:$H$416,MATCH('Miljövärden för publ företag'!G$4,'Miljövrärden urval för publ'!$B$2:$H$2,0),FALSE),"")</f>
        <v>4.1540199999999996E-3</v>
      </c>
      <c r="J145" s="121">
        <f t="shared" si="10"/>
        <v>58</v>
      </c>
      <c r="M145" s="121">
        <v>141</v>
      </c>
      <c r="N145" s="121" t="str">
        <f t="shared" si="11"/>
        <v/>
      </c>
      <c r="P145" s="296">
        <f t="shared" si="12"/>
        <v>0</v>
      </c>
      <c r="Q145" s="290" t="str">
        <f t="shared" si="9"/>
        <v/>
      </c>
    </row>
    <row r="146" spans="1:17" x14ac:dyDescent="0.25">
      <c r="A146" s="121">
        <v>143</v>
      </c>
      <c r="B146" s="121" t="str">
        <f>IFERROR(INDEX('Miljövrärden urval för publ'!$A$2:$AA$419,MATCH('Miljövärden för publ företag'!$A146,'Miljövrärden urval för publ'!$R$2:$R$416,0),1),"")</f>
        <v>Lantmännen Agrovärme AB</v>
      </c>
      <c r="C146" s="121" t="str">
        <f>IFERROR(INDEX('Miljövrärden urval för publ'!$A$2:$AA$419,MATCH('Miljövärden för publ företag'!$A146,'Miljövrärden urval för publ'!$R$2:$R$416,0),2),"")</f>
        <v>Ödeshög</v>
      </c>
      <c r="D146" s="121">
        <f>IFERROR(VLOOKUP($C146,'Miljövrärden urval för publ'!$B$2:$H$416,MATCH('Miljövärden för publ företag'!D$4,'Miljövrärden urval för publ'!$B$2:$H$2,0),FALSE),"")</f>
        <v>6.8823099999999998E-2</v>
      </c>
      <c r="E146" s="121">
        <f>IFERROR(VLOOKUP($C146,'Miljövrärden urval för publ'!$B$2:$H$416,MATCH('Miljövärden för publ företag'!E$4,'Miljövrärden urval för publ'!$B$2:$H$2,0),FALSE),"")</f>
        <v>6.3238099999999999</v>
      </c>
      <c r="F146" s="121">
        <f>IFERROR(VLOOKUP($C146,'Miljövrärden urval för publ'!$B$2:$H$416,MATCH('Miljövärden för publ företag'!F$4,'Miljövrärden urval för publ'!$B$2:$H$2,0),FALSE),"")</f>
        <v>10.0784</v>
      </c>
      <c r="G146" s="121">
        <f>IFERROR(VLOOKUP($C146,'Miljövrärden urval för publ'!$B$2:$H$416,MATCH('Miljövärden för publ företag'!G$4,'Miljövrärden urval för publ'!$B$2:$H$2,0),FALSE),"")</f>
        <v>1.5159500000000001E-3</v>
      </c>
      <c r="J146" s="121">
        <f t="shared" si="10"/>
        <v>58</v>
      </c>
      <c r="M146" s="121">
        <v>142</v>
      </c>
      <c r="N146" s="121" t="str">
        <f t="shared" si="11"/>
        <v/>
      </c>
      <c r="P146" s="296">
        <f t="shared" si="12"/>
        <v>0</v>
      </c>
      <c r="Q146" s="290" t="str">
        <f t="shared" si="9"/>
        <v/>
      </c>
    </row>
    <row r="147" spans="1:17" x14ac:dyDescent="0.25">
      <c r="A147" s="121">
        <v>144</v>
      </c>
      <c r="B147" s="121" t="str">
        <f>IFERROR(INDEX('Miljövrärden urval för publ'!$A$2:$AA$419,MATCH('Miljövärden för publ företag'!$A147,'Miljövrärden urval för publ'!$R$2:$R$416,0),1),"")</f>
        <v>Lantmännen Agrovärme AB</v>
      </c>
      <c r="C147" s="121" t="str">
        <f>IFERROR(INDEX('Miljövrärden urval för publ'!$A$2:$AA$419,MATCH('Miljövärden för publ företag'!$A147,'Miljövrärden urval för publ'!$R$2:$R$416,0),2),"")</f>
        <v>Örsundsbro</v>
      </c>
      <c r="D147" s="121">
        <f>IFERROR(VLOOKUP($C147,'Miljövrärden urval för publ'!$B$2:$H$416,MATCH('Miljövärden för publ företag'!D$4,'Miljövrärden urval för publ'!$B$2:$H$2,0),FALSE),"")</f>
        <v>7.54769E-2</v>
      </c>
      <c r="E147" s="121">
        <f>IFERROR(VLOOKUP($C147,'Miljövrärden urval för publ'!$B$2:$H$416,MATCH('Miljövärden för publ företag'!E$4,'Miljövrärden urval för publ'!$B$2:$H$2,0),FALSE),"")</f>
        <v>8.6513899999999992</v>
      </c>
      <c r="F147" s="121">
        <f>IFERROR(VLOOKUP($C147,'Miljövrärden urval för publ'!$B$2:$H$416,MATCH('Miljövärden för publ företag'!F$4,'Miljövrärden urval för publ'!$B$2:$H$2,0),FALSE),"")</f>
        <v>9.9345700000000008</v>
      </c>
      <c r="G147" s="121">
        <f>IFERROR(VLOOKUP($C147,'Miljövrärden urval för publ'!$B$2:$H$416,MATCH('Miljövärden för publ företag'!G$4,'Miljövrärden urval för publ'!$B$2:$H$2,0),FALSE),"")</f>
        <v>8.2277700000000006E-3</v>
      </c>
      <c r="J147" s="121">
        <f t="shared" si="10"/>
        <v>58</v>
      </c>
      <c r="M147" s="121">
        <v>143</v>
      </c>
      <c r="N147" s="121" t="str">
        <f t="shared" si="11"/>
        <v/>
      </c>
      <c r="P147" s="296">
        <f t="shared" si="12"/>
        <v>0</v>
      </c>
      <c r="Q147" s="290" t="str">
        <f t="shared" si="9"/>
        <v/>
      </c>
    </row>
    <row r="148" spans="1:17" x14ac:dyDescent="0.25">
      <c r="A148" s="121">
        <v>145</v>
      </c>
      <c r="B148" s="121" t="str">
        <f>IFERROR(INDEX('Miljövrärden urval för publ'!$A$2:$AA$419,MATCH('Miljövärden för publ företag'!$A148,'Miljövrärden urval för publ'!$R$2:$R$416,0),1),"")</f>
        <v>Laxå Värme AB</v>
      </c>
      <c r="C148" s="121" t="str">
        <f>IFERROR(INDEX('Miljövrärden urval för publ'!$A$2:$AA$419,MATCH('Miljövärden för publ företag'!$A148,'Miljövrärden urval för publ'!$R$2:$R$416,0),2),"")</f>
        <v>Laxå</v>
      </c>
      <c r="D148" s="121">
        <f>IFERROR(VLOOKUP($C148,'Miljövrärden urval för publ'!$B$2:$H$416,MATCH('Miljövärden för publ företag'!D$4,'Miljövrärden urval för publ'!$B$2:$H$2,0),FALSE),"")</f>
        <v>0.16898099999999999</v>
      </c>
      <c r="E148" s="121">
        <f>IFERROR(VLOOKUP($C148,'Miljövrärden urval för publ'!$B$2:$H$416,MATCH('Miljövärden för publ företag'!E$4,'Miljövrärden urval för publ'!$B$2:$H$2,0),FALSE),"")</f>
        <v>8.4911200000000004</v>
      </c>
      <c r="F148" s="121">
        <f>IFERROR(VLOOKUP($C148,'Miljövrärden urval för publ'!$B$2:$H$416,MATCH('Miljövärden för publ företag'!F$4,'Miljövrärden urval för publ'!$B$2:$H$2,0),FALSE),"")</f>
        <v>17.678899999999999</v>
      </c>
      <c r="G148" s="121">
        <f>IFERROR(VLOOKUP($C148,'Miljövrärden urval för publ'!$B$2:$H$416,MATCH('Miljövärden för publ företag'!G$4,'Miljövrärden urval för publ'!$B$2:$H$2,0),FALSE),"")</f>
        <v>1.0338200000000001E-2</v>
      </c>
      <c r="J148" s="121">
        <f t="shared" si="10"/>
        <v>59</v>
      </c>
      <c r="M148" s="121">
        <v>144</v>
      </c>
      <c r="N148" s="121" t="str">
        <f t="shared" si="11"/>
        <v/>
      </c>
      <c r="P148" s="296">
        <f t="shared" si="12"/>
        <v>0</v>
      </c>
      <c r="Q148" s="290" t="str">
        <f t="shared" si="9"/>
        <v/>
      </c>
    </row>
    <row r="149" spans="1:17" x14ac:dyDescent="0.25">
      <c r="A149" s="121">
        <v>146</v>
      </c>
      <c r="B149" s="121" t="str">
        <f>IFERROR(INDEX('Miljövrärden urval för publ'!$A$2:$AA$419,MATCH('Miljövärden för publ företag'!$A149,'Miljövrärden urval för publ'!$R$2:$R$416,0),1),"")</f>
        <v>Lerum Fjärrvärme AB</v>
      </c>
      <c r="C149" s="121" t="str">
        <f>IFERROR(INDEX('Miljövrärden urval för publ'!$A$2:$AA$419,MATCH('Miljövärden för publ företag'!$A149,'Miljövrärden urval för publ'!$R$2:$R$416,0),2),"")</f>
        <v>Floda</v>
      </c>
      <c r="D149" s="121">
        <f>IFERROR(VLOOKUP($C149,'Miljövrärden urval för publ'!$B$2:$H$416,MATCH('Miljövärden för publ företag'!D$4,'Miljövrärden urval för publ'!$B$2:$H$2,0),FALSE),"")</f>
        <v>0.15681899999999999</v>
      </c>
      <c r="E149" s="121">
        <f>IFERROR(VLOOKUP($C149,'Miljövrärden urval för publ'!$B$2:$H$416,MATCH('Miljövärden för publ företag'!E$4,'Miljövrärden urval för publ'!$B$2:$H$2,0),FALSE),"")</f>
        <v>33.445799999999998</v>
      </c>
      <c r="F149" s="121">
        <f>IFERROR(VLOOKUP($C149,'Miljövrärden urval för publ'!$B$2:$H$416,MATCH('Miljövärden för publ företag'!F$4,'Miljövrärden urval för publ'!$B$2:$H$2,0),FALSE),"")</f>
        <v>10.144600000000001</v>
      </c>
      <c r="G149" s="121">
        <f>IFERROR(VLOOKUP($C149,'Miljövrärden urval för publ'!$B$2:$H$416,MATCH('Miljövärden för publ företag'!G$4,'Miljövrärden urval för publ'!$B$2:$H$2,0),FALSE),"")</f>
        <v>8.8097099999999998E-2</v>
      </c>
      <c r="J149" s="121">
        <f t="shared" si="10"/>
        <v>60</v>
      </c>
      <c r="M149" s="121">
        <v>145</v>
      </c>
      <c r="N149" s="121" t="str">
        <f t="shared" si="11"/>
        <v/>
      </c>
      <c r="P149" s="296">
        <f t="shared" si="12"/>
        <v>0</v>
      </c>
      <c r="Q149" s="290" t="str">
        <f t="shared" si="9"/>
        <v/>
      </c>
    </row>
    <row r="150" spans="1:17" x14ac:dyDescent="0.25">
      <c r="A150" s="121">
        <v>147</v>
      </c>
      <c r="B150" s="121" t="str">
        <f>IFERROR(INDEX('Miljövrärden urval för publ'!$A$2:$AA$419,MATCH('Miljövärden för publ företag'!$A150,'Miljövrärden urval för publ'!$R$2:$R$416,0),1),"")</f>
        <v>Lerum Fjärrvärme AB</v>
      </c>
      <c r="C150" s="121" t="str">
        <f>IFERROR(INDEX('Miljövrärden urval för publ'!$A$2:$AA$419,MATCH('Miljövärden för publ företag'!$A150,'Miljövrärden urval för publ'!$R$2:$R$416,0),2),"")</f>
        <v>Gråbo</v>
      </c>
      <c r="D150" s="121">
        <f>IFERROR(VLOOKUP($C150,'Miljövrärden urval för publ'!$B$2:$H$416,MATCH('Miljövärden för publ företag'!D$4,'Miljövrärden urval för publ'!$B$2:$H$2,0),FALSE),"")</f>
        <v>0.189529</v>
      </c>
      <c r="E150" s="121">
        <f>IFERROR(VLOOKUP($C150,'Miljövrärden urval för publ'!$B$2:$H$416,MATCH('Miljövärden för publ företag'!E$4,'Miljövrärden urval för publ'!$B$2:$H$2,0),FALSE),"")</f>
        <v>21.193300000000001</v>
      </c>
      <c r="F150" s="121">
        <f>IFERROR(VLOOKUP($C150,'Miljövrärden urval för publ'!$B$2:$H$416,MATCH('Miljövärden för publ företag'!F$4,'Miljövrärden urval för publ'!$B$2:$H$2,0),FALSE),"")</f>
        <v>16.305800000000001</v>
      </c>
      <c r="G150" s="121">
        <f>IFERROR(VLOOKUP($C150,'Miljövrärden urval för publ'!$B$2:$H$416,MATCH('Miljövärden för publ företag'!G$4,'Miljövrärden urval för publ'!$B$2:$H$2,0),FALSE),"")</f>
        <v>5.4905799999999998E-2</v>
      </c>
      <c r="J150" s="121">
        <f t="shared" si="10"/>
        <v>60</v>
      </c>
      <c r="M150" s="121">
        <v>146</v>
      </c>
      <c r="N150" s="121" t="str">
        <f t="shared" si="11"/>
        <v/>
      </c>
      <c r="P150" s="296">
        <f t="shared" si="12"/>
        <v>0</v>
      </c>
      <c r="Q150" s="290" t="str">
        <f t="shared" si="9"/>
        <v/>
      </c>
    </row>
    <row r="151" spans="1:17" x14ac:dyDescent="0.25">
      <c r="A151" s="121">
        <v>148</v>
      </c>
      <c r="B151" s="121" t="str">
        <f>IFERROR(INDEX('Miljövrärden urval för publ'!$A$2:$AA$419,MATCH('Miljövärden för publ företag'!$A151,'Miljövrärden urval för publ'!$R$2:$R$416,0),1),"")</f>
        <v>Lerum Fjärrvärme AB</v>
      </c>
      <c r="C151" s="121" t="str">
        <f>IFERROR(INDEX('Miljövrärden urval för publ'!$A$2:$AA$419,MATCH('Miljövärden för publ företag'!$A151,'Miljövrärden urval för publ'!$R$2:$R$416,0),2),"")</f>
        <v>Lerum</v>
      </c>
      <c r="D151" s="121">
        <f>IFERROR(VLOOKUP($C151,'Miljövrärden urval för publ'!$B$2:$H$416,MATCH('Miljövärden för publ företag'!D$4,'Miljövrärden urval för publ'!$B$2:$H$2,0),FALSE),"")</f>
        <v>9.2851699999999995E-2</v>
      </c>
      <c r="E151" s="121">
        <f>IFERROR(VLOOKUP($C151,'Miljövrärden urval för publ'!$B$2:$H$416,MATCH('Miljövärden för publ företag'!E$4,'Miljövrärden urval för publ'!$B$2:$H$2,0),FALSE),"")</f>
        <v>5.5020699999999998</v>
      </c>
      <c r="F151" s="121">
        <f>IFERROR(VLOOKUP($C151,'Miljövrärden urval för publ'!$B$2:$H$416,MATCH('Miljövärden för publ företag'!F$4,'Miljövrärden urval för publ'!$B$2:$H$2,0),FALSE),"")</f>
        <v>13.0876</v>
      </c>
      <c r="G151" s="121">
        <f>IFERROR(VLOOKUP($C151,'Miljövrärden urval för publ'!$B$2:$H$416,MATCH('Miljövärden för publ företag'!G$4,'Miljövrärden urval för publ'!$B$2:$H$2,0),FALSE),"")</f>
        <v>1.8756700000000001E-3</v>
      </c>
      <c r="J151" s="121">
        <f t="shared" si="10"/>
        <v>60</v>
      </c>
      <c r="M151" s="121">
        <v>147</v>
      </c>
      <c r="N151" s="121" t="str">
        <f t="shared" si="11"/>
        <v/>
      </c>
      <c r="P151" s="296">
        <f t="shared" si="12"/>
        <v>0</v>
      </c>
      <c r="Q151" s="290" t="str">
        <f t="shared" si="9"/>
        <v/>
      </c>
    </row>
    <row r="152" spans="1:17" x14ac:dyDescent="0.25">
      <c r="A152" s="121">
        <v>149</v>
      </c>
      <c r="B152" s="121" t="str">
        <f>IFERROR(INDEX('Miljövrärden urval för publ'!$A$2:$AA$419,MATCH('Miljövärden för publ företag'!$A152,'Miljövrärden urval för publ'!$R$2:$R$416,0),1),"")</f>
        <v>Lerum Fjärrvärme AB</v>
      </c>
      <c r="C152" s="121" t="str">
        <f>IFERROR(INDEX('Miljövrärden urval för publ'!$A$2:$AA$419,MATCH('Miljövärden för publ företag'!$A152,'Miljövrärden urval för publ'!$R$2:$R$416,0),2),"")</f>
        <v>Stenkullen</v>
      </c>
      <c r="D152" s="121">
        <f>IFERROR(VLOOKUP($C152,'Miljövrärden urval för publ'!$B$2:$H$416,MATCH('Miljövärden för publ företag'!D$4,'Miljövrärden urval för publ'!$B$2:$H$2,0),FALSE),"")</f>
        <v>0.16611300000000001</v>
      </c>
      <c r="E152" s="121">
        <f>IFERROR(VLOOKUP($C152,'Miljövrärden urval för publ'!$B$2:$H$416,MATCH('Miljövärden för publ företag'!E$4,'Miljövrärden urval för publ'!$B$2:$H$2,0),FALSE),"")</f>
        <v>15.107100000000001</v>
      </c>
      <c r="F152" s="121">
        <f>IFERROR(VLOOKUP($C152,'Miljövrärden urval för publ'!$B$2:$H$416,MATCH('Miljövärden för publ företag'!F$4,'Miljövrärden urval för publ'!$B$2:$H$2,0),FALSE),"")</f>
        <v>16.2348</v>
      </c>
      <c r="G152" s="121">
        <f>IFERROR(VLOOKUP($C152,'Miljövrärden urval för publ'!$B$2:$H$416,MATCH('Miljövärden för publ företag'!G$4,'Miljövrärden urval för publ'!$B$2:$H$2,0),FALSE),"")</f>
        <v>3.4859899999999999E-2</v>
      </c>
      <c r="J152" s="121">
        <f t="shared" si="10"/>
        <v>60</v>
      </c>
      <c r="M152" s="121">
        <v>148</v>
      </c>
      <c r="N152" s="121" t="str">
        <f t="shared" si="11"/>
        <v/>
      </c>
      <c r="P152" s="296">
        <f t="shared" si="12"/>
        <v>0</v>
      </c>
      <c r="Q152" s="290" t="str">
        <f t="shared" si="9"/>
        <v/>
      </c>
    </row>
    <row r="153" spans="1:17" x14ac:dyDescent="0.25">
      <c r="A153" s="121">
        <v>150</v>
      </c>
      <c r="B153" s="121" t="str">
        <f>IFERROR(INDEX('Miljövrärden urval för publ'!$A$2:$AA$419,MATCH('Miljövärden för publ företag'!$A153,'Miljövrärden urval för publ'!$R$2:$R$416,0),1),"")</f>
        <v>LEVA i Lysekil AB</v>
      </c>
      <c r="C153" s="121" t="str">
        <f>IFERROR(INDEX('Miljövrärden urval för publ'!$A$2:$AA$419,MATCH('Miljövärden för publ företag'!$A153,'Miljövrärden urval för publ'!$R$2:$R$416,0),2),"")</f>
        <v>Lysekil</v>
      </c>
      <c r="D153" s="121">
        <f>IFERROR(VLOOKUP($C153,'Miljövrärden urval för publ'!$B$2:$H$416,MATCH('Miljövärden för publ företag'!D$4,'Miljövrärden urval för publ'!$B$2:$H$2,0),FALSE),"")</f>
        <v>0.12053</v>
      </c>
      <c r="E153" s="121">
        <f>IFERROR(VLOOKUP($C153,'Miljövrärden urval för publ'!$B$2:$H$416,MATCH('Miljövärden för publ företag'!E$4,'Miljövrärden urval för publ'!$B$2:$H$2,0),FALSE),"")</f>
        <v>22.3172</v>
      </c>
      <c r="F153" s="121">
        <f>IFERROR(VLOOKUP($C153,'Miljövrärden urval för publ'!$B$2:$H$416,MATCH('Miljövärden för publ företag'!F$4,'Miljövrärden urval för publ'!$B$2:$H$2,0),FALSE),"")</f>
        <v>1.02132</v>
      </c>
      <c r="G153" s="121">
        <f>IFERROR(VLOOKUP($C153,'Miljövrärden urval för publ'!$B$2:$H$416,MATCH('Miljövärden för publ företag'!G$4,'Miljövrärden urval för publ'!$B$2:$H$2,0),FALSE),"")</f>
        <v>4.4662E-2</v>
      </c>
      <c r="J153" s="121">
        <f t="shared" si="10"/>
        <v>61</v>
      </c>
      <c r="M153" s="121">
        <v>149</v>
      </c>
      <c r="N153" s="121" t="str">
        <f t="shared" si="11"/>
        <v/>
      </c>
      <c r="P153" s="296">
        <f t="shared" si="12"/>
        <v>0</v>
      </c>
      <c r="Q153" s="290" t="str">
        <f t="shared" si="9"/>
        <v/>
      </c>
    </row>
    <row r="154" spans="1:17" x14ac:dyDescent="0.25">
      <c r="A154" s="121">
        <v>151</v>
      </c>
      <c r="B154" s="121" t="str">
        <f>IFERROR(INDEX('Miljövrärden urval för publ'!$A$2:$AA$419,MATCH('Miljövärden för publ företag'!$A154,'Miljövrärden urval för publ'!$R$2:$R$416,0),1),"")</f>
        <v>Lidköping Energi AB</v>
      </c>
      <c r="C154" s="121" t="str">
        <f>IFERROR(INDEX('Miljövrärden urval för publ'!$A$2:$AA$419,MATCH('Miljövärden för publ företag'!$A154,'Miljövrärden urval för publ'!$R$2:$R$416,0),2),"")</f>
        <v>Klimateffektiv fjärrvärme</v>
      </c>
      <c r="D154" s="121">
        <f>IFERROR(VLOOKUP($C154,'Miljövrärden urval för publ'!$B$2:$H$416,MATCH('Miljövärden för publ företag'!D$4,'Miljövrärden urval för publ'!$B$2:$H$2,0),FALSE),"")</f>
        <v>0.43176300000000001</v>
      </c>
      <c r="E154" s="121">
        <f>IFERROR(VLOOKUP($C154,'Miljövrärden urval för publ'!$B$2:$H$416,MATCH('Miljövärden för publ företag'!E$4,'Miljövrärden urval för publ'!$B$2:$H$2,0),FALSE),"")</f>
        <v>102.815</v>
      </c>
      <c r="F154" s="121">
        <f>IFERROR(VLOOKUP($C154,'Miljövrärden urval för publ'!$B$2:$H$416,MATCH('Miljövärden för publ företag'!F$4,'Miljövrärden urval för publ'!$B$2:$H$2,0),FALSE),"")</f>
        <v>2.2031800000000001</v>
      </c>
      <c r="G154" s="121">
        <f>IFERROR(VLOOKUP($C154,'Miljövrärden urval för publ'!$B$2:$H$416,MATCH('Miljövärden för publ företag'!G$4,'Miljövrärden urval för publ'!$B$2:$H$2,0),FALSE),"")</f>
        <v>0</v>
      </c>
      <c r="J154" s="121">
        <f t="shared" si="10"/>
        <v>62</v>
      </c>
      <c r="M154" s="121">
        <v>150</v>
      </c>
      <c r="N154" s="121" t="str">
        <f t="shared" si="11"/>
        <v/>
      </c>
      <c r="P154" s="296">
        <f t="shared" si="12"/>
        <v>0</v>
      </c>
      <c r="Q154" s="290" t="str">
        <f t="shared" si="9"/>
        <v/>
      </c>
    </row>
    <row r="155" spans="1:17" x14ac:dyDescent="0.25">
      <c r="A155" s="121">
        <v>152</v>
      </c>
      <c r="B155" s="121" t="str">
        <f>IFERROR(INDEX('Miljövrärden urval för publ'!$A$2:$AA$419,MATCH('Miljövärden för publ företag'!$A155,'Miljövrärden urval för publ'!$R$2:$R$416,0),1),"")</f>
        <v>Lidköping Energi AB</v>
      </c>
      <c r="C155" s="121" t="str">
        <f>IFERROR(INDEX('Miljövrärden urval för publ'!$A$2:$AA$419,MATCH('Miljövärden för publ företag'!$A155,'Miljövrärden urval för publ'!$R$2:$R$416,0),2),"")</f>
        <v>Lidköping</v>
      </c>
      <c r="D155" s="121">
        <f>IFERROR(VLOOKUP($C155,'Miljövrärden urval för publ'!$B$2:$H$416,MATCH('Miljövärden för publ företag'!D$4,'Miljövrärden urval för publ'!$B$2:$H$2,0),FALSE),"")</f>
        <v>0.10184600000000001</v>
      </c>
      <c r="E155" s="121">
        <f>IFERROR(VLOOKUP($C155,'Miljövrärden urval för publ'!$B$2:$H$416,MATCH('Miljövärden för publ företag'!E$4,'Miljövrärden urval för publ'!$B$2:$H$2,0),FALSE),"")</f>
        <v>174.24799999999999</v>
      </c>
      <c r="F155" s="121">
        <f>IFERROR(VLOOKUP($C155,'Miljövrärden urval för publ'!$B$2:$H$416,MATCH('Miljövärden för publ företag'!F$4,'Miljövrärden urval för publ'!$B$2:$H$2,0),FALSE),"")</f>
        <v>4.1048600000000004</v>
      </c>
      <c r="G155" s="121">
        <f>IFERROR(VLOOKUP($C155,'Miljövrärden urval för publ'!$B$2:$H$416,MATCH('Miljövärden för publ företag'!G$4,'Miljövrärden urval för publ'!$B$2:$H$2,0),FALSE),"")</f>
        <v>1.28938E-2</v>
      </c>
      <c r="J155" s="121">
        <f t="shared" si="10"/>
        <v>62</v>
      </c>
      <c r="M155" s="121">
        <v>151</v>
      </c>
      <c r="N155" s="121" t="str">
        <f t="shared" si="11"/>
        <v/>
      </c>
      <c r="P155" s="296">
        <f t="shared" si="12"/>
        <v>0</v>
      </c>
      <c r="Q155" s="290" t="str">
        <f t="shared" si="9"/>
        <v/>
      </c>
    </row>
    <row r="156" spans="1:17" x14ac:dyDescent="0.25">
      <c r="A156" s="121">
        <v>153</v>
      </c>
      <c r="B156" s="121" t="str">
        <f>IFERROR(INDEX('Miljövrärden urval för publ'!$A$2:$AA$419,MATCH('Miljövärden för publ företag'!$A156,'Miljövrärden urval för publ'!$R$2:$R$416,0),1),"")</f>
        <v>Lilla Edets Fjärrvärme AB</v>
      </c>
      <c r="C156" s="121" t="str">
        <f>IFERROR(INDEX('Miljövrärden urval för publ'!$A$2:$AA$419,MATCH('Miljövärden för publ företag'!$A156,'Miljövrärden urval för publ'!$R$2:$R$416,0),2),"")</f>
        <v>Lilla Edet</v>
      </c>
      <c r="D156" s="121">
        <f>IFERROR(VLOOKUP($C156,'Miljövrärden urval för publ'!$B$2:$H$416,MATCH('Miljövärden för publ företag'!D$4,'Miljövrärden urval för publ'!$B$2:$H$2,0),FALSE),"")</f>
        <v>0.146619</v>
      </c>
      <c r="E156" s="121">
        <f>IFERROR(VLOOKUP($C156,'Miljövrärden urval för publ'!$B$2:$H$416,MATCH('Miljövärden för publ företag'!E$4,'Miljövrärden urval för publ'!$B$2:$H$2,0),FALSE),"")</f>
        <v>24.9649</v>
      </c>
      <c r="F156" s="121">
        <f>IFERROR(VLOOKUP($C156,'Miljövrärden urval för publ'!$B$2:$H$416,MATCH('Miljövärden för publ företag'!F$4,'Miljövrärden urval för publ'!$B$2:$H$2,0),FALSE),"")</f>
        <v>9.7927499999999998</v>
      </c>
      <c r="G156" s="121">
        <f>IFERROR(VLOOKUP($C156,'Miljövrärden urval för publ'!$B$2:$H$416,MATCH('Miljövärden för publ företag'!G$4,'Miljövrärden urval för publ'!$B$2:$H$2,0),FALSE),"")</f>
        <v>3.71048E-2</v>
      </c>
      <c r="J156" s="121">
        <f t="shared" si="10"/>
        <v>63</v>
      </c>
      <c r="M156" s="121">
        <v>152</v>
      </c>
      <c r="N156" s="121" t="str">
        <f t="shared" si="11"/>
        <v/>
      </c>
      <c r="P156" s="296">
        <f t="shared" si="12"/>
        <v>0</v>
      </c>
      <c r="Q156" s="290" t="str">
        <f t="shared" si="9"/>
        <v/>
      </c>
    </row>
    <row r="157" spans="1:17" x14ac:dyDescent="0.25">
      <c r="A157" s="121">
        <v>154</v>
      </c>
      <c r="B157" s="121" t="str">
        <f>IFERROR(INDEX('Miljövrärden urval för publ'!$A$2:$AA$419,MATCH('Miljövärden för publ företag'!$A157,'Miljövrärden urval för publ'!$R$2:$R$416,0),1),"")</f>
        <v>Linde Energi AB</v>
      </c>
      <c r="C157" s="121" t="str">
        <f>IFERROR(INDEX('Miljövrärden urval för publ'!$A$2:$AA$419,MATCH('Miljövärden för publ företag'!$A157,'Miljövrärden urval för publ'!$R$2:$R$416,0),2),"")</f>
        <v>Frövi</v>
      </c>
      <c r="D157" s="121">
        <f>IFERROR(VLOOKUP($C157,'Miljövrärden urval för publ'!$B$2:$H$416,MATCH('Miljövärden för publ företag'!D$4,'Miljövrärden urval för publ'!$B$2:$H$2,0),FALSE),"")</f>
        <v>5.1945400000000003E-2</v>
      </c>
      <c r="E157" s="121">
        <f>IFERROR(VLOOKUP($C157,'Miljövrärden urval för publ'!$B$2:$H$416,MATCH('Miljövärden för publ företag'!E$4,'Miljövrärden urval för publ'!$B$2:$H$2,0),FALSE),"")</f>
        <v>10.838100000000001</v>
      </c>
      <c r="F157" s="121">
        <f>IFERROR(VLOOKUP($C157,'Miljövrärden urval för publ'!$B$2:$H$416,MATCH('Miljövärden för publ företag'!F$4,'Miljövrärden urval för publ'!$B$2:$H$2,0),FALSE),"")</f>
        <v>1.0233000000000001</v>
      </c>
      <c r="G157" s="121">
        <f>IFERROR(VLOOKUP($C157,'Miljövrärden urval för publ'!$B$2:$H$416,MATCH('Miljövärden för publ företag'!G$4,'Miljövrärden urval för publ'!$B$2:$H$2,0),FALSE),"")</f>
        <v>3.0536199999999999E-2</v>
      </c>
      <c r="J157" s="121">
        <f t="shared" si="10"/>
        <v>64</v>
      </c>
      <c r="M157" s="121">
        <v>153</v>
      </c>
      <c r="N157" s="121" t="str">
        <f t="shared" si="11"/>
        <v/>
      </c>
      <c r="P157" s="296">
        <f t="shared" si="12"/>
        <v>0</v>
      </c>
      <c r="Q157" s="290" t="str">
        <f t="shared" si="9"/>
        <v/>
      </c>
    </row>
    <row r="158" spans="1:17" x14ac:dyDescent="0.25">
      <c r="A158" s="121">
        <v>155</v>
      </c>
      <c r="B158" s="121" t="str">
        <f>IFERROR(INDEX('Miljövrärden urval för publ'!$A$2:$AA$419,MATCH('Miljövärden för publ företag'!$A158,'Miljövrärden urval för publ'!$R$2:$R$416,0),1),"")</f>
        <v>Linde Energi AB</v>
      </c>
      <c r="C158" s="121" t="str">
        <f>IFERROR(INDEX('Miljövrärden urval för publ'!$A$2:$AA$419,MATCH('Miljövärden för publ företag'!$A158,'Miljövrärden urval för publ'!$R$2:$R$416,0),2),"")</f>
        <v>Guldsmedhyttan</v>
      </c>
      <c r="D158" s="121">
        <f>IFERROR(VLOOKUP($C158,'Miljövrärden urval för publ'!$B$2:$H$416,MATCH('Miljövärden för publ företag'!D$4,'Miljövrärden urval för publ'!$B$2:$H$2,0),FALSE),"")</f>
        <v>0.34472999999999998</v>
      </c>
      <c r="E158" s="121">
        <f>IFERROR(VLOOKUP($C158,'Miljövrärden urval för publ'!$B$2:$H$416,MATCH('Miljövärden för publ företag'!E$4,'Miljövrärden urval för publ'!$B$2:$H$2,0),FALSE),"")</f>
        <v>3.5890900000000001</v>
      </c>
      <c r="F158" s="121">
        <f>IFERROR(VLOOKUP($C158,'Miljövrärden urval för publ'!$B$2:$H$416,MATCH('Miljövärden för publ företag'!F$4,'Miljövrärden urval för publ'!$B$2:$H$2,0),FALSE),"")</f>
        <v>12.5618</v>
      </c>
      <c r="G158" s="121">
        <f>IFERROR(VLOOKUP($C158,'Miljövrärden urval för publ'!$B$2:$H$416,MATCH('Miljövärden för publ företag'!G$4,'Miljövrärden urval för publ'!$B$2:$H$2,0),FALSE),"")</f>
        <v>0</v>
      </c>
      <c r="J158" s="121">
        <f t="shared" si="10"/>
        <v>64</v>
      </c>
      <c r="M158" s="121">
        <v>154</v>
      </c>
      <c r="N158" s="121" t="str">
        <f t="shared" si="11"/>
        <v/>
      </c>
      <c r="P158" s="296">
        <f t="shared" si="12"/>
        <v>0</v>
      </c>
      <c r="Q158" s="290" t="str">
        <f t="shared" si="9"/>
        <v/>
      </c>
    </row>
    <row r="159" spans="1:17" x14ac:dyDescent="0.25">
      <c r="A159" s="121">
        <v>156</v>
      </c>
      <c r="B159" s="121" t="str">
        <f>IFERROR(INDEX('Miljövrärden urval för publ'!$A$2:$AA$419,MATCH('Miljövärden för publ företag'!$A159,'Miljövrärden urval för publ'!$R$2:$R$416,0),1),"")</f>
        <v>Linde Energi AB</v>
      </c>
      <c r="C159" s="121" t="str">
        <f>IFERROR(INDEX('Miljövrärden urval för publ'!$A$2:$AA$419,MATCH('Miljövärden för publ företag'!$A159,'Miljövrärden urval för publ'!$R$2:$R$416,0),2),"")</f>
        <v>Lindesberg</v>
      </c>
      <c r="D159" s="121">
        <f>IFERROR(VLOOKUP($C159,'Miljövrärden urval för publ'!$B$2:$H$416,MATCH('Miljövärden för publ företag'!D$4,'Miljövrärden urval för publ'!$B$2:$H$2,0),FALSE),"")</f>
        <v>8.9625999999999997E-2</v>
      </c>
      <c r="E159" s="121">
        <f>IFERROR(VLOOKUP($C159,'Miljövrärden urval för publ'!$B$2:$H$416,MATCH('Miljövärden för publ företag'!E$4,'Miljövrärden urval för publ'!$B$2:$H$2,0),FALSE),"")</f>
        <v>2.9685999999999999</v>
      </c>
      <c r="F159" s="121">
        <f>IFERROR(VLOOKUP($C159,'Miljövrärden urval för publ'!$B$2:$H$416,MATCH('Miljövärden för publ företag'!F$4,'Miljövrärden urval för publ'!$B$2:$H$2,0),FALSE),"")</f>
        <v>1.6952</v>
      </c>
      <c r="G159" s="121">
        <f>IFERROR(VLOOKUP($C159,'Miljövrärden urval för publ'!$B$2:$H$416,MATCH('Miljövärden för publ företag'!G$4,'Miljövrärden urval för publ'!$B$2:$H$2,0),FALSE),"")</f>
        <v>7.7380399999999998E-3</v>
      </c>
      <c r="J159" s="121">
        <f t="shared" si="10"/>
        <v>64</v>
      </c>
      <c r="M159" s="121">
        <v>155</v>
      </c>
      <c r="N159" s="121" t="str">
        <f t="shared" si="11"/>
        <v/>
      </c>
      <c r="P159" s="296">
        <f t="shared" si="12"/>
        <v>0</v>
      </c>
      <c r="Q159" s="290" t="str">
        <f t="shared" si="9"/>
        <v/>
      </c>
    </row>
    <row r="160" spans="1:17" x14ac:dyDescent="0.25">
      <c r="A160" s="121">
        <v>157</v>
      </c>
      <c r="B160" s="121" t="str">
        <f>IFERROR(INDEX('Miljövrärden urval för publ'!$A$2:$AA$419,MATCH('Miljövärden för publ företag'!$A160,'Miljövrärden urval för publ'!$R$2:$R$416,0),1),"")</f>
        <v>Linde Energi AB</v>
      </c>
      <c r="C160" s="121" t="str">
        <f>IFERROR(INDEX('Miljövrärden urval för publ'!$A$2:$AA$419,MATCH('Miljövärden för publ företag'!$A160,'Miljövrärden urval för publ'!$R$2:$R$416,0),2),"")</f>
        <v>Vedevåg</v>
      </c>
      <c r="D160" s="121">
        <f>IFERROR(VLOOKUP($C160,'Miljövrärden urval för publ'!$B$2:$H$416,MATCH('Miljövärden för publ företag'!D$4,'Miljövrärden urval för publ'!$B$2:$H$2,0),FALSE),"")</f>
        <v>7.9844600000000002E-2</v>
      </c>
      <c r="E160" s="121">
        <f>IFERROR(VLOOKUP($C160,'Miljövrärden urval för publ'!$B$2:$H$416,MATCH('Miljövärden för publ företag'!E$4,'Miljövrärden urval för publ'!$B$2:$H$2,0),FALSE),"")</f>
        <v>17.119599999999998</v>
      </c>
      <c r="F160" s="121">
        <f>IFERROR(VLOOKUP($C160,'Miljövrärden urval för publ'!$B$2:$H$416,MATCH('Miljövärden för publ företag'!F$4,'Miljövrärden urval för publ'!$B$2:$H$2,0),FALSE),"")</f>
        <v>1.9630300000000001</v>
      </c>
      <c r="G160" s="121">
        <f>IFERROR(VLOOKUP($C160,'Miljövrärden urval för publ'!$B$2:$H$416,MATCH('Miljövärden för publ företag'!G$4,'Miljövrärden urval för publ'!$B$2:$H$2,0),FALSE),"")</f>
        <v>5.0934699999999999E-2</v>
      </c>
      <c r="J160" s="121">
        <f t="shared" si="10"/>
        <v>64</v>
      </c>
      <c r="M160" s="121">
        <v>156</v>
      </c>
      <c r="N160" s="121" t="str">
        <f t="shared" si="11"/>
        <v/>
      </c>
      <c r="P160" s="296">
        <f t="shared" si="12"/>
        <v>0</v>
      </c>
      <c r="Q160" s="290" t="str">
        <f t="shared" si="9"/>
        <v/>
      </c>
    </row>
    <row r="161" spans="1:17" x14ac:dyDescent="0.25">
      <c r="A161" s="121">
        <v>158</v>
      </c>
      <c r="B161" s="121" t="str">
        <f>IFERROR(INDEX('Miljövrärden urval för publ'!$A$2:$AA$419,MATCH('Miljövärden för publ företag'!$A161,'Miljövrärden urval för publ'!$R$2:$R$416,0),1),"")</f>
        <v>Ljungby Energi AB</v>
      </c>
      <c r="C161" s="121" t="str">
        <f>IFERROR(INDEX('Miljövrärden urval för publ'!$A$2:$AA$419,MATCH('Miljövärden för publ företag'!$A161,'Miljövrärden urval för publ'!$R$2:$R$416,0),2),"")</f>
        <v>Ljungby</v>
      </c>
      <c r="D161" s="121">
        <f>IFERROR(VLOOKUP($C161,'Miljövrärden urval för publ'!$B$2:$H$416,MATCH('Miljövärden för publ företag'!D$4,'Miljövrärden urval för publ'!$B$2:$H$2,0),FALSE),"")</f>
        <v>0.15060000000000001</v>
      </c>
      <c r="E161" s="121">
        <f>IFERROR(VLOOKUP($C161,'Miljövrärden urval för publ'!$B$2:$H$416,MATCH('Miljövärden för publ företag'!E$4,'Miljövrärden urval för publ'!$B$2:$H$2,0),FALSE),"")</f>
        <v>132.03899999999999</v>
      </c>
      <c r="F161" s="121">
        <f>IFERROR(VLOOKUP($C161,'Miljövrärden urval för publ'!$B$2:$H$416,MATCH('Miljövärden för publ företag'!F$4,'Miljövrärden urval för publ'!$B$2:$H$2,0),FALSE),"")</f>
        <v>7.5058999999999996</v>
      </c>
      <c r="G161" s="121">
        <f>IFERROR(VLOOKUP($C161,'Miljövrärden urval för publ'!$B$2:$H$416,MATCH('Miljövärden för publ företag'!G$4,'Miljövrärden urval för publ'!$B$2:$H$2,0),FALSE),"")</f>
        <v>1.6263199999999998E-2</v>
      </c>
      <c r="J161" s="121">
        <f t="shared" si="10"/>
        <v>65</v>
      </c>
      <c r="M161" s="121">
        <v>157</v>
      </c>
      <c r="N161" s="121" t="str">
        <f t="shared" si="11"/>
        <v/>
      </c>
      <c r="P161" s="296">
        <f t="shared" si="12"/>
        <v>0</v>
      </c>
      <c r="Q161" s="290" t="str">
        <f t="shared" si="9"/>
        <v/>
      </c>
    </row>
    <row r="162" spans="1:17" x14ac:dyDescent="0.25">
      <c r="A162" s="121">
        <v>159</v>
      </c>
      <c r="B162" s="121" t="str">
        <f>IFERROR(INDEX('Miljövrärden urval för publ'!$A$2:$AA$419,MATCH('Miljövärden för publ företag'!$A162,'Miljövrärden urval för publ'!$R$2:$R$416,0),1),"")</f>
        <v>Ljusdal Energi AB</v>
      </c>
      <c r="C162" s="121" t="str">
        <f>IFERROR(INDEX('Miljövrärden urval för publ'!$A$2:$AA$419,MATCH('Miljövärden för publ företag'!$A162,'Miljövrärden urval för publ'!$R$2:$R$416,0),2),"")</f>
        <v>Färila</v>
      </c>
      <c r="D162" s="121">
        <f>IFERROR(VLOOKUP($C162,'Miljövrärden urval för publ'!$B$2:$H$416,MATCH('Miljövärden för publ företag'!D$4,'Miljövrärden urval för publ'!$B$2:$H$2,0),FALSE),"")</f>
        <v>9.6592600000000001E-2</v>
      </c>
      <c r="E162" s="121">
        <f>IFERROR(VLOOKUP($C162,'Miljövrärden urval för publ'!$B$2:$H$416,MATCH('Miljövärden för publ företag'!E$4,'Miljövrärden urval för publ'!$B$2:$H$2,0),FALSE),"")</f>
        <v>10.7654</v>
      </c>
      <c r="F162" s="121">
        <f>IFERROR(VLOOKUP($C162,'Miljövrärden urval för publ'!$B$2:$H$416,MATCH('Miljövärden för publ företag'!F$4,'Miljövrärden urval för publ'!$B$2:$H$2,0),FALSE),"")</f>
        <v>9.1851900000000004</v>
      </c>
      <c r="G162" s="121">
        <f>IFERROR(VLOOKUP($C162,'Miljövrärden urval för publ'!$B$2:$H$416,MATCH('Miljövärden för publ företag'!G$4,'Miljövrärden urval för publ'!$B$2:$H$2,0),FALSE),"")</f>
        <v>2.28206E-2</v>
      </c>
      <c r="J162" s="121">
        <f t="shared" si="10"/>
        <v>66</v>
      </c>
      <c r="M162" s="121">
        <v>158</v>
      </c>
      <c r="N162" s="121" t="str">
        <f t="shared" si="11"/>
        <v/>
      </c>
      <c r="P162" s="296">
        <f t="shared" si="12"/>
        <v>0</v>
      </c>
      <c r="Q162" s="290" t="str">
        <f t="shared" si="9"/>
        <v/>
      </c>
    </row>
    <row r="163" spans="1:17" x14ac:dyDescent="0.25">
      <c r="A163" s="121">
        <v>160</v>
      </c>
      <c r="B163" s="121" t="str">
        <f>IFERROR(INDEX('Miljövrärden urval för publ'!$A$2:$AA$419,MATCH('Miljövärden för publ företag'!$A163,'Miljövrärden urval för publ'!$R$2:$R$416,0),1),"")</f>
        <v>Ljusdal Energi AB</v>
      </c>
      <c r="C163" s="121" t="str">
        <f>IFERROR(INDEX('Miljövrärden urval för publ'!$A$2:$AA$419,MATCH('Miljövärden för publ företag'!$A163,'Miljövrärden urval för publ'!$R$2:$R$416,0),2),"")</f>
        <v>Järvsö</v>
      </c>
      <c r="D163" s="121">
        <f>IFERROR(VLOOKUP($C163,'Miljövrärden urval för publ'!$B$2:$H$416,MATCH('Miljövärden för publ företag'!D$4,'Miljövrärden urval för publ'!$B$2:$H$2,0),FALSE),"")</f>
        <v>0.172571</v>
      </c>
      <c r="E163" s="121">
        <f>IFERROR(VLOOKUP($C163,'Miljövrärden urval för publ'!$B$2:$H$416,MATCH('Miljövärden för publ företag'!E$4,'Miljövrärden urval för publ'!$B$2:$H$2,0),FALSE),"")</f>
        <v>27.8476</v>
      </c>
      <c r="F163" s="121">
        <f>IFERROR(VLOOKUP($C163,'Miljövrärden urval för publ'!$B$2:$H$416,MATCH('Miljövärden för publ företag'!F$4,'Miljövrärden urval för publ'!$B$2:$H$2,0),FALSE),"")</f>
        <v>10.419</v>
      </c>
      <c r="G163" s="121">
        <f>IFERROR(VLOOKUP($C163,'Miljövrärden urval för publ'!$B$2:$H$416,MATCH('Miljövärden för publ företag'!G$4,'Miljövrärden urval för publ'!$B$2:$H$2,0),FALSE),"")</f>
        <v>5.8861999999999998E-2</v>
      </c>
      <c r="J163" s="121">
        <f t="shared" si="10"/>
        <v>66</v>
      </c>
      <c r="M163" s="121">
        <v>159</v>
      </c>
      <c r="N163" s="121" t="str">
        <f t="shared" si="11"/>
        <v/>
      </c>
      <c r="P163" s="296">
        <f t="shared" si="12"/>
        <v>0</v>
      </c>
      <c r="Q163" s="290" t="str">
        <f t="shared" si="9"/>
        <v/>
      </c>
    </row>
    <row r="164" spans="1:17" x14ac:dyDescent="0.25">
      <c r="A164" s="121">
        <v>161</v>
      </c>
      <c r="B164" s="121" t="str">
        <f>IFERROR(INDEX('Miljövrärden urval för publ'!$A$2:$AA$419,MATCH('Miljövärden för publ företag'!$A164,'Miljövrärden urval för publ'!$R$2:$R$416,0),1),"")</f>
        <v>Ljusdal Energi AB</v>
      </c>
      <c r="C164" s="121" t="str">
        <f>IFERROR(INDEX('Miljövrärden urval för publ'!$A$2:$AA$419,MATCH('Miljövärden för publ företag'!$A164,'Miljövrärden urval för publ'!$R$2:$R$416,0),2),"")</f>
        <v>Ljusdal</v>
      </c>
      <c r="D164" s="121">
        <f>IFERROR(VLOOKUP($C164,'Miljövrärden urval för publ'!$B$2:$H$416,MATCH('Miljövärden för publ företag'!D$4,'Miljövrärden urval för publ'!$B$2:$H$2,0),FALSE),"")</f>
        <v>8.62377E-2</v>
      </c>
      <c r="E164" s="121">
        <f>IFERROR(VLOOKUP($C164,'Miljövrärden urval för publ'!$B$2:$H$416,MATCH('Miljövärden för publ företag'!E$4,'Miljövrärden urval för publ'!$B$2:$H$2,0),FALSE),"")</f>
        <v>7.0313800000000004</v>
      </c>
      <c r="F164" s="121">
        <f>IFERROR(VLOOKUP($C164,'Miljövrärden urval för publ'!$B$2:$H$416,MATCH('Miljövärden för publ företag'!F$4,'Miljövrärden urval för publ'!$B$2:$H$2,0),FALSE),"")</f>
        <v>8.3378800000000002</v>
      </c>
      <c r="G164" s="121">
        <f>IFERROR(VLOOKUP($C164,'Miljövrärden urval för publ'!$B$2:$H$416,MATCH('Miljövärden för publ företag'!G$4,'Miljövrärden urval för publ'!$B$2:$H$2,0),FALSE),"")</f>
        <v>6.4264400000000003E-3</v>
      </c>
      <c r="J164" s="121">
        <f t="shared" si="10"/>
        <v>66</v>
      </c>
      <c r="M164" s="121">
        <v>160</v>
      </c>
      <c r="N164" s="121" t="str">
        <f t="shared" si="11"/>
        <v/>
      </c>
      <c r="P164" s="296">
        <f t="shared" si="12"/>
        <v>0</v>
      </c>
      <c r="Q164" s="290" t="str">
        <f t="shared" si="9"/>
        <v/>
      </c>
    </row>
    <row r="165" spans="1:17" x14ac:dyDescent="0.25">
      <c r="A165" s="121">
        <v>162</v>
      </c>
      <c r="B165" s="121" t="str">
        <f>IFERROR(INDEX('Miljövrärden urval för publ'!$A$2:$AA$419,MATCH('Miljövärden för publ företag'!$A165,'Miljövrärden urval för publ'!$R$2:$R$416,0),1),"")</f>
        <v>Luleå Energi AB</v>
      </c>
      <c r="C165" s="121" t="str">
        <f>IFERROR(INDEX('Miljövrärden urval för publ'!$A$2:$AA$419,MATCH('Miljövärden för publ företag'!$A165,'Miljövrärden urval för publ'!$R$2:$R$416,0),2),"")</f>
        <v>Luleå</v>
      </c>
      <c r="D165" s="121">
        <f>IFERROR(VLOOKUP($C165,'Miljövrärden urval för publ'!$B$2:$H$416,MATCH('Miljövärden för publ företag'!D$4,'Miljövrärden urval för publ'!$B$2:$H$2,0),FALSE),"")</f>
        <v>5.7063000000000003E-2</v>
      </c>
      <c r="E165" s="121">
        <f>IFERROR(VLOOKUP($C165,'Miljövrärden urval för publ'!$B$2:$H$416,MATCH('Miljövärden för publ företag'!E$4,'Miljövrärden urval för publ'!$B$2:$H$2,0),FALSE),"")</f>
        <v>13.400399999999999</v>
      </c>
      <c r="F165" s="121">
        <f>IFERROR(VLOOKUP($C165,'Miljövrärden urval för publ'!$B$2:$H$416,MATCH('Miljövärden för publ företag'!F$4,'Miljövrärden urval för publ'!$B$2:$H$2,0),FALSE),"")</f>
        <v>1.5060800000000001</v>
      </c>
      <c r="G165" s="121">
        <f>IFERROR(VLOOKUP($C165,'Miljövrärden urval för publ'!$B$2:$H$416,MATCH('Miljövärden för publ företag'!G$4,'Miljövrärden urval för publ'!$B$2:$H$2,0),FALSE),"")</f>
        <v>4.4263299999999998E-2</v>
      </c>
      <c r="J165" s="121">
        <f t="shared" si="10"/>
        <v>67</v>
      </c>
      <c r="M165" s="121">
        <v>161</v>
      </c>
      <c r="N165" s="121" t="str">
        <f t="shared" si="11"/>
        <v/>
      </c>
      <c r="P165" s="296">
        <f t="shared" si="12"/>
        <v>0</v>
      </c>
      <c r="Q165" s="290" t="str">
        <f t="shared" si="9"/>
        <v/>
      </c>
    </row>
    <row r="166" spans="1:17" x14ac:dyDescent="0.25">
      <c r="A166" s="121">
        <v>163</v>
      </c>
      <c r="B166" s="121" t="str">
        <f>IFERROR(INDEX('Miljövrärden urval för publ'!$A$2:$AA$419,MATCH('Miljövärden för publ företag'!$A166,'Miljövrärden urval för publ'!$R$2:$R$416,0),1),"")</f>
        <v>Luleå Energi AB</v>
      </c>
      <c r="C166" s="121" t="str">
        <f>IFERROR(INDEX('Miljövrärden urval för publ'!$A$2:$AA$419,MATCH('Miljövärden för publ företag'!$A166,'Miljövrärden urval för publ'!$R$2:$R$416,0),2),"")</f>
        <v>Luleå Klimatneutral</v>
      </c>
      <c r="D166" s="121">
        <f>IFERROR(VLOOKUP($C166,'Miljövrärden urval för publ'!$B$2:$H$416,MATCH('Miljövärden för publ företag'!D$4,'Miljövrärden urval för publ'!$B$2:$H$2,0),FALSE),"")</f>
        <v>7.0390899999999996E-3</v>
      </c>
      <c r="E166" s="121">
        <f>IFERROR(VLOOKUP($C166,'Miljövrärden urval för publ'!$B$2:$H$416,MATCH('Miljövärden för publ företag'!E$4,'Miljövrärden urval för publ'!$B$2:$H$2,0),FALSE),"")</f>
        <v>0.17101</v>
      </c>
      <c r="F166" s="121">
        <f>IFERROR(VLOOKUP($C166,'Miljövrärden urval för publ'!$B$2:$H$416,MATCH('Miljövärden för publ företag'!F$4,'Miljövrärden urval för publ'!$B$2:$H$2,0),FALSE),"")</f>
        <v>0.60260599999999998</v>
      </c>
      <c r="G166" s="121">
        <f>IFERROR(VLOOKUP($C166,'Miljövrärden urval för publ'!$B$2:$H$416,MATCH('Miljövärden för publ företag'!G$4,'Miljövrärden urval för publ'!$B$2:$H$2,0),FALSE),"")</f>
        <v>0</v>
      </c>
      <c r="J166" s="121">
        <f t="shared" si="10"/>
        <v>67</v>
      </c>
      <c r="M166" s="121">
        <v>162</v>
      </c>
      <c r="N166" s="121" t="str">
        <f t="shared" si="11"/>
        <v/>
      </c>
      <c r="P166" s="296">
        <f t="shared" si="12"/>
        <v>0</v>
      </c>
      <c r="Q166" s="290" t="str">
        <f t="shared" si="9"/>
        <v/>
      </c>
    </row>
    <row r="167" spans="1:17" x14ac:dyDescent="0.25">
      <c r="A167" s="121">
        <v>164</v>
      </c>
      <c r="B167" s="121" t="str">
        <f>IFERROR(INDEX('Miljövrärden urval för publ'!$A$2:$AA$419,MATCH('Miljövärden för publ företag'!$A167,'Miljövrärden urval för publ'!$R$2:$R$416,0),1),"")</f>
        <v>Luleå Energi AB</v>
      </c>
      <c r="C167" s="121" t="str">
        <f>IFERROR(INDEX('Miljövrärden urval för publ'!$A$2:$AA$419,MATCH('Miljövärden för publ företag'!$A167,'Miljövrärden urval för publ'!$R$2:$R$416,0),2),"")</f>
        <v>Råneå</v>
      </c>
      <c r="D167" s="121">
        <f>IFERROR(VLOOKUP($C167,'Miljövrärden urval för publ'!$B$2:$H$416,MATCH('Miljövärden för publ företag'!D$4,'Miljövrärden urval för publ'!$B$2:$H$2,0),FALSE),"")</f>
        <v>0.174732</v>
      </c>
      <c r="E167" s="121">
        <f>IFERROR(VLOOKUP($C167,'Miljövrärden urval för publ'!$B$2:$H$416,MATCH('Miljövärden för publ företag'!E$4,'Miljövrärden urval för publ'!$B$2:$H$2,0),FALSE),"")</f>
        <v>22.071400000000001</v>
      </c>
      <c r="F167" s="121">
        <f>IFERROR(VLOOKUP($C167,'Miljövrärden urval för publ'!$B$2:$H$416,MATCH('Miljövärden för publ företag'!F$4,'Miljövrärden urval för publ'!$B$2:$H$2,0),FALSE),"")</f>
        <v>16.25</v>
      </c>
      <c r="G167" s="121">
        <f>IFERROR(VLOOKUP($C167,'Miljövrärden urval för publ'!$B$2:$H$416,MATCH('Miljövärden för publ företag'!G$4,'Miljövrärden urval för publ'!$B$2:$H$2,0),FALSE),"")</f>
        <v>4.4275799999999997E-2</v>
      </c>
      <c r="J167" s="121">
        <f t="shared" si="10"/>
        <v>67</v>
      </c>
      <c r="M167" s="121">
        <v>163</v>
      </c>
      <c r="N167" s="121" t="str">
        <f t="shared" si="11"/>
        <v/>
      </c>
      <c r="P167" s="296">
        <f t="shared" si="12"/>
        <v>0</v>
      </c>
      <c r="Q167" s="290" t="str">
        <f t="shared" si="9"/>
        <v/>
      </c>
    </row>
    <row r="168" spans="1:17" x14ac:dyDescent="0.25">
      <c r="A168" s="121">
        <v>165</v>
      </c>
      <c r="B168" s="121" t="str">
        <f>IFERROR(INDEX('Miljövrärden urval för publ'!$A$2:$AA$419,MATCH('Miljövärden för publ företag'!$A168,'Miljövrärden urval för publ'!$R$2:$R$416,0),1),"")</f>
        <v>Malung-Sälens kommun</v>
      </c>
      <c r="C168" s="121" t="str">
        <f>IFERROR(INDEX('Miljövrärden urval för publ'!$A$2:$AA$419,MATCH('Miljövärden för publ företag'!$A168,'Miljövrärden urval för publ'!$R$2:$R$416,0),2),"")</f>
        <v>Malung</v>
      </c>
      <c r="D168" s="121">
        <f>IFERROR(VLOOKUP($C168,'Miljövrärden urval för publ'!$B$2:$H$416,MATCH('Miljövärden för publ företag'!D$4,'Miljövrärden urval för publ'!$B$2:$H$2,0),FALSE),"")</f>
        <v>5.5085200000000001E-2</v>
      </c>
      <c r="E168" s="121">
        <f>IFERROR(VLOOKUP($C168,'Miljövrärden urval för publ'!$B$2:$H$416,MATCH('Miljövärden för publ företag'!E$4,'Miljövrärden urval för publ'!$B$2:$H$2,0),FALSE),"")</f>
        <v>5.6014799999999996</v>
      </c>
      <c r="F168" s="121">
        <f>IFERROR(VLOOKUP($C168,'Miljövrärden urval för publ'!$B$2:$H$416,MATCH('Miljövärden för publ företag'!F$4,'Miljövrärden urval för publ'!$B$2:$H$2,0),FALSE),"")</f>
        <v>7.6503699999999997</v>
      </c>
      <c r="G168" s="121">
        <f>IFERROR(VLOOKUP($C168,'Miljövrärden urval för publ'!$B$2:$H$416,MATCH('Miljövärden för publ företag'!G$4,'Miljövrärden urval för publ'!$B$2:$H$2,0),FALSE),"")</f>
        <v>3.87712E-3</v>
      </c>
      <c r="J168" s="121">
        <f t="shared" si="10"/>
        <v>68</v>
      </c>
      <c r="M168" s="121">
        <v>164</v>
      </c>
      <c r="N168" s="121" t="str">
        <f t="shared" si="11"/>
        <v/>
      </c>
      <c r="P168" s="296">
        <f t="shared" si="12"/>
        <v>0</v>
      </c>
      <c r="Q168" s="290" t="str">
        <f t="shared" si="9"/>
        <v/>
      </c>
    </row>
    <row r="169" spans="1:17" x14ac:dyDescent="0.25">
      <c r="A169" s="121">
        <v>166</v>
      </c>
      <c r="B169" s="121" t="str">
        <f>IFERROR(INDEX('Miljövrärden urval för publ'!$A$2:$AA$419,MATCH('Miljövärden för publ företag'!$A169,'Miljövrärden urval för publ'!$R$2:$R$416,0),1),"")</f>
        <v>Mark Kraftvärme AB</v>
      </c>
      <c r="C169" s="121" t="str">
        <f>IFERROR(INDEX('Miljövrärden urval för publ'!$A$2:$AA$419,MATCH('Miljövärden för publ företag'!$A169,'Miljövrärden urval för publ'!$R$2:$R$416,0),2),"")</f>
        <v>Assberg - Fritslanäten</v>
      </c>
      <c r="D169" s="121">
        <f>IFERROR(VLOOKUP($C169,'Miljövrärden urval för publ'!$B$2:$H$416,MATCH('Miljövärden för publ företag'!D$4,'Miljövrärden urval för publ'!$B$2:$H$2,0),FALSE),"")</f>
        <v>6.7336400000000005E-2</v>
      </c>
      <c r="E169" s="121">
        <f>IFERROR(VLOOKUP($C169,'Miljövrärden urval för publ'!$B$2:$H$416,MATCH('Miljövärden för publ företag'!E$4,'Miljövrärden urval för publ'!$B$2:$H$2,0),FALSE),"")</f>
        <v>7.31942</v>
      </c>
      <c r="F169" s="121">
        <f>IFERROR(VLOOKUP($C169,'Miljövrärden urval för publ'!$B$2:$H$416,MATCH('Miljövärden för publ företag'!F$4,'Miljövrärden urval för publ'!$B$2:$H$2,0),FALSE),"")</f>
        <v>9.1912599999999998</v>
      </c>
      <c r="G169" s="121">
        <f>IFERROR(VLOOKUP($C169,'Miljövrärden urval för publ'!$B$2:$H$416,MATCH('Miljövärden för publ företag'!G$4,'Miljövrärden urval för publ'!$B$2:$H$2,0),FALSE),"")</f>
        <v>6.0262500000000004E-3</v>
      </c>
      <c r="J169" s="121">
        <f t="shared" si="10"/>
        <v>69</v>
      </c>
      <c r="M169" s="121">
        <v>165</v>
      </c>
      <c r="N169" s="121" t="str">
        <f t="shared" si="11"/>
        <v/>
      </c>
      <c r="P169" s="296">
        <f t="shared" si="12"/>
        <v>0</v>
      </c>
      <c r="Q169" s="290" t="str">
        <f t="shared" si="9"/>
        <v/>
      </c>
    </row>
    <row r="170" spans="1:17" x14ac:dyDescent="0.25">
      <c r="A170" s="121">
        <v>167</v>
      </c>
      <c r="B170" s="121" t="str">
        <f>IFERROR(INDEX('Miljövrärden urval för publ'!$A$2:$AA$419,MATCH('Miljövärden för publ företag'!$A170,'Miljövrärden urval för publ'!$R$2:$R$416,0),1),"")</f>
        <v>Mark Kraftvärme AB</v>
      </c>
      <c r="C170" s="121" t="str">
        <f>IFERROR(INDEX('Miljövrärden urval för publ'!$A$2:$AA$419,MATCH('Miljövärden för publ företag'!$A170,'Miljövrärden urval för publ'!$R$2:$R$416,0),2),"")</f>
        <v>Hyssna</v>
      </c>
      <c r="D170" s="121">
        <f>IFERROR(VLOOKUP($C170,'Miljövrärden urval för publ'!$B$2:$H$416,MATCH('Miljövärden för publ företag'!D$4,'Miljövrärden urval för publ'!$B$2:$H$2,0),FALSE),"")</f>
        <v>0.18005599999999999</v>
      </c>
      <c r="E170" s="121">
        <f>IFERROR(VLOOKUP($C170,'Miljövrärden urval för publ'!$B$2:$H$416,MATCH('Miljövärden för publ företag'!E$4,'Miljövrärden urval för publ'!$B$2:$H$2,0),FALSE),"")</f>
        <v>6.8949400000000001</v>
      </c>
      <c r="F170" s="121">
        <f>IFERROR(VLOOKUP($C170,'Miljövrärden urval för publ'!$B$2:$H$416,MATCH('Miljövärden för publ företag'!F$4,'Miljövrärden urval för publ'!$B$2:$H$2,0),FALSE),"")</f>
        <v>17.482700000000001</v>
      </c>
      <c r="G170" s="121">
        <f>IFERROR(VLOOKUP($C170,'Miljövrärden urval för publ'!$B$2:$H$416,MATCH('Miljövärden för publ företag'!G$4,'Miljövrärden urval för publ'!$B$2:$H$2,0),FALSE),"")</f>
        <v>5.6836300000000003E-3</v>
      </c>
      <c r="J170" s="121">
        <f t="shared" si="10"/>
        <v>69</v>
      </c>
      <c r="M170" s="121">
        <v>166</v>
      </c>
      <c r="N170" s="121" t="str">
        <f t="shared" si="11"/>
        <v/>
      </c>
      <c r="P170" s="296">
        <f t="shared" si="12"/>
        <v>0</v>
      </c>
      <c r="Q170" s="290" t="str">
        <f t="shared" si="9"/>
        <v/>
      </c>
    </row>
    <row r="171" spans="1:17" x14ac:dyDescent="0.25">
      <c r="A171" s="121">
        <v>168</v>
      </c>
      <c r="B171" s="121" t="str">
        <f>IFERROR(INDEX('Miljövrärden urval för publ'!$A$2:$AA$419,MATCH('Miljövärden för publ företag'!$A171,'Miljövrärden urval för publ'!$R$2:$R$416,0),1),"")</f>
        <v>Mjölby-Svartådalen Energi AB</v>
      </c>
      <c r="C171" s="121" t="str">
        <f>IFERROR(INDEX('Miljövrärden urval för publ'!$A$2:$AA$419,MATCH('Miljövärden för publ företag'!$A171,'Miljövrärden urval för publ'!$R$2:$R$416,0),2),"")</f>
        <v>Mjölby</v>
      </c>
      <c r="D171" s="121">
        <f>IFERROR(VLOOKUP($C171,'Miljövrärden urval för publ'!$B$2:$H$416,MATCH('Miljövärden för publ företag'!D$4,'Miljövrärden urval för publ'!$B$2:$H$2,0),FALSE),"")</f>
        <v>0.13430700000000001</v>
      </c>
      <c r="E171" s="121">
        <f>IFERROR(VLOOKUP($C171,'Miljövrärden urval för publ'!$B$2:$H$416,MATCH('Miljövärden för publ företag'!E$4,'Miljövrärden urval för publ'!$B$2:$H$2,0),FALSE),"")</f>
        <v>57.757199999999997</v>
      </c>
      <c r="F171" s="121">
        <f>IFERROR(VLOOKUP($C171,'Miljövrärden urval för publ'!$B$2:$H$416,MATCH('Miljövärden för publ företag'!F$4,'Miljövrärden urval för publ'!$B$2:$H$2,0),FALSE),"")</f>
        <v>7.5542499999999997</v>
      </c>
      <c r="G171" s="121">
        <f>IFERROR(VLOOKUP($C171,'Miljövrärden urval för publ'!$B$2:$H$416,MATCH('Miljövärden för publ företag'!G$4,'Miljövrärden urval för publ'!$B$2:$H$2,0),FALSE),"")</f>
        <v>1.9531099999999999E-2</v>
      </c>
      <c r="J171" s="121">
        <f t="shared" si="10"/>
        <v>70</v>
      </c>
      <c r="M171" s="121">
        <v>167</v>
      </c>
      <c r="N171" s="121" t="str">
        <f t="shared" si="11"/>
        <v/>
      </c>
      <c r="P171" s="296">
        <f t="shared" si="12"/>
        <v>0</v>
      </c>
      <c r="Q171" s="290" t="str">
        <f t="shared" si="9"/>
        <v/>
      </c>
    </row>
    <row r="172" spans="1:17" x14ac:dyDescent="0.25">
      <c r="A172" s="121">
        <v>169</v>
      </c>
      <c r="B172" s="121" t="str">
        <f>IFERROR(INDEX('Miljövrärden urval för publ'!$A$2:$AA$419,MATCH('Miljövärden för publ företag'!$A172,'Miljövrärden urval för publ'!$R$2:$R$416,0),1),"")</f>
        <v>Mullsjö Energi &amp; Miljö AB</v>
      </c>
      <c r="C172" s="121" t="str">
        <f>IFERROR(INDEX('Miljövrärden urval för publ'!$A$2:$AA$419,MATCH('Miljövärden för publ företag'!$A172,'Miljövrärden urval för publ'!$R$2:$R$416,0),2),"")</f>
        <v>Mullsjö</v>
      </c>
      <c r="D172" s="121">
        <f>IFERROR(VLOOKUP($C172,'Miljövrärden urval för publ'!$B$2:$H$416,MATCH('Miljövärden för publ företag'!D$4,'Miljövrärden urval för publ'!$B$2:$H$2,0),FALSE),"")</f>
        <v>9.7415699999999994E-2</v>
      </c>
      <c r="E172" s="121">
        <f>IFERROR(VLOOKUP($C172,'Miljövrärden urval för publ'!$B$2:$H$416,MATCH('Miljövärden för publ företag'!E$4,'Miljövrärden urval för publ'!$B$2:$H$2,0),FALSE),"")</f>
        <v>10.741</v>
      </c>
      <c r="F172" s="121">
        <f>IFERROR(VLOOKUP($C172,'Miljövrärden urval för publ'!$B$2:$H$416,MATCH('Miljövärden för publ företag'!F$4,'Miljövrärden urval för publ'!$B$2:$H$2,0),FALSE),"")</f>
        <v>12.073</v>
      </c>
      <c r="G172" s="121">
        <f>IFERROR(VLOOKUP($C172,'Miljövrärden urval för publ'!$B$2:$H$416,MATCH('Miljövärden för publ företag'!G$4,'Miljövrärden urval för publ'!$B$2:$H$2,0),FALSE),"")</f>
        <v>4.1935499999999999E-3</v>
      </c>
      <c r="J172" s="121">
        <f t="shared" si="10"/>
        <v>71</v>
      </c>
      <c r="M172" s="121">
        <v>168</v>
      </c>
      <c r="N172" s="121" t="str">
        <f t="shared" si="11"/>
        <v/>
      </c>
      <c r="P172" s="296">
        <f t="shared" si="12"/>
        <v>0</v>
      </c>
      <c r="Q172" s="290" t="str">
        <f t="shared" si="9"/>
        <v/>
      </c>
    </row>
    <row r="173" spans="1:17" x14ac:dyDescent="0.25">
      <c r="A173" s="121">
        <v>170</v>
      </c>
      <c r="B173" s="121" t="str">
        <f>IFERROR(INDEX('Miljövrärden urval för publ'!$A$2:$AA$419,MATCH('Miljövärden för publ företag'!$A173,'Miljövrärden urval för publ'!$R$2:$R$416,0),1),"")</f>
        <v>Mälarenergi AB</v>
      </c>
      <c r="C173" s="121" t="str">
        <f>IFERROR(INDEX('Miljövrärden urval för publ'!$A$2:$AA$419,MATCH('Miljövärden för publ företag'!$A173,'Miljövrärden urval för publ'!$R$2:$R$416,0),2),"")</f>
        <v>Kungsör</v>
      </c>
      <c r="D173" s="121">
        <f>IFERROR(VLOOKUP($C173,'Miljövrärden urval för publ'!$B$2:$H$416,MATCH('Miljövärden för publ företag'!D$4,'Miljövrärden urval för publ'!$B$2:$H$2,0),FALSE),"")</f>
        <v>0.12781200000000001</v>
      </c>
      <c r="E173" s="121">
        <f>IFERROR(VLOOKUP($C173,'Miljövrärden urval för publ'!$B$2:$H$416,MATCH('Miljövärden för publ företag'!E$4,'Miljövrärden urval för publ'!$B$2:$H$2,0),FALSE),"")</f>
        <v>11.4201</v>
      </c>
      <c r="F173" s="121">
        <f>IFERROR(VLOOKUP($C173,'Miljövrärden urval för publ'!$B$2:$H$416,MATCH('Miljövärden för publ företag'!F$4,'Miljövrärden urval för publ'!$B$2:$H$2,0),FALSE),"")</f>
        <v>8.5174599999999998</v>
      </c>
      <c r="G173" s="121">
        <f>IFERROR(VLOOKUP($C173,'Miljövrärden urval för publ'!$B$2:$H$416,MATCH('Miljövärden för publ företag'!G$4,'Miljövrärden urval för publ'!$B$2:$H$2,0),FALSE),"")</f>
        <v>1.7739000000000001E-2</v>
      </c>
      <c r="J173" s="121">
        <f t="shared" si="10"/>
        <v>72</v>
      </c>
      <c r="M173" s="121">
        <v>169</v>
      </c>
      <c r="N173" s="121" t="str">
        <f t="shared" si="11"/>
        <v/>
      </c>
      <c r="P173" s="296">
        <f t="shared" si="12"/>
        <v>0</v>
      </c>
      <c r="Q173" s="290" t="str">
        <f t="shared" si="9"/>
        <v/>
      </c>
    </row>
    <row r="174" spans="1:17" x14ac:dyDescent="0.25">
      <c r="A174" s="121">
        <v>171</v>
      </c>
      <c r="B174" s="121" t="str">
        <f>IFERROR(INDEX('Miljövrärden urval för publ'!$A$2:$AA$419,MATCH('Miljövärden för publ företag'!$A174,'Miljövrärden urval för publ'!$R$2:$R$416,0),1),"")</f>
        <v>Mälarenergi AB</v>
      </c>
      <c r="C174" s="121" t="str">
        <f>IFERROR(INDEX('Miljövrärden urval för publ'!$A$2:$AA$419,MATCH('Miljövärden för publ företag'!$A174,'Miljövrärden urval för publ'!$R$2:$R$416,0),2),"")</f>
        <v>Västerås</v>
      </c>
      <c r="D174" s="121">
        <f>IFERROR(VLOOKUP($C174,'Miljövrärden urval för publ'!$B$2:$H$416,MATCH('Miljövärden för publ företag'!D$4,'Miljövrärden urval för publ'!$B$2:$H$2,0),FALSE),"")</f>
        <v>0.20119200000000001</v>
      </c>
      <c r="E174" s="121">
        <f>IFERROR(VLOOKUP($C174,'Miljövrärden urval för publ'!$B$2:$H$416,MATCH('Miljövärden för publ företag'!E$4,'Miljövrärden urval för publ'!$B$2:$H$2,0),FALSE),"")</f>
        <v>107.276</v>
      </c>
      <c r="F174" s="121">
        <f>IFERROR(VLOOKUP($C174,'Miljövrärden urval för publ'!$B$2:$H$416,MATCH('Miljövärden för publ företag'!F$4,'Miljövrärden urval för publ'!$B$2:$H$2,0),FALSE),"")</f>
        <v>7.0889199999999999</v>
      </c>
      <c r="G174" s="121">
        <f>IFERROR(VLOOKUP($C174,'Miljövrärden urval för publ'!$B$2:$H$416,MATCH('Miljövärden för publ företag'!G$4,'Miljövrärden urval för publ'!$B$2:$H$2,0),FALSE),"")</f>
        <v>7.2165400000000005E-2</v>
      </c>
      <c r="J174" s="121">
        <f t="shared" si="10"/>
        <v>72</v>
      </c>
      <c r="M174" s="121">
        <v>170</v>
      </c>
      <c r="N174" s="121" t="str">
        <f t="shared" si="11"/>
        <v/>
      </c>
      <c r="P174" s="296">
        <f t="shared" si="12"/>
        <v>0</v>
      </c>
      <c r="Q174" s="290" t="str">
        <f t="shared" si="9"/>
        <v/>
      </c>
    </row>
    <row r="175" spans="1:17" x14ac:dyDescent="0.25">
      <c r="A175" s="121">
        <v>172</v>
      </c>
      <c r="B175" s="121" t="str">
        <f>IFERROR(INDEX('Miljövrärden urval för publ'!$A$2:$AA$419,MATCH('Miljövärden för publ företag'!$A175,'Miljövrärden urval för publ'!$R$2:$R$416,0),1),"")</f>
        <v>Mälarenergi AB</v>
      </c>
      <c r="C175" s="121" t="str">
        <f>IFERROR(INDEX('Miljövrärden urval för publ'!$A$2:$AA$419,MATCH('Miljövärden för publ företag'!$A175,'Miljövrärden urval för publ'!$R$2:$R$416,0),2),"")</f>
        <v>Västerås Miljömärkt</v>
      </c>
      <c r="D175" s="121">
        <f>IFERROR(VLOOKUP($C175,'Miljövrärden urval för publ'!$B$2:$H$416,MATCH('Miljövärden för publ företag'!D$4,'Miljövrärden urval för publ'!$B$2:$H$2,0),FALSE),"")</f>
        <v>0.123335</v>
      </c>
      <c r="E175" s="121">
        <f>IFERROR(VLOOKUP($C175,'Miljövrärden urval för publ'!$B$2:$H$416,MATCH('Miljövärden för publ företag'!E$4,'Miljövrärden urval för publ'!$B$2:$H$2,0),FALSE),"")</f>
        <v>75.087999999999994</v>
      </c>
      <c r="F175" s="121">
        <f>IFERROR(VLOOKUP($C175,'Miljövrärden urval för publ'!$B$2:$H$416,MATCH('Miljövärden för publ företag'!F$4,'Miljövrärden urval för publ'!$B$2:$H$2,0),FALSE),"")</f>
        <v>6.1700799999999996</v>
      </c>
      <c r="G175" s="121">
        <f>IFERROR(VLOOKUP($C175,'Miljövrärden urval för publ'!$B$2:$H$416,MATCH('Miljövärden för publ företag'!G$4,'Miljövrärden urval för publ'!$B$2:$H$2,0),FALSE),"")</f>
        <v>2.6933700000000001E-2</v>
      </c>
      <c r="J175" s="121">
        <f t="shared" si="10"/>
        <v>72</v>
      </c>
      <c r="M175" s="121">
        <v>171</v>
      </c>
      <c r="N175" s="121" t="str">
        <f t="shared" si="11"/>
        <v/>
      </c>
      <c r="P175" s="296">
        <f t="shared" si="12"/>
        <v>0</v>
      </c>
      <c r="Q175" s="290" t="str">
        <f t="shared" si="9"/>
        <v/>
      </c>
    </row>
    <row r="176" spans="1:17" x14ac:dyDescent="0.25">
      <c r="A176" s="121">
        <v>173</v>
      </c>
      <c r="B176" s="121" t="str">
        <f>IFERROR(INDEX('Miljövrärden urval för publ'!$A$2:$AA$419,MATCH('Miljövärden för publ företag'!$A176,'Miljövrärden urval för publ'!$R$2:$R$416,0),1),"")</f>
        <v>Mölndal Energi AB</v>
      </c>
      <c r="C176" s="121" t="str">
        <f>IFERROR(INDEX('Miljövrärden urval för publ'!$A$2:$AA$419,MATCH('Miljövärden för publ företag'!$A176,'Miljövrärden urval för publ'!$R$2:$R$416,0),2),"")</f>
        <v>Mölndal</v>
      </c>
      <c r="D176" s="121">
        <f>IFERROR(VLOOKUP($C176,'Miljövrärden urval för publ'!$B$2:$H$416,MATCH('Miljövärden för publ företag'!D$4,'Miljövrärden urval för publ'!$B$2:$H$2,0),FALSE),"")</f>
        <v>3.5402299999999998E-2</v>
      </c>
      <c r="E176" s="121">
        <f>IFERROR(VLOOKUP($C176,'Miljövrärden urval för publ'!$B$2:$H$416,MATCH('Miljövärden för publ företag'!E$4,'Miljövrärden urval för publ'!$B$2:$H$2,0),FALSE),"")</f>
        <v>10.761799999999999</v>
      </c>
      <c r="F176" s="121">
        <f>IFERROR(VLOOKUP($C176,'Miljövrärden urval för publ'!$B$2:$H$416,MATCH('Miljövärden för publ företag'!F$4,'Miljövrärden urval för publ'!$B$2:$H$2,0),FALSE),"")</f>
        <v>3.49193</v>
      </c>
      <c r="G176" s="121">
        <f>IFERROR(VLOOKUP($C176,'Miljövrärden urval för publ'!$B$2:$H$416,MATCH('Miljövärden för publ företag'!G$4,'Miljövrärden urval för publ'!$B$2:$H$2,0),FALSE),"")</f>
        <v>3.0791400000000002E-3</v>
      </c>
      <c r="J176" s="121">
        <f t="shared" si="10"/>
        <v>73</v>
      </c>
      <c r="M176" s="121">
        <v>172</v>
      </c>
      <c r="N176" s="121" t="str">
        <f t="shared" si="11"/>
        <v/>
      </c>
      <c r="P176" s="296">
        <f t="shared" si="12"/>
        <v>0</v>
      </c>
      <c r="Q176" s="290" t="str">
        <f t="shared" si="9"/>
        <v/>
      </c>
    </row>
    <row r="177" spans="1:17" x14ac:dyDescent="0.25">
      <c r="A177" s="121">
        <v>174</v>
      </c>
      <c r="B177" s="121" t="str">
        <f>IFERROR(INDEX('Miljövrärden urval för publ'!$A$2:$AA$419,MATCH('Miljövärden för publ företag'!$A177,'Miljövrärden urval för publ'!$R$2:$R$416,0),1),"")</f>
        <v>Mölndal Energi AB</v>
      </c>
      <c r="C177" s="121" t="str">
        <f>IFERROR(INDEX('Miljövrärden urval för publ'!$A$2:$AA$419,MATCH('Miljövärden för publ företag'!$A177,'Miljövrärden urval för publ'!$R$2:$R$416,0),2),"")</f>
        <v>Mölndal Biovärmepaket</v>
      </c>
      <c r="D177" s="121">
        <f>IFERROR(VLOOKUP($C177,'Miljövrärden urval för publ'!$B$2:$H$416,MATCH('Miljövärden för publ företag'!D$4,'Miljövrärden urval för publ'!$B$2:$H$2,0),FALSE),"")</f>
        <v>2.1118999999999999E-2</v>
      </c>
      <c r="E177" s="121">
        <f>IFERROR(VLOOKUP($C177,'Miljövrärden urval för publ'!$B$2:$H$416,MATCH('Miljövärden för publ företag'!E$4,'Miljövrärden urval för publ'!$B$2:$H$2,0),FALSE),"")</f>
        <v>2.5081099999999998</v>
      </c>
      <c r="F177" s="121">
        <f>IFERROR(VLOOKUP($C177,'Miljövrärden urval för publ'!$B$2:$H$416,MATCH('Miljövärden för publ företag'!F$4,'Miljövrärden urval för publ'!$B$2:$H$2,0),FALSE),"")</f>
        <v>4.3892100000000003</v>
      </c>
      <c r="G177" s="121">
        <f>IFERROR(VLOOKUP($C177,'Miljövrärden urval för publ'!$B$2:$H$416,MATCH('Miljövärden för publ företag'!G$4,'Miljövrärden urval för publ'!$B$2:$H$2,0),FALSE),"")</f>
        <v>0</v>
      </c>
      <c r="J177" s="121">
        <f t="shared" si="10"/>
        <v>73</v>
      </c>
      <c r="M177" s="121">
        <v>173</v>
      </c>
      <c r="N177" s="121" t="str">
        <f t="shared" si="11"/>
        <v/>
      </c>
      <c r="P177" s="296">
        <f t="shared" si="12"/>
        <v>0</v>
      </c>
      <c r="Q177" s="290" t="str">
        <f t="shared" si="9"/>
        <v/>
      </c>
    </row>
    <row r="178" spans="1:17" x14ac:dyDescent="0.25">
      <c r="A178" s="121">
        <v>175</v>
      </c>
      <c r="B178" s="121" t="str">
        <f>IFERROR(INDEX('Miljövrärden urval för publ'!$A$2:$AA$419,MATCH('Miljövärden för publ företag'!$A178,'Miljövrärden urval för publ'!$R$2:$R$416,0),1),"")</f>
        <v>Mölndal Energi AB</v>
      </c>
      <c r="C178" s="121" t="str">
        <f>IFERROR(INDEX('Miljövrärden urval för publ'!$A$2:$AA$419,MATCH('Miljövärden för publ företag'!$A178,'Miljövrärden urval för publ'!$R$2:$R$416,0),2),"")</f>
        <v>Mölndal Bra Miljöval</v>
      </c>
      <c r="D178" s="121">
        <f>IFERROR(VLOOKUP($C178,'Miljövrärden urval för publ'!$B$2:$H$416,MATCH('Miljövärden för publ företag'!D$4,'Miljövrärden urval för publ'!$B$2:$H$2,0),FALSE),"")</f>
        <v>2.1118000000000001E-2</v>
      </c>
      <c r="E178" s="121">
        <f>IFERROR(VLOOKUP($C178,'Miljövrärden urval för publ'!$B$2:$H$416,MATCH('Miljövärden för publ företag'!E$4,'Miljövrärden urval för publ'!$B$2:$H$2,0),FALSE),"")</f>
        <v>2.5080800000000001</v>
      </c>
      <c r="F178" s="121">
        <f>IFERROR(VLOOKUP($C178,'Miljövrärden urval för publ'!$B$2:$H$416,MATCH('Miljövärden för publ företag'!F$4,'Miljövrärden urval för publ'!$B$2:$H$2,0),FALSE),"")</f>
        <v>4.3891499999999999</v>
      </c>
      <c r="G178" s="121">
        <f>IFERROR(VLOOKUP($C178,'Miljövrärden urval för publ'!$B$2:$H$416,MATCH('Miljövärden för publ företag'!G$4,'Miljövrärden urval för publ'!$B$2:$H$2,0),FALSE),"")</f>
        <v>0</v>
      </c>
      <c r="J178" s="121">
        <f t="shared" si="10"/>
        <v>73</v>
      </c>
      <c r="M178" s="121">
        <v>174</v>
      </c>
      <c r="N178" s="121" t="str">
        <f t="shared" si="11"/>
        <v/>
      </c>
      <c r="P178" s="296">
        <f t="shared" si="12"/>
        <v>0</v>
      </c>
      <c r="Q178" s="290" t="str">
        <f t="shared" si="9"/>
        <v/>
      </c>
    </row>
    <row r="179" spans="1:17" x14ac:dyDescent="0.25">
      <c r="A179" s="121">
        <v>176</v>
      </c>
      <c r="B179" s="121" t="str">
        <f>IFERROR(INDEX('Miljövrärden urval för publ'!$A$2:$AA$419,MATCH('Miljövärden för publ företag'!$A179,'Miljövrärden urval för publ'!$R$2:$R$416,0),1),"")</f>
        <v>Neova AB</v>
      </c>
      <c r="C179" s="121" t="str">
        <f>IFERROR(INDEX('Miljövrärden urval för publ'!$A$2:$AA$419,MATCH('Miljövärden för publ företag'!$A179,'Miljövrärden urval för publ'!$R$2:$R$416,0),2),"")</f>
        <v>Billesholm</v>
      </c>
      <c r="D179" s="121">
        <f>IFERROR(VLOOKUP($C179,'Miljövrärden urval för publ'!$B$2:$H$416,MATCH('Miljövärden för publ företag'!D$4,'Miljövrärden urval för publ'!$B$2:$H$2,0),FALSE),"")</f>
        <v>0.24473700000000001</v>
      </c>
      <c r="E179" s="121">
        <f>IFERROR(VLOOKUP($C179,'Miljövrärden urval för publ'!$B$2:$H$416,MATCH('Miljövärden för publ företag'!E$4,'Miljövrärden urval för publ'!$B$2:$H$2,0),FALSE),"")</f>
        <v>30.4072</v>
      </c>
      <c r="F179" s="121">
        <f>IFERROR(VLOOKUP($C179,'Miljövrärden urval för publ'!$B$2:$H$416,MATCH('Miljövärden för publ företag'!F$4,'Miljövrärden urval för publ'!$B$2:$H$2,0),FALSE),"")</f>
        <v>17.302499999999998</v>
      </c>
      <c r="G179" s="121">
        <f>IFERROR(VLOOKUP($C179,'Miljövrärden urval för publ'!$B$2:$H$416,MATCH('Miljövärden för publ företag'!G$4,'Miljövrärden urval för publ'!$B$2:$H$2,0),FALSE),"")</f>
        <v>8.1330399999999997E-2</v>
      </c>
      <c r="J179" s="121">
        <f t="shared" si="10"/>
        <v>74</v>
      </c>
      <c r="M179" s="121">
        <v>175</v>
      </c>
      <c r="N179" s="121" t="str">
        <f t="shared" si="11"/>
        <v/>
      </c>
      <c r="P179" s="296">
        <f t="shared" si="12"/>
        <v>0</v>
      </c>
      <c r="Q179" s="290" t="str">
        <f t="shared" si="9"/>
        <v/>
      </c>
    </row>
    <row r="180" spans="1:17" x14ac:dyDescent="0.25">
      <c r="A180" s="121">
        <v>177</v>
      </c>
      <c r="B180" s="121" t="str">
        <f>IFERROR(INDEX('Miljövrärden urval för publ'!$A$2:$AA$419,MATCH('Miljövärden för publ företag'!$A180,'Miljövrärden urval för publ'!$R$2:$R$416,0),1),"")</f>
        <v>Neova AB</v>
      </c>
      <c r="C180" s="121" t="str">
        <f>IFERROR(INDEX('Miljövrärden urval för publ'!$A$2:$AA$419,MATCH('Miljövärden för publ företag'!$A180,'Miljövrärden urval för publ'!$R$2:$R$416,0),2),"")</f>
        <v>Bjuv</v>
      </c>
      <c r="D180" s="121">
        <f>IFERROR(VLOOKUP($C180,'Miljövrärden urval för publ'!$B$2:$H$416,MATCH('Miljövärden för publ företag'!D$4,'Miljövrärden urval för publ'!$B$2:$H$2,0),FALSE),"")</f>
        <v>0.19753699999999999</v>
      </c>
      <c r="E180" s="121">
        <f>IFERROR(VLOOKUP($C180,'Miljövrärden urval för publ'!$B$2:$H$416,MATCH('Miljövärden för publ företag'!E$4,'Miljövrärden urval för publ'!$B$2:$H$2,0),FALSE),"")</f>
        <v>28.388100000000001</v>
      </c>
      <c r="F180" s="121">
        <f>IFERROR(VLOOKUP($C180,'Miljövrärden urval för publ'!$B$2:$H$416,MATCH('Miljövärden för publ företag'!F$4,'Miljövrärden urval för publ'!$B$2:$H$2,0),FALSE),"")</f>
        <v>13.496700000000001</v>
      </c>
      <c r="G180" s="121">
        <f>IFERROR(VLOOKUP($C180,'Miljövrärden urval för publ'!$B$2:$H$416,MATCH('Miljövärden för publ företag'!G$4,'Miljövrärden urval för publ'!$B$2:$H$2,0),FALSE),"")</f>
        <v>8.2490099999999997E-2</v>
      </c>
      <c r="J180" s="121">
        <f t="shared" si="10"/>
        <v>74</v>
      </c>
      <c r="M180" s="121">
        <v>176</v>
      </c>
      <c r="N180" s="121" t="str">
        <f t="shared" si="11"/>
        <v/>
      </c>
      <c r="P180" s="296">
        <f t="shared" si="12"/>
        <v>0</v>
      </c>
      <c r="Q180" s="290" t="str">
        <f t="shared" si="9"/>
        <v/>
      </c>
    </row>
    <row r="181" spans="1:17" x14ac:dyDescent="0.25">
      <c r="A181" s="121">
        <v>178</v>
      </c>
      <c r="B181" s="121" t="str">
        <f>IFERROR(INDEX('Miljövrärden urval för publ'!$A$2:$AA$419,MATCH('Miljövärden för publ företag'!$A181,'Miljövrärden urval för publ'!$R$2:$R$416,0),1),"")</f>
        <v>Neova AB</v>
      </c>
      <c r="C181" s="121" t="str">
        <f>IFERROR(INDEX('Miljövrärden urval för publ'!$A$2:$AA$419,MATCH('Miljövärden för publ företag'!$A181,'Miljövrärden urval för publ'!$R$2:$R$416,0),2),"")</f>
        <v>Gimo</v>
      </c>
      <c r="D181" s="121">
        <f>IFERROR(VLOOKUP($C181,'Miljövrärden urval för publ'!$B$2:$H$416,MATCH('Miljövärden för publ företag'!D$4,'Miljövrärden urval för publ'!$B$2:$H$2,0),FALSE),"")</f>
        <v>0.29239399999999999</v>
      </c>
      <c r="E181" s="121">
        <f>IFERROR(VLOOKUP($C181,'Miljövrärden urval för publ'!$B$2:$H$416,MATCH('Miljövärden för publ företag'!E$4,'Miljövrärden urval för publ'!$B$2:$H$2,0),FALSE),"")</f>
        <v>61.579599999999999</v>
      </c>
      <c r="F181" s="121">
        <f>IFERROR(VLOOKUP($C181,'Miljövrärden urval för publ'!$B$2:$H$416,MATCH('Miljövärden för publ företag'!F$4,'Miljövrärden urval för publ'!$B$2:$H$2,0),FALSE),"")</f>
        <v>12.8767</v>
      </c>
      <c r="G181" s="121">
        <f>IFERROR(VLOOKUP($C181,'Miljövrärden urval för publ'!$B$2:$H$416,MATCH('Miljövärden för publ företag'!G$4,'Miljövrärden urval för publ'!$B$2:$H$2,0),FALSE),"")</f>
        <v>0.15116399999999999</v>
      </c>
      <c r="J181" s="121">
        <f t="shared" si="10"/>
        <v>74</v>
      </c>
      <c r="M181" s="121">
        <v>177</v>
      </c>
      <c r="N181" s="121" t="str">
        <f t="shared" si="11"/>
        <v/>
      </c>
      <c r="P181" s="296">
        <f t="shared" si="12"/>
        <v>0</v>
      </c>
      <c r="Q181" s="290" t="str">
        <f t="shared" si="9"/>
        <v/>
      </c>
    </row>
    <row r="182" spans="1:17" x14ac:dyDescent="0.25">
      <c r="A182" s="121">
        <v>179</v>
      </c>
      <c r="B182" s="121" t="str">
        <f>IFERROR(INDEX('Miljövrärden urval för publ'!$A$2:$AA$419,MATCH('Miljövärden för publ företag'!$A182,'Miljövrärden urval för publ'!$R$2:$R$416,0),1),"")</f>
        <v>Neova AB</v>
      </c>
      <c r="C182" s="121" t="str">
        <f>IFERROR(INDEX('Miljövrärden urval för publ'!$A$2:$AA$419,MATCH('Miljövärden för publ företag'!$A182,'Miljövrärden urval för publ'!$R$2:$R$416,0),2),"")</f>
        <v>Hultsfred</v>
      </c>
      <c r="D182" s="121">
        <f>IFERROR(VLOOKUP($C182,'Miljövrärden urval för publ'!$B$2:$H$416,MATCH('Miljövärden för publ företag'!D$4,'Miljövrärden urval för publ'!$B$2:$H$2,0),FALSE),"")</f>
        <v>6.9220400000000001E-2</v>
      </c>
      <c r="E182" s="121">
        <f>IFERROR(VLOOKUP($C182,'Miljövrärden urval för publ'!$B$2:$H$416,MATCH('Miljövärden för publ företag'!E$4,'Miljövrärden urval för publ'!$B$2:$H$2,0),FALSE),"")</f>
        <v>5.7840600000000002</v>
      </c>
      <c r="F182" s="121">
        <f>IFERROR(VLOOKUP($C182,'Miljövrärden urval för publ'!$B$2:$H$416,MATCH('Miljövärden för publ företag'!F$4,'Miljövrärden urval för publ'!$B$2:$H$2,0),FALSE),"")</f>
        <v>8.6409400000000005</v>
      </c>
      <c r="G182" s="121">
        <f>IFERROR(VLOOKUP($C182,'Miljövrärden urval för publ'!$B$2:$H$416,MATCH('Miljövärden för publ företag'!G$4,'Miljövrärden urval för publ'!$B$2:$H$2,0),FALSE),"")</f>
        <v>2.3235299999999999E-3</v>
      </c>
      <c r="J182" s="121">
        <f t="shared" si="10"/>
        <v>74</v>
      </c>
      <c r="M182" s="121">
        <v>178</v>
      </c>
      <c r="N182" s="121" t="str">
        <f t="shared" si="11"/>
        <v/>
      </c>
      <c r="P182" s="296">
        <f t="shared" si="12"/>
        <v>0</v>
      </c>
      <c r="Q182" s="290" t="str">
        <f t="shared" si="9"/>
        <v/>
      </c>
    </row>
    <row r="183" spans="1:17" x14ac:dyDescent="0.25">
      <c r="A183" s="121">
        <v>180</v>
      </c>
      <c r="B183" s="121" t="str">
        <f>IFERROR(INDEX('Miljövrärden urval för publ'!$A$2:$AA$419,MATCH('Miljövärden för publ företag'!$A183,'Miljövrärden urval för publ'!$R$2:$R$416,0),1),"")</f>
        <v>Neova AB</v>
      </c>
      <c r="C183" s="121" t="str">
        <f>IFERROR(INDEX('Miljövrärden urval för publ'!$A$2:$AA$419,MATCH('Miljövärden för publ företag'!$A183,'Miljövrärden urval för publ'!$R$2:$R$416,0),2),"")</f>
        <v>Kramfors</v>
      </c>
      <c r="D183" s="121">
        <f>IFERROR(VLOOKUP($C183,'Miljövrärden urval för publ'!$B$2:$H$416,MATCH('Miljövärden för publ företag'!D$4,'Miljövrärden urval för publ'!$B$2:$H$2,0),FALSE),"")</f>
        <v>0.54477900000000001</v>
      </c>
      <c r="E183" s="121">
        <f>IFERROR(VLOOKUP($C183,'Miljövrärden urval för publ'!$B$2:$H$416,MATCH('Miljövärden för publ företag'!E$4,'Miljövrärden urval för publ'!$B$2:$H$2,0),FALSE),"")</f>
        <v>180.89099999999999</v>
      </c>
      <c r="F183" s="121">
        <f>IFERROR(VLOOKUP($C183,'Miljövrärden urval för publ'!$B$2:$H$416,MATCH('Miljövärden för publ företag'!F$4,'Miljövrärden urval för publ'!$B$2:$H$2,0),FALSE),"")</f>
        <v>24.659400000000002</v>
      </c>
      <c r="G183" s="121">
        <f>IFERROR(VLOOKUP($C183,'Miljövrärden urval för publ'!$B$2:$H$416,MATCH('Miljövärden för publ företag'!G$4,'Miljövrärden urval för publ'!$B$2:$H$2,0),FALSE),"")</f>
        <v>1.26664E-2</v>
      </c>
      <c r="J183" s="121">
        <f t="shared" si="10"/>
        <v>74</v>
      </c>
      <c r="M183" s="121">
        <v>179</v>
      </c>
      <c r="N183" s="121" t="str">
        <f t="shared" si="11"/>
        <v/>
      </c>
      <c r="P183" s="296">
        <f t="shared" si="12"/>
        <v>0</v>
      </c>
      <c r="Q183" s="290" t="str">
        <f t="shared" si="9"/>
        <v/>
      </c>
    </row>
    <row r="184" spans="1:17" x14ac:dyDescent="0.25">
      <c r="A184" s="121">
        <v>181</v>
      </c>
      <c r="B184" s="121" t="str">
        <f>IFERROR(INDEX('Miljövrärden urval för publ'!$A$2:$AA$419,MATCH('Miljövärden för publ företag'!$A184,'Miljövrärden urval för publ'!$R$2:$R$416,0),1),"")</f>
        <v>Neova AB</v>
      </c>
      <c r="C184" s="121" t="str">
        <f>IFERROR(INDEX('Miljövrärden urval för publ'!$A$2:$AA$419,MATCH('Miljövärden för publ företag'!$A184,'Miljövrärden urval för publ'!$R$2:$R$416,0),2),"")</f>
        <v>Smålandsstenar</v>
      </c>
      <c r="D184" s="121">
        <f>IFERROR(VLOOKUP($C184,'Miljövrärden urval för publ'!$B$2:$H$416,MATCH('Miljövärden för publ företag'!D$4,'Miljövrärden urval för publ'!$B$2:$H$2,0),FALSE),"")</f>
        <v>0.247974</v>
      </c>
      <c r="E184" s="121">
        <f>IFERROR(VLOOKUP($C184,'Miljövrärden urval för publ'!$B$2:$H$416,MATCH('Miljövärden för publ företag'!E$4,'Miljövrärden urval för publ'!$B$2:$H$2,0),FALSE),"")</f>
        <v>24.950600000000001</v>
      </c>
      <c r="F184" s="121">
        <f>IFERROR(VLOOKUP($C184,'Miljövrärden urval för publ'!$B$2:$H$416,MATCH('Miljövärden för publ företag'!F$4,'Miljövrärden urval för publ'!$B$2:$H$2,0),FALSE),"")</f>
        <v>18.364599999999999</v>
      </c>
      <c r="G184" s="121">
        <f>IFERROR(VLOOKUP($C184,'Miljövrärden urval för publ'!$B$2:$H$416,MATCH('Miljövärden för publ företag'!G$4,'Miljövrärden urval för publ'!$B$2:$H$2,0),FALSE),"")</f>
        <v>5.79637E-2</v>
      </c>
      <c r="J184" s="121">
        <f t="shared" si="10"/>
        <v>74</v>
      </c>
      <c r="M184" s="121">
        <v>180</v>
      </c>
      <c r="N184" s="121" t="str">
        <f t="shared" si="11"/>
        <v/>
      </c>
      <c r="P184" s="296">
        <f t="shared" si="12"/>
        <v>0</v>
      </c>
      <c r="Q184" s="290" t="str">
        <f t="shared" si="9"/>
        <v/>
      </c>
    </row>
    <row r="185" spans="1:17" x14ac:dyDescent="0.25">
      <c r="A185" s="121">
        <v>182</v>
      </c>
      <c r="B185" s="121" t="str">
        <f>IFERROR(INDEX('Miljövrärden urval för publ'!$A$2:$AA$419,MATCH('Miljövärden för publ företag'!$A185,'Miljövrärden urval för publ'!$R$2:$R$416,0),1),"")</f>
        <v>Neova AB</v>
      </c>
      <c r="C185" s="121" t="str">
        <f>IFERROR(INDEX('Miljövrärden urval för publ'!$A$2:$AA$419,MATCH('Miljövärden för publ företag'!$A185,'Miljövrärden urval för publ'!$R$2:$R$416,0),2),"")</f>
        <v>Tanum</v>
      </c>
      <c r="D185" s="121">
        <f>IFERROR(VLOOKUP($C185,'Miljövrärden urval för publ'!$B$2:$H$416,MATCH('Miljövärden för publ företag'!D$4,'Miljövrärden urval för publ'!$B$2:$H$2,0),FALSE),"")</f>
        <v>0.15568799999999999</v>
      </c>
      <c r="E185" s="121">
        <f>IFERROR(VLOOKUP($C185,'Miljövrärden urval för publ'!$B$2:$H$416,MATCH('Miljövärden för publ företag'!E$4,'Miljövrärden urval för publ'!$B$2:$H$2,0),FALSE),"")</f>
        <v>8.4451199999999993</v>
      </c>
      <c r="F185" s="121">
        <f>IFERROR(VLOOKUP($C185,'Miljövrärden urval för publ'!$B$2:$H$416,MATCH('Miljövärden för publ företag'!F$4,'Miljövrärden urval för publ'!$B$2:$H$2,0),FALSE),"")</f>
        <v>15.945499999999999</v>
      </c>
      <c r="G185" s="121">
        <f>IFERROR(VLOOKUP($C185,'Miljövrärden urval för publ'!$B$2:$H$416,MATCH('Miljövärden för publ företag'!G$4,'Miljövrärden urval för publ'!$B$2:$H$2,0),FALSE),"")</f>
        <v>1.2973699999999999E-2</v>
      </c>
      <c r="J185" s="121">
        <f t="shared" si="10"/>
        <v>74</v>
      </c>
      <c r="M185" s="121">
        <v>181</v>
      </c>
      <c r="N185" s="121" t="str">
        <f t="shared" si="11"/>
        <v/>
      </c>
      <c r="P185" s="296">
        <f t="shared" si="12"/>
        <v>0</v>
      </c>
      <c r="Q185" s="290" t="str">
        <f t="shared" si="9"/>
        <v/>
      </c>
    </row>
    <row r="186" spans="1:17" x14ac:dyDescent="0.25">
      <c r="A186" s="121">
        <v>183</v>
      </c>
      <c r="B186" s="121" t="str">
        <f>IFERROR(INDEX('Miljövrärden urval för publ'!$A$2:$AA$419,MATCH('Miljövärden för publ företag'!$A186,'Miljövrärden urval för publ'!$R$2:$R$416,0),1),"")</f>
        <v>Neova AB</v>
      </c>
      <c r="C186" s="121" t="str">
        <f>IFERROR(INDEX('Miljövrärden urval för publ'!$A$2:$AA$419,MATCH('Miljövärden för publ företag'!$A186,'Miljövrärden urval för publ'!$R$2:$R$416,0),2),"")</f>
        <v>Tibro</v>
      </c>
      <c r="D186" s="121">
        <f>IFERROR(VLOOKUP($C186,'Miljövrärden urval för publ'!$B$2:$H$416,MATCH('Miljövärden för publ företag'!D$4,'Miljövrärden urval för publ'!$B$2:$H$2,0),FALSE),"")</f>
        <v>8.9399999999999993E-2</v>
      </c>
      <c r="E186" s="121">
        <f>IFERROR(VLOOKUP($C186,'Miljövrärden urval för publ'!$B$2:$H$416,MATCH('Miljövärden för publ företag'!E$4,'Miljövrärden urval för publ'!$B$2:$H$2,0),FALSE),"")</f>
        <v>6.1893099999999999</v>
      </c>
      <c r="F186" s="121">
        <f>IFERROR(VLOOKUP($C186,'Miljövrärden urval för publ'!$B$2:$H$416,MATCH('Miljövärden för publ företag'!F$4,'Miljövrärden urval för publ'!$B$2:$H$2,0),FALSE),"")</f>
        <v>10.464499999999999</v>
      </c>
      <c r="G186" s="121">
        <f>IFERROR(VLOOKUP($C186,'Miljövrärden urval för publ'!$B$2:$H$416,MATCH('Miljövärden för publ företag'!G$4,'Miljövrärden urval för publ'!$B$2:$H$2,0),FALSE),"")</f>
        <v>4.3789199999999997E-3</v>
      </c>
      <c r="J186" s="121">
        <f t="shared" si="10"/>
        <v>74</v>
      </c>
      <c r="M186" s="121">
        <v>182</v>
      </c>
      <c r="N186" s="121" t="str">
        <f t="shared" si="11"/>
        <v/>
      </c>
      <c r="P186" s="296">
        <f t="shared" si="12"/>
        <v>0</v>
      </c>
      <c r="Q186" s="290" t="str">
        <f t="shared" si="9"/>
        <v/>
      </c>
    </row>
    <row r="187" spans="1:17" x14ac:dyDescent="0.25">
      <c r="A187" s="121">
        <v>184</v>
      </c>
      <c r="B187" s="121" t="str">
        <f>IFERROR(INDEX('Miljövrärden urval för publ'!$A$2:$AA$419,MATCH('Miljövärden för publ företag'!$A187,'Miljövrärden urval för publ'!$R$2:$R$416,0),1),"")</f>
        <v>Neova AB</v>
      </c>
      <c r="C187" s="121" t="str">
        <f>IFERROR(INDEX('Miljövrärden urval för publ'!$A$2:$AA$419,MATCH('Miljövärden för publ företag'!$A187,'Miljövrärden urval för publ'!$R$2:$R$416,0),2),"")</f>
        <v>Valdemarsvik</v>
      </c>
      <c r="D187" s="121">
        <f>IFERROR(VLOOKUP($C187,'Miljövrärden urval för publ'!$B$2:$H$416,MATCH('Miljövärden för publ företag'!D$4,'Miljövrärden urval för publ'!$B$2:$H$2,0),FALSE),"")</f>
        <v>0.152451</v>
      </c>
      <c r="E187" s="121">
        <f>IFERROR(VLOOKUP($C187,'Miljövrärden urval för publ'!$B$2:$H$416,MATCH('Miljövärden för publ företag'!E$4,'Miljövrärden urval för publ'!$B$2:$H$2,0),FALSE),"")</f>
        <v>6.2602099999999998</v>
      </c>
      <c r="F187" s="121">
        <f>IFERROR(VLOOKUP($C187,'Miljövrärden urval för publ'!$B$2:$H$416,MATCH('Miljövärden för publ företag'!F$4,'Miljövrärden urval för publ'!$B$2:$H$2,0),FALSE),"")</f>
        <v>16.3489</v>
      </c>
      <c r="G187" s="121">
        <f>IFERROR(VLOOKUP($C187,'Miljövrärden urval för publ'!$B$2:$H$416,MATCH('Miljövärden för publ företag'!G$4,'Miljövrärden urval för publ'!$B$2:$H$2,0),FALSE),"")</f>
        <v>3.2463800000000001E-3</v>
      </c>
      <c r="J187" s="121">
        <f t="shared" si="10"/>
        <v>74</v>
      </c>
      <c r="M187" s="121">
        <v>183</v>
      </c>
      <c r="N187" s="121" t="str">
        <f t="shared" si="11"/>
        <v/>
      </c>
      <c r="P187" s="296">
        <f t="shared" si="12"/>
        <v>0</v>
      </c>
      <c r="Q187" s="290" t="str">
        <f t="shared" si="9"/>
        <v/>
      </c>
    </row>
    <row r="188" spans="1:17" x14ac:dyDescent="0.25">
      <c r="A188" s="121">
        <v>185</v>
      </c>
      <c r="B188" s="121" t="str">
        <f>IFERROR(INDEX('Miljövrärden urval för publ'!$A$2:$AA$419,MATCH('Miljövärden för publ företag'!$A188,'Miljövrärden urval för publ'!$R$2:$R$416,0),1),"")</f>
        <v>Neova AB</v>
      </c>
      <c r="C188" s="121" t="str">
        <f>IFERROR(INDEX('Miljövrärden urval för publ'!$A$2:$AA$419,MATCH('Miljövärden för publ företag'!$A188,'Miljövrärden urval för publ'!$R$2:$R$416,0),2),"")</f>
        <v>Årjäng</v>
      </c>
      <c r="D188" s="121">
        <f>IFERROR(VLOOKUP($C188,'Miljövrärden urval för publ'!$B$2:$H$416,MATCH('Miljövärden för publ företag'!D$4,'Miljövrärden urval för publ'!$B$2:$H$2,0),FALSE),"")</f>
        <v>0.22401399999999999</v>
      </c>
      <c r="E188" s="121">
        <f>IFERROR(VLOOKUP($C188,'Miljövrärden urval för publ'!$B$2:$H$416,MATCH('Miljövärden för publ företag'!E$4,'Miljövrärden urval för publ'!$B$2:$H$2,0),FALSE),"")</f>
        <v>42.442599999999999</v>
      </c>
      <c r="F188" s="121">
        <f>IFERROR(VLOOKUP($C188,'Miljövrärden urval för publ'!$B$2:$H$416,MATCH('Miljövärden för publ företag'!F$4,'Miljövrärden urval för publ'!$B$2:$H$2,0),FALSE),"")</f>
        <v>13.283200000000001</v>
      </c>
      <c r="G188" s="121">
        <f>IFERROR(VLOOKUP($C188,'Miljövrärden urval för publ'!$B$2:$H$416,MATCH('Miljövärden för publ företag'!G$4,'Miljövrärden urval för publ'!$B$2:$H$2,0),FALSE),"")</f>
        <v>0.109136</v>
      </c>
      <c r="J188" s="121">
        <f t="shared" si="10"/>
        <v>74</v>
      </c>
      <c r="M188" s="121">
        <v>184</v>
      </c>
      <c r="N188" s="121" t="str">
        <f t="shared" si="11"/>
        <v/>
      </c>
      <c r="P188" s="296">
        <f t="shared" si="12"/>
        <v>0</v>
      </c>
      <c r="Q188" s="290" t="str">
        <f t="shared" si="9"/>
        <v/>
      </c>
    </row>
    <row r="189" spans="1:17" x14ac:dyDescent="0.25">
      <c r="A189" s="121">
        <v>186</v>
      </c>
      <c r="B189" s="121" t="str">
        <f>IFERROR(INDEX('Miljövrärden urval för publ'!$A$2:$AA$419,MATCH('Miljövärden för publ företag'!$A189,'Miljövrärden urval för publ'!$R$2:$R$416,0),1),"")</f>
        <v>Neova AB</v>
      </c>
      <c r="C189" s="121" t="str">
        <f>IFERROR(INDEX('Miljövrärden urval för publ'!$A$2:$AA$419,MATCH('Miljövärden för publ företag'!$A189,'Miljövrärden urval för publ'!$R$2:$R$416,0),2),"")</f>
        <v>Åstorp</v>
      </c>
      <c r="D189" s="121">
        <f>IFERROR(VLOOKUP($C189,'Miljövrärden urval för publ'!$B$2:$H$416,MATCH('Miljövärden för publ företag'!D$4,'Miljövrärden urval för publ'!$B$2:$H$2,0),FALSE),"")</f>
        <v>0.14615700000000001</v>
      </c>
      <c r="E189" s="121">
        <f>IFERROR(VLOOKUP($C189,'Miljövrärden urval för publ'!$B$2:$H$416,MATCH('Miljövärden för publ företag'!E$4,'Miljövrärden urval för publ'!$B$2:$H$2,0),FALSE),"")</f>
        <v>24.435400000000001</v>
      </c>
      <c r="F189" s="121">
        <f>IFERROR(VLOOKUP($C189,'Miljövrärden urval för publ'!$B$2:$H$416,MATCH('Miljövärden för publ företag'!F$4,'Miljövrärden urval för publ'!$B$2:$H$2,0),FALSE),"")</f>
        <v>9.8613900000000001</v>
      </c>
      <c r="G189" s="121">
        <f>IFERROR(VLOOKUP($C189,'Miljövrärden urval för publ'!$B$2:$H$416,MATCH('Miljövärden för publ företag'!G$4,'Miljövrärden urval för publ'!$B$2:$H$2,0),FALSE),"")</f>
        <v>5.1912199999999999E-2</v>
      </c>
      <c r="J189" s="121">
        <f t="shared" si="10"/>
        <v>74</v>
      </c>
      <c r="M189" s="121">
        <v>185</v>
      </c>
      <c r="N189" s="121" t="str">
        <f t="shared" si="11"/>
        <v/>
      </c>
      <c r="P189" s="296">
        <f t="shared" si="12"/>
        <v>0</v>
      </c>
      <c r="Q189" s="290" t="str">
        <f t="shared" si="9"/>
        <v/>
      </c>
    </row>
    <row r="190" spans="1:17" x14ac:dyDescent="0.25">
      <c r="A190" s="121">
        <v>187</v>
      </c>
      <c r="B190" s="121" t="str">
        <f>IFERROR(INDEX('Miljövrärden urval för publ'!$A$2:$AA$419,MATCH('Miljövärden för publ företag'!$A190,'Miljövrärden urval för publ'!$R$2:$R$416,0),1),"")</f>
        <v>Neova AB</v>
      </c>
      <c r="C190" s="121" t="str">
        <f>IFERROR(INDEX('Miljövrärden urval för publ'!$A$2:$AA$419,MATCH('Miljövärden för publ företag'!$A190,'Miljövrärden urval för publ'!$R$2:$R$416,0),2),"")</f>
        <v>Österbybruk</v>
      </c>
      <c r="D190" s="121">
        <f>IFERROR(VLOOKUP($C190,'Miljövrärden urval för publ'!$B$2:$H$416,MATCH('Miljövärden för publ företag'!D$4,'Miljövrärden urval för publ'!$B$2:$H$2,0),FALSE),"")</f>
        <v>0.16236800000000001</v>
      </c>
      <c r="E190" s="121">
        <f>IFERROR(VLOOKUP($C190,'Miljövrärden urval för publ'!$B$2:$H$416,MATCH('Miljövärden för publ företag'!E$4,'Miljövrärden urval för publ'!$B$2:$H$2,0),FALSE),"")</f>
        <v>26.486799999999999</v>
      </c>
      <c r="F190" s="121">
        <f>IFERROR(VLOOKUP($C190,'Miljövrärden urval för publ'!$B$2:$H$416,MATCH('Miljövärden för publ företag'!F$4,'Miljövrärden urval för publ'!$B$2:$H$2,0),FALSE),"")</f>
        <v>11.270200000000001</v>
      </c>
      <c r="G190" s="121">
        <f>IFERROR(VLOOKUP($C190,'Miljövrärden urval för publ'!$B$2:$H$416,MATCH('Miljövärden för publ företag'!G$4,'Miljövrärden urval för publ'!$B$2:$H$2,0),FALSE),"")</f>
        <v>5.3277499999999998E-2</v>
      </c>
      <c r="J190" s="121">
        <f t="shared" si="10"/>
        <v>74</v>
      </c>
      <c r="M190" s="121">
        <v>186</v>
      </c>
      <c r="N190" s="121" t="str">
        <f t="shared" si="11"/>
        <v/>
      </c>
      <c r="P190" s="296">
        <f t="shared" si="12"/>
        <v>0</v>
      </c>
      <c r="Q190" s="290" t="str">
        <f t="shared" si="9"/>
        <v/>
      </c>
    </row>
    <row r="191" spans="1:17" x14ac:dyDescent="0.25">
      <c r="A191" s="121">
        <v>188</v>
      </c>
      <c r="B191" s="121" t="str">
        <f>IFERROR(INDEX('Miljövrärden urval för publ'!$A$2:$AA$419,MATCH('Miljövärden för publ företag'!$A191,'Miljövrärden urval för publ'!$R$2:$R$416,0),1),"")</f>
        <v>Neova AB</v>
      </c>
      <c r="C191" s="121" t="str">
        <f>IFERROR(INDEX('Miljövrärden urval för publ'!$A$2:$AA$419,MATCH('Miljövärden för publ företag'!$A191,'Miljövrärden urval för publ'!$R$2:$R$416,0),2),"")</f>
        <v>Östhammar</v>
      </c>
      <c r="D191" s="121">
        <f>IFERROR(VLOOKUP($C191,'Miljövrärden urval för publ'!$B$2:$H$416,MATCH('Miljövärden för publ företag'!D$4,'Miljövrärden urval för publ'!$B$2:$H$2,0),FALSE),"")</f>
        <v>0.20510500000000001</v>
      </c>
      <c r="E191" s="121">
        <f>IFERROR(VLOOKUP($C191,'Miljövrärden urval för publ'!$B$2:$H$416,MATCH('Miljövärden för publ företag'!E$4,'Miljövrärden urval för publ'!$B$2:$H$2,0),FALSE),"")</f>
        <v>17.3108</v>
      </c>
      <c r="F191" s="121">
        <f>IFERROR(VLOOKUP($C191,'Miljövrärden urval för publ'!$B$2:$H$416,MATCH('Miljövärden för publ företag'!F$4,'Miljövrärden urval för publ'!$B$2:$H$2,0),FALSE),"")</f>
        <v>17.952000000000002</v>
      </c>
      <c r="G191" s="121">
        <f>IFERROR(VLOOKUP($C191,'Miljövrärden urval för publ'!$B$2:$H$416,MATCH('Miljövärden för publ företag'!G$4,'Miljövrärden urval för publ'!$B$2:$H$2,0),FALSE),"")</f>
        <v>3.6527400000000002E-2</v>
      </c>
      <c r="J191" s="121">
        <f t="shared" si="10"/>
        <v>74</v>
      </c>
      <c r="M191" s="121">
        <v>187</v>
      </c>
      <c r="N191" s="121" t="str">
        <f t="shared" si="11"/>
        <v/>
      </c>
      <c r="P191" s="296">
        <f t="shared" si="12"/>
        <v>0</v>
      </c>
      <c r="Q191" s="290" t="str">
        <f t="shared" si="9"/>
        <v/>
      </c>
    </row>
    <row r="192" spans="1:17" x14ac:dyDescent="0.25">
      <c r="A192" s="121">
        <v>189</v>
      </c>
      <c r="B192" s="121" t="str">
        <f>IFERROR(INDEX('Miljövrärden urval för publ'!$A$2:$AA$419,MATCH('Miljövärden för publ företag'!$A192,'Miljövrärden urval för publ'!$R$2:$R$416,0),1),"")</f>
        <v>Njudung Energi Sävsjö AB</v>
      </c>
      <c r="C192" s="121" t="str">
        <f>IFERROR(INDEX('Miljövrärden urval för publ'!$A$2:$AA$419,MATCH('Miljövärden för publ företag'!$A192,'Miljövrärden urval för publ'!$R$2:$R$416,0),2),"")</f>
        <v>Rörvik</v>
      </c>
      <c r="D192" s="121">
        <f>IFERROR(VLOOKUP($C192,'Miljövrärden urval för publ'!$B$2:$H$416,MATCH('Miljövärden för publ företag'!D$4,'Miljövrärden urval för publ'!$B$2:$H$2,0),FALSE),"")</f>
        <v>0.11348900000000001</v>
      </c>
      <c r="E192" s="121">
        <f>IFERROR(VLOOKUP($C192,'Miljövrärden urval för publ'!$B$2:$H$416,MATCH('Miljövärden för publ företag'!E$4,'Miljövrärden urval för publ'!$B$2:$H$2,0),FALSE),"")</f>
        <v>15.807600000000001</v>
      </c>
      <c r="F192" s="121">
        <f>IFERROR(VLOOKUP($C192,'Miljövrärden urval för publ'!$B$2:$H$416,MATCH('Miljövärden för publ företag'!F$4,'Miljövrärden urval för publ'!$B$2:$H$2,0),FALSE),"")</f>
        <v>10.380800000000001</v>
      </c>
      <c r="G192" s="121">
        <f>IFERROR(VLOOKUP($C192,'Miljövrärden urval för publ'!$B$2:$H$416,MATCH('Miljövärden för publ företag'!G$4,'Miljövrärden urval för publ'!$B$2:$H$2,0),FALSE),"")</f>
        <v>8.5263100000000005E-3</v>
      </c>
      <c r="J192" s="121">
        <f t="shared" si="10"/>
        <v>75</v>
      </c>
      <c r="M192" s="121">
        <v>188</v>
      </c>
      <c r="N192" s="121" t="str">
        <f t="shared" si="11"/>
        <v/>
      </c>
      <c r="P192" s="296">
        <f t="shared" si="12"/>
        <v>0</v>
      </c>
      <c r="Q192" s="290" t="str">
        <f t="shared" si="9"/>
        <v/>
      </c>
    </row>
    <row r="193" spans="1:17" x14ac:dyDescent="0.25">
      <c r="A193" s="121">
        <v>190</v>
      </c>
      <c r="B193" s="121" t="str">
        <f>IFERROR(INDEX('Miljövrärden urval för publ'!$A$2:$AA$419,MATCH('Miljövärden för publ företag'!$A193,'Miljövrärden urval för publ'!$R$2:$R$416,0),1),"")</f>
        <v>Njudung Energi Sävsjö AB</v>
      </c>
      <c r="C193" s="121" t="str">
        <f>IFERROR(INDEX('Miljövrärden urval för publ'!$A$2:$AA$419,MATCH('Miljövärden för publ företag'!$A193,'Miljövrärden urval för publ'!$R$2:$R$416,0),2),"")</f>
        <v>Sävsjö</v>
      </c>
      <c r="D193" s="121">
        <f>IFERROR(VLOOKUP($C193,'Miljövrärden urval för publ'!$B$2:$H$416,MATCH('Miljövärden för publ företag'!D$4,'Miljövrärden urval för publ'!$B$2:$H$2,0),FALSE),"")</f>
        <v>0.121572</v>
      </c>
      <c r="E193" s="121">
        <f>IFERROR(VLOOKUP($C193,'Miljövrärden urval för publ'!$B$2:$H$416,MATCH('Miljövärden för publ företag'!E$4,'Miljövrärden urval för publ'!$B$2:$H$2,0),FALSE),"")</f>
        <v>17.851299999999998</v>
      </c>
      <c r="F193" s="121">
        <f>IFERROR(VLOOKUP($C193,'Miljövrärden urval för publ'!$B$2:$H$416,MATCH('Miljövärden för publ företag'!F$4,'Miljövrärden urval för publ'!$B$2:$H$2,0),FALSE),"")</f>
        <v>9.6226599999999998</v>
      </c>
      <c r="G193" s="121">
        <f>IFERROR(VLOOKUP($C193,'Miljövrärden urval för publ'!$B$2:$H$416,MATCH('Miljövärden för publ företag'!G$4,'Miljövrärden urval för publ'!$B$2:$H$2,0),FALSE),"")</f>
        <v>1.6866599999999999E-2</v>
      </c>
      <c r="J193" s="121">
        <f t="shared" si="10"/>
        <v>75</v>
      </c>
      <c r="M193" s="121">
        <v>189</v>
      </c>
      <c r="N193" s="121" t="str">
        <f t="shared" si="11"/>
        <v/>
      </c>
      <c r="P193" s="296">
        <f t="shared" si="12"/>
        <v>0</v>
      </c>
      <c r="Q193" s="290" t="str">
        <f t="shared" si="9"/>
        <v/>
      </c>
    </row>
    <row r="194" spans="1:17" x14ac:dyDescent="0.25">
      <c r="A194" s="121">
        <v>191</v>
      </c>
      <c r="B194" s="121" t="str">
        <f>IFERROR(INDEX('Miljövrärden urval för publ'!$A$2:$AA$419,MATCH('Miljövärden för publ företag'!$A194,'Miljövrärden urval för publ'!$R$2:$R$416,0),1),"")</f>
        <v>Njudung Energi Vetlanda AB</v>
      </c>
      <c r="C194" s="121" t="str">
        <f>IFERROR(INDEX('Miljövrärden urval för publ'!$A$2:$AA$419,MATCH('Miljövärden för publ företag'!$A194,'Miljövrärden urval för publ'!$R$2:$R$416,0),2),"")</f>
        <v>Holsby</v>
      </c>
      <c r="D194" s="121">
        <f>IFERROR(VLOOKUP($C194,'Miljövrärden urval för publ'!$B$2:$H$416,MATCH('Miljövärden för publ företag'!D$4,'Miljövrärden urval för publ'!$B$2:$H$2,0),FALSE),"")</f>
        <v>0.191857</v>
      </c>
      <c r="E194" s="121">
        <f>IFERROR(VLOOKUP($C194,'Miljövrärden urval för publ'!$B$2:$H$416,MATCH('Miljövärden för publ företag'!E$4,'Miljövrärden urval för publ'!$B$2:$H$2,0),FALSE),"")</f>
        <v>34.828099999999999</v>
      </c>
      <c r="F194" s="121">
        <f>IFERROR(VLOOKUP($C194,'Miljövrärden urval för publ'!$B$2:$H$416,MATCH('Miljövärden för publ företag'!F$4,'Miljövrärden urval för publ'!$B$2:$H$2,0),FALSE),"")</f>
        <v>11.738099999999999</v>
      </c>
      <c r="G194" s="121">
        <f>IFERROR(VLOOKUP($C194,'Miljövrärden urval för publ'!$B$2:$H$416,MATCH('Miljövärden för publ företag'!G$4,'Miljövrärden urval för publ'!$B$2:$H$2,0),FALSE),"")</f>
        <v>5.4272099999999997E-2</v>
      </c>
      <c r="J194" s="121">
        <f t="shared" si="10"/>
        <v>76</v>
      </c>
      <c r="M194" s="121">
        <v>190</v>
      </c>
      <c r="N194" s="121" t="str">
        <f t="shared" si="11"/>
        <v/>
      </c>
      <c r="P194" s="296">
        <f t="shared" si="12"/>
        <v>0</v>
      </c>
      <c r="Q194" s="290" t="str">
        <f t="shared" si="9"/>
        <v/>
      </c>
    </row>
    <row r="195" spans="1:17" x14ac:dyDescent="0.25">
      <c r="A195" s="121">
        <v>192</v>
      </c>
      <c r="B195" s="121" t="str">
        <f>IFERROR(INDEX('Miljövrärden urval för publ'!$A$2:$AA$419,MATCH('Miljövärden för publ företag'!$A195,'Miljövrärden urval för publ'!$R$2:$R$416,0),1),"")</f>
        <v>Njudung Energi Vetlanda AB</v>
      </c>
      <c r="C195" s="121" t="str">
        <f>IFERROR(INDEX('Miljövrärden urval för publ'!$A$2:$AA$419,MATCH('Miljövärden för publ företag'!$A195,'Miljövrärden urval för publ'!$R$2:$R$416,0),2),"")</f>
        <v>Vetlanda</v>
      </c>
      <c r="D195" s="121">
        <f>IFERROR(VLOOKUP($C195,'Miljövrärden urval för publ'!$B$2:$H$416,MATCH('Miljövärden för publ företag'!D$4,'Miljövrärden urval för publ'!$B$2:$H$2,0),FALSE),"")</f>
        <v>0.13836699999999999</v>
      </c>
      <c r="E195" s="121">
        <f>IFERROR(VLOOKUP($C195,'Miljövrärden urval för publ'!$B$2:$H$416,MATCH('Miljövärden för publ företag'!E$4,'Miljövrärden urval för publ'!$B$2:$H$2,0),FALSE),"")</f>
        <v>20.052800000000001</v>
      </c>
      <c r="F195" s="121">
        <f>IFERROR(VLOOKUP($C195,'Miljövrärden urval för publ'!$B$2:$H$416,MATCH('Miljövärden för publ företag'!F$4,'Miljövrärden urval för publ'!$B$2:$H$2,0),FALSE),"")</f>
        <v>6.1343100000000002</v>
      </c>
      <c r="G195" s="121">
        <f>IFERROR(VLOOKUP($C195,'Miljövrärden urval för publ'!$B$2:$H$416,MATCH('Miljövärden för publ företag'!G$4,'Miljövrärden urval för publ'!$B$2:$H$2,0),FALSE),"")</f>
        <v>2.4383999999999999E-2</v>
      </c>
      <c r="J195" s="121">
        <f t="shared" si="10"/>
        <v>76</v>
      </c>
      <c r="M195" s="121">
        <v>191</v>
      </c>
      <c r="N195" s="121" t="str">
        <f t="shared" si="11"/>
        <v/>
      </c>
      <c r="P195" s="296">
        <f t="shared" si="12"/>
        <v>0</v>
      </c>
      <c r="Q195" s="290" t="str">
        <f t="shared" si="9"/>
        <v/>
      </c>
    </row>
    <row r="196" spans="1:17" x14ac:dyDescent="0.25">
      <c r="A196" s="121">
        <v>193</v>
      </c>
      <c r="B196" s="121" t="str">
        <f>IFERROR(INDEX('Miljövrärden urval för publ'!$A$2:$AA$419,MATCH('Miljövärden för publ företag'!$A196,'Miljövrärden urval för publ'!$R$2:$R$416,0),1),"")</f>
        <v>Norrenergi AB</v>
      </c>
      <c r="C196" s="121" t="str">
        <f>IFERROR(INDEX('Miljövrärden urval för publ'!$A$2:$AA$419,MATCH('Miljövärden för publ företag'!$A196,'Miljövrärden urval för publ'!$R$2:$R$416,0),2),"")</f>
        <v>Sundbyberg-Solna</v>
      </c>
      <c r="D196" s="121">
        <f>IFERROR(VLOOKUP($C196,'Miljövrärden urval för publ'!$B$2:$H$416,MATCH('Miljövärden för publ företag'!D$4,'Miljövrärden urval för publ'!$B$2:$H$2,0),FALSE),"")</f>
        <v>0.35609299999999999</v>
      </c>
      <c r="E196" s="121">
        <f>IFERROR(VLOOKUP($C196,'Miljövrärden urval för publ'!$B$2:$H$416,MATCH('Miljövärden för publ företag'!E$4,'Miljövrärden urval för publ'!$B$2:$H$2,0),FALSE),"")</f>
        <v>2.9906000000000001</v>
      </c>
      <c r="F196" s="121">
        <f>IFERROR(VLOOKUP($C196,'Miljövrärden urval för publ'!$B$2:$H$416,MATCH('Miljövärden för publ företag'!F$4,'Miljövrärden urval för publ'!$B$2:$H$2,0),FALSE),"")</f>
        <v>2.9077500000000001</v>
      </c>
      <c r="G196" s="121">
        <f>IFERROR(VLOOKUP($C196,'Miljövrärden urval för publ'!$B$2:$H$416,MATCH('Miljövärden för publ företag'!G$4,'Miljövrärden urval för publ'!$B$2:$H$2,0),FALSE),"")</f>
        <v>7.39962E-3</v>
      </c>
      <c r="J196" s="121">
        <f t="shared" si="10"/>
        <v>77</v>
      </c>
      <c r="M196" s="121">
        <v>192</v>
      </c>
      <c r="N196" s="121" t="str">
        <f t="shared" si="11"/>
        <v/>
      </c>
      <c r="P196" s="296">
        <f t="shared" si="12"/>
        <v>0</v>
      </c>
      <c r="Q196" s="290" t="str">
        <f t="shared" si="9"/>
        <v/>
      </c>
    </row>
    <row r="197" spans="1:17" x14ac:dyDescent="0.25">
      <c r="A197" s="121">
        <v>194</v>
      </c>
      <c r="B197" s="121" t="str">
        <f>IFERROR(INDEX('Miljövrärden urval för publ'!$A$2:$AA$419,MATCH('Miljövärden för publ företag'!$A197,'Miljövrärden urval för publ'!$R$2:$R$416,0),1),"")</f>
        <v>Norrtälje Energi AB</v>
      </c>
      <c r="C197" s="121" t="str">
        <f>IFERROR(INDEX('Miljövrärden urval för publ'!$A$2:$AA$419,MATCH('Miljövärden för publ företag'!$A197,'Miljövrärden urval för publ'!$R$2:$R$416,0),2),"")</f>
        <v>Hallstavik</v>
      </c>
      <c r="D197" s="121">
        <f>IFERROR(VLOOKUP($C197,'Miljövrärden urval för publ'!$B$2:$H$416,MATCH('Miljövärden för publ företag'!D$4,'Miljövrärden urval för publ'!$B$2:$H$2,0),FALSE),"")</f>
        <v>0.135245</v>
      </c>
      <c r="E197" s="121">
        <f>IFERROR(VLOOKUP($C197,'Miljövrärden urval för publ'!$B$2:$H$416,MATCH('Miljövärden för publ företag'!E$4,'Miljövrärden urval för publ'!$B$2:$H$2,0),FALSE),"")</f>
        <v>3.7322299999999999</v>
      </c>
      <c r="F197" s="121">
        <f>IFERROR(VLOOKUP($C197,'Miljövrärden urval för publ'!$B$2:$H$416,MATCH('Miljövärden för publ företag'!F$4,'Miljövrärden urval för publ'!$B$2:$H$2,0),FALSE),"")</f>
        <v>13.0078</v>
      </c>
      <c r="G197" s="121">
        <f>IFERROR(VLOOKUP($C197,'Miljövrärden urval för publ'!$B$2:$H$416,MATCH('Miljövärden för publ företag'!G$4,'Miljövrärden urval för publ'!$B$2:$H$2,0),FALSE),"")</f>
        <v>4.8642900000000001E-5</v>
      </c>
      <c r="J197" s="121">
        <f t="shared" si="10"/>
        <v>78</v>
      </c>
      <c r="M197" s="121">
        <v>193</v>
      </c>
      <c r="N197" s="121" t="str">
        <f t="shared" si="11"/>
        <v/>
      </c>
      <c r="P197" s="296">
        <f t="shared" si="12"/>
        <v>0</v>
      </c>
      <c r="Q197" s="290" t="str">
        <f t="shared" ref="Q197:Q260" si="13">IF(B197=$R$2,C197,"")</f>
        <v/>
      </c>
    </row>
    <row r="198" spans="1:17" x14ac:dyDescent="0.25">
      <c r="A198" s="121">
        <v>195</v>
      </c>
      <c r="B198" s="121" t="str">
        <f>IFERROR(INDEX('Miljövrärden urval för publ'!$A$2:$AA$419,MATCH('Miljövärden för publ företag'!$A198,'Miljövrärden urval för publ'!$R$2:$R$416,0),1),"")</f>
        <v>Norrtälje Energi AB</v>
      </c>
      <c r="C198" s="121" t="str">
        <f>IFERROR(INDEX('Miljövrärden urval för publ'!$A$2:$AA$419,MATCH('Miljövärden för publ företag'!$A198,'Miljövrärden urval för publ'!$R$2:$R$416,0),2),"")</f>
        <v>Norrtälje</v>
      </c>
      <c r="D198" s="121">
        <f>IFERROR(VLOOKUP($C198,'Miljövrärden urval för publ'!$B$2:$H$416,MATCH('Miljövärden för publ företag'!D$4,'Miljövrärden urval för publ'!$B$2:$H$2,0),FALSE),"")</f>
        <v>8.3348400000000003E-2</v>
      </c>
      <c r="E198" s="121">
        <f>IFERROR(VLOOKUP($C198,'Miljövrärden urval för publ'!$B$2:$H$416,MATCH('Miljövärden för publ företag'!E$4,'Miljövrärden urval för publ'!$B$2:$H$2,0),FALSE),"")</f>
        <v>5.20594</v>
      </c>
      <c r="F198" s="121">
        <f>IFERROR(VLOOKUP($C198,'Miljövrärden urval för publ'!$B$2:$H$416,MATCH('Miljövärden för publ företag'!F$4,'Miljövrärden urval för publ'!$B$2:$H$2,0),FALSE),"")</f>
        <v>7.1156600000000001</v>
      </c>
      <c r="G198" s="121">
        <f>IFERROR(VLOOKUP($C198,'Miljövrärden urval för publ'!$B$2:$H$416,MATCH('Miljövärden för publ företag'!G$4,'Miljövrärden urval för publ'!$B$2:$H$2,0),FALSE),"")</f>
        <v>3.4868E-3</v>
      </c>
      <c r="J198" s="121">
        <f t="shared" ref="J198:J261" si="14">IF(B198=B197,J197,J197+1)</f>
        <v>78</v>
      </c>
      <c r="M198" s="121">
        <v>194</v>
      </c>
      <c r="N198" s="121" t="str">
        <f t="shared" ref="N198:N261" si="15">IFERROR(INDEX($B$4:$J$487,MATCH(M198,$J$4:$J$369,0),1),"")</f>
        <v/>
      </c>
      <c r="P198" s="296">
        <f t="shared" ref="P198:P261" si="16">IF(Q198="",P197,P197+1)</f>
        <v>0</v>
      </c>
      <c r="Q198" s="290" t="str">
        <f t="shared" si="13"/>
        <v/>
      </c>
    </row>
    <row r="199" spans="1:17" x14ac:dyDescent="0.25">
      <c r="A199" s="121">
        <v>196</v>
      </c>
      <c r="B199" s="121" t="str">
        <f>IFERROR(INDEX('Miljövrärden urval för publ'!$A$2:$AA$419,MATCH('Miljövärden för publ företag'!$A199,'Miljövrärden urval för publ'!$R$2:$R$416,0),1),"")</f>
        <v>Norrtälje Energi AB</v>
      </c>
      <c r="C199" s="121" t="str">
        <f>IFERROR(INDEX('Miljövrärden urval för publ'!$A$2:$AA$419,MATCH('Miljövärden för publ företag'!$A199,'Miljövrärden urval för publ'!$R$2:$R$416,0),2),"")</f>
        <v>Rimbo</v>
      </c>
      <c r="D199" s="121">
        <f>IFERROR(VLOOKUP($C199,'Miljövrärden urval för publ'!$B$2:$H$416,MATCH('Miljövärden för publ företag'!D$4,'Miljövrärden urval för publ'!$B$2:$H$2,0),FALSE),"")</f>
        <v>0.24087600000000001</v>
      </c>
      <c r="E199" s="121">
        <f>IFERROR(VLOOKUP($C199,'Miljövrärden urval för publ'!$B$2:$H$416,MATCH('Miljövärden för publ företag'!E$4,'Miljövrärden urval för publ'!$B$2:$H$2,0),FALSE),"")</f>
        <v>24.736799999999999</v>
      </c>
      <c r="F199" s="121">
        <f>IFERROR(VLOOKUP($C199,'Miljövrärden urval för publ'!$B$2:$H$416,MATCH('Miljövärden för publ företag'!F$4,'Miljövrärden urval för publ'!$B$2:$H$2,0),FALSE),"")</f>
        <v>9.6369399999999992</v>
      </c>
      <c r="G199" s="121">
        <f>IFERROR(VLOOKUP($C199,'Miljövrärden urval för publ'!$B$2:$H$416,MATCH('Miljövärden för publ företag'!G$4,'Miljövrärden urval för publ'!$B$2:$H$2,0),FALSE),"")</f>
        <v>5.1971400000000001E-2</v>
      </c>
      <c r="J199" s="121">
        <f t="shared" si="14"/>
        <v>78</v>
      </c>
      <c r="M199" s="121">
        <v>195</v>
      </c>
      <c r="N199" s="121" t="str">
        <f t="shared" si="15"/>
        <v/>
      </c>
      <c r="P199" s="296">
        <f t="shared" si="16"/>
        <v>0</v>
      </c>
      <c r="Q199" s="290" t="str">
        <f t="shared" si="13"/>
        <v/>
      </c>
    </row>
    <row r="200" spans="1:17" x14ac:dyDescent="0.25">
      <c r="A200" s="121">
        <v>197</v>
      </c>
      <c r="B200" s="121" t="str">
        <f>IFERROR(INDEX('Miljövrärden urval för publ'!$A$2:$AA$419,MATCH('Miljövärden för publ företag'!$A200,'Miljövrärden urval för publ'!$R$2:$R$416,0),1),"")</f>
        <v>Nossebro Energi Värme AB</v>
      </c>
      <c r="C200" s="121" t="str">
        <f>IFERROR(INDEX('Miljövrärden urval för publ'!$A$2:$AA$419,MATCH('Miljövärden för publ företag'!$A200,'Miljövrärden urval för publ'!$R$2:$R$416,0),2),"")</f>
        <v>Essunga</v>
      </c>
      <c r="D200" s="121">
        <f>IFERROR(VLOOKUP($C200,'Miljövrärden urval för publ'!$B$2:$H$416,MATCH('Miljövärden för publ företag'!D$4,'Miljövrärden urval för publ'!$B$2:$H$2,0),FALSE),"")</f>
        <v>7.0571400000000006E-2</v>
      </c>
      <c r="E200" s="121">
        <f>IFERROR(VLOOKUP($C200,'Miljövrärden urval för publ'!$B$2:$H$416,MATCH('Miljövärden för publ företag'!E$4,'Miljövrärden urval för publ'!$B$2:$H$2,0),FALSE),"")</f>
        <v>6.1142899999999996</v>
      </c>
      <c r="F200" s="121">
        <f>IFERROR(VLOOKUP($C200,'Miljövrärden urval för publ'!$B$2:$H$416,MATCH('Miljövärden för publ företag'!F$4,'Miljövrärden urval för publ'!$B$2:$H$2,0),FALSE),"")</f>
        <v>10.8</v>
      </c>
      <c r="G200" s="121">
        <f>IFERROR(VLOOKUP($C200,'Miljövrärden urval för publ'!$B$2:$H$416,MATCH('Miljövärden för publ företag'!G$4,'Miljövrärden urval för publ'!$B$2:$H$2,0),FALSE),"")</f>
        <v>0</v>
      </c>
      <c r="J200" s="121">
        <f t="shared" si="14"/>
        <v>79</v>
      </c>
      <c r="M200" s="121">
        <v>196</v>
      </c>
      <c r="N200" s="121" t="str">
        <f t="shared" si="15"/>
        <v/>
      </c>
      <c r="P200" s="296">
        <f t="shared" si="16"/>
        <v>0</v>
      </c>
      <c r="Q200" s="290" t="str">
        <f t="shared" si="13"/>
        <v/>
      </c>
    </row>
    <row r="201" spans="1:17" x14ac:dyDescent="0.25">
      <c r="A201" s="121">
        <v>198</v>
      </c>
      <c r="B201" s="121" t="str">
        <f>IFERROR(INDEX('Miljövrärden urval för publ'!$A$2:$AA$419,MATCH('Miljövärden för publ företag'!$A201,'Miljövrärden urval för publ'!$R$2:$R$416,0),1),"")</f>
        <v>Nybro Energi AB</v>
      </c>
      <c r="C201" s="121" t="str">
        <f>IFERROR(INDEX('Miljövrärden urval för publ'!$A$2:$AA$419,MATCH('Miljövärden för publ företag'!$A201,'Miljövrärden urval för publ'!$R$2:$R$416,0),2),"")</f>
        <v>Nybro stadsnät</v>
      </c>
      <c r="D201" s="121">
        <f>IFERROR(VLOOKUP($C201,'Miljövrärden urval för publ'!$B$2:$H$416,MATCH('Miljövärden för publ företag'!D$4,'Miljövrärden urval för publ'!$B$2:$H$2,0),FALSE),"")</f>
        <v>0.104822</v>
      </c>
      <c r="E201" s="121">
        <f>IFERROR(VLOOKUP($C201,'Miljövrärden urval för publ'!$B$2:$H$416,MATCH('Miljövärden för publ företag'!E$4,'Miljövrärden urval för publ'!$B$2:$H$2,0),FALSE),"")</f>
        <v>102.465</v>
      </c>
      <c r="F201" s="121">
        <f>IFERROR(VLOOKUP($C201,'Miljövrärden urval för publ'!$B$2:$H$416,MATCH('Miljövärden för publ företag'!F$4,'Miljövrärden urval för publ'!$B$2:$H$2,0),FALSE),"")</f>
        <v>4.7289899999999996</v>
      </c>
      <c r="G201" s="121">
        <f>IFERROR(VLOOKUP($C201,'Miljövrärden urval för publ'!$B$2:$H$416,MATCH('Miljövärden för publ företag'!G$4,'Miljövrärden urval för publ'!$B$2:$H$2,0),FALSE),"")</f>
        <v>1.4928500000000001E-2</v>
      </c>
      <c r="J201" s="121">
        <f t="shared" si="14"/>
        <v>80</v>
      </c>
      <c r="M201" s="121">
        <v>197</v>
      </c>
      <c r="N201" s="121" t="str">
        <f t="shared" si="15"/>
        <v/>
      </c>
      <c r="P201" s="296">
        <f t="shared" si="16"/>
        <v>0</v>
      </c>
      <c r="Q201" s="290" t="str">
        <f t="shared" si="13"/>
        <v/>
      </c>
    </row>
    <row r="202" spans="1:17" x14ac:dyDescent="0.25">
      <c r="A202" s="121">
        <v>199</v>
      </c>
      <c r="B202" s="121" t="str">
        <f>IFERROR(INDEX('Miljövrärden urval för publ'!$A$2:$AA$419,MATCH('Miljövärden för publ företag'!$A202,'Miljövrärden urval för publ'!$R$2:$R$416,0),1),"")</f>
        <v>Nässjö Affärsverk AB</v>
      </c>
      <c r="C202" s="121" t="str">
        <f>IFERROR(INDEX('Miljövrärden urval för publ'!$A$2:$AA$419,MATCH('Miljövärden för publ företag'!$A202,'Miljövrärden urval för publ'!$R$2:$R$416,0),2),"")</f>
        <v>Anneberg</v>
      </c>
      <c r="D202" s="121">
        <f>IFERROR(VLOOKUP($C202,'Miljövrärden urval för publ'!$B$2:$H$416,MATCH('Miljövärden för publ företag'!D$4,'Miljövrärden urval för publ'!$B$2:$H$2,0),FALSE),"")</f>
        <v>0.215174</v>
      </c>
      <c r="E202" s="121">
        <f>IFERROR(VLOOKUP($C202,'Miljövrärden urval för publ'!$B$2:$H$416,MATCH('Miljövärden för publ företag'!E$4,'Miljövrärden urval för publ'!$B$2:$H$2,0),FALSE),"")</f>
        <v>15.344200000000001</v>
      </c>
      <c r="F202" s="121">
        <f>IFERROR(VLOOKUP($C202,'Miljövrärden urval för publ'!$B$2:$H$416,MATCH('Miljövärden för publ företag'!F$4,'Miljövrärden urval för publ'!$B$2:$H$2,0),FALSE),"")</f>
        <v>17.4907</v>
      </c>
      <c r="G202" s="121">
        <f>IFERROR(VLOOKUP($C202,'Miljövrärden urval för publ'!$B$2:$H$416,MATCH('Miljövärden för publ företag'!G$4,'Miljövrärden urval för publ'!$B$2:$H$2,0),FALSE),"")</f>
        <v>3.1701600000000003E-2</v>
      </c>
      <c r="J202" s="121">
        <f t="shared" si="14"/>
        <v>81</v>
      </c>
      <c r="M202" s="121">
        <v>198</v>
      </c>
      <c r="N202" s="121" t="str">
        <f t="shared" si="15"/>
        <v/>
      </c>
      <c r="P202" s="296">
        <f t="shared" si="16"/>
        <v>0</v>
      </c>
      <c r="Q202" s="290" t="str">
        <f t="shared" si="13"/>
        <v/>
      </c>
    </row>
    <row r="203" spans="1:17" x14ac:dyDescent="0.25">
      <c r="A203" s="121">
        <v>200</v>
      </c>
      <c r="B203" s="121" t="str">
        <f>IFERROR(INDEX('Miljövrärden urval för publ'!$A$2:$AA$419,MATCH('Miljövärden för publ företag'!$A203,'Miljövrärden urval för publ'!$R$2:$R$416,0),1),"")</f>
        <v>Nässjö Affärsverk AB</v>
      </c>
      <c r="C203" s="121" t="str">
        <f>IFERROR(INDEX('Miljövrärden urval för publ'!$A$2:$AA$419,MATCH('Miljövärden för publ företag'!$A203,'Miljövrärden urval för publ'!$R$2:$R$416,0),2),"")</f>
        <v>Bodafors</v>
      </c>
      <c r="D203" s="121">
        <f>IFERROR(VLOOKUP($C203,'Miljövrärden urval för publ'!$B$2:$H$416,MATCH('Miljövärden för publ företag'!D$4,'Miljövrärden urval för publ'!$B$2:$H$2,0),FALSE),"")</f>
        <v>0.13469500000000001</v>
      </c>
      <c r="E203" s="121">
        <f>IFERROR(VLOOKUP($C203,'Miljövrärden urval för publ'!$B$2:$H$416,MATCH('Miljövärden för publ företag'!E$4,'Miljövrärden urval för publ'!$B$2:$H$2,0),FALSE),"")</f>
        <v>15.0657</v>
      </c>
      <c r="F203" s="121">
        <f>IFERROR(VLOOKUP($C203,'Miljövrärden urval för publ'!$B$2:$H$416,MATCH('Miljövärden för publ företag'!F$4,'Miljövrärden urval för publ'!$B$2:$H$2,0),FALSE),"")</f>
        <v>8.4077699999999993</v>
      </c>
      <c r="G203" s="121">
        <f>IFERROR(VLOOKUP($C203,'Miljövrärden urval för publ'!$B$2:$H$416,MATCH('Miljövärden för publ företag'!G$4,'Miljövrärden urval för publ'!$B$2:$H$2,0),FALSE),"")</f>
        <v>3.1463600000000001E-2</v>
      </c>
      <c r="J203" s="121">
        <f t="shared" si="14"/>
        <v>81</v>
      </c>
      <c r="M203" s="121">
        <v>199</v>
      </c>
      <c r="N203" s="121" t="str">
        <f t="shared" si="15"/>
        <v/>
      </c>
      <c r="P203" s="296">
        <f t="shared" si="16"/>
        <v>0</v>
      </c>
      <c r="Q203" s="290" t="str">
        <f t="shared" si="13"/>
        <v/>
      </c>
    </row>
    <row r="204" spans="1:17" x14ac:dyDescent="0.25">
      <c r="A204" s="121">
        <v>201</v>
      </c>
      <c r="B204" s="121" t="str">
        <f>IFERROR(INDEX('Miljövrärden urval för publ'!$A$2:$AA$419,MATCH('Miljövärden för publ företag'!$A204,'Miljövrärden urval för publ'!$R$2:$R$416,0),1),"")</f>
        <v>Nässjö Affärsverk AB</v>
      </c>
      <c r="C204" s="121" t="str">
        <f>IFERROR(INDEX('Miljövrärden urval för publ'!$A$2:$AA$419,MATCH('Miljövärden för publ företag'!$A204,'Miljövrärden urval för publ'!$R$2:$R$416,0),2),"")</f>
        <v>Nässjö</v>
      </c>
      <c r="D204" s="121">
        <f>IFERROR(VLOOKUP($C204,'Miljövrärden urval för publ'!$B$2:$H$416,MATCH('Miljövärden för publ företag'!D$4,'Miljövrärden urval för publ'!$B$2:$H$2,0),FALSE),"")</f>
        <v>0.114214</v>
      </c>
      <c r="E204" s="121">
        <f>IFERROR(VLOOKUP($C204,'Miljövrärden urval för publ'!$B$2:$H$416,MATCH('Miljövärden för publ företag'!E$4,'Miljövrärden urval för publ'!$B$2:$H$2,0),FALSE),"")</f>
        <v>15.705299999999999</v>
      </c>
      <c r="F204" s="121">
        <f>IFERROR(VLOOKUP($C204,'Miljövrärden urval för publ'!$B$2:$H$416,MATCH('Miljövärden för publ företag'!F$4,'Miljövrärden urval för publ'!$B$2:$H$2,0),FALSE),"")</f>
        <v>7.0085300000000004</v>
      </c>
      <c r="G204" s="121">
        <f>IFERROR(VLOOKUP($C204,'Miljövrärden urval för publ'!$B$2:$H$416,MATCH('Miljövärden för publ företag'!G$4,'Miljövrärden urval för publ'!$B$2:$H$2,0),FALSE),"")</f>
        <v>4.0208099999999997E-2</v>
      </c>
      <c r="J204" s="121">
        <f t="shared" si="14"/>
        <v>81</v>
      </c>
      <c r="M204" s="121">
        <v>200</v>
      </c>
      <c r="N204" s="121" t="str">
        <f t="shared" si="15"/>
        <v/>
      </c>
      <c r="P204" s="296">
        <f t="shared" si="16"/>
        <v>0</v>
      </c>
      <c r="Q204" s="290" t="str">
        <f t="shared" si="13"/>
        <v/>
      </c>
    </row>
    <row r="205" spans="1:17" x14ac:dyDescent="0.25">
      <c r="A205" s="121">
        <v>202</v>
      </c>
      <c r="B205" s="121" t="str">
        <f>IFERROR(INDEX('Miljövrärden urval för publ'!$A$2:$AA$419,MATCH('Miljövärden för publ företag'!$A205,'Miljövrärden urval för publ'!$R$2:$R$416,0),1),"")</f>
        <v>Olofströms Kraft AB</v>
      </c>
      <c r="C205" s="121" t="str">
        <f>IFERROR(INDEX('Miljövrärden urval för publ'!$A$2:$AA$419,MATCH('Miljövärden för publ företag'!$A205,'Miljövrärden urval för publ'!$R$2:$R$416,0),2),"")</f>
        <v>Olofström</v>
      </c>
      <c r="D205" s="121">
        <f>IFERROR(VLOOKUP($C205,'Miljövrärden urval för publ'!$B$2:$H$416,MATCH('Miljövärden för publ företag'!D$4,'Miljövrärden urval för publ'!$B$2:$H$2,0),FALSE),"")</f>
        <v>8.4718399999999999E-2</v>
      </c>
      <c r="E205" s="121">
        <f>IFERROR(VLOOKUP($C205,'Miljövrärden urval för publ'!$B$2:$H$416,MATCH('Miljövärden för publ företag'!E$4,'Miljövrärden urval för publ'!$B$2:$H$2,0),FALSE),"")</f>
        <v>3.65347</v>
      </c>
      <c r="F205" s="121">
        <f>IFERROR(VLOOKUP($C205,'Miljövrärden urval för publ'!$B$2:$H$416,MATCH('Miljövärden för publ företag'!F$4,'Miljövrärden urval för publ'!$B$2:$H$2,0),FALSE),"")</f>
        <v>7.5244900000000001</v>
      </c>
      <c r="G205" s="121">
        <f>IFERROR(VLOOKUP($C205,'Miljövrärden urval för publ'!$B$2:$H$416,MATCH('Miljövärden för publ företag'!G$4,'Miljövrärden urval för publ'!$B$2:$H$2,0),FALSE),"")</f>
        <v>0</v>
      </c>
      <c r="J205" s="121">
        <f t="shared" si="14"/>
        <v>82</v>
      </c>
      <c r="M205" s="121">
        <v>201</v>
      </c>
      <c r="N205" s="121" t="str">
        <f t="shared" si="15"/>
        <v/>
      </c>
      <c r="P205" s="296">
        <f t="shared" si="16"/>
        <v>0</v>
      </c>
      <c r="Q205" s="290" t="str">
        <f t="shared" si="13"/>
        <v/>
      </c>
    </row>
    <row r="206" spans="1:17" x14ac:dyDescent="0.25">
      <c r="A206" s="121">
        <v>203</v>
      </c>
      <c r="B206" s="121" t="str">
        <f>IFERROR(INDEX('Miljövrärden urval för publ'!$A$2:$AA$419,MATCH('Miljövärden för publ företag'!$A206,'Miljövrärden urval för publ'!$R$2:$R$416,0),1),"")</f>
        <v>Oskarshamn Energi AB</v>
      </c>
      <c r="C206" s="121" t="str">
        <f>IFERROR(INDEX('Miljövrärden urval för publ'!$A$2:$AA$419,MATCH('Miljövärden för publ företag'!$A206,'Miljövrärden urval för publ'!$R$2:$R$416,0),2),"")</f>
        <v>Oskarshamn</v>
      </c>
      <c r="D206" s="121">
        <f>IFERROR(VLOOKUP($C206,'Miljövrärden urval för publ'!$B$2:$H$416,MATCH('Miljövärden för publ företag'!D$4,'Miljövrärden urval för publ'!$B$2:$H$2,0),FALSE),"")</f>
        <v>9.8822300000000002E-2</v>
      </c>
      <c r="E206" s="121">
        <f>IFERROR(VLOOKUP($C206,'Miljövrärden urval för publ'!$B$2:$H$416,MATCH('Miljövärden för publ företag'!E$4,'Miljövrärden urval för publ'!$B$2:$H$2,0),FALSE),"")</f>
        <v>4.5609599999999997</v>
      </c>
      <c r="F206" s="121">
        <f>IFERROR(VLOOKUP($C206,'Miljövrärden urval för publ'!$B$2:$H$416,MATCH('Miljövärden för publ företag'!F$4,'Miljövrärden urval för publ'!$B$2:$H$2,0),FALSE),"")</f>
        <v>7.3961399999999999</v>
      </c>
      <c r="G206" s="121">
        <f>IFERROR(VLOOKUP($C206,'Miljövrärden urval för publ'!$B$2:$H$416,MATCH('Miljövärden för publ företag'!G$4,'Miljövrärden urval för publ'!$B$2:$H$2,0),FALSE),"")</f>
        <v>1.6423500000000001E-3</v>
      </c>
      <c r="J206" s="121">
        <f t="shared" si="14"/>
        <v>83</v>
      </c>
      <c r="M206" s="121">
        <v>202</v>
      </c>
      <c r="N206" s="121" t="str">
        <f t="shared" si="15"/>
        <v/>
      </c>
      <c r="P206" s="296">
        <f t="shared" si="16"/>
        <v>0</v>
      </c>
      <c r="Q206" s="290" t="str">
        <f t="shared" si="13"/>
        <v/>
      </c>
    </row>
    <row r="207" spans="1:17" x14ac:dyDescent="0.25">
      <c r="A207" s="121">
        <v>204</v>
      </c>
      <c r="B207" s="121" t="str">
        <f>IFERROR(INDEX('Miljövrärden urval för publ'!$A$2:$AA$419,MATCH('Miljövärden för publ företag'!$A207,'Miljövrärden urval för publ'!$R$2:$R$416,0),1),"")</f>
        <v>Oxelö Energi AB</v>
      </c>
      <c r="C207" s="121" t="str">
        <f>IFERROR(INDEX('Miljövrärden urval för publ'!$A$2:$AA$419,MATCH('Miljövärden för publ företag'!$A207,'Miljövrärden urval för publ'!$R$2:$R$416,0),2),"")</f>
        <v>Oxelösund</v>
      </c>
      <c r="D207" s="121">
        <f>IFERROR(VLOOKUP($C207,'Miljövrärden urval för publ'!$B$2:$H$416,MATCH('Miljövärden för publ företag'!D$4,'Miljövrärden urval för publ'!$B$2:$H$2,0),FALSE),"")</f>
        <v>7.8412899999999994E-2</v>
      </c>
      <c r="E207" s="121">
        <f>IFERROR(VLOOKUP($C207,'Miljövrärden urval för publ'!$B$2:$H$416,MATCH('Miljövärden för publ företag'!E$4,'Miljövrärden urval för publ'!$B$2:$H$2,0),FALSE),"")</f>
        <v>12.148400000000001</v>
      </c>
      <c r="F207" s="121">
        <f>IFERROR(VLOOKUP($C207,'Miljövrärden urval för publ'!$B$2:$H$416,MATCH('Miljövärden för publ företag'!F$4,'Miljövrärden urval för publ'!$B$2:$H$2,0),FALSE),"")</f>
        <v>0.18656200000000001</v>
      </c>
      <c r="G207" s="121">
        <f>IFERROR(VLOOKUP($C207,'Miljövrärden urval för publ'!$B$2:$H$416,MATCH('Miljövärden för publ företag'!G$4,'Miljövrärden urval för publ'!$B$2:$H$2,0),FALSE),"")</f>
        <v>1.73612E-2</v>
      </c>
      <c r="J207" s="121">
        <f t="shared" si="14"/>
        <v>84</v>
      </c>
      <c r="M207" s="121">
        <v>203</v>
      </c>
      <c r="N207" s="121" t="str">
        <f t="shared" si="15"/>
        <v/>
      </c>
      <c r="P207" s="296">
        <f t="shared" si="16"/>
        <v>0</v>
      </c>
      <c r="Q207" s="290" t="str">
        <f t="shared" si="13"/>
        <v/>
      </c>
    </row>
    <row r="208" spans="1:17" x14ac:dyDescent="0.25">
      <c r="A208" s="121">
        <v>205</v>
      </c>
      <c r="B208" s="121" t="str">
        <f>IFERROR(INDEX('Miljövrärden urval för publ'!$A$2:$AA$419,MATCH('Miljövärden för publ företag'!$A208,'Miljövrärden urval för publ'!$R$2:$R$416,0),1),"")</f>
        <v>Partille Energi AB</v>
      </c>
      <c r="C208" s="121" t="str">
        <f>IFERROR(INDEX('Miljövrärden urval för publ'!$A$2:$AA$419,MATCH('Miljövärden för publ företag'!$A208,'Miljövrärden urval för publ'!$R$2:$R$416,0),2),"")</f>
        <v>Partille</v>
      </c>
      <c r="D208" s="121">
        <f>IFERROR(VLOOKUP($C208,'Miljövrärden urval för publ'!$B$2:$H$416,MATCH('Miljövärden för publ företag'!D$4,'Miljövrärden urval för publ'!$B$2:$H$2,0),FALSE),"")</f>
        <v>0.21645600000000001</v>
      </c>
      <c r="E208" s="121">
        <f>IFERROR(VLOOKUP($C208,'Miljövrärden urval för publ'!$B$2:$H$416,MATCH('Miljövärden för publ företag'!E$4,'Miljövrärden urval för publ'!$B$2:$H$2,0),FALSE),"")</f>
        <v>64.936700000000002</v>
      </c>
      <c r="F208" s="121">
        <f>IFERROR(VLOOKUP($C208,'Miljövrärden urval för publ'!$B$2:$H$416,MATCH('Miljövärden för publ företag'!F$4,'Miljövrärden urval för publ'!$B$2:$H$2,0),FALSE),"")</f>
        <v>8.6582299999999996</v>
      </c>
      <c r="G208" s="121">
        <f>IFERROR(VLOOKUP($C208,'Miljövrärden urval för publ'!$B$2:$H$416,MATCH('Miljövärden för publ företag'!G$4,'Miljövrärden urval för publ'!$B$2:$H$2,0),FALSE),"")</f>
        <v>0.12</v>
      </c>
      <c r="J208" s="121">
        <f t="shared" si="14"/>
        <v>85</v>
      </c>
      <c r="M208" s="121">
        <v>204</v>
      </c>
      <c r="N208" s="121" t="str">
        <f t="shared" si="15"/>
        <v/>
      </c>
      <c r="P208" s="296">
        <f t="shared" si="16"/>
        <v>0</v>
      </c>
      <c r="Q208" s="290" t="str">
        <f t="shared" si="13"/>
        <v/>
      </c>
    </row>
    <row r="209" spans="1:17" x14ac:dyDescent="0.25">
      <c r="A209" s="121">
        <v>206</v>
      </c>
      <c r="B209" s="121" t="str">
        <f>IFERROR(INDEX('Miljövrärden urval för publ'!$A$2:$AA$419,MATCH('Miljövärden för publ företag'!$A209,'Miljövrärden urval för publ'!$R$2:$R$416,0),1),"")</f>
        <v>Perstorps Fjärrvärme AB</v>
      </c>
      <c r="C209" s="121" t="str">
        <f>IFERROR(INDEX('Miljövrärden urval för publ'!$A$2:$AA$419,MATCH('Miljövärden för publ företag'!$A209,'Miljövrärden urval för publ'!$R$2:$R$416,0),2),"")</f>
        <v>Perstorp</v>
      </c>
      <c r="D209" s="121">
        <f>IFERROR(VLOOKUP($C209,'Miljövrärden urval för publ'!$B$2:$H$416,MATCH('Miljövärden för publ företag'!D$4,'Miljövrärden urval för publ'!$B$2:$H$2,0),FALSE),"")</f>
        <v>9.6884300000000007E-2</v>
      </c>
      <c r="E209" s="121">
        <f>IFERROR(VLOOKUP($C209,'Miljövrärden urval för publ'!$B$2:$H$416,MATCH('Miljövärden för publ företag'!E$4,'Miljövrärden urval för publ'!$B$2:$H$2,0),FALSE),"")</f>
        <v>4.4901299999999997</v>
      </c>
      <c r="F209" s="121">
        <f>IFERROR(VLOOKUP($C209,'Miljövrärden urval för publ'!$B$2:$H$416,MATCH('Miljövärden för publ företag'!F$4,'Miljövrärden urval för publ'!$B$2:$H$2,0),FALSE),"")</f>
        <v>9.3224</v>
      </c>
      <c r="G209" s="121">
        <f>IFERROR(VLOOKUP($C209,'Miljövrärden urval för publ'!$B$2:$H$416,MATCH('Miljövärden för publ företag'!G$4,'Miljövrärden urval för publ'!$B$2:$H$2,0),FALSE),"")</f>
        <v>1.63948E-4</v>
      </c>
      <c r="J209" s="121">
        <f t="shared" si="14"/>
        <v>86</v>
      </c>
      <c r="M209" s="121">
        <v>205</v>
      </c>
      <c r="N209" s="121" t="str">
        <f t="shared" si="15"/>
        <v/>
      </c>
      <c r="P209" s="296">
        <f t="shared" si="16"/>
        <v>0</v>
      </c>
      <c r="Q209" s="290" t="str">
        <f t="shared" si="13"/>
        <v/>
      </c>
    </row>
    <row r="210" spans="1:17" x14ac:dyDescent="0.25">
      <c r="A210" s="121">
        <v>207</v>
      </c>
      <c r="B210" s="121" t="str">
        <f>IFERROR(INDEX('Miljövrärden urval för publ'!$A$2:$AA$419,MATCH('Miljövärden för publ företag'!$A210,'Miljövrärden urval för publ'!$R$2:$R$416,0),1),"")</f>
        <v>PiteEnergi AB</v>
      </c>
      <c r="C210" s="121" t="str">
        <f>IFERROR(INDEX('Miljövrärden urval för publ'!$A$2:$AA$419,MATCH('Miljövärden för publ företag'!$A210,'Miljövrärden urval för publ'!$R$2:$R$416,0),2),"")</f>
        <v>Norrfjärden</v>
      </c>
      <c r="D210" s="121">
        <f>IFERROR(VLOOKUP($C210,'Miljövrärden urval för publ'!$B$2:$H$416,MATCH('Miljövärden för publ företag'!D$4,'Miljövrärden urval för publ'!$B$2:$H$2,0),FALSE),"")</f>
        <v>0.27860000000000001</v>
      </c>
      <c r="E210" s="121">
        <f>IFERROR(VLOOKUP($C210,'Miljövrärden urval för publ'!$B$2:$H$416,MATCH('Miljövärden för publ företag'!E$4,'Miljövrärden urval för publ'!$B$2:$H$2,0),FALSE),"")</f>
        <v>4.9865300000000001</v>
      </c>
      <c r="F210" s="121">
        <f>IFERROR(VLOOKUP($C210,'Miljövrärden urval för publ'!$B$2:$H$416,MATCH('Miljövärden för publ företag'!F$4,'Miljövrärden urval för publ'!$B$2:$H$2,0),FALSE),"")</f>
        <v>16.878499999999999</v>
      </c>
      <c r="G210" s="121">
        <f>IFERROR(VLOOKUP($C210,'Miljövrärden urval för publ'!$B$2:$H$416,MATCH('Miljövärden för publ företag'!G$4,'Miljövrärden urval för publ'!$B$2:$H$2,0),FALSE),"")</f>
        <v>4.68858E-4</v>
      </c>
      <c r="J210" s="121">
        <f t="shared" si="14"/>
        <v>87</v>
      </c>
      <c r="M210" s="121">
        <v>206</v>
      </c>
      <c r="N210" s="121" t="str">
        <f t="shared" si="15"/>
        <v/>
      </c>
      <c r="P210" s="296">
        <f t="shared" si="16"/>
        <v>0</v>
      </c>
      <c r="Q210" s="290" t="str">
        <f t="shared" si="13"/>
        <v/>
      </c>
    </row>
    <row r="211" spans="1:17" x14ac:dyDescent="0.25">
      <c r="A211" s="121">
        <v>208</v>
      </c>
      <c r="B211" s="121" t="str">
        <f>IFERROR(INDEX('Miljövrärden urval för publ'!$A$2:$AA$419,MATCH('Miljövärden för publ företag'!$A211,'Miljövrärden urval för publ'!$R$2:$R$416,0),1),"")</f>
        <v>PiteEnergi AB</v>
      </c>
      <c r="C211" s="121" t="str">
        <f>IFERROR(INDEX('Miljövrärden urval för publ'!$A$2:$AA$419,MATCH('Miljövärden för publ företag'!$A211,'Miljövrärden urval för publ'!$R$2:$R$416,0),2),"")</f>
        <v>Piteå</v>
      </c>
      <c r="D211" s="121">
        <f>IFERROR(VLOOKUP($C211,'Miljövrärden urval för publ'!$B$2:$H$416,MATCH('Miljövärden för publ företag'!D$4,'Miljövrärden urval för publ'!$B$2:$H$2,0),FALSE),"")</f>
        <v>1.24402E-2</v>
      </c>
      <c r="E211" s="121">
        <f>IFERROR(VLOOKUP($C211,'Miljövrärden urval för publ'!$B$2:$H$416,MATCH('Miljövärden för publ företag'!E$4,'Miljövrärden urval för publ'!$B$2:$H$2,0),FALSE),"")</f>
        <v>0.85469200000000001</v>
      </c>
      <c r="F211" s="121">
        <f>IFERROR(VLOOKUP($C211,'Miljövrärden urval för publ'!$B$2:$H$416,MATCH('Miljövärden för publ företag'!F$4,'Miljövrärden urval för publ'!$B$2:$H$2,0),FALSE),"")</f>
        <v>6.9886500000000004E-2</v>
      </c>
      <c r="G211" s="121">
        <f>IFERROR(VLOOKUP($C211,'Miljövrärden urval för publ'!$B$2:$H$416,MATCH('Miljövärden för publ företag'!G$4,'Miljövrärden urval för publ'!$B$2:$H$2,0),FALSE),"")</f>
        <v>2.6485599999999999E-3</v>
      </c>
      <c r="J211" s="121">
        <f t="shared" si="14"/>
        <v>87</v>
      </c>
      <c r="M211" s="121">
        <v>207</v>
      </c>
      <c r="N211" s="121" t="str">
        <f t="shared" si="15"/>
        <v/>
      </c>
      <c r="P211" s="296">
        <f t="shared" si="16"/>
        <v>0</v>
      </c>
      <c r="Q211" s="290" t="str">
        <f t="shared" si="13"/>
        <v/>
      </c>
    </row>
    <row r="212" spans="1:17" x14ac:dyDescent="0.25">
      <c r="A212" s="121">
        <v>209</v>
      </c>
      <c r="B212" s="121" t="str">
        <f>IFERROR(INDEX('Miljövrärden urval för publ'!$A$2:$AA$419,MATCH('Miljövärden för publ företag'!$A212,'Miljövrärden urval för publ'!$R$2:$R$416,0),1),"")</f>
        <v>PiteEnergi AB</v>
      </c>
      <c r="C212" s="121" t="str">
        <f>IFERROR(INDEX('Miljövrärden urval för publ'!$A$2:$AA$419,MATCH('Miljövärden för publ företag'!$A212,'Miljövrärden urval för publ'!$R$2:$R$416,0),2),"")</f>
        <v>Rosvik</v>
      </c>
      <c r="D212" s="121">
        <f>IFERROR(VLOOKUP($C212,'Miljövrärden urval för publ'!$B$2:$H$416,MATCH('Miljövärden för publ företag'!D$4,'Miljövrärden urval för publ'!$B$2:$H$2,0),FALSE),"")</f>
        <v>7.4593099999999996E-2</v>
      </c>
      <c r="E212" s="121">
        <f>IFERROR(VLOOKUP($C212,'Miljövrärden urval för publ'!$B$2:$H$416,MATCH('Miljövärden för publ företag'!E$4,'Miljövrärden urval för publ'!$B$2:$H$2,0),FALSE),"")</f>
        <v>5.54575</v>
      </c>
      <c r="F212" s="121">
        <f>IFERROR(VLOOKUP($C212,'Miljövrärden urval för publ'!$B$2:$H$416,MATCH('Miljövärden för publ företag'!F$4,'Miljövrärden urval för publ'!$B$2:$H$2,0),FALSE),"")</f>
        <v>9.7050400000000003</v>
      </c>
      <c r="G212" s="121">
        <f>IFERROR(VLOOKUP($C212,'Miljövrärden urval för publ'!$B$2:$H$416,MATCH('Miljövärden för publ företag'!G$4,'Miljövrärden urval för publ'!$B$2:$H$2,0),FALSE),"")</f>
        <v>0</v>
      </c>
      <c r="J212" s="121">
        <f t="shared" si="14"/>
        <v>87</v>
      </c>
      <c r="M212" s="121">
        <v>208</v>
      </c>
      <c r="N212" s="121" t="str">
        <f t="shared" si="15"/>
        <v/>
      </c>
      <c r="P212" s="296">
        <f t="shared" si="16"/>
        <v>0</v>
      </c>
      <c r="Q212" s="290" t="str">
        <f t="shared" si="13"/>
        <v/>
      </c>
    </row>
    <row r="213" spans="1:17" x14ac:dyDescent="0.25">
      <c r="A213" s="121">
        <v>210</v>
      </c>
      <c r="B213" s="121" t="str">
        <f>IFERROR(INDEX('Miljövrärden urval för publ'!$A$2:$AA$419,MATCH('Miljövärden för publ företag'!$A213,'Miljövrärden urval för publ'!$R$2:$R$416,0),1),"")</f>
        <v>PiteEnergi AB</v>
      </c>
      <c r="C213" s="121" t="str">
        <f>IFERROR(INDEX('Miljövrärden urval för publ'!$A$2:$AA$419,MATCH('Miljövärden för publ företag'!$A213,'Miljövrärden urval för publ'!$R$2:$R$416,0),2),"")</f>
        <v>Sjulnäs</v>
      </c>
      <c r="D213" s="121">
        <f>IFERROR(VLOOKUP($C213,'Miljövrärden urval för publ'!$B$2:$H$416,MATCH('Miljövärden för publ företag'!D$4,'Miljövrärden urval för publ'!$B$2:$H$2,0),FALSE),"")</f>
        <v>0.34536800000000001</v>
      </c>
      <c r="E213" s="121">
        <f>IFERROR(VLOOKUP($C213,'Miljövrärden urval för publ'!$B$2:$H$416,MATCH('Miljövärden för publ företag'!E$4,'Miljövrärden urval för publ'!$B$2:$H$2,0),FALSE),"")</f>
        <v>14.4038</v>
      </c>
      <c r="F213" s="121">
        <f>IFERROR(VLOOKUP($C213,'Miljövrärden urval för publ'!$B$2:$H$416,MATCH('Miljövärden för publ företag'!F$4,'Miljövrärden urval för publ'!$B$2:$H$2,0),FALSE),"")</f>
        <v>16.666</v>
      </c>
      <c r="G213" s="121">
        <f>IFERROR(VLOOKUP($C213,'Miljövrärden urval för publ'!$B$2:$H$416,MATCH('Miljövärden för publ företag'!G$4,'Miljövrärden urval för publ'!$B$2:$H$2,0),FALSE),"")</f>
        <v>2.76402E-2</v>
      </c>
      <c r="J213" s="121">
        <f t="shared" si="14"/>
        <v>87</v>
      </c>
      <c r="M213" s="121">
        <v>209</v>
      </c>
      <c r="N213" s="121" t="str">
        <f t="shared" si="15"/>
        <v/>
      </c>
      <c r="P213" s="296">
        <f t="shared" si="16"/>
        <v>0</v>
      </c>
      <c r="Q213" s="290" t="str">
        <f t="shared" si="13"/>
        <v/>
      </c>
    </row>
    <row r="214" spans="1:17" x14ac:dyDescent="0.25">
      <c r="A214" s="121">
        <v>211</v>
      </c>
      <c r="B214" s="121" t="str">
        <f>IFERROR(INDEX('Miljövrärden urval för publ'!$A$2:$AA$419,MATCH('Miljövärden för publ företag'!$A214,'Miljövrärden urval för publ'!$R$2:$R$416,0),1),"")</f>
        <v>Ronneby Miljö och Teknik AB</v>
      </c>
      <c r="C214" s="121" t="str">
        <f>IFERROR(INDEX('Miljövrärden urval för publ'!$A$2:$AA$419,MATCH('Miljövärden för publ företag'!$A214,'Miljövrärden urval för publ'!$R$2:$R$416,0),2),"")</f>
        <v>Bräkne-Hoby</v>
      </c>
      <c r="D214" s="121">
        <f>IFERROR(VLOOKUP($C214,'Miljövrärden urval för publ'!$B$2:$H$416,MATCH('Miljövärden för publ företag'!D$4,'Miljövrärden urval för publ'!$B$2:$H$2,0),FALSE),"")</f>
        <v>0.10263600000000001</v>
      </c>
      <c r="E214" s="121">
        <f>IFERROR(VLOOKUP($C214,'Miljövrärden urval för publ'!$B$2:$H$416,MATCH('Miljövärden för publ företag'!E$4,'Miljövrärden urval för publ'!$B$2:$H$2,0),FALSE),"")</f>
        <v>10.5505</v>
      </c>
      <c r="F214" s="121">
        <f>IFERROR(VLOOKUP($C214,'Miljövrärden urval för publ'!$B$2:$H$416,MATCH('Miljövärden för publ företag'!F$4,'Miljövrärden urval för publ'!$B$2:$H$2,0),FALSE),"")</f>
        <v>13.9602</v>
      </c>
      <c r="G214" s="121">
        <f>IFERROR(VLOOKUP($C214,'Miljövrärden urval för publ'!$B$2:$H$416,MATCH('Miljövärden för publ företag'!G$4,'Miljövrärden urval för publ'!$B$2:$H$2,0),FALSE),"")</f>
        <v>6.7081099999999998E-3</v>
      </c>
      <c r="J214" s="121">
        <f t="shared" si="14"/>
        <v>88</v>
      </c>
      <c r="M214" s="121">
        <v>210</v>
      </c>
      <c r="N214" s="121" t="str">
        <f t="shared" si="15"/>
        <v/>
      </c>
      <c r="P214" s="296">
        <f t="shared" si="16"/>
        <v>0</v>
      </c>
      <c r="Q214" s="290" t="str">
        <f t="shared" si="13"/>
        <v/>
      </c>
    </row>
    <row r="215" spans="1:17" x14ac:dyDescent="0.25">
      <c r="A215" s="121">
        <v>212</v>
      </c>
      <c r="B215" s="121" t="str">
        <f>IFERROR(INDEX('Miljövrärden urval för publ'!$A$2:$AA$419,MATCH('Miljövärden för publ företag'!$A215,'Miljövrärden urval för publ'!$R$2:$R$416,0),1),"")</f>
        <v>Ronneby Miljö och Teknik AB</v>
      </c>
      <c r="C215" s="121" t="str">
        <f>IFERROR(INDEX('Miljövrärden urval för publ'!$A$2:$AA$419,MATCH('Miljövärden för publ företag'!$A215,'Miljövrärden urval för publ'!$R$2:$R$416,0),2),"")</f>
        <v>Ronneby-Kallinge</v>
      </c>
      <c r="D215" s="121">
        <f>IFERROR(VLOOKUP($C215,'Miljövrärden urval för publ'!$B$2:$H$416,MATCH('Miljövärden för publ företag'!D$4,'Miljövrärden urval för publ'!$B$2:$H$2,0),FALSE),"")</f>
        <v>0.1229</v>
      </c>
      <c r="E215" s="121">
        <f>IFERROR(VLOOKUP($C215,'Miljövrärden urval för publ'!$B$2:$H$416,MATCH('Miljövärden för publ företag'!E$4,'Miljövrärden urval för publ'!$B$2:$H$2,0),FALSE),"")</f>
        <v>12.466799999999999</v>
      </c>
      <c r="F215" s="121">
        <f>IFERROR(VLOOKUP($C215,'Miljövrärden urval för publ'!$B$2:$H$416,MATCH('Miljövärden för publ företag'!F$4,'Miljövrärden urval för publ'!$B$2:$H$2,0),FALSE),"")</f>
        <v>12.1084</v>
      </c>
      <c r="G215" s="121">
        <f>IFERROR(VLOOKUP($C215,'Miljövrärden urval för publ'!$B$2:$H$416,MATCH('Miljövärden för publ företag'!G$4,'Miljövrärden urval för publ'!$B$2:$H$2,0),FALSE),"")</f>
        <v>2.1959699999999999E-2</v>
      </c>
      <c r="J215" s="121">
        <f t="shared" si="14"/>
        <v>88</v>
      </c>
      <c r="M215" s="121">
        <v>211</v>
      </c>
      <c r="N215" s="121" t="str">
        <f t="shared" si="15"/>
        <v/>
      </c>
      <c r="P215" s="296">
        <f t="shared" si="16"/>
        <v>0</v>
      </c>
      <c r="Q215" s="290" t="str">
        <f t="shared" si="13"/>
        <v/>
      </c>
    </row>
    <row r="216" spans="1:17" x14ac:dyDescent="0.25">
      <c r="A216" s="121">
        <v>213</v>
      </c>
      <c r="B216" s="121" t="str">
        <f>IFERROR(INDEX('Miljövrärden urval för publ'!$A$2:$AA$419,MATCH('Miljövärden för publ företag'!$A216,'Miljövrärden urval för publ'!$R$2:$R$416,0),1),"")</f>
        <v>Sala-Heby Energi AB</v>
      </c>
      <c r="C216" s="121" t="str">
        <f>IFERROR(INDEX('Miljövrärden urval för publ'!$A$2:$AA$419,MATCH('Miljövärden för publ företag'!$A216,'Miljövrärden urval för publ'!$R$2:$R$416,0),2),"")</f>
        <v>Sala-Heby</v>
      </c>
      <c r="D216" s="121">
        <f>IFERROR(VLOOKUP($C216,'Miljövrärden urval för publ'!$B$2:$H$416,MATCH('Miljövärden för publ företag'!D$4,'Miljövrärden urval för publ'!$B$2:$H$2,0),FALSE),"")</f>
        <v>8.1732100000000002E-2</v>
      </c>
      <c r="E216" s="121">
        <f>IFERROR(VLOOKUP($C216,'Miljövrärden urval för publ'!$B$2:$H$416,MATCH('Miljövärden för publ företag'!E$4,'Miljövrärden urval för publ'!$B$2:$H$2,0),FALSE),"")</f>
        <v>4.0972099999999996</v>
      </c>
      <c r="F216" s="121">
        <f>IFERROR(VLOOKUP($C216,'Miljövrärden urval för publ'!$B$2:$H$416,MATCH('Miljövärden för publ företag'!F$4,'Miljövrärden urval för publ'!$B$2:$H$2,0),FALSE),"")</f>
        <v>9.45791</v>
      </c>
      <c r="G216" s="121">
        <f>IFERROR(VLOOKUP($C216,'Miljövrärden urval för publ'!$B$2:$H$416,MATCH('Miljövärden för publ företag'!G$4,'Miljövrärden urval för publ'!$B$2:$H$2,0),FALSE),"")</f>
        <v>0</v>
      </c>
      <c r="J216" s="121">
        <f t="shared" si="14"/>
        <v>89</v>
      </c>
      <c r="M216" s="121">
        <v>212</v>
      </c>
      <c r="N216" s="121" t="str">
        <f t="shared" si="15"/>
        <v/>
      </c>
      <c r="P216" s="296">
        <f t="shared" si="16"/>
        <v>0</v>
      </c>
      <c r="Q216" s="290" t="str">
        <f t="shared" si="13"/>
        <v/>
      </c>
    </row>
    <row r="217" spans="1:17" x14ac:dyDescent="0.25">
      <c r="A217" s="121">
        <v>214</v>
      </c>
      <c r="B217" s="121" t="str">
        <f>IFERROR(INDEX('Miljövrärden urval för publ'!$A$2:$AA$419,MATCH('Miljövärden för publ företag'!$A217,'Miljövrärden urval för publ'!$R$2:$R$416,0),1),"")</f>
        <v>Sandviken Energi AB</v>
      </c>
      <c r="C217" s="121" t="str">
        <f>IFERROR(INDEX('Miljövrärden urval för publ'!$A$2:$AA$419,MATCH('Miljövärden för publ företag'!$A217,'Miljövrärden urval för publ'!$R$2:$R$416,0),2),"")</f>
        <v>Sandviken</v>
      </c>
      <c r="D217" s="121">
        <f>IFERROR(VLOOKUP($C217,'Miljövrärden urval för publ'!$B$2:$H$416,MATCH('Miljövärden för publ företag'!D$4,'Miljövrärden urval för publ'!$B$2:$H$2,0),FALSE),"")</f>
        <v>0.68839099999999998</v>
      </c>
      <c r="E217" s="121">
        <f>IFERROR(VLOOKUP($C217,'Miljövrärden urval för publ'!$B$2:$H$416,MATCH('Miljövärden för publ företag'!E$4,'Miljövrärden urval för publ'!$B$2:$H$2,0),FALSE),"")</f>
        <v>224.57</v>
      </c>
      <c r="F217" s="121">
        <f>IFERROR(VLOOKUP($C217,'Miljövrärden urval för publ'!$B$2:$H$416,MATCH('Miljövärden för publ företag'!F$4,'Miljövrärden urval för publ'!$B$2:$H$2,0),FALSE),"")</f>
        <v>27.3721</v>
      </c>
      <c r="G217" s="121">
        <f>IFERROR(VLOOKUP($C217,'Miljövrärden urval för publ'!$B$2:$H$416,MATCH('Miljövärden för publ företag'!G$4,'Miljövrärden urval för publ'!$B$2:$H$2,0),FALSE),"")</f>
        <v>1.8946899999999999E-2</v>
      </c>
      <c r="J217" s="121">
        <f t="shared" si="14"/>
        <v>90</v>
      </c>
      <c r="M217" s="121">
        <v>213</v>
      </c>
      <c r="N217" s="121" t="str">
        <f t="shared" si="15"/>
        <v/>
      </c>
      <c r="P217" s="296">
        <f t="shared" si="16"/>
        <v>0</v>
      </c>
      <c r="Q217" s="290" t="str">
        <f t="shared" si="13"/>
        <v/>
      </c>
    </row>
    <row r="218" spans="1:17" x14ac:dyDescent="0.25">
      <c r="A218" s="121">
        <v>215</v>
      </c>
      <c r="B218" s="121" t="str">
        <f>IFERROR(INDEX('Miljövrärden urval för publ'!$A$2:$AA$419,MATCH('Miljövärden för publ företag'!$A218,'Miljövrärden urval för publ'!$R$2:$R$416,0),1),"")</f>
        <v>SEVAB Strängnäs Energi AB</v>
      </c>
      <c r="C218" s="121" t="str">
        <f>IFERROR(INDEX('Miljövrärden urval för publ'!$A$2:$AA$419,MATCH('Miljövärden för publ företag'!$A218,'Miljövrärden urval för publ'!$R$2:$R$416,0),2),"")</f>
        <v>Strängnäs</v>
      </c>
      <c r="D218" s="121">
        <f>IFERROR(VLOOKUP($C218,'Miljövrärden urval för publ'!$B$2:$H$416,MATCH('Miljövärden för publ företag'!D$4,'Miljövrärden urval för publ'!$B$2:$H$2,0),FALSE),"")</f>
        <v>0.13877300000000001</v>
      </c>
      <c r="E218" s="121">
        <f>IFERROR(VLOOKUP($C218,'Miljövrärden urval för publ'!$B$2:$H$416,MATCH('Miljövärden för publ företag'!E$4,'Miljövrärden urval för publ'!$B$2:$H$2,0),FALSE),"")</f>
        <v>23.485900000000001</v>
      </c>
      <c r="F218" s="121">
        <f>IFERROR(VLOOKUP($C218,'Miljövrärden urval för publ'!$B$2:$H$416,MATCH('Miljövärden för publ företag'!F$4,'Miljövrärden urval för publ'!$B$2:$H$2,0),FALSE),"")</f>
        <v>7.16709</v>
      </c>
      <c r="G218" s="121">
        <f>IFERROR(VLOOKUP($C218,'Miljövrärden urval för publ'!$B$2:$H$416,MATCH('Miljövärden för publ företag'!G$4,'Miljövrärden urval för publ'!$B$2:$H$2,0),FALSE),"")</f>
        <v>5.3130700000000003E-2</v>
      </c>
      <c r="J218" s="121">
        <f t="shared" si="14"/>
        <v>91</v>
      </c>
      <c r="M218" s="121">
        <v>214</v>
      </c>
      <c r="N218" s="121" t="str">
        <f t="shared" si="15"/>
        <v/>
      </c>
      <c r="P218" s="296">
        <f t="shared" si="16"/>
        <v>0</v>
      </c>
      <c r="Q218" s="290" t="str">
        <f t="shared" si="13"/>
        <v/>
      </c>
    </row>
    <row r="219" spans="1:17" x14ac:dyDescent="0.25">
      <c r="A219" s="121">
        <v>216</v>
      </c>
      <c r="B219" s="121" t="str">
        <f>IFERROR(INDEX('Miljövrärden urval för publ'!$A$2:$AA$419,MATCH('Miljövärden för publ företag'!$A219,'Miljövrärden urval för publ'!$R$2:$R$416,0),1),"")</f>
        <v>Skara Energi AB</v>
      </c>
      <c r="C219" s="121" t="str">
        <f>IFERROR(INDEX('Miljövrärden urval för publ'!$A$2:$AA$419,MATCH('Miljövärden för publ företag'!$A219,'Miljövrärden urval för publ'!$R$2:$R$416,0),2),"")</f>
        <v>Skara</v>
      </c>
      <c r="D219" s="121">
        <f>IFERROR(VLOOKUP($C219,'Miljövrärden urval för publ'!$B$2:$H$416,MATCH('Miljövärden för publ företag'!D$4,'Miljövrärden urval för publ'!$B$2:$H$2,0),FALSE),"")</f>
        <v>8.95701E-2</v>
      </c>
      <c r="E219" s="121">
        <f>IFERROR(VLOOKUP($C219,'Miljövrärden urval för publ'!$B$2:$H$416,MATCH('Miljövärden för publ företag'!E$4,'Miljövrärden urval för publ'!$B$2:$H$2,0),FALSE),"")</f>
        <v>13.2515</v>
      </c>
      <c r="F219" s="121">
        <f>IFERROR(VLOOKUP($C219,'Miljövrärden urval för publ'!$B$2:$H$416,MATCH('Miljövärden för publ företag'!F$4,'Miljövrärden urval för publ'!$B$2:$H$2,0),FALSE),"")</f>
        <v>7.5135699999999996</v>
      </c>
      <c r="G219" s="121">
        <f>IFERROR(VLOOKUP($C219,'Miljövrärden urval för publ'!$B$2:$H$416,MATCH('Miljövärden för publ företag'!G$4,'Miljövrärden urval för publ'!$B$2:$H$2,0),FALSE),"")</f>
        <v>1.30572E-2</v>
      </c>
      <c r="J219" s="121">
        <f t="shared" si="14"/>
        <v>92</v>
      </c>
      <c r="M219" s="121">
        <v>215</v>
      </c>
      <c r="N219" s="121" t="str">
        <f t="shared" si="15"/>
        <v/>
      </c>
      <c r="P219" s="296">
        <f t="shared" si="16"/>
        <v>0</v>
      </c>
      <c r="Q219" s="290" t="str">
        <f t="shared" si="13"/>
        <v/>
      </c>
    </row>
    <row r="220" spans="1:17" x14ac:dyDescent="0.25">
      <c r="A220" s="121">
        <v>217</v>
      </c>
      <c r="B220" s="121" t="str">
        <f>IFERROR(INDEX('Miljövrärden urval för publ'!$A$2:$AA$419,MATCH('Miljövärden för publ företag'!$A220,'Miljövrärden urval för publ'!$R$2:$R$416,0),1),"")</f>
        <v>Skellefteå Kraft AB</v>
      </c>
      <c r="C220" s="121" t="str">
        <f>IFERROR(INDEX('Miljövrärden urval för publ'!$A$2:$AA$419,MATCH('Miljövärden för publ företag'!$A220,'Miljövrärden urval för publ'!$R$2:$R$416,0),2),"")</f>
        <v>Boliden</v>
      </c>
      <c r="D220" s="121">
        <f>IFERROR(VLOOKUP($C220,'Miljövrärden urval för publ'!$B$2:$H$416,MATCH('Miljövärden för publ företag'!D$4,'Miljövrärden urval för publ'!$B$2:$H$2,0),FALSE),"")</f>
        <v>0.16922799999999999</v>
      </c>
      <c r="E220" s="121">
        <f>IFERROR(VLOOKUP($C220,'Miljövrärden urval för publ'!$B$2:$H$416,MATCH('Miljövärden för publ företag'!E$4,'Miljövrärden urval för publ'!$B$2:$H$2,0),FALSE),"")</f>
        <v>10.456300000000001</v>
      </c>
      <c r="F220" s="121">
        <f>IFERROR(VLOOKUP($C220,'Miljövrärden urval för publ'!$B$2:$H$416,MATCH('Miljövärden för publ företag'!F$4,'Miljövrärden urval för publ'!$B$2:$H$2,0),FALSE),"")</f>
        <v>17.4726</v>
      </c>
      <c r="G220" s="121">
        <f>IFERROR(VLOOKUP($C220,'Miljövrärden urval för publ'!$B$2:$H$416,MATCH('Miljövärden för publ företag'!G$4,'Miljövrärden urval för publ'!$B$2:$H$2,0),FALSE),"")</f>
        <v>1.6661599999999999E-2</v>
      </c>
      <c r="J220" s="121">
        <f t="shared" si="14"/>
        <v>93</v>
      </c>
      <c r="M220" s="121">
        <v>216</v>
      </c>
      <c r="N220" s="121" t="str">
        <f t="shared" si="15"/>
        <v/>
      </c>
      <c r="P220" s="296">
        <f t="shared" si="16"/>
        <v>0</v>
      </c>
      <c r="Q220" s="290" t="str">
        <f t="shared" si="13"/>
        <v/>
      </c>
    </row>
    <row r="221" spans="1:17" x14ac:dyDescent="0.25">
      <c r="A221" s="121">
        <v>218</v>
      </c>
      <c r="B221" s="121" t="str">
        <f>IFERROR(INDEX('Miljövrärden urval för publ'!$A$2:$AA$419,MATCH('Miljövärden för publ företag'!$A221,'Miljövrärden urval för publ'!$R$2:$R$416,0),1),"")</f>
        <v>Skellefteå Kraft AB</v>
      </c>
      <c r="C221" s="121" t="str">
        <f>IFERROR(INDEX('Miljövrärden urval för publ'!$A$2:$AA$419,MATCH('Miljövärden för publ företag'!$A221,'Miljövrärden urval för publ'!$R$2:$R$416,0),2),"")</f>
        <v>Bureå</v>
      </c>
      <c r="D221" s="121">
        <f>IFERROR(VLOOKUP($C221,'Miljövrärden urval för publ'!$B$2:$H$416,MATCH('Miljövärden för publ företag'!D$4,'Miljövrärden urval för publ'!$B$2:$H$2,0),FALSE),"")</f>
        <v>0.164187</v>
      </c>
      <c r="E221" s="121">
        <f>IFERROR(VLOOKUP($C221,'Miljövrärden urval för publ'!$B$2:$H$416,MATCH('Miljövärden för publ företag'!E$4,'Miljövrärden urval för publ'!$B$2:$H$2,0),FALSE),"")</f>
        <v>7.4444999999999997</v>
      </c>
      <c r="F221" s="121">
        <f>IFERROR(VLOOKUP($C221,'Miljövrärden urval för publ'!$B$2:$H$416,MATCH('Miljövärden för publ företag'!F$4,'Miljövrärden urval för publ'!$B$2:$H$2,0),FALSE),"")</f>
        <v>18.71</v>
      </c>
      <c r="G221" s="121">
        <f>IFERROR(VLOOKUP($C221,'Miljövrärden urval för publ'!$B$2:$H$416,MATCH('Miljövärden för publ företag'!G$4,'Miljövrärden urval för publ'!$B$2:$H$2,0),FALSE),"")</f>
        <v>5.9619599999999997E-3</v>
      </c>
      <c r="J221" s="121">
        <f t="shared" si="14"/>
        <v>93</v>
      </c>
      <c r="M221" s="121">
        <v>217</v>
      </c>
      <c r="N221" s="121" t="str">
        <f t="shared" si="15"/>
        <v/>
      </c>
      <c r="P221" s="296">
        <f t="shared" si="16"/>
        <v>0</v>
      </c>
      <c r="Q221" s="290" t="str">
        <f t="shared" si="13"/>
        <v/>
      </c>
    </row>
    <row r="222" spans="1:17" x14ac:dyDescent="0.25">
      <c r="A222" s="121">
        <v>219</v>
      </c>
      <c r="B222" s="121" t="str">
        <f>IFERROR(INDEX('Miljövrärden urval för publ'!$A$2:$AA$419,MATCH('Miljövärden för publ företag'!$A222,'Miljövrärden urval för publ'!$R$2:$R$416,0),1),"")</f>
        <v>Skellefteå Kraft AB</v>
      </c>
      <c r="C222" s="121" t="str">
        <f>IFERROR(INDEX('Miljövrärden urval för publ'!$A$2:$AA$419,MATCH('Miljövärden för publ företag'!$A222,'Miljövrärden urval för publ'!$R$2:$R$416,0),2),"")</f>
        <v>Burträsk</v>
      </c>
      <c r="D222" s="121">
        <f>IFERROR(VLOOKUP($C222,'Miljövrärden urval för publ'!$B$2:$H$416,MATCH('Miljövärden för publ företag'!D$4,'Miljövrärden urval för publ'!$B$2:$H$2,0),FALSE),"")</f>
        <v>0.141929</v>
      </c>
      <c r="E222" s="121">
        <f>IFERROR(VLOOKUP($C222,'Miljövrärden urval för publ'!$B$2:$H$416,MATCH('Miljövärden för publ företag'!E$4,'Miljövrärden urval för publ'!$B$2:$H$2,0),FALSE),"")</f>
        <v>13.9908</v>
      </c>
      <c r="F222" s="121">
        <f>IFERROR(VLOOKUP($C222,'Miljövrärden urval för publ'!$B$2:$H$416,MATCH('Miljövärden för publ företag'!F$4,'Miljövrärden urval för publ'!$B$2:$H$2,0),FALSE),"")</f>
        <v>14.641999999999999</v>
      </c>
      <c r="G222" s="121">
        <f>IFERROR(VLOOKUP($C222,'Miljövrärden urval för publ'!$B$2:$H$416,MATCH('Miljövärden för publ företag'!G$4,'Miljövrärden urval för publ'!$B$2:$H$2,0),FALSE),"")</f>
        <v>2.31262E-2</v>
      </c>
      <c r="J222" s="121">
        <f t="shared" si="14"/>
        <v>93</v>
      </c>
      <c r="M222" s="121">
        <v>218</v>
      </c>
      <c r="N222" s="121" t="str">
        <f t="shared" si="15"/>
        <v/>
      </c>
      <c r="P222" s="296">
        <f t="shared" si="16"/>
        <v>0</v>
      </c>
      <c r="Q222" s="290" t="str">
        <f t="shared" si="13"/>
        <v/>
      </c>
    </row>
    <row r="223" spans="1:17" x14ac:dyDescent="0.25">
      <c r="A223" s="121">
        <v>220</v>
      </c>
      <c r="B223" s="121" t="str">
        <f>IFERROR(INDEX('Miljövrärden urval för publ'!$A$2:$AA$419,MATCH('Miljövärden för publ företag'!$A223,'Miljövrärden urval för publ'!$R$2:$R$416,0),1),"")</f>
        <v>Skellefteå Kraft AB</v>
      </c>
      <c r="C223" s="121" t="str">
        <f>IFERROR(INDEX('Miljövrärden urval för publ'!$A$2:$AA$419,MATCH('Miljövärden för publ företag'!$A223,'Miljövrärden urval för publ'!$R$2:$R$416,0),2),"")</f>
        <v>Byske</v>
      </c>
      <c r="D223" s="121">
        <f>IFERROR(VLOOKUP($C223,'Miljövrärden urval för publ'!$B$2:$H$416,MATCH('Miljövärden för publ företag'!D$4,'Miljövrärden urval för publ'!$B$2:$H$2,0),FALSE),"")</f>
        <v>0.156613</v>
      </c>
      <c r="E223" s="121">
        <f>IFERROR(VLOOKUP($C223,'Miljövrärden urval för publ'!$B$2:$H$416,MATCH('Miljövärden för publ företag'!E$4,'Miljövrärden urval för publ'!$B$2:$H$2,0),FALSE),"")</f>
        <v>8.8405900000000006</v>
      </c>
      <c r="F223" s="121">
        <f>IFERROR(VLOOKUP($C223,'Miljövrärden urval för publ'!$B$2:$H$416,MATCH('Miljövärden för publ företag'!F$4,'Miljövrärden urval för publ'!$B$2:$H$2,0),FALSE),"")</f>
        <v>17.2104</v>
      </c>
      <c r="G223" s="121">
        <f>IFERROR(VLOOKUP($C223,'Miljövrärden urval för publ'!$B$2:$H$416,MATCH('Miljövärden för publ företag'!G$4,'Miljövrärden urval för publ'!$B$2:$H$2,0),FALSE),"")</f>
        <v>1.21797E-2</v>
      </c>
      <c r="J223" s="121">
        <f t="shared" si="14"/>
        <v>93</v>
      </c>
      <c r="M223" s="121">
        <v>219</v>
      </c>
      <c r="N223" s="121" t="str">
        <f t="shared" si="15"/>
        <v/>
      </c>
      <c r="P223" s="296">
        <f t="shared" si="16"/>
        <v>0</v>
      </c>
      <c r="Q223" s="290" t="str">
        <f t="shared" si="13"/>
        <v/>
      </c>
    </row>
    <row r="224" spans="1:17" x14ac:dyDescent="0.25">
      <c r="A224" s="121">
        <v>221</v>
      </c>
      <c r="B224" s="121" t="str">
        <f>IFERROR(INDEX('Miljövrärden urval för publ'!$A$2:$AA$419,MATCH('Miljövärden för publ företag'!$A224,'Miljövrärden urval för publ'!$R$2:$R$416,0),1),"")</f>
        <v>Skellefteå Kraft AB</v>
      </c>
      <c r="C224" s="121" t="str">
        <f>IFERROR(INDEX('Miljövrärden urval för publ'!$A$2:$AA$419,MATCH('Miljövärden för publ företag'!$A224,'Miljövrärden urval för publ'!$R$2:$R$416,0),2),"")</f>
        <v>Jörn</v>
      </c>
      <c r="D224" s="121">
        <f>IFERROR(VLOOKUP($C224,'Miljövrärden urval för publ'!$B$2:$H$416,MATCH('Miljövärden för publ företag'!D$4,'Miljövrärden urval för publ'!$B$2:$H$2,0),FALSE),"")</f>
        <v>0.16390099999999999</v>
      </c>
      <c r="E224" s="121">
        <f>IFERROR(VLOOKUP($C224,'Miljövrärden urval för publ'!$B$2:$H$416,MATCH('Miljövärden för publ företag'!E$4,'Miljövrärden urval för publ'!$B$2:$H$2,0),FALSE),"")</f>
        <v>7.1050899999999997</v>
      </c>
      <c r="F224" s="121">
        <f>IFERROR(VLOOKUP($C224,'Miljövrärden urval för publ'!$B$2:$H$416,MATCH('Miljövärden för publ företag'!F$4,'Miljövrärden urval för publ'!$B$2:$H$2,0),FALSE),"")</f>
        <v>18.067799999999998</v>
      </c>
      <c r="G224" s="121">
        <f>IFERROR(VLOOKUP($C224,'Miljövrärden urval för publ'!$B$2:$H$416,MATCH('Miljövärden för publ företag'!G$4,'Miljövrärden urval för publ'!$B$2:$H$2,0),FALSE),"")</f>
        <v>5.6805500000000004E-3</v>
      </c>
      <c r="J224" s="121">
        <f t="shared" si="14"/>
        <v>93</v>
      </c>
      <c r="M224" s="121">
        <v>220</v>
      </c>
      <c r="N224" s="121" t="str">
        <f t="shared" si="15"/>
        <v/>
      </c>
      <c r="P224" s="296">
        <f t="shared" si="16"/>
        <v>0</v>
      </c>
      <c r="Q224" s="290" t="str">
        <f t="shared" si="13"/>
        <v/>
      </c>
    </row>
    <row r="225" spans="1:17" x14ac:dyDescent="0.25">
      <c r="A225" s="121">
        <v>222</v>
      </c>
      <c r="B225" s="121" t="str">
        <f>IFERROR(INDEX('Miljövrärden urval för publ'!$A$2:$AA$419,MATCH('Miljövärden för publ företag'!$A225,'Miljövrärden urval för publ'!$R$2:$R$416,0),1),"")</f>
        <v>Skellefteå Kraft AB</v>
      </c>
      <c r="C225" s="121" t="str">
        <f>IFERROR(INDEX('Miljövrärden urval för publ'!$A$2:$AA$419,MATCH('Miljövärden för publ företag'!$A225,'Miljövrärden urval för publ'!$R$2:$R$416,0),2),"")</f>
        <v>Kåge</v>
      </c>
      <c r="D225" s="121">
        <f>IFERROR(VLOOKUP($C225,'Miljövrärden urval för publ'!$B$2:$H$416,MATCH('Miljövärden för publ företag'!D$4,'Miljövrärden urval för publ'!$B$2:$H$2,0),FALSE),"")</f>
        <v>0.171044</v>
      </c>
      <c r="E225" s="121">
        <f>IFERROR(VLOOKUP($C225,'Miljövrärden urval för publ'!$B$2:$H$416,MATCH('Miljövärden för publ företag'!E$4,'Miljövrärden urval för publ'!$B$2:$H$2,0),FALSE),"")</f>
        <v>6.4295999999999998</v>
      </c>
      <c r="F225" s="121">
        <f>IFERROR(VLOOKUP($C225,'Miljövrärden urval för publ'!$B$2:$H$416,MATCH('Miljövärden för publ företag'!F$4,'Miljövrärden urval för publ'!$B$2:$H$2,0),FALSE),"")</f>
        <v>18.6797</v>
      </c>
      <c r="G225" s="121">
        <f>IFERROR(VLOOKUP($C225,'Miljövrärden urval för publ'!$B$2:$H$416,MATCH('Miljövärden för publ företag'!G$4,'Miljövrärden urval för publ'!$B$2:$H$2,0),FALSE),"")</f>
        <v>3.0700499999999999E-3</v>
      </c>
      <c r="J225" s="121">
        <f t="shared" si="14"/>
        <v>93</v>
      </c>
      <c r="M225" s="121">
        <v>221</v>
      </c>
      <c r="N225" s="121" t="str">
        <f t="shared" si="15"/>
        <v/>
      </c>
      <c r="P225" s="296">
        <f t="shared" si="16"/>
        <v>0</v>
      </c>
      <c r="Q225" s="290" t="str">
        <f t="shared" si="13"/>
        <v/>
      </c>
    </row>
    <row r="226" spans="1:17" x14ac:dyDescent="0.25">
      <c r="A226" s="121">
        <v>223</v>
      </c>
      <c r="B226" s="121" t="str">
        <f>IFERROR(INDEX('Miljövrärden urval för publ'!$A$2:$AA$419,MATCH('Miljövärden för publ företag'!$A226,'Miljövrärden urval för publ'!$R$2:$R$416,0),1),"")</f>
        <v>Skellefteå Kraft AB</v>
      </c>
      <c r="C226" s="121" t="str">
        <f>IFERROR(INDEX('Miljövrärden urval för publ'!$A$2:$AA$419,MATCH('Miljövärden för publ företag'!$A226,'Miljövrärden urval för publ'!$R$2:$R$416,0),2),"")</f>
        <v>Lidbacken</v>
      </c>
      <c r="D226" s="121">
        <f>IFERROR(VLOOKUP($C226,'Miljövrärden urval för publ'!$B$2:$H$416,MATCH('Miljövärden för publ företag'!D$4,'Miljövrärden urval för publ'!$B$2:$H$2,0),FALSE),"")</f>
        <v>0.16664799999999999</v>
      </c>
      <c r="E226" s="121">
        <f>IFERROR(VLOOKUP($C226,'Miljövrärden urval för publ'!$B$2:$H$416,MATCH('Miljövärden för publ företag'!E$4,'Miljövrärden urval för publ'!$B$2:$H$2,0),FALSE),"")</f>
        <v>10.068</v>
      </c>
      <c r="F226" s="121">
        <f>IFERROR(VLOOKUP($C226,'Miljövrärden urval för publ'!$B$2:$H$416,MATCH('Miljövärden för publ företag'!F$4,'Miljövrärden urval för publ'!$B$2:$H$2,0),FALSE),"")</f>
        <v>17.912400000000002</v>
      </c>
      <c r="G226" s="121">
        <f>IFERROR(VLOOKUP($C226,'Miljövrärden urval för publ'!$B$2:$H$416,MATCH('Miljövärden för publ företag'!G$4,'Miljövrärden urval för publ'!$B$2:$H$2,0),FALSE),"")</f>
        <v>1.4778299999999999E-2</v>
      </c>
      <c r="J226" s="121">
        <f t="shared" si="14"/>
        <v>93</v>
      </c>
      <c r="M226" s="121">
        <v>222</v>
      </c>
      <c r="N226" s="121" t="str">
        <f t="shared" si="15"/>
        <v/>
      </c>
      <c r="P226" s="296">
        <f t="shared" si="16"/>
        <v>0</v>
      </c>
      <c r="Q226" s="290" t="str">
        <f t="shared" si="13"/>
        <v/>
      </c>
    </row>
    <row r="227" spans="1:17" x14ac:dyDescent="0.25">
      <c r="A227" s="121">
        <v>224</v>
      </c>
      <c r="B227" s="121" t="str">
        <f>IFERROR(INDEX('Miljövrärden urval för publ'!$A$2:$AA$419,MATCH('Miljövärden för publ företag'!$A227,'Miljövrärden urval för publ'!$R$2:$R$416,0),1),"")</f>
        <v>Skellefteå Kraft AB</v>
      </c>
      <c r="C227" s="121" t="str">
        <f>IFERROR(INDEX('Miljövrärden urval för publ'!$A$2:$AA$419,MATCH('Miljövärden för publ företag'!$A227,'Miljövrärden urval för publ'!$R$2:$R$416,0),2),"")</f>
        <v>Lycksele</v>
      </c>
      <c r="D227" s="121">
        <f>IFERROR(VLOOKUP($C227,'Miljövrärden urval för publ'!$B$2:$H$416,MATCH('Miljövärden för publ företag'!D$4,'Miljövrärden urval för publ'!$B$2:$H$2,0),FALSE),"")</f>
        <v>0.25069999999999998</v>
      </c>
      <c r="E227" s="121">
        <f>IFERROR(VLOOKUP($C227,'Miljövrärden urval för publ'!$B$2:$H$416,MATCH('Miljövärden för publ företag'!E$4,'Miljövrärden urval för publ'!$B$2:$H$2,0),FALSE),"")</f>
        <v>84.057400000000001</v>
      </c>
      <c r="F227" s="121">
        <f>IFERROR(VLOOKUP($C227,'Miljövrärden urval för publ'!$B$2:$H$416,MATCH('Miljövärden för publ företag'!F$4,'Miljövrärden urval för publ'!$B$2:$H$2,0),FALSE),"")</f>
        <v>13.574299999999999</v>
      </c>
      <c r="G227" s="121">
        <f>IFERROR(VLOOKUP($C227,'Miljövrärden urval för publ'!$B$2:$H$416,MATCH('Miljövärden för publ företag'!G$4,'Miljövrärden urval för publ'!$B$2:$H$2,0),FALSE),"")</f>
        <v>4.2881500000000001E-3</v>
      </c>
      <c r="J227" s="121">
        <f t="shared" si="14"/>
        <v>93</v>
      </c>
      <c r="M227" s="121">
        <v>223</v>
      </c>
      <c r="N227" s="121" t="str">
        <f t="shared" si="15"/>
        <v/>
      </c>
      <c r="P227" s="296">
        <f t="shared" si="16"/>
        <v>0</v>
      </c>
      <c r="Q227" s="290" t="str">
        <f t="shared" si="13"/>
        <v/>
      </c>
    </row>
    <row r="228" spans="1:17" x14ac:dyDescent="0.25">
      <c r="A228" s="121">
        <v>225</v>
      </c>
      <c r="B228" s="121" t="str">
        <f>IFERROR(INDEX('Miljövrärden urval för publ'!$A$2:$AA$419,MATCH('Miljövärden för publ företag'!$A228,'Miljövrärden urval för publ'!$R$2:$R$416,0),1),"")</f>
        <v>Skellefteå Kraft AB</v>
      </c>
      <c r="C228" s="121" t="str">
        <f>IFERROR(INDEX('Miljövrärden urval för publ'!$A$2:$AA$419,MATCH('Miljövärden för publ företag'!$A228,'Miljövrärden urval för publ'!$R$2:$R$416,0),2),"")</f>
        <v>Lövånger</v>
      </c>
      <c r="D228" s="121">
        <f>IFERROR(VLOOKUP($C228,'Miljövrärden urval för publ'!$B$2:$H$416,MATCH('Miljövärden för publ företag'!D$4,'Miljövrärden urval för publ'!$B$2:$H$2,0),FALSE),"")</f>
        <v>0.15926999999999999</v>
      </c>
      <c r="E228" s="121">
        <f>IFERROR(VLOOKUP($C228,'Miljövrärden urval för publ'!$B$2:$H$416,MATCH('Miljövärden för publ företag'!E$4,'Miljövrärden urval för publ'!$B$2:$H$2,0),FALSE),"")</f>
        <v>6.9605199999999998</v>
      </c>
      <c r="F228" s="121">
        <f>IFERROR(VLOOKUP($C228,'Miljövrärden urval för publ'!$B$2:$H$416,MATCH('Miljövärden för publ företag'!F$4,'Miljövrärden urval för publ'!$B$2:$H$2,0),FALSE),"")</f>
        <v>18.0976</v>
      </c>
      <c r="G228" s="121">
        <f>IFERROR(VLOOKUP($C228,'Miljövrärden urval för publ'!$B$2:$H$416,MATCH('Miljövärden för publ företag'!G$4,'Miljövrärden urval för publ'!$B$2:$H$2,0),FALSE),"")</f>
        <v>5.24684E-3</v>
      </c>
      <c r="J228" s="121">
        <f t="shared" si="14"/>
        <v>93</v>
      </c>
      <c r="M228" s="121">
        <v>224</v>
      </c>
      <c r="N228" s="121" t="str">
        <f t="shared" si="15"/>
        <v/>
      </c>
      <c r="P228" s="296">
        <f t="shared" si="16"/>
        <v>0</v>
      </c>
      <c r="Q228" s="290" t="str">
        <f t="shared" si="13"/>
        <v/>
      </c>
    </row>
    <row r="229" spans="1:17" x14ac:dyDescent="0.25">
      <c r="A229" s="121">
        <v>226</v>
      </c>
      <c r="B229" s="121" t="str">
        <f>IFERROR(INDEX('Miljövrärden urval för publ'!$A$2:$AA$419,MATCH('Miljövärden för publ företag'!$A229,'Miljövrärden urval för publ'!$R$2:$R$416,0),1),"")</f>
        <v>Skellefteå Kraft AB</v>
      </c>
      <c r="C229" s="121" t="str">
        <f>IFERROR(INDEX('Miljövrärden urval för publ'!$A$2:$AA$419,MATCH('Miljövärden för publ företag'!$A229,'Miljövrärden urval för publ'!$R$2:$R$416,0),2),"")</f>
        <v>Malå</v>
      </c>
      <c r="D229" s="121">
        <f>IFERROR(VLOOKUP($C229,'Miljövrärden urval för publ'!$B$2:$H$416,MATCH('Miljövärden för publ företag'!D$4,'Miljövrärden urval för publ'!$B$2:$H$2,0),FALSE),"")</f>
        <v>6.2543299999999996E-2</v>
      </c>
      <c r="E229" s="121">
        <f>IFERROR(VLOOKUP($C229,'Miljövrärden urval för publ'!$B$2:$H$416,MATCH('Miljövärden för publ företag'!E$4,'Miljövrärden urval för publ'!$B$2:$H$2,0),FALSE),"")</f>
        <v>8.4602299999999993</v>
      </c>
      <c r="F229" s="121">
        <f>IFERROR(VLOOKUP($C229,'Miljövrärden urval för publ'!$B$2:$H$416,MATCH('Miljövärden för publ företag'!F$4,'Miljövrärden urval för publ'!$B$2:$H$2,0),FALSE),"")</f>
        <v>7.6211099999999998</v>
      </c>
      <c r="G229" s="121">
        <f>IFERROR(VLOOKUP($C229,'Miljövrärden urval för publ'!$B$2:$H$416,MATCH('Miljövärden för publ företag'!G$4,'Miljövrärden urval för publ'!$B$2:$H$2,0),FALSE),"")</f>
        <v>1.9192500000000001E-2</v>
      </c>
      <c r="J229" s="121">
        <f t="shared" si="14"/>
        <v>93</v>
      </c>
      <c r="M229" s="121">
        <v>225</v>
      </c>
      <c r="N229" s="121" t="str">
        <f t="shared" si="15"/>
        <v/>
      </c>
      <c r="P229" s="296">
        <f t="shared" si="16"/>
        <v>0</v>
      </c>
      <c r="Q229" s="290" t="str">
        <f t="shared" si="13"/>
        <v/>
      </c>
    </row>
    <row r="230" spans="1:17" x14ac:dyDescent="0.25">
      <c r="A230" s="121">
        <v>227</v>
      </c>
      <c r="B230" s="121" t="str">
        <f>IFERROR(INDEX('Miljövrärden urval för publ'!$A$2:$AA$419,MATCH('Miljövärden för publ företag'!$A230,'Miljövrärden urval för publ'!$R$2:$R$416,0),1),"")</f>
        <v>Skellefteå Kraft AB</v>
      </c>
      <c r="C230" s="121" t="str">
        <f>IFERROR(INDEX('Miljövrärden urval för publ'!$A$2:$AA$419,MATCH('Miljövärden för publ företag'!$A230,'Miljövrärden urval för publ'!$R$2:$R$416,0),2),"")</f>
        <v>Norsjö</v>
      </c>
      <c r="D230" s="121">
        <f>IFERROR(VLOOKUP($C230,'Miljövrärden urval för publ'!$B$2:$H$416,MATCH('Miljövärden för publ företag'!D$4,'Miljövrärden urval för publ'!$B$2:$H$2,0),FALSE),"")</f>
        <v>0.137548</v>
      </c>
      <c r="E230" s="121">
        <f>IFERROR(VLOOKUP($C230,'Miljövrärden urval för publ'!$B$2:$H$416,MATCH('Miljövärden för publ företag'!E$4,'Miljövrärden urval för publ'!$B$2:$H$2,0),FALSE),"")</f>
        <v>9.6733200000000004</v>
      </c>
      <c r="F230" s="121">
        <f>IFERROR(VLOOKUP($C230,'Miljövrärden urval för publ'!$B$2:$H$416,MATCH('Miljövärden för publ företag'!F$4,'Miljövrärden urval för publ'!$B$2:$H$2,0),FALSE),"")</f>
        <v>11.667899999999999</v>
      </c>
      <c r="G230" s="121">
        <f>IFERROR(VLOOKUP($C230,'Miljövrärden urval för publ'!$B$2:$H$416,MATCH('Miljövärden för publ företag'!G$4,'Miljövrärden urval för publ'!$B$2:$H$2,0),FALSE),"")</f>
        <v>1.90005E-2</v>
      </c>
      <c r="J230" s="121">
        <f t="shared" si="14"/>
        <v>93</v>
      </c>
      <c r="M230" s="121">
        <v>226</v>
      </c>
      <c r="N230" s="121" t="str">
        <f t="shared" si="15"/>
        <v/>
      </c>
      <c r="P230" s="296">
        <f t="shared" si="16"/>
        <v>0</v>
      </c>
      <c r="Q230" s="290" t="str">
        <f t="shared" si="13"/>
        <v/>
      </c>
    </row>
    <row r="231" spans="1:17" x14ac:dyDescent="0.25">
      <c r="A231" s="121">
        <v>228</v>
      </c>
      <c r="B231" s="121" t="str">
        <f>IFERROR(INDEX('Miljövrärden urval för publ'!$A$2:$AA$419,MATCH('Miljövärden för publ företag'!$A231,'Miljövrärden urval för publ'!$R$2:$R$416,0),1),"")</f>
        <v>Skellefteå Kraft AB</v>
      </c>
      <c r="C231" s="121" t="str">
        <f>IFERROR(INDEX('Miljövrärden urval för publ'!$A$2:$AA$419,MATCH('Miljövärden för publ företag'!$A231,'Miljövrärden urval för publ'!$R$2:$R$416,0),2),"")</f>
        <v>Robertsfors</v>
      </c>
      <c r="D231" s="121">
        <f>IFERROR(VLOOKUP($C231,'Miljövrärden urval för publ'!$B$2:$H$416,MATCH('Miljövärden för publ företag'!D$4,'Miljövrärden urval för publ'!$B$2:$H$2,0),FALSE),"")</f>
        <v>0.16056899999999999</v>
      </c>
      <c r="E231" s="121">
        <f>IFERROR(VLOOKUP($C231,'Miljövrärden urval för publ'!$B$2:$H$416,MATCH('Miljövärden för publ företag'!E$4,'Miljövrärden urval för publ'!$B$2:$H$2,0),FALSE),"")</f>
        <v>7.6607700000000003</v>
      </c>
      <c r="F231" s="121">
        <f>IFERROR(VLOOKUP($C231,'Miljövrärden urval för publ'!$B$2:$H$416,MATCH('Miljövärden för publ företag'!F$4,'Miljövrärden urval för publ'!$B$2:$H$2,0),FALSE),"")</f>
        <v>18.243200000000002</v>
      </c>
      <c r="G231" s="121">
        <f>IFERROR(VLOOKUP($C231,'Miljövrärden urval för publ'!$B$2:$H$416,MATCH('Miljövärden för publ företag'!G$4,'Miljövrärden urval för publ'!$B$2:$H$2,0),FALSE),"")</f>
        <v>7.1450799999999998E-3</v>
      </c>
      <c r="J231" s="121">
        <f t="shared" si="14"/>
        <v>93</v>
      </c>
      <c r="M231" s="121">
        <v>227</v>
      </c>
      <c r="N231" s="121" t="str">
        <f t="shared" si="15"/>
        <v/>
      </c>
      <c r="P231" s="296">
        <f t="shared" si="16"/>
        <v>0</v>
      </c>
      <c r="Q231" s="290" t="str">
        <f t="shared" si="13"/>
        <v/>
      </c>
    </row>
    <row r="232" spans="1:17" x14ac:dyDescent="0.25">
      <c r="A232" s="121">
        <v>229</v>
      </c>
      <c r="B232" s="121" t="str">
        <f>IFERROR(INDEX('Miljövrärden urval för publ'!$A$2:$AA$419,MATCH('Miljövärden för publ företag'!$A232,'Miljövrärden urval för publ'!$R$2:$R$416,0),1),"")</f>
        <v>Skellefteå Kraft AB</v>
      </c>
      <c r="C232" s="121" t="str">
        <f>IFERROR(INDEX('Miljövrärden urval för publ'!$A$2:$AA$419,MATCH('Miljövärden för publ företag'!$A232,'Miljövrärden urval för publ'!$R$2:$R$416,0),2),"")</f>
        <v>Skellefteå</v>
      </c>
      <c r="D232" s="121">
        <f>IFERROR(VLOOKUP($C232,'Miljövrärden urval för publ'!$B$2:$H$416,MATCH('Miljövärden för publ företag'!D$4,'Miljövrärden urval för publ'!$B$2:$H$2,0),FALSE),"")</f>
        <v>0.17643600000000001</v>
      </c>
      <c r="E232" s="121">
        <f>IFERROR(VLOOKUP($C232,'Miljövrärden urval för publ'!$B$2:$H$416,MATCH('Miljövärden för publ företag'!E$4,'Miljövrärden urval för publ'!$B$2:$H$2,0),FALSE),"")</f>
        <v>53.073300000000003</v>
      </c>
      <c r="F232" s="121">
        <f>IFERROR(VLOOKUP($C232,'Miljövrärden urval för publ'!$B$2:$H$416,MATCH('Miljövärden för publ företag'!F$4,'Miljövrärden urval för publ'!$B$2:$H$2,0),FALSE),"")</f>
        <v>9.6063500000000008</v>
      </c>
      <c r="G232" s="121">
        <f>IFERROR(VLOOKUP($C232,'Miljövrärden urval för publ'!$B$2:$H$416,MATCH('Miljövärden för publ företag'!G$4,'Miljövrärden urval för publ'!$B$2:$H$2,0),FALSE),"")</f>
        <v>1.7339400000000001E-2</v>
      </c>
      <c r="J232" s="121">
        <f t="shared" si="14"/>
        <v>93</v>
      </c>
      <c r="M232" s="121">
        <v>228</v>
      </c>
      <c r="N232" s="121" t="str">
        <f t="shared" si="15"/>
        <v/>
      </c>
      <c r="P232" s="296">
        <f t="shared" si="16"/>
        <v>0</v>
      </c>
      <c r="Q232" s="290" t="str">
        <f t="shared" si="13"/>
        <v/>
      </c>
    </row>
    <row r="233" spans="1:17" x14ac:dyDescent="0.25">
      <c r="A233" s="121">
        <v>230</v>
      </c>
      <c r="B233" s="121" t="str">
        <f>IFERROR(INDEX('Miljövrärden urval för publ'!$A$2:$AA$419,MATCH('Miljövärden för publ företag'!$A233,'Miljövrärden urval för publ'!$R$2:$R$416,0),1),"")</f>
        <v>Skellefteå Kraft AB</v>
      </c>
      <c r="C233" s="121" t="str">
        <f>IFERROR(INDEX('Miljövrärden urval för publ'!$A$2:$AA$419,MATCH('Miljövärden för publ företag'!$A233,'Miljövrärden urval för publ'!$R$2:$R$416,0),2),"")</f>
        <v>Storuman</v>
      </c>
      <c r="D233" s="121">
        <f>IFERROR(VLOOKUP($C233,'Miljövrärden urval för publ'!$B$2:$H$416,MATCH('Miljövärden för publ företag'!D$4,'Miljövrärden urval för publ'!$B$2:$H$2,0),FALSE),"")</f>
        <v>0.21923599999999999</v>
      </c>
      <c r="E233" s="121">
        <f>IFERROR(VLOOKUP($C233,'Miljövrärden urval för publ'!$B$2:$H$416,MATCH('Miljövärden för publ företag'!E$4,'Miljövrärden urval för publ'!$B$2:$H$2,0),FALSE),"")</f>
        <v>17.077999999999999</v>
      </c>
      <c r="F233" s="121">
        <f>IFERROR(VLOOKUP($C233,'Miljövrärden urval för publ'!$B$2:$H$416,MATCH('Miljövärden för publ företag'!F$4,'Miljövrärden urval för publ'!$B$2:$H$2,0),FALSE),"")</f>
        <v>20.714200000000002</v>
      </c>
      <c r="G233" s="121">
        <f>IFERROR(VLOOKUP($C233,'Miljövrärden urval för publ'!$B$2:$H$416,MATCH('Miljövärden för publ företag'!G$4,'Miljövrärden urval för publ'!$B$2:$H$2,0),FALSE),"")</f>
        <v>2.88531E-2</v>
      </c>
      <c r="J233" s="121">
        <f t="shared" si="14"/>
        <v>93</v>
      </c>
      <c r="M233" s="121">
        <v>229</v>
      </c>
      <c r="N233" s="121" t="str">
        <f t="shared" si="15"/>
        <v/>
      </c>
      <c r="P233" s="296">
        <f t="shared" si="16"/>
        <v>0</v>
      </c>
      <c r="Q233" s="290" t="str">
        <f t="shared" si="13"/>
        <v/>
      </c>
    </row>
    <row r="234" spans="1:17" x14ac:dyDescent="0.25">
      <c r="A234" s="121">
        <v>231</v>
      </c>
      <c r="B234" s="121" t="str">
        <f>IFERROR(INDEX('Miljövrärden urval för publ'!$A$2:$AA$419,MATCH('Miljövärden för publ företag'!$A234,'Miljövrärden urval för publ'!$R$2:$R$416,0),1),"")</f>
        <v>Skellefteå Kraft AB</v>
      </c>
      <c r="C234" s="121" t="str">
        <f>IFERROR(INDEX('Miljövrärden urval för publ'!$A$2:$AA$419,MATCH('Miljövärden för publ företag'!$A234,'Miljövrärden urval för publ'!$R$2:$R$416,0),2),"")</f>
        <v>Ursviken-Skelleftehamn</v>
      </c>
      <c r="D234" s="121">
        <f>IFERROR(VLOOKUP($C234,'Miljövrärden urval för publ'!$B$2:$H$416,MATCH('Miljövärden för publ företag'!D$4,'Miljövrärden urval för publ'!$B$2:$H$2,0),FALSE),"")</f>
        <v>2.5945100000000001E-4</v>
      </c>
      <c r="E234" s="121">
        <f>IFERROR(VLOOKUP($C234,'Miljövrärden urval för publ'!$B$2:$H$416,MATCH('Miljövärden för publ företag'!E$4,'Miljövrärden urval för publ'!$B$2:$H$2,0),FALSE),"")</f>
        <v>0</v>
      </c>
      <c r="F234" s="121">
        <f>IFERROR(VLOOKUP($C234,'Miljövrärden urval för publ'!$B$2:$H$416,MATCH('Miljövärden för publ företag'!F$4,'Miljövrärden urval för publ'!$B$2:$H$2,0),FALSE),"")</f>
        <v>0</v>
      </c>
      <c r="G234" s="121">
        <f>IFERROR(VLOOKUP($C234,'Miljövrärden urval för publ'!$B$2:$H$416,MATCH('Miljövärden för publ företag'!G$4,'Miljövrärden urval för publ'!$B$2:$H$2,0),FALSE),"")</f>
        <v>0</v>
      </c>
      <c r="J234" s="121">
        <f t="shared" si="14"/>
        <v>93</v>
      </c>
      <c r="M234" s="121">
        <v>230</v>
      </c>
      <c r="N234" s="121" t="str">
        <f t="shared" si="15"/>
        <v/>
      </c>
      <c r="P234" s="296">
        <f t="shared" si="16"/>
        <v>0</v>
      </c>
      <c r="Q234" s="290" t="str">
        <f t="shared" si="13"/>
        <v/>
      </c>
    </row>
    <row r="235" spans="1:17" x14ac:dyDescent="0.25">
      <c r="A235" s="121">
        <v>232</v>
      </c>
      <c r="B235" s="121" t="str">
        <f>IFERROR(INDEX('Miljövrärden urval för publ'!$A$2:$AA$419,MATCH('Miljövärden för publ företag'!$A235,'Miljövrärden urval för publ'!$R$2:$R$416,0),1),"")</f>
        <v>Skellefteå Kraft AB</v>
      </c>
      <c r="C235" s="121" t="str">
        <f>IFERROR(INDEX('Miljövrärden urval för publ'!$A$2:$AA$419,MATCH('Miljövärden för publ företag'!$A235,'Miljövrärden urval för publ'!$R$2:$R$416,0),2),"")</f>
        <v>Vindeln</v>
      </c>
      <c r="D235" s="121">
        <f>IFERROR(VLOOKUP($C235,'Miljövrärden urval för publ'!$B$2:$H$416,MATCH('Miljövärden för publ företag'!D$4,'Miljövrärden urval för publ'!$B$2:$H$2,0),FALSE),"")</f>
        <v>0.200875</v>
      </c>
      <c r="E235" s="121">
        <f>IFERROR(VLOOKUP($C235,'Miljövrärden urval för publ'!$B$2:$H$416,MATCH('Miljövärden för publ företag'!E$4,'Miljövrärden urval för publ'!$B$2:$H$2,0),FALSE),"")</f>
        <v>19.603000000000002</v>
      </c>
      <c r="F235" s="121">
        <f>IFERROR(VLOOKUP($C235,'Miljövrärden urval för publ'!$B$2:$H$416,MATCH('Miljövärden för publ företag'!F$4,'Miljövrärden urval för publ'!$B$2:$H$2,0),FALSE),"")</f>
        <v>17.863299999999999</v>
      </c>
      <c r="G235" s="121">
        <f>IFERROR(VLOOKUP($C235,'Miljövrärden urval för publ'!$B$2:$H$416,MATCH('Miljövärden för publ företag'!G$4,'Miljövrärden urval för publ'!$B$2:$H$2,0),FALSE),"")</f>
        <v>4.41065E-2</v>
      </c>
      <c r="J235" s="121">
        <f t="shared" si="14"/>
        <v>93</v>
      </c>
      <c r="M235" s="121">
        <v>231</v>
      </c>
      <c r="N235" s="121" t="str">
        <f t="shared" si="15"/>
        <v/>
      </c>
      <c r="P235" s="296">
        <f t="shared" si="16"/>
        <v>0</v>
      </c>
      <c r="Q235" s="290" t="str">
        <f t="shared" si="13"/>
        <v/>
      </c>
    </row>
    <row r="236" spans="1:17" x14ac:dyDescent="0.25">
      <c r="A236" s="121">
        <v>233</v>
      </c>
      <c r="B236" s="121" t="str">
        <f>IFERROR(INDEX('Miljövrärden urval för publ'!$A$2:$AA$419,MATCH('Miljövärden för publ företag'!$A236,'Miljövrärden urval för publ'!$R$2:$R$416,0),1),"")</f>
        <v>Skellefteå Kraft AB</v>
      </c>
      <c r="C236" s="121" t="str">
        <f>IFERROR(INDEX('Miljövrärden urval för publ'!$A$2:$AA$419,MATCH('Miljövärden för publ företag'!$A236,'Miljövrärden urval för publ'!$R$2:$R$416,0),2),"")</f>
        <v>Ånäset</v>
      </c>
      <c r="D236" s="121">
        <f>IFERROR(VLOOKUP($C236,'Miljövrärden urval för publ'!$B$2:$H$416,MATCH('Miljövärden för publ företag'!D$4,'Miljövrärden urval för publ'!$B$2:$H$2,0),FALSE),"")</f>
        <v>0.172678</v>
      </c>
      <c r="E236" s="121">
        <f>IFERROR(VLOOKUP($C236,'Miljövrärden urval för publ'!$B$2:$H$416,MATCH('Miljövärden för publ företag'!E$4,'Miljövrärden urval för publ'!$B$2:$H$2,0),FALSE),"")</f>
        <v>7.8969500000000004</v>
      </c>
      <c r="F236" s="121">
        <f>IFERROR(VLOOKUP($C236,'Miljövrärden urval för publ'!$B$2:$H$416,MATCH('Miljövärden för publ företag'!F$4,'Miljövrärden urval för publ'!$B$2:$H$2,0),FALSE),"")</f>
        <v>18.997800000000002</v>
      </c>
      <c r="G236" s="121">
        <f>IFERROR(VLOOKUP($C236,'Miljövrärden urval för publ'!$B$2:$H$416,MATCH('Miljövärden för publ företag'!G$4,'Miljövrärden urval för publ'!$B$2:$H$2,0),FALSE),"")</f>
        <v>6.8783100000000003E-3</v>
      </c>
      <c r="J236" s="121">
        <f t="shared" si="14"/>
        <v>93</v>
      </c>
      <c r="M236" s="121">
        <v>232</v>
      </c>
      <c r="N236" s="121" t="str">
        <f t="shared" si="15"/>
        <v/>
      </c>
      <c r="P236" s="296">
        <f t="shared" si="16"/>
        <v>0</v>
      </c>
      <c r="Q236" s="290" t="str">
        <f t="shared" si="13"/>
        <v/>
      </c>
    </row>
    <row r="237" spans="1:17" x14ac:dyDescent="0.25">
      <c r="A237" s="121">
        <v>234</v>
      </c>
      <c r="B237" s="121" t="str">
        <f>IFERROR(INDEX('Miljövrärden urval för publ'!$A$2:$AA$419,MATCH('Miljövärden för publ företag'!$A237,'Miljövrärden urval för publ'!$R$2:$R$416,0),1),"")</f>
        <v>Skövde Energi AB</v>
      </c>
      <c r="C237" s="121" t="str">
        <f>IFERROR(INDEX('Miljövrärden urval för publ'!$A$2:$AA$419,MATCH('Miljövärden för publ företag'!$A237,'Miljövrärden urval för publ'!$R$2:$R$416,0),2),"")</f>
        <v>Skultorp</v>
      </c>
      <c r="D237" s="121">
        <f>IFERROR(VLOOKUP($C237,'Miljövrärden urval för publ'!$B$2:$H$416,MATCH('Miljövärden för publ företag'!D$4,'Miljövrärden urval för publ'!$B$2:$H$2,0),FALSE),"")</f>
        <v>0.160053</v>
      </c>
      <c r="E237" s="121">
        <f>IFERROR(VLOOKUP($C237,'Miljövrärden urval för publ'!$B$2:$H$416,MATCH('Miljövärden för publ företag'!E$4,'Miljövrärden urval för publ'!$B$2:$H$2,0),FALSE),"")</f>
        <v>6.80938</v>
      </c>
      <c r="F237" s="121">
        <f>IFERROR(VLOOKUP($C237,'Miljövrärden urval för publ'!$B$2:$H$416,MATCH('Miljövärden för publ företag'!F$4,'Miljövrärden urval för publ'!$B$2:$H$2,0),FALSE),"")</f>
        <v>18.203399999999998</v>
      </c>
      <c r="G237" s="121">
        <f>IFERROR(VLOOKUP($C237,'Miljövrärden urval för publ'!$B$2:$H$416,MATCH('Miljövärden för publ företag'!G$4,'Miljövrärden urval för publ'!$B$2:$H$2,0),FALSE),"")</f>
        <v>4.7021900000000002E-3</v>
      </c>
      <c r="J237" s="121">
        <f t="shared" si="14"/>
        <v>94</v>
      </c>
      <c r="M237" s="121">
        <v>233</v>
      </c>
      <c r="N237" s="121" t="str">
        <f t="shared" si="15"/>
        <v/>
      </c>
      <c r="P237" s="296">
        <f t="shared" si="16"/>
        <v>0</v>
      </c>
      <c r="Q237" s="290" t="str">
        <f t="shared" si="13"/>
        <v/>
      </c>
    </row>
    <row r="238" spans="1:17" x14ac:dyDescent="0.25">
      <c r="A238" s="121">
        <v>235</v>
      </c>
      <c r="B238" s="121" t="str">
        <f>IFERROR(INDEX('Miljövrärden urval för publ'!$A$2:$AA$419,MATCH('Miljövärden för publ företag'!$A238,'Miljövrärden urval för publ'!$R$2:$R$416,0),1),"")</f>
        <v>Skövde Energi AB</v>
      </c>
      <c r="C238" s="121" t="str">
        <f>IFERROR(INDEX('Miljövrärden urval för publ'!$A$2:$AA$419,MATCH('Miljövärden för publ företag'!$A238,'Miljövrärden urval för publ'!$R$2:$R$416,0),2),"")</f>
        <v>Skövde</v>
      </c>
      <c r="D238" s="121">
        <f>IFERROR(VLOOKUP($C238,'Miljövrärden urval för publ'!$B$2:$H$416,MATCH('Miljövärden för publ företag'!D$4,'Miljövrärden urval för publ'!$B$2:$H$2,0),FALSE),"")</f>
        <v>8.23575E-2</v>
      </c>
      <c r="E238" s="121">
        <f>IFERROR(VLOOKUP($C238,'Miljövrärden urval för publ'!$B$2:$H$416,MATCH('Miljövärden för publ företag'!E$4,'Miljövrärden urval för publ'!$B$2:$H$2,0),FALSE),"")</f>
        <v>55.278700000000001</v>
      </c>
      <c r="F238" s="121">
        <f>IFERROR(VLOOKUP($C238,'Miljövrärden urval för publ'!$B$2:$H$416,MATCH('Miljövärden för publ företag'!F$4,'Miljövrärden urval för publ'!$B$2:$H$2,0),FALSE),"")</f>
        <v>6.0789099999999996</v>
      </c>
      <c r="G238" s="121">
        <f>IFERROR(VLOOKUP($C238,'Miljövrärden urval för publ'!$B$2:$H$416,MATCH('Miljövärden för publ företag'!G$4,'Miljövrärden urval för publ'!$B$2:$H$2,0),FALSE),"")</f>
        <v>5.1011199999999998E-3</v>
      </c>
      <c r="J238" s="121">
        <f t="shared" si="14"/>
        <v>94</v>
      </c>
      <c r="M238" s="121">
        <v>234</v>
      </c>
      <c r="N238" s="121" t="str">
        <f t="shared" si="15"/>
        <v/>
      </c>
      <c r="P238" s="296">
        <f t="shared" si="16"/>
        <v>0</v>
      </c>
      <c r="Q238" s="290" t="str">
        <f t="shared" si="13"/>
        <v/>
      </c>
    </row>
    <row r="239" spans="1:17" x14ac:dyDescent="0.25">
      <c r="A239" s="121">
        <v>236</v>
      </c>
      <c r="B239" s="121" t="str">
        <f>IFERROR(INDEX('Miljövrärden urval för publ'!$A$2:$AA$419,MATCH('Miljövärden för publ företag'!$A239,'Miljövrärden urval för publ'!$R$2:$R$416,0),1),"")</f>
        <v>Skövde Energi AB</v>
      </c>
      <c r="C239" s="121" t="str">
        <f>IFERROR(INDEX('Miljövrärden urval för publ'!$A$2:$AA$419,MATCH('Miljövärden för publ företag'!$A239,'Miljövrärden urval för publ'!$R$2:$R$416,0),2),"")</f>
        <v>Stöpen</v>
      </c>
      <c r="D239" s="121">
        <f>IFERROR(VLOOKUP($C239,'Miljövrärden urval för publ'!$B$2:$H$416,MATCH('Miljövärden för publ företag'!D$4,'Miljövrärden urval för publ'!$B$2:$H$2,0),FALSE),"")</f>
        <v>0.19146299999999999</v>
      </c>
      <c r="E239" s="121">
        <f>IFERROR(VLOOKUP($C239,'Miljövrärden urval för publ'!$B$2:$H$416,MATCH('Miljövärden för publ företag'!E$4,'Miljövrärden urval för publ'!$B$2:$H$2,0),FALSE),"")</f>
        <v>15.8164</v>
      </c>
      <c r="F239" s="121">
        <f>IFERROR(VLOOKUP($C239,'Miljövrärden urval för publ'!$B$2:$H$416,MATCH('Miljövärden för publ företag'!F$4,'Miljövrärden urval för publ'!$B$2:$H$2,0),FALSE),"")</f>
        <v>17.575500000000002</v>
      </c>
      <c r="G239" s="121">
        <f>IFERROR(VLOOKUP($C239,'Miljövrärden urval för publ'!$B$2:$H$416,MATCH('Miljövärden för publ företag'!G$4,'Miljövrärden urval för publ'!$B$2:$H$2,0),FALSE),"")</f>
        <v>3.3124399999999998E-2</v>
      </c>
      <c r="J239" s="121">
        <f t="shared" si="14"/>
        <v>94</v>
      </c>
      <c r="M239" s="121">
        <v>235</v>
      </c>
      <c r="N239" s="121" t="str">
        <f t="shared" si="15"/>
        <v/>
      </c>
      <c r="P239" s="296">
        <f t="shared" si="16"/>
        <v>0</v>
      </c>
      <c r="Q239" s="290" t="str">
        <f t="shared" si="13"/>
        <v/>
      </c>
    </row>
    <row r="240" spans="1:17" x14ac:dyDescent="0.25">
      <c r="A240" s="121">
        <v>237</v>
      </c>
      <c r="B240" s="121" t="str">
        <f>IFERROR(INDEX('Miljövrärden urval för publ'!$A$2:$AA$419,MATCH('Miljövärden för publ företag'!$A240,'Miljövrärden urval för publ'!$R$2:$R$416,0),1),"")</f>
        <v>Skövde Energi AB</v>
      </c>
      <c r="C240" s="121" t="str">
        <f>IFERROR(INDEX('Miljövrärden urval för publ'!$A$2:$AA$419,MATCH('Miljövärden för publ företag'!$A240,'Miljövrärden urval för publ'!$R$2:$R$416,0),2),"")</f>
        <v>Tidan</v>
      </c>
      <c r="D240" s="121">
        <f>IFERROR(VLOOKUP($C240,'Miljövrärden urval för publ'!$B$2:$H$416,MATCH('Miljövärden för publ företag'!D$4,'Miljövrärden urval för publ'!$B$2:$H$2,0),FALSE),"")</f>
        <v>0.17418500000000001</v>
      </c>
      <c r="E240" s="121">
        <f>IFERROR(VLOOKUP($C240,'Miljövrärden urval för publ'!$B$2:$H$416,MATCH('Miljövärden för publ företag'!E$4,'Miljövrärden urval för publ'!$B$2:$H$2,0),FALSE),"")</f>
        <v>10.92</v>
      </c>
      <c r="F240" s="121">
        <f>IFERROR(VLOOKUP($C240,'Miljövrärden urval för publ'!$B$2:$H$416,MATCH('Miljövärden för publ företag'!F$4,'Miljövrärden urval för publ'!$B$2:$H$2,0),FALSE),"")</f>
        <v>17.903600000000001</v>
      </c>
      <c r="G240" s="121">
        <f>IFERROR(VLOOKUP($C240,'Miljövrärden urval för publ'!$B$2:$H$416,MATCH('Miljövärden för publ företag'!G$4,'Miljövrärden urval för publ'!$B$2:$H$2,0),FALSE),"")</f>
        <v>1.7358499999999999E-2</v>
      </c>
      <c r="J240" s="121">
        <f t="shared" si="14"/>
        <v>94</v>
      </c>
      <c r="M240" s="121">
        <v>236</v>
      </c>
      <c r="N240" s="121" t="str">
        <f t="shared" si="15"/>
        <v/>
      </c>
      <c r="P240" s="296">
        <f t="shared" si="16"/>
        <v>0</v>
      </c>
      <c r="Q240" s="290" t="str">
        <f t="shared" si="13"/>
        <v/>
      </c>
    </row>
    <row r="241" spans="1:17" x14ac:dyDescent="0.25">
      <c r="A241" s="121">
        <v>238</v>
      </c>
      <c r="B241" s="121" t="str">
        <f>IFERROR(INDEX('Miljövrärden urval för publ'!$A$2:$AA$419,MATCH('Miljövärden för publ företag'!$A241,'Miljövrärden urval för publ'!$R$2:$R$416,0),1),"")</f>
        <v>Skövde Energi AB</v>
      </c>
      <c r="C241" s="121" t="str">
        <f>IFERROR(INDEX('Miljövrärden urval för publ'!$A$2:$AA$419,MATCH('Miljövärden för publ företag'!$A241,'Miljövrärden urval för publ'!$R$2:$R$416,0),2),"")</f>
        <v>Timmersdala</v>
      </c>
      <c r="D241" s="121">
        <f>IFERROR(VLOOKUP($C241,'Miljövrärden urval för publ'!$B$2:$H$416,MATCH('Miljövärden för publ företag'!D$4,'Miljövrärden urval för publ'!$B$2:$H$2,0),FALSE),"")</f>
        <v>0.17063500000000001</v>
      </c>
      <c r="E241" s="121">
        <f>IFERROR(VLOOKUP($C241,'Miljövrärden urval för publ'!$B$2:$H$416,MATCH('Miljövärden för publ företag'!E$4,'Miljövrärden urval för publ'!$B$2:$H$2,0),FALSE),"")</f>
        <v>9.2990399999999998</v>
      </c>
      <c r="F241" s="121">
        <f>IFERROR(VLOOKUP($C241,'Miljövrärden urval för publ'!$B$2:$H$416,MATCH('Miljövärden för publ företag'!F$4,'Miljövrärden urval för publ'!$B$2:$H$2,0),FALSE),"")</f>
        <v>17.502300000000002</v>
      </c>
      <c r="G241" s="121">
        <f>IFERROR(VLOOKUP($C241,'Miljövrärden urval för publ'!$B$2:$H$416,MATCH('Miljövärden för publ företag'!G$4,'Miljövrärden urval för publ'!$B$2:$H$2,0),FALSE),"")</f>
        <v>1.30671E-2</v>
      </c>
      <c r="J241" s="121">
        <f t="shared" si="14"/>
        <v>94</v>
      </c>
      <c r="M241" s="121">
        <v>237</v>
      </c>
      <c r="N241" s="121" t="str">
        <f t="shared" si="15"/>
        <v/>
      </c>
      <c r="P241" s="296">
        <f t="shared" si="16"/>
        <v>0</v>
      </c>
      <c r="Q241" s="290" t="str">
        <f t="shared" si="13"/>
        <v/>
      </c>
    </row>
    <row r="242" spans="1:17" x14ac:dyDescent="0.25">
      <c r="A242" s="121">
        <v>239</v>
      </c>
      <c r="B242" s="121" t="str">
        <f>IFERROR(INDEX('Miljövrärden urval för publ'!$A$2:$AA$419,MATCH('Miljövärden för publ företag'!$A242,'Miljövrärden urval för publ'!$R$2:$R$416,0),1),"")</f>
        <v>Smedjebacken Energi AB</v>
      </c>
      <c r="C242" s="121" t="str">
        <f>IFERROR(INDEX('Miljövrärden urval för publ'!$A$2:$AA$419,MATCH('Miljövärden för publ företag'!$A242,'Miljövrärden urval för publ'!$R$2:$R$416,0),2),"")</f>
        <v>Smedjebacken</v>
      </c>
      <c r="D242" s="121">
        <f>IFERROR(VLOOKUP($C242,'Miljövrärden urval för publ'!$B$2:$H$416,MATCH('Miljövärden för publ företag'!D$4,'Miljövrärden urval för publ'!$B$2:$H$2,0),FALSE),"")</f>
        <v>0.21454300000000001</v>
      </c>
      <c r="E242" s="121">
        <f>IFERROR(VLOOKUP($C242,'Miljövrärden urval för publ'!$B$2:$H$416,MATCH('Miljövärden för publ företag'!E$4,'Miljövrärden urval för publ'!$B$2:$H$2,0),FALSE),"")</f>
        <v>27.247699999999998</v>
      </c>
      <c r="F242" s="121">
        <f>IFERROR(VLOOKUP($C242,'Miljövrärden urval för publ'!$B$2:$H$416,MATCH('Miljövärden för publ företag'!F$4,'Miljövrärden urval för publ'!$B$2:$H$2,0),FALSE),"")</f>
        <v>6.3924599999999998</v>
      </c>
      <c r="G242" s="121">
        <f>IFERROR(VLOOKUP($C242,'Miljövrärden urval för publ'!$B$2:$H$416,MATCH('Miljövärden för publ företag'!G$4,'Miljövrärden urval för publ'!$B$2:$H$2,0),FALSE),"")</f>
        <v>3.4614300000000001E-2</v>
      </c>
      <c r="J242" s="121">
        <f t="shared" si="14"/>
        <v>95</v>
      </c>
      <c r="M242" s="121">
        <v>238</v>
      </c>
      <c r="N242" s="121" t="str">
        <f t="shared" si="15"/>
        <v/>
      </c>
      <c r="P242" s="296">
        <f t="shared" si="16"/>
        <v>0</v>
      </c>
      <c r="Q242" s="290" t="str">
        <f t="shared" si="13"/>
        <v/>
      </c>
    </row>
    <row r="243" spans="1:17" x14ac:dyDescent="0.25">
      <c r="A243" s="121">
        <v>240</v>
      </c>
      <c r="B243" s="121" t="str">
        <f>IFERROR(INDEX('Miljövrärden urval för publ'!$A$2:$AA$419,MATCH('Miljövärden för publ företag'!$A243,'Miljövrärden urval för publ'!$R$2:$R$416,0),1),"")</f>
        <v>Smedjebacken Energi AB</v>
      </c>
      <c r="C243" s="121" t="str">
        <f>IFERROR(INDEX('Miljövrärden urval för publ'!$A$2:$AA$419,MATCH('Miljövärden för publ företag'!$A243,'Miljövrärden urval för publ'!$R$2:$R$416,0),2),"")</f>
        <v>Söderbärke</v>
      </c>
      <c r="D243" s="121">
        <f>IFERROR(VLOOKUP($C243,'Miljövrärden urval för publ'!$B$2:$H$416,MATCH('Miljövärden för publ företag'!D$4,'Miljövrärden urval för publ'!$B$2:$H$2,0),FALSE),"")</f>
        <v>0.104384</v>
      </c>
      <c r="E243" s="121">
        <f>IFERROR(VLOOKUP($C243,'Miljövrärden urval för publ'!$B$2:$H$416,MATCH('Miljövärden för publ företag'!E$4,'Miljövrärden urval för publ'!$B$2:$H$2,0),FALSE),"")</f>
        <v>17.032800000000002</v>
      </c>
      <c r="F243" s="121">
        <f>IFERROR(VLOOKUP($C243,'Miljövrärden urval för publ'!$B$2:$H$416,MATCH('Miljövärden för publ företag'!F$4,'Miljövrärden urval för publ'!$B$2:$H$2,0),FALSE),"")</f>
        <v>8.5152099999999997</v>
      </c>
      <c r="G243" s="121">
        <f>IFERROR(VLOOKUP($C243,'Miljövrärden urval för publ'!$B$2:$H$416,MATCH('Miljövärden för publ företag'!G$4,'Miljövrärden urval för publ'!$B$2:$H$2,0),FALSE),"")</f>
        <v>2.4657700000000001E-2</v>
      </c>
      <c r="J243" s="121">
        <f t="shared" si="14"/>
        <v>95</v>
      </c>
      <c r="M243" s="121">
        <v>239</v>
      </c>
      <c r="N243" s="121" t="str">
        <f t="shared" si="15"/>
        <v/>
      </c>
      <c r="P243" s="296">
        <f t="shared" si="16"/>
        <v>0</v>
      </c>
      <c r="Q243" s="290" t="str">
        <f t="shared" si="13"/>
        <v/>
      </c>
    </row>
    <row r="244" spans="1:17" x14ac:dyDescent="0.25">
      <c r="A244" s="121">
        <v>241</v>
      </c>
      <c r="B244" s="121" t="str">
        <f>IFERROR(INDEX('Miljövrärden urval för publ'!$A$2:$AA$419,MATCH('Miljövärden för publ företag'!$A244,'Miljövrärden urval för publ'!$R$2:$R$416,0),1),"")</f>
        <v>Sollentuna Energi &amp; Miljö AB</v>
      </c>
      <c r="C244" s="121" t="str">
        <f>IFERROR(INDEX('Miljövrärden urval för publ'!$A$2:$AA$419,MATCH('Miljövärden för publ företag'!$A244,'Miljövrärden urval för publ'!$R$2:$R$416,0),2),"")</f>
        <v>Sollentuna</v>
      </c>
      <c r="D244" s="121">
        <f>IFERROR(VLOOKUP($C244,'Miljövrärden urval för publ'!$B$2:$H$416,MATCH('Miljövärden för publ företag'!D$4,'Miljövrärden urval för publ'!$B$2:$H$2,0),FALSE),"")</f>
        <v>8.9704800000000001E-2</v>
      </c>
      <c r="E244" s="121">
        <f>IFERROR(VLOOKUP($C244,'Miljövrärden urval för publ'!$B$2:$H$416,MATCH('Miljövärden för publ företag'!E$4,'Miljövrärden urval för publ'!$B$2:$H$2,0),FALSE),"")</f>
        <v>99.8005</v>
      </c>
      <c r="F244" s="121">
        <f>IFERROR(VLOOKUP($C244,'Miljövrärden urval för publ'!$B$2:$H$416,MATCH('Miljövärden för publ företag'!F$4,'Miljövrärden urval för publ'!$B$2:$H$2,0),FALSE),"")</f>
        <v>5.2168400000000004</v>
      </c>
      <c r="G244" s="121">
        <f>IFERROR(VLOOKUP($C244,'Miljövrärden urval för publ'!$B$2:$H$416,MATCH('Miljövärden för publ företag'!G$4,'Miljövrärden urval för publ'!$B$2:$H$2,0),FALSE),"")</f>
        <v>0</v>
      </c>
      <c r="J244" s="121">
        <f t="shared" si="14"/>
        <v>96</v>
      </c>
      <c r="M244" s="121">
        <v>240</v>
      </c>
      <c r="N244" s="121" t="str">
        <f t="shared" si="15"/>
        <v/>
      </c>
      <c r="P244" s="296">
        <f t="shared" si="16"/>
        <v>0</v>
      </c>
      <c r="Q244" s="290" t="str">
        <f t="shared" si="13"/>
        <v/>
      </c>
    </row>
    <row r="245" spans="1:17" x14ac:dyDescent="0.25">
      <c r="A245" s="121">
        <v>242</v>
      </c>
      <c r="B245" s="121" t="str">
        <f>IFERROR(INDEX('Miljövrärden urval för publ'!$A$2:$AA$419,MATCH('Miljövärden för publ företag'!$A245,'Miljövrärden urval för publ'!$R$2:$R$416,0),1),"")</f>
        <v>Statkraft Värme AB</v>
      </c>
      <c r="C245" s="121" t="str">
        <f>IFERROR(INDEX('Miljövrärden urval för publ'!$A$2:$AA$419,MATCH('Miljövärden för publ företag'!$A245,'Miljövrärden urval för publ'!$R$2:$R$416,0),2),"")</f>
        <v>Kungsbacka</v>
      </c>
      <c r="D245" s="121">
        <f>IFERROR(VLOOKUP($C245,'Miljövrärden urval för publ'!$B$2:$H$416,MATCH('Miljövärden för publ företag'!D$4,'Miljövrärden urval för publ'!$B$2:$H$2,0),FALSE),"")</f>
        <v>6.3733999999999999E-2</v>
      </c>
      <c r="E245" s="121">
        <f>IFERROR(VLOOKUP($C245,'Miljövrärden urval för publ'!$B$2:$H$416,MATCH('Miljövärden för publ företag'!E$4,'Miljövrärden urval för publ'!$B$2:$H$2,0),FALSE),"")</f>
        <v>4.2104600000000003</v>
      </c>
      <c r="F245" s="121">
        <f>IFERROR(VLOOKUP($C245,'Miljövrärden urval för publ'!$B$2:$H$416,MATCH('Miljövärden för publ företag'!F$4,'Miljövrärden urval för publ'!$B$2:$H$2,0),FALSE),"")</f>
        <v>7.4283200000000003</v>
      </c>
      <c r="G245" s="121">
        <f>IFERROR(VLOOKUP($C245,'Miljövrärden urval för publ'!$B$2:$H$416,MATCH('Miljövärden för publ företag'!G$4,'Miljövrärden urval för publ'!$B$2:$H$2,0),FALSE),"")</f>
        <v>0</v>
      </c>
      <c r="J245" s="121">
        <f t="shared" si="14"/>
        <v>97</v>
      </c>
      <c r="M245" s="121">
        <v>241</v>
      </c>
      <c r="N245" s="121" t="str">
        <f t="shared" si="15"/>
        <v/>
      </c>
      <c r="P245" s="296">
        <f t="shared" si="16"/>
        <v>0</v>
      </c>
      <c r="Q245" s="290" t="str">
        <f t="shared" si="13"/>
        <v/>
      </c>
    </row>
    <row r="246" spans="1:17" x14ac:dyDescent="0.25">
      <c r="A246" s="121">
        <v>243</v>
      </c>
      <c r="B246" s="121" t="str">
        <f>IFERROR(INDEX('Miljövrärden urval för publ'!$A$2:$AA$419,MATCH('Miljövärden för publ företag'!$A246,'Miljövrärden urval för publ'!$R$2:$R$416,0),1),"")</f>
        <v>Statkraft Värme AB</v>
      </c>
      <c r="C246" s="121" t="str">
        <f>IFERROR(INDEX('Miljövrärden urval för publ'!$A$2:$AA$419,MATCH('Miljövärden för publ företag'!$A246,'Miljövrärden urval för publ'!$R$2:$R$416,0),2),"")</f>
        <v>Trosa</v>
      </c>
      <c r="D246" s="121">
        <f>IFERROR(VLOOKUP($C246,'Miljövrärden urval för publ'!$B$2:$H$416,MATCH('Miljövärden för publ företag'!D$4,'Miljövrärden urval för publ'!$B$2:$H$2,0),FALSE),"")</f>
        <v>6.9476099999999999E-2</v>
      </c>
      <c r="E246" s="121">
        <f>IFERROR(VLOOKUP($C246,'Miljövrärden urval för publ'!$B$2:$H$416,MATCH('Miljövärden för publ företag'!E$4,'Miljövrärden urval för publ'!$B$2:$H$2,0),FALSE),"")</f>
        <v>4.3139000000000003</v>
      </c>
      <c r="F246" s="121">
        <f>IFERROR(VLOOKUP($C246,'Miljövrärden urval för publ'!$B$2:$H$416,MATCH('Miljövärden för publ företag'!F$4,'Miljövrärden urval för publ'!$B$2:$H$2,0),FALSE),"")</f>
        <v>7.6323499999999997</v>
      </c>
      <c r="G246" s="121">
        <f>IFERROR(VLOOKUP($C246,'Miljövrärden urval för publ'!$B$2:$H$416,MATCH('Miljövärden för publ företag'!G$4,'Miljövrärden urval för publ'!$B$2:$H$2,0),FALSE),"")</f>
        <v>0</v>
      </c>
      <c r="J246" s="121">
        <f t="shared" si="14"/>
        <v>97</v>
      </c>
      <c r="M246" s="121">
        <v>242</v>
      </c>
      <c r="N246" s="121" t="str">
        <f t="shared" si="15"/>
        <v/>
      </c>
      <c r="P246" s="296">
        <f t="shared" si="16"/>
        <v>0</v>
      </c>
      <c r="Q246" s="290" t="str">
        <f t="shared" si="13"/>
        <v/>
      </c>
    </row>
    <row r="247" spans="1:17" x14ac:dyDescent="0.25">
      <c r="A247" s="121">
        <v>244</v>
      </c>
      <c r="B247" s="121" t="str">
        <f>IFERROR(INDEX('Miljövrärden urval för publ'!$A$2:$AA$419,MATCH('Miljövärden för publ företag'!$A247,'Miljövrärden urval för publ'!$R$2:$R$416,0),1),"")</f>
        <v>Statkraft Värme AB</v>
      </c>
      <c r="C247" s="121" t="str">
        <f>IFERROR(INDEX('Miljövrärden urval för publ'!$A$2:$AA$419,MATCH('Miljövärden för publ företag'!$A247,'Miljövrärden urval för publ'!$R$2:$R$416,0),2),"")</f>
        <v>Vagnhärad</v>
      </c>
      <c r="D247" s="121">
        <f>IFERROR(VLOOKUP($C247,'Miljövrärden urval för publ'!$B$2:$H$416,MATCH('Miljövärden för publ företag'!D$4,'Miljövrärden urval för publ'!$B$2:$H$2,0),FALSE),"")</f>
        <v>9.8686200000000002E-2</v>
      </c>
      <c r="E247" s="121">
        <f>IFERROR(VLOOKUP($C247,'Miljövrärden urval för publ'!$B$2:$H$416,MATCH('Miljövärden för publ företag'!E$4,'Miljövrärden urval för publ'!$B$2:$H$2,0),FALSE),"")</f>
        <v>13.6754</v>
      </c>
      <c r="F247" s="121">
        <f>IFERROR(VLOOKUP($C247,'Miljövrärden urval för publ'!$B$2:$H$416,MATCH('Miljövärden för publ företag'!F$4,'Miljövrärden urval för publ'!$B$2:$H$2,0),FALSE),"")</f>
        <v>9.0010899999999996</v>
      </c>
      <c r="G247" s="121">
        <f>IFERROR(VLOOKUP($C247,'Miljövrärden urval för publ'!$B$2:$H$416,MATCH('Miljövärden för publ företag'!G$4,'Miljövrärden urval för publ'!$B$2:$H$2,0),FALSE),"")</f>
        <v>2.38278E-2</v>
      </c>
      <c r="J247" s="121">
        <f t="shared" si="14"/>
        <v>97</v>
      </c>
      <c r="M247" s="121">
        <v>243</v>
      </c>
      <c r="N247" s="121" t="str">
        <f t="shared" si="15"/>
        <v/>
      </c>
      <c r="P247" s="296">
        <f t="shared" si="16"/>
        <v>0</v>
      </c>
      <c r="Q247" s="290" t="str">
        <f t="shared" si="13"/>
        <v/>
      </c>
    </row>
    <row r="248" spans="1:17" x14ac:dyDescent="0.25">
      <c r="A248" s="121">
        <v>245</v>
      </c>
      <c r="B248" s="121" t="str">
        <f>IFERROR(INDEX('Miljövrärden urval för publ'!$A$2:$AA$419,MATCH('Miljövärden för publ företag'!$A248,'Miljövrärden urval för publ'!$R$2:$R$416,0),1),"")</f>
        <v>Statkraft Värme AB</v>
      </c>
      <c r="C248" s="121" t="str">
        <f>IFERROR(INDEX('Miljövrärden urval för publ'!$A$2:$AA$419,MATCH('Miljövärden för publ företag'!$A248,'Miljövrärden urval för publ'!$R$2:$R$416,0),2),"")</f>
        <v>Åmål</v>
      </c>
      <c r="D248" s="121">
        <f>IFERROR(VLOOKUP($C248,'Miljövrärden urval för publ'!$B$2:$H$416,MATCH('Miljövärden för publ företag'!D$4,'Miljövrärden urval för publ'!$B$2:$H$2,0),FALSE),"")</f>
        <v>5.8965999999999998E-2</v>
      </c>
      <c r="E248" s="121">
        <f>IFERROR(VLOOKUP($C248,'Miljövrärden urval för publ'!$B$2:$H$416,MATCH('Miljövärden för publ företag'!E$4,'Miljövrärden urval för publ'!$B$2:$H$2,0),FALSE),"")</f>
        <v>4.5054100000000004</v>
      </c>
      <c r="F248" s="121">
        <f>IFERROR(VLOOKUP($C248,'Miljövrärden urval för publ'!$B$2:$H$416,MATCH('Miljövärden för publ företag'!F$4,'Miljövrärden urval för publ'!$B$2:$H$2,0),FALSE),"")</f>
        <v>7.4078900000000001</v>
      </c>
      <c r="G248" s="121">
        <f>IFERROR(VLOOKUP($C248,'Miljövrärden urval för publ'!$B$2:$H$416,MATCH('Miljövärden för publ företag'!G$4,'Miljövrärden urval för publ'!$B$2:$H$2,0),FALSE),"")</f>
        <v>1.1713699999999999E-3</v>
      </c>
      <c r="J248" s="121">
        <f t="shared" si="14"/>
        <v>97</v>
      </c>
      <c r="M248" s="121">
        <v>244</v>
      </c>
      <c r="N248" s="121" t="str">
        <f t="shared" si="15"/>
        <v/>
      </c>
      <c r="P248" s="296">
        <f t="shared" si="16"/>
        <v>0</v>
      </c>
      <c r="Q248" s="290" t="str">
        <f t="shared" si="13"/>
        <v/>
      </c>
    </row>
    <row r="249" spans="1:17" x14ac:dyDescent="0.25">
      <c r="A249" s="121">
        <v>246</v>
      </c>
      <c r="B249" s="121" t="str">
        <f>IFERROR(INDEX('Miljövrärden urval för publ'!$A$2:$AA$419,MATCH('Miljövärden för publ företag'!$A249,'Miljövrärden urval för publ'!$R$2:$R$416,0),1),"")</f>
        <v>Stenungsunds Energi och Miljö AB</v>
      </c>
      <c r="C249" s="121" t="str">
        <f>IFERROR(INDEX('Miljövrärden urval för publ'!$A$2:$AA$419,MATCH('Miljövärden för publ företag'!$A249,'Miljövrärden urval för publ'!$R$2:$R$416,0),2),"")</f>
        <v>Stenungsund</v>
      </c>
      <c r="D249" s="121">
        <f>IFERROR(VLOOKUP($C249,'Miljövrärden urval för publ'!$B$2:$H$416,MATCH('Miljövärden för publ företag'!D$4,'Miljövrärden urval för publ'!$B$2:$H$2,0),FALSE),"")</f>
        <v>5.4400799999999999E-2</v>
      </c>
      <c r="E249" s="121">
        <f>IFERROR(VLOOKUP($C249,'Miljövrärden urval för publ'!$B$2:$H$416,MATCH('Miljövärden för publ företag'!E$4,'Miljövrärden urval för publ'!$B$2:$H$2,0),FALSE),"")</f>
        <v>6.8575699999999999</v>
      </c>
      <c r="F249" s="121">
        <f>IFERROR(VLOOKUP($C249,'Miljövrärden urval för publ'!$B$2:$H$416,MATCH('Miljövärden för publ företag'!F$4,'Miljövrärden urval för publ'!$B$2:$H$2,0),FALSE),"")</f>
        <v>1.8025599999999999</v>
      </c>
      <c r="G249" s="121">
        <f>IFERROR(VLOOKUP($C249,'Miljövrärden urval för publ'!$B$2:$H$416,MATCH('Miljövärden för publ företag'!G$4,'Miljövrärden urval för publ'!$B$2:$H$2,0),FALSE),"")</f>
        <v>2.7156900000000001E-2</v>
      </c>
      <c r="J249" s="121">
        <f t="shared" si="14"/>
        <v>98</v>
      </c>
      <c r="M249" s="121">
        <v>245</v>
      </c>
      <c r="N249" s="121" t="str">
        <f t="shared" si="15"/>
        <v/>
      </c>
      <c r="P249" s="296">
        <f t="shared" si="16"/>
        <v>0</v>
      </c>
      <c r="Q249" s="290" t="str">
        <f t="shared" si="13"/>
        <v/>
      </c>
    </row>
    <row r="250" spans="1:17" x14ac:dyDescent="0.25">
      <c r="A250" s="121">
        <v>247</v>
      </c>
      <c r="B250" s="121" t="str">
        <f>IFERROR(INDEX('Miljövrärden urval för publ'!$A$2:$AA$419,MATCH('Miljövärden för publ företag'!$A250,'Miljövrärden urval för publ'!$R$2:$R$416,0),1),"")</f>
        <v>Stenungsunds Energi och Miljö AB</v>
      </c>
      <c r="C250" s="121" t="str">
        <f>IFERROR(INDEX('Miljövrärden urval för publ'!$A$2:$AA$419,MATCH('Miljövärden för publ företag'!$A250,'Miljövrärden urval för publ'!$R$2:$R$416,0),2),"")</f>
        <v>Stora Höga</v>
      </c>
      <c r="D250" s="121">
        <f>IFERROR(VLOOKUP($C250,'Miljövrärden urval för publ'!$B$2:$H$416,MATCH('Miljövärden för publ företag'!D$4,'Miljövrärden urval för publ'!$B$2:$H$2,0),FALSE),"")</f>
        <v>0.148979</v>
      </c>
      <c r="E250" s="121">
        <f>IFERROR(VLOOKUP($C250,'Miljövrärden urval för publ'!$B$2:$H$416,MATCH('Miljövärden för publ företag'!E$4,'Miljövrärden urval för publ'!$B$2:$H$2,0),FALSE),"")</f>
        <v>7.3256899999999998</v>
      </c>
      <c r="F250" s="121">
        <f>IFERROR(VLOOKUP($C250,'Miljövrärden urval för publ'!$B$2:$H$416,MATCH('Miljövärden för publ företag'!F$4,'Miljövrärden urval för publ'!$B$2:$H$2,0),FALSE),"")</f>
        <v>14.084899999999999</v>
      </c>
      <c r="G250" s="121">
        <f>IFERROR(VLOOKUP($C250,'Miljövrärden urval för publ'!$B$2:$H$416,MATCH('Miljövärden för publ företag'!G$4,'Miljövrärden urval för publ'!$B$2:$H$2,0),FALSE),"")</f>
        <v>1.23318E-2</v>
      </c>
      <c r="J250" s="121">
        <f t="shared" si="14"/>
        <v>98</v>
      </c>
      <c r="M250" s="121">
        <v>246</v>
      </c>
      <c r="N250" s="121" t="str">
        <f t="shared" si="15"/>
        <v/>
      </c>
      <c r="P250" s="296">
        <f t="shared" si="16"/>
        <v>0</v>
      </c>
      <c r="Q250" s="290" t="str">
        <f t="shared" si="13"/>
        <v/>
      </c>
    </row>
    <row r="251" spans="1:17" x14ac:dyDescent="0.25">
      <c r="A251" s="121">
        <v>248</v>
      </c>
      <c r="B251" s="121" t="str">
        <f>IFERROR(INDEX('Miljövrärden urval för publ'!$A$2:$AA$419,MATCH('Miljövärden för publ företag'!$A251,'Miljövrärden urval för publ'!$R$2:$R$416,0),1),"")</f>
        <v>Stockholm Exergi AB</v>
      </c>
      <c r="C251" s="121" t="str">
        <f>IFERROR(INDEX('Miljövrärden urval för publ'!$A$2:$AA$419,MATCH('Miljövärden för publ företag'!$A251,'Miljövrärden urval för publ'!$R$2:$R$416,0),2),"")</f>
        <v>Stockholm</v>
      </c>
      <c r="D251" s="121">
        <f>IFERROR(VLOOKUP($C251,'Miljövrärden urval för publ'!$B$2:$H$416,MATCH('Miljövärden för publ företag'!D$4,'Miljövrärden urval för publ'!$B$2:$H$2,0),FALSE),"")</f>
        <v>0.17238100000000001</v>
      </c>
      <c r="E251" s="121">
        <f>IFERROR(VLOOKUP($C251,'Miljövrärden urval för publ'!$B$2:$H$416,MATCH('Miljövärden för publ företag'!E$4,'Miljövrärden urval för publ'!$B$2:$H$2,0),FALSE),"")</f>
        <v>77.263800000000003</v>
      </c>
      <c r="F251" s="121">
        <f>IFERROR(VLOOKUP($C251,'Miljövrärden urval för publ'!$B$2:$H$416,MATCH('Miljövärden för publ företag'!F$4,'Miljövrärden urval för publ'!$B$2:$H$2,0),FALSE),"")</f>
        <v>4.8871399999999996</v>
      </c>
      <c r="G251" s="121">
        <f>IFERROR(VLOOKUP($C251,'Miljövrärden urval för publ'!$B$2:$H$416,MATCH('Miljövärden för publ företag'!G$4,'Miljövrärden urval för publ'!$B$2:$H$2,0),FALSE),"")</f>
        <v>0.115923</v>
      </c>
      <c r="J251" s="121">
        <f t="shared" si="14"/>
        <v>99</v>
      </c>
      <c r="M251" s="121">
        <v>247</v>
      </c>
      <c r="N251" s="121" t="str">
        <f t="shared" si="15"/>
        <v/>
      </c>
      <c r="P251" s="296">
        <f t="shared" si="16"/>
        <v>0</v>
      </c>
      <c r="Q251" s="290" t="str">
        <f t="shared" si="13"/>
        <v/>
      </c>
    </row>
    <row r="252" spans="1:17" x14ac:dyDescent="0.25">
      <c r="A252" s="121">
        <v>249</v>
      </c>
      <c r="B252" s="121" t="str">
        <f>IFERROR(INDEX('Miljövrärden urval för publ'!$A$2:$AA$419,MATCH('Miljövärden för publ företag'!$A252,'Miljövrärden urval för publ'!$R$2:$R$416,0),1),"")</f>
        <v>Stockholm Exergi AB</v>
      </c>
      <c r="C252" s="121" t="str">
        <f>IFERROR(INDEX('Miljövrärden urval för publ'!$A$2:$AA$419,MATCH('Miljövärden för publ företag'!$A252,'Miljövrärden urval för publ'!$R$2:$R$416,0),2),"")</f>
        <v>Täby</v>
      </c>
      <c r="D252" s="121">
        <f>IFERROR(VLOOKUP($C252,'Miljövrärden urval för publ'!$B$2:$H$416,MATCH('Miljövärden för publ företag'!D$4,'Miljövrärden urval för publ'!$B$2:$H$2,0),FALSE),"")</f>
        <v>0.52318100000000001</v>
      </c>
      <c r="E252" s="121">
        <f>IFERROR(VLOOKUP($C252,'Miljövrärden urval för publ'!$B$2:$H$416,MATCH('Miljövärden för publ företag'!E$4,'Miljövrärden urval för publ'!$B$2:$H$2,0),FALSE),"")</f>
        <v>69.256900000000002</v>
      </c>
      <c r="F252" s="121">
        <f>IFERROR(VLOOKUP($C252,'Miljövrärden urval för publ'!$B$2:$H$416,MATCH('Miljövärden för publ företag'!F$4,'Miljövrärden urval för publ'!$B$2:$H$2,0),FALSE),"")</f>
        <v>5.9041300000000003</v>
      </c>
      <c r="G252" s="121">
        <f>IFERROR(VLOOKUP($C252,'Miljövrärden urval för publ'!$B$2:$H$416,MATCH('Miljövärden för publ företag'!G$4,'Miljövrärden urval för publ'!$B$2:$H$2,0),FALSE),"")</f>
        <v>7.9658099999999996E-2</v>
      </c>
      <c r="J252" s="121">
        <f t="shared" si="14"/>
        <v>99</v>
      </c>
      <c r="M252" s="121">
        <v>248</v>
      </c>
      <c r="N252" s="121" t="str">
        <f t="shared" si="15"/>
        <v/>
      </c>
      <c r="P252" s="296">
        <f t="shared" si="16"/>
        <v>0</v>
      </c>
      <c r="Q252" s="290" t="str">
        <f t="shared" si="13"/>
        <v/>
      </c>
    </row>
    <row r="253" spans="1:17" x14ac:dyDescent="0.25">
      <c r="A253" s="121">
        <v>250</v>
      </c>
      <c r="B253" s="121" t="str">
        <f>IFERROR(INDEX('Miljövrärden urval för publ'!$A$2:$AA$419,MATCH('Miljövärden för publ företag'!$A253,'Miljövrärden urval för publ'!$R$2:$R$416,0),1),"")</f>
        <v>Sundsvall Energi AB</v>
      </c>
      <c r="C253" s="121" t="str">
        <f>IFERROR(INDEX('Miljövrärden urval för publ'!$A$2:$AA$419,MATCH('Miljövärden för publ företag'!$A253,'Miljövrärden urval för publ'!$R$2:$R$416,0),2),"")</f>
        <v>Kvissleby</v>
      </c>
      <c r="D253" s="121">
        <f>IFERROR(VLOOKUP($C253,'Miljövrärden urval för publ'!$B$2:$H$416,MATCH('Miljövärden för publ företag'!D$4,'Miljövrärden urval för publ'!$B$2:$H$2,0),FALSE),"")</f>
        <v>0.33237499999999998</v>
      </c>
      <c r="E253" s="121">
        <f>IFERROR(VLOOKUP($C253,'Miljövrärden urval för publ'!$B$2:$H$416,MATCH('Miljövärden för publ företag'!E$4,'Miljövrärden urval för publ'!$B$2:$H$2,0),FALSE),"")</f>
        <v>69.433199999999999</v>
      </c>
      <c r="F253" s="121">
        <f>IFERROR(VLOOKUP($C253,'Miljövrärden urval för publ'!$B$2:$H$416,MATCH('Miljövärden för publ företag'!F$4,'Miljövrärden urval för publ'!$B$2:$H$2,0),FALSE),"")</f>
        <v>12.0266</v>
      </c>
      <c r="G253" s="121">
        <f>IFERROR(VLOOKUP($C253,'Miljövrärden urval för publ'!$B$2:$H$416,MATCH('Miljövärden för publ företag'!G$4,'Miljövrärden urval för publ'!$B$2:$H$2,0),FALSE),"")</f>
        <v>0.13588800000000001</v>
      </c>
      <c r="J253" s="121">
        <f t="shared" si="14"/>
        <v>100</v>
      </c>
      <c r="M253" s="121">
        <v>249</v>
      </c>
      <c r="N253" s="121" t="str">
        <f t="shared" si="15"/>
        <v/>
      </c>
      <c r="P253" s="296">
        <f t="shared" si="16"/>
        <v>0</v>
      </c>
      <c r="Q253" s="290" t="str">
        <f t="shared" si="13"/>
        <v/>
      </c>
    </row>
    <row r="254" spans="1:17" x14ac:dyDescent="0.25">
      <c r="A254" s="121">
        <v>251</v>
      </c>
      <c r="B254" s="121" t="str">
        <f>IFERROR(INDEX('Miljövrärden urval för publ'!$A$2:$AA$419,MATCH('Miljövärden för publ företag'!$A254,'Miljövrärden urval för publ'!$R$2:$R$416,0),1),"")</f>
        <v>Sundsvall Energi AB</v>
      </c>
      <c r="C254" s="121" t="str">
        <f>IFERROR(INDEX('Miljövrärden urval för publ'!$A$2:$AA$419,MATCH('Miljövärden för publ företag'!$A254,'Miljövrärden urval för publ'!$R$2:$R$416,0),2),"")</f>
        <v>Matfors</v>
      </c>
      <c r="D254" s="121">
        <f>IFERROR(VLOOKUP($C254,'Miljövrärden urval för publ'!$B$2:$H$416,MATCH('Miljövärden för publ företag'!D$4,'Miljövrärden urval för publ'!$B$2:$H$2,0),FALSE),"")</f>
        <v>0.14496899999999999</v>
      </c>
      <c r="E254" s="121">
        <f>IFERROR(VLOOKUP($C254,'Miljövrärden urval för publ'!$B$2:$H$416,MATCH('Miljövärden för publ företag'!E$4,'Miljövrärden urval för publ'!$B$2:$H$2,0),FALSE),"")</f>
        <v>23.698699999999999</v>
      </c>
      <c r="F254" s="121">
        <f>IFERROR(VLOOKUP($C254,'Miljövrärden urval för publ'!$B$2:$H$416,MATCH('Miljövärden för publ företag'!F$4,'Miljövrärden urval för publ'!$B$2:$H$2,0),FALSE),"")</f>
        <v>7.6882299999999999</v>
      </c>
      <c r="G254" s="121">
        <f>IFERROR(VLOOKUP($C254,'Miljövrärden urval för publ'!$B$2:$H$416,MATCH('Miljövärden för publ företag'!G$4,'Miljövrärden urval för publ'!$B$2:$H$2,0),FALSE),"")</f>
        <v>4.0067100000000001E-2</v>
      </c>
      <c r="J254" s="121">
        <f t="shared" si="14"/>
        <v>100</v>
      </c>
      <c r="M254" s="121">
        <v>250</v>
      </c>
      <c r="N254" s="121" t="str">
        <f t="shared" si="15"/>
        <v/>
      </c>
      <c r="P254" s="296">
        <f t="shared" si="16"/>
        <v>0</v>
      </c>
      <c r="Q254" s="290" t="str">
        <f t="shared" si="13"/>
        <v/>
      </c>
    </row>
    <row r="255" spans="1:17" x14ac:dyDescent="0.25">
      <c r="A255" s="121">
        <v>252</v>
      </c>
      <c r="B255" s="121" t="str">
        <f>IFERROR(INDEX('Miljövrärden urval för publ'!$A$2:$AA$419,MATCH('Miljövärden för publ företag'!$A255,'Miljövrärden urval för publ'!$R$2:$R$416,0),1),"")</f>
        <v>Sundsvall Energi AB</v>
      </c>
      <c r="C255" s="121" t="str">
        <f>IFERROR(INDEX('Miljövrärden urval för publ'!$A$2:$AA$419,MATCH('Miljövärden för publ företag'!$A255,'Miljövrärden urval för publ'!$R$2:$R$416,0),2),"")</f>
        <v>Sundsvall</v>
      </c>
      <c r="D255" s="121">
        <f>IFERROR(VLOOKUP($C255,'Miljövrärden urval för publ'!$B$2:$H$416,MATCH('Miljövärden för publ företag'!D$4,'Miljövrärden urval för publ'!$B$2:$H$2,0),FALSE),"")</f>
        <v>0.18005299999999999</v>
      </c>
      <c r="E255" s="121">
        <f>IFERROR(VLOOKUP($C255,'Miljövrärden urval för publ'!$B$2:$H$416,MATCH('Miljövärden för publ företag'!E$4,'Miljövrärden urval för publ'!$B$2:$H$2,0),FALSE),"")</f>
        <v>110.27200000000001</v>
      </c>
      <c r="F255" s="121">
        <f>IFERROR(VLOOKUP($C255,'Miljövrärden urval för publ'!$B$2:$H$416,MATCH('Miljövärden för publ företag'!F$4,'Miljövrärden urval för publ'!$B$2:$H$2,0),FALSE),"")</f>
        <v>7.42692</v>
      </c>
      <c r="G255" s="121">
        <f>IFERROR(VLOOKUP($C255,'Miljövrärden urval för publ'!$B$2:$H$416,MATCH('Miljövärden för publ företag'!G$4,'Miljövrärden urval för publ'!$B$2:$H$2,0),FALSE),"")</f>
        <v>2.6358099999999999E-2</v>
      </c>
      <c r="J255" s="121">
        <f t="shared" si="14"/>
        <v>100</v>
      </c>
      <c r="M255" s="121">
        <v>251</v>
      </c>
      <c r="N255" s="121" t="str">
        <f t="shared" si="15"/>
        <v/>
      </c>
      <c r="P255" s="296">
        <f t="shared" si="16"/>
        <v>0</v>
      </c>
      <c r="Q255" s="290" t="str">
        <f t="shared" si="13"/>
        <v/>
      </c>
    </row>
    <row r="256" spans="1:17" x14ac:dyDescent="0.25">
      <c r="A256" s="121">
        <v>253</v>
      </c>
      <c r="B256" s="121" t="str">
        <f>IFERROR(INDEX('Miljövrärden urval för publ'!$A$2:$AA$419,MATCH('Miljövärden för publ företag'!$A256,'Miljövrärden urval för publ'!$R$2:$R$416,0),1),"")</f>
        <v>Sundsvall Energi AB</v>
      </c>
      <c r="C256" s="121" t="str">
        <f>IFERROR(INDEX('Miljövrärden urval för publ'!$A$2:$AA$419,MATCH('Miljövärden för publ företag'!$A256,'Miljövrärden urval för publ'!$R$2:$R$416,0),2),"")</f>
        <v>Tunadal</v>
      </c>
      <c r="D256" s="121">
        <f>IFERROR(VLOOKUP($C256,'Miljövrärden urval för publ'!$B$2:$H$416,MATCH('Miljövärden för publ företag'!D$4,'Miljövrärden urval för publ'!$B$2:$H$2,0),FALSE),"")</f>
        <v>0.89398</v>
      </c>
      <c r="E256" s="121">
        <f>IFERROR(VLOOKUP($C256,'Miljövrärden urval för publ'!$B$2:$H$416,MATCH('Miljövärden för publ företag'!E$4,'Miljövrärden urval för publ'!$B$2:$H$2,0),FALSE),"")</f>
        <v>231.65899999999999</v>
      </c>
      <c r="F256" s="121">
        <f>IFERROR(VLOOKUP($C256,'Miljövrärden urval för publ'!$B$2:$H$416,MATCH('Miljövärden för publ företag'!F$4,'Miljövrärden urval för publ'!$B$2:$H$2,0),FALSE),"")</f>
        <v>2.5897600000000001</v>
      </c>
      <c r="G256" s="121">
        <f>IFERROR(VLOOKUP($C256,'Miljövrärden urval för publ'!$B$2:$H$416,MATCH('Miljövärden för publ företag'!G$4,'Miljövrärden urval för publ'!$B$2:$H$2,0),FALSE),"")</f>
        <v>0.14677499999999999</v>
      </c>
      <c r="J256" s="121">
        <f t="shared" si="14"/>
        <v>100</v>
      </c>
      <c r="M256" s="121">
        <v>252</v>
      </c>
      <c r="N256" s="121" t="str">
        <f t="shared" si="15"/>
        <v/>
      </c>
      <c r="P256" s="296">
        <f t="shared" si="16"/>
        <v>0</v>
      </c>
      <c r="Q256" s="290" t="str">
        <f t="shared" si="13"/>
        <v/>
      </c>
    </row>
    <row r="257" spans="1:17" x14ac:dyDescent="0.25">
      <c r="A257" s="121">
        <v>254</v>
      </c>
      <c r="B257" s="121" t="str">
        <f>IFERROR(INDEX('Miljövrärden urval för publ'!$A$2:$AA$419,MATCH('Miljövärden för publ företag'!$A257,'Miljövrärden urval för publ'!$R$2:$R$416,0),1),"")</f>
        <v>Sundsvall Energi AB</v>
      </c>
      <c r="C257" s="121" t="str">
        <f>IFERROR(INDEX('Miljövrärden urval för publ'!$A$2:$AA$419,MATCH('Miljövärden för publ företag'!$A257,'Miljövrärden urval för publ'!$R$2:$R$416,0),2),"")</f>
        <v>Övriga nät Sundsvall energi</v>
      </c>
      <c r="D257" s="121">
        <f>IFERROR(VLOOKUP($C257,'Miljövrärden urval för publ'!$B$2:$H$416,MATCH('Miljövärden för publ företag'!D$4,'Miljövrärden urval för publ'!$B$2:$H$2,0),FALSE),"")</f>
        <v>0.29254400000000003</v>
      </c>
      <c r="E257" s="121">
        <f>IFERROR(VLOOKUP($C257,'Miljövrärden urval för publ'!$B$2:$H$416,MATCH('Miljövärden för publ företag'!E$4,'Miljövrärden urval för publ'!$B$2:$H$2,0),FALSE),"")</f>
        <v>39.807699999999997</v>
      </c>
      <c r="F257" s="121">
        <f>IFERROR(VLOOKUP($C257,'Miljövrärden urval för publ'!$B$2:$H$416,MATCH('Miljövärden för publ företag'!F$4,'Miljövrärden urval för publ'!$B$2:$H$2,0),FALSE),"")</f>
        <v>20.184799999999999</v>
      </c>
      <c r="G257" s="121">
        <f>IFERROR(VLOOKUP($C257,'Miljövrärden urval för publ'!$B$2:$H$416,MATCH('Miljövärden för publ företag'!G$4,'Miljövrärden urval för publ'!$B$2:$H$2,0),FALSE),"")</f>
        <v>9.4080499999999997E-2</v>
      </c>
      <c r="J257" s="121">
        <f t="shared" si="14"/>
        <v>100</v>
      </c>
      <c r="M257" s="121">
        <v>253</v>
      </c>
      <c r="N257" s="121" t="str">
        <f t="shared" si="15"/>
        <v/>
      </c>
      <c r="P257" s="296">
        <f t="shared" si="16"/>
        <v>0</v>
      </c>
      <c r="Q257" s="290" t="str">
        <f t="shared" si="13"/>
        <v/>
      </c>
    </row>
    <row r="258" spans="1:17" x14ac:dyDescent="0.25">
      <c r="A258" s="121">
        <v>255</v>
      </c>
      <c r="B258" s="121" t="str">
        <f>IFERROR(INDEX('Miljövrärden urval för publ'!$A$2:$AA$419,MATCH('Miljövärden för publ företag'!$A258,'Miljövrärden urval för publ'!$R$2:$R$416,0),1),"")</f>
        <v>Söderhamn Nära AB</v>
      </c>
      <c r="C258" s="121" t="str">
        <f>IFERROR(INDEX('Miljövrärden urval för publ'!$A$2:$AA$419,MATCH('Miljövärden för publ företag'!$A258,'Miljövrärden urval för publ'!$R$2:$R$416,0),2),"")</f>
        <v>Ljusne</v>
      </c>
      <c r="D258" s="121">
        <f>IFERROR(VLOOKUP($C258,'Miljövrärden urval för publ'!$B$2:$H$416,MATCH('Miljövärden för publ företag'!D$4,'Miljövrärden urval för publ'!$B$2:$H$2,0),FALSE),"")</f>
        <v>0.26423400000000002</v>
      </c>
      <c r="E258" s="121">
        <f>IFERROR(VLOOKUP($C258,'Miljövrärden urval för publ'!$B$2:$H$416,MATCH('Miljövärden för publ företag'!E$4,'Miljövrärden urval för publ'!$B$2:$H$2,0),FALSE),"")</f>
        <v>55.101799999999997</v>
      </c>
      <c r="F258" s="121">
        <f>IFERROR(VLOOKUP($C258,'Miljövrärden urval för publ'!$B$2:$H$416,MATCH('Miljövärden för publ företag'!F$4,'Miljövrärden urval för publ'!$B$2:$H$2,0),FALSE),"")</f>
        <v>12.728400000000001</v>
      </c>
      <c r="G258" s="121">
        <f>IFERROR(VLOOKUP($C258,'Miljövrärden urval för publ'!$B$2:$H$416,MATCH('Miljövärden för publ företag'!G$4,'Miljövrärden urval för publ'!$B$2:$H$2,0),FALSE),"")</f>
        <v>0.12697900000000001</v>
      </c>
      <c r="J258" s="121">
        <f t="shared" si="14"/>
        <v>101</v>
      </c>
      <c r="M258" s="121">
        <v>254</v>
      </c>
      <c r="N258" s="121" t="str">
        <f t="shared" si="15"/>
        <v/>
      </c>
      <c r="P258" s="296">
        <f t="shared" si="16"/>
        <v>0</v>
      </c>
      <c r="Q258" s="290" t="str">
        <f t="shared" si="13"/>
        <v/>
      </c>
    </row>
    <row r="259" spans="1:17" x14ac:dyDescent="0.25">
      <c r="A259" s="121">
        <v>256</v>
      </c>
      <c r="B259" s="121" t="str">
        <f>IFERROR(INDEX('Miljövrärden urval för publ'!$A$2:$AA$419,MATCH('Miljövärden för publ företag'!$A259,'Miljövrärden urval för publ'!$R$2:$R$416,0),1),"")</f>
        <v>Söderhamn Nära AB</v>
      </c>
      <c r="C259" s="121" t="str">
        <f>IFERROR(INDEX('Miljövrärden urval för publ'!$A$2:$AA$419,MATCH('Miljövärden för publ företag'!$A259,'Miljövrärden urval för publ'!$R$2:$R$416,0),2),"")</f>
        <v>Sandarne</v>
      </c>
      <c r="D259" s="121">
        <f>IFERROR(VLOOKUP($C259,'Miljövrärden urval för publ'!$B$2:$H$416,MATCH('Miljövärden för publ företag'!D$4,'Miljövrärden urval för publ'!$B$2:$H$2,0),FALSE),"")</f>
        <v>0.19256699999999999</v>
      </c>
      <c r="E259" s="121">
        <f>IFERROR(VLOOKUP($C259,'Miljövrärden urval för publ'!$B$2:$H$416,MATCH('Miljövärden för publ företag'!E$4,'Miljövrärden urval för publ'!$B$2:$H$2,0),FALSE),"")</f>
        <v>11.678599999999999</v>
      </c>
      <c r="F259" s="121">
        <f>IFERROR(VLOOKUP($C259,'Miljövrärden urval för publ'!$B$2:$H$416,MATCH('Miljövärden för publ företag'!F$4,'Miljövrärden urval för publ'!$B$2:$H$2,0),FALSE),"")</f>
        <v>18.1861</v>
      </c>
      <c r="G259" s="121">
        <f>IFERROR(VLOOKUP($C259,'Miljövrärden urval för publ'!$B$2:$H$416,MATCH('Miljövärden för publ företag'!G$4,'Miljövrärden urval för publ'!$B$2:$H$2,0),FALSE),"")</f>
        <v>1.90105E-2</v>
      </c>
      <c r="J259" s="121">
        <f t="shared" si="14"/>
        <v>101</v>
      </c>
      <c r="M259" s="121">
        <v>255</v>
      </c>
      <c r="N259" s="121" t="str">
        <f t="shared" si="15"/>
        <v/>
      </c>
      <c r="P259" s="296">
        <f t="shared" si="16"/>
        <v>0</v>
      </c>
      <c r="Q259" s="290" t="str">
        <f t="shared" si="13"/>
        <v/>
      </c>
    </row>
    <row r="260" spans="1:17" x14ac:dyDescent="0.25">
      <c r="A260" s="121">
        <v>257</v>
      </c>
      <c r="B260" s="121" t="str">
        <f>IFERROR(INDEX('Miljövrärden urval för publ'!$A$2:$AA$419,MATCH('Miljövärden för publ företag'!$A260,'Miljövrärden urval för publ'!$R$2:$R$416,0),1),"")</f>
        <v>Söderhamn Nära AB</v>
      </c>
      <c r="C260" s="121" t="str">
        <f>IFERROR(INDEX('Miljövrärden urval för publ'!$A$2:$AA$419,MATCH('Miljövärden för publ företag'!$A260,'Miljövrärden urval för publ'!$R$2:$R$416,0),2),"")</f>
        <v>Söderhamn</v>
      </c>
      <c r="D260" s="121">
        <f>IFERROR(VLOOKUP($C260,'Miljövrärden urval för publ'!$B$2:$H$416,MATCH('Miljövärden för publ företag'!D$4,'Miljövrärden urval för publ'!$B$2:$H$2,0),FALSE),"")</f>
        <v>0.12837799999999999</v>
      </c>
      <c r="E260" s="121">
        <f>IFERROR(VLOOKUP($C260,'Miljövrärden urval för publ'!$B$2:$H$416,MATCH('Miljövärden för publ företag'!E$4,'Miljövrärden urval för publ'!$B$2:$H$2,0),FALSE),"")</f>
        <v>5.79854</v>
      </c>
      <c r="F260" s="121">
        <f>IFERROR(VLOOKUP($C260,'Miljövrärden urval för publ'!$B$2:$H$416,MATCH('Miljövärden för publ företag'!F$4,'Miljövrärden urval för publ'!$B$2:$H$2,0),FALSE),"")</f>
        <v>7.8837799999999998</v>
      </c>
      <c r="G260" s="121">
        <f>IFERROR(VLOOKUP($C260,'Miljövrärden urval för publ'!$B$2:$H$416,MATCH('Miljövärden för publ företag'!G$4,'Miljövrärden urval för publ'!$B$2:$H$2,0),FALSE),"")</f>
        <v>6.6030699999999999E-3</v>
      </c>
      <c r="J260" s="121">
        <f t="shared" si="14"/>
        <v>101</v>
      </c>
      <c r="M260" s="121">
        <v>256</v>
      </c>
      <c r="N260" s="121" t="str">
        <f t="shared" si="15"/>
        <v/>
      </c>
      <c r="P260" s="296">
        <f t="shared" si="16"/>
        <v>0</v>
      </c>
      <c r="Q260" s="290" t="str">
        <f t="shared" si="13"/>
        <v/>
      </c>
    </row>
    <row r="261" spans="1:17" x14ac:dyDescent="0.25">
      <c r="A261" s="121">
        <v>258</v>
      </c>
      <c r="B261" s="121" t="str">
        <f>IFERROR(INDEX('Miljövrärden urval för publ'!$A$2:$AA$419,MATCH('Miljövärden för publ företag'!$A261,'Miljövrärden urval för publ'!$R$2:$R$416,0),1),"")</f>
        <v>Södertörns Fjärrvärme AB</v>
      </c>
      <c r="C261" s="121" t="str">
        <f>IFERROR(INDEX('Miljövrärden urval för publ'!$A$2:$AA$419,MATCH('Miljövärden för publ företag'!$A261,'Miljövrärden urval för publ'!$R$2:$R$416,0),2),"")</f>
        <v>Södertörn Fjärrvärme Totalt</v>
      </c>
      <c r="D261" s="121">
        <f>IFERROR(VLOOKUP($C261,'Miljövrärden urval för publ'!$B$2:$H$416,MATCH('Miljövärden för publ företag'!D$4,'Miljövrärden urval för publ'!$B$2:$H$2,0),FALSE),"")</f>
        <v>6.9791000000000006E-2</v>
      </c>
      <c r="E261" s="121">
        <f>IFERROR(VLOOKUP($C261,'Miljövrärden urval för publ'!$B$2:$H$416,MATCH('Miljövärden för publ företag'!E$4,'Miljövrärden urval för publ'!$B$2:$H$2,0),FALSE),"")</f>
        <v>35.1813</v>
      </c>
      <c r="F261" s="121">
        <f>IFERROR(VLOOKUP($C261,'Miljövrärden urval för publ'!$B$2:$H$416,MATCH('Miljövärden för publ företag'!F$4,'Miljövrärden urval för publ'!$B$2:$H$2,0),FALSE),"")</f>
        <v>3.63388</v>
      </c>
      <c r="G261" s="121">
        <f>IFERROR(VLOOKUP($C261,'Miljövrärden urval för publ'!$B$2:$H$416,MATCH('Miljövärden för publ företag'!G$4,'Miljövrärden urval för publ'!$B$2:$H$2,0),FALSE),"")</f>
        <v>1.7193199999999999E-2</v>
      </c>
      <c r="J261" s="121">
        <f t="shared" si="14"/>
        <v>102</v>
      </c>
      <c r="M261" s="121">
        <v>257</v>
      </c>
      <c r="N261" s="121" t="str">
        <f t="shared" si="15"/>
        <v/>
      </c>
      <c r="P261" s="296">
        <f t="shared" si="16"/>
        <v>0</v>
      </c>
      <c r="Q261" s="290" t="str">
        <f t="shared" ref="Q261:Q324" si="17">IF(B261=$R$2,C261,"")</f>
        <v/>
      </c>
    </row>
    <row r="262" spans="1:17" x14ac:dyDescent="0.25">
      <c r="A262" s="121">
        <v>259</v>
      </c>
      <c r="B262" s="121" t="str">
        <f>IFERROR(INDEX('Miljövrärden urval för publ'!$A$2:$AA$419,MATCH('Miljövärden för publ företag'!$A262,'Miljövrärden urval för publ'!$R$2:$R$416,0),1),"")</f>
        <v>Tekniska Verken i Linköping AB</v>
      </c>
      <c r="C262" s="121" t="str">
        <f>IFERROR(INDEX('Miljövrärden urval för publ'!$A$2:$AA$419,MATCH('Miljövärden för publ företag'!$A262,'Miljövrärden urval för publ'!$R$2:$R$416,0),2),"")</f>
        <v>Borensberg</v>
      </c>
      <c r="D262" s="121">
        <f>IFERROR(VLOOKUP($C262,'Miljövrärden urval för publ'!$B$2:$H$416,MATCH('Miljövärden för publ företag'!D$4,'Miljövrärden urval för publ'!$B$2:$H$2,0),FALSE),"")</f>
        <v>8.9928599999999997E-2</v>
      </c>
      <c r="E262" s="121">
        <f>IFERROR(VLOOKUP($C262,'Miljövrärden urval för publ'!$B$2:$H$416,MATCH('Miljövärden för publ företag'!E$4,'Miljövrärden urval för publ'!$B$2:$H$2,0),FALSE),"")</f>
        <v>5.9357100000000003</v>
      </c>
      <c r="F262" s="121">
        <f>IFERROR(VLOOKUP($C262,'Miljövrärden urval för publ'!$B$2:$H$416,MATCH('Miljövärden för publ företag'!F$4,'Miljövrärden urval för publ'!$B$2:$H$2,0),FALSE),"")</f>
        <v>10.668799999999999</v>
      </c>
      <c r="G262" s="121">
        <f>IFERROR(VLOOKUP($C262,'Miljövrärden urval för publ'!$B$2:$H$416,MATCH('Miljövärden för publ företag'!G$4,'Miljövrärden urval för publ'!$B$2:$H$2,0),FALSE),"")</f>
        <v>0</v>
      </c>
      <c r="J262" s="121">
        <f t="shared" ref="J262:J325" si="18">IF(B262=B261,J261,J261+1)</f>
        <v>103</v>
      </c>
      <c r="M262" s="121">
        <v>258</v>
      </c>
      <c r="N262" s="121" t="str">
        <f t="shared" ref="N262:N325" si="19">IFERROR(INDEX($B$4:$J$487,MATCH(M262,$J$4:$J$369,0),1),"")</f>
        <v/>
      </c>
      <c r="P262" s="296">
        <f t="shared" ref="P262:P325" si="20">IF(Q262="",P261,P261+1)</f>
        <v>0</v>
      </c>
      <c r="Q262" s="290" t="str">
        <f t="shared" si="17"/>
        <v/>
      </c>
    </row>
    <row r="263" spans="1:17" x14ac:dyDescent="0.25">
      <c r="A263" s="121">
        <v>260</v>
      </c>
      <c r="B263" s="121" t="str">
        <f>IFERROR(INDEX('Miljövrärden urval för publ'!$A$2:$AA$419,MATCH('Miljövärden för publ företag'!$A263,'Miljövrärden urval för publ'!$R$2:$R$416,0),1),"")</f>
        <v>Tekniska Verken i Linköping AB</v>
      </c>
      <c r="C263" s="121" t="str">
        <f>IFERROR(INDEX('Miljövrärden urval för publ'!$A$2:$AA$419,MATCH('Miljövärden för publ företag'!$A263,'Miljövrärden urval för publ'!$R$2:$R$416,0),2),"")</f>
        <v>Katrineholm</v>
      </c>
      <c r="D263" s="121">
        <f>IFERROR(VLOOKUP($C263,'Miljövrärden urval för publ'!$B$2:$H$416,MATCH('Miljövärden för publ företag'!D$4,'Miljövrärden urval för publ'!$B$2:$H$2,0),FALSE),"")</f>
        <v>5.3736699999999998E-2</v>
      </c>
      <c r="E263" s="121">
        <f>IFERROR(VLOOKUP($C263,'Miljövrärden urval för publ'!$B$2:$H$416,MATCH('Miljövärden för publ företag'!E$4,'Miljövrärden urval för publ'!$B$2:$H$2,0),FALSE),"")</f>
        <v>4.2982300000000002</v>
      </c>
      <c r="F263" s="121">
        <f>IFERROR(VLOOKUP($C263,'Miljövrärden urval för publ'!$B$2:$H$416,MATCH('Miljövärden för publ företag'!F$4,'Miljövrärden urval för publ'!$B$2:$H$2,0),FALSE),"")</f>
        <v>4.7138999999999998</v>
      </c>
      <c r="G263" s="121">
        <f>IFERROR(VLOOKUP($C263,'Miljövrärden urval för publ'!$B$2:$H$416,MATCH('Miljövärden för publ företag'!G$4,'Miljövrärden urval för publ'!$B$2:$H$2,0),FALSE),"")</f>
        <v>0</v>
      </c>
      <c r="J263" s="121">
        <f t="shared" si="18"/>
        <v>103</v>
      </c>
      <c r="M263" s="121">
        <v>259</v>
      </c>
      <c r="N263" s="121" t="str">
        <f t="shared" si="19"/>
        <v/>
      </c>
      <c r="P263" s="296">
        <f t="shared" si="20"/>
        <v>0</v>
      </c>
      <c r="Q263" s="290" t="str">
        <f t="shared" si="17"/>
        <v/>
      </c>
    </row>
    <row r="264" spans="1:17" x14ac:dyDescent="0.25">
      <c r="A264" s="121">
        <v>261</v>
      </c>
      <c r="B264" s="121" t="str">
        <f>IFERROR(INDEX('Miljövrärden urval för publ'!$A$2:$AA$419,MATCH('Miljövärden för publ företag'!$A264,'Miljövrärden urval för publ'!$R$2:$R$416,0),1),"")</f>
        <v>Tekniska Verken i Linköping AB</v>
      </c>
      <c r="C264" s="121" t="str">
        <f>IFERROR(INDEX('Miljövrärden urval för publ'!$A$2:$AA$419,MATCH('Miljövärden för publ företag'!$A264,'Miljövrärden urval för publ'!$R$2:$R$416,0),2),"")</f>
        <v>Kisa</v>
      </c>
      <c r="D264" s="121">
        <f>IFERROR(VLOOKUP($C264,'Miljövrärden urval för publ'!$B$2:$H$416,MATCH('Miljövärden för publ företag'!D$4,'Miljövrärden urval för publ'!$B$2:$H$2,0),FALSE),"")</f>
        <v>9.5203499999999996E-2</v>
      </c>
      <c r="E264" s="121">
        <f>IFERROR(VLOOKUP($C264,'Miljövrärden urval för publ'!$B$2:$H$416,MATCH('Miljövärden för publ företag'!E$4,'Miljövrärden urval för publ'!$B$2:$H$2,0),FALSE),"")</f>
        <v>18.638200000000001</v>
      </c>
      <c r="F264" s="121">
        <f>IFERROR(VLOOKUP($C264,'Miljövrärden urval för publ'!$B$2:$H$416,MATCH('Miljövärden för publ företag'!F$4,'Miljövrärden urval för publ'!$B$2:$H$2,0),FALSE),"")</f>
        <v>10.3864</v>
      </c>
      <c r="G264" s="121">
        <f>IFERROR(VLOOKUP($C264,'Miljövrärden urval för publ'!$B$2:$H$416,MATCH('Miljövärden för publ företag'!G$4,'Miljövrärden urval för publ'!$B$2:$H$2,0),FALSE),"")</f>
        <v>3.6107399999999998E-2</v>
      </c>
      <c r="J264" s="121">
        <f t="shared" si="18"/>
        <v>103</v>
      </c>
      <c r="M264" s="121">
        <v>260</v>
      </c>
      <c r="N264" s="121" t="str">
        <f t="shared" si="19"/>
        <v/>
      </c>
      <c r="P264" s="296">
        <f t="shared" si="20"/>
        <v>0</v>
      </c>
      <c r="Q264" s="290" t="str">
        <f t="shared" si="17"/>
        <v/>
      </c>
    </row>
    <row r="265" spans="1:17" x14ac:dyDescent="0.25">
      <c r="A265" s="121">
        <v>262</v>
      </c>
      <c r="B265" s="121" t="str">
        <f>IFERROR(INDEX('Miljövrärden urval för publ'!$A$2:$AA$419,MATCH('Miljövärden för publ företag'!$A265,'Miljövrärden urval för publ'!$R$2:$R$416,0),1),"")</f>
        <v>Tekniska Verken i Linköping AB</v>
      </c>
      <c r="C265" s="121" t="str">
        <f>IFERROR(INDEX('Miljövrärden urval för publ'!$A$2:$AA$419,MATCH('Miljövärden för publ företag'!$A265,'Miljövrärden urval för publ'!$R$2:$R$416,0),2),"")</f>
        <v>Linköping</v>
      </c>
      <c r="D265" s="121">
        <f>IFERROR(VLOOKUP($C265,'Miljövrärden urval för publ'!$B$2:$H$416,MATCH('Miljövärden för publ företag'!D$4,'Miljövrärden urval för publ'!$B$2:$H$2,0),FALSE),"")</f>
        <v>0.119863</v>
      </c>
      <c r="E265" s="121">
        <f>IFERROR(VLOOKUP($C265,'Miljövrärden urval för publ'!$B$2:$H$416,MATCH('Miljövärden för publ företag'!E$4,'Miljövrärden urval för publ'!$B$2:$H$2,0),FALSE),"")</f>
        <v>132.072</v>
      </c>
      <c r="F265" s="121">
        <f>IFERROR(VLOOKUP($C265,'Miljövrärden urval för publ'!$B$2:$H$416,MATCH('Miljövärden för publ företag'!F$4,'Miljövrärden urval för publ'!$B$2:$H$2,0),FALSE),"")</f>
        <v>4.2682399999999996</v>
      </c>
      <c r="G265" s="121">
        <f>IFERROR(VLOOKUP($C265,'Miljövrärden urval för publ'!$B$2:$H$416,MATCH('Miljövärden för publ företag'!G$4,'Miljövrärden urval för publ'!$B$2:$H$2,0),FALSE),"")</f>
        <v>6.16979E-2</v>
      </c>
      <c r="J265" s="121">
        <f t="shared" si="18"/>
        <v>103</v>
      </c>
      <c r="M265" s="121">
        <v>261</v>
      </c>
      <c r="N265" s="121" t="str">
        <f t="shared" si="19"/>
        <v/>
      </c>
      <c r="P265" s="296">
        <f t="shared" si="20"/>
        <v>0</v>
      </c>
      <c r="Q265" s="290" t="str">
        <f t="shared" si="17"/>
        <v/>
      </c>
    </row>
    <row r="266" spans="1:17" x14ac:dyDescent="0.25">
      <c r="A266" s="121">
        <v>263</v>
      </c>
      <c r="B266" s="121" t="str">
        <f>IFERROR(INDEX('Miljövrärden urval för publ'!$A$2:$AA$419,MATCH('Miljövärden för publ företag'!$A266,'Miljövrärden urval för publ'!$R$2:$R$416,0),1),"")</f>
        <v>Tekniska Verken i Linköping AB</v>
      </c>
      <c r="C266" s="121" t="str">
        <f>IFERROR(INDEX('Miljövrärden urval för publ'!$A$2:$AA$419,MATCH('Miljövärden för publ företag'!$A266,'Miljövrärden urval för publ'!$R$2:$R$416,0),2),"")</f>
        <v>Skärblacka</v>
      </c>
      <c r="D266" s="121">
        <f>IFERROR(VLOOKUP($C266,'Miljövrärden urval för publ'!$B$2:$H$416,MATCH('Miljövärden för publ företag'!D$4,'Miljövrärden urval för publ'!$B$2:$H$2,0),FALSE),"")</f>
        <v>0.32890200000000003</v>
      </c>
      <c r="E266" s="121">
        <f>IFERROR(VLOOKUP($C266,'Miljövrärden urval för publ'!$B$2:$H$416,MATCH('Miljövärden för publ företag'!E$4,'Miljövrärden urval för publ'!$B$2:$H$2,0),FALSE),"")</f>
        <v>73.741799999999998</v>
      </c>
      <c r="F266" s="121">
        <f>IFERROR(VLOOKUP($C266,'Miljövrärden urval för publ'!$B$2:$H$416,MATCH('Miljövärden för publ företag'!F$4,'Miljövrärden urval för publ'!$B$2:$H$2,0),FALSE),"")</f>
        <v>9.2968499999999992</v>
      </c>
      <c r="G266" s="121">
        <f>IFERROR(VLOOKUP($C266,'Miljövrärden urval för publ'!$B$2:$H$416,MATCH('Miljövärden för publ företag'!G$4,'Miljövrärden urval för publ'!$B$2:$H$2,0),FALSE),"")</f>
        <v>0.17460200000000001</v>
      </c>
      <c r="J266" s="121">
        <f t="shared" si="18"/>
        <v>103</v>
      </c>
      <c r="M266" s="121">
        <v>262</v>
      </c>
      <c r="N266" s="121" t="str">
        <f t="shared" si="19"/>
        <v/>
      </c>
      <c r="P266" s="296">
        <f t="shared" si="20"/>
        <v>0</v>
      </c>
      <c r="Q266" s="290" t="str">
        <f t="shared" si="17"/>
        <v/>
      </c>
    </row>
    <row r="267" spans="1:17" x14ac:dyDescent="0.25">
      <c r="A267" s="121">
        <v>264</v>
      </c>
      <c r="B267" s="121" t="str">
        <f>IFERROR(INDEX('Miljövrärden urval för publ'!$A$2:$AA$419,MATCH('Miljövärden för publ företag'!$A267,'Miljövrärden urval för publ'!$R$2:$R$416,0),1),"")</f>
        <v>Tekniska Verken i Linköping AB</v>
      </c>
      <c r="C267" s="121" t="str">
        <f>IFERROR(INDEX('Miljövrärden urval för publ'!$A$2:$AA$419,MATCH('Miljövärden för publ företag'!$A267,'Miljövrärden urval för publ'!$R$2:$R$416,0),2),"")</f>
        <v>Åtvidaberg</v>
      </c>
      <c r="D267" s="121">
        <f>IFERROR(VLOOKUP($C267,'Miljövrärden urval för publ'!$B$2:$H$416,MATCH('Miljövärden för publ företag'!D$4,'Miljövrärden urval för publ'!$B$2:$H$2,0),FALSE),"")</f>
        <v>8.63318E-2</v>
      </c>
      <c r="E267" s="121">
        <f>IFERROR(VLOOKUP($C267,'Miljövrärden urval för publ'!$B$2:$H$416,MATCH('Miljövärden för publ företag'!E$4,'Miljövrärden urval för publ'!$B$2:$H$2,0),FALSE),"")</f>
        <v>13.930999999999999</v>
      </c>
      <c r="F267" s="121">
        <f>IFERROR(VLOOKUP($C267,'Miljövrärden urval för publ'!$B$2:$H$416,MATCH('Miljövärden för publ företag'!F$4,'Miljövrärden urval för publ'!$B$2:$H$2,0),FALSE),"")</f>
        <v>6.7511099999999997</v>
      </c>
      <c r="G267" s="121">
        <f>IFERROR(VLOOKUP($C267,'Miljövrärden urval för publ'!$B$2:$H$416,MATCH('Miljövärden för publ företag'!G$4,'Miljövrärden urval för publ'!$B$2:$H$2,0),FALSE),"")</f>
        <v>2.1734E-2</v>
      </c>
      <c r="J267" s="121">
        <f t="shared" si="18"/>
        <v>103</v>
      </c>
      <c r="M267" s="121">
        <v>263</v>
      </c>
      <c r="N267" s="121" t="str">
        <f t="shared" si="19"/>
        <v/>
      </c>
      <c r="P267" s="296">
        <f t="shared" si="20"/>
        <v>0</v>
      </c>
      <c r="Q267" s="290" t="str">
        <f t="shared" si="17"/>
        <v/>
      </c>
    </row>
    <row r="268" spans="1:17" x14ac:dyDescent="0.25">
      <c r="A268" s="121">
        <v>265</v>
      </c>
      <c r="B268" s="121" t="str">
        <f>IFERROR(INDEX('Miljövrärden urval för publ'!$A$2:$AA$419,MATCH('Miljövärden för publ företag'!$A268,'Miljövrärden urval för publ'!$R$2:$R$416,0),1),"")</f>
        <v>Telge Nät AB</v>
      </c>
      <c r="C268" s="121" t="str">
        <f>IFERROR(INDEX('Miljövrärden urval för publ'!$A$2:$AA$419,MATCH('Miljövärden för publ företag'!$A268,'Miljövrärden urval för publ'!$R$2:$R$416,0),2),"")</f>
        <v>Järna</v>
      </c>
      <c r="D268" s="121">
        <f>IFERROR(VLOOKUP($C268,'Miljövrärden urval för publ'!$B$2:$H$416,MATCH('Miljövärden för publ företag'!D$4,'Miljövrärden urval för publ'!$B$2:$H$2,0),FALSE),"")</f>
        <v>7.8887700000000005E-2</v>
      </c>
      <c r="E268" s="121">
        <f>IFERROR(VLOOKUP($C268,'Miljövrärden urval för publ'!$B$2:$H$416,MATCH('Miljövärden för publ företag'!E$4,'Miljövrärden urval för publ'!$B$2:$H$2,0),FALSE),"")</f>
        <v>0.73768800000000001</v>
      </c>
      <c r="F268" s="121">
        <f>IFERROR(VLOOKUP($C268,'Miljövrärden urval för publ'!$B$2:$H$416,MATCH('Miljövärden för publ företag'!F$4,'Miljövrärden urval för publ'!$B$2:$H$2,0),FALSE),"")</f>
        <v>2.9132600000000002</v>
      </c>
      <c r="G268" s="121">
        <f>IFERROR(VLOOKUP($C268,'Miljövrärden urval för publ'!$B$2:$H$416,MATCH('Miljövärden för publ företag'!G$4,'Miljövrärden urval för publ'!$B$2:$H$2,0),FALSE),"")</f>
        <v>0</v>
      </c>
      <c r="J268" s="121">
        <f t="shared" si="18"/>
        <v>104</v>
      </c>
      <c r="M268" s="121">
        <v>264</v>
      </c>
      <c r="N268" s="121" t="str">
        <f t="shared" si="19"/>
        <v/>
      </c>
      <c r="P268" s="296">
        <f t="shared" si="20"/>
        <v>0</v>
      </c>
      <c r="Q268" s="290" t="str">
        <f t="shared" si="17"/>
        <v/>
      </c>
    </row>
    <row r="269" spans="1:17" x14ac:dyDescent="0.25">
      <c r="A269" s="121">
        <v>266</v>
      </c>
      <c r="B269" s="121" t="str">
        <f>IFERROR(INDEX('Miljövrärden urval för publ'!$A$2:$AA$419,MATCH('Miljövärden för publ företag'!$A269,'Miljövrärden urval för publ'!$R$2:$R$416,0),1),"")</f>
        <v>Telge Nät AB</v>
      </c>
      <c r="C269" s="121" t="str">
        <f>IFERROR(INDEX('Miljövrärden urval för publ'!$A$2:$AA$419,MATCH('Miljövärden för publ företag'!$A269,'Miljövrärden urval för publ'!$R$2:$R$416,0),2),"")</f>
        <v>Södertälje</v>
      </c>
      <c r="D269" s="121">
        <f>IFERROR(VLOOKUP($C269,'Miljövrärden urval för publ'!$B$2:$H$416,MATCH('Miljövärden för publ företag'!D$4,'Miljövrärden urval för publ'!$B$2:$H$2,0),FALSE),"")</f>
        <v>6.5173999999999996E-2</v>
      </c>
      <c r="E269" s="121">
        <f>IFERROR(VLOOKUP($C269,'Miljövrärden urval för publ'!$B$2:$H$416,MATCH('Miljövärden för publ företag'!E$4,'Miljövrärden urval för publ'!$B$2:$H$2,0),FALSE),"")</f>
        <v>37.975999999999999</v>
      </c>
      <c r="F269" s="121">
        <f>IFERROR(VLOOKUP($C269,'Miljövrärden urval för publ'!$B$2:$H$416,MATCH('Miljövärden för publ företag'!F$4,'Miljövrärden urval för publ'!$B$2:$H$2,0),FALSE),"")</f>
        <v>3.6631200000000002</v>
      </c>
      <c r="G269" s="121">
        <f>IFERROR(VLOOKUP($C269,'Miljövrärden urval för publ'!$B$2:$H$416,MATCH('Miljövärden för publ företag'!G$4,'Miljövrärden urval för publ'!$B$2:$H$2,0),FALSE),"")</f>
        <v>8.2770399999999994E-3</v>
      </c>
      <c r="J269" s="121">
        <f t="shared" si="18"/>
        <v>104</v>
      </c>
      <c r="M269" s="121">
        <v>265</v>
      </c>
      <c r="N269" s="121" t="str">
        <f t="shared" si="19"/>
        <v/>
      </c>
      <c r="P269" s="296">
        <f t="shared" si="20"/>
        <v>0</v>
      </c>
      <c r="Q269" s="290" t="str">
        <f t="shared" si="17"/>
        <v/>
      </c>
    </row>
    <row r="270" spans="1:17" x14ac:dyDescent="0.25">
      <c r="A270" s="121">
        <v>267</v>
      </c>
      <c r="B270" s="121" t="str">
        <f>IFERROR(INDEX('Miljövrärden urval för publ'!$A$2:$AA$419,MATCH('Miljövärden för publ företag'!$A270,'Miljövrärden urval för publ'!$R$2:$R$416,0),1),"")</f>
        <v>Tidaholms Energi AB</v>
      </c>
      <c r="C270" s="121" t="str">
        <f>IFERROR(INDEX('Miljövrärden urval för publ'!$A$2:$AA$419,MATCH('Miljövärden för publ företag'!$A270,'Miljövrärden urval för publ'!$R$2:$R$416,0),2),"")</f>
        <v>Tidaholm</v>
      </c>
      <c r="D270" s="121">
        <f>IFERROR(VLOOKUP($C270,'Miljövrärden urval för publ'!$B$2:$H$416,MATCH('Miljövärden för publ företag'!D$4,'Miljövrärden urval för publ'!$B$2:$H$2,0),FALSE),"")</f>
        <v>0.12501000000000001</v>
      </c>
      <c r="E270" s="121">
        <f>IFERROR(VLOOKUP($C270,'Miljövrärden urval för publ'!$B$2:$H$416,MATCH('Miljövärden för publ företag'!E$4,'Miljövrärden urval för publ'!$B$2:$H$2,0),FALSE),"")</f>
        <v>8.5084400000000002</v>
      </c>
      <c r="F270" s="121">
        <f>IFERROR(VLOOKUP($C270,'Miljövrärden urval för publ'!$B$2:$H$416,MATCH('Miljövärden för publ företag'!F$4,'Miljövrärden urval för publ'!$B$2:$H$2,0),FALSE),"")</f>
        <v>6.5709</v>
      </c>
      <c r="G270" s="121">
        <f>IFERROR(VLOOKUP($C270,'Miljövrärden urval för publ'!$B$2:$H$416,MATCH('Miljövärden för publ företag'!G$4,'Miljövrärden urval för publ'!$B$2:$H$2,0),FALSE),"")</f>
        <v>1.29654E-2</v>
      </c>
      <c r="J270" s="121">
        <f t="shared" si="18"/>
        <v>105</v>
      </c>
      <c r="M270" s="121">
        <v>266</v>
      </c>
      <c r="N270" s="121" t="str">
        <f t="shared" si="19"/>
        <v/>
      </c>
      <c r="P270" s="296">
        <f t="shared" si="20"/>
        <v>0</v>
      </c>
      <c r="Q270" s="290" t="str">
        <f t="shared" si="17"/>
        <v/>
      </c>
    </row>
    <row r="271" spans="1:17" x14ac:dyDescent="0.25">
      <c r="A271" s="121">
        <v>268</v>
      </c>
      <c r="B271" s="121" t="str">
        <f>IFERROR(INDEX('Miljövrärden urval för publ'!$A$2:$AA$419,MATCH('Miljövärden för publ företag'!$A271,'Miljövrärden urval för publ'!$R$2:$R$416,0),1),"")</f>
        <v>Tierps Fjärrvärme AB</v>
      </c>
      <c r="C271" s="121" t="str">
        <f>IFERROR(INDEX('Miljövrärden urval för publ'!$A$2:$AA$419,MATCH('Miljövärden för publ företag'!$A271,'Miljövrärden urval för publ'!$R$2:$R$416,0),2),"")</f>
        <v>Tierp</v>
      </c>
      <c r="D271" s="121">
        <f>IFERROR(VLOOKUP($C271,'Miljövrärden urval för publ'!$B$2:$H$416,MATCH('Miljövärden för publ företag'!D$4,'Miljövrärden urval för publ'!$B$2:$H$2,0),FALSE),"")</f>
        <v>0.11408500000000001</v>
      </c>
      <c r="E271" s="121">
        <f>IFERROR(VLOOKUP($C271,'Miljövrärden urval för publ'!$B$2:$H$416,MATCH('Miljövärden för publ företag'!E$4,'Miljövrärden urval för publ'!$B$2:$H$2,0),FALSE),"")</f>
        <v>6.3340199999999998</v>
      </c>
      <c r="F271" s="121">
        <f>IFERROR(VLOOKUP($C271,'Miljövrärden urval för publ'!$B$2:$H$416,MATCH('Miljövärden för publ företag'!F$4,'Miljövrärden urval för publ'!$B$2:$H$2,0),FALSE),"")</f>
        <v>10.993399999999999</v>
      </c>
      <c r="G271" s="121">
        <f>IFERROR(VLOOKUP($C271,'Miljövrärden urval för publ'!$B$2:$H$416,MATCH('Miljövärden för publ företag'!G$4,'Miljövrärden urval för publ'!$B$2:$H$2,0),FALSE),"")</f>
        <v>5.45511E-3</v>
      </c>
      <c r="J271" s="121">
        <f t="shared" si="18"/>
        <v>106</v>
      </c>
      <c r="M271" s="121">
        <v>267</v>
      </c>
      <c r="N271" s="121" t="str">
        <f t="shared" si="19"/>
        <v/>
      </c>
      <c r="P271" s="296">
        <f t="shared" si="20"/>
        <v>0</v>
      </c>
      <c r="Q271" s="290" t="str">
        <f t="shared" si="17"/>
        <v/>
      </c>
    </row>
    <row r="272" spans="1:17" x14ac:dyDescent="0.25">
      <c r="A272" s="121">
        <v>269</v>
      </c>
      <c r="B272" s="121" t="str">
        <f>IFERROR(INDEX('Miljövrärden urval för publ'!$A$2:$AA$419,MATCH('Miljövärden för publ företag'!$A272,'Miljövrärden urval för publ'!$R$2:$R$416,0),1),"")</f>
        <v>Torsby kommun</v>
      </c>
      <c r="C272" s="121" t="str">
        <f>IFERROR(INDEX('Miljövrärden urval för publ'!$A$2:$AA$419,MATCH('Miljövärden för publ företag'!$A272,'Miljövrärden urval för publ'!$R$2:$R$416,0),2),"")</f>
        <v>Torsby kommun</v>
      </c>
      <c r="D272" s="121">
        <f>IFERROR(VLOOKUP($C272,'Miljövrärden urval för publ'!$B$2:$H$416,MATCH('Miljövärden för publ företag'!D$4,'Miljövrärden urval för publ'!$B$2:$H$2,0),FALSE),"")</f>
        <v>0.27294299999999999</v>
      </c>
      <c r="E272" s="121">
        <f>IFERROR(VLOOKUP($C272,'Miljövrärden urval för publ'!$B$2:$H$416,MATCH('Miljövärden för publ företag'!E$4,'Miljövrärden urval för publ'!$B$2:$H$2,0),FALSE),"")</f>
        <v>51.550600000000003</v>
      </c>
      <c r="F272" s="121">
        <f>IFERROR(VLOOKUP($C272,'Miljövrärden urval för publ'!$B$2:$H$416,MATCH('Miljövärden för publ företag'!F$4,'Miljövrärden urval för publ'!$B$2:$H$2,0),FALSE),"")</f>
        <v>17.2514</v>
      </c>
      <c r="G272" s="121">
        <f>IFERROR(VLOOKUP($C272,'Miljövrärden urval för publ'!$B$2:$H$416,MATCH('Miljövärden för publ företag'!G$4,'Miljövrärden urval för publ'!$B$2:$H$2,0),FALSE),"")</f>
        <v>7.6009499999999994E-2</v>
      </c>
      <c r="J272" s="121">
        <f t="shared" si="18"/>
        <v>107</v>
      </c>
      <c r="M272" s="121">
        <v>268</v>
      </c>
      <c r="N272" s="121" t="str">
        <f t="shared" si="19"/>
        <v/>
      </c>
      <c r="P272" s="296">
        <f t="shared" si="20"/>
        <v>0</v>
      </c>
      <c r="Q272" s="290" t="str">
        <f t="shared" si="17"/>
        <v/>
      </c>
    </row>
    <row r="273" spans="1:17" x14ac:dyDescent="0.25">
      <c r="A273" s="121">
        <v>270</v>
      </c>
      <c r="B273" s="121" t="str">
        <f>IFERROR(INDEX('Miljövrärden urval för publ'!$A$2:$AA$419,MATCH('Miljövärden för publ företag'!$A273,'Miljövrärden urval för publ'!$R$2:$R$416,0),1),"")</f>
        <v>Torsås fjärrvärmenät AB</v>
      </c>
      <c r="C273" s="121" t="str">
        <f>IFERROR(INDEX('Miljövrärden urval för publ'!$A$2:$AA$419,MATCH('Miljövärden för publ företag'!$A273,'Miljövrärden urval för publ'!$R$2:$R$416,0),2),"")</f>
        <v>Torsås</v>
      </c>
      <c r="D273" s="121">
        <f>IFERROR(VLOOKUP($C273,'Miljövrärden urval för publ'!$B$2:$H$416,MATCH('Miljövärden för publ företag'!D$4,'Miljövrärden urval för publ'!$B$2:$H$2,0),FALSE),"")</f>
        <v>0.11054899999999999</v>
      </c>
      <c r="E273" s="121">
        <f>IFERROR(VLOOKUP($C273,'Miljövrärden urval för publ'!$B$2:$H$416,MATCH('Miljövärden för publ företag'!E$4,'Miljövrärden urval för publ'!$B$2:$H$2,0),FALSE),"")</f>
        <v>15.4155</v>
      </c>
      <c r="F273" s="121">
        <f>IFERROR(VLOOKUP($C273,'Miljövrärden urval för publ'!$B$2:$H$416,MATCH('Miljövärden för publ företag'!F$4,'Miljövrärden urval för publ'!$B$2:$H$2,0),FALSE),"")</f>
        <v>9.6946999999999992</v>
      </c>
      <c r="G273" s="121">
        <f>IFERROR(VLOOKUP($C273,'Miljövrärden urval för publ'!$B$2:$H$416,MATCH('Miljövärden för publ företag'!G$4,'Miljövrärden urval för publ'!$B$2:$H$2,0),FALSE),"")</f>
        <v>9.1168499999999993E-3</v>
      </c>
      <c r="J273" s="121">
        <f t="shared" si="18"/>
        <v>108</v>
      </c>
      <c r="M273" s="121">
        <v>269</v>
      </c>
      <c r="N273" s="121" t="str">
        <f t="shared" si="19"/>
        <v/>
      </c>
      <c r="P273" s="296">
        <f t="shared" si="20"/>
        <v>0</v>
      </c>
      <c r="Q273" s="290" t="str">
        <f t="shared" si="17"/>
        <v/>
      </c>
    </row>
    <row r="274" spans="1:17" x14ac:dyDescent="0.25">
      <c r="A274" s="121">
        <v>271</v>
      </c>
      <c r="B274" s="121" t="str">
        <f>IFERROR(INDEX('Miljövrärden urval för publ'!$A$2:$AA$419,MATCH('Miljövärden för publ företag'!$A274,'Miljövrärden urval för publ'!$R$2:$R$416,0),1),"")</f>
        <v>Tranås Energi AB</v>
      </c>
      <c r="C274" s="121" t="str">
        <f>IFERROR(INDEX('Miljövrärden urval för publ'!$A$2:$AA$419,MATCH('Miljövärden för publ företag'!$A274,'Miljövrärden urval för publ'!$R$2:$R$416,0),2),"")</f>
        <v>Tranås</v>
      </c>
      <c r="D274" s="121">
        <f>IFERROR(VLOOKUP($C274,'Miljövrärden urval för publ'!$B$2:$H$416,MATCH('Miljövärden för publ företag'!D$4,'Miljövrärden urval för publ'!$B$2:$H$2,0),FALSE),"")</f>
        <v>9.0747900000000006E-2</v>
      </c>
      <c r="E274" s="121">
        <f>IFERROR(VLOOKUP($C274,'Miljövrärden urval för publ'!$B$2:$H$416,MATCH('Miljövärden för publ företag'!E$4,'Miljövrärden urval för publ'!$B$2:$H$2,0),FALSE),"")</f>
        <v>7.0372500000000002</v>
      </c>
      <c r="F274" s="121">
        <f>IFERROR(VLOOKUP($C274,'Miljövrärden urval för publ'!$B$2:$H$416,MATCH('Miljövärden för publ företag'!F$4,'Miljövrärden urval för publ'!$B$2:$H$2,0),FALSE),"")</f>
        <v>6.9403600000000001</v>
      </c>
      <c r="G274" s="121">
        <f>IFERROR(VLOOKUP($C274,'Miljövrärden urval för publ'!$B$2:$H$416,MATCH('Miljövärden för publ företag'!G$4,'Miljövrärden urval för publ'!$B$2:$H$2,0),FALSE),"")</f>
        <v>9.5890999999999997E-3</v>
      </c>
      <c r="J274" s="121">
        <f t="shared" si="18"/>
        <v>109</v>
      </c>
      <c r="M274" s="121">
        <v>270</v>
      </c>
      <c r="N274" s="121" t="str">
        <f t="shared" si="19"/>
        <v/>
      </c>
      <c r="P274" s="296">
        <f t="shared" si="20"/>
        <v>0</v>
      </c>
      <c r="Q274" s="290" t="str">
        <f t="shared" si="17"/>
        <v/>
      </c>
    </row>
    <row r="275" spans="1:17" x14ac:dyDescent="0.25">
      <c r="A275" s="121">
        <v>272</v>
      </c>
      <c r="B275" s="121" t="str">
        <f>IFERROR(INDEX('Miljövrärden urval för publ'!$A$2:$AA$419,MATCH('Miljövärden för publ företag'!$A275,'Miljövrärden urval för publ'!$R$2:$R$416,0),1),"")</f>
        <v>Trollhättan Energi AB</v>
      </c>
      <c r="C275" s="121" t="str">
        <f>IFERROR(INDEX('Miljövrärden urval för publ'!$A$2:$AA$419,MATCH('Miljövärden för publ företag'!$A275,'Miljövrärden urval för publ'!$R$2:$R$416,0),2),"")</f>
        <v>Trollhättan</v>
      </c>
      <c r="D275" s="121">
        <f>IFERROR(VLOOKUP($C275,'Miljövrärden urval för publ'!$B$2:$H$416,MATCH('Miljövärden för publ företag'!D$4,'Miljövrärden urval för publ'!$B$2:$H$2,0),FALSE),"")</f>
        <v>3.11268E-2</v>
      </c>
      <c r="E275" s="121">
        <f>IFERROR(VLOOKUP($C275,'Miljövrärden urval för publ'!$B$2:$H$416,MATCH('Miljövärden för publ företag'!E$4,'Miljövrärden urval för publ'!$B$2:$H$2,0),FALSE),"")</f>
        <v>3.7227000000000001</v>
      </c>
      <c r="F275" s="121">
        <f>IFERROR(VLOOKUP($C275,'Miljövrärden urval för publ'!$B$2:$H$416,MATCH('Miljövärden för publ företag'!F$4,'Miljövrärden urval för publ'!$B$2:$H$2,0),FALSE),"")</f>
        <v>6.10731</v>
      </c>
      <c r="G275" s="121">
        <f>IFERROR(VLOOKUP($C275,'Miljövrärden urval för publ'!$B$2:$H$416,MATCH('Miljövärden för publ företag'!G$4,'Miljövrärden urval för publ'!$B$2:$H$2,0),FALSE),"")</f>
        <v>1.2239499999999999E-3</v>
      </c>
      <c r="J275" s="121">
        <f t="shared" si="18"/>
        <v>110</v>
      </c>
      <c r="M275" s="121">
        <v>271</v>
      </c>
      <c r="N275" s="121" t="str">
        <f t="shared" si="19"/>
        <v/>
      </c>
      <c r="P275" s="296">
        <f t="shared" si="20"/>
        <v>0</v>
      </c>
      <c r="Q275" s="290" t="str">
        <f t="shared" si="17"/>
        <v/>
      </c>
    </row>
    <row r="276" spans="1:17" x14ac:dyDescent="0.25">
      <c r="A276" s="121">
        <v>273</v>
      </c>
      <c r="B276" s="121" t="str">
        <f>IFERROR(INDEX('Miljövrärden urval för publ'!$A$2:$AA$419,MATCH('Miljövärden för publ företag'!$A276,'Miljövrärden urval för publ'!$R$2:$R$416,0),1),"")</f>
        <v>Uddevalla Energi AB</v>
      </c>
      <c r="C276" s="121" t="str">
        <f>IFERROR(INDEX('Miljövrärden urval för publ'!$A$2:$AA$419,MATCH('Miljövärden för publ företag'!$A276,'Miljövrärden urval för publ'!$R$2:$R$416,0),2),"")</f>
        <v>Ljungskile</v>
      </c>
      <c r="D276" s="121">
        <f>IFERROR(VLOOKUP($C276,'Miljövrärden urval för publ'!$B$2:$H$416,MATCH('Miljövärden för publ företag'!D$4,'Miljövrärden urval för publ'!$B$2:$H$2,0),FALSE),"")</f>
        <v>0.19350200000000001</v>
      </c>
      <c r="E276" s="121">
        <f>IFERROR(VLOOKUP($C276,'Miljövrärden urval för publ'!$B$2:$H$416,MATCH('Miljövärden för publ företag'!E$4,'Miljövrärden urval för publ'!$B$2:$H$2,0),FALSE),"")</f>
        <v>12.7163</v>
      </c>
      <c r="F276" s="121">
        <f>IFERROR(VLOOKUP($C276,'Miljövrärden urval för publ'!$B$2:$H$416,MATCH('Miljövärden för publ företag'!F$4,'Miljövrärden urval för publ'!$B$2:$H$2,0),FALSE),"")</f>
        <v>17.8309</v>
      </c>
      <c r="G276" s="121">
        <f>IFERROR(VLOOKUP($C276,'Miljövrärden urval för publ'!$B$2:$H$416,MATCH('Miljövärden för publ företag'!G$4,'Miljövrärden urval för publ'!$B$2:$H$2,0),FALSE),"")</f>
        <v>7.61373E-3</v>
      </c>
      <c r="J276" s="121">
        <f t="shared" si="18"/>
        <v>111</v>
      </c>
      <c r="M276" s="121">
        <v>272</v>
      </c>
      <c r="N276" s="121" t="str">
        <f t="shared" si="19"/>
        <v/>
      </c>
      <c r="P276" s="296">
        <f t="shared" si="20"/>
        <v>0</v>
      </c>
      <c r="Q276" s="290" t="str">
        <f t="shared" si="17"/>
        <v/>
      </c>
    </row>
    <row r="277" spans="1:17" x14ac:dyDescent="0.25">
      <c r="A277" s="121">
        <v>274</v>
      </c>
      <c r="B277" s="121" t="str">
        <f>IFERROR(INDEX('Miljövrärden urval för publ'!$A$2:$AA$419,MATCH('Miljövärden för publ företag'!$A277,'Miljövrärden urval för publ'!$R$2:$R$416,0),1),"")</f>
        <v>Uddevalla Energi AB</v>
      </c>
      <c r="C277" s="121" t="str">
        <f>IFERROR(INDEX('Miljövrärden urval för publ'!$A$2:$AA$419,MATCH('Miljövärden för publ företag'!$A277,'Miljövrärden urval för publ'!$R$2:$R$416,0),2),"")</f>
        <v>Munkedal</v>
      </c>
      <c r="D277" s="121">
        <f>IFERROR(VLOOKUP($C277,'Miljövrärden urval för publ'!$B$2:$H$416,MATCH('Miljövärden för publ företag'!D$4,'Miljövrärden urval för publ'!$B$2:$H$2,0),FALSE),"")</f>
        <v>0.157773</v>
      </c>
      <c r="E277" s="121">
        <f>IFERROR(VLOOKUP($C277,'Miljövrärden urval för publ'!$B$2:$H$416,MATCH('Miljövärden för publ företag'!E$4,'Miljövrärden urval för publ'!$B$2:$H$2,0),FALSE),"")</f>
        <v>11.669499999999999</v>
      </c>
      <c r="F277" s="121">
        <f>IFERROR(VLOOKUP($C277,'Miljövrärden urval för publ'!$B$2:$H$416,MATCH('Miljövärden för publ företag'!F$4,'Miljövrärden urval för publ'!$B$2:$H$2,0),FALSE),"")</f>
        <v>15.390599999999999</v>
      </c>
      <c r="G277" s="121">
        <f>IFERROR(VLOOKUP($C277,'Miljövrärden urval för publ'!$B$2:$H$416,MATCH('Miljövärden för publ företag'!G$4,'Miljövrärden urval för publ'!$B$2:$H$2,0),FALSE),"")</f>
        <v>6.4165400000000001E-3</v>
      </c>
      <c r="J277" s="121">
        <f t="shared" si="18"/>
        <v>111</v>
      </c>
      <c r="M277" s="121">
        <v>273</v>
      </c>
      <c r="N277" s="121" t="str">
        <f t="shared" si="19"/>
        <v/>
      </c>
      <c r="P277" s="296">
        <f t="shared" si="20"/>
        <v>0</v>
      </c>
      <c r="Q277" s="290" t="str">
        <f t="shared" si="17"/>
        <v/>
      </c>
    </row>
    <row r="278" spans="1:17" x14ac:dyDescent="0.25">
      <c r="A278" s="121">
        <v>275</v>
      </c>
      <c r="B278" s="121" t="str">
        <f>IFERROR(INDEX('Miljövrärden urval för publ'!$A$2:$AA$419,MATCH('Miljövärden för publ företag'!$A278,'Miljövrärden urval för publ'!$R$2:$R$416,0),1),"")</f>
        <v>Uddevalla Energi AB</v>
      </c>
      <c r="C278" s="121" t="str">
        <f>IFERROR(INDEX('Miljövrärden urval för publ'!$A$2:$AA$419,MATCH('Miljövärden för publ företag'!$A278,'Miljövrärden urval för publ'!$R$2:$R$416,0),2),"")</f>
        <v>Uddevalla</v>
      </c>
      <c r="D278" s="121">
        <f>IFERROR(VLOOKUP($C278,'Miljövrärden urval för publ'!$B$2:$H$416,MATCH('Miljövärden för publ företag'!D$4,'Miljövrärden urval för publ'!$B$2:$H$2,0),FALSE),"")</f>
        <v>0.224138</v>
      </c>
      <c r="E278" s="121">
        <f>IFERROR(VLOOKUP($C278,'Miljövrärden urval för publ'!$B$2:$H$416,MATCH('Miljövärden för publ företag'!E$4,'Miljövrärden urval för publ'!$B$2:$H$2,0),FALSE),"")</f>
        <v>133.01900000000001</v>
      </c>
      <c r="F278" s="121">
        <f>IFERROR(VLOOKUP($C278,'Miljövrärden urval för publ'!$B$2:$H$416,MATCH('Miljövärden för publ företag'!F$4,'Miljövrärden urval för publ'!$B$2:$H$2,0),FALSE),"")</f>
        <v>7.1558900000000003</v>
      </c>
      <c r="G278" s="121">
        <f>IFERROR(VLOOKUP($C278,'Miljövrärden urval för publ'!$B$2:$H$416,MATCH('Miljövärden för publ företag'!G$4,'Miljövrärden urval för publ'!$B$2:$H$2,0),FALSE),"")</f>
        <v>1.5808900000000001E-2</v>
      </c>
      <c r="J278" s="121">
        <f t="shared" si="18"/>
        <v>111</v>
      </c>
      <c r="M278" s="121">
        <v>274</v>
      </c>
      <c r="N278" s="121" t="str">
        <f t="shared" si="19"/>
        <v/>
      </c>
      <c r="P278" s="296">
        <f t="shared" si="20"/>
        <v>0</v>
      </c>
      <c r="Q278" s="290" t="str">
        <f t="shared" si="17"/>
        <v/>
      </c>
    </row>
    <row r="279" spans="1:17" x14ac:dyDescent="0.25">
      <c r="A279" s="121">
        <v>276</v>
      </c>
      <c r="B279" s="121" t="str">
        <f>IFERROR(INDEX('Miljövrärden urval för publ'!$A$2:$AA$419,MATCH('Miljövärden för publ företag'!$A279,'Miljövrärden urval för publ'!$R$2:$R$416,0),1),"")</f>
        <v>Ulricehamns Energi AB</v>
      </c>
      <c r="C279" s="121" t="str">
        <f>IFERROR(INDEX('Miljövrärden urval för publ'!$A$2:$AA$419,MATCH('Miljövärden för publ företag'!$A279,'Miljövrärden urval för publ'!$R$2:$R$416,0),2),"")</f>
        <v>Gällstad</v>
      </c>
      <c r="D279" s="121">
        <f>IFERROR(VLOOKUP($C279,'Miljövrärden urval för publ'!$B$2:$H$416,MATCH('Miljövärden för publ företag'!D$4,'Miljövrärden urval för publ'!$B$2:$H$2,0),FALSE),"")</f>
        <v>0.22755500000000001</v>
      </c>
      <c r="E279" s="121">
        <f>IFERROR(VLOOKUP($C279,'Miljövrärden urval för publ'!$B$2:$H$416,MATCH('Miljövärden för publ företag'!E$4,'Miljövrärden urval för publ'!$B$2:$H$2,0),FALSE),"")</f>
        <v>22.9343</v>
      </c>
      <c r="F279" s="121">
        <f>IFERROR(VLOOKUP($C279,'Miljövrärden urval för publ'!$B$2:$H$416,MATCH('Miljövärden för publ företag'!F$4,'Miljövrärden urval för publ'!$B$2:$H$2,0),FALSE),"")</f>
        <v>18.678799999999999</v>
      </c>
      <c r="G279" s="121">
        <f>IFERROR(VLOOKUP($C279,'Miljövrärden urval för publ'!$B$2:$H$416,MATCH('Miljövärden för publ företag'!G$4,'Miljövrärden urval för publ'!$B$2:$H$2,0),FALSE),"")</f>
        <v>4.0899999999999999E-2</v>
      </c>
      <c r="J279" s="121">
        <f t="shared" si="18"/>
        <v>112</v>
      </c>
      <c r="M279" s="121">
        <v>275</v>
      </c>
      <c r="N279" s="121" t="str">
        <f t="shared" si="19"/>
        <v/>
      </c>
      <c r="P279" s="296">
        <f t="shared" si="20"/>
        <v>0</v>
      </c>
      <c r="Q279" s="290" t="str">
        <f t="shared" si="17"/>
        <v/>
      </c>
    </row>
    <row r="280" spans="1:17" x14ac:dyDescent="0.25">
      <c r="A280" s="121">
        <v>277</v>
      </c>
      <c r="B280" s="121" t="str">
        <f>IFERROR(INDEX('Miljövrärden urval för publ'!$A$2:$AA$419,MATCH('Miljövärden för publ företag'!$A280,'Miljövrärden urval för publ'!$R$2:$R$416,0),1),"")</f>
        <v>Ulricehamns Energi AB</v>
      </c>
      <c r="C280" s="121" t="str">
        <f>IFERROR(INDEX('Miljövrärden urval för publ'!$A$2:$AA$419,MATCH('Miljövärden för publ företag'!$A280,'Miljövrärden urval för publ'!$R$2:$R$416,0),2),"")</f>
        <v>Timmele</v>
      </c>
      <c r="D280" s="121">
        <f>IFERROR(VLOOKUP($C280,'Miljövrärden urval för publ'!$B$2:$H$416,MATCH('Miljövärden för publ företag'!D$4,'Miljövrärden urval för publ'!$B$2:$H$2,0),FALSE),"")</f>
        <v>0.18653500000000001</v>
      </c>
      <c r="E280" s="121">
        <f>IFERROR(VLOOKUP($C280,'Miljövrärden urval för publ'!$B$2:$H$416,MATCH('Miljövärden för publ företag'!E$4,'Miljövrärden urval för publ'!$B$2:$H$2,0),FALSE),"")</f>
        <v>10.6312</v>
      </c>
      <c r="F280" s="121">
        <f>IFERROR(VLOOKUP($C280,'Miljövrärden urval för publ'!$B$2:$H$416,MATCH('Miljövärden för publ företag'!F$4,'Miljövrärden urval för publ'!$B$2:$H$2,0),FALSE),"")</f>
        <v>19.153500000000001</v>
      </c>
      <c r="G280" s="121">
        <f>IFERROR(VLOOKUP($C280,'Miljövrärden urval för publ'!$B$2:$H$416,MATCH('Miljövärden för publ företag'!G$4,'Miljövrärden urval för publ'!$B$2:$H$2,0),FALSE),"")</f>
        <v>4.8697100000000002E-3</v>
      </c>
      <c r="J280" s="121">
        <f t="shared" si="18"/>
        <v>112</v>
      </c>
      <c r="M280" s="121">
        <v>276</v>
      </c>
      <c r="N280" s="121" t="str">
        <f t="shared" si="19"/>
        <v/>
      </c>
      <c r="P280" s="296">
        <f t="shared" si="20"/>
        <v>0</v>
      </c>
      <c r="Q280" s="290" t="str">
        <f t="shared" si="17"/>
        <v/>
      </c>
    </row>
    <row r="281" spans="1:17" x14ac:dyDescent="0.25">
      <c r="A281" s="121">
        <v>278</v>
      </c>
      <c r="B281" s="121" t="str">
        <f>IFERROR(INDEX('Miljövrärden urval för publ'!$A$2:$AA$419,MATCH('Miljövärden för publ företag'!$A281,'Miljövrärden urval för publ'!$R$2:$R$416,0),1),"")</f>
        <v>Ulricehamns Energi AB</v>
      </c>
      <c r="C281" s="121" t="str">
        <f>IFERROR(INDEX('Miljövrärden urval för publ'!$A$2:$AA$419,MATCH('Miljövärden för publ företag'!$A281,'Miljövrärden urval för publ'!$R$2:$R$416,0),2),"")</f>
        <v>Ulricehamn</v>
      </c>
      <c r="D281" s="121">
        <f>IFERROR(VLOOKUP($C281,'Miljövrärden urval för publ'!$B$2:$H$416,MATCH('Miljövärden för publ företag'!D$4,'Miljövrärden urval för publ'!$B$2:$H$2,0),FALSE),"")</f>
        <v>5.9961899999999999E-2</v>
      </c>
      <c r="E281" s="121">
        <f>IFERROR(VLOOKUP($C281,'Miljövrärden urval för publ'!$B$2:$H$416,MATCH('Miljövärden för publ företag'!E$4,'Miljövrärden urval för publ'!$B$2:$H$2,0),FALSE),"")</f>
        <v>8.7242899999999999</v>
      </c>
      <c r="F281" s="121">
        <f>IFERROR(VLOOKUP($C281,'Miljövrärden urval för publ'!$B$2:$H$416,MATCH('Miljövärden för publ företag'!F$4,'Miljövrärden urval för publ'!$B$2:$H$2,0),FALSE),"")</f>
        <v>4.6688700000000001</v>
      </c>
      <c r="G281" s="121">
        <f>IFERROR(VLOOKUP($C281,'Miljövrärden urval för publ'!$B$2:$H$416,MATCH('Miljövärden för publ företag'!G$4,'Miljövrärden urval för publ'!$B$2:$H$2,0),FALSE),"")</f>
        <v>1.1858499999999999E-2</v>
      </c>
      <c r="J281" s="121">
        <f t="shared" si="18"/>
        <v>112</v>
      </c>
      <c r="M281" s="121">
        <v>277</v>
      </c>
      <c r="N281" s="121" t="str">
        <f t="shared" si="19"/>
        <v/>
      </c>
      <c r="P281" s="296">
        <f t="shared" si="20"/>
        <v>0</v>
      </c>
      <c r="Q281" s="290" t="str">
        <f t="shared" si="17"/>
        <v/>
      </c>
    </row>
    <row r="282" spans="1:17" x14ac:dyDescent="0.25">
      <c r="A282" s="121">
        <v>279</v>
      </c>
      <c r="B282" s="121" t="str">
        <f>IFERROR(INDEX('Miljövrärden urval för publ'!$A$2:$AA$419,MATCH('Miljövärden för publ företag'!$A282,'Miljövrärden urval för publ'!$R$2:$R$416,0),1),"")</f>
        <v>Umeå Energi AB</v>
      </c>
      <c r="C282" s="121" t="str">
        <f>IFERROR(INDEX('Miljövrärden urval för publ'!$A$2:$AA$419,MATCH('Miljövärden för publ företag'!$A282,'Miljövrärden urval för publ'!$R$2:$R$416,0),2),"")</f>
        <v>Bjurholm</v>
      </c>
      <c r="D282" s="121">
        <f>IFERROR(VLOOKUP($C282,'Miljövrärden urval för publ'!$B$2:$H$416,MATCH('Miljövärden för publ företag'!D$4,'Miljövrärden urval för publ'!$B$2:$H$2,0),FALSE),"")</f>
        <v>0.37255500000000003</v>
      </c>
      <c r="E282" s="121">
        <f>IFERROR(VLOOKUP($C282,'Miljövrärden urval för publ'!$B$2:$H$416,MATCH('Miljövärden för publ företag'!E$4,'Miljövrärden urval för publ'!$B$2:$H$2,0),FALSE),"")</f>
        <v>62.1646</v>
      </c>
      <c r="F282" s="121">
        <f>IFERROR(VLOOKUP($C282,'Miljövrärden urval för publ'!$B$2:$H$416,MATCH('Miljövärden för publ företag'!F$4,'Miljövrärden urval för publ'!$B$2:$H$2,0),FALSE),"")</f>
        <v>18.5777</v>
      </c>
      <c r="G282" s="121">
        <f>IFERROR(VLOOKUP($C282,'Miljövrärden urval för publ'!$B$2:$H$416,MATCH('Miljövärden för publ företag'!G$4,'Miljövrärden urval för publ'!$B$2:$H$2,0),FALSE),"")</f>
        <v>0.17496500000000001</v>
      </c>
      <c r="J282" s="121">
        <f t="shared" si="18"/>
        <v>113</v>
      </c>
      <c r="M282" s="121">
        <v>278</v>
      </c>
      <c r="N282" s="121" t="str">
        <f t="shared" si="19"/>
        <v/>
      </c>
      <c r="P282" s="296">
        <f t="shared" si="20"/>
        <v>0</v>
      </c>
      <c r="Q282" s="290" t="str">
        <f t="shared" si="17"/>
        <v/>
      </c>
    </row>
    <row r="283" spans="1:17" x14ac:dyDescent="0.25">
      <c r="A283" s="121">
        <v>280</v>
      </c>
      <c r="B283" s="121" t="str">
        <f>IFERROR(INDEX('Miljövrärden urval för publ'!$A$2:$AA$419,MATCH('Miljövärden för publ företag'!$A283,'Miljövrärden urval för publ'!$R$2:$R$416,0),1),"")</f>
        <v>Umeå Energi AB</v>
      </c>
      <c r="C283" s="121" t="str">
        <f>IFERROR(INDEX('Miljövrärden urval för publ'!$A$2:$AA$419,MATCH('Miljövärden för publ företag'!$A283,'Miljövrärden urval för publ'!$R$2:$R$416,0),2),"")</f>
        <v>Hörnefors</v>
      </c>
      <c r="D283" s="121">
        <f>IFERROR(VLOOKUP($C283,'Miljövrärden urval för publ'!$B$2:$H$416,MATCH('Miljövärden för publ företag'!D$4,'Miljövrärden urval för publ'!$B$2:$H$2,0),FALSE),"")</f>
        <v>0.20418600000000001</v>
      </c>
      <c r="E283" s="121">
        <f>IFERROR(VLOOKUP($C283,'Miljövrärden urval för publ'!$B$2:$H$416,MATCH('Miljövärden för publ företag'!E$4,'Miljövrärden urval för publ'!$B$2:$H$2,0),FALSE),"")</f>
        <v>7.9332500000000001</v>
      </c>
      <c r="F283" s="121">
        <f>IFERROR(VLOOKUP($C283,'Miljövrärden urval för publ'!$B$2:$H$416,MATCH('Miljövärden för publ företag'!F$4,'Miljövrärden urval för publ'!$B$2:$H$2,0),FALSE),"")</f>
        <v>19.587</v>
      </c>
      <c r="G283" s="121">
        <f>IFERROR(VLOOKUP($C283,'Miljövrärden urval för publ'!$B$2:$H$416,MATCH('Miljövärden för publ företag'!G$4,'Miljövrärden urval för publ'!$B$2:$H$2,0),FALSE),"")</f>
        <v>2.8176999999999998E-3</v>
      </c>
      <c r="J283" s="121">
        <f t="shared" si="18"/>
        <v>113</v>
      </c>
      <c r="M283" s="121">
        <v>279</v>
      </c>
      <c r="N283" s="121" t="str">
        <f t="shared" si="19"/>
        <v/>
      </c>
      <c r="P283" s="296">
        <f t="shared" si="20"/>
        <v>0</v>
      </c>
      <c r="Q283" s="290" t="str">
        <f t="shared" si="17"/>
        <v/>
      </c>
    </row>
    <row r="284" spans="1:17" x14ac:dyDescent="0.25">
      <c r="A284" s="121">
        <v>281</v>
      </c>
      <c r="B284" s="121" t="str">
        <f>IFERROR(INDEX('Miljövrärden urval för publ'!$A$2:$AA$419,MATCH('Miljövärden för publ företag'!$A284,'Miljövrärden urval för publ'!$R$2:$R$416,0),1),"")</f>
        <v>Umeå Energi AB</v>
      </c>
      <c r="C284" s="121" t="str">
        <f>IFERROR(INDEX('Miljövrärden urval för publ'!$A$2:$AA$419,MATCH('Miljövärden för publ företag'!$A284,'Miljövrärden urval för publ'!$R$2:$R$416,0),2),"")</f>
        <v>Sävar</v>
      </c>
      <c r="D284" s="121">
        <f>IFERROR(VLOOKUP($C284,'Miljövrärden urval för publ'!$B$2:$H$416,MATCH('Miljövärden för publ företag'!D$4,'Miljövrärden urval för publ'!$B$2:$H$2,0),FALSE),"")</f>
        <v>0.105124</v>
      </c>
      <c r="E284" s="121">
        <f>IFERROR(VLOOKUP($C284,'Miljövrärden urval för publ'!$B$2:$H$416,MATCH('Miljövärden för publ företag'!E$4,'Miljövrärden urval för publ'!$B$2:$H$2,0),FALSE),"")</f>
        <v>19.669699999999999</v>
      </c>
      <c r="F284" s="121">
        <f>IFERROR(VLOOKUP($C284,'Miljövrärden urval för publ'!$B$2:$H$416,MATCH('Miljövärden för publ företag'!F$4,'Miljövrärden urval för publ'!$B$2:$H$2,0),FALSE),"")</f>
        <v>11.049799999999999</v>
      </c>
      <c r="G284" s="121">
        <f>IFERROR(VLOOKUP($C284,'Miljövrärden urval för publ'!$B$2:$H$416,MATCH('Miljövärden för publ företag'!G$4,'Miljövrärden urval för publ'!$B$2:$H$2,0),FALSE),"")</f>
        <v>3.5133600000000001E-2</v>
      </c>
      <c r="J284" s="121">
        <f t="shared" si="18"/>
        <v>113</v>
      </c>
      <c r="M284" s="121">
        <v>280</v>
      </c>
      <c r="N284" s="121" t="str">
        <f t="shared" si="19"/>
        <v/>
      </c>
      <c r="P284" s="296">
        <f t="shared" si="20"/>
        <v>0</v>
      </c>
      <c r="Q284" s="290" t="str">
        <f t="shared" si="17"/>
        <v/>
      </c>
    </row>
    <row r="285" spans="1:17" x14ac:dyDescent="0.25">
      <c r="A285" s="121">
        <v>282</v>
      </c>
      <c r="B285" s="121" t="str">
        <f>IFERROR(INDEX('Miljövrärden urval för publ'!$A$2:$AA$419,MATCH('Miljövärden för publ företag'!$A285,'Miljövrärden urval för publ'!$R$2:$R$416,0),1),"")</f>
        <v>Umeå Energi AB</v>
      </c>
      <c r="C285" s="121" t="str">
        <f>IFERROR(INDEX('Miljövrärden urval för publ'!$A$2:$AA$419,MATCH('Miljövärden för publ företag'!$A285,'Miljövrärden urval för publ'!$R$2:$R$416,0),2),"")</f>
        <v>Umeå</v>
      </c>
      <c r="D285" s="121">
        <f>IFERROR(VLOOKUP($C285,'Miljövrärden urval för publ'!$B$2:$H$416,MATCH('Miljövärden för publ företag'!D$4,'Miljövrärden urval för publ'!$B$2:$H$2,0),FALSE),"")</f>
        <v>0.198881</v>
      </c>
      <c r="E285" s="121">
        <f>IFERROR(VLOOKUP($C285,'Miljövrärden urval för publ'!$B$2:$H$416,MATCH('Miljövärden för publ företag'!E$4,'Miljövrärden urval för publ'!$B$2:$H$2,0),FALSE),"")</f>
        <v>74.049400000000006</v>
      </c>
      <c r="F285" s="121">
        <f>IFERROR(VLOOKUP($C285,'Miljövrärden urval för publ'!$B$2:$H$416,MATCH('Miljövärden för publ företag'!F$4,'Miljövrärden urval för publ'!$B$2:$H$2,0),FALSE),"")</f>
        <v>6.3486000000000002</v>
      </c>
      <c r="G285" s="121">
        <f>IFERROR(VLOOKUP($C285,'Miljövrärden urval för publ'!$B$2:$H$416,MATCH('Miljövärden för publ företag'!G$4,'Miljövrärden urval för publ'!$B$2:$H$2,0),FALSE),"")</f>
        <v>3.3022999999999997E-2</v>
      </c>
      <c r="J285" s="121">
        <f t="shared" si="18"/>
        <v>113</v>
      </c>
      <c r="M285" s="121">
        <v>281</v>
      </c>
      <c r="N285" s="121" t="str">
        <f t="shared" si="19"/>
        <v/>
      </c>
      <c r="P285" s="296">
        <f t="shared" si="20"/>
        <v>0</v>
      </c>
      <c r="Q285" s="290" t="str">
        <f t="shared" si="17"/>
        <v/>
      </c>
    </row>
    <row r="286" spans="1:17" x14ac:dyDescent="0.25">
      <c r="A286" s="121">
        <v>283</v>
      </c>
      <c r="B286" s="121" t="str">
        <f>IFERROR(INDEX('Miljövrärden urval för publ'!$A$2:$AA$419,MATCH('Miljövärden för publ företag'!$A286,'Miljövrärden urval för publ'!$R$2:$R$416,0),1),"")</f>
        <v>Vaggeryds Energi AB</v>
      </c>
      <c r="C286" s="121" t="str">
        <f>IFERROR(INDEX('Miljövrärden urval för publ'!$A$2:$AA$419,MATCH('Miljövärden för publ företag'!$A286,'Miljövrärden urval för publ'!$R$2:$R$416,0),2),"")</f>
        <v>Skillingaryd</v>
      </c>
      <c r="D286" s="121">
        <f>IFERROR(VLOOKUP($C286,'Miljövrärden urval för publ'!$B$2:$H$416,MATCH('Miljövärden för publ företag'!D$4,'Miljövrärden urval för publ'!$B$2:$H$2,0),FALSE),"")</f>
        <v>0.18293899999999999</v>
      </c>
      <c r="E286" s="121">
        <f>IFERROR(VLOOKUP($C286,'Miljövrärden urval för publ'!$B$2:$H$416,MATCH('Miljövärden för publ företag'!E$4,'Miljövrärden urval för publ'!$B$2:$H$2,0),FALSE),"")</f>
        <v>30.517399999999999</v>
      </c>
      <c r="F286" s="121">
        <f>IFERROR(VLOOKUP($C286,'Miljövrärden urval för publ'!$B$2:$H$416,MATCH('Miljövärden för publ företag'!F$4,'Miljövrärden urval för publ'!$B$2:$H$2,0),FALSE),"")</f>
        <v>13.86</v>
      </c>
      <c r="G286" s="121">
        <f>IFERROR(VLOOKUP($C286,'Miljövrärden urval för publ'!$B$2:$H$416,MATCH('Miljövärden för publ företag'!G$4,'Miljövrärden urval för publ'!$B$2:$H$2,0),FALSE),"")</f>
        <v>2.8365600000000001E-2</v>
      </c>
      <c r="J286" s="121">
        <f t="shared" si="18"/>
        <v>114</v>
      </c>
      <c r="M286" s="121">
        <v>282</v>
      </c>
      <c r="N286" s="121" t="str">
        <f t="shared" si="19"/>
        <v/>
      </c>
      <c r="P286" s="296">
        <f t="shared" si="20"/>
        <v>0</v>
      </c>
      <c r="Q286" s="290" t="str">
        <f t="shared" si="17"/>
        <v/>
      </c>
    </row>
    <row r="287" spans="1:17" x14ac:dyDescent="0.25">
      <c r="A287" s="121">
        <v>284</v>
      </c>
      <c r="B287" s="121" t="str">
        <f>IFERROR(INDEX('Miljövrärden urval för publ'!$A$2:$AA$419,MATCH('Miljövärden för publ företag'!$A287,'Miljövrärden urval för publ'!$R$2:$R$416,0),1),"")</f>
        <v>Vaggeryds Energi AB</v>
      </c>
      <c r="C287" s="121" t="str">
        <f>IFERROR(INDEX('Miljövrärden urval för publ'!$A$2:$AA$419,MATCH('Miljövärden för publ företag'!$A287,'Miljövrärden urval för publ'!$R$2:$R$416,0),2),"")</f>
        <v>Vaggeryd</v>
      </c>
      <c r="D287" s="121">
        <f>IFERROR(VLOOKUP($C287,'Miljövrärden urval för publ'!$B$2:$H$416,MATCH('Miljövärden för publ företag'!D$4,'Miljövrärden urval för publ'!$B$2:$H$2,0),FALSE),"")</f>
        <v>0.115351</v>
      </c>
      <c r="E287" s="121">
        <f>IFERROR(VLOOKUP($C287,'Miljövrärden urval för publ'!$B$2:$H$416,MATCH('Miljövärden för publ företag'!E$4,'Miljövrärden urval för publ'!$B$2:$H$2,0),FALSE),"")</f>
        <v>21.345500000000001</v>
      </c>
      <c r="F287" s="121">
        <f>IFERROR(VLOOKUP($C287,'Miljövrärden urval för publ'!$B$2:$H$416,MATCH('Miljövärden för publ företag'!F$4,'Miljövrärden urval för publ'!$B$2:$H$2,0),FALSE),"")</f>
        <v>9.4928899999999992</v>
      </c>
      <c r="G287" s="121">
        <f>IFERROR(VLOOKUP($C287,'Miljövrärden urval för publ'!$B$2:$H$416,MATCH('Miljövärden för publ företag'!G$4,'Miljövrärden urval för publ'!$B$2:$H$2,0),FALSE),"")</f>
        <v>1.11682E-2</v>
      </c>
      <c r="J287" s="121">
        <f t="shared" si="18"/>
        <v>114</v>
      </c>
      <c r="M287" s="121">
        <v>283</v>
      </c>
      <c r="N287" s="121" t="str">
        <f t="shared" si="19"/>
        <v/>
      </c>
      <c r="P287" s="296">
        <f t="shared" si="20"/>
        <v>0</v>
      </c>
      <c r="Q287" s="290" t="str">
        <f t="shared" si="17"/>
        <v/>
      </c>
    </row>
    <row r="288" spans="1:17" x14ac:dyDescent="0.25">
      <c r="A288" s="121">
        <v>285</v>
      </c>
      <c r="B288" s="121" t="str">
        <f>IFERROR(INDEX('Miljövrärden urval för publ'!$A$2:$AA$419,MATCH('Miljövärden för publ företag'!$A288,'Miljövrärden urval för publ'!$R$2:$R$416,0),1),"")</f>
        <v>Vara Energi Värme AB</v>
      </c>
      <c r="C288" s="121" t="str">
        <f>IFERROR(INDEX('Miljövrärden urval för publ'!$A$2:$AA$419,MATCH('Miljövärden för publ företag'!$A288,'Miljövrärden urval för publ'!$R$2:$R$416,0),2),"")</f>
        <v>Vara</v>
      </c>
      <c r="D288" s="121">
        <f>IFERROR(VLOOKUP($C288,'Miljövrärden urval för publ'!$B$2:$H$416,MATCH('Miljövärden för publ företag'!D$4,'Miljövrärden urval för publ'!$B$2:$H$2,0),FALSE),"")</f>
        <v>4.3928599999999998E-2</v>
      </c>
      <c r="E288" s="121">
        <f>IFERROR(VLOOKUP($C288,'Miljövrärden urval för publ'!$B$2:$H$416,MATCH('Miljövärden för publ företag'!E$4,'Miljövrärden urval för publ'!$B$2:$H$2,0),FALSE),"")</f>
        <v>5.6529199999999999</v>
      </c>
      <c r="F288" s="121">
        <f>IFERROR(VLOOKUP($C288,'Miljövrärden urval för publ'!$B$2:$H$416,MATCH('Miljövärden för publ företag'!F$4,'Miljövrärden urval för publ'!$B$2:$H$2,0),FALSE),"")</f>
        <v>9.7940000000000005</v>
      </c>
      <c r="G288" s="121">
        <f>IFERROR(VLOOKUP($C288,'Miljövrärden urval för publ'!$B$2:$H$416,MATCH('Miljövärden för publ företag'!G$4,'Miljövrärden urval för publ'!$B$2:$H$2,0),FALSE),"")</f>
        <v>1.55802E-4</v>
      </c>
      <c r="J288" s="121">
        <f t="shared" si="18"/>
        <v>115</v>
      </c>
      <c r="M288" s="121">
        <v>284</v>
      </c>
      <c r="N288" s="121" t="str">
        <f t="shared" si="19"/>
        <v/>
      </c>
      <c r="P288" s="296">
        <f t="shared" si="20"/>
        <v>0</v>
      </c>
      <c r="Q288" s="290" t="str">
        <f t="shared" si="17"/>
        <v/>
      </c>
    </row>
    <row r="289" spans="1:17" x14ac:dyDescent="0.25">
      <c r="A289" s="121">
        <v>286</v>
      </c>
      <c r="B289" s="121" t="str">
        <f>IFERROR(INDEX('Miljövrärden urval för publ'!$A$2:$AA$419,MATCH('Miljövärden för publ företag'!$A289,'Miljövrärden urval för publ'!$R$2:$R$416,0),1),"")</f>
        <v>Varberg Energi AB</v>
      </c>
      <c r="C289" s="121" t="str">
        <f>IFERROR(INDEX('Miljövrärden urval för publ'!$A$2:$AA$419,MATCH('Miljövärden för publ företag'!$A289,'Miljövrärden urval för publ'!$R$2:$R$416,0),2),"")</f>
        <v>Tvååker (Närv)</v>
      </c>
      <c r="D289" s="121">
        <f>IFERROR(VLOOKUP($C289,'Miljövrärden urval för publ'!$B$2:$H$416,MATCH('Miljövärden för publ företag'!D$4,'Miljövrärden urval för publ'!$B$2:$H$2,0),FALSE),"")</f>
        <v>0.18986500000000001</v>
      </c>
      <c r="E289" s="121">
        <f>IFERROR(VLOOKUP($C289,'Miljövrärden urval för publ'!$B$2:$H$416,MATCH('Miljövärden för publ företag'!E$4,'Miljövrärden urval för publ'!$B$2:$H$2,0),FALSE),"")</f>
        <v>12.1409</v>
      </c>
      <c r="F289" s="121">
        <f>IFERROR(VLOOKUP($C289,'Miljövrärden urval för publ'!$B$2:$H$416,MATCH('Miljövärden för publ företag'!F$4,'Miljövrärden urval för publ'!$B$2:$H$2,0),FALSE),"")</f>
        <v>19.261299999999999</v>
      </c>
      <c r="G289" s="121">
        <f>IFERROR(VLOOKUP($C289,'Miljövrärden urval för publ'!$B$2:$H$416,MATCH('Miljövärden för publ företag'!G$4,'Miljövrärden urval för publ'!$B$2:$H$2,0),FALSE),"")</f>
        <v>1.83754E-2</v>
      </c>
      <c r="J289" s="121">
        <f t="shared" si="18"/>
        <v>116</v>
      </c>
      <c r="M289" s="121">
        <v>285</v>
      </c>
      <c r="N289" s="121" t="str">
        <f t="shared" si="19"/>
        <v/>
      </c>
      <c r="P289" s="296">
        <f t="shared" si="20"/>
        <v>0</v>
      </c>
      <c r="Q289" s="290" t="str">
        <f t="shared" si="17"/>
        <v/>
      </c>
    </row>
    <row r="290" spans="1:17" x14ac:dyDescent="0.25">
      <c r="A290" s="121">
        <v>287</v>
      </c>
      <c r="B290" s="121" t="str">
        <f>IFERROR(INDEX('Miljövrärden urval för publ'!$A$2:$AA$419,MATCH('Miljövärden för publ företag'!$A290,'Miljövrärden urval för publ'!$R$2:$R$416,0),1),"")</f>
        <v>Varberg Energi AB</v>
      </c>
      <c r="C290" s="121" t="str">
        <f>IFERROR(INDEX('Miljövrärden urval för publ'!$A$2:$AA$419,MATCH('Miljövärden för publ företag'!$A290,'Miljövrärden urval för publ'!$R$2:$R$416,0),2),"")</f>
        <v>Varberg (Fjv)</v>
      </c>
      <c r="D290" s="121">
        <f>IFERROR(VLOOKUP($C290,'Miljövrärden urval för publ'!$B$2:$H$416,MATCH('Miljövärden för publ företag'!D$4,'Miljövrärden urval för publ'!$B$2:$H$2,0),FALSE),"")</f>
        <v>1.7321E-2</v>
      </c>
      <c r="E290" s="121">
        <f>IFERROR(VLOOKUP($C290,'Miljövrärden urval för publ'!$B$2:$H$416,MATCH('Miljövärden för publ företag'!E$4,'Miljövrärden urval för publ'!$B$2:$H$2,0),FALSE),"")</f>
        <v>0.88209400000000004</v>
      </c>
      <c r="F290" s="121">
        <f>IFERROR(VLOOKUP($C290,'Miljövrärden urval för publ'!$B$2:$H$416,MATCH('Miljövärden för publ företag'!F$4,'Miljövrärden urval för publ'!$B$2:$H$2,0),FALSE),"")</f>
        <v>1.81012</v>
      </c>
      <c r="G290" s="121">
        <f>IFERROR(VLOOKUP($C290,'Miljövrärden urval för publ'!$B$2:$H$416,MATCH('Miljövärden för publ företag'!G$4,'Miljövrärden urval för publ'!$B$2:$H$2,0),FALSE),"")</f>
        <v>0</v>
      </c>
      <c r="J290" s="121">
        <f t="shared" si="18"/>
        <v>116</v>
      </c>
      <c r="M290" s="121">
        <v>286</v>
      </c>
      <c r="N290" s="121" t="str">
        <f t="shared" si="19"/>
        <v/>
      </c>
      <c r="P290" s="296">
        <f t="shared" si="20"/>
        <v>0</v>
      </c>
      <c r="Q290" s="290" t="str">
        <f t="shared" si="17"/>
        <v/>
      </c>
    </row>
    <row r="291" spans="1:17" x14ac:dyDescent="0.25">
      <c r="A291" s="121">
        <v>288</v>
      </c>
      <c r="B291" s="121" t="str">
        <f>IFERROR(INDEX('Miljövrärden urval för publ'!$A$2:$AA$419,MATCH('Miljövärden för publ företag'!$A291,'Miljövrärden urval för publ'!$R$2:$R$416,0),1),"")</f>
        <v>Varberg Energi AB</v>
      </c>
      <c r="C291" s="121" t="str">
        <f>IFERROR(INDEX('Miljövrärden urval för publ'!$A$2:$AA$419,MATCH('Miljövärden för publ företag'!$A291,'Miljövrärden urval för publ'!$R$2:$R$416,0),2),"")</f>
        <v>Veddige</v>
      </c>
      <c r="D291" s="121">
        <f>IFERROR(VLOOKUP($C291,'Miljövrärden urval för publ'!$B$2:$H$416,MATCH('Miljövärden för publ företag'!D$4,'Miljövrärden urval för publ'!$B$2:$H$2,0),FALSE),"")</f>
        <v>0.44373600000000002</v>
      </c>
      <c r="E291" s="121">
        <f>IFERROR(VLOOKUP($C291,'Miljövrärden urval för publ'!$B$2:$H$416,MATCH('Miljövärden för publ företag'!E$4,'Miljövrärden urval för publ'!$B$2:$H$2,0),FALSE),"")</f>
        <v>75.497100000000003</v>
      </c>
      <c r="F291" s="121">
        <f>IFERROR(VLOOKUP($C291,'Miljövrärden urval för publ'!$B$2:$H$416,MATCH('Miljövärden för publ företag'!F$4,'Miljövrärden urval för publ'!$B$2:$H$2,0),FALSE),"")</f>
        <v>22.8292</v>
      </c>
      <c r="G291" s="121">
        <f>IFERROR(VLOOKUP($C291,'Miljövrärden urval för publ'!$B$2:$H$416,MATCH('Miljövärden för publ företag'!G$4,'Miljövrärden urval för publ'!$B$2:$H$2,0),FALSE),"")</f>
        <v>0.175426</v>
      </c>
      <c r="J291" s="121">
        <f t="shared" si="18"/>
        <v>116</v>
      </c>
      <c r="M291" s="121">
        <v>287</v>
      </c>
      <c r="N291" s="121" t="str">
        <f t="shared" si="19"/>
        <v/>
      </c>
      <c r="P291" s="296">
        <f t="shared" si="20"/>
        <v>0</v>
      </c>
      <c r="Q291" s="290" t="str">
        <f t="shared" si="17"/>
        <v/>
      </c>
    </row>
    <row r="292" spans="1:17" x14ac:dyDescent="0.25">
      <c r="A292" s="121">
        <v>289</v>
      </c>
      <c r="B292" s="121" t="str">
        <f>IFERROR(INDEX('Miljövrärden urval för publ'!$A$2:$AA$419,MATCH('Miljövärden för publ företag'!$A292,'Miljövrärden urval för publ'!$R$2:$R$416,0),1),"")</f>
        <v>Vasa Värme Holding AB</v>
      </c>
      <c r="C292" s="121" t="str">
        <f>IFERROR(INDEX('Miljövrärden urval för publ'!$A$2:$AA$419,MATCH('Miljövärden för publ företag'!$A292,'Miljövrärden urval för publ'!$R$2:$R$416,0),2),"")</f>
        <v>Alfta</v>
      </c>
      <c r="D292" s="121">
        <f>IFERROR(VLOOKUP($C292,'Miljövrärden urval för publ'!$B$2:$H$416,MATCH('Miljövärden för publ företag'!D$4,'Miljövrärden urval för publ'!$B$2:$H$2,0),FALSE),"")</f>
        <v>0.299539</v>
      </c>
      <c r="E292" s="121">
        <f>IFERROR(VLOOKUP($C292,'Miljövrärden urval för publ'!$B$2:$H$416,MATCH('Miljövärden för publ företag'!E$4,'Miljövrärden urval för publ'!$B$2:$H$2,0),FALSE),"")</f>
        <v>16.079499999999999</v>
      </c>
      <c r="F292" s="121">
        <f>IFERROR(VLOOKUP($C292,'Miljövrärden urval för publ'!$B$2:$H$416,MATCH('Miljövärden för publ företag'!F$4,'Miljövrärden urval för publ'!$B$2:$H$2,0),FALSE),"")</f>
        <v>13.7201</v>
      </c>
      <c r="G292" s="121">
        <f>IFERROR(VLOOKUP($C292,'Miljövrärden urval för publ'!$B$2:$H$416,MATCH('Miljövärden för publ företag'!G$4,'Miljövrärden urval för publ'!$B$2:$H$2,0),FALSE),"")</f>
        <v>1.4806100000000001E-2</v>
      </c>
      <c r="J292" s="121">
        <f t="shared" si="18"/>
        <v>117</v>
      </c>
      <c r="M292" s="121">
        <v>288</v>
      </c>
      <c r="N292" s="121" t="str">
        <f t="shared" si="19"/>
        <v/>
      </c>
      <c r="P292" s="296">
        <f t="shared" si="20"/>
        <v>0</v>
      </c>
      <c r="Q292" s="290" t="str">
        <f t="shared" si="17"/>
        <v/>
      </c>
    </row>
    <row r="293" spans="1:17" x14ac:dyDescent="0.25">
      <c r="A293" s="121">
        <v>290</v>
      </c>
      <c r="B293" s="121" t="str">
        <f>IFERROR(INDEX('Miljövrärden urval för publ'!$A$2:$AA$419,MATCH('Miljövärden för publ företag'!$A293,'Miljövrärden urval för publ'!$R$2:$R$416,0),1),"")</f>
        <v>Vasa Värme Holding AB</v>
      </c>
      <c r="C293" s="121" t="str">
        <f>IFERROR(INDEX('Miljövrärden urval för publ'!$A$2:$AA$419,MATCH('Miljövärden för publ företag'!$A293,'Miljövrärden urval för publ'!$R$2:$R$416,0),2),"")</f>
        <v>Edsbyn</v>
      </c>
      <c r="D293" s="121">
        <f>IFERROR(VLOOKUP($C293,'Miljövrärden urval för publ'!$B$2:$H$416,MATCH('Miljövärden för publ företag'!D$4,'Miljövrärden urval för publ'!$B$2:$H$2,0),FALSE),"")</f>
        <v>6.3138399999999997E-2</v>
      </c>
      <c r="E293" s="121">
        <f>IFERROR(VLOOKUP($C293,'Miljövrärden urval för publ'!$B$2:$H$416,MATCH('Miljövärden för publ företag'!E$4,'Miljövrärden urval för publ'!$B$2:$H$2,0),FALSE),"")</f>
        <v>9.8184900000000006</v>
      </c>
      <c r="F293" s="121">
        <f>IFERROR(VLOOKUP($C293,'Miljövrärden urval för publ'!$B$2:$H$416,MATCH('Miljövärden för publ företag'!F$4,'Miljövrärden urval för publ'!$B$2:$H$2,0),FALSE),"")</f>
        <v>10.0321</v>
      </c>
      <c r="G293" s="121">
        <f>IFERROR(VLOOKUP($C293,'Miljövrärden urval för publ'!$B$2:$H$416,MATCH('Miljövärden för publ företag'!G$4,'Miljövrärden urval för publ'!$B$2:$H$2,0),FALSE),"")</f>
        <v>8.9267800000000005E-3</v>
      </c>
      <c r="J293" s="121">
        <f t="shared" si="18"/>
        <v>117</v>
      </c>
      <c r="M293" s="121">
        <v>289</v>
      </c>
      <c r="N293" s="121" t="str">
        <f t="shared" si="19"/>
        <v/>
      </c>
      <c r="P293" s="296">
        <f t="shared" si="20"/>
        <v>0</v>
      </c>
      <c r="Q293" s="290" t="str">
        <f t="shared" si="17"/>
        <v/>
      </c>
    </row>
    <row r="294" spans="1:17" x14ac:dyDescent="0.25">
      <c r="A294" s="121">
        <v>291</v>
      </c>
      <c r="B294" s="121" t="str">
        <f>IFERROR(INDEX('Miljövrärden urval för publ'!$A$2:$AA$419,MATCH('Miljövärden för publ företag'!$A294,'Miljövrärden urval för publ'!$R$2:$R$416,0),1),"")</f>
        <v>Vasa Värme Holding AB</v>
      </c>
      <c r="C294" s="121" t="str">
        <f>IFERROR(INDEX('Miljövrärden urval för publ'!$A$2:$AA$419,MATCH('Miljövärden för publ företag'!$A294,'Miljövrärden urval för publ'!$R$2:$R$416,0),2),"")</f>
        <v>Kalix</v>
      </c>
      <c r="D294" s="121">
        <f>IFERROR(VLOOKUP($C294,'Miljövrärden urval för publ'!$B$2:$H$416,MATCH('Miljövärden för publ företag'!D$4,'Miljövrärden urval för publ'!$B$2:$H$2,0),FALSE),"")</f>
        <v>0.15110000000000001</v>
      </c>
      <c r="E294" s="121">
        <f>IFERROR(VLOOKUP($C294,'Miljövrärden urval för publ'!$B$2:$H$416,MATCH('Miljövärden för publ företag'!E$4,'Miljövrärden urval för publ'!$B$2:$H$2,0),FALSE),"")</f>
        <v>25.114999999999998</v>
      </c>
      <c r="F294" s="121">
        <f>IFERROR(VLOOKUP($C294,'Miljövrärden urval för publ'!$B$2:$H$416,MATCH('Miljövärden för publ företag'!F$4,'Miljövrärden urval för publ'!$B$2:$H$2,0),FALSE),"")</f>
        <v>9.0530399999999993</v>
      </c>
      <c r="G294" s="121">
        <f>IFERROR(VLOOKUP($C294,'Miljövrärden urval för publ'!$B$2:$H$416,MATCH('Miljövärden för publ företag'!G$4,'Miljövrärden urval för publ'!$B$2:$H$2,0),FALSE),"")</f>
        <v>3.6664799999999997E-2</v>
      </c>
      <c r="J294" s="121">
        <f t="shared" si="18"/>
        <v>117</v>
      </c>
      <c r="M294" s="121">
        <v>290</v>
      </c>
      <c r="N294" s="121" t="str">
        <f t="shared" si="19"/>
        <v/>
      </c>
      <c r="P294" s="296">
        <f t="shared" si="20"/>
        <v>0</v>
      </c>
      <c r="Q294" s="290" t="str">
        <f t="shared" si="17"/>
        <v/>
      </c>
    </row>
    <row r="295" spans="1:17" x14ac:dyDescent="0.25">
      <c r="A295" s="121">
        <v>292</v>
      </c>
      <c r="B295" s="121" t="str">
        <f>IFERROR(INDEX('Miljövrärden urval för publ'!$A$2:$AA$419,MATCH('Miljövärden för publ företag'!$A295,'Miljövrärden urval för publ'!$R$2:$R$416,0),1),"")</f>
        <v>Vasa Värme Holding AB</v>
      </c>
      <c r="C295" s="121" t="str">
        <f>IFERROR(INDEX('Miljövrärden urval för publ'!$A$2:$AA$419,MATCH('Miljövärden för publ företag'!$A295,'Miljövrärden urval för publ'!$R$2:$R$416,0),2),"")</f>
        <v>Krokek</v>
      </c>
      <c r="D295" s="121">
        <f>IFERROR(VLOOKUP($C295,'Miljövrärden urval för publ'!$B$2:$H$416,MATCH('Miljövärden för publ företag'!D$4,'Miljövrärden urval för publ'!$B$2:$H$2,0),FALSE),"")</f>
        <v>0.157994</v>
      </c>
      <c r="E295" s="121">
        <f>IFERROR(VLOOKUP($C295,'Miljövrärden urval för publ'!$B$2:$H$416,MATCH('Miljövärden för publ företag'!E$4,'Miljövrärden urval för publ'!$B$2:$H$2,0),FALSE),"")</f>
        <v>10.122999999999999</v>
      </c>
      <c r="F295" s="121">
        <f>IFERROR(VLOOKUP($C295,'Miljövrärden urval för publ'!$B$2:$H$416,MATCH('Miljövärden för publ företag'!F$4,'Miljövrärden urval för publ'!$B$2:$H$2,0),FALSE),"")</f>
        <v>15.0078</v>
      </c>
      <c r="G295" s="121">
        <f>IFERROR(VLOOKUP($C295,'Miljövrärden urval för publ'!$B$2:$H$416,MATCH('Miljövärden för publ företag'!G$4,'Miljövrärden urval för publ'!$B$2:$H$2,0),FALSE),"")</f>
        <v>7.4714300000000003E-3</v>
      </c>
      <c r="J295" s="121">
        <f t="shared" si="18"/>
        <v>117</v>
      </c>
      <c r="M295" s="121">
        <v>291</v>
      </c>
      <c r="N295" s="121" t="str">
        <f t="shared" si="19"/>
        <v/>
      </c>
      <c r="P295" s="296">
        <f t="shared" si="20"/>
        <v>0</v>
      </c>
      <c r="Q295" s="290" t="str">
        <f t="shared" si="17"/>
        <v/>
      </c>
    </row>
    <row r="296" spans="1:17" x14ac:dyDescent="0.25">
      <c r="A296" s="121">
        <v>293</v>
      </c>
      <c r="B296" s="121" t="str">
        <f>IFERROR(INDEX('Miljövrärden urval för publ'!$A$2:$AA$419,MATCH('Miljövärden för publ företag'!$A296,'Miljövrärden urval för publ'!$R$2:$R$416,0),1),"")</f>
        <v>Vattenfall AB</v>
      </c>
      <c r="C296" s="121" t="str">
        <f>IFERROR(INDEX('Miljövrärden urval för publ'!$A$2:$AA$419,MATCH('Miljövärden för publ företag'!$A296,'Miljövrärden urval för publ'!$R$2:$R$416,0),2),"")</f>
        <v>Askersund</v>
      </c>
      <c r="D296" s="121">
        <f>IFERROR(VLOOKUP($C296,'Miljövrärden urval för publ'!$B$2:$H$416,MATCH('Miljövärden för publ företag'!D$4,'Miljövrärden urval för publ'!$B$2:$H$2,0),FALSE),"")</f>
        <v>0.13369300000000001</v>
      </c>
      <c r="E296" s="121">
        <f>IFERROR(VLOOKUP($C296,'Miljövrärden urval för publ'!$B$2:$H$416,MATCH('Miljövärden för publ företag'!E$4,'Miljövrärden urval för publ'!$B$2:$H$2,0),FALSE),"")</f>
        <v>13.060700000000001</v>
      </c>
      <c r="F296" s="121">
        <f>IFERROR(VLOOKUP($C296,'Miljövrärden urval för publ'!$B$2:$H$416,MATCH('Miljövärden för publ företag'!F$4,'Miljövrärden urval för publ'!$B$2:$H$2,0),FALSE),"")</f>
        <v>8.0398499999999995</v>
      </c>
      <c r="G296" s="121">
        <f>IFERROR(VLOOKUP($C296,'Miljövrärden urval för publ'!$B$2:$H$416,MATCH('Miljövärden för publ företag'!G$4,'Miljövrärden urval för publ'!$B$2:$H$2,0),FALSE),"")</f>
        <v>2.5090000000000001E-2</v>
      </c>
      <c r="J296" s="121">
        <f t="shared" si="18"/>
        <v>118</v>
      </c>
      <c r="M296" s="121">
        <v>292</v>
      </c>
      <c r="N296" s="121" t="str">
        <f t="shared" si="19"/>
        <v/>
      </c>
      <c r="P296" s="296">
        <f t="shared" si="20"/>
        <v>0</v>
      </c>
      <c r="Q296" s="290" t="str">
        <f t="shared" si="17"/>
        <v/>
      </c>
    </row>
    <row r="297" spans="1:17" x14ac:dyDescent="0.25">
      <c r="A297" s="121">
        <v>294</v>
      </c>
      <c r="B297" s="121" t="str">
        <f>IFERROR(INDEX('Miljövrärden urval för publ'!$A$2:$AA$419,MATCH('Miljövärden för publ företag'!$A297,'Miljövrärden urval för publ'!$R$2:$R$416,0),1),"")</f>
        <v>Vattenfall AB</v>
      </c>
      <c r="C297" s="121" t="str">
        <f>IFERROR(INDEX('Miljövrärden urval för publ'!$A$2:$AA$419,MATCH('Miljövärden för publ företag'!$A297,'Miljövrärden urval för publ'!$R$2:$R$416,0),2),"")</f>
        <v>Drefviken</v>
      </c>
      <c r="D297" s="121">
        <f>IFERROR(VLOOKUP($C297,'Miljövrärden urval för publ'!$B$2:$H$416,MATCH('Miljövärden för publ företag'!D$4,'Miljövrärden urval för publ'!$B$2:$H$2,0),FALSE),"")</f>
        <v>7.5997099999999998E-2</v>
      </c>
      <c r="E297" s="121">
        <f>IFERROR(VLOOKUP($C297,'Miljövrärden urval för publ'!$B$2:$H$416,MATCH('Miljövärden för publ företag'!E$4,'Miljövrärden urval för publ'!$B$2:$H$2,0),FALSE),"")</f>
        <v>4.2380899999999997</v>
      </c>
      <c r="F297" s="121">
        <f>IFERROR(VLOOKUP($C297,'Miljövrärden urval för publ'!$B$2:$H$416,MATCH('Miljövärden för publ företag'!F$4,'Miljövrärden urval för publ'!$B$2:$H$2,0),FALSE),"")</f>
        <v>6.9395899999999999</v>
      </c>
      <c r="G297" s="121">
        <f>IFERROR(VLOOKUP($C297,'Miljövrärden urval för publ'!$B$2:$H$416,MATCH('Miljövärden för publ företag'!G$4,'Miljövrärden urval för publ'!$B$2:$H$2,0),FALSE),"")</f>
        <v>0</v>
      </c>
      <c r="J297" s="121">
        <f t="shared" si="18"/>
        <v>118</v>
      </c>
      <c r="M297" s="121">
        <v>293</v>
      </c>
      <c r="N297" s="121" t="str">
        <f t="shared" si="19"/>
        <v/>
      </c>
      <c r="P297" s="296">
        <f t="shared" si="20"/>
        <v>0</v>
      </c>
      <c r="Q297" s="290" t="str">
        <f t="shared" si="17"/>
        <v/>
      </c>
    </row>
    <row r="298" spans="1:17" x14ac:dyDescent="0.25">
      <c r="A298" s="121">
        <v>295</v>
      </c>
      <c r="B298" s="121" t="str">
        <f>IFERROR(INDEX('Miljövrärden urval för publ'!$A$2:$AA$419,MATCH('Miljövärden för publ företag'!$A298,'Miljövrärden urval för publ'!$R$2:$R$416,0),1),"")</f>
        <v>Vattenfall AB</v>
      </c>
      <c r="C298" s="121" t="str">
        <f>IFERROR(INDEX('Miljövrärden urval för publ'!$A$2:$AA$419,MATCH('Miljövärden för publ företag'!$A298,'Miljövrärden urval för publ'!$R$2:$R$416,0),2),"")</f>
        <v>Gustavsberg</v>
      </c>
      <c r="D298" s="121">
        <f>IFERROR(VLOOKUP($C298,'Miljövrärden urval för publ'!$B$2:$H$416,MATCH('Miljövärden för publ företag'!D$4,'Miljövrärden urval för publ'!$B$2:$H$2,0),FALSE),"")</f>
        <v>0.109828</v>
      </c>
      <c r="E298" s="121">
        <f>IFERROR(VLOOKUP($C298,'Miljövrärden urval för publ'!$B$2:$H$416,MATCH('Miljövärden för publ företag'!E$4,'Miljövrärden urval för publ'!$B$2:$H$2,0),FALSE),"")</f>
        <v>3.1710099999999999</v>
      </c>
      <c r="F298" s="121">
        <f>IFERROR(VLOOKUP($C298,'Miljövrärden urval för publ'!$B$2:$H$416,MATCH('Miljövärden för publ företag'!F$4,'Miljövrärden urval för publ'!$B$2:$H$2,0),FALSE),"")</f>
        <v>8.6828599999999998</v>
      </c>
      <c r="G298" s="121">
        <f>IFERROR(VLOOKUP($C298,'Miljövrärden urval för publ'!$B$2:$H$416,MATCH('Miljövärden för publ företag'!G$4,'Miljövrärden urval för publ'!$B$2:$H$2,0),FALSE),"")</f>
        <v>1.3706100000000001E-4</v>
      </c>
      <c r="J298" s="121">
        <f t="shared" si="18"/>
        <v>118</v>
      </c>
      <c r="M298" s="121">
        <v>294</v>
      </c>
      <c r="N298" s="121" t="str">
        <f t="shared" si="19"/>
        <v/>
      </c>
      <c r="P298" s="296">
        <f t="shared" si="20"/>
        <v>0</v>
      </c>
      <c r="Q298" s="290" t="str">
        <f t="shared" si="17"/>
        <v/>
      </c>
    </row>
    <row r="299" spans="1:17" x14ac:dyDescent="0.25">
      <c r="A299" s="121">
        <v>296</v>
      </c>
      <c r="B299" s="121" t="str">
        <f>IFERROR(INDEX('Miljövrärden urval för publ'!$A$2:$AA$419,MATCH('Miljövärden för publ företag'!$A299,'Miljövrärden urval för publ'!$R$2:$R$416,0),1),"")</f>
        <v>Vattenfall AB</v>
      </c>
      <c r="C299" s="121" t="str">
        <f>IFERROR(INDEX('Miljövrärden urval för publ'!$A$2:$AA$419,MATCH('Miljövärden för publ företag'!$A299,'Miljövrärden urval för publ'!$R$2:$R$416,0),2),"")</f>
        <v>Knivsta (Vattenfall AB )</v>
      </c>
      <c r="D299" s="121">
        <f>IFERROR(VLOOKUP($C299,'Miljövrärden urval för publ'!$B$2:$H$416,MATCH('Miljövärden för publ företag'!D$4,'Miljövrärden urval för publ'!$B$2:$H$2,0),FALSE),"")</f>
        <v>0.177427</v>
      </c>
      <c r="E299" s="121">
        <f>IFERROR(VLOOKUP($C299,'Miljövrärden urval för publ'!$B$2:$H$416,MATCH('Miljövärden för publ företag'!E$4,'Miljövrärden urval för publ'!$B$2:$H$2,0),FALSE),"")</f>
        <v>20.071000000000002</v>
      </c>
      <c r="F299" s="121">
        <f>IFERROR(VLOOKUP($C299,'Miljövrärden urval för publ'!$B$2:$H$416,MATCH('Miljövärden för publ företag'!F$4,'Miljövrärden urval för publ'!$B$2:$H$2,0),FALSE),"")</f>
        <v>11.2987</v>
      </c>
      <c r="G299" s="121">
        <f>IFERROR(VLOOKUP($C299,'Miljövrärden urval för publ'!$B$2:$H$416,MATCH('Miljövärden för publ företag'!G$4,'Miljövrärden urval för publ'!$B$2:$H$2,0),FALSE),"")</f>
        <v>3.4621499999999999E-2</v>
      </c>
      <c r="J299" s="121">
        <f t="shared" si="18"/>
        <v>118</v>
      </c>
      <c r="M299" s="121">
        <v>295</v>
      </c>
      <c r="N299" s="121" t="str">
        <f t="shared" si="19"/>
        <v/>
      </c>
      <c r="P299" s="296">
        <f t="shared" si="20"/>
        <v>0</v>
      </c>
      <c r="Q299" s="290" t="str">
        <f t="shared" si="17"/>
        <v/>
      </c>
    </row>
    <row r="300" spans="1:17" x14ac:dyDescent="0.25">
      <c r="A300" s="121">
        <v>297</v>
      </c>
      <c r="B300" s="121" t="str">
        <f>IFERROR(INDEX('Miljövrärden urval för publ'!$A$2:$AA$419,MATCH('Miljövärden för publ företag'!$A300,'Miljövrärden urval för publ'!$R$2:$R$416,0),1),"")</f>
        <v>Vattenfall AB</v>
      </c>
      <c r="C300" s="121" t="str">
        <f>IFERROR(INDEX('Miljövrärden urval för publ'!$A$2:$AA$419,MATCH('Miljövärden för publ företag'!$A300,'Miljövrärden urval för publ'!$R$2:$R$416,0),2),"")</f>
        <v>Motala</v>
      </c>
      <c r="D300" s="121">
        <f>IFERROR(VLOOKUP($C300,'Miljövrärden urval för publ'!$B$2:$H$416,MATCH('Miljövärden för publ företag'!D$4,'Miljövrärden urval för publ'!$B$2:$H$2,0),FALSE),"")</f>
        <v>7.1760500000000005E-2</v>
      </c>
      <c r="E300" s="121">
        <f>IFERROR(VLOOKUP($C300,'Miljövrärden urval för publ'!$B$2:$H$416,MATCH('Miljövärden för publ företag'!E$4,'Miljövrärden urval för publ'!$B$2:$H$2,0),FALSE),"")</f>
        <v>13.4047</v>
      </c>
      <c r="F300" s="121">
        <f>IFERROR(VLOOKUP($C300,'Miljövrärden urval för publ'!$B$2:$H$416,MATCH('Miljövärden för publ företag'!F$4,'Miljövrärden urval för publ'!$B$2:$H$2,0),FALSE),"")</f>
        <v>8.3444900000000004</v>
      </c>
      <c r="G300" s="121">
        <f>IFERROR(VLOOKUP($C300,'Miljövrärden urval för publ'!$B$2:$H$416,MATCH('Miljövärden för publ företag'!G$4,'Miljövrärden urval för publ'!$B$2:$H$2,0),FALSE),"")</f>
        <v>2.3621900000000001E-2</v>
      </c>
      <c r="J300" s="121">
        <f t="shared" si="18"/>
        <v>118</v>
      </c>
      <c r="M300" s="121">
        <v>296</v>
      </c>
      <c r="N300" s="121" t="str">
        <f t="shared" si="19"/>
        <v/>
      </c>
      <c r="P300" s="296">
        <f t="shared" si="20"/>
        <v>0</v>
      </c>
      <c r="Q300" s="290" t="str">
        <f t="shared" si="17"/>
        <v/>
      </c>
    </row>
    <row r="301" spans="1:17" x14ac:dyDescent="0.25">
      <c r="A301" s="121">
        <v>298</v>
      </c>
      <c r="B301" s="121" t="str">
        <f>IFERROR(INDEX('Miljövrärden urval för publ'!$A$2:$AA$419,MATCH('Miljövärden för publ företag'!$A301,'Miljövrärden urval för publ'!$R$2:$R$416,0),1),"")</f>
        <v>Vattenfall AB</v>
      </c>
      <c r="C301" s="121" t="str">
        <f>IFERROR(INDEX('Miljövrärden urval för publ'!$A$2:$AA$419,MATCH('Miljövärden för publ företag'!$A301,'Miljövrärden urval för publ'!$R$2:$R$416,0),2),"")</f>
        <v>Nyköping</v>
      </c>
      <c r="D301" s="121">
        <f>IFERROR(VLOOKUP($C301,'Miljövrärden urval för publ'!$B$2:$H$416,MATCH('Miljövärden för publ företag'!D$4,'Miljövrärden urval för publ'!$B$2:$H$2,0),FALSE),"")</f>
        <v>7.7673099999999995E-2</v>
      </c>
      <c r="E301" s="121">
        <f>IFERROR(VLOOKUP($C301,'Miljövrärden urval för publ'!$B$2:$H$416,MATCH('Miljövärden för publ företag'!E$4,'Miljövrärden urval för publ'!$B$2:$H$2,0),FALSE),"")</f>
        <v>12.560499999999999</v>
      </c>
      <c r="F301" s="121">
        <f>IFERROR(VLOOKUP($C301,'Miljövrärden urval för publ'!$B$2:$H$416,MATCH('Miljövärden för publ företag'!F$4,'Miljövrärden urval för publ'!$B$2:$H$2,0),FALSE),"")</f>
        <v>4.2868300000000001</v>
      </c>
      <c r="G301" s="121">
        <f>IFERROR(VLOOKUP($C301,'Miljövrärden urval för publ'!$B$2:$H$416,MATCH('Miljövärden för publ företag'!G$4,'Miljövrärden urval för publ'!$B$2:$H$2,0),FALSE),"")</f>
        <v>5.7934300000000001E-2</v>
      </c>
      <c r="J301" s="121">
        <f t="shared" si="18"/>
        <v>118</v>
      </c>
      <c r="M301" s="121">
        <v>297</v>
      </c>
      <c r="N301" s="121" t="str">
        <f t="shared" si="19"/>
        <v/>
      </c>
      <c r="P301" s="296">
        <f t="shared" si="20"/>
        <v>0</v>
      </c>
      <c r="Q301" s="290" t="str">
        <f t="shared" si="17"/>
        <v/>
      </c>
    </row>
    <row r="302" spans="1:17" x14ac:dyDescent="0.25">
      <c r="A302" s="121">
        <v>299</v>
      </c>
      <c r="B302" s="121" t="str">
        <f>IFERROR(INDEX('Miljövrärden urval för publ'!$A$2:$AA$419,MATCH('Miljövärden för publ företag'!$A302,'Miljövrärden urval för publ'!$R$2:$R$416,0),1),"")</f>
        <v>Vattenfall AB</v>
      </c>
      <c r="C302" s="121" t="str">
        <f>IFERROR(INDEX('Miljövrärden urval för publ'!$A$2:$AA$419,MATCH('Miljövärden för publ företag'!$A302,'Miljövrärden urval för publ'!$R$2:$R$416,0),2),"")</f>
        <v>Saltsjöbaden</v>
      </c>
      <c r="D302" s="121">
        <f>IFERROR(VLOOKUP($C302,'Miljövrärden urval för publ'!$B$2:$H$416,MATCH('Miljövärden för publ företag'!D$4,'Miljövrärden urval för publ'!$B$2:$H$2,0),FALSE),"")</f>
        <v>7.9901100000000003E-2</v>
      </c>
      <c r="E302" s="121">
        <f>IFERROR(VLOOKUP($C302,'Miljövrärden urval för publ'!$B$2:$H$416,MATCH('Miljövärden för publ företag'!E$4,'Miljövrärden urval för publ'!$B$2:$H$2,0),FALSE),"")</f>
        <v>1.0905800000000001</v>
      </c>
      <c r="F302" s="121">
        <f>IFERROR(VLOOKUP($C302,'Miljövrärden urval för publ'!$B$2:$H$416,MATCH('Miljövärden för publ företag'!F$4,'Miljövrärden urval för publ'!$B$2:$H$2,0),FALSE),"")</f>
        <v>4.3585099999999999</v>
      </c>
      <c r="G302" s="121">
        <f>IFERROR(VLOOKUP($C302,'Miljövrärden urval för publ'!$B$2:$H$416,MATCH('Miljövärden för publ företag'!G$4,'Miljövrärden urval för publ'!$B$2:$H$2,0),FALSE),"")</f>
        <v>0</v>
      </c>
      <c r="J302" s="121">
        <f t="shared" si="18"/>
        <v>118</v>
      </c>
      <c r="M302" s="121">
        <v>298</v>
      </c>
      <c r="N302" s="121" t="str">
        <f t="shared" si="19"/>
        <v/>
      </c>
      <c r="P302" s="296">
        <f t="shared" si="20"/>
        <v>0</v>
      </c>
      <c r="Q302" s="290" t="str">
        <f t="shared" si="17"/>
        <v/>
      </c>
    </row>
    <row r="303" spans="1:17" x14ac:dyDescent="0.25">
      <c r="A303" s="121">
        <v>300</v>
      </c>
      <c r="B303" s="121" t="str">
        <f>IFERROR(INDEX('Miljövrärden urval för publ'!$A$2:$AA$419,MATCH('Miljövärden för publ företag'!$A303,'Miljövrärden urval för publ'!$R$2:$R$416,0),1),"")</f>
        <v>Vattenfall AB</v>
      </c>
      <c r="C303" s="121" t="str">
        <f>IFERROR(INDEX('Miljövrärden urval för publ'!$A$2:$AA$419,MATCH('Miljövärden för publ företag'!$A303,'Miljövrärden urval för publ'!$R$2:$R$416,0),2),"")</f>
        <v>Storvreta</v>
      </c>
      <c r="D303" s="121">
        <f>IFERROR(VLOOKUP($C303,'Miljövrärden urval för publ'!$B$2:$H$416,MATCH('Miljövärden för publ företag'!D$4,'Miljövrärden urval för publ'!$B$2:$H$2,0),FALSE),"")</f>
        <v>0.22966300000000001</v>
      </c>
      <c r="E303" s="121">
        <f>IFERROR(VLOOKUP($C303,'Miljövrärden urval för publ'!$B$2:$H$416,MATCH('Miljövärden för publ företag'!E$4,'Miljövrärden urval för publ'!$B$2:$H$2,0),FALSE),"")</f>
        <v>10.8682</v>
      </c>
      <c r="F303" s="121">
        <f>IFERROR(VLOOKUP($C303,'Miljövrärden urval för publ'!$B$2:$H$416,MATCH('Miljövärden för publ företag'!F$4,'Miljövrärden urval för publ'!$B$2:$H$2,0),FALSE),"")</f>
        <v>23.953900000000001</v>
      </c>
      <c r="G303" s="121">
        <f>IFERROR(VLOOKUP($C303,'Miljövrärden urval för publ'!$B$2:$H$416,MATCH('Miljövärden för publ företag'!G$4,'Miljövrärden urval för publ'!$B$2:$H$2,0),FALSE),"")</f>
        <v>8.9567099999999997E-3</v>
      </c>
      <c r="J303" s="121">
        <f t="shared" si="18"/>
        <v>118</v>
      </c>
      <c r="M303" s="121">
        <v>299</v>
      </c>
      <c r="N303" s="121" t="str">
        <f t="shared" si="19"/>
        <v/>
      </c>
      <c r="P303" s="296">
        <f t="shared" si="20"/>
        <v>0</v>
      </c>
      <c r="Q303" s="290" t="str">
        <f t="shared" si="17"/>
        <v/>
      </c>
    </row>
    <row r="304" spans="1:17" x14ac:dyDescent="0.25">
      <c r="A304" s="121">
        <v>301</v>
      </c>
      <c r="B304" s="121" t="str">
        <f>IFERROR(INDEX('Miljövrärden urval för publ'!$A$2:$AA$419,MATCH('Miljövärden för publ företag'!$A304,'Miljövrärden urval för publ'!$R$2:$R$416,0),1),"")</f>
        <v>Vattenfall AB</v>
      </c>
      <c r="C304" s="121" t="str">
        <f>IFERROR(INDEX('Miljövrärden urval för publ'!$A$2:$AA$419,MATCH('Miljövärden för publ företag'!$A304,'Miljövrärden urval för publ'!$R$2:$R$416,0),2),"")</f>
        <v>Uppsala</v>
      </c>
      <c r="D304" s="121">
        <f>IFERROR(VLOOKUP($C304,'Miljövrärden urval för publ'!$B$2:$H$416,MATCH('Miljövärden för publ företag'!D$4,'Miljövrärden urval för publ'!$B$2:$H$2,0),FALSE),"")</f>
        <v>0.53025299999999997</v>
      </c>
      <c r="E304" s="121">
        <f>IFERROR(VLOOKUP($C304,'Miljövrärden urval för publ'!$B$2:$H$416,MATCH('Miljövärden för publ företag'!E$4,'Miljövrärden urval för publ'!$B$2:$H$2,0),FALSE),"")</f>
        <v>224.70599999999999</v>
      </c>
      <c r="F304" s="121">
        <f>IFERROR(VLOOKUP($C304,'Miljövrärden urval för publ'!$B$2:$H$416,MATCH('Miljövärden för publ företag'!F$4,'Miljövrärden urval för publ'!$B$2:$H$2,0),FALSE),"")</f>
        <v>14.6374</v>
      </c>
      <c r="G304" s="121">
        <f>IFERROR(VLOOKUP($C304,'Miljövrärden urval för publ'!$B$2:$H$416,MATCH('Miljövärden för publ företag'!G$4,'Miljövrärden urval för publ'!$B$2:$H$2,0),FALSE),"")</f>
        <v>2.9853299999999999E-2</v>
      </c>
      <c r="J304" s="121">
        <f t="shared" si="18"/>
        <v>118</v>
      </c>
      <c r="M304" s="121">
        <v>300</v>
      </c>
      <c r="N304" s="121" t="str">
        <f t="shared" si="19"/>
        <v/>
      </c>
      <c r="P304" s="296">
        <f t="shared" si="20"/>
        <v>0</v>
      </c>
      <c r="Q304" s="290" t="str">
        <f t="shared" si="17"/>
        <v/>
      </c>
    </row>
    <row r="305" spans="1:17" x14ac:dyDescent="0.25">
      <c r="A305" s="121">
        <v>302</v>
      </c>
      <c r="B305" s="121" t="str">
        <f>IFERROR(INDEX('Miljövrärden urval för publ'!$A$2:$AA$419,MATCH('Miljövärden för publ företag'!$A305,'Miljövrärden urval för publ'!$R$2:$R$416,0),1),"")</f>
        <v>Vattenfall AB</v>
      </c>
      <c r="C305" s="121" t="str">
        <f>IFERROR(INDEX('Miljövrärden urval för publ'!$A$2:$AA$419,MATCH('Miljövärden för publ företag'!$A305,'Miljövrärden urval för publ'!$R$2:$R$416,0),2),"")</f>
        <v>Vänersborg</v>
      </c>
      <c r="D305" s="121">
        <f>IFERROR(VLOOKUP($C305,'Miljövrärden urval för publ'!$B$2:$H$416,MATCH('Miljövärden för publ företag'!D$4,'Miljövrärden urval för publ'!$B$2:$H$2,0),FALSE),"")</f>
        <v>2.4651800000000001E-2</v>
      </c>
      <c r="E305" s="121">
        <f>IFERROR(VLOOKUP($C305,'Miljövrärden urval för publ'!$B$2:$H$416,MATCH('Miljövärden för publ företag'!E$4,'Miljövrärden urval för publ'!$B$2:$H$2,0),FALSE),"")</f>
        <v>0.40868900000000002</v>
      </c>
      <c r="F305" s="121">
        <f>IFERROR(VLOOKUP($C305,'Miljövrärden urval för publ'!$B$2:$H$416,MATCH('Miljövärden för publ företag'!F$4,'Miljövrärden urval för publ'!$B$2:$H$2,0),FALSE),"")</f>
        <v>0.85931199999999996</v>
      </c>
      <c r="G305" s="121">
        <f>IFERROR(VLOOKUP($C305,'Miljövrärden urval för publ'!$B$2:$H$416,MATCH('Miljövärden för publ företag'!G$4,'Miljövrärden urval för publ'!$B$2:$H$2,0),FALSE),"")</f>
        <v>6.4683099999999995E-4</v>
      </c>
      <c r="J305" s="121">
        <f t="shared" si="18"/>
        <v>118</v>
      </c>
      <c r="M305" s="121">
        <v>301</v>
      </c>
      <c r="N305" s="121" t="str">
        <f t="shared" si="19"/>
        <v/>
      </c>
      <c r="P305" s="296">
        <f t="shared" si="20"/>
        <v>0</v>
      </c>
      <c r="Q305" s="290" t="str">
        <f t="shared" si="17"/>
        <v/>
      </c>
    </row>
    <row r="306" spans="1:17" x14ac:dyDescent="0.25">
      <c r="A306" s="121">
        <v>303</v>
      </c>
      <c r="B306" s="121" t="str">
        <f>IFERROR(INDEX('Miljövrärden urval för publ'!$A$2:$AA$419,MATCH('Miljövärden för publ företag'!$A306,'Miljövrärden urval för publ'!$R$2:$R$416,0),1),"")</f>
        <v>Veolia</v>
      </c>
      <c r="C306" s="121" t="str">
        <f>IFERROR(INDEX('Miljövrärden urval för publ'!$A$2:$AA$419,MATCH('Miljövärden för publ företag'!$A306,'Miljövrärden urval för publ'!$R$2:$R$416,0),2),"")</f>
        <v>Ekerö</v>
      </c>
      <c r="D306" s="121">
        <f>IFERROR(VLOOKUP($C306,'Miljövrärden urval för publ'!$B$2:$H$416,MATCH('Miljövärden för publ företag'!D$4,'Miljövrärden urval för publ'!$B$2:$H$2,0),FALSE),"")</f>
        <v>0.315745</v>
      </c>
      <c r="E306" s="121">
        <f>IFERROR(VLOOKUP($C306,'Miljövrärden urval för publ'!$B$2:$H$416,MATCH('Miljövärden för publ företag'!E$4,'Miljövrärden urval för publ'!$B$2:$H$2,0),FALSE),"")</f>
        <v>41.607100000000003</v>
      </c>
      <c r="F306" s="121">
        <f>IFERROR(VLOOKUP($C306,'Miljövrärden urval för publ'!$B$2:$H$416,MATCH('Miljövärden för publ företag'!F$4,'Miljövrärden urval för publ'!$B$2:$H$2,0),FALSE),"")</f>
        <v>21.418199999999999</v>
      </c>
      <c r="G306" s="121">
        <f>IFERROR(VLOOKUP($C306,'Miljövrärden urval för publ'!$B$2:$H$416,MATCH('Miljövärden för publ företag'!G$4,'Miljövrärden urval för publ'!$B$2:$H$2,0),FALSE),"")</f>
        <v>8.1250000000000003E-2</v>
      </c>
      <c r="J306" s="121">
        <f t="shared" si="18"/>
        <v>119</v>
      </c>
      <c r="M306" s="121">
        <v>302</v>
      </c>
      <c r="N306" s="121" t="str">
        <f t="shared" si="19"/>
        <v/>
      </c>
      <c r="P306" s="296">
        <f t="shared" si="20"/>
        <v>0</v>
      </c>
      <c r="Q306" s="290" t="str">
        <f t="shared" si="17"/>
        <v/>
      </c>
    </row>
    <row r="307" spans="1:17" x14ac:dyDescent="0.25">
      <c r="A307" s="121">
        <v>304</v>
      </c>
      <c r="B307" s="121" t="str">
        <f>IFERROR(INDEX('Miljövrärden urval för publ'!$A$2:$AA$419,MATCH('Miljövärden för publ företag'!$A307,'Miljövrärden urval för publ'!$R$2:$R$416,0),1),"")</f>
        <v>Vimmerby Energi &amp; Miljö AB</v>
      </c>
      <c r="C307" s="121" t="str">
        <f>IFERROR(INDEX('Miljövrärden urval för publ'!$A$2:$AA$419,MATCH('Miljövärden för publ företag'!$A307,'Miljövrärden urval för publ'!$R$2:$R$416,0),2),"")</f>
        <v>Frödinge</v>
      </c>
      <c r="D307" s="121">
        <f>IFERROR(VLOOKUP($C307,'Miljövrärden urval för publ'!$B$2:$H$416,MATCH('Miljövärden för publ företag'!D$4,'Miljövrärden urval för publ'!$B$2:$H$2,0),FALSE),"")</f>
        <v>0.11104600000000001</v>
      </c>
      <c r="E307" s="121">
        <f>IFERROR(VLOOKUP($C307,'Miljövrärden urval för publ'!$B$2:$H$416,MATCH('Miljövärden för publ företag'!E$4,'Miljövrärden urval för publ'!$B$2:$H$2,0),FALSE),"")</f>
        <v>15.4818</v>
      </c>
      <c r="F307" s="121">
        <f>IFERROR(VLOOKUP($C307,'Miljövrärden urval för publ'!$B$2:$H$416,MATCH('Miljövärden för publ företag'!F$4,'Miljövrärden urval för publ'!$B$2:$H$2,0),FALSE),"")</f>
        <v>9.8106600000000004</v>
      </c>
      <c r="G307" s="121">
        <f>IFERROR(VLOOKUP($C307,'Miljövrärden urval för publ'!$B$2:$H$416,MATCH('Miljövärden för publ företag'!G$4,'Miljövrärden urval för publ'!$B$2:$H$2,0),FALSE),"")</f>
        <v>9.0113899999999993E-3</v>
      </c>
      <c r="J307" s="121">
        <f t="shared" si="18"/>
        <v>120</v>
      </c>
      <c r="M307" s="121">
        <v>303</v>
      </c>
      <c r="N307" s="121" t="str">
        <f t="shared" si="19"/>
        <v/>
      </c>
      <c r="P307" s="296">
        <f t="shared" si="20"/>
        <v>0</v>
      </c>
      <c r="Q307" s="290" t="str">
        <f t="shared" si="17"/>
        <v/>
      </c>
    </row>
    <row r="308" spans="1:17" x14ac:dyDescent="0.25">
      <c r="A308" s="121">
        <v>305</v>
      </c>
      <c r="B308" s="121" t="str">
        <f>IFERROR(INDEX('Miljövrärden urval för publ'!$A$2:$AA$419,MATCH('Miljövärden för publ företag'!$A308,'Miljövrärden urval för publ'!$R$2:$R$416,0),1),"")</f>
        <v>Vimmerby Energi &amp; Miljö AB</v>
      </c>
      <c r="C308" s="121" t="str">
        <f>IFERROR(INDEX('Miljövrärden urval för publ'!$A$2:$AA$419,MATCH('Miljövärden för publ företag'!$A308,'Miljövrärden urval för publ'!$R$2:$R$416,0),2),"")</f>
        <v>Gullringen</v>
      </c>
      <c r="D308" s="121">
        <f>IFERROR(VLOOKUP($C308,'Miljövrärden urval för publ'!$B$2:$H$416,MATCH('Miljövärden för publ företag'!D$4,'Miljövrärden urval för publ'!$B$2:$H$2,0),FALSE),"")</f>
        <v>7.4426099999999995E-2</v>
      </c>
      <c r="E308" s="121">
        <f>IFERROR(VLOOKUP($C308,'Miljövrärden urval för publ'!$B$2:$H$416,MATCH('Miljövärden för publ företag'!E$4,'Miljövrärden urval för publ'!$B$2:$H$2,0),FALSE),"")</f>
        <v>5.65787</v>
      </c>
      <c r="F308" s="121">
        <f>IFERROR(VLOOKUP($C308,'Miljövrärden urval för publ'!$B$2:$H$416,MATCH('Miljövärden för publ företag'!F$4,'Miljövrärden urval för publ'!$B$2:$H$2,0),FALSE),"")</f>
        <v>10.1234</v>
      </c>
      <c r="G308" s="121">
        <f>IFERROR(VLOOKUP($C308,'Miljövrärden urval för publ'!$B$2:$H$416,MATCH('Miljövärden för publ företag'!G$4,'Miljövrärden urval för publ'!$B$2:$H$2,0),FALSE),"")</f>
        <v>0</v>
      </c>
      <c r="J308" s="121">
        <f t="shared" si="18"/>
        <v>120</v>
      </c>
      <c r="M308" s="121">
        <v>304</v>
      </c>
      <c r="N308" s="121" t="str">
        <f t="shared" si="19"/>
        <v/>
      </c>
      <c r="P308" s="296">
        <f t="shared" si="20"/>
        <v>0</v>
      </c>
      <c r="Q308" s="290" t="str">
        <f t="shared" si="17"/>
        <v/>
      </c>
    </row>
    <row r="309" spans="1:17" x14ac:dyDescent="0.25">
      <c r="A309" s="121">
        <v>306</v>
      </c>
      <c r="B309" s="121" t="str">
        <f>IFERROR(INDEX('Miljövrärden urval för publ'!$A$2:$AA$419,MATCH('Miljövärden för publ företag'!$A309,'Miljövrärden urval för publ'!$R$2:$R$416,0),1),"")</f>
        <v>Vimmerby Energi &amp; Miljö AB</v>
      </c>
      <c r="C309" s="121" t="str">
        <f>IFERROR(INDEX('Miljövrärden urval för publ'!$A$2:$AA$419,MATCH('Miljövärden för publ företag'!$A309,'Miljövrärden urval för publ'!$R$2:$R$416,0),2),"")</f>
        <v>Storebro</v>
      </c>
      <c r="D309" s="121">
        <f>IFERROR(VLOOKUP($C309,'Miljövrärden urval för publ'!$B$2:$H$416,MATCH('Miljövärden för publ företag'!D$4,'Miljövrärden urval för publ'!$B$2:$H$2,0),FALSE),"")</f>
        <v>7.0669399999999993E-2</v>
      </c>
      <c r="E309" s="121">
        <f>IFERROR(VLOOKUP($C309,'Miljövrärden urval för publ'!$B$2:$H$416,MATCH('Miljövärden för publ företag'!E$4,'Miljövrärden urval för publ'!$B$2:$H$2,0),FALSE),"")</f>
        <v>5.9091699999999996</v>
      </c>
      <c r="F309" s="121">
        <f>IFERROR(VLOOKUP($C309,'Miljövrärden urval för publ'!$B$2:$H$416,MATCH('Miljövärden för publ företag'!F$4,'Miljövrärden urval för publ'!$B$2:$H$2,0),FALSE),"")</f>
        <v>10.4245</v>
      </c>
      <c r="G309" s="121">
        <f>IFERROR(VLOOKUP($C309,'Miljövrärden urval för publ'!$B$2:$H$416,MATCH('Miljövärden för publ företag'!G$4,'Miljövrärden urval för publ'!$B$2:$H$2,0),FALSE),"")</f>
        <v>0</v>
      </c>
      <c r="J309" s="121">
        <f t="shared" si="18"/>
        <v>120</v>
      </c>
      <c r="M309" s="121">
        <v>305</v>
      </c>
      <c r="N309" s="121" t="str">
        <f t="shared" si="19"/>
        <v/>
      </c>
      <c r="P309" s="296">
        <f t="shared" si="20"/>
        <v>0</v>
      </c>
      <c r="Q309" s="290" t="str">
        <f t="shared" si="17"/>
        <v/>
      </c>
    </row>
    <row r="310" spans="1:17" x14ac:dyDescent="0.25">
      <c r="A310" s="121">
        <v>307</v>
      </c>
      <c r="B310" s="121" t="str">
        <f>IFERROR(INDEX('Miljövrärden urval för publ'!$A$2:$AA$419,MATCH('Miljövärden för publ företag'!$A310,'Miljövrärden urval för publ'!$R$2:$R$416,0),1),"")</f>
        <v>Vimmerby Energi &amp; Miljö AB</v>
      </c>
      <c r="C310" s="121" t="str">
        <f>IFERROR(INDEX('Miljövrärden urval för publ'!$A$2:$AA$419,MATCH('Miljövärden för publ företag'!$A310,'Miljövrärden urval för publ'!$R$2:$R$416,0),2),"")</f>
        <v>Södra Vi</v>
      </c>
      <c r="D310" s="121">
        <f>IFERROR(VLOOKUP($C310,'Miljövrärden urval för publ'!$B$2:$H$416,MATCH('Miljövärden för publ företag'!D$4,'Miljövrärden urval för publ'!$B$2:$H$2,0),FALSE),"")</f>
        <v>6.1473600000000003E-2</v>
      </c>
      <c r="E310" s="121">
        <f>IFERROR(VLOOKUP($C310,'Miljövrärden urval för publ'!$B$2:$H$416,MATCH('Miljövärden för publ företag'!E$4,'Miljövrärden urval för publ'!$B$2:$H$2,0),FALSE),"")</f>
        <v>5.1674600000000002</v>
      </c>
      <c r="F310" s="121">
        <f>IFERROR(VLOOKUP($C310,'Miljövrärden urval för publ'!$B$2:$H$416,MATCH('Miljövärden för publ företag'!F$4,'Miljövrärden urval för publ'!$B$2:$H$2,0),FALSE),"")</f>
        <v>9.1863100000000006</v>
      </c>
      <c r="G310" s="121">
        <f>IFERROR(VLOOKUP($C310,'Miljövrärden urval för publ'!$B$2:$H$416,MATCH('Miljövärden för publ företag'!G$4,'Miljövrärden urval för publ'!$B$2:$H$2,0),FALSE),"")</f>
        <v>0</v>
      </c>
      <c r="J310" s="121">
        <f t="shared" si="18"/>
        <v>120</v>
      </c>
      <c r="M310" s="121">
        <v>306</v>
      </c>
      <c r="N310" s="121" t="str">
        <f t="shared" si="19"/>
        <v/>
      </c>
      <c r="P310" s="296">
        <f t="shared" si="20"/>
        <v>0</v>
      </c>
      <c r="Q310" s="290" t="str">
        <f t="shared" si="17"/>
        <v/>
      </c>
    </row>
    <row r="311" spans="1:17" x14ac:dyDescent="0.25">
      <c r="A311" s="121">
        <v>308</v>
      </c>
      <c r="B311" s="121" t="str">
        <f>IFERROR(INDEX('Miljövrärden urval för publ'!$A$2:$AA$419,MATCH('Miljövärden för publ företag'!$A311,'Miljövrärden urval för publ'!$R$2:$R$416,0),1),"")</f>
        <v>Vimmerby Energi &amp; Miljö AB</v>
      </c>
      <c r="C311" s="121" t="str">
        <f>IFERROR(INDEX('Miljövrärden urval för publ'!$A$2:$AA$419,MATCH('Miljövärden för publ företag'!$A311,'Miljövrärden urval för publ'!$R$2:$R$416,0),2),"")</f>
        <v>Vimmerby</v>
      </c>
      <c r="D311" s="121">
        <f>IFERROR(VLOOKUP($C311,'Miljövrärden urval för publ'!$B$2:$H$416,MATCH('Miljövärden för publ företag'!D$4,'Miljövrärden urval för publ'!$B$2:$H$2,0),FALSE),"")</f>
        <v>5.4351700000000003E-2</v>
      </c>
      <c r="E311" s="121">
        <f>IFERROR(VLOOKUP($C311,'Miljövrärden urval för publ'!$B$2:$H$416,MATCH('Miljövärden för publ företag'!E$4,'Miljövrärden urval för publ'!$B$2:$H$2,0),FALSE),"")</f>
        <v>5.7818500000000004</v>
      </c>
      <c r="F311" s="121">
        <f>IFERROR(VLOOKUP($C311,'Miljövrärden urval för publ'!$B$2:$H$416,MATCH('Miljövärden för publ företag'!F$4,'Miljövrärden urval för publ'!$B$2:$H$2,0),FALSE),"")</f>
        <v>7.3270799999999996</v>
      </c>
      <c r="G311" s="121">
        <f>IFERROR(VLOOKUP($C311,'Miljövrärden urval för publ'!$B$2:$H$416,MATCH('Miljövärden för publ företag'!G$4,'Miljövrärden urval för publ'!$B$2:$H$2,0),FALSE),"")</f>
        <v>6.1269200000000001E-3</v>
      </c>
      <c r="J311" s="121">
        <f t="shared" si="18"/>
        <v>120</v>
      </c>
      <c r="M311" s="121">
        <v>307</v>
      </c>
      <c r="N311" s="121" t="str">
        <f t="shared" si="19"/>
        <v/>
      </c>
      <c r="P311" s="296">
        <f t="shared" si="20"/>
        <v>0</v>
      </c>
      <c r="Q311" s="290" t="str">
        <f t="shared" si="17"/>
        <v/>
      </c>
    </row>
    <row r="312" spans="1:17" x14ac:dyDescent="0.25">
      <c r="A312" s="121">
        <v>309</v>
      </c>
      <c r="B312" s="121" t="str">
        <f>IFERROR(INDEX('Miljövrärden urval för publ'!$A$2:$AA$419,MATCH('Miljövärden för publ företag'!$A312,'Miljövrärden urval för publ'!$R$2:$R$416,0),1),"")</f>
        <v>VänerEnergi AB</v>
      </c>
      <c r="C312" s="121" t="str">
        <f>IFERROR(INDEX('Miljövrärden urval för publ'!$A$2:$AA$419,MATCH('Miljövärden för publ företag'!$A312,'Miljövrärden urval för publ'!$R$2:$R$416,0),2),"")</f>
        <v>Lyrestad</v>
      </c>
      <c r="D312" s="121">
        <f>IFERROR(VLOOKUP($C312,'Miljövrärden urval för publ'!$B$2:$H$416,MATCH('Miljövärden för publ företag'!D$4,'Miljövrärden urval för publ'!$B$2:$H$2,0),FALSE),"")</f>
        <v>0.182807</v>
      </c>
      <c r="E312" s="121">
        <f>IFERROR(VLOOKUP($C312,'Miljövrärden urval för publ'!$B$2:$H$416,MATCH('Miljövärden för publ företag'!E$4,'Miljövrärden urval för publ'!$B$2:$H$2,0),FALSE),"")</f>
        <v>8.2283000000000008</v>
      </c>
      <c r="F312" s="121">
        <f>IFERROR(VLOOKUP($C312,'Miljövrärden urval för publ'!$B$2:$H$416,MATCH('Miljövärden för publ företag'!F$4,'Miljövrärden urval för publ'!$B$2:$H$2,0),FALSE),"")</f>
        <v>18.429200000000002</v>
      </c>
      <c r="G312" s="121">
        <f>IFERROR(VLOOKUP($C312,'Miljövrärden urval för publ'!$B$2:$H$416,MATCH('Miljövärden för publ företag'!G$4,'Miljövrärden urval för publ'!$B$2:$H$2,0),FALSE),"")</f>
        <v>8.4811599999999997E-3</v>
      </c>
      <c r="J312" s="121">
        <f t="shared" si="18"/>
        <v>121</v>
      </c>
      <c r="M312" s="121">
        <v>308</v>
      </c>
      <c r="N312" s="121" t="str">
        <f t="shared" si="19"/>
        <v/>
      </c>
      <c r="P312" s="296">
        <f t="shared" si="20"/>
        <v>0</v>
      </c>
      <c r="Q312" s="290" t="str">
        <f t="shared" si="17"/>
        <v/>
      </c>
    </row>
    <row r="313" spans="1:17" x14ac:dyDescent="0.25">
      <c r="A313" s="121">
        <v>310</v>
      </c>
      <c r="B313" s="121" t="str">
        <f>IFERROR(INDEX('Miljövrärden urval för publ'!$A$2:$AA$419,MATCH('Miljövärden för publ företag'!$A313,'Miljövrärden urval för publ'!$R$2:$R$416,0),1),"")</f>
        <v>VänerEnergi AB</v>
      </c>
      <c r="C313" s="121" t="str">
        <f>IFERROR(INDEX('Miljövrärden urval för publ'!$A$2:$AA$419,MATCH('Miljövärden för publ företag'!$A313,'Miljövrärden urval för publ'!$R$2:$R$416,0),2),"")</f>
        <v>Mariestad</v>
      </c>
      <c r="D313" s="121">
        <f>IFERROR(VLOOKUP($C313,'Miljövrärden urval för publ'!$B$2:$H$416,MATCH('Miljövärden för publ företag'!D$4,'Miljövrärden urval för publ'!$B$2:$H$2,0),FALSE),"")</f>
        <v>7.3857099999999995E-2</v>
      </c>
      <c r="E313" s="121">
        <f>IFERROR(VLOOKUP($C313,'Miljövrärden urval för publ'!$B$2:$H$416,MATCH('Miljövärden för publ företag'!E$4,'Miljövrärden urval för publ'!$B$2:$H$2,0),FALSE),"")</f>
        <v>11.117599999999999</v>
      </c>
      <c r="F313" s="121">
        <f>IFERROR(VLOOKUP($C313,'Miljövrärden urval för publ'!$B$2:$H$416,MATCH('Miljövärden för publ företag'!F$4,'Miljövrärden urval för publ'!$B$2:$H$2,0),FALSE),"")</f>
        <v>3.0676899999999998</v>
      </c>
      <c r="G313" s="121">
        <f>IFERROR(VLOOKUP($C313,'Miljövrärden urval för publ'!$B$2:$H$416,MATCH('Miljövärden för publ företag'!G$4,'Miljövrärden urval för publ'!$B$2:$H$2,0),FALSE),"")</f>
        <v>2.73335E-2</v>
      </c>
      <c r="J313" s="121">
        <f t="shared" si="18"/>
        <v>121</v>
      </c>
      <c r="M313" s="121">
        <v>309</v>
      </c>
      <c r="N313" s="121" t="str">
        <f t="shared" si="19"/>
        <v/>
      </c>
      <c r="P313" s="296">
        <f t="shared" si="20"/>
        <v>0</v>
      </c>
      <c r="Q313" s="290" t="str">
        <f t="shared" si="17"/>
        <v/>
      </c>
    </row>
    <row r="314" spans="1:17" x14ac:dyDescent="0.25">
      <c r="A314" s="121">
        <v>311</v>
      </c>
      <c r="B314" s="121" t="str">
        <f>IFERROR(INDEX('Miljövrärden urval för publ'!$A$2:$AA$419,MATCH('Miljövärden för publ företag'!$A314,'Miljövrärden urval för publ'!$R$2:$R$416,0),1),"")</f>
        <v>VänerEnergi AB</v>
      </c>
      <c r="C314" s="121" t="str">
        <f>IFERROR(INDEX('Miljövrärden urval för publ'!$A$2:$AA$419,MATCH('Miljövärden för publ företag'!$A314,'Miljövrärden urval för publ'!$R$2:$R$416,0),2),"")</f>
        <v>Töreboda</v>
      </c>
      <c r="D314" s="121">
        <f>IFERROR(VLOOKUP($C314,'Miljövrärden urval för publ'!$B$2:$H$416,MATCH('Miljövärden för publ företag'!D$4,'Miljövrärden urval för publ'!$B$2:$H$2,0),FALSE),"")</f>
        <v>6.8299600000000002E-2</v>
      </c>
      <c r="E314" s="121">
        <f>IFERROR(VLOOKUP($C314,'Miljövrärden urval för publ'!$B$2:$H$416,MATCH('Miljövärden för publ företag'!E$4,'Miljövrärden urval för publ'!$B$2:$H$2,0),FALSE),"")</f>
        <v>5.4451499999999999</v>
      </c>
      <c r="F314" s="121">
        <f>IFERROR(VLOOKUP($C314,'Miljövrärden urval för publ'!$B$2:$H$416,MATCH('Miljövärden för publ företag'!F$4,'Miljövrärden urval för publ'!$B$2:$H$2,0),FALSE),"")</f>
        <v>8.5799400000000006</v>
      </c>
      <c r="G314" s="121">
        <f>IFERROR(VLOOKUP($C314,'Miljövrärden urval för publ'!$B$2:$H$416,MATCH('Miljövärden för publ företag'!G$4,'Miljövrärden urval för publ'!$B$2:$H$2,0),FALSE),"")</f>
        <v>2.4760099999999998E-3</v>
      </c>
      <c r="J314" s="121">
        <f t="shared" si="18"/>
        <v>121</v>
      </c>
      <c r="M314" s="121">
        <v>310</v>
      </c>
      <c r="N314" s="121" t="str">
        <f t="shared" si="19"/>
        <v/>
      </c>
      <c r="P314" s="296">
        <f t="shared" si="20"/>
        <v>0</v>
      </c>
      <c r="Q314" s="290" t="str">
        <f t="shared" si="17"/>
        <v/>
      </c>
    </row>
    <row r="315" spans="1:17" x14ac:dyDescent="0.25">
      <c r="A315" s="121">
        <v>312</v>
      </c>
      <c r="B315" s="121" t="str">
        <f>IFERROR(INDEX('Miljövrärden urval för publ'!$A$2:$AA$419,MATCH('Miljövärden för publ företag'!$A315,'Miljövrärden urval för publ'!$R$2:$R$416,0),1),"")</f>
        <v>Värmevärden AB</v>
      </c>
      <c r="C315" s="121" t="str">
        <f>IFERROR(INDEX('Miljövrärden urval för publ'!$A$2:$AA$419,MATCH('Miljövärden för publ företag'!$A315,'Miljövrärden urval för publ'!$R$2:$R$416,0),2),"")</f>
        <v>Avesta</v>
      </c>
      <c r="D315" s="121">
        <f>IFERROR(VLOOKUP($C315,'Miljövrärden urval för publ'!$B$2:$H$416,MATCH('Miljövärden för publ företag'!D$4,'Miljövrärden urval för publ'!$B$2:$H$2,0),FALSE),"")</f>
        <v>0.27603100000000003</v>
      </c>
      <c r="E315" s="121">
        <f>IFERROR(VLOOKUP($C315,'Miljövrärden urval för publ'!$B$2:$H$416,MATCH('Miljövärden för publ företag'!E$4,'Miljövrärden urval för publ'!$B$2:$H$2,0),FALSE),"")</f>
        <v>162.68899999999999</v>
      </c>
      <c r="F315" s="121">
        <f>IFERROR(VLOOKUP($C315,'Miljövrärden urval för publ'!$B$2:$H$416,MATCH('Miljövärden för publ företag'!F$4,'Miljövrärden urval för publ'!$B$2:$H$2,0),FALSE),"")</f>
        <v>6.8928200000000004</v>
      </c>
      <c r="G315" s="121">
        <f>IFERROR(VLOOKUP($C315,'Miljövrärden urval för publ'!$B$2:$H$416,MATCH('Miljövärden för publ företag'!G$4,'Miljövrärden urval för publ'!$B$2:$H$2,0),FALSE),"")</f>
        <v>9.3474100000000004E-2</v>
      </c>
      <c r="J315" s="121">
        <f t="shared" si="18"/>
        <v>122</v>
      </c>
      <c r="M315" s="121">
        <v>311</v>
      </c>
      <c r="N315" s="121" t="str">
        <f t="shared" si="19"/>
        <v/>
      </c>
      <c r="P315" s="296">
        <f t="shared" si="20"/>
        <v>0</v>
      </c>
      <c r="Q315" s="290" t="str">
        <f t="shared" si="17"/>
        <v/>
      </c>
    </row>
    <row r="316" spans="1:17" x14ac:dyDescent="0.25">
      <c r="A316" s="121">
        <v>313</v>
      </c>
      <c r="B316" s="121" t="str">
        <f>IFERROR(INDEX('Miljövrärden urval för publ'!$A$2:$AA$419,MATCH('Miljövärden för publ företag'!$A316,'Miljövrärden urval för publ'!$R$2:$R$416,0),1),"")</f>
        <v>Värmevärden AB</v>
      </c>
      <c r="C316" s="121" t="str">
        <f>IFERROR(INDEX('Miljövrärden urval för publ'!$A$2:$AA$419,MATCH('Miljövärden för publ företag'!$A316,'Miljövrärden urval för publ'!$R$2:$R$416,0),2),"")</f>
        <v>Delsbo</v>
      </c>
      <c r="D316" s="121">
        <f>IFERROR(VLOOKUP($C316,'Miljövrärden urval för publ'!$B$2:$H$416,MATCH('Miljövärden för publ företag'!D$4,'Miljövrärden urval för publ'!$B$2:$H$2,0),FALSE),"")</f>
        <v>0.142593</v>
      </c>
      <c r="E316" s="121">
        <f>IFERROR(VLOOKUP($C316,'Miljövrärden urval för publ'!$B$2:$H$416,MATCH('Miljövärden för publ företag'!E$4,'Miljövrärden urval för publ'!$B$2:$H$2,0),FALSE),"")</f>
        <v>16.469200000000001</v>
      </c>
      <c r="F316" s="121">
        <f>IFERROR(VLOOKUP($C316,'Miljövrärden urval för publ'!$B$2:$H$416,MATCH('Miljövärden för publ företag'!F$4,'Miljövrärden urval för publ'!$B$2:$H$2,0),FALSE),"")</f>
        <v>8.4946599999999997</v>
      </c>
      <c r="G316" s="121">
        <f>IFERROR(VLOOKUP($C316,'Miljövrärden urval för publ'!$B$2:$H$416,MATCH('Miljövärden för publ företag'!G$4,'Miljövrärden urval för publ'!$B$2:$H$2,0),FALSE),"")</f>
        <v>3.4334999999999997E-2</v>
      </c>
      <c r="J316" s="121">
        <f t="shared" si="18"/>
        <v>122</v>
      </c>
      <c r="M316" s="121">
        <v>312</v>
      </c>
      <c r="N316" s="121" t="str">
        <f t="shared" si="19"/>
        <v/>
      </c>
      <c r="P316" s="296">
        <f t="shared" si="20"/>
        <v>0</v>
      </c>
      <c r="Q316" s="290" t="str">
        <f t="shared" si="17"/>
        <v/>
      </c>
    </row>
    <row r="317" spans="1:17" x14ac:dyDescent="0.25">
      <c r="A317" s="121">
        <v>314</v>
      </c>
      <c r="B317" s="121" t="str">
        <f>IFERROR(INDEX('Miljövrärden urval för publ'!$A$2:$AA$419,MATCH('Miljövärden för publ företag'!$A317,'Miljövrärden urval för publ'!$R$2:$R$416,0),1),"")</f>
        <v>Värmevärden AB</v>
      </c>
      <c r="C317" s="121" t="str">
        <f>IFERROR(INDEX('Miljövrärden urval för publ'!$A$2:$AA$419,MATCH('Miljövärden för publ företag'!$A317,'Miljövrärden urval för publ'!$R$2:$R$416,0),2),"")</f>
        <v>Grums</v>
      </c>
      <c r="D317" s="121">
        <f>IFERROR(VLOOKUP($C317,'Miljövrärden urval för publ'!$B$2:$H$416,MATCH('Miljövärden för publ företag'!D$4,'Miljövrärden urval för publ'!$B$2:$H$2,0),FALSE),"")</f>
        <v>0.255851</v>
      </c>
      <c r="E317" s="121">
        <f>IFERROR(VLOOKUP($C317,'Miljövrärden urval för publ'!$B$2:$H$416,MATCH('Miljövärden för publ företag'!E$4,'Miljövrärden urval för publ'!$B$2:$H$2,0),FALSE),"")</f>
        <v>60.875300000000003</v>
      </c>
      <c r="F317" s="121">
        <f>IFERROR(VLOOKUP($C317,'Miljövrärden urval för publ'!$B$2:$H$416,MATCH('Miljövärden för publ företag'!F$4,'Miljövrärden urval för publ'!$B$2:$H$2,0),FALSE),"")</f>
        <v>5.1045299999999996</v>
      </c>
      <c r="G317" s="121">
        <f>IFERROR(VLOOKUP($C317,'Miljövrärden urval för publ'!$B$2:$H$416,MATCH('Miljövärden för publ företag'!G$4,'Miljövrärden urval för publ'!$B$2:$H$2,0),FALSE),"")</f>
        <v>0.16911799999999999</v>
      </c>
      <c r="J317" s="121">
        <f t="shared" si="18"/>
        <v>122</v>
      </c>
      <c r="M317" s="121">
        <v>313</v>
      </c>
      <c r="N317" s="121" t="str">
        <f t="shared" si="19"/>
        <v/>
      </c>
      <c r="P317" s="296">
        <f t="shared" si="20"/>
        <v>0</v>
      </c>
      <c r="Q317" s="290" t="str">
        <f t="shared" si="17"/>
        <v/>
      </c>
    </row>
    <row r="318" spans="1:17" x14ac:dyDescent="0.25">
      <c r="A318" s="121">
        <v>315</v>
      </c>
      <c r="B318" s="121" t="str">
        <f>IFERROR(INDEX('Miljövrärden urval för publ'!$A$2:$AA$419,MATCH('Miljövärden för publ företag'!$A318,'Miljövrärden urval för publ'!$R$2:$R$416,0),1),"")</f>
        <v>Värmevärden AB</v>
      </c>
      <c r="C318" s="121" t="str">
        <f>IFERROR(INDEX('Miljövrärden urval för publ'!$A$2:$AA$419,MATCH('Miljövärden för publ företag'!$A318,'Miljövrärden urval för publ'!$R$2:$R$416,0),2),"")</f>
        <v>Grythyttan</v>
      </c>
      <c r="D318" s="121">
        <f>IFERROR(VLOOKUP($C318,'Miljövrärden urval för publ'!$B$2:$H$416,MATCH('Miljövärden för publ företag'!D$4,'Miljövrärden urval för publ'!$B$2:$H$2,0),FALSE),"")</f>
        <v>0.23861399999999999</v>
      </c>
      <c r="E318" s="121">
        <f>IFERROR(VLOOKUP($C318,'Miljövrärden urval för publ'!$B$2:$H$416,MATCH('Miljövärden för publ företag'!E$4,'Miljövrärden urval för publ'!$B$2:$H$2,0),FALSE),"")</f>
        <v>19.511700000000001</v>
      </c>
      <c r="F318" s="121">
        <f>IFERROR(VLOOKUP($C318,'Miljövrärden urval för publ'!$B$2:$H$416,MATCH('Miljövärden för publ företag'!F$4,'Miljövrärden urval för publ'!$B$2:$H$2,0),FALSE),"")</f>
        <v>18.384799999999998</v>
      </c>
      <c r="G318" s="121">
        <f>IFERROR(VLOOKUP($C318,'Miljövrärden urval för publ'!$B$2:$H$416,MATCH('Miljövärden för publ företag'!G$4,'Miljövrärden urval för publ'!$B$2:$H$2,0),FALSE),"")</f>
        <v>4.1793400000000001E-2</v>
      </c>
      <c r="J318" s="121">
        <f t="shared" si="18"/>
        <v>122</v>
      </c>
      <c r="M318" s="121">
        <v>314</v>
      </c>
      <c r="N318" s="121" t="str">
        <f t="shared" si="19"/>
        <v/>
      </c>
      <c r="P318" s="296">
        <f t="shared" si="20"/>
        <v>0</v>
      </c>
      <c r="Q318" s="290" t="str">
        <f t="shared" si="17"/>
        <v/>
      </c>
    </row>
    <row r="319" spans="1:17" x14ac:dyDescent="0.25">
      <c r="A319" s="121">
        <v>316</v>
      </c>
      <c r="B319" s="121" t="str">
        <f>IFERROR(INDEX('Miljövrärden urval för publ'!$A$2:$AA$419,MATCH('Miljövärden för publ företag'!$A319,'Miljövrärden urval för publ'!$R$2:$R$416,0),1),"")</f>
        <v>Värmevärden AB</v>
      </c>
      <c r="C319" s="121" t="str">
        <f>IFERROR(INDEX('Miljövrärden urval för publ'!$A$2:$AA$419,MATCH('Miljövärden för publ företag'!$A319,'Miljövrärden urval för publ'!$R$2:$R$416,0),2),"")</f>
        <v>Hofors(Värmevärden)</v>
      </c>
      <c r="D319" s="121">
        <f>IFERROR(VLOOKUP($C319,'Miljövrärden urval för publ'!$B$2:$H$416,MATCH('Miljövärden för publ företag'!D$4,'Miljövrärden urval för publ'!$B$2:$H$2,0),FALSE),"")</f>
        <v>0.10676099999999999</v>
      </c>
      <c r="E319" s="121">
        <f>IFERROR(VLOOKUP($C319,'Miljövrärden urval för publ'!$B$2:$H$416,MATCH('Miljövärden för publ företag'!E$4,'Miljövrärden urval för publ'!$B$2:$H$2,0),FALSE),"")</f>
        <v>18.689699999999998</v>
      </c>
      <c r="F319" s="121">
        <f>IFERROR(VLOOKUP($C319,'Miljövrärden urval för publ'!$B$2:$H$416,MATCH('Miljövärden för publ företag'!F$4,'Miljövrärden urval för publ'!$B$2:$H$2,0),FALSE),"")</f>
        <v>5.5573399999999999</v>
      </c>
      <c r="G319" s="121">
        <f>IFERROR(VLOOKUP($C319,'Miljövrärden urval för publ'!$B$2:$H$416,MATCH('Miljövärden för publ företag'!G$4,'Miljövrärden urval för publ'!$B$2:$H$2,0),FALSE),"")</f>
        <v>3.4554000000000001E-2</v>
      </c>
      <c r="J319" s="121">
        <f t="shared" si="18"/>
        <v>122</v>
      </c>
      <c r="M319" s="121">
        <v>315</v>
      </c>
      <c r="N319" s="121" t="str">
        <f t="shared" si="19"/>
        <v/>
      </c>
      <c r="P319" s="296">
        <f t="shared" si="20"/>
        <v>0</v>
      </c>
      <c r="Q319" s="290" t="str">
        <f t="shared" si="17"/>
        <v/>
      </c>
    </row>
    <row r="320" spans="1:17" x14ac:dyDescent="0.25">
      <c r="A320" s="121">
        <v>317</v>
      </c>
      <c r="B320" s="121" t="str">
        <f>IFERROR(INDEX('Miljövrärden urval för publ'!$A$2:$AA$419,MATCH('Miljövärden för publ företag'!$A320,'Miljövrärden urval för publ'!$R$2:$R$416,0),1),"")</f>
        <v>Värmevärden AB</v>
      </c>
      <c r="C320" s="121" t="str">
        <f>IFERROR(INDEX('Miljövrärden urval för publ'!$A$2:$AA$419,MATCH('Miljövärden för publ företag'!$A320,'Miljövrärden urval för publ'!$R$2:$R$416,0),2),"")</f>
        <v>Hudiksvall</v>
      </c>
      <c r="D320" s="121">
        <f>IFERROR(VLOOKUP($C320,'Miljövrärden urval för publ'!$B$2:$H$416,MATCH('Miljövärden för publ företag'!D$4,'Miljövrärden urval för publ'!$B$2:$H$2,0),FALSE),"")</f>
        <v>9.0690199999999999E-2</v>
      </c>
      <c r="E320" s="121">
        <f>IFERROR(VLOOKUP($C320,'Miljövrärden urval för publ'!$B$2:$H$416,MATCH('Miljövärden för publ företag'!E$4,'Miljövrärden urval för publ'!$B$2:$H$2,0),FALSE),"")</f>
        <v>4.1687099999999999</v>
      </c>
      <c r="F320" s="121">
        <f>IFERROR(VLOOKUP($C320,'Miljövrärden urval för publ'!$B$2:$H$416,MATCH('Miljövärden för publ företag'!F$4,'Miljövrärden urval för publ'!$B$2:$H$2,0),FALSE),"")</f>
        <v>6.2664299999999997</v>
      </c>
      <c r="G320" s="121">
        <f>IFERROR(VLOOKUP($C320,'Miljövrärden urval för publ'!$B$2:$H$416,MATCH('Miljövärden för publ företag'!G$4,'Miljövrärden urval för publ'!$B$2:$H$2,0),FALSE),"")</f>
        <v>2.4820100000000002E-3</v>
      </c>
      <c r="J320" s="121">
        <f t="shared" si="18"/>
        <v>122</v>
      </c>
      <c r="M320" s="121">
        <v>316</v>
      </c>
      <c r="N320" s="121" t="str">
        <f t="shared" si="19"/>
        <v/>
      </c>
      <c r="P320" s="296">
        <f t="shared" si="20"/>
        <v>0</v>
      </c>
      <c r="Q320" s="290" t="str">
        <f t="shared" si="17"/>
        <v/>
      </c>
    </row>
    <row r="321" spans="1:17" x14ac:dyDescent="0.25">
      <c r="A321" s="121">
        <v>318</v>
      </c>
      <c r="B321" s="121" t="str">
        <f>IFERROR(INDEX('Miljövrärden urval för publ'!$A$2:$AA$419,MATCH('Miljövärden för publ företag'!$A321,'Miljövrärden urval för publ'!$R$2:$R$416,0),1),"")</f>
        <v>Värmevärden AB</v>
      </c>
      <c r="C321" s="121" t="str">
        <f>IFERROR(INDEX('Miljövrärden urval för publ'!$A$2:$AA$419,MATCH('Miljövärden för publ företag'!$A321,'Miljövrärden urval för publ'!$R$2:$R$416,0),2),"")</f>
        <v>Hällefors</v>
      </c>
      <c r="D321" s="121">
        <f>IFERROR(VLOOKUP($C321,'Miljövrärden urval för publ'!$B$2:$H$416,MATCH('Miljövärden för publ företag'!D$4,'Miljövrärden urval för publ'!$B$2:$H$2,0),FALSE),"")</f>
        <v>8.9904700000000004E-2</v>
      </c>
      <c r="E321" s="121">
        <f>IFERROR(VLOOKUP($C321,'Miljövrärden urval för publ'!$B$2:$H$416,MATCH('Miljövärden för publ företag'!E$4,'Miljövrärden urval för publ'!$B$2:$H$2,0),FALSE),"")</f>
        <v>4.9344799999999998</v>
      </c>
      <c r="F321" s="121">
        <f>IFERROR(VLOOKUP($C321,'Miljövrärden urval för publ'!$B$2:$H$416,MATCH('Miljövärden för publ företag'!F$4,'Miljövrärden urval för publ'!$B$2:$H$2,0),FALSE),"")</f>
        <v>6.6987800000000002</v>
      </c>
      <c r="G321" s="121">
        <f>IFERROR(VLOOKUP($C321,'Miljövrärden urval för publ'!$B$2:$H$416,MATCH('Miljövärden för publ företag'!G$4,'Miljövrärden urval för publ'!$B$2:$H$2,0),FALSE),"")</f>
        <v>3.0665800000000002E-3</v>
      </c>
      <c r="J321" s="121">
        <f t="shared" si="18"/>
        <v>122</v>
      </c>
      <c r="M321" s="121">
        <v>317</v>
      </c>
      <c r="N321" s="121" t="str">
        <f t="shared" si="19"/>
        <v/>
      </c>
      <c r="P321" s="296">
        <f t="shared" si="20"/>
        <v>0</v>
      </c>
      <c r="Q321" s="290" t="str">
        <f t="shared" si="17"/>
        <v/>
      </c>
    </row>
    <row r="322" spans="1:17" x14ac:dyDescent="0.25">
      <c r="A322" s="121">
        <v>319</v>
      </c>
      <c r="B322" s="121" t="str">
        <f>IFERROR(INDEX('Miljövrärden urval för publ'!$A$2:$AA$419,MATCH('Miljövärden för publ företag'!$A322,'Miljövrärden urval för publ'!$R$2:$R$416,0),1),"")</f>
        <v>Värmevärden AB</v>
      </c>
      <c r="C322" s="121" t="str">
        <f>IFERROR(INDEX('Miljövrärden urval för publ'!$A$2:$AA$419,MATCH('Miljövärden för publ företag'!$A322,'Miljövrärden urval för publ'!$R$2:$R$416,0),2),"")</f>
        <v>Iggesund</v>
      </c>
      <c r="D322" s="121">
        <f>IFERROR(VLOOKUP($C322,'Miljövrärden urval för publ'!$B$2:$H$416,MATCH('Miljövärden för publ företag'!D$4,'Miljövrärden urval för publ'!$B$2:$H$2,0),FALSE),"")</f>
        <v>8.3193699999999995E-2</v>
      </c>
      <c r="E322" s="121">
        <f>IFERROR(VLOOKUP($C322,'Miljövrärden urval för publ'!$B$2:$H$416,MATCH('Miljövärden för publ företag'!E$4,'Miljövrärden urval för publ'!$B$2:$H$2,0),FALSE),"")</f>
        <v>17.825700000000001</v>
      </c>
      <c r="F322" s="121">
        <f>IFERROR(VLOOKUP($C322,'Miljövrärden urval för publ'!$B$2:$H$416,MATCH('Miljövärden för publ företag'!F$4,'Miljövrärden urval för publ'!$B$2:$H$2,0),FALSE),"")</f>
        <v>3.9082400000000002</v>
      </c>
      <c r="G322" s="121">
        <f>IFERROR(VLOOKUP($C322,'Miljövrärden urval för publ'!$B$2:$H$416,MATCH('Miljövärden för publ företag'!G$4,'Miljövrärden urval för publ'!$B$2:$H$2,0),FALSE),"")</f>
        <v>5.1652499999999997E-2</v>
      </c>
      <c r="J322" s="121">
        <f t="shared" si="18"/>
        <v>122</v>
      </c>
      <c r="M322" s="121">
        <v>318</v>
      </c>
      <c r="N322" s="121" t="str">
        <f t="shared" si="19"/>
        <v/>
      </c>
      <c r="P322" s="296">
        <f t="shared" si="20"/>
        <v>0</v>
      </c>
      <c r="Q322" s="290" t="str">
        <f t="shared" si="17"/>
        <v/>
      </c>
    </row>
    <row r="323" spans="1:17" x14ac:dyDescent="0.25">
      <c r="A323" s="121">
        <v>320</v>
      </c>
      <c r="B323" s="121" t="str">
        <f>IFERROR(INDEX('Miljövrärden urval för publ'!$A$2:$AA$419,MATCH('Miljövärden för publ företag'!$A323,'Miljövrärden urval för publ'!$R$2:$R$416,0),1),"")</f>
        <v>Värmevärden AB</v>
      </c>
      <c r="C323" s="121" t="str">
        <f>IFERROR(INDEX('Miljövrärden urval för publ'!$A$2:$AA$419,MATCH('Miljövärden för publ företag'!$A323,'Miljövrärden urval för publ'!$R$2:$R$416,0),2),"")</f>
        <v>Kopparberg</v>
      </c>
      <c r="D323" s="121">
        <f>IFERROR(VLOOKUP($C323,'Miljövrärden urval för publ'!$B$2:$H$416,MATCH('Miljövärden för publ företag'!D$4,'Miljövrärden urval för publ'!$B$2:$H$2,0),FALSE),"")</f>
        <v>0.145202</v>
      </c>
      <c r="E323" s="121">
        <f>IFERROR(VLOOKUP($C323,'Miljövrärden urval för publ'!$B$2:$H$416,MATCH('Miljövärden för publ företag'!E$4,'Miljövrärden urval för publ'!$B$2:$H$2,0),FALSE),"")</f>
        <v>15.2303</v>
      </c>
      <c r="F323" s="121">
        <f>IFERROR(VLOOKUP($C323,'Miljövrärden urval för publ'!$B$2:$H$416,MATCH('Miljövärden för publ företag'!F$4,'Miljövrärden urval för publ'!$B$2:$H$2,0),FALSE),"")</f>
        <v>10.3802</v>
      </c>
      <c r="G323" s="121">
        <f>IFERROR(VLOOKUP($C323,'Miljövrärden urval för publ'!$B$2:$H$416,MATCH('Miljövärden för publ företag'!G$4,'Miljövrärden urval för publ'!$B$2:$H$2,0),FALSE),"")</f>
        <v>2.6921299999999999E-2</v>
      </c>
      <c r="J323" s="121">
        <f t="shared" si="18"/>
        <v>122</v>
      </c>
      <c r="M323" s="121">
        <v>319</v>
      </c>
      <c r="N323" s="121" t="str">
        <f t="shared" si="19"/>
        <v/>
      </c>
      <c r="P323" s="296">
        <f t="shared" si="20"/>
        <v>0</v>
      </c>
      <c r="Q323" s="290" t="str">
        <f t="shared" si="17"/>
        <v/>
      </c>
    </row>
    <row r="324" spans="1:17" x14ac:dyDescent="0.25">
      <c r="A324" s="121">
        <v>321</v>
      </c>
      <c r="B324" s="121" t="str">
        <f>IFERROR(INDEX('Miljövrärden urval för publ'!$A$2:$AA$419,MATCH('Miljövärden för publ företag'!$A324,'Miljövrärden urval för publ'!$R$2:$R$416,0),1),"")</f>
        <v>Värmevärden AB</v>
      </c>
      <c r="C324" s="121" t="str">
        <f>IFERROR(INDEX('Miljövrärden urval för publ'!$A$2:$AA$419,MATCH('Miljövärden för publ företag'!$A324,'Miljövrärden urval för publ'!$R$2:$R$416,0),2),"")</f>
        <v>Kristinehamn(Värmevärden)</v>
      </c>
      <c r="D324" s="121">
        <f>IFERROR(VLOOKUP($C324,'Miljövrärden urval för publ'!$B$2:$H$416,MATCH('Miljövärden för publ företag'!D$4,'Miljövrärden urval för publ'!$B$2:$H$2,0),FALSE),"")</f>
        <v>0.102696</v>
      </c>
      <c r="E324" s="121">
        <f>IFERROR(VLOOKUP($C324,'Miljövrärden urval för publ'!$B$2:$H$416,MATCH('Miljövärden för publ företag'!E$4,'Miljövrärden urval för publ'!$B$2:$H$2,0),FALSE),"")</f>
        <v>8.3208099999999998</v>
      </c>
      <c r="F324" s="121">
        <f>IFERROR(VLOOKUP($C324,'Miljövrärden urval för publ'!$B$2:$H$416,MATCH('Miljövärden för publ företag'!F$4,'Miljövrärden urval för publ'!$B$2:$H$2,0),FALSE),"")</f>
        <v>7.8254099999999998</v>
      </c>
      <c r="G324" s="121">
        <f>IFERROR(VLOOKUP($C324,'Miljövrärden urval för publ'!$B$2:$H$416,MATCH('Miljövärden för publ företag'!G$4,'Miljövrärden urval för publ'!$B$2:$H$2,0),FALSE),"")</f>
        <v>1.35449E-2</v>
      </c>
      <c r="J324" s="121">
        <f t="shared" si="18"/>
        <v>122</v>
      </c>
      <c r="M324" s="121">
        <v>320</v>
      </c>
      <c r="N324" s="121" t="str">
        <f t="shared" si="19"/>
        <v/>
      </c>
      <c r="P324" s="296">
        <f t="shared" si="20"/>
        <v>0</v>
      </c>
      <c r="Q324" s="290" t="str">
        <f t="shared" si="17"/>
        <v/>
      </c>
    </row>
    <row r="325" spans="1:17" x14ac:dyDescent="0.25">
      <c r="A325" s="121">
        <v>322</v>
      </c>
      <c r="B325" s="121" t="str">
        <f>IFERROR(INDEX('Miljövrärden urval för publ'!$A$2:$AA$419,MATCH('Miljövärden för publ företag'!$A325,'Miljövrärden urval för publ'!$R$2:$R$416,0),1),"")</f>
        <v>Värmevärden AB</v>
      </c>
      <c r="C325" s="121" t="str">
        <f>IFERROR(INDEX('Miljövrärden urval för publ'!$A$2:$AA$419,MATCH('Miljövärden för publ företag'!$A325,'Miljövrärden urval för publ'!$R$2:$R$416,0),2),"")</f>
        <v>Nynäshamn</v>
      </c>
      <c r="D325" s="121">
        <f>IFERROR(VLOOKUP($C325,'Miljövrärden urval för publ'!$B$2:$H$416,MATCH('Miljövärden för publ företag'!D$4,'Miljövrärden urval för publ'!$B$2:$H$2,0),FALSE),"")</f>
        <v>0.341669</v>
      </c>
      <c r="E325" s="121">
        <f>IFERROR(VLOOKUP($C325,'Miljövrärden urval för publ'!$B$2:$H$416,MATCH('Miljövärden för publ företag'!E$4,'Miljövrärden urval för publ'!$B$2:$H$2,0),FALSE),"")</f>
        <v>59.146599999999999</v>
      </c>
      <c r="F325" s="121">
        <f>IFERROR(VLOOKUP($C325,'Miljövrärden urval för publ'!$B$2:$H$416,MATCH('Miljövärden för publ företag'!F$4,'Miljövrärden urval för publ'!$B$2:$H$2,0),FALSE),"")</f>
        <v>4.2037800000000001</v>
      </c>
      <c r="G325" s="121">
        <f>IFERROR(VLOOKUP($C325,'Miljövrärden urval för publ'!$B$2:$H$416,MATCH('Miljövärden för publ företag'!G$4,'Miljövrärden urval för publ'!$B$2:$H$2,0),FALSE),"")</f>
        <v>8.4537799999999996E-2</v>
      </c>
      <c r="J325" s="121">
        <f t="shared" si="18"/>
        <v>122</v>
      </c>
      <c r="M325" s="121">
        <v>321</v>
      </c>
      <c r="N325" s="121" t="str">
        <f t="shared" si="19"/>
        <v/>
      </c>
      <c r="P325" s="296">
        <f t="shared" si="20"/>
        <v>0</v>
      </c>
      <c r="Q325" s="290" t="str">
        <f t="shared" ref="Q325:Q362" si="21">IF(B325=$R$2,C325,"")</f>
        <v/>
      </c>
    </row>
    <row r="326" spans="1:17" x14ac:dyDescent="0.25">
      <c r="A326" s="121">
        <v>323</v>
      </c>
      <c r="B326" s="121" t="str">
        <f>IFERROR(INDEX('Miljövrärden urval för publ'!$A$2:$AA$419,MATCH('Miljövärden för publ företag'!$A326,'Miljövrärden urval för publ'!$R$2:$R$416,0),1),"")</f>
        <v>Värmevärden AB</v>
      </c>
      <c r="C326" s="121" t="str">
        <f>IFERROR(INDEX('Miljövrärden urval för publ'!$A$2:$AA$419,MATCH('Miljövärden för publ företag'!$A326,'Miljövrärden urval för publ'!$R$2:$R$416,0),2),"")</f>
        <v>Stöllet</v>
      </c>
      <c r="D326" s="121">
        <f>IFERROR(VLOOKUP($C326,'Miljövrärden urval för publ'!$B$2:$H$416,MATCH('Miljövärden för publ företag'!D$4,'Miljövrärden urval för publ'!$B$2:$H$2,0),FALSE),"")</f>
        <v>0.24321200000000001</v>
      </c>
      <c r="E326" s="121">
        <f>IFERROR(VLOOKUP($C326,'Miljövrärden urval för publ'!$B$2:$H$416,MATCH('Miljövärden för publ företag'!E$4,'Miljövrärden urval för publ'!$B$2:$H$2,0),FALSE),"")</f>
        <v>7.4823500000000003</v>
      </c>
      <c r="F326" s="121">
        <f>IFERROR(VLOOKUP($C326,'Miljövrärden urval för publ'!$B$2:$H$416,MATCH('Miljövärden för publ företag'!F$4,'Miljövrärden urval för publ'!$B$2:$H$2,0),FALSE),"")</f>
        <v>21.338799999999999</v>
      </c>
      <c r="G326" s="121">
        <f>IFERROR(VLOOKUP($C326,'Miljövrärden urval för publ'!$B$2:$H$416,MATCH('Miljövärden för publ företag'!G$4,'Miljövrärden urval för publ'!$B$2:$H$2,0),FALSE),"")</f>
        <v>3.40136E-3</v>
      </c>
      <c r="J326" s="121">
        <f t="shared" ref="J326:J362" si="22">IF(B326=B325,J325,J325+1)</f>
        <v>122</v>
      </c>
      <c r="M326" s="121">
        <v>322</v>
      </c>
      <c r="N326" s="121" t="str">
        <f t="shared" ref="N326:N361" si="23">IFERROR(INDEX($B$4:$J$487,MATCH(M326,$J$4:$J$369,0),1),"")</f>
        <v/>
      </c>
      <c r="P326" s="296">
        <f t="shared" ref="P326:P362" si="24">IF(Q326="",P325,P325+1)</f>
        <v>0</v>
      </c>
      <c r="Q326" s="290" t="str">
        <f t="shared" si="21"/>
        <v/>
      </c>
    </row>
    <row r="327" spans="1:17" x14ac:dyDescent="0.25">
      <c r="A327" s="121">
        <v>324</v>
      </c>
      <c r="B327" s="121" t="str">
        <f>IFERROR(INDEX('Miljövrärden urval för publ'!$A$2:$AA$419,MATCH('Miljövärden för publ företag'!$A327,'Miljövrärden urval för publ'!$R$2:$R$416,0),1),"")</f>
        <v>Värmevärden AB</v>
      </c>
      <c r="C327" s="121" t="str">
        <f>IFERROR(INDEX('Miljövrärden urval för publ'!$A$2:$AA$419,MATCH('Miljövärden för publ företag'!$A327,'Miljövrärden urval för publ'!$R$2:$R$416,0),2),"")</f>
        <v xml:space="preserve">Säffle </v>
      </c>
      <c r="D327" s="121">
        <f>IFERROR(VLOOKUP($C327,'Miljövrärden urval för publ'!$B$2:$H$416,MATCH('Miljövärden för publ företag'!D$4,'Miljövrärden urval för publ'!$B$2:$H$2,0),FALSE),"")</f>
        <v>0.19629199999999999</v>
      </c>
      <c r="E327" s="121">
        <f>IFERROR(VLOOKUP($C327,'Miljövrärden urval för publ'!$B$2:$H$416,MATCH('Miljövärden för publ företag'!E$4,'Miljövrärden urval för publ'!$B$2:$H$2,0),FALSE),"")</f>
        <v>29.659500000000001</v>
      </c>
      <c r="F327" s="121">
        <f>IFERROR(VLOOKUP($C327,'Miljövrärden urval för publ'!$B$2:$H$416,MATCH('Miljövärden för publ företag'!F$4,'Miljövrärden urval för publ'!$B$2:$H$2,0),FALSE),"")</f>
        <v>11.111000000000001</v>
      </c>
      <c r="G327" s="121">
        <f>IFERROR(VLOOKUP($C327,'Miljövrärden urval för publ'!$B$2:$H$416,MATCH('Miljövärden för publ företag'!G$4,'Miljövrärden urval för publ'!$B$2:$H$2,0),FALSE),"")</f>
        <v>7.4892200000000006E-2</v>
      </c>
      <c r="J327" s="121">
        <f t="shared" si="22"/>
        <v>122</v>
      </c>
      <c r="M327" s="121">
        <v>323</v>
      </c>
      <c r="N327" s="121" t="str">
        <f t="shared" si="23"/>
        <v/>
      </c>
      <c r="P327" s="296">
        <f t="shared" si="24"/>
        <v>0</v>
      </c>
      <c r="Q327" s="290" t="str">
        <f t="shared" si="21"/>
        <v/>
      </c>
    </row>
    <row r="328" spans="1:17" x14ac:dyDescent="0.25">
      <c r="A328" s="121">
        <v>325</v>
      </c>
      <c r="B328" s="121" t="str">
        <f>IFERROR(INDEX('Miljövrärden urval för publ'!$A$2:$AA$419,MATCH('Miljövärden för publ företag'!$A328,'Miljövrärden urval för publ'!$R$2:$R$416,0),1),"")</f>
        <v>Värmevärden AB</v>
      </c>
      <c r="C328" s="121" t="str">
        <f>IFERROR(INDEX('Miljövrärden urval för publ'!$A$2:$AA$419,MATCH('Miljövärden för publ företag'!$A328,'Miljövrärden urval för publ'!$R$2:$R$416,0),2),"")</f>
        <v>Sörforsa</v>
      </c>
      <c r="D328" s="121">
        <f>IFERROR(VLOOKUP($C328,'Miljövrärden urval för publ'!$B$2:$H$416,MATCH('Miljövärden för publ företag'!D$4,'Miljövrärden urval för publ'!$B$2:$H$2,0),FALSE),"")</f>
        <v>0.13681199999999999</v>
      </c>
      <c r="E328" s="121">
        <f>IFERROR(VLOOKUP($C328,'Miljövrärden urval för publ'!$B$2:$H$416,MATCH('Miljövärden för publ företag'!E$4,'Miljövrärden urval för publ'!$B$2:$H$2,0),FALSE),"")</f>
        <v>22.931799999999999</v>
      </c>
      <c r="F328" s="121">
        <f>IFERROR(VLOOKUP($C328,'Miljövrärden urval för publ'!$B$2:$H$416,MATCH('Miljövärden för publ företag'!F$4,'Miljövrärden urval för publ'!$B$2:$H$2,0),FALSE),"")</f>
        <v>8.0517599999999998</v>
      </c>
      <c r="G328" s="121">
        <f>IFERROR(VLOOKUP($C328,'Miljövrärden urval för publ'!$B$2:$H$416,MATCH('Miljövärden för publ företag'!G$4,'Miljövrärden urval för publ'!$B$2:$H$2,0),FALSE),"")</f>
        <v>7.0971500000000007E-2</v>
      </c>
      <c r="J328" s="121">
        <f t="shared" si="22"/>
        <v>122</v>
      </c>
      <c r="M328" s="121">
        <v>324</v>
      </c>
      <c r="N328" s="121" t="str">
        <f t="shared" si="23"/>
        <v/>
      </c>
      <c r="P328" s="296">
        <f t="shared" si="24"/>
        <v>0</v>
      </c>
      <c r="Q328" s="290" t="str">
        <f t="shared" si="21"/>
        <v/>
      </c>
    </row>
    <row r="329" spans="1:17" x14ac:dyDescent="0.25">
      <c r="A329" s="121">
        <v>326</v>
      </c>
      <c r="B329" s="121" t="str">
        <f>IFERROR(INDEX('Miljövrärden urval för publ'!$A$2:$AA$419,MATCH('Miljövärden för publ företag'!$A329,'Miljövrärden urval för publ'!$R$2:$R$416,0),1),"")</f>
        <v>Värmevärden AB</v>
      </c>
      <c r="C329" s="121" t="str">
        <f>IFERROR(INDEX('Miljövrärden urval för publ'!$A$2:$AA$419,MATCH('Miljövärden för publ företag'!$A329,'Miljövrärden urval för publ'!$R$2:$R$416,0),2),"")</f>
        <v>Torsby</v>
      </c>
      <c r="D329" s="121">
        <f>IFERROR(VLOOKUP($C329,'Miljövrärden urval för publ'!$B$2:$H$416,MATCH('Miljövärden för publ företag'!D$4,'Miljövrärden urval för publ'!$B$2:$H$2,0),FALSE),"")</f>
        <v>5.2268799999999997E-2</v>
      </c>
      <c r="E329" s="121">
        <f>IFERROR(VLOOKUP($C329,'Miljövrärden urval för publ'!$B$2:$H$416,MATCH('Miljövärden för publ företag'!E$4,'Miljövrärden urval för publ'!$B$2:$H$2,0),FALSE),"")</f>
        <v>9.3484200000000008</v>
      </c>
      <c r="F329" s="121">
        <f>IFERROR(VLOOKUP($C329,'Miljövrärden urval för publ'!$B$2:$H$416,MATCH('Miljövärden för publ företag'!F$4,'Miljövrärden urval för publ'!$B$2:$H$2,0),FALSE),"")</f>
        <v>7.16195</v>
      </c>
      <c r="G329" s="121">
        <f>IFERROR(VLOOKUP($C329,'Miljövrärden urval för publ'!$B$2:$H$416,MATCH('Miljövärden för publ företag'!G$4,'Miljövrärden urval för publ'!$B$2:$H$2,0),FALSE),"")</f>
        <v>1.7963799999999999E-2</v>
      </c>
      <c r="J329" s="121">
        <f t="shared" si="22"/>
        <v>122</v>
      </c>
      <c r="M329" s="121">
        <v>325</v>
      </c>
      <c r="N329" s="121" t="str">
        <f t="shared" si="23"/>
        <v/>
      </c>
      <c r="P329" s="296">
        <f t="shared" si="24"/>
        <v>0</v>
      </c>
      <c r="Q329" s="290" t="str">
        <f t="shared" si="21"/>
        <v/>
      </c>
    </row>
    <row r="330" spans="1:17" x14ac:dyDescent="0.25">
      <c r="A330" s="121">
        <v>327</v>
      </c>
      <c r="B330" s="121" t="str">
        <f>IFERROR(INDEX('Miljövrärden urval för publ'!$A$2:$AA$419,MATCH('Miljövärden för publ företag'!$A330,'Miljövrärden urval för publ'!$R$2:$R$416,0),1),"")</f>
        <v>Värnamo Energi AB</v>
      </c>
      <c r="C330" s="121" t="str">
        <f>IFERROR(INDEX('Miljövrärden urval för publ'!$A$2:$AA$419,MATCH('Miljövärden för publ företag'!$A330,'Miljövrärden urval för publ'!$R$2:$R$416,0),2),"")</f>
        <v>Bor</v>
      </c>
      <c r="D330" s="121">
        <f>IFERROR(VLOOKUP($C330,'Miljövrärden urval för publ'!$B$2:$H$416,MATCH('Miljövärden för publ företag'!D$4,'Miljövrärden urval för publ'!$B$2:$H$2,0),FALSE),"")</f>
        <v>0.49571799999999999</v>
      </c>
      <c r="E330" s="121">
        <f>IFERROR(VLOOKUP($C330,'Miljövrärden urval för publ'!$B$2:$H$416,MATCH('Miljövärden för publ företag'!E$4,'Miljövrärden urval för publ'!$B$2:$H$2,0),FALSE),"")</f>
        <v>87.194999999999993</v>
      </c>
      <c r="F330" s="121">
        <f>IFERROR(VLOOKUP($C330,'Miljövrärden urval för publ'!$B$2:$H$416,MATCH('Miljövärden för publ företag'!F$4,'Miljövrärden urval för publ'!$B$2:$H$2,0),FALSE),"")</f>
        <v>22.020700000000001</v>
      </c>
      <c r="G330" s="121">
        <f>IFERROR(VLOOKUP($C330,'Miljövrärden urval för publ'!$B$2:$H$416,MATCH('Miljövärden för publ företag'!G$4,'Miljövrärden urval för publ'!$B$2:$H$2,0),FALSE),"")</f>
        <v>0.21673999999999999</v>
      </c>
      <c r="J330" s="121">
        <f t="shared" si="22"/>
        <v>123</v>
      </c>
      <c r="M330" s="121">
        <v>326</v>
      </c>
      <c r="N330" s="121" t="str">
        <f t="shared" si="23"/>
        <v/>
      </c>
      <c r="P330" s="296">
        <f t="shared" si="24"/>
        <v>0</v>
      </c>
      <c r="Q330" s="290" t="str">
        <f t="shared" si="21"/>
        <v/>
      </c>
    </row>
    <row r="331" spans="1:17" x14ac:dyDescent="0.25">
      <c r="A331" s="121">
        <v>328</v>
      </c>
      <c r="B331" s="121" t="str">
        <f>IFERROR(INDEX('Miljövrärden urval för publ'!$A$2:$AA$419,MATCH('Miljövärden för publ företag'!$A331,'Miljövrärden urval för publ'!$R$2:$R$416,0),1),"")</f>
        <v>Värnamo Energi AB</v>
      </c>
      <c r="C331" s="121" t="str">
        <f>IFERROR(INDEX('Miljövrärden urval för publ'!$A$2:$AA$419,MATCH('Miljövärden för publ företag'!$A331,'Miljövrärden urval för publ'!$R$2:$R$416,0),2),"")</f>
        <v>Lanna</v>
      </c>
      <c r="D331" s="121">
        <f>IFERROR(VLOOKUP($C331,'Miljövrärden urval för publ'!$B$2:$H$416,MATCH('Miljövärden för publ företag'!D$4,'Miljövrärden urval för publ'!$B$2:$H$2,0),FALSE),"")</f>
        <v>0.15426200000000001</v>
      </c>
      <c r="E331" s="121">
        <f>IFERROR(VLOOKUP($C331,'Miljövrärden urval för publ'!$B$2:$H$416,MATCH('Miljövärden för publ företag'!E$4,'Miljövrärden urval för publ'!$B$2:$H$2,0),FALSE),"")</f>
        <v>4.4095399999999998</v>
      </c>
      <c r="F331" s="121">
        <f>IFERROR(VLOOKUP($C331,'Miljövrärden urval för publ'!$B$2:$H$416,MATCH('Miljövärden för publ företag'!F$4,'Miljövrärden urval för publ'!$B$2:$H$2,0),FALSE),"")</f>
        <v>15.433400000000001</v>
      </c>
      <c r="G331" s="121">
        <f>IFERROR(VLOOKUP($C331,'Miljövrärden urval för publ'!$B$2:$H$416,MATCH('Miljövärden för publ företag'!G$4,'Miljövrärden urval för publ'!$B$2:$H$2,0),FALSE),"")</f>
        <v>0</v>
      </c>
      <c r="J331" s="121">
        <f t="shared" si="22"/>
        <v>123</v>
      </c>
      <c r="M331" s="121">
        <v>327</v>
      </c>
      <c r="N331" s="121" t="str">
        <f t="shared" si="23"/>
        <v/>
      </c>
      <c r="P331" s="296">
        <f t="shared" si="24"/>
        <v>0</v>
      </c>
      <c r="Q331" s="290" t="str">
        <f t="shared" si="21"/>
        <v/>
      </c>
    </row>
    <row r="332" spans="1:17" x14ac:dyDescent="0.25">
      <c r="A332" s="121">
        <v>329</v>
      </c>
      <c r="B332" s="121" t="str">
        <f>IFERROR(INDEX('Miljövrärden urval för publ'!$A$2:$AA$419,MATCH('Miljövärden för publ företag'!$A332,'Miljövrärden urval för publ'!$R$2:$R$416,0),1),"")</f>
        <v>Värnamo Energi AB</v>
      </c>
      <c r="C332" s="121" t="str">
        <f>IFERROR(INDEX('Miljövrärden urval för publ'!$A$2:$AA$419,MATCH('Miljövärden för publ företag'!$A332,'Miljövrärden urval för publ'!$R$2:$R$416,0),2),"")</f>
        <v>Rydaholm</v>
      </c>
      <c r="D332" s="121">
        <f>IFERROR(VLOOKUP($C332,'Miljövrärden urval för publ'!$B$2:$H$416,MATCH('Miljövärden för publ företag'!D$4,'Miljövrärden urval för publ'!$B$2:$H$2,0),FALSE),"")</f>
        <v>8.5717699999999994E-2</v>
      </c>
      <c r="E332" s="121">
        <f>IFERROR(VLOOKUP($C332,'Miljövrärden urval för publ'!$B$2:$H$416,MATCH('Miljövärden för publ företag'!E$4,'Miljövrärden urval för publ'!$B$2:$H$2,0),FALSE),"")</f>
        <v>8.1041399999999992</v>
      </c>
      <c r="F332" s="121">
        <f>IFERROR(VLOOKUP($C332,'Miljövrärden urval för publ'!$B$2:$H$416,MATCH('Miljövärden för publ företag'!F$4,'Miljövrärden urval för publ'!$B$2:$H$2,0),FALSE),"")</f>
        <v>10.1774</v>
      </c>
      <c r="G332" s="121">
        <f>IFERROR(VLOOKUP($C332,'Miljövrärden urval för publ'!$B$2:$H$416,MATCH('Miljövärden för publ företag'!G$4,'Miljövrärden urval för publ'!$B$2:$H$2,0),FALSE),"")</f>
        <v>6.1166900000000001E-3</v>
      </c>
      <c r="J332" s="121">
        <f t="shared" si="22"/>
        <v>123</v>
      </c>
      <c r="M332" s="121">
        <v>328</v>
      </c>
      <c r="N332" s="121" t="str">
        <f t="shared" si="23"/>
        <v/>
      </c>
      <c r="P332" s="296">
        <f t="shared" si="24"/>
        <v>0</v>
      </c>
      <c r="Q332" s="290" t="str">
        <f t="shared" si="21"/>
        <v/>
      </c>
    </row>
    <row r="333" spans="1:17" x14ac:dyDescent="0.25">
      <c r="A333" s="121">
        <v>330</v>
      </c>
      <c r="B333" s="121" t="str">
        <f>IFERROR(INDEX('Miljövrärden urval för publ'!$A$2:$AA$419,MATCH('Miljövärden för publ företag'!$A333,'Miljövrärden urval för publ'!$R$2:$R$416,0),1),"")</f>
        <v>Värnamo Energi AB</v>
      </c>
      <c r="C333" s="121" t="str">
        <f>IFERROR(INDEX('Miljövrärden urval för publ'!$A$2:$AA$419,MATCH('Miljövärden för publ företag'!$A333,'Miljövrärden urval för publ'!$R$2:$R$416,0),2),"")</f>
        <v>Värnamo</v>
      </c>
      <c r="D333" s="121">
        <f>IFERROR(VLOOKUP($C333,'Miljövrärden urval för publ'!$B$2:$H$416,MATCH('Miljövärden för publ företag'!D$4,'Miljövrärden urval för publ'!$B$2:$H$2,0),FALSE),"")</f>
        <v>8.5159600000000002E-2</v>
      </c>
      <c r="E333" s="121">
        <f>IFERROR(VLOOKUP($C333,'Miljövrärden urval för publ'!$B$2:$H$416,MATCH('Miljövärden för publ företag'!E$4,'Miljövrärden urval för publ'!$B$2:$H$2,0),FALSE),"")</f>
        <v>8.7917400000000008</v>
      </c>
      <c r="F333" s="121">
        <f>IFERROR(VLOOKUP($C333,'Miljövrärden urval för publ'!$B$2:$H$416,MATCH('Miljövärden för publ företag'!F$4,'Miljövrärden urval för publ'!$B$2:$H$2,0),FALSE),"")</f>
        <v>7.2196899999999999</v>
      </c>
      <c r="G333" s="121">
        <f>IFERROR(VLOOKUP($C333,'Miljövrärden urval för publ'!$B$2:$H$416,MATCH('Miljövärden för publ företag'!G$4,'Miljövrärden urval för publ'!$B$2:$H$2,0),FALSE),"")</f>
        <v>1.4175200000000001E-2</v>
      </c>
      <c r="J333" s="121">
        <f t="shared" si="22"/>
        <v>123</v>
      </c>
      <c r="M333" s="121">
        <v>329</v>
      </c>
      <c r="N333" s="121" t="str">
        <f t="shared" si="23"/>
        <v/>
      </c>
      <c r="P333" s="296">
        <f t="shared" si="24"/>
        <v>0</v>
      </c>
      <c r="Q333" s="290" t="str">
        <f t="shared" si="21"/>
        <v/>
      </c>
    </row>
    <row r="334" spans="1:17" x14ac:dyDescent="0.25">
      <c r="A334" s="121">
        <v>331</v>
      </c>
      <c r="B334" s="121" t="str">
        <f>IFERROR(INDEX('Miljövrärden urval för publ'!$A$2:$AA$419,MATCH('Miljövärden för publ företag'!$A334,'Miljövrärden urval för publ'!$R$2:$R$416,0),1),"")</f>
        <v>Västerbergslagens Energi AB</v>
      </c>
      <c r="C334" s="121" t="str">
        <f>IFERROR(INDEX('Miljövrärden urval för publ'!$A$2:$AA$419,MATCH('Miljövärden för publ företag'!$A334,'Miljövrärden urval för publ'!$R$2:$R$416,0),2),"")</f>
        <v>Fagersta</v>
      </c>
      <c r="D334" s="121">
        <f>IFERROR(VLOOKUP($C334,'Miljövrärden urval för publ'!$B$2:$H$416,MATCH('Miljövärden för publ företag'!D$4,'Miljövrärden urval för publ'!$B$2:$H$2,0),FALSE),"")</f>
        <v>8.3530300000000002E-2</v>
      </c>
      <c r="E334" s="121">
        <f>IFERROR(VLOOKUP($C334,'Miljövrärden urval för publ'!$B$2:$H$416,MATCH('Miljövärden för publ företag'!E$4,'Miljövrärden urval för publ'!$B$2:$H$2,0),FALSE),"")</f>
        <v>23.430700000000002</v>
      </c>
      <c r="F334" s="121">
        <f>IFERROR(VLOOKUP($C334,'Miljövrärden urval för publ'!$B$2:$H$416,MATCH('Miljövärden för publ företag'!F$4,'Miljövrärden urval för publ'!$B$2:$H$2,0),FALSE),"")</f>
        <v>8.3649100000000001</v>
      </c>
      <c r="G334" s="121">
        <f>IFERROR(VLOOKUP($C334,'Miljövrärden urval för publ'!$B$2:$H$416,MATCH('Miljövärden för publ företag'!G$4,'Miljövrärden urval för publ'!$B$2:$H$2,0),FALSE),"")</f>
        <v>7.3179699999999996E-4</v>
      </c>
      <c r="J334" s="121">
        <f t="shared" si="22"/>
        <v>124</v>
      </c>
      <c r="M334" s="121">
        <v>330</v>
      </c>
      <c r="N334" s="121" t="str">
        <f t="shared" si="23"/>
        <v/>
      </c>
      <c r="P334" s="296">
        <f t="shared" si="24"/>
        <v>1</v>
      </c>
      <c r="Q334" s="290" t="str">
        <f t="shared" si="21"/>
        <v>Fagersta</v>
      </c>
    </row>
    <row r="335" spans="1:17" x14ac:dyDescent="0.25">
      <c r="A335" s="121">
        <v>332</v>
      </c>
      <c r="B335" s="121" t="str">
        <f>IFERROR(INDEX('Miljövrärden urval för publ'!$A$2:$AA$419,MATCH('Miljövärden för publ företag'!$A335,'Miljövrärden urval för publ'!$R$2:$R$416,0),1),"")</f>
        <v>Västerbergslagens Energi AB</v>
      </c>
      <c r="C335" s="121" t="str">
        <f>IFERROR(INDEX('Miljövrärden urval för publ'!$A$2:$AA$419,MATCH('Miljövärden för publ företag'!$A335,'Miljövrärden urval för publ'!$R$2:$R$416,0),2),"")</f>
        <v>Grängesberg</v>
      </c>
      <c r="D335" s="121">
        <f>IFERROR(VLOOKUP($C335,'Miljövrärden urval för publ'!$B$2:$H$416,MATCH('Miljövärden för publ företag'!D$4,'Miljövrärden urval för publ'!$B$2:$H$2,0),FALSE),"")</f>
        <v>3.84047E-2</v>
      </c>
      <c r="E335" s="121">
        <f>IFERROR(VLOOKUP($C335,'Miljövrärden urval för publ'!$B$2:$H$416,MATCH('Miljövärden för publ företag'!E$4,'Miljövrärden urval för publ'!$B$2:$H$2,0),FALSE),"")</f>
        <v>4.5126999999999997</v>
      </c>
      <c r="F335" s="121">
        <f>IFERROR(VLOOKUP($C335,'Miljövrärden urval för publ'!$B$2:$H$416,MATCH('Miljövärden för publ företag'!F$4,'Miljövrärden urval för publ'!$B$2:$H$2,0),FALSE),"")</f>
        <v>8.1020400000000006</v>
      </c>
      <c r="G335" s="121">
        <f>IFERROR(VLOOKUP($C335,'Miljövrärden urval för publ'!$B$2:$H$416,MATCH('Miljövärden för publ företag'!G$4,'Miljövrärden urval för publ'!$B$2:$H$2,0),FALSE),"")</f>
        <v>0</v>
      </c>
      <c r="J335" s="121">
        <f t="shared" si="22"/>
        <v>124</v>
      </c>
      <c r="M335" s="121">
        <v>331</v>
      </c>
      <c r="N335" s="121" t="str">
        <f t="shared" si="23"/>
        <v/>
      </c>
      <c r="P335" s="296">
        <f t="shared" si="24"/>
        <v>2</v>
      </c>
      <c r="Q335" s="290" t="str">
        <f t="shared" si="21"/>
        <v>Grängesberg</v>
      </c>
    </row>
    <row r="336" spans="1:17" x14ac:dyDescent="0.25">
      <c r="A336" s="121">
        <v>333</v>
      </c>
      <c r="B336" s="121" t="str">
        <f>IFERROR(INDEX('Miljövrärden urval för publ'!$A$2:$AA$419,MATCH('Miljövärden för publ företag'!$A336,'Miljövrärden urval för publ'!$R$2:$R$416,0),1),"")</f>
        <v>Västerbergslagens Energi AB</v>
      </c>
      <c r="C336" s="121" t="str">
        <f>IFERROR(INDEX('Miljövrärden urval för publ'!$A$2:$AA$419,MATCH('Miljövärden för publ företag'!$A336,'Miljövrärden urval för publ'!$R$2:$R$416,0),2),"")</f>
        <v>Ludvika</v>
      </c>
      <c r="D336" s="121">
        <f>IFERROR(VLOOKUP($C336,'Miljövrärden urval för publ'!$B$2:$H$416,MATCH('Miljövärden för publ företag'!D$4,'Miljövrärden urval för publ'!$B$2:$H$2,0),FALSE),"")</f>
        <v>7.7901999999999999E-2</v>
      </c>
      <c r="E336" s="121">
        <f>IFERROR(VLOOKUP($C336,'Miljövrärden urval för publ'!$B$2:$H$416,MATCH('Miljövärden för publ företag'!E$4,'Miljövrärden urval för publ'!$B$2:$H$2,0),FALSE),"")</f>
        <v>10.635</v>
      </c>
      <c r="F336" s="121">
        <f>IFERROR(VLOOKUP($C336,'Miljövrärden urval för publ'!$B$2:$H$416,MATCH('Miljövärden för publ företag'!F$4,'Miljövrärden urval för publ'!$B$2:$H$2,0),FALSE),"")</f>
        <v>4.5627000000000004</v>
      </c>
      <c r="G336" s="121">
        <f>IFERROR(VLOOKUP($C336,'Miljövrärden urval för publ'!$B$2:$H$416,MATCH('Miljövärden för publ företag'!G$4,'Miljövrärden urval för publ'!$B$2:$H$2,0),FALSE),"")</f>
        <v>1.9501000000000001E-2</v>
      </c>
      <c r="J336" s="121">
        <f t="shared" si="22"/>
        <v>124</v>
      </c>
      <c r="M336" s="121">
        <v>332</v>
      </c>
      <c r="N336" s="121" t="str">
        <f t="shared" si="23"/>
        <v/>
      </c>
      <c r="P336" s="296">
        <f t="shared" si="24"/>
        <v>3</v>
      </c>
      <c r="Q336" s="290" t="str">
        <f t="shared" si="21"/>
        <v>Ludvika</v>
      </c>
    </row>
    <row r="337" spans="1:17" x14ac:dyDescent="0.25">
      <c r="A337" s="121">
        <v>334</v>
      </c>
      <c r="B337" s="121" t="str">
        <f>IFERROR(INDEX('Miljövrärden urval för publ'!$A$2:$AA$419,MATCH('Miljövärden för publ företag'!$A337,'Miljövrärden urval för publ'!$R$2:$R$416,0),1),"")</f>
        <v>Västerbergslagens Energi AB</v>
      </c>
      <c r="C337" s="121" t="str">
        <f>IFERROR(INDEX('Miljövrärden urval för publ'!$A$2:$AA$419,MATCH('Miljövärden för publ företag'!$A337,'Miljövrärden urval för publ'!$R$2:$R$416,0),2),"")</f>
        <v>Norberg</v>
      </c>
      <c r="D337" s="121">
        <f>IFERROR(VLOOKUP($C337,'Miljövrärden urval för publ'!$B$2:$H$416,MATCH('Miljövärden för publ företag'!D$4,'Miljövrärden urval för publ'!$B$2:$H$2,0),FALSE),"")</f>
        <v>4.4255999999999997E-2</v>
      </c>
      <c r="E337" s="121">
        <f>IFERROR(VLOOKUP($C337,'Miljövrärden urval för publ'!$B$2:$H$416,MATCH('Miljövärden för publ företag'!E$4,'Miljövrärden urval för publ'!$B$2:$H$2,0),FALSE),"")</f>
        <v>7.78965</v>
      </c>
      <c r="F337" s="121">
        <f>IFERROR(VLOOKUP($C337,'Miljövrärden urval för publ'!$B$2:$H$416,MATCH('Miljövärden för publ företag'!F$4,'Miljövrärden urval för publ'!$B$2:$H$2,0),FALSE),"")</f>
        <v>1.6733100000000001</v>
      </c>
      <c r="G337" s="121">
        <f>IFERROR(VLOOKUP($C337,'Miljövrärden urval för publ'!$B$2:$H$416,MATCH('Miljövärden för publ företag'!G$4,'Miljövrärden urval för publ'!$B$2:$H$2,0),FALSE),"")</f>
        <v>2.1201600000000001E-2</v>
      </c>
      <c r="J337" s="121">
        <f t="shared" si="22"/>
        <v>124</v>
      </c>
      <c r="M337" s="121">
        <v>333</v>
      </c>
      <c r="N337" s="121" t="str">
        <f t="shared" si="23"/>
        <v/>
      </c>
      <c r="P337" s="296">
        <f t="shared" si="24"/>
        <v>4</v>
      </c>
      <c r="Q337" s="290" t="str">
        <f t="shared" si="21"/>
        <v>Norberg</v>
      </c>
    </row>
    <row r="338" spans="1:17" x14ac:dyDescent="0.25">
      <c r="A338" s="121">
        <v>335</v>
      </c>
      <c r="B338" s="121" t="str">
        <f>IFERROR(INDEX('Miljövrärden urval för publ'!$A$2:$AA$419,MATCH('Miljövärden för publ företag'!$A338,'Miljövrärden urval för publ'!$R$2:$R$416,0),1),"")</f>
        <v>Västervik Miljö &amp; Energi AB</v>
      </c>
      <c r="C338" s="121" t="str">
        <f>IFERROR(INDEX('Miljövrärden urval för publ'!$A$2:$AA$419,MATCH('Miljövärden för publ företag'!$A338,'Miljövrärden urval för publ'!$R$2:$R$416,0),2),"")</f>
        <v>Ankarsrum</v>
      </c>
      <c r="D338" s="121">
        <f>IFERROR(VLOOKUP($C338,'Miljövrärden urval för publ'!$B$2:$H$416,MATCH('Miljövärden för publ företag'!D$4,'Miljövrärden urval för publ'!$B$2:$H$2,0),FALSE),"")</f>
        <v>0.22767799999999999</v>
      </c>
      <c r="E338" s="121">
        <f>IFERROR(VLOOKUP($C338,'Miljövrärden urval för publ'!$B$2:$H$416,MATCH('Miljövärden för publ företag'!E$4,'Miljövrärden urval för publ'!$B$2:$H$2,0),FALSE),"")</f>
        <v>39.203299999999999</v>
      </c>
      <c r="F338" s="121">
        <f>IFERROR(VLOOKUP($C338,'Miljövrärden urval för publ'!$B$2:$H$416,MATCH('Miljövärden för publ företag'!F$4,'Miljövrärden urval för publ'!$B$2:$H$2,0),FALSE),"")</f>
        <v>12.997299999999999</v>
      </c>
      <c r="G338" s="121">
        <f>IFERROR(VLOOKUP($C338,'Miljövrärden urval för publ'!$B$2:$H$416,MATCH('Miljövärden för publ företag'!G$4,'Miljövrärden urval för publ'!$B$2:$H$2,0),FALSE),"")</f>
        <v>4.8132099999999997E-2</v>
      </c>
      <c r="J338" s="121">
        <f t="shared" si="22"/>
        <v>125</v>
      </c>
      <c r="M338" s="121">
        <v>334</v>
      </c>
      <c r="N338" s="121" t="str">
        <f t="shared" si="23"/>
        <v/>
      </c>
      <c r="P338" s="296">
        <f t="shared" si="24"/>
        <v>4</v>
      </c>
      <c r="Q338" s="290" t="str">
        <f t="shared" si="21"/>
        <v/>
      </c>
    </row>
    <row r="339" spans="1:17" x14ac:dyDescent="0.25">
      <c r="A339" s="121">
        <v>336</v>
      </c>
      <c r="B339" s="121" t="str">
        <f>IFERROR(INDEX('Miljövrärden urval för publ'!$A$2:$AA$419,MATCH('Miljövärden för publ företag'!$A339,'Miljövrärden urval för publ'!$R$2:$R$416,0),1),"")</f>
        <v>Västervik Miljö &amp; Energi AB</v>
      </c>
      <c r="C339" s="121" t="str">
        <f>IFERROR(INDEX('Miljövrärden urval för publ'!$A$2:$AA$419,MATCH('Miljövärden för publ företag'!$A339,'Miljövrärden urval för publ'!$R$2:$R$416,0),2),"")</f>
        <v>Gamleby</v>
      </c>
      <c r="D339" s="121">
        <f>IFERROR(VLOOKUP($C339,'Miljövrärden urval för publ'!$B$2:$H$416,MATCH('Miljövärden för publ företag'!D$4,'Miljövrärden urval för publ'!$B$2:$H$2,0),FALSE),"")</f>
        <v>0.33182099999999998</v>
      </c>
      <c r="E339" s="121">
        <f>IFERROR(VLOOKUP($C339,'Miljövrärden urval för publ'!$B$2:$H$416,MATCH('Miljövärden för publ företag'!E$4,'Miljövrärden urval för publ'!$B$2:$H$2,0),FALSE),"")</f>
        <v>67.870500000000007</v>
      </c>
      <c r="F339" s="121">
        <f>IFERROR(VLOOKUP($C339,'Miljövrärden urval för publ'!$B$2:$H$416,MATCH('Miljövärden för publ företag'!F$4,'Miljövrärden urval för publ'!$B$2:$H$2,0),FALSE),"")</f>
        <v>13.313800000000001</v>
      </c>
      <c r="G339" s="121">
        <f>IFERROR(VLOOKUP($C339,'Miljövrärden urval för publ'!$B$2:$H$416,MATCH('Miljövärden för publ företag'!G$4,'Miljövrärden urval för publ'!$B$2:$H$2,0),FALSE),"")</f>
        <v>0.134326</v>
      </c>
      <c r="J339" s="121">
        <f t="shared" si="22"/>
        <v>125</v>
      </c>
      <c r="M339" s="121">
        <v>335</v>
      </c>
      <c r="N339" s="121" t="str">
        <f t="shared" si="23"/>
        <v/>
      </c>
      <c r="P339" s="296">
        <f t="shared" si="24"/>
        <v>4</v>
      </c>
      <c r="Q339" s="290" t="str">
        <f t="shared" si="21"/>
        <v/>
      </c>
    </row>
    <row r="340" spans="1:17" x14ac:dyDescent="0.25">
      <c r="A340" s="121">
        <v>337</v>
      </c>
      <c r="B340" s="121" t="str">
        <f>IFERROR(INDEX('Miljövrärden urval för publ'!$A$2:$AA$419,MATCH('Miljövärden för publ företag'!$A340,'Miljövrärden urval för publ'!$R$2:$R$416,0),1),"")</f>
        <v>Västervik Miljö &amp; Energi AB</v>
      </c>
      <c r="C340" s="121" t="str">
        <f>IFERROR(INDEX('Miljövrärden urval för publ'!$A$2:$AA$419,MATCH('Miljövärden för publ företag'!$A340,'Miljövrärden urval för publ'!$R$2:$R$416,0),2),"")</f>
        <v>Västervik</v>
      </c>
      <c r="D340" s="121">
        <f>IFERROR(VLOOKUP($C340,'Miljövrärden urval för publ'!$B$2:$H$416,MATCH('Miljövärden för publ företag'!D$4,'Miljövrärden urval för publ'!$B$2:$H$2,0),FALSE),"")</f>
        <v>0.21398400000000001</v>
      </c>
      <c r="E340" s="121">
        <f>IFERROR(VLOOKUP($C340,'Miljövrärden urval för publ'!$B$2:$H$416,MATCH('Miljövärden för publ företag'!E$4,'Miljövrärden urval för publ'!$B$2:$H$2,0),FALSE),"")</f>
        <v>167.59100000000001</v>
      </c>
      <c r="F340" s="121">
        <f>IFERROR(VLOOKUP($C340,'Miljövrärden urval för publ'!$B$2:$H$416,MATCH('Miljövärden för publ företag'!F$4,'Miljövrärden urval för publ'!$B$2:$H$2,0),FALSE),"")</f>
        <v>7.0116899999999998</v>
      </c>
      <c r="G340" s="121">
        <f>IFERROR(VLOOKUP($C340,'Miljövrärden urval för publ'!$B$2:$H$416,MATCH('Miljövärden för publ företag'!G$4,'Miljövrärden urval för publ'!$B$2:$H$2,0),FALSE),"")</f>
        <v>3.0309099999999999E-2</v>
      </c>
      <c r="J340" s="121">
        <f t="shared" si="22"/>
        <v>125</v>
      </c>
      <c r="M340" s="121">
        <v>336</v>
      </c>
      <c r="N340" s="121" t="str">
        <f t="shared" si="23"/>
        <v/>
      </c>
      <c r="P340" s="296">
        <f t="shared" si="24"/>
        <v>4</v>
      </c>
      <c r="Q340" s="290" t="str">
        <f t="shared" si="21"/>
        <v/>
      </c>
    </row>
    <row r="341" spans="1:17" x14ac:dyDescent="0.25">
      <c r="A341" s="121">
        <v>338</v>
      </c>
      <c r="B341" s="121" t="str">
        <f>IFERROR(INDEX('Miljövrärden urval för publ'!$A$2:$AA$419,MATCH('Miljövärden för publ företag'!$A341,'Miljövrärden urval för publ'!$R$2:$R$416,0),1),"")</f>
        <v>Västra Mälardalens Energi och Miljö AB</v>
      </c>
      <c r="C341" s="121" t="str">
        <f>IFERROR(INDEX('Miljövrärden urval för publ'!$A$2:$AA$419,MATCH('Miljövärden för publ företag'!$A341,'Miljövrärden urval för publ'!$R$2:$R$416,0),2),"")</f>
        <v>Arboga - Köping</v>
      </c>
      <c r="D341" s="121">
        <f>IFERROR(VLOOKUP($C341,'Miljövrärden urval för publ'!$B$2:$H$416,MATCH('Miljövärden för publ företag'!D$4,'Miljövrärden urval för publ'!$B$2:$H$2,0),FALSE),"")</f>
        <v>4.3800600000000002E-5</v>
      </c>
      <c r="E341" s="121">
        <f>IFERROR(VLOOKUP($C341,'Miljövrärden urval för publ'!$B$2:$H$416,MATCH('Miljövärden för publ företag'!E$4,'Miljövrärden urval för publ'!$B$2:$H$2,0),FALSE),"")</f>
        <v>3.4802399999999997E-2</v>
      </c>
      <c r="F341" s="121">
        <f>IFERROR(VLOOKUP($C341,'Miljövrärden urval för publ'!$B$2:$H$416,MATCH('Miljövärden för publ företag'!F$4,'Miljövrärden urval för publ'!$B$2:$H$2,0),FALSE),"")</f>
        <v>4.0085600000000004E-3</v>
      </c>
      <c r="G341" s="121">
        <f>IFERROR(VLOOKUP($C341,'Miljövrärden urval för publ'!$B$2:$H$416,MATCH('Miljövärden för publ företag'!G$4,'Miljövrärden urval för publ'!$B$2:$H$2,0),FALSE),"")</f>
        <v>0</v>
      </c>
      <c r="J341" s="121">
        <f t="shared" si="22"/>
        <v>126</v>
      </c>
      <c r="M341" s="121">
        <v>337</v>
      </c>
      <c r="N341" s="121" t="str">
        <f t="shared" si="23"/>
        <v/>
      </c>
      <c r="P341" s="296">
        <f t="shared" si="24"/>
        <v>4</v>
      </c>
      <c r="Q341" s="290" t="str">
        <f t="shared" si="21"/>
        <v/>
      </c>
    </row>
    <row r="342" spans="1:17" x14ac:dyDescent="0.25">
      <c r="A342" s="121">
        <v>339</v>
      </c>
      <c r="B342" s="121" t="str">
        <f>IFERROR(INDEX('Miljövrärden urval för publ'!$A$2:$AA$419,MATCH('Miljövärden för publ företag'!$A342,'Miljövrärden urval för publ'!$R$2:$R$416,0),1),"")</f>
        <v>Västra Mälardalens Energi och Miljö AB</v>
      </c>
      <c r="C342" s="121" t="str">
        <f>IFERROR(INDEX('Miljövrärden urval för publ'!$A$2:$AA$419,MATCH('Miljövärden för publ företag'!$A342,'Miljövrärden urval för publ'!$R$2:$R$416,0),2),"")</f>
        <v>Kolsva</v>
      </c>
      <c r="D342" s="121">
        <f>IFERROR(VLOOKUP($C342,'Miljövrärden urval för publ'!$B$2:$H$416,MATCH('Miljövärden för publ företag'!D$4,'Miljövrärden urval för publ'!$B$2:$H$2,0),FALSE),"")</f>
        <v>0.11347599999999999</v>
      </c>
      <c r="E342" s="121">
        <f>IFERROR(VLOOKUP($C342,'Miljövrärden urval för publ'!$B$2:$H$416,MATCH('Miljövärden för publ företag'!E$4,'Miljövrärden urval för publ'!$B$2:$H$2,0),FALSE),"")</f>
        <v>4.0319500000000001</v>
      </c>
      <c r="F342" s="121">
        <f>IFERROR(VLOOKUP($C342,'Miljövrärden urval för publ'!$B$2:$H$416,MATCH('Miljövärden för publ företag'!F$4,'Miljövrärden urval för publ'!$B$2:$H$2,0),FALSE),"")</f>
        <v>14.061</v>
      </c>
      <c r="G342" s="121">
        <f>IFERROR(VLOOKUP($C342,'Miljövrärden urval för publ'!$B$2:$H$416,MATCH('Miljövärden för publ företag'!G$4,'Miljövrärden urval för publ'!$B$2:$H$2,0),FALSE),"")</f>
        <v>1.0153499999999999E-3</v>
      </c>
      <c r="J342" s="121">
        <f t="shared" si="22"/>
        <v>126</v>
      </c>
      <c r="M342" s="121">
        <v>338</v>
      </c>
      <c r="N342" s="121" t="str">
        <f t="shared" si="23"/>
        <v/>
      </c>
      <c r="P342" s="296">
        <f t="shared" si="24"/>
        <v>4</v>
      </c>
      <c r="Q342" s="290" t="str">
        <f t="shared" si="21"/>
        <v/>
      </c>
    </row>
    <row r="343" spans="1:17" x14ac:dyDescent="0.25">
      <c r="A343" s="121">
        <v>340</v>
      </c>
      <c r="B343" s="121" t="str">
        <f>IFERROR(INDEX('Miljövrärden urval för publ'!$A$2:$AA$419,MATCH('Miljövärden för publ företag'!$A343,'Miljövrärden urval för publ'!$R$2:$R$416,0),1),"")</f>
        <v>Växjö Energi AB</v>
      </c>
      <c r="C343" s="121" t="str">
        <f>IFERROR(INDEX('Miljövrärden urval för publ'!$A$2:$AA$419,MATCH('Miljövärden för publ företag'!$A343,'Miljövrärden urval för publ'!$R$2:$R$416,0),2),"")</f>
        <v>Braås</v>
      </c>
      <c r="D343" s="121">
        <f>IFERROR(VLOOKUP($C343,'Miljövrärden urval för publ'!$B$2:$H$416,MATCH('Miljövärden för publ företag'!D$4,'Miljövrärden urval för publ'!$B$2:$H$2,0),FALSE),"")</f>
        <v>7.0259600000000005E-2</v>
      </c>
      <c r="E343" s="121">
        <f>IFERROR(VLOOKUP($C343,'Miljövrärden urval för publ'!$B$2:$H$416,MATCH('Miljövärden för publ företag'!E$4,'Miljövrärden urval för publ'!$B$2:$H$2,0),FALSE),"")</f>
        <v>5.5744800000000003</v>
      </c>
      <c r="F343" s="121">
        <f>IFERROR(VLOOKUP($C343,'Miljövrärden urval för publ'!$B$2:$H$416,MATCH('Miljövärden för publ företag'!F$4,'Miljövrärden urval för publ'!$B$2:$H$2,0),FALSE),"")</f>
        <v>12.1187</v>
      </c>
      <c r="G343" s="121">
        <f>IFERROR(VLOOKUP($C343,'Miljövrärden urval för publ'!$B$2:$H$416,MATCH('Miljövärden för publ företag'!G$4,'Miljövrärden urval för publ'!$B$2:$H$2,0),FALSE),"")</f>
        <v>0</v>
      </c>
      <c r="J343" s="121">
        <f t="shared" si="22"/>
        <v>127</v>
      </c>
      <c r="M343" s="121">
        <v>339</v>
      </c>
      <c r="N343" s="121" t="str">
        <f t="shared" si="23"/>
        <v/>
      </c>
      <c r="P343" s="296">
        <f t="shared" si="24"/>
        <v>4</v>
      </c>
      <c r="Q343" s="290" t="str">
        <f t="shared" si="21"/>
        <v/>
      </c>
    </row>
    <row r="344" spans="1:17" x14ac:dyDescent="0.25">
      <c r="A344" s="121">
        <v>341</v>
      </c>
      <c r="B344" s="121" t="str">
        <f>IFERROR(INDEX('Miljövrärden urval för publ'!$A$2:$AA$419,MATCH('Miljövärden för publ företag'!$A344,'Miljövrärden urval för publ'!$R$2:$R$416,0),1),"")</f>
        <v>Växjö Energi AB</v>
      </c>
      <c r="C344" s="121" t="str">
        <f>IFERROR(INDEX('Miljövrärden urval för publ'!$A$2:$AA$419,MATCH('Miljövärden för publ företag'!$A344,'Miljövrärden urval för publ'!$R$2:$R$416,0),2),"")</f>
        <v>Ingelstad</v>
      </c>
      <c r="D344" s="121">
        <f>IFERROR(VLOOKUP($C344,'Miljövrärden urval för publ'!$B$2:$H$416,MATCH('Miljövärden för publ företag'!D$4,'Miljövrärden urval för publ'!$B$2:$H$2,0),FALSE),"")</f>
        <v>8.9627499999999999E-2</v>
      </c>
      <c r="E344" s="121">
        <f>IFERROR(VLOOKUP($C344,'Miljövrärden urval för publ'!$B$2:$H$416,MATCH('Miljövärden för publ företag'!E$4,'Miljövrärden urval för publ'!$B$2:$H$2,0),FALSE),"")</f>
        <v>5.2301399999999996</v>
      </c>
      <c r="F344" s="121">
        <f>IFERROR(VLOOKUP($C344,'Miljövrärden urval för publ'!$B$2:$H$416,MATCH('Miljövärden för publ företag'!F$4,'Miljövrärden urval för publ'!$B$2:$H$2,0),FALSE),"")</f>
        <v>13.3779</v>
      </c>
      <c r="G344" s="121">
        <f>IFERROR(VLOOKUP($C344,'Miljövrärden urval för publ'!$B$2:$H$416,MATCH('Miljövärden för publ företag'!G$4,'Miljövrärden urval för publ'!$B$2:$H$2,0),FALSE),"")</f>
        <v>0</v>
      </c>
      <c r="J344" s="121">
        <f t="shared" si="22"/>
        <v>127</v>
      </c>
      <c r="M344" s="121">
        <v>340</v>
      </c>
      <c r="N344" s="121" t="str">
        <f t="shared" si="23"/>
        <v/>
      </c>
      <c r="P344" s="296">
        <f t="shared" si="24"/>
        <v>4</v>
      </c>
      <c r="Q344" s="290" t="str">
        <f t="shared" si="21"/>
        <v/>
      </c>
    </row>
    <row r="345" spans="1:17" x14ac:dyDescent="0.25">
      <c r="A345" s="121">
        <v>342</v>
      </c>
      <c r="B345" s="121" t="str">
        <f>IFERROR(INDEX('Miljövrärden urval för publ'!$A$2:$AA$419,MATCH('Miljövärden för publ företag'!$A345,'Miljövrärden urval för publ'!$R$2:$R$416,0),1),"")</f>
        <v>Växjö Energi AB</v>
      </c>
      <c r="C345" s="121" t="str">
        <f>IFERROR(INDEX('Miljövrärden urval för publ'!$A$2:$AA$419,MATCH('Miljövärden för publ företag'!$A345,'Miljövrärden urval för publ'!$R$2:$R$416,0),2),"")</f>
        <v>Rottne</v>
      </c>
      <c r="D345" s="121">
        <f>IFERROR(VLOOKUP($C345,'Miljövrärden urval för publ'!$B$2:$H$416,MATCH('Miljövärden för publ företag'!D$4,'Miljövrärden urval för publ'!$B$2:$H$2,0),FALSE),"")</f>
        <v>4.44219E-2</v>
      </c>
      <c r="E345" s="121">
        <f>IFERROR(VLOOKUP($C345,'Miljövrärden urval för publ'!$B$2:$H$416,MATCH('Miljövärden för publ företag'!E$4,'Miljövrärden urval för publ'!$B$2:$H$2,0),FALSE),"")</f>
        <v>5.1340199999999996</v>
      </c>
      <c r="F345" s="121">
        <f>IFERROR(VLOOKUP($C345,'Miljövrärden urval för publ'!$B$2:$H$416,MATCH('Miljövärden för publ företag'!F$4,'Miljövrärden urval för publ'!$B$2:$H$2,0),FALSE),"")</f>
        <v>9.3212600000000005</v>
      </c>
      <c r="G345" s="121">
        <f>IFERROR(VLOOKUP($C345,'Miljövrärden urval för publ'!$B$2:$H$416,MATCH('Miljövärden för publ företag'!G$4,'Miljövrärden urval för publ'!$B$2:$H$2,0),FALSE),"")</f>
        <v>0</v>
      </c>
      <c r="J345" s="121">
        <f t="shared" si="22"/>
        <v>127</v>
      </c>
      <c r="M345" s="121">
        <v>341</v>
      </c>
      <c r="N345" s="121" t="str">
        <f t="shared" si="23"/>
        <v/>
      </c>
      <c r="P345" s="296">
        <f t="shared" si="24"/>
        <v>4</v>
      </c>
      <c r="Q345" s="290" t="str">
        <f t="shared" si="21"/>
        <v/>
      </c>
    </row>
    <row r="346" spans="1:17" x14ac:dyDescent="0.25">
      <c r="A346" s="121">
        <v>343</v>
      </c>
      <c r="B346" s="121" t="str">
        <f>IFERROR(INDEX('Miljövrärden urval för publ'!$A$2:$AA$419,MATCH('Miljövärden för publ företag'!$A346,'Miljövrärden urval för publ'!$R$2:$R$416,0),1),"")</f>
        <v>Växjö Energi AB</v>
      </c>
      <c r="C346" s="121" t="str">
        <f>IFERROR(INDEX('Miljövrärden urval för publ'!$A$2:$AA$419,MATCH('Miljövärden för publ företag'!$A346,'Miljövrärden urval för publ'!$R$2:$R$416,0),2),"")</f>
        <v>Växjö fjärrkyla</v>
      </c>
      <c r="D346" s="121">
        <f>IFERROR(VLOOKUP($C346,'Miljövrärden urval för publ'!$B$2:$H$416,MATCH('Miljövärden för publ företag'!D$4,'Miljövrärden urval för publ'!$B$2:$H$2,0),FALSE),"")</f>
        <v>3.6345500000000003E-2</v>
      </c>
      <c r="E346" s="121">
        <f>IFERROR(VLOOKUP($C346,'Miljövrärden urval för publ'!$B$2:$H$416,MATCH('Miljövärden för publ företag'!E$4,'Miljövrärden urval för publ'!$B$2:$H$2,0),FALSE),"")</f>
        <v>3.09748</v>
      </c>
      <c r="F346" s="121">
        <f>IFERROR(VLOOKUP($C346,'Miljövrärden urval för publ'!$B$2:$H$416,MATCH('Miljövärden för publ företag'!F$4,'Miljövrärden urval för publ'!$B$2:$H$2,0),FALSE),"")</f>
        <v>5.4206000000000003</v>
      </c>
      <c r="G346" s="121">
        <f>IFERROR(VLOOKUP($C346,'Miljövrärden urval för publ'!$B$2:$H$416,MATCH('Miljövärden för publ företag'!G$4,'Miljövrärden urval för publ'!$B$2:$H$2,0),FALSE),"")</f>
        <v>0</v>
      </c>
      <c r="J346" s="121">
        <f t="shared" si="22"/>
        <v>127</v>
      </c>
      <c r="M346" s="121">
        <v>342</v>
      </c>
      <c r="N346" s="121" t="str">
        <f t="shared" si="23"/>
        <v/>
      </c>
      <c r="P346" s="296">
        <f t="shared" si="24"/>
        <v>4</v>
      </c>
      <c r="Q346" s="290" t="str">
        <f t="shared" si="21"/>
        <v/>
      </c>
    </row>
    <row r="347" spans="1:17" x14ac:dyDescent="0.25">
      <c r="A347" s="121">
        <v>344</v>
      </c>
      <c r="B347" s="121" t="str">
        <f>IFERROR(INDEX('Miljövrärden urval för publ'!$A$2:$AA$419,MATCH('Miljövärden för publ företag'!$A347,'Miljövrärden urval för publ'!$R$2:$R$416,0),1),"")</f>
        <v>Växjö Energi AB</v>
      </c>
      <c r="C347" s="121" t="str">
        <f>IFERROR(INDEX('Miljövrärden urval för publ'!$A$2:$AA$419,MATCH('Miljövärden för publ företag'!$A347,'Miljövrärden urval för publ'!$R$2:$R$416,0),2),"")</f>
        <v>Växjö fjärrvärme</v>
      </c>
      <c r="D347" s="121">
        <f>IFERROR(VLOOKUP($C347,'Miljövrärden urval för publ'!$B$2:$H$416,MATCH('Miljövärden för publ företag'!D$4,'Miljövrärden urval för publ'!$B$2:$H$2,0),FALSE),"")</f>
        <v>8.6899699999999996E-2</v>
      </c>
      <c r="E347" s="121">
        <f>IFERROR(VLOOKUP($C347,'Miljövrärden urval för publ'!$B$2:$H$416,MATCH('Miljövärden för publ företag'!E$4,'Miljövrärden urval för publ'!$B$2:$H$2,0),FALSE),"")</f>
        <v>26.2042</v>
      </c>
      <c r="F347" s="121">
        <f>IFERROR(VLOOKUP($C347,'Miljövrärden urval för publ'!$B$2:$H$416,MATCH('Miljövärden för publ företag'!F$4,'Miljövrärden urval för publ'!$B$2:$H$2,0),FALSE),"")</f>
        <v>7.3947599999999998</v>
      </c>
      <c r="G347" s="121">
        <f>IFERROR(VLOOKUP($C347,'Miljövrärden urval för publ'!$B$2:$H$416,MATCH('Miljövärden för publ företag'!G$4,'Miljövrärden urval för publ'!$B$2:$H$2,0),FALSE),"")</f>
        <v>3.5462699999999998E-3</v>
      </c>
      <c r="J347" s="121">
        <f t="shared" si="22"/>
        <v>127</v>
      </c>
      <c r="M347" s="121">
        <v>343</v>
      </c>
      <c r="N347" s="121" t="str">
        <f t="shared" si="23"/>
        <v/>
      </c>
      <c r="P347" s="296">
        <f t="shared" si="24"/>
        <v>4</v>
      </c>
      <c r="Q347" s="290" t="str">
        <f t="shared" si="21"/>
        <v/>
      </c>
    </row>
    <row r="348" spans="1:17" x14ac:dyDescent="0.25">
      <c r="A348" s="121">
        <v>345</v>
      </c>
      <c r="B348" s="121" t="str">
        <f>IFERROR(INDEX('Miljövrärden urval för publ'!$A$2:$AA$419,MATCH('Miljövärden för publ företag'!$A348,'Miljövrärden urval för publ'!$R$2:$R$416,0),1),"")</f>
        <v>Ystad Energi AB</v>
      </c>
      <c r="C348" s="121" t="str">
        <f>IFERROR(INDEX('Miljövrärden urval för publ'!$A$2:$AA$419,MATCH('Miljövärden för publ företag'!$A348,'Miljövrärden urval för publ'!$R$2:$R$416,0),2),"")</f>
        <v>Ystad</v>
      </c>
      <c r="D348" s="121">
        <f>IFERROR(VLOOKUP($C348,'Miljövrärden urval för publ'!$B$2:$H$416,MATCH('Miljövärden för publ företag'!D$4,'Miljövrärden urval för publ'!$B$2:$H$2,0),FALSE),"")</f>
        <v>0.16696900000000001</v>
      </c>
      <c r="E348" s="121">
        <f>IFERROR(VLOOKUP($C348,'Miljövrärden urval för publ'!$B$2:$H$416,MATCH('Miljövärden för publ företag'!E$4,'Miljövrärden urval för publ'!$B$2:$H$2,0),FALSE),"")</f>
        <v>25.057400000000001</v>
      </c>
      <c r="F348" s="121">
        <f>IFERROR(VLOOKUP($C348,'Miljövrärden urval för publ'!$B$2:$H$416,MATCH('Miljövärden för publ företag'!F$4,'Miljövrärden urval för publ'!$B$2:$H$2,0),FALSE),"")</f>
        <v>9.9869900000000005</v>
      </c>
      <c r="G348" s="121">
        <f>IFERROR(VLOOKUP($C348,'Miljövrärden urval för publ'!$B$2:$H$416,MATCH('Miljövärden för publ företag'!G$4,'Miljövrärden urval för publ'!$B$2:$H$2,0),FALSE),"")</f>
        <v>5.4309900000000001E-2</v>
      </c>
      <c r="J348" s="121">
        <f t="shared" si="22"/>
        <v>128</v>
      </c>
      <c r="M348" s="121">
        <v>344</v>
      </c>
      <c r="N348" s="121" t="str">
        <f t="shared" si="23"/>
        <v/>
      </c>
      <c r="P348" s="296">
        <f t="shared" si="24"/>
        <v>4</v>
      </c>
      <c r="Q348" s="290" t="str">
        <f t="shared" si="21"/>
        <v/>
      </c>
    </row>
    <row r="349" spans="1:17" x14ac:dyDescent="0.25">
      <c r="A349" s="121">
        <v>346</v>
      </c>
      <c r="B349" s="121" t="str">
        <f>IFERROR(INDEX('Miljövrärden urval för publ'!$A$2:$AA$419,MATCH('Miljövärden för publ företag'!$A349,'Miljövrärden urval för publ'!$R$2:$R$416,0),1),"")</f>
        <v>Ånge Energi AB</v>
      </c>
      <c r="C349" s="121" t="str">
        <f>IFERROR(INDEX('Miljövrärden urval för publ'!$A$2:$AA$419,MATCH('Miljövärden för publ företag'!$A349,'Miljövrärden urval för publ'!$R$2:$R$416,0),2),"")</f>
        <v>Fränsta</v>
      </c>
      <c r="D349" s="121">
        <f>IFERROR(VLOOKUP($C349,'Miljövrärden urval för publ'!$B$2:$H$416,MATCH('Miljövärden för publ företag'!D$4,'Miljövrärden urval för publ'!$B$2:$H$2,0),FALSE),"")</f>
        <v>0.222164</v>
      </c>
      <c r="E349" s="121">
        <f>IFERROR(VLOOKUP($C349,'Miljövrärden urval för publ'!$B$2:$H$416,MATCH('Miljövärden för publ företag'!E$4,'Miljövrärden urval för publ'!$B$2:$H$2,0),FALSE),"")</f>
        <v>17.582100000000001</v>
      </c>
      <c r="F349" s="121">
        <f>IFERROR(VLOOKUP($C349,'Miljövrärden urval för publ'!$B$2:$H$416,MATCH('Miljövärden för publ företag'!F$4,'Miljövrärden urval för publ'!$B$2:$H$2,0),FALSE),"")</f>
        <v>17.7881</v>
      </c>
      <c r="G349" s="121">
        <f>IFERROR(VLOOKUP($C349,'Miljövrärden urval för publ'!$B$2:$H$416,MATCH('Miljövärden för publ företag'!G$4,'Miljövrärden urval för publ'!$B$2:$H$2,0),FALSE),"")</f>
        <v>3.78251E-2</v>
      </c>
      <c r="J349" s="121">
        <f t="shared" si="22"/>
        <v>129</v>
      </c>
      <c r="M349" s="121">
        <v>345</v>
      </c>
      <c r="N349" s="121" t="str">
        <f t="shared" si="23"/>
        <v/>
      </c>
      <c r="P349" s="296">
        <f t="shared" si="24"/>
        <v>4</v>
      </c>
      <c r="Q349" s="290" t="str">
        <f t="shared" si="21"/>
        <v/>
      </c>
    </row>
    <row r="350" spans="1:17" x14ac:dyDescent="0.25">
      <c r="A350" s="121">
        <v>347</v>
      </c>
      <c r="B350" s="121" t="str">
        <f>IFERROR(INDEX('Miljövrärden urval för publ'!$A$2:$AA$419,MATCH('Miljövärden för publ företag'!$A350,'Miljövrärden urval för publ'!$R$2:$R$416,0),1),"")</f>
        <v>Ånge Energi AB</v>
      </c>
      <c r="C350" s="121" t="str">
        <f>IFERROR(INDEX('Miljövrärden urval för publ'!$A$2:$AA$419,MATCH('Miljövärden för publ företag'!$A350,'Miljövrärden urval för publ'!$R$2:$R$416,0),2),"")</f>
        <v>Ånge</v>
      </c>
      <c r="D350" s="121">
        <f>IFERROR(VLOOKUP($C350,'Miljövrärden urval för publ'!$B$2:$H$416,MATCH('Miljövärden för publ företag'!D$4,'Miljövrärden urval för publ'!$B$2:$H$2,0),FALSE),"")</f>
        <v>7.7844999999999998E-2</v>
      </c>
      <c r="E350" s="121">
        <f>IFERROR(VLOOKUP($C350,'Miljövrärden urval för publ'!$B$2:$H$416,MATCH('Miljövärden för publ företag'!E$4,'Miljövrärden urval för publ'!$B$2:$H$2,0),FALSE),"")</f>
        <v>5.3616200000000003</v>
      </c>
      <c r="F350" s="121">
        <f>IFERROR(VLOOKUP($C350,'Miljövrärden urval för publ'!$B$2:$H$416,MATCH('Miljövärden för publ företag'!F$4,'Miljövrärden urval för publ'!$B$2:$H$2,0),FALSE),"")</f>
        <v>3.9429099999999999</v>
      </c>
      <c r="G350" s="121">
        <f>IFERROR(VLOOKUP($C350,'Miljövrärden urval för publ'!$B$2:$H$416,MATCH('Miljövärden för publ företag'!G$4,'Miljövrärden urval för publ'!$B$2:$H$2,0),FALSE),"")</f>
        <v>1.0333800000000001E-2</v>
      </c>
      <c r="J350" s="121">
        <f t="shared" si="22"/>
        <v>129</v>
      </c>
      <c r="M350" s="121">
        <v>346</v>
      </c>
      <c r="N350" s="121" t="str">
        <f t="shared" si="23"/>
        <v/>
      </c>
      <c r="P350" s="296">
        <f t="shared" si="24"/>
        <v>4</v>
      </c>
      <c r="Q350" s="290" t="str">
        <f t="shared" si="21"/>
        <v/>
      </c>
    </row>
    <row r="351" spans="1:17" x14ac:dyDescent="0.25">
      <c r="A351" s="121">
        <v>348</v>
      </c>
      <c r="B351" s="121" t="str">
        <f>IFERROR(INDEX('Miljövrärden urval för publ'!$A$2:$AA$419,MATCH('Miljövärden för publ företag'!$A351,'Miljövrärden urval för publ'!$R$2:$R$416,0),1),"")</f>
        <v>Öresundskraft AB</v>
      </c>
      <c r="C351" s="121" t="str">
        <f>IFERROR(INDEX('Miljövrärden urval för publ'!$A$2:$AA$419,MATCH('Miljövärden för publ företag'!$A351,'Miljövrärden urval för publ'!$R$2:$R$416,0),2),"")</f>
        <v>Helsingborg</v>
      </c>
      <c r="D351" s="121">
        <f>IFERROR(VLOOKUP($C351,'Miljövrärden urval för publ'!$B$2:$H$416,MATCH('Miljövärden för publ företag'!D$4,'Miljövrärden urval för publ'!$B$2:$H$2,0),FALSE),"")</f>
        <v>7.1446899999999994E-2</v>
      </c>
      <c r="E351" s="121">
        <f>IFERROR(VLOOKUP($C351,'Miljövrärden urval för publ'!$B$2:$H$416,MATCH('Miljövärden för publ företag'!E$4,'Miljövrärden urval för publ'!$B$2:$H$2,0),FALSE),"")</f>
        <v>44.307099999999998</v>
      </c>
      <c r="F351" s="121">
        <f>IFERROR(VLOOKUP($C351,'Miljövrärden urval för publ'!$B$2:$H$416,MATCH('Miljövärden för publ företag'!F$4,'Miljövrärden urval för publ'!$B$2:$H$2,0),FALSE),"")</f>
        <v>3.8380100000000001</v>
      </c>
      <c r="G351" s="121">
        <f>IFERROR(VLOOKUP($C351,'Miljövrärden urval för publ'!$B$2:$H$416,MATCH('Miljövärden för publ företag'!G$4,'Miljövrärden urval för publ'!$B$2:$H$2,0),FALSE),"")</f>
        <v>3.3001300000000001E-3</v>
      </c>
      <c r="J351" s="121">
        <f t="shared" si="22"/>
        <v>130</v>
      </c>
      <c r="M351" s="121">
        <v>347</v>
      </c>
      <c r="N351" s="121" t="str">
        <f t="shared" si="23"/>
        <v/>
      </c>
      <c r="P351" s="296">
        <f t="shared" si="24"/>
        <v>4</v>
      </c>
      <c r="Q351" s="290" t="str">
        <f t="shared" si="21"/>
        <v/>
      </c>
    </row>
    <row r="352" spans="1:17" x14ac:dyDescent="0.25">
      <c r="A352" s="121">
        <v>349</v>
      </c>
      <c r="B352" s="121" t="str">
        <f>IFERROR(INDEX('Miljövrärden urval för publ'!$A$2:$AA$419,MATCH('Miljövärden för publ företag'!$A352,'Miljövrärden urval för publ'!$R$2:$R$416,0),1),"")</f>
        <v>Öresundskraft AB</v>
      </c>
      <c r="C352" s="121" t="str">
        <f>IFERROR(INDEX('Miljövrärden urval för publ'!$A$2:$AA$419,MATCH('Miljövärden för publ företag'!$A352,'Miljövrärden urval för publ'!$R$2:$R$416,0),2),"")</f>
        <v>Hjärnarp</v>
      </c>
      <c r="D352" s="121">
        <f>IFERROR(VLOOKUP($C352,'Miljövrärden urval för publ'!$B$2:$H$416,MATCH('Miljövärden för publ företag'!D$4,'Miljövrärden urval för publ'!$B$2:$H$2,0),FALSE),"")</f>
        <v>0.18379899999999999</v>
      </c>
      <c r="E352" s="121">
        <f>IFERROR(VLOOKUP($C352,'Miljövrärden urval för publ'!$B$2:$H$416,MATCH('Miljövärden för publ företag'!E$4,'Miljövrärden urval för publ'!$B$2:$H$2,0),FALSE),"")</f>
        <v>7.6941600000000001</v>
      </c>
      <c r="F352" s="121">
        <f>IFERROR(VLOOKUP($C352,'Miljövrärden urval för publ'!$B$2:$H$416,MATCH('Miljövärden för publ företag'!F$4,'Miljövrärden urval för publ'!$B$2:$H$2,0),FALSE),"")</f>
        <v>18.657399999999999</v>
      </c>
      <c r="G352" s="121">
        <f>IFERROR(VLOOKUP($C352,'Miljövrärden urval för publ'!$B$2:$H$416,MATCH('Miljövärden för publ företag'!G$4,'Miljövrärden urval för publ'!$B$2:$H$2,0),FALSE),"")</f>
        <v>6.67141E-3</v>
      </c>
      <c r="J352" s="121">
        <f t="shared" si="22"/>
        <v>130</v>
      </c>
      <c r="M352" s="121">
        <v>348</v>
      </c>
      <c r="N352" s="121" t="str">
        <f t="shared" si="23"/>
        <v/>
      </c>
      <c r="P352" s="296">
        <f t="shared" si="24"/>
        <v>4</v>
      </c>
      <c r="Q352" s="290" t="str">
        <f t="shared" si="21"/>
        <v/>
      </c>
    </row>
    <row r="353" spans="1:17" x14ac:dyDescent="0.25">
      <c r="A353" s="121">
        <v>350</v>
      </c>
      <c r="B353" s="121" t="str">
        <f>IFERROR(INDEX('Miljövrärden urval för publ'!$A$2:$AA$419,MATCH('Miljövärden för publ företag'!$A353,'Miljövrärden urval för publ'!$R$2:$R$416,0),1),"")</f>
        <v>Öresundskraft AB</v>
      </c>
      <c r="C353" s="121" t="str">
        <f>IFERROR(INDEX('Miljövrärden urval för publ'!$A$2:$AA$419,MATCH('Miljövärden för publ företag'!$A353,'Miljövrärden urval för publ'!$R$2:$R$416,0),2),"")</f>
        <v>Vejbystrand</v>
      </c>
      <c r="D353" s="121">
        <f>IFERROR(VLOOKUP($C353,'Miljövrärden urval för publ'!$B$2:$H$416,MATCH('Miljövärden för publ företag'!D$4,'Miljövrärden urval för publ'!$B$2:$H$2,0),FALSE),"")</f>
        <v>0.197605</v>
      </c>
      <c r="E353" s="121">
        <f>IFERROR(VLOOKUP($C353,'Miljövrärden urval för publ'!$B$2:$H$416,MATCH('Miljövärden för publ företag'!E$4,'Miljövrärden urval för publ'!$B$2:$H$2,0),FALSE),"")</f>
        <v>7.4391499999999997</v>
      </c>
      <c r="F353" s="121">
        <f>IFERROR(VLOOKUP($C353,'Miljövrärden urval för publ'!$B$2:$H$416,MATCH('Miljövärden för publ företag'!F$4,'Miljövrärden urval för publ'!$B$2:$H$2,0),FALSE),"")</f>
        <v>21.8508</v>
      </c>
      <c r="G353" s="121">
        <f>IFERROR(VLOOKUP($C353,'Miljövrärden urval för publ'!$B$2:$H$416,MATCH('Miljövärden för publ företag'!G$4,'Miljövrärden urval för publ'!$B$2:$H$2,0),FALSE),"")</f>
        <v>2.8964300000000002E-3</v>
      </c>
      <c r="J353" s="121">
        <f t="shared" si="22"/>
        <v>130</v>
      </c>
      <c r="M353" s="121">
        <v>349</v>
      </c>
      <c r="N353" s="121" t="str">
        <f t="shared" si="23"/>
        <v/>
      </c>
      <c r="P353" s="296">
        <f t="shared" si="24"/>
        <v>4</v>
      </c>
      <c r="Q353" s="290" t="str">
        <f t="shared" si="21"/>
        <v/>
      </c>
    </row>
    <row r="354" spans="1:17" x14ac:dyDescent="0.25">
      <c r="A354" s="121">
        <v>351</v>
      </c>
      <c r="B354" s="121" t="str">
        <f>IFERROR(INDEX('Miljövrärden urval för publ'!$A$2:$AA$419,MATCH('Miljövärden för publ företag'!$A354,'Miljövrärden urval för publ'!$R$2:$R$416,0),1),"")</f>
        <v>Öresundskraft AB</v>
      </c>
      <c r="C354" s="121" t="str">
        <f>IFERROR(INDEX('Miljövrärden urval för publ'!$A$2:$AA$419,MATCH('Miljövärden för publ företag'!$A354,'Miljövrärden urval för publ'!$R$2:$R$416,0),2),"")</f>
        <v>Ängelholm</v>
      </c>
      <c r="D354" s="121">
        <f>IFERROR(VLOOKUP($C354,'Miljövrärden urval för publ'!$B$2:$H$416,MATCH('Miljövärden för publ företag'!D$4,'Miljövrärden urval för publ'!$B$2:$H$2,0),FALSE),"")</f>
        <v>0.12859599999999999</v>
      </c>
      <c r="E354" s="121">
        <f>IFERROR(VLOOKUP($C354,'Miljövrärden urval för publ'!$B$2:$H$416,MATCH('Miljövärden för publ företag'!E$4,'Miljövrärden urval för publ'!$B$2:$H$2,0),FALSE),"")</f>
        <v>7.6274899999999999</v>
      </c>
      <c r="F354" s="121">
        <f>IFERROR(VLOOKUP($C354,'Miljövrärden urval för publ'!$B$2:$H$416,MATCH('Miljövärden för publ företag'!F$4,'Miljövrärden urval för publ'!$B$2:$H$2,0),FALSE),"")</f>
        <v>4.5093800000000002</v>
      </c>
      <c r="G354" s="121">
        <f>IFERROR(VLOOKUP($C354,'Miljövrärden urval för publ'!$B$2:$H$416,MATCH('Miljövärden för publ företag'!G$4,'Miljövrärden urval för publ'!$B$2:$H$2,0),FALSE),"")</f>
        <v>5.7358000000000001E-3</v>
      </c>
      <c r="J354" s="121">
        <f t="shared" si="22"/>
        <v>130</v>
      </c>
      <c r="M354" s="121">
        <v>350</v>
      </c>
      <c r="N354" s="121" t="str">
        <f t="shared" si="23"/>
        <v/>
      </c>
      <c r="P354" s="296">
        <f t="shared" si="24"/>
        <v>4</v>
      </c>
      <c r="Q354" s="290" t="str">
        <f t="shared" si="21"/>
        <v/>
      </c>
    </row>
    <row r="355" spans="1:17" x14ac:dyDescent="0.25">
      <c r="A355" s="121">
        <v>352</v>
      </c>
      <c r="B355" s="121" t="str">
        <f>IFERROR(INDEX('Miljövrärden urval för publ'!$A$2:$AA$419,MATCH('Miljövärden för publ företag'!$A355,'Miljövrärden urval för publ'!$R$2:$R$416,0),1),"")</f>
        <v>Örkelljunga Fjärrvärmeverk AB</v>
      </c>
      <c r="C355" s="121" t="str">
        <f>IFERROR(INDEX('Miljövrärden urval för publ'!$A$2:$AA$419,MATCH('Miljövärden för publ företag'!$A355,'Miljövrärden urval för publ'!$R$2:$R$416,0),2),"")</f>
        <v>Örkelljunga</v>
      </c>
      <c r="D355" s="121">
        <f>IFERROR(VLOOKUP($C355,'Miljövrärden urval för publ'!$B$2:$H$416,MATCH('Miljövärden för publ företag'!D$4,'Miljövrärden urval för publ'!$B$2:$H$2,0),FALSE),"")</f>
        <v>0.108171</v>
      </c>
      <c r="E355" s="121">
        <f>IFERROR(VLOOKUP($C355,'Miljövrärden urval för publ'!$B$2:$H$416,MATCH('Miljövärden för publ företag'!E$4,'Miljövrärden urval för publ'!$B$2:$H$2,0),FALSE),"")</f>
        <v>15.819699999999999</v>
      </c>
      <c r="F355" s="121">
        <f>IFERROR(VLOOKUP($C355,'Miljövrärden urval för publ'!$B$2:$H$416,MATCH('Miljövärden för publ företag'!F$4,'Miljövrärden urval för publ'!$B$2:$H$2,0),FALSE),"")</f>
        <v>8.7585700000000006</v>
      </c>
      <c r="G355" s="121">
        <f>IFERROR(VLOOKUP($C355,'Miljövrärden urval för publ'!$B$2:$H$416,MATCH('Miljövärden för publ företag'!G$4,'Miljövrärden urval för publ'!$B$2:$H$2,0),FALSE),"")</f>
        <v>1.16401E-2</v>
      </c>
      <c r="J355" s="121">
        <f t="shared" si="22"/>
        <v>131</v>
      </c>
      <c r="M355" s="121">
        <v>351</v>
      </c>
      <c r="N355" s="121" t="str">
        <f t="shared" si="23"/>
        <v/>
      </c>
      <c r="P355" s="296">
        <f t="shared" si="24"/>
        <v>4</v>
      </c>
      <c r="Q355" s="290" t="str">
        <f t="shared" si="21"/>
        <v/>
      </c>
    </row>
    <row r="356" spans="1:17" x14ac:dyDescent="0.25">
      <c r="A356" s="121">
        <v>353</v>
      </c>
      <c r="B356" s="121" t="str">
        <f>IFERROR(INDEX('Miljövrärden urval för publ'!$A$2:$AA$419,MATCH('Miljövärden för publ företag'!$A356,'Miljövrärden urval för publ'!$R$2:$R$416,0),1),"")</f>
        <v>Österlens Kraft AB</v>
      </c>
      <c r="C356" s="121" t="str">
        <f>IFERROR(INDEX('Miljövrärden urval för publ'!$A$2:$AA$419,MATCH('Miljövärden för publ företag'!$A356,'Miljövrärden urval för publ'!$R$2:$R$416,0),2),"")</f>
        <v>Simrishamn</v>
      </c>
      <c r="D356" s="121">
        <f>IFERROR(VLOOKUP($C356,'Miljövrärden urval för publ'!$B$2:$H$416,MATCH('Miljövärden för publ företag'!D$4,'Miljövrärden urval för publ'!$B$2:$H$2,0),FALSE),"")</f>
        <v>0.19856199999999999</v>
      </c>
      <c r="E356" s="121">
        <f>IFERROR(VLOOKUP($C356,'Miljövrärden urval för publ'!$B$2:$H$416,MATCH('Miljövärden för publ företag'!E$4,'Miljövrärden urval för publ'!$B$2:$H$2,0),FALSE),"")</f>
        <v>35.433</v>
      </c>
      <c r="F356" s="121">
        <f>IFERROR(VLOOKUP($C356,'Miljövrärden urval för publ'!$B$2:$H$416,MATCH('Miljövärden för publ företag'!F$4,'Miljövrärden urval för publ'!$B$2:$H$2,0),FALSE),"")</f>
        <v>9.2980999999999998</v>
      </c>
      <c r="G356" s="121">
        <f>IFERROR(VLOOKUP($C356,'Miljövrärden urval för publ'!$B$2:$H$416,MATCH('Miljövärden för publ företag'!G$4,'Miljövrärden urval för publ'!$B$2:$H$2,0),FALSE),"")</f>
        <v>6.6095899999999999E-2</v>
      </c>
      <c r="J356" s="121">
        <f t="shared" si="22"/>
        <v>132</v>
      </c>
      <c r="M356" s="121">
        <v>352</v>
      </c>
      <c r="N356" s="121" t="str">
        <f t="shared" si="23"/>
        <v/>
      </c>
      <c r="P356" s="296">
        <f t="shared" si="24"/>
        <v>4</v>
      </c>
      <c r="Q356" s="290" t="str">
        <f t="shared" si="21"/>
        <v/>
      </c>
    </row>
    <row r="357" spans="1:17" x14ac:dyDescent="0.25">
      <c r="A357" s="121">
        <v>354</v>
      </c>
      <c r="B357" s="121" t="str">
        <f>IFERROR(INDEX('Miljövrärden urval för publ'!$A$2:$AA$419,MATCH('Miljövärden för publ företag'!$A357,'Miljövrärden urval för publ'!$R$2:$R$416,0),1),"")</f>
        <v>Övik Energi AB</v>
      </c>
      <c r="C357" s="121" t="str">
        <f>IFERROR(INDEX('Miljövrärden urval för publ'!$A$2:$AA$419,MATCH('Miljövärden för publ företag'!$A357,'Miljövrärden urval för publ'!$R$2:$R$416,0),2),"")</f>
        <v>Bjästa</v>
      </c>
      <c r="D357" s="121">
        <f>IFERROR(VLOOKUP($C357,'Miljövrärden urval för publ'!$B$2:$H$416,MATCH('Miljövärden för publ företag'!D$4,'Miljövrärden urval för publ'!$B$2:$H$2,0),FALSE),"")</f>
        <v>6.9480200000000006E-2</v>
      </c>
      <c r="E357" s="121">
        <f>IFERROR(VLOOKUP($C357,'Miljövrärden urval för publ'!$B$2:$H$416,MATCH('Miljövärden för publ företag'!E$4,'Miljövrärden urval för publ'!$B$2:$H$2,0),FALSE),"")</f>
        <v>12.1212</v>
      </c>
      <c r="F357" s="121">
        <f>IFERROR(VLOOKUP($C357,'Miljövrärden urval för publ'!$B$2:$H$416,MATCH('Miljövärden för publ företag'!F$4,'Miljövrärden urval för publ'!$B$2:$H$2,0),FALSE),"")</f>
        <v>8.7025000000000006</v>
      </c>
      <c r="G357" s="121">
        <f>IFERROR(VLOOKUP($C357,'Miljövrärden urval för publ'!$B$2:$H$416,MATCH('Miljövärden för publ företag'!G$4,'Miljövrärden urval för publ'!$B$2:$H$2,0),FALSE),"")</f>
        <v>6.5976999999999997E-3</v>
      </c>
      <c r="J357" s="121">
        <f t="shared" si="22"/>
        <v>133</v>
      </c>
      <c r="M357" s="121">
        <v>353</v>
      </c>
      <c r="N357" s="121" t="str">
        <f t="shared" si="23"/>
        <v/>
      </c>
      <c r="P357" s="296">
        <f t="shared" si="24"/>
        <v>4</v>
      </c>
      <c r="Q357" s="290" t="str">
        <f t="shared" si="21"/>
        <v/>
      </c>
    </row>
    <row r="358" spans="1:17" x14ac:dyDescent="0.25">
      <c r="A358" s="121">
        <v>355</v>
      </c>
      <c r="B358" s="121" t="str">
        <f>IFERROR(INDEX('Miljövrärden urval för publ'!$A$2:$AA$419,MATCH('Miljövärden för publ företag'!$A358,'Miljövrärden urval för publ'!$R$2:$R$416,0),1),"")</f>
        <v>Övik Energi AB</v>
      </c>
      <c r="C358" s="121" t="str">
        <f>IFERROR(INDEX('Miljövrärden urval för publ'!$A$2:$AA$419,MATCH('Miljövärden för publ företag'!$A358,'Miljövrärden urval för publ'!$R$2:$R$416,0),2),"")</f>
        <v>Bredbyn</v>
      </c>
      <c r="D358" s="121">
        <f>IFERROR(VLOOKUP($C358,'Miljövrärden urval för publ'!$B$2:$H$416,MATCH('Miljövärden för publ företag'!D$4,'Miljövrärden urval för publ'!$B$2:$H$2,0),FALSE),"")</f>
        <v>8.5142300000000004E-2</v>
      </c>
      <c r="E358" s="121">
        <f>IFERROR(VLOOKUP($C358,'Miljövrärden urval för publ'!$B$2:$H$416,MATCH('Miljövärden för publ företag'!E$4,'Miljövrärden urval för publ'!$B$2:$H$2,0),FALSE),"")</f>
        <v>20.4114</v>
      </c>
      <c r="F358" s="121">
        <f>IFERROR(VLOOKUP($C358,'Miljövrärden urval för publ'!$B$2:$H$416,MATCH('Miljövärden för publ företag'!F$4,'Miljövrärden urval för publ'!$B$2:$H$2,0),FALSE),"")</f>
        <v>7.0584100000000003</v>
      </c>
      <c r="G358" s="121">
        <f>IFERROR(VLOOKUP($C358,'Miljövrärden urval för publ'!$B$2:$H$416,MATCH('Miljövärden för publ företag'!G$4,'Miljövrärden urval för publ'!$B$2:$H$2,0),FALSE),"")</f>
        <v>6.1369800000000002E-3</v>
      </c>
      <c r="J358" s="121">
        <f t="shared" si="22"/>
        <v>133</v>
      </c>
      <c r="M358" s="121">
        <v>354</v>
      </c>
      <c r="N358" s="121" t="str">
        <f t="shared" si="23"/>
        <v/>
      </c>
      <c r="P358" s="296">
        <f t="shared" si="24"/>
        <v>4</v>
      </c>
      <c r="Q358" s="290" t="str">
        <f t="shared" si="21"/>
        <v/>
      </c>
    </row>
    <row r="359" spans="1:17" x14ac:dyDescent="0.25">
      <c r="A359" s="121">
        <v>356</v>
      </c>
      <c r="B359" s="121" t="str">
        <f>IFERROR(INDEX('Miljövrärden urval för publ'!$A$2:$AA$419,MATCH('Miljövärden för publ företag'!$A359,'Miljövrärden urval för publ'!$R$2:$R$416,0),1),"")</f>
        <v>Övik Energi AB</v>
      </c>
      <c r="C359" s="121" t="str">
        <f>IFERROR(INDEX('Miljövrärden urval för publ'!$A$2:$AA$419,MATCH('Miljövärden för publ företag'!$A359,'Miljövrärden urval för publ'!$R$2:$R$416,0),2),"")</f>
        <v>Husum</v>
      </c>
      <c r="D359" s="121">
        <f>IFERROR(VLOOKUP($C359,'Miljövrärden urval för publ'!$B$2:$H$416,MATCH('Miljövärden för publ företag'!D$4,'Miljövrärden urval för publ'!$B$2:$H$2,0),FALSE),"")</f>
        <v>0.145842</v>
      </c>
      <c r="E359" s="121">
        <f>IFERROR(VLOOKUP($C359,'Miljövrärden urval för publ'!$B$2:$H$416,MATCH('Miljövärden för publ företag'!E$4,'Miljövrärden urval för publ'!$B$2:$H$2,0),FALSE),"")</f>
        <v>27.334800000000001</v>
      </c>
      <c r="F359" s="121">
        <f>IFERROR(VLOOKUP($C359,'Miljövrärden urval för publ'!$B$2:$H$416,MATCH('Miljövärden för publ företag'!F$4,'Miljövrärden urval för publ'!$B$2:$H$2,0),FALSE),"")</f>
        <v>3.6828699999999999</v>
      </c>
      <c r="G359" s="121">
        <f>IFERROR(VLOOKUP($C359,'Miljövrärden urval för publ'!$B$2:$H$416,MATCH('Miljövärden för publ företag'!G$4,'Miljövrärden urval för publ'!$B$2:$H$2,0),FALSE),"")</f>
        <v>5.4501800000000003E-2</v>
      </c>
      <c r="J359" s="121">
        <f t="shared" si="22"/>
        <v>133</v>
      </c>
      <c r="M359" s="121">
        <v>355</v>
      </c>
      <c r="N359" s="121" t="str">
        <f t="shared" si="23"/>
        <v/>
      </c>
      <c r="P359" s="296">
        <f t="shared" si="24"/>
        <v>4</v>
      </c>
      <c r="Q359" s="290" t="str">
        <f t="shared" si="21"/>
        <v/>
      </c>
    </row>
    <row r="360" spans="1:17" x14ac:dyDescent="0.25">
      <c r="A360" s="121">
        <v>357</v>
      </c>
      <c r="B360" s="121" t="str">
        <f>IFERROR(INDEX('Miljövrärden urval för publ'!$A$2:$AA$419,MATCH('Miljövärden för publ företag'!$A360,'Miljövrärden urval för publ'!$R$2:$R$416,0),1),"")</f>
        <v>Övik Energi AB</v>
      </c>
      <c r="C360" s="121" t="str">
        <f>IFERROR(INDEX('Miljövrärden urval för publ'!$A$2:$AA$419,MATCH('Miljövärden för publ företag'!$A360,'Miljövrärden urval för publ'!$R$2:$R$416,0),2),"")</f>
        <v>Moliden</v>
      </c>
      <c r="D360" s="121">
        <f>IFERROR(VLOOKUP($C360,'Miljövrärden urval för publ'!$B$2:$H$416,MATCH('Miljövärden för publ företag'!D$4,'Miljövrärden urval för publ'!$B$2:$H$2,0),FALSE),"")</f>
        <v>0.16503100000000001</v>
      </c>
      <c r="E360" s="121">
        <f>IFERROR(VLOOKUP($C360,'Miljövrärden urval för publ'!$B$2:$H$416,MATCH('Miljövärden för publ företag'!E$4,'Miljövrärden urval för publ'!$B$2:$H$2,0),FALSE),"")</f>
        <v>10.605399999999999</v>
      </c>
      <c r="F360" s="121">
        <f>IFERROR(VLOOKUP($C360,'Miljövrärden urval för publ'!$B$2:$H$416,MATCH('Miljövärden för publ företag'!F$4,'Miljövrärden urval för publ'!$B$2:$H$2,0),FALSE),"")</f>
        <v>18.812899999999999</v>
      </c>
      <c r="G360" s="121">
        <f>IFERROR(VLOOKUP($C360,'Miljövrärden urval för publ'!$B$2:$H$416,MATCH('Miljövärden för publ företag'!G$4,'Miljövrärden urval för publ'!$B$2:$H$2,0),FALSE),"")</f>
        <v>8.1368099999999995E-3</v>
      </c>
      <c r="J360" s="121">
        <f t="shared" si="22"/>
        <v>133</v>
      </c>
      <c r="M360" s="121">
        <v>356</v>
      </c>
      <c r="N360" s="121" t="str">
        <f t="shared" si="23"/>
        <v/>
      </c>
      <c r="P360" s="296">
        <f t="shared" si="24"/>
        <v>4</v>
      </c>
      <c r="Q360" s="290" t="str">
        <f t="shared" si="21"/>
        <v/>
      </c>
    </row>
    <row r="361" spans="1:17" x14ac:dyDescent="0.25">
      <c r="A361" s="121">
        <v>358</v>
      </c>
      <c r="B361" s="121" t="str">
        <f>IFERROR(INDEX('Miljövrärden urval för publ'!$A$2:$AA$419,MATCH('Miljövärden för publ företag'!$A361,'Miljövrärden urval för publ'!$R$2:$R$416,0),1),"")</f>
        <v>Övik Energi AB</v>
      </c>
      <c r="C361" s="121" t="str">
        <f>IFERROR(INDEX('Miljövrärden urval för publ'!$A$2:$AA$419,MATCH('Miljövärden för publ företag'!$A361,'Miljövrärden urval för publ'!$R$2:$R$416,0),2),"")</f>
        <v>Processånga</v>
      </c>
      <c r="D361" s="121">
        <f>IFERROR(VLOOKUP($C361,'Miljövrärden urval för publ'!$B$2:$H$416,MATCH('Miljövärden för publ företag'!D$4,'Miljövrärden urval för publ'!$B$2:$H$2,0),FALSE),"")</f>
        <v>0.23215</v>
      </c>
      <c r="E361" s="121">
        <f>IFERROR(VLOOKUP($C361,'Miljövrärden urval för publ'!$B$2:$H$416,MATCH('Miljövärden för publ företag'!E$4,'Miljövrärden urval för publ'!$B$2:$H$2,0),FALSE),"")</f>
        <v>74.611199999999997</v>
      </c>
      <c r="F361" s="121">
        <f>IFERROR(VLOOKUP($C361,'Miljövrärden urval för publ'!$B$2:$H$416,MATCH('Miljövärden för publ företag'!F$4,'Miljövrärden urval för publ'!$B$2:$H$2,0),FALSE),"")</f>
        <v>11.986499999999999</v>
      </c>
      <c r="G361" s="121">
        <f>IFERROR(VLOOKUP($C361,'Miljövrärden urval för publ'!$B$2:$H$416,MATCH('Miljövärden för publ företag'!G$4,'Miljövrärden urval för publ'!$B$2:$H$2,0),FALSE),"")</f>
        <v>5.3492100000000001E-2</v>
      </c>
      <c r="J361" s="121">
        <f t="shared" si="22"/>
        <v>133</v>
      </c>
      <c r="M361" s="121">
        <v>357</v>
      </c>
      <c r="N361" s="121" t="str">
        <f t="shared" si="23"/>
        <v/>
      </c>
      <c r="P361" s="296">
        <f t="shared" si="24"/>
        <v>4</v>
      </c>
      <c r="Q361" s="290" t="str">
        <f t="shared" si="21"/>
        <v/>
      </c>
    </row>
    <row r="362" spans="1:17" x14ac:dyDescent="0.25">
      <c r="A362" s="121">
        <v>359</v>
      </c>
      <c r="B362" s="121" t="str">
        <f>IFERROR(INDEX('Miljövrärden urval för publ'!$A$2:$AA$419,MATCH('Miljövärden för publ företag'!$A362,'Miljövrärden urval för publ'!$R$2:$R$416,0),1),"")</f>
        <v>Övik Energi AB</v>
      </c>
      <c r="C362" s="121" t="str">
        <f>IFERROR(INDEX('Miljövrärden urval för publ'!$A$2:$AA$419,MATCH('Miljövärden för publ företag'!$A362,'Miljövrärden urval för publ'!$R$2:$R$416,0),2),"")</f>
        <v>Örnsköldsvik</v>
      </c>
      <c r="D362" s="121">
        <f>IFERROR(VLOOKUP($C362,'Miljövrärden urval för publ'!$B$2:$H$416,MATCH('Miljövärden för publ företag'!D$4,'Miljövrärden urval för publ'!$B$2:$H$2,0),FALSE),"")</f>
        <v>0.123321</v>
      </c>
      <c r="E362" s="121">
        <f>IFERROR(VLOOKUP($C362,'Miljövrärden urval för publ'!$B$2:$H$416,MATCH('Miljövärden för publ företag'!E$4,'Miljövrärden urval för publ'!$B$2:$H$2,0),FALSE),"")</f>
        <v>41.865900000000003</v>
      </c>
      <c r="F362" s="121">
        <f>IFERROR(VLOOKUP($C362,'Miljövrärden urval för publ'!$B$2:$H$416,MATCH('Miljövärden för publ företag'!F$4,'Miljövrärden urval för publ'!$B$2:$H$2,0),FALSE),"")</f>
        <v>7.3380299999999998</v>
      </c>
      <c r="G362" s="121">
        <f>IFERROR(VLOOKUP($C362,'Miljövrärden urval för publ'!$B$2:$H$416,MATCH('Miljövärden för publ företag'!G$4,'Miljövrärden urval för publ'!$B$2:$H$2,0),FALSE),"")</f>
        <v>4.1938100000000001E-3</v>
      </c>
      <c r="J362" s="121">
        <f t="shared" si="22"/>
        <v>133</v>
      </c>
      <c r="M362" s="121">
        <v>357</v>
      </c>
      <c r="P362" s="296">
        <f t="shared" si="24"/>
        <v>4</v>
      </c>
      <c r="Q362" s="290" t="str">
        <f t="shared" si="21"/>
        <v/>
      </c>
    </row>
    <row r="363" spans="1:17" x14ac:dyDescent="0.25">
      <c r="B363" s="121" t="str">
        <f>IFERROR(INDEX('Miljövrärden urval för publ'!$A$2:$AA$419,MATCH('Miljövärden för publ företag'!$A363,'Miljövrärden urval för publ'!$R$2:$R$416,0),1),"")</f>
        <v/>
      </c>
      <c r="C363" s="121" t="str">
        <f>IFERROR(INDEX('Miljövrärden urval för publ'!$A$2:$AA$419,MATCH('Miljövärden för publ företag'!$A363,'Miljövrärden urval för publ'!$R$2:$R$416,0),2),"")</f>
        <v/>
      </c>
      <c r="D363" s="121" t="str">
        <f>IFERROR(VLOOKUP($C363,'Miljövrärden urval för publ'!$B$2:$H$416,MATCH('Miljövärden för publ företag'!D$4,'Miljövrärden urval för publ'!$B$2:$H$2,0),FALSE),"")</f>
        <v/>
      </c>
      <c r="E363" s="121" t="str">
        <f>IFERROR(VLOOKUP($C363,'Miljövrärden urval för publ'!$B$2:$H$416,MATCH('Miljövärden för publ företag'!E$4,'Miljövrärden urval för publ'!$B$2:$H$2,0),FALSE),"")</f>
        <v/>
      </c>
      <c r="F363" s="121" t="str">
        <f>IFERROR(VLOOKUP($C363,'Miljövrärden urval för publ'!$B$2:$H$416,MATCH('Miljövärden för publ företag'!F$4,'Miljövrärden urval för publ'!$B$2:$H$2,0),FALSE),"")</f>
        <v/>
      </c>
      <c r="G363" s="121" t="str">
        <f>IFERROR(VLOOKUP($C363,'Miljövrärden urval för publ'!$B$2:$H$416,MATCH('Miljövärden för publ företag'!G$4,'Miljövrärden urval för publ'!$B$2:$H$2,0),FALSE),"")</f>
        <v/>
      </c>
    </row>
    <row r="364" spans="1:17" x14ac:dyDescent="0.25">
      <c r="B364" s="121" t="str">
        <f>IFERROR(INDEX('Miljövrärden urval för publ'!$A$2:$AA$419,MATCH('Miljövärden för publ företag'!$A364,'Miljövrärden urval för publ'!$R$2:$R$416,0),1),"")</f>
        <v/>
      </c>
      <c r="C364" s="121" t="str">
        <f>IFERROR(INDEX('Miljövrärden urval för publ'!$A$2:$AA$419,MATCH('Miljövärden för publ företag'!$A364,'Miljövrärden urval för publ'!$R$2:$R$416,0),2),"")</f>
        <v/>
      </c>
      <c r="D364" s="121" t="str">
        <f>IFERROR(VLOOKUP($C364,'Miljövrärden urval för publ'!$B$2:$H$416,MATCH('Miljövärden för publ företag'!D$4,'Miljövrärden urval för publ'!$B$2:$H$2,0),FALSE),"")</f>
        <v/>
      </c>
      <c r="E364" s="121" t="str">
        <f>IFERROR(VLOOKUP($C364,'Miljövrärden urval för publ'!$B$2:$H$416,MATCH('Miljövärden för publ företag'!E$4,'Miljövrärden urval för publ'!$B$2:$H$2,0),FALSE),"")</f>
        <v/>
      </c>
      <c r="F364" s="121" t="str">
        <f>IFERROR(VLOOKUP($C364,'Miljövrärden urval för publ'!$B$2:$H$416,MATCH('Miljövärden för publ företag'!F$4,'Miljövrärden urval för publ'!$B$2:$H$2,0),FALSE),"")</f>
        <v/>
      </c>
      <c r="G364" s="121" t="str">
        <f>IFERROR(VLOOKUP($C364,'Miljövrärden urval för publ'!$B$2:$H$416,MATCH('Miljövärden för publ företag'!G$4,'Miljövrärden urval för publ'!$B$2:$H$2,0),FALSE),"")</f>
        <v/>
      </c>
    </row>
    <row r="365" spans="1:17" x14ac:dyDescent="0.25">
      <c r="B365" s="121" t="str">
        <f>IFERROR(INDEX('Miljövrärden urval för publ'!$A$2:$AA$419,MATCH('Miljövärden för publ företag'!$A365,'Miljövrärden urval för publ'!$R$2:$R$416,0),1),"")</f>
        <v/>
      </c>
      <c r="C365" s="121" t="str">
        <f>IFERROR(INDEX('Miljövrärden urval för publ'!$A$2:$AA$419,MATCH('Miljövärden för publ företag'!$A365,'Miljövrärden urval för publ'!$R$2:$R$416,0),2),"")</f>
        <v/>
      </c>
      <c r="D365" s="121" t="str">
        <f>IFERROR(VLOOKUP($C365,'Miljövrärden urval för publ'!$B$2:$H$416,MATCH('Miljövärden för publ företag'!D$4,'Miljövrärden urval för publ'!$B$2:$H$2,0),FALSE),"")</f>
        <v/>
      </c>
      <c r="E365" s="121" t="str">
        <f>IFERROR(VLOOKUP($C365,'Miljövrärden urval för publ'!$B$2:$H$416,MATCH('Miljövärden för publ företag'!E$4,'Miljövrärden urval för publ'!$B$2:$H$2,0),FALSE),"")</f>
        <v/>
      </c>
      <c r="F365" s="121" t="str">
        <f>IFERROR(VLOOKUP($C365,'Miljövrärden urval för publ'!$B$2:$H$416,MATCH('Miljövärden för publ företag'!F$4,'Miljövrärden urval för publ'!$B$2:$H$2,0),FALSE),"")</f>
        <v/>
      </c>
      <c r="G365" s="121" t="str">
        <f>IFERROR(VLOOKUP($C365,'Miljövrärden urval för publ'!$B$2:$H$416,MATCH('Miljövärden för publ företag'!G$4,'Miljövrärden urval för publ'!$B$2:$H$2,0),FALSE),"")</f>
        <v/>
      </c>
    </row>
    <row r="366" spans="1:17" x14ac:dyDescent="0.25">
      <c r="B366" s="121" t="str">
        <f>IFERROR(INDEX('Miljövrärden urval för publ'!$A$2:$AA$419,MATCH('Miljövärden för publ företag'!$A366,'Miljövrärden urval för publ'!$R$2:$R$416,0),1),"")</f>
        <v/>
      </c>
      <c r="C366" s="121" t="str">
        <f>IFERROR(INDEX('Miljövrärden urval för publ'!$A$2:$AA$419,MATCH('Miljövärden för publ företag'!$A366,'Miljövrärden urval för publ'!$R$2:$R$416,0),2),"")</f>
        <v/>
      </c>
      <c r="D366" s="121" t="str">
        <f>IFERROR(VLOOKUP($C366,'Miljövrärden urval för publ'!$B$2:$H$416,MATCH('Miljövärden för publ företag'!D$4,'Miljövrärden urval för publ'!$B$2:$H$2,0),FALSE),"")</f>
        <v/>
      </c>
      <c r="E366" s="121" t="str">
        <f>IFERROR(VLOOKUP($C366,'Miljövrärden urval för publ'!$B$2:$H$416,MATCH('Miljövärden för publ företag'!E$4,'Miljövrärden urval för publ'!$B$2:$H$2,0),FALSE),"")</f>
        <v/>
      </c>
      <c r="F366" s="121" t="str">
        <f>IFERROR(VLOOKUP($C366,'Miljövrärden urval för publ'!$B$2:$H$416,MATCH('Miljövärden för publ företag'!F$4,'Miljövrärden urval för publ'!$B$2:$H$2,0),FALSE),"")</f>
        <v/>
      </c>
      <c r="G366" s="121" t="str">
        <f>IFERROR(VLOOKUP($C366,'Miljövrärden urval för publ'!$B$2:$H$416,MATCH('Miljövärden för publ företag'!G$4,'Miljövrärden urval för publ'!$B$2:$H$2,0),FALSE),"")</f>
        <v/>
      </c>
    </row>
    <row r="367" spans="1:17" x14ac:dyDescent="0.25">
      <c r="B367" s="121" t="str">
        <f>IFERROR(INDEX('Miljövrärden urval för publ'!$A$2:$AA$419,MATCH('Miljövärden för publ företag'!$A367,'Miljövrärden urval för publ'!$R$2:$R$416,0),1),"")</f>
        <v/>
      </c>
      <c r="C367" s="121" t="str">
        <f>IFERROR(INDEX('Miljövrärden urval för publ'!$A$2:$AA$419,MATCH('Miljövärden för publ företag'!$A367,'Miljövrärden urval för publ'!$R$2:$R$416,0),2),"")</f>
        <v/>
      </c>
      <c r="D367" s="121" t="str">
        <f>IFERROR(VLOOKUP($C367,'Miljövrärden urval för publ'!$B$2:$H$416,MATCH('Miljövärden för publ företag'!D$4,'Miljövrärden urval för publ'!$B$2:$H$2,0),FALSE),"")</f>
        <v/>
      </c>
      <c r="E367" s="121" t="str">
        <f>IFERROR(VLOOKUP($C367,'Miljövrärden urval för publ'!$B$2:$H$416,MATCH('Miljövärden för publ företag'!E$4,'Miljövrärden urval för publ'!$B$2:$H$2,0),FALSE),"")</f>
        <v/>
      </c>
      <c r="F367" s="121" t="str">
        <f>IFERROR(VLOOKUP($C367,'Miljövrärden urval för publ'!$B$2:$H$416,MATCH('Miljövärden för publ företag'!F$4,'Miljövrärden urval för publ'!$B$2:$H$2,0),FALSE),"")</f>
        <v/>
      </c>
      <c r="G367" s="121" t="str">
        <f>IFERROR(VLOOKUP($C367,'Miljövrärden urval för publ'!$B$2:$H$416,MATCH('Miljövärden för publ företag'!G$4,'Miljövrärden urval för publ'!$B$2:$H$2,0),FALSE),"")</f>
        <v/>
      </c>
    </row>
    <row r="368" spans="1:17" x14ac:dyDescent="0.25">
      <c r="B368" s="121" t="str">
        <f>IFERROR(INDEX('Miljövrärden urval för publ'!$A$2:$AA$419,MATCH('Miljövärden för publ företag'!$A368,'Miljövrärden urval för publ'!$R$2:$R$416,0),1),"")</f>
        <v/>
      </c>
      <c r="C368" s="121" t="str">
        <f>IFERROR(INDEX('Miljövrärden urval för publ'!$A$2:$AA$419,MATCH('Miljövärden för publ företag'!$A368,'Miljövrärden urval för publ'!$R$2:$R$416,0),2),"")</f>
        <v/>
      </c>
      <c r="D368" s="121" t="str">
        <f>IFERROR(VLOOKUP($C368,'Miljövrärden urval för publ'!$B$2:$H$416,MATCH('Miljövärden för publ företag'!D$4,'Miljövrärden urval för publ'!$B$2:$H$2,0),FALSE),"")</f>
        <v/>
      </c>
      <c r="E368" s="121" t="str">
        <f>IFERROR(VLOOKUP($C368,'Miljövrärden urval för publ'!$B$2:$H$416,MATCH('Miljövärden för publ företag'!E$4,'Miljövrärden urval för publ'!$B$2:$H$2,0),FALSE),"")</f>
        <v/>
      </c>
      <c r="F368" s="121" t="str">
        <f>IFERROR(VLOOKUP($C368,'Miljövrärden urval för publ'!$B$2:$H$416,MATCH('Miljövärden för publ företag'!F$4,'Miljövrärden urval för publ'!$B$2:$H$2,0),FALSE),"")</f>
        <v/>
      </c>
      <c r="G368" s="121" t="str">
        <f>IFERROR(VLOOKUP($C368,'Miljövrärden urval för publ'!$B$2:$H$416,MATCH('Miljövärden för publ företag'!G$4,'Miljövrärden urval för publ'!$B$2:$H$2,0),FALSE),"")</f>
        <v/>
      </c>
    </row>
    <row r="369" spans="2:7" x14ac:dyDescent="0.25">
      <c r="B369" s="121" t="str">
        <f>IFERROR(INDEX('Miljövrärden urval för publ'!$A$2:$AA$419,MATCH('Miljövärden för publ företag'!$A369,'Miljövrärden urval för publ'!$R$2:$R$416,0),1),"")</f>
        <v/>
      </c>
      <c r="C369" s="121" t="str">
        <f>IFERROR(INDEX('Miljövrärden urval för publ'!$A$2:$AA$419,MATCH('Miljövärden för publ företag'!$A369,'Miljövrärden urval för publ'!$R$2:$R$416,0),2),"")</f>
        <v/>
      </c>
      <c r="D369" s="121" t="str">
        <f>IFERROR(VLOOKUP($C369,'Miljövrärden urval för publ'!$B$2:$H$416,MATCH('Miljövärden för publ företag'!D$4,'Miljövrärden urval för publ'!$B$2:$H$2,0),FALSE),"")</f>
        <v/>
      </c>
      <c r="E369" s="121" t="str">
        <f>IFERROR(VLOOKUP($C369,'Miljövrärden urval för publ'!$B$2:$H$416,MATCH('Miljövärden för publ företag'!E$4,'Miljövrärden urval för publ'!$B$2:$H$2,0),FALSE),"")</f>
        <v/>
      </c>
      <c r="F369" s="121" t="str">
        <f>IFERROR(VLOOKUP($C369,'Miljövrärden urval för publ'!$B$2:$H$416,MATCH('Miljövärden för publ företag'!F$4,'Miljövrärden urval för publ'!$B$2:$H$2,0),FALSE),"")</f>
        <v/>
      </c>
      <c r="G369" s="121" t="str">
        <f>IFERROR(VLOOKUP($C369,'Miljövrärden urval för publ'!$B$2:$H$416,MATCH('Miljövärden för publ företag'!G$4,'Miljövrärden urval för publ'!$B$2:$H$2,0),FALSE),"")</f>
        <v/>
      </c>
    </row>
    <row r="370" spans="2:7" x14ac:dyDescent="0.25">
      <c r="B370" s="121" t="str">
        <f>IFERROR(INDEX('Miljövrärden urval för publ'!$A$2:$AA$419,MATCH('Miljövärden för publ företag'!$A370,'Miljövrärden urval för publ'!$R$2:$R$416,0),1),"")</f>
        <v/>
      </c>
      <c r="C370" s="121" t="str">
        <f>IFERROR(INDEX('Miljövrärden urval för publ'!$A$2:$AA$419,MATCH('Miljövärden för publ företag'!$A370,'Miljövrärden urval för publ'!$R$2:$R$416,0),2),"")</f>
        <v/>
      </c>
      <c r="D370" s="121" t="str">
        <f>IFERROR(VLOOKUP($C370,'Miljövrärden urval för publ'!$B$2:$H$416,MATCH('Miljövärden för publ företag'!D$4,'Miljövrärden urval för publ'!$B$2:$H$2,0),FALSE),"")</f>
        <v/>
      </c>
      <c r="E370" s="121" t="str">
        <f>IFERROR(VLOOKUP($C370,'Miljövrärden urval för publ'!$B$2:$H$416,MATCH('Miljövärden för publ företag'!E$4,'Miljövrärden urval för publ'!$B$2:$H$2,0),FALSE),"")</f>
        <v/>
      </c>
      <c r="F370" s="121" t="str">
        <f>IFERROR(VLOOKUP($C370,'Miljövrärden urval för publ'!$B$2:$H$416,MATCH('Miljövärden för publ företag'!F$4,'Miljövrärden urval för publ'!$B$2:$H$2,0),FALSE),"")</f>
        <v/>
      </c>
      <c r="G370" s="121" t="str">
        <f>IFERROR(VLOOKUP($C370,'Miljövrärden urval för publ'!$B$2:$H$416,MATCH('Miljövärden för publ företag'!G$4,'Miljövrärden urval för publ'!$B$2:$H$2,0),FALSE),"")</f>
        <v/>
      </c>
    </row>
    <row r="371" spans="2:7" x14ac:dyDescent="0.25">
      <c r="B371" s="121" t="str">
        <f>IFERROR(INDEX('Miljövrärden urval för publ'!$A$2:$AA$419,MATCH('Miljövärden för publ företag'!$A371,'Miljövrärden urval för publ'!$R$2:$R$416,0),1),"")</f>
        <v/>
      </c>
      <c r="C371" s="121" t="str">
        <f>IFERROR(INDEX('Miljövrärden urval för publ'!$A$2:$AA$419,MATCH('Miljövärden för publ företag'!$A371,'Miljövrärden urval för publ'!$R$2:$R$416,0),2),"")</f>
        <v/>
      </c>
      <c r="D371" s="121" t="str">
        <f>IFERROR(VLOOKUP($C371,'Miljövrärden urval för publ'!$B$2:$H$416,MATCH('Miljövärden för publ företag'!D$4,'Miljövrärden urval för publ'!$B$2:$H$2,0),FALSE),"")</f>
        <v/>
      </c>
      <c r="E371" s="121" t="str">
        <f>IFERROR(VLOOKUP($C371,'Miljövrärden urval för publ'!$B$2:$H$416,MATCH('Miljövärden för publ företag'!E$4,'Miljövrärden urval för publ'!$B$2:$H$2,0),FALSE),"")</f>
        <v/>
      </c>
      <c r="F371" s="121" t="str">
        <f>IFERROR(VLOOKUP($C371,'Miljövrärden urval för publ'!$B$2:$H$416,MATCH('Miljövärden för publ företag'!F$4,'Miljövrärden urval för publ'!$B$2:$H$2,0),FALSE),"")</f>
        <v/>
      </c>
      <c r="G371" s="121" t="str">
        <f>IFERROR(VLOOKUP($C371,'Miljövrärden urval för publ'!$B$2:$H$416,MATCH('Miljövärden för publ företag'!G$4,'Miljövrärden urval för publ'!$B$2:$H$2,0),FALSE),"")</f>
        <v/>
      </c>
    </row>
    <row r="372" spans="2:7" x14ac:dyDescent="0.25">
      <c r="B372" s="121" t="str">
        <f>IFERROR(INDEX('Miljövrärden urval för publ'!$A$2:$AA$419,MATCH('Miljövärden för publ företag'!$A372,'Miljövrärden urval för publ'!$R$2:$R$416,0),1),"")</f>
        <v/>
      </c>
      <c r="C372" s="121" t="str">
        <f>IFERROR(INDEX('Miljövrärden urval för publ'!$A$2:$AA$419,MATCH('Miljövärden för publ företag'!$A372,'Miljövrärden urval för publ'!$R$2:$R$416,0),2),"")</f>
        <v/>
      </c>
      <c r="D372" s="121" t="str">
        <f>IFERROR(VLOOKUP($C372,'Miljövrärden urval för publ'!$B$2:$H$416,MATCH('Miljövärden för publ företag'!D$4,'Miljövrärden urval för publ'!$B$2:$H$2,0),FALSE),"")</f>
        <v/>
      </c>
      <c r="E372" s="121" t="str">
        <f>IFERROR(VLOOKUP($C372,'Miljövrärden urval för publ'!$B$2:$H$416,MATCH('Miljövärden för publ företag'!E$4,'Miljövrärden urval för publ'!$B$2:$H$2,0),FALSE),"")</f>
        <v/>
      </c>
      <c r="F372" s="121" t="str">
        <f>IFERROR(VLOOKUP($C372,'Miljövrärden urval för publ'!$B$2:$H$416,MATCH('Miljövärden för publ företag'!F$4,'Miljövrärden urval för publ'!$B$2:$H$2,0),FALSE),"")</f>
        <v/>
      </c>
      <c r="G372" s="121" t="str">
        <f>IFERROR(VLOOKUP($C372,'Miljövrärden urval för publ'!$B$2:$H$416,MATCH('Miljövärden för publ företag'!G$4,'Miljövrärden urval för publ'!$B$2:$H$2,0),FALSE),"")</f>
        <v/>
      </c>
    </row>
    <row r="373" spans="2:7" x14ac:dyDescent="0.25">
      <c r="B373" s="121" t="str">
        <f>IFERROR(INDEX('Miljövrärden urval för publ'!$A$2:$AA$419,MATCH('Miljövärden för publ företag'!$A373,'Miljövrärden urval för publ'!$R$2:$R$416,0),1),"")</f>
        <v/>
      </c>
      <c r="C373" s="121" t="str">
        <f>IFERROR(INDEX('Miljövrärden urval för publ'!$A$2:$AA$419,MATCH('Miljövärden för publ företag'!$A373,'Miljövrärden urval för publ'!$R$2:$R$416,0),2),"")</f>
        <v/>
      </c>
      <c r="D373" s="121" t="str">
        <f>IFERROR(VLOOKUP($C373,'Miljövrärden urval för publ'!$B$2:$H$416,MATCH('Miljövärden för publ företag'!D$4,'Miljövrärden urval för publ'!$B$2:$H$2,0),FALSE),"")</f>
        <v/>
      </c>
      <c r="E373" s="121" t="str">
        <f>IFERROR(VLOOKUP($C373,'Miljövrärden urval för publ'!$B$2:$H$416,MATCH('Miljövärden för publ företag'!E$4,'Miljövrärden urval för publ'!$B$2:$H$2,0),FALSE),"")</f>
        <v/>
      </c>
      <c r="F373" s="121" t="str">
        <f>IFERROR(VLOOKUP($C373,'Miljövrärden urval för publ'!$B$2:$H$416,MATCH('Miljövärden för publ företag'!F$4,'Miljövrärden urval för publ'!$B$2:$H$2,0),FALSE),"")</f>
        <v/>
      </c>
      <c r="G373" s="121" t="str">
        <f>IFERROR(VLOOKUP($C373,'Miljövrärden urval för publ'!$B$2:$H$416,MATCH('Miljövärden för publ företag'!G$4,'Miljövrärden urval för publ'!$B$2:$H$2,0),FALSE),"")</f>
        <v/>
      </c>
    </row>
    <row r="374" spans="2:7" x14ac:dyDescent="0.25">
      <c r="B374" s="121" t="str">
        <f>IFERROR(INDEX('Miljövrärden urval för publ'!$A$2:$AA$419,MATCH('Miljövärden för publ företag'!$A374,'Miljövrärden urval för publ'!$R$2:$R$416,0),1),"")</f>
        <v/>
      </c>
      <c r="C374" s="121" t="str">
        <f>IFERROR(INDEX('Miljövrärden urval för publ'!$A$2:$AA$419,MATCH('Miljövärden för publ företag'!$A374,'Miljövrärden urval för publ'!$R$2:$R$416,0),2),"")</f>
        <v/>
      </c>
      <c r="D374" s="121" t="str">
        <f>IFERROR(VLOOKUP($C374,'Miljövrärden urval för publ'!$B$2:$H$416,MATCH('Miljövärden för publ företag'!D$4,'Miljövrärden urval för publ'!$B$2:$H$2,0),FALSE),"")</f>
        <v/>
      </c>
      <c r="E374" s="121" t="str">
        <f>IFERROR(VLOOKUP($C374,'Miljövrärden urval för publ'!$B$2:$H$416,MATCH('Miljövärden för publ företag'!E$4,'Miljövrärden urval för publ'!$B$2:$H$2,0),FALSE),"")</f>
        <v/>
      </c>
      <c r="F374" s="121" t="str">
        <f>IFERROR(VLOOKUP($C374,'Miljövrärden urval för publ'!$B$2:$H$416,MATCH('Miljövärden för publ företag'!F$4,'Miljövrärden urval för publ'!$B$2:$H$2,0),FALSE),"")</f>
        <v/>
      </c>
      <c r="G374" s="121" t="str">
        <f>IFERROR(VLOOKUP($C374,'Miljövrärden urval för publ'!$B$2:$H$416,MATCH('Miljövärden för publ företag'!G$4,'Miljövrärden urval för publ'!$B$2:$H$2,0),FALSE),"")</f>
        <v/>
      </c>
    </row>
    <row r="375" spans="2:7" x14ac:dyDescent="0.25">
      <c r="B375" s="121" t="str">
        <f>IFERROR(INDEX('Miljövrärden urval för publ'!$A$2:$AA$419,MATCH('Miljövärden för publ företag'!$A375,'Miljövrärden urval för publ'!$R$2:$R$416,0),1),"")</f>
        <v/>
      </c>
      <c r="C375" s="121" t="str">
        <f>IFERROR(INDEX('Miljövrärden urval för publ'!$A$2:$AA$419,MATCH('Miljövärden för publ företag'!$A375,'Miljövrärden urval för publ'!$R$2:$R$416,0),2),"")</f>
        <v/>
      </c>
      <c r="D375" s="121" t="str">
        <f>IFERROR(VLOOKUP($C375,'Miljövrärden urval för publ'!$B$2:$H$416,MATCH('Miljövärden för publ företag'!D$4,'Miljövrärden urval för publ'!$B$2:$H$2,0),FALSE),"")</f>
        <v/>
      </c>
      <c r="E375" s="121" t="str">
        <f>IFERROR(VLOOKUP($C375,'Miljövrärden urval för publ'!$B$2:$H$416,MATCH('Miljövärden för publ företag'!E$4,'Miljövrärden urval för publ'!$B$2:$H$2,0),FALSE),"")</f>
        <v/>
      </c>
      <c r="F375" s="121" t="str">
        <f>IFERROR(VLOOKUP($C375,'Miljövrärden urval för publ'!$B$2:$H$416,MATCH('Miljövärden för publ företag'!F$4,'Miljövrärden urval för publ'!$B$2:$H$2,0),FALSE),"")</f>
        <v/>
      </c>
      <c r="G375" s="121" t="str">
        <f>IFERROR(VLOOKUP($C375,'Miljövrärden urval för publ'!$B$2:$H$416,MATCH('Miljövärden för publ företag'!G$4,'Miljövrärden urval för publ'!$B$2:$H$2,0),FALSE),"")</f>
        <v/>
      </c>
    </row>
    <row r="376" spans="2:7" x14ac:dyDescent="0.25">
      <c r="B376" s="121" t="str">
        <f>IFERROR(INDEX('Miljövrärden urval för publ'!$A$2:$AA$419,MATCH('Miljövärden för publ företag'!$A376,'Miljövrärden urval för publ'!$R$2:$R$416,0),1),"")</f>
        <v/>
      </c>
      <c r="C376" s="121" t="str">
        <f>IFERROR(INDEX('Miljövrärden urval för publ'!$A$2:$AA$419,MATCH('Miljövärden för publ företag'!$A376,'Miljövrärden urval för publ'!$R$2:$R$416,0),2),"")</f>
        <v/>
      </c>
      <c r="D376" s="121" t="str">
        <f>IFERROR(VLOOKUP($C376,'Miljövrärden urval för publ'!$B$2:$H$416,MATCH('Miljövärden för publ företag'!D$4,'Miljövrärden urval för publ'!$B$2:$H$2,0),FALSE),"")</f>
        <v/>
      </c>
      <c r="E376" s="121" t="str">
        <f>IFERROR(VLOOKUP($C376,'Miljövrärden urval för publ'!$B$2:$H$416,MATCH('Miljövärden för publ företag'!E$4,'Miljövrärden urval för publ'!$B$2:$H$2,0),FALSE),"")</f>
        <v/>
      </c>
      <c r="F376" s="121" t="str">
        <f>IFERROR(VLOOKUP($C376,'Miljövrärden urval för publ'!$B$2:$H$416,MATCH('Miljövärden för publ företag'!F$4,'Miljövrärden urval för publ'!$B$2:$H$2,0),FALSE),"")</f>
        <v/>
      </c>
      <c r="G376" s="121" t="str">
        <f>IFERROR(VLOOKUP($C376,'Miljövrärden urval för publ'!$B$2:$H$416,MATCH('Miljövärden för publ företag'!G$4,'Miljövrärden urval för publ'!$B$2:$H$2,0),FALSE),"")</f>
        <v/>
      </c>
    </row>
    <row r="377" spans="2:7" x14ac:dyDescent="0.25">
      <c r="B377" s="121" t="str">
        <f>IFERROR(INDEX('Miljövrärden urval för publ'!$A$2:$AA$419,MATCH('Miljövärden för publ företag'!$A377,'Miljövrärden urval för publ'!$R$2:$R$416,0),1),"")</f>
        <v/>
      </c>
      <c r="C377" s="121" t="str">
        <f>IFERROR(INDEX('Miljövrärden urval för publ'!$A$2:$AA$419,MATCH('Miljövärden för publ företag'!$A377,'Miljövrärden urval för publ'!$R$2:$R$416,0),2),"")</f>
        <v/>
      </c>
      <c r="D377" s="121" t="str">
        <f>IFERROR(VLOOKUP($C377,'Miljövrärden urval för publ'!$B$2:$H$416,MATCH('Miljövärden för publ företag'!D$4,'Miljövrärden urval för publ'!$B$2:$H$2,0),FALSE),"")</f>
        <v/>
      </c>
      <c r="E377" s="121" t="str">
        <f>IFERROR(VLOOKUP($C377,'Miljövrärden urval för publ'!$B$2:$H$416,MATCH('Miljövärden för publ företag'!E$4,'Miljövrärden urval för publ'!$B$2:$H$2,0),FALSE),"")</f>
        <v/>
      </c>
      <c r="F377" s="121" t="str">
        <f>IFERROR(VLOOKUP($C377,'Miljövrärden urval för publ'!$B$2:$H$416,MATCH('Miljövärden för publ företag'!F$4,'Miljövrärden urval för publ'!$B$2:$H$2,0),FALSE),"")</f>
        <v/>
      </c>
      <c r="G377" s="121" t="str">
        <f>IFERROR(VLOOKUP($C377,'Miljövrärden urval för publ'!$B$2:$H$416,MATCH('Miljövärden för publ företag'!G$4,'Miljövrärden urval för publ'!$B$2:$H$2,0),FALSE),"")</f>
        <v/>
      </c>
    </row>
    <row r="378" spans="2:7" x14ac:dyDescent="0.25">
      <c r="B378" s="121" t="str">
        <f>IFERROR(INDEX('Miljövrärden urval för publ'!$A$2:$AA$419,MATCH('Miljövärden för publ företag'!$A378,'Miljövrärden urval för publ'!$R$2:$R$416,0),1),"")</f>
        <v/>
      </c>
      <c r="C378" s="121" t="str">
        <f>IFERROR(INDEX('Miljövrärden urval för publ'!$A$2:$AA$419,MATCH('Miljövärden för publ företag'!$A378,'Miljövrärden urval för publ'!$R$2:$R$416,0),2),"")</f>
        <v/>
      </c>
      <c r="D378" s="121" t="str">
        <f>IFERROR(VLOOKUP($C378,'Miljövrärden urval för publ'!$B$2:$H$416,MATCH('Miljövärden för publ företag'!D$4,'Miljövrärden urval för publ'!$B$2:$H$2,0),FALSE),"")</f>
        <v/>
      </c>
      <c r="E378" s="121" t="str">
        <f>IFERROR(VLOOKUP($C378,'Miljövrärden urval för publ'!$B$2:$H$416,MATCH('Miljövärden för publ företag'!E$4,'Miljövrärden urval för publ'!$B$2:$H$2,0),FALSE),"")</f>
        <v/>
      </c>
      <c r="F378" s="121" t="str">
        <f>IFERROR(VLOOKUP($C378,'Miljövrärden urval för publ'!$B$2:$H$416,MATCH('Miljövärden för publ företag'!F$4,'Miljövrärden urval för publ'!$B$2:$H$2,0),FALSE),"")</f>
        <v/>
      </c>
      <c r="G378" s="121" t="str">
        <f>IFERROR(VLOOKUP($C378,'Miljövrärden urval för publ'!$B$2:$H$416,MATCH('Miljövärden för publ företag'!G$4,'Miljövrärden urval för publ'!$B$2:$H$2,0),FALSE),"")</f>
        <v/>
      </c>
    </row>
    <row r="379" spans="2:7" x14ac:dyDescent="0.25">
      <c r="B379" s="121" t="str">
        <f>IFERROR(INDEX('Miljövrärden urval för publ'!$A$2:$AA$419,MATCH('Miljövärden för publ företag'!$A379,'Miljövrärden urval för publ'!$R$2:$R$416,0),1),"")</f>
        <v/>
      </c>
      <c r="C379" s="121" t="str">
        <f>IFERROR(INDEX('Miljövrärden urval för publ'!$A$2:$AA$419,MATCH('Miljövärden för publ företag'!$A379,'Miljövrärden urval för publ'!$R$2:$R$416,0),2),"")</f>
        <v/>
      </c>
      <c r="D379" s="121" t="str">
        <f>IFERROR(VLOOKUP($C379,'Miljövrärden urval för publ'!$B$2:$H$416,MATCH('Miljövärden för publ företag'!D$4,'Miljövrärden urval för publ'!$B$2:$H$2,0),FALSE),"")</f>
        <v/>
      </c>
      <c r="E379" s="121" t="str">
        <f>IFERROR(VLOOKUP($C379,'Miljövrärden urval för publ'!$B$2:$H$416,MATCH('Miljövärden för publ företag'!E$4,'Miljövrärden urval för publ'!$B$2:$H$2,0),FALSE),"")</f>
        <v/>
      </c>
      <c r="F379" s="121" t="str">
        <f>IFERROR(VLOOKUP($C379,'Miljövrärden urval för publ'!$B$2:$H$416,MATCH('Miljövärden för publ företag'!F$4,'Miljövrärden urval för publ'!$B$2:$H$2,0),FALSE),"")</f>
        <v/>
      </c>
      <c r="G379" s="121" t="str">
        <f>IFERROR(VLOOKUP($C379,'Miljövrärden urval för publ'!$B$2:$H$416,MATCH('Miljövärden för publ företag'!G$4,'Miljövrärden urval för publ'!$B$2:$H$2,0),FALSE),"")</f>
        <v/>
      </c>
    </row>
    <row r="380" spans="2:7" x14ac:dyDescent="0.25">
      <c r="B380" s="121" t="str">
        <f>IFERROR(INDEX('Miljövrärden urval för publ'!$A$2:$AA$419,MATCH('Miljövärden för publ företag'!$A380,'Miljövrärden urval för publ'!$R$2:$R$416,0),1),"")</f>
        <v/>
      </c>
      <c r="C380" s="121" t="str">
        <f>IFERROR(INDEX('Miljövrärden urval för publ'!$A$2:$AA$419,MATCH('Miljövärden för publ företag'!$A380,'Miljövrärden urval för publ'!$R$2:$R$416,0),2),"")</f>
        <v/>
      </c>
      <c r="D380" s="121" t="str">
        <f>IFERROR(VLOOKUP($C380,'Miljövrärden urval för publ'!$B$2:$H$416,MATCH('Miljövärden för publ företag'!D$4,'Miljövrärden urval för publ'!$B$2:$H$2,0),FALSE),"")</f>
        <v/>
      </c>
      <c r="E380" s="121" t="str">
        <f>IFERROR(VLOOKUP($C380,'Miljövrärden urval för publ'!$B$2:$H$416,MATCH('Miljövärden för publ företag'!E$4,'Miljövrärden urval för publ'!$B$2:$H$2,0),FALSE),"")</f>
        <v/>
      </c>
      <c r="F380" s="121" t="str">
        <f>IFERROR(VLOOKUP($C380,'Miljövrärden urval för publ'!$B$2:$H$416,MATCH('Miljövärden för publ företag'!F$4,'Miljövrärden urval för publ'!$B$2:$H$2,0),FALSE),"")</f>
        <v/>
      </c>
      <c r="G380" s="121" t="str">
        <f>IFERROR(VLOOKUP($C380,'Miljövrärden urval för publ'!$B$2:$H$416,MATCH('Miljövärden för publ företag'!G$4,'Miljövrärden urval för publ'!$B$2:$H$2,0),FALSE),"")</f>
        <v/>
      </c>
    </row>
    <row r="381" spans="2:7" x14ac:dyDescent="0.25">
      <c r="B381" s="121" t="str">
        <f>IFERROR(INDEX('Miljövrärden urval för publ'!$A$2:$AA$419,MATCH('Miljövärden för publ företag'!$A381,'Miljövrärden urval för publ'!$R$2:$R$416,0),1),"")</f>
        <v/>
      </c>
      <c r="C381" s="121" t="str">
        <f>IFERROR(INDEX('Miljövrärden urval för publ'!$A$2:$AA$419,MATCH('Miljövärden för publ företag'!$A381,'Miljövrärden urval för publ'!$R$2:$R$416,0),2),"")</f>
        <v/>
      </c>
      <c r="D381" s="121" t="str">
        <f>IFERROR(VLOOKUP($C381,'Miljövrärden urval för publ'!$B$2:$H$416,MATCH('Miljövärden för publ företag'!D$4,'Miljövrärden urval för publ'!$B$2:$H$2,0),FALSE),"")</f>
        <v/>
      </c>
      <c r="E381" s="121" t="str">
        <f>IFERROR(VLOOKUP($C381,'Miljövrärden urval för publ'!$B$2:$H$416,MATCH('Miljövärden för publ företag'!E$4,'Miljövrärden urval för publ'!$B$2:$H$2,0),FALSE),"")</f>
        <v/>
      </c>
      <c r="F381" s="121" t="str">
        <f>IFERROR(VLOOKUP($C381,'Miljövrärden urval för publ'!$B$2:$H$416,MATCH('Miljövärden för publ företag'!F$4,'Miljövrärden urval för publ'!$B$2:$H$2,0),FALSE),"")</f>
        <v/>
      </c>
      <c r="G381" s="121" t="str">
        <f>IFERROR(VLOOKUP($C381,'Miljövrärden urval för publ'!$B$2:$H$416,MATCH('Miljövärden för publ företag'!G$4,'Miljövrärden urval för publ'!$B$2:$H$2,0),FALSE),"")</f>
        <v/>
      </c>
    </row>
    <row r="382" spans="2:7" x14ac:dyDescent="0.25">
      <c r="B382" s="121" t="str">
        <f>IFERROR(INDEX('Miljövrärden urval för publ'!$A$2:$AA$419,MATCH('Miljövärden för publ företag'!$A382,'Miljövrärden urval för publ'!$R$2:$R$416,0),1),"")</f>
        <v/>
      </c>
      <c r="C382" s="121" t="str">
        <f>IFERROR(INDEX('Miljövrärden urval för publ'!$A$2:$AA$419,MATCH('Miljövärden för publ företag'!$A382,'Miljövrärden urval för publ'!$R$2:$R$416,0),2),"")</f>
        <v/>
      </c>
      <c r="D382" s="121" t="str">
        <f>IFERROR(VLOOKUP($C382,'Miljövrärden urval för publ'!$B$2:$H$416,MATCH('Miljövärden för publ företag'!D$4,'Miljövrärden urval för publ'!$B$2:$H$2,0),FALSE),"")</f>
        <v/>
      </c>
      <c r="E382" s="121" t="str">
        <f>IFERROR(VLOOKUP($C382,'Miljövrärden urval för publ'!$B$2:$H$416,MATCH('Miljövärden för publ företag'!E$4,'Miljövrärden urval för publ'!$B$2:$H$2,0),FALSE),"")</f>
        <v/>
      </c>
      <c r="F382" s="121" t="str">
        <f>IFERROR(VLOOKUP($C382,'Miljövrärden urval för publ'!$B$2:$H$416,MATCH('Miljövärden för publ företag'!F$4,'Miljövrärden urval för publ'!$B$2:$H$2,0),FALSE),"")</f>
        <v/>
      </c>
      <c r="G382" s="121" t="str">
        <f>IFERROR(VLOOKUP($C382,'Miljövrärden urval för publ'!$B$2:$H$416,MATCH('Miljövärden för publ företag'!G$4,'Miljövrärden urval för publ'!$B$2:$H$2,0),FALSE),"")</f>
        <v/>
      </c>
    </row>
    <row r="383" spans="2:7" x14ac:dyDescent="0.25">
      <c r="B383" s="121" t="str">
        <f>IFERROR(INDEX('Miljövrärden urval för publ'!$A$2:$AA$419,MATCH('Miljövärden för publ företag'!$A383,'Miljövrärden urval för publ'!$R$2:$R$416,0),1),"")</f>
        <v/>
      </c>
      <c r="C383" s="121" t="str">
        <f>IFERROR(INDEX('Miljövrärden urval för publ'!$A$2:$AA$419,MATCH('Miljövärden för publ företag'!$A383,'Miljövrärden urval för publ'!$R$2:$R$416,0),2),"")</f>
        <v/>
      </c>
      <c r="D383" s="121" t="str">
        <f>IFERROR(VLOOKUP($C383,'Miljövrärden urval för publ'!$B$2:$H$416,MATCH('Miljövärden för publ företag'!D$4,'Miljövrärden urval för publ'!$B$2:$H$2,0),FALSE),"")</f>
        <v/>
      </c>
      <c r="E383" s="121" t="str">
        <f>IFERROR(VLOOKUP($C383,'Miljövrärden urval för publ'!$B$2:$H$416,MATCH('Miljövärden för publ företag'!E$4,'Miljövrärden urval för publ'!$B$2:$H$2,0),FALSE),"")</f>
        <v/>
      </c>
      <c r="F383" s="121" t="str">
        <f>IFERROR(VLOOKUP($C383,'Miljövrärden urval för publ'!$B$2:$H$416,MATCH('Miljövärden för publ företag'!F$4,'Miljövrärden urval för publ'!$B$2:$H$2,0),FALSE),"")</f>
        <v/>
      </c>
      <c r="G383" s="121" t="str">
        <f>IFERROR(VLOOKUP($C383,'Miljövrärden urval för publ'!$B$2:$H$416,MATCH('Miljövärden för publ företag'!G$4,'Miljövrärden urval för publ'!$B$2:$H$2,0),FALSE),"")</f>
        <v/>
      </c>
    </row>
    <row r="384" spans="2:7" x14ac:dyDescent="0.25">
      <c r="B384" s="121" t="str">
        <f>IFERROR(INDEX('Miljövrärden urval för publ'!$A$2:$AA$419,MATCH('Miljövärden för publ företag'!$A384,'Miljövrärden urval för publ'!$R$2:$R$416,0),1),"")</f>
        <v/>
      </c>
      <c r="C384" s="121" t="str">
        <f>IFERROR(INDEX('Miljövrärden urval för publ'!$A$2:$AA$419,MATCH('Miljövärden för publ företag'!$A384,'Miljövrärden urval för publ'!$R$2:$R$416,0),2),"")</f>
        <v/>
      </c>
      <c r="D384" s="121" t="str">
        <f>IFERROR(VLOOKUP($C384,'Miljövrärden urval för publ'!$B$2:$H$416,MATCH('Miljövärden för publ företag'!D$4,'Miljövrärden urval för publ'!$B$2:$H$2,0),FALSE),"")</f>
        <v/>
      </c>
      <c r="E384" s="121" t="str">
        <f>IFERROR(VLOOKUP($C384,'Miljövrärden urval för publ'!$B$2:$H$416,MATCH('Miljövärden för publ företag'!E$4,'Miljövrärden urval för publ'!$B$2:$H$2,0),FALSE),"")</f>
        <v/>
      </c>
      <c r="F384" s="121" t="str">
        <f>IFERROR(VLOOKUP($C384,'Miljövrärden urval för publ'!$B$2:$H$416,MATCH('Miljövärden för publ företag'!F$4,'Miljövrärden urval för publ'!$B$2:$H$2,0),FALSE),"")</f>
        <v/>
      </c>
      <c r="G384" s="121" t="str">
        <f>IFERROR(VLOOKUP($C384,'Miljövrärden urval för publ'!$B$2:$H$416,MATCH('Miljövärden för publ företag'!G$4,'Miljövrärden urval för publ'!$B$2:$H$2,0),FALSE),"")</f>
        <v/>
      </c>
    </row>
    <row r="385" spans="2:7" x14ac:dyDescent="0.25">
      <c r="B385" s="121" t="str">
        <f>IFERROR(INDEX('Miljövrärden urval för publ'!$A$2:$AA$419,MATCH('Miljövärden för publ företag'!$A385,'Miljövrärden urval för publ'!$R$2:$R$416,0),1),"")</f>
        <v/>
      </c>
      <c r="C385" s="121" t="str">
        <f>IFERROR(INDEX('Miljövrärden urval för publ'!$A$2:$AA$419,MATCH('Miljövärden för publ företag'!$A385,'Miljövrärden urval för publ'!$R$2:$R$416,0),2),"")</f>
        <v/>
      </c>
      <c r="D385" s="121" t="str">
        <f>IFERROR(VLOOKUP($C385,'Miljövrärden urval för publ'!$B$2:$H$416,MATCH('Miljövärden för publ företag'!D$4,'Miljövrärden urval för publ'!$B$2:$H$2,0),FALSE),"")</f>
        <v/>
      </c>
      <c r="E385" s="121" t="str">
        <f>IFERROR(VLOOKUP($C385,'Miljövrärden urval för publ'!$B$2:$H$416,MATCH('Miljövärden för publ företag'!E$4,'Miljövrärden urval för publ'!$B$2:$H$2,0),FALSE),"")</f>
        <v/>
      </c>
      <c r="F385" s="121" t="str">
        <f>IFERROR(VLOOKUP($C385,'Miljövrärden urval för publ'!$B$2:$H$416,MATCH('Miljövärden för publ företag'!F$4,'Miljövrärden urval för publ'!$B$2:$H$2,0),FALSE),"")</f>
        <v/>
      </c>
      <c r="G385" s="121" t="str">
        <f>IFERROR(VLOOKUP($C385,'Miljövrärden urval för publ'!$B$2:$H$416,MATCH('Miljövärden för publ företag'!G$4,'Miljövrärden urval för publ'!$B$2:$H$2,0),FALSE),"")</f>
        <v/>
      </c>
    </row>
    <row r="386" spans="2:7" x14ac:dyDescent="0.25">
      <c r="B386" s="121" t="str">
        <f>IFERROR(INDEX('Miljövrärden urval för publ'!$A$2:$AA$419,MATCH('Miljövärden för publ företag'!$A386,'Miljövrärden urval för publ'!$R$2:$R$416,0),1),"")</f>
        <v/>
      </c>
      <c r="C386" s="121" t="str">
        <f>IFERROR(INDEX('Miljövrärden urval för publ'!$A$2:$AA$419,MATCH('Miljövärden för publ företag'!$A386,'Miljövrärden urval för publ'!$R$2:$R$416,0),2),"")</f>
        <v/>
      </c>
      <c r="D386" s="121" t="str">
        <f>IFERROR(VLOOKUP($C386,'Miljövrärden urval för publ'!$B$2:$H$416,MATCH('Miljövärden för publ företag'!D$4,'Miljövrärden urval för publ'!$B$2:$H$2,0),FALSE),"")</f>
        <v/>
      </c>
      <c r="E386" s="121" t="str">
        <f>IFERROR(VLOOKUP($C386,'Miljövrärden urval för publ'!$B$2:$H$416,MATCH('Miljövärden för publ företag'!E$4,'Miljövrärden urval för publ'!$B$2:$H$2,0),FALSE),"")</f>
        <v/>
      </c>
      <c r="F386" s="121" t="str">
        <f>IFERROR(VLOOKUP($C386,'Miljövrärden urval för publ'!$B$2:$H$416,MATCH('Miljövärden för publ företag'!F$4,'Miljövrärden urval för publ'!$B$2:$H$2,0),FALSE),"")</f>
        <v/>
      </c>
      <c r="G386" s="121" t="str">
        <f>IFERROR(VLOOKUP($C386,'Miljövrärden urval för publ'!$B$2:$H$416,MATCH('Miljövärden för publ företag'!G$4,'Miljövrärden urval för publ'!$B$2:$H$2,0),FALSE),"")</f>
        <v/>
      </c>
    </row>
    <row r="387" spans="2:7" x14ac:dyDescent="0.25">
      <c r="B387" s="121" t="str">
        <f>IFERROR(INDEX('Miljövrärden urval för publ'!$A$2:$AA$419,MATCH('Miljövärden för publ företag'!$A387,'Miljövrärden urval för publ'!$R$2:$R$416,0),1),"")</f>
        <v/>
      </c>
      <c r="C387" s="121" t="str">
        <f>IFERROR(INDEX('Miljövrärden urval för publ'!$A$2:$AA$419,MATCH('Miljövärden för publ företag'!$A387,'Miljövrärden urval för publ'!$R$2:$R$416,0),2),"")</f>
        <v/>
      </c>
      <c r="D387" s="121" t="str">
        <f>IFERROR(VLOOKUP($C387,'Miljövrärden urval för publ'!$B$2:$H$416,MATCH('Miljövärden för publ företag'!D$4,'Miljövrärden urval för publ'!$B$2:$H$2,0),FALSE),"")</f>
        <v/>
      </c>
      <c r="E387" s="121" t="str">
        <f>IFERROR(VLOOKUP($C387,'Miljövrärden urval för publ'!$B$2:$H$416,MATCH('Miljövärden för publ företag'!E$4,'Miljövrärden urval för publ'!$B$2:$H$2,0),FALSE),"")</f>
        <v/>
      </c>
      <c r="F387" s="121" t="str">
        <f>IFERROR(VLOOKUP($C387,'Miljövrärden urval för publ'!$B$2:$H$416,MATCH('Miljövärden för publ företag'!F$4,'Miljövrärden urval för publ'!$B$2:$H$2,0),FALSE),"")</f>
        <v/>
      </c>
      <c r="G387" s="121" t="str">
        <f>IFERROR(VLOOKUP($C387,'Miljövrärden urval för publ'!$B$2:$H$416,MATCH('Miljövärden för publ företag'!G$4,'Miljövrärden urval för publ'!$B$2:$H$2,0),FALSE),"")</f>
        <v/>
      </c>
    </row>
    <row r="388" spans="2:7" x14ac:dyDescent="0.25">
      <c r="B388" s="121" t="str">
        <f>IFERROR(INDEX('Miljövrärden urval för publ'!$A$2:$AA$419,MATCH('Miljövärden för publ företag'!$A388,'Miljövrärden urval för publ'!$R$2:$R$416,0),1),"")</f>
        <v/>
      </c>
      <c r="C388" s="121" t="str">
        <f>IFERROR(INDEX('Miljövrärden urval för publ'!$A$2:$AA$419,MATCH('Miljövärden för publ företag'!$A388,'Miljövrärden urval för publ'!$R$2:$R$416,0),2),"")</f>
        <v/>
      </c>
      <c r="D388" s="121" t="str">
        <f>IFERROR(VLOOKUP($C388,'Miljövrärden urval för publ'!$B$2:$H$416,MATCH('Miljövärden för publ företag'!D$4,'Miljövrärden urval för publ'!$B$2:$H$2,0),FALSE),"")</f>
        <v/>
      </c>
      <c r="E388" s="121" t="str">
        <f>IFERROR(VLOOKUP($C388,'Miljövrärden urval för publ'!$B$2:$H$416,MATCH('Miljövärden för publ företag'!E$4,'Miljövrärden urval för publ'!$B$2:$H$2,0),FALSE),"")</f>
        <v/>
      </c>
      <c r="F388" s="121" t="str">
        <f>IFERROR(VLOOKUP($C388,'Miljövrärden urval för publ'!$B$2:$H$416,MATCH('Miljövärden för publ företag'!F$4,'Miljövrärden urval för publ'!$B$2:$H$2,0),FALSE),"")</f>
        <v/>
      </c>
      <c r="G388" s="121" t="str">
        <f>IFERROR(VLOOKUP($C388,'Miljövrärden urval för publ'!$B$2:$H$416,MATCH('Miljövärden för publ företag'!G$4,'Miljövrärden urval för publ'!$B$2:$H$2,0),FALSE),"")</f>
        <v/>
      </c>
    </row>
    <row r="389" spans="2:7" x14ac:dyDescent="0.25">
      <c r="B389" s="121" t="str">
        <f>IFERROR(INDEX('Miljövrärden urval för publ'!$A$2:$AA$419,MATCH('Miljövärden för publ företag'!$A389,'Miljövrärden urval för publ'!$R$2:$R$416,0),1),"")</f>
        <v/>
      </c>
      <c r="C389" s="121" t="str">
        <f>IFERROR(INDEX('Miljövrärden urval för publ'!$A$2:$AA$419,MATCH('Miljövärden för publ företag'!$A389,'Miljövrärden urval för publ'!$R$2:$R$416,0),2),"")</f>
        <v/>
      </c>
      <c r="D389" s="121" t="str">
        <f>IFERROR(VLOOKUP($C389,'Miljövrärden urval för publ'!$B$2:$H$416,MATCH('Miljövärden för publ företag'!D$4,'Miljövrärden urval för publ'!$B$2:$H$2,0),FALSE),"")</f>
        <v/>
      </c>
      <c r="E389" s="121" t="str">
        <f>IFERROR(VLOOKUP($C389,'Miljövrärden urval för publ'!$B$2:$H$416,MATCH('Miljövärden för publ företag'!E$4,'Miljövrärden urval för publ'!$B$2:$H$2,0),FALSE),"")</f>
        <v/>
      </c>
      <c r="F389" s="121" t="str">
        <f>IFERROR(VLOOKUP($C389,'Miljövrärden urval för publ'!$B$2:$H$416,MATCH('Miljövärden för publ företag'!F$4,'Miljövrärden urval för publ'!$B$2:$H$2,0),FALSE),"")</f>
        <v/>
      </c>
      <c r="G389" s="121" t="str">
        <f>IFERROR(VLOOKUP($C389,'Miljövrärden urval för publ'!$B$2:$H$416,MATCH('Miljövärden för publ företag'!G$4,'Miljövrärden urval för publ'!$B$2:$H$2,0),FALSE),"")</f>
        <v/>
      </c>
    </row>
    <row r="390" spans="2:7" x14ac:dyDescent="0.25">
      <c r="B390" s="121" t="str">
        <f>IFERROR(INDEX('Miljövrärden urval för publ'!$A$2:$AA$419,MATCH('Miljövärden för publ företag'!$A390,'Miljövrärden urval för publ'!$R$2:$R$416,0),1),"")</f>
        <v/>
      </c>
      <c r="C390" s="121" t="str">
        <f>IFERROR(INDEX('Miljövrärden urval för publ'!$A$2:$AA$419,MATCH('Miljövärden för publ företag'!$A390,'Miljövrärden urval för publ'!$R$2:$R$416,0),2),"")</f>
        <v/>
      </c>
      <c r="D390" s="121" t="str">
        <f>IFERROR(VLOOKUP($C390,'Miljövrärden urval för publ'!$B$2:$H$416,MATCH('Miljövärden för publ företag'!D$4,'Miljövrärden urval för publ'!$B$2:$H$2,0),FALSE),"")</f>
        <v/>
      </c>
      <c r="E390" s="121" t="str">
        <f>IFERROR(VLOOKUP($C390,'Miljövrärden urval för publ'!$B$2:$H$416,MATCH('Miljövärden för publ företag'!E$4,'Miljövrärden urval för publ'!$B$2:$H$2,0),FALSE),"")</f>
        <v/>
      </c>
      <c r="F390" s="121" t="str">
        <f>IFERROR(VLOOKUP($C390,'Miljövrärden urval för publ'!$B$2:$H$416,MATCH('Miljövärden för publ företag'!F$4,'Miljövrärden urval för publ'!$B$2:$H$2,0),FALSE),"")</f>
        <v/>
      </c>
      <c r="G390" s="121" t="str">
        <f>IFERROR(VLOOKUP($C390,'Miljövrärden urval för publ'!$B$2:$H$416,MATCH('Miljövärden för publ företag'!G$4,'Miljövrärden urval för publ'!$B$2:$H$2,0),FALSE),"")</f>
        <v/>
      </c>
    </row>
    <row r="391" spans="2:7" x14ac:dyDescent="0.25">
      <c r="B391" s="121" t="str">
        <f>IFERROR(INDEX('Miljövrärden urval för publ'!$A$2:$AA$419,MATCH('Miljövärden för publ företag'!$A391,'Miljövrärden urval för publ'!$R$2:$R$416,0),1),"")</f>
        <v/>
      </c>
      <c r="C391" s="121" t="str">
        <f>IFERROR(INDEX('Miljövrärden urval för publ'!$A$2:$AA$419,MATCH('Miljövärden för publ företag'!$A391,'Miljövrärden urval för publ'!$R$2:$R$416,0),2),"")</f>
        <v/>
      </c>
      <c r="D391" s="121" t="str">
        <f>IFERROR(VLOOKUP($C391,'Miljövrärden urval för publ'!$B$2:$H$416,MATCH('Miljövärden för publ företag'!D$4,'Miljövrärden urval för publ'!$B$2:$H$2,0),FALSE),"")</f>
        <v/>
      </c>
      <c r="E391" s="121" t="str">
        <f>IFERROR(VLOOKUP($C391,'Miljövrärden urval för publ'!$B$2:$H$416,MATCH('Miljövärden för publ företag'!E$4,'Miljövrärden urval för publ'!$B$2:$H$2,0),FALSE),"")</f>
        <v/>
      </c>
      <c r="F391" s="121" t="str">
        <f>IFERROR(VLOOKUP($C391,'Miljövrärden urval för publ'!$B$2:$H$416,MATCH('Miljövärden för publ företag'!F$4,'Miljövrärden urval för publ'!$B$2:$H$2,0),FALSE),"")</f>
        <v/>
      </c>
      <c r="G391" s="121" t="str">
        <f>IFERROR(VLOOKUP($C391,'Miljövrärden urval för publ'!$B$2:$H$416,MATCH('Miljövärden för publ företag'!G$4,'Miljövrärden urval för publ'!$B$2:$H$2,0),FALSE),"")</f>
        <v/>
      </c>
    </row>
    <row r="392" spans="2:7" x14ac:dyDescent="0.25">
      <c r="B392" s="121" t="str">
        <f>IFERROR(INDEX('Miljövrärden urval för publ'!$A$2:$AA$419,MATCH('Miljövärden för publ företag'!$A392,'Miljövrärden urval för publ'!$R$2:$R$416,0),1),"")</f>
        <v/>
      </c>
      <c r="C392" s="121" t="str">
        <f>IFERROR(INDEX('Miljövrärden urval för publ'!$A$2:$AA$419,MATCH('Miljövärden för publ företag'!$A392,'Miljövrärden urval för publ'!$R$2:$R$416,0),2),"")</f>
        <v/>
      </c>
      <c r="D392" s="121" t="str">
        <f>IFERROR(VLOOKUP($C392,'Miljövrärden urval för publ'!$B$2:$H$416,MATCH('Miljövärden för publ företag'!D$4,'Miljövrärden urval för publ'!$B$2:$H$2,0),FALSE),"")</f>
        <v/>
      </c>
      <c r="E392" s="121" t="str">
        <f>IFERROR(VLOOKUP($C392,'Miljövrärden urval för publ'!$B$2:$H$416,MATCH('Miljövärden för publ företag'!E$4,'Miljövrärden urval för publ'!$B$2:$H$2,0),FALSE),"")</f>
        <v/>
      </c>
      <c r="F392" s="121" t="str">
        <f>IFERROR(VLOOKUP($C392,'Miljövrärden urval för publ'!$B$2:$H$416,MATCH('Miljövärden för publ företag'!F$4,'Miljövrärden urval för publ'!$B$2:$H$2,0),FALSE),"")</f>
        <v/>
      </c>
      <c r="G392" s="121" t="str">
        <f>IFERROR(VLOOKUP($C392,'Miljövrärden urval för publ'!$B$2:$H$416,MATCH('Miljövärden för publ företag'!G$4,'Miljövrärden urval för publ'!$B$2:$H$2,0),FALSE),"")</f>
        <v/>
      </c>
    </row>
    <row r="393" spans="2:7" x14ac:dyDescent="0.25">
      <c r="B393" s="121" t="str">
        <f>IFERROR(INDEX('Miljövrärden urval för publ'!$A$2:$AA$419,MATCH('Miljövärden för publ företag'!$A393,'Miljövrärden urval för publ'!$R$2:$R$416,0),1),"")</f>
        <v/>
      </c>
      <c r="C393" s="121" t="str">
        <f>IFERROR(INDEX('Miljövrärden urval för publ'!$A$2:$AA$419,MATCH('Miljövärden för publ företag'!$A393,'Miljövrärden urval för publ'!$R$2:$R$416,0),2),"")</f>
        <v/>
      </c>
      <c r="D393" s="121" t="str">
        <f>IFERROR(VLOOKUP($C393,'Miljövrärden urval för publ'!$B$2:$H$416,MATCH('Miljövärden för publ företag'!D$4,'Miljövrärden urval för publ'!$B$2:$H$2,0),FALSE),"")</f>
        <v/>
      </c>
      <c r="E393" s="121" t="str">
        <f>IFERROR(VLOOKUP($C393,'Miljövrärden urval för publ'!$B$2:$H$416,MATCH('Miljövärden för publ företag'!E$4,'Miljövrärden urval för publ'!$B$2:$H$2,0),FALSE),"")</f>
        <v/>
      </c>
      <c r="F393" s="121" t="str">
        <f>IFERROR(VLOOKUP($C393,'Miljövrärden urval för publ'!$B$2:$H$416,MATCH('Miljövärden för publ företag'!F$4,'Miljövrärden urval för publ'!$B$2:$H$2,0),FALSE),"")</f>
        <v/>
      </c>
      <c r="G393" s="121" t="str">
        <f>IFERROR(VLOOKUP($C393,'Miljövrärden urval för publ'!$B$2:$H$416,MATCH('Miljövärden för publ företag'!G$4,'Miljövrärden urval för publ'!$B$2:$H$2,0),FALSE),"")</f>
        <v/>
      </c>
    </row>
    <row r="394" spans="2:7" x14ac:dyDescent="0.25">
      <c r="B394" s="121" t="str">
        <f>IFERROR(INDEX('Miljövrärden urval för publ'!$A$2:$AA$419,MATCH('Miljövärden för publ företag'!$A394,'Miljövrärden urval för publ'!$R$2:$R$416,0),1),"")</f>
        <v/>
      </c>
      <c r="C394" s="121" t="str">
        <f>IFERROR(INDEX('Miljövrärden urval för publ'!$A$2:$AA$419,MATCH('Miljövärden för publ företag'!$A394,'Miljövrärden urval för publ'!$R$2:$R$416,0),2),"")</f>
        <v/>
      </c>
      <c r="D394" s="121" t="str">
        <f>IFERROR(VLOOKUP($C394,'Miljövrärden urval för publ'!$B$2:$H$416,MATCH('Miljövärden för publ företag'!D$4,'Miljövrärden urval för publ'!$B$2:$H$2,0),FALSE),"")</f>
        <v/>
      </c>
      <c r="E394" s="121" t="str">
        <f>IFERROR(VLOOKUP($C394,'Miljövrärden urval för publ'!$B$2:$H$416,MATCH('Miljövärden för publ företag'!E$4,'Miljövrärden urval för publ'!$B$2:$H$2,0),FALSE),"")</f>
        <v/>
      </c>
      <c r="F394" s="121" t="str">
        <f>IFERROR(VLOOKUP($C394,'Miljövrärden urval för publ'!$B$2:$H$416,MATCH('Miljövärden för publ företag'!F$4,'Miljövrärden urval för publ'!$B$2:$H$2,0),FALSE),"")</f>
        <v/>
      </c>
      <c r="G394" s="121" t="str">
        <f>IFERROR(VLOOKUP($C394,'Miljövrärden urval för publ'!$B$2:$H$416,MATCH('Miljövärden för publ företag'!G$4,'Miljövrärden urval för publ'!$B$2:$H$2,0),FALSE),"")</f>
        <v/>
      </c>
    </row>
    <row r="395" spans="2:7" x14ac:dyDescent="0.25">
      <c r="B395" s="121" t="str">
        <f>IFERROR(INDEX('Miljövrärden urval för publ'!$A$2:$AA$419,MATCH('Miljövärden för publ företag'!$A395,'Miljövrärden urval för publ'!$R$2:$R$416,0),1),"")</f>
        <v/>
      </c>
      <c r="C395" s="121" t="str">
        <f>IFERROR(INDEX('Miljövrärden urval för publ'!$A$2:$AA$419,MATCH('Miljövärden för publ företag'!$A395,'Miljövrärden urval för publ'!$R$2:$R$416,0),2),"")</f>
        <v/>
      </c>
      <c r="D395" s="121" t="str">
        <f>IFERROR(VLOOKUP($C395,'Miljövrärden urval för publ'!$B$2:$H$416,MATCH('Miljövärden för publ företag'!D$4,'Miljövrärden urval för publ'!$B$2:$H$2,0),FALSE),"")</f>
        <v/>
      </c>
      <c r="E395" s="121" t="str">
        <f>IFERROR(VLOOKUP($C395,'Miljövrärden urval för publ'!$B$2:$H$416,MATCH('Miljövärden för publ företag'!E$4,'Miljövrärden urval för publ'!$B$2:$H$2,0),FALSE),"")</f>
        <v/>
      </c>
      <c r="F395" s="121" t="str">
        <f>IFERROR(VLOOKUP($C395,'Miljövrärden urval för publ'!$B$2:$H$416,MATCH('Miljövärden för publ företag'!F$4,'Miljövrärden urval för publ'!$B$2:$H$2,0),FALSE),"")</f>
        <v/>
      </c>
      <c r="G395" s="121" t="str">
        <f>IFERROR(VLOOKUP($C395,'Miljövrärden urval för publ'!$B$2:$H$416,MATCH('Miljövärden för publ företag'!G$4,'Miljövrärden urval för publ'!$B$2:$H$2,0),FALSE),"")</f>
        <v/>
      </c>
    </row>
    <row r="396" spans="2:7" x14ac:dyDescent="0.25">
      <c r="B396" s="121" t="str">
        <f>IFERROR(INDEX('Miljövrärden urval för publ'!$A$2:$AA$419,MATCH('Miljövärden för publ företag'!$A396,'Miljövrärden urval för publ'!$R$2:$R$416,0),1),"")</f>
        <v/>
      </c>
      <c r="C396" s="121" t="str">
        <f>IFERROR(INDEX('Miljövrärden urval för publ'!$A$2:$AA$419,MATCH('Miljövärden för publ företag'!$A396,'Miljövrärden urval för publ'!$R$2:$R$416,0),2),"")</f>
        <v/>
      </c>
      <c r="D396" s="121" t="str">
        <f>IFERROR(VLOOKUP($C396,'Miljövrärden urval för publ'!$B$2:$H$416,MATCH('Miljövärden för publ företag'!D$4,'Miljövrärden urval för publ'!$B$2:$H$2,0),FALSE),"")</f>
        <v/>
      </c>
      <c r="E396" s="121" t="str">
        <f>IFERROR(VLOOKUP($C396,'Miljövrärden urval för publ'!$B$2:$H$416,MATCH('Miljövärden för publ företag'!E$4,'Miljövrärden urval för publ'!$B$2:$H$2,0),FALSE),"")</f>
        <v/>
      </c>
      <c r="F396" s="121" t="str">
        <f>IFERROR(VLOOKUP($C396,'Miljövrärden urval för publ'!$B$2:$H$416,MATCH('Miljövärden för publ företag'!F$4,'Miljövrärden urval för publ'!$B$2:$H$2,0),FALSE),"")</f>
        <v/>
      </c>
      <c r="G396" s="121" t="str">
        <f>IFERROR(VLOOKUP($C396,'Miljövrärden urval för publ'!$B$2:$H$416,MATCH('Miljövärden för publ företag'!G$4,'Miljövrärden urval för publ'!$B$2:$H$2,0),FALSE),"")</f>
        <v/>
      </c>
    </row>
    <row r="397" spans="2:7" x14ac:dyDescent="0.25">
      <c r="B397" s="121" t="str">
        <f>IFERROR(INDEX('Miljövrärden urval för publ'!$A$2:$AA$419,MATCH('Miljövärden för publ företag'!$A397,'Miljövrärden urval för publ'!$R$2:$R$416,0),1),"")</f>
        <v/>
      </c>
      <c r="C397" s="121" t="str">
        <f>IFERROR(INDEX('Miljövrärden urval för publ'!$A$2:$AA$419,MATCH('Miljövärden för publ företag'!$A397,'Miljövrärden urval för publ'!$R$2:$R$416,0),2),"")</f>
        <v/>
      </c>
      <c r="D397" s="121" t="str">
        <f>IFERROR(VLOOKUP($C397,'Miljövrärden urval för publ'!$B$2:$H$416,MATCH('Miljövärden för publ företag'!D$4,'Miljövrärden urval för publ'!$B$2:$H$2,0),FALSE),"")</f>
        <v/>
      </c>
      <c r="E397" s="121" t="str">
        <f>IFERROR(VLOOKUP($C397,'Miljövrärden urval för publ'!$B$2:$H$416,MATCH('Miljövärden för publ företag'!E$4,'Miljövrärden urval för publ'!$B$2:$H$2,0),FALSE),"")</f>
        <v/>
      </c>
      <c r="F397" s="121" t="str">
        <f>IFERROR(VLOOKUP($C397,'Miljövrärden urval för publ'!$B$2:$H$416,MATCH('Miljövärden för publ företag'!F$4,'Miljövrärden urval för publ'!$B$2:$H$2,0),FALSE),"")</f>
        <v/>
      </c>
      <c r="G397" s="121" t="str">
        <f>IFERROR(VLOOKUP($C397,'Miljövrärden urval för publ'!$B$2:$H$416,MATCH('Miljövärden för publ företag'!G$4,'Miljövrärden urval för publ'!$B$2:$H$2,0),FALSE),"")</f>
        <v/>
      </c>
    </row>
    <row r="398" spans="2:7" x14ac:dyDescent="0.25">
      <c r="B398" s="121" t="str">
        <f>IFERROR(INDEX('Miljövrärden urval för publ'!$A$2:$AA$419,MATCH('Miljövärden för publ företag'!$A398,'Miljövrärden urval för publ'!$R$2:$R$416,0),1),"")</f>
        <v/>
      </c>
      <c r="C398" s="121" t="str">
        <f>IFERROR(INDEX('Miljövrärden urval för publ'!$A$2:$AA$419,MATCH('Miljövärden för publ företag'!$A398,'Miljövrärden urval för publ'!$R$2:$R$416,0),2),"")</f>
        <v/>
      </c>
      <c r="D398" s="121" t="str">
        <f>IFERROR(VLOOKUP($C398,'Miljövrärden urval för publ'!$B$2:$H$416,MATCH('Miljövärden för publ företag'!D$4,'Miljövrärden urval för publ'!$B$2:$H$2,0),FALSE),"")</f>
        <v/>
      </c>
      <c r="E398" s="121" t="str">
        <f>IFERROR(VLOOKUP($C398,'Miljövrärden urval för publ'!$B$2:$H$416,MATCH('Miljövärden för publ företag'!E$4,'Miljövrärden urval för publ'!$B$2:$H$2,0),FALSE),"")</f>
        <v/>
      </c>
      <c r="F398" s="121" t="str">
        <f>IFERROR(VLOOKUP($C398,'Miljövrärden urval för publ'!$B$2:$H$416,MATCH('Miljövärden för publ företag'!F$4,'Miljövrärden urval för publ'!$B$2:$H$2,0),FALSE),"")</f>
        <v/>
      </c>
      <c r="G398" s="121" t="str">
        <f>IFERROR(VLOOKUP($C398,'Miljövrärden urval för publ'!$B$2:$H$416,MATCH('Miljövärden för publ företag'!G$4,'Miljövrärden urval för publ'!$B$2:$H$2,0),FALSE),"")</f>
        <v/>
      </c>
    </row>
    <row r="399" spans="2:7" x14ac:dyDescent="0.25">
      <c r="B399" s="121" t="str">
        <f>IFERROR(INDEX('Miljövrärden urval för publ'!$A$2:$AA$419,MATCH('Miljövärden för publ företag'!$A399,'Miljövrärden urval för publ'!$R$2:$R$416,0),1),"")</f>
        <v/>
      </c>
      <c r="C399" s="121" t="str">
        <f>IFERROR(INDEX('Miljövrärden urval för publ'!$A$2:$AA$419,MATCH('Miljövärden för publ företag'!$A399,'Miljövrärden urval för publ'!$R$2:$R$416,0),2),"")</f>
        <v/>
      </c>
      <c r="D399" s="121" t="str">
        <f>IFERROR(VLOOKUP($C399,'Miljövrärden urval för publ'!$B$2:$H$416,MATCH('Miljövärden för publ företag'!D$4,'Miljövrärden urval för publ'!$B$2:$H$2,0),FALSE),"")</f>
        <v/>
      </c>
      <c r="E399" s="121" t="str">
        <f>IFERROR(VLOOKUP($C399,'Miljövrärden urval för publ'!$B$2:$H$416,MATCH('Miljövärden för publ företag'!E$4,'Miljövrärden urval för publ'!$B$2:$H$2,0),FALSE),"")</f>
        <v/>
      </c>
      <c r="F399" s="121" t="str">
        <f>IFERROR(VLOOKUP($C399,'Miljövrärden urval för publ'!$B$2:$H$416,MATCH('Miljövärden för publ företag'!F$4,'Miljövrärden urval för publ'!$B$2:$H$2,0),FALSE),"")</f>
        <v/>
      </c>
      <c r="G399" s="121" t="str">
        <f>IFERROR(VLOOKUP($C399,'Miljövrärden urval för publ'!$B$2:$H$416,MATCH('Miljövärden för publ företag'!G$4,'Miljövrärden urval för publ'!$B$2:$H$2,0),FALSE),"")</f>
        <v/>
      </c>
    </row>
    <row r="400" spans="2:7" x14ac:dyDescent="0.25">
      <c r="B400" s="121" t="str">
        <f>IFERROR(INDEX('Miljövrärden urval för publ'!$A$2:$AA$419,MATCH('Miljövärden för publ företag'!$A400,'Miljövrärden urval för publ'!$R$2:$R$416,0),1),"")</f>
        <v/>
      </c>
      <c r="C400" s="121" t="str">
        <f>IFERROR(INDEX('Miljövrärden urval för publ'!$A$2:$AA$419,MATCH('Miljövärden för publ företag'!$A400,'Miljövrärden urval för publ'!$R$2:$R$416,0),2),"")</f>
        <v/>
      </c>
      <c r="D400" s="121" t="str">
        <f>IFERROR(VLOOKUP($C400,'Miljövrärden urval för publ'!$B$2:$H$416,MATCH('Miljövärden för publ företag'!D$4,'Miljövrärden urval för publ'!$B$2:$H$2,0),FALSE),"")</f>
        <v/>
      </c>
      <c r="E400" s="121" t="str">
        <f>IFERROR(VLOOKUP($C400,'Miljövrärden urval för publ'!$B$2:$H$416,MATCH('Miljövärden för publ företag'!E$4,'Miljövrärden urval för publ'!$B$2:$H$2,0),FALSE),"")</f>
        <v/>
      </c>
      <c r="F400" s="121" t="str">
        <f>IFERROR(VLOOKUP($C400,'Miljövrärden urval för publ'!$B$2:$H$416,MATCH('Miljövärden för publ företag'!F$4,'Miljövrärden urval för publ'!$B$2:$H$2,0),FALSE),"")</f>
        <v/>
      </c>
      <c r="G400" s="121" t="str">
        <f>IFERROR(VLOOKUP($C400,'Miljövrärden urval för publ'!$B$2:$H$416,MATCH('Miljövärden för publ företag'!G$4,'Miljövrärden urval för publ'!$B$2:$H$2,0),FALSE),"")</f>
        <v/>
      </c>
    </row>
    <row r="401" spans="2:7" x14ac:dyDescent="0.25">
      <c r="B401" s="121" t="str">
        <f>IFERROR(INDEX('Miljövrärden urval för publ'!$A$2:$AA$419,MATCH('Miljövärden för publ företag'!$A401,'Miljövrärden urval för publ'!$R$2:$R$416,0),1),"")</f>
        <v/>
      </c>
      <c r="C401" s="121" t="str">
        <f>IFERROR(INDEX('Miljövrärden urval för publ'!$A$2:$AA$419,MATCH('Miljövärden för publ företag'!$A401,'Miljövrärden urval för publ'!$R$2:$R$416,0),2),"")</f>
        <v/>
      </c>
      <c r="D401" s="121" t="str">
        <f>IFERROR(VLOOKUP($C401,'Miljövrärden urval för publ'!$B$2:$H$416,MATCH('Miljövärden för publ företag'!D$4,'Miljövrärden urval för publ'!$B$2:$H$2,0),FALSE),"")</f>
        <v/>
      </c>
      <c r="E401" s="121" t="str">
        <f>IFERROR(VLOOKUP($C401,'Miljövrärden urval för publ'!$B$2:$H$416,MATCH('Miljövärden för publ företag'!E$4,'Miljövrärden urval för publ'!$B$2:$H$2,0),FALSE),"")</f>
        <v/>
      </c>
      <c r="F401" s="121" t="str">
        <f>IFERROR(VLOOKUP($C401,'Miljövrärden urval för publ'!$B$2:$H$416,MATCH('Miljövärden för publ företag'!F$4,'Miljövrärden urval för publ'!$B$2:$H$2,0),FALSE),"")</f>
        <v/>
      </c>
      <c r="G401" s="121" t="str">
        <f>IFERROR(VLOOKUP($C401,'Miljövrärden urval för publ'!$B$2:$H$416,MATCH('Miljövärden för publ företag'!G$4,'Miljövrärden urval för publ'!$B$2:$H$2,0),FALSE),"")</f>
        <v/>
      </c>
    </row>
    <row r="402" spans="2:7" x14ac:dyDescent="0.25">
      <c r="B402" s="121" t="str">
        <f>IFERROR(INDEX('Miljövrärden urval för publ'!$A$2:$AA$419,MATCH('Miljövärden för publ företag'!$A402,'Miljövrärden urval för publ'!$R$2:$R$416,0),1),"")</f>
        <v/>
      </c>
      <c r="C402" s="121" t="str">
        <f>IFERROR(INDEX('Miljövrärden urval för publ'!$A$2:$AA$419,MATCH('Miljövärden för publ företag'!$A402,'Miljövrärden urval för publ'!$R$2:$R$416,0),2),"")</f>
        <v/>
      </c>
      <c r="D402" s="121" t="str">
        <f>IFERROR(VLOOKUP($C402,'Miljövrärden urval för publ'!$B$2:$H$416,MATCH('Miljövärden för publ företag'!D$4,'Miljövrärden urval för publ'!$B$2:$H$2,0),FALSE),"")</f>
        <v/>
      </c>
      <c r="E402" s="121" t="str">
        <f>IFERROR(VLOOKUP($C402,'Miljövrärden urval för publ'!$B$2:$H$416,MATCH('Miljövärden för publ företag'!E$4,'Miljövrärden urval för publ'!$B$2:$H$2,0),FALSE),"")</f>
        <v/>
      </c>
      <c r="F402" s="121" t="str">
        <f>IFERROR(VLOOKUP($C402,'Miljövrärden urval för publ'!$B$2:$H$416,MATCH('Miljövärden för publ företag'!F$4,'Miljövrärden urval för publ'!$B$2:$H$2,0),FALSE),"")</f>
        <v/>
      </c>
      <c r="G402" s="121" t="str">
        <f>IFERROR(VLOOKUP($C402,'Miljövrärden urval för publ'!$B$2:$H$416,MATCH('Miljövärden för publ företag'!G$4,'Miljövrärden urval för publ'!$B$2:$H$2,0),FALSE),"")</f>
        <v/>
      </c>
    </row>
    <row r="403" spans="2:7" x14ac:dyDescent="0.25">
      <c r="B403" s="121" t="str">
        <f>IFERROR(INDEX('Miljövrärden urval för publ'!$A$2:$AA$419,MATCH('Miljövärden för publ företag'!$A403,'Miljövrärden urval för publ'!$R$2:$R$416,0),1),"")</f>
        <v/>
      </c>
      <c r="C403" s="121" t="str">
        <f>IFERROR(INDEX('Miljövrärden urval för publ'!$A$2:$AA$419,MATCH('Miljövärden för publ företag'!$A403,'Miljövrärden urval för publ'!$R$2:$R$416,0),2),"")</f>
        <v/>
      </c>
      <c r="D403" s="121" t="str">
        <f>IFERROR(VLOOKUP($C403,'Miljövrärden urval för publ'!$B$2:$H$416,MATCH('Miljövärden för publ företag'!D$4,'Miljövrärden urval för publ'!$B$2:$H$2,0),FALSE),"")</f>
        <v/>
      </c>
      <c r="E403" s="121" t="str">
        <f>IFERROR(VLOOKUP($C403,'Miljövrärden urval för publ'!$B$2:$H$416,MATCH('Miljövärden för publ företag'!E$4,'Miljövrärden urval för publ'!$B$2:$H$2,0),FALSE),"")</f>
        <v/>
      </c>
      <c r="F403" s="121" t="str">
        <f>IFERROR(VLOOKUP($C403,'Miljövrärden urval för publ'!$B$2:$H$416,MATCH('Miljövärden för publ företag'!F$4,'Miljövrärden urval för publ'!$B$2:$H$2,0),FALSE),"")</f>
        <v/>
      </c>
      <c r="G403" s="121" t="str">
        <f>IFERROR(VLOOKUP($C403,'Miljövrärden urval för publ'!$B$2:$H$416,MATCH('Miljövärden för publ företag'!G$4,'Miljövrärden urval för publ'!$B$2:$H$2,0),FALSE),"")</f>
        <v/>
      </c>
    </row>
    <row r="404" spans="2:7" x14ac:dyDescent="0.25">
      <c r="B404" s="121" t="str">
        <f>IFERROR(INDEX('Miljövrärden urval för publ'!$A$2:$AA$419,MATCH('Miljövärden för publ företag'!$A404,'Miljövrärden urval för publ'!$R$2:$R$416,0),1),"")</f>
        <v/>
      </c>
      <c r="C404" s="121" t="str">
        <f>IFERROR(INDEX('Miljövrärden urval för publ'!$A$2:$AA$419,MATCH('Miljövärden för publ företag'!$A404,'Miljövrärden urval för publ'!$R$2:$R$416,0),2),"")</f>
        <v/>
      </c>
      <c r="D404" s="121" t="str">
        <f>IFERROR(VLOOKUP($C404,'Miljövrärden urval för publ'!$B$2:$H$416,MATCH('Miljövärden för publ företag'!D$4,'Miljövrärden urval för publ'!$B$2:$H$2,0),FALSE),"")</f>
        <v/>
      </c>
      <c r="E404" s="121" t="str">
        <f>IFERROR(VLOOKUP($C404,'Miljövrärden urval för publ'!$B$2:$H$416,MATCH('Miljövärden för publ företag'!E$4,'Miljövrärden urval för publ'!$B$2:$H$2,0),FALSE),"")</f>
        <v/>
      </c>
      <c r="F404" s="121" t="str">
        <f>IFERROR(VLOOKUP($C404,'Miljövrärden urval för publ'!$B$2:$H$416,MATCH('Miljövärden för publ företag'!F$4,'Miljövrärden urval för publ'!$B$2:$H$2,0),FALSE),"")</f>
        <v/>
      </c>
      <c r="G404" s="121" t="str">
        <f>IFERROR(VLOOKUP($C404,'Miljövrärden urval för publ'!$B$2:$H$416,MATCH('Miljövärden för publ företag'!G$4,'Miljövrärden urval för publ'!$B$2:$H$2,0),FALSE),"")</f>
        <v/>
      </c>
    </row>
    <row r="405" spans="2:7" x14ac:dyDescent="0.25">
      <c r="B405" s="121" t="str">
        <f>IFERROR(INDEX('Miljövrärden urval för publ'!$A$2:$AA$419,MATCH('Miljövärden för publ företag'!$A405,'Miljövrärden urval för publ'!$R$2:$R$416,0),1),"")</f>
        <v/>
      </c>
      <c r="C405" s="121" t="str">
        <f>IFERROR(INDEX('Miljövrärden urval för publ'!$A$2:$AA$419,MATCH('Miljövärden för publ företag'!$A405,'Miljövrärden urval för publ'!$R$2:$R$416,0),2),"")</f>
        <v/>
      </c>
      <c r="D405" s="121" t="str">
        <f>IFERROR(VLOOKUP($C405,'Miljövrärden urval för publ'!$B$2:$H$416,MATCH('Miljövärden för publ företag'!D$4,'Miljövrärden urval för publ'!$B$2:$H$2,0),FALSE),"")</f>
        <v/>
      </c>
      <c r="E405" s="121" t="str">
        <f>IFERROR(VLOOKUP($C405,'Miljövrärden urval för publ'!$B$2:$H$416,MATCH('Miljövärden för publ företag'!E$4,'Miljövrärden urval för publ'!$B$2:$H$2,0),FALSE),"")</f>
        <v/>
      </c>
      <c r="F405" s="121" t="str">
        <f>IFERROR(VLOOKUP($C405,'Miljövrärden urval för publ'!$B$2:$H$416,MATCH('Miljövärden för publ företag'!F$4,'Miljövrärden urval för publ'!$B$2:$H$2,0),FALSE),"")</f>
        <v/>
      </c>
      <c r="G405" s="121" t="str">
        <f>IFERROR(VLOOKUP($C405,'Miljövrärden urval för publ'!$B$2:$H$416,MATCH('Miljövärden för publ företag'!G$4,'Miljövrärden urval för publ'!$B$2:$H$2,0),FALSE),"")</f>
        <v/>
      </c>
    </row>
    <row r="406" spans="2:7" x14ac:dyDescent="0.25">
      <c r="B406" s="121" t="str">
        <f>IFERROR(INDEX('Miljövrärden urval för publ'!$A$2:$AA$419,MATCH('Miljövärden för publ företag'!$A406,'Miljövrärden urval för publ'!$R$2:$R$416,0),1),"")</f>
        <v/>
      </c>
      <c r="C406" s="121" t="str">
        <f>IFERROR(INDEX('Miljövrärden urval för publ'!$A$2:$AA$419,MATCH('Miljövärden för publ företag'!$A406,'Miljövrärden urval för publ'!$R$2:$R$416,0),2),"")</f>
        <v/>
      </c>
      <c r="D406" s="121" t="str">
        <f>IFERROR(VLOOKUP($C406,'Miljövrärden urval för publ'!$B$2:$H$416,MATCH('Miljövärden för publ företag'!D$4,'Miljövrärden urval för publ'!$B$2:$H$2,0),FALSE),"")</f>
        <v/>
      </c>
      <c r="E406" s="121" t="str">
        <f>IFERROR(VLOOKUP($C406,'Miljövrärden urval för publ'!$B$2:$H$416,MATCH('Miljövärden för publ företag'!E$4,'Miljövrärden urval för publ'!$B$2:$H$2,0),FALSE),"")</f>
        <v/>
      </c>
      <c r="F406" s="121" t="str">
        <f>IFERROR(VLOOKUP($C406,'Miljövrärden urval för publ'!$B$2:$H$416,MATCH('Miljövärden för publ företag'!F$4,'Miljövrärden urval för publ'!$B$2:$H$2,0),FALSE),"")</f>
        <v/>
      </c>
      <c r="G406" s="121" t="str">
        <f>IFERROR(VLOOKUP($C406,'Miljövrärden urval för publ'!$B$2:$H$416,MATCH('Miljövärden för publ företag'!G$4,'Miljövrärden urval för publ'!$B$2:$H$2,0),FALSE),"")</f>
        <v/>
      </c>
    </row>
    <row r="407" spans="2:7" x14ac:dyDescent="0.25">
      <c r="B407" s="121" t="str">
        <f>IFERROR(INDEX('Miljövrärden urval för publ'!$A$2:$AA$419,MATCH('Miljövärden för publ företag'!$A407,'Miljövrärden urval för publ'!$R$2:$R$416,0),1),"")</f>
        <v/>
      </c>
      <c r="C407" s="121" t="str">
        <f>IFERROR(INDEX('Miljövrärden urval för publ'!$A$2:$AA$419,MATCH('Miljövärden för publ företag'!$A407,'Miljövrärden urval för publ'!$R$2:$R$416,0),2),"")</f>
        <v/>
      </c>
      <c r="D407" s="121" t="str">
        <f>IFERROR(VLOOKUP($C407,'Miljövrärden urval för publ'!$B$2:$H$416,MATCH('Miljövärden för publ företag'!D$4,'Miljövrärden urval för publ'!$B$2:$H$2,0),FALSE),"")</f>
        <v/>
      </c>
      <c r="E407" s="121" t="str">
        <f>IFERROR(VLOOKUP($C407,'Miljövrärden urval för publ'!$B$2:$H$416,MATCH('Miljövärden för publ företag'!E$4,'Miljövrärden urval för publ'!$B$2:$H$2,0),FALSE),"")</f>
        <v/>
      </c>
      <c r="F407" s="121" t="str">
        <f>IFERROR(VLOOKUP($C407,'Miljövrärden urval för publ'!$B$2:$H$416,MATCH('Miljövärden för publ företag'!F$4,'Miljövrärden urval för publ'!$B$2:$H$2,0),FALSE),"")</f>
        <v/>
      </c>
      <c r="G407" s="121" t="str">
        <f>IFERROR(VLOOKUP($C407,'Miljövrärden urval för publ'!$B$2:$H$416,MATCH('Miljövärden för publ företag'!G$4,'Miljövrärden urval för publ'!$B$2:$H$2,0),FALSE),"")</f>
        <v/>
      </c>
    </row>
    <row r="408" spans="2:7" x14ac:dyDescent="0.25">
      <c r="B408" s="121" t="str">
        <f>IFERROR(INDEX('Miljövrärden urval för publ'!$A$2:$AA$419,MATCH('Miljövärden för publ företag'!$A408,'Miljövrärden urval för publ'!$R$2:$R$416,0),1),"")</f>
        <v/>
      </c>
      <c r="C408" s="121" t="str">
        <f>IFERROR(INDEX('Miljövrärden urval för publ'!$A$2:$AA$419,MATCH('Miljövärden för publ företag'!$A408,'Miljövrärden urval för publ'!$R$2:$R$416,0),2),"")</f>
        <v/>
      </c>
      <c r="D408" s="121" t="str">
        <f>IFERROR(VLOOKUP($C408,'Miljövrärden urval för publ'!$B$2:$H$416,MATCH('Miljövärden för publ företag'!D$4,'Miljövrärden urval för publ'!$B$2:$H$2,0),FALSE),"")</f>
        <v/>
      </c>
      <c r="E408" s="121" t="str">
        <f>IFERROR(VLOOKUP($C408,'Miljövrärden urval för publ'!$B$2:$H$416,MATCH('Miljövärden för publ företag'!E$4,'Miljövrärden urval för publ'!$B$2:$H$2,0),FALSE),"")</f>
        <v/>
      </c>
      <c r="F408" s="121" t="str">
        <f>IFERROR(VLOOKUP($C408,'Miljövrärden urval för publ'!$B$2:$H$416,MATCH('Miljövärden för publ företag'!F$4,'Miljövrärden urval för publ'!$B$2:$H$2,0),FALSE),"")</f>
        <v/>
      </c>
      <c r="G408" s="121" t="str">
        <f>IFERROR(VLOOKUP($C408,'Miljövrärden urval för publ'!$B$2:$H$416,MATCH('Miljövärden för publ företag'!G$4,'Miljövrärden urval för publ'!$B$2:$H$2,0),FALSE),"")</f>
        <v/>
      </c>
    </row>
    <row r="409" spans="2:7" x14ac:dyDescent="0.25">
      <c r="B409" s="121" t="str">
        <f>IFERROR(INDEX('Miljövrärden urval för publ'!$A$2:$AA$419,MATCH('Miljövärden för publ företag'!$A409,'Miljövrärden urval för publ'!$R$2:$R$416,0),1),"")</f>
        <v/>
      </c>
      <c r="C409" s="121" t="str">
        <f>IFERROR(INDEX('Miljövrärden urval för publ'!$A$2:$AA$419,MATCH('Miljövärden för publ företag'!$A409,'Miljövrärden urval för publ'!$R$2:$R$416,0),2),"")</f>
        <v/>
      </c>
      <c r="D409" s="121" t="str">
        <f>IFERROR(VLOOKUP($C409,'Miljövrärden urval för publ'!$B$2:$H$416,MATCH('Miljövärden för publ företag'!D$4,'Miljövrärden urval för publ'!$B$2:$H$2,0),FALSE),"")</f>
        <v/>
      </c>
      <c r="E409" s="121" t="str">
        <f>IFERROR(VLOOKUP($C409,'Miljövrärden urval för publ'!$B$2:$H$416,MATCH('Miljövärden för publ företag'!E$4,'Miljövrärden urval för publ'!$B$2:$H$2,0),FALSE),"")</f>
        <v/>
      </c>
      <c r="F409" s="121" t="str">
        <f>IFERROR(VLOOKUP($C409,'Miljövrärden urval för publ'!$B$2:$H$416,MATCH('Miljövärden för publ företag'!F$4,'Miljövrärden urval för publ'!$B$2:$H$2,0),FALSE),"")</f>
        <v/>
      </c>
      <c r="G409" s="121" t="str">
        <f>IFERROR(VLOOKUP($C409,'Miljövrärden urval för publ'!$B$2:$H$416,MATCH('Miljövärden för publ företag'!G$4,'Miljövrärden urval för publ'!$B$2:$H$2,0),FALSE),"")</f>
        <v/>
      </c>
    </row>
    <row r="410" spans="2:7" x14ac:dyDescent="0.25">
      <c r="B410" s="121" t="str">
        <f>IFERROR(INDEX('Miljövrärden urval för publ'!$A$2:$AA$419,MATCH('Miljövärden för publ företag'!$A410,'Miljövrärden urval för publ'!$R$2:$R$416,0),1),"")</f>
        <v/>
      </c>
      <c r="C410" s="121" t="str">
        <f>IFERROR(INDEX('Miljövrärden urval för publ'!$A$2:$AA$419,MATCH('Miljövärden för publ företag'!$A410,'Miljövrärden urval för publ'!$R$2:$R$416,0),2),"")</f>
        <v/>
      </c>
      <c r="D410" s="121" t="str">
        <f>IFERROR(VLOOKUP($C410,'Miljövrärden urval för publ'!$B$2:$H$416,MATCH('Miljövärden för publ företag'!D$4,'Miljövrärden urval för publ'!$B$2:$H$2,0),FALSE),"")</f>
        <v/>
      </c>
      <c r="E410" s="121" t="str">
        <f>IFERROR(VLOOKUP($C410,'Miljövrärden urval för publ'!$B$2:$H$416,MATCH('Miljövärden för publ företag'!E$4,'Miljövrärden urval för publ'!$B$2:$H$2,0),FALSE),"")</f>
        <v/>
      </c>
      <c r="F410" s="121" t="str">
        <f>IFERROR(VLOOKUP($C410,'Miljövrärden urval för publ'!$B$2:$H$416,MATCH('Miljövärden för publ företag'!F$4,'Miljövrärden urval för publ'!$B$2:$H$2,0),FALSE),"")</f>
        <v/>
      </c>
      <c r="G410" s="121" t="str">
        <f>IFERROR(VLOOKUP($C410,'Miljövrärden urval för publ'!$B$2:$H$416,MATCH('Miljövärden för publ företag'!G$4,'Miljövrärden urval för publ'!$B$2:$H$2,0),FALSE),"")</f>
        <v/>
      </c>
    </row>
    <row r="411" spans="2:7" x14ac:dyDescent="0.25">
      <c r="B411" s="121" t="str">
        <f>IFERROR(INDEX('Miljövrärden urval för publ'!$A$2:$AA$419,MATCH('Miljövärden för publ företag'!$A411,'Miljövrärden urval för publ'!$R$2:$R$416,0),1),"")</f>
        <v/>
      </c>
      <c r="C411" s="121" t="str">
        <f>IFERROR(INDEX('Miljövrärden urval för publ'!$A$2:$AA$419,MATCH('Miljövärden för publ företag'!$A411,'Miljövrärden urval för publ'!$R$2:$R$416,0),2),"")</f>
        <v/>
      </c>
      <c r="D411" s="121" t="str">
        <f>IFERROR(VLOOKUP($C411,'Miljövrärden urval för publ'!$B$2:$H$416,MATCH('Miljövärden för publ företag'!D$4,'Miljövrärden urval för publ'!$B$2:$H$2,0),FALSE),"")</f>
        <v/>
      </c>
      <c r="E411" s="121" t="str">
        <f>IFERROR(VLOOKUP($C411,'Miljövrärden urval för publ'!$B$2:$H$416,MATCH('Miljövärden för publ företag'!E$4,'Miljövrärden urval för publ'!$B$2:$H$2,0),FALSE),"")</f>
        <v/>
      </c>
      <c r="F411" s="121" t="str">
        <f>IFERROR(VLOOKUP($C411,'Miljövrärden urval för publ'!$B$2:$H$416,MATCH('Miljövärden för publ företag'!F$4,'Miljövrärden urval för publ'!$B$2:$H$2,0),FALSE),"")</f>
        <v/>
      </c>
      <c r="G411" s="121" t="str">
        <f>IFERROR(VLOOKUP($C411,'Miljövrärden urval för publ'!$B$2:$H$416,MATCH('Miljövärden för publ företag'!G$4,'Miljövrärden urval för publ'!$B$2:$H$2,0),FALSE),"")</f>
        <v/>
      </c>
    </row>
    <row r="412" spans="2:7" x14ac:dyDescent="0.25">
      <c r="B412" s="121" t="str">
        <f>IFERROR(INDEX('Miljövrärden urval för publ'!$A$2:$AA$419,MATCH('Miljövärden för publ företag'!$A412,'Miljövrärden urval för publ'!$R$2:$R$416,0),1),"")</f>
        <v/>
      </c>
      <c r="C412" s="121" t="str">
        <f>IFERROR(INDEX('Miljövrärden urval för publ'!$A$2:$AA$419,MATCH('Miljövärden för publ företag'!$A412,'Miljövrärden urval för publ'!$R$2:$R$416,0),2),"")</f>
        <v/>
      </c>
      <c r="D412" s="121" t="str">
        <f>IFERROR(VLOOKUP($C412,'Miljövrärden urval för publ'!$B$2:$H$416,MATCH('Miljövärden för publ företag'!D$4,'Miljövrärden urval för publ'!$B$2:$H$2,0),FALSE),"")</f>
        <v/>
      </c>
      <c r="E412" s="121" t="str">
        <f>IFERROR(VLOOKUP($C412,'Miljövrärden urval för publ'!$B$2:$H$416,MATCH('Miljövärden för publ företag'!E$4,'Miljövrärden urval för publ'!$B$2:$H$2,0),FALSE),"")</f>
        <v/>
      </c>
      <c r="F412" s="121" t="str">
        <f>IFERROR(VLOOKUP($C412,'Miljövrärden urval för publ'!$B$2:$H$416,MATCH('Miljövärden för publ företag'!F$4,'Miljövrärden urval för publ'!$B$2:$H$2,0),FALSE),"")</f>
        <v/>
      </c>
      <c r="G412" s="121" t="str">
        <f>IFERROR(VLOOKUP($C412,'Miljövrärden urval för publ'!$B$2:$H$416,MATCH('Miljövärden för publ företag'!G$4,'Miljövrärden urval för publ'!$B$2:$H$2,0),FALSE),"")</f>
        <v/>
      </c>
    </row>
    <row r="413" spans="2:7" x14ac:dyDescent="0.25">
      <c r="B413" s="121" t="str">
        <f>IFERROR(INDEX('Miljövrärden urval för publ'!$A$2:$AA$419,MATCH('Miljövärden för publ företag'!$A413,'Miljövrärden urval för publ'!$R$2:$R$416,0),1),"")</f>
        <v/>
      </c>
      <c r="C413" s="121" t="str">
        <f>IFERROR(INDEX('Miljövrärden urval för publ'!$A$2:$AA$419,MATCH('Miljövärden för publ företag'!$A413,'Miljövrärden urval för publ'!$R$2:$R$416,0),2),"")</f>
        <v/>
      </c>
      <c r="D413" s="121" t="str">
        <f>IFERROR(VLOOKUP($C413,'Miljövrärden urval för publ'!$B$2:$H$416,MATCH('Miljövärden för publ företag'!D$4,'Miljövrärden urval för publ'!$B$2:$H$2,0),FALSE),"")</f>
        <v/>
      </c>
      <c r="E413" s="121" t="str">
        <f>IFERROR(VLOOKUP($C413,'Miljövrärden urval för publ'!$B$2:$H$416,MATCH('Miljövärden för publ företag'!E$4,'Miljövrärden urval för publ'!$B$2:$H$2,0),FALSE),"")</f>
        <v/>
      </c>
      <c r="F413" s="121" t="str">
        <f>IFERROR(VLOOKUP($C413,'Miljövrärden urval för publ'!$B$2:$H$416,MATCH('Miljövärden för publ företag'!F$4,'Miljövrärden urval för publ'!$B$2:$H$2,0),FALSE),"")</f>
        <v/>
      </c>
      <c r="G413" s="121" t="str">
        <f>IFERROR(VLOOKUP($C413,'Miljövrärden urval för publ'!$B$2:$H$416,MATCH('Miljövärden för publ företag'!G$4,'Miljövrärden urval för publ'!$B$2:$H$2,0),FALSE),"")</f>
        <v/>
      </c>
    </row>
    <row r="414" spans="2:7" x14ac:dyDescent="0.25">
      <c r="B414" s="121" t="str">
        <f>IFERROR(INDEX('Miljövrärden urval för publ'!$A$2:$AA$419,MATCH('Miljövärden för publ företag'!$A414,'Miljövrärden urval för publ'!$R$2:$R$416,0),1),"")</f>
        <v/>
      </c>
      <c r="C414" s="121" t="str">
        <f>IFERROR(INDEX('Miljövrärden urval för publ'!$A$2:$AA$419,MATCH('Miljövärden för publ företag'!$A414,'Miljövrärden urval för publ'!$R$2:$R$416,0),2),"")</f>
        <v/>
      </c>
      <c r="D414" s="121" t="str">
        <f>IFERROR(VLOOKUP($C414,'Miljövrärden urval för publ'!$B$2:$H$416,MATCH('Miljövärden för publ företag'!D$4,'Miljövrärden urval för publ'!$B$2:$H$2,0),FALSE),"")</f>
        <v/>
      </c>
      <c r="E414" s="121" t="str">
        <f>IFERROR(VLOOKUP($C414,'Miljövrärden urval för publ'!$B$2:$H$416,MATCH('Miljövärden för publ företag'!E$4,'Miljövrärden urval för publ'!$B$2:$H$2,0),FALSE),"")</f>
        <v/>
      </c>
      <c r="F414" s="121" t="str">
        <f>IFERROR(VLOOKUP($C414,'Miljövrärden urval för publ'!$B$2:$H$416,MATCH('Miljövärden för publ företag'!F$4,'Miljövrärden urval för publ'!$B$2:$H$2,0),FALSE),"")</f>
        <v/>
      </c>
      <c r="G414" s="121" t="str">
        <f>IFERROR(VLOOKUP($C414,'Miljövrärden urval för publ'!$B$2:$H$416,MATCH('Miljövärden för publ företag'!G$4,'Miljövrärden urval för publ'!$B$2:$H$2,0),FALSE),"")</f>
        <v/>
      </c>
    </row>
    <row r="415" spans="2:7" x14ac:dyDescent="0.25">
      <c r="B415" s="121" t="str">
        <f>IFERROR(INDEX('Miljövrärden urval för publ'!$A$2:$AA$419,MATCH('Miljövärden för publ företag'!$A415,'Miljövrärden urval för publ'!$R$2:$R$416,0),1),"")</f>
        <v/>
      </c>
      <c r="C415" s="121" t="str">
        <f>IFERROR(INDEX('Miljövrärden urval för publ'!$A$2:$AA$419,MATCH('Miljövärden för publ företag'!$A415,'Miljövrärden urval för publ'!$R$2:$R$416,0),2),"")</f>
        <v/>
      </c>
      <c r="D415" s="121" t="str">
        <f>IFERROR(VLOOKUP($C415,'Miljövrärden urval för publ'!$B$2:$H$416,MATCH('Miljövärden för publ företag'!D$4,'Miljövrärden urval för publ'!$B$2:$H$2,0),FALSE),"")</f>
        <v/>
      </c>
      <c r="E415" s="121" t="str">
        <f>IFERROR(VLOOKUP($C415,'Miljövrärden urval för publ'!$B$2:$H$416,MATCH('Miljövärden för publ företag'!E$4,'Miljövrärden urval för publ'!$B$2:$H$2,0),FALSE),"")</f>
        <v/>
      </c>
      <c r="F415" s="121" t="str">
        <f>IFERROR(VLOOKUP($C415,'Miljövrärden urval för publ'!$B$2:$H$416,MATCH('Miljövärden för publ företag'!F$4,'Miljövrärden urval för publ'!$B$2:$H$2,0),FALSE),"")</f>
        <v/>
      </c>
      <c r="G415" s="121" t="str">
        <f>IFERROR(VLOOKUP($C415,'Miljövrärden urval för publ'!$B$2:$H$416,MATCH('Miljövärden för publ företag'!G$4,'Miljövrärden urval för publ'!$B$2:$H$2,0),FALSE),"")</f>
        <v/>
      </c>
    </row>
    <row r="416" spans="2:7" x14ac:dyDescent="0.25">
      <c r="B416" s="121" t="str">
        <f>IFERROR(INDEX('Miljövrärden urval för publ'!$A$2:$AA$419,MATCH('Miljövärden för publ företag'!$A416,'Miljövrärden urval för publ'!$R$2:$R$416,0),1),"")</f>
        <v/>
      </c>
      <c r="C416" s="121" t="str">
        <f>IFERROR(INDEX('Miljövrärden urval för publ'!$A$2:$AA$419,MATCH('Miljövärden för publ företag'!$A416,'Miljövrärden urval för publ'!$R$2:$R$416,0),2),"")</f>
        <v/>
      </c>
      <c r="D416" s="121" t="str">
        <f>IFERROR(VLOOKUP($C416,'Miljövrärden urval för publ'!$B$2:$H$416,MATCH('Miljövärden för publ företag'!D$4,'Miljövrärden urval för publ'!$B$2:$H$2,0),FALSE),"")</f>
        <v/>
      </c>
      <c r="E416" s="121" t="str">
        <f>IFERROR(VLOOKUP($C416,'Miljövrärden urval för publ'!$B$2:$H$416,MATCH('Miljövärden för publ företag'!E$4,'Miljövrärden urval för publ'!$B$2:$H$2,0),FALSE),"")</f>
        <v/>
      </c>
      <c r="F416" s="121" t="str">
        <f>IFERROR(VLOOKUP($C416,'Miljövrärden urval för publ'!$B$2:$H$416,MATCH('Miljövärden för publ företag'!F$4,'Miljövrärden urval för publ'!$B$2:$H$2,0),FALSE),"")</f>
        <v/>
      </c>
      <c r="G416" s="121" t="str">
        <f>IFERROR(VLOOKUP($C416,'Miljövrärden urval för publ'!$B$2:$H$416,MATCH('Miljövärden för publ företag'!G$4,'Miljövrärden urval för publ'!$B$2:$H$2,0),FALSE),"")</f>
        <v/>
      </c>
    </row>
    <row r="417" spans="2:7" x14ac:dyDescent="0.25">
      <c r="B417" s="121" t="str">
        <f>IFERROR(INDEX('Miljövrärden urval för publ'!$A$2:$AA$419,MATCH('Miljövärden för publ företag'!$A417,'Miljövrärden urval för publ'!$R$2:$R$416,0),1),"")</f>
        <v/>
      </c>
      <c r="C417" s="121" t="str">
        <f>IFERROR(INDEX('Miljövrärden urval för publ'!$A$2:$AA$419,MATCH('Miljövärden för publ företag'!$A417,'Miljövrärden urval för publ'!$R$2:$R$416,0),2),"")</f>
        <v/>
      </c>
      <c r="D417" s="121" t="str">
        <f>IFERROR(VLOOKUP($C417,'Miljövrärden urval för publ'!$B$2:$H$416,MATCH('Miljövärden för publ företag'!D$4,'Miljövrärden urval för publ'!$B$2:$H$2,0),FALSE),"")</f>
        <v/>
      </c>
      <c r="E417" s="121" t="str">
        <f>IFERROR(VLOOKUP($C417,'Miljövrärden urval för publ'!$B$2:$H$416,MATCH('Miljövärden för publ företag'!E$4,'Miljövrärden urval för publ'!$B$2:$H$2,0),FALSE),"")</f>
        <v/>
      </c>
      <c r="F417" s="121" t="str">
        <f>IFERROR(VLOOKUP($C417,'Miljövrärden urval för publ'!$B$2:$H$416,MATCH('Miljövärden för publ företag'!F$4,'Miljövrärden urval för publ'!$B$2:$H$2,0),FALSE),"")</f>
        <v/>
      </c>
      <c r="G417" s="121" t="str">
        <f>IFERROR(VLOOKUP($C417,'Miljövrärden urval för publ'!$B$2:$H$416,MATCH('Miljövärden för publ företag'!G$4,'Miljövrärden urval för publ'!$B$2:$H$2,0),FALSE),"")</f>
        <v/>
      </c>
    </row>
    <row r="418" spans="2:7" x14ac:dyDescent="0.25">
      <c r="B418" s="121" t="str">
        <f>IFERROR(INDEX('Miljövrärden urval för publ'!$A$2:$AA$419,MATCH('Miljövärden för publ företag'!$A418,'Miljövrärden urval för publ'!$R$2:$R$416,0),1),"")</f>
        <v/>
      </c>
      <c r="C418" s="121" t="str">
        <f>IFERROR(INDEX('Miljövrärden urval för publ'!$A$2:$AA$419,MATCH('Miljövärden för publ företag'!$A418,'Miljövrärden urval för publ'!$R$2:$R$416,0),2),"")</f>
        <v/>
      </c>
      <c r="D418" s="121" t="str">
        <f>IFERROR(VLOOKUP($C418,'Miljövrärden urval för publ'!$B$2:$H$416,MATCH('Miljövärden för publ företag'!D$4,'Miljövrärden urval för publ'!$B$2:$H$2,0),FALSE),"")</f>
        <v/>
      </c>
      <c r="E418" s="121" t="str">
        <f>IFERROR(VLOOKUP($C418,'Miljövrärden urval för publ'!$B$2:$H$416,MATCH('Miljövärden för publ företag'!E$4,'Miljövrärden urval för publ'!$B$2:$H$2,0),FALSE),"")</f>
        <v/>
      </c>
      <c r="F418" s="121" t="str">
        <f>IFERROR(VLOOKUP($C418,'Miljövrärden urval för publ'!$B$2:$H$416,MATCH('Miljövärden för publ företag'!F$4,'Miljövrärden urval för publ'!$B$2:$H$2,0),FALSE),"")</f>
        <v/>
      </c>
      <c r="G418" s="121" t="str">
        <f>IFERROR(VLOOKUP($C418,'Miljövrärden urval för publ'!$B$2:$H$416,MATCH('Miljövärden för publ företag'!G$4,'Miljövrärden urval för publ'!$B$2:$H$2,0),FALSE),"")</f>
        <v/>
      </c>
    </row>
    <row r="419" spans="2:7" x14ac:dyDescent="0.25">
      <c r="B419" s="121" t="str">
        <f>IFERROR(INDEX('Miljövrärden urval för publ'!$A$2:$AA$419,MATCH('Miljövärden för publ företag'!$A419,'Miljövrärden urval för publ'!$R$2:$R$416,0),1),"")</f>
        <v/>
      </c>
      <c r="C419" s="121" t="str">
        <f>IFERROR(INDEX('Miljövrärden urval för publ'!$A$2:$AA$419,MATCH('Miljövärden för publ företag'!$A419,'Miljövrärden urval för publ'!$R$2:$R$416,0),2),"")</f>
        <v/>
      </c>
      <c r="D419" s="121" t="str">
        <f>IFERROR(VLOOKUP($C419,'Miljövrärden urval för publ'!$B$2:$H$416,MATCH('Miljövärden för publ företag'!D$4,'Miljövrärden urval för publ'!$B$2:$H$2,0),FALSE),"")</f>
        <v/>
      </c>
      <c r="E419" s="121" t="str">
        <f>IFERROR(VLOOKUP($C419,'Miljövrärden urval för publ'!$B$2:$H$416,MATCH('Miljövärden för publ företag'!E$4,'Miljövrärden urval för publ'!$B$2:$H$2,0),FALSE),"")</f>
        <v/>
      </c>
      <c r="F419" s="121" t="str">
        <f>IFERROR(VLOOKUP($C419,'Miljövrärden urval för publ'!$B$2:$H$416,MATCH('Miljövärden för publ företag'!F$4,'Miljövrärden urval för publ'!$B$2:$H$2,0),FALSE),"")</f>
        <v/>
      </c>
      <c r="G419" s="121" t="str">
        <f>IFERROR(VLOOKUP($C419,'Miljövrärden urval för publ'!$B$2:$H$416,MATCH('Miljövärden för publ företag'!G$4,'Miljövrärden urval för publ'!$B$2:$H$2,0),FALSE),"")</f>
        <v/>
      </c>
    </row>
    <row r="420" spans="2:7" x14ac:dyDescent="0.25">
      <c r="B420" s="121" t="str">
        <f>IFERROR(INDEX('Miljövrärden urval för publ'!$A$2:$AA$419,MATCH('Miljövärden för publ företag'!$A420,'Miljövrärden urval för publ'!$R$2:$R$416,0),1),"")</f>
        <v/>
      </c>
      <c r="C420" s="121" t="str">
        <f>IFERROR(INDEX('Miljövrärden urval för publ'!$A$2:$AA$419,MATCH('Miljövärden för publ företag'!$A420,'Miljövrärden urval för publ'!$R$2:$R$416,0),2),"")</f>
        <v/>
      </c>
      <c r="D420" s="121" t="str">
        <f>IFERROR(VLOOKUP($C420,'Miljövrärden urval för publ'!$B$2:$H$416,MATCH('Miljövärden för publ företag'!D$4,'Miljövrärden urval för publ'!$B$2:$H$2,0),FALSE),"")</f>
        <v/>
      </c>
      <c r="E420" s="121" t="str">
        <f>IFERROR(VLOOKUP($C420,'Miljövrärden urval för publ'!$B$2:$H$416,MATCH('Miljövärden för publ företag'!E$4,'Miljövrärden urval för publ'!$B$2:$H$2,0),FALSE),"")</f>
        <v/>
      </c>
      <c r="F420" s="121" t="str">
        <f>IFERROR(VLOOKUP($C420,'Miljövrärden urval för publ'!$B$2:$H$416,MATCH('Miljövärden för publ företag'!F$4,'Miljövrärden urval för publ'!$B$2:$H$2,0),FALSE),"")</f>
        <v/>
      </c>
      <c r="G420" s="121" t="str">
        <f>IFERROR(VLOOKUP($C420,'Miljövrärden urval för publ'!$B$2:$H$416,MATCH('Miljövärden för publ företag'!G$4,'Miljövrärden urval för publ'!$B$2:$H$2,0),FALSE),"")</f>
        <v/>
      </c>
    </row>
    <row r="421" spans="2:7" x14ac:dyDescent="0.25">
      <c r="B421" s="121" t="str">
        <f>IFERROR(INDEX('Miljövrärden urval för publ'!$A$2:$AA$419,MATCH('Miljövärden för publ företag'!$A421,'Miljövrärden urval för publ'!$R$2:$R$416,0),1),"")</f>
        <v/>
      </c>
      <c r="C421" s="121" t="str">
        <f>IFERROR(INDEX('Miljövrärden urval för publ'!$A$2:$AA$419,MATCH('Miljövärden för publ företag'!$A421,'Miljövrärden urval för publ'!$R$2:$R$416,0),2),"")</f>
        <v/>
      </c>
      <c r="D421" s="121" t="str">
        <f>IFERROR(VLOOKUP($C421,'Miljövrärden urval för publ'!$B$2:$H$416,MATCH('Miljövärden för publ företag'!D$4,'Miljövrärden urval för publ'!$B$2:$H$2,0),FALSE),"")</f>
        <v/>
      </c>
      <c r="E421" s="121" t="str">
        <f>IFERROR(VLOOKUP($C421,'Miljövrärden urval för publ'!$B$2:$H$416,MATCH('Miljövärden för publ företag'!E$4,'Miljövrärden urval för publ'!$B$2:$H$2,0),FALSE),"")</f>
        <v/>
      </c>
      <c r="F421" s="121" t="str">
        <f>IFERROR(VLOOKUP($C421,'Miljövrärden urval för publ'!$B$2:$H$416,MATCH('Miljövärden för publ företag'!F$4,'Miljövrärden urval för publ'!$B$2:$H$2,0),FALSE),"")</f>
        <v/>
      </c>
      <c r="G421" s="121" t="str">
        <f>IFERROR(VLOOKUP($C421,'Miljövrärden urval för publ'!$B$2:$H$416,MATCH('Miljövärden för publ företag'!G$4,'Miljövrärden urval för publ'!$B$2:$H$2,0),FALSE),"")</f>
        <v/>
      </c>
    </row>
    <row r="422" spans="2:7" x14ac:dyDescent="0.25">
      <c r="B422" s="121" t="str">
        <f>IFERROR(INDEX('Miljövrärden urval för publ'!$A$2:$AA$419,MATCH('Miljövärden för publ företag'!$A422,'Miljövrärden urval för publ'!$R$2:$R$416,0),1),"")</f>
        <v/>
      </c>
      <c r="C422" s="121" t="str">
        <f>IFERROR(INDEX('Miljövrärden urval för publ'!$A$2:$AA$419,MATCH('Miljövärden för publ företag'!$A422,'Miljövrärden urval för publ'!$R$2:$R$416,0),2),"")</f>
        <v/>
      </c>
      <c r="D422" s="121" t="str">
        <f>IFERROR(VLOOKUP($C422,'Miljövrärden urval för publ'!$B$2:$H$416,MATCH('Miljövärden för publ företag'!D$4,'Miljövrärden urval för publ'!$B$2:$H$2,0),FALSE),"")</f>
        <v/>
      </c>
      <c r="E422" s="121" t="str">
        <f>IFERROR(VLOOKUP($C422,'Miljövrärden urval för publ'!$B$2:$H$416,MATCH('Miljövärden för publ företag'!E$4,'Miljövrärden urval för publ'!$B$2:$H$2,0),FALSE),"")</f>
        <v/>
      </c>
      <c r="F422" s="121" t="str">
        <f>IFERROR(VLOOKUP($C422,'Miljövrärden urval för publ'!$B$2:$H$416,MATCH('Miljövärden för publ företag'!F$4,'Miljövrärden urval för publ'!$B$2:$H$2,0),FALSE),"")</f>
        <v/>
      </c>
      <c r="G422" s="121" t="str">
        <f>IFERROR(VLOOKUP($C422,'Miljövrärden urval för publ'!$B$2:$H$416,MATCH('Miljövärden för publ företag'!G$4,'Miljövrärden urval för publ'!$B$2:$H$2,0),FALSE),"")</f>
        <v/>
      </c>
    </row>
    <row r="423" spans="2:7" x14ac:dyDescent="0.25">
      <c r="B423" s="121" t="str">
        <f>IFERROR(INDEX('Miljövrärden urval för publ'!$A$2:$AA$419,MATCH('Miljövärden för publ företag'!$A423,'Miljövrärden urval för publ'!$R$2:$R$416,0),1),"")</f>
        <v/>
      </c>
      <c r="C423" s="121" t="str">
        <f>IFERROR(INDEX('Miljövrärden urval för publ'!$A$2:$AA$419,MATCH('Miljövärden för publ företag'!$A423,'Miljövrärden urval för publ'!$R$2:$R$416,0),2),"")</f>
        <v/>
      </c>
      <c r="D423" s="121" t="str">
        <f>IFERROR(VLOOKUP($C423,'Miljövrärden urval för publ'!$B$2:$H$416,MATCH('Miljövärden för publ företag'!D$4,'Miljövrärden urval för publ'!$B$2:$H$2,0),FALSE),"")</f>
        <v/>
      </c>
      <c r="E423" s="121" t="str">
        <f>IFERROR(VLOOKUP($C423,'Miljövrärden urval för publ'!$B$2:$H$416,MATCH('Miljövärden för publ företag'!E$4,'Miljövrärden urval för publ'!$B$2:$H$2,0),FALSE),"")</f>
        <v/>
      </c>
      <c r="F423" s="121" t="str">
        <f>IFERROR(VLOOKUP($C423,'Miljövrärden urval för publ'!$B$2:$H$416,MATCH('Miljövärden för publ företag'!F$4,'Miljövrärden urval för publ'!$B$2:$H$2,0),FALSE),"")</f>
        <v/>
      </c>
      <c r="G423" s="121" t="str">
        <f>IFERROR(VLOOKUP($C423,'Miljövrärden urval för publ'!$B$2:$H$416,MATCH('Miljövärden för publ företag'!G$4,'Miljövrärden urval för publ'!$B$2:$H$2,0),FALSE),"")</f>
        <v/>
      </c>
    </row>
    <row r="424" spans="2:7" x14ac:dyDescent="0.25">
      <c r="B424" s="121" t="str">
        <f>IFERROR(INDEX('Miljövrärden urval för publ'!$A$2:$AA$419,MATCH('Miljövärden för publ företag'!$A424,'Miljövrärden urval för publ'!$R$2:$R$416,0),1),"")</f>
        <v/>
      </c>
      <c r="C424" s="121" t="str">
        <f>IFERROR(INDEX('Miljövrärden urval för publ'!$A$2:$AA$419,MATCH('Miljövärden för publ företag'!$A424,'Miljövrärden urval för publ'!$R$2:$R$416,0),2),"")</f>
        <v/>
      </c>
      <c r="D424" s="121" t="str">
        <f>IFERROR(VLOOKUP($C424,'Miljövrärden urval för publ'!$B$2:$H$416,MATCH('Miljövärden för publ företag'!D$4,'Miljövrärden urval för publ'!$B$2:$H$2,0),FALSE),"")</f>
        <v/>
      </c>
      <c r="E424" s="121" t="str">
        <f>IFERROR(VLOOKUP($C424,'Miljövrärden urval för publ'!$B$2:$H$416,MATCH('Miljövärden för publ företag'!E$4,'Miljövrärden urval för publ'!$B$2:$H$2,0),FALSE),"")</f>
        <v/>
      </c>
      <c r="F424" s="121" t="str">
        <f>IFERROR(VLOOKUP($C424,'Miljövrärden urval för publ'!$B$2:$H$416,MATCH('Miljövärden för publ företag'!F$4,'Miljövrärden urval för publ'!$B$2:$H$2,0),FALSE),"")</f>
        <v/>
      </c>
      <c r="G424" s="121" t="str">
        <f>IFERROR(VLOOKUP($C424,'Miljövrärden urval för publ'!$B$2:$H$416,MATCH('Miljövärden för publ företag'!G$4,'Miljövrärden urval för publ'!$B$2:$H$2,0),FALSE),"")</f>
        <v/>
      </c>
    </row>
    <row r="425" spans="2:7" x14ac:dyDescent="0.25">
      <c r="B425" s="121" t="str">
        <f>IFERROR(INDEX('Miljövrärden urval för publ'!$A$2:$AA$419,MATCH('Miljövärden för publ företag'!$A425,'Miljövrärden urval för publ'!$R$2:$R$416,0),1),"")</f>
        <v/>
      </c>
      <c r="C425" s="121" t="str">
        <f>IFERROR(INDEX('Miljövrärden urval för publ'!$A$2:$AA$419,MATCH('Miljövärden för publ företag'!$A425,'Miljövrärden urval för publ'!$R$2:$R$416,0),2),"")</f>
        <v/>
      </c>
      <c r="D425" s="121" t="str">
        <f>IFERROR(VLOOKUP($C425,'Miljövrärden urval för publ'!$B$2:$H$416,MATCH('Miljövärden för publ företag'!D$4,'Miljövrärden urval för publ'!$B$2:$H$2,0),FALSE),"")</f>
        <v/>
      </c>
      <c r="E425" s="121" t="str">
        <f>IFERROR(VLOOKUP($C425,'Miljövrärden urval för publ'!$B$2:$H$416,MATCH('Miljövärden för publ företag'!E$4,'Miljövrärden urval för publ'!$B$2:$H$2,0),FALSE),"")</f>
        <v/>
      </c>
      <c r="F425" s="121" t="str">
        <f>IFERROR(VLOOKUP($C425,'Miljövrärden urval för publ'!$B$2:$H$416,MATCH('Miljövärden för publ företag'!F$4,'Miljövrärden urval för publ'!$B$2:$H$2,0),FALSE),"")</f>
        <v/>
      </c>
      <c r="G425" s="121" t="str">
        <f>IFERROR(VLOOKUP($C425,'Miljövrärden urval för publ'!$B$2:$H$416,MATCH('Miljövärden för publ företag'!G$4,'Miljövrärden urval för publ'!$B$2:$H$2,0),FALSE),"")</f>
        <v/>
      </c>
    </row>
    <row r="426" spans="2:7" x14ac:dyDescent="0.25">
      <c r="B426" s="121" t="str">
        <f>IFERROR(INDEX('Miljövrärden urval för publ'!$A$2:$AA$419,MATCH('Miljövärden för publ företag'!$A426,'Miljövrärden urval för publ'!$R$2:$R$416,0),1),"")</f>
        <v/>
      </c>
      <c r="C426" s="121" t="str">
        <f>IFERROR(INDEX('Miljövrärden urval för publ'!$A$2:$AA$419,MATCH('Miljövärden för publ företag'!$A426,'Miljövrärden urval för publ'!$R$2:$R$416,0),2),"")</f>
        <v/>
      </c>
      <c r="D426" s="121" t="str">
        <f>IFERROR(VLOOKUP($C426,'Miljövrärden urval för publ'!$B$2:$H$416,MATCH('Miljövärden för publ företag'!D$4,'Miljövrärden urval för publ'!$B$2:$H$2,0),FALSE),"")</f>
        <v/>
      </c>
      <c r="E426" s="121" t="str">
        <f>IFERROR(VLOOKUP($C426,'Miljövrärden urval för publ'!$B$2:$H$416,MATCH('Miljövärden för publ företag'!E$4,'Miljövrärden urval för publ'!$B$2:$H$2,0),FALSE),"")</f>
        <v/>
      </c>
      <c r="F426" s="121" t="str">
        <f>IFERROR(VLOOKUP($C426,'Miljövrärden urval för publ'!$B$2:$H$416,MATCH('Miljövärden för publ företag'!F$4,'Miljövrärden urval för publ'!$B$2:$H$2,0),FALSE),"")</f>
        <v/>
      </c>
      <c r="G426" s="121" t="str">
        <f>IFERROR(VLOOKUP($C426,'Miljövrärden urval för publ'!$B$2:$H$416,MATCH('Miljövärden för publ företag'!G$4,'Miljövrärden urval för publ'!$B$2:$H$2,0),FALSE),"")</f>
        <v/>
      </c>
    </row>
    <row r="427" spans="2:7" x14ac:dyDescent="0.25">
      <c r="B427" s="121" t="str">
        <f>IFERROR(INDEX('Miljövrärden urval för publ'!$A$2:$AA$419,MATCH('Miljövärden för publ företag'!$A427,'Miljövrärden urval för publ'!$R$2:$R$416,0),1),"")</f>
        <v/>
      </c>
      <c r="C427" s="121" t="str">
        <f>IFERROR(INDEX('Miljövrärden urval för publ'!$A$2:$AA$419,MATCH('Miljövärden för publ företag'!$A427,'Miljövrärden urval för publ'!$R$2:$R$416,0),2),"")</f>
        <v/>
      </c>
      <c r="D427" s="121" t="str">
        <f>IFERROR(VLOOKUP($C427,'Miljövrärden urval för publ'!$B$2:$H$416,MATCH('Miljövärden för publ företag'!D$4,'Miljövrärden urval för publ'!$B$2:$H$2,0),FALSE),"")</f>
        <v/>
      </c>
      <c r="E427" s="121" t="str">
        <f>IFERROR(VLOOKUP($C427,'Miljövrärden urval för publ'!$B$2:$H$416,MATCH('Miljövärden för publ företag'!E$4,'Miljövrärden urval för publ'!$B$2:$H$2,0),FALSE),"")</f>
        <v/>
      </c>
      <c r="F427" s="121" t="str">
        <f>IFERROR(VLOOKUP($C427,'Miljövrärden urval för publ'!$B$2:$H$416,MATCH('Miljövärden för publ företag'!F$4,'Miljövrärden urval för publ'!$B$2:$H$2,0),FALSE),"")</f>
        <v/>
      </c>
      <c r="G427" s="121" t="str">
        <f>IFERROR(VLOOKUP($C427,'Miljövrärden urval för publ'!$B$2:$H$416,MATCH('Miljövärden för publ företag'!G$4,'Miljövrärden urval för publ'!$B$2:$H$2,0),FALSE),"")</f>
        <v/>
      </c>
    </row>
    <row r="428" spans="2:7" x14ac:dyDescent="0.25">
      <c r="B428" s="121" t="str">
        <f>IFERROR(INDEX('Miljövrärden urval för publ'!$A$2:$AA$419,MATCH('Miljövärden för publ företag'!$A428,'Miljövrärden urval för publ'!$R$2:$R$416,0),1),"")</f>
        <v/>
      </c>
      <c r="C428" s="121" t="str">
        <f>IFERROR(INDEX('Miljövrärden urval för publ'!$A$2:$AA$419,MATCH('Miljövärden för publ företag'!$A428,'Miljövrärden urval för publ'!$R$2:$R$416,0),2),"")</f>
        <v/>
      </c>
      <c r="D428" s="121" t="str">
        <f>IFERROR(VLOOKUP($C428,'Miljövrärden urval för publ'!$B$2:$H$416,MATCH('Miljövärden för publ företag'!D$4,'Miljövrärden urval för publ'!$B$2:$H$2,0),FALSE),"")</f>
        <v/>
      </c>
      <c r="E428" s="121" t="str">
        <f>IFERROR(VLOOKUP($C428,'Miljövrärden urval för publ'!$B$2:$H$416,MATCH('Miljövärden för publ företag'!E$4,'Miljövrärden urval för publ'!$B$2:$H$2,0),FALSE),"")</f>
        <v/>
      </c>
      <c r="F428" s="121" t="str">
        <f>IFERROR(VLOOKUP($C428,'Miljövrärden urval för publ'!$B$2:$H$416,MATCH('Miljövärden för publ företag'!F$4,'Miljövrärden urval för publ'!$B$2:$H$2,0),FALSE),"")</f>
        <v/>
      </c>
      <c r="G428" s="121" t="str">
        <f>IFERROR(VLOOKUP($C428,'Miljövrärden urval för publ'!$B$2:$H$416,MATCH('Miljövärden för publ företag'!G$4,'Miljövrärden urval för publ'!$B$2:$H$2,0),FALSE),"")</f>
        <v/>
      </c>
    </row>
    <row r="429" spans="2:7" x14ac:dyDescent="0.25">
      <c r="B429" s="121" t="str">
        <f>IFERROR(INDEX('Miljövrärden urval för publ'!$A$2:$AA$419,MATCH('Miljövärden för publ företag'!$A429,'Miljövrärden urval för publ'!$R$2:$R$416,0),1),"")</f>
        <v/>
      </c>
      <c r="C429" s="121" t="str">
        <f>IFERROR(INDEX('Miljövrärden urval för publ'!$A$2:$AA$419,MATCH('Miljövärden för publ företag'!$A429,'Miljövrärden urval för publ'!$R$2:$R$416,0),2),"")</f>
        <v/>
      </c>
      <c r="D429" s="121" t="str">
        <f>IFERROR(VLOOKUP($C429,'Miljövrärden urval för publ'!$B$2:$H$416,MATCH('Miljövärden för publ företag'!D$4,'Miljövrärden urval för publ'!$B$2:$H$2,0),FALSE),"")</f>
        <v/>
      </c>
      <c r="E429" s="121" t="str">
        <f>IFERROR(VLOOKUP($C429,'Miljövrärden urval för publ'!$B$2:$H$416,MATCH('Miljövärden för publ företag'!E$4,'Miljövrärden urval för publ'!$B$2:$H$2,0),FALSE),"")</f>
        <v/>
      </c>
      <c r="F429" s="121" t="str">
        <f>IFERROR(VLOOKUP($C429,'Miljövrärden urval för publ'!$B$2:$H$416,MATCH('Miljövärden för publ företag'!F$4,'Miljövrärden urval för publ'!$B$2:$H$2,0),FALSE),"")</f>
        <v/>
      </c>
      <c r="G429" s="121" t="str">
        <f>IFERROR(VLOOKUP($C429,'Miljövrärden urval för publ'!$B$2:$H$416,MATCH('Miljövärden för publ företag'!G$4,'Miljövrärden urval för publ'!$B$2:$H$2,0),FALSE),"")</f>
        <v/>
      </c>
    </row>
    <row r="430" spans="2:7" x14ac:dyDescent="0.25">
      <c r="B430" s="121" t="str">
        <f>IFERROR(INDEX('Miljövrärden urval för publ'!$A$2:$AA$419,MATCH('Miljövärden för publ företag'!$A430,'Miljövrärden urval för publ'!$R$2:$R$416,0),1),"")</f>
        <v/>
      </c>
      <c r="C430" s="121" t="str">
        <f>IFERROR(INDEX('Miljövrärden urval för publ'!$A$2:$AA$419,MATCH('Miljövärden för publ företag'!$A430,'Miljövrärden urval för publ'!$R$2:$R$416,0),2),"")</f>
        <v/>
      </c>
      <c r="D430" s="121" t="str">
        <f>IFERROR(VLOOKUP($C430,'Miljövrärden urval för publ'!$B$2:$H$416,MATCH('Miljövärden för publ företag'!D$4,'Miljövrärden urval för publ'!$B$2:$H$2,0),FALSE),"")</f>
        <v/>
      </c>
      <c r="E430" s="121" t="str">
        <f>IFERROR(VLOOKUP($C430,'Miljövrärden urval för publ'!$B$2:$H$416,MATCH('Miljövärden för publ företag'!E$4,'Miljövrärden urval för publ'!$B$2:$H$2,0),FALSE),"")</f>
        <v/>
      </c>
      <c r="F430" s="121" t="str">
        <f>IFERROR(VLOOKUP($C430,'Miljövrärden urval för publ'!$B$2:$H$416,MATCH('Miljövärden för publ företag'!F$4,'Miljövrärden urval för publ'!$B$2:$H$2,0),FALSE),"")</f>
        <v/>
      </c>
      <c r="G430" s="121" t="str">
        <f>IFERROR(VLOOKUP($C430,'Miljövrärden urval för publ'!$B$2:$H$416,MATCH('Miljövärden för publ företag'!G$4,'Miljövrärden urval för publ'!$B$2:$H$2,0),FALSE),"")</f>
        <v/>
      </c>
    </row>
    <row r="431" spans="2:7" x14ac:dyDescent="0.25">
      <c r="B431" s="121" t="str">
        <f>IFERROR(INDEX('Miljövrärden urval för publ'!$A$2:$AA$419,MATCH('Miljövärden för publ företag'!$A431,'Miljövrärden urval för publ'!$R$2:$R$416,0),1),"")</f>
        <v/>
      </c>
      <c r="C431" s="121" t="str">
        <f>IFERROR(INDEX('Miljövrärden urval för publ'!$A$2:$AA$419,MATCH('Miljövärden för publ företag'!$A431,'Miljövrärden urval för publ'!$R$2:$R$416,0),2),"")</f>
        <v/>
      </c>
      <c r="D431" s="121" t="str">
        <f>IFERROR(VLOOKUP($C431,'Miljövrärden urval för publ'!$B$2:$H$416,MATCH('Miljövärden för publ företag'!D$4,'Miljövrärden urval för publ'!$B$2:$H$2,0),FALSE),"")</f>
        <v/>
      </c>
      <c r="E431" s="121" t="str">
        <f>IFERROR(VLOOKUP($C431,'Miljövrärden urval för publ'!$B$2:$H$416,MATCH('Miljövärden för publ företag'!E$4,'Miljövrärden urval för publ'!$B$2:$H$2,0),FALSE),"")</f>
        <v/>
      </c>
      <c r="F431" s="121" t="str">
        <f>IFERROR(VLOOKUP($C431,'Miljövrärden urval för publ'!$B$2:$H$416,MATCH('Miljövärden för publ företag'!F$4,'Miljövrärden urval för publ'!$B$2:$H$2,0),FALSE),"")</f>
        <v/>
      </c>
      <c r="G431" s="121" t="str">
        <f>IFERROR(VLOOKUP($C431,'Miljövrärden urval för publ'!$B$2:$H$416,MATCH('Miljövärden för publ företag'!G$4,'Miljövrärden urval för publ'!$B$2:$H$2,0),FALSE),"")</f>
        <v/>
      </c>
    </row>
    <row r="432" spans="2:7" x14ac:dyDescent="0.25">
      <c r="B432" s="121" t="str">
        <f>IFERROR(INDEX('Miljövrärden urval för publ'!$A$2:$AA$419,MATCH('Miljövärden för publ företag'!$A432,'Miljövrärden urval för publ'!$R$2:$R$416,0),1),"")</f>
        <v/>
      </c>
      <c r="C432" s="121" t="str">
        <f>IFERROR(INDEX('Miljövrärden urval för publ'!$A$2:$AA$419,MATCH('Miljövärden för publ företag'!$A432,'Miljövrärden urval för publ'!$R$2:$R$416,0),2),"")</f>
        <v/>
      </c>
      <c r="D432" s="121" t="str">
        <f>IFERROR(VLOOKUP($C432,'Miljövrärden urval för publ'!$B$2:$H$416,MATCH('Miljövärden för publ företag'!D$4,'Miljövrärden urval för publ'!$B$2:$H$2,0),FALSE),"")</f>
        <v/>
      </c>
      <c r="E432" s="121" t="str">
        <f>IFERROR(VLOOKUP($C432,'Miljövrärden urval för publ'!$B$2:$H$416,MATCH('Miljövärden för publ företag'!E$4,'Miljövrärden urval för publ'!$B$2:$H$2,0),FALSE),"")</f>
        <v/>
      </c>
      <c r="F432" s="121" t="str">
        <f>IFERROR(VLOOKUP($C432,'Miljövrärden urval för publ'!$B$2:$H$416,MATCH('Miljövärden för publ företag'!F$4,'Miljövrärden urval för publ'!$B$2:$H$2,0),FALSE),"")</f>
        <v/>
      </c>
      <c r="G432" s="121" t="str">
        <f>IFERROR(VLOOKUP($C432,'Miljövrärden urval för publ'!$B$2:$H$416,MATCH('Miljövärden för publ företag'!G$4,'Miljövrärden urval för publ'!$B$2:$H$2,0),FALSE),"")</f>
        <v/>
      </c>
    </row>
    <row r="433" spans="2:7" x14ac:dyDescent="0.25">
      <c r="B433" s="121" t="str">
        <f>IFERROR(INDEX('Miljövrärden urval för publ'!$A$2:$AA$419,MATCH('Miljövärden för publ företag'!$A433,'Miljövrärden urval för publ'!$R$2:$R$416,0),1),"")</f>
        <v/>
      </c>
      <c r="C433" s="121" t="str">
        <f>IFERROR(INDEX('Miljövrärden urval för publ'!$A$2:$AA$419,MATCH('Miljövärden för publ företag'!$A433,'Miljövrärden urval för publ'!$R$2:$R$416,0),2),"")</f>
        <v/>
      </c>
      <c r="D433" s="121" t="str">
        <f>IFERROR(VLOOKUP($C433,'Miljövrärden urval för publ'!$B$2:$H$416,MATCH('Miljövärden för publ företag'!D$4,'Miljövrärden urval för publ'!$B$2:$H$2,0),FALSE),"")</f>
        <v/>
      </c>
      <c r="E433" s="121" t="str">
        <f>IFERROR(VLOOKUP($C433,'Miljövrärden urval för publ'!$B$2:$H$416,MATCH('Miljövärden för publ företag'!E$4,'Miljövrärden urval för publ'!$B$2:$H$2,0),FALSE),"")</f>
        <v/>
      </c>
      <c r="F433" s="121" t="str">
        <f>IFERROR(VLOOKUP($C433,'Miljövrärden urval för publ'!$B$2:$H$416,MATCH('Miljövärden för publ företag'!F$4,'Miljövrärden urval för publ'!$B$2:$H$2,0),FALSE),"")</f>
        <v/>
      </c>
      <c r="G433" s="121" t="str">
        <f>IFERROR(VLOOKUP($C433,'Miljövrärden urval för publ'!$B$2:$H$416,MATCH('Miljövärden för publ företag'!G$4,'Miljövrärden urval för publ'!$B$2:$H$2,0),FALSE),"")</f>
        <v/>
      </c>
    </row>
    <row r="434" spans="2:7" x14ac:dyDescent="0.25">
      <c r="B434" s="121" t="str">
        <f>IFERROR(INDEX('Miljövrärden urval för publ'!$A$2:$AA$419,MATCH('Miljövärden för publ företag'!$A434,'Miljövrärden urval för publ'!$R$2:$R$416,0),1),"")</f>
        <v/>
      </c>
      <c r="C434" s="121" t="str">
        <f>IFERROR(INDEX('Miljövrärden urval för publ'!$A$2:$AA$419,MATCH('Miljövärden för publ företag'!$A434,'Miljövrärden urval för publ'!$R$2:$R$416,0),2),"")</f>
        <v/>
      </c>
      <c r="D434" s="121" t="str">
        <f>IFERROR(VLOOKUP($C434,'Miljövrärden urval för publ'!$B$2:$H$416,MATCH('Miljövärden för publ företag'!D$4,'Miljövrärden urval för publ'!$B$2:$H$2,0),FALSE),"")</f>
        <v/>
      </c>
      <c r="E434" s="121" t="str">
        <f>IFERROR(VLOOKUP($C434,'Miljövrärden urval för publ'!$B$2:$H$416,MATCH('Miljövärden för publ företag'!E$4,'Miljövrärden urval för publ'!$B$2:$H$2,0),FALSE),"")</f>
        <v/>
      </c>
      <c r="F434" s="121" t="str">
        <f>IFERROR(VLOOKUP($C434,'Miljövrärden urval för publ'!$B$2:$H$416,MATCH('Miljövärden för publ företag'!F$4,'Miljövrärden urval för publ'!$B$2:$H$2,0),FALSE),"")</f>
        <v/>
      </c>
      <c r="G434" s="121" t="str">
        <f>IFERROR(VLOOKUP($C434,'Miljövrärden urval för publ'!$B$2:$H$416,MATCH('Miljövärden för publ företag'!G$4,'Miljövrärden urval för publ'!$B$2:$H$2,0),FALSE),"")</f>
        <v/>
      </c>
    </row>
    <row r="435" spans="2:7" x14ac:dyDescent="0.25">
      <c r="B435" s="121" t="str">
        <f>IFERROR(INDEX('Miljövrärden urval för publ'!$A$2:$AA$419,MATCH('Miljövärden för publ företag'!$A435,'Miljövrärden urval för publ'!$R$2:$R$416,0),1),"")</f>
        <v/>
      </c>
      <c r="C435" s="121" t="str">
        <f>IFERROR(INDEX('Miljövrärden urval för publ'!$A$2:$AA$419,MATCH('Miljövärden för publ företag'!$A435,'Miljövrärden urval för publ'!$R$2:$R$416,0),2),"")</f>
        <v/>
      </c>
      <c r="D435" s="121" t="str">
        <f>IFERROR(VLOOKUP($C435,'Miljövrärden urval för publ'!$B$2:$H$416,MATCH('Miljövärden för publ företag'!D$4,'Miljövrärden urval för publ'!$B$2:$H$2,0),FALSE),"")</f>
        <v/>
      </c>
      <c r="E435" s="121" t="str">
        <f>IFERROR(VLOOKUP($C435,'Miljövrärden urval för publ'!$B$2:$H$416,MATCH('Miljövärden för publ företag'!E$4,'Miljövrärden urval för publ'!$B$2:$H$2,0),FALSE),"")</f>
        <v/>
      </c>
      <c r="F435" s="121" t="str">
        <f>IFERROR(VLOOKUP($C435,'Miljövrärden urval för publ'!$B$2:$H$416,MATCH('Miljövärden för publ företag'!F$4,'Miljövrärden urval för publ'!$B$2:$H$2,0),FALSE),"")</f>
        <v/>
      </c>
      <c r="G435" s="121" t="str">
        <f>IFERROR(VLOOKUP($C435,'Miljövrärden urval för publ'!$B$2:$H$416,MATCH('Miljövärden för publ företag'!G$4,'Miljövrärden urval för publ'!$B$2:$H$2,0),FALSE),"")</f>
        <v/>
      </c>
    </row>
    <row r="436" spans="2:7" x14ac:dyDescent="0.25">
      <c r="B436" s="121" t="str">
        <f>IFERROR(INDEX('Miljövrärden urval för publ'!$A$2:$AA$419,MATCH('Miljövärden för publ företag'!$A436,'Miljövrärden urval för publ'!$R$2:$R$416,0),1),"")</f>
        <v/>
      </c>
      <c r="C436" s="121" t="str">
        <f>IFERROR(INDEX('Miljövrärden urval för publ'!$A$2:$AA$419,MATCH('Miljövärden för publ företag'!$A436,'Miljövrärden urval för publ'!$R$2:$R$416,0),2),"")</f>
        <v/>
      </c>
      <c r="D436" s="121" t="str">
        <f>IFERROR(VLOOKUP($C436,'Miljövrärden urval för publ'!$B$2:$H$416,MATCH('Miljövärden för publ företag'!D$4,'Miljövrärden urval för publ'!$B$2:$H$2,0),FALSE),"")</f>
        <v/>
      </c>
      <c r="E436" s="121" t="str">
        <f>IFERROR(VLOOKUP($C436,'Miljövrärden urval för publ'!$B$2:$H$416,MATCH('Miljövärden för publ företag'!E$4,'Miljövrärden urval för publ'!$B$2:$H$2,0),FALSE),"")</f>
        <v/>
      </c>
      <c r="F436" s="121" t="str">
        <f>IFERROR(VLOOKUP($C436,'Miljövrärden urval för publ'!$B$2:$H$416,MATCH('Miljövärden för publ företag'!F$4,'Miljövrärden urval för publ'!$B$2:$H$2,0),FALSE),"")</f>
        <v/>
      </c>
      <c r="G436" s="121" t="str">
        <f>IFERROR(VLOOKUP($C436,'Miljövrärden urval för publ'!$B$2:$H$416,MATCH('Miljövärden för publ företag'!G$4,'Miljövrärden urval för publ'!$B$2:$H$2,0),FALSE),"")</f>
        <v/>
      </c>
    </row>
    <row r="437" spans="2:7" x14ac:dyDescent="0.25">
      <c r="B437" s="121" t="str">
        <f>IFERROR(INDEX('Miljövrärden urval för publ'!$A$2:$AA$419,MATCH('Miljövärden för publ företag'!$A437,'Miljövrärden urval för publ'!$R$2:$R$416,0),1),"")</f>
        <v/>
      </c>
      <c r="C437" s="121" t="str">
        <f>IFERROR(INDEX('Miljövrärden urval för publ'!$A$2:$AA$419,MATCH('Miljövärden för publ företag'!$A437,'Miljövrärden urval för publ'!$R$2:$R$416,0),2),"")</f>
        <v/>
      </c>
      <c r="D437" s="121" t="str">
        <f>IFERROR(VLOOKUP($C437,'Miljövrärden urval för publ'!$B$2:$H$416,MATCH('Miljövärden för publ företag'!D$4,'Miljövrärden urval för publ'!$B$2:$H$2,0),FALSE),"")</f>
        <v/>
      </c>
      <c r="E437" s="121" t="str">
        <f>IFERROR(VLOOKUP($C437,'Miljövrärden urval för publ'!$B$2:$H$416,MATCH('Miljövärden för publ företag'!E$4,'Miljövrärden urval för publ'!$B$2:$H$2,0),FALSE),"")</f>
        <v/>
      </c>
      <c r="F437" s="121" t="str">
        <f>IFERROR(VLOOKUP($C437,'Miljövrärden urval för publ'!$B$2:$H$416,MATCH('Miljövärden för publ företag'!F$4,'Miljövrärden urval för publ'!$B$2:$H$2,0),FALSE),"")</f>
        <v/>
      </c>
      <c r="G437" s="121" t="str">
        <f>IFERROR(VLOOKUP($C437,'Miljövrärden urval för publ'!$B$2:$H$416,MATCH('Miljövärden för publ företag'!G$4,'Miljövrärden urval för publ'!$B$2:$H$2,0),FALSE),"")</f>
        <v/>
      </c>
    </row>
    <row r="438" spans="2:7" x14ac:dyDescent="0.25">
      <c r="B438" s="121" t="str">
        <f>IFERROR(INDEX('Miljövrärden urval för publ'!$A$2:$AA$419,MATCH('Miljövärden för publ företag'!$A438,'Miljövrärden urval för publ'!$R$2:$R$416,0),1),"")</f>
        <v/>
      </c>
      <c r="C438" s="121" t="str">
        <f>IFERROR(INDEX('Miljövrärden urval för publ'!$A$2:$AA$419,MATCH('Miljövärden för publ företag'!$A438,'Miljövrärden urval för publ'!$R$2:$R$416,0),2),"")</f>
        <v/>
      </c>
      <c r="D438" s="121" t="str">
        <f>IFERROR(VLOOKUP($C438,'Miljövrärden urval för publ'!$B$2:$H$416,MATCH('Miljövärden för publ företag'!D$4,'Miljövrärden urval för publ'!$B$2:$H$2,0),FALSE),"")</f>
        <v/>
      </c>
      <c r="E438" s="121" t="str">
        <f>IFERROR(VLOOKUP($C438,'Miljövrärden urval för publ'!$B$2:$H$416,MATCH('Miljövärden för publ företag'!E$4,'Miljövrärden urval för publ'!$B$2:$H$2,0),FALSE),"")</f>
        <v/>
      </c>
      <c r="F438" s="121" t="str">
        <f>IFERROR(VLOOKUP($C438,'Miljövrärden urval för publ'!$B$2:$H$416,MATCH('Miljövärden för publ företag'!F$4,'Miljövrärden urval för publ'!$B$2:$H$2,0),FALSE),"")</f>
        <v/>
      </c>
      <c r="G438" s="121" t="str">
        <f>IFERROR(VLOOKUP($C438,'Miljövrärden urval för publ'!$B$2:$H$416,MATCH('Miljövärden för publ företag'!G$4,'Miljövrärden urval för publ'!$B$2:$H$2,0),FALSE),"")</f>
        <v/>
      </c>
    </row>
    <row r="439" spans="2:7" x14ac:dyDescent="0.25">
      <c r="B439" s="121" t="str">
        <f>IFERROR(INDEX('Miljövrärden urval för publ'!$A$2:$AA$419,MATCH('Miljövärden för publ företag'!$A439,'Miljövrärden urval för publ'!$R$2:$R$416,0),1),"")</f>
        <v/>
      </c>
      <c r="C439" s="121" t="str">
        <f>IFERROR(INDEX('Miljövrärden urval för publ'!$A$2:$AA$419,MATCH('Miljövärden för publ företag'!$A439,'Miljövrärden urval för publ'!$R$2:$R$416,0),2),"")</f>
        <v/>
      </c>
      <c r="D439" s="121" t="str">
        <f>IFERROR(VLOOKUP($C439,'Miljövrärden urval för publ'!$B$2:$H$416,MATCH('Miljövärden för publ företag'!D$4,'Miljövrärden urval för publ'!$B$2:$H$2,0),FALSE),"")</f>
        <v/>
      </c>
      <c r="E439" s="121" t="str">
        <f>IFERROR(VLOOKUP($C439,'Miljövrärden urval för publ'!$B$2:$H$416,MATCH('Miljövärden för publ företag'!E$4,'Miljövrärden urval för publ'!$B$2:$H$2,0),FALSE),"")</f>
        <v/>
      </c>
      <c r="F439" s="121" t="str">
        <f>IFERROR(VLOOKUP($C439,'Miljövrärden urval för publ'!$B$2:$H$416,MATCH('Miljövärden för publ företag'!F$4,'Miljövrärden urval för publ'!$B$2:$H$2,0),FALSE),"")</f>
        <v/>
      </c>
      <c r="G439" s="121" t="str">
        <f>IFERROR(VLOOKUP($C439,'Miljövrärden urval för publ'!$B$2:$H$416,MATCH('Miljövärden för publ företag'!G$4,'Miljövrärden urval för publ'!$B$2:$H$2,0),FALSE),"")</f>
        <v/>
      </c>
    </row>
    <row r="440" spans="2:7" x14ac:dyDescent="0.25">
      <c r="B440" s="121" t="str">
        <f>IFERROR(INDEX('Miljövrärden urval för publ'!$A$2:$AA$419,MATCH('Miljövärden för publ företag'!$A440,'Miljövrärden urval för publ'!$R$2:$R$416,0),1),"")</f>
        <v/>
      </c>
      <c r="C440" s="121" t="str">
        <f>IFERROR(INDEX('Miljövrärden urval för publ'!$A$2:$AA$419,MATCH('Miljövärden för publ företag'!$A440,'Miljövrärden urval för publ'!$R$2:$R$416,0),2),"")</f>
        <v/>
      </c>
      <c r="D440" s="121" t="str">
        <f>IFERROR(VLOOKUP($C440,'Miljövrärden urval för publ'!$B$2:$H$416,MATCH('Miljövärden för publ företag'!D$4,'Miljövrärden urval för publ'!$B$2:$H$2,0),FALSE),"")</f>
        <v/>
      </c>
      <c r="E440" s="121" t="str">
        <f>IFERROR(VLOOKUP($C440,'Miljövrärden urval för publ'!$B$2:$H$416,MATCH('Miljövärden för publ företag'!E$4,'Miljövrärden urval för publ'!$B$2:$H$2,0),FALSE),"")</f>
        <v/>
      </c>
      <c r="F440" s="121" t="str">
        <f>IFERROR(VLOOKUP($C440,'Miljövrärden urval för publ'!$B$2:$H$416,MATCH('Miljövärden för publ företag'!F$4,'Miljövrärden urval för publ'!$B$2:$H$2,0),FALSE),"")</f>
        <v/>
      </c>
      <c r="G440" s="121" t="str">
        <f>IFERROR(VLOOKUP($C440,'Miljövrärden urval för publ'!$B$2:$H$416,MATCH('Miljövärden för publ företag'!G$4,'Miljövrärden urval för publ'!$B$2:$H$2,0),FALSE),"")</f>
        <v/>
      </c>
    </row>
    <row r="441" spans="2:7" x14ac:dyDescent="0.25">
      <c r="B441" s="121" t="str">
        <f>IFERROR(INDEX('Miljövrärden urval för publ'!$A$2:$AA$419,MATCH('Miljövärden för publ företag'!$A441,'Miljövrärden urval för publ'!$R$2:$R$416,0),1),"")</f>
        <v/>
      </c>
      <c r="C441" s="121" t="str">
        <f>IFERROR(INDEX('Miljövrärden urval för publ'!$A$2:$AA$419,MATCH('Miljövärden för publ företag'!$A441,'Miljövrärden urval för publ'!$R$2:$R$416,0),2),"")</f>
        <v/>
      </c>
      <c r="D441" s="121" t="str">
        <f>IFERROR(VLOOKUP($C441,'Miljövrärden urval för publ'!$B$2:$H$416,MATCH('Miljövärden för publ företag'!D$4,'Miljövrärden urval för publ'!$B$2:$H$2,0),FALSE),"")</f>
        <v/>
      </c>
      <c r="E441" s="121" t="str">
        <f>IFERROR(VLOOKUP($C441,'Miljövrärden urval för publ'!$B$2:$H$416,MATCH('Miljövärden för publ företag'!E$4,'Miljövrärden urval för publ'!$B$2:$H$2,0),FALSE),"")</f>
        <v/>
      </c>
      <c r="F441" s="121" t="str">
        <f>IFERROR(VLOOKUP($C441,'Miljövrärden urval för publ'!$B$2:$H$416,MATCH('Miljövärden för publ företag'!F$4,'Miljövrärden urval för publ'!$B$2:$H$2,0),FALSE),"")</f>
        <v/>
      </c>
      <c r="G441" s="121" t="str">
        <f>IFERROR(VLOOKUP($C441,'Miljövrärden urval för publ'!$B$2:$H$416,MATCH('Miljövärden för publ företag'!G$4,'Miljövrärden urval för publ'!$B$2:$H$2,0),FALSE),"")</f>
        <v/>
      </c>
    </row>
    <row r="442" spans="2:7" x14ac:dyDescent="0.25">
      <c r="B442" s="121" t="str">
        <f>IFERROR(INDEX('Miljövrärden urval för publ'!$A$2:$AA$419,MATCH('Miljövärden för publ företag'!$A442,'Miljövrärden urval för publ'!$R$2:$R$416,0),1),"")</f>
        <v/>
      </c>
      <c r="C442" s="121" t="str">
        <f>IFERROR(INDEX('Miljövrärden urval för publ'!$A$2:$AA$419,MATCH('Miljövärden för publ företag'!$A442,'Miljövrärden urval för publ'!$R$2:$R$416,0),2),"")</f>
        <v/>
      </c>
      <c r="D442" s="121" t="str">
        <f>IFERROR(VLOOKUP($C442,'Miljövrärden urval för publ'!$B$2:$H$416,MATCH('Miljövärden för publ företag'!D$4,'Miljövrärden urval för publ'!$B$2:$H$2,0),FALSE),"")</f>
        <v/>
      </c>
      <c r="E442" s="121" t="str">
        <f>IFERROR(VLOOKUP($C442,'Miljövrärden urval för publ'!$B$2:$H$416,MATCH('Miljövärden för publ företag'!E$4,'Miljövrärden urval för publ'!$B$2:$H$2,0),FALSE),"")</f>
        <v/>
      </c>
      <c r="F442" s="121" t="str">
        <f>IFERROR(VLOOKUP($C442,'Miljövrärden urval för publ'!$B$2:$H$416,MATCH('Miljövärden för publ företag'!F$4,'Miljövrärden urval för publ'!$B$2:$H$2,0),FALSE),"")</f>
        <v/>
      </c>
      <c r="G442" s="121" t="str">
        <f>IFERROR(VLOOKUP($C442,'Miljövrärden urval för publ'!$B$2:$H$416,MATCH('Miljövärden för publ företag'!G$4,'Miljövrärden urval för publ'!$B$2:$H$2,0),FALSE),"")</f>
        <v/>
      </c>
    </row>
    <row r="443" spans="2:7" x14ac:dyDescent="0.25">
      <c r="B443" s="121" t="str">
        <f>IFERROR(INDEX('Miljövrärden urval för publ'!$A$2:$AA$419,MATCH('Miljövärden för publ företag'!$A443,'Miljövrärden urval för publ'!$R$2:$R$416,0),1),"")</f>
        <v/>
      </c>
      <c r="C443" s="121" t="str">
        <f>IFERROR(INDEX('Miljövrärden urval för publ'!$A$2:$AA$419,MATCH('Miljövärden för publ företag'!$A443,'Miljövrärden urval för publ'!$R$2:$R$416,0),2),"")</f>
        <v/>
      </c>
      <c r="D443" s="121" t="str">
        <f>IFERROR(VLOOKUP($C443,'Miljövrärden urval för publ'!$B$2:$H$416,MATCH('Miljövärden för publ företag'!D$4,'Miljövrärden urval för publ'!$B$2:$H$2,0),FALSE),"")</f>
        <v/>
      </c>
      <c r="E443" s="121" t="str">
        <f>IFERROR(VLOOKUP($C443,'Miljövrärden urval för publ'!$B$2:$H$416,MATCH('Miljövärden för publ företag'!E$4,'Miljövrärden urval för publ'!$B$2:$H$2,0),FALSE),"")</f>
        <v/>
      </c>
      <c r="F443" s="121" t="str">
        <f>IFERROR(VLOOKUP($C443,'Miljövrärden urval för publ'!$B$2:$H$416,MATCH('Miljövärden för publ företag'!F$4,'Miljövrärden urval för publ'!$B$2:$H$2,0),FALSE),"")</f>
        <v/>
      </c>
      <c r="G443" s="121" t="str">
        <f>IFERROR(VLOOKUP($C443,'Miljövrärden urval för publ'!$B$2:$H$416,MATCH('Miljövärden för publ företag'!G$4,'Miljövrärden urval för publ'!$B$2:$H$2,0),FALSE),"")</f>
        <v/>
      </c>
    </row>
    <row r="444" spans="2:7" x14ac:dyDescent="0.25">
      <c r="B444" s="121" t="str">
        <f>IFERROR(INDEX('Miljövrärden urval för publ'!$A$2:$AA$419,MATCH('Miljövärden för publ företag'!$A444,'Miljövrärden urval för publ'!$R$2:$R$416,0),1),"")</f>
        <v/>
      </c>
      <c r="C444" s="121" t="str">
        <f>IFERROR(INDEX('Miljövrärden urval för publ'!$A$2:$AA$419,MATCH('Miljövärden för publ företag'!$A444,'Miljövrärden urval för publ'!$R$2:$R$416,0),2),"")</f>
        <v/>
      </c>
      <c r="D444" s="121" t="str">
        <f>IFERROR(VLOOKUP($C444,'Miljövrärden urval för publ'!$B$2:$H$416,MATCH('Miljövärden för publ företag'!D$4,'Miljövrärden urval för publ'!$B$2:$H$2,0),FALSE),"")</f>
        <v/>
      </c>
      <c r="E444" s="121" t="str">
        <f>IFERROR(VLOOKUP($C444,'Miljövrärden urval för publ'!$B$2:$H$416,MATCH('Miljövärden för publ företag'!E$4,'Miljövrärden urval för publ'!$B$2:$H$2,0),FALSE),"")</f>
        <v/>
      </c>
      <c r="F444" s="121" t="str">
        <f>IFERROR(VLOOKUP($C444,'Miljövrärden urval för publ'!$B$2:$H$416,MATCH('Miljövärden för publ företag'!F$4,'Miljövrärden urval för publ'!$B$2:$H$2,0),FALSE),"")</f>
        <v/>
      </c>
      <c r="G444" s="121" t="str">
        <f>IFERROR(VLOOKUP($C444,'Miljövrärden urval för publ'!$B$2:$H$416,MATCH('Miljövärden för publ företag'!G$4,'Miljövrärden urval för publ'!$B$2:$H$2,0),FALSE),"")</f>
        <v/>
      </c>
    </row>
    <row r="445" spans="2:7" x14ac:dyDescent="0.25">
      <c r="B445" s="121" t="str">
        <f>IFERROR(INDEX('Miljövrärden urval för publ'!$A$2:$AA$419,MATCH('Miljövärden för publ företag'!$A445,'Miljövrärden urval för publ'!$R$2:$R$416,0),1),"")</f>
        <v/>
      </c>
      <c r="C445" s="121" t="str">
        <f>IFERROR(INDEX('Miljövrärden urval för publ'!$A$2:$AA$419,MATCH('Miljövärden för publ företag'!$A445,'Miljövrärden urval för publ'!$R$2:$R$416,0),2),"")</f>
        <v/>
      </c>
      <c r="D445" s="121" t="str">
        <f>IFERROR(VLOOKUP($C445,'Miljövrärden urval för publ'!$B$2:$H$416,MATCH('Miljövärden för publ företag'!D$4,'Miljövrärden urval för publ'!$B$2:$H$2,0),FALSE),"")</f>
        <v/>
      </c>
      <c r="E445" s="121" t="str">
        <f>IFERROR(VLOOKUP($C445,'Miljövrärden urval för publ'!$B$2:$H$416,MATCH('Miljövärden för publ företag'!E$4,'Miljövrärden urval för publ'!$B$2:$H$2,0),FALSE),"")</f>
        <v/>
      </c>
      <c r="F445" s="121" t="str">
        <f>IFERROR(VLOOKUP($C445,'Miljövrärden urval för publ'!$B$2:$H$416,MATCH('Miljövärden för publ företag'!F$4,'Miljövrärden urval för publ'!$B$2:$H$2,0),FALSE),"")</f>
        <v/>
      </c>
      <c r="G445" s="121" t="str">
        <f>IFERROR(VLOOKUP($C445,'Miljövrärden urval för publ'!$B$2:$H$416,MATCH('Miljövärden för publ företag'!G$4,'Miljövrärden urval för publ'!$B$2:$H$2,0),FALSE),"")</f>
        <v/>
      </c>
    </row>
    <row r="446" spans="2:7" x14ac:dyDescent="0.25">
      <c r="B446" s="121" t="str">
        <f>IFERROR(INDEX('Miljövrärden urval för publ'!$A$2:$AA$419,MATCH('Miljövärden för publ företag'!$A446,'Miljövrärden urval för publ'!$R$2:$R$416,0),1),"")</f>
        <v/>
      </c>
      <c r="C446" s="121" t="str">
        <f>IFERROR(INDEX('Miljövrärden urval för publ'!$A$2:$AA$419,MATCH('Miljövärden för publ företag'!$A446,'Miljövrärden urval för publ'!$R$2:$R$416,0),2),"")</f>
        <v/>
      </c>
      <c r="D446" s="121" t="str">
        <f>IFERROR(VLOOKUP($C446,'Miljövrärden urval för publ'!$B$2:$H$416,MATCH('Miljövärden för publ företag'!D$4,'Miljövrärden urval för publ'!$B$2:$H$2,0),FALSE),"")</f>
        <v/>
      </c>
      <c r="E446" s="121" t="str">
        <f>IFERROR(VLOOKUP($C446,'Miljövrärden urval för publ'!$B$2:$H$416,MATCH('Miljövärden för publ företag'!E$4,'Miljövrärden urval för publ'!$B$2:$H$2,0),FALSE),"")</f>
        <v/>
      </c>
      <c r="F446" s="121" t="str">
        <f>IFERROR(VLOOKUP($C446,'Miljövrärden urval för publ'!$B$2:$H$416,MATCH('Miljövärden för publ företag'!F$4,'Miljövrärden urval för publ'!$B$2:$H$2,0),FALSE),"")</f>
        <v/>
      </c>
      <c r="G446" s="121" t="str">
        <f>IFERROR(VLOOKUP($C446,'Miljövrärden urval för publ'!$B$2:$H$416,MATCH('Miljövärden för publ företag'!G$4,'Miljövrärden urval för publ'!$B$2:$H$2,0),FALSE),"")</f>
        <v/>
      </c>
    </row>
    <row r="447" spans="2:7" x14ac:dyDescent="0.25">
      <c r="B447" s="121" t="str">
        <f>IFERROR(INDEX('Miljövrärden urval för publ'!$A$2:$AA$419,MATCH('Miljövärden för publ företag'!$A447,'Miljövrärden urval för publ'!$R$2:$R$416,0),1),"")</f>
        <v/>
      </c>
      <c r="C447" s="121" t="str">
        <f>IFERROR(INDEX('Miljövrärden urval för publ'!$A$2:$AA$419,MATCH('Miljövärden för publ företag'!$A447,'Miljövrärden urval för publ'!$R$2:$R$416,0),2),"")</f>
        <v/>
      </c>
      <c r="D447" s="121" t="str">
        <f>IFERROR(VLOOKUP($C447,'Miljövrärden urval för publ'!$B$2:$H$416,MATCH('Miljövärden för publ företag'!D$4,'Miljövrärden urval för publ'!$B$2:$H$2,0),FALSE),"")</f>
        <v/>
      </c>
      <c r="E447" s="121" t="str">
        <f>IFERROR(VLOOKUP($C447,'Miljövrärden urval för publ'!$B$2:$H$416,MATCH('Miljövärden för publ företag'!E$4,'Miljövrärden urval för publ'!$B$2:$H$2,0),FALSE),"")</f>
        <v/>
      </c>
      <c r="F447" s="121" t="str">
        <f>IFERROR(VLOOKUP($C447,'Miljövrärden urval för publ'!$B$2:$H$416,MATCH('Miljövärden för publ företag'!F$4,'Miljövrärden urval för publ'!$B$2:$H$2,0),FALSE),"")</f>
        <v/>
      </c>
      <c r="G447" s="121" t="str">
        <f>IFERROR(VLOOKUP($C447,'Miljövrärden urval för publ'!$B$2:$H$416,MATCH('Miljövärden för publ företag'!G$4,'Miljövrärden urval för publ'!$B$2:$H$2,0),FALSE),"")</f>
        <v/>
      </c>
    </row>
    <row r="448" spans="2:7" x14ac:dyDescent="0.25">
      <c r="B448" s="121" t="str">
        <f>IFERROR(INDEX('Miljövrärden urval för publ'!$A$2:$AA$419,MATCH('Miljövärden för publ företag'!$A448,'Miljövrärden urval för publ'!$R$2:$R$416,0),1),"")</f>
        <v/>
      </c>
      <c r="C448" s="121" t="str">
        <f>IFERROR(INDEX('Miljövrärden urval för publ'!$A$2:$AA$419,MATCH('Miljövärden för publ företag'!$A448,'Miljövrärden urval för publ'!$R$2:$R$416,0),2),"")</f>
        <v/>
      </c>
      <c r="D448" s="121" t="str">
        <f>IFERROR(VLOOKUP($C448,'Miljövrärden urval för publ'!$B$2:$H$416,MATCH('Miljövärden för publ företag'!D$4,'Miljövrärden urval för publ'!$B$2:$H$2,0),FALSE),"")</f>
        <v/>
      </c>
      <c r="E448" s="121" t="str">
        <f>IFERROR(VLOOKUP($C448,'Miljövrärden urval för publ'!$B$2:$H$416,MATCH('Miljövärden för publ företag'!E$4,'Miljövrärden urval för publ'!$B$2:$H$2,0),FALSE),"")</f>
        <v/>
      </c>
      <c r="F448" s="121" t="str">
        <f>IFERROR(VLOOKUP($C448,'Miljövrärden urval för publ'!$B$2:$H$416,MATCH('Miljövärden för publ företag'!F$4,'Miljövrärden urval för publ'!$B$2:$H$2,0),FALSE),"")</f>
        <v/>
      </c>
      <c r="G448" s="121" t="str">
        <f>IFERROR(VLOOKUP($C448,'Miljövrärden urval för publ'!$B$2:$H$416,MATCH('Miljövärden för publ företag'!G$4,'Miljövrärden urval för publ'!$B$2:$H$2,0),FALSE),"")</f>
        <v/>
      </c>
    </row>
    <row r="449" spans="2:7" x14ac:dyDescent="0.25">
      <c r="B449" s="121" t="str">
        <f>IFERROR(INDEX('Miljövrärden urval för publ'!$A$2:$AA$419,MATCH('Miljövärden för publ företag'!$A449,'Miljövrärden urval för publ'!$R$2:$R$416,0),1),"")</f>
        <v/>
      </c>
      <c r="C449" s="121" t="str">
        <f>IFERROR(INDEX('Miljövrärden urval för publ'!$A$2:$AA$419,MATCH('Miljövärden för publ företag'!$A449,'Miljövrärden urval för publ'!$R$2:$R$416,0),2),"")</f>
        <v/>
      </c>
      <c r="D449" s="121" t="str">
        <f>IFERROR(VLOOKUP($C449,'Miljövrärden urval för publ'!$B$2:$H$416,MATCH('Miljövärden för publ företag'!D$4,'Miljövrärden urval för publ'!$B$2:$H$2,0),FALSE),"")</f>
        <v/>
      </c>
      <c r="E449" s="121" t="str">
        <f>IFERROR(VLOOKUP($C449,'Miljövrärden urval för publ'!$B$2:$H$416,MATCH('Miljövärden för publ företag'!E$4,'Miljövrärden urval för publ'!$B$2:$H$2,0),FALSE),"")</f>
        <v/>
      </c>
      <c r="F449" s="121" t="str">
        <f>IFERROR(VLOOKUP($C449,'Miljövrärden urval för publ'!$B$2:$H$416,MATCH('Miljövärden för publ företag'!F$4,'Miljövrärden urval för publ'!$B$2:$H$2,0),FALSE),"")</f>
        <v/>
      </c>
      <c r="G449" s="121" t="str">
        <f>IFERROR(VLOOKUP($C449,'Miljövrärden urval för publ'!$B$2:$H$416,MATCH('Miljövärden för publ företag'!G$4,'Miljövrärden urval för publ'!$B$2:$H$2,0),FALSE),"")</f>
        <v/>
      </c>
    </row>
    <row r="450" spans="2:7" x14ac:dyDescent="0.25">
      <c r="B450" s="121" t="str">
        <f>IFERROR(INDEX('Miljövrärden urval för publ'!$A$2:$AA$419,MATCH('Miljövärden för publ företag'!$A450,'Miljövrärden urval för publ'!$R$2:$R$416,0),1),"")</f>
        <v/>
      </c>
      <c r="C450" s="121" t="str">
        <f>IFERROR(INDEX('Miljövrärden urval för publ'!$A$2:$AA$419,MATCH('Miljövärden för publ företag'!$A450,'Miljövrärden urval för publ'!$R$2:$R$416,0),2),"")</f>
        <v/>
      </c>
      <c r="D450" s="121" t="str">
        <f>IFERROR(VLOOKUP($C450,'Miljövrärden urval för publ'!$B$2:$H$416,MATCH('Miljövärden för publ företag'!D$4,'Miljövrärden urval för publ'!$B$2:$H$2,0),FALSE),"")</f>
        <v/>
      </c>
      <c r="E450" s="121" t="str">
        <f>IFERROR(VLOOKUP($C450,'Miljövrärden urval för publ'!$B$2:$H$416,MATCH('Miljövärden för publ företag'!E$4,'Miljövrärden urval för publ'!$B$2:$H$2,0),FALSE),"")</f>
        <v/>
      </c>
      <c r="F450" s="121" t="str">
        <f>IFERROR(VLOOKUP($C450,'Miljövrärden urval för publ'!$B$2:$H$416,MATCH('Miljövärden för publ företag'!F$4,'Miljövrärden urval för publ'!$B$2:$H$2,0),FALSE),"")</f>
        <v/>
      </c>
      <c r="G450" s="121" t="str">
        <f>IFERROR(VLOOKUP($C450,'Miljövrärden urval för publ'!$B$2:$H$416,MATCH('Miljövärden för publ företag'!G$4,'Miljövrärden urval för publ'!$B$2:$H$2,0),FALSE),"")</f>
        <v/>
      </c>
    </row>
    <row r="451" spans="2:7" x14ac:dyDescent="0.25">
      <c r="B451" s="121" t="str">
        <f>IFERROR(INDEX('Miljövrärden urval för publ'!$A$2:$AA$419,MATCH('Miljövärden för publ företag'!$A451,'Miljövrärden urval för publ'!$R$2:$R$416,0),1),"")</f>
        <v/>
      </c>
      <c r="C451" s="121" t="str">
        <f>IFERROR(INDEX('Miljövrärden urval för publ'!$A$2:$AA$419,MATCH('Miljövärden för publ företag'!$A451,'Miljövrärden urval för publ'!$R$2:$R$416,0),2),"")</f>
        <v/>
      </c>
      <c r="D451" s="121" t="str">
        <f>IFERROR(VLOOKUP($C451,'Miljövrärden urval för publ'!$B$2:$H$416,MATCH('Miljövärden för publ företag'!D$4,'Miljövrärden urval för publ'!$B$2:$H$2,0),FALSE),"")</f>
        <v/>
      </c>
      <c r="E451" s="121" t="str">
        <f>IFERROR(VLOOKUP($C451,'Miljövrärden urval för publ'!$B$2:$H$416,MATCH('Miljövärden för publ företag'!E$4,'Miljövrärden urval för publ'!$B$2:$H$2,0),FALSE),"")</f>
        <v/>
      </c>
      <c r="F451" s="121" t="str">
        <f>IFERROR(VLOOKUP($C451,'Miljövrärden urval för publ'!$B$2:$H$416,MATCH('Miljövärden för publ företag'!F$4,'Miljövrärden urval för publ'!$B$2:$H$2,0),FALSE),"")</f>
        <v/>
      </c>
      <c r="G451" s="121" t="str">
        <f>IFERROR(VLOOKUP($C451,'Miljövrärden urval för publ'!$B$2:$H$416,MATCH('Miljövärden för publ företag'!G$4,'Miljövrärden urval för publ'!$B$2:$H$2,0),FALSE),"")</f>
        <v/>
      </c>
    </row>
    <row r="452" spans="2:7" x14ac:dyDescent="0.25">
      <c r="B452" s="121" t="str">
        <f>IFERROR(INDEX('Miljövrärden urval för publ'!$A$2:$AA$419,MATCH('Miljövärden för publ företag'!$A452,'Miljövrärden urval för publ'!$R$2:$R$416,0),1),"")</f>
        <v/>
      </c>
      <c r="C452" s="121" t="str">
        <f>IFERROR(INDEX('Miljövrärden urval för publ'!$A$2:$AA$419,MATCH('Miljövärden för publ företag'!$A452,'Miljövrärden urval för publ'!$R$2:$R$416,0),2),"")</f>
        <v/>
      </c>
      <c r="D452" s="121" t="str">
        <f>IFERROR(VLOOKUP($C452,'Miljövrärden urval för publ'!$B$2:$H$416,MATCH('Miljövärden för publ företag'!D$4,'Miljövrärden urval för publ'!$B$2:$H$2,0),FALSE),"")</f>
        <v/>
      </c>
      <c r="E452" s="121" t="str">
        <f>IFERROR(VLOOKUP($C452,'Miljövrärden urval för publ'!$B$2:$H$416,MATCH('Miljövärden för publ företag'!E$4,'Miljövrärden urval för publ'!$B$2:$H$2,0),FALSE),"")</f>
        <v/>
      </c>
      <c r="F452" s="121" t="str">
        <f>IFERROR(VLOOKUP($C452,'Miljövrärden urval för publ'!$B$2:$H$416,MATCH('Miljövärden för publ företag'!F$4,'Miljövrärden urval för publ'!$B$2:$H$2,0),FALSE),"")</f>
        <v/>
      </c>
      <c r="G452" s="121" t="str">
        <f>IFERROR(VLOOKUP($C452,'Miljövrärden urval för publ'!$B$2:$H$416,MATCH('Miljövärden för publ företag'!G$4,'Miljövrärden urval för publ'!$B$2:$H$2,0),FALSE),"")</f>
        <v/>
      </c>
    </row>
    <row r="453" spans="2:7" x14ac:dyDescent="0.25">
      <c r="B453" s="121" t="str">
        <f>IFERROR(INDEX('Miljövrärden urval för publ'!$A$2:$AA$419,MATCH('Miljövärden för publ företag'!$A453,'Miljövrärden urval för publ'!$R$2:$R$416,0),1),"")</f>
        <v/>
      </c>
      <c r="C453" s="121" t="str">
        <f>IFERROR(INDEX('Miljövrärden urval för publ'!$A$2:$AA$419,MATCH('Miljövärden för publ företag'!$A453,'Miljövrärden urval för publ'!$R$2:$R$416,0),2),"")</f>
        <v/>
      </c>
      <c r="D453" s="121" t="str">
        <f>IFERROR(VLOOKUP($C453,'Miljövrärden urval för publ'!$B$2:$H$416,MATCH('Miljövärden för publ företag'!D$4,'Miljövrärden urval för publ'!$B$2:$H$2,0),FALSE),"")</f>
        <v/>
      </c>
      <c r="E453" s="121" t="str">
        <f>IFERROR(VLOOKUP($C453,'Miljövrärden urval för publ'!$B$2:$H$416,MATCH('Miljövärden för publ företag'!E$4,'Miljövrärden urval för publ'!$B$2:$H$2,0),FALSE),"")</f>
        <v/>
      </c>
      <c r="F453" s="121" t="str">
        <f>IFERROR(VLOOKUP($C453,'Miljövrärden urval för publ'!$B$2:$H$416,MATCH('Miljövärden för publ företag'!F$4,'Miljövrärden urval för publ'!$B$2:$H$2,0),FALSE),"")</f>
        <v/>
      </c>
      <c r="G453" s="121" t="str">
        <f>IFERROR(VLOOKUP($C453,'Miljövrärden urval för publ'!$B$2:$H$416,MATCH('Miljövärden för publ företag'!G$4,'Miljövrärden urval för publ'!$B$2:$H$2,0),FALSE),"")</f>
        <v/>
      </c>
    </row>
    <row r="454" spans="2:7" x14ac:dyDescent="0.25">
      <c r="B454" s="121" t="str">
        <f>IFERROR(INDEX('Miljövrärden urval för publ'!$A$2:$AA$419,MATCH('Miljövärden för publ företag'!$A454,'Miljövrärden urval för publ'!$R$2:$R$416,0),1),"")</f>
        <v/>
      </c>
      <c r="C454" s="121" t="str">
        <f>IFERROR(INDEX('Miljövrärden urval för publ'!$A$2:$AA$419,MATCH('Miljövärden för publ företag'!$A454,'Miljövrärden urval för publ'!$R$2:$R$416,0),2),"")</f>
        <v/>
      </c>
      <c r="D454" s="121" t="str">
        <f>IFERROR(VLOOKUP($C454,'Miljövrärden urval för publ'!$B$2:$H$416,MATCH('Miljövärden för publ företag'!D$4,'Miljövrärden urval för publ'!$B$2:$H$2,0),FALSE),"")</f>
        <v/>
      </c>
      <c r="E454" s="121" t="str">
        <f>IFERROR(VLOOKUP($C454,'Miljövrärden urval för publ'!$B$2:$H$416,MATCH('Miljövärden för publ företag'!E$4,'Miljövrärden urval för publ'!$B$2:$H$2,0),FALSE),"")</f>
        <v/>
      </c>
      <c r="F454" s="121" t="str">
        <f>IFERROR(VLOOKUP($C454,'Miljövrärden urval för publ'!$B$2:$H$416,MATCH('Miljövärden för publ företag'!F$4,'Miljövrärden urval för publ'!$B$2:$H$2,0),FALSE),"")</f>
        <v/>
      </c>
      <c r="G454" s="121" t="str">
        <f>IFERROR(VLOOKUP($C454,'Miljövrärden urval för publ'!$B$2:$H$416,MATCH('Miljövärden för publ företag'!G$4,'Miljövrärden urval för publ'!$B$2:$H$2,0),FALSE),"")</f>
        <v/>
      </c>
    </row>
    <row r="455" spans="2:7" x14ac:dyDescent="0.25">
      <c r="B455" s="121" t="str">
        <f>IFERROR(INDEX('Miljövrärden urval för publ'!$A$2:$AA$419,MATCH('Miljövärden för publ företag'!$A455,'Miljövrärden urval för publ'!$R$2:$R$416,0),1),"")</f>
        <v/>
      </c>
      <c r="C455" s="121" t="str">
        <f>IFERROR(INDEX('Miljövrärden urval för publ'!$A$2:$AA$419,MATCH('Miljövärden för publ företag'!$A455,'Miljövrärden urval för publ'!$R$2:$R$416,0),2),"")</f>
        <v/>
      </c>
      <c r="D455" s="121" t="str">
        <f>IFERROR(VLOOKUP($C455,'Miljövrärden urval för publ'!$B$2:$H$416,MATCH('Miljövärden för publ företag'!D$4,'Miljövrärden urval för publ'!$B$2:$H$2,0),FALSE),"")</f>
        <v/>
      </c>
      <c r="E455" s="121" t="str">
        <f>IFERROR(VLOOKUP($C455,'Miljövrärden urval för publ'!$B$2:$H$416,MATCH('Miljövärden för publ företag'!E$4,'Miljövrärden urval för publ'!$B$2:$H$2,0),FALSE),"")</f>
        <v/>
      </c>
      <c r="F455" s="121" t="str">
        <f>IFERROR(VLOOKUP($C455,'Miljövrärden urval för publ'!$B$2:$H$416,MATCH('Miljövärden för publ företag'!F$4,'Miljövrärden urval för publ'!$B$2:$H$2,0),FALSE),"")</f>
        <v/>
      </c>
      <c r="G455" s="121" t="str">
        <f>IFERROR(VLOOKUP($C455,'Miljövrärden urval för publ'!$B$2:$H$416,MATCH('Miljövärden för publ företag'!G$4,'Miljövrärden urval för publ'!$B$2:$H$2,0),FALSE),"")</f>
        <v/>
      </c>
    </row>
    <row r="456" spans="2:7" x14ac:dyDescent="0.25">
      <c r="B456" s="121" t="str">
        <f>IFERROR(INDEX('Miljövrärden urval för publ'!$A$2:$AA$419,MATCH('Miljövärden för publ företag'!$A456,'Miljövrärden urval för publ'!$R$2:$R$416,0),1),"")</f>
        <v/>
      </c>
      <c r="C456" s="121" t="str">
        <f>IFERROR(INDEX('Miljövrärden urval för publ'!$A$2:$AA$419,MATCH('Miljövärden för publ företag'!$A456,'Miljövrärden urval för publ'!$R$2:$R$416,0),2),"")</f>
        <v/>
      </c>
      <c r="D456" s="121" t="str">
        <f>IFERROR(VLOOKUP($C456,'Miljövrärden urval för publ'!$B$2:$H$416,MATCH('Miljövärden för publ företag'!D$4,'Miljövrärden urval för publ'!$B$2:$H$2,0),FALSE),"")</f>
        <v/>
      </c>
      <c r="E456" s="121" t="str">
        <f>IFERROR(VLOOKUP($C456,'Miljövrärden urval för publ'!$B$2:$H$416,MATCH('Miljövärden för publ företag'!E$4,'Miljövrärden urval för publ'!$B$2:$H$2,0),FALSE),"")</f>
        <v/>
      </c>
      <c r="F456" s="121" t="str">
        <f>IFERROR(VLOOKUP($C456,'Miljövrärden urval för publ'!$B$2:$H$416,MATCH('Miljövärden för publ företag'!F$4,'Miljövrärden urval för publ'!$B$2:$H$2,0),FALSE),"")</f>
        <v/>
      </c>
      <c r="G456" s="121" t="str">
        <f>IFERROR(VLOOKUP($C456,'Miljövrärden urval för publ'!$B$2:$H$416,MATCH('Miljövärden för publ företag'!G$4,'Miljövrärden urval för publ'!$B$2:$H$2,0),FALSE),"")</f>
        <v/>
      </c>
    </row>
    <row r="457" spans="2:7" x14ac:dyDescent="0.25">
      <c r="B457" s="121" t="str">
        <f>IFERROR(INDEX('Miljövrärden urval för publ'!$A$2:$AA$419,MATCH('Miljövärden för publ företag'!$A457,'Miljövrärden urval för publ'!$R$2:$R$416,0),1),"")</f>
        <v/>
      </c>
      <c r="C457" s="121" t="str">
        <f>IFERROR(INDEX('Miljövrärden urval för publ'!$A$2:$AA$419,MATCH('Miljövärden för publ företag'!$A457,'Miljövrärden urval för publ'!$R$2:$R$416,0),2),"")</f>
        <v/>
      </c>
      <c r="D457" s="121" t="str">
        <f>IFERROR(VLOOKUP($C457,'Miljövrärden urval för publ'!$B$2:$H$416,MATCH('Miljövärden för publ företag'!D$4,'Miljövrärden urval för publ'!$B$2:$H$2,0),FALSE),"")</f>
        <v/>
      </c>
      <c r="E457" s="121" t="str">
        <f>IFERROR(VLOOKUP($C457,'Miljövrärden urval för publ'!$B$2:$H$416,MATCH('Miljövärden för publ företag'!E$4,'Miljövrärden urval för publ'!$B$2:$H$2,0),FALSE),"")</f>
        <v/>
      </c>
      <c r="F457" s="121" t="str">
        <f>IFERROR(VLOOKUP($C457,'Miljövrärden urval för publ'!$B$2:$H$416,MATCH('Miljövärden för publ företag'!F$4,'Miljövrärden urval för publ'!$B$2:$H$2,0),FALSE),"")</f>
        <v/>
      </c>
      <c r="G457" s="121" t="str">
        <f>IFERROR(VLOOKUP($C457,'Miljövrärden urval för publ'!$B$2:$H$416,MATCH('Miljövärden för publ företag'!G$4,'Miljövrärden urval för publ'!$B$2:$H$2,0),FALSE),"")</f>
        <v/>
      </c>
    </row>
    <row r="458" spans="2:7" x14ac:dyDescent="0.25">
      <c r="B458" s="121" t="str">
        <f>IFERROR(INDEX('Miljövrärden urval för publ'!$A$2:$AA$419,MATCH('Miljövärden för publ företag'!$A458,'Miljövrärden urval för publ'!$R$2:$R$416,0),1),"")</f>
        <v/>
      </c>
      <c r="C458" s="121" t="str">
        <f>IFERROR(INDEX('Miljövrärden urval för publ'!$A$2:$AA$419,MATCH('Miljövärden för publ företag'!$A458,'Miljövrärden urval för publ'!$R$2:$R$416,0),2),"")</f>
        <v/>
      </c>
      <c r="D458" s="121" t="str">
        <f>IFERROR(VLOOKUP($C458,'Miljövrärden urval för publ'!$B$2:$H$416,MATCH('Miljövärden för publ företag'!D$4,'Miljövrärden urval för publ'!$B$2:$H$2,0),FALSE),"")</f>
        <v/>
      </c>
      <c r="E458" s="121" t="str">
        <f>IFERROR(VLOOKUP($C458,'Miljövrärden urval för publ'!$B$2:$H$416,MATCH('Miljövärden för publ företag'!E$4,'Miljövrärden urval för publ'!$B$2:$H$2,0),FALSE),"")</f>
        <v/>
      </c>
      <c r="F458" s="121" t="str">
        <f>IFERROR(VLOOKUP($C458,'Miljövrärden urval för publ'!$B$2:$H$416,MATCH('Miljövärden för publ företag'!F$4,'Miljövrärden urval för publ'!$B$2:$H$2,0),FALSE),"")</f>
        <v/>
      </c>
      <c r="G458" s="121" t="str">
        <f>IFERROR(VLOOKUP($C458,'Miljövrärden urval för publ'!$B$2:$H$416,MATCH('Miljövärden för publ företag'!G$4,'Miljövrärden urval för publ'!$B$2:$H$2,0),FALSE),"")</f>
        <v/>
      </c>
    </row>
    <row r="459" spans="2:7" x14ac:dyDescent="0.25">
      <c r="B459" s="121" t="str">
        <f>IFERROR(INDEX('Miljövrärden urval för publ'!$A$2:$AA$419,MATCH('Miljövärden för publ företag'!$A459,'Miljövrärden urval för publ'!$R$2:$R$416,0),1),"")</f>
        <v/>
      </c>
      <c r="C459" s="121" t="str">
        <f>IFERROR(INDEX('Miljövrärden urval för publ'!$A$2:$AA$419,MATCH('Miljövärden för publ företag'!$A459,'Miljövrärden urval för publ'!$R$2:$R$416,0),2),"")</f>
        <v/>
      </c>
      <c r="D459" s="121" t="str">
        <f>IFERROR(VLOOKUP($C459,'Miljövrärden urval för publ'!$B$2:$H$416,MATCH('Miljövärden för publ företag'!D$4,'Miljövrärden urval för publ'!$B$2:$H$2,0),FALSE),"")</f>
        <v/>
      </c>
      <c r="E459" s="121" t="str">
        <f>IFERROR(VLOOKUP($C459,'Miljövrärden urval för publ'!$B$2:$H$416,MATCH('Miljövärden för publ företag'!E$4,'Miljövrärden urval för publ'!$B$2:$H$2,0),FALSE),"")</f>
        <v/>
      </c>
      <c r="F459" s="121" t="str">
        <f>IFERROR(VLOOKUP($C459,'Miljövrärden urval för publ'!$B$2:$H$416,MATCH('Miljövärden för publ företag'!F$4,'Miljövrärden urval för publ'!$B$2:$H$2,0),FALSE),"")</f>
        <v/>
      </c>
      <c r="G459" s="121" t="str">
        <f>IFERROR(VLOOKUP($C459,'Miljövrärden urval för publ'!$B$2:$H$416,MATCH('Miljövärden för publ företag'!G$4,'Miljövrärden urval för publ'!$B$2:$H$2,0),FALSE),"")</f>
        <v/>
      </c>
    </row>
    <row r="460" spans="2:7" x14ac:dyDescent="0.25">
      <c r="B460" s="121" t="str">
        <f>IFERROR(INDEX('Miljövrärden urval för publ'!$A$2:$AA$419,MATCH('Miljövärden för publ företag'!$A460,'Miljövrärden urval för publ'!$R$2:$R$416,0),1),"")</f>
        <v/>
      </c>
      <c r="C460" s="121" t="str">
        <f>IFERROR(INDEX('Miljövrärden urval för publ'!$A$2:$AA$419,MATCH('Miljövärden för publ företag'!$A460,'Miljövrärden urval för publ'!$R$2:$R$416,0),2),"")</f>
        <v/>
      </c>
      <c r="D460" s="121" t="str">
        <f>IFERROR(VLOOKUP($C460,'Miljövrärden urval för publ'!$B$2:$H$416,MATCH('Miljövärden för publ företag'!D$4,'Miljövrärden urval för publ'!$B$2:$H$2,0),FALSE),"")</f>
        <v/>
      </c>
      <c r="E460" s="121" t="str">
        <f>IFERROR(VLOOKUP($C460,'Miljövrärden urval för publ'!$B$2:$H$416,MATCH('Miljövärden för publ företag'!E$4,'Miljövrärden urval för publ'!$B$2:$H$2,0),FALSE),"")</f>
        <v/>
      </c>
      <c r="F460" s="121" t="str">
        <f>IFERROR(VLOOKUP($C460,'Miljövrärden urval för publ'!$B$2:$H$416,MATCH('Miljövärden för publ företag'!F$4,'Miljövrärden urval för publ'!$B$2:$H$2,0),FALSE),"")</f>
        <v/>
      </c>
      <c r="G460" s="121" t="str">
        <f>IFERROR(VLOOKUP($C460,'Miljövrärden urval för publ'!$B$2:$H$416,MATCH('Miljövärden för publ företag'!G$4,'Miljövrärden urval för publ'!$B$2:$H$2,0),FALSE),"")</f>
        <v/>
      </c>
    </row>
    <row r="461" spans="2:7" x14ac:dyDescent="0.25">
      <c r="B461" s="121" t="str">
        <f>IFERROR(INDEX('Miljövrärden urval för publ'!$A$2:$AA$419,MATCH('Miljövärden för publ företag'!$A461,'Miljövrärden urval för publ'!$R$2:$R$416,0),1),"")</f>
        <v/>
      </c>
      <c r="C461" s="121" t="str">
        <f>IFERROR(INDEX('Miljövrärden urval för publ'!$A$2:$AA$419,MATCH('Miljövärden för publ företag'!$A461,'Miljövrärden urval för publ'!$R$2:$R$416,0),2),"")</f>
        <v/>
      </c>
      <c r="D461" s="121" t="str">
        <f>IFERROR(VLOOKUP($C461,'Miljövrärden urval för publ'!$B$2:$H$416,MATCH('Miljövärden för publ företag'!D$4,'Miljövrärden urval för publ'!$B$2:$H$2,0),FALSE),"")</f>
        <v/>
      </c>
      <c r="E461" s="121" t="str">
        <f>IFERROR(VLOOKUP($C461,'Miljövrärden urval för publ'!$B$2:$H$416,MATCH('Miljövärden för publ företag'!E$4,'Miljövrärden urval för publ'!$B$2:$H$2,0),FALSE),"")</f>
        <v/>
      </c>
      <c r="F461" s="121" t="str">
        <f>IFERROR(VLOOKUP($C461,'Miljövrärden urval för publ'!$B$2:$H$416,MATCH('Miljövärden för publ företag'!F$4,'Miljövrärden urval för publ'!$B$2:$H$2,0),FALSE),"")</f>
        <v/>
      </c>
      <c r="G461" s="121" t="str">
        <f>IFERROR(VLOOKUP($C461,'Miljövrärden urval för publ'!$B$2:$H$416,MATCH('Miljövärden för publ företag'!G$4,'Miljövrärden urval för publ'!$B$2:$H$2,0),FALSE),"")</f>
        <v/>
      </c>
    </row>
    <row r="462" spans="2:7" x14ac:dyDescent="0.25">
      <c r="B462" s="121" t="str">
        <f>IFERROR(INDEX('Miljövrärden urval för publ'!$A$2:$AA$419,MATCH('Miljövärden för publ företag'!$A462,'Miljövrärden urval för publ'!$R$2:$R$416,0),1),"")</f>
        <v/>
      </c>
      <c r="C462" s="121" t="str">
        <f>IFERROR(INDEX('Miljövrärden urval för publ'!$A$2:$AA$419,MATCH('Miljövärden för publ företag'!$A462,'Miljövrärden urval för publ'!$R$2:$R$416,0),2),"")</f>
        <v/>
      </c>
      <c r="D462" s="121" t="str">
        <f>IFERROR(VLOOKUP($C462,'Miljövrärden urval för publ'!$B$2:$H$416,MATCH('Miljövärden för publ företag'!D$4,'Miljövrärden urval för publ'!$B$2:$H$2,0),FALSE),"")</f>
        <v/>
      </c>
      <c r="E462" s="121" t="str">
        <f>IFERROR(VLOOKUP($C462,'Miljövrärden urval för publ'!$B$2:$H$416,MATCH('Miljövärden för publ företag'!E$4,'Miljövrärden urval för publ'!$B$2:$H$2,0),FALSE),"")</f>
        <v/>
      </c>
      <c r="F462" s="121" t="str">
        <f>IFERROR(VLOOKUP($C462,'Miljövrärden urval för publ'!$B$2:$H$416,MATCH('Miljövärden för publ företag'!F$4,'Miljövrärden urval för publ'!$B$2:$H$2,0),FALSE),"")</f>
        <v/>
      </c>
      <c r="G462" s="121" t="str">
        <f>IFERROR(VLOOKUP($C462,'Miljövrärden urval för publ'!$B$2:$H$416,MATCH('Miljövärden för publ företag'!G$4,'Miljövrärden urval för publ'!$B$2:$H$2,0),FALSE),"")</f>
        <v/>
      </c>
    </row>
    <row r="463" spans="2:7" x14ac:dyDescent="0.25">
      <c r="B463" s="121" t="str">
        <f>IFERROR(INDEX('Miljövrärden urval för publ'!$A$2:$AA$419,MATCH('Miljövärden för publ företag'!$A463,'Miljövrärden urval för publ'!$R$2:$R$416,0),1),"")</f>
        <v/>
      </c>
      <c r="C463" s="121" t="str">
        <f>IFERROR(INDEX('Miljövrärden urval för publ'!$A$2:$AA$419,MATCH('Miljövärden för publ företag'!$A463,'Miljövrärden urval för publ'!$R$2:$R$416,0),2),"")</f>
        <v/>
      </c>
      <c r="D463" s="121" t="str">
        <f>IFERROR(VLOOKUP($C463,'Miljövrärden urval för publ'!$B$2:$H$416,MATCH('Miljövärden för publ företag'!D$4,'Miljövrärden urval för publ'!$B$2:$H$2,0),FALSE),"")</f>
        <v/>
      </c>
      <c r="E463" s="121" t="str">
        <f>IFERROR(VLOOKUP($C463,'Miljövrärden urval för publ'!$B$2:$H$416,MATCH('Miljövärden för publ företag'!E$4,'Miljövrärden urval för publ'!$B$2:$H$2,0),FALSE),"")</f>
        <v/>
      </c>
      <c r="F463" s="121" t="str">
        <f>IFERROR(VLOOKUP($C463,'Miljövrärden urval för publ'!$B$2:$H$416,MATCH('Miljövärden för publ företag'!F$4,'Miljövrärden urval för publ'!$B$2:$H$2,0),FALSE),"")</f>
        <v/>
      </c>
      <c r="G463" s="121" t="str">
        <f>IFERROR(VLOOKUP($C463,'Miljövrärden urval för publ'!$B$2:$H$416,MATCH('Miljövärden för publ företag'!G$4,'Miljövrärden urval för publ'!$B$2:$H$2,0),FALSE),"")</f>
        <v/>
      </c>
    </row>
    <row r="464" spans="2:7" x14ac:dyDescent="0.25">
      <c r="B464" s="121" t="str">
        <f>IFERROR(INDEX('Miljövrärden urval för publ'!$A$2:$AA$419,MATCH('Miljövärden för publ företag'!$A464,'Miljövrärden urval för publ'!$R$2:$R$416,0),1),"")</f>
        <v/>
      </c>
      <c r="C464" s="121" t="str">
        <f>IFERROR(INDEX('Miljövrärden urval för publ'!$A$2:$AA$419,MATCH('Miljövärden för publ företag'!$A464,'Miljövrärden urval för publ'!$R$2:$R$416,0),2),"")</f>
        <v/>
      </c>
      <c r="D464" s="121" t="str">
        <f>IFERROR(VLOOKUP($C464,'Miljövrärden urval för publ'!$B$2:$H$416,MATCH('Miljövärden för publ företag'!D$4,'Miljövrärden urval för publ'!$B$2:$H$2,0),FALSE),"")</f>
        <v/>
      </c>
      <c r="E464" s="121" t="str">
        <f>IFERROR(VLOOKUP($C464,'Miljövrärden urval för publ'!$B$2:$H$416,MATCH('Miljövärden för publ företag'!E$4,'Miljövrärden urval för publ'!$B$2:$H$2,0),FALSE),"")</f>
        <v/>
      </c>
      <c r="F464" s="121" t="str">
        <f>IFERROR(VLOOKUP($C464,'Miljövrärden urval för publ'!$B$2:$H$416,MATCH('Miljövärden för publ företag'!F$4,'Miljövrärden urval för publ'!$B$2:$H$2,0),FALSE),"")</f>
        <v/>
      </c>
      <c r="G464" s="121" t="str">
        <f>IFERROR(VLOOKUP($C464,'Miljövrärden urval för publ'!$B$2:$H$416,MATCH('Miljövärden för publ företag'!G$4,'Miljövrärden urval för publ'!$B$2:$H$2,0),FALSE),"")</f>
        <v/>
      </c>
    </row>
    <row r="465" spans="2:7" x14ac:dyDescent="0.25">
      <c r="B465" s="121" t="str">
        <f>IFERROR(INDEX('Miljövrärden urval för publ'!$A$2:$AA$419,MATCH('Miljövärden för publ företag'!$A465,'Miljövrärden urval för publ'!$R$2:$R$416,0),1),"")</f>
        <v/>
      </c>
      <c r="C465" s="121" t="str">
        <f>IFERROR(INDEX('Miljövrärden urval för publ'!$A$2:$AA$419,MATCH('Miljövärden för publ företag'!$A465,'Miljövrärden urval för publ'!$R$2:$R$416,0),2),"")</f>
        <v/>
      </c>
      <c r="D465" s="121" t="str">
        <f>IFERROR(VLOOKUP($C465,'Miljövrärden urval för publ'!$B$2:$H$416,MATCH('Miljövärden för publ företag'!D$4,'Miljövrärden urval för publ'!$B$2:$H$2,0),FALSE),"")</f>
        <v/>
      </c>
      <c r="E465" s="121" t="str">
        <f>IFERROR(VLOOKUP($C465,'Miljövrärden urval för publ'!$B$2:$H$416,MATCH('Miljövärden för publ företag'!E$4,'Miljövrärden urval för publ'!$B$2:$H$2,0),FALSE),"")</f>
        <v/>
      </c>
      <c r="F465" s="121" t="str">
        <f>IFERROR(VLOOKUP($C465,'Miljövrärden urval för publ'!$B$2:$H$416,MATCH('Miljövärden för publ företag'!F$4,'Miljövrärden urval för publ'!$B$2:$H$2,0),FALSE),"")</f>
        <v/>
      </c>
      <c r="G465" s="121" t="str">
        <f>IFERROR(VLOOKUP($C465,'Miljövrärden urval för publ'!$B$2:$H$416,MATCH('Miljövärden för publ företag'!G$4,'Miljövrärden urval för publ'!$B$2:$H$2,0),FALSE),"")</f>
        <v/>
      </c>
    </row>
    <row r="466" spans="2:7" x14ac:dyDescent="0.25">
      <c r="B466" s="121" t="str">
        <f>IFERROR(INDEX('Miljövrärden urval för publ'!$A$2:$AA$419,MATCH('Miljövärden för publ företag'!$A466,'Miljövrärden urval för publ'!$R$2:$R$416,0),1),"")</f>
        <v/>
      </c>
      <c r="C466" s="121" t="str">
        <f>IFERROR(INDEX('Miljövrärden urval för publ'!$A$2:$AA$419,MATCH('Miljövärden för publ företag'!$A466,'Miljövrärden urval för publ'!$R$2:$R$416,0),2),"")</f>
        <v/>
      </c>
      <c r="D466" s="121" t="str">
        <f>IFERROR(VLOOKUP($C466,'Miljövrärden urval för publ'!$B$2:$H$416,MATCH('Miljövärden för publ företag'!D$4,'Miljövrärden urval för publ'!$B$2:$H$2,0),FALSE),"")</f>
        <v/>
      </c>
      <c r="E466" s="121" t="str">
        <f>IFERROR(VLOOKUP($C466,'Miljövrärden urval för publ'!$B$2:$H$416,MATCH('Miljövärden för publ företag'!E$4,'Miljövrärden urval för publ'!$B$2:$H$2,0),FALSE),"")</f>
        <v/>
      </c>
      <c r="F466" s="121" t="str">
        <f>IFERROR(VLOOKUP($C466,'Miljövrärden urval för publ'!$B$2:$H$416,MATCH('Miljövärden för publ företag'!F$4,'Miljövrärden urval för publ'!$B$2:$H$2,0),FALSE),"")</f>
        <v/>
      </c>
      <c r="G466" s="121" t="str">
        <f>IFERROR(VLOOKUP($C466,'Miljövrärden urval för publ'!$B$2:$H$416,MATCH('Miljövärden för publ företag'!G$4,'Miljövrärden urval för publ'!$B$2:$H$2,0),FALSE),"")</f>
        <v/>
      </c>
    </row>
    <row r="467" spans="2:7" x14ac:dyDescent="0.25">
      <c r="B467" s="121" t="str">
        <f>IFERROR(INDEX('Miljövrärden urval för publ'!$A$2:$AA$419,MATCH('Miljövärden för publ företag'!$A467,'Miljövrärden urval för publ'!$R$2:$R$416,0),1),"")</f>
        <v/>
      </c>
      <c r="C467" s="121" t="str">
        <f>IFERROR(INDEX('Miljövrärden urval för publ'!$A$2:$AA$419,MATCH('Miljövärden för publ företag'!$A467,'Miljövrärden urval för publ'!$R$2:$R$416,0),2),"")</f>
        <v/>
      </c>
      <c r="D467" s="121" t="str">
        <f>IFERROR(VLOOKUP($C467,'Miljövrärden urval för publ'!$B$2:$H$416,MATCH('Miljövärden för publ företag'!D$4,'Miljövrärden urval för publ'!$B$2:$H$2,0),FALSE),"")</f>
        <v/>
      </c>
      <c r="E467" s="121" t="str">
        <f>IFERROR(VLOOKUP($C467,'Miljövrärden urval för publ'!$B$2:$H$416,MATCH('Miljövärden för publ företag'!E$4,'Miljövrärden urval för publ'!$B$2:$H$2,0),FALSE),"")</f>
        <v/>
      </c>
      <c r="F467" s="121" t="str">
        <f>IFERROR(VLOOKUP($C467,'Miljövrärden urval för publ'!$B$2:$H$416,MATCH('Miljövärden för publ företag'!F$4,'Miljövrärden urval för publ'!$B$2:$H$2,0),FALSE),"")</f>
        <v/>
      </c>
      <c r="G467" s="121" t="str">
        <f>IFERROR(VLOOKUP($C467,'Miljövrärden urval för publ'!$B$2:$H$416,MATCH('Miljövärden för publ företag'!G$4,'Miljövrärden urval för publ'!$B$2:$H$2,0),FALSE),"")</f>
        <v/>
      </c>
    </row>
    <row r="468" spans="2:7" x14ac:dyDescent="0.25">
      <c r="B468" s="121" t="str">
        <f>IFERROR(INDEX('Miljövrärden urval för publ'!$A$2:$AA$419,MATCH('Miljövärden för publ företag'!$A468,'Miljövrärden urval för publ'!$R$2:$R$416,0),1),"")</f>
        <v/>
      </c>
      <c r="C468" s="121" t="str">
        <f>IFERROR(INDEX('Miljövrärden urval för publ'!$A$2:$AA$419,MATCH('Miljövärden för publ företag'!$A468,'Miljövrärden urval för publ'!$R$2:$R$416,0),2),"")</f>
        <v/>
      </c>
      <c r="D468" s="121" t="str">
        <f>IFERROR(VLOOKUP($C468,'Miljövrärden urval för publ'!$B$2:$H$416,MATCH('Miljövärden för publ företag'!D$4,'Miljövrärden urval för publ'!$B$2:$H$2,0),FALSE),"")</f>
        <v/>
      </c>
      <c r="E468" s="121" t="str">
        <f>IFERROR(VLOOKUP($C468,'Miljövrärden urval för publ'!$B$2:$H$416,MATCH('Miljövärden för publ företag'!E$4,'Miljövrärden urval för publ'!$B$2:$H$2,0),FALSE),"")</f>
        <v/>
      </c>
      <c r="F468" s="121" t="str">
        <f>IFERROR(VLOOKUP($C468,'Miljövrärden urval för publ'!$B$2:$H$416,MATCH('Miljövärden för publ företag'!F$4,'Miljövrärden urval för publ'!$B$2:$H$2,0),FALSE),"")</f>
        <v/>
      </c>
      <c r="G468" s="121" t="str">
        <f>IFERROR(VLOOKUP($C468,'Miljövrärden urval för publ'!$B$2:$H$416,MATCH('Miljövärden för publ företag'!G$4,'Miljövrärden urval för publ'!$B$2:$H$2,0),FALSE),"")</f>
        <v/>
      </c>
    </row>
    <row r="469" spans="2:7" x14ac:dyDescent="0.25">
      <c r="B469" s="121" t="str">
        <f>IFERROR(INDEX('Miljövrärden urval för publ'!$A$2:$AA$419,MATCH('Miljövärden för publ företag'!$A469,'Miljövrärden urval för publ'!$R$2:$R$416,0),1),"")</f>
        <v/>
      </c>
      <c r="C469" s="121" t="str">
        <f>IFERROR(INDEX('Miljövrärden urval för publ'!$A$2:$AA$419,MATCH('Miljövärden för publ företag'!$A469,'Miljövrärden urval för publ'!$R$2:$R$416,0),2),"")</f>
        <v/>
      </c>
      <c r="D469" s="121" t="str">
        <f>IFERROR(VLOOKUP($C469,'Miljövrärden urval för publ'!$B$2:$H$416,MATCH('Miljövärden för publ företag'!D$4,'Miljövrärden urval för publ'!$B$2:$H$2,0),FALSE),"")</f>
        <v/>
      </c>
      <c r="E469" s="121" t="str">
        <f>IFERROR(VLOOKUP($C469,'Miljövrärden urval för publ'!$B$2:$H$416,MATCH('Miljövärden för publ företag'!E$4,'Miljövrärden urval för publ'!$B$2:$H$2,0),FALSE),"")</f>
        <v/>
      </c>
      <c r="F469" s="121" t="str">
        <f>IFERROR(VLOOKUP($C469,'Miljövrärden urval för publ'!$B$2:$H$416,MATCH('Miljövärden för publ företag'!F$4,'Miljövrärden urval för publ'!$B$2:$H$2,0),FALSE),"")</f>
        <v/>
      </c>
      <c r="G469" s="121" t="str">
        <f>IFERROR(VLOOKUP($C469,'Miljövrärden urval för publ'!$B$2:$H$416,MATCH('Miljövärden för publ företag'!G$4,'Miljövrärden urval för publ'!$B$2:$H$2,0),FALSE),"")</f>
        <v/>
      </c>
    </row>
    <row r="470" spans="2:7" x14ac:dyDescent="0.25">
      <c r="B470" s="121" t="str">
        <f>IFERROR(INDEX('Miljövrärden urval för publ'!$A$2:$AA$419,MATCH('Miljövärden för publ företag'!$A470,'Miljövrärden urval för publ'!$R$2:$R$416,0),1),"")</f>
        <v/>
      </c>
      <c r="C470" s="121" t="str">
        <f>IFERROR(INDEX('Miljövrärden urval för publ'!$A$2:$AA$419,MATCH('Miljövärden för publ företag'!$A470,'Miljövrärden urval för publ'!$R$2:$R$416,0),2),"")</f>
        <v/>
      </c>
      <c r="D470" s="121" t="str">
        <f>IFERROR(VLOOKUP($C470,'Miljövrärden urval för publ'!$B$2:$H$416,MATCH('Miljövärden för publ företag'!D$4,'Miljövrärden urval för publ'!$B$2:$H$2,0),FALSE),"")</f>
        <v/>
      </c>
      <c r="E470" s="121" t="str">
        <f>IFERROR(VLOOKUP($C470,'Miljövrärden urval för publ'!$B$2:$H$416,MATCH('Miljövärden för publ företag'!E$4,'Miljövrärden urval för publ'!$B$2:$H$2,0),FALSE),"")</f>
        <v/>
      </c>
      <c r="F470" s="121" t="str">
        <f>IFERROR(VLOOKUP($C470,'Miljövrärden urval för publ'!$B$2:$H$416,MATCH('Miljövärden för publ företag'!F$4,'Miljövrärden urval för publ'!$B$2:$H$2,0),FALSE),"")</f>
        <v/>
      </c>
      <c r="G470" s="121" t="str">
        <f>IFERROR(VLOOKUP($C470,'Miljövrärden urval för publ'!$B$2:$H$416,MATCH('Miljövärden för publ företag'!G$4,'Miljövrärden urval för publ'!$B$2:$H$2,0),FALSE),"")</f>
        <v/>
      </c>
    </row>
    <row r="471" spans="2:7" x14ac:dyDescent="0.25">
      <c r="B471" s="121" t="str">
        <f>IFERROR(INDEX('Miljövrärden urval för publ'!$A$2:$AA$419,MATCH('Miljövärden för publ företag'!$A471,'Miljövrärden urval för publ'!$R$2:$R$416,0),1),"")</f>
        <v/>
      </c>
      <c r="C471" s="121" t="str">
        <f>IFERROR(INDEX('Miljövrärden urval för publ'!$A$2:$AA$419,MATCH('Miljövärden för publ företag'!$A471,'Miljövrärden urval för publ'!$R$2:$R$416,0),2),"")</f>
        <v/>
      </c>
      <c r="D471" s="121" t="str">
        <f>IFERROR(VLOOKUP($C471,'Miljövrärden urval för publ'!$B$2:$H$416,MATCH('Miljövärden för publ företag'!D$4,'Miljövrärden urval för publ'!$B$2:$H$2,0),FALSE),"")</f>
        <v/>
      </c>
      <c r="E471" s="121" t="str">
        <f>IFERROR(VLOOKUP($C471,'Miljövrärden urval för publ'!$B$2:$H$416,MATCH('Miljövärden för publ företag'!E$4,'Miljövrärden urval för publ'!$B$2:$H$2,0),FALSE),"")</f>
        <v/>
      </c>
      <c r="F471" s="121" t="str">
        <f>IFERROR(VLOOKUP($C471,'Miljövrärden urval för publ'!$B$2:$H$416,MATCH('Miljövärden för publ företag'!F$4,'Miljövrärden urval för publ'!$B$2:$H$2,0),FALSE),"")</f>
        <v/>
      </c>
      <c r="G471" s="121" t="str">
        <f>IFERROR(VLOOKUP($C471,'Miljövrärden urval för publ'!$B$2:$H$416,MATCH('Miljövärden för publ företag'!G$4,'Miljövrärden urval för publ'!$B$2:$H$2,0),FALSE),"")</f>
        <v/>
      </c>
    </row>
    <row r="472" spans="2:7" x14ac:dyDescent="0.25">
      <c r="B472" s="121" t="str">
        <f>IFERROR(INDEX('Miljövrärden urval för publ'!$A$2:$AA$419,MATCH('Miljövärden för publ företag'!$A472,'Miljövrärden urval för publ'!$R$2:$R$416,0),1),"")</f>
        <v/>
      </c>
      <c r="C472" s="121" t="str">
        <f>IFERROR(INDEX('Miljövrärden urval för publ'!$A$2:$AA$419,MATCH('Miljövärden för publ företag'!$A472,'Miljövrärden urval för publ'!$R$2:$R$416,0),2),"")</f>
        <v/>
      </c>
      <c r="D472" s="121" t="str">
        <f>IFERROR(VLOOKUP($C472,'Miljövrärden urval för publ'!$B$2:$H$416,MATCH('Miljövärden för publ företag'!D$4,'Miljövrärden urval för publ'!$B$2:$H$2,0),FALSE),"")</f>
        <v/>
      </c>
      <c r="E472" s="121" t="str">
        <f>IFERROR(VLOOKUP($C472,'Miljövrärden urval för publ'!$B$2:$H$416,MATCH('Miljövärden för publ företag'!E$4,'Miljövrärden urval för publ'!$B$2:$H$2,0),FALSE),"")</f>
        <v/>
      </c>
      <c r="F472" s="121" t="str">
        <f>IFERROR(VLOOKUP($C472,'Miljövrärden urval för publ'!$B$2:$H$416,MATCH('Miljövärden för publ företag'!F$4,'Miljövrärden urval för publ'!$B$2:$H$2,0),FALSE),"")</f>
        <v/>
      </c>
      <c r="G472" s="121" t="str">
        <f>IFERROR(VLOOKUP($C472,'Miljövrärden urval för publ'!$B$2:$H$416,MATCH('Miljövärden för publ företag'!G$4,'Miljövrärden urval för publ'!$B$2:$H$2,0),FALSE),"")</f>
        <v/>
      </c>
    </row>
    <row r="473" spans="2:7" x14ac:dyDescent="0.25">
      <c r="B473" s="121" t="str">
        <f>IFERROR(INDEX('Miljövrärden urval för publ'!$A$2:$AA$419,MATCH('Miljövärden för publ företag'!$A473,'Miljövrärden urval för publ'!$R$2:$R$416,0),1),"")</f>
        <v/>
      </c>
      <c r="C473" s="121" t="str">
        <f>IFERROR(INDEX('Miljövrärden urval för publ'!$A$2:$AA$419,MATCH('Miljövärden för publ företag'!$A473,'Miljövrärden urval för publ'!$R$2:$R$416,0),2),"")</f>
        <v/>
      </c>
      <c r="D473" s="121" t="str">
        <f>IFERROR(VLOOKUP($C473,'Miljövrärden urval för publ'!$B$2:$H$416,MATCH('Miljövärden för publ företag'!D$4,'Miljövrärden urval för publ'!$B$2:$H$2,0),FALSE),"")</f>
        <v/>
      </c>
      <c r="E473" s="121" t="str">
        <f>IFERROR(VLOOKUP($C473,'Miljövrärden urval för publ'!$B$2:$H$416,MATCH('Miljövärden för publ företag'!E$4,'Miljövrärden urval för publ'!$B$2:$H$2,0),FALSE),"")</f>
        <v/>
      </c>
      <c r="F473" s="121" t="str">
        <f>IFERROR(VLOOKUP($C473,'Miljövrärden urval för publ'!$B$2:$H$416,MATCH('Miljövärden för publ företag'!F$4,'Miljövrärden urval för publ'!$B$2:$H$2,0),FALSE),"")</f>
        <v/>
      </c>
      <c r="G473" s="121" t="str">
        <f>IFERROR(VLOOKUP($C473,'Miljövrärden urval för publ'!$B$2:$H$416,MATCH('Miljövärden för publ företag'!G$4,'Miljövrärden urval för publ'!$B$2:$H$2,0),FALSE),"")</f>
        <v/>
      </c>
    </row>
    <row r="474" spans="2:7" x14ac:dyDescent="0.25">
      <c r="B474" s="121" t="str">
        <f>IFERROR(INDEX('Miljövrärden urval för publ'!$A$2:$AA$419,MATCH('Miljövärden för publ företag'!$A474,'Miljövrärden urval för publ'!$R$2:$R$416,0),1),"")</f>
        <v/>
      </c>
      <c r="C474" s="121" t="str">
        <f>IFERROR(INDEX('Miljövrärden urval för publ'!$A$2:$AA$419,MATCH('Miljövärden för publ företag'!$A474,'Miljövrärden urval för publ'!$R$2:$R$416,0),2),"")</f>
        <v/>
      </c>
      <c r="D474" s="121" t="str">
        <f>IFERROR(VLOOKUP($C474,'Miljövrärden urval för publ'!$B$2:$H$416,MATCH('Miljövärden för publ företag'!D$4,'Miljövrärden urval för publ'!$B$2:$H$2,0),FALSE),"")</f>
        <v/>
      </c>
      <c r="E474" s="121" t="str">
        <f>IFERROR(VLOOKUP($C474,'Miljövrärden urval för publ'!$B$2:$H$416,MATCH('Miljövärden för publ företag'!E$4,'Miljövrärden urval för publ'!$B$2:$H$2,0),FALSE),"")</f>
        <v/>
      </c>
      <c r="F474" s="121" t="str">
        <f>IFERROR(VLOOKUP($C474,'Miljövrärden urval för publ'!$B$2:$H$416,MATCH('Miljövärden för publ företag'!F$4,'Miljövrärden urval för publ'!$B$2:$H$2,0),FALSE),"")</f>
        <v/>
      </c>
      <c r="G474" s="121" t="str">
        <f>IFERROR(VLOOKUP($C474,'Miljövrärden urval för publ'!$B$2:$H$416,MATCH('Miljövärden för publ företag'!G$4,'Miljövrärden urval för publ'!$B$2:$H$2,0),FALSE),"")</f>
        <v/>
      </c>
    </row>
    <row r="475" spans="2:7" x14ac:dyDescent="0.25">
      <c r="B475" s="121" t="str">
        <f>IFERROR(INDEX('Miljövrärden urval för publ'!$A$2:$AA$419,MATCH('Miljövärden för publ företag'!$A475,'Miljövrärden urval för publ'!$R$2:$R$416,0),1),"")</f>
        <v/>
      </c>
      <c r="C475" s="121" t="str">
        <f>IFERROR(INDEX('Miljövrärden urval för publ'!$A$2:$AA$419,MATCH('Miljövärden för publ företag'!$A475,'Miljövrärden urval för publ'!$R$2:$R$416,0),2),"")</f>
        <v/>
      </c>
      <c r="D475" s="121" t="str">
        <f>IFERROR(VLOOKUP($C475,'Miljövrärden urval för publ'!$B$2:$H$416,MATCH('Miljövärden för publ företag'!D$4,'Miljövrärden urval för publ'!$B$2:$H$2,0),FALSE),"")</f>
        <v/>
      </c>
      <c r="E475" s="121" t="str">
        <f>IFERROR(VLOOKUP($C475,'Miljövrärden urval för publ'!$B$2:$H$416,MATCH('Miljövärden för publ företag'!E$4,'Miljövrärden urval för publ'!$B$2:$H$2,0),FALSE),"")</f>
        <v/>
      </c>
      <c r="F475" s="121" t="str">
        <f>IFERROR(VLOOKUP($C475,'Miljövrärden urval för publ'!$B$2:$H$416,MATCH('Miljövärden för publ företag'!F$4,'Miljövrärden urval för publ'!$B$2:$H$2,0),FALSE),"")</f>
        <v/>
      </c>
      <c r="G475" s="121" t="str">
        <f>IFERROR(VLOOKUP($C475,'Miljövrärden urval för publ'!$B$2:$H$416,MATCH('Miljövärden för publ företag'!G$4,'Miljövrärden urval för publ'!$B$2:$H$2,0),FALSE),"")</f>
        <v/>
      </c>
    </row>
    <row r="476" spans="2:7" x14ac:dyDescent="0.25">
      <c r="B476" s="121" t="str">
        <f>IFERROR(INDEX('Miljövrärden urval för publ'!$A$2:$AA$419,MATCH('Miljövärden för publ företag'!$A476,'Miljövrärden urval för publ'!$R$2:$R$416,0),1),"")</f>
        <v/>
      </c>
      <c r="C476" s="121" t="str">
        <f>IFERROR(INDEX('Miljövrärden urval för publ'!$A$2:$AA$419,MATCH('Miljövärden för publ företag'!$A476,'Miljövrärden urval för publ'!$R$2:$R$416,0),2),"")</f>
        <v/>
      </c>
      <c r="D476" s="121" t="str">
        <f>IFERROR(VLOOKUP($C476,'Miljövrärden urval för publ'!$B$2:$H$416,MATCH('Miljövärden för publ företag'!D$4,'Miljövrärden urval för publ'!$B$2:$H$2,0),FALSE),"")</f>
        <v/>
      </c>
      <c r="E476" s="121" t="str">
        <f>IFERROR(VLOOKUP($C476,'Miljövrärden urval för publ'!$B$2:$H$416,MATCH('Miljövärden för publ företag'!E$4,'Miljövrärden urval för publ'!$B$2:$H$2,0),FALSE),"")</f>
        <v/>
      </c>
      <c r="F476" s="121" t="str">
        <f>IFERROR(VLOOKUP($C476,'Miljövrärden urval för publ'!$B$2:$H$416,MATCH('Miljövärden för publ företag'!F$4,'Miljövrärden urval för publ'!$B$2:$H$2,0),FALSE),"")</f>
        <v/>
      </c>
      <c r="G476" s="121" t="str">
        <f>IFERROR(VLOOKUP($C476,'Miljövrärden urval för publ'!$B$2:$H$416,MATCH('Miljövärden för publ företag'!G$4,'Miljövrärden urval för publ'!$B$2:$H$2,0),FALSE),"")</f>
        <v/>
      </c>
    </row>
    <row r="477" spans="2:7" x14ac:dyDescent="0.25">
      <c r="B477" s="121" t="str">
        <f>IFERROR(INDEX('Miljövrärden urval för publ'!$A$2:$AA$419,MATCH('Miljövärden för publ företag'!$A477,'Miljövrärden urval för publ'!$R$2:$R$416,0),1),"")</f>
        <v/>
      </c>
      <c r="C477" s="121" t="str">
        <f>IFERROR(INDEX('Miljövrärden urval för publ'!$A$2:$AA$419,MATCH('Miljövärden för publ företag'!$A477,'Miljövrärden urval för publ'!$R$2:$R$416,0),2),"")</f>
        <v/>
      </c>
      <c r="D477" s="121" t="str">
        <f>IFERROR(VLOOKUP($C477,'Miljövrärden urval för publ'!$B$2:$H$416,MATCH('Miljövärden för publ företag'!D$4,'Miljövrärden urval för publ'!$B$2:$H$2,0),FALSE),"")</f>
        <v/>
      </c>
      <c r="E477" s="121" t="str">
        <f>IFERROR(VLOOKUP($C477,'Miljövrärden urval för publ'!$B$2:$H$416,MATCH('Miljövärden för publ företag'!E$4,'Miljövrärden urval för publ'!$B$2:$H$2,0),FALSE),"")</f>
        <v/>
      </c>
      <c r="F477" s="121" t="str">
        <f>IFERROR(VLOOKUP($C477,'Miljövrärden urval för publ'!$B$2:$H$416,MATCH('Miljövärden för publ företag'!F$4,'Miljövrärden urval för publ'!$B$2:$H$2,0),FALSE),"")</f>
        <v/>
      </c>
      <c r="G477" s="121" t="str">
        <f>IFERROR(VLOOKUP($C477,'Miljövrärden urval för publ'!$B$2:$H$416,MATCH('Miljövärden för publ företag'!G$4,'Miljövrärden urval för publ'!$B$2:$H$2,0),FALSE),"")</f>
        <v/>
      </c>
    </row>
    <row r="478" spans="2:7" x14ac:dyDescent="0.25">
      <c r="B478" s="121" t="str">
        <f>IFERROR(INDEX('Miljövrärden urval för publ'!$A$2:$AA$419,MATCH('Miljövärden för publ företag'!$A478,'Miljövrärden urval för publ'!$R$2:$R$416,0),1),"")</f>
        <v/>
      </c>
      <c r="C478" s="121" t="str">
        <f>IFERROR(INDEX('Miljövrärden urval för publ'!$A$2:$AA$419,MATCH('Miljövärden för publ företag'!$A478,'Miljövrärden urval för publ'!$R$2:$R$416,0),2),"")</f>
        <v/>
      </c>
      <c r="D478" s="121" t="str">
        <f>IFERROR(VLOOKUP($C478,'Miljövrärden urval för publ'!$B$2:$H$416,MATCH('Miljövärden för publ företag'!D$4,'Miljövrärden urval för publ'!$B$2:$H$2,0),FALSE),"")</f>
        <v/>
      </c>
      <c r="E478" s="121" t="str">
        <f>IFERROR(VLOOKUP($C478,'Miljövrärden urval för publ'!$B$2:$H$416,MATCH('Miljövärden för publ företag'!E$4,'Miljövrärden urval för publ'!$B$2:$H$2,0),FALSE),"")</f>
        <v/>
      </c>
      <c r="F478" s="121" t="str">
        <f>IFERROR(VLOOKUP($C478,'Miljövrärden urval för publ'!$B$2:$H$416,MATCH('Miljövärden för publ företag'!F$4,'Miljövrärden urval för publ'!$B$2:$H$2,0),FALSE),"")</f>
        <v/>
      </c>
      <c r="G478" s="121" t="str">
        <f>IFERROR(VLOOKUP($C478,'Miljövrärden urval för publ'!$B$2:$H$416,MATCH('Miljövärden för publ företag'!G$4,'Miljövrärden urval för publ'!$B$2:$H$2,0),FALSE),"")</f>
        <v/>
      </c>
    </row>
    <row r="479" spans="2:7" x14ac:dyDescent="0.25">
      <c r="B479" s="121" t="str">
        <f>IFERROR(INDEX('Miljövrärden urval för publ'!$A$2:$AA$419,MATCH('Miljövärden för publ företag'!$A479,'Miljövrärden urval för publ'!$R$2:$R$416,0),1),"")</f>
        <v/>
      </c>
      <c r="C479" s="121" t="str">
        <f>IFERROR(INDEX('Miljövrärden urval för publ'!$A$2:$AA$419,MATCH('Miljövärden för publ företag'!$A479,'Miljövrärden urval för publ'!$R$2:$R$416,0),2),"")</f>
        <v/>
      </c>
      <c r="D479" s="121" t="str">
        <f>IFERROR(VLOOKUP($C479,'Miljövrärden urval för publ'!$B$2:$H$416,MATCH('Miljövärden för publ företag'!D$4,'Miljövrärden urval för publ'!$B$2:$H$2,0),FALSE),"")</f>
        <v/>
      </c>
      <c r="E479" s="121" t="str">
        <f>IFERROR(VLOOKUP($C479,'Miljövrärden urval för publ'!$B$2:$H$416,MATCH('Miljövärden för publ företag'!E$4,'Miljövrärden urval för publ'!$B$2:$H$2,0),FALSE),"")</f>
        <v/>
      </c>
      <c r="F479" s="121" t="str">
        <f>IFERROR(VLOOKUP($C479,'Miljövrärden urval för publ'!$B$2:$H$416,MATCH('Miljövärden för publ företag'!F$4,'Miljövrärden urval för publ'!$B$2:$H$2,0),FALSE),"")</f>
        <v/>
      </c>
      <c r="G479" s="121" t="str">
        <f>IFERROR(VLOOKUP($C479,'Miljövrärden urval för publ'!$B$2:$H$416,MATCH('Miljövärden för publ företag'!G$4,'Miljövrärden urval för publ'!$B$2:$H$2,0),FALSE),"")</f>
        <v/>
      </c>
    </row>
    <row r="480" spans="2:7" x14ac:dyDescent="0.25">
      <c r="B480" s="121" t="str">
        <f>IFERROR(INDEX('Miljövrärden urval för publ'!$A$2:$AA$419,MATCH('Miljövärden för publ företag'!$A480,'Miljövrärden urval för publ'!$R$2:$R$416,0),1),"")</f>
        <v/>
      </c>
      <c r="C480" s="121" t="str">
        <f>IFERROR(INDEX('Miljövrärden urval för publ'!$A$2:$AA$419,MATCH('Miljövärden för publ företag'!$A480,'Miljövrärden urval för publ'!$R$2:$R$416,0),2),"")</f>
        <v/>
      </c>
      <c r="D480" s="121" t="str">
        <f>IFERROR(VLOOKUP($C480,'Miljövrärden urval för publ'!$B$2:$H$416,MATCH('Miljövärden för publ företag'!D$4,'Miljövrärden urval för publ'!$B$2:$H$2,0),FALSE),"")</f>
        <v/>
      </c>
      <c r="E480" s="121" t="str">
        <f>IFERROR(VLOOKUP($C480,'Miljövrärden urval för publ'!$B$2:$H$416,MATCH('Miljövärden för publ företag'!E$4,'Miljövrärden urval för publ'!$B$2:$H$2,0),FALSE),"")</f>
        <v/>
      </c>
      <c r="F480" s="121" t="str">
        <f>IFERROR(VLOOKUP($C480,'Miljövrärden urval för publ'!$B$2:$H$416,MATCH('Miljövärden för publ företag'!F$4,'Miljövrärden urval för publ'!$B$2:$H$2,0),FALSE),"")</f>
        <v/>
      </c>
      <c r="G480" s="121" t="str">
        <f>IFERROR(VLOOKUP($C480,'Miljövrärden urval för publ'!$B$2:$H$416,MATCH('Miljövärden för publ företag'!G$4,'Miljövrärden urval för publ'!$B$2:$H$2,0),FALSE),"")</f>
        <v/>
      </c>
    </row>
    <row r="481" spans="2:7" x14ac:dyDescent="0.25">
      <c r="B481" s="121" t="str">
        <f>IFERROR(INDEX('Miljövrärden urval för publ'!$A$2:$AA$419,MATCH('Miljövärden för publ företag'!$A481,'Miljövrärden urval för publ'!$R$2:$R$416,0),1),"")</f>
        <v/>
      </c>
      <c r="C481" s="121" t="str">
        <f>IFERROR(INDEX('Miljövrärden urval för publ'!$A$2:$AA$419,MATCH('Miljövärden för publ företag'!$A481,'Miljövrärden urval för publ'!$R$2:$R$416,0),2),"")</f>
        <v/>
      </c>
      <c r="D481" s="121" t="str">
        <f>IFERROR(VLOOKUP($C481,'Miljövrärden urval för publ'!$B$2:$H$416,MATCH('Miljövärden för publ företag'!D$4,'Miljövrärden urval för publ'!$B$2:$H$2,0),FALSE),"")</f>
        <v/>
      </c>
      <c r="E481" s="121" t="str">
        <f>IFERROR(VLOOKUP($C481,'Miljövrärden urval för publ'!$B$2:$H$416,MATCH('Miljövärden för publ företag'!E$4,'Miljövrärden urval för publ'!$B$2:$H$2,0),FALSE),"")</f>
        <v/>
      </c>
      <c r="F481" s="121" t="str">
        <f>IFERROR(VLOOKUP($C481,'Miljövrärden urval för publ'!$B$2:$H$416,MATCH('Miljövärden för publ företag'!F$4,'Miljövrärden urval för publ'!$B$2:$H$2,0),FALSE),"")</f>
        <v/>
      </c>
      <c r="G481" s="121" t="str">
        <f>IFERROR(VLOOKUP($C481,'Miljövrärden urval för publ'!$B$2:$H$416,MATCH('Miljövärden för publ företag'!G$4,'Miljövrärden urval för publ'!$B$2:$H$2,0),FALSE),"")</f>
        <v/>
      </c>
    </row>
    <row r="482" spans="2:7" x14ac:dyDescent="0.25">
      <c r="B482" s="121" t="str">
        <f>IFERROR(INDEX('Miljövrärden urval för publ'!$A$2:$AA$419,MATCH('Miljövärden för publ företag'!$A482,'Miljövrärden urval för publ'!$R$2:$R$416,0),1),"")</f>
        <v/>
      </c>
      <c r="C482" s="121" t="str">
        <f>IFERROR(INDEX('Miljövrärden urval för publ'!$A$2:$AA$419,MATCH('Miljövärden för publ företag'!$A482,'Miljövrärden urval för publ'!$R$2:$R$416,0),2),"")</f>
        <v/>
      </c>
      <c r="D482" s="121" t="str">
        <f>IFERROR(VLOOKUP($C482,'Miljövrärden urval för publ'!$B$2:$H$416,MATCH('Miljövärden för publ företag'!D$4,'Miljövrärden urval för publ'!$B$2:$H$2,0),FALSE),"")</f>
        <v/>
      </c>
      <c r="E482" s="121" t="str">
        <f>IFERROR(VLOOKUP($C482,'Miljövrärden urval för publ'!$B$2:$H$416,MATCH('Miljövärden för publ företag'!E$4,'Miljövrärden urval för publ'!$B$2:$H$2,0),FALSE),"")</f>
        <v/>
      </c>
      <c r="F482" s="121" t="str">
        <f>IFERROR(VLOOKUP($C482,'Miljövrärden urval för publ'!$B$2:$H$416,MATCH('Miljövärden för publ företag'!F$4,'Miljövrärden urval för publ'!$B$2:$H$2,0),FALSE),"")</f>
        <v/>
      </c>
      <c r="G482" s="121" t="str">
        <f>IFERROR(VLOOKUP($C482,'Miljövrärden urval för publ'!$B$2:$H$416,MATCH('Miljövärden för publ företag'!G$4,'Miljövrärden urval för publ'!$B$2:$H$2,0),FALSE),"")</f>
        <v/>
      </c>
    </row>
    <row r="483" spans="2:7" x14ac:dyDescent="0.25">
      <c r="B483" s="121" t="str">
        <f>IFERROR(INDEX('Miljövrärden urval för publ'!$A$2:$AA$419,MATCH('Miljövärden för publ företag'!$A483,'Miljövrärden urval för publ'!$R$2:$R$416,0),1),"")</f>
        <v/>
      </c>
      <c r="C483" s="121" t="str">
        <f>IFERROR(INDEX('Miljövrärden urval för publ'!$A$2:$AA$419,MATCH('Miljövärden för publ företag'!$A483,'Miljövrärden urval för publ'!$R$2:$R$416,0),2),"")</f>
        <v/>
      </c>
      <c r="D483" s="121" t="str">
        <f>IFERROR(VLOOKUP($C483,'Miljövrärden urval för publ'!$B$2:$H$416,MATCH('Miljövärden för publ företag'!D$4,'Miljövrärden urval för publ'!$B$2:$H$2,0),FALSE),"")</f>
        <v/>
      </c>
      <c r="E483" s="121" t="str">
        <f>IFERROR(VLOOKUP($C483,'Miljövrärden urval för publ'!$B$2:$H$416,MATCH('Miljövärden för publ företag'!E$4,'Miljövrärden urval för publ'!$B$2:$H$2,0),FALSE),"")</f>
        <v/>
      </c>
      <c r="F483" s="121" t="str">
        <f>IFERROR(VLOOKUP($C483,'Miljövrärden urval för publ'!$B$2:$H$416,MATCH('Miljövärden för publ företag'!F$4,'Miljövrärden urval för publ'!$B$2:$H$2,0),FALSE),"")</f>
        <v/>
      </c>
      <c r="G483" s="121" t="str">
        <f>IFERROR(VLOOKUP($C483,'Miljövrärden urval för publ'!$B$2:$H$416,MATCH('Miljövärden för publ företag'!G$4,'Miljövrärden urval för publ'!$B$2:$H$2,0),FALSE),"")</f>
        <v/>
      </c>
    </row>
    <row r="484" spans="2:7" x14ac:dyDescent="0.25">
      <c r="B484" s="121" t="str">
        <f>IFERROR(INDEX('Miljövrärden urval för publ'!$A$2:$AA$419,MATCH('Miljövärden för publ företag'!$A484,'Miljövrärden urval för publ'!$R$2:$R$416,0),1),"")</f>
        <v/>
      </c>
      <c r="C484" s="121" t="str">
        <f>IFERROR(INDEX('Miljövrärden urval för publ'!$A$2:$AA$419,MATCH('Miljövärden för publ företag'!$A484,'Miljövrärden urval för publ'!$R$2:$R$416,0),2),"")</f>
        <v/>
      </c>
      <c r="D484" s="121" t="str">
        <f>IFERROR(VLOOKUP($C484,'Miljövrärden urval för publ'!$B$2:$H$416,MATCH('Miljövärden för publ företag'!D$4,'Miljövrärden urval för publ'!$B$2:$H$2,0),FALSE),"")</f>
        <v/>
      </c>
      <c r="E484" s="121" t="str">
        <f>IFERROR(VLOOKUP($C484,'Miljövrärden urval för publ'!$B$2:$H$416,MATCH('Miljövärden för publ företag'!E$4,'Miljövrärden urval för publ'!$B$2:$H$2,0),FALSE),"")</f>
        <v/>
      </c>
      <c r="F484" s="121" t="str">
        <f>IFERROR(VLOOKUP($C484,'Miljövrärden urval för publ'!$B$2:$H$416,MATCH('Miljövärden för publ företag'!F$4,'Miljövrärden urval för publ'!$B$2:$H$2,0),FALSE),"")</f>
        <v/>
      </c>
      <c r="G484" s="121" t="str">
        <f>IFERROR(VLOOKUP($C484,'Miljövrärden urval för publ'!$B$2:$H$416,MATCH('Miljövärden för publ företag'!G$4,'Miljövrärden urval för publ'!$B$2:$H$2,0),FALSE),"")</f>
        <v/>
      </c>
    </row>
    <row r="485" spans="2:7" x14ac:dyDescent="0.25">
      <c r="B485" s="121" t="str">
        <f>IFERROR(INDEX('Miljövrärden urval för publ'!$A$2:$AA$419,MATCH('Miljövärden för publ företag'!$A485,'Miljövrärden urval för publ'!$R$2:$R$416,0),1),"")</f>
        <v/>
      </c>
      <c r="C485" s="121" t="str">
        <f>IFERROR(INDEX('Miljövrärden urval för publ'!$A$2:$AA$419,MATCH('Miljövärden för publ företag'!$A485,'Miljövrärden urval för publ'!$R$2:$R$416,0),2),"")</f>
        <v/>
      </c>
      <c r="D485" s="121" t="str">
        <f>IFERROR(VLOOKUP($C485,'Miljövrärden urval för publ'!$B$2:$H$416,MATCH('Miljövärden för publ företag'!D$4,'Miljövrärden urval för publ'!$B$2:$H$2,0),FALSE),"")</f>
        <v/>
      </c>
      <c r="E485" s="121" t="str">
        <f>IFERROR(VLOOKUP($C485,'Miljövrärden urval för publ'!$B$2:$H$416,MATCH('Miljövärden för publ företag'!E$4,'Miljövrärden urval för publ'!$B$2:$H$2,0),FALSE),"")</f>
        <v/>
      </c>
      <c r="F485" s="121" t="str">
        <f>IFERROR(VLOOKUP($C485,'Miljövrärden urval för publ'!$B$2:$H$416,MATCH('Miljövärden för publ företag'!F$4,'Miljövrärden urval för publ'!$B$2:$H$2,0),FALSE),"")</f>
        <v/>
      </c>
      <c r="G485" s="121" t="str">
        <f>IFERROR(VLOOKUP($C485,'Miljövrärden urval för publ'!$B$2:$H$416,MATCH('Miljövärden för publ företag'!G$4,'Miljövrärden urval för publ'!$B$2:$H$2,0),FALSE),"")</f>
        <v/>
      </c>
    </row>
    <row r="486" spans="2:7" x14ac:dyDescent="0.25">
      <c r="B486" s="121" t="str">
        <f>IFERROR(INDEX('Miljövrärden urval för publ'!$A$2:$AA$419,MATCH('Miljövärden för publ företag'!$A486,'Miljövrärden urval för publ'!$R$2:$R$416,0),1),"")</f>
        <v/>
      </c>
      <c r="C486" s="121" t="str">
        <f>IFERROR(INDEX('Miljövrärden urval för publ'!$A$2:$AA$419,MATCH('Miljövärden för publ företag'!$A486,'Miljövrärden urval för publ'!$R$2:$R$416,0),2),"")</f>
        <v/>
      </c>
      <c r="D486" s="121" t="str">
        <f>IFERROR(VLOOKUP($C486,'Miljövrärden urval för publ'!$B$2:$H$416,MATCH('Miljövärden för publ företag'!D$4,'Miljövrärden urval för publ'!$B$2:$H$2,0),FALSE),"")</f>
        <v/>
      </c>
      <c r="E486" s="121" t="str">
        <f>IFERROR(VLOOKUP($C486,'Miljövrärden urval för publ'!$B$2:$H$416,MATCH('Miljövärden för publ företag'!E$4,'Miljövrärden urval för publ'!$B$2:$H$2,0),FALSE),"")</f>
        <v/>
      </c>
      <c r="F486" s="121" t="str">
        <f>IFERROR(VLOOKUP($C486,'Miljövrärden urval för publ'!$B$2:$H$416,MATCH('Miljövärden för publ företag'!F$4,'Miljövrärden urval för publ'!$B$2:$H$2,0),FALSE),"")</f>
        <v/>
      </c>
      <c r="G486" s="121" t="str">
        <f>IFERROR(VLOOKUP($C486,'Miljövrärden urval för publ'!$B$2:$H$416,MATCH('Miljövärden för publ företag'!G$4,'Miljövrärden urval för publ'!$B$2:$H$2,0),FALSE),"")</f>
        <v/>
      </c>
    </row>
    <row r="487" spans="2:7" x14ac:dyDescent="0.25">
      <c r="B487" s="121" t="str">
        <f>IFERROR(INDEX('Miljövrärden urval för publ'!$A$2:$AA$419,MATCH('Miljövärden för publ företag'!$A487,'Miljövrärden urval för publ'!$R$2:$R$416,0),1),"")</f>
        <v/>
      </c>
      <c r="C487" s="121" t="str">
        <f>IFERROR(INDEX('Miljövrärden urval för publ'!$A$2:$AA$419,MATCH('Miljövärden för publ företag'!$A487,'Miljövrärden urval för publ'!$R$2:$R$416,0),2),"")</f>
        <v/>
      </c>
      <c r="D487" s="121" t="str">
        <f>IFERROR(VLOOKUP($C487,'Miljövrärden urval för publ'!$B$2:$H$416,MATCH('Miljövärden för publ företag'!D$4,'Miljövrärden urval för publ'!$B$2:$H$2,0),FALSE),"")</f>
        <v/>
      </c>
      <c r="E487" s="121" t="str">
        <f>IFERROR(VLOOKUP($C487,'Miljövrärden urval för publ'!$B$2:$H$416,MATCH('Miljövärden för publ företag'!E$4,'Miljövrärden urval för publ'!$B$2:$H$2,0),FALSE),"")</f>
        <v/>
      </c>
      <c r="F487" s="121" t="str">
        <f>IFERROR(VLOOKUP($C487,'Miljövrärden urval för publ'!$B$2:$H$416,MATCH('Miljövärden för publ företag'!F$4,'Miljövrärden urval för publ'!$B$2:$H$2,0),FALSE),"")</f>
        <v/>
      </c>
      <c r="G487" s="121" t="str">
        <f>IFERROR(VLOOKUP($C487,'Miljövrärden urval för publ'!$B$2:$H$416,MATCH('Miljövärden för publ företag'!G$4,'Miljövrärden urval för publ'!$B$2:$H$2,0),FALSE),"")</f>
        <v/>
      </c>
    </row>
    <row r="488" spans="2:7" x14ac:dyDescent="0.25">
      <c r="B488" s="121" t="str">
        <f>IFERROR(INDEX('Miljövrärden urval för publ'!$A$2:$AA$419,MATCH('Miljövärden för publ företag'!$A488,'Miljövrärden urval för publ'!$R$2:$R$416,0),1),"")</f>
        <v/>
      </c>
      <c r="C488" s="121" t="str">
        <f>IFERROR(INDEX('Miljövrärden urval för publ'!$A$2:$AA$419,MATCH('Miljövärden för publ företag'!$A488,'Miljövrärden urval för publ'!$R$2:$R$416,0),2),"")</f>
        <v/>
      </c>
      <c r="D488" s="121" t="str">
        <f>IFERROR(VLOOKUP($C488,'Miljövrärden urval för publ'!$B$2:$H$416,MATCH('Miljövärden för publ företag'!D$4,'Miljövrärden urval för publ'!$B$2:$H$2,0),FALSE),"")</f>
        <v/>
      </c>
      <c r="E488" s="121" t="str">
        <f>IFERROR(VLOOKUP($C488,'Miljövrärden urval för publ'!$B$2:$H$416,MATCH('Miljövärden för publ företag'!E$4,'Miljövrärden urval för publ'!$B$2:$H$2,0),FALSE),"")</f>
        <v/>
      </c>
      <c r="F488" s="121" t="str">
        <f>IFERROR(VLOOKUP($C488,'Miljövrärden urval för publ'!$B$2:$H$416,MATCH('Miljövärden för publ företag'!F$4,'Miljövrärden urval för publ'!$B$2:$H$2,0),FALSE),"")</f>
        <v/>
      </c>
      <c r="G488" s="121" t="str">
        <f>IFERROR(VLOOKUP($C488,'Miljövrärden urval för publ'!$B$2:$H$416,MATCH('Miljövärden för publ företag'!G$4,'Miljövrärden urval för publ'!$B$2:$H$2,0),FALSE),"")</f>
        <v/>
      </c>
    </row>
    <row r="489" spans="2:7" x14ac:dyDescent="0.25">
      <c r="B489" s="121" t="str">
        <f>IFERROR(INDEX('Miljövrärden urval för publ'!$A$2:$AA$419,MATCH('Miljövärden för publ företag'!$A489,'Miljövrärden urval för publ'!$R$2:$R$416,0),1),"")</f>
        <v/>
      </c>
      <c r="C489" s="121" t="str">
        <f>IFERROR(INDEX('Miljövrärden urval för publ'!$A$2:$AA$419,MATCH('Miljövärden för publ företag'!$A489,'Miljövrärden urval för publ'!$R$2:$R$416,0),2),"")</f>
        <v/>
      </c>
      <c r="D489" s="121" t="str">
        <f>IFERROR(VLOOKUP($C489,'Miljövrärden urval för publ'!$B$2:$H$416,MATCH('Miljövärden för publ företag'!D$4,'Miljövrärden urval för publ'!$B$2:$H$2,0),FALSE),"")</f>
        <v/>
      </c>
      <c r="E489" s="121" t="str">
        <f>IFERROR(VLOOKUP($C489,'Miljövrärden urval för publ'!$B$2:$H$416,MATCH('Miljövärden för publ företag'!E$4,'Miljövrärden urval för publ'!$B$2:$H$2,0),FALSE),"")</f>
        <v/>
      </c>
      <c r="F489" s="121" t="str">
        <f>IFERROR(VLOOKUP($C489,'Miljövrärden urval för publ'!$B$2:$H$416,MATCH('Miljövärden för publ företag'!F$4,'Miljövrärden urval för publ'!$B$2:$H$2,0),FALSE),"")</f>
        <v/>
      </c>
      <c r="G489" s="121" t="str">
        <f>IFERROR(VLOOKUP($C489,'Miljövrärden urval för publ'!$B$2:$H$416,MATCH('Miljövärden för publ företag'!G$4,'Miljövrärden urval för publ'!$B$2:$H$2,0),FALSE),"")</f>
        <v/>
      </c>
    </row>
    <row r="490" spans="2:7" x14ac:dyDescent="0.25">
      <c r="B490" s="121" t="str">
        <f>IFERROR(INDEX('Miljövrärden urval för publ'!$A$2:$AA$419,MATCH('Miljövärden för publ företag'!$A490,'Miljövrärden urval för publ'!$R$2:$R$416,0),1),"")</f>
        <v/>
      </c>
      <c r="C490" s="121" t="str">
        <f>IFERROR(INDEX('Miljövrärden urval för publ'!$A$2:$AA$419,MATCH('Miljövärden för publ företag'!$A490,'Miljövrärden urval för publ'!$R$2:$R$416,0),2),"")</f>
        <v/>
      </c>
      <c r="D490" s="121" t="str">
        <f>IFERROR(VLOOKUP($C490,'Miljövrärden urval för publ'!$B$2:$H$416,MATCH('Miljövärden för publ företag'!D$4,'Miljövrärden urval för publ'!$B$2:$H$2,0),FALSE),"")</f>
        <v/>
      </c>
      <c r="E490" s="121" t="str">
        <f>IFERROR(VLOOKUP($C490,'Miljövrärden urval för publ'!$B$2:$H$416,MATCH('Miljövärden för publ företag'!E$4,'Miljövrärden urval för publ'!$B$2:$H$2,0),FALSE),"")</f>
        <v/>
      </c>
      <c r="F490" s="121" t="str">
        <f>IFERROR(VLOOKUP($C490,'Miljövrärden urval för publ'!$B$2:$H$416,MATCH('Miljövärden för publ företag'!F$4,'Miljövrärden urval för publ'!$B$2:$H$2,0),FALSE),"")</f>
        <v/>
      </c>
      <c r="G490" s="121" t="str">
        <f>IFERROR(VLOOKUP($C490,'Miljövrärden urval för publ'!$B$2:$H$416,MATCH('Miljövärden för publ företag'!G$4,'Miljövrärden urval för publ'!$B$2:$H$2,0),FALSE),"")</f>
        <v/>
      </c>
    </row>
    <row r="491" spans="2:7" x14ac:dyDescent="0.25">
      <c r="B491" s="121" t="str">
        <f>IFERROR(INDEX('Miljövrärden urval för publ'!$A$2:$AA$419,MATCH('Miljövärden för publ företag'!$A491,'Miljövrärden urval för publ'!$R$2:$R$416,0),1),"")</f>
        <v/>
      </c>
      <c r="C491" s="121" t="str">
        <f>IFERROR(INDEX('Miljövrärden urval för publ'!$A$2:$AA$419,MATCH('Miljövärden för publ företag'!$A491,'Miljövrärden urval för publ'!$R$2:$R$416,0),2),"")</f>
        <v/>
      </c>
      <c r="D491" s="121" t="str">
        <f>IFERROR(VLOOKUP($C491,'Miljövrärden urval för publ'!$B$2:$H$416,MATCH('Miljövärden för publ företag'!D$4,'Miljövrärden urval för publ'!$B$2:$H$2,0),FALSE),"")</f>
        <v/>
      </c>
      <c r="E491" s="121" t="str">
        <f>IFERROR(VLOOKUP($C491,'Miljövrärden urval för publ'!$B$2:$H$416,MATCH('Miljövärden för publ företag'!E$4,'Miljövrärden urval för publ'!$B$2:$H$2,0),FALSE),"")</f>
        <v/>
      </c>
      <c r="F491" s="121" t="str">
        <f>IFERROR(VLOOKUP($C491,'Miljövrärden urval för publ'!$B$2:$H$416,MATCH('Miljövärden för publ företag'!F$4,'Miljövrärden urval för publ'!$B$2:$H$2,0),FALSE),"")</f>
        <v/>
      </c>
      <c r="G491" s="121" t="str">
        <f>IFERROR(VLOOKUP($C491,'Miljövrärden urval för publ'!$B$2:$H$416,MATCH('Miljövärden för publ företag'!G$4,'Miljövrärden urval för publ'!$B$2:$H$2,0),FALSE),"")</f>
        <v/>
      </c>
    </row>
    <row r="492" spans="2:7" x14ac:dyDescent="0.25">
      <c r="B492" s="121" t="str">
        <f>IFERROR(INDEX('Miljövrärden urval för publ'!$A$2:$AA$419,MATCH('Miljövärden för publ företag'!$A492,'Miljövrärden urval för publ'!$R$2:$R$416,0),1),"")</f>
        <v/>
      </c>
      <c r="C492" s="121" t="str">
        <f>IFERROR(INDEX('Miljövrärden urval för publ'!$A$2:$AA$419,MATCH('Miljövärden för publ företag'!$A492,'Miljövrärden urval för publ'!$R$2:$R$416,0),2),"")</f>
        <v/>
      </c>
      <c r="D492" s="121" t="str">
        <f>IFERROR(VLOOKUP($C492,'Miljövrärden urval för publ'!$B$2:$H$416,MATCH('Miljövärden för publ företag'!D$4,'Miljövrärden urval för publ'!$B$2:$H$2,0),FALSE),"")</f>
        <v/>
      </c>
      <c r="E492" s="121" t="str">
        <f>IFERROR(VLOOKUP($C492,'Miljövrärden urval för publ'!$B$2:$H$416,MATCH('Miljövärden för publ företag'!E$4,'Miljövrärden urval för publ'!$B$2:$H$2,0),FALSE),"")</f>
        <v/>
      </c>
      <c r="F492" s="121" t="str">
        <f>IFERROR(VLOOKUP($C492,'Miljövrärden urval för publ'!$B$2:$H$416,MATCH('Miljövärden för publ företag'!F$4,'Miljövrärden urval för publ'!$B$2:$H$2,0),FALSE),"")</f>
        <v/>
      </c>
      <c r="G492" s="121" t="str">
        <f>IFERROR(VLOOKUP($C492,'Miljövrärden urval för publ'!$B$2:$H$416,MATCH('Miljövärden för publ företag'!G$4,'Miljövrärden urval för publ'!$B$2:$H$2,0),FALSE),"")</f>
        <v/>
      </c>
    </row>
    <row r="493" spans="2:7" x14ac:dyDescent="0.25">
      <c r="B493" s="121" t="str">
        <f>IFERROR(INDEX('Miljövrärden urval för publ'!$A$2:$AA$419,MATCH('Miljövärden för publ företag'!$A493,'Miljövrärden urval för publ'!$R$2:$R$416,0),1),"")</f>
        <v/>
      </c>
      <c r="C493" s="121" t="str">
        <f>IFERROR(INDEX('Miljövrärden urval för publ'!$A$2:$AA$419,MATCH('Miljövärden för publ företag'!$A493,'Miljövrärden urval för publ'!$R$2:$R$416,0),2),"")</f>
        <v/>
      </c>
      <c r="D493" s="121" t="str">
        <f>IFERROR(VLOOKUP($C493,'Miljövrärden urval för publ'!$B$2:$H$416,MATCH('Miljövärden för publ företag'!D$4,'Miljövrärden urval för publ'!$B$2:$H$2,0),FALSE),"")</f>
        <v/>
      </c>
      <c r="E493" s="121" t="str">
        <f>IFERROR(VLOOKUP($C493,'Miljövrärden urval för publ'!$B$2:$H$416,MATCH('Miljövärden för publ företag'!E$4,'Miljövrärden urval för publ'!$B$2:$H$2,0),FALSE),"")</f>
        <v/>
      </c>
      <c r="F493" s="121" t="str">
        <f>IFERROR(VLOOKUP($C493,'Miljövrärden urval för publ'!$B$2:$H$416,MATCH('Miljövärden för publ företag'!F$4,'Miljövrärden urval för publ'!$B$2:$H$2,0),FALSE),"")</f>
        <v/>
      </c>
      <c r="G493" s="121" t="str">
        <f>IFERROR(VLOOKUP($C493,'Miljövrärden urval för publ'!$B$2:$H$416,MATCH('Miljövärden för publ företag'!G$4,'Miljövrärden urval för publ'!$B$2:$H$2,0),FALSE),"")</f>
        <v/>
      </c>
    </row>
    <row r="494" spans="2:7" x14ac:dyDescent="0.25">
      <c r="B494" s="121" t="str">
        <f>IFERROR(INDEX('Miljövrärden urval för publ'!$A$2:$AA$419,MATCH('Miljövärden för publ företag'!$A494,'Miljövrärden urval för publ'!$R$2:$R$416,0),1),"")</f>
        <v/>
      </c>
      <c r="C494" s="121" t="str">
        <f>IFERROR(INDEX('Miljövrärden urval för publ'!$A$2:$AA$419,MATCH('Miljövärden för publ företag'!$A494,'Miljövrärden urval för publ'!$R$2:$R$416,0),2),"")</f>
        <v/>
      </c>
      <c r="D494" s="121" t="str">
        <f>IFERROR(VLOOKUP($C494,'Miljövrärden urval för publ'!$B$2:$H$416,MATCH('Miljövärden för publ företag'!D$4,'Miljövrärden urval för publ'!$B$2:$H$2,0),FALSE),"")</f>
        <v/>
      </c>
      <c r="E494" s="121" t="str">
        <f>IFERROR(VLOOKUP($C494,'Miljövrärden urval för publ'!$B$2:$H$416,MATCH('Miljövärden för publ företag'!E$4,'Miljövrärden urval för publ'!$B$2:$H$2,0),FALSE),"")</f>
        <v/>
      </c>
      <c r="F494" s="121" t="str">
        <f>IFERROR(VLOOKUP($C494,'Miljövrärden urval för publ'!$B$2:$H$416,MATCH('Miljövärden för publ företag'!F$4,'Miljövrärden urval för publ'!$B$2:$H$2,0),FALSE),"")</f>
        <v/>
      </c>
      <c r="G494" s="121" t="str">
        <f>IFERROR(VLOOKUP($C494,'Miljövrärden urval för publ'!$B$2:$H$416,MATCH('Miljövärden för publ företag'!G$4,'Miljövrärden urval för publ'!$B$2:$H$2,0),FALSE),"")</f>
        <v/>
      </c>
    </row>
    <row r="495" spans="2:7" x14ac:dyDescent="0.25">
      <c r="B495" s="121" t="str">
        <f>IFERROR(INDEX('Miljövrärden urval för publ'!$A$2:$AA$419,MATCH('Miljövärden för publ företag'!$A495,'Miljövrärden urval för publ'!$R$2:$R$416,0),1),"")</f>
        <v/>
      </c>
      <c r="C495" s="121" t="str">
        <f>IFERROR(INDEX('Miljövrärden urval för publ'!$A$2:$AA$419,MATCH('Miljövärden för publ företag'!$A495,'Miljövrärden urval för publ'!$R$2:$R$416,0),2),"")</f>
        <v/>
      </c>
      <c r="D495" s="121" t="str">
        <f>IFERROR(VLOOKUP($C495,'Miljövrärden urval för publ'!$B$2:$H$416,MATCH('Miljövärden för publ företag'!D$4,'Miljövrärden urval för publ'!$B$2:$H$2,0),FALSE),"")</f>
        <v/>
      </c>
      <c r="E495" s="121" t="str">
        <f>IFERROR(VLOOKUP($C495,'Miljövrärden urval för publ'!$B$2:$H$416,MATCH('Miljövärden för publ företag'!E$4,'Miljövrärden urval för publ'!$B$2:$H$2,0),FALSE),"")</f>
        <v/>
      </c>
      <c r="F495" s="121" t="str">
        <f>IFERROR(VLOOKUP($C495,'Miljövrärden urval för publ'!$B$2:$H$416,MATCH('Miljövärden för publ företag'!F$4,'Miljövrärden urval för publ'!$B$2:$H$2,0),FALSE),"")</f>
        <v/>
      </c>
      <c r="G495" s="121" t="str">
        <f>IFERROR(VLOOKUP($C495,'Miljövrärden urval för publ'!$B$2:$H$416,MATCH('Miljövärden för publ företag'!G$4,'Miljövrärden urval för publ'!$B$2:$H$2,0),FALSE),"")</f>
        <v/>
      </c>
    </row>
    <row r="496" spans="2:7" x14ac:dyDescent="0.25">
      <c r="B496" s="121" t="str">
        <f>IFERROR(INDEX('Miljövrärden urval för publ'!$A$2:$AA$419,MATCH('Miljövärden för publ företag'!$A496,'Miljövrärden urval för publ'!$R$2:$R$416,0),1),"")</f>
        <v/>
      </c>
      <c r="C496" s="121" t="str">
        <f>IFERROR(INDEX('Miljövrärden urval för publ'!$A$2:$AA$419,MATCH('Miljövärden för publ företag'!$A496,'Miljövrärden urval för publ'!$R$2:$R$416,0),2),"")</f>
        <v/>
      </c>
      <c r="D496" s="121" t="str">
        <f>IFERROR(VLOOKUP($C496,'Miljövrärden urval för publ'!$B$2:$H$416,MATCH('Miljövärden för publ företag'!D$4,'Miljövrärden urval för publ'!$B$2:$H$2,0),FALSE),"")</f>
        <v/>
      </c>
      <c r="E496" s="121" t="str">
        <f>IFERROR(VLOOKUP($C496,'Miljövrärden urval för publ'!$B$2:$H$416,MATCH('Miljövärden för publ företag'!E$4,'Miljövrärden urval för publ'!$B$2:$H$2,0),FALSE),"")</f>
        <v/>
      </c>
      <c r="F496" s="121" t="str">
        <f>IFERROR(VLOOKUP($C496,'Miljövrärden urval för publ'!$B$2:$H$416,MATCH('Miljövärden för publ företag'!F$4,'Miljövrärden urval för publ'!$B$2:$H$2,0),FALSE),"")</f>
        <v/>
      </c>
      <c r="G496" s="121" t="str">
        <f>IFERROR(VLOOKUP($C496,'Miljövrärden urval för publ'!$B$2:$H$416,MATCH('Miljövärden för publ företag'!G$4,'Miljövrärden urval för publ'!$B$2:$H$2,0),FALSE),"")</f>
        <v/>
      </c>
    </row>
    <row r="497" spans="2:7" x14ac:dyDescent="0.25">
      <c r="B497" s="121" t="str">
        <f>IFERROR(INDEX('Miljövrärden urval för publ'!$A$2:$AA$419,MATCH('Miljövärden för publ företag'!$A497,'Miljövrärden urval för publ'!$R$2:$R$416,0),1),"")</f>
        <v/>
      </c>
      <c r="C497" s="121" t="str">
        <f>IFERROR(INDEX('Miljövrärden urval för publ'!$A$2:$AA$419,MATCH('Miljövärden för publ företag'!$A497,'Miljövrärden urval för publ'!$R$2:$R$416,0),2),"")</f>
        <v/>
      </c>
      <c r="D497" s="121" t="str">
        <f>IFERROR(VLOOKUP($C497,'Miljövrärden urval för publ'!$B$2:$H$416,MATCH('Miljövärden för publ företag'!D$4,'Miljövrärden urval för publ'!$B$2:$H$2,0),FALSE),"")</f>
        <v/>
      </c>
      <c r="E497" s="121" t="str">
        <f>IFERROR(VLOOKUP($C497,'Miljövrärden urval för publ'!$B$2:$H$416,MATCH('Miljövärden för publ företag'!E$4,'Miljövrärden urval för publ'!$B$2:$H$2,0),FALSE),"")</f>
        <v/>
      </c>
      <c r="F497" s="121" t="str">
        <f>IFERROR(VLOOKUP($C497,'Miljövrärden urval för publ'!$B$2:$H$416,MATCH('Miljövärden för publ företag'!F$4,'Miljövrärden urval för publ'!$B$2:$H$2,0),FALSE),"")</f>
        <v/>
      </c>
      <c r="G497" s="121" t="str">
        <f>IFERROR(VLOOKUP($C497,'Miljövrärden urval för publ'!$B$2:$H$416,MATCH('Miljövärden för publ företag'!G$4,'Miljövrärden urval för publ'!$B$2:$H$2,0),FALSE),"")</f>
        <v/>
      </c>
    </row>
    <row r="498" spans="2:7" x14ac:dyDescent="0.25">
      <c r="B498" s="121" t="str">
        <f>IFERROR(INDEX('Miljövrärden urval för publ'!$A$2:$AA$419,MATCH('Miljövärden för publ företag'!$A498,'Miljövrärden urval för publ'!$R$2:$R$416,0),1),"")</f>
        <v/>
      </c>
      <c r="C498" s="121" t="str">
        <f>IFERROR(INDEX('Miljövrärden urval för publ'!$A$2:$AA$419,MATCH('Miljövärden för publ företag'!$A498,'Miljövrärden urval för publ'!$R$2:$R$416,0),2),"")</f>
        <v/>
      </c>
      <c r="D498" s="121" t="str">
        <f>IFERROR(VLOOKUP($C498,'Miljövrärden urval för publ'!$B$2:$H$416,MATCH('Miljövärden för publ företag'!D$4,'Miljövrärden urval för publ'!$B$2:$H$2,0),FALSE),"")</f>
        <v/>
      </c>
      <c r="E498" s="121" t="str">
        <f>IFERROR(VLOOKUP($C498,'Miljövrärden urval för publ'!$B$2:$H$416,MATCH('Miljövärden för publ företag'!E$4,'Miljövrärden urval för publ'!$B$2:$H$2,0),FALSE),"")</f>
        <v/>
      </c>
      <c r="F498" s="121" t="str">
        <f>IFERROR(VLOOKUP($C498,'Miljövrärden urval för publ'!$B$2:$H$416,MATCH('Miljövärden för publ företag'!F$4,'Miljövrärden urval för publ'!$B$2:$H$2,0),FALSE),"")</f>
        <v/>
      </c>
      <c r="G498" s="121" t="str">
        <f>IFERROR(VLOOKUP($C498,'Miljövrärden urval för publ'!$B$2:$H$416,MATCH('Miljövärden för publ företag'!G$4,'Miljövrärden urval för publ'!$B$2:$H$2,0),FALSE),"")</f>
        <v/>
      </c>
    </row>
    <row r="499" spans="2:7" x14ac:dyDescent="0.25">
      <c r="B499" s="121" t="str">
        <f>IFERROR(INDEX('Miljövrärden urval för publ'!$A$2:$AA$419,MATCH('Miljövärden för publ företag'!$A499,'Miljövrärden urval för publ'!$R$2:$R$416,0),1),"")</f>
        <v/>
      </c>
      <c r="C499" s="121" t="str">
        <f>IFERROR(INDEX('Miljövrärden urval för publ'!$A$2:$AA$419,MATCH('Miljövärden för publ företag'!$A499,'Miljövrärden urval för publ'!$R$2:$R$416,0),2),"")</f>
        <v/>
      </c>
      <c r="D499" s="121" t="str">
        <f>IFERROR(VLOOKUP($C499,'Miljövrärden urval för publ'!$B$2:$H$416,MATCH('Miljövärden för publ företag'!D$4,'Miljövrärden urval för publ'!$B$2:$H$2,0),FALSE),"")</f>
        <v/>
      </c>
      <c r="E499" s="121" t="str">
        <f>IFERROR(VLOOKUP($C499,'Miljövrärden urval för publ'!$B$2:$H$416,MATCH('Miljövärden för publ företag'!E$4,'Miljövrärden urval för publ'!$B$2:$H$2,0),FALSE),"")</f>
        <v/>
      </c>
      <c r="F499" s="121" t="str">
        <f>IFERROR(VLOOKUP($C499,'Miljövrärden urval för publ'!$B$2:$H$416,MATCH('Miljövärden för publ företag'!F$4,'Miljövrärden urval för publ'!$B$2:$H$2,0),FALSE),"")</f>
        <v/>
      </c>
      <c r="G499" s="121" t="str">
        <f>IFERROR(VLOOKUP($C499,'Miljövrärden urval för publ'!$B$2:$H$416,MATCH('Miljövärden för publ företag'!G$4,'Miljövrärden urval för publ'!$B$2:$H$2,0),FALSE),"")</f>
        <v/>
      </c>
    </row>
    <row r="500" spans="2:7" x14ac:dyDescent="0.25">
      <c r="B500" s="121" t="str">
        <f>IFERROR(INDEX('Miljövrärden urval för publ'!$A$2:$AA$419,MATCH('Miljövärden för publ företag'!$A500,'Miljövrärden urval för publ'!$R$2:$R$416,0),1),"")</f>
        <v/>
      </c>
      <c r="C500" s="121" t="str">
        <f>IFERROR(INDEX('Miljövrärden urval för publ'!$A$2:$AA$419,MATCH('Miljövärden för publ företag'!$A500,'Miljövrärden urval för publ'!$R$2:$R$416,0),2),"")</f>
        <v/>
      </c>
      <c r="D500" s="121" t="str">
        <f>IFERROR(VLOOKUP($C500,'Miljövrärden urval för publ'!$B$2:$H$416,MATCH('Miljövärden för publ företag'!D$4,'Miljövrärden urval för publ'!$B$2:$H$2,0),FALSE),"")</f>
        <v/>
      </c>
      <c r="E500" s="121" t="str">
        <f>IFERROR(VLOOKUP($C500,'Miljövrärden urval för publ'!$B$2:$H$416,MATCH('Miljövärden för publ företag'!E$4,'Miljövrärden urval för publ'!$B$2:$H$2,0),FALSE),"")</f>
        <v/>
      </c>
      <c r="F500" s="121" t="str">
        <f>IFERROR(VLOOKUP($C500,'Miljövrärden urval för publ'!$B$2:$H$416,MATCH('Miljövärden för publ företag'!F$4,'Miljövrärden urval för publ'!$B$2:$H$2,0),FALSE),"")</f>
        <v/>
      </c>
      <c r="G500" s="121" t="str">
        <f>IFERROR(VLOOKUP($C500,'Miljövrärden urval för publ'!$B$2:$H$416,MATCH('Miljövärden för publ företag'!G$4,'Miljövrärden urval för publ'!$B$2:$H$2,0),FALSE),"")</f>
        <v/>
      </c>
    </row>
    <row r="501" spans="2:7" x14ac:dyDescent="0.25">
      <c r="B501" s="121" t="str">
        <f>IFERROR(INDEX('Miljövrärden urval för publ'!$A$2:$AA$419,MATCH('Miljövärden för publ företag'!$A501,'Miljövrärden urval för publ'!$R$2:$R$416,0),1),"")</f>
        <v/>
      </c>
      <c r="C501" s="121" t="str">
        <f>IFERROR(INDEX('Miljövrärden urval för publ'!$A$2:$AA$419,MATCH('Miljövärden för publ företag'!$A501,'Miljövrärden urval för publ'!$R$2:$R$416,0),2),"")</f>
        <v/>
      </c>
      <c r="D501" s="121" t="str">
        <f>IFERROR(VLOOKUP($C501,'Miljövrärden urval för publ'!$B$2:$H$416,MATCH('Miljövärden för publ företag'!D$4,'Miljövrärden urval för publ'!$B$2:$H$2,0),FALSE),"")</f>
        <v/>
      </c>
      <c r="E501" s="121" t="str">
        <f>IFERROR(VLOOKUP($C501,'Miljövrärden urval för publ'!$B$2:$H$416,MATCH('Miljövärden för publ företag'!E$4,'Miljövrärden urval för publ'!$B$2:$H$2,0),FALSE),"")</f>
        <v/>
      </c>
      <c r="F501" s="121" t="str">
        <f>IFERROR(VLOOKUP($C501,'Miljövrärden urval för publ'!$B$2:$H$416,MATCH('Miljövärden för publ företag'!F$4,'Miljövrärden urval för publ'!$B$2:$H$2,0),FALSE),"")</f>
        <v/>
      </c>
      <c r="G501" s="121" t="str">
        <f>IFERROR(VLOOKUP($C501,'Miljövrärden urval för publ'!$B$2:$H$416,MATCH('Miljövärden för publ företag'!G$4,'Miljövrärden urval för publ'!$B$2:$H$2,0),FALSE),"")</f>
        <v/>
      </c>
    </row>
    <row r="502" spans="2:7" x14ac:dyDescent="0.25">
      <c r="B502" s="121" t="str">
        <f>IFERROR(INDEX('Miljövrärden urval för publ'!$A$2:$AA$419,MATCH('Miljövärden för publ företag'!$A502,'Miljövrärden urval för publ'!$R$2:$R$416,0),1),"")</f>
        <v/>
      </c>
      <c r="C502" s="121" t="str">
        <f>IFERROR(INDEX('Miljövrärden urval för publ'!$A$2:$AA$419,MATCH('Miljövärden för publ företag'!$A502,'Miljövrärden urval för publ'!$R$2:$R$416,0),2),"")</f>
        <v/>
      </c>
      <c r="D502" s="121" t="str">
        <f>IFERROR(VLOOKUP($C502,'Miljövrärden urval för publ'!$B$2:$H$416,MATCH('Miljövärden för publ företag'!D$4,'Miljövrärden urval för publ'!$B$2:$H$2,0),FALSE),"")</f>
        <v/>
      </c>
      <c r="E502" s="121" t="str">
        <f>IFERROR(VLOOKUP($C502,'Miljövrärden urval för publ'!$B$2:$H$416,MATCH('Miljövärden för publ företag'!E$4,'Miljövrärden urval för publ'!$B$2:$H$2,0),FALSE),"")</f>
        <v/>
      </c>
      <c r="F502" s="121" t="str">
        <f>IFERROR(VLOOKUP($C502,'Miljövrärden urval för publ'!$B$2:$H$416,MATCH('Miljövärden för publ företag'!F$4,'Miljövrärden urval för publ'!$B$2:$H$2,0),FALSE),"")</f>
        <v/>
      </c>
      <c r="G502" s="121" t="str">
        <f>IFERROR(VLOOKUP($C502,'Miljövrärden urval för publ'!$B$2:$H$416,MATCH('Miljövärden för publ företag'!G$4,'Miljövrärden urval för publ'!$B$2:$H$2,0),FALSE),"")</f>
        <v/>
      </c>
    </row>
    <row r="503" spans="2:7" x14ac:dyDescent="0.25">
      <c r="B503" s="121" t="str">
        <f>IFERROR(INDEX('Miljövrärden urval för publ'!$A$2:$AA$419,MATCH('Miljövärden för publ företag'!$A503,'Miljövrärden urval för publ'!$R$2:$R$416,0),1),"")</f>
        <v/>
      </c>
      <c r="C503" s="121" t="str">
        <f>IFERROR(INDEX('Miljövrärden urval för publ'!$A$2:$AA$419,MATCH('Miljövärden för publ företag'!$A503,'Miljövrärden urval för publ'!$R$2:$R$416,0),2),"")</f>
        <v/>
      </c>
      <c r="D503" s="121" t="str">
        <f>IFERROR(VLOOKUP($C503,'Miljövrärden urval för publ'!$B$2:$H$416,MATCH('Miljövärden för publ företag'!D$4,'Miljövrärden urval för publ'!$B$2:$H$2,0),FALSE),"")</f>
        <v/>
      </c>
      <c r="E503" s="121" t="str">
        <f>IFERROR(VLOOKUP($C503,'Miljövrärden urval för publ'!$B$2:$H$416,MATCH('Miljövärden för publ företag'!E$4,'Miljövrärden urval för publ'!$B$2:$H$2,0),FALSE),"")</f>
        <v/>
      </c>
      <c r="F503" s="121" t="str">
        <f>IFERROR(VLOOKUP($C503,'Miljövrärden urval för publ'!$B$2:$H$416,MATCH('Miljövärden för publ företag'!F$4,'Miljövrärden urval för publ'!$B$2:$H$2,0),FALSE),"")</f>
        <v/>
      </c>
      <c r="G503" s="121" t="str">
        <f>IFERROR(VLOOKUP($C503,'Miljövrärden urval för publ'!$B$2:$H$416,MATCH('Miljövärden för publ företag'!G$4,'Miljövrärden urval för publ'!$B$2:$H$2,0),FALSE),"")</f>
        <v/>
      </c>
    </row>
    <row r="504" spans="2:7" x14ac:dyDescent="0.25">
      <c r="B504" s="121" t="str">
        <f>IFERROR(INDEX('Miljövrärden urval för publ'!$A$2:$AA$419,MATCH('Miljövärden för publ företag'!$A504,'Miljövrärden urval för publ'!$R$2:$R$416,0),1),"")</f>
        <v/>
      </c>
      <c r="C504" s="121" t="str">
        <f>IFERROR(INDEX('Miljövrärden urval för publ'!$A$2:$AA$419,MATCH('Miljövärden för publ företag'!$A504,'Miljövrärden urval för publ'!$R$2:$R$416,0),2),"")</f>
        <v/>
      </c>
      <c r="D504" s="121" t="str">
        <f>IFERROR(VLOOKUP($C504,'Miljövrärden urval för publ'!$B$2:$H$416,MATCH('Miljövärden för publ företag'!D$4,'Miljövrärden urval för publ'!$B$2:$H$2,0),FALSE),"")</f>
        <v/>
      </c>
      <c r="E504" s="121" t="str">
        <f>IFERROR(VLOOKUP($C504,'Miljövrärden urval för publ'!$B$2:$H$416,MATCH('Miljövärden för publ företag'!E$4,'Miljövrärden urval för publ'!$B$2:$H$2,0),FALSE),"")</f>
        <v/>
      </c>
      <c r="F504" s="121" t="str">
        <f>IFERROR(VLOOKUP($C504,'Miljövrärden urval för publ'!$B$2:$H$416,MATCH('Miljövärden för publ företag'!F$4,'Miljövrärden urval för publ'!$B$2:$H$2,0),FALSE),"")</f>
        <v/>
      </c>
      <c r="G504" s="121" t="str">
        <f>IFERROR(VLOOKUP($C504,'Miljövrärden urval för publ'!$B$2:$H$416,MATCH('Miljövärden för publ företag'!G$4,'Miljövrärden urval för publ'!$B$2:$H$2,0),FALSE),"")</f>
        <v/>
      </c>
    </row>
    <row r="505" spans="2:7" x14ac:dyDescent="0.25">
      <c r="B505" s="121" t="str">
        <f>IFERROR(INDEX('Miljövrärden urval för publ'!$A$2:$AA$419,MATCH('Miljövärden för publ företag'!$A505,'Miljövrärden urval för publ'!$R$2:$R$416,0),1),"")</f>
        <v/>
      </c>
      <c r="C505" s="121" t="str">
        <f>IFERROR(INDEX('Miljövrärden urval för publ'!$A$2:$AA$419,MATCH('Miljövärden för publ företag'!$A505,'Miljövrärden urval för publ'!$R$2:$R$416,0),2),"")</f>
        <v/>
      </c>
      <c r="D505" s="121" t="str">
        <f>IFERROR(VLOOKUP($C505,'Miljövrärden urval för publ'!$B$2:$H$416,MATCH('Miljövärden för publ företag'!D$4,'Miljövrärden urval för publ'!$B$2:$H$2,0),FALSE),"")</f>
        <v/>
      </c>
      <c r="E505" s="121" t="str">
        <f>IFERROR(VLOOKUP($C505,'Miljövrärden urval för publ'!$B$2:$H$416,MATCH('Miljövärden för publ företag'!E$4,'Miljövrärden urval för publ'!$B$2:$H$2,0),FALSE),"")</f>
        <v/>
      </c>
      <c r="F505" s="121" t="str">
        <f>IFERROR(VLOOKUP($C505,'Miljövrärden urval för publ'!$B$2:$H$416,MATCH('Miljövärden för publ företag'!F$4,'Miljövrärden urval för publ'!$B$2:$H$2,0),FALSE),"")</f>
        <v/>
      </c>
      <c r="G505" s="121" t="str">
        <f>IFERROR(VLOOKUP($C505,'Miljövrärden urval för publ'!$B$2:$H$416,MATCH('Miljövärden för publ företag'!G$4,'Miljövrärden urval för publ'!$B$2:$H$2,0),FALSE),"")</f>
        <v/>
      </c>
    </row>
    <row r="506" spans="2:7" x14ac:dyDescent="0.25">
      <c r="B506" s="121" t="str">
        <f>IFERROR(INDEX('Miljövrärden urval för publ'!$A$2:$AA$419,MATCH('Miljövärden för publ företag'!$A506,'Miljövrärden urval för publ'!$R$2:$R$416,0),1),"")</f>
        <v/>
      </c>
      <c r="C506" s="121" t="str">
        <f>IFERROR(INDEX('Miljövrärden urval för publ'!$A$2:$AA$419,MATCH('Miljövärden för publ företag'!$A506,'Miljövrärden urval för publ'!$R$2:$R$416,0),2),"")</f>
        <v/>
      </c>
      <c r="D506" s="121" t="str">
        <f>IFERROR(VLOOKUP($C506,'Miljövrärden urval för publ'!$B$2:$H$416,MATCH('Miljövärden för publ företag'!D$4,'Miljövrärden urval för publ'!$B$2:$H$2,0),FALSE),"")</f>
        <v/>
      </c>
      <c r="E506" s="121" t="str">
        <f>IFERROR(VLOOKUP($C506,'Miljövrärden urval för publ'!$B$2:$H$416,MATCH('Miljövärden för publ företag'!E$4,'Miljövrärden urval för publ'!$B$2:$H$2,0),FALSE),"")</f>
        <v/>
      </c>
      <c r="F506" s="121" t="str">
        <f>IFERROR(VLOOKUP($C506,'Miljövrärden urval för publ'!$B$2:$H$416,MATCH('Miljövärden för publ företag'!F$4,'Miljövrärden urval för publ'!$B$2:$H$2,0),FALSE),"")</f>
        <v/>
      </c>
      <c r="G506" s="121" t="str">
        <f>IFERROR(VLOOKUP($C506,'Miljövrärden urval för publ'!$B$2:$H$416,MATCH('Miljövärden för publ företag'!G$4,'Miljövrärden urval för publ'!$B$2:$H$2,0),FALSE),"")</f>
        <v/>
      </c>
    </row>
    <row r="507" spans="2:7" x14ac:dyDescent="0.25">
      <c r="B507" s="121" t="str">
        <f>IFERROR(INDEX('Miljövrärden urval för publ'!$A$2:$AA$419,MATCH('Miljövärden för publ företag'!$A507,'Miljövrärden urval för publ'!$R$2:$R$416,0),1),"")</f>
        <v/>
      </c>
      <c r="C507" s="121" t="str">
        <f>IFERROR(INDEX('Miljövrärden urval för publ'!$A$2:$AA$419,MATCH('Miljövärden för publ företag'!$A507,'Miljövrärden urval för publ'!$R$2:$R$416,0),2),"")</f>
        <v/>
      </c>
      <c r="D507" s="121" t="str">
        <f>IFERROR(VLOOKUP($C507,'Miljövrärden urval för publ'!$B$2:$H$416,MATCH('Miljövärden för publ företag'!D$4,'Miljövrärden urval för publ'!$B$2:$H$2,0),FALSE),"")</f>
        <v/>
      </c>
      <c r="E507" s="121" t="str">
        <f>IFERROR(VLOOKUP($C507,'Miljövrärden urval för publ'!$B$2:$H$416,MATCH('Miljövärden för publ företag'!E$4,'Miljövrärden urval för publ'!$B$2:$H$2,0),FALSE),"")</f>
        <v/>
      </c>
      <c r="F507" s="121" t="str">
        <f>IFERROR(VLOOKUP($C507,'Miljövrärden urval för publ'!$B$2:$H$416,MATCH('Miljövärden för publ företag'!F$4,'Miljövrärden urval för publ'!$B$2:$H$2,0),FALSE),"")</f>
        <v/>
      </c>
      <c r="G507" s="121" t="str">
        <f>IFERROR(VLOOKUP($C507,'Miljövrärden urval för publ'!$B$2:$H$416,MATCH('Miljövärden för publ företag'!G$4,'Miljövrärden urval för publ'!$B$2:$H$2,0),FALSE),"")</f>
        <v/>
      </c>
    </row>
    <row r="508" spans="2:7" x14ac:dyDescent="0.25">
      <c r="B508" s="121" t="str">
        <f>IFERROR(INDEX('Miljövrärden urval för publ'!$A$2:$AA$419,MATCH('Miljövärden för publ företag'!$A508,'Miljövrärden urval för publ'!$R$2:$R$416,0),1),"")</f>
        <v/>
      </c>
      <c r="C508" s="121" t="str">
        <f>IFERROR(INDEX('Miljövrärden urval för publ'!$A$2:$AA$419,MATCH('Miljövärden för publ företag'!$A508,'Miljövrärden urval för publ'!$R$2:$R$416,0),2),"")</f>
        <v/>
      </c>
      <c r="D508" s="121" t="str">
        <f>IFERROR(VLOOKUP($C508,'Miljövrärden urval för publ'!$B$2:$H$416,MATCH('Miljövärden för publ företag'!D$4,'Miljövrärden urval för publ'!$B$2:$H$2,0),FALSE),"")</f>
        <v/>
      </c>
      <c r="E508" s="121" t="str">
        <f>IFERROR(VLOOKUP($C508,'Miljövrärden urval för publ'!$B$2:$H$416,MATCH('Miljövärden för publ företag'!E$4,'Miljövrärden urval för publ'!$B$2:$H$2,0),FALSE),"")</f>
        <v/>
      </c>
      <c r="F508" s="121" t="str">
        <f>IFERROR(VLOOKUP($C508,'Miljövrärden urval för publ'!$B$2:$H$416,MATCH('Miljövärden för publ företag'!F$4,'Miljövrärden urval för publ'!$B$2:$H$2,0),FALSE),"")</f>
        <v/>
      </c>
      <c r="G508" s="121" t="str">
        <f>IFERROR(VLOOKUP($C508,'Miljövrärden urval för publ'!$B$2:$H$416,MATCH('Miljövärden för publ företag'!G$4,'Miljövrärden urval för publ'!$B$2:$H$2,0),FALSE),"")</f>
        <v/>
      </c>
    </row>
    <row r="509" spans="2:7" x14ac:dyDescent="0.25">
      <c r="B509" s="121" t="str">
        <f>IFERROR(INDEX('Miljövrärden urval för publ'!$A$2:$AA$419,MATCH('Miljövärden för publ företag'!$A509,'Miljövrärden urval för publ'!$R$2:$R$416,0),1),"")</f>
        <v/>
      </c>
      <c r="C509" s="121" t="str">
        <f>IFERROR(INDEX('Miljövrärden urval för publ'!$A$2:$AA$419,MATCH('Miljövärden för publ företag'!$A509,'Miljövrärden urval för publ'!$R$2:$R$416,0),2),"")</f>
        <v/>
      </c>
      <c r="D509" s="121" t="str">
        <f>IFERROR(VLOOKUP($C509,'Miljövrärden urval för publ'!$B$2:$H$416,MATCH('Miljövärden för publ företag'!D$4,'Miljövrärden urval för publ'!$B$2:$H$2,0),FALSE),"")</f>
        <v/>
      </c>
      <c r="E509" s="121" t="str">
        <f>IFERROR(VLOOKUP($C509,'Miljövrärden urval för publ'!$B$2:$H$416,MATCH('Miljövärden för publ företag'!E$4,'Miljövrärden urval för publ'!$B$2:$H$2,0),FALSE),"")</f>
        <v/>
      </c>
      <c r="F509" s="121" t="str">
        <f>IFERROR(VLOOKUP($C509,'Miljövrärden urval för publ'!$B$2:$H$416,MATCH('Miljövärden för publ företag'!F$4,'Miljövrärden urval för publ'!$B$2:$H$2,0),FALSE),"")</f>
        <v/>
      </c>
      <c r="G509" s="121" t="str">
        <f>IFERROR(VLOOKUP($C509,'Miljövrärden urval för publ'!$B$2:$H$416,MATCH('Miljövärden för publ företag'!G$4,'Miljövrärden urval för publ'!$B$2:$H$2,0),FALSE),"")</f>
        <v/>
      </c>
    </row>
    <row r="510" spans="2:7" x14ac:dyDescent="0.25">
      <c r="B510" s="121" t="str">
        <f>IFERROR(INDEX('Miljövrärden urval för publ'!$A$2:$AA$419,MATCH('Miljövärden för publ företag'!$A510,'Miljövrärden urval för publ'!$R$2:$R$416,0),1),"")</f>
        <v/>
      </c>
      <c r="C510" s="121" t="str">
        <f>IFERROR(INDEX('Miljövrärden urval för publ'!$A$2:$AA$419,MATCH('Miljövärden för publ företag'!$A510,'Miljövrärden urval för publ'!$R$2:$R$416,0),2),"")</f>
        <v/>
      </c>
      <c r="D510" s="121" t="str">
        <f>IFERROR(VLOOKUP($C510,'Miljövrärden urval för publ'!$B$2:$H$416,MATCH('Miljövärden för publ företag'!D$4,'Miljövrärden urval för publ'!$B$2:$H$2,0),FALSE),"")</f>
        <v/>
      </c>
      <c r="E510" s="121" t="str">
        <f>IFERROR(VLOOKUP($C510,'Miljövrärden urval för publ'!$B$2:$H$416,MATCH('Miljövärden för publ företag'!E$4,'Miljövrärden urval för publ'!$B$2:$H$2,0),FALSE),"")</f>
        <v/>
      </c>
      <c r="F510" s="121" t="str">
        <f>IFERROR(VLOOKUP($C510,'Miljövrärden urval för publ'!$B$2:$H$416,MATCH('Miljövärden för publ företag'!F$4,'Miljövrärden urval för publ'!$B$2:$H$2,0),FALSE),"")</f>
        <v/>
      </c>
      <c r="G510" s="121" t="str">
        <f>IFERROR(VLOOKUP($C510,'Miljövrärden urval för publ'!$B$2:$H$416,MATCH('Miljövärden för publ företag'!G$4,'Miljövrärden urval för publ'!$B$2:$H$2,0),FALSE),"")</f>
        <v/>
      </c>
    </row>
    <row r="511" spans="2:7" x14ac:dyDescent="0.25">
      <c r="B511" s="121" t="str">
        <f>IFERROR(INDEX('Miljövrärden urval för publ'!$A$2:$AA$419,MATCH('Miljövärden för publ företag'!$A511,'Miljövrärden urval för publ'!$R$2:$R$416,0),1),"")</f>
        <v/>
      </c>
      <c r="C511" s="121" t="str">
        <f>IFERROR(INDEX('Miljövrärden urval för publ'!$A$2:$AA$419,MATCH('Miljövärden för publ företag'!$A511,'Miljövrärden urval för publ'!$R$2:$R$416,0),2),"")</f>
        <v/>
      </c>
      <c r="D511" s="121" t="str">
        <f>IFERROR(VLOOKUP($C511,'Miljövrärden urval för publ'!$B$2:$H$416,MATCH('Miljövärden för publ företag'!D$4,'Miljövrärden urval för publ'!$B$2:$H$2,0),FALSE),"")</f>
        <v/>
      </c>
      <c r="E511" s="121" t="str">
        <f>IFERROR(VLOOKUP($C511,'Miljövrärden urval för publ'!$B$2:$H$416,MATCH('Miljövärden för publ företag'!E$4,'Miljövrärden urval för publ'!$B$2:$H$2,0),FALSE),"")</f>
        <v/>
      </c>
      <c r="F511" s="121" t="str">
        <f>IFERROR(VLOOKUP($C511,'Miljövrärden urval för publ'!$B$2:$H$416,MATCH('Miljövärden för publ företag'!F$4,'Miljövrärden urval för publ'!$B$2:$H$2,0),FALSE),"")</f>
        <v/>
      </c>
      <c r="G511" s="121" t="str">
        <f>IFERROR(VLOOKUP($C511,'Miljövrärden urval för publ'!$B$2:$H$416,MATCH('Miljövärden för publ företag'!G$4,'Miljövrärden urval för publ'!$B$2:$H$2,0),FALSE),"")</f>
        <v/>
      </c>
    </row>
    <row r="512" spans="2:7" x14ac:dyDescent="0.25">
      <c r="B512" s="121" t="str">
        <f>IFERROR(INDEX('Miljövrärden urval för publ'!$A$2:$AA$419,MATCH('Miljövärden för publ företag'!$A512,'Miljövrärden urval för publ'!$R$2:$R$416,0),1),"")</f>
        <v/>
      </c>
      <c r="C512" s="121" t="str">
        <f>IFERROR(INDEX('Miljövrärden urval för publ'!$A$2:$AA$419,MATCH('Miljövärden för publ företag'!$A512,'Miljövrärden urval för publ'!$R$2:$R$416,0),2),"")</f>
        <v/>
      </c>
      <c r="D512" s="121" t="str">
        <f>IFERROR(VLOOKUP($C512,'Miljövrärden urval för publ'!$B$2:$H$416,MATCH('Miljövärden för publ företag'!D$4,'Miljövrärden urval för publ'!$B$2:$H$2,0),FALSE),"")</f>
        <v/>
      </c>
      <c r="E512" s="121" t="str">
        <f>IFERROR(VLOOKUP($C512,'Miljövrärden urval för publ'!$B$2:$H$416,MATCH('Miljövärden för publ företag'!E$4,'Miljövrärden urval för publ'!$B$2:$H$2,0),FALSE),"")</f>
        <v/>
      </c>
      <c r="F512" s="121" t="str">
        <f>IFERROR(VLOOKUP($C512,'Miljövrärden urval för publ'!$B$2:$H$416,MATCH('Miljövärden för publ företag'!F$4,'Miljövrärden urval för publ'!$B$2:$H$2,0),FALSE),"")</f>
        <v/>
      </c>
      <c r="G512" s="121" t="str">
        <f>IFERROR(VLOOKUP($C512,'Miljövrärden urval för publ'!$B$2:$H$416,MATCH('Miljövärden för publ företag'!G$4,'Miljövrärden urval för publ'!$B$2:$H$2,0),FALSE),"")</f>
        <v/>
      </c>
    </row>
    <row r="513" spans="2:7" x14ac:dyDescent="0.25">
      <c r="B513" s="121" t="str">
        <f>IFERROR(INDEX('Miljövrärden urval för publ'!$A$2:$AA$419,MATCH('Miljövärden för publ företag'!$A513,'Miljövrärden urval för publ'!$R$2:$R$416,0),1),"")</f>
        <v/>
      </c>
      <c r="C513" s="121" t="str">
        <f>IFERROR(INDEX('Miljövrärden urval för publ'!$A$2:$AA$419,MATCH('Miljövärden för publ företag'!$A513,'Miljövrärden urval för publ'!$R$2:$R$416,0),2),"")</f>
        <v/>
      </c>
      <c r="D513" s="121" t="str">
        <f>IFERROR(VLOOKUP($C513,'Miljövrärden urval för publ'!$B$2:$H$416,MATCH('Miljövärden för publ företag'!D$4,'Miljövrärden urval för publ'!$B$2:$H$2,0),FALSE),"")</f>
        <v/>
      </c>
      <c r="E513" s="121" t="str">
        <f>IFERROR(VLOOKUP($C513,'Miljövrärden urval för publ'!$B$2:$H$416,MATCH('Miljövärden för publ företag'!E$4,'Miljövrärden urval för publ'!$B$2:$H$2,0),FALSE),"")</f>
        <v/>
      </c>
      <c r="F513" s="121" t="str">
        <f>IFERROR(VLOOKUP($C513,'Miljövrärden urval för publ'!$B$2:$H$416,MATCH('Miljövärden för publ företag'!F$4,'Miljövrärden urval för publ'!$B$2:$H$2,0),FALSE),"")</f>
        <v/>
      </c>
      <c r="G513" s="121" t="str">
        <f>IFERROR(VLOOKUP($C513,'Miljövrärden urval för publ'!$B$2:$H$416,MATCH('Miljövärden för publ företag'!G$4,'Miljövrärden urval för publ'!$B$2:$H$2,0),FALSE),"")</f>
        <v/>
      </c>
    </row>
    <row r="514" spans="2:7" x14ac:dyDescent="0.25">
      <c r="B514" s="121" t="str">
        <f>IFERROR(INDEX('Miljövrärden urval för publ'!$A$2:$AA$419,MATCH('Miljövärden för publ företag'!$A514,'Miljövrärden urval för publ'!$R$2:$R$416,0),1),"")</f>
        <v/>
      </c>
      <c r="C514" s="121" t="str">
        <f>IFERROR(INDEX('Miljövrärden urval för publ'!$A$2:$AA$419,MATCH('Miljövärden för publ företag'!$A514,'Miljövrärden urval för publ'!$R$2:$R$416,0),2),"")</f>
        <v/>
      </c>
      <c r="D514" s="121" t="str">
        <f>IFERROR(VLOOKUP($C514,'Miljövrärden urval för publ'!$B$2:$H$416,MATCH('Miljövärden för publ företag'!D$4,'Miljövrärden urval för publ'!$B$2:$H$2,0),FALSE),"")</f>
        <v/>
      </c>
      <c r="E514" s="121" t="str">
        <f>IFERROR(VLOOKUP($C514,'Miljövrärden urval för publ'!$B$2:$H$416,MATCH('Miljövärden för publ företag'!E$4,'Miljövrärden urval för publ'!$B$2:$H$2,0),FALSE),"")</f>
        <v/>
      </c>
      <c r="F514" s="121" t="str">
        <f>IFERROR(VLOOKUP($C514,'Miljövrärden urval för publ'!$B$2:$H$416,MATCH('Miljövärden för publ företag'!F$4,'Miljövrärden urval för publ'!$B$2:$H$2,0),FALSE),"")</f>
        <v/>
      </c>
      <c r="G514" s="121" t="str">
        <f>IFERROR(VLOOKUP($C514,'Miljövrärden urval för publ'!$B$2:$H$416,MATCH('Miljövärden för publ företag'!G$4,'Miljövrärden urval för publ'!$B$2:$H$2,0),FALSE),"")</f>
        <v/>
      </c>
    </row>
    <row r="515" spans="2:7" x14ac:dyDescent="0.25">
      <c r="B515" s="121" t="str">
        <f>IFERROR(INDEX('Miljövrärden urval för publ'!$A$2:$AA$419,MATCH('Miljövärden för publ företag'!$A515,'Miljövrärden urval för publ'!$R$2:$R$416,0),1),"")</f>
        <v/>
      </c>
      <c r="C515" s="121" t="str">
        <f>IFERROR(INDEX('Miljövrärden urval för publ'!$A$2:$AA$419,MATCH('Miljövärden för publ företag'!$A515,'Miljövrärden urval för publ'!$R$2:$R$416,0),2),"")</f>
        <v/>
      </c>
      <c r="D515" s="121" t="str">
        <f>IFERROR(VLOOKUP($C515,'Miljövrärden urval för publ'!$B$2:$H$416,MATCH('Miljövärden för publ företag'!D$4,'Miljövrärden urval för publ'!$B$2:$H$2,0),FALSE),"")</f>
        <v/>
      </c>
      <c r="E515" s="121" t="str">
        <f>IFERROR(VLOOKUP($C515,'Miljövrärden urval för publ'!$B$2:$H$416,MATCH('Miljövärden för publ företag'!E$4,'Miljövrärden urval för publ'!$B$2:$H$2,0),FALSE),"")</f>
        <v/>
      </c>
      <c r="F515" s="121" t="str">
        <f>IFERROR(VLOOKUP($C515,'Miljövrärden urval för publ'!$B$2:$H$416,MATCH('Miljövärden för publ företag'!F$4,'Miljövrärden urval för publ'!$B$2:$H$2,0),FALSE),"")</f>
        <v/>
      </c>
      <c r="G515" s="121" t="str">
        <f>IFERROR(VLOOKUP($C515,'Miljövrärden urval för publ'!$B$2:$H$416,MATCH('Miljövärden för publ företag'!G$4,'Miljövrärden urval för publ'!$B$2:$H$2,0),FALSE),"")</f>
        <v/>
      </c>
    </row>
    <row r="516" spans="2:7" x14ac:dyDescent="0.25">
      <c r="B516" s="121" t="str">
        <f>IFERROR(INDEX('Miljövrärden urval för publ'!$A$2:$AA$419,MATCH('Miljövärden för publ företag'!$A516,'Miljövrärden urval för publ'!$R$2:$R$416,0),1),"")</f>
        <v/>
      </c>
      <c r="C516" s="121" t="str">
        <f>IFERROR(INDEX('Miljövrärden urval för publ'!$A$2:$AA$419,MATCH('Miljövärden för publ företag'!$A516,'Miljövrärden urval för publ'!$R$2:$R$416,0),2),"")</f>
        <v/>
      </c>
      <c r="D516" s="121" t="str">
        <f>IFERROR(VLOOKUP($C516,'Miljövrärden urval för publ'!$B$2:$H$416,MATCH('Miljövärden för publ företag'!D$4,'Miljövrärden urval för publ'!$B$2:$H$2,0),FALSE),"")</f>
        <v/>
      </c>
      <c r="E516" s="121" t="str">
        <f>IFERROR(VLOOKUP($C516,'Miljövrärden urval för publ'!$B$2:$H$416,MATCH('Miljövärden för publ företag'!E$4,'Miljövrärden urval för publ'!$B$2:$H$2,0),FALSE),"")</f>
        <v/>
      </c>
      <c r="F516" s="121" t="str">
        <f>IFERROR(VLOOKUP($C516,'Miljövrärden urval för publ'!$B$2:$H$416,MATCH('Miljövärden för publ företag'!F$4,'Miljövrärden urval för publ'!$B$2:$H$2,0),FALSE),"")</f>
        <v/>
      </c>
      <c r="G516" s="121" t="str">
        <f>IFERROR(VLOOKUP($C516,'Miljövrärden urval för publ'!$B$2:$H$416,MATCH('Miljövärden för publ företag'!G$4,'Miljövrärden urval för publ'!$B$2:$H$2,0),FALSE),"")</f>
        <v/>
      </c>
    </row>
    <row r="517" spans="2:7" x14ac:dyDescent="0.25">
      <c r="B517" s="121" t="str">
        <f>IFERROR(INDEX('Miljövrärden urval för publ'!$A$2:$AA$419,MATCH('Miljövärden för publ företag'!$A517,'Miljövrärden urval för publ'!$R$2:$R$416,0),1),"")</f>
        <v/>
      </c>
      <c r="C517" s="121" t="str">
        <f>IFERROR(INDEX('Miljövrärden urval för publ'!$A$2:$AA$419,MATCH('Miljövärden för publ företag'!$A517,'Miljövrärden urval för publ'!$R$2:$R$416,0),2),"")</f>
        <v/>
      </c>
      <c r="D517" s="121" t="str">
        <f>IFERROR(VLOOKUP($C517,'Miljövrärden urval för publ'!$B$2:$H$416,MATCH('Miljövärden för publ företag'!D$4,'Miljövrärden urval för publ'!$B$2:$H$2,0),FALSE),"")</f>
        <v/>
      </c>
      <c r="E517" s="121" t="str">
        <f>IFERROR(VLOOKUP($C517,'Miljövrärden urval för publ'!$B$2:$H$416,MATCH('Miljövärden för publ företag'!E$4,'Miljövrärden urval för publ'!$B$2:$H$2,0),FALSE),"")</f>
        <v/>
      </c>
      <c r="F517" s="121" t="str">
        <f>IFERROR(VLOOKUP($C517,'Miljövrärden urval för publ'!$B$2:$H$416,MATCH('Miljövärden för publ företag'!F$4,'Miljövrärden urval för publ'!$B$2:$H$2,0),FALSE),"")</f>
        <v/>
      </c>
      <c r="G517" s="121" t="str">
        <f>IFERROR(VLOOKUP($C517,'Miljövrärden urval för publ'!$B$2:$H$416,MATCH('Miljövärden för publ företag'!G$4,'Miljövrärden urval för publ'!$B$2:$H$2,0),FALSE),"")</f>
        <v/>
      </c>
    </row>
    <row r="518" spans="2:7" x14ac:dyDescent="0.25">
      <c r="B518" s="121" t="str">
        <f>IFERROR(INDEX('Miljövrärden urval för publ'!$A$2:$AA$419,MATCH('Miljövärden för publ företag'!$A518,'Miljövrärden urval för publ'!$R$2:$R$416,0),1),"")</f>
        <v/>
      </c>
      <c r="C518" s="121" t="str">
        <f>IFERROR(INDEX('Miljövrärden urval för publ'!$A$2:$AA$419,MATCH('Miljövärden för publ företag'!$A518,'Miljövrärden urval för publ'!$R$2:$R$416,0),2),"")</f>
        <v/>
      </c>
      <c r="D518" s="121" t="str">
        <f>IFERROR(VLOOKUP($C518,'Miljövrärden urval för publ'!$B$2:$H$416,MATCH('Miljövärden för publ företag'!D$4,'Miljövrärden urval för publ'!$B$2:$H$2,0),FALSE),"")</f>
        <v/>
      </c>
      <c r="E518" s="121" t="str">
        <f>IFERROR(VLOOKUP($C518,'Miljövrärden urval för publ'!$B$2:$H$416,MATCH('Miljövärden för publ företag'!E$4,'Miljövrärden urval för publ'!$B$2:$H$2,0),FALSE),"")</f>
        <v/>
      </c>
      <c r="F518" s="121" t="str">
        <f>IFERROR(VLOOKUP($C518,'Miljövrärden urval för publ'!$B$2:$H$416,MATCH('Miljövärden för publ företag'!F$4,'Miljövrärden urval för publ'!$B$2:$H$2,0),FALSE),"")</f>
        <v/>
      </c>
      <c r="G518" s="121" t="str">
        <f>IFERROR(VLOOKUP($C518,'Miljövrärden urval för publ'!$B$2:$H$416,MATCH('Miljövärden för publ företag'!G$4,'Miljövrärden urval för publ'!$B$2:$H$2,0),FALSE),"")</f>
        <v/>
      </c>
    </row>
    <row r="519" spans="2:7" x14ac:dyDescent="0.25">
      <c r="B519" s="121" t="str">
        <f>IFERROR(INDEX('Miljövrärden urval för publ'!$A$2:$AA$419,MATCH('Miljövärden för publ företag'!$A519,'Miljövrärden urval för publ'!$R$2:$R$416,0),1),"")</f>
        <v/>
      </c>
      <c r="C519" s="121" t="str">
        <f>IFERROR(INDEX('Miljövrärden urval för publ'!$A$2:$AA$419,MATCH('Miljövärden för publ företag'!$A519,'Miljövrärden urval för publ'!$R$2:$R$416,0),2),"")</f>
        <v/>
      </c>
      <c r="D519" s="121" t="str">
        <f>IFERROR(VLOOKUP($C519,'Miljövrärden urval för publ'!$B$2:$H$416,MATCH('Miljövärden för publ företag'!D$4,'Miljövrärden urval för publ'!$B$2:$H$2,0),FALSE),"")</f>
        <v/>
      </c>
      <c r="E519" s="121" t="str">
        <f>IFERROR(VLOOKUP($C519,'Miljövrärden urval för publ'!$B$2:$H$416,MATCH('Miljövärden för publ företag'!E$4,'Miljövrärden urval för publ'!$B$2:$H$2,0),FALSE),"")</f>
        <v/>
      </c>
      <c r="F519" s="121" t="str">
        <f>IFERROR(VLOOKUP($C519,'Miljövrärden urval för publ'!$B$2:$H$416,MATCH('Miljövärden för publ företag'!F$4,'Miljövrärden urval för publ'!$B$2:$H$2,0),FALSE),"")</f>
        <v/>
      </c>
      <c r="G519" s="121" t="str">
        <f>IFERROR(VLOOKUP($C519,'Miljövrärden urval för publ'!$B$2:$H$416,MATCH('Miljövärden för publ företag'!G$4,'Miljövrärden urval för publ'!$B$2:$H$2,0),FALSE),"")</f>
        <v/>
      </c>
    </row>
    <row r="520" spans="2:7" x14ac:dyDescent="0.25">
      <c r="B520" s="121" t="str">
        <f>IFERROR(INDEX('Miljövrärden urval för publ'!$A$2:$AA$419,MATCH('Miljövärden för publ företag'!$A520,'Miljövrärden urval för publ'!$R$2:$R$416,0),1),"")</f>
        <v/>
      </c>
      <c r="C520" s="121" t="str">
        <f>IFERROR(INDEX('Miljövrärden urval för publ'!$A$2:$AA$419,MATCH('Miljövärden för publ företag'!$A520,'Miljövrärden urval för publ'!$R$2:$R$416,0),2),"")</f>
        <v/>
      </c>
      <c r="D520" s="121" t="str">
        <f>IFERROR(VLOOKUP($C520,'Miljövrärden urval för publ'!$B$2:$H$416,MATCH('Miljövärden för publ företag'!D$4,'Miljövrärden urval för publ'!$B$2:$H$2,0),FALSE),"")</f>
        <v/>
      </c>
      <c r="E520" s="121" t="str">
        <f>IFERROR(VLOOKUP($C520,'Miljövrärden urval för publ'!$B$2:$H$416,MATCH('Miljövärden för publ företag'!E$4,'Miljövrärden urval för publ'!$B$2:$H$2,0),FALSE),"")</f>
        <v/>
      </c>
      <c r="F520" s="121" t="str">
        <f>IFERROR(VLOOKUP($C520,'Miljövrärden urval för publ'!$B$2:$H$416,MATCH('Miljövärden för publ företag'!F$4,'Miljövrärden urval för publ'!$B$2:$H$2,0),FALSE),"")</f>
        <v/>
      </c>
      <c r="G520" s="121" t="str">
        <f>IFERROR(VLOOKUP($C520,'Miljövrärden urval för publ'!$B$2:$H$416,MATCH('Miljövärden för publ företag'!G$4,'Miljövrärden urval för publ'!$B$2:$H$2,0),FALSE),"")</f>
        <v/>
      </c>
    </row>
    <row r="521" spans="2:7" x14ac:dyDescent="0.25">
      <c r="B521" s="121" t="str">
        <f>IFERROR(INDEX('Miljövrärden urval för publ'!$A$2:$AA$419,MATCH('Miljövärden för publ företag'!$A521,'Miljövrärden urval för publ'!$R$2:$R$416,0),1),"")</f>
        <v/>
      </c>
      <c r="C521" s="121" t="str">
        <f>IFERROR(INDEX('Miljövrärden urval för publ'!$A$2:$AA$419,MATCH('Miljövärden för publ företag'!$A521,'Miljövrärden urval för publ'!$R$2:$R$416,0),2),"")</f>
        <v/>
      </c>
      <c r="D521" s="121" t="str">
        <f>IFERROR(VLOOKUP($C521,'Miljövrärden urval för publ'!$B$2:$H$416,MATCH('Miljövärden för publ företag'!D$4,'Miljövrärden urval för publ'!$B$2:$H$2,0),FALSE),"")</f>
        <v/>
      </c>
      <c r="E521" s="121" t="str">
        <f>IFERROR(VLOOKUP($C521,'Miljövrärden urval för publ'!$B$2:$H$416,MATCH('Miljövärden för publ företag'!E$4,'Miljövrärden urval för publ'!$B$2:$H$2,0),FALSE),"")</f>
        <v/>
      </c>
      <c r="F521" s="121" t="str">
        <f>IFERROR(VLOOKUP($C521,'Miljövrärden urval för publ'!$B$2:$H$416,MATCH('Miljövärden för publ företag'!F$4,'Miljövrärden urval för publ'!$B$2:$H$2,0),FALSE),"")</f>
        <v/>
      </c>
      <c r="G521" s="121" t="str">
        <f>IFERROR(VLOOKUP($C521,'Miljövrärden urval för publ'!$B$2:$H$416,MATCH('Miljövärden för publ företag'!G$4,'Miljövrärden urval för publ'!$B$2:$H$2,0),FALSE),"")</f>
        <v/>
      </c>
    </row>
    <row r="522" spans="2:7" x14ac:dyDescent="0.25">
      <c r="B522" s="121" t="str">
        <f>IFERROR(INDEX('Miljövrärden urval för publ'!$A$2:$AA$419,MATCH('Miljövärden för publ företag'!$A522,'Miljövrärden urval för publ'!$R$2:$R$416,0),1),"")</f>
        <v/>
      </c>
      <c r="C522" s="121" t="str">
        <f>IFERROR(INDEX('Miljövrärden urval för publ'!$A$2:$AA$419,MATCH('Miljövärden för publ företag'!$A522,'Miljövrärden urval för publ'!$R$2:$R$416,0),2),"")</f>
        <v/>
      </c>
      <c r="D522" s="121" t="str">
        <f>IFERROR(VLOOKUP($C522,'Miljövrärden urval för publ'!$B$2:$H$416,MATCH('Miljövärden för publ företag'!D$4,'Miljövrärden urval för publ'!$B$2:$H$2,0),FALSE),"")</f>
        <v/>
      </c>
      <c r="E522" s="121" t="str">
        <f>IFERROR(VLOOKUP($C522,'Miljövrärden urval för publ'!$B$2:$H$416,MATCH('Miljövärden för publ företag'!E$4,'Miljövrärden urval för publ'!$B$2:$H$2,0),FALSE),"")</f>
        <v/>
      </c>
      <c r="F522" s="121" t="str">
        <f>IFERROR(VLOOKUP($C522,'Miljövrärden urval för publ'!$B$2:$H$416,MATCH('Miljövärden för publ företag'!F$4,'Miljövrärden urval för publ'!$B$2:$H$2,0),FALSE),"")</f>
        <v/>
      </c>
      <c r="G522" s="121" t="str">
        <f>IFERROR(VLOOKUP($C522,'Miljövrärden urval för publ'!$B$2:$H$416,MATCH('Miljövärden för publ företag'!G$4,'Miljövrärden urval för publ'!$B$2:$H$2,0),FALSE),"")</f>
        <v/>
      </c>
    </row>
    <row r="523" spans="2:7" x14ac:dyDescent="0.25">
      <c r="B523" s="121" t="str">
        <f>IFERROR(INDEX('Miljövrärden urval för publ'!$A$2:$AA$419,MATCH('Miljövärden för publ företag'!$A523,'Miljövrärden urval för publ'!$R$2:$R$416,0),1),"")</f>
        <v/>
      </c>
      <c r="C523" s="121" t="str">
        <f>IFERROR(INDEX('Miljövrärden urval för publ'!$A$2:$AA$419,MATCH('Miljövärden för publ företag'!$A523,'Miljövrärden urval för publ'!$R$2:$R$416,0),2),"")</f>
        <v/>
      </c>
      <c r="D523" s="121" t="str">
        <f>IFERROR(VLOOKUP($C523,'Miljövrärden urval för publ'!$B$2:$H$416,MATCH('Miljövärden för publ företag'!D$4,'Miljövrärden urval för publ'!$B$2:$H$2,0),FALSE),"")</f>
        <v/>
      </c>
      <c r="E523" s="121" t="str">
        <f>IFERROR(VLOOKUP($C523,'Miljövrärden urval för publ'!$B$2:$H$416,MATCH('Miljövärden för publ företag'!E$4,'Miljövrärden urval för publ'!$B$2:$H$2,0),FALSE),"")</f>
        <v/>
      </c>
      <c r="F523" s="121" t="str">
        <f>IFERROR(VLOOKUP($C523,'Miljövrärden urval för publ'!$B$2:$H$416,MATCH('Miljövärden för publ företag'!F$4,'Miljövrärden urval för publ'!$B$2:$H$2,0),FALSE),"")</f>
        <v/>
      </c>
      <c r="G523" s="121" t="str">
        <f>IFERROR(VLOOKUP($C523,'Miljövrärden urval för publ'!$B$2:$H$416,MATCH('Miljövärden för publ företag'!G$4,'Miljövrärden urval för publ'!$B$2:$H$2,0),FALSE),"")</f>
        <v/>
      </c>
    </row>
    <row r="524" spans="2:7" x14ac:dyDescent="0.25">
      <c r="B524" s="121" t="str">
        <f>IFERROR(INDEX('Miljövrärden urval för publ'!$A$2:$AA$419,MATCH('Miljövärden för publ företag'!$A524,'Miljövrärden urval för publ'!$R$2:$R$416,0),1),"")</f>
        <v/>
      </c>
      <c r="C524" s="121" t="str">
        <f>IFERROR(INDEX('Miljövrärden urval för publ'!$A$2:$AA$419,MATCH('Miljövärden för publ företag'!$A524,'Miljövrärden urval för publ'!$R$2:$R$416,0),2),"")</f>
        <v/>
      </c>
      <c r="D524" s="121" t="str">
        <f>IFERROR(VLOOKUP($C524,'Miljövrärden urval för publ'!$B$2:$H$416,MATCH('Miljövärden för publ företag'!D$4,'Miljövrärden urval för publ'!$B$2:$H$2,0),FALSE),"")</f>
        <v/>
      </c>
      <c r="E524" s="121" t="str">
        <f>IFERROR(VLOOKUP($C524,'Miljövrärden urval för publ'!$B$2:$H$416,MATCH('Miljövärden för publ företag'!E$4,'Miljövrärden urval för publ'!$B$2:$H$2,0),FALSE),"")</f>
        <v/>
      </c>
      <c r="F524" s="121" t="str">
        <f>IFERROR(VLOOKUP($C524,'Miljövrärden urval för publ'!$B$2:$H$416,MATCH('Miljövärden för publ företag'!F$4,'Miljövrärden urval för publ'!$B$2:$H$2,0),FALSE),"")</f>
        <v/>
      </c>
      <c r="G524" s="121" t="str">
        <f>IFERROR(VLOOKUP($C524,'Miljövrärden urval för publ'!$B$2:$H$416,MATCH('Miljövärden för publ företag'!G$4,'Miljövrärden urval för publ'!$B$2:$H$2,0),FALSE),"")</f>
        <v/>
      </c>
    </row>
    <row r="525" spans="2:7" x14ac:dyDescent="0.25">
      <c r="B525" s="121" t="str">
        <f>IFERROR(INDEX('Miljövrärden urval för publ'!$A$2:$AA$419,MATCH('Miljövärden för publ företag'!$A525,'Miljövrärden urval för publ'!$R$2:$R$416,0),1),"")</f>
        <v/>
      </c>
      <c r="C525" s="121" t="str">
        <f>IFERROR(INDEX('Miljövrärden urval för publ'!$A$2:$AA$419,MATCH('Miljövärden för publ företag'!$A525,'Miljövrärden urval för publ'!$R$2:$R$416,0),2),"")</f>
        <v/>
      </c>
      <c r="D525" s="121" t="str">
        <f>IFERROR(VLOOKUP($C525,'Miljövrärden urval för publ'!$B$2:$H$416,MATCH('Miljövärden för publ företag'!D$4,'Miljövrärden urval för publ'!$B$2:$H$2,0),FALSE),"")</f>
        <v/>
      </c>
      <c r="E525" s="121" t="str">
        <f>IFERROR(VLOOKUP($C525,'Miljövrärden urval för publ'!$B$2:$H$416,MATCH('Miljövärden för publ företag'!E$4,'Miljövrärden urval för publ'!$B$2:$H$2,0),FALSE),"")</f>
        <v/>
      </c>
      <c r="F525" s="121" t="str">
        <f>IFERROR(VLOOKUP($C525,'Miljövrärden urval för publ'!$B$2:$H$416,MATCH('Miljövärden för publ företag'!F$4,'Miljövrärden urval för publ'!$B$2:$H$2,0),FALSE),"")</f>
        <v/>
      </c>
      <c r="G525" s="121" t="str">
        <f>IFERROR(VLOOKUP($C525,'Miljövrärden urval för publ'!$B$2:$H$416,MATCH('Miljövärden för publ företag'!G$4,'Miljövrärden urval för publ'!$B$2:$H$2,0),FALSE),"")</f>
        <v/>
      </c>
    </row>
    <row r="526" spans="2:7" x14ac:dyDescent="0.25">
      <c r="B526" s="121" t="str">
        <f>IFERROR(INDEX('Miljövrärden urval för publ'!$A$2:$AA$419,MATCH('Miljövärden för publ företag'!$A526,'Miljövrärden urval för publ'!$R$2:$R$416,0),1),"")</f>
        <v/>
      </c>
      <c r="C526" s="121" t="str">
        <f>IFERROR(INDEX('Miljövrärden urval för publ'!$A$2:$AA$419,MATCH('Miljövärden för publ företag'!$A526,'Miljövrärden urval för publ'!$R$2:$R$416,0),2),"")</f>
        <v/>
      </c>
      <c r="D526" s="121" t="str">
        <f>IFERROR(VLOOKUP($C526,'Miljövrärden urval för publ'!$B$2:$H$416,MATCH('Miljövärden för publ företag'!D$4,'Miljövrärden urval för publ'!$B$2:$H$2,0),FALSE),"")</f>
        <v/>
      </c>
      <c r="E526" s="121" t="str">
        <f>IFERROR(VLOOKUP($C526,'Miljövrärden urval för publ'!$B$2:$H$416,MATCH('Miljövärden för publ företag'!E$4,'Miljövrärden urval för publ'!$B$2:$H$2,0),FALSE),"")</f>
        <v/>
      </c>
      <c r="F526" s="121" t="str">
        <f>IFERROR(VLOOKUP($C526,'Miljövrärden urval för publ'!$B$2:$H$416,MATCH('Miljövärden för publ företag'!F$4,'Miljövrärden urval för publ'!$B$2:$H$2,0),FALSE),"")</f>
        <v/>
      </c>
      <c r="G526" s="121" t="str">
        <f>IFERROR(VLOOKUP($C526,'Miljövrärden urval för publ'!$B$2:$H$416,MATCH('Miljövärden för publ företag'!G$4,'Miljövrärden urval för publ'!$B$2:$H$2,0),FALSE),"")</f>
        <v/>
      </c>
    </row>
    <row r="527" spans="2:7" x14ac:dyDescent="0.25">
      <c r="B527" s="121" t="str">
        <f>IFERROR(INDEX('Miljövrärden urval för publ'!$A$2:$AA$419,MATCH('Miljövärden för publ företag'!$A527,'Miljövrärden urval för publ'!$R$2:$R$416,0),1),"")</f>
        <v/>
      </c>
      <c r="C527" s="121" t="str">
        <f>IFERROR(INDEX('Miljövrärden urval för publ'!$A$2:$AA$419,MATCH('Miljövärden för publ företag'!$A527,'Miljövrärden urval för publ'!$R$2:$R$416,0),2),"")</f>
        <v/>
      </c>
      <c r="D527" s="121" t="str">
        <f>IFERROR(VLOOKUP($C527,'Miljövrärden urval för publ'!$B$2:$H$416,MATCH('Miljövärden för publ företag'!D$4,'Miljövrärden urval för publ'!$B$2:$H$2,0),FALSE),"")</f>
        <v/>
      </c>
      <c r="E527" s="121" t="str">
        <f>IFERROR(VLOOKUP($C527,'Miljövrärden urval för publ'!$B$2:$H$416,MATCH('Miljövärden för publ företag'!E$4,'Miljövrärden urval för publ'!$B$2:$H$2,0),FALSE),"")</f>
        <v/>
      </c>
      <c r="F527" s="121" t="str">
        <f>IFERROR(VLOOKUP($C527,'Miljövrärden urval för publ'!$B$2:$H$416,MATCH('Miljövärden för publ företag'!F$4,'Miljövrärden urval för publ'!$B$2:$H$2,0),FALSE),"")</f>
        <v/>
      </c>
      <c r="G527" s="121" t="str">
        <f>IFERROR(VLOOKUP($C527,'Miljövrärden urval för publ'!$B$2:$H$416,MATCH('Miljövärden för publ företag'!G$4,'Miljövrärden urval för publ'!$B$2:$H$2,0),FALSE),"")</f>
        <v/>
      </c>
    </row>
    <row r="528" spans="2:7" x14ac:dyDescent="0.25">
      <c r="B528" s="121" t="str">
        <f>IFERROR(INDEX('Miljövrärden urval för publ'!$A$2:$AA$419,MATCH('Miljövärden för publ företag'!$A528,'Miljövrärden urval för publ'!$R$2:$R$416,0),1),"")</f>
        <v/>
      </c>
      <c r="C528" s="121" t="str">
        <f>IFERROR(INDEX('Miljövrärden urval för publ'!$A$2:$AA$419,MATCH('Miljövärden för publ företag'!$A528,'Miljövrärden urval för publ'!$R$2:$R$416,0),2),"")</f>
        <v/>
      </c>
      <c r="D528" s="121" t="str">
        <f>IFERROR(VLOOKUP($C528,'Miljövrärden urval för publ'!$B$2:$H$416,MATCH('Miljövärden för publ företag'!D$4,'Miljövrärden urval för publ'!$B$2:$H$2,0),FALSE),"")</f>
        <v/>
      </c>
      <c r="E528" s="121" t="str">
        <f>IFERROR(VLOOKUP($C528,'Miljövrärden urval för publ'!$B$2:$H$416,MATCH('Miljövärden för publ företag'!E$4,'Miljövrärden urval för publ'!$B$2:$H$2,0),FALSE),"")</f>
        <v/>
      </c>
      <c r="F528" s="121" t="str">
        <f>IFERROR(VLOOKUP($C528,'Miljövrärden urval för publ'!$B$2:$H$416,MATCH('Miljövärden för publ företag'!F$4,'Miljövrärden urval för publ'!$B$2:$H$2,0),FALSE),"")</f>
        <v/>
      </c>
      <c r="G528" s="121" t="str">
        <f>IFERROR(VLOOKUP($C528,'Miljövrärden urval för publ'!$B$2:$H$416,MATCH('Miljövärden för publ företag'!G$4,'Miljövrärden urval för publ'!$B$2:$H$2,0),FALSE),"")</f>
        <v/>
      </c>
    </row>
    <row r="529" spans="2:7" x14ac:dyDescent="0.25">
      <c r="B529" s="121" t="str">
        <f>IFERROR(INDEX('Miljövrärden urval för publ'!$A$2:$AA$419,MATCH('Miljövärden för publ företag'!$A529,'Miljövrärden urval för publ'!$R$2:$R$416,0),1),"")</f>
        <v/>
      </c>
      <c r="C529" s="121" t="str">
        <f>IFERROR(INDEX('Miljövrärden urval för publ'!$A$2:$AA$419,MATCH('Miljövärden för publ företag'!$A529,'Miljövrärden urval för publ'!$R$2:$R$416,0),2),"")</f>
        <v/>
      </c>
      <c r="D529" s="121" t="str">
        <f>IFERROR(VLOOKUP($C529,'Miljövrärden urval för publ'!$B$2:$H$416,MATCH('Miljövärden för publ företag'!D$4,'Miljövrärden urval för publ'!$B$2:$H$2,0),FALSE),"")</f>
        <v/>
      </c>
      <c r="E529" s="121" t="str">
        <f>IFERROR(VLOOKUP($C529,'Miljövrärden urval för publ'!$B$2:$H$416,MATCH('Miljövärden för publ företag'!E$4,'Miljövrärden urval för publ'!$B$2:$H$2,0),FALSE),"")</f>
        <v/>
      </c>
      <c r="F529" s="121" t="str">
        <f>IFERROR(VLOOKUP($C529,'Miljövrärden urval för publ'!$B$2:$H$416,MATCH('Miljövärden för publ företag'!F$4,'Miljövrärden urval för publ'!$B$2:$H$2,0),FALSE),"")</f>
        <v/>
      </c>
      <c r="G529" s="121" t="str">
        <f>IFERROR(VLOOKUP($C529,'Miljövrärden urval för publ'!$B$2:$H$416,MATCH('Miljövärden för publ företag'!G$4,'Miljövrärden urval för publ'!$B$2:$H$2,0),FALSE),"")</f>
        <v/>
      </c>
    </row>
    <row r="530" spans="2:7" x14ac:dyDescent="0.25">
      <c r="B530" s="121" t="str">
        <f>IFERROR(INDEX('Miljövrärden urval för publ'!$A$2:$AA$419,MATCH('Miljövärden för publ företag'!$A530,'Miljövrärden urval för publ'!$R$2:$R$416,0),1),"")</f>
        <v/>
      </c>
      <c r="C530" s="121" t="str">
        <f>IFERROR(INDEX('Miljövrärden urval för publ'!$A$2:$AA$419,MATCH('Miljövärden för publ företag'!$A530,'Miljövrärden urval för publ'!$R$2:$R$416,0),2),"")</f>
        <v/>
      </c>
      <c r="D530" s="121" t="str">
        <f>IFERROR(VLOOKUP($C530,'Miljövrärden urval för publ'!$B$2:$H$416,MATCH('Miljövärden för publ företag'!D$4,'Miljövrärden urval för publ'!$B$2:$H$2,0),FALSE),"")</f>
        <v/>
      </c>
      <c r="E530" s="121" t="str">
        <f>IFERROR(VLOOKUP($C530,'Miljövrärden urval för publ'!$B$2:$H$416,MATCH('Miljövärden för publ företag'!E$4,'Miljövrärden urval för publ'!$B$2:$H$2,0),FALSE),"")</f>
        <v/>
      </c>
      <c r="F530" s="121" t="str">
        <f>IFERROR(VLOOKUP($C530,'Miljövrärden urval för publ'!$B$2:$H$416,MATCH('Miljövärden för publ företag'!F$4,'Miljövrärden urval för publ'!$B$2:$H$2,0),FALSE),"")</f>
        <v/>
      </c>
      <c r="G530" s="121" t="str">
        <f>IFERROR(VLOOKUP($C530,'Miljövrärden urval för publ'!$B$2:$H$416,MATCH('Miljövärden för publ företag'!G$4,'Miljövrärden urval för publ'!$B$2:$H$2,0),FALSE),"")</f>
        <v/>
      </c>
    </row>
    <row r="531" spans="2:7" x14ac:dyDescent="0.25">
      <c r="B531" s="121" t="str">
        <f>IFERROR(INDEX('Miljövrärden urval för publ'!$A$2:$AA$419,MATCH('Miljövärden för publ företag'!$A531,'Miljövrärden urval för publ'!$R$2:$R$416,0),1),"")</f>
        <v/>
      </c>
      <c r="C531" s="121" t="str">
        <f>IFERROR(INDEX('Miljövrärden urval för publ'!$A$2:$AA$419,MATCH('Miljövärden för publ företag'!$A531,'Miljövrärden urval för publ'!$R$2:$R$416,0),2),"")</f>
        <v/>
      </c>
      <c r="D531" s="121" t="str">
        <f>IFERROR(VLOOKUP($C531,'Miljövrärden urval för publ'!$B$2:$H$416,MATCH('Miljövärden för publ företag'!D$4,'Miljövrärden urval för publ'!$B$2:$H$2,0),FALSE),"")</f>
        <v/>
      </c>
      <c r="E531" s="121" t="str">
        <f>IFERROR(VLOOKUP($C531,'Miljövrärden urval för publ'!$B$2:$H$416,MATCH('Miljövärden för publ företag'!E$4,'Miljövrärden urval för publ'!$B$2:$H$2,0),FALSE),"")</f>
        <v/>
      </c>
      <c r="F531" s="121" t="str">
        <f>IFERROR(VLOOKUP($C531,'Miljövrärden urval för publ'!$B$2:$H$416,MATCH('Miljövärden för publ företag'!F$4,'Miljövrärden urval för publ'!$B$2:$H$2,0),FALSE),"")</f>
        <v/>
      </c>
      <c r="G531" s="121" t="str">
        <f>IFERROR(VLOOKUP($C531,'Miljövrärden urval för publ'!$B$2:$H$416,MATCH('Miljövärden för publ företag'!G$4,'Miljövrärden urval för publ'!$B$2:$H$2,0),FALSE),"")</f>
        <v/>
      </c>
    </row>
    <row r="532" spans="2:7" x14ac:dyDescent="0.25">
      <c r="B532" s="121" t="str">
        <f>IFERROR(INDEX('Miljövrärden urval för publ'!$A$2:$AA$419,MATCH('Miljövärden för publ företag'!$A532,'Miljövrärden urval för publ'!$R$2:$R$416,0),1),"")</f>
        <v/>
      </c>
      <c r="C532" s="121" t="str">
        <f>IFERROR(INDEX('Miljövrärden urval för publ'!$A$2:$AA$419,MATCH('Miljövärden för publ företag'!$A532,'Miljövrärden urval för publ'!$R$2:$R$416,0),2),"")</f>
        <v/>
      </c>
      <c r="D532" s="121" t="str">
        <f>IFERROR(VLOOKUP($C532,'Miljövrärden urval för publ'!$B$2:$H$416,MATCH('Miljövärden för publ företag'!D$4,'Miljövrärden urval för publ'!$B$2:$H$2,0),FALSE),"")</f>
        <v/>
      </c>
      <c r="E532" s="121" t="str">
        <f>IFERROR(VLOOKUP($C532,'Miljövrärden urval för publ'!$B$2:$H$416,MATCH('Miljövärden för publ företag'!E$4,'Miljövrärden urval för publ'!$B$2:$H$2,0),FALSE),"")</f>
        <v/>
      </c>
      <c r="F532" s="121" t="str">
        <f>IFERROR(VLOOKUP($C532,'Miljövrärden urval för publ'!$B$2:$H$416,MATCH('Miljövärden för publ företag'!F$4,'Miljövrärden urval för publ'!$B$2:$H$2,0),FALSE),"")</f>
        <v/>
      </c>
      <c r="G532" s="121" t="str">
        <f>IFERROR(VLOOKUP($C532,'Miljövrärden urval för publ'!$B$2:$H$416,MATCH('Miljövärden för publ företag'!G$4,'Miljövrärden urval för publ'!$B$2:$H$2,0),FALSE),"")</f>
        <v/>
      </c>
    </row>
    <row r="533" spans="2:7" x14ac:dyDescent="0.25">
      <c r="B533" s="121" t="str">
        <f>IFERROR(INDEX('Miljövrärden urval för publ'!$A$2:$AA$419,MATCH('Miljövärden för publ företag'!$A533,'Miljövrärden urval för publ'!$R$2:$R$416,0),1),"")</f>
        <v/>
      </c>
      <c r="C533" s="121" t="str">
        <f>IFERROR(INDEX('Miljövrärden urval för publ'!$A$2:$AA$419,MATCH('Miljövärden för publ företag'!$A533,'Miljövrärden urval för publ'!$R$2:$R$416,0),2),"")</f>
        <v/>
      </c>
      <c r="D533" s="121" t="str">
        <f>IFERROR(VLOOKUP($C533,'Miljövrärden urval för publ'!$B$2:$H$416,MATCH('Miljövärden för publ företag'!D$4,'Miljövrärden urval för publ'!$B$2:$H$2,0),FALSE),"")</f>
        <v/>
      </c>
      <c r="E533" s="121" t="str">
        <f>IFERROR(VLOOKUP($C533,'Miljövrärden urval för publ'!$B$2:$H$416,MATCH('Miljövärden för publ företag'!E$4,'Miljövrärden urval för publ'!$B$2:$H$2,0),FALSE),"")</f>
        <v/>
      </c>
      <c r="F533" s="121" t="str">
        <f>IFERROR(VLOOKUP($C533,'Miljövrärden urval för publ'!$B$2:$H$416,MATCH('Miljövärden för publ företag'!F$4,'Miljövrärden urval för publ'!$B$2:$H$2,0),FALSE),"")</f>
        <v/>
      </c>
      <c r="G533" s="121" t="str">
        <f>IFERROR(VLOOKUP($C533,'Miljövrärden urval för publ'!$B$2:$H$416,MATCH('Miljövärden för publ företag'!G$4,'Miljövrärden urval för publ'!$B$2:$H$2,0),FALSE),"")</f>
        <v/>
      </c>
    </row>
    <row r="534" spans="2:7" x14ac:dyDescent="0.25">
      <c r="B534" s="121" t="str">
        <f>IFERROR(INDEX('Miljövrärden urval för publ'!$A$2:$AA$419,MATCH('Miljövärden för publ företag'!$A534,'Miljövrärden urval för publ'!$R$2:$R$416,0),1),"")</f>
        <v/>
      </c>
      <c r="C534" s="121" t="str">
        <f>IFERROR(INDEX('Miljövrärden urval för publ'!$A$2:$AA$419,MATCH('Miljövärden för publ företag'!$A534,'Miljövrärden urval för publ'!$R$2:$R$416,0),2),"")</f>
        <v/>
      </c>
      <c r="D534" s="121" t="str">
        <f>IFERROR(VLOOKUP($C534,'Miljövrärden urval för publ'!$B$2:$H$416,MATCH('Miljövärden för publ företag'!D$4,'Miljövrärden urval för publ'!$B$2:$H$2,0),FALSE),"")</f>
        <v/>
      </c>
      <c r="E534" s="121" t="str">
        <f>IFERROR(VLOOKUP($C534,'Miljövrärden urval för publ'!$B$2:$H$416,MATCH('Miljövärden för publ företag'!E$4,'Miljövrärden urval för publ'!$B$2:$H$2,0),FALSE),"")</f>
        <v/>
      </c>
      <c r="F534" s="121" t="str">
        <f>IFERROR(VLOOKUP($C534,'Miljövrärden urval för publ'!$B$2:$H$416,MATCH('Miljövärden för publ företag'!F$4,'Miljövrärden urval för publ'!$B$2:$H$2,0),FALSE),"")</f>
        <v/>
      </c>
      <c r="G534" s="121" t="str">
        <f>IFERROR(VLOOKUP($C534,'Miljövrärden urval för publ'!$B$2:$H$416,MATCH('Miljövärden för publ företag'!G$4,'Miljövrärden urval för publ'!$B$2:$H$2,0),FALSE),"")</f>
        <v/>
      </c>
    </row>
    <row r="535" spans="2:7" x14ac:dyDescent="0.25">
      <c r="B535" s="121" t="str">
        <f>IFERROR(INDEX('Miljövrärden urval för publ'!$A$2:$AA$419,MATCH('Miljövärden för publ företag'!$A535,'Miljövrärden urval för publ'!$R$2:$R$416,0),1),"")</f>
        <v/>
      </c>
      <c r="C535" s="121" t="str">
        <f>IFERROR(INDEX('Miljövrärden urval för publ'!$A$2:$AA$419,MATCH('Miljövärden för publ företag'!$A535,'Miljövrärden urval för publ'!$R$2:$R$416,0),2),"")</f>
        <v/>
      </c>
      <c r="D535" s="121" t="str">
        <f>IFERROR(VLOOKUP($C535,'Miljövrärden urval för publ'!$B$2:$H$416,MATCH('Miljövärden för publ företag'!D$4,'Miljövrärden urval för publ'!$B$2:$H$2,0),FALSE),"")</f>
        <v/>
      </c>
      <c r="E535" s="121" t="str">
        <f>IFERROR(VLOOKUP($C535,'Miljövrärden urval för publ'!$B$2:$H$416,MATCH('Miljövärden för publ företag'!E$4,'Miljövrärden urval för publ'!$B$2:$H$2,0),FALSE),"")</f>
        <v/>
      </c>
      <c r="F535" s="121" t="str">
        <f>IFERROR(VLOOKUP($C535,'Miljövrärden urval för publ'!$B$2:$H$416,MATCH('Miljövärden för publ företag'!F$4,'Miljövrärden urval för publ'!$B$2:$H$2,0),FALSE),"")</f>
        <v/>
      </c>
      <c r="G535" s="121" t="str">
        <f>IFERROR(VLOOKUP($C535,'Miljövrärden urval för publ'!$B$2:$H$416,MATCH('Miljövärden för publ företag'!G$4,'Miljövrärden urval för publ'!$B$2:$H$2,0),FALSE),"")</f>
        <v/>
      </c>
    </row>
    <row r="536" spans="2:7" x14ac:dyDescent="0.25">
      <c r="B536" s="121" t="str">
        <f>IFERROR(INDEX('Miljövrärden urval för publ'!$A$2:$AA$419,MATCH('Miljövärden för publ företag'!$A536,'Miljövrärden urval för publ'!$R$2:$R$416,0),1),"")</f>
        <v/>
      </c>
      <c r="C536" s="121" t="str">
        <f>IFERROR(INDEX('Miljövrärden urval för publ'!$A$2:$AA$419,MATCH('Miljövärden för publ företag'!$A536,'Miljövrärden urval för publ'!$R$2:$R$416,0),2),"")</f>
        <v/>
      </c>
      <c r="D536" s="121" t="str">
        <f>IFERROR(VLOOKUP($C536,'Miljövrärden urval för publ'!$B$2:$H$416,MATCH('Miljövärden för publ företag'!D$4,'Miljövrärden urval för publ'!$B$2:$H$2,0),FALSE),"")</f>
        <v/>
      </c>
      <c r="E536" s="121" t="str">
        <f>IFERROR(VLOOKUP($C536,'Miljövrärden urval för publ'!$B$2:$H$416,MATCH('Miljövärden för publ företag'!E$4,'Miljövrärden urval för publ'!$B$2:$H$2,0),FALSE),"")</f>
        <v/>
      </c>
      <c r="F536" s="121" t="str">
        <f>IFERROR(VLOOKUP($C536,'Miljövrärden urval för publ'!$B$2:$H$416,MATCH('Miljövärden för publ företag'!F$4,'Miljövrärden urval för publ'!$B$2:$H$2,0),FALSE),"")</f>
        <v/>
      </c>
      <c r="G536" s="121" t="str">
        <f>IFERROR(VLOOKUP($C536,'Miljövrärden urval för publ'!$B$2:$H$416,MATCH('Miljövärden för publ företag'!G$4,'Miljövrärden urval för publ'!$B$2:$H$2,0),FALSE),"")</f>
        <v/>
      </c>
    </row>
    <row r="537" spans="2:7" x14ac:dyDescent="0.25">
      <c r="B537" s="121" t="str">
        <f>IFERROR(INDEX('Miljövrärden urval för publ'!$A$2:$AA$419,MATCH('Miljövärden för publ företag'!$A537,'Miljövrärden urval för publ'!$R$2:$R$416,0),1),"")</f>
        <v/>
      </c>
      <c r="C537" s="121" t="str">
        <f>IFERROR(INDEX('Miljövrärden urval för publ'!$A$2:$AA$419,MATCH('Miljövärden för publ företag'!$A537,'Miljövrärden urval för publ'!$R$2:$R$416,0),2),"")</f>
        <v/>
      </c>
      <c r="D537" s="121" t="str">
        <f>IFERROR(VLOOKUP($C537,'Miljövrärden urval för publ'!$B$2:$H$416,MATCH('Miljövärden för publ företag'!D$4,'Miljövrärden urval för publ'!$B$2:$H$2,0),FALSE),"")</f>
        <v/>
      </c>
      <c r="E537" s="121" t="str">
        <f>IFERROR(VLOOKUP($C537,'Miljövrärden urval för publ'!$B$2:$H$416,MATCH('Miljövärden för publ företag'!E$4,'Miljövrärden urval för publ'!$B$2:$H$2,0),FALSE),"")</f>
        <v/>
      </c>
      <c r="F537" s="121" t="str">
        <f>IFERROR(VLOOKUP($C537,'Miljövrärden urval för publ'!$B$2:$H$416,MATCH('Miljövärden för publ företag'!F$4,'Miljövrärden urval för publ'!$B$2:$H$2,0),FALSE),"")</f>
        <v/>
      </c>
      <c r="G537" s="121" t="str">
        <f>IFERROR(VLOOKUP($C537,'Miljövrärden urval för publ'!$B$2:$H$416,MATCH('Miljövärden för publ företag'!G$4,'Miljövrärden urval för publ'!$B$2:$H$2,0),FALSE),"")</f>
        <v/>
      </c>
    </row>
    <row r="538" spans="2:7" x14ac:dyDescent="0.25">
      <c r="B538" s="121" t="str">
        <f>IFERROR(INDEX('Miljövrärden urval för publ'!$A$2:$AA$419,MATCH('Miljövärden för publ företag'!$A538,'Miljövrärden urval för publ'!$R$2:$R$416,0),1),"")</f>
        <v/>
      </c>
      <c r="C538" s="121" t="str">
        <f>IFERROR(INDEX('Miljövrärden urval för publ'!$A$2:$AA$419,MATCH('Miljövärden för publ företag'!$A538,'Miljövrärden urval för publ'!$R$2:$R$416,0),2),"")</f>
        <v/>
      </c>
      <c r="D538" s="121" t="str">
        <f>IFERROR(VLOOKUP($C538,'Miljövrärden urval för publ'!$B$2:$H$416,MATCH('Miljövärden för publ företag'!D$4,'Miljövrärden urval för publ'!$B$2:$H$2,0),FALSE),"")</f>
        <v/>
      </c>
      <c r="E538" s="121" t="str">
        <f>IFERROR(VLOOKUP($C538,'Miljövrärden urval för publ'!$B$2:$H$416,MATCH('Miljövärden för publ företag'!E$4,'Miljövrärden urval för publ'!$B$2:$H$2,0),FALSE),"")</f>
        <v/>
      </c>
      <c r="F538" s="121" t="str">
        <f>IFERROR(VLOOKUP($C538,'Miljövrärden urval för publ'!$B$2:$H$416,MATCH('Miljövärden för publ företag'!F$4,'Miljövrärden urval för publ'!$B$2:$H$2,0),FALSE),"")</f>
        <v/>
      </c>
      <c r="G538" s="121" t="str">
        <f>IFERROR(VLOOKUP($C538,'Miljövrärden urval för publ'!$B$2:$H$416,MATCH('Miljövärden för publ företag'!G$4,'Miljövrärden urval för publ'!$B$2:$H$2,0),FALSE),"")</f>
        <v/>
      </c>
    </row>
    <row r="539" spans="2:7" x14ac:dyDescent="0.25">
      <c r="B539" s="121" t="str">
        <f>IFERROR(INDEX('Miljövrärden urval för publ'!$A$2:$AA$419,MATCH('Miljövärden för publ företag'!$A539,'Miljövrärden urval för publ'!$R$2:$R$416,0),1),"")</f>
        <v/>
      </c>
      <c r="C539" s="121" t="str">
        <f>IFERROR(INDEX('Miljövrärden urval för publ'!$A$2:$AA$419,MATCH('Miljövärden för publ företag'!$A539,'Miljövrärden urval för publ'!$R$2:$R$416,0),2),"")</f>
        <v/>
      </c>
      <c r="D539" s="121" t="str">
        <f>IFERROR(VLOOKUP($C539,'Miljövrärden urval för publ'!$B$2:$H$416,MATCH('Miljövärden för publ företag'!D$4,'Miljövrärden urval för publ'!$B$2:$H$2,0),FALSE),"")</f>
        <v/>
      </c>
      <c r="E539" s="121" t="str">
        <f>IFERROR(VLOOKUP($C539,'Miljövrärden urval för publ'!$B$2:$H$416,MATCH('Miljövärden för publ företag'!E$4,'Miljövrärden urval för publ'!$B$2:$H$2,0),FALSE),"")</f>
        <v/>
      </c>
      <c r="F539" s="121" t="str">
        <f>IFERROR(VLOOKUP($C539,'Miljövrärden urval för publ'!$B$2:$H$416,MATCH('Miljövärden för publ företag'!F$4,'Miljövrärden urval för publ'!$B$2:$H$2,0),FALSE),"")</f>
        <v/>
      </c>
      <c r="G539" s="121" t="str">
        <f>IFERROR(VLOOKUP($C539,'Miljövrärden urval för publ'!$B$2:$H$416,MATCH('Miljövärden för publ företag'!G$4,'Miljövrärden urval för publ'!$B$2:$H$2,0),FALSE),"")</f>
        <v/>
      </c>
    </row>
    <row r="540" spans="2:7" x14ac:dyDescent="0.25">
      <c r="B540" s="121" t="str">
        <f>IFERROR(INDEX('Miljövrärden urval för publ'!$A$2:$AA$419,MATCH('Miljövärden för publ företag'!$A540,'Miljövrärden urval för publ'!$R$2:$R$416,0),1),"")</f>
        <v/>
      </c>
      <c r="C540" s="121" t="str">
        <f>IFERROR(INDEX('Miljövrärden urval för publ'!$A$2:$AA$419,MATCH('Miljövärden för publ företag'!$A540,'Miljövrärden urval för publ'!$R$2:$R$416,0),2),"")</f>
        <v/>
      </c>
      <c r="D540" s="121" t="str">
        <f>IFERROR(VLOOKUP($C540,'Miljövrärden urval för publ'!$B$2:$H$416,MATCH('Miljövärden för publ företag'!D$4,'Miljövrärden urval för publ'!$B$2:$H$2,0),FALSE),"")</f>
        <v/>
      </c>
      <c r="E540" s="121" t="str">
        <f>IFERROR(VLOOKUP($C540,'Miljövrärden urval för publ'!$B$2:$H$416,MATCH('Miljövärden för publ företag'!E$4,'Miljövrärden urval för publ'!$B$2:$H$2,0),FALSE),"")</f>
        <v/>
      </c>
      <c r="F540" s="121" t="str">
        <f>IFERROR(VLOOKUP($C540,'Miljövrärden urval för publ'!$B$2:$H$416,MATCH('Miljövärden för publ företag'!F$4,'Miljövrärden urval för publ'!$B$2:$H$2,0),FALSE),"")</f>
        <v/>
      </c>
      <c r="G540" s="121" t="str">
        <f>IFERROR(VLOOKUP($C540,'Miljövrärden urval för publ'!$B$2:$H$416,MATCH('Miljövärden för publ företag'!G$4,'Miljövrärden urval för publ'!$B$2:$H$2,0),FALSE),"")</f>
        <v/>
      </c>
    </row>
    <row r="541" spans="2:7" x14ac:dyDescent="0.25">
      <c r="B541" s="121" t="str">
        <f>IFERROR(INDEX('Miljövrärden urval för publ'!$A$2:$AA$419,MATCH('Miljövärden för publ företag'!$A541,'Miljövrärden urval för publ'!$R$2:$R$416,0),1),"")</f>
        <v/>
      </c>
      <c r="C541" s="121" t="str">
        <f>IFERROR(INDEX('Miljövrärden urval för publ'!$A$2:$AA$419,MATCH('Miljövärden för publ företag'!$A541,'Miljövrärden urval för publ'!$R$2:$R$416,0),2),"")</f>
        <v/>
      </c>
      <c r="D541" s="121" t="str">
        <f>IFERROR(VLOOKUP($C541,'Miljövrärden urval för publ'!$B$2:$H$416,MATCH('Miljövärden för publ företag'!D$4,'Miljövrärden urval för publ'!$B$2:$H$2,0),FALSE),"")</f>
        <v/>
      </c>
      <c r="E541" s="121" t="str">
        <f>IFERROR(VLOOKUP($C541,'Miljövrärden urval för publ'!$B$2:$H$416,MATCH('Miljövärden för publ företag'!E$4,'Miljövrärden urval för publ'!$B$2:$H$2,0),FALSE),"")</f>
        <v/>
      </c>
      <c r="F541" s="121" t="str">
        <f>IFERROR(VLOOKUP($C541,'Miljövrärden urval för publ'!$B$2:$H$416,MATCH('Miljövärden för publ företag'!F$4,'Miljövrärden urval för publ'!$B$2:$H$2,0),FALSE),"")</f>
        <v/>
      </c>
      <c r="G541" s="121" t="str">
        <f>IFERROR(VLOOKUP($C541,'Miljövrärden urval för publ'!$B$2:$H$416,MATCH('Miljövärden för publ företag'!G$4,'Miljövrärden urval för publ'!$B$2:$H$2,0),FALSE),"")</f>
        <v/>
      </c>
    </row>
    <row r="542" spans="2:7" x14ac:dyDescent="0.25">
      <c r="B542" s="121" t="str">
        <f>IFERROR(INDEX('Miljövrärden urval för publ'!$A$2:$AA$419,MATCH('Miljövärden för publ företag'!$A542,'Miljövrärden urval för publ'!$R$2:$R$416,0),1),"")</f>
        <v/>
      </c>
      <c r="C542" s="121" t="str">
        <f>IFERROR(INDEX('Miljövrärden urval för publ'!$A$2:$AA$419,MATCH('Miljövärden för publ företag'!$A542,'Miljövrärden urval för publ'!$R$2:$R$416,0),2),"")</f>
        <v/>
      </c>
      <c r="D542" s="121" t="str">
        <f>IFERROR(VLOOKUP($C542,'Miljövrärden urval för publ'!$B$2:$H$416,MATCH('Miljövärden för publ företag'!D$4,'Miljövrärden urval för publ'!$B$2:$H$2,0),FALSE),"")</f>
        <v/>
      </c>
      <c r="E542" s="121" t="str">
        <f>IFERROR(VLOOKUP($C542,'Miljövrärden urval för publ'!$B$2:$H$416,MATCH('Miljövärden för publ företag'!E$4,'Miljövrärden urval för publ'!$B$2:$H$2,0),FALSE),"")</f>
        <v/>
      </c>
      <c r="F542" s="121" t="str">
        <f>IFERROR(VLOOKUP($C542,'Miljövrärden urval för publ'!$B$2:$H$416,MATCH('Miljövärden för publ företag'!F$4,'Miljövrärden urval för publ'!$B$2:$H$2,0),FALSE),"")</f>
        <v/>
      </c>
      <c r="G542" s="121" t="str">
        <f>IFERROR(VLOOKUP($C542,'Miljövrärden urval för publ'!$B$2:$H$416,MATCH('Miljövärden för publ företag'!G$4,'Miljövrärden urval för publ'!$B$2:$H$2,0),FALSE),"")</f>
        <v/>
      </c>
    </row>
    <row r="543" spans="2:7" x14ac:dyDescent="0.25">
      <c r="B543" s="121" t="str">
        <f>IFERROR(INDEX('Miljövrärden urval för publ'!$A$2:$AA$419,MATCH('Miljövärden för publ företag'!$A543,'Miljövrärden urval för publ'!$R$2:$R$416,0),1),"")</f>
        <v/>
      </c>
      <c r="C543" s="121" t="str">
        <f>IFERROR(INDEX('Miljövrärden urval för publ'!$A$2:$AA$419,MATCH('Miljövärden för publ företag'!$A543,'Miljövrärden urval för publ'!$R$2:$R$416,0),2),"")</f>
        <v/>
      </c>
      <c r="D543" s="121" t="str">
        <f>IFERROR(VLOOKUP($C543,'Miljövrärden urval för publ'!$B$2:$H$416,MATCH('Miljövärden för publ företag'!D$4,'Miljövrärden urval för publ'!$B$2:$H$2,0),FALSE),"")</f>
        <v/>
      </c>
      <c r="E543" s="121" t="str">
        <f>IFERROR(VLOOKUP($C543,'Miljövrärden urval för publ'!$B$2:$H$416,MATCH('Miljövärden för publ företag'!E$4,'Miljövrärden urval för publ'!$B$2:$H$2,0),FALSE),"")</f>
        <v/>
      </c>
      <c r="F543" s="121" t="str">
        <f>IFERROR(VLOOKUP($C543,'Miljövrärden urval för publ'!$B$2:$H$416,MATCH('Miljövärden för publ företag'!F$4,'Miljövrärden urval för publ'!$B$2:$H$2,0),FALSE),"")</f>
        <v/>
      </c>
      <c r="G543" s="121" t="str">
        <f>IFERROR(VLOOKUP($C543,'Miljövrärden urval för publ'!$B$2:$H$416,MATCH('Miljövärden för publ företag'!G$4,'Miljövrärden urval för publ'!$B$2:$H$2,0),FALSE),"")</f>
        <v/>
      </c>
    </row>
    <row r="544" spans="2:7" x14ac:dyDescent="0.25">
      <c r="B544" s="121" t="str">
        <f>IFERROR(INDEX('Miljövrärden urval för publ'!$A$2:$AA$419,MATCH('Miljövärden för publ företag'!$A544,'Miljövrärden urval för publ'!$R$2:$R$416,0),1),"")</f>
        <v/>
      </c>
      <c r="C544" s="121" t="str">
        <f>IFERROR(INDEX('Miljövrärden urval för publ'!$A$2:$AA$419,MATCH('Miljövärden för publ företag'!$A544,'Miljövrärden urval för publ'!$R$2:$R$416,0),2),"")</f>
        <v/>
      </c>
      <c r="D544" s="121" t="str">
        <f>IFERROR(VLOOKUP($C544,'Miljövrärden urval för publ'!$B$2:$H$416,MATCH('Miljövärden för publ företag'!D$4,'Miljövrärden urval för publ'!$B$2:$H$2,0),FALSE),"")</f>
        <v/>
      </c>
      <c r="E544" s="121" t="str">
        <f>IFERROR(VLOOKUP($C544,'Miljövrärden urval för publ'!$B$2:$H$416,MATCH('Miljövärden för publ företag'!E$4,'Miljövrärden urval för publ'!$B$2:$H$2,0),FALSE),"")</f>
        <v/>
      </c>
      <c r="F544" s="121" t="str">
        <f>IFERROR(VLOOKUP($C544,'Miljövrärden urval för publ'!$B$2:$H$416,MATCH('Miljövärden för publ företag'!F$4,'Miljövrärden urval för publ'!$B$2:$H$2,0),FALSE),"")</f>
        <v/>
      </c>
      <c r="G544" s="121" t="str">
        <f>IFERROR(VLOOKUP($C544,'Miljövrärden urval för publ'!$B$2:$H$416,MATCH('Miljövärden för publ företag'!G$4,'Miljövrärden urval för publ'!$B$2:$H$2,0),FALSE),"")</f>
        <v/>
      </c>
    </row>
    <row r="545" spans="2:7" x14ac:dyDescent="0.25">
      <c r="B545" s="121" t="str">
        <f>IFERROR(INDEX('Miljövrärden urval för publ'!$A$2:$AA$419,MATCH('Miljövärden för publ företag'!$A545,'Miljövrärden urval för publ'!$R$2:$R$416,0),1),"")</f>
        <v/>
      </c>
      <c r="C545" s="121" t="str">
        <f>IFERROR(INDEX('Miljövrärden urval för publ'!$A$2:$AA$419,MATCH('Miljövärden för publ företag'!$A545,'Miljövrärden urval för publ'!$R$2:$R$416,0),2),"")</f>
        <v/>
      </c>
      <c r="D545" s="121" t="str">
        <f>IFERROR(VLOOKUP($C545,'Miljövrärden urval för publ'!$B$2:$H$416,MATCH('Miljövärden för publ företag'!D$4,'Miljövrärden urval för publ'!$B$2:$H$2,0),FALSE),"")</f>
        <v/>
      </c>
      <c r="E545" s="121" t="str">
        <f>IFERROR(VLOOKUP($C545,'Miljövrärden urval för publ'!$B$2:$H$416,MATCH('Miljövärden för publ företag'!E$4,'Miljövrärden urval för publ'!$B$2:$H$2,0),FALSE),"")</f>
        <v/>
      </c>
      <c r="F545" s="121" t="str">
        <f>IFERROR(VLOOKUP($C545,'Miljövrärden urval för publ'!$B$2:$H$416,MATCH('Miljövärden för publ företag'!F$4,'Miljövrärden urval för publ'!$B$2:$H$2,0),FALSE),"")</f>
        <v/>
      </c>
      <c r="G545" s="121" t="str">
        <f>IFERROR(VLOOKUP($C545,'Miljövrärden urval för publ'!$B$2:$H$416,MATCH('Miljövärden för publ företag'!G$4,'Miljövrärden urval för publ'!$B$2:$H$2,0),FALSE),"")</f>
        <v/>
      </c>
    </row>
    <row r="546" spans="2:7" x14ac:dyDescent="0.25">
      <c r="B546" s="121" t="str">
        <f>IFERROR(INDEX('Miljövrärden urval för publ'!$A$2:$AA$419,MATCH('Miljövärden för publ företag'!$A546,'Miljövrärden urval för publ'!$R$2:$R$416,0),1),"")</f>
        <v/>
      </c>
      <c r="C546" s="121" t="str">
        <f>IFERROR(INDEX('Miljövrärden urval för publ'!$A$2:$AA$419,MATCH('Miljövärden för publ företag'!$A546,'Miljövrärden urval för publ'!$R$2:$R$416,0),2),"")</f>
        <v/>
      </c>
      <c r="D546" s="121" t="str">
        <f>IFERROR(VLOOKUP($C546,'Miljövrärden urval för publ'!$B$2:$H$416,MATCH('Miljövärden för publ företag'!D$4,'Miljövrärden urval för publ'!$B$2:$H$2,0),FALSE),"")</f>
        <v/>
      </c>
      <c r="E546" s="121" t="str">
        <f>IFERROR(VLOOKUP($C546,'Miljövrärden urval för publ'!$B$2:$H$416,MATCH('Miljövärden för publ företag'!E$4,'Miljövrärden urval för publ'!$B$2:$H$2,0),FALSE),"")</f>
        <v/>
      </c>
      <c r="F546" s="121" t="str">
        <f>IFERROR(VLOOKUP($C546,'Miljövrärden urval för publ'!$B$2:$H$416,MATCH('Miljövärden för publ företag'!F$4,'Miljövrärden urval för publ'!$B$2:$H$2,0),FALSE),"")</f>
        <v/>
      </c>
      <c r="G546" s="121" t="str">
        <f>IFERROR(VLOOKUP($C546,'Miljövrärden urval för publ'!$B$2:$H$416,MATCH('Miljövärden för publ företag'!G$4,'Miljövrärden urval för publ'!$B$2:$H$2,0),FALSE),"")</f>
        <v/>
      </c>
    </row>
    <row r="547" spans="2:7" x14ac:dyDescent="0.25">
      <c r="B547" s="121" t="str">
        <f>IFERROR(INDEX('Miljövrärden urval för publ'!$A$2:$AA$419,MATCH('Miljövärden för publ företag'!$A547,'Miljövrärden urval för publ'!$R$2:$R$416,0),1),"")</f>
        <v/>
      </c>
      <c r="C547" s="121" t="str">
        <f>IFERROR(INDEX('Miljövrärden urval för publ'!$A$2:$AA$419,MATCH('Miljövärden för publ företag'!$A547,'Miljövrärden urval för publ'!$R$2:$R$416,0),2),"")</f>
        <v/>
      </c>
      <c r="D547" s="121" t="str">
        <f>IFERROR(VLOOKUP($C547,'Miljövrärden urval för publ'!$B$2:$H$416,MATCH('Miljövärden för publ företag'!D$4,'Miljövrärden urval för publ'!$B$2:$H$2,0),FALSE),"")</f>
        <v/>
      </c>
      <c r="E547" s="121" t="str">
        <f>IFERROR(VLOOKUP($C547,'Miljövrärden urval för publ'!$B$2:$H$416,MATCH('Miljövärden för publ företag'!E$4,'Miljövrärden urval för publ'!$B$2:$H$2,0),FALSE),"")</f>
        <v/>
      </c>
      <c r="F547" s="121" t="str">
        <f>IFERROR(VLOOKUP($C547,'Miljövrärden urval för publ'!$B$2:$H$416,MATCH('Miljövärden för publ företag'!F$4,'Miljövrärden urval för publ'!$B$2:$H$2,0),FALSE),"")</f>
        <v/>
      </c>
      <c r="G547" s="121" t="str">
        <f>IFERROR(VLOOKUP($C547,'Miljövrärden urval för publ'!$B$2:$H$416,MATCH('Miljövärden för publ företag'!G$4,'Miljövrärden urval för publ'!$B$2:$H$2,0),FALSE),"")</f>
        <v/>
      </c>
    </row>
    <row r="548" spans="2:7" x14ac:dyDescent="0.25">
      <c r="B548" s="121" t="str">
        <f>IFERROR(INDEX('Miljövrärden urval för publ'!$A$2:$AA$419,MATCH('Miljövärden för publ företag'!$A548,'Miljövrärden urval för publ'!$R$2:$R$416,0),1),"")</f>
        <v/>
      </c>
      <c r="C548" s="121" t="str">
        <f>IFERROR(INDEX('Miljövrärden urval för publ'!$A$2:$AA$419,MATCH('Miljövärden för publ företag'!$A548,'Miljövrärden urval för publ'!$R$2:$R$416,0),2),"")</f>
        <v/>
      </c>
      <c r="D548" s="121" t="str">
        <f>IFERROR(VLOOKUP($C548,'Miljövrärden urval för publ'!$B$2:$H$416,MATCH('Miljövärden för publ företag'!D$4,'Miljövrärden urval för publ'!$B$2:$H$2,0),FALSE),"")</f>
        <v/>
      </c>
      <c r="E548" s="121" t="str">
        <f>IFERROR(VLOOKUP($C548,'Miljövrärden urval för publ'!$B$2:$H$416,MATCH('Miljövärden för publ företag'!E$4,'Miljövrärden urval för publ'!$B$2:$H$2,0),FALSE),"")</f>
        <v/>
      </c>
      <c r="F548" s="121" t="str">
        <f>IFERROR(VLOOKUP($C548,'Miljövrärden urval för publ'!$B$2:$H$416,MATCH('Miljövärden för publ företag'!F$4,'Miljövrärden urval för publ'!$B$2:$H$2,0),FALSE),"")</f>
        <v/>
      </c>
      <c r="G548" s="121" t="str">
        <f>IFERROR(VLOOKUP($C548,'Miljövrärden urval för publ'!$B$2:$H$416,MATCH('Miljövärden för publ företag'!G$4,'Miljövrärden urval för publ'!$B$2:$H$2,0),FALSE),"")</f>
        <v/>
      </c>
    </row>
    <row r="549" spans="2:7" x14ac:dyDescent="0.25">
      <c r="B549" s="121" t="str">
        <f>IFERROR(INDEX('Miljövrärden urval för publ'!$A$2:$AA$419,MATCH('Miljövärden för publ företag'!$A549,'Miljövrärden urval för publ'!$R$2:$R$416,0),1),"")</f>
        <v/>
      </c>
      <c r="C549" s="121" t="str">
        <f>IFERROR(INDEX('Miljövrärden urval för publ'!$A$2:$AA$419,MATCH('Miljövärden för publ företag'!$A549,'Miljövrärden urval för publ'!$R$2:$R$416,0),2),"")</f>
        <v/>
      </c>
      <c r="D549" s="121" t="str">
        <f>IFERROR(VLOOKUP($C549,'Miljövrärden urval för publ'!$B$2:$H$416,MATCH('Miljövärden för publ företag'!D$4,'Miljövrärden urval för publ'!$B$2:$H$2,0),FALSE),"")</f>
        <v/>
      </c>
      <c r="E549" s="121" t="str">
        <f>IFERROR(VLOOKUP($C549,'Miljövrärden urval för publ'!$B$2:$H$416,MATCH('Miljövärden för publ företag'!E$4,'Miljövrärden urval för publ'!$B$2:$H$2,0),FALSE),"")</f>
        <v/>
      </c>
      <c r="F549" s="121" t="str">
        <f>IFERROR(VLOOKUP($C549,'Miljövrärden urval för publ'!$B$2:$H$416,MATCH('Miljövärden för publ företag'!F$4,'Miljövrärden urval för publ'!$B$2:$H$2,0),FALSE),"")</f>
        <v/>
      </c>
      <c r="G549" s="121" t="str">
        <f>IFERROR(VLOOKUP($C549,'Miljövrärden urval för publ'!$B$2:$H$416,MATCH('Miljövärden för publ företag'!G$4,'Miljövrärden urval för publ'!$B$2:$H$2,0),FALSE),"")</f>
        <v/>
      </c>
    </row>
    <row r="550" spans="2:7" x14ac:dyDescent="0.25">
      <c r="B550" s="121" t="str">
        <f>IFERROR(INDEX('Miljövrärden urval för publ'!$A$2:$AA$419,MATCH('Miljövärden för publ företag'!$A550,'Miljövrärden urval för publ'!$R$2:$R$416,0),1),"")</f>
        <v/>
      </c>
      <c r="C550" s="121" t="str">
        <f>IFERROR(INDEX('Miljövrärden urval för publ'!$A$2:$AA$419,MATCH('Miljövärden för publ företag'!$A550,'Miljövrärden urval för publ'!$R$2:$R$416,0),2),"")</f>
        <v/>
      </c>
      <c r="D550" s="121" t="str">
        <f>IFERROR(VLOOKUP($C550,'Miljövrärden urval för publ'!$B$2:$H$416,MATCH('Miljövärden för publ företag'!D$4,'Miljövrärden urval för publ'!$B$2:$H$2,0),FALSE),"")</f>
        <v/>
      </c>
      <c r="E550" s="121" t="str">
        <f>IFERROR(VLOOKUP($C550,'Miljövrärden urval för publ'!$B$2:$H$416,MATCH('Miljövärden för publ företag'!E$4,'Miljövrärden urval för publ'!$B$2:$H$2,0),FALSE),"")</f>
        <v/>
      </c>
      <c r="F550" s="121" t="str">
        <f>IFERROR(VLOOKUP($C550,'Miljövrärden urval för publ'!$B$2:$H$416,MATCH('Miljövärden för publ företag'!F$4,'Miljövrärden urval för publ'!$B$2:$H$2,0),FALSE),"")</f>
        <v/>
      </c>
      <c r="G550" s="121" t="str">
        <f>IFERROR(VLOOKUP($C550,'Miljövrärden urval för publ'!$B$2:$H$416,MATCH('Miljövärden för publ företag'!G$4,'Miljövrärden urval för publ'!$B$2:$H$2,0),FALSE),"")</f>
        <v/>
      </c>
    </row>
    <row r="551" spans="2:7" x14ac:dyDescent="0.25">
      <c r="B551" s="121" t="str">
        <f>IFERROR(INDEX('Miljövrärden urval för publ'!$A$2:$AA$419,MATCH('Miljövärden för publ företag'!$A551,'Miljövrärden urval för publ'!$R$2:$R$416,0),1),"")</f>
        <v/>
      </c>
      <c r="C551" s="121" t="str">
        <f>IFERROR(INDEX('Miljövrärden urval för publ'!$A$2:$AA$419,MATCH('Miljövärden för publ företag'!$A551,'Miljövrärden urval för publ'!$R$2:$R$416,0),2),"")</f>
        <v/>
      </c>
      <c r="D551" s="121" t="str">
        <f>IFERROR(VLOOKUP($C551,'Miljövrärden urval för publ'!$B$2:$H$416,MATCH('Miljövärden för publ företag'!D$4,'Miljövrärden urval för publ'!$B$2:$H$2,0),FALSE),"")</f>
        <v/>
      </c>
      <c r="E551" s="121" t="str">
        <f>IFERROR(VLOOKUP($C551,'Miljövrärden urval för publ'!$B$2:$H$416,MATCH('Miljövärden för publ företag'!E$4,'Miljövrärden urval för publ'!$B$2:$H$2,0),FALSE),"")</f>
        <v/>
      </c>
      <c r="F551" s="121" t="str">
        <f>IFERROR(VLOOKUP($C551,'Miljövrärden urval för publ'!$B$2:$H$416,MATCH('Miljövärden för publ företag'!F$4,'Miljövrärden urval för publ'!$B$2:$H$2,0),FALSE),"")</f>
        <v/>
      </c>
      <c r="G551" s="121" t="str">
        <f>IFERROR(VLOOKUP($C551,'Miljövrärden urval för publ'!$B$2:$H$416,MATCH('Miljövärden för publ företag'!G$4,'Miljövrärden urval för publ'!$B$2:$H$2,0),FALSE),"")</f>
        <v/>
      </c>
    </row>
    <row r="552" spans="2:7" x14ac:dyDescent="0.25">
      <c r="B552" s="121" t="str">
        <f>IFERROR(INDEX('Miljövrärden urval för publ'!$A$2:$AA$419,MATCH('Miljövärden för publ företag'!$A552,'Miljövrärden urval för publ'!$R$2:$R$416,0),1),"")</f>
        <v/>
      </c>
      <c r="C552" s="121" t="str">
        <f>IFERROR(INDEX('Miljövrärden urval för publ'!$A$2:$AA$419,MATCH('Miljövärden för publ företag'!$A552,'Miljövrärden urval för publ'!$R$2:$R$416,0),2),"")</f>
        <v/>
      </c>
      <c r="D552" s="121" t="str">
        <f>IFERROR(VLOOKUP($C552,'Miljövrärden urval för publ'!$B$2:$H$416,MATCH('Miljövärden för publ företag'!D$4,'Miljövrärden urval för publ'!$B$2:$H$2,0),FALSE),"")</f>
        <v/>
      </c>
      <c r="E552" s="121" t="str">
        <f>IFERROR(VLOOKUP($C552,'Miljövrärden urval för publ'!$B$2:$H$416,MATCH('Miljövärden för publ företag'!E$4,'Miljövrärden urval för publ'!$B$2:$H$2,0),FALSE),"")</f>
        <v/>
      </c>
      <c r="F552" s="121" t="str">
        <f>IFERROR(VLOOKUP($C552,'Miljövrärden urval för publ'!$B$2:$H$416,MATCH('Miljövärden för publ företag'!F$4,'Miljövrärden urval för publ'!$B$2:$H$2,0),FALSE),"")</f>
        <v/>
      </c>
      <c r="G552" s="121" t="str">
        <f>IFERROR(VLOOKUP($C552,'Miljövrärden urval för publ'!$B$2:$H$416,MATCH('Miljövärden för publ företag'!G$4,'Miljövrärden urval för publ'!$B$2:$H$2,0),FALSE),"")</f>
        <v/>
      </c>
    </row>
    <row r="553" spans="2:7" x14ac:dyDescent="0.25">
      <c r="B553" s="121" t="str">
        <f>IFERROR(INDEX('Miljövrärden urval för publ'!$A$2:$AA$419,MATCH('Miljövärden för publ företag'!$A553,'Miljövrärden urval för publ'!$R$2:$R$416,0),1),"")</f>
        <v/>
      </c>
      <c r="C553" s="121" t="str">
        <f>IFERROR(INDEX('Miljövrärden urval för publ'!$A$2:$AA$419,MATCH('Miljövärden för publ företag'!$A553,'Miljövrärden urval för publ'!$R$2:$R$416,0),2),"")</f>
        <v/>
      </c>
      <c r="D553" s="121" t="str">
        <f>IFERROR(VLOOKUP($C553,'Miljövrärden urval för publ'!$B$2:$H$416,MATCH('Miljövärden för publ företag'!D$4,'Miljövrärden urval för publ'!$B$2:$H$2,0),FALSE),"")</f>
        <v/>
      </c>
      <c r="E553" s="121" t="str">
        <f>IFERROR(VLOOKUP($C553,'Miljövrärden urval för publ'!$B$2:$H$416,MATCH('Miljövärden för publ företag'!E$4,'Miljövrärden urval för publ'!$B$2:$H$2,0),FALSE),"")</f>
        <v/>
      </c>
      <c r="F553" s="121" t="str">
        <f>IFERROR(VLOOKUP($C553,'Miljövrärden urval för publ'!$B$2:$H$416,MATCH('Miljövärden för publ företag'!F$4,'Miljövrärden urval för publ'!$B$2:$H$2,0),FALSE),"")</f>
        <v/>
      </c>
      <c r="G553" s="121" t="str">
        <f>IFERROR(VLOOKUP($C553,'Miljövrärden urval för publ'!$B$2:$H$416,MATCH('Miljövärden för publ företag'!G$4,'Miljövrärden urval för publ'!$B$2:$H$2,0),FALSE),"")</f>
        <v/>
      </c>
    </row>
    <row r="554" spans="2:7" x14ac:dyDescent="0.25">
      <c r="B554" s="121" t="str">
        <f>IFERROR(INDEX('Miljövrärden urval för publ'!$A$2:$AA$419,MATCH('Miljövärden för publ företag'!$A554,'Miljövrärden urval för publ'!$R$2:$R$416,0),1),"")</f>
        <v/>
      </c>
      <c r="C554" s="121" t="str">
        <f>IFERROR(INDEX('Miljövrärden urval för publ'!$A$2:$AA$419,MATCH('Miljövärden för publ företag'!$A554,'Miljövrärden urval för publ'!$R$2:$R$416,0),2),"")</f>
        <v/>
      </c>
      <c r="D554" s="121" t="str">
        <f>IFERROR(VLOOKUP($C554,'Miljövrärden urval för publ'!$B$2:$H$416,MATCH('Miljövärden för publ företag'!D$4,'Miljövrärden urval för publ'!$B$2:$H$2,0),FALSE),"")</f>
        <v/>
      </c>
      <c r="E554" s="121" t="str">
        <f>IFERROR(VLOOKUP($C554,'Miljövrärden urval för publ'!$B$2:$H$416,MATCH('Miljövärden för publ företag'!E$4,'Miljövrärden urval för publ'!$B$2:$H$2,0),FALSE),"")</f>
        <v/>
      </c>
      <c r="F554" s="121" t="str">
        <f>IFERROR(VLOOKUP($C554,'Miljövrärden urval för publ'!$B$2:$H$416,MATCH('Miljövärden för publ företag'!F$4,'Miljövrärden urval för publ'!$B$2:$H$2,0),FALSE),"")</f>
        <v/>
      </c>
      <c r="G554" s="121" t="str">
        <f>IFERROR(VLOOKUP($C554,'Miljövrärden urval för publ'!$B$2:$H$416,MATCH('Miljövärden för publ företag'!G$4,'Miljövrärden urval för publ'!$B$2:$H$2,0),FALSE),"")</f>
        <v/>
      </c>
    </row>
    <row r="555" spans="2:7" x14ac:dyDescent="0.25">
      <c r="B555" s="121" t="str">
        <f>IFERROR(INDEX('Miljövrärden urval för publ'!$A$2:$AA$419,MATCH('Miljövärden för publ företag'!$A555,'Miljövrärden urval för publ'!$R$2:$R$416,0),1),"")</f>
        <v/>
      </c>
      <c r="C555" s="121" t="str">
        <f>IFERROR(INDEX('Miljövrärden urval för publ'!$A$2:$AA$419,MATCH('Miljövärden för publ företag'!$A555,'Miljövrärden urval för publ'!$R$2:$R$416,0),2),"")</f>
        <v/>
      </c>
      <c r="D555" s="121" t="str">
        <f>IFERROR(VLOOKUP($C555,'Miljövrärden urval för publ'!$B$2:$H$416,MATCH('Miljövärden för publ företag'!D$4,'Miljövrärden urval för publ'!$B$2:$H$2,0),FALSE),"")</f>
        <v/>
      </c>
      <c r="E555" s="121" t="str">
        <f>IFERROR(VLOOKUP($C555,'Miljövrärden urval för publ'!$B$2:$H$416,MATCH('Miljövärden för publ företag'!E$4,'Miljövrärden urval för publ'!$B$2:$H$2,0),FALSE),"")</f>
        <v/>
      </c>
      <c r="F555" s="121" t="str">
        <f>IFERROR(VLOOKUP($C555,'Miljövrärden urval för publ'!$B$2:$H$416,MATCH('Miljövärden för publ företag'!F$4,'Miljövrärden urval för publ'!$B$2:$H$2,0),FALSE),"")</f>
        <v/>
      </c>
      <c r="G555" s="121" t="str">
        <f>IFERROR(VLOOKUP($C555,'Miljövrärden urval för publ'!$B$2:$H$416,MATCH('Miljövärden för publ företag'!G$4,'Miljövrärden urval för publ'!$B$2:$H$2,0),FALSE),"")</f>
        <v/>
      </c>
    </row>
    <row r="556" spans="2:7" x14ac:dyDescent="0.25">
      <c r="B556" s="121" t="str">
        <f>IFERROR(INDEX('Miljövrärden urval för publ'!$A$2:$AA$419,MATCH('Miljövärden för publ företag'!$A556,'Miljövrärden urval för publ'!$R$2:$R$416,0),1),"")</f>
        <v/>
      </c>
      <c r="C556" s="121" t="str">
        <f>IFERROR(INDEX('Miljövrärden urval för publ'!$A$2:$AA$419,MATCH('Miljövärden för publ företag'!$A556,'Miljövrärden urval för publ'!$R$2:$R$416,0),2),"")</f>
        <v/>
      </c>
      <c r="D556" s="121" t="str">
        <f>IFERROR(VLOOKUP($C556,'Miljövrärden urval för publ'!$B$2:$H$416,MATCH('Miljövärden för publ företag'!D$4,'Miljövrärden urval för publ'!$B$2:$H$2,0),FALSE),"")</f>
        <v/>
      </c>
      <c r="E556" s="121" t="str">
        <f>IFERROR(VLOOKUP($C556,'Miljövrärden urval för publ'!$B$2:$H$416,MATCH('Miljövärden för publ företag'!E$4,'Miljövrärden urval för publ'!$B$2:$H$2,0),FALSE),"")</f>
        <v/>
      </c>
      <c r="F556" s="121" t="str">
        <f>IFERROR(VLOOKUP($C556,'Miljövrärden urval för publ'!$B$2:$H$416,MATCH('Miljövärden för publ företag'!F$4,'Miljövrärden urval för publ'!$B$2:$H$2,0),FALSE),"")</f>
        <v/>
      </c>
      <c r="G556" s="121" t="str">
        <f>IFERROR(VLOOKUP($C556,'Miljövrärden urval för publ'!$B$2:$H$416,MATCH('Miljövärden för publ företag'!G$4,'Miljövrärden urval för publ'!$B$2:$H$2,0),FALSE),"")</f>
        <v/>
      </c>
    </row>
    <row r="557" spans="2:7" x14ac:dyDescent="0.25">
      <c r="B557" s="121" t="str">
        <f>IFERROR(INDEX('Miljövrärden urval för publ'!$A$2:$AA$419,MATCH('Miljövärden för publ företag'!$A557,'Miljövrärden urval för publ'!$R$2:$R$416,0),1),"")</f>
        <v/>
      </c>
      <c r="C557" s="121" t="str">
        <f>IFERROR(INDEX('Miljövrärden urval för publ'!$A$2:$AA$419,MATCH('Miljövärden för publ företag'!$A557,'Miljövrärden urval för publ'!$R$2:$R$416,0),2),"")</f>
        <v/>
      </c>
      <c r="D557" s="121" t="str">
        <f>IFERROR(VLOOKUP($C557,'Miljövrärden urval för publ'!$B$2:$H$416,MATCH('Miljövärden för publ företag'!D$4,'Miljövrärden urval för publ'!$B$2:$H$2,0),FALSE),"")</f>
        <v/>
      </c>
      <c r="E557" s="121" t="str">
        <f>IFERROR(VLOOKUP($C557,'Miljövrärden urval för publ'!$B$2:$H$416,MATCH('Miljövärden för publ företag'!E$4,'Miljövrärden urval för publ'!$B$2:$H$2,0),FALSE),"")</f>
        <v/>
      </c>
      <c r="F557" s="121" t="str">
        <f>IFERROR(VLOOKUP($C557,'Miljövrärden urval för publ'!$B$2:$H$416,MATCH('Miljövärden för publ företag'!F$4,'Miljövrärden urval för publ'!$B$2:$H$2,0),FALSE),"")</f>
        <v/>
      </c>
      <c r="G557" s="121" t="str">
        <f>IFERROR(VLOOKUP($C557,'Miljövrärden urval för publ'!$B$2:$H$416,MATCH('Miljövärden för publ företag'!G$4,'Miljövrärden urval för publ'!$B$2:$H$2,0),FALSE),"")</f>
        <v/>
      </c>
    </row>
    <row r="558" spans="2:7" x14ac:dyDescent="0.25">
      <c r="B558" s="121" t="str">
        <f>IFERROR(INDEX('Miljövrärden urval för publ'!$A$2:$AA$419,MATCH('Miljövärden för publ företag'!$A558,'Miljövrärden urval för publ'!$R$2:$R$416,0),1),"")</f>
        <v/>
      </c>
      <c r="C558" s="121" t="str">
        <f>IFERROR(INDEX('Miljövrärden urval för publ'!$A$2:$AA$419,MATCH('Miljövärden för publ företag'!$A558,'Miljövrärden urval för publ'!$R$2:$R$416,0),2),"")</f>
        <v/>
      </c>
      <c r="D558" s="121" t="str">
        <f>IFERROR(VLOOKUP($C558,'Miljövrärden urval för publ'!$B$2:$H$416,MATCH('Miljövärden för publ företag'!D$4,'Miljövrärden urval för publ'!$B$2:$H$2,0),FALSE),"")</f>
        <v/>
      </c>
      <c r="E558" s="121" t="str">
        <f>IFERROR(VLOOKUP($C558,'Miljövrärden urval för publ'!$B$2:$H$416,MATCH('Miljövärden för publ företag'!E$4,'Miljövrärden urval för publ'!$B$2:$H$2,0),FALSE),"")</f>
        <v/>
      </c>
      <c r="F558" s="121" t="str">
        <f>IFERROR(VLOOKUP($C558,'Miljövrärden urval för publ'!$B$2:$H$416,MATCH('Miljövärden för publ företag'!F$4,'Miljövrärden urval för publ'!$B$2:$H$2,0),FALSE),"")</f>
        <v/>
      </c>
      <c r="G558" s="121" t="str">
        <f>IFERROR(VLOOKUP($C558,'Miljövrärden urval för publ'!$B$2:$H$416,MATCH('Miljövärden för publ företag'!G$4,'Miljövrärden urval för publ'!$B$2:$H$2,0),FALSE),"")</f>
        <v/>
      </c>
    </row>
    <row r="559" spans="2:7" x14ac:dyDescent="0.25">
      <c r="B559" s="121" t="str">
        <f>IFERROR(INDEX('Miljövrärden urval för publ'!$A$2:$AA$419,MATCH('Miljövärden för publ företag'!$A559,'Miljövrärden urval för publ'!$R$2:$R$416,0),1),"")</f>
        <v/>
      </c>
      <c r="C559" s="121" t="str">
        <f>IFERROR(INDEX('Miljövrärden urval för publ'!$A$2:$AA$419,MATCH('Miljövärden för publ företag'!$A559,'Miljövrärden urval för publ'!$R$2:$R$416,0),2),"")</f>
        <v/>
      </c>
      <c r="D559" s="121" t="str">
        <f>IFERROR(VLOOKUP($C559,'Miljövrärden urval för publ'!$B$2:$H$416,MATCH('Miljövärden för publ företag'!D$4,'Miljövrärden urval för publ'!$B$2:$H$2,0),FALSE),"")</f>
        <v/>
      </c>
      <c r="E559" s="121" t="str">
        <f>IFERROR(VLOOKUP($C559,'Miljövrärden urval för publ'!$B$2:$H$416,MATCH('Miljövärden för publ företag'!E$4,'Miljövrärden urval för publ'!$B$2:$H$2,0),FALSE),"")</f>
        <v/>
      </c>
      <c r="F559" s="121" t="str">
        <f>IFERROR(VLOOKUP($C559,'Miljövrärden urval för publ'!$B$2:$H$416,MATCH('Miljövärden för publ företag'!F$4,'Miljövrärden urval för publ'!$B$2:$H$2,0),FALSE),"")</f>
        <v/>
      </c>
      <c r="G559" s="121" t="str">
        <f>IFERROR(VLOOKUP($C559,'Miljövrärden urval för publ'!$B$2:$H$416,MATCH('Miljövärden för publ företag'!G$4,'Miljövrärden urval för publ'!$B$2:$H$2,0),FALSE),"")</f>
        <v/>
      </c>
    </row>
    <row r="560" spans="2:7" x14ac:dyDescent="0.25">
      <c r="B560" s="121" t="str">
        <f>IFERROR(INDEX('Miljövrärden urval för publ'!$A$2:$AA$419,MATCH('Miljövärden för publ företag'!$A560,'Miljövrärden urval för publ'!$R$2:$R$416,0),1),"")</f>
        <v/>
      </c>
      <c r="C560" s="121" t="str">
        <f>IFERROR(INDEX('Miljövrärden urval för publ'!$A$2:$AA$419,MATCH('Miljövärden för publ företag'!$A560,'Miljövrärden urval för publ'!$R$2:$R$416,0),2),"")</f>
        <v/>
      </c>
      <c r="D560" s="121" t="str">
        <f>IFERROR(VLOOKUP($C560,'Miljövrärden urval för publ'!$B$2:$H$416,MATCH('Miljövärden för publ företag'!D$4,'Miljövrärden urval för publ'!$B$2:$H$2,0),FALSE),"")</f>
        <v/>
      </c>
      <c r="E560" s="121" t="str">
        <f>IFERROR(VLOOKUP($C560,'Miljövrärden urval för publ'!$B$2:$H$416,MATCH('Miljövärden för publ företag'!E$4,'Miljövrärden urval för publ'!$B$2:$H$2,0),FALSE),"")</f>
        <v/>
      </c>
      <c r="F560" s="121" t="str">
        <f>IFERROR(VLOOKUP($C560,'Miljövrärden urval för publ'!$B$2:$H$416,MATCH('Miljövärden för publ företag'!F$4,'Miljövrärden urval för publ'!$B$2:$H$2,0),FALSE),"")</f>
        <v/>
      </c>
      <c r="G560" s="121" t="str">
        <f>IFERROR(VLOOKUP($C560,'Miljövrärden urval för publ'!$B$2:$H$416,MATCH('Miljövärden för publ företag'!G$4,'Miljövrärden urval för publ'!$B$2:$H$2,0),FALSE),"")</f>
        <v/>
      </c>
    </row>
    <row r="561" spans="2:7" x14ac:dyDescent="0.25">
      <c r="B561" s="121" t="str">
        <f>IFERROR(INDEX('Miljövrärden urval för publ'!$A$2:$AA$419,MATCH('Miljövärden för publ företag'!$A561,'Miljövrärden urval för publ'!$R$2:$R$416,0),1),"")</f>
        <v/>
      </c>
      <c r="C561" s="121" t="str">
        <f>IFERROR(INDEX('Miljövrärden urval för publ'!$A$2:$AA$419,MATCH('Miljövärden för publ företag'!$A561,'Miljövrärden urval för publ'!$R$2:$R$416,0),2),"")</f>
        <v/>
      </c>
      <c r="D561" s="121" t="str">
        <f>IFERROR(VLOOKUP($C561,'Miljövrärden urval för publ'!$B$2:$H$416,MATCH('Miljövärden för publ företag'!D$4,'Miljövrärden urval för publ'!$B$2:$H$2,0),FALSE),"")</f>
        <v/>
      </c>
      <c r="E561" s="121" t="str">
        <f>IFERROR(VLOOKUP($C561,'Miljövrärden urval för publ'!$B$2:$H$416,MATCH('Miljövärden för publ företag'!E$4,'Miljövrärden urval för publ'!$B$2:$H$2,0),FALSE),"")</f>
        <v/>
      </c>
      <c r="F561" s="121" t="str">
        <f>IFERROR(VLOOKUP($C561,'Miljövrärden urval för publ'!$B$2:$H$416,MATCH('Miljövärden för publ företag'!F$4,'Miljövrärden urval för publ'!$B$2:$H$2,0),FALSE),"")</f>
        <v/>
      </c>
      <c r="G561" s="121" t="str">
        <f>IFERROR(VLOOKUP($C561,'Miljövrärden urval för publ'!$B$2:$H$416,MATCH('Miljövärden för publ företag'!G$4,'Miljövrärden urval för publ'!$B$2:$H$2,0),FALSE),"")</f>
        <v/>
      </c>
    </row>
    <row r="562" spans="2:7" x14ac:dyDescent="0.25">
      <c r="B562" s="121" t="str">
        <f>IFERROR(INDEX('Miljövrärden urval för publ'!$A$2:$AA$419,MATCH('Miljövärden för publ företag'!$A562,'Miljövrärden urval för publ'!$R$2:$R$416,0),1),"")</f>
        <v/>
      </c>
      <c r="C562" s="121" t="str">
        <f>IFERROR(INDEX('Miljövrärden urval för publ'!$A$2:$AA$419,MATCH('Miljövärden för publ företag'!$A562,'Miljövrärden urval för publ'!$R$2:$R$416,0),2),"")</f>
        <v/>
      </c>
      <c r="D562" s="121" t="str">
        <f>IFERROR(VLOOKUP($C562,'Miljövrärden urval för publ'!$B$2:$H$416,MATCH('Miljövärden för publ företag'!D$4,'Miljövrärden urval för publ'!$B$2:$H$2,0),FALSE),"")</f>
        <v/>
      </c>
      <c r="E562" s="121" t="str">
        <f>IFERROR(VLOOKUP($C562,'Miljövrärden urval för publ'!$B$2:$H$416,MATCH('Miljövärden för publ företag'!E$4,'Miljövrärden urval för publ'!$B$2:$H$2,0),FALSE),"")</f>
        <v/>
      </c>
      <c r="F562" s="121" t="str">
        <f>IFERROR(VLOOKUP($C562,'Miljövrärden urval för publ'!$B$2:$H$416,MATCH('Miljövärden för publ företag'!F$4,'Miljövrärden urval för publ'!$B$2:$H$2,0),FALSE),"")</f>
        <v/>
      </c>
      <c r="G562" s="121" t="str">
        <f>IFERROR(VLOOKUP($C562,'Miljövrärden urval för publ'!$B$2:$H$416,MATCH('Miljövärden för publ företag'!G$4,'Miljövrärden urval för publ'!$B$2:$H$2,0),FALSE),"")</f>
        <v/>
      </c>
    </row>
    <row r="563" spans="2:7" x14ac:dyDescent="0.25">
      <c r="B563" s="121" t="str">
        <f>IFERROR(INDEX('Miljövrärden urval för publ'!$A$2:$AA$419,MATCH('Miljövärden för publ företag'!$A563,'Miljövrärden urval för publ'!$R$2:$R$416,0),1),"")</f>
        <v/>
      </c>
      <c r="C563" s="121" t="str">
        <f>IFERROR(INDEX('Miljövrärden urval för publ'!$A$2:$AA$419,MATCH('Miljövärden för publ företag'!$A563,'Miljövrärden urval för publ'!$R$2:$R$416,0),2),"")</f>
        <v/>
      </c>
      <c r="D563" s="121" t="str">
        <f>IFERROR(VLOOKUP($C563,'Miljövrärden urval för publ'!$B$2:$H$416,MATCH('Miljövärden för publ företag'!D$4,'Miljövrärden urval för publ'!$B$2:$H$2,0),FALSE),"")</f>
        <v/>
      </c>
      <c r="E563" s="121" t="str">
        <f>IFERROR(VLOOKUP($C563,'Miljövrärden urval för publ'!$B$2:$H$416,MATCH('Miljövärden för publ företag'!E$4,'Miljövrärden urval för publ'!$B$2:$H$2,0),FALSE),"")</f>
        <v/>
      </c>
      <c r="F563" s="121" t="str">
        <f>IFERROR(VLOOKUP($C563,'Miljövrärden urval för publ'!$B$2:$H$416,MATCH('Miljövärden för publ företag'!F$4,'Miljövrärden urval för publ'!$B$2:$H$2,0),FALSE),"")</f>
        <v/>
      </c>
      <c r="G563" s="121" t="str">
        <f>IFERROR(VLOOKUP($C563,'Miljövrärden urval för publ'!$B$2:$H$416,MATCH('Miljövärden för publ företag'!G$4,'Miljövrärden urval för publ'!$B$2:$H$2,0),FALSE),"")</f>
        <v/>
      </c>
    </row>
    <row r="564" spans="2:7" x14ac:dyDescent="0.25">
      <c r="B564" s="121" t="str">
        <f>IFERROR(INDEX('Miljövrärden urval för publ'!$A$2:$AA$419,MATCH('Miljövärden för publ företag'!$A564,'Miljövrärden urval för publ'!$R$2:$R$416,0),1),"")</f>
        <v/>
      </c>
      <c r="C564" s="121" t="str">
        <f>IFERROR(INDEX('Miljövrärden urval för publ'!$A$2:$AA$419,MATCH('Miljövärden för publ företag'!$A564,'Miljövrärden urval för publ'!$R$2:$R$416,0),2),"")</f>
        <v/>
      </c>
      <c r="D564" s="121" t="str">
        <f>IFERROR(VLOOKUP($C564,'Miljövrärden urval för publ'!$B$2:$H$416,MATCH('Miljövärden för publ företag'!D$4,'Miljövrärden urval för publ'!$B$2:$H$2,0),FALSE),"")</f>
        <v/>
      </c>
      <c r="E564" s="121" t="str">
        <f>IFERROR(VLOOKUP($C564,'Miljövrärden urval för publ'!$B$2:$H$416,MATCH('Miljövärden för publ företag'!E$4,'Miljövrärden urval för publ'!$B$2:$H$2,0),FALSE),"")</f>
        <v/>
      </c>
      <c r="F564" s="121" t="str">
        <f>IFERROR(VLOOKUP($C564,'Miljövrärden urval för publ'!$B$2:$H$416,MATCH('Miljövärden för publ företag'!F$4,'Miljövrärden urval för publ'!$B$2:$H$2,0),FALSE),"")</f>
        <v/>
      </c>
      <c r="G564" s="121" t="str">
        <f>IFERROR(VLOOKUP($C564,'Miljövrärden urval för publ'!$B$2:$H$416,MATCH('Miljövärden för publ företag'!G$4,'Miljövrärden urval för publ'!$B$2:$H$2,0),FALSE),"")</f>
        <v/>
      </c>
    </row>
    <row r="565" spans="2:7" x14ac:dyDescent="0.25">
      <c r="B565" s="121" t="str">
        <f>IFERROR(INDEX('Miljövrärden urval för publ'!$A$2:$AA$419,MATCH('Miljövärden för publ företag'!$A565,'Miljövrärden urval för publ'!$R$2:$R$416,0),1),"")</f>
        <v/>
      </c>
      <c r="C565" s="121" t="str">
        <f>IFERROR(INDEX('Miljövrärden urval för publ'!$A$2:$AA$419,MATCH('Miljövärden för publ företag'!$A565,'Miljövrärden urval för publ'!$R$2:$R$416,0),2),"")</f>
        <v/>
      </c>
      <c r="D565" s="121" t="str">
        <f>IFERROR(VLOOKUP($C565,'Miljövrärden urval för publ'!$B$2:$H$416,MATCH('Miljövärden för publ företag'!D$4,'Miljövrärden urval för publ'!$B$2:$H$2,0),FALSE),"")</f>
        <v/>
      </c>
      <c r="E565" s="121" t="str">
        <f>IFERROR(VLOOKUP($C565,'Miljövrärden urval för publ'!$B$2:$H$416,MATCH('Miljövärden för publ företag'!E$4,'Miljövrärden urval för publ'!$B$2:$H$2,0),FALSE),"")</f>
        <v/>
      </c>
      <c r="F565" s="121" t="str">
        <f>IFERROR(VLOOKUP($C565,'Miljövrärden urval för publ'!$B$2:$H$416,MATCH('Miljövärden för publ företag'!F$4,'Miljövrärden urval för publ'!$B$2:$H$2,0),FALSE),"")</f>
        <v/>
      </c>
      <c r="G565" s="121" t="str">
        <f>IFERROR(VLOOKUP($C565,'Miljövrärden urval för publ'!$B$2:$H$416,MATCH('Miljövärden för publ företag'!G$4,'Miljövrärden urval för publ'!$B$2:$H$2,0),FALSE),"")</f>
        <v/>
      </c>
    </row>
    <row r="566" spans="2:7" x14ac:dyDescent="0.25">
      <c r="B566" s="121" t="str">
        <f>IFERROR(INDEX('Miljövrärden urval för publ'!$A$2:$AA$419,MATCH('Miljövärden för publ företag'!$A566,'Miljövrärden urval för publ'!$R$2:$R$416,0),1),"")</f>
        <v/>
      </c>
      <c r="C566" s="121" t="str">
        <f>IFERROR(INDEX('Miljövrärden urval för publ'!$A$2:$AA$419,MATCH('Miljövärden för publ företag'!$A566,'Miljövrärden urval för publ'!$R$2:$R$416,0),2),"")</f>
        <v/>
      </c>
      <c r="D566" s="121" t="str">
        <f>IFERROR(VLOOKUP($C566,'Miljövrärden urval för publ'!$B$2:$H$416,MATCH('Miljövärden för publ företag'!D$4,'Miljövrärden urval för publ'!$B$2:$H$2,0),FALSE),"")</f>
        <v/>
      </c>
      <c r="E566" s="121" t="str">
        <f>IFERROR(VLOOKUP($C566,'Miljövrärden urval för publ'!$B$2:$H$416,MATCH('Miljövärden för publ företag'!E$4,'Miljövrärden urval för publ'!$B$2:$H$2,0),FALSE),"")</f>
        <v/>
      </c>
      <c r="F566" s="121" t="str">
        <f>IFERROR(VLOOKUP($C566,'Miljövrärden urval för publ'!$B$2:$H$416,MATCH('Miljövärden för publ företag'!F$4,'Miljövrärden urval för publ'!$B$2:$H$2,0),FALSE),"")</f>
        <v/>
      </c>
      <c r="G566" s="121" t="str">
        <f>IFERROR(VLOOKUP($C566,'Miljövrärden urval för publ'!$B$2:$H$416,MATCH('Miljövärden för publ företag'!G$4,'Miljövrärden urval för publ'!$B$2:$H$2,0),FALSE),"")</f>
        <v/>
      </c>
    </row>
    <row r="567" spans="2:7" x14ac:dyDescent="0.25">
      <c r="B567" s="121" t="str">
        <f>IFERROR(INDEX('Miljövrärden urval för publ'!$A$2:$AA$419,MATCH('Miljövärden för publ företag'!$A567,'Miljövrärden urval för publ'!$R$2:$R$416,0),1),"")</f>
        <v/>
      </c>
      <c r="C567" s="121" t="str">
        <f>IFERROR(INDEX('Miljövrärden urval för publ'!$A$2:$AA$419,MATCH('Miljövärden för publ företag'!$A567,'Miljövrärden urval för publ'!$R$2:$R$416,0),2),"")</f>
        <v/>
      </c>
      <c r="D567" s="121" t="str">
        <f>IFERROR(VLOOKUP($C567,'Miljövrärden urval för publ'!$B$2:$H$416,MATCH('Miljövärden för publ företag'!D$4,'Miljövrärden urval för publ'!$B$2:$H$2,0),FALSE),"")</f>
        <v/>
      </c>
      <c r="E567" s="121" t="str">
        <f>IFERROR(VLOOKUP($C567,'Miljövrärden urval för publ'!$B$2:$H$416,MATCH('Miljövärden för publ företag'!E$4,'Miljövrärden urval för publ'!$B$2:$H$2,0),FALSE),"")</f>
        <v/>
      </c>
      <c r="F567" s="121" t="str">
        <f>IFERROR(VLOOKUP($C567,'Miljövrärden urval för publ'!$B$2:$H$416,MATCH('Miljövärden för publ företag'!F$4,'Miljövrärden urval för publ'!$B$2:$H$2,0),FALSE),"")</f>
        <v/>
      </c>
      <c r="G567" s="121" t="str">
        <f>IFERROR(VLOOKUP($C567,'Miljövrärden urval för publ'!$B$2:$H$416,MATCH('Miljövärden för publ företag'!G$4,'Miljövrärden urval för publ'!$B$2:$H$2,0),FALSE),"")</f>
        <v/>
      </c>
    </row>
    <row r="568" spans="2:7" x14ac:dyDescent="0.25">
      <c r="B568" s="121" t="str">
        <f>IFERROR(INDEX('Miljövrärden urval för publ'!$A$2:$AA$419,MATCH('Miljövärden för publ företag'!$A568,'Miljövrärden urval för publ'!$R$2:$R$416,0),1),"")</f>
        <v/>
      </c>
      <c r="C568" s="121" t="str">
        <f>IFERROR(INDEX('Miljövrärden urval för publ'!$A$2:$AA$419,MATCH('Miljövärden för publ företag'!$A568,'Miljövrärden urval för publ'!$R$2:$R$416,0),2),"")</f>
        <v/>
      </c>
      <c r="D568" s="121" t="str">
        <f>IFERROR(VLOOKUP($C568,'Miljövrärden urval för publ'!$B$2:$H$416,MATCH('Miljövärden för publ företag'!D$4,'Miljövrärden urval för publ'!$B$2:$H$2,0),FALSE),"")</f>
        <v/>
      </c>
      <c r="E568" s="121" t="str">
        <f>IFERROR(VLOOKUP($C568,'Miljövrärden urval för publ'!$B$2:$H$416,MATCH('Miljövärden för publ företag'!E$4,'Miljövrärden urval för publ'!$B$2:$H$2,0),FALSE),"")</f>
        <v/>
      </c>
      <c r="F568" s="121" t="str">
        <f>IFERROR(VLOOKUP($C568,'Miljövrärden urval för publ'!$B$2:$H$416,MATCH('Miljövärden för publ företag'!F$4,'Miljövrärden urval för publ'!$B$2:$H$2,0),FALSE),"")</f>
        <v/>
      </c>
      <c r="G568" s="121" t="str">
        <f>IFERROR(VLOOKUP($C568,'Miljövrärden urval för publ'!$B$2:$H$416,MATCH('Miljövärden för publ företag'!G$4,'Miljövrärden urval för publ'!$B$2:$H$2,0),FALSE),"")</f>
        <v/>
      </c>
    </row>
    <row r="569" spans="2:7" x14ac:dyDescent="0.25">
      <c r="B569" s="121" t="str">
        <f>IFERROR(INDEX('Miljövrärden urval för publ'!$A$2:$AA$419,MATCH('Miljövärden för publ företag'!$A569,'Miljövrärden urval för publ'!$R$2:$R$416,0),1),"")</f>
        <v/>
      </c>
      <c r="C569" s="121" t="str">
        <f>IFERROR(INDEX('Miljövrärden urval för publ'!$A$2:$AA$419,MATCH('Miljövärden för publ företag'!$A569,'Miljövrärden urval för publ'!$R$2:$R$416,0),2),"")</f>
        <v/>
      </c>
      <c r="D569" s="121" t="str">
        <f>IFERROR(VLOOKUP($C569,'Miljövrärden urval för publ'!$B$2:$H$416,MATCH('Miljövärden för publ företag'!D$4,'Miljövrärden urval för publ'!$B$2:$H$2,0),FALSE),"")</f>
        <v/>
      </c>
      <c r="E569" s="121" t="str">
        <f>IFERROR(VLOOKUP($C569,'Miljövrärden urval för publ'!$B$2:$H$416,MATCH('Miljövärden för publ företag'!E$4,'Miljövrärden urval för publ'!$B$2:$H$2,0),FALSE),"")</f>
        <v/>
      </c>
      <c r="F569" s="121" t="str">
        <f>IFERROR(VLOOKUP($C569,'Miljövrärden urval för publ'!$B$2:$H$416,MATCH('Miljövärden för publ företag'!F$4,'Miljövrärden urval för publ'!$B$2:$H$2,0),FALSE),"")</f>
        <v/>
      </c>
      <c r="G569" s="121" t="str">
        <f>IFERROR(VLOOKUP($C569,'Miljövrärden urval för publ'!$B$2:$H$416,MATCH('Miljövärden för publ företag'!G$4,'Miljövrärden urval för publ'!$B$2:$H$2,0),FALSE),"")</f>
        <v/>
      </c>
    </row>
    <row r="570" spans="2:7" x14ac:dyDescent="0.25">
      <c r="B570" s="121" t="str">
        <f>IFERROR(INDEX('Miljövrärden urval för publ'!$A$2:$AA$419,MATCH('Miljövärden för publ företag'!$A570,'Miljövrärden urval för publ'!$R$2:$R$416,0),1),"")</f>
        <v/>
      </c>
      <c r="C570" s="121" t="str">
        <f>IFERROR(INDEX('Miljövrärden urval för publ'!$A$2:$AA$419,MATCH('Miljövärden för publ företag'!$A570,'Miljövrärden urval för publ'!$R$2:$R$416,0),2),"")</f>
        <v/>
      </c>
      <c r="D570" s="121" t="str">
        <f>IFERROR(VLOOKUP($C570,'Miljövrärden urval för publ'!$B$2:$H$416,MATCH('Miljövärden för publ företag'!D$4,'Miljövrärden urval för publ'!$B$2:$H$2,0),FALSE),"")</f>
        <v/>
      </c>
      <c r="E570" s="121" t="str">
        <f>IFERROR(VLOOKUP($C570,'Miljövrärden urval för publ'!$B$2:$H$416,MATCH('Miljövärden för publ företag'!E$4,'Miljövrärden urval för publ'!$B$2:$H$2,0),FALSE),"")</f>
        <v/>
      </c>
      <c r="F570" s="121" t="str">
        <f>IFERROR(VLOOKUP($C570,'Miljövrärden urval för publ'!$B$2:$H$416,MATCH('Miljövärden för publ företag'!F$4,'Miljövrärden urval för publ'!$B$2:$H$2,0),FALSE),"")</f>
        <v/>
      </c>
      <c r="G570" s="121" t="str">
        <f>IFERROR(VLOOKUP($C570,'Miljövrärden urval för publ'!$B$2:$H$416,MATCH('Miljövärden för publ företag'!G$4,'Miljövrärden urval för publ'!$B$2:$H$2,0),FALSE),"")</f>
        <v/>
      </c>
    </row>
    <row r="571" spans="2:7" x14ac:dyDescent="0.25">
      <c r="B571" s="121" t="str">
        <f>IFERROR(INDEX('Miljövrärden urval för publ'!$A$2:$AA$419,MATCH('Miljövärden för publ företag'!$A571,'Miljövrärden urval för publ'!$R$2:$R$416,0),1),"")</f>
        <v/>
      </c>
      <c r="C571" s="121" t="str">
        <f>IFERROR(INDEX('Miljövrärden urval för publ'!$A$2:$AA$419,MATCH('Miljövärden för publ företag'!$A571,'Miljövrärden urval för publ'!$R$2:$R$416,0),2),"")</f>
        <v/>
      </c>
      <c r="D571" s="121" t="str">
        <f>IFERROR(VLOOKUP($C571,'Miljövrärden urval för publ'!$B$2:$H$416,MATCH('Miljövärden för publ företag'!D$4,'Miljövrärden urval för publ'!$B$2:$H$2,0),FALSE),"")</f>
        <v/>
      </c>
      <c r="E571" s="121" t="str">
        <f>IFERROR(VLOOKUP($C571,'Miljövrärden urval för publ'!$B$2:$H$416,MATCH('Miljövärden för publ företag'!E$4,'Miljövrärden urval för publ'!$B$2:$H$2,0),FALSE),"")</f>
        <v/>
      </c>
      <c r="F571" s="121" t="str">
        <f>IFERROR(VLOOKUP($C571,'Miljövrärden urval för publ'!$B$2:$H$416,MATCH('Miljövärden för publ företag'!F$4,'Miljövrärden urval för publ'!$B$2:$H$2,0),FALSE),"")</f>
        <v/>
      </c>
      <c r="G571" s="121" t="str">
        <f>IFERROR(VLOOKUP($C571,'Miljövrärden urval för publ'!$B$2:$H$416,MATCH('Miljövärden för publ företag'!G$4,'Miljövrärden urval för publ'!$B$2:$H$2,0),FALSE),"")</f>
        <v/>
      </c>
    </row>
    <row r="572" spans="2:7" x14ac:dyDescent="0.25">
      <c r="B572" s="121" t="str">
        <f>IFERROR(INDEX('Miljövrärden urval för publ'!$A$2:$AA$419,MATCH('Miljövärden för publ företag'!$A572,'Miljövrärden urval för publ'!$R$2:$R$416,0),1),"")</f>
        <v/>
      </c>
      <c r="C572" s="121" t="str">
        <f>IFERROR(INDEX('Miljövrärden urval för publ'!$A$2:$AA$419,MATCH('Miljövärden för publ företag'!$A572,'Miljövrärden urval för publ'!$R$2:$R$416,0),2),"")</f>
        <v/>
      </c>
      <c r="D572" s="121" t="str">
        <f>IFERROR(VLOOKUP($C572,'Miljövrärden urval för publ'!$B$2:$H$416,MATCH('Miljövärden för publ företag'!D$4,'Miljövrärden urval för publ'!$B$2:$H$2,0),FALSE),"")</f>
        <v/>
      </c>
      <c r="E572" s="121" t="str">
        <f>IFERROR(VLOOKUP($C572,'Miljövrärden urval för publ'!$B$2:$H$416,MATCH('Miljövärden för publ företag'!E$4,'Miljövrärden urval för publ'!$B$2:$H$2,0),FALSE),"")</f>
        <v/>
      </c>
      <c r="F572" s="121" t="str">
        <f>IFERROR(VLOOKUP($C572,'Miljövrärden urval för publ'!$B$2:$H$416,MATCH('Miljövärden för publ företag'!F$4,'Miljövrärden urval för publ'!$B$2:$H$2,0),FALSE),"")</f>
        <v/>
      </c>
      <c r="G572" s="121" t="str">
        <f>IFERROR(VLOOKUP($C572,'Miljövrärden urval för publ'!$B$2:$H$416,MATCH('Miljövärden för publ företag'!G$4,'Miljövrärden urval för publ'!$B$2:$H$2,0),FALSE),"")</f>
        <v/>
      </c>
    </row>
    <row r="573" spans="2:7" x14ac:dyDescent="0.25">
      <c r="B573" s="121" t="str">
        <f>IFERROR(INDEX('Miljövrärden urval för publ'!$A$2:$AA$419,MATCH('Miljövärden för publ företag'!$A573,'Miljövrärden urval för publ'!$R$2:$R$416,0),1),"")</f>
        <v/>
      </c>
      <c r="C573" s="121" t="str">
        <f>IFERROR(INDEX('Miljövrärden urval för publ'!$A$2:$AA$419,MATCH('Miljövärden för publ företag'!$A573,'Miljövrärden urval för publ'!$R$2:$R$416,0),2),"")</f>
        <v/>
      </c>
      <c r="D573" s="121" t="str">
        <f>IFERROR(VLOOKUP($C573,'Miljövrärden urval för publ'!$B$2:$H$416,MATCH('Miljövärden för publ företag'!D$4,'Miljövrärden urval för publ'!$B$2:$H$2,0),FALSE),"")</f>
        <v/>
      </c>
      <c r="E573" s="121" t="str">
        <f>IFERROR(VLOOKUP($C573,'Miljövrärden urval för publ'!$B$2:$H$416,MATCH('Miljövärden för publ företag'!E$4,'Miljövrärden urval för publ'!$B$2:$H$2,0),FALSE),"")</f>
        <v/>
      </c>
      <c r="F573" s="121" t="str">
        <f>IFERROR(VLOOKUP($C573,'Miljövrärden urval för publ'!$B$2:$H$416,MATCH('Miljövärden för publ företag'!F$4,'Miljövrärden urval för publ'!$B$2:$H$2,0),FALSE),"")</f>
        <v/>
      </c>
      <c r="G573" s="121" t="str">
        <f>IFERROR(VLOOKUP($C573,'Miljövrärden urval för publ'!$B$2:$H$416,MATCH('Miljövärden för publ företag'!G$4,'Miljövrärden urval för publ'!$B$2:$H$2,0),FALSE),"")</f>
        <v/>
      </c>
    </row>
    <row r="574" spans="2:7" x14ac:dyDescent="0.25">
      <c r="B574" s="121" t="str">
        <f>IFERROR(INDEX('Miljövrärden urval för publ'!$A$2:$AA$419,MATCH('Miljövärden för publ företag'!$A574,'Miljövrärden urval för publ'!$R$2:$R$416,0),1),"")</f>
        <v/>
      </c>
      <c r="C574" s="121" t="str">
        <f>IFERROR(INDEX('Miljövrärden urval för publ'!$A$2:$AA$419,MATCH('Miljövärden för publ företag'!$A574,'Miljövrärden urval för publ'!$R$2:$R$416,0),2),"")</f>
        <v/>
      </c>
      <c r="D574" s="121" t="str">
        <f>IFERROR(VLOOKUP($C574,'Miljövrärden urval för publ'!$B$2:$H$416,MATCH('Miljövärden för publ företag'!D$4,'Miljövrärden urval för publ'!$B$2:$H$2,0),FALSE),"")</f>
        <v/>
      </c>
      <c r="E574" s="121" t="str">
        <f>IFERROR(VLOOKUP($C574,'Miljövrärden urval för publ'!$B$2:$H$416,MATCH('Miljövärden för publ företag'!E$4,'Miljövrärden urval för publ'!$B$2:$H$2,0),FALSE),"")</f>
        <v/>
      </c>
      <c r="F574" s="121" t="str">
        <f>IFERROR(VLOOKUP($C574,'Miljövrärden urval för publ'!$B$2:$H$416,MATCH('Miljövärden för publ företag'!F$4,'Miljövrärden urval för publ'!$B$2:$H$2,0),FALSE),"")</f>
        <v/>
      </c>
      <c r="G574" s="121" t="str">
        <f>IFERROR(VLOOKUP($C574,'Miljövrärden urval för publ'!$B$2:$H$416,MATCH('Miljövärden för publ företag'!G$4,'Miljövrärden urval för publ'!$B$2:$H$2,0),FALSE),"")</f>
        <v/>
      </c>
    </row>
    <row r="575" spans="2:7" x14ac:dyDescent="0.25">
      <c r="B575" s="121" t="str">
        <f>IFERROR(INDEX('Miljövrärden urval för publ'!$A$2:$AA$419,MATCH('Miljövärden för publ företag'!$A575,'Miljövrärden urval för publ'!$R$2:$R$416,0),1),"")</f>
        <v/>
      </c>
      <c r="C575" s="121" t="str">
        <f>IFERROR(INDEX('Miljövrärden urval för publ'!$A$2:$AA$419,MATCH('Miljövärden för publ företag'!$A575,'Miljövrärden urval för publ'!$R$2:$R$416,0),2),"")</f>
        <v/>
      </c>
      <c r="D575" s="121" t="str">
        <f>IFERROR(VLOOKUP($C575,'Miljövrärden urval för publ'!$B$2:$H$416,MATCH('Miljövärden för publ företag'!D$4,'Miljövrärden urval för publ'!$B$2:$H$2,0),FALSE),"")</f>
        <v/>
      </c>
      <c r="E575" s="121" t="str">
        <f>IFERROR(VLOOKUP($C575,'Miljövrärden urval för publ'!$B$2:$H$416,MATCH('Miljövärden för publ företag'!E$4,'Miljövrärden urval för publ'!$B$2:$H$2,0),FALSE),"")</f>
        <v/>
      </c>
      <c r="F575" s="121" t="str">
        <f>IFERROR(VLOOKUP($C575,'Miljövrärden urval för publ'!$B$2:$H$416,MATCH('Miljövärden för publ företag'!F$4,'Miljövrärden urval för publ'!$B$2:$H$2,0),FALSE),"")</f>
        <v/>
      </c>
      <c r="G575" s="121" t="str">
        <f>IFERROR(VLOOKUP($C575,'Miljövrärden urval för publ'!$B$2:$H$416,MATCH('Miljövärden för publ företag'!G$4,'Miljövrärden urval för publ'!$B$2:$H$2,0),FALSE),"")</f>
        <v/>
      </c>
    </row>
    <row r="576" spans="2:7" x14ac:dyDescent="0.25">
      <c r="B576" s="121" t="str">
        <f>IFERROR(INDEX('Miljövrärden urval för publ'!$A$2:$AA$419,MATCH('Miljövärden för publ företag'!$A576,'Miljövrärden urval för publ'!$R$2:$R$416,0),1),"")</f>
        <v/>
      </c>
      <c r="C576" s="121" t="str">
        <f>IFERROR(INDEX('Miljövrärden urval för publ'!$A$2:$AA$419,MATCH('Miljövärden för publ företag'!$A576,'Miljövrärden urval för publ'!$R$2:$R$416,0),2),"")</f>
        <v/>
      </c>
      <c r="D576" s="121" t="str">
        <f>IFERROR(VLOOKUP($C576,'Miljövrärden urval för publ'!$B$2:$H$416,MATCH('Miljövärden för publ företag'!D$4,'Miljövrärden urval för publ'!$B$2:$H$2,0),FALSE),"")</f>
        <v/>
      </c>
      <c r="E576" s="121" t="str">
        <f>IFERROR(VLOOKUP($C576,'Miljövrärden urval för publ'!$B$2:$H$416,MATCH('Miljövärden för publ företag'!E$4,'Miljövrärden urval för publ'!$B$2:$H$2,0),FALSE),"")</f>
        <v/>
      </c>
      <c r="F576" s="121" t="str">
        <f>IFERROR(VLOOKUP($C576,'Miljövrärden urval för publ'!$B$2:$H$416,MATCH('Miljövärden för publ företag'!F$4,'Miljövrärden urval för publ'!$B$2:$H$2,0),FALSE),"")</f>
        <v/>
      </c>
      <c r="G576" s="121" t="str">
        <f>IFERROR(VLOOKUP($C576,'Miljövrärden urval för publ'!$B$2:$H$416,MATCH('Miljövärden för publ företag'!G$4,'Miljövrärden urval för publ'!$B$2:$H$2,0),FALSE),"")</f>
        <v/>
      </c>
    </row>
    <row r="577" spans="2:7" x14ac:dyDescent="0.25">
      <c r="B577" s="121" t="str">
        <f>IFERROR(INDEX('Miljövrärden urval för publ'!$A$2:$AA$419,MATCH('Miljövärden för publ företag'!$A577,'Miljövrärden urval för publ'!$R$2:$R$416,0),1),"")</f>
        <v/>
      </c>
      <c r="C577" s="121" t="str">
        <f>IFERROR(INDEX('Miljövrärden urval för publ'!$A$2:$AA$419,MATCH('Miljövärden för publ företag'!$A577,'Miljövrärden urval för publ'!$R$2:$R$416,0),2),"")</f>
        <v/>
      </c>
      <c r="D577" s="121" t="str">
        <f>IFERROR(VLOOKUP($C577,'Miljövrärden urval för publ'!$B$2:$H$416,MATCH('Miljövärden för publ företag'!D$4,'Miljövrärden urval för publ'!$B$2:$H$2,0),FALSE),"")</f>
        <v/>
      </c>
      <c r="E577" s="121" t="str">
        <f>IFERROR(VLOOKUP($C577,'Miljövrärden urval för publ'!$B$2:$H$416,MATCH('Miljövärden för publ företag'!E$4,'Miljövrärden urval för publ'!$B$2:$H$2,0),FALSE),"")</f>
        <v/>
      </c>
      <c r="F577" s="121" t="str">
        <f>IFERROR(VLOOKUP($C577,'Miljövrärden urval för publ'!$B$2:$H$416,MATCH('Miljövärden för publ företag'!F$4,'Miljövrärden urval för publ'!$B$2:$H$2,0),FALSE),"")</f>
        <v/>
      </c>
      <c r="G577" s="121" t="str">
        <f>IFERROR(VLOOKUP($C577,'Miljövrärden urval för publ'!$B$2:$H$416,MATCH('Miljövärden för publ företag'!G$4,'Miljövrärden urval för publ'!$B$2:$H$2,0),FALSE),"")</f>
        <v/>
      </c>
    </row>
    <row r="578" spans="2:7" x14ac:dyDescent="0.25">
      <c r="B578" s="121" t="str">
        <f>IFERROR(INDEX('Miljövrärden urval för publ'!$A$2:$AA$419,MATCH('Miljövärden för publ företag'!$A578,'Miljövrärden urval för publ'!$R$2:$R$416,0),1),"")</f>
        <v/>
      </c>
      <c r="C578" s="121" t="str">
        <f>IFERROR(INDEX('Miljövrärden urval för publ'!$A$2:$AA$419,MATCH('Miljövärden för publ företag'!$A578,'Miljövrärden urval för publ'!$R$2:$R$416,0),2),"")</f>
        <v/>
      </c>
      <c r="D578" s="121" t="str">
        <f>IFERROR(VLOOKUP($C578,'Miljövrärden urval för publ'!$B$2:$H$416,MATCH('Miljövärden för publ företag'!D$4,'Miljövrärden urval för publ'!$B$2:$H$2,0),FALSE),"")</f>
        <v/>
      </c>
      <c r="E578" s="121" t="str">
        <f>IFERROR(VLOOKUP($C578,'Miljövrärden urval för publ'!$B$2:$H$416,MATCH('Miljövärden för publ företag'!E$4,'Miljövrärden urval för publ'!$B$2:$H$2,0),FALSE),"")</f>
        <v/>
      </c>
      <c r="F578" s="121" t="str">
        <f>IFERROR(VLOOKUP($C578,'Miljövrärden urval för publ'!$B$2:$H$416,MATCH('Miljövärden för publ företag'!F$4,'Miljövrärden urval för publ'!$B$2:$H$2,0),FALSE),"")</f>
        <v/>
      </c>
      <c r="G578" s="121" t="str">
        <f>IFERROR(VLOOKUP($C578,'Miljövrärden urval för publ'!$B$2:$H$416,MATCH('Miljövärden för publ företag'!G$4,'Miljövrärden urval för publ'!$B$2:$H$2,0),FALSE),"")</f>
        <v/>
      </c>
    </row>
    <row r="579" spans="2:7" x14ac:dyDescent="0.25">
      <c r="B579" s="121" t="str">
        <f>IFERROR(INDEX('Miljövrärden urval för publ'!$A$2:$AA$419,MATCH('Miljövärden för publ företag'!$A579,'Miljövrärden urval för publ'!$R$2:$R$416,0),1),"")</f>
        <v/>
      </c>
      <c r="C579" s="121" t="str">
        <f>IFERROR(INDEX('Miljövrärden urval för publ'!$A$2:$AA$419,MATCH('Miljövärden för publ företag'!$A579,'Miljövrärden urval för publ'!$R$2:$R$416,0),2),"")</f>
        <v/>
      </c>
      <c r="D579" s="121" t="str">
        <f>IFERROR(VLOOKUP($C579,'Miljövrärden urval för publ'!$B$2:$H$416,MATCH('Miljövärden för publ företag'!D$4,'Miljövrärden urval för publ'!$B$2:$H$2,0),FALSE),"")</f>
        <v/>
      </c>
      <c r="E579" s="121" t="str">
        <f>IFERROR(VLOOKUP($C579,'Miljövrärden urval för publ'!$B$2:$H$416,MATCH('Miljövärden för publ företag'!E$4,'Miljövrärden urval för publ'!$B$2:$H$2,0),FALSE),"")</f>
        <v/>
      </c>
      <c r="F579" s="121" t="str">
        <f>IFERROR(VLOOKUP($C579,'Miljövrärden urval för publ'!$B$2:$H$416,MATCH('Miljövärden för publ företag'!F$4,'Miljövrärden urval för publ'!$B$2:$H$2,0),FALSE),"")</f>
        <v/>
      </c>
      <c r="G579" s="121" t="str">
        <f>IFERROR(VLOOKUP($C579,'Miljövrärden urval för publ'!$B$2:$H$416,MATCH('Miljövärden för publ företag'!G$4,'Miljövrärden urval för publ'!$B$2:$H$2,0),FALSE),"")</f>
        <v/>
      </c>
    </row>
    <row r="580" spans="2:7" x14ac:dyDescent="0.25">
      <c r="B580" s="121" t="str">
        <f>IFERROR(INDEX('Miljövrärden urval för publ'!$A$2:$AA$419,MATCH('Miljövärden för publ företag'!$A580,'Miljövrärden urval för publ'!$R$2:$R$416,0),1),"")</f>
        <v/>
      </c>
      <c r="C580" s="121" t="str">
        <f>IFERROR(INDEX('Miljövrärden urval för publ'!$A$2:$AA$419,MATCH('Miljövärden för publ företag'!$A580,'Miljövrärden urval för publ'!$R$2:$R$416,0),2),"")</f>
        <v/>
      </c>
      <c r="D580" s="121" t="str">
        <f>IFERROR(VLOOKUP($C580,'Miljövrärden urval för publ'!$B$2:$H$416,MATCH('Miljövärden för publ företag'!D$4,'Miljövrärden urval för publ'!$B$2:$H$2,0),FALSE),"")</f>
        <v/>
      </c>
      <c r="E580" s="121" t="str">
        <f>IFERROR(VLOOKUP($C580,'Miljövrärden urval för publ'!$B$2:$H$416,MATCH('Miljövärden för publ företag'!E$4,'Miljövrärden urval för publ'!$B$2:$H$2,0),FALSE),"")</f>
        <v/>
      </c>
      <c r="F580" s="121" t="str">
        <f>IFERROR(VLOOKUP($C580,'Miljövrärden urval för publ'!$B$2:$H$416,MATCH('Miljövärden för publ företag'!F$4,'Miljövrärden urval för publ'!$B$2:$H$2,0),FALSE),"")</f>
        <v/>
      </c>
      <c r="G580" s="121" t="str">
        <f>IFERROR(VLOOKUP($C580,'Miljövrärden urval för publ'!$B$2:$H$416,MATCH('Miljövärden för publ företag'!G$4,'Miljövrärden urval för publ'!$B$2:$H$2,0),FALSE),"")</f>
        <v/>
      </c>
    </row>
    <row r="581" spans="2:7" x14ac:dyDescent="0.25">
      <c r="B581" s="121" t="str">
        <f>IFERROR(INDEX('Miljövrärden urval för publ'!$A$2:$AA$419,MATCH('Miljövärden för publ företag'!$A581,'Miljövrärden urval för publ'!$R$2:$R$416,0),1),"")</f>
        <v/>
      </c>
      <c r="C581" s="121" t="str">
        <f>IFERROR(INDEX('Miljövrärden urval för publ'!$A$2:$AA$419,MATCH('Miljövärden för publ företag'!$A581,'Miljövrärden urval för publ'!$R$2:$R$416,0),2),"")</f>
        <v/>
      </c>
      <c r="D581" s="121" t="str">
        <f>IFERROR(VLOOKUP($C581,'Miljövrärden urval för publ'!$B$2:$H$416,MATCH('Miljövärden för publ företag'!D$4,'Miljövrärden urval för publ'!$B$2:$H$2,0),FALSE),"")</f>
        <v/>
      </c>
      <c r="E581" s="121" t="str">
        <f>IFERROR(VLOOKUP($C581,'Miljövrärden urval för publ'!$B$2:$H$416,MATCH('Miljövärden för publ företag'!E$4,'Miljövrärden urval för publ'!$B$2:$H$2,0),FALSE),"")</f>
        <v/>
      </c>
      <c r="F581" s="121" t="str">
        <f>IFERROR(VLOOKUP($C581,'Miljövrärden urval för publ'!$B$2:$H$416,MATCH('Miljövärden för publ företag'!F$4,'Miljövrärden urval för publ'!$B$2:$H$2,0),FALSE),"")</f>
        <v/>
      </c>
      <c r="G581" s="121" t="str">
        <f>IFERROR(VLOOKUP($C581,'Miljövrärden urval för publ'!$B$2:$H$416,MATCH('Miljövärden för publ företag'!G$4,'Miljövrärden urval för publ'!$B$2:$H$2,0),FALSE),"")</f>
        <v/>
      </c>
    </row>
    <row r="582" spans="2:7" x14ac:dyDescent="0.25">
      <c r="B582" s="121" t="str">
        <f>IFERROR(INDEX('Miljövrärden urval för publ'!$A$2:$AA$419,MATCH('Miljövärden för publ företag'!$A582,'Miljövrärden urval för publ'!$R$2:$R$416,0),1),"")</f>
        <v/>
      </c>
      <c r="C582" s="121" t="str">
        <f>IFERROR(INDEX('Miljövrärden urval för publ'!$A$2:$AA$419,MATCH('Miljövärden för publ företag'!$A582,'Miljövrärden urval för publ'!$R$2:$R$416,0),2),"")</f>
        <v/>
      </c>
      <c r="D582" s="121" t="str">
        <f>IFERROR(VLOOKUP($C582,'Miljövrärden urval för publ'!$B$2:$H$416,MATCH('Miljövärden för publ företag'!D$4,'Miljövrärden urval för publ'!$B$2:$H$2,0),FALSE),"")</f>
        <v/>
      </c>
      <c r="E582" s="121" t="str">
        <f>IFERROR(VLOOKUP($C582,'Miljövrärden urval för publ'!$B$2:$H$416,MATCH('Miljövärden för publ företag'!E$4,'Miljövrärden urval för publ'!$B$2:$H$2,0),FALSE),"")</f>
        <v/>
      </c>
      <c r="F582" s="121" t="str">
        <f>IFERROR(VLOOKUP($C582,'Miljövrärden urval för publ'!$B$2:$H$416,MATCH('Miljövärden för publ företag'!F$4,'Miljövrärden urval för publ'!$B$2:$H$2,0),FALSE),"")</f>
        <v/>
      </c>
      <c r="G582" s="121" t="str">
        <f>IFERROR(VLOOKUP($C582,'Miljövrärden urval för publ'!$B$2:$H$416,MATCH('Miljövärden för publ företag'!G$4,'Miljövrärden urval för publ'!$B$2:$H$2,0),FALSE),"")</f>
        <v/>
      </c>
    </row>
    <row r="583" spans="2:7" x14ac:dyDescent="0.25">
      <c r="B583" s="121" t="str">
        <f>IFERROR(INDEX('Miljövrärden urval för publ'!$A$2:$AA$419,MATCH('Miljövärden för publ företag'!$A583,'Miljövrärden urval för publ'!$R$2:$R$416,0),1),"")</f>
        <v/>
      </c>
      <c r="C583" s="121" t="str">
        <f>IFERROR(INDEX('Miljövrärden urval för publ'!$A$2:$AA$419,MATCH('Miljövärden för publ företag'!$A583,'Miljövrärden urval för publ'!$R$2:$R$416,0),2),"")</f>
        <v/>
      </c>
      <c r="D583" s="121" t="str">
        <f>IFERROR(VLOOKUP($C583,'Miljövrärden urval för publ'!$B$2:$H$416,MATCH('Miljövärden för publ företag'!D$4,'Miljövrärden urval för publ'!$B$2:$H$2,0),FALSE),"")</f>
        <v/>
      </c>
      <c r="E583" s="121" t="str">
        <f>IFERROR(VLOOKUP($C583,'Miljövrärden urval för publ'!$B$2:$H$416,MATCH('Miljövärden för publ företag'!E$4,'Miljövrärden urval för publ'!$B$2:$H$2,0),FALSE),"")</f>
        <v/>
      </c>
      <c r="F583" s="121" t="str">
        <f>IFERROR(VLOOKUP($C583,'Miljövrärden urval för publ'!$B$2:$H$416,MATCH('Miljövärden för publ företag'!F$4,'Miljövrärden urval för publ'!$B$2:$H$2,0),FALSE),"")</f>
        <v/>
      </c>
      <c r="G583" s="121" t="str">
        <f>IFERROR(VLOOKUP($C583,'Miljövrärden urval för publ'!$B$2:$H$416,MATCH('Miljövärden för publ företag'!G$4,'Miljövrärden urval för publ'!$B$2:$H$2,0),FALSE),"")</f>
        <v/>
      </c>
    </row>
    <row r="584" spans="2:7" x14ac:dyDescent="0.25">
      <c r="B584" s="121" t="str">
        <f>IFERROR(INDEX('Miljövrärden urval för publ'!$A$2:$AA$419,MATCH('Miljövärden för publ företag'!$A584,'Miljövrärden urval för publ'!$R$2:$R$416,0),1),"")</f>
        <v/>
      </c>
      <c r="C584" s="121" t="str">
        <f>IFERROR(INDEX('Miljövrärden urval för publ'!$A$2:$AA$419,MATCH('Miljövärden för publ företag'!$A584,'Miljövrärden urval för publ'!$R$2:$R$416,0),2),"")</f>
        <v/>
      </c>
      <c r="D584" s="121" t="str">
        <f>IFERROR(VLOOKUP($C584,'Miljövrärden urval för publ'!$B$2:$H$416,MATCH('Miljövärden för publ företag'!D$4,'Miljövrärden urval för publ'!$B$2:$H$2,0),FALSE),"")</f>
        <v/>
      </c>
      <c r="E584" s="121" t="str">
        <f>IFERROR(VLOOKUP($C584,'Miljövrärden urval för publ'!$B$2:$H$416,MATCH('Miljövärden för publ företag'!E$4,'Miljövrärden urval för publ'!$B$2:$H$2,0),FALSE),"")</f>
        <v/>
      </c>
      <c r="F584" s="121" t="str">
        <f>IFERROR(VLOOKUP($C584,'Miljövrärden urval för publ'!$B$2:$H$416,MATCH('Miljövärden för publ företag'!F$4,'Miljövrärden urval för publ'!$B$2:$H$2,0),FALSE),"")</f>
        <v/>
      </c>
      <c r="G584" s="121" t="str">
        <f>IFERROR(VLOOKUP($C584,'Miljövrärden urval för publ'!$B$2:$H$416,MATCH('Miljövärden för publ företag'!G$4,'Miljövrärden urval för publ'!$B$2:$H$2,0),FALSE),"")</f>
        <v/>
      </c>
    </row>
    <row r="585" spans="2:7" x14ac:dyDescent="0.25">
      <c r="B585" s="121" t="str">
        <f>IFERROR(INDEX('Miljövrärden urval för publ'!$A$2:$AA$419,MATCH('Miljövärden för publ företag'!$A585,'Miljövrärden urval för publ'!$R$2:$R$416,0),1),"")</f>
        <v/>
      </c>
      <c r="C585" s="121" t="str">
        <f>IFERROR(INDEX('Miljövrärden urval för publ'!$A$2:$AA$419,MATCH('Miljövärden för publ företag'!$A585,'Miljövrärden urval för publ'!$R$2:$R$416,0),2),"")</f>
        <v/>
      </c>
      <c r="D585" s="121" t="str">
        <f>IFERROR(VLOOKUP($C585,'Miljövrärden urval för publ'!$B$2:$H$416,MATCH('Miljövärden för publ företag'!D$4,'Miljövrärden urval för publ'!$B$2:$H$2,0),FALSE),"")</f>
        <v/>
      </c>
      <c r="E585" s="121" t="str">
        <f>IFERROR(VLOOKUP($C585,'Miljövrärden urval för publ'!$B$2:$H$416,MATCH('Miljövärden för publ företag'!E$4,'Miljövrärden urval för publ'!$B$2:$H$2,0),FALSE),"")</f>
        <v/>
      </c>
      <c r="F585" s="121" t="str">
        <f>IFERROR(VLOOKUP($C585,'Miljövrärden urval för publ'!$B$2:$H$416,MATCH('Miljövärden för publ företag'!F$4,'Miljövrärden urval för publ'!$B$2:$H$2,0),FALSE),"")</f>
        <v/>
      </c>
      <c r="G585" s="121" t="str">
        <f>IFERROR(VLOOKUP($C585,'Miljövrärden urval för publ'!$B$2:$H$416,MATCH('Miljövärden för publ företag'!G$4,'Miljövrärden urval för publ'!$B$2:$H$2,0),FALSE),"")</f>
        <v/>
      </c>
    </row>
    <row r="586" spans="2:7" x14ac:dyDescent="0.25">
      <c r="B586" s="121" t="str">
        <f>IFERROR(INDEX('Miljövrärden urval för publ'!$A$2:$AA$419,MATCH('Miljövärden för publ företag'!$A586,'Miljövrärden urval för publ'!$R$2:$R$416,0),1),"")</f>
        <v/>
      </c>
      <c r="C586" s="121" t="str">
        <f>IFERROR(INDEX('Miljövrärden urval för publ'!$A$2:$AA$419,MATCH('Miljövärden för publ företag'!$A586,'Miljövrärden urval för publ'!$R$2:$R$416,0),2),"")</f>
        <v/>
      </c>
      <c r="D586" s="121" t="str">
        <f>IFERROR(VLOOKUP($C586,'Miljövrärden urval för publ'!$B$2:$H$416,MATCH('Miljövärden för publ företag'!D$4,'Miljövrärden urval för publ'!$B$2:$H$2,0),FALSE),"")</f>
        <v/>
      </c>
      <c r="E586" s="121" t="str">
        <f>IFERROR(VLOOKUP($C586,'Miljövrärden urval för publ'!$B$2:$H$416,MATCH('Miljövärden för publ företag'!E$4,'Miljövrärden urval för publ'!$B$2:$H$2,0),FALSE),"")</f>
        <v/>
      </c>
      <c r="F586" s="121" t="str">
        <f>IFERROR(VLOOKUP($C586,'Miljövrärden urval för publ'!$B$2:$H$416,MATCH('Miljövärden för publ företag'!F$4,'Miljövrärden urval för publ'!$B$2:$H$2,0),FALSE),"")</f>
        <v/>
      </c>
      <c r="G586" s="121" t="str">
        <f>IFERROR(VLOOKUP($C586,'Miljövrärden urval för publ'!$B$2:$H$416,MATCH('Miljövärden för publ företag'!G$4,'Miljövrärden urval för publ'!$B$2:$H$2,0),FALSE),"")</f>
        <v/>
      </c>
    </row>
    <row r="587" spans="2:7" x14ac:dyDescent="0.25">
      <c r="B587" s="121" t="str">
        <f>IFERROR(INDEX('Miljövrärden urval för publ'!$A$2:$AA$419,MATCH('Miljövärden för publ företag'!$A587,'Miljövrärden urval för publ'!$R$2:$R$416,0),1),"")</f>
        <v/>
      </c>
      <c r="C587" s="121" t="str">
        <f>IFERROR(INDEX('Miljövrärden urval för publ'!$A$2:$AA$419,MATCH('Miljövärden för publ företag'!$A587,'Miljövrärden urval för publ'!$R$2:$R$416,0),2),"")</f>
        <v/>
      </c>
      <c r="D587" s="121" t="str">
        <f>IFERROR(VLOOKUP($C587,'Miljövrärden urval för publ'!$B$2:$H$416,MATCH('Miljövärden för publ företag'!D$4,'Miljövrärden urval för publ'!$B$2:$H$2,0),FALSE),"")</f>
        <v/>
      </c>
      <c r="E587" s="121" t="str">
        <f>IFERROR(VLOOKUP($C587,'Miljövrärden urval för publ'!$B$2:$H$416,MATCH('Miljövärden för publ företag'!E$4,'Miljövrärden urval för publ'!$B$2:$H$2,0),FALSE),"")</f>
        <v/>
      </c>
      <c r="F587" s="121" t="str">
        <f>IFERROR(VLOOKUP($C587,'Miljövrärden urval för publ'!$B$2:$H$416,MATCH('Miljövärden för publ företag'!F$4,'Miljövrärden urval för publ'!$B$2:$H$2,0),FALSE),"")</f>
        <v/>
      </c>
      <c r="G587" s="121" t="str">
        <f>IFERROR(VLOOKUP($C587,'Miljövrärden urval för publ'!$B$2:$H$416,MATCH('Miljövärden för publ företag'!G$4,'Miljövrärden urval för publ'!$B$2:$H$2,0),FALSE),"")</f>
        <v/>
      </c>
    </row>
    <row r="588" spans="2:7" x14ac:dyDescent="0.25">
      <c r="B588" s="121" t="str">
        <f>IFERROR(INDEX('Miljövrärden urval för publ'!$A$2:$AA$419,MATCH('Miljövärden för publ företag'!$A588,'Miljövrärden urval för publ'!$R$2:$R$416,0),1),"")</f>
        <v/>
      </c>
      <c r="C588" s="121" t="str">
        <f>IFERROR(INDEX('Miljövrärden urval för publ'!$A$2:$AA$419,MATCH('Miljövärden för publ företag'!$A588,'Miljövrärden urval för publ'!$R$2:$R$416,0),2),"")</f>
        <v/>
      </c>
      <c r="D588" s="121" t="str">
        <f>IFERROR(VLOOKUP($C588,'Miljövrärden urval för publ'!$B$2:$H$416,MATCH('Miljövärden för publ företag'!D$4,'Miljövrärden urval för publ'!$B$2:$H$2,0),FALSE),"")</f>
        <v/>
      </c>
      <c r="E588" s="121" t="str">
        <f>IFERROR(VLOOKUP($C588,'Miljövrärden urval för publ'!$B$2:$H$416,MATCH('Miljövärden för publ företag'!E$4,'Miljövrärden urval för publ'!$B$2:$H$2,0),FALSE),"")</f>
        <v/>
      </c>
      <c r="F588" s="121" t="str">
        <f>IFERROR(VLOOKUP($C588,'Miljövrärden urval för publ'!$B$2:$H$416,MATCH('Miljövärden för publ företag'!F$4,'Miljövrärden urval för publ'!$B$2:$H$2,0),FALSE),"")</f>
        <v/>
      </c>
      <c r="G588" s="121" t="str">
        <f>IFERROR(VLOOKUP($C588,'Miljövrärden urval för publ'!$B$2:$H$416,MATCH('Miljövärden för publ företag'!G$4,'Miljövrärden urval för publ'!$B$2:$H$2,0),FALSE),"")</f>
        <v/>
      </c>
    </row>
    <row r="589" spans="2:7" x14ac:dyDescent="0.25">
      <c r="B589" s="121" t="str">
        <f>IFERROR(INDEX('Miljövrärden urval för publ'!$A$2:$AA$419,MATCH('Miljövärden för publ företag'!$A589,'Miljövrärden urval för publ'!$R$2:$R$416,0),1),"")</f>
        <v/>
      </c>
      <c r="C589" s="121" t="str">
        <f>IFERROR(INDEX('Miljövrärden urval för publ'!$A$2:$AA$419,MATCH('Miljövärden för publ företag'!$A589,'Miljövrärden urval för publ'!$R$2:$R$416,0),2),"")</f>
        <v/>
      </c>
      <c r="D589" s="121" t="str">
        <f>IFERROR(VLOOKUP($C589,'Miljövrärden urval för publ'!$B$2:$H$416,MATCH('Miljövärden för publ företag'!D$4,'Miljövrärden urval för publ'!$B$2:$H$2,0),FALSE),"")</f>
        <v/>
      </c>
      <c r="E589" s="121" t="str">
        <f>IFERROR(VLOOKUP($C589,'Miljövrärden urval för publ'!$B$2:$H$416,MATCH('Miljövärden för publ företag'!E$4,'Miljövrärden urval för publ'!$B$2:$H$2,0),FALSE),"")</f>
        <v/>
      </c>
      <c r="F589" s="121" t="str">
        <f>IFERROR(VLOOKUP($C589,'Miljövrärden urval för publ'!$B$2:$H$416,MATCH('Miljövärden för publ företag'!F$4,'Miljövrärden urval för publ'!$B$2:$H$2,0),FALSE),"")</f>
        <v/>
      </c>
      <c r="G589" s="121" t="str">
        <f>IFERROR(VLOOKUP($C589,'Miljövrärden urval för publ'!$B$2:$H$416,MATCH('Miljövärden för publ företag'!G$4,'Miljövrärden urval för publ'!$B$2:$H$2,0),FALSE),"")</f>
        <v/>
      </c>
    </row>
    <row r="590" spans="2:7" x14ac:dyDescent="0.25">
      <c r="B590" s="121" t="str">
        <f>IFERROR(INDEX('Miljövrärden urval för publ'!$A$2:$AA$419,MATCH('Miljövärden för publ företag'!$A590,'Miljövrärden urval för publ'!$R$2:$R$416,0),1),"")</f>
        <v/>
      </c>
      <c r="C590" s="121" t="str">
        <f>IFERROR(INDEX('Miljövrärden urval för publ'!$A$2:$AA$419,MATCH('Miljövärden för publ företag'!$A590,'Miljövrärden urval för publ'!$R$2:$R$416,0),2),"")</f>
        <v/>
      </c>
      <c r="D590" s="121" t="str">
        <f>IFERROR(VLOOKUP($C590,'Miljövrärden urval för publ'!$B$2:$H$416,MATCH('Miljövärden för publ företag'!D$4,'Miljövrärden urval för publ'!$B$2:$H$2,0),FALSE),"")</f>
        <v/>
      </c>
      <c r="E590" s="121" t="str">
        <f>IFERROR(VLOOKUP($C590,'Miljövrärden urval för publ'!$B$2:$H$416,MATCH('Miljövärden för publ företag'!E$4,'Miljövrärden urval för publ'!$B$2:$H$2,0),FALSE),"")</f>
        <v/>
      </c>
      <c r="F590" s="121" t="str">
        <f>IFERROR(VLOOKUP($C590,'Miljövrärden urval för publ'!$B$2:$H$416,MATCH('Miljövärden för publ företag'!F$4,'Miljövrärden urval för publ'!$B$2:$H$2,0),FALSE),"")</f>
        <v/>
      </c>
      <c r="G590" s="121" t="str">
        <f>IFERROR(VLOOKUP($C590,'Miljövrärden urval för publ'!$B$2:$H$416,MATCH('Miljövärden för publ företag'!G$4,'Miljövrärden urval för publ'!$B$2:$H$2,0),FALSE),"")</f>
        <v/>
      </c>
    </row>
    <row r="591" spans="2:7" x14ac:dyDescent="0.25">
      <c r="B591" s="121" t="str">
        <f>IFERROR(INDEX('Miljövrärden urval för publ'!$A$2:$AA$419,MATCH('Miljövärden för publ företag'!$A591,'Miljövrärden urval för publ'!$R$2:$R$416,0),1),"")</f>
        <v/>
      </c>
      <c r="C591" s="121" t="str">
        <f>IFERROR(INDEX('Miljövrärden urval för publ'!$A$2:$AA$419,MATCH('Miljövärden för publ företag'!$A591,'Miljövrärden urval för publ'!$R$2:$R$416,0),2),"")</f>
        <v/>
      </c>
      <c r="D591" s="121" t="str">
        <f>IFERROR(VLOOKUP($C591,'Miljövrärden urval för publ'!$B$2:$H$416,MATCH('Miljövärden för publ företag'!D$4,'Miljövrärden urval för publ'!$B$2:$H$2,0),FALSE),"")</f>
        <v/>
      </c>
      <c r="E591" s="121" t="str">
        <f>IFERROR(VLOOKUP($C591,'Miljövrärden urval för publ'!$B$2:$H$416,MATCH('Miljövärden för publ företag'!E$4,'Miljövrärden urval för publ'!$B$2:$H$2,0),FALSE),"")</f>
        <v/>
      </c>
      <c r="F591" s="121" t="str">
        <f>IFERROR(VLOOKUP($C591,'Miljövrärden urval för publ'!$B$2:$H$416,MATCH('Miljövärden för publ företag'!F$4,'Miljövrärden urval för publ'!$B$2:$H$2,0),FALSE),"")</f>
        <v/>
      </c>
      <c r="G591" s="121" t="str">
        <f>IFERROR(VLOOKUP($C591,'Miljövrärden urval för publ'!$B$2:$H$416,MATCH('Miljövärden för publ företag'!G$4,'Miljövrärden urval för publ'!$B$2:$H$2,0),FALSE),"")</f>
        <v/>
      </c>
    </row>
    <row r="592" spans="2:7" x14ac:dyDescent="0.25">
      <c r="B592" s="121" t="str">
        <f>IFERROR(INDEX('Miljövrärden urval för publ'!$A$2:$AA$419,MATCH('Miljövärden för publ företag'!$A592,'Miljövrärden urval för publ'!$R$2:$R$416,0),1),"")</f>
        <v/>
      </c>
      <c r="C592" s="121" t="str">
        <f>IFERROR(INDEX('Miljövrärden urval för publ'!$A$2:$AA$419,MATCH('Miljövärden för publ företag'!$A592,'Miljövrärden urval för publ'!$R$2:$R$416,0),2),"")</f>
        <v/>
      </c>
      <c r="D592" s="121" t="str">
        <f>IFERROR(VLOOKUP($C592,'Miljövrärden urval för publ'!$B$2:$H$416,MATCH('Miljövärden för publ företag'!D$4,'Miljövrärden urval för publ'!$B$2:$H$2,0),FALSE),"")</f>
        <v/>
      </c>
      <c r="E592" s="121" t="str">
        <f>IFERROR(VLOOKUP($C592,'Miljövrärden urval för publ'!$B$2:$H$416,MATCH('Miljövärden för publ företag'!E$4,'Miljövrärden urval för publ'!$B$2:$H$2,0),FALSE),"")</f>
        <v/>
      </c>
      <c r="F592" s="121" t="str">
        <f>IFERROR(VLOOKUP($C592,'Miljövrärden urval för publ'!$B$2:$H$416,MATCH('Miljövärden för publ företag'!F$4,'Miljövrärden urval för publ'!$B$2:$H$2,0),FALSE),"")</f>
        <v/>
      </c>
      <c r="G592" s="121" t="str">
        <f>IFERROR(VLOOKUP($C592,'Miljövrärden urval för publ'!$B$2:$H$416,MATCH('Miljövärden för publ företag'!G$4,'Miljövrärden urval för publ'!$B$2:$H$2,0),FALSE),"")</f>
        <v/>
      </c>
    </row>
    <row r="593" spans="2:7" x14ac:dyDescent="0.25">
      <c r="B593" s="121" t="str">
        <f>IFERROR(INDEX('Miljövrärden urval för publ'!$A$2:$AA$419,MATCH('Miljövärden för publ företag'!$A593,'Miljövrärden urval för publ'!$R$2:$R$416,0),1),"")</f>
        <v/>
      </c>
      <c r="C593" s="121" t="str">
        <f>IFERROR(INDEX('Miljövrärden urval för publ'!$A$2:$AA$419,MATCH('Miljövärden för publ företag'!$A593,'Miljövrärden urval för publ'!$R$2:$R$416,0),2),"")</f>
        <v/>
      </c>
      <c r="D593" s="121" t="str">
        <f>IFERROR(VLOOKUP($C593,'Miljövrärden urval för publ'!$B$2:$H$416,MATCH('Miljövärden för publ företag'!D$4,'Miljövrärden urval för publ'!$B$2:$H$2,0),FALSE),"")</f>
        <v/>
      </c>
      <c r="E593" s="121" t="str">
        <f>IFERROR(VLOOKUP($C593,'Miljövrärden urval för publ'!$B$2:$H$416,MATCH('Miljövärden för publ företag'!E$4,'Miljövrärden urval för publ'!$B$2:$H$2,0),FALSE),"")</f>
        <v/>
      </c>
      <c r="F593" s="121" t="str">
        <f>IFERROR(VLOOKUP($C593,'Miljövrärden urval för publ'!$B$2:$H$416,MATCH('Miljövärden för publ företag'!F$4,'Miljövrärden urval för publ'!$B$2:$H$2,0),FALSE),"")</f>
        <v/>
      </c>
      <c r="G593" s="121" t="str">
        <f>IFERROR(VLOOKUP($C593,'Miljövrärden urval för publ'!$B$2:$H$416,MATCH('Miljövärden för publ företag'!G$4,'Miljövrärden urval för publ'!$B$2:$H$2,0),FALSE),"")</f>
        <v/>
      </c>
    </row>
    <row r="594" spans="2:7" x14ac:dyDescent="0.25">
      <c r="B594" s="121" t="str">
        <f>IFERROR(INDEX('Miljövrärden urval för publ'!$A$2:$AA$419,MATCH('Miljövärden för publ företag'!$A594,'Miljövrärden urval för publ'!$R$2:$R$416,0),1),"")</f>
        <v/>
      </c>
      <c r="C594" s="121" t="str">
        <f>IFERROR(INDEX('Miljövrärden urval för publ'!$A$2:$AA$419,MATCH('Miljövärden för publ företag'!$A594,'Miljövrärden urval för publ'!$R$2:$R$416,0),2),"")</f>
        <v/>
      </c>
      <c r="D594" s="121" t="str">
        <f>IFERROR(VLOOKUP($C594,'Miljövrärden urval för publ'!$B$2:$H$416,MATCH('Miljövärden för publ företag'!D$4,'Miljövrärden urval för publ'!$B$2:$H$2,0),FALSE),"")</f>
        <v/>
      </c>
      <c r="E594" s="121" t="str">
        <f>IFERROR(VLOOKUP($C594,'Miljövrärden urval för publ'!$B$2:$H$416,MATCH('Miljövärden för publ företag'!E$4,'Miljövrärden urval för publ'!$B$2:$H$2,0),FALSE),"")</f>
        <v/>
      </c>
      <c r="F594" s="121" t="str">
        <f>IFERROR(VLOOKUP($C594,'Miljövrärden urval för publ'!$B$2:$H$416,MATCH('Miljövärden för publ företag'!F$4,'Miljövrärden urval för publ'!$B$2:$H$2,0),FALSE),"")</f>
        <v/>
      </c>
      <c r="G594" s="121" t="str">
        <f>IFERROR(VLOOKUP($C594,'Miljövrärden urval för publ'!$B$2:$H$416,MATCH('Miljövärden för publ företag'!G$4,'Miljövrärden urval för publ'!$B$2:$H$2,0),FALSE),"")</f>
        <v/>
      </c>
    </row>
    <row r="595" spans="2:7" x14ac:dyDescent="0.25">
      <c r="B595" s="121" t="str">
        <f>IFERROR(INDEX('Miljövrärden urval för publ'!$A$2:$AA$419,MATCH('Miljövärden för publ företag'!$A595,'Miljövrärden urval för publ'!$R$2:$R$416,0),1),"")</f>
        <v/>
      </c>
      <c r="C595" s="121" t="str">
        <f>IFERROR(INDEX('Miljövrärden urval för publ'!$A$2:$AA$419,MATCH('Miljövärden för publ företag'!$A595,'Miljövrärden urval för publ'!$R$2:$R$416,0),2),"")</f>
        <v/>
      </c>
      <c r="D595" s="121" t="str">
        <f>IFERROR(VLOOKUP($C595,'Miljövrärden urval för publ'!$B$2:$H$416,MATCH('Miljövärden för publ företag'!D$4,'Miljövrärden urval för publ'!$B$2:$H$2,0),FALSE),"")</f>
        <v/>
      </c>
      <c r="E595" s="121" t="str">
        <f>IFERROR(VLOOKUP($C595,'Miljövrärden urval för publ'!$B$2:$H$416,MATCH('Miljövärden för publ företag'!E$4,'Miljövrärden urval för publ'!$B$2:$H$2,0),FALSE),"")</f>
        <v/>
      </c>
      <c r="F595" s="121" t="str">
        <f>IFERROR(VLOOKUP($C595,'Miljövrärden urval för publ'!$B$2:$H$416,MATCH('Miljövärden för publ företag'!F$4,'Miljövrärden urval för publ'!$B$2:$H$2,0),FALSE),"")</f>
        <v/>
      </c>
      <c r="G595" s="121" t="str">
        <f>IFERROR(VLOOKUP($C595,'Miljövrärden urval för publ'!$B$2:$H$416,MATCH('Miljövärden för publ företag'!G$4,'Miljövrärden urval för publ'!$B$2:$H$2,0),FALSE),"")</f>
        <v/>
      </c>
    </row>
    <row r="596" spans="2:7" x14ac:dyDescent="0.25">
      <c r="B596" s="121" t="str">
        <f>IFERROR(INDEX('Miljövrärden urval för publ'!$A$2:$AA$419,MATCH('Miljövärden för publ företag'!$A596,'Miljövrärden urval för publ'!$R$2:$R$416,0),1),"")</f>
        <v/>
      </c>
      <c r="C596" s="121" t="str">
        <f>IFERROR(INDEX('Miljövrärden urval för publ'!$A$2:$AA$419,MATCH('Miljövärden för publ företag'!$A596,'Miljövrärden urval för publ'!$R$2:$R$416,0),2),"")</f>
        <v/>
      </c>
      <c r="D596" s="121" t="str">
        <f>IFERROR(VLOOKUP($C596,'Miljövrärden urval för publ'!$B$2:$H$416,MATCH('Miljövärden för publ företag'!D$4,'Miljövrärden urval för publ'!$B$2:$H$2,0),FALSE),"")</f>
        <v/>
      </c>
      <c r="E596" s="121" t="str">
        <f>IFERROR(VLOOKUP($C596,'Miljövrärden urval för publ'!$B$2:$H$416,MATCH('Miljövärden för publ företag'!E$4,'Miljövrärden urval för publ'!$B$2:$H$2,0),FALSE),"")</f>
        <v/>
      </c>
      <c r="F596" s="121" t="str">
        <f>IFERROR(VLOOKUP($C596,'Miljövrärden urval för publ'!$B$2:$H$416,MATCH('Miljövärden för publ företag'!F$4,'Miljövrärden urval för publ'!$B$2:$H$2,0),FALSE),"")</f>
        <v/>
      </c>
      <c r="G596" s="121" t="str">
        <f>IFERROR(VLOOKUP($C596,'Miljövrärden urval för publ'!$B$2:$H$416,MATCH('Miljövärden för publ företag'!G$4,'Miljövrärden urval för publ'!$B$2:$H$2,0),FALSE),"")</f>
        <v/>
      </c>
    </row>
    <row r="597" spans="2:7" x14ac:dyDescent="0.25">
      <c r="B597" s="121" t="str">
        <f>IFERROR(INDEX('Miljövrärden urval för publ'!$A$2:$AA$419,MATCH('Miljövärden för publ företag'!$A597,'Miljövrärden urval för publ'!$R$2:$R$416,0),1),"")</f>
        <v/>
      </c>
      <c r="C597" s="121" t="str">
        <f>IFERROR(INDEX('Miljövrärden urval för publ'!$A$2:$AA$419,MATCH('Miljövärden för publ företag'!$A597,'Miljövrärden urval för publ'!$R$2:$R$416,0),2),"")</f>
        <v/>
      </c>
      <c r="D597" s="121" t="str">
        <f>IFERROR(VLOOKUP($C597,'Miljövrärden urval för publ'!$B$2:$H$416,MATCH('Miljövärden för publ företag'!D$4,'Miljövrärden urval för publ'!$B$2:$H$2,0),FALSE),"")</f>
        <v/>
      </c>
      <c r="E597" s="121" t="str">
        <f>IFERROR(VLOOKUP($C597,'Miljövrärden urval för publ'!$B$2:$H$416,MATCH('Miljövärden för publ företag'!E$4,'Miljövrärden urval för publ'!$B$2:$H$2,0),FALSE),"")</f>
        <v/>
      </c>
      <c r="F597" s="121" t="str">
        <f>IFERROR(VLOOKUP($C597,'Miljövrärden urval för publ'!$B$2:$H$416,MATCH('Miljövärden för publ företag'!F$4,'Miljövrärden urval för publ'!$B$2:$H$2,0),FALSE),"")</f>
        <v/>
      </c>
      <c r="G597" s="121" t="str">
        <f>IFERROR(VLOOKUP($C597,'Miljövrärden urval för publ'!$B$2:$H$416,MATCH('Miljövärden för publ företag'!G$4,'Miljövrärden urval för publ'!$B$2:$H$2,0),FALSE),"")</f>
        <v/>
      </c>
    </row>
    <row r="598" spans="2:7" x14ac:dyDescent="0.25">
      <c r="B598" s="121" t="str">
        <f>IFERROR(INDEX('Miljövrärden urval för publ'!$A$2:$AA$419,MATCH('Miljövärden för publ företag'!$A598,'Miljövrärden urval för publ'!$R$2:$R$416,0),1),"")</f>
        <v/>
      </c>
      <c r="C598" s="121" t="str">
        <f>IFERROR(INDEX('Miljövrärden urval för publ'!$A$2:$AA$419,MATCH('Miljövärden för publ företag'!$A598,'Miljövrärden urval för publ'!$R$2:$R$416,0),2),"")</f>
        <v/>
      </c>
      <c r="D598" s="121" t="str">
        <f>IFERROR(VLOOKUP($C598,'Miljövrärden urval för publ'!$B$2:$H$416,MATCH('Miljövärden för publ företag'!D$4,'Miljövrärden urval för publ'!$B$2:$H$2,0),FALSE),"")</f>
        <v/>
      </c>
      <c r="E598" s="121" t="str">
        <f>IFERROR(VLOOKUP($C598,'Miljövrärden urval för publ'!$B$2:$H$416,MATCH('Miljövärden för publ företag'!E$4,'Miljövrärden urval för publ'!$B$2:$H$2,0),FALSE),"")</f>
        <v/>
      </c>
      <c r="F598" s="121" t="str">
        <f>IFERROR(VLOOKUP($C598,'Miljövrärden urval för publ'!$B$2:$H$416,MATCH('Miljövärden för publ företag'!F$4,'Miljövrärden urval för publ'!$B$2:$H$2,0),FALSE),"")</f>
        <v/>
      </c>
      <c r="G598" s="121" t="str">
        <f>IFERROR(VLOOKUP($C598,'Miljövrärden urval för publ'!$B$2:$H$416,MATCH('Miljövärden för publ företag'!G$4,'Miljövrärden urval för publ'!$B$2:$H$2,0),FALSE),"")</f>
        <v/>
      </c>
    </row>
    <row r="599" spans="2:7" x14ac:dyDescent="0.25">
      <c r="B599" s="121" t="str">
        <f>IFERROR(INDEX('Miljövrärden urval för publ'!$A$2:$AA$419,MATCH('Miljövärden för publ företag'!$A599,'Miljövrärden urval för publ'!$R$2:$R$416,0),1),"")</f>
        <v/>
      </c>
      <c r="C599" s="121" t="str">
        <f>IFERROR(INDEX('Miljövrärden urval för publ'!$A$2:$AA$419,MATCH('Miljövärden för publ företag'!$A599,'Miljövrärden urval för publ'!$R$2:$R$416,0),2),"")</f>
        <v/>
      </c>
      <c r="D599" s="121" t="str">
        <f>IFERROR(VLOOKUP($C599,'Miljövrärden urval för publ'!$B$2:$H$416,MATCH('Miljövärden för publ företag'!D$4,'Miljövrärden urval för publ'!$B$2:$H$2,0),FALSE),"")</f>
        <v/>
      </c>
      <c r="E599" s="121" t="str">
        <f>IFERROR(VLOOKUP($C599,'Miljövrärden urval för publ'!$B$2:$H$416,MATCH('Miljövärden för publ företag'!E$4,'Miljövrärden urval för publ'!$B$2:$H$2,0),FALSE),"")</f>
        <v/>
      </c>
      <c r="F599" s="121" t="str">
        <f>IFERROR(VLOOKUP($C599,'Miljövrärden urval för publ'!$B$2:$H$416,MATCH('Miljövärden för publ företag'!F$4,'Miljövrärden urval för publ'!$B$2:$H$2,0),FALSE),"")</f>
        <v/>
      </c>
      <c r="G599" s="121" t="str">
        <f>IFERROR(VLOOKUP($C599,'Miljövrärden urval för publ'!$B$2:$H$416,MATCH('Miljövärden för publ företag'!G$4,'Miljövrärden urval för publ'!$B$2:$H$2,0),FALSE),"")</f>
        <v/>
      </c>
    </row>
    <row r="600" spans="2:7" x14ac:dyDescent="0.25">
      <c r="B600" s="121" t="str">
        <f>IFERROR(INDEX('Miljövrärden urval för publ'!$A$2:$AA$419,MATCH('Miljövärden för publ företag'!$A600,'Miljövrärden urval för publ'!$R$2:$R$416,0),1),"")</f>
        <v/>
      </c>
      <c r="C600" s="121" t="str">
        <f>IFERROR(INDEX('Miljövrärden urval för publ'!$A$2:$AA$419,MATCH('Miljövärden för publ företag'!$A600,'Miljövrärden urval för publ'!$R$2:$R$416,0),2),"")</f>
        <v/>
      </c>
      <c r="D600" s="121" t="str">
        <f>IFERROR(VLOOKUP($C600,'Miljövrärden urval för publ'!$B$2:$H$416,MATCH('Miljövärden för publ företag'!D$4,'Miljövrärden urval för publ'!$B$2:$H$2,0),FALSE),"")</f>
        <v/>
      </c>
      <c r="E600" s="121" t="str">
        <f>IFERROR(VLOOKUP($C600,'Miljövrärden urval för publ'!$B$2:$H$416,MATCH('Miljövärden för publ företag'!E$4,'Miljövrärden urval för publ'!$B$2:$H$2,0),FALSE),"")</f>
        <v/>
      </c>
      <c r="F600" s="121" t="str">
        <f>IFERROR(VLOOKUP($C600,'Miljövrärden urval för publ'!$B$2:$H$416,MATCH('Miljövärden för publ företag'!F$4,'Miljövrärden urval för publ'!$B$2:$H$2,0),FALSE),"")</f>
        <v/>
      </c>
      <c r="G600" s="121" t="str">
        <f>IFERROR(VLOOKUP($C600,'Miljövrärden urval för publ'!$B$2:$H$416,MATCH('Miljövärden för publ företag'!G$4,'Miljövrärden urval för publ'!$B$2:$H$2,0),FALSE),"")</f>
        <v/>
      </c>
    </row>
    <row r="601" spans="2:7" x14ac:dyDescent="0.25">
      <c r="B601" s="121" t="str">
        <f>IFERROR(INDEX('Miljövrärden urval för publ'!$A$2:$AA$419,MATCH('Miljövärden för publ företag'!$A601,'Miljövrärden urval för publ'!$R$2:$R$416,0),1),"")</f>
        <v/>
      </c>
      <c r="C601" s="121" t="str">
        <f>IFERROR(INDEX('Miljövrärden urval för publ'!$A$2:$AA$419,MATCH('Miljövärden för publ företag'!$A601,'Miljövrärden urval för publ'!$R$2:$R$416,0),2),"")</f>
        <v/>
      </c>
      <c r="D601" s="121" t="str">
        <f>IFERROR(VLOOKUP($C601,'Miljövrärden urval för publ'!$B$2:$H$416,MATCH('Miljövärden för publ företag'!D$4,'Miljövrärden urval för publ'!$B$2:$H$2,0),FALSE),"")</f>
        <v/>
      </c>
      <c r="E601" s="121" t="str">
        <f>IFERROR(VLOOKUP($C601,'Miljövrärden urval för publ'!$B$2:$H$416,MATCH('Miljövärden för publ företag'!E$4,'Miljövrärden urval för publ'!$B$2:$H$2,0),FALSE),"")</f>
        <v/>
      </c>
      <c r="F601" s="121" t="str">
        <f>IFERROR(VLOOKUP($C601,'Miljövrärden urval för publ'!$B$2:$H$416,MATCH('Miljövärden för publ företag'!F$4,'Miljövrärden urval för publ'!$B$2:$H$2,0),FALSE),"")</f>
        <v/>
      </c>
      <c r="G601" s="121" t="str">
        <f>IFERROR(VLOOKUP($C601,'Miljövrärden urval för publ'!$B$2:$H$416,MATCH('Miljövärden för publ företag'!G$4,'Miljövrärden urval för publ'!$B$2:$H$2,0),FALSE),"")</f>
        <v/>
      </c>
    </row>
    <row r="602" spans="2:7" x14ac:dyDescent="0.25">
      <c r="B602" s="121" t="str">
        <f>IFERROR(INDEX('Miljövrärden urval för publ'!$A$2:$AA$419,MATCH('Miljövärden för publ företag'!$A602,'Miljövrärden urval för publ'!$R$2:$R$416,0),1),"")</f>
        <v/>
      </c>
      <c r="C602" s="121" t="str">
        <f>IFERROR(INDEX('Miljövrärden urval för publ'!$A$2:$AA$419,MATCH('Miljövärden för publ företag'!$A602,'Miljövrärden urval för publ'!$R$2:$R$416,0),2),"")</f>
        <v/>
      </c>
      <c r="D602" s="121" t="str">
        <f>IFERROR(VLOOKUP($C602,'Miljövrärden urval för publ'!$B$2:$H$416,MATCH('Miljövärden för publ företag'!D$4,'Miljövrärden urval för publ'!$B$2:$H$2,0),FALSE),"")</f>
        <v/>
      </c>
      <c r="E602" s="121" t="str">
        <f>IFERROR(VLOOKUP($C602,'Miljövrärden urval för publ'!$B$2:$H$416,MATCH('Miljövärden för publ företag'!E$4,'Miljövrärden urval för publ'!$B$2:$H$2,0),FALSE),"")</f>
        <v/>
      </c>
      <c r="F602" s="121" t="str">
        <f>IFERROR(VLOOKUP($C602,'Miljövrärden urval för publ'!$B$2:$H$416,MATCH('Miljövärden för publ företag'!F$4,'Miljövrärden urval för publ'!$B$2:$H$2,0),FALSE),"")</f>
        <v/>
      </c>
      <c r="G602" s="121" t="str">
        <f>IFERROR(VLOOKUP($C602,'Miljövrärden urval för publ'!$B$2:$H$416,MATCH('Miljövärden för publ företag'!G$4,'Miljövrärden urval för publ'!$B$2:$H$2,0),FALSE),"")</f>
        <v/>
      </c>
    </row>
    <row r="603" spans="2:7" x14ac:dyDescent="0.25">
      <c r="B603" s="121" t="str">
        <f>IFERROR(INDEX('Miljövrärden urval för publ'!$A$2:$AA$419,MATCH('Miljövärden för publ företag'!$A603,'Miljövrärden urval för publ'!$R$2:$R$416,0),1),"")</f>
        <v/>
      </c>
      <c r="C603" s="121" t="str">
        <f>IFERROR(INDEX('Miljövrärden urval för publ'!$A$2:$AA$419,MATCH('Miljövärden för publ företag'!$A603,'Miljövrärden urval för publ'!$R$2:$R$416,0),2),"")</f>
        <v/>
      </c>
      <c r="D603" s="121" t="str">
        <f>IFERROR(VLOOKUP($C603,'Miljövrärden urval för publ'!$B$2:$H$416,MATCH('Miljövärden för publ företag'!D$4,'Miljövrärden urval för publ'!$B$2:$H$2,0),FALSE),"")</f>
        <v/>
      </c>
      <c r="E603" s="121" t="str">
        <f>IFERROR(VLOOKUP($C603,'Miljövrärden urval för publ'!$B$2:$H$416,MATCH('Miljövärden för publ företag'!E$4,'Miljövrärden urval för publ'!$B$2:$H$2,0),FALSE),"")</f>
        <v/>
      </c>
      <c r="F603" s="121" t="str">
        <f>IFERROR(VLOOKUP($C603,'Miljövrärden urval för publ'!$B$2:$H$416,MATCH('Miljövärden för publ företag'!F$4,'Miljövrärden urval för publ'!$B$2:$H$2,0),FALSE),"")</f>
        <v/>
      </c>
      <c r="G603" s="121" t="str">
        <f>IFERROR(VLOOKUP($C603,'Miljövrärden urval för publ'!$B$2:$H$416,MATCH('Miljövärden för publ företag'!G$4,'Miljövrärden urval för publ'!$B$2:$H$2,0),FALSE),"")</f>
        <v/>
      </c>
    </row>
    <row r="604" spans="2:7" x14ac:dyDescent="0.25">
      <c r="B604" s="121" t="str">
        <f>IFERROR(INDEX('Miljövrärden urval för publ'!$A$2:$AA$419,MATCH('Miljövärden för publ företag'!$A604,'Miljövrärden urval för publ'!$R$2:$R$416,0),1),"")</f>
        <v/>
      </c>
      <c r="C604" s="121" t="str">
        <f>IFERROR(INDEX('Miljövrärden urval för publ'!$A$2:$AA$419,MATCH('Miljövärden för publ företag'!$A604,'Miljövrärden urval för publ'!$R$2:$R$416,0),2),"")</f>
        <v/>
      </c>
      <c r="D604" s="121" t="str">
        <f>IFERROR(VLOOKUP($C604,'Miljövrärden urval för publ'!$B$2:$H$416,MATCH('Miljövärden för publ företag'!D$4,'Miljövrärden urval för publ'!$B$2:$H$2,0),FALSE),"")</f>
        <v/>
      </c>
      <c r="E604" s="121" t="str">
        <f>IFERROR(VLOOKUP($C604,'Miljövrärden urval för publ'!$B$2:$H$416,MATCH('Miljövärden för publ företag'!E$4,'Miljövrärden urval för publ'!$B$2:$H$2,0),FALSE),"")</f>
        <v/>
      </c>
      <c r="F604" s="121" t="str">
        <f>IFERROR(VLOOKUP($C604,'Miljövrärden urval för publ'!$B$2:$H$416,MATCH('Miljövärden för publ företag'!F$4,'Miljövrärden urval för publ'!$B$2:$H$2,0),FALSE),"")</f>
        <v/>
      </c>
      <c r="G604" s="121" t="str">
        <f>IFERROR(VLOOKUP($C604,'Miljövrärden urval för publ'!$B$2:$H$416,MATCH('Miljövärden för publ företag'!G$4,'Miljövrärden urval för publ'!$B$2:$H$2,0),FALSE),"")</f>
        <v/>
      </c>
    </row>
    <row r="605" spans="2:7" x14ac:dyDescent="0.25">
      <c r="B605" s="121" t="str">
        <f>IFERROR(INDEX('Miljövrärden urval för publ'!$A$2:$AA$419,MATCH('Miljövärden för publ företag'!$A605,'Miljövrärden urval för publ'!$R$2:$R$416,0),1),"")</f>
        <v/>
      </c>
      <c r="C605" s="121" t="str">
        <f>IFERROR(INDEX('Miljövrärden urval för publ'!$A$2:$AA$419,MATCH('Miljövärden för publ företag'!$A605,'Miljövrärden urval för publ'!$R$2:$R$416,0),2),"")</f>
        <v/>
      </c>
      <c r="D605" s="121" t="str">
        <f>IFERROR(VLOOKUP($C605,'Miljövrärden urval för publ'!$B$2:$H$416,MATCH('Miljövärden för publ företag'!D$4,'Miljövrärden urval för publ'!$B$2:$H$2,0),FALSE),"")</f>
        <v/>
      </c>
      <c r="E605" s="121" t="str">
        <f>IFERROR(VLOOKUP($C605,'Miljövrärden urval för publ'!$B$2:$H$416,MATCH('Miljövärden för publ företag'!E$4,'Miljövrärden urval för publ'!$B$2:$H$2,0),FALSE),"")</f>
        <v/>
      </c>
      <c r="F605" s="121" t="str">
        <f>IFERROR(VLOOKUP($C605,'Miljövrärden urval för publ'!$B$2:$H$416,MATCH('Miljövärden för publ företag'!F$4,'Miljövrärden urval för publ'!$B$2:$H$2,0),FALSE),"")</f>
        <v/>
      </c>
      <c r="G605" s="121" t="str">
        <f>IFERROR(VLOOKUP($C605,'Miljövrärden urval för publ'!$B$2:$H$416,MATCH('Miljövärden för publ företag'!G$4,'Miljövrärden urval för publ'!$B$2:$H$2,0),FALSE),"")</f>
        <v/>
      </c>
    </row>
    <row r="606" spans="2:7" x14ac:dyDescent="0.25">
      <c r="B606" s="121" t="str">
        <f>IFERROR(INDEX('Miljövrärden urval för publ'!$A$2:$AA$419,MATCH('Miljövärden för publ företag'!$A606,'Miljövrärden urval för publ'!$R$2:$R$416,0),1),"")</f>
        <v/>
      </c>
      <c r="C606" s="121" t="str">
        <f>IFERROR(INDEX('Miljövrärden urval för publ'!$A$2:$AA$419,MATCH('Miljövärden för publ företag'!$A606,'Miljövrärden urval för publ'!$R$2:$R$416,0),2),"")</f>
        <v/>
      </c>
      <c r="D606" s="121" t="str">
        <f>IFERROR(VLOOKUP($C606,'Miljövrärden urval för publ'!$B$2:$H$416,MATCH('Miljövärden för publ företag'!D$4,'Miljövrärden urval för publ'!$B$2:$H$2,0),FALSE),"")</f>
        <v/>
      </c>
      <c r="E606" s="121" t="str">
        <f>IFERROR(VLOOKUP($C606,'Miljövrärden urval för publ'!$B$2:$H$416,MATCH('Miljövärden för publ företag'!E$4,'Miljövrärden urval för publ'!$B$2:$H$2,0),FALSE),"")</f>
        <v/>
      </c>
      <c r="F606" s="121" t="str">
        <f>IFERROR(VLOOKUP($C606,'Miljövrärden urval för publ'!$B$2:$H$416,MATCH('Miljövärden för publ företag'!F$4,'Miljövrärden urval för publ'!$B$2:$H$2,0),FALSE),"")</f>
        <v/>
      </c>
      <c r="G606" s="121" t="str">
        <f>IFERROR(VLOOKUP($C606,'Miljövrärden urval för publ'!$B$2:$H$416,MATCH('Miljövärden för publ företag'!G$4,'Miljövrärden urval för publ'!$B$2:$H$2,0),FALSE),"")</f>
        <v/>
      </c>
    </row>
    <row r="607" spans="2:7" x14ac:dyDescent="0.25">
      <c r="B607" s="121" t="str">
        <f>IFERROR(INDEX('Miljövrärden urval för publ'!$A$2:$AA$419,MATCH('Miljövärden för publ företag'!$A607,'Miljövrärden urval för publ'!$R$2:$R$416,0),1),"")</f>
        <v/>
      </c>
      <c r="C607" s="121" t="str">
        <f>IFERROR(INDEX('Miljövrärden urval för publ'!$A$2:$AA$419,MATCH('Miljövärden för publ företag'!$A607,'Miljövrärden urval för publ'!$R$2:$R$416,0),2),"")</f>
        <v/>
      </c>
      <c r="D607" s="121" t="str">
        <f>IFERROR(VLOOKUP($C607,'Miljövrärden urval för publ'!$B$2:$H$416,MATCH('Miljövärden för publ företag'!D$4,'Miljövrärden urval för publ'!$B$2:$H$2,0),FALSE),"")</f>
        <v/>
      </c>
      <c r="E607" s="121" t="str">
        <f>IFERROR(VLOOKUP($C607,'Miljövrärden urval för publ'!$B$2:$H$416,MATCH('Miljövärden för publ företag'!E$4,'Miljövrärden urval för publ'!$B$2:$H$2,0),FALSE),"")</f>
        <v/>
      </c>
      <c r="F607" s="121" t="str">
        <f>IFERROR(VLOOKUP($C607,'Miljövrärden urval för publ'!$B$2:$H$416,MATCH('Miljövärden för publ företag'!F$4,'Miljövrärden urval för publ'!$B$2:$H$2,0),FALSE),"")</f>
        <v/>
      </c>
      <c r="G607" s="121" t="str">
        <f>IFERROR(VLOOKUP($C607,'Miljövrärden urval för publ'!$B$2:$H$416,MATCH('Miljövärden för publ företag'!G$4,'Miljövrärden urval för publ'!$B$2:$H$2,0),FALSE),"")</f>
        <v/>
      </c>
    </row>
    <row r="608" spans="2:7" x14ac:dyDescent="0.25">
      <c r="B608" s="121" t="str">
        <f>IFERROR(INDEX('Miljövrärden urval för publ'!$A$2:$AA$419,MATCH('Miljövärden för publ företag'!$A608,'Miljövrärden urval för publ'!$R$2:$R$416,0),1),"")</f>
        <v/>
      </c>
      <c r="C608" s="121" t="str">
        <f>IFERROR(INDEX('Miljövrärden urval för publ'!$A$2:$AA$419,MATCH('Miljövärden för publ företag'!$A608,'Miljövrärden urval för publ'!$R$2:$R$416,0),2),"")</f>
        <v/>
      </c>
      <c r="D608" s="121" t="str">
        <f>IFERROR(VLOOKUP($C608,'Miljövrärden urval för publ'!$B$2:$H$416,MATCH('Miljövärden för publ företag'!D$4,'Miljövrärden urval för publ'!$B$2:$H$2,0),FALSE),"")</f>
        <v/>
      </c>
      <c r="E608" s="121" t="str">
        <f>IFERROR(VLOOKUP($C608,'Miljövrärden urval för publ'!$B$2:$H$416,MATCH('Miljövärden för publ företag'!E$4,'Miljövrärden urval för publ'!$B$2:$H$2,0),FALSE),"")</f>
        <v/>
      </c>
      <c r="F608" s="121" t="str">
        <f>IFERROR(VLOOKUP($C608,'Miljövrärden urval för publ'!$B$2:$H$416,MATCH('Miljövärden för publ företag'!F$4,'Miljövrärden urval för publ'!$B$2:$H$2,0),FALSE),"")</f>
        <v/>
      </c>
      <c r="G608" s="121" t="str">
        <f>IFERROR(VLOOKUP($C608,'Miljövrärden urval för publ'!$B$2:$H$416,MATCH('Miljövärden för publ företag'!G$4,'Miljövrärden urval för publ'!$B$2:$H$2,0),FALSE),"")</f>
        <v/>
      </c>
    </row>
    <row r="609" spans="2:7" x14ac:dyDescent="0.25">
      <c r="B609" s="121" t="str">
        <f>IFERROR(INDEX('Miljövrärden urval för publ'!$A$2:$AA$419,MATCH('Miljövärden för publ företag'!$A609,'Miljövrärden urval för publ'!$R$2:$R$416,0),1),"")</f>
        <v/>
      </c>
      <c r="C609" s="121" t="str">
        <f>IFERROR(INDEX('Miljövrärden urval för publ'!$A$2:$AA$419,MATCH('Miljövärden för publ företag'!$A609,'Miljövrärden urval för publ'!$R$2:$R$416,0),2),"")</f>
        <v/>
      </c>
      <c r="D609" s="121" t="str">
        <f>IFERROR(VLOOKUP($C609,'Miljövrärden urval för publ'!$B$2:$H$416,MATCH('Miljövärden för publ företag'!D$4,'Miljövrärden urval för publ'!$B$2:$H$2,0),FALSE),"")</f>
        <v/>
      </c>
      <c r="E609" s="121" t="str">
        <f>IFERROR(VLOOKUP($C609,'Miljövrärden urval för publ'!$B$2:$H$416,MATCH('Miljövärden för publ företag'!E$4,'Miljövrärden urval för publ'!$B$2:$H$2,0),FALSE),"")</f>
        <v/>
      </c>
      <c r="F609" s="121" t="str">
        <f>IFERROR(VLOOKUP($C609,'Miljövrärden urval för publ'!$B$2:$H$416,MATCH('Miljövärden för publ företag'!F$4,'Miljövrärden urval för publ'!$B$2:$H$2,0),FALSE),"")</f>
        <v/>
      </c>
      <c r="G609" s="121" t="str">
        <f>IFERROR(VLOOKUP($C609,'Miljövrärden urval för publ'!$B$2:$H$416,MATCH('Miljövärden för publ företag'!G$4,'Miljövrärden urval för publ'!$B$2:$H$2,0),FALSE),"")</f>
        <v/>
      </c>
    </row>
    <row r="610" spans="2:7" x14ac:dyDescent="0.25">
      <c r="B610" s="121" t="str">
        <f>IFERROR(INDEX('Miljövrärden urval för publ'!$A$2:$AA$419,MATCH('Miljövärden för publ företag'!$A610,'Miljövrärden urval för publ'!$R$2:$R$416,0),1),"")</f>
        <v/>
      </c>
      <c r="C610" s="121" t="str">
        <f>IFERROR(INDEX('Miljövrärden urval för publ'!$A$2:$AA$419,MATCH('Miljövärden för publ företag'!$A610,'Miljövrärden urval för publ'!$R$2:$R$416,0),2),"")</f>
        <v/>
      </c>
      <c r="D610" s="121" t="str">
        <f>IFERROR(VLOOKUP($C610,'Miljövrärden urval för publ'!$B$2:$H$416,MATCH('Miljövärden för publ företag'!D$4,'Miljövrärden urval för publ'!$B$2:$H$2,0),FALSE),"")</f>
        <v/>
      </c>
      <c r="E610" s="121" t="str">
        <f>IFERROR(VLOOKUP($C610,'Miljövrärden urval för publ'!$B$2:$H$416,MATCH('Miljövärden för publ företag'!E$4,'Miljövrärden urval för publ'!$B$2:$H$2,0),FALSE),"")</f>
        <v/>
      </c>
      <c r="F610" s="121" t="str">
        <f>IFERROR(VLOOKUP($C610,'Miljövrärden urval för publ'!$B$2:$H$416,MATCH('Miljövärden för publ företag'!F$4,'Miljövrärden urval för publ'!$B$2:$H$2,0),FALSE),"")</f>
        <v/>
      </c>
      <c r="G610" s="121" t="str">
        <f>IFERROR(VLOOKUP($C610,'Miljövrärden urval för publ'!$B$2:$H$416,MATCH('Miljövärden för publ företag'!G$4,'Miljövrärden urval för publ'!$B$2:$H$2,0),FALSE),"")</f>
        <v/>
      </c>
    </row>
    <row r="611" spans="2:7" x14ac:dyDescent="0.25">
      <c r="B611" s="121" t="str">
        <f>IFERROR(INDEX('Miljövrärden urval för publ'!$A$2:$AA$419,MATCH('Miljövärden för publ företag'!$A611,'Miljövrärden urval för publ'!$R$2:$R$416,0),1),"")</f>
        <v/>
      </c>
      <c r="C611" s="121" t="str">
        <f>IFERROR(INDEX('Miljövrärden urval för publ'!$A$2:$AA$419,MATCH('Miljövärden för publ företag'!$A611,'Miljövrärden urval för publ'!$R$2:$R$416,0),2),"")</f>
        <v/>
      </c>
      <c r="D611" s="121" t="str">
        <f>IFERROR(VLOOKUP($C611,'Miljövrärden urval för publ'!$B$2:$H$416,MATCH('Miljövärden för publ företag'!D$4,'Miljövrärden urval för publ'!$B$2:$H$2,0),FALSE),"")</f>
        <v/>
      </c>
      <c r="E611" s="121" t="str">
        <f>IFERROR(VLOOKUP($C611,'Miljövrärden urval för publ'!$B$2:$H$416,MATCH('Miljövärden för publ företag'!E$4,'Miljövrärden urval för publ'!$B$2:$H$2,0),FALSE),"")</f>
        <v/>
      </c>
      <c r="F611" s="121" t="str">
        <f>IFERROR(VLOOKUP($C611,'Miljövrärden urval för publ'!$B$2:$H$416,MATCH('Miljövärden för publ företag'!F$4,'Miljövrärden urval för publ'!$B$2:$H$2,0),FALSE),"")</f>
        <v/>
      </c>
      <c r="G611" s="121" t="str">
        <f>IFERROR(VLOOKUP($C611,'Miljövrärden urval för publ'!$B$2:$H$416,MATCH('Miljövärden för publ företag'!G$4,'Miljövrärden urval för publ'!$B$2:$H$2,0),FALSE),"")</f>
        <v/>
      </c>
    </row>
    <row r="612" spans="2:7" x14ac:dyDescent="0.25">
      <c r="B612" s="121" t="str">
        <f>IFERROR(INDEX('Miljövrärden urval för publ'!$A$2:$AA$419,MATCH('Miljövärden för publ företag'!$A612,'Miljövrärden urval för publ'!$R$2:$R$416,0),1),"")</f>
        <v/>
      </c>
      <c r="C612" s="121" t="str">
        <f>IFERROR(INDEX('Miljövrärden urval för publ'!$A$2:$AA$419,MATCH('Miljövärden för publ företag'!$A612,'Miljövrärden urval för publ'!$R$2:$R$416,0),2),"")</f>
        <v/>
      </c>
      <c r="D612" s="121" t="str">
        <f>IFERROR(VLOOKUP($C612,'Miljövrärden urval för publ'!$B$2:$H$416,MATCH('Miljövärden för publ företag'!D$4,'Miljövrärden urval för publ'!$B$2:$H$2,0),FALSE),"")</f>
        <v/>
      </c>
      <c r="E612" s="121" t="str">
        <f>IFERROR(VLOOKUP($C612,'Miljövrärden urval för publ'!$B$2:$H$416,MATCH('Miljövärden för publ företag'!E$4,'Miljövrärden urval för publ'!$B$2:$H$2,0),FALSE),"")</f>
        <v/>
      </c>
      <c r="F612" s="121" t="str">
        <f>IFERROR(VLOOKUP($C612,'Miljövrärden urval för publ'!$B$2:$H$416,MATCH('Miljövärden för publ företag'!F$4,'Miljövrärden urval för publ'!$B$2:$H$2,0),FALSE),"")</f>
        <v/>
      </c>
      <c r="G612" s="121" t="str">
        <f>IFERROR(VLOOKUP($C612,'Miljövrärden urval för publ'!$B$2:$H$416,MATCH('Miljövärden för publ företag'!G$4,'Miljövrärden urval för publ'!$B$2:$H$2,0),FALSE),"")</f>
        <v/>
      </c>
    </row>
    <row r="613" spans="2:7" x14ac:dyDescent="0.25">
      <c r="B613" s="121" t="str">
        <f>IFERROR(INDEX('Miljövrärden urval för publ'!$A$2:$AA$419,MATCH('Miljövärden för publ företag'!$A613,'Miljövrärden urval för publ'!$R$2:$R$416,0),1),"")</f>
        <v/>
      </c>
      <c r="C613" s="121" t="str">
        <f>IFERROR(INDEX('Miljövrärden urval för publ'!$A$2:$AA$419,MATCH('Miljövärden för publ företag'!$A613,'Miljövrärden urval för publ'!$R$2:$R$416,0),2),"")</f>
        <v/>
      </c>
      <c r="D613" s="121" t="str">
        <f>IFERROR(VLOOKUP($C613,'Miljövrärden urval för publ'!$B$2:$H$416,MATCH('Miljövärden för publ företag'!D$4,'Miljövrärden urval för publ'!$B$2:$H$2,0),FALSE),"")</f>
        <v/>
      </c>
      <c r="E613" s="121" t="str">
        <f>IFERROR(VLOOKUP($C613,'Miljövrärden urval för publ'!$B$2:$H$416,MATCH('Miljövärden för publ företag'!E$4,'Miljövrärden urval för publ'!$B$2:$H$2,0),FALSE),"")</f>
        <v/>
      </c>
      <c r="F613" s="121" t="str">
        <f>IFERROR(VLOOKUP($C613,'Miljövrärden urval för publ'!$B$2:$H$416,MATCH('Miljövärden för publ företag'!F$4,'Miljövrärden urval för publ'!$B$2:$H$2,0),FALSE),"")</f>
        <v/>
      </c>
      <c r="G613" s="121" t="str">
        <f>IFERROR(VLOOKUP($C613,'Miljövrärden urval för publ'!$B$2:$H$416,MATCH('Miljövärden för publ företag'!G$4,'Miljövrärden urval för publ'!$B$2:$H$2,0),FALSE),"")</f>
        <v/>
      </c>
    </row>
    <row r="614" spans="2:7" x14ac:dyDescent="0.25">
      <c r="B614" s="121" t="str">
        <f>IFERROR(INDEX('Miljövrärden urval för publ'!$A$2:$AA$419,MATCH('Miljövärden för publ företag'!$A614,'Miljövrärden urval för publ'!$R$2:$R$416,0),1),"")</f>
        <v/>
      </c>
      <c r="C614" s="121" t="str">
        <f>IFERROR(INDEX('Miljövrärden urval för publ'!$A$2:$AA$419,MATCH('Miljövärden för publ företag'!$A614,'Miljövrärden urval för publ'!$R$2:$R$416,0),2),"")</f>
        <v/>
      </c>
      <c r="D614" s="121" t="str">
        <f>IFERROR(VLOOKUP($C614,'Miljövrärden urval för publ'!$B$2:$H$416,MATCH('Miljövärden för publ företag'!D$4,'Miljövrärden urval för publ'!$B$2:$H$2,0),FALSE),"")</f>
        <v/>
      </c>
      <c r="E614" s="121" t="str">
        <f>IFERROR(VLOOKUP($C614,'Miljövrärden urval för publ'!$B$2:$H$416,MATCH('Miljövärden för publ företag'!E$4,'Miljövrärden urval för publ'!$B$2:$H$2,0),FALSE),"")</f>
        <v/>
      </c>
      <c r="F614" s="121" t="str">
        <f>IFERROR(VLOOKUP($C614,'Miljövrärden urval för publ'!$B$2:$H$416,MATCH('Miljövärden för publ företag'!F$4,'Miljövrärden urval för publ'!$B$2:$H$2,0),FALSE),"")</f>
        <v/>
      </c>
      <c r="G614" s="121" t="str">
        <f>IFERROR(VLOOKUP($C614,'Miljövrärden urval för publ'!$B$2:$H$416,MATCH('Miljövärden för publ företag'!G$4,'Miljövrärden urval för publ'!$B$2:$H$2,0),FALSE),"")</f>
        <v/>
      </c>
    </row>
    <row r="615" spans="2:7" x14ac:dyDescent="0.25">
      <c r="B615" s="121" t="str">
        <f>IFERROR(INDEX('Miljövrärden urval för publ'!$A$2:$AA$419,MATCH('Miljövärden för publ företag'!$A615,'Miljövrärden urval för publ'!$R$2:$R$416,0),1),"")</f>
        <v/>
      </c>
      <c r="C615" s="121" t="str">
        <f>IFERROR(INDEX('Miljövrärden urval för publ'!$A$2:$AA$419,MATCH('Miljövärden för publ företag'!$A615,'Miljövrärden urval för publ'!$R$2:$R$416,0),2),"")</f>
        <v/>
      </c>
      <c r="D615" s="121" t="str">
        <f>IFERROR(VLOOKUP($C615,'Miljövrärden urval för publ'!$B$2:$H$416,MATCH('Miljövärden för publ företag'!D$4,'Miljövrärden urval för publ'!$B$2:$H$2,0),FALSE),"")</f>
        <v/>
      </c>
      <c r="E615" s="121" t="str">
        <f>IFERROR(VLOOKUP($C615,'Miljövrärden urval för publ'!$B$2:$H$416,MATCH('Miljövärden för publ företag'!E$4,'Miljövrärden urval för publ'!$B$2:$H$2,0),FALSE),"")</f>
        <v/>
      </c>
      <c r="F615" s="121" t="str">
        <f>IFERROR(VLOOKUP($C615,'Miljövrärden urval för publ'!$B$2:$H$416,MATCH('Miljövärden för publ företag'!F$4,'Miljövrärden urval för publ'!$B$2:$H$2,0),FALSE),"")</f>
        <v/>
      </c>
      <c r="G615" s="121" t="str">
        <f>IFERROR(VLOOKUP($C615,'Miljövrärden urval för publ'!$B$2:$H$416,MATCH('Miljövärden för publ företag'!G$4,'Miljövrärden urval för publ'!$B$2:$H$2,0),FALSE),"")</f>
        <v/>
      </c>
    </row>
    <row r="616" spans="2:7" x14ac:dyDescent="0.25">
      <c r="B616" s="121" t="str">
        <f>IFERROR(INDEX('Miljövrärden urval för publ'!$A$2:$AA$419,MATCH('Miljövärden för publ företag'!$A616,'Miljövrärden urval för publ'!$R$2:$R$416,0),1),"")</f>
        <v/>
      </c>
      <c r="C616" s="121" t="str">
        <f>IFERROR(INDEX('Miljövrärden urval för publ'!$A$2:$AA$419,MATCH('Miljövärden för publ företag'!$A616,'Miljövrärden urval för publ'!$R$2:$R$416,0),2),"")</f>
        <v/>
      </c>
      <c r="D616" s="121" t="str">
        <f>IFERROR(VLOOKUP($C616,'Miljövrärden urval för publ'!$B$2:$H$416,MATCH('Miljövärden för publ företag'!D$4,'Miljövrärden urval för publ'!$B$2:$H$2,0),FALSE),"")</f>
        <v/>
      </c>
      <c r="E616" s="121" t="str">
        <f>IFERROR(VLOOKUP($C616,'Miljövrärden urval för publ'!$B$2:$H$416,MATCH('Miljövärden för publ företag'!E$4,'Miljövrärden urval för publ'!$B$2:$H$2,0),FALSE),"")</f>
        <v/>
      </c>
      <c r="F616" s="121" t="str">
        <f>IFERROR(VLOOKUP($C616,'Miljövrärden urval för publ'!$B$2:$H$416,MATCH('Miljövärden för publ företag'!F$4,'Miljövrärden urval för publ'!$B$2:$H$2,0),FALSE),"")</f>
        <v/>
      </c>
      <c r="G616" s="121" t="str">
        <f>IFERROR(VLOOKUP($C616,'Miljövrärden urval för publ'!$B$2:$H$416,MATCH('Miljövärden för publ företag'!G$4,'Miljövrärden urval för publ'!$B$2:$H$2,0),FALSE),"")</f>
        <v/>
      </c>
    </row>
    <row r="617" spans="2:7" x14ac:dyDescent="0.25">
      <c r="B617" s="121" t="str">
        <f>IFERROR(INDEX('Miljövrärden urval för publ'!$A$2:$AA$419,MATCH('Miljövärden för publ företag'!$A617,'Miljövrärden urval för publ'!$R$2:$R$416,0),1),"")</f>
        <v/>
      </c>
      <c r="C617" s="121" t="str">
        <f>IFERROR(INDEX('Miljövrärden urval för publ'!$A$2:$AA$419,MATCH('Miljövärden för publ företag'!$A617,'Miljövrärden urval för publ'!$R$2:$R$416,0),2),"")</f>
        <v/>
      </c>
      <c r="D617" s="121" t="str">
        <f>IFERROR(VLOOKUP($C617,'Miljövrärden urval för publ'!$B$2:$H$416,MATCH('Miljövärden för publ företag'!D$4,'Miljövrärden urval för publ'!$B$2:$H$2,0),FALSE),"")</f>
        <v/>
      </c>
      <c r="E617" s="121" t="str">
        <f>IFERROR(VLOOKUP($C617,'Miljövrärden urval för publ'!$B$2:$H$416,MATCH('Miljövärden för publ företag'!E$4,'Miljövrärden urval för publ'!$B$2:$H$2,0),FALSE),"")</f>
        <v/>
      </c>
      <c r="F617" s="121" t="str">
        <f>IFERROR(VLOOKUP($C617,'Miljövrärden urval för publ'!$B$2:$H$416,MATCH('Miljövärden för publ företag'!F$4,'Miljövrärden urval för publ'!$B$2:$H$2,0),FALSE),"")</f>
        <v/>
      </c>
      <c r="G617" s="121" t="str">
        <f>IFERROR(VLOOKUP($C617,'Miljövrärden urval för publ'!$B$2:$H$416,MATCH('Miljövärden för publ företag'!G$4,'Miljövrärden urval för publ'!$B$2:$H$2,0),FALSE),"")</f>
        <v/>
      </c>
    </row>
    <row r="618" spans="2:7" x14ac:dyDescent="0.25">
      <c r="B618" s="121" t="str">
        <f>IFERROR(INDEX('Miljövrärden urval för publ'!$A$2:$AA$419,MATCH('Miljövärden för publ företag'!$A618,'Miljövrärden urval för publ'!$R$2:$R$416,0),1),"")</f>
        <v/>
      </c>
      <c r="C618" s="121" t="str">
        <f>IFERROR(INDEX('Miljövrärden urval för publ'!$A$2:$AA$419,MATCH('Miljövärden för publ företag'!$A618,'Miljövrärden urval för publ'!$R$2:$R$416,0),2),"")</f>
        <v/>
      </c>
      <c r="D618" s="121" t="str">
        <f>IFERROR(VLOOKUP($C618,'Miljövrärden urval för publ'!$B$2:$H$416,MATCH('Miljövärden för publ företag'!D$4,'Miljövrärden urval för publ'!$B$2:$H$2,0),FALSE),"")</f>
        <v/>
      </c>
      <c r="E618" s="121" t="str">
        <f>IFERROR(VLOOKUP($C618,'Miljövrärden urval för publ'!$B$2:$H$416,MATCH('Miljövärden för publ företag'!E$4,'Miljövrärden urval för publ'!$B$2:$H$2,0),FALSE),"")</f>
        <v/>
      </c>
      <c r="F618" s="121" t="str">
        <f>IFERROR(VLOOKUP($C618,'Miljövrärden urval för publ'!$B$2:$H$416,MATCH('Miljövärden för publ företag'!F$4,'Miljövrärden urval för publ'!$B$2:$H$2,0),FALSE),"")</f>
        <v/>
      </c>
      <c r="G618" s="121" t="str">
        <f>IFERROR(VLOOKUP($C618,'Miljövrärden urval för publ'!$B$2:$H$416,MATCH('Miljövärden för publ företag'!G$4,'Miljövrärden urval för publ'!$B$2:$H$2,0),FALSE),"")</f>
        <v/>
      </c>
    </row>
    <row r="619" spans="2:7" x14ac:dyDescent="0.25">
      <c r="B619" s="121" t="str">
        <f>IFERROR(INDEX('Miljövrärden urval för publ'!$A$2:$AA$419,MATCH('Miljövärden för publ företag'!$A619,'Miljövrärden urval för publ'!$R$2:$R$416,0),1),"")</f>
        <v/>
      </c>
      <c r="C619" s="121" t="str">
        <f>IFERROR(INDEX('Miljövrärden urval för publ'!$A$2:$AA$419,MATCH('Miljövärden för publ företag'!$A619,'Miljövrärden urval för publ'!$R$2:$R$416,0),2),"")</f>
        <v/>
      </c>
      <c r="D619" s="121" t="str">
        <f>IFERROR(VLOOKUP($C619,'Miljövrärden urval för publ'!$B$2:$H$416,MATCH('Miljövärden för publ företag'!D$4,'Miljövrärden urval för publ'!$B$2:$H$2,0),FALSE),"")</f>
        <v/>
      </c>
      <c r="E619" s="121" t="str">
        <f>IFERROR(VLOOKUP($C619,'Miljövrärden urval för publ'!$B$2:$H$416,MATCH('Miljövärden för publ företag'!E$4,'Miljövrärden urval för publ'!$B$2:$H$2,0),FALSE),"")</f>
        <v/>
      </c>
      <c r="F619" s="121" t="str">
        <f>IFERROR(VLOOKUP($C619,'Miljövrärden urval för publ'!$B$2:$H$416,MATCH('Miljövärden för publ företag'!F$4,'Miljövrärden urval för publ'!$B$2:$H$2,0),FALSE),"")</f>
        <v/>
      </c>
      <c r="G619" s="121" t="str">
        <f>IFERROR(VLOOKUP($C619,'Miljövrärden urval för publ'!$B$2:$H$416,MATCH('Miljövärden för publ företag'!G$4,'Miljövrärden urval för publ'!$B$2:$H$2,0),FALSE),"")</f>
        <v/>
      </c>
    </row>
    <row r="620" spans="2:7" x14ac:dyDescent="0.25">
      <c r="B620" s="121" t="str">
        <f>IFERROR(INDEX('Miljövrärden urval för publ'!$A$2:$AA$419,MATCH('Miljövärden för publ företag'!$A620,'Miljövrärden urval för publ'!$R$2:$R$416,0),1),"")</f>
        <v/>
      </c>
      <c r="C620" s="121" t="str">
        <f>IFERROR(INDEX('Miljövrärden urval för publ'!$A$2:$AA$419,MATCH('Miljövärden för publ företag'!$A620,'Miljövrärden urval för publ'!$R$2:$R$416,0),2),"")</f>
        <v/>
      </c>
      <c r="D620" s="121" t="str">
        <f>IFERROR(VLOOKUP($C620,'Miljövrärden urval för publ'!$B$2:$H$416,MATCH('Miljövärden för publ företag'!D$4,'Miljövrärden urval för publ'!$B$2:$H$2,0),FALSE),"")</f>
        <v/>
      </c>
      <c r="E620" s="121" t="str">
        <f>IFERROR(VLOOKUP($C620,'Miljövrärden urval för publ'!$B$2:$H$416,MATCH('Miljövärden för publ företag'!E$4,'Miljövrärden urval för publ'!$B$2:$H$2,0),FALSE),"")</f>
        <v/>
      </c>
      <c r="F620" s="121" t="str">
        <f>IFERROR(VLOOKUP($C620,'Miljövrärden urval för publ'!$B$2:$H$416,MATCH('Miljövärden för publ företag'!F$4,'Miljövrärden urval för publ'!$B$2:$H$2,0),FALSE),"")</f>
        <v/>
      </c>
      <c r="G620" s="121" t="str">
        <f>IFERROR(VLOOKUP($C620,'Miljövrärden urval för publ'!$B$2:$H$416,MATCH('Miljövärden för publ företag'!G$4,'Miljövrärden urval för publ'!$B$2:$H$2,0),FALSE),"")</f>
        <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J415"/>
  <sheetViews>
    <sheetView topLeftCell="B1" workbookViewId="0">
      <selection activeCell="B39" sqref="B39"/>
    </sheetView>
  </sheetViews>
  <sheetFormatPr defaultRowHeight="15" x14ac:dyDescent="0.25"/>
  <cols>
    <col min="1" max="1" width="36.140625" style="137" bestFit="1" customWidth="1"/>
    <col min="2" max="2" width="48" style="137" bestFit="1" customWidth="1"/>
    <col min="3" max="3" width="22.85546875" style="121" customWidth="1"/>
    <col min="4" max="4" width="29.28515625" style="121" bestFit="1" customWidth="1"/>
    <col min="5" max="5" width="21" style="121" customWidth="1"/>
    <col min="6" max="6" width="17.28515625" style="121" customWidth="1"/>
    <col min="7" max="7" width="20.7109375" style="121" bestFit="1" customWidth="1"/>
    <col min="8" max="8" width="20.140625" style="121" customWidth="1"/>
    <col min="9" max="9" width="9.140625" style="121"/>
    <col min="10" max="10" width="36.140625" style="121" bestFit="1" customWidth="1"/>
    <col min="11" max="16384" width="9.140625" style="121"/>
  </cols>
  <sheetData>
    <row r="1" spans="1:10" s="310" customFormat="1" ht="75" x14ac:dyDescent="0.25">
      <c r="A1" s="304" t="s">
        <v>151</v>
      </c>
      <c r="B1" s="305" t="s">
        <v>2</v>
      </c>
      <c r="C1" s="306" t="s">
        <v>1374</v>
      </c>
      <c r="D1" s="306" t="s">
        <v>1375</v>
      </c>
      <c r="E1" s="306" t="s">
        <v>1234</v>
      </c>
      <c r="F1" s="307" t="s">
        <v>1376</v>
      </c>
      <c r="G1" s="308" t="s">
        <v>1377</v>
      </c>
      <c r="H1" s="309" t="s">
        <v>1378</v>
      </c>
      <c r="I1" s="307"/>
      <c r="J1" s="307" t="s">
        <v>1379</v>
      </c>
    </row>
    <row r="2" spans="1:10" x14ac:dyDescent="0.25">
      <c r="A2" s="137" t="s">
        <v>15</v>
      </c>
      <c r="B2" s="137" t="s">
        <v>16</v>
      </c>
      <c r="D2" s="121" t="str">
        <f>IF(ISERROR(1/VLOOKUP($B2,Kraftvärmeprod!$B$1:$D$479,MATCH("Total värmeproduktion i kraftvärmeverk i kombinerad drift (GWh)",Kraftvärmeprod!$B$1:$AV$1,0),FALSE)),"Ej kraftvärme","Alternativproduktionsmetoden")</f>
        <v>Ej kraftvärme</v>
      </c>
      <c r="E2" s="172" t="str">
        <f>IF(ISERROR(1/VLOOKUP($B2,Kraftvärmeprod!$B$1:$BD$479,MATCH("Total värmeproduktion i kraftvärmeverk i kombinerad drift (GWh)",Kraftvärmeprod!$B$1:$AV$1,0),FALSE)),"",VLOOKUP($B2,'Slutlig allokering kvv'!$B$1:$BC$479,MATCH(E$1,'Slutlig allokering kvv'!$B$1:$AU$1,0),FALSE))</f>
        <v/>
      </c>
      <c r="F2" s="121" t="str">
        <f>IF(ISERROR(1/VLOOKUP($B2,Kraftvärmeprod!$B$1:$AV$479,MATCH("Producerad elenergi i kraftvärmeverk (GWh)",Kraftvärmeprod!$B$1:$AV$1,0),FALSE)),"",VLOOKUP($B2,Kraftvärmeprod!$B$1:$AV$479,MATCH("Producerad elenergi i kraftvärmeverk (GWh)",Kraftvärmeprod!$B$1:$AV$1,0),FALSE))</f>
        <v/>
      </c>
      <c r="G2" s="121" t="str">
        <f>IF(ISERROR(1/VLOOKUP($B2,Miljö!$B$1:$T$480,MATCH("Såld mängd produktionsspecifik fjärrvärme (GWh)",Miljö!$B$1:$T$1,0),FALSE)),"",VLOOKUP($B2,Miljö!$B$1:$T$480,MATCH("Såld mängd produktionsspecifik fjärrvärme (GWh)",Miljö!$B$1:$T$1,0),FALSE))</f>
        <v/>
      </c>
      <c r="J2" s="121" t="str">
        <f>A2</f>
        <v>Adven Energilösningar AB</v>
      </c>
    </row>
    <row r="3" spans="1:10" x14ac:dyDescent="0.25">
      <c r="A3" s="137" t="s">
        <v>15</v>
      </c>
      <c r="B3" s="137" t="s">
        <v>18</v>
      </c>
      <c r="D3" s="121" t="str">
        <f>IF(ISERROR(1/VLOOKUP($B3,Kraftvärmeprod!$B$1:$D$479,MATCH("Total värmeproduktion i kraftvärmeverk i kombinerad drift (GWh)",Kraftvärmeprod!$B$1:$AV$1,0),FALSE)),"Ej kraftvärme","Alternativproduktionsmetoden")</f>
        <v>Ej kraftvärme</v>
      </c>
      <c r="E3" s="172" t="str">
        <f>IF(ISERROR(1/VLOOKUP($B3,Kraftvärmeprod!$B$1:$BD$479,MATCH("Total värmeproduktion i kraftvärmeverk i kombinerad drift (GWh)",Kraftvärmeprod!$B$1:$AV$1,0),FALSE)),"",VLOOKUP($B3,'Slutlig allokering kvv'!$B$1:$BC$479,MATCH(E$1,'Slutlig allokering kvv'!$B$1:$AU$1,0),FALSE))</f>
        <v/>
      </c>
      <c r="F3" s="121" t="str">
        <f>IF(ISERROR(1/VLOOKUP($B3,Kraftvärmeprod!$B$1:$AV$479,MATCH("Producerad elenergi i kraftvärmeverk (GWh)",Kraftvärmeprod!$B$1:$AV$1,0),FALSE)),"",VLOOKUP($B3,Kraftvärmeprod!$B$1:$AV$479,MATCH("Producerad elenergi i kraftvärmeverk (GWh)",Kraftvärmeprod!$B$1:$AV$1,0),FALSE))</f>
        <v/>
      </c>
      <c r="G3" s="121" t="str">
        <f>IF(ISERROR(1/VLOOKUP($B3,Miljö!$B$1:$T$480,MATCH("Såld mängd produktionsspecifik fjärrvärme (GWh)",Miljö!$B$1:$T$1,0),FALSE)),"",VLOOKUP($B3,Miljö!$B$1:$T$480,MATCH("Såld mängd produktionsspecifik fjärrvärme (GWh)",Miljö!$B$1:$T$1,0),FALSE))</f>
        <v/>
      </c>
      <c r="J3" s="121" t="str">
        <f t="shared" ref="J3:J66" si="0">A3</f>
        <v>Adven Energilösningar AB</v>
      </c>
    </row>
    <row r="4" spans="1:10" x14ac:dyDescent="0.25">
      <c r="A4" s="137" t="s">
        <v>15</v>
      </c>
      <c r="B4" s="137" t="s">
        <v>20</v>
      </c>
      <c r="D4" s="121" t="str">
        <f>IF(ISERROR(1/VLOOKUP($B4,Kraftvärmeprod!$B$1:$D$479,MATCH("Total värmeproduktion i kraftvärmeverk i kombinerad drift (GWh)",Kraftvärmeprod!$B$1:$AV$1,0),FALSE)),"Ej kraftvärme","Alternativproduktionsmetoden")</f>
        <v>Ej kraftvärme</v>
      </c>
      <c r="E4" s="172" t="str">
        <f>IF(ISERROR(1/VLOOKUP($B4,Kraftvärmeprod!$B$1:$BD$479,MATCH("Total värmeproduktion i kraftvärmeverk i kombinerad drift (GWh)",Kraftvärmeprod!$B$1:$AV$1,0),FALSE)),"",VLOOKUP($B4,'Slutlig allokering kvv'!$B$1:$BC$479,MATCH(E$1,'Slutlig allokering kvv'!$B$1:$AU$1,0),FALSE))</f>
        <v/>
      </c>
      <c r="F4" s="121" t="str">
        <f>IF(ISERROR(1/VLOOKUP($B4,Kraftvärmeprod!$B$1:$AV$479,MATCH("Producerad elenergi i kraftvärmeverk (GWh)",Kraftvärmeprod!$B$1:$AV$1,0),FALSE)),"",VLOOKUP($B4,Kraftvärmeprod!$B$1:$AV$479,MATCH("Producerad elenergi i kraftvärmeverk (GWh)",Kraftvärmeprod!$B$1:$AV$1,0),FALSE))</f>
        <v/>
      </c>
      <c r="G4" s="121" t="str">
        <f>IF(ISERROR(1/VLOOKUP($B4,Miljö!$B$1:$T$480,MATCH("Såld mängd produktionsspecifik fjärrvärme (GWh)",Miljö!$B$1:$T$1,0),FALSE)),"",VLOOKUP($B4,Miljö!$B$1:$T$480,MATCH("Såld mängd produktionsspecifik fjärrvärme (GWh)",Miljö!$B$1:$T$1,0),FALSE))</f>
        <v/>
      </c>
      <c r="J4" s="121" t="str">
        <f t="shared" si="0"/>
        <v>Adven Energilösningar AB</v>
      </c>
    </row>
    <row r="5" spans="1:10" x14ac:dyDescent="0.25">
      <c r="A5" s="137" t="s">
        <v>15</v>
      </c>
      <c r="B5" s="137" t="s">
        <v>22</v>
      </c>
      <c r="D5" s="121" t="str">
        <f>IF(ISERROR(1/VLOOKUP($B5,Kraftvärmeprod!$B$1:$D$479,MATCH("Total värmeproduktion i kraftvärmeverk i kombinerad drift (GWh)",Kraftvärmeprod!$B$1:$AV$1,0),FALSE)),"Ej kraftvärme","Alternativproduktionsmetoden")</f>
        <v>Ej kraftvärme</v>
      </c>
      <c r="E5" s="172" t="str">
        <f>IF(ISERROR(1/VLOOKUP($B5,Kraftvärmeprod!$B$1:$BD$479,MATCH("Total värmeproduktion i kraftvärmeverk i kombinerad drift (GWh)",Kraftvärmeprod!$B$1:$AV$1,0),FALSE)),"",VLOOKUP($B5,'Slutlig allokering kvv'!$B$1:$BC$479,MATCH(E$1,'Slutlig allokering kvv'!$B$1:$AU$1,0),FALSE))</f>
        <v/>
      </c>
      <c r="F5" s="121" t="str">
        <f>IF(ISERROR(1/VLOOKUP($B5,Kraftvärmeprod!$B$1:$AV$479,MATCH("Producerad elenergi i kraftvärmeverk (GWh)",Kraftvärmeprod!$B$1:$AV$1,0),FALSE)),"",VLOOKUP($B5,Kraftvärmeprod!$B$1:$AV$479,MATCH("Producerad elenergi i kraftvärmeverk (GWh)",Kraftvärmeprod!$B$1:$AV$1,0),FALSE))</f>
        <v/>
      </c>
      <c r="G5" s="121" t="str">
        <f>IF(ISERROR(1/VLOOKUP($B5,Miljö!$B$1:$T$480,MATCH("Såld mängd produktionsspecifik fjärrvärme (GWh)",Miljö!$B$1:$T$1,0),FALSE)),"",VLOOKUP($B5,Miljö!$B$1:$T$480,MATCH("Såld mängd produktionsspecifik fjärrvärme (GWh)",Miljö!$B$1:$T$1,0),FALSE))</f>
        <v/>
      </c>
      <c r="J5" s="121" t="str">
        <f t="shared" si="0"/>
        <v>Adven Energilösningar AB</v>
      </c>
    </row>
    <row r="6" spans="1:10" x14ac:dyDescent="0.25">
      <c r="A6" s="137" t="s">
        <v>15</v>
      </c>
      <c r="B6" s="137" t="s">
        <v>24</v>
      </c>
      <c r="D6" s="121" t="str">
        <f>IF(ISERROR(1/VLOOKUP($B6,Kraftvärmeprod!$B$1:$D$479,MATCH("Total värmeproduktion i kraftvärmeverk i kombinerad drift (GWh)",Kraftvärmeprod!$B$1:$AV$1,0),FALSE)),"Ej kraftvärme","Alternativproduktionsmetoden")</f>
        <v>Ej kraftvärme</v>
      </c>
      <c r="E6" s="172" t="str">
        <f>IF(ISERROR(1/VLOOKUP($B6,Kraftvärmeprod!$B$1:$BD$479,MATCH("Total värmeproduktion i kraftvärmeverk i kombinerad drift (GWh)",Kraftvärmeprod!$B$1:$AV$1,0),FALSE)),"",VLOOKUP($B6,'Slutlig allokering kvv'!$B$1:$BC$479,MATCH(E$1,'Slutlig allokering kvv'!$B$1:$AU$1,0),FALSE))</f>
        <v/>
      </c>
      <c r="F6" s="121" t="str">
        <f>IF(ISERROR(1/VLOOKUP($B6,Kraftvärmeprod!$B$1:$AV$479,MATCH("Producerad elenergi i kraftvärmeverk (GWh)",Kraftvärmeprod!$B$1:$AV$1,0),FALSE)),"",VLOOKUP($B6,Kraftvärmeprod!$B$1:$AV$479,MATCH("Producerad elenergi i kraftvärmeverk (GWh)",Kraftvärmeprod!$B$1:$AV$1,0),FALSE))</f>
        <v/>
      </c>
      <c r="G6" s="121" t="str">
        <f>IF(ISERROR(1/VLOOKUP($B6,Miljö!$B$1:$T$480,MATCH("Såld mängd produktionsspecifik fjärrvärme (GWh)",Miljö!$B$1:$T$1,0),FALSE)),"",VLOOKUP($B6,Miljö!$B$1:$T$480,MATCH("Såld mängd produktionsspecifik fjärrvärme (GWh)",Miljö!$B$1:$T$1,0),FALSE))</f>
        <v/>
      </c>
      <c r="J6" s="121" t="str">
        <f t="shared" si="0"/>
        <v>Adven Energilösningar AB</v>
      </c>
    </row>
    <row r="7" spans="1:10" x14ac:dyDescent="0.25">
      <c r="A7" s="137" t="s">
        <v>15</v>
      </c>
      <c r="B7" s="137" t="s">
        <v>26</v>
      </c>
      <c r="D7" s="121" t="str">
        <f>IF(ISERROR(1/VLOOKUP($B7,Kraftvärmeprod!$B$1:$D$479,MATCH("Total värmeproduktion i kraftvärmeverk i kombinerad drift (GWh)",Kraftvärmeprod!$B$1:$AV$1,0),FALSE)),"Ej kraftvärme","Alternativproduktionsmetoden")</f>
        <v>Ej kraftvärme</v>
      </c>
      <c r="E7" s="172" t="str">
        <f>IF(ISERROR(1/VLOOKUP($B7,Kraftvärmeprod!$B$1:$BD$479,MATCH("Total värmeproduktion i kraftvärmeverk i kombinerad drift (GWh)",Kraftvärmeprod!$B$1:$AV$1,0),FALSE)),"",VLOOKUP($B7,'Slutlig allokering kvv'!$B$1:$BC$479,MATCH(E$1,'Slutlig allokering kvv'!$B$1:$AU$1,0),FALSE))</f>
        <v/>
      </c>
      <c r="F7" s="121" t="str">
        <f>IF(ISERROR(1/VLOOKUP($B7,Kraftvärmeprod!$B$1:$AV$479,MATCH("Producerad elenergi i kraftvärmeverk (GWh)",Kraftvärmeprod!$B$1:$AV$1,0),FALSE)),"",VLOOKUP($B7,Kraftvärmeprod!$B$1:$AV$479,MATCH("Producerad elenergi i kraftvärmeverk (GWh)",Kraftvärmeprod!$B$1:$AV$1,0),FALSE))</f>
        <v/>
      </c>
      <c r="G7" s="121" t="str">
        <f>IF(ISERROR(1/VLOOKUP($B7,Miljö!$B$1:$T$480,MATCH("Såld mängd produktionsspecifik fjärrvärme (GWh)",Miljö!$B$1:$T$1,0),FALSE)),"",VLOOKUP($B7,Miljö!$B$1:$T$480,MATCH("Såld mängd produktionsspecifik fjärrvärme (GWh)",Miljö!$B$1:$T$1,0),FALSE))</f>
        <v/>
      </c>
      <c r="J7" s="121" t="str">
        <f t="shared" si="0"/>
        <v>Adven Energilösningar AB</v>
      </c>
    </row>
    <row r="8" spans="1:10" x14ac:dyDescent="0.25">
      <c r="A8" s="137" t="s">
        <v>15</v>
      </c>
      <c r="B8" s="137" t="s">
        <v>196</v>
      </c>
      <c r="D8" s="121" t="str">
        <f>IF(ISERROR(1/VLOOKUP($B8,Kraftvärmeprod!$B$1:$D$479,MATCH("Total värmeproduktion i kraftvärmeverk i kombinerad drift (GWh)",Kraftvärmeprod!$B$1:$AV$1,0),FALSE)),"Ej kraftvärme","Alternativproduktionsmetoden")</f>
        <v>Ej kraftvärme</v>
      </c>
      <c r="E8" s="172" t="str">
        <f>IF(ISERROR(1/VLOOKUP($B8,Kraftvärmeprod!$B$1:$BD$479,MATCH("Total värmeproduktion i kraftvärmeverk i kombinerad drift (GWh)",Kraftvärmeprod!$B$1:$AV$1,0),FALSE)),"",VLOOKUP($B8,'Slutlig allokering kvv'!$B$1:$BC$479,MATCH(E$1,'Slutlig allokering kvv'!$B$1:$AU$1,0),FALSE))</f>
        <v/>
      </c>
      <c r="F8" s="121" t="str">
        <f>IF(ISERROR(1/VLOOKUP($B8,Kraftvärmeprod!$B$1:$AV$479,MATCH("Producerad elenergi i kraftvärmeverk (GWh)",Kraftvärmeprod!$B$1:$AV$1,0),FALSE)),"",VLOOKUP($B8,Kraftvärmeprod!$B$1:$AV$479,MATCH("Producerad elenergi i kraftvärmeverk (GWh)",Kraftvärmeprod!$B$1:$AV$1,0),FALSE))</f>
        <v/>
      </c>
      <c r="G8" s="121" t="str">
        <f>IF(ISERROR(1/VLOOKUP($B8,Miljö!$B$1:$T$480,MATCH("Såld mängd produktionsspecifik fjärrvärme (GWh)",Miljö!$B$1:$T$1,0),FALSE)),"",VLOOKUP($B8,Miljö!$B$1:$T$480,MATCH("Såld mängd produktionsspecifik fjärrvärme (GWh)",Miljö!$B$1:$T$1,0),FALSE))</f>
        <v/>
      </c>
      <c r="J8" s="121" t="str">
        <f t="shared" si="0"/>
        <v>Adven Energilösningar AB</v>
      </c>
    </row>
    <row r="9" spans="1:10" x14ac:dyDescent="0.25">
      <c r="A9" s="137" t="s">
        <v>15</v>
      </c>
      <c r="B9" s="137" t="s">
        <v>28</v>
      </c>
      <c r="D9" s="121" t="str">
        <f>IF(ISERROR(1/VLOOKUP($B9,Kraftvärmeprod!$B$1:$D$479,MATCH("Total värmeproduktion i kraftvärmeverk i kombinerad drift (GWh)",Kraftvärmeprod!$B$1:$AV$1,0),FALSE)),"Ej kraftvärme","Alternativproduktionsmetoden")</f>
        <v>Ej kraftvärme</v>
      </c>
      <c r="E9" s="172" t="str">
        <f>IF(ISERROR(1/VLOOKUP($B9,Kraftvärmeprod!$B$1:$BD$479,MATCH("Total värmeproduktion i kraftvärmeverk i kombinerad drift (GWh)",Kraftvärmeprod!$B$1:$AV$1,0),FALSE)),"",VLOOKUP($B9,'Slutlig allokering kvv'!$B$1:$BC$479,MATCH(E$1,'Slutlig allokering kvv'!$B$1:$AU$1,0),FALSE))</f>
        <v/>
      </c>
      <c r="F9" s="121" t="str">
        <f>IF(ISERROR(1/VLOOKUP($B9,Kraftvärmeprod!$B$1:$AV$479,MATCH("Producerad elenergi i kraftvärmeverk (GWh)",Kraftvärmeprod!$B$1:$AV$1,0),FALSE)),"",VLOOKUP($B9,Kraftvärmeprod!$B$1:$AV$479,MATCH("Producerad elenergi i kraftvärmeverk (GWh)",Kraftvärmeprod!$B$1:$AV$1,0),FALSE))</f>
        <v/>
      </c>
      <c r="G9" s="121" t="str">
        <f>IF(ISERROR(1/VLOOKUP($B9,Miljö!$B$1:$T$480,MATCH("Såld mängd produktionsspecifik fjärrvärme (GWh)",Miljö!$B$1:$T$1,0),FALSE)),"",VLOOKUP($B9,Miljö!$B$1:$T$480,MATCH("Såld mängd produktionsspecifik fjärrvärme (GWh)",Miljö!$B$1:$T$1,0),FALSE))</f>
        <v/>
      </c>
      <c r="J9" s="121" t="str">
        <f t="shared" si="0"/>
        <v>Adven Energilösningar AB</v>
      </c>
    </row>
    <row r="10" spans="1:10" x14ac:dyDescent="0.25">
      <c r="A10" s="137" t="s">
        <v>15</v>
      </c>
      <c r="B10" s="137" t="s">
        <v>30</v>
      </c>
      <c r="D10" s="121" t="str">
        <f>IF(ISERROR(1/VLOOKUP($B10,Kraftvärmeprod!$B$1:$D$479,MATCH("Total värmeproduktion i kraftvärmeverk i kombinerad drift (GWh)",Kraftvärmeprod!$B$1:$AV$1,0),FALSE)),"Ej kraftvärme","Alternativproduktionsmetoden")</f>
        <v>Ej kraftvärme</v>
      </c>
      <c r="E10" s="172" t="str">
        <f>IF(ISERROR(1/VLOOKUP($B10,Kraftvärmeprod!$B$1:$BD$479,MATCH("Total värmeproduktion i kraftvärmeverk i kombinerad drift (GWh)",Kraftvärmeprod!$B$1:$AV$1,0),FALSE)),"",VLOOKUP($B10,'Slutlig allokering kvv'!$B$1:$BC$479,MATCH(E$1,'Slutlig allokering kvv'!$B$1:$AU$1,0),FALSE))</f>
        <v/>
      </c>
      <c r="F10" s="121" t="str">
        <f>IF(ISERROR(1/VLOOKUP($B10,Kraftvärmeprod!$B$1:$AV$479,MATCH("Producerad elenergi i kraftvärmeverk (GWh)",Kraftvärmeprod!$B$1:$AV$1,0),FALSE)),"",VLOOKUP($B10,Kraftvärmeprod!$B$1:$AV$479,MATCH("Producerad elenergi i kraftvärmeverk (GWh)",Kraftvärmeprod!$B$1:$AV$1,0),FALSE))</f>
        <v/>
      </c>
      <c r="G10" s="121" t="str">
        <f>IF(ISERROR(1/VLOOKUP($B10,Miljö!$B$1:$T$480,MATCH("Såld mängd produktionsspecifik fjärrvärme (GWh)",Miljö!$B$1:$T$1,0),FALSE)),"",VLOOKUP($B10,Miljö!$B$1:$T$480,MATCH("Såld mängd produktionsspecifik fjärrvärme (GWh)",Miljö!$B$1:$T$1,0),FALSE))</f>
        <v/>
      </c>
      <c r="J10" s="121" t="str">
        <f t="shared" si="0"/>
        <v>Adven Energilösningar AB</v>
      </c>
    </row>
    <row r="11" spans="1:10" x14ac:dyDescent="0.25">
      <c r="A11" s="137" t="s">
        <v>15</v>
      </c>
      <c r="B11" s="137" t="s">
        <v>32</v>
      </c>
      <c r="D11" s="121" t="str">
        <f>IF(ISERROR(1/VLOOKUP($B11,Kraftvärmeprod!$B$1:$D$479,MATCH("Total värmeproduktion i kraftvärmeverk i kombinerad drift (GWh)",Kraftvärmeprod!$B$1:$AV$1,0),FALSE)),"Ej kraftvärme","Alternativproduktionsmetoden")</f>
        <v>Ej kraftvärme</v>
      </c>
      <c r="E11" s="172" t="str">
        <f>IF(ISERROR(1/VLOOKUP($B11,Kraftvärmeprod!$B$1:$BD$479,MATCH("Total värmeproduktion i kraftvärmeverk i kombinerad drift (GWh)",Kraftvärmeprod!$B$1:$AV$1,0),FALSE)),"",VLOOKUP($B11,'Slutlig allokering kvv'!$B$1:$BC$479,MATCH(E$1,'Slutlig allokering kvv'!$B$1:$AU$1,0),FALSE))</f>
        <v/>
      </c>
      <c r="F11" s="121" t="str">
        <f>IF(ISERROR(1/VLOOKUP($B11,Kraftvärmeprod!$B$1:$AV$479,MATCH("Producerad elenergi i kraftvärmeverk (GWh)",Kraftvärmeprod!$B$1:$AV$1,0),FALSE)),"",VLOOKUP($B11,Kraftvärmeprod!$B$1:$AV$479,MATCH("Producerad elenergi i kraftvärmeverk (GWh)",Kraftvärmeprod!$B$1:$AV$1,0),FALSE))</f>
        <v/>
      </c>
      <c r="G11" s="121" t="str">
        <f>IF(ISERROR(1/VLOOKUP($B11,Miljö!$B$1:$T$480,MATCH("Såld mängd produktionsspecifik fjärrvärme (GWh)",Miljö!$B$1:$T$1,0),FALSE)),"",VLOOKUP($B11,Miljö!$B$1:$T$480,MATCH("Såld mängd produktionsspecifik fjärrvärme (GWh)",Miljö!$B$1:$T$1,0),FALSE))</f>
        <v/>
      </c>
      <c r="J11" s="121" t="str">
        <f t="shared" si="0"/>
        <v>Adven Energilösningar AB</v>
      </c>
    </row>
    <row r="12" spans="1:10" x14ac:dyDescent="0.25">
      <c r="A12" s="137" t="s">
        <v>200</v>
      </c>
      <c r="B12" s="137" t="s">
        <v>201</v>
      </c>
      <c r="D12" s="121" t="str">
        <f>IF(ISERROR(1/VLOOKUP($B12,Kraftvärmeprod!$B$1:$D$479,MATCH("Total värmeproduktion i kraftvärmeverk i kombinerad drift (GWh)",Kraftvärmeprod!$B$1:$AV$1,0),FALSE)),"Ej kraftvärme","Alternativproduktionsmetoden")</f>
        <v>Ej kraftvärme</v>
      </c>
      <c r="E12" s="172" t="str">
        <f>IF(ISERROR(1/VLOOKUP($B12,Kraftvärmeprod!$B$1:$BD$479,MATCH("Total värmeproduktion i kraftvärmeverk i kombinerad drift (GWh)",Kraftvärmeprod!$B$1:$AV$1,0),FALSE)),"",VLOOKUP($B12,'Slutlig allokering kvv'!$B$1:$BC$479,MATCH(E$1,'Slutlig allokering kvv'!$B$1:$AU$1,0),FALSE))</f>
        <v/>
      </c>
      <c r="F12" s="121" t="str">
        <f>IF(ISERROR(1/VLOOKUP($B12,Kraftvärmeprod!$B$1:$AV$479,MATCH("Producerad elenergi i kraftvärmeverk (GWh)",Kraftvärmeprod!$B$1:$AV$1,0),FALSE)),"",VLOOKUP($B12,Kraftvärmeprod!$B$1:$AV$479,MATCH("Producerad elenergi i kraftvärmeverk (GWh)",Kraftvärmeprod!$B$1:$AV$1,0),FALSE))</f>
        <v/>
      </c>
      <c r="G12" s="121" t="str">
        <f>IF(ISERROR(1/VLOOKUP($B12,Miljö!$B$1:$T$480,MATCH("Såld mängd produktionsspecifik fjärrvärme (GWh)",Miljö!$B$1:$T$1,0),FALSE)),"",VLOOKUP($B12,Miljö!$B$1:$T$480,MATCH("Såld mängd produktionsspecifik fjärrvärme (GWh)",Miljö!$B$1:$T$1,0),FALSE))</f>
        <v/>
      </c>
      <c r="J12" s="121" t="str">
        <f t="shared" si="0"/>
        <v>Adven Värme AB.</v>
      </c>
    </row>
    <row r="13" spans="1:10" x14ac:dyDescent="0.25">
      <c r="A13" s="137" t="s">
        <v>200</v>
      </c>
      <c r="B13" s="137" t="s">
        <v>202</v>
      </c>
      <c r="D13" s="121" t="str">
        <f>IF(ISERROR(1/VLOOKUP($B13,Kraftvärmeprod!$B$1:$D$479,MATCH("Total värmeproduktion i kraftvärmeverk i kombinerad drift (GWh)",Kraftvärmeprod!$B$1:$AV$1,0),FALSE)),"Ej kraftvärme","Alternativproduktionsmetoden")</f>
        <v>Ej kraftvärme</v>
      </c>
      <c r="E13" s="172" t="str">
        <f>IF(ISERROR(1/VLOOKUP($B13,Kraftvärmeprod!$B$1:$BD$479,MATCH("Total värmeproduktion i kraftvärmeverk i kombinerad drift (GWh)",Kraftvärmeprod!$B$1:$AV$1,0),FALSE)),"",VLOOKUP($B13,'Slutlig allokering kvv'!$B$1:$BC$479,MATCH(E$1,'Slutlig allokering kvv'!$B$1:$AU$1,0),FALSE))</f>
        <v/>
      </c>
      <c r="F13" s="121" t="str">
        <f>IF(ISERROR(1/VLOOKUP($B13,Kraftvärmeprod!$B$1:$AV$479,MATCH("Producerad elenergi i kraftvärmeverk (GWh)",Kraftvärmeprod!$B$1:$AV$1,0),FALSE)),"",VLOOKUP($B13,Kraftvärmeprod!$B$1:$AV$479,MATCH("Producerad elenergi i kraftvärmeverk (GWh)",Kraftvärmeprod!$B$1:$AV$1,0),FALSE))</f>
        <v/>
      </c>
      <c r="G13" s="121" t="str">
        <f>IF(ISERROR(1/VLOOKUP($B13,Miljö!$B$1:$T$480,MATCH("Såld mängd produktionsspecifik fjärrvärme (GWh)",Miljö!$B$1:$T$1,0),FALSE)),"",VLOOKUP($B13,Miljö!$B$1:$T$480,MATCH("Såld mängd produktionsspecifik fjärrvärme (GWh)",Miljö!$B$1:$T$1,0),FALSE))</f>
        <v/>
      </c>
      <c r="J13" s="121" t="str">
        <f t="shared" si="0"/>
        <v>Adven Värme AB.</v>
      </c>
    </row>
    <row r="14" spans="1:10" x14ac:dyDescent="0.25">
      <c r="A14" s="137" t="s">
        <v>200</v>
      </c>
      <c r="B14" s="137" t="s">
        <v>203</v>
      </c>
      <c r="D14" s="121" t="str">
        <f>IF(ISERROR(1/VLOOKUP($B14,Kraftvärmeprod!$B$1:$D$479,MATCH("Total värmeproduktion i kraftvärmeverk i kombinerad drift (GWh)",Kraftvärmeprod!$B$1:$AV$1,0),FALSE)),"Ej kraftvärme","Alternativproduktionsmetoden")</f>
        <v>Ej kraftvärme</v>
      </c>
      <c r="E14" s="172" t="str">
        <f>IF(ISERROR(1/VLOOKUP($B14,Kraftvärmeprod!$B$1:$BD$479,MATCH("Total värmeproduktion i kraftvärmeverk i kombinerad drift (GWh)",Kraftvärmeprod!$B$1:$AV$1,0),FALSE)),"",VLOOKUP($B14,'Slutlig allokering kvv'!$B$1:$BC$479,MATCH(E$1,'Slutlig allokering kvv'!$B$1:$AU$1,0),FALSE))</f>
        <v/>
      </c>
      <c r="F14" s="121" t="str">
        <f>IF(ISERROR(1/VLOOKUP($B14,Kraftvärmeprod!$B$1:$AV$479,MATCH("Producerad elenergi i kraftvärmeverk (GWh)",Kraftvärmeprod!$B$1:$AV$1,0),FALSE)),"",VLOOKUP($B14,Kraftvärmeprod!$B$1:$AV$479,MATCH("Producerad elenergi i kraftvärmeverk (GWh)",Kraftvärmeprod!$B$1:$AV$1,0),FALSE))</f>
        <v/>
      </c>
      <c r="G14" s="121" t="str">
        <f>IF(ISERROR(1/VLOOKUP($B14,Miljö!$B$1:$T$480,MATCH("Såld mängd produktionsspecifik fjärrvärme (GWh)",Miljö!$B$1:$T$1,0),FALSE)),"",VLOOKUP($B14,Miljö!$B$1:$T$480,MATCH("Såld mängd produktionsspecifik fjärrvärme (GWh)",Miljö!$B$1:$T$1,0),FALSE))</f>
        <v/>
      </c>
      <c r="J14" s="121" t="str">
        <f t="shared" si="0"/>
        <v>Adven Värme AB.</v>
      </c>
    </row>
    <row r="15" spans="1:10" x14ac:dyDescent="0.25">
      <c r="A15" s="137" t="s">
        <v>200</v>
      </c>
      <c r="B15" s="137" t="s">
        <v>204</v>
      </c>
      <c r="D15" s="121" t="str">
        <f>IF(ISERROR(1/VLOOKUP($B15,Kraftvärmeprod!$B$1:$D$479,MATCH("Total värmeproduktion i kraftvärmeverk i kombinerad drift (GWh)",Kraftvärmeprod!$B$1:$AV$1,0),FALSE)),"Ej kraftvärme","Alternativproduktionsmetoden")</f>
        <v>Ej kraftvärme</v>
      </c>
      <c r="E15" s="172" t="str">
        <f>IF(ISERROR(1/VLOOKUP($B15,Kraftvärmeprod!$B$1:$BD$479,MATCH("Total värmeproduktion i kraftvärmeverk i kombinerad drift (GWh)",Kraftvärmeprod!$B$1:$AV$1,0),FALSE)),"",VLOOKUP($B15,'Slutlig allokering kvv'!$B$1:$BC$479,MATCH(E$1,'Slutlig allokering kvv'!$B$1:$AU$1,0),FALSE))</f>
        <v/>
      </c>
      <c r="F15" s="121" t="str">
        <f>IF(ISERROR(1/VLOOKUP($B15,Kraftvärmeprod!$B$1:$AV$479,MATCH("Producerad elenergi i kraftvärmeverk (GWh)",Kraftvärmeprod!$B$1:$AV$1,0),FALSE)),"",VLOOKUP($B15,Kraftvärmeprod!$B$1:$AV$479,MATCH("Producerad elenergi i kraftvärmeverk (GWh)",Kraftvärmeprod!$B$1:$AV$1,0),FALSE))</f>
        <v/>
      </c>
      <c r="G15" s="121" t="str">
        <f>IF(ISERROR(1/VLOOKUP($B15,Miljö!$B$1:$T$480,MATCH("Såld mängd produktionsspecifik fjärrvärme (GWh)",Miljö!$B$1:$T$1,0),FALSE)),"",VLOOKUP($B15,Miljö!$B$1:$T$480,MATCH("Såld mängd produktionsspecifik fjärrvärme (GWh)",Miljö!$B$1:$T$1,0),FALSE))</f>
        <v/>
      </c>
      <c r="J15" s="121" t="str">
        <f t="shared" si="0"/>
        <v>Adven Värme AB.</v>
      </c>
    </row>
    <row r="16" spans="1:10" x14ac:dyDescent="0.25">
      <c r="A16" s="137" t="s">
        <v>200</v>
      </c>
      <c r="B16" s="137" t="s">
        <v>205</v>
      </c>
      <c r="D16" s="121" t="str">
        <f>IF(ISERROR(1/VLOOKUP($B16,Kraftvärmeprod!$B$1:$D$479,MATCH("Total värmeproduktion i kraftvärmeverk i kombinerad drift (GWh)",Kraftvärmeprod!$B$1:$AV$1,0),FALSE)),"Ej kraftvärme","Alternativproduktionsmetoden")</f>
        <v>Ej kraftvärme</v>
      </c>
      <c r="E16" s="172" t="str">
        <f>IF(ISERROR(1/VLOOKUP($B16,Kraftvärmeprod!$B$1:$BD$479,MATCH("Total värmeproduktion i kraftvärmeverk i kombinerad drift (GWh)",Kraftvärmeprod!$B$1:$AV$1,0),FALSE)),"",VLOOKUP($B16,'Slutlig allokering kvv'!$B$1:$BC$479,MATCH(E$1,'Slutlig allokering kvv'!$B$1:$AU$1,0),FALSE))</f>
        <v/>
      </c>
      <c r="F16" s="121" t="str">
        <f>IF(ISERROR(1/VLOOKUP($B16,Kraftvärmeprod!$B$1:$AV$479,MATCH("Producerad elenergi i kraftvärmeverk (GWh)",Kraftvärmeprod!$B$1:$AV$1,0),FALSE)),"",VLOOKUP($B16,Kraftvärmeprod!$B$1:$AV$479,MATCH("Producerad elenergi i kraftvärmeverk (GWh)",Kraftvärmeprod!$B$1:$AV$1,0),FALSE))</f>
        <v/>
      </c>
      <c r="G16" s="121" t="str">
        <f>IF(ISERROR(1/VLOOKUP($B16,Miljö!$B$1:$T$480,MATCH("Såld mängd produktionsspecifik fjärrvärme (GWh)",Miljö!$B$1:$T$1,0),FALSE)),"",VLOOKUP($B16,Miljö!$B$1:$T$480,MATCH("Såld mängd produktionsspecifik fjärrvärme (GWh)",Miljö!$B$1:$T$1,0),FALSE))</f>
        <v/>
      </c>
      <c r="J16" s="121" t="str">
        <f t="shared" si="0"/>
        <v>Adven Värme AB.</v>
      </c>
    </row>
    <row r="17" spans="1:10" x14ac:dyDescent="0.25">
      <c r="A17" s="137" t="s">
        <v>200</v>
      </c>
      <c r="B17" s="137" t="s">
        <v>206</v>
      </c>
      <c r="D17" s="121" t="str">
        <f>IF(ISERROR(1/VLOOKUP($B17,Kraftvärmeprod!$B$1:$D$479,MATCH("Total värmeproduktion i kraftvärmeverk i kombinerad drift (GWh)",Kraftvärmeprod!$B$1:$AV$1,0),FALSE)),"Ej kraftvärme","Alternativproduktionsmetoden")</f>
        <v>Ej kraftvärme</v>
      </c>
      <c r="E17" s="172" t="str">
        <f>IF(ISERROR(1/VLOOKUP($B17,Kraftvärmeprod!$B$1:$BD$479,MATCH("Total värmeproduktion i kraftvärmeverk i kombinerad drift (GWh)",Kraftvärmeprod!$B$1:$AV$1,0),FALSE)),"",VLOOKUP($B17,'Slutlig allokering kvv'!$B$1:$BC$479,MATCH(E$1,'Slutlig allokering kvv'!$B$1:$AU$1,0),FALSE))</f>
        <v/>
      </c>
      <c r="F17" s="121" t="str">
        <f>IF(ISERROR(1/VLOOKUP($B17,Kraftvärmeprod!$B$1:$AV$479,MATCH("Producerad elenergi i kraftvärmeverk (GWh)",Kraftvärmeprod!$B$1:$AV$1,0),FALSE)),"",VLOOKUP($B17,Kraftvärmeprod!$B$1:$AV$479,MATCH("Producerad elenergi i kraftvärmeverk (GWh)",Kraftvärmeprod!$B$1:$AV$1,0),FALSE))</f>
        <v/>
      </c>
      <c r="G17" s="121" t="str">
        <f>IF(ISERROR(1/VLOOKUP($B17,Miljö!$B$1:$T$480,MATCH("Såld mängd produktionsspecifik fjärrvärme (GWh)",Miljö!$B$1:$T$1,0),FALSE)),"",VLOOKUP($B17,Miljö!$B$1:$T$480,MATCH("Såld mängd produktionsspecifik fjärrvärme (GWh)",Miljö!$B$1:$T$1,0),FALSE))</f>
        <v/>
      </c>
      <c r="J17" s="121" t="str">
        <f t="shared" si="0"/>
        <v>Adven Värme AB.</v>
      </c>
    </row>
    <row r="18" spans="1:10" x14ac:dyDescent="0.25">
      <c r="A18" s="137" t="s">
        <v>200</v>
      </c>
      <c r="B18" s="137" t="s">
        <v>207</v>
      </c>
      <c r="D18" s="121" t="str">
        <f>IF(ISERROR(1/VLOOKUP($B18,Kraftvärmeprod!$B$1:$D$479,MATCH("Total värmeproduktion i kraftvärmeverk i kombinerad drift (GWh)",Kraftvärmeprod!$B$1:$AV$1,0),FALSE)),"Ej kraftvärme","Alternativproduktionsmetoden")</f>
        <v>Ej kraftvärme</v>
      </c>
      <c r="E18" s="172" t="str">
        <f>IF(ISERROR(1/VLOOKUP($B18,Kraftvärmeprod!$B$1:$BD$479,MATCH("Total värmeproduktion i kraftvärmeverk i kombinerad drift (GWh)",Kraftvärmeprod!$B$1:$AV$1,0),FALSE)),"",VLOOKUP($B18,'Slutlig allokering kvv'!$B$1:$BC$479,MATCH(E$1,'Slutlig allokering kvv'!$B$1:$AU$1,0),FALSE))</f>
        <v/>
      </c>
      <c r="F18" s="121" t="str">
        <f>IF(ISERROR(1/VLOOKUP($B18,Kraftvärmeprod!$B$1:$AV$479,MATCH("Producerad elenergi i kraftvärmeverk (GWh)",Kraftvärmeprod!$B$1:$AV$1,0),FALSE)),"",VLOOKUP($B18,Kraftvärmeprod!$B$1:$AV$479,MATCH("Producerad elenergi i kraftvärmeverk (GWh)",Kraftvärmeprod!$B$1:$AV$1,0),FALSE))</f>
        <v/>
      </c>
      <c r="G18" s="121" t="str">
        <f>IF(ISERROR(1/VLOOKUP($B18,Miljö!$B$1:$T$480,MATCH("Såld mängd produktionsspecifik fjärrvärme (GWh)",Miljö!$B$1:$T$1,0),FALSE)),"",VLOOKUP($B18,Miljö!$B$1:$T$480,MATCH("Såld mängd produktionsspecifik fjärrvärme (GWh)",Miljö!$B$1:$T$1,0),FALSE))</f>
        <v/>
      </c>
      <c r="J18" s="121" t="str">
        <f t="shared" si="0"/>
        <v>Adven Värme AB.</v>
      </c>
    </row>
    <row r="19" spans="1:10" x14ac:dyDescent="0.25">
      <c r="A19" s="137" t="s">
        <v>200</v>
      </c>
      <c r="B19" s="137" t="s">
        <v>208</v>
      </c>
      <c r="D19" s="121" t="str">
        <f>IF(ISERROR(1/VLOOKUP($B19,Kraftvärmeprod!$B$1:$D$479,MATCH("Total värmeproduktion i kraftvärmeverk i kombinerad drift (GWh)",Kraftvärmeprod!$B$1:$AV$1,0),FALSE)),"Ej kraftvärme","Alternativproduktionsmetoden")</f>
        <v>Ej kraftvärme</v>
      </c>
      <c r="E19" s="172" t="str">
        <f>IF(ISERROR(1/VLOOKUP($B19,Kraftvärmeprod!$B$1:$BD$479,MATCH("Total värmeproduktion i kraftvärmeverk i kombinerad drift (GWh)",Kraftvärmeprod!$B$1:$AV$1,0),FALSE)),"",VLOOKUP($B19,'Slutlig allokering kvv'!$B$1:$BC$479,MATCH(E$1,'Slutlig allokering kvv'!$B$1:$AU$1,0),FALSE))</f>
        <v/>
      </c>
      <c r="F19" s="121" t="str">
        <f>IF(ISERROR(1/VLOOKUP($B19,Kraftvärmeprod!$B$1:$AV$479,MATCH("Producerad elenergi i kraftvärmeverk (GWh)",Kraftvärmeprod!$B$1:$AV$1,0),FALSE)),"",VLOOKUP($B19,Kraftvärmeprod!$B$1:$AV$479,MATCH("Producerad elenergi i kraftvärmeverk (GWh)",Kraftvärmeprod!$B$1:$AV$1,0),FALSE))</f>
        <v/>
      </c>
      <c r="G19" s="121" t="str">
        <f>IF(ISERROR(1/VLOOKUP($B19,Miljö!$B$1:$T$480,MATCH("Såld mängd produktionsspecifik fjärrvärme (GWh)",Miljö!$B$1:$T$1,0),FALSE)),"",VLOOKUP($B19,Miljö!$B$1:$T$480,MATCH("Såld mängd produktionsspecifik fjärrvärme (GWh)",Miljö!$B$1:$T$1,0),FALSE))</f>
        <v/>
      </c>
      <c r="J19" s="121" t="str">
        <f t="shared" si="0"/>
        <v>Adven Värme AB.</v>
      </c>
    </row>
    <row r="20" spans="1:10" x14ac:dyDescent="0.25">
      <c r="A20" s="137" t="s">
        <v>200</v>
      </c>
      <c r="B20" s="137" t="s">
        <v>209</v>
      </c>
      <c r="D20" s="121" t="str">
        <f>IF(ISERROR(1/VLOOKUP($B20,Kraftvärmeprod!$B$1:$D$479,MATCH("Total värmeproduktion i kraftvärmeverk i kombinerad drift (GWh)",Kraftvärmeprod!$B$1:$AV$1,0),FALSE)),"Ej kraftvärme","Alternativproduktionsmetoden")</f>
        <v>Ej kraftvärme</v>
      </c>
      <c r="E20" s="172" t="str">
        <f>IF(ISERROR(1/VLOOKUP($B20,Kraftvärmeprod!$B$1:$BD$479,MATCH("Total värmeproduktion i kraftvärmeverk i kombinerad drift (GWh)",Kraftvärmeprod!$B$1:$AV$1,0),FALSE)),"",VLOOKUP($B20,'Slutlig allokering kvv'!$B$1:$BC$479,MATCH(E$1,'Slutlig allokering kvv'!$B$1:$AU$1,0),FALSE))</f>
        <v/>
      </c>
      <c r="F20" s="121" t="str">
        <f>IF(ISERROR(1/VLOOKUP($B20,Kraftvärmeprod!$B$1:$AV$479,MATCH("Producerad elenergi i kraftvärmeverk (GWh)",Kraftvärmeprod!$B$1:$AV$1,0),FALSE)),"",VLOOKUP($B20,Kraftvärmeprod!$B$1:$AV$479,MATCH("Producerad elenergi i kraftvärmeverk (GWh)",Kraftvärmeprod!$B$1:$AV$1,0),FALSE))</f>
        <v/>
      </c>
      <c r="G20" s="121" t="str">
        <f>IF(ISERROR(1/VLOOKUP($B20,Miljö!$B$1:$T$480,MATCH("Såld mängd produktionsspecifik fjärrvärme (GWh)",Miljö!$B$1:$T$1,0),FALSE)),"",VLOOKUP($B20,Miljö!$B$1:$T$480,MATCH("Såld mängd produktionsspecifik fjärrvärme (GWh)",Miljö!$B$1:$T$1,0),FALSE))</f>
        <v/>
      </c>
      <c r="J20" s="121" t="str">
        <f t="shared" si="0"/>
        <v>Adven Värme AB.</v>
      </c>
    </row>
    <row r="21" spans="1:10" x14ac:dyDescent="0.25">
      <c r="A21" s="137" t="s">
        <v>200</v>
      </c>
      <c r="B21" s="137" t="s">
        <v>210</v>
      </c>
      <c r="D21" s="121" t="str">
        <f>IF(ISERROR(1/VLOOKUP($B21,Kraftvärmeprod!$B$1:$D$479,MATCH("Total värmeproduktion i kraftvärmeverk i kombinerad drift (GWh)",Kraftvärmeprod!$B$1:$AV$1,0),FALSE)),"Ej kraftvärme","Alternativproduktionsmetoden")</f>
        <v>Ej kraftvärme</v>
      </c>
      <c r="E21" s="172" t="str">
        <f>IF(ISERROR(1/VLOOKUP($B21,Kraftvärmeprod!$B$1:$BD$479,MATCH("Total värmeproduktion i kraftvärmeverk i kombinerad drift (GWh)",Kraftvärmeprod!$B$1:$AV$1,0),FALSE)),"",VLOOKUP($B21,'Slutlig allokering kvv'!$B$1:$BC$479,MATCH(E$1,'Slutlig allokering kvv'!$B$1:$AU$1,0),FALSE))</f>
        <v/>
      </c>
      <c r="F21" s="121" t="str">
        <f>IF(ISERROR(1/VLOOKUP($B21,Kraftvärmeprod!$B$1:$AV$479,MATCH("Producerad elenergi i kraftvärmeverk (GWh)",Kraftvärmeprod!$B$1:$AV$1,0),FALSE)),"",VLOOKUP($B21,Kraftvärmeprod!$B$1:$AV$479,MATCH("Producerad elenergi i kraftvärmeverk (GWh)",Kraftvärmeprod!$B$1:$AV$1,0),FALSE))</f>
        <v/>
      </c>
      <c r="G21" s="121" t="str">
        <f>IF(ISERROR(1/VLOOKUP($B21,Miljö!$B$1:$T$480,MATCH("Såld mängd produktionsspecifik fjärrvärme (GWh)",Miljö!$B$1:$T$1,0),FALSE)),"",VLOOKUP($B21,Miljö!$B$1:$T$480,MATCH("Såld mängd produktionsspecifik fjärrvärme (GWh)",Miljö!$B$1:$T$1,0),FALSE))</f>
        <v/>
      </c>
      <c r="J21" s="121" t="str">
        <f t="shared" si="0"/>
        <v>Adven Värme AB.</v>
      </c>
    </row>
    <row r="22" spans="1:10" x14ac:dyDescent="0.25">
      <c r="A22" s="137" t="s">
        <v>211</v>
      </c>
      <c r="B22" s="137" t="s">
        <v>212</v>
      </c>
      <c r="D22" s="121" t="str">
        <f>IF(ISERROR(1/VLOOKUP($B22,Kraftvärmeprod!$B$1:$D$479,MATCH("Total värmeproduktion i kraftvärmeverk i kombinerad drift (GWh)",Kraftvärmeprod!$B$1:$AV$1,0),FALSE)),"Ej kraftvärme","Alternativproduktionsmetoden")</f>
        <v>Ej kraftvärme</v>
      </c>
      <c r="E22" s="172" t="str">
        <f>IF(ISERROR(1/VLOOKUP($B22,Kraftvärmeprod!$B$1:$BD$479,MATCH("Total värmeproduktion i kraftvärmeverk i kombinerad drift (GWh)",Kraftvärmeprod!$B$1:$AV$1,0),FALSE)),"",VLOOKUP($B22,'Slutlig allokering kvv'!$B$1:$BC$479,MATCH(E$1,'Slutlig allokering kvv'!$B$1:$AU$1,0),FALSE))</f>
        <v/>
      </c>
      <c r="F22" s="121" t="str">
        <f>IF(ISERROR(1/VLOOKUP($B22,Kraftvärmeprod!$B$1:$AV$479,MATCH("Producerad elenergi i kraftvärmeverk (GWh)",Kraftvärmeprod!$B$1:$AV$1,0),FALSE)),"",VLOOKUP($B22,Kraftvärmeprod!$B$1:$AV$479,MATCH("Producerad elenergi i kraftvärmeverk (GWh)",Kraftvärmeprod!$B$1:$AV$1,0),FALSE))</f>
        <v/>
      </c>
      <c r="G22" s="121" t="str">
        <f>IF(ISERROR(1/VLOOKUP($B22,Miljö!$B$1:$T$480,MATCH("Såld mängd produktionsspecifik fjärrvärme (GWh)",Miljö!$B$1:$T$1,0),FALSE)),"",VLOOKUP($B22,Miljö!$B$1:$T$480,MATCH("Såld mängd produktionsspecifik fjärrvärme (GWh)",Miljö!$B$1:$T$1,0),FALSE))</f>
        <v/>
      </c>
      <c r="J22" s="121" t="str">
        <f t="shared" si="0"/>
        <v>Affärsverken Karlskrona AB</v>
      </c>
    </row>
    <row r="23" spans="1:10" x14ac:dyDescent="0.25">
      <c r="A23" s="137" t="s">
        <v>211</v>
      </c>
      <c r="B23" s="137" t="s">
        <v>213</v>
      </c>
      <c r="D23" s="121" t="str">
        <f>IF(ISERROR(1/VLOOKUP($B23,Kraftvärmeprod!$B$1:$D$479,MATCH("Total värmeproduktion i kraftvärmeverk i kombinerad drift (GWh)",Kraftvärmeprod!$B$1:$AV$1,0),FALSE)),"Ej kraftvärme","Alternativproduktionsmetoden")</f>
        <v>Ej kraftvärme</v>
      </c>
      <c r="E23" s="172" t="str">
        <f>IF(ISERROR(1/VLOOKUP($B23,Kraftvärmeprod!$B$1:$BD$479,MATCH("Total värmeproduktion i kraftvärmeverk i kombinerad drift (GWh)",Kraftvärmeprod!$B$1:$AV$1,0),FALSE)),"",VLOOKUP($B23,'Slutlig allokering kvv'!$B$1:$BC$479,MATCH(E$1,'Slutlig allokering kvv'!$B$1:$AU$1,0),FALSE))</f>
        <v/>
      </c>
      <c r="F23" s="121" t="str">
        <f>IF(ISERROR(1/VLOOKUP($B23,Kraftvärmeprod!$B$1:$AV$479,MATCH("Producerad elenergi i kraftvärmeverk (GWh)",Kraftvärmeprod!$B$1:$AV$1,0),FALSE)),"",VLOOKUP($B23,Kraftvärmeprod!$B$1:$AV$479,MATCH("Producerad elenergi i kraftvärmeverk (GWh)",Kraftvärmeprod!$B$1:$AV$1,0),FALSE))</f>
        <v/>
      </c>
      <c r="G23" s="121" t="str">
        <f>IF(ISERROR(1/VLOOKUP($B23,Miljö!$B$1:$T$480,MATCH("Såld mängd produktionsspecifik fjärrvärme (GWh)",Miljö!$B$1:$T$1,0),FALSE)),"",VLOOKUP($B23,Miljö!$B$1:$T$480,MATCH("Såld mängd produktionsspecifik fjärrvärme (GWh)",Miljö!$B$1:$T$1,0),FALSE))</f>
        <v/>
      </c>
      <c r="J23" s="121" t="str">
        <f t="shared" si="0"/>
        <v>Affärsverken Karlskrona AB</v>
      </c>
    </row>
    <row r="24" spans="1:10" x14ac:dyDescent="0.25">
      <c r="A24" s="137" t="s">
        <v>211</v>
      </c>
      <c r="B24" s="137" t="s">
        <v>214</v>
      </c>
      <c r="D24" s="121" t="str">
        <f>IF(ISERROR(1/VLOOKUP($B24,Kraftvärmeprod!$B$1:$D$479,MATCH("Total värmeproduktion i kraftvärmeverk i kombinerad drift (GWh)",Kraftvärmeprod!$B$1:$AV$1,0),FALSE)),"Ej kraftvärme","Alternativproduktionsmetoden")</f>
        <v>Alternativproduktionsmetoden</v>
      </c>
      <c r="E24" s="172">
        <f>IF(ISERROR(1/VLOOKUP($B24,Kraftvärmeprod!$B$1:$BD$479,MATCH("Total värmeproduktion i kraftvärmeverk i kombinerad drift (GWh)",Kraftvärmeprod!$B$1:$AV$1,0),FALSE)),"",VLOOKUP($B24,'Slutlig allokering kvv'!$B$1:$BC$479,MATCH(E$1,'Slutlig allokering kvv'!$B$1:$AU$1,0),FALSE))</f>
        <v>0.60492962562523611</v>
      </c>
      <c r="F24" s="121">
        <f>IF(ISERROR(1/VLOOKUP($B24,Kraftvärmeprod!$B$1:$AV$479,MATCH("Producerad elenergi i kraftvärmeverk (GWh)",Kraftvärmeprod!$B$1:$AV$1,0),FALSE)),"",VLOOKUP($B24,Kraftvärmeprod!$B$1:$AV$479,MATCH("Producerad elenergi i kraftvärmeverk (GWh)",Kraftvärmeprod!$B$1:$AV$1,0),FALSE))</f>
        <v>58.92</v>
      </c>
      <c r="G24" s="121" t="str">
        <f>IF(ISERROR(1/VLOOKUP($B24,Miljö!$B$1:$T$480,MATCH("Såld mängd produktionsspecifik fjärrvärme (GWh)",Miljö!$B$1:$T$1,0),FALSE)),"",VLOOKUP($B24,Miljö!$B$1:$T$480,MATCH("Såld mängd produktionsspecifik fjärrvärme (GWh)",Miljö!$B$1:$T$1,0),FALSE))</f>
        <v/>
      </c>
      <c r="J24" s="121" t="str">
        <f t="shared" si="0"/>
        <v>Affärsverken Karlskrona AB</v>
      </c>
    </row>
    <row r="25" spans="1:10" x14ac:dyDescent="0.25">
      <c r="A25" s="137" t="s">
        <v>211</v>
      </c>
      <c r="B25" s="137" t="s">
        <v>215</v>
      </c>
      <c r="D25" s="121" t="str">
        <f>IF(ISERROR(1/VLOOKUP($B25,Kraftvärmeprod!$B$1:$D$479,MATCH("Total värmeproduktion i kraftvärmeverk i kombinerad drift (GWh)",Kraftvärmeprod!$B$1:$AV$1,0),FALSE)),"Ej kraftvärme","Alternativproduktionsmetoden")</f>
        <v>Ej kraftvärme</v>
      </c>
      <c r="E25" s="172" t="str">
        <f>IF(ISERROR(1/VLOOKUP($B25,Kraftvärmeprod!$B$1:$BD$479,MATCH("Total värmeproduktion i kraftvärmeverk i kombinerad drift (GWh)",Kraftvärmeprod!$B$1:$AV$1,0),FALSE)),"",VLOOKUP($B25,'Slutlig allokering kvv'!$B$1:$BC$479,MATCH(E$1,'Slutlig allokering kvv'!$B$1:$AU$1,0),FALSE))</f>
        <v/>
      </c>
      <c r="F25" s="121" t="str">
        <f>IF(ISERROR(1/VLOOKUP($B25,Kraftvärmeprod!$B$1:$AV$479,MATCH("Producerad elenergi i kraftvärmeverk (GWh)",Kraftvärmeprod!$B$1:$AV$1,0),FALSE)),"",VLOOKUP($B25,Kraftvärmeprod!$B$1:$AV$479,MATCH("Producerad elenergi i kraftvärmeverk (GWh)",Kraftvärmeprod!$B$1:$AV$1,0),FALSE))</f>
        <v/>
      </c>
      <c r="G25" s="121" t="str">
        <f>IF(ISERROR(1/VLOOKUP($B25,Miljö!$B$1:$T$480,MATCH("Såld mängd produktionsspecifik fjärrvärme (GWh)",Miljö!$B$1:$T$1,0),FALSE)),"",VLOOKUP($B25,Miljö!$B$1:$T$480,MATCH("Såld mängd produktionsspecifik fjärrvärme (GWh)",Miljö!$B$1:$T$1,0),FALSE))</f>
        <v/>
      </c>
      <c r="J25" s="121" t="str">
        <f t="shared" si="0"/>
        <v>Affärsverken Karlskrona AB</v>
      </c>
    </row>
    <row r="26" spans="1:10" x14ac:dyDescent="0.25">
      <c r="A26" s="137" t="s">
        <v>211</v>
      </c>
      <c r="B26" s="137" t="s">
        <v>216</v>
      </c>
      <c r="D26" s="121" t="str">
        <f>IF(ISERROR(1/VLOOKUP($B26,Kraftvärmeprod!$B$1:$D$479,MATCH("Total värmeproduktion i kraftvärmeverk i kombinerad drift (GWh)",Kraftvärmeprod!$B$1:$AV$1,0),FALSE)),"Ej kraftvärme","Alternativproduktionsmetoden")</f>
        <v>Ej kraftvärme</v>
      </c>
      <c r="E26" s="172" t="str">
        <f>IF(ISERROR(1/VLOOKUP($B26,Kraftvärmeprod!$B$1:$BD$479,MATCH("Total värmeproduktion i kraftvärmeverk i kombinerad drift (GWh)",Kraftvärmeprod!$B$1:$AV$1,0),FALSE)),"",VLOOKUP($B26,'Slutlig allokering kvv'!$B$1:$BC$479,MATCH(E$1,'Slutlig allokering kvv'!$B$1:$AU$1,0),FALSE))</f>
        <v/>
      </c>
      <c r="F26" s="121" t="str">
        <f>IF(ISERROR(1/VLOOKUP($B26,Kraftvärmeprod!$B$1:$AV$479,MATCH("Producerad elenergi i kraftvärmeverk (GWh)",Kraftvärmeprod!$B$1:$AV$1,0),FALSE)),"",VLOOKUP($B26,Kraftvärmeprod!$B$1:$AV$479,MATCH("Producerad elenergi i kraftvärmeverk (GWh)",Kraftvärmeprod!$B$1:$AV$1,0),FALSE))</f>
        <v/>
      </c>
      <c r="G26" s="121" t="str">
        <f>IF(ISERROR(1/VLOOKUP($B26,Miljö!$B$1:$T$480,MATCH("Såld mängd produktionsspecifik fjärrvärme (GWh)",Miljö!$B$1:$T$1,0),FALSE)),"",VLOOKUP($B26,Miljö!$B$1:$T$480,MATCH("Såld mängd produktionsspecifik fjärrvärme (GWh)",Miljö!$B$1:$T$1,0),FALSE))</f>
        <v/>
      </c>
      <c r="J26" s="121" t="str">
        <f t="shared" si="0"/>
        <v>Affärsverken Karlskrona AB</v>
      </c>
    </row>
    <row r="27" spans="1:10" x14ac:dyDescent="0.25">
      <c r="A27" s="137" t="s">
        <v>217</v>
      </c>
      <c r="B27" s="137" t="s">
        <v>218</v>
      </c>
      <c r="D27" s="121" t="str">
        <f>IF(ISERROR(1/VLOOKUP($B27,Kraftvärmeprod!$B$1:$D$479,MATCH("Total värmeproduktion i kraftvärmeverk i kombinerad drift (GWh)",Kraftvärmeprod!$B$1:$AV$1,0),FALSE)),"Ej kraftvärme","Alternativproduktionsmetoden")</f>
        <v>Ej kraftvärme</v>
      </c>
      <c r="E27" s="172" t="str">
        <f>IF(ISERROR(1/VLOOKUP($B27,Kraftvärmeprod!$B$1:$BD$479,MATCH("Total värmeproduktion i kraftvärmeverk i kombinerad drift (GWh)",Kraftvärmeprod!$B$1:$AV$1,0),FALSE)),"",VLOOKUP($B27,'Slutlig allokering kvv'!$B$1:$BC$479,MATCH(E$1,'Slutlig allokering kvv'!$B$1:$AU$1,0),FALSE))</f>
        <v/>
      </c>
      <c r="F27" s="121" t="str">
        <f>IF(ISERROR(1/VLOOKUP($B27,Kraftvärmeprod!$B$1:$AV$479,MATCH("Producerad elenergi i kraftvärmeverk (GWh)",Kraftvärmeprod!$B$1:$AV$1,0),FALSE)),"",VLOOKUP($B27,Kraftvärmeprod!$B$1:$AV$479,MATCH("Producerad elenergi i kraftvärmeverk (GWh)",Kraftvärmeprod!$B$1:$AV$1,0),FALSE))</f>
        <v/>
      </c>
      <c r="G27" s="121" t="str">
        <f>IF(ISERROR(1/VLOOKUP($B27,Miljö!$B$1:$T$480,MATCH("Såld mängd produktionsspecifik fjärrvärme (GWh)",Miljö!$B$1:$T$1,0),FALSE)),"",VLOOKUP($B27,Miljö!$B$1:$T$480,MATCH("Såld mängd produktionsspecifik fjärrvärme (GWh)",Miljö!$B$1:$T$1,0),FALSE))</f>
        <v/>
      </c>
      <c r="J27" s="121" t="str">
        <f t="shared" si="0"/>
        <v>Alingsås Energi Nät AB</v>
      </c>
    </row>
    <row r="28" spans="1:10" x14ac:dyDescent="0.25">
      <c r="A28" s="137" t="s">
        <v>220</v>
      </c>
      <c r="B28" s="137" t="s">
        <v>221</v>
      </c>
      <c r="D28" s="121" t="str">
        <f>IF(ISERROR(1/VLOOKUP($B28,Kraftvärmeprod!$B$1:$D$479,MATCH("Total värmeproduktion i kraftvärmeverk i kombinerad drift (GWh)",Kraftvärmeprod!$B$1:$AV$1,0),FALSE)),"Ej kraftvärme","Alternativproduktionsmetoden")</f>
        <v>Ej kraftvärme</v>
      </c>
      <c r="E28" s="172" t="str">
        <f>IF(ISERROR(1/VLOOKUP($B28,Kraftvärmeprod!$B$1:$BD$479,MATCH("Total värmeproduktion i kraftvärmeverk i kombinerad drift (GWh)",Kraftvärmeprod!$B$1:$AV$1,0),FALSE)),"",VLOOKUP($B28,'Slutlig allokering kvv'!$B$1:$BC$479,MATCH(E$1,'Slutlig allokering kvv'!$B$1:$AU$1,0),FALSE))</f>
        <v/>
      </c>
      <c r="F28" s="121" t="str">
        <f>IF(ISERROR(1/VLOOKUP($B28,Kraftvärmeprod!$B$1:$AV$479,MATCH("Producerad elenergi i kraftvärmeverk (GWh)",Kraftvärmeprod!$B$1:$AV$1,0),FALSE)),"",VLOOKUP($B28,Kraftvärmeprod!$B$1:$AV$479,MATCH("Producerad elenergi i kraftvärmeverk (GWh)",Kraftvärmeprod!$B$1:$AV$1,0),FALSE))</f>
        <v/>
      </c>
      <c r="G28" s="121" t="str">
        <f>IF(ISERROR(1/VLOOKUP($B28,Miljö!$B$1:$T$480,MATCH("Såld mängd produktionsspecifik fjärrvärme (GWh)",Miljö!$B$1:$T$1,0),FALSE)),"",VLOOKUP($B28,Miljö!$B$1:$T$480,MATCH("Såld mängd produktionsspecifik fjärrvärme (GWh)",Miljö!$B$1:$T$1,0),FALSE))</f>
        <v/>
      </c>
      <c r="J28" s="121" t="str">
        <f t="shared" si="0"/>
        <v>Alvesta Energi AB</v>
      </c>
    </row>
    <row r="29" spans="1:10" x14ac:dyDescent="0.25">
      <c r="A29" s="137" t="s">
        <v>220</v>
      </c>
      <c r="B29" s="137" t="s">
        <v>222</v>
      </c>
      <c r="D29" s="121" t="str">
        <f>IF(ISERROR(1/VLOOKUP($B29,Kraftvärmeprod!$B$1:$D$479,MATCH("Total värmeproduktion i kraftvärmeverk i kombinerad drift (GWh)",Kraftvärmeprod!$B$1:$AV$1,0),FALSE)),"Ej kraftvärme","Alternativproduktionsmetoden")</f>
        <v>Ej kraftvärme</v>
      </c>
      <c r="E29" s="172" t="str">
        <f>IF(ISERROR(1/VLOOKUP($B29,Kraftvärmeprod!$B$1:$BD$479,MATCH("Total värmeproduktion i kraftvärmeverk i kombinerad drift (GWh)",Kraftvärmeprod!$B$1:$AV$1,0),FALSE)),"",VLOOKUP($B29,'Slutlig allokering kvv'!$B$1:$BC$479,MATCH(E$1,'Slutlig allokering kvv'!$B$1:$AU$1,0),FALSE))</f>
        <v/>
      </c>
      <c r="F29" s="121" t="str">
        <f>IF(ISERROR(1/VLOOKUP($B29,Kraftvärmeprod!$B$1:$AV$479,MATCH("Producerad elenergi i kraftvärmeverk (GWh)",Kraftvärmeprod!$B$1:$AV$1,0),FALSE)),"",VLOOKUP($B29,Kraftvärmeprod!$B$1:$AV$479,MATCH("Producerad elenergi i kraftvärmeverk (GWh)",Kraftvärmeprod!$B$1:$AV$1,0),FALSE))</f>
        <v/>
      </c>
      <c r="G29" s="121" t="str">
        <f>IF(ISERROR(1/VLOOKUP($B29,Miljö!$B$1:$T$480,MATCH("Såld mängd produktionsspecifik fjärrvärme (GWh)",Miljö!$B$1:$T$1,0),FALSE)),"",VLOOKUP($B29,Miljö!$B$1:$T$480,MATCH("Såld mängd produktionsspecifik fjärrvärme (GWh)",Miljö!$B$1:$T$1,0),FALSE))</f>
        <v/>
      </c>
      <c r="J29" s="121" t="str">
        <f t="shared" si="0"/>
        <v>Alvesta Energi AB</v>
      </c>
    </row>
    <row r="30" spans="1:10" x14ac:dyDescent="0.25">
      <c r="A30" s="137" t="s">
        <v>220</v>
      </c>
      <c r="B30" s="137" t="s">
        <v>223</v>
      </c>
      <c r="D30" s="121" t="str">
        <f>IF(ISERROR(1/VLOOKUP($B30,Kraftvärmeprod!$B$1:$D$479,MATCH("Total värmeproduktion i kraftvärmeverk i kombinerad drift (GWh)",Kraftvärmeprod!$B$1:$AV$1,0),FALSE)),"Ej kraftvärme","Alternativproduktionsmetoden")</f>
        <v>Ej kraftvärme</v>
      </c>
      <c r="E30" s="172" t="str">
        <f>IF(ISERROR(1/VLOOKUP($B30,Kraftvärmeprod!$B$1:$BD$479,MATCH("Total värmeproduktion i kraftvärmeverk i kombinerad drift (GWh)",Kraftvärmeprod!$B$1:$AV$1,0),FALSE)),"",VLOOKUP($B30,'Slutlig allokering kvv'!$B$1:$BC$479,MATCH(E$1,'Slutlig allokering kvv'!$B$1:$AU$1,0),FALSE))</f>
        <v/>
      </c>
      <c r="F30" s="121" t="str">
        <f>IF(ISERROR(1/VLOOKUP($B30,Kraftvärmeprod!$B$1:$AV$479,MATCH("Producerad elenergi i kraftvärmeverk (GWh)",Kraftvärmeprod!$B$1:$AV$1,0),FALSE)),"",VLOOKUP($B30,Kraftvärmeprod!$B$1:$AV$479,MATCH("Producerad elenergi i kraftvärmeverk (GWh)",Kraftvärmeprod!$B$1:$AV$1,0),FALSE))</f>
        <v/>
      </c>
      <c r="G30" s="121" t="str">
        <f>IF(ISERROR(1/VLOOKUP($B30,Miljö!$B$1:$T$480,MATCH("Såld mängd produktionsspecifik fjärrvärme (GWh)",Miljö!$B$1:$T$1,0),FALSE)),"",VLOOKUP($B30,Miljö!$B$1:$T$480,MATCH("Såld mängd produktionsspecifik fjärrvärme (GWh)",Miljö!$B$1:$T$1,0),FALSE))</f>
        <v/>
      </c>
      <c r="J30" s="121" t="str">
        <f t="shared" si="0"/>
        <v>Alvesta Energi AB</v>
      </c>
    </row>
    <row r="31" spans="1:10" x14ac:dyDescent="0.25">
      <c r="A31" s="137" t="s">
        <v>224</v>
      </c>
      <c r="B31" s="137" t="s">
        <v>225</v>
      </c>
      <c r="D31" s="121" t="str">
        <f>IF(ISERROR(1/VLOOKUP($B31,Kraftvärmeprod!$B$1:$D$479,MATCH("Total värmeproduktion i kraftvärmeverk i kombinerad drift (GWh)",Kraftvärmeprod!$B$1:$AV$1,0),FALSE)),"Ej kraftvärme","Alternativproduktionsmetoden")</f>
        <v>Ej kraftvärme</v>
      </c>
      <c r="E31" s="172" t="str">
        <f>IF(ISERROR(1/VLOOKUP($B31,Kraftvärmeprod!$B$1:$BD$479,MATCH("Total värmeproduktion i kraftvärmeverk i kombinerad drift (GWh)",Kraftvärmeprod!$B$1:$AV$1,0),FALSE)),"",VLOOKUP($B31,'Slutlig allokering kvv'!$B$1:$BC$479,MATCH(E$1,'Slutlig allokering kvv'!$B$1:$AU$1,0),FALSE))</f>
        <v/>
      </c>
      <c r="F31" s="121" t="str">
        <f>IF(ISERROR(1/VLOOKUP($B31,Kraftvärmeprod!$B$1:$AV$479,MATCH("Producerad elenergi i kraftvärmeverk (GWh)",Kraftvärmeprod!$B$1:$AV$1,0),FALSE)),"",VLOOKUP($B31,Kraftvärmeprod!$B$1:$AV$479,MATCH("Producerad elenergi i kraftvärmeverk (GWh)",Kraftvärmeprod!$B$1:$AV$1,0),FALSE))</f>
        <v/>
      </c>
      <c r="G31" s="121" t="str">
        <f>IF(ISERROR(1/VLOOKUP($B31,Miljö!$B$1:$T$480,MATCH("Såld mängd produktionsspecifik fjärrvärme (GWh)",Miljö!$B$1:$T$1,0),FALSE)),"",VLOOKUP($B31,Miljö!$B$1:$T$480,MATCH("Såld mängd produktionsspecifik fjärrvärme (GWh)",Miljö!$B$1:$T$1,0),FALSE))</f>
        <v/>
      </c>
      <c r="J31" s="121" t="str">
        <f t="shared" si="0"/>
        <v>Aneby Miljö &amp; Vatten AB</v>
      </c>
    </row>
    <row r="32" spans="1:10" x14ac:dyDescent="0.25">
      <c r="A32" s="137" t="s">
        <v>36</v>
      </c>
      <c r="B32" s="141" t="s">
        <v>37</v>
      </c>
      <c r="D32" s="121" t="str">
        <f>IF(ISERROR(1/VLOOKUP($B32,Kraftvärmeprod!$B$1:$D$479,MATCH("Total värmeproduktion i kraftvärmeverk i kombinerad drift (GWh)",Kraftvärmeprod!$B$1:$AV$1,0),FALSE)),"Ej kraftvärme","Alternativproduktionsmetoden")</f>
        <v>Ej kraftvärme</v>
      </c>
      <c r="E32" s="172" t="str">
        <f>IF(ISERROR(1/VLOOKUP($B32,Kraftvärmeprod!$B$1:$BD$479,MATCH("Total värmeproduktion i kraftvärmeverk i kombinerad drift (GWh)",Kraftvärmeprod!$B$1:$AV$1,0),FALSE)),"",VLOOKUP($B32,'Slutlig allokering kvv'!$B$1:$BC$479,MATCH(E$1,'Slutlig allokering kvv'!$B$1:$AU$1,0),FALSE))</f>
        <v/>
      </c>
      <c r="F32" s="121" t="str">
        <f>IF(ISERROR(1/VLOOKUP($B32,Kraftvärmeprod!$B$1:$AV$479,MATCH("Producerad elenergi i kraftvärmeverk (GWh)",Kraftvärmeprod!$B$1:$AV$1,0),FALSE)),"",VLOOKUP($B32,Kraftvärmeprod!$B$1:$AV$479,MATCH("Producerad elenergi i kraftvärmeverk (GWh)",Kraftvärmeprod!$B$1:$AV$1,0),FALSE))</f>
        <v/>
      </c>
      <c r="G32" s="121" t="str">
        <f>IF(ISERROR(1/VLOOKUP($B32,Miljö!$B$1:$T$480,MATCH("Såld mängd produktionsspecifik fjärrvärme (GWh)",Miljö!$B$1:$T$1,0),FALSE)),"",VLOOKUP($B32,Miljö!$B$1:$T$480,MATCH("Såld mängd produktionsspecifik fjärrvärme (GWh)",Miljö!$B$1:$T$1,0),FALSE))</f>
        <v/>
      </c>
      <c r="J32" s="121" t="str">
        <f t="shared" si="0"/>
        <v>Arboga Energi AB</v>
      </c>
    </row>
    <row r="33" spans="1:10" x14ac:dyDescent="0.25">
      <c r="A33" s="137" t="s">
        <v>226</v>
      </c>
      <c r="B33" s="137" t="s">
        <v>227</v>
      </c>
      <c r="D33" s="121" t="str">
        <f>IF(ISERROR(1/VLOOKUP($B33,Kraftvärmeprod!$B$1:$D$479,MATCH("Total värmeproduktion i kraftvärmeverk i kombinerad drift (GWh)",Kraftvärmeprod!$B$1:$AV$1,0),FALSE)),"Ej kraftvärme","Alternativproduktionsmetoden")</f>
        <v>Ej kraftvärme</v>
      </c>
      <c r="E33" s="172" t="str">
        <f>IF(ISERROR(1/VLOOKUP($B33,Kraftvärmeprod!$B$1:$BD$479,MATCH("Total värmeproduktion i kraftvärmeverk i kombinerad drift (GWh)",Kraftvärmeprod!$B$1:$AV$1,0),FALSE)),"",VLOOKUP($B33,'Slutlig allokering kvv'!$B$1:$BC$479,MATCH(E$1,'Slutlig allokering kvv'!$B$1:$AU$1,0),FALSE))</f>
        <v/>
      </c>
      <c r="F33" s="121" t="str">
        <f>IF(ISERROR(1/VLOOKUP($B33,Kraftvärmeprod!$B$1:$AV$479,MATCH("Producerad elenergi i kraftvärmeverk (GWh)",Kraftvärmeprod!$B$1:$AV$1,0),FALSE)),"",VLOOKUP($B33,Kraftvärmeprod!$B$1:$AV$479,MATCH("Producerad elenergi i kraftvärmeverk (GWh)",Kraftvärmeprod!$B$1:$AV$1,0),FALSE))</f>
        <v/>
      </c>
      <c r="G33" s="121" t="str">
        <f>IF(ISERROR(1/VLOOKUP($B33,Miljö!$B$1:$T$480,MATCH("Såld mängd produktionsspecifik fjärrvärme (GWh)",Miljö!$B$1:$T$1,0),FALSE)),"",VLOOKUP($B33,Miljö!$B$1:$T$480,MATCH("Såld mängd produktionsspecifik fjärrvärme (GWh)",Miljö!$B$1:$T$1,0),FALSE))</f>
        <v/>
      </c>
      <c r="J33" s="121" t="str">
        <f t="shared" si="0"/>
        <v>Arvika Fjärrvärme AB</v>
      </c>
    </row>
    <row r="34" spans="1:10" x14ac:dyDescent="0.25">
      <c r="A34" s="137" t="s">
        <v>228</v>
      </c>
      <c r="B34" s="137" t="s">
        <v>229</v>
      </c>
      <c r="D34" s="121" t="str">
        <f>IF(ISERROR(1/VLOOKUP($B34,Kraftvärmeprod!$B$1:$D$479,MATCH("Total värmeproduktion i kraftvärmeverk i kombinerad drift (GWh)",Kraftvärmeprod!$B$1:$AV$1,0),FALSE)),"Ej kraftvärme","Alternativproduktionsmetoden")</f>
        <v>Ej kraftvärme</v>
      </c>
      <c r="E34" s="172" t="str">
        <f>IF(ISERROR(1/VLOOKUP($B34,Kraftvärmeprod!$B$1:$BD$479,MATCH("Total värmeproduktion i kraftvärmeverk i kombinerad drift (GWh)",Kraftvärmeprod!$B$1:$AV$1,0),FALSE)),"",VLOOKUP($B34,'Slutlig allokering kvv'!$B$1:$BC$479,MATCH(E$1,'Slutlig allokering kvv'!$B$1:$AU$1,0),FALSE))</f>
        <v/>
      </c>
      <c r="F34" s="121" t="str">
        <f>IF(ISERROR(1/VLOOKUP($B34,Kraftvärmeprod!$B$1:$AV$479,MATCH("Producerad elenergi i kraftvärmeverk (GWh)",Kraftvärmeprod!$B$1:$AV$1,0),FALSE)),"",VLOOKUP($B34,Kraftvärmeprod!$B$1:$AV$479,MATCH("Producerad elenergi i kraftvärmeverk (GWh)",Kraftvärmeprod!$B$1:$AV$1,0),FALSE))</f>
        <v/>
      </c>
      <c r="G34" s="121" t="str">
        <f>IF(ISERROR(1/VLOOKUP($B34,Miljö!$B$1:$T$480,MATCH("Såld mängd produktionsspecifik fjärrvärme (GWh)",Miljö!$B$1:$T$1,0),FALSE)),"",VLOOKUP($B34,Miljö!$B$1:$T$480,MATCH("Såld mängd produktionsspecifik fjärrvärme (GWh)",Miljö!$B$1:$T$1,0),FALSE))</f>
        <v/>
      </c>
      <c r="J34" s="121" t="str">
        <f t="shared" si="0"/>
        <v>Bengtsfors Energi</v>
      </c>
    </row>
    <row r="35" spans="1:10" x14ac:dyDescent="0.25">
      <c r="A35" s="137" t="s">
        <v>230</v>
      </c>
      <c r="B35" s="137" t="s">
        <v>66</v>
      </c>
      <c r="D35" s="121" t="str">
        <f>IF(ISERROR(1/VLOOKUP($B35,Kraftvärmeprod!$B$1:$D$479,MATCH("Total värmeproduktion i kraftvärmeverk i kombinerad drift (GWh)",Kraftvärmeprod!$B$1:$AV$1,0),FALSE)),"Ej kraftvärme","Alternativproduktionsmetoden")</f>
        <v>Alternativproduktionsmetoden</v>
      </c>
      <c r="E35" s="172">
        <f>IF(ISERROR(1/VLOOKUP($B35,Kraftvärmeprod!$B$1:$BD$479,MATCH("Total värmeproduktion i kraftvärmeverk i kombinerad drift (GWh)",Kraftvärmeprod!$B$1:$AV$1,0),FALSE)),"",VLOOKUP($B35,'Slutlig allokering kvv'!$B$1:$BC$479,MATCH(E$1,'Slutlig allokering kvv'!$B$1:$AU$1,0),FALSE))</f>
        <v>0.62968832369942196</v>
      </c>
      <c r="F35" s="121">
        <f>IF(ISERROR(1/VLOOKUP($B35,Kraftvärmeprod!$B$1:$AV$479,MATCH("Producerad elenergi i kraftvärmeverk (GWh)",Kraftvärmeprod!$B$1:$AV$1,0),FALSE)),"",VLOOKUP($B35,Kraftvärmeprod!$B$1:$AV$479,MATCH("Producerad elenergi i kraftvärmeverk (GWh)",Kraftvärmeprod!$B$1:$AV$1,0),FALSE))</f>
        <v>23</v>
      </c>
      <c r="G35" s="121" t="str">
        <f>IF(ISERROR(1/VLOOKUP($B35,Miljö!$B$1:$T$480,MATCH("Såld mängd produktionsspecifik fjärrvärme (GWh)",Miljö!$B$1:$T$1,0),FALSE)),"",VLOOKUP($B35,Miljö!$B$1:$T$480,MATCH("Såld mängd produktionsspecifik fjärrvärme (GWh)",Miljö!$B$1:$T$1,0),FALSE))</f>
        <v/>
      </c>
      <c r="J35" s="121" t="str">
        <f t="shared" si="0"/>
        <v>Bodens Energi AB</v>
      </c>
    </row>
    <row r="36" spans="1:10" x14ac:dyDescent="0.25">
      <c r="A36" s="137" t="s">
        <v>231</v>
      </c>
      <c r="B36" s="137" t="s">
        <v>232</v>
      </c>
      <c r="D36" s="121" t="str">
        <f>IF(ISERROR(1/VLOOKUP($B36,Kraftvärmeprod!$B$1:$D$479,MATCH("Total värmeproduktion i kraftvärmeverk i kombinerad drift (GWh)",Kraftvärmeprod!$B$1:$AV$1,0),FALSE)),"Ej kraftvärme","Alternativproduktionsmetoden")</f>
        <v>Ej kraftvärme</v>
      </c>
      <c r="E36" s="172" t="str">
        <f>IF(ISERROR(1/VLOOKUP($B36,Kraftvärmeprod!$B$1:$BD$479,MATCH("Total värmeproduktion i kraftvärmeverk i kombinerad drift (GWh)",Kraftvärmeprod!$B$1:$AV$1,0),FALSE)),"",VLOOKUP($B36,'Slutlig allokering kvv'!$B$1:$BC$479,MATCH(E$1,'Slutlig allokering kvv'!$B$1:$AU$1,0),FALSE))</f>
        <v/>
      </c>
      <c r="F36" s="121" t="str">
        <f>IF(ISERROR(1/VLOOKUP($B36,Kraftvärmeprod!$B$1:$AV$479,MATCH("Producerad elenergi i kraftvärmeverk (GWh)",Kraftvärmeprod!$B$1:$AV$1,0),FALSE)),"",VLOOKUP($B36,Kraftvärmeprod!$B$1:$AV$479,MATCH("Producerad elenergi i kraftvärmeverk (GWh)",Kraftvärmeprod!$B$1:$AV$1,0),FALSE))</f>
        <v/>
      </c>
      <c r="G36" s="121" t="str">
        <f>IF(ISERROR(1/VLOOKUP($B36,Miljö!$B$1:$T$480,MATCH("Såld mängd produktionsspecifik fjärrvärme (GWh)",Miljö!$B$1:$T$1,0),FALSE)),"",VLOOKUP($B36,Miljö!$B$1:$T$480,MATCH("Såld mängd produktionsspecifik fjärrvärme (GWh)",Miljö!$B$1:$T$1,0),FALSE))</f>
        <v/>
      </c>
      <c r="J36" s="121" t="str">
        <f t="shared" si="0"/>
        <v>Bollnäs Energi AB</v>
      </c>
    </row>
    <row r="37" spans="1:10" x14ac:dyDescent="0.25">
      <c r="A37" s="137" t="s">
        <v>231</v>
      </c>
      <c r="B37" s="137" t="s">
        <v>233</v>
      </c>
      <c r="D37" s="121" t="str">
        <f>IF(ISERROR(1/VLOOKUP($B37,Kraftvärmeprod!$B$1:$D$479,MATCH("Total värmeproduktion i kraftvärmeverk i kombinerad drift (GWh)",Kraftvärmeprod!$B$1:$AV$1,0),FALSE)),"Ej kraftvärme","Alternativproduktionsmetoden")</f>
        <v>Alternativproduktionsmetoden</v>
      </c>
      <c r="E37" s="172">
        <f>IF(ISERROR(1/VLOOKUP($B37,Kraftvärmeprod!$B$1:$BD$479,MATCH("Total värmeproduktion i kraftvärmeverk i kombinerad drift (GWh)",Kraftvärmeprod!$B$1:$AV$1,0),FALSE)),"",VLOOKUP($B37,'Slutlig allokering kvv'!$B$1:$BC$479,MATCH(E$1,'Slutlig allokering kvv'!$B$1:$AU$1,0),FALSE))</f>
        <v>0.56342716642847857</v>
      </c>
      <c r="F37" s="121">
        <f>IF(ISERROR(1/VLOOKUP($B37,Kraftvärmeprod!$B$1:$AV$479,MATCH("Producerad elenergi i kraftvärmeverk (GWh)",Kraftvärmeprod!$B$1:$AV$1,0),FALSE)),"",VLOOKUP($B37,Kraftvärmeprod!$B$1:$AV$479,MATCH("Producerad elenergi i kraftvärmeverk (GWh)",Kraftvärmeprod!$B$1:$AV$1,0),FALSE))</f>
        <v>29.18</v>
      </c>
      <c r="G37" s="121" t="str">
        <f>IF(ISERROR(1/VLOOKUP($B37,Miljö!$B$1:$T$480,MATCH("Såld mängd produktionsspecifik fjärrvärme (GWh)",Miljö!$B$1:$T$1,0),FALSE)),"",VLOOKUP($B37,Miljö!$B$1:$T$480,MATCH("Såld mängd produktionsspecifik fjärrvärme (GWh)",Miljö!$B$1:$T$1,0),FALSE))</f>
        <v/>
      </c>
      <c r="J37" s="121" t="str">
        <f t="shared" si="0"/>
        <v>Bollnäs Energi AB</v>
      </c>
    </row>
    <row r="38" spans="1:10" x14ac:dyDescent="0.25">
      <c r="A38" s="137" t="s">
        <v>231</v>
      </c>
      <c r="B38" s="137" t="s">
        <v>234</v>
      </c>
      <c r="D38" s="121" t="str">
        <f>IF(ISERROR(1/VLOOKUP($B38,Kraftvärmeprod!$B$1:$D$479,MATCH("Total värmeproduktion i kraftvärmeverk i kombinerad drift (GWh)",Kraftvärmeprod!$B$1:$AV$1,0),FALSE)),"Ej kraftvärme","Alternativproduktionsmetoden")</f>
        <v>Ej kraftvärme</v>
      </c>
      <c r="E38" s="172" t="str">
        <f>IF(ISERROR(1/VLOOKUP($B38,Kraftvärmeprod!$B$1:$BD$479,MATCH("Total värmeproduktion i kraftvärmeverk i kombinerad drift (GWh)",Kraftvärmeprod!$B$1:$AV$1,0),FALSE)),"",VLOOKUP($B38,'Slutlig allokering kvv'!$B$1:$BC$479,MATCH(E$1,'Slutlig allokering kvv'!$B$1:$AU$1,0),FALSE))</f>
        <v/>
      </c>
      <c r="F38" s="121" t="str">
        <f>IF(ISERROR(1/VLOOKUP($B38,Kraftvärmeprod!$B$1:$AV$479,MATCH("Producerad elenergi i kraftvärmeverk (GWh)",Kraftvärmeprod!$B$1:$AV$1,0),FALSE)),"",VLOOKUP($B38,Kraftvärmeprod!$B$1:$AV$479,MATCH("Producerad elenergi i kraftvärmeverk (GWh)",Kraftvärmeprod!$B$1:$AV$1,0),FALSE))</f>
        <v/>
      </c>
      <c r="G38" s="121" t="str">
        <f>IF(ISERROR(1/VLOOKUP($B38,Miljö!$B$1:$T$480,MATCH("Såld mängd produktionsspecifik fjärrvärme (GWh)",Miljö!$B$1:$T$1,0),FALSE)),"",VLOOKUP($B38,Miljö!$B$1:$T$480,MATCH("Såld mängd produktionsspecifik fjärrvärme (GWh)",Miljö!$B$1:$T$1,0),FALSE))</f>
        <v/>
      </c>
      <c r="J38" s="121" t="str">
        <f t="shared" si="0"/>
        <v>Bollnäs Energi AB</v>
      </c>
    </row>
    <row r="39" spans="1:10" x14ac:dyDescent="0.25">
      <c r="A39" s="137" t="s">
        <v>235</v>
      </c>
      <c r="B39" s="137" t="s">
        <v>236</v>
      </c>
      <c r="D39" s="121" t="str">
        <f>IF(ISERROR(1/VLOOKUP($B39,Kraftvärmeprod!$B$1:$D$479,MATCH("Total värmeproduktion i kraftvärmeverk i kombinerad drift (GWh)",Kraftvärmeprod!$B$1:$AV$1,0),FALSE)),"Ej kraftvärme","Alternativproduktionsmetoden")</f>
        <v>Ej kraftvärme</v>
      </c>
      <c r="E39" s="172" t="str">
        <f>IF(ISERROR(1/VLOOKUP($B39,Kraftvärmeprod!$B$1:$BD$479,MATCH("Total värmeproduktion i kraftvärmeverk i kombinerad drift (GWh)",Kraftvärmeprod!$B$1:$AV$1,0),FALSE)),"",VLOOKUP($B39,'Slutlig allokering kvv'!$B$1:$BC$479,MATCH(E$1,'Slutlig allokering kvv'!$B$1:$AU$1,0),FALSE))</f>
        <v/>
      </c>
      <c r="F39" s="121" t="str">
        <f>IF(ISERROR(1/VLOOKUP($B39,Kraftvärmeprod!$B$1:$AV$479,MATCH("Producerad elenergi i kraftvärmeverk (GWh)",Kraftvärmeprod!$B$1:$AV$1,0),FALSE)),"",VLOOKUP($B39,Kraftvärmeprod!$B$1:$AV$479,MATCH("Producerad elenergi i kraftvärmeverk (GWh)",Kraftvärmeprod!$B$1:$AV$1,0),FALSE))</f>
        <v/>
      </c>
      <c r="G39" s="121" t="str">
        <f>IF(ISERROR(1/VLOOKUP($B39,Miljö!$B$1:$T$480,MATCH("Såld mängd produktionsspecifik fjärrvärme (GWh)",Miljö!$B$1:$T$1,0),FALSE)),"",VLOOKUP($B39,Miljö!$B$1:$T$480,MATCH("Såld mängd produktionsspecifik fjärrvärme (GWh)",Miljö!$B$1:$T$1,0),FALSE))</f>
        <v/>
      </c>
      <c r="J39" s="121" t="str">
        <f t="shared" si="0"/>
        <v>Borgholm Energi AB</v>
      </c>
    </row>
    <row r="40" spans="1:10" x14ac:dyDescent="0.25">
      <c r="A40" s="137" t="s">
        <v>235</v>
      </c>
      <c r="B40" s="137" t="s">
        <v>237</v>
      </c>
      <c r="D40" s="121" t="str">
        <f>IF(ISERROR(1/VLOOKUP($B40,Kraftvärmeprod!$B$1:$D$479,MATCH("Total värmeproduktion i kraftvärmeverk i kombinerad drift (GWh)",Kraftvärmeprod!$B$1:$AV$1,0),FALSE)),"Ej kraftvärme","Alternativproduktionsmetoden")</f>
        <v>Ej kraftvärme</v>
      </c>
      <c r="E40" s="172" t="str">
        <f>IF(ISERROR(1/VLOOKUP($B40,Kraftvärmeprod!$B$1:$BD$479,MATCH("Total värmeproduktion i kraftvärmeverk i kombinerad drift (GWh)",Kraftvärmeprod!$B$1:$AV$1,0),FALSE)),"",VLOOKUP($B40,'Slutlig allokering kvv'!$B$1:$BC$479,MATCH(E$1,'Slutlig allokering kvv'!$B$1:$AU$1,0),FALSE))</f>
        <v/>
      </c>
      <c r="F40" s="121" t="str">
        <f>IF(ISERROR(1/VLOOKUP($B40,Kraftvärmeprod!$B$1:$AV$479,MATCH("Producerad elenergi i kraftvärmeverk (GWh)",Kraftvärmeprod!$B$1:$AV$1,0),FALSE)),"",VLOOKUP($B40,Kraftvärmeprod!$B$1:$AV$479,MATCH("Producerad elenergi i kraftvärmeverk (GWh)",Kraftvärmeprod!$B$1:$AV$1,0),FALSE))</f>
        <v/>
      </c>
      <c r="G40" s="121" t="str">
        <f>IF(ISERROR(1/VLOOKUP($B40,Miljö!$B$1:$T$480,MATCH("Såld mängd produktionsspecifik fjärrvärme (GWh)",Miljö!$B$1:$T$1,0),FALSE)),"",VLOOKUP($B40,Miljö!$B$1:$T$480,MATCH("Såld mängd produktionsspecifik fjärrvärme (GWh)",Miljö!$B$1:$T$1,0),FALSE))</f>
        <v/>
      </c>
      <c r="J40" s="121" t="str">
        <f t="shared" si="0"/>
        <v>Borgholm Energi AB</v>
      </c>
    </row>
    <row r="41" spans="1:10" x14ac:dyDescent="0.25">
      <c r="A41" s="137" t="s">
        <v>238</v>
      </c>
      <c r="B41" s="137" t="s">
        <v>239</v>
      </c>
      <c r="D41" s="121" t="str">
        <f>IF(ISERROR(1/VLOOKUP($B41,Kraftvärmeprod!$B$1:$D$479,MATCH("Total värmeproduktion i kraftvärmeverk i kombinerad drift (GWh)",Kraftvärmeprod!$B$1:$AV$1,0),FALSE)),"Ej kraftvärme","Alternativproduktionsmetoden")</f>
        <v>Alternativproduktionsmetoden</v>
      </c>
      <c r="E41" s="172">
        <f>IF(ISERROR(1/VLOOKUP($B41,Kraftvärmeprod!$B$1:$BD$479,MATCH("Total värmeproduktion i kraftvärmeverk i kombinerad drift (GWh)",Kraftvärmeprod!$B$1:$AV$1,0),FALSE)),"",VLOOKUP($B41,'Slutlig allokering kvv'!$B$1:$BC$479,MATCH(E$1,'Slutlig allokering kvv'!$B$1:$AU$1,0),FALSE))</f>
        <v>0.5894399743869766</v>
      </c>
      <c r="F41" s="121">
        <f>IF(ISERROR(1/VLOOKUP($B41,Kraftvärmeprod!$B$1:$AV$479,MATCH("Producerad elenergi i kraftvärmeverk (GWh)",Kraftvärmeprod!$B$1:$AV$1,0),FALSE)),"",VLOOKUP($B41,Kraftvärmeprod!$B$1:$AV$479,MATCH("Producerad elenergi i kraftvärmeverk (GWh)",Kraftvärmeprod!$B$1:$AV$1,0),FALSE))</f>
        <v>40.518000000000001</v>
      </c>
      <c r="G41" s="121">
        <f>IF(ISERROR(1/VLOOKUP($B41,Miljö!$B$1:$T$480,MATCH("Såld mängd produktionsspecifik fjärrvärme (GWh)",Miljö!$B$1:$T$1,0),FALSE)),"",VLOOKUP($B41,Miljö!$B$1:$T$480,MATCH("Såld mängd produktionsspecifik fjärrvärme (GWh)",Miljö!$B$1:$T$1,0),FALSE))</f>
        <v>64.605000000000004</v>
      </c>
      <c r="J41" s="121" t="str">
        <f t="shared" si="0"/>
        <v>Borlänge Energi AB</v>
      </c>
    </row>
    <row r="42" spans="1:10" x14ac:dyDescent="0.25">
      <c r="A42" s="137" t="s">
        <v>238</v>
      </c>
      <c r="B42" s="137" t="s">
        <v>241</v>
      </c>
      <c r="D42" s="121" t="str">
        <f>IF(ISERROR(1/VLOOKUP($B42,Kraftvärmeprod!$B$1:$D$479,MATCH("Total värmeproduktion i kraftvärmeverk i kombinerad drift (GWh)",Kraftvärmeprod!$B$1:$AV$1,0),FALSE)),"Ej kraftvärme","Alternativproduktionsmetoden")</f>
        <v>Ej kraftvärme</v>
      </c>
      <c r="E42" s="172" t="str">
        <f>IF(ISERROR(1/VLOOKUP($B42,Kraftvärmeprod!$B$1:$BD$479,MATCH("Total värmeproduktion i kraftvärmeverk i kombinerad drift (GWh)",Kraftvärmeprod!$B$1:$AV$1,0),FALSE)),"",VLOOKUP($B42,'Slutlig allokering kvv'!$B$1:$BC$479,MATCH(E$1,'Slutlig allokering kvv'!$B$1:$AU$1,0),FALSE))</f>
        <v/>
      </c>
      <c r="F42" s="121" t="str">
        <f>IF(ISERROR(1/VLOOKUP($B42,Kraftvärmeprod!$B$1:$AV$479,MATCH("Producerad elenergi i kraftvärmeverk (GWh)",Kraftvärmeprod!$B$1:$AV$1,0),FALSE)),"",VLOOKUP($B42,Kraftvärmeprod!$B$1:$AV$479,MATCH("Producerad elenergi i kraftvärmeverk (GWh)",Kraftvärmeprod!$B$1:$AV$1,0),FALSE))</f>
        <v/>
      </c>
      <c r="G42" s="121" t="str">
        <f>IF(ISERROR(1/VLOOKUP($B42,Miljö!$B$1:$T$480,MATCH("Såld mängd produktionsspecifik fjärrvärme (GWh)",Miljö!$B$1:$T$1,0),FALSE)),"",VLOOKUP($B42,Miljö!$B$1:$T$480,MATCH("Såld mängd produktionsspecifik fjärrvärme (GWh)",Miljö!$B$1:$T$1,0),FALSE))</f>
        <v/>
      </c>
      <c r="J42" s="121" t="str">
        <f t="shared" si="0"/>
        <v>Borlänge Energi AB</v>
      </c>
    </row>
    <row r="43" spans="1:10" x14ac:dyDescent="0.25">
      <c r="A43" s="137" t="s">
        <v>238</v>
      </c>
      <c r="B43" s="137" t="s">
        <v>242</v>
      </c>
      <c r="D43" s="121" t="str">
        <f>IF(ISERROR(1/VLOOKUP($B43,Kraftvärmeprod!$B$1:$D$479,MATCH("Total värmeproduktion i kraftvärmeverk i kombinerad drift (GWh)",Kraftvärmeprod!$B$1:$AV$1,0),FALSE)),"Ej kraftvärme","Alternativproduktionsmetoden")</f>
        <v>Ej kraftvärme</v>
      </c>
      <c r="E43" s="172" t="str">
        <f>IF(ISERROR(1/VLOOKUP($B43,Kraftvärmeprod!$B$1:$BD$479,MATCH("Total värmeproduktion i kraftvärmeverk i kombinerad drift (GWh)",Kraftvärmeprod!$B$1:$AV$1,0),FALSE)),"",VLOOKUP($B43,'Slutlig allokering kvv'!$B$1:$BC$479,MATCH(E$1,'Slutlig allokering kvv'!$B$1:$AU$1,0),FALSE))</f>
        <v/>
      </c>
      <c r="F43" s="121" t="str">
        <f>IF(ISERROR(1/VLOOKUP($B43,Kraftvärmeprod!$B$1:$AV$479,MATCH("Producerad elenergi i kraftvärmeverk (GWh)",Kraftvärmeprod!$B$1:$AV$1,0),FALSE)),"",VLOOKUP($B43,Kraftvärmeprod!$B$1:$AV$479,MATCH("Producerad elenergi i kraftvärmeverk (GWh)",Kraftvärmeprod!$B$1:$AV$1,0),FALSE))</f>
        <v/>
      </c>
      <c r="G43" s="121" t="str">
        <f>IF(ISERROR(1/VLOOKUP($B43,Miljö!$B$1:$T$480,MATCH("Såld mängd produktionsspecifik fjärrvärme (GWh)",Miljö!$B$1:$T$1,0),FALSE)),"",VLOOKUP($B43,Miljö!$B$1:$T$480,MATCH("Såld mängd produktionsspecifik fjärrvärme (GWh)",Miljö!$B$1:$T$1,0),FALSE))</f>
        <v/>
      </c>
      <c r="J43" s="121" t="str">
        <f t="shared" si="0"/>
        <v>Borlänge Energi AB</v>
      </c>
    </row>
    <row r="44" spans="1:10" x14ac:dyDescent="0.25">
      <c r="A44" s="137" t="s">
        <v>243</v>
      </c>
      <c r="B44" s="137" t="s">
        <v>244</v>
      </c>
      <c r="D44" s="121" t="str">
        <f>IF(ISERROR(1/VLOOKUP($B44,Kraftvärmeprod!$B$1:$D$479,MATCH("Total värmeproduktion i kraftvärmeverk i kombinerad drift (GWh)",Kraftvärmeprod!$B$1:$AV$1,0),FALSE)),"Ej kraftvärme","Alternativproduktionsmetoden")</f>
        <v>Alternativproduktionsmetoden</v>
      </c>
      <c r="E44" s="172">
        <f>IF(ISERROR(1/VLOOKUP($B44,Kraftvärmeprod!$B$1:$BD$479,MATCH("Total värmeproduktion i kraftvärmeverk i kombinerad drift (GWh)",Kraftvärmeprod!$B$1:$AV$1,0),FALSE)),"",VLOOKUP($B44,'Slutlig allokering kvv'!$B$1:$BC$479,MATCH(E$1,'Slutlig allokering kvv'!$B$1:$AU$1,0),FALSE))</f>
        <v>0.68528468624064487</v>
      </c>
      <c r="F44" s="121">
        <f>IF(ISERROR(1/VLOOKUP($B44,Kraftvärmeprod!$B$1:$AV$479,MATCH("Producerad elenergi i kraftvärmeverk (GWh)",Kraftvärmeprod!$B$1:$AV$1,0),FALSE)),"",VLOOKUP($B44,Kraftvärmeprod!$B$1:$AV$479,MATCH("Producerad elenergi i kraftvärmeverk (GWh)",Kraftvärmeprod!$B$1:$AV$1,0),FALSE))</f>
        <v>90.48</v>
      </c>
      <c r="G44" s="121" t="str">
        <f>IF(ISERROR(1/VLOOKUP($B44,Miljö!$B$1:$T$480,MATCH("Såld mängd produktionsspecifik fjärrvärme (GWh)",Miljö!$B$1:$T$1,0),FALSE)),"",VLOOKUP($B44,Miljö!$B$1:$T$480,MATCH("Såld mängd produktionsspecifik fjärrvärme (GWh)",Miljö!$B$1:$T$1,0),FALSE))</f>
        <v/>
      </c>
      <c r="J44" s="121" t="str">
        <f t="shared" si="0"/>
        <v>Borås Energi &amp; Miljö AB</v>
      </c>
    </row>
    <row r="45" spans="1:10" x14ac:dyDescent="0.25">
      <c r="A45" s="137" t="s">
        <v>243</v>
      </c>
      <c r="B45" s="137" t="s">
        <v>245</v>
      </c>
      <c r="D45" s="121" t="str">
        <f>IF(ISERROR(1/VLOOKUP($B45,Kraftvärmeprod!$B$1:$D$479,MATCH("Total värmeproduktion i kraftvärmeverk i kombinerad drift (GWh)",Kraftvärmeprod!$B$1:$AV$1,0),FALSE)),"Ej kraftvärme","Alternativproduktionsmetoden")</f>
        <v>Ej kraftvärme</v>
      </c>
      <c r="E45" s="172" t="str">
        <f>IF(ISERROR(1/VLOOKUP($B45,Kraftvärmeprod!$B$1:$BD$479,MATCH("Total värmeproduktion i kraftvärmeverk i kombinerad drift (GWh)",Kraftvärmeprod!$B$1:$AV$1,0),FALSE)),"",VLOOKUP($B45,'Slutlig allokering kvv'!$B$1:$BC$479,MATCH(E$1,'Slutlig allokering kvv'!$B$1:$AU$1,0),FALSE))</f>
        <v/>
      </c>
      <c r="F45" s="121" t="str">
        <f>IF(ISERROR(1/VLOOKUP($B45,Kraftvärmeprod!$B$1:$AV$479,MATCH("Producerad elenergi i kraftvärmeverk (GWh)",Kraftvärmeprod!$B$1:$AV$1,0),FALSE)),"",VLOOKUP($B45,Kraftvärmeprod!$B$1:$AV$479,MATCH("Producerad elenergi i kraftvärmeverk (GWh)",Kraftvärmeprod!$B$1:$AV$1,0),FALSE))</f>
        <v/>
      </c>
      <c r="G45" s="121" t="str">
        <f>IF(ISERROR(1/VLOOKUP($B45,Miljö!$B$1:$T$480,MATCH("Såld mängd produktionsspecifik fjärrvärme (GWh)",Miljö!$B$1:$T$1,0),FALSE)),"",VLOOKUP($B45,Miljö!$B$1:$T$480,MATCH("Såld mängd produktionsspecifik fjärrvärme (GWh)",Miljö!$B$1:$T$1,0),FALSE))</f>
        <v/>
      </c>
      <c r="J45" s="121" t="str">
        <f t="shared" si="0"/>
        <v>Borås Energi &amp; Miljö AB</v>
      </c>
    </row>
    <row r="46" spans="1:10" x14ac:dyDescent="0.25">
      <c r="A46" s="137" t="s">
        <v>246</v>
      </c>
      <c r="B46" s="137" t="s">
        <v>247</v>
      </c>
      <c r="D46" s="121" t="str">
        <f>IF(ISERROR(1/VLOOKUP($B46,Kraftvärmeprod!$B$1:$D$479,MATCH("Total värmeproduktion i kraftvärmeverk i kombinerad drift (GWh)",Kraftvärmeprod!$B$1:$AV$1,0),FALSE)),"Ej kraftvärme","Alternativproduktionsmetoden")</f>
        <v>Ej kraftvärme</v>
      </c>
      <c r="E46" s="172" t="str">
        <f>IF(ISERROR(1/VLOOKUP($B46,Kraftvärmeprod!$B$1:$BD$479,MATCH("Total värmeproduktion i kraftvärmeverk i kombinerad drift (GWh)",Kraftvärmeprod!$B$1:$AV$1,0),FALSE)),"",VLOOKUP($B46,'Slutlig allokering kvv'!$B$1:$BC$479,MATCH(E$1,'Slutlig allokering kvv'!$B$1:$AU$1,0),FALSE))</f>
        <v/>
      </c>
      <c r="F46" s="121" t="str">
        <f>IF(ISERROR(1/VLOOKUP($B46,Kraftvärmeprod!$B$1:$AV$479,MATCH("Producerad elenergi i kraftvärmeverk (GWh)",Kraftvärmeprod!$B$1:$AV$1,0),FALSE)),"",VLOOKUP($B46,Kraftvärmeprod!$B$1:$AV$479,MATCH("Producerad elenergi i kraftvärmeverk (GWh)",Kraftvärmeprod!$B$1:$AV$1,0),FALSE))</f>
        <v/>
      </c>
      <c r="G46" s="121" t="str">
        <f>IF(ISERROR(1/VLOOKUP($B46,Miljö!$B$1:$T$480,MATCH("Såld mängd produktionsspecifik fjärrvärme (GWh)",Miljö!$B$1:$T$1,0),FALSE)),"",VLOOKUP($B46,Miljö!$B$1:$T$480,MATCH("Såld mängd produktionsspecifik fjärrvärme (GWh)",Miljö!$B$1:$T$1,0),FALSE))</f>
        <v/>
      </c>
      <c r="J46" s="121" t="str">
        <f t="shared" si="0"/>
        <v>Bromölla Fjärrvärme AB</v>
      </c>
    </row>
    <row r="47" spans="1:10" x14ac:dyDescent="0.25">
      <c r="A47" s="137" t="s">
        <v>248</v>
      </c>
      <c r="B47" s="137" t="s">
        <v>69</v>
      </c>
      <c r="D47" s="121" t="str">
        <f>IF(ISERROR(1/VLOOKUP($B47,Kraftvärmeprod!$B$1:$D$479,MATCH("Total värmeproduktion i kraftvärmeverk i kombinerad drift (GWh)",Kraftvärmeprod!$B$1:$AV$1,0),FALSE)),"Ej kraftvärme","Alternativproduktionsmetoden")</f>
        <v>Ej kraftvärme</v>
      </c>
      <c r="E47" s="172" t="str">
        <f>IF(ISERROR(1/VLOOKUP($B47,Kraftvärmeprod!$B$1:$BD$479,MATCH("Total värmeproduktion i kraftvärmeverk i kombinerad drift (GWh)",Kraftvärmeprod!$B$1:$AV$1,0),FALSE)),"",VLOOKUP($B47,'Slutlig allokering kvv'!$B$1:$BC$479,MATCH(E$1,'Slutlig allokering kvv'!$B$1:$AU$1,0),FALSE))</f>
        <v/>
      </c>
      <c r="F47" s="121" t="str">
        <f>IF(ISERROR(1/VLOOKUP($B47,Kraftvärmeprod!$B$1:$AV$479,MATCH("Producerad elenergi i kraftvärmeverk (GWh)",Kraftvärmeprod!$B$1:$AV$1,0),FALSE)),"",VLOOKUP($B47,Kraftvärmeprod!$B$1:$AV$479,MATCH("Producerad elenergi i kraftvärmeverk (GWh)",Kraftvärmeprod!$B$1:$AV$1,0),FALSE))</f>
        <v/>
      </c>
      <c r="G47" s="121" t="str">
        <f>IF(ISERROR(1/VLOOKUP($B47,Miljö!$B$1:$T$480,MATCH("Såld mängd produktionsspecifik fjärrvärme (GWh)",Miljö!$B$1:$T$1,0),FALSE)),"",VLOOKUP($B47,Miljö!$B$1:$T$480,MATCH("Såld mängd produktionsspecifik fjärrvärme (GWh)",Miljö!$B$1:$T$1,0),FALSE))</f>
        <v/>
      </c>
      <c r="J47" s="121" t="str">
        <f t="shared" si="0"/>
        <v>BTEA Energi AB</v>
      </c>
    </row>
    <row r="48" spans="1:10" x14ac:dyDescent="0.25">
      <c r="A48" s="137" t="s">
        <v>249</v>
      </c>
      <c r="B48" s="137" t="s">
        <v>250</v>
      </c>
      <c r="D48" s="121" t="str">
        <f>IF(ISERROR(1/VLOOKUP($B48,Kraftvärmeprod!$B$1:$D$479,MATCH("Total värmeproduktion i kraftvärmeverk i kombinerad drift (GWh)",Kraftvärmeprod!$B$1:$AV$1,0),FALSE)),"Ej kraftvärme","Alternativproduktionsmetoden")</f>
        <v>Ej kraftvärme</v>
      </c>
      <c r="E48" s="172" t="str">
        <f>IF(ISERROR(1/VLOOKUP($B48,Kraftvärmeprod!$B$1:$BD$479,MATCH("Total värmeproduktion i kraftvärmeverk i kombinerad drift (GWh)",Kraftvärmeprod!$B$1:$AV$1,0),FALSE)),"",VLOOKUP($B48,'Slutlig allokering kvv'!$B$1:$BC$479,MATCH(E$1,'Slutlig allokering kvv'!$B$1:$AU$1,0),FALSE))</f>
        <v/>
      </c>
      <c r="F48" s="121" t="str">
        <f>IF(ISERROR(1/VLOOKUP($B48,Kraftvärmeprod!$B$1:$AV$479,MATCH("Producerad elenergi i kraftvärmeverk (GWh)",Kraftvärmeprod!$B$1:$AV$1,0),FALSE)),"",VLOOKUP($B48,Kraftvärmeprod!$B$1:$AV$479,MATCH("Producerad elenergi i kraftvärmeverk (GWh)",Kraftvärmeprod!$B$1:$AV$1,0),FALSE))</f>
        <v/>
      </c>
      <c r="G48" s="121" t="str">
        <f>IF(ISERROR(1/VLOOKUP($B48,Miljö!$B$1:$T$480,MATCH("Såld mängd produktionsspecifik fjärrvärme (GWh)",Miljö!$B$1:$T$1,0),FALSE)),"",VLOOKUP($B48,Miljö!$B$1:$T$480,MATCH("Såld mängd produktionsspecifik fjärrvärme (GWh)",Miljö!$B$1:$T$1,0),FALSE))</f>
        <v/>
      </c>
      <c r="J48" s="121" t="str">
        <f t="shared" si="0"/>
        <v>C4 Energi AB</v>
      </c>
    </row>
    <row r="49" spans="1:10" x14ac:dyDescent="0.25">
      <c r="A49" s="137" t="s">
        <v>249</v>
      </c>
      <c r="B49" s="137" t="s">
        <v>251</v>
      </c>
      <c r="D49" s="121" t="str">
        <f>IF(ISERROR(1/VLOOKUP($B49,Kraftvärmeprod!$B$1:$D$479,MATCH("Total värmeproduktion i kraftvärmeverk i kombinerad drift (GWh)",Kraftvärmeprod!$B$1:$AV$1,0),FALSE)),"Ej kraftvärme","Alternativproduktionsmetoden")</f>
        <v>Alternativproduktionsmetoden</v>
      </c>
      <c r="E49" s="172">
        <f>IF(ISERROR(1/VLOOKUP($B49,Kraftvärmeprod!$B$1:$BD$479,MATCH("Total värmeproduktion i kraftvärmeverk i kombinerad drift (GWh)",Kraftvärmeprod!$B$1:$AV$1,0),FALSE)),"",VLOOKUP($B49,'Slutlig allokering kvv'!$B$1:$BC$479,MATCH(E$1,'Slutlig allokering kvv'!$B$1:$AU$1,0),FALSE))</f>
        <v>0.61211676551268002</v>
      </c>
      <c r="F49" s="121">
        <f>IF(ISERROR(1/VLOOKUP($B49,Kraftvärmeprod!$B$1:$AV$479,MATCH("Producerad elenergi i kraftvärmeverk (GWh)",Kraftvärmeprod!$B$1:$AV$1,0),FALSE)),"",VLOOKUP($B49,Kraftvärmeprod!$B$1:$AV$479,MATCH("Producerad elenergi i kraftvärmeverk (GWh)",Kraftvärmeprod!$B$1:$AV$1,0),FALSE))</f>
        <v>79.798000000000002</v>
      </c>
      <c r="G49" s="121" t="str">
        <f>IF(ISERROR(1/VLOOKUP($B49,Miljö!$B$1:$T$480,MATCH("Såld mängd produktionsspecifik fjärrvärme (GWh)",Miljö!$B$1:$T$1,0),FALSE)),"",VLOOKUP($B49,Miljö!$B$1:$T$480,MATCH("Såld mängd produktionsspecifik fjärrvärme (GWh)",Miljö!$B$1:$T$1,0),FALSE))</f>
        <v/>
      </c>
      <c r="J49" s="121" t="str">
        <f t="shared" si="0"/>
        <v>C4 Energi AB</v>
      </c>
    </row>
    <row r="50" spans="1:10" x14ac:dyDescent="0.25">
      <c r="A50" s="137" t="s">
        <v>253</v>
      </c>
      <c r="B50" s="137" t="s">
        <v>254</v>
      </c>
      <c r="D50" s="121" t="str">
        <f>IF(ISERROR(1/VLOOKUP($B50,Kraftvärmeprod!$B$1:$D$479,MATCH("Total värmeproduktion i kraftvärmeverk i kombinerad drift (GWh)",Kraftvärmeprod!$B$1:$AV$1,0),FALSE)),"Ej kraftvärme","Alternativproduktionsmetoden")</f>
        <v>Ej kraftvärme</v>
      </c>
      <c r="E50" s="172" t="str">
        <f>IF(ISERROR(1/VLOOKUP($B50,Kraftvärmeprod!$B$1:$BD$479,MATCH("Total värmeproduktion i kraftvärmeverk i kombinerad drift (GWh)",Kraftvärmeprod!$B$1:$AV$1,0),FALSE)),"",VLOOKUP($B50,'Slutlig allokering kvv'!$B$1:$BC$479,MATCH(E$1,'Slutlig allokering kvv'!$B$1:$AU$1,0),FALSE))</f>
        <v/>
      </c>
      <c r="F50" s="121" t="str">
        <f>IF(ISERROR(1/VLOOKUP($B50,Kraftvärmeprod!$B$1:$AV$479,MATCH("Producerad elenergi i kraftvärmeverk (GWh)",Kraftvärmeprod!$B$1:$AV$1,0),FALSE)),"",VLOOKUP($B50,Kraftvärmeprod!$B$1:$AV$479,MATCH("Producerad elenergi i kraftvärmeverk (GWh)",Kraftvärmeprod!$B$1:$AV$1,0),FALSE))</f>
        <v/>
      </c>
      <c r="G50" s="121" t="str">
        <f>IF(ISERROR(1/VLOOKUP($B50,Miljö!$B$1:$T$480,MATCH("Såld mängd produktionsspecifik fjärrvärme (GWh)",Miljö!$B$1:$T$1,0),FALSE)),"",VLOOKUP($B50,Miljö!$B$1:$T$480,MATCH("Såld mängd produktionsspecifik fjärrvärme (GWh)",Miljö!$B$1:$T$1,0),FALSE))</f>
        <v/>
      </c>
      <c r="J50" s="121" t="str">
        <f t="shared" si="0"/>
        <v>Dala Energi Värme AB</v>
      </c>
    </row>
    <row r="51" spans="1:10" x14ac:dyDescent="0.25">
      <c r="A51" s="137" t="s">
        <v>253</v>
      </c>
      <c r="B51" s="137" t="s">
        <v>256</v>
      </c>
      <c r="D51" s="121" t="str">
        <f>IF(ISERROR(1/VLOOKUP($B51,Kraftvärmeprod!$B$1:$D$479,MATCH("Total värmeproduktion i kraftvärmeverk i kombinerad drift (GWh)",Kraftvärmeprod!$B$1:$AV$1,0),FALSE)),"Ej kraftvärme","Alternativproduktionsmetoden")</f>
        <v>Ej kraftvärme</v>
      </c>
      <c r="E51" s="172" t="str">
        <f>IF(ISERROR(1/VLOOKUP($B51,Kraftvärmeprod!$B$1:$BD$479,MATCH("Total värmeproduktion i kraftvärmeverk i kombinerad drift (GWh)",Kraftvärmeprod!$B$1:$AV$1,0),FALSE)),"",VLOOKUP($B51,'Slutlig allokering kvv'!$B$1:$BC$479,MATCH(E$1,'Slutlig allokering kvv'!$B$1:$AU$1,0),FALSE))</f>
        <v/>
      </c>
      <c r="F51" s="121" t="str">
        <f>IF(ISERROR(1/VLOOKUP($B51,Kraftvärmeprod!$B$1:$AV$479,MATCH("Producerad elenergi i kraftvärmeverk (GWh)",Kraftvärmeprod!$B$1:$AV$1,0),FALSE)),"",VLOOKUP($B51,Kraftvärmeprod!$B$1:$AV$479,MATCH("Producerad elenergi i kraftvärmeverk (GWh)",Kraftvärmeprod!$B$1:$AV$1,0),FALSE))</f>
        <v/>
      </c>
      <c r="G51" s="121" t="str">
        <f>IF(ISERROR(1/VLOOKUP($B51,Miljö!$B$1:$T$480,MATCH("Såld mängd produktionsspecifik fjärrvärme (GWh)",Miljö!$B$1:$T$1,0),FALSE)),"",VLOOKUP($B51,Miljö!$B$1:$T$480,MATCH("Såld mängd produktionsspecifik fjärrvärme (GWh)",Miljö!$B$1:$T$1,0),FALSE))</f>
        <v/>
      </c>
      <c r="J51" s="121" t="str">
        <f t="shared" si="0"/>
        <v>Dala Energi Värme AB</v>
      </c>
    </row>
    <row r="52" spans="1:10" x14ac:dyDescent="0.25">
      <c r="A52" s="137" t="s">
        <v>258</v>
      </c>
      <c r="B52" s="137" t="s">
        <v>259</v>
      </c>
      <c r="D52" s="121" t="str">
        <f>IF(ISERROR(1/VLOOKUP($B52,Kraftvärmeprod!$B$1:$D$479,MATCH("Total värmeproduktion i kraftvärmeverk i kombinerad drift (GWh)",Kraftvärmeprod!$B$1:$AV$1,0),FALSE)),"Ej kraftvärme","Alternativproduktionsmetoden")</f>
        <v>Ej kraftvärme</v>
      </c>
      <c r="E52" s="172" t="str">
        <f>IF(ISERROR(1/VLOOKUP($B52,Kraftvärmeprod!$B$1:$BD$479,MATCH("Total värmeproduktion i kraftvärmeverk i kombinerad drift (GWh)",Kraftvärmeprod!$B$1:$AV$1,0),FALSE)),"",VLOOKUP($B52,'Slutlig allokering kvv'!$B$1:$BC$479,MATCH(E$1,'Slutlig allokering kvv'!$B$1:$AU$1,0),FALSE))</f>
        <v/>
      </c>
      <c r="F52" s="121" t="str">
        <f>IF(ISERROR(1/VLOOKUP($B52,Kraftvärmeprod!$B$1:$AV$479,MATCH("Producerad elenergi i kraftvärmeverk (GWh)",Kraftvärmeprod!$B$1:$AV$1,0),FALSE)),"",VLOOKUP($B52,Kraftvärmeprod!$B$1:$AV$479,MATCH("Producerad elenergi i kraftvärmeverk (GWh)",Kraftvärmeprod!$B$1:$AV$1,0),FALSE))</f>
        <v/>
      </c>
      <c r="G52" s="121" t="str">
        <f>IF(ISERROR(1/VLOOKUP($B52,Miljö!$B$1:$T$480,MATCH("Såld mängd produktionsspecifik fjärrvärme (GWh)",Miljö!$B$1:$T$1,0),FALSE)),"",VLOOKUP($B52,Miljö!$B$1:$T$480,MATCH("Såld mängd produktionsspecifik fjärrvärme (GWh)",Miljö!$B$1:$T$1,0),FALSE))</f>
        <v/>
      </c>
      <c r="J52" s="121" t="str">
        <f t="shared" si="0"/>
        <v>Degerfors Energi AB</v>
      </c>
    </row>
    <row r="53" spans="1:10" x14ac:dyDescent="0.25">
      <c r="A53" s="137" t="s">
        <v>258</v>
      </c>
      <c r="B53" s="137" t="s">
        <v>260</v>
      </c>
      <c r="D53" s="121" t="str">
        <f>IF(ISERROR(1/VLOOKUP($B53,Kraftvärmeprod!$B$1:$D$479,MATCH("Total värmeproduktion i kraftvärmeverk i kombinerad drift (GWh)",Kraftvärmeprod!$B$1:$AV$1,0),FALSE)),"Ej kraftvärme","Alternativproduktionsmetoden")</f>
        <v>Ej kraftvärme</v>
      </c>
      <c r="E53" s="172" t="str">
        <f>IF(ISERROR(1/VLOOKUP($B53,Kraftvärmeprod!$B$1:$BD$479,MATCH("Total värmeproduktion i kraftvärmeverk i kombinerad drift (GWh)",Kraftvärmeprod!$B$1:$AV$1,0),FALSE)),"",VLOOKUP($B53,'Slutlig allokering kvv'!$B$1:$BC$479,MATCH(E$1,'Slutlig allokering kvv'!$B$1:$AU$1,0),FALSE))</f>
        <v/>
      </c>
      <c r="F53" s="121" t="str">
        <f>IF(ISERROR(1/VLOOKUP($B53,Kraftvärmeprod!$B$1:$AV$479,MATCH("Producerad elenergi i kraftvärmeverk (GWh)",Kraftvärmeprod!$B$1:$AV$1,0),FALSE)),"",VLOOKUP($B53,Kraftvärmeprod!$B$1:$AV$479,MATCH("Producerad elenergi i kraftvärmeverk (GWh)",Kraftvärmeprod!$B$1:$AV$1,0),FALSE))</f>
        <v/>
      </c>
      <c r="G53" s="121" t="str">
        <f>IF(ISERROR(1/VLOOKUP($B53,Miljö!$B$1:$T$480,MATCH("Såld mängd produktionsspecifik fjärrvärme (GWh)",Miljö!$B$1:$T$1,0),FALSE)),"",VLOOKUP($B53,Miljö!$B$1:$T$480,MATCH("Såld mängd produktionsspecifik fjärrvärme (GWh)",Miljö!$B$1:$T$1,0),FALSE))</f>
        <v/>
      </c>
      <c r="J53" s="121" t="str">
        <f t="shared" si="0"/>
        <v>Degerfors Energi AB</v>
      </c>
    </row>
    <row r="54" spans="1:10" x14ac:dyDescent="0.25">
      <c r="A54" s="137" t="s">
        <v>258</v>
      </c>
      <c r="B54" s="137" t="s">
        <v>261</v>
      </c>
      <c r="D54" s="121" t="str">
        <f>IF(ISERROR(1/VLOOKUP($B54,Kraftvärmeprod!$B$1:$D$479,MATCH("Total värmeproduktion i kraftvärmeverk i kombinerad drift (GWh)",Kraftvärmeprod!$B$1:$AV$1,0),FALSE)),"Ej kraftvärme","Alternativproduktionsmetoden")</f>
        <v>Ej kraftvärme</v>
      </c>
      <c r="E54" s="172" t="str">
        <f>IF(ISERROR(1/VLOOKUP($B54,Kraftvärmeprod!$B$1:$BD$479,MATCH("Total värmeproduktion i kraftvärmeverk i kombinerad drift (GWh)",Kraftvärmeprod!$B$1:$AV$1,0),FALSE)),"",VLOOKUP($B54,'Slutlig allokering kvv'!$B$1:$BC$479,MATCH(E$1,'Slutlig allokering kvv'!$B$1:$AU$1,0),FALSE))</f>
        <v/>
      </c>
      <c r="F54" s="121" t="str">
        <f>IF(ISERROR(1/VLOOKUP($B54,Kraftvärmeprod!$B$1:$AV$479,MATCH("Producerad elenergi i kraftvärmeverk (GWh)",Kraftvärmeprod!$B$1:$AV$1,0),FALSE)),"",VLOOKUP($B54,Kraftvärmeprod!$B$1:$AV$479,MATCH("Producerad elenergi i kraftvärmeverk (GWh)",Kraftvärmeprod!$B$1:$AV$1,0),FALSE))</f>
        <v/>
      </c>
      <c r="G54" s="121" t="str">
        <f>IF(ISERROR(1/VLOOKUP($B54,Miljö!$B$1:$T$480,MATCH("Såld mängd produktionsspecifik fjärrvärme (GWh)",Miljö!$B$1:$T$1,0),FALSE)),"",VLOOKUP($B54,Miljö!$B$1:$T$480,MATCH("Såld mängd produktionsspecifik fjärrvärme (GWh)",Miljö!$B$1:$T$1,0),FALSE))</f>
        <v/>
      </c>
      <c r="J54" s="121" t="str">
        <f t="shared" si="0"/>
        <v>Degerfors Energi AB</v>
      </c>
    </row>
    <row r="55" spans="1:10" x14ac:dyDescent="0.25">
      <c r="A55" s="137" t="s">
        <v>258</v>
      </c>
      <c r="B55" s="137" t="s">
        <v>262</v>
      </c>
      <c r="D55" s="121" t="str">
        <f>IF(ISERROR(1/VLOOKUP($B55,Kraftvärmeprod!$B$1:$D$479,MATCH("Total värmeproduktion i kraftvärmeverk i kombinerad drift (GWh)",Kraftvärmeprod!$B$1:$AV$1,0),FALSE)),"Ej kraftvärme","Alternativproduktionsmetoden")</f>
        <v>Ej kraftvärme</v>
      </c>
      <c r="E55" s="172" t="str">
        <f>IF(ISERROR(1/VLOOKUP($B55,Kraftvärmeprod!$B$1:$BD$479,MATCH("Total värmeproduktion i kraftvärmeverk i kombinerad drift (GWh)",Kraftvärmeprod!$B$1:$AV$1,0),FALSE)),"",VLOOKUP($B55,'Slutlig allokering kvv'!$B$1:$BC$479,MATCH(E$1,'Slutlig allokering kvv'!$B$1:$AU$1,0),FALSE))</f>
        <v/>
      </c>
      <c r="F55" s="121" t="str">
        <f>IF(ISERROR(1/VLOOKUP($B55,Kraftvärmeprod!$B$1:$AV$479,MATCH("Producerad elenergi i kraftvärmeverk (GWh)",Kraftvärmeprod!$B$1:$AV$1,0),FALSE)),"",VLOOKUP($B55,Kraftvärmeprod!$B$1:$AV$479,MATCH("Producerad elenergi i kraftvärmeverk (GWh)",Kraftvärmeprod!$B$1:$AV$1,0),FALSE))</f>
        <v/>
      </c>
      <c r="G55" s="121" t="str">
        <f>IF(ISERROR(1/VLOOKUP($B55,Miljö!$B$1:$T$480,MATCH("Såld mängd produktionsspecifik fjärrvärme (GWh)",Miljö!$B$1:$T$1,0),FALSE)),"",VLOOKUP($B55,Miljö!$B$1:$T$480,MATCH("Såld mängd produktionsspecifik fjärrvärme (GWh)",Miljö!$B$1:$T$1,0),FALSE))</f>
        <v/>
      </c>
      <c r="J55" s="121" t="str">
        <f t="shared" si="0"/>
        <v>Degerfors Energi AB</v>
      </c>
    </row>
    <row r="56" spans="1:10" x14ac:dyDescent="0.25">
      <c r="A56" s="137" t="s">
        <v>263</v>
      </c>
      <c r="B56" s="137" t="s">
        <v>264</v>
      </c>
      <c r="C56" s="121" t="s">
        <v>1380</v>
      </c>
      <c r="D56" s="121" t="str">
        <f>IF(ISERROR(1/VLOOKUP($B56,Kraftvärmeprod!$B$1:$D$479,MATCH("Total värmeproduktion i kraftvärmeverk i kombinerad drift (GWh)",Kraftvärmeprod!$B$1:$AV$1,0),FALSE)),"Ej kraftvärme","Alternativproduktionsmetoden")</f>
        <v>Ej kraftvärme</v>
      </c>
      <c r="E56" s="172" t="str">
        <f>IF(ISERROR(1/VLOOKUP($B56,Kraftvärmeprod!$B$1:$BD$479,MATCH("Total värmeproduktion i kraftvärmeverk i kombinerad drift (GWh)",Kraftvärmeprod!$B$1:$AV$1,0),FALSE)),"",VLOOKUP($B56,'Slutlig allokering kvv'!$B$1:$BC$479,MATCH(E$1,'Slutlig allokering kvv'!$B$1:$AU$1,0),FALSE))</f>
        <v/>
      </c>
      <c r="F56" s="121" t="str">
        <f>IF(ISERROR(1/VLOOKUP($B56,Kraftvärmeprod!$B$1:$AV$479,MATCH("Producerad elenergi i kraftvärmeverk (GWh)",Kraftvärmeprod!$B$1:$AV$1,0),FALSE)),"",VLOOKUP($B56,Kraftvärmeprod!$B$1:$AV$479,MATCH("Producerad elenergi i kraftvärmeverk (GWh)",Kraftvärmeprod!$B$1:$AV$1,0),FALSE))</f>
        <v/>
      </c>
      <c r="G56" s="121" t="str">
        <f>IF(ISERROR(1/VLOOKUP($B56,Miljö!$B$1:$T$480,MATCH("Såld mängd produktionsspecifik fjärrvärme (GWh)",Miljö!$B$1:$T$1,0),FALSE)),"",VLOOKUP($B56,Miljö!$B$1:$T$480,MATCH("Såld mängd produktionsspecifik fjärrvärme (GWh)",Miljö!$B$1:$T$1,0),FALSE))</f>
        <v/>
      </c>
      <c r="J56" s="121" t="str">
        <f t="shared" si="0"/>
        <v>E.ON Värme Sverige AB</v>
      </c>
    </row>
    <row r="57" spans="1:10" x14ac:dyDescent="0.25">
      <c r="A57" s="137" t="s">
        <v>263</v>
      </c>
      <c r="B57" s="137" t="s">
        <v>265</v>
      </c>
      <c r="C57" s="121" t="s">
        <v>1380</v>
      </c>
      <c r="D57" s="121" t="str">
        <f>IF(ISERROR(1/VLOOKUP($B57,Kraftvärmeprod!$B$1:$D$479,MATCH("Total värmeproduktion i kraftvärmeverk i kombinerad drift (GWh)",Kraftvärmeprod!$B$1:$AV$1,0),FALSE)),"Ej kraftvärme","Alternativproduktionsmetoden")</f>
        <v>Ej kraftvärme</v>
      </c>
      <c r="E57" s="172" t="str">
        <f>IF(ISERROR(1/VLOOKUP($B57,Kraftvärmeprod!$B$1:$BD$479,MATCH("Total värmeproduktion i kraftvärmeverk i kombinerad drift (GWh)",Kraftvärmeprod!$B$1:$AV$1,0),FALSE)),"",VLOOKUP($B57,'Slutlig allokering kvv'!$B$1:$BC$479,MATCH(E$1,'Slutlig allokering kvv'!$B$1:$AU$1,0),FALSE))</f>
        <v/>
      </c>
      <c r="F57" s="121" t="str">
        <f>IF(ISERROR(1/VLOOKUP($B57,Kraftvärmeprod!$B$1:$AV$479,MATCH("Producerad elenergi i kraftvärmeverk (GWh)",Kraftvärmeprod!$B$1:$AV$1,0),FALSE)),"",VLOOKUP($B57,Kraftvärmeprod!$B$1:$AV$479,MATCH("Producerad elenergi i kraftvärmeverk (GWh)",Kraftvärmeprod!$B$1:$AV$1,0),FALSE))</f>
        <v/>
      </c>
      <c r="G57" s="121" t="str">
        <f>IF(ISERROR(1/VLOOKUP($B57,Miljö!$B$1:$T$480,MATCH("Såld mängd produktionsspecifik fjärrvärme (GWh)",Miljö!$B$1:$T$1,0),FALSE)),"",VLOOKUP($B57,Miljö!$B$1:$T$480,MATCH("Såld mängd produktionsspecifik fjärrvärme (GWh)",Miljö!$B$1:$T$1,0),FALSE))</f>
        <v/>
      </c>
      <c r="J57" s="121" t="str">
        <f t="shared" si="0"/>
        <v>E.ON Värme Sverige AB</v>
      </c>
    </row>
    <row r="58" spans="1:10" x14ac:dyDescent="0.25">
      <c r="A58" s="137" t="s">
        <v>263</v>
      </c>
      <c r="B58" s="137" t="s">
        <v>266</v>
      </c>
      <c r="C58" s="121" t="s">
        <v>1380</v>
      </c>
      <c r="D58" s="121" t="str">
        <f>IF(ISERROR(1/VLOOKUP($B58,Kraftvärmeprod!$B$1:$D$479,MATCH("Total värmeproduktion i kraftvärmeverk i kombinerad drift (GWh)",Kraftvärmeprod!$B$1:$AV$1,0),FALSE)),"Ej kraftvärme","Alternativproduktionsmetoden")</f>
        <v>Ej kraftvärme</v>
      </c>
      <c r="E58" s="172" t="str">
        <f>IF(ISERROR(1/VLOOKUP($B58,Kraftvärmeprod!$B$1:$BD$479,MATCH("Total värmeproduktion i kraftvärmeverk i kombinerad drift (GWh)",Kraftvärmeprod!$B$1:$AV$1,0),FALSE)),"",VLOOKUP($B58,'Slutlig allokering kvv'!$B$1:$BC$479,MATCH(E$1,'Slutlig allokering kvv'!$B$1:$AU$1,0),FALSE))</f>
        <v/>
      </c>
      <c r="F58" s="121" t="str">
        <f>IF(ISERROR(1/VLOOKUP($B58,Kraftvärmeprod!$B$1:$AV$479,MATCH("Producerad elenergi i kraftvärmeverk (GWh)",Kraftvärmeprod!$B$1:$AV$1,0),FALSE)),"",VLOOKUP($B58,Kraftvärmeprod!$B$1:$AV$479,MATCH("Producerad elenergi i kraftvärmeverk (GWh)",Kraftvärmeprod!$B$1:$AV$1,0),FALSE))</f>
        <v/>
      </c>
      <c r="G58" s="121" t="str">
        <f>IF(ISERROR(1/VLOOKUP($B58,Miljö!$B$1:$T$480,MATCH("Såld mängd produktionsspecifik fjärrvärme (GWh)",Miljö!$B$1:$T$1,0),FALSE)),"",VLOOKUP($B58,Miljö!$B$1:$T$480,MATCH("Såld mängd produktionsspecifik fjärrvärme (GWh)",Miljö!$B$1:$T$1,0),FALSE))</f>
        <v/>
      </c>
      <c r="J58" s="121" t="str">
        <f t="shared" si="0"/>
        <v>E.ON Värme Sverige AB</v>
      </c>
    </row>
    <row r="59" spans="1:10" x14ac:dyDescent="0.25">
      <c r="A59" s="137" t="s">
        <v>263</v>
      </c>
      <c r="B59" s="137" t="s">
        <v>267</v>
      </c>
      <c r="C59" s="121" t="s">
        <v>1380</v>
      </c>
      <c r="D59" s="121" t="str">
        <f>IF(ISERROR(1/VLOOKUP($B59,Kraftvärmeprod!$B$1:$D$479,MATCH("Total värmeproduktion i kraftvärmeverk i kombinerad drift (GWh)",Kraftvärmeprod!$B$1:$AV$1,0),FALSE)),"Ej kraftvärme","Alternativproduktionsmetoden")</f>
        <v>Alternativproduktionsmetoden</v>
      </c>
      <c r="E59" s="172">
        <f>IF(ISERROR(1/VLOOKUP($B59,Kraftvärmeprod!$B$1:$BD$479,MATCH("Total värmeproduktion i kraftvärmeverk i kombinerad drift (GWh)",Kraftvärmeprod!$B$1:$AV$1,0),FALSE)),"",VLOOKUP($B59,'Slutlig allokering kvv'!$B$1:$BC$479,MATCH(E$1,'Slutlig allokering kvv'!$B$1:$AU$1,0),FALSE))</f>
        <v>0.53089120328917316</v>
      </c>
      <c r="F59" s="121">
        <f>IF(ISERROR(1/VLOOKUP($B59,Kraftvärmeprod!$B$1:$AV$479,MATCH("Producerad elenergi i kraftvärmeverk (GWh)",Kraftvärmeprod!$B$1:$AV$1,0),FALSE)),"",VLOOKUP($B59,Kraftvärmeprod!$B$1:$AV$479,MATCH("Producerad elenergi i kraftvärmeverk (GWh)",Kraftvärmeprod!$B$1:$AV$1,0),FALSE))</f>
        <v>222</v>
      </c>
      <c r="G59" s="121" t="str">
        <f>IF(ISERROR(1/VLOOKUP($B59,Miljö!$B$1:$T$480,MATCH("Såld mängd produktionsspecifik fjärrvärme (GWh)",Miljö!$B$1:$T$1,0),FALSE)),"",VLOOKUP($B59,Miljö!$B$1:$T$480,MATCH("Såld mängd produktionsspecifik fjärrvärme (GWh)",Miljö!$B$1:$T$1,0),FALSE))</f>
        <v/>
      </c>
      <c r="J59" s="121" t="str">
        <f t="shared" si="0"/>
        <v>E.ON Värme Sverige AB</v>
      </c>
    </row>
    <row r="60" spans="1:10" x14ac:dyDescent="0.25">
      <c r="A60" s="137" t="s">
        <v>263</v>
      </c>
      <c r="B60" s="137" t="s">
        <v>269</v>
      </c>
      <c r="C60" s="121" t="s">
        <v>1380</v>
      </c>
      <c r="D60" s="121" t="str">
        <f>IF(ISERROR(1/VLOOKUP($B60,Kraftvärmeprod!$B$1:$D$479,MATCH("Total värmeproduktion i kraftvärmeverk i kombinerad drift (GWh)",Kraftvärmeprod!$B$1:$AV$1,0),FALSE)),"Ej kraftvärme","Alternativproduktionsmetoden")</f>
        <v>Ej kraftvärme</v>
      </c>
      <c r="E60" s="172" t="str">
        <f>IF(ISERROR(1/VLOOKUP($B60,Kraftvärmeprod!$B$1:$BD$479,MATCH("Total värmeproduktion i kraftvärmeverk i kombinerad drift (GWh)",Kraftvärmeprod!$B$1:$AV$1,0),FALSE)),"",VLOOKUP($B60,'Slutlig allokering kvv'!$B$1:$BC$479,MATCH(E$1,'Slutlig allokering kvv'!$B$1:$AU$1,0),FALSE))</f>
        <v/>
      </c>
      <c r="F60" s="121" t="str">
        <f>IF(ISERROR(1/VLOOKUP($B60,Kraftvärmeprod!$B$1:$AV$479,MATCH("Producerad elenergi i kraftvärmeverk (GWh)",Kraftvärmeprod!$B$1:$AV$1,0),FALSE)),"",VLOOKUP($B60,Kraftvärmeprod!$B$1:$AV$479,MATCH("Producerad elenergi i kraftvärmeverk (GWh)",Kraftvärmeprod!$B$1:$AV$1,0),FALSE))</f>
        <v/>
      </c>
      <c r="G60" s="121">
        <f>IF(ISERROR(1/VLOOKUP($B60,Miljö!$B$1:$T$480,MATCH("Såld mängd produktionsspecifik fjärrvärme (GWh)",Miljö!$B$1:$T$1,0),FALSE)),"",VLOOKUP($B60,Miljö!$B$1:$T$480,MATCH("Såld mängd produktionsspecifik fjärrvärme (GWh)",Miljö!$B$1:$T$1,0),FALSE))</f>
        <v>11</v>
      </c>
      <c r="J60" s="121" t="str">
        <f t="shared" si="0"/>
        <v>E.ON Värme Sverige AB</v>
      </c>
    </row>
    <row r="61" spans="1:10" x14ac:dyDescent="0.25">
      <c r="A61" s="137" t="s">
        <v>263</v>
      </c>
      <c r="B61" s="137" t="s">
        <v>270</v>
      </c>
      <c r="C61" s="121" t="s">
        <v>1380</v>
      </c>
      <c r="D61" s="121" t="str">
        <f>IF(ISERROR(1/VLOOKUP($B61,Kraftvärmeprod!$B$1:$D$479,MATCH("Total värmeproduktion i kraftvärmeverk i kombinerad drift (GWh)",Kraftvärmeprod!$B$1:$AV$1,0),FALSE)),"Ej kraftvärme","Alternativproduktionsmetoden")</f>
        <v>Ej kraftvärme</v>
      </c>
      <c r="E61" s="172" t="str">
        <f>IF(ISERROR(1/VLOOKUP($B61,Kraftvärmeprod!$B$1:$BD$479,MATCH("Total värmeproduktion i kraftvärmeverk i kombinerad drift (GWh)",Kraftvärmeprod!$B$1:$AV$1,0),FALSE)),"",VLOOKUP($B61,'Slutlig allokering kvv'!$B$1:$BC$479,MATCH(E$1,'Slutlig allokering kvv'!$B$1:$AU$1,0),FALSE))</f>
        <v/>
      </c>
      <c r="F61" s="121" t="str">
        <f>IF(ISERROR(1/VLOOKUP($B61,Kraftvärmeprod!$B$1:$AV$479,MATCH("Producerad elenergi i kraftvärmeverk (GWh)",Kraftvärmeprod!$B$1:$AV$1,0),FALSE)),"",VLOOKUP($B61,Kraftvärmeprod!$B$1:$AV$479,MATCH("Producerad elenergi i kraftvärmeverk (GWh)",Kraftvärmeprod!$B$1:$AV$1,0),FALSE))</f>
        <v/>
      </c>
      <c r="G61" s="121" t="str">
        <f>IF(ISERROR(1/VLOOKUP($B61,Miljö!$B$1:$T$480,MATCH("Såld mängd produktionsspecifik fjärrvärme (GWh)",Miljö!$B$1:$T$1,0),FALSE)),"",VLOOKUP($B61,Miljö!$B$1:$T$480,MATCH("Såld mängd produktionsspecifik fjärrvärme (GWh)",Miljö!$B$1:$T$1,0),FALSE))</f>
        <v/>
      </c>
      <c r="J61" s="121" t="str">
        <f t="shared" si="0"/>
        <v>E.ON Värme Sverige AB</v>
      </c>
    </row>
    <row r="62" spans="1:10" x14ac:dyDescent="0.25">
      <c r="A62" s="137" t="s">
        <v>263</v>
      </c>
      <c r="B62" s="137" t="s">
        <v>272</v>
      </c>
      <c r="C62" s="121" t="s">
        <v>1380</v>
      </c>
      <c r="D62" s="121" t="str">
        <f>IF(ISERROR(1/VLOOKUP($B62,Kraftvärmeprod!$B$1:$D$479,MATCH("Total värmeproduktion i kraftvärmeverk i kombinerad drift (GWh)",Kraftvärmeprod!$B$1:$AV$1,0),FALSE)),"Ej kraftvärme","Alternativproduktionsmetoden")</f>
        <v>Alternativproduktionsmetoden</v>
      </c>
      <c r="E62" s="172">
        <f>IF(ISERROR(1/VLOOKUP($B62,Kraftvärmeprod!$B$1:$BD$479,MATCH("Total värmeproduktion i kraftvärmeverk i kombinerad drift (GWh)",Kraftvärmeprod!$B$1:$AV$1,0),FALSE)),"",VLOOKUP($B62,'Slutlig allokering kvv'!$B$1:$BC$479,MATCH(E$1,'Slutlig allokering kvv'!$B$1:$AU$1,0),FALSE))</f>
        <v>0.62239590548918178</v>
      </c>
      <c r="F62" s="121">
        <f>IF(ISERROR(1/VLOOKUP($B62,Kraftvärmeprod!$B$1:$AV$479,MATCH("Producerad elenergi i kraftvärmeverk (GWh)",Kraftvärmeprod!$B$1:$AV$1,0),FALSE)),"",VLOOKUP($B62,Kraftvärmeprod!$B$1:$AV$479,MATCH("Producerad elenergi i kraftvärmeverk (GWh)",Kraftvärmeprod!$B$1:$AV$1,0),FALSE))</f>
        <v>425</v>
      </c>
      <c r="G62" s="121" t="str">
        <f>IF(ISERROR(1/VLOOKUP($B62,Miljö!$B$1:$T$480,MATCH("Såld mängd produktionsspecifik fjärrvärme (GWh)",Miljö!$B$1:$T$1,0),FALSE)),"",VLOOKUP($B62,Miljö!$B$1:$T$480,MATCH("Såld mängd produktionsspecifik fjärrvärme (GWh)",Miljö!$B$1:$T$1,0),FALSE))</f>
        <v/>
      </c>
      <c r="J62" s="121" t="str">
        <f t="shared" si="0"/>
        <v>E.ON Värme Sverige AB</v>
      </c>
    </row>
    <row r="63" spans="1:10" x14ac:dyDescent="0.25">
      <c r="A63" s="137" t="s">
        <v>263</v>
      </c>
      <c r="B63" s="137" t="s">
        <v>273</v>
      </c>
      <c r="C63" s="121" t="s">
        <v>1380</v>
      </c>
      <c r="D63" s="121" t="str">
        <f>IF(ISERROR(1/VLOOKUP($B63,Kraftvärmeprod!$B$1:$D$479,MATCH("Total värmeproduktion i kraftvärmeverk i kombinerad drift (GWh)",Kraftvärmeprod!$B$1:$AV$1,0),FALSE)),"Ej kraftvärme","Alternativproduktionsmetoden")</f>
        <v>Alternativproduktionsmetoden</v>
      </c>
      <c r="E63" s="172">
        <f>IF(ISERROR(1/VLOOKUP($B63,Kraftvärmeprod!$B$1:$BD$479,MATCH("Total värmeproduktion i kraftvärmeverk i kombinerad drift (GWh)",Kraftvärmeprod!$B$1:$AV$1,0),FALSE)),"",VLOOKUP($B63,'Slutlig allokering kvv'!$B$1:$BC$479,MATCH(E$1,'Slutlig allokering kvv'!$B$1:$AU$1,0),FALSE))</f>
        <v>0.47990027438214183</v>
      </c>
      <c r="F63" s="121">
        <f>IF(ISERROR(1/VLOOKUP($B63,Kraftvärmeprod!$B$1:$AV$479,MATCH("Producerad elenergi i kraftvärmeverk (GWh)",Kraftvärmeprod!$B$1:$AV$1,0),FALSE)),"",VLOOKUP($B63,Kraftvärmeprod!$B$1:$AV$479,MATCH("Producerad elenergi i kraftvärmeverk (GWh)",Kraftvärmeprod!$B$1:$AV$1,0),FALSE))</f>
        <v>349.2</v>
      </c>
      <c r="G63" s="121" t="str">
        <f>IF(ISERROR(1/VLOOKUP($B63,Miljö!$B$1:$T$480,MATCH("Såld mängd produktionsspecifik fjärrvärme (GWh)",Miljö!$B$1:$T$1,0),FALSE)),"",VLOOKUP($B63,Miljö!$B$1:$T$480,MATCH("Såld mängd produktionsspecifik fjärrvärme (GWh)",Miljö!$B$1:$T$1,0),FALSE))</f>
        <v/>
      </c>
      <c r="J63" s="121" t="str">
        <f t="shared" si="0"/>
        <v>E.ON Värme Sverige AB</v>
      </c>
    </row>
    <row r="64" spans="1:10" x14ac:dyDescent="0.25">
      <c r="A64" s="137" t="s">
        <v>263</v>
      </c>
      <c r="B64" s="137" t="s">
        <v>274</v>
      </c>
      <c r="C64" s="121" t="s">
        <v>1380</v>
      </c>
      <c r="D64" s="121" t="str">
        <f>IF(ISERROR(1/VLOOKUP($B64,Kraftvärmeprod!$B$1:$D$479,MATCH("Total värmeproduktion i kraftvärmeverk i kombinerad drift (GWh)",Kraftvärmeprod!$B$1:$AV$1,0),FALSE)),"Ej kraftvärme","Alternativproduktionsmetoden")</f>
        <v>Ej kraftvärme</v>
      </c>
      <c r="E64" s="172" t="str">
        <f>IF(ISERROR(1/VLOOKUP($B64,Kraftvärmeprod!$B$1:$BD$479,MATCH("Total värmeproduktion i kraftvärmeverk i kombinerad drift (GWh)",Kraftvärmeprod!$B$1:$AV$1,0),FALSE)),"",VLOOKUP($B64,'Slutlig allokering kvv'!$B$1:$BC$479,MATCH(E$1,'Slutlig allokering kvv'!$B$1:$AU$1,0),FALSE))</f>
        <v/>
      </c>
      <c r="F64" s="121" t="str">
        <f>IF(ISERROR(1/VLOOKUP($B64,Kraftvärmeprod!$B$1:$AV$479,MATCH("Producerad elenergi i kraftvärmeverk (GWh)",Kraftvärmeprod!$B$1:$AV$1,0),FALSE)),"",VLOOKUP($B64,Kraftvärmeprod!$B$1:$AV$479,MATCH("Producerad elenergi i kraftvärmeverk (GWh)",Kraftvärmeprod!$B$1:$AV$1,0),FALSE))</f>
        <v/>
      </c>
      <c r="G64" s="121" t="str">
        <f>IF(ISERROR(1/VLOOKUP($B64,Miljö!$B$1:$T$480,MATCH("Såld mängd produktionsspecifik fjärrvärme (GWh)",Miljö!$B$1:$T$1,0),FALSE)),"",VLOOKUP($B64,Miljö!$B$1:$T$480,MATCH("Såld mängd produktionsspecifik fjärrvärme (GWh)",Miljö!$B$1:$T$1,0),FALSE))</f>
        <v/>
      </c>
      <c r="J64" s="121" t="str">
        <f t="shared" si="0"/>
        <v>E.ON Värme Sverige AB</v>
      </c>
    </row>
    <row r="65" spans="1:10" x14ac:dyDescent="0.25">
      <c r="A65" s="137" t="s">
        <v>263</v>
      </c>
      <c r="B65" s="137" t="s">
        <v>275</v>
      </c>
      <c r="C65" s="121" t="s">
        <v>1380</v>
      </c>
      <c r="D65" s="121" t="str">
        <f>IF(ISERROR(1/VLOOKUP($B65,Kraftvärmeprod!$B$1:$D$479,MATCH("Total värmeproduktion i kraftvärmeverk i kombinerad drift (GWh)",Kraftvärmeprod!$B$1:$AV$1,0),FALSE)),"Ej kraftvärme","Alternativproduktionsmetoden")</f>
        <v>Ej kraftvärme</v>
      </c>
      <c r="E65" s="172" t="str">
        <f>IF(ISERROR(1/VLOOKUP($B65,Kraftvärmeprod!$B$1:$BD$479,MATCH("Total värmeproduktion i kraftvärmeverk i kombinerad drift (GWh)",Kraftvärmeprod!$B$1:$AV$1,0),FALSE)),"",VLOOKUP($B65,'Slutlig allokering kvv'!$B$1:$BC$479,MATCH(E$1,'Slutlig allokering kvv'!$B$1:$AU$1,0),FALSE))</f>
        <v/>
      </c>
      <c r="F65" s="121" t="str">
        <f>IF(ISERROR(1/VLOOKUP($B65,Kraftvärmeprod!$B$1:$AV$479,MATCH("Producerad elenergi i kraftvärmeverk (GWh)",Kraftvärmeprod!$B$1:$AV$1,0),FALSE)),"",VLOOKUP($B65,Kraftvärmeprod!$B$1:$AV$479,MATCH("Producerad elenergi i kraftvärmeverk (GWh)",Kraftvärmeprod!$B$1:$AV$1,0),FALSE))</f>
        <v/>
      </c>
      <c r="G65" s="121" t="str">
        <f>IF(ISERROR(1/VLOOKUP($B65,Miljö!$B$1:$T$480,MATCH("Såld mängd produktionsspecifik fjärrvärme (GWh)",Miljö!$B$1:$T$1,0),FALSE)),"",VLOOKUP($B65,Miljö!$B$1:$T$480,MATCH("Såld mängd produktionsspecifik fjärrvärme (GWh)",Miljö!$B$1:$T$1,0),FALSE))</f>
        <v/>
      </c>
      <c r="J65" s="121" t="str">
        <f t="shared" si="0"/>
        <v>E.ON Värme Sverige AB</v>
      </c>
    </row>
    <row r="66" spans="1:10" x14ac:dyDescent="0.25">
      <c r="A66" s="137" t="s">
        <v>263</v>
      </c>
      <c r="B66" s="137" t="s">
        <v>276</v>
      </c>
      <c r="C66" s="121" t="s">
        <v>1380</v>
      </c>
      <c r="D66" s="121" t="str">
        <f>IF(ISERROR(1/VLOOKUP($B66,Kraftvärmeprod!$B$1:$D$479,MATCH("Total värmeproduktion i kraftvärmeverk i kombinerad drift (GWh)",Kraftvärmeprod!$B$1:$AV$1,0),FALSE)),"Ej kraftvärme","Alternativproduktionsmetoden")</f>
        <v>Ej kraftvärme</v>
      </c>
      <c r="E66" s="172" t="str">
        <f>IF(ISERROR(1/VLOOKUP($B66,Kraftvärmeprod!$B$1:$BD$479,MATCH("Total värmeproduktion i kraftvärmeverk i kombinerad drift (GWh)",Kraftvärmeprod!$B$1:$AV$1,0),FALSE)),"",VLOOKUP($B66,'Slutlig allokering kvv'!$B$1:$BC$479,MATCH(E$1,'Slutlig allokering kvv'!$B$1:$AU$1,0),FALSE))</f>
        <v/>
      </c>
      <c r="F66" s="121" t="str">
        <f>IF(ISERROR(1/VLOOKUP($B66,Kraftvärmeprod!$B$1:$AV$479,MATCH("Producerad elenergi i kraftvärmeverk (GWh)",Kraftvärmeprod!$B$1:$AV$1,0),FALSE)),"",VLOOKUP($B66,Kraftvärmeprod!$B$1:$AV$479,MATCH("Producerad elenergi i kraftvärmeverk (GWh)",Kraftvärmeprod!$B$1:$AV$1,0),FALSE))</f>
        <v/>
      </c>
      <c r="G66" s="121" t="str">
        <f>IF(ISERROR(1/VLOOKUP($B66,Miljö!$B$1:$T$480,MATCH("Såld mängd produktionsspecifik fjärrvärme (GWh)",Miljö!$B$1:$T$1,0),FALSE)),"",VLOOKUP($B66,Miljö!$B$1:$T$480,MATCH("Såld mängd produktionsspecifik fjärrvärme (GWh)",Miljö!$B$1:$T$1,0),FALSE))</f>
        <v/>
      </c>
      <c r="J66" s="121" t="str">
        <f t="shared" si="0"/>
        <v>E.ON Värme Sverige AB</v>
      </c>
    </row>
    <row r="67" spans="1:10" x14ac:dyDescent="0.25">
      <c r="A67" s="137" t="s">
        <v>277</v>
      </c>
      <c r="B67" s="137" t="s">
        <v>277</v>
      </c>
      <c r="D67" s="121" t="str">
        <f>IF(ISERROR(1/VLOOKUP($B67,Kraftvärmeprod!$B$1:$D$479,MATCH("Total värmeproduktion i kraftvärmeverk i kombinerad drift (GWh)",Kraftvärmeprod!$B$1:$AV$1,0),FALSE)),"Ej kraftvärme","Alternativproduktionsmetoden")</f>
        <v>Ej kraftvärme</v>
      </c>
      <c r="E67" s="172" t="str">
        <f>IF(ISERROR(1/VLOOKUP($B67,Kraftvärmeprod!$B$1:$BD$479,MATCH("Total värmeproduktion i kraftvärmeverk i kombinerad drift (GWh)",Kraftvärmeprod!$B$1:$AV$1,0),FALSE)),"",VLOOKUP($B67,'Slutlig allokering kvv'!$B$1:$BC$479,MATCH(E$1,'Slutlig allokering kvv'!$B$1:$AU$1,0),FALSE))</f>
        <v/>
      </c>
      <c r="F67" s="121" t="str">
        <f>IF(ISERROR(1/VLOOKUP($B67,Kraftvärmeprod!$B$1:$AV$479,MATCH("Producerad elenergi i kraftvärmeverk (GWh)",Kraftvärmeprod!$B$1:$AV$1,0),FALSE)),"",VLOOKUP($B67,Kraftvärmeprod!$B$1:$AV$479,MATCH("Producerad elenergi i kraftvärmeverk (GWh)",Kraftvärmeprod!$B$1:$AV$1,0),FALSE))</f>
        <v/>
      </c>
      <c r="G67" s="121" t="str">
        <f>IF(ISERROR(1/VLOOKUP($B67,Miljö!$B$1:$T$480,MATCH("Såld mängd produktionsspecifik fjärrvärme (GWh)",Miljö!$B$1:$T$1,0),FALSE)),"",VLOOKUP($B67,Miljö!$B$1:$T$480,MATCH("Såld mängd produktionsspecifik fjärrvärme (GWh)",Miljö!$B$1:$T$1,0),FALSE))</f>
        <v/>
      </c>
      <c r="J67" s="121" t="str">
        <f t="shared" ref="J67:J130" si="1">A67</f>
        <v>Eda Energi AB</v>
      </c>
    </row>
    <row r="68" spans="1:10" x14ac:dyDescent="0.25">
      <c r="A68" s="137" t="s">
        <v>277</v>
      </c>
      <c r="B68" s="137" t="s">
        <v>278</v>
      </c>
      <c r="D68" s="121" t="str">
        <f>IF(ISERROR(1/VLOOKUP($B68,Kraftvärmeprod!$B$1:$D$479,MATCH("Total värmeproduktion i kraftvärmeverk i kombinerad drift (GWh)",Kraftvärmeprod!$B$1:$AV$1,0),FALSE)),"Ej kraftvärme","Alternativproduktionsmetoden")</f>
        <v>Ej kraftvärme</v>
      </c>
      <c r="E68" s="172" t="str">
        <f>IF(ISERROR(1/VLOOKUP($B68,Kraftvärmeprod!$B$1:$BD$479,MATCH("Total värmeproduktion i kraftvärmeverk i kombinerad drift (GWh)",Kraftvärmeprod!$B$1:$AV$1,0),FALSE)),"",VLOOKUP($B68,'Slutlig allokering kvv'!$B$1:$BC$479,MATCH(E$1,'Slutlig allokering kvv'!$B$1:$AU$1,0),FALSE))</f>
        <v/>
      </c>
      <c r="F68" s="121" t="str">
        <f>IF(ISERROR(1/VLOOKUP($B68,Kraftvärmeprod!$B$1:$AV$479,MATCH("Producerad elenergi i kraftvärmeverk (GWh)",Kraftvärmeprod!$B$1:$AV$1,0),FALSE)),"",VLOOKUP($B68,Kraftvärmeprod!$B$1:$AV$479,MATCH("Producerad elenergi i kraftvärmeverk (GWh)",Kraftvärmeprod!$B$1:$AV$1,0),FALSE))</f>
        <v/>
      </c>
      <c r="G68" s="121" t="str">
        <f>IF(ISERROR(1/VLOOKUP($B68,Miljö!$B$1:$T$480,MATCH("Såld mängd produktionsspecifik fjärrvärme (GWh)",Miljö!$B$1:$T$1,0),FALSE)),"",VLOOKUP($B68,Miljö!$B$1:$T$480,MATCH("Såld mängd produktionsspecifik fjärrvärme (GWh)",Miljö!$B$1:$T$1,0),FALSE))</f>
        <v/>
      </c>
      <c r="J68" s="121" t="str">
        <f t="shared" si="1"/>
        <v>Eda Energi AB</v>
      </c>
    </row>
    <row r="69" spans="1:10" x14ac:dyDescent="0.25">
      <c r="A69" s="137" t="s">
        <v>279</v>
      </c>
      <c r="B69" s="137" t="s">
        <v>280</v>
      </c>
      <c r="D69" s="121" t="str">
        <f>IF(ISERROR(1/VLOOKUP($B69,Kraftvärmeprod!$B$1:$D$479,MATCH("Total värmeproduktion i kraftvärmeverk i kombinerad drift (GWh)",Kraftvärmeprod!$B$1:$AV$1,0),FALSE)),"Ej kraftvärme","Alternativproduktionsmetoden")</f>
        <v>Alternativproduktionsmetoden</v>
      </c>
      <c r="E69" s="172">
        <f>IF(ISERROR(1/VLOOKUP($B69,Kraftvärmeprod!$B$1:$BD$479,MATCH("Total värmeproduktion i kraftvärmeverk i kombinerad drift (GWh)",Kraftvärmeprod!$B$1:$AV$1,0),FALSE)),"",VLOOKUP($B69,'Slutlig allokering kvv'!$B$1:$BC$479,MATCH(E$1,'Slutlig allokering kvv'!$B$1:$AU$1,0),FALSE))</f>
        <v>0.7497121472473729</v>
      </c>
      <c r="F69" s="121">
        <f>IF(ISERROR(1/VLOOKUP($B69,Kraftvärmeprod!$B$1:$AV$479,MATCH("Producerad elenergi i kraftvärmeverk (GWh)",Kraftvärmeprod!$B$1:$AV$1,0),FALSE)),"",VLOOKUP($B69,Kraftvärmeprod!$B$1:$AV$479,MATCH("Producerad elenergi i kraftvärmeverk (GWh)",Kraftvärmeprod!$B$1:$AV$1,0),FALSE))</f>
        <v>14.2</v>
      </c>
      <c r="G69" s="121" t="str">
        <f>IF(ISERROR(1/VLOOKUP($B69,Miljö!$B$1:$T$480,MATCH("Såld mängd produktionsspecifik fjärrvärme (GWh)",Miljö!$B$1:$T$1,0),FALSE)),"",VLOOKUP($B69,Miljö!$B$1:$T$480,MATCH("Såld mängd produktionsspecifik fjärrvärme (GWh)",Miljö!$B$1:$T$1,0),FALSE))</f>
        <v/>
      </c>
      <c r="J69" s="121" t="str">
        <f t="shared" si="1"/>
        <v>Eksjö Energi AB</v>
      </c>
    </row>
    <row r="70" spans="1:10" x14ac:dyDescent="0.25">
      <c r="A70" s="137" t="s">
        <v>279</v>
      </c>
      <c r="B70" s="137" t="s">
        <v>281</v>
      </c>
      <c r="D70" s="121" t="str">
        <f>IF(ISERROR(1/VLOOKUP($B70,Kraftvärmeprod!$B$1:$D$479,MATCH("Total värmeproduktion i kraftvärmeverk i kombinerad drift (GWh)",Kraftvärmeprod!$B$1:$AV$1,0),FALSE)),"Ej kraftvärme","Alternativproduktionsmetoden")</f>
        <v>Ej kraftvärme</v>
      </c>
      <c r="E70" s="172" t="str">
        <f>IF(ISERROR(1/VLOOKUP($B70,Kraftvärmeprod!$B$1:$BD$479,MATCH("Total värmeproduktion i kraftvärmeverk i kombinerad drift (GWh)",Kraftvärmeprod!$B$1:$AV$1,0),FALSE)),"",VLOOKUP($B70,'Slutlig allokering kvv'!$B$1:$BC$479,MATCH(E$1,'Slutlig allokering kvv'!$B$1:$AU$1,0),FALSE))</f>
        <v/>
      </c>
      <c r="F70" s="121" t="str">
        <f>IF(ISERROR(1/VLOOKUP($B70,Kraftvärmeprod!$B$1:$AV$479,MATCH("Producerad elenergi i kraftvärmeverk (GWh)",Kraftvärmeprod!$B$1:$AV$1,0),FALSE)),"",VLOOKUP($B70,Kraftvärmeprod!$B$1:$AV$479,MATCH("Producerad elenergi i kraftvärmeverk (GWh)",Kraftvärmeprod!$B$1:$AV$1,0),FALSE))</f>
        <v/>
      </c>
      <c r="G70" s="121" t="str">
        <f>IF(ISERROR(1/VLOOKUP($B70,Miljö!$B$1:$T$480,MATCH("Såld mängd produktionsspecifik fjärrvärme (GWh)",Miljö!$B$1:$T$1,0),FALSE)),"",VLOOKUP($B70,Miljö!$B$1:$T$480,MATCH("Såld mängd produktionsspecifik fjärrvärme (GWh)",Miljö!$B$1:$T$1,0),FALSE))</f>
        <v/>
      </c>
      <c r="J70" s="121" t="str">
        <f t="shared" si="1"/>
        <v>Eksjö Energi AB</v>
      </c>
    </row>
    <row r="71" spans="1:10" x14ac:dyDescent="0.25">
      <c r="A71" s="137" t="s">
        <v>279</v>
      </c>
      <c r="B71" s="137" t="s">
        <v>282</v>
      </c>
      <c r="D71" s="121" t="str">
        <f>IF(ISERROR(1/VLOOKUP($B71,Kraftvärmeprod!$B$1:$D$479,MATCH("Total värmeproduktion i kraftvärmeverk i kombinerad drift (GWh)",Kraftvärmeprod!$B$1:$AV$1,0),FALSE)),"Ej kraftvärme","Alternativproduktionsmetoden")</f>
        <v>Ej kraftvärme</v>
      </c>
      <c r="E71" s="172" t="str">
        <f>IF(ISERROR(1/VLOOKUP($B71,Kraftvärmeprod!$B$1:$BD$479,MATCH("Total värmeproduktion i kraftvärmeverk i kombinerad drift (GWh)",Kraftvärmeprod!$B$1:$AV$1,0),FALSE)),"",VLOOKUP($B71,'Slutlig allokering kvv'!$B$1:$BC$479,MATCH(E$1,'Slutlig allokering kvv'!$B$1:$AU$1,0),FALSE))</f>
        <v/>
      </c>
      <c r="F71" s="121" t="str">
        <f>IF(ISERROR(1/VLOOKUP($B71,Kraftvärmeprod!$B$1:$AV$479,MATCH("Producerad elenergi i kraftvärmeverk (GWh)",Kraftvärmeprod!$B$1:$AV$1,0),FALSE)),"",VLOOKUP($B71,Kraftvärmeprod!$B$1:$AV$479,MATCH("Producerad elenergi i kraftvärmeverk (GWh)",Kraftvärmeprod!$B$1:$AV$1,0),FALSE))</f>
        <v/>
      </c>
      <c r="G71" s="121" t="str">
        <f>IF(ISERROR(1/VLOOKUP($B71,Miljö!$B$1:$T$480,MATCH("Såld mängd produktionsspecifik fjärrvärme (GWh)",Miljö!$B$1:$T$1,0),FALSE)),"",VLOOKUP($B71,Miljö!$B$1:$T$480,MATCH("Såld mängd produktionsspecifik fjärrvärme (GWh)",Miljö!$B$1:$T$1,0),FALSE))</f>
        <v/>
      </c>
      <c r="J71" s="121" t="str">
        <f t="shared" si="1"/>
        <v>Eksjö Energi AB</v>
      </c>
    </row>
    <row r="72" spans="1:10" x14ac:dyDescent="0.25">
      <c r="A72" s="137" t="s">
        <v>47</v>
      </c>
      <c r="B72" s="141" t="s">
        <v>48</v>
      </c>
      <c r="D72" s="121" t="str">
        <f>IF(ISERROR(1/VLOOKUP($B72,Kraftvärmeprod!$B$1:$D$479,MATCH("Total värmeproduktion i kraftvärmeverk i kombinerad drift (GWh)",Kraftvärmeprod!$B$1:$AV$1,0),FALSE)),"Ej kraftvärme","Alternativproduktionsmetoden")</f>
        <v>Ej kraftvärme</v>
      </c>
      <c r="E72" s="172" t="str">
        <f>IF(ISERROR(1/VLOOKUP($B72,Kraftvärmeprod!$B$1:$BD$479,MATCH("Total värmeproduktion i kraftvärmeverk i kombinerad drift (GWh)",Kraftvärmeprod!$B$1:$AV$1,0),FALSE)),"",VLOOKUP($B72,'Slutlig allokering kvv'!$B$1:$BC$479,MATCH(E$1,'Slutlig allokering kvv'!$B$1:$AU$1,0),FALSE))</f>
        <v/>
      </c>
      <c r="F72" s="121" t="str">
        <f>IF(ISERROR(1/VLOOKUP($B72,Kraftvärmeprod!$B$1:$AV$479,MATCH("Producerad elenergi i kraftvärmeverk (GWh)",Kraftvärmeprod!$B$1:$AV$1,0),FALSE)),"",VLOOKUP($B72,Kraftvärmeprod!$B$1:$AV$479,MATCH("Producerad elenergi i kraftvärmeverk (GWh)",Kraftvärmeprod!$B$1:$AV$1,0),FALSE))</f>
        <v/>
      </c>
      <c r="G72" s="121" t="str">
        <f>IF(ISERROR(1/VLOOKUP($B72,Miljö!$B$1:$T$480,MATCH("Såld mängd produktionsspecifik fjärrvärme (GWh)",Miljö!$B$1:$T$1,0),FALSE)),"",VLOOKUP($B72,Miljö!$B$1:$T$480,MATCH("Såld mängd produktionsspecifik fjärrvärme (GWh)",Miljö!$B$1:$T$1,0),FALSE))</f>
        <v/>
      </c>
      <c r="J72" s="121" t="str">
        <f t="shared" si="1"/>
        <v>Elektra Värme AB</v>
      </c>
    </row>
    <row r="73" spans="1:10" x14ac:dyDescent="0.25">
      <c r="A73" s="137" t="s">
        <v>283</v>
      </c>
      <c r="B73" s="137" t="s">
        <v>284</v>
      </c>
      <c r="D73" s="121" t="str">
        <f>IF(ISERROR(1/VLOOKUP($B73,Kraftvärmeprod!$B$1:$D$479,MATCH("Total värmeproduktion i kraftvärmeverk i kombinerad drift (GWh)",Kraftvärmeprod!$B$1:$AV$1,0),FALSE)),"Ej kraftvärme","Alternativproduktionsmetoden")</f>
        <v>Ej kraftvärme</v>
      </c>
      <c r="E73" s="172" t="str">
        <f>IF(ISERROR(1/VLOOKUP($B73,Kraftvärmeprod!$B$1:$BD$479,MATCH("Total värmeproduktion i kraftvärmeverk i kombinerad drift (GWh)",Kraftvärmeprod!$B$1:$AV$1,0),FALSE)),"",VLOOKUP($B73,'Slutlig allokering kvv'!$B$1:$BC$479,MATCH(E$1,'Slutlig allokering kvv'!$B$1:$AU$1,0),FALSE))</f>
        <v/>
      </c>
      <c r="F73" s="121" t="str">
        <f>IF(ISERROR(1/VLOOKUP($B73,Kraftvärmeprod!$B$1:$AV$479,MATCH("Producerad elenergi i kraftvärmeverk (GWh)",Kraftvärmeprod!$B$1:$AV$1,0),FALSE)),"",VLOOKUP($B73,Kraftvärmeprod!$B$1:$AV$479,MATCH("Producerad elenergi i kraftvärmeverk (GWh)",Kraftvärmeprod!$B$1:$AV$1,0),FALSE))</f>
        <v/>
      </c>
      <c r="G73" s="121" t="str">
        <f>IF(ISERROR(1/VLOOKUP($B73,Miljö!$B$1:$T$480,MATCH("Såld mängd produktionsspecifik fjärrvärme (GWh)",Miljö!$B$1:$T$1,0),FALSE)),"",VLOOKUP($B73,Miljö!$B$1:$T$480,MATCH("Såld mängd produktionsspecifik fjärrvärme (GWh)",Miljö!$B$1:$T$1,0),FALSE))</f>
        <v/>
      </c>
      <c r="J73" s="121" t="str">
        <f t="shared" si="1"/>
        <v>Emmaboda Energi och Miljö AB</v>
      </c>
    </row>
    <row r="74" spans="1:10" x14ac:dyDescent="0.25">
      <c r="A74" s="137" t="s">
        <v>285</v>
      </c>
      <c r="B74" s="137" t="s">
        <v>286</v>
      </c>
      <c r="D74" s="121" t="str">
        <f>IF(ISERROR(1/VLOOKUP($B74,Kraftvärmeprod!$B$1:$D$479,MATCH("Total värmeproduktion i kraftvärmeverk i kombinerad drift (GWh)",Kraftvärmeprod!$B$1:$AV$1,0),FALSE)),"Ej kraftvärme","Alternativproduktionsmetoden")</f>
        <v>Alternativproduktionsmetoden</v>
      </c>
      <c r="E74" s="172">
        <f>IF(ISERROR(1/VLOOKUP($B74,Kraftvärmeprod!$B$1:$BD$479,MATCH("Total värmeproduktion i kraftvärmeverk i kombinerad drift (GWh)",Kraftvärmeprod!$B$1:$AV$1,0),FALSE)),"",VLOOKUP($B74,'Slutlig allokering kvv'!$B$1:$BC$479,MATCH(E$1,'Slutlig allokering kvv'!$B$1:$AU$1,0),FALSE))</f>
        <v>0.5296479071100918</v>
      </c>
      <c r="F74" s="121">
        <f>IF(ISERROR(1/VLOOKUP($B74,Kraftvärmeprod!$B$1:$AV$479,MATCH("Producerad elenergi i kraftvärmeverk (GWh)",Kraftvärmeprod!$B$1:$AV$1,0),FALSE)),"",VLOOKUP($B74,Kraftvärmeprod!$B$1:$AV$479,MATCH("Producerad elenergi i kraftvärmeverk (GWh)",Kraftvärmeprod!$B$1:$AV$1,0),FALSE))</f>
        <v>73.7</v>
      </c>
      <c r="G74" s="121" t="str">
        <f>IF(ISERROR(1/VLOOKUP($B74,Miljö!$B$1:$T$480,MATCH("Såld mängd produktionsspecifik fjärrvärme (GWh)",Miljö!$B$1:$T$1,0),FALSE)),"",VLOOKUP($B74,Miljö!$B$1:$T$480,MATCH("Såld mängd produktionsspecifik fjärrvärme (GWh)",Miljö!$B$1:$T$1,0),FALSE))</f>
        <v/>
      </c>
      <c r="J74" s="121" t="str">
        <f t="shared" si="1"/>
        <v>Ena Energi AB</v>
      </c>
    </row>
    <row r="75" spans="1:10" x14ac:dyDescent="0.25">
      <c r="A75" s="137" t="s">
        <v>289</v>
      </c>
      <c r="B75" s="137" t="s">
        <v>290</v>
      </c>
      <c r="D75" s="121" t="str">
        <f>IF(ISERROR(1/VLOOKUP($B75,Kraftvärmeprod!$B$1:$D$479,MATCH("Total värmeproduktion i kraftvärmeverk i kombinerad drift (GWh)",Kraftvärmeprod!$B$1:$AV$1,0),FALSE)),"Ej kraftvärme","Alternativproduktionsmetoden")</f>
        <v>Alternativproduktionsmetoden</v>
      </c>
      <c r="E75" s="172">
        <f>IF(ISERROR(1/VLOOKUP($B75,Kraftvärmeprod!$B$1:$BD$479,MATCH("Total värmeproduktion i kraftvärmeverk i kombinerad drift (GWh)",Kraftvärmeprod!$B$1:$AV$1,0),FALSE)),"",VLOOKUP($B75,'Slutlig allokering kvv'!$B$1:$BC$479,MATCH(E$1,'Slutlig allokering kvv'!$B$1:$AU$1,0),FALSE))</f>
        <v>0.56308933742658984</v>
      </c>
      <c r="F75" s="121">
        <f>IF(ISERROR(1/VLOOKUP($B75,Kraftvärmeprod!$B$1:$AV$479,MATCH("Producerad elenergi i kraftvärmeverk (GWh)",Kraftvärmeprod!$B$1:$AV$1,0),FALSE)),"",VLOOKUP($B75,Kraftvärmeprod!$B$1:$AV$479,MATCH("Producerad elenergi i kraftvärmeverk (GWh)",Kraftvärmeprod!$B$1:$AV$1,0),FALSE))</f>
        <v>162.79400000000001</v>
      </c>
      <c r="G75" s="121" t="str">
        <f>IF(ISERROR(1/VLOOKUP($B75,Miljö!$B$1:$T$480,MATCH("Såld mängd produktionsspecifik fjärrvärme (GWh)",Miljö!$B$1:$T$1,0),FALSE)),"",VLOOKUP($B75,Miljö!$B$1:$T$480,MATCH("Såld mängd produktionsspecifik fjärrvärme (GWh)",Miljö!$B$1:$T$1,0),FALSE))</f>
        <v/>
      </c>
      <c r="J75" s="121" t="str">
        <f t="shared" si="1"/>
        <v>Eskilstuna Energi &amp; Miljö AB</v>
      </c>
    </row>
    <row r="76" spans="1:10" x14ac:dyDescent="0.25">
      <c r="A76" s="137" t="s">
        <v>289</v>
      </c>
      <c r="B76" s="137" t="s">
        <v>291</v>
      </c>
      <c r="D76" s="121" t="str">
        <f>IF(ISERROR(1/VLOOKUP($B76,Kraftvärmeprod!$B$1:$D$479,MATCH("Total värmeproduktion i kraftvärmeverk i kombinerad drift (GWh)",Kraftvärmeprod!$B$1:$AV$1,0),FALSE)),"Ej kraftvärme","Alternativproduktionsmetoden")</f>
        <v>Ej kraftvärme</v>
      </c>
      <c r="E76" s="172" t="str">
        <f>IF(ISERROR(1/VLOOKUP($B76,Kraftvärmeprod!$B$1:$BD$479,MATCH("Total värmeproduktion i kraftvärmeverk i kombinerad drift (GWh)",Kraftvärmeprod!$B$1:$AV$1,0),FALSE)),"",VLOOKUP($B76,'Slutlig allokering kvv'!$B$1:$BC$479,MATCH(E$1,'Slutlig allokering kvv'!$B$1:$AU$1,0),FALSE))</f>
        <v/>
      </c>
      <c r="F76" s="121" t="str">
        <f>IF(ISERROR(1/VLOOKUP($B76,Kraftvärmeprod!$B$1:$AV$479,MATCH("Producerad elenergi i kraftvärmeverk (GWh)",Kraftvärmeprod!$B$1:$AV$1,0),FALSE)),"",VLOOKUP($B76,Kraftvärmeprod!$B$1:$AV$479,MATCH("Producerad elenergi i kraftvärmeverk (GWh)",Kraftvärmeprod!$B$1:$AV$1,0),FALSE))</f>
        <v/>
      </c>
      <c r="G76" s="121" t="str">
        <f>IF(ISERROR(1/VLOOKUP($B76,Miljö!$B$1:$T$480,MATCH("Såld mängd produktionsspecifik fjärrvärme (GWh)",Miljö!$B$1:$T$1,0),FALSE)),"",VLOOKUP($B76,Miljö!$B$1:$T$480,MATCH("Såld mängd produktionsspecifik fjärrvärme (GWh)",Miljö!$B$1:$T$1,0),FALSE))</f>
        <v/>
      </c>
      <c r="J76" s="121" t="str">
        <f t="shared" si="1"/>
        <v>Eskilstuna Energi &amp; Miljö AB</v>
      </c>
    </row>
    <row r="77" spans="1:10" x14ac:dyDescent="0.25">
      <c r="A77" s="137" t="s">
        <v>289</v>
      </c>
      <c r="B77" s="137" t="s">
        <v>292</v>
      </c>
      <c r="D77" s="121" t="str">
        <f>IF(ISERROR(1/VLOOKUP($B77,Kraftvärmeprod!$B$1:$D$479,MATCH("Total värmeproduktion i kraftvärmeverk i kombinerad drift (GWh)",Kraftvärmeprod!$B$1:$AV$1,0),FALSE)),"Ej kraftvärme","Alternativproduktionsmetoden")</f>
        <v>Ej kraftvärme</v>
      </c>
      <c r="E77" s="172" t="str">
        <f>IF(ISERROR(1/VLOOKUP($B77,Kraftvärmeprod!$B$1:$BD$479,MATCH("Total värmeproduktion i kraftvärmeverk i kombinerad drift (GWh)",Kraftvärmeprod!$B$1:$AV$1,0),FALSE)),"",VLOOKUP($B77,'Slutlig allokering kvv'!$B$1:$BC$479,MATCH(E$1,'Slutlig allokering kvv'!$B$1:$AU$1,0),FALSE))</f>
        <v/>
      </c>
      <c r="F77" s="121" t="str">
        <f>IF(ISERROR(1/VLOOKUP($B77,Kraftvärmeprod!$B$1:$AV$479,MATCH("Producerad elenergi i kraftvärmeverk (GWh)",Kraftvärmeprod!$B$1:$AV$1,0),FALSE)),"",VLOOKUP($B77,Kraftvärmeprod!$B$1:$AV$479,MATCH("Producerad elenergi i kraftvärmeverk (GWh)",Kraftvärmeprod!$B$1:$AV$1,0),FALSE))</f>
        <v/>
      </c>
      <c r="G77" s="121" t="str">
        <f>IF(ISERROR(1/VLOOKUP($B77,Miljö!$B$1:$T$480,MATCH("Såld mängd produktionsspecifik fjärrvärme (GWh)",Miljö!$B$1:$T$1,0),FALSE)),"",VLOOKUP($B77,Miljö!$B$1:$T$480,MATCH("Såld mängd produktionsspecifik fjärrvärme (GWh)",Miljö!$B$1:$T$1,0),FALSE))</f>
        <v/>
      </c>
      <c r="J77" s="121" t="str">
        <f t="shared" si="1"/>
        <v>Eskilstuna Energi &amp; Miljö AB</v>
      </c>
    </row>
    <row r="78" spans="1:10" x14ac:dyDescent="0.25">
      <c r="A78" s="137" t="s">
        <v>293</v>
      </c>
      <c r="B78" s="137" t="s">
        <v>294</v>
      </c>
      <c r="D78" s="121" t="str">
        <f>IF(ISERROR(1/VLOOKUP($B78,Kraftvärmeprod!$B$1:$D$479,MATCH("Total värmeproduktion i kraftvärmeverk i kombinerad drift (GWh)",Kraftvärmeprod!$B$1:$AV$1,0),FALSE)),"Ej kraftvärme","Alternativproduktionsmetoden")</f>
        <v>Alternativproduktionsmetoden</v>
      </c>
      <c r="E78" s="172">
        <f>IF(ISERROR(1/VLOOKUP($B78,Kraftvärmeprod!$B$1:$BD$479,MATCH("Total värmeproduktion i kraftvärmeverk i kombinerad drift (GWh)",Kraftvärmeprod!$B$1:$AV$1,0),FALSE)),"",VLOOKUP($B78,'Slutlig allokering kvv'!$B$1:$BC$479,MATCH(E$1,'Slutlig allokering kvv'!$B$1:$AU$1,0),FALSE))</f>
        <v>0.78181852647735994</v>
      </c>
      <c r="F78" s="121">
        <f>IF(ISERROR(1/VLOOKUP($B78,Kraftvärmeprod!$B$1:$AV$479,MATCH("Producerad elenergi i kraftvärmeverk (GWh)",Kraftvärmeprod!$B$1:$AV$1,0),FALSE)),"",VLOOKUP($B78,Kraftvärmeprod!$B$1:$AV$479,MATCH("Producerad elenergi i kraftvärmeverk (GWh)",Kraftvärmeprod!$B$1:$AV$1,0),FALSE))</f>
        <v>9.3000000000000007</v>
      </c>
      <c r="G78" s="121" t="str">
        <f>IF(ISERROR(1/VLOOKUP($B78,Miljö!$B$1:$T$480,MATCH("Såld mängd produktionsspecifik fjärrvärme (GWh)",Miljö!$B$1:$T$1,0),FALSE)),"",VLOOKUP($B78,Miljö!$B$1:$T$480,MATCH("Såld mängd produktionsspecifik fjärrvärme (GWh)",Miljö!$B$1:$T$1,0),FALSE))</f>
        <v/>
      </c>
      <c r="J78" s="121" t="str">
        <f t="shared" si="1"/>
        <v>Falbygdens Energi AB</v>
      </c>
    </row>
    <row r="79" spans="1:10" x14ac:dyDescent="0.25">
      <c r="A79" s="137" t="s">
        <v>293</v>
      </c>
      <c r="B79" s="137" t="s">
        <v>295</v>
      </c>
      <c r="D79" s="121" t="str">
        <f>IF(ISERROR(1/VLOOKUP($B79,Kraftvärmeprod!$B$1:$D$479,MATCH("Total värmeproduktion i kraftvärmeverk i kombinerad drift (GWh)",Kraftvärmeprod!$B$1:$AV$1,0),FALSE)),"Ej kraftvärme","Alternativproduktionsmetoden")</f>
        <v>Ej kraftvärme</v>
      </c>
      <c r="E79" s="172" t="str">
        <f>IF(ISERROR(1/VLOOKUP($B79,Kraftvärmeprod!$B$1:$BD$479,MATCH("Total värmeproduktion i kraftvärmeverk i kombinerad drift (GWh)",Kraftvärmeprod!$B$1:$AV$1,0),FALSE)),"",VLOOKUP($B79,'Slutlig allokering kvv'!$B$1:$BC$479,MATCH(E$1,'Slutlig allokering kvv'!$B$1:$AU$1,0),FALSE))</f>
        <v/>
      </c>
      <c r="F79" s="121" t="str">
        <f>IF(ISERROR(1/VLOOKUP($B79,Kraftvärmeprod!$B$1:$AV$479,MATCH("Producerad elenergi i kraftvärmeverk (GWh)",Kraftvärmeprod!$B$1:$AV$1,0),FALSE)),"",VLOOKUP($B79,Kraftvärmeprod!$B$1:$AV$479,MATCH("Producerad elenergi i kraftvärmeverk (GWh)",Kraftvärmeprod!$B$1:$AV$1,0),FALSE))</f>
        <v/>
      </c>
      <c r="G79" s="121" t="str">
        <f>IF(ISERROR(1/VLOOKUP($B79,Miljö!$B$1:$T$480,MATCH("Såld mängd produktionsspecifik fjärrvärme (GWh)",Miljö!$B$1:$T$1,0),FALSE)),"",VLOOKUP($B79,Miljö!$B$1:$T$480,MATCH("Såld mängd produktionsspecifik fjärrvärme (GWh)",Miljö!$B$1:$T$1,0),FALSE))</f>
        <v/>
      </c>
      <c r="J79" s="121" t="str">
        <f t="shared" si="1"/>
        <v>Falbygdens Energi AB</v>
      </c>
    </row>
    <row r="80" spans="1:10" x14ac:dyDescent="0.25">
      <c r="A80" s="137" t="s">
        <v>293</v>
      </c>
      <c r="B80" s="137" t="s">
        <v>296</v>
      </c>
      <c r="D80" s="121" t="str">
        <f>IF(ISERROR(1/VLOOKUP($B80,Kraftvärmeprod!$B$1:$D$479,MATCH("Total värmeproduktion i kraftvärmeverk i kombinerad drift (GWh)",Kraftvärmeprod!$B$1:$AV$1,0),FALSE)),"Ej kraftvärme","Alternativproduktionsmetoden")</f>
        <v>Ej kraftvärme</v>
      </c>
      <c r="E80" s="172" t="str">
        <f>IF(ISERROR(1/VLOOKUP($B80,Kraftvärmeprod!$B$1:$BD$479,MATCH("Total värmeproduktion i kraftvärmeverk i kombinerad drift (GWh)",Kraftvärmeprod!$B$1:$AV$1,0),FALSE)),"",VLOOKUP($B80,'Slutlig allokering kvv'!$B$1:$BC$479,MATCH(E$1,'Slutlig allokering kvv'!$B$1:$AU$1,0),FALSE))</f>
        <v/>
      </c>
      <c r="F80" s="121" t="str">
        <f>IF(ISERROR(1/VLOOKUP($B80,Kraftvärmeprod!$B$1:$AV$479,MATCH("Producerad elenergi i kraftvärmeverk (GWh)",Kraftvärmeprod!$B$1:$AV$1,0),FALSE)),"",VLOOKUP($B80,Kraftvärmeprod!$B$1:$AV$479,MATCH("Producerad elenergi i kraftvärmeverk (GWh)",Kraftvärmeprod!$B$1:$AV$1,0),FALSE))</f>
        <v/>
      </c>
      <c r="G80" s="121" t="str">
        <f>IF(ISERROR(1/VLOOKUP($B80,Miljö!$B$1:$T$480,MATCH("Såld mängd produktionsspecifik fjärrvärme (GWh)",Miljö!$B$1:$T$1,0),FALSE)),"",VLOOKUP($B80,Miljö!$B$1:$T$480,MATCH("Såld mängd produktionsspecifik fjärrvärme (GWh)",Miljö!$B$1:$T$1,0),FALSE))</f>
        <v/>
      </c>
      <c r="J80" s="121" t="str">
        <f t="shared" si="1"/>
        <v>Falbygdens Energi AB</v>
      </c>
    </row>
    <row r="81" spans="1:10" x14ac:dyDescent="0.25">
      <c r="A81" s="137" t="s">
        <v>297</v>
      </c>
      <c r="B81" s="137" t="s">
        <v>298</v>
      </c>
      <c r="D81" s="121" t="str">
        <f>IF(ISERROR(1/VLOOKUP($B81,Kraftvärmeprod!$B$1:$D$479,MATCH("Total värmeproduktion i kraftvärmeverk i kombinerad drift (GWh)",Kraftvärmeprod!$B$1:$AV$1,0),FALSE)),"Ej kraftvärme","Alternativproduktionsmetoden")</f>
        <v>Ej kraftvärme</v>
      </c>
      <c r="E81" s="172" t="str">
        <f>IF(ISERROR(1/VLOOKUP($B81,Kraftvärmeprod!$B$1:$BD$479,MATCH("Total värmeproduktion i kraftvärmeverk i kombinerad drift (GWh)",Kraftvärmeprod!$B$1:$AV$1,0),FALSE)),"",VLOOKUP($B81,'Slutlig allokering kvv'!$B$1:$BC$479,MATCH(E$1,'Slutlig allokering kvv'!$B$1:$AU$1,0),FALSE))</f>
        <v/>
      </c>
      <c r="F81" s="121" t="str">
        <f>IF(ISERROR(1/VLOOKUP($B81,Kraftvärmeprod!$B$1:$AV$479,MATCH("Producerad elenergi i kraftvärmeverk (GWh)",Kraftvärmeprod!$B$1:$AV$1,0),FALSE)),"",VLOOKUP($B81,Kraftvärmeprod!$B$1:$AV$479,MATCH("Producerad elenergi i kraftvärmeverk (GWh)",Kraftvärmeprod!$B$1:$AV$1,0),FALSE))</f>
        <v/>
      </c>
      <c r="G81" s="121" t="str">
        <f>IF(ISERROR(1/VLOOKUP($B81,Miljö!$B$1:$T$480,MATCH("Såld mängd produktionsspecifik fjärrvärme (GWh)",Miljö!$B$1:$T$1,0),FALSE)),"",VLOOKUP($B81,Miljö!$B$1:$T$480,MATCH("Såld mängd produktionsspecifik fjärrvärme (GWh)",Miljö!$B$1:$T$1,0),FALSE))</f>
        <v/>
      </c>
      <c r="J81" s="121" t="str">
        <f t="shared" si="1"/>
        <v>Falkenberg Energi AB</v>
      </c>
    </row>
    <row r="82" spans="1:10" x14ac:dyDescent="0.25">
      <c r="A82" s="137" t="s">
        <v>297</v>
      </c>
      <c r="B82" s="137" t="s">
        <v>299</v>
      </c>
      <c r="D82" s="121" t="str">
        <f>IF(ISERROR(1/VLOOKUP($B82,Kraftvärmeprod!$B$1:$D$479,MATCH("Total värmeproduktion i kraftvärmeverk i kombinerad drift (GWh)",Kraftvärmeprod!$B$1:$AV$1,0),FALSE)),"Ej kraftvärme","Alternativproduktionsmetoden")</f>
        <v>Ej kraftvärme</v>
      </c>
      <c r="E82" s="172" t="str">
        <f>IF(ISERROR(1/VLOOKUP($B82,Kraftvärmeprod!$B$1:$BD$479,MATCH("Total värmeproduktion i kraftvärmeverk i kombinerad drift (GWh)",Kraftvärmeprod!$B$1:$AV$1,0),FALSE)),"",VLOOKUP($B82,'Slutlig allokering kvv'!$B$1:$BC$479,MATCH(E$1,'Slutlig allokering kvv'!$B$1:$AU$1,0),FALSE))</f>
        <v/>
      </c>
      <c r="F82" s="121" t="str">
        <f>IF(ISERROR(1/VLOOKUP($B82,Kraftvärmeprod!$B$1:$AV$479,MATCH("Producerad elenergi i kraftvärmeverk (GWh)",Kraftvärmeprod!$B$1:$AV$1,0),FALSE)),"",VLOOKUP($B82,Kraftvärmeprod!$B$1:$AV$479,MATCH("Producerad elenergi i kraftvärmeverk (GWh)",Kraftvärmeprod!$B$1:$AV$1,0),FALSE))</f>
        <v/>
      </c>
      <c r="G82" s="121" t="str">
        <f>IF(ISERROR(1/VLOOKUP($B82,Miljö!$B$1:$T$480,MATCH("Såld mängd produktionsspecifik fjärrvärme (GWh)",Miljö!$B$1:$T$1,0),FALSE)),"",VLOOKUP($B82,Miljö!$B$1:$T$480,MATCH("Såld mängd produktionsspecifik fjärrvärme (GWh)",Miljö!$B$1:$T$1,0),FALSE))</f>
        <v/>
      </c>
      <c r="J82" s="121" t="str">
        <f t="shared" si="1"/>
        <v>Falkenberg Energi AB</v>
      </c>
    </row>
    <row r="83" spans="1:10" x14ac:dyDescent="0.25">
      <c r="A83" s="137" t="s">
        <v>297</v>
      </c>
      <c r="B83" s="137" t="s">
        <v>300</v>
      </c>
      <c r="D83" s="121" t="str">
        <f>IF(ISERROR(1/VLOOKUP($B83,Kraftvärmeprod!$B$1:$D$479,MATCH("Total värmeproduktion i kraftvärmeverk i kombinerad drift (GWh)",Kraftvärmeprod!$B$1:$AV$1,0),FALSE)),"Ej kraftvärme","Alternativproduktionsmetoden")</f>
        <v>Ej kraftvärme</v>
      </c>
      <c r="E83" s="172" t="str">
        <f>IF(ISERROR(1/VLOOKUP($B83,Kraftvärmeprod!$B$1:$BD$479,MATCH("Total värmeproduktion i kraftvärmeverk i kombinerad drift (GWh)",Kraftvärmeprod!$B$1:$AV$1,0),FALSE)),"",VLOOKUP($B83,'Slutlig allokering kvv'!$B$1:$BC$479,MATCH(E$1,'Slutlig allokering kvv'!$B$1:$AU$1,0),FALSE))</f>
        <v/>
      </c>
      <c r="F83" s="121" t="str">
        <f>IF(ISERROR(1/VLOOKUP($B83,Kraftvärmeprod!$B$1:$AV$479,MATCH("Producerad elenergi i kraftvärmeverk (GWh)",Kraftvärmeprod!$B$1:$AV$1,0),FALSE)),"",VLOOKUP($B83,Kraftvärmeprod!$B$1:$AV$479,MATCH("Producerad elenergi i kraftvärmeverk (GWh)",Kraftvärmeprod!$B$1:$AV$1,0),FALSE))</f>
        <v/>
      </c>
      <c r="G83" s="121" t="str">
        <f>IF(ISERROR(1/VLOOKUP($B83,Miljö!$B$1:$T$480,MATCH("Såld mängd produktionsspecifik fjärrvärme (GWh)",Miljö!$B$1:$T$1,0),FALSE)),"",VLOOKUP($B83,Miljö!$B$1:$T$480,MATCH("Såld mängd produktionsspecifik fjärrvärme (GWh)",Miljö!$B$1:$T$1,0),FALSE))</f>
        <v/>
      </c>
      <c r="J83" s="121" t="str">
        <f t="shared" si="1"/>
        <v>Falkenberg Energi AB</v>
      </c>
    </row>
    <row r="84" spans="1:10" x14ac:dyDescent="0.25">
      <c r="A84" s="137" t="s">
        <v>301</v>
      </c>
      <c r="B84" s="137" t="s">
        <v>302</v>
      </c>
      <c r="D84" s="121" t="str">
        <f>IF(ISERROR(1/VLOOKUP($B84,Kraftvärmeprod!$B$1:$D$479,MATCH("Total värmeproduktion i kraftvärmeverk i kombinerad drift (GWh)",Kraftvärmeprod!$B$1:$AV$1,0),FALSE)),"Ej kraftvärme","Alternativproduktionsmetoden")</f>
        <v>Ej kraftvärme</v>
      </c>
      <c r="E84" s="172" t="str">
        <f>IF(ISERROR(1/VLOOKUP($B84,Kraftvärmeprod!$B$1:$BD$479,MATCH("Total värmeproduktion i kraftvärmeverk i kombinerad drift (GWh)",Kraftvärmeprod!$B$1:$AV$1,0),FALSE)),"",VLOOKUP($B84,'Slutlig allokering kvv'!$B$1:$BC$479,MATCH(E$1,'Slutlig allokering kvv'!$B$1:$AU$1,0),FALSE))</f>
        <v/>
      </c>
      <c r="F84" s="121" t="str">
        <f>IF(ISERROR(1/VLOOKUP($B84,Kraftvärmeprod!$B$1:$AV$479,MATCH("Producerad elenergi i kraftvärmeverk (GWh)",Kraftvärmeprod!$B$1:$AV$1,0),FALSE)),"",VLOOKUP($B84,Kraftvärmeprod!$B$1:$AV$479,MATCH("Producerad elenergi i kraftvärmeverk (GWh)",Kraftvärmeprod!$B$1:$AV$1,0),FALSE))</f>
        <v/>
      </c>
      <c r="G84" s="121" t="str">
        <f>IF(ISERROR(1/VLOOKUP($B84,Miljö!$B$1:$T$480,MATCH("Såld mängd produktionsspecifik fjärrvärme (GWh)",Miljö!$B$1:$T$1,0),FALSE)),"",VLOOKUP($B84,Miljö!$B$1:$T$480,MATCH("Såld mängd produktionsspecifik fjärrvärme (GWh)",Miljö!$B$1:$T$1,0),FALSE))</f>
        <v/>
      </c>
      <c r="J84" s="121" t="str">
        <f t="shared" si="1"/>
        <v>Falu Energi &amp; Vatten AB</v>
      </c>
    </row>
    <row r="85" spans="1:10" x14ac:dyDescent="0.25">
      <c r="A85" s="137" t="s">
        <v>301</v>
      </c>
      <c r="B85" s="137" t="s">
        <v>303</v>
      </c>
      <c r="D85" s="121" t="str">
        <f>IF(ISERROR(1/VLOOKUP($B85,Kraftvärmeprod!$B$1:$D$479,MATCH("Total värmeproduktion i kraftvärmeverk i kombinerad drift (GWh)",Kraftvärmeprod!$B$1:$AV$1,0),FALSE)),"Ej kraftvärme","Alternativproduktionsmetoden")</f>
        <v>Alternativproduktionsmetoden</v>
      </c>
      <c r="E85" s="172">
        <f>IF(ISERROR(1/VLOOKUP($B85,Kraftvärmeprod!$B$1:$BD$479,MATCH("Total värmeproduktion i kraftvärmeverk i kombinerad drift (GWh)",Kraftvärmeprod!$B$1:$AV$1,0),FALSE)),"",VLOOKUP($B85,'Slutlig allokering kvv'!$B$1:$BC$479,MATCH(E$1,'Slutlig allokering kvv'!$B$1:$AU$1,0),FALSE))</f>
        <v>0.57899163426732814</v>
      </c>
      <c r="F85" s="121">
        <f>IF(ISERROR(1/VLOOKUP($B85,Kraftvärmeprod!$B$1:$AV$479,MATCH("Producerad elenergi i kraftvärmeverk (GWh)",Kraftvärmeprod!$B$1:$AV$1,0),FALSE)),"",VLOOKUP($B85,Kraftvärmeprod!$B$1:$AV$479,MATCH("Producerad elenergi i kraftvärmeverk (GWh)",Kraftvärmeprod!$B$1:$AV$1,0),FALSE))</f>
        <v>71.900000000000006</v>
      </c>
      <c r="G85" s="121">
        <f>IF(ISERROR(1/VLOOKUP($B85,Miljö!$B$1:$T$480,MATCH("Såld mängd produktionsspecifik fjärrvärme (GWh)",Miljö!$B$1:$T$1,0),FALSE)),"",VLOOKUP($B85,Miljö!$B$1:$T$480,MATCH("Såld mängd produktionsspecifik fjärrvärme (GWh)",Miljö!$B$1:$T$1,0),FALSE))</f>
        <v>5.83</v>
      </c>
      <c r="J85" s="121" t="str">
        <f t="shared" si="1"/>
        <v>Falu Energi &amp; Vatten AB</v>
      </c>
    </row>
    <row r="86" spans="1:10" x14ac:dyDescent="0.25">
      <c r="A86" s="137" t="s">
        <v>301</v>
      </c>
      <c r="B86" s="137" t="s">
        <v>305</v>
      </c>
      <c r="D86" s="121" t="str">
        <f>IF(ISERROR(1/VLOOKUP($B86,Kraftvärmeprod!$B$1:$D$479,MATCH("Total värmeproduktion i kraftvärmeverk i kombinerad drift (GWh)",Kraftvärmeprod!$B$1:$AV$1,0),FALSE)),"Ej kraftvärme","Alternativproduktionsmetoden")</f>
        <v>Ej kraftvärme</v>
      </c>
      <c r="E86" s="172" t="str">
        <f>IF(ISERROR(1/VLOOKUP($B86,Kraftvärmeprod!$B$1:$BD$479,MATCH("Total värmeproduktion i kraftvärmeverk i kombinerad drift (GWh)",Kraftvärmeprod!$B$1:$AV$1,0),FALSE)),"",VLOOKUP($B86,'Slutlig allokering kvv'!$B$1:$BC$479,MATCH(E$1,'Slutlig allokering kvv'!$B$1:$AU$1,0),FALSE))</f>
        <v/>
      </c>
      <c r="F86" s="121" t="str">
        <f>IF(ISERROR(1/VLOOKUP($B86,Kraftvärmeprod!$B$1:$AV$479,MATCH("Producerad elenergi i kraftvärmeverk (GWh)",Kraftvärmeprod!$B$1:$AV$1,0),FALSE)),"",VLOOKUP($B86,Kraftvärmeprod!$B$1:$AV$479,MATCH("Producerad elenergi i kraftvärmeverk (GWh)",Kraftvärmeprod!$B$1:$AV$1,0),FALSE))</f>
        <v/>
      </c>
      <c r="G86" s="121" t="str">
        <f>IF(ISERROR(1/VLOOKUP($B86,Miljö!$B$1:$T$480,MATCH("Såld mängd produktionsspecifik fjärrvärme (GWh)",Miljö!$B$1:$T$1,0),FALSE)),"",VLOOKUP($B86,Miljö!$B$1:$T$480,MATCH("Såld mängd produktionsspecifik fjärrvärme (GWh)",Miljö!$B$1:$T$1,0),FALSE))</f>
        <v/>
      </c>
      <c r="J86" s="121" t="str">
        <f t="shared" si="1"/>
        <v>Falu Energi &amp; Vatten AB</v>
      </c>
    </row>
    <row r="87" spans="1:10" x14ac:dyDescent="0.25">
      <c r="A87" s="137" t="s">
        <v>301</v>
      </c>
      <c r="B87" s="137" t="s">
        <v>306</v>
      </c>
      <c r="D87" s="121" t="str">
        <f>IF(ISERROR(1/VLOOKUP($B87,Kraftvärmeprod!$B$1:$D$479,MATCH("Total värmeproduktion i kraftvärmeverk i kombinerad drift (GWh)",Kraftvärmeprod!$B$1:$AV$1,0),FALSE)),"Ej kraftvärme","Alternativproduktionsmetoden")</f>
        <v>Ej kraftvärme</v>
      </c>
      <c r="E87" s="172" t="str">
        <f>IF(ISERROR(1/VLOOKUP($B87,Kraftvärmeprod!$B$1:$BD$479,MATCH("Total värmeproduktion i kraftvärmeverk i kombinerad drift (GWh)",Kraftvärmeprod!$B$1:$AV$1,0),FALSE)),"",VLOOKUP($B87,'Slutlig allokering kvv'!$B$1:$BC$479,MATCH(E$1,'Slutlig allokering kvv'!$B$1:$AU$1,0),FALSE))</f>
        <v/>
      </c>
      <c r="F87" s="121" t="str">
        <f>IF(ISERROR(1/VLOOKUP($B87,Kraftvärmeprod!$B$1:$AV$479,MATCH("Producerad elenergi i kraftvärmeverk (GWh)",Kraftvärmeprod!$B$1:$AV$1,0),FALSE)),"",VLOOKUP($B87,Kraftvärmeprod!$B$1:$AV$479,MATCH("Producerad elenergi i kraftvärmeverk (GWh)",Kraftvärmeprod!$B$1:$AV$1,0),FALSE))</f>
        <v/>
      </c>
      <c r="G87" s="121" t="str">
        <f>IF(ISERROR(1/VLOOKUP($B87,Miljö!$B$1:$T$480,MATCH("Såld mängd produktionsspecifik fjärrvärme (GWh)",Miljö!$B$1:$T$1,0),FALSE)),"",VLOOKUP($B87,Miljö!$B$1:$T$480,MATCH("Såld mängd produktionsspecifik fjärrvärme (GWh)",Miljö!$B$1:$T$1,0),FALSE))</f>
        <v/>
      </c>
      <c r="J87" s="121" t="str">
        <f t="shared" si="1"/>
        <v>Falu Energi &amp; Vatten AB</v>
      </c>
    </row>
    <row r="88" spans="1:10" x14ac:dyDescent="0.25">
      <c r="A88" s="137" t="s">
        <v>307</v>
      </c>
      <c r="B88" s="137" t="s">
        <v>308</v>
      </c>
      <c r="D88" s="121" t="str">
        <f>IF(ISERROR(1/VLOOKUP($B88,Kraftvärmeprod!$B$1:$D$479,MATCH("Total värmeproduktion i kraftvärmeverk i kombinerad drift (GWh)",Kraftvärmeprod!$B$1:$AV$1,0),FALSE)),"Ej kraftvärme","Alternativproduktionsmetoden")</f>
        <v>Ej kraftvärme</v>
      </c>
      <c r="E88" s="172" t="str">
        <f>IF(ISERROR(1/VLOOKUP($B88,Kraftvärmeprod!$B$1:$BD$479,MATCH("Total värmeproduktion i kraftvärmeverk i kombinerad drift (GWh)",Kraftvärmeprod!$B$1:$AV$1,0),FALSE)),"",VLOOKUP($B88,'Slutlig allokering kvv'!$B$1:$BC$479,MATCH(E$1,'Slutlig allokering kvv'!$B$1:$AU$1,0),FALSE))</f>
        <v/>
      </c>
      <c r="F88" s="121" t="str">
        <f>IF(ISERROR(1/VLOOKUP($B88,Kraftvärmeprod!$B$1:$AV$479,MATCH("Producerad elenergi i kraftvärmeverk (GWh)",Kraftvärmeprod!$B$1:$AV$1,0),FALSE)),"",VLOOKUP($B88,Kraftvärmeprod!$B$1:$AV$479,MATCH("Producerad elenergi i kraftvärmeverk (GWh)",Kraftvärmeprod!$B$1:$AV$1,0),FALSE))</f>
        <v/>
      </c>
      <c r="G88" s="121" t="str">
        <f>IF(ISERROR(1/VLOOKUP($B88,Miljö!$B$1:$T$480,MATCH("Såld mängd produktionsspecifik fjärrvärme (GWh)",Miljö!$B$1:$T$1,0),FALSE)),"",VLOOKUP($B88,Miljö!$B$1:$T$480,MATCH("Såld mängd produktionsspecifik fjärrvärme (GWh)",Miljö!$B$1:$T$1,0),FALSE))</f>
        <v/>
      </c>
      <c r="J88" s="121" t="str">
        <f t="shared" si="1"/>
        <v>Finspångs Tekniska Verk AB</v>
      </c>
    </row>
    <row r="89" spans="1:10" x14ac:dyDescent="0.25">
      <c r="A89" s="137" t="s">
        <v>309</v>
      </c>
      <c r="B89" s="137" t="s">
        <v>310</v>
      </c>
      <c r="D89" s="121" t="str">
        <f>IF(ISERROR(1/VLOOKUP($B89,Kraftvärmeprod!$B$1:$D$479,MATCH("Total värmeproduktion i kraftvärmeverk i kombinerad drift (GWh)",Kraftvärmeprod!$B$1:$AV$1,0),FALSE)),"Ej kraftvärme","Alternativproduktionsmetoden")</f>
        <v>Ej kraftvärme</v>
      </c>
      <c r="E89" s="172" t="str">
        <f>IF(ISERROR(1/VLOOKUP($B89,Kraftvärmeprod!$B$1:$BD$479,MATCH("Total värmeproduktion i kraftvärmeverk i kombinerad drift (GWh)",Kraftvärmeprod!$B$1:$AV$1,0),FALSE)),"",VLOOKUP($B89,'Slutlig allokering kvv'!$B$1:$BC$479,MATCH(E$1,'Slutlig allokering kvv'!$B$1:$AU$1,0),FALSE))</f>
        <v/>
      </c>
      <c r="F89" s="121" t="str">
        <f>IF(ISERROR(1/VLOOKUP($B89,Kraftvärmeprod!$B$1:$AV$479,MATCH("Producerad elenergi i kraftvärmeverk (GWh)",Kraftvärmeprod!$B$1:$AV$1,0),FALSE)),"",VLOOKUP($B89,Kraftvärmeprod!$B$1:$AV$479,MATCH("Producerad elenergi i kraftvärmeverk (GWh)",Kraftvärmeprod!$B$1:$AV$1,0),FALSE))</f>
        <v/>
      </c>
      <c r="G89" s="121" t="str">
        <f>IF(ISERROR(1/VLOOKUP($B89,Miljö!$B$1:$T$480,MATCH("Såld mängd produktionsspecifik fjärrvärme (GWh)",Miljö!$B$1:$T$1,0),FALSE)),"",VLOOKUP($B89,Miljö!$B$1:$T$480,MATCH("Såld mängd produktionsspecifik fjärrvärme (GWh)",Miljö!$B$1:$T$1,0),FALSE))</f>
        <v/>
      </c>
      <c r="J89" s="121" t="str">
        <f t="shared" si="1"/>
        <v>Gislaved Energi AB</v>
      </c>
    </row>
    <row r="90" spans="1:10" x14ac:dyDescent="0.25">
      <c r="A90" s="137" t="s">
        <v>309</v>
      </c>
      <c r="B90" s="137" t="s">
        <v>311</v>
      </c>
      <c r="D90" s="121" t="str">
        <f>IF(ISERROR(1/VLOOKUP($B90,Kraftvärmeprod!$B$1:$D$479,MATCH("Total värmeproduktion i kraftvärmeverk i kombinerad drift (GWh)",Kraftvärmeprod!$B$1:$AV$1,0),FALSE)),"Ej kraftvärme","Alternativproduktionsmetoden")</f>
        <v>Ej kraftvärme</v>
      </c>
      <c r="E90" s="172" t="str">
        <f>IF(ISERROR(1/VLOOKUP($B90,Kraftvärmeprod!$B$1:$BD$479,MATCH("Total värmeproduktion i kraftvärmeverk i kombinerad drift (GWh)",Kraftvärmeprod!$B$1:$AV$1,0),FALSE)),"",VLOOKUP($B90,'Slutlig allokering kvv'!$B$1:$BC$479,MATCH(E$1,'Slutlig allokering kvv'!$B$1:$AU$1,0),FALSE))</f>
        <v/>
      </c>
      <c r="F90" s="121" t="str">
        <f>IF(ISERROR(1/VLOOKUP($B90,Kraftvärmeprod!$B$1:$AV$479,MATCH("Producerad elenergi i kraftvärmeverk (GWh)",Kraftvärmeprod!$B$1:$AV$1,0),FALSE)),"",VLOOKUP($B90,Kraftvärmeprod!$B$1:$AV$479,MATCH("Producerad elenergi i kraftvärmeverk (GWh)",Kraftvärmeprod!$B$1:$AV$1,0),FALSE))</f>
        <v/>
      </c>
      <c r="G90" s="121" t="str">
        <f>IF(ISERROR(1/VLOOKUP($B90,Miljö!$B$1:$T$480,MATCH("Såld mängd produktionsspecifik fjärrvärme (GWh)",Miljö!$B$1:$T$1,0),FALSE)),"",VLOOKUP($B90,Miljö!$B$1:$T$480,MATCH("Såld mängd produktionsspecifik fjärrvärme (GWh)",Miljö!$B$1:$T$1,0),FALSE))</f>
        <v/>
      </c>
      <c r="J90" s="121" t="str">
        <f t="shared" si="1"/>
        <v>Gislaved Energi AB</v>
      </c>
    </row>
    <row r="91" spans="1:10" x14ac:dyDescent="0.25">
      <c r="A91" s="137" t="s">
        <v>309</v>
      </c>
      <c r="B91" s="137" t="s">
        <v>313</v>
      </c>
      <c r="D91" s="121" t="str">
        <f>IF(ISERROR(1/VLOOKUP($B91,Kraftvärmeprod!$B$1:$D$479,MATCH("Total värmeproduktion i kraftvärmeverk i kombinerad drift (GWh)",Kraftvärmeprod!$B$1:$AV$1,0),FALSE)),"Ej kraftvärme","Alternativproduktionsmetoden")</f>
        <v>Ej kraftvärme</v>
      </c>
      <c r="E91" s="172" t="str">
        <f>IF(ISERROR(1/VLOOKUP($B91,Kraftvärmeprod!$B$1:$BD$479,MATCH("Total värmeproduktion i kraftvärmeverk i kombinerad drift (GWh)",Kraftvärmeprod!$B$1:$AV$1,0),FALSE)),"",VLOOKUP($B91,'Slutlig allokering kvv'!$B$1:$BC$479,MATCH(E$1,'Slutlig allokering kvv'!$B$1:$AU$1,0),FALSE))</f>
        <v/>
      </c>
      <c r="F91" s="121" t="str">
        <f>IF(ISERROR(1/VLOOKUP($B91,Kraftvärmeprod!$B$1:$AV$479,MATCH("Producerad elenergi i kraftvärmeverk (GWh)",Kraftvärmeprod!$B$1:$AV$1,0),FALSE)),"",VLOOKUP($B91,Kraftvärmeprod!$B$1:$AV$479,MATCH("Producerad elenergi i kraftvärmeverk (GWh)",Kraftvärmeprod!$B$1:$AV$1,0),FALSE))</f>
        <v/>
      </c>
      <c r="G91" s="121" t="str">
        <f>IF(ISERROR(1/VLOOKUP($B91,Miljö!$B$1:$T$480,MATCH("Såld mängd produktionsspecifik fjärrvärme (GWh)",Miljö!$B$1:$T$1,0),FALSE)),"",VLOOKUP($B91,Miljö!$B$1:$T$480,MATCH("Såld mängd produktionsspecifik fjärrvärme (GWh)",Miljö!$B$1:$T$1,0),FALSE))</f>
        <v/>
      </c>
      <c r="J91" s="121" t="str">
        <f t="shared" si="1"/>
        <v>Gislaved Energi AB</v>
      </c>
    </row>
    <row r="92" spans="1:10" x14ac:dyDescent="0.25">
      <c r="A92" s="137" t="s">
        <v>315</v>
      </c>
      <c r="B92" s="137" t="s">
        <v>316</v>
      </c>
      <c r="D92" s="121" t="str">
        <f>IF(ISERROR(1/VLOOKUP($B92,Kraftvärmeprod!$B$1:$D$479,MATCH("Total värmeproduktion i kraftvärmeverk i kombinerad drift (GWh)",Kraftvärmeprod!$B$1:$AV$1,0),FALSE)),"Ej kraftvärme","Alternativproduktionsmetoden")</f>
        <v>Ej kraftvärme</v>
      </c>
      <c r="E92" s="172" t="str">
        <f>IF(ISERROR(1/VLOOKUP($B92,Kraftvärmeprod!$B$1:$BD$479,MATCH("Total värmeproduktion i kraftvärmeverk i kombinerad drift (GWh)",Kraftvärmeprod!$B$1:$AV$1,0),FALSE)),"",VLOOKUP($B92,'Slutlig allokering kvv'!$B$1:$BC$479,MATCH(E$1,'Slutlig allokering kvv'!$B$1:$AU$1,0),FALSE))</f>
        <v/>
      </c>
      <c r="F92" s="121" t="str">
        <f>IF(ISERROR(1/VLOOKUP($B92,Kraftvärmeprod!$B$1:$AV$479,MATCH("Producerad elenergi i kraftvärmeverk (GWh)",Kraftvärmeprod!$B$1:$AV$1,0),FALSE)),"",VLOOKUP($B92,Kraftvärmeprod!$B$1:$AV$479,MATCH("Producerad elenergi i kraftvärmeverk (GWh)",Kraftvärmeprod!$B$1:$AV$1,0),FALSE))</f>
        <v/>
      </c>
      <c r="G92" s="121" t="str">
        <f>IF(ISERROR(1/VLOOKUP($B92,Miljö!$B$1:$T$480,MATCH("Såld mängd produktionsspecifik fjärrvärme (GWh)",Miljö!$B$1:$T$1,0),FALSE)),"",VLOOKUP($B92,Miljö!$B$1:$T$480,MATCH("Såld mängd produktionsspecifik fjärrvärme (GWh)",Miljö!$B$1:$T$1,0),FALSE))</f>
        <v/>
      </c>
      <c r="J92" s="121" t="str">
        <f t="shared" si="1"/>
        <v>Gotlands Energi AB</v>
      </c>
    </row>
    <row r="93" spans="1:10" x14ac:dyDescent="0.25">
      <c r="A93" s="137" t="s">
        <v>315</v>
      </c>
      <c r="B93" s="137" t="s">
        <v>317</v>
      </c>
      <c r="D93" s="121" t="str">
        <f>IF(ISERROR(1/VLOOKUP($B93,Kraftvärmeprod!$B$1:$D$479,MATCH("Total värmeproduktion i kraftvärmeverk i kombinerad drift (GWh)",Kraftvärmeprod!$B$1:$AV$1,0),FALSE)),"Ej kraftvärme","Alternativproduktionsmetoden")</f>
        <v>Ej kraftvärme</v>
      </c>
      <c r="E93" s="172" t="str">
        <f>IF(ISERROR(1/VLOOKUP($B93,Kraftvärmeprod!$B$1:$BD$479,MATCH("Total värmeproduktion i kraftvärmeverk i kombinerad drift (GWh)",Kraftvärmeprod!$B$1:$AV$1,0),FALSE)),"",VLOOKUP($B93,'Slutlig allokering kvv'!$B$1:$BC$479,MATCH(E$1,'Slutlig allokering kvv'!$B$1:$AU$1,0),FALSE))</f>
        <v/>
      </c>
      <c r="F93" s="121" t="str">
        <f>IF(ISERROR(1/VLOOKUP($B93,Kraftvärmeprod!$B$1:$AV$479,MATCH("Producerad elenergi i kraftvärmeverk (GWh)",Kraftvärmeprod!$B$1:$AV$1,0),FALSE)),"",VLOOKUP($B93,Kraftvärmeprod!$B$1:$AV$479,MATCH("Producerad elenergi i kraftvärmeverk (GWh)",Kraftvärmeprod!$B$1:$AV$1,0),FALSE))</f>
        <v/>
      </c>
      <c r="G93" s="121" t="str">
        <f>IF(ISERROR(1/VLOOKUP($B93,Miljö!$B$1:$T$480,MATCH("Såld mängd produktionsspecifik fjärrvärme (GWh)",Miljö!$B$1:$T$1,0),FALSE)),"",VLOOKUP($B93,Miljö!$B$1:$T$480,MATCH("Såld mängd produktionsspecifik fjärrvärme (GWh)",Miljö!$B$1:$T$1,0),FALSE))</f>
        <v/>
      </c>
      <c r="J93" s="121" t="str">
        <f t="shared" si="1"/>
        <v>Gotlands Energi AB</v>
      </c>
    </row>
    <row r="94" spans="1:10" x14ac:dyDescent="0.25">
      <c r="A94" s="137" t="s">
        <v>315</v>
      </c>
      <c r="B94" s="137" t="s">
        <v>318</v>
      </c>
      <c r="D94" s="121" t="str">
        <f>IF(ISERROR(1/VLOOKUP($B94,Kraftvärmeprod!$B$1:$D$479,MATCH("Total värmeproduktion i kraftvärmeverk i kombinerad drift (GWh)",Kraftvärmeprod!$B$1:$AV$1,0),FALSE)),"Ej kraftvärme","Alternativproduktionsmetoden")</f>
        <v>Ej kraftvärme</v>
      </c>
      <c r="E94" s="172" t="str">
        <f>IF(ISERROR(1/VLOOKUP($B94,Kraftvärmeprod!$B$1:$BD$479,MATCH("Total värmeproduktion i kraftvärmeverk i kombinerad drift (GWh)",Kraftvärmeprod!$B$1:$AV$1,0),FALSE)),"",VLOOKUP($B94,'Slutlig allokering kvv'!$B$1:$BC$479,MATCH(E$1,'Slutlig allokering kvv'!$B$1:$AU$1,0),FALSE))</f>
        <v/>
      </c>
      <c r="F94" s="121" t="str">
        <f>IF(ISERROR(1/VLOOKUP($B94,Kraftvärmeprod!$B$1:$AV$479,MATCH("Producerad elenergi i kraftvärmeverk (GWh)",Kraftvärmeprod!$B$1:$AV$1,0),FALSE)),"",VLOOKUP($B94,Kraftvärmeprod!$B$1:$AV$479,MATCH("Producerad elenergi i kraftvärmeverk (GWh)",Kraftvärmeprod!$B$1:$AV$1,0),FALSE))</f>
        <v/>
      </c>
      <c r="G94" s="121" t="str">
        <f>IF(ISERROR(1/VLOOKUP($B94,Miljö!$B$1:$T$480,MATCH("Såld mängd produktionsspecifik fjärrvärme (GWh)",Miljö!$B$1:$T$1,0),FALSE)),"",VLOOKUP($B94,Miljö!$B$1:$T$480,MATCH("Såld mängd produktionsspecifik fjärrvärme (GWh)",Miljö!$B$1:$T$1,0),FALSE))</f>
        <v/>
      </c>
      <c r="J94" s="121" t="str">
        <f t="shared" si="1"/>
        <v>Gotlands Energi AB</v>
      </c>
    </row>
    <row r="95" spans="1:10" x14ac:dyDescent="0.25">
      <c r="A95" s="137" t="s">
        <v>315</v>
      </c>
      <c r="B95" s="137" t="s">
        <v>319</v>
      </c>
      <c r="D95" s="121" t="str">
        <f>IF(ISERROR(1/VLOOKUP($B95,Kraftvärmeprod!$B$1:$D$479,MATCH("Total värmeproduktion i kraftvärmeverk i kombinerad drift (GWh)",Kraftvärmeprod!$B$1:$AV$1,0),FALSE)),"Ej kraftvärme","Alternativproduktionsmetoden")</f>
        <v>Ej kraftvärme</v>
      </c>
      <c r="E95" s="172" t="str">
        <f>IF(ISERROR(1/VLOOKUP($B95,Kraftvärmeprod!$B$1:$BD$479,MATCH("Total värmeproduktion i kraftvärmeverk i kombinerad drift (GWh)",Kraftvärmeprod!$B$1:$AV$1,0),FALSE)),"",VLOOKUP($B95,'Slutlig allokering kvv'!$B$1:$BC$479,MATCH(E$1,'Slutlig allokering kvv'!$B$1:$AU$1,0),FALSE))</f>
        <v/>
      </c>
      <c r="F95" s="121" t="str">
        <f>IF(ISERROR(1/VLOOKUP($B95,Kraftvärmeprod!$B$1:$AV$479,MATCH("Producerad elenergi i kraftvärmeverk (GWh)",Kraftvärmeprod!$B$1:$AV$1,0),FALSE)),"",VLOOKUP($B95,Kraftvärmeprod!$B$1:$AV$479,MATCH("Producerad elenergi i kraftvärmeverk (GWh)",Kraftvärmeprod!$B$1:$AV$1,0),FALSE))</f>
        <v/>
      </c>
      <c r="G95" s="121" t="str">
        <f>IF(ISERROR(1/VLOOKUP($B95,Miljö!$B$1:$T$480,MATCH("Såld mängd produktionsspecifik fjärrvärme (GWh)",Miljö!$B$1:$T$1,0),FALSE)),"",VLOOKUP($B95,Miljö!$B$1:$T$480,MATCH("Såld mängd produktionsspecifik fjärrvärme (GWh)",Miljö!$B$1:$T$1,0),FALSE))</f>
        <v/>
      </c>
      <c r="J95" s="121" t="str">
        <f t="shared" si="1"/>
        <v>Gotlands Energi AB</v>
      </c>
    </row>
    <row r="96" spans="1:10" x14ac:dyDescent="0.25">
      <c r="A96" s="137" t="s">
        <v>320</v>
      </c>
      <c r="B96" s="137" t="s">
        <v>321</v>
      </c>
      <c r="D96" s="121" t="str">
        <f>IF(ISERROR(1/VLOOKUP($B96,Kraftvärmeprod!$B$1:$D$479,MATCH("Total värmeproduktion i kraftvärmeverk i kombinerad drift (GWh)",Kraftvärmeprod!$B$1:$AV$1,0),FALSE)),"Ej kraftvärme","Alternativproduktionsmetoden")</f>
        <v>Alternativproduktionsmetoden</v>
      </c>
      <c r="E96" s="172">
        <f>IF(ISERROR(1/VLOOKUP($B96,Kraftvärmeprod!$B$1:$BD$479,MATCH("Total värmeproduktion i kraftvärmeverk i kombinerad drift (GWh)",Kraftvärmeprod!$B$1:$AV$1,0),FALSE)),"",VLOOKUP($B96,'Slutlig allokering kvv'!$B$1:$BC$479,MATCH(E$1,'Slutlig allokering kvv'!$B$1:$AU$1,0),FALSE))</f>
        <v>0.69284074226804138</v>
      </c>
      <c r="F96" s="121">
        <f>IF(ISERROR(1/VLOOKUP($B96,Kraftvärmeprod!$B$1:$AV$479,MATCH("Producerad elenergi i kraftvärmeverk (GWh)",Kraftvärmeprod!$B$1:$AV$1,0),FALSE)),"",VLOOKUP($B96,Kraftvärmeprod!$B$1:$AV$479,MATCH("Producerad elenergi i kraftvärmeverk (GWh)",Kraftvärmeprod!$B$1:$AV$1,0),FALSE))</f>
        <v>34</v>
      </c>
      <c r="G96" s="121" t="str">
        <f>IF(ISERROR(1/VLOOKUP($B96,Miljö!$B$1:$T$480,MATCH("Såld mängd produktionsspecifik fjärrvärme (GWh)",Miljö!$B$1:$T$1,0),FALSE)),"",VLOOKUP($B96,Miljö!$B$1:$T$480,MATCH("Såld mängd produktionsspecifik fjärrvärme (GWh)",Miljö!$B$1:$T$1,0),FALSE))</f>
        <v/>
      </c>
      <c r="J96" s="121" t="str">
        <f t="shared" si="1"/>
        <v>Gällivare Energi AB</v>
      </c>
    </row>
    <row r="97" spans="1:10" x14ac:dyDescent="0.25">
      <c r="A97" s="137" t="s">
        <v>322</v>
      </c>
      <c r="B97" s="137" t="s">
        <v>323</v>
      </c>
      <c r="D97" s="121" t="str">
        <f>IF(ISERROR(1/VLOOKUP($B97,Kraftvärmeprod!$B$1:$D$479,MATCH("Total värmeproduktion i kraftvärmeverk i kombinerad drift (GWh)",Kraftvärmeprod!$B$1:$AV$1,0),FALSE)),"Ej kraftvärme","Alternativproduktionsmetoden")</f>
        <v>Alternativproduktionsmetoden</v>
      </c>
      <c r="E97" s="172">
        <f>IF(ISERROR(1/VLOOKUP($B97,Kraftvärmeprod!$B$1:$BD$479,MATCH("Total värmeproduktion i kraftvärmeverk i kombinerad drift (GWh)",Kraftvärmeprod!$B$1:$AV$1,0),FALSE)),"",VLOOKUP($B97,'Slutlig allokering kvv'!$B$1:$BC$479,MATCH(E$1,'Slutlig allokering kvv'!$B$1:$AU$1,0),FALSE))</f>
        <v>0.52551392649156237</v>
      </c>
      <c r="F97" s="121">
        <f>IF(ISERROR(1/VLOOKUP($B97,Kraftvärmeprod!$B$1:$AV$479,MATCH("Producerad elenergi i kraftvärmeverk (GWh)",Kraftvärmeprod!$B$1:$AV$1,0),FALSE)),"",VLOOKUP($B97,Kraftvärmeprod!$B$1:$AV$479,MATCH("Producerad elenergi i kraftvärmeverk (GWh)",Kraftvärmeprod!$B$1:$AV$1,0),FALSE))</f>
        <v>80.683000000000007</v>
      </c>
      <c r="G97" s="121" t="str">
        <f>IF(ISERROR(1/VLOOKUP($B97,Miljö!$B$1:$T$480,MATCH("Såld mängd produktionsspecifik fjärrvärme (GWh)",Miljö!$B$1:$T$1,0),FALSE)),"",VLOOKUP($B97,Miljö!$B$1:$T$480,MATCH("Såld mängd produktionsspecifik fjärrvärme (GWh)",Miljö!$B$1:$T$1,0),FALSE))</f>
        <v/>
      </c>
      <c r="J97" s="121" t="str">
        <f t="shared" si="1"/>
        <v>Gävle Energi AB</v>
      </c>
    </row>
    <row r="98" spans="1:10" x14ac:dyDescent="0.25">
      <c r="A98" s="137" t="s">
        <v>324</v>
      </c>
      <c r="B98" s="137" t="s">
        <v>325</v>
      </c>
      <c r="D98" s="121" t="str">
        <f>IF(ISERROR(1/VLOOKUP($B98,Kraftvärmeprod!$B$1:$D$479,MATCH("Total värmeproduktion i kraftvärmeverk i kombinerad drift (GWh)",Kraftvärmeprod!$B$1:$AV$1,0),FALSE)),"Ej kraftvärme","Alternativproduktionsmetoden")</f>
        <v>Ej kraftvärme</v>
      </c>
      <c r="E98" s="172" t="str">
        <f>IF(ISERROR(1/VLOOKUP($B98,Kraftvärmeprod!$B$1:$BD$479,MATCH("Total värmeproduktion i kraftvärmeverk i kombinerad drift (GWh)",Kraftvärmeprod!$B$1:$AV$1,0),FALSE)),"",VLOOKUP($B98,'Slutlig allokering kvv'!$B$1:$BC$479,MATCH(E$1,'Slutlig allokering kvv'!$B$1:$AU$1,0),FALSE))</f>
        <v/>
      </c>
      <c r="F98" s="121" t="str">
        <f>IF(ISERROR(1/VLOOKUP($B98,Kraftvärmeprod!$B$1:$AV$479,MATCH("Producerad elenergi i kraftvärmeverk (GWh)",Kraftvärmeprod!$B$1:$AV$1,0),FALSE)),"",VLOOKUP($B98,Kraftvärmeprod!$B$1:$AV$479,MATCH("Producerad elenergi i kraftvärmeverk (GWh)",Kraftvärmeprod!$B$1:$AV$1,0),FALSE))</f>
        <v/>
      </c>
      <c r="G98" s="121" t="str">
        <f>IF(ISERROR(1/VLOOKUP($B98,Miljö!$B$1:$T$480,MATCH("Såld mängd produktionsspecifik fjärrvärme (GWh)",Miljö!$B$1:$T$1,0),FALSE)),"",VLOOKUP($B98,Miljö!$B$1:$T$480,MATCH("Såld mängd produktionsspecifik fjärrvärme (GWh)",Miljö!$B$1:$T$1,0),FALSE))</f>
        <v/>
      </c>
      <c r="J98" s="121" t="str">
        <f t="shared" si="1"/>
        <v>Göteborg Energi AB</v>
      </c>
    </row>
    <row r="99" spans="1:10" x14ac:dyDescent="0.25">
      <c r="A99" s="137" t="s">
        <v>324</v>
      </c>
      <c r="B99" s="137" t="s">
        <v>326</v>
      </c>
      <c r="D99" s="121" t="str">
        <f>IF(ISERROR(1/VLOOKUP($B99,Kraftvärmeprod!$B$1:$D$479,MATCH("Total värmeproduktion i kraftvärmeverk i kombinerad drift (GWh)",Kraftvärmeprod!$B$1:$AV$1,0),FALSE)),"Ej kraftvärme","Alternativproduktionsmetoden")</f>
        <v>Alternativproduktionsmetoden</v>
      </c>
      <c r="E99" s="172">
        <f>IF(ISERROR(1/VLOOKUP($B99,Kraftvärmeprod!$B$1:$BD$479,MATCH("Total värmeproduktion i kraftvärmeverk i kombinerad drift (GWh)",Kraftvärmeprod!$B$1:$AV$1,0),FALSE)),"",VLOOKUP($B99,'Slutlig allokering kvv'!$B$1:$BC$479,MATCH(E$1,'Slutlig allokering kvv'!$B$1:$AU$1,0),FALSE))</f>
        <v>0.46500439007817423</v>
      </c>
      <c r="F99" s="121">
        <f>IF(ISERROR(1/VLOOKUP($B99,Kraftvärmeprod!$B$1:$AV$479,MATCH("Producerad elenergi i kraftvärmeverk (GWh)",Kraftvärmeprod!$B$1:$AV$1,0),FALSE)),"",VLOOKUP($B99,Kraftvärmeprod!$B$1:$AV$479,MATCH("Producerad elenergi i kraftvärmeverk (GWh)",Kraftvärmeprod!$B$1:$AV$1,0),FALSE))</f>
        <v>430.66699999999997</v>
      </c>
      <c r="G99" s="121">
        <f>IF(ISERROR(1/VLOOKUP($B99,Miljö!$B$1:$T$480,MATCH("Såld mängd produktionsspecifik fjärrvärme (GWh)",Miljö!$B$1:$T$1,0),FALSE)),"",VLOOKUP($B99,Miljö!$B$1:$T$480,MATCH("Såld mängd produktionsspecifik fjärrvärme (GWh)",Miljö!$B$1:$T$1,0),FALSE))</f>
        <v>130.49700000000001</v>
      </c>
      <c r="J99" s="121" t="str">
        <f t="shared" si="1"/>
        <v>Göteborg Energi AB</v>
      </c>
    </row>
    <row r="100" spans="1:10" x14ac:dyDescent="0.25">
      <c r="A100" s="137" t="s">
        <v>324</v>
      </c>
      <c r="B100" s="137" t="s">
        <v>328</v>
      </c>
      <c r="D100" s="121" t="str">
        <f>IF(ISERROR(1/VLOOKUP($B100,Kraftvärmeprod!$B$1:$D$479,MATCH("Total värmeproduktion i kraftvärmeverk i kombinerad drift (GWh)",Kraftvärmeprod!$B$1:$AV$1,0),FALSE)),"Ej kraftvärme","Alternativproduktionsmetoden")</f>
        <v>Alternativproduktionsmetoden</v>
      </c>
      <c r="E100" s="172">
        <f>IF(ISERROR(1/VLOOKUP($B100,Kraftvärmeprod!$B$1:$BD$479,MATCH("Total värmeproduktion i kraftvärmeverk i kombinerad drift (GWh)",Kraftvärmeprod!$B$1:$AV$1,0),FALSE)),"",VLOOKUP($B100,'Slutlig allokering kvv'!$B$1:$BC$479,MATCH(E$1,'Slutlig allokering kvv'!$B$1:$AU$1,0),FALSE))</f>
        <v>0.74583372544406545</v>
      </c>
      <c r="F100" s="121">
        <f>IF(ISERROR(1/VLOOKUP($B100,Kraftvärmeprod!$B$1:$AV$479,MATCH("Producerad elenergi i kraftvärmeverk (GWh)",Kraftvärmeprod!$B$1:$AV$1,0),FALSE)),"",VLOOKUP($B100,Kraftvärmeprod!$B$1:$AV$479,MATCH("Producerad elenergi i kraftvärmeverk (GWh)",Kraftvärmeprod!$B$1:$AV$1,0),FALSE))</f>
        <v>18.640999999999998</v>
      </c>
      <c r="G100" s="121" t="str">
        <f>IF(ISERROR(1/VLOOKUP($B100,Miljö!$B$1:$T$480,MATCH("Såld mängd produktionsspecifik fjärrvärme (GWh)",Miljö!$B$1:$T$1,0),FALSE)),"",VLOOKUP($B100,Miljö!$B$1:$T$480,MATCH("Såld mängd produktionsspecifik fjärrvärme (GWh)",Miljö!$B$1:$T$1,0),FALSE))</f>
        <v/>
      </c>
      <c r="J100" s="121" t="str">
        <f t="shared" si="1"/>
        <v>Göteborg Energi AB</v>
      </c>
    </row>
    <row r="101" spans="1:10" x14ac:dyDescent="0.25">
      <c r="A101" s="137" t="s">
        <v>324</v>
      </c>
      <c r="B101" s="137" t="s">
        <v>324</v>
      </c>
      <c r="D101" s="121" t="str">
        <f>IF(ISERROR(1/VLOOKUP($B101,Kraftvärmeprod!$B$1:$D$479,MATCH("Total värmeproduktion i kraftvärmeverk i kombinerad drift (GWh)",Kraftvärmeprod!$B$1:$AV$1,0),FALSE)),"Ej kraftvärme","Alternativproduktionsmetoden")</f>
        <v>Ej kraftvärme</v>
      </c>
      <c r="E101" s="172" t="str">
        <f>IF(ISERROR(1/VLOOKUP($B101,Kraftvärmeprod!$B$1:$BD$479,MATCH("Total värmeproduktion i kraftvärmeverk i kombinerad drift (GWh)",Kraftvärmeprod!$B$1:$AV$1,0),FALSE)),"",VLOOKUP($B101,'Slutlig allokering kvv'!$B$1:$BC$479,MATCH(E$1,'Slutlig allokering kvv'!$B$1:$AU$1,0),FALSE))</f>
        <v/>
      </c>
      <c r="F101" s="121" t="str">
        <f>IF(ISERROR(1/VLOOKUP($B101,Kraftvärmeprod!$B$1:$AV$479,MATCH("Producerad elenergi i kraftvärmeverk (GWh)",Kraftvärmeprod!$B$1:$AV$1,0),FALSE)),"",VLOOKUP($B101,Kraftvärmeprod!$B$1:$AV$479,MATCH("Producerad elenergi i kraftvärmeverk (GWh)",Kraftvärmeprod!$B$1:$AV$1,0),FALSE))</f>
        <v/>
      </c>
      <c r="G101" s="121" t="str">
        <f>IF(ISERROR(1/VLOOKUP($B101,Miljö!$B$1:$T$480,MATCH("Såld mängd produktionsspecifik fjärrvärme (GWh)",Miljö!$B$1:$T$1,0),FALSE)),"",VLOOKUP($B101,Miljö!$B$1:$T$480,MATCH("Såld mängd produktionsspecifik fjärrvärme (GWh)",Miljö!$B$1:$T$1,0),FALSE))</f>
        <v/>
      </c>
      <c r="J101" s="121" t="str">
        <f t="shared" si="1"/>
        <v>Göteborg Energi AB</v>
      </c>
    </row>
    <row r="102" spans="1:10" x14ac:dyDescent="0.25">
      <c r="A102" s="137" t="s">
        <v>324</v>
      </c>
      <c r="B102" s="137" t="s">
        <v>329</v>
      </c>
      <c r="D102" s="121" t="str">
        <f>IF(ISERROR(1/VLOOKUP($B102,Kraftvärmeprod!$B$1:$D$479,MATCH("Total värmeproduktion i kraftvärmeverk i kombinerad drift (GWh)",Kraftvärmeprod!$B$1:$AV$1,0),FALSE)),"Ej kraftvärme","Alternativproduktionsmetoden")</f>
        <v>Ej kraftvärme</v>
      </c>
      <c r="E102" s="172" t="str">
        <f>IF(ISERROR(1/VLOOKUP($B102,Kraftvärmeprod!$B$1:$BD$479,MATCH("Total värmeproduktion i kraftvärmeverk i kombinerad drift (GWh)",Kraftvärmeprod!$B$1:$AV$1,0),FALSE)),"",VLOOKUP($B102,'Slutlig allokering kvv'!$B$1:$BC$479,MATCH(E$1,'Slutlig allokering kvv'!$B$1:$AU$1,0),FALSE))</f>
        <v/>
      </c>
      <c r="F102" s="121" t="str">
        <f>IF(ISERROR(1/VLOOKUP($B102,Kraftvärmeprod!$B$1:$AV$479,MATCH("Producerad elenergi i kraftvärmeverk (GWh)",Kraftvärmeprod!$B$1:$AV$1,0),FALSE)),"",VLOOKUP($B102,Kraftvärmeprod!$B$1:$AV$479,MATCH("Producerad elenergi i kraftvärmeverk (GWh)",Kraftvärmeprod!$B$1:$AV$1,0),FALSE))</f>
        <v/>
      </c>
      <c r="G102" s="121" t="str">
        <f>IF(ISERROR(1/VLOOKUP($B102,Miljö!$B$1:$T$480,MATCH("Såld mängd produktionsspecifik fjärrvärme (GWh)",Miljö!$B$1:$T$1,0),FALSE)),"",VLOOKUP($B102,Miljö!$B$1:$T$480,MATCH("Såld mängd produktionsspecifik fjärrvärme (GWh)",Miljö!$B$1:$T$1,0),FALSE))</f>
        <v/>
      </c>
      <c r="J102" s="121" t="str">
        <f t="shared" si="1"/>
        <v>Göteborg Energi AB</v>
      </c>
    </row>
    <row r="103" spans="1:10" x14ac:dyDescent="0.25">
      <c r="A103" s="137" t="s">
        <v>324</v>
      </c>
      <c r="B103" s="137" t="s">
        <v>330</v>
      </c>
      <c r="D103" s="121" t="str">
        <f>IF(ISERROR(1/VLOOKUP($B103,Kraftvärmeprod!$B$1:$D$479,MATCH("Total värmeproduktion i kraftvärmeverk i kombinerad drift (GWh)",Kraftvärmeprod!$B$1:$AV$1,0),FALSE)),"Ej kraftvärme","Alternativproduktionsmetoden")</f>
        <v>Ej kraftvärme</v>
      </c>
      <c r="E103" s="172" t="str">
        <f>IF(ISERROR(1/VLOOKUP($B103,Kraftvärmeprod!$B$1:$BD$479,MATCH("Total värmeproduktion i kraftvärmeverk i kombinerad drift (GWh)",Kraftvärmeprod!$B$1:$AV$1,0),FALSE)),"",VLOOKUP($B103,'Slutlig allokering kvv'!$B$1:$BC$479,MATCH(E$1,'Slutlig allokering kvv'!$B$1:$AU$1,0),FALSE))</f>
        <v/>
      </c>
      <c r="F103" s="121" t="str">
        <f>IF(ISERROR(1/VLOOKUP($B103,Kraftvärmeprod!$B$1:$AV$479,MATCH("Producerad elenergi i kraftvärmeverk (GWh)",Kraftvärmeprod!$B$1:$AV$1,0),FALSE)),"",VLOOKUP($B103,Kraftvärmeprod!$B$1:$AV$479,MATCH("Producerad elenergi i kraftvärmeverk (GWh)",Kraftvärmeprod!$B$1:$AV$1,0),FALSE))</f>
        <v/>
      </c>
      <c r="G103" s="121" t="str">
        <f>IF(ISERROR(1/VLOOKUP($B103,Miljö!$B$1:$T$480,MATCH("Såld mängd produktionsspecifik fjärrvärme (GWh)",Miljö!$B$1:$T$1,0),FALSE)),"",VLOOKUP($B103,Miljö!$B$1:$T$480,MATCH("Såld mängd produktionsspecifik fjärrvärme (GWh)",Miljö!$B$1:$T$1,0),FALSE))</f>
        <v/>
      </c>
      <c r="J103" s="121" t="str">
        <f t="shared" si="1"/>
        <v>Göteborg Energi AB</v>
      </c>
    </row>
    <row r="104" spans="1:10" x14ac:dyDescent="0.25">
      <c r="A104" s="137" t="s">
        <v>324</v>
      </c>
      <c r="B104" s="137" t="s">
        <v>331</v>
      </c>
      <c r="D104" s="121" t="str">
        <f>IF(ISERROR(1/VLOOKUP($B104,Kraftvärmeprod!$B$1:$D$479,MATCH("Total värmeproduktion i kraftvärmeverk i kombinerad drift (GWh)",Kraftvärmeprod!$B$1:$AV$1,0),FALSE)),"Ej kraftvärme","Alternativproduktionsmetoden")</f>
        <v>Ej kraftvärme</v>
      </c>
      <c r="E104" s="172" t="str">
        <f>IF(ISERROR(1/VLOOKUP($B104,Kraftvärmeprod!$B$1:$BD$479,MATCH("Total värmeproduktion i kraftvärmeverk i kombinerad drift (GWh)",Kraftvärmeprod!$B$1:$AV$1,0),FALSE)),"",VLOOKUP($B104,'Slutlig allokering kvv'!$B$1:$BC$479,MATCH(E$1,'Slutlig allokering kvv'!$B$1:$AU$1,0),FALSE))</f>
        <v/>
      </c>
      <c r="F104" s="121" t="str">
        <f>IF(ISERROR(1/VLOOKUP($B104,Kraftvärmeprod!$B$1:$AV$479,MATCH("Producerad elenergi i kraftvärmeverk (GWh)",Kraftvärmeprod!$B$1:$AV$1,0),FALSE)),"",VLOOKUP($B104,Kraftvärmeprod!$B$1:$AV$479,MATCH("Producerad elenergi i kraftvärmeverk (GWh)",Kraftvärmeprod!$B$1:$AV$1,0),FALSE))</f>
        <v/>
      </c>
      <c r="G104" s="121" t="str">
        <f>IF(ISERROR(1/VLOOKUP($B104,Miljö!$B$1:$T$480,MATCH("Såld mängd produktionsspecifik fjärrvärme (GWh)",Miljö!$B$1:$T$1,0),FALSE)),"",VLOOKUP($B104,Miljö!$B$1:$T$480,MATCH("Såld mängd produktionsspecifik fjärrvärme (GWh)",Miljö!$B$1:$T$1,0),FALSE))</f>
        <v/>
      </c>
      <c r="J104" s="121" t="str">
        <f t="shared" si="1"/>
        <v>Göteborg Energi AB</v>
      </c>
    </row>
    <row r="105" spans="1:10" x14ac:dyDescent="0.25">
      <c r="A105" s="137" t="s">
        <v>332</v>
      </c>
      <c r="B105" s="137" t="s">
        <v>333</v>
      </c>
      <c r="D105" s="121" t="str">
        <f>IF(ISERROR(1/VLOOKUP($B105,Kraftvärmeprod!$B$1:$D$479,MATCH("Total värmeproduktion i kraftvärmeverk i kombinerad drift (GWh)",Kraftvärmeprod!$B$1:$AV$1,0),FALSE)),"Ej kraftvärme","Alternativproduktionsmetoden")</f>
        <v>Ej kraftvärme</v>
      </c>
      <c r="E105" s="172" t="str">
        <f>IF(ISERROR(1/VLOOKUP($B105,Kraftvärmeprod!$B$1:$BD$479,MATCH("Total värmeproduktion i kraftvärmeverk i kombinerad drift (GWh)",Kraftvärmeprod!$B$1:$AV$1,0),FALSE)),"",VLOOKUP($B105,'Slutlig allokering kvv'!$B$1:$BC$479,MATCH(E$1,'Slutlig allokering kvv'!$B$1:$AU$1,0),FALSE))</f>
        <v/>
      </c>
      <c r="F105" s="121" t="str">
        <f>IF(ISERROR(1/VLOOKUP($B105,Kraftvärmeprod!$B$1:$AV$479,MATCH("Producerad elenergi i kraftvärmeverk (GWh)",Kraftvärmeprod!$B$1:$AV$1,0),FALSE)),"",VLOOKUP($B105,Kraftvärmeprod!$B$1:$AV$479,MATCH("Producerad elenergi i kraftvärmeverk (GWh)",Kraftvärmeprod!$B$1:$AV$1,0),FALSE))</f>
        <v/>
      </c>
      <c r="G105" s="121" t="str">
        <f>IF(ISERROR(1/VLOOKUP($B105,Miljö!$B$1:$T$480,MATCH("Såld mängd produktionsspecifik fjärrvärme (GWh)",Miljö!$B$1:$T$1,0),FALSE)),"",VLOOKUP($B105,Miljö!$B$1:$T$480,MATCH("Såld mängd produktionsspecifik fjärrvärme (GWh)",Miljö!$B$1:$T$1,0),FALSE))</f>
        <v/>
      </c>
      <c r="J105" s="121" t="str">
        <f t="shared" si="1"/>
        <v>Götene Vatten &amp; Värme AB</v>
      </c>
    </row>
    <row r="106" spans="1:10" x14ac:dyDescent="0.25">
      <c r="A106" s="137" t="s">
        <v>332</v>
      </c>
      <c r="B106" s="137" t="s">
        <v>334</v>
      </c>
      <c r="D106" s="121" t="str">
        <f>IF(ISERROR(1/VLOOKUP($B106,Kraftvärmeprod!$B$1:$D$479,MATCH("Total värmeproduktion i kraftvärmeverk i kombinerad drift (GWh)",Kraftvärmeprod!$B$1:$AV$1,0),FALSE)),"Ej kraftvärme","Alternativproduktionsmetoden")</f>
        <v>Ej kraftvärme</v>
      </c>
      <c r="E106" s="172" t="str">
        <f>IF(ISERROR(1/VLOOKUP($B106,Kraftvärmeprod!$B$1:$BD$479,MATCH("Total värmeproduktion i kraftvärmeverk i kombinerad drift (GWh)",Kraftvärmeprod!$B$1:$AV$1,0),FALSE)),"",VLOOKUP($B106,'Slutlig allokering kvv'!$B$1:$BC$479,MATCH(E$1,'Slutlig allokering kvv'!$B$1:$AU$1,0),FALSE))</f>
        <v/>
      </c>
      <c r="F106" s="121" t="str">
        <f>IF(ISERROR(1/VLOOKUP($B106,Kraftvärmeprod!$B$1:$AV$479,MATCH("Producerad elenergi i kraftvärmeverk (GWh)",Kraftvärmeprod!$B$1:$AV$1,0),FALSE)),"",VLOOKUP($B106,Kraftvärmeprod!$B$1:$AV$479,MATCH("Producerad elenergi i kraftvärmeverk (GWh)",Kraftvärmeprod!$B$1:$AV$1,0),FALSE))</f>
        <v/>
      </c>
      <c r="G106" s="121" t="str">
        <f>IF(ISERROR(1/VLOOKUP($B106,Miljö!$B$1:$T$480,MATCH("Såld mängd produktionsspecifik fjärrvärme (GWh)",Miljö!$B$1:$T$1,0),FALSE)),"",VLOOKUP($B106,Miljö!$B$1:$T$480,MATCH("Såld mängd produktionsspecifik fjärrvärme (GWh)",Miljö!$B$1:$T$1,0),FALSE))</f>
        <v/>
      </c>
      <c r="J106" s="121" t="str">
        <f t="shared" si="1"/>
        <v>Götene Vatten &amp; Värme AB</v>
      </c>
    </row>
    <row r="107" spans="1:10" x14ac:dyDescent="0.25">
      <c r="A107" s="137" t="s">
        <v>335</v>
      </c>
      <c r="B107" s="137" t="s">
        <v>336</v>
      </c>
      <c r="D107" s="121" t="str">
        <f>IF(ISERROR(1/VLOOKUP($B107,Kraftvärmeprod!$B$1:$D$479,MATCH("Total värmeproduktion i kraftvärmeverk i kombinerad drift (GWh)",Kraftvärmeprod!$B$1:$AV$1,0),FALSE)),"Ej kraftvärme","Alternativproduktionsmetoden")</f>
        <v>Ej kraftvärme</v>
      </c>
      <c r="E107" s="172" t="str">
        <f>IF(ISERROR(1/VLOOKUP($B107,Kraftvärmeprod!$B$1:$BD$479,MATCH("Total värmeproduktion i kraftvärmeverk i kombinerad drift (GWh)",Kraftvärmeprod!$B$1:$AV$1,0),FALSE)),"",VLOOKUP($B107,'Slutlig allokering kvv'!$B$1:$BC$479,MATCH(E$1,'Slutlig allokering kvv'!$B$1:$AU$1,0),FALSE))</f>
        <v/>
      </c>
      <c r="F107" s="121" t="str">
        <f>IF(ISERROR(1/VLOOKUP($B107,Kraftvärmeprod!$B$1:$AV$479,MATCH("Producerad elenergi i kraftvärmeverk (GWh)",Kraftvärmeprod!$B$1:$AV$1,0),FALSE)),"",VLOOKUP($B107,Kraftvärmeprod!$B$1:$AV$479,MATCH("Producerad elenergi i kraftvärmeverk (GWh)",Kraftvärmeprod!$B$1:$AV$1,0),FALSE))</f>
        <v/>
      </c>
      <c r="G107" s="121" t="str">
        <f>IF(ISERROR(1/VLOOKUP($B107,Miljö!$B$1:$T$480,MATCH("Såld mängd produktionsspecifik fjärrvärme (GWh)",Miljö!$B$1:$T$1,0),FALSE)),"",VLOOKUP($B107,Miljö!$B$1:$T$480,MATCH("Såld mängd produktionsspecifik fjärrvärme (GWh)",Miljö!$B$1:$T$1,0),FALSE))</f>
        <v/>
      </c>
      <c r="J107" s="121" t="str">
        <f t="shared" si="1"/>
        <v>Habo Energi AB</v>
      </c>
    </row>
    <row r="108" spans="1:10" x14ac:dyDescent="0.25">
      <c r="A108" s="137" t="s">
        <v>337</v>
      </c>
      <c r="B108" s="137" t="s">
        <v>338</v>
      </c>
      <c r="D108" s="121" t="str">
        <f>IF(ISERROR(1/VLOOKUP($B108,Kraftvärmeprod!$B$1:$D$479,MATCH("Total värmeproduktion i kraftvärmeverk i kombinerad drift (GWh)",Kraftvärmeprod!$B$1:$AV$1,0),FALSE)),"Ej kraftvärme","Alternativproduktionsmetoden")</f>
        <v>Ej kraftvärme</v>
      </c>
      <c r="E108" s="172" t="str">
        <f>IF(ISERROR(1/VLOOKUP($B108,Kraftvärmeprod!$B$1:$BD$479,MATCH("Total värmeproduktion i kraftvärmeverk i kombinerad drift (GWh)",Kraftvärmeprod!$B$1:$AV$1,0),FALSE)),"",VLOOKUP($B108,'Slutlig allokering kvv'!$B$1:$BC$479,MATCH(E$1,'Slutlig allokering kvv'!$B$1:$AU$1,0),FALSE))</f>
        <v/>
      </c>
      <c r="F108" s="121" t="str">
        <f>IF(ISERROR(1/VLOOKUP($B108,Kraftvärmeprod!$B$1:$AV$479,MATCH("Producerad elenergi i kraftvärmeverk (GWh)",Kraftvärmeprod!$B$1:$AV$1,0),FALSE)),"",VLOOKUP($B108,Kraftvärmeprod!$B$1:$AV$479,MATCH("Producerad elenergi i kraftvärmeverk (GWh)",Kraftvärmeprod!$B$1:$AV$1,0),FALSE))</f>
        <v/>
      </c>
      <c r="G108" s="121" t="str">
        <f>IF(ISERROR(1/VLOOKUP($B108,Miljö!$B$1:$T$480,MATCH("Såld mängd produktionsspecifik fjärrvärme (GWh)",Miljö!$B$1:$T$1,0),FALSE)),"",VLOOKUP($B108,Miljö!$B$1:$T$480,MATCH("Såld mängd produktionsspecifik fjärrvärme (GWh)",Miljö!$B$1:$T$1,0),FALSE))</f>
        <v/>
      </c>
      <c r="J108" s="121" t="str">
        <f t="shared" si="1"/>
        <v>Hagfors Energi</v>
      </c>
    </row>
    <row r="109" spans="1:10" x14ac:dyDescent="0.25">
      <c r="A109" s="137" t="s">
        <v>337</v>
      </c>
      <c r="B109" s="137" t="s">
        <v>339</v>
      </c>
      <c r="D109" s="121" t="str">
        <f>IF(ISERROR(1/VLOOKUP($B109,Kraftvärmeprod!$B$1:$D$479,MATCH("Total värmeproduktion i kraftvärmeverk i kombinerad drift (GWh)",Kraftvärmeprod!$B$1:$AV$1,0),FALSE)),"Ej kraftvärme","Alternativproduktionsmetoden")</f>
        <v>Ej kraftvärme</v>
      </c>
      <c r="E109" s="172" t="str">
        <f>IF(ISERROR(1/VLOOKUP($B109,Kraftvärmeprod!$B$1:$BD$479,MATCH("Total värmeproduktion i kraftvärmeverk i kombinerad drift (GWh)",Kraftvärmeprod!$B$1:$AV$1,0),FALSE)),"",VLOOKUP($B109,'Slutlig allokering kvv'!$B$1:$BC$479,MATCH(E$1,'Slutlig allokering kvv'!$B$1:$AU$1,0),FALSE))</f>
        <v/>
      </c>
      <c r="F109" s="121" t="str">
        <f>IF(ISERROR(1/VLOOKUP($B109,Kraftvärmeprod!$B$1:$AV$479,MATCH("Producerad elenergi i kraftvärmeverk (GWh)",Kraftvärmeprod!$B$1:$AV$1,0),FALSE)),"",VLOOKUP($B109,Kraftvärmeprod!$B$1:$AV$479,MATCH("Producerad elenergi i kraftvärmeverk (GWh)",Kraftvärmeprod!$B$1:$AV$1,0),FALSE))</f>
        <v/>
      </c>
      <c r="G109" s="121" t="str">
        <f>IF(ISERROR(1/VLOOKUP($B109,Miljö!$B$1:$T$480,MATCH("Såld mängd produktionsspecifik fjärrvärme (GWh)",Miljö!$B$1:$T$1,0),FALSE)),"",VLOOKUP($B109,Miljö!$B$1:$T$480,MATCH("Såld mängd produktionsspecifik fjärrvärme (GWh)",Miljö!$B$1:$T$1,0),FALSE))</f>
        <v/>
      </c>
      <c r="J109" s="121" t="str">
        <f t="shared" si="1"/>
        <v>Hagfors Energi</v>
      </c>
    </row>
    <row r="110" spans="1:10" x14ac:dyDescent="0.25">
      <c r="A110" s="137" t="s">
        <v>337</v>
      </c>
      <c r="B110" s="137" t="s">
        <v>340</v>
      </c>
      <c r="D110" s="121" t="str">
        <f>IF(ISERROR(1/VLOOKUP($B110,Kraftvärmeprod!$B$1:$D$479,MATCH("Total värmeproduktion i kraftvärmeverk i kombinerad drift (GWh)",Kraftvärmeprod!$B$1:$AV$1,0),FALSE)),"Ej kraftvärme","Alternativproduktionsmetoden")</f>
        <v>Ej kraftvärme</v>
      </c>
      <c r="E110" s="172" t="str">
        <f>IF(ISERROR(1/VLOOKUP($B110,Kraftvärmeprod!$B$1:$BD$479,MATCH("Total värmeproduktion i kraftvärmeverk i kombinerad drift (GWh)",Kraftvärmeprod!$B$1:$AV$1,0),FALSE)),"",VLOOKUP($B110,'Slutlig allokering kvv'!$B$1:$BC$479,MATCH(E$1,'Slutlig allokering kvv'!$B$1:$AU$1,0),FALSE))</f>
        <v/>
      </c>
      <c r="F110" s="121" t="str">
        <f>IF(ISERROR(1/VLOOKUP($B110,Kraftvärmeprod!$B$1:$AV$479,MATCH("Producerad elenergi i kraftvärmeverk (GWh)",Kraftvärmeprod!$B$1:$AV$1,0),FALSE)),"",VLOOKUP($B110,Kraftvärmeprod!$B$1:$AV$479,MATCH("Producerad elenergi i kraftvärmeverk (GWh)",Kraftvärmeprod!$B$1:$AV$1,0),FALSE))</f>
        <v/>
      </c>
      <c r="G110" s="121" t="str">
        <f>IF(ISERROR(1/VLOOKUP($B110,Miljö!$B$1:$T$480,MATCH("Såld mängd produktionsspecifik fjärrvärme (GWh)",Miljö!$B$1:$T$1,0),FALSE)),"",VLOOKUP($B110,Miljö!$B$1:$T$480,MATCH("Såld mängd produktionsspecifik fjärrvärme (GWh)",Miljö!$B$1:$T$1,0),FALSE))</f>
        <v/>
      </c>
      <c r="J110" s="121" t="str">
        <f t="shared" si="1"/>
        <v>Hagfors Energi</v>
      </c>
    </row>
    <row r="111" spans="1:10" x14ac:dyDescent="0.25">
      <c r="A111" s="137" t="s">
        <v>341</v>
      </c>
      <c r="B111" s="137" t="s">
        <v>342</v>
      </c>
      <c r="D111" s="121" t="str">
        <f>IF(ISERROR(1/VLOOKUP($B111,Kraftvärmeprod!$B$1:$D$479,MATCH("Total värmeproduktion i kraftvärmeverk i kombinerad drift (GWh)",Kraftvärmeprod!$B$1:$AV$1,0),FALSE)),"Ej kraftvärme","Alternativproduktionsmetoden")</f>
        <v>Alternativproduktionsmetoden</v>
      </c>
      <c r="E111" s="172">
        <f>IF(ISERROR(1/VLOOKUP($B111,Kraftvärmeprod!$B$1:$BD$479,MATCH("Total värmeproduktion i kraftvärmeverk i kombinerad drift (GWh)",Kraftvärmeprod!$B$1:$AV$1,0),FALSE)),"",VLOOKUP($B111,'Slutlig allokering kvv'!$B$1:$BC$479,MATCH(E$1,'Slutlig allokering kvv'!$B$1:$AU$1,0),FALSE))</f>
        <v>0.60198861884082144</v>
      </c>
      <c r="F111" s="121">
        <f>IF(ISERROR(1/VLOOKUP($B111,Kraftvärmeprod!$B$1:$AV$479,MATCH("Producerad elenergi i kraftvärmeverk (GWh)",Kraftvärmeprod!$B$1:$AV$1,0),FALSE)),"",VLOOKUP($B111,Kraftvärmeprod!$B$1:$AV$479,MATCH("Producerad elenergi i kraftvärmeverk (GWh)",Kraftvärmeprod!$B$1:$AV$1,0),FALSE))</f>
        <v>73.2</v>
      </c>
      <c r="G111" s="121">
        <f>IF(ISERROR(1/VLOOKUP($B111,Miljö!$B$1:$T$480,MATCH("Såld mängd produktionsspecifik fjärrvärme (GWh)",Miljö!$B$1:$T$1,0),FALSE)),"",VLOOKUP($B111,Miljö!$B$1:$T$480,MATCH("Såld mängd produktionsspecifik fjärrvärme (GWh)",Miljö!$B$1:$T$1,0),FALSE))</f>
        <v>1.5</v>
      </c>
      <c r="J111" s="121" t="str">
        <f t="shared" si="1"/>
        <v>Halmstads Energi och Miljö AB</v>
      </c>
    </row>
    <row r="112" spans="1:10" x14ac:dyDescent="0.25">
      <c r="A112" s="137" t="s">
        <v>343</v>
      </c>
      <c r="B112" s="137" t="s">
        <v>344</v>
      </c>
      <c r="D112" s="121" t="str">
        <f>IF(ISERROR(1/VLOOKUP($B112,Kraftvärmeprod!$B$1:$D$479,MATCH("Total värmeproduktion i kraftvärmeverk i kombinerad drift (GWh)",Kraftvärmeprod!$B$1:$AV$1,0),FALSE)),"Ej kraftvärme","Alternativproduktionsmetoden")</f>
        <v>Ej kraftvärme</v>
      </c>
      <c r="E112" s="172" t="str">
        <f>IF(ISERROR(1/VLOOKUP($B112,Kraftvärmeprod!$B$1:$BD$479,MATCH("Total värmeproduktion i kraftvärmeverk i kombinerad drift (GWh)",Kraftvärmeprod!$B$1:$AV$1,0),FALSE)),"",VLOOKUP($B112,'Slutlig allokering kvv'!$B$1:$BC$479,MATCH(E$1,'Slutlig allokering kvv'!$B$1:$AU$1,0),FALSE))</f>
        <v/>
      </c>
      <c r="F112" s="121" t="str">
        <f>IF(ISERROR(1/VLOOKUP($B112,Kraftvärmeprod!$B$1:$AV$479,MATCH("Producerad elenergi i kraftvärmeverk (GWh)",Kraftvärmeprod!$B$1:$AV$1,0),FALSE)),"",VLOOKUP($B112,Kraftvärmeprod!$B$1:$AV$479,MATCH("Producerad elenergi i kraftvärmeverk (GWh)",Kraftvärmeprod!$B$1:$AV$1,0),FALSE))</f>
        <v/>
      </c>
      <c r="G112" s="121" t="str">
        <f>IF(ISERROR(1/VLOOKUP($B112,Miljö!$B$1:$T$480,MATCH("Såld mängd produktionsspecifik fjärrvärme (GWh)",Miljö!$B$1:$T$1,0),FALSE)),"",VLOOKUP($B112,Miljö!$B$1:$T$480,MATCH("Såld mängd produktionsspecifik fjärrvärme (GWh)",Miljö!$B$1:$T$1,0),FALSE))</f>
        <v/>
      </c>
      <c r="J112" s="121" t="str">
        <f t="shared" si="1"/>
        <v>Hammarö Energi AB</v>
      </c>
    </row>
    <row r="113" spans="1:10" x14ac:dyDescent="0.25">
      <c r="A113" s="137" t="s">
        <v>345</v>
      </c>
      <c r="B113" s="137" t="s">
        <v>346</v>
      </c>
      <c r="D113" s="121" t="str">
        <f>IF(ISERROR(1/VLOOKUP($B113,Kraftvärmeprod!$B$1:$D$479,MATCH("Total värmeproduktion i kraftvärmeverk i kombinerad drift (GWh)",Kraftvärmeprod!$B$1:$AV$1,0),FALSE)),"Ej kraftvärme","Alternativproduktionsmetoden")</f>
        <v>Ej kraftvärme</v>
      </c>
      <c r="E113" s="172" t="str">
        <f>IF(ISERROR(1/VLOOKUP($B113,Kraftvärmeprod!$B$1:$BD$479,MATCH("Total värmeproduktion i kraftvärmeverk i kombinerad drift (GWh)",Kraftvärmeprod!$B$1:$AV$1,0),FALSE)),"",VLOOKUP($B113,'Slutlig allokering kvv'!$B$1:$BC$479,MATCH(E$1,'Slutlig allokering kvv'!$B$1:$AU$1,0),FALSE))</f>
        <v/>
      </c>
      <c r="F113" s="121" t="str">
        <f>IF(ISERROR(1/VLOOKUP($B113,Kraftvärmeprod!$B$1:$AV$479,MATCH("Producerad elenergi i kraftvärmeverk (GWh)",Kraftvärmeprod!$B$1:$AV$1,0),FALSE)),"",VLOOKUP($B113,Kraftvärmeprod!$B$1:$AV$479,MATCH("Producerad elenergi i kraftvärmeverk (GWh)",Kraftvärmeprod!$B$1:$AV$1,0),FALSE))</f>
        <v/>
      </c>
      <c r="G113" s="121" t="str">
        <f>IF(ISERROR(1/VLOOKUP($B113,Miljö!$B$1:$T$480,MATCH("Såld mängd produktionsspecifik fjärrvärme (GWh)",Miljö!$B$1:$T$1,0),FALSE)),"",VLOOKUP($B113,Miljö!$B$1:$T$480,MATCH("Såld mängd produktionsspecifik fjärrvärme (GWh)",Miljö!$B$1:$T$1,0),FALSE))</f>
        <v/>
      </c>
      <c r="J113" s="121" t="str">
        <f t="shared" si="1"/>
        <v>Haparanda Värmeverk AB</v>
      </c>
    </row>
    <row r="114" spans="1:10" x14ac:dyDescent="0.25">
      <c r="A114" s="137" t="s">
        <v>345</v>
      </c>
      <c r="B114" s="137" t="s">
        <v>347</v>
      </c>
      <c r="D114" s="121" t="str">
        <f>IF(ISERROR(1/VLOOKUP($B114,Kraftvärmeprod!$B$1:$D$479,MATCH("Total värmeproduktion i kraftvärmeverk i kombinerad drift (GWh)",Kraftvärmeprod!$B$1:$AV$1,0),FALSE)),"Ej kraftvärme","Alternativproduktionsmetoden")</f>
        <v>Ej kraftvärme</v>
      </c>
      <c r="E114" s="172" t="str">
        <f>IF(ISERROR(1/VLOOKUP($B114,Kraftvärmeprod!$B$1:$BD$479,MATCH("Total värmeproduktion i kraftvärmeverk i kombinerad drift (GWh)",Kraftvärmeprod!$B$1:$AV$1,0),FALSE)),"",VLOOKUP($B114,'Slutlig allokering kvv'!$B$1:$BC$479,MATCH(E$1,'Slutlig allokering kvv'!$B$1:$AU$1,0),FALSE))</f>
        <v/>
      </c>
      <c r="F114" s="121" t="str">
        <f>IF(ISERROR(1/VLOOKUP($B114,Kraftvärmeprod!$B$1:$AV$479,MATCH("Producerad elenergi i kraftvärmeverk (GWh)",Kraftvärmeprod!$B$1:$AV$1,0),FALSE)),"",VLOOKUP($B114,Kraftvärmeprod!$B$1:$AV$479,MATCH("Producerad elenergi i kraftvärmeverk (GWh)",Kraftvärmeprod!$B$1:$AV$1,0),FALSE))</f>
        <v/>
      </c>
      <c r="G114" s="121" t="str">
        <f>IF(ISERROR(1/VLOOKUP($B114,Miljö!$B$1:$T$480,MATCH("Såld mängd produktionsspecifik fjärrvärme (GWh)",Miljö!$B$1:$T$1,0),FALSE)),"",VLOOKUP($B114,Miljö!$B$1:$T$480,MATCH("Såld mängd produktionsspecifik fjärrvärme (GWh)",Miljö!$B$1:$T$1,0),FALSE))</f>
        <v/>
      </c>
      <c r="J114" s="121" t="str">
        <f t="shared" si="1"/>
        <v>Haparanda Värmeverk AB</v>
      </c>
    </row>
    <row r="115" spans="1:10" x14ac:dyDescent="0.25">
      <c r="A115" s="137" t="s">
        <v>348</v>
      </c>
      <c r="B115" s="137" t="s">
        <v>349</v>
      </c>
      <c r="D115" s="121" t="str">
        <f>IF(ISERROR(1/VLOOKUP($B115,Kraftvärmeprod!$B$1:$D$479,MATCH("Total värmeproduktion i kraftvärmeverk i kombinerad drift (GWh)",Kraftvärmeprod!$B$1:$AV$1,0),FALSE)),"Ej kraftvärme","Alternativproduktionsmetoden")</f>
        <v>Alternativproduktionsmetoden</v>
      </c>
      <c r="E115" s="172">
        <f>IF(ISERROR(1/VLOOKUP($B115,Kraftvärmeprod!$B$1:$BD$479,MATCH("Total värmeproduktion i kraftvärmeverk i kombinerad drift (GWh)",Kraftvärmeprod!$B$1:$AV$1,0),FALSE)),"",VLOOKUP($B115,'Slutlig allokering kvv'!$B$1:$BC$479,MATCH(E$1,'Slutlig allokering kvv'!$B$1:$AU$1,0),FALSE))</f>
        <v>0.7474828282828283</v>
      </c>
      <c r="F115" s="121">
        <f>IF(ISERROR(1/VLOOKUP($B115,Kraftvärmeprod!$B$1:$AV$479,MATCH("Producerad elenergi i kraftvärmeverk (GWh)",Kraftvärmeprod!$B$1:$AV$1,0),FALSE)),"",VLOOKUP($B115,Kraftvärmeprod!$B$1:$AV$479,MATCH("Producerad elenergi i kraftvärmeverk (GWh)",Kraftvärmeprod!$B$1:$AV$1,0),FALSE))</f>
        <v>5.6</v>
      </c>
      <c r="G115" s="121" t="str">
        <f>IF(ISERROR(1/VLOOKUP($B115,Miljö!$B$1:$T$480,MATCH("Såld mängd produktionsspecifik fjärrvärme (GWh)",Miljö!$B$1:$T$1,0),FALSE)),"",VLOOKUP($B115,Miljö!$B$1:$T$480,MATCH("Såld mängd produktionsspecifik fjärrvärme (GWh)",Miljö!$B$1:$T$1,0),FALSE))</f>
        <v/>
      </c>
      <c r="J115" s="121" t="str">
        <f t="shared" si="1"/>
        <v>Hedemora Energi AB</v>
      </c>
    </row>
    <row r="116" spans="1:10" x14ac:dyDescent="0.25">
      <c r="A116" s="137" t="s">
        <v>348</v>
      </c>
      <c r="B116" s="137" t="s">
        <v>350</v>
      </c>
      <c r="D116" s="121" t="str">
        <f>IF(ISERROR(1/VLOOKUP($B116,Kraftvärmeprod!$B$1:$D$479,MATCH("Total värmeproduktion i kraftvärmeverk i kombinerad drift (GWh)",Kraftvärmeprod!$B$1:$AV$1,0),FALSE)),"Ej kraftvärme","Alternativproduktionsmetoden")</f>
        <v>Ej kraftvärme</v>
      </c>
      <c r="E116" s="172" t="str">
        <f>IF(ISERROR(1/VLOOKUP($B116,Kraftvärmeprod!$B$1:$BD$479,MATCH("Total värmeproduktion i kraftvärmeverk i kombinerad drift (GWh)",Kraftvärmeprod!$B$1:$AV$1,0),FALSE)),"",VLOOKUP($B116,'Slutlig allokering kvv'!$B$1:$BC$479,MATCH(E$1,'Slutlig allokering kvv'!$B$1:$AU$1,0),FALSE))</f>
        <v/>
      </c>
      <c r="F116" s="121" t="str">
        <f>IF(ISERROR(1/VLOOKUP($B116,Kraftvärmeprod!$B$1:$AV$479,MATCH("Producerad elenergi i kraftvärmeverk (GWh)",Kraftvärmeprod!$B$1:$AV$1,0),FALSE)),"",VLOOKUP($B116,Kraftvärmeprod!$B$1:$AV$479,MATCH("Producerad elenergi i kraftvärmeverk (GWh)",Kraftvärmeprod!$B$1:$AV$1,0),FALSE))</f>
        <v/>
      </c>
      <c r="G116" s="121" t="str">
        <f>IF(ISERROR(1/VLOOKUP($B116,Miljö!$B$1:$T$480,MATCH("Såld mängd produktionsspecifik fjärrvärme (GWh)",Miljö!$B$1:$T$1,0),FALSE)),"",VLOOKUP($B116,Miljö!$B$1:$T$480,MATCH("Såld mängd produktionsspecifik fjärrvärme (GWh)",Miljö!$B$1:$T$1,0),FALSE))</f>
        <v/>
      </c>
      <c r="J116" s="121" t="str">
        <f t="shared" si="1"/>
        <v>Hedemora Energi AB</v>
      </c>
    </row>
    <row r="117" spans="1:10" x14ac:dyDescent="0.25">
      <c r="A117" s="137" t="s">
        <v>348</v>
      </c>
      <c r="B117" s="137" t="s">
        <v>351</v>
      </c>
      <c r="D117" s="121" t="str">
        <f>IF(ISERROR(1/VLOOKUP($B117,Kraftvärmeprod!$B$1:$D$479,MATCH("Total värmeproduktion i kraftvärmeverk i kombinerad drift (GWh)",Kraftvärmeprod!$B$1:$AV$1,0),FALSE)),"Ej kraftvärme","Alternativproduktionsmetoden")</f>
        <v>Ej kraftvärme</v>
      </c>
      <c r="E117" s="172" t="str">
        <f>IF(ISERROR(1/VLOOKUP($B117,Kraftvärmeprod!$B$1:$BD$479,MATCH("Total värmeproduktion i kraftvärmeverk i kombinerad drift (GWh)",Kraftvärmeprod!$B$1:$AV$1,0),FALSE)),"",VLOOKUP($B117,'Slutlig allokering kvv'!$B$1:$BC$479,MATCH(E$1,'Slutlig allokering kvv'!$B$1:$AU$1,0),FALSE))</f>
        <v/>
      </c>
      <c r="F117" s="121" t="str">
        <f>IF(ISERROR(1/VLOOKUP($B117,Kraftvärmeprod!$B$1:$AV$479,MATCH("Producerad elenergi i kraftvärmeverk (GWh)",Kraftvärmeprod!$B$1:$AV$1,0),FALSE)),"",VLOOKUP($B117,Kraftvärmeprod!$B$1:$AV$479,MATCH("Producerad elenergi i kraftvärmeverk (GWh)",Kraftvärmeprod!$B$1:$AV$1,0),FALSE))</f>
        <v/>
      </c>
      <c r="G117" s="121" t="str">
        <f>IF(ISERROR(1/VLOOKUP($B117,Miljö!$B$1:$T$480,MATCH("Såld mängd produktionsspecifik fjärrvärme (GWh)",Miljö!$B$1:$T$1,0),FALSE)),"",VLOOKUP($B117,Miljö!$B$1:$T$480,MATCH("Såld mängd produktionsspecifik fjärrvärme (GWh)",Miljö!$B$1:$T$1,0),FALSE))</f>
        <v/>
      </c>
      <c r="J117" s="121" t="str">
        <f t="shared" si="1"/>
        <v>Hedemora Energi AB</v>
      </c>
    </row>
    <row r="118" spans="1:10" x14ac:dyDescent="0.25">
      <c r="A118" s="137" t="s">
        <v>348</v>
      </c>
      <c r="B118" s="137" t="s">
        <v>352</v>
      </c>
      <c r="D118" s="121" t="str">
        <f>IF(ISERROR(1/VLOOKUP($B118,Kraftvärmeprod!$B$1:$D$479,MATCH("Total värmeproduktion i kraftvärmeverk i kombinerad drift (GWh)",Kraftvärmeprod!$B$1:$AV$1,0),FALSE)),"Ej kraftvärme","Alternativproduktionsmetoden")</f>
        <v>Alternativproduktionsmetoden</v>
      </c>
      <c r="E118" s="172">
        <f>IF(ISERROR(1/VLOOKUP($B118,Kraftvärmeprod!$B$1:$BD$479,MATCH("Total värmeproduktion i kraftvärmeverk i kombinerad drift (GWh)",Kraftvärmeprod!$B$1:$AV$1,0),FALSE)),"",VLOOKUP($B118,'Slutlig allokering kvv'!$B$1:$BC$479,MATCH(E$1,'Slutlig allokering kvv'!$B$1:$AU$1,0),FALSE))</f>
        <v>0.68728581560283686</v>
      </c>
      <c r="F118" s="121">
        <f>IF(ISERROR(1/VLOOKUP($B118,Kraftvärmeprod!$B$1:$AV$479,MATCH("Producerad elenergi i kraftvärmeverk (GWh)",Kraftvärmeprod!$B$1:$AV$1,0),FALSE)),"",VLOOKUP($B118,Kraftvärmeprod!$B$1:$AV$479,MATCH("Producerad elenergi i kraftvärmeverk (GWh)",Kraftvärmeprod!$B$1:$AV$1,0),FALSE))</f>
        <v>5.36</v>
      </c>
      <c r="G118" s="121" t="str">
        <f>IF(ISERROR(1/VLOOKUP($B118,Miljö!$B$1:$T$480,MATCH("Såld mängd produktionsspecifik fjärrvärme (GWh)",Miljö!$B$1:$T$1,0),FALSE)),"",VLOOKUP($B118,Miljö!$B$1:$T$480,MATCH("Såld mängd produktionsspecifik fjärrvärme (GWh)",Miljö!$B$1:$T$1,0),FALSE))</f>
        <v/>
      </c>
      <c r="J118" s="121" t="str">
        <f t="shared" si="1"/>
        <v>Hedemora Energi AB</v>
      </c>
    </row>
    <row r="119" spans="1:10" x14ac:dyDescent="0.25">
      <c r="A119" s="137" t="s">
        <v>353</v>
      </c>
      <c r="B119" s="137" t="s">
        <v>78</v>
      </c>
      <c r="D119" s="121" t="str">
        <f>IF(ISERROR(1/VLOOKUP($B119,Kraftvärmeprod!$B$1:$D$479,MATCH("Total värmeproduktion i kraftvärmeverk i kombinerad drift (GWh)",Kraftvärmeprod!$B$1:$AV$1,0),FALSE)),"Ej kraftvärme","Alternativproduktionsmetoden")</f>
        <v>Ej kraftvärme</v>
      </c>
      <c r="E119" s="172" t="str">
        <f>IF(ISERROR(1/VLOOKUP($B119,Kraftvärmeprod!$B$1:$BD$479,MATCH("Total värmeproduktion i kraftvärmeverk i kombinerad drift (GWh)",Kraftvärmeprod!$B$1:$AV$1,0),FALSE)),"",VLOOKUP($B119,'Slutlig allokering kvv'!$B$1:$BC$479,MATCH(E$1,'Slutlig allokering kvv'!$B$1:$AU$1,0),FALSE))</f>
        <v/>
      </c>
      <c r="F119" s="121" t="str">
        <f>IF(ISERROR(1/VLOOKUP($B119,Kraftvärmeprod!$B$1:$AV$479,MATCH("Producerad elenergi i kraftvärmeverk (GWh)",Kraftvärmeprod!$B$1:$AV$1,0),FALSE)),"",VLOOKUP($B119,Kraftvärmeprod!$B$1:$AV$479,MATCH("Producerad elenergi i kraftvärmeverk (GWh)",Kraftvärmeprod!$B$1:$AV$1,0),FALSE))</f>
        <v/>
      </c>
      <c r="G119" s="121" t="str">
        <f>IF(ISERROR(1/VLOOKUP($B119,Miljö!$B$1:$T$480,MATCH("Såld mängd produktionsspecifik fjärrvärme (GWh)",Miljö!$B$1:$T$1,0),FALSE)),"",VLOOKUP($B119,Miljö!$B$1:$T$480,MATCH("Såld mängd produktionsspecifik fjärrvärme (GWh)",Miljö!$B$1:$T$1,0),FALSE))</f>
        <v/>
      </c>
      <c r="J119" s="121" t="str">
        <f t="shared" si="1"/>
        <v>Herrljunga Elektriska AB</v>
      </c>
    </row>
    <row r="120" spans="1:10" x14ac:dyDescent="0.25">
      <c r="A120" s="137" t="s">
        <v>354</v>
      </c>
      <c r="B120" s="137" t="s">
        <v>355</v>
      </c>
      <c r="D120" s="121" t="str">
        <f>IF(ISERROR(1/VLOOKUP($B120,Kraftvärmeprod!$B$1:$D$479,MATCH("Total värmeproduktion i kraftvärmeverk i kombinerad drift (GWh)",Kraftvärmeprod!$B$1:$AV$1,0),FALSE)),"Ej kraftvärme","Alternativproduktionsmetoden")</f>
        <v>Ej kraftvärme</v>
      </c>
      <c r="E120" s="172" t="str">
        <f>IF(ISERROR(1/VLOOKUP($B120,Kraftvärmeprod!$B$1:$BD$479,MATCH("Total värmeproduktion i kraftvärmeverk i kombinerad drift (GWh)",Kraftvärmeprod!$B$1:$AV$1,0),FALSE)),"",VLOOKUP($B120,'Slutlig allokering kvv'!$B$1:$BC$479,MATCH(E$1,'Slutlig allokering kvv'!$B$1:$AU$1,0),FALSE))</f>
        <v/>
      </c>
      <c r="F120" s="121" t="str">
        <f>IF(ISERROR(1/VLOOKUP($B120,Kraftvärmeprod!$B$1:$AV$479,MATCH("Producerad elenergi i kraftvärmeverk (GWh)",Kraftvärmeprod!$B$1:$AV$1,0),FALSE)),"",VLOOKUP($B120,Kraftvärmeprod!$B$1:$AV$479,MATCH("Producerad elenergi i kraftvärmeverk (GWh)",Kraftvärmeprod!$B$1:$AV$1,0),FALSE))</f>
        <v/>
      </c>
      <c r="G120" s="121" t="str">
        <f>IF(ISERROR(1/VLOOKUP($B120,Miljö!$B$1:$T$480,MATCH("Såld mängd produktionsspecifik fjärrvärme (GWh)",Miljö!$B$1:$T$1,0),FALSE)),"",VLOOKUP($B120,Miljö!$B$1:$T$480,MATCH("Såld mängd produktionsspecifik fjärrvärme (GWh)",Miljö!$B$1:$T$1,0),FALSE))</f>
        <v/>
      </c>
      <c r="J120" s="121" t="str">
        <f t="shared" si="1"/>
        <v>Hjo Energi AB</v>
      </c>
    </row>
    <row r="121" spans="1:10" x14ac:dyDescent="0.25">
      <c r="A121" s="137" t="s">
        <v>356</v>
      </c>
      <c r="B121" s="137" t="s">
        <v>357</v>
      </c>
      <c r="D121" s="121" t="str">
        <f>IF(ISERROR(1/VLOOKUP($B121,Kraftvärmeprod!$B$1:$D$479,MATCH("Total värmeproduktion i kraftvärmeverk i kombinerad drift (GWh)",Kraftvärmeprod!$B$1:$AV$1,0),FALSE)),"Ej kraftvärme","Alternativproduktionsmetoden")</f>
        <v>Alternativproduktionsmetoden</v>
      </c>
      <c r="E121" s="172">
        <f>IF(ISERROR(1/VLOOKUP($B121,Kraftvärmeprod!$B$1:$BD$479,MATCH("Total värmeproduktion i kraftvärmeverk i kombinerad drift (GWh)",Kraftvärmeprod!$B$1:$AV$1,0),FALSE)),"",VLOOKUP($B121,'Slutlig allokering kvv'!$B$1:$BC$479,MATCH(E$1,'Slutlig allokering kvv'!$B$1:$AU$1,0),FALSE))</f>
        <v>0.58422041477640962</v>
      </c>
      <c r="F121" s="121">
        <f>IF(ISERROR(1/VLOOKUP($B121,Kraftvärmeprod!$B$1:$AV$479,MATCH("Producerad elenergi i kraftvärmeverk (GWh)",Kraftvärmeprod!$B$1:$AV$1,0),FALSE)),"",VLOOKUP($B121,Kraftvärmeprod!$B$1:$AV$479,MATCH("Producerad elenergi i kraftvärmeverk (GWh)",Kraftvärmeprod!$B$1:$AV$1,0),FALSE))</f>
        <v>30.2</v>
      </c>
      <c r="G121" s="121" t="str">
        <f>IF(ISERROR(1/VLOOKUP($B121,Miljö!$B$1:$T$480,MATCH("Såld mängd produktionsspecifik fjärrvärme (GWh)",Miljö!$B$1:$T$1,0),FALSE)),"",VLOOKUP($B121,Miljö!$B$1:$T$480,MATCH("Såld mängd produktionsspecifik fjärrvärme (GWh)",Miljö!$B$1:$T$1,0),FALSE))</f>
        <v/>
      </c>
      <c r="J121" s="121" t="str">
        <f t="shared" si="1"/>
        <v>Härnösand Energi &amp; Miljö AB</v>
      </c>
    </row>
    <row r="122" spans="1:10" x14ac:dyDescent="0.25">
      <c r="A122" s="137" t="s">
        <v>358</v>
      </c>
      <c r="B122" s="137" t="s">
        <v>359</v>
      </c>
      <c r="D122" s="121" t="str">
        <f>IF(ISERROR(1/VLOOKUP($B122,Kraftvärmeprod!$B$1:$D$479,MATCH("Total värmeproduktion i kraftvärmeverk i kombinerad drift (GWh)",Kraftvärmeprod!$B$1:$AV$1,0),FALSE)),"Ej kraftvärme","Alternativproduktionsmetoden")</f>
        <v>Alternativproduktionsmetoden</v>
      </c>
      <c r="E122" s="172">
        <f>IF(ISERROR(1/VLOOKUP($B122,Kraftvärmeprod!$B$1:$BD$479,MATCH("Total värmeproduktion i kraftvärmeverk i kombinerad drift (GWh)",Kraftvärmeprod!$B$1:$AV$1,0),FALSE)),"",VLOOKUP($B122,'Slutlig allokering kvv'!$B$1:$BC$479,MATCH(E$1,'Slutlig allokering kvv'!$B$1:$AU$1,0),FALSE))</f>
        <v>0.76537142492012789</v>
      </c>
      <c r="F122" s="121">
        <f>IF(ISERROR(1/VLOOKUP($B122,Kraftvärmeprod!$B$1:$AV$479,MATCH("Producerad elenergi i kraftvärmeverk (GWh)",Kraftvärmeprod!$B$1:$AV$1,0),FALSE)),"",VLOOKUP($B122,Kraftvärmeprod!$B$1:$AV$479,MATCH("Producerad elenergi i kraftvärmeverk (GWh)",Kraftvärmeprod!$B$1:$AV$1,0),FALSE))</f>
        <v>11.1</v>
      </c>
      <c r="G122" s="121" t="str">
        <f>IF(ISERROR(1/VLOOKUP($B122,Miljö!$B$1:$T$480,MATCH("Såld mängd produktionsspecifik fjärrvärme (GWh)",Miljö!$B$1:$T$1,0),FALSE)),"",VLOOKUP($B122,Miljö!$B$1:$T$480,MATCH("Såld mängd produktionsspecifik fjärrvärme (GWh)",Miljö!$B$1:$T$1,0),FALSE))</f>
        <v/>
      </c>
      <c r="J122" s="121" t="str">
        <f t="shared" si="1"/>
        <v>Hässleholm Miljö AB</v>
      </c>
    </row>
    <row r="123" spans="1:10" x14ac:dyDescent="0.25">
      <c r="A123" s="137" t="s">
        <v>358</v>
      </c>
      <c r="B123" s="137" t="s">
        <v>360</v>
      </c>
      <c r="D123" s="121" t="str">
        <f>IF(ISERROR(1/VLOOKUP($B123,Kraftvärmeprod!$B$1:$D$479,MATCH("Total värmeproduktion i kraftvärmeverk i kombinerad drift (GWh)",Kraftvärmeprod!$B$1:$AV$1,0),FALSE)),"Ej kraftvärme","Alternativproduktionsmetoden")</f>
        <v>Ej kraftvärme</v>
      </c>
      <c r="E123" s="172" t="str">
        <f>IF(ISERROR(1/VLOOKUP($B123,Kraftvärmeprod!$B$1:$BD$479,MATCH("Total värmeproduktion i kraftvärmeverk i kombinerad drift (GWh)",Kraftvärmeprod!$B$1:$AV$1,0),FALSE)),"",VLOOKUP($B123,'Slutlig allokering kvv'!$B$1:$BC$479,MATCH(E$1,'Slutlig allokering kvv'!$B$1:$AU$1,0),FALSE))</f>
        <v/>
      </c>
      <c r="F123" s="121" t="str">
        <f>IF(ISERROR(1/VLOOKUP($B123,Kraftvärmeprod!$B$1:$AV$479,MATCH("Producerad elenergi i kraftvärmeverk (GWh)",Kraftvärmeprod!$B$1:$AV$1,0),FALSE)),"",VLOOKUP($B123,Kraftvärmeprod!$B$1:$AV$479,MATCH("Producerad elenergi i kraftvärmeverk (GWh)",Kraftvärmeprod!$B$1:$AV$1,0),FALSE))</f>
        <v/>
      </c>
      <c r="G123" s="121" t="str">
        <f>IF(ISERROR(1/VLOOKUP($B123,Miljö!$B$1:$T$480,MATCH("Såld mängd produktionsspecifik fjärrvärme (GWh)",Miljö!$B$1:$T$1,0),FALSE)),"",VLOOKUP($B123,Miljö!$B$1:$T$480,MATCH("Såld mängd produktionsspecifik fjärrvärme (GWh)",Miljö!$B$1:$T$1,0),FALSE))</f>
        <v/>
      </c>
      <c r="J123" s="121" t="str">
        <f t="shared" si="1"/>
        <v>Hässleholm Miljö AB</v>
      </c>
    </row>
    <row r="124" spans="1:10" x14ac:dyDescent="0.25">
      <c r="A124" s="137" t="s">
        <v>362</v>
      </c>
      <c r="B124" s="137" t="s">
        <v>363</v>
      </c>
      <c r="D124" s="121" t="str">
        <f>IF(ISERROR(1/VLOOKUP($B124,Kraftvärmeprod!$B$1:$D$479,MATCH("Total värmeproduktion i kraftvärmeverk i kombinerad drift (GWh)",Kraftvärmeprod!$B$1:$AV$1,0),FALSE)),"Ej kraftvärme","Alternativproduktionsmetoden")</f>
        <v>Ej kraftvärme</v>
      </c>
      <c r="E124" s="172" t="str">
        <f>IF(ISERROR(1/VLOOKUP($B124,Kraftvärmeprod!$B$1:$BD$479,MATCH("Total värmeproduktion i kraftvärmeverk i kombinerad drift (GWh)",Kraftvärmeprod!$B$1:$AV$1,0),FALSE)),"",VLOOKUP($B124,'Slutlig allokering kvv'!$B$1:$BC$479,MATCH(E$1,'Slutlig allokering kvv'!$B$1:$AU$1,0),FALSE))</f>
        <v/>
      </c>
      <c r="F124" s="121" t="str">
        <f>IF(ISERROR(1/VLOOKUP($B124,Kraftvärmeprod!$B$1:$AV$479,MATCH("Producerad elenergi i kraftvärmeverk (GWh)",Kraftvärmeprod!$B$1:$AV$1,0),FALSE)),"",VLOOKUP($B124,Kraftvärmeprod!$B$1:$AV$479,MATCH("Producerad elenergi i kraftvärmeverk (GWh)",Kraftvärmeprod!$B$1:$AV$1,0),FALSE))</f>
        <v/>
      </c>
      <c r="G124" s="121" t="str">
        <f>IF(ISERROR(1/VLOOKUP($B124,Miljö!$B$1:$T$480,MATCH("Såld mängd produktionsspecifik fjärrvärme (GWh)",Miljö!$B$1:$T$1,0),FALSE)),"",VLOOKUP($B124,Miljö!$B$1:$T$480,MATCH("Såld mängd produktionsspecifik fjärrvärme (GWh)",Miljö!$B$1:$T$1,0),FALSE))</f>
        <v/>
      </c>
      <c r="J124" s="121" t="str">
        <f t="shared" si="1"/>
        <v>Höganäs Energi AB</v>
      </c>
    </row>
    <row r="125" spans="1:10" x14ac:dyDescent="0.25">
      <c r="A125" s="137" t="s">
        <v>364</v>
      </c>
      <c r="B125" s="137" t="s">
        <v>365</v>
      </c>
      <c r="D125" s="121" t="str">
        <f>IF(ISERROR(1/VLOOKUP($B125,Kraftvärmeprod!$B$1:$D$479,MATCH("Total värmeproduktion i kraftvärmeverk i kombinerad drift (GWh)",Kraftvärmeprod!$B$1:$AV$1,0),FALSE)),"Ej kraftvärme","Alternativproduktionsmetoden")</f>
        <v>Ej kraftvärme</v>
      </c>
      <c r="E125" s="172" t="str">
        <f>IF(ISERROR(1/VLOOKUP($B125,Kraftvärmeprod!$B$1:$BD$479,MATCH("Total värmeproduktion i kraftvärmeverk i kombinerad drift (GWh)",Kraftvärmeprod!$B$1:$AV$1,0),FALSE)),"",VLOOKUP($B125,'Slutlig allokering kvv'!$B$1:$BC$479,MATCH(E$1,'Slutlig allokering kvv'!$B$1:$AU$1,0),FALSE))</f>
        <v/>
      </c>
      <c r="F125" s="121" t="str">
        <f>IF(ISERROR(1/VLOOKUP($B125,Kraftvärmeprod!$B$1:$AV$479,MATCH("Producerad elenergi i kraftvärmeverk (GWh)",Kraftvärmeprod!$B$1:$AV$1,0),FALSE)),"",VLOOKUP($B125,Kraftvärmeprod!$B$1:$AV$479,MATCH("Producerad elenergi i kraftvärmeverk (GWh)",Kraftvärmeprod!$B$1:$AV$1,0),FALSE))</f>
        <v/>
      </c>
      <c r="G125" s="121" t="str">
        <f>IF(ISERROR(1/VLOOKUP($B125,Miljö!$B$1:$T$480,MATCH("Såld mängd produktionsspecifik fjärrvärme (GWh)",Miljö!$B$1:$T$1,0),FALSE)),"",VLOOKUP($B125,Miljö!$B$1:$T$480,MATCH("Såld mängd produktionsspecifik fjärrvärme (GWh)",Miljö!$B$1:$T$1,0),FALSE))</f>
        <v/>
      </c>
      <c r="J125" s="121" t="str">
        <f t="shared" si="1"/>
        <v>Jokkmokks Värmeverk AB</v>
      </c>
    </row>
    <row r="126" spans="1:10" x14ac:dyDescent="0.25">
      <c r="A126" s="137" t="s">
        <v>366</v>
      </c>
      <c r="B126" s="137" t="s">
        <v>367</v>
      </c>
      <c r="D126" s="121" t="str">
        <f>IF(ISERROR(1/VLOOKUP($B126,Kraftvärmeprod!$B$1:$D$479,MATCH("Total värmeproduktion i kraftvärmeverk i kombinerad drift (GWh)",Kraftvärmeprod!$B$1:$AV$1,0),FALSE)),"Ej kraftvärme","Alternativproduktionsmetoden")</f>
        <v>Ej kraftvärme</v>
      </c>
      <c r="E126" s="172" t="str">
        <f>IF(ISERROR(1/VLOOKUP($B126,Kraftvärmeprod!$B$1:$BD$479,MATCH("Total värmeproduktion i kraftvärmeverk i kombinerad drift (GWh)",Kraftvärmeprod!$B$1:$AV$1,0),FALSE)),"",VLOOKUP($B126,'Slutlig allokering kvv'!$B$1:$BC$479,MATCH(E$1,'Slutlig allokering kvv'!$B$1:$AU$1,0),FALSE))</f>
        <v/>
      </c>
      <c r="F126" s="121" t="str">
        <f>IF(ISERROR(1/VLOOKUP($B126,Kraftvärmeprod!$B$1:$AV$479,MATCH("Producerad elenergi i kraftvärmeverk (GWh)",Kraftvärmeprod!$B$1:$AV$1,0),FALSE)),"",VLOOKUP($B126,Kraftvärmeprod!$B$1:$AV$479,MATCH("Producerad elenergi i kraftvärmeverk (GWh)",Kraftvärmeprod!$B$1:$AV$1,0),FALSE))</f>
        <v/>
      </c>
      <c r="G126" s="121" t="str">
        <f>IF(ISERROR(1/VLOOKUP($B126,Miljö!$B$1:$T$480,MATCH("Såld mängd produktionsspecifik fjärrvärme (GWh)",Miljö!$B$1:$T$1,0),FALSE)),"",VLOOKUP($B126,Miljö!$B$1:$T$480,MATCH("Såld mängd produktionsspecifik fjärrvärme (GWh)",Miljö!$B$1:$T$1,0),FALSE))</f>
        <v/>
      </c>
      <c r="J126" s="121" t="str">
        <f t="shared" si="1"/>
        <v>Jämtkraft AB</v>
      </c>
    </row>
    <row r="127" spans="1:10" x14ac:dyDescent="0.25">
      <c r="A127" s="137" t="s">
        <v>366</v>
      </c>
      <c r="B127" s="137" t="s">
        <v>368</v>
      </c>
      <c r="D127" s="121" t="str">
        <f>IF(ISERROR(1/VLOOKUP($B127,Kraftvärmeprod!$B$1:$D$479,MATCH("Total värmeproduktion i kraftvärmeverk i kombinerad drift (GWh)",Kraftvärmeprod!$B$1:$AV$1,0),FALSE)),"Ej kraftvärme","Alternativproduktionsmetoden")</f>
        <v>Ej kraftvärme</v>
      </c>
      <c r="E127" s="172" t="str">
        <f>IF(ISERROR(1/VLOOKUP($B127,Kraftvärmeprod!$B$1:$BD$479,MATCH("Total värmeproduktion i kraftvärmeverk i kombinerad drift (GWh)",Kraftvärmeprod!$B$1:$AV$1,0),FALSE)),"",VLOOKUP($B127,'Slutlig allokering kvv'!$B$1:$BC$479,MATCH(E$1,'Slutlig allokering kvv'!$B$1:$AU$1,0),FALSE))</f>
        <v/>
      </c>
      <c r="F127" s="121" t="str">
        <f>IF(ISERROR(1/VLOOKUP($B127,Kraftvärmeprod!$B$1:$AV$479,MATCH("Producerad elenergi i kraftvärmeverk (GWh)",Kraftvärmeprod!$B$1:$AV$1,0),FALSE)),"",VLOOKUP($B127,Kraftvärmeprod!$B$1:$AV$479,MATCH("Producerad elenergi i kraftvärmeverk (GWh)",Kraftvärmeprod!$B$1:$AV$1,0),FALSE))</f>
        <v/>
      </c>
      <c r="G127" s="121" t="str">
        <f>IF(ISERROR(1/VLOOKUP($B127,Miljö!$B$1:$T$480,MATCH("Såld mängd produktionsspecifik fjärrvärme (GWh)",Miljö!$B$1:$T$1,0),FALSE)),"",VLOOKUP($B127,Miljö!$B$1:$T$480,MATCH("Såld mängd produktionsspecifik fjärrvärme (GWh)",Miljö!$B$1:$T$1,0),FALSE))</f>
        <v/>
      </c>
      <c r="J127" s="121" t="str">
        <f t="shared" si="1"/>
        <v>Jämtkraft AB</v>
      </c>
    </row>
    <row r="128" spans="1:10" x14ac:dyDescent="0.25">
      <c r="A128" s="137" t="s">
        <v>366</v>
      </c>
      <c r="B128" s="137" t="s">
        <v>369</v>
      </c>
      <c r="D128" s="121" t="str">
        <f>IF(ISERROR(1/VLOOKUP($B128,Kraftvärmeprod!$B$1:$D$479,MATCH("Total värmeproduktion i kraftvärmeverk i kombinerad drift (GWh)",Kraftvärmeprod!$B$1:$AV$1,0),FALSE)),"Ej kraftvärme","Alternativproduktionsmetoden")</f>
        <v>Ej kraftvärme</v>
      </c>
      <c r="E128" s="172" t="str">
        <f>IF(ISERROR(1/VLOOKUP($B128,Kraftvärmeprod!$B$1:$BD$479,MATCH("Total värmeproduktion i kraftvärmeverk i kombinerad drift (GWh)",Kraftvärmeprod!$B$1:$AV$1,0),FALSE)),"",VLOOKUP($B128,'Slutlig allokering kvv'!$B$1:$BC$479,MATCH(E$1,'Slutlig allokering kvv'!$B$1:$AU$1,0),FALSE))</f>
        <v/>
      </c>
      <c r="F128" s="121" t="str">
        <f>IF(ISERROR(1/VLOOKUP($B128,Kraftvärmeprod!$B$1:$AV$479,MATCH("Producerad elenergi i kraftvärmeverk (GWh)",Kraftvärmeprod!$B$1:$AV$1,0),FALSE)),"",VLOOKUP($B128,Kraftvärmeprod!$B$1:$AV$479,MATCH("Producerad elenergi i kraftvärmeverk (GWh)",Kraftvärmeprod!$B$1:$AV$1,0),FALSE))</f>
        <v/>
      </c>
      <c r="G128" s="121" t="str">
        <f>IF(ISERROR(1/VLOOKUP($B128,Miljö!$B$1:$T$480,MATCH("Såld mängd produktionsspecifik fjärrvärme (GWh)",Miljö!$B$1:$T$1,0),FALSE)),"",VLOOKUP($B128,Miljö!$B$1:$T$480,MATCH("Såld mängd produktionsspecifik fjärrvärme (GWh)",Miljö!$B$1:$T$1,0),FALSE))</f>
        <v/>
      </c>
      <c r="J128" s="121" t="str">
        <f t="shared" si="1"/>
        <v>Jämtkraft AB</v>
      </c>
    </row>
    <row r="129" spans="1:10" x14ac:dyDescent="0.25">
      <c r="A129" s="137" t="s">
        <v>366</v>
      </c>
      <c r="B129" s="137" t="s">
        <v>370</v>
      </c>
      <c r="D129" s="121" t="str">
        <f>IF(ISERROR(1/VLOOKUP($B129,Kraftvärmeprod!$B$1:$D$479,MATCH("Total värmeproduktion i kraftvärmeverk i kombinerad drift (GWh)",Kraftvärmeprod!$B$1:$AV$1,0),FALSE)),"Ej kraftvärme","Alternativproduktionsmetoden")</f>
        <v>Alternativproduktionsmetoden</v>
      </c>
      <c r="E129" s="172">
        <f>IF(ISERROR(1/VLOOKUP($B129,Kraftvärmeprod!$B$1:$BD$479,MATCH("Total värmeproduktion i kraftvärmeverk i kombinerad drift (GWh)",Kraftvärmeprod!$B$1:$AV$1,0),FALSE)),"",VLOOKUP($B129,'Slutlig allokering kvv'!$B$1:$BC$479,MATCH(E$1,'Slutlig allokering kvv'!$B$1:$AU$1,0),FALSE))</f>
        <v>0.43553896864928215</v>
      </c>
      <c r="F129" s="121">
        <f>IF(ISERROR(1/VLOOKUP($B129,Kraftvärmeprod!$B$1:$AV$479,MATCH("Producerad elenergi i kraftvärmeverk (GWh)",Kraftvärmeprod!$B$1:$AV$1,0),FALSE)),"",VLOOKUP($B129,Kraftvärmeprod!$B$1:$AV$479,MATCH("Producerad elenergi i kraftvärmeverk (GWh)",Kraftvärmeprod!$B$1:$AV$1,0),FALSE))</f>
        <v>189</v>
      </c>
      <c r="G129" s="121">
        <f>IF(ISERROR(1/VLOOKUP($B129,Miljö!$B$1:$T$480,MATCH("Såld mängd produktionsspecifik fjärrvärme (GWh)",Miljö!$B$1:$T$1,0),FALSE)),"",VLOOKUP($B129,Miljö!$B$1:$T$480,MATCH("Såld mängd produktionsspecifik fjärrvärme (GWh)",Miljö!$B$1:$T$1,0),FALSE))</f>
        <v>1.738</v>
      </c>
      <c r="J129" s="121" t="str">
        <f t="shared" si="1"/>
        <v>Jämtkraft AB</v>
      </c>
    </row>
    <row r="130" spans="1:10" x14ac:dyDescent="0.25">
      <c r="A130" s="137" t="s">
        <v>371</v>
      </c>
      <c r="B130" s="137" t="s">
        <v>81</v>
      </c>
      <c r="D130" s="121" t="str">
        <f>IF(ISERROR(1/VLOOKUP($B130,Kraftvärmeprod!$B$1:$D$479,MATCH("Total värmeproduktion i kraftvärmeverk i kombinerad drift (GWh)",Kraftvärmeprod!$B$1:$AV$1,0),FALSE)),"Ej kraftvärme","Alternativproduktionsmetoden")</f>
        <v>Ej kraftvärme</v>
      </c>
      <c r="E130" s="172" t="str">
        <f>IF(ISERROR(1/VLOOKUP($B130,Kraftvärmeprod!$B$1:$BD$479,MATCH("Total värmeproduktion i kraftvärmeverk i kombinerad drift (GWh)",Kraftvärmeprod!$B$1:$AV$1,0),FALSE)),"",VLOOKUP($B130,'Slutlig allokering kvv'!$B$1:$BC$479,MATCH(E$1,'Slutlig allokering kvv'!$B$1:$AU$1,0),FALSE))</f>
        <v/>
      </c>
      <c r="F130" s="121" t="str">
        <f>IF(ISERROR(1/VLOOKUP($B130,Kraftvärmeprod!$B$1:$AV$479,MATCH("Producerad elenergi i kraftvärmeverk (GWh)",Kraftvärmeprod!$B$1:$AV$1,0),FALSE)),"",VLOOKUP($B130,Kraftvärmeprod!$B$1:$AV$479,MATCH("Producerad elenergi i kraftvärmeverk (GWh)",Kraftvärmeprod!$B$1:$AV$1,0),FALSE))</f>
        <v/>
      </c>
      <c r="G130" s="121" t="str">
        <f>IF(ISERROR(1/VLOOKUP($B130,Miljö!$B$1:$T$480,MATCH("Såld mängd produktionsspecifik fjärrvärme (GWh)",Miljö!$B$1:$T$1,0),FALSE)),"",VLOOKUP($B130,Miljö!$B$1:$T$480,MATCH("Såld mängd produktionsspecifik fjärrvärme (GWh)",Miljö!$B$1:$T$1,0),FALSE))</f>
        <v/>
      </c>
      <c r="J130" s="121" t="str">
        <f t="shared" si="1"/>
        <v>Jämtlands Värme AB</v>
      </c>
    </row>
    <row r="131" spans="1:10" x14ac:dyDescent="0.25">
      <c r="A131" s="137" t="s">
        <v>372</v>
      </c>
      <c r="B131" s="137" t="s">
        <v>373</v>
      </c>
      <c r="D131" s="121" t="str">
        <f>IF(ISERROR(1/VLOOKUP($B131,Kraftvärmeprod!$B$1:$D$479,MATCH("Total värmeproduktion i kraftvärmeverk i kombinerad drift (GWh)",Kraftvärmeprod!$B$1:$AV$1,0),FALSE)),"Ej kraftvärme","Alternativproduktionsmetoden")</f>
        <v>Ej kraftvärme</v>
      </c>
      <c r="E131" s="172" t="str">
        <f>IF(ISERROR(1/VLOOKUP($B131,Kraftvärmeprod!$B$1:$BD$479,MATCH("Total värmeproduktion i kraftvärmeverk i kombinerad drift (GWh)",Kraftvärmeprod!$B$1:$AV$1,0),FALSE)),"",VLOOKUP($B131,'Slutlig allokering kvv'!$B$1:$BC$479,MATCH(E$1,'Slutlig allokering kvv'!$B$1:$AU$1,0),FALSE))</f>
        <v/>
      </c>
      <c r="F131" s="121" t="str">
        <f>IF(ISERROR(1/VLOOKUP($B131,Kraftvärmeprod!$B$1:$AV$479,MATCH("Producerad elenergi i kraftvärmeverk (GWh)",Kraftvärmeprod!$B$1:$AV$1,0),FALSE)),"",VLOOKUP($B131,Kraftvärmeprod!$B$1:$AV$479,MATCH("Producerad elenergi i kraftvärmeverk (GWh)",Kraftvärmeprod!$B$1:$AV$1,0),FALSE))</f>
        <v/>
      </c>
      <c r="G131" s="121" t="str">
        <f>IF(ISERROR(1/VLOOKUP($B131,Miljö!$B$1:$T$480,MATCH("Såld mängd produktionsspecifik fjärrvärme (GWh)",Miljö!$B$1:$T$1,0),FALSE)),"",VLOOKUP($B131,Miljö!$B$1:$T$480,MATCH("Såld mängd produktionsspecifik fjärrvärme (GWh)",Miljö!$B$1:$T$1,0),FALSE))</f>
        <v/>
      </c>
      <c r="J131" s="121" t="str">
        <f t="shared" ref="J131:J194" si="2">A131</f>
        <v>Jönköping Energi AB</v>
      </c>
    </row>
    <row r="132" spans="1:10" x14ac:dyDescent="0.25">
      <c r="A132" s="137" t="s">
        <v>372</v>
      </c>
      <c r="B132" s="137" t="s">
        <v>374</v>
      </c>
      <c r="D132" s="121" t="str">
        <f>IF(ISERROR(1/VLOOKUP($B132,Kraftvärmeprod!$B$1:$D$479,MATCH("Total värmeproduktion i kraftvärmeverk i kombinerad drift (GWh)",Kraftvärmeprod!$B$1:$AV$1,0),FALSE)),"Ej kraftvärme","Alternativproduktionsmetoden")</f>
        <v>Alternativproduktionsmetoden</v>
      </c>
      <c r="E132" s="172">
        <f>IF(ISERROR(1/VLOOKUP($B132,Kraftvärmeprod!$B$1:$BD$479,MATCH("Total värmeproduktion i kraftvärmeverk i kombinerad drift (GWh)",Kraftvärmeprod!$B$1:$AV$1,0),FALSE)),"",VLOOKUP($B132,'Slutlig allokering kvv'!$B$1:$BC$479,MATCH(E$1,'Slutlig allokering kvv'!$B$1:$AU$1,0),FALSE))</f>
        <v>0.49456547503075032</v>
      </c>
      <c r="F132" s="121">
        <f>IF(ISERROR(1/VLOOKUP($B132,Kraftvärmeprod!$B$1:$AV$479,MATCH("Producerad elenergi i kraftvärmeverk (GWh)",Kraftvärmeprod!$B$1:$AV$1,0),FALSE)),"",VLOOKUP($B132,Kraftvärmeprod!$B$1:$AV$479,MATCH("Producerad elenergi i kraftvärmeverk (GWh)",Kraftvärmeprod!$B$1:$AV$1,0),FALSE))</f>
        <v>231.4</v>
      </c>
      <c r="G132" s="121">
        <f>IF(ISERROR(1/VLOOKUP($B132,Miljö!$B$1:$T$480,MATCH("Såld mängd produktionsspecifik fjärrvärme (GWh)",Miljö!$B$1:$T$1,0),FALSE)),"",VLOOKUP($B132,Miljö!$B$1:$T$480,MATCH("Såld mängd produktionsspecifik fjärrvärme (GWh)",Miljö!$B$1:$T$1,0),FALSE))</f>
        <v>9.06</v>
      </c>
      <c r="J132" s="121" t="str">
        <f t="shared" si="2"/>
        <v>Jönköping Energi AB</v>
      </c>
    </row>
    <row r="133" spans="1:10" x14ac:dyDescent="0.25">
      <c r="A133" s="137" t="s">
        <v>372</v>
      </c>
      <c r="B133" s="137" t="s">
        <v>375</v>
      </c>
      <c r="D133" s="121" t="str">
        <f>IF(ISERROR(1/VLOOKUP($B133,Kraftvärmeprod!$B$1:$D$479,MATCH("Total värmeproduktion i kraftvärmeverk i kombinerad drift (GWh)",Kraftvärmeprod!$B$1:$AV$1,0),FALSE)),"Ej kraftvärme","Alternativproduktionsmetoden")</f>
        <v>Ej kraftvärme</v>
      </c>
      <c r="E133" s="172" t="str">
        <f>IF(ISERROR(1/VLOOKUP($B133,Kraftvärmeprod!$B$1:$BD$479,MATCH("Total värmeproduktion i kraftvärmeverk i kombinerad drift (GWh)",Kraftvärmeprod!$B$1:$AV$1,0),FALSE)),"",VLOOKUP($B133,'Slutlig allokering kvv'!$B$1:$BC$479,MATCH(E$1,'Slutlig allokering kvv'!$B$1:$AU$1,0),FALSE))</f>
        <v/>
      </c>
      <c r="F133" s="121" t="str">
        <f>IF(ISERROR(1/VLOOKUP($B133,Kraftvärmeprod!$B$1:$AV$479,MATCH("Producerad elenergi i kraftvärmeverk (GWh)",Kraftvärmeprod!$B$1:$AV$1,0),FALSE)),"",VLOOKUP($B133,Kraftvärmeprod!$B$1:$AV$479,MATCH("Producerad elenergi i kraftvärmeverk (GWh)",Kraftvärmeprod!$B$1:$AV$1,0),FALSE))</f>
        <v/>
      </c>
      <c r="G133" s="121" t="str">
        <f>IF(ISERROR(1/VLOOKUP($B133,Miljö!$B$1:$T$480,MATCH("Såld mängd produktionsspecifik fjärrvärme (GWh)",Miljö!$B$1:$T$1,0),FALSE)),"",VLOOKUP($B133,Miljö!$B$1:$T$480,MATCH("Såld mängd produktionsspecifik fjärrvärme (GWh)",Miljö!$B$1:$T$1,0),FALSE))</f>
        <v/>
      </c>
      <c r="J133" s="121" t="str">
        <f t="shared" si="2"/>
        <v>Jönköping Energi AB</v>
      </c>
    </row>
    <row r="134" spans="1:10" x14ac:dyDescent="0.25">
      <c r="A134" s="137" t="s">
        <v>376</v>
      </c>
      <c r="B134" s="137" t="s">
        <v>377</v>
      </c>
      <c r="D134" s="121" t="str">
        <f>IF(ISERROR(1/VLOOKUP($B134,Kraftvärmeprod!$B$1:$D$479,MATCH("Total värmeproduktion i kraftvärmeverk i kombinerad drift (GWh)",Kraftvärmeprod!$B$1:$AV$1,0),FALSE)),"Ej kraftvärme","Alternativproduktionsmetoden")</f>
        <v>Alternativproduktionsmetoden</v>
      </c>
      <c r="E134" s="172">
        <f>IF(ISERROR(1/VLOOKUP($B134,Kraftvärmeprod!$B$1:$BD$479,MATCH("Total värmeproduktion i kraftvärmeverk i kombinerad drift (GWh)",Kraftvärmeprod!$B$1:$AV$1,0),FALSE)),"",VLOOKUP($B134,'Slutlig allokering kvv'!$B$1:$BC$479,MATCH(E$1,'Slutlig allokering kvv'!$B$1:$AU$1,0),FALSE))</f>
        <v>0.45945620047119301</v>
      </c>
      <c r="F134" s="121">
        <f>IF(ISERROR(1/VLOOKUP($B134,Kraftvärmeprod!$B$1:$AV$479,MATCH("Producerad elenergi i kraftvärmeverk (GWh)",Kraftvärmeprod!$B$1:$AV$1,0),FALSE)),"",VLOOKUP($B134,Kraftvärmeprod!$B$1:$AV$479,MATCH("Producerad elenergi i kraftvärmeverk (GWh)",Kraftvärmeprod!$B$1:$AV$1,0),FALSE))</f>
        <v>123.65</v>
      </c>
      <c r="G134" s="121" t="str">
        <f>IF(ISERROR(1/VLOOKUP($B134,Miljö!$B$1:$T$480,MATCH("Såld mängd produktionsspecifik fjärrvärme (GWh)",Miljö!$B$1:$T$1,0),FALSE)),"",VLOOKUP($B134,Miljö!$B$1:$T$480,MATCH("Såld mängd produktionsspecifik fjärrvärme (GWh)",Miljö!$B$1:$T$1,0),FALSE))</f>
        <v/>
      </c>
      <c r="J134" s="121" t="str">
        <f t="shared" si="2"/>
        <v>Kalmar Energi Värme AB</v>
      </c>
    </row>
    <row r="135" spans="1:10" x14ac:dyDescent="0.25">
      <c r="A135" s="137" t="s">
        <v>378</v>
      </c>
      <c r="B135" s="137" t="s">
        <v>84</v>
      </c>
      <c r="D135" s="121" t="str">
        <f>IF(ISERROR(1/VLOOKUP($B135,Kraftvärmeprod!$B$1:$D$479,MATCH("Total värmeproduktion i kraftvärmeverk i kombinerad drift (GWh)",Kraftvärmeprod!$B$1:$AV$1,0),FALSE)),"Ej kraftvärme","Alternativproduktionsmetoden")</f>
        <v>Ej kraftvärme</v>
      </c>
      <c r="E135" s="172" t="str">
        <f>IF(ISERROR(1/VLOOKUP($B135,Kraftvärmeprod!$B$1:$BD$479,MATCH("Total värmeproduktion i kraftvärmeverk i kombinerad drift (GWh)",Kraftvärmeprod!$B$1:$AV$1,0),FALSE)),"",VLOOKUP($B135,'Slutlig allokering kvv'!$B$1:$BC$479,MATCH(E$1,'Slutlig allokering kvv'!$B$1:$AU$1,0),FALSE))</f>
        <v/>
      </c>
      <c r="F135" s="121" t="str">
        <f>IF(ISERROR(1/VLOOKUP($B135,Kraftvärmeprod!$B$1:$AV$479,MATCH("Producerad elenergi i kraftvärmeverk (GWh)",Kraftvärmeprod!$B$1:$AV$1,0),FALSE)),"",VLOOKUP($B135,Kraftvärmeprod!$B$1:$AV$479,MATCH("Producerad elenergi i kraftvärmeverk (GWh)",Kraftvärmeprod!$B$1:$AV$1,0),FALSE))</f>
        <v/>
      </c>
      <c r="G135" s="121" t="str">
        <f>IF(ISERROR(1/VLOOKUP($B135,Miljö!$B$1:$T$480,MATCH("Såld mängd produktionsspecifik fjärrvärme (GWh)",Miljö!$B$1:$T$1,0),FALSE)),"",VLOOKUP($B135,Miljö!$B$1:$T$480,MATCH("Såld mängd produktionsspecifik fjärrvärme (GWh)",Miljö!$B$1:$T$1,0),FALSE))</f>
        <v/>
      </c>
      <c r="J135" s="121" t="str">
        <f t="shared" si="2"/>
        <v>Karlsborgs Värme AB</v>
      </c>
    </row>
    <row r="136" spans="1:10" x14ac:dyDescent="0.25">
      <c r="A136" s="137" t="s">
        <v>380</v>
      </c>
      <c r="B136" s="137" t="s">
        <v>381</v>
      </c>
      <c r="D136" s="121" t="str">
        <f>IF(ISERROR(1/VLOOKUP($B136,Kraftvärmeprod!$B$1:$D$479,MATCH("Total värmeproduktion i kraftvärmeverk i kombinerad drift (GWh)",Kraftvärmeprod!$B$1:$AV$1,0),FALSE)),"Ej kraftvärme","Alternativproduktionsmetoden")</f>
        <v>Ej kraftvärme</v>
      </c>
      <c r="E136" s="172" t="str">
        <f>IF(ISERROR(1/VLOOKUP($B136,Kraftvärmeprod!$B$1:$BD$479,MATCH("Total värmeproduktion i kraftvärmeverk i kombinerad drift (GWh)",Kraftvärmeprod!$B$1:$AV$1,0),FALSE)),"",VLOOKUP($B136,'Slutlig allokering kvv'!$B$1:$BC$479,MATCH(E$1,'Slutlig allokering kvv'!$B$1:$AU$1,0),FALSE))</f>
        <v/>
      </c>
      <c r="F136" s="121" t="str">
        <f>IF(ISERROR(1/VLOOKUP($B136,Kraftvärmeprod!$B$1:$AV$479,MATCH("Producerad elenergi i kraftvärmeverk (GWh)",Kraftvärmeprod!$B$1:$AV$1,0),FALSE)),"",VLOOKUP($B136,Kraftvärmeprod!$B$1:$AV$479,MATCH("Producerad elenergi i kraftvärmeverk (GWh)",Kraftvärmeprod!$B$1:$AV$1,0),FALSE))</f>
        <v/>
      </c>
      <c r="G136" s="121" t="str">
        <f>IF(ISERROR(1/VLOOKUP($B136,Miljö!$B$1:$T$480,MATCH("Såld mängd produktionsspecifik fjärrvärme (GWh)",Miljö!$B$1:$T$1,0),FALSE)),"",VLOOKUP($B136,Miljö!$B$1:$T$480,MATCH("Såld mängd produktionsspecifik fjärrvärme (GWh)",Miljö!$B$1:$T$1,0),FALSE))</f>
        <v/>
      </c>
      <c r="J136" s="121" t="str">
        <f t="shared" si="2"/>
        <v>Karlshamn Energi AB</v>
      </c>
    </row>
    <row r="137" spans="1:10" x14ac:dyDescent="0.25">
      <c r="A137" s="137" t="s">
        <v>382</v>
      </c>
      <c r="B137" s="137" t="s">
        <v>87</v>
      </c>
      <c r="D137" s="121" t="str">
        <f>IF(ISERROR(1/VLOOKUP($B137,Kraftvärmeprod!$B$1:$D$479,MATCH("Total värmeproduktion i kraftvärmeverk i kombinerad drift (GWh)",Kraftvärmeprod!$B$1:$AV$1,0),FALSE)),"Ej kraftvärme","Alternativproduktionsmetoden")</f>
        <v>Alternativproduktionsmetoden</v>
      </c>
      <c r="E137" s="172" t="str">
        <f>IF(ISERROR(1/VLOOKUP($B137,Kraftvärmeprod!$B$1:$BD$479,MATCH("Total värmeproduktion i kraftvärmeverk i kombinerad drift (GWh)",Kraftvärmeprod!$B$1:$AV$1,0),FALSE)),"",VLOOKUP($B137,'Slutlig allokering kvv'!$B$1:$BC$479,MATCH(E$1,'Slutlig allokering kvv'!$B$1:$AU$1,0),FALSE))</f>
        <v/>
      </c>
      <c r="F137" s="121">
        <f>IF(ISERROR(1/VLOOKUP($B137,Kraftvärmeprod!$B$1:$AV$479,MATCH("Producerad elenergi i kraftvärmeverk (GWh)",Kraftvärmeprod!$B$1:$AV$1,0),FALSE)),"",VLOOKUP($B137,Kraftvärmeprod!$B$1:$AV$479,MATCH("Producerad elenergi i kraftvärmeverk (GWh)",Kraftvärmeprod!$B$1:$AV$1,0),FALSE))</f>
        <v>20.9</v>
      </c>
      <c r="G137" s="121" t="str">
        <f>IF(ISERROR(1/VLOOKUP($B137,Miljö!$B$1:$T$480,MATCH("Såld mängd produktionsspecifik fjärrvärme (GWh)",Miljö!$B$1:$T$1,0),FALSE)),"",VLOOKUP($B137,Miljö!$B$1:$T$480,MATCH("Såld mängd produktionsspecifik fjärrvärme (GWh)",Miljö!$B$1:$T$1,0),FALSE))</f>
        <v/>
      </c>
      <c r="J137" s="121" t="str">
        <f t="shared" si="2"/>
        <v>Karlskoga Kraftvärmeverk AB</v>
      </c>
    </row>
    <row r="138" spans="1:10" x14ac:dyDescent="0.25">
      <c r="A138" s="137" t="s">
        <v>383</v>
      </c>
      <c r="B138" s="137" t="s">
        <v>384</v>
      </c>
      <c r="D138" s="121" t="str">
        <f>IF(ISERROR(1/VLOOKUP($B138,Kraftvärmeprod!$B$1:$D$479,MATCH("Total värmeproduktion i kraftvärmeverk i kombinerad drift (GWh)",Kraftvärmeprod!$B$1:$AV$1,0),FALSE)),"Ej kraftvärme","Alternativproduktionsmetoden")</f>
        <v>Alternativproduktionsmetoden</v>
      </c>
      <c r="E138" s="172">
        <f>IF(ISERROR(1/VLOOKUP($B138,Kraftvärmeprod!$B$1:$BD$479,MATCH("Total värmeproduktion i kraftvärmeverk i kombinerad drift (GWh)",Kraftvärmeprod!$B$1:$AV$1,0),FALSE)),"",VLOOKUP($B138,'Slutlig allokering kvv'!$B$1:$BC$479,MATCH(E$1,'Slutlig allokering kvv'!$B$1:$AU$1,0),FALSE))</f>
        <v>0.60326767739418541</v>
      </c>
      <c r="F138" s="121">
        <f>IF(ISERROR(1/VLOOKUP($B138,Kraftvärmeprod!$B$1:$AV$479,MATCH("Producerad elenergi i kraftvärmeverk (GWh)",Kraftvärmeprod!$B$1:$AV$1,0),FALSE)),"",VLOOKUP($B138,Kraftvärmeprod!$B$1:$AV$479,MATCH("Producerad elenergi i kraftvärmeverk (GWh)",Kraftvärmeprod!$B$1:$AV$1,0),FALSE))</f>
        <v>122.148</v>
      </c>
      <c r="G138" s="121" t="str">
        <f>IF(ISERROR(1/VLOOKUP($B138,Miljö!$B$1:$T$480,MATCH("Såld mängd produktionsspecifik fjärrvärme (GWh)",Miljö!$B$1:$T$1,0),FALSE)),"",VLOOKUP($B138,Miljö!$B$1:$T$480,MATCH("Såld mängd produktionsspecifik fjärrvärme (GWh)",Miljö!$B$1:$T$1,0),FALSE))</f>
        <v/>
      </c>
      <c r="J138" s="121" t="str">
        <f t="shared" si="2"/>
        <v>Karlstads Energi AB</v>
      </c>
    </row>
    <row r="139" spans="1:10" x14ac:dyDescent="0.25">
      <c r="A139" s="137" t="s">
        <v>385</v>
      </c>
      <c r="B139" s="137" t="s">
        <v>386</v>
      </c>
      <c r="D139" s="121" t="str">
        <f>IF(ISERROR(1/VLOOKUP($B139,Kraftvärmeprod!$B$1:$D$479,MATCH("Total värmeproduktion i kraftvärmeverk i kombinerad drift (GWh)",Kraftvärmeprod!$B$1:$AV$1,0),FALSE)),"Ej kraftvärme","Alternativproduktionsmetoden")</f>
        <v>Ej kraftvärme</v>
      </c>
      <c r="E139" s="172" t="str">
        <f>IF(ISERROR(1/VLOOKUP($B139,Kraftvärmeprod!$B$1:$BD$479,MATCH("Total värmeproduktion i kraftvärmeverk i kombinerad drift (GWh)",Kraftvärmeprod!$B$1:$AV$1,0),FALSE)),"",VLOOKUP($B139,'Slutlig allokering kvv'!$B$1:$BC$479,MATCH(E$1,'Slutlig allokering kvv'!$B$1:$AU$1,0),FALSE))</f>
        <v/>
      </c>
      <c r="F139" s="121" t="str">
        <f>IF(ISERROR(1/VLOOKUP($B139,Kraftvärmeprod!$B$1:$AV$479,MATCH("Producerad elenergi i kraftvärmeverk (GWh)",Kraftvärmeprod!$B$1:$AV$1,0),FALSE)),"",VLOOKUP($B139,Kraftvärmeprod!$B$1:$AV$479,MATCH("Producerad elenergi i kraftvärmeverk (GWh)",Kraftvärmeprod!$B$1:$AV$1,0),FALSE))</f>
        <v/>
      </c>
      <c r="G139" s="121" t="str">
        <f>IF(ISERROR(1/VLOOKUP($B139,Miljö!$B$1:$T$480,MATCH("Såld mängd produktionsspecifik fjärrvärme (GWh)",Miljö!$B$1:$T$1,0),FALSE)),"",VLOOKUP($B139,Miljö!$B$1:$T$480,MATCH("Såld mängd produktionsspecifik fjärrvärme (GWh)",Miljö!$B$1:$T$1,0),FALSE))</f>
        <v/>
      </c>
      <c r="J139" s="121" t="str">
        <f t="shared" si="2"/>
        <v>Kils Energi AB</v>
      </c>
    </row>
    <row r="140" spans="1:10" x14ac:dyDescent="0.25">
      <c r="A140" s="137" t="s">
        <v>387</v>
      </c>
      <c r="B140" s="137" t="s">
        <v>388</v>
      </c>
      <c r="D140" s="121" t="str">
        <f>IF(ISERROR(1/VLOOKUP($B140,Kraftvärmeprod!$B$1:$D$479,MATCH("Total värmeproduktion i kraftvärmeverk i kombinerad drift (GWh)",Kraftvärmeprod!$B$1:$AV$1,0),FALSE)),"Ej kraftvärme","Alternativproduktionsmetoden")</f>
        <v>Alternativproduktionsmetoden</v>
      </c>
      <c r="E140" s="172">
        <f>IF(ISERROR(1/VLOOKUP($B140,Kraftvärmeprod!$B$1:$BD$479,MATCH("Total värmeproduktion i kraftvärmeverk i kombinerad drift (GWh)",Kraftvärmeprod!$B$1:$AV$1,0),FALSE)),"",VLOOKUP($B140,'Slutlig allokering kvv'!$B$1:$BC$479,MATCH(E$1,'Slutlig allokering kvv'!$B$1:$AU$1,0),FALSE))</f>
        <v>0.70884486380777989</v>
      </c>
      <c r="F140" s="121">
        <f>IF(ISERROR(1/VLOOKUP($B140,Kraftvärmeprod!$B$1:$AV$479,MATCH("Producerad elenergi i kraftvärmeverk (GWh)",Kraftvärmeprod!$B$1:$AV$1,0),FALSE)),"",VLOOKUP($B140,Kraftvärmeprod!$B$1:$AV$479,MATCH("Producerad elenergi i kraftvärmeverk (GWh)",Kraftvärmeprod!$B$1:$AV$1,0),FALSE))</f>
        <v>19.315000000000001</v>
      </c>
      <c r="G140" s="121" t="str">
        <f>IF(ISERROR(1/VLOOKUP($B140,Miljö!$B$1:$T$480,MATCH("Såld mängd produktionsspecifik fjärrvärme (GWh)",Miljö!$B$1:$T$1,0),FALSE)),"",VLOOKUP($B140,Miljö!$B$1:$T$480,MATCH("Såld mängd produktionsspecifik fjärrvärme (GWh)",Miljö!$B$1:$T$1,0),FALSE))</f>
        <v/>
      </c>
      <c r="J140" s="121" t="str">
        <f t="shared" si="2"/>
        <v>Kiruna Kraft AB</v>
      </c>
    </row>
    <row r="141" spans="1:10" x14ac:dyDescent="0.25">
      <c r="A141" s="137" t="s">
        <v>387</v>
      </c>
      <c r="B141" s="137" t="s">
        <v>389</v>
      </c>
      <c r="D141" s="121" t="str">
        <f>IF(ISERROR(1/VLOOKUP($B141,Kraftvärmeprod!$B$1:$D$479,MATCH("Total värmeproduktion i kraftvärmeverk i kombinerad drift (GWh)",Kraftvärmeprod!$B$1:$AV$1,0),FALSE)),"Ej kraftvärme","Alternativproduktionsmetoden")</f>
        <v>Ej kraftvärme</v>
      </c>
      <c r="E141" s="172" t="str">
        <f>IF(ISERROR(1/VLOOKUP($B141,Kraftvärmeprod!$B$1:$BD$479,MATCH("Total värmeproduktion i kraftvärmeverk i kombinerad drift (GWh)",Kraftvärmeprod!$B$1:$AV$1,0),FALSE)),"",VLOOKUP($B141,'Slutlig allokering kvv'!$B$1:$BC$479,MATCH(E$1,'Slutlig allokering kvv'!$B$1:$AU$1,0),FALSE))</f>
        <v/>
      </c>
      <c r="F141" s="121" t="str">
        <f>IF(ISERROR(1/VLOOKUP($B141,Kraftvärmeprod!$B$1:$AV$479,MATCH("Producerad elenergi i kraftvärmeverk (GWh)",Kraftvärmeprod!$B$1:$AV$1,0),FALSE)),"",VLOOKUP($B141,Kraftvärmeprod!$B$1:$AV$479,MATCH("Producerad elenergi i kraftvärmeverk (GWh)",Kraftvärmeprod!$B$1:$AV$1,0),FALSE))</f>
        <v/>
      </c>
      <c r="G141" s="121" t="str">
        <f>IF(ISERROR(1/VLOOKUP($B141,Miljö!$B$1:$T$480,MATCH("Såld mängd produktionsspecifik fjärrvärme (GWh)",Miljö!$B$1:$T$1,0),FALSE)),"",VLOOKUP($B141,Miljö!$B$1:$T$480,MATCH("Såld mängd produktionsspecifik fjärrvärme (GWh)",Miljö!$B$1:$T$1,0),FALSE))</f>
        <v/>
      </c>
      <c r="J141" s="121" t="str">
        <f t="shared" si="2"/>
        <v>Kiruna Kraft AB</v>
      </c>
    </row>
    <row r="142" spans="1:10" x14ac:dyDescent="0.25">
      <c r="A142" s="137" t="s">
        <v>390</v>
      </c>
      <c r="B142" s="137" t="s">
        <v>391</v>
      </c>
      <c r="D142" s="121" t="str">
        <f>IF(ISERROR(1/VLOOKUP($B142,Kraftvärmeprod!$B$1:$D$479,MATCH("Total värmeproduktion i kraftvärmeverk i kombinerad drift (GWh)",Kraftvärmeprod!$B$1:$AV$1,0),FALSE)),"Ej kraftvärme","Alternativproduktionsmetoden")</f>
        <v>Alternativproduktionsmetoden</v>
      </c>
      <c r="E142" s="172">
        <f>IF(ISERROR(1/VLOOKUP($B142,Kraftvärmeprod!$B$1:$BD$479,MATCH("Total värmeproduktion i kraftvärmeverk i kombinerad drift (GWh)",Kraftvärmeprod!$B$1:$AV$1,0),FALSE)),"",VLOOKUP($B142,'Slutlig allokering kvv'!$B$1:$BC$479,MATCH(E$1,'Slutlig allokering kvv'!$B$1:$AU$1,0),FALSE))</f>
        <v>0.55005518414835319</v>
      </c>
      <c r="F142" s="121">
        <f>IF(ISERROR(1/VLOOKUP($B142,Kraftvärmeprod!$B$1:$AV$479,MATCH("Producerad elenergi i kraftvärmeverk (GWh)",Kraftvärmeprod!$B$1:$AV$1,0),FALSE)),"",VLOOKUP($B142,Kraftvärmeprod!$B$1:$AV$479,MATCH("Producerad elenergi i kraftvärmeverk (GWh)",Kraftvärmeprod!$B$1:$AV$1,0),FALSE))</f>
        <v>150.666</v>
      </c>
      <c r="G142" s="121">
        <f>IF(ISERROR(1/VLOOKUP($B142,Miljö!$B$1:$T$480,MATCH("Såld mängd produktionsspecifik fjärrvärme (GWh)",Miljö!$B$1:$T$1,0),FALSE)),"",VLOOKUP($B142,Miljö!$B$1:$T$480,MATCH("Såld mängd produktionsspecifik fjärrvärme (GWh)",Miljö!$B$1:$T$1,0),FALSE))</f>
        <v>57.335999999999999</v>
      </c>
      <c r="J142" s="121" t="str">
        <f t="shared" si="2"/>
        <v>Kraftringen Energi AB (publ)</v>
      </c>
    </row>
    <row r="143" spans="1:10" x14ac:dyDescent="0.25">
      <c r="A143" s="137" t="s">
        <v>390</v>
      </c>
      <c r="B143" s="137" t="s">
        <v>393</v>
      </c>
      <c r="D143" s="121" t="str">
        <f>IF(ISERROR(1/VLOOKUP($B143,Kraftvärmeprod!$B$1:$D$479,MATCH("Total värmeproduktion i kraftvärmeverk i kombinerad drift (GWh)",Kraftvärmeprod!$B$1:$AV$1,0),FALSE)),"Ej kraftvärme","Alternativproduktionsmetoden")</f>
        <v>Ej kraftvärme</v>
      </c>
      <c r="E143" s="172" t="str">
        <f>IF(ISERROR(1/VLOOKUP($B143,Kraftvärmeprod!$B$1:$BD$479,MATCH("Total värmeproduktion i kraftvärmeverk i kombinerad drift (GWh)",Kraftvärmeprod!$B$1:$AV$1,0),FALSE)),"",VLOOKUP($B143,'Slutlig allokering kvv'!$B$1:$BC$479,MATCH(E$1,'Slutlig allokering kvv'!$B$1:$AU$1,0),FALSE))</f>
        <v/>
      </c>
      <c r="F143" s="121" t="str">
        <f>IF(ISERROR(1/VLOOKUP($B143,Kraftvärmeprod!$B$1:$AV$479,MATCH("Producerad elenergi i kraftvärmeverk (GWh)",Kraftvärmeprod!$B$1:$AV$1,0),FALSE)),"",VLOOKUP($B143,Kraftvärmeprod!$B$1:$AV$479,MATCH("Producerad elenergi i kraftvärmeverk (GWh)",Kraftvärmeprod!$B$1:$AV$1,0),FALSE))</f>
        <v/>
      </c>
      <c r="G143" s="121" t="str">
        <f>IF(ISERROR(1/VLOOKUP($B143,Miljö!$B$1:$T$480,MATCH("Såld mängd produktionsspecifik fjärrvärme (GWh)",Miljö!$B$1:$T$1,0),FALSE)),"",VLOOKUP($B143,Miljö!$B$1:$T$480,MATCH("Såld mängd produktionsspecifik fjärrvärme (GWh)",Miljö!$B$1:$T$1,0),FALSE))</f>
        <v/>
      </c>
      <c r="J143" s="121" t="str">
        <f t="shared" si="2"/>
        <v>Kraftringen Energi AB (publ)</v>
      </c>
    </row>
    <row r="144" spans="1:10" x14ac:dyDescent="0.25">
      <c r="A144" s="137" t="s">
        <v>394</v>
      </c>
      <c r="B144" s="137" t="s">
        <v>395</v>
      </c>
      <c r="D144" s="121" t="str">
        <f>IF(ISERROR(1/VLOOKUP($B144,Kraftvärmeprod!$B$1:$D$479,MATCH("Total värmeproduktion i kraftvärmeverk i kombinerad drift (GWh)",Kraftvärmeprod!$B$1:$AV$1,0),FALSE)),"Ej kraftvärme","Alternativproduktionsmetoden")</f>
        <v>Ej kraftvärme</v>
      </c>
      <c r="E144" s="172" t="str">
        <f>IF(ISERROR(1/VLOOKUP($B144,Kraftvärmeprod!$B$1:$BD$479,MATCH("Total värmeproduktion i kraftvärmeverk i kombinerad drift (GWh)",Kraftvärmeprod!$B$1:$AV$1,0),FALSE)),"",VLOOKUP($B144,'Slutlig allokering kvv'!$B$1:$BC$479,MATCH(E$1,'Slutlig allokering kvv'!$B$1:$AU$1,0),FALSE))</f>
        <v/>
      </c>
      <c r="F144" s="121" t="str">
        <f>IF(ISERROR(1/VLOOKUP($B144,Kraftvärmeprod!$B$1:$AV$479,MATCH("Producerad elenergi i kraftvärmeverk (GWh)",Kraftvärmeprod!$B$1:$AV$1,0),FALSE)),"",VLOOKUP($B144,Kraftvärmeprod!$B$1:$AV$479,MATCH("Producerad elenergi i kraftvärmeverk (GWh)",Kraftvärmeprod!$B$1:$AV$1,0),FALSE))</f>
        <v/>
      </c>
      <c r="G144" s="121" t="str">
        <f>IF(ISERROR(1/VLOOKUP($B144,Miljö!$B$1:$T$480,MATCH("Såld mängd produktionsspecifik fjärrvärme (GWh)",Miljö!$B$1:$T$1,0),FALSE)),"",VLOOKUP($B144,Miljö!$B$1:$T$480,MATCH("Såld mängd produktionsspecifik fjärrvärme (GWh)",Miljö!$B$1:$T$1,0),FALSE))</f>
        <v/>
      </c>
      <c r="J144" s="121" t="str">
        <f t="shared" si="2"/>
        <v>Kungälv Energi AB</v>
      </c>
    </row>
    <row r="145" spans="1:10" x14ac:dyDescent="0.25">
      <c r="A145" s="137" t="s">
        <v>394</v>
      </c>
      <c r="B145" s="137" t="s">
        <v>396</v>
      </c>
      <c r="D145" s="121" t="str">
        <f>IF(ISERROR(1/VLOOKUP($B145,Kraftvärmeprod!$B$1:$D$479,MATCH("Total värmeproduktion i kraftvärmeverk i kombinerad drift (GWh)",Kraftvärmeprod!$B$1:$AV$1,0),FALSE)),"Ej kraftvärme","Alternativproduktionsmetoden")</f>
        <v>Ej kraftvärme</v>
      </c>
      <c r="E145" s="172" t="str">
        <f>IF(ISERROR(1/VLOOKUP($B145,Kraftvärmeprod!$B$1:$BD$479,MATCH("Total värmeproduktion i kraftvärmeverk i kombinerad drift (GWh)",Kraftvärmeprod!$B$1:$AV$1,0),FALSE)),"",VLOOKUP($B145,'Slutlig allokering kvv'!$B$1:$BC$479,MATCH(E$1,'Slutlig allokering kvv'!$B$1:$AU$1,0),FALSE))</f>
        <v/>
      </c>
      <c r="F145" s="121" t="str">
        <f>IF(ISERROR(1/VLOOKUP($B145,Kraftvärmeprod!$B$1:$AV$479,MATCH("Producerad elenergi i kraftvärmeverk (GWh)",Kraftvärmeprod!$B$1:$AV$1,0),FALSE)),"",VLOOKUP($B145,Kraftvärmeprod!$B$1:$AV$479,MATCH("Producerad elenergi i kraftvärmeverk (GWh)",Kraftvärmeprod!$B$1:$AV$1,0),FALSE))</f>
        <v/>
      </c>
      <c r="G145" s="121" t="str">
        <f>IF(ISERROR(1/VLOOKUP($B145,Miljö!$B$1:$T$480,MATCH("Såld mängd produktionsspecifik fjärrvärme (GWh)",Miljö!$B$1:$T$1,0),FALSE)),"",VLOOKUP($B145,Miljö!$B$1:$T$480,MATCH("Såld mängd produktionsspecifik fjärrvärme (GWh)",Miljö!$B$1:$T$1,0),FALSE))</f>
        <v/>
      </c>
      <c r="J145" s="121" t="str">
        <f t="shared" si="2"/>
        <v>Kungälv Energi AB</v>
      </c>
    </row>
    <row r="146" spans="1:10" x14ac:dyDescent="0.25">
      <c r="A146" s="137" t="s">
        <v>394</v>
      </c>
      <c r="B146" s="137" t="s">
        <v>397</v>
      </c>
      <c r="D146" s="121" t="str">
        <f>IF(ISERROR(1/VLOOKUP($B146,Kraftvärmeprod!$B$1:$D$479,MATCH("Total värmeproduktion i kraftvärmeverk i kombinerad drift (GWh)",Kraftvärmeprod!$B$1:$AV$1,0),FALSE)),"Ej kraftvärme","Alternativproduktionsmetoden")</f>
        <v>Ej kraftvärme</v>
      </c>
      <c r="E146" s="172" t="str">
        <f>IF(ISERROR(1/VLOOKUP($B146,Kraftvärmeprod!$B$1:$BD$479,MATCH("Total värmeproduktion i kraftvärmeverk i kombinerad drift (GWh)",Kraftvärmeprod!$B$1:$AV$1,0),FALSE)),"",VLOOKUP($B146,'Slutlig allokering kvv'!$B$1:$BC$479,MATCH(E$1,'Slutlig allokering kvv'!$B$1:$AU$1,0),FALSE))</f>
        <v/>
      </c>
      <c r="F146" s="121" t="str">
        <f>IF(ISERROR(1/VLOOKUP($B146,Kraftvärmeprod!$B$1:$AV$479,MATCH("Producerad elenergi i kraftvärmeverk (GWh)",Kraftvärmeprod!$B$1:$AV$1,0),FALSE)),"",VLOOKUP($B146,Kraftvärmeprod!$B$1:$AV$479,MATCH("Producerad elenergi i kraftvärmeverk (GWh)",Kraftvärmeprod!$B$1:$AV$1,0),FALSE))</f>
        <v/>
      </c>
      <c r="G146" s="121" t="str">
        <f>IF(ISERROR(1/VLOOKUP($B146,Miljö!$B$1:$T$480,MATCH("Såld mängd produktionsspecifik fjärrvärme (GWh)",Miljö!$B$1:$T$1,0),FALSE)),"",VLOOKUP($B146,Miljö!$B$1:$T$480,MATCH("Såld mängd produktionsspecifik fjärrvärme (GWh)",Miljö!$B$1:$T$1,0),FALSE))</f>
        <v/>
      </c>
      <c r="J146" s="121" t="str">
        <f t="shared" si="2"/>
        <v>Kungälv Energi AB</v>
      </c>
    </row>
    <row r="147" spans="1:10" x14ac:dyDescent="0.25">
      <c r="A147" s="137" t="s">
        <v>394</v>
      </c>
      <c r="B147" s="137" t="s">
        <v>398</v>
      </c>
      <c r="D147" s="121" t="str">
        <f>IF(ISERROR(1/VLOOKUP($B147,Kraftvärmeprod!$B$1:$D$479,MATCH("Total värmeproduktion i kraftvärmeverk i kombinerad drift (GWh)",Kraftvärmeprod!$B$1:$AV$1,0),FALSE)),"Ej kraftvärme","Alternativproduktionsmetoden")</f>
        <v>Alternativproduktionsmetoden</v>
      </c>
      <c r="E147" s="172">
        <f>IF(ISERROR(1/VLOOKUP($B147,Kraftvärmeprod!$B$1:$BD$479,MATCH("Total värmeproduktion i kraftvärmeverk i kombinerad drift (GWh)",Kraftvärmeprod!$B$1:$AV$1,0),FALSE)),"",VLOOKUP($B147,'Slutlig allokering kvv'!$B$1:$BC$479,MATCH(E$1,'Slutlig allokering kvv'!$B$1:$AU$1,0),FALSE))</f>
        <v>0.76462525050100205</v>
      </c>
      <c r="F147" s="121">
        <f>IF(ISERROR(1/VLOOKUP($B147,Kraftvärmeprod!$B$1:$AV$479,MATCH("Producerad elenergi i kraftvärmeverk (GWh)",Kraftvärmeprod!$B$1:$AV$1,0),FALSE)),"",VLOOKUP($B147,Kraftvärmeprod!$B$1:$AV$479,MATCH("Producerad elenergi i kraftvärmeverk (GWh)",Kraftvärmeprod!$B$1:$AV$1,0),FALSE))</f>
        <v>8.8000000000000007</v>
      </c>
      <c r="G147" s="121" t="str">
        <f>IF(ISERROR(1/VLOOKUP($B147,Miljö!$B$1:$T$480,MATCH("Såld mängd produktionsspecifik fjärrvärme (GWh)",Miljö!$B$1:$T$1,0),FALSE)),"",VLOOKUP($B147,Miljö!$B$1:$T$480,MATCH("Såld mängd produktionsspecifik fjärrvärme (GWh)",Miljö!$B$1:$T$1,0),FALSE))</f>
        <v/>
      </c>
      <c r="J147" s="121" t="str">
        <f t="shared" si="2"/>
        <v>Kungälv Energi AB</v>
      </c>
    </row>
    <row r="148" spans="1:10" x14ac:dyDescent="0.25">
      <c r="A148" s="137" t="s">
        <v>45</v>
      </c>
      <c r="B148" s="141" t="s">
        <v>46</v>
      </c>
      <c r="D148" s="121" t="str">
        <f>IF(ISERROR(1/VLOOKUP($B148,Kraftvärmeprod!$B$1:$D$479,MATCH("Total värmeproduktion i kraftvärmeverk i kombinerad drift (GWh)",Kraftvärmeprod!$B$1:$AV$1,0),FALSE)),"Ej kraftvärme","Alternativproduktionsmetoden")</f>
        <v>Ej kraftvärme</v>
      </c>
      <c r="E148" s="172" t="str">
        <f>IF(ISERROR(1/VLOOKUP($B148,Kraftvärmeprod!$B$1:$BD$479,MATCH("Total värmeproduktion i kraftvärmeverk i kombinerad drift (GWh)",Kraftvärmeprod!$B$1:$AV$1,0),FALSE)),"",VLOOKUP($B148,'Slutlig allokering kvv'!$B$1:$BC$479,MATCH(E$1,'Slutlig allokering kvv'!$B$1:$AU$1,0),FALSE))</f>
        <v/>
      </c>
      <c r="F148" s="121" t="str">
        <f>IF(ISERROR(1/VLOOKUP($B148,Kraftvärmeprod!$B$1:$AV$479,MATCH("Producerad elenergi i kraftvärmeverk (GWh)",Kraftvärmeprod!$B$1:$AV$1,0),FALSE)),"",VLOOKUP($B148,Kraftvärmeprod!$B$1:$AV$479,MATCH("Producerad elenergi i kraftvärmeverk (GWh)",Kraftvärmeprod!$B$1:$AV$1,0),FALSE))</f>
        <v/>
      </c>
      <c r="G148" s="121" t="str">
        <f>IF(ISERROR(1/VLOOKUP($B148,Miljö!$B$1:$T$480,MATCH("Såld mängd produktionsspecifik fjärrvärme (GWh)",Miljö!$B$1:$T$1,0),FALSE)),"",VLOOKUP($B148,Miljö!$B$1:$T$480,MATCH("Såld mängd produktionsspecifik fjärrvärme (GWh)",Miljö!$B$1:$T$1,0),FALSE))</f>
        <v/>
      </c>
      <c r="J148" s="121" t="str">
        <f t="shared" si="2"/>
        <v>Köpings kommun</v>
      </c>
    </row>
    <row r="149" spans="1:10" x14ac:dyDescent="0.25">
      <c r="A149" s="137" t="s">
        <v>399</v>
      </c>
      <c r="B149" s="137" t="s">
        <v>400</v>
      </c>
      <c r="D149" s="121" t="str">
        <f>IF(ISERROR(1/VLOOKUP($B149,Kraftvärmeprod!$B$1:$D$479,MATCH("Total värmeproduktion i kraftvärmeverk i kombinerad drift (GWh)",Kraftvärmeprod!$B$1:$AV$1,0),FALSE)),"Ej kraftvärme","Alternativproduktionsmetoden")</f>
        <v>Alternativproduktionsmetoden</v>
      </c>
      <c r="E149" s="172">
        <f>IF(ISERROR(1/VLOOKUP($B149,Kraftvärmeprod!$B$1:$BD$479,MATCH("Total värmeproduktion i kraftvärmeverk i kombinerad drift (GWh)",Kraftvärmeprod!$B$1:$AV$1,0),FALSE)),"",VLOOKUP($B149,'Slutlig allokering kvv'!$B$1:$BC$479,MATCH(E$1,'Slutlig allokering kvv'!$B$1:$AU$1,0),FALSE))</f>
        <v>0.6056059374080931</v>
      </c>
      <c r="F149" s="121">
        <f>IF(ISERROR(1/VLOOKUP($B149,Kraftvärmeprod!$B$1:$AV$479,MATCH("Producerad elenergi i kraftvärmeverk (GWh)",Kraftvärmeprod!$B$1:$AV$1,0),FALSE)),"",VLOOKUP($B149,Kraftvärmeprod!$B$1:$AV$479,MATCH("Producerad elenergi i kraftvärmeverk (GWh)",Kraftvärmeprod!$B$1:$AV$1,0),FALSE))</f>
        <v>34.753</v>
      </c>
      <c r="G149" s="121">
        <f>IF(ISERROR(1/VLOOKUP($B149,Miljö!$B$1:$T$480,MATCH("Såld mängd produktionsspecifik fjärrvärme (GWh)",Miljö!$B$1:$T$1,0),FALSE)),"",VLOOKUP($B149,Miljö!$B$1:$T$480,MATCH("Såld mängd produktionsspecifik fjärrvärme (GWh)",Miljö!$B$1:$T$1,0),FALSE))</f>
        <v>31.7</v>
      </c>
      <c r="J149" s="121" t="str">
        <f t="shared" si="2"/>
        <v>Landskrona Energi AB</v>
      </c>
    </row>
    <row r="150" spans="1:10" x14ac:dyDescent="0.25">
      <c r="A150" s="137" t="s">
        <v>401</v>
      </c>
      <c r="B150" s="137" t="s">
        <v>402</v>
      </c>
      <c r="D150" s="121" t="str">
        <f>IF(ISERROR(1/VLOOKUP($B150,Kraftvärmeprod!$B$1:$D$479,MATCH("Total värmeproduktion i kraftvärmeverk i kombinerad drift (GWh)",Kraftvärmeprod!$B$1:$AV$1,0),FALSE)),"Ej kraftvärme","Alternativproduktionsmetoden")</f>
        <v>Ej kraftvärme</v>
      </c>
      <c r="E150" s="172" t="str">
        <f>IF(ISERROR(1/VLOOKUP($B150,Kraftvärmeprod!$B$1:$BD$479,MATCH("Total värmeproduktion i kraftvärmeverk i kombinerad drift (GWh)",Kraftvärmeprod!$B$1:$AV$1,0),FALSE)),"",VLOOKUP($B150,'Slutlig allokering kvv'!$B$1:$BC$479,MATCH(E$1,'Slutlig allokering kvv'!$B$1:$AU$1,0),FALSE))</f>
        <v/>
      </c>
      <c r="F150" s="121" t="str">
        <f>IF(ISERROR(1/VLOOKUP($B150,Kraftvärmeprod!$B$1:$AV$479,MATCH("Producerad elenergi i kraftvärmeverk (GWh)",Kraftvärmeprod!$B$1:$AV$1,0),FALSE)),"",VLOOKUP($B150,Kraftvärmeprod!$B$1:$AV$479,MATCH("Producerad elenergi i kraftvärmeverk (GWh)",Kraftvärmeprod!$B$1:$AV$1,0),FALSE))</f>
        <v/>
      </c>
      <c r="G150" s="121" t="str">
        <f>IF(ISERROR(1/VLOOKUP($B150,Miljö!$B$1:$T$480,MATCH("Såld mängd produktionsspecifik fjärrvärme (GWh)",Miljö!$B$1:$T$1,0),FALSE)),"",VLOOKUP($B150,Miljö!$B$1:$T$480,MATCH("Såld mängd produktionsspecifik fjärrvärme (GWh)",Miljö!$B$1:$T$1,0),FALSE))</f>
        <v/>
      </c>
      <c r="J150" s="121" t="str">
        <f t="shared" si="2"/>
        <v>Lantmännen Agrovärme AB</v>
      </c>
    </row>
    <row r="151" spans="1:10" x14ac:dyDescent="0.25">
      <c r="A151" s="137" t="s">
        <v>401</v>
      </c>
      <c r="B151" s="137" t="s">
        <v>403</v>
      </c>
      <c r="D151" s="121" t="str">
        <f>IF(ISERROR(1/VLOOKUP($B151,Kraftvärmeprod!$B$1:$D$479,MATCH("Total värmeproduktion i kraftvärmeverk i kombinerad drift (GWh)",Kraftvärmeprod!$B$1:$AV$1,0),FALSE)),"Ej kraftvärme","Alternativproduktionsmetoden")</f>
        <v>Ej kraftvärme</v>
      </c>
      <c r="E151" s="172" t="str">
        <f>IF(ISERROR(1/VLOOKUP($B151,Kraftvärmeprod!$B$1:$BD$479,MATCH("Total värmeproduktion i kraftvärmeverk i kombinerad drift (GWh)",Kraftvärmeprod!$B$1:$AV$1,0),FALSE)),"",VLOOKUP($B151,'Slutlig allokering kvv'!$B$1:$BC$479,MATCH(E$1,'Slutlig allokering kvv'!$B$1:$AU$1,0),FALSE))</f>
        <v/>
      </c>
      <c r="F151" s="121" t="str">
        <f>IF(ISERROR(1/VLOOKUP($B151,Kraftvärmeprod!$B$1:$AV$479,MATCH("Producerad elenergi i kraftvärmeverk (GWh)",Kraftvärmeprod!$B$1:$AV$1,0),FALSE)),"",VLOOKUP($B151,Kraftvärmeprod!$B$1:$AV$479,MATCH("Producerad elenergi i kraftvärmeverk (GWh)",Kraftvärmeprod!$B$1:$AV$1,0),FALSE))</f>
        <v/>
      </c>
      <c r="G151" s="121" t="str">
        <f>IF(ISERROR(1/VLOOKUP($B151,Miljö!$B$1:$T$480,MATCH("Såld mängd produktionsspecifik fjärrvärme (GWh)",Miljö!$B$1:$T$1,0),FALSE)),"",VLOOKUP($B151,Miljö!$B$1:$T$480,MATCH("Såld mängd produktionsspecifik fjärrvärme (GWh)",Miljö!$B$1:$T$1,0),FALSE))</f>
        <v/>
      </c>
      <c r="J151" s="121" t="str">
        <f t="shared" si="2"/>
        <v>Lantmännen Agrovärme AB</v>
      </c>
    </row>
    <row r="152" spans="1:10" x14ac:dyDescent="0.25">
      <c r="A152" s="137" t="s">
        <v>401</v>
      </c>
      <c r="B152" s="137" t="s">
        <v>404</v>
      </c>
      <c r="D152" s="121" t="str">
        <f>IF(ISERROR(1/VLOOKUP($B152,Kraftvärmeprod!$B$1:$D$479,MATCH("Total värmeproduktion i kraftvärmeverk i kombinerad drift (GWh)",Kraftvärmeprod!$B$1:$AV$1,0),FALSE)),"Ej kraftvärme","Alternativproduktionsmetoden")</f>
        <v>Ej kraftvärme</v>
      </c>
      <c r="E152" s="172" t="str">
        <f>IF(ISERROR(1/VLOOKUP($B152,Kraftvärmeprod!$B$1:$BD$479,MATCH("Total värmeproduktion i kraftvärmeverk i kombinerad drift (GWh)",Kraftvärmeprod!$B$1:$AV$1,0),FALSE)),"",VLOOKUP($B152,'Slutlig allokering kvv'!$B$1:$BC$479,MATCH(E$1,'Slutlig allokering kvv'!$B$1:$AU$1,0),FALSE))</f>
        <v/>
      </c>
      <c r="F152" s="121" t="str">
        <f>IF(ISERROR(1/VLOOKUP($B152,Kraftvärmeprod!$B$1:$AV$479,MATCH("Producerad elenergi i kraftvärmeverk (GWh)",Kraftvärmeprod!$B$1:$AV$1,0),FALSE)),"",VLOOKUP($B152,Kraftvärmeprod!$B$1:$AV$479,MATCH("Producerad elenergi i kraftvärmeverk (GWh)",Kraftvärmeprod!$B$1:$AV$1,0),FALSE))</f>
        <v/>
      </c>
      <c r="G152" s="121" t="str">
        <f>IF(ISERROR(1/VLOOKUP($B152,Miljö!$B$1:$T$480,MATCH("Såld mängd produktionsspecifik fjärrvärme (GWh)",Miljö!$B$1:$T$1,0),FALSE)),"",VLOOKUP($B152,Miljö!$B$1:$T$480,MATCH("Såld mängd produktionsspecifik fjärrvärme (GWh)",Miljö!$B$1:$T$1,0),FALSE))</f>
        <v/>
      </c>
      <c r="J152" s="121" t="str">
        <f t="shared" si="2"/>
        <v>Lantmännen Agrovärme AB</v>
      </c>
    </row>
    <row r="153" spans="1:10" x14ac:dyDescent="0.25">
      <c r="A153" s="137" t="s">
        <v>401</v>
      </c>
      <c r="B153" s="137" t="s">
        <v>405</v>
      </c>
      <c r="D153" s="121" t="str">
        <f>IF(ISERROR(1/VLOOKUP($B153,Kraftvärmeprod!$B$1:$D$479,MATCH("Total värmeproduktion i kraftvärmeverk i kombinerad drift (GWh)",Kraftvärmeprod!$B$1:$AV$1,0),FALSE)),"Ej kraftvärme","Alternativproduktionsmetoden")</f>
        <v>Ej kraftvärme</v>
      </c>
      <c r="E153" s="172" t="str">
        <f>IF(ISERROR(1/VLOOKUP($B153,Kraftvärmeprod!$B$1:$BD$479,MATCH("Total värmeproduktion i kraftvärmeverk i kombinerad drift (GWh)",Kraftvärmeprod!$B$1:$AV$1,0),FALSE)),"",VLOOKUP($B153,'Slutlig allokering kvv'!$B$1:$BC$479,MATCH(E$1,'Slutlig allokering kvv'!$B$1:$AU$1,0),FALSE))</f>
        <v/>
      </c>
      <c r="F153" s="121" t="str">
        <f>IF(ISERROR(1/VLOOKUP($B153,Kraftvärmeprod!$B$1:$AV$479,MATCH("Producerad elenergi i kraftvärmeverk (GWh)",Kraftvärmeprod!$B$1:$AV$1,0),FALSE)),"",VLOOKUP($B153,Kraftvärmeprod!$B$1:$AV$479,MATCH("Producerad elenergi i kraftvärmeverk (GWh)",Kraftvärmeprod!$B$1:$AV$1,0),FALSE))</f>
        <v/>
      </c>
      <c r="G153" s="121" t="str">
        <f>IF(ISERROR(1/VLOOKUP($B153,Miljö!$B$1:$T$480,MATCH("Såld mängd produktionsspecifik fjärrvärme (GWh)",Miljö!$B$1:$T$1,0),FALSE)),"",VLOOKUP($B153,Miljö!$B$1:$T$480,MATCH("Såld mängd produktionsspecifik fjärrvärme (GWh)",Miljö!$B$1:$T$1,0),FALSE))</f>
        <v/>
      </c>
      <c r="J153" s="121" t="str">
        <f t="shared" si="2"/>
        <v>Lantmännen Agrovärme AB</v>
      </c>
    </row>
    <row r="154" spans="1:10" x14ac:dyDescent="0.25">
      <c r="A154" s="137" t="s">
        <v>401</v>
      </c>
      <c r="B154" s="137" t="s">
        <v>406</v>
      </c>
      <c r="D154" s="121" t="str">
        <f>IF(ISERROR(1/VLOOKUP($B154,Kraftvärmeprod!$B$1:$D$479,MATCH("Total värmeproduktion i kraftvärmeverk i kombinerad drift (GWh)",Kraftvärmeprod!$B$1:$AV$1,0),FALSE)),"Ej kraftvärme","Alternativproduktionsmetoden")</f>
        <v>Ej kraftvärme</v>
      </c>
      <c r="E154" s="172" t="str">
        <f>IF(ISERROR(1/VLOOKUP($B154,Kraftvärmeprod!$B$1:$BD$479,MATCH("Total värmeproduktion i kraftvärmeverk i kombinerad drift (GWh)",Kraftvärmeprod!$B$1:$AV$1,0),FALSE)),"",VLOOKUP($B154,'Slutlig allokering kvv'!$B$1:$BC$479,MATCH(E$1,'Slutlig allokering kvv'!$B$1:$AU$1,0),FALSE))</f>
        <v/>
      </c>
      <c r="F154" s="121" t="str">
        <f>IF(ISERROR(1/VLOOKUP($B154,Kraftvärmeprod!$B$1:$AV$479,MATCH("Producerad elenergi i kraftvärmeverk (GWh)",Kraftvärmeprod!$B$1:$AV$1,0),FALSE)),"",VLOOKUP($B154,Kraftvärmeprod!$B$1:$AV$479,MATCH("Producerad elenergi i kraftvärmeverk (GWh)",Kraftvärmeprod!$B$1:$AV$1,0),FALSE))</f>
        <v/>
      </c>
      <c r="G154" s="121" t="str">
        <f>IF(ISERROR(1/VLOOKUP($B154,Miljö!$B$1:$T$480,MATCH("Såld mängd produktionsspecifik fjärrvärme (GWh)",Miljö!$B$1:$T$1,0),FALSE)),"",VLOOKUP($B154,Miljö!$B$1:$T$480,MATCH("Såld mängd produktionsspecifik fjärrvärme (GWh)",Miljö!$B$1:$T$1,0),FALSE))</f>
        <v/>
      </c>
      <c r="J154" s="121" t="str">
        <f t="shared" si="2"/>
        <v>Lantmännen Agrovärme AB</v>
      </c>
    </row>
    <row r="155" spans="1:10" x14ac:dyDescent="0.25">
      <c r="A155" s="137" t="s">
        <v>401</v>
      </c>
      <c r="B155" s="137" t="s">
        <v>407</v>
      </c>
      <c r="D155" s="121" t="str">
        <f>IF(ISERROR(1/VLOOKUP($B155,Kraftvärmeprod!$B$1:$D$479,MATCH("Total värmeproduktion i kraftvärmeverk i kombinerad drift (GWh)",Kraftvärmeprod!$B$1:$AV$1,0),FALSE)),"Ej kraftvärme","Alternativproduktionsmetoden")</f>
        <v>Ej kraftvärme</v>
      </c>
      <c r="E155" s="172" t="str">
        <f>IF(ISERROR(1/VLOOKUP($B155,Kraftvärmeprod!$B$1:$BD$479,MATCH("Total värmeproduktion i kraftvärmeverk i kombinerad drift (GWh)",Kraftvärmeprod!$B$1:$AV$1,0),FALSE)),"",VLOOKUP($B155,'Slutlig allokering kvv'!$B$1:$BC$479,MATCH(E$1,'Slutlig allokering kvv'!$B$1:$AU$1,0),FALSE))</f>
        <v/>
      </c>
      <c r="F155" s="121" t="str">
        <f>IF(ISERROR(1/VLOOKUP($B155,Kraftvärmeprod!$B$1:$AV$479,MATCH("Producerad elenergi i kraftvärmeverk (GWh)",Kraftvärmeprod!$B$1:$AV$1,0),FALSE)),"",VLOOKUP($B155,Kraftvärmeprod!$B$1:$AV$479,MATCH("Producerad elenergi i kraftvärmeverk (GWh)",Kraftvärmeprod!$B$1:$AV$1,0),FALSE))</f>
        <v/>
      </c>
      <c r="G155" s="121" t="str">
        <f>IF(ISERROR(1/VLOOKUP($B155,Miljö!$B$1:$T$480,MATCH("Såld mängd produktionsspecifik fjärrvärme (GWh)",Miljö!$B$1:$T$1,0),FALSE)),"",VLOOKUP($B155,Miljö!$B$1:$T$480,MATCH("Såld mängd produktionsspecifik fjärrvärme (GWh)",Miljö!$B$1:$T$1,0),FALSE))</f>
        <v/>
      </c>
      <c r="J155" s="121" t="str">
        <f t="shared" si="2"/>
        <v>Lantmännen Agrovärme AB</v>
      </c>
    </row>
    <row r="156" spans="1:10" x14ac:dyDescent="0.25">
      <c r="A156" s="137" t="s">
        <v>401</v>
      </c>
      <c r="B156" s="137" t="s">
        <v>408</v>
      </c>
      <c r="D156" s="121" t="str">
        <f>IF(ISERROR(1/VLOOKUP($B156,Kraftvärmeprod!$B$1:$D$479,MATCH("Total värmeproduktion i kraftvärmeverk i kombinerad drift (GWh)",Kraftvärmeprod!$B$1:$AV$1,0),FALSE)),"Ej kraftvärme","Alternativproduktionsmetoden")</f>
        <v>Ej kraftvärme</v>
      </c>
      <c r="E156" s="172" t="str">
        <f>IF(ISERROR(1/VLOOKUP($B156,Kraftvärmeprod!$B$1:$BD$479,MATCH("Total värmeproduktion i kraftvärmeverk i kombinerad drift (GWh)",Kraftvärmeprod!$B$1:$AV$1,0),FALSE)),"",VLOOKUP($B156,'Slutlig allokering kvv'!$B$1:$BC$479,MATCH(E$1,'Slutlig allokering kvv'!$B$1:$AU$1,0),FALSE))</f>
        <v/>
      </c>
      <c r="F156" s="121" t="str">
        <f>IF(ISERROR(1/VLOOKUP($B156,Kraftvärmeprod!$B$1:$AV$479,MATCH("Producerad elenergi i kraftvärmeverk (GWh)",Kraftvärmeprod!$B$1:$AV$1,0),FALSE)),"",VLOOKUP($B156,Kraftvärmeprod!$B$1:$AV$479,MATCH("Producerad elenergi i kraftvärmeverk (GWh)",Kraftvärmeprod!$B$1:$AV$1,0),FALSE))</f>
        <v/>
      </c>
      <c r="G156" s="121" t="str">
        <f>IF(ISERROR(1/VLOOKUP($B156,Miljö!$B$1:$T$480,MATCH("Såld mängd produktionsspecifik fjärrvärme (GWh)",Miljö!$B$1:$T$1,0),FALSE)),"",VLOOKUP($B156,Miljö!$B$1:$T$480,MATCH("Såld mängd produktionsspecifik fjärrvärme (GWh)",Miljö!$B$1:$T$1,0),FALSE))</f>
        <v/>
      </c>
      <c r="J156" s="121" t="str">
        <f t="shared" si="2"/>
        <v>Lantmännen Agrovärme AB</v>
      </c>
    </row>
    <row r="157" spans="1:10" x14ac:dyDescent="0.25">
      <c r="A157" s="137" t="s">
        <v>401</v>
      </c>
      <c r="B157" s="137" t="s">
        <v>409</v>
      </c>
      <c r="D157" s="121" t="str">
        <f>IF(ISERROR(1/VLOOKUP($B157,Kraftvärmeprod!$B$1:$D$479,MATCH("Total värmeproduktion i kraftvärmeverk i kombinerad drift (GWh)",Kraftvärmeprod!$B$1:$AV$1,0),FALSE)),"Ej kraftvärme","Alternativproduktionsmetoden")</f>
        <v>Ej kraftvärme</v>
      </c>
      <c r="E157" s="172" t="str">
        <f>IF(ISERROR(1/VLOOKUP($B157,Kraftvärmeprod!$B$1:$BD$479,MATCH("Total värmeproduktion i kraftvärmeverk i kombinerad drift (GWh)",Kraftvärmeprod!$B$1:$AV$1,0),FALSE)),"",VLOOKUP($B157,'Slutlig allokering kvv'!$B$1:$BC$479,MATCH(E$1,'Slutlig allokering kvv'!$B$1:$AU$1,0),FALSE))</f>
        <v/>
      </c>
      <c r="F157" s="121" t="str">
        <f>IF(ISERROR(1/VLOOKUP($B157,Kraftvärmeprod!$B$1:$AV$479,MATCH("Producerad elenergi i kraftvärmeverk (GWh)",Kraftvärmeprod!$B$1:$AV$1,0),FALSE)),"",VLOOKUP($B157,Kraftvärmeprod!$B$1:$AV$479,MATCH("Producerad elenergi i kraftvärmeverk (GWh)",Kraftvärmeprod!$B$1:$AV$1,0),FALSE))</f>
        <v/>
      </c>
      <c r="G157" s="121" t="str">
        <f>IF(ISERROR(1/VLOOKUP($B157,Miljö!$B$1:$T$480,MATCH("Såld mängd produktionsspecifik fjärrvärme (GWh)",Miljö!$B$1:$T$1,0),FALSE)),"",VLOOKUP($B157,Miljö!$B$1:$T$480,MATCH("Såld mängd produktionsspecifik fjärrvärme (GWh)",Miljö!$B$1:$T$1,0),FALSE))</f>
        <v/>
      </c>
      <c r="J157" s="121" t="str">
        <f t="shared" si="2"/>
        <v>Lantmännen Agrovärme AB</v>
      </c>
    </row>
    <row r="158" spans="1:10" x14ac:dyDescent="0.25">
      <c r="A158" s="137" t="s">
        <v>401</v>
      </c>
      <c r="B158" s="137" t="s">
        <v>410</v>
      </c>
      <c r="D158" s="121" t="str">
        <f>IF(ISERROR(1/VLOOKUP($B158,Kraftvärmeprod!$B$1:$D$479,MATCH("Total värmeproduktion i kraftvärmeverk i kombinerad drift (GWh)",Kraftvärmeprod!$B$1:$AV$1,0),FALSE)),"Ej kraftvärme","Alternativproduktionsmetoden")</f>
        <v>Ej kraftvärme</v>
      </c>
      <c r="E158" s="172" t="str">
        <f>IF(ISERROR(1/VLOOKUP($B158,Kraftvärmeprod!$B$1:$BD$479,MATCH("Total värmeproduktion i kraftvärmeverk i kombinerad drift (GWh)",Kraftvärmeprod!$B$1:$AV$1,0),FALSE)),"",VLOOKUP($B158,'Slutlig allokering kvv'!$B$1:$BC$479,MATCH(E$1,'Slutlig allokering kvv'!$B$1:$AU$1,0),FALSE))</f>
        <v/>
      </c>
      <c r="F158" s="121" t="str">
        <f>IF(ISERROR(1/VLOOKUP($B158,Kraftvärmeprod!$B$1:$AV$479,MATCH("Producerad elenergi i kraftvärmeverk (GWh)",Kraftvärmeprod!$B$1:$AV$1,0),FALSE)),"",VLOOKUP($B158,Kraftvärmeprod!$B$1:$AV$479,MATCH("Producerad elenergi i kraftvärmeverk (GWh)",Kraftvärmeprod!$B$1:$AV$1,0),FALSE))</f>
        <v/>
      </c>
      <c r="G158" s="121" t="str">
        <f>IF(ISERROR(1/VLOOKUP($B158,Miljö!$B$1:$T$480,MATCH("Såld mängd produktionsspecifik fjärrvärme (GWh)",Miljö!$B$1:$T$1,0),FALSE)),"",VLOOKUP($B158,Miljö!$B$1:$T$480,MATCH("Såld mängd produktionsspecifik fjärrvärme (GWh)",Miljö!$B$1:$T$1,0),FALSE))</f>
        <v/>
      </c>
      <c r="J158" s="121" t="str">
        <f t="shared" si="2"/>
        <v>Lantmännen Agrovärme AB</v>
      </c>
    </row>
    <row r="159" spans="1:10" x14ac:dyDescent="0.25">
      <c r="A159" s="137" t="s">
        <v>411</v>
      </c>
      <c r="B159" s="137" t="s">
        <v>412</v>
      </c>
      <c r="D159" s="121" t="str">
        <f>IF(ISERROR(1/VLOOKUP($B159,Kraftvärmeprod!$B$1:$D$479,MATCH("Total värmeproduktion i kraftvärmeverk i kombinerad drift (GWh)",Kraftvärmeprod!$B$1:$AV$1,0),FALSE)),"Ej kraftvärme","Alternativproduktionsmetoden")</f>
        <v>Ej kraftvärme</v>
      </c>
      <c r="E159" s="172" t="str">
        <f>IF(ISERROR(1/VLOOKUP($B159,Kraftvärmeprod!$B$1:$BD$479,MATCH("Total värmeproduktion i kraftvärmeverk i kombinerad drift (GWh)",Kraftvärmeprod!$B$1:$AV$1,0),FALSE)),"",VLOOKUP($B159,'Slutlig allokering kvv'!$B$1:$BC$479,MATCH(E$1,'Slutlig allokering kvv'!$B$1:$AU$1,0),FALSE))</f>
        <v/>
      </c>
      <c r="F159" s="121" t="str">
        <f>IF(ISERROR(1/VLOOKUP($B159,Kraftvärmeprod!$B$1:$AV$479,MATCH("Producerad elenergi i kraftvärmeverk (GWh)",Kraftvärmeprod!$B$1:$AV$1,0),FALSE)),"",VLOOKUP($B159,Kraftvärmeprod!$B$1:$AV$479,MATCH("Producerad elenergi i kraftvärmeverk (GWh)",Kraftvärmeprod!$B$1:$AV$1,0),FALSE))</f>
        <v/>
      </c>
      <c r="G159" s="121" t="str">
        <f>IF(ISERROR(1/VLOOKUP($B159,Miljö!$B$1:$T$480,MATCH("Såld mängd produktionsspecifik fjärrvärme (GWh)",Miljö!$B$1:$T$1,0),FALSE)),"",VLOOKUP($B159,Miljö!$B$1:$T$480,MATCH("Såld mängd produktionsspecifik fjärrvärme (GWh)",Miljö!$B$1:$T$1,0),FALSE))</f>
        <v/>
      </c>
      <c r="J159" s="121" t="str">
        <f t="shared" si="2"/>
        <v>Laxå Värme AB</v>
      </c>
    </row>
    <row r="160" spans="1:10" x14ac:dyDescent="0.25">
      <c r="A160" s="137" t="s">
        <v>413</v>
      </c>
      <c r="B160" s="137" t="s">
        <v>93</v>
      </c>
      <c r="D160" s="121" t="str">
        <f>IF(ISERROR(1/VLOOKUP($B160,Kraftvärmeprod!$B$1:$D$479,MATCH("Total värmeproduktion i kraftvärmeverk i kombinerad drift (GWh)",Kraftvärmeprod!$B$1:$AV$1,0),FALSE)),"Ej kraftvärme","Alternativproduktionsmetoden")</f>
        <v>Ej kraftvärme</v>
      </c>
      <c r="E160" s="172" t="str">
        <f>IF(ISERROR(1/VLOOKUP($B160,Kraftvärmeprod!$B$1:$BD$479,MATCH("Total värmeproduktion i kraftvärmeverk i kombinerad drift (GWh)",Kraftvärmeprod!$B$1:$AV$1,0),FALSE)),"",VLOOKUP($B160,'Slutlig allokering kvv'!$B$1:$BC$479,MATCH(E$1,'Slutlig allokering kvv'!$B$1:$AU$1,0),FALSE))</f>
        <v/>
      </c>
      <c r="F160" s="121" t="str">
        <f>IF(ISERROR(1/VLOOKUP($B160,Kraftvärmeprod!$B$1:$AV$479,MATCH("Producerad elenergi i kraftvärmeverk (GWh)",Kraftvärmeprod!$B$1:$AV$1,0),FALSE)),"",VLOOKUP($B160,Kraftvärmeprod!$B$1:$AV$479,MATCH("Producerad elenergi i kraftvärmeverk (GWh)",Kraftvärmeprod!$B$1:$AV$1,0),FALSE))</f>
        <v/>
      </c>
      <c r="G160" s="121" t="str">
        <f>IF(ISERROR(1/VLOOKUP($B160,Miljö!$B$1:$T$480,MATCH("Såld mängd produktionsspecifik fjärrvärme (GWh)",Miljö!$B$1:$T$1,0),FALSE)),"",VLOOKUP($B160,Miljö!$B$1:$T$480,MATCH("Såld mängd produktionsspecifik fjärrvärme (GWh)",Miljö!$B$1:$T$1,0),FALSE))</f>
        <v/>
      </c>
      <c r="J160" s="121" t="str">
        <f t="shared" si="2"/>
        <v>Lekeberg Bioenergi AB</v>
      </c>
    </row>
    <row r="161" spans="1:10" x14ac:dyDescent="0.25">
      <c r="A161" s="137" t="s">
        <v>414</v>
      </c>
      <c r="B161" s="137" t="s">
        <v>415</v>
      </c>
      <c r="D161" s="121" t="str">
        <f>IF(ISERROR(1/VLOOKUP($B161,Kraftvärmeprod!$B$1:$D$479,MATCH("Total värmeproduktion i kraftvärmeverk i kombinerad drift (GWh)",Kraftvärmeprod!$B$1:$AV$1,0),FALSE)),"Ej kraftvärme","Alternativproduktionsmetoden")</f>
        <v>Ej kraftvärme</v>
      </c>
      <c r="E161" s="172" t="str">
        <f>IF(ISERROR(1/VLOOKUP($B161,Kraftvärmeprod!$B$1:$BD$479,MATCH("Total värmeproduktion i kraftvärmeverk i kombinerad drift (GWh)",Kraftvärmeprod!$B$1:$AV$1,0),FALSE)),"",VLOOKUP($B161,'Slutlig allokering kvv'!$B$1:$BC$479,MATCH(E$1,'Slutlig allokering kvv'!$B$1:$AU$1,0),FALSE))</f>
        <v/>
      </c>
      <c r="F161" s="121" t="str">
        <f>IF(ISERROR(1/VLOOKUP($B161,Kraftvärmeprod!$B$1:$AV$479,MATCH("Producerad elenergi i kraftvärmeverk (GWh)",Kraftvärmeprod!$B$1:$AV$1,0),FALSE)),"",VLOOKUP($B161,Kraftvärmeprod!$B$1:$AV$479,MATCH("Producerad elenergi i kraftvärmeverk (GWh)",Kraftvärmeprod!$B$1:$AV$1,0),FALSE))</f>
        <v/>
      </c>
      <c r="G161" s="121" t="str">
        <f>IF(ISERROR(1/VLOOKUP($B161,Miljö!$B$1:$T$480,MATCH("Såld mängd produktionsspecifik fjärrvärme (GWh)",Miljö!$B$1:$T$1,0),FALSE)),"",VLOOKUP($B161,Miljö!$B$1:$T$480,MATCH("Såld mängd produktionsspecifik fjärrvärme (GWh)",Miljö!$B$1:$T$1,0),FALSE))</f>
        <v/>
      </c>
      <c r="J161" s="121" t="str">
        <f t="shared" si="2"/>
        <v>Lerum Fjärrvärme AB</v>
      </c>
    </row>
    <row r="162" spans="1:10" x14ac:dyDescent="0.25">
      <c r="A162" s="137" t="s">
        <v>414</v>
      </c>
      <c r="B162" s="137" t="s">
        <v>416</v>
      </c>
      <c r="D162" s="121" t="str">
        <f>IF(ISERROR(1/VLOOKUP($B162,Kraftvärmeprod!$B$1:$D$479,MATCH("Total värmeproduktion i kraftvärmeverk i kombinerad drift (GWh)",Kraftvärmeprod!$B$1:$AV$1,0),FALSE)),"Ej kraftvärme","Alternativproduktionsmetoden")</f>
        <v>Ej kraftvärme</v>
      </c>
      <c r="E162" s="172" t="str">
        <f>IF(ISERROR(1/VLOOKUP($B162,Kraftvärmeprod!$B$1:$BD$479,MATCH("Total värmeproduktion i kraftvärmeverk i kombinerad drift (GWh)",Kraftvärmeprod!$B$1:$AV$1,0),FALSE)),"",VLOOKUP($B162,'Slutlig allokering kvv'!$B$1:$BC$479,MATCH(E$1,'Slutlig allokering kvv'!$B$1:$AU$1,0),FALSE))</f>
        <v/>
      </c>
      <c r="F162" s="121" t="str">
        <f>IF(ISERROR(1/VLOOKUP($B162,Kraftvärmeprod!$B$1:$AV$479,MATCH("Producerad elenergi i kraftvärmeverk (GWh)",Kraftvärmeprod!$B$1:$AV$1,0),FALSE)),"",VLOOKUP($B162,Kraftvärmeprod!$B$1:$AV$479,MATCH("Producerad elenergi i kraftvärmeverk (GWh)",Kraftvärmeprod!$B$1:$AV$1,0),FALSE))</f>
        <v/>
      </c>
      <c r="G162" s="121" t="str">
        <f>IF(ISERROR(1/VLOOKUP($B162,Miljö!$B$1:$T$480,MATCH("Såld mängd produktionsspecifik fjärrvärme (GWh)",Miljö!$B$1:$T$1,0),FALSE)),"",VLOOKUP($B162,Miljö!$B$1:$T$480,MATCH("Såld mängd produktionsspecifik fjärrvärme (GWh)",Miljö!$B$1:$T$1,0),FALSE))</f>
        <v/>
      </c>
      <c r="J162" s="121" t="str">
        <f t="shared" si="2"/>
        <v>Lerum Fjärrvärme AB</v>
      </c>
    </row>
    <row r="163" spans="1:10" x14ac:dyDescent="0.25">
      <c r="A163" s="137" t="s">
        <v>414</v>
      </c>
      <c r="B163" s="137" t="s">
        <v>417</v>
      </c>
      <c r="D163" s="121" t="str">
        <f>IF(ISERROR(1/VLOOKUP($B163,Kraftvärmeprod!$B$1:$D$479,MATCH("Total värmeproduktion i kraftvärmeverk i kombinerad drift (GWh)",Kraftvärmeprod!$B$1:$AV$1,0),FALSE)),"Ej kraftvärme","Alternativproduktionsmetoden")</f>
        <v>Ej kraftvärme</v>
      </c>
      <c r="E163" s="172" t="str">
        <f>IF(ISERROR(1/VLOOKUP($B163,Kraftvärmeprod!$B$1:$BD$479,MATCH("Total värmeproduktion i kraftvärmeverk i kombinerad drift (GWh)",Kraftvärmeprod!$B$1:$AV$1,0),FALSE)),"",VLOOKUP($B163,'Slutlig allokering kvv'!$B$1:$BC$479,MATCH(E$1,'Slutlig allokering kvv'!$B$1:$AU$1,0),FALSE))</f>
        <v/>
      </c>
      <c r="F163" s="121" t="str">
        <f>IF(ISERROR(1/VLOOKUP($B163,Kraftvärmeprod!$B$1:$AV$479,MATCH("Producerad elenergi i kraftvärmeverk (GWh)",Kraftvärmeprod!$B$1:$AV$1,0),FALSE)),"",VLOOKUP($B163,Kraftvärmeprod!$B$1:$AV$479,MATCH("Producerad elenergi i kraftvärmeverk (GWh)",Kraftvärmeprod!$B$1:$AV$1,0),FALSE))</f>
        <v/>
      </c>
      <c r="G163" s="121" t="str">
        <f>IF(ISERROR(1/VLOOKUP($B163,Miljö!$B$1:$T$480,MATCH("Såld mängd produktionsspecifik fjärrvärme (GWh)",Miljö!$B$1:$T$1,0),FALSE)),"",VLOOKUP($B163,Miljö!$B$1:$T$480,MATCH("Såld mängd produktionsspecifik fjärrvärme (GWh)",Miljö!$B$1:$T$1,0),FALSE))</f>
        <v/>
      </c>
      <c r="J163" s="121" t="str">
        <f t="shared" si="2"/>
        <v>Lerum Fjärrvärme AB</v>
      </c>
    </row>
    <row r="164" spans="1:10" x14ac:dyDescent="0.25">
      <c r="A164" s="137" t="s">
        <v>414</v>
      </c>
      <c r="B164" s="137" t="s">
        <v>418</v>
      </c>
      <c r="D164" s="121" t="str">
        <f>IF(ISERROR(1/VLOOKUP($B164,Kraftvärmeprod!$B$1:$D$479,MATCH("Total värmeproduktion i kraftvärmeverk i kombinerad drift (GWh)",Kraftvärmeprod!$B$1:$AV$1,0),FALSE)),"Ej kraftvärme","Alternativproduktionsmetoden")</f>
        <v>Ej kraftvärme</v>
      </c>
      <c r="E164" s="172" t="str">
        <f>IF(ISERROR(1/VLOOKUP($B164,Kraftvärmeprod!$B$1:$BD$479,MATCH("Total värmeproduktion i kraftvärmeverk i kombinerad drift (GWh)",Kraftvärmeprod!$B$1:$AV$1,0),FALSE)),"",VLOOKUP($B164,'Slutlig allokering kvv'!$B$1:$BC$479,MATCH(E$1,'Slutlig allokering kvv'!$B$1:$AU$1,0),FALSE))</f>
        <v/>
      </c>
      <c r="F164" s="121" t="str">
        <f>IF(ISERROR(1/VLOOKUP($B164,Kraftvärmeprod!$B$1:$AV$479,MATCH("Producerad elenergi i kraftvärmeverk (GWh)",Kraftvärmeprod!$B$1:$AV$1,0),FALSE)),"",VLOOKUP($B164,Kraftvärmeprod!$B$1:$AV$479,MATCH("Producerad elenergi i kraftvärmeverk (GWh)",Kraftvärmeprod!$B$1:$AV$1,0),FALSE))</f>
        <v/>
      </c>
      <c r="G164" s="121" t="str">
        <f>IF(ISERROR(1/VLOOKUP($B164,Miljö!$B$1:$T$480,MATCH("Såld mängd produktionsspecifik fjärrvärme (GWh)",Miljö!$B$1:$T$1,0),FALSE)),"",VLOOKUP($B164,Miljö!$B$1:$T$480,MATCH("Såld mängd produktionsspecifik fjärrvärme (GWh)",Miljö!$B$1:$T$1,0),FALSE))</f>
        <v/>
      </c>
      <c r="J164" s="121" t="str">
        <f t="shared" si="2"/>
        <v>Lerum Fjärrvärme AB</v>
      </c>
    </row>
    <row r="165" spans="1:10" x14ac:dyDescent="0.25">
      <c r="A165" s="137" t="s">
        <v>419</v>
      </c>
      <c r="B165" s="137" t="s">
        <v>420</v>
      </c>
      <c r="D165" s="121" t="str">
        <f>IF(ISERROR(1/VLOOKUP($B165,Kraftvärmeprod!$B$1:$D$479,MATCH("Total värmeproduktion i kraftvärmeverk i kombinerad drift (GWh)",Kraftvärmeprod!$B$1:$AV$1,0),FALSE)),"Ej kraftvärme","Alternativproduktionsmetoden")</f>
        <v>Ej kraftvärme</v>
      </c>
      <c r="E165" s="172" t="str">
        <f>IF(ISERROR(1/VLOOKUP($B165,Kraftvärmeprod!$B$1:$BD$479,MATCH("Total värmeproduktion i kraftvärmeverk i kombinerad drift (GWh)",Kraftvärmeprod!$B$1:$AV$1,0),FALSE)),"",VLOOKUP($B165,'Slutlig allokering kvv'!$B$1:$BC$479,MATCH(E$1,'Slutlig allokering kvv'!$B$1:$AU$1,0),FALSE))</f>
        <v/>
      </c>
      <c r="F165" s="121" t="str">
        <f>IF(ISERROR(1/VLOOKUP($B165,Kraftvärmeprod!$B$1:$AV$479,MATCH("Producerad elenergi i kraftvärmeverk (GWh)",Kraftvärmeprod!$B$1:$AV$1,0),FALSE)),"",VLOOKUP($B165,Kraftvärmeprod!$B$1:$AV$479,MATCH("Producerad elenergi i kraftvärmeverk (GWh)",Kraftvärmeprod!$B$1:$AV$1,0),FALSE))</f>
        <v/>
      </c>
      <c r="G165" s="121" t="str">
        <f>IF(ISERROR(1/VLOOKUP($B165,Miljö!$B$1:$T$480,MATCH("Såld mängd produktionsspecifik fjärrvärme (GWh)",Miljö!$B$1:$T$1,0),FALSE)),"",VLOOKUP($B165,Miljö!$B$1:$T$480,MATCH("Såld mängd produktionsspecifik fjärrvärme (GWh)",Miljö!$B$1:$T$1,0),FALSE))</f>
        <v/>
      </c>
      <c r="J165" s="121" t="str">
        <f t="shared" si="2"/>
        <v>LEVA i Lysekil AB</v>
      </c>
    </row>
    <row r="166" spans="1:10" x14ac:dyDescent="0.25">
      <c r="A166" s="137" t="s">
        <v>421</v>
      </c>
      <c r="B166" s="137" t="s">
        <v>422</v>
      </c>
      <c r="D166" s="121" t="str">
        <f>IF(ISERROR(1/VLOOKUP($B166,Kraftvärmeprod!$B$1:$D$479,MATCH("Total värmeproduktion i kraftvärmeverk i kombinerad drift (GWh)",Kraftvärmeprod!$B$1:$AV$1,0),FALSE)),"Ej kraftvärme","Alternativproduktionsmetoden")</f>
        <v>Alternativproduktionsmetoden</v>
      </c>
      <c r="E166" s="172">
        <f>IF(ISERROR(1/VLOOKUP($B166,Kraftvärmeprod!$B$1:$BD$479,MATCH("Total värmeproduktion i kraftvärmeverk i kombinerad drift (GWh)",Kraftvärmeprod!$B$1:$AV$1,0),FALSE)),"",VLOOKUP($B166,'Slutlig allokering kvv'!$B$1:$BC$479,MATCH(E$1,'Slutlig allokering kvv'!$B$1:$AU$1,0),FALSE))</f>
        <v>0.99999999999999989</v>
      </c>
      <c r="F166" s="121" t="str">
        <f>IF(ISERROR(1/VLOOKUP($B166,Kraftvärmeprod!$B$1:$AV$479,MATCH("Producerad elenergi i kraftvärmeverk (GWh)",Kraftvärmeprod!$B$1:$AV$1,0),FALSE)),"",VLOOKUP($B166,Kraftvärmeprod!$B$1:$AV$479,MATCH("Producerad elenergi i kraftvärmeverk (GWh)",Kraftvärmeprod!$B$1:$AV$1,0),FALSE))</f>
        <v/>
      </c>
      <c r="G166" s="121" t="str">
        <f>IF(ISERROR(1/VLOOKUP($B166,Miljö!$B$1:$T$480,MATCH("Såld mängd produktionsspecifik fjärrvärme (GWh)",Miljö!$B$1:$T$1,0),FALSE)),"",VLOOKUP($B166,Miljö!$B$1:$T$480,MATCH("Såld mängd produktionsspecifik fjärrvärme (GWh)",Miljö!$B$1:$T$1,0),FALSE))</f>
        <v/>
      </c>
      <c r="J166" s="121" t="str">
        <f t="shared" si="2"/>
        <v>Lidköping Energi AB</v>
      </c>
    </row>
    <row r="167" spans="1:10" x14ac:dyDescent="0.25">
      <c r="A167" s="137" t="s">
        <v>421</v>
      </c>
      <c r="B167" s="137" t="s">
        <v>423</v>
      </c>
      <c r="D167" s="121" t="str">
        <f>IF(ISERROR(1/VLOOKUP($B167,Kraftvärmeprod!$B$1:$D$479,MATCH("Total värmeproduktion i kraftvärmeverk i kombinerad drift (GWh)",Kraftvärmeprod!$B$1:$AV$1,0),FALSE)),"Ej kraftvärme","Alternativproduktionsmetoden")</f>
        <v>Alternativproduktionsmetoden</v>
      </c>
      <c r="E167" s="172">
        <f>IF(ISERROR(1/VLOOKUP($B167,Kraftvärmeprod!$B$1:$BD$479,MATCH("Total värmeproduktion i kraftvärmeverk i kombinerad drift (GWh)",Kraftvärmeprod!$B$1:$AV$1,0),FALSE)),"",VLOOKUP($B167,'Slutlig allokering kvv'!$B$1:$BC$479,MATCH(E$1,'Slutlig allokering kvv'!$B$1:$AU$1,0),FALSE))</f>
        <v>0.58698239187526047</v>
      </c>
      <c r="F167" s="121">
        <f>IF(ISERROR(1/VLOOKUP($B167,Kraftvärmeprod!$B$1:$AV$479,MATCH("Producerad elenergi i kraftvärmeverk (GWh)",Kraftvärmeprod!$B$1:$AV$1,0),FALSE)),"",VLOOKUP($B167,Kraftvärmeprod!$B$1:$AV$479,MATCH("Producerad elenergi i kraftvärmeverk (GWh)",Kraftvärmeprod!$B$1:$AV$1,0),FALSE))</f>
        <v>22.69</v>
      </c>
      <c r="G167" s="121" t="str">
        <f>IF(ISERROR(1/VLOOKUP($B167,Miljö!$B$1:$T$480,MATCH("Såld mängd produktionsspecifik fjärrvärme (GWh)",Miljö!$B$1:$T$1,0),FALSE)),"",VLOOKUP($B167,Miljö!$B$1:$T$480,MATCH("Såld mängd produktionsspecifik fjärrvärme (GWh)",Miljö!$B$1:$T$1,0),FALSE))</f>
        <v/>
      </c>
      <c r="J167" s="121" t="str">
        <f t="shared" si="2"/>
        <v>Lidköping Energi AB</v>
      </c>
    </row>
    <row r="168" spans="1:10" x14ac:dyDescent="0.25">
      <c r="A168" s="137" t="s">
        <v>424</v>
      </c>
      <c r="B168" s="137" t="s">
        <v>425</v>
      </c>
      <c r="D168" s="121" t="str">
        <f>IF(ISERROR(1/VLOOKUP($B168,Kraftvärmeprod!$B$1:$D$479,MATCH("Total värmeproduktion i kraftvärmeverk i kombinerad drift (GWh)",Kraftvärmeprod!$B$1:$AV$1,0),FALSE)),"Ej kraftvärme","Alternativproduktionsmetoden")</f>
        <v>Ej kraftvärme</v>
      </c>
      <c r="E168" s="172" t="str">
        <f>IF(ISERROR(1/VLOOKUP($B168,Kraftvärmeprod!$B$1:$BD$479,MATCH("Total värmeproduktion i kraftvärmeverk i kombinerad drift (GWh)",Kraftvärmeprod!$B$1:$AV$1,0),FALSE)),"",VLOOKUP($B168,'Slutlig allokering kvv'!$B$1:$BC$479,MATCH(E$1,'Slutlig allokering kvv'!$B$1:$AU$1,0),FALSE))</f>
        <v/>
      </c>
      <c r="F168" s="121" t="str">
        <f>IF(ISERROR(1/VLOOKUP($B168,Kraftvärmeprod!$B$1:$AV$479,MATCH("Producerad elenergi i kraftvärmeverk (GWh)",Kraftvärmeprod!$B$1:$AV$1,0),FALSE)),"",VLOOKUP($B168,Kraftvärmeprod!$B$1:$AV$479,MATCH("Producerad elenergi i kraftvärmeverk (GWh)",Kraftvärmeprod!$B$1:$AV$1,0),FALSE))</f>
        <v/>
      </c>
      <c r="G168" s="121" t="str">
        <f>IF(ISERROR(1/VLOOKUP($B168,Miljö!$B$1:$T$480,MATCH("Såld mängd produktionsspecifik fjärrvärme (GWh)",Miljö!$B$1:$T$1,0),FALSE)),"",VLOOKUP($B168,Miljö!$B$1:$T$480,MATCH("Såld mängd produktionsspecifik fjärrvärme (GWh)",Miljö!$B$1:$T$1,0),FALSE))</f>
        <v/>
      </c>
      <c r="J168" s="121" t="str">
        <f t="shared" si="2"/>
        <v>Lilla Edets Fjärrvärme AB</v>
      </c>
    </row>
    <row r="169" spans="1:10" x14ac:dyDescent="0.25">
      <c r="A169" s="137" t="s">
        <v>426</v>
      </c>
      <c r="B169" s="137" t="s">
        <v>427</v>
      </c>
      <c r="D169" s="121" t="str">
        <f>IF(ISERROR(1/VLOOKUP($B169,Kraftvärmeprod!$B$1:$D$479,MATCH("Total värmeproduktion i kraftvärmeverk i kombinerad drift (GWh)",Kraftvärmeprod!$B$1:$AV$1,0),FALSE)),"Ej kraftvärme","Alternativproduktionsmetoden")</f>
        <v>Ej kraftvärme</v>
      </c>
      <c r="E169" s="172" t="str">
        <f>IF(ISERROR(1/VLOOKUP($B169,Kraftvärmeprod!$B$1:$BD$479,MATCH("Total värmeproduktion i kraftvärmeverk i kombinerad drift (GWh)",Kraftvärmeprod!$B$1:$AV$1,0),FALSE)),"",VLOOKUP($B169,'Slutlig allokering kvv'!$B$1:$BC$479,MATCH(E$1,'Slutlig allokering kvv'!$B$1:$AU$1,0),FALSE))</f>
        <v/>
      </c>
      <c r="F169" s="121" t="str">
        <f>IF(ISERROR(1/VLOOKUP($B169,Kraftvärmeprod!$B$1:$AV$479,MATCH("Producerad elenergi i kraftvärmeverk (GWh)",Kraftvärmeprod!$B$1:$AV$1,0),FALSE)),"",VLOOKUP($B169,Kraftvärmeprod!$B$1:$AV$479,MATCH("Producerad elenergi i kraftvärmeverk (GWh)",Kraftvärmeprod!$B$1:$AV$1,0),FALSE))</f>
        <v/>
      </c>
      <c r="G169" s="121" t="str">
        <f>IF(ISERROR(1/VLOOKUP($B169,Miljö!$B$1:$T$480,MATCH("Såld mängd produktionsspecifik fjärrvärme (GWh)",Miljö!$B$1:$T$1,0),FALSE)),"",VLOOKUP($B169,Miljö!$B$1:$T$480,MATCH("Såld mängd produktionsspecifik fjärrvärme (GWh)",Miljö!$B$1:$T$1,0),FALSE))</f>
        <v/>
      </c>
      <c r="J169" s="121" t="str">
        <f t="shared" si="2"/>
        <v>Linde Energi AB</v>
      </c>
    </row>
    <row r="170" spans="1:10" x14ac:dyDescent="0.25">
      <c r="A170" s="137" t="s">
        <v>426</v>
      </c>
      <c r="B170" s="137" t="s">
        <v>428</v>
      </c>
      <c r="D170" s="121" t="str">
        <f>IF(ISERROR(1/VLOOKUP($B170,Kraftvärmeprod!$B$1:$D$479,MATCH("Total värmeproduktion i kraftvärmeverk i kombinerad drift (GWh)",Kraftvärmeprod!$B$1:$AV$1,0),FALSE)),"Ej kraftvärme","Alternativproduktionsmetoden")</f>
        <v>Ej kraftvärme</v>
      </c>
      <c r="E170" s="172" t="str">
        <f>IF(ISERROR(1/VLOOKUP($B170,Kraftvärmeprod!$B$1:$BD$479,MATCH("Total värmeproduktion i kraftvärmeverk i kombinerad drift (GWh)",Kraftvärmeprod!$B$1:$AV$1,0),FALSE)),"",VLOOKUP($B170,'Slutlig allokering kvv'!$B$1:$BC$479,MATCH(E$1,'Slutlig allokering kvv'!$B$1:$AU$1,0),FALSE))</f>
        <v/>
      </c>
      <c r="F170" s="121" t="str">
        <f>IF(ISERROR(1/VLOOKUP($B170,Kraftvärmeprod!$B$1:$AV$479,MATCH("Producerad elenergi i kraftvärmeverk (GWh)",Kraftvärmeprod!$B$1:$AV$1,0),FALSE)),"",VLOOKUP($B170,Kraftvärmeprod!$B$1:$AV$479,MATCH("Producerad elenergi i kraftvärmeverk (GWh)",Kraftvärmeprod!$B$1:$AV$1,0),FALSE))</f>
        <v/>
      </c>
      <c r="G170" s="121" t="str">
        <f>IF(ISERROR(1/VLOOKUP($B170,Miljö!$B$1:$T$480,MATCH("Såld mängd produktionsspecifik fjärrvärme (GWh)",Miljö!$B$1:$T$1,0),FALSE)),"",VLOOKUP($B170,Miljö!$B$1:$T$480,MATCH("Såld mängd produktionsspecifik fjärrvärme (GWh)",Miljö!$B$1:$T$1,0),FALSE))</f>
        <v/>
      </c>
      <c r="J170" s="121" t="str">
        <f t="shared" si="2"/>
        <v>Linde Energi AB</v>
      </c>
    </row>
    <row r="171" spans="1:10" x14ac:dyDescent="0.25">
      <c r="A171" s="137" t="s">
        <v>426</v>
      </c>
      <c r="B171" s="137" t="s">
        <v>429</v>
      </c>
      <c r="D171" s="121" t="str">
        <f>IF(ISERROR(1/VLOOKUP($B171,Kraftvärmeprod!$B$1:$D$479,MATCH("Total värmeproduktion i kraftvärmeverk i kombinerad drift (GWh)",Kraftvärmeprod!$B$1:$AV$1,0),FALSE)),"Ej kraftvärme","Alternativproduktionsmetoden")</f>
        <v>Ej kraftvärme</v>
      </c>
      <c r="E171" s="172" t="str">
        <f>IF(ISERROR(1/VLOOKUP($B171,Kraftvärmeprod!$B$1:$BD$479,MATCH("Total värmeproduktion i kraftvärmeverk i kombinerad drift (GWh)",Kraftvärmeprod!$B$1:$AV$1,0),FALSE)),"",VLOOKUP($B171,'Slutlig allokering kvv'!$B$1:$BC$479,MATCH(E$1,'Slutlig allokering kvv'!$B$1:$AU$1,0),FALSE))</f>
        <v/>
      </c>
      <c r="F171" s="121" t="str">
        <f>IF(ISERROR(1/VLOOKUP($B171,Kraftvärmeprod!$B$1:$AV$479,MATCH("Producerad elenergi i kraftvärmeverk (GWh)",Kraftvärmeprod!$B$1:$AV$1,0),FALSE)),"",VLOOKUP($B171,Kraftvärmeprod!$B$1:$AV$479,MATCH("Producerad elenergi i kraftvärmeverk (GWh)",Kraftvärmeprod!$B$1:$AV$1,0),FALSE))</f>
        <v/>
      </c>
      <c r="G171" s="121" t="str">
        <f>IF(ISERROR(1/VLOOKUP($B171,Miljö!$B$1:$T$480,MATCH("Såld mängd produktionsspecifik fjärrvärme (GWh)",Miljö!$B$1:$T$1,0),FALSE)),"",VLOOKUP($B171,Miljö!$B$1:$T$480,MATCH("Såld mängd produktionsspecifik fjärrvärme (GWh)",Miljö!$B$1:$T$1,0),FALSE))</f>
        <v/>
      </c>
      <c r="J171" s="121" t="str">
        <f t="shared" si="2"/>
        <v>Linde Energi AB</v>
      </c>
    </row>
    <row r="172" spans="1:10" x14ac:dyDescent="0.25">
      <c r="A172" s="137" t="s">
        <v>426</v>
      </c>
      <c r="B172" s="137" t="s">
        <v>430</v>
      </c>
      <c r="D172" s="121" t="str">
        <f>IF(ISERROR(1/VLOOKUP($B172,Kraftvärmeprod!$B$1:$D$479,MATCH("Total värmeproduktion i kraftvärmeverk i kombinerad drift (GWh)",Kraftvärmeprod!$B$1:$AV$1,0),FALSE)),"Ej kraftvärme","Alternativproduktionsmetoden")</f>
        <v>Ej kraftvärme</v>
      </c>
      <c r="E172" s="172" t="str">
        <f>IF(ISERROR(1/VLOOKUP($B172,Kraftvärmeprod!$B$1:$BD$479,MATCH("Total värmeproduktion i kraftvärmeverk i kombinerad drift (GWh)",Kraftvärmeprod!$B$1:$AV$1,0),FALSE)),"",VLOOKUP($B172,'Slutlig allokering kvv'!$B$1:$BC$479,MATCH(E$1,'Slutlig allokering kvv'!$B$1:$AU$1,0),FALSE))</f>
        <v/>
      </c>
      <c r="F172" s="121" t="str">
        <f>IF(ISERROR(1/VLOOKUP($B172,Kraftvärmeprod!$B$1:$AV$479,MATCH("Producerad elenergi i kraftvärmeverk (GWh)",Kraftvärmeprod!$B$1:$AV$1,0),FALSE)),"",VLOOKUP($B172,Kraftvärmeprod!$B$1:$AV$479,MATCH("Producerad elenergi i kraftvärmeverk (GWh)",Kraftvärmeprod!$B$1:$AV$1,0),FALSE))</f>
        <v/>
      </c>
      <c r="G172" s="121" t="str">
        <f>IF(ISERROR(1/VLOOKUP($B172,Miljö!$B$1:$T$480,MATCH("Såld mängd produktionsspecifik fjärrvärme (GWh)",Miljö!$B$1:$T$1,0),FALSE)),"",VLOOKUP($B172,Miljö!$B$1:$T$480,MATCH("Såld mängd produktionsspecifik fjärrvärme (GWh)",Miljö!$B$1:$T$1,0),FALSE))</f>
        <v/>
      </c>
      <c r="J172" s="121" t="str">
        <f t="shared" si="2"/>
        <v>Linde Energi AB</v>
      </c>
    </row>
    <row r="173" spans="1:10" x14ac:dyDescent="0.25">
      <c r="A173" s="137" t="s">
        <v>426</v>
      </c>
      <c r="B173" s="137" t="s">
        <v>431</v>
      </c>
      <c r="D173" s="121" t="str">
        <f>IF(ISERROR(1/VLOOKUP($B173,Kraftvärmeprod!$B$1:$D$479,MATCH("Total värmeproduktion i kraftvärmeverk i kombinerad drift (GWh)",Kraftvärmeprod!$B$1:$AV$1,0),FALSE)),"Ej kraftvärme","Alternativproduktionsmetoden")</f>
        <v>Ej kraftvärme</v>
      </c>
      <c r="E173" s="172" t="str">
        <f>IF(ISERROR(1/VLOOKUP($B173,Kraftvärmeprod!$B$1:$BD$479,MATCH("Total värmeproduktion i kraftvärmeverk i kombinerad drift (GWh)",Kraftvärmeprod!$B$1:$AV$1,0),FALSE)),"",VLOOKUP($B173,'Slutlig allokering kvv'!$B$1:$BC$479,MATCH(E$1,'Slutlig allokering kvv'!$B$1:$AU$1,0),FALSE))</f>
        <v/>
      </c>
      <c r="F173" s="121" t="str">
        <f>IF(ISERROR(1/VLOOKUP($B173,Kraftvärmeprod!$B$1:$AV$479,MATCH("Producerad elenergi i kraftvärmeverk (GWh)",Kraftvärmeprod!$B$1:$AV$1,0),FALSE)),"",VLOOKUP($B173,Kraftvärmeprod!$B$1:$AV$479,MATCH("Producerad elenergi i kraftvärmeverk (GWh)",Kraftvärmeprod!$B$1:$AV$1,0),FALSE))</f>
        <v/>
      </c>
      <c r="G173" s="121" t="str">
        <f>IF(ISERROR(1/VLOOKUP($B173,Miljö!$B$1:$T$480,MATCH("Såld mängd produktionsspecifik fjärrvärme (GWh)",Miljö!$B$1:$T$1,0),FALSE)),"",VLOOKUP($B173,Miljö!$B$1:$T$480,MATCH("Såld mängd produktionsspecifik fjärrvärme (GWh)",Miljö!$B$1:$T$1,0),FALSE))</f>
        <v/>
      </c>
      <c r="J173" s="121" t="str">
        <f t="shared" si="2"/>
        <v>Linde Energi AB</v>
      </c>
    </row>
    <row r="174" spans="1:10" x14ac:dyDescent="0.25">
      <c r="A174" s="137" t="s">
        <v>432</v>
      </c>
      <c r="B174" s="137" t="s">
        <v>433</v>
      </c>
      <c r="D174" s="121" t="str">
        <f>IF(ISERROR(1/VLOOKUP($B174,Kraftvärmeprod!$B$1:$D$479,MATCH("Total värmeproduktion i kraftvärmeverk i kombinerad drift (GWh)",Kraftvärmeprod!$B$1:$AV$1,0),FALSE)),"Ej kraftvärme","Alternativproduktionsmetoden")</f>
        <v>Alternativproduktionsmetoden</v>
      </c>
      <c r="E174" s="172">
        <f>IF(ISERROR(1/VLOOKUP($B174,Kraftvärmeprod!$B$1:$BD$479,MATCH("Total värmeproduktion i kraftvärmeverk i kombinerad drift (GWh)",Kraftvärmeprod!$B$1:$AV$1,0),FALSE)),"",VLOOKUP($B174,'Slutlig allokering kvv'!$B$1:$BC$479,MATCH(E$1,'Slutlig allokering kvv'!$B$1:$AU$1,0),FALSE))</f>
        <v>0.75565934219734088</v>
      </c>
      <c r="F174" s="121">
        <f>IF(ISERROR(1/VLOOKUP($B174,Kraftvärmeprod!$B$1:$AV$479,MATCH("Producerad elenergi i kraftvärmeverk (GWh)",Kraftvärmeprod!$B$1:$AV$1,0),FALSE)),"",VLOOKUP($B174,Kraftvärmeprod!$B$1:$AV$479,MATCH("Producerad elenergi i kraftvärmeverk (GWh)",Kraftvärmeprod!$B$1:$AV$1,0),FALSE))</f>
        <v>20.32</v>
      </c>
      <c r="G174" s="121" t="str">
        <f>IF(ISERROR(1/VLOOKUP($B174,Miljö!$B$1:$T$480,MATCH("Såld mängd produktionsspecifik fjärrvärme (GWh)",Miljö!$B$1:$T$1,0),FALSE)),"",VLOOKUP($B174,Miljö!$B$1:$T$480,MATCH("Såld mängd produktionsspecifik fjärrvärme (GWh)",Miljö!$B$1:$T$1,0),FALSE))</f>
        <v/>
      </c>
      <c r="J174" s="121" t="str">
        <f t="shared" si="2"/>
        <v>Ljungby Energi AB</v>
      </c>
    </row>
    <row r="175" spans="1:10" x14ac:dyDescent="0.25">
      <c r="A175" s="137" t="s">
        <v>434</v>
      </c>
      <c r="B175" s="137" t="s">
        <v>435</v>
      </c>
      <c r="D175" s="121" t="str">
        <f>IF(ISERROR(1/VLOOKUP($B175,Kraftvärmeprod!$B$1:$D$479,MATCH("Total värmeproduktion i kraftvärmeverk i kombinerad drift (GWh)",Kraftvärmeprod!$B$1:$AV$1,0),FALSE)),"Ej kraftvärme","Alternativproduktionsmetoden")</f>
        <v>Ej kraftvärme</v>
      </c>
      <c r="E175" s="172" t="str">
        <f>IF(ISERROR(1/VLOOKUP($B175,Kraftvärmeprod!$B$1:$BD$479,MATCH("Total värmeproduktion i kraftvärmeverk i kombinerad drift (GWh)",Kraftvärmeprod!$B$1:$AV$1,0),FALSE)),"",VLOOKUP($B175,'Slutlig allokering kvv'!$B$1:$BC$479,MATCH(E$1,'Slutlig allokering kvv'!$B$1:$AU$1,0),FALSE))</f>
        <v/>
      </c>
      <c r="F175" s="121" t="str">
        <f>IF(ISERROR(1/VLOOKUP($B175,Kraftvärmeprod!$B$1:$AV$479,MATCH("Producerad elenergi i kraftvärmeverk (GWh)",Kraftvärmeprod!$B$1:$AV$1,0),FALSE)),"",VLOOKUP($B175,Kraftvärmeprod!$B$1:$AV$479,MATCH("Producerad elenergi i kraftvärmeverk (GWh)",Kraftvärmeprod!$B$1:$AV$1,0),FALSE))</f>
        <v/>
      </c>
      <c r="G175" s="121" t="str">
        <f>IF(ISERROR(1/VLOOKUP($B175,Miljö!$B$1:$T$480,MATCH("Såld mängd produktionsspecifik fjärrvärme (GWh)",Miljö!$B$1:$T$1,0),FALSE)),"",VLOOKUP($B175,Miljö!$B$1:$T$480,MATCH("Såld mängd produktionsspecifik fjärrvärme (GWh)",Miljö!$B$1:$T$1,0),FALSE))</f>
        <v/>
      </c>
      <c r="J175" s="121" t="str">
        <f t="shared" si="2"/>
        <v>Ljusdal Energi AB</v>
      </c>
    </row>
    <row r="176" spans="1:10" x14ac:dyDescent="0.25">
      <c r="A176" s="137" t="s">
        <v>434</v>
      </c>
      <c r="B176" s="137" t="s">
        <v>436</v>
      </c>
      <c r="D176" s="121" t="str">
        <f>IF(ISERROR(1/VLOOKUP($B176,Kraftvärmeprod!$B$1:$D$479,MATCH("Total värmeproduktion i kraftvärmeverk i kombinerad drift (GWh)",Kraftvärmeprod!$B$1:$AV$1,0),FALSE)),"Ej kraftvärme","Alternativproduktionsmetoden")</f>
        <v>Ej kraftvärme</v>
      </c>
      <c r="E176" s="172" t="str">
        <f>IF(ISERROR(1/VLOOKUP($B176,Kraftvärmeprod!$B$1:$BD$479,MATCH("Total värmeproduktion i kraftvärmeverk i kombinerad drift (GWh)",Kraftvärmeprod!$B$1:$AV$1,0),FALSE)),"",VLOOKUP($B176,'Slutlig allokering kvv'!$B$1:$BC$479,MATCH(E$1,'Slutlig allokering kvv'!$B$1:$AU$1,0),FALSE))</f>
        <v/>
      </c>
      <c r="F176" s="121" t="str">
        <f>IF(ISERROR(1/VLOOKUP($B176,Kraftvärmeprod!$B$1:$AV$479,MATCH("Producerad elenergi i kraftvärmeverk (GWh)",Kraftvärmeprod!$B$1:$AV$1,0),FALSE)),"",VLOOKUP($B176,Kraftvärmeprod!$B$1:$AV$479,MATCH("Producerad elenergi i kraftvärmeverk (GWh)",Kraftvärmeprod!$B$1:$AV$1,0),FALSE))</f>
        <v/>
      </c>
      <c r="G176" s="121" t="str">
        <f>IF(ISERROR(1/VLOOKUP($B176,Miljö!$B$1:$T$480,MATCH("Såld mängd produktionsspecifik fjärrvärme (GWh)",Miljö!$B$1:$T$1,0),FALSE)),"",VLOOKUP($B176,Miljö!$B$1:$T$480,MATCH("Såld mängd produktionsspecifik fjärrvärme (GWh)",Miljö!$B$1:$T$1,0),FALSE))</f>
        <v/>
      </c>
      <c r="J176" s="121" t="str">
        <f t="shared" si="2"/>
        <v>Ljusdal Energi AB</v>
      </c>
    </row>
    <row r="177" spans="1:10" x14ac:dyDescent="0.25">
      <c r="A177" s="137" t="s">
        <v>434</v>
      </c>
      <c r="B177" s="137" t="s">
        <v>437</v>
      </c>
      <c r="D177" s="121" t="str">
        <f>IF(ISERROR(1/VLOOKUP($B177,Kraftvärmeprod!$B$1:$D$479,MATCH("Total värmeproduktion i kraftvärmeverk i kombinerad drift (GWh)",Kraftvärmeprod!$B$1:$AV$1,0),FALSE)),"Ej kraftvärme","Alternativproduktionsmetoden")</f>
        <v>Ej kraftvärme</v>
      </c>
      <c r="E177" s="172" t="str">
        <f>IF(ISERROR(1/VLOOKUP($B177,Kraftvärmeprod!$B$1:$BD$479,MATCH("Total värmeproduktion i kraftvärmeverk i kombinerad drift (GWh)",Kraftvärmeprod!$B$1:$AV$1,0),FALSE)),"",VLOOKUP($B177,'Slutlig allokering kvv'!$B$1:$BC$479,MATCH(E$1,'Slutlig allokering kvv'!$B$1:$AU$1,0),FALSE))</f>
        <v/>
      </c>
      <c r="F177" s="121" t="str">
        <f>IF(ISERROR(1/VLOOKUP($B177,Kraftvärmeprod!$B$1:$AV$479,MATCH("Producerad elenergi i kraftvärmeverk (GWh)",Kraftvärmeprod!$B$1:$AV$1,0),FALSE)),"",VLOOKUP($B177,Kraftvärmeprod!$B$1:$AV$479,MATCH("Producerad elenergi i kraftvärmeverk (GWh)",Kraftvärmeprod!$B$1:$AV$1,0),FALSE))</f>
        <v/>
      </c>
      <c r="G177" s="121" t="str">
        <f>IF(ISERROR(1/VLOOKUP($B177,Miljö!$B$1:$T$480,MATCH("Såld mängd produktionsspecifik fjärrvärme (GWh)",Miljö!$B$1:$T$1,0),FALSE)),"",VLOOKUP($B177,Miljö!$B$1:$T$480,MATCH("Såld mängd produktionsspecifik fjärrvärme (GWh)",Miljö!$B$1:$T$1,0),FALSE))</f>
        <v/>
      </c>
      <c r="J177" s="121" t="str">
        <f t="shared" si="2"/>
        <v>Ljusdal Energi AB</v>
      </c>
    </row>
    <row r="178" spans="1:10" x14ac:dyDescent="0.25">
      <c r="A178" s="137" t="s">
        <v>438</v>
      </c>
      <c r="B178" s="137" t="s">
        <v>439</v>
      </c>
      <c r="D178" s="121" t="str">
        <f>IF(ISERROR(1/VLOOKUP($B178,Kraftvärmeprod!$B$1:$D$479,MATCH("Total värmeproduktion i kraftvärmeverk i kombinerad drift (GWh)",Kraftvärmeprod!$B$1:$AV$1,0),FALSE)),"Ej kraftvärme","Alternativproduktionsmetoden")</f>
        <v>Ej kraftvärme</v>
      </c>
      <c r="E178" s="172" t="str">
        <f>IF(ISERROR(1/VLOOKUP($B178,Kraftvärmeprod!$B$1:$BD$479,MATCH("Total värmeproduktion i kraftvärmeverk i kombinerad drift (GWh)",Kraftvärmeprod!$B$1:$AV$1,0),FALSE)),"",VLOOKUP($B178,'Slutlig allokering kvv'!$B$1:$BC$479,MATCH(E$1,'Slutlig allokering kvv'!$B$1:$AU$1,0),FALSE))</f>
        <v/>
      </c>
      <c r="F178" s="121" t="str">
        <f>IF(ISERROR(1/VLOOKUP($B178,Kraftvärmeprod!$B$1:$AV$479,MATCH("Producerad elenergi i kraftvärmeverk (GWh)",Kraftvärmeprod!$B$1:$AV$1,0),FALSE)),"",VLOOKUP($B178,Kraftvärmeprod!$B$1:$AV$479,MATCH("Producerad elenergi i kraftvärmeverk (GWh)",Kraftvärmeprod!$B$1:$AV$1,0),FALSE))</f>
        <v/>
      </c>
      <c r="G178" s="121" t="str">
        <f>IF(ISERROR(1/VLOOKUP($B178,Miljö!$B$1:$T$480,MATCH("Såld mängd produktionsspecifik fjärrvärme (GWh)",Miljö!$B$1:$T$1,0),FALSE)),"",VLOOKUP($B178,Miljö!$B$1:$T$480,MATCH("Såld mängd produktionsspecifik fjärrvärme (GWh)",Miljö!$B$1:$T$1,0),FALSE))</f>
        <v/>
      </c>
      <c r="J178" s="121" t="str">
        <f t="shared" si="2"/>
        <v>Luleå Energi AB</v>
      </c>
    </row>
    <row r="179" spans="1:10" x14ac:dyDescent="0.25">
      <c r="A179" s="137" t="s">
        <v>438</v>
      </c>
      <c r="B179" s="137" t="s">
        <v>440</v>
      </c>
      <c r="D179" s="121" t="str">
        <f>IF(ISERROR(1/VLOOKUP($B179,Kraftvärmeprod!$B$1:$D$479,MATCH("Total värmeproduktion i kraftvärmeverk i kombinerad drift (GWh)",Kraftvärmeprod!$B$1:$AV$1,0),FALSE)),"Ej kraftvärme","Alternativproduktionsmetoden")</f>
        <v>Ej kraftvärme</v>
      </c>
      <c r="E179" s="172" t="str">
        <f>IF(ISERROR(1/VLOOKUP($B179,Kraftvärmeprod!$B$1:$BD$479,MATCH("Total värmeproduktion i kraftvärmeverk i kombinerad drift (GWh)",Kraftvärmeprod!$B$1:$AV$1,0),FALSE)),"",VLOOKUP($B179,'Slutlig allokering kvv'!$B$1:$BC$479,MATCH(E$1,'Slutlig allokering kvv'!$B$1:$AU$1,0),FALSE))</f>
        <v/>
      </c>
      <c r="F179" s="121" t="str">
        <f>IF(ISERROR(1/VLOOKUP($B179,Kraftvärmeprod!$B$1:$AV$479,MATCH("Producerad elenergi i kraftvärmeverk (GWh)",Kraftvärmeprod!$B$1:$AV$1,0),FALSE)),"",VLOOKUP($B179,Kraftvärmeprod!$B$1:$AV$479,MATCH("Producerad elenergi i kraftvärmeverk (GWh)",Kraftvärmeprod!$B$1:$AV$1,0),FALSE))</f>
        <v/>
      </c>
      <c r="G179" s="121" t="str">
        <f>IF(ISERROR(1/VLOOKUP($B179,Miljö!$B$1:$T$480,MATCH("Såld mängd produktionsspecifik fjärrvärme (GWh)",Miljö!$B$1:$T$1,0),FALSE)),"",VLOOKUP($B179,Miljö!$B$1:$T$480,MATCH("Såld mängd produktionsspecifik fjärrvärme (GWh)",Miljö!$B$1:$T$1,0),FALSE))</f>
        <v/>
      </c>
      <c r="J179" s="121" t="str">
        <f t="shared" si="2"/>
        <v>Luleå Energi AB</v>
      </c>
    </row>
    <row r="180" spans="1:10" x14ac:dyDescent="0.25">
      <c r="A180" s="137" t="s">
        <v>438</v>
      </c>
      <c r="B180" s="137" t="s">
        <v>441</v>
      </c>
      <c r="D180" s="121" t="str">
        <f>IF(ISERROR(1/VLOOKUP($B180,Kraftvärmeprod!$B$1:$D$479,MATCH("Total värmeproduktion i kraftvärmeverk i kombinerad drift (GWh)",Kraftvärmeprod!$B$1:$AV$1,0),FALSE)),"Ej kraftvärme","Alternativproduktionsmetoden")</f>
        <v>Ej kraftvärme</v>
      </c>
      <c r="E180" s="172" t="str">
        <f>IF(ISERROR(1/VLOOKUP($B180,Kraftvärmeprod!$B$1:$BD$479,MATCH("Total värmeproduktion i kraftvärmeverk i kombinerad drift (GWh)",Kraftvärmeprod!$B$1:$AV$1,0),FALSE)),"",VLOOKUP($B180,'Slutlig allokering kvv'!$B$1:$BC$479,MATCH(E$1,'Slutlig allokering kvv'!$B$1:$AU$1,0),FALSE))</f>
        <v/>
      </c>
      <c r="F180" s="121" t="str">
        <f>IF(ISERROR(1/VLOOKUP($B180,Kraftvärmeprod!$B$1:$AV$479,MATCH("Producerad elenergi i kraftvärmeverk (GWh)",Kraftvärmeprod!$B$1:$AV$1,0),FALSE)),"",VLOOKUP($B180,Kraftvärmeprod!$B$1:$AV$479,MATCH("Producerad elenergi i kraftvärmeverk (GWh)",Kraftvärmeprod!$B$1:$AV$1,0),FALSE))</f>
        <v/>
      </c>
      <c r="G180" s="121" t="str">
        <f>IF(ISERROR(1/VLOOKUP($B180,Miljö!$B$1:$T$480,MATCH("Såld mängd produktionsspecifik fjärrvärme (GWh)",Miljö!$B$1:$T$1,0),FALSE)),"",VLOOKUP($B180,Miljö!$B$1:$T$480,MATCH("Såld mängd produktionsspecifik fjärrvärme (GWh)",Miljö!$B$1:$T$1,0),FALSE))</f>
        <v/>
      </c>
      <c r="J180" s="121" t="str">
        <f t="shared" si="2"/>
        <v>Luleå Energi AB</v>
      </c>
    </row>
    <row r="181" spans="1:10" x14ac:dyDescent="0.25">
      <c r="A181" s="137" t="s">
        <v>442</v>
      </c>
      <c r="B181" s="137" t="s">
        <v>443</v>
      </c>
      <c r="D181" s="121" t="str">
        <f>IF(ISERROR(1/VLOOKUP($B181,Kraftvärmeprod!$B$1:$D$479,MATCH("Total värmeproduktion i kraftvärmeverk i kombinerad drift (GWh)",Kraftvärmeprod!$B$1:$AV$1,0),FALSE)),"Ej kraftvärme","Alternativproduktionsmetoden")</f>
        <v>Ej kraftvärme</v>
      </c>
      <c r="E181" s="172" t="str">
        <f>IF(ISERROR(1/VLOOKUP($B181,Kraftvärmeprod!$B$1:$BD$479,MATCH("Total värmeproduktion i kraftvärmeverk i kombinerad drift (GWh)",Kraftvärmeprod!$B$1:$AV$1,0),FALSE)),"",VLOOKUP($B181,'Slutlig allokering kvv'!$B$1:$BC$479,MATCH(E$1,'Slutlig allokering kvv'!$B$1:$AU$1,0),FALSE))</f>
        <v/>
      </c>
      <c r="F181" s="121" t="str">
        <f>IF(ISERROR(1/VLOOKUP($B181,Kraftvärmeprod!$B$1:$AV$479,MATCH("Producerad elenergi i kraftvärmeverk (GWh)",Kraftvärmeprod!$B$1:$AV$1,0),FALSE)),"",VLOOKUP($B181,Kraftvärmeprod!$B$1:$AV$479,MATCH("Producerad elenergi i kraftvärmeverk (GWh)",Kraftvärmeprod!$B$1:$AV$1,0),FALSE))</f>
        <v/>
      </c>
      <c r="G181" s="121" t="str">
        <f>IF(ISERROR(1/VLOOKUP($B181,Miljö!$B$1:$T$480,MATCH("Såld mängd produktionsspecifik fjärrvärme (GWh)",Miljö!$B$1:$T$1,0),FALSE)),"",VLOOKUP($B181,Miljö!$B$1:$T$480,MATCH("Såld mängd produktionsspecifik fjärrvärme (GWh)",Miljö!$B$1:$T$1,0),FALSE))</f>
        <v/>
      </c>
      <c r="J181" s="121" t="str">
        <f t="shared" si="2"/>
        <v>Malung-Sälens kommun</v>
      </c>
    </row>
    <row r="182" spans="1:10" x14ac:dyDescent="0.25">
      <c r="A182" s="137" t="s">
        <v>444</v>
      </c>
      <c r="B182" s="137" t="s">
        <v>445</v>
      </c>
      <c r="D182" s="121" t="str">
        <f>IF(ISERROR(1/VLOOKUP($B182,Kraftvärmeprod!$B$1:$D$479,MATCH("Total värmeproduktion i kraftvärmeverk i kombinerad drift (GWh)",Kraftvärmeprod!$B$1:$AV$1,0),FALSE)),"Ej kraftvärme","Alternativproduktionsmetoden")</f>
        <v>Alternativproduktionsmetoden</v>
      </c>
      <c r="E182" s="172">
        <f>IF(ISERROR(1/VLOOKUP($B182,Kraftvärmeprod!$B$1:$BD$479,MATCH("Total värmeproduktion i kraftvärmeverk i kombinerad drift (GWh)",Kraftvärmeprod!$B$1:$AV$1,0),FALSE)),"",VLOOKUP($B182,'Slutlig allokering kvv'!$B$1:$BC$479,MATCH(E$1,'Slutlig allokering kvv'!$B$1:$AU$1,0),FALSE))</f>
        <v>0.7135192020482185</v>
      </c>
      <c r="F182" s="121">
        <f>IF(ISERROR(1/VLOOKUP($B182,Kraftvärmeprod!$B$1:$AV$479,MATCH("Producerad elenergi i kraftvärmeverk (GWh)",Kraftvärmeprod!$B$1:$AV$1,0),FALSE)),"",VLOOKUP($B182,Kraftvärmeprod!$B$1:$AV$479,MATCH("Producerad elenergi i kraftvärmeverk (GWh)",Kraftvärmeprod!$B$1:$AV$1,0),FALSE))</f>
        <v>10.8</v>
      </c>
      <c r="G182" s="121" t="str">
        <f>IF(ISERROR(1/VLOOKUP($B182,Miljö!$B$1:$T$480,MATCH("Såld mängd produktionsspecifik fjärrvärme (GWh)",Miljö!$B$1:$T$1,0),FALSE)),"",VLOOKUP($B182,Miljö!$B$1:$T$480,MATCH("Såld mängd produktionsspecifik fjärrvärme (GWh)",Miljö!$B$1:$T$1,0),FALSE))</f>
        <v/>
      </c>
      <c r="J182" s="121" t="str">
        <f t="shared" si="2"/>
        <v>Mark Kraftvärme AB</v>
      </c>
    </row>
    <row r="183" spans="1:10" x14ac:dyDescent="0.25">
      <c r="A183" s="137" t="s">
        <v>444</v>
      </c>
      <c r="B183" s="137" t="s">
        <v>446</v>
      </c>
      <c r="D183" s="121" t="str">
        <f>IF(ISERROR(1/VLOOKUP($B183,Kraftvärmeprod!$B$1:$D$479,MATCH("Total värmeproduktion i kraftvärmeverk i kombinerad drift (GWh)",Kraftvärmeprod!$B$1:$AV$1,0),FALSE)),"Ej kraftvärme","Alternativproduktionsmetoden")</f>
        <v>Ej kraftvärme</v>
      </c>
      <c r="E183" s="172" t="str">
        <f>IF(ISERROR(1/VLOOKUP($B183,Kraftvärmeprod!$B$1:$BD$479,MATCH("Total värmeproduktion i kraftvärmeverk i kombinerad drift (GWh)",Kraftvärmeprod!$B$1:$AV$1,0),FALSE)),"",VLOOKUP($B183,'Slutlig allokering kvv'!$B$1:$BC$479,MATCH(E$1,'Slutlig allokering kvv'!$B$1:$AU$1,0),FALSE))</f>
        <v/>
      </c>
      <c r="F183" s="121" t="str">
        <f>IF(ISERROR(1/VLOOKUP($B183,Kraftvärmeprod!$B$1:$AV$479,MATCH("Producerad elenergi i kraftvärmeverk (GWh)",Kraftvärmeprod!$B$1:$AV$1,0),FALSE)),"",VLOOKUP($B183,Kraftvärmeprod!$B$1:$AV$479,MATCH("Producerad elenergi i kraftvärmeverk (GWh)",Kraftvärmeprod!$B$1:$AV$1,0),FALSE))</f>
        <v/>
      </c>
      <c r="G183" s="121" t="str">
        <f>IF(ISERROR(1/VLOOKUP($B183,Miljö!$B$1:$T$480,MATCH("Såld mängd produktionsspecifik fjärrvärme (GWh)",Miljö!$B$1:$T$1,0),FALSE)),"",VLOOKUP($B183,Miljö!$B$1:$T$480,MATCH("Såld mängd produktionsspecifik fjärrvärme (GWh)",Miljö!$B$1:$T$1,0),FALSE))</f>
        <v/>
      </c>
      <c r="J183" s="121" t="str">
        <f t="shared" si="2"/>
        <v>Mark Kraftvärme AB</v>
      </c>
    </row>
    <row r="184" spans="1:10" x14ac:dyDescent="0.25">
      <c r="A184" s="137" t="s">
        <v>447</v>
      </c>
      <c r="B184" s="137" t="s">
        <v>448</v>
      </c>
      <c r="D184" s="121" t="str">
        <f>IF(ISERROR(1/VLOOKUP($B184,Kraftvärmeprod!$B$1:$D$479,MATCH("Total värmeproduktion i kraftvärmeverk i kombinerad drift (GWh)",Kraftvärmeprod!$B$1:$AV$1,0),FALSE)),"Ej kraftvärme","Alternativproduktionsmetoden")</f>
        <v>Alternativproduktionsmetoden</v>
      </c>
      <c r="E184" s="172">
        <f>IF(ISERROR(1/VLOOKUP($B184,Kraftvärmeprod!$B$1:$BD$479,MATCH("Total värmeproduktion i kraftvärmeverk i kombinerad drift (GWh)",Kraftvärmeprod!$B$1:$AV$1,0),FALSE)),"",VLOOKUP($B184,'Slutlig allokering kvv'!$B$1:$BC$479,MATCH(E$1,'Slutlig allokering kvv'!$B$1:$AU$1,0),FALSE))</f>
        <v>0.52580259765142146</v>
      </c>
      <c r="F184" s="121">
        <f>IF(ISERROR(1/VLOOKUP($B184,Kraftvärmeprod!$B$1:$AV$479,MATCH("Producerad elenergi i kraftvärmeverk (GWh)",Kraftvärmeprod!$B$1:$AV$1,0),FALSE)),"",VLOOKUP($B184,Kraftvärmeprod!$B$1:$AV$479,MATCH("Producerad elenergi i kraftvärmeverk (GWh)",Kraftvärmeprod!$B$1:$AV$1,0),FALSE))</f>
        <v>33.4</v>
      </c>
      <c r="G184" s="121" t="str">
        <f>IF(ISERROR(1/VLOOKUP($B184,Miljö!$B$1:$T$480,MATCH("Såld mängd produktionsspecifik fjärrvärme (GWh)",Miljö!$B$1:$T$1,0),FALSE)),"",VLOOKUP($B184,Miljö!$B$1:$T$480,MATCH("Såld mängd produktionsspecifik fjärrvärme (GWh)",Miljö!$B$1:$T$1,0),FALSE))</f>
        <v/>
      </c>
      <c r="J184" s="121" t="str">
        <f t="shared" si="2"/>
        <v>Mjölby-Svartådalen Energi AB</v>
      </c>
    </row>
    <row r="185" spans="1:10" x14ac:dyDescent="0.25">
      <c r="A185" s="137" t="s">
        <v>449</v>
      </c>
      <c r="B185" s="137" t="s">
        <v>450</v>
      </c>
      <c r="D185" s="121" t="str">
        <f>IF(ISERROR(1/VLOOKUP($B185,Kraftvärmeprod!$B$1:$D$479,MATCH("Total värmeproduktion i kraftvärmeverk i kombinerad drift (GWh)",Kraftvärmeprod!$B$1:$AV$1,0),FALSE)),"Ej kraftvärme","Alternativproduktionsmetoden")</f>
        <v>Ej kraftvärme</v>
      </c>
      <c r="E185" s="172" t="str">
        <f>IF(ISERROR(1/VLOOKUP($B185,Kraftvärmeprod!$B$1:$BD$479,MATCH("Total värmeproduktion i kraftvärmeverk i kombinerad drift (GWh)",Kraftvärmeprod!$B$1:$AV$1,0),FALSE)),"",VLOOKUP($B185,'Slutlig allokering kvv'!$B$1:$BC$479,MATCH(E$1,'Slutlig allokering kvv'!$B$1:$AU$1,0),FALSE))</f>
        <v/>
      </c>
      <c r="F185" s="121" t="str">
        <f>IF(ISERROR(1/VLOOKUP($B185,Kraftvärmeprod!$B$1:$AV$479,MATCH("Producerad elenergi i kraftvärmeverk (GWh)",Kraftvärmeprod!$B$1:$AV$1,0),FALSE)),"",VLOOKUP($B185,Kraftvärmeprod!$B$1:$AV$479,MATCH("Producerad elenergi i kraftvärmeverk (GWh)",Kraftvärmeprod!$B$1:$AV$1,0),FALSE))</f>
        <v/>
      </c>
      <c r="G185" s="121" t="str">
        <f>IF(ISERROR(1/VLOOKUP($B185,Miljö!$B$1:$T$480,MATCH("Såld mängd produktionsspecifik fjärrvärme (GWh)",Miljö!$B$1:$T$1,0),FALSE)),"",VLOOKUP($B185,Miljö!$B$1:$T$480,MATCH("Såld mängd produktionsspecifik fjärrvärme (GWh)",Miljö!$B$1:$T$1,0),FALSE))</f>
        <v/>
      </c>
      <c r="J185" s="121" t="str">
        <f t="shared" si="2"/>
        <v>Mullsjö Energi &amp; Miljö AB</v>
      </c>
    </row>
    <row r="186" spans="1:10" x14ac:dyDescent="0.25">
      <c r="A186" s="137" t="s">
        <v>451</v>
      </c>
      <c r="B186" s="137" t="s">
        <v>452</v>
      </c>
      <c r="D186" s="121" t="str">
        <f>IF(ISERROR(1/VLOOKUP($B186,Kraftvärmeprod!$B$1:$D$479,MATCH("Total värmeproduktion i kraftvärmeverk i kombinerad drift (GWh)",Kraftvärmeprod!$B$1:$AV$1,0),FALSE)),"Ej kraftvärme","Alternativproduktionsmetoden")</f>
        <v>Ej kraftvärme</v>
      </c>
      <c r="E186" s="172" t="str">
        <f>IF(ISERROR(1/VLOOKUP($B186,Kraftvärmeprod!$B$1:$BD$479,MATCH("Total värmeproduktion i kraftvärmeverk i kombinerad drift (GWh)",Kraftvärmeprod!$B$1:$AV$1,0),FALSE)),"",VLOOKUP($B186,'Slutlig allokering kvv'!$B$1:$BC$479,MATCH(E$1,'Slutlig allokering kvv'!$B$1:$AU$1,0),FALSE))</f>
        <v/>
      </c>
      <c r="F186" s="121" t="str">
        <f>IF(ISERROR(1/VLOOKUP($B186,Kraftvärmeprod!$B$1:$AV$479,MATCH("Producerad elenergi i kraftvärmeverk (GWh)",Kraftvärmeprod!$B$1:$AV$1,0),FALSE)),"",VLOOKUP($B186,Kraftvärmeprod!$B$1:$AV$479,MATCH("Producerad elenergi i kraftvärmeverk (GWh)",Kraftvärmeprod!$B$1:$AV$1,0),FALSE))</f>
        <v/>
      </c>
      <c r="G186" s="121" t="str">
        <f>IF(ISERROR(1/VLOOKUP($B186,Miljö!$B$1:$T$480,MATCH("Såld mängd produktionsspecifik fjärrvärme (GWh)",Miljö!$B$1:$T$1,0),FALSE)),"",VLOOKUP($B186,Miljö!$B$1:$T$480,MATCH("Såld mängd produktionsspecifik fjärrvärme (GWh)",Miljö!$B$1:$T$1,0),FALSE))</f>
        <v/>
      </c>
      <c r="J186" s="121" t="str">
        <f t="shared" si="2"/>
        <v>Munkfors Energi AB</v>
      </c>
    </row>
    <row r="187" spans="1:10" x14ac:dyDescent="0.25">
      <c r="A187" s="137" t="s">
        <v>453</v>
      </c>
      <c r="B187" s="137" t="s">
        <v>454</v>
      </c>
      <c r="D187" s="121" t="str">
        <f>IF(ISERROR(1/VLOOKUP($B187,Kraftvärmeprod!$B$1:$D$479,MATCH("Total värmeproduktion i kraftvärmeverk i kombinerad drift (GWh)",Kraftvärmeprod!$B$1:$AV$1,0),FALSE)),"Ej kraftvärme","Alternativproduktionsmetoden")</f>
        <v>Ej kraftvärme</v>
      </c>
      <c r="E187" s="172" t="str">
        <f>IF(ISERROR(1/VLOOKUP($B187,Kraftvärmeprod!$B$1:$BD$479,MATCH("Total värmeproduktion i kraftvärmeverk i kombinerad drift (GWh)",Kraftvärmeprod!$B$1:$AV$1,0),FALSE)),"",VLOOKUP($B187,'Slutlig allokering kvv'!$B$1:$BC$479,MATCH(E$1,'Slutlig allokering kvv'!$B$1:$AU$1,0),FALSE))</f>
        <v/>
      </c>
      <c r="F187" s="121" t="str">
        <f>IF(ISERROR(1/VLOOKUP($B187,Kraftvärmeprod!$B$1:$AV$479,MATCH("Producerad elenergi i kraftvärmeverk (GWh)",Kraftvärmeprod!$B$1:$AV$1,0),FALSE)),"",VLOOKUP($B187,Kraftvärmeprod!$B$1:$AV$479,MATCH("Producerad elenergi i kraftvärmeverk (GWh)",Kraftvärmeprod!$B$1:$AV$1,0),FALSE))</f>
        <v/>
      </c>
      <c r="G187" s="121" t="str">
        <f>IF(ISERROR(1/VLOOKUP($B187,Miljö!$B$1:$T$480,MATCH("Såld mängd produktionsspecifik fjärrvärme (GWh)",Miljö!$B$1:$T$1,0),FALSE)),"",VLOOKUP($B187,Miljö!$B$1:$T$480,MATCH("Såld mängd produktionsspecifik fjärrvärme (GWh)",Miljö!$B$1:$T$1,0),FALSE))</f>
        <v/>
      </c>
      <c r="J187" s="121" t="str">
        <f t="shared" si="2"/>
        <v>Mälarenergi AB</v>
      </c>
    </row>
    <row r="188" spans="1:10" x14ac:dyDescent="0.25">
      <c r="A188" s="137" t="s">
        <v>453</v>
      </c>
      <c r="B188" s="137" t="s">
        <v>126</v>
      </c>
      <c r="D188" s="121" t="str">
        <f>IF(ISERROR(1/VLOOKUP($B188,Kraftvärmeprod!$B$1:$D$479,MATCH("Total värmeproduktion i kraftvärmeverk i kombinerad drift (GWh)",Kraftvärmeprod!$B$1:$AV$1,0),FALSE)),"Ej kraftvärme","Alternativproduktionsmetoden")</f>
        <v>Ej kraftvärme</v>
      </c>
      <c r="E188" s="172" t="str">
        <f>IF(ISERROR(1/VLOOKUP($B188,Kraftvärmeprod!$B$1:$BD$479,MATCH("Total värmeproduktion i kraftvärmeverk i kombinerad drift (GWh)",Kraftvärmeprod!$B$1:$AV$1,0),FALSE)),"",VLOOKUP($B188,'Slutlig allokering kvv'!$B$1:$BC$479,MATCH(E$1,'Slutlig allokering kvv'!$B$1:$AU$1,0),FALSE))</f>
        <v/>
      </c>
      <c r="F188" s="121" t="str">
        <f>IF(ISERROR(1/VLOOKUP($B188,Kraftvärmeprod!$B$1:$AV$479,MATCH("Producerad elenergi i kraftvärmeverk (GWh)",Kraftvärmeprod!$B$1:$AV$1,0),FALSE)),"",VLOOKUP($B188,Kraftvärmeprod!$B$1:$AV$479,MATCH("Producerad elenergi i kraftvärmeverk (GWh)",Kraftvärmeprod!$B$1:$AV$1,0),FALSE))</f>
        <v/>
      </c>
      <c r="G188" s="121" t="str">
        <f>IF(ISERROR(1/VLOOKUP($B188,Miljö!$B$1:$T$480,MATCH("Såld mängd produktionsspecifik fjärrvärme (GWh)",Miljö!$B$1:$T$1,0),FALSE)),"",VLOOKUP($B188,Miljö!$B$1:$T$480,MATCH("Såld mängd produktionsspecifik fjärrvärme (GWh)",Miljö!$B$1:$T$1,0),FALSE))</f>
        <v/>
      </c>
      <c r="J188" s="121" t="str">
        <f t="shared" si="2"/>
        <v>Mälarenergi AB</v>
      </c>
    </row>
    <row r="189" spans="1:10" x14ac:dyDescent="0.25">
      <c r="A189" s="137" t="s">
        <v>453</v>
      </c>
      <c r="B189" s="137" t="s">
        <v>455</v>
      </c>
      <c r="D189" s="121" t="str">
        <f>IF(ISERROR(1/VLOOKUP($B189,Kraftvärmeprod!$B$1:$D$479,MATCH("Total värmeproduktion i kraftvärmeverk i kombinerad drift (GWh)",Kraftvärmeprod!$B$1:$AV$1,0),FALSE)),"Ej kraftvärme","Alternativproduktionsmetoden")</f>
        <v>Alternativproduktionsmetoden</v>
      </c>
      <c r="E189" s="172">
        <f>IF(ISERROR(1/VLOOKUP($B189,Kraftvärmeprod!$B$1:$BD$479,MATCH("Total värmeproduktion i kraftvärmeverk i kombinerad drift (GWh)",Kraftvärmeprod!$B$1:$AV$1,0),FALSE)),"",VLOOKUP($B189,'Slutlig allokering kvv'!$B$1:$BC$479,MATCH(E$1,'Slutlig allokering kvv'!$B$1:$AU$1,0),FALSE))</f>
        <v>0.45640962820613384</v>
      </c>
      <c r="F189" s="121">
        <f>IF(ISERROR(1/VLOOKUP($B189,Kraftvärmeprod!$B$1:$AV$479,MATCH("Producerad elenergi i kraftvärmeverk (GWh)",Kraftvärmeprod!$B$1:$AV$1,0),FALSE)),"",VLOOKUP($B189,Kraftvärmeprod!$B$1:$AV$479,MATCH("Producerad elenergi i kraftvärmeverk (GWh)",Kraftvärmeprod!$B$1:$AV$1,0),FALSE))</f>
        <v>341.96</v>
      </c>
      <c r="G189" s="121" t="str">
        <f>IF(ISERROR(1/VLOOKUP($B189,Miljö!$B$1:$T$480,MATCH("Såld mängd produktionsspecifik fjärrvärme (GWh)",Miljö!$B$1:$T$1,0),FALSE)),"",VLOOKUP($B189,Miljö!$B$1:$T$480,MATCH("Såld mängd produktionsspecifik fjärrvärme (GWh)",Miljö!$B$1:$T$1,0),FALSE))</f>
        <v/>
      </c>
      <c r="J189" s="121" t="str">
        <f t="shared" si="2"/>
        <v>Mälarenergi AB</v>
      </c>
    </row>
    <row r="190" spans="1:10" x14ac:dyDescent="0.25">
      <c r="A190" s="137" t="s">
        <v>453</v>
      </c>
      <c r="B190" s="137" t="s">
        <v>456</v>
      </c>
      <c r="D190" s="121" t="str">
        <f>IF(ISERROR(1/VLOOKUP($B190,Kraftvärmeprod!$B$1:$D$479,MATCH("Total värmeproduktion i kraftvärmeverk i kombinerad drift (GWh)",Kraftvärmeprod!$B$1:$AV$1,0),FALSE)),"Ej kraftvärme","Alternativproduktionsmetoden")</f>
        <v>Alternativproduktionsmetoden</v>
      </c>
      <c r="E190" s="172">
        <f>IF(ISERROR(1/VLOOKUP($B190,Kraftvärmeprod!$B$1:$BD$479,MATCH("Total värmeproduktion i kraftvärmeverk i kombinerad drift (GWh)",Kraftvärmeprod!$B$1:$AV$1,0),FALSE)),"",VLOOKUP($B190,'Slutlig allokering kvv'!$B$1:$BC$479,MATCH(E$1,'Slutlig allokering kvv'!$B$1:$AU$1,0),FALSE))</f>
        <v>0.47382597691050055</v>
      </c>
      <c r="F190" s="121">
        <f>IF(ISERROR(1/VLOOKUP($B190,Kraftvärmeprod!$B$1:$AV$479,MATCH("Producerad elenergi i kraftvärmeverk (GWh)",Kraftvärmeprod!$B$1:$AV$1,0),FALSE)),"",VLOOKUP($B190,Kraftvärmeprod!$B$1:$AV$479,MATCH("Producerad elenergi i kraftvärmeverk (GWh)",Kraftvärmeprod!$B$1:$AV$1,0),FALSE))</f>
        <v>15.3155</v>
      </c>
      <c r="G190" s="121" t="str">
        <f>IF(ISERROR(1/VLOOKUP($B190,Miljö!$B$1:$T$480,MATCH("Såld mängd produktionsspecifik fjärrvärme (GWh)",Miljö!$B$1:$T$1,0),FALSE)),"",VLOOKUP($B190,Miljö!$B$1:$T$480,MATCH("Såld mängd produktionsspecifik fjärrvärme (GWh)",Miljö!$B$1:$T$1,0),FALSE))</f>
        <v/>
      </c>
      <c r="J190" s="121" t="str">
        <f t="shared" si="2"/>
        <v>Mälarenergi AB</v>
      </c>
    </row>
    <row r="191" spans="1:10" x14ac:dyDescent="0.25">
      <c r="A191" s="137" t="s">
        <v>457</v>
      </c>
      <c r="B191" s="137" t="s">
        <v>458</v>
      </c>
      <c r="D191" s="121" t="str">
        <f>IF(ISERROR(1/VLOOKUP($B191,Kraftvärmeprod!$B$1:$D$479,MATCH("Total värmeproduktion i kraftvärmeverk i kombinerad drift (GWh)",Kraftvärmeprod!$B$1:$AV$1,0),FALSE)),"Ej kraftvärme","Alternativproduktionsmetoden")</f>
        <v>Alternativproduktionsmetoden</v>
      </c>
      <c r="E191" s="172">
        <f>IF(ISERROR(1/VLOOKUP($B191,Kraftvärmeprod!$B$1:$BD$479,MATCH("Total värmeproduktion i kraftvärmeverk i kombinerad drift (GWh)",Kraftvärmeprod!$B$1:$AV$1,0),FALSE)),"",VLOOKUP($B191,'Slutlig allokering kvv'!$B$1:$BC$479,MATCH(E$1,'Slutlig allokering kvv'!$B$1:$AU$1,0),FALSE))</f>
        <v>0.46138094940759594</v>
      </c>
      <c r="F191" s="121">
        <f>IF(ISERROR(1/VLOOKUP($B191,Kraftvärmeprod!$B$1:$AV$479,MATCH("Producerad elenergi i kraftvärmeverk (GWh)",Kraftvärmeprod!$B$1:$AV$1,0),FALSE)),"",VLOOKUP($B191,Kraftvärmeprod!$B$1:$AV$479,MATCH("Producerad elenergi i kraftvärmeverk (GWh)",Kraftvärmeprod!$B$1:$AV$1,0),FALSE))</f>
        <v>97.036000000000001</v>
      </c>
      <c r="G191" s="121">
        <f>IF(ISERROR(1/VLOOKUP($B191,Miljö!$B$1:$T$480,MATCH("Såld mängd produktionsspecifik fjärrvärme (GWh)",Miljö!$B$1:$T$1,0),FALSE)),"",VLOOKUP($B191,Miljö!$B$1:$T$480,MATCH("Såld mängd produktionsspecifik fjärrvärme (GWh)",Miljö!$B$1:$T$1,0),FALSE))</f>
        <v>98.92</v>
      </c>
      <c r="J191" s="121" t="str">
        <f t="shared" si="2"/>
        <v>Mölndal Energi AB</v>
      </c>
    </row>
    <row r="192" spans="1:10" x14ac:dyDescent="0.25">
      <c r="A192" s="137" t="s">
        <v>457</v>
      </c>
      <c r="B192" s="137" t="s">
        <v>459</v>
      </c>
      <c r="D192" s="121" t="str">
        <f>IF(ISERROR(1/VLOOKUP($B192,Kraftvärmeprod!$B$1:$D$479,MATCH("Total värmeproduktion i kraftvärmeverk i kombinerad drift (GWh)",Kraftvärmeprod!$B$1:$AV$1,0),FALSE)),"Ej kraftvärme","Alternativproduktionsmetoden")</f>
        <v>Alternativproduktionsmetoden</v>
      </c>
      <c r="E192" s="172">
        <f>IF(ISERROR(1/VLOOKUP($B192,Kraftvärmeprod!$B$1:$BD$479,MATCH("Total värmeproduktion i kraftvärmeverk i kombinerad drift (GWh)",Kraftvärmeprod!$B$1:$AV$1,0),FALSE)),"",VLOOKUP($B192,'Slutlig allokering kvv'!$B$1:$BC$479,MATCH(E$1,'Slutlig allokering kvv'!$B$1:$AU$1,0),FALSE))</f>
        <v>0.46133341475702666</v>
      </c>
      <c r="F192" s="121">
        <f>IF(ISERROR(1/VLOOKUP($B192,Kraftvärmeprod!$B$1:$AV$479,MATCH("Producerad elenergi i kraftvärmeverk (GWh)",Kraftvärmeprod!$B$1:$AV$1,0),FALSE)),"",VLOOKUP($B192,Kraftvärmeprod!$B$1:$AV$479,MATCH("Producerad elenergi i kraftvärmeverk (GWh)",Kraftvärmeprod!$B$1:$AV$1,0),FALSE))</f>
        <v>16.536000000000001</v>
      </c>
      <c r="G192" s="121" t="str">
        <f>IF(ISERROR(1/VLOOKUP($B192,Miljö!$B$1:$T$480,MATCH("Såld mängd produktionsspecifik fjärrvärme (GWh)",Miljö!$B$1:$T$1,0),FALSE)),"",VLOOKUP($B192,Miljö!$B$1:$T$480,MATCH("Såld mängd produktionsspecifik fjärrvärme (GWh)",Miljö!$B$1:$T$1,0),FALSE))</f>
        <v/>
      </c>
      <c r="J192" s="121" t="str">
        <f t="shared" si="2"/>
        <v>Mölndal Energi AB</v>
      </c>
    </row>
    <row r="193" spans="1:10" x14ac:dyDescent="0.25">
      <c r="A193" s="137" t="s">
        <v>457</v>
      </c>
      <c r="B193" s="137" t="s">
        <v>460</v>
      </c>
      <c r="D193" s="121" t="str">
        <f>IF(ISERROR(1/VLOOKUP($B193,Kraftvärmeprod!$B$1:$D$479,MATCH("Total värmeproduktion i kraftvärmeverk i kombinerad drift (GWh)",Kraftvärmeprod!$B$1:$AV$1,0),FALSE)),"Ej kraftvärme","Alternativproduktionsmetoden")</f>
        <v>Alternativproduktionsmetoden</v>
      </c>
      <c r="E193" s="172">
        <f>IF(ISERROR(1/VLOOKUP($B193,Kraftvärmeprod!$B$1:$BD$479,MATCH("Total värmeproduktion i kraftvärmeverk i kombinerad drift (GWh)",Kraftvärmeprod!$B$1:$AV$1,0),FALSE)),"",VLOOKUP($B193,'Slutlig allokering kvv'!$B$1:$BC$479,MATCH(E$1,'Slutlig allokering kvv'!$B$1:$AU$1,0),FALSE))</f>
        <v>0.46130794143445103</v>
      </c>
      <c r="F193" s="121">
        <f>IF(ISERROR(1/VLOOKUP($B193,Kraftvärmeprod!$B$1:$AV$479,MATCH("Producerad elenergi i kraftvärmeverk (GWh)",Kraftvärmeprod!$B$1:$AV$1,0),FALSE)),"",VLOOKUP($B193,Kraftvärmeprod!$B$1:$AV$479,MATCH("Producerad elenergi i kraftvärmeverk (GWh)",Kraftvärmeprod!$B$1:$AV$1,0),FALSE))</f>
        <v>3.742</v>
      </c>
      <c r="G193" s="121" t="str">
        <f>IF(ISERROR(1/VLOOKUP($B193,Miljö!$B$1:$T$480,MATCH("Såld mängd produktionsspecifik fjärrvärme (GWh)",Miljö!$B$1:$T$1,0),FALSE)),"",VLOOKUP($B193,Miljö!$B$1:$T$480,MATCH("Såld mängd produktionsspecifik fjärrvärme (GWh)",Miljö!$B$1:$T$1,0),FALSE))</f>
        <v/>
      </c>
      <c r="J193" s="121" t="str">
        <f t="shared" si="2"/>
        <v>Mölndal Energi AB</v>
      </c>
    </row>
    <row r="194" spans="1:10" x14ac:dyDescent="0.25">
      <c r="A194" s="137" t="s">
        <v>461</v>
      </c>
      <c r="B194" s="137" t="s">
        <v>462</v>
      </c>
      <c r="D194" s="121" t="str">
        <f>IF(ISERROR(1/VLOOKUP($B194,Kraftvärmeprod!$B$1:$D$479,MATCH("Total värmeproduktion i kraftvärmeverk i kombinerad drift (GWh)",Kraftvärmeprod!$B$1:$AV$1,0),FALSE)),"Ej kraftvärme","Alternativproduktionsmetoden")</f>
        <v>Ej kraftvärme</v>
      </c>
      <c r="E194" s="172" t="str">
        <f>IF(ISERROR(1/VLOOKUP($B194,Kraftvärmeprod!$B$1:$BD$479,MATCH("Total värmeproduktion i kraftvärmeverk i kombinerad drift (GWh)",Kraftvärmeprod!$B$1:$AV$1,0),FALSE)),"",VLOOKUP($B194,'Slutlig allokering kvv'!$B$1:$BC$479,MATCH(E$1,'Slutlig allokering kvv'!$B$1:$AU$1,0),FALSE))</f>
        <v/>
      </c>
      <c r="F194" s="121" t="str">
        <f>IF(ISERROR(1/VLOOKUP($B194,Kraftvärmeprod!$B$1:$AV$479,MATCH("Producerad elenergi i kraftvärmeverk (GWh)",Kraftvärmeprod!$B$1:$AV$1,0),FALSE)),"",VLOOKUP($B194,Kraftvärmeprod!$B$1:$AV$479,MATCH("Producerad elenergi i kraftvärmeverk (GWh)",Kraftvärmeprod!$B$1:$AV$1,0),FALSE))</f>
        <v/>
      </c>
      <c r="G194" s="121" t="str">
        <f>IF(ISERROR(1/VLOOKUP($B194,Miljö!$B$1:$T$480,MATCH("Såld mängd produktionsspecifik fjärrvärme (GWh)",Miljö!$B$1:$T$1,0),FALSE)),"",VLOOKUP($B194,Miljö!$B$1:$T$480,MATCH("Såld mängd produktionsspecifik fjärrvärme (GWh)",Miljö!$B$1:$T$1,0),FALSE))</f>
        <v/>
      </c>
      <c r="J194" s="121" t="str">
        <f t="shared" si="2"/>
        <v>Neova AB</v>
      </c>
    </row>
    <row r="195" spans="1:10" x14ac:dyDescent="0.25">
      <c r="A195" s="137" t="s">
        <v>461</v>
      </c>
      <c r="B195" s="137" t="s">
        <v>464</v>
      </c>
      <c r="D195" s="121" t="str">
        <f>IF(ISERROR(1/VLOOKUP($B195,Kraftvärmeprod!$B$1:$D$479,MATCH("Total värmeproduktion i kraftvärmeverk i kombinerad drift (GWh)",Kraftvärmeprod!$B$1:$AV$1,0),FALSE)),"Ej kraftvärme","Alternativproduktionsmetoden")</f>
        <v>Ej kraftvärme</v>
      </c>
      <c r="E195" s="172" t="str">
        <f>IF(ISERROR(1/VLOOKUP($B195,Kraftvärmeprod!$B$1:$BD$479,MATCH("Total värmeproduktion i kraftvärmeverk i kombinerad drift (GWh)",Kraftvärmeprod!$B$1:$AV$1,0),FALSE)),"",VLOOKUP($B195,'Slutlig allokering kvv'!$B$1:$BC$479,MATCH(E$1,'Slutlig allokering kvv'!$B$1:$AU$1,0),FALSE))</f>
        <v/>
      </c>
      <c r="F195" s="121" t="str">
        <f>IF(ISERROR(1/VLOOKUP($B195,Kraftvärmeprod!$B$1:$AV$479,MATCH("Producerad elenergi i kraftvärmeverk (GWh)",Kraftvärmeprod!$B$1:$AV$1,0),FALSE)),"",VLOOKUP($B195,Kraftvärmeprod!$B$1:$AV$479,MATCH("Producerad elenergi i kraftvärmeverk (GWh)",Kraftvärmeprod!$B$1:$AV$1,0),FALSE))</f>
        <v/>
      </c>
      <c r="G195" s="121" t="str">
        <f>IF(ISERROR(1/VLOOKUP($B195,Miljö!$B$1:$T$480,MATCH("Såld mängd produktionsspecifik fjärrvärme (GWh)",Miljö!$B$1:$T$1,0),FALSE)),"",VLOOKUP($B195,Miljö!$B$1:$T$480,MATCH("Såld mängd produktionsspecifik fjärrvärme (GWh)",Miljö!$B$1:$T$1,0),FALSE))</f>
        <v/>
      </c>
      <c r="J195" s="121" t="str">
        <f t="shared" ref="J195:J258" si="3">A195</f>
        <v>Neova AB</v>
      </c>
    </row>
    <row r="196" spans="1:10" x14ac:dyDescent="0.25">
      <c r="A196" s="137" t="s">
        <v>461</v>
      </c>
      <c r="B196" s="137" t="s">
        <v>465</v>
      </c>
      <c r="D196" s="121" t="str">
        <f>IF(ISERROR(1/VLOOKUP($B196,Kraftvärmeprod!$B$1:$D$479,MATCH("Total värmeproduktion i kraftvärmeverk i kombinerad drift (GWh)",Kraftvärmeprod!$B$1:$AV$1,0),FALSE)),"Ej kraftvärme","Alternativproduktionsmetoden")</f>
        <v>Ej kraftvärme</v>
      </c>
      <c r="E196" s="172" t="str">
        <f>IF(ISERROR(1/VLOOKUP($B196,Kraftvärmeprod!$B$1:$BD$479,MATCH("Total värmeproduktion i kraftvärmeverk i kombinerad drift (GWh)",Kraftvärmeprod!$B$1:$AV$1,0),FALSE)),"",VLOOKUP($B196,'Slutlig allokering kvv'!$B$1:$BC$479,MATCH(E$1,'Slutlig allokering kvv'!$B$1:$AU$1,0),FALSE))</f>
        <v/>
      </c>
      <c r="F196" s="121" t="str">
        <f>IF(ISERROR(1/VLOOKUP($B196,Kraftvärmeprod!$B$1:$AV$479,MATCH("Producerad elenergi i kraftvärmeverk (GWh)",Kraftvärmeprod!$B$1:$AV$1,0),FALSE)),"",VLOOKUP($B196,Kraftvärmeprod!$B$1:$AV$479,MATCH("Producerad elenergi i kraftvärmeverk (GWh)",Kraftvärmeprod!$B$1:$AV$1,0),FALSE))</f>
        <v/>
      </c>
      <c r="G196" s="121" t="str">
        <f>IF(ISERROR(1/VLOOKUP($B196,Miljö!$B$1:$T$480,MATCH("Såld mängd produktionsspecifik fjärrvärme (GWh)",Miljö!$B$1:$T$1,0),FALSE)),"",VLOOKUP($B196,Miljö!$B$1:$T$480,MATCH("Såld mängd produktionsspecifik fjärrvärme (GWh)",Miljö!$B$1:$T$1,0),FALSE))</f>
        <v/>
      </c>
      <c r="J196" s="121" t="str">
        <f t="shared" si="3"/>
        <v>Neova AB</v>
      </c>
    </row>
    <row r="197" spans="1:10" x14ac:dyDescent="0.25">
      <c r="A197" s="137" t="s">
        <v>461</v>
      </c>
      <c r="B197" s="137" t="s">
        <v>101</v>
      </c>
      <c r="D197" s="121" t="str">
        <f>IF(ISERROR(1/VLOOKUP($B197,Kraftvärmeprod!$B$1:$D$479,MATCH("Total värmeproduktion i kraftvärmeverk i kombinerad drift (GWh)",Kraftvärmeprod!$B$1:$AV$1,0),FALSE)),"Ej kraftvärme","Alternativproduktionsmetoden")</f>
        <v>Ej kraftvärme</v>
      </c>
      <c r="E197" s="172" t="str">
        <f>IF(ISERROR(1/VLOOKUP($B197,Kraftvärmeprod!$B$1:$BD$479,MATCH("Total värmeproduktion i kraftvärmeverk i kombinerad drift (GWh)",Kraftvärmeprod!$B$1:$AV$1,0),FALSE)),"",VLOOKUP($B197,'Slutlig allokering kvv'!$B$1:$BC$479,MATCH(E$1,'Slutlig allokering kvv'!$B$1:$AU$1,0),FALSE))</f>
        <v/>
      </c>
      <c r="F197" s="121" t="str">
        <f>IF(ISERROR(1/VLOOKUP($B197,Kraftvärmeprod!$B$1:$AV$479,MATCH("Producerad elenergi i kraftvärmeverk (GWh)",Kraftvärmeprod!$B$1:$AV$1,0),FALSE)),"",VLOOKUP($B197,Kraftvärmeprod!$B$1:$AV$479,MATCH("Producerad elenergi i kraftvärmeverk (GWh)",Kraftvärmeprod!$B$1:$AV$1,0),FALSE))</f>
        <v/>
      </c>
      <c r="G197" s="121" t="str">
        <f>IF(ISERROR(1/VLOOKUP($B197,Miljö!$B$1:$T$480,MATCH("Såld mängd produktionsspecifik fjärrvärme (GWh)",Miljö!$B$1:$T$1,0),FALSE)),"",VLOOKUP($B197,Miljö!$B$1:$T$480,MATCH("Såld mängd produktionsspecifik fjärrvärme (GWh)",Miljö!$B$1:$T$1,0),FALSE))</f>
        <v/>
      </c>
      <c r="J197" s="121" t="str">
        <f t="shared" si="3"/>
        <v>Neova AB</v>
      </c>
    </row>
    <row r="198" spans="1:10" x14ac:dyDescent="0.25">
      <c r="A198" s="137" t="s">
        <v>461</v>
      </c>
      <c r="B198" s="137" t="s">
        <v>103</v>
      </c>
      <c r="D198" s="121" t="str">
        <f>IF(ISERROR(1/VLOOKUP($B198,Kraftvärmeprod!$B$1:$D$479,MATCH("Total värmeproduktion i kraftvärmeverk i kombinerad drift (GWh)",Kraftvärmeprod!$B$1:$AV$1,0),FALSE)),"Ej kraftvärme","Alternativproduktionsmetoden")</f>
        <v>Ej kraftvärme</v>
      </c>
      <c r="E198" s="172" t="str">
        <f>IF(ISERROR(1/VLOOKUP($B198,Kraftvärmeprod!$B$1:$BD$479,MATCH("Total värmeproduktion i kraftvärmeverk i kombinerad drift (GWh)",Kraftvärmeprod!$B$1:$AV$1,0),FALSE)),"",VLOOKUP($B198,'Slutlig allokering kvv'!$B$1:$BC$479,MATCH(E$1,'Slutlig allokering kvv'!$B$1:$AU$1,0),FALSE))</f>
        <v/>
      </c>
      <c r="F198" s="121" t="str">
        <f>IF(ISERROR(1/VLOOKUP($B198,Kraftvärmeprod!$B$1:$AV$479,MATCH("Producerad elenergi i kraftvärmeverk (GWh)",Kraftvärmeprod!$B$1:$AV$1,0),FALSE)),"",VLOOKUP($B198,Kraftvärmeprod!$B$1:$AV$479,MATCH("Producerad elenergi i kraftvärmeverk (GWh)",Kraftvärmeprod!$B$1:$AV$1,0),FALSE))</f>
        <v/>
      </c>
      <c r="G198" s="121" t="str">
        <f>IF(ISERROR(1/VLOOKUP($B198,Miljö!$B$1:$T$480,MATCH("Såld mängd produktionsspecifik fjärrvärme (GWh)",Miljö!$B$1:$T$1,0),FALSE)),"",VLOOKUP($B198,Miljö!$B$1:$T$480,MATCH("Såld mängd produktionsspecifik fjärrvärme (GWh)",Miljö!$B$1:$T$1,0),FALSE))</f>
        <v/>
      </c>
      <c r="J198" s="121" t="str">
        <f t="shared" si="3"/>
        <v>Neova AB</v>
      </c>
    </row>
    <row r="199" spans="1:10" x14ac:dyDescent="0.25">
      <c r="A199" s="137" t="s">
        <v>461</v>
      </c>
      <c r="B199" s="137" t="s">
        <v>468</v>
      </c>
      <c r="D199" s="121" t="str">
        <f>IF(ISERROR(1/VLOOKUP($B199,Kraftvärmeprod!$B$1:$D$479,MATCH("Total värmeproduktion i kraftvärmeverk i kombinerad drift (GWh)",Kraftvärmeprod!$B$1:$AV$1,0),FALSE)),"Ej kraftvärme","Alternativproduktionsmetoden")</f>
        <v>Ej kraftvärme</v>
      </c>
      <c r="E199" s="172" t="str">
        <f>IF(ISERROR(1/VLOOKUP($B199,Kraftvärmeprod!$B$1:$BD$479,MATCH("Total värmeproduktion i kraftvärmeverk i kombinerad drift (GWh)",Kraftvärmeprod!$B$1:$AV$1,0),FALSE)),"",VLOOKUP($B199,'Slutlig allokering kvv'!$B$1:$BC$479,MATCH(E$1,'Slutlig allokering kvv'!$B$1:$AU$1,0),FALSE))</f>
        <v/>
      </c>
      <c r="F199" s="121" t="str">
        <f>IF(ISERROR(1/VLOOKUP($B199,Kraftvärmeprod!$B$1:$AV$479,MATCH("Producerad elenergi i kraftvärmeverk (GWh)",Kraftvärmeprod!$B$1:$AV$1,0),FALSE)),"",VLOOKUP($B199,Kraftvärmeprod!$B$1:$AV$479,MATCH("Producerad elenergi i kraftvärmeverk (GWh)",Kraftvärmeprod!$B$1:$AV$1,0),FALSE))</f>
        <v/>
      </c>
      <c r="G199" s="121" t="str">
        <f>IF(ISERROR(1/VLOOKUP($B199,Miljö!$B$1:$T$480,MATCH("Såld mängd produktionsspecifik fjärrvärme (GWh)",Miljö!$B$1:$T$1,0),FALSE)),"",VLOOKUP($B199,Miljö!$B$1:$T$480,MATCH("Såld mängd produktionsspecifik fjärrvärme (GWh)",Miljö!$B$1:$T$1,0),FALSE))</f>
        <v/>
      </c>
      <c r="J199" s="121" t="str">
        <f t="shared" si="3"/>
        <v>Neova AB</v>
      </c>
    </row>
    <row r="200" spans="1:10" x14ac:dyDescent="0.25">
      <c r="A200" s="137" t="s">
        <v>461</v>
      </c>
      <c r="B200" s="137" t="s">
        <v>105</v>
      </c>
      <c r="D200" s="121" t="str">
        <f>IF(ISERROR(1/VLOOKUP($B200,Kraftvärmeprod!$B$1:$D$479,MATCH("Total värmeproduktion i kraftvärmeverk i kombinerad drift (GWh)",Kraftvärmeprod!$B$1:$AV$1,0),FALSE)),"Ej kraftvärme","Alternativproduktionsmetoden")</f>
        <v>Ej kraftvärme</v>
      </c>
      <c r="E200" s="172" t="str">
        <f>IF(ISERROR(1/VLOOKUP($B200,Kraftvärmeprod!$B$1:$BD$479,MATCH("Total värmeproduktion i kraftvärmeverk i kombinerad drift (GWh)",Kraftvärmeprod!$B$1:$AV$1,0),FALSE)),"",VLOOKUP($B200,'Slutlig allokering kvv'!$B$1:$BC$479,MATCH(E$1,'Slutlig allokering kvv'!$B$1:$AU$1,0),FALSE))</f>
        <v/>
      </c>
      <c r="F200" s="121" t="str">
        <f>IF(ISERROR(1/VLOOKUP($B200,Kraftvärmeprod!$B$1:$AV$479,MATCH("Producerad elenergi i kraftvärmeverk (GWh)",Kraftvärmeprod!$B$1:$AV$1,0),FALSE)),"",VLOOKUP($B200,Kraftvärmeprod!$B$1:$AV$479,MATCH("Producerad elenergi i kraftvärmeverk (GWh)",Kraftvärmeprod!$B$1:$AV$1,0),FALSE))</f>
        <v/>
      </c>
      <c r="G200" s="121" t="str">
        <f>IF(ISERROR(1/VLOOKUP($B200,Miljö!$B$1:$T$480,MATCH("Såld mängd produktionsspecifik fjärrvärme (GWh)",Miljö!$B$1:$T$1,0),FALSE)),"",VLOOKUP($B200,Miljö!$B$1:$T$480,MATCH("Såld mängd produktionsspecifik fjärrvärme (GWh)",Miljö!$B$1:$T$1,0),FALSE))</f>
        <v/>
      </c>
      <c r="J200" s="121" t="str">
        <f t="shared" si="3"/>
        <v>Neova AB</v>
      </c>
    </row>
    <row r="201" spans="1:10" x14ac:dyDescent="0.25">
      <c r="A201" s="137" t="s">
        <v>461</v>
      </c>
      <c r="B201" s="137" t="s">
        <v>107</v>
      </c>
      <c r="D201" s="121" t="str">
        <f>IF(ISERROR(1/VLOOKUP($B201,Kraftvärmeprod!$B$1:$D$479,MATCH("Total värmeproduktion i kraftvärmeverk i kombinerad drift (GWh)",Kraftvärmeprod!$B$1:$AV$1,0),FALSE)),"Ej kraftvärme","Alternativproduktionsmetoden")</f>
        <v>Ej kraftvärme</v>
      </c>
      <c r="E201" s="172" t="str">
        <f>IF(ISERROR(1/VLOOKUP($B201,Kraftvärmeprod!$B$1:$BD$479,MATCH("Total värmeproduktion i kraftvärmeverk i kombinerad drift (GWh)",Kraftvärmeprod!$B$1:$AV$1,0),FALSE)),"",VLOOKUP($B201,'Slutlig allokering kvv'!$B$1:$BC$479,MATCH(E$1,'Slutlig allokering kvv'!$B$1:$AU$1,0),FALSE))</f>
        <v/>
      </c>
      <c r="F201" s="121" t="str">
        <f>IF(ISERROR(1/VLOOKUP($B201,Kraftvärmeprod!$B$1:$AV$479,MATCH("Producerad elenergi i kraftvärmeverk (GWh)",Kraftvärmeprod!$B$1:$AV$1,0),FALSE)),"",VLOOKUP($B201,Kraftvärmeprod!$B$1:$AV$479,MATCH("Producerad elenergi i kraftvärmeverk (GWh)",Kraftvärmeprod!$B$1:$AV$1,0),FALSE))</f>
        <v/>
      </c>
      <c r="G201" s="121" t="str">
        <f>IF(ISERROR(1/VLOOKUP($B201,Miljö!$B$1:$T$480,MATCH("Såld mängd produktionsspecifik fjärrvärme (GWh)",Miljö!$B$1:$T$1,0),FALSE)),"",VLOOKUP($B201,Miljö!$B$1:$T$480,MATCH("Såld mängd produktionsspecifik fjärrvärme (GWh)",Miljö!$B$1:$T$1,0),FALSE))</f>
        <v/>
      </c>
      <c r="J201" s="121" t="str">
        <f t="shared" si="3"/>
        <v>Neova AB</v>
      </c>
    </row>
    <row r="202" spans="1:10" x14ac:dyDescent="0.25">
      <c r="A202" s="137" t="s">
        <v>461</v>
      </c>
      <c r="B202" s="137" t="s">
        <v>109</v>
      </c>
      <c r="D202" s="121" t="str">
        <f>IF(ISERROR(1/VLOOKUP($B202,Kraftvärmeprod!$B$1:$D$479,MATCH("Total värmeproduktion i kraftvärmeverk i kombinerad drift (GWh)",Kraftvärmeprod!$B$1:$AV$1,0),FALSE)),"Ej kraftvärme","Alternativproduktionsmetoden")</f>
        <v>Ej kraftvärme</v>
      </c>
      <c r="E202" s="172" t="str">
        <f>IF(ISERROR(1/VLOOKUP($B202,Kraftvärmeprod!$B$1:$BD$479,MATCH("Total värmeproduktion i kraftvärmeverk i kombinerad drift (GWh)",Kraftvärmeprod!$B$1:$AV$1,0),FALSE)),"",VLOOKUP($B202,'Slutlig allokering kvv'!$B$1:$BC$479,MATCH(E$1,'Slutlig allokering kvv'!$B$1:$AU$1,0),FALSE))</f>
        <v/>
      </c>
      <c r="F202" s="121" t="str">
        <f>IF(ISERROR(1/VLOOKUP($B202,Kraftvärmeprod!$B$1:$AV$479,MATCH("Producerad elenergi i kraftvärmeverk (GWh)",Kraftvärmeprod!$B$1:$AV$1,0),FALSE)),"",VLOOKUP($B202,Kraftvärmeprod!$B$1:$AV$479,MATCH("Producerad elenergi i kraftvärmeverk (GWh)",Kraftvärmeprod!$B$1:$AV$1,0),FALSE))</f>
        <v/>
      </c>
      <c r="G202" s="121" t="str">
        <f>IF(ISERROR(1/VLOOKUP($B202,Miljö!$B$1:$T$480,MATCH("Såld mängd produktionsspecifik fjärrvärme (GWh)",Miljö!$B$1:$T$1,0),FALSE)),"",VLOOKUP($B202,Miljö!$B$1:$T$480,MATCH("Såld mängd produktionsspecifik fjärrvärme (GWh)",Miljö!$B$1:$T$1,0),FALSE))</f>
        <v/>
      </c>
      <c r="J202" s="121" t="str">
        <f t="shared" si="3"/>
        <v>Neova AB</v>
      </c>
    </row>
    <row r="203" spans="1:10" x14ac:dyDescent="0.25">
      <c r="A203" s="137" t="s">
        <v>461</v>
      </c>
      <c r="B203" s="137" t="s">
        <v>111</v>
      </c>
      <c r="D203" s="121" t="str">
        <f>IF(ISERROR(1/VLOOKUP($B203,Kraftvärmeprod!$B$1:$D$479,MATCH("Total värmeproduktion i kraftvärmeverk i kombinerad drift (GWh)",Kraftvärmeprod!$B$1:$AV$1,0),FALSE)),"Ej kraftvärme","Alternativproduktionsmetoden")</f>
        <v>Ej kraftvärme</v>
      </c>
      <c r="E203" s="172" t="str">
        <f>IF(ISERROR(1/VLOOKUP($B203,Kraftvärmeprod!$B$1:$BD$479,MATCH("Total värmeproduktion i kraftvärmeverk i kombinerad drift (GWh)",Kraftvärmeprod!$B$1:$AV$1,0),FALSE)),"",VLOOKUP($B203,'Slutlig allokering kvv'!$B$1:$BC$479,MATCH(E$1,'Slutlig allokering kvv'!$B$1:$AU$1,0),FALSE))</f>
        <v/>
      </c>
      <c r="F203" s="121" t="str">
        <f>IF(ISERROR(1/VLOOKUP($B203,Kraftvärmeprod!$B$1:$AV$479,MATCH("Producerad elenergi i kraftvärmeverk (GWh)",Kraftvärmeprod!$B$1:$AV$1,0),FALSE)),"",VLOOKUP($B203,Kraftvärmeprod!$B$1:$AV$479,MATCH("Producerad elenergi i kraftvärmeverk (GWh)",Kraftvärmeprod!$B$1:$AV$1,0),FALSE))</f>
        <v/>
      </c>
      <c r="G203" s="121" t="str">
        <f>IF(ISERROR(1/VLOOKUP($B203,Miljö!$B$1:$T$480,MATCH("Såld mängd produktionsspecifik fjärrvärme (GWh)",Miljö!$B$1:$T$1,0),FALSE)),"",VLOOKUP($B203,Miljö!$B$1:$T$480,MATCH("Såld mängd produktionsspecifik fjärrvärme (GWh)",Miljö!$B$1:$T$1,0),FALSE))</f>
        <v/>
      </c>
      <c r="J203" s="121" t="str">
        <f t="shared" si="3"/>
        <v>Neova AB</v>
      </c>
    </row>
    <row r="204" spans="1:10" x14ac:dyDescent="0.25">
      <c r="A204" s="137" t="s">
        <v>461</v>
      </c>
      <c r="B204" s="137" t="s">
        <v>469</v>
      </c>
      <c r="D204" s="121" t="str">
        <f>IF(ISERROR(1/VLOOKUP($B204,Kraftvärmeprod!$B$1:$D$479,MATCH("Total värmeproduktion i kraftvärmeverk i kombinerad drift (GWh)",Kraftvärmeprod!$B$1:$AV$1,0),FALSE)),"Ej kraftvärme","Alternativproduktionsmetoden")</f>
        <v>Ej kraftvärme</v>
      </c>
      <c r="E204" s="172" t="str">
        <f>IF(ISERROR(1/VLOOKUP($B204,Kraftvärmeprod!$B$1:$BD$479,MATCH("Total värmeproduktion i kraftvärmeverk i kombinerad drift (GWh)",Kraftvärmeprod!$B$1:$AV$1,0),FALSE)),"",VLOOKUP($B204,'Slutlig allokering kvv'!$B$1:$BC$479,MATCH(E$1,'Slutlig allokering kvv'!$B$1:$AU$1,0),FALSE))</f>
        <v/>
      </c>
      <c r="F204" s="121" t="str">
        <f>IF(ISERROR(1/VLOOKUP($B204,Kraftvärmeprod!$B$1:$AV$479,MATCH("Producerad elenergi i kraftvärmeverk (GWh)",Kraftvärmeprod!$B$1:$AV$1,0),FALSE)),"",VLOOKUP($B204,Kraftvärmeprod!$B$1:$AV$479,MATCH("Producerad elenergi i kraftvärmeverk (GWh)",Kraftvärmeprod!$B$1:$AV$1,0),FALSE))</f>
        <v/>
      </c>
      <c r="G204" s="121" t="str">
        <f>IF(ISERROR(1/VLOOKUP($B204,Miljö!$B$1:$T$480,MATCH("Såld mängd produktionsspecifik fjärrvärme (GWh)",Miljö!$B$1:$T$1,0),FALSE)),"",VLOOKUP($B204,Miljö!$B$1:$T$480,MATCH("Såld mängd produktionsspecifik fjärrvärme (GWh)",Miljö!$B$1:$T$1,0),FALSE))</f>
        <v/>
      </c>
      <c r="J204" s="121" t="str">
        <f t="shared" si="3"/>
        <v>Neova AB</v>
      </c>
    </row>
    <row r="205" spans="1:10" x14ac:dyDescent="0.25">
      <c r="A205" s="137" t="s">
        <v>461</v>
      </c>
      <c r="B205" s="137" t="s">
        <v>470</v>
      </c>
      <c r="D205" s="121" t="str">
        <f>IF(ISERROR(1/VLOOKUP($B205,Kraftvärmeprod!$B$1:$D$479,MATCH("Total värmeproduktion i kraftvärmeverk i kombinerad drift (GWh)",Kraftvärmeprod!$B$1:$AV$1,0),FALSE)),"Ej kraftvärme","Alternativproduktionsmetoden")</f>
        <v>Ej kraftvärme</v>
      </c>
      <c r="E205" s="172" t="str">
        <f>IF(ISERROR(1/VLOOKUP($B205,Kraftvärmeprod!$B$1:$BD$479,MATCH("Total värmeproduktion i kraftvärmeverk i kombinerad drift (GWh)",Kraftvärmeprod!$B$1:$AV$1,0),FALSE)),"",VLOOKUP($B205,'Slutlig allokering kvv'!$B$1:$BC$479,MATCH(E$1,'Slutlig allokering kvv'!$B$1:$AU$1,0),FALSE))</f>
        <v/>
      </c>
      <c r="F205" s="121" t="str">
        <f>IF(ISERROR(1/VLOOKUP($B205,Kraftvärmeprod!$B$1:$AV$479,MATCH("Producerad elenergi i kraftvärmeverk (GWh)",Kraftvärmeprod!$B$1:$AV$1,0),FALSE)),"",VLOOKUP($B205,Kraftvärmeprod!$B$1:$AV$479,MATCH("Producerad elenergi i kraftvärmeverk (GWh)",Kraftvärmeprod!$B$1:$AV$1,0),FALSE))</f>
        <v/>
      </c>
      <c r="G205" s="121" t="str">
        <f>IF(ISERROR(1/VLOOKUP($B205,Miljö!$B$1:$T$480,MATCH("Såld mängd produktionsspecifik fjärrvärme (GWh)",Miljö!$B$1:$T$1,0),FALSE)),"",VLOOKUP($B205,Miljö!$B$1:$T$480,MATCH("Såld mängd produktionsspecifik fjärrvärme (GWh)",Miljö!$B$1:$T$1,0),FALSE))</f>
        <v/>
      </c>
      <c r="J205" s="121" t="str">
        <f t="shared" si="3"/>
        <v>Neova AB</v>
      </c>
    </row>
    <row r="206" spans="1:10" x14ac:dyDescent="0.25">
      <c r="A206" s="137" t="s">
        <v>461</v>
      </c>
      <c r="B206" s="137" t="s">
        <v>113</v>
      </c>
      <c r="D206" s="121" t="str">
        <f>IF(ISERROR(1/VLOOKUP($B206,Kraftvärmeprod!$B$1:$D$479,MATCH("Total värmeproduktion i kraftvärmeverk i kombinerad drift (GWh)",Kraftvärmeprod!$B$1:$AV$1,0),FALSE)),"Ej kraftvärme","Alternativproduktionsmetoden")</f>
        <v>Ej kraftvärme</v>
      </c>
      <c r="E206" s="172" t="str">
        <f>IF(ISERROR(1/VLOOKUP($B206,Kraftvärmeprod!$B$1:$BD$479,MATCH("Total värmeproduktion i kraftvärmeverk i kombinerad drift (GWh)",Kraftvärmeprod!$B$1:$AV$1,0),FALSE)),"",VLOOKUP($B206,'Slutlig allokering kvv'!$B$1:$BC$479,MATCH(E$1,'Slutlig allokering kvv'!$B$1:$AU$1,0),FALSE))</f>
        <v/>
      </c>
      <c r="F206" s="121" t="str">
        <f>IF(ISERROR(1/VLOOKUP($B206,Kraftvärmeprod!$B$1:$AV$479,MATCH("Producerad elenergi i kraftvärmeverk (GWh)",Kraftvärmeprod!$B$1:$AV$1,0),FALSE)),"",VLOOKUP($B206,Kraftvärmeprod!$B$1:$AV$479,MATCH("Producerad elenergi i kraftvärmeverk (GWh)",Kraftvärmeprod!$B$1:$AV$1,0),FALSE))</f>
        <v/>
      </c>
      <c r="G206" s="121" t="str">
        <f>IF(ISERROR(1/VLOOKUP($B206,Miljö!$B$1:$T$480,MATCH("Såld mängd produktionsspecifik fjärrvärme (GWh)",Miljö!$B$1:$T$1,0),FALSE)),"",VLOOKUP($B206,Miljö!$B$1:$T$480,MATCH("Såld mängd produktionsspecifik fjärrvärme (GWh)",Miljö!$B$1:$T$1,0),FALSE))</f>
        <v/>
      </c>
      <c r="J206" s="121" t="str">
        <f t="shared" si="3"/>
        <v>Neova AB</v>
      </c>
    </row>
    <row r="207" spans="1:10" x14ac:dyDescent="0.25">
      <c r="A207" s="137" t="s">
        <v>474</v>
      </c>
      <c r="B207" s="137" t="s">
        <v>475</v>
      </c>
      <c r="D207" s="121" t="str">
        <f>IF(ISERROR(1/VLOOKUP($B207,Kraftvärmeprod!$B$1:$D$479,MATCH("Total värmeproduktion i kraftvärmeverk i kombinerad drift (GWh)",Kraftvärmeprod!$B$1:$AV$1,0),FALSE)),"Ej kraftvärme","Alternativproduktionsmetoden")</f>
        <v>Ej kraftvärme</v>
      </c>
      <c r="E207" s="172" t="str">
        <f>IF(ISERROR(1/VLOOKUP($B207,Kraftvärmeprod!$B$1:$BD$479,MATCH("Total värmeproduktion i kraftvärmeverk i kombinerad drift (GWh)",Kraftvärmeprod!$B$1:$AV$1,0),FALSE)),"",VLOOKUP($B207,'Slutlig allokering kvv'!$B$1:$BC$479,MATCH(E$1,'Slutlig allokering kvv'!$B$1:$AU$1,0),FALSE))</f>
        <v/>
      </c>
      <c r="F207" s="121" t="str">
        <f>IF(ISERROR(1/VLOOKUP($B207,Kraftvärmeprod!$B$1:$AV$479,MATCH("Producerad elenergi i kraftvärmeverk (GWh)",Kraftvärmeprod!$B$1:$AV$1,0),FALSE)),"",VLOOKUP($B207,Kraftvärmeprod!$B$1:$AV$479,MATCH("Producerad elenergi i kraftvärmeverk (GWh)",Kraftvärmeprod!$B$1:$AV$1,0),FALSE))</f>
        <v/>
      </c>
      <c r="G207" s="121" t="str">
        <f>IF(ISERROR(1/VLOOKUP($B207,Miljö!$B$1:$T$480,MATCH("Såld mängd produktionsspecifik fjärrvärme (GWh)",Miljö!$B$1:$T$1,0),FALSE)),"",VLOOKUP($B207,Miljö!$B$1:$T$480,MATCH("Såld mängd produktionsspecifik fjärrvärme (GWh)",Miljö!$B$1:$T$1,0),FALSE))</f>
        <v/>
      </c>
      <c r="J207" s="121" t="str">
        <f t="shared" si="3"/>
        <v>Njudung Energi Sävsjö AB</v>
      </c>
    </row>
    <row r="208" spans="1:10" x14ac:dyDescent="0.25">
      <c r="A208" s="137" t="s">
        <v>474</v>
      </c>
      <c r="B208" s="137" t="s">
        <v>476</v>
      </c>
      <c r="D208" s="121" t="str">
        <f>IF(ISERROR(1/VLOOKUP($B208,Kraftvärmeprod!$B$1:$D$479,MATCH("Total värmeproduktion i kraftvärmeverk i kombinerad drift (GWh)",Kraftvärmeprod!$B$1:$AV$1,0),FALSE)),"Ej kraftvärme","Alternativproduktionsmetoden")</f>
        <v>Ej kraftvärme</v>
      </c>
      <c r="E208" s="172" t="str">
        <f>IF(ISERROR(1/VLOOKUP($B208,Kraftvärmeprod!$B$1:$BD$479,MATCH("Total värmeproduktion i kraftvärmeverk i kombinerad drift (GWh)",Kraftvärmeprod!$B$1:$AV$1,0),FALSE)),"",VLOOKUP($B208,'Slutlig allokering kvv'!$B$1:$BC$479,MATCH(E$1,'Slutlig allokering kvv'!$B$1:$AU$1,0),FALSE))</f>
        <v/>
      </c>
      <c r="F208" s="121" t="str">
        <f>IF(ISERROR(1/VLOOKUP($B208,Kraftvärmeprod!$B$1:$AV$479,MATCH("Producerad elenergi i kraftvärmeverk (GWh)",Kraftvärmeprod!$B$1:$AV$1,0),FALSE)),"",VLOOKUP($B208,Kraftvärmeprod!$B$1:$AV$479,MATCH("Producerad elenergi i kraftvärmeverk (GWh)",Kraftvärmeprod!$B$1:$AV$1,0),FALSE))</f>
        <v/>
      </c>
      <c r="G208" s="121" t="str">
        <f>IF(ISERROR(1/VLOOKUP($B208,Miljö!$B$1:$T$480,MATCH("Såld mängd produktionsspecifik fjärrvärme (GWh)",Miljö!$B$1:$T$1,0),FALSE)),"",VLOOKUP($B208,Miljö!$B$1:$T$480,MATCH("Såld mängd produktionsspecifik fjärrvärme (GWh)",Miljö!$B$1:$T$1,0),FALSE))</f>
        <v/>
      </c>
      <c r="J208" s="121" t="str">
        <f t="shared" si="3"/>
        <v>Njudung Energi Sävsjö AB</v>
      </c>
    </row>
    <row r="209" spans="1:10" x14ac:dyDescent="0.25">
      <c r="A209" s="137" t="s">
        <v>477</v>
      </c>
      <c r="B209" s="137" t="s">
        <v>478</v>
      </c>
      <c r="D209" s="121" t="str">
        <f>IF(ISERROR(1/VLOOKUP($B209,Kraftvärmeprod!$B$1:$D$479,MATCH("Total värmeproduktion i kraftvärmeverk i kombinerad drift (GWh)",Kraftvärmeprod!$B$1:$AV$1,0),FALSE)),"Ej kraftvärme","Alternativproduktionsmetoden")</f>
        <v>Ej kraftvärme</v>
      </c>
      <c r="E209" s="172" t="str">
        <f>IF(ISERROR(1/VLOOKUP($B209,Kraftvärmeprod!$B$1:$BD$479,MATCH("Total värmeproduktion i kraftvärmeverk i kombinerad drift (GWh)",Kraftvärmeprod!$B$1:$AV$1,0),FALSE)),"",VLOOKUP($B209,'Slutlig allokering kvv'!$B$1:$BC$479,MATCH(E$1,'Slutlig allokering kvv'!$B$1:$AU$1,0),FALSE))</f>
        <v/>
      </c>
      <c r="F209" s="121" t="str">
        <f>IF(ISERROR(1/VLOOKUP($B209,Kraftvärmeprod!$B$1:$AV$479,MATCH("Producerad elenergi i kraftvärmeverk (GWh)",Kraftvärmeprod!$B$1:$AV$1,0),FALSE)),"",VLOOKUP($B209,Kraftvärmeprod!$B$1:$AV$479,MATCH("Producerad elenergi i kraftvärmeverk (GWh)",Kraftvärmeprod!$B$1:$AV$1,0),FALSE))</f>
        <v/>
      </c>
      <c r="G209" s="121" t="str">
        <f>IF(ISERROR(1/VLOOKUP($B209,Miljö!$B$1:$T$480,MATCH("Såld mängd produktionsspecifik fjärrvärme (GWh)",Miljö!$B$1:$T$1,0),FALSE)),"",VLOOKUP($B209,Miljö!$B$1:$T$480,MATCH("Såld mängd produktionsspecifik fjärrvärme (GWh)",Miljö!$B$1:$T$1,0),FALSE))</f>
        <v/>
      </c>
      <c r="J209" s="121" t="str">
        <f t="shared" si="3"/>
        <v>Njudung Energi Vetlanda AB</v>
      </c>
    </row>
    <row r="210" spans="1:10" x14ac:dyDescent="0.25">
      <c r="A210" s="137" t="s">
        <v>477</v>
      </c>
      <c r="B210" s="137" t="s">
        <v>479</v>
      </c>
      <c r="D210" s="121" t="str">
        <f>IF(ISERROR(1/VLOOKUP($B210,Kraftvärmeprod!$B$1:$D$479,MATCH("Total värmeproduktion i kraftvärmeverk i kombinerad drift (GWh)",Kraftvärmeprod!$B$1:$AV$1,0),FALSE)),"Ej kraftvärme","Alternativproduktionsmetoden")</f>
        <v>Alternativproduktionsmetoden</v>
      </c>
      <c r="E210" s="172">
        <f>IF(ISERROR(1/VLOOKUP($B210,Kraftvärmeprod!$B$1:$BD$479,MATCH("Total värmeproduktion i kraftvärmeverk i kombinerad drift (GWh)",Kraftvärmeprod!$B$1:$AV$1,0),FALSE)),"",VLOOKUP($B210,'Slutlig allokering kvv'!$B$1:$BC$479,MATCH(E$1,'Slutlig allokering kvv'!$B$1:$AU$1,0),FALSE))</f>
        <v>0.77179795708955234</v>
      </c>
      <c r="F210" s="121">
        <f>IF(ISERROR(1/VLOOKUP($B210,Kraftvärmeprod!$B$1:$AV$479,MATCH("Producerad elenergi i kraftvärmeverk (GWh)",Kraftvärmeprod!$B$1:$AV$1,0),FALSE)),"",VLOOKUP($B210,Kraftvärmeprod!$B$1:$AV$479,MATCH("Producerad elenergi i kraftvärmeverk (GWh)",Kraftvärmeprod!$B$1:$AV$1,0),FALSE))</f>
        <v>9.9</v>
      </c>
      <c r="G210" s="121" t="str">
        <f>IF(ISERROR(1/VLOOKUP($B210,Miljö!$B$1:$T$480,MATCH("Såld mängd produktionsspecifik fjärrvärme (GWh)",Miljö!$B$1:$T$1,0),FALSE)),"",VLOOKUP($B210,Miljö!$B$1:$T$480,MATCH("Såld mängd produktionsspecifik fjärrvärme (GWh)",Miljö!$B$1:$T$1,0),FALSE))</f>
        <v/>
      </c>
      <c r="J210" s="121" t="str">
        <f t="shared" si="3"/>
        <v>Njudung Energi Vetlanda AB</v>
      </c>
    </row>
    <row r="211" spans="1:10" x14ac:dyDescent="0.25">
      <c r="A211" s="137" t="s">
        <v>480</v>
      </c>
      <c r="B211" s="137" t="s">
        <v>481</v>
      </c>
      <c r="D211" s="121" t="str">
        <f>IF(ISERROR(1/VLOOKUP($B211,Kraftvärmeprod!$B$1:$D$479,MATCH("Total värmeproduktion i kraftvärmeverk i kombinerad drift (GWh)",Kraftvärmeprod!$B$1:$AV$1,0),FALSE)),"Ej kraftvärme","Alternativproduktionsmetoden")</f>
        <v>Ej kraftvärme</v>
      </c>
      <c r="E211" s="172" t="str">
        <f>IF(ISERROR(1/VLOOKUP($B211,Kraftvärmeprod!$B$1:$BD$479,MATCH("Total värmeproduktion i kraftvärmeverk i kombinerad drift (GWh)",Kraftvärmeprod!$B$1:$AV$1,0),FALSE)),"",VLOOKUP($B211,'Slutlig allokering kvv'!$B$1:$BC$479,MATCH(E$1,'Slutlig allokering kvv'!$B$1:$AU$1,0),FALSE))</f>
        <v/>
      </c>
      <c r="F211" s="121" t="str">
        <f>IF(ISERROR(1/VLOOKUP($B211,Kraftvärmeprod!$B$1:$AV$479,MATCH("Producerad elenergi i kraftvärmeverk (GWh)",Kraftvärmeprod!$B$1:$AV$1,0),FALSE)),"",VLOOKUP($B211,Kraftvärmeprod!$B$1:$AV$479,MATCH("Producerad elenergi i kraftvärmeverk (GWh)",Kraftvärmeprod!$B$1:$AV$1,0),FALSE))</f>
        <v/>
      </c>
      <c r="G211" s="121" t="str">
        <f>IF(ISERROR(1/VLOOKUP($B211,Miljö!$B$1:$T$480,MATCH("Såld mängd produktionsspecifik fjärrvärme (GWh)",Miljö!$B$1:$T$1,0),FALSE)),"",VLOOKUP($B211,Miljö!$B$1:$T$480,MATCH("Såld mängd produktionsspecifik fjärrvärme (GWh)",Miljö!$B$1:$T$1,0),FALSE))</f>
        <v/>
      </c>
      <c r="J211" s="121" t="str">
        <f t="shared" si="3"/>
        <v>Nordanstigs Fjärrvärme AB</v>
      </c>
    </row>
    <row r="212" spans="1:10" x14ac:dyDescent="0.25">
      <c r="A212" s="137" t="s">
        <v>115</v>
      </c>
      <c r="B212" s="137" t="s">
        <v>482</v>
      </c>
      <c r="D212" s="121" t="str">
        <f>IF(ISERROR(1/VLOOKUP($B212,Kraftvärmeprod!$B$1:$D$479,MATCH("Total värmeproduktion i kraftvärmeverk i kombinerad drift (GWh)",Kraftvärmeprod!$B$1:$AV$1,0),FALSE)),"Ej kraftvärme","Alternativproduktionsmetoden")</f>
        <v>Ej kraftvärme</v>
      </c>
      <c r="E212" s="172" t="str">
        <f>IF(ISERROR(1/VLOOKUP($B212,Kraftvärmeprod!$B$1:$BD$479,MATCH("Total värmeproduktion i kraftvärmeverk i kombinerad drift (GWh)",Kraftvärmeprod!$B$1:$AV$1,0),FALSE)),"",VLOOKUP($B212,'Slutlig allokering kvv'!$B$1:$BC$479,MATCH(E$1,'Slutlig allokering kvv'!$B$1:$AU$1,0),FALSE))</f>
        <v/>
      </c>
      <c r="F212" s="121" t="str">
        <f>IF(ISERROR(1/VLOOKUP($B212,Kraftvärmeprod!$B$1:$AV$479,MATCH("Producerad elenergi i kraftvärmeverk (GWh)",Kraftvärmeprod!$B$1:$AV$1,0),FALSE)),"",VLOOKUP($B212,Kraftvärmeprod!$B$1:$AV$479,MATCH("Producerad elenergi i kraftvärmeverk (GWh)",Kraftvärmeprod!$B$1:$AV$1,0),FALSE))</f>
        <v/>
      </c>
      <c r="G212" s="121">
        <f>IF(ISERROR(1/VLOOKUP($B212,Miljö!$B$1:$T$480,MATCH("Såld mängd produktionsspecifik fjärrvärme (GWh)",Miljö!$B$1:$T$1,0),FALSE)),"",VLOOKUP($B212,Miljö!$B$1:$T$480,MATCH("Såld mängd produktionsspecifik fjärrvärme (GWh)",Miljö!$B$1:$T$1,0),FALSE))</f>
        <v>4.5709999999999997</v>
      </c>
      <c r="J212" s="121" t="str">
        <f t="shared" si="3"/>
        <v>Norrenergi AB</v>
      </c>
    </row>
    <row r="213" spans="1:10" x14ac:dyDescent="0.25">
      <c r="A213" s="137" t="s">
        <v>483</v>
      </c>
      <c r="B213" s="137" t="s">
        <v>484</v>
      </c>
      <c r="D213" s="121" t="str">
        <f>IF(ISERROR(1/VLOOKUP($B213,Kraftvärmeprod!$B$1:$D$479,MATCH("Total värmeproduktion i kraftvärmeverk i kombinerad drift (GWh)",Kraftvärmeprod!$B$1:$AV$1,0),FALSE)),"Ej kraftvärme","Alternativproduktionsmetoden")</f>
        <v>Ej kraftvärme</v>
      </c>
      <c r="E213" s="172" t="str">
        <f>IF(ISERROR(1/VLOOKUP($B213,Kraftvärmeprod!$B$1:$BD$479,MATCH("Total värmeproduktion i kraftvärmeverk i kombinerad drift (GWh)",Kraftvärmeprod!$B$1:$AV$1,0),FALSE)),"",VLOOKUP($B213,'Slutlig allokering kvv'!$B$1:$BC$479,MATCH(E$1,'Slutlig allokering kvv'!$B$1:$AU$1,0),FALSE))</f>
        <v/>
      </c>
      <c r="F213" s="121" t="str">
        <f>IF(ISERROR(1/VLOOKUP($B213,Kraftvärmeprod!$B$1:$AV$479,MATCH("Producerad elenergi i kraftvärmeverk (GWh)",Kraftvärmeprod!$B$1:$AV$1,0),FALSE)),"",VLOOKUP($B213,Kraftvärmeprod!$B$1:$AV$479,MATCH("Producerad elenergi i kraftvärmeverk (GWh)",Kraftvärmeprod!$B$1:$AV$1,0),FALSE))</f>
        <v/>
      </c>
      <c r="G213" s="121" t="str">
        <f>IF(ISERROR(1/VLOOKUP($B213,Miljö!$B$1:$T$480,MATCH("Såld mängd produktionsspecifik fjärrvärme (GWh)",Miljö!$B$1:$T$1,0),FALSE)),"",VLOOKUP($B213,Miljö!$B$1:$T$480,MATCH("Såld mängd produktionsspecifik fjärrvärme (GWh)",Miljö!$B$1:$T$1,0),FALSE))</f>
        <v/>
      </c>
      <c r="J213" s="121" t="str">
        <f t="shared" si="3"/>
        <v>Norrtälje Energi AB</v>
      </c>
    </row>
    <row r="214" spans="1:10" x14ac:dyDescent="0.25">
      <c r="A214" s="137" t="s">
        <v>483</v>
      </c>
      <c r="B214" s="137" t="s">
        <v>485</v>
      </c>
      <c r="D214" s="121" t="str">
        <f>IF(ISERROR(1/VLOOKUP($B214,Kraftvärmeprod!$B$1:$D$479,MATCH("Total värmeproduktion i kraftvärmeverk i kombinerad drift (GWh)",Kraftvärmeprod!$B$1:$AV$1,0),FALSE)),"Ej kraftvärme","Alternativproduktionsmetoden")</f>
        <v>Alternativproduktionsmetoden</v>
      </c>
      <c r="E214" s="172">
        <f>IF(ISERROR(1/VLOOKUP($B214,Kraftvärmeprod!$B$1:$BD$479,MATCH("Total värmeproduktion i kraftvärmeverk i kombinerad drift (GWh)",Kraftvärmeprod!$B$1:$AV$1,0),FALSE)),"",VLOOKUP($B214,'Slutlig allokering kvv'!$B$1:$BC$479,MATCH(E$1,'Slutlig allokering kvv'!$B$1:$AU$1,0),FALSE))</f>
        <v>0.62633869727394909</v>
      </c>
      <c r="F214" s="121">
        <f>IF(ISERROR(1/VLOOKUP($B214,Kraftvärmeprod!$B$1:$AV$479,MATCH("Producerad elenergi i kraftvärmeverk (GWh)",Kraftvärmeprod!$B$1:$AV$1,0),FALSE)),"",VLOOKUP($B214,Kraftvärmeprod!$B$1:$AV$479,MATCH("Producerad elenergi i kraftvärmeverk (GWh)",Kraftvärmeprod!$B$1:$AV$1,0),FALSE))</f>
        <v>18.88</v>
      </c>
      <c r="G214" s="121" t="str">
        <f>IF(ISERROR(1/VLOOKUP($B214,Miljö!$B$1:$T$480,MATCH("Såld mängd produktionsspecifik fjärrvärme (GWh)",Miljö!$B$1:$T$1,0),FALSE)),"",VLOOKUP($B214,Miljö!$B$1:$T$480,MATCH("Såld mängd produktionsspecifik fjärrvärme (GWh)",Miljö!$B$1:$T$1,0),FALSE))</f>
        <v/>
      </c>
      <c r="J214" s="121" t="str">
        <f t="shared" si="3"/>
        <v>Norrtälje Energi AB</v>
      </c>
    </row>
    <row r="215" spans="1:10" x14ac:dyDescent="0.25">
      <c r="A215" s="137" t="s">
        <v>483</v>
      </c>
      <c r="B215" s="137" t="s">
        <v>486</v>
      </c>
      <c r="D215" s="121" t="str">
        <f>IF(ISERROR(1/VLOOKUP($B215,Kraftvärmeprod!$B$1:$D$479,MATCH("Total värmeproduktion i kraftvärmeverk i kombinerad drift (GWh)",Kraftvärmeprod!$B$1:$AV$1,0),FALSE)),"Ej kraftvärme","Alternativproduktionsmetoden")</f>
        <v>Ej kraftvärme</v>
      </c>
      <c r="E215" s="172" t="str">
        <f>IF(ISERROR(1/VLOOKUP($B215,Kraftvärmeprod!$B$1:$BD$479,MATCH("Total värmeproduktion i kraftvärmeverk i kombinerad drift (GWh)",Kraftvärmeprod!$B$1:$AV$1,0),FALSE)),"",VLOOKUP($B215,'Slutlig allokering kvv'!$B$1:$BC$479,MATCH(E$1,'Slutlig allokering kvv'!$B$1:$AU$1,0),FALSE))</f>
        <v/>
      </c>
      <c r="F215" s="121" t="str">
        <f>IF(ISERROR(1/VLOOKUP($B215,Kraftvärmeprod!$B$1:$AV$479,MATCH("Producerad elenergi i kraftvärmeverk (GWh)",Kraftvärmeprod!$B$1:$AV$1,0),FALSE)),"",VLOOKUP($B215,Kraftvärmeprod!$B$1:$AV$479,MATCH("Producerad elenergi i kraftvärmeverk (GWh)",Kraftvärmeprod!$B$1:$AV$1,0),FALSE))</f>
        <v/>
      </c>
      <c r="G215" s="121" t="str">
        <f>IF(ISERROR(1/VLOOKUP($B215,Miljö!$B$1:$T$480,MATCH("Såld mängd produktionsspecifik fjärrvärme (GWh)",Miljö!$B$1:$T$1,0),FALSE)),"",VLOOKUP($B215,Miljö!$B$1:$T$480,MATCH("Såld mängd produktionsspecifik fjärrvärme (GWh)",Miljö!$B$1:$T$1,0),FALSE))</f>
        <v/>
      </c>
      <c r="J215" s="121" t="str">
        <f t="shared" si="3"/>
        <v>Norrtälje Energi AB</v>
      </c>
    </row>
    <row r="216" spans="1:10" x14ac:dyDescent="0.25">
      <c r="A216" s="137" t="s">
        <v>487</v>
      </c>
      <c r="B216" s="137" t="s">
        <v>488</v>
      </c>
      <c r="D216" s="121" t="str">
        <f>IF(ISERROR(1/VLOOKUP($B216,Kraftvärmeprod!$B$1:$D$479,MATCH("Total värmeproduktion i kraftvärmeverk i kombinerad drift (GWh)",Kraftvärmeprod!$B$1:$AV$1,0),FALSE)),"Ej kraftvärme","Alternativproduktionsmetoden")</f>
        <v>Ej kraftvärme</v>
      </c>
      <c r="E216" s="172" t="str">
        <f>IF(ISERROR(1/VLOOKUP($B216,Kraftvärmeprod!$B$1:$BD$479,MATCH("Total värmeproduktion i kraftvärmeverk i kombinerad drift (GWh)",Kraftvärmeprod!$B$1:$AV$1,0),FALSE)),"",VLOOKUP($B216,'Slutlig allokering kvv'!$B$1:$BC$479,MATCH(E$1,'Slutlig allokering kvv'!$B$1:$AU$1,0),FALSE))</f>
        <v/>
      </c>
      <c r="F216" s="121" t="str">
        <f>IF(ISERROR(1/VLOOKUP($B216,Kraftvärmeprod!$B$1:$AV$479,MATCH("Producerad elenergi i kraftvärmeverk (GWh)",Kraftvärmeprod!$B$1:$AV$1,0),FALSE)),"",VLOOKUP($B216,Kraftvärmeprod!$B$1:$AV$479,MATCH("Producerad elenergi i kraftvärmeverk (GWh)",Kraftvärmeprod!$B$1:$AV$1,0),FALSE))</f>
        <v/>
      </c>
      <c r="G216" s="121" t="str">
        <f>IF(ISERROR(1/VLOOKUP($B216,Miljö!$B$1:$T$480,MATCH("Såld mängd produktionsspecifik fjärrvärme (GWh)",Miljö!$B$1:$T$1,0),FALSE)),"",VLOOKUP($B216,Miljö!$B$1:$T$480,MATCH("Såld mängd produktionsspecifik fjärrvärme (GWh)",Miljö!$B$1:$T$1,0),FALSE))</f>
        <v/>
      </c>
      <c r="J216" s="121" t="str">
        <f t="shared" si="3"/>
        <v>Nossebro Energi Värme AB</v>
      </c>
    </row>
    <row r="217" spans="1:10" x14ac:dyDescent="0.25">
      <c r="A217" s="137" t="s">
        <v>489</v>
      </c>
      <c r="B217" s="137" t="s">
        <v>490</v>
      </c>
      <c r="D217" s="121" t="str">
        <f>IF(ISERROR(1/VLOOKUP($B217,Kraftvärmeprod!$B$1:$D$479,MATCH("Total värmeproduktion i kraftvärmeverk i kombinerad drift (GWh)",Kraftvärmeprod!$B$1:$AV$1,0),FALSE)),"Ej kraftvärme","Alternativproduktionsmetoden")</f>
        <v>Alternativproduktionsmetoden</v>
      </c>
      <c r="E217" s="172">
        <f>IF(ISERROR(1/VLOOKUP($B217,Kraftvärmeprod!$B$1:$BD$479,MATCH("Total värmeproduktion i kraftvärmeverk i kombinerad drift (GWh)",Kraftvärmeprod!$B$1:$AV$1,0),FALSE)),"",VLOOKUP($B217,'Slutlig allokering kvv'!$B$1:$BC$479,MATCH(E$1,'Slutlig allokering kvv'!$B$1:$AU$1,0),FALSE))</f>
        <v>0.64457229253963455</v>
      </c>
      <c r="F217" s="121">
        <f>IF(ISERROR(1/VLOOKUP($B217,Kraftvärmeprod!$B$1:$AV$479,MATCH("Producerad elenergi i kraftvärmeverk (GWh)",Kraftvärmeprod!$B$1:$AV$1,0),FALSE)),"",VLOOKUP($B217,Kraftvärmeprod!$B$1:$AV$479,MATCH("Producerad elenergi i kraftvärmeverk (GWh)",Kraftvärmeprod!$B$1:$AV$1,0),FALSE))</f>
        <v>29.4</v>
      </c>
      <c r="G217" s="121" t="str">
        <f>IF(ISERROR(1/VLOOKUP($B217,Miljö!$B$1:$T$480,MATCH("Såld mängd produktionsspecifik fjärrvärme (GWh)",Miljö!$B$1:$T$1,0),FALSE)),"",VLOOKUP($B217,Miljö!$B$1:$T$480,MATCH("Såld mängd produktionsspecifik fjärrvärme (GWh)",Miljö!$B$1:$T$1,0),FALSE))</f>
        <v/>
      </c>
      <c r="J217" s="121" t="str">
        <f t="shared" si="3"/>
        <v>Nybro Energi AB</v>
      </c>
    </row>
    <row r="218" spans="1:10" x14ac:dyDescent="0.25">
      <c r="A218" s="137" t="s">
        <v>491</v>
      </c>
      <c r="B218" s="137" t="s">
        <v>492</v>
      </c>
      <c r="D218" s="121" t="str">
        <f>IF(ISERROR(1/VLOOKUP($B218,Kraftvärmeprod!$B$1:$D$479,MATCH("Total värmeproduktion i kraftvärmeverk i kombinerad drift (GWh)",Kraftvärmeprod!$B$1:$AV$1,0),FALSE)),"Ej kraftvärme","Alternativproduktionsmetoden")</f>
        <v>Ej kraftvärme</v>
      </c>
      <c r="E218" s="172" t="str">
        <f>IF(ISERROR(1/VLOOKUP($B218,Kraftvärmeprod!$B$1:$BD$479,MATCH("Total värmeproduktion i kraftvärmeverk i kombinerad drift (GWh)",Kraftvärmeprod!$B$1:$AV$1,0),FALSE)),"",VLOOKUP($B218,'Slutlig allokering kvv'!$B$1:$BC$479,MATCH(E$1,'Slutlig allokering kvv'!$B$1:$AU$1,0),FALSE))</f>
        <v/>
      </c>
      <c r="F218" s="121" t="str">
        <f>IF(ISERROR(1/VLOOKUP($B218,Kraftvärmeprod!$B$1:$AV$479,MATCH("Producerad elenergi i kraftvärmeverk (GWh)",Kraftvärmeprod!$B$1:$AV$1,0),FALSE)),"",VLOOKUP($B218,Kraftvärmeprod!$B$1:$AV$479,MATCH("Producerad elenergi i kraftvärmeverk (GWh)",Kraftvärmeprod!$B$1:$AV$1,0),FALSE))</f>
        <v/>
      </c>
      <c r="G218" s="121" t="str">
        <f>IF(ISERROR(1/VLOOKUP($B218,Miljö!$B$1:$T$480,MATCH("Såld mängd produktionsspecifik fjärrvärme (GWh)",Miljö!$B$1:$T$1,0),FALSE)),"",VLOOKUP($B218,Miljö!$B$1:$T$480,MATCH("Såld mängd produktionsspecifik fjärrvärme (GWh)",Miljö!$B$1:$T$1,0),FALSE))</f>
        <v/>
      </c>
      <c r="J218" s="121" t="str">
        <f t="shared" si="3"/>
        <v>Nässjö Affärsverk AB</v>
      </c>
    </row>
    <row r="219" spans="1:10" x14ac:dyDescent="0.25">
      <c r="A219" s="137" t="s">
        <v>491</v>
      </c>
      <c r="B219" s="137" t="s">
        <v>493</v>
      </c>
      <c r="D219" s="121" t="str">
        <f>IF(ISERROR(1/VLOOKUP($B219,Kraftvärmeprod!$B$1:$D$479,MATCH("Total värmeproduktion i kraftvärmeverk i kombinerad drift (GWh)",Kraftvärmeprod!$B$1:$AV$1,0),FALSE)),"Ej kraftvärme","Alternativproduktionsmetoden")</f>
        <v>Ej kraftvärme</v>
      </c>
      <c r="E219" s="172" t="str">
        <f>IF(ISERROR(1/VLOOKUP($B219,Kraftvärmeprod!$B$1:$BD$479,MATCH("Total värmeproduktion i kraftvärmeverk i kombinerad drift (GWh)",Kraftvärmeprod!$B$1:$AV$1,0),FALSE)),"",VLOOKUP($B219,'Slutlig allokering kvv'!$B$1:$BC$479,MATCH(E$1,'Slutlig allokering kvv'!$B$1:$AU$1,0),FALSE))</f>
        <v/>
      </c>
      <c r="F219" s="121" t="str">
        <f>IF(ISERROR(1/VLOOKUP($B219,Kraftvärmeprod!$B$1:$AV$479,MATCH("Producerad elenergi i kraftvärmeverk (GWh)",Kraftvärmeprod!$B$1:$AV$1,0),FALSE)),"",VLOOKUP($B219,Kraftvärmeprod!$B$1:$AV$479,MATCH("Producerad elenergi i kraftvärmeverk (GWh)",Kraftvärmeprod!$B$1:$AV$1,0),FALSE))</f>
        <v/>
      </c>
      <c r="G219" s="121" t="str">
        <f>IF(ISERROR(1/VLOOKUP($B219,Miljö!$B$1:$T$480,MATCH("Såld mängd produktionsspecifik fjärrvärme (GWh)",Miljö!$B$1:$T$1,0),FALSE)),"",VLOOKUP($B219,Miljö!$B$1:$T$480,MATCH("Såld mängd produktionsspecifik fjärrvärme (GWh)",Miljö!$B$1:$T$1,0),FALSE))</f>
        <v/>
      </c>
      <c r="J219" s="121" t="str">
        <f t="shared" si="3"/>
        <v>Nässjö Affärsverk AB</v>
      </c>
    </row>
    <row r="220" spans="1:10" x14ac:dyDescent="0.25">
      <c r="A220" s="137" t="s">
        <v>491</v>
      </c>
      <c r="B220" s="137" t="s">
        <v>494</v>
      </c>
      <c r="D220" s="121" t="str">
        <f>IF(ISERROR(1/VLOOKUP($B220,Kraftvärmeprod!$B$1:$D$479,MATCH("Total värmeproduktion i kraftvärmeverk i kombinerad drift (GWh)",Kraftvärmeprod!$B$1:$AV$1,0),FALSE)),"Ej kraftvärme","Alternativproduktionsmetoden")</f>
        <v>Alternativproduktionsmetoden</v>
      </c>
      <c r="E220" s="172">
        <f>IF(ISERROR(1/VLOOKUP($B220,Kraftvärmeprod!$B$1:$BD$479,MATCH("Total värmeproduktion i kraftvärmeverk i kombinerad drift (GWh)",Kraftvärmeprod!$B$1:$AV$1,0),FALSE)),"",VLOOKUP($B220,'Slutlig allokering kvv'!$B$1:$BC$479,MATCH(E$1,'Slutlig allokering kvv'!$B$1:$AU$1,0),FALSE))</f>
        <v>0.59013670160854337</v>
      </c>
      <c r="F220" s="121">
        <f>IF(ISERROR(1/VLOOKUP($B220,Kraftvärmeprod!$B$1:$AV$479,MATCH("Producerad elenergi i kraftvärmeverk (GWh)",Kraftvärmeprod!$B$1:$AV$1,0),FALSE)),"",VLOOKUP($B220,Kraftvärmeprod!$B$1:$AV$479,MATCH("Producerad elenergi i kraftvärmeverk (GWh)",Kraftvärmeprod!$B$1:$AV$1,0),FALSE))</f>
        <v>24.99</v>
      </c>
      <c r="G220" s="121" t="str">
        <f>IF(ISERROR(1/VLOOKUP($B220,Miljö!$B$1:$T$480,MATCH("Såld mängd produktionsspecifik fjärrvärme (GWh)",Miljö!$B$1:$T$1,0),FALSE)),"",VLOOKUP($B220,Miljö!$B$1:$T$480,MATCH("Såld mängd produktionsspecifik fjärrvärme (GWh)",Miljö!$B$1:$T$1,0),FALSE))</f>
        <v/>
      </c>
      <c r="J220" s="121" t="str">
        <f t="shared" si="3"/>
        <v>Nässjö Affärsverk AB</v>
      </c>
    </row>
    <row r="221" spans="1:10" x14ac:dyDescent="0.25">
      <c r="A221" s="137" t="s">
        <v>495</v>
      </c>
      <c r="B221" s="137" t="s">
        <v>496</v>
      </c>
      <c r="D221" s="121" t="str">
        <f>IF(ISERROR(1/VLOOKUP($B221,Kraftvärmeprod!$B$1:$D$479,MATCH("Total värmeproduktion i kraftvärmeverk i kombinerad drift (GWh)",Kraftvärmeprod!$B$1:$AV$1,0),FALSE)),"Ej kraftvärme","Alternativproduktionsmetoden")</f>
        <v>Ej kraftvärme</v>
      </c>
      <c r="E221" s="172" t="str">
        <f>IF(ISERROR(1/VLOOKUP($B221,Kraftvärmeprod!$B$1:$BD$479,MATCH("Total värmeproduktion i kraftvärmeverk i kombinerad drift (GWh)",Kraftvärmeprod!$B$1:$AV$1,0),FALSE)),"",VLOOKUP($B221,'Slutlig allokering kvv'!$B$1:$BC$479,MATCH(E$1,'Slutlig allokering kvv'!$B$1:$AU$1,0),FALSE))</f>
        <v/>
      </c>
      <c r="F221" s="121" t="str">
        <f>IF(ISERROR(1/VLOOKUP($B221,Kraftvärmeprod!$B$1:$AV$479,MATCH("Producerad elenergi i kraftvärmeverk (GWh)",Kraftvärmeprod!$B$1:$AV$1,0),FALSE)),"",VLOOKUP($B221,Kraftvärmeprod!$B$1:$AV$479,MATCH("Producerad elenergi i kraftvärmeverk (GWh)",Kraftvärmeprod!$B$1:$AV$1,0),FALSE))</f>
        <v/>
      </c>
      <c r="G221" s="121" t="str">
        <f>IF(ISERROR(1/VLOOKUP($B221,Miljö!$B$1:$T$480,MATCH("Såld mängd produktionsspecifik fjärrvärme (GWh)",Miljö!$B$1:$T$1,0),FALSE)),"",VLOOKUP($B221,Miljö!$B$1:$T$480,MATCH("Såld mängd produktionsspecifik fjärrvärme (GWh)",Miljö!$B$1:$T$1,0),FALSE))</f>
        <v/>
      </c>
      <c r="J221" s="121" t="str">
        <f t="shared" si="3"/>
        <v>Olofströms Kraft AB</v>
      </c>
    </row>
    <row r="222" spans="1:10" x14ac:dyDescent="0.25">
      <c r="A222" s="137" t="s">
        <v>498</v>
      </c>
      <c r="B222" s="137" t="s">
        <v>499</v>
      </c>
      <c r="D222" s="121" t="str">
        <f>IF(ISERROR(1/VLOOKUP($B222,Kraftvärmeprod!$B$1:$D$479,MATCH("Total värmeproduktion i kraftvärmeverk i kombinerad drift (GWh)",Kraftvärmeprod!$B$1:$AV$1,0),FALSE)),"Ej kraftvärme","Alternativproduktionsmetoden")</f>
        <v>Ej kraftvärme</v>
      </c>
      <c r="E222" s="172" t="str">
        <f>IF(ISERROR(1/VLOOKUP($B222,Kraftvärmeprod!$B$1:$BD$479,MATCH("Total värmeproduktion i kraftvärmeverk i kombinerad drift (GWh)",Kraftvärmeprod!$B$1:$AV$1,0),FALSE)),"",VLOOKUP($B222,'Slutlig allokering kvv'!$B$1:$BC$479,MATCH(E$1,'Slutlig allokering kvv'!$B$1:$AU$1,0),FALSE))</f>
        <v/>
      </c>
      <c r="F222" s="121" t="str">
        <f>IF(ISERROR(1/VLOOKUP($B222,Kraftvärmeprod!$B$1:$AV$479,MATCH("Producerad elenergi i kraftvärmeverk (GWh)",Kraftvärmeprod!$B$1:$AV$1,0),FALSE)),"",VLOOKUP($B222,Kraftvärmeprod!$B$1:$AV$479,MATCH("Producerad elenergi i kraftvärmeverk (GWh)",Kraftvärmeprod!$B$1:$AV$1,0),FALSE))</f>
        <v/>
      </c>
      <c r="G222" s="121" t="str">
        <f>IF(ISERROR(1/VLOOKUP($B222,Miljö!$B$1:$T$480,MATCH("Såld mängd produktionsspecifik fjärrvärme (GWh)",Miljö!$B$1:$T$1,0),FALSE)),"",VLOOKUP($B222,Miljö!$B$1:$T$480,MATCH("Såld mängd produktionsspecifik fjärrvärme (GWh)",Miljö!$B$1:$T$1,0),FALSE))</f>
        <v/>
      </c>
      <c r="J222" s="121" t="str">
        <f t="shared" si="3"/>
        <v>Orust Kommun</v>
      </c>
    </row>
    <row r="223" spans="1:10" x14ac:dyDescent="0.25">
      <c r="A223" s="137" t="s">
        <v>498</v>
      </c>
      <c r="B223" s="137" t="s">
        <v>500</v>
      </c>
      <c r="D223" s="121" t="str">
        <f>IF(ISERROR(1/VLOOKUP($B223,Kraftvärmeprod!$B$1:$D$479,MATCH("Total värmeproduktion i kraftvärmeverk i kombinerad drift (GWh)",Kraftvärmeprod!$B$1:$AV$1,0),FALSE)),"Ej kraftvärme","Alternativproduktionsmetoden")</f>
        <v>Ej kraftvärme</v>
      </c>
      <c r="E223" s="172" t="str">
        <f>IF(ISERROR(1/VLOOKUP($B223,Kraftvärmeprod!$B$1:$BD$479,MATCH("Total värmeproduktion i kraftvärmeverk i kombinerad drift (GWh)",Kraftvärmeprod!$B$1:$AV$1,0),FALSE)),"",VLOOKUP($B223,'Slutlig allokering kvv'!$B$1:$BC$479,MATCH(E$1,'Slutlig allokering kvv'!$B$1:$AU$1,0),FALSE))</f>
        <v/>
      </c>
      <c r="F223" s="121" t="str">
        <f>IF(ISERROR(1/VLOOKUP($B223,Kraftvärmeprod!$B$1:$AV$479,MATCH("Producerad elenergi i kraftvärmeverk (GWh)",Kraftvärmeprod!$B$1:$AV$1,0),FALSE)),"",VLOOKUP($B223,Kraftvärmeprod!$B$1:$AV$479,MATCH("Producerad elenergi i kraftvärmeverk (GWh)",Kraftvärmeprod!$B$1:$AV$1,0),FALSE))</f>
        <v/>
      </c>
      <c r="G223" s="121" t="str">
        <f>IF(ISERROR(1/VLOOKUP($B223,Miljö!$B$1:$T$480,MATCH("Såld mängd produktionsspecifik fjärrvärme (GWh)",Miljö!$B$1:$T$1,0),FALSE)),"",VLOOKUP($B223,Miljö!$B$1:$T$480,MATCH("Såld mängd produktionsspecifik fjärrvärme (GWh)",Miljö!$B$1:$T$1,0),FALSE))</f>
        <v/>
      </c>
      <c r="J223" s="121" t="str">
        <f t="shared" si="3"/>
        <v>Orust Kommun</v>
      </c>
    </row>
    <row r="224" spans="1:10" x14ac:dyDescent="0.25">
      <c r="A224" s="137" t="s">
        <v>501</v>
      </c>
      <c r="B224" s="137" t="s">
        <v>502</v>
      </c>
      <c r="D224" s="121" t="str">
        <f>IF(ISERROR(1/VLOOKUP($B224,Kraftvärmeprod!$B$1:$D$479,MATCH("Total värmeproduktion i kraftvärmeverk i kombinerad drift (GWh)",Kraftvärmeprod!$B$1:$AV$1,0),FALSE)),"Ej kraftvärme","Alternativproduktionsmetoden")</f>
        <v>Alternativproduktionsmetoden</v>
      </c>
      <c r="E224" s="172">
        <f>IF(ISERROR(1/VLOOKUP($B224,Kraftvärmeprod!$B$1:$BD$479,MATCH("Total värmeproduktion i kraftvärmeverk i kombinerad drift (GWh)",Kraftvärmeprod!$B$1:$AV$1,0),FALSE)),"",VLOOKUP($B224,'Slutlig allokering kvv'!$B$1:$BC$479,MATCH(E$1,'Slutlig allokering kvv'!$B$1:$AU$1,0),FALSE))</f>
        <v>0.74948788410886735</v>
      </c>
      <c r="F224" s="121">
        <f>IF(ISERROR(1/VLOOKUP($B224,Kraftvärmeprod!$B$1:$AV$479,MATCH("Producerad elenergi i kraftvärmeverk (GWh)",Kraftvärmeprod!$B$1:$AV$1,0),FALSE)),"",VLOOKUP($B224,Kraftvärmeprod!$B$1:$AV$479,MATCH("Producerad elenergi i kraftvärmeverk (GWh)",Kraftvärmeprod!$B$1:$AV$1,0),FALSE))</f>
        <v>12.8</v>
      </c>
      <c r="G224" s="121" t="str">
        <f>IF(ISERROR(1/VLOOKUP($B224,Miljö!$B$1:$T$480,MATCH("Såld mängd produktionsspecifik fjärrvärme (GWh)",Miljö!$B$1:$T$1,0),FALSE)),"",VLOOKUP($B224,Miljö!$B$1:$T$480,MATCH("Såld mängd produktionsspecifik fjärrvärme (GWh)",Miljö!$B$1:$T$1,0),FALSE))</f>
        <v/>
      </c>
      <c r="J224" s="121" t="str">
        <f t="shared" si="3"/>
        <v>Oskarshamn Energi AB</v>
      </c>
    </row>
    <row r="225" spans="1:10" x14ac:dyDescent="0.25">
      <c r="A225" s="137" t="s">
        <v>503</v>
      </c>
      <c r="B225" s="137" t="s">
        <v>504</v>
      </c>
      <c r="D225" s="121" t="str">
        <f>IF(ISERROR(1/VLOOKUP($B225,Kraftvärmeprod!$B$1:$D$479,MATCH("Total värmeproduktion i kraftvärmeverk i kombinerad drift (GWh)",Kraftvärmeprod!$B$1:$AV$1,0),FALSE)),"Ej kraftvärme","Alternativproduktionsmetoden")</f>
        <v>Ej kraftvärme</v>
      </c>
      <c r="E225" s="172" t="str">
        <f>IF(ISERROR(1/VLOOKUP($B225,Kraftvärmeprod!$B$1:$BD$479,MATCH("Total värmeproduktion i kraftvärmeverk i kombinerad drift (GWh)",Kraftvärmeprod!$B$1:$AV$1,0),FALSE)),"",VLOOKUP($B225,'Slutlig allokering kvv'!$B$1:$BC$479,MATCH(E$1,'Slutlig allokering kvv'!$B$1:$AU$1,0),FALSE))</f>
        <v/>
      </c>
      <c r="F225" s="121" t="str">
        <f>IF(ISERROR(1/VLOOKUP($B225,Kraftvärmeprod!$B$1:$AV$479,MATCH("Producerad elenergi i kraftvärmeverk (GWh)",Kraftvärmeprod!$B$1:$AV$1,0),FALSE)),"",VLOOKUP($B225,Kraftvärmeprod!$B$1:$AV$479,MATCH("Producerad elenergi i kraftvärmeverk (GWh)",Kraftvärmeprod!$B$1:$AV$1,0),FALSE))</f>
        <v/>
      </c>
      <c r="G225" s="121" t="str">
        <f>IF(ISERROR(1/VLOOKUP($B225,Miljö!$B$1:$T$480,MATCH("Såld mängd produktionsspecifik fjärrvärme (GWh)",Miljö!$B$1:$T$1,0),FALSE)),"",VLOOKUP($B225,Miljö!$B$1:$T$480,MATCH("Såld mängd produktionsspecifik fjärrvärme (GWh)",Miljö!$B$1:$T$1,0),FALSE))</f>
        <v/>
      </c>
      <c r="J225" s="121" t="str">
        <f t="shared" si="3"/>
        <v>Oxelö Energi AB</v>
      </c>
    </row>
    <row r="226" spans="1:10" x14ac:dyDescent="0.25">
      <c r="A226" s="137" t="s">
        <v>505</v>
      </c>
      <c r="B226" s="137" t="s">
        <v>119</v>
      </c>
      <c r="D226" s="121" t="str">
        <f>IF(ISERROR(1/VLOOKUP($B226,Kraftvärmeprod!$B$1:$D$479,MATCH("Total värmeproduktion i kraftvärmeverk i kombinerad drift (GWh)",Kraftvärmeprod!$B$1:$AV$1,0),FALSE)),"Ej kraftvärme","Alternativproduktionsmetoden")</f>
        <v>Ej kraftvärme</v>
      </c>
      <c r="E226" s="172" t="str">
        <f>IF(ISERROR(1/VLOOKUP($B226,Kraftvärmeprod!$B$1:$BD$479,MATCH("Total värmeproduktion i kraftvärmeverk i kombinerad drift (GWh)",Kraftvärmeprod!$B$1:$AV$1,0),FALSE)),"",VLOOKUP($B226,'Slutlig allokering kvv'!$B$1:$BC$479,MATCH(E$1,'Slutlig allokering kvv'!$B$1:$AU$1,0),FALSE))</f>
        <v/>
      </c>
      <c r="F226" s="121" t="str">
        <f>IF(ISERROR(1/VLOOKUP($B226,Kraftvärmeprod!$B$1:$AV$479,MATCH("Producerad elenergi i kraftvärmeverk (GWh)",Kraftvärmeprod!$B$1:$AV$1,0),FALSE)),"",VLOOKUP($B226,Kraftvärmeprod!$B$1:$AV$479,MATCH("Producerad elenergi i kraftvärmeverk (GWh)",Kraftvärmeprod!$B$1:$AV$1,0),FALSE))</f>
        <v/>
      </c>
      <c r="G226" s="121" t="str">
        <f>IF(ISERROR(1/VLOOKUP($B226,Miljö!$B$1:$T$480,MATCH("Såld mängd produktionsspecifik fjärrvärme (GWh)",Miljö!$B$1:$T$1,0),FALSE)),"",VLOOKUP($B226,Miljö!$B$1:$T$480,MATCH("Såld mängd produktionsspecifik fjärrvärme (GWh)",Miljö!$B$1:$T$1,0),FALSE))</f>
        <v/>
      </c>
      <c r="J226" s="121" t="str">
        <f t="shared" si="3"/>
        <v>Pajala Värmeverk AB</v>
      </c>
    </row>
    <row r="227" spans="1:10" x14ac:dyDescent="0.25">
      <c r="A227" s="137" t="s">
        <v>506</v>
      </c>
      <c r="B227" s="137" t="s">
        <v>507</v>
      </c>
      <c r="D227" s="121" t="str">
        <f>IF(ISERROR(1/VLOOKUP($B227,Kraftvärmeprod!$B$1:$D$479,MATCH("Total värmeproduktion i kraftvärmeverk i kombinerad drift (GWh)",Kraftvärmeprod!$B$1:$AV$1,0),FALSE)),"Ej kraftvärme","Alternativproduktionsmetoden")</f>
        <v>Ej kraftvärme</v>
      </c>
      <c r="E227" s="172" t="str">
        <f>IF(ISERROR(1/VLOOKUP($B227,Kraftvärmeprod!$B$1:$BD$479,MATCH("Total värmeproduktion i kraftvärmeverk i kombinerad drift (GWh)",Kraftvärmeprod!$B$1:$AV$1,0),FALSE)),"",VLOOKUP($B227,'Slutlig allokering kvv'!$B$1:$BC$479,MATCH(E$1,'Slutlig allokering kvv'!$B$1:$AU$1,0),FALSE))</f>
        <v/>
      </c>
      <c r="F227" s="121" t="str">
        <f>IF(ISERROR(1/VLOOKUP($B227,Kraftvärmeprod!$B$1:$AV$479,MATCH("Producerad elenergi i kraftvärmeverk (GWh)",Kraftvärmeprod!$B$1:$AV$1,0),FALSE)),"",VLOOKUP($B227,Kraftvärmeprod!$B$1:$AV$479,MATCH("Producerad elenergi i kraftvärmeverk (GWh)",Kraftvärmeprod!$B$1:$AV$1,0),FALSE))</f>
        <v/>
      </c>
      <c r="G227" s="121" t="str">
        <f>IF(ISERROR(1/VLOOKUP($B227,Miljö!$B$1:$T$480,MATCH("Såld mängd produktionsspecifik fjärrvärme (GWh)",Miljö!$B$1:$T$1,0),FALSE)),"",VLOOKUP($B227,Miljö!$B$1:$T$480,MATCH("Såld mängd produktionsspecifik fjärrvärme (GWh)",Miljö!$B$1:$T$1,0),FALSE))</f>
        <v/>
      </c>
      <c r="J227" s="121" t="str">
        <f t="shared" si="3"/>
        <v>Partille Energi AB</v>
      </c>
    </row>
    <row r="228" spans="1:10" x14ac:dyDescent="0.25">
      <c r="A228" s="137" t="s">
        <v>38</v>
      </c>
      <c r="B228" s="141" t="s">
        <v>40</v>
      </c>
      <c r="D228" s="121" t="str">
        <f>IF(ISERROR(1/VLOOKUP($B228,Kraftvärmeprod!$B$1:$D$479,MATCH("Total värmeproduktion i kraftvärmeverk i kombinerad drift (GWh)",Kraftvärmeprod!$B$1:$AV$1,0),FALSE)),"Ej kraftvärme","Alternativproduktionsmetoden")</f>
        <v>Ej kraftvärme</v>
      </c>
      <c r="E228" s="172" t="str">
        <f>IF(ISERROR(1/VLOOKUP($B228,Kraftvärmeprod!$B$1:$BD$479,MATCH("Total värmeproduktion i kraftvärmeverk i kombinerad drift (GWh)",Kraftvärmeprod!$B$1:$AV$1,0),FALSE)),"",VLOOKUP($B228,'Slutlig allokering kvv'!$B$1:$BC$479,MATCH(E$1,'Slutlig allokering kvv'!$B$1:$AU$1,0),FALSE))</f>
        <v/>
      </c>
      <c r="F228" s="121" t="str">
        <f>IF(ISERROR(1/VLOOKUP($B228,Kraftvärmeprod!$B$1:$AV$479,MATCH("Producerad elenergi i kraftvärmeverk (GWh)",Kraftvärmeprod!$B$1:$AV$1,0),FALSE)),"",VLOOKUP($B228,Kraftvärmeprod!$B$1:$AV$479,MATCH("Producerad elenergi i kraftvärmeverk (GWh)",Kraftvärmeprod!$B$1:$AV$1,0),FALSE))</f>
        <v/>
      </c>
      <c r="G228" s="121" t="str">
        <f>IF(ISERROR(1/VLOOKUP($B228,Miljö!$B$1:$T$480,MATCH("Såld mängd produktionsspecifik fjärrvärme (GWh)",Miljö!$B$1:$T$1,0),FALSE)),"",VLOOKUP($B228,Miljö!$B$1:$T$480,MATCH("Såld mängd produktionsspecifik fjärrvärme (GWh)",Miljö!$B$1:$T$1,0),FALSE))</f>
        <v/>
      </c>
      <c r="J228" s="121" t="str">
        <f t="shared" si="3"/>
        <v>Peab Energi AB</v>
      </c>
    </row>
    <row r="229" spans="1:10" x14ac:dyDescent="0.25">
      <c r="A229" s="137" t="s">
        <v>4</v>
      </c>
      <c r="B229" s="137" t="s">
        <v>508</v>
      </c>
      <c r="D229" s="121" t="str">
        <f>IF(ISERROR(1/VLOOKUP($B229,Kraftvärmeprod!$B$1:$D$479,MATCH("Total värmeproduktion i kraftvärmeverk i kombinerad drift (GWh)",Kraftvärmeprod!$B$1:$AV$1,0),FALSE)),"Ej kraftvärme","Alternativproduktionsmetoden")</f>
        <v>Ej kraftvärme</v>
      </c>
      <c r="E229" s="172" t="str">
        <f>IF(ISERROR(1/VLOOKUP($B229,Kraftvärmeprod!$B$1:$BD$479,MATCH("Total värmeproduktion i kraftvärmeverk i kombinerad drift (GWh)",Kraftvärmeprod!$B$1:$AV$1,0),FALSE)),"",VLOOKUP($B229,'Slutlig allokering kvv'!$B$1:$BC$479,MATCH(E$1,'Slutlig allokering kvv'!$B$1:$AU$1,0),FALSE))</f>
        <v/>
      </c>
      <c r="F229" s="121" t="str">
        <f>IF(ISERROR(1/VLOOKUP($B229,Kraftvärmeprod!$B$1:$AV$479,MATCH("Producerad elenergi i kraftvärmeverk (GWh)",Kraftvärmeprod!$B$1:$AV$1,0),FALSE)),"",VLOOKUP($B229,Kraftvärmeprod!$B$1:$AV$479,MATCH("Producerad elenergi i kraftvärmeverk (GWh)",Kraftvärmeprod!$B$1:$AV$1,0),FALSE))</f>
        <v/>
      </c>
      <c r="G229" s="121" t="str">
        <f>IF(ISERROR(1/VLOOKUP($B229,Miljö!$B$1:$T$480,MATCH("Såld mängd produktionsspecifik fjärrvärme (GWh)",Miljö!$B$1:$T$1,0),FALSE)),"",VLOOKUP($B229,Miljö!$B$1:$T$480,MATCH("Såld mängd produktionsspecifik fjärrvärme (GWh)",Miljö!$B$1:$T$1,0),FALSE))</f>
        <v/>
      </c>
      <c r="J229" s="121" t="str">
        <f t="shared" si="3"/>
        <v>Pemco Energi</v>
      </c>
    </row>
    <row r="230" spans="1:10" x14ac:dyDescent="0.25">
      <c r="A230" s="137" t="s">
        <v>4</v>
      </c>
      <c r="B230" s="137" t="s">
        <v>509</v>
      </c>
      <c r="D230" s="121" t="str">
        <f>IF(ISERROR(1/VLOOKUP($B230,Kraftvärmeprod!$B$1:$D$479,MATCH("Total värmeproduktion i kraftvärmeverk i kombinerad drift (GWh)",Kraftvärmeprod!$B$1:$AV$1,0),FALSE)),"Ej kraftvärme","Alternativproduktionsmetoden")</f>
        <v>Ej kraftvärme</v>
      </c>
      <c r="E230" s="172" t="str">
        <f>IF(ISERROR(1/VLOOKUP($B230,Kraftvärmeprod!$B$1:$BD$479,MATCH("Total värmeproduktion i kraftvärmeverk i kombinerad drift (GWh)",Kraftvärmeprod!$B$1:$AV$1,0),FALSE)),"",VLOOKUP($B230,'Slutlig allokering kvv'!$B$1:$BC$479,MATCH(E$1,'Slutlig allokering kvv'!$B$1:$AU$1,0),FALSE))</f>
        <v/>
      </c>
      <c r="F230" s="121" t="str">
        <f>IF(ISERROR(1/VLOOKUP($B230,Kraftvärmeprod!$B$1:$AV$479,MATCH("Producerad elenergi i kraftvärmeverk (GWh)",Kraftvärmeprod!$B$1:$AV$1,0),FALSE)),"",VLOOKUP($B230,Kraftvärmeprod!$B$1:$AV$479,MATCH("Producerad elenergi i kraftvärmeverk (GWh)",Kraftvärmeprod!$B$1:$AV$1,0),FALSE))</f>
        <v/>
      </c>
      <c r="G230" s="121" t="str">
        <f>IF(ISERROR(1/VLOOKUP($B230,Miljö!$B$1:$T$480,MATCH("Såld mängd produktionsspecifik fjärrvärme (GWh)",Miljö!$B$1:$T$1,0),FALSE)),"",VLOOKUP($B230,Miljö!$B$1:$T$480,MATCH("Såld mängd produktionsspecifik fjärrvärme (GWh)",Miljö!$B$1:$T$1,0),FALSE))</f>
        <v/>
      </c>
      <c r="J230" s="121" t="str">
        <f t="shared" si="3"/>
        <v>Pemco Energi</v>
      </c>
    </row>
    <row r="231" spans="1:10" x14ac:dyDescent="0.25">
      <c r="A231" s="137" t="s">
        <v>4</v>
      </c>
      <c r="B231" s="137" t="s">
        <v>5</v>
      </c>
      <c r="D231" s="121" t="str">
        <f>IF(ISERROR(1/VLOOKUP($B231,Kraftvärmeprod!$B$1:$D$479,MATCH("Total värmeproduktion i kraftvärmeverk i kombinerad drift (GWh)",Kraftvärmeprod!$B$1:$AV$1,0),FALSE)),"Ej kraftvärme","Alternativproduktionsmetoden")</f>
        <v>Ej kraftvärme</v>
      </c>
      <c r="E231" s="172" t="str">
        <f>IF(ISERROR(1/VLOOKUP($B231,Kraftvärmeprod!$B$1:$BD$479,MATCH("Total värmeproduktion i kraftvärmeverk i kombinerad drift (GWh)",Kraftvärmeprod!$B$1:$AV$1,0),FALSE)),"",VLOOKUP($B231,'Slutlig allokering kvv'!$B$1:$BC$479,MATCH(E$1,'Slutlig allokering kvv'!$B$1:$AU$1,0),FALSE))</f>
        <v/>
      </c>
      <c r="F231" s="121" t="str">
        <f>IF(ISERROR(1/VLOOKUP($B231,Kraftvärmeprod!$B$1:$AV$479,MATCH("Producerad elenergi i kraftvärmeverk (GWh)",Kraftvärmeprod!$B$1:$AV$1,0),FALSE)),"",VLOOKUP($B231,Kraftvärmeprod!$B$1:$AV$479,MATCH("Producerad elenergi i kraftvärmeverk (GWh)",Kraftvärmeprod!$B$1:$AV$1,0),FALSE))</f>
        <v/>
      </c>
      <c r="G231" s="121" t="str">
        <f>IF(ISERROR(1/VLOOKUP($B231,Miljö!$B$1:$T$480,MATCH("Såld mängd produktionsspecifik fjärrvärme (GWh)",Miljö!$B$1:$T$1,0),FALSE)),"",VLOOKUP($B231,Miljö!$B$1:$T$480,MATCH("Såld mängd produktionsspecifik fjärrvärme (GWh)",Miljö!$B$1:$T$1,0),FALSE))</f>
        <v/>
      </c>
      <c r="J231" s="121" t="str">
        <f t="shared" si="3"/>
        <v>Pemco Energi</v>
      </c>
    </row>
    <row r="232" spans="1:10" x14ac:dyDescent="0.25">
      <c r="A232" s="137" t="s">
        <v>510</v>
      </c>
      <c r="B232" s="137" t="s">
        <v>511</v>
      </c>
      <c r="D232" s="121" t="str">
        <f>IF(ISERROR(1/VLOOKUP($B232,Kraftvärmeprod!$B$1:$D$479,MATCH("Total värmeproduktion i kraftvärmeverk i kombinerad drift (GWh)",Kraftvärmeprod!$B$1:$AV$1,0),FALSE)),"Ej kraftvärme","Alternativproduktionsmetoden")</f>
        <v>Ej kraftvärme</v>
      </c>
      <c r="E232" s="172" t="str">
        <f>IF(ISERROR(1/VLOOKUP($B232,Kraftvärmeprod!$B$1:$BD$479,MATCH("Total värmeproduktion i kraftvärmeverk i kombinerad drift (GWh)",Kraftvärmeprod!$B$1:$AV$1,0),FALSE)),"",VLOOKUP($B232,'Slutlig allokering kvv'!$B$1:$BC$479,MATCH(E$1,'Slutlig allokering kvv'!$B$1:$AU$1,0),FALSE))</f>
        <v/>
      </c>
      <c r="F232" s="121" t="str">
        <f>IF(ISERROR(1/VLOOKUP($B232,Kraftvärmeprod!$B$1:$AV$479,MATCH("Producerad elenergi i kraftvärmeverk (GWh)",Kraftvärmeprod!$B$1:$AV$1,0),FALSE)),"",VLOOKUP($B232,Kraftvärmeprod!$B$1:$AV$479,MATCH("Producerad elenergi i kraftvärmeverk (GWh)",Kraftvärmeprod!$B$1:$AV$1,0),FALSE))</f>
        <v/>
      </c>
      <c r="G232" s="121" t="str">
        <f>IF(ISERROR(1/VLOOKUP($B232,Miljö!$B$1:$T$480,MATCH("Såld mängd produktionsspecifik fjärrvärme (GWh)",Miljö!$B$1:$T$1,0),FALSE)),"",VLOOKUP($B232,Miljö!$B$1:$T$480,MATCH("Såld mängd produktionsspecifik fjärrvärme (GWh)",Miljö!$B$1:$T$1,0),FALSE))</f>
        <v/>
      </c>
      <c r="J232" s="121" t="str">
        <f t="shared" si="3"/>
        <v>Perstorps Fjärrvärme AB</v>
      </c>
    </row>
    <row r="233" spans="1:10" x14ac:dyDescent="0.25">
      <c r="A233" s="137" t="s">
        <v>513</v>
      </c>
      <c r="B233" s="137" t="s">
        <v>514</v>
      </c>
      <c r="D233" s="121" t="str">
        <f>IF(ISERROR(1/VLOOKUP($B233,Kraftvärmeprod!$B$1:$D$479,MATCH("Total värmeproduktion i kraftvärmeverk i kombinerad drift (GWh)",Kraftvärmeprod!$B$1:$AV$1,0),FALSE)),"Ej kraftvärme","Alternativproduktionsmetoden")</f>
        <v>Ej kraftvärme</v>
      </c>
      <c r="E233" s="172" t="str">
        <f>IF(ISERROR(1/VLOOKUP($B233,Kraftvärmeprod!$B$1:$BD$479,MATCH("Total värmeproduktion i kraftvärmeverk i kombinerad drift (GWh)",Kraftvärmeprod!$B$1:$AV$1,0),FALSE)),"",VLOOKUP($B233,'Slutlig allokering kvv'!$B$1:$BC$479,MATCH(E$1,'Slutlig allokering kvv'!$B$1:$AU$1,0),FALSE))</f>
        <v/>
      </c>
      <c r="F233" s="121" t="str">
        <f>IF(ISERROR(1/VLOOKUP($B233,Kraftvärmeprod!$B$1:$AV$479,MATCH("Producerad elenergi i kraftvärmeverk (GWh)",Kraftvärmeprod!$B$1:$AV$1,0),FALSE)),"",VLOOKUP($B233,Kraftvärmeprod!$B$1:$AV$479,MATCH("Producerad elenergi i kraftvärmeverk (GWh)",Kraftvärmeprod!$B$1:$AV$1,0),FALSE))</f>
        <v/>
      </c>
      <c r="G233" s="121" t="str">
        <f>IF(ISERROR(1/VLOOKUP($B233,Miljö!$B$1:$T$480,MATCH("Såld mängd produktionsspecifik fjärrvärme (GWh)",Miljö!$B$1:$T$1,0),FALSE)),"",VLOOKUP($B233,Miljö!$B$1:$T$480,MATCH("Såld mängd produktionsspecifik fjärrvärme (GWh)",Miljö!$B$1:$T$1,0),FALSE))</f>
        <v/>
      </c>
      <c r="J233" s="121" t="str">
        <f t="shared" si="3"/>
        <v>PiteEnergi AB</v>
      </c>
    </row>
    <row r="234" spans="1:10" x14ac:dyDescent="0.25">
      <c r="A234" s="137" t="s">
        <v>513</v>
      </c>
      <c r="B234" s="137" t="s">
        <v>515</v>
      </c>
      <c r="D234" s="121" t="str">
        <f>IF(ISERROR(1/VLOOKUP($B234,Kraftvärmeprod!$B$1:$D$479,MATCH("Total värmeproduktion i kraftvärmeverk i kombinerad drift (GWh)",Kraftvärmeprod!$B$1:$AV$1,0),FALSE)),"Ej kraftvärme","Alternativproduktionsmetoden")</f>
        <v>Ej kraftvärme</v>
      </c>
      <c r="E234" s="172" t="str">
        <f>IF(ISERROR(1/VLOOKUP($B234,Kraftvärmeprod!$B$1:$BD$479,MATCH("Total värmeproduktion i kraftvärmeverk i kombinerad drift (GWh)",Kraftvärmeprod!$B$1:$AV$1,0),FALSE)),"",VLOOKUP($B234,'Slutlig allokering kvv'!$B$1:$BC$479,MATCH(E$1,'Slutlig allokering kvv'!$B$1:$AU$1,0),FALSE))</f>
        <v/>
      </c>
      <c r="F234" s="121" t="str">
        <f>IF(ISERROR(1/VLOOKUP($B234,Kraftvärmeprod!$B$1:$AV$479,MATCH("Producerad elenergi i kraftvärmeverk (GWh)",Kraftvärmeprod!$B$1:$AV$1,0),FALSE)),"",VLOOKUP($B234,Kraftvärmeprod!$B$1:$AV$479,MATCH("Producerad elenergi i kraftvärmeverk (GWh)",Kraftvärmeprod!$B$1:$AV$1,0),FALSE))</f>
        <v/>
      </c>
      <c r="G234" s="121" t="str">
        <f>IF(ISERROR(1/VLOOKUP($B234,Miljö!$B$1:$T$480,MATCH("Såld mängd produktionsspecifik fjärrvärme (GWh)",Miljö!$B$1:$T$1,0),FALSE)),"",VLOOKUP($B234,Miljö!$B$1:$T$480,MATCH("Såld mängd produktionsspecifik fjärrvärme (GWh)",Miljö!$B$1:$T$1,0),FALSE))</f>
        <v/>
      </c>
      <c r="J234" s="121" t="str">
        <f t="shared" si="3"/>
        <v>PiteEnergi AB</v>
      </c>
    </row>
    <row r="235" spans="1:10" x14ac:dyDescent="0.25">
      <c r="A235" s="137" t="s">
        <v>513</v>
      </c>
      <c r="B235" s="137" t="s">
        <v>517</v>
      </c>
      <c r="D235" s="121" t="str">
        <f>IF(ISERROR(1/VLOOKUP($B235,Kraftvärmeprod!$B$1:$D$479,MATCH("Total värmeproduktion i kraftvärmeverk i kombinerad drift (GWh)",Kraftvärmeprod!$B$1:$AV$1,0),FALSE)),"Ej kraftvärme","Alternativproduktionsmetoden")</f>
        <v>Ej kraftvärme</v>
      </c>
      <c r="E235" s="172" t="str">
        <f>IF(ISERROR(1/VLOOKUP($B235,Kraftvärmeprod!$B$1:$BD$479,MATCH("Total värmeproduktion i kraftvärmeverk i kombinerad drift (GWh)",Kraftvärmeprod!$B$1:$AV$1,0),FALSE)),"",VLOOKUP($B235,'Slutlig allokering kvv'!$B$1:$BC$479,MATCH(E$1,'Slutlig allokering kvv'!$B$1:$AU$1,0),FALSE))</f>
        <v/>
      </c>
      <c r="F235" s="121" t="str">
        <f>IF(ISERROR(1/VLOOKUP($B235,Kraftvärmeprod!$B$1:$AV$479,MATCH("Producerad elenergi i kraftvärmeverk (GWh)",Kraftvärmeprod!$B$1:$AV$1,0),FALSE)),"",VLOOKUP($B235,Kraftvärmeprod!$B$1:$AV$479,MATCH("Producerad elenergi i kraftvärmeverk (GWh)",Kraftvärmeprod!$B$1:$AV$1,0),FALSE))</f>
        <v/>
      </c>
      <c r="G235" s="121" t="str">
        <f>IF(ISERROR(1/VLOOKUP($B235,Miljö!$B$1:$T$480,MATCH("Såld mängd produktionsspecifik fjärrvärme (GWh)",Miljö!$B$1:$T$1,0),FALSE)),"",VLOOKUP($B235,Miljö!$B$1:$T$480,MATCH("Såld mängd produktionsspecifik fjärrvärme (GWh)",Miljö!$B$1:$T$1,0),FALSE))</f>
        <v/>
      </c>
      <c r="J235" s="121" t="str">
        <f t="shared" si="3"/>
        <v>PiteEnergi AB</v>
      </c>
    </row>
    <row r="236" spans="1:10" x14ac:dyDescent="0.25">
      <c r="A236" s="137" t="s">
        <v>513</v>
      </c>
      <c r="B236" s="137" t="s">
        <v>518</v>
      </c>
      <c r="D236" s="121" t="str">
        <f>IF(ISERROR(1/VLOOKUP($B236,Kraftvärmeprod!$B$1:$D$479,MATCH("Total värmeproduktion i kraftvärmeverk i kombinerad drift (GWh)",Kraftvärmeprod!$B$1:$AV$1,0),FALSE)),"Ej kraftvärme","Alternativproduktionsmetoden")</f>
        <v>Ej kraftvärme</v>
      </c>
      <c r="E236" s="172" t="str">
        <f>IF(ISERROR(1/VLOOKUP($B236,Kraftvärmeprod!$B$1:$BD$479,MATCH("Total värmeproduktion i kraftvärmeverk i kombinerad drift (GWh)",Kraftvärmeprod!$B$1:$AV$1,0),FALSE)),"",VLOOKUP($B236,'Slutlig allokering kvv'!$B$1:$BC$479,MATCH(E$1,'Slutlig allokering kvv'!$B$1:$AU$1,0),FALSE))</f>
        <v/>
      </c>
      <c r="F236" s="121" t="str">
        <f>IF(ISERROR(1/VLOOKUP($B236,Kraftvärmeprod!$B$1:$AV$479,MATCH("Producerad elenergi i kraftvärmeverk (GWh)",Kraftvärmeprod!$B$1:$AV$1,0),FALSE)),"",VLOOKUP($B236,Kraftvärmeprod!$B$1:$AV$479,MATCH("Producerad elenergi i kraftvärmeverk (GWh)",Kraftvärmeprod!$B$1:$AV$1,0),FALSE))</f>
        <v/>
      </c>
      <c r="G236" s="121" t="str">
        <f>IF(ISERROR(1/VLOOKUP($B236,Miljö!$B$1:$T$480,MATCH("Såld mängd produktionsspecifik fjärrvärme (GWh)",Miljö!$B$1:$T$1,0),FALSE)),"",VLOOKUP($B236,Miljö!$B$1:$T$480,MATCH("Såld mängd produktionsspecifik fjärrvärme (GWh)",Miljö!$B$1:$T$1,0),FALSE))</f>
        <v/>
      </c>
      <c r="J236" s="121" t="str">
        <f t="shared" si="3"/>
        <v>PiteEnergi AB</v>
      </c>
    </row>
    <row r="237" spans="1:10" x14ac:dyDescent="0.25">
      <c r="A237" s="137" t="s">
        <v>519</v>
      </c>
      <c r="B237" s="137" t="s">
        <v>520</v>
      </c>
      <c r="D237" s="121" t="str">
        <f>IF(ISERROR(1/VLOOKUP($B237,Kraftvärmeprod!$B$1:$D$479,MATCH("Total värmeproduktion i kraftvärmeverk i kombinerad drift (GWh)",Kraftvärmeprod!$B$1:$AV$1,0),FALSE)),"Ej kraftvärme","Alternativproduktionsmetoden")</f>
        <v>Ej kraftvärme</v>
      </c>
      <c r="E237" s="172" t="str">
        <f>IF(ISERROR(1/VLOOKUP($B237,Kraftvärmeprod!$B$1:$BD$479,MATCH("Total värmeproduktion i kraftvärmeverk i kombinerad drift (GWh)",Kraftvärmeprod!$B$1:$AV$1,0),FALSE)),"",VLOOKUP($B237,'Slutlig allokering kvv'!$B$1:$BC$479,MATCH(E$1,'Slutlig allokering kvv'!$B$1:$AU$1,0),FALSE))</f>
        <v/>
      </c>
      <c r="F237" s="121" t="str">
        <f>IF(ISERROR(1/VLOOKUP($B237,Kraftvärmeprod!$B$1:$AV$479,MATCH("Producerad elenergi i kraftvärmeverk (GWh)",Kraftvärmeprod!$B$1:$AV$1,0),FALSE)),"",VLOOKUP($B237,Kraftvärmeprod!$B$1:$AV$479,MATCH("Producerad elenergi i kraftvärmeverk (GWh)",Kraftvärmeprod!$B$1:$AV$1,0),FALSE))</f>
        <v/>
      </c>
      <c r="G237" s="121" t="str">
        <f>IF(ISERROR(1/VLOOKUP($B237,Miljö!$B$1:$T$480,MATCH("Såld mängd produktionsspecifik fjärrvärme (GWh)",Miljö!$B$1:$T$1,0),FALSE)),"",VLOOKUP($B237,Miljö!$B$1:$T$480,MATCH("Såld mängd produktionsspecifik fjärrvärme (GWh)",Miljö!$B$1:$T$1,0),FALSE))</f>
        <v/>
      </c>
      <c r="J237" s="121" t="str">
        <f t="shared" si="3"/>
        <v>Ragunda Energi och Teknik AB</v>
      </c>
    </row>
    <row r="238" spans="1:10" x14ac:dyDescent="0.25">
      <c r="A238" s="137" t="s">
        <v>521</v>
      </c>
      <c r="B238" s="137" t="s">
        <v>522</v>
      </c>
      <c r="D238" s="121" t="str">
        <f>IF(ISERROR(1/VLOOKUP($B238,Kraftvärmeprod!$B$1:$D$479,MATCH("Total värmeproduktion i kraftvärmeverk i kombinerad drift (GWh)",Kraftvärmeprod!$B$1:$AV$1,0),FALSE)),"Ej kraftvärme","Alternativproduktionsmetoden")</f>
        <v>Alternativproduktionsmetoden</v>
      </c>
      <c r="E238" s="172">
        <f>IF(ISERROR(1/VLOOKUP($B238,Kraftvärmeprod!$B$1:$BD$479,MATCH("Total värmeproduktion i kraftvärmeverk i kombinerad drift (GWh)",Kraftvärmeprod!$B$1:$AV$1,0),FALSE)),"",VLOOKUP($B238,'Slutlig allokering kvv'!$B$1:$BC$479,MATCH(E$1,'Slutlig allokering kvv'!$B$1:$AU$1,0),FALSE))</f>
        <v>0.97600516129032266</v>
      </c>
      <c r="F238" s="121">
        <f>IF(ISERROR(1/VLOOKUP($B238,Kraftvärmeprod!$B$1:$AV$479,MATCH("Producerad elenergi i kraftvärmeverk (GWh)",Kraftvärmeprod!$B$1:$AV$1,0),FALSE)),"",VLOOKUP($B238,Kraftvärmeprod!$B$1:$AV$479,MATCH("Producerad elenergi i kraftvärmeverk (GWh)",Kraftvärmeprod!$B$1:$AV$1,0),FALSE))</f>
        <v>0.05</v>
      </c>
      <c r="G238" s="121" t="str">
        <f>IF(ISERROR(1/VLOOKUP($B238,Miljö!$B$1:$T$480,MATCH("Såld mängd produktionsspecifik fjärrvärme (GWh)",Miljö!$B$1:$T$1,0),FALSE)),"",VLOOKUP($B238,Miljö!$B$1:$T$480,MATCH("Såld mängd produktionsspecifik fjärrvärme (GWh)",Miljö!$B$1:$T$1,0),FALSE))</f>
        <v/>
      </c>
      <c r="J238" s="121" t="str">
        <f t="shared" si="3"/>
        <v>Ronneby Miljö och Teknik AB</v>
      </c>
    </row>
    <row r="239" spans="1:10" x14ac:dyDescent="0.25">
      <c r="A239" s="137" t="s">
        <v>521</v>
      </c>
      <c r="B239" s="137" t="s">
        <v>523</v>
      </c>
      <c r="D239" s="121" t="str">
        <f>IF(ISERROR(1/VLOOKUP($B239,Kraftvärmeprod!$B$1:$D$479,MATCH("Total värmeproduktion i kraftvärmeverk i kombinerad drift (GWh)",Kraftvärmeprod!$B$1:$AV$1,0),FALSE)),"Ej kraftvärme","Alternativproduktionsmetoden")</f>
        <v>Alternativproduktionsmetoden</v>
      </c>
      <c r="E239" s="172">
        <f>IF(ISERROR(1/VLOOKUP($B239,Kraftvärmeprod!$B$1:$BD$479,MATCH("Total värmeproduktion i kraftvärmeverk i kombinerad drift (GWh)",Kraftvärmeprod!$B$1:$AV$1,0),FALSE)),"",VLOOKUP($B239,'Slutlig allokering kvv'!$B$1:$BC$479,MATCH(E$1,'Slutlig allokering kvv'!$B$1:$AU$1,0),FALSE))</f>
        <v>0.87038547008546996</v>
      </c>
      <c r="F239" s="121">
        <f>IF(ISERROR(1/VLOOKUP($B239,Kraftvärmeprod!$B$1:$AV$479,MATCH("Producerad elenergi i kraftvärmeverk (GWh)",Kraftvärmeprod!$B$1:$AV$1,0),FALSE)),"",VLOOKUP($B239,Kraftvärmeprod!$B$1:$AV$479,MATCH("Producerad elenergi i kraftvärmeverk (GWh)",Kraftvärmeprod!$B$1:$AV$1,0),FALSE))</f>
        <v>0.56000000000000005</v>
      </c>
      <c r="G239" s="121" t="str">
        <f>IF(ISERROR(1/VLOOKUP($B239,Miljö!$B$1:$T$480,MATCH("Såld mängd produktionsspecifik fjärrvärme (GWh)",Miljö!$B$1:$T$1,0),FALSE)),"",VLOOKUP($B239,Miljö!$B$1:$T$480,MATCH("Såld mängd produktionsspecifik fjärrvärme (GWh)",Miljö!$B$1:$T$1,0),FALSE))</f>
        <v/>
      </c>
      <c r="J239" s="121" t="str">
        <f t="shared" si="3"/>
        <v>Ronneby Miljö och Teknik AB</v>
      </c>
    </row>
    <row r="240" spans="1:10" x14ac:dyDescent="0.25">
      <c r="A240" s="137" t="s">
        <v>524</v>
      </c>
      <c r="B240" s="137" t="s">
        <v>525</v>
      </c>
      <c r="D240" s="121" t="str">
        <f>IF(ISERROR(1/VLOOKUP($B240,Kraftvärmeprod!$B$1:$D$479,MATCH("Total värmeproduktion i kraftvärmeverk i kombinerad drift (GWh)",Kraftvärmeprod!$B$1:$AV$1,0),FALSE)),"Ej kraftvärme","Alternativproduktionsmetoden")</f>
        <v>Alternativproduktionsmetoden</v>
      </c>
      <c r="E240" s="172">
        <f>IF(ISERROR(1/VLOOKUP($B240,Kraftvärmeprod!$B$1:$BD$479,MATCH("Total värmeproduktion i kraftvärmeverk i kombinerad drift (GWh)",Kraftvärmeprod!$B$1:$AV$1,0),FALSE)),"",VLOOKUP($B240,'Slutlig allokering kvv'!$B$1:$BC$479,MATCH(E$1,'Slutlig allokering kvv'!$B$1:$AU$1,0),FALSE))</f>
        <v>0.64950803765387399</v>
      </c>
      <c r="F240" s="121">
        <f>IF(ISERROR(1/VLOOKUP($B240,Kraftvärmeprod!$B$1:$AV$479,MATCH("Producerad elenergi i kraftvärmeverk (GWh)",Kraftvärmeprod!$B$1:$AV$1,0),FALSE)),"",VLOOKUP($B240,Kraftvärmeprod!$B$1:$AV$479,MATCH("Producerad elenergi i kraftvärmeverk (GWh)",Kraftvärmeprod!$B$1:$AV$1,0),FALSE))</f>
        <v>18.374967999999999</v>
      </c>
      <c r="G240" s="121" t="str">
        <f>IF(ISERROR(1/VLOOKUP($B240,Miljö!$B$1:$T$480,MATCH("Såld mängd produktionsspecifik fjärrvärme (GWh)",Miljö!$B$1:$T$1,0),FALSE)),"",VLOOKUP($B240,Miljö!$B$1:$T$480,MATCH("Såld mängd produktionsspecifik fjärrvärme (GWh)",Miljö!$B$1:$T$1,0),FALSE))</f>
        <v/>
      </c>
      <c r="J240" s="121" t="str">
        <f t="shared" si="3"/>
        <v>Sala-Heby Energi AB</v>
      </c>
    </row>
    <row r="241" spans="1:10" x14ac:dyDescent="0.25">
      <c r="A241" s="137" t="s">
        <v>526</v>
      </c>
      <c r="B241" s="137" t="s">
        <v>527</v>
      </c>
      <c r="D241" s="121" t="str">
        <f>IF(ISERROR(1/VLOOKUP($B241,Kraftvärmeprod!$B$1:$D$479,MATCH("Total värmeproduktion i kraftvärmeverk i kombinerad drift (GWh)",Kraftvärmeprod!$B$1:$AV$1,0),FALSE)),"Ej kraftvärme","Alternativproduktionsmetoden")</f>
        <v>Ej kraftvärme</v>
      </c>
      <c r="E241" s="172" t="str">
        <f>IF(ISERROR(1/VLOOKUP($B241,Kraftvärmeprod!$B$1:$BD$479,MATCH("Total värmeproduktion i kraftvärmeverk i kombinerad drift (GWh)",Kraftvärmeprod!$B$1:$AV$1,0),FALSE)),"",VLOOKUP($B241,'Slutlig allokering kvv'!$B$1:$BC$479,MATCH(E$1,'Slutlig allokering kvv'!$B$1:$AU$1,0),FALSE))</f>
        <v/>
      </c>
      <c r="F241" s="121" t="str">
        <f>IF(ISERROR(1/VLOOKUP($B241,Kraftvärmeprod!$B$1:$AV$479,MATCH("Producerad elenergi i kraftvärmeverk (GWh)",Kraftvärmeprod!$B$1:$AV$1,0),FALSE)),"",VLOOKUP($B241,Kraftvärmeprod!$B$1:$AV$479,MATCH("Producerad elenergi i kraftvärmeverk (GWh)",Kraftvärmeprod!$B$1:$AV$1,0),FALSE))</f>
        <v/>
      </c>
      <c r="G241" s="121" t="str">
        <f>IF(ISERROR(1/VLOOKUP($B241,Miljö!$B$1:$T$480,MATCH("Såld mängd produktionsspecifik fjärrvärme (GWh)",Miljö!$B$1:$T$1,0),FALSE)),"",VLOOKUP($B241,Miljö!$B$1:$T$480,MATCH("Såld mängd produktionsspecifik fjärrvärme (GWh)",Miljö!$B$1:$T$1,0),FALSE))</f>
        <v/>
      </c>
      <c r="J241" s="121" t="str">
        <f t="shared" si="3"/>
        <v>Sandviken Energi AB</v>
      </c>
    </row>
    <row r="242" spans="1:10" x14ac:dyDescent="0.25">
      <c r="A242" s="137" t="s">
        <v>528</v>
      </c>
      <c r="B242" s="137" t="s">
        <v>529</v>
      </c>
      <c r="D242" s="121" t="str">
        <f>IF(ISERROR(1/VLOOKUP($B242,Kraftvärmeprod!$B$1:$D$479,MATCH("Total värmeproduktion i kraftvärmeverk i kombinerad drift (GWh)",Kraftvärmeprod!$B$1:$AV$1,0),FALSE)),"Ej kraftvärme","Alternativproduktionsmetoden")</f>
        <v>Alternativproduktionsmetoden</v>
      </c>
      <c r="E242" s="172">
        <f>IF(ISERROR(1/VLOOKUP($B242,Kraftvärmeprod!$B$1:$BD$479,MATCH("Total värmeproduktion i kraftvärmeverk i kombinerad drift (GWh)",Kraftvärmeprod!$B$1:$AV$1,0),FALSE)),"",VLOOKUP($B242,'Slutlig allokering kvv'!$B$1:$BC$479,MATCH(E$1,'Slutlig allokering kvv'!$B$1:$AU$1,0),FALSE))</f>
        <v>0.69782425644788082</v>
      </c>
      <c r="F242" s="121">
        <f>IF(ISERROR(1/VLOOKUP($B242,Kraftvärmeprod!$B$1:$AV$479,MATCH("Producerad elenergi i kraftvärmeverk (GWh)",Kraftvärmeprod!$B$1:$AV$1,0),FALSE)),"",VLOOKUP($B242,Kraftvärmeprod!$B$1:$AV$479,MATCH("Producerad elenergi i kraftvärmeverk (GWh)",Kraftvärmeprod!$B$1:$AV$1,0),FALSE))</f>
        <v>21.643000000000001</v>
      </c>
      <c r="G242" s="121" t="str">
        <f>IF(ISERROR(1/VLOOKUP($B242,Miljö!$B$1:$T$480,MATCH("Såld mängd produktionsspecifik fjärrvärme (GWh)",Miljö!$B$1:$T$1,0),FALSE)),"",VLOOKUP($B242,Miljö!$B$1:$T$480,MATCH("Såld mängd produktionsspecifik fjärrvärme (GWh)",Miljö!$B$1:$T$1,0),FALSE))</f>
        <v/>
      </c>
      <c r="J242" s="121" t="str">
        <f t="shared" si="3"/>
        <v>SEVAB Strängnäs Energi AB</v>
      </c>
    </row>
    <row r="243" spans="1:10" x14ac:dyDescent="0.25">
      <c r="A243" s="137" t="s">
        <v>530</v>
      </c>
      <c r="B243" s="137" t="s">
        <v>531</v>
      </c>
      <c r="D243" s="121" t="str">
        <f>IF(ISERROR(1/VLOOKUP($B243,Kraftvärmeprod!$B$1:$D$479,MATCH("Total värmeproduktion i kraftvärmeverk i kombinerad drift (GWh)",Kraftvärmeprod!$B$1:$AV$1,0),FALSE)),"Ej kraftvärme","Alternativproduktionsmetoden")</f>
        <v>Ej kraftvärme</v>
      </c>
      <c r="E243" s="172" t="str">
        <f>IF(ISERROR(1/VLOOKUP($B243,Kraftvärmeprod!$B$1:$BD$479,MATCH("Total värmeproduktion i kraftvärmeverk i kombinerad drift (GWh)",Kraftvärmeprod!$B$1:$AV$1,0),FALSE)),"",VLOOKUP($B243,'Slutlig allokering kvv'!$B$1:$BC$479,MATCH(E$1,'Slutlig allokering kvv'!$B$1:$AU$1,0),FALSE))</f>
        <v/>
      </c>
      <c r="F243" s="121" t="str">
        <f>IF(ISERROR(1/VLOOKUP($B243,Kraftvärmeprod!$B$1:$AV$479,MATCH("Producerad elenergi i kraftvärmeverk (GWh)",Kraftvärmeprod!$B$1:$AV$1,0),FALSE)),"",VLOOKUP($B243,Kraftvärmeprod!$B$1:$AV$479,MATCH("Producerad elenergi i kraftvärmeverk (GWh)",Kraftvärmeprod!$B$1:$AV$1,0),FALSE))</f>
        <v/>
      </c>
      <c r="G243" s="121" t="str">
        <f>IF(ISERROR(1/VLOOKUP($B243,Miljö!$B$1:$T$480,MATCH("Såld mängd produktionsspecifik fjärrvärme (GWh)",Miljö!$B$1:$T$1,0),FALSE)),"",VLOOKUP($B243,Miljö!$B$1:$T$480,MATCH("Såld mängd produktionsspecifik fjärrvärme (GWh)",Miljö!$B$1:$T$1,0),FALSE))</f>
        <v/>
      </c>
      <c r="J243" s="121" t="str">
        <f t="shared" si="3"/>
        <v>Skara Energi AB</v>
      </c>
    </row>
    <row r="244" spans="1:10" x14ac:dyDescent="0.25">
      <c r="A244" s="137" t="s">
        <v>532</v>
      </c>
      <c r="B244" s="137" t="s">
        <v>533</v>
      </c>
      <c r="D244" s="121" t="str">
        <f>IF(ISERROR(1/VLOOKUP($B244,Kraftvärmeprod!$B$1:$D$479,MATCH("Total värmeproduktion i kraftvärmeverk i kombinerad drift (GWh)",Kraftvärmeprod!$B$1:$AV$1,0),FALSE)),"Ej kraftvärme","Alternativproduktionsmetoden")</f>
        <v>Ej kraftvärme</v>
      </c>
      <c r="E244" s="172" t="str">
        <f>IF(ISERROR(1/VLOOKUP($B244,Kraftvärmeprod!$B$1:$BD$479,MATCH("Total värmeproduktion i kraftvärmeverk i kombinerad drift (GWh)",Kraftvärmeprod!$B$1:$AV$1,0),FALSE)),"",VLOOKUP($B244,'Slutlig allokering kvv'!$B$1:$BC$479,MATCH(E$1,'Slutlig allokering kvv'!$B$1:$AU$1,0),FALSE))</f>
        <v/>
      </c>
      <c r="F244" s="121" t="str">
        <f>IF(ISERROR(1/VLOOKUP($B244,Kraftvärmeprod!$B$1:$AV$479,MATCH("Producerad elenergi i kraftvärmeverk (GWh)",Kraftvärmeprod!$B$1:$AV$1,0),FALSE)),"",VLOOKUP($B244,Kraftvärmeprod!$B$1:$AV$479,MATCH("Producerad elenergi i kraftvärmeverk (GWh)",Kraftvärmeprod!$B$1:$AV$1,0),FALSE))</f>
        <v/>
      </c>
      <c r="G244" s="121" t="str">
        <f>IF(ISERROR(1/VLOOKUP($B244,Miljö!$B$1:$T$480,MATCH("Såld mängd produktionsspecifik fjärrvärme (GWh)",Miljö!$B$1:$T$1,0),FALSE)),"",VLOOKUP($B244,Miljö!$B$1:$T$480,MATCH("Såld mängd produktionsspecifik fjärrvärme (GWh)",Miljö!$B$1:$T$1,0),FALSE))</f>
        <v/>
      </c>
      <c r="J244" s="121" t="str">
        <f t="shared" si="3"/>
        <v>Skellefteå Kraft AB</v>
      </c>
    </row>
    <row r="245" spans="1:10" x14ac:dyDescent="0.25">
      <c r="A245" s="137" t="s">
        <v>532</v>
      </c>
      <c r="B245" s="137" t="s">
        <v>534</v>
      </c>
      <c r="D245" s="121" t="str">
        <f>IF(ISERROR(1/VLOOKUP($B245,Kraftvärmeprod!$B$1:$D$479,MATCH("Total värmeproduktion i kraftvärmeverk i kombinerad drift (GWh)",Kraftvärmeprod!$B$1:$AV$1,0),FALSE)),"Ej kraftvärme","Alternativproduktionsmetoden")</f>
        <v>Ej kraftvärme</v>
      </c>
      <c r="E245" s="172" t="str">
        <f>IF(ISERROR(1/VLOOKUP($B245,Kraftvärmeprod!$B$1:$BD$479,MATCH("Total värmeproduktion i kraftvärmeverk i kombinerad drift (GWh)",Kraftvärmeprod!$B$1:$AV$1,0),FALSE)),"",VLOOKUP($B245,'Slutlig allokering kvv'!$B$1:$BC$479,MATCH(E$1,'Slutlig allokering kvv'!$B$1:$AU$1,0),FALSE))</f>
        <v/>
      </c>
      <c r="F245" s="121" t="str">
        <f>IF(ISERROR(1/VLOOKUP($B245,Kraftvärmeprod!$B$1:$AV$479,MATCH("Producerad elenergi i kraftvärmeverk (GWh)",Kraftvärmeprod!$B$1:$AV$1,0),FALSE)),"",VLOOKUP($B245,Kraftvärmeprod!$B$1:$AV$479,MATCH("Producerad elenergi i kraftvärmeverk (GWh)",Kraftvärmeprod!$B$1:$AV$1,0),FALSE))</f>
        <v/>
      </c>
      <c r="G245" s="121" t="str">
        <f>IF(ISERROR(1/VLOOKUP($B245,Miljö!$B$1:$T$480,MATCH("Såld mängd produktionsspecifik fjärrvärme (GWh)",Miljö!$B$1:$T$1,0),FALSE)),"",VLOOKUP($B245,Miljö!$B$1:$T$480,MATCH("Såld mängd produktionsspecifik fjärrvärme (GWh)",Miljö!$B$1:$T$1,0),FALSE))</f>
        <v/>
      </c>
      <c r="J245" s="121" t="str">
        <f t="shared" si="3"/>
        <v>Skellefteå Kraft AB</v>
      </c>
    </row>
    <row r="246" spans="1:10" x14ac:dyDescent="0.25">
      <c r="A246" s="137" t="s">
        <v>532</v>
      </c>
      <c r="B246" s="137" t="s">
        <v>536</v>
      </c>
      <c r="D246" s="121" t="str">
        <f>IF(ISERROR(1/VLOOKUP($B246,Kraftvärmeprod!$B$1:$D$479,MATCH("Total värmeproduktion i kraftvärmeverk i kombinerad drift (GWh)",Kraftvärmeprod!$B$1:$AV$1,0),FALSE)),"Ej kraftvärme","Alternativproduktionsmetoden")</f>
        <v>Ej kraftvärme</v>
      </c>
      <c r="E246" s="172" t="str">
        <f>IF(ISERROR(1/VLOOKUP($B246,Kraftvärmeprod!$B$1:$BD$479,MATCH("Total värmeproduktion i kraftvärmeverk i kombinerad drift (GWh)",Kraftvärmeprod!$B$1:$AV$1,0),FALSE)),"",VLOOKUP($B246,'Slutlig allokering kvv'!$B$1:$BC$479,MATCH(E$1,'Slutlig allokering kvv'!$B$1:$AU$1,0),FALSE))</f>
        <v/>
      </c>
      <c r="F246" s="121" t="str">
        <f>IF(ISERROR(1/VLOOKUP($B246,Kraftvärmeprod!$B$1:$AV$479,MATCH("Producerad elenergi i kraftvärmeverk (GWh)",Kraftvärmeprod!$B$1:$AV$1,0),FALSE)),"",VLOOKUP($B246,Kraftvärmeprod!$B$1:$AV$479,MATCH("Producerad elenergi i kraftvärmeverk (GWh)",Kraftvärmeprod!$B$1:$AV$1,0),FALSE))</f>
        <v/>
      </c>
      <c r="G246" s="121" t="str">
        <f>IF(ISERROR(1/VLOOKUP($B246,Miljö!$B$1:$T$480,MATCH("Såld mängd produktionsspecifik fjärrvärme (GWh)",Miljö!$B$1:$T$1,0),FALSE)),"",VLOOKUP($B246,Miljö!$B$1:$T$480,MATCH("Såld mängd produktionsspecifik fjärrvärme (GWh)",Miljö!$B$1:$T$1,0),FALSE))</f>
        <v/>
      </c>
      <c r="J246" s="121" t="str">
        <f t="shared" si="3"/>
        <v>Skellefteå Kraft AB</v>
      </c>
    </row>
    <row r="247" spans="1:10" x14ac:dyDescent="0.25">
      <c r="A247" s="137" t="s">
        <v>532</v>
      </c>
      <c r="B247" s="137" t="s">
        <v>537</v>
      </c>
      <c r="D247" s="121" t="str">
        <f>IF(ISERROR(1/VLOOKUP($B247,Kraftvärmeprod!$B$1:$D$479,MATCH("Total värmeproduktion i kraftvärmeverk i kombinerad drift (GWh)",Kraftvärmeprod!$B$1:$AV$1,0),FALSE)),"Ej kraftvärme","Alternativproduktionsmetoden")</f>
        <v>Ej kraftvärme</v>
      </c>
      <c r="E247" s="172" t="str">
        <f>IF(ISERROR(1/VLOOKUP($B247,Kraftvärmeprod!$B$1:$BD$479,MATCH("Total värmeproduktion i kraftvärmeverk i kombinerad drift (GWh)",Kraftvärmeprod!$B$1:$AV$1,0),FALSE)),"",VLOOKUP($B247,'Slutlig allokering kvv'!$B$1:$BC$479,MATCH(E$1,'Slutlig allokering kvv'!$B$1:$AU$1,0),FALSE))</f>
        <v/>
      </c>
      <c r="F247" s="121" t="str">
        <f>IF(ISERROR(1/VLOOKUP($B247,Kraftvärmeprod!$B$1:$AV$479,MATCH("Producerad elenergi i kraftvärmeverk (GWh)",Kraftvärmeprod!$B$1:$AV$1,0),FALSE)),"",VLOOKUP($B247,Kraftvärmeprod!$B$1:$AV$479,MATCH("Producerad elenergi i kraftvärmeverk (GWh)",Kraftvärmeprod!$B$1:$AV$1,0),FALSE))</f>
        <v/>
      </c>
      <c r="G247" s="121" t="str">
        <f>IF(ISERROR(1/VLOOKUP($B247,Miljö!$B$1:$T$480,MATCH("Såld mängd produktionsspecifik fjärrvärme (GWh)",Miljö!$B$1:$T$1,0),FALSE)),"",VLOOKUP($B247,Miljö!$B$1:$T$480,MATCH("Såld mängd produktionsspecifik fjärrvärme (GWh)",Miljö!$B$1:$T$1,0),FALSE))</f>
        <v/>
      </c>
      <c r="J247" s="121" t="str">
        <f t="shared" si="3"/>
        <v>Skellefteå Kraft AB</v>
      </c>
    </row>
    <row r="248" spans="1:10" x14ac:dyDescent="0.25">
      <c r="A248" s="137" t="s">
        <v>532</v>
      </c>
      <c r="B248" s="137" t="s">
        <v>538</v>
      </c>
      <c r="D248" s="121" t="str">
        <f>IF(ISERROR(1/VLOOKUP($B248,Kraftvärmeprod!$B$1:$D$479,MATCH("Total värmeproduktion i kraftvärmeverk i kombinerad drift (GWh)",Kraftvärmeprod!$B$1:$AV$1,0),FALSE)),"Ej kraftvärme","Alternativproduktionsmetoden")</f>
        <v>Ej kraftvärme</v>
      </c>
      <c r="E248" s="172" t="str">
        <f>IF(ISERROR(1/VLOOKUP($B248,Kraftvärmeprod!$B$1:$BD$479,MATCH("Total värmeproduktion i kraftvärmeverk i kombinerad drift (GWh)",Kraftvärmeprod!$B$1:$AV$1,0),FALSE)),"",VLOOKUP($B248,'Slutlig allokering kvv'!$B$1:$BC$479,MATCH(E$1,'Slutlig allokering kvv'!$B$1:$AU$1,0),FALSE))</f>
        <v/>
      </c>
      <c r="F248" s="121" t="str">
        <f>IF(ISERROR(1/VLOOKUP($B248,Kraftvärmeprod!$B$1:$AV$479,MATCH("Producerad elenergi i kraftvärmeverk (GWh)",Kraftvärmeprod!$B$1:$AV$1,0),FALSE)),"",VLOOKUP($B248,Kraftvärmeprod!$B$1:$AV$479,MATCH("Producerad elenergi i kraftvärmeverk (GWh)",Kraftvärmeprod!$B$1:$AV$1,0),FALSE))</f>
        <v/>
      </c>
      <c r="G248" s="121" t="str">
        <f>IF(ISERROR(1/VLOOKUP($B248,Miljö!$B$1:$T$480,MATCH("Såld mängd produktionsspecifik fjärrvärme (GWh)",Miljö!$B$1:$T$1,0),FALSE)),"",VLOOKUP($B248,Miljö!$B$1:$T$480,MATCH("Såld mängd produktionsspecifik fjärrvärme (GWh)",Miljö!$B$1:$T$1,0),FALSE))</f>
        <v/>
      </c>
      <c r="J248" s="121" t="str">
        <f t="shared" si="3"/>
        <v>Skellefteå Kraft AB</v>
      </c>
    </row>
    <row r="249" spans="1:10" x14ac:dyDescent="0.25">
      <c r="A249" s="137" t="s">
        <v>532</v>
      </c>
      <c r="B249" s="137" t="s">
        <v>539</v>
      </c>
      <c r="D249" s="121" t="str">
        <f>IF(ISERROR(1/VLOOKUP($B249,Kraftvärmeprod!$B$1:$D$479,MATCH("Total värmeproduktion i kraftvärmeverk i kombinerad drift (GWh)",Kraftvärmeprod!$B$1:$AV$1,0),FALSE)),"Ej kraftvärme","Alternativproduktionsmetoden")</f>
        <v>Ej kraftvärme</v>
      </c>
      <c r="E249" s="172" t="str">
        <f>IF(ISERROR(1/VLOOKUP($B249,Kraftvärmeprod!$B$1:$BD$479,MATCH("Total värmeproduktion i kraftvärmeverk i kombinerad drift (GWh)",Kraftvärmeprod!$B$1:$AV$1,0),FALSE)),"",VLOOKUP($B249,'Slutlig allokering kvv'!$B$1:$BC$479,MATCH(E$1,'Slutlig allokering kvv'!$B$1:$AU$1,0),FALSE))</f>
        <v/>
      </c>
      <c r="F249" s="121" t="str">
        <f>IF(ISERROR(1/VLOOKUP($B249,Kraftvärmeprod!$B$1:$AV$479,MATCH("Producerad elenergi i kraftvärmeverk (GWh)",Kraftvärmeprod!$B$1:$AV$1,0),FALSE)),"",VLOOKUP($B249,Kraftvärmeprod!$B$1:$AV$479,MATCH("Producerad elenergi i kraftvärmeverk (GWh)",Kraftvärmeprod!$B$1:$AV$1,0),FALSE))</f>
        <v/>
      </c>
      <c r="G249" s="121" t="str">
        <f>IF(ISERROR(1/VLOOKUP($B249,Miljö!$B$1:$T$480,MATCH("Såld mängd produktionsspecifik fjärrvärme (GWh)",Miljö!$B$1:$T$1,0),FALSE)),"",VLOOKUP($B249,Miljö!$B$1:$T$480,MATCH("Såld mängd produktionsspecifik fjärrvärme (GWh)",Miljö!$B$1:$T$1,0),FALSE))</f>
        <v/>
      </c>
      <c r="J249" s="121" t="str">
        <f t="shared" si="3"/>
        <v>Skellefteå Kraft AB</v>
      </c>
    </row>
    <row r="250" spans="1:10" x14ac:dyDescent="0.25">
      <c r="A250" s="137" t="s">
        <v>532</v>
      </c>
      <c r="B250" s="137" t="s">
        <v>540</v>
      </c>
      <c r="D250" s="121" t="str">
        <f>IF(ISERROR(1/VLOOKUP($B250,Kraftvärmeprod!$B$1:$D$479,MATCH("Total värmeproduktion i kraftvärmeverk i kombinerad drift (GWh)",Kraftvärmeprod!$B$1:$AV$1,0),FALSE)),"Ej kraftvärme","Alternativproduktionsmetoden")</f>
        <v>Ej kraftvärme</v>
      </c>
      <c r="E250" s="172" t="str">
        <f>IF(ISERROR(1/VLOOKUP($B250,Kraftvärmeprod!$B$1:$BD$479,MATCH("Total värmeproduktion i kraftvärmeverk i kombinerad drift (GWh)",Kraftvärmeprod!$B$1:$AV$1,0),FALSE)),"",VLOOKUP($B250,'Slutlig allokering kvv'!$B$1:$BC$479,MATCH(E$1,'Slutlig allokering kvv'!$B$1:$AU$1,0),FALSE))</f>
        <v/>
      </c>
      <c r="F250" s="121" t="str">
        <f>IF(ISERROR(1/VLOOKUP($B250,Kraftvärmeprod!$B$1:$AV$479,MATCH("Producerad elenergi i kraftvärmeverk (GWh)",Kraftvärmeprod!$B$1:$AV$1,0),FALSE)),"",VLOOKUP($B250,Kraftvärmeprod!$B$1:$AV$479,MATCH("Producerad elenergi i kraftvärmeverk (GWh)",Kraftvärmeprod!$B$1:$AV$1,0),FALSE))</f>
        <v/>
      </c>
      <c r="G250" s="121" t="str">
        <f>IF(ISERROR(1/VLOOKUP($B250,Miljö!$B$1:$T$480,MATCH("Såld mängd produktionsspecifik fjärrvärme (GWh)",Miljö!$B$1:$T$1,0),FALSE)),"",VLOOKUP($B250,Miljö!$B$1:$T$480,MATCH("Såld mängd produktionsspecifik fjärrvärme (GWh)",Miljö!$B$1:$T$1,0),FALSE))</f>
        <v/>
      </c>
      <c r="J250" s="121" t="str">
        <f t="shared" si="3"/>
        <v>Skellefteå Kraft AB</v>
      </c>
    </row>
    <row r="251" spans="1:10" x14ac:dyDescent="0.25">
      <c r="A251" s="137" t="s">
        <v>532</v>
      </c>
      <c r="B251" s="137" t="s">
        <v>541</v>
      </c>
      <c r="D251" s="121" t="str">
        <f>IF(ISERROR(1/VLOOKUP($B251,Kraftvärmeprod!$B$1:$D$479,MATCH("Total värmeproduktion i kraftvärmeverk i kombinerad drift (GWh)",Kraftvärmeprod!$B$1:$AV$1,0),FALSE)),"Ej kraftvärme","Alternativproduktionsmetoden")</f>
        <v>Ej kraftvärme</v>
      </c>
      <c r="E251" s="172" t="str">
        <f>IF(ISERROR(1/VLOOKUP($B251,Kraftvärmeprod!$B$1:$BD$479,MATCH("Total värmeproduktion i kraftvärmeverk i kombinerad drift (GWh)",Kraftvärmeprod!$B$1:$AV$1,0),FALSE)),"",VLOOKUP($B251,'Slutlig allokering kvv'!$B$1:$BC$479,MATCH(E$1,'Slutlig allokering kvv'!$B$1:$AU$1,0),FALSE))</f>
        <v/>
      </c>
      <c r="F251" s="121" t="str">
        <f>IF(ISERROR(1/VLOOKUP($B251,Kraftvärmeprod!$B$1:$AV$479,MATCH("Producerad elenergi i kraftvärmeverk (GWh)",Kraftvärmeprod!$B$1:$AV$1,0),FALSE)),"",VLOOKUP($B251,Kraftvärmeprod!$B$1:$AV$479,MATCH("Producerad elenergi i kraftvärmeverk (GWh)",Kraftvärmeprod!$B$1:$AV$1,0),FALSE))</f>
        <v/>
      </c>
      <c r="G251" s="121" t="str">
        <f>IF(ISERROR(1/VLOOKUP($B251,Miljö!$B$1:$T$480,MATCH("Såld mängd produktionsspecifik fjärrvärme (GWh)",Miljö!$B$1:$T$1,0),FALSE)),"",VLOOKUP($B251,Miljö!$B$1:$T$480,MATCH("Såld mängd produktionsspecifik fjärrvärme (GWh)",Miljö!$B$1:$T$1,0),FALSE))</f>
        <v/>
      </c>
      <c r="J251" s="121" t="str">
        <f t="shared" si="3"/>
        <v>Skellefteå Kraft AB</v>
      </c>
    </row>
    <row r="252" spans="1:10" x14ac:dyDescent="0.25">
      <c r="A252" s="137" t="s">
        <v>532</v>
      </c>
      <c r="B252" s="137" t="s">
        <v>542</v>
      </c>
      <c r="D252" s="121" t="str">
        <f>IF(ISERROR(1/VLOOKUP($B252,Kraftvärmeprod!$B$1:$D$479,MATCH("Total värmeproduktion i kraftvärmeverk i kombinerad drift (GWh)",Kraftvärmeprod!$B$1:$AV$1,0),FALSE)),"Ej kraftvärme","Alternativproduktionsmetoden")</f>
        <v>Alternativproduktionsmetoden</v>
      </c>
      <c r="E252" s="172">
        <f>IF(ISERROR(1/VLOOKUP($B252,Kraftvärmeprod!$B$1:$BD$479,MATCH("Total värmeproduktion i kraftvärmeverk i kombinerad drift (GWh)",Kraftvärmeprod!$B$1:$AV$1,0),FALSE)),"",VLOOKUP($B252,'Slutlig allokering kvv'!$B$1:$BC$479,MATCH(E$1,'Slutlig allokering kvv'!$B$1:$AU$1,0),FALSE))</f>
        <v>0.51125532386756134</v>
      </c>
      <c r="F252" s="121">
        <f>IF(ISERROR(1/VLOOKUP($B252,Kraftvärmeprod!$B$1:$AV$479,MATCH("Producerad elenergi i kraftvärmeverk (GWh)",Kraftvärmeprod!$B$1:$AV$1,0),FALSE)),"",VLOOKUP($B252,Kraftvärmeprod!$B$1:$AV$479,MATCH("Producerad elenergi i kraftvärmeverk (GWh)",Kraftvärmeprod!$B$1:$AV$1,0),FALSE))</f>
        <v>44.927909999999997</v>
      </c>
      <c r="G252" s="121" t="str">
        <f>IF(ISERROR(1/VLOOKUP($B252,Miljö!$B$1:$T$480,MATCH("Såld mängd produktionsspecifik fjärrvärme (GWh)",Miljö!$B$1:$T$1,0),FALSE)),"",VLOOKUP($B252,Miljö!$B$1:$T$480,MATCH("Såld mängd produktionsspecifik fjärrvärme (GWh)",Miljö!$B$1:$T$1,0),FALSE))</f>
        <v/>
      </c>
      <c r="J252" s="121" t="str">
        <f t="shared" si="3"/>
        <v>Skellefteå Kraft AB</v>
      </c>
    </row>
    <row r="253" spans="1:10" x14ac:dyDescent="0.25">
      <c r="A253" s="137" t="s">
        <v>532</v>
      </c>
      <c r="B253" s="137" t="s">
        <v>543</v>
      </c>
      <c r="D253" s="121" t="str">
        <f>IF(ISERROR(1/VLOOKUP($B253,Kraftvärmeprod!$B$1:$D$479,MATCH("Total värmeproduktion i kraftvärmeverk i kombinerad drift (GWh)",Kraftvärmeprod!$B$1:$AV$1,0),FALSE)),"Ej kraftvärme","Alternativproduktionsmetoden")</f>
        <v>Ej kraftvärme</v>
      </c>
      <c r="E253" s="172" t="str">
        <f>IF(ISERROR(1/VLOOKUP($B253,Kraftvärmeprod!$B$1:$BD$479,MATCH("Total värmeproduktion i kraftvärmeverk i kombinerad drift (GWh)",Kraftvärmeprod!$B$1:$AV$1,0),FALSE)),"",VLOOKUP($B253,'Slutlig allokering kvv'!$B$1:$BC$479,MATCH(E$1,'Slutlig allokering kvv'!$B$1:$AU$1,0),FALSE))</f>
        <v/>
      </c>
      <c r="F253" s="121" t="str">
        <f>IF(ISERROR(1/VLOOKUP($B253,Kraftvärmeprod!$B$1:$AV$479,MATCH("Producerad elenergi i kraftvärmeverk (GWh)",Kraftvärmeprod!$B$1:$AV$1,0),FALSE)),"",VLOOKUP($B253,Kraftvärmeprod!$B$1:$AV$479,MATCH("Producerad elenergi i kraftvärmeverk (GWh)",Kraftvärmeprod!$B$1:$AV$1,0),FALSE))</f>
        <v/>
      </c>
      <c r="G253" s="121" t="str">
        <f>IF(ISERROR(1/VLOOKUP($B253,Miljö!$B$1:$T$480,MATCH("Såld mängd produktionsspecifik fjärrvärme (GWh)",Miljö!$B$1:$T$1,0),FALSE)),"",VLOOKUP($B253,Miljö!$B$1:$T$480,MATCH("Såld mängd produktionsspecifik fjärrvärme (GWh)",Miljö!$B$1:$T$1,0),FALSE))</f>
        <v/>
      </c>
      <c r="J253" s="121" t="str">
        <f t="shared" si="3"/>
        <v>Skellefteå Kraft AB</v>
      </c>
    </row>
    <row r="254" spans="1:10" x14ac:dyDescent="0.25">
      <c r="A254" s="137" t="s">
        <v>532</v>
      </c>
      <c r="B254" s="137" t="s">
        <v>544</v>
      </c>
      <c r="D254" s="121" t="str">
        <f>IF(ISERROR(1/VLOOKUP($B254,Kraftvärmeprod!$B$1:$D$479,MATCH("Total värmeproduktion i kraftvärmeverk i kombinerad drift (GWh)",Kraftvärmeprod!$B$1:$AV$1,0),FALSE)),"Ej kraftvärme","Alternativproduktionsmetoden")</f>
        <v>Alternativproduktionsmetoden</v>
      </c>
      <c r="E254" s="172">
        <f>IF(ISERROR(1/VLOOKUP($B254,Kraftvärmeprod!$B$1:$BD$479,MATCH("Total värmeproduktion i kraftvärmeverk i kombinerad drift (GWh)",Kraftvärmeprod!$B$1:$AV$1,0),FALSE)),"",VLOOKUP($B254,'Slutlig allokering kvv'!$B$1:$BC$479,MATCH(E$1,'Slutlig allokering kvv'!$B$1:$AU$1,0),FALSE))</f>
        <v>0.63226976152516878</v>
      </c>
      <c r="F254" s="121">
        <f>IF(ISERROR(1/VLOOKUP($B254,Kraftvärmeprod!$B$1:$AV$479,MATCH("Producerad elenergi i kraftvärmeverk (GWh)",Kraftvärmeprod!$B$1:$AV$1,0),FALSE)),"",VLOOKUP($B254,Kraftvärmeprod!$B$1:$AV$479,MATCH("Producerad elenergi i kraftvärmeverk (GWh)",Kraftvärmeprod!$B$1:$AV$1,0),FALSE))</f>
        <v>17.979658000000001</v>
      </c>
      <c r="G254" s="121" t="str">
        <f>IF(ISERROR(1/VLOOKUP($B254,Miljö!$B$1:$T$480,MATCH("Såld mängd produktionsspecifik fjärrvärme (GWh)",Miljö!$B$1:$T$1,0),FALSE)),"",VLOOKUP($B254,Miljö!$B$1:$T$480,MATCH("Såld mängd produktionsspecifik fjärrvärme (GWh)",Miljö!$B$1:$T$1,0),FALSE))</f>
        <v/>
      </c>
      <c r="J254" s="121" t="str">
        <f t="shared" si="3"/>
        <v>Skellefteå Kraft AB</v>
      </c>
    </row>
    <row r="255" spans="1:10" x14ac:dyDescent="0.25">
      <c r="A255" s="137" t="s">
        <v>532</v>
      </c>
      <c r="B255" s="137" t="s">
        <v>545</v>
      </c>
      <c r="D255" s="121" t="str">
        <f>IF(ISERROR(1/VLOOKUP($B255,Kraftvärmeprod!$B$1:$D$479,MATCH("Total värmeproduktion i kraftvärmeverk i kombinerad drift (GWh)",Kraftvärmeprod!$B$1:$AV$1,0),FALSE)),"Ej kraftvärme","Alternativproduktionsmetoden")</f>
        <v>Ej kraftvärme</v>
      </c>
      <c r="E255" s="172" t="str">
        <f>IF(ISERROR(1/VLOOKUP($B255,Kraftvärmeprod!$B$1:$BD$479,MATCH("Total värmeproduktion i kraftvärmeverk i kombinerad drift (GWh)",Kraftvärmeprod!$B$1:$AV$1,0),FALSE)),"",VLOOKUP($B255,'Slutlig allokering kvv'!$B$1:$BC$479,MATCH(E$1,'Slutlig allokering kvv'!$B$1:$AU$1,0),FALSE))</f>
        <v/>
      </c>
      <c r="F255" s="121" t="str">
        <f>IF(ISERROR(1/VLOOKUP($B255,Kraftvärmeprod!$B$1:$AV$479,MATCH("Producerad elenergi i kraftvärmeverk (GWh)",Kraftvärmeprod!$B$1:$AV$1,0),FALSE)),"",VLOOKUP($B255,Kraftvärmeprod!$B$1:$AV$479,MATCH("Producerad elenergi i kraftvärmeverk (GWh)",Kraftvärmeprod!$B$1:$AV$1,0),FALSE))</f>
        <v/>
      </c>
      <c r="G255" s="121" t="str">
        <f>IF(ISERROR(1/VLOOKUP($B255,Miljö!$B$1:$T$480,MATCH("Såld mängd produktionsspecifik fjärrvärme (GWh)",Miljö!$B$1:$T$1,0),FALSE)),"",VLOOKUP($B255,Miljö!$B$1:$T$480,MATCH("Såld mängd produktionsspecifik fjärrvärme (GWh)",Miljö!$B$1:$T$1,0),FALSE))</f>
        <v/>
      </c>
      <c r="J255" s="121" t="str">
        <f t="shared" si="3"/>
        <v>Skellefteå Kraft AB</v>
      </c>
    </row>
    <row r="256" spans="1:10" x14ac:dyDescent="0.25">
      <c r="A256" s="137" t="s">
        <v>532</v>
      </c>
      <c r="B256" s="137" t="s">
        <v>546</v>
      </c>
      <c r="D256" s="121" t="str">
        <f>IF(ISERROR(1/VLOOKUP($B256,Kraftvärmeprod!$B$1:$D$479,MATCH("Total värmeproduktion i kraftvärmeverk i kombinerad drift (GWh)",Kraftvärmeprod!$B$1:$AV$1,0),FALSE)),"Ej kraftvärme","Alternativproduktionsmetoden")</f>
        <v>Ej kraftvärme</v>
      </c>
      <c r="E256" s="172" t="str">
        <f>IF(ISERROR(1/VLOOKUP($B256,Kraftvärmeprod!$B$1:$BD$479,MATCH("Total värmeproduktion i kraftvärmeverk i kombinerad drift (GWh)",Kraftvärmeprod!$B$1:$AV$1,0),FALSE)),"",VLOOKUP($B256,'Slutlig allokering kvv'!$B$1:$BC$479,MATCH(E$1,'Slutlig allokering kvv'!$B$1:$AU$1,0),FALSE))</f>
        <v/>
      </c>
      <c r="F256" s="121" t="str">
        <f>IF(ISERROR(1/VLOOKUP($B256,Kraftvärmeprod!$B$1:$AV$479,MATCH("Producerad elenergi i kraftvärmeverk (GWh)",Kraftvärmeprod!$B$1:$AV$1,0),FALSE)),"",VLOOKUP($B256,Kraftvärmeprod!$B$1:$AV$479,MATCH("Producerad elenergi i kraftvärmeverk (GWh)",Kraftvärmeprod!$B$1:$AV$1,0),FALSE))</f>
        <v/>
      </c>
      <c r="G256" s="121" t="str">
        <f>IF(ISERROR(1/VLOOKUP($B256,Miljö!$B$1:$T$480,MATCH("Såld mängd produktionsspecifik fjärrvärme (GWh)",Miljö!$B$1:$T$1,0),FALSE)),"",VLOOKUP($B256,Miljö!$B$1:$T$480,MATCH("Såld mängd produktionsspecifik fjärrvärme (GWh)",Miljö!$B$1:$T$1,0),FALSE))</f>
        <v/>
      </c>
      <c r="J256" s="121" t="str">
        <f t="shared" si="3"/>
        <v>Skellefteå Kraft AB</v>
      </c>
    </row>
    <row r="257" spans="1:10" x14ac:dyDescent="0.25">
      <c r="A257" s="137" t="s">
        <v>532</v>
      </c>
      <c r="B257" s="137" t="s">
        <v>547</v>
      </c>
      <c r="D257" s="121" t="str">
        <f>IF(ISERROR(1/VLOOKUP($B257,Kraftvärmeprod!$B$1:$D$479,MATCH("Total värmeproduktion i kraftvärmeverk i kombinerad drift (GWh)",Kraftvärmeprod!$B$1:$AV$1,0),FALSE)),"Ej kraftvärme","Alternativproduktionsmetoden")</f>
        <v>Alternativproduktionsmetoden</v>
      </c>
      <c r="E257" s="172">
        <f>IF(ISERROR(1/VLOOKUP($B257,Kraftvärmeprod!$B$1:$BD$479,MATCH("Total värmeproduktion i kraftvärmeverk i kombinerad drift (GWh)",Kraftvärmeprod!$B$1:$AV$1,0),FALSE)),"",VLOOKUP($B257,'Slutlig allokering kvv'!$B$1:$BC$479,MATCH(E$1,'Slutlig allokering kvv'!$B$1:$AU$1,0),FALSE))</f>
        <v>0.47661610657496212</v>
      </c>
      <c r="F257" s="121">
        <f>IF(ISERROR(1/VLOOKUP($B257,Kraftvärmeprod!$B$1:$AV$479,MATCH("Producerad elenergi i kraftvärmeverk (GWh)",Kraftvärmeprod!$B$1:$AV$1,0),FALSE)),"",VLOOKUP($B257,Kraftvärmeprod!$B$1:$AV$479,MATCH("Producerad elenergi i kraftvärmeverk (GWh)",Kraftvärmeprod!$B$1:$AV$1,0),FALSE))</f>
        <v>103.43904000000001</v>
      </c>
      <c r="G257" s="121" t="str">
        <f>IF(ISERROR(1/VLOOKUP($B257,Miljö!$B$1:$T$480,MATCH("Såld mängd produktionsspecifik fjärrvärme (GWh)",Miljö!$B$1:$T$1,0),FALSE)),"",VLOOKUP($B257,Miljö!$B$1:$T$480,MATCH("Såld mängd produktionsspecifik fjärrvärme (GWh)",Miljö!$B$1:$T$1,0),FALSE))</f>
        <v/>
      </c>
      <c r="J257" s="121" t="str">
        <f t="shared" si="3"/>
        <v>Skellefteå Kraft AB</v>
      </c>
    </row>
    <row r="258" spans="1:10" x14ac:dyDescent="0.25">
      <c r="A258" s="137" t="s">
        <v>532</v>
      </c>
      <c r="B258" s="137" t="s">
        <v>548</v>
      </c>
      <c r="D258" s="121" t="str">
        <f>IF(ISERROR(1/VLOOKUP($B258,Kraftvärmeprod!$B$1:$D$479,MATCH("Total värmeproduktion i kraftvärmeverk i kombinerad drift (GWh)",Kraftvärmeprod!$B$1:$AV$1,0),FALSE)),"Ej kraftvärme","Alternativproduktionsmetoden")</f>
        <v>Ej kraftvärme</v>
      </c>
      <c r="E258" s="172" t="str">
        <f>IF(ISERROR(1/VLOOKUP($B258,Kraftvärmeprod!$B$1:$BD$479,MATCH("Total värmeproduktion i kraftvärmeverk i kombinerad drift (GWh)",Kraftvärmeprod!$B$1:$AV$1,0),FALSE)),"",VLOOKUP($B258,'Slutlig allokering kvv'!$B$1:$BC$479,MATCH(E$1,'Slutlig allokering kvv'!$B$1:$AU$1,0),FALSE))</f>
        <v/>
      </c>
      <c r="F258" s="121" t="str">
        <f>IF(ISERROR(1/VLOOKUP($B258,Kraftvärmeprod!$B$1:$AV$479,MATCH("Producerad elenergi i kraftvärmeverk (GWh)",Kraftvärmeprod!$B$1:$AV$1,0),FALSE)),"",VLOOKUP($B258,Kraftvärmeprod!$B$1:$AV$479,MATCH("Producerad elenergi i kraftvärmeverk (GWh)",Kraftvärmeprod!$B$1:$AV$1,0),FALSE))</f>
        <v/>
      </c>
      <c r="G258" s="121" t="str">
        <f>IF(ISERROR(1/VLOOKUP($B258,Miljö!$B$1:$T$480,MATCH("Såld mängd produktionsspecifik fjärrvärme (GWh)",Miljö!$B$1:$T$1,0),FALSE)),"",VLOOKUP($B258,Miljö!$B$1:$T$480,MATCH("Såld mängd produktionsspecifik fjärrvärme (GWh)",Miljö!$B$1:$T$1,0),FALSE))</f>
        <v/>
      </c>
      <c r="J258" s="121" t="str">
        <f t="shared" si="3"/>
        <v>Skellefteå Kraft AB</v>
      </c>
    </row>
    <row r="259" spans="1:10" x14ac:dyDescent="0.25">
      <c r="A259" s="137" t="s">
        <v>532</v>
      </c>
      <c r="B259" s="137" t="s">
        <v>549</v>
      </c>
      <c r="D259" s="121" t="str">
        <f>IF(ISERROR(1/VLOOKUP($B259,Kraftvärmeprod!$B$1:$D$479,MATCH("Total värmeproduktion i kraftvärmeverk i kombinerad drift (GWh)",Kraftvärmeprod!$B$1:$AV$1,0),FALSE)),"Ej kraftvärme","Alternativproduktionsmetoden")</f>
        <v>Ej kraftvärme</v>
      </c>
      <c r="E259" s="172" t="str">
        <f>IF(ISERROR(1/VLOOKUP($B259,Kraftvärmeprod!$B$1:$BD$479,MATCH("Total värmeproduktion i kraftvärmeverk i kombinerad drift (GWh)",Kraftvärmeprod!$B$1:$AV$1,0),FALSE)),"",VLOOKUP($B259,'Slutlig allokering kvv'!$B$1:$BC$479,MATCH(E$1,'Slutlig allokering kvv'!$B$1:$AU$1,0),FALSE))</f>
        <v/>
      </c>
      <c r="F259" s="121" t="str">
        <f>IF(ISERROR(1/VLOOKUP($B259,Kraftvärmeprod!$B$1:$AV$479,MATCH("Producerad elenergi i kraftvärmeverk (GWh)",Kraftvärmeprod!$B$1:$AV$1,0),FALSE)),"",VLOOKUP($B259,Kraftvärmeprod!$B$1:$AV$479,MATCH("Producerad elenergi i kraftvärmeverk (GWh)",Kraftvärmeprod!$B$1:$AV$1,0),FALSE))</f>
        <v/>
      </c>
      <c r="G259" s="121" t="str">
        <f>IF(ISERROR(1/VLOOKUP($B259,Miljö!$B$1:$T$480,MATCH("Såld mängd produktionsspecifik fjärrvärme (GWh)",Miljö!$B$1:$T$1,0),FALSE)),"",VLOOKUP($B259,Miljö!$B$1:$T$480,MATCH("Såld mängd produktionsspecifik fjärrvärme (GWh)",Miljö!$B$1:$T$1,0),FALSE))</f>
        <v/>
      </c>
      <c r="J259" s="121" t="str">
        <f t="shared" ref="J259:J322" si="4">A259</f>
        <v>Skellefteå Kraft AB</v>
      </c>
    </row>
    <row r="260" spans="1:10" x14ac:dyDescent="0.25">
      <c r="A260" s="137" t="s">
        <v>532</v>
      </c>
      <c r="B260" s="137" t="s">
        <v>550</v>
      </c>
      <c r="D260" s="121" t="str">
        <f>IF(ISERROR(1/VLOOKUP($B260,Kraftvärmeprod!$B$1:$D$479,MATCH("Total värmeproduktion i kraftvärmeverk i kombinerad drift (GWh)",Kraftvärmeprod!$B$1:$AV$1,0),FALSE)),"Ej kraftvärme","Alternativproduktionsmetoden")</f>
        <v>Ej kraftvärme</v>
      </c>
      <c r="E260" s="172" t="str">
        <f>IF(ISERROR(1/VLOOKUP($B260,Kraftvärmeprod!$B$1:$BD$479,MATCH("Total värmeproduktion i kraftvärmeverk i kombinerad drift (GWh)",Kraftvärmeprod!$B$1:$AV$1,0),FALSE)),"",VLOOKUP($B260,'Slutlig allokering kvv'!$B$1:$BC$479,MATCH(E$1,'Slutlig allokering kvv'!$B$1:$AU$1,0),FALSE))</f>
        <v/>
      </c>
      <c r="F260" s="121" t="str">
        <f>IF(ISERROR(1/VLOOKUP($B260,Kraftvärmeprod!$B$1:$AV$479,MATCH("Producerad elenergi i kraftvärmeverk (GWh)",Kraftvärmeprod!$B$1:$AV$1,0),FALSE)),"",VLOOKUP($B260,Kraftvärmeprod!$B$1:$AV$479,MATCH("Producerad elenergi i kraftvärmeverk (GWh)",Kraftvärmeprod!$B$1:$AV$1,0),FALSE))</f>
        <v/>
      </c>
      <c r="G260" s="121" t="str">
        <f>IF(ISERROR(1/VLOOKUP($B260,Miljö!$B$1:$T$480,MATCH("Såld mängd produktionsspecifik fjärrvärme (GWh)",Miljö!$B$1:$T$1,0),FALSE)),"",VLOOKUP($B260,Miljö!$B$1:$T$480,MATCH("Såld mängd produktionsspecifik fjärrvärme (GWh)",Miljö!$B$1:$T$1,0),FALSE))</f>
        <v/>
      </c>
      <c r="J260" s="121" t="str">
        <f t="shared" si="4"/>
        <v>Skellefteå Kraft AB</v>
      </c>
    </row>
    <row r="261" spans="1:10" x14ac:dyDescent="0.25">
      <c r="A261" s="137" t="s">
        <v>532</v>
      </c>
      <c r="B261" s="137" t="s">
        <v>551</v>
      </c>
      <c r="D261" s="121" t="str">
        <f>IF(ISERROR(1/VLOOKUP($B261,Kraftvärmeprod!$B$1:$D$479,MATCH("Total värmeproduktion i kraftvärmeverk i kombinerad drift (GWh)",Kraftvärmeprod!$B$1:$AV$1,0),FALSE)),"Ej kraftvärme","Alternativproduktionsmetoden")</f>
        <v>Ej kraftvärme</v>
      </c>
      <c r="E261" s="172" t="str">
        <f>IF(ISERROR(1/VLOOKUP($B261,Kraftvärmeprod!$B$1:$BD$479,MATCH("Total värmeproduktion i kraftvärmeverk i kombinerad drift (GWh)",Kraftvärmeprod!$B$1:$AV$1,0),FALSE)),"",VLOOKUP($B261,'Slutlig allokering kvv'!$B$1:$BC$479,MATCH(E$1,'Slutlig allokering kvv'!$B$1:$AU$1,0),FALSE))</f>
        <v/>
      </c>
      <c r="F261" s="121" t="str">
        <f>IF(ISERROR(1/VLOOKUP($B261,Kraftvärmeprod!$B$1:$AV$479,MATCH("Producerad elenergi i kraftvärmeverk (GWh)",Kraftvärmeprod!$B$1:$AV$1,0),FALSE)),"",VLOOKUP($B261,Kraftvärmeprod!$B$1:$AV$479,MATCH("Producerad elenergi i kraftvärmeverk (GWh)",Kraftvärmeprod!$B$1:$AV$1,0),FALSE))</f>
        <v/>
      </c>
      <c r="G261" s="121" t="str">
        <f>IF(ISERROR(1/VLOOKUP($B261,Miljö!$B$1:$T$480,MATCH("Såld mängd produktionsspecifik fjärrvärme (GWh)",Miljö!$B$1:$T$1,0),FALSE)),"",VLOOKUP($B261,Miljö!$B$1:$T$480,MATCH("Såld mängd produktionsspecifik fjärrvärme (GWh)",Miljö!$B$1:$T$1,0),FALSE))</f>
        <v/>
      </c>
      <c r="J261" s="121" t="str">
        <f t="shared" si="4"/>
        <v>Skellefteå Kraft AB</v>
      </c>
    </row>
    <row r="262" spans="1:10" x14ac:dyDescent="0.25">
      <c r="A262" s="137" t="s">
        <v>552</v>
      </c>
      <c r="B262" s="137" t="s">
        <v>553</v>
      </c>
      <c r="D262" s="121" t="str">
        <f>IF(ISERROR(1/VLOOKUP($B262,Kraftvärmeprod!$B$1:$D$479,MATCH("Total värmeproduktion i kraftvärmeverk i kombinerad drift (GWh)",Kraftvärmeprod!$B$1:$AV$1,0),FALSE)),"Ej kraftvärme","Alternativproduktionsmetoden")</f>
        <v>Ej kraftvärme</v>
      </c>
      <c r="E262" s="172" t="str">
        <f>IF(ISERROR(1/VLOOKUP($B262,Kraftvärmeprod!$B$1:$BD$479,MATCH("Total värmeproduktion i kraftvärmeverk i kombinerad drift (GWh)",Kraftvärmeprod!$B$1:$AV$1,0),FALSE)),"",VLOOKUP($B262,'Slutlig allokering kvv'!$B$1:$BC$479,MATCH(E$1,'Slutlig allokering kvv'!$B$1:$AU$1,0),FALSE))</f>
        <v/>
      </c>
      <c r="F262" s="121" t="str">
        <f>IF(ISERROR(1/VLOOKUP($B262,Kraftvärmeprod!$B$1:$AV$479,MATCH("Producerad elenergi i kraftvärmeverk (GWh)",Kraftvärmeprod!$B$1:$AV$1,0),FALSE)),"",VLOOKUP($B262,Kraftvärmeprod!$B$1:$AV$479,MATCH("Producerad elenergi i kraftvärmeverk (GWh)",Kraftvärmeprod!$B$1:$AV$1,0),FALSE))</f>
        <v/>
      </c>
      <c r="G262" s="121" t="str">
        <f>IF(ISERROR(1/VLOOKUP($B262,Miljö!$B$1:$T$480,MATCH("Såld mängd produktionsspecifik fjärrvärme (GWh)",Miljö!$B$1:$T$1,0),FALSE)),"",VLOOKUP($B262,Miljö!$B$1:$T$480,MATCH("Såld mängd produktionsspecifik fjärrvärme (GWh)",Miljö!$B$1:$T$1,0),FALSE))</f>
        <v/>
      </c>
      <c r="J262" s="121" t="str">
        <f t="shared" si="4"/>
        <v>Skövde Energi AB</v>
      </c>
    </row>
    <row r="263" spans="1:10" x14ac:dyDescent="0.25">
      <c r="A263" s="137" t="s">
        <v>552</v>
      </c>
      <c r="B263" s="137" t="s">
        <v>554</v>
      </c>
      <c r="D263" s="121" t="str">
        <f>IF(ISERROR(1/VLOOKUP($B263,Kraftvärmeprod!$B$1:$D$479,MATCH("Total värmeproduktion i kraftvärmeverk i kombinerad drift (GWh)",Kraftvärmeprod!$B$1:$AV$1,0),FALSE)),"Ej kraftvärme","Alternativproduktionsmetoden")</f>
        <v>Alternativproduktionsmetoden</v>
      </c>
      <c r="E263" s="172">
        <f>IF(ISERROR(1/VLOOKUP($B263,Kraftvärmeprod!$B$1:$BD$479,MATCH("Total värmeproduktion i kraftvärmeverk i kombinerad drift (GWh)",Kraftvärmeprod!$B$1:$AV$1,0),FALSE)),"",VLOOKUP($B263,'Slutlig allokering kvv'!$B$1:$BC$479,MATCH(E$1,'Slutlig allokering kvv'!$B$1:$AU$1,0),FALSE))</f>
        <v>0.71644138705904914</v>
      </c>
      <c r="F263" s="121">
        <f>IF(ISERROR(1/VLOOKUP($B263,Kraftvärmeprod!$B$1:$AV$479,MATCH("Producerad elenergi i kraftvärmeverk (GWh)",Kraftvärmeprod!$B$1:$AV$1,0),FALSE)),"",VLOOKUP($B263,Kraftvärmeprod!$B$1:$AV$479,MATCH("Producerad elenergi i kraftvärmeverk (GWh)",Kraftvärmeprod!$B$1:$AV$1,0),FALSE))</f>
        <v>43.185000000000002</v>
      </c>
      <c r="G263" s="121">
        <f>IF(ISERROR(1/VLOOKUP($B263,Miljö!$B$1:$T$480,MATCH("Såld mängd produktionsspecifik fjärrvärme (GWh)",Miljö!$B$1:$T$1,0),FALSE)),"",VLOOKUP($B263,Miljö!$B$1:$T$480,MATCH("Såld mängd produktionsspecifik fjärrvärme (GWh)",Miljö!$B$1:$T$1,0),FALSE))</f>
        <v>1.1919999999999999</v>
      </c>
      <c r="J263" s="121" t="str">
        <f t="shared" si="4"/>
        <v>Skövde Energi AB</v>
      </c>
    </row>
    <row r="264" spans="1:10" x14ac:dyDescent="0.25">
      <c r="A264" s="137" t="s">
        <v>552</v>
      </c>
      <c r="B264" s="137" t="s">
        <v>555</v>
      </c>
      <c r="D264" s="121" t="str">
        <f>IF(ISERROR(1/VLOOKUP($B264,Kraftvärmeprod!$B$1:$D$479,MATCH("Total värmeproduktion i kraftvärmeverk i kombinerad drift (GWh)",Kraftvärmeprod!$B$1:$AV$1,0),FALSE)),"Ej kraftvärme","Alternativproduktionsmetoden")</f>
        <v>Ej kraftvärme</v>
      </c>
      <c r="E264" s="172" t="str">
        <f>IF(ISERROR(1/VLOOKUP($B264,Kraftvärmeprod!$B$1:$BD$479,MATCH("Total värmeproduktion i kraftvärmeverk i kombinerad drift (GWh)",Kraftvärmeprod!$B$1:$AV$1,0),FALSE)),"",VLOOKUP($B264,'Slutlig allokering kvv'!$B$1:$BC$479,MATCH(E$1,'Slutlig allokering kvv'!$B$1:$AU$1,0),FALSE))</f>
        <v/>
      </c>
      <c r="F264" s="121" t="str">
        <f>IF(ISERROR(1/VLOOKUP($B264,Kraftvärmeprod!$B$1:$AV$479,MATCH("Producerad elenergi i kraftvärmeverk (GWh)",Kraftvärmeprod!$B$1:$AV$1,0),FALSE)),"",VLOOKUP($B264,Kraftvärmeprod!$B$1:$AV$479,MATCH("Producerad elenergi i kraftvärmeverk (GWh)",Kraftvärmeprod!$B$1:$AV$1,0),FALSE))</f>
        <v/>
      </c>
      <c r="G264" s="121" t="str">
        <f>IF(ISERROR(1/VLOOKUP($B264,Miljö!$B$1:$T$480,MATCH("Såld mängd produktionsspecifik fjärrvärme (GWh)",Miljö!$B$1:$T$1,0),FALSE)),"",VLOOKUP($B264,Miljö!$B$1:$T$480,MATCH("Såld mängd produktionsspecifik fjärrvärme (GWh)",Miljö!$B$1:$T$1,0),FALSE))</f>
        <v/>
      </c>
      <c r="J264" s="121" t="str">
        <f t="shared" si="4"/>
        <v>Skövde Energi AB</v>
      </c>
    </row>
    <row r="265" spans="1:10" x14ac:dyDescent="0.25">
      <c r="A265" s="137" t="s">
        <v>552</v>
      </c>
      <c r="B265" s="137" t="s">
        <v>556</v>
      </c>
      <c r="D265" s="121" t="str">
        <f>IF(ISERROR(1/VLOOKUP($B265,Kraftvärmeprod!$B$1:$D$479,MATCH("Total värmeproduktion i kraftvärmeverk i kombinerad drift (GWh)",Kraftvärmeprod!$B$1:$AV$1,0),FALSE)),"Ej kraftvärme","Alternativproduktionsmetoden")</f>
        <v>Ej kraftvärme</v>
      </c>
      <c r="E265" s="172" t="str">
        <f>IF(ISERROR(1/VLOOKUP($B265,Kraftvärmeprod!$B$1:$BD$479,MATCH("Total värmeproduktion i kraftvärmeverk i kombinerad drift (GWh)",Kraftvärmeprod!$B$1:$AV$1,0),FALSE)),"",VLOOKUP($B265,'Slutlig allokering kvv'!$B$1:$BC$479,MATCH(E$1,'Slutlig allokering kvv'!$B$1:$AU$1,0),FALSE))</f>
        <v/>
      </c>
      <c r="F265" s="121" t="str">
        <f>IF(ISERROR(1/VLOOKUP($B265,Kraftvärmeprod!$B$1:$AV$479,MATCH("Producerad elenergi i kraftvärmeverk (GWh)",Kraftvärmeprod!$B$1:$AV$1,0),FALSE)),"",VLOOKUP($B265,Kraftvärmeprod!$B$1:$AV$479,MATCH("Producerad elenergi i kraftvärmeverk (GWh)",Kraftvärmeprod!$B$1:$AV$1,0),FALSE))</f>
        <v/>
      </c>
      <c r="G265" s="121" t="str">
        <f>IF(ISERROR(1/VLOOKUP($B265,Miljö!$B$1:$T$480,MATCH("Såld mängd produktionsspecifik fjärrvärme (GWh)",Miljö!$B$1:$T$1,0),FALSE)),"",VLOOKUP($B265,Miljö!$B$1:$T$480,MATCH("Såld mängd produktionsspecifik fjärrvärme (GWh)",Miljö!$B$1:$T$1,0),FALSE))</f>
        <v/>
      </c>
      <c r="J265" s="121" t="str">
        <f t="shared" si="4"/>
        <v>Skövde Energi AB</v>
      </c>
    </row>
    <row r="266" spans="1:10" x14ac:dyDescent="0.25">
      <c r="A266" s="137" t="s">
        <v>552</v>
      </c>
      <c r="B266" s="137" t="s">
        <v>557</v>
      </c>
      <c r="D266" s="121" t="str">
        <f>IF(ISERROR(1/VLOOKUP($B266,Kraftvärmeprod!$B$1:$D$479,MATCH("Total värmeproduktion i kraftvärmeverk i kombinerad drift (GWh)",Kraftvärmeprod!$B$1:$AV$1,0),FALSE)),"Ej kraftvärme","Alternativproduktionsmetoden")</f>
        <v>Ej kraftvärme</v>
      </c>
      <c r="E266" s="172" t="str">
        <f>IF(ISERROR(1/VLOOKUP($B266,Kraftvärmeprod!$B$1:$BD$479,MATCH("Total värmeproduktion i kraftvärmeverk i kombinerad drift (GWh)",Kraftvärmeprod!$B$1:$AV$1,0),FALSE)),"",VLOOKUP($B266,'Slutlig allokering kvv'!$B$1:$BC$479,MATCH(E$1,'Slutlig allokering kvv'!$B$1:$AU$1,0),FALSE))</f>
        <v/>
      </c>
      <c r="F266" s="121" t="str">
        <f>IF(ISERROR(1/VLOOKUP($B266,Kraftvärmeprod!$B$1:$AV$479,MATCH("Producerad elenergi i kraftvärmeverk (GWh)",Kraftvärmeprod!$B$1:$AV$1,0),FALSE)),"",VLOOKUP($B266,Kraftvärmeprod!$B$1:$AV$479,MATCH("Producerad elenergi i kraftvärmeverk (GWh)",Kraftvärmeprod!$B$1:$AV$1,0),FALSE))</f>
        <v/>
      </c>
      <c r="G266" s="121" t="str">
        <f>IF(ISERROR(1/VLOOKUP($B266,Miljö!$B$1:$T$480,MATCH("Såld mängd produktionsspecifik fjärrvärme (GWh)",Miljö!$B$1:$T$1,0),FALSE)),"",VLOOKUP($B266,Miljö!$B$1:$T$480,MATCH("Såld mängd produktionsspecifik fjärrvärme (GWh)",Miljö!$B$1:$T$1,0),FALSE))</f>
        <v/>
      </c>
      <c r="J266" s="121" t="str">
        <f t="shared" si="4"/>
        <v>Skövde Energi AB</v>
      </c>
    </row>
    <row r="267" spans="1:10" x14ac:dyDescent="0.25">
      <c r="A267" s="137" t="s">
        <v>558</v>
      </c>
      <c r="B267" s="137" t="s">
        <v>559</v>
      </c>
      <c r="D267" s="121" t="str">
        <f>IF(ISERROR(1/VLOOKUP($B267,Kraftvärmeprod!$B$1:$D$479,MATCH("Total värmeproduktion i kraftvärmeverk i kombinerad drift (GWh)",Kraftvärmeprod!$B$1:$AV$1,0),FALSE)),"Ej kraftvärme","Alternativproduktionsmetoden")</f>
        <v>Ej kraftvärme</v>
      </c>
      <c r="E267" s="172" t="str">
        <f>IF(ISERROR(1/VLOOKUP($B267,Kraftvärmeprod!$B$1:$BD$479,MATCH("Total värmeproduktion i kraftvärmeverk i kombinerad drift (GWh)",Kraftvärmeprod!$B$1:$AV$1,0),FALSE)),"",VLOOKUP($B267,'Slutlig allokering kvv'!$B$1:$BC$479,MATCH(E$1,'Slutlig allokering kvv'!$B$1:$AU$1,0),FALSE))</f>
        <v/>
      </c>
      <c r="F267" s="121" t="str">
        <f>IF(ISERROR(1/VLOOKUP($B267,Kraftvärmeprod!$B$1:$AV$479,MATCH("Producerad elenergi i kraftvärmeverk (GWh)",Kraftvärmeprod!$B$1:$AV$1,0),FALSE)),"",VLOOKUP($B267,Kraftvärmeprod!$B$1:$AV$479,MATCH("Producerad elenergi i kraftvärmeverk (GWh)",Kraftvärmeprod!$B$1:$AV$1,0),FALSE))</f>
        <v/>
      </c>
      <c r="G267" s="121" t="str">
        <f>IF(ISERROR(1/VLOOKUP($B267,Miljö!$B$1:$T$480,MATCH("Såld mängd produktionsspecifik fjärrvärme (GWh)",Miljö!$B$1:$T$1,0),FALSE)),"",VLOOKUP($B267,Miljö!$B$1:$T$480,MATCH("Såld mängd produktionsspecifik fjärrvärme (GWh)",Miljö!$B$1:$T$1,0),FALSE))</f>
        <v/>
      </c>
      <c r="J267" s="121" t="str">
        <f t="shared" si="4"/>
        <v>Smedjebacken Energi AB</v>
      </c>
    </row>
    <row r="268" spans="1:10" x14ac:dyDescent="0.25">
      <c r="A268" s="137" t="s">
        <v>558</v>
      </c>
      <c r="B268" s="137" t="s">
        <v>560</v>
      </c>
      <c r="D268" s="121" t="str">
        <f>IF(ISERROR(1/VLOOKUP($B268,Kraftvärmeprod!$B$1:$D$479,MATCH("Total värmeproduktion i kraftvärmeverk i kombinerad drift (GWh)",Kraftvärmeprod!$B$1:$AV$1,0),FALSE)),"Ej kraftvärme","Alternativproduktionsmetoden")</f>
        <v>Ej kraftvärme</v>
      </c>
      <c r="E268" s="172" t="str">
        <f>IF(ISERROR(1/VLOOKUP($B268,Kraftvärmeprod!$B$1:$BD$479,MATCH("Total värmeproduktion i kraftvärmeverk i kombinerad drift (GWh)",Kraftvärmeprod!$B$1:$AV$1,0),FALSE)),"",VLOOKUP($B268,'Slutlig allokering kvv'!$B$1:$BC$479,MATCH(E$1,'Slutlig allokering kvv'!$B$1:$AU$1,0),FALSE))</f>
        <v/>
      </c>
      <c r="F268" s="121" t="str">
        <f>IF(ISERROR(1/VLOOKUP($B268,Kraftvärmeprod!$B$1:$AV$479,MATCH("Producerad elenergi i kraftvärmeverk (GWh)",Kraftvärmeprod!$B$1:$AV$1,0),FALSE)),"",VLOOKUP($B268,Kraftvärmeprod!$B$1:$AV$479,MATCH("Producerad elenergi i kraftvärmeverk (GWh)",Kraftvärmeprod!$B$1:$AV$1,0),FALSE))</f>
        <v/>
      </c>
      <c r="G268" s="121" t="str">
        <f>IF(ISERROR(1/VLOOKUP($B268,Miljö!$B$1:$T$480,MATCH("Såld mängd produktionsspecifik fjärrvärme (GWh)",Miljö!$B$1:$T$1,0),FALSE)),"",VLOOKUP($B268,Miljö!$B$1:$T$480,MATCH("Såld mängd produktionsspecifik fjärrvärme (GWh)",Miljö!$B$1:$T$1,0),FALSE))</f>
        <v/>
      </c>
      <c r="J268" s="121" t="str">
        <f t="shared" si="4"/>
        <v>Smedjebacken Energi AB</v>
      </c>
    </row>
    <row r="269" spans="1:10" x14ac:dyDescent="0.25">
      <c r="A269" s="137" t="s">
        <v>561</v>
      </c>
      <c r="B269" s="137" t="s">
        <v>562</v>
      </c>
      <c r="D269" s="121" t="str">
        <f>IF(ISERROR(1/VLOOKUP($B269,Kraftvärmeprod!$B$1:$D$479,MATCH("Total värmeproduktion i kraftvärmeverk i kombinerad drift (GWh)",Kraftvärmeprod!$B$1:$AV$1,0),FALSE)),"Ej kraftvärme","Alternativproduktionsmetoden")</f>
        <v>Ej kraftvärme</v>
      </c>
      <c r="E269" s="172" t="str">
        <f>IF(ISERROR(1/VLOOKUP($B269,Kraftvärmeprod!$B$1:$BD$479,MATCH("Total värmeproduktion i kraftvärmeverk i kombinerad drift (GWh)",Kraftvärmeprod!$B$1:$AV$1,0),FALSE)),"",VLOOKUP($B269,'Slutlig allokering kvv'!$B$1:$BC$479,MATCH(E$1,'Slutlig allokering kvv'!$B$1:$AU$1,0),FALSE))</f>
        <v/>
      </c>
      <c r="F269" s="121" t="str">
        <f>IF(ISERROR(1/VLOOKUP($B269,Kraftvärmeprod!$B$1:$AV$479,MATCH("Producerad elenergi i kraftvärmeverk (GWh)",Kraftvärmeprod!$B$1:$AV$1,0),FALSE)),"",VLOOKUP($B269,Kraftvärmeprod!$B$1:$AV$479,MATCH("Producerad elenergi i kraftvärmeverk (GWh)",Kraftvärmeprod!$B$1:$AV$1,0),FALSE))</f>
        <v/>
      </c>
      <c r="G269" s="121" t="str">
        <f>IF(ISERROR(1/VLOOKUP($B269,Miljö!$B$1:$T$480,MATCH("Såld mängd produktionsspecifik fjärrvärme (GWh)",Miljö!$B$1:$T$1,0),FALSE)),"",VLOOKUP($B269,Miljö!$B$1:$T$480,MATCH("Såld mängd produktionsspecifik fjärrvärme (GWh)",Miljö!$B$1:$T$1,0),FALSE))</f>
        <v/>
      </c>
      <c r="J269" s="121" t="str">
        <f t="shared" si="4"/>
        <v>Sollentuna Energi &amp; Miljö AB</v>
      </c>
    </row>
    <row r="270" spans="1:10" x14ac:dyDescent="0.25">
      <c r="A270" s="137" t="s">
        <v>563</v>
      </c>
      <c r="B270" s="137" t="s">
        <v>564</v>
      </c>
      <c r="D270" s="121" t="str">
        <f>IF(ISERROR(1/VLOOKUP($B270,Kraftvärmeprod!$B$1:$D$479,MATCH("Total värmeproduktion i kraftvärmeverk i kombinerad drift (GWh)",Kraftvärmeprod!$B$1:$AV$1,0),FALSE)),"Ej kraftvärme","Alternativproduktionsmetoden")</f>
        <v>Ej kraftvärme</v>
      </c>
      <c r="E270" s="172" t="str">
        <f>IF(ISERROR(1/VLOOKUP($B270,Kraftvärmeprod!$B$1:$BD$479,MATCH("Total värmeproduktion i kraftvärmeverk i kombinerad drift (GWh)",Kraftvärmeprod!$B$1:$AV$1,0),FALSE)),"",VLOOKUP($B270,'Slutlig allokering kvv'!$B$1:$BC$479,MATCH(E$1,'Slutlig allokering kvv'!$B$1:$AU$1,0),FALSE))</f>
        <v/>
      </c>
      <c r="F270" s="121" t="str">
        <f>IF(ISERROR(1/VLOOKUP($B270,Kraftvärmeprod!$B$1:$AV$479,MATCH("Producerad elenergi i kraftvärmeverk (GWh)",Kraftvärmeprod!$B$1:$AV$1,0),FALSE)),"",VLOOKUP($B270,Kraftvärmeprod!$B$1:$AV$479,MATCH("Producerad elenergi i kraftvärmeverk (GWh)",Kraftvärmeprod!$B$1:$AV$1,0),FALSE))</f>
        <v/>
      </c>
      <c r="G270" s="121" t="str">
        <f>IF(ISERROR(1/VLOOKUP($B270,Miljö!$B$1:$T$480,MATCH("Såld mängd produktionsspecifik fjärrvärme (GWh)",Miljö!$B$1:$T$1,0),FALSE)),"",VLOOKUP($B270,Miljö!$B$1:$T$480,MATCH("Såld mängd produktionsspecifik fjärrvärme (GWh)",Miljö!$B$1:$T$1,0),FALSE))</f>
        <v/>
      </c>
      <c r="J270" s="121" t="str">
        <f t="shared" si="4"/>
        <v>Solör Bioenergi Svenljunga AB</v>
      </c>
    </row>
    <row r="271" spans="1:10" x14ac:dyDescent="0.25">
      <c r="A271" s="137" t="s">
        <v>565</v>
      </c>
      <c r="B271" s="137" t="s">
        <v>566</v>
      </c>
      <c r="D271" s="121" t="str">
        <f>IF(ISERROR(1/VLOOKUP($B271,Kraftvärmeprod!$B$1:$D$479,MATCH("Total värmeproduktion i kraftvärmeverk i kombinerad drift (GWh)",Kraftvärmeprod!$B$1:$AV$1,0),FALSE)),"Ej kraftvärme","Alternativproduktionsmetoden")</f>
        <v>Ej kraftvärme</v>
      </c>
      <c r="E271" s="172" t="str">
        <f>IF(ISERROR(1/VLOOKUP($B271,Kraftvärmeprod!$B$1:$BD$479,MATCH("Total värmeproduktion i kraftvärmeverk i kombinerad drift (GWh)",Kraftvärmeprod!$B$1:$AV$1,0),FALSE)),"",VLOOKUP($B271,'Slutlig allokering kvv'!$B$1:$BC$479,MATCH(E$1,'Slutlig allokering kvv'!$B$1:$AU$1,0),FALSE))</f>
        <v/>
      </c>
      <c r="F271" s="121" t="str">
        <f>IF(ISERROR(1/VLOOKUP($B271,Kraftvärmeprod!$B$1:$AV$479,MATCH("Producerad elenergi i kraftvärmeverk (GWh)",Kraftvärmeprod!$B$1:$AV$1,0),FALSE)),"",VLOOKUP($B271,Kraftvärmeprod!$B$1:$AV$479,MATCH("Producerad elenergi i kraftvärmeverk (GWh)",Kraftvärmeprod!$B$1:$AV$1,0),FALSE))</f>
        <v/>
      </c>
      <c r="G271" s="121" t="str">
        <f>IF(ISERROR(1/VLOOKUP($B271,Miljö!$B$1:$T$480,MATCH("Såld mängd produktionsspecifik fjärrvärme (GWh)",Miljö!$B$1:$T$1,0),FALSE)),"",VLOOKUP($B271,Miljö!$B$1:$T$480,MATCH("Såld mängd produktionsspecifik fjärrvärme (GWh)",Miljö!$B$1:$T$1,0),FALSE))</f>
        <v/>
      </c>
      <c r="J271" s="121" t="str">
        <f t="shared" si="4"/>
        <v>Statkraft Värme AB</v>
      </c>
    </row>
    <row r="272" spans="1:10" x14ac:dyDescent="0.25">
      <c r="A272" s="137" t="s">
        <v>565</v>
      </c>
      <c r="B272" s="137" t="s">
        <v>567</v>
      </c>
      <c r="D272" s="121" t="str">
        <f>IF(ISERROR(1/VLOOKUP($B272,Kraftvärmeprod!$B$1:$D$479,MATCH("Total värmeproduktion i kraftvärmeverk i kombinerad drift (GWh)",Kraftvärmeprod!$B$1:$AV$1,0),FALSE)),"Ej kraftvärme","Alternativproduktionsmetoden")</f>
        <v>Ej kraftvärme</v>
      </c>
      <c r="E272" s="172" t="str">
        <f>IF(ISERROR(1/VLOOKUP($B272,Kraftvärmeprod!$B$1:$BD$479,MATCH("Total värmeproduktion i kraftvärmeverk i kombinerad drift (GWh)",Kraftvärmeprod!$B$1:$AV$1,0),FALSE)),"",VLOOKUP($B272,'Slutlig allokering kvv'!$B$1:$BC$479,MATCH(E$1,'Slutlig allokering kvv'!$B$1:$AU$1,0),FALSE))</f>
        <v/>
      </c>
      <c r="F272" s="121" t="str">
        <f>IF(ISERROR(1/VLOOKUP($B272,Kraftvärmeprod!$B$1:$AV$479,MATCH("Producerad elenergi i kraftvärmeverk (GWh)",Kraftvärmeprod!$B$1:$AV$1,0),FALSE)),"",VLOOKUP($B272,Kraftvärmeprod!$B$1:$AV$479,MATCH("Producerad elenergi i kraftvärmeverk (GWh)",Kraftvärmeprod!$B$1:$AV$1,0),FALSE))</f>
        <v/>
      </c>
      <c r="G272" s="121" t="str">
        <f>IF(ISERROR(1/VLOOKUP($B272,Miljö!$B$1:$T$480,MATCH("Såld mängd produktionsspecifik fjärrvärme (GWh)",Miljö!$B$1:$T$1,0),FALSE)),"",VLOOKUP($B272,Miljö!$B$1:$T$480,MATCH("Såld mängd produktionsspecifik fjärrvärme (GWh)",Miljö!$B$1:$T$1,0),FALSE))</f>
        <v/>
      </c>
      <c r="J272" s="121" t="str">
        <f t="shared" si="4"/>
        <v>Statkraft Värme AB</v>
      </c>
    </row>
    <row r="273" spans="1:10" x14ac:dyDescent="0.25">
      <c r="A273" s="137" t="s">
        <v>565</v>
      </c>
      <c r="B273" s="137" t="s">
        <v>568</v>
      </c>
      <c r="D273" s="121" t="str">
        <f>IF(ISERROR(1/VLOOKUP($B273,Kraftvärmeprod!$B$1:$D$479,MATCH("Total värmeproduktion i kraftvärmeverk i kombinerad drift (GWh)",Kraftvärmeprod!$B$1:$AV$1,0),FALSE)),"Ej kraftvärme","Alternativproduktionsmetoden")</f>
        <v>Ej kraftvärme</v>
      </c>
      <c r="E273" s="172" t="str">
        <f>IF(ISERROR(1/VLOOKUP($B273,Kraftvärmeprod!$B$1:$BD$479,MATCH("Total värmeproduktion i kraftvärmeverk i kombinerad drift (GWh)",Kraftvärmeprod!$B$1:$AV$1,0),FALSE)),"",VLOOKUP($B273,'Slutlig allokering kvv'!$B$1:$BC$479,MATCH(E$1,'Slutlig allokering kvv'!$B$1:$AU$1,0),FALSE))</f>
        <v/>
      </c>
      <c r="F273" s="121" t="str">
        <f>IF(ISERROR(1/VLOOKUP($B273,Kraftvärmeprod!$B$1:$AV$479,MATCH("Producerad elenergi i kraftvärmeverk (GWh)",Kraftvärmeprod!$B$1:$AV$1,0),FALSE)),"",VLOOKUP($B273,Kraftvärmeprod!$B$1:$AV$479,MATCH("Producerad elenergi i kraftvärmeverk (GWh)",Kraftvärmeprod!$B$1:$AV$1,0),FALSE))</f>
        <v/>
      </c>
      <c r="G273" s="121" t="str">
        <f>IF(ISERROR(1/VLOOKUP($B273,Miljö!$B$1:$T$480,MATCH("Såld mängd produktionsspecifik fjärrvärme (GWh)",Miljö!$B$1:$T$1,0),FALSE)),"",VLOOKUP($B273,Miljö!$B$1:$T$480,MATCH("Såld mängd produktionsspecifik fjärrvärme (GWh)",Miljö!$B$1:$T$1,0),FALSE))</f>
        <v/>
      </c>
      <c r="J273" s="121" t="str">
        <f t="shared" si="4"/>
        <v>Statkraft Värme AB</v>
      </c>
    </row>
    <row r="274" spans="1:10" x14ac:dyDescent="0.25">
      <c r="A274" s="137" t="s">
        <v>565</v>
      </c>
      <c r="B274" s="137" t="s">
        <v>569</v>
      </c>
      <c r="D274" s="121" t="str">
        <f>IF(ISERROR(1/VLOOKUP($B274,Kraftvärmeprod!$B$1:$D$479,MATCH("Total värmeproduktion i kraftvärmeverk i kombinerad drift (GWh)",Kraftvärmeprod!$B$1:$AV$1,0),FALSE)),"Ej kraftvärme","Alternativproduktionsmetoden")</f>
        <v>Ej kraftvärme</v>
      </c>
      <c r="E274" s="172" t="str">
        <f>IF(ISERROR(1/VLOOKUP($B274,Kraftvärmeprod!$B$1:$BD$479,MATCH("Total värmeproduktion i kraftvärmeverk i kombinerad drift (GWh)",Kraftvärmeprod!$B$1:$AV$1,0),FALSE)),"",VLOOKUP($B274,'Slutlig allokering kvv'!$B$1:$BC$479,MATCH(E$1,'Slutlig allokering kvv'!$B$1:$AU$1,0),FALSE))</f>
        <v/>
      </c>
      <c r="F274" s="121" t="str">
        <f>IF(ISERROR(1/VLOOKUP($B274,Kraftvärmeprod!$B$1:$AV$479,MATCH("Producerad elenergi i kraftvärmeverk (GWh)",Kraftvärmeprod!$B$1:$AV$1,0),FALSE)),"",VLOOKUP($B274,Kraftvärmeprod!$B$1:$AV$479,MATCH("Producerad elenergi i kraftvärmeverk (GWh)",Kraftvärmeprod!$B$1:$AV$1,0),FALSE))</f>
        <v/>
      </c>
      <c r="G274" s="121" t="str">
        <f>IF(ISERROR(1/VLOOKUP($B274,Miljö!$B$1:$T$480,MATCH("Såld mängd produktionsspecifik fjärrvärme (GWh)",Miljö!$B$1:$T$1,0),FALSE)),"",VLOOKUP($B274,Miljö!$B$1:$T$480,MATCH("Såld mängd produktionsspecifik fjärrvärme (GWh)",Miljö!$B$1:$T$1,0),FALSE))</f>
        <v/>
      </c>
      <c r="J274" s="121" t="str">
        <f t="shared" si="4"/>
        <v>Statkraft Värme AB</v>
      </c>
    </row>
    <row r="275" spans="1:10" x14ac:dyDescent="0.25">
      <c r="A275" s="137" t="s">
        <v>570</v>
      </c>
      <c r="B275" s="137" t="s">
        <v>571</v>
      </c>
      <c r="D275" s="121" t="str">
        <f>IF(ISERROR(1/VLOOKUP($B275,Kraftvärmeprod!$B$1:$D$479,MATCH("Total värmeproduktion i kraftvärmeverk i kombinerad drift (GWh)",Kraftvärmeprod!$B$1:$AV$1,0),FALSE)),"Ej kraftvärme","Alternativproduktionsmetoden")</f>
        <v>Ej kraftvärme</v>
      </c>
      <c r="E275" s="172" t="str">
        <f>IF(ISERROR(1/VLOOKUP($B275,Kraftvärmeprod!$B$1:$BD$479,MATCH("Total värmeproduktion i kraftvärmeverk i kombinerad drift (GWh)",Kraftvärmeprod!$B$1:$AV$1,0),FALSE)),"",VLOOKUP($B275,'Slutlig allokering kvv'!$B$1:$BC$479,MATCH(E$1,'Slutlig allokering kvv'!$B$1:$AU$1,0),FALSE))</f>
        <v/>
      </c>
      <c r="F275" s="121" t="str">
        <f>IF(ISERROR(1/VLOOKUP($B275,Kraftvärmeprod!$B$1:$AV$479,MATCH("Producerad elenergi i kraftvärmeverk (GWh)",Kraftvärmeprod!$B$1:$AV$1,0),FALSE)),"",VLOOKUP($B275,Kraftvärmeprod!$B$1:$AV$479,MATCH("Producerad elenergi i kraftvärmeverk (GWh)",Kraftvärmeprod!$B$1:$AV$1,0),FALSE))</f>
        <v/>
      </c>
      <c r="G275" s="121" t="str">
        <f>IF(ISERROR(1/VLOOKUP($B275,Miljö!$B$1:$T$480,MATCH("Såld mängd produktionsspecifik fjärrvärme (GWh)",Miljö!$B$1:$T$1,0),FALSE)),"",VLOOKUP($B275,Miljö!$B$1:$T$480,MATCH("Såld mängd produktionsspecifik fjärrvärme (GWh)",Miljö!$B$1:$T$1,0),FALSE))</f>
        <v/>
      </c>
      <c r="J275" s="121" t="str">
        <f t="shared" si="4"/>
        <v>Stenungsunds Energi och Miljö AB</v>
      </c>
    </row>
    <row r="276" spans="1:10" x14ac:dyDescent="0.25">
      <c r="A276" s="137" t="s">
        <v>570</v>
      </c>
      <c r="B276" s="137" t="s">
        <v>572</v>
      </c>
      <c r="D276" s="121" t="str">
        <f>IF(ISERROR(1/VLOOKUP($B276,Kraftvärmeprod!$B$1:$D$479,MATCH("Total värmeproduktion i kraftvärmeverk i kombinerad drift (GWh)",Kraftvärmeprod!$B$1:$AV$1,0),FALSE)),"Ej kraftvärme","Alternativproduktionsmetoden")</f>
        <v>Ej kraftvärme</v>
      </c>
      <c r="E276" s="172" t="str">
        <f>IF(ISERROR(1/VLOOKUP($B276,Kraftvärmeprod!$B$1:$BD$479,MATCH("Total värmeproduktion i kraftvärmeverk i kombinerad drift (GWh)",Kraftvärmeprod!$B$1:$AV$1,0),FALSE)),"",VLOOKUP($B276,'Slutlig allokering kvv'!$B$1:$BC$479,MATCH(E$1,'Slutlig allokering kvv'!$B$1:$AU$1,0),FALSE))</f>
        <v/>
      </c>
      <c r="F276" s="121" t="str">
        <f>IF(ISERROR(1/VLOOKUP($B276,Kraftvärmeprod!$B$1:$AV$479,MATCH("Producerad elenergi i kraftvärmeverk (GWh)",Kraftvärmeprod!$B$1:$AV$1,0),FALSE)),"",VLOOKUP($B276,Kraftvärmeprod!$B$1:$AV$479,MATCH("Producerad elenergi i kraftvärmeverk (GWh)",Kraftvärmeprod!$B$1:$AV$1,0),FALSE))</f>
        <v/>
      </c>
      <c r="G276" s="121" t="str">
        <f>IF(ISERROR(1/VLOOKUP($B276,Miljö!$B$1:$T$480,MATCH("Såld mängd produktionsspecifik fjärrvärme (GWh)",Miljö!$B$1:$T$1,0),FALSE)),"",VLOOKUP($B276,Miljö!$B$1:$T$480,MATCH("Såld mängd produktionsspecifik fjärrvärme (GWh)",Miljö!$B$1:$T$1,0),FALSE))</f>
        <v/>
      </c>
      <c r="J276" s="121" t="str">
        <f t="shared" si="4"/>
        <v>Stenungsunds Energi och Miljö AB</v>
      </c>
    </row>
    <row r="277" spans="1:10" x14ac:dyDescent="0.25">
      <c r="A277" s="137" t="s">
        <v>573</v>
      </c>
      <c r="B277" s="137" t="s">
        <v>574</v>
      </c>
      <c r="D277" s="121" t="str">
        <f>IF(ISERROR(1/VLOOKUP($B277,Kraftvärmeprod!$B$1:$D$479,MATCH("Total värmeproduktion i kraftvärmeverk i kombinerad drift (GWh)",Kraftvärmeprod!$B$1:$AV$1,0),FALSE)),"Ej kraftvärme","Alternativproduktionsmetoden")</f>
        <v>Ej kraftvärme</v>
      </c>
      <c r="E277" s="172" t="str">
        <f>IF(ISERROR(1/VLOOKUP($B277,Kraftvärmeprod!$B$1:$BD$479,MATCH("Total värmeproduktion i kraftvärmeverk i kombinerad drift (GWh)",Kraftvärmeprod!$B$1:$AV$1,0),FALSE)),"",VLOOKUP($B277,'Slutlig allokering kvv'!$B$1:$BC$479,MATCH(E$1,'Slutlig allokering kvv'!$B$1:$AU$1,0),FALSE))</f>
        <v/>
      </c>
      <c r="F277" s="121" t="str">
        <f>IF(ISERROR(1/VLOOKUP($B277,Kraftvärmeprod!$B$1:$AV$479,MATCH("Producerad elenergi i kraftvärmeverk (GWh)",Kraftvärmeprod!$B$1:$AV$1,0),FALSE)),"",VLOOKUP($B277,Kraftvärmeprod!$B$1:$AV$479,MATCH("Producerad elenergi i kraftvärmeverk (GWh)",Kraftvärmeprod!$B$1:$AV$1,0),FALSE))</f>
        <v/>
      </c>
      <c r="G277" s="121" t="str">
        <f>IF(ISERROR(1/VLOOKUP($B277,Miljö!$B$1:$T$480,MATCH("Såld mängd produktionsspecifik fjärrvärme (GWh)",Miljö!$B$1:$T$1,0),FALSE)),"",VLOOKUP($B277,Miljö!$B$1:$T$480,MATCH("Såld mängd produktionsspecifik fjärrvärme (GWh)",Miljö!$B$1:$T$1,0),FALSE))</f>
        <v/>
      </c>
      <c r="J277" s="121" t="str">
        <f t="shared" si="4"/>
        <v>Stockholm Exergi AB</v>
      </c>
    </row>
    <row r="278" spans="1:10" x14ac:dyDescent="0.25">
      <c r="A278" s="137" t="s">
        <v>573</v>
      </c>
      <c r="B278" s="137" t="s">
        <v>575</v>
      </c>
      <c r="D278" s="121" t="str">
        <f>IF(ISERROR(1/VLOOKUP($B278,Kraftvärmeprod!$B$1:$D$479,MATCH("Total värmeproduktion i kraftvärmeverk i kombinerad drift (GWh)",Kraftvärmeprod!$B$1:$AV$1,0),FALSE)),"Ej kraftvärme","Alternativproduktionsmetoden")</f>
        <v>Ej kraftvärme</v>
      </c>
      <c r="E278" s="172" t="str">
        <f>IF(ISERROR(1/VLOOKUP($B278,Kraftvärmeprod!$B$1:$BD$479,MATCH("Total värmeproduktion i kraftvärmeverk i kombinerad drift (GWh)",Kraftvärmeprod!$B$1:$AV$1,0),FALSE)),"",VLOOKUP($B278,'Slutlig allokering kvv'!$B$1:$BC$479,MATCH(E$1,'Slutlig allokering kvv'!$B$1:$AU$1,0),FALSE))</f>
        <v/>
      </c>
      <c r="F278" s="121" t="str">
        <f>IF(ISERROR(1/VLOOKUP($B278,Kraftvärmeprod!$B$1:$AV$479,MATCH("Producerad elenergi i kraftvärmeverk (GWh)",Kraftvärmeprod!$B$1:$AV$1,0),FALSE)),"",VLOOKUP($B278,Kraftvärmeprod!$B$1:$AV$479,MATCH("Producerad elenergi i kraftvärmeverk (GWh)",Kraftvärmeprod!$B$1:$AV$1,0),FALSE))</f>
        <v/>
      </c>
      <c r="G278" s="121" t="str">
        <f>IF(ISERROR(1/VLOOKUP($B278,Miljö!$B$1:$T$480,MATCH("Såld mängd produktionsspecifik fjärrvärme (GWh)",Miljö!$B$1:$T$1,0),FALSE)),"",VLOOKUP($B278,Miljö!$B$1:$T$480,MATCH("Såld mängd produktionsspecifik fjärrvärme (GWh)",Miljö!$B$1:$T$1,0),FALSE))</f>
        <v/>
      </c>
      <c r="J278" s="121" t="str">
        <f t="shared" si="4"/>
        <v>Stockholm Exergi AB</v>
      </c>
    </row>
    <row r="279" spans="1:10" x14ac:dyDescent="0.25">
      <c r="A279" s="137" t="s">
        <v>573</v>
      </c>
      <c r="B279" s="137" t="s">
        <v>576</v>
      </c>
      <c r="D279" s="121" t="str">
        <f>IF(ISERROR(1/VLOOKUP($B279,Kraftvärmeprod!$B$1:$D$479,MATCH("Total värmeproduktion i kraftvärmeverk i kombinerad drift (GWh)",Kraftvärmeprod!$B$1:$AV$1,0),FALSE)),"Ej kraftvärme","Alternativproduktionsmetoden")</f>
        <v>Ej kraftvärme</v>
      </c>
      <c r="E279" s="172" t="str">
        <f>IF(ISERROR(1/VLOOKUP($B279,Kraftvärmeprod!$B$1:$BD$479,MATCH("Total värmeproduktion i kraftvärmeverk i kombinerad drift (GWh)",Kraftvärmeprod!$B$1:$AV$1,0),FALSE)),"",VLOOKUP($B279,'Slutlig allokering kvv'!$B$1:$BC$479,MATCH(E$1,'Slutlig allokering kvv'!$B$1:$AU$1,0),FALSE))</f>
        <v/>
      </c>
      <c r="F279" s="121" t="str">
        <f>IF(ISERROR(1/VLOOKUP($B279,Kraftvärmeprod!$B$1:$AV$479,MATCH("Producerad elenergi i kraftvärmeverk (GWh)",Kraftvärmeprod!$B$1:$AV$1,0),FALSE)),"",VLOOKUP($B279,Kraftvärmeprod!$B$1:$AV$479,MATCH("Producerad elenergi i kraftvärmeverk (GWh)",Kraftvärmeprod!$B$1:$AV$1,0),FALSE))</f>
        <v/>
      </c>
      <c r="G279" s="121" t="str">
        <f>IF(ISERROR(1/VLOOKUP($B279,Miljö!$B$1:$T$480,MATCH("Såld mängd produktionsspecifik fjärrvärme (GWh)",Miljö!$B$1:$T$1,0),FALSE)),"",VLOOKUP($B279,Miljö!$B$1:$T$480,MATCH("Såld mängd produktionsspecifik fjärrvärme (GWh)",Miljö!$B$1:$T$1,0),FALSE))</f>
        <v/>
      </c>
      <c r="J279" s="121" t="str">
        <f t="shared" si="4"/>
        <v>Stockholm Exergi AB</v>
      </c>
    </row>
    <row r="280" spans="1:10" x14ac:dyDescent="0.25">
      <c r="A280" s="137" t="s">
        <v>573</v>
      </c>
      <c r="B280" s="137" t="s">
        <v>116</v>
      </c>
      <c r="D280" s="121" t="str">
        <f>IF(ISERROR(1/VLOOKUP($B280,Kraftvärmeprod!$B$1:$D$479,MATCH("Total värmeproduktion i kraftvärmeverk i kombinerad drift (GWh)",Kraftvärmeprod!$B$1:$AV$1,0),FALSE)),"Ej kraftvärme","Alternativproduktionsmetoden")</f>
        <v>Alternativproduktionsmetoden</v>
      </c>
      <c r="E280" s="172">
        <f>IF(ISERROR(1/VLOOKUP($B280,Kraftvärmeprod!$B$1:$BD$479,MATCH("Total värmeproduktion i kraftvärmeverk i kombinerad drift (GWh)",Kraftvärmeprod!$B$1:$AV$1,0),FALSE)),"",VLOOKUP($B280,'Slutlig allokering kvv'!$B$1:$BC$479,MATCH(E$1,'Slutlig allokering kvv'!$B$1:$AU$1,0),FALSE))</f>
        <v>0.46024869933964063</v>
      </c>
      <c r="F280" s="121">
        <f>IF(ISERROR(1/VLOOKUP($B280,Kraftvärmeprod!$B$1:$AV$479,MATCH("Producerad elenergi i kraftvärmeverk (GWh)",Kraftvärmeprod!$B$1:$AV$1,0),FALSE)),"",VLOOKUP($B280,Kraftvärmeprod!$B$1:$AV$479,MATCH("Producerad elenergi i kraftvärmeverk (GWh)",Kraftvärmeprod!$B$1:$AV$1,0),FALSE))</f>
        <v>1595.8779999999999</v>
      </c>
      <c r="G280" s="121">
        <f>IF(ISERROR(1/VLOOKUP($B280,Miljö!$B$1:$T$480,MATCH("Såld mängd produktionsspecifik fjärrvärme (GWh)",Miljö!$B$1:$T$1,0),FALSE)),"",VLOOKUP($B280,Miljö!$B$1:$T$480,MATCH("Såld mängd produktionsspecifik fjärrvärme (GWh)",Miljö!$B$1:$T$1,0),FALSE))</f>
        <v>3642.2</v>
      </c>
      <c r="J280" s="121" t="str">
        <f t="shared" si="4"/>
        <v>Stockholm Exergi AB</v>
      </c>
    </row>
    <row r="281" spans="1:10" x14ac:dyDescent="0.25">
      <c r="A281" s="137" t="s">
        <v>573</v>
      </c>
      <c r="B281" s="137" t="s">
        <v>577</v>
      </c>
      <c r="D281" s="121" t="str">
        <f>IF(ISERROR(1/VLOOKUP($B281,Kraftvärmeprod!$B$1:$D$479,MATCH("Total värmeproduktion i kraftvärmeverk i kombinerad drift (GWh)",Kraftvärmeprod!$B$1:$AV$1,0),FALSE)),"Ej kraftvärme","Alternativproduktionsmetoden")</f>
        <v>Ej kraftvärme</v>
      </c>
      <c r="E281" s="172" t="str">
        <f>IF(ISERROR(1/VLOOKUP($B281,Kraftvärmeprod!$B$1:$BD$479,MATCH("Total värmeproduktion i kraftvärmeverk i kombinerad drift (GWh)",Kraftvärmeprod!$B$1:$AV$1,0),FALSE)),"",VLOOKUP($B281,'Slutlig allokering kvv'!$B$1:$BC$479,MATCH(E$1,'Slutlig allokering kvv'!$B$1:$AU$1,0),FALSE))</f>
        <v/>
      </c>
      <c r="F281" s="121" t="str">
        <f>IF(ISERROR(1/VLOOKUP($B281,Kraftvärmeprod!$B$1:$AV$479,MATCH("Producerad elenergi i kraftvärmeverk (GWh)",Kraftvärmeprod!$B$1:$AV$1,0),FALSE)),"",VLOOKUP($B281,Kraftvärmeprod!$B$1:$AV$479,MATCH("Producerad elenergi i kraftvärmeverk (GWh)",Kraftvärmeprod!$B$1:$AV$1,0),FALSE))</f>
        <v/>
      </c>
      <c r="G281" s="121" t="str">
        <f>IF(ISERROR(1/VLOOKUP($B281,Miljö!$B$1:$T$480,MATCH("Såld mängd produktionsspecifik fjärrvärme (GWh)",Miljö!$B$1:$T$1,0),FALSE)),"",VLOOKUP($B281,Miljö!$B$1:$T$480,MATCH("Såld mängd produktionsspecifik fjärrvärme (GWh)",Miljö!$B$1:$T$1,0),FALSE))</f>
        <v/>
      </c>
      <c r="J281" s="121" t="str">
        <f t="shared" si="4"/>
        <v>Stockholm Exergi AB</v>
      </c>
    </row>
    <row r="282" spans="1:10" x14ac:dyDescent="0.25">
      <c r="A282" s="137" t="s">
        <v>573</v>
      </c>
      <c r="B282" s="137" t="s">
        <v>578</v>
      </c>
      <c r="D282" s="121" t="str">
        <f>IF(ISERROR(1/VLOOKUP($B282,Kraftvärmeprod!$B$1:$D$479,MATCH("Total värmeproduktion i kraftvärmeverk i kombinerad drift (GWh)",Kraftvärmeprod!$B$1:$AV$1,0),FALSE)),"Ej kraftvärme","Alternativproduktionsmetoden")</f>
        <v>Ej kraftvärme</v>
      </c>
      <c r="E282" s="172" t="str">
        <f>IF(ISERROR(1/VLOOKUP($B282,Kraftvärmeprod!$B$1:$BD$479,MATCH("Total värmeproduktion i kraftvärmeverk i kombinerad drift (GWh)",Kraftvärmeprod!$B$1:$AV$1,0),FALSE)),"",VLOOKUP($B282,'Slutlig allokering kvv'!$B$1:$BC$479,MATCH(E$1,'Slutlig allokering kvv'!$B$1:$AU$1,0),FALSE))</f>
        <v/>
      </c>
      <c r="F282" s="121" t="str">
        <f>IF(ISERROR(1/VLOOKUP($B282,Kraftvärmeprod!$B$1:$AV$479,MATCH("Producerad elenergi i kraftvärmeverk (GWh)",Kraftvärmeprod!$B$1:$AV$1,0),FALSE)),"",VLOOKUP($B282,Kraftvärmeprod!$B$1:$AV$479,MATCH("Producerad elenergi i kraftvärmeverk (GWh)",Kraftvärmeprod!$B$1:$AV$1,0),FALSE))</f>
        <v/>
      </c>
      <c r="G282" s="121" t="str">
        <f>IF(ISERROR(1/VLOOKUP($B282,Miljö!$B$1:$T$480,MATCH("Såld mängd produktionsspecifik fjärrvärme (GWh)",Miljö!$B$1:$T$1,0),FALSE)),"",VLOOKUP($B282,Miljö!$B$1:$T$480,MATCH("Såld mängd produktionsspecifik fjärrvärme (GWh)",Miljö!$B$1:$T$1,0),FALSE))</f>
        <v/>
      </c>
      <c r="J282" s="121" t="str">
        <f t="shared" si="4"/>
        <v>Stockholm Exergi AB</v>
      </c>
    </row>
    <row r="283" spans="1:10" x14ac:dyDescent="0.25">
      <c r="A283" s="137" t="s">
        <v>573</v>
      </c>
      <c r="B283" s="137" t="s">
        <v>579</v>
      </c>
      <c r="D283" s="121" t="str">
        <f>IF(ISERROR(1/VLOOKUP($B283,Kraftvärmeprod!$B$1:$D$479,MATCH("Total värmeproduktion i kraftvärmeverk i kombinerad drift (GWh)",Kraftvärmeprod!$B$1:$AV$1,0),FALSE)),"Ej kraftvärme","Alternativproduktionsmetoden")</f>
        <v>Ej kraftvärme</v>
      </c>
      <c r="E283" s="172" t="str">
        <f>IF(ISERROR(1/VLOOKUP($B283,Kraftvärmeprod!$B$1:$BD$479,MATCH("Total värmeproduktion i kraftvärmeverk i kombinerad drift (GWh)",Kraftvärmeprod!$B$1:$AV$1,0),FALSE)),"",VLOOKUP($B283,'Slutlig allokering kvv'!$B$1:$BC$479,MATCH(E$1,'Slutlig allokering kvv'!$B$1:$AU$1,0),FALSE))</f>
        <v/>
      </c>
      <c r="F283" s="121" t="str">
        <f>IF(ISERROR(1/VLOOKUP($B283,Kraftvärmeprod!$B$1:$AV$479,MATCH("Producerad elenergi i kraftvärmeverk (GWh)",Kraftvärmeprod!$B$1:$AV$1,0),FALSE)),"",VLOOKUP($B283,Kraftvärmeprod!$B$1:$AV$479,MATCH("Producerad elenergi i kraftvärmeverk (GWh)",Kraftvärmeprod!$B$1:$AV$1,0),FALSE))</f>
        <v/>
      </c>
      <c r="G283" s="121" t="str">
        <f>IF(ISERROR(1/VLOOKUP($B283,Miljö!$B$1:$T$480,MATCH("Såld mängd produktionsspecifik fjärrvärme (GWh)",Miljö!$B$1:$T$1,0),FALSE)),"",VLOOKUP($B283,Miljö!$B$1:$T$480,MATCH("Såld mängd produktionsspecifik fjärrvärme (GWh)",Miljö!$B$1:$T$1,0),FALSE))</f>
        <v/>
      </c>
      <c r="J283" s="121" t="str">
        <f t="shared" si="4"/>
        <v>Stockholm Exergi AB</v>
      </c>
    </row>
    <row r="284" spans="1:10" x14ac:dyDescent="0.25">
      <c r="A284" s="137" t="s">
        <v>573</v>
      </c>
      <c r="B284" s="137" t="s">
        <v>580</v>
      </c>
      <c r="D284" s="121" t="str">
        <f>IF(ISERROR(1/VLOOKUP($B284,Kraftvärmeprod!$B$1:$D$479,MATCH("Total värmeproduktion i kraftvärmeverk i kombinerad drift (GWh)",Kraftvärmeprod!$B$1:$AV$1,0),FALSE)),"Ej kraftvärme","Alternativproduktionsmetoden")</f>
        <v>Ej kraftvärme</v>
      </c>
      <c r="E284" s="172" t="str">
        <f>IF(ISERROR(1/VLOOKUP($B284,Kraftvärmeprod!$B$1:$BD$479,MATCH("Total värmeproduktion i kraftvärmeverk i kombinerad drift (GWh)",Kraftvärmeprod!$B$1:$AV$1,0),FALSE)),"",VLOOKUP($B284,'Slutlig allokering kvv'!$B$1:$BC$479,MATCH(E$1,'Slutlig allokering kvv'!$B$1:$AU$1,0),FALSE))</f>
        <v/>
      </c>
      <c r="F284" s="121" t="str">
        <f>IF(ISERROR(1/VLOOKUP($B284,Kraftvärmeprod!$B$1:$AV$479,MATCH("Producerad elenergi i kraftvärmeverk (GWh)",Kraftvärmeprod!$B$1:$AV$1,0),FALSE)),"",VLOOKUP($B284,Kraftvärmeprod!$B$1:$AV$479,MATCH("Producerad elenergi i kraftvärmeverk (GWh)",Kraftvärmeprod!$B$1:$AV$1,0),FALSE))</f>
        <v/>
      </c>
      <c r="G284" s="121" t="str">
        <f>IF(ISERROR(1/VLOOKUP($B284,Miljö!$B$1:$T$480,MATCH("Såld mängd produktionsspecifik fjärrvärme (GWh)",Miljö!$B$1:$T$1,0),FALSE)),"",VLOOKUP($B284,Miljö!$B$1:$T$480,MATCH("Såld mängd produktionsspecifik fjärrvärme (GWh)",Miljö!$B$1:$T$1,0),FALSE))</f>
        <v/>
      </c>
      <c r="J284" s="121" t="str">
        <f t="shared" si="4"/>
        <v>Stockholm Exergi AB</v>
      </c>
    </row>
    <row r="285" spans="1:10" x14ac:dyDescent="0.25">
      <c r="A285" s="137" t="s">
        <v>573</v>
      </c>
      <c r="B285" s="137" t="s">
        <v>581</v>
      </c>
      <c r="D285" s="121" t="str">
        <f>IF(ISERROR(1/VLOOKUP($B285,Kraftvärmeprod!$B$1:$D$479,MATCH("Total värmeproduktion i kraftvärmeverk i kombinerad drift (GWh)",Kraftvärmeprod!$B$1:$AV$1,0),FALSE)),"Ej kraftvärme","Alternativproduktionsmetoden")</f>
        <v>Ej kraftvärme</v>
      </c>
      <c r="E285" s="172" t="str">
        <f>IF(ISERROR(1/VLOOKUP($B285,Kraftvärmeprod!$B$1:$BD$479,MATCH("Total värmeproduktion i kraftvärmeverk i kombinerad drift (GWh)",Kraftvärmeprod!$B$1:$AV$1,0),FALSE)),"",VLOOKUP($B285,'Slutlig allokering kvv'!$B$1:$BC$479,MATCH(E$1,'Slutlig allokering kvv'!$B$1:$AU$1,0),FALSE))</f>
        <v/>
      </c>
      <c r="F285" s="121" t="str">
        <f>IF(ISERROR(1/VLOOKUP($B285,Kraftvärmeprod!$B$1:$AV$479,MATCH("Producerad elenergi i kraftvärmeverk (GWh)",Kraftvärmeprod!$B$1:$AV$1,0),FALSE)),"",VLOOKUP($B285,Kraftvärmeprod!$B$1:$AV$479,MATCH("Producerad elenergi i kraftvärmeverk (GWh)",Kraftvärmeprod!$B$1:$AV$1,0),FALSE))</f>
        <v/>
      </c>
      <c r="G285" s="121" t="str">
        <f>IF(ISERROR(1/VLOOKUP($B285,Miljö!$B$1:$T$480,MATCH("Såld mängd produktionsspecifik fjärrvärme (GWh)",Miljö!$B$1:$T$1,0),FALSE)),"",VLOOKUP($B285,Miljö!$B$1:$T$480,MATCH("Såld mängd produktionsspecifik fjärrvärme (GWh)",Miljö!$B$1:$T$1,0),FALSE))</f>
        <v/>
      </c>
      <c r="J285" s="121" t="str">
        <f t="shared" si="4"/>
        <v>Stockholm Exergi AB</v>
      </c>
    </row>
    <row r="286" spans="1:10" x14ac:dyDescent="0.25">
      <c r="A286" s="137" t="s">
        <v>573</v>
      </c>
      <c r="B286" s="137" t="s">
        <v>582</v>
      </c>
      <c r="D286" s="121" t="str">
        <f>IF(ISERROR(1/VLOOKUP($B286,Kraftvärmeprod!$B$1:$D$479,MATCH("Total värmeproduktion i kraftvärmeverk i kombinerad drift (GWh)",Kraftvärmeprod!$B$1:$AV$1,0),FALSE)),"Ej kraftvärme","Alternativproduktionsmetoden")</f>
        <v>Ej kraftvärme</v>
      </c>
      <c r="E286" s="172" t="str">
        <f>IF(ISERROR(1/VLOOKUP($B286,Kraftvärmeprod!$B$1:$BD$479,MATCH("Total värmeproduktion i kraftvärmeverk i kombinerad drift (GWh)",Kraftvärmeprod!$B$1:$AV$1,0),FALSE)),"",VLOOKUP($B286,'Slutlig allokering kvv'!$B$1:$BC$479,MATCH(E$1,'Slutlig allokering kvv'!$B$1:$AU$1,0),FALSE))</f>
        <v/>
      </c>
      <c r="F286" s="121" t="str">
        <f>IF(ISERROR(1/VLOOKUP($B286,Kraftvärmeprod!$B$1:$AV$479,MATCH("Producerad elenergi i kraftvärmeverk (GWh)",Kraftvärmeprod!$B$1:$AV$1,0),FALSE)),"",VLOOKUP($B286,Kraftvärmeprod!$B$1:$AV$479,MATCH("Producerad elenergi i kraftvärmeverk (GWh)",Kraftvärmeprod!$B$1:$AV$1,0),FALSE))</f>
        <v/>
      </c>
      <c r="G286" s="121" t="str">
        <f>IF(ISERROR(1/VLOOKUP($B286,Miljö!$B$1:$T$480,MATCH("Såld mängd produktionsspecifik fjärrvärme (GWh)",Miljö!$B$1:$T$1,0),FALSE)),"",VLOOKUP($B286,Miljö!$B$1:$T$480,MATCH("Såld mängd produktionsspecifik fjärrvärme (GWh)",Miljö!$B$1:$T$1,0),FALSE))</f>
        <v/>
      </c>
      <c r="J286" s="121" t="str">
        <f t="shared" si="4"/>
        <v>Stockholm Exergi AB</v>
      </c>
    </row>
    <row r="287" spans="1:10" x14ac:dyDescent="0.25">
      <c r="A287" s="137" t="s">
        <v>573</v>
      </c>
      <c r="B287" s="137" t="s">
        <v>583</v>
      </c>
      <c r="D287" s="121" t="str">
        <f>IF(ISERROR(1/VLOOKUP($B287,Kraftvärmeprod!$B$1:$D$479,MATCH("Total värmeproduktion i kraftvärmeverk i kombinerad drift (GWh)",Kraftvärmeprod!$B$1:$AV$1,0),FALSE)),"Ej kraftvärme","Alternativproduktionsmetoden")</f>
        <v>Ej kraftvärme</v>
      </c>
      <c r="E287" s="172" t="str">
        <f>IF(ISERROR(1/VLOOKUP($B287,Kraftvärmeprod!$B$1:$BD$479,MATCH("Total värmeproduktion i kraftvärmeverk i kombinerad drift (GWh)",Kraftvärmeprod!$B$1:$AV$1,0),FALSE)),"",VLOOKUP($B287,'Slutlig allokering kvv'!$B$1:$BC$479,MATCH(E$1,'Slutlig allokering kvv'!$B$1:$AU$1,0),FALSE))</f>
        <v/>
      </c>
      <c r="F287" s="121" t="str">
        <f>IF(ISERROR(1/VLOOKUP($B287,Kraftvärmeprod!$B$1:$AV$479,MATCH("Producerad elenergi i kraftvärmeverk (GWh)",Kraftvärmeprod!$B$1:$AV$1,0),FALSE)),"",VLOOKUP($B287,Kraftvärmeprod!$B$1:$AV$479,MATCH("Producerad elenergi i kraftvärmeverk (GWh)",Kraftvärmeprod!$B$1:$AV$1,0),FALSE))</f>
        <v/>
      </c>
      <c r="G287" s="121" t="str">
        <f>IF(ISERROR(1/VLOOKUP($B287,Miljö!$B$1:$T$480,MATCH("Såld mängd produktionsspecifik fjärrvärme (GWh)",Miljö!$B$1:$T$1,0),FALSE)),"",VLOOKUP($B287,Miljö!$B$1:$T$480,MATCH("Såld mängd produktionsspecifik fjärrvärme (GWh)",Miljö!$B$1:$T$1,0),FALSE))</f>
        <v/>
      </c>
      <c r="J287" s="121" t="str">
        <f t="shared" si="4"/>
        <v>Stockholm Exergi AB</v>
      </c>
    </row>
    <row r="288" spans="1:10" x14ac:dyDescent="0.25">
      <c r="A288" s="137" t="s">
        <v>573</v>
      </c>
      <c r="B288" s="137" t="s">
        <v>584</v>
      </c>
      <c r="D288" s="121" t="str">
        <f>IF(ISERROR(1/VLOOKUP($B288,Kraftvärmeprod!$B$1:$D$479,MATCH("Total värmeproduktion i kraftvärmeverk i kombinerad drift (GWh)",Kraftvärmeprod!$B$1:$AV$1,0),FALSE)),"Ej kraftvärme","Alternativproduktionsmetoden")</f>
        <v>Ej kraftvärme</v>
      </c>
      <c r="E288" s="172" t="str">
        <f>IF(ISERROR(1/VLOOKUP($B288,Kraftvärmeprod!$B$1:$BD$479,MATCH("Total värmeproduktion i kraftvärmeverk i kombinerad drift (GWh)",Kraftvärmeprod!$B$1:$AV$1,0),FALSE)),"",VLOOKUP($B288,'Slutlig allokering kvv'!$B$1:$BC$479,MATCH(E$1,'Slutlig allokering kvv'!$B$1:$AU$1,0),FALSE))</f>
        <v/>
      </c>
      <c r="F288" s="121" t="str">
        <f>IF(ISERROR(1/VLOOKUP($B288,Kraftvärmeprod!$B$1:$AV$479,MATCH("Producerad elenergi i kraftvärmeverk (GWh)",Kraftvärmeprod!$B$1:$AV$1,0),FALSE)),"",VLOOKUP($B288,Kraftvärmeprod!$B$1:$AV$479,MATCH("Producerad elenergi i kraftvärmeverk (GWh)",Kraftvärmeprod!$B$1:$AV$1,0),FALSE))</f>
        <v/>
      </c>
      <c r="G288" s="121" t="str">
        <f>IF(ISERROR(1/VLOOKUP($B288,Miljö!$B$1:$T$480,MATCH("Såld mängd produktionsspecifik fjärrvärme (GWh)",Miljö!$B$1:$T$1,0),FALSE)),"",VLOOKUP($B288,Miljö!$B$1:$T$480,MATCH("Såld mängd produktionsspecifik fjärrvärme (GWh)",Miljö!$B$1:$T$1,0),FALSE))</f>
        <v/>
      </c>
      <c r="J288" s="121" t="str">
        <f t="shared" si="4"/>
        <v>Stockholm Exergi AB</v>
      </c>
    </row>
    <row r="289" spans="1:10" x14ac:dyDescent="0.25">
      <c r="A289" s="137" t="s">
        <v>585</v>
      </c>
      <c r="B289" s="137" t="s">
        <v>586</v>
      </c>
      <c r="D289" s="121" t="str">
        <f>IF(ISERROR(1/VLOOKUP($B289,Kraftvärmeprod!$B$1:$D$479,MATCH("Total värmeproduktion i kraftvärmeverk i kombinerad drift (GWh)",Kraftvärmeprod!$B$1:$AV$1,0),FALSE)),"Ej kraftvärme","Alternativproduktionsmetoden")</f>
        <v>Ej kraftvärme</v>
      </c>
      <c r="E289" s="172" t="str">
        <f>IF(ISERROR(1/VLOOKUP($B289,Kraftvärmeprod!$B$1:$BD$479,MATCH("Total värmeproduktion i kraftvärmeverk i kombinerad drift (GWh)",Kraftvärmeprod!$B$1:$AV$1,0),FALSE)),"",VLOOKUP($B289,'Slutlig allokering kvv'!$B$1:$BC$479,MATCH(E$1,'Slutlig allokering kvv'!$B$1:$AU$1,0),FALSE))</f>
        <v/>
      </c>
      <c r="F289" s="121" t="str">
        <f>IF(ISERROR(1/VLOOKUP($B289,Kraftvärmeprod!$B$1:$AV$479,MATCH("Producerad elenergi i kraftvärmeverk (GWh)",Kraftvärmeprod!$B$1:$AV$1,0),FALSE)),"",VLOOKUP($B289,Kraftvärmeprod!$B$1:$AV$479,MATCH("Producerad elenergi i kraftvärmeverk (GWh)",Kraftvärmeprod!$B$1:$AV$1,0),FALSE))</f>
        <v/>
      </c>
      <c r="G289" s="121" t="str">
        <f>IF(ISERROR(1/VLOOKUP($B289,Miljö!$B$1:$T$480,MATCH("Såld mängd produktionsspecifik fjärrvärme (GWh)",Miljö!$B$1:$T$1,0),FALSE)),"",VLOOKUP($B289,Miljö!$B$1:$T$480,MATCH("Såld mängd produktionsspecifik fjärrvärme (GWh)",Miljö!$B$1:$T$1,0),FALSE))</f>
        <v/>
      </c>
      <c r="J289" s="121" t="str">
        <f t="shared" si="4"/>
        <v>Sundsvall Energi AB</v>
      </c>
    </row>
    <row r="290" spans="1:10" x14ac:dyDescent="0.25">
      <c r="A290" s="137" t="s">
        <v>585</v>
      </c>
      <c r="B290" s="137" t="s">
        <v>587</v>
      </c>
      <c r="D290" s="121" t="str">
        <f>IF(ISERROR(1/VLOOKUP($B290,Kraftvärmeprod!$B$1:$D$479,MATCH("Total värmeproduktion i kraftvärmeverk i kombinerad drift (GWh)",Kraftvärmeprod!$B$1:$AV$1,0),FALSE)),"Ej kraftvärme","Alternativproduktionsmetoden")</f>
        <v>Ej kraftvärme</v>
      </c>
      <c r="E290" s="172" t="str">
        <f>IF(ISERROR(1/VLOOKUP($B290,Kraftvärmeprod!$B$1:$BD$479,MATCH("Total värmeproduktion i kraftvärmeverk i kombinerad drift (GWh)",Kraftvärmeprod!$B$1:$AV$1,0),FALSE)),"",VLOOKUP($B290,'Slutlig allokering kvv'!$B$1:$BC$479,MATCH(E$1,'Slutlig allokering kvv'!$B$1:$AU$1,0),FALSE))</f>
        <v/>
      </c>
      <c r="F290" s="121" t="str">
        <f>IF(ISERROR(1/VLOOKUP($B290,Kraftvärmeprod!$B$1:$AV$479,MATCH("Producerad elenergi i kraftvärmeverk (GWh)",Kraftvärmeprod!$B$1:$AV$1,0),FALSE)),"",VLOOKUP($B290,Kraftvärmeprod!$B$1:$AV$479,MATCH("Producerad elenergi i kraftvärmeverk (GWh)",Kraftvärmeprod!$B$1:$AV$1,0),FALSE))</f>
        <v/>
      </c>
      <c r="G290" s="121" t="str">
        <f>IF(ISERROR(1/VLOOKUP($B290,Miljö!$B$1:$T$480,MATCH("Såld mängd produktionsspecifik fjärrvärme (GWh)",Miljö!$B$1:$T$1,0),FALSE)),"",VLOOKUP($B290,Miljö!$B$1:$T$480,MATCH("Såld mängd produktionsspecifik fjärrvärme (GWh)",Miljö!$B$1:$T$1,0),FALSE))</f>
        <v/>
      </c>
      <c r="J290" s="121" t="str">
        <f t="shared" si="4"/>
        <v>Sundsvall Energi AB</v>
      </c>
    </row>
    <row r="291" spans="1:10" x14ac:dyDescent="0.25">
      <c r="A291" s="137" t="s">
        <v>585</v>
      </c>
      <c r="B291" s="137" t="s">
        <v>588</v>
      </c>
      <c r="D291" s="121" t="str">
        <f>IF(ISERROR(1/VLOOKUP($B291,Kraftvärmeprod!$B$1:$D$479,MATCH("Total värmeproduktion i kraftvärmeverk i kombinerad drift (GWh)",Kraftvärmeprod!$B$1:$AV$1,0),FALSE)),"Ej kraftvärme","Alternativproduktionsmetoden")</f>
        <v>Alternativproduktionsmetoden</v>
      </c>
      <c r="E291" s="172">
        <f>IF(ISERROR(1/VLOOKUP($B291,Kraftvärmeprod!$B$1:$BD$479,MATCH("Total värmeproduktion i kraftvärmeverk i kombinerad drift (GWh)",Kraftvärmeprod!$B$1:$AV$1,0),FALSE)),"",VLOOKUP($B291,'Slutlig allokering kvv'!$B$1:$BC$479,MATCH(E$1,'Slutlig allokering kvv'!$B$1:$AU$1,0),FALSE))</f>
        <v>0.54314846188512966</v>
      </c>
      <c r="F291" s="121">
        <f>IF(ISERROR(1/VLOOKUP($B291,Kraftvärmeprod!$B$1:$AV$479,MATCH("Producerad elenergi i kraftvärmeverk (GWh)",Kraftvärmeprod!$B$1:$AV$1,0),FALSE)),"",VLOOKUP($B291,Kraftvärmeprod!$B$1:$AV$479,MATCH("Producerad elenergi i kraftvärmeverk (GWh)",Kraftvärmeprod!$B$1:$AV$1,0),FALSE))</f>
        <v>40.319000000000003</v>
      </c>
      <c r="G291" s="121">
        <f>IF(ISERROR(1/VLOOKUP($B291,Miljö!$B$1:$T$480,MATCH("Såld mängd produktionsspecifik fjärrvärme (GWh)",Miljö!$B$1:$T$1,0),FALSE)),"",VLOOKUP($B291,Miljö!$B$1:$T$480,MATCH("Såld mängd produktionsspecifik fjärrvärme (GWh)",Miljö!$B$1:$T$1,0),FALSE))</f>
        <v>76.2</v>
      </c>
      <c r="J291" s="121" t="str">
        <f t="shared" si="4"/>
        <v>Sundsvall Energi AB</v>
      </c>
    </row>
    <row r="292" spans="1:10" x14ac:dyDescent="0.25">
      <c r="A292" s="137" t="s">
        <v>585</v>
      </c>
      <c r="B292" s="137" t="s">
        <v>589</v>
      </c>
      <c r="D292" s="121" t="str">
        <f>IF(ISERROR(1/VLOOKUP($B292,Kraftvärmeprod!$B$1:$D$479,MATCH("Total värmeproduktion i kraftvärmeverk i kombinerad drift (GWh)",Kraftvärmeprod!$B$1:$AV$1,0),FALSE)),"Ej kraftvärme","Alternativproduktionsmetoden")</f>
        <v>Alternativproduktionsmetoden</v>
      </c>
      <c r="E292" s="172">
        <f>IF(ISERROR(1/VLOOKUP($B292,Kraftvärmeprod!$B$1:$BD$479,MATCH("Total värmeproduktion i kraftvärmeverk i kombinerad drift (GWh)",Kraftvärmeprod!$B$1:$AV$1,0),FALSE)),"",VLOOKUP($B292,'Slutlig allokering kvv'!$B$1:$BC$479,MATCH(E$1,'Slutlig allokering kvv'!$B$1:$AU$1,0),FALSE))</f>
        <v>0.5689796259185036</v>
      </c>
      <c r="F292" s="121">
        <f>IF(ISERROR(1/VLOOKUP($B292,Kraftvärmeprod!$B$1:$AV$479,MATCH("Producerad elenergi i kraftvärmeverk (GWh)",Kraftvärmeprod!$B$1:$AV$1,0),FALSE)),"",VLOOKUP($B292,Kraftvärmeprod!$B$1:$AV$479,MATCH("Producerad elenergi i kraftvärmeverk (GWh)",Kraftvärmeprod!$B$1:$AV$1,0),FALSE))</f>
        <v>4.0620000000000003</v>
      </c>
      <c r="G292" s="121" t="str">
        <f>IF(ISERROR(1/VLOOKUP($B292,Miljö!$B$1:$T$480,MATCH("Såld mängd produktionsspecifik fjärrvärme (GWh)",Miljö!$B$1:$T$1,0),FALSE)),"",VLOOKUP($B292,Miljö!$B$1:$T$480,MATCH("Såld mängd produktionsspecifik fjärrvärme (GWh)",Miljö!$B$1:$T$1,0),FALSE))</f>
        <v/>
      </c>
      <c r="J292" s="121" t="str">
        <f t="shared" si="4"/>
        <v>Sundsvall Energi AB</v>
      </c>
    </row>
    <row r="293" spans="1:10" x14ac:dyDescent="0.25">
      <c r="A293" s="137" t="s">
        <v>585</v>
      </c>
      <c r="B293" s="137" t="s">
        <v>590</v>
      </c>
      <c r="D293" s="121" t="str">
        <f>IF(ISERROR(1/VLOOKUP($B293,Kraftvärmeprod!$B$1:$D$479,MATCH("Total värmeproduktion i kraftvärmeverk i kombinerad drift (GWh)",Kraftvärmeprod!$B$1:$AV$1,0),FALSE)),"Ej kraftvärme","Alternativproduktionsmetoden")</f>
        <v>Ej kraftvärme</v>
      </c>
      <c r="E293" s="172" t="str">
        <f>IF(ISERROR(1/VLOOKUP($B293,Kraftvärmeprod!$B$1:$BD$479,MATCH("Total värmeproduktion i kraftvärmeverk i kombinerad drift (GWh)",Kraftvärmeprod!$B$1:$AV$1,0),FALSE)),"",VLOOKUP($B293,'Slutlig allokering kvv'!$B$1:$BC$479,MATCH(E$1,'Slutlig allokering kvv'!$B$1:$AU$1,0),FALSE))</f>
        <v/>
      </c>
      <c r="F293" s="121" t="str">
        <f>IF(ISERROR(1/VLOOKUP($B293,Kraftvärmeprod!$B$1:$AV$479,MATCH("Producerad elenergi i kraftvärmeverk (GWh)",Kraftvärmeprod!$B$1:$AV$1,0),FALSE)),"",VLOOKUP($B293,Kraftvärmeprod!$B$1:$AV$479,MATCH("Producerad elenergi i kraftvärmeverk (GWh)",Kraftvärmeprod!$B$1:$AV$1,0),FALSE))</f>
        <v/>
      </c>
      <c r="G293" s="121" t="str">
        <f>IF(ISERROR(1/VLOOKUP($B293,Miljö!$B$1:$T$480,MATCH("Såld mängd produktionsspecifik fjärrvärme (GWh)",Miljö!$B$1:$T$1,0),FALSE)),"",VLOOKUP($B293,Miljö!$B$1:$T$480,MATCH("Såld mängd produktionsspecifik fjärrvärme (GWh)",Miljö!$B$1:$T$1,0),FALSE))</f>
        <v/>
      </c>
      <c r="J293" s="121" t="str">
        <f t="shared" si="4"/>
        <v>Sundsvall Energi AB</v>
      </c>
    </row>
    <row r="294" spans="1:10" x14ac:dyDescent="0.25">
      <c r="A294" s="137" t="s">
        <v>49</v>
      </c>
      <c r="B294" s="141" t="s">
        <v>50</v>
      </c>
      <c r="D294" s="121" t="str">
        <f>IF(ISERROR(1/VLOOKUP($B294,Kraftvärmeprod!$B$1:$D$479,MATCH("Total värmeproduktion i kraftvärmeverk i kombinerad drift (GWh)",Kraftvärmeprod!$B$1:$AV$1,0),FALSE)),"Ej kraftvärme","Alternativproduktionsmetoden")</f>
        <v>Ej kraftvärme</v>
      </c>
      <c r="E294" s="172" t="str">
        <f>IF(ISERROR(1/VLOOKUP($B294,Kraftvärmeprod!$B$1:$BD$479,MATCH("Total värmeproduktion i kraftvärmeverk i kombinerad drift (GWh)",Kraftvärmeprod!$B$1:$AV$1,0),FALSE)),"",VLOOKUP($B294,'Slutlig allokering kvv'!$B$1:$BC$479,MATCH(E$1,'Slutlig allokering kvv'!$B$1:$AU$1,0),FALSE))</f>
        <v/>
      </c>
      <c r="F294" s="121" t="str">
        <f>IF(ISERROR(1/VLOOKUP($B294,Kraftvärmeprod!$B$1:$AV$479,MATCH("Producerad elenergi i kraftvärmeverk (GWh)",Kraftvärmeprod!$B$1:$AV$1,0),FALSE)),"",VLOOKUP($B294,Kraftvärmeprod!$B$1:$AV$479,MATCH("Producerad elenergi i kraftvärmeverk (GWh)",Kraftvärmeprod!$B$1:$AV$1,0),FALSE))</f>
        <v/>
      </c>
      <c r="G294" s="121" t="str">
        <f>IF(ISERROR(1/VLOOKUP($B294,Miljö!$B$1:$T$480,MATCH("Såld mängd produktionsspecifik fjärrvärme (GWh)",Miljö!$B$1:$T$1,0),FALSE)),"",VLOOKUP($B294,Miljö!$B$1:$T$480,MATCH("Såld mängd produktionsspecifik fjärrvärme (GWh)",Miljö!$B$1:$T$1,0),FALSE))</f>
        <v/>
      </c>
      <c r="J294" s="121" t="str">
        <f t="shared" si="4"/>
        <v>Söderenergi AB</v>
      </c>
    </row>
    <row r="295" spans="1:10" x14ac:dyDescent="0.25">
      <c r="A295" s="137" t="s">
        <v>591</v>
      </c>
      <c r="B295" s="137" t="s">
        <v>592</v>
      </c>
      <c r="D295" s="121" t="str">
        <f>IF(ISERROR(1/VLOOKUP($B295,Kraftvärmeprod!$B$1:$D$479,MATCH("Total värmeproduktion i kraftvärmeverk i kombinerad drift (GWh)",Kraftvärmeprod!$B$1:$AV$1,0),FALSE)),"Ej kraftvärme","Alternativproduktionsmetoden")</f>
        <v>Ej kraftvärme</v>
      </c>
      <c r="E295" s="172" t="str">
        <f>IF(ISERROR(1/VLOOKUP($B295,Kraftvärmeprod!$B$1:$BD$479,MATCH("Total värmeproduktion i kraftvärmeverk i kombinerad drift (GWh)",Kraftvärmeprod!$B$1:$AV$1,0),FALSE)),"",VLOOKUP($B295,'Slutlig allokering kvv'!$B$1:$BC$479,MATCH(E$1,'Slutlig allokering kvv'!$B$1:$AU$1,0),FALSE))</f>
        <v/>
      </c>
      <c r="F295" s="121" t="str">
        <f>IF(ISERROR(1/VLOOKUP($B295,Kraftvärmeprod!$B$1:$AV$479,MATCH("Producerad elenergi i kraftvärmeverk (GWh)",Kraftvärmeprod!$B$1:$AV$1,0),FALSE)),"",VLOOKUP($B295,Kraftvärmeprod!$B$1:$AV$479,MATCH("Producerad elenergi i kraftvärmeverk (GWh)",Kraftvärmeprod!$B$1:$AV$1,0),FALSE))</f>
        <v/>
      </c>
      <c r="G295" s="121" t="str">
        <f>IF(ISERROR(1/VLOOKUP($B295,Miljö!$B$1:$T$480,MATCH("Såld mängd produktionsspecifik fjärrvärme (GWh)",Miljö!$B$1:$T$1,0),FALSE)),"",VLOOKUP($B295,Miljö!$B$1:$T$480,MATCH("Såld mängd produktionsspecifik fjärrvärme (GWh)",Miljö!$B$1:$T$1,0),FALSE))</f>
        <v/>
      </c>
      <c r="J295" s="121" t="str">
        <f t="shared" si="4"/>
        <v>Söderhamn Nära AB</v>
      </c>
    </row>
    <row r="296" spans="1:10" x14ac:dyDescent="0.25">
      <c r="A296" s="137" t="s">
        <v>591</v>
      </c>
      <c r="B296" s="137" t="s">
        <v>594</v>
      </c>
      <c r="D296" s="121" t="str">
        <f>IF(ISERROR(1/VLOOKUP($B296,Kraftvärmeprod!$B$1:$D$479,MATCH("Total värmeproduktion i kraftvärmeverk i kombinerad drift (GWh)",Kraftvärmeprod!$B$1:$AV$1,0),FALSE)),"Ej kraftvärme","Alternativproduktionsmetoden")</f>
        <v>Ej kraftvärme</v>
      </c>
      <c r="E296" s="172" t="str">
        <f>IF(ISERROR(1/VLOOKUP($B296,Kraftvärmeprod!$B$1:$BD$479,MATCH("Total värmeproduktion i kraftvärmeverk i kombinerad drift (GWh)",Kraftvärmeprod!$B$1:$AV$1,0),FALSE)),"",VLOOKUP($B296,'Slutlig allokering kvv'!$B$1:$BC$479,MATCH(E$1,'Slutlig allokering kvv'!$B$1:$AU$1,0),FALSE))</f>
        <v/>
      </c>
      <c r="F296" s="121" t="str">
        <f>IF(ISERROR(1/VLOOKUP($B296,Kraftvärmeprod!$B$1:$AV$479,MATCH("Producerad elenergi i kraftvärmeverk (GWh)",Kraftvärmeprod!$B$1:$AV$1,0),FALSE)),"",VLOOKUP($B296,Kraftvärmeprod!$B$1:$AV$479,MATCH("Producerad elenergi i kraftvärmeverk (GWh)",Kraftvärmeprod!$B$1:$AV$1,0),FALSE))</f>
        <v/>
      </c>
      <c r="G296" s="121" t="str">
        <f>IF(ISERROR(1/VLOOKUP($B296,Miljö!$B$1:$T$480,MATCH("Såld mängd produktionsspecifik fjärrvärme (GWh)",Miljö!$B$1:$T$1,0),FALSE)),"",VLOOKUP($B296,Miljö!$B$1:$T$480,MATCH("Såld mängd produktionsspecifik fjärrvärme (GWh)",Miljö!$B$1:$T$1,0),FALSE))</f>
        <v/>
      </c>
      <c r="J296" s="121" t="str">
        <f t="shared" si="4"/>
        <v>Söderhamn Nära AB</v>
      </c>
    </row>
    <row r="297" spans="1:10" x14ac:dyDescent="0.25">
      <c r="A297" s="137" t="s">
        <v>591</v>
      </c>
      <c r="B297" s="137" t="s">
        <v>595</v>
      </c>
      <c r="D297" s="121" t="str">
        <f>IF(ISERROR(1/VLOOKUP($B297,Kraftvärmeprod!$B$1:$D$479,MATCH("Total värmeproduktion i kraftvärmeverk i kombinerad drift (GWh)",Kraftvärmeprod!$B$1:$AV$1,0),FALSE)),"Ej kraftvärme","Alternativproduktionsmetoden")</f>
        <v>Ej kraftvärme</v>
      </c>
      <c r="E297" s="172" t="str">
        <f>IF(ISERROR(1/VLOOKUP($B297,Kraftvärmeprod!$B$1:$BD$479,MATCH("Total värmeproduktion i kraftvärmeverk i kombinerad drift (GWh)",Kraftvärmeprod!$B$1:$AV$1,0),FALSE)),"",VLOOKUP($B297,'Slutlig allokering kvv'!$B$1:$BC$479,MATCH(E$1,'Slutlig allokering kvv'!$B$1:$AU$1,0),FALSE))</f>
        <v/>
      </c>
      <c r="F297" s="121" t="str">
        <f>IF(ISERROR(1/VLOOKUP($B297,Kraftvärmeprod!$B$1:$AV$479,MATCH("Producerad elenergi i kraftvärmeverk (GWh)",Kraftvärmeprod!$B$1:$AV$1,0),FALSE)),"",VLOOKUP($B297,Kraftvärmeprod!$B$1:$AV$479,MATCH("Producerad elenergi i kraftvärmeverk (GWh)",Kraftvärmeprod!$B$1:$AV$1,0),FALSE))</f>
        <v/>
      </c>
      <c r="G297" s="121" t="str">
        <f>IF(ISERROR(1/VLOOKUP($B297,Miljö!$B$1:$T$480,MATCH("Såld mängd produktionsspecifik fjärrvärme (GWh)",Miljö!$B$1:$T$1,0),FALSE)),"",VLOOKUP($B297,Miljö!$B$1:$T$480,MATCH("Såld mängd produktionsspecifik fjärrvärme (GWh)",Miljö!$B$1:$T$1,0),FALSE))</f>
        <v/>
      </c>
      <c r="J297" s="121" t="str">
        <f t="shared" si="4"/>
        <v>Söderhamn Nära AB</v>
      </c>
    </row>
    <row r="298" spans="1:10" x14ac:dyDescent="0.25">
      <c r="A298" s="137" t="s">
        <v>591</v>
      </c>
      <c r="B298" s="137" t="s">
        <v>597</v>
      </c>
      <c r="D298" s="121" t="str">
        <f>IF(ISERROR(1/VLOOKUP($B298,Kraftvärmeprod!$B$1:$D$479,MATCH("Total värmeproduktion i kraftvärmeverk i kombinerad drift (GWh)",Kraftvärmeprod!$B$1:$AV$1,0),FALSE)),"Ej kraftvärme","Alternativproduktionsmetoden")</f>
        <v>Alternativproduktionsmetoden</v>
      </c>
      <c r="E298" s="172">
        <f>IF(ISERROR(1/VLOOKUP($B298,Kraftvärmeprod!$B$1:$BD$479,MATCH("Total värmeproduktion i kraftvärmeverk i kombinerad drift (GWh)",Kraftvärmeprod!$B$1:$AV$1,0),FALSE)),"",VLOOKUP($B298,'Slutlig allokering kvv'!$B$1:$BC$479,MATCH(E$1,'Slutlig allokering kvv'!$B$1:$AU$1,0),FALSE))</f>
        <v>0.51724093435755791</v>
      </c>
      <c r="F298" s="121">
        <f>IF(ISERROR(1/VLOOKUP($B298,Kraftvärmeprod!$B$1:$AV$479,MATCH("Producerad elenergi i kraftvärmeverk (GWh)",Kraftvärmeprod!$B$1:$AV$1,0),FALSE)),"",VLOOKUP($B298,Kraftvärmeprod!$B$1:$AV$479,MATCH("Producerad elenergi i kraftvärmeverk (GWh)",Kraftvärmeprod!$B$1:$AV$1,0),FALSE))</f>
        <v>36.1</v>
      </c>
      <c r="G298" s="121" t="str">
        <f>IF(ISERROR(1/VLOOKUP($B298,Miljö!$B$1:$T$480,MATCH("Såld mängd produktionsspecifik fjärrvärme (GWh)",Miljö!$B$1:$T$1,0),FALSE)),"",VLOOKUP($B298,Miljö!$B$1:$T$480,MATCH("Såld mängd produktionsspecifik fjärrvärme (GWh)",Miljö!$B$1:$T$1,0),FALSE))</f>
        <v/>
      </c>
      <c r="J298" s="121" t="str">
        <f t="shared" si="4"/>
        <v>Söderhamn Nära AB</v>
      </c>
    </row>
    <row r="299" spans="1:10" x14ac:dyDescent="0.25">
      <c r="A299" s="137" t="s">
        <v>598</v>
      </c>
      <c r="B299" s="137" t="s">
        <v>599</v>
      </c>
      <c r="D299" s="121" t="str">
        <f>IF(ISERROR(1/VLOOKUP($B299,Kraftvärmeprod!$B$1:$D$479,MATCH("Total värmeproduktion i kraftvärmeverk i kombinerad drift (GWh)",Kraftvärmeprod!$B$1:$AV$1,0),FALSE)),"Ej kraftvärme","Alternativproduktionsmetoden")</f>
        <v>Alternativproduktionsmetoden</v>
      </c>
      <c r="E299" s="172">
        <f>IF(ISERROR(1/VLOOKUP($B299,Kraftvärmeprod!$B$1:$BD$479,MATCH("Total värmeproduktion i kraftvärmeverk i kombinerad drift (GWh)",Kraftvärmeprod!$B$1:$AV$1,0),FALSE)),"",VLOOKUP($B299,'Slutlig allokering kvv'!$B$1:$BC$479,MATCH(E$1,'Slutlig allokering kvv'!$B$1:$AU$1,0),FALSE))</f>
        <v>0.43715452808675576</v>
      </c>
      <c r="F299" s="121">
        <f>IF(ISERROR(1/VLOOKUP($B299,Kraftvärmeprod!$B$1:$AV$479,MATCH("Producerad elenergi i kraftvärmeverk (GWh)",Kraftvärmeprod!$B$1:$AV$1,0),FALSE)),"",VLOOKUP($B299,Kraftvärmeprod!$B$1:$AV$479,MATCH("Producerad elenergi i kraftvärmeverk (GWh)",Kraftvärmeprod!$B$1:$AV$1,0),FALSE))</f>
        <v>263.33600000000001</v>
      </c>
      <c r="G299" s="121" t="str">
        <f>IF(ISERROR(1/VLOOKUP($B299,Miljö!$B$1:$T$480,MATCH("Såld mängd produktionsspecifik fjärrvärme (GWh)",Miljö!$B$1:$T$1,0),FALSE)),"",VLOOKUP($B299,Miljö!$B$1:$T$480,MATCH("Såld mängd produktionsspecifik fjärrvärme (GWh)",Miljö!$B$1:$T$1,0),FALSE))</f>
        <v/>
      </c>
      <c r="J299" s="121" t="str">
        <f t="shared" si="4"/>
        <v>Södertörns Fjärrvärme AB</v>
      </c>
    </row>
    <row r="300" spans="1:10" x14ac:dyDescent="0.25">
      <c r="A300" s="137" t="s">
        <v>600</v>
      </c>
      <c r="B300" s="137" t="s">
        <v>132</v>
      </c>
      <c r="D300" s="121" t="str">
        <f>IF(ISERROR(1/VLOOKUP($B300,Kraftvärmeprod!$B$1:$D$479,MATCH("Total värmeproduktion i kraftvärmeverk i kombinerad drift (GWh)",Kraftvärmeprod!$B$1:$AV$1,0),FALSE)),"Ej kraftvärme","Alternativproduktionsmetoden")</f>
        <v>Ej kraftvärme</v>
      </c>
      <c r="E300" s="172" t="str">
        <f>IF(ISERROR(1/VLOOKUP($B300,Kraftvärmeprod!$B$1:$BD$479,MATCH("Total värmeproduktion i kraftvärmeverk i kombinerad drift (GWh)",Kraftvärmeprod!$B$1:$AV$1,0),FALSE)),"",VLOOKUP($B300,'Slutlig allokering kvv'!$B$1:$BC$479,MATCH(E$1,'Slutlig allokering kvv'!$B$1:$AU$1,0),FALSE))</f>
        <v/>
      </c>
      <c r="F300" s="121" t="str">
        <f>IF(ISERROR(1/VLOOKUP($B300,Kraftvärmeprod!$B$1:$AV$479,MATCH("Producerad elenergi i kraftvärmeverk (GWh)",Kraftvärmeprod!$B$1:$AV$1,0),FALSE)),"",VLOOKUP($B300,Kraftvärmeprod!$B$1:$AV$479,MATCH("Producerad elenergi i kraftvärmeverk (GWh)",Kraftvärmeprod!$B$1:$AV$1,0),FALSE))</f>
        <v/>
      </c>
      <c r="G300" s="121" t="str">
        <f>IF(ISERROR(1/VLOOKUP($B300,Miljö!$B$1:$T$480,MATCH("Såld mängd produktionsspecifik fjärrvärme (GWh)",Miljö!$B$1:$T$1,0),FALSE)),"",VLOOKUP($B300,Miljö!$B$1:$T$480,MATCH("Såld mängd produktionsspecifik fjärrvärme (GWh)",Miljö!$B$1:$T$1,0),FALSE))</f>
        <v/>
      </c>
      <c r="J300" s="121" t="str">
        <f t="shared" si="4"/>
        <v xml:space="preserve">Sölvesborgs Energi och Vatten AB  </v>
      </c>
    </row>
    <row r="301" spans="1:10" x14ac:dyDescent="0.25">
      <c r="A301" s="137" t="s">
        <v>601</v>
      </c>
      <c r="B301" s="137" t="s">
        <v>602</v>
      </c>
      <c r="D301" s="121" t="str">
        <f>IF(ISERROR(1/VLOOKUP($B301,Kraftvärmeprod!$B$1:$D$479,MATCH("Total värmeproduktion i kraftvärmeverk i kombinerad drift (GWh)",Kraftvärmeprod!$B$1:$AV$1,0),FALSE)),"Ej kraftvärme","Alternativproduktionsmetoden")</f>
        <v>Ej kraftvärme</v>
      </c>
      <c r="E301" s="172" t="str">
        <f>IF(ISERROR(1/VLOOKUP($B301,Kraftvärmeprod!$B$1:$BD$479,MATCH("Total värmeproduktion i kraftvärmeverk i kombinerad drift (GWh)",Kraftvärmeprod!$B$1:$AV$1,0),FALSE)),"",VLOOKUP($B301,'Slutlig allokering kvv'!$B$1:$BC$479,MATCH(E$1,'Slutlig allokering kvv'!$B$1:$AU$1,0),FALSE))</f>
        <v/>
      </c>
      <c r="F301" s="121" t="str">
        <f>IF(ISERROR(1/VLOOKUP($B301,Kraftvärmeprod!$B$1:$AV$479,MATCH("Producerad elenergi i kraftvärmeverk (GWh)",Kraftvärmeprod!$B$1:$AV$1,0),FALSE)),"",VLOOKUP($B301,Kraftvärmeprod!$B$1:$AV$479,MATCH("Producerad elenergi i kraftvärmeverk (GWh)",Kraftvärmeprod!$B$1:$AV$1,0),FALSE))</f>
        <v/>
      </c>
      <c r="G301" s="121" t="str">
        <f>IF(ISERROR(1/VLOOKUP($B301,Miljö!$B$1:$T$480,MATCH("Såld mängd produktionsspecifik fjärrvärme (GWh)",Miljö!$B$1:$T$1,0),FALSE)),"",VLOOKUP($B301,Miljö!$B$1:$T$480,MATCH("Såld mängd produktionsspecifik fjärrvärme (GWh)",Miljö!$B$1:$T$1,0),FALSE))</f>
        <v/>
      </c>
      <c r="J301" s="121" t="str">
        <f t="shared" si="4"/>
        <v>Tekniska Verken i Linköping AB</v>
      </c>
    </row>
    <row r="302" spans="1:10" x14ac:dyDescent="0.25">
      <c r="A302" s="137" t="s">
        <v>601</v>
      </c>
      <c r="B302" s="137" t="s">
        <v>603</v>
      </c>
      <c r="D302" s="121" t="str">
        <f>IF(ISERROR(1/VLOOKUP($B302,Kraftvärmeprod!$B$1:$D$479,MATCH("Total värmeproduktion i kraftvärmeverk i kombinerad drift (GWh)",Kraftvärmeprod!$B$1:$AV$1,0),FALSE)),"Ej kraftvärme","Alternativproduktionsmetoden")</f>
        <v>Alternativproduktionsmetoden</v>
      </c>
      <c r="E302" s="172">
        <f>IF(ISERROR(1/VLOOKUP($B302,Kraftvärmeprod!$B$1:$BD$479,MATCH("Total värmeproduktion i kraftvärmeverk i kombinerad drift (GWh)",Kraftvärmeprod!$B$1:$AV$1,0),FALSE)),"",VLOOKUP($B302,'Slutlig allokering kvv'!$B$1:$BC$479,MATCH(E$1,'Slutlig allokering kvv'!$B$1:$AU$1,0),FALSE))</f>
        <v>0.60670220798569729</v>
      </c>
      <c r="F302" s="121">
        <f>IF(ISERROR(1/VLOOKUP($B302,Kraftvärmeprod!$B$1:$AV$479,MATCH("Producerad elenergi i kraftvärmeverk (GWh)",Kraftvärmeprod!$B$1:$AV$1,0),FALSE)),"",VLOOKUP($B302,Kraftvärmeprod!$B$1:$AV$479,MATCH("Producerad elenergi i kraftvärmeverk (GWh)",Kraftvärmeprod!$B$1:$AV$1,0),FALSE))</f>
        <v>25.6</v>
      </c>
      <c r="G302" s="121" t="str">
        <f>IF(ISERROR(1/VLOOKUP($B302,Miljö!$B$1:$T$480,MATCH("Såld mängd produktionsspecifik fjärrvärme (GWh)",Miljö!$B$1:$T$1,0),FALSE)),"",VLOOKUP($B302,Miljö!$B$1:$T$480,MATCH("Såld mängd produktionsspecifik fjärrvärme (GWh)",Miljö!$B$1:$T$1,0),FALSE))</f>
        <v/>
      </c>
      <c r="J302" s="121" t="str">
        <f t="shared" si="4"/>
        <v>Tekniska Verken i Linköping AB</v>
      </c>
    </row>
    <row r="303" spans="1:10" x14ac:dyDescent="0.25">
      <c r="A303" s="137" t="s">
        <v>601</v>
      </c>
      <c r="B303" s="137" t="s">
        <v>604</v>
      </c>
      <c r="D303" s="121" t="str">
        <f>IF(ISERROR(1/VLOOKUP($B303,Kraftvärmeprod!$B$1:$D$479,MATCH("Total värmeproduktion i kraftvärmeverk i kombinerad drift (GWh)",Kraftvärmeprod!$B$1:$AV$1,0),FALSE)),"Ej kraftvärme","Alternativproduktionsmetoden")</f>
        <v>Ej kraftvärme</v>
      </c>
      <c r="E303" s="172" t="str">
        <f>IF(ISERROR(1/VLOOKUP($B303,Kraftvärmeprod!$B$1:$BD$479,MATCH("Total värmeproduktion i kraftvärmeverk i kombinerad drift (GWh)",Kraftvärmeprod!$B$1:$AV$1,0),FALSE)),"",VLOOKUP($B303,'Slutlig allokering kvv'!$B$1:$BC$479,MATCH(E$1,'Slutlig allokering kvv'!$B$1:$AU$1,0),FALSE))</f>
        <v/>
      </c>
      <c r="F303" s="121" t="str">
        <f>IF(ISERROR(1/VLOOKUP($B303,Kraftvärmeprod!$B$1:$AV$479,MATCH("Producerad elenergi i kraftvärmeverk (GWh)",Kraftvärmeprod!$B$1:$AV$1,0),FALSE)),"",VLOOKUP($B303,Kraftvärmeprod!$B$1:$AV$479,MATCH("Producerad elenergi i kraftvärmeverk (GWh)",Kraftvärmeprod!$B$1:$AV$1,0),FALSE))</f>
        <v/>
      </c>
      <c r="G303" s="121" t="str">
        <f>IF(ISERROR(1/VLOOKUP($B303,Miljö!$B$1:$T$480,MATCH("Såld mängd produktionsspecifik fjärrvärme (GWh)",Miljö!$B$1:$T$1,0),FALSE)),"",VLOOKUP($B303,Miljö!$B$1:$T$480,MATCH("Såld mängd produktionsspecifik fjärrvärme (GWh)",Miljö!$B$1:$T$1,0),FALSE))</f>
        <v/>
      </c>
      <c r="J303" s="121" t="str">
        <f t="shared" si="4"/>
        <v>Tekniska Verken i Linköping AB</v>
      </c>
    </row>
    <row r="304" spans="1:10" x14ac:dyDescent="0.25">
      <c r="A304" s="137" t="s">
        <v>601</v>
      </c>
      <c r="B304" s="137" t="s">
        <v>605</v>
      </c>
      <c r="D304" s="121" t="str">
        <f>IF(ISERROR(1/VLOOKUP($B304,Kraftvärmeprod!$B$1:$D$479,MATCH("Total värmeproduktion i kraftvärmeverk i kombinerad drift (GWh)",Kraftvärmeprod!$B$1:$AV$1,0),FALSE)),"Ej kraftvärme","Alternativproduktionsmetoden")</f>
        <v>Alternativproduktionsmetoden</v>
      </c>
      <c r="E304" s="172">
        <f>IF(ISERROR(1/VLOOKUP($B304,Kraftvärmeprod!$B$1:$BD$479,MATCH("Total värmeproduktion i kraftvärmeverk i kombinerad drift (GWh)",Kraftvärmeprod!$B$1:$AV$1,0),FALSE)),"",VLOOKUP($B304,'Slutlig allokering kvv'!$B$1:$BC$479,MATCH(E$1,'Slutlig allokering kvv'!$B$1:$AU$1,0),FALSE))</f>
        <v>0.53081468974250734</v>
      </c>
      <c r="F304" s="121">
        <f>IF(ISERROR(1/VLOOKUP($B304,Kraftvärmeprod!$B$1:$AV$479,MATCH("Producerad elenergi i kraftvärmeverk (GWh)",Kraftvärmeprod!$B$1:$AV$1,0),FALSE)),"",VLOOKUP($B304,Kraftvärmeprod!$B$1:$AV$479,MATCH("Producerad elenergi i kraftvärmeverk (GWh)",Kraftvärmeprod!$B$1:$AV$1,0),FALSE))</f>
        <v>220</v>
      </c>
      <c r="G304" s="121">
        <f>IF(ISERROR(1/VLOOKUP($B304,Miljö!$B$1:$T$480,MATCH("Såld mängd produktionsspecifik fjärrvärme (GWh)",Miljö!$B$1:$T$1,0),FALSE)),"",VLOOKUP($B304,Miljö!$B$1:$T$480,MATCH("Såld mängd produktionsspecifik fjärrvärme (GWh)",Miljö!$B$1:$T$1,0),FALSE))</f>
        <v>3.9</v>
      </c>
      <c r="J304" s="121" t="str">
        <f t="shared" si="4"/>
        <v>Tekniska Verken i Linköping AB</v>
      </c>
    </row>
    <row r="305" spans="1:10" x14ac:dyDescent="0.25">
      <c r="A305" s="137" t="s">
        <v>601</v>
      </c>
      <c r="B305" s="137" t="s">
        <v>606</v>
      </c>
      <c r="D305" s="121" t="str">
        <f>IF(ISERROR(1/VLOOKUP($B305,Kraftvärmeprod!$B$1:$D$479,MATCH("Total värmeproduktion i kraftvärmeverk i kombinerad drift (GWh)",Kraftvärmeprod!$B$1:$AV$1,0),FALSE)),"Ej kraftvärme","Alternativproduktionsmetoden")</f>
        <v>Ej kraftvärme</v>
      </c>
      <c r="E305" s="172" t="str">
        <f>IF(ISERROR(1/VLOOKUP($B305,Kraftvärmeprod!$B$1:$BD$479,MATCH("Total värmeproduktion i kraftvärmeverk i kombinerad drift (GWh)",Kraftvärmeprod!$B$1:$AV$1,0),FALSE)),"",VLOOKUP($B305,'Slutlig allokering kvv'!$B$1:$BC$479,MATCH(E$1,'Slutlig allokering kvv'!$B$1:$AU$1,0),FALSE))</f>
        <v/>
      </c>
      <c r="F305" s="121" t="str">
        <f>IF(ISERROR(1/VLOOKUP($B305,Kraftvärmeprod!$B$1:$AV$479,MATCH("Producerad elenergi i kraftvärmeverk (GWh)",Kraftvärmeprod!$B$1:$AV$1,0),FALSE)),"",VLOOKUP($B305,Kraftvärmeprod!$B$1:$AV$479,MATCH("Producerad elenergi i kraftvärmeverk (GWh)",Kraftvärmeprod!$B$1:$AV$1,0),FALSE))</f>
        <v/>
      </c>
      <c r="G305" s="121" t="str">
        <f>IF(ISERROR(1/VLOOKUP($B305,Miljö!$B$1:$T$480,MATCH("Såld mängd produktionsspecifik fjärrvärme (GWh)",Miljö!$B$1:$T$1,0),FALSE)),"",VLOOKUP($B305,Miljö!$B$1:$T$480,MATCH("Såld mängd produktionsspecifik fjärrvärme (GWh)",Miljö!$B$1:$T$1,0),FALSE))</f>
        <v/>
      </c>
      <c r="J305" s="121" t="str">
        <f t="shared" si="4"/>
        <v>Tekniska Verken i Linköping AB</v>
      </c>
    </row>
    <row r="306" spans="1:10" x14ac:dyDescent="0.25">
      <c r="A306" s="137" t="s">
        <v>601</v>
      </c>
      <c r="B306" s="137" t="s">
        <v>607</v>
      </c>
      <c r="D306" s="121" t="str">
        <f>IF(ISERROR(1/VLOOKUP($B306,Kraftvärmeprod!$B$1:$D$479,MATCH("Total värmeproduktion i kraftvärmeverk i kombinerad drift (GWh)",Kraftvärmeprod!$B$1:$AV$1,0),FALSE)),"Ej kraftvärme","Alternativproduktionsmetoden")</f>
        <v>Ej kraftvärme</v>
      </c>
      <c r="E306" s="172" t="str">
        <f>IF(ISERROR(1/VLOOKUP($B306,Kraftvärmeprod!$B$1:$BD$479,MATCH("Total värmeproduktion i kraftvärmeverk i kombinerad drift (GWh)",Kraftvärmeprod!$B$1:$AV$1,0),FALSE)),"",VLOOKUP($B306,'Slutlig allokering kvv'!$B$1:$BC$479,MATCH(E$1,'Slutlig allokering kvv'!$B$1:$AU$1,0),FALSE))</f>
        <v/>
      </c>
      <c r="F306" s="121" t="str">
        <f>IF(ISERROR(1/VLOOKUP($B306,Kraftvärmeprod!$B$1:$AV$479,MATCH("Producerad elenergi i kraftvärmeverk (GWh)",Kraftvärmeprod!$B$1:$AV$1,0),FALSE)),"",VLOOKUP($B306,Kraftvärmeprod!$B$1:$AV$479,MATCH("Producerad elenergi i kraftvärmeverk (GWh)",Kraftvärmeprod!$B$1:$AV$1,0),FALSE))</f>
        <v/>
      </c>
      <c r="G306" s="121" t="str">
        <f>IF(ISERROR(1/VLOOKUP($B306,Miljö!$B$1:$T$480,MATCH("Såld mängd produktionsspecifik fjärrvärme (GWh)",Miljö!$B$1:$T$1,0),FALSE)),"",VLOOKUP($B306,Miljö!$B$1:$T$480,MATCH("Såld mängd produktionsspecifik fjärrvärme (GWh)",Miljö!$B$1:$T$1,0),FALSE))</f>
        <v/>
      </c>
      <c r="J306" s="121" t="str">
        <f t="shared" si="4"/>
        <v>Tekniska Verken i Linköping AB</v>
      </c>
    </row>
    <row r="307" spans="1:10" x14ac:dyDescent="0.25">
      <c r="A307" s="137" t="s">
        <v>608</v>
      </c>
      <c r="B307" s="137" t="s">
        <v>609</v>
      </c>
      <c r="D307" s="121" t="str">
        <f>IF(ISERROR(1/VLOOKUP($B307,Kraftvärmeprod!$B$1:$D$479,MATCH("Total värmeproduktion i kraftvärmeverk i kombinerad drift (GWh)",Kraftvärmeprod!$B$1:$AV$1,0),FALSE)),"Ej kraftvärme","Alternativproduktionsmetoden")</f>
        <v>Ej kraftvärme</v>
      </c>
      <c r="E307" s="172" t="str">
        <f>IF(ISERROR(1/VLOOKUP($B307,Kraftvärmeprod!$B$1:$BD$479,MATCH("Total värmeproduktion i kraftvärmeverk i kombinerad drift (GWh)",Kraftvärmeprod!$B$1:$AV$1,0),FALSE)),"",VLOOKUP($B307,'Slutlig allokering kvv'!$B$1:$BC$479,MATCH(E$1,'Slutlig allokering kvv'!$B$1:$AU$1,0),FALSE))</f>
        <v/>
      </c>
      <c r="F307" s="121" t="str">
        <f>IF(ISERROR(1/VLOOKUP($B307,Kraftvärmeprod!$B$1:$AV$479,MATCH("Producerad elenergi i kraftvärmeverk (GWh)",Kraftvärmeprod!$B$1:$AV$1,0),FALSE)),"",VLOOKUP($B307,Kraftvärmeprod!$B$1:$AV$479,MATCH("Producerad elenergi i kraftvärmeverk (GWh)",Kraftvärmeprod!$B$1:$AV$1,0),FALSE))</f>
        <v/>
      </c>
      <c r="G307" s="121" t="str">
        <f>IF(ISERROR(1/VLOOKUP($B307,Miljö!$B$1:$T$480,MATCH("Såld mängd produktionsspecifik fjärrvärme (GWh)",Miljö!$B$1:$T$1,0),FALSE)),"",VLOOKUP($B307,Miljö!$B$1:$T$480,MATCH("Såld mängd produktionsspecifik fjärrvärme (GWh)",Miljö!$B$1:$T$1,0),FALSE))</f>
        <v/>
      </c>
      <c r="J307" s="121" t="str">
        <f t="shared" si="4"/>
        <v>Telge Nät AB</v>
      </c>
    </row>
    <row r="308" spans="1:10" x14ac:dyDescent="0.25">
      <c r="A308" s="137" t="s">
        <v>608</v>
      </c>
      <c r="B308" s="137" t="s">
        <v>610</v>
      </c>
      <c r="D308" s="121" t="str">
        <f>IF(ISERROR(1/VLOOKUP($B308,Kraftvärmeprod!$B$1:$D$479,MATCH("Total värmeproduktion i kraftvärmeverk i kombinerad drift (GWh)",Kraftvärmeprod!$B$1:$AV$1,0),FALSE)),"Ej kraftvärme","Alternativproduktionsmetoden")</f>
        <v>Alternativproduktionsmetoden</v>
      </c>
      <c r="E308" s="172">
        <f>IF(ISERROR(1/VLOOKUP($B308,Kraftvärmeprod!$B$1:$BD$479,MATCH("Total värmeproduktion i kraftvärmeverk i kombinerad drift (GWh)",Kraftvärmeprod!$B$1:$AV$1,0),FALSE)),"",VLOOKUP($B308,'Slutlig allokering kvv'!$B$1:$BC$479,MATCH(E$1,'Slutlig allokering kvv'!$B$1:$AU$1,0),FALSE))</f>
        <v>0.43767545098105815</v>
      </c>
      <c r="F308" s="121">
        <f>IF(ISERROR(1/VLOOKUP($B308,Kraftvärmeprod!$B$1:$AV$479,MATCH("Producerad elenergi i kraftvärmeverk (GWh)",Kraftvärmeprod!$B$1:$AV$1,0),FALSE)),"",VLOOKUP($B308,Kraftvärmeprod!$B$1:$AV$479,MATCH("Producerad elenergi i kraftvärmeverk (GWh)",Kraftvärmeprod!$B$1:$AV$1,0),FALSE))</f>
        <v>221</v>
      </c>
      <c r="G308" s="121" t="str">
        <f>IF(ISERROR(1/VLOOKUP($B308,Miljö!$B$1:$T$480,MATCH("Såld mängd produktionsspecifik fjärrvärme (GWh)",Miljö!$B$1:$T$1,0),FALSE)),"",VLOOKUP($B308,Miljö!$B$1:$T$480,MATCH("Såld mängd produktionsspecifik fjärrvärme (GWh)",Miljö!$B$1:$T$1,0),FALSE))</f>
        <v/>
      </c>
      <c r="J308" s="121" t="str">
        <f t="shared" si="4"/>
        <v>Telge Nät AB</v>
      </c>
    </row>
    <row r="309" spans="1:10" x14ac:dyDescent="0.25">
      <c r="A309" s="137" t="s">
        <v>611</v>
      </c>
      <c r="B309" s="137" t="s">
        <v>612</v>
      </c>
      <c r="D309" s="121" t="str">
        <f>IF(ISERROR(1/VLOOKUP($B309,Kraftvärmeprod!$B$1:$D$479,MATCH("Total värmeproduktion i kraftvärmeverk i kombinerad drift (GWh)",Kraftvärmeprod!$B$1:$AV$1,0),FALSE)),"Ej kraftvärme","Alternativproduktionsmetoden")</f>
        <v>Alternativproduktionsmetoden</v>
      </c>
      <c r="E309" s="172">
        <f>IF(ISERROR(1/VLOOKUP($B309,Kraftvärmeprod!$B$1:$BD$479,MATCH("Total värmeproduktion i kraftvärmeverk i kombinerad drift (GWh)",Kraftvärmeprod!$B$1:$AV$1,0),FALSE)),"",VLOOKUP($B309,'Slutlig allokering kvv'!$B$1:$BC$479,MATCH(E$1,'Slutlig allokering kvv'!$B$1:$AU$1,0),FALSE))</f>
        <v>0.73767822283906781</v>
      </c>
      <c r="F309" s="121">
        <f>IF(ISERROR(1/VLOOKUP($B309,Kraftvärmeprod!$B$1:$AV$479,MATCH("Producerad elenergi i kraftvärmeverk (GWh)",Kraftvärmeprod!$B$1:$AV$1,0),FALSE)),"",VLOOKUP($B309,Kraftvärmeprod!$B$1:$AV$479,MATCH("Producerad elenergi i kraftvärmeverk (GWh)",Kraftvärmeprod!$B$1:$AV$1,0),FALSE))</f>
        <v>6.2850000000000001</v>
      </c>
      <c r="G309" s="121" t="str">
        <f>IF(ISERROR(1/VLOOKUP($B309,Miljö!$B$1:$T$480,MATCH("Såld mängd produktionsspecifik fjärrvärme (GWh)",Miljö!$B$1:$T$1,0),FALSE)),"",VLOOKUP($B309,Miljö!$B$1:$T$480,MATCH("Såld mängd produktionsspecifik fjärrvärme (GWh)",Miljö!$B$1:$T$1,0),FALSE))</f>
        <v/>
      </c>
      <c r="J309" s="121" t="str">
        <f t="shared" si="4"/>
        <v>Tidaholms Energi AB</v>
      </c>
    </row>
    <row r="310" spans="1:10" x14ac:dyDescent="0.25">
      <c r="A310" s="137" t="s">
        <v>613</v>
      </c>
      <c r="B310" s="137" t="s">
        <v>614</v>
      </c>
      <c r="D310" s="121" t="str">
        <f>IF(ISERROR(1/VLOOKUP($B310,Kraftvärmeprod!$B$1:$D$479,MATCH("Total värmeproduktion i kraftvärmeverk i kombinerad drift (GWh)",Kraftvärmeprod!$B$1:$AV$1,0),FALSE)),"Ej kraftvärme","Alternativproduktionsmetoden")</f>
        <v>Ej kraftvärme</v>
      </c>
      <c r="E310" s="172" t="str">
        <f>IF(ISERROR(1/VLOOKUP($B310,Kraftvärmeprod!$B$1:$BD$479,MATCH("Total värmeproduktion i kraftvärmeverk i kombinerad drift (GWh)",Kraftvärmeprod!$B$1:$AV$1,0),FALSE)),"",VLOOKUP($B310,'Slutlig allokering kvv'!$B$1:$BC$479,MATCH(E$1,'Slutlig allokering kvv'!$B$1:$AU$1,0),FALSE))</f>
        <v/>
      </c>
      <c r="F310" s="121" t="str">
        <f>IF(ISERROR(1/VLOOKUP($B310,Kraftvärmeprod!$B$1:$AV$479,MATCH("Producerad elenergi i kraftvärmeverk (GWh)",Kraftvärmeprod!$B$1:$AV$1,0),FALSE)),"",VLOOKUP($B310,Kraftvärmeprod!$B$1:$AV$479,MATCH("Producerad elenergi i kraftvärmeverk (GWh)",Kraftvärmeprod!$B$1:$AV$1,0),FALSE))</f>
        <v/>
      </c>
      <c r="G310" s="121" t="str">
        <f>IF(ISERROR(1/VLOOKUP($B310,Miljö!$B$1:$T$480,MATCH("Såld mängd produktionsspecifik fjärrvärme (GWh)",Miljö!$B$1:$T$1,0),FALSE)),"",VLOOKUP($B310,Miljö!$B$1:$T$480,MATCH("Såld mängd produktionsspecifik fjärrvärme (GWh)",Miljö!$B$1:$T$1,0),FALSE))</f>
        <v/>
      </c>
      <c r="J310" s="121" t="str">
        <f t="shared" si="4"/>
        <v>Tierps Fjärrvärme AB</v>
      </c>
    </row>
    <row r="311" spans="1:10" x14ac:dyDescent="0.25">
      <c r="A311" s="137" t="s">
        <v>613</v>
      </c>
      <c r="B311" s="137" t="s">
        <v>615</v>
      </c>
      <c r="D311" s="121" t="str">
        <f>IF(ISERROR(1/VLOOKUP($B311,Kraftvärmeprod!$B$1:$D$479,MATCH("Total värmeproduktion i kraftvärmeverk i kombinerad drift (GWh)",Kraftvärmeprod!$B$1:$AV$1,0),FALSE)),"Ej kraftvärme","Alternativproduktionsmetoden")</f>
        <v>Ej kraftvärme</v>
      </c>
      <c r="E311" s="172" t="str">
        <f>IF(ISERROR(1/VLOOKUP($B311,Kraftvärmeprod!$B$1:$BD$479,MATCH("Total värmeproduktion i kraftvärmeverk i kombinerad drift (GWh)",Kraftvärmeprod!$B$1:$AV$1,0),FALSE)),"",VLOOKUP($B311,'Slutlig allokering kvv'!$B$1:$BC$479,MATCH(E$1,'Slutlig allokering kvv'!$B$1:$AU$1,0),FALSE))</f>
        <v/>
      </c>
      <c r="F311" s="121" t="str">
        <f>IF(ISERROR(1/VLOOKUP($B311,Kraftvärmeprod!$B$1:$AV$479,MATCH("Producerad elenergi i kraftvärmeverk (GWh)",Kraftvärmeprod!$B$1:$AV$1,0),FALSE)),"",VLOOKUP($B311,Kraftvärmeprod!$B$1:$AV$479,MATCH("Producerad elenergi i kraftvärmeverk (GWh)",Kraftvärmeprod!$B$1:$AV$1,0),FALSE))</f>
        <v/>
      </c>
      <c r="G311" s="121" t="str">
        <f>IF(ISERROR(1/VLOOKUP($B311,Miljö!$B$1:$T$480,MATCH("Såld mängd produktionsspecifik fjärrvärme (GWh)",Miljö!$B$1:$T$1,0),FALSE)),"",VLOOKUP($B311,Miljö!$B$1:$T$480,MATCH("Såld mängd produktionsspecifik fjärrvärme (GWh)",Miljö!$B$1:$T$1,0),FALSE))</f>
        <v/>
      </c>
      <c r="J311" s="121" t="str">
        <f t="shared" si="4"/>
        <v>Tierps Fjärrvärme AB</v>
      </c>
    </row>
    <row r="312" spans="1:10" x14ac:dyDescent="0.25">
      <c r="A312" s="137" t="s">
        <v>616</v>
      </c>
      <c r="B312" s="137" t="s">
        <v>616</v>
      </c>
      <c r="D312" s="121" t="str">
        <f>IF(ISERROR(1/VLOOKUP($B312,Kraftvärmeprod!$B$1:$D$479,MATCH("Total värmeproduktion i kraftvärmeverk i kombinerad drift (GWh)",Kraftvärmeprod!$B$1:$AV$1,0),FALSE)),"Ej kraftvärme","Alternativproduktionsmetoden")</f>
        <v>Ej kraftvärme</v>
      </c>
      <c r="E312" s="172" t="str">
        <f>IF(ISERROR(1/VLOOKUP($B312,Kraftvärmeprod!$B$1:$BD$479,MATCH("Total värmeproduktion i kraftvärmeverk i kombinerad drift (GWh)",Kraftvärmeprod!$B$1:$AV$1,0),FALSE)),"",VLOOKUP($B312,'Slutlig allokering kvv'!$B$1:$BC$479,MATCH(E$1,'Slutlig allokering kvv'!$B$1:$AU$1,0),FALSE))</f>
        <v/>
      </c>
      <c r="F312" s="121" t="str">
        <f>IF(ISERROR(1/VLOOKUP($B312,Kraftvärmeprod!$B$1:$AV$479,MATCH("Producerad elenergi i kraftvärmeverk (GWh)",Kraftvärmeprod!$B$1:$AV$1,0),FALSE)),"",VLOOKUP($B312,Kraftvärmeprod!$B$1:$AV$479,MATCH("Producerad elenergi i kraftvärmeverk (GWh)",Kraftvärmeprod!$B$1:$AV$1,0),FALSE))</f>
        <v/>
      </c>
      <c r="G312" s="121" t="str">
        <f>IF(ISERROR(1/VLOOKUP($B312,Miljö!$B$1:$T$480,MATCH("Såld mängd produktionsspecifik fjärrvärme (GWh)",Miljö!$B$1:$T$1,0),FALSE)),"",VLOOKUP($B312,Miljö!$B$1:$T$480,MATCH("Såld mängd produktionsspecifik fjärrvärme (GWh)",Miljö!$B$1:$T$1,0),FALSE))</f>
        <v/>
      </c>
      <c r="J312" s="121" t="str">
        <f t="shared" si="4"/>
        <v>Torsby kommun</v>
      </c>
    </row>
    <row r="313" spans="1:10" x14ac:dyDescent="0.25">
      <c r="A313" s="137" t="s">
        <v>617</v>
      </c>
      <c r="B313" s="137" t="s">
        <v>135</v>
      </c>
      <c r="D313" s="121" t="str">
        <f>IF(ISERROR(1/VLOOKUP($B313,Kraftvärmeprod!$B$1:$D$479,MATCH("Total värmeproduktion i kraftvärmeverk i kombinerad drift (GWh)",Kraftvärmeprod!$B$1:$AV$1,0),FALSE)),"Ej kraftvärme","Alternativproduktionsmetoden")</f>
        <v>Ej kraftvärme</v>
      </c>
      <c r="E313" s="172" t="str">
        <f>IF(ISERROR(1/VLOOKUP($B313,Kraftvärmeprod!$B$1:$BD$479,MATCH("Total värmeproduktion i kraftvärmeverk i kombinerad drift (GWh)",Kraftvärmeprod!$B$1:$AV$1,0),FALSE)),"",VLOOKUP($B313,'Slutlig allokering kvv'!$B$1:$BC$479,MATCH(E$1,'Slutlig allokering kvv'!$B$1:$AU$1,0),FALSE))</f>
        <v/>
      </c>
      <c r="F313" s="121" t="str">
        <f>IF(ISERROR(1/VLOOKUP($B313,Kraftvärmeprod!$B$1:$AV$479,MATCH("Producerad elenergi i kraftvärmeverk (GWh)",Kraftvärmeprod!$B$1:$AV$1,0),FALSE)),"",VLOOKUP($B313,Kraftvärmeprod!$B$1:$AV$479,MATCH("Producerad elenergi i kraftvärmeverk (GWh)",Kraftvärmeprod!$B$1:$AV$1,0),FALSE))</f>
        <v/>
      </c>
      <c r="G313" s="121" t="str">
        <f>IF(ISERROR(1/VLOOKUP($B313,Miljö!$B$1:$T$480,MATCH("Såld mängd produktionsspecifik fjärrvärme (GWh)",Miljö!$B$1:$T$1,0),FALSE)),"",VLOOKUP($B313,Miljö!$B$1:$T$480,MATCH("Såld mängd produktionsspecifik fjärrvärme (GWh)",Miljö!$B$1:$T$1,0),FALSE))</f>
        <v/>
      </c>
      <c r="J313" s="121" t="str">
        <f t="shared" si="4"/>
        <v>Torsås fjärrvärmenät AB</v>
      </c>
    </row>
    <row r="314" spans="1:10" x14ac:dyDescent="0.25">
      <c r="A314" s="137" t="s">
        <v>618</v>
      </c>
      <c r="B314" s="137" t="s">
        <v>619</v>
      </c>
      <c r="D314" s="121" t="str">
        <f>IF(ISERROR(1/VLOOKUP($B314,Kraftvärmeprod!$B$1:$D$479,MATCH("Total värmeproduktion i kraftvärmeverk i kombinerad drift (GWh)",Kraftvärmeprod!$B$1:$AV$1,0),FALSE)),"Ej kraftvärme","Alternativproduktionsmetoden")</f>
        <v>Alternativproduktionsmetoden</v>
      </c>
      <c r="E314" s="172">
        <f>IF(ISERROR(1/VLOOKUP($B314,Kraftvärmeprod!$B$1:$BD$479,MATCH("Total värmeproduktion i kraftvärmeverk i kombinerad drift (GWh)",Kraftvärmeprod!$B$1:$AV$1,0),FALSE)),"",VLOOKUP($B314,'Slutlig allokering kvv'!$B$1:$BC$479,MATCH(E$1,'Slutlig allokering kvv'!$B$1:$AU$1,0),FALSE))</f>
        <v>0.6509677419354839</v>
      </c>
      <c r="F314" s="121">
        <f>IF(ISERROR(1/VLOOKUP($B314,Kraftvärmeprod!$B$1:$AV$479,MATCH("Producerad elenergi i kraftvärmeverk (GWh)",Kraftvärmeprod!$B$1:$AV$1,0),FALSE)),"",VLOOKUP($B314,Kraftvärmeprod!$B$1:$AV$479,MATCH("Producerad elenergi i kraftvärmeverk (GWh)",Kraftvärmeprod!$B$1:$AV$1,0),FALSE))</f>
        <v>25.8</v>
      </c>
      <c r="G314" s="121" t="str">
        <f>IF(ISERROR(1/VLOOKUP($B314,Miljö!$B$1:$T$480,MATCH("Såld mängd produktionsspecifik fjärrvärme (GWh)",Miljö!$B$1:$T$1,0),FALSE)),"",VLOOKUP($B314,Miljö!$B$1:$T$480,MATCH("Såld mängd produktionsspecifik fjärrvärme (GWh)",Miljö!$B$1:$T$1,0),FALSE))</f>
        <v/>
      </c>
      <c r="J314" s="121" t="str">
        <f t="shared" si="4"/>
        <v>Tranås Energi AB</v>
      </c>
    </row>
    <row r="315" spans="1:10" x14ac:dyDescent="0.25">
      <c r="A315" s="137" t="s">
        <v>621</v>
      </c>
      <c r="B315" s="137" t="s">
        <v>622</v>
      </c>
      <c r="D315" s="121" t="str">
        <f>IF(ISERROR(1/VLOOKUP($B315,Kraftvärmeprod!$B$1:$D$479,MATCH("Total värmeproduktion i kraftvärmeverk i kombinerad drift (GWh)",Kraftvärmeprod!$B$1:$AV$1,0),FALSE)),"Ej kraftvärme","Alternativproduktionsmetoden")</f>
        <v>Ej kraftvärme</v>
      </c>
      <c r="E315" s="172" t="str">
        <f>IF(ISERROR(1/VLOOKUP($B315,Kraftvärmeprod!$B$1:$BD$479,MATCH("Total värmeproduktion i kraftvärmeverk i kombinerad drift (GWh)",Kraftvärmeprod!$B$1:$AV$1,0),FALSE)),"",VLOOKUP($B315,'Slutlig allokering kvv'!$B$1:$BC$479,MATCH(E$1,'Slutlig allokering kvv'!$B$1:$AU$1,0),FALSE))</f>
        <v/>
      </c>
      <c r="F315" s="121" t="str">
        <f>IF(ISERROR(1/VLOOKUP($B315,Kraftvärmeprod!$B$1:$AV$479,MATCH("Producerad elenergi i kraftvärmeverk (GWh)",Kraftvärmeprod!$B$1:$AV$1,0),FALSE)),"",VLOOKUP($B315,Kraftvärmeprod!$B$1:$AV$479,MATCH("Producerad elenergi i kraftvärmeverk (GWh)",Kraftvärmeprod!$B$1:$AV$1,0),FALSE))</f>
        <v/>
      </c>
      <c r="G315" s="121" t="str">
        <f>IF(ISERROR(1/VLOOKUP($B315,Miljö!$B$1:$T$480,MATCH("Såld mängd produktionsspecifik fjärrvärme (GWh)",Miljö!$B$1:$T$1,0),FALSE)),"",VLOOKUP($B315,Miljö!$B$1:$T$480,MATCH("Såld mängd produktionsspecifik fjärrvärme (GWh)",Miljö!$B$1:$T$1,0),FALSE))</f>
        <v/>
      </c>
      <c r="J315" s="121" t="str">
        <f t="shared" si="4"/>
        <v>Trelleborgs Fjärrvärme AB</v>
      </c>
    </row>
    <row r="316" spans="1:10" x14ac:dyDescent="0.25">
      <c r="A316" s="137" t="s">
        <v>623</v>
      </c>
      <c r="B316" s="137" t="s">
        <v>624</v>
      </c>
      <c r="D316" s="121" t="str">
        <f>IF(ISERROR(1/VLOOKUP($B316,Kraftvärmeprod!$B$1:$D$479,MATCH("Total värmeproduktion i kraftvärmeverk i kombinerad drift (GWh)",Kraftvärmeprod!$B$1:$AV$1,0),FALSE)),"Ej kraftvärme","Alternativproduktionsmetoden")</f>
        <v>Alternativproduktionsmetoden</v>
      </c>
      <c r="E316" s="172">
        <f>IF(ISERROR(1/VLOOKUP($B316,Kraftvärmeprod!$B$1:$BD$479,MATCH("Total värmeproduktion i kraftvärmeverk i kombinerad drift (GWh)",Kraftvärmeprod!$B$1:$AV$1,0),FALSE)),"",VLOOKUP($B316,'Slutlig allokering kvv'!$B$1:$BC$479,MATCH(E$1,'Slutlig allokering kvv'!$B$1:$AU$1,0),FALSE))</f>
        <v>0.76858938244853736</v>
      </c>
      <c r="F316" s="121">
        <f>IF(ISERROR(1/VLOOKUP($B316,Kraftvärmeprod!$B$1:$AV$479,MATCH("Producerad elenergi i kraftvärmeverk (GWh)",Kraftvärmeprod!$B$1:$AV$1,0),FALSE)),"",VLOOKUP($B316,Kraftvärmeprod!$B$1:$AV$479,MATCH("Producerad elenergi i kraftvärmeverk (GWh)",Kraftvärmeprod!$B$1:$AV$1,0),FALSE))</f>
        <v>9</v>
      </c>
      <c r="G316" s="121" t="str">
        <f>IF(ISERROR(1/VLOOKUP($B316,Miljö!$B$1:$T$480,MATCH("Såld mängd produktionsspecifik fjärrvärme (GWh)",Miljö!$B$1:$T$1,0),FALSE)),"",VLOOKUP($B316,Miljö!$B$1:$T$480,MATCH("Såld mängd produktionsspecifik fjärrvärme (GWh)",Miljö!$B$1:$T$1,0),FALSE))</f>
        <v/>
      </c>
      <c r="J316" s="121" t="str">
        <f t="shared" si="4"/>
        <v>Trollhättan Energi AB</v>
      </c>
    </row>
    <row r="317" spans="1:10" x14ac:dyDescent="0.25">
      <c r="A317" s="137" t="s">
        <v>43</v>
      </c>
      <c r="B317" s="141" t="s">
        <v>51</v>
      </c>
      <c r="D317" s="121" t="str">
        <f>IF(ISERROR(1/VLOOKUP($B317,Kraftvärmeprod!$B$1:$D$479,MATCH("Total värmeproduktion i kraftvärmeverk i kombinerad drift (GWh)",Kraftvärmeprod!$B$1:$AV$1,0),FALSE)),"Ej kraftvärme","Alternativproduktionsmetoden")</f>
        <v>Ej kraftvärme</v>
      </c>
      <c r="E317" s="172" t="str">
        <f>IF(ISERROR(1/VLOOKUP($B317,Kraftvärmeprod!$B$1:$BD$479,MATCH("Total värmeproduktion i kraftvärmeverk i kombinerad drift (GWh)",Kraftvärmeprod!$B$1:$AV$1,0),FALSE)),"",VLOOKUP($B317,'Slutlig allokering kvv'!$B$1:$BC$479,MATCH(E$1,'Slutlig allokering kvv'!$B$1:$AU$1,0),FALSE))</f>
        <v/>
      </c>
      <c r="F317" s="121" t="str">
        <f>IF(ISERROR(1/VLOOKUP($B317,Kraftvärmeprod!$B$1:$AV$479,MATCH("Producerad elenergi i kraftvärmeverk (GWh)",Kraftvärmeprod!$B$1:$AV$1,0),FALSE)),"",VLOOKUP($B317,Kraftvärmeprod!$B$1:$AV$479,MATCH("Producerad elenergi i kraftvärmeverk (GWh)",Kraftvärmeprod!$B$1:$AV$1,0),FALSE))</f>
        <v/>
      </c>
      <c r="G317" s="121" t="str">
        <f>IF(ISERROR(1/VLOOKUP($B317,Miljö!$B$1:$T$480,MATCH("Såld mängd produktionsspecifik fjärrvärme (GWh)",Miljö!$B$1:$T$1,0),FALSE)),"",VLOOKUP($B317,Miljö!$B$1:$T$480,MATCH("Såld mängd produktionsspecifik fjärrvärme (GWh)",Miljö!$B$1:$T$1,0),FALSE))</f>
        <v/>
      </c>
      <c r="J317" s="121" t="str">
        <f t="shared" si="4"/>
        <v>Täby Miljövärme AB</v>
      </c>
    </row>
    <row r="318" spans="1:10" x14ac:dyDescent="0.25">
      <c r="A318" s="137" t="s">
        <v>625</v>
      </c>
      <c r="B318" s="137" t="s">
        <v>626</v>
      </c>
      <c r="D318" s="121" t="str">
        <f>IF(ISERROR(1/VLOOKUP($B318,Kraftvärmeprod!$B$1:$D$479,MATCH("Total värmeproduktion i kraftvärmeverk i kombinerad drift (GWh)",Kraftvärmeprod!$B$1:$AV$1,0),FALSE)),"Ej kraftvärme","Alternativproduktionsmetoden")</f>
        <v>Ej kraftvärme</v>
      </c>
      <c r="E318" s="172" t="str">
        <f>IF(ISERROR(1/VLOOKUP($B318,Kraftvärmeprod!$B$1:$BD$479,MATCH("Total värmeproduktion i kraftvärmeverk i kombinerad drift (GWh)",Kraftvärmeprod!$B$1:$AV$1,0),FALSE)),"",VLOOKUP($B318,'Slutlig allokering kvv'!$B$1:$BC$479,MATCH(E$1,'Slutlig allokering kvv'!$B$1:$AU$1,0),FALSE))</f>
        <v/>
      </c>
      <c r="F318" s="121" t="str">
        <f>IF(ISERROR(1/VLOOKUP($B318,Kraftvärmeprod!$B$1:$AV$479,MATCH("Producerad elenergi i kraftvärmeverk (GWh)",Kraftvärmeprod!$B$1:$AV$1,0),FALSE)),"",VLOOKUP($B318,Kraftvärmeprod!$B$1:$AV$479,MATCH("Producerad elenergi i kraftvärmeverk (GWh)",Kraftvärmeprod!$B$1:$AV$1,0),FALSE))</f>
        <v/>
      </c>
      <c r="G318" s="121" t="str">
        <f>IF(ISERROR(1/VLOOKUP($B318,Miljö!$B$1:$T$480,MATCH("Såld mängd produktionsspecifik fjärrvärme (GWh)",Miljö!$B$1:$T$1,0),FALSE)),"",VLOOKUP($B318,Miljö!$B$1:$T$480,MATCH("Såld mängd produktionsspecifik fjärrvärme (GWh)",Miljö!$B$1:$T$1,0),FALSE))</f>
        <v/>
      </c>
      <c r="J318" s="121" t="str">
        <f t="shared" si="4"/>
        <v>Uddevalla Energi AB</v>
      </c>
    </row>
    <row r="319" spans="1:10" x14ac:dyDescent="0.25">
      <c r="A319" s="137" t="s">
        <v>625</v>
      </c>
      <c r="B319" s="137" t="s">
        <v>627</v>
      </c>
      <c r="D319" s="121" t="str">
        <f>IF(ISERROR(1/VLOOKUP($B319,Kraftvärmeprod!$B$1:$D$479,MATCH("Total värmeproduktion i kraftvärmeverk i kombinerad drift (GWh)",Kraftvärmeprod!$B$1:$AV$1,0),FALSE)),"Ej kraftvärme","Alternativproduktionsmetoden")</f>
        <v>Ej kraftvärme</v>
      </c>
      <c r="E319" s="172" t="str">
        <f>IF(ISERROR(1/VLOOKUP($B319,Kraftvärmeprod!$B$1:$BD$479,MATCH("Total värmeproduktion i kraftvärmeverk i kombinerad drift (GWh)",Kraftvärmeprod!$B$1:$AV$1,0),FALSE)),"",VLOOKUP($B319,'Slutlig allokering kvv'!$B$1:$BC$479,MATCH(E$1,'Slutlig allokering kvv'!$B$1:$AU$1,0),FALSE))</f>
        <v/>
      </c>
      <c r="F319" s="121" t="str">
        <f>IF(ISERROR(1/VLOOKUP($B319,Kraftvärmeprod!$B$1:$AV$479,MATCH("Producerad elenergi i kraftvärmeverk (GWh)",Kraftvärmeprod!$B$1:$AV$1,0),FALSE)),"",VLOOKUP($B319,Kraftvärmeprod!$B$1:$AV$479,MATCH("Producerad elenergi i kraftvärmeverk (GWh)",Kraftvärmeprod!$B$1:$AV$1,0),FALSE))</f>
        <v/>
      </c>
      <c r="G319" s="121" t="str">
        <f>IF(ISERROR(1/VLOOKUP($B319,Miljö!$B$1:$T$480,MATCH("Såld mängd produktionsspecifik fjärrvärme (GWh)",Miljö!$B$1:$T$1,0),FALSE)),"",VLOOKUP($B319,Miljö!$B$1:$T$480,MATCH("Såld mängd produktionsspecifik fjärrvärme (GWh)",Miljö!$B$1:$T$1,0),FALSE))</f>
        <v/>
      </c>
      <c r="J319" s="121" t="str">
        <f t="shared" si="4"/>
        <v>Uddevalla Energi AB</v>
      </c>
    </row>
    <row r="320" spans="1:10" x14ac:dyDescent="0.25">
      <c r="A320" s="137" t="s">
        <v>625</v>
      </c>
      <c r="B320" s="137" t="s">
        <v>628</v>
      </c>
      <c r="D320" s="121" t="str">
        <f>IF(ISERROR(1/VLOOKUP($B320,Kraftvärmeprod!$B$1:$D$479,MATCH("Total värmeproduktion i kraftvärmeverk i kombinerad drift (GWh)",Kraftvärmeprod!$B$1:$AV$1,0),FALSE)),"Ej kraftvärme","Alternativproduktionsmetoden")</f>
        <v>Alternativproduktionsmetoden</v>
      </c>
      <c r="E320" s="172">
        <f>IF(ISERROR(1/VLOOKUP($B320,Kraftvärmeprod!$B$1:$BD$479,MATCH("Total värmeproduktion i kraftvärmeverk i kombinerad drift (GWh)",Kraftvärmeprod!$B$1:$AV$1,0),FALSE)),"",VLOOKUP($B320,'Slutlig allokering kvv'!$B$1:$BC$479,MATCH(E$1,'Slutlig allokering kvv'!$B$1:$AU$1,0),FALSE))</f>
        <v>0.50549647867910563</v>
      </c>
      <c r="F320" s="121">
        <f>IF(ISERROR(1/VLOOKUP($B320,Kraftvärmeprod!$B$1:$AV$479,MATCH("Producerad elenergi i kraftvärmeverk (GWh)",Kraftvärmeprod!$B$1:$AV$1,0),FALSE)),"",VLOOKUP($B320,Kraftvärmeprod!$B$1:$AV$479,MATCH("Producerad elenergi i kraftvärmeverk (GWh)",Kraftvärmeprod!$B$1:$AV$1,0),FALSE))</f>
        <v>69.616</v>
      </c>
      <c r="G320" s="121" t="str">
        <f>IF(ISERROR(1/VLOOKUP($B320,Miljö!$B$1:$T$480,MATCH("Såld mängd produktionsspecifik fjärrvärme (GWh)",Miljö!$B$1:$T$1,0),FALSE)),"",VLOOKUP($B320,Miljö!$B$1:$T$480,MATCH("Såld mängd produktionsspecifik fjärrvärme (GWh)",Miljö!$B$1:$T$1,0),FALSE))</f>
        <v/>
      </c>
      <c r="J320" s="121" t="str">
        <f t="shared" si="4"/>
        <v>Uddevalla Energi AB</v>
      </c>
    </row>
    <row r="321" spans="1:10" x14ac:dyDescent="0.25">
      <c r="A321" s="137" t="s">
        <v>629</v>
      </c>
      <c r="B321" s="137" t="s">
        <v>630</v>
      </c>
      <c r="D321" s="121" t="str">
        <f>IF(ISERROR(1/VLOOKUP($B321,Kraftvärmeprod!$B$1:$D$479,MATCH("Total värmeproduktion i kraftvärmeverk i kombinerad drift (GWh)",Kraftvärmeprod!$B$1:$AV$1,0),FALSE)),"Ej kraftvärme","Alternativproduktionsmetoden")</f>
        <v>Ej kraftvärme</v>
      </c>
      <c r="E321" s="172" t="str">
        <f>IF(ISERROR(1/VLOOKUP($B321,Kraftvärmeprod!$B$1:$BD$479,MATCH("Total värmeproduktion i kraftvärmeverk i kombinerad drift (GWh)",Kraftvärmeprod!$B$1:$AV$1,0),FALSE)),"",VLOOKUP($B321,'Slutlig allokering kvv'!$B$1:$BC$479,MATCH(E$1,'Slutlig allokering kvv'!$B$1:$AU$1,0),FALSE))</f>
        <v/>
      </c>
      <c r="F321" s="121" t="str">
        <f>IF(ISERROR(1/VLOOKUP($B321,Kraftvärmeprod!$B$1:$AV$479,MATCH("Producerad elenergi i kraftvärmeverk (GWh)",Kraftvärmeprod!$B$1:$AV$1,0),FALSE)),"",VLOOKUP($B321,Kraftvärmeprod!$B$1:$AV$479,MATCH("Producerad elenergi i kraftvärmeverk (GWh)",Kraftvärmeprod!$B$1:$AV$1,0),FALSE))</f>
        <v/>
      </c>
      <c r="G321" s="121" t="str">
        <f>IF(ISERROR(1/VLOOKUP($B321,Miljö!$B$1:$T$480,MATCH("Såld mängd produktionsspecifik fjärrvärme (GWh)",Miljö!$B$1:$T$1,0),FALSE)),"",VLOOKUP($B321,Miljö!$B$1:$T$480,MATCH("Såld mängd produktionsspecifik fjärrvärme (GWh)",Miljö!$B$1:$T$1,0),FALSE))</f>
        <v/>
      </c>
      <c r="J321" s="121" t="str">
        <f t="shared" si="4"/>
        <v>Ulricehamns Energi AB</v>
      </c>
    </row>
    <row r="322" spans="1:10" x14ac:dyDescent="0.25">
      <c r="A322" s="137" t="s">
        <v>629</v>
      </c>
      <c r="B322" s="137" t="s">
        <v>631</v>
      </c>
      <c r="D322" s="121" t="str">
        <f>IF(ISERROR(1/VLOOKUP($B322,Kraftvärmeprod!$B$1:$D$479,MATCH("Total värmeproduktion i kraftvärmeverk i kombinerad drift (GWh)",Kraftvärmeprod!$B$1:$AV$1,0),FALSE)),"Ej kraftvärme","Alternativproduktionsmetoden")</f>
        <v>Ej kraftvärme</v>
      </c>
      <c r="E322" s="172" t="str">
        <f>IF(ISERROR(1/VLOOKUP($B322,Kraftvärmeprod!$B$1:$BD$479,MATCH("Total värmeproduktion i kraftvärmeverk i kombinerad drift (GWh)",Kraftvärmeprod!$B$1:$AV$1,0),FALSE)),"",VLOOKUP($B322,'Slutlig allokering kvv'!$B$1:$BC$479,MATCH(E$1,'Slutlig allokering kvv'!$B$1:$AU$1,0),FALSE))</f>
        <v/>
      </c>
      <c r="F322" s="121" t="str">
        <f>IF(ISERROR(1/VLOOKUP($B322,Kraftvärmeprod!$B$1:$AV$479,MATCH("Producerad elenergi i kraftvärmeverk (GWh)",Kraftvärmeprod!$B$1:$AV$1,0),FALSE)),"",VLOOKUP($B322,Kraftvärmeprod!$B$1:$AV$479,MATCH("Producerad elenergi i kraftvärmeverk (GWh)",Kraftvärmeprod!$B$1:$AV$1,0),FALSE))</f>
        <v/>
      </c>
      <c r="G322" s="121" t="str">
        <f>IF(ISERROR(1/VLOOKUP($B322,Miljö!$B$1:$T$480,MATCH("Såld mängd produktionsspecifik fjärrvärme (GWh)",Miljö!$B$1:$T$1,0),FALSE)),"",VLOOKUP($B322,Miljö!$B$1:$T$480,MATCH("Såld mängd produktionsspecifik fjärrvärme (GWh)",Miljö!$B$1:$T$1,0),FALSE))</f>
        <v/>
      </c>
      <c r="J322" s="121" t="str">
        <f t="shared" si="4"/>
        <v>Ulricehamns Energi AB</v>
      </c>
    </row>
    <row r="323" spans="1:10" x14ac:dyDescent="0.25">
      <c r="A323" s="137" t="s">
        <v>629</v>
      </c>
      <c r="B323" s="137" t="s">
        <v>632</v>
      </c>
      <c r="D323" s="121" t="str">
        <f>IF(ISERROR(1/VLOOKUP($B323,Kraftvärmeprod!$B$1:$D$479,MATCH("Total värmeproduktion i kraftvärmeverk i kombinerad drift (GWh)",Kraftvärmeprod!$B$1:$AV$1,0),FALSE)),"Ej kraftvärme","Alternativproduktionsmetoden")</f>
        <v>Ej kraftvärme</v>
      </c>
      <c r="E323" s="172" t="str">
        <f>IF(ISERROR(1/VLOOKUP($B323,Kraftvärmeprod!$B$1:$BD$479,MATCH("Total värmeproduktion i kraftvärmeverk i kombinerad drift (GWh)",Kraftvärmeprod!$B$1:$AV$1,0),FALSE)),"",VLOOKUP($B323,'Slutlig allokering kvv'!$B$1:$BC$479,MATCH(E$1,'Slutlig allokering kvv'!$B$1:$AU$1,0),FALSE))</f>
        <v/>
      </c>
      <c r="F323" s="121" t="str">
        <f>IF(ISERROR(1/VLOOKUP($B323,Kraftvärmeprod!$B$1:$AV$479,MATCH("Producerad elenergi i kraftvärmeverk (GWh)",Kraftvärmeprod!$B$1:$AV$1,0),FALSE)),"",VLOOKUP($B323,Kraftvärmeprod!$B$1:$AV$479,MATCH("Producerad elenergi i kraftvärmeverk (GWh)",Kraftvärmeprod!$B$1:$AV$1,0),FALSE))</f>
        <v/>
      </c>
      <c r="G323" s="121" t="str">
        <f>IF(ISERROR(1/VLOOKUP($B323,Miljö!$B$1:$T$480,MATCH("Såld mängd produktionsspecifik fjärrvärme (GWh)",Miljö!$B$1:$T$1,0),FALSE)),"",VLOOKUP($B323,Miljö!$B$1:$T$480,MATCH("Såld mängd produktionsspecifik fjärrvärme (GWh)",Miljö!$B$1:$T$1,0),FALSE))</f>
        <v/>
      </c>
      <c r="J323" s="121" t="str">
        <f t="shared" ref="J323:J386" si="5">A323</f>
        <v>Ulricehamns Energi AB</v>
      </c>
    </row>
    <row r="324" spans="1:10" x14ac:dyDescent="0.25">
      <c r="A324" s="137" t="s">
        <v>633</v>
      </c>
      <c r="B324" s="137" t="s">
        <v>634</v>
      </c>
      <c r="D324" s="121" t="str">
        <f>IF(ISERROR(1/VLOOKUP($B324,Kraftvärmeprod!$B$1:$D$479,MATCH("Total värmeproduktion i kraftvärmeverk i kombinerad drift (GWh)",Kraftvärmeprod!$B$1:$AV$1,0),FALSE)),"Ej kraftvärme","Alternativproduktionsmetoden")</f>
        <v>Ej kraftvärme</v>
      </c>
      <c r="E324" s="172" t="str">
        <f>IF(ISERROR(1/VLOOKUP($B324,Kraftvärmeprod!$B$1:$BD$479,MATCH("Total värmeproduktion i kraftvärmeverk i kombinerad drift (GWh)",Kraftvärmeprod!$B$1:$AV$1,0),FALSE)),"",VLOOKUP($B324,'Slutlig allokering kvv'!$B$1:$BC$479,MATCH(E$1,'Slutlig allokering kvv'!$B$1:$AU$1,0),FALSE))</f>
        <v/>
      </c>
      <c r="F324" s="121" t="str">
        <f>IF(ISERROR(1/VLOOKUP($B324,Kraftvärmeprod!$B$1:$AV$479,MATCH("Producerad elenergi i kraftvärmeverk (GWh)",Kraftvärmeprod!$B$1:$AV$1,0),FALSE)),"",VLOOKUP($B324,Kraftvärmeprod!$B$1:$AV$479,MATCH("Producerad elenergi i kraftvärmeverk (GWh)",Kraftvärmeprod!$B$1:$AV$1,0),FALSE))</f>
        <v/>
      </c>
      <c r="G324" s="121" t="str">
        <f>IF(ISERROR(1/VLOOKUP($B324,Miljö!$B$1:$T$480,MATCH("Såld mängd produktionsspecifik fjärrvärme (GWh)",Miljö!$B$1:$T$1,0),FALSE)),"",VLOOKUP($B324,Miljö!$B$1:$T$480,MATCH("Såld mängd produktionsspecifik fjärrvärme (GWh)",Miljö!$B$1:$T$1,0),FALSE))</f>
        <v/>
      </c>
      <c r="J324" s="121" t="str">
        <f t="shared" si="5"/>
        <v>Umeå Energi AB</v>
      </c>
    </row>
    <row r="325" spans="1:10" x14ac:dyDescent="0.25">
      <c r="A325" s="137" t="s">
        <v>633</v>
      </c>
      <c r="B325" s="137" t="s">
        <v>635</v>
      </c>
      <c r="D325" s="121" t="str">
        <f>IF(ISERROR(1/VLOOKUP($B325,Kraftvärmeprod!$B$1:$D$479,MATCH("Total värmeproduktion i kraftvärmeverk i kombinerad drift (GWh)",Kraftvärmeprod!$B$1:$AV$1,0),FALSE)),"Ej kraftvärme","Alternativproduktionsmetoden")</f>
        <v>Ej kraftvärme</v>
      </c>
      <c r="E325" s="172" t="str">
        <f>IF(ISERROR(1/VLOOKUP($B325,Kraftvärmeprod!$B$1:$BD$479,MATCH("Total värmeproduktion i kraftvärmeverk i kombinerad drift (GWh)",Kraftvärmeprod!$B$1:$AV$1,0),FALSE)),"",VLOOKUP($B325,'Slutlig allokering kvv'!$B$1:$BC$479,MATCH(E$1,'Slutlig allokering kvv'!$B$1:$AU$1,0),FALSE))</f>
        <v/>
      </c>
      <c r="F325" s="121" t="str">
        <f>IF(ISERROR(1/VLOOKUP($B325,Kraftvärmeprod!$B$1:$AV$479,MATCH("Producerad elenergi i kraftvärmeverk (GWh)",Kraftvärmeprod!$B$1:$AV$1,0),FALSE)),"",VLOOKUP($B325,Kraftvärmeprod!$B$1:$AV$479,MATCH("Producerad elenergi i kraftvärmeverk (GWh)",Kraftvärmeprod!$B$1:$AV$1,0),FALSE))</f>
        <v/>
      </c>
      <c r="G325" s="121" t="str">
        <f>IF(ISERROR(1/VLOOKUP($B325,Miljö!$B$1:$T$480,MATCH("Såld mängd produktionsspecifik fjärrvärme (GWh)",Miljö!$B$1:$T$1,0),FALSE)),"",VLOOKUP($B325,Miljö!$B$1:$T$480,MATCH("Såld mängd produktionsspecifik fjärrvärme (GWh)",Miljö!$B$1:$T$1,0),FALSE))</f>
        <v/>
      </c>
      <c r="J325" s="121" t="str">
        <f t="shared" si="5"/>
        <v>Umeå Energi AB</v>
      </c>
    </row>
    <row r="326" spans="1:10" x14ac:dyDescent="0.25">
      <c r="A326" s="137" t="s">
        <v>633</v>
      </c>
      <c r="B326" s="137" t="s">
        <v>636</v>
      </c>
      <c r="D326" s="121" t="str">
        <f>IF(ISERROR(1/VLOOKUP($B326,Kraftvärmeprod!$B$1:$D$479,MATCH("Total värmeproduktion i kraftvärmeverk i kombinerad drift (GWh)",Kraftvärmeprod!$B$1:$AV$1,0),FALSE)),"Ej kraftvärme","Alternativproduktionsmetoden")</f>
        <v>Ej kraftvärme</v>
      </c>
      <c r="E326" s="172" t="str">
        <f>IF(ISERROR(1/VLOOKUP($B326,Kraftvärmeprod!$B$1:$BD$479,MATCH("Total värmeproduktion i kraftvärmeverk i kombinerad drift (GWh)",Kraftvärmeprod!$B$1:$AV$1,0),FALSE)),"",VLOOKUP($B326,'Slutlig allokering kvv'!$B$1:$BC$479,MATCH(E$1,'Slutlig allokering kvv'!$B$1:$AU$1,0),FALSE))</f>
        <v/>
      </c>
      <c r="F326" s="121" t="str">
        <f>IF(ISERROR(1/VLOOKUP($B326,Kraftvärmeprod!$B$1:$AV$479,MATCH("Producerad elenergi i kraftvärmeverk (GWh)",Kraftvärmeprod!$B$1:$AV$1,0),FALSE)),"",VLOOKUP($B326,Kraftvärmeprod!$B$1:$AV$479,MATCH("Producerad elenergi i kraftvärmeverk (GWh)",Kraftvärmeprod!$B$1:$AV$1,0),FALSE))</f>
        <v/>
      </c>
      <c r="G326" s="121" t="str">
        <f>IF(ISERROR(1/VLOOKUP($B326,Miljö!$B$1:$T$480,MATCH("Såld mängd produktionsspecifik fjärrvärme (GWh)",Miljö!$B$1:$T$1,0),FALSE)),"",VLOOKUP($B326,Miljö!$B$1:$T$480,MATCH("Såld mängd produktionsspecifik fjärrvärme (GWh)",Miljö!$B$1:$T$1,0),FALSE))</f>
        <v/>
      </c>
      <c r="J326" s="121" t="str">
        <f t="shared" si="5"/>
        <v>Umeå Energi AB</v>
      </c>
    </row>
    <row r="327" spans="1:10" x14ac:dyDescent="0.25">
      <c r="A327" s="137" t="s">
        <v>633</v>
      </c>
      <c r="B327" s="137" t="s">
        <v>637</v>
      </c>
      <c r="D327" s="121" t="str">
        <f>IF(ISERROR(1/VLOOKUP($B327,Kraftvärmeprod!$B$1:$D$479,MATCH("Total värmeproduktion i kraftvärmeverk i kombinerad drift (GWh)",Kraftvärmeprod!$B$1:$AV$1,0),FALSE)),"Ej kraftvärme","Alternativproduktionsmetoden")</f>
        <v>Alternativproduktionsmetoden</v>
      </c>
      <c r="E327" s="172">
        <f>IF(ISERROR(1/VLOOKUP($B327,Kraftvärmeprod!$B$1:$BD$479,MATCH("Total värmeproduktion i kraftvärmeverk i kombinerad drift (GWh)",Kraftvärmeprod!$B$1:$AV$1,0),FALSE)),"",VLOOKUP($B327,'Slutlig allokering kvv'!$B$1:$BC$479,MATCH(E$1,'Slutlig allokering kvv'!$B$1:$AU$1,0),FALSE))</f>
        <v>0.5326638368361114</v>
      </c>
      <c r="F327" s="121">
        <f>IF(ISERROR(1/VLOOKUP($B327,Kraftvärmeprod!$B$1:$AV$479,MATCH("Producerad elenergi i kraftvärmeverk (GWh)",Kraftvärmeprod!$B$1:$AV$1,0),FALSE)),"",VLOOKUP($B327,Kraftvärmeprod!$B$1:$AV$479,MATCH("Producerad elenergi i kraftvärmeverk (GWh)",Kraftvärmeprod!$B$1:$AV$1,0),FALSE))</f>
        <v>191.1</v>
      </c>
      <c r="G327" s="121" t="str">
        <f>IF(ISERROR(1/VLOOKUP($B327,Miljö!$B$1:$T$480,MATCH("Såld mängd produktionsspecifik fjärrvärme (GWh)",Miljö!$B$1:$T$1,0),FALSE)),"",VLOOKUP($B327,Miljö!$B$1:$T$480,MATCH("Såld mängd produktionsspecifik fjärrvärme (GWh)",Miljö!$B$1:$T$1,0),FALSE))</f>
        <v/>
      </c>
      <c r="J327" s="121" t="str">
        <f t="shared" si="5"/>
        <v>Umeå Energi AB</v>
      </c>
    </row>
    <row r="328" spans="1:10" x14ac:dyDescent="0.25">
      <c r="A328" s="137" t="s">
        <v>638</v>
      </c>
      <c r="B328" s="137" t="s">
        <v>639</v>
      </c>
      <c r="D328" s="121" t="str">
        <f>IF(ISERROR(1/VLOOKUP($B328,Kraftvärmeprod!$B$1:$D$479,MATCH("Total värmeproduktion i kraftvärmeverk i kombinerad drift (GWh)",Kraftvärmeprod!$B$1:$AV$1,0),FALSE)),"Ej kraftvärme","Alternativproduktionsmetoden")</f>
        <v>Ej kraftvärme</v>
      </c>
      <c r="E328" s="172" t="str">
        <f>IF(ISERROR(1/VLOOKUP($B328,Kraftvärmeprod!$B$1:$BD$479,MATCH("Total värmeproduktion i kraftvärmeverk i kombinerad drift (GWh)",Kraftvärmeprod!$B$1:$AV$1,0),FALSE)),"",VLOOKUP($B328,'Slutlig allokering kvv'!$B$1:$BC$479,MATCH(E$1,'Slutlig allokering kvv'!$B$1:$AU$1,0),FALSE))</f>
        <v/>
      </c>
      <c r="F328" s="121" t="str">
        <f>IF(ISERROR(1/VLOOKUP($B328,Kraftvärmeprod!$B$1:$AV$479,MATCH("Producerad elenergi i kraftvärmeverk (GWh)",Kraftvärmeprod!$B$1:$AV$1,0),FALSE)),"",VLOOKUP($B328,Kraftvärmeprod!$B$1:$AV$479,MATCH("Producerad elenergi i kraftvärmeverk (GWh)",Kraftvärmeprod!$B$1:$AV$1,0),FALSE))</f>
        <v/>
      </c>
      <c r="G328" s="121" t="str">
        <f>IF(ISERROR(1/VLOOKUP($B328,Miljö!$B$1:$T$480,MATCH("Såld mängd produktionsspecifik fjärrvärme (GWh)",Miljö!$B$1:$T$1,0),FALSE)),"",VLOOKUP($B328,Miljö!$B$1:$T$480,MATCH("Såld mängd produktionsspecifik fjärrvärme (GWh)",Miljö!$B$1:$T$1,0),FALSE))</f>
        <v/>
      </c>
      <c r="J328" s="121" t="str">
        <f t="shared" si="5"/>
        <v>Vaggeryds Energi AB</v>
      </c>
    </row>
    <row r="329" spans="1:10" x14ac:dyDescent="0.25">
      <c r="A329" s="137" t="s">
        <v>638</v>
      </c>
      <c r="B329" s="137" t="s">
        <v>641</v>
      </c>
      <c r="D329" s="121" t="str">
        <f>IF(ISERROR(1/VLOOKUP($B329,Kraftvärmeprod!$B$1:$D$479,MATCH("Total värmeproduktion i kraftvärmeverk i kombinerad drift (GWh)",Kraftvärmeprod!$B$1:$AV$1,0),FALSE)),"Ej kraftvärme","Alternativproduktionsmetoden")</f>
        <v>Ej kraftvärme</v>
      </c>
      <c r="E329" s="172" t="str">
        <f>IF(ISERROR(1/VLOOKUP($B329,Kraftvärmeprod!$B$1:$BD$479,MATCH("Total värmeproduktion i kraftvärmeverk i kombinerad drift (GWh)",Kraftvärmeprod!$B$1:$AV$1,0),FALSE)),"",VLOOKUP($B329,'Slutlig allokering kvv'!$B$1:$BC$479,MATCH(E$1,'Slutlig allokering kvv'!$B$1:$AU$1,0),FALSE))</f>
        <v/>
      </c>
      <c r="F329" s="121" t="str">
        <f>IF(ISERROR(1/VLOOKUP($B329,Kraftvärmeprod!$B$1:$AV$479,MATCH("Producerad elenergi i kraftvärmeverk (GWh)",Kraftvärmeprod!$B$1:$AV$1,0),FALSE)),"",VLOOKUP($B329,Kraftvärmeprod!$B$1:$AV$479,MATCH("Producerad elenergi i kraftvärmeverk (GWh)",Kraftvärmeprod!$B$1:$AV$1,0),FALSE))</f>
        <v/>
      </c>
      <c r="G329" s="121" t="str">
        <f>IF(ISERROR(1/VLOOKUP($B329,Miljö!$B$1:$T$480,MATCH("Såld mängd produktionsspecifik fjärrvärme (GWh)",Miljö!$B$1:$T$1,0),FALSE)),"",VLOOKUP($B329,Miljö!$B$1:$T$480,MATCH("Såld mängd produktionsspecifik fjärrvärme (GWh)",Miljö!$B$1:$T$1,0),FALSE))</f>
        <v/>
      </c>
      <c r="J329" s="121" t="str">
        <f t="shared" si="5"/>
        <v>Vaggeryds Energi AB</v>
      </c>
    </row>
    <row r="330" spans="1:10" x14ac:dyDescent="0.25">
      <c r="A330" s="137" t="s">
        <v>643</v>
      </c>
      <c r="B330" s="137" t="s">
        <v>644</v>
      </c>
      <c r="D330" s="121" t="str">
        <f>IF(ISERROR(1/VLOOKUP($B330,Kraftvärmeprod!$B$1:$D$479,MATCH("Total värmeproduktion i kraftvärmeverk i kombinerad drift (GWh)",Kraftvärmeprod!$B$1:$AV$1,0),FALSE)),"Ej kraftvärme","Alternativproduktionsmetoden")</f>
        <v>Ej kraftvärme</v>
      </c>
      <c r="E330" s="172" t="str">
        <f>IF(ISERROR(1/VLOOKUP($B330,Kraftvärmeprod!$B$1:$BD$479,MATCH("Total värmeproduktion i kraftvärmeverk i kombinerad drift (GWh)",Kraftvärmeprod!$B$1:$AV$1,0),FALSE)),"",VLOOKUP($B330,'Slutlig allokering kvv'!$B$1:$BC$479,MATCH(E$1,'Slutlig allokering kvv'!$B$1:$AU$1,0),FALSE))</f>
        <v/>
      </c>
      <c r="F330" s="121" t="str">
        <f>IF(ISERROR(1/VLOOKUP($B330,Kraftvärmeprod!$B$1:$AV$479,MATCH("Producerad elenergi i kraftvärmeverk (GWh)",Kraftvärmeprod!$B$1:$AV$1,0),FALSE)),"",VLOOKUP($B330,Kraftvärmeprod!$B$1:$AV$479,MATCH("Producerad elenergi i kraftvärmeverk (GWh)",Kraftvärmeprod!$B$1:$AV$1,0),FALSE))</f>
        <v/>
      </c>
      <c r="G330" s="121" t="str">
        <f>IF(ISERROR(1/VLOOKUP($B330,Miljö!$B$1:$T$480,MATCH("Såld mängd produktionsspecifik fjärrvärme (GWh)",Miljö!$B$1:$T$1,0),FALSE)),"",VLOOKUP($B330,Miljö!$B$1:$T$480,MATCH("Såld mängd produktionsspecifik fjärrvärme (GWh)",Miljö!$B$1:$T$1,0),FALSE))</f>
        <v/>
      </c>
      <c r="J330" s="121" t="str">
        <f t="shared" si="5"/>
        <v>Vara Energi Värme AB</v>
      </c>
    </row>
    <row r="331" spans="1:10" x14ac:dyDescent="0.25">
      <c r="A331" s="137" t="s">
        <v>645</v>
      </c>
      <c r="B331" s="137" t="s">
        <v>646</v>
      </c>
      <c r="D331" s="121" t="str">
        <f>IF(ISERROR(1/VLOOKUP($B331,Kraftvärmeprod!$B$1:$D$479,MATCH("Total värmeproduktion i kraftvärmeverk i kombinerad drift (GWh)",Kraftvärmeprod!$B$1:$AV$1,0),FALSE)),"Ej kraftvärme","Alternativproduktionsmetoden")</f>
        <v>Ej kraftvärme</v>
      </c>
      <c r="E331" s="172" t="str">
        <f>IF(ISERROR(1/VLOOKUP($B331,Kraftvärmeprod!$B$1:$BD$479,MATCH("Total värmeproduktion i kraftvärmeverk i kombinerad drift (GWh)",Kraftvärmeprod!$B$1:$AV$1,0),FALSE)),"",VLOOKUP($B331,'Slutlig allokering kvv'!$B$1:$BC$479,MATCH(E$1,'Slutlig allokering kvv'!$B$1:$AU$1,0),FALSE))</f>
        <v/>
      </c>
      <c r="F331" s="121" t="str">
        <f>IF(ISERROR(1/VLOOKUP($B331,Kraftvärmeprod!$B$1:$AV$479,MATCH("Producerad elenergi i kraftvärmeverk (GWh)",Kraftvärmeprod!$B$1:$AV$1,0),FALSE)),"",VLOOKUP($B331,Kraftvärmeprod!$B$1:$AV$479,MATCH("Producerad elenergi i kraftvärmeverk (GWh)",Kraftvärmeprod!$B$1:$AV$1,0),FALSE))</f>
        <v/>
      </c>
      <c r="G331" s="121" t="str">
        <f>IF(ISERROR(1/VLOOKUP($B331,Miljö!$B$1:$T$480,MATCH("Såld mängd produktionsspecifik fjärrvärme (GWh)",Miljö!$B$1:$T$1,0),FALSE)),"",VLOOKUP($B331,Miljö!$B$1:$T$480,MATCH("Såld mängd produktionsspecifik fjärrvärme (GWh)",Miljö!$B$1:$T$1,0),FALSE))</f>
        <v/>
      </c>
      <c r="J331" s="121" t="str">
        <f t="shared" si="5"/>
        <v>Varberg Energi AB</v>
      </c>
    </row>
    <row r="332" spans="1:10" x14ac:dyDescent="0.25">
      <c r="A332" s="137" t="s">
        <v>645</v>
      </c>
      <c r="B332" s="137" t="s">
        <v>647</v>
      </c>
      <c r="D332" s="121" t="str">
        <f>IF(ISERROR(1/VLOOKUP($B332,Kraftvärmeprod!$B$1:$D$479,MATCH("Total värmeproduktion i kraftvärmeverk i kombinerad drift (GWh)",Kraftvärmeprod!$B$1:$AV$1,0),FALSE)),"Ej kraftvärme","Alternativproduktionsmetoden")</f>
        <v>Ej kraftvärme</v>
      </c>
      <c r="E332" s="172" t="str">
        <f>IF(ISERROR(1/VLOOKUP($B332,Kraftvärmeprod!$B$1:$BD$479,MATCH("Total värmeproduktion i kraftvärmeverk i kombinerad drift (GWh)",Kraftvärmeprod!$B$1:$AV$1,0),FALSE)),"",VLOOKUP($B332,'Slutlig allokering kvv'!$B$1:$BC$479,MATCH(E$1,'Slutlig allokering kvv'!$B$1:$AU$1,0),FALSE))</f>
        <v/>
      </c>
      <c r="F332" s="121" t="str">
        <f>IF(ISERROR(1/VLOOKUP($B332,Kraftvärmeprod!$B$1:$AV$479,MATCH("Producerad elenergi i kraftvärmeverk (GWh)",Kraftvärmeprod!$B$1:$AV$1,0),FALSE)),"",VLOOKUP($B332,Kraftvärmeprod!$B$1:$AV$479,MATCH("Producerad elenergi i kraftvärmeverk (GWh)",Kraftvärmeprod!$B$1:$AV$1,0),FALSE))</f>
        <v/>
      </c>
      <c r="G332" s="121" t="str">
        <f>IF(ISERROR(1/VLOOKUP($B332,Miljö!$B$1:$T$480,MATCH("Såld mängd produktionsspecifik fjärrvärme (GWh)",Miljö!$B$1:$T$1,0),FALSE)),"",VLOOKUP($B332,Miljö!$B$1:$T$480,MATCH("Såld mängd produktionsspecifik fjärrvärme (GWh)",Miljö!$B$1:$T$1,0),FALSE))</f>
        <v/>
      </c>
      <c r="J332" s="121" t="str">
        <f t="shared" si="5"/>
        <v>Varberg Energi AB</v>
      </c>
    </row>
    <row r="333" spans="1:10" x14ac:dyDescent="0.25">
      <c r="A333" s="137" t="s">
        <v>645</v>
      </c>
      <c r="B333" s="137" t="s">
        <v>648</v>
      </c>
      <c r="D333" s="121" t="str">
        <f>IF(ISERROR(1/VLOOKUP($B333,Kraftvärmeprod!$B$1:$D$479,MATCH("Total värmeproduktion i kraftvärmeverk i kombinerad drift (GWh)",Kraftvärmeprod!$B$1:$AV$1,0),FALSE)),"Ej kraftvärme","Alternativproduktionsmetoden")</f>
        <v>Ej kraftvärme</v>
      </c>
      <c r="E333" s="172" t="str">
        <f>IF(ISERROR(1/VLOOKUP($B333,Kraftvärmeprod!$B$1:$BD$479,MATCH("Total värmeproduktion i kraftvärmeverk i kombinerad drift (GWh)",Kraftvärmeprod!$B$1:$AV$1,0),FALSE)),"",VLOOKUP($B333,'Slutlig allokering kvv'!$B$1:$BC$479,MATCH(E$1,'Slutlig allokering kvv'!$B$1:$AU$1,0),FALSE))</f>
        <v/>
      </c>
      <c r="F333" s="121" t="str">
        <f>IF(ISERROR(1/VLOOKUP($B333,Kraftvärmeprod!$B$1:$AV$479,MATCH("Producerad elenergi i kraftvärmeverk (GWh)",Kraftvärmeprod!$B$1:$AV$1,0),FALSE)),"",VLOOKUP($B333,Kraftvärmeprod!$B$1:$AV$479,MATCH("Producerad elenergi i kraftvärmeverk (GWh)",Kraftvärmeprod!$B$1:$AV$1,0),FALSE))</f>
        <v/>
      </c>
      <c r="G333" s="121" t="str">
        <f>IF(ISERROR(1/VLOOKUP($B333,Miljö!$B$1:$T$480,MATCH("Såld mängd produktionsspecifik fjärrvärme (GWh)",Miljö!$B$1:$T$1,0),FALSE)),"",VLOOKUP($B333,Miljö!$B$1:$T$480,MATCH("Såld mängd produktionsspecifik fjärrvärme (GWh)",Miljö!$B$1:$T$1,0),FALSE))</f>
        <v/>
      </c>
      <c r="J333" s="121" t="str">
        <f t="shared" si="5"/>
        <v>Varberg Energi AB</v>
      </c>
    </row>
    <row r="334" spans="1:10" x14ac:dyDescent="0.25">
      <c r="A334" s="137" t="s">
        <v>649</v>
      </c>
      <c r="B334" s="137" t="s">
        <v>650</v>
      </c>
      <c r="D334" s="121" t="str">
        <f>IF(ISERROR(1/VLOOKUP($B334,Kraftvärmeprod!$B$1:$D$479,MATCH("Total värmeproduktion i kraftvärmeverk i kombinerad drift (GWh)",Kraftvärmeprod!$B$1:$AV$1,0),FALSE)),"Ej kraftvärme","Alternativproduktionsmetoden")</f>
        <v>Ej kraftvärme</v>
      </c>
      <c r="E334" s="172" t="str">
        <f>IF(ISERROR(1/VLOOKUP($B334,Kraftvärmeprod!$B$1:$BD$479,MATCH("Total värmeproduktion i kraftvärmeverk i kombinerad drift (GWh)",Kraftvärmeprod!$B$1:$AV$1,0),FALSE)),"",VLOOKUP($B334,'Slutlig allokering kvv'!$B$1:$BC$479,MATCH(E$1,'Slutlig allokering kvv'!$B$1:$AU$1,0),FALSE))</f>
        <v/>
      </c>
      <c r="F334" s="121" t="str">
        <f>IF(ISERROR(1/VLOOKUP($B334,Kraftvärmeprod!$B$1:$AV$479,MATCH("Producerad elenergi i kraftvärmeverk (GWh)",Kraftvärmeprod!$B$1:$AV$1,0),FALSE)),"",VLOOKUP($B334,Kraftvärmeprod!$B$1:$AV$479,MATCH("Producerad elenergi i kraftvärmeverk (GWh)",Kraftvärmeprod!$B$1:$AV$1,0),FALSE))</f>
        <v/>
      </c>
      <c r="G334" s="121" t="str">
        <f>IF(ISERROR(1/VLOOKUP($B334,Miljö!$B$1:$T$480,MATCH("Såld mängd produktionsspecifik fjärrvärme (GWh)",Miljö!$B$1:$T$1,0),FALSE)),"",VLOOKUP($B334,Miljö!$B$1:$T$480,MATCH("Såld mängd produktionsspecifik fjärrvärme (GWh)",Miljö!$B$1:$T$1,0),FALSE))</f>
        <v/>
      </c>
      <c r="J334" s="121" t="str">
        <f t="shared" si="5"/>
        <v>Vasa Värme Holding AB</v>
      </c>
    </row>
    <row r="335" spans="1:10" x14ac:dyDescent="0.25">
      <c r="A335" s="137" t="s">
        <v>649</v>
      </c>
      <c r="B335" s="137" t="s">
        <v>651</v>
      </c>
      <c r="D335" s="121" t="str">
        <f>IF(ISERROR(1/VLOOKUP($B335,Kraftvärmeprod!$B$1:$D$479,MATCH("Total värmeproduktion i kraftvärmeverk i kombinerad drift (GWh)",Kraftvärmeprod!$B$1:$AV$1,0),FALSE)),"Ej kraftvärme","Alternativproduktionsmetoden")</f>
        <v>Ej kraftvärme</v>
      </c>
      <c r="E335" s="172" t="str">
        <f>IF(ISERROR(1/VLOOKUP($B335,Kraftvärmeprod!$B$1:$BD$479,MATCH("Total värmeproduktion i kraftvärmeverk i kombinerad drift (GWh)",Kraftvärmeprod!$B$1:$AV$1,0),FALSE)),"",VLOOKUP($B335,'Slutlig allokering kvv'!$B$1:$BC$479,MATCH(E$1,'Slutlig allokering kvv'!$B$1:$AU$1,0),FALSE))</f>
        <v/>
      </c>
      <c r="F335" s="121" t="str">
        <f>IF(ISERROR(1/VLOOKUP($B335,Kraftvärmeprod!$B$1:$AV$479,MATCH("Producerad elenergi i kraftvärmeverk (GWh)",Kraftvärmeprod!$B$1:$AV$1,0),FALSE)),"",VLOOKUP($B335,Kraftvärmeprod!$B$1:$AV$479,MATCH("Producerad elenergi i kraftvärmeverk (GWh)",Kraftvärmeprod!$B$1:$AV$1,0),FALSE))</f>
        <v/>
      </c>
      <c r="G335" s="121" t="str">
        <f>IF(ISERROR(1/VLOOKUP($B335,Miljö!$B$1:$T$480,MATCH("Såld mängd produktionsspecifik fjärrvärme (GWh)",Miljö!$B$1:$T$1,0),FALSE)),"",VLOOKUP($B335,Miljö!$B$1:$T$480,MATCH("Såld mängd produktionsspecifik fjärrvärme (GWh)",Miljö!$B$1:$T$1,0),FALSE))</f>
        <v/>
      </c>
      <c r="J335" s="121" t="str">
        <f t="shared" si="5"/>
        <v>Vasa Värme Holding AB</v>
      </c>
    </row>
    <row r="336" spans="1:10" x14ac:dyDescent="0.25">
      <c r="A336" s="137" t="s">
        <v>649</v>
      </c>
      <c r="B336" s="137" t="s">
        <v>652</v>
      </c>
      <c r="D336" s="121" t="str">
        <f>IF(ISERROR(1/VLOOKUP($B336,Kraftvärmeprod!$B$1:$D$479,MATCH("Total värmeproduktion i kraftvärmeverk i kombinerad drift (GWh)",Kraftvärmeprod!$B$1:$AV$1,0),FALSE)),"Ej kraftvärme","Alternativproduktionsmetoden")</f>
        <v>Ej kraftvärme</v>
      </c>
      <c r="E336" s="172" t="str">
        <f>IF(ISERROR(1/VLOOKUP($B336,Kraftvärmeprod!$B$1:$BD$479,MATCH("Total värmeproduktion i kraftvärmeverk i kombinerad drift (GWh)",Kraftvärmeprod!$B$1:$AV$1,0),FALSE)),"",VLOOKUP($B336,'Slutlig allokering kvv'!$B$1:$BC$479,MATCH(E$1,'Slutlig allokering kvv'!$B$1:$AU$1,0),FALSE))</f>
        <v/>
      </c>
      <c r="F336" s="121" t="str">
        <f>IF(ISERROR(1/VLOOKUP($B336,Kraftvärmeprod!$B$1:$AV$479,MATCH("Producerad elenergi i kraftvärmeverk (GWh)",Kraftvärmeprod!$B$1:$AV$1,0),FALSE)),"",VLOOKUP($B336,Kraftvärmeprod!$B$1:$AV$479,MATCH("Producerad elenergi i kraftvärmeverk (GWh)",Kraftvärmeprod!$B$1:$AV$1,0),FALSE))</f>
        <v/>
      </c>
      <c r="G336" s="121" t="str">
        <f>IF(ISERROR(1/VLOOKUP($B336,Miljö!$B$1:$T$480,MATCH("Såld mängd produktionsspecifik fjärrvärme (GWh)",Miljö!$B$1:$T$1,0),FALSE)),"",VLOOKUP($B336,Miljö!$B$1:$T$480,MATCH("Såld mängd produktionsspecifik fjärrvärme (GWh)",Miljö!$B$1:$T$1,0),FALSE))</f>
        <v/>
      </c>
      <c r="J336" s="121" t="str">
        <f t="shared" si="5"/>
        <v>Vasa Värme Holding AB</v>
      </c>
    </row>
    <row r="337" spans="1:10" x14ac:dyDescent="0.25">
      <c r="A337" s="137" t="s">
        <v>649</v>
      </c>
      <c r="B337" s="137" t="s">
        <v>653</v>
      </c>
      <c r="D337" s="121" t="str">
        <f>IF(ISERROR(1/VLOOKUP($B337,Kraftvärmeprod!$B$1:$D$479,MATCH("Total värmeproduktion i kraftvärmeverk i kombinerad drift (GWh)",Kraftvärmeprod!$B$1:$AV$1,0),FALSE)),"Ej kraftvärme","Alternativproduktionsmetoden")</f>
        <v>Ej kraftvärme</v>
      </c>
      <c r="E337" s="172" t="str">
        <f>IF(ISERROR(1/VLOOKUP($B337,Kraftvärmeprod!$B$1:$BD$479,MATCH("Total värmeproduktion i kraftvärmeverk i kombinerad drift (GWh)",Kraftvärmeprod!$B$1:$AV$1,0),FALSE)),"",VLOOKUP($B337,'Slutlig allokering kvv'!$B$1:$BC$479,MATCH(E$1,'Slutlig allokering kvv'!$B$1:$AU$1,0),FALSE))</f>
        <v/>
      </c>
      <c r="F337" s="121" t="str">
        <f>IF(ISERROR(1/VLOOKUP($B337,Kraftvärmeprod!$B$1:$AV$479,MATCH("Producerad elenergi i kraftvärmeverk (GWh)",Kraftvärmeprod!$B$1:$AV$1,0),FALSE)),"",VLOOKUP($B337,Kraftvärmeprod!$B$1:$AV$479,MATCH("Producerad elenergi i kraftvärmeverk (GWh)",Kraftvärmeprod!$B$1:$AV$1,0),FALSE))</f>
        <v/>
      </c>
      <c r="G337" s="121" t="str">
        <f>IF(ISERROR(1/VLOOKUP($B337,Miljö!$B$1:$T$480,MATCH("Såld mängd produktionsspecifik fjärrvärme (GWh)",Miljö!$B$1:$T$1,0),FALSE)),"",VLOOKUP($B337,Miljö!$B$1:$T$480,MATCH("Såld mängd produktionsspecifik fjärrvärme (GWh)",Miljö!$B$1:$T$1,0),FALSE))</f>
        <v/>
      </c>
      <c r="J337" s="121" t="str">
        <f t="shared" si="5"/>
        <v>Vasa Värme Holding AB</v>
      </c>
    </row>
    <row r="338" spans="1:10" x14ac:dyDescent="0.25">
      <c r="A338" s="137" t="s">
        <v>649</v>
      </c>
      <c r="B338" s="137" t="s">
        <v>138</v>
      </c>
      <c r="D338" s="121" t="str">
        <f>IF(ISERROR(1/VLOOKUP($B338,Kraftvärmeprod!$B$1:$D$479,MATCH("Total värmeproduktion i kraftvärmeverk i kombinerad drift (GWh)",Kraftvärmeprod!$B$1:$AV$1,0),FALSE)),"Ej kraftvärme","Alternativproduktionsmetoden")</f>
        <v>Ej kraftvärme</v>
      </c>
      <c r="E338" s="172" t="str">
        <f>IF(ISERROR(1/VLOOKUP($B338,Kraftvärmeprod!$B$1:$BD$479,MATCH("Total värmeproduktion i kraftvärmeverk i kombinerad drift (GWh)",Kraftvärmeprod!$B$1:$AV$1,0),FALSE)),"",VLOOKUP($B338,'Slutlig allokering kvv'!$B$1:$BC$479,MATCH(E$1,'Slutlig allokering kvv'!$B$1:$AU$1,0),FALSE))</f>
        <v/>
      </c>
      <c r="F338" s="121" t="str">
        <f>IF(ISERROR(1/VLOOKUP($B338,Kraftvärmeprod!$B$1:$AV$479,MATCH("Producerad elenergi i kraftvärmeverk (GWh)",Kraftvärmeprod!$B$1:$AV$1,0),FALSE)),"",VLOOKUP($B338,Kraftvärmeprod!$B$1:$AV$479,MATCH("Producerad elenergi i kraftvärmeverk (GWh)",Kraftvärmeprod!$B$1:$AV$1,0),FALSE))</f>
        <v/>
      </c>
      <c r="G338" s="121" t="str">
        <f>IF(ISERROR(1/VLOOKUP($B338,Miljö!$B$1:$T$480,MATCH("Såld mängd produktionsspecifik fjärrvärme (GWh)",Miljö!$B$1:$T$1,0),FALSE)),"",VLOOKUP($B338,Miljö!$B$1:$T$480,MATCH("Såld mängd produktionsspecifik fjärrvärme (GWh)",Miljö!$B$1:$T$1,0),FALSE))</f>
        <v/>
      </c>
      <c r="J338" s="121" t="str">
        <f t="shared" si="5"/>
        <v>Vasa Värme Holding AB</v>
      </c>
    </row>
    <row r="339" spans="1:10" x14ac:dyDescent="0.25">
      <c r="A339" s="137" t="s">
        <v>654</v>
      </c>
      <c r="B339" s="137" t="s">
        <v>655</v>
      </c>
      <c r="D339" s="121" t="str">
        <f>IF(ISERROR(1/VLOOKUP($B339,Kraftvärmeprod!$B$1:$D$479,MATCH("Total värmeproduktion i kraftvärmeverk i kombinerad drift (GWh)",Kraftvärmeprod!$B$1:$AV$1,0),FALSE)),"Ej kraftvärme","Alternativproduktionsmetoden")</f>
        <v>Ej kraftvärme</v>
      </c>
      <c r="E339" s="172" t="str">
        <f>IF(ISERROR(1/VLOOKUP($B339,Kraftvärmeprod!$B$1:$BD$479,MATCH("Total värmeproduktion i kraftvärmeverk i kombinerad drift (GWh)",Kraftvärmeprod!$B$1:$AV$1,0),FALSE)),"",VLOOKUP($B339,'Slutlig allokering kvv'!$B$1:$BC$479,MATCH(E$1,'Slutlig allokering kvv'!$B$1:$AU$1,0),FALSE))</f>
        <v/>
      </c>
      <c r="F339" s="121" t="str">
        <f>IF(ISERROR(1/VLOOKUP($B339,Kraftvärmeprod!$B$1:$AV$479,MATCH("Producerad elenergi i kraftvärmeverk (GWh)",Kraftvärmeprod!$B$1:$AV$1,0),FALSE)),"",VLOOKUP($B339,Kraftvärmeprod!$B$1:$AV$479,MATCH("Producerad elenergi i kraftvärmeverk (GWh)",Kraftvärmeprod!$B$1:$AV$1,0),FALSE))</f>
        <v/>
      </c>
      <c r="G339" s="121" t="str">
        <f>IF(ISERROR(1/VLOOKUP($B339,Miljö!$B$1:$T$480,MATCH("Såld mängd produktionsspecifik fjärrvärme (GWh)",Miljö!$B$1:$T$1,0),FALSE)),"",VLOOKUP($B339,Miljö!$B$1:$T$480,MATCH("Såld mängd produktionsspecifik fjärrvärme (GWh)",Miljö!$B$1:$T$1,0),FALSE))</f>
        <v/>
      </c>
      <c r="J339" s="121" t="str">
        <f t="shared" si="5"/>
        <v>Vattenfall AB</v>
      </c>
    </row>
    <row r="340" spans="1:10" x14ac:dyDescent="0.25">
      <c r="A340" s="137" t="s">
        <v>654</v>
      </c>
      <c r="B340" s="137" t="s">
        <v>656</v>
      </c>
      <c r="D340" s="121" t="str">
        <f>IF(ISERROR(1/VLOOKUP($B340,Kraftvärmeprod!$B$1:$D$479,MATCH("Total värmeproduktion i kraftvärmeverk i kombinerad drift (GWh)",Kraftvärmeprod!$B$1:$AV$1,0),FALSE)),"Ej kraftvärme","Alternativproduktionsmetoden")</f>
        <v>Alternativproduktionsmetoden</v>
      </c>
      <c r="E340" s="172">
        <f>IF(ISERROR(1/VLOOKUP($B340,Kraftvärmeprod!$B$1:$BD$479,MATCH("Total värmeproduktion i kraftvärmeverk i kombinerad drift (GWh)",Kraftvärmeprod!$B$1:$AV$1,0),FALSE)),"",VLOOKUP($B340,'Slutlig allokering kvv'!$B$1:$BC$479,MATCH(E$1,'Slutlig allokering kvv'!$B$1:$AU$1,0),FALSE))</f>
        <v>0.90285431392793791</v>
      </c>
      <c r="F340" s="121">
        <f>IF(ISERROR(1/VLOOKUP($B340,Kraftvärmeprod!$B$1:$AV$479,MATCH("Producerad elenergi i kraftvärmeverk (GWh)",Kraftvärmeprod!$B$1:$AV$1,0),FALSE)),"",VLOOKUP($B340,Kraftvärmeprod!$B$1:$AV$479,MATCH("Producerad elenergi i kraftvärmeverk (GWh)",Kraftvärmeprod!$B$1:$AV$1,0),FALSE))</f>
        <v>12.91</v>
      </c>
      <c r="G340" s="121" t="str">
        <f>IF(ISERROR(1/VLOOKUP($B340,Miljö!$B$1:$T$480,MATCH("Såld mängd produktionsspecifik fjärrvärme (GWh)",Miljö!$B$1:$T$1,0),FALSE)),"",VLOOKUP($B340,Miljö!$B$1:$T$480,MATCH("Såld mängd produktionsspecifik fjärrvärme (GWh)",Miljö!$B$1:$T$1,0),FALSE))</f>
        <v/>
      </c>
      <c r="J340" s="121" t="str">
        <f t="shared" si="5"/>
        <v>Vattenfall AB</v>
      </c>
    </row>
    <row r="341" spans="1:10" x14ac:dyDescent="0.25">
      <c r="A341" s="137" t="s">
        <v>654</v>
      </c>
      <c r="B341" s="137" t="s">
        <v>657</v>
      </c>
      <c r="D341" s="121" t="str">
        <f>IF(ISERROR(1/VLOOKUP($B341,Kraftvärmeprod!$B$1:$D$479,MATCH("Total värmeproduktion i kraftvärmeverk i kombinerad drift (GWh)",Kraftvärmeprod!$B$1:$AV$1,0),FALSE)),"Ej kraftvärme","Alternativproduktionsmetoden")</f>
        <v>Ej kraftvärme</v>
      </c>
      <c r="E341" s="172" t="str">
        <f>IF(ISERROR(1/VLOOKUP($B341,Kraftvärmeprod!$B$1:$BD$479,MATCH("Total värmeproduktion i kraftvärmeverk i kombinerad drift (GWh)",Kraftvärmeprod!$B$1:$AV$1,0),FALSE)),"",VLOOKUP($B341,'Slutlig allokering kvv'!$B$1:$BC$479,MATCH(E$1,'Slutlig allokering kvv'!$B$1:$AU$1,0),FALSE))</f>
        <v/>
      </c>
      <c r="F341" s="121" t="str">
        <f>IF(ISERROR(1/VLOOKUP($B341,Kraftvärmeprod!$B$1:$AV$479,MATCH("Producerad elenergi i kraftvärmeverk (GWh)",Kraftvärmeprod!$B$1:$AV$1,0),FALSE)),"",VLOOKUP($B341,Kraftvärmeprod!$B$1:$AV$479,MATCH("Producerad elenergi i kraftvärmeverk (GWh)",Kraftvärmeprod!$B$1:$AV$1,0),FALSE))</f>
        <v/>
      </c>
      <c r="G341" s="121" t="str">
        <f>IF(ISERROR(1/VLOOKUP($B341,Miljö!$B$1:$T$480,MATCH("Såld mängd produktionsspecifik fjärrvärme (GWh)",Miljö!$B$1:$T$1,0),FALSE)),"",VLOOKUP($B341,Miljö!$B$1:$T$480,MATCH("Såld mängd produktionsspecifik fjärrvärme (GWh)",Miljö!$B$1:$T$1,0),FALSE))</f>
        <v/>
      </c>
      <c r="J341" s="121" t="str">
        <f t="shared" si="5"/>
        <v>Vattenfall AB</v>
      </c>
    </row>
    <row r="342" spans="1:10" x14ac:dyDescent="0.25">
      <c r="A342" s="137" t="s">
        <v>654</v>
      </c>
      <c r="B342" s="141" t="s">
        <v>11</v>
      </c>
      <c r="D342" s="121" t="str">
        <f>IF(ISERROR(1/VLOOKUP($B342,Kraftvärmeprod!$B$1:$D$479,MATCH("Total värmeproduktion i kraftvärmeverk i kombinerad drift (GWh)",Kraftvärmeprod!$B$1:$AV$1,0),FALSE)),"Ej kraftvärme","Alternativproduktionsmetoden")</f>
        <v>Ej kraftvärme</v>
      </c>
      <c r="E342" s="172" t="str">
        <f>IF(ISERROR(1/VLOOKUP($B342,Kraftvärmeprod!$B$1:$BD$479,MATCH("Total värmeproduktion i kraftvärmeverk i kombinerad drift (GWh)",Kraftvärmeprod!$B$1:$AV$1,0),FALSE)),"",VLOOKUP($B342,'Slutlig allokering kvv'!$B$1:$BC$479,MATCH(E$1,'Slutlig allokering kvv'!$B$1:$AU$1,0),FALSE))</f>
        <v/>
      </c>
      <c r="F342" s="121" t="str">
        <f>IF(ISERROR(1/VLOOKUP($B342,Kraftvärmeprod!$B$1:$AV$479,MATCH("Producerad elenergi i kraftvärmeverk (GWh)",Kraftvärmeprod!$B$1:$AV$1,0),FALSE)),"",VLOOKUP($B342,Kraftvärmeprod!$B$1:$AV$479,MATCH("Producerad elenergi i kraftvärmeverk (GWh)",Kraftvärmeprod!$B$1:$AV$1,0),FALSE))</f>
        <v/>
      </c>
      <c r="G342" s="121" t="str">
        <f>IF(ISERROR(1/VLOOKUP($B342,Miljö!$B$1:$T$480,MATCH("Såld mängd produktionsspecifik fjärrvärme (GWh)",Miljö!$B$1:$T$1,0),FALSE)),"",VLOOKUP($B342,Miljö!$B$1:$T$480,MATCH("Såld mängd produktionsspecifik fjärrvärme (GWh)",Miljö!$B$1:$T$1,0),FALSE))</f>
        <v/>
      </c>
      <c r="J342" s="121" t="str">
        <f t="shared" si="5"/>
        <v>Vattenfall AB</v>
      </c>
    </row>
    <row r="343" spans="1:10" x14ac:dyDescent="0.25">
      <c r="A343" s="137" t="s">
        <v>654</v>
      </c>
      <c r="B343" s="137" t="s">
        <v>658</v>
      </c>
      <c r="D343" s="121" t="str">
        <f>IF(ISERROR(1/VLOOKUP($B343,Kraftvärmeprod!$B$1:$D$479,MATCH("Total värmeproduktion i kraftvärmeverk i kombinerad drift (GWh)",Kraftvärmeprod!$B$1:$AV$1,0),FALSE)),"Ej kraftvärme","Alternativproduktionsmetoden")</f>
        <v>Alternativproduktionsmetoden</v>
      </c>
      <c r="E343" s="172">
        <f>IF(ISERROR(1/VLOOKUP($B343,Kraftvärmeprod!$B$1:$BD$479,MATCH("Total värmeproduktion i kraftvärmeverk i kombinerad drift (GWh)",Kraftvärmeprod!$B$1:$AV$1,0),FALSE)),"",VLOOKUP($B343,'Slutlig allokering kvv'!$B$1:$BC$479,MATCH(E$1,'Slutlig allokering kvv'!$B$1:$AU$1,0),FALSE))</f>
        <v>0.61468269809428289</v>
      </c>
      <c r="F343" s="121">
        <f>IF(ISERROR(1/VLOOKUP($B343,Kraftvärmeprod!$B$1:$AV$479,MATCH("Producerad elenergi i kraftvärmeverk (GWh)",Kraftvärmeprod!$B$1:$AV$1,0),FALSE)),"",VLOOKUP($B343,Kraftvärmeprod!$B$1:$AV$479,MATCH("Producerad elenergi i kraftvärmeverk (GWh)",Kraftvärmeprod!$B$1:$AV$1,0),FALSE))</f>
        <v>18.11</v>
      </c>
      <c r="G343" s="121" t="str">
        <f>IF(ISERROR(1/VLOOKUP($B343,Miljö!$B$1:$T$480,MATCH("Såld mängd produktionsspecifik fjärrvärme (GWh)",Miljö!$B$1:$T$1,0),FALSE)),"",VLOOKUP($B343,Miljö!$B$1:$T$480,MATCH("Såld mängd produktionsspecifik fjärrvärme (GWh)",Miljö!$B$1:$T$1,0),FALSE))</f>
        <v/>
      </c>
      <c r="J343" s="121" t="str">
        <f t="shared" si="5"/>
        <v>Vattenfall AB</v>
      </c>
    </row>
    <row r="344" spans="1:10" x14ac:dyDescent="0.25">
      <c r="A344" s="137" t="s">
        <v>654</v>
      </c>
      <c r="B344" s="137" t="s">
        <v>659</v>
      </c>
      <c r="D344" s="121" t="str">
        <f>IF(ISERROR(1/VLOOKUP($B344,Kraftvärmeprod!$B$1:$D$479,MATCH("Total värmeproduktion i kraftvärmeverk i kombinerad drift (GWh)",Kraftvärmeprod!$B$1:$AV$1,0),FALSE)),"Ej kraftvärme","Alternativproduktionsmetoden")</f>
        <v>Alternativproduktionsmetoden</v>
      </c>
      <c r="E344" s="172">
        <f>IF(ISERROR(1/VLOOKUP($B344,Kraftvärmeprod!$B$1:$BD$479,MATCH("Total värmeproduktion i kraftvärmeverk i kombinerad drift (GWh)",Kraftvärmeprod!$B$1:$AV$1,0),FALSE)),"",VLOOKUP($B344,'Slutlig allokering kvv'!$B$1:$BC$479,MATCH(E$1,'Slutlig allokering kvv'!$B$1:$AU$1,0),FALSE))</f>
        <v>0.46975192149234785</v>
      </c>
      <c r="F344" s="121">
        <f>IF(ISERROR(1/VLOOKUP($B344,Kraftvärmeprod!$B$1:$AV$479,MATCH("Producerad elenergi i kraftvärmeverk (GWh)",Kraftvärmeprod!$B$1:$AV$1,0),FALSE)),"",VLOOKUP($B344,Kraftvärmeprod!$B$1:$AV$479,MATCH("Producerad elenergi i kraftvärmeverk (GWh)",Kraftvärmeprod!$B$1:$AV$1,0),FALSE))</f>
        <v>99.760999999999996</v>
      </c>
      <c r="G344" s="121" t="str">
        <f>IF(ISERROR(1/VLOOKUP($B344,Miljö!$B$1:$T$480,MATCH("Såld mängd produktionsspecifik fjärrvärme (GWh)",Miljö!$B$1:$T$1,0),FALSE)),"",VLOOKUP($B344,Miljö!$B$1:$T$480,MATCH("Såld mängd produktionsspecifik fjärrvärme (GWh)",Miljö!$B$1:$T$1,0),FALSE))</f>
        <v/>
      </c>
      <c r="J344" s="121" t="str">
        <f t="shared" si="5"/>
        <v>Vattenfall AB</v>
      </c>
    </row>
    <row r="345" spans="1:10" x14ac:dyDescent="0.25">
      <c r="A345" s="137" t="s">
        <v>654</v>
      </c>
      <c r="B345" s="137" t="s">
        <v>660</v>
      </c>
      <c r="D345" s="121" t="str">
        <f>IF(ISERROR(1/VLOOKUP($B345,Kraftvärmeprod!$B$1:$D$479,MATCH("Total värmeproduktion i kraftvärmeverk i kombinerad drift (GWh)",Kraftvärmeprod!$B$1:$AV$1,0),FALSE)),"Ej kraftvärme","Alternativproduktionsmetoden")</f>
        <v>Ej kraftvärme</v>
      </c>
      <c r="E345" s="172" t="str">
        <f>IF(ISERROR(1/VLOOKUP($B345,Kraftvärmeprod!$B$1:$BD$479,MATCH("Total värmeproduktion i kraftvärmeverk i kombinerad drift (GWh)",Kraftvärmeprod!$B$1:$AV$1,0),FALSE)),"",VLOOKUP($B345,'Slutlig allokering kvv'!$B$1:$BC$479,MATCH(E$1,'Slutlig allokering kvv'!$B$1:$AU$1,0),FALSE))</f>
        <v/>
      </c>
      <c r="F345" s="121" t="str">
        <f>IF(ISERROR(1/VLOOKUP($B345,Kraftvärmeprod!$B$1:$AV$479,MATCH("Producerad elenergi i kraftvärmeverk (GWh)",Kraftvärmeprod!$B$1:$AV$1,0),FALSE)),"",VLOOKUP($B345,Kraftvärmeprod!$B$1:$AV$479,MATCH("Producerad elenergi i kraftvärmeverk (GWh)",Kraftvärmeprod!$B$1:$AV$1,0),FALSE))</f>
        <v/>
      </c>
      <c r="G345" s="121" t="str">
        <f>IF(ISERROR(1/VLOOKUP($B345,Miljö!$B$1:$T$480,MATCH("Såld mängd produktionsspecifik fjärrvärme (GWh)",Miljö!$B$1:$T$1,0),FALSE)),"",VLOOKUP($B345,Miljö!$B$1:$T$480,MATCH("Såld mängd produktionsspecifik fjärrvärme (GWh)",Miljö!$B$1:$T$1,0),FALSE))</f>
        <v/>
      </c>
      <c r="J345" s="121" t="str">
        <f t="shared" si="5"/>
        <v>Vattenfall AB</v>
      </c>
    </row>
    <row r="346" spans="1:10" x14ac:dyDescent="0.25">
      <c r="A346" s="137" t="s">
        <v>654</v>
      </c>
      <c r="B346" s="137" t="s">
        <v>661</v>
      </c>
      <c r="D346" s="121" t="str">
        <f>IF(ISERROR(1/VLOOKUP($B346,Kraftvärmeprod!$B$1:$D$479,MATCH("Total värmeproduktion i kraftvärmeverk i kombinerad drift (GWh)",Kraftvärmeprod!$B$1:$AV$1,0),FALSE)),"Ej kraftvärme","Alternativproduktionsmetoden")</f>
        <v>Ej kraftvärme</v>
      </c>
      <c r="E346" s="172" t="str">
        <f>IF(ISERROR(1/VLOOKUP($B346,Kraftvärmeprod!$B$1:$BD$479,MATCH("Total värmeproduktion i kraftvärmeverk i kombinerad drift (GWh)",Kraftvärmeprod!$B$1:$AV$1,0),FALSE)),"",VLOOKUP($B346,'Slutlig allokering kvv'!$B$1:$BC$479,MATCH(E$1,'Slutlig allokering kvv'!$B$1:$AU$1,0),FALSE))</f>
        <v/>
      </c>
      <c r="F346" s="121" t="str">
        <f>IF(ISERROR(1/VLOOKUP($B346,Kraftvärmeprod!$B$1:$AV$479,MATCH("Producerad elenergi i kraftvärmeverk (GWh)",Kraftvärmeprod!$B$1:$AV$1,0),FALSE)),"",VLOOKUP($B346,Kraftvärmeprod!$B$1:$AV$479,MATCH("Producerad elenergi i kraftvärmeverk (GWh)",Kraftvärmeprod!$B$1:$AV$1,0),FALSE))</f>
        <v/>
      </c>
      <c r="G346" s="121" t="str">
        <f>IF(ISERROR(1/VLOOKUP($B346,Miljö!$B$1:$T$480,MATCH("Såld mängd produktionsspecifik fjärrvärme (GWh)",Miljö!$B$1:$T$1,0),FALSE)),"",VLOOKUP($B346,Miljö!$B$1:$T$480,MATCH("Såld mängd produktionsspecifik fjärrvärme (GWh)",Miljö!$B$1:$T$1,0),FALSE))</f>
        <v/>
      </c>
      <c r="J346" s="121" t="str">
        <f t="shared" si="5"/>
        <v>Vattenfall AB</v>
      </c>
    </row>
    <row r="347" spans="1:10" x14ac:dyDescent="0.25">
      <c r="A347" s="137" t="s">
        <v>654</v>
      </c>
      <c r="B347" s="137" t="s">
        <v>662</v>
      </c>
      <c r="D347" s="121" t="str">
        <f>IF(ISERROR(1/VLOOKUP($B347,Kraftvärmeprod!$B$1:$D$479,MATCH("Total värmeproduktion i kraftvärmeverk i kombinerad drift (GWh)",Kraftvärmeprod!$B$1:$AV$1,0),FALSE)),"Ej kraftvärme","Alternativproduktionsmetoden")</f>
        <v>Alternativproduktionsmetoden</v>
      </c>
      <c r="E347" s="172">
        <f>IF(ISERROR(1/VLOOKUP($B347,Kraftvärmeprod!$B$1:$BD$479,MATCH("Total värmeproduktion i kraftvärmeverk i kombinerad drift (GWh)",Kraftvärmeprod!$B$1:$AV$1,0),FALSE)),"",VLOOKUP($B347,'Slutlig allokering kvv'!$B$1:$BC$479,MATCH(E$1,'Slutlig allokering kvv'!$B$1:$AU$1,0),FALSE))</f>
        <v>0.52088412580042409</v>
      </c>
      <c r="F347" s="121">
        <f>IF(ISERROR(1/VLOOKUP($B347,Kraftvärmeprod!$B$1:$AV$479,MATCH("Producerad elenergi i kraftvärmeverk (GWh)",Kraftvärmeprod!$B$1:$AV$1,0),FALSE)),"",VLOOKUP($B347,Kraftvärmeprod!$B$1:$AV$479,MATCH("Producerad elenergi i kraftvärmeverk (GWh)",Kraftvärmeprod!$B$1:$AV$1,0),FALSE))</f>
        <v>190.8</v>
      </c>
      <c r="G347" s="121">
        <f>IF(ISERROR(1/VLOOKUP($B347,Miljö!$B$1:$T$480,MATCH("Såld mängd produktionsspecifik fjärrvärme (GWh)",Miljö!$B$1:$T$1,0),FALSE)),"",VLOOKUP($B347,Miljö!$B$1:$T$480,MATCH("Såld mängd produktionsspecifik fjärrvärme (GWh)",Miljö!$B$1:$T$1,0),FALSE))</f>
        <v>92.14</v>
      </c>
      <c r="J347" s="121" t="str">
        <f t="shared" si="5"/>
        <v>Vattenfall AB</v>
      </c>
    </row>
    <row r="348" spans="1:10" x14ac:dyDescent="0.25">
      <c r="A348" s="137" t="s">
        <v>654</v>
      </c>
      <c r="B348" s="137" t="s">
        <v>663</v>
      </c>
      <c r="D348" s="121" t="str">
        <f>IF(ISERROR(1/VLOOKUP($B348,Kraftvärmeprod!$B$1:$D$479,MATCH("Total värmeproduktion i kraftvärmeverk i kombinerad drift (GWh)",Kraftvärmeprod!$B$1:$AV$1,0),FALSE)),"Ej kraftvärme","Alternativproduktionsmetoden")</f>
        <v>Ej kraftvärme</v>
      </c>
      <c r="E348" s="172" t="str">
        <f>IF(ISERROR(1/VLOOKUP($B348,Kraftvärmeprod!$B$1:$BD$479,MATCH("Total värmeproduktion i kraftvärmeverk i kombinerad drift (GWh)",Kraftvärmeprod!$B$1:$AV$1,0),FALSE)),"",VLOOKUP($B348,'Slutlig allokering kvv'!$B$1:$BC$479,MATCH(E$1,'Slutlig allokering kvv'!$B$1:$AU$1,0),FALSE))</f>
        <v/>
      </c>
      <c r="F348" s="121" t="str">
        <f>IF(ISERROR(1/VLOOKUP($B348,Kraftvärmeprod!$B$1:$AV$479,MATCH("Producerad elenergi i kraftvärmeverk (GWh)",Kraftvärmeprod!$B$1:$AV$1,0),FALSE)),"",VLOOKUP($B348,Kraftvärmeprod!$B$1:$AV$479,MATCH("Producerad elenergi i kraftvärmeverk (GWh)",Kraftvärmeprod!$B$1:$AV$1,0),FALSE))</f>
        <v/>
      </c>
      <c r="G348" s="121" t="str">
        <f>IF(ISERROR(1/VLOOKUP($B348,Miljö!$B$1:$T$480,MATCH("Såld mängd produktionsspecifik fjärrvärme (GWh)",Miljö!$B$1:$T$1,0),FALSE)),"",VLOOKUP($B348,Miljö!$B$1:$T$480,MATCH("Såld mängd produktionsspecifik fjärrvärme (GWh)",Miljö!$B$1:$T$1,0),FALSE))</f>
        <v/>
      </c>
      <c r="J348" s="121" t="str">
        <f t="shared" si="5"/>
        <v>Vattenfall AB</v>
      </c>
    </row>
    <row r="349" spans="1:10" x14ac:dyDescent="0.25">
      <c r="A349" s="137" t="s">
        <v>7</v>
      </c>
      <c r="B349" s="137" t="s">
        <v>664</v>
      </c>
      <c r="D349" s="121" t="str">
        <f>IF(ISERROR(1/VLOOKUP($B349,Kraftvärmeprod!$B$1:$D$479,MATCH("Total värmeproduktion i kraftvärmeverk i kombinerad drift (GWh)",Kraftvärmeprod!$B$1:$AV$1,0),FALSE)),"Ej kraftvärme","Alternativproduktionsmetoden")</f>
        <v>Ej kraftvärme</v>
      </c>
      <c r="E349" s="172" t="str">
        <f>IF(ISERROR(1/VLOOKUP($B349,Kraftvärmeprod!$B$1:$BD$479,MATCH("Total värmeproduktion i kraftvärmeverk i kombinerad drift (GWh)",Kraftvärmeprod!$B$1:$AV$1,0),FALSE)),"",VLOOKUP($B349,'Slutlig allokering kvv'!$B$1:$BC$479,MATCH(E$1,'Slutlig allokering kvv'!$B$1:$AU$1,0),FALSE))</f>
        <v/>
      </c>
      <c r="F349" s="121" t="str">
        <f>IF(ISERROR(1/VLOOKUP($B349,Kraftvärmeprod!$B$1:$AV$479,MATCH("Producerad elenergi i kraftvärmeverk (GWh)",Kraftvärmeprod!$B$1:$AV$1,0),FALSE)),"",VLOOKUP($B349,Kraftvärmeprod!$B$1:$AV$479,MATCH("Producerad elenergi i kraftvärmeverk (GWh)",Kraftvärmeprod!$B$1:$AV$1,0),FALSE))</f>
        <v/>
      </c>
      <c r="G349" s="121" t="str">
        <f>IF(ISERROR(1/VLOOKUP($B349,Miljö!$B$1:$T$480,MATCH("Såld mängd produktionsspecifik fjärrvärme (GWh)",Miljö!$B$1:$T$1,0),FALSE)),"",VLOOKUP($B349,Miljö!$B$1:$T$480,MATCH("Såld mängd produktionsspecifik fjärrvärme (GWh)",Miljö!$B$1:$T$1,0),FALSE))</f>
        <v/>
      </c>
      <c r="J349" s="121" t="str">
        <f t="shared" si="5"/>
        <v>Veolia</v>
      </c>
    </row>
    <row r="350" spans="1:10" x14ac:dyDescent="0.25">
      <c r="A350" s="137" t="s">
        <v>7</v>
      </c>
      <c r="B350" s="137" t="s">
        <v>8</v>
      </c>
      <c r="D350" s="121" t="str">
        <f>IF(ISERROR(1/VLOOKUP($B350,Kraftvärmeprod!$B$1:$D$479,MATCH("Total värmeproduktion i kraftvärmeverk i kombinerad drift (GWh)",Kraftvärmeprod!$B$1:$AV$1,0),FALSE)),"Ej kraftvärme","Alternativproduktionsmetoden")</f>
        <v>Ej kraftvärme</v>
      </c>
      <c r="E350" s="172" t="str">
        <f>IF(ISERROR(1/VLOOKUP($B350,Kraftvärmeprod!$B$1:$BD$479,MATCH("Total värmeproduktion i kraftvärmeverk i kombinerad drift (GWh)",Kraftvärmeprod!$B$1:$AV$1,0),FALSE)),"",VLOOKUP($B350,'Slutlig allokering kvv'!$B$1:$BC$479,MATCH(E$1,'Slutlig allokering kvv'!$B$1:$AU$1,0),FALSE))</f>
        <v/>
      </c>
      <c r="F350" s="121" t="str">
        <f>IF(ISERROR(1/VLOOKUP($B350,Kraftvärmeprod!$B$1:$AV$479,MATCH("Producerad elenergi i kraftvärmeverk (GWh)",Kraftvärmeprod!$B$1:$AV$1,0),FALSE)),"",VLOOKUP($B350,Kraftvärmeprod!$B$1:$AV$479,MATCH("Producerad elenergi i kraftvärmeverk (GWh)",Kraftvärmeprod!$B$1:$AV$1,0),FALSE))</f>
        <v/>
      </c>
      <c r="G350" s="121" t="str">
        <f>IF(ISERROR(1/VLOOKUP($B350,Miljö!$B$1:$T$480,MATCH("Såld mängd produktionsspecifik fjärrvärme (GWh)",Miljö!$B$1:$T$1,0),FALSE)),"",VLOOKUP($B350,Miljö!$B$1:$T$480,MATCH("Såld mängd produktionsspecifik fjärrvärme (GWh)",Miljö!$B$1:$T$1,0),FALSE))</f>
        <v/>
      </c>
      <c r="J350" s="121" t="str">
        <f t="shared" si="5"/>
        <v>Veolia</v>
      </c>
    </row>
    <row r="351" spans="1:10" x14ac:dyDescent="0.25">
      <c r="A351" s="137" t="s">
        <v>665</v>
      </c>
      <c r="B351" s="137" t="s">
        <v>666</v>
      </c>
      <c r="D351" s="121" t="str">
        <f>IF(ISERROR(1/VLOOKUP($B351,Kraftvärmeprod!$B$1:$D$479,MATCH("Total värmeproduktion i kraftvärmeverk i kombinerad drift (GWh)",Kraftvärmeprod!$B$1:$AV$1,0),FALSE)),"Ej kraftvärme","Alternativproduktionsmetoden")</f>
        <v>Ej kraftvärme</v>
      </c>
      <c r="E351" s="172" t="str">
        <f>IF(ISERROR(1/VLOOKUP($B351,Kraftvärmeprod!$B$1:$BD$479,MATCH("Total värmeproduktion i kraftvärmeverk i kombinerad drift (GWh)",Kraftvärmeprod!$B$1:$AV$1,0),FALSE)),"",VLOOKUP($B351,'Slutlig allokering kvv'!$B$1:$BC$479,MATCH(E$1,'Slutlig allokering kvv'!$B$1:$AU$1,0),FALSE))</f>
        <v/>
      </c>
      <c r="F351" s="121" t="str">
        <f>IF(ISERROR(1/VLOOKUP($B351,Kraftvärmeprod!$B$1:$AV$479,MATCH("Producerad elenergi i kraftvärmeverk (GWh)",Kraftvärmeprod!$B$1:$AV$1,0),FALSE)),"",VLOOKUP($B351,Kraftvärmeprod!$B$1:$AV$479,MATCH("Producerad elenergi i kraftvärmeverk (GWh)",Kraftvärmeprod!$B$1:$AV$1,0),FALSE))</f>
        <v/>
      </c>
      <c r="G351" s="121" t="str">
        <f>IF(ISERROR(1/VLOOKUP($B351,Miljö!$B$1:$T$480,MATCH("Såld mängd produktionsspecifik fjärrvärme (GWh)",Miljö!$B$1:$T$1,0),FALSE)),"",VLOOKUP($B351,Miljö!$B$1:$T$480,MATCH("Såld mängd produktionsspecifik fjärrvärme (GWh)",Miljö!$B$1:$T$1,0),FALSE))</f>
        <v/>
      </c>
      <c r="J351" s="121" t="str">
        <f t="shared" si="5"/>
        <v>Vimmerby Energi &amp; Miljö AB</v>
      </c>
    </row>
    <row r="352" spans="1:10" x14ac:dyDescent="0.25">
      <c r="A352" s="137" t="s">
        <v>665</v>
      </c>
      <c r="B352" s="137" t="s">
        <v>667</v>
      </c>
      <c r="D352" s="121" t="str">
        <f>IF(ISERROR(1/VLOOKUP($B352,Kraftvärmeprod!$B$1:$D$479,MATCH("Total värmeproduktion i kraftvärmeverk i kombinerad drift (GWh)",Kraftvärmeprod!$B$1:$AV$1,0),FALSE)),"Ej kraftvärme","Alternativproduktionsmetoden")</f>
        <v>Ej kraftvärme</v>
      </c>
      <c r="E352" s="172" t="str">
        <f>IF(ISERROR(1/VLOOKUP($B352,Kraftvärmeprod!$B$1:$BD$479,MATCH("Total värmeproduktion i kraftvärmeverk i kombinerad drift (GWh)",Kraftvärmeprod!$B$1:$AV$1,0),FALSE)),"",VLOOKUP($B352,'Slutlig allokering kvv'!$B$1:$BC$479,MATCH(E$1,'Slutlig allokering kvv'!$B$1:$AU$1,0),FALSE))</f>
        <v/>
      </c>
      <c r="F352" s="121" t="str">
        <f>IF(ISERROR(1/VLOOKUP($B352,Kraftvärmeprod!$B$1:$AV$479,MATCH("Producerad elenergi i kraftvärmeverk (GWh)",Kraftvärmeprod!$B$1:$AV$1,0),FALSE)),"",VLOOKUP($B352,Kraftvärmeprod!$B$1:$AV$479,MATCH("Producerad elenergi i kraftvärmeverk (GWh)",Kraftvärmeprod!$B$1:$AV$1,0),FALSE))</f>
        <v/>
      </c>
      <c r="G352" s="121" t="str">
        <f>IF(ISERROR(1/VLOOKUP($B352,Miljö!$B$1:$T$480,MATCH("Såld mängd produktionsspecifik fjärrvärme (GWh)",Miljö!$B$1:$T$1,0),FALSE)),"",VLOOKUP($B352,Miljö!$B$1:$T$480,MATCH("Såld mängd produktionsspecifik fjärrvärme (GWh)",Miljö!$B$1:$T$1,0),FALSE))</f>
        <v/>
      </c>
      <c r="J352" s="121" t="str">
        <f t="shared" si="5"/>
        <v>Vimmerby Energi &amp; Miljö AB</v>
      </c>
    </row>
    <row r="353" spans="1:10" x14ac:dyDescent="0.25">
      <c r="A353" s="137" t="s">
        <v>665</v>
      </c>
      <c r="B353" s="137" t="s">
        <v>668</v>
      </c>
      <c r="D353" s="121" t="str">
        <f>IF(ISERROR(1/VLOOKUP($B353,Kraftvärmeprod!$B$1:$D$479,MATCH("Total värmeproduktion i kraftvärmeverk i kombinerad drift (GWh)",Kraftvärmeprod!$B$1:$AV$1,0),FALSE)),"Ej kraftvärme","Alternativproduktionsmetoden")</f>
        <v>Ej kraftvärme</v>
      </c>
      <c r="E353" s="172" t="str">
        <f>IF(ISERROR(1/VLOOKUP($B353,Kraftvärmeprod!$B$1:$BD$479,MATCH("Total värmeproduktion i kraftvärmeverk i kombinerad drift (GWh)",Kraftvärmeprod!$B$1:$AV$1,0),FALSE)),"",VLOOKUP($B353,'Slutlig allokering kvv'!$B$1:$BC$479,MATCH(E$1,'Slutlig allokering kvv'!$B$1:$AU$1,0),FALSE))</f>
        <v/>
      </c>
      <c r="F353" s="121" t="str">
        <f>IF(ISERROR(1/VLOOKUP($B353,Kraftvärmeprod!$B$1:$AV$479,MATCH("Producerad elenergi i kraftvärmeverk (GWh)",Kraftvärmeprod!$B$1:$AV$1,0),FALSE)),"",VLOOKUP($B353,Kraftvärmeprod!$B$1:$AV$479,MATCH("Producerad elenergi i kraftvärmeverk (GWh)",Kraftvärmeprod!$B$1:$AV$1,0),FALSE))</f>
        <v/>
      </c>
      <c r="G353" s="121" t="str">
        <f>IF(ISERROR(1/VLOOKUP($B353,Miljö!$B$1:$T$480,MATCH("Såld mängd produktionsspecifik fjärrvärme (GWh)",Miljö!$B$1:$T$1,0),FALSE)),"",VLOOKUP($B353,Miljö!$B$1:$T$480,MATCH("Såld mängd produktionsspecifik fjärrvärme (GWh)",Miljö!$B$1:$T$1,0),FALSE))</f>
        <v/>
      </c>
      <c r="J353" s="121" t="str">
        <f t="shared" si="5"/>
        <v>Vimmerby Energi &amp; Miljö AB</v>
      </c>
    </row>
    <row r="354" spans="1:10" x14ac:dyDescent="0.25">
      <c r="A354" s="137" t="s">
        <v>665</v>
      </c>
      <c r="B354" s="137" t="s">
        <v>669</v>
      </c>
      <c r="D354" s="121" t="str">
        <f>IF(ISERROR(1/VLOOKUP($B354,Kraftvärmeprod!$B$1:$D$479,MATCH("Total värmeproduktion i kraftvärmeverk i kombinerad drift (GWh)",Kraftvärmeprod!$B$1:$AV$1,0),FALSE)),"Ej kraftvärme","Alternativproduktionsmetoden")</f>
        <v>Ej kraftvärme</v>
      </c>
      <c r="E354" s="172" t="str">
        <f>IF(ISERROR(1/VLOOKUP($B354,Kraftvärmeprod!$B$1:$BD$479,MATCH("Total värmeproduktion i kraftvärmeverk i kombinerad drift (GWh)",Kraftvärmeprod!$B$1:$AV$1,0),FALSE)),"",VLOOKUP($B354,'Slutlig allokering kvv'!$B$1:$BC$479,MATCH(E$1,'Slutlig allokering kvv'!$B$1:$AU$1,0),FALSE))</f>
        <v/>
      </c>
      <c r="F354" s="121" t="str">
        <f>IF(ISERROR(1/VLOOKUP($B354,Kraftvärmeprod!$B$1:$AV$479,MATCH("Producerad elenergi i kraftvärmeverk (GWh)",Kraftvärmeprod!$B$1:$AV$1,0),FALSE)),"",VLOOKUP($B354,Kraftvärmeprod!$B$1:$AV$479,MATCH("Producerad elenergi i kraftvärmeverk (GWh)",Kraftvärmeprod!$B$1:$AV$1,0),FALSE))</f>
        <v/>
      </c>
      <c r="G354" s="121" t="str">
        <f>IF(ISERROR(1/VLOOKUP($B354,Miljö!$B$1:$T$480,MATCH("Såld mängd produktionsspecifik fjärrvärme (GWh)",Miljö!$B$1:$T$1,0),FALSE)),"",VLOOKUP($B354,Miljö!$B$1:$T$480,MATCH("Såld mängd produktionsspecifik fjärrvärme (GWh)",Miljö!$B$1:$T$1,0),FALSE))</f>
        <v/>
      </c>
      <c r="J354" s="121" t="str">
        <f t="shared" si="5"/>
        <v>Vimmerby Energi &amp; Miljö AB</v>
      </c>
    </row>
    <row r="355" spans="1:10" x14ac:dyDescent="0.25">
      <c r="A355" s="137" t="s">
        <v>665</v>
      </c>
      <c r="B355" s="137" t="s">
        <v>670</v>
      </c>
      <c r="D355" s="121" t="str">
        <f>IF(ISERROR(1/VLOOKUP($B355,Kraftvärmeprod!$B$1:$D$479,MATCH("Total värmeproduktion i kraftvärmeverk i kombinerad drift (GWh)",Kraftvärmeprod!$B$1:$AV$1,0),FALSE)),"Ej kraftvärme","Alternativproduktionsmetoden")</f>
        <v>Alternativproduktionsmetoden</v>
      </c>
      <c r="E355" s="172">
        <f>IF(ISERROR(1/VLOOKUP($B355,Kraftvärmeprod!$B$1:$BD$479,MATCH("Total värmeproduktion i kraftvärmeverk i kombinerad drift (GWh)",Kraftvärmeprod!$B$1:$AV$1,0),FALSE)),"",VLOOKUP($B355,'Slutlig allokering kvv'!$B$1:$BC$479,MATCH(E$1,'Slutlig allokering kvv'!$B$1:$AU$1,0),FALSE))</f>
        <v>0.61228681067473034</v>
      </c>
      <c r="F355" s="121">
        <f>IF(ISERROR(1/VLOOKUP($B355,Kraftvärmeprod!$B$1:$AV$479,MATCH("Producerad elenergi i kraftvärmeverk (GWh)",Kraftvärmeprod!$B$1:$AV$1,0),FALSE)),"",VLOOKUP($B355,Kraftvärmeprod!$B$1:$AV$479,MATCH("Producerad elenergi i kraftvärmeverk (GWh)",Kraftvärmeprod!$B$1:$AV$1,0),FALSE))</f>
        <v>22.93</v>
      </c>
      <c r="G355" s="121" t="str">
        <f>IF(ISERROR(1/VLOOKUP($B355,Miljö!$B$1:$T$480,MATCH("Såld mängd produktionsspecifik fjärrvärme (GWh)",Miljö!$B$1:$T$1,0),FALSE)),"",VLOOKUP($B355,Miljö!$B$1:$T$480,MATCH("Såld mängd produktionsspecifik fjärrvärme (GWh)",Miljö!$B$1:$T$1,0),FALSE))</f>
        <v/>
      </c>
      <c r="J355" s="121" t="str">
        <f t="shared" si="5"/>
        <v>Vimmerby Energi &amp; Miljö AB</v>
      </c>
    </row>
    <row r="356" spans="1:10" x14ac:dyDescent="0.25">
      <c r="A356" s="137" t="s">
        <v>671</v>
      </c>
      <c r="B356" s="137" t="s">
        <v>672</v>
      </c>
      <c r="D356" s="121" t="str">
        <f>IF(ISERROR(1/VLOOKUP($B356,Kraftvärmeprod!$B$1:$D$479,MATCH("Total värmeproduktion i kraftvärmeverk i kombinerad drift (GWh)",Kraftvärmeprod!$B$1:$AV$1,0),FALSE)),"Ej kraftvärme","Alternativproduktionsmetoden")</f>
        <v>Ej kraftvärme</v>
      </c>
      <c r="E356" s="172" t="str">
        <f>IF(ISERROR(1/VLOOKUP($B356,Kraftvärmeprod!$B$1:$BD$479,MATCH("Total värmeproduktion i kraftvärmeverk i kombinerad drift (GWh)",Kraftvärmeprod!$B$1:$AV$1,0),FALSE)),"",VLOOKUP($B356,'Slutlig allokering kvv'!$B$1:$BC$479,MATCH(E$1,'Slutlig allokering kvv'!$B$1:$AU$1,0),FALSE))</f>
        <v/>
      </c>
      <c r="F356" s="121" t="str">
        <f>IF(ISERROR(1/VLOOKUP($B356,Kraftvärmeprod!$B$1:$AV$479,MATCH("Producerad elenergi i kraftvärmeverk (GWh)",Kraftvärmeprod!$B$1:$AV$1,0),FALSE)),"",VLOOKUP($B356,Kraftvärmeprod!$B$1:$AV$479,MATCH("Producerad elenergi i kraftvärmeverk (GWh)",Kraftvärmeprod!$B$1:$AV$1,0),FALSE))</f>
        <v/>
      </c>
      <c r="G356" s="121" t="str">
        <f>IF(ISERROR(1/VLOOKUP($B356,Miljö!$B$1:$T$480,MATCH("Såld mängd produktionsspecifik fjärrvärme (GWh)",Miljö!$B$1:$T$1,0),FALSE)),"",VLOOKUP($B356,Miljö!$B$1:$T$480,MATCH("Såld mängd produktionsspecifik fjärrvärme (GWh)",Miljö!$B$1:$T$1,0),FALSE))</f>
        <v/>
      </c>
      <c r="J356" s="121" t="str">
        <f t="shared" si="5"/>
        <v>VänerEnergi AB</v>
      </c>
    </row>
    <row r="357" spans="1:10" x14ac:dyDescent="0.25">
      <c r="A357" s="137" t="s">
        <v>671</v>
      </c>
      <c r="B357" s="137" t="s">
        <v>673</v>
      </c>
      <c r="D357" s="121" t="str">
        <f>IF(ISERROR(1/VLOOKUP($B357,Kraftvärmeprod!$B$1:$D$479,MATCH("Total värmeproduktion i kraftvärmeverk i kombinerad drift (GWh)",Kraftvärmeprod!$B$1:$AV$1,0),FALSE)),"Ej kraftvärme","Alternativproduktionsmetoden")</f>
        <v>Alternativproduktionsmetoden</v>
      </c>
      <c r="E357" s="172">
        <f>IF(ISERROR(1/VLOOKUP($B357,Kraftvärmeprod!$B$1:$BD$479,MATCH("Total värmeproduktion i kraftvärmeverk i kombinerad drift (GWh)",Kraftvärmeprod!$B$1:$AV$1,0),FALSE)),"",VLOOKUP($B357,'Slutlig allokering kvv'!$B$1:$BC$479,MATCH(E$1,'Slutlig allokering kvv'!$B$1:$AU$1,0),FALSE))</f>
        <v>0.70628703947368432</v>
      </c>
      <c r="F357" s="121">
        <f>IF(ISERROR(1/VLOOKUP($B357,Kraftvärmeprod!$B$1:$AV$479,MATCH("Producerad elenergi i kraftvärmeverk (GWh)",Kraftvärmeprod!$B$1:$AV$1,0),FALSE)),"",VLOOKUP($B357,Kraftvärmeprod!$B$1:$AV$479,MATCH("Producerad elenergi i kraftvärmeverk (GWh)",Kraftvärmeprod!$B$1:$AV$1,0),FALSE))</f>
        <v>23</v>
      </c>
      <c r="G357" s="121" t="str">
        <f>IF(ISERROR(1/VLOOKUP($B357,Miljö!$B$1:$T$480,MATCH("Såld mängd produktionsspecifik fjärrvärme (GWh)",Miljö!$B$1:$T$1,0),FALSE)),"",VLOOKUP($B357,Miljö!$B$1:$T$480,MATCH("Såld mängd produktionsspecifik fjärrvärme (GWh)",Miljö!$B$1:$T$1,0),FALSE))</f>
        <v/>
      </c>
      <c r="J357" s="121" t="str">
        <f t="shared" si="5"/>
        <v>VänerEnergi AB</v>
      </c>
    </row>
    <row r="358" spans="1:10" x14ac:dyDescent="0.25">
      <c r="A358" s="137" t="s">
        <v>671</v>
      </c>
      <c r="B358" s="137" t="s">
        <v>674</v>
      </c>
      <c r="D358" s="121" t="str">
        <f>IF(ISERROR(1/VLOOKUP($B358,Kraftvärmeprod!$B$1:$D$479,MATCH("Total värmeproduktion i kraftvärmeverk i kombinerad drift (GWh)",Kraftvärmeprod!$B$1:$AV$1,0),FALSE)),"Ej kraftvärme","Alternativproduktionsmetoden")</f>
        <v>Ej kraftvärme</v>
      </c>
      <c r="E358" s="172" t="str">
        <f>IF(ISERROR(1/VLOOKUP($B358,Kraftvärmeprod!$B$1:$BD$479,MATCH("Total värmeproduktion i kraftvärmeverk i kombinerad drift (GWh)",Kraftvärmeprod!$B$1:$AV$1,0),FALSE)),"",VLOOKUP($B358,'Slutlig allokering kvv'!$B$1:$BC$479,MATCH(E$1,'Slutlig allokering kvv'!$B$1:$AU$1,0),FALSE))</f>
        <v/>
      </c>
      <c r="F358" s="121" t="str">
        <f>IF(ISERROR(1/VLOOKUP($B358,Kraftvärmeprod!$B$1:$AV$479,MATCH("Producerad elenergi i kraftvärmeverk (GWh)",Kraftvärmeprod!$B$1:$AV$1,0),FALSE)),"",VLOOKUP($B358,Kraftvärmeprod!$B$1:$AV$479,MATCH("Producerad elenergi i kraftvärmeverk (GWh)",Kraftvärmeprod!$B$1:$AV$1,0),FALSE))</f>
        <v/>
      </c>
      <c r="G358" s="121" t="str">
        <f>IF(ISERROR(1/VLOOKUP($B358,Miljö!$B$1:$T$480,MATCH("Såld mängd produktionsspecifik fjärrvärme (GWh)",Miljö!$B$1:$T$1,0),FALSE)),"",VLOOKUP($B358,Miljö!$B$1:$T$480,MATCH("Såld mängd produktionsspecifik fjärrvärme (GWh)",Miljö!$B$1:$T$1,0),FALSE))</f>
        <v/>
      </c>
      <c r="J358" s="121" t="str">
        <f t="shared" si="5"/>
        <v>VänerEnergi AB</v>
      </c>
    </row>
    <row r="359" spans="1:10" x14ac:dyDescent="0.25">
      <c r="A359" s="137" t="s">
        <v>52</v>
      </c>
      <c r="B359" s="137" t="s">
        <v>675</v>
      </c>
      <c r="D359" s="121" t="str">
        <f>IF(ISERROR(1/VLOOKUP($B359,Kraftvärmeprod!$B$1:$D$479,MATCH("Total värmeproduktion i kraftvärmeverk i kombinerad drift (GWh)",Kraftvärmeprod!$B$1:$AV$1,0),FALSE)),"Ej kraftvärme","Alternativproduktionsmetoden")</f>
        <v>Ej kraftvärme</v>
      </c>
      <c r="E359" s="172" t="str">
        <f>IF(ISERROR(1/VLOOKUP($B359,Kraftvärmeprod!$B$1:$BD$479,MATCH("Total värmeproduktion i kraftvärmeverk i kombinerad drift (GWh)",Kraftvärmeprod!$B$1:$AV$1,0),FALSE)),"",VLOOKUP($B359,'Slutlig allokering kvv'!$B$1:$BC$479,MATCH(E$1,'Slutlig allokering kvv'!$B$1:$AU$1,0),FALSE))</f>
        <v/>
      </c>
      <c r="F359" s="121" t="str">
        <f>IF(ISERROR(1/VLOOKUP($B359,Kraftvärmeprod!$B$1:$AV$479,MATCH("Producerad elenergi i kraftvärmeverk (GWh)",Kraftvärmeprod!$B$1:$AV$1,0),FALSE)),"",VLOOKUP($B359,Kraftvärmeprod!$B$1:$AV$479,MATCH("Producerad elenergi i kraftvärmeverk (GWh)",Kraftvärmeprod!$B$1:$AV$1,0),FALSE))</f>
        <v/>
      </c>
      <c r="G359" s="121" t="str">
        <f>IF(ISERROR(1/VLOOKUP($B359,Miljö!$B$1:$T$480,MATCH("Såld mängd produktionsspecifik fjärrvärme (GWh)",Miljö!$B$1:$T$1,0),FALSE)),"",VLOOKUP($B359,Miljö!$B$1:$T$480,MATCH("Såld mängd produktionsspecifik fjärrvärme (GWh)",Miljö!$B$1:$T$1,0),FALSE))</f>
        <v/>
      </c>
      <c r="J359" s="121" t="str">
        <f t="shared" si="5"/>
        <v>Värmevärden AB</v>
      </c>
    </row>
    <row r="360" spans="1:10" x14ac:dyDescent="0.25">
      <c r="A360" s="137" t="s">
        <v>52</v>
      </c>
      <c r="B360" s="137" t="s">
        <v>676</v>
      </c>
      <c r="D360" s="121" t="str">
        <f>IF(ISERROR(1/VLOOKUP($B360,Kraftvärmeprod!$B$1:$D$479,MATCH("Total värmeproduktion i kraftvärmeverk i kombinerad drift (GWh)",Kraftvärmeprod!$B$1:$AV$1,0),FALSE)),"Ej kraftvärme","Alternativproduktionsmetoden")</f>
        <v>Ej kraftvärme</v>
      </c>
      <c r="E360" s="172" t="str">
        <f>IF(ISERROR(1/VLOOKUP($B360,Kraftvärmeprod!$B$1:$BD$479,MATCH("Total värmeproduktion i kraftvärmeverk i kombinerad drift (GWh)",Kraftvärmeprod!$B$1:$AV$1,0),FALSE)),"",VLOOKUP($B360,'Slutlig allokering kvv'!$B$1:$BC$479,MATCH(E$1,'Slutlig allokering kvv'!$B$1:$AU$1,0),FALSE))</f>
        <v/>
      </c>
      <c r="F360" s="121" t="str">
        <f>IF(ISERROR(1/VLOOKUP($B360,Kraftvärmeprod!$B$1:$AV$479,MATCH("Producerad elenergi i kraftvärmeverk (GWh)",Kraftvärmeprod!$B$1:$AV$1,0),FALSE)),"",VLOOKUP($B360,Kraftvärmeprod!$B$1:$AV$479,MATCH("Producerad elenergi i kraftvärmeverk (GWh)",Kraftvärmeprod!$B$1:$AV$1,0),FALSE))</f>
        <v/>
      </c>
      <c r="G360" s="121" t="str">
        <f>IF(ISERROR(1/VLOOKUP($B360,Miljö!$B$1:$T$480,MATCH("Såld mängd produktionsspecifik fjärrvärme (GWh)",Miljö!$B$1:$T$1,0),FALSE)),"",VLOOKUP($B360,Miljö!$B$1:$T$480,MATCH("Såld mängd produktionsspecifik fjärrvärme (GWh)",Miljö!$B$1:$T$1,0),FALSE))</f>
        <v/>
      </c>
      <c r="J360" s="121" t="str">
        <f t="shared" si="5"/>
        <v>Värmevärden AB</v>
      </c>
    </row>
    <row r="361" spans="1:10" x14ac:dyDescent="0.25">
      <c r="A361" s="137" t="s">
        <v>52</v>
      </c>
      <c r="B361" s="137" t="s">
        <v>677</v>
      </c>
      <c r="D361" s="121" t="str">
        <f>IF(ISERROR(1/VLOOKUP($B361,Kraftvärmeprod!$B$1:$D$479,MATCH("Total värmeproduktion i kraftvärmeverk i kombinerad drift (GWh)",Kraftvärmeprod!$B$1:$AV$1,0),FALSE)),"Ej kraftvärme","Alternativproduktionsmetoden")</f>
        <v>Ej kraftvärme</v>
      </c>
      <c r="E361" s="172" t="str">
        <f>IF(ISERROR(1/VLOOKUP($B361,Kraftvärmeprod!$B$1:$BD$479,MATCH("Total värmeproduktion i kraftvärmeverk i kombinerad drift (GWh)",Kraftvärmeprod!$B$1:$AV$1,0),FALSE)),"",VLOOKUP($B361,'Slutlig allokering kvv'!$B$1:$BC$479,MATCH(E$1,'Slutlig allokering kvv'!$B$1:$AU$1,0),FALSE))</f>
        <v/>
      </c>
      <c r="F361" s="121" t="str">
        <f>IF(ISERROR(1/VLOOKUP($B361,Kraftvärmeprod!$B$1:$AV$479,MATCH("Producerad elenergi i kraftvärmeverk (GWh)",Kraftvärmeprod!$B$1:$AV$1,0),FALSE)),"",VLOOKUP($B361,Kraftvärmeprod!$B$1:$AV$479,MATCH("Producerad elenergi i kraftvärmeverk (GWh)",Kraftvärmeprod!$B$1:$AV$1,0),FALSE))</f>
        <v/>
      </c>
      <c r="G361" s="121" t="str">
        <f>IF(ISERROR(1/VLOOKUP($B361,Miljö!$B$1:$T$480,MATCH("Såld mängd produktionsspecifik fjärrvärme (GWh)",Miljö!$B$1:$T$1,0),FALSE)),"",VLOOKUP($B361,Miljö!$B$1:$T$480,MATCH("Såld mängd produktionsspecifik fjärrvärme (GWh)",Miljö!$B$1:$T$1,0),FALSE))</f>
        <v/>
      </c>
      <c r="J361" s="121" t="str">
        <f t="shared" si="5"/>
        <v>Värmevärden AB</v>
      </c>
    </row>
    <row r="362" spans="1:10" x14ac:dyDescent="0.25">
      <c r="A362" s="137" t="s">
        <v>52</v>
      </c>
      <c r="B362" s="137" t="s">
        <v>678</v>
      </c>
      <c r="D362" s="121" t="str">
        <f>IF(ISERROR(1/VLOOKUP($B362,Kraftvärmeprod!$B$1:$D$479,MATCH("Total värmeproduktion i kraftvärmeverk i kombinerad drift (GWh)",Kraftvärmeprod!$B$1:$AV$1,0),FALSE)),"Ej kraftvärme","Alternativproduktionsmetoden")</f>
        <v>Ej kraftvärme</v>
      </c>
      <c r="E362" s="172" t="str">
        <f>IF(ISERROR(1/VLOOKUP($B362,Kraftvärmeprod!$B$1:$BD$479,MATCH("Total värmeproduktion i kraftvärmeverk i kombinerad drift (GWh)",Kraftvärmeprod!$B$1:$AV$1,0),FALSE)),"",VLOOKUP($B362,'Slutlig allokering kvv'!$B$1:$BC$479,MATCH(E$1,'Slutlig allokering kvv'!$B$1:$AU$1,0),FALSE))</f>
        <v/>
      </c>
      <c r="F362" s="121" t="str">
        <f>IF(ISERROR(1/VLOOKUP($B362,Kraftvärmeprod!$B$1:$AV$479,MATCH("Producerad elenergi i kraftvärmeverk (GWh)",Kraftvärmeprod!$B$1:$AV$1,0),FALSE)),"",VLOOKUP($B362,Kraftvärmeprod!$B$1:$AV$479,MATCH("Producerad elenergi i kraftvärmeverk (GWh)",Kraftvärmeprod!$B$1:$AV$1,0),FALSE))</f>
        <v/>
      </c>
      <c r="G362" s="121" t="str">
        <f>IF(ISERROR(1/VLOOKUP($B362,Miljö!$B$1:$T$480,MATCH("Såld mängd produktionsspecifik fjärrvärme (GWh)",Miljö!$B$1:$T$1,0),FALSE)),"",VLOOKUP($B362,Miljö!$B$1:$T$480,MATCH("Såld mängd produktionsspecifik fjärrvärme (GWh)",Miljö!$B$1:$T$1,0),FALSE))</f>
        <v/>
      </c>
      <c r="J362" s="121" t="str">
        <f t="shared" si="5"/>
        <v>Värmevärden AB</v>
      </c>
    </row>
    <row r="363" spans="1:10" x14ac:dyDescent="0.25">
      <c r="A363" s="137" t="s">
        <v>52</v>
      </c>
      <c r="B363" s="137" t="s">
        <v>679</v>
      </c>
      <c r="D363" s="121" t="str">
        <f>IF(ISERROR(1/VLOOKUP($B363,Kraftvärmeprod!$B$1:$D$479,MATCH("Total värmeproduktion i kraftvärmeverk i kombinerad drift (GWh)",Kraftvärmeprod!$B$1:$AV$1,0),FALSE)),"Ej kraftvärme","Alternativproduktionsmetoden")</f>
        <v>Alternativproduktionsmetoden</v>
      </c>
      <c r="E363" s="172">
        <f>IF(ISERROR(1/VLOOKUP($B363,Kraftvärmeprod!$B$1:$BD$479,MATCH("Total värmeproduktion i kraftvärmeverk i kombinerad drift (GWh)",Kraftvärmeprod!$B$1:$AV$1,0),FALSE)),"",VLOOKUP($B363,'Slutlig allokering kvv'!$B$1:$BC$479,MATCH(E$1,'Slutlig allokering kvv'!$B$1:$AU$1,0),FALSE))</f>
        <v>0.94633428644588602</v>
      </c>
      <c r="F363" s="121">
        <f>IF(ISERROR(1/VLOOKUP($B363,Kraftvärmeprod!$B$1:$AV$479,MATCH("Producerad elenergi i kraftvärmeverk (GWh)",Kraftvärmeprod!$B$1:$AV$1,0),FALSE)),"",VLOOKUP($B363,Kraftvärmeprod!$B$1:$AV$479,MATCH("Producerad elenergi i kraftvärmeverk (GWh)",Kraftvärmeprod!$B$1:$AV$1,0),FALSE))</f>
        <v>1.0049999999999999</v>
      </c>
      <c r="G363" s="121" t="str">
        <f>IF(ISERROR(1/VLOOKUP($B363,Miljö!$B$1:$T$480,MATCH("Såld mängd produktionsspecifik fjärrvärme (GWh)",Miljö!$B$1:$T$1,0),FALSE)),"",VLOOKUP($B363,Miljö!$B$1:$T$480,MATCH("Såld mängd produktionsspecifik fjärrvärme (GWh)",Miljö!$B$1:$T$1,0),FALSE))</f>
        <v/>
      </c>
      <c r="J363" s="121" t="str">
        <f t="shared" si="5"/>
        <v>Värmevärden AB</v>
      </c>
    </row>
    <row r="364" spans="1:10" x14ac:dyDescent="0.25">
      <c r="A364" s="137" t="s">
        <v>52</v>
      </c>
      <c r="B364" s="137" t="s">
        <v>680</v>
      </c>
      <c r="D364" s="121" t="str">
        <f>IF(ISERROR(1/VLOOKUP($B364,Kraftvärmeprod!$B$1:$D$479,MATCH("Total värmeproduktion i kraftvärmeverk i kombinerad drift (GWh)",Kraftvärmeprod!$B$1:$AV$1,0),FALSE)),"Ej kraftvärme","Alternativproduktionsmetoden")</f>
        <v>Alternativproduktionsmetoden</v>
      </c>
      <c r="E364" s="172">
        <f>IF(ISERROR(1/VLOOKUP($B364,Kraftvärmeprod!$B$1:$BD$479,MATCH("Total värmeproduktion i kraftvärmeverk i kombinerad drift (GWh)",Kraftvärmeprod!$B$1:$AV$1,0),FALSE)),"",VLOOKUP($B364,'Slutlig allokering kvv'!$B$1:$BC$479,MATCH(E$1,'Slutlig allokering kvv'!$B$1:$AU$1,0),FALSE))</f>
        <v>0.59066083023970073</v>
      </c>
      <c r="F364" s="121">
        <f>IF(ISERROR(1/VLOOKUP($B364,Kraftvärmeprod!$B$1:$AV$479,MATCH("Producerad elenergi i kraftvärmeverk (GWh)",Kraftvärmeprod!$B$1:$AV$1,0),FALSE)),"",VLOOKUP($B364,Kraftvärmeprod!$B$1:$AV$479,MATCH("Producerad elenergi i kraftvärmeverk (GWh)",Kraftvärmeprod!$B$1:$AV$1,0),FALSE))</f>
        <v>28.547999999999998</v>
      </c>
      <c r="G364" s="121" t="str">
        <f>IF(ISERROR(1/VLOOKUP($B364,Miljö!$B$1:$T$480,MATCH("Såld mängd produktionsspecifik fjärrvärme (GWh)",Miljö!$B$1:$T$1,0),FALSE)),"",VLOOKUP($B364,Miljö!$B$1:$T$480,MATCH("Såld mängd produktionsspecifik fjärrvärme (GWh)",Miljö!$B$1:$T$1,0),FALSE))</f>
        <v/>
      </c>
      <c r="J364" s="121" t="str">
        <f t="shared" si="5"/>
        <v>Värmevärden AB</v>
      </c>
    </row>
    <row r="365" spans="1:10" x14ac:dyDescent="0.25">
      <c r="A365" s="137" t="s">
        <v>52</v>
      </c>
      <c r="B365" s="137" t="s">
        <v>681</v>
      </c>
      <c r="D365" s="121" t="str">
        <f>IF(ISERROR(1/VLOOKUP($B365,Kraftvärmeprod!$B$1:$D$479,MATCH("Total värmeproduktion i kraftvärmeverk i kombinerad drift (GWh)",Kraftvärmeprod!$B$1:$AV$1,0),FALSE)),"Ej kraftvärme","Alternativproduktionsmetoden")</f>
        <v>Ej kraftvärme</v>
      </c>
      <c r="E365" s="172" t="str">
        <f>IF(ISERROR(1/VLOOKUP($B365,Kraftvärmeprod!$B$1:$BD$479,MATCH("Total värmeproduktion i kraftvärmeverk i kombinerad drift (GWh)",Kraftvärmeprod!$B$1:$AV$1,0),FALSE)),"",VLOOKUP($B365,'Slutlig allokering kvv'!$B$1:$BC$479,MATCH(E$1,'Slutlig allokering kvv'!$B$1:$AU$1,0),FALSE))</f>
        <v/>
      </c>
      <c r="F365" s="121" t="str">
        <f>IF(ISERROR(1/VLOOKUP($B365,Kraftvärmeprod!$B$1:$AV$479,MATCH("Producerad elenergi i kraftvärmeverk (GWh)",Kraftvärmeprod!$B$1:$AV$1,0),FALSE)),"",VLOOKUP($B365,Kraftvärmeprod!$B$1:$AV$479,MATCH("Producerad elenergi i kraftvärmeverk (GWh)",Kraftvärmeprod!$B$1:$AV$1,0),FALSE))</f>
        <v/>
      </c>
      <c r="G365" s="121" t="str">
        <f>IF(ISERROR(1/VLOOKUP($B365,Miljö!$B$1:$T$480,MATCH("Såld mängd produktionsspecifik fjärrvärme (GWh)",Miljö!$B$1:$T$1,0),FALSE)),"",VLOOKUP($B365,Miljö!$B$1:$T$480,MATCH("Såld mängd produktionsspecifik fjärrvärme (GWh)",Miljö!$B$1:$T$1,0),FALSE))</f>
        <v/>
      </c>
      <c r="J365" s="121" t="str">
        <f t="shared" si="5"/>
        <v>Värmevärden AB</v>
      </c>
    </row>
    <row r="366" spans="1:10" x14ac:dyDescent="0.25">
      <c r="A366" s="137" t="s">
        <v>52</v>
      </c>
      <c r="B366" s="137" t="s">
        <v>682</v>
      </c>
      <c r="D366" s="121" t="str">
        <f>IF(ISERROR(1/VLOOKUP($B366,Kraftvärmeprod!$B$1:$D$479,MATCH("Total värmeproduktion i kraftvärmeverk i kombinerad drift (GWh)",Kraftvärmeprod!$B$1:$AV$1,0),FALSE)),"Ej kraftvärme","Alternativproduktionsmetoden")</f>
        <v>Ej kraftvärme</v>
      </c>
      <c r="E366" s="172" t="str">
        <f>IF(ISERROR(1/VLOOKUP($B366,Kraftvärmeprod!$B$1:$BD$479,MATCH("Total värmeproduktion i kraftvärmeverk i kombinerad drift (GWh)",Kraftvärmeprod!$B$1:$AV$1,0),FALSE)),"",VLOOKUP($B366,'Slutlig allokering kvv'!$B$1:$BC$479,MATCH(E$1,'Slutlig allokering kvv'!$B$1:$AU$1,0),FALSE))</f>
        <v/>
      </c>
      <c r="F366" s="121" t="str">
        <f>IF(ISERROR(1/VLOOKUP($B366,Kraftvärmeprod!$B$1:$AV$479,MATCH("Producerad elenergi i kraftvärmeverk (GWh)",Kraftvärmeprod!$B$1:$AV$1,0),FALSE)),"",VLOOKUP($B366,Kraftvärmeprod!$B$1:$AV$479,MATCH("Producerad elenergi i kraftvärmeverk (GWh)",Kraftvärmeprod!$B$1:$AV$1,0),FALSE))</f>
        <v/>
      </c>
      <c r="G366" s="121" t="str">
        <f>IF(ISERROR(1/VLOOKUP($B366,Miljö!$B$1:$T$480,MATCH("Såld mängd produktionsspecifik fjärrvärme (GWh)",Miljö!$B$1:$T$1,0),FALSE)),"",VLOOKUP($B366,Miljö!$B$1:$T$480,MATCH("Såld mängd produktionsspecifik fjärrvärme (GWh)",Miljö!$B$1:$T$1,0),FALSE))</f>
        <v/>
      </c>
      <c r="J366" s="121" t="str">
        <f t="shared" si="5"/>
        <v>Värmevärden AB</v>
      </c>
    </row>
    <row r="367" spans="1:10" x14ac:dyDescent="0.25">
      <c r="A367" s="137" t="s">
        <v>52</v>
      </c>
      <c r="B367" s="137" t="s">
        <v>683</v>
      </c>
      <c r="D367" s="121" t="str">
        <f>IF(ISERROR(1/VLOOKUP($B367,Kraftvärmeprod!$B$1:$D$479,MATCH("Total värmeproduktion i kraftvärmeverk i kombinerad drift (GWh)",Kraftvärmeprod!$B$1:$AV$1,0),FALSE)),"Ej kraftvärme","Alternativproduktionsmetoden")</f>
        <v>Ej kraftvärme</v>
      </c>
      <c r="E367" s="172" t="str">
        <f>IF(ISERROR(1/VLOOKUP($B367,Kraftvärmeprod!$B$1:$BD$479,MATCH("Total värmeproduktion i kraftvärmeverk i kombinerad drift (GWh)",Kraftvärmeprod!$B$1:$AV$1,0),FALSE)),"",VLOOKUP($B367,'Slutlig allokering kvv'!$B$1:$BC$479,MATCH(E$1,'Slutlig allokering kvv'!$B$1:$AU$1,0),FALSE))</f>
        <v/>
      </c>
      <c r="F367" s="121" t="str">
        <f>IF(ISERROR(1/VLOOKUP($B367,Kraftvärmeprod!$B$1:$AV$479,MATCH("Producerad elenergi i kraftvärmeverk (GWh)",Kraftvärmeprod!$B$1:$AV$1,0),FALSE)),"",VLOOKUP($B367,Kraftvärmeprod!$B$1:$AV$479,MATCH("Producerad elenergi i kraftvärmeverk (GWh)",Kraftvärmeprod!$B$1:$AV$1,0),FALSE))</f>
        <v/>
      </c>
      <c r="G367" s="121" t="str">
        <f>IF(ISERROR(1/VLOOKUP($B367,Miljö!$B$1:$T$480,MATCH("Såld mängd produktionsspecifik fjärrvärme (GWh)",Miljö!$B$1:$T$1,0),FALSE)),"",VLOOKUP($B367,Miljö!$B$1:$T$480,MATCH("Såld mängd produktionsspecifik fjärrvärme (GWh)",Miljö!$B$1:$T$1,0),FALSE))</f>
        <v/>
      </c>
      <c r="J367" s="121" t="str">
        <f t="shared" si="5"/>
        <v>Värmevärden AB</v>
      </c>
    </row>
    <row r="368" spans="1:10" x14ac:dyDescent="0.25">
      <c r="A368" s="137" t="s">
        <v>52</v>
      </c>
      <c r="B368" s="137" t="s">
        <v>684</v>
      </c>
      <c r="D368" s="121" t="str">
        <f>IF(ISERROR(1/VLOOKUP($B368,Kraftvärmeprod!$B$1:$D$479,MATCH("Total värmeproduktion i kraftvärmeverk i kombinerad drift (GWh)",Kraftvärmeprod!$B$1:$AV$1,0),FALSE)),"Ej kraftvärme","Alternativproduktionsmetoden")</f>
        <v>Ej kraftvärme</v>
      </c>
      <c r="E368" s="172" t="str">
        <f>IF(ISERROR(1/VLOOKUP($B368,Kraftvärmeprod!$B$1:$BD$479,MATCH("Total värmeproduktion i kraftvärmeverk i kombinerad drift (GWh)",Kraftvärmeprod!$B$1:$AV$1,0),FALSE)),"",VLOOKUP($B368,'Slutlig allokering kvv'!$B$1:$BC$479,MATCH(E$1,'Slutlig allokering kvv'!$B$1:$AU$1,0),FALSE))</f>
        <v/>
      </c>
      <c r="F368" s="121" t="str">
        <f>IF(ISERROR(1/VLOOKUP($B368,Kraftvärmeprod!$B$1:$AV$479,MATCH("Producerad elenergi i kraftvärmeverk (GWh)",Kraftvärmeprod!$B$1:$AV$1,0),FALSE)),"",VLOOKUP($B368,Kraftvärmeprod!$B$1:$AV$479,MATCH("Producerad elenergi i kraftvärmeverk (GWh)",Kraftvärmeprod!$B$1:$AV$1,0),FALSE))</f>
        <v/>
      </c>
      <c r="G368" s="121" t="str">
        <f>IF(ISERROR(1/VLOOKUP($B368,Miljö!$B$1:$T$480,MATCH("Såld mängd produktionsspecifik fjärrvärme (GWh)",Miljö!$B$1:$T$1,0),FALSE)),"",VLOOKUP($B368,Miljö!$B$1:$T$480,MATCH("Såld mängd produktionsspecifik fjärrvärme (GWh)",Miljö!$B$1:$T$1,0),FALSE))</f>
        <v/>
      </c>
      <c r="J368" s="121" t="str">
        <f t="shared" si="5"/>
        <v>Värmevärden AB</v>
      </c>
    </row>
    <row r="369" spans="1:10" x14ac:dyDescent="0.25">
      <c r="A369" s="137" t="s">
        <v>52</v>
      </c>
      <c r="B369" s="137" t="s">
        <v>685</v>
      </c>
      <c r="D369" s="121" t="str">
        <f>IF(ISERROR(1/VLOOKUP($B369,Kraftvärmeprod!$B$1:$D$479,MATCH("Total värmeproduktion i kraftvärmeverk i kombinerad drift (GWh)",Kraftvärmeprod!$B$1:$AV$1,0),FALSE)),"Ej kraftvärme","Alternativproduktionsmetoden")</f>
        <v>Alternativproduktionsmetoden</v>
      </c>
      <c r="E369" s="172">
        <f>IF(ISERROR(1/VLOOKUP($B369,Kraftvärmeprod!$B$1:$BD$479,MATCH("Total värmeproduktion i kraftvärmeverk i kombinerad drift (GWh)",Kraftvärmeprod!$B$1:$AV$1,0),FALSE)),"",VLOOKUP($B369,'Slutlig allokering kvv'!$B$1:$BC$479,MATCH(E$1,'Slutlig allokering kvv'!$B$1:$AU$1,0),FALSE))</f>
        <v>0.61102653387728978</v>
      </c>
      <c r="F369" s="121">
        <f>IF(ISERROR(1/VLOOKUP($B369,Kraftvärmeprod!$B$1:$AV$479,MATCH("Producerad elenergi i kraftvärmeverk (GWh)",Kraftvärmeprod!$B$1:$AV$1,0),FALSE)),"",VLOOKUP($B369,Kraftvärmeprod!$B$1:$AV$479,MATCH("Producerad elenergi i kraftvärmeverk (GWh)",Kraftvärmeprod!$B$1:$AV$1,0),FALSE))</f>
        <v>2.5920000000000001</v>
      </c>
      <c r="G369" s="121" t="str">
        <f>IF(ISERROR(1/VLOOKUP($B369,Miljö!$B$1:$T$480,MATCH("Såld mängd produktionsspecifik fjärrvärme (GWh)",Miljö!$B$1:$T$1,0),FALSE)),"",VLOOKUP($B369,Miljö!$B$1:$T$480,MATCH("Såld mängd produktionsspecifik fjärrvärme (GWh)",Miljö!$B$1:$T$1,0),FALSE))</f>
        <v/>
      </c>
      <c r="J369" s="121" t="str">
        <f t="shared" si="5"/>
        <v>Värmevärden AB</v>
      </c>
    </row>
    <row r="370" spans="1:10" x14ac:dyDescent="0.25">
      <c r="A370" s="137" t="s">
        <v>52</v>
      </c>
      <c r="B370" s="137" t="s">
        <v>686</v>
      </c>
      <c r="D370" s="121" t="str">
        <f>IF(ISERROR(1/VLOOKUP($B370,Kraftvärmeprod!$B$1:$D$479,MATCH("Total värmeproduktion i kraftvärmeverk i kombinerad drift (GWh)",Kraftvärmeprod!$B$1:$AV$1,0),FALSE)),"Ej kraftvärme","Alternativproduktionsmetoden")</f>
        <v>Ej kraftvärme</v>
      </c>
      <c r="E370" s="172" t="str">
        <f>IF(ISERROR(1/VLOOKUP($B370,Kraftvärmeprod!$B$1:$BD$479,MATCH("Total värmeproduktion i kraftvärmeverk i kombinerad drift (GWh)",Kraftvärmeprod!$B$1:$AV$1,0),FALSE)),"",VLOOKUP($B370,'Slutlig allokering kvv'!$B$1:$BC$479,MATCH(E$1,'Slutlig allokering kvv'!$B$1:$AU$1,0),FALSE))</f>
        <v/>
      </c>
      <c r="F370" s="121" t="str">
        <f>IF(ISERROR(1/VLOOKUP($B370,Kraftvärmeprod!$B$1:$AV$479,MATCH("Producerad elenergi i kraftvärmeverk (GWh)",Kraftvärmeprod!$B$1:$AV$1,0),FALSE)),"",VLOOKUP($B370,Kraftvärmeprod!$B$1:$AV$479,MATCH("Producerad elenergi i kraftvärmeverk (GWh)",Kraftvärmeprod!$B$1:$AV$1,0),FALSE))</f>
        <v/>
      </c>
      <c r="G370" s="121" t="str">
        <f>IF(ISERROR(1/VLOOKUP($B370,Miljö!$B$1:$T$480,MATCH("Såld mängd produktionsspecifik fjärrvärme (GWh)",Miljö!$B$1:$T$1,0),FALSE)),"",VLOOKUP($B370,Miljö!$B$1:$T$480,MATCH("Såld mängd produktionsspecifik fjärrvärme (GWh)",Miljö!$B$1:$T$1,0),FALSE))</f>
        <v/>
      </c>
      <c r="J370" s="121" t="str">
        <f t="shared" si="5"/>
        <v>Värmevärden AB</v>
      </c>
    </row>
    <row r="371" spans="1:10" x14ac:dyDescent="0.25">
      <c r="A371" s="137" t="s">
        <v>52</v>
      </c>
      <c r="B371" s="137" t="s">
        <v>687</v>
      </c>
      <c r="D371" s="121" t="str">
        <f>IF(ISERROR(1/VLOOKUP($B371,Kraftvärmeprod!$B$1:$D$479,MATCH("Total värmeproduktion i kraftvärmeverk i kombinerad drift (GWh)",Kraftvärmeprod!$B$1:$AV$1,0),FALSE)),"Ej kraftvärme","Alternativproduktionsmetoden")</f>
        <v>Ej kraftvärme</v>
      </c>
      <c r="E371" s="172" t="str">
        <f>IF(ISERROR(1/VLOOKUP($B371,Kraftvärmeprod!$B$1:$BD$479,MATCH("Total värmeproduktion i kraftvärmeverk i kombinerad drift (GWh)",Kraftvärmeprod!$B$1:$AV$1,0),FALSE)),"",VLOOKUP($B371,'Slutlig allokering kvv'!$B$1:$BC$479,MATCH(E$1,'Slutlig allokering kvv'!$B$1:$AU$1,0),FALSE))</f>
        <v/>
      </c>
      <c r="F371" s="121" t="str">
        <f>IF(ISERROR(1/VLOOKUP($B371,Kraftvärmeprod!$B$1:$AV$479,MATCH("Producerad elenergi i kraftvärmeverk (GWh)",Kraftvärmeprod!$B$1:$AV$1,0),FALSE)),"",VLOOKUP($B371,Kraftvärmeprod!$B$1:$AV$479,MATCH("Producerad elenergi i kraftvärmeverk (GWh)",Kraftvärmeprod!$B$1:$AV$1,0),FALSE))</f>
        <v/>
      </c>
      <c r="G371" s="121" t="str">
        <f>IF(ISERROR(1/VLOOKUP($B371,Miljö!$B$1:$T$480,MATCH("Såld mängd produktionsspecifik fjärrvärme (GWh)",Miljö!$B$1:$T$1,0),FALSE)),"",VLOOKUP($B371,Miljö!$B$1:$T$480,MATCH("Såld mängd produktionsspecifik fjärrvärme (GWh)",Miljö!$B$1:$T$1,0),FALSE))</f>
        <v/>
      </c>
      <c r="J371" s="121" t="str">
        <f t="shared" si="5"/>
        <v>Värmevärden AB</v>
      </c>
    </row>
    <row r="372" spans="1:10" x14ac:dyDescent="0.25">
      <c r="A372" s="137" t="s">
        <v>52</v>
      </c>
      <c r="B372" s="137" t="s">
        <v>688</v>
      </c>
      <c r="D372" s="121" t="str">
        <f>IF(ISERROR(1/VLOOKUP($B372,Kraftvärmeprod!$B$1:$D$479,MATCH("Total värmeproduktion i kraftvärmeverk i kombinerad drift (GWh)",Kraftvärmeprod!$B$1:$AV$1,0),FALSE)),"Ej kraftvärme","Alternativproduktionsmetoden")</f>
        <v>Ej kraftvärme</v>
      </c>
      <c r="E372" s="172" t="str">
        <f>IF(ISERROR(1/VLOOKUP($B372,Kraftvärmeprod!$B$1:$BD$479,MATCH("Total värmeproduktion i kraftvärmeverk i kombinerad drift (GWh)",Kraftvärmeprod!$B$1:$AV$1,0),FALSE)),"",VLOOKUP($B372,'Slutlig allokering kvv'!$B$1:$BC$479,MATCH(E$1,'Slutlig allokering kvv'!$B$1:$AU$1,0),FALSE))</f>
        <v/>
      </c>
      <c r="F372" s="121" t="str">
        <f>IF(ISERROR(1/VLOOKUP($B372,Kraftvärmeprod!$B$1:$AV$479,MATCH("Producerad elenergi i kraftvärmeverk (GWh)",Kraftvärmeprod!$B$1:$AV$1,0),FALSE)),"",VLOOKUP($B372,Kraftvärmeprod!$B$1:$AV$479,MATCH("Producerad elenergi i kraftvärmeverk (GWh)",Kraftvärmeprod!$B$1:$AV$1,0),FALSE))</f>
        <v/>
      </c>
      <c r="G372" s="121" t="str">
        <f>IF(ISERROR(1/VLOOKUP($B372,Miljö!$B$1:$T$480,MATCH("Såld mängd produktionsspecifik fjärrvärme (GWh)",Miljö!$B$1:$T$1,0),FALSE)),"",VLOOKUP($B372,Miljö!$B$1:$T$480,MATCH("Såld mängd produktionsspecifik fjärrvärme (GWh)",Miljö!$B$1:$T$1,0),FALSE))</f>
        <v/>
      </c>
      <c r="J372" s="121" t="str">
        <f t="shared" si="5"/>
        <v>Värmevärden AB</v>
      </c>
    </row>
    <row r="373" spans="1:10" x14ac:dyDescent="0.25">
      <c r="A373" s="137" t="s">
        <v>52</v>
      </c>
      <c r="B373" s="137" t="s">
        <v>689</v>
      </c>
      <c r="D373" s="121" t="str">
        <f>IF(ISERROR(1/VLOOKUP($B373,Kraftvärmeprod!$B$1:$D$479,MATCH("Total värmeproduktion i kraftvärmeverk i kombinerad drift (GWh)",Kraftvärmeprod!$B$1:$AV$1,0),FALSE)),"Ej kraftvärme","Alternativproduktionsmetoden")</f>
        <v>Ej kraftvärme</v>
      </c>
      <c r="E373" s="172" t="str">
        <f>IF(ISERROR(1/VLOOKUP($B373,Kraftvärmeprod!$B$1:$BD$479,MATCH("Total värmeproduktion i kraftvärmeverk i kombinerad drift (GWh)",Kraftvärmeprod!$B$1:$AV$1,0),FALSE)),"",VLOOKUP($B373,'Slutlig allokering kvv'!$B$1:$BC$479,MATCH(E$1,'Slutlig allokering kvv'!$B$1:$AU$1,0),FALSE))</f>
        <v/>
      </c>
      <c r="F373" s="121" t="str">
        <f>IF(ISERROR(1/VLOOKUP($B373,Kraftvärmeprod!$B$1:$AV$479,MATCH("Producerad elenergi i kraftvärmeverk (GWh)",Kraftvärmeprod!$B$1:$AV$1,0),FALSE)),"",VLOOKUP($B373,Kraftvärmeprod!$B$1:$AV$479,MATCH("Producerad elenergi i kraftvärmeverk (GWh)",Kraftvärmeprod!$B$1:$AV$1,0),FALSE))</f>
        <v/>
      </c>
      <c r="G373" s="121" t="str">
        <f>IF(ISERROR(1/VLOOKUP($B373,Miljö!$B$1:$T$480,MATCH("Såld mängd produktionsspecifik fjärrvärme (GWh)",Miljö!$B$1:$T$1,0),FALSE)),"",VLOOKUP($B373,Miljö!$B$1:$T$480,MATCH("Såld mängd produktionsspecifik fjärrvärme (GWh)",Miljö!$B$1:$T$1,0),FALSE))</f>
        <v/>
      </c>
      <c r="J373" s="121" t="str">
        <f t="shared" si="5"/>
        <v>Värmevärden AB</v>
      </c>
    </row>
    <row r="374" spans="1:10" x14ac:dyDescent="0.25">
      <c r="A374" s="137" t="s">
        <v>52</v>
      </c>
      <c r="B374" s="137" t="s">
        <v>690</v>
      </c>
      <c r="D374" s="121" t="str">
        <f>IF(ISERROR(1/VLOOKUP($B374,Kraftvärmeprod!$B$1:$D$479,MATCH("Total värmeproduktion i kraftvärmeverk i kombinerad drift (GWh)",Kraftvärmeprod!$B$1:$AV$1,0),FALSE)),"Ej kraftvärme","Alternativproduktionsmetoden")</f>
        <v>Ej kraftvärme</v>
      </c>
      <c r="E374" s="172" t="str">
        <f>IF(ISERROR(1/VLOOKUP($B374,Kraftvärmeprod!$B$1:$BD$479,MATCH("Total värmeproduktion i kraftvärmeverk i kombinerad drift (GWh)",Kraftvärmeprod!$B$1:$AV$1,0),FALSE)),"",VLOOKUP($B374,'Slutlig allokering kvv'!$B$1:$BC$479,MATCH(E$1,'Slutlig allokering kvv'!$B$1:$AU$1,0),FALSE))</f>
        <v/>
      </c>
      <c r="F374" s="121" t="str">
        <f>IF(ISERROR(1/VLOOKUP($B374,Kraftvärmeprod!$B$1:$AV$479,MATCH("Producerad elenergi i kraftvärmeverk (GWh)",Kraftvärmeprod!$B$1:$AV$1,0),FALSE)),"",VLOOKUP($B374,Kraftvärmeprod!$B$1:$AV$479,MATCH("Producerad elenergi i kraftvärmeverk (GWh)",Kraftvärmeprod!$B$1:$AV$1,0),FALSE))</f>
        <v/>
      </c>
      <c r="G374" s="121" t="str">
        <f>IF(ISERROR(1/VLOOKUP($B374,Miljö!$B$1:$T$480,MATCH("Såld mängd produktionsspecifik fjärrvärme (GWh)",Miljö!$B$1:$T$1,0),FALSE)),"",VLOOKUP($B374,Miljö!$B$1:$T$480,MATCH("Såld mängd produktionsspecifik fjärrvärme (GWh)",Miljö!$B$1:$T$1,0),FALSE))</f>
        <v/>
      </c>
      <c r="J374" s="121" t="str">
        <f t="shared" si="5"/>
        <v>Värmevärden AB</v>
      </c>
    </row>
    <row r="375" spans="1:10" x14ac:dyDescent="0.25">
      <c r="A375" s="137" t="s">
        <v>691</v>
      </c>
      <c r="B375" s="137" t="s">
        <v>692</v>
      </c>
      <c r="D375" s="121" t="str">
        <f>IF(ISERROR(1/VLOOKUP($B375,Kraftvärmeprod!$B$1:$D$479,MATCH("Total värmeproduktion i kraftvärmeverk i kombinerad drift (GWh)",Kraftvärmeprod!$B$1:$AV$1,0),FALSE)),"Ej kraftvärme","Alternativproduktionsmetoden")</f>
        <v>Ej kraftvärme</v>
      </c>
      <c r="E375" s="172" t="str">
        <f>IF(ISERROR(1/VLOOKUP($B375,Kraftvärmeprod!$B$1:$BD$479,MATCH("Total värmeproduktion i kraftvärmeverk i kombinerad drift (GWh)",Kraftvärmeprod!$B$1:$AV$1,0),FALSE)),"",VLOOKUP($B375,'Slutlig allokering kvv'!$B$1:$BC$479,MATCH(E$1,'Slutlig allokering kvv'!$B$1:$AU$1,0),FALSE))</f>
        <v/>
      </c>
      <c r="F375" s="121" t="str">
        <f>IF(ISERROR(1/VLOOKUP($B375,Kraftvärmeprod!$B$1:$AV$479,MATCH("Producerad elenergi i kraftvärmeverk (GWh)",Kraftvärmeprod!$B$1:$AV$1,0),FALSE)),"",VLOOKUP($B375,Kraftvärmeprod!$B$1:$AV$479,MATCH("Producerad elenergi i kraftvärmeverk (GWh)",Kraftvärmeprod!$B$1:$AV$1,0),FALSE))</f>
        <v/>
      </c>
      <c r="G375" s="121" t="str">
        <f>IF(ISERROR(1/VLOOKUP($B375,Miljö!$B$1:$T$480,MATCH("Såld mängd produktionsspecifik fjärrvärme (GWh)",Miljö!$B$1:$T$1,0),FALSE)),"",VLOOKUP($B375,Miljö!$B$1:$T$480,MATCH("Såld mängd produktionsspecifik fjärrvärme (GWh)",Miljö!$B$1:$T$1,0),FALSE))</f>
        <v/>
      </c>
      <c r="J375" s="121" t="str">
        <f t="shared" si="5"/>
        <v>Värnamo Energi AB</v>
      </c>
    </row>
    <row r="376" spans="1:10" x14ac:dyDescent="0.25">
      <c r="A376" s="137" t="s">
        <v>691</v>
      </c>
      <c r="B376" s="137" t="s">
        <v>693</v>
      </c>
      <c r="D376" s="121" t="str">
        <f>IF(ISERROR(1/VLOOKUP($B376,Kraftvärmeprod!$B$1:$D$479,MATCH("Total värmeproduktion i kraftvärmeverk i kombinerad drift (GWh)",Kraftvärmeprod!$B$1:$AV$1,0),FALSE)),"Ej kraftvärme","Alternativproduktionsmetoden")</f>
        <v>Ej kraftvärme</v>
      </c>
      <c r="E376" s="172" t="str">
        <f>IF(ISERROR(1/VLOOKUP($B376,Kraftvärmeprod!$B$1:$BD$479,MATCH("Total värmeproduktion i kraftvärmeverk i kombinerad drift (GWh)",Kraftvärmeprod!$B$1:$AV$1,0),FALSE)),"",VLOOKUP($B376,'Slutlig allokering kvv'!$B$1:$BC$479,MATCH(E$1,'Slutlig allokering kvv'!$B$1:$AU$1,0),FALSE))</f>
        <v/>
      </c>
      <c r="F376" s="121" t="str">
        <f>IF(ISERROR(1/VLOOKUP($B376,Kraftvärmeprod!$B$1:$AV$479,MATCH("Producerad elenergi i kraftvärmeverk (GWh)",Kraftvärmeprod!$B$1:$AV$1,0),FALSE)),"",VLOOKUP($B376,Kraftvärmeprod!$B$1:$AV$479,MATCH("Producerad elenergi i kraftvärmeverk (GWh)",Kraftvärmeprod!$B$1:$AV$1,0),FALSE))</f>
        <v/>
      </c>
      <c r="G376" s="121" t="str">
        <f>IF(ISERROR(1/VLOOKUP($B376,Miljö!$B$1:$T$480,MATCH("Såld mängd produktionsspecifik fjärrvärme (GWh)",Miljö!$B$1:$T$1,0),FALSE)),"",VLOOKUP($B376,Miljö!$B$1:$T$480,MATCH("Såld mängd produktionsspecifik fjärrvärme (GWh)",Miljö!$B$1:$T$1,0),FALSE))</f>
        <v/>
      </c>
      <c r="J376" s="121" t="str">
        <f t="shared" si="5"/>
        <v>Värnamo Energi AB</v>
      </c>
    </row>
    <row r="377" spans="1:10" x14ac:dyDescent="0.25">
      <c r="A377" s="137" t="s">
        <v>691</v>
      </c>
      <c r="B377" s="137" t="s">
        <v>694</v>
      </c>
      <c r="D377" s="121" t="str">
        <f>IF(ISERROR(1/VLOOKUP($B377,Kraftvärmeprod!$B$1:$D$479,MATCH("Total värmeproduktion i kraftvärmeverk i kombinerad drift (GWh)",Kraftvärmeprod!$B$1:$AV$1,0),FALSE)),"Ej kraftvärme","Alternativproduktionsmetoden")</f>
        <v>Ej kraftvärme</v>
      </c>
      <c r="E377" s="172" t="str">
        <f>IF(ISERROR(1/VLOOKUP($B377,Kraftvärmeprod!$B$1:$BD$479,MATCH("Total värmeproduktion i kraftvärmeverk i kombinerad drift (GWh)",Kraftvärmeprod!$B$1:$AV$1,0),FALSE)),"",VLOOKUP($B377,'Slutlig allokering kvv'!$B$1:$BC$479,MATCH(E$1,'Slutlig allokering kvv'!$B$1:$AU$1,0),FALSE))</f>
        <v/>
      </c>
      <c r="F377" s="121" t="str">
        <f>IF(ISERROR(1/VLOOKUP($B377,Kraftvärmeprod!$B$1:$AV$479,MATCH("Producerad elenergi i kraftvärmeverk (GWh)",Kraftvärmeprod!$B$1:$AV$1,0),FALSE)),"",VLOOKUP($B377,Kraftvärmeprod!$B$1:$AV$479,MATCH("Producerad elenergi i kraftvärmeverk (GWh)",Kraftvärmeprod!$B$1:$AV$1,0),FALSE))</f>
        <v/>
      </c>
      <c r="G377" s="121" t="str">
        <f>IF(ISERROR(1/VLOOKUP($B377,Miljö!$B$1:$T$480,MATCH("Såld mängd produktionsspecifik fjärrvärme (GWh)",Miljö!$B$1:$T$1,0),FALSE)),"",VLOOKUP($B377,Miljö!$B$1:$T$480,MATCH("Såld mängd produktionsspecifik fjärrvärme (GWh)",Miljö!$B$1:$T$1,0),FALSE))</f>
        <v/>
      </c>
      <c r="J377" s="121" t="str">
        <f t="shared" si="5"/>
        <v>Värnamo Energi AB</v>
      </c>
    </row>
    <row r="378" spans="1:10" x14ac:dyDescent="0.25">
      <c r="A378" s="137" t="s">
        <v>691</v>
      </c>
      <c r="B378" s="137" t="s">
        <v>695</v>
      </c>
      <c r="D378" s="121" t="str">
        <f>IF(ISERROR(1/VLOOKUP($B378,Kraftvärmeprod!$B$1:$D$479,MATCH("Total värmeproduktion i kraftvärmeverk i kombinerad drift (GWh)",Kraftvärmeprod!$B$1:$AV$1,0),FALSE)),"Ej kraftvärme","Alternativproduktionsmetoden")</f>
        <v>Ej kraftvärme</v>
      </c>
      <c r="E378" s="172" t="str">
        <f>IF(ISERROR(1/VLOOKUP($B378,Kraftvärmeprod!$B$1:$BD$479,MATCH("Total värmeproduktion i kraftvärmeverk i kombinerad drift (GWh)",Kraftvärmeprod!$B$1:$AV$1,0),FALSE)),"",VLOOKUP($B378,'Slutlig allokering kvv'!$B$1:$BC$479,MATCH(E$1,'Slutlig allokering kvv'!$B$1:$AU$1,0),FALSE))</f>
        <v/>
      </c>
      <c r="F378" s="121" t="str">
        <f>IF(ISERROR(1/VLOOKUP($B378,Kraftvärmeprod!$B$1:$AV$479,MATCH("Producerad elenergi i kraftvärmeverk (GWh)",Kraftvärmeprod!$B$1:$AV$1,0),FALSE)),"",VLOOKUP($B378,Kraftvärmeprod!$B$1:$AV$479,MATCH("Producerad elenergi i kraftvärmeverk (GWh)",Kraftvärmeprod!$B$1:$AV$1,0),FALSE))</f>
        <v/>
      </c>
      <c r="G378" s="121" t="str">
        <f>IF(ISERROR(1/VLOOKUP($B378,Miljö!$B$1:$T$480,MATCH("Såld mängd produktionsspecifik fjärrvärme (GWh)",Miljö!$B$1:$T$1,0),FALSE)),"",VLOOKUP($B378,Miljö!$B$1:$T$480,MATCH("Såld mängd produktionsspecifik fjärrvärme (GWh)",Miljö!$B$1:$T$1,0),FALSE))</f>
        <v/>
      </c>
      <c r="J378" s="121" t="str">
        <f t="shared" si="5"/>
        <v>Värnamo Energi AB</v>
      </c>
    </row>
    <row r="379" spans="1:10" x14ac:dyDescent="0.25">
      <c r="A379" s="137" t="s">
        <v>691</v>
      </c>
      <c r="B379" s="137" t="s">
        <v>696</v>
      </c>
      <c r="D379" s="121" t="str">
        <f>IF(ISERROR(1/VLOOKUP($B379,Kraftvärmeprod!$B$1:$D$479,MATCH("Total värmeproduktion i kraftvärmeverk i kombinerad drift (GWh)",Kraftvärmeprod!$B$1:$AV$1,0),FALSE)),"Ej kraftvärme","Alternativproduktionsmetoden")</f>
        <v>Ej kraftvärme</v>
      </c>
      <c r="E379" s="172" t="str">
        <f>IF(ISERROR(1/VLOOKUP($B379,Kraftvärmeprod!$B$1:$BD$479,MATCH("Total värmeproduktion i kraftvärmeverk i kombinerad drift (GWh)",Kraftvärmeprod!$B$1:$AV$1,0),FALSE)),"",VLOOKUP($B379,'Slutlig allokering kvv'!$B$1:$BC$479,MATCH(E$1,'Slutlig allokering kvv'!$B$1:$AU$1,0),FALSE))</f>
        <v/>
      </c>
      <c r="F379" s="121" t="str">
        <f>IF(ISERROR(1/VLOOKUP($B379,Kraftvärmeprod!$B$1:$AV$479,MATCH("Producerad elenergi i kraftvärmeverk (GWh)",Kraftvärmeprod!$B$1:$AV$1,0),FALSE)),"",VLOOKUP($B379,Kraftvärmeprod!$B$1:$AV$479,MATCH("Producerad elenergi i kraftvärmeverk (GWh)",Kraftvärmeprod!$B$1:$AV$1,0),FALSE))</f>
        <v/>
      </c>
      <c r="G379" s="121" t="str">
        <f>IF(ISERROR(1/VLOOKUP($B379,Miljö!$B$1:$T$480,MATCH("Såld mängd produktionsspecifik fjärrvärme (GWh)",Miljö!$B$1:$T$1,0),FALSE)),"",VLOOKUP($B379,Miljö!$B$1:$T$480,MATCH("Såld mängd produktionsspecifik fjärrvärme (GWh)",Miljö!$B$1:$T$1,0),FALSE))</f>
        <v/>
      </c>
      <c r="J379" s="121" t="str">
        <f t="shared" si="5"/>
        <v>Värnamo Energi AB</v>
      </c>
    </row>
    <row r="380" spans="1:10" x14ac:dyDescent="0.25">
      <c r="A380" s="137" t="s">
        <v>691</v>
      </c>
      <c r="B380" s="137" t="s">
        <v>697</v>
      </c>
      <c r="D380" s="121" t="str">
        <f>IF(ISERROR(1/VLOOKUP($B380,Kraftvärmeprod!$B$1:$D$479,MATCH("Total värmeproduktion i kraftvärmeverk i kombinerad drift (GWh)",Kraftvärmeprod!$B$1:$AV$1,0),FALSE)),"Ej kraftvärme","Alternativproduktionsmetoden")</f>
        <v>Alternativproduktionsmetoden</v>
      </c>
      <c r="E380" s="172">
        <f>IF(ISERROR(1/VLOOKUP($B380,Kraftvärmeprod!$B$1:$BD$479,MATCH("Total värmeproduktion i kraftvärmeverk i kombinerad drift (GWh)",Kraftvärmeprod!$B$1:$AV$1,0),FALSE)),"",VLOOKUP($B380,'Slutlig allokering kvv'!$B$1:$BC$479,MATCH(E$1,'Slutlig allokering kvv'!$B$1:$AU$1,0),FALSE))</f>
        <v>0.60803171198266226</v>
      </c>
      <c r="F380" s="121">
        <f>IF(ISERROR(1/VLOOKUP($B380,Kraftvärmeprod!$B$1:$AV$479,MATCH("Producerad elenergi i kraftvärmeverk (GWh)",Kraftvärmeprod!$B$1:$AV$1,0),FALSE)),"",VLOOKUP($B380,Kraftvärmeprod!$B$1:$AV$479,MATCH("Producerad elenergi i kraftvärmeverk (GWh)",Kraftvärmeprod!$B$1:$AV$1,0),FALSE))</f>
        <v>15.096</v>
      </c>
      <c r="G380" s="121" t="str">
        <f>IF(ISERROR(1/VLOOKUP($B380,Miljö!$B$1:$T$480,MATCH("Såld mängd produktionsspecifik fjärrvärme (GWh)",Miljö!$B$1:$T$1,0),FALSE)),"",VLOOKUP($B380,Miljö!$B$1:$T$480,MATCH("Såld mängd produktionsspecifik fjärrvärme (GWh)",Miljö!$B$1:$T$1,0),FALSE))</f>
        <v/>
      </c>
      <c r="J380" s="121" t="str">
        <f t="shared" si="5"/>
        <v>Värnamo Energi AB</v>
      </c>
    </row>
    <row r="381" spans="1:10" x14ac:dyDescent="0.25">
      <c r="A381" s="137" t="s">
        <v>698</v>
      </c>
      <c r="B381" s="137" t="s">
        <v>699</v>
      </c>
      <c r="D381" s="121" t="str">
        <f>IF(ISERROR(1/VLOOKUP($B381,Kraftvärmeprod!$B$1:$D$479,MATCH("Total värmeproduktion i kraftvärmeverk i kombinerad drift (GWh)",Kraftvärmeprod!$B$1:$AV$1,0),FALSE)),"Ej kraftvärme","Alternativproduktionsmetoden")</f>
        <v>Ej kraftvärme</v>
      </c>
      <c r="E381" s="172" t="str">
        <f>IF(ISERROR(1/VLOOKUP($B381,Kraftvärmeprod!$B$1:$BD$479,MATCH("Total värmeproduktion i kraftvärmeverk i kombinerad drift (GWh)",Kraftvärmeprod!$B$1:$AV$1,0),FALSE)),"",VLOOKUP($B381,'Slutlig allokering kvv'!$B$1:$BC$479,MATCH(E$1,'Slutlig allokering kvv'!$B$1:$AU$1,0),FALSE))</f>
        <v/>
      </c>
      <c r="F381" s="121" t="str">
        <f>IF(ISERROR(1/VLOOKUP($B381,Kraftvärmeprod!$B$1:$AV$479,MATCH("Producerad elenergi i kraftvärmeverk (GWh)",Kraftvärmeprod!$B$1:$AV$1,0),FALSE)),"",VLOOKUP($B381,Kraftvärmeprod!$B$1:$AV$479,MATCH("Producerad elenergi i kraftvärmeverk (GWh)",Kraftvärmeprod!$B$1:$AV$1,0),FALSE))</f>
        <v/>
      </c>
      <c r="G381" s="121" t="str">
        <f>IF(ISERROR(1/VLOOKUP($B381,Miljö!$B$1:$T$480,MATCH("Såld mängd produktionsspecifik fjärrvärme (GWh)",Miljö!$B$1:$T$1,0),FALSE)),"",VLOOKUP($B381,Miljö!$B$1:$T$480,MATCH("Såld mängd produktionsspecifik fjärrvärme (GWh)",Miljö!$B$1:$T$1,0),FALSE))</f>
        <v/>
      </c>
      <c r="J381" s="121" t="str">
        <f t="shared" si="5"/>
        <v>Västerbergslagens Energi AB</v>
      </c>
    </row>
    <row r="382" spans="1:10" x14ac:dyDescent="0.25">
      <c r="A382" s="137" t="s">
        <v>698</v>
      </c>
      <c r="B382" s="137" t="s">
        <v>700</v>
      </c>
      <c r="D382" s="121" t="str">
        <f>IF(ISERROR(1/VLOOKUP($B382,Kraftvärmeprod!$B$1:$D$479,MATCH("Total värmeproduktion i kraftvärmeverk i kombinerad drift (GWh)",Kraftvärmeprod!$B$1:$AV$1,0),FALSE)),"Ej kraftvärme","Alternativproduktionsmetoden")</f>
        <v>Ej kraftvärme</v>
      </c>
      <c r="E382" s="172" t="str">
        <f>IF(ISERROR(1/VLOOKUP($B382,Kraftvärmeprod!$B$1:$BD$479,MATCH("Total värmeproduktion i kraftvärmeverk i kombinerad drift (GWh)",Kraftvärmeprod!$B$1:$AV$1,0),FALSE)),"",VLOOKUP($B382,'Slutlig allokering kvv'!$B$1:$BC$479,MATCH(E$1,'Slutlig allokering kvv'!$B$1:$AU$1,0),FALSE))</f>
        <v/>
      </c>
      <c r="F382" s="121" t="str">
        <f>IF(ISERROR(1/VLOOKUP($B382,Kraftvärmeprod!$B$1:$AV$479,MATCH("Producerad elenergi i kraftvärmeverk (GWh)",Kraftvärmeprod!$B$1:$AV$1,0),FALSE)),"",VLOOKUP($B382,Kraftvärmeprod!$B$1:$AV$479,MATCH("Producerad elenergi i kraftvärmeverk (GWh)",Kraftvärmeprod!$B$1:$AV$1,0),FALSE))</f>
        <v/>
      </c>
      <c r="G382" s="121" t="str">
        <f>IF(ISERROR(1/VLOOKUP($B382,Miljö!$B$1:$T$480,MATCH("Såld mängd produktionsspecifik fjärrvärme (GWh)",Miljö!$B$1:$T$1,0),FALSE)),"",VLOOKUP($B382,Miljö!$B$1:$T$480,MATCH("Såld mängd produktionsspecifik fjärrvärme (GWh)",Miljö!$B$1:$T$1,0),FALSE))</f>
        <v/>
      </c>
      <c r="J382" s="121" t="str">
        <f t="shared" si="5"/>
        <v>Västerbergslagens Energi AB</v>
      </c>
    </row>
    <row r="383" spans="1:10" x14ac:dyDescent="0.25">
      <c r="A383" s="137" t="s">
        <v>698</v>
      </c>
      <c r="B383" s="137" t="s">
        <v>701</v>
      </c>
      <c r="D383" s="121" t="str">
        <f>IF(ISERROR(1/VLOOKUP($B383,Kraftvärmeprod!$B$1:$D$479,MATCH("Total värmeproduktion i kraftvärmeverk i kombinerad drift (GWh)",Kraftvärmeprod!$B$1:$AV$1,0),FALSE)),"Ej kraftvärme","Alternativproduktionsmetoden")</f>
        <v>Ej kraftvärme</v>
      </c>
      <c r="E383" s="172" t="str">
        <f>IF(ISERROR(1/VLOOKUP($B383,Kraftvärmeprod!$B$1:$BD$479,MATCH("Total värmeproduktion i kraftvärmeverk i kombinerad drift (GWh)",Kraftvärmeprod!$B$1:$AV$1,0),FALSE)),"",VLOOKUP($B383,'Slutlig allokering kvv'!$B$1:$BC$479,MATCH(E$1,'Slutlig allokering kvv'!$B$1:$AU$1,0),FALSE))</f>
        <v/>
      </c>
      <c r="F383" s="121" t="str">
        <f>IF(ISERROR(1/VLOOKUP($B383,Kraftvärmeprod!$B$1:$AV$479,MATCH("Producerad elenergi i kraftvärmeverk (GWh)",Kraftvärmeprod!$B$1:$AV$1,0),FALSE)),"",VLOOKUP($B383,Kraftvärmeprod!$B$1:$AV$479,MATCH("Producerad elenergi i kraftvärmeverk (GWh)",Kraftvärmeprod!$B$1:$AV$1,0),FALSE))</f>
        <v/>
      </c>
      <c r="G383" s="121" t="str">
        <f>IF(ISERROR(1/VLOOKUP($B383,Miljö!$B$1:$T$480,MATCH("Såld mängd produktionsspecifik fjärrvärme (GWh)",Miljö!$B$1:$T$1,0),FALSE)),"",VLOOKUP($B383,Miljö!$B$1:$T$480,MATCH("Såld mängd produktionsspecifik fjärrvärme (GWh)",Miljö!$B$1:$T$1,0),FALSE))</f>
        <v/>
      </c>
      <c r="J383" s="121" t="str">
        <f t="shared" si="5"/>
        <v>Västerbergslagens Energi AB</v>
      </c>
    </row>
    <row r="384" spans="1:10" x14ac:dyDescent="0.25">
      <c r="A384" s="137" t="s">
        <v>698</v>
      </c>
      <c r="B384" s="137" t="s">
        <v>702</v>
      </c>
      <c r="D384" s="121" t="str">
        <f>IF(ISERROR(1/VLOOKUP($B384,Kraftvärmeprod!$B$1:$D$479,MATCH("Total värmeproduktion i kraftvärmeverk i kombinerad drift (GWh)",Kraftvärmeprod!$B$1:$AV$1,0),FALSE)),"Ej kraftvärme","Alternativproduktionsmetoden")</f>
        <v>Ej kraftvärme</v>
      </c>
      <c r="E384" s="172" t="str">
        <f>IF(ISERROR(1/VLOOKUP($B384,Kraftvärmeprod!$B$1:$BD$479,MATCH("Total värmeproduktion i kraftvärmeverk i kombinerad drift (GWh)",Kraftvärmeprod!$B$1:$AV$1,0),FALSE)),"",VLOOKUP($B384,'Slutlig allokering kvv'!$B$1:$BC$479,MATCH(E$1,'Slutlig allokering kvv'!$B$1:$AU$1,0),FALSE))</f>
        <v/>
      </c>
      <c r="F384" s="121" t="str">
        <f>IF(ISERROR(1/VLOOKUP($B384,Kraftvärmeprod!$B$1:$AV$479,MATCH("Producerad elenergi i kraftvärmeverk (GWh)",Kraftvärmeprod!$B$1:$AV$1,0),FALSE)),"",VLOOKUP($B384,Kraftvärmeprod!$B$1:$AV$479,MATCH("Producerad elenergi i kraftvärmeverk (GWh)",Kraftvärmeprod!$B$1:$AV$1,0),FALSE))</f>
        <v/>
      </c>
      <c r="G384" s="121" t="str">
        <f>IF(ISERROR(1/VLOOKUP($B384,Miljö!$B$1:$T$480,MATCH("Såld mängd produktionsspecifik fjärrvärme (GWh)",Miljö!$B$1:$T$1,0),FALSE)),"",VLOOKUP($B384,Miljö!$B$1:$T$480,MATCH("Såld mängd produktionsspecifik fjärrvärme (GWh)",Miljö!$B$1:$T$1,0),FALSE))</f>
        <v/>
      </c>
      <c r="J384" s="121" t="str">
        <f t="shared" si="5"/>
        <v>Västerbergslagens Energi AB</v>
      </c>
    </row>
    <row r="385" spans="1:10" x14ac:dyDescent="0.25">
      <c r="A385" s="137" t="s">
        <v>703</v>
      </c>
      <c r="B385" s="137" t="s">
        <v>704</v>
      </c>
      <c r="D385" s="121" t="str">
        <f>IF(ISERROR(1/VLOOKUP($B385,Kraftvärmeprod!$B$1:$D$479,MATCH("Total värmeproduktion i kraftvärmeverk i kombinerad drift (GWh)",Kraftvärmeprod!$B$1:$AV$1,0),FALSE)),"Ej kraftvärme","Alternativproduktionsmetoden")</f>
        <v>Ej kraftvärme</v>
      </c>
      <c r="E385" s="172" t="str">
        <f>IF(ISERROR(1/VLOOKUP($B385,Kraftvärmeprod!$B$1:$BD$479,MATCH("Total värmeproduktion i kraftvärmeverk i kombinerad drift (GWh)",Kraftvärmeprod!$B$1:$AV$1,0),FALSE)),"",VLOOKUP($B385,'Slutlig allokering kvv'!$B$1:$BC$479,MATCH(E$1,'Slutlig allokering kvv'!$B$1:$AU$1,0),FALSE))</f>
        <v/>
      </c>
      <c r="F385" s="121" t="str">
        <f>IF(ISERROR(1/VLOOKUP($B385,Kraftvärmeprod!$B$1:$AV$479,MATCH("Producerad elenergi i kraftvärmeverk (GWh)",Kraftvärmeprod!$B$1:$AV$1,0),FALSE)),"",VLOOKUP($B385,Kraftvärmeprod!$B$1:$AV$479,MATCH("Producerad elenergi i kraftvärmeverk (GWh)",Kraftvärmeprod!$B$1:$AV$1,0),FALSE))</f>
        <v/>
      </c>
      <c r="G385" s="121" t="str">
        <f>IF(ISERROR(1/VLOOKUP($B385,Miljö!$B$1:$T$480,MATCH("Såld mängd produktionsspecifik fjärrvärme (GWh)",Miljö!$B$1:$T$1,0),FALSE)),"",VLOOKUP($B385,Miljö!$B$1:$T$480,MATCH("Såld mängd produktionsspecifik fjärrvärme (GWh)",Miljö!$B$1:$T$1,0),FALSE))</f>
        <v/>
      </c>
      <c r="J385" s="121" t="str">
        <f t="shared" si="5"/>
        <v>Västervik Miljö &amp; Energi AB</v>
      </c>
    </row>
    <row r="386" spans="1:10" x14ac:dyDescent="0.25">
      <c r="A386" s="137" t="s">
        <v>703</v>
      </c>
      <c r="B386" s="137" t="s">
        <v>705</v>
      </c>
      <c r="D386" s="121" t="str">
        <f>IF(ISERROR(1/VLOOKUP($B386,Kraftvärmeprod!$B$1:$D$479,MATCH("Total värmeproduktion i kraftvärmeverk i kombinerad drift (GWh)",Kraftvärmeprod!$B$1:$AV$1,0),FALSE)),"Ej kraftvärme","Alternativproduktionsmetoden")</f>
        <v>Ej kraftvärme</v>
      </c>
      <c r="E386" s="172" t="str">
        <f>IF(ISERROR(1/VLOOKUP($B386,Kraftvärmeprod!$B$1:$BD$479,MATCH("Total värmeproduktion i kraftvärmeverk i kombinerad drift (GWh)",Kraftvärmeprod!$B$1:$AV$1,0),FALSE)),"",VLOOKUP($B386,'Slutlig allokering kvv'!$B$1:$BC$479,MATCH(E$1,'Slutlig allokering kvv'!$B$1:$AU$1,0),FALSE))</f>
        <v/>
      </c>
      <c r="F386" s="121" t="str">
        <f>IF(ISERROR(1/VLOOKUP($B386,Kraftvärmeprod!$B$1:$AV$479,MATCH("Producerad elenergi i kraftvärmeverk (GWh)",Kraftvärmeprod!$B$1:$AV$1,0),FALSE)),"",VLOOKUP($B386,Kraftvärmeprod!$B$1:$AV$479,MATCH("Producerad elenergi i kraftvärmeverk (GWh)",Kraftvärmeprod!$B$1:$AV$1,0),FALSE))</f>
        <v/>
      </c>
      <c r="G386" s="121" t="str">
        <f>IF(ISERROR(1/VLOOKUP($B386,Miljö!$B$1:$T$480,MATCH("Såld mängd produktionsspecifik fjärrvärme (GWh)",Miljö!$B$1:$T$1,0),FALSE)),"",VLOOKUP($B386,Miljö!$B$1:$T$480,MATCH("Såld mängd produktionsspecifik fjärrvärme (GWh)",Miljö!$B$1:$T$1,0),FALSE))</f>
        <v/>
      </c>
      <c r="J386" s="121" t="str">
        <f t="shared" si="5"/>
        <v>Västervik Miljö &amp; Energi AB</v>
      </c>
    </row>
    <row r="387" spans="1:10" x14ac:dyDescent="0.25">
      <c r="A387" s="137" t="s">
        <v>703</v>
      </c>
      <c r="B387" s="137" t="s">
        <v>706</v>
      </c>
      <c r="D387" s="121" t="str">
        <f>IF(ISERROR(1/VLOOKUP($B387,Kraftvärmeprod!$B$1:$D$479,MATCH("Total värmeproduktion i kraftvärmeverk i kombinerad drift (GWh)",Kraftvärmeprod!$B$1:$AV$1,0),FALSE)),"Ej kraftvärme","Alternativproduktionsmetoden")</f>
        <v>Alternativproduktionsmetoden</v>
      </c>
      <c r="E387" s="172">
        <f>IF(ISERROR(1/VLOOKUP($B387,Kraftvärmeprod!$B$1:$BD$479,MATCH("Total värmeproduktion i kraftvärmeverk i kombinerad drift (GWh)",Kraftvärmeprod!$B$1:$AV$1,0),FALSE)),"",VLOOKUP($B387,'Slutlig allokering kvv'!$B$1:$BC$479,MATCH(E$1,'Slutlig allokering kvv'!$B$1:$AU$1,0),FALSE))</f>
        <v>0.61528019642147791</v>
      </c>
      <c r="F387" s="121">
        <f>IF(ISERROR(1/VLOOKUP($B387,Kraftvärmeprod!$B$1:$AV$479,MATCH("Producerad elenergi i kraftvärmeverk (GWh)",Kraftvärmeprod!$B$1:$AV$1,0),FALSE)),"",VLOOKUP($B387,Kraftvärmeprod!$B$1:$AV$479,MATCH("Producerad elenergi i kraftvärmeverk (GWh)",Kraftvärmeprod!$B$1:$AV$1,0),FALSE))</f>
        <v>12.212</v>
      </c>
      <c r="G387" s="121" t="str">
        <f>IF(ISERROR(1/VLOOKUP($B387,Miljö!$B$1:$T$480,MATCH("Såld mängd produktionsspecifik fjärrvärme (GWh)",Miljö!$B$1:$T$1,0),FALSE)),"",VLOOKUP($B387,Miljö!$B$1:$T$480,MATCH("Såld mängd produktionsspecifik fjärrvärme (GWh)",Miljö!$B$1:$T$1,0),FALSE))</f>
        <v/>
      </c>
      <c r="J387" s="121" t="str">
        <f t="shared" ref="J387:J415" si="6">A387</f>
        <v>Västervik Miljö &amp; Energi AB</v>
      </c>
    </row>
    <row r="388" spans="1:10" x14ac:dyDescent="0.25">
      <c r="A388" s="137" t="s">
        <v>707</v>
      </c>
      <c r="B388" s="137" t="s">
        <v>708</v>
      </c>
      <c r="D388" s="121" t="str">
        <f>IF(ISERROR(1/VLOOKUP($B388,Kraftvärmeprod!$B$1:$D$479,MATCH("Total värmeproduktion i kraftvärmeverk i kombinerad drift (GWh)",Kraftvärmeprod!$B$1:$AV$1,0),FALSE)),"Ej kraftvärme","Alternativproduktionsmetoden")</f>
        <v>Ej kraftvärme</v>
      </c>
      <c r="E388" s="172" t="str">
        <f>IF(ISERROR(1/VLOOKUP($B388,Kraftvärmeprod!$B$1:$BD$479,MATCH("Total värmeproduktion i kraftvärmeverk i kombinerad drift (GWh)",Kraftvärmeprod!$B$1:$AV$1,0),FALSE)),"",VLOOKUP($B388,'Slutlig allokering kvv'!$B$1:$BC$479,MATCH(E$1,'Slutlig allokering kvv'!$B$1:$AU$1,0),FALSE))</f>
        <v/>
      </c>
      <c r="F388" s="121" t="str">
        <f>IF(ISERROR(1/VLOOKUP($B388,Kraftvärmeprod!$B$1:$AV$479,MATCH("Producerad elenergi i kraftvärmeverk (GWh)",Kraftvärmeprod!$B$1:$AV$1,0),FALSE)),"",VLOOKUP($B388,Kraftvärmeprod!$B$1:$AV$479,MATCH("Producerad elenergi i kraftvärmeverk (GWh)",Kraftvärmeprod!$B$1:$AV$1,0),FALSE))</f>
        <v/>
      </c>
      <c r="G388" s="121" t="str">
        <f>IF(ISERROR(1/VLOOKUP($B388,Miljö!$B$1:$T$480,MATCH("Såld mängd produktionsspecifik fjärrvärme (GWh)",Miljö!$B$1:$T$1,0),FALSE)),"",VLOOKUP($B388,Miljö!$B$1:$T$480,MATCH("Såld mängd produktionsspecifik fjärrvärme (GWh)",Miljö!$B$1:$T$1,0),FALSE))</f>
        <v/>
      </c>
      <c r="J388" s="121" t="str">
        <f t="shared" si="6"/>
        <v>Västra Mälardalens Energi och Miljö AB</v>
      </c>
    </row>
    <row r="389" spans="1:10" x14ac:dyDescent="0.25">
      <c r="A389" s="137" t="s">
        <v>707</v>
      </c>
      <c r="B389" s="137" t="s">
        <v>709</v>
      </c>
      <c r="D389" s="121" t="str">
        <f>IF(ISERROR(1/VLOOKUP($B389,Kraftvärmeprod!$B$1:$D$479,MATCH("Total värmeproduktion i kraftvärmeverk i kombinerad drift (GWh)",Kraftvärmeprod!$B$1:$AV$1,0),FALSE)),"Ej kraftvärme","Alternativproduktionsmetoden")</f>
        <v>Ej kraftvärme</v>
      </c>
      <c r="E389" s="172" t="str">
        <f>IF(ISERROR(1/VLOOKUP($B389,Kraftvärmeprod!$B$1:$BD$479,MATCH("Total värmeproduktion i kraftvärmeverk i kombinerad drift (GWh)",Kraftvärmeprod!$B$1:$AV$1,0),FALSE)),"",VLOOKUP($B389,'Slutlig allokering kvv'!$B$1:$BC$479,MATCH(E$1,'Slutlig allokering kvv'!$B$1:$AU$1,0),FALSE))</f>
        <v/>
      </c>
      <c r="F389" s="121" t="str">
        <f>IF(ISERROR(1/VLOOKUP($B389,Kraftvärmeprod!$B$1:$AV$479,MATCH("Producerad elenergi i kraftvärmeverk (GWh)",Kraftvärmeprod!$B$1:$AV$1,0),FALSE)),"",VLOOKUP($B389,Kraftvärmeprod!$B$1:$AV$479,MATCH("Producerad elenergi i kraftvärmeverk (GWh)",Kraftvärmeprod!$B$1:$AV$1,0),FALSE))</f>
        <v/>
      </c>
      <c r="G389" s="121" t="str">
        <f>IF(ISERROR(1/VLOOKUP($B389,Miljö!$B$1:$T$480,MATCH("Såld mängd produktionsspecifik fjärrvärme (GWh)",Miljö!$B$1:$T$1,0),FALSE)),"",VLOOKUP($B389,Miljö!$B$1:$T$480,MATCH("Såld mängd produktionsspecifik fjärrvärme (GWh)",Miljö!$B$1:$T$1,0),FALSE))</f>
        <v/>
      </c>
      <c r="J389" s="121" t="str">
        <f t="shared" si="6"/>
        <v>Västra Mälardalens Energi och Miljö AB</v>
      </c>
    </row>
    <row r="390" spans="1:10" x14ac:dyDescent="0.25">
      <c r="A390" s="137" t="s">
        <v>707</v>
      </c>
      <c r="B390" s="137" t="s">
        <v>710</v>
      </c>
      <c r="D390" s="121" t="str">
        <f>IF(ISERROR(1/VLOOKUP($B390,Kraftvärmeprod!$B$1:$D$479,MATCH("Total värmeproduktion i kraftvärmeverk i kombinerad drift (GWh)",Kraftvärmeprod!$B$1:$AV$1,0),FALSE)),"Ej kraftvärme","Alternativproduktionsmetoden")</f>
        <v>Ej kraftvärme</v>
      </c>
      <c r="E390" s="172" t="str">
        <f>IF(ISERROR(1/VLOOKUP($B390,Kraftvärmeprod!$B$1:$BD$479,MATCH("Total värmeproduktion i kraftvärmeverk i kombinerad drift (GWh)",Kraftvärmeprod!$B$1:$AV$1,0),FALSE)),"",VLOOKUP($B390,'Slutlig allokering kvv'!$B$1:$BC$479,MATCH(E$1,'Slutlig allokering kvv'!$B$1:$AU$1,0),FALSE))</f>
        <v/>
      </c>
      <c r="F390" s="121" t="str">
        <f>IF(ISERROR(1/VLOOKUP($B390,Kraftvärmeprod!$B$1:$AV$479,MATCH("Producerad elenergi i kraftvärmeverk (GWh)",Kraftvärmeprod!$B$1:$AV$1,0),FALSE)),"",VLOOKUP($B390,Kraftvärmeprod!$B$1:$AV$479,MATCH("Producerad elenergi i kraftvärmeverk (GWh)",Kraftvärmeprod!$B$1:$AV$1,0),FALSE))</f>
        <v/>
      </c>
      <c r="G390" s="121" t="str">
        <f>IF(ISERROR(1/VLOOKUP($B390,Miljö!$B$1:$T$480,MATCH("Såld mängd produktionsspecifik fjärrvärme (GWh)",Miljö!$B$1:$T$1,0),FALSE)),"",VLOOKUP($B390,Miljö!$B$1:$T$480,MATCH("Såld mängd produktionsspecifik fjärrvärme (GWh)",Miljö!$B$1:$T$1,0),FALSE))</f>
        <v/>
      </c>
      <c r="J390" s="121" t="str">
        <f t="shared" si="6"/>
        <v>Västra Mälardalens Energi och Miljö AB</v>
      </c>
    </row>
    <row r="391" spans="1:10" x14ac:dyDescent="0.25">
      <c r="A391" s="137" t="s">
        <v>707</v>
      </c>
      <c r="B391" s="137" t="s">
        <v>711</v>
      </c>
      <c r="D391" s="121" t="str">
        <f>IF(ISERROR(1/VLOOKUP($B391,Kraftvärmeprod!$B$1:$D$479,MATCH("Total värmeproduktion i kraftvärmeverk i kombinerad drift (GWh)",Kraftvärmeprod!$B$1:$AV$1,0),FALSE)),"Ej kraftvärme","Alternativproduktionsmetoden")</f>
        <v>Ej kraftvärme</v>
      </c>
      <c r="E391" s="172" t="str">
        <f>IF(ISERROR(1/VLOOKUP($B391,Kraftvärmeprod!$B$1:$BD$479,MATCH("Total värmeproduktion i kraftvärmeverk i kombinerad drift (GWh)",Kraftvärmeprod!$B$1:$AV$1,0),FALSE)),"",VLOOKUP($B391,'Slutlig allokering kvv'!$B$1:$BC$479,MATCH(E$1,'Slutlig allokering kvv'!$B$1:$AU$1,0),FALSE))</f>
        <v/>
      </c>
      <c r="F391" s="121" t="str">
        <f>IF(ISERROR(1/VLOOKUP($B391,Kraftvärmeprod!$B$1:$AV$479,MATCH("Producerad elenergi i kraftvärmeverk (GWh)",Kraftvärmeprod!$B$1:$AV$1,0),FALSE)),"",VLOOKUP($B391,Kraftvärmeprod!$B$1:$AV$479,MATCH("Producerad elenergi i kraftvärmeverk (GWh)",Kraftvärmeprod!$B$1:$AV$1,0),FALSE))</f>
        <v/>
      </c>
      <c r="G391" s="121" t="str">
        <f>IF(ISERROR(1/VLOOKUP($B391,Miljö!$B$1:$T$480,MATCH("Såld mängd produktionsspecifik fjärrvärme (GWh)",Miljö!$B$1:$T$1,0),FALSE)),"",VLOOKUP($B391,Miljö!$B$1:$T$480,MATCH("Såld mängd produktionsspecifik fjärrvärme (GWh)",Miljö!$B$1:$T$1,0),FALSE))</f>
        <v/>
      </c>
      <c r="J391" s="121" t="str">
        <f t="shared" si="6"/>
        <v>Västra Mälardalens Energi och Miljö AB</v>
      </c>
    </row>
    <row r="392" spans="1:10" x14ac:dyDescent="0.25">
      <c r="A392" s="137" t="s">
        <v>712</v>
      </c>
      <c r="B392" s="137" t="s">
        <v>713</v>
      </c>
      <c r="D392" s="121" t="str">
        <f>IF(ISERROR(1/VLOOKUP($B392,Kraftvärmeprod!$B$1:$D$479,MATCH("Total värmeproduktion i kraftvärmeverk i kombinerad drift (GWh)",Kraftvärmeprod!$B$1:$AV$1,0),FALSE)),"Ej kraftvärme","Alternativproduktionsmetoden")</f>
        <v>Ej kraftvärme</v>
      </c>
      <c r="E392" s="172" t="str">
        <f>IF(ISERROR(1/VLOOKUP($B392,Kraftvärmeprod!$B$1:$BD$479,MATCH("Total värmeproduktion i kraftvärmeverk i kombinerad drift (GWh)",Kraftvärmeprod!$B$1:$AV$1,0),FALSE)),"",VLOOKUP($B392,'Slutlig allokering kvv'!$B$1:$BC$479,MATCH(E$1,'Slutlig allokering kvv'!$B$1:$AU$1,0),FALSE))</f>
        <v/>
      </c>
      <c r="F392" s="121" t="str">
        <f>IF(ISERROR(1/VLOOKUP($B392,Kraftvärmeprod!$B$1:$AV$479,MATCH("Producerad elenergi i kraftvärmeverk (GWh)",Kraftvärmeprod!$B$1:$AV$1,0),FALSE)),"",VLOOKUP($B392,Kraftvärmeprod!$B$1:$AV$479,MATCH("Producerad elenergi i kraftvärmeverk (GWh)",Kraftvärmeprod!$B$1:$AV$1,0),FALSE))</f>
        <v/>
      </c>
      <c r="G392" s="121" t="str">
        <f>IF(ISERROR(1/VLOOKUP($B392,Miljö!$B$1:$T$480,MATCH("Såld mängd produktionsspecifik fjärrvärme (GWh)",Miljö!$B$1:$T$1,0),FALSE)),"",VLOOKUP($B392,Miljö!$B$1:$T$480,MATCH("Såld mängd produktionsspecifik fjärrvärme (GWh)",Miljö!$B$1:$T$1,0),FALSE))</f>
        <v/>
      </c>
      <c r="J392" s="121" t="str">
        <f t="shared" si="6"/>
        <v>Växjö Energi AB</v>
      </c>
    </row>
    <row r="393" spans="1:10" x14ac:dyDescent="0.25">
      <c r="A393" s="137" t="s">
        <v>712</v>
      </c>
      <c r="B393" s="137" t="s">
        <v>714</v>
      </c>
      <c r="D393" s="121" t="str">
        <f>IF(ISERROR(1/VLOOKUP($B393,Kraftvärmeprod!$B$1:$D$479,MATCH("Total värmeproduktion i kraftvärmeverk i kombinerad drift (GWh)",Kraftvärmeprod!$B$1:$AV$1,0),FALSE)),"Ej kraftvärme","Alternativproduktionsmetoden")</f>
        <v>Ej kraftvärme</v>
      </c>
      <c r="E393" s="172" t="str">
        <f>IF(ISERROR(1/VLOOKUP($B393,Kraftvärmeprod!$B$1:$BD$479,MATCH("Total värmeproduktion i kraftvärmeverk i kombinerad drift (GWh)",Kraftvärmeprod!$B$1:$AV$1,0),FALSE)),"",VLOOKUP($B393,'Slutlig allokering kvv'!$B$1:$BC$479,MATCH(E$1,'Slutlig allokering kvv'!$B$1:$AU$1,0),FALSE))</f>
        <v/>
      </c>
      <c r="F393" s="121" t="str">
        <f>IF(ISERROR(1/VLOOKUP($B393,Kraftvärmeprod!$B$1:$AV$479,MATCH("Producerad elenergi i kraftvärmeverk (GWh)",Kraftvärmeprod!$B$1:$AV$1,0),FALSE)),"",VLOOKUP($B393,Kraftvärmeprod!$B$1:$AV$479,MATCH("Producerad elenergi i kraftvärmeverk (GWh)",Kraftvärmeprod!$B$1:$AV$1,0),FALSE))</f>
        <v/>
      </c>
      <c r="G393" s="121" t="str">
        <f>IF(ISERROR(1/VLOOKUP($B393,Miljö!$B$1:$T$480,MATCH("Såld mängd produktionsspecifik fjärrvärme (GWh)",Miljö!$B$1:$T$1,0),FALSE)),"",VLOOKUP($B393,Miljö!$B$1:$T$480,MATCH("Såld mängd produktionsspecifik fjärrvärme (GWh)",Miljö!$B$1:$T$1,0),FALSE))</f>
        <v/>
      </c>
      <c r="J393" s="121" t="str">
        <f t="shared" si="6"/>
        <v>Växjö Energi AB</v>
      </c>
    </row>
    <row r="394" spans="1:10" x14ac:dyDescent="0.25">
      <c r="A394" s="137" t="s">
        <v>712</v>
      </c>
      <c r="B394" s="137" t="s">
        <v>715</v>
      </c>
      <c r="D394" s="121" t="str">
        <f>IF(ISERROR(1/VLOOKUP($B394,Kraftvärmeprod!$B$1:$D$479,MATCH("Total värmeproduktion i kraftvärmeverk i kombinerad drift (GWh)",Kraftvärmeprod!$B$1:$AV$1,0),FALSE)),"Ej kraftvärme","Alternativproduktionsmetoden")</f>
        <v>Ej kraftvärme</v>
      </c>
      <c r="E394" s="172" t="str">
        <f>IF(ISERROR(1/VLOOKUP($B394,Kraftvärmeprod!$B$1:$BD$479,MATCH("Total värmeproduktion i kraftvärmeverk i kombinerad drift (GWh)",Kraftvärmeprod!$B$1:$AV$1,0),FALSE)),"",VLOOKUP($B394,'Slutlig allokering kvv'!$B$1:$BC$479,MATCH(E$1,'Slutlig allokering kvv'!$B$1:$AU$1,0),FALSE))</f>
        <v/>
      </c>
      <c r="F394" s="121" t="str">
        <f>IF(ISERROR(1/VLOOKUP($B394,Kraftvärmeprod!$B$1:$AV$479,MATCH("Producerad elenergi i kraftvärmeverk (GWh)",Kraftvärmeprod!$B$1:$AV$1,0),FALSE)),"",VLOOKUP($B394,Kraftvärmeprod!$B$1:$AV$479,MATCH("Producerad elenergi i kraftvärmeverk (GWh)",Kraftvärmeprod!$B$1:$AV$1,0),FALSE))</f>
        <v/>
      </c>
      <c r="G394" s="121" t="str">
        <f>IF(ISERROR(1/VLOOKUP($B394,Miljö!$B$1:$T$480,MATCH("Såld mängd produktionsspecifik fjärrvärme (GWh)",Miljö!$B$1:$T$1,0),FALSE)),"",VLOOKUP($B394,Miljö!$B$1:$T$480,MATCH("Såld mängd produktionsspecifik fjärrvärme (GWh)",Miljö!$B$1:$T$1,0),FALSE))</f>
        <v/>
      </c>
      <c r="J394" s="121" t="str">
        <f t="shared" si="6"/>
        <v>Växjö Energi AB</v>
      </c>
    </row>
    <row r="395" spans="1:10" x14ac:dyDescent="0.25">
      <c r="A395" s="137" t="s">
        <v>712</v>
      </c>
      <c r="B395" s="137" t="s">
        <v>716</v>
      </c>
      <c r="D395" s="121" t="str">
        <f>IF(ISERROR(1/VLOOKUP($B395,Kraftvärmeprod!$B$1:$D$479,MATCH("Total värmeproduktion i kraftvärmeverk i kombinerad drift (GWh)",Kraftvärmeprod!$B$1:$AV$1,0),FALSE)),"Ej kraftvärme","Alternativproduktionsmetoden")</f>
        <v>Ej kraftvärme</v>
      </c>
      <c r="E395" s="172" t="str">
        <f>IF(ISERROR(1/VLOOKUP($B395,Kraftvärmeprod!$B$1:$BD$479,MATCH("Total värmeproduktion i kraftvärmeverk i kombinerad drift (GWh)",Kraftvärmeprod!$B$1:$AV$1,0),FALSE)),"",VLOOKUP($B395,'Slutlig allokering kvv'!$B$1:$BC$479,MATCH(E$1,'Slutlig allokering kvv'!$B$1:$AU$1,0),FALSE))</f>
        <v/>
      </c>
      <c r="F395" s="121" t="str">
        <f>IF(ISERROR(1/VLOOKUP($B395,Kraftvärmeprod!$B$1:$AV$479,MATCH("Producerad elenergi i kraftvärmeverk (GWh)",Kraftvärmeprod!$B$1:$AV$1,0),FALSE)),"",VLOOKUP($B395,Kraftvärmeprod!$B$1:$AV$479,MATCH("Producerad elenergi i kraftvärmeverk (GWh)",Kraftvärmeprod!$B$1:$AV$1,0),FALSE))</f>
        <v/>
      </c>
      <c r="G395" s="121" t="str">
        <f>IF(ISERROR(1/VLOOKUP($B395,Miljö!$B$1:$T$480,MATCH("Såld mängd produktionsspecifik fjärrvärme (GWh)",Miljö!$B$1:$T$1,0),FALSE)),"",VLOOKUP($B395,Miljö!$B$1:$T$480,MATCH("Såld mängd produktionsspecifik fjärrvärme (GWh)",Miljö!$B$1:$T$1,0),FALSE))</f>
        <v/>
      </c>
      <c r="J395" s="121" t="str">
        <f t="shared" si="6"/>
        <v>Växjö Energi AB</v>
      </c>
    </row>
    <row r="396" spans="1:10" x14ac:dyDescent="0.25">
      <c r="A396" s="137" t="s">
        <v>712</v>
      </c>
      <c r="B396" s="137" t="s">
        <v>717</v>
      </c>
      <c r="D396" s="121" t="str">
        <f>IF(ISERROR(1/VLOOKUP($B396,Kraftvärmeprod!$B$1:$D$479,MATCH("Total värmeproduktion i kraftvärmeverk i kombinerad drift (GWh)",Kraftvärmeprod!$B$1:$AV$1,0),FALSE)),"Ej kraftvärme","Alternativproduktionsmetoden")</f>
        <v>Alternativproduktionsmetoden</v>
      </c>
      <c r="E396" s="172">
        <f>IF(ISERROR(1/VLOOKUP($B396,Kraftvärmeprod!$B$1:$BD$479,MATCH("Total värmeproduktion i kraftvärmeverk i kombinerad drift (GWh)",Kraftvärmeprod!$B$1:$AV$1,0),FALSE)),"",VLOOKUP($B396,'Slutlig allokering kvv'!$B$1:$BC$479,MATCH(E$1,'Slutlig allokering kvv'!$B$1:$AU$1,0),FALSE))</f>
        <v>0.47962567067530065</v>
      </c>
      <c r="F396" s="121">
        <f>IF(ISERROR(1/VLOOKUP($B396,Kraftvärmeprod!$B$1:$AV$479,MATCH("Producerad elenergi i kraftvärmeverk (GWh)",Kraftvärmeprod!$B$1:$AV$1,0),FALSE)),"",VLOOKUP($B396,Kraftvärmeprod!$B$1:$AV$479,MATCH("Producerad elenergi i kraftvärmeverk (GWh)",Kraftvärmeprod!$B$1:$AV$1,0),FALSE))</f>
        <v>223.7</v>
      </c>
      <c r="G396" s="121" t="str">
        <f>IF(ISERROR(1/VLOOKUP($B396,Miljö!$B$1:$T$480,MATCH("Såld mängd produktionsspecifik fjärrvärme (GWh)",Miljö!$B$1:$T$1,0),FALSE)),"",VLOOKUP($B396,Miljö!$B$1:$T$480,MATCH("Såld mängd produktionsspecifik fjärrvärme (GWh)",Miljö!$B$1:$T$1,0),FALSE))</f>
        <v/>
      </c>
      <c r="J396" s="121" t="str">
        <f t="shared" si="6"/>
        <v>Växjö Energi AB</v>
      </c>
    </row>
    <row r="397" spans="1:10" x14ac:dyDescent="0.25">
      <c r="A397" s="137" t="s">
        <v>712</v>
      </c>
      <c r="B397" s="137" t="s">
        <v>718</v>
      </c>
      <c r="D397" s="121" t="str">
        <f>IF(ISERROR(1/VLOOKUP($B397,Kraftvärmeprod!$B$1:$D$479,MATCH("Total värmeproduktion i kraftvärmeverk i kombinerad drift (GWh)",Kraftvärmeprod!$B$1:$AV$1,0),FALSE)),"Ej kraftvärme","Alternativproduktionsmetoden")</f>
        <v>Ej kraftvärme</v>
      </c>
      <c r="E397" s="172" t="str">
        <f>IF(ISERROR(1/VLOOKUP($B397,Kraftvärmeprod!$B$1:$BD$479,MATCH("Total värmeproduktion i kraftvärmeverk i kombinerad drift (GWh)",Kraftvärmeprod!$B$1:$AV$1,0),FALSE)),"",VLOOKUP($B397,'Slutlig allokering kvv'!$B$1:$BC$479,MATCH(E$1,'Slutlig allokering kvv'!$B$1:$AU$1,0),FALSE))</f>
        <v/>
      </c>
      <c r="F397" s="121" t="str">
        <f>IF(ISERROR(1/VLOOKUP($B397,Kraftvärmeprod!$B$1:$AV$479,MATCH("Producerad elenergi i kraftvärmeverk (GWh)",Kraftvärmeprod!$B$1:$AV$1,0),FALSE)),"",VLOOKUP($B397,Kraftvärmeprod!$B$1:$AV$479,MATCH("Producerad elenergi i kraftvärmeverk (GWh)",Kraftvärmeprod!$B$1:$AV$1,0),FALSE))</f>
        <v/>
      </c>
      <c r="G397" s="121" t="str">
        <f>IF(ISERROR(1/VLOOKUP($B397,Miljö!$B$1:$T$480,MATCH("Såld mängd produktionsspecifik fjärrvärme (GWh)",Miljö!$B$1:$T$1,0),FALSE)),"",VLOOKUP($B397,Miljö!$B$1:$T$480,MATCH("Såld mängd produktionsspecifik fjärrvärme (GWh)",Miljö!$B$1:$T$1,0),FALSE))</f>
        <v/>
      </c>
      <c r="J397" s="121" t="str">
        <f t="shared" si="6"/>
        <v>Växjö Energi AB</v>
      </c>
    </row>
    <row r="398" spans="1:10" x14ac:dyDescent="0.25">
      <c r="A398" s="137" t="s">
        <v>719</v>
      </c>
      <c r="B398" s="137" t="s">
        <v>720</v>
      </c>
      <c r="D398" s="121" t="str">
        <f>IF(ISERROR(1/VLOOKUP($B398,Kraftvärmeprod!$B$1:$D$479,MATCH("Total värmeproduktion i kraftvärmeverk i kombinerad drift (GWh)",Kraftvärmeprod!$B$1:$AV$1,0),FALSE)),"Ej kraftvärme","Alternativproduktionsmetoden")</f>
        <v>Ej kraftvärme</v>
      </c>
      <c r="E398" s="172" t="str">
        <f>IF(ISERROR(1/VLOOKUP($B398,Kraftvärmeprod!$B$1:$BD$479,MATCH("Total värmeproduktion i kraftvärmeverk i kombinerad drift (GWh)",Kraftvärmeprod!$B$1:$AV$1,0),FALSE)),"",VLOOKUP($B398,'Slutlig allokering kvv'!$B$1:$BC$479,MATCH(E$1,'Slutlig allokering kvv'!$B$1:$AU$1,0),FALSE))</f>
        <v/>
      </c>
      <c r="F398" s="121" t="str">
        <f>IF(ISERROR(1/VLOOKUP($B398,Kraftvärmeprod!$B$1:$AV$479,MATCH("Producerad elenergi i kraftvärmeverk (GWh)",Kraftvärmeprod!$B$1:$AV$1,0),FALSE)),"",VLOOKUP($B398,Kraftvärmeprod!$B$1:$AV$479,MATCH("Producerad elenergi i kraftvärmeverk (GWh)",Kraftvärmeprod!$B$1:$AV$1,0),FALSE))</f>
        <v/>
      </c>
      <c r="G398" s="121" t="str">
        <f>IF(ISERROR(1/VLOOKUP($B398,Miljö!$B$1:$T$480,MATCH("Såld mängd produktionsspecifik fjärrvärme (GWh)",Miljö!$B$1:$T$1,0),FALSE)),"",VLOOKUP($B398,Miljö!$B$1:$T$480,MATCH("Såld mängd produktionsspecifik fjärrvärme (GWh)",Miljö!$B$1:$T$1,0),FALSE))</f>
        <v/>
      </c>
      <c r="J398" s="121" t="str">
        <f t="shared" si="6"/>
        <v>Ystad Energi AB</v>
      </c>
    </row>
    <row r="399" spans="1:10" x14ac:dyDescent="0.25">
      <c r="A399" s="137" t="s">
        <v>721</v>
      </c>
      <c r="B399" s="137" t="s">
        <v>722</v>
      </c>
      <c r="D399" s="121" t="str">
        <f>IF(ISERROR(1/VLOOKUP($B399,Kraftvärmeprod!$B$1:$D$479,MATCH("Total värmeproduktion i kraftvärmeverk i kombinerad drift (GWh)",Kraftvärmeprod!$B$1:$AV$1,0),FALSE)),"Ej kraftvärme","Alternativproduktionsmetoden")</f>
        <v>Ej kraftvärme</v>
      </c>
      <c r="E399" s="172" t="str">
        <f>IF(ISERROR(1/VLOOKUP($B399,Kraftvärmeprod!$B$1:$BD$479,MATCH("Total värmeproduktion i kraftvärmeverk i kombinerad drift (GWh)",Kraftvärmeprod!$B$1:$AV$1,0),FALSE)),"",VLOOKUP($B399,'Slutlig allokering kvv'!$B$1:$BC$479,MATCH(E$1,'Slutlig allokering kvv'!$B$1:$AU$1,0),FALSE))</f>
        <v/>
      </c>
      <c r="F399" s="121" t="str">
        <f>IF(ISERROR(1/VLOOKUP($B399,Kraftvärmeprod!$B$1:$AV$479,MATCH("Producerad elenergi i kraftvärmeverk (GWh)",Kraftvärmeprod!$B$1:$AV$1,0),FALSE)),"",VLOOKUP($B399,Kraftvärmeprod!$B$1:$AV$479,MATCH("Producerad elenergi i kraftvärmeverk (GWh)",Kraftvärmeprod!$B$1:$AV$1,0),FALSE))</f>
        <v/>
      </c>
      <c r="G399" s="121" t="str">
        <f>IF(ISERROR(1/VLOOKUP($B399,Miljö!$B$1:$T$480,MATCH("Såld mängd produktionsspecifik fjärrvärme (GWh)",Miljö!$B$1:$T$1,0),FALSE)),"",VLOOKUP($B399,Miljö!$B$1:$T$480,MATCH("Såld mängd produktionsspecifik fjärrvärme (GWh)",Miljö!$B$1:$T$1,0),FALSE))</f>
        <v/>
      </c>
      <c r="J399" s="121" t="str">
        <f t="shared" si="6"/>
        <v>Ånge Energi AB</v>
      </c>
    </row>
    <row r="400" spans="1:10" x14ac:dyDescent="0.25">
      <c r="A400" s="137" t="s">
        <v>721</v>
      </c>
      <c r="B400" s="137" t="s">
        <v>723</v>
      </c>
      <c r="D400" s="121" t="str">
        <f>IF(ISERROR(1/VLOOKUP($B400,Kraftvärmeprod!$B$1:$D$479,MATCH("Total värmeproduktion i kraftvärmeverk i kombinerad drift (GWh)",Kraftvärmeprod!$B$1:$AV$1,0),FALSE)),"Ej kraftvärme","Alternativproduktionsmetoden")</f>
        <v>Ej kraftvärme</v>
      </c>
      <c r="E400" s="172" t="str">
        <f>IF(ISERROR(1/VLOOKUP($B400,Kraftvärmeprod!$B$1:$BD$479,MATCH("Total värmeproduktion i kraftvärmeverk i kombinerad drift (GWh)",Kraftvärmeprod!$B$1:$AV$1,0),FALSE)),"",VLOOKUP($B400,'Slutlig allokering kvv'!$B$1:$BC$479,MATCH(E$1,'Slutlig allokering kvv'!$B$1:$AU$1,0),FALSE))</f>
        <v/>
      </c>
      <c r="F400" s="121" t="str">
        <f>IF(ISERROR(1/VLOOKUP($B400,Kraftvärmeprod!$B$1:$AV$479,MATCH("Producerad elenergi i kraftvärmeverk (GWh)",Kraftvärmeprod!$B$1:$AV$1,0),FALSE)),"",VLOOKUP($B400,Kraftvärmeprod!$B$1:$AV$479,MATCH("Producerad elenergi i kraftvärmeverk (GWh)",Kraftvärmeprod!$B$1:$AV$1,0),FALSE))</f>
        <v/>
      </c>
      <c r="G400" s="121" t="str">
        <f>IF(ISERROR(1/VLOOKUP($B400,Miljö!$B$1:$T$480,MATCH("Såld mängd produktionsspecifik fjärrvärme (GWh)",Miljö!$B$1:$T$1,0),FALSE)),"",VLOOKUP($B400,Miljö!$B$1:$T$480,MATCH("Såld mängd produktionsspecifik fjärrvärme (GWh)",Miljö!$B$1:$T$1,0),FALSE))</f>
        <v/>
      </c>
      <c r="J400" s="121" t="str">
        <f t="shared" si="6"/>
        <v>Ånge Energi AB</v>
      </c>
    </row>
    <row r="401" spans="1:10" x14ac:dyDescent="0.25">
      <c r="A401" s="137" t="s">
        <v>724</v>
      </c>
      <c r="B401" s="137" t="s">
        <v>141</v>
      </c>
      <c r="D401" s="121" t="str">
        <f>IF(ISERROR(1/VLOOKUP($B401,Kraftvärmeprod!$B$1:$D$479,MATCH("Total värmeproduktion i kraftvärmeverk i kombinerad drift (GWh)",Kraftvärmeprod!$B$1:$AV$1,0),FALSE)),"Ej kraftvärme","Alternativproduktionsmetoden")</f>
        <v>Ej kraftvärme</v>
      </c>
      <c r="E401" s="172" t="str">
        <f>IF(ISERROR(1/VLOOKUP($B401,Kraftvärmeprod!$B$1:$BD$479,MATCH("Total värmeproduktion i kraftvärmeverk i kombinerad drift (GWh)",Kraftvärmeprod!$B$1:$AV$1,0),FALSE)),"",VLOOKUP($B401,'Slutlig allokering kvv'!$B$1:$BC$479,MATCH(E$1,'Slutlig allokering kvv'!$B$1:$AU$1,0),FALSE))</f>
        <v/>
      </c>
      <c r="F401" s="121" t="str">
        <f>IF(ISERROR(1/VLOOKUP($B401,Kraftvärmeprod!$B$1:$AV$479,MATCH("Producerad elenergi i kraftvärmeverk (GWh)",Kraftvärmeprod!$B$1:$AV$1,0),FALSE)),"",VLOOKUP($B401,Kraftvärmeprod!$B$1:$AV$479,MATCH("Producerad elenergi i kraftvärmeverk (GWh)",Kraftvärmeprod!$B$1:$AV$1,0),FALSE))</f>
        <v/>
      </c>
      <c r="G401" s="121" t="str">
        <f>IF(ISERROR(1/VLOOKUP($B401,Miljö!$B$1:$T$480,MATCH("Såld mängd produktionsspecifik fjärrvärme (GWh)",Miljö!$B$1:$T$1,0),FALSE)),"",VLOOKUP($B401,Miljö!$B$1:$T$480,MATCH("Såld mängd produktionsspecifik fjärrvärme (GWh)",Miljö!$B$1:$T$1,0),FALSE))</f>
        <v/>
      </c>
      <c r="J401" s="121" t="str">
        <f t="shared" si="6"/>
        <v>Åsele Energiverk AB</v>
      </c>
    </row>
    <row r="402" spans="1:10" x14ac:dyDescent="0.25">
      <c r="A402" s="137" t="s">
        <v>725</v>
      </c>
      <c r="B402" s="137" t="s">
        <v>726</v>
      </c>
      <c r="D402" s="121" t="str">
        <f>IF(ISERROR(1/VLOOKUP($B402,Kraftvärmeprod!$B$1:$D$479,MATCH("Total värmeproduktion i kraftvärmeverk i kombinerad drift (GWh)",Kraftvärmeprod!$B$1:$AV$1,0),FALSE)),"Ej kraftvärme","Alternativproduktionsmetoden")</f>
        <v>Alternativproduktionsmetoden</v>
      </c>
      <c r="E402" s="172">
        <f>IF(ISERROR(1/VLOOKUP($B402,Kraftvärmeprod!$B$1:$BD$479,MATCH("Total värmeproduktion i kraftvärmeverk i kombinerad drift (GWh)",Kraftvärmeprod!$B$1:$AV$1,0),FALSE)),"",VLOOKUP($B402,'Slutlig allokering kvv'!$B$1:$BC$479,MATCH(E$1,'Slutlig allokering kvv'!$B$1:$AU$1,0),FALSE))</f>
        <v>0.44566344075219239</v>
      </c>
      <c r="F402" s="121">
        <f>IF(ISERROR(1/VLOOKUP($B402,Kraftvärmeprod!$B$1:$AV$479,MATCH("Producerad elenergi i kraftvärmeverk (GWh)",Kraftvärmeprod!$B$1:$AV$1,0),FALSE)),"",VLOOKUP($B402,Kraftvärmeprod!$B$1:$AV$479,MATCH("Producerad elenergi i kraftvärmeverk (GWh)",Kraftvärmeprod!$B$1:$AV$1,0),FALSE))</f>
        <v>240.8</v>
      </c>
      <c r="G402" s="121">
        <f>IF(ISERROR(1/VLOOKUP($B402,Miljö!$B$1:$T$480,MATCH("Såld mängd produktionsspecifik fjärrvärme (GWh)",Miljö!$B$1:$T$1,0),FALSE)),"",VLOOKUP($B402,Miljö!$B$1:$T$480,MATCH("Såld mängd produktionsspecifik fjärrvärme (GWh)",Miljö!$B$1:$T$1,0),FALSE))</f>
        <v>163.30000000000001</v>
      </c>
      <c r="J402" s="121" t="str">
        <f t="shared" si="6"/>
        <v>Öresundskraft AB</v>
      </c>
    </row>
    <row r="403" spans="1:10" x14ac:dyDescent="0.25">
      <c r="A403" s="137" t="s">
        <v>725</v>
      </c>
      <c r="B403" s="137" t="s">
        <v>727</v>
      </c>
      <c r="D403" s="121" t="str">
        <f>IF(ISERROR(1/VLOOKUP($B403,Kraftvärmeprod!$B$1:$D$479,MATCH("Total värmeproduktion i kraftvärmeverk i kombinerad drift (GWh)",Kraftvärmeprod!$B$1:$AV$1,0),FALSE)),"Ej kraftvärme","Alternativproduktionsmetoden")</f>
        <v>Ej kraftvärme</v>
      </c>
      <c r="E403" s="172" t="str">
        <f>IF(ISERROR(1/VLOOKUP($B403,Kraftvärmeprod!$B$1:$BD$479,MATCH("Total värmeproduktion i kraftvärmeverk i kombinerad drift (GWh)",Kraftvärmeprod!$B$1:$AV$1,0),FALSE)),"",VLOOKUP($B403,'Slutlig allokering kvv'!$B$1:$BC$479,MATCH(E$1,'Slutlig allokering kvv'!$B$1:$AU$1,0),FALSE))</f>
        <v/>
      </c>
      <c r="F403" s="121" t="str">
        <f>IF(ISERROR(1/VLOOKUP($B403,Kraftvärmeprod!$B$1:$AV$479,MATCH("Producerad elenergi i kraftvärmeverk (GWh)",Kraftvärmeprod!$B$1:$AV$1,0),FALSE)),"",VLOOKUP($B403,Kraftvärmeprod!$B$1:$AV$479,MATCH("Producerad elenergi i kraftvärmeverk (GWh)",Kraftvärmeprod!$B$1:$AV$1,0),FALSE))</f>
        <v/>
      </c>
      <c r="G403" s="121" t="str">
        <f>IF(ISERROR(1/VLOOKUP($B403,Miljö!$B$1:$T$480,MATCH("Såld mängd produktionsspecifik fjärrvärme (GWh)",Miljö!$B$1:$T$1,0),FALSE)),"",VLOOKUP($B403,Miljö!$B$1:$T$480,MATCH("Såld mängd produktionsspecifik fjärrvärme (GWh)",Miljö!$B$1:$T$1,0),FALSE))</f>
        <v/>
      </c>
      <c r="J403" s="121" t="str">
        <f t="shared" si="6"/>
        <v>Öresundskraft AB</v>
      </c>
    </row>
    <row r="404" spans="1:10" x14ac:dyDescent="0.25">
      <c r="A404" s="137" t="s">
        <v>725</v>
      </c>
      <c r="B404" s="137" t="s">
        <v>728</v>
      </c>
      <c r="D404" s="121" t="str">
        <f>IF(ISERROR(1/VLOOKUP($B404,Kraftvärmeprod!$B$1:$D$479,MATCH("Total värmeproduktion i kraftvärmeverk i kombinerad drift (GWh)",Kraftvärmeprod!$B$1:$AV$1,0),FALSE)),"Ej kraftvärme","Alternativproduktionsmetoden")</f>
        <v>Ej kraftvärme</v>
      </c>
      <c r="E404" s="172" t="str">
        <f>IF(ISERROR(1/VLOOKUP($B404,Kraftvärmeprod!$B$1:$BD$479,MATCH("Total värmeproduktion i kraftvärmeverk i kombinerad drift (GWh)",Kraftvärmeprod!$B$1:$AV$1,0),FALSE)),"",VLOOKUP($B404,'Slutlig allokering kvv'!$B$1:$BC$479,MATCH(E$1,'Slutlig allokering kvv'!$B$1:$AU$1,0),FALSE))</f>
        <v/>
      </c>
      <c r="F404" s="121" t="str">
        <f>IF(ISERROR(1/VLOOKUP($B404,Kraftvärmeprod!$B$1:$AV$479,MATCH("Producerad elenergi i kraftvärmeverk (GWh)",Kraftvärmeprod!$B$1:$AV$1,0),FALSE)),"",VLOOKUP($B404,Kraftvärmeprod!$B$1:$AV$479,MATCH("Producerad elenergi i kraftvärmeverk (GWh)",Kraftvärmeprod!$B$1:$AV$1,0),FALSE))</f>
        <v/>
      </c>
      <c r="G404" s="121" t="str">
        <f>IF(ISERROR(1/VLOOKUP($B404,Miljö!$B$1:$T$480,MATCH("Såld mängd produktionsspecifik fjärrvärme (GWh)",Miljö!$B$1:$T$1,0),FALSE)),"",VLOOKUP($B404,Miljö!$B$1:$T$480,MATCH("Såld mängd produktionsspecifik fjärrvärme (GWh)",Miljö!$B$1:$T$1,0),FALSE))</f>
        <v/>
      </c>
      <c r="J404" s="121" t="str">
        <f t="shared" si="6"/>
        <v>Öresundskraft AB</v>
      </c>
    </row>
    <row r="405" spans="1:10" x14ac:dyDescent="0.25">
      <c r="A405" s="137" t="s">
        <v>725</v>
      </c>
      <c r="B405" s="137" t="s">
        <v>729</v>
      </c>
      <c r="D405" s="121" t="str">
        <f>IF(ISERROR(1/VLOOKUP($B405,Kraftvärmeprod!$B$1:$D$479,MATCH("Total värmeproduktion i kraftvärmeverk i kombinerad drift (GWh)",Kraftvärmeprod!$B$1:$AV$1,0),FALSE)),"Ej kraftvärme","Alternativproduktionsmetoden")</f>
        <v>Ej kraftvärme</v>
      </c>
      <c r="E405" s="172" t="str">
        <f>IF(ISERROR(1/VLOOKUP($B405,Kraftvärmeprod!$B$1:$BD$479,MATCH("Total värmeproduktion i kraftvärmeverk i kombinerad drift (GWh)",Kraftvärmeprod!$B$1:$AV$1,0),FALSE)),"",VLOOKUP($B405,'Slutlig allokering kvv'!$B$1:$BC$479,MATCH(E$1,'Slutlig allokering kvv'!$B$1:$AU$1,0),FALSE))</f>
        <v/>
      </c>
      <c r="F405" s="121" t="str">
        <f>IF(ISERROR(1/VLOOKUP($B405,Kraftvärmeprod!$B$1:$AV$479,MATCH("Producerad elenergi i kraftvärmeverk (GWh)",Kraftvärmeprod!$B$1:$AV$1,0),FALSE)),"",VLOOKUP($B405,Kraftvärmeprod!$B$1:$AV$479,MATCH("Producerad elenergi i kraftvärmeverk (GWh)",Kraftvärmeprod!$B$1:$AV$1,0),FALSE))</f>
        <v/>
      </c>
      <c r="G405" s="121" t="str">
        <f>IF(ISERROR(1/VLOOKUP($B405,Miljö!$B$1:$T$480,MATCH("Såld mängd produktionsspecifik fjärrvärme (GWh)",Miljö!$B$1:$T$1,0),FALSE)),"",VLOOKUP($B405,Miljö!$B$1:$T$480,MATCH("Såld mängd produktionsspecifik fjärrvärme (GWh)",Miljö!$B$1:$T$1,0),FALSE))</f>
        <v/>
      </c>
      <c r="J405" s="121" t="str">
        <f t="shared" si="6"/>
        <v>Öresundskraft AB</v>
      </c>
    </row>
    <row r="406" spans="1:10" x14ac:dyDescent="0.25">
      <c r="A406" s="137" t="s">
        <v>730</v>
      </c>
      <c r="B406" s="137" t="s">
        <v>731</v>
      </c>
      <c r="D406" s="121" t="str">
        <f>IF(ISERROR(1/VLOOKUP($B406,Kraftvärmeprod!$B$1:$D$479,MATCH("Total värmeproduktion i kraftvärmeverk i kombinerad drift (GWh)",Kraftvärmeprod!$B$1:$AV$1,0),FALSE)),"Ej kraftvärme","Alternativproduktionsmetoden")</f>
        <v>Ej kraftvärme</v>
      </c>
      <c r="E406" s="172" t="str">
        <f>IF(ISERROR(1/VLOOKUP($B406,Kraftvärmeprod!$B$1:$BD$479,MATCH("Total värmeproduktion i kraftvärmeverk i kombinerad drift (GWh)",Kraftvärmeprod!$B$1:$AV$1,0),FALSE)),"",VLOOKUP($B406,'Slutlig allokering kvv'!$B$1:$BC$479,MATCH(E$1,'Slutlig allokering kvv'!$B$1:$AU$1,0),FALSE))</f>
        <v/>
      </c>
      <c r="F406" s="121" t="str">
        <f>IF(ISERROR(1/VLOOKUP($B406,Kraftvärmeprod!$B$1:$AV$479,MATCH("Producerad elenergi i kraftvärmeverk (GWh)",Kraftvärmeprod!$B$1:$AV$1,0),FALSE)),"",VLOOKUP($B406,Kraftvärmeprod!$B$1:$AV$479,MATCH("Producerad elenergi i kraftvärmeverk (GWh)",Kraftvärmeprod!$B$1:$AV$1,0),FALSE))</f>
        <v/>
      </c>
      <c r="G406" s="121" t="str">
        <f>IF(ISERROR(1/VLOOKUP($B406,Miljö!$B$1:$T$480,MATCH("Såld mängd produktionsspecifik fjärrvärme (GWh)",Miljö!$B$1:$T$1,0),FALSE)),"",VLOOKUP($B406,Miljö!$B$1:$T$480,MATCH("Såld mängd produktionsspecifik fjärrvärme (GWh)",Miljö!$B$1:$T$1,0),FALSE))</f>
        <v/>
      </c>
      <c r="J406" s="121" t="str">
        <f t="shared" si="6"/>
        <v>Örkelljunga Fjärrvärmeverk AB</v>
      </c>
    </row>
    <row r="407" spans="1:10" x14ac:dyDescent="0.25">
      <c r="A407" s="137" t="s">
        <v>732</v>
      </c>
      <c r="B407" s="137" t="s">
        <v>733</v>
      </c>
      <c r="D407" s="121" t="str">
        <f>IF(ISERROR(1/VLOOKUP($B407,Kraftvärmeprod!$B$1:$D$479,MATCH("Total värmeproduktion i kraftvärmeverk i kombinerad drift (GWh)",Kraftvärmeprod!$B$1:$AV$1,0),FALSE)),"Ej kraftvärme","Alternativproduktionsmetoden")</f>
        <v>Ej kraftvärme</v>
      </c>
      <c r="E407" s="172" t="str">
        <f>IF(ISERROR(1/VLOOKUP($B407,Kraftvärmeprod!$B$1:$BD$479,MATCH("Total värmeproduktion i kraftvärmeverk i kombinerad drift (GWh)",Kraftvärmeprod!$B$1:$AV$1,0),FALSE)),"",VLOOKUP($B407,'Slutlig allokering kvv'!$B$1:$BC$479,MATCH(E$1,'Slutlig allokering kvv'!$B$1:$AU$1,0),FALSE))</f>
        <v/>
      </c>
      <c r="F407" s="121" t="str">
        <f>IF(ISERROR(1/VLOOKUP($B407,Kraftvärmeprod!$B$1:$AV$479,MATCH("Producerad elenergi i kraftvärmeverk (GWh)",Kraftvärmeprod!$B$1:$AV$1,0),FALSE)),"",VLOOKUP($B407,Kraftvärmeprod!$B$1:$AV$479,MATCH("Producerad elenergi i kraftvärmeverk (GWh)",Kraftvärmeprod!$B$1:$AV$1,0),FALSE))</f>
        <v/>
      </c>
      <c r="G407" s="121" t="str">
        <f>IF(ISERROR(1/VLOOKUP($B407,Miljö!$B$1:$T$480,MATCH("Såld mängd produktionsspecifik fjärrvärme (GWh)",Miljö!$B$1:$T$1,0),FALSE)),"",VLOOKUP($B407,Miljö!$B$1:$T$480,MATCH("Såld mängd produktionsspecifik fjärrvärme (GWh)",Miljö!$B$1:$T$1,0),FALSE))</f>
        <v/>
      </c>
      <c r="J407" s="121" t="str">
        <f t="shared" si="6"/>
        <v>Österlens Kraft AB</v>
      </c>
    </row>
    <row r="408" spans="1:10" x14ac:dyDescent="0.25">
      <c r="A408" s="137" t="s">
        <v>149</v>
      </c>
      <c r="B408" s="137" t="s">
        <v>13</v>
      </c>
      <c r="D408" s="121" t="str">
        <f>IF(ISERROR(1/VLOOKUP($B408,Kraftvärmeprod!$B$1:$D$479,MATCH("Total värmeproduktion i kraftvärmeverk i kombinerad drift (GWh)",Kraftvärmeprod!$B$1:$AV$1,0),FALSE)),"Ej kraftvärme","Alternativproduktionsmetoden")</f>
        <v>Ej kraftvärme</v>
      </c>
      <c r="E408" s="172" t="str">
        <f>IF(ISERROR(1/VLOOKUP($B408,Kraftvärmeprod!$B$1:$BD$479,MATCH("Total värmeproduktion i kraftvärmeverk i kombinerad drift (GWh)",Kraftvärmeprod!$B$1:$AV$1,0),FALSE)),"",VLOOKUP($B408,'Slutlig allokering kvv'!$B$1:$BC$479,MATCH(E$1,'Slutlig allokering kvv'!$B$1:$AU$1,0),FALSE))</f>
        <v/>
      </c>
      <c r="F408" s="121" t="str">
        <f>IF(ISERROR(1/VLOOKUP($B408,Kraftvärmeprod!$B$1:$AV$479,MATCH("Producerad elenergi i kraftvärmeverk (GWh)",Kraftvärmeprod!$B$1:$AV$1,0),FALSE)),"",VLOOKUP($B408,Kraftvärmeprod!$B$1:$AV$479,MATCH("Producerad elenergi i kraftvärmeverk (GWh)",Kraftvärmeprod!$B$1:$AV$1,0),FALSE))</f>
        <v/>
      </c>
      <c r="G408" s="121" t="str">
        <f>IF(ISERROR(1/VLOOKUP($B408,Miljö!$B$1:$T$480,MATCH("Såld mängd produktionsspecifik fjärrvärme (GWh)",Miljö!$B$1:$T$1,0),FALSE)),"",VLOOKUP($B408,Miljö!$B$1:$T$480,MATCH("Såld mängd produktionsspecifik fjärrvärme (GWh)",Miljö!$B$1:$T$1,0),FALSE))</f>
        <v/>
      </c>
      <c r="J408" s="121" t="str">
        <f t="shared" si="6"/>
        <v>Övertorneå Energi som tas bort</v>
      </c>
    </row>
    <row r="409" spans="1:10" x14ac:dyDescent="0.25">
      <c r="A409" s="137" t="s">
        <v>12</v>
      </c>
      <c r="B409" s="141" t="s">
        <v>14</v>
      </c>
      <c r="D409" s="121" t="str">
        <f>IF(ISERROR(1/VLOOKUP($B409,Kraftvärmeprod!$B$1:$D$479,MATCH("Total värmeproduktion i kraftvärmeverk i kombinerad drift (GWh)",Kraftvärmeprod!$B$1:$AV$1,0),FALSE)),"Ej kraftvärme","Alternativproduktionsmetoden")</f>
        <v>Ej kraftvärme</v>
      </c>
      <c r="E409" s="172" t="str">
        <f>IF(ISERROR(1/VLOOKUP($B409,Kraftvärmeprod!$B$1:$BD$479,MATCH("Total värmeproduktion i kraftvärmeverk i kombinerad drift (GWh)",Kraftvärmeprod!$B$1:$AV$1,0),FALSE)),"",VLOOKUP($B409,'Slutlig allokering kvv'!$B$1:$BC$479,MATCH(E$1,'Slutlig allokering kvv'!$B$1:$AU$1,0),FALSE))</f>
        <v/>
      </c>
      <c r="F409" s="121" t="str">
        <f>IF(ISERROR(1/VLOOKUP($B409,Kraftvärmeprod!$B$1:$AV$479,MATCH("Producerad elenergi i kraftvärmeverk (GWh)",Kraftvärmeprod!$B$1:$AV$1,0),FALSE)),"",VLOOKUP($B409,Kraftvärmeprod!$B$1:$AV$479,MATCH("Producerad elenergi i kraftvärmeverk (GWh)",Kraftvärmeprod!$B$1:$AV$1,0),FALSE))</f>
        <v/>
      </c>
      <c r="G409" s="121" t="str">
        <f>IF(ISERROR(1/VLOOKUP($B409,Miljö!$B$1:$T$480,MATCH("Såld mängd produktionsspecifik fjärrvärme (GWh)",Miljö!$B$1:$T$1,0),FALSE)),"",VLOOKUP($B409,Miljö!$B$1:$T$480,MATCH("Såld mängd produktionsspecifik fjärrvärme (GWh)",Miljö!$B$1:$T$1,0),FALSE))</f>
        <v/>
      </c>
      <c r="J409" s="121" t="str">
        <f t="shared" si="6"/>
        <v>Övertorneå Värmeverk AB</v>
      </c>
    </row>
    <row r="410" spans="1:10" x14ac:dyDescent="0.25">
      <c r="A410" s="137" t="s">
        <v>734</v>
      </c>
      <c r="B410" s="137" t="s">
        <v>735</v>
      </c>
      <c r="D410" s="121" t="str">
        <f>IF(ISERROR(1/VLOOKUP($B410,Kraftvärmeprod!$B$1:$D$479,MATCH("Total värmeproduktion i kraftvärmeverk i kombinerad drift (GWh)",Kraftvärmeprod!$B$1:$AV$1,0),FALSE)),"Ej kraftvärme","Alternativproduktionsmetoden")</f>
        <v>Ej kraftvärme</v>
      </c>
      <c r="E410" s="172" t="str">
        <f>IF(ISERROR(1/VLOOKUP($B410,Kraftvärmeprod!$B$1:$BD$479,MATCH("Total värmeproduktion i kraftvärmeverk i kombinerad drift (GWh)",Kraftvärmeprod!$B$1:$AV$1,0),FALSE)),"",VLOOKUP($B410,'Slutlig allokering kvv'!$B$1:$BC$479,MATCH(E$1,'Slutlig allokering kvv'!$B$1:$AU$1,0),FALSE))</f>
        <v/>
      </c>
      <c r="F410" s="121" t="str">
        <f>IF(ISERROR(1/VLOOKUP($B410,Kraftvärmeprod!$B$1:$AV$479,MATCH("Producerad elenergi i kraftvärmeverk (GWh)",Kraftvärmeprod!$B$1:$AV$1,0),FALSE)),"",VLOOKUP($B410,Kraftvärmeprod!$B$1:$AV$479,MATCH("Producerad elenergi i kraftvärmeverk (GWh)",Kraftvärmeprod!$B$1:$AV$1,0),FALSE))</f>
        <v/>
      </c>
      <c r="G410" s="121" t="str">
        <f>IF(ISERROR(1/VLOOKUP($B410,Miljö!$B$1:$T$480,MATCH("Såld mängd produktionsspecifik fjärrvärme (GWh)",Miljö!$B$1:$T$1,0),FALSE)),"",VLOOKUP($B410,Miljö!$B$1:$T$480,MATCH("Såld mängd produktionsspecifik fjärrvärme (GWh)",Miljö!$B$1:$T$1,0),FALSE))</f>
        <v/>
      </c>
      <c r="J410" s="121" t="str">
        <f t="shared" si="6"/>
        <v>Övik Energi AB</v>
      </c>
    </row>
    <row r="411" spans="1:10" x14ac:dyDescent="0.25">
      <c r="A411" s="137" t="s">
        <v>734</v>
      </c>
      <c r="B411" s="137" t="s">
        <v>736</v>
      </c>
      <c r="D411" s="121" t="str">
        <f>IF(ISERROR(1/VLOOKUP($B411,Kraftvärmeprod!$B$1:$D$479,MATCH("Total värmeproduktion i kraftvärmeverk i kombinerad drift (GWh)",Kraftvärmeprod!$B$1:$AV$1,0),FALSE)),"Ej kraftvärme","Alternativproduktionsmetoden")</f>
        <v>Ej kraftvärme</v>
      </c>
      <c r="E411" s="172" t="str">
        <f>IF(ISERROR(1/VLOOKUP($B411,Kraftvärmeprod!$B$1:$BD$479,MATCH("Total värmeproduktion i kraftvärmeverk i kombinerad drift (GWh)",Kraftvärmeprod!$B$1:$AV$1,0),FALSE)),"",VLOOKUP($B411,'Slutlig allokering kvv'!$B$1:$BC$479,MATCH(E$1,'Slutlig allokering kvv'!$B$1:$AU$1,0),FALSE))</f>
        <v/>
      </c>
      <c r="F411" s="121" t="str">
        <f>IF(ISERROR(1/VLOOKUP($B411,Kraftvärmeprod!$B$1:$AV$479,MATCH("Producerad elenergi i kraftvärmeverk (GWh)",Kraftvärmeprod!$B$1:$AV$1,0),FALSE)),"",VLOOKUP($B411,Kraftvärmeprod!$B$1:$AV$479,MATCH("Producerad elenergi i kraftvärmeverk (GWh)",Kraftvärmeprod!$B$1:$AV$1,0),FALSE))</f>
        <v/>
      </c>
      <c r="G411" s="121" t="str">
        <f>IF(ISERROR(1/VLOOKUP($B411,Miljö!$B$1:$T$480,MATCH("Såld mängd produktionsspecifik fjärrvärme (GWh)",Miljö!$B$1:$T$1,0),FALSE)),"",VLOOKUP($B411,Miljö!$B$1:$T$480,MATCH("Såld mängd produktionsspecifik fjärrvärme (GWh)",Miljö!$B$1:$T$1,0),FALSE))</f>
        <v/>
      </c>
      <c r="J411" s="121" t="str">
        <f t="shared" si="6"/>
        <v>Övik Energi AB</v>
      </c>
    </row>
    <row r="412" spans="1:10" x14ac:dyDescent="0.25">
      <c r="A412" s="137" t="s">
        <v>734</v>
      </c>
      <c r="B412" s="137" t="s">
        <v>737</v>
      </c>
      <c r="D412" s="121" t="str">
        <f>IF(ISERROR(1/VLOOKUP($B412,Kraftvärmeprod!$B$1:$D$479,MATCH("Total värmeproduktion i kraftvärmeverk i kombinerad drift (GWh)",Kraftvärmeprod!$B$1:$AV$1,0),FALSE)),"Ej kraftvärme","Alternativproduktionsmetoden")</f>
        <v>Ej kraftvärme</v>
      </c>
      <c r="E412" s="172" t="str">
        <f>IF(ISERROR(1/VLOOKUP($B412,Kraftvärmeprod!$B$1:$BD$479,MATCH("Total värmeproduktion i kraftvärmeverk i kombinerad drift (GWh)",Kraftvärmeprod!$B$1:$AV$1,0),FALSE)),"",VLOOKUP($B412,'Slutlig allokering kvv'!$B$1:$BC$479,MATCH(E$1,'Slutlig allokering kvv'!$B$1:$AU$1,0),FALSE))</f>
        <v/>
      </c>
      <c r="F412" s="121" t="str">
        <f>IF(ISERROR(1/VLOOKUP($B412,Kraftvärmeprod!$B$1:$AV$479,MATCH("Producerad elenergi i kraftvärmeverk (GWh)",Kraftvärmeprod!$B$1:$AV$1,0),FALSE)),"",VLOOKUP($B412,Kraftvärmeprod!$B$1:$AV$479,MATCH("Producerad elenergi i kraftvärmeverk (GWh)",Kraftvärmeprod!$B$1:$AV$1,0),FALSE))</f>
        <v/>
      </c>
      <c r="G412" s="121" t="str">
        <f>IF(ISERROR(1/VLOOKUP($B412,Miljö!$B$1:$T$480,MATCH("Såld mängd produktionsspecifik fjärrvärme (GWh)",Miljö!$B$1:$T$1,0),FALSE)),"",VLOOKUP($B412,Miljö!$B$1:$T$480,MATCH("Såld mängd produktionsspecifik fjärrvärme (GWh)",Miljö!$B$1:$T$1,0),FALSE))</f>
        <v/>
      </c>
      <c r="J412" s="121" t="str">
        <f t="shared" si="6"/>
        <v>Övik Energi AB</v>
      </c>
    </row>
    <row r="413" spans="1:10" x14ac:dyDescent="0.25">
      <c r="A413" s="137" t="s">
        <v>734</v>
      </c>
      <c r="B413" s="137" t="s">
        <v>738</v>
      </c>
      <c r="D413" s="121" t="str">
        <f>IF(ISERROR(1/VLOOKUP($B413,Kraftvärmeprod!$B$1:$D$479,MATCH("Total värmeproduktion i kraftvärmeverk i kombinerad drift (GWh)",Kraftvärmeprod!$B$1:$AV$1,0),FALSE)),"Ej kraftvärme","Alternativproduktionsmetoden")</f>
        <v>Ej kraftvärme</v>
      </c>
      <c r="E413" s="172" t="str">
        <f>IF(ISERROR(1/VLOOKUP($B413,Kraftvärmeprod!$B$1:$BD$479,MATCH("Total värmeproduktion i kraftvärmeverk i kombinerad drift (GWh)",Kraftvärmeprod!$B$1:$AV$1,0),FALSE)),"",VLOOKUP($B413,'Slutlig allokering kvv'!$B$1:$BC$479,MATCH(E$1,'Slutlig allokering kvv'!$B$1:$AU$1,0),FALSE))</f>
        <v/>
      </c>
      <c r="F413" s="121" t="str">
        <f>IF(ISERROR(1/VLOOKUP($B413,Kraftvärmeprod!$B$1:$AV$479,MATCH("Producerad elenergi i kraftvärmeverk (GWh)",Kraftvärmeprod!$B$1:$AV$1,0),FALSE)),"",VLOOKUP($B413,Kraftvärmeprod!$B$1:$AV$479,MATCH("Producerad elenergi i kraftvärmeverk (GWh)",Kraftvärmeprod!$B$1:$AV$1,0),FALSE))</f>
        <v/>
      </c>
      <c r="G413" s="121" t="str">
        <f>IF(ISERROR(1/VLOOKUP($B413,Miljö!$B$1:$T$480,MATCH("Såld mängd produktionsspecifik fjärrvärme (GWh)",Miljö!$B$1:$T$1,0),FALSE)),"",VLOOKUP($B413,Miljö!$B$1:$T$480,MATCH("Såld mängd produktionsspecifik fjärrvärme (GWh)",Miljö!$B$1:$T$1,0),FALSE))</f>
        <v/>
      </c>
      <c r="J413" s="121" t="str">
        <f t="shared" si="6"/>
        <v>Övik Energi AB</v>
      </c>
    </row>
    <row r="414" spans="1:10" x14ac:dyDescent="0.25">
      <c r="A414" s="137" t="s">
        <v>734</v>
      </c>
      <c r="B414" s="137" t="s">
        <v>739</v>
      </c>
      <c r="D414" s="121" t="str">
        <f>IF(ISERROR(1/VLOOKUP($B414,Kraftvärmeprod!$B$1:$D$479,MATCH("Total värmeproduktion i kraftvärmeverk i kombinerad drift (GWh)",Kraftvärmeprod!$B$1:$AV$1,0),FALSE)),"Ej kraftvärme","Alternativproduktionsmetoden")</f>
        <v>Alternativproduktionsmetoden</v>
      </c>
      <c r="E414" s="172">
        <f>IF(ISERROR(1/VLOOKUP($B414,Kraftvärmeprod!$B$1:$BD$479,MATCH("Total värmeproduktion i kraftvärmeverk i kombinerad drift (GWh)",Kraftvärmeprod!$B$1:$AV$1,0),FALSE)),"",VLOOKUP($B414,'Slutlig allokering kvv'!$B$1:$BC$479,MATCH(E$1,'Slutlig allokering kvv'!$B$1:$AU$1,0),FALSE))</f>
        <v>0.51878590490800591</v>
      </c>
      <c r="F414" s="121">
        <f>IF(ISERROR(1/VLOOKUP($B414,Kraftvärmeprod!$B$1:$AV$479,MATCH("Producerad elenergi i kraftvärmeverk (GWh)",Kraftvärmeprod!$B$1:$AV$1,0),FALSE)),"",VLOOKUP($B414,Kraftvärmeprod!$B$1:$AV$479,MATCH("Producerad elenergi i kraftvärmeverk (GWh)",Kraftvärmeprod!$B$1:$AV$1,0),FALSE))</f>
        <v>102.431</v>
      </c>
      <c r="G414" s="121" t="str">
        <f>IF(ISERROR(1/VLOOKUP($B414,Miljö!$B$1:$T$480,MATCH("Såld mängd produktionsspecifik fjärrvärme (GWh)",Miljö!$B$1:$T$1,0),FALSE)),"",VLOOKUP($B414,Miljö!$B$1:$T$480,MATCH("Såld mängd produktionsspecifik fjärrvärme (GWh)",Miljö!$B$1:$T$1,0),FALSE))</f>
        <v/>
      </c>
      <c r="J414" s="121" t="str">
        <f t="shared" si="6"/>
        <v>Övik Energi AB</v>
      </c>
    </row>
    <row r="415" spans="1:10" x14ac:dyDescent="0.25">
      <c r="A415" s="137" t="s">
        <v>734</v>
      </c>
      <c r="B415" s="137" t="s">
        <v>740</v>
      </c>
      <c r="D415" s="121" t="str">
        <f>IF(ISERROR(1/VLOOKUP($B415,Kraftvärmeprod!$B$1:$D$479,MATCH("Total värmeproduktion i kraftvärmeverk i kombinerad drift (GWh)",Kraftvärmeprod!$B$1:$AV$1,0),FALSE)),"Ej kraftvärme","Alternativproduktionsmetoden")</f>
        <v>Alternativproduktionsmetoden</v>
      </c>
      <c r="E415" s="172">
        <f>IF(ISERROR(1/VLOOKUP($B415,Kraftvärmeprod!$B$1:$BD$479,MATCH("Total värmeproduktion i kraftvärmeverk i kombinerad drift (GWh)",Kraftvärmeprod!$B$1:$AV$1,0),FALSE)),"",VLOOKUP($B415,'Slutlig allokering kvv'!$B$1:$BC$479,MATCH(E$1,'Slutlig allokering kvv'!$B$1:$AU$1,0),FALSE))</f>
        <v>0.41071076657502714</v>
      </c>
      <c r="F415" s="121">
        <f>IF(ISERROR(1/VLOOKUP($B415,Kraftvärmeprod!$B$1:$AV$479,MATCH("Producerad elenergi i kraftvärmeverk (GWh)",Kraftvärmeprod!$B$1:$AV$1,0),FALSE)),"",VLOOKUP($B415,Kraftvärmeprod!$B$1:$AV$479,MATCH("Producerad elenergi i kraftvärmeverk (GWh)",Kraftvärmeprod!$B$1:$AV$1,0),FALSE))</f>
        <v>105.07899999999999</v>
      </c>
      <c r="G415" s="121" t="str">
        <f>IF(ISERROR(1/VLOOKUP($B415,Miljö!$B$1:$T$480,MATCH("Såld mängd produktionsspecifik fjärrvärme (GWh)",Miljö!$B$1:$T$1,0),FALSE)),"",VLOOKUP($B415,Miljö!$B$1:$T$480,MATCH("Såld mängd produktionsspecifik fjärrvärme (GWh)",Miljö!$B$1:$T$1,0),FALSE))</f>
        <v/>
      </c>
      <c r="J415" s="121" t="str">
        <f t="shared" si="6"/>
        <v>Övik Energi AB</v>
      </c>
    </row>
  </sheetData>
  <conditionalFormatting sqref="B1:B31 B33:B71 B73:B147 B149:B227 B229:B293 B295:B316 B318:B341 B343:B408 B410:B1048576">
    <cfRule type="duplicateValues" dxfId="3" priority="1"/>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E65"/>
  <sheetViews>
    <sheetView workbookViewId="0">
      <selection activeCell="J20" sqref="A1:XFD1048576"/>
    </sheetView>
  </sheetViews>
  <sheetFormatPr defaultColWidth="9.140625" defaultRowHeight="15" x14ac:dyDescent="0.25"/>
  <cols>
    <col min="1" max="1" width="33" style="143" bestFit="1" customWidth="1"/>
    <col min="2" max="2" width="13.140625" style="143" bestFit="1" customWidth="1"/>
    <col min="3" max="3" width="9.140625" style="143"/>
    <col min="4" max="4" width="50.5703125" style="143" customWidth="1"/>
    <col min="5" max="16384" width="9.140625" style="143"/>
  </cols>
  <sheetData>
    <row r="1" spans="1:5" ht="21" x14ac:dyDescent="0.35">
      <c r="A1" s="142" t="s">
        <v>0</v>
      </c>
    </row>
    <row r="2" spans="1:5" ht="24.75" customHeight="1" x14ac:dyDescent="0.25">
      <c r="A2" s="144" t="s">
        <v>1</v>
      </c>
      <c r="B2" s="144" t="s">
        <v>2</v>
      </c>
      <c r="D2" s="145" t="s">
        <v>3</v>
      </c>
    </row>
    <row r="3" spans="1:5" s="149" customFormat="1" x14ac:dyDescent="0.25">
      <c r="A3" s="146" t="s">
        <v>4</v>
      </c>
      <c r="B3" s="146" t="s">
        <v>5</v>
      </c>
      <c r="C3" s="147"/>
      <c r="D3" s="148" t="s">
        <v>6</v>
      </c>
    </row>
    <row r="4" spans="1:5" s="149" customFormat="1" x14ac:dyDescent="0.25">
      <c r="A4" s="146" t="s">
        <v>7</v>
      </c>
      <c r="B4" s="146" t="s">
        <v>8</v>
      </c>
      <c r="C4" s="146"/>
      <c r="D4" s="148" t="s">
        <v>9</v>
      </c>
      <c r="E4" s="121"/>
    </row>
    <row r="5" spans="1:5" x14ac:dyDescent="0.25">
      <c r="A5" s="150" t="s">
        <v>10</v>
      </c>
      <c r="B5" s="150" t="s">
        <v>8</v>
      </c>
      <c r="C5" s="151"/>
      <c r="D5" s="141" t="s">
        <v>11</v>
      </c>
      <c r="E5" s="121" t="s">
        <v>1193</v>
      </c>
    </row>
    <row r="6" spans="1:5" x14ac:dyDescent="0.25">
      <c r="A6" s="150" t="s">
        <v>12</v>
      </c>
      <c r="B6" s="150" t="s">
        <v>13</v>
      </c>
      <c r="C6" s="151"/>
      <c r="D6" s="141" t="s">
        <v>14</v>
      </c>
      <c r="E6" s="121" t="s">
        <v>1193</v>
      </c>
    </row>
    <row r="7" spans="1:5" x14ac:dyDescent="0.25">
      <c r="A7" s="152" t="s">
        <v>15</v>
      </c>
      <c r="B7" s="152" t="s">
        <v>16</v>
      </c>
      <c r="C7" s="152"/>
      <c r="D7" s="148" t="s">
        <v>17</v>
      </c>
    </row>
    <row r="8" spans="1:5" s="149" customFormat="1" x14ac:dyDescent="0.25">
      <c r="A8" s="152" t="s">
        <v>15</v>
      </c>
      <c r="B8" s="152" t="s">
        <v>18</v>
      </c>
      <c r="C8" s="152"/>
      <c r="D8" s="148" t="s">
        <v>19</v>
      </c>
    </row>
    <row r="9" spans="1:5" s="149" customFormat="1" x14ac:dyDescent="0.25">
      <c r="A9" s="152" t="s">
        <v>15</v>
      </c>
      <c r="B9" s="152" t="s">
        <v>20</v>
      </c>
      <c r="C9" s="152"/>
      <c r="D9" s="148" t="s">
        <v>21</v>
      </c>
    </row>
    <row r="10" spans="1:5" s="149" customFormat="1" x14ac:dyDescent="0.25">
      <c r="A10" s="152" t="s">
        <v>15</v>
      </c>
      <c r="B10" s="152" t="s">
        <v>22</v>
      </c>
      <c r="C10" s="152"/>
      <c r="D10" s="148" t="s">
        <v>23</v>
      </c>
    </row>
    <row r="11" spans="1:5" s="149" customFormat="1" x14ac:dyDescent="0.25">
      <c r="A11" s="152" t="s">
        <v>15</v>
      </c>
      <c r="B11" s="152" t="s">
        <v>24</v>
      </c>
      <c r="C11" s="152"/>
      <c r="D11" s="148" t="s">
        <v>25</v>
      </c>
    </row>
    <row r="12" spans="1:5" s="149" customFormat="1" x14ac:dyDescent="0.25">
      <c r="A12" s="152" t="s">
        <v>15</v>
      </c>
      <c r="B12" s="152" t="s">
        <v>26</v>
      </c>
      <c r="C12" s="152"/>
      <c r="D12" s="148" t="s">
        <v>27</v>
      </c>
    </row>
    <row r="13" spans="1:5" s="149" customFormat="1" x14ac:dyDescent="0.25">
      <c r="A13" s="152" t="s">
        <v>15</v>
      </c>
      <c r="B13" s="152" t="s">
        <v>28</v>
      </c>
      <c r="C13" s="152"/>
      <c r="D13" s="148" t="s">
        <v>29</v>
      </c>
    </row>
    <row r="14" spans="1:5" s="149" customFormat="1" x14ac:dyDescent="0.25">
      <c r="A14" s="152" t="s">
        <v>15</v>
      </c>
      <c r="B14" s="152" t="s">
        <v>30</v>
      </c>
      <c r="C14" s="152"/>
      <c r="D14" s="148" t="s">
        <v>31</v>
      </c>
    </row>
    <row r="15" spans="1:5" s="149" customFormat="1" x14ac:dyDescent="0.25">
      <c r="A15" s="152" t="s">
        <v>15</v>
      </c>
      <c r="B15" s="152" t="s">
        <v>32</v>
      </c>
      <c r="C15" s="152"/>
      <c r="D15" s="148" t="s">
        <v>33</v>
      </c>
    </row>
    <row r="16" spans="1:5" s="149" customFormat="1" x14ac:dyDescent="0.25">
      <c r="A16" s="153"/>
      <c r="B16" s="153"/>
      <c r="C16" s="153"/>
      <c r="D16" s="153"/>
    </row>
    <row r="17" spans="1:5" x14ac:dyDescent="0.25">
      <c r="A17" s="390" t="s">
        <v>34</v>
      </c>
      <c r="B17" s="390"/>
      <c r="C17" s="153"/>
      <c r="D17" s="153"/>
    </row>
    <row r="18" spans="1:5" x14ac:dyDescent="0.25">
      <c r="A18" s="154" t="s">
        <v>1</v>
      </c>
      <c r="B18" s="154" t="s">
        <v>2</v>
      </c>
      <c r="C18" s="151"/>
      <c r="D18" s="155" t="s">
        <v>35</v>
      </c>
    </row>
    <row r="19" spans="1:5" ht="22.5" customHeight="1" x14ac:dyDescent="0.25">
      <c r="A19" s="156" t="s">
        <v>36</v>
      </c>
      <c r="B19" s="153"/>
      <c r="C19" s="153"/>
      <c r="D19" s="141" t="s">
        <v>37</v>
      </c>
      <c r="E19" s="121" t="s">
        <v>1193</v>
      </c>
    </row>
    <row r="20" spans="1:5" x14ac:dyDescent="0.25">
      <c r="A20" s="150" t="s">
        <v>38</v>
      </c>
      <c r="B20" s="150" t="s">
        <v>39</v>
      </c>
      <c r="C20" s="151"/>
      <c r="D20" s="141" t="s">
        <v>40</v>
      </c>
      <c r="E20" s="121" t="s">
        <v>1193</v>
      </c>
    </row>
    <row r="21" spans="1:5" x14ac:dyDescent="0.25">
      <c r="A21" s="146" t="s">
        <v>41</v>
      </c>
      <c r="B21" s="146" t="s">
        <v>39</v>
      </c>
      <c r="C21" s="152"/>
      <c r="D21" s="148" t="s">
        <v>42</v>
      </c>
    </row>
    <row r="22" spans="1:5" s="149" customFormat="1" x14ac:dyDescent="0.25">
      <c r="A22" s="146" t="s">
        <v>43</v>
      </c>
      <c r="B22" s="146" t="s">
        <v>39</v>
      </c>
      <c r="C22" s="152"/>
      <c r="D22" s="148" t="s">
        <v>44</v>
      </c>
    </row>
    <row r="23" spans="1:5" s="149" customFormat="1" x14ac:dyDescent="0.25">
      <c r="A23" s="150" t="s">
        <v>45</v>
      </c>
      <c r="B23" s="150" t="s">
        <v>39</v>
      </c>
      <c r="C23" s="151"/>
      <c r="D23" s="141" t="s">
        <v>46</v>
      </c>
      <c r="E23" s="121" t="s">
        <v>1193</v>
      </c>
    </row>
    <row r="24" spans="1:5" x14ac:dyDescent="0.25">
      <c r="A24" s="150" t="s">
        <v>47</v>
      </c>
      <c r="B24" s="151"/>
      <c r="C24" s="151"/>
      <c r="D24" s="141" t="s">
        <v>48</v>
      </c>
      <c r="E24" s="121" t="s">
        <v>1193</v>
      </c>
    </row>
    <row r="25" spans="1:5" x14ac:dyDescent="0.25">
      <c r="A25" s="150" t="s">
        <v>49</v>
      </c>
      <c r="B25" s="151"/>
      <c r="C25" s="151"/>
      <c r="D25" s="141" t="s">
        <v>50</v>
      </c>
      <c r="E25" s="121" t="s">
        <v>1193</v>
      </c>
    </row>
    <row r="26" spans="1:5" x14ac:dyDescent="0.25">
      <c r="A26" s="150" t="s">
        <v>43</v>
      </c>
      <c r="B26" s="151"/>
      <c r="C26" s="151"/>
      <c r="D26" s="141" t="s">
        <v>51</v>
      </c>
      <c r="E26" s="121" t="s">
        <v>1193</v>
      </c>
    </row>
    <row r="27" spans="1:5" x14ac:dyDescent="0.25">
      <c r="A27" s="152" t="s">
        <v>52</v>
      </c>
      <c r="B27" s="152" t="s">
        <v>53</v>
      </c>
      <c r="C27" s="152"/>
      <c r="D27" s="148" t="s">
        <v>54</v>
      </c>
    </row>
    <row r="28" spans="1:5" s="149" customFormat="1" x14ac:dyDescent="0.25">
      <c r="A28" s="152" t="s">
        <v>52</v>
      </c>
      <c r="B28" s="152" t="s">
        <v>53</v>
      </c>
      <c r="C28" s="152"/>
      <c r="D28" s="148" t="s">
        <v>55</v>
      </c>
    </row>
    <row r="29" spans="1:5" s="149" customFormat="1" x14ac:dyDescent="0.25">
      <c r="A29" s="157"/>
      <c r="B29" s="153"/>
      <c r="C29" s="153"/>
      <c r="D29" s="153"/>
    </row>
    <row r="30" spans="1:5" x14ac:dyDescent="0.25">
      <c r="A30" s="154" t="s">
        <v>1</v>
      </c>
      <c r="B30" s="154" t="s">
        <v>2</v>
      </c>
      <c r="C30" s="151"/>
      <c r="D30" s="158" t="s">
        <v>56</v>
      </c>
    </row>
    <row r="31" spans="1:5" ht="26.25" customHeight="1" x14ac:dyDescent="0.25">
      <c r="A31" s="151" t="s">
        <v>57</v>
      </c>
      <c r="B31" s="151" t="s">
        <v>58</v>
      </c>
      <c r="C31" s="151"/>
      <c r="D31" s="159" t="s">
        <v>59</v>
      </c>
    </row>
    <row r="32" spans="1:5" x14ac:dyDescent="0.25">
      <c r="A32" s="151" t="s">
        <v>60</v>
      </c>
      <c r="B32" s="151" t="s">
        <v>58</v>
      </c>
      <c r="C32" s="151"/>
      <c r="D32" s="159" t="s">
        <v>61</v>
      </c>
    </row>
    <row r="33" spans="1:4" x14ac:dyDescent="0.25">
      <c r="A33" s="150" t="s">
        <v>62</v>
      </c>
      <c r="B33" s="150" t="s">
        <v>63</v>
      </c>
      <c r="C33" s="160"/>
      <c r="D33" s="159" t="s">
        <v>64</v>
      </c>
    </row>
    <row r="34" spans="1:4" x14ac:dyDescent="0.25">
      <c r="A34" s="150" t="s">
        <v>65</v>
      </c>
      <c r="B34" s="150" t="s">
        <v>66</v>
      </c>
      <c r="C34" s="160"/>
      <c r="D34" s="159" t="s">
        <v>67</v>
      </c>
    </row>
    <row r="35" spans="1:4" x14ac:dyDescent="0.25">
      <c r="A35" s="151" t="s">
        <v>68</v>
      </c>
      <c r="B35" s="151" t="s">
        <v>69</v>
      </c>
      <c r="C35" s="151"/>
      <c r="D35" s="159" t="s">
        <v>70</v>
      </c>
    </row>
    <row r="36" spans="1:4" x14ac:dyDescent="0.25">
      <c r="A36" s="151" t="s">
        <v>71</v>
      </c>
      <c r="B36" s="151" t="s">
        <v>72</v>
      </c>
      <c r="C36" s="151"/>
      <c r="D36" s="159" t="s">
        <v>73</v>
      </c>
    </row>
    <row r="37" spans="1:4" x14ac:dyDescent="0.25">
      <c r="A37" s="151" t="s">
        <v>74</v>
      </c>
      <c r="B37" s="151" t="s">
        <v>75</v>
      </c>
      <c r="C37" s="151"/>
      <c r="D37" s="159" t="s">
        <v>76</v>
      </c>
    </row>
    <row r="38" spans="1:4" x14ac:dyDescent="0.25">
      <c r="A38" s="151" t="s">
        <v>77</v>
      </c>
      <c r="B38" s="151" t="s">
        <v>78</v>
      </c>
      <c r="C38" s="151"/>
      <c r="D38" s="159" t="s">
        <v>79</v>
      </c>
    </row>
    <row r="39" spans="1:4" x14ac:dyDescent="0.25">
      <c r="A39" s="151" t="s">
        <v>80</v>
      </c>
      <c r="B39" s="151" t="s">
        <v>81</v>
      </c>
      <c r="C39" s="151"/>
      <c r="D39" s="159" t="s">
        <v>82</v>
      </c>
    </row>
    <row r="40" spans="1:4" x14ac:dyDescent="0.25">
      <c r="A40" s="151" t="s">
        <v>83</v>
      </c>
      <c r="B40" s="151" t="s">
        <v>84</v>
      </c>
      <c r="C40" s="151"/>
      <c r="D40" s="159" t="s">
        <v>85</v>
      </c>
    </row>
    <row r="41" spans="1:4" x14ac:dyDescent="0.25">
      <c r="A41" s="151" t="s">
        <v>86</v>
      </c>
      <c r="B41" s="151" t="s">
        <v>87</v>
      </c>
      <c r="C41" s="151"/>
      <c r="D41" s="159" t="s">
        <v>88</v>
      </c>
    </row>
    <row r="42" spans="1:4" x14ac:dyDescent="0.25">
      <c r="A42" s="151" t="s">
        <v>89</v>
      </c>
      <c r="B42" s="151" t="s">
        <v>90</v>
      </c>
      <c r="C42" s="151"/>
      <c r="D42" s="159" t="s">
        <v>91</v>
      </c>
    </row>
    <row r="43" spans="1:4" x14ac:dyDescent="0.25">
      <c r="A43" s="151" t="s">
        <v>92</v>
      </c>
      <c r="B43" s="151" t="s">
        <v>93</v>
      </c>
      <c r="C43" s="151"/>
      <c r="D43" s="159" t="s">
        <v>94</v>
      </c>
    </row>
    <row r="44" spans="1:4" x14ac:dyDescent="0.25">
      <c r="A44" s="151" t="s">
        <v>95</v>
      </c>
      <c r="B44" s="151" t="s">
        <v>96</v>
      </c>
      <c r="C44" s="151"/>
      <c r="D44" s="159" t="s">
        <v>97</v>
      </c>
    </row>
    <row r="45" spans="1:4" x14ac:dyDescent="0.25">
      <c r="A45" s="151" t="s">
        <v>98</v>
      </c>
      <c r="B45" s="151" t="s">
        <v>99</v>
      </c>
      <c r="C45" s="151"/>
      <c r="D45" s="159" t="s">
        <v>100</v>
      </c>
    </row>
    <row r="46" spans="1:4" x14ac:dyDescent="0.25">
      <c r="A46" s="151" t="s">
        <v>98</v>
      </c>
      <c r="B46" s="151" t="s">
        <v>101</v>
      </c>
      <c r="C46" s="151"/>
      <c r="D46" s="159" t="s">
        <v>102</v>
      </c>
    </row>
    <row r="47" spans="1:4" x14ac:dyDescent="0.25">
      <c r="A47" s="151" t="s">
        <v>98</v>
      </c>
      <c r="B47" s="151" t="s">
        <v>103</v>
      </c>
      <c r="C47" s="151"/>
      <c r="D47" s="159" t="s">
        <v>104</v>
      </c>
    </row>
    <row r="48" spans="1:4" x14ac:dyDescent="0.25">
      <c r="A48" s="151" t="s">
        <v>98</v>
      </c>
      <c r="B48" s="151" t="s">
        <v>105</v>
      </c>
      <c r="C48" s="151"/>
      <c r="D48" s="159" t="s">
        <v>106</v>
      </c>
    </row>
    <row r="49" spans="1:4" x14ac:dyDescent="0.25">
      <c r="A49" s="151" t="s">
        <v>98</v>
      </c>
      <c r="B49" s="151" t="s">
        <v>107</v>
      </c>
      <c r="C49" s="151"/>
      <c r="D49" s="159" t="s">
        <v>108</v>
      </c>
    </row>
    <row r="50" spans="1:4" x14ac:dyDescent="0.25">
      <c r="A50" s="151" t="s">
        <v>98</v>
      </c>
      <c r="B50" s="151" t="s">
        <v>109</v>
      </c>
      <c r="C50" s="151"/>
      <c r="D50" s="159" t="s">
        <v>110</v>
      </c>
    </row>
    <row r="51" spans="1:4" x14ac:dyDescent="0.25">
      <c r="A51" s="151" t="s">
        <v>98</v>
      </c>
      <c r="B51" s="151" t="s">
        <v>111</v>
      </c>
      <c r="C51" s="151"/>
      <c r="D51" s="159" t="s">
        <v>112</v>
      </c>
    </row>
    <row r="52" spans="1:4" x14ac:dyDescent="0.25">
      <c r="A52" s="151" t="s">
        <v>98</v>
      </c>
      <c r="B52" s="151" t="s">
        <v>113</v>
      </c>
      <c r="C52" s="151"/>
      <c r="D52" s="159" t="s">
        <v>114</v>
      </c>
    </row>
    <row r="53" spans="1:4" x14ac:dyDescent="0.25">
      <c r="A53" s="153" t="s">
        <v>115</v>
      </c>
      <c r="B53" s="153" t="s">
        <v>116</v>
      </c>
      <c r="C53" s="153"/>
      <c r="D53" s="161" t="s">
        <v>117</v>
      </c>
    </row>
    <row r="54" spans="1:4" x14ac:dyDescent="0.25">
      <c r="A54" s="151" t="s">
        <v>118</v>
      </c>
      <c r="B54" s="151" t="s">
        <v>119</v>
      </c>
      <c r="C54" s="151"/>
      <c r="D54" s="159" t="s">
        <v>120</v>
      </c>
    </row>
    <row r="55" spans="1:4" x14ac:dyDescent="0.25">
      <c r="A55" s="143" t="s">
        <v>4</v>
      </c>
      <c r="B55" s="143" t="s">
        <v>5</v>
      </c>
      <c r="C55" s="151"/>
      <c r="D55" s="159" t="s">
        <v>121</v>
      </c>
    </row>
    <row r="56" spans="1:4" x14ac:dyDescent="0.25">
      <c r="A56" s="162" t="s">
        <v>122</v>
      </c>
      <c r="B56" s="162" t="s">
        <v>123</v>
      </c>
      <c r="C56" s="151"/>
      <c r="D56" s="159" t="s">
        <v>124</v>
      </c>
    </row>
    <row r="57" spans="1:4" x14ac:dyDescent="0.25">
      <c r="A57" s="151" t="s">
        <v>125</v>
      </c>
      <c r="B57" s="151" t="s">
        <v>126</v>
      </c>
      <c r="C57" s="151"/>
      <c r="D57" s="159" t="s">
        <v>127</v>
      </c>
    </row>
    <row r="58" spans="1:4" x14ac:dyDescent="0.25">
      <c r="A58" s="151" t="s">
        <v>128</v>
      </c>
      <c r="B58" s="151" t="s">
        <v>129</v>
      </c>
      <c r="C58" s="151"/>
      <c r="D58" s="159" t="s">
        <v>130</v>
      </c>
    </row>
    <row r="59" spans="1:4" x14ac:dyDescent="0.25">
      <c r="A59" s="151" t="s">
        <v>131</v>
      </c>
      <c r="B59" s="151" t="s">
        <v>132</v>
      </c>
      <c r="C59" s="151"/>
      <c r="D59" s="159" t="s">
        <v>133</v>
      </c>
    </row>
    <row r="60" spans="1:4" x14ac:dyDescent="0.25">
      <c r="A60" s="151" t="s">
        <v>134</v>
      </c>
      <c r="B60" s="151" t="s">
        <v>135</v>
      </c>
      <c r="C60" s="151"/>
      <c r="D60" s="159" t="s">
        <v>136</v>
      </c>
    </row>
    <row r="61" spans="1:4" x14ac:dyDescent="0.25">
      <c r="A61" s="151" t="s">
        <v>137</v>
      </c>
      <c r="B61" s="151" t="s">
        <v>138</v>
      </c>
      <c r="C61" s="151"/>
      <c r="D61" s="159" t="s">
        <v>139</v>
      </c>
    </row>
    <row r="62" spans="1:4" x14ac:dyDescent="0.25">
      <c r="A62" s="151" t="s">
        <v>140</v>
      </c>
      <c r="B62" s="151" t="s">
        <v>141</v>
      </c>
      <c r="C62" s="151"/>
      <c r="D62" s="159" t="s">
        <v>142</v>
      </c>
    </row>
    <row r="63" spans="1:4" x14ac:dyDescent="0.25">
      <c r="A63" s="151" t="s">
        <v>143</v>
      </c>
      <c r="B63" s="151" t="s">
        <v>144</v>
      </c>
      <c r="C63" s="151"/>
      <c r="D63" s="159" t="s">
        <v>145</v>
      </c>
    </row>
    <row r="64" spans="1:4" x14ac:dyDescent="0.25">
      <c r="A64" s="151" t="s">
        <v>146</v>
      </c>
      <c r="B64" s="151" t="s">
        <v>147</v>
      </c>
      <c r="C64" s="151"/>
      <c r="D64" s="159" t="s">
        <v>148</v>
      </c>
    </row>
    <row r="65" spans="1:4" x14ac:dyDescent="0.25">
      <c r="A65" s="143" t="s">
        <v>149</v>
      </c>
      <c r="B65" s="143" t="s">
        <v>13</v>
      </c>
      <c r="D65" s="159" t="s">
        <v>150</v>
      </c>
    </row>
  </sheetData>
  <mergeCells count="1">
    <mergeCell ref="A17:B17"/>
  </mergeCells>
  <conditionalFormatting sqref="B53">
    <cfRule type="duplicateValues" dxfId="26" priority="3"/>
  </conditionalFormatting>
  <conditionalFormatting sqref="B55:B56">
    <cfRule type="duplicateValues" dxfId="25" priority="2"/>
  </conditionalFormatting>
  <conditionalFormatting sqref="B65">
    <cfRule type="duplicateValues" dxfId="24" priority="1"/>
  </conditionalFormatting>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AK91"/>
  <sheetViews>
    <sheetView topLeftCell="A64" zoomScale="80" zoomScaleNormal="80" workbookViewId="0">
      <selection activeCell="B104" sqref="B104"/>
    </sheetView>
  </sheetViews>
  <sheetFormatPr defaultRowHeight="15" x14ac:dyDescent="0.25"/>
  <cols>
    <col min="1" max="1" width="25.85546875" style="312" customWidth="1"/>
    <col min="2" max="2" width="9.85546875" style="312" bestFit="1" customWidth="1"/>
    <col min="3" max="3" width="10" style="312" customWidth="1"/>
    <col min="4" max="5" width="9.85546875" style="312" bestFit="1" customWidth="1"/>
    <col min="6" max="6" width="10.28515625" style="312" customWidth="1"/>
    <col min="7" max="7" width="13.5703125" style="312" customWidth="1"/>
    <col min="8" max="8" width="15.7109375" style="312" customWidth="1"/>
    <col min="9" max="9" width="15.28515625" style="312" customWidth="1"/>
    <col min="10" max="10" width="13.28515625" style="312" customWidth="1"/>
    <col min="11" max="11" width="16.7109375" style="312" customWidth="1"/>
    <col min="12" max="12" width="10.140625" style="312" bestFit="1" customWidth="1"/>
    <col min="13" max="13" width="10.7109375" style="312" customWidth="1"/>
    <col min="14" max="14" width="10.140625" style="312" bestFit="1" customWidth="1"/>
    <col min="15" max="15" width="9.85546875" style="312" customWidth="1"/>
    <col min="16" max="20" width="10.140625" style="312" bestFit="1" customWidth="1"/>
    <col min="21" max="21" width="9.85546875" style="312" bestFit="1" customWidth="1"/>
    <col min="22" max="22" width="10.140625" style="312" bestFit="1" customWidth="1"/>
    <col min="23" max="23" width="9.140625" style="312"/>
    <col min="24" max="24" width="34.5703125" style="312" customWidth="1"/>
    <col min="25" max="25" width="17.140625" style="312" customWidth="1"/>
    <col min="26" max="26" width="22" style="312" customWidth="1"/>
    <col min="27" max="27" width="9.85546875" style="312" bestFit="1" customWidth="1"/>
    <col min="28" max="33" width="9.140625" style="312"/>
    <col min="34" max="35" width="10.140625" style="312" bestFit="1" customWidth="1"/>
    <col min="36" max="36" width="9.140625" style="312"/>
    <col min="37" max="37" width="12.28515625" style="312" bestFit="1" customWidth="1"/>
    <col min="38" max="244" width="9.140625" style="312"/>
    <col min="245" max="245" width="16" style="312" customWidth="1"/>
    <col min="246" max="500" width="9.140625" style="312"/>
    <col min="501" max="501" width="16" style="312" customWidth="1"/>
    <col min="502" max="756" width="9.140625" style="312"/>
    <col min="757" max="757" width="16" style="312" customWidth="1"/>
    <col min="758" max="1012" width="9.140625" style="312"/>
    <col min="1013" max="1013" width="16" style="312" customWidth="1"/>
    <col min="1014" max="1268" width="9.140625" style="312"/>
    <col min="1269" max="1269" width="16" style="312" customWidth="1"/>
    <col min="1270" max="1524" width="9.140625" style="312"/>
    <col min="1525" max="1525" width="16" style="312" customWidth="1"/>
    <col min="1526" max="1780" width="9.140625" style="312"/>
    <col min="1781" max="1781" width="16" style="312" customWidth="1"/>
    <col min="1782" max="2036" width="9.140625" style="312"/>
    <col min="2037" max="2037" width="16" style="312" customWidth="1"/>
    <col min="2038" max="2292" width="9.140625" style="312"/>
    <col min="2293" max="2293" width="16" style="312" customWidth="1"/>
    <col min="2294" max="2548" width="9.140625" style="312"/>
    <col min="2549" max="2549" width="16" style="312" customWidth="1"/>
    <col min="2550" max="2804" width="9.140625" style="312"/>
    <col min="2805" max="2805" width="16" style="312" customWidth="1"/>
    <col min="2806" max="3060" width="9.140625" style="312"/>
    <col min="3061" max="3061" width="16" style="312" customWidth="1"/>
    <col min="3062" max="3316" width="9.140625" style="312"/>
    <col min="3317" max="3317" width="16" style="312" customWidth="1"/>
    <col min="3318" max="3572" width="9.140625" style="312"/>
    <col min="3573" max="3573" width="16" style="312" customWidth="1"/>
    <col min="3574" max="3828" width="9.140625" style="312"/>
    <col min="3829" max="3829" width="16" style="312" customWidth="1"/>
    <col min="3830" max="4084" width="9.140625" style="312"/>
    <col min="4085" max="4085" width="16" style="312" customWidth="1"/>
    <col min="4086" max="4340" width="9.140625" style="312"/>
    <col min="4341" max="4341" width="16" style="312" customWidth="1"/>
    <col min="4342" max="4596" width="9.140625" style="312"/>
    <col min="4597" max="4597" width="16" style="312" customWidth="1"/>
    <col min="4598" max="4852" width="9.140625" style="312"/>
    <col min="4853" max="4853" width="16" style="312" customWidth="1"/>
    <col min="4854" max="5108" width="9.140625" style="312"/>
    <col min="5109" max="5109" width="16" style="312" customWidth="1"/>
    <col min="5110" max="5364" width="9.140625" style="312"/>
    <col min="5365" max="5365" width="16" style="312" customWidth="1"/>
    <col min="5366" max="5620" width="9.140625" style="312"/>
    <col min="5621" max="5621" width="16" style="312" customWidth="1"/>
    <col min="5622" max="5876" width="9.140625" style="312"/>
    <col min="5877" max="5877" width="16" style="312" customWidth="1"/>
    <col min="5878" max="6132" width="9.140625" style="312"/>
    <col min="6133" max="6133" width="16" style="312" customWidth="1"/>
    <col min="6134" max="6388" width="9.140625" style="312"/>
    <col min="6389" max="6389" width="16" style="312" customWidth="1"/>
    <col min="6390" max="6644" width="9.140625" style="312"/>
    <col min="6645" max="6645" width="16" style="312" customWidth="1"/>
    <col min="6646" max="6900" width="9.140625" style="312"/>
    <col min="6901" max="6901" width="16" style="312" customWidth="1"/>
    <col min="6902" max="7156" width="9.140625" style="312"/>
    <col min="7157" max="7157" width="16" style="312" customWidth="1"/>
    <col min="7158" max="7412" width="9.140625" style="312"/>
    <col min="7413" max="7413" width="16" style="312" customWidth="1"/>
    <col min="7414" max="7668" width="9.140625" style="312"/>
    <col min="7669" max="7669" width="16" style="312" customWidth="1"/>
    <col min="7670" max="7924" width="9.140625" style="312"/>
    <col min="7925" max="7925" width="16" style="312" customWidth="1"/>
    <col min="7926" max="8180" width="9.140625" style="312"/>
    <col min="8181" max="8181" width="16" style="312" customWidth="1"/>
    <col min="8182" max="8436" width="9.140625" style="312"/>
    <col min="8437" max="8437" width="16" style="312" customWidth="1"/>
    <col min="8438" max="8692" width="9.140625" style="312"/>
    <col min="8693" max="8693" width="16" style="312" customWidth="1"/>
    <col min="8694" max="8948" width="9.140625" style="312"/>
    <col min="8949" max="8949" width="16" style="312" customWidth="1"/>
    <col min="8950" max="9204" width="9.140625" style="312"/>
    <col min="9205" max="9205" width="16" style="312" customWidth="1"/>
    <col min="9206" max="9460" width="9.140625" style="312"/>
    <col min="9461" max="9461" width="16" style="312" customWidth="1"/>
    <col min="9462" max="9716" width="9.140625" style="312"/>
    <col min="9717" max="9717" width="16" style="312" customWidth="1"/>
    <col min="9718" max="9972" width="9.140625" style="312"/>
    <col min="9973" max="9973" width="16" style="312" customWidth="1"/>
    <col min="9974" max="10228" width="9.140625" style="312"/>
    <col min="10229" max="10229" width="16" style="312" customWidth="1"/>
    <col min="10230" max="10484" width="9.140625" style="312"/>
    <col min="10485" max="10485" width="16" style="312" customWidth="1"/>
    <col min="10486" max="10740" width="9.140625" style="312"/>
    <col min="10741" max="10741" width="16" style="312" customWidth="1"/>
    <col min="10742" max="10996" width="9.140625" style="312"/>
    <col min="10997" max="10997" width="16" style="312" customWidth="1"/>
    <col min="10998" max="11252" width="9.140625" style="312"/>
    <col min="11253" max="11253" width="16" style="312" customWidth="1"/>
    <col min="11254" max="11508" width="9.140625" style="312"/>
    <col min="11509" max="11509" width="16" style="312" customWidth="1"/>
    <col min="11510" max="11764" width="9.140625" style="312"/>
    <col min="11765" max="11765" width="16" style="312" customWidth="1"/>
    <col min="11766" max="12020" width="9.140625" style="312"/>
    <col min="12021" max="12021" width="16" style="312" customWidth="1"/>
    <col min="12022" max="12276" width="9.140625" style="312"/>
    <col min="12277" max="12277" width="16" style="312" customWidth="1"/>
    <col min="12278" max="12532" width="9.140625" style="312"/>
    <col min="12533" max="12533" width="16" style="312" customWidth="1"/>
    <col min="12534" max="12788" width="9.140625" style="312"/>
    <col min="12789" max="12789" width="16" style="312" customWidth="1"/>
    <col min="12790" max="13044" width="9.140625" style="312"/>
    <col min="13045" max="13045" width="16" style="312" customWidth="1"/>
    <col min="13046" max="13300" width="9.140625" style="312"/>
    <col min="13301" max="13301" width="16" style="312" customWidth="1"/>
    <col min="13302" max="13556" width="9.140625" style="312"/>
    <col min="13557" max="13557" width="16" style="312" customWidth="1"/>
    <col min="13558" max="13812" width="9.140625" style="312"/>
    <col min="13813" max="13813" width="16" style="312" customWidth="1"/>
    <col min="13814" max="14068" width="9.140625" style="312"/>
    <col min="14069" max="14069" width="16" style="312" customWidth="1"/>
    <col min="14070" max="14324" width="9.140625" style="312"/>
    <col min="14325" max="14325" width="16" style="312" customWidth="1"/>
    <col min="14326" max="14580" width="9.140625" style="312"/>
    <col min="14581" max="14581" width="16" style="312" customWidth="1"/>
    <col min="14582" max="14836" width="9.140625" style="312"/>
    <col min="14837" max="14837" width="16" style="312" customWidth="1"/>
    <col min="14838" max="15092" width="9.140625" style="312"/>
    <col min="15093" max="15093" width="16" style="312" customWidth="1"/>
    <col min="15094" max="15348" width="9.140625" style="312"/>
    <col min="15349" max="15349" width="16" style="312" customWidth="1"/>
    <col min="15350" max="15604" width="9.140625" style="312"/>
    <col min="15605" max="15605" width="16" style="312" customWidth="1"/>
    <col min="15606" max="15860" width="9.140625" style="312"/>
    <col min="15861" max="15861" width="16" style="312" customWidth="1"/>
    <col min="15862" max="16116" width="9.140625" style="312"/>
    <col min="16117" max="16117" width="16" style="312" customWidth="1"/>
    <col min="16118" max="16384" width="9.140625" style="312"/>
  </cols>
  <sheetData>
    <row r="1" spans="1:37" x14ac:dyDescent="0.25">
      <c r="A1" s="311" t="s">
        <v>2</v>
      </c>
      <c r="D1" s="313" t="s">
        <v>1381</v>
      </c>
      <c r="E1" s="313"/>
      <c r="I1" s="314"/>
    </row>
    <row r="2" spans="1:37" x14ac:dyDescent="0.25">
      <c r="A2" s="315" t="str">
        <f>'Redovisning för kunder'!B7</f>
        <v>Ludvika</v>
      </c>
      <c r="B2" s="316"/>
      <c r="D2" s="317" t="str">
        <f>IF(VLOOKUP($A$2,'Miljövrärden urval för publ'!$B$2:$U$500,MATCH("Visa se länk istället för miljövärden i publiceringsfilen: (sätt kryss manuellt)",'Miljövrärden urval för publ'!$B$2:$R$2,0),FALSE)="x","Nej","Ja")</f>
        <v>Ja</v>
      </c>
      <c r="I2" s="318" t="s">
        <v>1382</v>
      </c>
      <c r="J2" s="318"/>
      <c r="K2" s="318" t="str">
        <f>'Redovisning för kunder'!$B$4</f>
        <v>Västerbergslagens Energi AB</v>
      </c>
    </row>
    <row r="3" spans="1:37" x14ac:dyDescent="0.25">
      <c r="I3" s="318" t="s">
        <v>1383</v>
      </c>
      <c r="J3" s="318"/>
      <c r="K3" s="318" t="str">
        <f>INDEX('Miljövärden för publ företag'!$B$4:$C$362,MATCH(A2,'Miljövärden för publ företag'!$C$4:$C$362,0),1)</f>
        <v>Västerbergslagens Energi AB</v>
      </c>
      <c r="L3" s="319"/>
    </row>
    <row r="4" spans="1:37" x14ac:dyDescent="0.25">
      <c r="I4" s="318" t="s">
        <v>1384</v>
      </c>
      <c r="J4" s="318"/>
      <c r="K4" s="318" t="str">
        <f>IF(A2="Välj nät:","ja",IFERROR(IF(K2=K3,"ja","nej"),"nej"))</f>
        <v>ja</v>
      </c>
    </row>
    <row r="5" spans="1:37" ht="18.75" x14ac:dyDescent="0.3">
      <c r="A5" s="320" t="s">
        <v>1385</v>
      </c>
      <c r="B5" s="321"/>
      <c r="C5" s="321"/>
      <c r="D5" s="321"/>
      <c r="I5" s="314"/>
    </row>
    <row r="6" spans="1:37" s="322" customFormat="1" x14ac:dyDescent="0.25"/>
    <row r="7" spans="1:37" ht="102" x14ac:dyDescent="0.25">
      <c r="A7" s="323" t="s">
        <v>1256</v>
      </c>
      <c r="B7" s="323" t="s">
        <v>791</v>
      </c>
      <c r="C7" s="323" t="s">
        <v>1328</v>
      </c>
      <c r="D7" s="323" t="s">
        <v>783</v>
      </c>
      <c r="E7" s="323" t="s">
        <v>748</v>
      </c>
      <c r="F7" s="323" t="s">
        <v>1340</v>
      </c>
      <c r="G7" s="323" t="s">
        <v>747</v>
      </c>
      <c r="H7" s="123" t="s">
        <v>772</v>
      </c>
      <c r="I7" s="324" t="s">
        <v>1325</v>
      </c>
      <c r="J7" s="323" t="s">
        <v>1271</v>
      </c>
      <c r="K7" s="323" t="s">
        <v>1326</v>
      </c>
      <c r="L7" s="323" t="s">
        <v>1329</v>
      </c>
      <c r="M7" s="323" t="s">
        <v>1330</v>
      </c>
      <c r="N7" s="323" t="s">
        <v>1331</v>
      </c>
      <c r="O7" s="323" t="s">
        <v>1342</v>
      </c>
      <c r="P7" s="323" t="s">
        <v>1335</v>
      </c>
      <c r="Q7" s="323" t="s">
        <v>1334</v>
      </c>
      <c r="R7" s="323" t="s">
        <v>1336</v>
      </c>
      <c r="S7" s="323" t="s">
        <v>1341</v>
      </c>
      <c r="T7" s="323" t="s">
        <v>834</v>
      </c>
      <c r="U7" s="323" t="s">
        <v>845</v>
      </c>
      <c r="V7" s="323" t="s">
        <v>1339</v>
      </c>
      <c r="W7" s="323" t="s">
        <v>1332</v>
      </c>
      <c r="X7" s="323" t="s">
        <v>1327</v>
      </c>
      <c r="Y7" s="323" t="s">
        <v>1337</v>
      </c>
      <c r="Z7" s="323" t="s">
        <v>1338</v>
      </c>
      <c r="AA7" s="323" t="s">
        <v>1254</v>
      </c>
      <c r="AB7" s="323" t="s">
        <v>807</v>
      </c>
      <c r="AC7" s="323" t="s">
        <v>1265</v>
      </c>
      <c r="AD7" s="324" t="s">
        <v>1333</v>
      </c>
      <c r="AE7" s="324" t="s">
        <v>1344</v>
      </c>
      <c r="AF7" s="325"/>
      <c r="AG7" s="326" t="s">
        <v>1386</v>
      </c>
      <c r="AH7" s="327" t="s">
        <v>1387</v>
      </c>
      <c r="AI7" s="327" t="s">
        <v>1227</v>
      </c>
      <c r="AJ7" s="327"/>
      <c r="AK7" s="328" t="s">
        <v>1388</v>
      </c>
    </row>
    <row r="8" spans="1:37" x14ac:dyDescent="0.25">
      <c r="A8" s="329">
        <f>IF($K$4="nej","",VLOOKUP($A$2,Totalt!$B$1:$BW$541,MATCH(A$7,Totalt!$B$1:$BQ$1,0),FALSE))</f>
        <v>0</v>
      </c>
      <c r="B8" s="329">
        <f>IF($K$4="nej","",VLOOKUP($A$2,Totalt!$B$1:$BW$541,MATCH(B$7,Totalt!$B$1:$BQ$1,0),FALSE))</f>
        <v>2.5579999999999998</v>
      </c>
      <c r="C8" s="329">
        <f>IF($K$4="nej","",VLOOKUP($A$2,Totalt!$B$1:$BW$541,MATCH(C$7,Totalt!$B$1:$BQ$1,0),FALSE))</f>
        <v>0</v>
      </c>
      <c r="D8" s="329">
        <f>IF($K$4="nej","",VLOOKUP($A$2,Totalt!$B$1:$BW$541,MATCH(D$7,Totalt!$B$1:$BQ$1,0),FALSE))</f>
        <v>0</v>
      </c>
      <c r="E8" s="329">
        <f>IF($K$4="nej","",VLOOKUP($A$2,Totalt!$B$1:$BW$541,MATCH(E$7,Totalt!$B$1:$BQ$1,0),FALSE))</f>
        <v>0</v>
      </c>
      <c r="F8" s="329">
        <f>IF($K$4="nej","",VLOOKUP($A$2,Totalt!$B$1:$BW$541,MATCH(F$7,Totalt!$B$1:$BQ$1,0),FALSE))</f>
        <v>0</v>
      </c>
      <c r="G8" s="329">
        <f>IF($K$4="nej","",VLOOKUP($A$2,Totalt!$B$1:$BW$541,MATCH(G$7,Totalt!$B$1:$BQ$1,0),FALSE))</f>
        <v>0</v>
      </c>
      <c r="H8" s="329">
        <f>IF($K$4="nej","",VLOOKUP($A$2,Totalt!$B$1:$BW$541,MATCH(H$7,Totalt!$B$1:$BQ$1,0),FALSE))</f>
        <v>0</v>
      </c>
      <c r="I8" s="329">
        <f>IF($K$4="nej","",VLOOKUP($A$2,Totalt!$B$1:$BW$541,MATCH(I$7,Totalt!$B$1:$BQ$1,0),FALSE))</f>
        <v>0</v>
      </c>
      <c r="J8" s="329">
        <f>IF($K$4="nej","",VLOOKUP($A$2,Totalt!$B$1:$BW$541,MATCH(J$7,Totalt!$B$1:$BQ$1,0),FALSE))</f>
        <v>77.911000000000001</v>
      </c>
      <c r="K8" s="329">
        <f>IF($K$4="nej","",VLOOKUP($A$2,Totalt!$B$1:$BW$541,MATCH(K$7,Totalt!$B$1:$BQ$1,0),FALSE))</f>
        <v>9.0370000000000008</v>
      </c>
      <c r="L8" s="329">
        <f>IF($K$4="nej","",VLOOKUP($A$2,Totalt!$B$1:$BW$541,MATCH(L$7,Totalt!$B$1:$BQ$1,0),FALSE))</f>
        <v>1.6679999999999999</v>
      </c>
      <c r="M8" s="329">
        <f>IF($K$4="nej","",VLOOKUP($A$2,Totalt!$B$1:$BW$541,MATCH(M$7,Totalt!$B$1:$BQ$1,0),FALSE))</f>
        <v>1.514</v>
      </c>
      <c r="N8" s="329">
        <f>IF($K$4="nej","",VLOOKUP($A$2,Totalt!$B$1:$BW$541,MATCH(N$7,Totalt!$B$1:$BQ$1,0),FALSE))</f>
        <v>6.58</v>
      </c>
      <c r="O8" s="329">
        <f>IF($K$4="nej","",VLOOKUP($A$2,Totalt!$B$1:$BW$541,MATCH(O$7,Totalt!$B$1:$BQ$1,0),FALSE))</f>
        <v>0</v>
      </c>
      <c r="P8" s="329">
        <f>IF($K$4="nej","",VLOOKUP($A$2,Totalt!$B$1:$BW$541,MATCH(P$7,Totalt!$B$1:$BQ$1,0),FALSE))</f>
        <v>0</v>
      </c>
      <c r="Q8" s="329">
        <f>IF($K$4="nej","",VLOOKUP($A$2,Totalt!$B$1:$BW$541,MATCH(Q$7,Totalt!$B$1:$BQ$1,0),FALSE))</f>
        <v>0</v>
      </c>
      <c r="R8" s="329">
        <f>IF($K$4="nej","",VLOOKUP($A$2,Totalt!$B$1:$BW$541,MATCH(R$7,Totalt!$B$1:$BQ$1,0),FALSE))</f>
        <v>0</v>
      </c>
      <c r="S8" s="329">
        <f>IF($K$4="nej","",VLOOKUP($A$2,Totalt!$B$1:$BW$541,MATCH(S$7,Totalt!$B$1:$BQ$1,0),FALSE))</f>
        <v>0</v>
      </c>
      <c r="T8" s="329">
        <f>IF($K$4="nej","",VLOOKUP($A$2,Totalt!$B$1:$BW$541,MATCH(T$7,Totalt!$B$1:$BQ$1,0),FALSE))</f>
        <v>0</v>
      </c>
      <c r="U8" s="329">
        <f>IF($K$4="nej","",VLOOKUP($A$2,Totalt!$B$1:$BW$541,MATCH(U$7,Totalt!$B$1:$BQ$1,0),FALSE))</f>
        <v>10.776</v>
      </c>
      <c r="V8" s="329">
        <f>IF($K$4="nej","",VLOOKUP($A$2,Totalt!$B$1:$BW$541,MATCH(V$7,Totalt!$B$1:$BQ$1,0),FALSE))</f>
        <v>0</v>
      </c>
      <c r="W8" s="329">
        <f>IF($K$4="nej","",VLOOKUP($A$2,Totalt!$B$1:$BW$541,MATCH(W$7,Totalt!$B$1:$BQ$1,0),FALSE))</f>
        <v>0</v>
      </c>
      <c r="X8" s="329">
        <f>IF($K$4="nej","",VLOOKUP($A$2,Totalt!$B$1:$BW$541,MATCH(X$7,Totalt!$B$1:$BQ$1,0),FALSE))</f>
        <v>3.0000000000000001E-3</v>
      </c>
      <c r="Y8" s="329">
        <f>IF($K$4="nej","",VLOOKUP($A$2,Totalt!$B$1:$BW$541,MATCH(Y$7,Totalt!$B$1:$BQ$1,0),FALSE))</f>
        <v>0</v>
      </c>
      <c r="Z8" s="329">
        <f>IF($K$4="nej","",VLOOKUP($A$2,Totalt!$B$1:$BW$541,MATCH(Z$7,Totalt!$B$1:$BQ$1,0),FALSE))</f>
        <v>0</v>
      </c>
      <c r="AA8" s="329">
        <f>IF($K$4="nej","",VLOOKUP($A$2,Totalt!$B$1:$BW$541,MATCH(AA$7,Totalt!$B$1:$BQ$1,0),FALSE))</f>
        <v>15.694000000000001</v>
      </c>
      <c r="AB8" s="329">
        <f>IF($K$4="nej","",VLOOKUP($A$2,Totalt!$B$1:$BW$541,MATCH(AB$7,Totalt!$B$1:$BQ$1,0),FALSE))</f>
        <v>1.349</v>
      </c>
      <c r="AC8" s="329">
        <f>IF($K$4="nej","",VLOOKUP($A$2,Totalt!$B$1:$BW$541,MATCH(AC$7,Totalt!$B$1:$BQ$1,0),FALSE))</f>
        <v>0</v>
      </c>
      <c r="AD8" s="329">
        <f>IF($K$4="nej","",VLOOKUP($A$2,Totalt!$B$1:$BW$541,MATCH(AD$7,Totalt!$B$1:$BQ$1,0),FALSE))</f>
        <v>4.0830000000000002</v>
      </c>
      <c r="AE8" s="329">
        <f>IF($K$4="nej","",VLOOKUP($A$2,Totalt!$B$1:$BW$541,MATCH(AE$7,Totalt!$B$1:$BQ$1,0),FALSE))</f>
        <v>0</v>
      </c>
      <c r="AF8" s="330"/>
      <c r="AG8" s="312">
        <f>SUM(A8:AE8)</f>
        <v>131.173</v>
      </c>
      <c r="AH8" s="312">
        <f>VLOOKUP($A$2,Totalt!$B$1:$BW$541,MATCH("Totalt tillförd energi:",Totalt!$B$1:$BQ$1,0),FALSE)</f>
        <v>131.173</v>
      </c>
      <c r="AI8" s="312">
        <f>AG8-AH8</f>
        <v>0</v>
      </c>
      <c r="AK8" s="331">
        <f>X8+Y8+AD8</f>
        <v>4.0860000000000003</v>
      </c>
    </row>
    <row r="9" spans="1:37" s="325" customFormat="1" ht="56.25" customHeight="1" x14ac:dyDescent="0.25">
      <c r="B9" s="332" t="s">
        <v>1389</v>
      </c>
      <c r="C9" s="332" t="s">
        <v>1389</v>
      </c>
      <c r="D9" s="332" t="s">
        <v>1389</v>
      </c>
      <c r="H9" s="332"/>
      <c r="I9" s="332"/>
      <c r="J9" s="332"/>
      <c r="K9" s="332" t="s">
        <v>769</v>
      </c>
      <c r="L9" s="332" t="s">
        <v>769</v>
      </c>
      <c r="M9" s="332" t="s">
        <v>769</v>
      </c>
      <c r="N9" s="332" t="s">
        <v>769</v>
      </c>
      <c r="O9" s="332" t="s">
        <v>769</v>
      </c>
      <c r="P9" s="332" t="s">
        <v>1355</v>
      </c>
      <c r="Q9" s="332" t="s">
        <v>1355</v>
      </c>
      <c r="R9" s="332" t="s">
        <v>1355</v>
      </c>
      <c r="S9" s="332" t="s">
        <v>1355</v>
      </c>
      <c r="T9" s="332" t="s">
        <v>1390</v>
      </c>
      <c r="U9" s="332" t="s">
        <v>1390</v>
      </c>
      <c r="V9" s="332" t="s">
        <v>780</v>
      </c>
      <c r="W9" s="332"/>
      <c r="X9" s="332" t="s">
        <v>1354</v>
      </c>
      <c r="Y9" s="332" t="s">
        <v>1354</v>
      </c>
      <c r="Z9" s="322"/>
      <c r="AA9" s="322"/>
      <c r="AB9" s="322"/>
      <c r="AC9" s="332" t="s">
        <v>1391</v>
      </c>
      <c r="AD9" s="332" t="s">
        <v>1354</v>
      </c>
      <c r="AE9" s="332" t="s">
        <v>1392</v>
      </c>
    </row>
    <row r="10" spans="1:37" s="325" customFormat="1" x14ac:dyDescent="0.25"/>
    <row r="11" spans="1:37" s="325" customFormat="1" x14ac:dyDescent="0.25"/>
    <row r="12" spans="1:37" s="325" customFormat="1" x14ac:dyDescent="0.25"/>
    <row r="13" spans="1:37" s="325" customFormat="1" ht="18.75" x14ac:dyDescent="0.3">
      <c r="A13" s="320" t="s">
        <v>1393</v>
      </c>
    </row>
    <row r="14" spans="1:37" s="325" customFormat="1" x14ac:dyDescent="0.25"/>
    <row r="15" spans="1:37" s="325" customFormat="1" ht="40.5" customHeight="1" x14ac:dyDescent="0.25">
      <c r="A15" s="333" t="s">
        <v>1394</v>
      </c>
      <c r="B15" s="334"/>
      <c r="C15" s="334"/>
      <c r="D15" s="334"/>
      <c r="E15" s="334"/>
      <c r="F15" s="334"/>
      <c r="G15" s="335"/>
      <c r="H15" s="336"/>
      <c r="I15" s="411" t="s">
        <v>1395</v>
      </c>
      <c r="J15" s="412"/>
      <c r="K15" s="413"/>
    </row>
    <row r="16" spans="1:37" s="325" customFormat="1" ht="60" x14ac:dyDescent="0.25">
      <c r="A16" s="337" t="s">
        <v>1211</v>
      </c>
      <c r="B16" s="338" t="s">
        <v>1396</v>
      </c>
      <c r="C16" s="338"/>
      <c r="D16" s="338"/>
      <c r="E16" s="339" t="s">
        <v>1397</v>
      </c>
      <c r="F16" s="339" t="s">
        <v>1398</v>
      </c>
      <c r="G16" s="340" t="s">
        <v>1399</v>
      </c>
      <c r="I16" s="341" t="s">
        <v>1212</v>
      </c>
      <c r="J16" s="342" t="s">
        <v>1214</v>
      </c>
      <c r="K16" s="343" t="s">
        <v>1400</v>
      </c>
      <c r="L16" s="326"/>
      <c r="M16" s="326"/>
      <c r="N16" s="326"/>
    </row>
    <row r="17" spans="1:25" s="325" customFormat="1" x14ac:dyDescent="0.25">
      <c r="A17" s="325" t="str">
        <f>IF($K$4="nej","",VLOOKUP($A$2,Miljö!$B$1:$AK$550,MATCH(A16,Miljö!$B$1:$AF$1,0),FALSE))</f>
        <v>Ja</v>
      </c>
      <c r="B17" s="325" t="str">
        <f>IF($K$4="nej","",IF(A17="ja",VLOOKUP($A$2,Miljö!$B$1:$AK$550,MATCH("Typ av ursprungsspecificerad el   (Om inget värde anges används Nordisk residualmix, se inforuta) ()",Miljö!$B$1:$AF$1,0),FALSE),"Nordisk residual"))</f>
        <v>'EPD Vattenflls vindkraft'</v>
      </c>
      <c r="E17" s="344">
        <f>IF($K$4="nej","",VLOOKUP($A$2,Miljö!$B$1:$AK$550,MATCH("Fossilandel för ursprungspecificerad el ()",Miljö!$B$1:$AF$1,0),FALSE))</f>
        <v>0</v>
      </c>
      <c r="F17" s="344">
        <f>IF($K$4="nej","",1-E17-G17)</f>
        <v>1</v>
      </c>
      <c r="G17" s="344">
        <f>IF($K$4="nej","",VLOOKUP($A$2,Miljö!$B$1:$AK$550,MATCH("Kärnkraftsandel för ursprungsspecificerad el ()",Miljö!$B$1:$AF$1,0),FALSE))</f>
        <v>0</v>
      </c>
      <c r="I17" s="325" t="str">
        <f>IF($K$4="nej","",IF(AE8&gt;0,"Ja","Nej"))</f>
        <v>Nej</v>
      </c>
      <c r="J17" s="344">
        <f>IF($K$4="nej","",IF(I17="ja",VLOOKUP($A$2,Miljö!$B$1:$AK$550,MATCH(J16,Miljö!$B$1:$AF$1,0),FALSE),0))</f>
        <v>0</v>
      </c>
      <c r="K17" s="344">
        <f>IF($K$4="nej","",IF(I17="ja",1-J17,0))</f>
        <v>0</v>
      </c>
    </row>
    <row r="18" spans="1:25" s="325" customFormat="1" x14ac:dyDescent="0.25"/>
    <row r="19" spans="1:25" s="325" customFormat="1" x14ac:dyDescent="0.25"/>
    <row r="20" spans="1:25" s="325" customFormat="1" x14ac:dyDescent="0.25"/>
    <row r="21" spans="1:25" s="325" customFormat="1" ht="18.75" x14ac:dyDescent="0.3">
      <c r="A21" s="320" t="s">
        <v>1401</v>
      </c>
    </row>
    <row r="22" spans="1:25" s="325" customFormat="1" x14ac:dyDescent="0.25"/>
    <row r="24" spans="1:25" x14ac:dyDescent="0.25">
      <c r="A24" s="414" t="s">
        <v>1402</v>
      </c>
      <c r="B24" s="415"/>
      <c r="C24" s="415"/>
      <c r="D24" s="415"/>
      <c r="E24" s="416"/>
      <c r="F24" s="414" t="s">
        <v>1403</v>
      </c>
      <c r="G24" s="415"/>
      <c r="H24" s="415"/>
      <c r="I24" s="415"/>
      <c r="J24" s="415"/>
      <c r="K24" s="415"/>
      <c r="L24" s="416"/>
      <c r="M24" s="414" t="s">
        <v>1404</v>
      </c>
      <c r="N24" s="415"/>
      <c r="O24" s="415"/>
      <c r="P24" s="417" t="s">
        <v>1405</v>
      </c>
      <c r="Q24" s="418"/>
      <c r="R24" s="418"/>
      <c r="S24" s="418"/>
      <c r="T24" s="418"/>
      <c r="U24" s="418"/>
      <c r="V24" s="419"/>
      <c r="W24" s="345"/>
      <c r="X24" s="414" t="s">
        <v>1243</v>
      </c>
      <c r="Y24" s="416"/>
    </row>
    <row r="25" spans="1:25" ht="105" x14ac:dyDescent="0.25">
      <c r="A25" s="346" t="s">
        <v>1355</v>
      </c>
      <c r="B25" s="347" t="s">
        <v>769</v>
      </c>
      <c r="C25" s="347" t="s">
        <v>780</v>
      </c>
      <c r="D25" s="347" t="s">
        <v>1390</v>
      </c>
      <c r="E25" s="348" t="s">
        <v>1406</v>
      </c>
      <c r="F25" s="349" t="s">
        <v>807</v>
      </c>
      <c r="G25" s="349" t="s">
        <v>747</v>
      </c>
      <c r="H25" s="347" t="s">
        <v>772</v>
      </c>
      <c r="I25" s="349" t="s">
        <v>1325</v>
      </c>
      <c r="J25" s="349" t="s">
        <v>1271</v>
      </c>
      <c r="K25" s="349" t="s">
        <v>1407</v>
      </c>
      <c r="L25" s="349" t="s">
        <v>1254</v>
      </c>
      <c r="M25" s="350" t="s">
        <v>1408</v>
      </c>
      <c r="N25" s="347" t="s">
        <v>1409</v>
      </c>
      <c r="O25" s="351" t="s">
        <v>1410</v>
      </c>
      <c r="P25" s="352" t="s">
        <v>1256</v>
      </c>
      <c r="Q25" s="349" t="s">
        <v>1389</v>
      </c>
      <c r="R25" s="349" t="s">
        <v>748</v>
      </c>
      <c r="S25" s="349" t="s">
        <v>1340</v>
      </c>
      <c r="T25" s="349" t="s">
        <v>1411</v>
      </c>
      <c r="U25" s="349" t="s">
        <v>1391</v>
      </c>
      <c r="V25" s="351" t="s">
        <v>1412</v>
      </c>
      <c r="X25" s="352" t="s">
        <v>1413</v>
      </c>
      <c r="Y25" s="353" t="s">
        <v>1227</v>
      </c>
    </row>
    <row r="26" spans="1:25" x14ac:dyDescent="0.25">
      <c r="A26" s="312">
        <f>IF($D$2="Nej",0,P8+Q8+R8+S8)</f>
        <v>0</v>
      </c>
      <c r="B26" s="312">
        <f>IF($D$2="Nej",0,K8+L8+M8+N8+O8)</f>
        <v>18.798999999999999</v>
      </c>
      <c r="C26" s="312">
        <f>IF($D$2="Nej",0,V8)</f>
        <v>0</v>
      </c>
      <c r="D26" s="312">
        <f>IF($D$2="Nej",0,U8+T8)</f>
        <v>10.776</v>
      </c>
      <c r="E26" s="312">
        <f>IF($D$2="Nej",0,F17*AK8)</f>
        <v>4.0860000000000003</v>
      </c>
      <c r="F26" s="312">
        <f>IF($D$2="Nej",0,AB8)</f>
        <v>1.349</v>
      </c>
      <c r="G26" s="312">
        <f>IF($D$2="Nej",0,G8)</f>
        <v>0</v>
      </c>
      <c r="H26" s="312">
        <f>IF($D$2="Nej",0,H8)</f>
        <v>0</v>
      </c>
      <c r="I26" s="312">
        <f>IF($D$2="Nej",0,I8)</f>
        <v>0</v>
      </c>
      <c r="J26" s="312">
        <f>IF($D$2="Nej",0,J8)</f>
        <v>77.911000000000001</v>
      </c>
      <c r="K26" s="312">
        <f>IF($D$2="Nej",0,Z8)</f>
        <v>0</v>
      </c>
      <c r="L26" s="312">
        <f>IF($D$2="Nej",0,AA8)</f>
        <v>15.694000000000001</v>
      </c>
      <c r="M26" s="312">
        <f>IF($D$2="Nej",0,W8)</f>
        <v>0</v>
      </c>
      <c r="N26" s="312">
        <f>IF($D$2="Nej",0,AK8*G17)</f>
        <v>0</v>
      </c>
      <c r="O26" s="312">
        <f>IF($D$2="Nej",0,AE8*K17)</f>
        <v>0</v>
      </c>
      <c r="P26" s="312">
        <f>IF($D$2="Nej",0,A8)</f>
        <v>0</v>
      </c>
      <c r="Q26" s="312">
        <f>IF($D$2="Nej",0,B8+C8+D8)</f>
        <v>2.5579999999999998</v>
      </c>
      <c r="R26" s="312">
        <f>IF($D$2="Nej",0,E8)</f>
        <v>0</v>
      </c>
      <c r="S26" s="312">
        <f>IF($D$2="Nej",0,F8)</f>
        <v>0</v>
      </c>
      <c r="T26" s="312">
        <f>IF($D$2="Nej",0,AK8*E17)</f>
        <v>0</v>
      </c>
      <c r="U26" s="312">
        <f>IF($D$2="Nej",0,AC8)</f>
        <v>0</v>
      </c>
      <c r="V26" s="312">
        <f>IF($D$2="Nej",0,AE8*J17)</f>
        <v>0</v>
      </c>
      <c r="X26" s="312">
        <f>SUM(A26:V26)</f>
        <v>131.17299999999997</v>
      </c>
      <c r="Y26" s="354">
        <f>X26-AG8</f>
        <v>0</v>
      </c>
    </row>
    <row r="27" spans="1:25" x14ac:dyDescent="0.25">
      <c r="A27" s="355">
        <f>A26/$X$26</f>
        <v>0</v>
      </c>
      <c r="B27" s="355">
        <f>B26/$X$26</f>
        <v>0.14331455406219271</v>
      </c>
      <c r="C27" s="355">
        <f t="shared" ref="C27:V27" si="0">C26/$X$26</f>
        <v>0</v>
      </c>
      <c r="D27" s="355">
        <f t="shared" si="0"/>
        <v>8.2151052426947632E-2</v>
      </c>
      <c r="E27" s="355">
        <f t="shared" si="0"/>
        <v>3.1149703063892729E-2</v>
      </c>
      <c r="F27" s="355">
        <f t="shared" si="0"/>
        <v>1.0284128593536782E-2</v>
      </c>
      <c r="G27" s="355">
        <f t="shared" si="0"/>
        <v>0</v>
      </c>
      <c r="H27" s="355">
        <f t="shared" si="0"/>
        <v>0</v>
      </c>
      <c r="I27" s="355">
        <f t="shared" si="0"/>
        <v>0</v>
      </c>
      <c r="J27" s="355">
        <f t="shared" si="0"/>
        <v>0.59395607327727518</v>
      </c>
      <c r="K27" s="355">
        <f t="shared" si="0"/>
        <v>0</v>
      </c>
      <c r="L27" s="355">
        <f t="shared" si="0"/>
        <v>0.11964352420086453</v>
      </c>
      <c r="M27" s="355">
        <f t="shared" si="0"/>
        <v>0</v>
      </c>
      <c r="N27" s="355">
        <f t="shared" si="0"/>
        <v>0</v>
      </c>
      <c r="O27" s="355">
        <f t="shared" si="0"/>
        <v>0</v>
      </c>
      <c r="P27" s="355">
        <f t="shared" si="0"/>
        <v>0</v>
      </c>
      <c r="Q27" s="355">
        <f t="shared" si="0"/>
        <v>1.9500964375290648E-2</v>
      </c>
      <c r="R27" s="355">
        <f t="shared" si="0"/>
        <v>0</v>
      </c>
      <c r="S27" s="355">
        <f t="shared" si="0"/>
        <v>0</v>
      </c>
      <c r="T27" s="355">
        <f t="shared" si="0"/>
        <v>0</v>
      </c>
      <c r="U27" s="355">
        <f t="shared" si="0"/>
        <v>0</v>
      </c>
      <c r="V27" s="355">
        <f t="shared" si="0"/>
        <v>0</v>
      </c>
      <c r="Y27" s="354"/>
    </row>
    <row r="29" spans="1:25" x14ac:dyDescent="0.25">
      <c r="A29" s="314" t="s">
        <v>1414</v>
      </c>
      <c r="B29" s="312">
        <f>SUM(A26:E26)</f>
        <v>33.661000000000001</v>
      </c>
      <c r="F29" s="314" t="s">
        <v>1415</v>
      </c>
      <c r="G29" s="312">
        <f>SUM(F26:L26)</f>
        <v>94.954000000000008</v>
      </c>
      <c r="M29" s="314" t="s">
        <v>1416</v>
      </c>
      <c r="N29" s="312">
        <f>SUM(M26:O26)</f>
        <v>0</v>
      </c>
      <c r="P29" s="314" t="s">
        <v>1417</v>
      </c>
      <c r="Q29" s="312">
        <f>SUM(P26:V26)</f>
        <v>2.5579999999999998</v>
      </c>
      <c r="X29" s="312">
        <f>B29+G29+N29+Q29</f>
        <v>131.173</v>
      </c>
      <c r="Y29" s="354">
        <f>X26-X29</f>
        <v>0</v>
      </c>
    </row>
    <row r="30" spans="1:25" x14ac:dyDescent="0.25">
      <c r="A30" s="314" t="s">
        <v>1418</v>
      </c>
      <c r="B30" s="265">
        <f>B29/$X$26</f>
        <v>0.25661530955303308</v>
      </c>
      <c r="F30" s="314" t="s">
        <v>1419</v>
      </c>
      <c r="G30" s="265">
        <f>G29/$X$26</f>
        <v>0.7238837260716765</v>
      </c>
      <c r="H30" s="265"/>
      <c r="M30" s="314" t="s">
        <v>1420</v>
      </c>
      <c r="N30" s="265">
        <f>N29/$X$26</f>
        <v>0</v>
      </c>
      <c r="P30" s="314" t="s">
        <v>1421</v>
      </c>
      <c r="Q30" s="265">
        <f>Q29/$X$26</f>
        <v>1.9500964375290648E-2</v>
      </c>
      <c r="X30" s="356">
        <f>B30+G30+N30+Q30</f>
        <v>1.0000000000000002</v>
      </c>
      <c r="Y30" s="354">
        <f>100%-X30</f>
        <v>0</v>
      </c>
    </row>
    <row r="31" spans="1:25" s="357" customFormat="1" x14ac:dyDescent="0.25"/>
    <row r="32" spans="1:25" ht="18.75" x14ac:dyDescent="0.3">
      <c r="A32" s="320" t="s">
        <v>1422</v>
      </c>
    </row>
    <row r="33" spans="1:27" ht="18.75" x14ac:dyDescent="0.3">
      <c r="A33" s="320"/>
      <c r="B33" s="314" t="s">
        <v>1423</v>
      </c>
      <c r="D33" s="314" t="s">
        <v>1424</v>
      </c>
      <c r="E33" s="314"/>
      <c r="G33" s="321" t="s">
        <v>1425</v>
      </c>
    </row>
    <row r="34" spans="1:27" x14ac:dyDescent="0.25">
      <c r="A34" s="312" t="s">
        <v>1403</v>
      </c>
      <c r="B34" s="312">
        <f>G29</f>
        <v>94.954000000000008</v>
      </c>
      <c r="C34" s="268">
        <f>G30</f>
        <v>0.7238837260716765</v>
      </c>
      <c r="D34" s="312">
        <f t="shared" ref="D34:D36" si="1">ROUND(C34*100,IF(C34*100&gt;1,0,IF(C34*100&gt;=0.1,1,IF(C34*100&gt;0.01,2,3))))</f>
        <v>72</v>
      </c>
      <c r="G34" s="314" t="str">
        <f>A34&amp; " "&amp;D34&amp;"%"</f>
        <v>Återvunnen energi 72%</v>
      </c>
      <c r="AA34" s="325"/>
    </row>
    <row r="35" spans="1:27" x14ac:dyDescent="0.25">
      <c r="A35" s="314" t="s">
        <v>1426</v>
      </c>
      <c r="B35" s="312">
        <f>B29</f>
        <v>33.661000000000001</v>
      </c>
      <c r="C35" s="268">
        <f>B30</f>
        <v>0.25661530955303308</v>
      </c>
      <c r="D35" s="312">
        <f t="shared" si="1"/>
        <v>26</v>
      </c>
      <c r="G35" s="314" t="str">
        <f t="shared" ref="G35:G37" si="2">A35&amp; " "&amp;D35&amp;"%"</f>
        <v>Förnybart 26%</v>
      </c>
      <c r="T35" s="325"/>
    </row>
    <row r="36" spans="1:27" x14ac:dyDescent="0.25">
      <c r="A36" s="314" t="s">
        <v>1427</v>
      </c>
      <c r="B36" s="312">
        <f>N29</f>
        <v>0</v>
      </c>
      <c r="C36" s="268">
        <f>N30</f>
        <v>0</v>
      </c>
      <c r="D36" s="312">
        <f t="shared" si="1"/>
        <v>0</v>
      </c>
      <c r="G36" s="314" t="str">
        <f t="shared" si="2"/>
        <v>Övrigt 0%</v>
      </c>
    </row>
    <row r="37" spans="1:27" x14ac:dyDescent="0.25">
      <c r="A37" s="314" t="s">
        <v>1405</v>
      </c>
      <c r="B37" s="312">
        <f>Q29</f>
        <v>2.5579999999999998</v>
      </c>
      <c r="C37" s="268">
        <f>Q30</f>
        <v>1.9500964375290648E-2</v>
      </c>
      <c r="D37" s="312">
        <f>ROUND(C37*100,IF(C37*100&gt;1,0,IF(C37*100&gt;=0.1,1,IF(C37*100&gt;0.01,2,3))))</f>
        <v>2</v>
      </c>
      <c r="G37" s="314" t="str">
        <f t="shared" si="2"/>
        <v>Fossilt 2%</v>
      </c>
    </row>
    <row r="41" spans="1:27" ht="18.75" x14ac:dyDescent="0.3">
      <c r="A41" s="320" t="s">
        <v>1428</v>
      </c>
    </row>
    <row r="43" spans="1:27" x14ac:dyDescent="0.25">
      <c r="A43" s="321" t="s">
        <v>1429</v>
      </c>
      <c r="D43" s="314"/>
      <c r="F43" s="358" t="s">
        <v>1430</v>
      </c>
      <c r="G43" s="359"/>
      <c r="H43" s="359"/>
      <c r="I43" s="359"/>
      <c r="J43" s="359"/>
      <c r="K43" s="359"/>
      <c r="L43" s="359"/>
      <c r="M43" s="358" t="s">
        <v>1431</v>
      </c>
      <c r="N43" s="359"/>
      <c r="O43" s="359"/>
      <c r="P43" s="359"/>
      <c r="Q43" s="359"/>
      <c r="S43" s="358" t="s">
        <v>1432</v>
      </c>
      <c r="X43" s="321" t="s">
        <v>1433</v>
      </c>
    </row>
    <row r="44" spans="1:27" ht="54.75" customHeight="1" x14ac:dyDescent="0.25">
      <c r="A44" s="406" t="s">
        <v>1434</v>
      </c>
      <c r="B44" s="406"/>
      <c r="D44" s="314"/>
      <c r="F44" s="358"/>
      <c r="G44" s="359"/>
      <c r="H44" s="359"/>
      <c r="I44" s="360" t="s">
        <v>1435</v>
      </c>
      <c r="J44" s="359"/>
      <c r="K44" s="359"/>
      <c r="L44" s="359"/>
      <c r="M44" s="358"/>
      <c r="N44" s="359"/>
      <c r="O44" s="359"/>
      <c r="P44" s="359"/>
      <c r="Q44" s="359"/>
      <c r="S44" s="359" t="s">
        <v>1436</v>
      </c>
      <c r="T44" s="359"/>
      <c r="U44" s="359" t="s">
        <v>1437</v>
      </c>
      <c r="X44" s="407" t="s">
        <v>1438</v>
      </c>
      <c r="Y44" s="408"/>
      <c r="Z44" s="408"/>
      <c r="AA44" s="409"/>
    </row>
    <row r="45" spans="1:27" ht="30" x14ac:dyDescent="0.25">
      <c r="A45" s="361"/>
      <c r="B45" s="362" t="s">
        <v>1228</v>
      </c>
      <c r="C45" s="363"/>
      <c r="F45" s="359"/>
      <c r="G45" s="359"/>
      <c r="H45" s="359"/>
      <c r="I45" s="360">
        <v>0</v>
      </c>
      <c r="J45" s="359"/>
      <c r="K45" s="359"/>
      <c r="L45" s="360">
        <v>0</v>
      </c>
      <c r="M45" s="359" t="str">
        <f>IFERROR(INDEX($F$46:$I$53,MATCH($L45,$I$46:$I$53,0),1),"")</f>
        <v/>
      </c>
      <c r="N45" s="359"/>
      <c r="O45" s="359"/>
      <c r="P45" s="359"/>
      <c r="Q45" s="359"/>
      <c r="S45" s="359"/>
      <c r="T45" s="359"/>
      <c r="U45" s="359"/>
      <c r="X45" s="364"/>
      <c r="Y45" s="365" t="s">
        <v>1439</v>
      </c>
      <c r="Z45" s="365" t="s">
        <v>1440</v>
      </c>
      <c r="AA45" s="366"/>
    </row>
    <row r="46" spans="1:27" x14ac:dyDescent="0.25">
      <c r="A46" s="367" t="s">
        <v>1360</v>
      </c>
      <c r="B46" s="368">
        <f>G30</f>
        <v>0.7238837260716765</v>
      </c>
      <c r="C46" s="369" t="s">
        <v>1316</v>
      </c>
      <c r="F46" s="370" t="str">
        <f>A46</f>
        <v>Återvunnen energi:</v>
      </c>
      <c r="G46" s="359"/>
      <c r="H46" s="359"/>
      <c r="I46" s="360">
        <f t="shared" ref="I46:I76" si="3">IF(F46&lt;&gt;"",I45+1,I45)</f>
        <v>1</v>
      </c>
      <c r="J46" s="359"/>
      <c r="K46" s="359"/>
      <c r="L46" s="360">
        <v>1</v>
      </c>
      <c r="M46" s="359" t="str">
        <f>IFERROR(INDEX($F$46:$I$76,MATCH($L46,$I$46:$I$76,0),1),"")</f>
        <v>Återvunnen energi:</v>
      </c>
      <c r="N46" s="359"/>
      <c r="O46" s="359"/>
      <c r="P46" s="359"/>
      <c r="Q46" s="359"/>
      <c r="S46" s="359" t="str">
        <f t="shared" ref="S46:S76" si="4">IF(M46="","",M46)</f>
        <v>Återvunnen energi:</v>
      </c>
      <c r="T46" s="359"/>
      <c r="U46" s="359">
        <f t="shared" ref="U46:U76" si="5">IF(ISERROR(VLOOKUP(S46,$A$46:$B$74,2,FALSE)),"",IF(VLOOKUP(S46,$A$46:$B$74,2,FALSE)="","",VLOOKUP(S46,$A$46:$B$74,2,FALSE)))</f>
        <v>0.7238837260716765</v>
      </c>
      <c r="X46" s="371" t="str">
        <f t="shared" ref="X46:X76" si="6">S46</f>
        <v>Återvunnen energi:</v>
      </c>
      <c r="Y46" s="372" t="str">
        <f t="shared" ref="Y46:Y76" si="7">IF(ISERROR(VLOOKUP(X46,$A$46:$C$74,3,FALSE)),"",IF(VLOOKUP(X46,$A$46:$C$74,3,FALSE)="Summa","ja",""))</f>
        <v>ja</v>
      </c>
      <c r="Z46" s="372">
        <f>IF(TYPE(U46)=1,
IF(U46*100&gt;10,3,IF(AND(U46*100&lt;10,U46*100&gt;0.1),3,4)),
"")</f>
        <v>3</v>
      </c>
      <c r="AA46" s="373" t="str">
        <f>IFERROR(ROUND(U46,Z46)*100&amp;"%","")</f>
        <v>72,4%</v>
      </c>
    </row>
    <row r="47" spans="1:27" x14ac:dyDescent="0.25">
      <c r="A47" s="374" t="s">
        <v>1274</v>
      </c>
      <c r="B47" s="375">
        <f>F27</f>
        <v>1.0284128593536782E-2</v>
      </c>
      <c r="C47" s="376"/>
      <c r="F47" s="359" t="str">
        <f t="shared" ref="F47:F74" si="8">IF(B47=0,"",A47)</f>
        <v>Industriell spillvärme</v>
      </c>
      <c r="G47" s="359"/>
      <c r="H47" s="359"/>
      <c r="I47" s="360">
        <f t="shared" si="3"/>
        <v>2</v>
      </c>
      <c r="J47" s="359"/>
      <c r="K47" s="359"/>
      <c r="L47" s="360">
        <v>2</v>
      </c>
      <c r="M47" s="359" t="str">
        <f t="shared" ref="M47:M76" si="9">IFERROR(INDEX($F$46:$I$76,MATCH($L47,$I$46:$I$76,0),1),"")</f>
        <v>Industriell spillvärme</v>
      </c>
      <c r="N47" s="359"/>
      <c r="O47" s="359"/>
      <c r="P47" s="359"/>
      <c r="Q47" s="359"/>
      <c r="S47" s="359" t="str">
        <f t="shared" si="4"/>
        <v>Industriell spillvärme</v>
      </c>
      <c r="T47" s="359"/>
      <c r="U47" s="359">
        <f t="shared" si="5"/>
        <v>1.0284128593536782E-2</v>
      </c>
      <c r="X47" s="371" t="str">
        <f t="shared" si="6"/>
        <v>Industriell spillvärme</v>
      </c>
      <c r="Y47" s="372" t="str">
        <f t="shared" si="7"/>
        <v/>
      </c>
      <c r="Z47" s="372">
        <f t="shared" ref="Z47:Z76" si="10">IF(TYPE(U47)=1,
IF(U47*100&gt;10,3,IF(AND(U47*100&lt;10,U47*100&gt;0.1),3,4)),
"")</f>
        <v>3</v>
      </c>
      <c r="AA47" s="373" t="str">
        <f t="shared" ref="AA47:AA76" si="11">IFERROR(ROUND(U47,Z47)*100&amp;"%","")</f>
        <v>1%</v>
      </c>
    </row>
    <row r="48" spans="1:27" x14ac:dyDescent="0.25">
      <c r="A48" s="374" t="s">
        <v>1254</v>
      </c>
      <c r="B48" s="375">
        <f>L27</f>
        <v>0.11964352420086453</v>
      </c>
      <c r="C48" s="376"/>
      <c r="F48" s="359" t="str">
        <f t="shared" si="8"/>
        <v>Rökgaskondensering</v>
      </c>
      <c r="G48" s="359"/>
      <c r="H48" s="359"/>
      <c r="I48" s="360">
        <f t="shared" si="3"/>
        <v>3</v>
      </c>
      <c r="J48" s="359"/>
      <c r="K48" s="359"/>
      <c r="L48" s="360">
        <v>3</v>
      </c>
      <c r="M48" s="359" t="str">
        <f t="shared" si="9"/>
        <v>Rökgaskondensering</v>
      </c>
      <c r="N48" s="359"/>
      <c r="O48" s="359"/>
      <c r="P48" s="359"/>
      <c r="Q48" s="359"/>
      <c r="S48" s="359" t="str">
        <f t="shared" si="4"/>
        <v>Rökgaskondensering</v>
      </c>
      <c r="T48" s="359"/>
      <c r="U48" s="359">
        <f t="shared" si="5"/>
        <v>0.11964352420086453</v>
      </c>
      <c r="X48" s="371" t="str">
        <f t="shared" si="6"/>
        <v>Rökgaskondensering</v>
      </c>
      <c r="Y48" s="372" t="str">
        <f t="shared" si="7"/>
        <v/>
      </c>
      <c r="Z48" s="372">
        <f t="shared" si="10"/>
        <v>3</v>
      </c>
      <c r="AA48" s="373" t="str">
        <f t="shared" si="11"/>
        <v>12%</v>
      </c>
    </row>
    <row r="49" spans="1:27" x14ac:dyDescent="0.25">
      <c r="A49" s="374" t="s">
        <v>1441</v>
      </c>
      <c r="B49" s="375">
        <f>K27</f>
        <v>0</v>
      </c>
      <c r="C49" s="376"/>
      <c r="F49" s="359" t="str">
        <f t="shared" si="8"/>
        <v/>
      </c>
      <c r="G49" s="359"/>
      <c r="H49" s="359"/>
      <c r="I49" s="360">
        <f t="shared" si="3"/>
        <v>3</v>
      </c>
      <c r="J49" s="359"/>
      <c r="K49" s="359"/>
      <c r="L49" s="360">
        <v>4</v>
      </c>
      <c r="M49" s="359" t="str">
        <f t="shared" si="9"/>
        <v>RT-flis</v>
      </c>
      <c r="N49" s="359"/>
      <c r="O49" s="359"/>
      <c r="P49" s="359"/>
      <c r="Q49" s="359"/>
      <c r="S49" s="359" t="str">
        <f t="shared" si="4"/>
        <v>RT-flis</v>
      </c>
      <c r="T49" s="359"/>
      <c r="U49" s="359">
        <f t="shared" si="5"/>
        <v>0.59395607327727518</v>
      </c>
      <c r="X49" s="371" t="str">
        <f t="shared" si="6"/>
        <v>RT-flis</v>
      </c>
      <c r="Y49" s="372" t="str">
        <f t="shared" si="7"/>
        <v/>
      </c>
      <c r="Z49" s="372">
        <f t="shared" si="10"/>
        <v>3</v>
      </c>
      <c r="AA49" s="373" t="str">
        <f t="shared" si="11"/>
        <v>59,4%</v>
      </c>
    </row>
    <row r="50" spans="1:27" x14ac:dyDescent="0.25">
      <c r="A50" s="374" t="s">
        <v>1271</v>
      </c>
      <c r="B50" s="375">
        <f>J27</f>
        <v>0.59395607327727518</v>
      </c>
      <c r="C50" s="376"/>
      <c r="F50" s="359" t="str">
        <f t="shared" si="8"/>
        <v>RT-flis</v>
      </c>
      <c r="G50" s="359"/>
      <c r="H50" s="359"/>
      <c r="I50" s="360">
        <f t="shared" si="3"/>
        <v>4</v>
      </c>
      <c r="J50" s="359"/>
      <c r="K50" s="359"/>
      <c r="L50" s="360">
        <v>5</v>
      </c>
      <c r="M50" s="359" t="str">
        <f t="shared" si="9"/>
        <v xml:space="preserve"> </v>
      </c>
      <c r="N50" s="359"/>
      <c r="O50" s="359"/>
      <c r="P50" s="359"/>
      <c r="Q50" s="359"/>
      <c r="S50" s="359" t="str">
        <f t="shared" si="4"/>
        <v xml:space="preserve"> </v>
      </c>
      <c r="T50" s="359"/>
      <c r="U50" s="359" t="str">
        <f t="shared" si="5"/>
        <v/>
      </c>
      <c r="X50" s="371" t="str">
        <f t="shared" si="6"/>
        <v xml:space="preserve"> </v>
      </c>
      <c r="Y50" s="372" t="str">
        <f t="shared" si="7"/>
        <v/>
      </c>
      <c r="Z50" s="372" t="str">
        <f t="shared" si="10"/>
        <v/>
      </c>
      <c r="AA50" s="373" t="str">
        <f t="shared" si="11"/>
        <v/>
      </c>
    </row>
    <row r="51" spans="1:27" x14ac:dyDescent="0.25">
      <c r="A51" s="374" t="s">
        <v>747</v>
      </c>
      <c r="B51" s="375">
        <f>G27</f>
        <v>0</v>
      </c>
      <c r="C51" s="376"/>
      <c r="F51" s="359" t="str">
        <f t="shared" si="8"/>
        <v/>
      </c>
      <c r="G51" s="359"/>
      <c r="H51" s="359"/>
      <c r="I51" s="360">
        <f t="shared" si="3"/>
        <v>4</v>
      </c>
      <c r="J51" s="359"/>
      <c r="K51" s="359"/>
      <c r="L51" s="360">
        <v>6</v>
      </c>
      <c r="M51" s="359" t="str">
        <f t="shared" si="9"/>
        <v>Förnybart:</v>
      </c>
      <c r="N51" s="359"/>
      <c r="O51" s="359"/>
      <c r="P51" s="359"/>
      <c r="Q51" s="359"/>
      <c r="S51" s="359" t="str">
        <f t="shared" si="4"/>
        <v>Förnybart:</v>
      </c>
      <c r="T51" s="359"/>
      <c r="U51" s="359">
        <f t="shared" si="5"/>
        <v>0.25661530955303308</v>
      </c>
      <c r="X51" s="371" t="str">
        <f t="shared" si="6"/>
        <v>Förnybart:</v>
      </c>
      <c r="Y51" s="372" t="str">
        <f t="shared" si="7"/>
        <v>ja</v>
      </c>
      <c r="Z51" s="372">
        <f t="shared" si="10"/>
        <v>3</v>
      </c>
      <c r="AA51" s="373" t="str">
        <f t="shared" si="11"/>
        <v>25,7%</v>
      </c>
    </row>
    <row r="52" spans="1:27" x14ac:dyDescent="0.25">
      <c r="A52" s="377" t="s">
        <v>1442</v>
      </c>
      <c r="B52" s="375">
        <f>H27</f>
        <v>0</v>
      </c>
      <c r="C52" s="376"/>
      <c r="F52" s="359" t="str">
        <f t="shared" si="8"/>
        <v/>
      </c>
      <c r="G52" s="359"/>
      <c r="H52" s="359"/>
      <c r="I52" s="360">
        <f t="shared" si="3"/>
        <v>4</v>
      </c>
      <c r="J52" s="359"/>
      <c r="K52" s="359"/>
      <c r="L52" s="360">
        <v>7</v>
      </c>
      <c r="M52" s="359" t="str">
        <f t="shared" si="9"/>
        <v>Sekundära biobränslen</v>
      </c>
      <c r="N52" s="359"/>
      <c r="O52" s="359"/>
      <c r="P52" s="359"/>
      <c r="Q52" s="359"/>
      <c r="S52" s="359" t="str">
        <f t="shared" si="4"/>
        <v>Sekundära biobränslen</v>
      </c>
      <c r="T52" s="359"/>
      <c r="U52" s="359">
        <f t="shared" si="5"/>
        <v>0.14331455406219271</v>
      </c>
      <c r="X52" s="371" t="str">
        <f t="shared" si="6"/>
        <v>Sekundära biobränslen</v>
      </c>
      <c r="Y52" s="372" t="str">
        <f t="shared" si="7"/>
        <v/>
      </c>
      <c r="Z52" s="372">
        <f t="shared" si="10"/>
        <v>3</v>
      </c>
      <c r="AA52" s="373" t="str">
        <f t="shared" si="11"/>
        <v>14,3%</v>
      </c>
    </row>
    <row r="53" spans="1:27" x14ac:dyDescent="0.25">
      <c r="A53" s="377" t="s">
        <v>1325</v>
      </c>
      <c r="B53" s="375">
        <f>I27</f>
        <v>0</v>
      </c>
      <c r="C53" s="376"/>
      <c r="E53" s="360"/>
      <c r="F53" s="359" t="str">
        <f t="shared" si="8"/>
        <v/>
      </c>
      <c r="G53" s="359"/>
      <c r="H53" s="359"/>
      <c r="I53" s="360">
        <f>IF(F53&lt;&gt;"",I52+1,I52)</f>
        <v>4</v>
      </c>
      <c r="J53" s="359"/>
      <c r="K53" s="359"/>
      <c r="L53" s="360">
        <v>8</v>
      </c>
      <c r="M53" s="359" t="str">
        <f t="shared" si="9"/>
        <v>Bioolja och tallbeckolja</v>
      </c>
      <c r="N53" s="359"/>
      <c r="O53" s="359"/>
      <c r="P53" s="359"/>
      <c r="Q53" s="359"/>
      <c r="S53" s="359" t="str">
        <f t="shared" si="4"/>
        <v>Bioolja och tallbeckolja</v>
      </c>
      <c r="T53" s="359"/>
      <c r="U53" s="359">
        <f t="shared" si="5"/>
        <v>8.2151052426947632E-2</v>
      </c>
      <c r="X53" s="371" t="str">
        <f t="shared" si="6"/>
        <v>Bioolja och tallbeckolja</v>
      </c>
      <c r="Y53" s="372" t="str">
        <f t="shared" si="7"/>
        <v/>
      </c>
      <c r="Z53" s="372">
        <f t="shared" si="10"/>
        <v>3</v>
      </c>
      <c r="AA53" s="373" t="str">
        <f t="shared" si="11"/>
        <v>8,2%</v>
      </c>
    </row>
    <row r="54" spans="1:27" x14ac:dyDescent="0.25">
      <c r="A54" s="374"/>
      <c r="B54" s="378"/>
      <c r="C54" s="376"/>
      <c r="E54" s="360" t="s">
        <v>1443</v>
      </c>
      <c r="F54" s="370" t="s">
        <v>39</v>
      </c>
      <c r="G54" s="359"/>
      <c r="H54" s="359"/>
      <c r="I54" s="360">
        <f t="shared" si="3"/>
        <v>5</v>
      </c>
      <c r="J54" s="359"/>
      <c r="K54" s="359"/>
      <c r="L54" s="360">
        <v>9</v>
      </c>
      <c r="M54" s="359" t="str">
        <f t="shared" si="9"/>
        <v>Förnybar el till elpannor, värmepumpar och hjälpel till distribution</v>
      </c>
      <c r="N54" s="359"/>
      <c r="O54" s="359"/>
      <c r="P54" s="359"/>
      <c r="Q54" s="359"/>
      <c r="S54" s="359" t="str">
        <f t="shared" si="4"/>
        <v>Förnybar el till elpannor, värmepumpar och hjälpel till distribution</v>
      </c>
      <c r="T54" s="359"/>
      <c r="U54" s="359">
        <f t="shared" si="5"/>
        <v>3.1149703063892729E-2</v>
      </c>
      <c r="X54" s="371" t="str">
        <f t="shared" si="6"/>
        <v>Förnybar el till elpannor, värmepumpar och hjälpel till distribution</v>
      </c>
      <c r="Y54" s="372" t="str">
        <f t="shared" si="7"/>
        <v/>
      </c>
      <c r="Z54" s="372">
        <f t="shared" si="10"/>
        <v>3</v>
      </c>
      <c r="AA54" s="373" t="str">
        <f t="shared" si="11"/>
        <v>3,1%</v>
      </c>
    </row>
    <row r="55" spans="1:27" x14ac:dyDescent="0.25">
      <c r="A55" s="367" t="s">
        <v>1359</v>
      </c>
      <c r="B55" s="368">
        <f>B30</f>
        <v>0.25661530955303308</v>
      </c>
      <c r="C55" s="369" t="s">
        <v>1316</v>
      </c>
      <c r="E55" s="359"/>
      <c r="F55" s="370" t="str">
        <f>A55</f>
        <v>Förnybart:</v>
      </c>
      <c r="G55" s="359"/>
      <c r="H55" s="359"/>
      <c r="I55" s="360">
        <f t="shared" si="3"/>
        <v>6</v>
      </c>
      <c r="J55" s="359"/>
      <c r="K55" s="359"/>
      <c r="L55" s="360">
        <v>10</v>
      </c>
      <c r="M55" s="359" t="str">
        <f t="shared" si="9"/>
        <v xml:space="preserve"> </v>
      </c>
      <c r="N55" s="359"/>
      <c r="O55" s="359"/>
      <c r="P55" s="359"/>
      <c r="Q55" s="359"/>
      <c r="S55" s="359" t="str">
        <f t="shared" si="4"/>
        <v xml:space="preserve"> </v>
      </c>
      <c r="T55" s="359"/>
      <c r="U55" s="359" t="str">
        <f t="shared" si="5"/>
        <v/>
      </c>
      <c r="X55" s="371" t="str">
        <f t="shared" si="6"/>
        <v xml:space="preserve"> </v>
      </c>
      <c r="Y55" s="372" t="str">
        <f t="shared" si="7"/>
        <v/>
      </c>
      <c r="Z55" s="372" t="str">
        <f t="shared" si="10"/>
        <v/>
      </c>
      <c r="AA55" s="373" t="str">
        <f t="shared" si="11"/>
        <v/>
      </c>
    </row>
    <row r="56" spans="1:27" x14ac:dyDescent="0.25">
      <c r="A56" s="377" t="s">
        <v>1355</v>
      </c>
      <c r="B56" s="375">
        <f>A27</f>
        <v>0</v>
      </c>
      <c r="C56" s="369"/>
      <c r="E56" s="359"/>
      <c r="F56" s="359" t="str">
        <f t="shared" si="8"/>
        <v/>
      </c>
      <c r="G56" s="359"/>
      <c r="H56" s="359"/>
      <c r="I56" s="360">
        <f>IF(F56&lt;&gt;"",I55+1,I55)</f>
        <v>6</v>
      </c>
      <c r="J56" s="359"/>
      <c r="K56" s="359"/>
      <c r="L56" s="360">
        <v>11</v>
      </c>
      <c r="M56" s="359" t="str">
        <f t="shared" si="9"/>
        <v>Övrigt:</v>
      </c>
      <c r="N56" s="359"/>
      <c r="O56" s="359"/>
      <c r="P56" s="359"/>
      <c r="Q56" s="359"/>
      <c r="S56" s="359" t="str">
        <f t="shared" si="4"/>
        <v>Övrigt:</v>
      </c>
      <c r="T56" s="359"/>
      <c r="U56" s="359">
        <f t="shared" si="5"/>
        <v>0</v>
      </c>
      <c r="X56" s="371" t="str">
        <f t="shared" si="6"/>
        <v>Övrigt:</v>
      </c>
      <c r="Y56" s="372" t="str">
        <f t="shared" si="7"/>
        <v>ja</v>
      </c>
      <c r="Z56" s="372">
        <f t="shared" si="10"/>
        <v>4</v>
      </c>
      <c r="AA56" s="373" t="str">
        <f t="shared" si="11"/>
        <v>0%</v>
      </c>
    </row>
    <row r="57" spans="1:27" x14ac:dyDescent="0.25">
      <c r="A57" s="374" t="s">
        <v>1444</v>
      </c>
      <c r="B57" s="375">
        <f>B27</f>
        <v>0.14331455406219271</v>
      </c>
      <c r="C57" s="369"/>
      <c r="E57" s="359"/>
      <c r="F57" s="359" t="str">
        <f t="shared" si="8"/>
        <v>Sekundära biobränslen</v>
      </c>
      <c r="G57" s="359"/>
      <c r="H57" s="359"/>
      <c r="I57" s="360">
        <f t="shared" si="3"/>
        <v>7</v>
      </c>
      <c r="J57" s="359"/>
      <c r="K57" s="359"/>
      <c r="L57" s="360">
        <v>12</v>
      </c>
      <c r="M57" s="359" t="str">
        <f t="shared" si="9"/>
        <v xml:space="preserve"> </v>
      </c>
      <c r="N57" s="359"/>
      <c r="O57" s="359"/>
      <c r="P57" s="359"/>
      <c r="Q57" s="359"/>
      <c r="S57" s="359" t="str">
        <f t="shared" si="4"/>
        <v xml:space="preserve"> </v>
      </c>
      <c r="T57" s="359"/>
      <c r="U57" s="359" t="str">
        <f t="shared" si="5"/>
        <v/>
      </c>
      <c r="X57" s="371" t="str">
        <f t="shared" si="6"/>
        <v xml:space="preserve"> </v>
      </c>
      <c r="Y57" s="372" t="str">
        <f t="shared" si="7"/>
        <v/>
      </c>
      <c r="Z57" s="372" t="str">
        <f t="shared" si="10"/>
        <v/>
      </c>
      <c r="AA57" s="373" t="str">
        <f t="shared" si="11"/>
        <v/>
      </c>
    </row>
    <row r="58" spans="1:27" x14ac:dyDescent="0.25">
      <c r="A58" s="374" t="s">
        <v>1445</v>
      </c>
      <c r="B58" s="375">
        <f>C27</f>
        <v>0</v>
      </c>
      <c r="C58" s="376"/>
      <c r="E58" s="359"/>
      <c r="F58" s="359" t="str">
        <f t="shared" si="8"/>
        <v/>
      </c>
      <c r="G58" s="359"/>
      <c r="H58" s="359"/>
      <c r="I58" s="360">
        <f t="shared" si="3"/>
        <v>7</v>
      </c>
      <c r="J58" s="359"/>
      <c r="K58" s="359"/>
      <c r="L58" s="360">
        <v>13</v>
      </c>
      <c r="M58" s="359" t="str">
        <f t="shared" si="9"/>
        <v>Fossilt:</v>
      </c>
      <c r="N58" s="359"/>
      <c r="O58" s="359"/>
      <c r="P58" s="359"/>
      <c r="Q58" s="359"/>
      <c r="S58" s="359" t="str">
        <f t="shared" si="4"/>
        <v>Fossilt:</v>
      </c>
      <c r="T58" s="359"/>
      <c r="U58" s="359">
        <f t="shared" si="5"/>
        <v>1.9500964375290648E-2</v>
      </c>
      <c r="X58" s="371" t="str">
        <f t="shared" si="6"/>
        <v>Fossilt:</v>
      </c>
      <c r="Y58" s="372" t="str">
        <f t="shared" si="7"/>
        <v>ja</v>
      </c>
      <c r="Z58" s="372">
        <f t="shared" si="10"/>
        <v>3</v>
      </c>
      <c r="AA58" s="373" t="str">
        <f t="shared" si="11"/>
        <v>2%</v>
      </c>
    </row>
    <row r="59" spans="1:27" x14ac:dyDescent="0.25">
      <c r="A59" s="374" t="s">
        <v>1390</v>
      </c>
      <c r="B59" s="375">
        <f>D27</f>
        <v>8.2151052426947632E-2</v>
      </c>
      <c r="C59" s="376"/>
      <c r="E59" s="359"/>
      <c r="F59" s="359" t="str">
        <f t="shared" si="8"/>
        <v>Bioolja och tallbeckolja</v>
      </c>
      <c r="G59" s="359"/>
      <c r="H59" s="359"/>
      <c r="I59" s="360">
        <f t="shared" si="3"/>
        <v>8</v>
      </c>
      <c r="J59" s="359"/>
      <c r="K59" s="359"/>
      <c r="L59" s="360">
        <v>14</v>
      </c>
      <c r="M59" s="359" t="str">
        <f t="shared" si="9"/>
        <v>Eldningsolja</v>
      </c>
      <c r="N59" s="359"/>
      <c r="O59" s="359"/>
      <c r="P59" s="359"/>
      <c r="Q59" s="359"/>
      <c r="S59" s="359" t="str">
        <f t="shared" si="4"/>
        <v>Eldningsolja</v>
      </c>
      <c r="T59" s="359"/>
      <c r="U59" s="359">
        <f t="shared" si="5"/>
        <v>1.9500964375290648E-2</v>
      </c>
      <c r="X59" s="371" t="str">
        <f t="shared" si="6"/>
        <v>Eldningsolja</v>
      </c>
      <c r="Y59" s="372" t="str">
        <f t="shared" si="7"/>
        <v/>
      </c>
      <c r="Z59" s="372">
        <f t="shared" si="10"/>
        <v>3</v>
      </c>
      <c r="AA59" s="373" t="str">
        <f t="shared" si="11"/>
        <v>2%</v>
      </c>
    </row>
    <row r="60" spans="1:27" ht="15" customHeight="1" x14ac:dyDescent="0.25">
      <c r="A60" s="374" t="s">
        <v>1446</v>
      </c>
      <c r="B60" s="375">
        <f>E27</f>
        <v>3.1149703063892729E-2</v>
      </c>
      <c r="C60" s="376"/>
      <c r="E60" s="359"/>
      <c r="F60" s="359" t="str">
        <f t="shared" si="8"/>
        <v>Förnybar el till elpannor, värmepumpar och hjälpel till distribution</v>
      </c>
      <c r="G60" s="359"/>
      <c r="H60" s="359"/>
      <c r="I60" s="360">
        <f t="shared" si="3"/>
        <v>9</v>
      </c>
      <c r="J60" s="359"/>
      <c r="K60" s="359"/>
      <c r="L60" s="360">
        <v>15</v>
      </c>
      <c r="M60" s="359" t="str">
        <f t="shared" si="9"/>
        <v xml:space="preserve"> </v>
      </c>
      <c r="N60" s="359"/>
      <c r="O60" s="359"/>
      <c r="P60" s="359"/>
      <c r="Q60" s="359"/>
      <c r="S60" s="359" t="str">
        <f t="shared" si="4"/>
        <v xml:space="preserve"> </v>
      </c>
      <c r="T60" s="359"/>
      <c r="U60" s="359" t="str">
        <f t="shared" si="5"/>
        <v/>
      </c>
      <c r="X60" s="371" t="str">
        <f t="shared" si="6"/>
        <v xml:space="preserve"> </v>
      </c>
      <c r="Y60" s="372" t="str">
        <f t="shared" si="7"/>
        <v/>
      </c>
      <c r="Z60" s="372" t="str">
        <f t="shared" si="10"/>
        <v/>
      </c>
      <c r="AA60" s="373" t="str">
        <f t="shared" si="11"/>
        <v/>
      </c>
    </row>
    <row r="61" spans="1:27" x14ac:dyDescent="0.25">
      <c r="A61" s="374"/>
      <c r="B61" s="378"/>
      <c r="C61" s="379"/>
      <c r="E61" s="360" t="s">
        <v>1447</v>
      </c>
      <c r="F61" s="359" t="s">
        <v>39</v>
      </c>
      <c r="G61" s="359"/>
      <c r="H61" s="359"/>
      <c r="I61" s="360">
        <f t="shared" si="3"/>
        <v>10</v>
      </c>
      <c r="J61" s="359"/>
      <c r="K61" s="359"/>
      <c r="L61" s="360">
        <v>16</v>
      </c>
      <c r="M61" s="359" t="str">
        <f t="shared" si="9"/>
        <v/>
      </c>
      <c r="N61" s="359"/>
      <c r="O61" s="359"/>
      <c r="P61" s="359"/>
      <c r="Q61" s="359"/>
      <c r="S61" s="359" t="str">
        <f t="shared" si="4"/>
        <v/>
      </c>
      <c r="T61" s="359"/>
      <c r="U61" s="359" t="str">
        <f t="shared" si="5"/>
        <v/>
      </c>
      <c r="X61" s="371" t="str">
        <f t="shared" si="6"/>
        <v/>
      </c>
      <c r="Y61" s="372" t="str">
        <f t="shared" si="7"/>
        <v/>
      </c>
      <c r="Z61" s="372" t="str">
        <f t="shared" si="10"/>
        <v/>
      </c>
      <c r="AA61" s="373" t="str">
        <f t="shared" si="11"/>
        <v/>
      </c>
    </row>
    <row r="62" spans="1:27" x14ac:dyDescent="0.25">
      <c r="A62" s="367" t="s">
        <v>1358</v>
      </c>
      <c r="B62" s="368">
        <f>N30</f>
        <v>0</v>
      </c>
      <c r="C62" s="369" t="s">
        <v>1316</v>
      </c>
      <c r="E62" s="359"/>
      <c r="F62" s="370" t="str">
        <f>A62</f>
        <v>Övrigt:</v>
      </c>
      <c r="G62" s="359"/>
      <c r="H62" s="359"/>
      <c r="I62" s="360">
        <f t="shared" si="3"/>
        <v>11</v>
      </c>
      <c r="J62" s="359"/>
      <c r="K62" s="359"/>
      <c r="L62" s="360">
        <v>17</v>
      </c>
      <c r="M62" s="359" t="str">
        <f t="shared" si="9"/>
        <v/>
      </c>
      <c r="N62" s="359"/>
      <c r="O62" s="359"/>
      <c r="P62" s="359"/>
      <c r="Q62" s="359"/>
      <c r="S62" s="359" t="str">
        <f t="shared" si="4"/>
        <v/>
      </c>
      <c r="T62" s="359"/>
      <c r="U62" s="359" t="str">
        <f t="shared" si="5"/>
        <v/>
      </c>
      <c r="X62" s="371" t="str">
        <f t="shared" si="6"/>
        <v/>
      </c>
      <c r="Y62" s="372" t="str">
        <f t="shared" si="7"/>
        <v/>
      </c>
      <c r="Z62" s="372" t="str">
        <f t="shared" si="10"/>
        <v/>
      </c>
      <c r="AA62" s="373" t="str">
        <f t="shared" si="11"/>
        <v/>
      </c>
    </row>
    <row r="63" spans="1:27" ht="15" customHeight="1" x14ac:dyDescent="0.25">
      <c r="A63" s="374" t="s">
        <v>1448</v>
      </c>
      <c r="B63" s="375">
        <f>O27</f>
        <v>0</v>
      </c>
      <c r="C63" s="376"/>
      <c r="E63" s="359"/>
      <c r="F63" s="359" t="str">
        <f t="shared" si="8"/>
        <v/>
      </c>
      <c r="G63" s="359"/>
      <c r="H63" s="359"/>
      <c r="I63" s="360">
        <f t="shared" si="3"/>
        <v>11</v>
      </c>
      <c r="J63" s="359"/>
      <c r="K63" s="359"/>
      <c r="L63" s="360">
        <v>18</v>
      </c>
      <c r="M63" s="359" t="str">
        <f t="shared" si="9"/>
        <v/>
      </c>
      <c r="N63" s="359"/>
      <c r="O63" s="359"/>
      <c r="P63" s="359"/>
      <c r="Q63" s="359"/>
      <c r="S63" s="359" t="str">
        <f t="shared" si="4"/>
        <v/>
      </c>
      <c r="T63" s="359"/>
      <c r="U63" s="359" t="str">
        <f t="shared" si="5"/>
        <v/>
      </c>
      <c r="X63" s="371" t="str">
        <f t="shared" si="6"/>
        <v/>
      </c>
      <c r="Y63" s="372" t="str">
        <f t="shared" si="7"/>
        <v/>
      </c>
      <c r="Z63" s="372" t="str">
        <f t="shared" si="10"/>
        <v/>
      </c>
      <c r="AA63" s="373" t="str">
        <f t="shared" si="11"/>
        <v/>
      </c>
    </row>
    <row r="64" spans="1:27" x14ac:dyDescent="0.25">
      <c r="A64" s="374" t="s">
        <v>1449</v>
      </c>
      <c r="B64" s="375">
        <f>N27</f>
        <v>0</v>
      </c>
      <c r="C64" s="376"/>
      <c r="E64" s="359"/>
      <c r="F64" s="359" t="str">
        <f t="shared" si="8"/>
        <v/>
      </c>
      <c r="G64" s="359"/>
      <c r="H64" s="359"/>
      <c r="I64" s="360">
        <f t="shared" si="3"/>
        <v>11</v>
      </c>
      <c r="J64" s="359"/>
      <c r="K64" s="359"/>
      <c r="L64" s="360">
        <v>19</v>
      </c>
      <c r="M64" s="359" t="str">
        <f t="shared" si="9"/>
        <v/>
      </c>
      <c r="N64" s="359"/>
      <c r="O64" s="359"/>
      <c r="P64" s="359"/>
      <c r="Q64" s="359"/>
      <c r="S64" s="359" t="str">
        <f t="shared" si="4"/>
        <v/>
      </c>
      <c r="T64" s="359"/>
      <c r="U64" s="359" t="str">
        <f t="shared" si="5"/>
        <v/>
      </c>
      <c r="X64" s="371" t="str">
        <f t="shared" si="6"/>
        <v/>
      </c>
      <c r="Y64" s="372" t="str">
        <f t="shared" si="7"/>
        <v/>
      </c>
      <c r="Z64" s="372" t="str">
        <f t="shared" si="10"/>
        <v/>
      </c>
      <c r="AA64" s="373" t="str">
        <f t="shared" si="11"/>
        <v/>
      </c>
    </row>
    <row r="65" spans="1:27" ht="15" customHeight="1" x14ac:dyDescent="0.25">
      <c r="A65" s="374" t="s">
        <v>1408</v>
      </c>
      <c r="B65" s="375">
        <f>M27</f>
        <v>0</v>
      </c>
      <c r="C65" s="376"/>
      <c r="E65" s="359"/>
      <c r="F65" s="359" t="str">
        <f t="shared" si="8"/>
        <v/>
      </c>
      <c r="G65" s="359"/>
      <c r="H65" s="359"/>
      <c r="I65" s="360">
        <f t="shared" si="3"/>
        <v>11</v>
      </c>
      <c r="J65" s="359"/>
      <c r="K65" s="359"/>
      <c r="L65" s="360">
        <v>20</v>
      </c>
      <c r="M65" s="359" t="str">
        <f t="shared" si="9"/>
        <v/>
      </c>
      <c r="N65" s="359"/>
      <c r="O65" s="359"/>
      <c r="P65" s="359"/>
      <c r="Q65" s="359"/>
      <c r="S65" s="359" t="str">
        <f t="shared" si="4"/>
        <v/>
      </c>
      <c r="T65" s="359"/>
      <c r="U65" s="359" t="str">
        <f t="shared" si="5"/>
        <v/>
      </c>
      <c r="X65" s="371" t="str">
        <f t="shared" si="6"/>
        <v/>
      </c>
      <c r="Y65" s="372" t="str">
        <f t="shared" si="7"/>
        <v/>
      </c>
      <c r="Z65" s="372" t="str">
        <f t="shared" si="10"/>
        <v/>
      </c>
      <c r="AA65" s="373" t="str">
        <f t="shared" si="11"/>
        <v/>
      </c>
    </row>
    <row r="66" spans="1:27" x14ac:dyDescent="0.25">
      <c r="A66" s="374"/>
      <c r="B66" s="378"/>
      <c r="C66" s="376"/>
      <c r="E66" s="360" t="s">
        <v>1450</v>
      </c>
      <c r="F66" s="359" t="s">
        <v>39</v>
      </c>
      <c r="G66" s="359"/>
      <c r="H66" s="359"/>
      <c r="I66" s="360">
        <f t="shared" si="3"/>
        <v>12</v>
      </c>
      <c r="J66" s="359"/>
      <c r="K66" s="359"/>
      <c r="L66" s="360">
        <v>21</v>
      </c>
      <c r="M66" s="359" t="str">
        <f t="shared" si="9"/>
        <v/>
      </c>
      <c r="N66" s="359"/>
      <c r="O66" s="359"/>
      <c r="P66" s="359"/>
      <c r="Q66" s="359"/>
      <c r="S66" s="359" t="str">
        <f t="shared" si="4"/>
        <v/>
      </c>
      <c r="T66" s="359"/>
      <c r="U66" s="359" t="str">
        <f t="shared" si="5"/>
        <v/>
      </c>
      <c r="X66" s="371" t="str">
        <f t="shared" si="6"/>
        <v/>
      </c>
      <c r="Y66" s="372" t="str">
        <f t="shared" si="7"/>
        <v/>
      </c>
      <c r="Z66" s="372" t="str">
        <f t="shared" si="10"/>
        <v/>
      </c>
      <c r="AA66" s="373" t="str">
        <f t="shared" si="11"/>
        <v/>
      </c>
    </row>
    <row r="67" spans="1:27" x14ac:dyDescent="0.25">
      <c r="A67" s="367" t="s">
        <v>1357</v>
      </c>
      <c r="B67" s="368">
        <f>Q30</f>
        <v>1.9500964375290648E-2</v>
      </c>
      <c r="C67" s="369" t="s">
        <v>1316</v>
      </c>
      <c r="E67" s="359"/>
      <c r="F67" s="370" t="str">
        <f>A67</f>
        <v>Fossilt:</v>
      </c>
      <c r="G67" s="359"/>
      <c r="H67" s="359"/>
      <c r="I67" s="360">
        <f t="shared" si="3"/>
        <v>13</v>
      </c>
      <c r="J67" s="359"/>
      <c r="K67" s="359"/>
      <c r="L67" s="360">
        <v>22</v>
      </c>
      <c r="M67" s="359" t="str">
        <f t="shared" si="9"/>
        <v/>
      </c>
      <c r="N67" s="359"/>
      <c r="O67" s="359"/>
      <c r="P67" s="359"/>
      <c r="Q67" s="359"/>
      <c r="S67" s="359" t="str">
        <f t="shared" si="4"/>
        <v/>
      </c>
      <c r="T67" s="359"/>
      <c r="U67" s="359" t="str">
        <f t="shared" si="5"/>
        <v/>
      </c>
      <c r="X67" s="371" t="str">
        <f t="shared" si="6"/>
        <v/>
      </c>
      <c r="Y67" s="372" t="str">
        <f t="shared" si="7"/>
        <v/>
      </c>
      <c r="Z67" s="372" t="str">
        <f t="shared" si="10"/>
        <v/>
      </c>
      <c r="AA67" s="373" t="str">
        <f t="shared" si="11"/>
        <v/>
      </c>
    </row>
    <row r="68" spans="1:27" x14ac:dyDescent="0.25">
      <c r="A68" s="374" t="s">
        <v>1389</v>
      </c>
      <c r="B68" s="375">
        <f>Q27</f>
        <v>1.9500964375290648E-2</v>
      </c>
      <c r="C68" s="376"/>
      <c r="E68" s="359"/>
      <c r="F68" s="359" t="str">
        <f t="shared" si="8"/>
        <v>Eldningsolja</v>
      </c>
      <c r="G68" s="359"/>
      <c r="H68" s="359"/>
      <c r="I68" s="360">
        <f t="shared" si="3"/>
        <v>14</v>
      </c>
      <c r="J68" s="359"/>
      <c r="K68" s="359"/>
      <c r="L68" s="360">
        <v>23</v>
      </c>
      <c r="M68" s="359" t="str">
        <f t="shared" si="9"/>
        <v/>
      </c>
      <c r="N68" s="359"/>
      <c r="O68" s="359"/>
      <c r="P68" s="359"/>
      <c r="Q68" s="359"/>
      <c r="S68" s="359" t="str">
        <f t="shared" si="4"/>
        <v/>
      </c>
      <c r="T68" s="359"/>
      <c r="U68" s="359" t="str">
        <f t="shared" si="5"/>
        <v/>
      </c>
      <c r="X68" s="371" t="str">
        <f t="shared" si="6"/>
        <v/>
      </c>
      <c r="Y68" s="372" t="str">
        <f t="shared" si="7"/>
        <v/>
      </c>
      <c r="Z68" s="372" t="str">
        <f t="shared" si="10"/>
        <v/>
      </c>
      <c r="AA68" s="373" t="str">
        <f t="shared" si="11"/>
        <v/>
      </c>
    </row>
    <row r="69" spans="1:27" x14ac:dyDescent="0.25">
      <c r="A69" s="374" t="s">
        <v>748</v>
      </c>
      <c r="B69" s="375">
        <f>R27</f>
        <v>0</v>
      </c>
      <c r="C69" s="376"/>
      <c r="F69" s="359" t="str">
        <f t="shared" si="8"/>
        <v/>
      </c>
      <c r="G69" s="359"/>
      <c r="H69" s="359"/>
      <c r="I69" s="360">
        <f t="shared" si="3"/>
        <v>14</v>
      </c>
      <c r="J69" s="359"/>
      <c r="K69" s="359"/>
      <c r="L69" s="360">
        <v>24</v>
      </c>
      <c r="M69" s="359" t="str">
        <f t="shared" si="9"/>
        <v/>
      </c>
      <c r="N69" s="359"/>
      <c r="O69" s="359"/>
      <c r="P69" s="359"/>
      <c r="Q69" s="359"/>
      <c r="S69" s="359" t="str">
        <f t="shared" si="4"/>
        <v/>
      </c>
      <c r="T69" s="359"/>
      <c r="U69" s="359" t="str">
        <f t="shared" si="5"/>
        <v/>
      </c>
      <c r="X69" s="371" t="str">
        <f t="shared" si="6"/>
        <v/>
      </c>
      <c r="Y69" s="372" t="str">
        <f t="shared" si="7"/>
        <v/>
      </c>
      <c r="Z69" s="372" t="str">
        <f t="shared" si="10"/>
        <v/>
      </c>
      <c r="AA69" s="373" t="str">
        <f t="shared" si="11"/>
        <v/>
      </c>
    </row>
    <row r="70" spans="1:27" x14ac:dyDescent="0.25">
      <c r="A70" s="374" t="s">
        <v>1256</v>
      </c>
      <c r="B70" s="375">
        <f>P27</f>
        <v>0</v>
      </c>
      <c r="C70" s="376"/>
      <c r="F70" s="359" t="str">
        <f t="shared" si="8"/>
        <v/>
      </c>
      <c r="G70" s="359"/>
      <c r="H70" s="359"/>
      <c r="I70" s="360">
        <f t="shared" si="3"/>
        <v>14</v>
      </c>
      <c r="J70" s="359"/>
      <c r="K70" s="359"/>
      <c r="L70" s="360">
        <v>25</v>
      </c>
      <c r="M70" s="359" t="str">
        <f t="shared" si="9"/>
        <v/>
      </c>
      <c r="N70" s="359"/>
      <c r="O70" s="359"/>
      <c r="P70" s="359"/>
      <c r="Q70" s="359"/>
      <c r="S70" s="359" t="str">
        <f t="shared" si="4"/>
        <v/>
      </c>
      <c r="T70" s="359"/>
      <c r="U70" s="359" t="str">
        <f t="shared" si="5"/>
        <v/>
      </c>
      <c r="X70" s="371" t="str">
        <f t="shared" si="6"/>
        <v/>
      </c>
      <c r="Y70" s="372" t="str">
        <f t="shared" si="7"/>
        <v/>
      </c>
      <c r="Z70" s="372" t="str">
        <f t="shared" si="10"/>
        <v/>
      </c>
      <c r="AA70" s="373" t="str">
        <f t="shared" si="11"/>
        <v/>
      </c>
    </row>
    <row r="71" spans="1:27" ht="15" customHeight="1" x14ac:dyDescent="0.25">
      <c r="A71" s="374" t="s">
        <v>1255</v>
      </c>
      <c r="B71" s="375">
        <f>S27</f>
        <v>0</v>
      </c>
      <c r="C71" s="376"/>
      <c r="F71" s="359" t="str">
        <f t="shared" si="8"/>
        <v/>
      </c>
      <c r="G71" s="359"/>
      <c r="H71" s="359"/>
      <c r="I71" s="360">
        <f t="shared" si="3"/>
        <v>14</v>
      </c>
      <c r="J71" s="359"/>
      <c r="K71" s="359"/>
      <c r="L71" s="360">
        <v>26</v>
      </c>
      <c r="M71" s="359" t="str">
        <f t="shared" si="9"/>
        <v/>
      </c>
      <c r="N71" s="359"/>
      <c r="O71" s="359"/>
      <c r="P71" s="359"/>
      <c r="Q71" s="359"/>
      <c r="S71" s="359" t="str">
        <f t="shared" si="4"/>
        <v/>
      </c>
      <c r="T71" s="359"/>
      <c r="U71" s="359" t="str">
        <f t="shared" si="5"/>
        <v/>
      </c>
      <c r="X71" s="371" t="str">
        <f t="shared" si="6"/>
        <v/>
      </c>
      <c r="Y71" s="372" t="str">
        <f t="shared" si="7"/>
        <v/>
      </c>
      <c r="Z71" s="372" t="str">
        <f t="shared" si="10"/>
        <v/>
      </c>
      <c r="AA71" s="373" t="str">
        <f t="shared" si="11"/>
        <v/>
      </c>
    </row>
    <row r="72" spans="1:27" ht="15" customHeight="1" x14ac:dyDescent="0.25">
      <c r="A72" s="374" t="s">
        <v>1451</v>
      </c>
      <c r="B72" s="375">
        <f>T27</f>
        <v>0</v>
      </c>
      <c r="C72" s="376"/>
      <c r="F72" s="359" t="str">
        <f t="shared" si="8"/>
        <v/>
      </c>
      <c r="G72" s="359"/>
      <c r="H72" s="359"/>
      <c r="I72" s="360">
        <f t="shared" si="3"/>
        <v>14</v>
      </c>
      <c r="J72" s="359"/>
      <c r="K72" s="359"/>
      <c r="L72" s="360">
        <v>27</v>
      </c>
      <c r="M72" s="359" t="str">
        <f t="shared" si="9"/>
        <v/>
      </c>
      <c r="N72" s="359"/>
      <c r="O72" s="359"/>
      <c r="P72" s="359"/>
      <c r="Q72" s="359"/>
      <c r="S72" s="359" t="str">
        <f t="shared" si="4"/>
        <v/>
      </c>
      <c r="T72" s="359"/>
      <c r="U72" s="359" t="str">
        <f t="shared" si="5"/>
        <v/>
      </c>
      <c r="X72" s="371" t="str">
        <f t="shared" si="6"/>
        <v/>
      </c>
      <c r="Y72" s="372" t="str">
        <f t="shared" si="7"/>
        <v/>
      </c>
      <c r="Z72" s="372" t="str">
        <f t="shared" si="10"/>
        <v/>
      </c>
      <c r="AA72" s="373" t="str">
        <f t="shared" si="11"/>
        <v/>
      </c>
    </row>
    <row r="73" spans="1:27" ht="15" customHeight="1" x14ac:dyDescent="0.25">
      <c r="A73" s="374" t="s">
        <v>1452</v>
      </c>
      <c r="B73" s="375">
        <f>U27</f>
        <v>0</v>
      </c>
      <c r="C73" s="376"/>
      <c r="F73" s="359" t="str">
        <f t="shared" si="8"/>
        <v/>
      </c>
      <c r="G73" s="359"/>
      <c r="H73" s="359"/>
      <c r="I73" s="360">
        <f t="shared" si="3"/>
        <v>14</v>
      </c>
      <c r="J73" s="359"/>
      <c r="K73" s="359"/>
      <c r="L73" s="360">
        <v>28</v>
      </c>
      <c r="M73" s="359" t="str">
        <f t="shared" si="9"/>
        <v/>
      </c>
      <c r="N73" s="359"/>
      <c r="O73" s="359"/>
      <c r="P73" s="359"/>
      <c r="Q73" s="359"/>
      <c r="S73" s="359" t="str">
        <f t="shared" si="4"/>
        <v/>
      </c>
      <c r="T73" s="359"/>
      <c r="U73" s="359" t="str">
        <f t="shared" si="5"/>
        <v/>
      </c>
      <c r="X73" s="371" t="str">
        <f t="shared" si="6"/>
        <v/>
      </c>
      <c r="Y73" s="372" t="str">
        <f t="shared" si="7"/>
        <v/>
      </c>
      <c r="Z73" s="372" t="str">
        <f t="shared" si="10"/>
        <v/>
      </c>
      <c r="AA73" s="373" t="str">
        <f t="shared" si="11"/>
        <v/>
      </c>
    </row>
    <row r="74" spans="1:27" ht="15" customHeight="1" x14ac:dyDescent="0.25">
      <c r="A74" s="374" t="s">
        <v>1453</v>
      </c>
      <c r="B74" s="375">
        <f>V27</f>
        <v>0</v>
      </c>
      <c r="C74" s="376"/>
      <c r="F74" s="359" t="str">
        <f t="shared" si="8"/>
        <v/>
      </c>
      <c r="G74" s="359"/>
      <c r="H74" s="359"/>
      <c r="I74" s="360">
        <f t="shared" si="3"/>
        <v>14</v>
      </c>
      <c r="J74" s="359"/>
      <c r="K74" s="359"/>
      <c r="L74" s="360">
        <v>29</v>
      </c>
      <c r="M74" s="359" t="str">
        <f t="shared" si="9"/>
        <v/>
      </c>
      <c r="N74" s="359"/>
      <c r="O74" s="359"/>
      <c r="P74" s="359"/>
      <c r="Q74" s="359"/>
      <c r="S74" s="359" t="str">
        <f t="shared" si="4"/>
        <v/>
      </c>
      <c r="T74" s="359"/>
      <c r="U74" s="359" t="str">
        <f t="shared" si="5"/>
        <v/>
      </c>
      <c r="X74" s="371" t="str">
        <f t="shared" si="6"/>
        <v/>
      </c>
      <c r="Y74" s="372" t="str">
        <f t="shared" si="7"/>
        <v/>
      </c>
      <c r="Z74" s="372" t="str">
        <f t="shared" si="10"/>
        <v/>
      </c>
      <c r="AA74" s="373" t="str">
        <f t="shared" si="11"/>
        <v/>
      </c>
    </row>
    <row r="75" spans="1:27" x14ac:dyDescent="0.25">
      <c r="A75" s="374"/>
      <c r="B75" s="378"/>
      <c r="C75" s="376"/>
      <c r="E75" s="360" t="s">
        <v>1454</v>
      </c>
      <c r="F75" s="359" t="s">
        <v>39</v>
      </c>
      <c r="G75" s="359"/>
      <c r="H75" s="359"/>
      <c r="I75" s="360">
        <f t="shared" si="3"/>
        <v>15</v>
      </c>
      <c r="J75" s="359"/>
      <c r="K75" s="359"/>
      <c r="L75" s="360">
        <v>30</v>
      </c>
      <c r="M75" s="359" t="str">
        <f t="shared" si="9"/>
        <v/>
      </c>
      <c r="N75" s="359"/>
      <c r="O75" s="359"/>
      <c r="P75" s="359"/>
      <c r="Q75" s="359"/>
      <c r="S75" s="359" t="str">
        <f t="shared" si="4"/>
        <v/>
      </c>
      <c r="T75" s="359"/>
      <c r="U75" s="359" t="str">
        <f t="shared" si="5"/>
        <v/>
      </c>
      <c r="X75" s="371" t="str">
        <f t="shared" si="6"/>
        <v/>
      </c>
      <c r="Y75" s="372" t="str">
        <f t="shared" si="7"/>
        <v/>
      </c>
      <c r="Z75" s="372" t="str">
        <f t="shared" si="10"/>
        <v/>
      </c>
      <c r="AA75" s="373" t="str">
        <f t="shared" si="11"/>
        <v/>
      </c>
    </row>
    <row r="76" spans="1:27" ht="75" x14ac:dyDescent="0.25">
      <c r="A76" s="380" t="s">
        <v>1455</v>
      </c>
      <c r="B76" s="381"/>
      <c r="C76" s="382"/>
      <c r="F76" s="360" t="str">
        <f>IF(B49=0,"",A76)</f>
        <v/>
      </c>
      <c r="G76" s="359"/>
      <c r="H76" s="359"/>
      <c r="I76" s="360">
        <f t="shared" si="3"/>
        <v>15</v>
      </c>
      <c r="J76" s="359"/>
      <c r="K76" s="359"/>
      <c r="L76" s="360">
        <v>31</v>
      </c>
      <c r="M76" s="359" t="str">
        <f t="shared" si="9"/>
        <v/>
      </c>
      <c r="N76" s="359"/>
      <c r="O76" s="359"/>
      <c r="P76" s="359"/>
      <c r="Q76" s="359"/>
      <c r="S76" s="359" t="str">
        <f t="shared" si="4"/>
        <v/>
      </c>
      <c r="T76" s="359"/>
      <c r="U76" s="359" t="str">
        <f t="shared" si="5"/>
        <v/>
      </c>
      <c r="X76" s="383" t="str">
        <f t="shared" si="6"/>
        <v/>
      </c>
      <c r="Y76" s="384" t="str">
        <f t="shared" si="7"/>
        <v/>
      </c>
      <c r="Z76" s="384" t="str">
        <f t="shared" si="10"/>
        <v/>
      </c>
      <c r="AA76" s="385" t="str">
        <f t="shared" si="11"/>
        <v/>
      </c>
    </row>
    <row r="77" spans="1:27" x14ac:dyDescent="0.25">
      <c r="A77" s="314" t="s">
        <v>1456</v>
      </c>
      <c r="B77" s="356">
        <f>SUM(B47:B53)+SUM(B56:B60)+SUM(B63:B65)+SUM(B68:B74)</f>
        <v>1.0000000000000002</v>
      </c>
    </row>
    <row r="80" spans="1:27" x14ac:dyDescent="0.25">
      <c r="A80" s="325"/>
    </row>
    <row r="81" spans="1:13" ht="18.75" x14ac:dyDescent="0.3">
      <c r="A81" s="320" t="s">
        <v>1457</v>
      </c>
    </row>
    <row r="82" spans="1:13" x14ac:dyDescent="0.25">
      <c r="A82" s="386"/>
    </row>
    <row r="83" spans="1:13" x14ac:dyDescent="0.25">
      <c r="A83" s="387" t="s">
        <v>1458</v>
      </c>
      <c r="E83" s="314" t="s">
        <v>1459</v>
      </c>
      <c r="H83" s="314" t="s">
        <v>1460</v>
      </c>
      <c r="J83" s="314" t="s">
        <v>1461</v>
      </c>
    </row>
    <row r="84" spans="1:13" ht="47.25" customHeight="1" x14ac:dyDescent="0.25">
      <c r="A84" s="325"/>
      <c r="E84" s="410" t="s">
        <v>1462</v>
      </c>
      <c r="F84" s="410"/>
    </row>
    <row r="86" spans="1:13" x14ac:dyDescent="0.25">
      <c r="A86" s="314"/>
    </row>
    <row r="89" spans="1:13" x14ac:dyDescent="0.25">
      <c r="A89" s="314" t="s">
        <v>1365</v>
      </c>
      <c r="B89" s="312">
        <f>VLOOKUP($A$2,'Miljövärden för publ företag'!$C$4:$G$487,MATCH("Total andel fossilt",'Miljövärden för publ företag'!$C$4:$G$4,0),FALSE)</f>
        <v>1.9501000000000001E-2</v>
      </c>
      <c r="E89" s="312">
        <f>IF(B89&lt;0.03,3,2)</f>
        <v>3</v>
      </c>
      <c r="H89" s="268">
        <f>ROUND(B89,E89)</f>
        <v>0.02</v>
      </c>
      <c r="J89" s="388" t="str">
        <f>IF(A2="välj nät:","",IF(K4="ja",IF(D2="ja",H89*100&amp;"%","Se länk"),""))</f>
        <v>2%</v>
      </c>
    </row>
    <row r="91" spans="1:13" x14ac:dyDescent="0.25">
      <c r="A91" s="314" t="s">
        <v>1463</v>
      </c>
      <c r="B91" s="357">
        <f>B67</f>
        <v>1.9500964375290648E-2</v>
      </c>
      <c r="E91" s="312">
        <f>E89</f>
        <v>3</v>
      </c>
      <c r="F91" s="318" t="s">
        <v>1464</v>
      </c>
      <c r="H91" s="357">
        <f>ROUND(B91,E91)</f>
        <v>0.02</v>
      </c>
      <c r="J91" s="314" t="s">
        <v>1465</v>
      </c>
      <c r="L91" s="389" t="str">
        <f>IF(H91=H89,"ja","nej")</f>
        <v>ja</v>
      </c>
      <c r="M91" s="318" t="s">
        <v>1466</v>
      </c>
    </row>
  </sheetData>
  <mergeCells count="9">
    <mergeCell ref="A44:B44"/>
    <mergeCell ref="X44:AA44"/>
    <mergeCell ref="E84:F84"/>
    <mergeCell ref="I15:K15"/>
    <mergeCell ref="A24:E24"/>
    <mergeCell ref="F24:L24"/>
    <mergeCell ref="M24:O24"/>
    <mergeCell ref="P24:V24"/>
    <mergeCell ref="X24:Y24"/>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Q81"/>
  <sheetViews>
    <sheetView tabSelected="1" zoomScale="80" zoomScaleNormal="80" workbookViewId="0">
      <selection activeCell="B7" sqref="B7:E7"/>
    </sheetView>
  </sheetViews>
  <sheetFormatPr defaultRowHeight="15" x14ac:dyDescent="0.25"/>
  <cols>
    <col min="1" max="2" width="9.140625" style="33" customWidth="1"/>
    <col min="3" max="3" width="13" style="33" customWidth="1"/>
    <col min="4" max="4" width="23.5703125" style="33" customWidth="1"/>
    <col min="5" max="5" width="19.5703125" style="33" customWidth="1"/>
    <col min="6" max="6" width="3.28515625" style="33" customWidth="1"/>
    <col min="7" max="7" width="20" style="33" customWidth="1"/>
    <col min="8" max="8" width="8.7109375" style="33" customWidth="1"/>
    <col min="9" max="9" width="7.28515625" style="33" customWidth="1"/>
    <col min="10" max="10" width="22.5703125" style="33" customWidth="1"/>
    <col min="11" max="11" width="19" style="33" customWidth="1"/>
    <col min="12" max="12" width="20.85546875" style="33" customWidth="1"/>
    <col min="13" max="13" width="5.140625" style="33" customWidth="1"/>
    <col min="14" max="14" width="12" style="33" customWidth="1"/>
    <col min="15" max="15" width="9.140625" style="33" customWidth="1"/>
    <col min="16" max="16" width="9.85546875" style="33" bestFit="1" customWidth="1"/>
    <col min="17" max="256" width="9.140625" style="33"/>
    <col min="257" max="259" width="9.140625" style="33" customWidth="1"/>
    <col min="260" max="260" width="22.7109375" style="33" customWidth="1"/>
    <col min="261" max="261" width="19.5703125" style="33" customWidth="1"/>
    <col min="262" max="262" width="3.28515625" style="33" customWidth="1"/>
    <col min="263" max="263" width="20" style="33" customWidth="1"/>
    <col min="264" max="264" width="8.7109375" style="33" customWidth="1"/>
    <col min="265" max="265" width="7.28515625" style="33" customWidth="1"/>
    <col min="266" max="266" width="3.28515625" style="33" customWidth="1"/>
    <col min="267" max="267" width="19" style="33" customWidth="1"/>
    <col min="268" max="268" width="27.7109375" style="33" customWidth="1"/>
    <col min="269" max="269" width="6.85546875" style="33" customWidth="1"/>
    <col min="270" max="270" width="12" style="33" customWidth="1"/>
    <col min="271" max="271" width="9.140625" style="33" customWidth="1"/>
    <col min="272" max="272" width="9.85546875" style="33" bestFit="1" customWidth="1"/>
    <col min="273" max="512" width="9.140625" style="33"/>
    <col min="513" max="515" width="9.140625" style="33" customWidth="1"/>
    <col min="516" max="516" width="22.7109375" style="33" customWidth="1"/>
    <col min="517" max="517" width="19.5703125" style="33" customWidth="1"/>
    <col min="518" max="518" width="3.28515625" style="33" customWidth="1"/>
    <col min="519" max="519" width="20" style="33" customWidth="1"/>
    <col min="520" max="520" width="8.7109375" style="33" customWidth="1"/>
    <col min="521" max="521" width="7.28515625" style="33" customWidth="1"/>
    <col min="522" max="522" width="3.28515625" style="33" customWidth="1"/>
    <col min="523" max="523" width="19" style="33" customWidth="1"/>
    <col min="524" max="524" width="27.7109375" style="33" customWidth="1"/>
    <col min="525" max="525" width="6.85546875" style="33" customWidth="1"/>
    <col min="526" max="526" width="12" style="33" customWidth="1"/>
    <col min="527" max="527" width="9.140625" style="33" customWidth="1"/>
    <col min="528" max="528" width="9.85546875" style="33" bestFit="1" customWidth="1"/>
    <col min="529" max="768" width="9.140625" style="33"/>
    <col min="769" max="771" width="9.140625" style="33" customWidth="1"/>
    <col min="772" max="772" width="22.7109375" style="33" customWidth="1"/>
    <col min="773" max="773" width="19.5703125" style="33" customWidth="1"/>
    <col min="774" max="774" width="3.28515625" style="33" customWidth="1"/>
    <col min="775" max="775" width="20" style="33" customWidth="1"/>
    <col min="776" max="776" width="8.7109375" style="33" customWidth="1"/>
    <col min="777" max="777" width="7.28515625" style="33" customWidth="1"/>
    <col min="778" max="778" width="3.28515625" style="33" customWidth="1"/>
    <col min="779" max="779" width="19" style="33" customWidth="1"/>
    <col min="780" max="780" width="27.7109375" style="33" customWidth="1"/>
    <col min="781" max="781" width="6.85546875" style="33" customWidth="1"/>
    <col min="782" max="782" width="12" style="33" customWidth="1"/>
    <col min="783" max="783" width="9.140625" style="33" customWidth="1"/>
    <col min="784" max="784" width="9.85546875" style="33" bestFit="1" customWidth="1"/>
    <col min="785" max="1024" width="9.140625" style="33"/>
    <col min="1025" max="1027" width="9.140625" style="33" customWidth="1"/>
    <col min="1028" max="1028" width="22.7109375" style="33" customWidth="1"/>
    <col min="1029" max="1029" width="19.5703125" style="33" customWidth="1"/>
    <col min="1030" max="1030" width="3.28515625" style="33" customWidth="1"/>
    <col min="1031" max="1031" width="20" style="33" customWidth="1"/>
    <col min="1032" max="1032" width="8.7109375" style="33" customWidth="1"/>
    <col min="1033" max="1033" width="7.28515625" style="33" customWidth="1"/>
    <col min="1034" max="1034" width="3.28515625" style="33" customWidth="1"/>
    <col min="1035" max="1035" width="19" style="33" customWidth="1"/>
    <col min="1036" max="1036" width="27.7109375" style="33" customWidth="1"/>
    <col min="1037" max="1037" width="6.85546875" style="33" customWidth="1"/>
    <col min="1038" max="1038" width="12" style="33" customWidth="1"/>
    <col min="1039" max="1039" width="9.140625" style="33" customWidth="1"/>
    <col min="1040" max="1040" width="9.85546875" style="33" bestFit="1" customWidth="1"/>
    <col min="1041" max="1280" width="9.140625" style="33"/>
    <col min="1281" max="1283" width="9.140625" style="33" customWidth="1"/>
    <col min="1284" max="1284" width="22.7109375" style="33" customWidth="1"/>
    <col min="1285" max="1285" width="19.5703125" style="33" customWidth="1"/>
    <col min="1286" max="1286" width="3.28515625" style="33" customWidth="1"/>
    <col min="1287" max="1287" width="20" style="33" customWidth="1"/>
    <col min="1288" max="1288" width="8.7109375" style="33" customWidth="1"/>
    <col min="1289" max="1289" width="7.28515625" style="33" customWidth="1"/>
    <col min="1290" max="1290" width="3.28515625" style="33" customWidth="1"/>
    <col min="1291" max="1291" width="19" style="33" customWidth="1"/>
    <col min="1292" max="1292" width="27.7109375" style="33" customWidth="1"/>
    <col min="1293" max="1293" width="6.85546875" style="33" customWidth="1"/>
    <col min="1294" max="1294" width="12" style="33" customWidth="1"/>
    <col min="1295" max="1295" width="9.140625" style="33" customWidth="1"/>
    <col min="1296" max="1296" width="9.85546875" style="33" bestFit="1" customWidth="1"/>
    <col min="1297" max="1536" width="9.140625" style="33"/>
    <col min="1537" max="1539" width="9.140625" style="33" customWidth="1"/>
    <col min="1540" max="1540" width="22.7109375" style="33" customWidth="1"/>
    <col min="1541" max="1541" width="19.5703125" style="33" customWidth="1"/>
    <col min="1542" max="1542" width="3.28515625" style="33" customWidth="1"/>
    <col min="1543" max="1543" width="20" style="33" customWidth="1"/>
    <col min="1544" max="1544" width="8.7109375" style="33" customWidth="1"/>
    <col min="1545" max="1545" width="7.28515625" style="33" customWidth="1"/>
    <col min="1546" max="1546" width="3.28515625" style="33" customWidth="1"/>
    <col min="1547" max="1547" width="19" style="33" customWidth="1"/>
    <col min="1548" max="1548" width="27.7109375" style="33" customWidth="1"/>
    <col min="1549" max="1549" width="6.85546875" style="33" customWidth="1"/>
    <col min="1550" max="1550" width="12" style="33" customWidth="1"/>
    <col min="1551" max="1551" width="9.140625" style="33" customWidth="1"/>
    <col min="1552" max="1552" width="9.85546875" style="33" bestFit="1" customWidth="1"/>
    <col min="1553" max="1792" width="9.140625" style="33"/>
    <col min="1793" max="1795" width="9.140625" style="33" customWidth="1"/>
    <col min="1796" max="1796" width="22.7109375" style="33" customWidth="1"/>
    <col min="1797" max="1797" width="19.5703125" style="33" customWidth="1"/>
    <col min="1798" max="1798" width="3.28515625" style="33" customWidth="1"/>
    <col min="1799" max="1799" width="20" style="33" customWidth="1"/>
    <col min="1800" max="1800" width="8.7109375" style="33" customWidth="1"/>
    <col min="1801" max="1801" width="7.28515625" style="33" customWidth="1"/>
    <col min="1802" max="1802" width="3.28515625" style="33" customWidth="1"/>
    <col min="1803" max="1803" width="19" style="33" customWidth="1"/>
    <col min="1804" max="1804" width="27.7109375" style="33" customWidth="1"/>
    <col min="1805" max="1805" width="6.85546875" style="33" customWidth="1"/>
    <col min="1806" max="1806" width="12" style="33" customWidth="1"/>
    <col min="1807" max="1807" width="9.140625" style="33" customWidth="1"/>
    <col min="1808" max="1808" width="9.85546875" style="33" bestFit="1" customWidth="1"/>
    <col min="1809" max="2048" width="9.140625" style="33"/>
    <col min="2049" max="2051" width="9.140625" style="33" customWidth="1"/>
    <col min="2052" max="2052" width="22.7109375" style="33" customWidth="1"/>
    <col min="2053" max="2053" width="19.5703125" style="33" customWidth="1"/>
    <col min="2054" max="2054" width="3.28515625" style="33" customWidth="1"/>
    <col min="2055" max="2055" width="20" style="33" customWidth="1"/>
    <col min="2056" max="2056" width="8.7109375" style="33" customWidth="1"/>
    <col min="2057" max="2057" width="7.28515625" style="33" customWidth="1"/>
    <col min="2058" max="2058" width="3.28515625" style="33" customWidth="1"/>
    <col min="2059" max="2059" width="19" style="33" customWidth="1"/>
    <col min="2060" max="2060" width="27.7109375" style="33" customWidth="1"/>
    <col min="2061" max="2061" width="6.85546875" style="33" customWidth="1"/>
    <col min="2062" max="2062" width="12" style="33" customWidth="1"/>
    <col min="2063" max="2063" width="9.140625" style="33" customWidth="1"/>
    <col min="2064" max="2064" width="9.85546875" style="33" bestFit="1" customWidth="1"/>
    <col min="2065" max="2304" width="9.140625" style="33"/>
    <col min="2305" max="2307" width="9.140625" style="33" customWidth="1"/>
    <col min="2308" max="2308" width="22.7109375" style="33" customWidth="1"/>
    <col min="2309" max="2309" width="19.5703125" style="33" customWidth="1"/>
    <col min="2310" max="2310" width="3.28515625" style="33" customWidth="1"/>
    <col min="2311" max="2311" width="20" style="33" customWidth="1"/>
    <col min="2312" max="2312" width="8.7109375" style="33" customWidth="1"/>
    <col min="2313" max="2313" width="7.28515625" style="33" customWidth="1"/>
    <col min="2314" max="2314" width="3.28515625" style="33" customWidth="1"/>
    <col min="2315" max="2315" width="19" style="33" customWidth="1"/>
    <col min="2316" max="2316" width="27.7109375" style="33" customWidth="1"/>
    <col min="2317" max="2317" width="6.85546875" style="33" customWidth="1"/>
    <col min="2318" max="2318" width="12" style="33" customWidth="1"/>
    <col min="2319" max="2319" width="9.140625" style="33" customWidth="1"/>
    <col min="2320" max="2320" width="9.85546875" style="33" bestFit="1" customWidth="1"/>
    <col min="2321" max="2560" width="9.140625" style="33"/>
    <col min="2561" max="2563" width="9.140625" style="33" customWidth="1"/>
    <col min="2564" max="2564" width="22.7109375" style="33" customWidth="1"/>
    <col min="2565" max="2565" width="19.5703125" style="33" customWidth="1"/>
    <col min="2566" max="2566" width="3.28515625" style="33" customWidth="1"/>
    <col min="2567" max="2567" width="20" style="33" customWidth="1"/>
    <col min="2568" max="2568" width="8.7109375" style="33" customWidth="1"/>
    <col min="2569" max="2569" width="7.28515625" style="33" customWidth="1"/>
    <col min="2570" max="2570" width="3.28515625" style="33" customWidth="1"/>
    <col min="2571" max="2571" width="19" style="33" customWidth="1"/>
    <col min="2572" max="2572" width="27.7109375" style="33" customWidth="1"/>
    <col min="2573" max="2573" width="6.85546875" style="33" customWidth="1"/>
    <col min="2574" max="2574" width="12" style="33" customWidth="1"/>
    <col min="2575" max="2575" width="9.140625" style="33" customWidth="1"/>
    <col min="2576" max="2576" width="9.85546875" style="33" bestFit="1" customWidth="1"/>
    <col min="2577" max="2816" width="9.140625" style="33"/>
    <col min="2817" max="2819" width="9.140625" style="33" customWidth="1"/>
    <col min="2820" max="2820" width="22.7109375" style="33" customWidth="1"/>
    <col min="2821" max="2821" width="19.5703125" style="33" customWidth="1"/>
    <col min="2822" max="2822" width="3.28515625" style="33" customWidth="1"/>
    <col min="2823" max="2823" width="20" style="33" customWidth="1"/>
    <col min="2824" max="2824" width="8.7109375" style="33" customWidth="1"/>
    <col min="2825" max="2825" width="7.28515625" style="33" customWidth="1"/>
    <col min="2826" max="2826" width="3.28515625" style="33" customWidth="1"/>
    <col min="2827" max="2827" width="19" style="33" customWidth="1"/>
    <col min="2828" max="2828" width="27.7109375" style="33" customWidth="1"/>
    <col min="2829" max="2829" width="6.85546875" style="33" customWidth="1"/>
    <col min="2830" max="2830" width="12" style="33" customWidth="1"/>
    <col min="2831" max="2831" width="9.140625" style="33" customWidth="1"/>
    <col min="2832" max="2832" width="9.85546875" style="33" bestFit="1" customWidth="1"/>
    <col min="2833" max="3072" width="9.140625" style="33"/>
    <col min="3073" max="3075" width="9.140625" style="33" customWidth="1"/>
    <col min="3076" max="3076" width="22.7109375" style="33" customWidth="1"/>
    <col min="3077" max="3077" width="19.5703125" style="33" customWidth="1"/>
    <col min="3078" max="3078" width="3.28515625" style="33" customWidth="1"/>
    <col min="3079" max="3079" width="20" style="33" customWidth="1"/>
    <col min="3080" max="3080" width="8.7109375" style="33" customWidth="1"/>
    <col min="3081" max="3081" width="7.28515625" style="33" customWidth="1"/>
    <col min="3082" max="3082" width="3.28515625" style="33" customWidth="1"/>
    <col min="3083" max="3083" width="19" style="33" customWidth="1"/>
    <col min="3084" max="3084" width="27.7109375" style="33" customWidth="1"/>
    <col min="3085" max="3085" width="6.85546875" style="33" customWidth="1"/>
    <col min="3086" max="3086" width="12" style="33" customWidth="1"/>
    <col min="3087" max="3087" width="9.140625" style="33" customWidth="1"/>
    <col min="3088" max="3088" width="9.85546875" style="33" bestFit="1" customWidth="1"/>
    <col min="3089" max="3328" width="9.140625" style="33"/>
    <col min="3329" max="3331" width="9.140625" style="33" customWidth="1"/>
    <col min="3332" max="3332" width="22.7109375" style="33" customWidth="1"/>
    <col min="3333" max="3333" width="19.5703125" style="33" customWidth="1"/>
    <col min="3334" max="3334" width="3.28515625" style="33" customWidth="1"/>
    <col min="3335" max="3335" width="20" style="33" customWidth="1"/>
    <col min="3336" max="3336" width="8.7109375" style="33" customWidth="1"/>
    <col min="3337" max="3337" width="7.28515625" style="33" customWidth="1"/>
    <col min="3338" max="3338" width="3.28515625" style="33" customWidth="1"/>
    <col min="3339" max="3339" width="19" style="33" customWidth="1"/>
    <col min="3340" max="3340" width="27.7109375" style="33" customWidth="1"/>
    <col min="3341" max="3341" width="6.85546875" style="33" customWidth="1"/>
    <col min="3342" max="3342" width="12" style="33" customWidth="1"/>
    <col min="3343" max="3343" width="9.140625" style="33" customWidth="1"/>
    <col min="3344" max="3344" width="9.85546875" style="33" bestFit="1" customWidth="1"/>
    <col min="3345" max="3584" width="9.140625" style="33"/>
    <col min="3585" max="3587" width="9.140625" style="33" customWidth="1"/>
    <col min="3588" max="3588" width="22.7109375" style="33" customWidth="1"/>
    <col min="3589" max="3589" width="19.5703125" style="33" customWidth="1"/>
    <col min="3590" max="3590" width="3.28515625" style="33" customWidth="1"/>
    <col min="3591" max="3591" width="20" style="33" customWidth="1"/>
    <col min="3592" max="3592" width="8.7109375" style="33" customWidth="1"/>
    <col min="3593" max="3593" width="7.28515625" style="33" customWidth="1"/>
    <col min="3594" max="3594" width="3.28515625" style="33" customWidth="1"/>
    <col min="3595" max="3595" width="19" style="33" customWidth="1"/>
    <col min="3596" max="3596" width="27.7109375" style="33" customWidth="1"/>
    <col min="3597" max="3597" width="6.85546875" style="33" customWidth="1"/>
    <col min="3598" max="3598" width="12" style="33" customWidth="1"/>
    <col min="3599" max="3599" width="9.140625" style="33" customWidth="1"/>
    <col min="3600" max="3600" width="9.85546875" style="33" bestFit="1" customWidth="1"/>
    <col min="3601" max="3840" width="9.140625" style="33"/>
    <col min="3841" max="3843" width="9.140625" style="33" customWidth="1"/>
    <col min="3844" max="3844" width="22.7109375" style="33" customWidth="1"/>
    <col min="3845" max="3845" width="19.5703125" style="33" customWidth="1"/>
    <col min="3846" max="3846" width="3.28515625" style="33" customWidth="1"/>
    <col min="3847" max="3847" width="20" style="33" customWidth="1"/>
    <col min="3848" max="3848" width="8.7109375" style="33" customWidth="1"/>
    <col min="3849" max="3849" width="7.28515625" style="33" customWidth="1"/>
    <col min="3850" max="3850" width="3.28515625" style="33" customWidth="1"/>
    <col min="3851" max="3851" width="19" style="33" customWidth="1"/>
    <col min="3852" max="3852" width="27.7109375" style="33" customWidth="1"/>
    <col min="3853" max="3853" width="6.85546875" style="33" customWidth="1"/>
    <col min="3854" max="3854" width="12" style="33" customWidth="1"/>
    <col min="3855" max="3855" width="9.140625" style="33" customWidth="1"/>
    <col min="3856" max="3856" width="9.85546875" style="33" bestFit="1" customWidth="1"/>
    <col min="3857" max="4096" width="9.140625" style="33"/>
    <col min="4097" max="4099" width="9.140625" style="33" customWidth="1"/>
    <col min="4100" max="4100" width="22.7109375" style="33" customWidth="1"/>
    <col min="4101" max="4101" width="19.5703125" style="33" customWidth="1"/>
    <col min="4102" max="4102" width="3.28515625" style="33" customWidth="1"/>
    <col min="4103" max="4103" width="20" style="33" customWidth="1"/>
    <col min="4104" max="4104" width="8.7109375" style="33" customWidth="1"/>
    <col min="4105" max="4105" width="7.28515625" style="33" customWidth="1"/>
    <col min="4106" max="4106" width="3.28515625" style="33" customWidth="1"/>
    <col min="4107" max="4107" width="19" style="33" customWidth="1"/>
    <col min="4108" max="4108" width="27.7109375" style="33" customWidth="1"/>
    <col min="4109" max="4109" width="6.85546875" style="33" customWidth="1"/>
    <col min="4110" max="4110" width="12" style="33" customWidth="1"/>
    <col min="4111" max="4111" width="9.140625" style="33" customWidth="1"/>
    <col min="4112" max="4112" width="9.85546875" style="33" bestFit="1" customWidth="1"/>
    <col min="4113" max="4352" width="9.140625" style="33"/>
    <col min="4353" max="4355" width="9.140625" style="33" customWidth="1"/>
    <col min="4356" max="4356" width="22.7109375" style="33" customWidth="1"/>
    <col min="4357" max="4357" width="19.5703125" style="33" customWidth="1"/>
    <col min="4358" max="4358" width="3.28515625" style="33" customWidth="1"/>
    <col min="4359" max="4359" width="20" style="33" customWidth="1"/>
    <col min="4360" max="4360" width="8.7109375" style="33" customWidth="1"/>
    <col min="4361" max="4361" width="7.28515625" style="33" customWidth="1"/>
    <col min="4362" max="4362" width="3.28515625" style="33" customWidth="1"/>
    <col min="4363" max="4363" width="19" style="33" customWidth="1"/>
    <col min="4364" max="4364" width="27.7109375" style="33" customWidth="1"/>
    <col min="4365" max="4365" width="6.85546875" style="33" customWidth="1"/>
    <col min="4366" max="4366" width="12" style="33" customWidth="1"/>
    <col min="4367" max="4367" width="9.140625" style="33" customWidth="1"/>
    <col min="4368" max="4368" width="9.85546875" style="33" bestFit="1" customWidth="1"/>
    <col min="4369" max="4608" width="9.140625" style="33"/>
    <col min="4609" max="4611" width="9.140625" style="33" customWidth="1"/>
    <col min="4612" max="4612" width="22.7109375" style="33" customWidth="1"/>
    <col min="4613" max="4613" width="19.5703125" style="33" customWidth="1"/>
    <col min="4614" max="4614" width="3.28515625" style="33" customWidth="1"/>
    <col min="4615" max="4615" width="20" style="33" customWidth="1"/>
    <col min="4616" max="4616" width="8.7109375" style="33" customWidth="1"/>
    <col min="4617" max="4617" width="7.28515625" style="33" customWidth="1"/>
    <col min="4618" max="4618" width="3.28515625" style="33" customWidth="1"/>
    <col min="4619" max="4619" width="19" style="33" customWidth="1"/>
    <col min="4620" max="4620" width="27.7109375" style="33" customWidth="1"/>
    <col min="4621" max="4621" width="6.85546875" style="33" customWidth="1"/>
    <col min="4622" max="4622" width="12" style="33" customWidth="1"/>
    <col min="4623" max="4623" width="9.140625" style="33" customWidth="1"/>
    <col min="4624" max="4624" width="9.85546875" style="33" bestFit="1" customWidth="1"/>
    <col min="4625" max="4864" width="9.140625" style="33"/>
    <col min="4865" max="4867" width="9.140625" style="33" customWidth="1"/>
    <col min="4868" max="4868" width="22.7109375" style="33" customWidth="1"/>
    <col min="4869" max="4869" width="19.5703125" style="33" customWidth="1"/>
    <col min="4870" max="4870" width="3.28515625" style="33" customWidth="1"/>
    <col min="4871" max="4871" width="20" style="33" customWidth="1"/>
    <col min="4872" max="4872" width="8.7109375" style="33" customWidth="1"/>
    <col min="4873" max="4873" width="7.28515625" style="33" customWidth="1"/>
    <col min="4874" max="4874" width="3.28515625" style="33" customWidth="1"/>
    <col min="4875" max="4875" width="19" style="33" customWidth="1"/>
    <col min="4876" max="4876" width="27.7109375" style="33" customWidth="1"/>
    <col min="4877" max="4877" width="6.85546875" style="33" customWidth="1"/>
    <col min="4878" max="4878" width="12" style="33" customWidth="1"/>
    <col min="4879" max="4879" width="9.140625" style="33" customWidth="1"/>
    <col min="4880" max="4880" width="9.85546875" style="33" bestFit="1" customWidth="1"/>
    <col min="4881" max="5120" width="9.140625" style="33"/>
    <col min="5121" max="5123" width="9.140625" style="33" customWidth="1"/>
    <col min="5124" max="5124" width="22.7109375" style="33" customWidth="1"/>
    <col min="5125" max="5125" width="19.5703125" style="33" customWidth="1"/>
    <col min="5126" max="5126" width="3.28515625" style="33" customWidth="1"/>
    <col min="5127" max="5127" width="20" style="33" customWidth="1"/>
    <col min="5128" max="5128" width="8.7109375" style="33" customWidth="1"/>
    <col min="5129" max="5129" width="7.28515625" style="33" customWidth="1"/>
    <col min="5130" max="5130" width="3.28515625" style="33" customWidth="1"/>
    <col min="5131" max="5131" width="19" style="33" customWidth="1"/>
    <col min="5132" max="5132" width="27.7109375" style="33" customWidth="1"/>
    <col min="5133" max="5133" width="6.85546875" style="33" customWidth="1"/>
    <col min="5134" max="5134" width="12" style="33" customWidth="1"/>
    <col min="5135" max="5135" width="9.140625" style="33" customWidth="1"/>
    <col min="5136" max="5136" width="9.85546875" style="33" bestFit="1" customWidth="1"/>
    <col min="5137" max="5376" width="9.140625" style="33"/>
    <col min="5377" max="5379" width="9.140625" style="33" customWidth="1"/>
    <col min="5380" max="5380" width="22.7109375" style="33" customWidth="1"/>
    <col min="5381" max="5381" width="19.5703125" style="33" customWidth="1"/>
    <col min="5382" max="5382" width="3.28515625" style="33" customWidth="1"/>
    <col min="5383" max="5383" width="20" style="33" customWidth="1"/>
    <col min="5384" max="5384" width="8.7109375" style="33" customWidth="1"/>
    <col min="5385" max="5385" width="7.28515625" style="33" customWidth="1"/>
    <col min="5386" max="5386" width="3.28515625" style="33" customWidth="1"/>
    <col min="5387" max="5387" width="19" style="33" customWidth="1"/>
    <col min="5388" max="5388" width="27.7109375" style="33" customWidth="1"/>
    <col min="5389" max="5389" width="6.85546875" style="33" customWidth="1"/>
    <col min="5390" max="5390" width="12" style="33" customWidth="1"/>
    <col min="5391" max="5391" width="9.140625" style="33" customWidth="1"/>
    <col min="5392" max="5392" width="9.85546875" style="33" bestFit="1" customWidth="1"/>
    <col min="5393" max="5632" width="9.140625" style="33"/>
    <col min="5633" max="5635" width="9.140625" style="33" customWidth="1"/>
    <col min="5636" max="5636" width="22.7109375" style="33" customWidth="1"/>
    <col min="5637" max="5637" width="19.5703125" style="33" customWidth="1"/>
    <col min="5638" max="5638" width="3.28515625" style="33" customWidth="1"/>
    <col min="5639" max="5639" width="20" style="33" customWidth="1"/>
    <col min="5640" max="5640" width="8.7109375" style="33" customWidth="1"/>
    <col min="5641" max="5641" width="7.28515625" style="33" customWidth="1"/>
    <col min="5642" max="5642" width="3.28515625" style="33" customWidth="1"/>
    <col min="5643" max="5643" width="19" style="33" customWidth="1"/>
    <col min="5644" max="5644" width="27.7109375" style="33" customWidth="1"/>
    <col min="5645" max="5645" width="6.85546875" style="33" customWidth="1"/>
    <col min="5646" max="5646" width="12" style="33" customWidth="1"/>
    <col min="5647" max="5647" width="9.140625" style="33" customWidth="1"/>
    <col min="5648" max="5648" width="9.85546875" style="33" bestFit="1" customWidth="1"/>
    <col min="5649" max="5888" width="9.140625" style="33"/>
    <col min="5889" max="5891" width="9.140625" style="33" customWidth="1"/>
    <col min="5892" max="5892" width="22.7109375" style="33" customWidth="1"/>
    <col min="5893" max="5893" width="19.5703125" style="33" customWidth="1"/>
    <col min="5894" max="5894" width="3.28515625" style="33" customWidth="1"/>
    <col min="5895" max="5895" width="20" style="33" customWidth="1"/>
    <col min="5896" max="5896" width="8.7109375" style="33" customWidth="1"/>
    <col min="5897" max="5897" width="7.28515625" style="33" customWidth="1"/>
    <col min="5898" max="5898" width="3.28515625" style="33" customWidth="1"/>
    <col min="5899" max="5899" width="19" style="33" customWidth="1"/>
    <col min="5900" max="5900" width="27.7109375" style="33" customWidth="1"/>
    <col min="5901" max="5901" width="6.85546875" style="33" customWidth="1"/>
    <col min="5902" max="5902" width="12" style="33" customWidth="1"/>
    <col min="5903" max="5903" width="9.140625" style="33" customWidth="1"/>
    <col min="5904" max="5904" width="9.85546875" style="33" bestFit="1" customWidth="1"/>
    <col min="5905" max="6144" width="9.140625" style="33"/>
    <col min="6145" max="6147" width="9.140625" style="33" customWidth="1"/>
    <col min="6148" max="6148" width="22.7109375" style="33" customWidth="1"/>
    <col min="6149" max="6149" width="19.5703125" style="33" customWidth="1"/>
    <col min="6150" max="6150" width="3.28515625" style="33" customWidth="1"/>
    <col min="6151" max="6151" width="20" style="33" customWidth="1"/>
    <col min="6152" max="6152" width="8.7109375" style="33" customWidth="1"/>
    <col min="6153" max="6153" width="7.28515625" style="33" customWidth="1"/>
    <col min="6154" max="6154" width="3.28515625" style="33" customWidth="1"/>
    <col min="6155" max="6155" width="19" style="33" customWidth="1"/>
    <col min="6156" max="6156" width="27.7109375" style="33" customWidth="1"/>
    <col min="6157" max="6157" width="6.85546875" style="33" customWidth="1"/>
    <col min="6158" max="6158" width="12" style="33" customWidth="1"/>
    <col min="6159" max="6159" width="9.140625" style="33" customWidth="1"/>
    <col min="6160" max="6160" width="9.85546875" style="33" bestFit="1" customWidth="1"/>
    <col min="6161" max="6400" width="9.140625" style="33"/>
    <col min="6401" max="6403" width="9.140625" style="33" customWidth="1"/>
    <col min="6404" max="6404" width="22.7109375" style="33" customWidth="1"/>
    <col min="6405" max="6405" width="19.5703125" style="33" customWidth="1"/>
    <col min="6406" max="6406" width="3.28515625" style="33" customWidth="1"/>
    <col min="6407" max="6407" width="20" style="33" customWidth="1"/>
    <col min="6408" max="6408" width="8.7109375" style="33" customWidth="1"/>
    <col min="6409" max="6409" width="7.28515625" style="33" customWidth="1"/>
    <col min="6410" max="6410" width="3.28515625" style="33" customWidth="1"/>
    <col min="6411" max="6411" width="19" style="33" customWidth="1"/>
    <col min="6412" max="6412" width="27.7109375" style="33" customWidth="1"/>
    <col min="6413" max="6413" width="6.85546875" style="33" customWidth="1"/>
    <col min="6414" max="6414" width="12" style="33" customWidth="1"/>
    <col min="6415" max="6415" width="9.140625" style="33" customWidth="1"/>
    <col min="6416" max="6416" width="9.85546875" style="33" bestFit="1" customWidth="1"/>
    <col min="6417" max="6656" width="9.140625" style="33"/>
    <col min="6657" max="6659" width="9.140625" style="33" customWidth="1"/>
    <col min="6660" max="6660" width="22.7109375" style="33" customWidth="1"/>
    <col min="6661" max="6661" width="19.5703125" style="33" customWidth="1"/>
    <col min="6662" max="6662" width="3.28515625" style="33" customWidth="1"/>
    <col min="6663" max="6663" width="20" style="33" customWidth="1"/>
    <col min="6664" max="6664" width="8.7109375" style="33" customWidth="1"/>
    <col min="6665" max="6665" width="7.28515625" style="33" customWidth="1"/>
    <col min="6666" max="6666" width="3.28515625" style="33" customWidth="1"/>
    <col min="6667" max="6667" width="19" style="33" customWidth="1"/>
    <col min="6668" max="6668" width="27.7109375" style="33" customWidth="1"/>
    <col min="6669" max="6669" width="6.85546875" style="33" customWidth="1"/>
    <col min="6670" max="6670" width="12" style="33" customWidth="1"/>
    <col min="6671" max="6671" width="9.140625" style="33" customWidth="1"/>
    <col min="6672" max="6672" width="9.85546875" style="33" bestFit="1" customWidth="1"/>
    <col min="6673" max="6912" width="9.140625" style="33"/>
    <col min="6913" max="6915" width="9.140625" style="33" customWidth="1"/>
    <col min="6916" max="6916" width="22.7109375" style="33" customWidth="1"/>
    <col min="6917" max="6917" width="19.5703125" style="33" customWidth="1"/>
    <col min="6918" max="6918" width="3.28515625" style="33" customWidth="1"/>
    <col min="6919" max="6919" width="20" style="33" customWidth="1"/>
    <col min="6920" max="6920" width="8.7109375" style="33" customWidth="1"/>
    <col min="6921" max="6921" width="7.28515625" style="33" customWidth="1"/>
    <col min="6922" max="6922" width="3.28515625" style="33" customWidth="1"/>
    <col min="6923" max="6923" width="19" style="33" customWidth="1"/>
    <col min="6924" max="6924" width="27.7109375" style="33" customWidth="1"/>
    <col min="6925" max="6925" width="6.85546875" style="33" customWidth="1"/>
    <col min="6926" max="6926" width="12" style="33" customWidth="1"/>
    <col min="6927" max="6927" width="9.140625" style="33" customWidth="1"/>
    <col min="6928" max="6928" width="9.85546875" style="33" bestFit="1" customWidth="1"/>
    <col min="6929" max="7168" width="9.140625" style="33"/>
    <col min="7169" max="7171" width="9.140625" style="33" customWidth="1"/>
    <col min="7172" max="7172" width="22.7109375" style="33" customWidth="1"/>
    <col min="7173" max="7173" width="19.5703125" style="33" customWidth="1"/>
    <col min="7174" max="7174" width="3.28515625" style="33" customWidth="1"/>
    <col min="7175" max="7175" width="20" style="33" customWidth="1"/>
    <col min="7176" max="7176" width="8.7109375" style="33" customWidth="1"/>
    <col min="7177" max="7177" width="7.28515625" style="33" customWidth="1"/>
    <col min="7178" max="7178" width="3.28515625" style="33" customWidth="1"/>
    <col min="7179" max="7179" width="19" style="33" customWidth="1"/>
    <col min="7180" max="7180" width="27.7109375" style="33" customWidth="1"/>
    <col min="7181" max="7181" width="6.85546875" style="33" customWidth="1"/>
    <col min="7182" max="7182" width="12" style="33" customWidth="1"/>
    <col min="7183" max="7183" width="9.140625" style="33" customWidth="1"/>
    <col min="7184" max="7184" width="9.85546875" style="33" bestFit="1" customWidth="1"/>
    <col min="7185" max="7424" width="9.140625" style="33"/>
    <col min="7425" max="7427" width="9.140625" style="33" customWidth="1"/>
    <col min="7428" max="7428" width="22.7109375" style="33" customWidth="1"/>
    <col min="7429" max="7429" width="19.5703125" style="33" customWidth="1"/>
    <col min="7430" max="7430" width="3.28515625" style="33" customWidth="1"/>
    <col min="7431" max="7431" width="20" style="33" customWidth="1"/>
    <col min="7432" max="7432" width="8.7109375" style="33" customWidth="1"/>
    <col min="7433" max="7433" width="7.28515625" style="33" customWidth="1"/>
    <col min="7434" max="7434" width="3.28515625" style="33" customWidth="1"/>
    <col min="7435" max="7435" width="19" style="33" customWidth="1"/>
    <col min="7436" max="7436" width="27.7109375" style="33" customWidth="1"/>
    <col min="7437" max="7437" width="6.85546875" style="33" customWidth="1"/>
    <col min="7438" max="7438" width="12" style="33" customWidth="1"/>
    <col min="7439" max="7439" width="9.140625" style="33" customWidth="1"/>
    <col min="7440" max="7440" width="9.85546875" style="33" bestFit="1" customWidth="1"/>
    <col min="7441" max="7680" width="9.140625" style="33"/>
    <col min="7681" max="7683" width="9.140625" style="33" customWidth="1"/>
    <col min="7684" max="7684" width="22.7109375" style="33" customWidth="1"/>
    <col min="7685" max="7685" width="19.5703125" style="33" customWidth="1"/>
    <col min="7686" max="7686" width="3.28515625" style="33" customWidth="1"/>
    <col min="7687" max="7687" width="20" style="33" customWidth="1"/>
    <col min="7688" max="7688" width="8.7109375" style="33" customWidth="1"/>
    <col min="7689" max="7689" width="7.28515625" style="33" customWidth="1"/>
    <col min="7690" max="7690" width="3.28515625" style="33" customWidth="1"/>
    <col min="7691" max="7691" width="19" style="33" customWidth="1"/>
    <col min="7692" max="7692" width="27.7109375" style="33" customWidth="1"/>
    <col min="7693" max="7693" width="6.85546875" style="33" customWidth="1"/>
    <col min="7694" max="7694" width="12" style="33" customWidth="1"/>
    <col min="7695" max="7695" width="9.140625" style="33" customWidth="1"/>
    <col min="7696" max="7696" width="9.85546875" style="33" bestFit="1" customWidth="1"/>
    <col min="7697" max="7936" width="9.140625" style="33"/>
    <col min="7937" max="7939" width="9.140625" style="33" customWidth="1"/>
    <col min="7940" max="7940" width="22.7109375" style="33" customWidth="1"/>
    <col min="7941" max="7941" width="19.5703125" style="33" customWidth="1"/>
    <col min="7942" max="7942" width="3.28515625" style="33" customWidth="1"/>
    <col min="7943" max="7943" width="20" style="33" customWidth="1"/>
    <col min="7944" max="7944" width="8.7109375" style="33" customWidth="1"/>
    <col min="7945" max="7945" width="7.28515625" style="33" customWidth="1"/>
    <col min="7946" max="7946" width="3.28515625" style="33" customWidth="1"/>
    <col min="7947" max="7947" width="19" style="33" customWidth="1"/>
    <col min="7948" max="7948" width="27.7109375" style="33" customWidth="1"/>
    <col min="7949" max="7949" width="6.85546875" style="33" customWidth="1"/>
    <col min="7950" max="7950" width="12" style="33" customWidth="1"/>
    <col min="7951" max="7951" width="9.140625" style="33" customWidth="1"/>
    <col min="7952" max="7952" width="9.85546875" style="33" bestFit="1" customWidth="1"/>
    <col min="7953" max="8192" width="9.140625" style="33"/>
    <col min="8193" max="8195" width="9.140625" style="33" customWidth="1"/>
    <col min="8196" max="8196" width="22.7109375" style="33" customWidth="1"/>
    <col min="8197" max="8197" width="19.5703125" style="33" customWidth="1"/>
    <col min="8198" max="8198" width="3.28515625" style="33" customWidth="1"/>
    <col min="8199" max="8199" width="20" style="33" customWidth="1"/>
    <col min="8200" max="8200" width="8.7109375" style="33" customWidth="1"/>
    <col min="8201" max="8201" width="7.28515625" style="33" customWidth="1"/>
    <col min="8202" max="8202" width="3.28515625" style="33" customWidth="1"/>
    <col min="8203" max="8203" width="19" style="33" customWidth="1"/>
    <col min="8204" max="8204" width="27.7109375" style="33" customWidth="1"/>
    <col min="8205" max="8205" width="6.85546875" style="33" customWidth="1"/>
    <col min="8206" max="8206" width="12" style="33" customWidth="1"/>
    <col min="8207" max="8207" width="9.140625" style="33" customWidth="1"/>
    <col min="8208" max="8208" width="9.85546875" style="33" bestFit="1" customWidth="1"/>
    <col min="8209" max="8448" width="9.140625" style="33"/>
    <col min="8449" max="8451" width="9.140625" style="33" customWidth="1"/>
    <col min="8452" max="8452" width="22.7109375" style="33" customWidth="1"/>
    <col min="8453" max="8453" width="19.5703125" style="33" customWidth="1"/>
    <col min="8454" max="8454" width="3.28515625" style="33" customWidth="1"/>
    <col min="8455" max="8455" width="20" style="33" customWidth="1"/>
    <col min="8456" max="8456" width="8.7109375" style="33" customWidth="1"/>
    <col min="8457" max="8457" width="7.28515625" style="33" customWidth="1"/>
    <col min="8458" max="8458" width="3.28515625" style="33" customWidth="1"/>
    <col min="8459" max="8459" width="19" style="33" customWidth="1"/>
    <col min="8460" max="8460" width="27.7109375" style="33" customWidth="1"/>
    <col min="8461" max="8461" width="6.85546875" style="33" customWidth="1"/>
    <col min="8462" max="8462" width="12" style="33" customWidth="1"/>
    <col min="8463" max="8463" width="9.140625" style="33" customWidth="1"/>
    <col min="8464" max="8464" width="9.85546875" style="33" bestFit="1" customWidth="1"/>
    <col min="8465" max="8704" width="9.140625" style="33"/>
    <col min="8705" max="8707" width="9.140625" style="33" customWidth="1"/>
    <col min="8708" max="8708" width="22.7109375" style="33" customWidth="1"/>
    <col min="8709" max="8709" width="19.5703125" style="33" customWidth="1"/>
    <col min="8710" max="8710" width="3.28515625" style="33" customWidth="1"/>
    <col min="8711" max="8711" width="20" style="33" customWidth="1"/>
    <col min="8712" max="8712" width="8.7109375" style="33" customWidth="1"/>
    <col min="8713" max="8713" width="7.28515625" style="33" customWidth="1"/>
    <col min="8714" max="8714" width="3.28515625" style="33" customWidth="1"/>
    <col min="8715" max="8715" width="19" style="33" customWidth="1"/>
    <col min="8716" max="8716" width="27.7109375" style="33" customWidth="1"/>
    <col min="8717" max="8717" width="6.85546875" style="33" customWidth="1"/>
    <col min="8718" max="8718" width="12" style="33" customWidth="1"/>
    <col min="8719" max="8719" width="9.140625" style="33" customWidth="1"/>
    <col min="8720" max="8720" width="9.85546875" style="33" bestFit="1" customWidth="1"/>
    <col min="8721" max="8960" width="9.140625" style="33"/>
    <col min="8961" max="8963" width="9.140625" style="33" customWidth="1"/>
    <col min="8964" max="8964" width="22.7109375" style="33" customWidth="1"/>
    <col min="8965" max="8965" width="19.5703125" style="33" customWidth="1"/>
    <col min="8966" max="8966" width="3.28515625" style="33" customWidth="1"/>
    <col min="8967" max="8967" width="20" style="33" customWidth="1"/>
    <col min="8968" max="8968" width="8.7109375" style="33" customWidth="1"/>
    <col min="8969" max="8969" width="7.28515625" style="33" customWidth="1"/>
    <col min="8970" max="8970" width="3.28515625" style="33" customWidth="1"/>
    <col min="8971" max="8971" width="19" style="33" customWidth="1"/>
    <col min="8972" max="8972" width="27.7109375" style="33" customWidth="1"/>
    <col min="8973" max="8973" width="6.85546875" style="33" customWidth="1"/>
    <col min="8974" max="8974" width="12" style="33" customWidth="1"/>
    <col min="8975" max="8975" width="9.140625" style="33" customWidth="1"/>
    <col min="8976" max="8976" width="9.85546875" style="33" bestFit="1" customWidth="1"/>
    <col min="8977" max="9216" width="9.140625" style="33"/>
    <col min="9217" max="9219" width="9.140625" style="33" customWidth="1"/>
    <col min="9220" max="9220" width="22.7109375" style="33" customWidth="1"/>
    <col min="9221" max="9221" width="19.5703125" style="33" customWidth="1"/>
    <col min="9222" max="9222" width="3.28515625" style="33" customWidth="1"/>
    <col min="9223" max="9223" width="20" style="33" customWidth="1"/>
    <col min="9224" max="9224" width="8.7109375" style="33" customWidth="1"/>
    <col min="9225" max="9225" width="7.28515625" style="33" customWidth="1"/>
    <col min="9226" max="9226" width="3.28515625" style="33" customWidth="1"/>
    <col min="9227" max="9227" width="19" style="33" customWidth="1"/>
    <col min="9228" max="9228" width="27.7109375" style="33" customWidth="1"/>
    <col min="9229" max="9229" width="6.85546875" style="33" customWidth="1"/>
    <col min="9230" max="9230" width="12" style="33" customWidth="1"/>
    <col min="9231" max="9231" width="9.140625" style="33" customWidth="1"/>
    <col min="9232" max="9232" width="9.85546875" style="33" bestFit="1" customWidth="1"/>
    <col min="9233" max="9472" width="9.140625" style="33"/>
    <col min="9473" max="9475" width="9.140625" style="33" customWidth="1"/>
    <col min="9476" max="9476" width="22.7109375" style="33" customWidth="1"/>
    <col min="9477" max="9477" width="19.5703125" style="33" customWidth="1"/>
    <col min="9478" max="9478" width="3.28515625" style="33" customWidth="1"/>
    <col min="9479" max="9479" width="20" style="33" customWidth="1"/>
    <col min="9480" max="9480" width="8.7109375" style="33" customWidth="1"/>
    <col min="9481" max="9481" width="7.28515625" style="33" customWidth="1"/>
    <col min="9482" max="9482" width="3.28515625" style="33" customWidth="1"/>
    <col min="9483" max="9483" width="19" style="33" customWidth="1"/>
    <col min="9484" max="9484" width="27.7109375" style="33" customWidth="1"/>
    <col min="9485" max="9485" width="6.85546875" style="33" customWidth="1"/>
    <col min="9486" max="9486" width="12" style="33" customWidth="1"/>
    <col min="9487" max="9487" width="9.140625" style="33" customWidth="1"/>
    <col min="9488" max="9488" width="9.85546875" style="33" bestFit="1" customWidth="1"/>
    <col min="9489" max="9728" width="9.140625" style="33"/>
    <col min="9729" max="9731" width="9.140625" style="33" customWidth="1"/>
    <col min="9732" max="9732" width="22.7109375" style="33" customWidth="1"/>
    <col min="9733" max="9733" width="19.5703125" style="33" customWidth="1"/>
    <col min="9734" max="9734" width="3.28515625" style="33" customWidth="1"/>
    <col min="9735" max="9735" width="20" style="33" customWidth="1"/>
    <col min="9736" max="9736" width="8.7109375" style="33" customWidth="1"/>
    <col min="9737" max="9737" width="7.28515625" style="33" customWidth="1"/>
    <col min="9738" max="9738" width="3.28515625" style="33" customWidth="1"/>
    <col min="9739" max="9739" width="19" style="33" customWidth="1"/>
    <col min="9740" max="9740" width="27.7109375" style="33" customWidth="1"/>
    <col min="9741" max="9741" width="6.85546875" style="33" customWidth="1"/>
    <col min="9742" max="9742" width="12" style="33" customWidth="1"/>
    <col min="9743" max="9743" width="9.140625" style="33" customWidth="1"/>
    <col min="9744" max="9744" width="9.85546875" style="33" bestFit="1" customWidth="1"/>
    <col min="9745" max="9984" width="9.140625" style="33"/>
    <col min="9985" max="9987" width="9.140625" style="33" customWidth="1"/>
    <col min="9988" max="9988" width="22.7109375" style="33" customWidth="1"/>
    <col min="9989" max="9989" width="19.5703125" style="33" customWidth="1"/>
    <col min="9990" max="9990" width="3.28515625" style="33" customWidth="1"/>
    <col min="9991" max="9991" width="20" style="33" customWidth="1"/>
    <col min="9992" max="9992" width="8.7109375" style="33" customWidth="1"/>
    <col min="9993" max="9993" width="7.28515625" style="33" customWidth="1"/>
    <col min="9994" max="9994" width="3.28515625" style="33" customWidth="1"/>
    <col min="9995" max="9995" width="19" style="33" customWidth="1"/>
    <col min="9996" max="9996" width="27.7109375" style="33" customWidth="1"/>
    <col min="9997" max="9997" width="6.85546875" style="33" customWidth="1"/>
    <col min="9998" max="9998" width="12" style="33" customWidth="1"/>
    <col min="9999" max="9999" width="9.140625" style="33" customWidth="1"/>
    <col min="10000" max="10000" width="9.85546875" style="33" bestFit="1" customWidth="1"/>
    <col min="10001" max="10240" width="9.140625" style="33"/>
    <col min="10241" max="10243" width="9.140625" style="33" customWidth="1"/>
    <col min="10244" max="10244" width="22.7109375" style="33" customWidth="1"/>
    <col min="10245" max="10245" width="19.5703125" style="33" customWidth="1"/>
    <col min="10246" max="10246" width="3.28515625" style="33" customWidth="1"/>
    <col min="10247" max="10247" width="20" style="33" customWidth="1"/>
    <col min="10248" max="10248" width="8.7109375" style="33" customWidth="1"/>
    <col min="10249" max="10249" width="7.28515625" style="33" customWidth="1"/>
    <col min="10250" max="10250" width="3.28515625" style="33" customWidth="1"/>
    <col min="10251" max="10251" width="19" style="33" customWidth="1"/>
    <col min="10252" max="10252" width="27.7109375" style="33" customWidth="1"/>
    <col min="10253" max="10253" width="6.85546875" style="33" customWidth="1"/>
    <col min="10254" max="10254" width="12" style="33" customWidth="1"/>
    <col min="10255" max="10255" width="9.140625" style="33" customWidth="1"/>
    <col min="10256" max="10256" width="9.85546875" style="33" bestFit="1" customWidth="1"/>
    <col min="10257" max="10496" width="9.140625" style="33"/>
    <col min="10497" max="10499" width="9.140625" style="33" customWidth="1"/>
    <col min="10500" max="10500" width="22.7109375" style="33" customWidth="1"/>
    <col min="10501" max="10501" width="19.5703125" style="33" customWidth="1"/>
    <col min="10502" max="10502" width="3.28515625" style="33" customWidth="1"/>
    <col min="10503" max="10503" width="20" style="33" customWidth="1"/>
    <col min="10504" max="10504" width="8.7109375" style="33" customWidth="1"/>
    <col min="10505" max="10505" width="7.28515625" style="33" customWidth="1"/>
    <col min="10506" max="10506" width="3.28515625" style="33" customWidth="1"/>
    <col min="10507" max="10507" width="19" style="33" customWidth="1"/>
    <col min="10508" max="10508" width="27.7109375" style="33" customWidth="1"/>
    <col min="10509" max="10509" width="6.85546875" style="33" customWidth="1"/>
    <col min="10510" max="10510" width="12" style="33" customWidth="1"/>
    <col min="10511" max="10511" width="9.140625" style="33" customWidth="1"/>
    <col min="10512" max="10512" width="9.85546875" style="33" bestFit="1" customWidth="1"/>
    <col min="10513" max="10752" width="9.140625" style="33"/>
    <col min="10753" max="10755" width="9.140625" style="33" customWidth="1"/>
    <col min="10756" max="10756" width="22.7109375" style="33" customWidth="1"/>
    <col min="10757" max="10757" width="19.5703125" style="33" customWidth="1"/>
    <col min="10758" max="10758" width="3.28515625" style="33" customWidth="1"/>
    <col min="10759" max="10759" width="20" style="33" customWidth="1"/>
    <col min="10760" max="10760" width="8.7109375" style="33" customWidth="1"/>
    <col min="10761" max="10761" width="7.28515625" style="33" customWidth="1"/>
    <col min="10762" max="10762" width="3.28515625" style="33" customWidth="1"/>
    <col min="10763" max="10763" width="19" style="33" customWidth="1"/>
    <col min="10764" max="10764" width="27.7109375" style="33" customWidth="1"/>
    <col min="10765" max="10765" width="6.85546875" style="33" customWidth="1"/>
    <col min="10766" max="10766" width="12" style="33" customWidth="1"/>
    <col min="10767" max="10767" width="9.140625" style="33" customWidth="1"/>
    <col min="10768" max="10768" width="9.85546875" style="33" bestFit="1" customWidth="1"/>
    <col min="10769" max="11008" width="9.140625" style="33"/>
    <col min="11009" max="11011" width="9.140625" style="33" customWidth="1"/>
    <col min="11012" max="11012" width="22.7109375" style="33" customWidth="1"/>
    <col min="11013" max="11013" width="19.5703125" style="33" customWidth="1"/>
    <col min="11014" max="11014" width="3.28515625" style="33" customWidth="1"/>
    <col min="11015" max="11015" width="20" style="33" customWidth="1"/>
    <col min="11016" max="11016" width="8.7109375" style="33" customWidth="1"/>
    <col min="11017" max="11017" width="7.28515625" style="33" customWidth="1"/>
    <col min="11018" max="11018" width="3.28515625" style="33" customWidth="1"/>
    <col min="11019" max="11019" width="19" style="33" customWidth="1"/>
    <col min="11020" max="11020" width="27.7109375" style="33" customWidth="1"/>
    <col min="11021" max="11021" width="6.85546875" style="33" customWidth="1"/>
    <col min="11022" max="11022" width="12" style="33" customWidth="1"/>
    <col min="11023" max="11023" width="9.140625" style="33" customWidth="1"/>
    <col min="11024" max="11024" width="9.85546875" style="33" bestFit="1" customWidth="1"/>
    <col min="11025" max="11264" width="9.140625" style="33"/>
    <col min="11265" max="11267" width="9.140625" style="33" customWidth="1"/>
    <col min="11268" max="11268" width="22.7109375" style="33" customWidth="1"/>
    <col min="11269" max="11269" width="19.5703125" style="33" customWidth="1"/>
    <col min="11270" max="11270" width="3.28515625" style="33" customWidth="1"/>
    <col min="11271" max="11271" width="20" style="33" customWidth="1"/>
    <col min="11272" max="11272" width="8.7109375" style="33" customWidth="1"/>
    <col min="11273" max="11273" width="7.28515625" style="33" customWidth="1"/>
    <col min="11274" max="11274" width="3.28515625" style="33" customWidth="1"/>
    <col min="11275" max="11275" width="19" style="33" customWidth="1"/>
    <col min="11276" max="11276" width="27.7109375" style="33" customWidth="1"/>
    <col min="11277" max="11277" width="6.85546875" style="33" customWidth="1"/>
    <col min="11278" max="11278" width="12" style="33" customWidth="1"/>
    <col min="11279" max="11279" width="9.140625" style="33" customWidth="1"/>
    <col min="11280" max="11280" width="9.85546875" style="33" bestFit="1" customWidth="1"/>
    <col min="11281" max="11520" width="9.140625" style="33"/>
    <col min="11521" max="11523" width="9.140625" style="33" customWidth="1"/>
    <col min="11524" max="11524" width="22.7109375" style="33" customWidth="1"/>
    <col min="11525" max="11525" width="19.5703125" style="33" customWidth="1"/>
    <col min="11526" max="11526" width="3.28515625" style="33" customWidth="1"/>
    <col min="11527" max="11527" width="20" style="33" customWidth="1"/>
    <col min="11528" max="11528" width="8.7109375" style="33" customWidth="1"/>
    <col min="11529" max="11529" width="7.28515625" style="33" customWidth="1"/>
    <col min="11530" max="11530" width="3.28515625" style="33" customWidth="1"/>
    <col min="11531" max="11531" width="19" style="33" customWidth="1"/>
    <col min="11532" max="11532" width="27.7109375" style="33" customWidth="1"/>
    <col min="11533" max="11533" width="6.85546875" style="33" customWidth="1"/>
    <col min="11534" max="11534" width="12" style="33" customWidth="1"/>
    <col min="11535" max="11535" width="9.140625" style="33" customWidth="1"/>
    <col min="11536" max="11536" width="9.85546875" style="33" bestFit="1" customWidth="1"/>
    <col min="11537" max="11776" width="9.140625" style="33"/>
    <col min="11777" max="11779" width="9.140625" style="33" customWidth="1"/>
    <col min="11780" max="11780" width="22.7109375" style="33" customWidth="1"/>
    <col min="11781" max="11781" width="19.5703125" style="33" customWidth="1"/>
    <col min="11782" max="11782" width="3.28515625" style="33" customWidth="1"/>
    <col min="11783" max="11783" width="20" style="33" customWidth="1"/>
    <col min="11784" max="11784" width="8.7109375" style="33" customWidth="1"/>
    <col min="11785" max="11785" width="7.28515625" style="33" customWidth="1"/>
    <col min="11786" max="11786" width="3.28515625" style="33" customWidth="1"/>
    <col min="11787" max="11787" width="19" style="33" customWidth="1"/>
    <col min="11788" max="11788" width="27.7109375" style="33" customWidth="1"/>
    <col min="11789" max="11789" width="6.85546875" style="33" customWidth="1"/>
    <col min="11790" max="11790" width="12" style="33" customWidth="1"/>
    <col min="11791" max="11791" width="9.140625" style="33" customWidth="1"/>
    <col min="11792" max="11792" width="9.85546875" style="33" bestFit="1" customWidth="1"/>
    <col min="11793" max="12032" width="9.140625" style="33"/>
    <col min="12033" max="12035" width="9.140625" style="33" customWidth="1"/>
    <col min="12036" max="12036" width="22.7109375" style="33" customWidth="1"/>
    <col min="12037" max="12037" width="19.5703125" style="33" customWidth="1"/>
    <col min="12038" max="12038" width="3.28515625" style="33" customWidth="1"/>
    <col min="12039" max="12039" width="20" style="33" customWidth="1"/>
    <col min="12040" max="12040" width="8.7109375" style="33" customWidth="1"/>
    <col min="12041" max="12041" width="7.28515625" style="33" customWidth="1"/>
    <col min="12042" max="12042" width="3.28515625" style="33" customWidth="1"/>
    <col min="12043" max="12043" width="19" style="33" customWidth="1"/>
    <col min="12044" max="12044" width="27.7109375" style="33" customWidth="1"/>
    <col min="12045" max="12045" width="6.85546875" style="33" customWidth="1"/>
    <col min="12046" max="12046" width="12" style="33" customWidth="1"/>
    <col min="12047" max="12047" width="9.140625" style="33" customWidth="1"/>
    <col min="12048" max="12048" width="9.85546875" style="33" bestFit="1" customWidth="1"/>
    <col min="12049" max="12288" width="9.140625" style="33"/>
    <col min="12289" max="12291" width="9.140625" style="33" customWidth="1"/>
    <col min="12292" max="12292" width="22.7109375" style="33" customWidth="1"/>
    <col min="12293" max="12293" width="19.5703125" style="33" customWidth="1"/>
    <col min="12294" max="12294" width="3.28515625" style="33" customWidth="1"/>
    <col min="12295" max="12295" width="20" style="33" customWidth="1"/>
    <col min="12296" max="12296" width="8.7109375" style="33" customWidth="1"/>
    <col min="12297" max="12297" width="7.28515625" style="33" customWidth="1"/>
    <col min="12298" max="12298" width="3.28515625" style="33" customWidth="1"/>
    <col min="12299" max="12299" width="19" style="33" customWidth="1"/>
    <col min="12300" max="12300" width="27.7109375" style="33" customWidth="1"/>
    <col min="12301" max="12301" width="6.85546875" style="33" customWidth="1"/>
    <col min="12302" max="12302" width="12" style="33" customWidth="1"/>
    <col min="12303" max="12303" width="9.140625" style="33" customWidth="1"/>
    <col min="12304" max="12304" width="9.85546875" style="33" bestFit="1" customWidth="1"/>
    <col min="12305" max="12544" width="9.140625" style="33"/>
    <col min="12545" max="12547" width="9.140625" style="33" customWidth="1"/>
    <col min="12548" max="12548" width="22.7109375" style="33" customWidth="1"/>
    <col min="12549" max="12549" width="19.5703125" style="33" customWidth="1"/>
    <col min="12550" max="12550" width="3.28515625" style="33" customWidth="1"/>
    <col min="12551" max="12551" width="20" style="33" customWidth="1"/>
    <col min="12552" max="12552" width="8.7109375" style="33" customWidth="1"/>
    <col min="12553" max="12553" width="7.28515625" style="33" customWidth="1"/>
    <col min="12554" max="12554" width="3.28515625" style="33" customWidth="1"/>
    <col min="12555" max="12555" width="19" style="33" customWidth="1"/>
    <col min="12556" max="12556" width="27.7109375" style="33" customWidth="1"/>
    <col min="12557" max="12557" width="6.85546875" style="33" customWidth="1"/>
    <col min="12558" max="12558" width="12" style="33" customWidth="1"/>
    <col min="12559" max="12559" width="9.140625" style="33" customWidth="1"/>
    <col min="12560" max="12560" width="9.85546875" style="33" bestFit="1" customWidth="1"/>
    <col min="12561" max="12800" width="9.140625" style="33"/>
    <col min="12801" max="12803" width="9.140625" style="33" customWidth="1"/>
    <col min="12804" max="12804" width="22.7109375" style="33" customWidth="1"/>
    <col min="12805" max="12805" width="19.5703125" style="33" customWidth="1"/>
    <col min="12806" max="12806" width="3.28515625" style="33" customWidth="1"/>
    <col min="12807" max="12807" width="20" style="33" customWidth="1"/>
    <col min="12808" max="12808" width="8.7109375" style="33" customWidth="1"/>
    <col min="12809" max="12809" width="7.28515625" style="33" customWidth="1"/>
    <col min="12810" max="12810" width="3.28515625" style="33" customWidth="1"/>
    <col min="12811" max="12811" width="19" style="33" customWidth="1"/>
    <col min="12812" max="12812" width="27.7109375" style="33" customWidth="1"/>
    <col min="12813" max="12813" width="6.85546875" style="33" customWidth="1"/>
    <col min="12814" max="12814" width="12" style="33" customWidth="1"/>
    <col min="12815" max="12815" width="9.140625" style="33" customWidth="1"/>
    <col min="12816" max="12816" width="9.85546875" style="33" bestFit="1" customWidth="1"/>
    <col min="12817" max="13056" width="9.140625" style="33"/>
    <col min="13057" max="13059" width="9.140625" style="33" customWidth="1"/>
    <col min="13060" max="13060" width="22.7109375" style="33" customWidth="1"/>
    <col min="13061" max="13061" width="19.5703125" style="33" customWidth="1"/>
    <col min="13062" max="13062" width="3.28515625" style="33" customWidth="1"/>
    <col min="13063" max="13063" width="20" style="33" customWidth="1"/>
    <col min="13064" max="13064" width="8.7109375" style="33" customWidth="1"/>
    <col min="13065" max="13065" width="7.28515625" style="33" customWidth="1"/>
    <col min="13066" max="13066" width="3.28515625" style="33" customWidth="1"/>
    <col min="13067" max="13067" width="19" style="33" customWidth="1"/>
    <col min="13068" max="13068" width="27.7109375" style="33" customWidth="1"/>
    <col min="13069" max="13069" width="6.85546875" style="33" customWidth="1"/>
    <col min="13070" max="13070" width="12" style="33" customWidth="1"/>
    <col min="13071" max="13071" width="9.140625" style="33" customWidth="1"/>
    <col min="13072" max="13072" width="9.85546875" style="33" bestFit="1" customWidth="1"/>
    <col min="13073" max="13312" width="9.140625" style="33"/>
    <col min="13313" max="13315" width="9.140625" style="33" customWidth="1"/>
    <col min="13316" max="13316" width="22.7109375" style="33" customWidth="1"/>
    <col min="13317" max="13317" width="19.5703125" style="33" customWidth="1"/>
    <col min="13318" max="13318" width="3.28515625" style="33" customWidth="1"/>
    <col min="13319" max="13319" width="20" style="33" customWidth="1"/>
    <col min="13320" max="13320" width="8.7109375" style="33" customWidth="1"/>
    <col min="13321" max="13321" width="7.28515625" style="33" customWidth="1"/>
    <col min="13322" max="13322" width="3.28515625" style="33" customWidth="1"/>
    <col min="13323" max="13323" width="19" style="33" customWidth="1"/>
    <col min="13324" max="13324" width="27.7109375" style="33" customWidth="1"/>
    <col min="13325" max="13325" width="6.85546875" style="33" customWidth="1"/>
    <col min="13326" max="13326" width="12" style="33" customWidth="1"/>
    <col min="13327" max="13327" width="9.140625" style="33" customWidth="1"/>
    <col min="13328" max="13328" width="9.85546875" style="33" bestFit="1" customWidth="1"/>
    <col min="13329" max="13568" width="9.140625" style="33"/>
    <col min="13569" max="13571" width="9.140625" style="33" customWidth="1"/>
    <col min="13572" max="13572" width="22.7109375" style="33" customWidth="1"/>
    <col min="13573" max="13573" width="19.5703125" style="33" customWidth="1"/>
    <col min="13574" max="13574" width="3.28515625" style="33" customWidth="1"/>
    <col min="13575" max="13575" width="20" style="33" customWidth="1"/>
    <col min="13576" max="13576" width="8.7109375" style="33" customWidth="1"/>
    <col min="13577" max="13577" width="7.28515625" style="33" customWidth="1"/>
    <col min="13578" max="13578" width="3.28515625" style="33" customWidth="1"/>
    <col min="13579" max="13579" width="19" style="33" customWidth="1"/>
    <col min="13580" max="13580" width="27.7109375" style="33" customWidth="1"/>
    <col min="13581" max="13581" width="6.85546875" style="33" customWidth="1"/>
    <col min="13582" max="13582" width="12" style="33" customWidth="1"/>
    <col min="13583" max="13583" width="9.140625" style="33" customWidth="1"/>
    <col min="13584" max="13584" width="9.85546875" style="33" bestFit="1" customWidth="1"/>
    <col min="13585" max="13824" width="9.140625" style="33"/>
    <col min="13825" max="13827" width="9.140625" style="33" customWidth="1"/>
    <col min="13828" max="13828" width="22.7109375" style="33" customWidth="1"/>
    <col min="13829" max="13829" width="19.5703125" style="33" customWidth="1"/>
    <col min="13830" max="13830" width="3.28515625" style="33" customWidth="1"/>
    <col min="13831" max="13831" width="20" style="33" customWidth="1"/>
    <col min="13832" max="13832" width="8.7109375" style="33" customWidth="1"/>
    <col min="13833" max="13833" width="7.28515625" style="33" customWidth="1"/>
    <col min="13834" max="13834" width="3.28515625" style="33" customWidth="1"/>
    <col min="13835" max="13835" width="19" style="33" customWidth="1"/>
    <col min="13836" max="13836" width="27.7109375" style="33" customWidth="1"/>
    <col min="13837" max="13837" width="6.85546875" style="33" customWidth="1"/>
    <col min="13838" max="13838" width="12" style="33" customWidth="1"/>
    <col min="13839" max="13839" width="9.140625" style="33" customWidth="1"/>
    <col min="13840" max="13840" width="9.85546875" style="33" bestFit="1" customWidth="1"/>
    <col min="13841" max="14080" width="9.140625" style="33"/>
    <col min="14081" max="14083" width="9.140625" style="33" customWidth="1"/>
    <col min="14084" max="14084" width="22.7109375" style="33" customWidth="1"/>
    <col min="14085" max="14085" width="19.5703125" style="33" customWidth="1"/>
    <col min="14086" max="14086" width="3.28515625" style="33" customWidth="1"/>
    <col min="14087" max="14087" width="20" style="33" customWidth="1"/>
    <col min="14088" max="14088" width="8.7109375" style="33" customWidth="1"/>
    <col min="14089" max="14089" width="7.28515625" style="33" customWidth="1"/>
    <col min="14090" max="14090" width="3.28515625" style="33" customWidth="1"/>
    <col min="14091" max="14091" width="19" style="33" customWidth="1"/>
    <col min="14092" max="14092" width="27.7109375" style="33" customWidth="1"/>
    <col min="14093" max="14093" width="6.85546875" style="33" customWidth="1"/>
    <col min="14094" max="14094" width="12" style="33" customWidth="1"/>
    <col min="14095" max="14095" width="9.140625" style="33" customWidth="1"/>
    <col min="14096" max="14096" width="9.85546875" style="33" bestFit="1" customWidth="1"/>
    <col min="14097" max="14336" width="9.140625" style="33"/>
    <col min="14337" max="14339" width="9.140625" style="33" customWidth="1"/>
    <col min="14340" max="14340" width="22.7109375" style="33" customWidth="1"/>
    <col min="14341" max="14341" width="19.5703125" style="33" customWidth="1"/>
    <col min="14342" max="14342" width="3.28515625" style="33" customWidth="1"/>
    <col min="14343" max="14343" width="20" style="33" customWidth="1"/>
    <col min="14344" max="14344" width="8.7109375" style="33" customWidth="1"/>
    <col min="14345" max="14345" width="7.28515625" style="33" customWidth="1"/>
    <col min="14346" max="14346" width="3.28515625" style="33" customWidth="1"/>
    <col min="14347" max="14347" width="19" style="33" customWidth="1"/>
    <col min="14348" max="14348" width="27.7109375" style="33" customWidth="1"/>
    <col min="14349" max="14349" width="6.85546875" style="33" customWidth="1"/>
    <col min="14350" max="14350" width="12" style="33" customWidth="1"/>
    <col min="14351" max="14351" width="9.140625" style="33" customWidth="1"/>
    <col min="14352" max="14352" width="9.85546875" style="33" bestFit="1" customWidth="1"/>
    <col min="14353" max="14592" width="9.140625" style="33"/>
    <col min="14593" max="14595" width="9.140625" style="33" customWidth="1"/>
    <col min="14596" max="14596" width="22.7109375" style="33" customWidth="1"/>
    <col min="14597" max="14597" width="19.5703125" style="33" customWidth="1"/>
    <col min="14598" max="14598" width="3.28515625" style="33" customWidth="1"/>
    <col min="14599" max="14599" width="20" style="33" customWidth="1"/>
    <col min="14600" max="14600" width="8.7109375" style="33" customWidth="1"/>
    <col min="14601" max="14601" width="7.28515625" style="33" customWidth="1"/>
    <col min="14602" max="14602" width="3.28515625" style="33" customWidth="1"/>
    <col min="14603" max="14603" width="19" style="33" customWidth="1"/>
    <col min="14604" max="14604" width="27.7109375" style="33" customWidth="1"/>
    <col min="14605" max="14605" width="6.85546875" style="33" customWidth="1"/>
    <col min="14606" max="14606" width="12" style="33" customWidth="1"/>
    <col min="14607" max="14607" width="9.140625" style="33" customWidth="1"/>
    <col min="14608" max="14608" width="9.85546875" style="33" bestFit="1" customWidth="1"/>
    <col min="14609" max="14848" width="9.140625" style="33"/>
    <col min="14849" max="14851" width="9.140625" style="33" customWidth="1"/>
    <col min="14852" max="14852" width="22.7109375" style="33" customWidth="1"/>
    <col min="14853" max="14853" width="19.5703125" style="33" customWidth="1"/>
    <col min="14854" max="14854" width="3.28515625" style="33" customWidth="1"/>
    <col min="14855" max="14855" width="20" style="33" customWidth="1"/>
    <col min="14856" max="14856" width="8.7109375" style="33" customWidth="1"/>
    <col min="14857" max="14857" width="7.28515625" style="33" customWidth="1"/>
    <col min="14858" max="14858" width="3.28515625" style="33" customWidth="1"/>
    <col min="14859" max="14859" width="19" style="33" customWidth="1"/>
    <col min="14860" max="14860" width="27.7109375" style="33" customWidth="1"/>
    <col min="14861" max="14861" width="6.85546875" style="33" customWidth="1"/>
    <col min="14862" max="14862" width="12" style="33" customWidth="1"/>
    <col min="14863" max="14863" width="9.140625" style="33" customWidth="1"/>
    <col min="14864" max="14864" width="9.85546875" style="33" bestFit="1" customWidth="1"/>
    <col min="14865" max="15104" width="9.140625" style="33"/>
    <col min="15105" max="15107" width="9.140625" style="33" customWidth="1"/>
    <col min="15108" max="15108" width="22.7109375" style="33" customWidth="1"/>
    <col min="15109" max="15109" width="19.5703125" style="33" customWidth="1"/>
    <col min="15110" max="15110" width="3.28515625" style="33" customWidth="1"/>
    <col min="15111" max="15111" width="20" style="33" customWidth="1"/>
    <col min="15112" max="15112" width="8.7109375" style="33" customWidth="1"/>
    <col min="15113" max="15113" width="7.28515625" style="33" customWidth="1"/>
    <col min="15114" max="15114" width="3.28515625" style="33" customWidth="1"/>
    <col min="15115" max="15115" width="19" style="33" customWidth="1"/>
    <col min="15116" max="15116" width="27.7109375" style="33" customWidth="1"/>
    <col min="15117" max="15117" width="6.85546875" style="33" customWidth="1"/>
    <col min="15118" max="15118" width="12" style="33" customWidth="1"/>
    <col min="15119" max="15119" width="9.140625" style="33" customWidth="1"/>
    <col min="15120" max="15120" width="9.85546875" style="33" bestFit="1" customWidth="1"/>
    <col min="15121" max="15360" width="9.140625" style="33"/>
    <col min="15361" max="15363" width="9.140625" style="33" customWidth="1"/>
    <col min="15364" max="15364" width="22.7109375" style="33" customWidth="1"/>
    <col min="15365" max="15365" width="19.5703125" style="33" customWidth="1"/>
    <col min="15366" max="15366" width="3.28515625" style="33" customWidth="1"/>
    <col min="15367" max="15367" width="20" style="33" customWidth="1"/>
    <col min="15368" max="15368" width="8.7109375" style="33" customWidth="1"/>
    <col min="15369" max="15369" width="7.28515625" style="33" customWidth="1"/>
    <col min="15370" max="15370" width="3.28515625" style="33" customWidth="1"/>
    <col min="15371" max="15371" width="19" style="33" customWidth="1"/>
    <col min="15372" max="15372" width="27.7109375" style="33" customWidth="1"/>
    <col min="15373" max="15373" width="6.85546875" style="33" customWidth="1"/>
    <col min="15374" max="15374" width="12" style="33" customWidth="1"/>
    <col min="15375" max="15375" width="9.140625" style="33" customWidth="1"/>
    <col min="15376" max="15376" width="9.85546875" style="33" bestFit="1" customWidth="1"/>
    <col min="15377" max="15616" width="9.140625" style="33"/>
    <col min="15617" max="15619" width="9.140625" style="33" customWidth="1"/>
    <col min="15620" max="15620" width="22.7109375" style="33" customWidth="1"/>
    <col min="15621" max="15621" width="19.5703125" style="33" customWidth="1"/>
    <col min="15622" max="15622" width="3.28515625" style="33" customWidth="1"/>
    <col min="15623" max="15623" width="20" style="33" customWidth="1"/>
    <col min="15624" max="15624" width="8.7109375" style="33" customWidth="1"/>
    <col min="15625" max="15625" width="7.28515625" style="33" customWidth="1"/>
    <col min="15626" max="15626" width="3.28515625" style="33" customWidth="1"/>
    <col min="15627" max="15627" width="19" style="33" customWidth="1"/>
    <col min="15628" max="15628" width="27.7109375" style="33" customWidth="1"/>
    <col min="15629" max="15629" width="6.85546875" style="33" customWidth="1"/>
    <col min="15630" max="15630" width="12" style="33" customWidth="1"/>
    <col min="15631" max="15631" width="9.140625" style="33" customWidth="1"/>
    <col min="15632" max="15632" width="9.85546875" style="33" bestFit="1" customWidth="1"/>
    <col min="15633" max="15872" width="9.140625" style="33"/>
    <col min="15873" max="15875" width="9.140625" style="33" customWidth="1"/>
    <col min="15876" max="15876" width="22.7109375" style="33" customWidth="1"/>
    <col min="15877" max="15877" width="19.5703125" style="33" customWidth="1"/>
    <col min="15878" max="15878" width="3.28515625" style="33" customWidth="1"/>
    <col min="15879" max="15879" width="20" style="33" customWidth="1"/>
    <col min="15880" max="15880" width="8.7109375" style="33" customWidth="1"/>
    <col min="15881" max="15881" width="7.28515625" style="33" customWidth="1"/>
    <col min="15882" max="15882" width="3.28515625" style="33" customWidth="1"/>
    <col min="15883" max="15883" width="19" style="33" customWidth="1"/>
    <col min="15884" max="15884" width="27.7109375" style="33" customWidth="1"/>
    <col min="15885" max="15885" width="6.85546875" style="33" customWidth="1"/>
    <col min="15886" max="15886" width="12" style="33" customWidth="1"/>
    <col min="15887" max="15887" width="9.140625" style="33" customWidth="1"/>
    <col min="15888" max="15888" width="9.85546875" style="33" bestFit="1" customWidth="1"/>
    <col min="15889" max="16128" width="9.140625" style="33"/>
    <col min="16129" max="16131" width="9.140625" style="33" customWidth="1"/>
    <col min="16132" max="16132" width="22.7109375" style="33" customWidth="1"/>
    <col min="16133" max="16133" width="19.5703125" style="33" customWidth="1"/>
    <col min="16134" max="16134" width="3.28515625" style="33" customWidth="1"/>
    <col min="16135" max="16135" width="20" style="33" customWidth="1"/>
    <col min="16136" max="16136" width="8.7109375" style="33" customWidth="1"/>
    <col min="16137" max="16137" width="7.28515625" style="33" customWidth="1"/>
    <col min="16138" max="16138" width="3.28515625" style="33" customWidth="1"/>
    <col min="16139" max="16139" width="19" style="33" customWidth="1"/>
    <col min="16140" max="16140" width="27.7109375" style="33" customWidth="1"/>
    <col min="16141" max="16141" width="6.85546875" style="33" customWidth="1"/>
    <col min="16142" max="16142" width="12" style="33" customWidth="1"/>
    <col min="16143" max="16143" width="9.140625" style="33" customWidth="1"/>
    <col min="16144" max="16144" width="9.85546875" style="33" bestFit="1" customWidth="1"/>
    <col min="16145" max="16384" width="9.140625" style="33"/>
  </cols>
  <sheetData>
    <row r="1" spans="1:17" ht="42.75" customHeight="1" x14ac:dyDescent="0.25">
      <c r="B1" s="34"/>
      <c r="C1" s="35"/>
      <c r="D1" s="35"/>
      <c r="E1" s="35"/>
      <c r="F1" s="35"/>
      <c r="G1" s="35"/>
      <c r="H1" s="35"/>
      <c r="I1" s="35"/>
      <c r="J1" s="35"/>
      <c r="K1" s="35"/>
      <c r="L1" s="35"/>
      <c r="M1" s="35"/>
      <c r="N1" s="35"/>
      <c r="O1" s="36"/>
    </row>
    <row r="2" spans="1:17" ht="45" x14ac:dyDescent="0.6">
      <c r="B2" s="37" t="s">
        <v>1493</v>
      </c>
      <c r="C2" s="38"/>
      <c r="D2" s="38"/>
      <c r="E2" s="38"/>
      <c r="F2" s="35"/>
      <c r="G2" s="35"/>
      <c r="H2" s="35"/>
      <c r="I2" s="35"/>
      <c r="J2" s="35"/>
      <c r="K2" s="35"/>
      <c r="L2" s="35"/>
      <c r="M2" s="39"/>
      <c r="N2" s="35"/>
      <c r="O2" s="36"/>
    </row>
    <row r="3" spans="1:17" ht="30.75" thickBot="1" x14ac:dyDescent="0.45">
      <c r="B3" s="40" t="s">
        <v>1467</v>
      </c>
      <c r="C3" s="38"/>
      <c r="D3" s="38"/>
      <c r="E3" s="38"/>
      <c r="F3" s="35"/>
      <c r="G3" s="35"/>
      <c r="H3" s="40"/>
      <c r="I3" s="35"/>
      <c r="J3" s="35"/>
      <c r="K3" s="35"/>
      <c r="L3" s="35"/>
      <c r="M3" s="39"/>
      <c r="N3" s="35"/>
      <c r="O3" s="36"/>
    </row>
    <row r="4" spans="1:17" ht="19.5" thickBot="1" x14ac:dyDescent="0.35">
      <c r="B4" s="421" t="s">
        <v>698</v>
      </c>
      <c r="C4" s="422"/>
      <c r="D4" s="422"/>
      <c r="E4" s="423"/>
      <c r="G4" s="35"/>
      <c r="L4" s="41"/>
      <c r="M4" s="35"/>
      <c r="N4" s="35"/>
      <c r="O4" s="36"/>
    </row>
    <row r="5" spans="1:17" x14ac:dyDescent="0.25">
      <c r="A5" s="42"/>
      <c r="B5" s="35"/>
      <c r="C5" s="35"/>
      <c r="D5" s="35"/>
      <c r="E5" s="35"/>
      <c r="F5" s="35"/>
      <c r="G5" s="36"/>
      <c r="H5" s="36"/>
      <c r="I5" s="36"/>
      <c r="J5" s="36"/>
      <c r="K5" s="36"/>
      <c r="L5" s="36"/>
      <c r="M5" s="36"/>
      <c r="N5" s="36"/>
      <c r="O5" s="43"/>
    </row>
    <row r="6" spans="1:17" ht="30.75" thickBot="1" x14ac:dyDescent="0.45">
      <c r="A6" s="42"/>
      <c r="B6" s="40" t="s">
        <v>1468</v>
      </c>
      <c r="C6" s="40"/>
      <c r="D6" s="44"/>
      <c r="E6" s="44"/>
      <c r="F6" s="44"/>
      <c r="G6" s="44"/>
      <c r="H6" s="44"/>
      <c r="I6" s="44"/>
      <c r="J6" s="44"/>
      <c r="K6" s="44"/>
      <c r="L6" s="44"/>
      <c r="M6" s="44"/>
      <c r="N6" s="43"/>
      <c r="O6" s="43"/>
      <c r="P6" s="43"/>
      <c r="Q6" s="43"/>
    </row>
    <row r="7" spans="1:17" ht="19.5" thickBot="1" x14ac:dyDescent="0.35">
      <c r="A7" s="42"/>
      <c r="B7" s="424" t="s">
        <v>701</v>
      </c>
      <c r="C7" s="425"/>
      <c r="D7" s="425"/>
      <c r="E7" s="426"/>
      <c r="G7" s="44"/>
      <c r="H7" s="44"/>
      <c r="I7" s="44"/>
      <c r="J7" s="44"/>
      <c r="K7" s="44"/>
      <c r="L7" s="44"/>
      <c r="M7" s="44"/>
      <c r="N7" s="43"/>
      <c r="O7" s="43"/>
    </row>
    <row r="8" spans="1:17" x14ac:dyDescent="0.25">
      <c r="A8" s="42"/>
      <c r="B8" s="45"/>
      <c r="C8" s="43"/>
      <c r="D8" s="43"/>
      <c r="E8" s="43"/>
      <c r="F8" s="43"/>
      <c r="G8" s="44"/>
      <c r="H8" s="44"/>
      <c r="I8" s="44"/>
      <c r="J8" s="44"/>
      <c r="K8" s="44"/>
      <c r="L8" s="44"/>
      <c r="M8" s="44"/>
      <c r="N8" s="43"/>
      <c r="O8" s="43"/>
    </row>
    <row r="9" spans="1:17" x14ac:dyDescent="0.25">
      <c r="A9" s="42"/>
      <c r="B9" s="45"/>
      <c r="C9" s="46"/>
      <c r="D9" s="46"/>
      <c r="E9" s="44"/>
      <c r="F9" s="44"/>
      <c r="G9" s="44"/>
      <c r="H9" s="44"/>
      <c r="I9" s="44"/>
      <c r="J9" s="44"/>
      <c r="K9" s="44"/>
      <c r="L9" s="44"/>
      <c r="M9" s="44"/>
      <c r="N9" s="43"/>
      <c r="O9" s="43"/>
    </row>
    <row r="10" spans="1:17" x14ac:dyDescent="0.25">
      <c r="A10" s="42"/>
      <c r="B10" s="47"/>
      <c r="C10" s="48"/>
      <c r="D10" s="48"/>
      <c r="E10" s="49"/>
      <c r="F10" s="49"/>
      <c r="G10" s="49"/>
      <c r="H10" s="49"/>
      <c r="I10" s="49"/>
      <c r="J10" s="49"/>
      <c r="K10" s="49"/>
      <c r="L10" s="49"/>
      <c r="M10" s="49"/>
      <c r="N10" s="50"/>
      <c r="O10" s="43"/>
    </row>
    <row r="11" spans="1:17" x14ac:dyDescent="0.25">
      <c r="A11" s="42"/>
      <c r="B11" s="49"/>
      <c r="C11" s="49"/>
      <c r="D11" s="49"/>
      <c r="E11" s="51"/>
      <c r="F11" s="49"/>
      <c r="G11" s="49"/>
      <c r="H11" s="49"/>
      <c r="I11" s="49"/>
      <c r="J11" s="49"/>
      <c r="K11" s="49"/>
      <c r="L11" s="49"/>
      <c r="M11" s="49"/>
      <c r="N11" s="50"/>
      <c r="O11" s="43"/>
    </row>
    <row r="12" spans="1:17" x14ac:dyDescent="0.25">
      <c r="A12" s="42"/>
      <c r="B12" s="52"/>
      <c r="C12" s="52" t="s">
        <v>1469</v>
      </c>
      <c r="D12" s="49"/>
      <c r="E12" s="53" t="s">
        <v>1470</v>
      </c>
      <c r="F12" s="49"/>
      <c r="G12" s="49"/>
      <c r="H12" s="53" t="s">
        <v>1471</v>
      </c>
      <c r="I12" s="54"/>
      <c r="J12" s="49"/>
      <c r="K12" s="55"/>
      <c r="L12" s="55"/>
      <c r="M12" s="55"/>
      <c r="N12" s="50"/>
      <c r="O12" s="43"/>
    </row>
    <row r="13" spans="1:17" x14ac:dyDescent="0.25">
      <c r="A13" s="42"/>
      <c r="B13" s="56"/>
      <c r="C13" s="57" t="s">
        <v>1216</v>
      </c>
      <c r="D13" s="49"/>
      <c r="E13" s="57" t="s">
        <v>1472</v>
      </c>
      <c r="F13" s="49"/>
      <c r="G13" s="49"/>
      <c r="H13" s="57" t="s">
        <v>1473</v>
      </c>
      <c r="I13" s="54"/>
      <c r="J13" s="49"/>
      <c r="K13" s="55"/>
      <c r="L13" s="55"/>
      <c r="M13" s="55"/>
      <c r="N13" s="50"/>
      <c r="O13" s="43"/>
    </row>
    <row r="14" spans="1:17" x14ac:dyDescent="0.25">
      <c r="A14" s="42"/>
      <c r="B14" s="49"/>
      <c r="C14" s="58">
        <f>IFERROR(IF($C$79="x","",IF($C$78="x","Se länk",VLOOKUP($B$7,'Miljövärden för publ företag'!$C$4:$G$487,MATCH("Total primärenergi-faktor",'Miljövärden för publ företag'!$C$4:$G$4,0),FALSE))),"")</f>
        <v>7.7901999999999999E-2</v>
      </c>
      <c r="D14" s="55"/>
      <c r="E14" s="427" t="str">
        <f>IFERROR(IF($C$79="x","",IF($C$78="x","Se länk",CONCATENATE(ROUND(VLOOKUP($B$7,'Miljövärden för publ företag'!$C$4:$G$487,MATCH("Total CO2 förbränning [g/kWh]",'Miljövärden för publ företag'!$C$4:$G$4,0),FALSE),0)," g CO2 ekv/kWh"))),"")</f>
        <v>11 g CO2 ekv/kWh</v>
      </c>
      <c r="F14" s="427"/>
      <c r="G14" s="49"/>
      <c r="H14" s="428" t="str">
        <f>'Underlag till diagram'!J89</f>
        <v>2%</v>
      </c>
      <c r="I14" s="428"/>
      <c r="J14" s="49"/>
      <c r="K14" s="55"/>
      <c r="L14" s="55"/>
      <c r="M14" s="55"/>
      <c r="N14" s="50"/>
      <c r="O14" s="43"/>
    </row>
    <row r="15" spans="1:17" x14ac:dyDescent="0.25">
      <c r="A15" s="42"/>
      <c r="B15" s="49"/>
      <c r="C15" s="59"/>
      <c r="D15" s="55"/>
      <c r="E15" s="59"/>
      <c r="F15" s="49"/>
      <c r="G15" s="49"/>
      <c r="H15" s="59"/>
      <c r="I15" s="59"/>
      <c r="J15" s="49"/>
      <c r="K15" s="59"/>
      <c r="L15" s="59"/>
      <c r="M15" s="60"/>
      <c r="N15" s="50"/>
      <c r="O15" s="43"/>
    </row>
    <row r="16" spans="1:17" x14ac:dyDescent="0.25">
      <c r="A16" s="42"/>
      <c r="B16" s="49"/>
      <c r="C16" s="59"/>
      <c r="D16" s="55"/>
      <c r="E16" s="57" t="s">
        <v>1474</v>
      </c>
      <c r="F16" s="49"/>
      <c r="G16" s="49"/>
      <c r="H16" s="59"/>
      <c r="I16" s="59"/>
      <c r="J16" s="49"/>
      <c r="K16" s="59"/>
      <c r="L16" s="59"/>
      <c r="M16" s="60"/>
      <c r="N16" s="50"/>
      <c r="O16" s="43"/>
    </row>
    <row r="17" spans="1:16" x14ac:dyDescent="0.25">
      <c r="A17" s="42"/>
      <c r="B17" s="49"/>
      <c r="C17" s="49"/>
      <c r="D17" s="49"/>
      <c r="E17" s="427" t="str">
        <f>IFERROR(IF($C$79="x","",IF($C$78="x","Se länk",CONCATENATE(ROUND(VLOOKUP($B$7,'Miljövärden för publ företag'!$C$4:$G$487,MATCH("Total CO2 transport och prod. av bränslen [g/kWh]",'Miljövärden för publ företag'!$C$4:$G$4,0),FALSE),0)," g CO2 ekv/kWh"))),"")</f>
        <v>5 g CO2 ekv/kWh</v>
      </c>
      <c r="F17" s="427"/>
      <c r="G17" s="49"/>
      <c r="H17" s="49"/>
      <c r="I17" s="49"/>
      <c r="J17" s="49"/>
      <c r="K17" s="49"/>
      <c r="L17" s="49"/>
      <c r="M17" s="49"/>
      <c r="N17" s="50"/>
      <c r="O17" s="43"/>
    </row>
    <row r="18" spans="1:16" ht="7.5" customHeight="1" x14ac:dyDescent="0.25">
      <c r="A18" s="42"/>
      <c r="B18" s="49"/>
      <c r="C18" s="61" t="str">
        <f>IFERROR(IF(VLOOKUP($B$7,[1]Underlagsinformation!$B$1:$O$427,MATCH("Är fjärrvärmen klimatkompenserad?",[1]Underlagsinformation!$B$1:$M$1,0),FALSE)="Ja","Fjärrvärmeproduktionen är klimatkompenserad. Kontakta företaget för mer information",""),"")</f>
        <v/>
      </c>
      <c r="D18" s="49"/>
      <c r="E18" s="49"/>
      <c r="F18" s="49"/>
      <c r="G18" s="49"/>
      <c r="H18" s="49"/>
      <c r="I18" s="49"/>
      <c r="J18" s="49"/>
      <c r="K18" s="49"/>
      <c r="L18" s="49"/>
      <c r="M18" s="49"/>
      <c r="N18" s="50"/>
      <c r="O18" s="43"/>
    </row>
    <row r="19" spans="1:16" x14ac:dyDescent="0.25">
      <c r="A19" s="42"/>
      <c r="B19" s="49"/>
      <c r="C19" s="62" t="str">
        <f>IFERROR(IF($G$24="0 GWh","",IF($G$24="","",P19)),"")</f>
        <v/>
      </c>
      <c r="D19" s="49"/>
      <c r="E19" s="49"/>
      <c r="F19" s="59"/>
      <c r="G19" s="57"/>
      <c r="H19" s="49"/>
      <c r="I19" s="49"/>
      <c r="J19" s="49"/>
      <c r="K19" s="49"/>
      <c r="L19" s="49"/>
      <c r="M19" s="49"/>
      <c r="N19" s="49"/>
      <c r="O19" s="43"/>
      <c r="P19" s="63" t="s">
        <v>1475</v>
      </c>
    </row>
    <row r="20" spans="1:16" x14ac:dyDescent="0.25">
      <c r="A20" s="42"/>
      <c r="B20" s="49"/>
      <c r="C20" s="62" t="str">
        <f>IF(C19="","",IF('[1]Underlag till diagram'!L91="ja","",P20))</f>
        <v/>
      </c>
      <c r="D20" s="49"/>
      <c r="E20" s="49"/>
      <c r="F20" s="59"/>
      <c r="G20" s="57"/>
      <c r="H20" s="49"/>
      <c r="I20" s="49"/>
      <c r="J20" s="49"/>
      <c r="K20" s="49"/>
      <c r="L20" s="49"/>
      <c r="M20" s="49"/>
      <c r="N20" s="49"/>
      <c r="O20" s="43"/>
      <c r="P20" s="63" t="s">
        <v>1476</v>
      </c>
    </row>
    <row r="21" spans="1:16" ht="8.25" customHeight="1" x14ac:dyDescent="0.25">
      <c r="A21" s="42"/>
      <c r="B21" s="49"/>
      <c r="C21" s="49"/>
      <c r="D21" s="49"/>
      <c r="E21" s="49"/>
      <c r="F21" s="59"/>
      <c r="G21" s="60"/>
      <c r="H21" s="49"/>
      <c r="I21" s="49"/>
      <c r="J21" s="49"/>
      <c r="K21" s="49"/>
      <c r="L21" s="49"/>
      <c r="M21" s="49"/>
      <c r="N21" s="49"/>
      <c r="O21" s="43"/>
    </row>
    <row r="22" spans="1:16" x14ac:dyDescent="0.25">
      <c r="A22" s="42"/>
      <c r="B22" s="49"/>
      <c r="C22" s="429" t="s">
        <v>1477</v>
      </c>
      <c r="D22" s="429"/>
      <c r="E22" s="49"/>
      <c r="F22" s="49"/>
      <c r="G22" s="49"/>
      <c r="H22" s="49"/>
      <c r="I22" s="49"/>
      <c r="J22" s="49"/>
      <c r="K22" s="49"/>
      <c r="L22" s="49"/>
      <c r="M22" s="49"/>
      <c r="N22" s="49"/>
      <c r="O22" s="43"/>
    </row>
    <row r="23" spans="1:16" x14ac:dyDescent="0.25">
      <c r="A23" s="42"/>
      <c r="B23" s="49"/>
      <c r="C23" s="429" t="s">
        <v>1478</v>
      </c>
      <c r="D23" s="429"/>
      <c r="E23" s="47"/>
      <c r="F23" s="47"/>
      <c r="G23" s="64" t="str">
        <f>IFERROR(IF($C$79="x","",IF($C$78="x","Se länk",CONCATENATE(ROUND(VLOOKUP($B$7,Totalt!$B$1:$BL$491,MATCH("Leveranser:",Totalt!$B$1:$BL$1,0),FALSE),IF(VLOOKUP($B$7,Totalt!$B$1:$BL$491,MATCH("Leveranser:",Totalt!$B$1:$BL$1,0),FALSE)&lt;100,1,0))," GWh"))),"")</f>
        <v>102 GWh</v>
      </c>
      <c r="H23" s="57"/>
      <c r="I23" s="47"/>
      <c r="J23" s="47"/>
      <c r="K23" s="47"/>
      <c r="L23" s="47"/>
      <c r="M23" s="47"/>
      <c r="N23" s="47"/>
      <c r="O23" s="43"/>
    </row>
    <row r="24" spans="1:16" x14ac:dyDescent="0.25">
      <c r="A24" s="42"/>
      <c r="B24" s="49"/>
      <c r="C24" s="57" t="s">
        <v>1479</v>
      </c>
      <c r="D24" s="65"/>
      <c r="E24" s="47"/>
      <c r="F24" s="47"/>
      <c r="G24" s="64" t="str">
        <f>IFERROR(IF($C$79="x","",IF($C$78="x","",
IF(VLOOKUP($B$7,Underlagsinformation!$B$1:$N$500,MATCH("Såld prod.spec värme:",Underlagsinformation!$B$1:$N$1,0),FALSE)&lt;&gt;"",
CONCATENATE(ROUND(VLOOKUP($B$7,Underlagsinformation!$B$1:$N$500,MATCH("Såld prod.spec värme:",Underlagsinformation!$B$1:$N$1,0),FALSE),0)," GWh"),""))),"")</f>
        <v/>
      </c>
      <c r="H24" s="57"/>
      <c r="I24" s="47"/>
      <c r="J24" s="47"/>
      <c r="K24" s="47"/>
      <c r="L24" s="47"/>
      <c r="M24" s="47"/>
      <c r="N24" s="47"/>
      <c r="O24" s="43"/>
    </row>
    <row r="25" spans="1:16" x14ac:dyDescent="0.25">
      <c r="A25" s="42"/>
      <c r="B25" s="49"/>
      <c r="C25" s="66"/>
      <c r="D25" s="66"/>
      <c r="E25" s="47"/>
      <c r="F25" s="47"/>
      <c r="G25" s="67"/>
      <c r="H25" s="57"/>
      <c r="I25" s="55"/>
      <c r="J25" s="55"/>
      <c r="K25" s="47"/>
      <c r="L25" s="47"/>
      <c r="M25" s="47"/>
      <c r="N25" s="47"/>
      <c r="O25" s="43"/>
    </row>
    <row r="26" spans="1:16" x14ac:dyDescent="0.25">
      <c r="A26" s="42"/>
      <c r="B26" s="49"/>
      <c r="C26" s="429" t="s">
        <v>1480</v>
      </c>
      <c r="D26" s="429"/>
      <c r="E26" s="49"/>
      <c r="F26" s="49"/>
      <c r="G26" s="68" t="str">
        <f>IFERROR(IF($C$79="x","",IF($C$78="x","",
IF(VLOOKUP($B$7,Underlagsinformation!$B$1:$N$500,MATCH("Elproduktion",Underlagsinformation!$B$1:$N$1,0),FALSE)="","",
CONCATENATE(ROUND(VLOOKUP($B$7,Underlagsinformation!$B$1:$N$500,MATCH("Elproduktion",Underlagsinformation!$B$1:$N$1,0),FALSE),0)," GWh")))),"")</f>
        <v/>
      </c>
      <c r="H26" s="57"/>
      <c r="I26" s="55"/>
      <c r="J26" s="55"/>
      <c r="K26" s="49"/>
      <c r="L26" s="49"/>
      <c r="M26" s="49"/>
      <c r="N26" s="49"/>
      <c r="O26" s="43"/>
    </row>
    <row r="27" spans="1:16" x14ac:dyDescent="0.25">
      <c r="A27" s="42"/>
      <c r="B27" s="49"/>
      <c r="C27" s="57" t="s">
        <v>1481</v>
      </c>
      <c r="D27" s="69"/>
      <c r="E27" s="70"/>
      <c r="F27" s="70"/>
      <c r="G27" s="71" t="str">
        <f>IFERROR(IF($C$79="x","",IF($C$78="x","",
IF(VLOOKUP($B$7,Underlagsinformation!$B$1:$Q$500,MATCH("Andel av bränsle i kvv som allokerats till värme, exklusive rökgaskondensering och hjälpel",Underlagsinformation!$B$1:$S$1,0),FALSE)="","",
(ROUND(VLOOKUP($B$7,Underlagsinformation!$B$1:$Q$500,MATCH("Andel av bränsle i kvv som allokerats till värme, exklusive rökgaskondensering och hjälpel",Underlagsinformation!$B$1:$S$1,0),FALSE),2))))),"")</f>
        <v/>
      </c>
      <c r="H27" s="57"/>
      <c r="I27" s="49"/>
      <c r="J27" s="49"/>
      <c r="K27" s="49"/>
      <c r="L27" s="72"/>
      <c r="M27" s="72"/>
      <c r="N27" s="49"/>
      <c r="O27" s="43"/>
    </row>
    <row r="28" spans="1:16" x14ac:dyDescent="0.25">
      <c r="A28" s="42"/>
      <c r="B28" s="49"/>
      <c r="C28" s="57"/>
      <c r="D28" s="69"/>
      <c r="E28" s="70"/>
      <c r="F28" s="70"/>
      <c r="G28" s="59"/>
      <c r="H28" s="57"/>
      <c r="I28" s="49"/>
      <c r="J28" s="49"/>
      <c r="K28" s="49"/>
      <c r="L28" s="72"/>
      <c r="M28" s="72"/>
      <c r="N28" s="49"/>
      <c r="O28" s="43"/>
    </row>
    <row r="29" spans="1:16" x14ac:dyDescent="0.25">
      <c r="A29" s="42"/>
      <c r="B29" s="49"/>
      <c r="C29" s="73" t="s">
        <v>1482</v>
      </c>
      <c r="D29" s="74"/>
      <c r="E29" s="49"/>
      <c r="F29" s="49"/>
      <c r="G29" s="64" t="str">
        <f>IFERROR(IF($C$79="x","",IF($C$78="x","Se länk",CONCATENATE(ROUND(VLOOKUP($B$7,Totalt!$B$1:$BR$491,MATCH("Totalt tillförd energi:",Totalt!$B$1:$CA$1,0),FALSE),IF(VLOOKUP($B$7,Totalt!$B$1:$BR$491,MATCH("Totalt tillförd energi:",Totalt!$B$1:$CA$1,0),FALSE)&lt;100,1,0))," GWh"))),"")</f>
        <v>131 GWh</v>
      </c>
      <c r="H29" s="57"/>
      <c r="I29" s="49"/>
      <c r="J29" s="49"/>
      <c r="K29" s="49"/>
      <c r="L29" s="49"/>
      <c r="M29" s="49"/>
      <c r="N29" s="49"/>
      <c r="O29" s="43"/>
    </row>
    <row r="30" spans="1:16" x14ac:dyDescent="0.25">
      <c r="A30" s="42"/>
      <c r="B30" s="49"/>
      <c r="C30" s="66" t="s">
        <v>1483</v>
      </c>
      <c r="D30" s="75"/>
      <c r="E30" s="49"/>
      <c r="F30" s="49"/>
      <c r="G30" s="64" t="str">
        <f>IFERROR(IF($C$79="x","",IF($C$78="x","",
CONCATENATE(ROUND(VLOOKUP($B$7,Totalt!$B$1:$BR$491,MATCH("Total el",Totalt!$B$1:$CA$1,0),FALSE),1)," GWh"))),"")</f>
        <v>4,1 GWh</v>
      </c>
      <c r="H30" s="57"/>
      <c r="I30" s="49"/>
      <c r="J30" s="49"/>
      <c r="K30" s="49"/>
      <c r="L30" s="49"/>
      <c r="M30" s="49"/>
      <c r="N30" s="49"/>
      <c r="O30" s="43"/>
    </row>
    <row r="31" spans="1:16" x14ac:dyDescent="0.25">
      <c r="A31" s="42"/>
      <c r="B31" s="49"/>
      <c r="C31" s="49"/>
      <c r="D31" s="75"/>
      <c r="E31" s="49"/>
      <c r="F31" s="49"/>
      <c r="G31" s="49"/>
      <c r="H31" s="49"/>
      <c r="I31" s="49"/>
      <c r="J31" s="49"/>
      <c r="K31" s="49"/>
      <c r="L31" s="49"/>
      <c r="M31" s="49"/>
      <c r="N31" s="49"/>
      <c r="O31" s="43"/>
    </row>
    <row r="32" spans="1:16" x14ac:dyDescent="0.25">
      <c r="A32" s="42"/>
      <c r="B32" s="49"/>
      <c r="C32" s="57" t="s">
        <v>1484</v>
      </c>
      <c r="D32" s="65"/>
      <c r="E32" s="49"/>
      <c r="F32" s="57"/>
      <c r="G32" s="430" t="str">
        <f>IFERROR(IF($C$79="x","",IF($C$78="x","",'Underlag till diagram'!$B$17)),"")</f>
        <v>'EPD Vattenflls vindkraft'</v>
      </c>
      <c r="H32" s="430"/>
      <c r="I32" s="430"/>
      <c r="J32" s="430"/>
      <c r="K32" s="430"/>
      <c r="L32" s="49"/>
      <c r="M32" s="49"/>
      <c r="N32" s="49"/>
      <c r="O32" s="43"/>
    </row>
    <row r="33" spans="1:15" ht="3" customHeight="1" x14ac:dyDescent="0.25">
      <c r="A33" s="42"/>
      <c r="B33" s="49"/>
      <c r="C33" s="49"/>
      <c r="D33" s="65"/>
      <c r="E33" s="49"/>
      <c r="F33" s="57"/>
      <c r="G33" s="76"/>
      <c r="H33" s="57"/>
      <c r="I33" s="57"/>
      <c r="J33" s="57"/>
      <c r="K33" s="57"/>
      <c r="L33" s="49"/>
      <c r="M33" s="49"/>
      <c r="N33" s="49"/>
      <c r="O33" s="43"/>
    </row>
    <row r="34" spans="1:15" ht="18.75" x14ac:dyDescent="0.35">
      <c r="A34" s="42"/>
      <c r="B34" s="49"/>
      <c r="C34" s="57" t="s">
        <v>1485</v>
      </c>
      <c r="D34" s="65"/>
      <c r="E34" s="49"/>
      <c r="F34" s="57"/>
      <c r="G34" s="64" t="str">
        <f>IFERROR(IF($C$79="x","",IF($C$78="x","",
CONCATENATE(ROUND(VLOOKUP($B$7,Miljö!$B$1:$J$550,MATCH("Koldioxidekvivalenter energiomvandling (g/kwh)",Miljö!$B$1:$J$1,0),FALSE),0)," g CO2 ekv/kWh"))),"")</f>
        <v>0 g CO2 ekv/kWh</v>
      </c>
      <c r="H34" s="57"/>
      <c r="I34" s="57"/>
      <c r="J34" s="57"/>
      <c r="K34" s="57"/>
      <c r="L34" s="49"/>
      <c r="M34" s="49"/>
      <c r="N34" s="49"/>
      <c r="O34" s="43"/>
    </row>
    <row r="35" spans="1:15" x14ac:dyDescent="0.25">
      <c r="A35" s="42"/>
      <c r="B35" s="49"/>
      <c r="C35" s="57" t="s">
        <v>1486</v>
      </c>
      <c r="D35" s="65"/>
      <c r="E35" s="49"/>
      <c r="F35" s="57"/>
      <c r="G35" s="71">
        <f>IFERROR(IF($C$79="x","",IF($C$78="x","",ROUND(VLOOKUP($B$7,Miljö!$B$1:$J$550,MATCH("Fossilandel för ursprungspecificerad el ()",Miljö!$B$1:$J$1,0),FALSE),2))),"")</f>
        <v>0</v>
      </c>
      <c r="H35" s="57"/>
      <c r="I35" s="57"/>
      <c r="J35" s="57"/>
      <c r="K35" s="57"/>
      <c r="L35" s="49"/>
      <c r="M35" s="49"/>
      <c r="N35" s="49"/>
      <c r="O35" s="43"/>
    </row>
    <row r="36" spans="1:15" x14ac:dyDescent="0.25">
      <c r="A36" s="42"/>
      <c r="B36" s="49"/>
      <c r="C36" s="57" t="s">
        <v>1487</v>
      </c>
      <c r="D36" s="65"/>
      <c r="E36" s="49"/>
      <c r="F36" s="57"/>
      <c r="G36" s="77">
        <f>IFERROR(IF($C$79="x","",IF($C$78="x","",ROUND(VLOOKUP($B$7,Miljö!$B$1:$J$550,MATCH("Primärenergifaktor ()",Miljö!$B$1:$J$1,0),FALSE),1))),"")</f>
        <v>0.1</v>
      </c>
      <c r="H36" s="57"/>
      <c r="I36" s="57"/>
      <c r="J36" s="57"/>
      <c r="K36" s="57"/>
      <c r="L36" s="49"/>
      <c r="M36" s="49"/>
      <c r="N36" s="49"/>
      <c r="O36" s="43"/>
    </row>
    <row r="37" spans="1:15" x14ac:dyDescent="0.25">
      <c r="A37" s="42"/>
      <c r="B37" s="49"/>
      <c r="C37" s="49"/>
      <c r="D37" s="49"/>
      <c r="E37" s="49"/>
      <c r="F37" s="57"/>
      <c r="G37" s="57"/>
      <c r="H37" s="57"/>
      <c r="I37" s="57"/>
      <c r="J37" s="57"/>
      <c r="K37" s="57"/>
      <c r="L37" s="49"/>
      <c r="M37" s="49"/>
      <c r="N37" s="49"/>
      <c r="O37" s="43"/>
    </row>
    <row r="38" spans="1:15" x14ac:dyDescent="0.25">
      <c r="A38" s="42"/>
      <c r="B38" s="49"/>
      <c r="C38" s="66" t="s">
        <v>1488</v>
      </c>
      <c r="D38" s="78"/>
      <c r="E38" s="78"/>
      <c r="F38" s="49"/>
      <c r="G38" s="431" t="str">
        <f>IFERROR(IF($C$79="x","",IF($C$78="x","",VLOOKUP($B$7,Underlagsinformation!$B$1:$M$500,MATCH("Allokeringsmetod vid kraftvärme",Underlagsinformation!$B$1:$N$1,0),FALSE))),"")</f>
        <v>Ej kraftvärme</v>
      </c>
      <c r="H38" s="432"/>
      <c r="I38" s="432"/>
      <c r="J38" s="432"/>
      <c r="K38" s="432"/>
      <c r="L38" s="432"/>
      <c r="M38" s="49"/>
      <c r="N38" s="49"/>
      <c r="O38" s="44"/>
    </row>
    <row r="39" spans="1:15" ht="32.25" customHeight="1" x14ac:dyDescent="0.25">
      <c r="A39" s="42"/>
      <c r="B39" s="49"/>
      <c r="C39" s="57" t="s">
        <v>1489</v>
      </c>
      <c r="D39" s="79"/>
      <c r="E39" s="79"/>
      <c r="F39" s="49"/>
      <c r="G39" s="433" t="str">
        <f>IFERROR(IF($C$79="x","",IF($C$78="x",VLOOKUP($B$7,Underlagsinformation!$B$1:$M$487,2,FALSE),"För mer information, kontakta företaget")),"")</f>
        <v>För mer information, kontakta företaget</v>
      </c>
      <c r="H39" s="433"/>
      <c r="I39" s="433"/>
      <c r="J39" s="433"/>
      <c r="K39" s="433"/>
      <c r="L39" s="433"/>
      <c r="M39" s="49"/>
      <c r="N39" s="49"/>
      <c r="O39" s="44"/>
    </row>
    <row r="40" spans="1:15" x14ac:dyDescent="0.25">
      <c r="A40" s="42"/>
      <c r="B40" s="49"/>
      <c r="C40" s="57"/>
      <c r="D40" s="79"/>
      <c r="E40" s="79"/>
      <c r="F40" s="49"/>
      <c r="G40" s="80"/>
      <c r="H40" s="80"/>
      <c r="I40" s="80"/>
      <c r="J40" s="80"/>
      <c r="K40" s="80"/>
      <c r="L40" s="80"/>
      <c r="M40" s="49"/>
      <c r="N40" s="49"/>
      <c r="O40" s="44"/>
    </row>
    <row r="41" spans="1:15" x14ac:dyDescent="0.25">
      <c r="A41" s="42"/>
      <c r="B41" s="49"/>
      <c r="C41" s="81" t="str">
        <f>IFERROR(IF($C$78="x","Klicka på cellen med länken, högerklicka och välj kopiera, klistra sedan in länken i din webbläsare.",""),"")</f>
        <v/>
      </c>
      <c r="D41" s="49"/>
      <c r="E41" s="49"/>
      <c r="F41" s="49"/>
      <c r="G41" s="49"/>
      <c r="H41" s="49"/>
      <c r="I41" s="49"/>
      <c r="J41" s="49"/>
      <c r="K41" s="49"/>
      <c r="L41" s="49"/>
      <c r="M41" s="82"/>
      <c r="N41" s="49"/>
      <c r="O41" s="43"/>
    </row>
    <row r="42" spans="1:15" ht="20.25" x14ac:dyDescent="0.3">
      <c r="A42" s="42"/>
      <c r="B42" s="49"/>
      <c r="C42" s="54"/>
      <c r="D42" s="49"/>
      <c r="E42" s="83"/>
      <c r="F42" s="49"/>
      <c r="G42" s="49"/>
      <c r="H42" s="49"/>
      <c r="I42" s="49"/>
      <c r="J42" s="49"/>
      <c r="K42" s="49"/>
      <c r="L42" s="49"/>
      <c r="M42" s="82"/>
      <c r="N42" s="49"/>
      <c r="O42" s="43"/>
    </row>
    <row r="43" spans="1:15" x14ac:dyDescent="0.25">
      <c r="A43" s="42"/>
      <c r="B43" s="49"/>
      <c r="C43" s="49"/>
      <c r="D43" s="49"/>
      <c r="E43" s="49"/>
      <c r="F43" s="49"/>
      <c r="G43" s="49"/>
      <c r="H43" s="49"/>
      <c r="I43" s="49"/>
      <c r="J43" s="49"/>
      <c r="K43" s="49"/>
      <c r="L43" s="49"/>
      <c r="M43" s="49"/>
      <c r="N43" s="49"/>
      <c r="O43" s="43"/>
    </row>
    <row r="44" spans="1:15" ht="15.75" x14ac:dyDescent="0.25">
      <c r="A44" s="42"/>
      <c r="B44" s="49"/>
      <c r="C44" s="84"/>
      <c r="D44" s="84"/>
      <c r="E44" s="84"/>
      <c r="F44" s="84"/>
      <c r="G44" s="84"/>
      <c r="H44" s="49"/>
      <c r="I44" s="49"/>
      <c r="J44" s="49"/>
      <c r="K44" s="85"/>
      <c r="L44" s="49"/>
      <c r="M44" s="49"/>
      <c r="N44" s="49"/>
      <c r="O44" s="43"/>
    </row>
    <row r="45" spans="1:15" x14ac:dyDescent="0.25">
      <c r="A45" s="42"/>
      <c r="B45" s="49"/>
      <c r="C45" s="84"/>
      <c r="D45" s="84"/>
      <c r="E45" s="84"/>
      <c r="F45" s="84"/>
      <c r="G45" s="84"/>
      <c r="H45" s="49"/>
      <c r="I45" s="49"/>
      <c r="J45" s="73" t="s">
        <v>1490</v>
      </c>
      <c r="K45" s="73"/>
      <c r="L45" s="73"/>
      <c r="M45" s="49"/>
      <c r="N45" s="86"/>
      <c r="O45" s="43"/>
    </row>
    <row r="46" spans="1:15" ht="15.75" x14ac:dyDescent="0.25">
      <c r="A46" s="42"/>
      <c r="B46" s="49"/>
      <c r="C46" s="84"/>
      <c r="D46" s="84"/>
      <c r="E46" s="84"/>
      <c r="F46" s="84"/>
      <c r="G46" s="84"/>
      <c r="H46" s="49"/>
      <c r="I46" s="49"/>
      <c r="J46" s="49"/>
      <c r="K46" s="85"/>
      <c r="L46" s="49"/>
      <c r="M46" s="49"/>
      <c r="N46" s="86"/>
    </row>
    <row r="47" spans="1:15" ht="30" customHeight="1" x14ac:dyDescent="0.25">
      <c r="A47" s="42"/>
      <c r="B47" s="49"/>
      <c r="C47" s="84"/>
      <c r="D47" s="84"/>
      <c r="E47" s="84"/>
      <c r="F47" s="84"/>
      <c r="G47" s="84"/>
      <c r="H47" s="49"/>
      <c r="I47" s="49"/>
      <c r="J47" s="420" t="str">
        <f>'Underlag till diagram'!X46</f>
        <v>Återvunnen energi:</v>
      </c>
      <c r="K47" s="420"/>
      <c r="L47" s="420"/>
      <c r="M47" s="87" t="str">
        <f>'Underlag till diagram'!Y46</f>
        <v>ja</v>
      </c>
      <c r="N47" s="88" t="str">
        <f>'Underlag till diagram'!AA46</f>
        <v>72,4%</v>
      </c>
    </row>
    <row r="48" spans="1:15" ht="30" customHeight="1" x14ac:dyDescent="0.25">
      <c r="A48" s="42"/>
      <c r="B48" s="49"/>
      <c r="C48" s="84"/>
      <c r="D48" s="84"/>
      <c r="E48" s="84"/>
      <c r="F48" s="84"/>
      <c r="G48" s="84"/>
      <c r="H48" s="49"/>
      <c r="I48" s="49"/>
      <c r="J48" s="420" t="str">
        <f>'Underlag till diagram'!X47</f>
        <v>Industriell spillvärme</v>
      </c>
      <c r="K48" s="420"/>
      <c r="L48" s="420"/>
      <c r="M48" s="87" t="str">
        <f>'Underlag till diagram'!Y47</f>
        <v/>
      </c>
      <c r="N48" s="88" t="str">
        <f>'Underlag till diagram'!AA47</f>
        <v>1%</v>
      </c>
    </row>
    <row r="49" spans="1:14" ht="30" customHeight="1" x14ac:dyDescent="0.25">
      <c r="A49" s="42"/>
      <c r="B49" s="49"/>
      <c r="C49" s="84"/>
      <c r="D49" s="84"/>
      <c r="E49" s="84"/>
      <c r="F49" s="84"/>
      <c r="G49" s="84"/>
      <c r="H49" s="49"/>
      <c r="I49" s="49"/>
      <c r="J49" s="420" t="str">
        <f>'Underlag till diagram'!X48</f>
        <v>Rökgaskondensering</v>
      </c>
      <c r="K49" s="420"/>
      <c r="L49" s="420"/>
      <c r="M49" s="87" t="str">
        <f>'Underlag till diagram'!Y48</f>
        <v/>
      </c>
      <c r="N49" s="88" t="str">
        <f>'Underlag till diagram'!AA48</f>
        <v>12%</v>
      </c>
    </row>
    <row r="50" spans="1:14" ht="30" customHeight="1" x14ac:dyDescent="0.25">
      <c r="A50" s="42"/>
      <c r="B50" s="49"/>
      <c r="C50" s="84"/>
      <c r="D50" s="84"/>
      <c r="E50" s="84"/>
      <c r="F50" s="84"/>
      <c r="G50" s="84"/>
      <c r="H50" s="49"/>
      <c r="I50" s="49"/>
      <c r="J50" s="420" t="str">
        <f>'Underlag till diagram'!X49</f>
        <v>RT-flis</v>
      </c>
      <c r="K50" s="420"/>
      <c r="L50" s="420"/>
      <c r="M50" s="87" t="str">
        <f>'Underlag till diagram'!Y49</f>
        <v/>
      </c>
      <c r="N50" s="88" t="str">
        <f>'Underlag till diagram'!AA49</f>
        <v>59,4%</v>
      </c>
    </row>
    <row r="51" spans="1:14" ht="30" customHeight="1" x14ac:dyDescent="0.25">
      <c r="A51" s="42"/>
      <c r="B51" s="49"/>
      <c r="C51" s="84"/>
      <c r="D51" s="84"/>
      <c r="E51" s="84"/>
      <c r="F51" s="84"/>
      <c r="G51" s="84"/>
      <c r="H51" s="49"/>
      <c r="I51" s="49"/>
      <c r="J51" s="420" t="str">
        <f>'Underlag till diagram'!X50</f>
        <v xml:space="preserve"> </v>
      </c>
      <c r="K51" s="420"/>
      <c r="L51" s="420"/>
      <c r="M51" s="87" t="str">
        <f>'Underlag till diagram'!Y50</f>
        <v/>
      </c>
      <c r="N51" s="88" t="str">
        <f>'Underlag till diagram'!AA50</f>
        <v/>
      </c>
    </row>
    <row r="52" spans="1:14" ht="30" customHeight="1" x14ac:dyDescent="0.25">
      <c r="A52" s="42"/>
      <c r="B52" s="49"/>
      <c r="C52" s="84"/>
      <c r="D52" s="84"/>
      <c r="E52" s="84"/>
      <c r="F52" s="84"/>
      <c r="G52" s="84"/>
      <c r="H52" s="49"/>
      <c r="I52" s="49"/>
      <c r="J52" s="420" t="str">
        <f>'Underlag till diagram'!X51</f>
        <v>Förnybart:</v>
      </c>
      <c r="K52" s="420"/>
      <c r="L52" s="420"/>
      <c r="M52" s="87" t="str">
        <f>'Underlag till diagram'!Y51</f>
        <v>ja</v>
      </c>
      <c r="N52" s="88" t="str">
        <f>'Underlag till diagram'!AA51</f>
        <v>25,7%</v>
      </c>
    </row>
    <row r="53" spans="1:14" ht="30" customHeight="1" x14ac:dyDescent="0.25">
      <c r="A53" s="42"/>
      <c r="B53" s="49"/>
      <c r="C53" s="84"/>
      <c r="D53" s="84"/>
      <c r="E53" s="84"/>
      <c r="F53" s="84"/>
      <c r="G53" s="84"/>
      <c r="H53" s="49"/>
      <c r="I53" s="49"/>
      <c r="J53" s="420" t="str">
        <f>'Underlag till diagram'!X52</f>
        <v>Sekundära biobränslen</v>
      </c>
      <c r="K53" s="420"/>
      <c r="L53" s="420"/>
      <c r="M53" s="87" t="str">
        <f>'Underlag till diagram'!Y52</f>
        <v/>
      </c>
      <c r="N53" s="88" t="str">
        <f>'Underlag till diagram'!AA52</f>
        <v>14,3%</v>
      </c>
    </row>
    <row r="54" spans="1:14" ht="30" customHeight="1" x14ac:dyDescent="0.25">
      <c r="A54" s="42"/>
      <c r="B54" s="49"/>
      <c r="C54" s="84"/>
      <c r="D54" s="84"/>
      <c r="E54" s="84"/>
      <c r="F54" s="84"/>
      <c r="G54" s="84"/>
      <c r="H54" s="49"/>
      <c r="I54" s="49"/>
      <c r="J54" s="420" t="str">
        <f>'Underlag till diagram'!X53</f>
        <v>Bioolja och tallbeckolja</v>
      </c>
      <c r="K54" s="420"/>
      <c r="L54" s="420"/>
      <c r="M54" s="87" t="str">
        <f>'Underlag till diagram'!Y53</f>
        <v/>
      </c>
      <c r="N54" s="88" t="str">
        <f>'Underlag till diagram'!AA53</f>
        <v>8,2%</v>
      </c>
    </row>
    <row r="55" spans="1:14" ht="30" customHeight="1" x14ac:dyDescent="0.25">
      <c r="A55" s="42"/>
      <c r="B55" s="49"/>
      <c r="C55" s="84"/>
      <c r="D55" s="84"/>
      <c r="E55" s="84"/>
      <c r="F55" s="84"/>
      <c r="G55" s="84"/>
      <c r="H55" s="49"/>
      <c r="I55" s="49"/>
      <c r="J55" s="420" t="str">
        <f>'Underlag till diagram'!X54</f>
        <v>Förnybar el till elpannor, värmepumpar och hjälpel till distribution</v>
      </c>
      <c r="K55" s="420"/>
      <c r="L55" s="420"/>
      <c r="M55" s="87" t="str">
        <f>'Underlag till diagram'!Y54</f>
        <v/>
      </c>
      <c r="N55" s="88" t="str">
        <f>'Underlag till diagram'!AA54</f>
        <v>3,1%</v>
      </c>
    </row>
    <row r="56" spans="1:14" ht="30" customHeight="1" x14ac:dyDescent="0.25">
      <c r="A56" s="42"/>
      <c r="B56" s="49"/>
      <c r="C56" s="84"/>
      <c r="D56" s="84"/>
      <c r="E56" s="84"/>
      <c r="F56" s="84"/>
      <c r="G56" s="84"/>
      <c r="H56" s="49"/>
      <c r="I56" s="49"/>
      <c r="J56" s="420" t="str">
        <f>'Underlag till diagram'!X55</f>
        <v xml:space="preserve"> </v>
      </c>
      <c r="K56" s="420"/>
      <c r="L56" s="420"/>
      <c r="M56" s="87" t="str">
        <f>'Underlag till diagram'!Y55</f>
        <v/>
      </c>
      <c r="N56" s="88" t="str">
        <f>'Underlag till diagram'!AA55</f>
        <v/>
      </c>
    </row>
    <row r="57" spans="1:14" ht="30" customHeight="1" x14ac:dyDescent="0.25">
      <c r="A57" s="42"/>
      <c r="B57" s="49"/>
      <c r="C57" s="84"/>
      <c r="D57" s="84"/>
      <c r="E57" s="84"/>
      <c r="F57" s="84"/>
      <c r="G57" s="84"/>
      <c r="H57" s="49"/>
      <c r="I57" s="49"/>
      <c r="J57" s="420" t="str">
        <f>'Underlag till diagram'!X56</f>
        <v>Övrigt:</v>
      </c>
      <c r="K57" s="420"/>
      <c r="L57" s="420"/>
      <c r="M57" s="87" t="str">
        <f>'Underlag till diagram'!Y56</f>
        <v>ja</v>
      </c>
      <c r="N57" s="88" t="str">
        <f>'Underlag till diagram'!AA56</f>
        <v>0%</v>
      </c>
    </row>
    <row r="58" spans="1:14" ht="30" customHeight="1" x14ac:dyDescent="0.25">
      <c r="A58" s="42"/>
      <c r="B58" s="49"/>
      <c r="C58" s="84"/>
      <c r="D58" s="84"/>
      <c r="E58" s="84"/>
      <c r="F58" s="84"/>
      <c r="G58" s="84"/>
      <c r="H58" s="49"/>
      <c r="I58" s="49"/>
      <c r="J58" s="420" t="str">
        <f>'Underlag till diagram'!X57</f>
        <v xml:space="preserve"> </v>
      </c>
      <c r="K58" s="420"/>
      <c r="L58" s="420"/>
      <c r="M58" s="87" t="str">
        <f>'Underlag till diagram'!Y57</f>
        <v/>
      </c>
      <c r="N58" s="88" t="str">
        <f>'Underlag till diagram'!AA57</f>
        <v/>
      </c>
    </row>
    <row r="59" spans="1:14" ht="30" customHeight="1" x14ac:dyDescent="0.25">
      <c r="A59" s="42"/>
      <c r="B59" s="49"/>
      <c r="C59" s="84"/>
      <c r="D59" s="84"/>
      <c r="E59" s="84"/>
      <c r="F59" s="84"/>
      <c r="G59" s="84"/>
      <c r="H59" s="49"/>
      <c r="I59" s="49"/>
      <c r="J59" s="420" t="str">
        <f>'Underlag till diagram'!X58</f>
        <v>Fossilt:</v>
      </c>
      <c r="K59" s="420"/>
      <c r="L59" s="420"/>
      <c r="M59" s="87" t="str">
        <f>'Underlag till diagram'!Y58</f>
        <v>ja</v>
      </c>
      <c r="N59" s="88" t="str">
        <f>'Underlag till diagram'!AA58</f>
        <v>2%</v>
      </c>
    </row>
    <row r="60" spans="1:14" ht="30" customHeight="1" x14ac:dyDescent="0.25">
      <c r="A60" s="42"/>
      <c r="B60" s="49"/>
      <c r="C60" s="84"/>
      <c r="D60" s="84"/>
      <c r="E60" s="84"/>
      <c r="F60" s="84"/>
      <c r="G60" s="84"/>
      <c r="H60" s="49"/>
      <c r="I60" s="49"/>
      <c r="J60" s="420" t="str">
        <f>'Underlag till diagram'!X59</f>
        <v>Eldningsolja</v>
      </c>
      <c r="K60" s="420"/>
      <c r="L60" s="420"/>
      <c r="M60" s="87" t="str">
        <f>'Underlag till diagram'!Y59</f>
        <v/>
      </c>
      <c r="N60" s="88" t="str">
        <f>'Underlag till diagram'!AA59</f>
        <v>2%</v>
      </c>
    </row>
    <row r="61" spans="1:14" ht="30" customHeight="1" x14ac:dyDescent="0.25">
      <c r="A61" s="42"/>
      <c r="B61" s="49"/>
      <c r="C61" s="84"/>
      <c r="D61" s="84"/>
      <c r="E61" s="84"/>
      <c r="F61" s="84"/>
      <c r="G61" s="84"/>
      <c r="H61" s="49"/>
      <c r="I61" s="49"/>
      <c r="J61" s="420" t="str">
        <f>'Underlag till diagram'!X60</f>
        <v xml:space="preserve"> </v>
      </c>
      <c r="K61" s="420"/>
      <c r="L61" s="420"/>
      <c r="M61" s="87" t="str">
        <f>'Underlag till diagram'!Y60</f>
        <v/>
      </c>
      <c r="N61" s="88" t="str">
        <f>'Underlag till diagram'!AA60</f>
        <v/>
      </c>
    </row>
    <row r="62" spans="1:14" ht="30" customHeight="1" x14ac:dyDescent="0.25">
      <c r="A62" s="42"/>
      <c r="B62" s="49"/>
      <c r="C62" s="84"/>
      <c r="D62" s="84"/>
      <c r="E62" s="84"/>
      <c r="F62" s="84"/>
      <c r="G62" s="84"/>
      <c r="H62" s="49"/>
      <c r="I62" s="49"/>
      <c r="J62" s="420" t="str">
        <f>'Underlag till diagram'!X61</f>
        <v/>
      </c>
      <c r="K62" s="420"/>
      <c r="L62" s="420"/>
      <c r="M62" s="87" t="str">
        <f>'Underlag till diagram'!Y61</f>
        <v/>
      </c>
      <c r="N62" s="88" t="str">
        <f>'Underlag till diagram'!AA61</f>
        <v/>
      </c>
    </row>
    <row r="63" spans="1:14" ht="30" customHeight="1" x14ac:dyDescent="0.25">
      <c r="A63" s="42"/>
      <c r="B63" s="49"/>
      <c r="C63" s="84"/>
      <c r="D63" s="84"/>
      <c r="E63" s="84"/>
      <c r="F63" s="84"/>
      <c r="G63" s="84"/>
      <c r="H63" s="49"/>
      <c r="I63" s="49"/>
      <c r="J63" s="420" t="str">
        <f>'Underlag till diagram'!X62</f>
        <v/>
      </c>
      <c r="K63" s="420"/>
      <c r="L63" s="420"/>
      <c r="M63" s="87" t="str">
        <f>'Underlag till diagram'!Y62</f>
        <v/>
      </c>
      <c r="N63" s="88" t="str">
        <f>'Underlag till diagram'!AA62</f>
        <v/>
      </c>
    </row>
    <row r="64" spans="1:14" ht="30" customHeight="1" x14ac:dyDescent="0.25">
      <c r="A64" s="42"/>
      <c r="B64" s="49"/>
      <c r="C64" s="84"/>
      <c r="D64" s="84"/>
      <c r="E64" s="84"/>
      <c r="F64" s="84"/>
      <c r="G64" s="84"/>
      <c r="H64" s="49"/>
      <c r="I64" s="49"/>
      <c r="J64" s="420" t="str">
        <f>'Underlag till diagram'!X63</f>
        <v/>
      </c>
      <c r="K64" s="420"/>
      <c r="L64" s="420"/>
      <c r="M64" s="87" t="str">
        <f>'Underlag till diagram'!Y63</f>
        <v/>
      </c>
      <c r="N64" s="88" t="str">
        <f>'Underlag till diagram'!AA63</f>
        <v/>
      </c>
    </row>
    <row r="65" spans="1:14" ht="30" customHeight="1" x14ac:dyDescent="0.25">
      <c r="A65" s="42"/>
      <c r="B65" s="49"/>
      <c r="C65" s="84"/>
      <c r="D65" s="84"/>
      <c r="E65" s="84"/>
      <c r="F65" s="84"/>
      <c r="G65" s="84"/>
      <c r="H65" s="49"/>
      <c r="I65" s="49"/>
      <c r="J65" s="420" t="str">
        <f>'Underlag till diagram'!X64</f>
        <v/>
      </c>
      <c r="K65" s="420"/>
      <c r="L65" s="420"/>
      <c r="M65" s="87" t="str">
        <f>'Underlag till diagram'!Y64</f>
        <v/>
      </c>
      <c r="N65" s="88" t="str">
        <f>'Underlag till diagram'!AA64</f>
        <v/>
      </c>
    </row>
    <row r="66" spans="1:14" ht="30" customHeight="1" x14ac:dyDescent="0.25">
      <c r="A66" s="42"/>
      <c r="B66" s="49"/>
      <c r="C66" s="84"/>
      <c r="D66" s="84"/>
      <c r="E66" s="84"/>
      <c r="F66" s="84"/>
      <c r="G66" s="84"/>
      <c r="H66" s="49"/>
      <c r="I66" s="49"/>
      <c r="J66" s="420" t="str">
        <f>'Underlag till diagram'!X65</f>
        <v/>
      </c>
      <c r="K66" s="420"/>
      <c r="L66" s="420"/>
      <c r="M66" s="87" t="str">
        <f>'Underlag till diagram'!Y65</f>
        <v/>
      </c>
      <c r="N66" s="88" t="str">
        <f>'Underlag till diagram'!AA65</f>
        <v/>
      </c>
    </row>
    <row r="67" spans="1:14" ht="30" customHeight="1" x14ac:dyDescent="0.25">
      <c r="A67" s="42"/>
      <c r="B67" s="49"/>
      <c r="C67" s="84"/>
      <c r="D67" s="84"/>
      <c r="E67" s="84"/>
      <c r="F67" s="84"/>
      <c r="G67" s="84"/>
      <c r="H67" s="49"/>
      <c r="I67" s="49"/>
      <c r="J67" s="420" t="str">
        <f>'Underlag till diagram'!X66</f>
        <v/>
      </c>
      <c r="K67" s="420"/>
      <c r="L67" s="420"/>
      <c r="M67" s="87" t="str">
        <f>'Underlag till diagram'!Y66</f>
        <v/>
      </c>
      <c r="N67" s="88" t="str">
        <f>'Underlag till diagram'!AA66</f>
        <v/>
      </c>
    </row>
    <row r="68" spans="1:14" ht="30" customHeight="1" x14ac:dyDescent="0.25">
      <c r="A68" s="42"/>
      <c r="B68" s="55"/>
      <c r="C68" s="84"/>
      <c r="D68" s="84"/>
      <c r="E68" s="84"/>
      <c r="F68" s="84"/>
      <c r="G68" s="84"/>
      <c r="H68" s="55"/>
      <c r="I68" s="55"/>
      <c r="J68" s="420" t="str">
        <f>'Underlag till diagram'!X67</f>
        <v/>
      </c>
      <c r="K68" s="420"/>
      <c r="L68" s="420"/>
      <c r="M68" s="87" t="str">
        <f>'Underlag till diagram'!Y67</f>
        <v/>
      </c>
      <c r="N68" s="88" t="str">
        <f>'Underlag till diagram'!AA67</f>
        <v/>
      </c>
    </row>
    <row r="69" spans="1:14" ht="30" customHeight="1" x14ac:dyDescent="0.25">
      <c r="A69" s="42"/>
      <c r="B69" s="55"/>
      <c r="C69" s="84"/>
      <c r="D69" s="84"/>
      <c r="E69" s="84"/>
      <c r="F69" s="84"/>
      <c r="G69" s="84"/>
      <c r="H69" s="55"/>
      <c r="I69" s="55"/>
      <c r="J69" s="420" t="str">
        <f>'Underlag till diagram'!X68</f>
        <v/>
      </c>
      <c r="K69" s="420"/>
      <c r="L69" s="420"/>
      <c r="M69" s="87" t="str">
        <f>'Underlag till diagram'!Y68</f>
        <v/>
      </c>
      <c r="N69" s="88" t="str">
        <f>'Underlag till diagram'!AA68</f>
        <v/>
      </c>
    </row>
    <row r="70" spans="1:14" ht="30" customHeight="1" x14ac:dyDescent="0.25">
      <c r="A70" s="42"/>
      <c r="B70" s="55"/>
      <c r="C70" s="84"/>
      <c r="D70" s="84"/>
      <c r="E70" s="84"/>
      <c r="F70" s="84"/>
      <c r="G70" s="84"/>
      <c r="H70" s="55"/>
      <c r="I70" s="55"/>
      <c r="J70" s="420" t="str">
        <f>'Underlag till diagram'!X69</f>
        <v/>
      </c>
      <c r="K70" s="420"/>
      <c r="L70" s="420"/>
      <c r="M70" s="87" t="str">
        <f>'Underlag till diagram'!Y69</f>
        <v/>
      </c>
      <c r="N70" s="88" t="str">
        <f>'Underlag till diagram'!AA69</f>
        <v/>
      </c>
    </row>
    <row r="71" spans="1:14" ht="30" customHeight="1" x14ac:dyDescent="0.25">
      <c r="A71" s="42"/>
      <c r="B71" s="55"/>
      <c r="C71" s="84"/>
      <c r="D71" s="84"/>
      <c r="E71" s="84"/>
      <c r="F71" s="84"/>
      <c r="G71" s="84"/>
      <c r="H71" s="55"/>
      <c r="I71" s="55"/>
      <c r="J71" s="420" t="str">
        <f>'Underlag till diagram'!X70</f>
        <v/>
      </c>
      <c r="K71" s="420"/>
      <c r="L71" s="420"/>
      <c r="M71" s="87" t="str">
        <f>'Underlag till diagram'!Y70</f>
        <v/>
      </c>
      <c r="N71" s="88" t="str">
        <f>'Underlag till diagram'!AA70</f>
        <v/>
      </c>
    </row>
    <row r="72" spans="1:14" ht="30" customHeight="1" x14ac:dyDescent="0.25">
      <c r="A72" s="42"/>
      <c r="B72" s="55"/>
      <c r="C72" s="84"/>
      <c r="D72" s="84"/>
      <c r="E72" s="84"/>
      <c r="F72" s="84"/>
      <c r="G72" s="84"/>
      <c r="H72" s="55"/>
      <c r="I72" s="55"/>
      <c r="J72" s="420" t="str">
        <f>'Underlag till diagram'!X71</f>
        <v/>
      </c>
      <c r="K72" s="420"/>
      <c r="L72" s="420"/>
      <c r="M72" s="87" t="str">
        <f>'Underlag till diagram'!Y71</f>
        <v/>
      </c>
      <c r="N72" s="88" t="str">
        <f>'Underlag till diagram'!AA71</f>
        <v/>
      </c>
    </row>
    <row r="73" spans="1:14" ht="30" customHeight="1" x14ac:dyDescent="0.25">
      <c r="B73" s="55"/>
      <c r="C73" s="84"/>
      <c r="D73" s="84"/>
      <c r="E73" s="84"/>
      <c r="F73" s="84"/>
      <c r="G73" s="84"/>
      <c r="H73" s="55"/>
      <c r="I73" s="55"/>
      <c r="J73" s="420" t="str">
        <f>'Underlag till diagram'!X72</f>
        <v/>
      </c>
      <c r="K73" s="420"/>
      <c r="L73" s="420"/>
      <c r="M73" s="87" t="str">
        <f>'Underlag till diagram'!Y72</f>
        <v/>
      </c>
      <c r="N73" s="88" t="str">
        <f>'Underlag till diagram'!AA72</f>
        <v/>
      </c>
    </row>
    <row r="74" spans="1:14" ht="30" customHeight="1" x14ac:dyDescent="0.25">
      <c r="B74" s="55"/>
      <c r="C74" s="89"/>
      <c r="D74" s="89"/>
      <c r="E74" s="84"/>
      <c r="F74" s="55"/>
      <c r="G74" s="90"/>
      <c r="H74" s="55"/>
      <c r="I74" s="55"/>
      <c r="J74" s="420" t="str">
        <f>'Underlag till diagram'!X73</f>
        <v/>
      </c>
      <c r="K74" s="420"/>
      <c r="L74" s="420"/>
      <c r="M74" s="87" t="str">
        <f>'Underlag till diagram'!Y73</f>
        <v/>
      </c>
      <c r="N74" s="88" t="str">
        <f>'Underlag till diagram'!AA73</f>
        <v/>
      </c>
    </row>
    <row r="75" spans="1:14" ht="30" customHeight="1" x14ac:dyDescent="0.25">
      <c r="B75" s="55"/>
      <c r="C75" s="89"/>
      <c r="D75" s="89"/>
      <c r="E75" s="84"/>
      <c r="F75" s="55"/>
      <c r="G75" s="90"/>
      <c r="H75" s="55"/>
      <c r="I75" s="55"/>
      <c r="J75" s="420" t="str">
        <f>'Underlag till diagram'!X74</f>
        <v/>
      </c>
      <c r="K75" s="420"/>
      <c r="L75" s="420"/>
      <c r="M75" s="87" t="str">
        <f>'Underlag till diagram'!Y74</f>
        <v/>
      </c>
      <c r="N75" s="88" t="str">
        <f>'Underlag till diagram'!AA74</f>
        <v/>
      </c>
    </row>
    <row r="76" spans="1:14" ht="30" customHeight="1" x14ac:dyDescent="0.25">
      <c r="B76" s="55"/>
      <c r="C76" s="89"/>
      <c r="D76" s="89"/>
      <c r="E76" s="84"/>
      <c r="F76" s="55"/>
      <c r="G76" s="90"/>
      <c r="H76" s="55"/>
      <c r="I76" s="55"/>
      <c r="J76" s="420" t="str">
        <f>'Underlag till diagram'!X75</f>
        <v/>
      </c>
      <c r="K76" s="420"/>
      <c r="L76" s="420"/>
      <c r="M76" s="87" t="str">
        <f>'Underlag till diagram'!Y75</f>
        <v/>
      </c>
      <c r="N76" s="88" t="str">
        <f>'Underlag till diagram'!AA75</f>
        <v/>
      </c>
    </row>
    <row r="77" spans="1:14" x14ac:dyDescent="0.25">
      <c r="B77" s="55"/>
      <c r="C77" s="90"/>
      <c r="D77" s="90"/>
      <c r="E77" s="90"/>
      <c r="F77" s="55"/>
      <c r="G77" s="55"/>
      <c r="H77" s="55"/>
      <c r="I77" s="55"/>
      <c r="J77" s="55"/>
      <c r="K77" s="55"/>
      <c r="L77" s="55"/>
      <c r="M77" s="55"/>
      <c r="N77" s="84"/>
    </row>
    <row r="78" spans="1:14" x14ac:dyDescent="0.25">
      <c r="B78" s="91" t="s">
        <v>1491</v>
      </c>
      <c r="C78" s="92" t="str">
        <f>IF('Underlag till diagram'!D2="ja","","x")</f>
        <v/>
      </c>
      <c r="D78" s="93"/>
    </row>
    <row r="79" spans="1:14" x14ac:dyDescent="0.25">
      <c r="B79" s="63" t="s">
        <v>1492</v>
      </c>
      <c r="C79" s="63" t="str">
        <f>IF('Underlag till diagram'!$K$4="nej","x","")</f>
        <v/>
      </c>
      <c r="D79" s="93"/>
    </row>
    <row r="80" spans="1:14" x14ac:dyDescent="0.25">
      <c r="B80" s="93"/>
      <c r="C80" s="93"/>
      <c r="D80" s="93"/>
    </row>
    <row r="81" spans="2:4" x14ac:dyDescent="0.25">
      <c r="B81" s="93"/>
      <c r="C81" s="93"/>
      <c r="D81" s="93"/>
    </row>
  </sheetData>
  <sheetProtection algorithmName="SHA-512" hashValue="hRE80ikgMkyL/T3fq7M5HG+wqJKW/C1grI1xVwnc5WRdAuT/ODgUDBFwbOMBFMBe01YoK2VpyKU3lO51CXxSzA==" saltValue="8M+hMR94VBNOOVcbq5+p0Q==" spinCount="100000" sheet="1" objects="1" scenarios="1"/>
  <protectedRanges>
    <protectedRange sqref="B7:E7 B4:E4" name="Område1"/>
  </protectedRanges>
  <mergeCells count="41">
    <mergeCell ref="J72:L72"/>
    <mergeCell ref="J73:L73"/>
    <mergeCell ref="J74:L74"/>
    <mergeCell ref="J75:L75"/>
    <mergeCell ref="J76:L76"/>
    <mergeCell ref="J71:L71"/>
    <mergeCell ref="J60:L60"/>
    <mergeCell ref="J61:L61"/>
    <mergeCell ref="J62:L62"/>
    <mergeCell ref="J63:L63"/>
    <mergeCell ref="J64:L64"/>
    <mergeCell ref="J65:L65"/>
    <mergeCell ref="J66:L66"/>
    <mergeCell ref="J67:L67"/>
    <mergeCell ref="J68:L68"/>
    <mergeCell ref="J69:L69"/>
    <mergeCell ref="J70:L70"/>
    <mergeCell ref="J59:L59"/>
    <mergeCell ref="J48:L48"/>
    <mergeCell ref="J49:L49"/>
    <mergeCell ref="J50:L50"/>
    <mergeCell ref="J51:L51"/>
    <mergeCell ref="J52:L52"/>
    <mergeCell ref="J53:L53"/>
    <mergeCell ref="J54:L54"/>
    <mergeCell ref="J55:L55"/>
    <mergeCell ref="J56:L56"/>
    <mergeCell ref="J57:L57"/>
    <mergeCell ref="J58:L58"/>
    <mergeCell ref="J47:L47"/>
    <mergeCell ref="B4:E4"/>
    <mergeCell ref="B7:E7"/>
    <mergeCell ref="E14:F14"/>
    <mergeCell ref="H14:I14"/>
    <mergeCell ref="E17:F17"/>
    <mergeCell ref="C22:D22"/>
    <mergeCell ref="C23:D23"/>
    <mergeCell ref="C26:D26"/>
    <mergeCell ref="G32:K32"/>
    <mergeCell ref="G38:L38"/>
    <mergeCell ref="G39:L39"/>
  </mergeCells>
  <conditionalFormatting sqref="J47:J76">
    <cfRule type="expression" dxfId="2" priority="2">
      <formula>$M47="ja"</formula>
    </cfRule>
  </conditionalFormatting>
  <conditionalFormatting sqref="N47:N76">
    <cfRule type="expression" dxfId="1" priority="3">
      <formula>$M47="ja"</formula>
    </cfRule>
  </conditionalFormatting>
  <conditionalFormatting sqref="B7:E7">
    <cfRule type="expression" dxfId="0" priority="1">
      <formula>$C$79="x"</formula>
    </cfRule>
  </conditionalFormatting>
  <dataValidations count="2">
    <dataValidation showInputMessage="1" showErrorMessage="1" errorTitle="Ogiltigt namn" error="Välj ett nät ur listan" sqref="L4"/>
    <dataValidation type="list" showInputMessage="1" showErrorMessage="1" sqref="WVJ983049:WVN983049 IX4:JB4 ST4:SX4 ACP4:ACT4 AML4:AMP4 AWH4:AWL4 BGD4:BGH4 BPZ4:BQD4 BZV4:BZZ4 CJR4:CJV4 CTN4:CTR4 DDJ4:DDN4 DNF4:DNJ4 DXB4:DXF4 EGX4:EHB4 EQT4:EQX4 FAP4:FAT4 FKL4:FKP4 FUH4:FUL4 GED4:GEH4 GNZ4:GOD4 GXV4:GXZ4 HHR4:HHV4 HRN4:HRR4 IBJ4:IBN4 ILF4:ILJ4 IVB4:IVF4 JEX4:JFB4 JOT4:JOX4 JYP4:JYT4 KIL4:KIP4 KSH4:KSL4 LCD4:LCH4 LLZ4:LMD4 LVV4:LVZ4 MFR4:MFV4 MPN4:MPR4 MZJ4:MZN4 NJF4:NJJ4 NTB4:NTF4 OCX4:ODB4 OMT4:OMX4 OWP4:OWT4 PGL4:PGP4 PQH4:PQL4 QAD4:QAH4 QJZ4:QKD4 QTV4:QTZ4 RDR4:RDV4 RNN4:RNR4 RXJ4:RXN4 SHF4:SHJ4 SRB4:SRF4 TAX4:TBB4 TKT4:TKX4 TUP4:TUT4 UEL4:UEP4 UOH4:UOL4 UYD4:UYH4 VHZ4:VID4 VRV4:VRZ4 WBR4:WBV4 WLN4:WLR4 WVJ4:WVN4 B65545:F65545 IX65545:JB65545 ST65545:SX65545 ACP65545:ACT65545 AML65545:AMP65545 AWH65545:AWL65545 BGD65545:BGH65545 BPZ65545:BQD65545 BZV65545:BZZ65545 CJR65545:CJV65545 CTN65545:CTR65545 DDJ65545:DDN65545 DNF65545:DNJ65545 DXB65545:DXF65545 EGX65545:EHB65545 EQT65545:EQX65545 FAP65545:FAT65545 FKL65545:FKP65545 FUH65545:FUL65545 GED65545:GEH65545 GNZ65545:GOD65545 GXV65545:GXZ65545 HHR65545:HHV65545 HRN65545:HRR65545 IBJ65545:IBN65545 ILF65545:ILJ65545 IVB65545:IVF65545 JEX65545:JFB65545 JOT65545:JOX65545 JYP65545:JYT65545 KIL65545:KIP65545 KSH65545:KSL65545 LCD65545:LCH65545 LLZ65545:LMD65545 LVV65545:LVZ65545 MFR65545:MFV65545 MPN65545:MPR65545 MZJ65545:MZN65545 NJF65545:NJJ65545 NTB65545:NTF65545 OCX65545:ODB65545 OMT65545:OMX65545 OWP65545:OWT65545 PGL65545:PGP65545 PQH65545:PQL65545 QAD65545:QAH65545 QJZ65545:QKD65545 QTV65545:QTZ65545 RDR65545:RDV65545 RNN65545:RNR65545 RXJ65545:RXN65545 SHF65545:SHJ65545 SRB65545:SRF65545 TAX65545:TBB65545 TKT65545:TKX65545 TUP65545:TUT65545 UEL65545:UEP65545 UOH65545:UOL65545 UYD65545:UYH65545 VHZ65545:VID65545 VRV65545:VRZ65545 WBR65545:WBV65545 WLN65545:WLR65545 WVJ65545:WVN65545 B131081:F131081 IX131081:JB131081 ST131081:SX131081 ACP131081:ACT131081 AML131081:AMP131081 AWH131081:AWL131081 BGD131081:BGH131081 BPZ131081:BQD131081 BZV131081:BZZ131081 CJR131081:CJV131081 CTN131081:CTR131081 DDJ131081:DDN131081 DNF131081:DNJ131081 DXB131081:DXF131081 EGX131081:EHB131081 EQT131081:EQX131081 FAP131081:FAT131081 FKL131081:FKP131081 FUH131081:FUL131081 GED131081:GEH131081 GNZ131081:GOD131081 GXV131081:GXZ131081 HHR131081:HHV131081 HRN131081:HRR131081 IBJ131081:IBN131081 ILF131081:ILJ131081 IVB131081:IVF131081 JEX131081:JFB131081 JOT131081:JOX131081 JYP131081:JYT131081 KIL131081:KIP131081 KSH131081:KSL131081 LCD131081:LCH131081 LLZ131081:LMD131081 LVV131081:LVZ131081 MFR131081:MFV131081 MPN131081:MPR131081 MZJ131081:MZN131081 NJF131081:NJJ131081 NTB131081:NTF131081 OCX131081:ODB131081 OMT131081:OMX131081 OWP131081:OWT131081 PGL131081:PGP131081 PQH131081:PQL131081 QAD131081:QAH131081 QJZ131081:QKD131081 QTV131081:QTZ131081 RDR131081:RDV131081 RNN131081:RNR131081 RXJ131081:RXN131081 SHF131081:SHJ131081 SRB131081:SRF131081 TAX131081:TBB131081 TKT131081:TKX131081 TUP131081:TUT131081 UEL131081:UEP131081 UOH131081:UOL131081 UYD131081:UYH131081 VHZ131081:VID131081 VRV131081:VRZ131081 WBR131081:WBV131081 WLN131081:WLR131081 WVJ131081:WVN131081 B196617:F196617 IX196617:JB196617 ST196617:SX196617 ACP196617:ACT196617 AML196617:AMP196617 AWH196617:AWL196617 BGD196617:BGH196617 BPZ196617:BQD196617 BZV196617:BZZ196617 CJR196617:CJV196617 CTN196617:CTR196617 DDJ196617:DDN196617 DNF196617:DNJ196617 DXB196617:DXF196617 EGX196617:EHB196617 EQT196617:EQX196617 FAP196617:FAT196617 FKL196617:FKP196617 FUH196617:FUL196617 GED196617:GEH196617 GNZ196617:GOD196617 GXV196617:GXZ196617 HHR196617:HHV196617 HRN196617:HRR196617 IBJ196617:IBN196617 ILF196617:ILJ196617 IVB196617:IVF196617 JEX196617:JFB196617 JOT196617:JOX196617 JYP196617:JYT196617 KIL196617:KIP196617 KSH196617:KSL196617 LCD196617:LCH196617 LLZ196617:LMD196617 LVV196617:LVZ196617 MFR196617:MFV196617 MPN196617:MPR196617 MZJ196617:MZN196617 NJF196617:NJJ196617 NTB196617:NTF196617 OCX196617:ODB196617 OMT196617:OMX196617 OWP196617:OWT196617 PGL196617:PGP196617 PQH196617:PQL196617 QAD196617:QAH196617 QJZ196617:QKD196617 QTV196617:QTZ196617 RDR196617:RDV196617 RNN196617:RNR196617 RXJ196617:RXN196617 SHF196617:SHJ196617 SRB196617:SRF196617 TAX196617:TBB196617 TKT196617:TKX196617 TUP196617:TUT196617 UEL196617:UEP196617 UOH196617:UOL196617 UYD196617:UYH196617 VHZ196617:VID196617 VRV196617:VRZ196617 WBR196617:WBV196617 WLN196617:WLR196617 WVJ196617:WVN196617 B262153:F262153 IX262153:JB262153 ST262153:SX262153 ACP262153:ACT262153 AML262153:AMP262153 AWH262153:AWL262153 BGD262153:BGH262153 BPZ262153:BQD262153 BZV262153:BZZ262153 CJR262153:CJV262153 CTN262153:CTR262153 DDJ262153:DDN262153 DNF262153:DNJ262153 DXB262153:DXF262153 EGX262153:EHB262153 EQT262153:EQX262153 FAP262153:FAT262153 FKL262153:FKP262153 FUH262153:FUL262153 GED262153:GEH262153 GNZ262153:GOD262153 GXV262153:GXZ262153 HHR262153:HHV262153 HRN262153:HRR262153 IBJ262153:IBN262153 ILF262153:ILJ262153 IVB262153:IVF262153 JEX262153:JFB262153 JOT262153:JOX262153 JYP262153:JYT262153 KIL262153:KIP262153 KSH262153:KSL262153 LCD262153:LCH262153 LLZ262153:LMD262153 LVV262153:LVZ262153 MFR262153:MFV262153 MPN262153:MPR262153 MZJ262153:MZN262153 NJF262153:NJJ262153 NTB262153:NTF262153 OCX262153:ODB262153 OMT262153:OMX262153 OWP262153:OWT262153 PGL262153:PGP262153 PQH262153:PQL262153 QAD262153:QAH262153 QJZ262153:QKD262153 QTV262153:QTZ262153 RDR262153:RDV262153 RNN262153:RNR262153 RXJ262153:RXN262153 SHF262153:SHJ262153 SRB262153:SRF262153 TAX262153:TBB262153 TKT262153:TKX262153 TUP262153:TUT262153 UEL262153:UEP262153 UOH262153:UOL262153 UYD262153:UYH262153 VHZ262153:VID262153 VRV262153:VRZ262153 WBR262153:WBV262153 WLN262153:WLR262153 WVJ262153:WVN262153 B327689:F327689 IX327689:JB327689 ST327689:SX327689 ACP327689:ACT327689 AML327689:AMP327689 AWH327689:AWL327689 BGD327689:BGH327689 BPZ327689:BQD327689 BZV327689:BZZ327689 CJR327689:CJV327689 CTN327689:CTR327689 DDJ327689:DDN327689 DNF327689:DNJ327689 DXB327689:DXF327689 EGX327689:EHB327689 EQT327689:EQX327689 FAP327689:FAT327689 FKL327689:FKP327689 FUH327689:FUL327689 GED327689:GEH327689 GNZ327689:GOD327689 GXV327689:GXZ327689 HHR327689:HHV327689 HRN327689:HRR327689 IBJ327689:IBN327689 ILF327689:ILJ327689 IVB327689:IVF327689 JEX327689:JFB327689 JOT327689:JOX327689 JYP327689:JYT327689 KIL327689:KIP327689 KSH327689:KSL327689 LCD327689:LCH327689 LLZ327689:LMD327689 LVV327689:LVZ327689 MFR327689:MFV327689 MPN327689:MPR327689 MZJ327689:MZN327689 NJF327689:NJJ327689 NTB327689:NTF327689 OCX327689:ODB327689 OMT327689:OMX327689 OWP327689:OWT327689 PGL327689:PGP327689 PQH327689:PQL327689 QAD327689:QAH327689 QJZ327689:QKD327689 QTV327689:QTZ327689 RDR327689:RDV327689 RNN327689:RNR327689 RXJ327689:RXN327689 SHF327689:SHJ327689 SRB327689:SRF327689 TAX327689:TBB327689 TKT327689:TKX327689 TUP327689:TUT327689 UEL327689:UEP327689 UOH327689:UOL327689 UYD327689:UYH327689 VHZ327689:VID327689 VRV327689:VRZ327689 WBR327689:WBV327689 WLN327689:WLR327689 WVJ327689:WVN327689 B393225:F393225 IX393225:JB393225 ST393225:SX393225 ACP393225:ACT393225 AML393225:AMP393225 AWH393225:AWL393225 BGD393225:BGH393225 BPZ393225:BQD393225 BZV393225:BZZ393225 CJR393225:CJV393225 CTN393225:CTR393225 DDJ393225:DDN393225 DNF393225:DNJ393225 DXB393225:DXF393225 EGX393225:EHB393225 EQT393225:EQX393225 FAP393225:FAT393225 FKL393225:FKP393225 FUH393225:FUL393225 GED393225:GEH393225 GNZ393225:GOD393225 GXV393225:GXZ393225 HHR393225:HHV393225 HRN393225:HRR393225 IBJ393225:IBN393225 ILF393225:ILJ393225 IVB393225:IVF393225 JEX393225:JFB393225 JOT393225:JOX393225 JYP393225:JYT393225 KIL393225:KIP393225 KSH393225:KSL393225 LCD393225:LCH393225 LLZ393225:LMD393225 LVV393225:LVZ393225 MFR393225:MFV393225 MPN393225:MPR393225 MZJ393225:MZN393225 NJF393225:NJJ393225 NTB393225:NTF393225 OCX393225:ODB393225 OMT393225:OMX393225 OWP393225:OWT393225 PGL393225:PGP393225 PQH393225:PQL393225 QAD393225:QAH393225 QJZ393225:QKD393225 QTV393225:QTZ393225 RDR393225:RDV393225 RNN393225:RNR393225 RXJ393225:RXN393225 SHF393225:SHJ393225 SRB393225:SRF393225 TAX393225:TBB393225 TKT393225:TKX393225 TUP393225:TUT393225 UEL393225:UEP393225 UOH393225:UOL393225 UYD393225:UYH393225 VHZ393225:VID393225 VRV393225:VRZ393225 WBR393225:WBV393225 WLN393225:WLR393225 WVJ393225:WVN393225 B458761:F458761 IX458761:JB458761 ST458761:SX458761 ACP458761:ACT458761 AML458761:AMP458761 AWH458761:AWL458761 BGD458761:BGH458761 BPZ458761:BQD458761 BZV458761:BZZ458761 CJR458761:CJV458761 CTN458761:CTR458761 DDJ458761:DDN458761 DNF458761:DNJ458761 DXB458761:DXF458761 EGX458761:EHB458761 EQT458761:EQX458761 FAP458761:FAT458761 FKL458761:FKP458761 FUH458761:FUL458761 GED458761:GEH458761 GNZ458761:GOD458761 GXV458761:GXZ458761 HHR458761:HHV458761 HRN458761:HRR458761 IBJ458761:IBN458761 ILF458761:ILJ458761 IVB458761:IVF458761 JEX458761:JFB458761 JOT458761:JOX458761 JYP458761:JYT458761 KIL458761:KIP458761 KSH458761:KSL458761 LCD458761:LCH458761 LLZ458761:LMD458761 LVV458761:LVZ458761 MFR458761:MFV458761 MPN458761:MPR458761 MZJ458761:MZN458761 NJF458761:NJJ458761 NTB458761:NTF458761 OCX458761:ODB458761 OMT458761:OMX458761 OWP458761:OWT458761 PGL458761:PGP458761 PQH458761:PQL458761 QAD458761:QAH458761 QJZ458761:QKD458761 QTV458761:QTZ458761 RDR458761:RDV458761 RNN458761:RNR458761 RXJ458761:RXN458761 SHF458761:SHJ458761 SRB458761:SRF458761 TAX458761:TBB458761 TKT458761:TKX458761 TUP458761:TUT458761 UEL458761:UEP458761 UOH458761:UOL458761 UYD458761:UYH458761 VHZ458761:VID458761 VRV458761:VRZ458761 WBR458761:WBV458761 WLN458761:WLR458761 WVJ458761:WVN458761 B524297:F524297 IX524297:JB524297 ST524297:SX524297 ACP524297:ACT524297 AML524297:AMP524297 AWH524297:AWL524297 BGD524297:BGH524297 BPZ524297:BQD524297 BZV524297:BZZ524297 CJR524297:CJV524297 CTN524297:CTR524297 DDJ524297:DDN524297 DNF524297:DNJ524297 DXB524297:DXF524297 EGX524297:EHB524297 EQT524297:EQX524297 FAP524297:FAT524297 FKL524297:FKP524297 FUH524297:FUL524297 GED524297:GEH524297 GNZ524297:GOD524297 GXV524297:GXZ524297 HHR524297:HHV524297 HRN524297:HRR524297 IBJ524297:IBN524297 ILF524297:ILJ524297 IVB524297:IVF524297 JEX524297:JFB524297 JOT524297:JOX524297 JYP524297:JYT524297 KIL524297:KIP524297 KSH524297:KSL524297 LCD524297:LCH524297 LLZ524297:LMD524297 LVV524297:LVZ524297 MFR524297:MFV524297 MPN524297:MPR524297 MZJ524297:MZN524297 NJF524297:NJJ524297 NTB524297:NTF524297 OCX524297:ODB524297 OMT524297:OMX524297 OWP524297:OWT524297 PGL524297:PGP524297 PQH524297:PQL524297 QAD524297:QAH524297 QJZ524297:QKD524297 QTV524297:QTZ524297 RDR524297:RDV524297 RNN524297:RNR524297 RXJ524297:RXN524297 SHF524297:SHJ524297 SRB524297:SRF524297 TAX524297:TBB524297 TKT524297:TKX524297 TUP524297:TUT524297 UEL524297:UEP524297 UOH524297:UOL524297 UYD524297:UYH524297 VHZ524297:VID524297 VRV524297:VRZ524297 WBR524297:WBV524297 WLN524297:WLR524297 WVJ524297:WVN524297 B589833:F589833 IX589833:JB589833 ST589833:SX589833 ACP589833:ACT589833 AML589833:AMP589833 AWH589833:AWL589833 BGD589833:BGH589833 BPZ589833:BQD589833 BZV589833:BZZ589833 CJR589833:CJV589833 CTN589833:CTR589833 DDJ589833:DDN589833 DNF589833:DNJ589833 DXB589833:DXF589833 EGX589833:EHB589833 EQT589833:EQX589833 FAP589833:FAT589833 FKL589833:FKP589833 FUH589833:FUL589833 GED589833:GEH589833 GNZ589833:GOD589833 GXV589833:GXZ589833 HHR589833:HHV589833 HRN589833:HRR589833 IBJ589833:IBN589833 ILF589833:ILJ589833 IVB589833:IVF589833 JEX589833:JFB589833 JOT589833:JOX589833 JYP589833:JYT589833 KIL589833:KIP589833 KSH589833:KSL589833 LCD589833:LCH589833 LLZ589833:LMD589833 LVV589833:LVZ589833 MFR589833:MFV589833 MPN589833:MPR589833 MZJ589833:MZN589833 NJF589833:NJJ589833 NTB589833:NTF589833 OCX589833:ODB589833 OMT589833:OMX589833 OWP589833:OWT589833 PGL589833:PGP589833 PQH589833:PQL589833 QAD589833:QAH589833 QJZ589833:QKD589833 QTV589833:QTZ589833 RDR589833:RDV589833 RNN589833:RNR589833 RXJ589833:RXN589833 SHF589833:SHJ589833 SRB589833:SRF589833 TAX589833:TBB589833 TKT589833:TKX589833 TUP589833:TUT589833 UEL589833:UEP589833 UOH589833:UOL589833 UYD589833:UYH589833 VHZ589833:VID589833 VRV589833:VRZ589833 WBR589833:WBV589833 WLN589833:WLR589833 WVJ589833:WVN589833 B655369:F655369 IX655369:JB655369 ST655369:SX655369 ACP655369:ACT655369 AML655369:AMP655369 AWH655369:AWL655369 BGD655369:BGH655369 BPZ655369:BQD655369 BZV655369:BZZ655369 CJR655369:CJV655369 CTN655369:CTR655369 DDJ655369:DDN655369 DNF655369:DNJ655369 DXB655369:DXF655369 EGX655369:EHB655369 EQT655369:EQX655369 FAP655369:FAT655369 FKL655369:FKP655369 FUH655369:FUL655369 GED655369:GEH655369 GNZ655369:GOD655369 GXV655369:GXZ655369 HHR655369:HHV655369 HRN655369:HRR655369 IBJ655369:IBN655369 ILF655369:ILJ655369 IVB655369:IVF655369 JEX655369:JFB655369 JOT655369:JOX655369 JYP655369:JYT655369 KIL655369:KIP655369 KSH655369:KSL655369 LCD655369:LCH655369 LLZ655369:LMD655369 LVV655369:LVZ655369 MFR655369:MFV655369 MPN655369:MPR655369 MZJ655369:MZN655369 NJF655369:NJJ655369 NTB655369:NTF655369 OCX655369:ODB655369 OMT655369:OMX655369 OWP655369:OWT655369 PGL655369:PGP655369 PQH655369:PQL655369 QAD655369:QAH655369 QJZ655369:QKD655369 QTV655369:QTZ655369 RDR655369:RDV655369 RNN655369:RNR655369 RXJ655369:RXN655369 SHF655369:SHJ655369 SRB655369:SRF655369 TAX655369:TBB655369 TKT655369:TKX655369 TUP655369:TUT655369 UEL655369:UEP655369 UOH655369:UOL655369 UYD655369:UYH655369 VHZ655369:VID655369 VRV655369:VRZ655369 WBR655369:WBV655369 WLN655369:WLR655369 WVJ655369:WVN655369 B720905:F720905 IX720905:JB720905 ST720905:SX720905 ACP720905:ACT720905 AML720905:AMP720905 AWH720905:AWL720905 BGD720905:BGH720905 BPZ720905:BQD720905 BZV720905:BZZ720905 CJR720905:CJV720905 CTN720905:CTR720905 DDJ720905:DDN720905 DNF720905:DNJ720905 DXB720905:DXF720905 EGX720905:EHB720905 EQT720905:EQX720905 FAP720905:FAT720905 FKL720905:FKP720905 FUH720905:FUL720905 GED720905:GEH720905 GNZ720905:GOD720905 GXV720905:GXZ720905 HHR720905:HHV720905 HRN720905:HRR720905 IBJ720905:IBN720905 ILF720905:ILJ720905 IVB720905:IVF720905 JEX720905:JFB720905 JOT720905:JOX720905 JYP720905:JYT720905 KIL720905:KIP720905 KSH720905:KSL720905 LCD720905:LCH720905 LLZ720905:LMD720905 LVV720905:LVZ720905 MFR720905:MFV720905 MPN720905:MPR720905 MZJ720905:MZN720905 NJF720905:NJJ720905 NTB720905:NTF720905 OCX720905:ODB720905 OMT720905:OMX720905 OWP720905:OWT720905 PGL720905:PGP720905 PQH720905:PQL720905 QAD720905:QAH720905 QJZ720905:QKD720905 QTV720905:QTZ720905 RDR720905:RDV720905 RNN720905:RNR720905 RXJ720905:RXN720905 SHF720905:SHJ720905 SRB720905:SRF720905 TAX720905:TBB720905 TKT720905:TKX720905 TUP720905:TUT720905 UEL720905:UEP720905 UOH720905:UOL720905 UYD720905:UYH720905 VHZ720905:VID720905 VRV720905:VRZ720905 WBR720905:WBV720905 WLN720905:WLR720905 WVJ720905:WVN720905 B786441:F786441 IX786441:JB786441 ST786441:SX786441 ACP786441:ACT786441 AML786441:AMP786441 AWH786441:AWL786441 BGD786441:BGH786441 BPZ786441:BQD786441 BZV786441:BZZ786441 CJR786441:CJV786441 CTN786441:CTR786441 DDJ786441:DDN786441 DNF786441:DNJ786441 DXB786441:DXF786441 EGX786441:EHB786441 EQT786441:EQX786441 FAP786441:FAT786441 FKL786441:FKP786441 FUH786441:FUL786441 GED786441:GEH786441 GNZ786441:GOD786441 GXV786441:GXZ786441 HHR786441:HHV786441 HRN786441:HRR786441 IBJ786441:IBN786441 ILF786441:ILJ786441 IVB786441:IVF786441 JEX786441:JFB786441 JOT786441:JOX786441 JYP786441:JYT786441 KIL786441:KIP786441 KSH786441:KSL786441 LCD786441:LCH786441 LLZ786441:LMD786441 LVV786441:LVZ786441 MFR786441:MFV786441 MPN786441:MPR786441 MZJ786441:MZN786441 NJF786441:NJJ786441 NTB786441:NTF786441 OCX786441:ODB786441 OMT786441:OMX786441 OWP786441:OWT786441 PGL786441:PGP786441 PQH786441:PQL786441 QAD786441:QAH786441 QJZ786441:QKD786441 QTV786441:QTZ786441 RDR786441:RDV786441 RNN786441:RNR786441 RXJ786441:RXN786441 SHF786441:SHJ786441 SRB786441:SRF786441 TAX786441:TBB786441 TKT786441:TKX786441 TUP786441:TUT786441 UEL786441:UEP786441 UOH786441:UOL786441 UYD786441:UYH786441 VHZ786441:VID786441 VRV786441:VRZ786441 WBR786441:WBV786441 WLN786441:WLR786441 WVJ786441:WVN786441 B851977:F851977 IX851977:JB851977 ST851977:SX851977 ACP851977:ACT851977 AML851977:AMP851977 AWH851977:AWL851977 BGD851977:BGH851977 BPZ851977:BQD851977 BZV851977:BZZ851977 CJR851977:CJV851977 CTN851977:CTR851977 DDJ851977:DDN851977 DNF851977:DNJ851977 DXB851977:DXF851977 EGX851977:EHB851977 EQT851977:EQX851977 FAP851977:FAT851977 FKL851977:FKP851977 FUH851977:FUL851977 GED851977:GEH851977 GNZ851977:GOD851977 GXV851977:GXZ851977 HHR851977:HHV851977 HRN851977:HRR851977 IBJ851977:IBN851977 ILF851977:ILJ851977 IVB851977:IVF851977 JEX851977:JFB851977 JOT851977:JOX851977 JYP851977:JYT851977 KIL851977:KIP851977 KSH851977:KSL851977 LCD851977:LCH851977 LLZ851977:LMD851977 LVV851977:LVZ851977 MFR851977:MFV851977 MPN851977:MPR851977 MZJ851977:MZN851977 NJF851977:NJJ851977 NTB851977:NTF851977 OCX851977:ODB851977 OMT851977:OMX851977 OWP851977:OWT851977 PGL851977:PGP851977 PQH851977:PQL851977 QAD851977:QAH851977 QJZ851977:QKD851977 QTV851977:QTZ851977 RDR851977:RDV851977 RNN851977:RNR851977 RXJ851977:RXN851977 SHF851977:SHJ851977 SRB851977:SRF851977 TAX851977:TBB851977 TKT851977:TKX851977 TUP851977:TUT851977 UEL851977:UEP851977 UOH851977:UOL851977 UYD851977:UYH851977 VHZ851977:VID851977 VRV851977:VRZ851977 WBR851977:WBV851977 WLN851977:WLR851977 WVJ851977:WVN851977 B917513:F917513 IX917513:JB917513 ST917513:SX917513 ACP917513:ACT917513 AML917513:AMP917513 AWH917513:AWL917513 BGD917513:BGH917513 BPZ917513:BQD917513 BZV917513:BZZ917513 CJR917513:CJV917513 CTN917513:CTR917513 DDJ917513:DDN917513 DNF917513:DNJ917513 DXB917513:DXF917513 EGX917513:EHB917513 EQT917513:EQX917513 FAP917513:FAT917513 FKL917513:FKP917513 FUH917513:FUL917513 GED917513:GEH917513 GNZ917513:GOD917513 GXV917513:GXZ917513 HHR917513:HHV917513 HRN917513:HRR917513 IBJ917513:IBN917513 ILF917513:ILJ917513 IVB917513:IVF917513 JEX917513:JFB917513 JOT917513:JOX917513 JYP917513:JYT917513 KIL917513:KIP917513 KSH917513:KSL917513 LCD917513:LCH917513 LLZ917513:LMD917513 LVV917513:LVZ917513 MFR917513:MFV917513 MPN917513:MPR917513 MZJ917513:MZN917513 NJF917513:NJJ917513 NTB917513:NTF917513 OCX917513:ODB917513 OMT917513:OMX917513 OWP917513:OWT917513 PGL917513:PGP917513 PQH917513:PQL917513 QAD917513:QAH917513 QJZ917513:QKD917513 QTV917513:QTZ917513 RDR917513:RDV917513 RNN917513:RNR917513 RXJ917513:RXN917513 SHF917513:SHJ917513 SRB917513:SRF917513 TAX917513:TBB917513 TKT917513:TKX917513 TUP917513:TUT917513 UEL917513:UEP917513 UOH917513:UOL917513 UYD917513:UYH917513 VHZ917513:VID917513 VRV917513:VRZ917513 WBR917513:WBV917513 WLN917513:WLR917513 WVJ917513:WVN917513 B983049:F983049 IX983049:JB983049 ST983049:SX983049 ACP983049:ACT983049 AML983049:AMP983049 AWH983049:AWL983049 BGD983049:BGH983049 BPZ983049:BQD983049 BZV983049:BZZ983049 CJR983049:CJV983049 CTN983049:CTR983049 DDJ983049:DDN983049 DNF983049:DNJ983049 DXB983049:DXF983049 EGX983049:EHB983049 EQT983049:EQX983049 FAP983049:FAT983049 FKL983049:FKP983049 FUH983049:FUL983049 GED983049:GEH983049 GNZ983049:GOD983049 GXV983049:GXZ983049 HHR983049:HHV983049 HRN983049:HRR983049 IBJ983049:IBN983049 ILF983049:ILJ983049 IVB983049:IVF983049 JEX983049:JFB983049 JOT983049:JOX983049 JYP983049:JYT983049 KIL983049:KIP983049 KSH983049:KSL983049 LCD983049:LCH983049 LLZ983049:LMD983049 LVV983049:LVZ983049 MFR983049:MFV983049 MPN983049:MPR983049 MZJ983049:MZN983049 NJF983049:NJJ983049 NTB983049:NTF983049 OCX983049:ODB983049 OMT983049:OMX983049 OWP983049:OWT983049 PGL983049:PGP983049 PQH983049:PQL983049 QAD983049:QAH983049 QJZ983049:QKD983049 QTV983049:QTZ983049 RDR983049:RDV983049 RNN983049:RNR983049 RXJ983049:RXN983049 SHF983049:SHJ983049 SRB983049:SRF983049 TAX983049:TBB983049 TKT983049:TKX983049 TUP983049:TUT983049 UEL983049:UEP983049 UOH983049:UOL983049 UYD983049:UYH983049 VHZ983049:VID983049 VRV983049:VRZ983049 WBR983049:WBV983049 WLN983049:WLR983049">
      <formula1>Lista_publicering</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showInputMessage="1" showErrorMessage="1">
          <x14:formula1>
            <xm:f>'Miljövärden för publ företag'!$S$4:$S$34</xm:f>
          </x14:formula1>
          <xm:sqref>B7:E7</xm:sqref>
        </x14:dataValidation>
        <x14:dataValidation type="list" allowBlank="1" showInputMessage="1" showErrorMessage="1">
          <x14:formula1>
            <xm:f>'Miljövärden för publ företag'!$N$4:$N$137</xm:f>
          </x14:formula1>
          <xm:sqref>B4:E4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E25"/>
  <sheetViews>
    <sheetView workbookViewId="0">
      <selection activeCell="B36" sqref="B36"/>
    </sheetView>
  </sheetViews>
  <sheetFormatPr defaultColWidth="9.140625" defaultRowHeight="15" x14ac:dyDescent="0.25"/>
  <cols>
    <col min="1" max="1" width="45.140625" style="100" bestFit="1" customWidth="1"/>
    <col min="2" max="2" width="19" style="100" customWidth="1"/>
    <col min="3" max="3" width="18.5703125" style="100" customWidth="1"/>
    <col min="4" max="4" width="23.140625" style="100" customWidth="1"/>
    <col min="5" max="5" width="14.28515625" style="100" customWidth="1"/>
    <col min="6" max="16384" width="9.140625" style="100"/>
  </cols>
  <sheetData>
    <row r="1" spans="1:5" s="97" customFormat="1" ht="60" x14ac:dyDescent="0.25">
      <c r="A1" s="94"/>
      <c r="B1" s="95" t="s">
        <v>1494</v>
      </c>
      <c r="C1" s="95" t="s">
        <v>1495</v>
      </c>
      <c r="D1" s="95" t="s">
        <v>1496</v>
      </c>
      <c r="E1" s="96" t="s">
        <v>1365</v>
      </c>
    </row>
    <row r="2" spans="1:5" x14ac:dyDescent="0.25">
      <c r="A2" s="98" t="s">
        <v>1497</v>
      </c>
      <c r="B2" s="98">
        <v>1.1499999999999999</v>
      </c>
      <c r="C2" s="99">
        <v>370</v>
      </c>
      <c r="D2" s="99">
        <v>14</v>
      </c>
      <c r="E2" s="98">
        <v>1</v>
      </c>
    </row>
    <row r="3" spans="1:5" x14ac:dyDescent="0.25">
      <c r="A3" s="101" t="s">
        <v>1498</v>
      </c>
      <c r="B3" s="101">
        <v>1.1100000000000001</v>
      </c>
      <c r="C3" s="102">
        <v>268</v>
      </c>
      <c r="D3" s="102">
        <v>22</v>
      </c>
      <c r="E3" s="101">
        <v>1</v>
      </c>
    </row>
    <row r="4" spans="1:5" x14ac:dyDescent="0.25">
      <c r="A4" s="101" t="s">
        <v>840</v>
      </c>
      <c r="B4" s="101">
        <v>1.1100000000000001</v>
      </c>
      <c r="C4" s="102">
        <v>275</v>
      </c>
      <c r="D4" s="102">
        <v>22</v>
      </c>
      <c r="E4" s="101">
        <v>1</v>
      </c>
    </row>
    <row r="5" spans="1:5" x14ac:dyDescent="0.25">
      <c r="A5" s="101" t="s">
        <v>783</v>
      </c>
      <c r="B5" s="101">
        <v>1.1100000000000001</v>
      </c>
      <c r="C5" s="102">
        <v>275</v>
      </c>
      <c r="D5" s="102">
        <v>22</v>
      </c>
      <c r="E5" s="101">
        <v>1</v>
      </c>
    </row>
    <row r="6" spans="1:5" x14ac:dyDescent="0.25">
      <c r="A6" s="101" t="s">
        <v>748</v>
      </c>
      <c r="B6" s="101">
        <v>1.0900000000000001</v>
      </c>
      <c r="C6" s="102">
        <v>205</v>
      </c>
      <c r="D6" s="102">
        <v>45</v>
      </c>
      <c r="E6" s="101">
        <v>1</v>
      </c>
    </row>
    <row r="7" spans="1:5" x14ac:dyDescent="0.25">
      <c r="A7" s="101" t="s">
        <v>1340</v>
      </c>
      <c r="B7" s="101">
        <v>1.1100000000000001</v>
      </c>
      <c r="C7" s="102">
        <v>275</v>
      </c>
      <c r="D7" s="102">
        <v>22</v>
      </c>
      <c r="E7" s="101">
        <v>1</v>
      </c>
    </row>
    <row r="8" spans="1:5" x14ac:dyDescent="0.25">
      <c r="A8" s="101" t="s">
        <v>1274</v>
      </c>
      <c r="B8" s="101">
        <v>0</v>
      </c>
      <c r="C8" s="102">
        <v>0</v>
      </c>
      <c r="D8" s="102">
        <v>0</v>
      </c>
      <c r="E8" s="101">
        <v>0</v>
      </c>
    </row>
    <row r="9" spans="1:5" x14ac:dyDescent="0.25">
      <c r="A9" s="101" t="s">
        <v>747</v>
      </c>
      <c r="B9" s="101">
        <v>0.04</v>
      </c>
      <c r="C9" s="102">
        <v>140</v>
      </c>
      <c r="D9" s="102">
        <v>3</v>
      </c>
      <c r="E9" s="101">
        <v>0</v>
      </c>
    </row>
    <row r="10" spans="1:5" x14ac:dyDescent="0.25">
      <c r="A10" s="101" t="s">
        <v>772</v>
      </c>
      <c r="B10" s="101">
        <v>0.15</v>
      </c>
      <c r="C10" s="103">
        <v>0.2</v>
      </c>
      <c r="D10" s="102">
        <v>12</v>
      </c>
      <c r="E10" s="101">
        <v>0</v>
      </c>
    </row>
    <row r="11" spans="1:5" x14ac:dyDescent="0.25">
      <c r="A11" s="101" t="s">
        <v>1325</v>
      </c>
      <c r="B11" s="101">
        <v>0</v>
      </c>
      <c r="C11" s="102">
        <v>0</v>
      </c>
      <c r="D11" s="102">
        <v>0</v>
      </c>
      <c r="E11" s="101">
        <v>0</v>
      </c>
    </row>
    <row r="12" spans="1:5" x14ac:dyDescent="0.25">
      <c r="A12" s="101" t="s">
        <v>780</v>
      </c>
      <c r="B12" s="101">
        <v>1.05</v>
      </c>
      <c r="C12" s="102">
        <v>4</v>
      </c>
      <c r="D12" s="102">
        <v>34</v>
      </c>
      <c r="E12" s="101">
        <v>0</v>
      </c>
    </row>
    <row r="13" spans="1:5" x14ac:dyDescent="0.25">
      <c r="A13" s="101" t="s">
        <v>769</v>
      </c>
      <c r="B13" s="101">
        <v>0.03</v>
      </c>
      <c r="C13" s="102">
        <v>4</v>
      </c>
      <c r="D13" s="102">
        <v>7</v>
      </c>
      <c r="E13" s="101">
        <v>0</v>
      </c>
    </row>
    <row r="14" spans="1:5" x14ac:dyDescent="0.25">
      <c r="A14" s="101" t="s">
        <v>1271</v>
      </c>
      <c r="B14" s="101">
        <v>0.05</v>
      </c>
      <c r="C14" s="102">
        <v>4</v>
      </c>
      <c r="D14" s="102">
        <v>3</v>
      </c>
      <c r="E14" s="101">
        <v>0</v>
      </c>
    </row>
    <row r="15" spans="1:5" x14ac:dyDescent="0.25">
      <c r="A15" s="101" t="s">
        <v>1355</v>
      </c>
      <c r="B15" s="101">
        <v>0.11</v>
      </c>
      <c r="C15" s="102">
        <v>4</v>
      </c>
      <c r="D15" s="102">
        <v>14</v>
      </c>
      <c r="E15" s="101">
        <v>0</v>
      </c>
    </row>
    <row r="16" spans="1:5" x14ac:dyDescent="0.25">
      <c r="A16" s="101" t="s">
        <v>845</v>
      </c>
      <c r="B16" s="101">
        <v>0.04</v>
      </c>
      <c r="C16" s="102">
        <v>1</v>
      </c>
      <c r="D16" s="102">
        <v>4</v>
      </c>
      <c r="E16" s="101">
        <v>0</v>
      </c>
    </row>
    <row r="17" spans="1:5" x14ac:dyDescent="0.25">
      <c r="A17" s="101" t="s">
        <v>834</v>
      </c>
      <c r="B17" s="101">
        <v>0.04</v>
      </c>
      <c r="C17" s="102">
        <v>1</v>
      </c>
      <c r="D17" s="102">
        <v>4</v>
      </c>
      <c r="E17" s="101">
        <v>0</v>
      </c>
    </row>
    <row r="18" spans="1:5" x14ac:dyDescent="0.25">
      <c r="A18" s="101" t="s">
        <v>1499</v>
      </c>
      <c r="B18" s="101">
        <v>1.05</v>
      </c>
      <c r="C18" s="102">
        <v>4</v>
      </c>
      <c r="D18" s="102">
        <v>34</v>
      </c>
      <c r="E18" s="101">
        <v>0</v>
      </c>
    </row>
    <row r="19" spans="1:5" x14ac:dyDescent="0.25">
      <c r="A19" s="101" t="s">
        <v>1332</v>
      </c>
      <c r="B19" s="101">
        <v>1.02</v>
      </c>
      <c r="C19" s="102">
        <v>393</v>
      </c>
      <c r="D19" s="102">
        <v>39</v>
      </c>
      <c r="E19" s="101">
        <v>0</v>
      </c>
    </row>
    <row r="20" spans="1:5" x14ac:dyDescent="0.25">
      <c r="A20" s="101" t="s">
        <v>1500</v>
      </c>
      <c r="B20" s="101">
        <v>0</v>
      </c>
      <c r="C20" s="102">
        <v>0</v>
      </c>
      <c r="D20" s="102">
        <v>0</v>
      </c>
      <c r="E20" s="101">
        <v>0</v>
      </c>
    </row>
    <row r="21" spans="1:5" x14ac:dyDescent="0.25">
      <c r="A21" s="101" t="s">
        <v>1501</v>
      </c>
      <c r="B21" s="104">
        <v>2.2999999999999998</v>
      </c>
      <c r="C21" s="105">
        <v>329.19</v>
      </c>
      <c r="D21" s="105"/>
      <c r="E21" s="106">
        <v>0.43</v>
      </c>
    </row>
    <row r="22" spans="1:5" x14ac:dyDescent="0.25">
      <c r="A22" s="107" t="s">
        <v>1502</v>
      </c>
      <c r="B22" s="107">
        <v>1.1100000000000001</v>
      </c>
      <c r="C22" s="108">
        <v>275</v>
      </c>
      <c r="D22" s="108">
        <v>22</v>
      </c>
      <c r="E22" s="107">
        <v>0</v>
      </c>
    </row>
    <row r="24" spans="1:5" x14ac:dyDescent="0.25">
      <c r="A24" s="100" t="s">
        <v>1503</v>
      </c>
    </row>
    <row r="25" spans="1:5" x14ac:dyDescent="0.25">
      <c r="A25" s="109" t="s">
        <v>1504</v>
      </c>
    </row>
  </sheetData>
  <hyperlinks>
    <hyperlink ref="A25" r:id="rId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BK418"/>
  <sheetViews>
    <sheetView zoomScale="110" zoomScaleNormal="110" workbookViewId="0">
      <selection activeCell="H1" sqref="A1:AR414"/>
    </sheetView>
  </sheetViews>
  <sheetFormatPr defaultColWidth="9.140625" defaultRowHeight="15" customHeight="1" x14ac:dyDescent="0.25"/>
  <cols>
    <col min="1" max="1" width="36.140625" style="1" bestFit="1" customWidth="1"/>
    <col min="2" max="2" width="25.85546875" style="1" customWidth="1"/>
    <col min="3" max="57" width="9.140625" style="1"/>
    <col min="58" max="58" width="12" style="1" bestFit="1" customWidth="1"/>
    <col min="59" max="62" width="9.140625" style="1"/>
    <col min="63" max="63" width="9.85546875" style="1" bestFit="1" customWidth="1"/>
    <col min="64" max="16384" width="9.140625" style="1"/>
  </cols>
  <sheetData>
    <row r="1" spans="1:63" s="2" customFormat="1" ht="151.5" customHeight="1" thickBot="1" x14ac:dyDescent="0.3">
      <c r="A1" s="132" t="s">
        <v>151</v>
      </c>
      <c r="B1" s="132" t="s">
        <v>2</v>
      </c>
      <c r="C1" s="132" t="s">
        <v>152</v>
      </c>
      <c r="D1" s="132" t="s">
        <v>153</v>
      </c>
      <c r="E1" s="132" t="s">
        <v>154</v>
      </c>
      <c r="F1" s="132" t="s">
        <v>155</v>
      </c>
      <c r="G1" s="132" t="s">
        <v>156</v>
      </c>
      <c r="H1" s="132" t="s">
        <v>157</v>
      </c>
      <c r="I1" s="132" t="s">
        <v>158</v>
      </c>
      <c r="J1" s="132" t="s">
        <v>159</v>
      </c>
      <c r="K1" s="132" t="s">
        <v>160</v>
      </c>
      <c r="L1" s="132" t="s">
        <v>161</v>
      </c>
      <c r="M1" s="132" t="s">
        <v>162</v>
      </c>
      <c r="N1" s="132" t="s">
        <v>163</v>
      </c>
      <c r="O1" s="132" t="s">
        <v>164</v>
      </c>
      <c r="P1" s="132" t="s">
        <v>165</v>
      </c>
      <c r="Q1" s="132" t="s">
        <v>166</v>
      </c>
      <c r="R1" s="132" t="s">
        <v>167</v>
      </c>
      <c r="S1" s="132" t="s">
        <v>168</v>
      </c>
      <c r="T1" s="132" t="s">
        <v>169</v>
      </c>
      <c r="U1" s="132" t="s">
        <v>170</v>
      </c>
      <c r="V1" s="132" t="s">
        <v>171</v>
      </c>
      <c r="W1" s="132" t="s">
        <v>172</v>
      </c>
      <c r="X1" s="132" t="s">
        <v>173</v>
      </c>
      <c r="Y1" s="132" t="s">
        <v>174</v>
      </c>
      <c r="Z1" s="132" t="s">
        <v>175</v>
      </c>
      <c r="AA1" s="132" t="s">
        <v>176</v>
      </c>
      <c r="AB1" s="132" t="s">
        <v>177</v>
      </c>
      <c r="AC1" s="132" t="s">
        <v>178</v>
      </c>
      <c r="AD1" s="132" t="s">
        <v>179</v>
      </c>
      <c r="AE1" s="132" t="s">
        <v>180</v>
      </c>
      <c r="AF1" s="132" t="s">
        <v>181</v>
      </c>
      <c r="AG1" s="132" t="s">
        <v>182</v>
      </c>
      <c r="AH1" s="132" t="s">
        <v>183</v>
      </c>
      <c r="AI1" s="132" t="s">
        <v>184</v>
      </c>
      <c r="AJ1" s="132" t="s">
        <v>185</v>
      </c>
      <c r="AK1" s="132" t="s">
        <v>186</v>
      </c>
      <c r="AL1" s="132" t="s">
        <v>187</v>
      </c>
      <c r="AM1" s="132" t="s">
        <v>188</v>
      </c>
      <c r="AN1" s="132" t="s">
        <v>162</v>
      </c>
      <c r="AO1" s="132" t="s">
        <v>189</v>
      </c>
      <c r="AP1" s="132" t="s">
        <v>190</v>
      </c>
      <c r="AQ1" s="132" t="s">
        <v>191</v>
      </c>
      <c r="AR1" s="132" t="s">
        <v>192</v>
      </c>
      <c r="AV1" s="3" t="s">
        <v>1194</v>
      </c>
      <c r="AW1" s="3" t="s">
        <v>1195</v>
      </c>
      <c r="AX1" s="3" t="s">
        <v>1196</v>
      </c>
      <c r="BA1" s="2" t="s">
        <v>1197</v>
      </c>
      <c r="BB1" s="4" t="s">
        <v>1198</v>
      </c>
      <c r="BC1" s="4" t="s">
        <v>1199</v>
      </c>
      <c r="BD1" s="4" t="s">
        <v>1200</v>
      </c>
      <c r="BE1" s="4" t="s">
        <v>1201</v>
      </c>
      <c r="BF1" s="4" t="s">
        <v>1202</v>
      </c>
      <c r="BJ1" s="2" t="s">
        <v>1203</v>
      </c>
      <c r="BK1" s="2" t="s">
        <v>1204</v>
      </c>
    </row>
    <row r="2" spans="1:63" ht="15" customHeight="1" x14ac:dyDescent="0.25">
      <c r="A2" s="137" t="s">
        <v>15</v>
      </c>
      <c r="B2" s="137" t="s">
        <v>16</v>
      </c>
      <c r="C2" s="137">
        <v>2018</v>
      </c>
      <c r="D2" s="137">
        <v>8.3000000000000007</v>
      </c>
      <c r="E2" s="137">
        <v>8.9</v>
      </c>
      <c r="F2" s="137" t="s">
        <v>193</v>
      </c>
      <c r="G2" s="137" t="s">
        <v>193</v>
      </c>
      <c r="H2" s="137" t="s">
        <v>193</v>
      </c>
      <c r="I2" s="137" t="s">
        <v>193</v>
      </c>
      <c r="J2" s="137" t="s">
        <v>193</v>
      </c>
      <c r="K2" s="137" t="s">
        <v>193</v>
      </c>
      <c r="L2" s="137" t="s">
        <v>193</v>
      </c>
      <c r="M2" s="137" t="s">
        <v>53</v>
      </c>
      <c r="N2" s="137" t="s">
        <v>193</v>
      </c>
      <c r="O2" s="137" t="s">
        <v>193</v>
      </c>
      <c r="P2" s="137" t="s">
        <v>193</v>
      </c>
      <c r="Q2" s="137" t="s">
        <v>193</v>
      </c>
      <c r="R2" s="137" t="s">
        <v>193</v>
      </c>
      <c r="S2" s="137" t="s">
        <v>193</v>
      </c>
      <c r="T2" s="137" t="s">
        <v>193</v>
      </c>
      <c r="U2" s="137">
        <v>8.6</v>
      </c>
      <c r="V2" s="137" t="s">
        <v>193</v>
      </c>
      <c r="W2" s="137" t="s">
        <v>193</v>
      </c>
      <c r="X2" s="137" t="s">
        <v>193</v>
      </c>
      <c r="Y2" s="137" t="s">
        <v>193</v>
      </c>
      <c r="Z2" s="137" t="s">
        <v>193</v>
      </c>
      <c r="AA2" s="137" t="s">
        <v>193</v>
      </c>
      <c r="AB2" s="137" t="s">
        <v>193</v>
      </c>
      <c r="AC2" s="137" t="s">
        <v>193</v>
      </c>
      <c r="AD2" s="137" t="s">
        <v>193</v>
      </c>
      <c r="AE2" s="137" t="s">
        <v>53</v>
      </c>
      <c r="AF2" s="137" t="s">
        <v>193</v>
      </c>
      <c r="AG2" s="137">
        <v>0.3</v>
      </c>
      <c r="AH2" s="137" t="s">
        <v>193</v>
      </c>
      <c r="AI2" s="137" t="s">
        <v>193</v>
      </c>
      <c r="AJ2" s="137" t="s">
        <v>193</v>
      </c>
      <c r="AK2" s="137" t="s">
        <v>193</v>
      </c>
      <c r="AL2" s="137" t="s">
        <v>193</v>
      </c>
      <c r="AM2" s="137" t="s">
        <v>193</v>
      </c>
      <c r="AN2" s="137" t="s">
        <v>193</v>
      </c>
      <c r="AO2" s="137" t="s">
        <v>193</v>
      </c>
      <c r="AP2" s="137" t="s">
        <v>193</v>
      </c>
      <c r="AQ2" s="137" t="s">
        <v>193</v>
      </c>
      <c r="AR2" s="137" t="s">
        <v>193</v>
      </c>
      <c r="AV2" s="1">
        <f>SUMPRODUCT(F2:AC2)+SUMPRODUCT(AG2:AI2)+IFERROR(AL2/1,0)</f>
        <v>8.9</v>
      </c>
      <c r="AW2" s="1">
        <f t="shared" ref="AW2:AW64" si="0">IFERROR(D2/1,0)</f>
        <v>8.3000000000000007</v>
      </c>
      <c r="AX2" s="13">
        <f>IFERROR(AW2/AV2,"")</f>
        <v>0.93258426966292141</v>
      </c>
      <c r="AY2" s="12"/>
      <c r="AZ2" s="12"/>
      <c r="BA2" s="12">
        <f t="shared" ref="BA2:BA64" si="1">IFERROR(AH2/1,0)</f>
        <v>0</v>
      </c>
      <c r="BB2" s="12">
        <f>IFERROR(AO2/100,0)*$BA2</f>
        <v>0</v>
      </c>
      <c r="BC2" s="12">
        <f t="shared" ref="BC2:BE16" si="2">IFERROR(AP2/100,0)*$BA2</f>
        <v>0</v>
      </c>
      <c r="BD2" s="12">
        <f t="shared" si="2"/>
        <v>0</v>
      </c>
      <c r="BE2" s="12">
        <f t="shared" si="2"/>
        <v>0</v>
      </c>
      <c r="BF2" s="12">
        <f t="shared" ref="BF2:BF64" si="3">MAX(BA2-SUM(BB2:BE2),0)</f>
        <v>0</v>
      </c>
      <c r="BG2" s="12"/>
      <c r="BH2" s="12"/>
      <c r="BI2" s="12"/>
      <c r="BJ2" s="12" t="str">
        <f t="shared" ref="BJ2:BJ64" si="4">IF(AND((IFERROR(AO2/1,0)+IFERROR(AP2/1,0)+IFERROR(AQ2/1,0)+IFERROR(AR2/1,0))&gt;0,OR(TYPE(AH2)&lt;&gt;1,AH2=0)),"ja","")</f>
        <v/>
      </c>
      <c r="BK2" s="12">
        <f>VLOOKUP(B2,Kraftvärmeprod!$B$1:$BH$549,MATCH($BA$1,Kraftvärmeprod!$B$1:$CC$1,0),FALSE)</f>
        <v>0</v>
      </c>
    </row>
    <row r="3" spans="1:63" ht="15" customHeight="1" x14ac:dyDescent="0.25">
      <c r="A3" s="137" t="s">
        <v>15</v>
      </c>
      <c r="B3" s="137" t="s">
        <v>18</v>
      </c>
      <c r="C3" s="137">
        <v>2018</v>
      </c>
      <c r="D3" s="137">
        <v>19.53</v>
      </c>
      <c r="E3" s="137">
        <v>21.738</v>
      </c>
      <c r="F3" s="137" t="s">
        <v>193</v>
      </c>
      <c r="G3" s="137">
        <v>3.7999999999999999E-2</v>
      </c>
      <c r="H3" s="137" t="s">
        <v>193</v>
      </c>
      <c r="I3" s="137" t="s">
        <v>193</v>
      </c>
      <c r="J3" s="137" t="s">
        <v>193</v>
      </c>
      <c r="K3" s="137" t="s">
        <v>193</v>
      </c>
      <c r="L3" s="137" t="s">
        <v>193</v>
      </c>
      <c r="M3" s="137" t="s">
        <v>193</v>
      </c>
      <c r="N3" s="137" t="s">
        <v>193</v>
      </c>
      <c r="O3" s="137" t="s">
        <v>193</v>
      </c>
      <c r="P3" s="137" t="s">
        <v>193</v>
      </c>
      <c r="Q3" s="137" t="s">
        <v>193</v>
      </c>
      <c r="R3" s="137" t="s">
        <v>193</v>
      </c>
      <c r="S3" s="137">
        <v>21.7</v>
      </c>
      <c r="T3" s="137" t="s">
        <v>194</v>
      </c>
      <c r="U3" s="137" t="s">
        <v>193</v>
      </c>
      <c r="V3" s="137" t="s">
        <v>193</v>
      </c>
      <c r="W3" s="137" t="s">
        <v>193</v>
      </c>
      <c r="X3" s="137" t="s">
        <v>193</v>
      </c>
      <c r="Y3" s="137" t="s">
        <v>193</v>
      </c>
      <c r="Z3" s="137" t="s">
        <v>193</v>
      </c>
      <c r="AA3" s="137" t="s">
        <v>193</v>
      </c>
      <c r="AB3" s="137" t="s">
        <v>193</v>
      </c>
      <c r="AC3" s="137" t="s">
        <v>193</v>
      </c>
      <c r="AD3" s="137" t="s">
        <v>193</v>
      </c>
      <c r="AE3" s="137" t="s">
        <v>53</v>
      </c>
      <c r="AF3" s="137" t="s">
        <v>193</v>
      </c>
      <c r="AG3" s="137" t="s">
        <v>193</v>
      </c>
      <c r="AH3" s="137" t="s">
        <v>193</v>
      </c>
      <c r="AI3" s="137" t="s">
        <v>193</v>
      </c>
      <c r="AJ3" s="137" t="s">
        <v>193</v>
      </c>
      <c r="AK3" s="137" t="s">
        <v>193</v>
      </c>
      <c r="AL3" s="137" t="s">
        <v>193</v>
      </c>
      <c r="AM3" s="137" t="s">
        <v>193</v>
      </c>
      <c r="AN3" s="137" t="s">
        <v>53</v>
      </c>
      <c r="AO3" s="137" t="s">
        <v>193</v>
      </c>
      <c r="AP3" s="137" t="s">
        <v>193</v>
      </c>
      <c r="AQ3" s="137" t="s">
        <v>193</v>
      </c>
      <c r="AR3" s="137" t="s">
        <v>193</v>
      </c>
      <c r="AV3" s="1">
        <f t="shared" ref="AV3:AV66" si="5">SUMPRODUCT(F3:AC3)+SUMPRODUCT(AG3:AI3)+IFERROR(AL3/1,0)</f>
        <v>21.738</v>
      </c>
      <c r="AW3" s="1">
        <f t="shared" si="0"/>
        <v>19.53</v>
      </c>
      <c r="AX3" s="13">
        <f t="shared" ref="AX3:AX65" si="6">IFERROR(AW3/AV3,"")</f>
        <v>0.89842671818934594</v>
      </c>
      <c r="BA3" s="12">
        <f t="shared" si="1"/>
        <v>0</v>
      </c>
      <c r="BB3" s="12">
        <f t="shared" ref="BB3:BE65" si="7">IFERROR(AO3/100,0)*$BA3</f>
        <v>0</v>
      </c>
      <c r="BC3" s="12">
        <f t="shared" si="2"/>
        <v>0</v>
      </c>
      <c r="BD3" s="12">
        <f t="shared" si="2"/>
        <v>0</v>
      </c>
      <c r="BE3" s="12">
        <f t="shared" si="2"/>
        <v>0</v>
      </c>
      <c r="BF3" s="12">
        <f t="shared" si="3"/>
        <v>0</v>
      </c>
      <c r="BJ3" s="12" t="str">
        <f t="shared" si="4"/>
        <v/>
      </c>
      <c r="BK3" s="12">
        <f>VLOOKUP(B3,Kraftvärmeprod!$B$1:$BH$549,MATCH($BA$1,Kraftvärmeprod!$B$1:$CC$1,0),FALSE)</f>
        <v>0</v>
      </c>
    </row>
    <row r="4" spans="1:63" ht="15" customHeight="1" x14ac:dyDescent="0.25">
      <c r="A4" s="137" t="s">
        <v>15</v>
      </c>
      <c r="B4" s="137" t="s">
        <v>20</v>
      </c>
      <c r="C4" s="137">
        <v>2018</v>
      </c>
      <c r="D4" s="137">
        <v>131.107</v>
      </c>
      <c r="E4" s="137">
        <v>143.755</v>
      </c>
      <c r="F4" s="137" t="s">
        <v>193</v>
      </c>
      <c r="G4" s="137">
        <v>0.84899999999999998</v>
      </c>
      <c r="H4" s="137" t="s">
        <v>193</v>
      </c>
      <c r="I4" s="137" t="s">
        <v>193</v>
      </c>
      <c r="J4" s="137" t="s">
        <v>193</v>
      </c>
      <c r="K4" s="137" t="s">
        <v>193</v>
      </c>
      <c r="L4" s="137" t="s">
        <v>193</v>
      </c>
      <c r="M4" s="137" t="s">
        <v>53</v>
      </c>
      <c r="N4" s="137" t="s">
        <v>193</v>
      </c>
      <c r="O4" s="137" t="s">
        <v>193</v>
      </c>
      <c r="P4" s="137" t="s">
        <v>193</v>
      </c>
      <c r="Q4" s="137" t="s">
        <v>193</v>
      </c>
      <c r="R4" s="137" t="s">
        <v>193</v>
      </c>
      <c r="S4" s="137">
        <v>68.141000000000005</v>
      </c>
      <c r="T4" s="137" t="s">
        <v>194</v>
      </c>
      <c r="U4" s="137" t="s">
        <v>193</v>
      </c>
      <c r="V4" s="137" t="s">
        <v>193</v>
      </c>
      <c r="W4" s="137" t="s">
        <v>193</v>
      </c>
      <c r="X4" s="137" t="s">
        <v>193</v>
      </c>
      <c r="Y4" s="137" t="s">
        <v>193</v>
      </c>
      <c r="Z4" s="137" t="s">
        <v>193</v>
      </c>
      <c r="AA4" s="137" t="s">
        <v>193</v>
      </c>
      <c r="AB4" s="137" t="s">
        <v>193</v>
      </c>
      <c r="AC4" s="137">
        <v>63.664000000000001</v>
      </c>
      <c r="AD4" s="137">
        <v>0.68700000000000006</v>
      </c>
      <c r="AE4" s="137" t="s">
        <v>195</v>
      </c>
      <c r="AF4" s="137">
        <v>40.5</v>
      </c>
      <c r="AG4" s="137" t="s">
        <v>193</v>
      </c>
      <c r="AH4" s="137">
        <v>11.101000000000001</v>
      </c>
      <c r="AI4" s="137" t="s">
        <v>193</v>
      </c>
      <c r="AJ4" s="137" t="s">
        <v>193</v>
      </c>
      <c r="AK4" s="137" t="s">
        <v>193</v>
      </c>
      <c r="AL4" s="137" t="s">
        <v>193</v>
      </c>
      <c r="AM4" s="137" t="s">
        <v>193</v>
      </c>
      <c r="AN4" s="137" t="s">
        <v>193</v>
      </c>
      <c r="AO4" s="137">
        <v>100</v>
      </c>
      <c r="AP4" s="137" t="s">
        <v>193</v>
      </c>
      <c r="AQ4" s="137" t="s">
        <v>193</v>
      </c>
      <c r="AR4" s="137" t="s">
        <v>193</v>
      </c>
      <c r="AV4" s="1">
        <f t="shared" si="5"/>
        <v>143.755</v>
      </c>
      <c r="AW4" s="1">
        <f t="shared" si="0"/>
        <v>131.107</v>
      </c>
      <c r="AX4" s="13">
        <f t="shared" si="6"/>
        <v>0.91201697332266707</v>
      </c>
      <c r="BA4" s="12">
        <f t="shared" si="1"/>
        <v>11.101000000000001</v>
      </c>
      <c r="BB4" s="12">
        <f t="shared" si="7"/>
        <v>11.101000000000001</v>
      </c>
      <c r="BC4" s="12">
        <f t="shared" si="2"/>
        <v>0</v>
      </c>
      <c r="BD4" s="12">
        <f t="shared" si="2"/>
        <v>0</v>
      </c>
      <c r="BE4" s="12">
        <f t="shared" si="2"/>
        <v>0</v>
      </c>
      <c r="BF4" s="12">
        <f t="shared" si="3"/>
        <v>0</v>
      </c>
      <c r="BJ4" s="12" t="str">
        <f t="shared" si="4"/>
        <v/>
      </c>
      <c r="BK4" s="12">
        <f>VLOOKUP(B4,Kraftvärmeprod!$B$1:$BH$549,MATCH($BA$1,Kraftvärmeprod!$B$1:$CC$1,0),FALSE)</f>
        <v>0</v>
      </c>
    </row>
    <row r="5" spans="1:63" ht="15" customHeight="1" x14ac:dyDescent="0.25">
      <c r="A5" s="137" t="s">
        <v>15</v>
      </c>
      <c r="B5" s="137" t="s">
        <v>22</v>
      </c>
      <c r="C5" s="137">
        <v>2018</v>
      </c>
      <c r="D5" s="137">
        <v>28.463999999999999</v>
      </c>
      <c r="E5" s="137">
        <v>31.26</v>
      </c>
      <c r="F5" s="137" t="s">
        <v>193</v>
      </c>
      <c r="G5" s="137">
        <v>0.06</v>
      </c>
      <c r="H5" s="137" t="s">
        <v>193</v>
      </c>
      <c r="I5" s="137" t="s">
        <v>193</v>
      </c>
      <c r="J5" s="137" t="s">
        <v>193</v>
      </c>
      <c r="K5" s="137" t="s">
        <v>193</v>
      </c>
      <c r="L5" s="137" t="s">
        <v>193</v>
      </c>
      <c r="M5" s="137" t="s">
        <v>53</v>
      </c>
      <c r="N5" s="137" t="s">
        <v>193</v>
      </c>
      <c r="O5" s="137" t="s">
        <v>193</v>
      </c>
      <c r="P5" s="137" t="s">
        <v>193</v>
      </c>
      <c r="Q5" s="137" t="s">
        <v>193</v>
      </c>
      <c r="R5" s="137" t="s">
        <v>193</v>
      </c>
      <c r="S5" s="137">
        <v>27.9</v>
      </c>
      <c r="T5" s="137" t="s">
        <v>194</v>
      </c>
      <c r="U5" s="137" t="s">
        <v>193</v>
      </c>
      <c r="V5" s="137" t="s">
        <v>193</v>
      </c>
      <c r="W5" s="137" t="s">
        <v>193</v>
      </c>
      <c r="X5" s="137" t="s">
        <v>193</v>
      </c>
      <c r="Y5" s="137" t="s">
        <v>193</v>
      </c>
      <c r="Z5" s="137" t="s">
        <v>193</v>
      </c>
      <c r="AA5" s="137" t="s">
        <v>193</v>
      </c>
      <c r="AB5" s="137" t="s">
        <v>193</v>
      </c>
      <c r="AC5" s="137" t="s">
        <v>193</v>
      </c>
      <c r="AD5" s="137" t="s">
        <v>193</v>
      </c>
      <c r="AE5" s="137" t="s">
        <v>53</v>
      </c>
      <c r="AF5" s="137" t="s">
        <v>193</v>
      </c>
      <c r="AG5" s="137" t="s">
        <v>193</v>
      </c>
      <c r="AH5" s="137">
        <v>3.3</v>
      </c>
      <c r="AI5" s="137" t="s">
        <v>193</v>
      </c>
      <c r="AJ5" s="137" t="s">
        <v>193</v>
      </c>
      <c r="AK5" s="137" t="s">
        <v>193</v>
      </c>
      <c r="AL5" s="137" t="s">
        <v>193</v>
      </c>
      <c r="AM5" s="137" t="s">
        <v>193</v>
      </c>
      <c r="AN5" s="137" t="s">
        <v>53</v>
      </c>
      <c r="AO5" s="137">
        <v>100</v>
      </c>
      <c r="AP5" s="137" t="s">
        <v>193</v>
      </c>
      <c r="AQ5" s="137" t="s">
        <v>193</v>
      </c>
      <c r="AR5" s="137" t="s">
        <v>193</v>
      </c>
      <c r="AV5" s="1">
        <f t="shared" si="5"/>
        <v>31.259999999999998</v>
      </c>
      <c r="AW5" s="1">
        <f t="shared" si="0"/>
        <v>28.463999999999999</v>
      </c>
      <c r="AX5" s="13">
        <f t="shared" si="6"/>
        <v>0.91055662188099806</v>
      </c>
      <c r="BA5" s="12">
        <f t="shared" si="1"/>
        <v>3.3</v>
      </c>
      <c r="BB5" s="12">
        <f t="shared" si="7"/>
        <v>3.3</v>
      </c>
      <c r="BC5" s="12">
        <f t="shared" si="2"/>
        <v>0</v>
      </c>
      <c r="BD5" s="12">
        <f t="shared" si="2"/>
        <v>0</v>
      </c>
      <c r="BE5" s="12">
        <f t="shared" si="2"/>
        <v>0</v>
      </c>
      <c r="BF5" s="12">
        <f t="shared" si="3"/>
        <v>0</v>
      </c>
      <c r="BJ5" s="12" t="str">
        <f t="shared" si="4"/>
        <v/>
      </c>
      <c r="BK5" s="12">
        <f>VLOOKUP(B5,Kraftvärmeprod!$B$1:$BH$549,MATCH($BA$1,Kraftvärmeprod!$B$1:$CC$1,0),FALSE)</f>
        <v>0</v>
      </c>
    </row>
    <row r="6" spans="1:63" ht="15" customHeight="1" x14ac:dyDescent="0.25">
      <c r="A6" s="137" t="s">
        <v>15</v>
      </c>
      <c r="B6" s="137" t="s">
        <v>24</v>
      </c>
      <c r="C6" s="137">
        <v>2018</v>
      </c>
      <c r="D6" s="137">
        <v>72.2</v>
      </c>
      <c r="E6" s="137">
        <v>79.150000000000006</v>
      </c>
      <c r="F6" s="137" t="s">
        <v>193</v>
      </c>
      <c r="G6" s="137">
        <v>1.1739999999999999</v>
      </c>
      <c r="H6" s="137" t="s">
        <v>193</v>
      </c>
      <c r="I6" s="137" t="s">
        <v>193</v>
      </c>
      <c r="J6" s="137" t="s">
        <v>193</v>
      </c>
      <c r="K6" s="137" t="s">
        <v>193</v>
      </c>
      <c r="L6" s="137" t="s">
        <v>193</v>
      </c>
      <c r="M6" s="137" t="s">
        <v>53</v>
      </c>
      <c r="N6" s="137" t="s">
        <v>193</v>
      </c>
      <c r="O6" s="137" t="s">
        <v>193</v>
      </c>
      <c r="P6" s="137" t="s">
        <v>193</v>
      </c>
      <c r="Q6" s="137" t="s">
        <v>193</v>
      </c>
      <c r="R6" s="137" t="s">
        <v>193</v>
      </c>
      <c r="S6" s="137">
        <v>68.599999999999994</v>
      </c>
      <c r="T6" s="137" t="s">
        <v>194</v>
      </c>
      <c r="U6" s="137" t="s">
        <v>193</v>
      </c>
      <c r="V6" s="137" t="s">
        <v>193</v>
      </c>
      <c r="W6" s="137" t="s">
        <v>193</v>
      </c>
      <c r="X6" s="137" t="s">
        <v>193</v>
      </c>
      <c r="Y6" s="137" t="s">
        <v>193</v>
      </c>
      <c r="Z6" s="137" t="s">
        <v>193</v>
      </c>
      <c r="AA6" s="137" t="s">
        <v>193</v>
      </c>
      <c r="AB6" s="137" t="s">
        <v>193</v>
      </c>
      <c r="AC6" s="137" t="s">
        <v>193</v>
      </c>
      <c r="AD6" s="137" t="s">
        <v>193</v>
      </c>
      <c r="AE6" s="137" t="s">
        <v>53</v>
      </c>
      <c r="AF6" s="137" t="s">
        <v>193</v>
      </c>
      <c r="AG6" s="137" t="s">
        <v>193</v>
      </c>
      <c r="AH6" s="137">
        <v>9.3759999999999994</v>
      </c>
      <c r="AI6" s="137" t="s">
        <v>193</v>
      </c>
      <c r="AJ6" s="137" t="s">
        <v>193</v>
      </c>
      <c r="AK6" s="137" t="s">
        <v>193</v>
      </c>
      <c r="AL6" s="137" t="s">
        <v>193</v>
      </c>
      <c r="AM6" s="137" t="s">
        <v>193</v>
      </c>
      <c r="AN6" s="137" t="s">
        <v>53</v>
      </c>
      <c r="AO6" s="137">
        <v>100</v>
      </c>
      <c r="AP6" s="137" t="s">
        <v>193</v>
      </c>
      <c r="AQ6" s="137" t="s">
        <v>193</v>
      </c>
      <c r="AR6" s="137" t="s">
        <v>193</v>
      </c>
      <c r="AV6" s="1">
        <f t="shared" si="5"/>
        <v>79.150000000000006</v>
      </c>
      <c r="AW6" s="1">
        <f t="shared" si="0"/>
        <v>72.2</v>
      </c>
      <c r="AX6" s="13">
        <f t="shared" si="6"/>
        <v>0.91219204042956414</v>
      </c>
      <c r="BA6" s="12">
        <f t="shared" si="1"/>
        <v>9.3759999999999994</v>
      </c>
      <c r="BB6" s="12">
        <f t="shared" si="7"/>
        <v>9.3759999999999994</v>
      </c>
      <c r="BC6" s="12">
        <f t="shared" si="2"/>
        <v>0</v>
      </c>
      <c r="BD6" s="12">
        <f t="shared" si="2"/>
        <v>0</v>
      </c>
      <c r="BE6" s="12">
        <f t="shared" si="2"/>
        <v>0</v>
      </c>
      <c r="BF6" s="12">
        <f t="shared" si="3"/>
        <v>0</v>
      </c>
      <c r="BJ6" s="12" t="str">
        <f t="shared" si="4"/>
        <v/>
      </c>
      <c r="BK6" s="12">
        <f>VLOOKUP(B6,Kraftvärmeprod!$B$1:$BH$549,MATCH($BA$1,Kraftvärmeprod!$B$1:$CC$1,0),FALSE)</f>
        <v>0</v>
      </c>
    </row>
    <row r="7" spans="1:63" ht="15" customHeight="1" x14ac:dyDescent="0.25">
      <c r="A7" s="137" t="s">
        <v>15</v>
      </c>
      <c r="B7" s="137" t="s">
        <v>26</v>
      </c>
      <c r="C7" s="137">
        <v>2018</v>
      </c>
      <c r="D7" s="137">
        <v>28.413</v>
      </c>
      <c r="E7" s="137">
        <v>31.422000000000001</v>
      </c>
      <c r="F7" s="137" t="s">
        <v>193</v>
      </c>
      <c r="G7" s="137" t="s">
        <v>193</v>
      </c>
      <c r="H7" s="137" t="s">
        <v>193</v>
      </c>
      <c r="I7" s="137" t="s">
        <v>193</v>
      </c>
      <c r="J7" s="137" t="s">
        <v>193</v>
      </c>
      <c r="K7" s="137" t="s">
        <v>193</v>
      </c>
      <c r="L7" s="137" t="s">
        <v>193</v>
      </c>
      <c r="M7" s="137" t="s">
        <v>53</v>
      </c>
      <c r="N7" s="137" t="s">
        <v>193</v>
      </c>
      <c r="O7" s="137" t="s">
        <v>193</v>
      </c>
      <c r="P7" s="137" t="s">
        <v>193</v>
      </c>
      <c r="Q7" s="137" t="s">
        <v>193</v>
      </c>
      <c r="R7" s="137" t="s">
        <v>193</v>
      </c>
      <c r="S7" s="137">
        <v>25.917999999999999</v>
      </c>
      <c r="T7" s="137" t="s">
        <v>194</v>
      </c>
      <c r="U7" s="137" t="s">
        <v>193</v>
      </c>
      <c r="V7" s="137" t="s">
        <v>193</v>
      </c>
      <c r="W7" s="137" t="s">
        <v>193</v>
      </c>
      <c r="X7" s="137" t="s">
        <v>193</v>
      </c>
      <c r="Y7" s="137" t="s">
        <v>193</v>
      </c>
      <c r="Z7" s="137" t="s">
        <v>193</v>
      </c>
      <c r="AA7" s="137" t="s">
        <v>193</v>
      </c>
      <c r="AB7" s="137" t="s">
        <v>193</v>
      </c>
      <c r="AC7" s="137" t="s">
        <v>193</v>
      </c>
      <c r="AD7" s="137" t="s">
        <v>193</v>
      </c>
      <c r="AE7" s="137" t="s">
        <v>53</v>
      </c>
      <c r="AF7" s="137" t="s">
        <v>193</v>
      </c>
      <c r="AG7" s="137">
        <v>1.9450000000000001</v>
      </c>
      <c r="AH7" s="137">
        <v>3.5590000000000002</v>
      </c>
      <c r="AI7" s="137" t="s">
        <v>193</v>
      </c>
      <c r="AJ7" s="137" t="s">
        <v>193</v>
      </c>
      <c r="AK7" s="137" t="s">
        <v>193</v>
      </c>
      <c r="AL7" s="137" t="s">
        <v>193</v>
      </c>
      <c r="AM7" s="137" t="s">
        <v>193</v>
      </c>
      <c r="AN7" s="137" t="s">
        <v>53</v>
      </c>
      <c r="AO7" s="137">
        <v>100</v>
      </c>
      <c r="AP7" s="137" t="s">
        <v>193</v>
      </c>
      <c r="AQ7" s="137" t="s">
        <v>193</v>
      </c>
      <c r="AR7" s="137" t="s">
        <v>193</v>
      </c>
      <c r="AV7" s="1">
        <f t="shared" si="5"/>
        <v>31.422000000000001</v>
      </c>
      <c r="AW7" s="1">
        <f t="shared" si="0"/>
        <v>28.413</v>
      </c>
      <c r="AX7" s="13">
        <f t="shared" si="6"/>
        <v>0.90423906816879895</v>
      </c>
      <c r="BA7" s="12">
        <f t="shared" si="1"/>
        <v>3.5590000000000002</v>
      </c>
      <c r="BB7" s="12">
        <f t="shared" si="7"/>
        <v>3.5590000000000002</v>
      </c>
      <c r="BC7" s="12">
        <f t="shared" si="2"/>
        <v>0</v>
      </c>
      <c r="BD7" s="12">
        <f t="shared" si="2"/>
        <v>0</v>
      </c>
      <c r="BE7" s="12">
        <f t="shared" si="2"/>
        <v>0</v>
      </c>
      <c r="BF7" s="12">
        <f t="shared" si="3"/>
        <v>0</v>
      </c>
      <c r="BJ7" s="12" t="str">
        <f t="shared" si="4"/>
        <v/>
      </c>
      <c r="BK7" s="12">
        <f>VLOOKUP(B7,Kraftvärmeprod!$B$1:$BH$549,MATCH($BA$1,Kraftvärmeprod!$B$1:$CC$1,0),FALSE)</f>
        <v>0</v>
      </c>
    </row>
    <row r="8" spans="1:63" ht="15" customHeight="1" x14ac:dyDescent="0.25">
      <c r="A8" s="137" t="s">
        <v>15</v>
      </c>
      <c r="B8" s="137" t="s">
        <v>28</v>
      </c>
      <c r="C8" s="137">
        <v>2018</v>
      </c>
      <c r="D8" s="137">
        <v>5.2</v>
      </c>
      <c r="E8" s="137">
        <v>5.8</v>
      </c>
      <c r="F8" s="137" t="s">
        <v>193</v>
      </c>
      <c r="G8" s="137">
        <v>5.8</v>
      </c>
      <c r="H8" s="137" t="s">
        <v>193</v>
      </c>
      <c r="I8" s="137" t="s">
        <v>193</v>
      </c>
      <c r="J8" s="137" t="s">
        <v>193</v>
      </c>
      <c r="K8" s="137" t="s">
        <v>193</v>
      </c>
      <c r="L8" s="137" t="s">
        <v>193</v>
      </c>
      <c r="M8" s="137" t="s">
        <v>53</v>
      </c>
      <c r="N8" s="137" t="s">
        <v>193</v>
      </c>
      <c r="O8" s="137" t="s">
        <v>193</v>
      </c>
      <c r="P8" s="137" t="s">
        <v>193</v>
      </c>
      <c r="Q8" s="137" t="s">
        <v>193</v>
      </c>
      <c r="R8" s="137" t="s">
        <v>193</v>
      </c>
      <c r="S8" s="137" t="s">
        <v>193</v>
      </c>
      <c r="T8" s="137" t="s">
        <v>193</v>
      </c>
      <c r="U8" s="137" t="s">
        <v>193</v>
      </c>
      <c r="V8" s="137" t="s">
        <v>193</v>
      </c>
      <c r="W8" s="137" t="s">
        <v>193</v>
      </c>
      <c r="X8" s="137" t="s">
        <v>193</v>
      </c>
      <c r="Y8" s="137" t="s">
        <v>193</v>
      </c>
      <c r="Z8" s="137" t="s">
        <v>193</v>
      </c>
      <c r="AA8" s="137" t="s">
        <v>193</v>
      </c>
      <c r="AB8" s="137" t="s">
        <v>193</v>
      </c>
      <c r="AC8" s="137" t="s">
        <v>193</v>
      </c>
      <c r="AD8" s="137" t="s">
        <v>193</v>
      </c>
      <c r="AE8" s="137" t="s">
        <v>53</v>
      </c>
      <c r="AF8" s="137" t="s">
        <v>193</v>
      </c>
      <c r="AG8" s="137" t="s">
        <v>193</v>
      </c>
      <c r="AH8" s="137" t="s">
        <v>193</v>
      </c>
      <c r="AI8" s="137" t="s">
        <v>193</v>
      </c>
      <c r="AJ8" s="137" t="s">
        <v>193</v>
      </c>
      <c r="AK8" s="137" t="s">
        <v>193</v>
      </c>
      <c r="AL8" s="137" t="s">
        <v>193</v>
      </c>
      <c r="AM8" s="137" t="s">
        <v>193</v>
      </c>
      <c r="AN8" s="137" t="s">
        <v>53</v>
      </c>
      <c r="AO8" s="137" t="s">
        <v>193</v>
      </c>
      <c r="AP8" s="137" t="s">
        <v>193</v>
      </c>
      <c r="AQ8" s="137" t="s">
        <v>193</v>
      </c>
      <c r="AR8" s="137" t="s">
        <v>193</v>
      </c>
      <c r="AV8" s="1">
        <f t="shared" si="5"/>
        <v>5.8</v>
      </c>
      <c r="AW8" s="1">
        <f t="shared" si="0"/>
        <v>5.2</v>
      </c>
      <c r="AX8" s="13">
        <f t="shared" si="6"/>
        <v>0.89655172413793105</v>
      </c>
      <c r="BA8" s="12">
        <f t="shared" si="1"/>
        <v>0</v>
      </c>
      <c r="BB8" s="12">
        <f t="shared" si="7"/>
        <v>0</v>
      </c>
      <c r="BC8" s="12">
        <f t="shared" si="2"/>
        <v>0</v>
      </c>
      <c r="BD8" s="12">
        <f t="shared" si="2"/>
        <v>0</v>
      </c>
      <c r="BE8" s="12">
        <f t="shared" si="2"/>
        <v>0</v>
      </c>
      <c r="BF8" s="12">
        <f t="shared" si="3"/>
        <v>0</v>
      </c>
      <c r="BJ8" s="12" t="str">
        <f t="shared" si="4"/>
        <v/>
      </c>
      <c r="BK8" s="12">
        <f>VLOOKUP(B8,Kraftvärmeprod!$B$1:$BH$549,MATCH($BA$1,Kraftvärmeprod!$B$1:$CC$1,0),FALSE)</f>
        <v>0</v>
      </c>
    </row>
    <row r="9" spans="1:63" ht="15" customHeight="1" x14ac:dyDescent="0.25">
      <c r="A9" s="137" t="s">
        <v>15</v>
      </c>
      <c r="B9" s="137" t="s">
        <v>30</v>
      </c>
      <c r="C9" s="137">
        <v>2018</v>
      </c>
      <c r="D9" s="137">
        <v>31.771999999999998</v>
      </c>
      <c r="E9" s="137">
        <v>32.4</v>
      </c>
      <c r="F9" s="137" t="s">
        <v>193</v>
      </c>
      <c r="G9" s="137">
        <v>0.6</v>
      </c>
      <c r="H9" s="137" t="s">
        <v>193</v>
      </c>
      <c r="I9" s="137" t="s">
        <v>193</v>
      </c>
      <c r="J9" s="137" t="s">
        <v>193</v>
      </c>
      <c r="K9" s="137" t="s">
        <v>193</v>
      </c>
      <c r="L9" s="137" t="s">
        <v>193</v>
      </c>
      <c r="M9" s="137" t="s">
        <v>53</v>
      </c>
      <c r="N9" s="137" t="s">
        <v>193</v>
      </c>
      <c r="O9" s="137" t="s">
        <v>193</v>
      </c>
      <c r="P9" s="137" t="s">
        <v>193</v>
      </c>
      <c r="Q9" s="137" t="s">
        <v>193</v>
      </c>
      <c r="R9" s="137" t="s">
        <v>193</v>
      </c>
      <c r="S9" s="137">
        <v>25.4</v>
      </c>
      <c r="T9" s="137" t="s">
        <v>194</v>
      </c>
      <c r="U9" s="137" t="s">
        <v>193</v>
      </c>
      <c r="V9" s="137" t="s">
        <v>193</v>
      </c>
      <c r="W9" s="137" t="s">
        <v>193</v>
      </c>
      <c r="X9" s="137" t="s">
        <v>193</v>
      </c>
      <c r="Y9" s="137" t="s">
        <v>193</v>
      </c>
      <c r="Z9" s="137">
        <v>2.8</v>
      </c>
      <c r="AA9" s="137" t="s">
        <v>193</v>
      </c>
      <c r="AB9" s="137" t="s">
        <v>193</v>
      </c>
      <c r="AC9" s="137" t="s">
        <v>193</v>
      </c>
      <c r="AD9" s="137" t="s">
        <v>193</v>
      </c>
      <c r="AE9" s="137" t="s">
        <v>53</v>
      </c>
      <c r="AF9" s="137" t="s">
        <v>193</v>
      </c>
      <c r="AG9" s="137" t="s">
        <v>193</v>
      </c>
      <c r="AH9" s="137">
        <v>3.6</v>
      </c>
      <c r="AI9" s="137" t="s">
        <v>193</v>
      </c>
      <c r="AJ9" s="137" t="s">
        <v>193</v>
      </c>
      <c r="AK9" s="137" t="s">
        <v>193</v>
      </c>
      <c r="AL9" s="137" t="s">
        <v>193</v>
      </c>
      <c r="AM9" s="137" t="s">
        <v>193</v>
      </c>
      <c r="AN9" s="137" t="s">
        <v>53</v>
      </c>
      <c r="AO9" s="137">
        <v>100</v>
      </c>
      <c r="AP9" s="137" t="s">
        <v>193</v>
      </c>
      <c r="AQ9" s="137" t="s">
        <v>193</v>
      </c>
      <c r="AR9" s="137" t="s">
        <v>193</v>
      </c>
      <c r="AV9" s="1">
        <f t="shared" si="5"/>
        <v>32.4</v>
      </c>
      <c r="AW9" s="1">
        <f t="shared" si="0"/>
        <v>31.771999999999998</v>
      </c>
      <c r="AX9" s="13">
        <f t="shared" si="6"/>
        <v>0.98061728395061731</v>
      </c>
      <c r="BA9" s="12">
        <f t="shared" si="1"/>
        <v>3.6</v>
      </c>
      <c r="BB9" s="12">
        <f t="shared" si="7"/>
        <v>3.6</v>
      </c>
      <c r="BC9" s="12">
        <f t="shared" si="2"/>
        <v>0</v>
      </c>
      <c r="BD9" s="12">
        <f t="shared" si="2"/>
        <v>0</v>
      </c>
      <c r="BE9" s="12">
        <f t="shared" si="2"/>
        <v>0</v>
      </c>
      <c r="BF9" s="12">
        <f t="shared" si="3"/>
        <v>0</v>
      </c>
      <c r="BJ9" s="12" t="str">
        <f t="shared" si="4"/>
        <v/>
      </c>
      <c r="BK9" s="12">
        <f>VLOOKUP(B9,Kraftvärmeprod!$B$1:$BH$549,MATCH($BA$1,Kraftvärmeprod!$B$1:$CC$1,0),FALSE)</f>
        <v>0</v>
      </c>
    </row>
    <row r="10" spans="1:63" ht="15" customHeight="1" x14ac:dyDescent="0.25">
      <c r="A10" s="137" t="s">
        <v>15</v>
      </c>
      <c r="B10" s="137" t="s">
        <v>32</v>
      </c>
      <c r="C10" s="137">
        <v>2018</v>
      </c>
      <c r="D10" s="137">
        <v>77.930000000000007</v>
      </c>
      <c r="E10" s="137">
        <v>82.762</v>
      </c>
      <c r="F10" s="137" t="s">
        <v>193</v>
      </c>
      <c r="G10" s="137">
        <v>0.28899999999999998</v>
      </c>
      <c r="H10" s="137" t="s">
        <v>193</v>
      </c>
      <c r="I10" s="137" t="s">
        <v>193</v>
      </c>
      <c r="J10" s="137" t="s">
        <v>193</v>
      </c>
      <c r="K10" s="137" t="s">
        <v>193</v>
      </c>
      <c r="L10" s="137">
        <v>0.223</v>
      </c>
      <c r="M10" s="137" t="s">
        <v>198</v>
      </c>
      <c r="N10" s="137" t="s">
        <v>193</v>
      </c>
      <c r="O10" s="137" t="s">
        <v>193</v>
      </c>
      <c r="P10" s="137" t="s">
        <v>193</v>
      </c>
      <c r="Q10" s="137" t="s">
        <v>193</v>
      </c>
      <c r="R10" s="137" t="s">
        <v>193</v>
      </c>
      <c r="S10" s="137">
        <v>59.558</v>
      </c>
      <c r="T10" s="137" t="s">
        <v>194</v>
      </c>
      <c r="U10" s="137" t="s">
        <v>193</v>
      </c>
      <c r="V10" s="137">
        <v>5.8920000000000003</v>
      </c>
      <c r="W10" s="137" t="s">
        <v>193</v>
      </c>
      <c r="X10" s="137" t="s">
        <v>193</v>
      </c>
      <c r="Y10" s="137" t="s">
        <v>193</v>
      </c>
      <c r="Z10" s="137">
        <v>2.61</v>
      </c>
      <c r="AA10" s="137" t="s">
        <v>193</v>
      </c>
      <c r="AB10" s="137" t="s">
        <v>193</v>
      </c>
      <c r="AC10" s="137" t="s">
        <v>193</v>
      </c>
      <c r="AD10" s="137" t="s">
        <v>193</v>
      </c>
      <c r="AE10" s="137" t="s">
        <v>199</v>
      </c>
      <c r="AF10" s="137" t="s">
        <v>193</v>
      </c>
      <c r="AG10" s="137">
        <v>0.44600000000000001</v>
      </c>
      <c r="AH10" s="137">
        <v>13.744</v>
      </c>
      <c r="AI10" s="137" t="s">
        <v>193</v>
      </c>
      <c r="AJ10" s="137" t="s">
        <v>193</v>
      </c>
      <c r="AK10" s="137" t="s">
        <v>193</v>
      </c>
      <c r="AL10" s="137" t="s">
        <v>193</v>
      </c>
      <c r="AM10" s="137" t="s">
        <v>193</v>
      </c>
      <c r="AN10" s="137" t="s">
        <v>193</v>
      </c>
      <c r="AO10" s="137">
        <v>100</v>
      </c>
      <c r="AP10" s="137" t="s">
        <v>193</v>
      </c>
      <c r="AQ10" s="137" t="s">
        <v>193</v>
      </c>
      <c r="AR10" s="137" t="s">
        <v>193</v>
      </c>
      <c r="AV10" s="1">
        <f t="shared" si="5"/>
        <v>82.762</v>
      </c>
      <c r="AW10" s="1">
        <f t="shared" si="0"/>
        <v>77.930000000000007</v>
      </c>
      <c r="AX10" s="13">
        <f t="shared" si="6"/>
        <v>0.94161571735820793</v>
      </c>
      <c r="BA10" s="12">
        <f t="shared" si="1"/>
        <v>13.744</v>
      </c>
      <c r="BB10" s="12">
        <f t="shared" si="7"/>
        <v>13.744</v>
      </c>
      <c r="BC10" s="12">
        <f t="shared" si="2"/>
        <v>0</v>
      </c>
      <c r="BD10" s="12">
        <f t="shared" si="2"/>
        <v>0</v>
      </c>
      <c r="BE10" s="12">
        <f t="shared" si="2"/>
        <v>0</v>
      </c>
      <c r="BF10" s="12">
        <f t="shared" si="3"/>
        <v>0</v>
      </c>
      <c r="BJ10" s="12" t="str">
        <f t="shared" si="4"/>
        <v/>
      </c>
      <c r="BK10" s="12">
        <f>VLOOKUP(B10,Kraftvärmeprod!$B$1:$BH$549,MATCH($BA$1,Kraftvärmeprod!$B$1:$CC$1,0),FALSE)</f>
        <v>0</v>
      </c>
    </row>
    <row r="11" spans="1:63" ht="15" customHeight="1" x14ac:dyDescent="0.25">
      <c r="A11" s="137" t="s">
        <v>200</v>
      </c>
      <c r="B11" s="137" t="s">
        <v>201</v>
      </c>
      <c r="C11" s="137">
        <v>2018</v>
      </c>
      <c r="D11" s="137" t="s">
        <v>193</v>
      </c>
      <c r="E11" s="137" t="s">
        <v>193</v>
      </c>
      <c r="F11" s="137" t="s">
        <v>193</v>
      </c>
      <c r="G11" s="137" t="s">
        <v>193</v>
      </c>
      <c r="H11" s="137" t="s">
        <v>193</v>
      </c>
      <c r="I11" s="137" t="s">
        <v>193</v>
      </c>
      <c r="J11" s="137" t="s">
        <v>193</v>
      </c>
      <c r="K11" s="137" t="s">
        <v>193</v>
      </c>
      <c r="L11" s="137" t="s">
        <v>193</v>
      </c>
      <c r="M11" s="137" t="s">
        <v>53</v>
      </c>
      <c r="N11" s="137" t="s">
        <v>193</v>
      </c>
      <c r="O11" s="137" t="s">
        <v>193</v>
      </c>
      <c r="P11" s="137" t="s">
        <v>193</v>
      </c>
      <c r="Q11" s="137" t="s">
        <v>193</v>
      </c>
      <c r="R11" s="137" t="s">
        <v>193</v>
      </c>
      <c r="S11" s="137" t="s">
        <v>193</v>
      </c>
      <c r="T11" s="137" t="s">
        <v>193</v>
      </c>
      <c r="U11" s="137" t="s">
        <v>193</v>
      </c>
      <c r="V11" s="137" t="s">
        <v>193</v>
      </c>
      <c r="W11" s="137" t="s">
        <v>193</v>
      </c>
      <c r="X11" s="137" t="s">
        <v>193</v>
      </c>
      <c r="Y11" s="137" t="s">
        <v>193</v>
      </c>
      <c r="Z11" s="137" t="s">
        <v>193</v>
      </c>
      <c r="AA11" s="137" t="s">
        <v>193</v>
      </c>
      <c r="AB11" s="137" t="s">
        <v>193</v>
      </c>
      <c r="AC11" s="137" t="s">
        <v>193</v>
      </c>
      <c r="AD11" s="137" t="s">
        <v>193</v>
      </c>
      <c r="AE11" s="137" t="s">
        <v>53</v>
      </c>
      <c r="AF11" s="137" t="s">
        <v>193</v>
      </c>
      <c r="AG11" s="137" t="s">
        <v>193</v>
      </c>
      <c r="AH11" s="137" t="s">
        <v>193</v>
      </c>
      <c r="AI11" s="137" t="s">
        <v>193</v>
      </c>
      <c r="AJ11" s="137" t="s">
        <v>193</v>
      </c>
      <c r="AK11" s="137" t="s">
        <v>193</v>
      </c>
      <c r="AL11" s="137" t="s">
        <v>193</v>
      </c>
      <c r="AM11" s="137" t="s">
        <v>193</v>
      </c>
      <c r="AN11" s="137" t="s">
        <v>53</v>
      </c>
      <c r="AO11" s="137" t="s">
        <v>193</v>
      </c>
      <c r="AP11" s="137" t="s">
        <v>193</v>
      </c>
      <c r="AQ11" s="137" t="s">
        <v>193</v>
      </c>
      <c r="AR11" s="137" t="s">
        <v>193</v>
      </c>
      <c r="AV11" s="1">
        <f t="shared" si="5"/>
        <v>0</v>
      </c>
      <c r="AW11" s="1">
        <f t="shared" si="0"/>
        <v>0</v>
      </c>
      <c r="AX11" s="13" t="str">
        <f t="shared" si="6"/>
        <v/>
      </c>
      <c r="BA11" s="12">
        <f t="shared" si="1"/>
        <v>0</v>
      </c>
      <c r="BB11" s="12">
        <f t="shared" si="7"/>
        <v>0</v>
      </c>
      <c r="BC11" s="12">
        <f t="shared" si="2"/>
        <v>0</v>
      </c>
      <c r="BD11" s="12">
        <f t="shared" si="2"/>
        <v>0</v>
      </c>
      <c r="BE11" s="12">
        <f t="shared" si="2"/>
        <v>0</v>
      </c>
      <c r="BF11" s="12">
        <f t="shared" si="3"/>
        <v>0</v>
      </c>
      <c r="BJ11" s="12" t="str">
        <f t="shared" si="4"/>
        <v/>
      </c>
      <c r="BK11" s="12">
        <f>VLOOKUP(B11,Kraftvärmeprod!$B$1:$BH$549,MATCH($BA$1,Kraftvärmeprod!$B$1:$CC$1,0),FALSE)</f>
        <v>0</v>
      </c>
    </row>
    <row r="12" spans="1:63" ht="15" customHeight="1" x14ac:dyDescent="0.25">
      <c r="A12" s="137" t="s">
        <v>200</v>
      </c>
      <c r="B12" s="137" t="s">
        <v>202</v>
      </c>
      <c r="C12" s="137">
        <v>2018</v>
      </c>
      <c r="D12" s="137">
        <v>22.5</v>
      </c>
      <c r="E12" s="137">
        <v>26.1</v>
      </c>
      <c r="F12" s="137" t="s">
        <v>193</v>
      </c>
      <c r="G12" s="137">
        <v>0.3</v>
      </c>
      <c r="H12" s="137" t="s">
        <v>193</v>
      </c>
      <c r="I12" s="137" t="s">
        <v>193</v>
      </c>
      <c r="J12" s="137" t="s">
        <v>193</v>
      </c>
      <c r="K12" s="137" t="s">
        <v>193</v>
      </c>
      <c r="L12" s="137" t="s">
        <v>193</v>
      </c>
      <c r="M12" s="137" t="s">
        <v>53</v>
      </c>
      <c r="N12" s="137" t="s">
        <v>193</v>
      </c>
      <c r="O12" s="137">
        <v>7</v>
      </c>
      <c r="P12" s="137">
        <v>15</v>
      </c>
      <c r="Q12" s="137">
        <v>0</v>
      </c>
      <c r="R12" s="137">
        <v>0</v>
      </c>
      <c r="S12" s="137">
        <v>0</v>
      </c>
      <c r="T12" s="137" t="s">
        <v>194</v>
      </c>
      <c r="U12" s="137">
        <v>3.8</v>
      </c>
      <c r="V12" s="137" t="s">
        <v>193</v>
      </c>
      <c r="W12" s="137" t="s">
        <v>193</v>
      </c>
      <c r="X12" s="137" t="s">
        <v>193</v>
      </c>
      <c r="Y12" s="137" t="s">
        <v>193</v>
      </c>
      <c r="Z12" s="137" t="s">
        <v>193</v>
      </c>
      <c r="AA12" s="137" t="s">
        <v>193</v>
      </c>
      <c r="AB12" s="137" t="s">
        <v>193</v>
      </c>
      <c r="AC12" s="137" t="s">
        <v>193</v>
      </c>
      <c r="AD12" s="137" t="s">
        <v>193</v>
      </c>
      <c r="AE12" s="137" t="s">
        <v>53</v>
      </c>
      <c r="AF12" s="137" t="s">
        <v>193</v>
      </c>
      <c r="AG12" s="137" t="s">
        <v>193</v>
      </c>
      <c r="AH12" s="137" t="s">
        <v>193</v>
      </c>
      <c r="AI12" s="137" t="s">
        <v>193</v>
      </c>
      <c r="AJ12" s="137" t="s">
        <v>193</v>
      </c>
      <c r="AK12" s="137" t="s">
        <v>193</v>
      </c>
      <c r="AL12" s="137" t="s">
        <v>193</v>
      </c>
      <c r="AM12" s="137" t="s">
        <v>193</v>
      </c>
      <c r="AN12" s="137" t="s">
        <v>53</v>
      </c>
      <c r="AO12" s="137" t="s">
        <v>193</v>
      </c>
      <c r="AP12" s="137" t="s">
        <v>193</v>
      </c>
      <c r="AQ12" s="137" t="s">
        <v>193</v>
      </c>
      <c r="AR12" s="137" t="s">
        <v>193</v>
      </c>
      <c r="AV12" s="1">
        <f t="shared" si="5"/>
        <v>26.1</v>
      </c>
      <c r="AW12" s="1">
        <f t="shared" si="0"/>
        <v>22.5</v>
      </c>
      <c r="AX12" s="13">
        <f t="shared" si="6"/>
        <v>0.86206896551724133</v>
      </c>
      <c r="BA12" s="12">
        <f t="shared" si="1"/>
        <v>0</v>
      </c>
      <c r="BB12" s="12">
        <f t="shared" si="7"/>
        <v>0</v>
      </c>
      <c r="BC12" s="12">
        <f t="shared" si="2"/>
        <v>0</v>
      </c>
      <c r="BD12" s="12">
        <f t="shared" si="2"/>
        <v>0</v>
      </c>
      <c r="BE12" s="12">
        <f t="shared" si="2"/>
        <v>0</v>
      </c>
      <c r="BF12" s="12">
        <f t="shared" si="3"/>
        <v>0</v>
      </c>
      <c r="BJ12" s="12" t="str">
        <f t="shared" si="4"/>
        <v/>
      </c>
      <c r="BK12" s="12">
        <f>VLOOKUP(B12,Kraftvärmeprod!$B$1:$BH$549,MATCH($BA$1,Kraftvärmeprod!$B$1:$CC$1,0),FALSE)</f>
        <v>0</v>
      </c>
    </row>
    <row r="13" spans="1:63" ht="15" customHeight="1" x14ac:dyDescent="0.25">
      <c r="A13" s="137" t="s">
        <v>200</v>
      </c>
      <c r="B13" s="137" t="s">
        <v>203</v>
      </c>
      <c r="C13" s="137">
        <v>2018</v>
      </c>
      <c r="D13" s="137">
        <v>3.8</v>
      </c>
      <c r="E13" s="137">
        <v>4.7</v>
      </c>
      <c r="F13" s="137" t="s">
        <v>193</v>
      </c>
      <c r="G13" s="137">
        <v>0.2</v>
      </c>
      <c r="H13" s="137" t="s">
        <v>193</v>
      </c>
      <c r="I13" s="137" t="s">
        <v>193</v>
      </c>
      <c r="J13" s="137" t="s">
        <v>193</v>
      </c>
      <c r="K13" s="137" t="s">
        <v>193</v>
      </c>
      <c r="L13" s="137" t="s">
        <v>193</v>
      </c>
      <c r="M13" s="137" t="s">
        <v>53</v>
      </c>
      <c r="N13" s="137">
        <v>0</v>
      </c>
      <c r="O13" s="137">
        <v>0</v>
      </c>
      <c r="P13" s="137">
        <v>4.5</v>
      </c>
      <c r="Q13" s="137">
        <v>0</v>
      </c>
      <c r="R13" s="137">
        <v>0</v>
      </c>
      <c r="S13" s="137">
        <v>0</v>
      </c>
      <c r="T13" s="137" t="s">
        <v>194</v>
      </c>
      <c r="U13" s="137">
        <v>0</v>
      </c>
      <c r="V13" s="137">
        <v>0</v>
      </c>
      <c r="W13" s="137" t="s">
        <v>193</v>
      </c>
      <c r="X13" s="137" t="s">
        <v>193</v>
      </c>
      <c r="Y13" s="137" t="s">
        <v>193</v>
      </c>
      <c r="Z13" s="137" t="s">
        <v>193</v>
      </c>
      <c r="AA13" s="137" t="s">
        <v>193</v>
      </c>
      <c r="AB13" s="137">
        <v>0</v>
      </c>
      <c r="AC13" s="137">
        <v>0</v>
      </c>
      <c r="AD13" s="137" t="s">
        <v>193</v>
      </c>
      <c r="AE13" s="137" t="s">
        <v>53</v>
      </c>
      <c r="AF13" s="137" t="s">
        <v>193</v>
      </c>
      <c r="AG13" s="137" t="s">
        <v>193</v>
      </c>
      <c r="AH13" s="137" t="s">
        <v>193</v>
      </c>
      <c r="AI13" s="137" t="s">
        <v>193</v>
      </c>
      <c r="AJ13" s="137" t="s">
        <v>193</v>
      </c>
      <c r="AK13" s="137" t="s">
        <v>193</v>
      </c>
      <c r="AL13" s="137" t="s">
        <v>193</v>
      </c>
      <c r="AM13" s="137" t="s">
        <v>193</v>
      </c>
      <c r="AN13" s="137" t="s">
        <v>53</v>
      </c>
      <c r="AO13" s="137" t="s">
        <v>193</v>
      </c>
      <c r="AP13" s="137" t="s">
        <v>193</v>
      </c>
      <c r="AQ13" s="137" t="s">
        <v>193</v>
      </c>
      <c r="AR13" s="137" t="s">
        <v>193</v>
      </c>
      <c r="AV13" s="1">
        <f t="shared" si="5"/>
        <v>4.7</v>
      </c>
      <c r="AW13" s="1">
        <f t="shared" si="0"/>
        <v>3.8</v>
      </c>
      <c r="AX13" s="13">
        <f t="shared" si="6"/>
        <v>0.80851063829787229</v>
      </c>
      <c r="BA13" s="12">
        <f t="shared" si="1"/>
        <v>0</v>
      </c>
      <c r="BB13" s="12">
        <f t="shared" si="7"/>
        <v>0</v>
      </c>
      <c r="BC13" s="12">
        <f t="shared" si="2"/>
        <v>0</v>
      </c>
      <c r="BD13" s="12">
        <f t="shared" si="2"/>
        <v>0</v>
      </c>
      <c r="BE13" s="12">
        <f t="shared" si="2"/>
        <v>0</v>
      </c>
      <c r="BF13" s="12">
        <f t="shared" si="3"/>
        <v>0</v>
      </c>
      <c r="BJ13" s="12" t="str">
        <f t="shared" si="4"/>
        <v/>
      </c>
      <c r="BK13" s="12">
        <f>VLOOKUP(B13,Kraftvärmeprod!$B$1:$BH$549,MATCH($BA$1,Kraftvärmeprod!$B$1:$CC$1,0),FALSE)</f>
        <v>0</v>
      </c>
    </row>
    <row r="14" spans="1:63" ht="15" customHeight="1" x14ac:dyDescent="0.25">
      <c r="A14" s="137" t="s">
        <v>200</v>
      </c>
      <c r="B14" s="137" t="s">
        <v>204</v>
      </c>
      <c r="C14" s="137">
        <v>2018</v>
      </c>
      <c r="D14" s="137">
        <v>6.6</v>
      </c>
      <c r="E14" s="137">
        <v>9.1999999999999993</v>
      </c>
      <c r="F14" s="137" t="s">
        <v>193</v>
      </c>
      <c r="G14" s="137">
        <v>0.8</v>
      </c>
      <c r="H14" s="137" t="s">
        <v>193</v>
      </c>
      <c r="I14" s="137" t="s">
        <v>193</v>
      </c>
      <c r="J14" s="137" t="s">
        <v>193</v>
      </c>
      <c r="K14" s="137" t="s">
        <v>193</v>
      </c>
      <c r="L14" s="137" t="s">
        <v>193</v>
      </c>
      <c r="M14" s="137" t="s">
        <v>53</v>
      </c>
      <c r="N14" s="137">
        <v>0</v>
      </c>
      <c r="O14" s="137">
        <v>0</v>
      </c>
      <c r="P14" s="137">
        <v>0</v>
      </c>
      <c r="Q14" s="137">
        <v>8.4</v>
      </c>
      <c r="R14" s="137">
        <v>0</v>
      </c>
      <c r="S14" s="137">
        <v>0</v>
      </c>
      <c r="T14" s="137" t="s">
        <v>194</v>
      </c>
      <c r="U14" s="137">
        <v>0</v>
      </c>
      <c r="V14" s="137">
        <v>0</v>
      </c>
      <c r="W14" s="137" t="s">
        <v>193</v>
      </c>
      <c r="X14" s="137" t="s">
        <v>193</v>
      </c>
      <c r="Y14" s="137" t="s">
        <v>193</v>
      </c>
      <c r="Z14" s="137" t="s">
        <v>193</v>
      </c>
      <c r="AA14" s="137" t="s">
        <v>193</v>
      </c>
      <c r="AB14" s="137">
        <v>0</v>
      </c>
      <c r="AC14" s="137">
        <v>0</v>
      </c>
      <c r="AD14" s="137" t="s">
        <v>193</v>
      </c>
      <c r="AE14" s="137" t="s">
        <v>53</v>
      </c>
      <c r="AF14" s="137" t="s">
        <v>193</v>
      </c>
      <c r="AG14" s="137" t="s">
        <v>193</v>
      </c>
      <c r="AH14" s="137" t="s">
        <v>193</v>
      </c>
      <c r="AI14" s="137" t="s">
        <v>193</v>
      </c>
      <c r="AJ14" s="137" t="s">
        <v>193</v>
      </c>
      <c r="AK14" s="137" t="s">
        <v>193</v>
      </c>
      <c r="AL14" s="137" t="s">
        <v>193</v>
      </c>
      <c r="AM14" s="137" t="s">
        <v>193</v>
      </c>
      <c r="AN14" s="137" t="s">
        <v>53</v>
      </c>
      <c r="AO14" s="137" t="s">
        <v>193</v>
      </c>
      <c r="AP14" s="137" t="s">
        <v>193</v>
      </c>
      <c r="AQ14" s="137" t="s">
        <v>193</v>
      </c>
      <c r="AR14" s="137" t="s">
        <v>193</v>
      </c>
      <c r="AV14" s="1">
        <f t="shared" si="5"/>
        <v>9.2000000000000011</v>
      </c>
      <c r="AW14" s="1">
        <f t="shared" si="0"/>
        <v>6.6</v>
      </c>
      <c r="AX14" s="13">
        <f t="shared" si="6"/>
        <v>0.71739130434782594</v>
      </c>
      <c r="BA14" s="12">
        <f t="shared" si="1"/>
        <v>0</v>
      </c>
      <c r="BB14" s="12">
        <f t="shared" si="7"/>
        <v>0</v>
      </c>
      <c r="BC14" s="12">
        <f t="shared" si="2"/>
        <v>0</v>
      </c>
      <c r="BD14" s="12">
        <f t="shared" si="2"/>
        <v>0</v>
      </c>
      <c r="BE14" s="12">
        <f t="shared" si="2"/>
        <v>0</v>
      </c>
      <c r="BF14" s="12">
        <f t="shared" si="3"/>
        <v>0</v>
      </c>
      <c r="BJ14" s="12" t="str">
        <f t="shared" si="4"/>
        <v/>
      </c>
      <c r="BK14" s="12">
        <f>VLOOKUP(B14,Kraftvärmeprod!$B$1:$BH$549,MATCH($BA$1,Kraftvärmeprod!$B$1:$CC$1,0),FALSE)</f>
        <v>0</v>
      </c>
    </row>
    <row r="15" spans="1:63" ht="15" customHeight="1" x14ac:dyDescent="0.25">
      <c r="A15" s="137" t="s">
        <v>200</v>
      </c>
      <c r="B15" s="137" t="s">
        <v>205</v>
      </c>
      <c r="C15" s="137">
        <v>2018</v>
      </c>
      <c r="D15" s="137">
        <v>9.1999999999999993</v>
      </c>
      <c r="E15" s="137">
        <v>12</v>
      </c>
      <c r="F15" s="137" t="s">
        <v>193</v>
      </c>
      <c r="G15" s="137">
        <v>0.2</v>
      </c>
      <c r="H15" s="137" t="s">
        <v>193</v>
      </c>
      <c r="I15" s="137" t="s">
        <v>193</v>
      </c>
      <c r="J15" s="137" t="s">
        <v>193</v>
      </c>
      <c r="K15" s="137" t="s">
        <v>193</v>
      </c>
      <c r="L15" s="137" t="s">
        <v>193</v>
      </c>
      <c r="M15" s="137" t="s">
        <v>53</v>
      </c>
      <c r="N15" s="137">
        <v>0</v>
      </c>
      <c r="O15" s="137">
        <v>5.9</v>
      </c>
      <c r="P15" s="137">
        <v>5.9</v>
      </c>
      <c r="Q15" s="137">
        <v>0</v>
      </c>
      <c r="R15" s="137">
        <v>0</v>
      </c>
      <c r="S15" s="137">
        <v>0</v>
      </c>
      <c r="T15" s="137" t="s">
        <v>194</v>
      </c>
      <c r="U15" s="137">
        <v>0</v>
      </c>
      <c r="V15" s="137">
        <v>0</v>
      </c>
      <c r="W15" s="137" t="s">
        <v>193</v>
      </c>
      <c r="X15" s="137" t="s">
        <v>193</v>
      </c>
      <c r="Y15" s="137" t="s">
        <v>193</v>
      </c>
      <c r="Z15" s="137" t="s">
        <v>193</v>
      </c>
      <c r="AA15" s="137" t="s">
        <v>193</v>
      </c>
      <c r="AB15" s="137">
        <v>0</v>
      </c>
      <c r="AC15" s="137">
        <v>0</v>
      </c>
      <c r="AD15" s="137" t="s">
        <v>193</v>
      </c>
      <c r="AE15" s="137" t="s">
        <v>53</v>
      </c>
      <c r="AF15" s="137" t="s">
        <v>193</v>
      </c>
      <c r="AG15" s="137" t="s">
        <v>193</v>
      </c>
      <c r="AH15" s="137" t="s">
        <v>193</v>
      </c>
      <c r="AI15" s="137" t="s">
        <v>193</v>
      </c>
      <c r="AJ15" s="137" t="s">
        <v>193</v>
      </c>
      <c r="AK15" s="137" t="s">
        <v>193</v>
      </c>
      <c r="AL15" s="137" t="s">
        <v>193</v>
      </c>
      <c r="AM15" s="137" t="s">
        <v>193</v>
      </c>
      <c r="AN15" s="137" t="s">
        <v>53</v>
      </c>
      <c r="AO15" s="137" t="s">
        <v>193</v>
      </c>
      <c r="AP15" s="137" t="s">
        <v>193</v>
      </c>
      <c r="AQ15" s="137" t="s">
        <v>193</v>
      </c>
      <c r="AR15" s="137" t="s">
        <v>193</v>
      </c>
      <c r="AV15" s="1">
        <f t="shared" si="5"/>
        <v>12</v>
      </c>
      <c r="AW15" s="1">
        <f t="shared" si="0"/>
        <v>9.1999999999999993</v>
      </c>
      <c r="AX15" s="13">
        <f t="shared" si="6"/>
        <v>0.76666666666666661</v>
      </c>
      <c r="BA15" s="12">
        <f t="shared" si="1"/>
        <v>0</v>
      </c>
      <c r="BB15" s="12">
        <f t="shared" si="7"/>
        <v>0</v>
      </c>
      <c r="BC15" s="12">
        <f t="shared" si="2"/>
        <v>0</v>
      </c>
      <c r="BD15" s="12">
        <f t="shared" si="2"/>
        <v>0</v>
      </c>
      <c r="BE15" s="12">
        <f t="shared" si="2"/>
        <v>0</v>
      </c>
      <c r="BF15" s="12">
        <f t="shared" si="3"/>
        <v>0</v>
      </c>
      <c r="BJ15" s="12" t="str">
        <f t="shared" si="4"/>
        <v/>
      </c>
      <c r="BK15" s="12">
        <f>VLOOKUP(B15,Kraftvärmeprod!$B$1:$BH$549,MATCH($BA$1,Kraftvärmeprod!$B$1:$CC$1,0),FALSE)</f>
        <v>0</v>
      </c>
    </row>
    <row r="16" spans="1:63" ht="15" customHeight="1" x14ac:dyDescent="0.25">
      <c r="A16" s="137" t="s">
        <v>200</v>
      </c>
      <c r="B16" s="137" t="s">
        <v>206</v>
      </c>
      <c r="C16" s="137">
        <v>2018</v>
      </c>
      <c r="D16" s="137">
        <v>17.899999999999999</v>
      </c>
      <c r="E16" s="137">
        <v>22.02</v>
      </c>
      <c r="F16" s="137" t="s">
        <v>193</v>
      </c>
      <c r="G16" s="137">
        <v>0.22</v>
      </c>
      <c r="H16" s="137" t="s">
        <v>193</v>
      </c>
      <c r="I16" s="137" t="s">
        <v>193</v>
      </c>
      <c r="J16" s="137" t="s">
        <v>193</v>
      </c>
      <c r="K16" s="137" t="s">
        <v>193</v>
      </c>
      <c r="L16" s="137" t="s">
        <v>193</v>
      </c>
      <c r="M16" s="137" t="s">
        <v>53</v>
      </c>
      <c r="N16" s="137" t="s">
        <v>193</v>
      </c>
      <c r="O16" s="137">
        <v>17.3</v>
      </c>
      <c r="P16" s="137">
        <v>4.5</v>
      </c>
      <c r="Q16" s="137" t="s">
        <v>193</v>
      </c>
      <c r="R16" s="137" t="s">
        <v>193</v>
      </c>
      <c r="S16" s="137" t="s">
        <v>193</v>
      </c>
      <c r="T16" s="137" t="s">
        <v>193</v>
      </c>
      <c r="U16" s="137" t="s">
        <v>193</v>
      </c>
      <c r="V16" s="137" t="s">
        <v>193</v>
      </c>
      <c r="W16" s="137" t="s">
        <v>193</v>
      </c>
      <c r="X16" s="137" t="s">
        <v>193</v>
      </c>
      <c r="Y16" s="137" t="s">
        <v>193</v>
      </c>
      <c r="Z16" s="137" t="s">
        <v>193</v>
      </c>
      <c r="AA16" s="137" t="s">
        <v>193</v>
      </c>
      <c r="AB16" s="137" t="s">
        <v>193</v>
      </c>
      <c r="AC16" s="137" t="s">
        <v>193</v>
      </c>
      <c r="AD16" s="137" t="s">
        <v>193</v>
      </c>
      <c r="AE16" s="137" t="s">
        <v>53</v>
      </c>
      <c r="AF16" s="137" t="s">
        <v>193</v>
      </c>
      <c r="AG16" s="137" t="s">
        <v>193</v>
      </c>
      <c r="AH16" s="137" t="s">
        <v>193</v>
      </c>
      <c r="AI16" s="137" t="s">
        <v>193</v>
      </c>
      <c r="AJ16" s="137" t="s">
        <v>193</v>
      </c>
      <c r="AK16" s="137" t="s">
        <v>193</v>
      </c>
      <c r="AL16" s="137" t="s">
        <v>193</v>
      </c>
      <c r="AM16" s="137" t="s">
        <v>193</v>
      </c>
      <c r="AN16" s="137" t="s">
        <v>53</v>
      </c>
      <c r="AO16" s="137" t="s">
        <v>193</v>
      </c>
      <c r="AP16" s="137" t="s">
        <v>193</v>
      </c>
      <c r="AQ16" s="137" t="s">
        <v>193</v>
      </c>
      <c r="AR16" s="137" t="s">
        <v>193</v>
      </c>
      <c r="AV16" s="1">
        <f t="shared" si="5"/>
        <v>22.02</v>
      </c>
      <c r="AW16" s="1">
        <f t="shared" si="0"/>
        <v>17.899999999999999</v>
      </c>
      <c r="AX16" s="13">
        <f t="shared" si="6"/>
        <v>0.81289736603088092</v>
      </c>
      <c r="BA16" s="12">
        <f t="shared" si="1"/>
        <v>0</v>
      </c>
      <c r="BB16" s="12">
        <f t="shared" si="7"/>
        <v>0</v>
      </c>
      <c r="BC16" s="12">
        <f t="shared" si="2"/>
        <v>0</v>
      </c>
      <c r="BD16" s="12">
        <f t="shared" si="2"/>
        <v>0</v>
      </c>
      <c r="BE16" s="12">
        <f t="shared" si="2"/>
        <v>0</v>
      </c>
      <c r="BF16" s="12">
        <f t="shared" si="3"/>
        <v>0</v>
      </c>
      <c r="BJ16" s="12" t="str">
        <f t="shared" si="4"/>
        <v/>
      </c>
      <c r="BK16" s="12">
        <f>VLOOKUP(B16,Kraftvärmeprod!$B$1:$BH$549,MATCH($BA$1,Kraftvärmeprod!$B$1:$CC$1,0),FALSE)</f>
        <v>0</v>
      </c>
    </row>
    <row r="17" spans="1:63" ht="15" customHeight="1" x14ac:dyDescent="0.25">
      <c r="A17" s="137" t="s">
        <v>200</v>
      </c>
      <c r="B17" s="137" t="s">
        <v>207</v>
      </c>
      <c r="C17" s="137">
        <v>2018</v>
      </c>
      <c r="D17" s="137">
        <v>4.5999999999999996</v>
      </c>
      <c r="E17" s="137">
        <v>5</v>
      </c>
      <c r="F17" s="137" t="s">
        <v>193</v>
      </c>
      <c r="G17" s="137">
        <v>0.8</v>
      </c>
      <c r="H17" s="137" t="s">
        <v>193</v>
      </c>
      <c r="I17" s="137" t="s">
        <v>193</v>
      </c>
      <c r="J17" s="137" t="s">
        <v>193</v>
      </c>
      <c r="K17" s="137" t="s">
        <v>193</v>
      </c>
      <c r="L17" s="137" t="s">
        <v>193</v>
      </c>
      <c r="M17" s="137" t="s">
        <v>53</v>
      </c>
      <c r="N17" s="137">
        <v>0</v>
      </c>
      <c r="O17" s="137">
        <v>0</v>
      </c>
      <c r="P17" s="137">
        <v>0</v>
      </c>
      <c r="Q17" s="137">
        <v>0</v>
      </c>
      <c r="R17" s="137" t="s">
        <v>193</v>
      </c>
      <c r="S17" s="137" t="s">
        <v>193</v>
      </c>
      <c r="T17" s="137" t="s">
        <v>193</v>
      </c>
      <c r="U17" s="137">
        <v>4.2</v>
      </c>
      <c r="V17" s="137">
        <v>0</v>
      </c>
      <c r="W17" s="137">
        <v>0</v>
      </c>
      <c r="X17" s="137" t="s">
        <v>193</v>
      </c>
      <c r="Y17" s="137" t="s">
        <v>193</v>
      </c>
      <c r="Z17" s="137" t="s">
        <v>193</v>
      </c>
      <c r="AA17" s="137" t="s">
        <v>193</v>
      </c>
      <c r="AB17" s="137" t="s">
        <v>193</v>
      </c>
      <c r="AC17" s="137" t="s">
        <v>193</v>
      </c>
      <c r="AD17" s="137" t="s">
        <v>193</v>
      </c>
      <c r="AE17" s="137" t="s">
        <v>53</v>
      </c>
      <c r="AF17" s="137" t="s">
        <v>193</v>
      </c>
      <c r="AG17" s="137" t="s">
        <v>193</v>
      </c>
      <c r="AH17" s="137" t="s">
        <v>193</v>
      </c>
      <c r="AI17" s="137" t="s">
        <v>193</v>
      </c>
      <c r="AJ17" s="137" t="s">
        <v>193</v>
      </c>
      <c r="AK17" s="137" t="s">
        <v>193</v>
      </c>
      <c r="AL17" s="137" t="s">
        <v>193</v>
      </c>
      <c r="AM17" s="137" t="s">
        <v>193</v>
      </c>
      <c r="AN17" s="137" t="s">
        <v>53</v>
      </c>
      <c r="AO17" s="137" t="s">
        <v>193</v>
      </c>
      <c r="AP17" s="137" t="s">
        <v>193</v>
      </c>
      <c r="AQ17" s="137" t="s">
        <v>193</v>
      </c>
      <c r="AR17" s="137" t="s">
        <v>193</v>
      </c>
      <c r="AV17" s="1">
        <f t="shared" si="5"/>
        <v>5</v>
      </c>
      <c r="AW17" s="1">
        <f t="shared" si="0"/>
        <v>4.5999999999999996</v>
      </c>
      <c r="AX17" s="13">
        <f t="shared" si="6"/>
        <v>0.91999999999999993</v>
      </c>
      <c r="BA17" s="12">
        <f t="shared" si="1"/>
        <v>0</v>
      </c>
      <c r="BB17" s="12">
        <f t="shared" si="7"/>
        <v>0</v>
      </c>
      <c r="BC17" s="12">
        <f t="shared" si="7"/>
        <v>0</v>
      </c>
      <c r="BD17" s="12">
        <f t="shared" si="7"/>
        <v>0</v>
      </c>
      <c r="BE17" s="12">
        <f t="shared" si="7"/>
        <v>0</v>
      </c>
      <c r="BF17" s="12">
        <f t="shared" si="3"/>
        <v>0</v>
      </c>
      <c r="BJ17" s="12" t="str">
        <f t="shared" si="4"/>
        <v/>
      </c>
      <c r="BK17" s="12">
        <f>VLOOKUP(B17,Kraftvärmeprod!$B$1:$BH$549,MATCH($BA$1,Kraftvärmeprod!$B$1:$CC$1,0),FALSE)</f>
        <v>0</v>
      </c>
    </row>
    <row r="18" spans="1:63" ht="15" customHeight="1" x14ac:dyDescent="0.25">
      <c r="A18" s="137" t="s">
        <v>200</v>
      </c>
      <c r="B18" s="137" t="s">
        <v>208</v>
      </c>
      <c r="C18" s="137">
        <v>2018</v>
      </c>
      <c r="D18" s="137">
        <v>2.1</v>
      </c>
      <c r="E18" s="137">
        <v>2.2999999999999998</v>
      </c>
      <c r="F18" s="137" t="s">
        <v>193</v>
      </c>
      <c r="G18" s="137">
        <v>0</v>
      </c>
      <c r="H18" s="137" t="s">
        <v>193</v>
      </c>
      <c r="I18" s="137" t="s">
        <v>193</v>
      </c>
      <c r="J18" s="137" t="s">
        <v>193</v>
      </c>
      <c r="K18" s="137" t="s">
        <v>193</v>
      </c>
      <c r="L18" s="137" t="s">
        <v>193</v>
      </c>
      <c r="M18" s="137" t="s">
        <v>53</v>
      </c>
      <c r="N18" s="137">
        <v>0</v>
      </c>
      <c r="O18" s="137">
        <v>0</v>
      </c>
      <c r="P18" s="137">
        <v>0</v>
      </c>
      <c r="Q18" s="137" t="s">
        <v>193</v>
      </c>
      <c r="R18" s="137" t="s">
        <v>193</v>
      </c>
      <c r="S18" s="137" t="s">
        <v>193</v>
      </c>
      <c r="T18" s="137" t="s">
        <v>194</v>
      </c>
      <c r="U18" s="137">
        <v>2.2999999999999998</v>
      </c>
      <c r="V18" s="137">
        <v>0</v>
      </c>
      <c r="W18" s="137">
        <v>0</v>
      </c>
      <c r="X18" s="137" t="s">
        <v>193</v>
      </c>
      <c r="Y18" s="137" t="s">
        <v>193</v>
      </c>
      <c r="Z18" s="137" t="s">
        <v>193</v>
      </c>
      <c r="AA18" s="137" t="s">
        <v>193</v>
      </c>
      <c r="AB18" s="137" t="s">
        <v>193</v>
      </c>
      <c r="AC18" s="137" t="s">
        <v>193</v>
      </c>
      <c r="AD18" s="137" t="s">
        <v>193</v>
      </c>
      <c r="AE18" s="137" t="s">
        <v>53</v>
      </c>
      <c r="AF18" s="137" t="s">
        <v>193</v>
      </c>
      <c r="AG18" s="137" t="s">
        <v>193</v>
      </c>
      <c r="AH18" s="137" t="s">
        <v>193</v>
      </c>
      <c r="AI18" s="137" t="s">
        <v>193</v>
      </c>
      <c r="AJ18" s="137" t="s">
        <v>193</v>
      </c>
      <c r="AK18" s="137" t="s">
        <v>193</v>
      </c>
      <c r="AL18" s="137" t="s">
        <v>193</v>
      </c>
      <c r="AM18" s="137" t="s">
        <v>193</v>
      </c>
      <c r="AN18" s="137" t="s">
        <v>53</v>
      </c>
      <c r="AO18" s="137" t="s">
        <v>193</v>
      </c>
      <c r="AP18" s="137" t="s">
        <v>193</v>
      </c>
      <c r="AQ18" s="137" t="s">
        <v>193</v>
      </c>
      <c r="AR18" s="137" t="s">
        <v>193</v>
      </c>
      <c r="AV18" s="1">
        <f t="shared" si="5"/>
        <v>2.2999999999999998</v>
      </c>
      <c r="AW18" s="1">
        <f t="shared" si="0"/>
        <v>2.1</v>
      </c>
      <c r="AX18" s="13">
        <f t="shared" si="6"/>
        <v>0.91304347826086962</v>
      </c>
      <c r="BA18" s="12">
        <f t="shared" si="1"/>
        <v>0</v>
      </c>
      <c r="BB18" s="12">
        <f t="shared" si="7"/>
        <v>0</v>
      </c>
      <c r="BC18" s="12">
        <f t="shared" si="7"/>
        <v>0</v>
      </c>
      <c r="BD18" s="12">
        <f t="shared" si="7"/>
        <v>0</v>
      </c>
      <c r="BE18" s="12">
        <f t="shared" si="7"/>
        <v>0</v>
      </c>
      <c r="BF18" s="12">
        <f t="shared" si="3"/>
        <v>0</v>
      </c>
      <c r="BJ18" s="12" t="str">
        <f t="shared" si="4"/>
        <v/>
      </c>
      <c r="BK18" s="12">
        <f>VLOOKUP(B18,Kraftvärmeprod!$B$1:$BH$549,MATCH($BA$1,Kraftvärmeprod!$B$1:$CC$1,0),FALSE)</f>
        <v>0</v>
      </c>
    </row>
    <row r="19" spans="1:63" ht="15" customHeight="1" x14ac:dyDescent="0.25">
      <c r="A19" s="137" t="s">
        <v>200</v>
      </c>
      <c r="B19" s="137" t="s">
        <v>209</v>
      </c>
      <c r="C19" s="137">
        <v>2018</v>
      </c>
      <c r="D19" s="137">
        <v>6.5</v>
      </c>
      <c r="E19" s="137">
        <v>8</v>
      </c>
      <c r="F19" s="137" t="s">
        <v>193</v>
      </c>
      <c r="G19" s="137">
        <v>0</v>
      </c>
      <c r="H19" s="137" t="s">
        <v>193</v>
      </c>
      <c r="I19" s="137" t="s">
        <v>193</v>
      </c>
      <c r="J19" s="137" t="s">
        <v>193</v>
      </c>
      <c r="K19" s="137" t="s">
        <v>193</v>
      </c>
      <c r="L19" s="137" t="s">
        <v>193</v>
      </c>
      <c r="M19" s="137" t="s">
        <v>53</v>
      </c>
      <c r="N19" s="137">
        <v>0</v>
      </c>
      <c r="O19" s="137">
        <v>2.8</v>
      </c>
      <c r="P19" s="137">
        <v>4.4000000000000004</v>
      </c>
      <c r="Q19" s="137">
        <v>0</v>
      </c>
      <c r="R19" s="137">
        <v>0</v>
      </c>
      <c r="S19" s="137">
        <v>0</v>
      </c>
      <c r="T19" s="137" t="s">
        <v>194</v>
      </c>
      <c r="U19" s="137">
        <v>0.8</v>
      </c>
      <c r="V19" s="137">
        <v>0</v>
      </c>
      <c r="W19" s="137">
        <v>0</v>
      </c>
      <c r="X19" s="137">
        <v>0</v>
      </c>
      <c r="Y19" s="137" t="s">
        <v>193</v>
      </c>
      <c r="Z19" s="137" t="s">
        <v>193</v>
      </c>
      <c r="AA19" s="137" t="s">
        <v>193</v>
      </c>
      <c r="AB19" s="137" t="s">
        <v>193</v>
      </c>
      <c r="AC19" s="137" t="s">
        <v>193</v>
      </c>
      <c r="AD19" s="137" t="s">
        <v>193</v>
      </c>
      <c r="AE19" s="137" t="s">
        <v>53</v>
      </c>
      <c r="AF19" s="137" t="s">
        <v>193</v>
      </c>
      <c r="AG19" s="137" t="s">
        <v>193</v>
      </c>
      <c r="AH19" s="137" t="s">
        <v>193</v>
      </c>
      <c r="AI19" s="137" t="s">
        <v>193</v>
      </c>
      <c r="AJ19" s="137" t="s">
        <v>193</v>
      </c>
      <c r="AK19" s="137" t="s">
        <v>193</v>
      </c>
      <c r="AL19" s="137" t="s">
        <v>193</v>
      </c>
      <c r="AM19" s="137" t="s">
        <v>193</v>
      </c>
      <c r="AN19" s="137" t="s">
        <v>53</v>
      </c>
      <c r="AO19" s="137" t="s">
        <v>193</v>
      </c>
      <c r="AP19" s="137" t="s">
        <v>193</v>
      </c>
      <c r="AQ19" s="137" t="s">
        <v>193</v>
      </c>
      <c r="AR19" s="137" t="s">
        <v>193</v>
      </c>
      <c r="AV19" s="1">
        <f t="shared" si="5"/>
        <v>8</v>
      </c>
      <c r="AW19" s="1">
        <f t="shared" si="0"/>
        <v>6.5</v>
      </c>
      <c r="AX19" s="13">
        <f t="shared" si="6"/>
        <v>0.8125</v>
      </c>
      <c r="BA19" s="12">
        <f t="shared" si="1"/>
        <v>0</v>
      </c>
      <c r="BB19" s="12">
        <f t="shared" si="7"/>
        <v>0</v>
      </c>
      <c r="BC19" s="12">
        <f t="shared" si="7"/>
        <v>0</v>
      </c>
      <c r="BD19" s="12">
        <f t="shared" si="7"/>
        <v>0</v>
      </c>
      <c r="BE19" s="12">
        <f t="shared" si="7"/>
        <v>0</v>
      </c>
      <c r="BF19" s="12">
        <f t="shared" si="3"/>
        <v>0</v>
      </c>
      <c r="BJ19" s="12" t="str">
        <f t="shared" si="4"/>
        <v/>
      </c>
      <c r="BK19" s="12">
        <f>VLOOKUP(B19,Kraftvärmeprod!$B$1:$BH$549,MATCH($BA$1,Kraftvärmeprod!$B$1:$CC$1,0),FALSE)</f>
        <v>0</v>
      </c>
    </row>
    <row r="20" spans="1:63" ht="15" customHeight="1" x14ac:dyDescent="0.25">
      <c r="A20" s="137" t="s">
        <v>200</v>
      </c>
      <c r="B20" s="137" t="s">
        <v>210</v>
      </c>
      <c r="C20" s="137">
        <v>2018</v>
      </c>
      <c r="D20" s="137">
        <v>4.4000000000000004</v>
      </c>
      <c r="E20" s="137">
        <v>5.4</v>
      </c>
      <c r="F20" s="137" t="s">
        <v>193</v>
      </c>
      <c r="G20" s="137">
        <v>0.1</v>
      </c>
      <c r="H20" s="137" t="s">
        <v>193</v>
      </c>
      <c r="I20" s="137" t="s">
        <v>193</v>
      </c>
      <c r="J20" s="137" t="s">
        <v>193</v>
      </c>
      <c r="K20" s="137" t="s">
        <v>193</v>
      </c>
      <c r="L20" s="137" t="s">
        <v>193</v>
      </c>
      <c r="M20" s="137" t="s">
        <v>53</v>
      </c>
      <c r="N20" s="137" t="s">
        <v>193</v>
      </c>
      <c r="O20" s="137" t="s">
        <v>193</v>
      </c>
      <c r="P20" s="137">
        <v>5.3</v>
      </c>
      <c r="Q20" s="137" t="s">
        <v>193</v>
      </c>
      <c r="R20" s="137" t="s">
        <v>193</v>
      </c>
      <c r="S20" s="137" t="s">
        <v>193</v>
      </c>
      <c r="T20" s="137" t="s">
        <v>193</v>
      </c>
      <c r="U20" s="137" t="s">
        <v>193</v>
      </c>
      <c r="V20" s="137" t="s">
        <v>193</v>
      </c>
      <c r="W20" s="137" t="s">
        <v>193</v>
      </c>
      <c r="X20" s="137" t="s">
        <v>193</v>
      </c>
      <c r="Y20" s="137" t="s">
        <v>193</v>
      </c>
      <c r="Z20" s="137" t="s">
        <v>193</v>
      </c>
      <c r="AA20" s="137" t="s">
        <v>193</v>
      </c>
      <c r="AB20" s="137" t="s">
        <v>193</v>
      </c>
      <c r="AC20" s="137" t="s">
        <v>193</v>
      </c>
      <c r="AD20" s="137" t="s">
        <v>193</v>
      </c>
      <c r="AE20" s="137" t="s">
        <v>53</v>
      </c>
      <c r="AF20" s="137" t="s">
        <v>193</v>
      </c>
      <c r="AG20" s="137" t="s">
        <v>193</v>
      </c>
      <c r="AH20" s="137" t="s">
        <v>193</v>
      </c>
      <c r="AI20" s="137" t="s">
        <v>193</v>
      </c>
      <c r="AJ20" s="137" t="s">
        <v>193</v>
      </c>
      <c r="AK20" s="137" t="s">
        <v>193</v>
      </c>
      <c r="AL20" s="137" t="s">
        <v>193</v>
      </c>
      <c r="AM20" s="137" t="s">
        <v>193</v>
      </c>
      <c r="AN20" s="137" t="s">
        <v>53</v>
      </c>
      <c r="AO20" s="137" t="s">
        <v>193</v>
      </c>
      <c r="AP20" s="137" t="s">
        <v>193</v>
      </c>
      <c r="AQ20" s="137" t="s">
        <v>193</v>
      </c>
      <c r="AR20" s="137" t="s">
        <v>193</v>
      </c>
      <c r="AV20" s="1">
        <f t="shared" si="5"/>
        <v>5.3999999999999995</v>
      </c>
      <c r="AW20" s="1">
        <f t="shared" si="0"/>
        <v>4.4000000000000004</v>
      </c>
      <c r="AX20" s="13">
        <f t="shared" si="6"/>
        <v>0.81481481481481499</v>
      </c>
      <c r="BA20" s="12">
        <f t="shared" si="1"/>
        <v>0</v>
      </c>
      <c r="BB20" s="12">
        <f t="shared" si="7"/>
        <v>0</v>
      </c>
      <c r="BC20" s="12">
        <f t="shared" si="7"/>
        <v>0</v>
      </c>
      <c r="BD20" s="12">
        <f t="shared" si="7"/>
        <v>0</v>
      </c>
      <c r="BE20" s="12">
        <f t="shared" si="7"/>
        <v>0</v>
      </c>
      <c r="BF20" s="12">
        <f t="shared" si="3"/>
        <v>0</v>
      </c>
      <c r="BJ20" s="12" t="str">
        <f t="shared" si="4"/>
        <v/>
      </c>
      <c r="BK20" s="12">
        <f>VLOOKUP(B20,Kraftvärmeprod!$B$1:$BH$549,MATCH($BA$1,Kraftvärmeprod!$B$1:$CC$1,0),FALSE)</f>
        <v>0</v>
      </c>
    </row>
    <row r="21" spans="1:63" ht="15" customHeight="1" x14ac:dyDescent="0.25">
      <c r="A21" s="137" t="s">
        <v>211</v>
      </c>
      <c r="B21" s="137" t="s">
        <v>212</v>
      </c>
      <c r="C21" s="137">
        <v>2018</v>
      </c>
      <c r="D21" s="137">
        <v>0.42899999999999999</v>
      </c>
      <c r="E21" s="137">
        <v>0.58399999999999996</v>
      </c>
      <c r="F21" s="137" t="s">
        <v>193</v>
      </c>
      <c r="G21" s="137">
        <v>1.7999999999999999E-2</v>
      </c>
      <c r="H21" s="137" t="s">
        <v>193</v>
      </c>
      <c r="I21" s="137" t="s">
        <v>193</v>
      </c>
      <c r="J21" s="137" t="s">
        <v>193</v>
      </c>
      <c r="K21" s="137" t="s">
        <v>193</v>
      </c>
      <c r="L21" s="137" t="s">
        <v>193</v>
      </c>
      <c r="M21" s="137" t="s">
        <v>53</v>
      </c>
      <c r="N21" s="137" t="s">
        <v>193</v>
      </c>
      <c r="O21" s="137" t="s">
        <v>193</v>
      </c>
      <c r="P21" s="137" t="s">
        <v>193</v>
      </c>
      <c r="Q21" s="137" t="s">
        <v>193</v>
      </c>
      <c r="R21" s="137" t="s">
        <v>193</v>
      </c>
      <c r="S21" s="137" t="s">
        <v>193</v>
      </c>
      <c r="T21" s="137" t="s">
        <v>194</v>
      </c>
      <c r="U21" s="137">
        <v>0.56599999999999995</v>
      </c>
      <c r="V21" s="137" t="s">
        <v>193</v>
      </c>
      <c r="W21" s="137" t="s">
        <v>193</v>
      </c>
      <c r="X21" s="137" t="s">
        <v>193</v>
      </c>
      <c r="Y21" s="137" t="s">
        <v>193</v>
      </c>
      <c r="Z21" s="137" t="s">
        <v>193</v>
      </c>
      <c r="AA21" s="137" t="s">
        <v>193</v>
      </c>
      <c r="AB21" s="137" t="s">
        <v>193</v>
      </c>
      <c r="AC21" s="137" t="s">
        <v>193</v>
      </c>
      <c r="AD21" s="137" t="s">
        <v>193</v>
      </c>
      <c r="AE21" s="137" t="s">
        <v>199</v>
      </c>
      <c r="AF21" s="137" t="s">
        <v>193</v>
      </c>
      <c r="AG21" s="137" t="s">
        <v>193</v>
      </c>
      <c r="AH21" s="137" t="s">
        <v>193</v>
      </c>
      <c r="AI21" s="137" t="s">
        <v>193</v>
      </c>
      <c r="AJ21" s="137" t="s">
        <v>193</v>
      </c>
      <c r="AK21" s="137" t="s">
        <v>193</v>
      </c>
      <c r="AL21" s="137" t="s">
        <v>193</v>
      </c>
      <c r="AM21" s="137" t="s">
        <v>193</v>
      </c>
      <c r="AN21" s="137" t="s">
        <v>53</v>
      </c>
      <c r="AO21" s="137" t="s">
        <v>193</v>
      </c>
      <c r="AP21" s="137" t="s">
        <v>193</v>
      </c>
      <c r="AQ21" s="137" t="s">
        <v>193</v>
      </c>
      <c r="AR21" s="137" t="s">
        <v>193</v>
      </c>
      <c r="AV21" s="1">
        <f t="shared" si="5"/>
        <v>0.58399999999999996</v>
      </c>
      <c r="AW21" s="1">
        <f t="shared" si="0"/>
        <v>0.42899999999999999</v>
      </c>
      <c r="AX21" s="13">
        <f t="shared" si="6"/>
        <v>0.7345890410958904</v>
      </c>
      <c r="BA21" s="12">
        <f t="shared" si="1"/>
        <v>0</v>
      </c>
      <c r="BB21" s="12">
        <f t="shared" si="7"/>
        <v>0</v>
      </c>
      <c r="BC21" s="12">
        <f t="shared" si="7"/>
        <v>0</v>
      </c>
      <c r="BD21" s="12">
        <f t="shared" si="7"/>
        <v>0</v>
      </c>
      <c r="BE21" s="12">
        <f t="shared" si="7"/>
        <v>0</v>
      </c>
      <c r="BF21" s="12">
        <f t="shared" si="3"/>
        <v>0</v>
      </c>
      <c r="BJ21" s="12" t="str">
        <f t="shared" si="4"/>
        <v/>
      </c>
      <c r="BK21" s="12">
        <f>VLOOKUP(B21,Kraftvärmeprod!$B$1:$BH$549,MATCH($BA$1,Kraftvärmeprod!$B$1:$CC$1,0),FALSE)</f>
        <v>0</v>
      </c>
    </row>
    <row r="22" spans="1:63" ht="15" customHeight="1" x14ac:dyDescent="0.25">
      <c r="A22" s="137" t="s">
        <v>211</v>
      </c>
      <c r="B22" s="137" t="s">
        <v>213</v>
      </c>
      <c r="C22" s="137">
        <v>2018</v>
      </c>
      <c r="D22" s="137">
        <v>6.4409999999999998</v>
      </c>
      <c r="E22" s="137">
        <v>6.9690000000000003</v>
      </c>
      <c r="F22" s="137" t="s">
        <v>193</v>
      </c>
      <c r="G22" s="137">
        <v>4.8000000000000001E-2</v>
      </c>
      <c r="H22" s="137" t="s">
        <v>193</v>
      </c>
      <c r="I22" s="137" t="s">
        <v>193</v>
      </c>
      <c r="J22" s="137" t="s">
        <v>193</v>
      </c>
      <c r="K22" s="137" t="s">
        <v>193</v>
      </c>
      <c r="L22" s="137" t="s">
        <v>193</v>
      </c>
      <c r="M22" s="137" t="s">
        <v>53</v>
      </c>
      <c r="N22" s="137" t="s">
        <v>193</v>
      </c>
      <c r="O22" s="137" t="s">
        <v>193</v>
      </c>
      <c r="P22" s="137" t="s">
        <v>193</v>
      </c>
      <c r="Q22" s="137" t="s">
        <v>193</v>
      </c>
      <c r="R22" s="137" t="s">
        <v>193</v>
      </c>
      <c r="S22" s="137" t="s">
        <v>193</v>
      </c>
      <c r="T22" s="137" t="s">
        <v>193</v>
      </c>
      <c r="U22" s="137">
        <v>6.9210000000000003</v>
      </c>
      <c r="V22" s="137" t="s">
        <v>193</v>
      </c>
      <c r="W22" s="137" t="s">
        <v>193</v>
      </c>
      <c r="X22" s="137" t="s">
        <v>193</v>
      </c>
      <c r="Y22" s="137" t="s">
        <v>193</v>
      </c>
      <c r="Z22" s="137" t="s">
        <v>193</v>
      </c>
      <c r="AA22" s="137" t="s">
        <v>193</v>
      </c>
      <c r="AB22" s="137" t="s">
        <v>193</v>
      </c>
      <c r="AC22" s="137" t="s">
        <v>193</v>
      </c>
      <c r="AD22" s="137" t="s">
        <v>193</v>
      </c>
      <c r="AE22" s="137" t="s">
        <v>199</v>
      </c>
      <c r="AF22" s="137" t="s">
        <v>193</v>
      </c>
      <c r="AG22" s="137" t="s">
        <v>193</v>
      </c>
      <c r="AH22" s="137" t="s">
        <v>193</v>
      </c>
      <c r="AI22" s="137" t="s">
        <v>193</v>
      </c>
      <c r="AJ22" s="137" t="s">
        <v>193</v>
      </c>
      <c r="AK22" s="137" t="s">
        <v>193</v>
      </c>
      <c r="AL22" s="137" t="s">
        <v>193</v>
      </c>
      <c r="AM22" s="137" t="s">
        <v>193</v>
      </c>
      <c r="AN22" s="137" t="s">
        <v>53</v>
      </c>
      <c r="AO22" s="137" t="s">
        <v>193</v>
      </c>
      <c r="AP22" s="137" t="s">
        <v>193</v>
      </c>
      <c r="AQ22" s="137" t="s">
        <v>193</v>
      </c>
      <c r="AR22" s="137" t="s">
        <v>193</v>
      </c>
      <c r="AV22" s="1">
        <f t="shared" si="5"/>
        <v>6.9690000000000003</v>
      </c>
      <c r="AW22" s="1">
        <f t="shared" si="0"/>
        <v>6.4409999999999998</v>
      </c>
      <c r="AX22" s="13">
        <f t="shared" si="6"/>
        <v>0.92423590185105464</v>
      </c>
      <c r="BA22" s="12">
        <f t="shared" si="1"/>
        <v>0</v>
      </c>
      <c r="BB22" s="12">
        <f t="shared" si="7"/>
        <v>0</v>
      </c>
      <c r="BC22" s="12">
        <f t="shared" si="7"/>
        <v>0</v>
      </c>
      <c r="BD22" s="12">
        <f t="shared" si="7"/>
        <v>0</v>
      </c>
      <c r="BE22" s="12">
        <f t="shared" si="7"/>
        <v>0</v>
      </c>
      <c r="BF22" s="12">
        <f t="shared" si="3"/>
        <v>0</v>
      </c>
      <c r="BJ22" s="12" t="str">
        <f t="shared" si="4"/>
        <v/>
      </c>
      <c r="BK22" s="12">
        <f>VLOOKUP(B22,Kraftvärmeprod!$B$1:$BH$549,MATCH($BA$1,Kraftvärmeprod!$B$1:$CC$1,0),FALSE)</f>
        <v>0</v>
      </c>
    </row>
    <row r="23" spans="1:63" ht="15" customHeight="1" x14ac:dyDescent="0.25">
      <c r="A23" s="137" t="s">
        <v>211</v>
      </c>
      <c r="B23" s="137" t="s">
        <v>214</v>
      </c>
      <c r="C23" s="137">
        <v>2018</v>
      </c>
      <c r="D23" s="137">
        <v>68.915999999999997</v>
      </c>
      <c r="E23" s="137">
        <v>76.655000000000001</v>
      </c>
      <c r="F23" s="137" t="s">
        <v>193</v>
      </c>
      <c r="G23" s="137">
        <v>0.187</v>
      </c>
      <c r="H23" s="137" t="s">
        <v>193</v>
      </c>
      <c r="I23" s="137" t="s">
        <v>193</v>
      </c>
      <c r="J23" s="137" t="s">
        <v>193</v>
      </c>
      <c r="K23" s="137" t="s">
        <v>193</v>
      </c>
      <c r="L23" s="137" t="s">
        <v>193</v>
      </c>
      <c r="M23" s="137" t="s">
        <v>53</v>
      </c>
      <c r="N23" s="137">
        <v>41.923999999999999</v>
      </c>
      <c r="O23" s="137">
        <v>5.8470000000000004</v>
      </c>
      <c r="P23" s="137" t="s">
        <v>193</v>
      </c>
      <c r="Q23" s="137">
        <v>2.4940000000000002</v>
      </c>
      <c r="R23" s="137" t="s">
        <v>193</v>
      </c>
      <c r="S23" s="137" t="s">
        <v>193</v>
      </c>
      <c r="T23" s="137" t="s">
        <v>193</v>
      </c>
      <c r="U23" s="137" t="s">
        <v>193</v>
      </c>
      <c r="V23" s="137" t="s">
        <v>193</v>
      </c>
      <c r="W23" s="137" t="s">
        <v>193</v>
      </c>
      <c r="X23" s="137">
        <v>10.973000000000001</v>
      </c>
      <c r="Y23" s="137" t="s">
        <v>193</v>
      </c>
      <c r="Z23" s="137">
        <v>1.2749999999999999</v>
      </c>
      <c r="AA23" s="137" t="s">
        <v>193</v>
      </c>
      <c r="AB23" s="137" t="s">
        <v>193</v>
      </c>
      <c r="AC23" s="137" t="s">
        <v>193</v>
      </c>
      <c r="AD23" s="137" t="s">
        <v>193</v>
      </c>
      <c r="AE23" s="137" t="s">
        <v>199</v>
      </c>
      <c r="AF23" s="137" t="s">
        <v>193</v>
      </c>
      <c r="AG23" s="137" t="s">
        <v>193</v>
      </c>
      <c r="AH23" s="137">
        <v>13.955</v>
      </c>
      <c r="AI23" s="137" t="s">
        <v>193</v>
      </c>
      <c r="AJ23" s="137" t="s">
        <v>193</v>
      </c>
      <c r="AK23" s="137" t="s">
        <v>193</v>
      </c>
      <c r="AL23" s="137" t="s">
        <v>193</v>
      </c>
      <c r="AM23" s="137" t="s">
        <v>193</v>
      </c>
      <c r="AN23" s="137" t="s">
        <v>53</v>
      </c>
      <c r="AO23" s="137">
        <v>100</v>
      </c>
      <c r="AP23" s="137" t="s">
        <v>193</v>
      </c>
      <c r="AQ23" s="137" t="s">
        <v>193</v>
      </c>
      <c r="AR23" s="137" t="s">
        <v>193</v>
      </c>
      <c r="AV23" s="1">
        <f t="shared" si="5"/>
        <v>76.655000000000001</v>
      </c>
      <c r="AW23" s="1">
        <f t="shared" si="0"/>
        <v>68.915999999999997</v>
      </c>
      <c r="AX23" s="13">
        <f t="shared" si="6"/>
        <v>0.89904115843715338</v>
      </c>
      <c r="BA23" s="12">
        <f t="shared" si="1"/>
        <v>13.955</v>
      </c>
      <c r="BB23" s="12">
        <f t="shared" si="7"/>
        <v>13.955</v>
      </c>
      <c r="BC23" s="12">
        <f t="shared" si="7"/>
        <v>0</v>
      </c>
      <c r="BD23" s="12">
        <f t="shared" si="7"/>
        <v>0</v>
      </c>
      <c r="BE23" s="12">
        <f t="shared" si="7"/>
        <v>0</v>
      </c>
      <c r="BF23" s="12">
        <f t="shared" si="3"/>
        <v>0</v>
      </c>
      <c r="BJ23" s="12" t="str">
        <f t="shared" si="4"/>
        <v/>
      </c>
      <c r="BK23" s="12">
        <f>VLOOKUP(B23,Kraftvärmeprod!$B$1:$BH$549,MATCH($BA$1,Kraftvärmeprod!$B$1:$CC$1,0),FALSE)</f>
        <v>45.887999999999998</v>
      </c>
    </row>
    <row r="24" spans="1:63" ht="15" customHeight="1" x14ac:dyDescent="0.25">
      <c r="A24" s="137" t="s">
        <v>211</v>
      </c>
      <c r="B24" s="137" t="s">
        <v>215</v>
      </c>
      <c r="C24" s="137">
        <v>2018</v>
      </c>
      <c r="D24" s="137">
        <v>5.024</v>
      </c>
      <c r="E24" s="137">
        <v>5.8559999999999999</v>
      </c>
      <c r="F24" s="137" t="s">
        <v>193</v>
      </c>
      <c r="G24" s="137">
        <v>0.193</v>
      </c>
      <c r="H24" s="137" t="s">
        <v>193</v>
      </c>
      <c r="I24" s="137" t="s">
        <v>193</v>
      </c>
      <c r="J24" s="137" t="s">
        <v>193</v>
      </c>
      <c r="K24" s="137" t="s">
        <v>193</v>
      </c>
      <c r="L24" s="137" t="s">
        <v>193</v>
      </c>
      <c r="M24" s="137" t="s">
        <v>53</v>
      </c>
      <c r="N24" s="137" t="s">
        <v>193</v>
      </c>
      <c r="O24" s="137" t="s">
        <v>193</v>
      </c>
      <c r="P24" s="137" t="s">
        <v>193</v>
      </c>
      <c r="Q24" s="137" t="s">
        <v>193</v>
      </c>
      <c r="R24" s="137" t="s">
        <v>193</v>
      </c>
      <c r="S24" s="137" t="s">
        <v>193</v>
      </c>
      <c r="T24" s="137" t="s">
        <v>193</v>
      </c>
      <c r="U24" s="137">
        <v>5.6630000000000003</v>
      </c>
      <c r="V24" s="137" t="s">
        <v>193</v>
      </c>
      <c r="W24" s="137" t="s">
        <v>193</v>
      </c>
      <c r="X24" s="137" t="s">
        <v>193</v>
      </c>
      <c r="Y24" s="137" t="s">
        <v>193</v>
      </c>
      <c r="Z24" s="137" t="s">
        <v>193</v>
      </c>
      <c r="AA24" s="137" t="s">
        <v>193</v>
      </c>
      <c r="AB24" s="137" t="s">
        <v>193</v>
      </c>
      <c r="AC24" s="137" t="s">
        <v>193</v>
      </c>
      <c r="AD24" s="137" t="s">
        <v>193</v>
      </c>
      <c r="AE24" s="137" t="s">
        <v>199</v>
      </c>
      <c r="AF24" s="137" t="s">
        <v>193</v>
      </c>
      <c r="AG24" s="137" t="s">
        <v>193</v>
      </c>
      <c r="AH24" s="137" t="s">
        <v>193</v>
      </c>
      <c r="AI24" s="137" t="s">
        <v>193</v>
      </c>
      <c r="AJ24" s="137" t="s">
        <v>193</v>
      </c>
      <c r="AK24" s="137" t="s">
        <v>193</v>
      </c>
      <c r="AL24" s="137" t="s">
        <v>193</v>
      </c>
      <c r="AM24" s="137" t="s">
        <v>193</v>
      </c>
      <c r="AN24" s="137" t="s">
        <v>53</v>
      </c>
      <c r="AO24" s="137" t="s">
        <v>193</v>
      </c>
      <c r="AP24" s="137" t="s">
        <v>193</v>
      </c>
      <c r="AQ24" s="137" t="s">
        <v>193</v>
      </c>
      <c r="AR24" s="137" t="s">
        <v>193</v>
      </c>
      <c r="AV24" s="1">
        <f t="shared" si="5"/>
        <v>5.8559999999999999</v>
      </c>
      <c r="AW24" s="1">
        <f t="shared" si="0"/>
        <v>5.024</v>
      </c>
      <c r="AX24" s="13">
        <f t="shared" si="6"/>
        <v>0.85792349726775963</v>
      </c>
      <c r="BA24" s="12">
        <f t="shared" si="1"/>
        <v>0</v>
      </c>
      <c r="BB24" s="12">
        <f t="shared" si="7"/>
        <v>0</v>
      </c>
      <c r="BC24" s="12">
        <f t="shared" si="7"/>
        <v>0</v>
      </c>
      <c r="BD24" s="12">
        <f t="shared" si="7"/>
        <v>0</v>
      </c>
      <c r="BE24" s="12">
        <f t="shared" si="7"/>
        <v>0</v>
      </c>
      <c r="BF24" s="12">
        <f t="shared" si="3"/>
        <v>0</v>
      </c>
      <c r="BJ24" s="12" t="str">
        <f t="shared" si="4"/>
        <v/>
      </c>
      <c r="BK24" s="12">
        <f>VLOOKUP(B24,Kraftvärmeprod!$B$1:$BH$549,MATCH($BA$1,Kraftvärmeprod!$B$1:$CC$1,0),FALSE)</f>
        <v>0</v>
      </c>
    </row>
    <row r="25" spans="1:63" ht="15" customHeight="1" x14ac:dyDescent="0.25">
      <c r="A25" s="137" t="s">
        <v>211</v>
      </c>
      <c r="B25" s="137" t="s">
        <v>216</v>
      </c>
      <c r="C25" s="137">
        <v>2018</v>
      </c>
      <c r="D25" s="137">
        <v>0.78500000000000003</v>
      </c>
      <c r="E25" s="137">
        <v>0.80400000000000005</v>
      </c>
      <c r="F25" s="137" t="s">
        <v>193</v>
      </c>
      <c r="G25" s="137">
        <v>0.17199999999999999</v>
      </c>
      <c r="H25" s="137" t="s">
        <v>193</v>
      </c>
      <c r="I25" s="137" t="s">
        <v>193</v>
      </c>
      <c r="J25" s="137" t="s">
        <v>193</v>
      </c>
      <c r="K25" s="137" t="s">
        <v>193</v>
      </c>
      <c r="L25" s="137" t="s">
        <v>193</v>
      </c>
      <c r="M25" s="137" t="s">
        <v>53</v>
      </c>
      <c r="N25" s="137" t="s">
        <v>193</v>
      </c>
      <c r="O25" s="137" t="s">
        <v>193</v>
      </c>
      <c r="P25" s="137" t="s">
        <v>193</v>
      </c>
      <c r="Q25" s="137" t="s">
        <v>193</v>
      </c>
      <c r="R25" s="137" t="s">
        <v>193</v>
      </c>
      <c r="S25" s="137" t="s">
        <v>193</v>
      </c>
      <c r="T25" s="137" t="s">
        <v>193</v>
      </c>
      <c r="U25" s="137">
        <v>0.63200000000000001</v>
      </c>
      <c r="V25" s="137" t="s">
        <v>193</v>
      </c>
      <c r="W25" s="137" t="s">
        <v>193</v>
      </c>
      <c r="X25" s="137" t="s">
        <v>193</v>
      </c>
      <c r="Y25" s="137" t="s">
        <v>193</v>
      </c>
      <c r="Z25" s="137" t="s">
        <v>193</v>
      </c>
      <c r="AA25" s="137" t="s">
        <v>193</v>
      </c>
      <c r="AB25" s="137" t="s">
        <v>193</v>
      </c>
      <c r="AC25" s="137" t="s">
        <v>193</v>
      </c>
      <c r="AD25" s="137" t="s">
        <v>193</v>
      </c>
      <c r="AE25" s="137" t="s">
        <v>199</v>
      </c>
      <c r="AF25" s="137" t="s">
        <v>193</v>
      </c>
      <c r="AG25" s="137" t="s">
        <v>193</v>
      </c>
      <c r="AH25" s="137" t="s">
        <v>193</v>
      </c>
      <c r="AI25" s="137" t="s">
        <v>193</v>
      </c>
      <c r="AJ25" s="137" t="s">
        <v>193</v>
      </c>
      <c r="AK25" s="137" t="s">
        <v>193</v>
      </c>
      <c r="AL25" s="137" t="s">
        <v>193</v>
      </c>
      <c r="AM25" s="137">
        <v>5.2999999999999999E-2</v>
      </c>
      <c r="AN25" s="137" t="s">
        <v>53</v>
      </c>
      <c r="AO25" s="137" t="s">
        <v>193</v>
      </c>
      <c r="AP25" s="137" t="s">
        <v>193</v>
      </c>
      <c r="AQ25" s="137" t="s">
        <v>193</v>
      </c>
      <c r="AR25" s="137" t="s">
        <v>193</v>
      </c>
      <c r="AV25" s="1">
        <f t="shared" si="5"/>
        <v>0.80400000000000005</v>
      </c>
      <c r="AW25" s="1">
        <f t="shared" si="0"/>
        <v>0.78500000000000003</v>
      </c>
      <c r="AX25" s="13">
        <f t="shared" si="6"/>
        <v>0.97636815920398012</v>
      </c>
      <c r="BA25" s="12">
        <f t="shared" si="1"/>
        <v>0</v>
      </c>
      <c r="BB25" s="12">
        <f t="shared" si="7"/>
        <v>0</v>
      </c>
      <c r="BC25" s="12">
        <f t="shared" si="7"/>
        <v>0</v>
      </c>
      <c r="BD25" s="12">
        <f t="shared" si="7"/>
        <v>0</v>
      </c>
      <c r="BE25" s="12">
        <f t="shared" si="7"/>
        <v>0</v>
      </c>
      <c r="BF25" s="12">
        <f t="shared" si="3"/>
        <v>0</v>
      </c>
      <c r="BJ25" s="12" t="str">
        <f t="shared" si="4"/>
        <v/>
      </c>
      <c r="BK25" s="12">
        <f>VLOOKUP(B25,Kraftvärmeprod!$B$1:$BH$549,MATCH($BA$1,Kraftvärmeprod!$B$1:$CC$1,0),FALSE)</f>
        <v>0</v>
      </c>
    </row>
    <row r="26" spans="1:63" ht="15" customHeight="1" x14ac:dyDescent="0.25">
      <c r="A26" s="137" t="s">
        <v>217</v>
      </c>
      <c r="B26" s="137" t="s">
        <v>218</v>
      </c>
      <c r="C26" s="137">
        <v>2018</v>
      </c>
      <c r="D26" s="137">
        <v>139.9</v>
      </c>
      <c r="E26" s="137">
        <v>159.61000000000001</v>
      </c>
      <c r="F26" s="137" t="s">
        <v>193</v>
      </c>
      <c r="G26" s="137">
        <v>0.06</v>
      </c>
      <c r="H26" s="137" t="s">
        <v>193</v>
      </c>
      <c r="I26" s="137" t="s">
        <v>193</v>
      </c>
      <c r="J26" s="137" t="s">
        <v>193</v>
      </c>
      <c r="K26" s="137" t="s">
        <v>193</v>
      </c>
      <c r="L26" s="137" t="s">
        <v>193</v>
      </c>
      <c r="M26" s="137" t="s">
        <v>219</v>
      </c>
      <c r="N26" s="137" t="s">
        <v>193</v>
      </c>
      <c r="O26" s="137" t="s">
        <v>193</v>
      </c>
      <c r="P26" s="137" t="s">
        <v>193</v>
      </c>
      <c r="Q26" s="137" t="s">
        <v>193</v>
      </c>
      <c r="R26" s="137" t="s">
        <v>193</v>
      </c>
      <c r="S26" s="137">
        <v>124.85</v>
      </c>
      <c r="T26" s="137" t="s">
        <v>194</v>
      </c>
      <c r="U26" s="137" t="s">
        <v>193</v>
      </c>
      <c r="V26" s="137" t="s">
        <v>193</v>
      </c>
      <c r="W26" s="137" t="s">
        <v>193</v>
      </c>
      <c r="X26" s="137" t="s">
        <v>193</v>
      </c>
      <c r="Y26" s="137" t="s">
        <v>193</v>
      </c>
      <c r="Z26" s="137">
        <v>1.52</v>
      </c>
      <c r="AA26" s="137" t="s">
        <v>193</v>
      </c>
      <c r="AB26" s="137" t="s">
        <v>193</v>
      </c>
      <c r="AC26" s="137" t="s">
        <v>193</v>
      </c>
      <c r="AD26" s="137" t="s">
        <v>193</v>
      </c>
      <c r="AE26" s="137" t="s">
        <v>199</v>
      </c>
      <c r="AF26" s="137" t="s">
        <v>193</v>
      </c>
      <c r="AG26" s="137">
        <v>1.66</v>
      </c>
      <c r="AH26" s="137">
        <v>31.52</v>
      </c>
      <c r="AI26" s="137" t="s">
        <v>193</v>
      </c>
      <c r="AJ26" s="137" t="s">
        <v>193</v>
      </c>
      <c r="AK26" s="137" t="s">
        <v>193</v>
      </c>
      <c r="AL26" s="137" t="s">
        <v>193</v>
      </c>
      <c r="AM26" s="137" t="s">
        <v>193</v>
      </c>
      <c r="AN26" s="137" t="s">
        <v>53</v>
      </c>
      <c r="AO26" s="137">
        <v>100</v>
      </c>
      <c r="AP26" s="137">
        <v>0</v>
      </c>
      <c r="AQ26" s="137">
        <v>0</v>
      </c>
      <c r="AR26" s="137">
        <v>0</v>
      </c>
      <c r="AV26" s="1">
        <f t="shared" si="5"/>
        <v>159.60999999999999</v>
      </c>
      <c r="AW26" s="1">
        <f t="shared" si="0"/>
        <v>139.9</v>
      </c>
      <c r="AX26" s="13">
        <f t="shared" si="6"/>
        <v>0.87651149677338525</v>
      </c>
      <c r="BA26" s="12">
        <f t="shared" si="1"/>
        <v>31.52</v>
      </c>
      <c r="BB26" s="12">
        <f t="shared" si="7"/>
        <v>31.52</v>
      </c>
      <c r="BC26" s="12">
        <f t="shared" si="7"/>
        <v>0</v>
      </c>
      <c r="BD26" s="12">
        <f t="shared" si="7"/>
        <v>0</v>
      </c>
      <c r="BE26" s="12">
        <f t="shared" si="7"/>
        <v>0</v>
      </c>
      <c r="BF26" s="12">
        <f t="shared" si="3"/>
        <v>0</v>
      </c>
      <c r="BJ26" s="12" t="str">
        <f t="shared" si="4"/>
        <v/>
      </c>
      <c r="BK26" s="12">
        <f>VLOOKUP(B26,Kraftvärmeprod!$B$1:$BH$549,MATCH($BA$1,Kraftvärmeprod!$B$1:$CC$1,0),FALSE)</f>
        <v>0</v>
      </c>
    </row>
    <row r="27" spans="1:63" ht="15" customHeight="1" x14ac:dyDescent="0.25">
      <c r="A27" s="137" t="s">
        <v>220</v>
      </c>
      <c r="B27" s="137" t="s">
        <v>221</v>
      </c>
      <c r="C27" s="137">
        <v>2018</v>
      </c>
      <c r="D27" s="137">
        <v>68</v>
      </c>
      <c r="E27" s="137">
        <v>78.3</v>
      </c>
      <c r="F27" s="137" t="s">
        <v>193</v>
      </c>
      <c r="G27" s="137">
        <v>0.3</v>
      </c>
      <c r="H27" s="137" t="s">
        <v>193</v>
      </c>
      <c r="I27" s="137" t="s">
        <v>193</v>
      </c>
      <c r="J27" s="137" t="s">
        <v>193</v>
      </c>
      <c r="K27" s="137" t="s">
        <v>193</v>
      </c>
      <c r="L27" s="137" t="s">
        <v>193</v>
      </c>
      <c r="M27" s="137" t="s">
        <v>53</v>
      </c>
      <c r="N27" s="137" t="s">
        <v>193</v>
      </c>
      <c r="O27" s="137" t="s">
        <v>193</v>
      </c>
      <c r="P27" s="137" t="s">
        <v>193</v>
      </c>
      <c r="Q27" s="137" t="s">
        <v>193</v>
      </c>
      <c r="R27" s="137" t="s">
        <v>193</v>
      </c>
      <c r="S27" s="137">
        <v>78</v>
      </c>
      <c r="T27" s="137" t="s">
        <v>193</v>
      </c>
      <c r="U27" s="137" t="s">
        <v>193</v>
      </c>
      <c r="V27" s="137" t="s">
        <v>193</v>
      </c>
      <c r="W27" s="137" t="s">
        <v>193</v>
      </c>
      <c r="X27" s="137" t="s">
        <v>193</v>
      </c>
      <c r="Y27" s="137" t="s">
        <v>193</v>
      </c>
      <c r="Z27" s="137" t="s">
        <v>193</v>
      </c>
      <c r="AA27" s="137" t="s">
        <v>193</v>
      </c>
      <c r="AB27" s="137" t="s">
        <v>193</v>
      </c>
      <c r="AC27" s="137" t="s">
        <v>193</v>
      </c>
      <c r="AD27" s="137" t="s">
        <v>193</v>
      </c>
      <c r="AE27" s="137" t="s">
        <v>199</v>
      </c>
      <c r="AF27" s="137" t="s">
        <v>193</v>
      </c>
      <c r="AG27" s="137" t="s">
        <v>193</v>
      </c>
      <c r="AH27" s="137" t="s">
        <v>193</v>
      </c>
      <c r="AI27" s="137" t="s">
        <v>193</v>
      </c>
      <c r="AJ27" s="137" t="s">
        <v>193</v>
      </c>
      <c r="AK27" s="137" t="s">
        <v>193</v>
      </c>
      <c r="AL27" s="137" t="s">
        <v>193</v>
      </c>
      <c r="AM27" s="137" t="s">
        <v>193</v>
      </c>
      <c r="AN27" s="137" t="s">
        <v>53</v>
      </c>
      <c r="AO27" s="137" t="s">
        <v>193</v>
      </c>
      <c r="AP27" s="137" t="s">
        <v>193</v>
      </c>
      <c r="AQ27" s="137" t="s">
        <v>193</v>
      </c>
      <c r="AR27" s="137" t="s">
        <v>193</v>
      </c>
      <c r="AV27" s="1">
        <f t="shared" si="5"/>
        <v>78.3</v>
      </c>
      <c r="AW27" s="1">
        <f t="shared" si="0"/>
        <v>68</v>
      </c>
      <c r="AX27" s="13">
        <f t="shared" si="6"/>
        <v>0.86845466155810991</v>
      </c>
      <c r="BA27" s="12">
        <f t="shared" si="1"/>
        <v>0</v>
      </c>
      <c r="BB27" s="12">
        <f t="shared" si="7"/>
        <v>0</v>
      </c>
      <c r="BC27" s="12">
        <f t="shared" si="7"/>
        <v>0</v>
      </c>
      <c r="BD27" s="12">
        <f t="shared" si="7"/>
        <v>0</v>
      </c>
      <c r="BE27" s="12">
        <f t="shared" si="7"/>
        <v>0</v>
      </c>
      <c r="BF27" s="12">
        <f t="shared" si="3"/>
        <v>0</v>
      </c>
      <c r="BJ27" s="12" t="str">
        <f t="shared" si="4"/>
        <v/>
      </c>
      <c r="BK27" s="12">
        <f>VLOOKUP(B27,Kraftvärmeprod!$B$1:$BH$549,MATCH($BA$1,Kraftvärmeprod!$B$1:$CC$1,0),FALSE)</f>
        <v>0</v>
      </c>
    </row>
    <row r="28" spans="1:63" ht="15" customHeight="1" x14ac:dyDescent="0.25">
      <c r="A28" s="137" t="s">
        <v>220</v>
      </c>
      <c r="B28" s="137" t="s">
        <v>222</v>
      </c>
      <c r="C28" s="137">
        <v>2018</v>
      </c>
      <c r="D28" s="137">
        <v>13.7</v>
      </c>
      <c r="E28" s="137">
        <v>16.04</v>
      </c>
      <c r="F28" s="137" t="s">
        <v>193</v>
      </c>
      <c r="G28" s="137">
        <v>0.24</v>
      </c>
      <c r="H28" s="137" t="s">
        <v>193</v>
      </c>
      <c r="I28" s="137" t="s">
        <v>193</v>
      </c>
      <c r="J28" s="137" t="s">
        <v>193</v>
      </c>
      <c r="K28" s="137" t="s">
        <v>193</v>
      </c>
      <c r="L28" s="137" t="s">
        <v>193</v>
      </c>
      <c r="M28" s="137" t="s">
        <v>53</v>
      </c>
      <c r="N28" s="137" t="s">
        <v>193</v>
      </c>
      <c r="O28" s="137" t="s">
        <v>193</v>
      </c>
      <c r="P28" s="137" t="s">
        <v>193</v>
      </c>
      <c r="Q28" s="137" t="s">
        <v>193</v>
      </c>
      <c r="R28" s="137" t="s">
        <v>193</v>
      </c>
      <c r="S28" s="137">
        <v>15.8</v>
      </c>
      <c r="T28" s="137" t="s">
        <v>193</v>
      </c>
      <c r="U28" s="137" t="s">
        <v>193</v>
      </c>
      <c r="V28" s="137" t="s">
        <v>193</v>
      </c>
      <c r="W28" s="137" t="s">
        <v>193</v>
      </c>
      <c r="X28" s="137" t="s">
        <v>193</v>
      </c>
      <c r="Y28" s="137" t="s">
        <v>193</v>
      </c>
      <c r="Z28" s="137" t="s">
        <v>193</v>
      </c>
      <c r="AA28" s="137" t="s">
        <v>193</v>
      </c>
      <c r="AB28" s="137" t="s">
        <v>193</v>
      </c>
      <c r="AC28" s="137" t="s">
        <v>193</v>
      </c>
      <c r="AD28" s="137" t="s">
        <v>193</v>
      </c>
      <c r="AE28" s="137" t="s">
        <v>199</v>
      </c>
      <c r="AF28" s="137" t="s">
        <v>193</v>
      </c>
      <c r="AG28" s="137" t="s">
        <v>193</v>
      </c>
      <c r="AH28" s="137" t="s">
        <v>193</v>
      </c>
      <c r="AI28" s="137" t="s">
        <v>193</v>
      </c>
      <c r="AJ28" s="137" t="s">
        <v>193</v>
      </c>
      <c r="AK28" s="137" t="s">
        <v>193</v>
      </c>
      <c r="AL28" s="137" t="s">
        <v>193</v>
      </c>
      <c r="AM28" s="137" t="s">
        <v>193</v>
      </c>
      <c r="AN28" s="137" t="s">
        <v>53</v>
      </c>
      <c r="AO28" s="137" t="s">
        <v>193</v>
      </c>
      <c r="AP28" s="137" t="s">
        <v>193</v>
      </c>
      <c r="AQ28" s="137" t="s">
        <v>193</v>
      </c>
      <c r="AR28" s="137" t="s">
        <v>193</v>
      </c>
      <c r="AV28" s="1">
        <f t="shared" si="5"/>
        <v>16.04</v>
      </c>
      <c r="AW28" s="1">
        <f t="shared" si="0"/>
        <v>13.7</v>
      </c>
      <c r="AX28" s="13">
        <f t="shared" si="6"/>
        <v>0.85411471321695764</v>
      </c>
      <c r="BA28" s="12">
        <f t="shared" si="1"/>
        <v>0</v>
      </c>
      <c r="BB28" s="12">
        <f t="shared" si="7"/>
        <v>0</v>
      </c>
      <c r="BC28" s="12">
        <f t="shared" si="7"/>
        <v>0</v>
      </c>
      <c r="BD28" s="12">
        <f t="shared" si="7"/>
        <v>0</v>
      </c>
      <c r="BE28" s="12">
        <f t="shared" si="7"/>
        <v>0</v>
      </c>
      <c r="BF28" s="12">
        <f t="shared" si="3"/>
        <v>0</v>
      </c>
      <c r="BJ28" s="12" t="str">
        <f t="shared" si="4"/>
        <v/>
      </c>
      <c r="BK28" s="12">
        <f>VLOOKUP(B28,Kraftvärmeprod!$B$1:$BH$549,MATCH($BA$1,Kraftvärmeprod!$B$1:$CC$1,0),FALSE)</f>
        <v>0</v>
      </c>
    </row>
    <row r="29" spans="1:63" ht="15" customHeight="1" x14ac:dyDescent="0.25">
      <c r="A29" s="137" t="s">
        <v>220</v>
      </c>
      <c r="B29" s="137" t="s">
        <v>223</v>
      </c>
      <c r="C29" s="137">
        <v>2018</v>
      </c>
      <c r="D29" s="137">
        <v>19.8</v>
      </c>
      <c r="E29" s="137">
        <v>22.86</v>
      </c>
      <c r="F29" s="137" t="s">
        <v>193</v>
      </c>
      <c r="G29" s="137">
        <v>0.06</v>
      </c>
      <c r="H29" s="137" t="s">
        <v>193</v>
      </c>
      <c r="I29" s="137" t="s">
        <v>193</v>
      </c>
      <c r="J29" s="137" t="s">
        <v>193</v>
      </c>
      <c r="K29" s="137" t="s">
        <v>193</v>
      </c>
      <c r="L29" s="137" t="s">
        <v>193</v>
      </c>
      <c r="M29" s="137" t="s">
        <v>219</v>
      </c>
      <c r="N29" s="137" t="s">
        <v>193</v>
      </c>
      <c r="O29" s="137" t="s">
        <v>193</v>
      </c>
      <c r="P29" s="137" t="s">
        <v>193</v>
      </c>
      <c r="Q29" s="137" t="s">
        <v>193</v>
      </c>
      <c r="R29" s="137" t="s">
        <v>193</v>
      </c>
      <c r="S29" s="137">
        <v>22.8</v>
      </c>
      <c r="T29" s="137" t="s">
        <v>193</v>
      </c>
      <c r="U29" s="137" t="s">
        <v>193</v>
      </c>
      <c r="V29" s="137" t="s">
        <v>193</v>
      </c>
      <c r="W29" s="137" t="s">
        <v>193</v>
      </c>
      <c r="X29" s="137" t="s">
        <v>193</v>
      </c>
      <c r="Y29" s="137" t="s">
        <v>193</v>
      </c>
      <c r="Z29" s="137" t="s">
        <v>193</v>
      </c>
      <c r="AA29" s="137" t="s">
        <v>193</v>
      </c>
      <c r="AB29" s="137" t="s">
        <v>193</v>
      </c>
      <c r="AC29" s="137" t="s">
        <v>193</v>
      </c>
      <c r="AD29" s="137" t="s">
        <v>193</v>
      </c>
      <c r="AE29" s="137" t="s">
        <v>199</v>
      </c>
      <c r="AF29" s="137" t="s">
        <v>193</v>
      </c>
      <c r="AG29" s="137" t="s">
        <v>193</v>
      </c>
      <c r="AH29" s="137" t="s">
        <v>193</v>
      </c>
      <c r="AI29" s="137" t="s">
        <v>193</v>
      </c>
      <c r="AJ29" s="137" t="s">
        <v>193</v>
      </c>
      <c r="AK29" s="137" t="s">
        <v>193</v>
      </c>
      <c r="AL29" s="137" t="s">
        <v>193</v>
      </c>
      <c r="AM29" s="137" t="s">
        <v>193</v>
      </c>
      <c r="AN29" s="137" t="s">
        <v>53</v>
      </c>
      <c r="AO29" s="137" t="s">
        <v>193</v>
      </c>
      <c r="AP29" s="137" t="s">
        <v>193</v>
      </c>
      <c r="AQ29" s="137" t="s">
        <v>193</v>
      </c>
      <c r="AR29" s="137" t="s">
        <v>193</v>
      </c>
      <c r="AV29" s="1">
        <f t="shared" si="5"/>
        <v>22.86</v>
      </c>
      <c r="AW29" s="1">
        <f t="shared" si="0"/>
        <v>19.8</v>
      </c>
      <c r="AX29" s="13">
        <f t="shared" si="6"/>
        <v>0.86614173228346458</v>
      </c>
      <c r="BA29" s="12">
        <f t="shared" si="1"/>
        <v>0</v>
      </c>
      <c r="BB29" s="12">
        <f t="shared" si="7"/>
        <v>0</v>
      </c>
      <c r="BC29" s="12">
        <f t="shared" si="7"/>
        <v>0</v>
      </c>
      <c r="BD29" s="12">
        <f t="shared" si="7"/>
        <v>0</v>
      </c>
      <c r="BE29" s="12">
        <f t="shared" si="7"/>
        <v>0</v>
      </c>
      <c r="BF29" s="12">
        <f t="shared" si="3"/>
        <v>0</v>
      </c>
      <c r="BJ29" s="12" t="str">
        <f t="shared" si="4"/>
        <v/>
      </c>
      <c r="BK29" s="12">
        <f>VLOOKUP(B29,Kraftvärmeprod!$B$1:$BH$549,MATCH($BA$1,Kraftvärmeprod!$B$1:$CC$1,0),FALSE)</f>
        <v>0</v>
      </c>
    </row>
    <row r="30" spans="1:63" ht="15" customHeight="1" x14ac:dyDescent="0.25">
      <c r="A30" s="137" t="s">
        <v>224</v>
      </c>
      <c r="B30" s="137" t="s">
        <v>225</v>
      </c>
      <c r="C30" s="137">
        <v>2018</v>
      </c>
      <c r="D30" s="137">
        <v>28.88</v>
      </c>
      <c r="E30" s="137">
        <v>36.229999999999997</v>
      </c>
      <c r="F30" s="137" t="s">
        <v>193</v>
      </c>
      <c r="G30" s="137" t="s">
        <v>193</v>
      </c>
      <c r="H30" s="137" t="s">
        <v>193</v>
      </c>
      <c r="I30" s="137" t="s">
        <v>193</v>
      </c>
      <c r="J30" s="137" t="s">
        <v>193</v>
      </c>
      <c r="K30" s="137" t="s">
        <v>193</v>
      </c>
      <c r="L30" s="137" t="s">
        <v>193</v>
      </c>
      <c r="M30" s="137" t="s">
        <v>193</v>
      </c>
      <c r="N30" s="137">
        <v>0</v>
      </c>
      <c r="O30" s="137">
        <v>0</v>
      </c>
      <c r="P30" s="137">
        <v>29.55</v>
      </c>
      <c r="Q30" s="137">
        <v>0</v>
      </c>
      <c r="R30" s="137">
        <v>0</v>
      </c>
      <c r="S30" s="137">
        <v>0</v>
      </c>
      <c r="T30" s="137" t="s">
        <v>194</v>
      </c>
      <c r="U30" s="137">
        <v>6.68</v>
      </c>
      <c r="V30" s="137">
        <v>0</v>
      </c>
      <c r="W30" s="137">
        <v>0</v>
      </c>
      <c r="X30" s="137">
        <v>0</v>
      </c>
      <c r="Y30" s="137">
        <v>0</v>
      </c>
      <c r="Z30" s="137">
        <v>0</v>
      </c>
      <c r="AA30" s="137">
        <v>0</v>
      </c>
      <c r="AB30" s="137" t="s">
        <v>193</v>
      </c>
      <c r="AC30" s="137" t="s">
        <v>193</v>
      </c>
      <c r="AD30" s="137" t="s">
        <v>193</v>
      </c>
      <c r="AE30" s="137" t="s">
        <v>53</v>
      </c>
      <c r="AF30" s="137" t="s">
        <v>193</v>
      </c>
      <c r="AG30" s="137" t="s">
        <v>193</v>
      </c>
      <c r="AH30" s="137" t="s">
        <v>193</v>
      </c>
      <c r="AI30" s="137" t="s">
        <v>193</v>
      </c>
      <c r="AJ30" s="137" t="s">
        <v>193</v>
      </c>
      <c r="AK30" s="137" t="s">
        <v>193</v>
      </c>
      <c r="AL30" s="137" t="s">
        <v>193</v>
      </c>
      <c r="AM30" s="137" t="s">
        <v>193</v>
      </c>
      <c r="AN30" s="137" t="s">
        <v>193</v>
      </c>
      <c r="AO30" s="137" t="s">
        <v>193</v>
      </c>
      <c r="AP30" s="137" t="s">
        <v>193</v>
      </c>
      <c r="AQ30" s="137" t="s">
        <v>193</v>
      </c>
      <c r="AR30" s="137" t="s">
        <v>193</v>
      </c>
      <c r="AV30" s="1">
        <f t="shared" si="5"/>
        <v>36.230000000000004</v>
      </c>
      <c r="AW30" s="1">
        <f t="shared" si="0"/>
        <v>28.88</v>
      </c>
      <c r="AX30" s="13">
        <f t="shared" si="6"/>
        <v>0.79712945073143793</v>
      </c>
      <c r="BA30" s="12">
        <f t="shared" si="1"/>
        <v>0</v>
      </c>
      <c r="BB30" s="12">
        <f t="shared" si="7"/>
        <v>0</v>
      </c>
      <c r="BC30" s="12">
        <f t="shared" si="7"/>
        <v>0</v>
      </c>
      <c r="BD30" s="12">
        <f t="shared" si="7"/>
        <v>0</v>
      </c>
      <c r="BE30" s="12">
        <f t="shared" si="7"/>
        <v>0</v>
      </c>
      <c r="BF30" s="12">
        <f t="shared" si="3"/>
        <v>0</v>
      </c>
      <c r="BJ30" s="12" t="str">
        <f t="shared" si="4"/>
        <v/>
      </c>
      <c r="BK30" s="12">
        <f>VLOOKUP(B30,Kraftvärmeprod!$B$1:$BH$549,MATCH($BA$1,Kraftvärmeprod!$B$1:$CC$1,0),FALSE)</f>
        <v>0</v>
      </c>
    </row>
    <row r="31" spans="1:63" ht="15" customHeight="1" x14ac:dyDescent="0.25">
      <c r="A31" s="137" t="s">
        <v>36</v>
      </c>
      <c r="B31" s="141" t="s">
        <v>37</v>
      </c>
      <c r="C31" s="137">
        <v>2018</v>
      </c>
      <c r="D31" s="137" t="s">
        <v>53</v>
      </c>
      <c r="E31" s="137" t="s">
        <v>53</v>
      </c>
      <c r="F31" s="137" t="s">
        <v>53</v>
      </c>
      <c r="G31" s="137" t="s">
        <v>53</v>
      </c>
      <c r="H31" s="137" t="s">
        <v>53</v>
      </c>
      <c r="I31" s="137" t="s">
        <v>53</v>
      </c>
      <c r="J31" s="137" t="s">
        <v>53</v>
      </c>
      <c r="K31" s="137" t="s">
        <v>53</v>
      </c>
      <c r="L31" s="137" t="s">
        <v>53</v>
      </c>
      <c r="M31" s="137" t="s">
        <v>53</v>
      </c>
      <c r="N31" s="137" t="s">
        <v>53</v>
      </c>
      <c r="O31" s="137" t="s">
        <v>53</v>
      </c>
      <c r="P31" s="137" t="s">
        <v>53</v>
      </c>
      <c r="Q31" s="137" t="s">
        <v>53</v>
      </c>
      <c r="R31" s="137" t="s">
        <v>53</v>
      </c>
      <c r="S31" s="137" t="s">
        <v>53</v>
      </c>
      <c r="T31" s="137" t="s">
        <v>53</v>
      </c>
      <c r="U31" s="137" t="s">
        <v>53</v>
      </c>
      <c r="V31" s="137" t="s">
        <v>53</v>
      </c>
      <c r="W31" s="137" t="s">
        <v>53</v>
      </c>
      <c r="X31" s="137" t="s">
        <v>53</v>
      </c>
      <c r="Y31" s="137" t="s">
        <v>53</v>
      </c>
      <c r="Z31" s="137" t="s">
        <v>53</v>
      </c>
      <c r="AA31" s="137" t="s">
        <v>53</v>
      </c>
      <c r="AB31" s="137" t="s">
        <v>53</v>
      </c>
      <c r="AC31" s="137" t="s">
        <v>53</v>
      </c>
      <c r="AD31" s="137" t="s">
        <v>53</v>
      </c>
      <c r="AE31" s="137" t="s">
        <v>53</v>
      </c>
      <c r="AF31" s="137" t="s">
        <v>53</v>
      </c>
      <c r="AG31" s="137" t="s">
        <v>53</v>
      </c>
      <c r="AH31" s="137" t="s">
        <v>53</v>
      </c>
      <c r="AI31" s="137" t="s">
        <v>53</v>
      </c>
      <c r="AJ31" s="137" t="s">
        <v>53</v>
      </c>
      <c r="AK31" s="137" t="s">
        <v>53</v>
      </c>
      <c r="AL31" s="137" t="s">
        <v>53</v>
      </c>
      <c r="AM31" s="137" t="s">
        <v>53</v>
      </c>
      <c r="AN31" s="137" t="s">
        <v>53</v>
      </c>
      <c r="AO31" s="137" t="s">
        <v>53</v>
      </c>
      <c r="AP31" s="137" t="s">
        <v>53</v>
      </c>
      <c r="AQ31" s="137" t="s">
        <v>53</v>
      </c>
      <c r="AR31" s="137" t="s">
        <v>53</v>
      </c>
      <c r="AV31" s="1">
        <f t="shared" si="5"/>
        <v>0</v>
      </c>
      <c r="AW31" s="1">
        <f t="shared" si="0"/>
        <v>0</v>
      </c>
      <c r="AX31" s="13" t="str">
        <f t="shared" si="6"/>
        <v/>
      </c>
      <c r="BA31" s="12">
        <f t="shared" si="1"/>
        <v>0</v>
      </c>
      <c r="BB31" s="12">
        <f t="shared" si="7"/>
        <v>0</v>
      </c>
      <c r="BC31" s="12">
        <f t="shared" si="7"/>
        <v>0</v>
      </c>
      <c r="BD31" s="12">
        <f t="shared" si="7"/>
        <v>0</v>
      </c>
      <c r="BE31" s="12">
        <f t="shared" si="7"/>
        <v>0</v>
      </c>
      <c r="BF31" s="12">
        <f t="shared" si="3"/>
        <v>0</v>
      </c>
      <c r="BJ31" s="12" t="str">
        <f t="shared" si="4"/>
        <v/>
      </c>
      <c r="BK31" s="12">
        <f>VLOOKUP(B31,Kraftvärmeprod!$B$1:$BH$549,MATCH($BA$1,Kraftvärmeprod!$B$1:$CC$1,0),FALSE)</f>
        <v>0</v>
      </c>
    </row>
    <row r="32" spans="1:63" ht="15" customHeight="1" x14ac:dyDescent="0.25">
      <c r="A32" s="137" t="s">
        <v>226</v>
      </c>
      <c r="B32" s="137" t="s">
        <v>227</v>
      </c>
      <c r="C32" s="137">
        <v>2018</v>
      </c>
      <c r="D32" s="137">
        <v>119.53</v>
      </c>
      <c r="E32" s="137">
        <v>123.59</v>
      </c>
      <c r="F32" s="137" t="s">
        <v>193</v>
      </c>
      <c r="G32" s="137">
        <v>1.1599999999999999</v>
      </c>
      <c r="H32" s="137" t="s">
        <v>193</v>
      </c>
      <c r="I32" s="137">
        <v>1.38</v>
      </c>
      <c r="J32" s="137" t="s">
        <v>193</v>
      </c>
      <c r="K32" s="137" t="s">
        <v>193</v>
      </c>
      <c r="L32" s="137" t="s">
        <v>193</v>
      </c>
      <c r="M32" s="137" t="s">
        <v>219</v>
      </c>
      <c r="N32" s="137" t="s">
        <v>193</v>
      </c>
      <c r="O32" s="137" t="s">
        <v>193</v>
      </c>
      <c r="P32" s="137" t="s">
        <v>193</v>
      </c>
      <c r="Q32" s="137" t="s">
        <v>193</v>
      </c>
      <c r="R32" s="137" t="s">
        <v>193</v>
      </c>
      <c r="S32" s="137">
        <v>82.9</v>
      </c>
      <c r="T32" s="137" t="s">
        <v>194</v>
      </c>
      <c r="U32" s="137">
        <v>17.8</v>
      </c>
      <c r="V32" s="137" t="s">
        <v>193</v>
      </c>
      <c r="W32" s="137" t="s">
        <v>193</v>
      </c>
      <c r="X32" s="137" t="s">
        <v>193</v>
      </c>
      <c r="Y32" s="137" t="s">
        <v>193</v>
      </c>
      <c r="Z32" s="137" t="s">
        <v>193</v>
      </c>
      <c r="AA32" s="137" t="s">
        <v>193</v>
      </c>
      <c r="AB32" s="137" t="s">
        <v>193</v>
      </c>
      <c r="AC32" s="137" t="s">
        <v>193</v>
      </c>
      <c r="AD32" s="137" t="s">
        <v>193</v>
      </c>
      <c r="AE32" s="137" t="s">
        <v>199</v>
      </c>
      <c r="AF32" s="137" t="s">
        <v>193</v>
      </c>
      <c r="AG32" s="137">
        <v>0.95</v>
      </c>
      <c r="AH32" s="137">
        <v>19.399999999999999</v>
      </c>
      <c r="AI32" s="137" t="s">
        <v>193</v>
      </c>
      <c r="AJ32" s="137" t="s">
        <v>193</v>
      </c>
      <c r="AK32" s="137" t="s">
        <v>193</v>
      </c>
      <c r="AL32" s="137" t="s">
        <v>193</v>
      </c>
      <c r="AM32" s="137" t="s">
        <v>193</v>
      </c>
      <c r="AN32" s="137" t="s">
        <v>53</v>
      </c>
      <c r="AO32" s="137">
        <v>100</v>
      </c>
      <c r="AP32" s="137" t="s">
        <v>193</v>
      </c>
      <c r="AQ32" s="137" t="s">
        <v>193</v>
      </c>
      <c r="AR32" s="137" t="s">
        <v>193</v>
      </c>
      <c r="AV32" s="1">
        <f t="shared" si="5"/>
        <v>123.59</v>
      </c>
      <c r="AW32" s="1">
        <f t="shared" si="0"/>
        <v>119.53</v>
      </c>
      <c r="AX32" s="13">
        <f t="shared" si="6"/>
        <v>0.96714944574803785</v>
      </c>
      <c r="BA32" s="12">
        <f t="shared" si="1"/>
        <v>19.399999999999999</v>
      </c>
      <c r="BB32" s="12">
        <f t="shared" si="7"/>
        <v>19.399999999999999</v>
      </c>
      <c r="BC32" s="12">
        <f t="shared" si="7"/>
        <v>0</v>
      </c>
      <c r="BD32" s="12">
        <f t="shared" si="7"/>
        <v>0</v>
      </c>
      <c r="BE32" s="12">
        <f t="shared" si="7"/>
        <v>0</v>
      </c>
      <c r="BF32" s="12">
        <f t="shared" si="3"/>
        <v>0</v>
      </c>
      <c r="BJ32" s="12" t="str">
        <f t="shared" si="4"/>
        <v/>
      </c>
      <c r="BK32" s="12">
        <f>VLOOKUP(B32,Kraftvärmeprod!$B$1:$BH$549,MATCH($BA$1,Kraftvärmeprod!$B$1:$CC$1,0),FALSE)</f>
        <v>0</v>
      </c>
    </row>
    <row r="33" spans="1:63" ht="15" customHeight="1" x14ac:dyDescent="0.25">
      <c r="A33" s="137" t="s">
        <v>228</v>
      </c>
      <c r="B33" s="137" t="s">
        <v>229</v>
      </c>
      <c r="C33" s="137">
        <v>2018</v>
      </c>
      <c r="D33" s="137">
        <v>3.3</v>
      </c>
      <c r="E33" s="137">
        <v>3.2</v>
      </c>
      <c r="F33" s="137" t="s">
        <v>193</v>
      </c>
      <c r="G33" s="137">
        <v>0.1</v>
      </c>
      <c r="H33" s="137" t="s">
        <v>193</v>
      </c>
      <c r="I33" s="137" t="s">
        <v>193</v>
      </c>
      <c r="J33" s="137" t="s">
        <v>193</v>
      </c>
      <c r="K33" s="137" t="s">
        <v>193</v>
      </c>
      <c r="L33" s="137" t="s">
        <v>193</v>
      </c>
      <c r="M33" s="137" t="s">
        <v>53</v>
      </c>
      <c r="N33" s="137" t="s">
        <v>193</v>
      </c>
      <c r="O33" s="137" t="s">
        <v>193</v>
      </c>
      <c r="P33" s="137" t="s">
        <v>193</v>
      </c>
      <c r="Q33" s="137" t="s">
        <v>193</v>
      </c>
      <c r="R33" s="137" t="s">
        <v>193</v>
      </c>
      <c r="S33" s="137" t="s">
        <v>193</v>
      </c>
      <c r="T33" s="137" t="s">
        <v>193</v>
      </c>
      <c r="U33" s="137">
        <v>3.1</v>
      </c>
      <c r="V33" s="137" t="s">
        <v>193</v>
      </c>
      <c r="W33" s="137" t="s">
        <v>193</v>
      </c>
      <c r="X33" s="137" t="s">
        <v>193</v>
      </c>
      <c r="Y33" s="137" t="s">
        <v>193</v>
      </c>
      <c r="Z33" s="137" t="s">
        <v>193</v>
      </c>
      <c r="AA33" s="137" t="s">
        <v>193</v>
      </c>
      <c r="AB33" s="137" t="s">
        <v>193</v>
      </c>
      <c r="AC33" s="137" t="s">
        <v>193</v>
      </c>
      <c r="AD33" s="137" t="s">
        <v>193</v>
      </c>
      <c r="AE33" s="137" t="s">
        <v>53</v>
      </c>
      <c r="AF33" s="137" t="s">
        <v>193</v>
      </c>
      <c r="AG33" s="137" t="s">
        <v>193</v>
      </c>
      <c r="AH33" s="137" t="s">
        <v>193</v>
      </c>
      <c r="AI33" s="137" t="s">
        <v>193</v>
      </c>
      <c r="AJ33" s="137" t="s">
        <v>193</v>
      </c>
      <c r="AK33" s="137" t="s">
        <v>193</v>
      </c>
      <c r="AL33" s="137" t="s">
        <v>193</v>
      </c>
      <c r="AM33" s="137" t="s">
        <v>193</v>
      </c>
      <c r="AN33" s="137" t="s">
        <v>53</v>
      </c>
      <c r="AO33" s="137" t="s">
        <v>193</v>
      </c>
      <c r="AP33" s="137" t="s">
        <v>193</v>
      </c>
      <c r="AQ33" s="137" t="s">
        <v>193</v>
      </c>
      <c r="AR33" s="137" t="s">
        <v>193</v>
      </c>
      <c r="AV33" s="1">
        <f t="shared" si="5"/>
        <v>3.2</v>
      </c>
      <c r="AW33" s="1">
        <f t="shared" si="0"/>
        <v>3.3</v>
      </c>
      <c r="AX33" s="13">
        <f t="shared" si="6"/>
        <v>1.0312499999999998</v>
      </c>
      <c r="BA33" s="12">
        <f t="shared" si="1"/>
        <v>0</v>
      </c>
      <c r="BB33" s="12">
        <f t="shared" si="7"/>
        <v>0</v>
      </c>
      <c r="BC33" s="12">
        <f t="shared" si="7"/>
        <v>0</v>
      </c>
      <c r="BD33" s="12">
        <f t="shared" si="7"/>
        <v>0</v>
      </c>
      <c r="BE33" s="12">
        <f t="shared" si="7"/>
        <v>0</v>
      </c>
      <c r="BF33" s="12">
        <f t="shared" si="3"/>
        <v>0</v>
      </c>
      <c r="BJ33" s="12" t="str">
        <f t="shared" si="4"/>
        <v/>
      </c>
      <c r="BK33" s="12">
        <f>VLOOKUP(B33,Kraftvärmeprod!$B$1:$BH$549,MATCH($BA$1,Kraftvärmeprod!$B$1:$CC$1,0),FALSE)</f>
        <v>0</v>
      </c>
    </row>
    <row r="34" spans="1:63" ht="15" customHeight="1" x14ac:dyDescent="0.25">
      <c r="A34" s="137" t="s">
        <v>230</v>
      </c>
      <c r="B34" s="137" t="s">
        <v>66</v>
      </c>
      <c r="C34" s="137">
        <v>2018</v>
      </c>
      <c r="D34" s="137">
        <v>236</v>
      </c>
      <c r="E34" s="137">
        <v>247.5</v>
      </c>
      <c r="F34" s="137" t="s">
        <v>193</v>
      </c>
      <c r="G34" s="137">
        <v>3</v>
      </c>
      <c r="H34" s="137" t="s">
        <v>193</v>
      </c>
      <c r="I34" s="137">
        <v>12</v>
      </c>
      <c r="J34" s="137" t="s">
        <v>193</v>
      </c>
      <c r="K34" s="137" t="s">
        <v>193</v>
      </c>
      <c r="L34" s="137" t="s">
        <v>193</v>
      </c>
      <c r="M34" s="137" t="s">
        <v>53</v>
      </c>
      <c r="N34" s="137" t="s">
        <v>193</v>
      </c>
      <c r="O34" s="137" t="s">
        <v>193</v>
      </c>
      <c r="P34" s="137">
        <v>5</v>
      </c>
      <c r="Q34" s="137">
        <v>15</v>
      </c>
      <c r="R34" s="137" t="s">
        <v>193</v>
      </c>
      <c r="S34" s="137" t="s">
        <v>193</v>
      </c>
      <c r="T34" s="137" t="s">
        <v>194</v>
      </c>
      <c r="U34" s="137" t="s">
        <v>193</v>
      </c>
      <c r="V34" s="137" t="s">
        <v>193</v>
      </c>
      <c r="W34" s="137" t="s">
        <v>193</v>
      </c>
      <c r="X34" s="137">
        <v>2.5</v>
      </c>
      <c r="Y34" s="137" t="s">
        <v>193</v>
      </c>
      <c r="Z34" s="137">
        <v>2</v>
      </c>
      <c r="AA34" s="137" t="s">
        <v>193</v>
      </c>
      <c r="AB34" s="137">
        <v>12</v>
      </c>
      <c r="AC34" s="137">
        <v>147</v>
      </c>
      <c r="AD34" s="137">
        <v>4</v>
      </c>
      <c r="AE34" s="137" t="s">
        <v>195</v>
      </c>
      <c r="AF34" s="137">
        <v>40.5</v>
      </c>
      <c r="AG34" s="137" t="s">
        <v>193</v>
      </c>
      <c r="AH34" s="137">
        <v>49</v>
      </c>
      <c r="AI34" s="137" t="s">
        <v>193</v>
      </c>
      <c r="AJ34" s="137" t="s">
        <v>193</v>
      </c>
      <c r="AK34" s="137" t="s">
        <v>193</v>
      </c>
      <c r="AL34" s="137" t="s">
        <v>193</v>
      </c>
      <c r="AM34" s="137" t="s">
        <v>193</v>
      </c>
      <c r="AN34" s="137" t="s">
        <v>53</v>
      </c>
      <c r="AO34" s="137">
        <v>18</v>
      </c>
      <c r="AP34" s="137">
        <v>80</v>
      </c>
      <c r="AQ34" s="137">
        <v>0</v>
      </c>
      <c r="AR34" s="137">
        <v>2</v>
      </c>
      <c r="AV34" s="1">
        <f t="shared" si="5"/>
        <v>247.5</v>
      </c>
      <c r="AW34" s="1">
        <f t="shared" si="0"/>
        <v>236</v>
      </c>
      <c r="AX34" s="13">
        <f t="shared" si="6"/>
        <v>0.95353535353535357</v>
      </c>
      <c r="BA34" s="12">
        <f t="shared" si="1"/>
        <v>49</v>
      </c>
      <c r="BB34" s="12">
        <f t="shared" si="7"/>
        <v>8.82</v>
      </c>
      <c r="BC34" s="12">
        <f t="shared" si="7"/>
        <v>39.200000000000003</v>
      </c>
      <c r="BD34" s="12">
        <f t="shared" si="7"/>
        <v>0</v>
      </c>
      <c r="BE34" s="12">
        <f t="shared" si="7"/>
        <v>0.98</v>
      </c>
      <c r="BF34" s="12">
        <f t="shared" si="3"/>
        <v>0</v>
      </c>
      <c r="BJ34" s="12" t="str">
        <f t="shared" si="4"/>
        <v/>
      </c>
      <c r="BK34" s="12">
        <f>VLOOKUP(B34,Kraftvärmeprod!$B$1:$BH$549,MATCH($BA$1,Kraftvärmeprod!$B$1:$CC$1,0),FALSE)</f>
        <v>16</v>
      </c>
    </row>
    <row r="35" spans="1:63" ht="15" customHeight="1" x14ac:dyDescent="0.25">
      <c r="A35" s="137" t="s">
        <v>231</v>
      </c>
      <c r="B35" s="137" t="s">
        <v>232</v>
      </c>
      <c r="C35" s="137">
        <v>2018</v>
      </c>
      <c r="D35" s="137">
        <v>20.25</v>
      </c>
      <c r="E35" s="137">
        <v>23.59</v>
      </c>
      <c r="F35" s="137" t="s">
        <v>193</v>
      </c>
      <c r="G35" s="137">
        <v>1.93</v>
      </c>
      <c r="H35" s="137" t="s">
        <v>193</v>
      </c>
      <c r="I35" s="137" t="s">
        <v>193</v>
      </c>
      <c r="J35" s="137" t="s">
        <v>193</v>
      </c>
      <c r="K35" s="137" t="s">
        <v>193</v>
      </c>
      <c r="L35" s="137" t="s">
        <v>193</v>
      </c>
      <c r="M35" s="137" t="s">
        <v>53</v>
      </c>
      <c r="N35" s="137" t="s">
        <v>193</v>
      </c>
      <c r="O35" s="137" t="s">
        <v>193</v>
      </c>
      <c r="P35" s="137">
        <v>13.8</v>
      </c>
      <c r="Q35" s="137">
        <v>6.54</v>
      </c>
      <c r="R35" s="137" t="s">
        <v>193</v>
      </c>
      <c r="S35" s="137" t="s">
        <v>193</v>
      </c>
      <c r="T35" s="137" t="s">
        <v>194</v>
      </c>
      <c r="U35" s="137" t="s">
        <v>193</v>
      </c>
      <c r="V35" s="137" t="s">
        <v>193</v>
      </c>
      <c r="W35" s="137" t="s">
        <v>193</v>
      </c>
      <c r="X35" s="137" t="s">
        <v>193</v>
      </c>
      <c r="Y35" s="137" t="s">
        <v>193</v>
      </c>
      <c r="Z35" s="137" t="s">
        <v>193</v>
      </c>
      <c r="AA35" s="137" t="s">
        <v>193</v>
      </c>
      <c r="AB35" s="137" t="s">
        <v>193</v>
      </c>
      <c r="AC35" s="137" t="s">
        <v>193</v>
      </c>
      <c r="AD35" s="137" t="s">
        <v>193</v>
      </c>
      <c r="AE35" s="137" t="s">
        <v>199</v>
      </c>
      <c r="AF35" s="137" t="s">
        <v>193</v>
      </c>
      <c r="AG35" s="137" t="s">
        <v>193</v>
      </c>
      <c r="AH35" s="137">
        <v>1.32</v>
      </c>
      <c r="AI35" s="137" t="s">
        <v>193</v>
      </c>
      <c r="AJ35" s="137" t="s">
        <v>193</v>
      </c>
      <c r="AK35" s="137" t="s">
        <v>193</v>
      </c>
      <c r="AL35" s="137" t="s">
        <v>193</v>
      </c>
      <c r="AM35" s="137" t="s">
        <v>193</v>
      </c>
      <c r="AN35" s="137" t="s">
        <v>53</v>
      </c>
      <c r="AO35" s="137">
        <v>100</v>
      </c>
      <c r="AP35" s="137">
        <v>0</v>
      </c>
      <c r="AQ35" s="137">
        <v>0</v>
      </c>
      <c r="AR35" s="137">
        <v>0</v>
      </c>
      <c r="AV35" s="1">
        <f t="shared" si="5"/>
        <v>23.59</v>
      </c>
      <c r="AW35" s="1">
        <f t="shared" si="0"/>
        <v>20.25</v>
      </c>
      <c r="AX35" s="13">
        <f t="shared" si="6"/>
        <v>0.85841458245019076</v>
      </c>
      <c r="BA35" s="12">
        <f t="shared" si="1"/>
        <v>1.32</v>
      </c>
      <c r="BB35" s="12">
        <f t="shared" si="7"/>
        <v>1.32</v>
      </c>
      <c r="BC35" s="12">
        <f t="shared" si="7"/>
        <v>0</v>
      </c>
      <c r="BD35" s="12">
        <f t="shared" si="7"/>
        <v>0</v>
      </c>
      <c r="BE35" s="12">
        <f t="shared" si="7"/>
        <v>0</v>
      </c>
      <c r="BF35" s="12">
        <f t="shared" si="3"/>
        <v>0</v>
      </c>
      <c r="BJ35" s="12" t="str">
        <f t="shared" si="4"/>
        <v/>
      </c>
      <c r="BK35" s="12">
        <f>VLOOKUP(B35,Kraftvärmeprod!$B$1:$BH$549,MATCH($BA$1,Kraftvärmeprod!$B$1:$CC$1,0),FALSE)</f>
        <v>0</v>
      </c>
    </row>
    <row r="36" spans="1:63" ht="15" customHeight="1" x14ac:dyDescent="0.25">
      <c r="A36" s="137" t="s">
        <v>231</v>
      </c>
      <c r="B36" s="137" t="s">
        <v>233</v>
      </c>
      <c r="C36" s="137">
        <v>2018</v>
      </c>
      <c r="D36" s="137">
        <v>33.75</v>
      </c>
      <c r="E36" s="137">
        <v>39.54</v>
      </c>
      <c r="F36" s="137" t="s">
        <v>193</v>
      </c>
      <c r="G36" s="137">
        <v>1.0900000000000001</v>
      </c>
      <c r="H36" s="137" t="s">
        <v>193</v>
      </c>
      <c r="I36" s="137" t="s">
        <v>193</v>
      </c>
      <c r="J36" s="137" t="s">
        <v>193</v>
      </c>
      <c r="K36" s="137" t="s">
        <v>193</v>
      </c>
      <c r="L36" s="137" t="s">
        <v>193</v>
      </c>
      <c r="M36" s="137" t="s">
        <v>53</v>
      </c>
      <c r="N36" s="137" t="s">
        <v>193</v>
      </c>
      <c r="O36" s="137">
        <v>1.06</v>
      </c>
      <c r="P36" s="137">
        <v>1.9</v>
      </c>
      <c r="Q36" s="137">
        <v>1.06</v>
      </c>
      <c r="R36" s="137" t="s">
        <v>193</v>
      </c>
      <c r="S36" s="137" t="s">
        <v>193</v>
      </c>
      <c r="T36" s="137" t="s">
        <v>194</v>
      </c>
      <c r="U36" s="137" t="s">
        <v>193</v>
      </c>
      <c r="V36" s="137" t="s">
        <v>193</v>
      </c>
      <c r="W36" s="137" t="s">
        <v>193</v>
      </c>
      <c r="X36" s="137">
        <v>29.43</v>
      </c>
      <c r="Y36" s="137" t="s">
        <v>193</v>
      </c>
      <c r="Z36" s="137" t="s">
        <v>193</v>
      </c>
      <c r="AA36" s="137" t="s">
        <v>193</v>
      </c>
      <c r="AB36" s="137" t="s">
        <v>193</v>
      </c>
      <c r="AC36" s="137">
        <v>4.04</v>
      </c>
      <c r="AD36" s="137" t="s">
        <v>193</v>
      </c>
      <c r="AE36" s="137" t="s">
        <v>195</v>
      </c>
      <c r="AF36" s="137">
        <v>40.5</v>
      </c>
      <c r="AG36" s="137" t="s">
        <v>193</v>
      </c>
      <c r="AH36" s="137">
        <v>0.96</v>
      </c>
      <c r="AI36" s="137" t="s">
        <v>193</v>
      </c>
      <c r="AJ36" s="137" t="s">
        <v>193</v>
      </c>
      <c r="AK36" s="137" t="s">
        <v>193</v>
      </c>
      <c r="AL36" s="137" t="s">
        <v>193</v>
      </c>
      <c r="AM36" s="137" t="s">
        <v>193</v>
      </c>
      <c r="AN36" s="137" t="s">
        <v>53</v>
      </c>
      <c r="AO36" s="137">
        <v>42.1</v>
      </c>
      <c r="AP36" s="137">
        <v>57.9</v>
      </c>
      <c r="AQ36" s="137">
        <v>0</v>
      </c>
      <c r="AR36" s="137">
        <v>0</v>
      </c>
      <c r="AV36" s="1">
        <f t="shared" si="5"/>
        <v>39.54</v>
      </c>
      <c r="AW36" s="1">
        <f t="shared" si="0"/>
        <v>33.75</v>
      </c>
      <c r="AX36" s="13">
        <f t="shared" si="6"/>
        <v>0.85356600910470415</v>
      </c>
      <c r="BA36" s="12">
        <f t="shared" si="1"/>
        <v>0.96</v>
      </c>
      <c r="BB36" s="12">
        <f t="shared" si="7"/>
        <v>0.40416000000000002</v>
      </c>
      <c r="BC36" s="12">
        <f t="shared" si="7"/>
        <v>0.55583999999999989</v>
      </c>
      <c r="BD36" s="12">
        <f t="shared" si="7"/>
        <v>0</v>
      </c>
      <c r="BE36" s="12">
        <f t="shared" si="7"/>
        <v>0</v>
      </c>
      <c r="BF36" s="12">
        <f t="shared" si="3"/>
        <v>0</v>
      </c>
      <c r="BJ36" s="12" t="str">
        <f t="shared" si="4"/>
        <v/>
      </c>
      <c r="BK36" s="12">
        <f>VLOOKUP(B36,Kraftvärmeprod!$B$1:$BH$549,MATCH($BA$1,Kraftvärmeprod!$B$1:$CC$1,0),FALSE)</f>
        <v>10.59</v>
      </c>
    </row>
    <row r="37" spans="1:63" ht="15" customHeight="1" x14ac:dyDescent="0.25">
      <c r="A37" s="137" t="s">
        <v>231</v>
      </c>
      <c r="B37" s="137" t="s">
        <v>234</v>
      </c>
      <c r="C37" s="137">
        <v>2018</v>
      </c>
      <c r="D37" s="137">
        <v>25.42</v>
      </c>
      <c r="E37" s="137">
        <v>29.32</v>
      </c>
      <c r="F37" s="137" t="s">
        <v>193</v>
      </c>
      <c r="G37" s="137">
        <v>0.24</v>
      </c>
      <c r="H37" s="137" t="s">
        <v>193</v>
      </c>
      <c r="I37" s="137" t="s">
        <v>193</v>
      </c>
      <c r="J37" s="137" t="s">
        <v>193</v>
      </c>
      <c r="K37" s="137" t="s">
        <v>193</v>
      </c>
      <c r="L37" s="137" t="s">
        <v>193</v>
      </c>
      <c r="M37" s="137" t="s">
        <v>53</v>
      </c>
      <c r="N37" s="137" t="s">
        <v>193</v>
      </c>
      <c r="O37" s="137">
        <v>12</v>
      </c>
      <c r="P37" s="137">
        <v>1</v>
      </c>
      <c r="Q37" s="137">
        <v>12.75</v>
      </c>
      <c r="R37" s="137" t="s">
        <v>193</v>
      </c>
      <c r="S37" s="137" t="s">
        <v>193</v>
      </c>
      <c r="T37" s="137" t="s">
        <v>194</v>
      </c>
      <c r="U37" s="137" t="s">
        <v>193</v>
      </c>
      <c r="V37" s="137" t="s">
        <v>193</v>
      </c>
      <c r="W37" s="137" t="s">
        <v>193</v>
      </c>
      <c r="X37" s="137" t="s">
        <v>193</v>
      </c>
      <c r="Y37" s="137" t="s">
        <v>193</v>
      </c>
      <c r="Z37" s="137" t="s">
        <v>193</v>
      </c>
      <c r="AA37" s="137" t="s">
        <v>193</v>
      </c>
      <c r="AB37" s="137" t="s">
        <v>193</v>
      </c>
      <c r="AC37" s="137" t="s">
        <v>193</v>
      </c>
      <c r="AD37" s="137" t="s">
        <v>193</v>
      </c>
      <c r="AE37" s="137" t="s">
        <v>199</v>
      </c>
      <c r="AF37" s="137" t="s">
        <v>193</v>
      </c>
      <c r="AG37" s="137" t="s">
        <v>193</v>
      </c>
      <c r="AH37" s="137">
        <v>3.33</v>
      </c>
      <c r="AI37" s="137" t="s">
        <v>193</v>
      </c>
      <c r="AJ37" s="137" t="s">
        <v>193</v>
      </c>
      <c r="AK37" s="137" t="s">
        <v>193</v>
      </c>
      <c r="AL37" s="137" t="s">
        <v>193</v>
      </c>
      <c r="AM37" s="137" t="s">
        <v>193</v>
      </c>
      <c r="AN37" s="137" t="s">
        <v>53</v>
      </c>
      <c r="AO37" s="137">
        <v>100</v>
      </c>
      <c r="AP37" s="137">
        <v>0</v>
      </c>
      <c r="AQ37" s="137">
        <v>0</v>
      </c>
      <c r="AR37" s="137">
        <v>0</v>
      </c>
      <c r="AV37" s="1">
        <f t="shared" si="5"/>
        <v>29.32</v>
      </c>
      <c r="AW37" s="1">
        <f t="shared" si="0"/>
        <v>25.42</v>
      </c>
      <c r="AX37" s="13">
        <f t="shared" si="6"/>
        <v>0.86698499317871769</v>
      </c>
      <c r="BA37" s="12">
        <f t="shared" si="1"/>
        <v>3.33</v>
      </c>
      <c r="BB37" s="12">
        <f t="shared" si="7"/>
        <v>3.33</v>
      </c>
      <c r="BC37" s="12">
        <f t="shared" si="7"/>
        <v>0</v>
      </c>
      <c r="BD37" s="12">
        <f t="shared" si="7"/>
        <v>0</v>
      </c>
      <c r="BE37" s="12">
        <f t="shared" si="7"/>
        <v>0</v>
      </c>
      <c r="BF37" s="12">
        <f t="shared" si="3"/>
        <v>0</v>
      </c>
      <c r="BJ37" s="12" t="str">
        <f t="shared" si="4"/>
        <v/>
      </c>
      <c r="BK37" s="12">
        <f>VLOOKUP(B37,Kraftvärmeprod!$B$1:$BH$549,MATCH($BA$1,Kraftvärmeprod!$B$1:$CC$1,0),FALSE)</f>
        <v>0</v>
      </c>
    </row>
    <row r="38" spans="1:63" ht="15" customHeight="1" x14ac:dyDescent="0.25">
      <c r="A38" s="137" t="s">
        <v>235</v>
      </c>
      <c r="B38" s="137" t="s">
        <v>236</v>
      </c>
      <c r="C38" s="137">
        <v>2018</v>
      </c>
      <c r="D38" s="137">
        <v>30.652999999999999</v>
      </c>
      <c r="E38" s="137">
        <v>31.696999999999999</v>
      </c>
      <c r="F38" s="137" t="s">
        <v>193</v>
      </c>
      <c r="G38" s="137">
        <v>2.5000000000000001E-2</v>
      </c>
      <c r="H38" s="137" t="s">
        <v>193</v>
      </c>
      <c r="I38" s="137" t="s">
        <v>193</v>
      </c>
      <c r="J38" s="137" t="s">
        <v>193</v>
      </c>
      <c r="K38" s="137" t="s">
        <v>193</v>
      </c>
      <c r="L38" s="137" t="s">
        <v>193</v>
      </c>
      <c r="M38" s="137" t="s">
        <v>53</v>
      </c>
      <c r="N38" s="137" t="s">
        <v>193</v>
      </c>
      <c r="O38" s="137" t="s">
        <v>193</v>
      </c>
      <c r="P38" s="137">
        <v>26.951000000000001</v>
      </c>
      <c r="Q38" s="137" t="s">
        <v>193</v>
      </c>
      <c r="R38" s="137" t="s">
        <v>193</v>
      </c>
      <c r="S38" s="137" t="s">
        <v>193</v>
      </c>
      <c r="T38" s="137" t="s">
        <v>193</v>
      </c>
      <c r="U38" s="137" t="s">
        <v>193</v>
      </c>
      <c r="V38" s="137" t="s">
        <v>193</v>
      </c>
      <c r="W38" s="137" t="s">
        <v>193</v>
      </c>
      <c r="X38" s="137" t="s">
        <v>193</v>
      </c>
      <c r="Y38" s="137" t="s">
        <v>193</v>
      </c>
      <c r="Z38" s="137" t="s">
        <v>193</v>
      </c>
      <c r="AA38" s="137" t="s">
        <v>193</v>
      </c>
      <c r="AB38" s="137" t="s">
        <v>193</v>
      </c>
      <c r="AC38" s="137" t="s">
        <v>193</v>
      </c>
      <c r="AD38" s="137" t="s">
        <v>193</v>
      </c>
      <c r="AE38" s="137" t="s">
        <v>53</v>
      </c>
      <c r="AF38" s="137" t="s">
        <v>193</v>
      </c>
      <c r="AG38" s="137" t="s">
        <v>193</v>
      </c>
      <c r="AH38" s="137">
        <v>4.7210000000000001</v>
      </c>
      <c r="AI38" s="137" t="s">
        <v>193</v>
      </c>
      <c r="AJ38" s="137" t="s">
        <v>193</v>
      </c>
      <c r="AK38" s="137" t="s">
        <v>193</v>
      </c>
      <c r="AL38" s="137" t="s">
        <v>193</v>
      </c>
      <c r="AM38" s="137" t="s">
        <v>193</v>
      </c>
      <c r="AN38" s="137" t="s">
        <v>53</v>
      </c>
      <c r="AO38" s="137">
        <v>100</v>
      </c>
      <c r="AP38" s="137">
        <v>0</v>
      </c>
      <c r="AQ38" s="137">
        <v>0</v>
      </c>
      <c r="AR38" s="137">
        <v>0</v>
      </c>
      <c r="AV38" s="1">
        <f t="shared" si="5"/>
        <v>31.696999999999999</v>
      </c>
      <c r="AW38" s="1">
        <f t="shared" si="0"/>
        <v>30.652999999999999</v>
      </c>
      <c r="AX38" s="13">
        <f t="shared" si="6"/>
        <v>0.96706312900274471</v>
      </c>
      <c r="BA38" s="12">
        <f t="shared" si="1"/>
        <v>4.7210000000000001</v>
      </c>
      <c r="BB38" s="12">
        <f t="shared" si="7"/>
        <v>4.7210000000000001</v>
      </c>
      <c r="BC38" s="12">
        <f t="shared" si="7"/>
        <v>0</v>
      </c>
      <c r="BD38" s="12">
        <f t="shared" si="7"/>
        <v>0</v>
      </c>
      <c r="BE38" s="12">
        <f t="shared" si="7"/>
        <v>0</v>
      </c>
      <c r="BF38" s="12">
        <f t="shared" si="3"/>
        <v>0</v>
      </c>
      <c r="BJ38" s="12" t="str">
        <f t="shared" si="4"/>
        <v/>
      </c>
      <c r="BK38" s="12">
        <f>VLOOKUP(B38,Kraftvärmeprod!$B$1:$BH$549,MATCH($BA$1,Kraftvärmeprod!$B$1:$CC$1,0),FALSE)</f>
        <v>0</v>
      </c>
    </row>
    <row r="39" spans="1:63" ht="15" customHeight="1" x14ac:dyDescent="0.25">
      <c r="A39" s="137" t="s">
        <v>235</v>
      </c>
      <c r="B39" s="137" t="s">
        <v>237</v>
      </c>
      <c r="C39" s="137">
        <v>2018</v>
      </c>
      <c r="D39" s="137">
        <v>2.8650000000000002</v>
      </c>
      <c r="E39" s="137">
        <v>2.8650000000000002</v>
      </c>
      <c r="F39" s="137" t="s">
        <v>193</v>
      </c>
      <c r="G39" s="137">
        <v>9.0999999999999998E-2</v>
      </c>
      <c r="H39" s="137" t="s">
        <v>193</v>
      </c>
      <c r="I39" s="137" t="s">
        <v>193</v>
      </c>
      <c r="J39" s="137" t="s">
        <v>193</v>
      </c>
      <c r="K39" s="137" t="s">
        <v>193</v>
      </c>
      <c r="L39" s="137" t="s">
        <v>193</v>
      </c>
      <c r="M39" s="137" t="s">
        <v>53</v>
      </c>
      <c r="N39" s="137" t="s">
        <v>193</v>
      </c>
      <c r="O39" s="137" t="s">
        <v>193</v>
      </c>
      <c r="P39" s="137">
        <v>2.774</v>
      </c>
      <c r="Q39" s="137" t="s">
        <v>193</v>
      </c>
      <c r="R39" s="137" t="s">
        <v>193</v>
      </c>
      <c r="S39" s="137" t="s">
        <v>193</v>
      </c>
      <c r="T39" s="137" t="s">
        <v>193</v>
      </c>
      <c r="U39" s="137" t="s">
        <v>193</v>
      </c>
      <c r="V39" s="137" t="s">
        <v>193</v>
      </c>
      <c r="W39" s="137" t="s">
        <v>193</v>
      </c>
      <c r="X39" s="137" t="s">
        <v>193</v>
      </c>
      <c r="Y39" s="137" t="s">
        <v>193</v>
      </c>
      <c r="Z39" s="137" t="s">
        <v>193</v>
      </c>
      <c r="AA39" s="137" t="s">
        <v>193</v>
      </c>
      <c r="AB39" s="137" t="s">
        <v>193</v>
      </c>
      <c r="AC39" s="137" t="s">
        <v>193</v>
      </c>
      <c r="AD39" s="137" t="s">
        <v>193</v>
      </c>
      <c r="AE39" s="137" t="s">
        <v>53</v>
      </c>
      <c r="AF39" s="137" t="s">
        <v>193</v>
      </c>
      <c r="AG39" s="137" t="s">
        <v>193</v>
      </c>
      <c r="AH39" s="137" t="s">
        <v>193</v>
      </c>
      <c r="AI39" s="137" t="s">
        <v>193</v>
      </c>
      <c r="AJ39" s="137" t="s">
        <v>193</v>
      </c>
      <c r="AK39" s="137" t="s">
        <v>193</v>
      </c>
      <c r="AL39" s="137" t="s">
        <v>193</v>
      </c>
      <c r="AM39" s="137" t="s">
        <v>193</v>
      </c>
      <c r="AN39" s="137" t="s">
        <v>53</v>
      </c>
      <c r="AO39" s="137" t="s">
        <v>193</v>
      </c>
      <c r="AP39" s="137" t="s">
        <v>193</v>
      </c>
      <c r="AQ39" s="137" t="s">
        <v>193</v>
      </c>
      <c r="AR39" s="137" t="s">
        <v>193</v>
      </c>
      <c r="AV39" s="1">
        <f t="shared" si="5"/>
        <v>2.8650000000000002</v>
      </c>
      <c r="AW39" s="1">
        <f t="shared" si="0"/>
        <v>2.8650000000000002</v>
      </c>
      <c r="AX39" s="13">
        <f t="shared" si="6"/>
        <v>1</v>
      </c>
      <c r="BA39" s="12">
        <f t="shared" si="1"/>
        <v>0</v>
      </c>
      <c r="BB39" s="12">
        <f t="shared" si="7"/>
        <v>0</v>
      </c>
      <c r="BC39" s="12">
        <f t="shared" si="7"/>
        <v>0</v>
      </c>
      <c r="BD39" s="12">
        <f t="shared" si="7"/>
        <v>0</v>
      </c>
      <c r="BE39" s="12">
        <f t="shared" si="7"/>
        <v>0</v>
      </c>
      <c r="BF39" s="12">
        <f t="shared" si="3"/>
        <v>0</v>
      </c>
      <c r="BJ39" s="12" t="str">
        <f t="shared" si="4"/>
        <v/>
      </c>
      <c r="BK39" s="12">
        <f>VLOOKUP(B39,Kraftvärmeprod!$B$1:$BH$549,MATCH($BA$1,Kraftvärmeprod!$B$1:$CC$1,0),FALSE)</f>
        <v>0</v>
      </c>
    </row>
    <row r="40" spans="1:63" ht="15" customHeight="1" x14ac:dyDescent="0.25">
      <c r="A40" s="137" t="s">
        <v>238</v>
      </c>
      <c r="B40" s="137" t="s">
        <v>239</v>
      </c>
      <c r="C40" s="137">
        <v>2018</v>
      </c>
      <c r="D40" s="137">
        <v>71.828000000000003</v>
      </c>
      <c r="E40" s="137">
        <v>72.400999999999996</v>
      </c>
      <c r="F40" s="137" t="s">
        <v>193</v>
      </c>
      <c r="G40" s="137">
        <v>0.47399999999999998</v>
      </c>
      <c r="H40" s="137">
        <v>1.4419999999999999</v>
      </c>
      <c r="I40" s="137" t="s">
        <v>193</v>
      </c>
      <c r="J40" s="137" t="s">
        <v>193</v>
      </c>
      <c r="K40" s="137" t="s">
        <v>193</v>
      </c>
      <c r="L40" s="137" t="s">
        <v>193</v>
      </c>
      <c r="M40" s="137" t="s">
        <v>193</v>
      </c>
      <c r="N40" s="137" t="s">
        <v>193</v>
      </c>
      <c r="O40" s="137" t="s">
        <v>193</v>
      </c>
      <c r="P40" s="137" t="s">
        <v>193</v>
      </c>
      <c r="Q40" s="137" t="s">
        <v>193</v>
      </c>
      <c r="R40" s="137" t="s">
        <v>193</v>
      </c>
      <c r="S40" s="137" t="s">
        <v>193</v>
      </c>
      <c r="T40" s="137" t="s">
        <v>193</v>
      </c>
      <c r="U40" s="137" t="s">
        <v>193</v>
      </c>
      <c r="V40" s="137" t="s">
        <v>193</v>
      </c>
      <c r="W40" s="137" t="s">
        <v>193</v>
      </c>
      <c r="X40" s="137">
        <v>2.6349999999999998</v>
      </c>
      <c r="Y40" s="137" t="s">
        <v>193</v>
      </c>
      <c r="Z40" s="137" t="s">
        <v>193</v>
      </c>
      <c r="AA40" s="137" t="s">
        <v>193</v>
      </c>
      <c r="AB40" s="137" t="s">
        <v>193</v>
      </c>
      <c r="AC40" s="137">
        <v>55.652000000000001</v>
      </c>
      <c r="AD40" s="137" t="s">
        <v>193</v>
      </c>
      <c r="AE40" s="137" t="s">
        <v>195</v>
      </c>
      <c r="AF40" s="137">
        <v>40.5</v>
      </c>
      <c r="AG40" s="137">
        <v>2.8620000000000001</v>
      </c>
      <c r="AH40" s="137">
        <v>8.5</v>
      </c>
      <c r="AI40" s="137">
        <v>0.83599999999999997</v>
      </c>
      <c r="AJ40" s="137" t="s">
        <v>240</v>
      </c>
      <c r="AK40" s="137">
        <v>0.27900000000000003</v>
      </c>
      <c r="AL40" s="137" t="s">
        <v>193</v>
      </c>
      <c r="AM40" s="137" t="s">
        <v>193</v>
      </c>
      <c r="AN40" s="137" t="s">
        <v>193</v>
      </c>
      <c r="AO40" s="137">
        <v>0</v>
      </c>
      <c r="AP40" s="137">
        <v>100</v>
      </c>
      <c r="AQ40" s="137" t="s">
        <v>193</v>
      </c>
      <c r="AR40" s="137" t="s">
        <v>193</v>
      </c>
      <c r="AV40" s="1">
        <f t="shared" si="5"/>
        <v>72.40100000000001</v>
      </c>
      <c r="AW40" s="1">
        <f t="shared" si="0"/>
        <v>71.828000000000003</v>
      </c>
      <c r="AX40" s="13">
        <f t="shared" si="6"/>
        <v>0.99208574467203481</v>
      </c>
      <c r="BA40" s="12">
        <f t="shared" si="1"/>
        <v>8.5</v>
      </c>
      <c r="BB40" s="12">
        <f t="shared" si="7"/>
        <v>0</v>
      </c>
      <c r="BC40" s="12">
        <f t="shared" si="7"/>
        <v>8.5</v>
      </c>
      <c r="BD40" s="12">
        <f t="shared" si="7"/>
        <v>0</v>
      </c>
      <c r="BE40" s="12">
        <f t="shared" si="7"/>
        <v>0</v>
      </c>
      <c r="BF40" s="12">
        <f t="shared" si="3"/>
        <v>0</v>
      </c>
      <c r="BJ40" s="12" t="str">
        <f t="shared" si="4"/>
        <v/>
      </c>
      <c r="BK40" s="12">
        <f>VLOOKUP(B40,Kraftvärmeprod!$B$1:$BH$549,MATCH($BA$1,Kraftvärmeprod!$B$1:$CC$1,0),FALSE)</f>
        <v>0</v>
      </c>
    </row>
    <row r="41" spans="1:63" ht="15" customHeight="1" x14ac:dyDescent="0.25">
      <c r="A41" s="137" t="s">
        <v>238</v>
      </c>
      <c r="B41" s="137" t="s">
        <v>241</v>
      </c>
      <c r="C41" s="137">
        <v>2018</v>
      </c>
      <c r="D41" s="137">
        <v>2.5649999999999999</v>
      </c>
      <c r="E41" s="137">
        <v>3.0171000000000001</v>
      </c>
      <c r="F41" s="137" t="s">
        <v>193</v>
      </c>
      <c r="G41" s="137">
        <v>1.1000000000000001E-3</v>
      </c>
      <c r="H41" s="137" t="s">
        <v>193</v>
      </c>
      <c r="I41" s="137" t="s">
        <v>193</v>
      </c>
      <c r="J41" s="137" t="s">
        <v>193</v>
      </c>
      <c r="K41" s="137" t="s">
        <v>193</v>
      </c>
      <c r="L41" s="137" t="s">
        <v>193</v>
      </c>
      <c r="M41" s="137" t="s">
        <v>193</v>
      </c>
      <c r="N41" s="137" t="s">
        <v>193</v>
      </c>
      <c r="O41" s="137" t="s">
        <v>193</v>
      </c>
      <c r="P41" s="137" t="s">
        <v>193</v>
      </c>
      <c r="Q41" s="137" t="s">
        <v>193</v>
      </c>
      <c r="R41" s="137" t="s">
        <v>193</v>
      </c>
      <c r="S41" s="137" t="s">
        <v>193</v>
      </c>
      <c r="T41" s="137" t="s">
        <v>193</v>
      </c>
      <c r="U41" s="137">
        <v>3.016</v>
      </c>
      <c r="V41" s="137" t="s">
        <v>193</v>
      </c>
      <c r="W41" s="137" t="s">
        <v>193</v>
      </c>
      <c r="X41" s="137" t="s">
        <v>193</v>
      </c>
      <c r="Y41" s="137" t="s">
        <v>193</v>
      </c>
      <c r="Z41" s="137" t="s">
        <v>193</v>
      </c>
      <c r="AA41" s="137" t="s">
        <v>193</v>
      </c>
      <c r="AB41" s="137" t="s">
        <v>193</v>
      </c>
      <c r="AC41" s="137" t="s">
        <v>193</v>
      </c>
      <c r="AD41" s="137" t="s">
        <v>193</v>
      </c>
      <c r="AE41" s="137" t="s">
        <v>199</v>
      </c>
      <c r="AF41" s="137" t="s">
        <v>193</v>
      </c>
      <c r="AG41" s="137" t="s">
        <v>193</v>
      </c>
      <c r="AH41" s="137" t="s">
        <v>193</v>
      </c>
      <c r="AI41" s="137" t="s">
        <v>193</v>
      </c>
      <c r="AJ41" s="137" t="s">
        <v>193</v>
      </c>
      <c r="AK41" s="137" t="s">
        <v>193</v>
      </c>
      <c r="AL41" s="137" t="s">
        <v>193</v>
      </c>
      <c r="AM41" s="137" t="s">
        <v>193</v>
      </c>
      <c r="AN41" s="137" t="s">
        <v>193</v>
      </c>
      <c r="AO41" s="137" t="s">
        <v>193</v>
      </c>
      <c r="AP41" s="137" t="s">
        <v>193</v>
      </c>
      <c r="AQ41" s="137" t="s">
        <v>193</v>
      </c>
      <c r="AR41" s="137" t="s">
        <v>193</v>
      </c>
      <c r="AV41" s="1">
        <f t="shared" si="5"/>
        <v>3.0171000000000001</v>
      </c>
      <c r="AW41" s="1">
        <f t="shared" si="0"/>
        <v>2.5649999999999999</v>
      </c>
      <c r="AX41" s="13">
        <f t="shared" si="6"/>
        <v>0.85015412150740777</v>
      </c>
      <c r="BA41" s="12">
        <f t="shared" si="1"/>
        <v>0</v>
      </c>
      <c r="BB41" s="12">
        <f t="shared" si="7"/>
        <v>0</v>
      </c>
      <c r="BC41" s="12">
        <f t="shared" si="7"/>
        <v>0</v>
      </c>
      <c r="BD41" s="12">
        <f t="shared" si="7"/>
        <v>0</v>
      </c>
      <c r="BE41" s="12">
        <f t="shared" si="7"/>
        <v>0</v>
      </c>
      <c r="BF41" s="12">
        <f t="shared" si="3"/>
        <v>0</v>
      </c>
      <c r="BJ41" s="12" t="str">
        <f t="shared" si="4"/>
        <v/>
      </c>
      <c r="BK41" s="12">
        <f>VLOOKUP(B41,Kraftvärmeprod!$B$1:$BH$549,MATCH($BA$1,Kraftvärmeprod!$B$1:$CC$1,0),FALSE)</f>
        <v>0</v>
      </c>
    </row>
    <row r="42" spans="1:63" ht="15" customHeight="1" x14ac:dyDescent="0.25">
      <c r="A42" s="137" t="s">
        <v>238</v>
      </c>
      <c r="B42" s="137" t="s">
        <v>242</v>
      </c>
      <c r="C42" s="137">
        <v>2018</v>
      </c>
      <c r="D42" s="137">
        <v>4.766</v>
      </c>
      <c r="E42" s="137">
        <v>5.5309999999999997</v>
      </c>
      <c r="F42" s="137" t="s">
        <v>193</v>
      </c>
      <c r="G42" s="137">
        <v>0</v>
      </c>
      <c r="H42" s="137" t="s">
        <v>193</v>
      </c>
      <c r="I42" s="137" t="s">
        <v>193</v>
      </c>
      <c r="J42" s="137" t="s">
        <v>193</v>
      </c>
      <c r="K42" s="137" t="s">
        <v>193</v>
      </c>
      <c r="L42" s="137" t="s">
        <v>193</v>
      </c>
      <c r="M42" s="137" t="s">
        <v>193</v>
      </c>
      <c r="N42" s="137" t="s">
        <v>193</v>
      </c>
      <c r="O42" s="137" t="s">
        <v>193</v>
      </c>
      <c r="P42" s="137" t="s">
        <v>193</v>
      </c>
      <c r="Q42" s="137" t="s">
        <v>193</v>
      </c>
      <c r="R42" s="137" t="s">
        <v>193</v>
      </c>
      <c r="S42" s="137" t="s">
        <v>193</v>
      </c>
      <c r="T42" s="137" t="s">
        <v>193</v>
      </c>
      <c r="U42" s="137">
        <v>5.4710000000000001</v>
      </c>
      <c r="V42" s="137" t="s">
        <v>193</v>
      </c>
      <c r="W42" s="137" t="s">
        <v>193</v>
      </c>
      <c r="X42" s="137" t="s">
        <v>193</v>
      </c>
      <c r="Y42" s="137" t="s">
        <v>193</v>
      </c>
      <c r="Z42" s="137" t="s">
        <v>193</v>
      </c>
      <c r="AA42" s="137" t="s">
        <v>193</v>
      </c>
      <c r="AB42" s="137" t="s">
        <v>193</v>
      </c>
      <c r="AC42" s="137" t="s">
        <v>193</v>
      </c>
      <c r="AD42" s="137" t="s">
        <v>193</v>
      </c>
      <c r="AE42" s="137" t="s">
        <v>199</v>
      </c>
      <c r="AF42" s="137" t="s">
        <v>193</v>
      </c>
      <c r="AG42" s="137" t="s">
        <v>193</v>
      </c>
      <c r="AH42" s="137" t="s">
        <v>193</v>
      </c>
      <c r="AI42" s="137" t="s">
        <v>193</v>
      </c>
      <c r="AJ42" s="137" t="s">
        <v>193</v>
      </c>
      <c r="AK42" s="137" t="s">
        <v>193</v>
      </c>
      <c r="AL42" s="137">
        <v>0.06</v>
      </c>
      <c r="AM42" s="137">
        <v>7.0199999999999999E-2</v>
      </c>
      <c r="AN42" s="137" t="s">
        <v>193</v>
      </c>
      <c r="AO42" s="137" t="s">
        <v>193</v>
      </c>
      <c r="AP42" s="137" t="s">
        <v>193</v>
      </c>
      <c r="AQ42" s="137" t="s">
        <v>193</v>
      </c>
      <c r="AR42" s="137" t="s">
        <v>193</v>
      </c>
      <c r="AV42" s="1">
        <f t="shared" si="5"/>
        <v>5.5309999999999997</v>
      </c>
      <c r="AW42" s="1">
        <f t="shared" si="0"/>
        <v>4.766</v>
      </c>
      <c r="AX42" s="13">
        <f t="shared" si="6"/>
        <v>0.86168866389441334</v>
      </c>
      <c r="BA42" s="12">
        <f t="shared" si="1"/>
        <v>0</v>
      </c>
      <c r="BB42" s="12">
        <f t="shared" si="7"/>
        <v>0</v>
      </c>
      <c r="BC42" s="12">
        <f t="shared" si="7"/>
        <v>0</v>
      </c>
      <c r="BD42" s="12">
        <f t="shared" si="7"/>
        <v>0</v>
      </c>
      <c r="BE42" s="12">
        <f t="shared" si="7"/>
        <v>0</v>
      </c>
      <c r="BF42" s="12">
        <f t="shared" si="3"/>
        <v>0</v>
      </c>
      <c r="BJ42" s="12" t="str">
        <f t="shared" si="4"/>
        <v/>
      </c>
      <c r="BK42" s="12">
        <f>VLOOKUP(B42,Kraftvärmeprod!$B$1:$BH$549,MATCH($BA$1,Kraftvärmeprod!$B$1:$CC$1,0),FALSE)</f>
        <v>0</v>
      </c>
    </row>
    <row r="43" spans="1:63" ht="15" customHeight="1" x14ac:dyDescent="0.25">
      <c r="A43" s="137" t="s">
        <v>243</v>
      </c>
      <c r="B43" s="137" t="s">
        <v>244</v>
      </c>
      <c r="C43" s="137">
        <v>2018</v>
      </c>
      <c r="D43" s="137">
        <v>82.01</v>
      </c>
      <c r="E43" s="137">
        <v>85.32</v>
      </c>
      <c r="F43" s="137" t="s">
        <v>193</v>
      </c>
      <c r="G43" s="137">
        <v>0.12</v>
      </c>
      <c r="H43" s="137">
        <v>7.39</v>
      </c>
      <c r="I43" s="137" t="s">
        <v>193</v>
      </c>
      <c r="J43" s="137" t="s">
        <v>193</v>
      </c>
      <c r="K43" s="137" t="s">
        <v>193</v>
      </c>
      <c r="L43" s="137">
        <v>6.23</v>
      </c>
      <c r="M43" s="137" t="s">
        <v>53</v>
      </c>
      <c r="N43" s="137" t="s">
        <v>193</v>
      </c>
      <c r="O43" s="137" t="s">
        <v>193</v>
      </c>
      <c r="P43" s="137" t="s">
        <v>193</v>
      </c>
      <c r="Q43" s="137" t="s">
        <v>193</v>
      </c>
      <c r="R43" s="137" t="s">
        <v>193</v>
      </c>
      <c r="S43" s="137" t="s">
        <v>193</v>
      </c>
      <c r="T43" s="137" t="s">
        <v>193</v>
      </c>
      <c r="U43" s="137">
        <v>35.32</v>
      </c>
      <c r="V43" s="137" t="s">
        <v>193</v>
      </c>
      <c r="W43" s="137" t="s">
        <v>193</v>
      </c>
      <c r="X43" s="137" t="s">
        <v>193</v>
      </c>
      <c r="Y43" s="137" t="s">
        <v>193</v>
      </c>
      <c r="Z43" s="137">
        <v>21.63</v>
      </c>
      <c r="AA43" s="137" t="s">
        <v>193</v>
      </c>
      <c r="AB43" s="137" t="s">
        <v>193</v>
      </c>
      <c r="AC43" s="137" t="s">
        <v>193</v>
      </c>
      <c r="AD43" s="137" t="s">
        <v>193</v>
      </c>
      <c r="AE43" s="137" t="s">
        <v>199</v>
      </c>
      <c r="AF43" s="137" t="s">
        <v>193</v>
      </c>
      <c r="AG43" s="137" t="s">
        <v>193</v>
      </c>
      <c r="AH43" s="137" t="s">
        <v>193</v>
      </c>
      <c r="AI43" s="137">
        <v>14.2</v>
      </c>
      <c r="AJ43" s="137" t="s">
        <v>240</v>
      </c>
      <c r="AK43" s="137">
        <v>4.97</v>
      </c>
      <c r="AL43" s="137">
        <v>0.43</v>
      </c>
      <c r="AM43" s="137">
        <v>0.43</v>
      </c>
      <c r="AN43" s="137" t="s">
        <v>53</v>
      </c>
      <c r="AO43" s="137" t="s">
        <v>193</v>
      </c>
      <c r="AP43" s="137" t="s">
        <v>193</v>
      </c>
      <c r="AQ43" s="137" t="s">
        <v>193</v>
      </c>
      <c r="AR43" s="137" t="s">
        <v>193</v>
      </c>
      <c r="AV43" s="1">
        <f t="shared" si="5"/>
        <v>85.320000000000007</v>
      </c>
      <c r="AW43" s="1">
        <f t="shared" si="0"/>
        <v>82.01</v>
      </c>
      <c r="AX43" s="13">
        <f t="shared" si="6"/>
        <v>0.96120487576183777</v>
      </c>
      <c r="BA43" s="12">
        <f t="shared" si="1"/>
        <v>0</v>
      </c>
      <c r="BB43" s="12">
        <f t="shared" si="7"/>
        <v>0</v>
      </c>
      <c r="BC43" s="12">
        <f t="shared" si="7"/>
        <v>0</v>
      </c>
      <c r="BD43" s="12">
        <f t="shared" si="7"/>
        <v>0</v>
      </c>
      <c r="BE43" s="12">
        <f t="shared" si="7"/>
        <v>0</v>
      </c>
      <c r="BF43" s="12">
        <f t="shared" si="3"/>
        <v>0</v>
      </c>
      <c r="BJ43" s="12" t="str">
        <f t="shared" si="4"/>
        <v/>
      </c>
      <c r="BK43" s="12">
        <f>VLOOKUP(B43,Kraftvärmeprod!$B$1:$BH$549,MATCH($BA$1,Kraftvärmeprod!$B$1:$CC$1,0),FALSE)</f>
        <v>39.450000000000003</v>
      </c>
    </row>
    <row r="44" spans="1:63" ht="15" customHeight="1" x14ac:dyDescent="0.25">
      <c r="A44" s="137" t="s">
        <v>243</v>
      </c>
      <c r="B44" s="137" t="s">
        <v>245</v>
      </c>
      <c r="C44" s="137">
        <v>2018</v>
      </c>
      <c r="D44" s="137">
        <v>21.73</v>
      </c>
      <c r="E44" s="137">
        <v>25.12</v>
      </c>
      <c r="F44" s="137" t="s">
        <v>193</v>
      </c>
      <c r="G44" s="137">
        <v>2.76</v>
      </c>
      <c r="H44" s="137" t="s">
        <v>193</v>
      </c>
      <c r="I44" s="137" t="s">
        <v>193</v>
      </c>
      <c r="J44" s="137" t="s">
        <v>193</v>
      </c>
      <c r="K44" s="137" t="s">
        <v>193</v>
      </c>
      <c r="L44" s="137" t="s">
        <v>193</v>
      </c>
      <c r="M44" s="137" t="s">
        <v>53</v>
      </c>
      <c r="N44" s="137" t="s">
        <v>193</v>
      </c>
      <c r="O44" s="137" t="s">
        <v>193</v>
      </c>
      <c r="P44" s="137" t="s">
        <v>193</v>
      </c>
      <c r="Q44" s="137" t="s">
        <v>193</v>
      </c>
      <c r="R44" s="137" t="s">
        <v>193</v>
      </c>
      <c r="S44" s="137" t="s">
        <v>193</v>
      </c>
      <c r="T44" s="137" t="s">
        <v>193</v>
      </c>
      <c r="U44" s="137">
        <v>4.7699999999999996</v>
      </c>
      <c r="V44" s="137">
        <v>17.59</v>
      </c>
      <c r="W44" s="137" t="s">
        <v>193</v>
      </c>
      <c r="X44" s="137" t="s">
        <v>193</v>
      </c>
      <c r="Y44" s="137" t="s">
        <v>193</v>
      </c>
      <c r="Z44" s="137" t="s">
        <v>193</v>
      </c>
      <c r="AA44" s="137" t="s">
        <v>193</v>
      </c>
      <c r="AB44" s="137" t="s">
        <v>193</v>
      </c>
      <c r="AC44" s="137" t="s">
        <v>193</v>
      </c>
      <c r="AD44" s="137" t="s">
        <v>193</v>
      </c>
      <c r="AE44" s="137" t="s">
        <v>53</v>
      </c>
      <c r="AF44" s="137" t="s">
        <v>193</v>
      </c>
      <c r="AG44" s="137" t="s">
        <v>193</v>
      </c>
      <c r="AH44" s="137" t="s">
        <v>193</v>
      </c>
      <c r="AI44" s="137" t="s">
        <v>193</v>
      </c>
      <c r="AJ44" s="137" t="s">
        <v>193</v>
      </c>
      <c r="AK44" s="137" t="s">
        <v>193</v>
      </c>
      <c r="AL44" s="137" t="s">
        <v>193</v>
      </c>
      <c r="AM44" s="137" t="s">
        <v>193</v>
      </c>
      <c r="AN44" s="137" t="s">
        <v>53</v>
      </c>
      <c r="AO44" s="137" t="s">
        <v>193</v>
      </c>
      <c r="AP44" s="137" t="s">
        <v>193</v>
      </c>
      <c r="AQ44" s="137" t="s">
        <v>193</v>
      </c>
      <c r="AR44" s="137" t="s">
        <v>193</v>
      </c>
      <c r="AV44" s="1">
        <f t="shared" si="5"/>
        <v>25.119999999999997</v>
      </c>
      <c r="AW44" s="1">
        <f t="shared" si="0"/>
        <v>21.73</v>
      </c>
      <c r="AX44" s="13">
        <f t="shared" si="6"/>
        <v>0.8650477707006371</v>
      </c>
      <c r="BA44" s="12">
        <f t="shared" si="1"/>
        <v>0</v>
      </c>
      <c r="BB44" s="12">
        <f t="shared" si="7"/>
        <v>0</v>
      </c>
      <c r="BC44" s="12">
        <f t="shared" si="7"/>
        <v>0</v>
      </c>
      <c r="BD44" s="12">
        <f t="shared" si="7"/>
        <v>0</v>
      </c>
      <c r="BE44" s="12">
        <f t="shared" si="7"/>
        <v>0</v>
      </c>
      <c r="BF44" s="12">
        <f t="shared" si="3"/>
        <v>0</v>
      </c>
      <c r="BJ44" s="12" t="str">
        <f t="shared" si="4"/>
        <v/>
      </c>
      <c r="BK44" s="12">
        <f>VLOOKUP(B44,Kraftvärmeprod!$B$1:$BH$549,MATCH($BA$1,Kraftvärmeprod!$B$1:$CC$1,0),FALSE)</f>
        <v>0</v>
      </c>
    </row>
    <row r="45" spans="1:63" ht="15" customHeight="1" x14ac:dyDescent="0.25">
      <c r="A45" s="137" t="s">
        <v>246</v>
      </c>
      <c r="B45" s="137" t="s">
        <v>247</v>
      </c>
      <c r="C45" s="137">
        <v>2018</v>
      </c>
      <c r="D45" s="137" t="s">
        <v>53</v>
      </c>
      <c r="E45" s="137" t="s">
        <v>53</v>
      </c>
      <c r="F45" s="137" t="s">
        <v>53</v>
      </c>
      <c r="G45" s="137" t="s">
        <v>53</v>
      </c>
      <c r="H45" s="137" t="s">
        <v>53</v>
      </c>
      <c r="I45" s="137" t="s">
        <v>53</v>
      </c>
      <c r="J45" s="137" t="s">
        <v>53</v>
      </c>
      <c r="K45" s="137" t="s">
        <v>53</v>
      </c>
      <c r="L45" s="137" t="s">
        <v>53</v>
      </c>
      <c r="M45" s="137" t="s">
        <v>53</v>
      </c>
      <c r="N45" s="137" t="s">
        <v>53</v>
      </c>
      <c r="O45" s="137" t="s">
        <v>53</v>
      </c>
      <c r="P45" s="137" t="s">
        <v>53</v>
      </c>
      <c r="Q45" s="137" t="s">
        <v>53</v>
      </c>
      <c r="R45" s="137" t="s">
        <v>53</v>
      </c>
      <c r="S45" s="137" t="s">
        <v>53</v>
      </c>
      <c r="T45" s="137" t="s">
        <v>53</v>
      </c>
      <c r="U45" s="137" t="s">
        <v>53</v>
      </c>
      <c r="V45" s="137" t="s">
        <v>53</v>
      </c>
      <c r="W45" s="137" t="s">
        <v>53</v>
      </c>
      <c r="X45" s="137" t="s">
        <v>53</v>
      </c>
      <c r="Y45" s="137" t="s">
        <v>53</v>
      </c>
      <c r="Z45" s="137" t="s">
        <v>53</v>
      </c>
      <c r="AA45" s="137" t="s">
        <v>53</v>
      </c>
      <c r="AB45" s="137" t="s">
        <v>53</v>
      </c>
      <c r="AC45" s="137" t="s">
        <v>53</v>
      </c>
      <c r="AD45" s="137" t="s">
        <v>53</v>
      </c>
      <c r="AE45" s="137" t="s">
        <v>53</v>
      </c>
      <c r="AF45" s="137" t="s">
        <v>53</v>
      </c>
      <c r="AG45" s="137" t="s">
        <v>53</v>
      </c>
      <c r="AH45" s="137" t="s">
        <v>53</v>
      </c>
      <c r="AI45" s="137" t="s">
        <v>53</v>
      </c>
      <c r="AJ45" s="137" t="s">
        <v>53</v>
      </c>
      <c r="AK45" s="137" t="s">
        <v>53</v>
      </c>
      <c r="AL45" s="137" t="s">
        <v>53</v>
      </c>
      <c r="AM45" s="137" t="s">
        <v>53</v>
      </c>
      <c r="AN45" s="137" t="s">
        <v>53</v>
      </c>
      <c r="AO45" s="137" t="s">
        <v>53</v>
      </c>
      <c r="AP45" s="137" t="s">
        <v>53</v>
      </c>
      <c r="AQ45" s="137" t="s">
        <v>53</v>
      </c>
      <c r="AR45" s="137" t="s">
        <v>53</v>
      </c>
      <c r="AV45" s="1">
        <f t="shared" si="5"/>
        <v>0</v>
      </c>
      <c r="AW45" s="1">
        <f t="shared" si="0"/>
        <v>0</v>
      </c>
      <c r="AX45" s="13" t="str">
        <f t="shared" si="6"/>
        <v/>
      </c>
      <c r="BA45" s="12">
        <f t="shared" si="1"/>
        <v>0</v>
      </c>
      <c r="BB45" s="12">
        <f t="shared" si="7"/>
        <v>0</v>
      </c>
      <c r="BC45" s="12">
        <f t="shared" si="7"/>
        <v>0</v>
      </c>
      <c r="BD45" s="12">
        <f t="shared" si="7"/>
        <v>0</v>
      </c>
      <c r="BE45" s="12">
        <f t="shared" si="7"/>
        <v>0</v>
      </c>
      <c r="BF45" s="12">
        <f t="shared" si="3"/>
        <v>0</v>
      </c>
      <c r="BJ45" s="12" t="str">
        <f t="shared" si="4"/>
        <v/>
      </c>
      <c r="BK45" s="12">
        <f>VLOOKUP(B45,Kraftvärmeprod!$B$1:$BH$549,MATCH($BA$1,Kraftvärmeprod!$B$1:$CC$1,0),FALSE)</f>
        <v>0</v>
      </c>
    </row>
    <row r="46" spans="1:63" ht="15" customHeight="1" x14ac:dyDescent="0.25">
      <c r="A46" s="137" t="s">
        <v>248</v>
      </c>
      <c r="B46" s="137" t="s">
        <v>69</v>
      </c>
      <c r="C46" s="137">
        <v>2018</v>
      </c>
      <c r="D46" s="137" t="s">
        <v>193</v>
      </c>
      <c r="E46" s="137">
        <v>13.991</v>
      </c>
      <c r="F46" s="137" t="s">
        <v>193</v>
      </c>
      <c r="G46" s="137">
        <v>0.19600000000000001</v>
      </c>
      <c r="H46" s="137" t="s">
        <v>193</v>
      </c>
      <c r="I46" s="137" t="s">
        <v>193</v>
      </c>
      <c r="J46" s="137" t="s">
        <v>193</v>
      </c>
      <c r="K46" s="137" t="s">
        <v>193</v>
      </c>
      <c r="L46" s="137" t="s">
        <v>193</v>
      </c>
      <c r="M46" s="137" t="s">
        <v>53</v>
      </c>
      <c r="N46" s="137" t="s">
        <v>193</v>
      </c>
      <c r="O46" s="137" t="s">
        <v>193</v>
      </c>
      <c r="P46" s="137">
        <v>2.2770000000000001</v>
      </c>
      <c r="Q46" s="137">
        <v>10.72</v>
      </c>
      <c r="R46" s="137" t="s">
        <v>193</v>
      </c>
      <c r="S46" s="137" t="s">
        <v>193</v>
      </c>
      <c r="T46" s="137" t="s">
        <v>53</v>
      </c>
      <c r="U46" s="137">
        <v>0.60199999999999998</v>
      </c>
      <c r="V46" s="137" t="s">
        <v>193</v>
      </c>
      <c r="W46" s="137" t="s">
        <v>193</v>
      </c>
      <c r="X46" s="137" t="s">
        <v>193</v>
      </c>
      <c r="Y46" s="137" t="s">
        <v>193</v>
      </c>
      <c r="Z46" s="137" t="s">
        <v>193</v>
      </c>
      <c r="AA46" s="137" t="s">
        <v>193</v>
      </c>
      <c r="AB46" s="137" t="s">
        <v>193</v>
      </c>
      <c r="AC46" s="137" t="s">
        <v>193</v>
      </c>
      <c r="AD46" s="137" t="s">
        <v>193</v>
      </c>
      <c r="AE46" s="137" t="s">
        <v>199</v>
      </c>
      <c r="AF46" s="137" t="s">
        <v>193</v>
      </c>
      <c r="AG46" s="137" t="s">
        <v>193</v>
      </c>
      <c r="AH46" s="137" t="s">
        <v>193</v>
      </c>
      <c r="AI46" s="137" t="s">
        <v>193</v>
      </c>
      <c r="AJ46" s="137" t="s">
        <v>53</v>
      </c>
      <c r="AK46" s="137" t="s">
        <v>193</v>
      </c>
      <c r="AL46" s="137">
        <v>0.19600000000000001</v>
      </c>
      <c r="AM46" s="137">
        <v>0.29599999999999999</v>
      </c>
      <c r="AN46" s="137" t="s">
        <v>193</v>
      </c>
      <c r="AO46" s="137" t="s">
        <v>193</v>
      </c>
      <c r="AP46" s="137" t="s">
        <v>193</v>
      </c>
      <c r="AQ46" s="137" t="s">
        <v>193</v>
      </c>
      <c r="AR46" s="137" t="s">
        <v>193</v>
      </c>
      <c r="AV46" s="1">
        <f t="shared" si="5"/>
        <v>13.991000000000001</v>
      </c>
      <c r="AW46" s="1">
        <f t="shared" si="0"/>
        <v>0</v>
      </c>
      <c r="AX46" s="13">
        <f t="shared" si="6"/>
        <v>0</v>
      </c>
      <c r="BA46" s="12">
        <f t="shared" si="1"/>
        <v>0</v>
      </c>
      <c r="BB46" s="12">
        <f t="shared" si="7"/>
        <v>0</v>
      </c>
      <c r="BC46" s="12">
        <f t="shared" si="7"/>
        <v>0</v>
      </c>
      <c r="BD46" s="12">
        <f t="shared" si="7"/>
        <v>0</v>
      </c>
      <c r="BE46" s="12">
        <f t="shared" si="7"/>
        <v>0</v>
      </c>
      <c r="BF46" s="12">
        <f t="shared" si="3"/>
        <v>0</v>
      </c>
      <c r="BJ46" s="12" t="str">
        <f t="shared" si="4"/>
        <v/>
      </c>
      <c r="BK46" s="12">
        <f>VLOOKUP(B46,Kraftvärmeprod!$B$1:$BH$549,MATCH($BA$1,Kraftvärmeprod!$B$1:$CC$1,0),FALSE)</f>
        <v>0</v>
      </c>
    </row>
    <row r="47" spans="1:63" ht="15" customHeight="1" x14ac:dyDescent="0.25">
      <c r="A47" s="137" t="s">
        <v>249</v>
      </c>
      <c r="B47" s="137" t="s">
        <v>250</v>
      </c>
      <c r="C47" s="137">
        <v>2018</v>
      </c>
      <c r="D47" s="137">
        <v>6152</v>
      </c>
      <c r="E47" s="137">
        <v>7.2058499999999999</v>
      </c>
      <c r="F47" s="137" t="s">
        <v>193</v>
      </c>
      <c r="G47" s="137">
        <v>7.8409999999999994E-2</v>
      </c>
      <c r="H47" s="137" t="s">
        <v>193</v>
      </c>
      <c r="I47" s="137" t="s">
        <v>193</v>
      </c>
      <c r="J47" s="137" t="s">
        <v>193</v>
      </c>
      <c r="K47" s="137" t="s">
        <v>193</v>
      </c>
      <c r="L47" s="137" t="s">
        <v>193</v>
      </c>
      <c r="M47" s="137" t="s">
        <v>219</v>
      </c>
      <c r="N47" s="137" t="s">
        <v>193</v>
      </c>
      <c r="O47" s="137" t="s">
        <v>193</v>
      </c>
      <c r="P47" s="137">
        <v>6.1292400000000002</v>
      </c>
      <c r="Q47" s="137" t="s">
        <v>193</v>
      </c>
      <c r="R47" s="137" t="s">
        <v>193</v>
      </c>
      <c r="S47" s="137" t="s">
        <v>193</v>
      </c>
      <c r="T47" s="137" t="s">
        <v>193</v>
      </c>
      <c r="U47" s="137" t="s">
        <v>193</v>
      </c>
      <c r="V47" s="137" t="s">
        <v>193</v>
      </c>
      <c r="W47" s="137" t="s">
        <v>193</v>
      </c>
      <c r="X47" s="137" t="s">
        <v>193</v>
      </c>
      <c r="Y47" s="137" t="s">
        <v>193</v>
      </c>
      <c r="Z47" s="137">
        <v>0.99819999999999998</v>
      </c>
      <c r="AA47" s="137" t="s">
        <v>193</v>
      </c>
      <c r="AB47" s="137" t="s">
        <v>193</v>
      </c>
      <c r="AC47" s="137" t="s">
        <v>193</v>
      </c>
      <c r="AD47" s="137" t="s">
        <v>193</v>
      </c>
      <c r="AE47" s="137" t="s">
        <v>199</v>
      </c>
      <c r="AF47" s="137" t="s">
        <v>193</v>
      </c>
      <c r="AG47" s="137" t="s">
        <v>193</v>
      </c>
      <c r="AH47" s="137" t="s">
        <v>193</v>
      </c>
      <c r="AI47" s="137" t="s">
        <v>193</v>
      </c>
      <c r="AJ47" s="137" t="s">
        <v>193</v>
      </c>
      <c r="AK47" s="137" t="s">
        <v>193</v>
      </c>
      <c r="AL47" s="137" t="s">
        <v>193</v>
      </c>
      <c r="AM47" s="137" t="s">
        <v>193</v>
      </c>
      <c r="AN47" s="137" t="s">
        <v>219</v>
      </c>
      <c r="AO47" s="137" t="s">
        <v>193</v>
      </c>
      <c r="AP47" s="137" t="s">
        <v>193</v>
      </c>
      <c r="AQ47" s="137" t="s">
        <v>193</v>
      </c>
      <c r="AR47" s="137" t="s">
        <v>193</v>
      </c>
      <c r="AV47" s="1">
        <f t="shared" si="5"/>
        <v>7.2058499999999999</v>
      </c>
      <c r="AW47" s="1">
        <f t="shared" si="0"/>
        <v>6152</v>
      </c>
      <c r="AX47" s="13">
        <f t="shared" si="6"/>
        <v>853.75077194224139</v>
      </c>
      <c r="BA47" s="12">
        <f t="shared" si="1"/>
        <v>0</v>
      </c>
      <c r="BB47" s="12">
        <f t="shared" si="7"/>
        <v>0</v>
      </c>
      <c r="BC47" s="12">
        <f t="shared" si="7"/>
        <v>0</v>
      </c>
      <c r="BD47" s="12">
        <f t="shared" si="7"/>
        <v>0</v>
      </c>
      <c r="BE47" s="12">
        <f t="shared" si="7"/>
        <v>0</v>
      </c>
      <c r="BF47" s="12">
        <f t="shared" si="3"/>
        <v>0</v>
      </c>
      <c r="BJ47" s="12" t="str">
        <f t="shared" si="4"/>
        <v/>
      </c>
      <c r="BK47" s="12">
        <f>VLOOKUP(B47,Kraftvärmeprod!$B$1:$BH$549,MATCH($BA$1,Kraftvärmeprod!$B$1:$CC$1,0),FALSE)</f>
        <v>0</v>
      </c>
    </row>
    <row r="48" spans="1:63" ht="15" customHeight="1" x14ac:dyDescent="0.25">
      <c r="A48" s="137" t="s">
        <v>249</v>
      </c>
      <c r="B48" s="137" t="s">
        <v>251</v>
      </c>
      <c r="C48" s="137">
        <v>2018</v>
      </c>
      <c r="D48" s="137">
        <v>29.215</v>
      </c>
      <c r="E48" s="137">
        <v>34.301679999999998</v>
      </c>
      <c r="F48" s="137" t="s">
        <v>193</v>
      </c>
      <c r="G48" s="137">
        <v>0.25719999999999998</v>
      </c>
      <c r="H48" s="137" t="s">
        <v>193</v>
      </c>
      <c r="I48" s="137" t="s">
        <v>193</v>
      </c>
      <c r="J48" s="137" t="s">
        <v>193</v>
      </c>
      <c r="K48" s="137" t="s">
        <v>193</v>
      </c>
      <c r="L48" s="137">
        <v>0</v>
      </c>
      <c r="M48" s="137" t="s">
        <v>252</v>
      </c>
      <c r="N48" s="137">
        <v>0</v>
      </c>
      <c r="O48" s="137">
        <v>0</v>
      </c>
      <c r="P48" s="137">
        <v>0</v>
      </c>
      <c r="Q48" s="137">
        <v>0</v>
      </c>
      <c r="R48" s="137" t="s">
        <v>193</v>
      </c>
      <c r="S48" s="137">
        <v>0</v>
      </c>
      <c r="T48" s="137" t="s">
        <v>194</v>
      </c>
      <c r="U48" s="137" t="s">
        <v>193</v>
      </c>
      <c r="V48" s="137" t="s">
        <v>193</v>
      </c>
      <c r="W48" s="137" t="s">
        <v>193</v>
      </c>
      <c r="X48" s="137" t="s">
        <v>193</v>
      </c>
      <c r="Y48" s="137" t="s">
        <v>193</v>
      </c>
      <c r="Z48" s="137">
        <v>28.98948</v>
      </c>
      <c r="AA48" s="137" t="s">
        <v>193</v>
      </c>
      <c r="AB48" s="137">
        <v>0</v>
      </c>
      <c r="AC48" s="137" t="s">
        <v>193</v>
      </c>
      <c r="AD48" s="137" t="s">
        <v>193</v>
      </c>
      <c r="AE48" s="137" t="s">
        <v>199</v>
      </c>
      <c r="AF48" s="137" t="s">
        <v>193</v>
      </c>
      <c r="AG48" s="137">
        <v>5.0549999999999997</v>
      </c>
      <c r="AH48" s="137" t="s">
        <v>193</v>
      </c>
      <c r="AI48" s="137" t="s">
        <v>193</v>
      </c>
      <c r="AJ48" s="137" t="s">
        <v>193</v>
      </c>
      <c r="AK48" s="137" t="s">
        <v>193</v>
      </c>
      <c r="AL48" s="137" t="s">
        <v>193</v>
      </c>
      <c r="AM48" s="137" t="s">
        <v>193</v>
      </c>
      <c r="AN48" s="137" t="s">
        <v>219</v>
      </c>
      <c r="AO48" s="137" t="s">
        <v>193</v>
      </c>
      <c r="AP48" s="137" t="s">
        <v>193</v>
      </c>
      <c r="AQ48" s="137" t="s">
        <v>193</v>
      </c>
      <c r="AR48" s="137" t="s">
        <v>193</v>
      </c>
      <c r="AV48" s="1">
        <f t="shared" si="5"/>
        <v>34.301680000000005</v>
      </c>
      <c r="AW48" s="1">
        <f t="shared" si="0"/>
        <v>29.215</v>
      </c>
      <c r="AX48" s="13">
        <f t="shared" si="6"/>
        <v>0.85170755484862537</v>
      </c>
      <c r="BA48" s="12">
        <f t="shared" si="1"/>
        <v>0</v>
      </c>
      <c r="BB48" s="12">
        <f t="shared" si="7"/>
        <v>0</v>
      </c>
      <c r="BC48" s="12">
        <f t="shared" si="7"/>
        <v>0</v>
      </c>
      <c r="BD48" s="12">
        <f t="shared" si="7"/>
        <v>0</v>
      </c>
      <c r="BE48" s="12">
        <f t="shared" si="7"/>
        <v>0</v>
      </c>
      <c r="BF48" s="12">
        <f t="shared" si="3"/>
        <v>0</v>
      </c>
      <c r="BJ48" s="12" t="str">
        <f t="shared" si="4"/>
        <v/>
      </c>
      <c r="BK48" s="12">
        <f>VLOOKUP(B48,Kraftvärmeprod!$B$1:$BH$549,MATCH($BA$1,Kraftvärmeprod!$B$1:$CC$1,0),FALSE)</f>
        <v>75.911000000000001</v>
      </c>
    </row>
    <row r="49" spans="1:63" ht="15" customHeight="1" x14ac:dyDescent="0.25">
      <c r="A49" s="137" t="s">
        <v>253</v>
      </c>
      <c r="B49" s="137" t="s">
        <v>254</v>
      </c>
      <c r="C49" s="137">
        <v>2018</v>
      </c>
      <c r="D49" s="137" t="s">
        <v>193</v>
      </c>
      <c r="E49" s="137" t="s">
        <v>193</v>
      </c>
      <c r="F49" s="137" t="s">
        <v>193</v>
      </c>
      <c r="G49" s="137" t="s">
        <v>193</v>
      </c>
      <c r="H49" s="137" t="s">
        <v>193</v>
      </c>
      <c r="I49" s="137" t="s">
        <v>193</v>
      </c>
      <c r="J49" s="137" t="s">
        <v>193</v>
      </c>
      <c r="K49" s="137" t="s">
        <v>193</v>
      </c>
      <c r="L49" s="137" t="s">
        <v>193</v>
      </c>
      <c r="M49" s="137" t="s">
        <v>255</v>
      </c>
      <c r="N49" s="137" t="s">
        <v>193</v>
      </c>
      <c r="O49" s="137" t="s">
        <v>193</v>
      </c>
      <c r="P49" s="137" t="s">
        <v>193</v>
      </c>
      <c r="Q49" s="137" t="s">
        <v>193</v>
      </c>
      <c r="R49" s="137" t="s">
        <v>193</v>
      </c>
      <c r="S49" s="137" t="s">
        <v>193</v>
      </c>
      <c r="T49" s="137" t="s">
        <v>193</v>
      </c>
      <c r="U49" s="137" t="s">
        <v>193</v>
      </c>
      <c r="V49" s="137" t="s">
        <v>193</v>
      </c>
      <c r="W49" s="137" t="s">
        <v>193</v>
      </c>
      <c r="X49" s="137" t="s">
        <v>193</v>
      </c>
      <c r="Y49" s="137" t="s">
        <v>193</v>
      </c>
      <c r="Z49" s="137" t="s">
        <v>193</v>
      </c>
      <c r="AA49" s="137" t="s">
        <v>193</v>
      </c>
      <c r="AB49" s="137" t="s">
        <v>193</v>
      </c>
      <c r="AC49" s="137" t="s">
        <v>193</v>
      </c>
      <c r="AD49" s="137" t="s">
        <v>193</v>
      </c>
      <c r="AE49" s="137" t="s">
        <v>53</v>
      </c>
      <c r="AF49" s="137" t="s">
        <v>193</v>
      </c>
      <c r="AG49" s="137" t="s">
        <v>193</v>
      </c>
      <c r="AH49" s="137" t="s">
        <v>193</v>
      </c>
      <c r="AI49" s="137" t="s">
        <v>193</v>
      </c>
      <c r="AJ49" s="137" t="s">
        <v>193</v>
      </c>
      <c r="AK49" s="137" t="s">
        <v>193</v>
      </c>
      <c r="AL49" s="137" t="s">
        <v>193</v>
      </c>
      <c r="AM49" s="137" t="s">
        <v>193</v>
      </c>
      <c r="AN49" s="137" t="s">
        <v>255</v>
      </c>
      <c r="AO49" s="137" t="s">
        <v>193</v>
      </c>
      <c r="AP49" s="137" t="s">
        <v>193</v>
      </c>
      <c r="AQ49" s="137" t="s">
        <v>193</v>
      </c>
      <c r="AR49" s="137" t="s">
        <v>193</v>
      </c>
      <c r="AV49" s="1">
        <f t="shared" si="5"/>
        <v>0</v>
      </c>
      <c r="AW49" s="1">
        <f t="shared" si="0"/>
        <v>0</v>
      </c>
      <c r="AX49" s="13" t="str">
        <f t="shared" si="6"/>
        <v/>
      </c>
      <c r="BA49" s="12">
        <f t="shared" si="1"/>
        <v>0</v>
      </c>
      <c r="BB49" s="12">
        <f t="shared" si="7"/>
        <v>0</v>
      </c>
      <c r="BC49" s="12">
        <f t="shared" si="7"/>
        <v>0</v>
      </c>
      <c r="BD49" s="12">
        <f t="shared" si="7"/>
        <v>0</v>
      </c>
      <c r="BE49" s="12">
        <f t="shared" si="7"/>
        <v>0</v>
      </c>
      <c r="BF49" s="12">
        <f t="shared" si="3"/>
        <v>0</v>
      </c>
      <c r="BJ49" s="12" t="str">
        <f t="shared" si="4"/>
        <v/>
      </c>
      <c r="BK49" s="12">
        <f>VLOOKUP(B49,Kraftvärmeprod!$B$1:$BH$549,MATCH($BA$1,Kraftvärmeprod!$B$1:$CC$1,0),FALSE)</f>
        <v>0</v>
      </c>
    </row>
    <row r="50" spans="1:63" ht="15" customHeight="1" x14ac:dyDescent="0.25">
      <c r="A50" s="137" t="s">
        <v>253</v>
      </c>
      <c r="B50" s="137" t="s">
        <v>256</v>
      </c>
      <c r="C50" s="137">
        <v>2018</v>
      </c>
      <c r="D50" s="137">
        <v>38.688000000000002</v>
      </c>
      <c r="E50" s="137">
        <v>45.637999999999998</v>
      </c>
      <c r="F50" s="137" t="s">
        <v>193</v>
      </c>
      <c r="G50" s="137">
        <v>3.4000000000000002E-2</v>
      </c>
      <c r="H50" s="137" t="s">
        <v>193</v>
      </c>
      <c r="I50" s="137" t="s">
        <v>193</v>
      </c>
      <c r="J50" s="137" t="s">
        <v>193</v>
      </c>
      <c r="K50" s="137" t="s">
        <v>193</v>
      </c>
      <c r="L50" s="137" t="s">
        <v>193</v>
      </c>
      <c r="M50" s="137" t="s">
        <v>257</v>
      </c>
      <c r="N50" s="137">
        <v>25.939</v>
      </c>
      <c r="O50" s="137">
        <v>5.6630000000000003</v>
      </c>
      <c r="P50" s="137">
        <v>8.3989999999999991</v>
      </c>
      <c r="Q50" s="137" t="s">
        <v>193</v>
      </c>
      <c r="R50" s="137" t="s">
        <v>193</v>
      </c>
      <c r="S50" s="137" t="s">
        <v>193</v>
      </c>
      <c r="T50" s="137" t="s">
        <v>194</v>
      </c>
      <c r="U50" s="137" t="s">
        <v>193</v>
      </c>
      <c r="V50" s="137" t="s">
        <v>193</v>
      </c>
      <c r="W50" s="137" t="s">
        <v>193</v>
      </c>
      <c r="X50" s="137" t="s">
        <v>193</v>
      </c>
      <c r="Y50" s="137" t="s">
        <v>193</v>
      </c>
      <c r="Z50" s="137" t="s">
        <v>193</v>
      </c>
      <c r="AA50" s="137" t="s">
        <v>193</v>
      </c>
      <c r="AB50" s="137" t="s">
        <v>193</v>
      </c>
      <c r="AC50" s="137" t="s">
        <v>193</v>
      </c>
      <c r="AD50" s="137" t="s">
        <v>193</v>
      </c>
      <c r="AE50" s="137" t="s">
        <v>199</v>
      </c>
      <c r="AF50" s="137" t="s">
        <v>193</v>
      </c>
      <c r="AG50" s="137" t="s">
        <v>193</v>
      </c>
      <c r="AH50" s="137">
        <v>5.6029999999999998</v>
      </c>
      <c r="AI50" s="137" t="s">
        <v>193</v>
      </c>
      <c r="AJ50" s="137" t="s">
        <v>193</v>
      </c>
      <c r="AK50" s="137" t="s">
        <v>193</v>
      </c>
      <c r="AL50" s="137">
        <v>0</v>
      </c>
      <c r="AM50" s="137">
        <v>0</v>
      </c>
      <c r="AN50" s="137" t="s">
        <v>53</v>
      </c>
      <c r="AO50" s="137">
        <v>100</v>
      </c>
      <c r="AP50" s="137" t="s">
        <v>193</v>
      </c>
      <c r="AQ50" s="137" t="s">
        <v>193</v>
      </c>
      <c r="AR50" s="137" t="s">
        <v>193</v>
      </c>
      <c r="AV50" s="1">
        <f t="shared" si="5"/>
        <v>45.637999999999998</v>
      </c>
      <c r="AW50" s="1">
        <f t="shared" si="0"/>
        <v>38.688000000000002</v>
      </c>
      <c r="AX50" s="13">
        <f t="shared" si="6"/>
        <v>0.84771462377843032</v>
      </c>
      <c r="BA50" s="12">
        <f t="shared" si="1"/>
        <v>5.6029999999999998</v>
      </c>
      <c r="BB50" s="12">
        <f t="shared" si="7"/>
        <v>5.6029999999999998</v>
      </c>
      <c r="BC50" s="12">
        <f t="shared" si="7"/>
        <v>0</v>
      </c>
      <c r="BD50" s="12">
        <f t="shared" si="7"/>
        <v>0</v>
      </c>
      <c r="BE50" s="12">
        <f t="shared" si="7"/>
        <v>0</v>
      </c>
      <c r="BF50" s="12">
        <f t="shared" si="3"/>
        <v>0</v>
      </c>
      <c r="BJ50" s="12" t="str">
        <f t="shared" si="4"/>
        <v/>
      </c>
      <c r="BK50" s="12">
        <f>VLOOKUP(B50,Kraftvärmeprod!$B$1:$BH$549,MATCH($BA$1,Kraftvärmeprod!$B$1:$CC$1,0),FALSE)</f>
        <v>0</v>
      </c>
    </row>
    <row r="51" spans="1:63" ht="15" customHeight="1" x14ac:dyDescent="0.25">
      <c r="A51" s="137" t="s">
        <v>258</v>
      </c>
      <c r="B51" s="137" t="s">
        <v>259</v>
      </c>
      <c r="C51" s="137">
        <v>2018</v>
      </c>
      <c r="D51" s="137">
        <v>42.786000000000001</v>
      </c>
      <c r="E51" s="137">
        <v>51.107999999999997</v>
      </c>
      <c r="F51" s="137" t="s">
        <v>193</v>
      </c>
      <c r="G51" s="137">
        <v>0</v>
      </c>
      <c r="H51" s="137" t="s">
        <v>193</v>
      </c>
      <c r="I51" s="137" t="s">
        <v>193</v>
      </c>
      <c r="J51" s="137" t="s">
        <v>193</v>
      </c>
      <c r="K51" s="137" t="s">
        <v>193</v>
      </c>
      <c r="L51" s="137" t="s">
        <v>193</v>
      </c>
      <c r="M51" s="137" t="s">
        <v>219</v>
      </c>
      <c r="N51" s="137">
        <v>7.0060000000000002</v>
      </c>
      <c r="O51" s="137">
        <v>10.935</v>
      </c>
      <c r="P51" s="137">
        <v>17.831</v>
      </c>
      <c r="Q51" s="137" t="s">
        <v>193</v>
      </c>
      <c r="R51" s="137" t="s">
        <v>193</v>
      </c>
      <c r="S51" s="137" t="s">
        <v>193</v>
      </c>
      <c r="T51" s="137" t="s">
        <v>193</v>
      </c>
      <c r="U51" s="137">
        <v>7.6999999999999999E-2</v>
      </c>
      <c r="V51" s="137">
        <v>8.1959999999999997</v>
      </c>
      <c r="W51" s="137" t="s">
        <v>193</v>
      </c>
      <c r="X51" s="137" t="s">
        <v>193</v>
      </c>
      <c r="Y51" s="137" t="s">
        <v>193</v>
      </c>
      <c r="Z51" s="137" t="s">
        <v>193</v>
      </c>
      <c r="AA51" s="137" t="s">
        <v>193</v>
      </c>
      <c r="AB51" s="137" t="s">
        <v>193</v>
      </c>
      <c r="AC51" s="137" t="s">
        <v>193</v>
      </c>
      <c r="AD51" s="137" t="s">
        <v>193</v>
      </c>
      <c r="AE51" s="137" t="s">
        <v>199</v>
      </c>
      <c r="AF51" s="137" t="s">
        <v>193</v>
      </c>
      <c r="AG51" s="137" t="s">
        <v>193</v>
      </c>
      <c r="AH51" s="137">
        <v>7.0629999999999997</v>
      </c>
      <c r="AI51" s="137" t="s">
        <v>193</v>
      </c>
      <c r="AJ51" s="137" t="s">
        <v>193</v>
      </c>
      <c r="AK51" s="137" t="s">
        <v>193</v>
      </c>
      <c r="AL51" s="137" t="s">
        <v>193</v>
      </c>
      <c r="AM51" s="137" t="s">
        <v>193</v>
      </c>
      <c r="AN51" s="137" t="s">
        <v>219</v>
      </c>
      <c r="AO51" s="137">
        <v>100</v>
      </c>
      <c r="AP51" s="137">
        <v>0</v>
      </c>
      <c r="AQ51" s="137">
        <v>0</v>
      </c>
      <c r="AR51" s="137">
        <v>0</v>
      </c>
      <c r="AV51" s="1">
        <f t="shared" si="5"/>
        <v>51.108000000000004</v>
      </c>
      <c r="AW51" s="1">
        <f t="shared" si="0"/>
        <v>42.786000000000001</v>
      </c>
      <c r="AX51" s="13">
        <f t="shared" si="6"/>
        <v>0.83716834937778817</v>
      </c>
      <c r="BA51" s="12">
        <f t="shared" si="1"/>
        <v>7.0629999999999997</v>
      </c>
      <c r="BB51" s="12">
        <f t="shared" si="7"/>
        <v>7.0629999999999997</v>
      </c>
      <c r="BC51" s="12">
        <f t="shared" si="7"/>
        <v>0</v>
      </c>
      <c r="BD51" s="12">
        <f t="shared" si="7"/>
        <v>0</v>
      </c>
      <c r="BE51" s="12">
        <f t="shared" si="7"/>
        <v>0</v>
      </c>
      <c r="BF51" s="12">
        <f t="shared" si="3"/>
        <v>0</v>
      </c>
      <c r="BJ51" s="12" t="str">
        <f t="shared" si="4"/>
        <v/>
      </c>
      <c r="BK51" s="12">
        <f>VLOOKUP(B51,Kraftvärmeprod!$B$1:$BH$549,MATCH($BA$1,Kraftvärmeprod!$B$1:$CC$1,0),FALSE)</f>
        <v>0</v>
      </c>
    </row>
    <row r="52" spans="1:63" ht="15" customHeight="1" x14ac:dyDescent="0.25">
      <c r="A52" s="137" t="s">
        <v>258</v>
      </c>
      <c r="B52" s="137" t="s">
        <v>260</v>
      </c>
      <c r="C52" s="137">
        <v>2018</v>
      </c>
      <c r="D52" s="137" t="s">
        <v>53</v>
      </c>
      <c r="E52" s="137" t="s">
        <v>53</v>
      </c>
      <c r="F52" s="137" t="s">
        <v>53</v>
      </c>
      <c r="G52" s="137" t="s">
        <v>53</v>
      </c>
      <c r="H52" s="137" t="s">
        <v>53</v>
      </c>
      <c r="I52" s="137" t="s">
        <v>53</v>
      </c>
      <c r="J52" s="137" t="s">
        <v>53</v>
      </c>
      <c r="K52" s="137" t="s">
        <v>53</v>
      </c>
      <c r="L52" s="137" t="s">
        <v>53</v>
      </c>
      <c r="M52" s="137" t="s">
        <v>53</v>
      </c>
      <c r="N52" s="137" t="s">
        <v>53</v>
      </c>
      <c r="O52" s="137" t="s">
        <v>53</v>
      </c>
      <c r="P52" s="137" t="s">
        <v>53</v>
      </c>
      <c r="Q52" s="137" t="s">
        <v>53</v>
      </c>
      <c r="R52" s="137" t="s">
        <v>53</v>
      </c>
      <c r="S52" s="137" t="s">
        <v>53</v>
      </c>
      <c r="T52" s="137" t="s">
        <v>53</v>
      </c>
      <c r="U52" s="137" t="s">
        <v>53</v>
      </c>
      <c r="V52" s="137" t="s">
        <v>53</v>
      </c>
      <c r="W52" s="137" t="s">
        <v>53</v>
      </c>
      <c r="X52" s="137" t="s">
        <v>53</v>
      </c>
      <c r="Y52" s="137" t="s">
        <v>53</v>
      </c>
      <c r="Z52" s="137" t="s">
        <v>53</v>
      </c>
      <c r="AA52" s="137" t="s">
        <v>53</v>
      </c>
      <c r="AB52" s="137" t="s">
        <v>53</v>
      </c>
      <c r="AC52" s="137" t="s">
        <v>53</v>
      </c>
      <c r="AD52" s="137" t="s">
        <v>53</v>
      </c>
      <c r="AE52" s="137" t="s">
        <v>53</v>
      </c>
      <c r="AF52" s="137" t="s">
        <v>53</v>
      </c>
      <c r="AG52" s="137" t="s">
        <v>53</v>
      </c>
      <c r="AH52" s="137" t="s">
        <v>53</v>
      </c>
      <c r="AI52" s="137" t="s">
        <v>53</v>
      </c>
      <c r="AJ52" s="137" t="s">
        <v>53</v>
      </c>
      <c r="AK52" s="137" t="s">
        <v>53</v>
      </c>
      <c r="AL52" s="137" t="s">
        <v>53</v>
      </c>
      <c r="AM52" s="137" t="s">
        <v>53</v>
      </c>
      <c r="AN52" s="137" t="s">
        <v>53</v>
      </c>
      <c r="AO52" s="137" t="s">
        <v>53</v>
      </c>
      <c r="AP52" s="137" t="s">
        <v>53</v>
      </c>
      <c r="AQ52" s="137" t="s">
        <v>53</v>
      </c>
      <c r="AR52" s="137" t="s">
        <v>53</v>
      </c>
      <c r="AV52" s="1">
        <f t="shared" si="5"/>
        <v>0</v>
      </c>
      <c r="AW52" s="1">
        <f t="shared" si="0"/>
        <v>0</v>
      </c>
      <c r="AX52" s="13" t="str">
        <f t="shared" si="6"/>
        <v/>
      </c>
      <c r="BA52" s="12">
        <f t="shared" si="1"/>
        <v>0</v>
      </c>
      <c r="BB52" s="12">
        <f t="shared" si="7"/>
        <v>0</v>
      </c>
      <c r="BC52" s="12">
        <f t="shared" si="7"/>
        <v>0</v>
      </c>
      <c r="BD52" s="12">
        <f t="shared" si="7"/>
        <v>0</v>
      </c>
      <c r="BE52" s="12">
        <f t="shared" si="7"/>
        <v>0</v>
      </c>
      <c r="BF52" s="12">
        <f t="shared" si="3"/>
        <v>0</v>
      </c>
      <c r="BJ52" s="12" t="str">
        <f t="shared" si="4"/>
        <v/>
      </c>
      <c r="BK52" s="12">
        <f>VLOOKUP(B52,Kraftvärmeprod!$B$1:$BH$549,MATCH($BA$1,Kraftvärmeprod!$B$1:$CC$1,0),FALSE)</f>
        <v>0</v>
      </c>
    </row>
    <row r="53" spans="1:63" ht="15" customHeight="1" x14ac:dyDescent="0.25">
      <c r="A53" s="137" t="s">
        <v>258</v>
      </c>
      <c r="B53" s="137" t="s">
        <v>261</v>
      </c>
      <c r="C53" s="137">
        <v>2018</v>
      </c>
      <c r="D53" s="137">
        <v>1.8660000000000001</v>
      </c>
      <c r="E53" s="137">
        <v>1.8660000000000001</v>
      </c>
      <c r="F53" s="137" t="s">
        <v>193</v>
      </c>
      <c r="G53" s="137">
        <v>1.4999999999999999E-2</v>
      </c>
      <c r="H53" s="137" t="s">
        <v>193</v>
      </c>
      <c r="I53" s="137" t="s">
        <v>193</v>
      </c>
      <c r="J53" s="137" t="s">
        <v>193</v>
      </c>
      <c r="K53" s="137" t="s">
        <v>193</v>
      </c>
      <c r="L53" s="137" t="s">
        <v>193</v>
      </c>
      <c r="M53" s="137" t="s">
        <v>219</v>
      </c>
      <c r="N53" s="137" t="s">
        <v>193</v>
      </c>
      <c r="O53" s="137" t="s">
        <v>193</v>
      </c>
      <c r="P53" s="137" t="s">
        <v>193</v>
      </c>
      <c r="Q53" s="137" t="s">
        <v>193</v>
      </c>
      <c r="R53" s="137" t="s">
        <v>193</v>
      </c>
      <c r="S53" s="137" t="s">
        <v>193</v>
      </c>
      <c r="T53" s="137" t="s">
        <v>193</v>
      </c>
      <c r="U53" s="137">
        <v>1.851</v>
      </c>
      <c r="V53" s="137" t="s">
        <v>193</v>
      </c>
      <c r="W53" s="137" t="s">
        <v>193</v>
      </c>
      <c r="X53" s="137" t="s">
        <v>193</v>
      </c>
      <c r="Y53" s="137" t="s">
        <v>193</v>
      </c>
      <c r="Z53" s="137" t="s">
        <v>193</v>
      </c>
      <c r="AA53" s="137" t="s">
        <v>193</v>
      </c>
      <c r="AB53" s="137" t="s">
        <v>193</v>
      </c>
      <c r="AC53" s="137" t="s">
        <v>193</v>
      </c>
      <c r="AD53" s="137" t="s">
        <v>193</v>
      </c>
      <c r="AE53" s="137" t="s">
        <v>199</v>
      </c>
      <c r="AF53" s="137" t="s">
        <v>193</v>
      </c>
      <c r="AG53" s="137" t="s">
        <v>193</v>
      </c>
      <c r="AH53" s="137" t="s">
        <v>193</v>
      </c>
      <c r="AI53" s="137" t="s">
        <v>193</v>
      </c>
      <c r="AJ53" s="137" t="s">
        <v>193</v>
      </c>
      <c r="AK53" s="137" t="s">
        <v>193</v>
      </c>
      <c r="AL53" s="137" t="s">
        <v>193</v>
      </c>
      <c r="AM53" s="137" t="s">
        <v>193</v>
      </c>
      <c r="AN53" s="137" t="s">
        <v>219</v>
      </c>
      <c r="AO53" s="137" t="s">
        <v>193</v>
      </c>
      <c r="AP53" s="137" t="s">
        <v>193</v>
      </c>
      <c r="AQ53" s="137" t="s">
        <v>193</v>
      </c>
      <c r="AR53" s="137" t="s">
        <v>193</v>
      </c>
      <c r="AV53" s="1">
        <f t="shared" si="5"/>
        <v>1.8659999999999999</v>
      </c>
      <c r="AW53" s="1">
        <f t="shared" si="0"/>
        <v>1.8660000000000001</v>
      </c>
      <c r="AX53" s="13">
        <f t="shared" si="6"/>
        <v>1.0000000000000002</v>
      </c>
      <c r="BA53" s="12">
        <f t="shared" si="1"/>
        <v>0</v>
      </c>
      <c r="BB53" s="12">
        <f t="shared" si="7"/>
        <v>0</v>
      </c>
      <c r="BC53" s="12">
        <f t="shared" si="7"/>
        <v>0</v>
      </c>
      <c r="BD53" s="12">
        <f t="shared" si="7"/>
        <v>0</v>
      </c>
      <c r="BE53" s="12">
        <f t="shared" si="7"/>
        <v>0</v>
      </c>
      <c r="BF53" s="12">
        <f t="shared" si="3"/>
        <v>0</v>
      </c>
      <c r="BJ53" s="12" t="str">
        <f t="shared" si="4"/>
        <v/>
      </c>
      <c r="BK53" s="12">
        <f>VLOOKUP(B53,Kraftvärmeprod!$B$1:$BH$549,MATCH($BA$1,Kraftvärmeprod!$B$1:$CC$1,0),FALSE)</f>
        <v>0</v>
      </c>
    </row>
    <row r="54" spans="1:63" ht="15" customHeight="1" x14ac:dyDescent="0.25">
      <c r="A54" s="137" t="s">
        <v>258</v>
      </c>
      <c r="B54" s="137" t="s">
        <v>262</v>
      </c>
      <c r="C54" s="137">
        <v>2018</v>
      </c>
      <c r="D54" s="137" t="s">
        <v>193</v>
      </c>
      <c r="E54" s="137">
        <v>0.61570000000000003</v>
      </c>
      <c r="F54" s="137" t="s">
        <v>193</v>
      </c>
      <c r="G54" s="137">
        <v>1.17E-2</v>
      </c>
      <c r="H54" s="137" t="s">
        <v>193</v>
      </c>
      <c r="I54" s="137" t="s">
        <v>193</v>
      </c>
      <c r="J54" s="137" t="s">
        <v>193</v>
      </c>
      <c r="K54" s="137" t="s">
        <v>193</v>
      </c>
      <c r="L54" s="137" t="s">
        <v>193</v>
      </c>
      <c r="M54" s="137" t="s">
        <v>219</v>
      </c>
      <c r="N54" s="137" t="s">
        <v>193</v>
      </c>
      <c r="O54" s="137" t="s">
        <v>193</v>
      </c>
      <c r="P54" s="137" t="s">
        <v>193</v>
      </c>
      <c r="Q54" s="137" t="s">
        <v>193</v>
      </c>
      <c r="R54" s="137" t="s">
        <v>193</v>
      </c>
      <c r="S54" s="137" t="s">
        <v>193</v>
      </c>
      <c r="T54" s="137" t="s">
        <v>193</v>
      </c>
      <c r="U54" s="137">
        <v>0.60399999999999998</v>
      </c>
      <c r="V54" s="137" t="s">
        <v>193</v>
      </c>
      <c r="W54" s="137" t="s">
        <v>193</v>
      </c>
      <c r="X54" s="137" t="s">
        <v>193</v>
      </c>
      <c r="Y54" s="137" t="s">
        <v>193</v>
      </c>
      <c r="Z54" s="137" t="s">
        <v>193</v>
      </c>
      <c r="AA54" s="137" t="s">
        <v>193</v>
      </c>
      <c r="AB54" s="137" t="s">
        <v>193</v>
      </c>
      <c r="AC54" s="137" t="s">
        <v>193</v>
      </c>
      <c r="AD54" s="137" t="s">
        <v>193</v>
      </c>
      <c r="AE54" s="137" t="s">
        <v>199</v>
      </c>
      <c r="AF54" s="137" t="s">
        <v>193</v>
      </c>
      <c r="AG54" s="137" t="s">
        <v>193</v>
      </c>
      <c r="AH54" s="137" t="s">
        <v>193</v>
      </c>
      <c r="AI54" s="137" t="s">
        <v>193</v>
      </c>
      <c r="AJ54" s="137" t="s">
        <v>193</v>
      </c>
      <c r="AK54" s="137" t="s">
        <v>193</v>
      </c>
      <c r="AL54" s="137" t="s">
        <v>193</v>
      </c>
      <c r="AM54" s="137" t="s">
        <v>193</v>
      </c>
      <c r="AN54" s="137" t="s">
        <v>219</v>
      </c>
      <c r="AO54" s="137" t="s">
        <v>193</v>
      </c>
      <c r="AP54" s="137" t="s">
        <v>193</v>
      </c>
      <c r="AQ54" s="137" t="s">
        <v>193</v>
      </c>
      <c r="AR54" s="137" t="s">
        <v>193</v>
      </c>
      <c r="AV54" s="1">
        <f t="shared" si="5"/>
        <v>0.61570000000000003</v>
      </c>
      <c r="AW54" s="1">
        <f t="shared" si="0"/>
        <v>0</v>
      </c>
      <c r="AX54" s="13">
        <f t="shared" si="6"/>
        <v>0</v>
      </c>
      <c r="BA54" s="12">
        <f t="shared" si="1"/>
        <v>0</v>
      </c>
      <c r="BB54" s="12">
        <f t="shared" si="7"/>
        <v>0</v>
      </c>
      <c r="BC54" s="12">
        <f t="shared" si="7"/>
        <v>0</v>
      </c>
      <c r="BD54" s="12">
        <f t="shared" si="7"/>
        <v>0</v>
      </c>
      <c r="BE54" s="12">
        <f t="shared" si="7"/>
        <v>0</v>
      </c>
      <c r="BF54" s="12">
        <f t="shared" si="3"/>
        <v>0</v>
      </c>
      <c r="BJ54" s="12" t="str">
        <f t="shared" si="4"/>
        <v/>
      </c>
      <c r="BK54" s="12">
        <f>VLOOKUP(B54,Kraftvärmeprod!$B$1:$BH$549,MATCH($BA$1,Kraftvärmeprod!$B$1:$CC$1,0),FALSE)</f>
        <v>0</v>
      </c>
    </row>
    <row r="55" spans="1:63" ht="15" customHeight="1" x14ac:dyDescent="0.25">
      <c r="A55" s="137" t="s">
        <v>263</v>
      </c>
      <c r="B55" s="137" t="s">
        <v>264</v>
      </c>
      <c r="C55" s="137">
        <v>2018</v>
      </c>
      <c r="D55" s="137">
        <v>9.6170000000000009</v>
      </c>
      <c r="E55" s="137">
        <v>4.4269999999999996</v>
      </c>
      <c r="F55" s="137" t="s">
        <v>193</v>
      </c>
      <c r="G55" s="137" t="s">
        <v>193</v>
      </c>
      <c r="H55" s="137" t="s">
        <v>193</v>
      </c>
      <c r="I55" s="137" t="s">
        <v>193</v>
      </c>
      <c r="J55" s="137" t="s">
        <v>193</v>
      </c>
      <c r="K55" s="137" t="s">
        <v>193</v>
      </c>
      <c r="L55" s="137" t="s">
        <v>193</v>
      </c>
      <c r="M55" s="137" t="s">
        <v>53</v>
      </c>
      <c r="N55" s="137" t="s">
        <v>193</v>
      </c>
      <c r="O55" s="137" t="s">
        <v>193</v>
      </c>
      <c r="P55" s="137" t="s">
        <v>193</v>
      </c>
      <c r="Q55" s="137" t="s">
        <v>193</v>
      </c>
      <c r="R55" s="137" t="s">
        <v>193</v>
      </c>
      <c r="S55" s="137" t="s">
        <v>193</v>
      </c>
      <c r="T55" s="137" t="s">
        <v>193</v>
      </c>
      <c r="U55" s="137" t="s">
        <v>193</v>
      </c>
      <c r="V55" s="137" t="s">
        <v>193</v>
      </c>
      <c r="W55" s="137" t="s">
        <v>193</v>
      </c>
      <c r="X55" s="137" t="s">
        <v>193</v>
      </c>
      <c r="Y55" s="137" t="s">
        <v>193</v>
      </c>
      <c r="Z55" s="137">
        <v>2</v>
      </c>
      <c r="AA55" s="137" t="s">
        <v>193</v>
      </c>
      <c r="AB55" s="137" t="s">
        <v>193</v>
      </c>
      <c r="AC55" s="137" t="s">
        <v>193</v>
      </c>
      <c r="AD55" s="137" t="s">
        <v>193</v>
      </c>
      <c r="AE55" s="137" t="s">
        <v>53</v>
      </c>
      <c r="AF55" s="137" t="s">
        <v>193</v>
      </c>
      <c r="AG55" s="137">
        <v>2.427</v>
      </c>
      <c r="AH55" s="137" t="s">
        <v>193</v>
      </c>
      <c r="AI55" s="137" t="s">
        <v>193</v>
      </c>
      <c r="AJ55" s="137" t="s">
        <v>193</v>
      </c>
      <c r="AK55" s="137" t="s">
        <v>193</v>
      </c>
      <c r="AL55" s="137" t="s">
        <v>193</v>
      </c>
      <c r="AM55" s="137" t="s">
        <v>193</v>
      </c>
      <c r="AN55" s="137" t="s">
        <v>53</v>
      </c>
      <c r="AO55" s="137" t="s">
        <v>193</v>
      </c>
      <c r="AP55" s="137" t="s">
        <v>193</v>
      </c>
      <c r="AQ55" s="137" t="s">
        <v>193</v>
      </c>
      <c r="AR55" s="137" t="s">
        <v>193</v>
      </c>
      <c r="AV55" s="1">
        <f t="shared" si="5"/>
        <v>4.4269999999999996</v>
      </c>
      <c r="AW55" s="1">
        <f t="shared" si="0"/>
        <v>9.6170000000000009</v>
      </c>
      <c r="AX55" s="13">
        <f t="shared" si="6"/>
        <v>2.1723514795572627</v>
      </c>
      <c r="BA55" s="12">
        <f t="shared" si="1"/>
        <v>0</v>
      </c>
      <c r="BB55" s="12">
        <f t="shared" si="7"/>
        <v>0</v>
      </c>
      <c r="BC55" s="12">
        <f t="shared" si="7"/>
        <v>0</v>
      </c>
      <c r="BD55" s="12">
        <f t="shared" si="7"/>
        <v>0</v>
      </c>
      <c r="BE55" s="12">
        <f t="shared" si="7"/>
        <v>0</v>
      </c>
      <c r="BF55" s="12">
        <f t="shared" si="3"/>
        <v>0</v>
      </c>
      <c r="BJ55" s="12" t="str">
        <f t="shared" si="4"/>
        <v/>
      </c>
      <c r="BK55" s="12">
        <f>VLOOKUP(B55,Kraftvärmeprod!$B$1:$BH$549,MATCH($BA$1,Kraftvärmeprod!$B$1:$CC$1,0),FALSE)</f>
        <v>0</v>
      </c>
    </row>
    <row r="56" spans="1:63" ht="15" customHeight="1" x14ac:dyDescent="0.25">
      <c r="A56" s="137" t="s">
        <v>263</v>
      </c>
      <c r="B56" s="137" t="s">
        <v>265</v>
      </c>
      <c r="C56" s="137">
        <v>2018</v>
      </c>
      <c r="D56" s="137">
        <v>37.200000000000003</v>
      </c>
      <c r="E56" s="137">
        <v>34.686</v>
      </c>
      <c r="F56" s="137" t="s">
        <v>193</v>
      </c>
      <c r="G56" s="137">
        <v>0.7</v>
      </c>
      <c r="H56" s="137" t="s">
        <v>193</v>
      </c>
      <c r="I56" s="137" t="s">
        <v>193</v>
      </c>
      <c r="J56" s="137" t="s">
        <v>193</v>
      </c>
      <c r="K56" s="137" t="s">
        <v>193</v>
      </c>
      <c r="L56" s="137" t="s">
        <v>193</v>
      </c>
      <c r="M56" s="137" t="s">
        <v>53</v>
      </c>
      <c r="N56" s="137" t="s">
        <v>193</v>
      </c>
      <c r="O56" s="137" t="s">
        <v>193</v>
      </c>
      <c r="P56" s="137">
        <v>24.186</v>
      </c>
      <c r="Q56" s="137" t="s">
        <v>193</v>
      </c>
      <c r="R56" s="137" t="s">
        <v>193</v>
      </c>
      <c r="S56" s="137" t="s">
        <v>193</v>
      </c>
      <c r="T56" s="137" t="s">
        <v>193</v>
      </c>
      <c r="U56" s="137">
        <v>7.9</v>
      </c>
      <c r="V56" s="137" t="s">
        <v>193</v>
      </c>
      <c r="W56" s="137" t="s">
        <v>193</v>
      </c>
      <c r="X56" s="137" t="s">
        <v>193</v>
      </c>
      <c r="Y56" s="137" t="s">
        <v>193</v>
      </c>
      <c r="Z56" s="137">
        <v>1.9</v>
      </c>
      <c r="AA56" s="137" t="s">
        <v>193</v>
      </c>
      <c r="AB56" s="137" t="s">
        <v>193</v>
      </c>
      <c r="AC56" s="137" t="s">
        <v>193</v>
      </c>
      <c r="AD56" s="137" t="s">
        <v>193</v>
      </c>
      <c r="AE56" s="137" t="s">
        <v>53</v>
      </c>
      <c r="AF56" s="137" t="s">
        <v>193</v>
      </c>
      <c r="AG56" s="137" t="s">
        <v>193</v>
      </c>
      <c r="AH56" s="137">
        <v>0</v>
      </c>
      <c r="AI56" s="137" t="s">
        <v>193</v>
      </c>
      <c r="AJ56" s="137" t="s">
        <v>193</v>
      </c>
      <c r="AK56" s="137" t="s">
        <v>193</v>
      </c>
      <c r="AL56" s="137" t="s">
        <v>193</v>
      </c>
      <c r="AM56" s="137" t="s">
        <v>193</v>
      </c>
      <c r="AN56" s="137" t="s">
        <v>53</v>
      </c>
      <c r="AO56" s="137" t="s">
        <v>193</v>
      </c>
      <c r="AP56" s="137" t="s">
        <v>193</v>
      </c>
      <c r="AQ56" s="137" t="s">
        <v>193</v>
      </c>
      <c r="AR56" s="137" t="s">
        <v>193</v>
      </c>
      <c r="AV56" s="1">
        <f t="shared" si="5"/>
        <v>34.686</v>
      </c>
      <c r="AW56" s="1">
        <f t="shared" si="0"/>
        <v>37.200000000000003</v>
      </c>
      <c r="AX56" s="13">
        <f t="shared" si="6"/>
        <v>1.072478809894482</v>
      </c>
      <c r="BA56" s="12">
        <f t="shared" si="1"/>
        <v>0</v>
      </c>
      <c r="BB56" s="12">
        <f t="shared" si="7"/>
        <v>0</v>
      </c>
      <c r="BC56" s="12">
        <f t="shared" si="7"/>
        <v>0</v>
      </c>
      <c r="BD56" s="12">
        <f t="shared" si="7"/>
        <v>0</v>
      </c>
      <c r="BE56" s="12">
        <f t="shared" si="7"/>
        <v>0</v>
      </c>
      <c r="BF56" s="12">
        <f t="shared" si="3"/>
        <v>0</v>
      </c>
      <c r="BJ56" s="12" t="str">
        <f t="shared" si="4"/>
        <v/>
      </c>
      <c r="BK56" s="12">
        <f>VLOOKUP(B56,Kraftvärmeprod!$B$1:$BH$549,MATCH($BA$1,Kraftvärmeprod!$B$1:$CC$1,0),FALSE)</f>
        <v>0</v>
      </c>
    </row>
    <row r="57" spans="1:63" ht="15" customHeight="1" x14ac:dyDescent="0.25">
      <c r="A57" s="137" t="s">
        <v>263</v>
      </c>
      <c r="B57" s="137" t="s">
        <v>266</v>
      </c>
      <c r="C57" s="137">
        <v>2018</v>
      </c>
      <c r="D57" s="137">
        <v>40.454999999999998</v>
      </c>
      <c r="E57" s="137">
        <v>40.4</v>
      </c>
      <c r="F57" s="137" t="s">
        <v>193</v>
      </c>
      <c r="G57" s="137" t="s">
        <v>193</v>
      </c>
      <c r="H57" s="137" t="s">
        <v>193</v>
      </c>
      <c r="I57" s="137" t="s">
        <v>193</v>
      </c>
      <c r="J57" s="137" t="s">
        <v>193</v>
      </c>
      <c r="K57" s="137" t="s">
        <v>193</v>
      </c>
      <c r="L57" s="137" t="s">
        <v>193</v>
      </c>
      <c r="M57" s="137" t="s">
        <v>53</v>
      </c>
      <c r="N57" s="137" t="s">
        <v>193</v>
      </c>
      <c r="O57" s="137" t="s">
        <v>193</v>
      </c>
      <c r="P57" s="137">
        <v>21.8</v>
      </c>
      <c r="Q57" s="137" t="s">
        <v>193</v>
      </c>
      <c r="R57" s="137" t="s">
        <v>193</v>
      </c>
      <c r="S57" s="137" t="s">
        <v>193</v>
      </c>
      <c r="T57" s="137" t="s">
        <v>193</v>
      </c>
      <c r="U57" s="137">
        <v>18.600000000000001</v>
      </c>
      <c r="V57" s="137" t="s">
        <v>193</v>
      </c>
      <c r="W57" s="137" t="s">
        <v>193</v>
      </c>
      <c r="X57" s="137" t="s">
        <v>193</v>
      </c>
      <c r="Y57" s="137" t="s">
        <v>193</v>
      </c>
      <c r="Z57" s="137" t="s">
        <v>193</v>
      </c>
      <c r="AA57" s="137" t="s">
        <v>193</v>
      </c>
      <c r="AB57" s="137" t="s">
        <v>193</v>
      </c>
      <c r="AC57" s="137" t="s">
        <v>193</v>
      </c>
      <c r="AD57" s="137" t="s">
        <v>193</v>
      </c>
      <c r="AE57" s="137" t="s">
        <v>53</v>
      </c>
      <c r="AF57" s="137" t="s">
        <v>193</v>
      </c>
      <c r="AG57" s="137" t="s">
        <v>193</v>
      </c>
      <c r="AH57" s="137" t="s">
        <v>193</v>
      </c>
      <c r="AI57" s="137" t="s">
        <v>193</v>
      </c>
      <c r="AJ57" s="137" t="s">
        <v>193</v>
      </c>
      <c r="AK57" s="137" t="s">
        <v>193</v>
      </c>
      <c r="AL57" s="137" t="s">
        <v>193</v>
      </c>
      <c r="AM57" s="137" t="s">
        <v>193</v>
      </c>
      <c r="AN57" s="137" t="s">
        <v>53</v>
      </c>
      <c r="AO57" s="137" t="s">
        <v>193</v>
      </c>
      <c r="AP57" s="137" t="s">
        <v>193</v>
      </c>
      <c r="AQ57" s="137" t="s">
        <v>193</v>
      </c>
      <c r="AR57" s="137" t="s">
        <v>193</v>
      </c>
      <c r="AV57" s="1">
        <f t="shared" si="5"/>
        <v>40.400000000000006</v>
      </c>
      <c r="AW57" s="1">
        <f t="shared" si="0"/>
        <v>40.454999999999998</v>
      </c>
      <c r="AX57" s="13">
        <f t="shared" si="6"/>
        <v>1.0013613861386137</v>
      </c>
      <c r="BA57" s="12">
        <f t="shared" si="1"/>
        <v>0</v>
      </c>
      <c r="BB57" s="12">
        <f t="shared" si="7"/>
        <v>0</v>
      </c>
      <c r="BC57" s="12">
        <f t="shared" si="7"/>
        <v>0</v>
      </c>
      <c r="BD57" s="12">
        <f t="shared" si="7"/>
        <v>0</v>
      </c>
      <c r="BE57" s="12">
        <f t="shared" si="7"/>
        <v>0</v>
      </c>
      <c r="BF57" s="12">
        <f t="shared" si="3"/>
        <v>0</v>
      </c>
      <c r="BJ57" s="12" t="str">
        <f t="shared" si="4"/>
        <v/>
      </c>
      <c r="BK57" s="12">
        <f>VLOOKUP(B57,Kraftvärmeprod!$B$1:$BH$549,MATCH($BA$1,Kraftvärmeprod!$B$1:$CC$1,0),FALSE)</f>
        <v>0</v>
      </c>
    </row>
    <row r="58" spans="1:63" ht="15" customHeight="1" x14ac:dyDescent="0.25">
      <c r="A58" s="137" t="s">
        <v>263</v>
      </c>
      <c r="B58" s="137" t="s">
        <v>267</v>
      </c>
      <c r="C58" s="137">
        <v>2018</v>
      </c>
      <c r="D58" s="137">
        <v>70</v>
      </c>
      <c r="E58" s="137">
        <v>78.400000000000006</v>
      </c>
      <c r="F58" s="137">
        <v>0.7</v>
      </c>
      <c r="G58" s="137">
        <v>0.3</v>
      </c>
      <c r="H58" s="137" t="s">
        <v>193</v>
      </c>
      <c r="I58" s="137">
        <v>21</v>
      </c>
      <c r="J58" s="137" t="s">
        <v>193</v>
      </c>
      <c r="K58" s="137" t="s">
        <v>193</v>
      </c>
      <c r="L58" s="137" t="s">
        <v>193</v>
      </c>
      <c r="M58" s="137" t="s">
        <v>268</v>
      </c>
      <c r="N58" s="137">
        <v>0</v>
      </c>
      <c r="O58" s="137">
        <v>0</v>
      </c>
      <c r="P58" s="137">
        <v>0</v>
      </c>
      <c r="Q58" s="137">
        <v>0</v>
      </c>
      <c r="R58" s="137">
        <v>0</v>
      </c>
      <c r="S58" s="137">
        <v>0</v>
      </c>
      <c r="T58" s="137" t="s">
        <v>193</v>
      </c>
      <c r="U58" s="137" t="s">
        <v>193</v>
      </c>
      <c r="V58" s="137" t="s">
        <v>193</v>
      </c>
      <c r="W58" s="137" t="s">
        <v>193</v>
      </c>
      <c r="X58" s="137" t="s">
        <v>193</v>
      </c>
      <c r="Y58" s="137" t="s">
        <v>193</v>
      </c>
      <c r="Z58" s="137" t="s">
        <v>193</v>
      </c>
      <c r="AA58" s="137" t="s">
        <v>193</v>
      </c>
      <c r="AB58" s="137">
        <v>0</v>
      </c>
      <c r="AC58" s="137">
        <v>0</v>
      </c>
      <c r="AD58" s="137">
        <v>0</v>
      </c>
      <c r="AE58" s="137" t="s">
        <v>199</v>
      </c>
      <c r="AF58" s="137" t="s">
        <v>193</v>
      </c>
      <c r="AG58" s="137" t="s">
        <v>193</v>
      </c>
      <c r="AH58" s="137">
        <v>0</v>
      </c>
      <c r="AI58" s="137">
        <v>56</v>
      </c>
      <c r="AJ58" s="137" t="s">
        <v>240</v>
      </c>
      <c r="AK58" s="137">
        <v>17</v>
      </c>
      <c r="AL58" s="137">
        <v>0.4</v>
      </c>
      <c r="AM58" s="137">
        <v>0.4</v>
      </c>
      <c r="AN58" s="137" t="s">
        <v>268</v>
      </c>
      <c r="AO58" s="137" t="s">
        <v>193</v>
      </c>
      <c r="AP58" s="137" t="s">
        <v>193</v>
      </c>
      <c r="AQ58" s="137" t="s">
        <v>193</v>
      </c>
      <c r="AR58" s="137" t="s">
        <v>193</v>
      </c>
      <c r="AV58" s="1">
        <f t="shared" si="5"/>
        <v>78.400000000000006</v>
      </c>
      <c r="AW58" s="1">
        <f t="shared" si="0"/>
        <v>70</v>
      </c>
      <c r="AX58" s="13">
        <f t="shared" si="6"/>
        <v>0.89285714285714279</v>
      </c>
      <c r="BA58" s="12">
        <f t="shared" si="1"/>
        <v>0</v>
      </c>
      <c r="BB58" s="12">
        <f t="shared" si="7"/>
        <v>0</v>
      </c>
      <c r="BC58" s="12">
        <f t="shared" si="7"/>
        <v>0</v>
      </c>
      <c r="BD58" s="12">
        <f t="shared" si="7"/>
        <v>0</v>
      </c>
      <c r="BE58" s="12">
        <f t="shared" si="7"/>
        <v>0</v>
      </c>
      <c r="BF58" s="12">
        <f t="shared" si="3"/>
        <v>0</v>
      </c>
      <c r="BJ58" s="12" t="str">
        <f t="shared" si="4"/>
        <v/>
      </c>
      <c r="BK58" s="12">
        <f>VLOOKUP(B58,Kraftvärmeprod!$B$1:$BH$549,MATCH($BA$1,Kraftvärmeprod!$B$1:$CC$1,0),FALSE)</f>
        <v>173</v>
      </c>
    </row>
    <row r="59" spans="1:63" ht="15" customHeight="1" x14ac:dyDescent="0.25">
      <c r="A59" s="137" t="s">
        <v>263</v>
      </c>
      <c r="B59" s="137" t="s">
        <v>269</v>
      </c>
      <c r="C59" s="137">
        <v>2018</v>
      </c>
      <c r="D59" s="137">
        <v>281</v>
      </c>
      <c r="E59" s="137">
        <v>274</v>
      </c>
      <c r="F59" s="137" t="s">
        <v>193</v>
      </c>
      <c r="G59" s="137" t="s">
        <v>193</v>
      </c>
      <c r="H59" s="137" t="s">
        <v>193</v>
      </c>
      <c r="I59" s="137" t="s">
        <v>193</v>
      </c>
      <c r="J59" s="137" t="s">
        <v>193</v>
      </c>
      <c r="K59" s="137" t="s">
        <v>193</v>
      </c>
      <c r="L59" s="137" t="s">
        <v>193</v>
      </c>
      <c r="M59" s="137" t="s">
        <v>53</v>
      </c>
      <c r="N59" s="137" t="s">
        <v>193</v>
      </c>
      <c r="O59" s="137" t="s">
        <v>193</v>
      </c>
      <c r="P59" s="137" t="s">
        <v>193</v>
      </c>
      <c r="Q59" s="137" t="s">
        <v>193</v>
      </c>
      <c r="R59" s="137" t="s">
        <v>193</v>
      </c>
      <c r="S59" s="137" t="s">
        <v>193</v>
      </c>
      <c r="T59" s="137" t="s">
        <v>193</v>
      </c>
      <c r="U59" s="137">
        <v>47</v>
      </c>
      <c r="V59" s="137" t="s">
        <v>193</v>
      </c>
      <c r="W59" s="137" t="s">
        <v>193</v>
      </c>
      <c r="X59" s="137" t="s">
        <v>193</v>
      </c>
      <c r="Y59" s="137" t="s">
        <v>193</v>
      </c>
      <c r="Z59" s="137">
        <v>47</v>
      </c>
      <c r="AA59" s="137" t="s">
        <v>193</v>
      </c>
      <c r="AB59" s="137" t="s">
        <v>193</v>
      </c>
      <c r="AC59" s="137" t="s">
        <v>193</v>
      </c>
      <c r="AD59" s="137" t="s">
        <v>193</v>
      </c>
      <c r="AE59" s="137" t="s">
        <v>53</v>
      </c>
      <c r="AF59" s="137" t="s">
        <v>193</v>
      </c>
      <c r="AG59" s="137" t="s">
        <v>193</v>
      </c>
      <c r="AH59" s="137" t="s">
        <v>193</v>
      </c>
      <c r="AI59" s="137">
        <v>180</v>
      </c>
      <c r="AJ59" s="137" t="s">
        <v>197</v>
      </c>
      <c r="AK59" s="137">
        <v>67</v>
      </c>
      <c r="AL59" s="137" t="s">
        <v>193</v>
      </c>
      <c r="AM59" s="137" t="s">
        <v>193</v>
      </c>
      <c r="AN59" s="137" t="s">
        <v>53</v>
      </c>
      <c r="AO59" s="137" t="s">
        <v>193</v>
      </c>
      <c r="AP59" s="137" t="s">
        <v>193</v>
      </c>
      <c r="AQ59" s="137" t="s">
        <v>193</v>
      </c>
      <c r="AR59" s="137" t="s">
        <v>193</v>
      </c>
      <c r="AV59" s="1">
        <f t="shared" si="5"/>
        <v>274</v>
      </c>
      <c r="AW59" s="1">
        <f t="shared" si="0"/>
        <v>281</v>
      </c>
      <c r="AX59" s="13">
        <f t="shared" si="6"/>
        <v>1.0255474452554745</v>
      </c>
      <c r="BA59" s="12">
        <f t="shared" si="1"/>
        <v>0</v>
      </c>
      <c r="BB59" s="12">
        <f t="shared" si="7"/>
        <v>0</v>
      </c>
      <c r="BC59" s="12">
        <f t="shared" si="7"/>
        <v>0</v>
      </c>
      <c r="BD59" s="12">
        <f t="shared" si="7"/>
        <v>0</v>
      </c>
      <c r="BE59" s="12">
        <f t="shared" si="7"/>
        <v>0</v>
      </c>
      <c r="BF59" s="12">
        <f t="shared" si="3"/>
        <v>0</v>
      </c>
      <c r="BJ59" s="12" t="str">
        <f t="shared" si="4"/>
        <v/>
      </c>
      <c r="BK59" s="12">
        <f>VLOOKUP(B59,Kraftvärmeprod!$B$1:$BH$549,MATCH($BA$1,Kraftvärmeprod!$B$1:$CC$1,0),FALSE)</f>
        <v>0</v>
      </c>
    </row>
    <row r="60" spans="1:63" ht="15" customHeight="1" x14ac:dyDescent="0.25">
      <c r="A60" s="137" t="s">
        <v>263</v>
      </c>
      <c r="B60" s="137" t="s">
        <v>270</v>
      </c>
      <c r="C60" s="137">
        <v>2018</v>
      </c>
      <c r="D60" s="137">
        <v>58.4</v>
      </c>
      <c r="E60" s="137">
        <v>65.8</v>
      </c>
      <c r="F60" s="137" t="s">
        <v>193</v>
      </c>
      <c r="G60" s="137">
        <v>0.7</v>
      </c>
      <c r="H60" s="137" t="s">
        <v>193</v>
      </c>
      <c r="I60" s="137" t="s">
        <v>193</v>
      </c>
      <c r="J60" s="137" t="s">
        <v>193</v>
      </c>
      <c r="K60" s="137" t="s">
        <v>193</v>
      </c>
      <c r="L60" s="137" t="s">
        <v>193</v>
      </c>
      <c r="M60" s="137" t="s">
        <v>53</v>
      </c>
      <c r="N60" s="137" t="s">
        <v>193</v>
      </c>
      <c r="O60" s="137" t="s">
        <v>193</v>
      </c>
      <c r="P60" s="137" t="s">
        <v>193</v>
      </c>
      <c r="Q60" s="137" t="s">
        <v>193</v>
      </c>
      <c r="R60" s="137" t="s">
        <v>193</v>
      </c>
      <c r="S60" s="137" t="s">
        <v>193</v>
      </c>
      <c r="T60" s="137" t="s">
        <v>193</v>
      </c>
      <c r="U60" s="137">
        <v>13.9</v>
      </c>
      <c r="V60" s="137">
        <v>24.7</v>
      </c>
      <c r="W60" s="137" t="s">
        <v>193</v>
      </c>
      <c r="X60" s="137" t="s">
        <v>193</v>
      </c>
      <c r="Y60" s="137" t="s">
        <v>193</v>
      </c>
      <c r="Z60" s="137">
        <v>9.3000000000000007</v>
      </c>
      <c r="AA60" s="137" t="s">
        <v>193</v>
      </c>
      <c r="AB60" s="137" t="s">
        <v>193</v>
      </c>
      <c r="AC60" s="137" t="s">
        <v>193</v>
      </c>
      <c r="AD60" s="137" t="s">
        <v>193</v>
      </c>
      <c r="AE60" s="137" t="s">
        <v>53</v>
      </c>
      <c r="AF60" s="137" t="s">
        <v>193</v>
      </c>
      <c r="AG60" s="137" t="s">
        <v>193</v>
      </c>
      <c r="AH60" s="137" t="s">
        <v>193</v>
      </c>
      <c r="AI60" s="137">
        <v>17.2</v>
      </c>
      <c r="AJ60" s="137" t="s">
        <v>271</v>
      </c>
      <c r="AK60" s="137">
        <v>8.6999999999999993</v>
      </c>
      <c r="AL60" s="137" t="s">
        <v>193</v>
      </c>
      <c r="AM60" s="137" t="s">
        <v>193</v>
      </c>
      <c r="AN60" s="137" t="s">
        <v>53</v>
      </c>
      <c r="AO60" s="137" t="s">
        <v>193</v>
      </c>
      <c r="AP60" s="137" t="s">
        <v>193</v>
      </c>
      <c r="AQ60" s="137" t="s">
        <v>193</v>
      </c>
      <c r="AR60" s="137" t="s">
        <v>193</v>
      </c>
      <c r="AV60" s="1">
        <f t="shared" si="5"/>
        <v>65.8</v>
      </c>
      <c r="AW60" s="1">
        <f t="shared" si="0"/>
        <v>58.4</v>
      </c>
      <c r="AX60" s="13">
        <f t="shared" si="6"/>
        <v>0.88753799392097266</v>
      </c>
      <c r="BA60" s="12">
        <f t="shared" si="1"/>
        <v>0</v>
      </c>
      <c r="BB60" s="12">
        <f t="shared" si="7"/>
        <v>0</v>
      </c>
      <c r="BC60" s="12">
        <f t="shared" si="7"/>
        <v>0</v>
      </c>
      <c r="BD60" s="12">
        <f t="shared" si="7"/>
        <v>0</v>
      </c>
      <c r="BE60" s="12">
        <f t="shared" si="7"/>
        <v>0</v>
      </c>
      <c r="BF60" s="12">
        <f t="shared" si="3"/>
        <v>0</v>
      </c>
      <c r="BJ60" s="12" t="str">
        <f t="shared" si="4"/>
        <v/>
      </c>
      <c r="BK60" s="12">
        <f>VLOOKUP(B60,Kraftvärmeprod!$B$1:$BH$549,MATCH($BA$1,Kraftvärmeprod!$B$1:$CC$1,0),FALSE)</f>
        <v>0</v>
      </c>
    </row>
    <row r="61" spans="1:63" ht="15" customHeight="1" x14ac:dyDescent="0.25">
      <c r="A61" s="137" t="s">
        <v>263</v>
      </c>
      <c r="B61" s="137" t="s">
        <v>272</v>
      </c>
      <c r="C61" s="137">
        <v>2018</v>
      </c>
      <c r="D61" s="137">
        <v>269</v>
      </c>
      <c r="E61" s="137">
        <v>286.12</v>
      </c>
      <c r="F61" s="137" t="s">
        <v>193</v>
      </c>
      <c r="G61" s="137">
        <v>0</v>
      </c>
      <c r="H61" s="137" t="s">
        <v>193</v>
      </c>
      <c r="I61" s="137">
        <v>3.06</v>
      </c>
      <c r="J61" s="137">
        <v>15.06</v>
      </c>
      <c r="K61" s="137" t="s">
        <v>193</v>
      </c>
      <c r="L61" s="137" t="s">
        <v>193</v>
      </c>
      <c r="M61" s="137" t="s">
        <v>219</v>
      </c>
      <c r="N61" s="137" t="s">
        <v>193</v>
      </c>
      <c r="O61" s="137" t="s">
        <v>193</v>
      </c>
      <c r="P61" s="137">
        <v>120.9</v>
      </c>
      <c r="Q61" s="137" t="s">
        <v>193</v>
      </c>
      <c r="R61" s="137" t="s">
        <v>193</v>
      </c>
      <c r="S61" s="137" t="s">
        <v>193</v>
      </c>
      <c r="T61" s="137" t="s">
        <v>194</v>
      </c>
      <c r="U61" s="137" t="s">
        <v>193</v>
      </c>
      <c r="V61" s="137" t="s">
        <v>193</v>
      </c>
      <c r="W61" s="137" t="s">
        <v>193</v>
      </c>
      <c r="X61" s="137" t="s">
        <v>193</v>
      </c>
      <c r="Y61" s="137" t="s">
        <v>193</v>
      </c>
      <c r="Z61" s="137" t="s">
        <v>193</v>
      </c>
      <c r="AA61" s="137" t="s">
        <v>193</v>
      </c>
      <c r="AB61" s="137" t="s">
        <v>193</v>
      </c>
      <c r="AC61" s="137" t="s">
        <v>193</v>
      </c>
      <c r="AD61" s="137" t="s">
        <v>193</v>
      </c>
      <c r="AE61" s="137" t="s">
        <v>199</v>
      </c>
      <c r="AF61" s="137" t="s">
        <v>193</v>
      </c>
      <c r="AG61" s="137">
        <v>61.3</v>
      </c>
      <c r="AH61" s="137">
        <v>29</v>
      </c>
      <c r="AI61" s="137">
        <v>56.8</v>
      </c>
      <c r="AJ61" s="137" t="s">
        <v>240</v>
      </c>
      <c r="AK61" s="137">
        <v>17.5</v>
      </c>
      <c r="AL61" s="137" t="s">
        <v>193</v>
      </c>
      <c r="AM61" s="137" t="s">
        <v>193</v>
      </c>
      <c r="AN61" s="137" t="s">
        <v>219</v>
      </c>
      <c r="AO61" s="137">
        <v>100</v>
      </c>
      <c r="AP61" s="137" t="s">
        <v>193</v>
      </c>
      <c r="AQ61" s="137" t="s">
        <v>193</v>
      </c>
      <c r="AR61" s="137" t="s">
        <v>193</v>
      </c>
      <c r="AV61" s="1">
        <f t="shared" si="5"/>
        <v>286.12</v>
      </c>
      <c r="AW61" s="1">
        <f t="shared" si="0"/>
        <v>269</v>
      </c>
      <c r="AX61" s="13">
        <f t="shared" si="6"/>
        <v>0.94016496574863695</v>
      </c>
      <c r="BA61" s="12">
        <f t="shared" si="1"/>
        <v>29</v>
      </c>
      <c r="BB61" s="12">
        <f t="shared" si="7"/>
        <v>29</v>
      </c>
      <c r="BC61" s="12">
        <f t="shared" si="7"/>
        <v>0</v>
      </c>
      <c r="BD61" s="12">
        <f t="shared" si="7"/>
        <v>0</v>
      </c>
      <c r="BE61" s="12">
        <f t="shared" si="7"/>
        <v>0</v>
      </c>
      <c r="BF61" s="12">
        <f t="shared" si="3"/>
        <v>0</v>
      </c>
      <c r="BJ61" s="12" t="str">
        <f t="shared" si="4"/>
        <v/>
      </c>
      <c r="BK61" s="12">
        <f>VLOOKUP(B61,Kraftvärmeprod!$B$1:$BH$549,MATCH($BA$1,Kraftvärmeprod!$B$1:$CC$1,0),FALSE)</f>
        <v>38</v>
      </c>
    </row>
    <row r="62" spans="1:63" ht="15" customHeight="1" x14ac:dyDescent="0.25">
      <c r="A62" s="137" t="s">
        <v>263</v>
      </c>
      <c r="B62" s="137" t="s">
        <v>273</v>
      </c>
      <c r="C62" s="137">
        <v>2018</v>
      </c>
      <c r="D62" s="137">
        <v>112</v>
      </c>
      <c r="E62" s="137">
        <v>112.8</v>
      </c>
      <c r="F62" s="137" t="s">
        <v>193</v>
      </c>
      <c r="G62" s="137" t="s">
        <v>193</v>
      </c>
      <c r="H62" s="137" t="s">
        <v>193</v>
      </c>
      <c r="I62" s="137">
        <v>3.7</v>
      </c>
      <c r="J62" s="137" t="s">
        <v>193</v>
      </c>
      <c r="K62" s="137" t="s">
        <v>193</v>
      </c>
      <c r="L62" s="137" t="s">
        <v>193</v>
      </c>
      <c r="M62" s="137" t="s">
        <v>53</v>
      </c>
      <c r="N62" s="137">
        <v>9.9</v>
      </c>
      <c r="O62" s="137" t="s">
        <v>193</v>
      </c>
      <c r="P62" s="137" t="s">
        <v>193</v>
      </c>
      <c r="Q62" s="137" t="s">
        <v>193</v>
      </c>
      <c r="R62" s="137" t="s">
        <v>193</v>
      </c>
      <c r="S62" s="137" t="s">
        <v>193</v>
      </c>
      <c r="T62" s="137" t="s">
        <v>194</v>
      </c>
      <c r="U62" s="137" t="s">
        <v>193</v>
      </c>
      <c r="V62" s="137" t="s">
        <v>193</v>
      </c>
      <c r="W62" s="137" t="s">
        <v>193</v>
      </c>
      <c r="X62" s="137" t="s">
        <v>193</v>
      </c>
      <c r="Y62" s="137" t="s">
        <v>193</v>
      </c>
      <c r="Z62" s="137">
        <v>1.1000000000000001</v>
      </c>
      <c r="AA62" s="137" t="s">
        <v>193</v>
      </c>
      <c r="AB62" s="137" t="s">
        <v>193</v>
      </c>
      <c r="AC62" s="137">
        <v>98.1</v>
      </c>
      <c r="AD62" s="137" t="s">
        <v>193</v>
      </c>
      <c r="AE62" s="137" t="s">
        <v>53</v>
      </c>
      <c r="AF62" s="137" t="s">
        <v>193</v>
      </c>
      <c r="AG62" s="137" t="s">
        <v>193</v>
      </c>
      <c r="AH62" s="137" t="s">
        <v>193</v>
      </c>
      <c r="AI62" s="137" t="s">
        <v>193</v>
      </c>
      <c r="AJ62" s="137" t="s">
        <v>193</v>
      </c>
      <c r="AK62" s="137" t="s">
        <v>193</v>
      </c>
      <c r="AL62" s="137" t="s">
        <v>193</v>
      </c>
      <c r="AM62" s="137" t="s">
        <v>193</v>
      </c>
      <c r="AN62" s="137" t="s">
        <v>53</v>
      </c>
      <c r="AO62" s="137" t="s">
        <v>193</v>
      </c>
      <c r="AP62" s="137" t="s">
        <v>193</v>
      </c>
      <c r="AQ62" s="137" t="s">
        <v>193</v>
      </c>
      <c r="AR62" s="137" t="s">
        <v>193</v>
      </c>
      <c r="AV62" s="1">
        <f t="shared" si="5"/>
        <v>112.8</v>
      </c>
      <c r="AW62" s="1">
        <f t="shared" si="0"/>
        <v>112</v>
      </c>
      <c r="AX62" s="13">
        <f t="shared" si="6"/>
        <v>0.99290780141843971</v>
      </c>
      <c r="BA62" s="12">
        <f t="shared" si="1"/>
        <v>0</v>
      </c>
      <c r="BB62" s="12">
        <f t="shared" si="7"/>
        <v>0</v>
      </c>
      <c r="BC62" s="12">
        <f t="shared" si="7"/>
        <v>0</v>
      </c>
      <c r="BD62" s="12">
        <f t="shared" si="7"/>
        <v>0</v>
      </c>
      <c r="BE62" s="12">
        <f t="shared" si="7"/>
        <v>0</v>
      </c>
      <c r="BF62" s="12">
        <f t="shared" si="3"/>
        <v>0</v>
      </c>
      <c r="BJ62" s="12" t="str">
        <f t="shared" si="4"/>
        <v/>
      </c>
      <c r="BK62" s="12">
        <f>VLOOKUP(B62,Kraftvärmeprod!$B$1:$BH$549,MATCH($BA$1,Kraftvärmeprod!$B$1:$CC$1,0),FALSE)</f>
        <v>71.2</v>
      </c>
    </row>
    <row r="63" spans="1:63" ht="15" customHeight="1" x14ac:dyDescent="0.25">
      <c r="A63" s="137" t="s">
        <v>263</v>
      </c>
      <c r="B63" s="137" t="s">
        <v>274</v>
      </c>
      <c r="C63" s="137">
        <v>2018</v>
      </c>
      <c r="D63" s="137">
        <v>81.5</v>
      </c>
      <c r="E63" s="137">
        <v>93.8</v>
      </c>
      <c r="F63" s="137" t="s">
        <v>193</v>
      </c>
      <c r="G63" s="137">
        <v>1.3</v>
      </c>
      <c r="H63" s="137" t="s">
        <v>193</v>
      </c>
      <c r="I63" s="137" t="s">
        <v>193</v>
      </c>
      <c r="J63" s="137" t="s">
        <v>193</v>
      </c>
      <c r="K63" s="137" t="s">
        <v>193</v>
      </c>
      <c r="L63" s="137" t="s">
        <v>193</v>
      </c>
      <c r="M63" s="137" t="s">
        <v>53</v>
      </c>
      <c r="N63" s="137" t="s">
        <v>193</v>
      </c>
      <c r="O63" s="137" t="s">
        <v>193</v>
      </c>
      <c r="P63" s="137">
        <v>74</v>
      </c>
      <c r="Q63" s="137" t="s">
        <v>193</v>
      </c>
      <c r="R63" s="137" t="s">
        <v>193</v>
      </c>
      <c r="S63" s="137" t="s">
        <v>193</v>
      </c>
      <c r="T63" s="137" t="s">
        <v>193</v>
      </c>
      <c r="U63" s="137">
        <v>4.7</v>
      </c>
      <c r="V63" s="137" t="s">
        <v>193</v>
      </c>
      <c r="W63" s="137" t="s">
        <v>193</v>
      </c>
      <c r="X63" s="137" t="s">
        <v>193</v>
      </c>
      <c r="Y63" s="137" t="s">
        <v>193</v>
      </c>
      <c r="Z63" s="137">
        <v>2.1</v>
      </c>
      <c r="AA63" s="137" t="s">
        <v>193</v>
      </c>
      <c r="AB63" s="137" t="s">
        <v>193</v>
      </c>
      <c r="AC63" s="137" t="s">
        <v>193</v>
      </c>
      <c r="AD63" s="137" t="s">
        <v>193</v>
      </c>
      <c r="AE63" s="137" t="s">
        <v>53</v>
      </c>
      <c r="AF63" s="137" t="s">
        <v>193</v>
      </c>
      <c r="AG63" s="137" t="s">
        <v>193</v>
      </c>
      <c r="AH63" s="137">
        <v>11.7</v>
      </c>
      <c r="AI63" s="137" t="s">
        <v>193</v>
      </c>
      <c r="AJ63" s="137" t="s">
        <v>193</v>
      </c>
      <c r="AK63" s="137" t="s">
        <v>193</v>
      </c>
      <c r="AL63" s="137" t="s">
        <v>193</v>
      </c>
      <c r="AM63" s="137" t="s">
        <v>193</v>
      </c>
      <c r="AN63" s="137" t="s">
        <v>53</v>
      </c>
      <c r="AO63" s="137">
        <v>100</v>
      </c>
      <c r="AP63" s="137" t="s">
        <v>193</v>
      </c>
      <c r="AQ63" s="137" t="s">
        <v>193</v>
      </c>
      <c r="AR63" s="137" t="s">
        <v>193</v>
      </c>
      <c r="AV63" s="1">
        <f t="shared" si="5"/>
        <v>93.8</v>
      </c>
      <c r="AW63" s="1">
        <f t="shared" si="0"/>
        <v>81.5</v>
      </c>
      <c r="AX63" s="13">
        <f t="shared" si="6"/>
        <v>0.86886993603411522</v>
      </c>
      <c r="BA63" s="12">
        <f t="shared" si="1"/>
        <v>11.7</v>
      </c>
      <c r="BB63" s="12">
        <f t="shared" si="7"/>
        <v>11.7</v>
      </c>
      <c r="BC63" s="12">
        <f t="shared" si="7"/>
        <v>0</v>
      </c>
      <c r="BD63" s="12">
        <f t="shared" si="7"/>
        <v>0</v>
      </c>
      <c r="BE63" s="12">
        <f t="shared" si="7"/>
        <v>0</v>
      </c>
      <c r="BF63" s="12">
        <f t="shared" si="3"/>
        <v>0</v>
      </c>
      <c r="BJ63" s="12" t="str">
        <f t="shared" si="4"/>
        <v/>
      </c>
      <c r="BK63" s="12">
        <f>VLOOKUP(B63,Kraftvärmeprod!$B$1:$BH$549,MATCH($BA$1,Kraftvärmeprod!$B$1:$CC$1,0),FALSE)</f>
        <v>0</v>
      </c>
    </row>
    <row r="64" spans="1:63" ht="15" customHeight="1" x14ac:dyDescent="0.25">
      <c r="A64" s="137" t="s">
        <v>263</v>
      </c>
      <c r="B64" s="137" t="s">
        <v>275</v>
      </c>
      <c r="C64" s="137">
        <v>2018</v>
      </c>
      <c r="D64" s="137">
        <v>69.900000000000006</v>
      </c>
      <c r="E64" s="137">
        <v>70</v>
      </c>
      <c r="F64" s="137" t="s">
        <v>193</v>
      </c>
      <c r="G64" s="137">
        <v>0</v>
      </c>
      <c r="H64" s="137" t="s">
        <v>193</v>
      </c>
      <c r="I64" s="137" t="s">
        <v>193</v>
      </c>
      <c r="J64" s="137" t="s">
        <v>193</v>
      </c>
      <c r="K64" s="137" t="s">
        <v>193</v>
      </c>
      <c r="L64" s="137" t="s">
        <v>193</v>
      </c>
      <c r="M64" s="137" t="s">
        <v>53</v>
      </c>
      <c r="N64" s="137" t="s">
        <v>193</v>
      </c>
      <c r="O64" s="137" t="s">
        <v>193</v>
      </c>
      <c r="P64" s="137">
        <v>37</v>
      </c>
      <c r="Q64" s="137" t="s">
        <v>193</v>
      </c>
      <c r="R64" s="137" t="s">
        <v>193</v>
      </c>
      <c r="S64" s="137" t="s">
        <v>193</v>
      </c>
      <c r="T64" s="137" t="s">
        <v>193</v>
      </c>
      <c r="U64" s="137" t="s">
        <v>193</v>
      </c>
      <c r="V64" s="137" t="s">
        <v>193</v>
      </c>
      <c r="W64" s="137" t="s">
        <v>193</v>
      </c>
      <c r="X64" s="137" t="s">
        <v>193</v>
      </c>
      <c r="Y64" s="137" t="s">
        <v>193</v>
      </c>
      <c r="Z64" s="137">
        <v>6.3</v>
      </c>
      <c r="AA64" s="137" t="s">
        <v>193</v>
      </c>
      <c r="AB64" s="137" t="s">
        <v>193</v>
      </c>
      <c r="AC64" s="137" t="s">
        <v>193</v>
      </c>
      <c r="AD64" s="137" t="s">
        <v>193</v>
      </c>
      <c r="AE64" s="137" t="s">
        <v>53</v>
      </c>
      <c r="AF64" s="137" t="s">
        <v>193</v>
      </c>
      <c r="AG64" s="137" t="s">
        <v>193</v>
      </c>
      <c r="AH64" s="137" t="s">
        <v>193</v>
      </c>
      <c r="AI64" s="137">
        <v>26.7</v>
      </c>
      <c r="AJ64" s="137" t="s">
        <v>197</v>
      </c>
      <c r="AK64" s="137">
        <v>9</v>
      </c>
      <c r="AL64" s="137" t="s">
        <v>193</v>
      </c>
      <c r="AM64" s="137" t="s">
        <v>193</v>
      </c>
      <c r="AN64" s="137" t="s">
        <v>53</v>
      </c>
      <c r="AO64" s="137" t="s">
        <v>193</v>
      </c>
      <c r="AP64" s="137" t="s">
        <v>193</v>
      </c>
      <c r="AQ64" s="137" t="s">
        <v>193</v>
      </c>
      <c r="AR64" s="137" t="s">
        <v>193</v>
      </c>
      <c r="AV64" s="1">
        <f t="shared" si="5"/>
        <v>70</v>
      </c>
      <c r="AW64" s="1">
        <f t="shared" si="0"/>
        <v>69.900000000000006</v>
      </c>
      <c r="AX64" s="13">
        <f t="shared" si="6"/>
        <v>0.99857142857142867</v>
      </c>
      <c r="BA64" s="12">
        <f t="shared" si="1"/>
        <v>0</v>
      </c>
      <c r="BB64" s="12">
        <f t="shared" si="7"/>
        <v>0</v>
      </c>
      <c r="BC64" s="12">
        <f t="shared" si="7"/>
        <v>0</v>
      </c>
      <c r="BD64" s="12">
        <f t="shared" si="7"/>
        <v>0</v>
      </c>
      <c r="BE64" s="12">
        <f t="shared" si="7"/>
        <v>0</v>
      </c>
      <c r="BF64" s="12">
        <f t="shared" si="3"/>
        <v>0</v>
      </c>
      <c r="BJ64" s="12" t="str">
        <f t="shared" si="4"/>
        <v/>
      </c>
      <c r="BK64" s="12">
        <f>VLOOKUP(B64,Kraftvärmeprod!$B$1:$BH$549,MATCH($BA$1,Kraftvärmeprod!$B$1:$CC$1,0),FALSE)</f>
        <v>0</v>
      </c>
    </row>
    <row r="65" spans="1:63" ht="15" customHeight="1" x14ac:dyDescent="0.25">
      <c r="A65" s="137" t="s">
        <v>263</v>
      </c>
      <c r="B65" s="137" t="s">
        <v>276</v>
      </c>
      <c r="C65" s="137">
        <v>2018</v>
      </c>
      <c r="D65" s="137">
        <v>70</v>
      </c>
      <c r="E65" s="137">
        <v>87</v>
      </c>
      <c r="F65" s="137" t="s">
        <v>193</v>
      </c>
      <c r="G65" s="137">
        <v>0.7</v>
      </c>
      <c r="H65" s="137" t="s">
        <v>193</v>
      </c>
      <c r="I65" s="137" t="s">
        <v>193</v>
      </c>
      <c r="J65" s="137" t="s">
        <v>193</v>
      </c>
      <c r="K65" s="137" t="s">
        <v>193</v>
      </c>
      <c r="L65" s="137" t="s">
        <v>193</v>
      </c>
      <c r="M65" s="137" t="s">
        <v>53</v>
      </c>
      <c r="N65" s="137" t="s">
        <v>193</v>
      </c>
      <c r="O65" s="137" t="s">
        <v>193</v>
      </c>
      <c r="P65" s="137">
        <v>63</v>
      </c>
      <c r="Q65" s="137" t="s">
        <v>193</v>
      </c>
      <c r="R65" s="137" t="s">
        <v>193</v>
      </c>
      <c r="S65" s="137" t="s">
        <v>193</v>
      </c>
      <c r="T65" s="137" t="s">
        <v>193</v>
      </c>
      <c r="U65" s="137">
        <v>6.8</v>
      </c>
      <c r="V65" s="137" t="s">
        <v>193</v>
      </c>
      <c r="W65" s="137" t="s">
        <v>193</v>
      </c>
      <c r="X65" s="137" t="s">
        <v>193</v>
      </c>
      <c r="Y65" s="137" t="s">
        <v>193</v>
      </c>
      <c r="Z65" s="137">
        <v>4.5</v>
      </c>
      <c r="AA65" s="137" t="s">
        <v>193</v>
      </c>
      <c r="AB65" s="137" t="s">
        <v>193</v>
      </c>
      <c r="AC65" s="137" t="s">
        <v>193</v>
      </c>
      <c r="AD65" s="137" t="s">
        <v>193</v>
      </c>
      <c r="AE65" s="137" t="s">
        <v>53</v>
      </c>
      <c r="AF65" s="137" t="s">
        <v>193</v>
      </c>
      <c r="AG65" s="137" t="s">
        <v>193</v>
      </c>
      <c r="AH65" s="137">
        <v>12</v>
      </c>
      <c r="AI65" s="137" t="s">
        <v>193</v>
      </c>
      <c r="AJ65" s="137" t="s">
        <v>193</v>
      </c>
      <c r="AK65" s="137" t="s">
        <v>193</v>
      </c>
      <c r="AL65" s="137" t="s">
        <v>193</v>
      </c>
      <c r="AM65" s="137" t="s">
        <v>193</v>
      </c>
      <c r="AN65" s="137" t="s">
        <v>53</v>
      </c>
      <c r="AO65" s="137">
        <v>100</v>
      </c>
      <c r="AP65" s="137" t="s">
        <v>193</v>
      </c>
      <c r="AQ65" s="137" t="s">
        <v>193</v>
      </c>
      <c r="AR65" s="137" t="s">
        <v>193</v>
      </c>
      <c r="AV65" s="1">
        <f t="shared" si="5"/>
        <v>87</v>
      </c>
      <c r="AW65" s="1">
        <f t="shared" ref="AW65:AW128" si="8">IFERROR(D65/1,0)</f>
        <v>70</v>
      </c>
      <c r="AX65" s="13">
        <f t="shared" si="6"/>
        <v>0.8045977011494253</v>
      </c>
      <c r="BA65" s="12">
        <f t="shared" ref="BA65:BA128" si="9">IFERROR(AH65/1,0)</f>
        <v>12</v>
      </c>
      <c r="BB65" s="12">
        <f t="shared" si="7"/>
        <v>12</v>
      </c>
      <c r="BC65" s="12">
        <f t="shared" si="7"/>
        <v>0</v>
      </c>
      <c r="BD65" s="12">
        <f t="shared" si="7"/>
        <v>0</v>
      </c>
      <c r="BE65" s="12">
        <f t="shared" si="7"/>
        <v>0</v>
      </c>
      <c r="BF65" s="12">
        <f t="shared" ref="BF65:BF128" si="10">MAX(BA65-SUM(BB65:BE65),0)</f>
        <v>0</v>
      </c>
      <c r="BJ65" s="12" t="str">
        <f t="shared" ref="BJ65:BJ128" si="11">IF(AND((IFERROR(AO65/1,0)+IFERROR(AP65/1,0)+IFERROR(AQ65/1,0)+IFERROR(AR65/1,0))&gt;0,OR(TYPE(AH65)&lt;&gt;1,AH65=0)),"ja","")</f>
        <v/>
      </c>
      <c r="BK65" s="12">
        <f>VLOOKUP(B65,Kraftvärmeprod!$B$1:$BH$549,MATCH($BA$1,Kraftvärmeprod!$B$1:$CC$1,0),FALSE)</f>
        <v>0</v>
      </c>
    </row>
    <row r="66" spans="1:63" ht="15" customHeight="1" x14ac:dyDescent="0.25">
      <c r="A66" s="137" t="s">
        <v>277</v>
      </c>
      <c r="B66" s="137" t="s">
        <v>277</v>
      </c>
      <c r="C66" s="137">
        <v>2018</v>
      </c>
      <c r="D66" s="137" t="s">
        <v>53</v>
      </c>
      <c r="E66" s="137" t="s">
        <v>53</v>
      </c>
      <c r="F66" s="137" t="s">
        <v>53</v>
      </c>
      <c r="G66" s="137" t="s">
        <v>53</v>
      </c>
      <c r="H66" s="137" t="s">
        <v>53</v>
      </c>
      <c r="I66" s="137" t="s">
        <v>53</v>
      </c>
      <c r="J66" s="137" t="s">
        <v>53</v>
      </c>
      <c r="K66" s="137" t="s">
        <v>53</v>
      </c>
      <c r="L66" s="137" t="s">
        <v>53</v>
      </c>
      <c r="M66" s="137" t="s">
        <v>53</v>
      </c>
      <c r="N66" s="137" t="s">
        <v>53</v>
      </c>
      <c r="O66" s="137" t="s">
        <v>53</v>
      </c>
      <c r="P66" s="137" t="s">
        <v>53</v>
      </c>
      <c r="Q66" s="137" t="s">
        <v>53</v>
      </c>
      <c r="R66" s="137" t="s">
        <v>53</v>
      </c>
      <c r="S66" s="137" t="s">
        <v>53</v>
      </c>
      <c r="T66" s="137" t="s">
        <v>53</v>
      </c>
      <c r="U66" s="137" t="s">
        <v>53</v>
      </c>
      <c r="V66" s="137" t="s">
        <v>53</v>
      </c>
      <c r="W66" s="137" t="s">
        <v>53</v>
      </c>
      <c r="X66" s="137" t="s">
        <v>53</v>
      </c>
      <c r="Y66" s="137" t="s">
        <v>53</v>
      </c>
      <c r="Z66" s="137" t="s">
        <v>53</v>
      </c>
      <c r="AA66" s="137" t="s">
        <v>53</v>
      </c>
      <c r="AB66" s="137" t="s">
        <v>53</v>
      </c>
      <c r="AC66" s="137" t="s">
        <v>53</v>
      </c>
      <c r="AD66" s="137" t="s">
        <v>53</v>
      </c>
      <c r="AE66" s="137" t="s">
        <v>53</v>
      </c>
      <c r="AF66" s="137" t="s">
        <v>53</v>
      </c>
      <c r="AG66" s="137" t="s">
        <v>53</v>
      </c>
      <c r="AH66" s="137" t="s">
        <v>53</v>
      </c>
      <c r="AI66" s="137" t="s">
        <v>53</v>
      </c>
      <c r="AJ66" s="137" t="s">
        <v>53</v>
      </c>
      <c r="AK66" s="137" t="s">
        <v>53</v>
      </c>
      <c r="AL66" s="137" t="s">
        <v>53</v>
      </c>
      <c r="AM66" s="137" t="s">
        <v>53</v>
      </c>
      <c r="AN66" s="137" t="s">
        <v>53</v>
      </c>
      <c r="AO66" s="137" t="s">
        <v>53</v>
      </c>
      <c r="AP66" s="137" t="s">
        <v>53</v>
      </c>
      <c r="AQ66" s="137" t="s">
        <v>53</v>
      </c>
      <c r="AR66" s="137" t="s">
        <v>53</v>
      </c>
      <c r="AV66" s="1">
        <f t="shared" si="5"/>
        <v>0</v>
      </c>
      <c r="AW66" s="1">
        <f t="shared" si="8"/>
        <v>0</v>
      </c>
      <c r="AX66" s="13" t="str">
        <f t="shared" ref="AX66:AX129" si="12">IFERROR(AW66/AV66,"")</f>
        <v/>
      </c>
      <c r="BA66" s="12">
        <f t="shared" si="9"/>
        <v>0</v>
      </c>
      <c r="BB66" s="12">
        <f t="shared" ref="BB66:BE129" si="13">IFERROR(AO66/100,0)*$BA66</f>
        <v>0</v>
      </c>
      <c r="BC66" s="12">
        <f t="shared" si="13"/>
        <v>0</v>
      </c>
      <c r="BD66" s="12">
        <f t="shared" si="13"/>
        <v>0</v>
      </c>
      <c r="BE66" s="12">
        <f t="shared" si="13"/>
        <v>0</v>
      </c>
      <c r="BF66" s="12">
        <f t="shared" si="10"/>
        <v>0</v>
      </c>
      <c r="BJ66" s="12" t="str">
        <f t="shared" si="11"/>
        <v/>
      </c>
      <c r="BK66" s="12">
        <f>VLOOKUP(B66,Kraftvärmeprod!$B$1:$BH$549,MATCH($BA$1,Kraftvärmeprod!$B$1:$CC$1,0),FALSE)</f>
        <v>0</v>
      </c>
    </row>
    <row r="67" spans="1:63" ht="15" customHeight="1" x14ac:dyDescent="0.25">
      <c r="A67" s="137" t="s">
        <v>277</v>
      </c>
      <c r="B67" s="137" t="s">
        <v>278</v>
      </c>
      <c r="C67" s="137">
        <v>2018</v>
      </c>
      <c r="D67" s="137" t="s">
        <v>53</v>
      </c>
      <c r="E67" s="137" t="s">
        <v>53</v>
      </c>
      <c r="F67" s="137" t="s">
        <v>53</v>
      </c>
      <c r="G67" s="137" t="s">
        <v>53</v>
      </c>
      <c r="H67" s="137" t="s">
        <v>53</v>
      </c>
      <c r="I67" s="137" t="s">
        <v>53</v>
      </c>
      <c r="J67" s="137" t="s">
        <v>53</v>
      </c>
      <c r="K67" s="137" t="s">
        <v>53</v>
      </c>
      <c r="L67" s="137" t="s">
        <v>53</v>
      </c>
      <c r="M67" s="137" t="s">
        <v>53</v>
      </c>
      <c r="N67" s="137" t="s">
        <v>53</v>
      </c>
      <c r="O67" s="137" t="s">
        <v>53</v>
      </c>
      <c r="P67" s="137" t="s">
        <v>53</v>
      </c>
      <c r="Q67" s="137" t="s">
        <v>53</v>
      </c>
      <c r="R67" s="137" t="s">
        <v>53</v>
      </c>
      <c r="S67" s="137" t="s">
        <v>53</v>
      </c>
      <c r="T67" s="137" t="s">
        <v>53</v>
      </c>
      <c r="U67" s="137" t="s">
        <v>53</v>
      </c>
      <c r="V67" s="137" t="s">
        <v>53</v>
      </c>
      <c r="W67" s="137" t="s">
        <v>53</v>
      </c>
      <c r="X67" s="137" t="s">
        <v>53</v>
      </c>
      <c r="Y67" s="137" t="s">
        <v>53</v>
      </c>
      <c r="Z67" s="137" t="s">
        <v>53</v>
      </c>
      <c r="AA67" s="137" t="s">
        <v>53</v>
      </c>
      <c r="AB67" s="137" t="s">
        <v>53</v>
      </c>
      <c r="AC67" s="137" t="s">
        <v>53</v>
      </c>
      <c r="AD67" s="137" t="s">
        <v>53</v>
      </c>
      <c r="AE67" s="137" t="s">
        <v>53</v>
      </c>
      <c r="AF67" s="137" t="s">
        <v>53</v>
      </c>
      <c r="AG67" s="137" t="s">
        <v>53</v>
      </c>
      <c r="AH67" s="137" t="s">
        <v>53</v>
      </c>
      <c r="AI67" s="137" t="s">
        <v>53</v>
      </c>
      <c r="AJ67" s="137" t="s">
        <v>53</v>
      </c>
      <c r="AK67" s="137" t="s">
        <v>53</v>
      </c>
      <c r="AL67" s="137" t="s">
        <v>53</v>
      </c>
      <c r="AM67" s="137" t="s">
        <v>53</v>
      </c>
      <c r="AN67" s="137" t="s">
        <v>53</v>
      </c>
      <c r="AO67" s="137" t="s">
        <v>53</v>
      </c>
      <c r="AP67" s="137" t="s">
        <v>53</v>
      </c>
      <c r="AQ67" s="137" t="s">
        <v>53</v>
      </c>
      <c r="AR67" s="137" t="s">
        <v>53</v>
      </c>
      <c r="AV67" s="1">
        <f t="shared" ref="AV67:AV130" si="14">SUMPRODUCT(F67:AC67)+SUMPRODUCT(AG67:AI67)+IFERROR(AL67/1,0)</f>
        <v>0</v>
      </c>
      <c r="AW67" s="1">
        <f t="shared" si="8"/>
        <v>0</v>
      </c>
      <c r="AX67" s="13" t="str">
        <f t="shared" si="12"/>
        <v/>
      </c>
      <c r="BA67" s="12">
        <f t="shared" si="9"/>
        <v>0</v>
      </c>
      <c r="BB67" s="12">
        <f t="shared" si="13"/>
        <v>0</v>
      </c>
      <c r="BC67" s="12">
        <f t="shared" si="13"/>
        <v>0</v>
      </c>
      <c r="BD67" s="12">
        <f t="shared" si="13"/>
        <v>0</v>
      </c>
      <c r="BE67" s="12">
        <f t="shared" si="13"/>
        <v>0</v>
      </c>
      <c r="BF67" s="12">
        <f t="shared" si="10"/>
        <v>0</v>
      </c>
      <c r="BJ67" s="12" t="str">
        <f t="shared" si="11"/>
        <v/>
      </c>
      <c r="BK67" s="12">
        <f>VLOOKUP(B67,Kraftvärmeprod!$B$1:$BH$549,MATCH($BA$1,Kraftvärmeprod!$B$1:$CC$1,0),FALSE)</f>
        <v>0</v>
      </c>
    </row>
    <row r="68" spans="1:63" ht="15" customHeight="1" x14ac:dyDescent="0.25">
      <c r="A68" s="137" t="s">
        <v>279</v>
      </c>
      <c r="B68" s="137" t="s">
        <v>280</v>
      </c>
      <c r="C68" s="137">
        <v>2018</v>
      </c>
      <c r="D68" s="137">
        <v>21.05</v>
      </c>
      <c r="E68" s="137">
        <v>27.933</v>
      </c>
      <c r="F68" s="137" t="s">
        <v>193</v>
      </c>
      <c r="G68" s="137">
        <v>9.2999999999999999E-2</v>
      </c>
      <c r="H68" s="137" t="s">
        <v>193</v>
      </c>
      <c r="I68" s="137" t="s">
        <v>193</v>
      </c>
      <c r="J68" s="137" t="s">
        <v>193</v>
      </c>
      <c r="K68" s="137" t="s">
        <v>193</v>
      </c>
      <c r="L68" s="137" t="s">
        <v>193</v>
      </c>
      <c r="M68" s="137" t="s">
        <v>53</v>
      </c>
      <c r="N68" s="137" t="s">
        <v>193</v>
      </c>
      <c r="O68" s="137">
        <v>4.3</v>
      </c>
      <c r="P68" s="137">
        <v>19</v>
      </c>
      <c r="Q68" s="137">
        <v>4.3</v>
      </c>
      <c r="R68" s="137" t="s">
        <v>193</v>
      </c>
      <c r="S68" s="137" t="s">
        <v>193</v>
      </c>
      <c r="T68" s="137" t="s">
        <v>194</v>
      </c>
      <c r="U68" s="137" t="s">
        <v>193</v>
      </c>
      <c r="V68" s="137" t="s">
        <v>193</v>
      </c>
      <c r="W68" s="137" t="s">
        <v>193</v>
      </c>
      <c r="X68" s="137" t="s">
        <v>193</v>
      </c>
      <c r="Y68" s="137" t="s">
        <v>193</v>
      </c>
      <c r="Z68" s="137">
        <v>0.24</v>
      </c>
      <c r="AA68" s="137" t="s">
        <v>193</v>
      </c>
      <c r="AB68" s="137" t="s">
        <v>193</v>
      </c>
      <c r="AC68" s="137" t="s">
        <v>193</v>
      </c>
      <c r="AD68" s="137" t="s">
        <v>193</v>
      </c>
      <c r="AE68" s="137" t="s">
        <v>199</v>
      </c>
      <c r="AF68" s="137" t="s">
        <v>193</v>
      </c>
      <c r="AG68" s="137" t="s">
        <v>193</v>
      </c>
      <c r="AH68" s="137" t="s">
        <v>193</v>
      </c>
      <c r="AI68" s="137" t="s">
        <v>193</v>
      </c>
      <c r="AJ68" s="137" t="s">
        <v>193</v>
      </c>
      <c r="AK68" s="137" t="s">
        <v>193</v>
      </c>
      <c r="AL68" s="137" t="s">
        <v>193</v>
      </c>
      <c r="AM68" s="137" t="s">
        <v>193</v>
      </c>
      <c r="AN68" s="137" t="s">
        <v>53</v>
      </c>
      <c r="AO68" s="137" t="s">
        <v>193</v>
      </c>
      <c r="AP68" s="137" t="s">
        <v>193</v>
      </c>
      <c r="AQ68" s="137" t="s">
        <v>193</v>
      </c>
      <c r="AR68" s="137" t="s">
        <v>193</v>
      </c>
      <c r="AV68" s="1">
        <f t="shared" si="14"/>
        <v>27.933</v>
      </c>
      <c r="AW68" s="1">
        <f t="shared" si="8"/>
        <v>21.05</v>
      </c>
      <c r="AX68" s="13">
        <f t="shared" si="12"/>
        <v>0.75358894497547702</v>
      </c>
      <c r="BA68" s="12">
        <f t="shared" si="9"/>
        <v>0</v>
      </c>
      <c r="BB68" s="12">
        <f t="shared" si="13"/>
        <v>0</v>
      </c>
      <c r="BC68" s="12">
        <f t="shared" si="13"/>
        <v>0</v>
      </c>
      <c r="BD68" s="12">
        <f t="shared" si="13"/>
        <v>0</v>
      </c>
      <c r="BE68" s="12">
        <f t="shared" si="13"/>
        <v>0</v>
      </c>
      <c r="BF68" s="12">
        <f t="shared" si="10"/>
        <v>0</v>
      </c>
      <c r="BJ68" s="12" t="str">
        <f t="shared" si="11"/>
        <v/>
      </c>
      <c r="BK68" s="12">
        <f>VLOOKUP(B68,Kraftvärmeprod!$B$1:$BH$549,MATCH($BA$1,Kraftvärmeprod!$B$1:$CC$1,0),FALSE)</f>
        <v>11.5</v>
      </c>
    </row>
    <row r="69" spans="1:63" ht="15" customHeight="1" x14ac:dyDescent="0.25">
      <c r="A69" s="137" t="s">
        <v>279</v>
      </c>
      <c r="B69" s="137" t="s">
        <v>281</v>
      </c>
      <c r="C69" s="137">
        <v>2018</v>
      </c>
      <c r="D69" s="137">
        <v>3.67</v>
      </c>
      <c r="E69" s="137">
        <v>4.5999999999999996</v>
      </c>
      <c r="F69" s="137" t="s">
        <v>193</v>
      </c>
      <c r="G69" s="137" t="s">
        <v>193</v>
      </c>
      <c r="H69" s="137" t="s">
        <v>193</v>
      </c>
      <c r="I69" s="137" t="s">
        <v>193</v>
      </c>
      <c r="J69" s="137" t="s">
        <v>193</v>
      </c>
      <c r="K69" s="137" t="s">
        <v>193</v>
      </c>
      <c r="L69" s="137" t="s">
        <v>193</v>
      </c>
      <c r="M69" s="137" t="s">
        <v>53</v>
      </c>
      <c r="N69" s="137" t="s">
        <v>193</v>
      </c>
      <c r="O69" s="137">
        <v>1.49</v>
      </c>
      <c r="P69" s="137">
        <v>1.49</v>
      </c>
      <c r="Q69" s="137">
        <v>1.49</v>
      </c>
      <c r="R69" s="137" t="s">
        <v>193</v>
      </c>
      <c r="S69" s="137" t="s">
        <v>193</v>
      </c>
      <c r="T69" s="137" t="s">
        <v>194</v>
      </c>
      <c r="U69" s="137" t="s">
        <v>193</v>
      </c>
      <c r="V69" s="137" t="s">
        <v>193</v>
      </c>
      <c r="W69" s="137" t="s">
        <v>193</v>
      </c>
      <c r="X69" s="137" t="s">
        <v>193</v>
      </c>
      <c r="Y69" s="137" t="s">
        <v>193</v>
      </c>
      <c r="Z69" s="137">
        <v>0.13</v>
      </c>
      <c r="AA69" s="137" t="s">
        <v>193</v>
      </c>
      <c r="AB69" s="137" t="s">
        <v>193</v>
      </c>
      <c r="AC69" s="137" t="s">
        <v>193</v>
      </c>
      <c r="AD69" s="137" t="s">
        <v>193</v>
      </c>
      <c r="AE69" s="137" t="s">
        <v>199</v>
      </c>
      <c r="AF69" s="137" t="s">
        <v>193</v>
      </c>
      <c r="AG69" s="137" t="s">
        <v>193</v>
      </c>
      <c r="AH69" s="137" t="s">
        <v>193</v>
      </c>
      <c r="AI69" s="137" t="s">
        <v>193</v>
      </c>
      <c r="AJ69" s="137" t="s">
        <v>193</v>
      </c>
      <c r="AK69" s="137" t="s">
        <v>193</v>
      </c>
      <c r="AL69" s="137" t="s">
        <v>193</v>
      </c>
      <c r="AM69" s="137" t="s">
        <v>193</v>
      </c>
      <c r="AN69" s="137" t="s">
        <v>53</v>
      </c>
      <c r="AO69" s="137" t="s">
        <v>193</v>
      </c>
      <c r="AP69" s="137" t="s">
        <v>193</v>
      </c>
      <c r="AQ69" s="137" t="s">
        <v>193</v>
      </c>
      <c r="AR69" s="137" t="s">
        <v>193</v>
      </c>
      <c r="AV69" s="1">
        <f t="shared" si="14"/>
        <v>4.5999999999999996</v>
      </c>
      <c r="AW69" s="1">
        <f t="shared" si="8"/>
        <v>3.67</v>
      </c>
      <c r="AX69" s="13">
        <f t="shared" si="12"/>
        <v>0.7978260869565218</v>
      </c>
      <c r="BA69" s="12">
        <f t="shared" si="9"/>
        <v>0</v>
      </c>
      <c r="BB69" s="12">
        <f t="shared" si="13"/>
        <v>0</v>
      </c>
      <c r="BC69" s="12">
        <f t="shared" si="13"/>
        <v>0</v>
      </c>
      <c r="BD69" s="12">
        <f t="shared" si="13"/>
        <v>0</v>
      </c>
      <c r="BE69" s="12">
        <f t="shared" si="13"/>
        <v>0</v>
      </c>
      <c r="BF69" s="12">
        <f t="shared" si="10"/>
        <v>0</v>
      </c>
      <c r="BJ69" s="12" t="str">
        <f t="shared" si="11"/>
        <v/>
      </c>
      <c r="BK69" s="12">
        <f>VLOOKUP(B69,Kraftvärmeprod!$B$1:$BH$549,MATCH($BA$1,Kraftvärmeprod!$B$1:$CC$1,0),FALSE)</f>
        <v>0</v>
      </c>
    </row>
    <row r="70" spans="1:63" ht="15" customHeight="1" x14ac:dyDescent="0.25">
      <c r="A70" s="137" t="s">
        <v>279</v>
      </c>
      <c r="B70" s="137" t="s">
        <v>282</v>
      </c>
      <c r="C70" s="137">
        <v>2018</v>
      </c>
      <c r="D70" s="137">
        <v>16.739999999999998</v>
      </c>
      <c r="E70" s="137">
        <v>21.27</v>
      </c>
      <c r="F70" s="137" t="s">
        <v>193</v>
      </c>
      <c r="G70" s="137" t="s">
        <v>193</v>
      </c>
      <c r="H70" s="137" t="s">
        <v>193</v>
      </c>
      <c r="I70" s="137" t="s">
        <v>193</v>
      </c>
      <c r="J70" s="137" t="s">
        <v>193</v>
      </c>
      <c r="K70" s="137" t="s">
        <v>193</v>
      </c>
      <c r="L70" s="137" t="s">
        <v>193</v>
      </c>
      <c r="M70" s="137" t="s">
        <v>53</v>
      </c>
      <c r="N70" s="137" t="s">
        <v>193</v>
      </c>
      <c r="O70" s="137">
        <v>7.04</v>
      </c>
      <c r="P70" s="137">
        <v>7.04</v>
      </c>
      <c r="Q70" s="137">
        <v>7.04</v>
      </c>
      <c r="R70" s="137" t="s">
        <v>193</v>
      </c>
      <c r="S70" s="137" t="s">
        <v>193</v>
      </c>
      <c r="T70" s="137" t="s">
        <v>194</v>
      </c>
      <c r="U70" s="137" t="s">
        <v>193</v>
      </c>
      <c r="V70" s="137" t="s">
        <v>193</v>
      </c>
      <c r="W70" s="137" t="s">
        <v>193</v>
      </c>
      <c r="X70" s="137" t="s">
        <v>193</v>
      </c>
      <c r="Y70" s="137" t="s">
        <v>193</v>
      </c>
      <c r="Z70" s="137">
        <v>0.15</v>
      </c>
      <c r="AA70" s="137" t="s">
        <v>193</v>
      </c>
      <c r="AB70" s="137" t="s">
        <v>193</v>
      </c>
      <c r="AC70" s="137" t="s">
        <v>193</v>
      </c>
      <c r="AD70" s="137" t="s">
        <v>193</v>
      </c>
      <c r="AE70" s="137" t="s">
        <v>199</v>
      </c>
      <c r="AF70" s="137" t="s">
        <v>193</v>
      </c>
      <c r="AG70" s="137" t="s">
        <v>193</v>
      </c>
      <c r="AH70" s="137" t="s">
        <v>193</v>
      </c>
      <c r="AI70" s="137" t="s">
        <v>193</v>
      </c>
      <c r="AJ70" s="137" t="s">
        <v>193</v>
      </c>
      <c r="AK70" s="137" t="s">
        <v>193</v>
      </c>
      <c r="AL70" s="137" t="s">
        <v>193</v>
      </c>
      <c r="AM70" s="137" t="s">
        <v>193</v>
      </c>
      <c r="AN70" s="137" t="s">
        <v>53</v>
      </c>
      <c r="AO70" s="137" t="s">
        <v>193</v>
      </c>
      <c r="AP70" s="137" t="s">
        <v>193</v>
      </c>
      <c r="AQ70" s="137" t="s">
        <v>193</v>
      </c>
      <c r="AR70" s="137" t="s">
        <v>193</v>
      </c>
      <c r="AV70" s="1">
        <f t="shared" si="14"/>
        <v>21.27</v>
      </c>
      <c r="AW70" s="1">
        <f t="shared" si="8"/>
        <v>16.739999999999998</v>
      </c>
      <c r="AX70" s="13">
        <f t="shared" si="12"/>
        <v>0.78702397743300412</v>
      </c>
      <c r="BA70" s="12">
        <f t="shared" si="9"/>
        <v>0</v>
      </c>
      <c r="BB70" s="12">
        <f t="shared" si="13"/>
        <v>0</v>
      </c>
      <c r="BC70" s="12">
        <f t="shared" si="13"/>
        <v>0</v>
      </c>
      <c r="BD70" s="12">
        <f t="shared" si="13"/>
        <v>0</v>
      </c>
      <c r="BE70" s="12">
        <f t="shared" si="13"/>
        <v>0</v>
      </c>
      <c r="BF70" s="12">
        <f t="shared" si="10"/>
        <v>0</v>
      </c>
      <c r="BJ70" s="12" t="str">
        <f t="shared" si="11"/>
        <v/>
      </c>
      <c r="BK70" s="12">
        <f>VLOOKUP(B70,Kraftvärmeprod!$B$1:$BH$549,MATCH($BA$1,Kraftvärmeprod!$B$1:$CC$1,0),FALSE)</f>
        <v>0</v>
      </c>
    </row>
    <row r="71" spans="1:63" ht="15" customHeight="1" x14ac:dyDescent="0.25">
      <c r="A71" s="137" t="s">
        <v>47</v>
      </c>
      <c r="B71" s="141" t="s">
        <v>48</v>
      </c>
      <c r="C71" s="137">
        <v>2018</v>
      </c>
      <c r="D71" s="137" t="s">
        <v>53</v>
      </c>
      <c r="E71" s="137" t="s">
        <v>53</v>
      </c>
      <c r="F71" s="137" t="s">
        <v>53</v>
      </c>
      <c r="G71" s="137" t="s">
        <v>53</v>
      </c>
      <c r="H71" s="137" t="s">
        <v>53</v>
      </c>
      <c r="I71" s="137" t="s">
        <v>53</v>
      </c>
      <c r="J71" s="137" t="s">
        <v>53</v>
      </c>
      <c r="K71" s="137" t="s">
        <v>53</v>
      </c>
      <c r="L71" s="137" t="s">
        <v>53</v>
      </c>
      <c r="M71" s="137" t="s">
        <v>53</v>
      </c>
      <c r="N71" s="137" t="s">
        <v>53</v>
      </c>
      <c r="O71" s="137" t="s">
        <v>53</v>
      </c>
      <c r="P71" s="137" t="s">
        <v>53</v>
      </c>
      <c r="Q71" s="137" t="s">
        <v>53</v>
      </c>
      <c r="R71" s="137" t="s">
        <v>53</v>
      </c>
      <c r="S71" s="137" t="s">
        <v>53</v>
      </c>
      <c r="T71" s="137" t="s">
        <v>53</v>
      </c>
      <c r="U71" s="137" t="s">
        <v>53</v>
      </c>
      <c r="V71" s="137" t="s">
        <v>53</v>
      </c>
      <c r="W71" s="137" t="s">
        <v>53</v>
      </c>
      <c r="X71" s="137" t="s">
        <v>53</v>
      </c>
      <c r="Y71" s="137" t="s">
        <v>53</v>
      </c>
      <c r="Z71" s="137" t="s">
        <v>53</v>
      </c>
      <c r="AA71" s="137" t="s">
        <v>53</v>
      </c>
      <c r="AB71" s="137" t="s">
        <v>53</v>
      </c>
      <c r="AC71" s="137" t="s">
        <v>53</v>
      </c>
      <c r="AD71" s="137" t="s">
        <v>53</v>
      </c>
      <c r="AE71" s="137" t="s">
        <v>53</v>
      </c>
      <c r="AF71" s="137" t="s">
        <v>53</v>
      </c>
      <c r="AG71" s="137" t="s">
        <v>53</v>
      </c>
      <c r="AH71" s="137" t="s">
        <v>53</v>
      </c>
      <c r="AI71" s="137" t="s">
        <v>53</v>
      </c>
      <c r="AJ71" s="137" t="s">
        <v>53</v>
      </c>
      <c r="AK71" s="137" t="s">
        <v>53</v>
      </c>
      <c r="AL71" s="137" t="s">
        <v>53</v>
      </c>
      <c r="AM71" s="137" t="s">
        <v>53</v>
      </c>
      <c r="AN71" s="137" t="s">
        <v>53</v>
      </c>
      <c r="AO71" s="137" t="s">
        <v>53</v>
      </c>
      <c r="AP71" s="137" t="s">
        <v>53</v>
      </c>
      <c r="AQ71" s="137" t="s">
        <v>53</v>
      </c>
      <c r="AR71" s="137" t="s">
        <v>53</v>
      </c>
      <c r="AV71" s="1">
        <f t="shared" si="14"/>
        <v>0</v>
      </c>
      <c r="AW71" s="1">
        <f t="shared" si="8"/>
        <v>0</v>
      </c>
      <c r="AX71" s="13" t="str">
        <f t="shared" si="12"/>
        <v/>
      </c>
      <c r="BA71" s="12">
        <f t="shared" si="9"/>
        <v>0</v>
      </c>
      <c r="BB71" s="12">
        <f t="shared" si="13"/>
        <v>0</v>
      </c>
      <c r="BC71" s="12">
        <f t="shared" si="13"/>
        <v>0</v>
      </c>
      <c r="BD71" s="12">
        <f t="shared" si="13"/>
        <v>0</v>
      </c>
      <c r="BE71" s="12">
        <f t="shared" si="13"/>
        <v>0</v>
      </c>
      <c r="BF71" s="12">
        <f t="shared" si="10"/>
        <v>0</v>
      </c>
      <c r="BJ71" s="12" t="str">
        <f t="shared" si="11"/>
        <v/>
      </c>
      <c r="BK71" s="12">
        <f>VLOOKUP(B71,Kraftvärmeprod!$B$1:$BH$549,MATCH($BA$1,Kraftvärmeprod!$B$1:$CC$1,0),FALSE)</f>
        <v>0</v>
      </c>
    </row>
    <row r="72" spans="1:63" ht="15" customHeight="1" x14ac:dyDescent="0.25">
      <c r="A72" s="137" t="s">
        <v>283</v>
      </c>
      <c r="B72" s="137" t="s">
        <v>284</v>
      </c>
      <c r="C72" s="137">
        <v>2018</v>
      </c>
      <c r="D72" s="137">
        <v>52.3</v>
      </c>
      <c r="E72" s="137">
        <v>62.53</v>
      </c>
      <c r="F72" s="137" t="s">
        <v>193</v>
      </c>
      <c r="G72" s="137">
        <v>0.93</v>
      </c>
      <c r="H72" s="137" t="s">
        <v>193</v>
      </c>
      <c r="I72" s="137" t="s">
        <v>193</v>
      </c>
      <c r="J72" s="137" t="s">
        <v>193</v>
      </c>
      <c r="K72" s="137" t="s">
        <v>193</v>
      </c>
      <c r="L72" s="137" t="s">
        <v>193</v>
      </c>
      <c r="M72" s="137" t="s">
        <v>53</v>
      </c>
      <c r="N72" s="137" t="s">
        <v>193</v>
      </c>
      <c r="O72" s="137" t="s">
        <v>193</v>
      </c>
      <c r="P72" s="137" t="s">
        <v>193</v>
      </c>
      <c r="Q72" s="137" t="s">
        <v>193</v>
      </c>
      <c r="R72" s="137" t="s">
        <v>193</v>
      </c>
      <c r="S72" s="137">
        <v>48.6</v>
      </c>
      <c r="T72" s="137" t="s">
        <v>193</v>
      </c>
      <c r="U72" s="137">
        <v>4.5</v>
      </c>
      <c r="V72" s="137" t="s">
        <v>193</v>
      </c>
      <c r="W72" s="137" t="s">
        <v>193</v>
      </c>
      <c r="X72" s="137" t="s">
        <v>193</v>
      </c>
      <c r="Y72" s="137" t="s">
        <v>193</v>
      </c>
      <c r="Z72" s="137" t="s">
        <v>193</v>
      </c>
      <c r="AA72" s="137" t="s">
        <v>193</v>
      </c>
      <c r="AB72" s="137" t="s">
        <v>193</v>
      </c>
      <c r="AC72" s="137" t="s">
        <v>193</v>
      </c>
      <c r="AD72" s="137" t="s">
        <v>193</v>
      </c>
      <c r="AE72" s="137" t="s">
        <v>199</v>
      </c>
      <c r="AF72" s="137" t="s">
        <v>193</v>
      </c>
      <c r="AG72" s="137" t="s">
        <v>193</v>
      </c>
      <c r="AH72" s="137">
        <v>8.5</v>
      </c>
      <c r="AI72" s="137" t="s">
        <v>193</v>
      </c>
      <c r="AJ72" s="137" t="s">
        <v>193</v>
      </c>
      <c r="AK72" s="137" t="s">
        <v>193</v>
      </c>
      <c r="AL72" s="137" t="s">
        <v>193</v>
      </c>
      <c r="AM72" s="137" t="s">
        <v>193</v>
      </c>
      <c r="AN72" s="137" t="s">
        <v>53</v>
      </c>
      <c r="AO72" s="137">
        <v>100</v>
      </c>
      <c r="AP72" s="137" t="s">
        <v>193</v>
      </c>
      <c r="AQ72" s="137" t="s">
        <v>193</v>
      </c>
      <c r="AR72" s="137" t="s">
        <v>193</v>
      </c>
      <c r="AV72" s="1">
        <f t="shared" si="14"/>
        <v>62.53</v>
      </c>
      <c r="AW72" s="1">
        <f t="shared" si="8"/>
        <v>52.3</v>
      </c>
      <c r="AX72" s="13">
        <f t="shared" si="12"/>
        <v>0.836398528706221</v>
      </c>
      <c r="BA72" s="12">
        <f t="shared" si="9"/>
        <v>8.5</v>
      </c>
      <c r="BB72" s="12">
        <f t="shared" si="13"/>
        <v>8.5</v>
      </c>
      <c r="BC72" s="12">
        <f t="shared" si="13"/>
        <v>0</v>
      </c>
      <c r="BD72" s="12">
        <f t="shared" si="13"/>
        <v>0</v>
      </c>
      <c r="BE72" s="12">
        <f t="shared" si="13"/>
        <v>0</v>
      </c>
      <c r="BF72" s="12">
        <f t="shared" si="10"/>
        <v>0</v>
      </c>
      <c r="BJ72" s="12" t="str">
        <f t="shared" si="11"/>
        <v/>
      </c>
      <c r="BK72" s="12">
        <f>VLOOKUP(B72,Kraftvärmeprod!$B$1:$BH$549,MATCH($BA$1,Kraftvärmeprod!$B$1:$CC$1,0),FALSE)</f>
        <v>0</v>
      </c>
    </row>
    <row r="73" spans="1:63" ht="15" customHeight="1" x14ac:dyDescent="0.25">
      <c r="A73" s="137" t="s">
        <v>285</v>
      </c>
      <c r="B73" s="137" t="s">
        <v>286</v>
      </c>
      <c r="C73" s="137">
        <v>2018</v>
      </c>
      <c r="D73" s="137">
        <v>35.799999999999997</v>
      </c>
      <c r="E73" s="137">
        <v>43.6</v>
      </c>
      <c r="F73" s="137" t="s">
        <v>193</v>
      </c>
      <c r="G73" s="137" t="s">
        <v>193</v>
      </c>
      <c r="H73" s="137">
        <v>2.5</v>
      </c>
      <c r="I73" s="137" t="s">
        <v>193</v>
      </c>
      <c r="J73" s="137" t="s">
        <v>193</v>
      </c>
      <c r="K73" s="137" t="s">
        <v>193</v>
      </c>
      <c r="L73" s="137" t="s">
        <v>193</v>
      </c>
      <c r="M73" s="137" t="s">
        <v>287</v>
      </c>
      <c r="N73" s="137" t="s">
        <v>193</v>
      </c>
      <c r="O73" s="137" t="s">
        <v>193</v>
      </c>
      <c r="P73" s="137" t="s">
        <v>193</v>
      </c>
      <c r="Q73" s="137" t="s">
        <v>193</v>
      </c>
      <c r="R73" s="137" t="s">
        <v>193</v>
      </c>
      <c r="S73" s="137" t="s">
        <v>193</v>
      </c>
      <c r="T73" s="137" t="s">
        <v>193</v>
      </c>
      <c r="U73" s="137">
        <v>34</v>
      </c>
      <c r="V73" s="137" t="s">
        <v>193</v>
      </c>
      <c r="W73" s="137" t="s">
        <v>193</v>
      </c>
      <c r="X73" s="137" t="s">
        <v>193</v>
      </c>
      <c r="Y73" s="137" t="s">
        <v>193</v>
      </c>
      <c r="Z73" s="137" t="s">
        <v>193</v>
      </c>
      <c r="AA73" s="137" t="s">
        <v>193</v>
      </c>
      <c r="AB73" s="137" t="s">
        <v>193</v>
      </c>
      <c r="AC73" s="137" t="s">
        <v>193</v>
      </c>
      <c r="AD73" s="137" t="s">
        <v>193</v>
      </c>
      <c r="AE73" s="137" t="s">
        <v>199</v>
      </c>
      <c r="AF73" s="137" t="s">
        <v>193</v>
      </c>
      <c r="AG73" s="137">
        <v>2.6</v>
      </c>
      <c r="AH73" s="137" t="s">
        <v>193</v>
      </c>
      <c r="AI73" s="137" t="s">
        <v>193</v>
      </c>
      <c r="AJ73" s="137" t="s">
        <v>193</v>
      </c>
      <c r="AK73" s="137" t="s">
        <v>193</v>
      </c>
      <c r="AL73" s="137">
        <v>4.5</v>
      </c>
      <c r="AM73" s="137">
        <v>4.5</v>
      </c>
      <c r="AN73" s="137" t="s">
        <v>288</v>
      </c>
      <c r="AO73" s="137">
        <v>0</v>
      </c>
      <c r="AP73" s="137">
        <v>0</v>
      </c>
      <c r="AQ73" s="137">
        <v>0</v>
      </c>
      <c r="AR73" s="137">
        <v>0</v>
      </c>
      <c r="AV73" s="1">
        <f t="shared" si="14"/>
        <v>43.6</v>
      </c>
      <c r="AW73" s="1">
        <f t="shared" si="8"/>
        <v>35.799999999999997</v>
      </c>
      <c r="AX73" s="13">
        <f t="shared" si="12"/>
        <v>0.82110091743119262</v>
      </c>
      <c r="BA73" s="12">
        <f t="shared" si="9"/>
        <v>0</v>
      </c>
      <c r="BB73" s="12">
        <f t="shared" si="13"/>
        <v>0</v>
      </c>
      <c r="BC73" s="12">
        <f t="shared" si="13"/>
        <v>0</v>
      </c>
      <c r="BD73" s="12">
        <f t="shared" si="13"/>
        <v>0</v>
      </c>
      <c r="BE73" s="12">
        <f t="shared" si="13"/>
        <v>0</v>
      </c>
      <c r="BF73" s="12">
        <f t="shared" si="10"/>
        <v>0</v>
      </c>
      <c r="BJ73" s="12" t="str">
        <f t="shared" si="11"/>
        <v/>
      </c>
      <c r="BK73" s="12">
        <f>VLOOKUP(B73,Kraftvärmeprod!$B$1:$BH$549,MATCH($BA$1,Kraftvärmeprod!$B$1:$CC$1,0),FALSE)</f>
        <v>22.6</v>
      </c>
    </row>
    <row r="74" spans="1:63" ht="15" customHeight="1" x14ac:dyDescent="0.25">
      <c r="A74" s="137" t="s">
        <v>289</v>
      </c>
      <c r="B74" s="137" t="s">
        <v>290</v>
      </c>
      <c r="C74" s="137">
        <v>2018</v>
      </c>
      <c r="D74" s="137">
        <v>198.40100000000001</v>
      </c>
      <c r="E74" s="137">
        <v>217.92699999999999</v>
      </c>
      <c r="F74" s="137" t="s">
        <v>193</v>
      </c>
      <c r="G74" s="137">
        <v>1.4410000000000001</v>
      </c>
      <c r="H74" s="137" t="s">
        <v>193</v>
      </c>
      <c r="I74" s="137">
        <v>2.629</v>
      </c>
      <c r="J74" s="137" t="s">
        <v>193</v>
      </c>
      <c r="K74" s="137" t="s">
        <v>193</v>
      </c>
      <c r="L74" s="137" t="s">
        <v>193</v>
      </c>
      <c r="M74" s="137" t="s">
        <v>53</v>
      </c>
      <c r="N74" s="137">
        <v>123.646</v>
      </c>
      <c r="O74" s="137">
        <v>50.722999999999999</v>
      </c>
      <c r="P74" s="137" t="s">
        <v>193</v>
      </c>
      <c r="Q74" s="137" t="s">
        <v>193</v>
      </c>
      <c r="R74" s="137" t="s">
        <v>193</v>
      </c>
      <c r="S74" s="137" t="s">
        <v>193</v>
      </c>
      <c r="T74" s="137" t="s">
        <v>193</v>
      </c>
      <c r="U74" s="137" t="s">
        <v>193</v>
      </c>
      <c r="V74" s="137" t="s">
        <v>193</v>
      </c>
      <c r="W74" s="137" t="s">
        <v>193</v>
      </c>
      <c r="X74" s="137" t="s">
        <v>193</v>
      </c>
      <c r="Y74" s="137" t="s">
        <v>193</v>
      </c>
      <c r="Z74" s="137">
        <v>14.686999999999999</v>
      </c>
      <c r="AA74" s="137" t="s">
        <v>193</v>
      </c>
      <c r="AB74" s="137" t="s">
        <v>193</v>
      </c>
      <c r="AC74" s="137" t="s">
        <v>193</v>
      </c>
      <c r="AD74" s="137" t="s">
        <v>193</v>
      </c>
      <c r="AE74" s="137" t="s">
        <v>53</v>
      </c>
      <c r="AF74" s="137" t="s">
        <v>193</v>
      </c>
      <c r="AG74" s="137" t="s">
        <v>193</v>
      </c>
      <c r="AH74" s="137">
        <v>24.800999999999998</v>
      </c>
      <c r="AI74" s="137" t="s">
        <v>193</v>
      </c>
      <c r="AJ74" s="137" t="s">
        <v>193</v>
      </c>
      <c r="AK74" s="137" t="s">
        <v>193</v>
      </c>
      <c r="AL74" s="137" t="s">
        <v>193</v>
      </c>
      <c r="AM74" s="137" t="s">
        <v>193</v>
      </c>
      <c r="AN74" s="137" t="s">
        <v>53</v>
      </c>
      <c r="AO74" s="137">
        <v>100</v>
      </c>
      <c r="AP74" s="137" t="s">
        <v>193</v>
      </c>
      <c r="AQ74" s="137" t="s">
        <v>193</v>
      </c>
      <c r="AR74" s="137" t="s">
        <v>193</v>
      </c>
      <c r="AV74" s="1">
        <f t="shared" si="14"/>
        <v>217.92700000000002</v>
      </c>
      <c r="AW74" s="1">
        <f t="shared" si="8"/>
        <v>198.40100000000001</v>
      </c>
      <c r="AX74" s="13">
        <f t="shared" si="12"/>
        <v>0.9104011893891073</v>
      </c>
      <c r="BA74" s="12">
        <f t="shared" si="9"/>
        <v>24.800999999999998</v>
      </c>
      <c r="BB74" s="12">
        <f t="shared" si="13"/>
        <v>24.800999999999998</v>
      </c>
      <c r="BC74" s="12">
        <f t="shared" si="13"/>
        <v>0</v>
      </c>
      <c r="BD74" s="12">
        <f t="shared" si="13"/>
        <v>0</v>
      </c>
      <c r="BE74" s="12">
        <f t="shared" si="13"/>
        <v>0</v>
      </c>
      <c r="BF74" s="12">
        <f t="shared" si="10"/>
        <v>0</v>
      </c>
      <c r="BJ74" s="12" t="str">
        <f t="shared" si="11"/>
        <v/>
      </c>
      <c r="BK74" s="12">
        <f>VLOOKUP(B74,Kraftvärmeprod!$B$1:$BH$549,MATCH($BA$1,Kraftvärmeprod!$B$1:$CC$1,0),FALSE)</f>
        <v>113.758</v>
      </c>
    </row>
    <row r="75" spans="1:63" ht="15" customHeight="1" x14ac:dyDescent="0.25">
      <c r="A75" s="137" t="s">
        <v>289</v>
      </c>
      <c r="B75" s="137" t="s">
        <v>291</v>
      </c>
      <c r="C75" s="137">
        <v>2018</v>
      </c>
      <c r="D75" s="137">
        <v>0.89770000000000005</v>
      </c>
      <c r="E75" s="137">
        <v>0.999</v>
      </c>
      <c r="F75" s="137" t="s">
        <v>193</v>
      </c>
      <c r="G75" s="137">
        <v>0.14000000000000001</v>
      </c>
      <c r="H75" s="137" t="s">
        <v>193</v>
      </c>
      <c r="I75" s="137" t="s">
        <v>193</v>
      </c>
      <c r="J75" s="137" t="s">
        <v>193</v>
      </c>
      <c r="K75" s="137" t="s">
        <v>193</v>
      </c>
      <c r="L75" s="137" t="s">
        <v>193</v>
      </c>
      <c r="M75" s="137" t="s">
        <v>53</v>
      </c>
      <c r="N75" s="137" t="s">
        <v>193</v>
      </c>
      <c r="O75" s="137" t="s">
        <v>193</v>
      </c>
      <c r="P75" s="137" t="s">
        <v>193</v>
      </c>
      <c r="Q75" s="137" t="s">
        <v>193</v>
      </c>
      <c r="R75" s="137" t="s">
        <v>193</v>
      </c>
      <c r="S75" s="137" t="s">
        <v>193</v>
      </c>
      <c r="T75" s="137" t="s">
        <v>193</v>
      </c>
      <c r="U75" s="137">
        <v>0.85899999999999999</v>
      </c>
      <c r="V75" s="137" t="s">
        <v>193</v>
      </c>
      <c r="W75" s="137" t="s">
        <v>193</v>
      </c>
      <c r="X75" s="137" t="s">
        <v>193</v>
      </c>
      <c r="Y75" s="137" t="s">
        <v>193</v>
      </c>
      <c r="Z75" s="137" t="s">
        <v>193</v>
      </c>
      <c r="AA75" s="137" t="s">
        <v>193</v>
      </c>
      <c r="AB75" s="137" t="s">
        <v>193</v>
      </c>
      <c r="AC75" s="137" t="s">
        <v>193</v>
      </c>
      <c r="AD75" s="137" t="s">
        <v>193</v>
      </c>
      <c r="AE75" s="137" t="s">
        <v>53</v>
      </c>
      <c r="AF75" s="137" t="s">
        <v>193</v>
      </c>
      <c r="AG75" s="137" t="s">
        <v>193</v>
      </c>
      <c r="AH75" s="137" t="s">
        <v>193</v>
      </c>
      <c r="AI75" s="137" t="s">
        <v>193</v>
      </c>
      <c r="AJ75" s="137" t="s">
        <v>193</v>
      </c>
      <c r="AK75" s="137" t="s">
        <v>193</v>
      </c>
      <c r="AL75" s="137" t="s">
        <v>193</v>
      </c>
      <c r="AM75" s="137" t="s">
        <v>193</v>
      </c>
      <c r="AN75" s="137" t="s">
        <v>53</v>
      </c>
      <c r="AO75" s="137" t="s">
        <v>193</v>
      </c>
      <c r="AP75" s="137" t="s">
        <v>193</v>
      </c>
      <c r="AQ75" s="137" t="s">
        <v>193</v>
      </c>
      <c r="AR75" s="137" t="s">
        <v>193</v>
      </c>
      <c r="AV75" s="1">
        <f t="shared" si="14"/>
        <v>0.999</v>
      </c>
      <c r="AW75" s="1">
        <f t="shared" si="8"/>
        <v>0.89770000000000005</v>
      </c>
      <c r="AX75" s="13">
        <f t="shared" si="12"/>
        <v>0.8985985985985987</v>
      </c>
      <c r="BA75" s="12">
        <f t="shared" si="9"/>
        <v>0</v>
      </c>
      <c r="BB75" s="12">
        <f t="shared" si="13"/>
        <v>0</v>
      </c>
      <c r="BC75" s="12">
        <f t="shared" si="13"/>
        <v>0</v>
      </c>
      <c r="BD75" s="12">
        <f t="shared" si="13"/>
        <v>0</v>
      </c>
      <c r="BE75" s="12">
        <f t="shared" si="13"/>
        <v>0</v>
      </c>
      <c r="BF75" s="12">
        <f t="shared" si="10"/>
        <v>0</v>
      </c>
      <c r="BJ75" s="12" t="str">
        <f t="shared" si="11"/>
        <v/>
      </c>
      <c r="BK75" s="12">
        <f>VLOOKUP(B75,Kraftvärmeprod!$B$1:$BH$549,MATCH($BA$1,Kraftvärmeprod!$B$1:$CC$1,0),FALSE)</f>
        <v>0</v>
      </c>
    </row>
    <row r="76" spans="1:63" ht="15" customHeight="1" x14ac:dyDescent="0.25">
      <c r="A76" s="137" t="s">
        <v>289</v>
      </c>
      <c r="B76" s="137" t="s">
        <v>292</v>
      </c>
      <c r="C76" s="137">
        <v>2018</v>
      </c>
      <c r="D76" s="137">
        <v>8.3079999999999998</v>
      </c>
      <c r="E76" s="137">
        <v>8.6270000000000007</v>
      </c>
      <c r="F76" s="137" t="s">
        <v>193</v>
      </c>
      <c r="G76" s="137" t="s">
        <v>193</v>
      </c>
      <c r="H76" s="137" t="s">
        <v>193</v>
      </c>
      <c r="I76" s="137" t="s">
        <v>193</v>
      </c>
      <c r="J76" s="137" t="s">
        <v>193</v>
      </c>
      <c r="K76" s="137" t="s">
        <v>193</v>
      </c>
      <c r="L76" s="137" t="s">
        <v>193</v>
      </c>
      <c r="M76" s="137" t="s">
        <v>53</v>
      </c>
      <c r="N76" s="137" t="s">
        <v>193</v>
      </c>
      <c r="O76" s="137" t="s">
        <v>193</v>
      </c>
      <c r="P76" s="137" t="s">
        <v>193</v>
      </c>
      <c r="Q76" s="137" t="s">
        <v>193</v>
      </c>
      <c r="R76" s="137" t="s">
        <v>193</v>
      </c>
      <c r="S76" s="137" t="s">
        <v>193</v>
      </c>
      <c r="T76" s="137" t="s">
        <v>193</v>
      </c>
      <c r="U76" s="137">
        <v>5.3819999999999997</v>
      </c>
      <c r="V76" s="137" t="s">
        <v>193</v>
      </c>
      <c r="W76" s="137" t="s">
        <v>193</v>
      </c>
      <c r="X76" s="137" t="s">
        <v>193</v>
      </c>
      <c r="Y76" s="137" t="s">
        <v>193</v>
      </c>
      <c r="Z76" s="137">
        <v>3.2450000000000001</v>
      </c>
      <c r="AA76" s="137" t="s">
        <v>193</v>
      </c>
      <c r="AB76" s="137" t="s">
        <v>193</v>
      </c>
      <c r="AC76" s="137" t="s">
        <v>193</v>
      </c>
      <c r="AD76" s="137" t="s">
        <v>193</v>
      </c>
      <c r="AE76" s="137" t="s">
        <v>53</v>
      </c>
      <c r="AF76" s="137" t="s">
        <v>193</v>
      </c>
      <c r="AG76" s="137" t="s">
        <v>193</v>
      </c>
      <c r="AH76" s="137" t="s">
        <v>193</v>
      </c>
      <c r="AI76" s="137" t="s">
        <v>193</v>
      </c>
      <c r="AJ76" s="137" t="s">
        <v>193</v>
      </c>
      <c r="AK76" s="137" t="s">
        <v>193</v>
      </c>
      <c r="AL76" s="137" t="s">
        <v>193</v>
      </c>
      <c r="AM76" s="137" t="s">
        <v>193</v>
      </c>
      <c r="AN76" s="137" t="s">
        <v>53</v>
      </c>
      <c r="AO76" s="137" t="s">
        <v>193</v>
      </c>
      <c r="AP76" s="137" t="s">
        <v>193</v>
      </c>
      <c r="AQ76" s="137" t="s">
        <v>193</v>
      </c>
      <c r="AR76" s="137" t="s">
        <v>193</v>
      </c>
      <c r="AV76" s="1">
        <f t="shared" si="14"/>
        <v>8.6269999999999989</v>
      </c>
      <c r="AW76" s="1">
        <f t="shared" si="8"/>
        <v>8.3079999999999998</v>
      </c>
      <c r="AX76" s="13">
        <f t="shared" si="12"/>
        <v>0.96302306711487207</v>
      </c>
      <c r="BA76" s="12">
        <f t="shared" si="9"/>
        <v>0</v>
      </c>
      <c r="BB76" s="12">
        <f t="shared" si="13"/>
        <v>0</v>
      </c>
      <c r="BC76" s="12">
        <f t="shared" si="13"/>
        <v>0</v>
      </c>
      <c r="BD76" s="12">
        <f t="shared" si="13"/>
        <v>0</v>
      </c>
      <c r="BE76" s="12">
        <f t="shared" si="13"/>
        <v>0</v>
      </c>
      <c r="BF76" s="12">
        <f t="shared" si="10"/>
        <v>0</v>
      </c>
      <c r="BJ76" s="12" t="str">
        <f t="shared" si="11"/>
        <v/>
      </c>
      <c r="BK76" s="12">
        <f>VLOOKUP(B76,Kraftvärmeprod!$B$1:$BH$549,MATCH($BA$1,Kraftvärmeprod!$B$1:$CC$1,0),FALSE)</f>
        <v>0</v>
      </c>
    </row>
    <row r="77" spans="1:63" ht="15" customHeight="1" x14ac:dyDescent="0.25">
      <c r="A77" s="137" t="s">
        <v>293</v>
      </c>
      <c r="B77" s="137" t="s">
        <v>294</v>
      </c>
      <c r="C77" s="137">
        <v>2018</v>
      </c>
      <c r="D77" s="137">
        <v>7.8</v>
      </c>
      <c r="E77" s="137">
        <v>8.6</v>
      </c>
      <c r="F77" s="137" t="s">
        <v>193</v>
      </c>
      <c r="G77" s="137" t="s">
        <v>193</v>
      </c>
      <c r="H77" s="137" t="s">
        <v>193</v>
      </c>
      <c r="I77" s="137" t="s">
        <v>193</v>
      </c>
      <c r="J77" s="137" t="s">
        <v>193</v>
      </c>
      <c r="K77" s="137" t="s">
        <v>193</v>
      </c>
      <c r="L77" s="137" t="s">
        <v>193</v>
      </c>
      <c r="M77" s="137" t="s">
        <v>53</v>
      </c>
      <c r="N77" s="137" t="s">
        <v>193</v>
      </c>
      <c r="O77" s="137" t="s">
        <v>193</v>
      </c>
      <c r="P77" s="137" t="s">
        <v>193</v>
      </c>
      <c r="Q77" s="137" t="s">
        <v>193</v>
      </c>
      <c r="R77" s="137" t="s">
        <v>193</v>
      </c>
      <c r="S77" s="137" t="s">
        <v>193</v>
      </c>
      <c r="T77" s="137" t="s">
        <v>193</v>
      </c>
      <c r="U77" s="137" t="s">
        <v>193</v>
      </c>
      <c r="V77" s="137">
        <v>7.8</v>
      </c>
      <c r="W77" s="137" t="s">
        <v>193</v>
      </c>
      <c r="X77" s="137" t="s">
        <v>193</v>
      </c>
      <c r="Y77" s="137" t="s">
        <v>193</v>
      </c>
      <c r="Z77" s="137">
        <v>0.8</v>
      </c>
      <c r="AA77" s="137" t="s">
        <v>193</v>
      </c>
      <c r="AB77" s="137" t="s">
        <v>193</v>
      </c>
      <c r="AC77" s="137" t="s">
        <v>193</v>
      </c>
      <c r="AD77" s="137" t="s">
        <v>193</v>
      </c>
      <c r="AE77" s="137" t="s">
        <v>199</v>
      </c>
      <c r="AF77" s="137" t="s">
        <v>193</v>
      </c>
      <c r="AG77" s="137" t="s">
        <v>193</v>
      </c>
      <c r="AH77" s="137" t="s">
        <v>193</v>
      </c>
      <c r="AI77" s="137" t="s">
        <v>193</v>
      </c>
      <c r="AJ77" s="137" t="s">
        <v>193</v>
      </c>
      <c r="AK77" s="137" t="s">
        <v>193</v>
      </c>
      <c r="AL77" s="137" t="s">
        <v>193</v>
      </c>
      <c r="AM77" s="137" t="s">
        <v>193</v>
      </c>
      <c r="AN77" s="137" t="s">
        <v>53</v>
      </c>
      <c r="AO77" s="137" t="s">
        <v>193</v>
      </c>
      <c r="AP77" s="137" t="s">
        <v>193</v>
      </c>
      <c r="AQ77" s="137" t="s">
        <v>193</v>
      </c>
      <c r="AR77" s="137" t="s">
        <v>193</v>
      </c>
      <c r="AV77" s="1">
        <f t="shared" si="14"/>
        <v>8.6</v>
      </c>
      <c r="AW77" s="1">
        <f t="shared" si="8"/>
        <v>7.8</v>
      </c>
      <c r="AX77" s="13">
        <f t="shared" si="12"/>
        <v>0.90697674418604657</v>
      </c>
      <c r="BA77" s="12">
        <f t="shared" si="9"/>
        <v>0</v>
      </c>
      <c r="BB77" s="12">
        <f t="shared" si="13"/>
        <v>0</v>
      </c>
      <c r="BC77" s="12">
        <f t="shared" si="13"/>
        <v>0</v>
      </c>
      <c r="BD77" s="12">
        <f t="shared" si="13"/>
        <v>0</v>
      </c>
      <c r="BE77" s="12">
        <f t="shared" si="13"/>
        <v>0</v>
      </c>
      <c r="BF77" s="12">
        <f t="shared" si="10"/>
        <v>0</v>
      </c>
      <c r="BJ77" s="12" t="str">
        <f t="shared" si="11"/>
        <v/>
      </c>
      <c r="BK77" s="12">
        <f>VLOOKUP(B77,Kraftvärmeprod!$B$1:$BH$549,MATCH($BA$1,Kraftvärmeprod!$B$1:$CC$1,0),FALSE)</f>
        <v>24.3</v>
      </c>
    </row>
    <row r="78" spans="1:63" ht="15" customHeight="1" x14ac:dyDescent="0.25">
      <c r="A78" s="137" t="s">
        <v>293</v>
      </c>
      <c r="B78" s="137" t="s">
        <v>295</v>
      </c>
      <c r="C78" s="137">
        <v>2018</v>
      </c>
      <c r="D78" s="137">
        <v>12.3</v>
      </c>
      <c r="E78" s="137">
        <v>12.281000000000001</v>
      </c>
      <c r="F78" s="137" t="s">
        <v>193</v>
      </c>
      <c r="G78" s="137" t="s">
        <v>193</v>
      </c>
      <c r="H78" s="137" t="s">
        <v>193</v>
      </c>
      <c r="I78" s="137" t="s">
        <v>193</v>
      </c>
      <c r="J78" s="137" t="s">
        <v>193</v>
      </c>
      <c r="K78" s="137" t="s">
        <v>193</v>
      </c>
      <c r="L78" s="137" t="s">
        <v>193</v>
      </c>
      <c r="M78" s="137" t="s">
        <v>193</v>
      </c>
      <c r="N78" s="137" t="s">
        <v>193</v>
      </c>
      <c r="O78" s="137" t="s">
        <v>193</v>
      </c>
      <c r="P78" s="137" t="s">
        <v>193</v>
      </c>
      <c r="Q78" s="137" t="s">
        <v>193</v>
      </c>
      <c r="R78" s="137" t="s">
        <v>193</v>
      </c>
      <c r="S78" s="137" t="s">
        <v>193</v>
      </c>
      <c r="T78" s="137" t="s">
        <v>193</v>
      </c>
      <c r="U78" s="137" t="s">
        <v>193</v>
      </c>
      <c r="V78" s="137">
        <v>12.1</v>
      </c>
      <c r="W78" s="137" t="s">
        <v>193</v>
      </c>
      <c r="X78" s="137" t="s">
        <v>193</v>
      </c>
      <c r="Y78" s="137" t="s">
        <v>193</v>
      </c>
      <c r="Z78" s="137">
        <v>0.18099999999999999</v>
      </c>
      <c r="AA78" s="137" t="s">
        <v>193</v>
      </c>
      <c r="AB78" s="137" t="s">
        <v>193</v>
      </c>
      <c r="AC78" s="137" t="s">
        <v>193</v>
      </c>
      <c r="AD78" s="137" t="s">
        <v>193</v>
      </c>
      <c r="AE78" s="137" t="s">
        <v>199</v>
      </c>
      <c r="AF78" s="137" t="s">
        <v>193</v>
      </c>
      <c r="AG78" s="137" t="s">
        <v>193</v>
      </c>
      <c r="AH78" s="137" t="s">
        <v>193</v>
      </c>
      <c r="AI78" s="137" t="s">
        <v>193</v>
      </c>
      <c r="AJ78" s="137" t="s">
        <v>193</v>
      </c>
      <c r="AK78" s="137" t="s">
        <v>193</v>
      </c>
      <c r="AL78" s="137" t="s">
        <v>193</v>
      </c>
      <c r="AM78" s="137" t="s">
        <v>193</v>
      </c>
      <c r="AN78" s="137" t="s">
        <v>193</v>
      </c>
      <c r="AO78" s="137" t="s">
        <v>193</v>
      </c>
      <c r="AP78" s="137" t="s">
        <v>193</v>
      </c>
      <c r="AQ78" s="137" t="s">
        <v>193</v>
      </c>
      <c r="AR78" s="137" t="s">
        <v>193</v>
      </c>
      <c r="AV78" s="1">
        <f t="shared" si="14"/>
        <v>12.280999999999999</v>
      </c>
      <c r="AW78" s="1">
        <f t="shared" si="8"/>
        <v>12.3</v>
      </c>
      <c r="AX78" s="13">
        <f t="shared" si="12"/>
        <v>1.0015471052845861</v>
      </c>
      <c r="BA78" s="12">
        <f t="shared" si="9"/>
        <v>0</v>
      </c>
      <c r="BB78" s="12">
        <f t="shared" si="13"/>
        <v>0</v>
      </c>
      <c r="BC78" s="12">
        <f t="shared" si="13"/>
        <v>0</v>
      </c>
      <c r="BD78" s="12">
        <f t="shared" si="13"/>
        <v>0</v>
      </c>
      <c r="BE78" s="12">
        <f t="shared" si="13"/>
        <v>0</v>
      </c>
      <c r="BF78" s="12">
        <f t="shared" si="10"/>
        <v>0</v>
      </c>
      <c r="BJ78" s="12" t="str">
        <f t="shared" si="11"/>
        <v/>
      </c>
      <c r="BK78" s="12">
        <f>VLOOKUP(B78,Kraftvärmeprod!$B$1:$BH$549,MATCH($BA$1,Kraftvärmeprod!$B$1:$CC$1,0),FALSE)</f>
        <v>0</v>
      </c>
    </row>
    <row r="79" spans="1:63" ht="15" customHeight="1" x14ac:dyDescent="0.25">
      <c r="A79" s="137" t="s">
        <v>293</v>
      </c>
      <c r="B79" s="137" t="s">
        <v>296</v>
      </c>
      <c r="C79" s="137">
        <v>2018</v>
      </c>
      <c r="D79" s="137">
        <v>4.7190000000000003</v>
      </c>
      <c r="E79" s="137">
        <v>4.7270000000000003</v>
      </c>
      <c r="F79" s="137" t="s">
        <v>193</v>
      </c>
      <c r="G79" s="137" t="s">
        <v>193</v>
      </c>
      <c r="H79" s="137" t="s">
        <v>193</v>
      </c>
      <c r="I79" s="137" t="s">
        <v>193</v>
      </c>
      <c r="J79" s="137" t="s">
        <v>193</v>
      </c>
      <c r="K79" s="137" t="s">
        <v>193</v>
      </c>
      <c r="L79" s="137" t="s">
        <v>193</v>
      </c>
      <c r="M79" s="137" t="s">
        <v>193</v>
      </c>
      <c r="N79" s="137" t="s">
        <v>193</v>
      </c>
      <c r="O79" s="137" t="s">
        <v>193</v>
      </c>
      <c r="P79" s="137" t="s">
        <v>193</v>
      </c>
      <c r="Q79" s="137" t="s">
        <v>193</v>
      </c>
      <c r="R79" s="137" t="s">
        <v>193</v>
      </c>
      <c r="S79" s="137" t="s">
        <v>193</v>
      </c>
      <c r="T79" s="137" t="s">
        <v>193</v>
      </c>
      <c r="U79" s="137">
        <v>4.2270000000000003</v>
      </c>
      <c r="V79" s="137" t="s">
        <v>193</v>
      </c>
      <c r="W79" s="137" t="s">
        <v>193</v>
      </c>
      <c r="X79" s="137" t="s">
        <v>193</v>
      </c>
      <c r="Y79" s="137" t="s">
        <v>193</v>
      </c>
      <c r="Z79" s="137" t="s">
        <v>193</v>
      </c>
      <c r="AA79" s="137" t="s">
        <v>193</v>
      </c>
      <c r="AB79" s="137" t="s">
        <v>193</v>
      </c>
      <c r="AC79" s="137" t="s">
        <v>193</v>
      </c>
      <c r="AD79" s="137" t="s">
        <v>193</v>
      </c>
      <c r="AE79" s="137" t="s">
        <v>199</v>
      </c>
      <c r="AF79" s="137" t="s">
        <v>193</v>
      </c>
      <c r="AG79" s="137" t="s">
        <v>193</v>
      </c>
      <c r="AH79" s="137" t="s">
        <v>193</v>
      </c>
      <c r="AI79" s="137" t="s">
        <v>193</v>
      </c>
      <c r="AJ79" s="137" t="s">
        <v>193</v>
      </c>
      <c r="AK79" s="137" t="s">
        <v>193</v>
      </c>
      <c r="AL79" s="137">
        <v>0.5</v>
      </c>
      <c r="AM79" s="137">
        <v>0.5</v>
      </c>
      <c r="AN79" s="137" t="s">
        <v>53</v>
      </c>
      <c r="AO79" s="137" t="s">
        <v>193</v>
      </c>
      <c r="AP79" s="137" t="s">
        <v>193</v>
      </c>
      <c r="AQ79" s="137" t="s">
        <v>193</v>
      </c>
      <c r="AR79" s="137" t="s">
        <v>193</v>
      </c>
      <c r="AV79" s="1">
        <f t="shared" si="14"/>
        <v>4.7270000000000003</v>
      </c>
      <c r="AW79" s="1">
        <f t="shared" si="8"/>
        <v>4.7190000000000003</v>
      </c>
      <c r="AX79" s="13">
        <f t="shared" si="12"/>
        <v>0.99830759466892316</v>
      </c>
      <c r="BA79" s="12">
        <f t="shared" si="9"/>
        <v>0</v>
      </c>
      <c r="BB79" s="12">
        <f t="shared" si="13"/>
        <v>0</v>
      </c>
      <c r="BC79" s="12">
        <f t="shared" si="13"/>
        <v>0</v>
      </c>
      <c r="BD79" s="12">
        <f t="shared" si="13"/>
        <v>0</v>
      </c>
      <c r="BE79" s="12">
        <f t="shared" si="13"/>
        <v>0</v>
      </c>
      <c r="BF79" s="12">
        <f t="shared" si="10"/>
        <v>0</v>
      </c>
      <c r="BJ79" s="12" t="str">
        <f t="shared" si="11"/>
        <v/>
      </c>
      <c r="BK79" s="12">
        <f>VLOOKUP(B79,Kraftvärmeprod!$B$1:$BH$549,MATCH($BA$1,Kraftvärmeprod!$B$1:$CC$1,0),FALSE)</f>
        <v>0</v>
      </c>
    </row>
    <row r="80" spans="1:63" ht="15" customHeight="1" x14ac:dyDescent="0.25">
      <c r="A80" s="137" t="s">
        <v>297</v>
      </c>
      <c r="B80" s="137" t="s">
        <v>298</v>
      </c>
      <c r="C80" s="137">
        <v>2018</v>
      </c>
      <c r="D80" s="137">
        <v>72.613</v>
      </c>
      <c r="E80" s="137">
        <v>84.774000000000001</v>
      </c>
      <c r="F80" s="137" t="s">
        <v>193</v>
      </c>
      <c r="G80" s="137">
        <v>0.56499999999999995</v>
      </c>
      <c r="H80" s="137" t="s">
        <v>193</v>
      </c>
      <c r="I80" s="137" t="s">
        <v>193</v>
      </c>
      <c r="J80" s="137" t="s">
        <v>193</v>
      </c>
      <c r="K80" s="137" t="s">
        <v>193</v>
      </c>
      <c r="L80" s="137" t="s">
        <v>193</v>
      </c>
      <c r="M80" s="137" t="s">
        <v>53</v>
      </c>
      <c r="N80" s="137">
        <v>50.393999999999998</v>
      </c>
      <c r="O80" s="137" t="s">
        <v>193</v>
      </c>
      <c r="P80" s="137">
        <v>21.178000000000001</v>
      </c>
      <c r="Q80" s="137" t="s">
        <v>193</v>
      </c>
      <c r="R80" s="137" t="s">
        <v>193</v>
      </c>
      <c r="S80" s="137" t="s">
        <v>193</v>
      </c>
      <c r="T80" s="137" t="s">
        <v>194</v>
      </c>
      <c r="U80" s="137" t="s">
        <v>193</v>
      </c>
      <c r="V80" s="137" t="s">
        <v>193</v>
      </c>
      <c r="W80" s="137" t="s">
        <v>193</v>
      </c>
      <c r="X80" s="137" t="s">
        <v>193</v>
      </c>
      <c r="Y80" s="137" t="s">
        <v>193</v>
      </c>
      <c r="Z80" s="137">
        <v>1.083</v>
      </c>
      <c r="AA80" s="137" t="s">
        <v>193</v>
      </c>
      <c r="AB80" s="137" t="s">
        <v>193</v>
      </c>
      <c r="AC80" s="137" t="s">
        <v>193</v>
      </c>
      <c r="AD80" s="137" t="s">
        <v>193</v>
      </c>
      <c r="AE80" s="137" t="s">
        <v>199</v>
      </c>
      <c r="AF80" s="137" t="s">
        <v>193</v>
      </c>
      <c r="AG80" s="137">
        <v>3.3719999999999999</v>
      </c>
      <c r="AH80" s="137">
        <v>8.1820000000000004</v>
      </c>
      <c r="AI80" s="137" t="s">
        <v>193</v>
      </c>
      <c r="AJ80" s="137" t="s">
        <v>193</v>
      </c>
      <c r="AK80" s="137" t="s">
        <v>193</v>
      </c>
      <c r="AL80" s="137" t="s">
        <v>193</v>
      </c>
      <c r="AM80" s="137" t="s">
        <v>193</v>
      </c>
      <c r="AN80" s="137" t="s">
        <v>53</v>
      </c>
      <c r="AO80" s="137">
        <v>100</v>
      </c>
      <c r="AP80" s="137">
        <v>0</v>
      </c>
      <c r="AQ80" s="137">
        <v>0</v>
      </c>
      <c r="AR80" s="137">
        <v>0</v>
      </c>
      <c r="AV80" s="1">
        <f t="shared" si="14"/>
        <v>84.774000000000001</v>
      </c>
      <c r="AW80" s="1">
        <f t="shared" si="8"/>
        <v>72.613</v>
      </c>
      <c r="AX80" s="13">
        <f t="shared" si="12"/>
        <v>0.85654799820699745</v>
      </c>
      <c r="BA80" s="12">
        <f t="shared" si="9"/>
        <v>8.1820000000000004</v>
      </c>
      <c r="BB80" s="12">
        <f t="shared" si="13"/>
        <v>8.1820000000000004</v>
      </c>
      <c r="BC80" s="12">
        <f t="shared" si="13"/>
        <v>0</v>
      </c>
      <c r="BD80" s="12">
        <f t="shared" si="13"/>
        <v>0</v>
      </c>
      <c r="BE80" s="12">
        <f t="shared" si="13"/>
        <v>0</v>
      </c>
      <c r="BF80" s="12">
        <f t="shared" si="10"/>
        <v>0</v>
      </c>
      <c r="BJ80" s="12" t="str">
        <f t="shared" si="11"/>
        <v/>
      </c>
      <c r="BK80" s="12">
        <f>VLOOKUP(B80,Kraftvärmeprod!$B$1:$BH$549,MATCH($BA$1,Kraftvärmeprod!$B$1:$CC$1,0),FALSE)</f>
        <v>0</v>
      </c>
    </row>
    <row r="81" spans="1:63" ht="15" customHeight="1" x14ac:dyDescent="0.25">
      <c r="A81" s="137" t="s">
        <v>297</v>
      </c>
      <c r="B81" s="137" t="s">
        <v>299</v>
      </c>
      <c r="C81" s="137">
        <v>2018</v>
      </c>
      <c r="D81" s="137">
        <v>3.169</v>
      </c>
      <c r="E81" s="137">
        <v>3.1190000000000002</v>
      </c>
      <c r="F81" s="137" t="s">
        <v>193</v>
      </c>
      <c r="G81" s="137">
        <v>2.8000000000000001E-2</v>
      </c>
      <c r="H81" s="137" t="s">
        <v>193</v>
      </c>
      <c r="I81" s="137" t="s">
        <v>193</v>
      </c>
      <c r="J81" s="137" t="s">
        <v>193</v>
      </c>
      <c r="K81" s="137" t="s">
        <v>193</v>
      </c>
      <c r="L81" s="137" t="s">
        <v>193</v>
      </c>
      <c r="M81" s="137" t="s">
        <v>53</v>
      </c>
      <c r="N81" s="137" t="s">
        <v>193</v>
      </c>
      <c r="O81" s="137" t="s">
        <v>193</v>
      </c>
      <c r="P81" s="137" t="s">
        <v>193</v>
      </c>
      <c r="Q81" s="137" t="s">
        <v>193</v>
      </c>
      <c r="R81" s="137" t="s">
        <v>193</v>
      </c>
      <c r="S81" s="137" t="s">
        <v>193</v>
      </c>
      <c r="T81" s="137" t="s">
        <v>193</v>
      </c>
      <c r="U81" s="137">
        <v>3.0910000000000002</v>
      </c>
      <c r="V81" s="137" t="s">
        <v>193</v>
      </c>
      <c r="W81" s="137" t="s">
        <v>193</v>
      </c>
      <c r="X81" s="137" t="s">
        <v>193</v>
      </c>
      <c r="Y81" s="137" t="s">
        <v>193</v>
      </c>
      <c r="Z81" s="137" t="s">
        <v>193</v>
      </c>
      <c r="AA81" s="137" t="s">
        <v>193</v>
      </c>
      <c r="AB81" s="137" t="s">
        <v>193</v>
      </c>
      <c r="AC81" s="137" t="s">
        <v>193</v>
      </c>
      <c r="AD81" s="137" t="s">
        <v>193</v>
      </c>
      <c r="AE81" s="137" t="s">
        <v>199</v>
      </c>
      <c r="AF81" s="137" t="s">
        <v>193</v>
      </c>
      <c r="AG81" s="137" t="s">
        <v>193</v>
      </c>
      <c r="AH81" s="137" t="s">
        <v>193</v>
      </c>
      <c r="AI81" s="137" t="s">
        <v>193</v>
      </c>
      <c r="AJ81" s="137" t="s">
        <v>193</v>
      </c>
      <c r="AK81" s="137" t="s">
        <v>193</v>
      </c>
      <c r="AL81" s="137" t="s">
        <v>193</v>
      </c>
      <c r="AM81" s="137" t="s">
        <v>193</v>
      </c>
      <c r="AN81" s="137" t="s">
        <v>53</v>
      </c>
      <c r="AO81" s="137" t="s">
        <v>193</v>
      </c>
      <c r="AP81" s="137" t="s">
        <v>193</v>
      </c>
      <c r="AQ81" s="137" t="s">
        <v>193</v>
      </c>
      <c r="AR81" s="137" t="s">
        <v>193</v>
      </c>
      <c r="AV81" s="1">
        <f t="shared" si="14"/>
        <v>3.1190000000000002</v>
      </c>
      <c r="AW81" s="1">
        <f t="shared" si="8"/>
        <v>3.169</v>
      </c>
      <c r="AX81" s="13">
        <f t="shared" si="12"/>
        <v>1.016030779095864</v>
      </c>
      <c r="BA81" s="12">
        <f t="shared" si="9"/>
        <v>0</v>
      </c>
      <c r="BB81" s="12">
        <f t="shared" si="13"/>
        <v>0</v>
      </c>
      <c r="BC81" s="12">
        <f t="shared" si="13"/>
        <v>0</v>
      </c>
      <c r="BD81" s="12">
        <f t="shared" si="13"/>
        <v>0</v>
      </c>
      <c r="BE81" s="12">
        <f t="shared" si="13"/>
        <v>0</v>
      </c>
      <c r="BF81" s="12">
        <f t="shared" si="10"/>
        <v>0</v>
      </c>
      <c r="BJ81" s="12" t="str">
        <f t="shared" si="11"/>
        <v/>
      </c>
      <c r="BK81" s="12">
        <f>VLOOKUP(B81,Kraftvärmeprod!$B$1:$BH$549,MATCH($BA$1,Kraftvärmeprod!$B$1:$CC$1,0),FALSE)</f>
        <v>0</v>
      </c>
    </row>
    <row r="82" spans="1:63" ht="15" customHeight="1" x14ac:dyDescent="0.25">
      <c r="A82" s="137" t="s">
        <v>297</v>
      </c>
      <c r="B82" s="137" t="s">
        <v>300</v>
      </c>
      <c r="C82" s="137">
        <v>2018</v>
      </c>
      <c r="D82" s="137">
        <v>3.7559999999999998</v>
      </c>
      <c r="E82" s="137">
        <v>4.1070000000000002</v>
      </c>
      <c r="F82" s="137" t="s">
        <v>193</v>
      </c>
      <c r="G82" s="137">
        <v>0.27800000000000002</v>
      </c>
      <c r="H82" s="137" t="s">
        <v>193</v>
      </c>
      <c r="I82" s="137" t="s">
        <v>193</v>
      </c>
      <c r="J82" s="137" t="s">
        <v>193</v>
      </c>
      <c r="K82" s="137" t="s">
        <v>193</v>
      </c>
      <c r="L82" s="137" t="s">
        <v>193</v>
      </c>
      <c r="M82" s="137" t="s">
        <v>53</v>
      </c>
      <c r="N82" s="137" t="s">
        <v>193</v>
      </c>
      <c r="O82" s="137" t="s">
        <v>193</v>
      </c>
      <c r="P82" s="137" t="s">
        <v>193</v>
      </c>
      <c r="Q82" s="137" t="s">
        <v>193</v>
      </c>
      <c r="R82" s="137" t="s">
        <v>193</v>
      </c>
      <c r="S82" s="137" t="s">
        <v>193</v>
      </c>
      <c r="T82" s="137" t="s">
        <v>193</v>
      </c>
      <c r="U82" s="137">
        <v>3.8290000000000002</v>
      </c>
      <c r="V82" s="137" t="s">
        <v>193</v>
      </c>
      <c r="W82" s="137" t="s">
        <v>193</v>
      </c>
      <c r="X82" s="137" t="s">
        <v>193</v>
      </c>
      <c r="Y82" s="137" t="s">
        <v>193</v>
      </c>
      <c r="Z82" s="137" t="s">
        <v>193</v>
      </c>
      <c r="AA82" s="137" t="s">
        <v>193</v>
      </c>
      <c r="AB82" s="137" t="s">
        <v>193</v>
      </c>
      <c r="AC82" s="137" t="s">
        <v>193</v>
      </c>
      <c r="AD82" s="137" t="s">
        <v>193</v>
      </c>
      <c r="AE82" s="137" t="s">
        <v>199</v>
      </c>
      <c r="AF82" s="137" t="s">
        <v>193</v>
      </c>
      <c r="AG82" s="137" t="s">
        <v>193</v>
      </c>
      <c r="AH82" s="137" t="s">
        <v>193</v>
      </c>
      <c r="AI82" s="137" t="s">
        <v>193</v>
      </c>
      <c r="AJ82" s="137" t="s">
        <v>193</v>
      </c>
      <c r="AK82" s="137" t="s">
        <v>193</v>
      </c>
      <c r="AL82" s="137" t="s">
        <v>193</v>
      </c>
      <c r="AM82" s="137" t="s">
        <v>193</v>
      </c>
      <c r="AN82" s="137" t="s">
        <v>53</v>
      </c>
      <c r="AO82" s="137" t="s">
        <v>193</v>
      </c>
      <c r="AP82" s="137" t="s">
        <v>193</v>
      </c>
      <c r="AQ82" s="137" t="s">
        <v>193</v>
      </c>
      <c r="AR82" s="137" t="s">
        <v>193</v>
      </c>
      <c r="AV82" s="1">
        <f t="shared" si="14"/>
        <v>4.1070000000000002</v>
      </c>
      <c r="AW82" s="1">
        <f t="shared" si="8"/>
        <v>3.7559999999999998</v>
      </c>
      <c r="AX82" s="13">
        <f t="shared" si="12"/>
        <v>0.91453615777940089</v>
      </c>
      <c r="BA82" s="12">
        <f t="shared" si="9"/>
        <v>0</v>
      </c>
      <c r="BB82" s="12">
        <f t="shared" si="13"/>
        <v>0</v>
      </c>
      <c r="BC82" s="12">
        <f t="shared" si="13"/>
        <v>0</v>
      </c>
      <c r="BD82" s="12">
        <f t="shared" si="13"/>
        <v>0</v>
      </c>
      <c r="BE82" s="12">
        <f t="shared" si="13"/>
        <v>0</v>
      </c>
      <c r="BF82" s="12">
        <f t="shared" si="10"/>
        <v>0</v>
      </c>
      <c r="BJ82" s="12" t="str">
        <f t="shared" si="11"/>
        <v/>
      </c>
      <c r="BK82" s="12">
        <f>VLOOKUP(B82,Kraftvärmeprod!$B$1:$BH$549,MATCH($BA$1,Kraftvärmeprod!$B$1:$CC$1,0),FALSE)</f>
        <v>0</v>
      </c>
    </row>
    <row r="83" spans="1:63" ht="15" customHeight="1" x14ac:dyDescent="0.25">
      <c r="A83" s="137" t="s">
        <v>301</v>
      </c>
      <c r="B83" s="137" t="s">
        <v>302</v>
      </c>
      <c r="C83" s="137">
        <v>2018</v>
      </c>
      <c r="D83" s="137">
        <v>5.0999999999999996</v>
      </c>
      <c r="E83" s="137">
        <v>5.8140000000000001</v>
      </c>
      <c r="F83" s="137" t="s">
        <v>193</v>
      </c>
      <c r="G83" s="137">
        <v>1.4E-2</v>
      </c>
      <c r="H83" s="137" t="s">
        <v>193</v>
      </c>
      <c r="I83" s="137" t="s">
        <v>193</v>
      </c>
      <c r="J83" s="137" t="s">
        <v>193</v>
      </c>
      <c r="K83" s="137" t="s">
        <v>193</v>
      </c>
      <c r="L83" s="137" t="s">
        <v>193</v>
      </c>
      <c r="M83" s="137" t="s">
        <v>53</v>
      </c>
      <c r="N83" s="137" t="s">
        <v>193</v>
      </c>
      <c r="O83" s="137" t="s">
        <v>193</v>
      </c>
      <c r="P83" s="137" t="s">
        <v>193</v>
      </c>
      <c r="Q83" s="137" t="s">
        <v>193</v>
      </c>
      <c r="R83" s="137" t="s">
        <v>193</v>
      </c>
      <c r="S83" s="137" t="s">
        <v>193</v>
      </c>
      <c r="T83" s="137" t="s">
        <v>193</v>
      </c>
      <c r="U83" s="137">
        <v>5.8</v>
      </c>
      <c r="V83" s="137" t="s">
        <v>193</v>
      </c>
      <c r="W83" s="137" t="s">
        <v>193</v>
      </c>
      <c r="X83" s="137" t="s">
        <v>193</v>
      </c>
      <c r="Y83" s="137" t="s">
        <v>193</v>
      </c>
      <c r="Z83" s="137" t="s">
        <v>193</v>
      </c>
      <c r="AA83" s="137" t="s">
        <v>193</v>
      </c>
      <c r="AB83" s="137" t="s">
        <v>193</v>
      </c>
      <c r="AC83" s="137" t="s">
        <v>193</v>
      </c>
      <c r="AD83" s="137" t="s">
        <v>193</v>
      </c>
      <c r="AE83" s="137" t="s">
        <v>199</v>
      </c>
      <c r="AF83" s="137" t="s">
        <v>193</v>
      </c>
      <c r="AG83" s="137" t="s">
        <v>193</v>
      </c>
      <c r="AH83" s="137" t="s">
        <v>193</v>
      </c>
      <c r="AI83" s="137" t="s">
        <v>193</v>
      </c>
      <c r="AJ83" s="137" t="s">
        <v>193</v>
      </c>
      <c r="AK83" s="137" t="s">
        <v>193</v>
      </c>
      <c r="AL83" s="137" t="s">
        <v>193</v>
      </c>
      <c r="AM83" s="137" t="s">
        <v>193</v>
      </c>
      <c r="AN83" s="137" t="s">
        <v>53</v>
      </c>
      <c r="AO83" s="137" t="s">
        <v>193</v>
      </c>
      <c r="AP83" s="137" t="s">
        <v>193</v>
      </c>
      <c r="AQ83" s="137" t="s">
        <v>193</v>
      </c>
      <c r="AR83" s="137" t="s">
        <v>193</v>
      </c>
      <c r="AV83" s="1">
        <f t="shared" si="14"/>
        <v>5.8140000000000001</v>
      </c>
      <c r="AW83" s="1">
        <f t="shared" si="8"/>
        <v>5.0999999999999996</v>
      </c>
      <c r="AX83" s="13">
        <f t="shared" si="12"/>
        <v>0.8771929824561403</v>
      </c>
      <c r="BA83" s="12">
        <f t="shared" si="9"/>
        <v>0</v>
      </c>
      <c r="BB83" s="12">
        <f t="shared" si="13"/>
        <v>0</v>
      </c>
      <c r="BC83" s="12">
        <f t="shared" si="13"/>
        <v>0</v>
      </c>
      <c r="BD83" s="12">
        <f t="shared" si="13"/>
        <v>0</v>
      </c>
      <c r="BE83" s="12">
        <f t="shared" si="13"/>
        <v>0</v>
      </c>
      <c r="BF83" s="12">
        <f t="shared" si="10"/>
        <v>0</v>
      </c>
      <c r="BJ83" s="12" t="str">
        <f t="shared" si="11"/>
        <v/>
      </c>
      <c r="BK83" s="12">
        <f>VLOOKUP(B83,Kraftvärmeprod!$B$1:$BH$549,MATCH($BA$1,Kraftvärmeprod!$B$1:$CC$1,0),FALSE)</f>
        <v>0</v>
      </c>
    </row>
    <row r="84" spans="1:63" ht="15" customHeight="1" x14ac:dyDescent="0.25">
      <c r="A84" s="137" t="s">
        <v>301</v>
      </c>
      <c r="B84" s="137" t="s">
        <v>303</v>
      </c>
      <c r="C84" s="137">
        <v>2018</v>
      </c>
      <c r="D84" s="137">
        <v>35.299999999999997</v>
      </c>
      <c r="E84" s="137">
        <v>40.21</v>
      </c>
      <c r="F84" s="137" t="s">
        <v>193</v>
      </c>
      <c r="G84" s="137">
        <v>1.57</v>
      </c>
      <c r="H84" s="137" t="s">
        <v>193</v>
      </c>
      <c r="I84" s="137" t="s">
        <v>193</v>
      </c>
      <c r="J84" s="137" t="s">
        <v>193</v>
      </c>
      <c r="K84" s="137" t="s">
        <v>193</v>
      </c>
      <c r="L84" s="137">
        <v>5.16</v>
      </c>
      <c r="M84" s="137" t="s">
        <v>304</v>
      </c>
      <c r="N84" s="137" t="s">
        <v>193</v>
      </c>
      <c r="O84" s="137" t="s">
        <v>193</v>
      </c>
      <c r="P84" s="137">
        <v>33.479999999999997</v>
      </c>
      <c r="Q84" s="137" t="s">
        <v>193</v>
      </c>
      <c r="R84" s="137" t="s">
        <v>193</v>
      </c>
      <c r="S84" s="137" t="s">
        <v>193</v>
      </c>
      <c r="T84" s="137" t="s">
        <v>194</v>
      </c>
      <c r="U84" s="137" t="s">
        <v>193</v>
      </c>
      <c r="V84" s="137" t="s">
        <v>193</v>
      </c>
      <c r="W84" s="137" t="s">
        <v>193</v>
      </c>
      <c r="X84" s="137" t="s">
        <v>193</v>
      </c>
      <c r="Y84" s="137" t="s">
        <v>193</v>
      </c>
      <c r="Z84" s="137" t="s">
        <v>193</v>
      </c>
      <c r="AA84" s="137" t="s">
        <v>193</v>
      </c>
      <c r="AB84" s="137" t="s">
        <v>193</v>
      </c>
      <c r="AC84" s="137" t="s">
        <v>193</v>
      </c>
      <c r="AD84" s="137" t="s">
        <v>193</v>
      </c>
      <c r="AE84" s="137" t="s">
        <v>199</v>
      </c>
      <c r="AF84" s="137" t="s">
        <v>193</v>
      </c>
      <c r="AG84" s="137">
        <v>0</v>
      </c>
      <c r="AH84" s="137" t="s">
        <v>193</v>
      </c>
      <c r="AI84" s="137" t="s">
        <v>193</v>
      </c>
      <c r="AJ84" s="137" t="s">
        <v>193</v>
      </c>
      <c r="AK84" s="137" t="s">
        <v>193</v>
      </c>
      <c r="AL84" s="137" t="s">
        <v>193</v>
      </c>
      <c r="AM84" s="137" t="s">
        <v>193</v>
      </c>
      <c r="AN84" s="137" t="s">
        <v>53</v>
      </c>
      <c r="AO84" s="137" t="s">
        <v>193</v>
      </c>
      <c r="AP84" s="137" t="s">
        <v>193</v>
      </c>
      <c r="AQ84" s="137" t="s">
        <v>193</v>
      </c>
      <c r="AR84" s="137" t="s">
        <v>193</v>
      </c>
      <c r="AV84" s="1">
        <f t="shared" si="14"/>
        <v>40.209999999999994</v>
      </c>
      <c r="AW84" s="1">
        <f t="shared" si="8"/>
        <v>35.299999999999997</v>
      </c>
      <c r="AX84" s="13">
        <f t="shared" si="12"/>
        <v>0.87789107187266857</v>
      </c>
      <c r="BA84" s="12">
        <f t="shared" si="9"/>
        <v>0</v>
      </c>
      <c r="BB84" s="12">
        <f t="shared" si="13"/>
        <v>0</v>
      </c>
      <c r="BC84" s="12">
        <f t="shared" si="13"/>
        <v>0</v>
      </c>
      <c r="BD84" s="12">
        <f t="shared" si="13"/>
        <v>0</v>
      </c>
      <c r="BE84" s="12">
        <f t="shared" si="13"/>
        <v>0</v>
      </c>
      <c r="BF84" s="12">
        <f t="shared" si="10"/>
        <v>0</v>
      </c>
      <c r="BJ84" s="12" t="str">
        <f t="shared" si="11"/>
        <v/>
      </c>
      <c r="BK84" s="12">
        <f>VLOOKUP(B84,Kraftvärmeprod!$B$1:$BH$549,MATCH($BA$1,Kraftvärmeprod!$B$1:$CC$1,0),FALSE)</f>
        <v>61.44</v>
      </c>
    </row>
    <row r="85" spans="1:63" ht="15" customHeight="1" x14ac:dyDescent="0.25">
      <c r="A85" s="137" t="s">
        <v>301</v>
      </c>
      <c r="B85" s="137" t="s">
        <v>305</v>
      </c>
      <c r="C85" s="137">
        <v>2018</v>
      </c>
      <c r="D85" s="137">
        <v>5.3</v>
      </c>
      <c r="E85" s="137">
        <v>5.09</v>
      </c>
      <c r="F85" s="137" t="s">
        <v>193</v>
      </c>
      <c r="G85" s="137">
        <v>0.09</v>
      </c>
      <c r="H85" s="137" t="s">
        <v>193</v>
      </c>
      <c r="I85" s="137" t="s">
        <v>193</v>
      </c>
      <c r="J85" s="137" t="s">
        <v>193</v>
      </c>
      <c r="K85" s="137" t="s">
        <v>193</v>
      </c>
      <c r="L85" s="137" t="s">
        <v>193</v>
      </c>
      <c r="M85" s="137" t="s">
        <v>53</v>
      </c>
      <c r="N85" s="137" t="s">
        <v>193</v>
      </c>
      <c r="O85" s="137" t="s">
        <v>193</v>
      </c>
      <c r="P85" s="137" t="s">
        <v>193</v>
      </c>
      <c r="Q85" s="137" t="s">
        <v>193</v>
      </c>
      <c r="R85" s="137" t="s">
        <v>193</v>
      </c>
      <c r="S85" s="137" t="s">
        <v>193</v>
      </c>
      <c r="T85" s="137" t="s">
        <v>193</v>
      </c>
      <c r="U85" s="137">
        <v>5</v>
      </c>
      <c r="V85" s="137" t="s">
        <v>193</v>
      </c>
      <c r="W85" s="137" t="s">
        <v>193</v>
      </c>
      <c r="X85" s="137" t="s">
        <v>193</v>
      </c>
      <c r="Y85" s="137" t="s">
        <v>193</v>
      </c>
      <c r="Z85" s="137" t="s">
        <v>193</v>
      </c>
      <c r="AA85" s="137" t="s">
        <v>193</v>
      </c>
      <c r="AB85" s="137" t="s">
        <v>193</v>
      </c>
      <c r="AC85" s="137" t="s">
        <v>193</v>
      </c>
      <c r="AD85" s="137" t="s">
        <v>193</v>
      </c>
      <c r="AE85" s="137" t="s">
        <v>199</v>
      </c>
      <c r="AF85" s="137" t="s">
        <v>193</v>
      </c>
      <c r="AG85" s="137" t="s">
        <v>193</v>
      </c>
      <c r="AH85" s="137" t="s">
        <v>193</v>
      </c>
      <c r="AI85" s="137" t="s">
        <v>193</v>
      </c>
      <c r="AJ85" s="137" t="s">
        <v>193</v>
      </c>
      <c r="AK85" s="137" t="s">
        <v>193</v>
      </c>
      <c r="AL85" s="137" t="s">
        <v>193</v>
      </c>
      <c r="AM85" s="137" t="s">
        <v>193</v>
      </c>
      <c r="AN85" s="137" t="s">
        <v>53</v>
      </c>
      <c r="AO85" s="137" t="s">
        <v>193</v>
      </c>
      <c r="AP85" s="137" t="s">
        <v>193</v>
      </c>
      <c r="AQ85" s="137" t="s">
        <v>193</v>
      </c>
      <c r="AR85" s="137" t="s">
        <v>193</v>
      </c>
      <c r="AV85" s="1">
        <f t="shared" si="14"/>
        <v>5.09</v>
      </c>
      <c r="AW85" s="1">
        <f t="shared" si="8"/>
        <v>5.3</v>
      </c>
      <c r="AX85" s="13">
        <f t="shared" si="12"/>
        <v>1.0412573673870333</v>
      </c>
      <c r="BA85" s="12">
        <f t="shared" si="9"/>
        <v>0</v>
      </c>
      <c r="BB85" s="12">
        <f t="shared" si="13"/>
        <v>0</v>
      </c>
      <c r="BC85" s="12">
        <f t="shared" si="13"/>
        <v>0</v>
      </c>
      <c r="BD85" s="12">
        <f t="shared" si="13"/>
        <v>0</v>
      </c>
      <c r="BE85" s="12">
        <f t="shared" si="13"/>
        <v>0</v>
      </c>
      <c r="BF85" s="12">
        <f t="shared" si="10"/>
        <v>0</v>
      </c>
      <c r="BJ85" s="12" t="str">
        <f t="shared" si="11"/>
        <v/>
      </c>
      <c r="BK85" s="12">
        <f>VLOOKUP(B85,Kraftvärmeprod!$B$1:$BH$549,MATCH($BA$1,Kraftvärmeprod!$B$1:$CC$1,0),FALSE)</f>
        <v>0</v>
      </c>
    </row>
    <row r="86" spans="1:63" ht="15" customHeight="1" x14ac:dyDescent="0.25">
      <c r="A86" s="137" t="s">
        <v>301</v>
      </c>
      <c r="B86" s="137" t="s">
        <v>306</v>
      </c>
      <c r="C86" s="137">
        <v>2018</v>
      </c>
      <c r="D86" s="137">
        <v>5.8</v>
      </c>
      <c r="E86" s="137">
        <v>5.85</v>
      </c>
      <c r="F86" s="137" t="s">
        <v>193</v>
      </c>
      <c r="G86" s="137">
        <v>0.05</v>
      </c>
      <c r="H86" s="137" t="s">
        <v>193</v>
      </c>
      <c r="I86" s="137" t="s">
        <v>193</v>
      </c>
      <c r="J86" s="137" t="s">
        <v>193</v>
      </c>
      <c r="K86" s="137" t="s">
        <v>193</v>
      </c>
      <c r="L86" s="137" t="s">
        <v>193</v>
      </c>
      <c r="M86" s="137" t="s">
        <v>53</v>
      </c>
      <c r="N86" s="137" t="s">
        <v>193</v>
      </c>
      <c r="O86" s="137" t="s">
        <v>193</v>
      </c>
      <c r="P86" s="137" t="s">
        <v>193</v>
      </c>
      <c r="Q86" s="137" t="s">
        <v>193</v>
      </c>
      <c r="R86" s="137" t="s">
        <v>193</v>
      </c>
      <c r="S86" s="137" t="s">
        <v>193</v>
      </c>
      <c r="T86" s="137" t="s">
        <v>193</v>
      </c>
      <c r="U86" s="137">
        <v>5.8</v>
      </c>
      <c r="V86" s="137" t="s">
        <v>193</v>
      </c>
      <c r="W86" s="137" t="s">
        <v>193</v>
      </c>
      <c r="X86" s="137" t="s">
        <v>193</v>
      </c>
      <c r="Y86" s="137" t="s">
        <v>193</v>
      </c>
      <c r="Z86" s="137" t="s">
        <v>193</v>
      </c>
      <c r="AA86" s="137" t="s">
        <v>193</v>
      </c>
      <c r="AB86" s="137" t="s">
        <v>193</v>
      </c>
      <c r="AC86" s="137" t="s">
        <v>193</v>
      </c>
      <c r="AD86" s="137" t="s">
        <v>193</v>
      </c>
      <c r="AE86" s="137" t="s">
        <v>199</v>
      </c>
      <c r="AF86" s="137" t="s">
        <v>193</v>
      </c>
      <c r="AG86" s="137" t="s">
        <v>193</v>
      </c>
      <c r="AH86" s="137" t="s">
        <v>193</v>
      </c>
      <c r="AI86" s="137" t="s">
        <v>193</v>
      </c>
      <c r="AJ86" s="137" t="s">
        <v>193</v>
      </c>
      <c r="AK86" s="137" t="s">
        <v>193</v>
      </c>
      <c r="AL86" s="137" t="s">
        <v>193</v>
      </c>
      <c r="AM86" s="137" t="s">
        <v>193</v>
      </c>
      <c r="AN86" s="137" t="s">
        <v>53</v>
      </c>
      <c r="AO86" s="137" t="s">
        <v>193</v>
      </c>
      <c r="AP86" s="137" t="s">
        <v>193</v>
      </c>
      <c r="AQ86" s="137" t="s">
        <v>193</v>
      </c>
      <c r="AR86" s="137" t="s">
        <v>193</v>
      </c>
      <c r="AV86" s="1">
        <f t="shared" si="14"/>
        <v>5.85</v>
      </c>
      <c r="AW86" s="1">
        <f t="shared" si="8"/>
        <v>5.8</v>
      </c>
      <c r="AX86" s="13">
        <f t="shared" si="12"/>
        <v>0.99145299145299148</v>
      </c>
      <c r="BA86" s="12">
        <f t="shared" si="9"/>
        <v>0</v>
      </c>
      <c r="BB86" s="12">
        <f t="shared" si="13"/>
        <v>0</v>
      </c>
      <c r="BC86" s="12">
        <f t="shared" si="13"/>
        <v>0</v>
      </c>
      <c r="BD86" s="12">
        <f t="shared" si="13"/>
        <v>0</v>
      </c>
      <c r="BE86" s="12">
        <f t="shared" si="13"/>
        <v>0</v>
      </c>
      <c r="BF86" s="12">
        <f t="shared" si="10"/>
        <v>0</v>
      </c>
      <c r="BJ86" s="12" t="str">
        <f t="shared" si="11"/>
        <v/>
      </c>
      <c r="BK86" s="12">
        <f>VLOOKUP(B86,Kraftvärmeprod!$B$1:$BH$549,MATCH($BA$1,Kraftvärmeprod!$B$1:$CC$1,0),FALSE)</f>
        <v>0</v>
      </c>
    </row>
    <row r="87" spans="1:63" ht="15" customHeight="1" x14ac:dyDescent="0.25">
      <c r="A87" s="137" t="s">
        <v>307</v>
      </c>
      <c r="B87" s="137" t="s">
        <v>308</v>
      </c>
      <c r="C87" s="137">
        <v>2018</v>
      </c>
      <c r="D87" s="137">
        <v>126.4</v>
      </c>
      <c r="E87" s="137">
        <v>128.80000000000001</v>
      </c>
      <c r="F87" s="137" t="s">
        <v>193</v>
      </c>
      <c r="G87" s="137">
        <v>5</v>
      </c>
      <c r="H87" s="137" t="s">
        <v>193</v>
      </c>
      <c r="I87" s="137" t="s">
        <v>193</v>
      </c>
      <c r="J87" s="137" t="s">
        <v>193</v>
      </c>
      <c r="K87" s="137" t="s">
        <v>193</v>
      </c>
      <c r="L87" s="137" t="s">
        <v>193</v>
      </c>
      <c r="M87" s="137" t="s">
        <v>53</v>
      </c>
      <c r="N87" s="137">
        <v>38.700000000000003</v>
      </c>
      <c r="O87" s="137" t="s">
        <v>193</v>
      </c>
      <c r="P87" s="137" t="s">
        <v>193</v>
      </c>
      <c r="Q87" s="137" t="s">
        <v>193</v>
      </c>
      <c r="R87" s="137" t="s">
        <v>193</v>
      </c>
      <c r="S87" s="137" t="s">
        <v>193</v>
      </c>
      <c r="T87" s="137" t="s">
        <v>193</v>
      </c>
      <c r="U87" s="137" t="s">
        <v>193</v>
      </c>
      <c r="V87" s="137" t="s">
        <v>193</v>
      </c>
      <c r="W87" s="137" t="s">
        <v>193</v>
      </c>
      <c r="X87" s="137">
        <v>2.7</v>
      </c>
      <c r="Y87" s="137" t="s">
        <v>193</v>
      </c>
      <c r="Z87" s="137">
        <v>11.1</v>
      </c>
      <c r="AA87" s="137" t="s">
        <v>193</v>
      </c>
      <c r="AB87" s="137" t="s">
        <v>193</v>
      </c>
      <c r="AC87" s="137">
        <v>71.3</v>
      </c>
      <c r="AD87" s="137">
        <v>0.5</v>
      </c>
      <c r="AE87" s="137" t="s">
        <v>195</v>
      </c>
      <c r="AF87" s="137">
        <v>40.5</v>
      </c>
      <c r="AG87" s="137" t="s">
        <v>193</v>
      </c>
      <c r="AH87" s="137" t="s">
        <v>193</v>
      </c>
      <c r="AI87" s="137" t="s">
        <v>193</v>
      </c>
      <c r="AJ87" s="137" t="s">
        <v>193</v>
      </c>
      <c r="AK87" s="137" t="s">
        <v>193</v>
      </c>
      <c r="AL87" s="137" t="s">
        <v>193</v>
      </c>
      <c r="AM87" s="137" t="s">
        <v>193</v>
      </c>
      <c r="AN87" s="137" t="s">
        <v>53</v>
      </c>
      <c r="AO87" s="137" t="s">
        <v>193</v>
      </c>
      <c r="AP87" s="137" t="s">
        <v>193</v>
      </c>
      <c r="AQ87" s="137" t="s">
        <v>193</v>
      </c>
      <c r="AR87" s="137" t="s">
        <v>193</v>
      </c>
      <c r="AV87" s="1">
        <f t="shared" si="14"/>
        <v>128.80000000000001</v>
      </c>
      <c r="AW87" s="1">
        <f t="shared" si="8"/>
        <v>126.4</v>
      </c>
      <c r="AX87" s="13">
        <f t="shared" si="12"/>
        <v>0.98136645962732916</v>
      </c>
      <c r="BA87" s="12">
        <f t="shared" si="9"/>
        <v>0</v>
      </c>
      <c r="BB87" s="12">
        <f t="shared" si="13"/>
        <v>0</v>
      </c>
      <c r="BC87" s="12">
        <f t="shared" si="13"/>
        <v>0</v>
      </c>
      <c r="BD87" s="12">
        <f t="shared" si="13"/>
        <v>0</v>
      </c>
      <c r="BE87" s="12">
        <f t="shared" si="13"/>
        <v>0</v>
      </c>
      <c r="BF87" s="12">
        <f t="shared" si="10"/>
        <v>0</v>
      </c>
      <c r="BJ87" s="12" t="str">
        <f t="shared" si="11"/>
        <v/>
      </c>
      <c r="BK87" s="12">
        <f>VLOOKUP(B87,Kraftvärmeprod!$B$1:$BH$549,MATCH($BA$1,Kraftvärmeprod!$B$1:$CC$1,0),FALSE)</f>
        <v>0</v>
      </c>
    </row>
    <row r="88" spans="1:63" ht="15" customHeight="1" x14ac:dyDescent="0.25">
      <c r="A88" s="137" t="s">
        <v>309</v>
      </c>
      <c r="B88" s="137" t="s">
        <v>310</v>
      </c>
      <c r="C88" s="137">
        <v>2018</v>
      </c>
      <c r="D88" s="137">
        <v>33.445</v>
      </c>
      <c r="E88" s="137">
        <v>42.457999999999998</v>
      </c>
      <c r="F88" s="137" t="s">
        <v>193</v>
      </c>
      <c r="G88" s="137">
        <v>0.40100000000000002</v>
      </c>
      <c r="H88" s="137" t="s">
        <v>193</v>
      </c>
      <c r="I88" s="137" t="s">
        <v>193</v>
      </c>
      <c r="J88" s="137">
        <v>0.26400000000000001</v>
      </c>
      <c r="K88" s="137" t="s">
        <v>193</v>
      </c>
      <c r="L88" s="137" t="s">
        <v>193</v>
      </c>
      <c r="M88" s="137" t="s">
        <v>53</v>
      </c>
      <c r="N88" s="137">
        <v>15</v>
      </c>
      <c r="O88" s="137">
        <v>9</v>
      </c>
      <c r="P88" s="137">
        <v>10.5</v>
      </c>
      <c r="Q88" s="137" t="s">
        <v>193</v>
      </c>
      <c r="R88" s="137" t="s">
        <v>193</v>
      </c>
      <c r="S88" s="137" t="s">
        <v>193</v>
      </c>
      <c r="T88" s="137" t="s">
        <v>194</v>
      </c>
      <c r="U88" s="137">
        <v>2.093</v>
      </c>
      <c r="V88" s="137" t="s">
        <v>193</v>
      </c>
      <c r="W88" s="137" t="s">
        <v>193</v>
      </c>
      <c r="X88" s="137" t="s">
        <v>193</v>
      </c>
      <c r="Y88" s="137" t="s">
        <v>193</v>
      </c>
      <c r="Z88" s="137" t="s">
        <v>193</v>
      </c>
      <c r="AA88" s="137" t="s">
        <v>193</v>
      </c>
      <c r="AB88" s="137" t="s">
        <v>193</v>
      </c>
      <c r="AC88" s="137" t="s">
        <v>193</v>
      </c>
      <c r="AD88" s="137" t="s">
        <v>193</v>
      </c>
      <c r="AE88" s="137" t="s">
        <v>199</v>
      </c>
      <c r="AF88" s="137" t="s">
        <v>193</v>
      </c>
      <c r="AG88" s="137" t="s">
        <v>193</v>
      </c>
      <c r="AH88" s="137">
        <v>5.2</v>
      </c>
      <c r="AI88" s="137" t="s">
        <v>193</v>
      </c>
      <c r="AJ88" s="137" t="s">
        <v>193</v>
      </c>
      <c r="AK88" s="137" t="s">
        <v>193</v>
      </c>
      <c r="AL88" s="137" t="s">
        <v>193</v>
      </c>
      <c r="AM88" s="137">
        <v>0.06</v>
      </c>
      <c r="AN88" s="137" t="s">
        <v>53</v>
      </c>
      <c r="AO88" s="137">
        <v>100</v>
      </c>
      <c r="AP88" s="137" t="s">
        <v>193</v>
      </c>
      <c r="AQ88" s="137" t="s">
        <v>193</v>
      </c>
      <c r="AR88" s="137" t="s">
        <v>193</v>
      </c>
      <c r="AV88" s="1">
        <f t="shared" si="14"/>
        <v>42.457999999999998</v>
      </c>
      <c r="AW88" s="1">
        <f t="shared" si="8"/>
        <v>33.445</v>
      </c>
      <c r="AX88" s="13">
        <f t="shared" si="12"/>
        <v>0.78771962880964719</v>
      </c>
      <c r="BA88" s="12">
        <f t="shared" si="9"/>
        <v>5.2</v>
      </c>
      <c r="BB88" s="12">
        <f t="shared" si="13"/>
        <v>5.2</v>
      </c>
      <c r="BC88" s="12">
        <f t="shared" si="13"/>
        <v>0</v>
      </c>
      <c r="BD88" s="12">
        <f t="shared" si="13"/>
        <v>0</v>
      </c>
      <c r="BE88" s="12">
        <f t="shared" si="13"/>
        <v>0</v>
      </c>
      <c r="BF88" s="12">
        <f t="shared" si="10"/>
        <v>0</v>
      </c>
      <c r="BJ88" s="12" t="str">
        <f t="shared" si="11"/>
        <v/>
      </c>
      <c r="BK88" s="12">
        <f>VLOOKUP(B88,Kraftvärmeprod!$B$1:$BH$549,MATCH($BA$1,Kraftvärmeprod!$B$1:$CC$1,0),FALSE)</f>
        <v>0</v>
      </c>
    </row>
    <row r="89" spans="1:63" ht="15" customHeight="1" x14ac:dyDescent="0.25">
      <c r="A89" s="137" t="s">
        <v>309</v>
      </c>
      <c r="B89" s="137" t="s">
        <v>311</v>
      </c>
      <c r="C89" s="137">
        <v>2018</v>
      </c>
      <c r="D89" s="137" t="s">
        <v>312</v>
      </c>
      <c r="E89" s="137" t="s">
        <v>193</v>
      </c>
      <c r="F89" s="137" t="s">
        <v>193</v>
      </c>
      <c r="G89" s="137" t="s">
        <v>193</v>
      </c>
      <c r="H89" s="137" t="s">
        <v>193</v>
      </c>
      <c r="I89" s="137" t="s">
        <v>193</v>
      </c>
      <c r="J89" s="137" t="s">
        <v>193</v>
      </c>
      <c r="K89" s="137" t="s">
        <v>193</v>
      </c>
      <c r="L89" s="137" t="s">
        <v>193</v>
      </c>
      <c r="M89" s="137" t="s">
        <v>53</v>
      </c>
      <c r="N89" s="137" t="s">
        <v>193</v>
      </c>
      <c r="O89" s="137" t="s">
        <v>193</v>
      </c>
      <c r="P89" s="137" t="s">
        <v>193</v>
      </c>
      <c r="Q89" s="137" t="s">
        <v>193</v>
      </c>
      <c r="R89" s="137" t="s">
        <v>193</v>
      </c>
      <c r="S89" s="137" t="s">
        <v>193</v>
      </c>
      <c r="T89" s="137" t="s">
        <v>193</v>
      </c>
      <c r="U89" s="137" t="s">
        <v>193</v>
      </c>
      <c r="V89" s="137" t="s">
        <v>193</v>
      </c>
      <c r="W89" s="137" t="s">
        <v>193</v>
      </c>
      <c r="X89" s="137" t="s">
        <v>193</v>
      </c>
      <c r="Y89" s="137" t="s">
        <v>193</v>
      </c>
      <c r="Z89" s="137" t="s">
        <v>193</v>
      </c>
      <c r="AA89" s="137" t="s">
        <v>193</v>
      </c>
      <c r="AB89" s="137" t="s">
        <v>193</v>
      </c>
      <c r="AC89" s="137" t="s">
        <v>193</v>
      </c>
      <c r="AD89" s="137" t="s">
        <v>193</v>
      </c>
      <c r="AE89" s="137" t="s">
        <v>199</v>
      </c>
      <c r="AF89" s="137" t="s">
        <v>193</v>
      </c>
      <c r="AG89" s="137" t="s">
        <v>193</v>
      </c>
      <c r="AH89" s="137" t="s">
        <v>193</v>
      </c>
      <c r="AI89" s="137" t="s">
        <v>193</v>
      </c>
      <c r="AJ89" s="137" t="s">
        <v>193</v>
      </c>
      <c r="AK89" s="137" t="s">
        <v>193</v>
      </c>
      <c r="AL89" s="137" t="s">
        <v>193</v>
      </c>
      <c r="AM89" s="137" t="s">
        <v>193</v>
      </c>
      <c r="AN89" s="137" t="s">
        <v>53</v>
      </c>
      <c r="AO89" s="137" t="s">
        <v>193</v>
      </c>
      <c r="AP89" s="137" t="s">
        <v>193</v>
      </c>
      <c r="AQ89" s="137" t="s">
        <v>193</v>
      </c>
      <c r="AR89" s="137" t="s">
        <v>193</v>
      </c>
      <c r="AV89" s="1">
        <f t="shared" si="14"/>
        <v>0</v>
      </c>
      <c r="AW89" s="1">
        <f t="shared" si="8"/>
        <v>0</v>
      </c>
      <c r="AX89" s="13" t="str">
        <f t="shared" si="12"/>
        <v/>
      </c>
      <c r="BA89" s="12">
        <f t="shared" si="9"/>
        <v>0</v>
      </c>
      <c r="BB89" s="12">
        <f t="shared" si="13"/>
        <v>0</v>
      </c>
      <c r="BC89" s="12">
        <f t="shared" si="13"/>
        <v>0</v>
      </c>
      <c r="BD89" s="12">
        <f t="shared" si="13"/>
        <v>0</v>
      </c>
      <c r="BE89" s="12">
        <f t="shared" si="13"/>
        <v>0</v>
      </c>
      <c r="BF89" s="12">
        <f t="shared" si="10"/>
        <v>0</v>
      </c>
      <c r="BJ89" s="12" t="str">
        <f t="shared" si="11"/>
        <v/>
      </c>
      <c r="BK89" s="12">
        <f>VLOOKUP(B89,Kraftvärmeprod!$B$1:$BH$549,MATCH($BA$1,Kraftvärmeprod!$B$1:$CC$1,0),FALSE)</f>
        <v>0</v>
      </c>
    </row>
    <row r="90" spans="1:63" ht="15" customHeight="1" x14ac:dyDescent="0.25">
      <c r="A90" s="137" t="s">
        <v>309</v>
      </c>
      <c r="B90" s="137" t="s">
        <v>313</v>
      </c>
      <c r="C90" s="137">
        <v>2018</v>
      </c>
      <c r="D90" s="137">
        <v>2.484</v>
      </c>
      <c r="E90" s="137">
        <v>2.4830000000000001</v>
      </c>
      <c r="F90" s="137" t="s">
        <v>193</v>
      </c>
      <c r="G90" s="137" t="s">
        <v>193</v>
      </c>
      <c r="H90" s="137" t="s">
        <v>193</v>
      </c>
      <c r="I90" s="137" t="s">
        <v>193</v>
      </c>
      <c r="J90" s="137" t="s">
        <v>193</v>
      </c>
      <c r="K90" s="137" t="s">
        <v>193</v>
      </c>
      <c r="L90" s="137" t="s">
        <v>193</v>
      </c>
      <c r="M90" s="137" t="s">
        <v>53</v>
      </c>
      <c r="N90" s="137" t="s">
        <v>193</v>
      </c>
      <c r="O90" s="137" t="s">
        <v>193</v>
      </c>
      <c r="P90" s="137" t="s">
        <v>193</v>
      </c>
      <c r="Q90" s="137" t="s">
        <v>193</v>
      </c>
      <c r="R90" s="137" t="s">
        <v>193</v>
      </c>
      <c r="S90" s="137" t="s">
        <v>193</v>
      </c>
      <c r="T90" s="137" t="s">
        <v>193</v>
      </c>
      <c r="U90" s="137" t="s">
        <v>193</v>
      </c>
      <c r="V90" s="137">
        <v>1.986</v>
      </c>
      <c r="W90" s="137" t="s">
        <v>193</v>
      </c>
      <c r="X90" s="137" t="s">
        <v>193</v>
      </c>
      <c r="Y90" s="137" t="s">
        <v>193</v>
      </c>
      <c r="Z90" s="137" t="s">
        <v>193</v>
      </c>
      <c r="AA90" s="137" t="s">
        <v>193</v>
      </c>
      <c r="AB90" s="137" t="s">
        <v>193</v>
      </c>
      <c r="AC90" s="137" t="s">
        <v>193</v>
      </c>
      <c r="AD90" s="137" t="s">
        <v>193</v>
      </c>
      <c r="AE90" s="137" t="s">
        <v>199</v>
      </c>
      <c r="AF90" s="137" t="s">
        <v>193</v>
      </c>
      <c r="AG90" s="137" t="s">
        <v>193</v>
      </c>
      <c r="AH90" s="137" t="s">
        <v>193</v>
      </c>
      <c r="AI90" s="137" t="s">
        <v>193</v>
      </c>
      <c r="AJ90" s="137" t="s">
        <v>193</v>
      </c>
      <c r="AK90" s="137" t="s">
        <v>193</v>
      </c>
      <c r="AL90" s="137">
        <v>0.497</v>
      </c>
      <c r="AM90" s="137">
        <v>0.497</v>
      </c>
      <c r="AN90" s="137" t="s">
        <v>314</v>
      </c>
      <c r="AO90" s="137" t="s">
        <v>193</v>
      </c>
      <c r="AP90" s="137" t="s">
        <v>193</v>
      </c>
      <c r="AQ90" s="137" t="s">
        <v>193</v>
      </c>
      <c r="AR90" s="137" t="s">
        <v>193</v>
      </c>
      <c r="AV90" s="1">
        <f t="shared" si="14"/>
        <v>2.4830000000000001</v>
      </c>
      <c r="AW90" s="1">
        <f t="shared" si="8"/>
        <v>2.484</v>
      </c>
      <c r="AX90" s="13">
        <f t="shared" si="12"/>
        <v>1.000402738622634</v>
      </c>
      <c r="BA90" s="12">
        <f t="shared" si="9"/>
        <v>0</v>
      </c>
      <c r="BB90" s="12">
        <f t="shared" si="13"/>
        <v>0</v>
      </c>
      <c r="BC90" s="12">
        <f t="shared" si="13"/>
        <v>0</v>
      </c>
      <c r="BD90" s="12">
        <f t="shared" si="13"/>
        <v>0</v>
      </c>
      <c r="BE90" s="12">
        <f t="shared" si="13"/>
        <v>0</v>
      </c>
      <c r="BF90" s="12">
        <f t="shared" si="10"/>
        <v>0</v>
      </c>
      <c r="BJ90" s="12" t="str">
        <f t="shared" si="11"/>
        <v/>
      </c>
      <c r="BK90" s="12">
        <f>VLOOKUP(B90,Kraftvärmeprod!$B$1:$BH$549,MATCH($BA$1,Kraftvärmeprod!$B$1:$CC$1,0),FALSE)</f>
        <v>0</v>
      </c>
    </row>
    <row r="91" spans="1:63" ht="15" customHeight="1" x14ac:dyDescent="0.25">
      <c r="A91" s="137" t="s">
        <v>315</v>
      </c>
      <c r="B91" s="137" t="s">
        <v>316</v>
      </c>
      <c r="C91" s="137">
        <v>2018</v>
      </c>
      <c r="D91" s="137">
        <v>14.164999999999999</v>
      </c>
      <c r="E91" s="137">
        <v>14.164999999999999</v>
      </c>
      <c r="F91" s="137" t="s">
        <v>193</v>
      </c>
      <c r="G91" s="137">
        <v>0.316</v>
      </c>
      <c r="H91" s="137" t="s">
        <v>193</v>
      </c>
      <c r="I91" s="137" t="s">
        <v>193</v>
      </c>
      <c r="J91" s="137" t="s">
        <v>193</v>
      </c>
      <c r="K91" s="137" t="s">
        <v>193</v>
      </c>
      <c r="L91" s="137" t="s">
        <v>193</v>
      </c>
      <c r="M91" s="137" t="s">
        <v>219</v>
      </c>
      <c r="N91" s="137">
        <v>13.849</v>
      </c>
      <c r="O91" s="137" t="s">
        <v>193</v>
      </c>
      <c r="P91" s="137" t="s">
        <v>193</v>
      </c>
      <c r="Q91" s="137" t="s">
        <v>193</v>
      </c>
      <c r="R91" s="137" t="s">
        <v>193</v>
      </c>
      <c r="S91" s="137" t="s">
        <v>193</v>
      </c>
      <c r="T91" s="137" t="s">
        <v>193</v>
      </c>
      <c r="U91" s="137" t="s">
        <v>193</v>
      </c>
      <c r="V91" s="137" t="s">
        <v>193</v>
      </c>
      <c r="W91" s="137" t="s">
        <v>193</v>
      </c>
      <c r="X91" s="137" t="s">
        <v>193</v>
      </c>
      <c r="Y91" s="137" t="s">
        <v>193</v>
      </c>
      <c r="Z91" s="137" t="s">
        <v>193</v>
      </c>
      <c r="AA91" s="137" t="s">
        <v>193</v>
      </c>
      <c r="AB91" s="137" t="s">
        <v>193</v>
      </c>
      <c r="AC91" s="137" t="s">
        <v>193</v>
      </c>
      <c r="AD91" s="137" t="s">
        <v>193</v>
      </c>
      <c r="AE91" s="137" t="s">
        <v>199</v>
      </c>
      <c r="AF91" s="137" t="s">
        <v>193</v>
      </c>
      <c r="AG91" s="137" t="s">
        <v>193</v>
      </c>
      <c r="AH91" s="137" t="s">
        <v>193</v>
      </c>
      <c r="AI91" s="137" t="s">
        <v>193</v>
      </c>
      <c r="AJ91" s="137" t="s">
        <v>193</v>
      </c>
      <c r="AK91" s="137" t="s">
        <v>193</v>
      </c>
      <c r="AL91" s="137" t="s">
        <v>193</v>
      </c>
      <c r="AM91" s="137" t="s">
        <v>193</v>
      </c>
      <c r="AN91" s="137" t="s">
        <v>219</v>
      </c>
      <c r="AO91" s="137" t="s">
        <v>193</v>
      </c>
      <c r="AP91" s="137" t="s">
        <v>193</v>
      </c>
      <c r="AQ91" s="137" t="s">
        <v>193</v>
      </c>
      <c r="AR91" s="137" t="s">
        <v>193</v>
      </c>
      <c r="AV91" s="1">
        <f t="shared" si="14"/>
        <v>14.165000000000001</v>
      </c>
      <c r="AW91" s="1">
        <f t="shared" si="8"/>
        <v>14.164999999999999</v>
      </c>
      <c r="AX91" s="13">
        <f t="shared" si="12"/>
        <v>0.99999999999999989</v>
      </c>
      <c r="BA91" s="12">
        <f t="shared" si="9"/>
        <v>0</v>
      </c>
      <c r="BB91" s="12">
        <f t="shared" si="13"/>
        <v>0</v>
      </c>
      <c r="BC91" s="12">
        <f t="shared" si="13"/>
        <v>0</v>
      </c>
      <c r="BD91" s="12">
        <f t="shared" si="13"/>
        <v>0</v>
      </c>
      <c r="BE91" s="12">
        <f t="shared" si="13"/>
        <v>0</v>
      </c>
      <c r="BF91" s="12">
        <f t="shared" si="10"/>
        <v>0</v>
      </c>
      <c r="BJ91" s="12" t="str">
        <f t="shared" si="11"/>
        <v/>
      </c>
      <c r="BK91" s="12">
        <f>VLOOKUP(B91,Kraftvärmeprod!$B$1:$BH$549,MATCH($BA$1,Kraftvärmeprod!$B$1:$CC$1,0),FALSE)</f>
        <v>0</v>
      </c>
    </row>
    <row r="92" spans="1:63" ht="15" customHeight="1" x14ac:dyDescent="0.25">
      <c r="A92" s="137" t="s">
        <v>315</v>
      </c>
      <c r="B92" s="137" t="s">
        <v>317</v>
      </c>
      <c r="C92" s="137">
        <v>2018</v>
      </c>
      <c r="D92" s="137">
        <v>0.28899999999999998</v>
      </c>
      <c r="E92" s="137">
        <v>0.28899999999999998</v>
      </c>
      <c r="F92" s="137" t="s">
        <v>193</v>
      </c>
      <c r="G92" s="137">
        <v>0.28899999999999998</v>
      </c>
      <c r="H92" s="137" t="s">
        <v>193</v>
      </c>
      <c r="I92" s="137" t="s">
        <v>193</v>
      </c>
      <c r="J92" s="137" t="s">
        <v>193</v>
      </c>
      <c r="K92" s="137" t="s">
        <v>193</v>
      </c>
      <c r="L92" s="137" t="s">
        <v>193</v>
      </c>
      <c r="M92" s="137" t="s">
        <v>219</v>
      </c>
      <c r="N92" s="137" t="s">
        <v>193</v>
      </c>
      <c r="O92" s="137" t="s">
        <v>193</v>
      </c>
      <c r="P92" s="137">
        <v>0</v>
      </c>
      <c r="Q92" s="137" t="s">
        <v>193</v>
      </c>
      <c r="R92" s="137" t="s">
        <v>193</v>
      </c>
      <c r="S92" s="137" t="s">
        <v>193</v>
      </c>
      <c r="T92" s="137" t="s">
        <v>193</v>
      </c>
      <c r="U92" s="137" t="s">
        <v>193</v>
      </c>
      <c r="V92" s="137" t="s">
        <v>193</v>
      </c>
      <c r="W92" s="137" t="s">
        <v>193</v>
      </c>
      <c r="X92" s="137" t="s">
        <v>193</v>
      </c>
      <c r="Y92" s="137" t="s">
        <v>193</v>
      </c>
      <c r="Z92" s="137" t="s">
        <v>193</v>
      </c>
      <c r="AA92" s="137" t="s">
        <v>193</v>
      </c>
      <c r="AB92" s="137" t="s">
        <v>193</v>
      </c>
      <c r="AC92" s="137" t="s">
        <v>193</v>
      </c>
      <c r="AD92" s="137" t="s">
        <v>193</v>
      </c>
      <c r="AE92" s="137" t="s">
        <v>199</v>
      </c>
      <c r="AF92" s="137" t="s">
        <v>193</v>
      </c>
      <c r="AG92" s="137" t="s">
        <v>193</v>
      </c>
      <c r="AH92" s="137" t="s">
        <v>193</v>
      </c>
      <c r="AI92" s="137" t="s">
        <v>193</v>
      </c>
      <c r="AJ92" s="137" t="s">
        <v>193</v>
      </c>
      <c r="AK92" s="137" t="s">
        <v>193</v>
      </c>
      <c r="AL92" s="137" t="s">
        <v>193</v>
      </c>
      <c r="AM92" s="137" t="s">
        <v>193</v>
      </c>
      <c r="AN92" s="137" t="s">
        <v>219</v>
      </c>
      <c r="AO92" s="137" t="s">
        <v>193</v>
      </c>
      <c r="AP92" s="137" t="s">
        <v>193</v>
      </c>
      <c r="AQ92" s="137" t="s">
        <v>193</v>
      </c>
      <c r="AR92" s="137" t="s">
        <v>193</v>
      </c>
      <c r="AV92" s="1">
        <f t="shared" si="14"/>
        <v>0.28899999999999998</v>
      </c>
      <c r="AW92" s="1">
        <f t="shared" si="8"/>
        <v>0.28899999999999998</v>
      </c>
      <c r="AX92" s="13">
        <f t="shared" si="12"/>
        <v>1</v>
      </c>
      <c r="BA92" s="12">
        <f t="shared" si="9"/>
        <v>0</v>
      </c>
      <c r="BB92" s="12">
        <f t="shared" si="13"/>
        <v>0</v>
      </c>
      <c r="BC92" s="12">
        <f t="shared" si="13"/>
        <v>0</v>
      </c>
      <c r="BD92" s="12">
        <f t="shared" si="13"/>
        <v>0</v>
      </c>
      <c r="BE92" s="12">
        <f t="shared" si="13"/>
        <v>0</v>
      </c>
      <c r="BF92" s="12">
        <f t="shared" si="10"/>
        <v>0</v>
      </c>
      <c r="BJ92" s="12" t="str">
        <f t="shared" si="11"/>
        <v/>
      </c>
      <c r="BK92" s="12">
        <f>VLOOKUP(B92,Kraftvärmeprod!$B$1:$BH$549,MATCH($BA$1,Kraftvärmeprod!$B$1:$CC$1,0),FALSE)</f>
        <v>0</v>
      </c>
    </row>
    <row r="93" spans="1:63" ht="15" customHeight="1" x14ac:dyDescent="0.25">
      <c r="A93" s="137" t="s">
        <v>315</v>
      </c>
      <c r="B93" s="137" t="s">
        <v>318</v>
      </c>
      <c r="C93" s="137">
        <v>2018</v>
      </c>
      <c r="D93" s="137">
        <v>17.369</v>
      </c>
      <c r="E93" s="137">
        <v>2.96</v>
      </c>
      <c r="F93" s="137" t="s">
        <v>193</v>
      </c>
      <c r="G93" s="137">
        <v>0.246</v>
      </c>
      <c r="H93" s="137" t="s">
        <v>193</v>
      </c>
      <c r="I93" s="137" t="s">
        <v>193</v>
      </c>
      <c r="J93" s="137" t="s">
        <v>193</v>
      </c>
      <c r="K93" s="137" t="s">
        <v>193</v>
      </c>
      <c r="L93" s="137" t="s">
        <v>193</v>
      </c>
      <c r="M93" s="137" t="s">
        <v>219</v>
      </c>
      <c r="N93" s="137" t="s">
        <v>193</v>
      </c>
      <c r="O93" s="137" t="s">
        <v>193</v>
      </c>
      <c r="P93" s="137" t="s">
        <v>193</v>
      </c>
      <c r="Q93" s="137" t="s">
        <v>193</v>
      </c>
      <c r="R93" s="137" t="s">
        <v>193</v>
      </c>
      <c r="S93" s="137" t="s">
        <v>193</v>
      </c>
      <c r="T93" s="137" t="s">
        <v>193</v>
      </c>
      <c r="U93" s="137" t="s">
        <v>193</v>
      </c>
      <c r="V93" s="137" t="s">
        <v>193</v>
      </c>
      <c r="W93" s="137" t="s">
        <v>193</v>
      </c>
      <c r="X93" s="137" t="s">
        <v>193</v>
      </c>
      <c r="Y93" s="137" t="s">
        <v>193</v>
      </c>
      <c r="Z93" s="137">
        <v>2.714</v>
      </c>
      <c r="AA93" s="137" t="s">
        <v>193</v>
      </c>
      <c r="AB93" s="137" t="s">
        <v>193</v>
      </c>
      <c r="AC93" s="137" t="s">
        <v>193</v>
      </c>
      <c r="AD93" s="137" t="s">
        <v>193</v>
      </c>
      <c r="AE93" s="137" t="s">
        <v>199</v>
      </c>
      <c r="AF93" s="137" t="s">
        <v>193</v>
      </c>
      <c r="AG93" s="137" t="s">
        <v>193</v>
      </c>
      <c r="AH93" s="137" t="s">
        <v>193</v>
      </c>
      <c r="AI93" s="137" t="s">
        <v>193</v>
      </c>
      <c r="AJ93" s="137" t="s">
        <v>193</v>
      </c>
      <c r="AK93" s="137" t="s">
        <v>193</v>
      </c>
      <c r="AL93" s="137" t="s">
        <v>193</v>
      </c>
      <c r="AM93" s="137" t="s">
        <v>193</v>
      </c>
      <c r="AN93" s="137" t="s">
        <v>53</v>
      </c>
      <c r="AO93" s="137" t="s">
        <v>193</v>
      </c>
      <c r="AP93" s="137" t="s">
        <v>193</v>
      </c>
      <c r="AQ93" s="137" t="s">
        <v>193</v>
      </c>
      <c r="AR93" s="137" t="s">
        <v>193</v>
      </c>
      <c r="AV93" s="1">
        <f t="shared" si="14"/>
        <v>2.96</v>
      </c>
      <c r="AW93" s="1">
        <f t="shared" si="8"/>
        <v>17.369</v>
      </c>
      <c r="AX93" s="13">
        <f t="shared" si="12"/>
        <v>5.8679054054054056</v>
      </c>
      <c r="BA93" s="12">
        <f t="shared" si="9"/>
        <v>0</v>
      </c>
      <c r="BB93" s="12">
        <f t="shared" si="13"/>
        <v>0</v>
      </c>
      <c r="BC93" s="12">
        <f t="shared" si="13"/>
        <v>0</v>
      </c>
      <c r="BD93" s="12">
        <f t="shared" si="13"/>
        <v>0</v>
      </c>
      <c r="BE93" s="12">
        <f t="shared" si="13"/>
        <v>0</v>
      </c>
      <c r="BF93" s="12">
        <f t="shared" si="10"/>
        <v>0</v>
      </c>
      <c r="BJ93" s="12" t="str">
        <f t="shared" si="11"/>
        <v/>
      </c>
      <c r="BK93" s="12">
        <f>VLOOKUP(B93,Kraftvärmeprod!$B$1:$BH$549,MATCH($BA$1,Kraftvärmeprod!$B$1:$CC$1,0),FALSE)</f>
        <v>0</v>
      </c>
    </row>
    <row r="94" spans="1:63" ht="15" customHeight="1" x14ac:dyDescent="0.25">
      <c r="A94" s="137" t="s">
        <v>315</v>
      </c>
      <c r="B94" s="137" t="s">
        <v>319</v>
      </c>
      <c r="C94" s="137">
        <v>2018</v>
      </c>
      <c r="D94" s="137">
        <v>192.809</v>
      </c>
      <c r="E94" s="137">
        <v>223.09899999999999</v>
      </c>
      <c r="F94" s="137" t="s">
        <v>193</v>
      </c>
      <c r="G94" s="137">
        <v>0</v>
      </c>
      <c r="H94" s="137" t="s">
        <v>193</v>
      </c>
      <c r="I94" s="137" t="s">
        <v>193</v>
      </c>
      <c r="J94" s="137" t="s">
        <v>193</v>
      </c>
      <c r="K94" s="137" t="s">
        <v>193</v>
      </c>
      <c r="L94" s="137" t="s">
        <v>193</v>
      </c>
      <c r="M94" s="137" t="s">
        <v>219</v>
      </c>
      <c r="N94" s="137">
        <v>82.260999999999996</v>
      </c>
      <c r="O94" s="137">
        <v>62.027999999999999</v>
      </c>
      <c r="P94" s="137">
        <v>3.3959999999999999</v>
      </c>
      <c r="Q94" s="137" t="s">
        <v>193</v>
      </c>
      <c r="R94" s="137" t="s">
        <v>193</v>
      </c>
      <c r="S94" s="137" t="s">
        <v>193</v>
      </c>
      <c r="T94" s="137" t="s">
        <v>193</v>
      </c>
      <c r="U94" s="137" t="s">
        <v>193</v>
      </c>
      <c r="V94" s="137" t="s">
        <v>193</v>
      </c>
      <c r="W94" s="137" t="s">
        <v>193</v>
      </c>
      <c r="X94" s="137" t="s">
        <v>193</v>
      </c>
      <c r="Y94" s="137" t="s">
        <v>193</v>
      </c>
      <c r="Z94" s="137">
        <v>8.907</v>
      </c>
      <c r="AA94" s="137" t="s">
        <v>193</v>
      </c>
      <c r="AB94" s="137" t="s">
        <v>193</v>
      </c>
      <c r="AC94" s="137" t="s">
        <v>193</v>
      </c>
      <c r="AD94" s="137" t="s">
        <v>193</v>
      </c>
      <c r="AE94" s="137" t="s">
        <v>199</v>
      </c>
      <c r="AF94" s="137" t="s">
        <v>193</v>
      </c>
      <c r="AG94" s="137">
        <v>1.03</v>
      </c>
      <c r="AH94" s="137">
        <v>33.462000000000003</v>
      </c>
      <c r="AI94" s="137">
        <v>32.015000000000001</v>
      </c>
      <c r="AJ94" s="137" t="s">
        <v>197</v>
      </c>
      <c r="AK94" s="137">
        <v>12.922000000000001</v>
      </c>
      <c r="AL94" s="137">
        <v>0</v>
      </c>
      <c r="AM94" s="137">
        <v>4.5999999999999999E-2</v>
      </c>
      <c r="AN94" s="137" t="s">
        <v>219</v>
      </c>
      <c r="AO94" s="137">
        <v>100</v>
      </c>
      <c r="AP94" s="137" t="s">
        <v>193</v>
      </c>
      <c r="AQ94" s="137" t="s">
        <v>193</v>
      </c>
      <c r="AR94" s="137" t="s">
        <v>193</v>
      </c>
      <c r="AV94" s="1">
        <f t="shared" si="14"/>
        <v>223.09899999999999</v>
      </c>
      <c r="AW94" s="1">
        <f t="shared" si="8"/>
        <v>192.809</v>
      </c>
      <c r="AX94" s="13">
        <f t="shared" si="12"/>
        <v>0.86423067786050145</v>
      </c>
      <c r="BA94" s="12">
        <f t="shared" si="9"/>
        <v>33.462000000000003</v>
      </c>
      <c r="BB94" s="12">
        <f t="shared" si="13"/>
        <v>33.462000000000003</v>
      </c>
      <c r="BC94" s="12">
        <f t="shared" si="13"/>
        <v>0</v>
      </c>
      <c r="BD94" s="12">
        <f t="shared" si="13"/>
        <v>0</v>
      </c>
      <c r="BE94" s="12">
        <f t="shared" si="13"/>
        <v>0</v>
      </c>
      <c r="BF94" s="12">
        <f t="shared" si="10"/>
        <v>0</v>
      </c>
      <c r="BJ94" s="12" t="str">
        <f t="shared" si="11"/>
        <v/>
      </c>
      <c r="BK94" s="12">
        <f>VLOOKUP(B94,Kraftvärmeprod!$B$1:$BH$549,MATCH($BA$1,Kraftvärmeprod!$B$1:$CC$1,0),FALSE)</f>
        <v>0</v>
      </c>
    </row>
    <row r="95" spans="1:63" ht="15" customHeight="1" x14ac:dyDescent="0.25">
      <c r="A95" s="137" t="s">
        <v>320</v>
      </c>
      <c r="B95" s="137" t="s">
        <v>321</v>
      </c>
      <c r="C95" s="137">
        <v>2018</v>
      </c>
      <c r="D95" s="137">
        <v>9.1999999999999993</v>
      </c>
      <c r="E95" s="137">
        <v>10.4</v>
      </c>
      <c r="F95" s="137" t="s">
        <v>193</v>
      </c>
      <c r="G95" s="137">
        <v>0.4</v>
      </c>
      <c r="H95" s="137" t="s">
        <v>193</v>
      </c>
      <c r="I95" s="137">
        <v>1.3</v>
      </c>
      <c r="J95" s="137" t="s">
        <v>193</v>
      </c>
      <c r="K95" s="137" t="s">
        <v>193</v>
      </c>
      <c r="L95" s="137" t="s">
        <v>193</v>
      </c>
      <c r="M95" s="137" t="s">
        <v>219</v>
      </c>
      <c r="N95" s="137" t="s">
        <v>193</v>
      </c>
      <c r="O95" s="137" t="s">
        <v>193</v>
      </c>
      <c r="P95" s="137" t="s">
        <v>193</v>
      </c>
      <c r="Q95" s="137" t="s">
        <v>193</v>
      </c>
      <c r="R95" s="137" t="s">
        <v>193</v>
      </c>
      <c r="S95" s="137" t="s">
        <v>193</v>
      </c>
      <c r="T95" s="137" t="s">
        <v>193</v>
      </c>
      <c r="U95" s="137">
        <v>8.6999999999999993</v>
      </c>
      <c r="V95" s="137" t="s">
        <v>193</v>
      </c>
      <c r="W95" s="137" t="s">
        <v>193</v>
      </c>
      <c r="X95" s="137" t="s">
        <v>193</v>
      </c>
      <c r="Y95" s="137" t="s">
        <v>193</v>
      </c>
      <c r="Z95" s="137" t="s">
        <v>193</v>
      </c>
      <c r="AA95" s="137" t="s">
        <v>193</v>
      </c>
      <c r="AB95" s="137" t="s">
        <v>193</v>
      </c>
      <c r="AC95" s="137" t="s">
        <v>193</v>
      </c>
      <c r="AD95" s="137" t="s">
        <v>193</v>
      </c>
      <c r="AE95" s="137" t="s">
        <v>199</v>
      </c>
      <c r="AF95" s="137" t="s">
        <v>193</v>
      </c>
      <c r="AG95" s="137" t="s">
        <v>193</v>
      </c>
      <c r="AH95" s="137" t="s">
        <v>193</v>
      </c>
      <c r="AI95" s="137" t="s">
        <v>193</v>
      </c>
      <c r="AJ95" s="137" t="s">
        <v>193</v>
      </c>
      <c r="AK95" s="137" t="s">
        <v>193</v>
      </c>
      <c r="AL95" s="137" t="s">
        <v>193</v>
      </c>
      <c r="AM95" s="137" t="s">
        <v>193</v>
      </c>
      <c r="AN95" s="137" t="s">
        <v>219</v>
      </c>
      <c r="AO95" s="137" t="s">
        <v>193</v>
      </c>
      <c r="AP95" s="137" t="s">
        <v>193</v>
      </c>
      <c r="AQ95" s="137" t="s">
        <v>193</v>
      </c>
      <c r="AR95" s="137" t="s">
        <v>193</v>
      </c>
      <c r="AV95" s="1">
        <f t="shared" si="14"/>
        <v>10.399999999999999</v>
      </c>
      <c r="AW95" s="1">
        <f t="shared" si="8"/>
        <v>9.1999999999999993</v>
      </c>
      <c r="AX95" s="13">
        <f t="shared" si="12"/>
        <v>0.88461538461538469</v>
      </c>
      <c r="BA95" s="12">
        <f t="shared" si="9"/>
        <v>0</v>
      </c>
      <c r="BB95" s="12">
        <f t="shared" si="13"/>
        <v>0</v>
      </c>
      <c r="BC95" s="12">
        <f t="shared" si="13"/>
        <v>0</v>
      </c>
      <c r="BD95" s="12">
        <f t="shared" si="13"/>
        <v>0</v>
      </c>
      <c r="BE95" s="12">
        <f t="shared" si="13"/>
        <v>0</v>
      </c>
      <c r="BF95" s="12">
        <f t="shared" si="10"/>
        <v>0</v>
      </c>
      <c r="BJ95" s="12" t="str">
        <f t="shared" si="11"/>
        <v/>
      </c>
      <c r="BK95" s="12">
        <f>VLOOKUP(B95,Kraftvärmeprod!$B$1:$BH$549,MATCH($BA$1,Kraftvärmeprod!$B$1:$CC$1,0),FALSE)</f>
        <v>22</v>
      </c>
    </row>
    <row r="96" spans="1:63" ht="15" customHeight="1" x14ac:dyDescent="0.25">
      <c r="A96" s="137" t="s">
        <v>322</v>
      </c>
      <c r="B96" s="137" t="s">
        <v>323</v>
      </c>
      <c r="C96" s="137">
        <v>2018</v>
      </c>
      <c r="D96" s="137">
        <v>0.50700000000000001</v>
      </c>
      <c r="E96" s="137">
        <v>0.80600000000000005</v>
      </c>
      <c r="F96" s="137" t="s">
        <v>193</v>
      </c>
      <c r="G96" s="137" t="s">
        <v>193</v>
      </c>
      <c r="H96" s="137" t="s">
        <v>193</v>
      </c>
      <c r="I96" s="137" t="s">
        <v>193</v>
      </c>
      <c r="J96" s="137" t="s">
        <v>193</v>
      </c>
      <c r="K96" s="137" t="s">
        <v>193</v>
      </c>
      <c r="L96" s="137" t="s">
        <v>193</v>
      </c>
      <c r="M96" s="137" t="s">
        <v>53</v>
      </c>
      <c r="N96" s="137" t="s">
        <v>193</v>
      </c>
      <c r="O96" s="137" t="s">
        <v>193</v>
      </c>
      <c r="P96" s="137" t="s">
        <v>193</v>
      </c>
      <c r="Q96" s="137" t="s">
        <v>193</v>
      </c>
      <c r="R96" s="137" t="s">
        <v>193</v>
      </c>
      <c r="S96" s="137" t="s">
        <v>193</v>
      </c>
      <c r="T96" s="137" t="s">
        <v>193</v>
      </c>
      <c r="U96" s="137" t="s">
        <v>193</v>
      </c>
      <c r="V96" s="137" t="s">
        <v>193</v>
      </c>
      <c r="W96" s="137" t="s">
        <v>193</v>
      </c>
      <c r="X96" s="137" t="s">
        <v>193</v>
      </c>
      <c r="Y96" s="137" t="s">
        <v>193</v>
      </c>
      <c r="Z96" s="137">
        <v>0.80600000000000005</v>
      </c>
      <c r="AA96" s="137" t="s">
        <v>193</v>
      </c>
      <c r="AB96" s="137" t="s">
        <v>193</v>
      </c>
      <c r="AC96" s="137" t="s">
        <v>193</v>
      </c>
      <c r="AD96" s="137" t="s">
        <v>193</v>
      </c>
      <c r="AE96" s="137" t="s">
        <v>53</v>
      </c>
      <c r="AF96" s="137" t="s">
        <v>193</v>
      </c>
      <c r="AG96" s="137" t="s">
        <v>193</v>
      </c>
      <c r="AH96" s="137" t="s">
        <v>193</v>
      </c>
      <c r="AI96" s="137" t="s">
        <v>193</v>
      </c>
      <c r="AJ96" s="137" t="s">
        <v>193</v>
      </c>
      <c r="AK96" s="137" t="s">
        <v>193</v>
      </c>
      <c r="AL96" s="137" t="s">
        <v>193</v>
      </c>
      <c r="AM96" s="137" t="s">
        <v>193</v>
      </c>
      <c r="AN96" s="137" t="s">
        <v>53</v>
      </c>
      <c r="AO96" s="137" t="s">
        <v>193</v>
      </c>
      <c r="AP96" s="137" t="s">
        <v>193</v>
      </c>
      <c r="AQ96" s="137" t="s">
        <v>193</v>
      </c>
      <c r="AR96" s="137" t="s">
        <v>193</v>
      </c>
      <c r="AV96" s="1">
        <f t="shared" si="14"/>
        <v>0.80600000000000005</v>
      </c>
      <c r="AW96" s="1">
        <f t="shared" si="8"/>
        <v>0.50700000000000001</v>
      </c>
      <c r="AX96" s="13">
        <f t="shared" si="12"/>
        <v>0.62903225806451613</v>
      </c>
      <c r="BA96" s="12">
        <f t="shared" si="9"/>
        <v>0</v>
      </c>
      <c r="BB96" s="12">
        <f t="shared" si="13"/>
        <v>0</v>
      </c>
      <c r="BC96" s="12">
        <f t="shared" si="13"/>
        <v>0</v>
      </c>
      <c r="BD96" s="12">
        <f t="shared" si="13"/>
        <v>0</v>
      </c>
      <c r="BE96" s="12">
        <f t="shared" si="13"/>
        <v>0</v>
      </c>
      <c r="BF96" s="12">
        <f t="shared" si="10"/>
        <v>0</v>
      </c>
      <c r="BJ96" s="12" t="str">
        <f t="shared" si="11"/>
        <v/>
      </c>
      <c r="BK96" s="12">
        <f>VLOOKUP(B96,Kraftvärmeprod!$B$1:$BH$549,MATCH($BA$1,Kraftvärmeprod!$B$1:$CC$1,0),FALSE)</f>
        <v>84.256</v>
      </c>
    </row>
    <row r="97" spans="1:63" ht="15" customHeight="1" x14ac:dyDescent="0.25">
      <c r="A97" s="137" t="s">
        <v>324</v>
      </c>
      <c r="B97" s="137" t="s">
        <v>325</v>
      </c>
      <c r="C97" s="137">
        <v>2018</v>
      </c>
      <c r="D97" s="137" t="s">
        <v>193</v>
      </c>
      <c r="E97" s="137" t="s">
        <v>193</v>
      </c>
      <c r="F97" s="137" t="s">
        <v>193</v>
      </c>
      <c r="G97" s="137" t="s">
        <v>193</v>
      </c>
      <c r="H97" s="137" t="s">
        <v>193</v>
      </c>
      <c r="I97" s="137" t="s">
        <v>193</v>
      </c>
      <c r="J97" s="137" t="s">
        <v>193</v>
      </c>
      <c r="K97" s="137" t="s">
        <v>193</v>
      </c>
      <c r="L97" s="137" t="s">
        <v>193</v>
      </c>
      <c r="M97" s="137" t="s">
        <v>219</v>
      </c>
      <c r="N97" s="137" t="s">
        <v>193</v>
      </c>
      <c r="O97" s="137" t="s">
        <v>193</v>
      </c>
      <c r="P97" s="137" t="s">
        <v>193</v>
      </c>
      <c r="Q97" s="137" t="s">
        <v>193</v>
      </c>
      <c r="R97" s="137" t="s">
        <v>193</v>
      </c>
      <c r="S97" s="137" t="s">
        <v>193</v>
      </c>
      <c r="T97" s="137" t="s">
        <v>193</v>
      </c>
      <c r="U97" s="137" t="s">
        <v>193</v>
      </c>
      <c r="V97" s="137" t="s">
        <v>193</v>
      </c>
      <c r="W97" s="137" t="s">
        <v>193</v>
      </c>
      <c r="X97" s="137" t="s">
        <v>193</v>
      </c>
      <c r="Y97" s="137" t="s">
        <v>193</v>
      </c>
      <c r="Z97" s="137" t="s">
        <v>193</v>
      </c>
      <c r="AA97" s="137" t="s">
        <v>193</v>
      </c>
      <c r="AB97" s="137" t="s">
        <v>193</v>
      </c>
      <c r="AC97" s="137" t="s">
        <v>193</v>
      </c>
      <c r="AD97" s="137" t="s">
        <v>193</v>
      </c>
      <c r="AE97" s="137" t="s">
        <v>199</v>
      </c>
      <c r="AF97" s="137" t="s">
        <v>193</v>
      </c>
      <c r="AG97" s="137" t="s">
        <v>193</v>
      </c>
      <c r="AH97" s="137" t="s">
        <v>193</v>
      </c>
      <c r="AI97" s="137" t="s">
        <v>193</v>
      </c>
      <c r="AJ97" s="137" t="s">
        <v>193</v>
      </c>
      <c r="AK97" s="137" t="s">
        <v>193</v>
      </c>
      <c r="AL97" s="137" t="s">
        <v>193</v>
      </c>
      <c r="AM97" s="137" t="s">
        <v>193</v>
      </c>
      <c r="AN97" s="137" t="s">
        <v>219</v>
      </c>
      <c r="AO97" s="137" t="s">
        <v>193</v>
      </c>
      <c r="AP97" s="137" t="s">
        <v>193</v>
      </c>
      <c r="AQ97" s="137" t="s">
        <v>193</v>
      </c>
      <c r="AR97" s="137" t="s">
        <v>193</v>
      </c>
      <c r="AV97" s="1">
        <f t="shared" si="14"/>
        <v>0</v>
      </c>
      <c r="AW97" s="1">
        <f t="shared" si="8"/>
        <v>0</v>
      </c>
      <c r="AX97" s="13" t="str">
        <f t="shared" si="12"/>
        <v/>
      </c>
      <c r="BA97" s="12">
        <f t="shared" si="9"/>
        <v>0</v>
      </c>
      <c r="BB97" s="12">
        <f t="shared" si="13"/>
        <v>0</v>
      </c>
      <c r="BC97" s="12">
        <f t="shared" si="13"/>
        <v>0</v>
      </c>
      <c r="BD97" s="12">
        <f t="shared" si="13"/>
        <v>0</v>
      </c>
      <c r="BE97" s="12">
        <f t="shared" si="13"/>
        <v>0</v>
      </c>
      <c r="BF97" s="12">
        <f t="shared" si="10"/>
        <v>0</v>
      </c>
      <c r="BJ97" s="12" t="str">
        <f t="shared" si="11"/>
        <v/>
      </c>
      <c r="BK97" s="12">
        <f>VLOOKUP(B97,Kraftvärmeprod!$B$1:$BH$549,MATCH($BA$1,Kraftvärmeprod!$B$1:$CC$1,0),FALSE)</f>
        <v>0</v>
      </c>
    </row>
    <row r="98" spans="1:63" ht="15" customHeight="1" x14ac:dyDescent="0.25">
      <c r="A98" s="137" t="s">
        <v>324</v>
      </c>
      <c r="B98" s="137" t="s">
        <v>326</v>
      </c>
      <c r="C98" s="137">
        <v>2018</v>
      </c>
      <c r="D98" s="137">
        <v>616.71</v>
      </c>
      <c r="E98" s="137">
        <v>983.19500000000005</v>
      </c>
      <c r="F98" s="137" t="s">
        <v>193</v>
      </c>
      <c r="G98" s="137">
        <v>1.2010000000000001</v>
      </c>
      <c r="H98" s="137" t="s">
        <v>193</v>
      </c>
      <c r="I98" s="137">
        <v>4.4450000000000003</v>
      </c>
      <c r="J98" s="137">
        <v>0</v>
      </c>
      <c r="K98" s="137" t="s">
        <v>193</v>
      </c>
      <c r="L98" s="137" t="s">
        <v>193</v>
      </c>
      <c r="M98" s="137" t="s">
        <v>219</v>
      </c>
      <c r="N98" s="137" t="s">
        <v>193</v>
      </c>
      <c r="O98" s="137" t="s">
        <v>193</v>
      </c>
      <c r="P98" s="137" t="s">
        <v>193</v>
      </c>
      <c r="Q98" s="137" t="s">
        <v>193</v>
      </c>
      <c r="R98" s="137" t="s">
        <v>193</v>
      </c>
      <c r="S98" s="137">
        <v>0</v>
      </c>
      <c r="T98" s="137" t="s">
        <v>193</v>
      </c>
      <c r="U98" s="137">
        <v>144.34100000000001</v>
      </c>
      <c r="V98" s="137" t="s">
        <v>193</v>
      </c>
      <c r="W98" s="137" t="s">
        <v>193</v>
      </c>
      <c r="X98" s="137" t="s">
        <v>193</v>
      </c>
      <c r="Y98" s="137" t="s">
        <v>193</v>
      </c>
      <c r="Z98" s="137">
        <v>2.621</v>
      </c>
      <c r="AA98" s="137" t="s">
        <v>193</v>
      </c>
      <c r="AB98" s="137" t="s">
        <v>193</v>
      </c>
      <c r="AC98" s="137" t="s">
        <v>193</v>
      </c>
      <c r="AD98" s="137" t="s">
        <v>193</v>
      </c>
      <c r="AE98" s="137" t="s">
        <v>327</v>
      </c>
      <c r="AF98" s="137">
        <v>37</v>
      </c>
      <c r="AG98" s="137">
        <v>67.346999999999994</v>
      </c>
      <c r="AH98" s="137">
        <v>349.41199999999998</v>
      </c>
      <c r="AI98" s="137">
        <v>413.82799999999997</v>
      </c>
      <c r="AJ98" s="137" t="s">
        <v>240</v>
      </c>
      <c r="AK98" s="137">
        <v>121.14400000000001</v>
      </c>
      <c r="AL98" s="137" t="s">
        <v>193</v>
      </c>
      <c r="AM98" s="137" t="s">
        <v>193</v>
      </c>
      <c r="AN98" s="137" t="s">
        <v>53</v>
      </c>
      <c r="AO98" s="137" t="s">
        <v>193</v>
      </c>
      <c r="AP98" s="137">
        <v>98.83</v>
      </c>
      <c r="AQ98" s="137">
        <v>1.17</v>
      </c>
      <c r="AR98" s="137" t="s">
        <v>193</v>
      </c>
      <c r="AV98" s="1">
        <f t="shared" si="14"/>
        <v>983.19500000000005</v>
      </c>
      <c r="AW98" s="1">
        <f t="shared" si="8"/>
        <v>616.71</v>
      </c>
      <c r="AX98" s="13">
        <f t="shared" si="12"/>
        <v>0.62725095225260508</v>
      </c>
      <c r="BA98" s="12">
        <f t="shared" si="9"/>
        <v>349.41199999999998</v>
      </c>
      <c r="BB98" s="12">
        <f t="shared" si="13"/>
        <v>0</v>
      </c>
      <c r="BC98" s="12">
        <f t="shared" si="13"/>
        <v>345.32387959999994</v>
      </c>
      <c r="BD98" s="12">
        <f t="shared" si="13"/>
        <v>4.0881203999999993</v>
      </c>
      <c r="BE98" s="12">
        <f t="shared" si="13"/>
        <v>0</v>
      </c>
      <c r="BF98" s="110">
        <f>MAX(BA98-SUM(BB98:BE98),0)</f>
        <v>5.6843418860808015E-14</v>
      </c>
      <c r="BJ98" s="12" t="str">
        <f t="shared" si="11"/>
        <v/>
      </c>
      <c r="BK98" s="12">
        <f>VLOOKUP(B98,Kraftvärmeprod!$B$1:$BH$549,MATCH($BA$1,Kraftvärmeprod!$B$1:$CC$1,0),FALSE)</f>
        <v>37.561999999999998</v>
      </c>
    </row>
    <row r="99" spans="1:63" ht="15" customHeight="1" x14ac:dyDescent="0.25">
      <c r="A99" s="137" t="s">
        <v>324</v>
      </c>
      <c r="B99" s="137" t="s">
        <v>328</v>
      </c>
      <c r="C99" s="137">
        <v>2018</v>
      </c>
      <c r="D99" s="137">
        <v>0</v>
      </c>
      <c r="E99" s="137" t="s">
        <v>193</v>
      </c>
      <c r="F99" s="137" t="s">
        <v>193</v>
      </c>
      <c r="G99" s="137" t="s">
        <v>193</v>
      </c>
      <c r="H99" s="137" t="s">
        <v>193</v>
      </c>
      <c r="I99" s="137" t="s">
        <v>193</v>
      </c>
      <c r="J99" s="137" t="s">
        <v>193</v>
      </c>
      <c r="K99" s="137" t="s">
        <v>193</v>
      </c>
      <c r="L99" s="137" t="s">
        <v>193</v>
      </c>
      <c r="M99" s="137" t="s">
        <v>219</v>
      </c>
      <c r="N99" s="137" t="s">
        <v>193</v>
      </c>
      <c r="O99" s="137" t="s">
        <v>193</v>
      </c>
      <c r="P99" s="137" t="s">
        <v>193</v>
      </c>
      <c r="Q99" s="137" t="s">
        <v>193</v>
      </c>
      <c r="R99" s="137" t="s">
        <v>193</v>
      </c>
      <c r="S99" s="137" t="s">
        <v>193</v>
      </c>
      <c r="T99" s="137" t="s">
        <v>193</v>
      </c>
      <c r="U99" s="137" t="s">
        <v>193</v>
      </c>
      <c r="V99" s="137" t="s">
        <v>193</v>
      </c>
      <c r="W99" s="137" t="s">
        <v>193</v>
      </c>
      <c r="X99" s="137" t="s">
        <v>193</v>
      </c>
      <c r="Y99" s="137" t="s">
        <v>193</v>
      </c>
      <c r="Z99" s="137" t="s">
        <v>193</v>
      </c>
      <c r="AA99" s="137" t="s">
        <v>193</v>
      </c>
      <c r="AB99" s="137" t="s">
        <v>193</v>
      </c>
      <c r="AC99" s="137" t="s">
        <v>193</v>
      </c>
      <c r="AD99" s="137" t="s">
        <v>193</v>
      </c>
      <c r="AE99" s="137" t="s">
        <v>199</v>
      </c>
      <c r="AF99" s="137" t="s">
        <v>193</v>
      </c>
      <c r="AG99" s="137" t="s">
        <v>193</v>
      </c>
      <c r="AH99" s="137" t="s">
        <v>193</v>
      </c>
      <c r="AI99" s="137" t="s">
        <v>193</v>
      </c>
      <c r="AJ99" s="137" t="s">
        <v>240</v>
      </c>
      <c r="AK99" s="137">
        <v>0</v>
      </c>
      <c r="AL99" s="137" t="s">
        <v>193</v>
      </c>
      <c r="AM99" s="137" t="s">
        <v>193</v>
      </c>
      <c r="AN99" s="137" t="s">
        <v>219</v>
      </c>
      <c r="AO99" s="137" t="s">
        <v>193</v>
      </c>
      <c r="AP99" s="137" t="s">
        <v>193</v>
      </c>
      <c r="AQ99" s="137" t="s">
        <v>193</v>
      </c>
      <c r="AR99" s="137" t="s">
        <v>193</v>
      </c>
      <c r="AV99" s="1">
        <f t="shared" si="14"/>
        <v>0</v>
      </c>
      <c r="AW99" s="1">
        <f t="shared" si="8"/>
        <v>0</v>
      </c>
      <c r="AX99" s="13" t="str">
        <f t="shared" si="12"/>
        <v/>
      </c>
      <c r="BA99" s="12">
        <f t="shared" si="9"/>
        <v>0</v>
      </c>
      <c r="BB99" s="12">
        <f t="shared" si="13"/>
        <v>0</v>
      </c>
      <c r="BC99" s="12">
        <f t="shared" si="13"/>
        <v>0</v>
      </c>
      <c r="BD99" s="12">
        <f t="shared" si="13"/>
        <v>0</v>
      </c>
      <c r="BE99" s="12">
        <f t="shared" si="13"/>
        <v>0</v>
      </c>
      <c r="BF99" s="12">
        <f t="shared" si="10"/>
        <v>0</v>
      </c>
      <c r="BJ99" s="12" t="str">
        <f t="shared" si="11"/>
        <v/>
      </c>
      <c r="BK99" s="12">
        <f>VLOOKUP(B99,Kraftvärmeprod!$B$1:$BH$549,MATCH($BA$1,Kraftvärmeprod!$B$1:$CC$1,0),FALSE)</f>
        <v>41.618000000000002</v>
      </c>
    </row>
    <row r="100" spans="1:63" ht="15" customHeight="1" x14ac:dyDescent="0.25">
      <c r="A100" s="137" t="s">
        <v>324</v>
      </c>
      <c r="B100" s="137" t="s">
        <v>324</v>
      </c>
      <c r="C100" s="137">
        <v>2018</v>
      </c>
      <c r="D100" s="137" t="s">
        <v>193</v>
      </c>
      <c r="E100" s="137" t="s">
        <v>193</v>
      </c>
      <c r="F100" s="137" t="s">
        <v>193</v>
      </c>
      <c r="G100" s="137" t="s">
        <v>193</v>
      </c>
      <c r="H100" s="137" t="s">
        <v>193</v>
      </c>
      <c r="I100" s="137" t="s">
        <v>193</v>
      </c>
      <c r="J100" s="137" t="s">
        <v>193</v>
      </c>
      <c r="K100" s="137" t="s">
        <v>193</v>
      </c>
      <c r="L100" s="137" t="s">
        <v>193</v>
      </c>
      <c r="M100" s="137" t="s">
        <v>219</v>
      </c>
      <c r="N100" s="137" t="s">
        <v>193</v>
      </c>
      <c r="O100" s="137" t="s">
        <v>193</v>
      </c>
      <c r="P100" s="137" t="s">
        <v>193</v>
      </c>
      <c r="Q100" s="137" t="s">
        <v>193</v>
      </c>
      <c r="R100" s="137" t="s">
        <v>193</v>
      </c>
      <c r="S100" s="137" t="s">
        <v>193</v>
      </c>
      <c r="T100" s="137" t="s">
        <v>193</v>
      </c>
      <c r="U100" s="137" t="s">
        <v>193</v>
      </c>
      <c r="V100" s="137" t="s">
        <v>193</v>
      </c>
      <c r="W100" s="137" t="s">
        <v>193</v>
      </c>
      <c r="X100" s="137" t="s">
        <v>193</v>
      </c>
      <c r="Y100" s="137" t="s">
        <v>193</v>
      </c>
      <c r="Z100" s="137" t="s">
        <v>193</v>
      </c>
      <c r="AA100" s="137" t="s">
        <v>193</v>
      </c>
      <c r="AB100" s="137" t="s">
        <v>193</v>
      </c>
      <c r="AC100" s="137" t="s">
        <v>193</v>
      </c>
      <c r="AD100" s="137" t="s">
        <v>193</v>
      </c>
      <c r="AE100" s="137" t="s">
        <v>199</v>
      </c>
      <c r="AF100" s="137" t="s">
        <v>193</v>
      </c>
      <c r="AG100" s="137" t="s">
        <v>193</v>
      </c>
      <c r="AH100" s="137" t="s">
        <v>193</v>
      </c>
      <c r="AI100" s="137" t="s">
        <v>193</v>
      </c>
      <c r="AJ100" s="137" t="s">
        <v>193</v>
      </c>
      <c r="AK100" s="137" t="s">
        <v>193</v>
      </c>
      <c r="AL100" s="137" t="s">
        <v>193</v>
      </c>
      <c r="AM100" s="137" t="s">
        <v>193</v>
      </c>
      <c r="AN100" s="137" t="s">
        <v>219</v>
      </c>
      <c r="AO100" s="137" t="s">
        <v>193</v>
      </c>
      <c r="AP100" s="137" t="s">
        <v>193</v>
      </c>
      <c r="AQ100" s="137" t="s">
        <v>193</v>
      </c>
      <c r="AR100" s="137" t="s">
        <v>193</v>
      </c>
      <c r="AV100" s="1">
        <f t="shared" si="14"/>
        <v>0</v>
      </c>
      <c r="AW100" s="1">
        <f t="shared" si="8"/>
        <v>0</v>
      </c>
      <c r="AX100" s="13" t="str">
        <f t="shared" si="12"/>
        <v/>
      </c>
      <c r="BA100" s="12">
        <f t="shared" si="9"/>
        <v>0</v>
      </c>
      <c r="BB100" s="12">
        <f t="shared" si="13"/>
        <v>0</v>
      </c>
      <c r="BC100" s="12">
        <f t="shared" si="13"/>
        <v>0</v>
      </c>
      <c r="BD100" s="12">
        <f t="shared" si="13"/>
        <v>0</v>
      </c>
      <c r="BE100" s="12">
        <f t="shared" si="13"/>
        <v>0</v>
      </c>
      <c r="BF100" s="12">
        <f t="shared" si="10"/>
        <v>0</v>
      </c>
      <c r="BJ100" s="12" t="str">
        <f t="shared" si="11"/>
        <v/>
      </c>
      <c r="BK100" s="12">
        <f>VLOOKUP(B100,Kraftvärmeprod!$B$1:$BH$549,MATCH($BA$1,Kraftvärmeprod!$B$1:$CC$1,0),FALSE)</f>
        <v>0</v>
      </c>
    </row>
    <row r="101" spans="1:63" ht="15" customHeight="1" x14ac:dyDescent="0.25">
      <c r="A101" s="137" t="s">
        <v>324</v>
      </c>
      <c r="B101" s="137" t="s">
        <v>329</v>
      </c>
      <c r="C101" s="137">
        <v>2018</v>
      </c>
      <c r="D101" s="137" t="s">
        <v>53</v>
      </c>
      <c r="E101" s="137" t="s">
        <v>53</v>
      </c>
      <c r="F101" s="137" t="s">
        <v>53</v>
      </c>
      <c r="G101" s="137" t="s">
        <v>53</v>
      </c>
      <c r="H101" s="137" t="s">
        <v>53</v>
      </c>
      <c r="I101" s="137" t="s">
        <v>53</v>
      </c>
      <c r="J101" s="137" t="s">
        <v>53</v>
      </c>
      <c r="K101" s="137" t="s">
        <v>53</v>
      </c>
      <c r="L101" s="137" t="s">
        <v>53</v>
      </c>
      <c r="M101" s="137" t="s">
        <v>53</v>
      </c>
      <c r="N101" s="137" t="s">
        <v>53</v>
      </c>
      <c r="O101" s="137" t="s">
        <v>53</v>
      </c>
      <c r="P101" s="137" t="s">
        <v>53</v>
      </c>
      <c r="Q101" s="137" t="s">
        <v>53</v>
      </c>
      <c r="R101" s="137" t="s">
        <v>53</v>
      </c>
      <c r="S101" s="137" t="s">
        <v>53</v>
      </c>
      <c r="T101" s="137" t="s">
        <v>53</v>
      </c>
      <c r="U101" s="137" t="s">
        <v>53</v>
      </c>
      <c r="V101" s="137" t="s">
        <v>53</v>
      </c>
      <c r="W101" s="137" t="s">
        <v>53</v>
      </c>
      <c r="X101" s="137" t="s">
        <v>53</v>
      </c>
      <c r="Y101" s="137" t="s">
        <v>53</v>
      </c>
      <c r="Z101" s="137" t="s">
        <v>53</v>
      </c>
      <c r="AA101" s="137" t="s">
        <v>53</v>
      </c>
      <c r="AB101" s="137" t="s">
        <v>53</v>
      </c>
      <c r="AC101" s="137" t="s">
        <v>53</v>
      </c>
      <c r="AD101" s="137" t="s">
        <v>53</v>
      </c>
      <c r="AE101" s="137" t="s">
        <v>53</v>
      </c>
      <c r="AF101" s="137" t="s">
        <v>53</v>
      </c>
      <c r="AG101" s="137" t="s">
        <v>53</v>
      </c>
      <c r="AH101" s="137" t="s">
        <v>53</v>
      </c>
      <c r="AI101" s="137" t="s">
        <v>53</v>
      </c>
      <c r="AJ101" s="137" t="s">
        <v>53</v>
      </c>
      <c r="AK101" s="137" t="s">
        <v>53</v>
      </c>
      <c r="AL101" s="137" t="s">
        <v>53</v>
      </c>
      <c r="AM101" s="137" t="s">
        <v>53</v>
      </c>
      <c r="AN101" s="137" t="s">
        <v>53</v>
      </c>
      <c r="AO101" s="137" t="s">
        <v>53</v>
      </c>
      <c r="AP101" s="137" t="s">
        <v>53</v>
      </c>
      <c r="AQ101" s="137" t="s">
        <v>53</v>
      </c>
      <c r="AR101" s="137" t="s">
        <v>53</v>
      </c>
      <c r="AV101" s="1">
        <f t="shared" si="14"/>
        <v>0</v>
      </c>
      <c r="AW101" s="1">
        <f t="shared" si="8"/>
        <v>0</v>
      </c>
      <c r="AX101" s="13" t="str">
        <f t="shared" si="12"/>
        <v/>
      </c>
      <c r="BA101" s="12">
        <f t="shared" si="9"/>
        <v>0</v>
      </c>
      <c r="BB101" s="12">
        <f t="shared" si="13"/>
        <v>0</v>
      </c>
      <c r="BC101" s="12">
        <f t="shared" si="13"/>
        <v>0</v>
      </c>
      <c r="BD101" s="12">
        <f t="shared" si="13"/>
        <v>0</v>
      </c>
      <c r="BE101" s="12">
        <f t="shared" si="13"/>
        <v>0</v>
      </c>
      <c r="BF101" s="12">
        <f t="shared" si="10"/>
        <v>0</v>
      </c>
      <c r="BJ101" s="12" t="str">
        <f t="shared" si="11"/>
        <v/>
      </c>
      <c r="BK101" s="12">
        <f>VLOOKUP(B101,Kraftvärmeprod!$B$1:$BH$549,MATCH($BA$1,Kraftvärmeprod!$B$1:$CC$1,0),FALSE)</f>
        <v>0</v>
      </c>
    </row>
    <row r="102" spans="1:63" ht="15" customHeight="1" x14ac:dyDescent="0.25">
      <c r="A102" s="137" t="s">
        <v>324</v>
      </c>
      <c r="B102" s="137" t="s">
        <v>330</v>
      </c>
      <c r="C102" s="137">
        <v>2018</v>
      </c>
      <c r="D102" s="137" t="s">
        <v>193</v>
      </c>
      <c r="E102" s="137" t="s">
        <v>193</v>
      </c>
      <c r="F102" s="137" t="s">
        <v>193</v>
      </c>
      <c r="G102" s="137" t="s">
        <v>193</v>
      </c>
      <c r="H102" s="137" t="s">
        <v>193</v>
      </c>
      <c r="I102" s="137" t="s">
        <v>193</v>
      </c>
      <c r="J102" s="137" t="s">
        <v>193</v>
      </c>
      <c r="K102" s="137" t="s">
        <v>193</v>
      </c>
      <c r="L102" s="137" t="s">
        <v>193</v>
      </c>
      <c r="M102" s="137" t="s">
        <v>219</v>
      </c>
      <c r="N102" s="137" t="s">
        <v>193</v>
      </c>
      <c r="O102" s="137" t="s">
        <v>193</v>
      </c>
      <c r="P102" s="137" t="s">
        <v>193</v>
      </c>
      <c r="Q102" s="137" t="s">
        <v>193</v>
      </c>
      <c r="R102" s="137" t="s">
        <v>193</v>
      </c>
      <c r="S102" s="137" t="s">
        <v>193</v>
      </c>
      <c r="T102" s="137" t="s">
        <v>193</v>
      </c>
      <c r="U102" s="137" t="s">
        <v>193</v>
      </c>
      <c r="V102" s="137" t="s">
        <v>193</v>
      </c>
      <c r="W102" s="137" t="s">
        <v>193</v>
      </c>
      <c r="X102" s="137" t="s">
        <v>193</v>
      </c>
      <c r="Y102" s="137" t="s">
        <v>193</v>
      </c>
      <c r="Z102" s="137" t="s">
        <v>193</v>
      </c>
      <c r="AA102" s="137" t="s">
        <v>193</v>
      </c>
      <c r="AB102" s="137" t="s">
        <v>193</v>
      </c>
      <c r="AC102" s="137" t="s">
        <v>193</v>
      </c>
      <c r="AD102" s="137" t="s">
        <v>193</v>
      </c>
      <c r="AE102" s="137" t="s">
        <v>199</v>
      </c>
      <c r="AF102" s="137" t="s">
        <v>193</v>
      </c>
      <c r="AG102" s="137" t="s">
        <v>193</v>
      </c>
      <c r="AH102" s="137" t="s">
        <v>193</v>
      </c>
      <c r="AI102" s="137" t="s">
        <v>193</v>
      </c>
      <c r="AJ102" s="137" t="s">
        <v>193</v>
      </c>
      <c r="AK102" s="137" t="s">
        <v>193</v>
      </c>
      <c r="AL102" s="137" t="s">
        <v>193</v>
      </c>
      <c r="AM102" s="137" t="s">
        <v>193</v>
      </c>
      <c r="AN102" s="137" t="s">
        <v>219</v>
      </c>
      <c r="AO102" s="137" t="s">
        <v>193</v>
      </c>
      <c r="AP102" s="137" t="s">
        <v>193</v>
      </c>
      <c r="AQ102" s="137" t="s">
        <v>193</v>
      </c>
      <c r="AR102" s="137" t="s">
        <v>193</v>
      </c>
      <c r="AV102" s="1">
        <f t="shared" si="14"/>
        <v>0</v>
      </c>
      <c r="AW102" s="1">
        <f t="shared" si="8"/>
        <v>0</v>
      </c>
      <c r="AX102" s="13" t="str">
        <f t="shared" si="12"/>
        <v/>
      </c>
      <c r="BA102" s="12">
        <f t="shared" si="9"/>
        <v>0</v>
      </c>
      <c r="BB102" s="12">
        <f t="shared" si="13"/>
        <v>0</v>
      </c>
      <c r="BC102" s="12">
        <f t="shared" si="13"/>
        <v>0</v>
      </c>
      <c r="BD102" s="12">
        <f t="shared" si="13"/>
        <v>0</v>
      </c>
      <c r="BE102" s="12">
        <f t="shared" si="13"/>
        <v>0</v>
      </c>
      <c r="BF102" s="12">
        <f t="shared" si="10"/>
        <v>0</v>
      </c>
      <c r="BJ102" s="12" t="str">
        <f t="shared" si="11"/>
        <v/>
      </c>
      <c r="BK102" s="12">
        <f>VLOOKUP(B102,Kraftvärmeprod!$B$1:$BH$549,MATCH($BA$1,Kraftvärmeprod!$B$1:$CC$1,0),FALSE)</f>
        <v>0</v>
      </c>
    </row>
    <row r="103" spans="1:63" ht="15" customHeight="1" x14ac:dyDescent="0.25">
      <c r="A103" s="137" t="s">
        <v>324</v>
      </c>
      <c r="B103" s="137" t="s">
        <v>331</v>
      </c>
      <c r="C103" s="137">
        <v>2018</v>
      </c>
      <c r="D103" s="137" t="s">
        <v>193</v>
      </c>
      <c r="E103" s="137" t="s">
        <v>193</v>
      </c>
      <c r="F103" s="137" t="s">
        <v>193</v>
      </c>
      <c r="G103" s="137" t="s">
        <v>193</v>
      </c>
      <c r="H103" s="137" t="s">
        <v>193</v>
      </c>
      <c r="I103" s="137" t="s">
        <v>193</v>
      </c>
      <c r="J103" s="137" t="s">
        <v>193</v>
      </c>
      <c r="K103" s="137" t="s">
        <v>193</v>
      </c>
      <c r="L103" s="137" t="s">
        <v>193</v>
      </c>
      <c r="M103" s="137" t="s">
        <v>219</v>
      </c>
      <c r="N103" s="137" t="s">
        <v>193</v>
      </c>
      <c r="O103" s="137" t="s">
        <v>193</v>
      </c>
      <c r="P103" s="137" t="s">
        <v>193</v>
      </c>
      <c r="Q103" s="137" t="s">
        <v>193</v>
      </c>
      <c r="R103" s="137" t="s">
        <v>193</v>
      </c>
      <c r="S103" s="137" t="s">
        <v>193</v>
      </c>
      <c r="T103" s="137" t="s">
        <v>193</v>
      </c>
      <c r="U103" s="137" t="s">
        <v>193</v>
      </c>
      <c r="V103" s="137" t="s">
        <v>193</v>
      </c>
      <c r="W103" s="137" t="s">
        <v>193</v>
      </c>
      <c r="X103" s="137" t="s">
        <v>193</v>
      </c>
      <c r="Y103" s="137" t="s">
        <v>193</v>
      </c>
      <c r="Z103" s="137" t="s">
        <v>193</v>
      </c>
      <c r="AA103" s="137" t="s">
        <v>193</v>
      </c>
      <c r="AB103" s="137" t="s">
        <v>193</v>
      </c>
      <c r="AC103" s="137" t="s">
        <v>193</v>
      </c>
      <c r="AD103" s="137" t="s">
        <v>193</v>
      </c>
      <c r="AE103" s="137" t="s">
        <v>199</v>
      </c>
      <c r="AF103" s="137" t="s">
        <v>193</v>
      </c>
      <c r="AG103" s="137" t="s">
        <v>193</v>
      </c>
      <c r="AH103" s="137" t="s">
        <v>193</v>
      </c>
      <c r="AI103" s="137" t="s">
        <v>193</v>
      </c>
      <c r="AJ103" s="137" t="s">
        <v>193</v>
      </c>
      <c r="AK103" s="137" t="s">
        <v>193</v>
      </c>
      <c r="AL103" s="137" t="s">
        <v>193</v>
      </c>
      <c r="AM103" s="137" t="s">
        <v>193</v>
      </c>
      <c r="AN103" s="137" t="s">
        <v>53</v>
      </c>
      <c r="AO103" s="137" t="s">
        <v>193</v>
      </c>
      <c r="AP103" s="137" t="s">
        <v>193</v>
      </c>
      <c r="AQ103" s="137" t="s">
        <v>193</v>
      </c>
      <c r="AR103" s="137" t="s">
        <v>193</v>
      </c>
      <c r="AV103" s="1">
        <f t="shared" si="14"/>
        <v>0</v>
      </c>
      <c r="AW103" s="1">
        <f t="shared" si="8"/>
        <v>0</v>
      </c>
      <c r="AX103" s="13" t="str">
        <f t="shared" si="12"/>
        <v/>
      </c>
      <c r="BA103" s="12">
        <f t="shared" si="9"/>
        <v>0</v>
      </c>
      <c r="BB103" s="12">
        <f t="shared" si="13"/>
        <v>0</v>
      </c>
      <c r="BC103" s="12">
        <f t="shared" si="13"/>
        <v>0</v>
      </c>
      <c r="BD103" s="12">
        <f t="shared" si="13"/>
        <v>0</v>
      </c>
      <c r="BE103" s="12">
        <f t="shared" si="13"/>
        <v>0</v>
      </c>
      <c r="BF103" s="12">
        <f t="shared" si="10"/>
        <v>0</v>
      </c>
      <c r="BJ103" s="12" t="str">
        <f t="shared" si="11"/>
        <v/>
      </c>
      <c r="BK103" s="12">
        <f>VLOOKUP(B103,Kraftvärmeprod!$B$1:$BH$549,MATCH($BA$1,Kraftvärmeprod!$B$1:$CC$1,0),FALSE)</f>
        <v>0</v>
      </c>
    </row>
    <row r="104" spans="1:63" ht="15" customHeight="1" x14ac:dyDescent="0.25">
      <c r="A104" s="137" t="s">
        <v>332</v>
      </c>
      <c r="B104" s="137" t="s">
        <v>333</v>
      </c>
      <c r="C104" s="137">
        <v>2018</v>
      </c>
      <c r="D104" s="137">
        <v>40.804000000000002</v>
      </c>
      <c r="E104" s="137">
        <v>150.126</v>
      </c>
      <c r="F104" s="137" t="s">
        <v>193</v>
      </c>
      <c r="G104" s="137">
        <v>4.6630000000000003</v>
      </c>
      <c r="H104" s="137" t="s">
        <v>193</v>
      </c>
      <c r="I104" s="137" t="s">
        <v>193</v>
      </c>
      <c r="J104" s="137" t="s">
        <v>193</v>
      </c>
      <c r="K104" s="137" t="s">
        <v>193</v>
      </c>
      <c r="L104" s="137" t="s">
        <v>193</v>
      </c>
      <c r="M104" s="137" t="s">
        <v>53</v>
      </c>
      <c r="N104" s="137">
        <v>96.972999999999999</v>
      </c>
      <c r="O104" s="137">
        <v>37.591999999999999</v>
      </c>
      <c r="P104" s="137" t="s">
        <v>193</v>
      </c>
      <c r="Q104" s="137" t="s">
        <v>193</v>
      </c>
      <c r="R104" s="137" t="s">
        <v>193</v>
      </c>
      <c r="S104" s="137" t="s">
        <v>193</v>
      </c>
      <c r="T104" s="137" t="s">
        <v>194</v>
      </c>
      <c r="U104" s="137" t="s">
        <v>193</v>
      </c>
      <c r="V104" s="137" t="s">
        <v>193</v>
      </c>
      <c r="W104" s="137" t="s">
        <v>193</v>
      </c>
      <c r="X104" s="137" t="s">
        <v>193</v>
      </c>
      <c r="Y104" s="137" t="s">
        <v>193</v>
      </c>
      <c r="Z104" s="137" t="s">
        <v>193</v>
      </c>
      <c r="AA104" s="137" t="s">
        <v>193</v>
      </c>
      <c r="AB104" s="137" t="s">
        <v>193</v>
      </c>
      <c r="AC104" s="137" t="s">
        <v>193</v>
      </c>
      <c r="AD104" s="137" t="s">
        <v>193</v>
      </c>
      <c r="AE104" s="137" t="s">
        <v>53</v>
      </c>
      <c r="AF104" s="137" t="s">
        <v>193</v>
      </c>
      <c r="AG104" s="137" t="s">
        <v>193</v>
      </c>
      <c r="AH104" s="137">
        <v>10.898</v>
      </c>
      <c r="AI104" s="137" t="s">
        <v>193</v>
      </c>
      <c r="AJ104" s="137" t="s">
        <v>193</v>
      </c>
      <c r="AK104" s="137" t="s">
        <v>193</v>
      </c>
      <c r="AL104" s="137" t="s">
        <v>193</v>
      </c>
      <c r="AM104" s="137" t="s">
        <v>193</v>
      </c>
      <c r="AN104" s="137" t="s">
        <v>53</v>
      </c>
      <c r="AO104" s="137" t="s">
        <v>193</v>
      </c>
      <c r="AP104" s="137" t="s">
        <v>193</v>
      </c>
      <c r="AQ104" s="137" t="s">
        <v>193</v>
      </c>
      <c r="AR104" s="137" t="s">
        <v>193</v>
      </c>
      <c r="AV104" s="1">
        <f t="shared" si="14"/>
        <v>150.126</v>
      </c>
      <c r="AW104" s="1">
        <f t="shared" si="8"/>
        <v>40.804000000000002</v>
      </c>
      <c r="AX104" s="13">
        <f t="shared" si="12"/>
        <v>0.27179835604758668</v>
      </c>
      <c r="BA104" s="12">
        <f t="shared" si="9"/>
        <v>10.898</v>
      </c>
      <c r="BB104" s="12">
        <f t="shared" si="13"/>
        <v>0</v>
      </c>
      <c r="BC104" s="12">
        <f t="shared" si="13"/>
        <v>0</v>
      </c>
      <c r="BD104" s="12">
        <f t="shared" si="13"/>
        <v>0</v>
      </c>
      <c r="BE104" s="12">
        <f t="shared" si="13"/>
        <v>0</v>
      </c>
      <c r="BF104" s="12">
        <f t="shared" si="10"/>
        <v>10.898</v>
      </c>
      <c r="BJ104" s="12" t="str">
        <f t="shared" si="11"/>
        <v/>
      </c>
      <c r="BK104" s="12">
        <f>VLOOKUP(B104,Kraftvärmeprod!$B$1:$BH$549,MATCH($BA$1,Kraftvärmeprod!$B$1:$CC$1,0),FALSE)</f>
        <v>0</v>
      </c>
    </row>
    <row r="105" spans="1:63" ht="15" customHeight="1" x14ac:dyDescent="0.25">
      <c r="A105" s="137" t="s">
        <v>332</v>
      </c>
      <c r="B105" s="137" t="s">
        <v>334</v>
      </c>
      <c r="C105" s="137">
        <v>2018</v>
      </c>
      <c r="D105" s="137" t="s">
        <v>193</v>
      </c>
      <c r="E105" s="137">
        <v>0.255</v>
      </c>
      <c r="F105" s="137" t="s">
        <v>193</v>
      </c>
      <c r="G105" s="137">
        <v>8.5000000000000006E-2</v>
      </c>
      <c r="H105" s="137" t="s">
        <v>193</v>
      </c>
      <c r="I105" s="137" t="s">
        <v>193</v>
      </c>
      <c r="J105" s="137" t="s">
        <v>193</v>
      </c>
      <c r="K105" s="137" t="s">
        <v>193</v>
      </c>
      <c r="L105" s="137" t="s">
        <v>193</v>
      </c>
      <c r="M105" s="137" t="s">
        <v>53</v>
      </c>
      <c r="N105" s="137" t="s">
        <v>193</v>
      </c>
      <c r="O105" s="137" t="s">
        <v>193</v>
      </c>
      <c r="P105" s="137" t="s">
        <v>193</v>
      </c>
      <c r="Q105" s="137" t="s">
        <v>193</v>
      </c>
      <c r="R105" s="137" t="s">
        <v>193</v>
      </c>
      <c r="S105" s="137" t="s">
        <v>193</v>
      </c>
      <c r="T105" s="137" t="s">
        <v>193</v>
      </c>
      <c r="U105" s="137">
        <v>0.17</v>
      </c>
      <c r="V105" s="137" t="s">
        <v>193</v>
      </c>
      <c r="W105" s="137" t="s">
        <v>193</v>
      </c>
      <c r="X105" s="137" t="s">
        <v>193</v>
      </c>
      <c r="Y105" s="137" t="s">
        <v>193</v>
      </c>
      <c r="Z105" s="137" t="s">
        <v>193</v>
      </c>
      <c r="AA105" s="137" t="s">
        <v>193</v>
      </c>
      <c r="AB105" s="137" t="s">
        <v>193</v>
      </c>
      <c r="AC105" s="137" t="s">
        <v>193</v>
      </c>
      <c r="AD105" s="137" t="s">
        <v>193</v>
      </c>
      <c r="AE105" s="137" t="s">
        <v>53</v>
      </c>
      <c r="AF105" s="137" t="s">
        <v>193</v>
      </c>
      <c r="AG105" s="137" t="s">
        <v>193</v>
      </c>
      <c r="AH105" s="137" t="s">
        <v>193</v>
      </c>
      <c r="AI105" s="137" t="s">
        <v>193</v>
      </c>
      <c r="AJ105" s="137" t="s">
        <v>193</v>
      </c>
      <c r="AK105" s="137" t="s">
        <v>193</v>
      </c>
      <c r="AL105" s="137" t="s">
        <v>193</v>
      </c>
      <c r="AM105" s="137" t="s">
        <v>193</v>
      </c>
      <c r="AN105" s="137" t="s">
        <v>53</v>
      </c>
      <c r="AO105" s="137" t="s">
        <v>193</v>
      </c>
      <c r="AP105" s="137" t="s">
        <v>193</v>
      </c>
      <c r="AQ105" s="137" t="s">
        <v>193</v>
      </c>
      <c r="AR105" s="137" t="s">
        <v>193</v>
      </c>
      <c r="AV105" s="1">
        <f t="shared" si="14"/>
        <v>0.255</v>
      </c>
      <c r="AW105" s="1">
        <f t="shared" si="8"/>
        <v>0</v>
      </c>
      <c r="AX105" s="13">
        <f t="shared" si="12"/>
        <v>0</v>
      </c>
      <c r="BA105" s="12">
        <f t="shared" si="9"/>
        <v>0</v>
      </c>
      <c r="BB105" s="12">
        <f t="shared" si="13"/>
        <v>0</v>
      </c>
      <c r="BC105" s="12">
        <f t="shared" si="13"/>
        <v>0</v>
      </c>
      <c r="BD105" s="12">
        <f t="shared" si="13"/>
        <v>0</v>
      </c>
      <c r="BE105" s="12">
        <f t="shared" si="13"/>
        <v>0</v>
      </c>
      <c r="BF105" s="12">
        <f t="shared" si="10"/>
        <v>0</v>
      </c>
      <c r="BJ105" s="12" t="str">
        <f t="shared" si="11"/>
        <v/>
      </c>
      <c r="BK105" s="12">
        <f>VLOOKUP(B105,Kraftvärmeprod!$B$1:$BH$549,MATCH($BA$1,Kraftvärmeprod!$B$1:$CC$1,0),FALSE)</f>
        <v>0</v>
      </c>
    </row>
    <row r="106" spans="1:63" ht="15" customHeight="1" x14ac:dyDescent="0.25">
      <c r="A106" s="137" t="s">
        <v>335</v>
      </c>
      <c r="B106" s="137" t="s">
        <v>336</v>
      </c>
      <c r="C106" s="137">
        <v>2018</v>
      </c>
      <c r="D106" s="137">
        <v>25.9</v>
      </c>
      <c r="E106" s="137">
        <v>33.1</v>
      </c>
      <c r="F106" s="137" t="s">
        <v>193</v>
      </c>
      <c r="G106" s="137" t="s">
        <v>193</v>
      </c>
      <c r="H106" s="137" t="s">
        <v>193</v>
      </c>
      <c r="I106" s="137" t="s">
        <v>193</v>
      </c>
      <c r="J106" s="137" t="s">
        <v>193</v>
      </c>
      <c r="K106" s="137" t="s">
        <v>193</v>
      </c>
      <c r="L106" s="137" t="s">
        <v>193</v>
      </c>
      <c r="M106" s="137" t="s">
        <v>53</v>
      </c>
      <c r="N106" s="137">
        <v>4.4000000000000004</v>
      </c>
      <c r="O106" s="137" t="s">
        <v>193</v>
      </c>
      <c r="P106" s="137">
        <v>27.4</v>
      </c>
      <c r="Q106" s="137" t="s">
        <v>193</v>
      </c>
      <c r="R106" s="137" t="s">
        <v>193</v>
      </c>
      <c r="S106" s="137" t="s">
        <v>193</v>
      </c>
      <c r="T106" s="137" t="s">
        <v>193</v>
      </c>
      <c r="U106" s="137" t="s">
        <v>193</v>
      </c>
      <c r="V106" s="137" t="s">
        <v>193</v>
      </c>
      <c r="W106" s="137" t="s">
        <v>193</v>
      </c>
      <c r="X106" s="137" t="s">
        <v>193</v>
      </c>
      <c r="Y106" s="137" t="s">
        <v>193</v>
      </c>
      <c r="Z106" s="137">
        <v>1.3</v>
      </c>
      <c r="AA106" s="137" t="s">
        <v>193</v>
      </c>
      <c r="AB106" s="137" t="s">
        <v>193</v>
      </c>
      <c r="AC106" s="137" t="s">
        <v>193</v>
      </c>
      <c r="AD106" s="137" t="s">
        <v>193</v>
      </c>
      <c r="AE106" s="137" t="s">
        <v>53</v>
      </c>
      <c r="AF106" s="137" t="s">
        <v>193</v>
      </c>
      <c r="AG106" s="137" t="s">
        <v>193</v>
      </c>
      <c r="AH106" s="137" t="s">
        <v>193</v>
      </c>
      <c r="AI106" s="137" t="s">
        <v>193</v>
      </c>
      <c r="AJ106" s="137" t="s">
        <v>193</v>
      </c>
      <c r="AK106" s="137" t="s">
        <v>193</v>
      </c>
      <c r="AL106" s="137" t="s">
        <v>193</v>
      </c>
      <c r="AM106" s="137" t="s">
        <v>193</v>
      </c>
      <c r="AN106" s="137" t="s">
        <v>53</v>
      </c>
      <c r="AO106" s="137" t="s">
        <v>193</v>
      </c>
      <c r="AP106" s="137" t="s">
        <v>193</v>
      </c>
      <c r="AQ106" s="137" t="s">
        <v>193</v>
      </c>
      <c r="AR106" s="137" t="s">
        <v>193</v>
      </c>
      <c r="AV106" s="1">
        <f t="shared" si="14"/>
        <v>33.099999999999994</v>
      </c>
      <c r="AW106" s="1">
        <f t="shared" si="8"/>
        <v>25.9</v>
      </c>
      <c r="AX106" s="13">
        <f t="shared" si="12"/>
        <v>0.78247734138972824</v>
      </c>
      <c r="BA106" s="12">
        <f t="shared" si="9"/>
        <v>0</v>
      </c>
      <c r="BB106" s="12">
        <f t="shared" si="13"/>
        <v>0</v>
      </c>
      <c r="BC106" s="12">
        <f t="shared" si="13"/>
        <v>0</v>
      </c>
      <c r="BD106" s="12">
        <f t="shared" si="13"/>
        <v>0</v>
      </c>
      <c r="BE106" s="12">
        <f t="shared" si="13"/>
        <v>0</v>
      </c>
      <c r="BF106" s="12">
        <f t="shared" si="10"/>
        <v>0</v>
      </c>
      <c r="BJ106" s="12" t="str">
        <f t="shared" si="11"/>
        <v/>
      </c>
      <c r="BK106" s="12">
        <f>VLOOKUP(B106,Kraftvärmeprod!$B$1:$BH$549,MATCH($BA$1,Kraftvärmeprod!$B$1:$CC$1,0),FALSE)</f>
        <v>0</v>
      </c>
    </row>
    <row r="107" spans="1:63" ht="15" customHeight="1" x14ac:dyDescent="0.25">
      <c r="A107" s="137" t="s">
        <v>337</v>
      </c>
      <c r="B107" s="137" t="s">
        <v>338</v>
      </c>
      <c r="C107" s="137">
        <v>2018</v>
      </c>
      <c r="D107" s="137">
        <v>14.75</v>
      </c>
      <c r="E107" s="137">
        <v>19.315000000000001</v>
      </c>
      <c r="F107" s="137" t="s">
        <v>193</v>
      </c>
      <c r="G107" s="137">
        <v>0.50900000000000001</v>
      </c>
      <c r="H107" s="137" t="s">
        <v>193</v>
      </c>
      <c r="I107" s="137" t="s">
        <v>193</v>
      </c>
      <c r="J107" s="137" t="s">
        <v>193</v>
      </c>
      <c r="K107" s="137" t="s">
        <v>193</v>
      </c>
      <c r="L107" s="137" t="s">
        <v>193</v>
      </c>
      <c r="M107" s="137" t="s">
        <v>53</v>
      </c>
      <c r="N107" s="137">
        <v>4.59</v>
      </c>
      <c r="O107" s="137">
        <v>1.62</v>
      </c>
      <c r="P107" s="137">
        <v>5.3</v>
      </c>
      <c r="Q107" s="137" t="s">
        <v>193</v>
      </c>
      <c r="R107" s="137" t="s">
        <v>193</v>
      </c>
      <c r="S107" s="137">
        <v>4.5999999999999996</v>
      </c>
      <c r="T107" s="137" t="s">
        <v>194</v>
      </c>
      <c r="U107" s="137" t="s">
        <v>193</v>
      </c>
      <c r="V107" s="137" t="s">
        <v>193</v>
      </c>
      <c r="W107" s="137" t="s">
        <v>193</v>
      </c>
      <c r="X107" s="137" t="s">
        <v>193</v>
      </c>
      <c r="Y107" s="137" t="s">
        <v>193</v>
      </c>
      <c r="Z107" s="137" t="s">
        <v>193</v>
      </c>
      <c r="AA107" s="137" t="s">
        <v>193</v>
      </c>
      <c r="AB107" s="137" t="s">
        <v>193</v>
      </c>
      <c r="AC107" s="137" t="s">
        <v>193</v>
      </c>
      <c r="AD107" s="137" t="s">
        <v>193</v>
      </c>
      <c r="AE107" s="137" t="s">
        <v>199</v>
      </c>
      <c r="AF107" s="137" t="s">
        <v>193</v>
      </c>
      <c r="AG107" s="137" t="s">
        <v>193</v>
      </c>
      <c r="AH107" s="137">
        <v>2.6960000000000002</v>
      </c>
      <c r="AI107" s="137" t="s">
        <v>193</v>
      </c>
      <c r="AJ107" s="137" t="s">
        <v>193</v>
      </c>
      <c r="AK107" s="137" t="s">
        <v>193</v>
      </c>
      <c r="AL107" s="137" t="s">
        <v>193</v>
      </c>
      <c r="AM107" s="137" t="s">
        <v>193</v>
      </c>
      <c r="AN107" s="137" t="s">
        <v>53</v>
      </c>
      <c r="AO107" s="137">
        <v>100</v>
      </c>
      <c r="AP107" s="137" t="s">
        <v>193</v>
      </c>
      <c r="AQ107" s="137" t="s">
        <v>193</v>
      </c>
      <c r="AR107" s="137" t="s">
        <v>193</v>
      </c>
      <c r="AV107" s="1">
        <f t="shared" si="14"/>
        <v>19.315000000000001</v>
      </c>
      <c r="AW107" s="1">
        <f t="shared" si="8"/>
        <v>14.75</v>
      </c>
      <c r="AX107" s="13">
        <f t="shared" si="12"/>
        <v>0.76365519026663209</v>
      </c>
      <c r="BA107" s="12">
        <f t="shared" si="9"/>
        <v>2.6960000000000002</v>
      </c>
      <c r="BB107" s="12">
        <f t="shared" si="13"/>
        <v>2.6960000000000002</v>
      </c>
      <c r="BC107" s="12">
        <f t="shared" si="13"/>
        <v>0</v>
      </c>
      <c r="BD107" s="12">
        <f t="shared" si="13"/>
        <v>0</v>
      </c>
      <c r="BE107" s="12">
        <f t="shared" si="13"/>
        <v>0</v>
      </c>
      <c r="BF107" s="12">
        <f t="shared" si="10"/>
        <v>0</v>
      </c>
      <c r="BJ107" s="12" t="str">
        <f t="shared" si="11"/>
        <v/>
      </c>
      <c r="BK107" s="12">
        <f>VLOOKUP(B107,Kraftvärmeprod!$B$1:$BH$549,MATCH($BA$1,Kraftvärmeprod!$B$1:$CC$1,0),FALSE)</f>
        <v>0</v>
      </c>
    </row>
    <row r="108" spans="1:63" ht="15" customHeight="1" x14ac:dyDescent="0.25">
      <c r="A108" s="137" t="s">
        <v>337</v>
      </c>
      <c r="B108" s="137" t="s">
        <v>339</v>
      </c>
      <c r="C108" s="137">
        <v>2018</v>
      </c>
      <c r="D108" s="137">
        <v>57.83</v>
      </c>
      <c r="E108" s="137">
        <v>67.677999999999997</v>
      </c>
      <c r="F108" s="137" t="s">
        <v>193</v>
      </c>
      <c r="G108" s="137">
        <v>0.57799999999999996</v>
      </c>
      <c r="H108" s="137" t="s">
        <v>193</v>
      </c>
      <c r="I108" s="137" t="s">
        <v>193</v>
      </c>
      <c r="J108" s="137">
        <v>8.6999999999999993</v>
      </c>
      <c r="K108" s="137" t="s">
        <v>193</v>
      </c>
      <c r="L108" s="137" t="s">
        <v>193</v>
      </c>
      <c r="M108" s="137" t="s">
        <v>53</v>
      </c>
      <c r="N108" s="137">
        <v>14.26</v>
      </c>
      <c r="O108" s="137">
        <v>8.7899999999999991</v>
      </c>
      <c r="P108" s="137">
        <v>21.72</v>
      </c>
      <c r="Q108" s="137" t="s">
        <v>193</v>
      </c>
      <c r="R108" s="137" t="s">
        <v>193</v>
      </c>
      <c r="S108" s="137">
        <v>7.03</v>
      </c>
      <c r="T108" s="137" t="s">
        <v>194</v>
      </c>
      <c r="U108" s="137" t="s">
        <v>193</v>
      </c>
      <c r="V108" s="137" t="s">
        <v>193</v>
      </c>
      <c r="W108" s="137" t="s">
        <v>193</v>
      </c>
      <c r="X108" s="137" t="s">
        <v>193</v>
      </c>
      <c r="Y108" s="137" t="s">
        <v>193</v>
      </c>
      <c r="Z108" s="137" t="s">
        <v>193</v>
      </c>
      <c r="AA108" s="137" t="s">
        <v>193</v>
      </c>
      <c r="AB108" s="137" t="s">
        <v>193</v>
      </c>
      <c r="AC108" s="137" t="s">
        <v>193</v>
      </c>
      <c r="AD108" s="137" t="s">
        <v>193</v>
      </c>
      <c r="AE108" s="137" t="s">
        <v>199</v>
      </c>
      <c r="AF108" s="137" t="s">
        <v>193</v>
      </c>
      <c r="AG108" s="137" t="s">
        <v>193</v>
      </c>
      <c r="AH108" s="137">
        <v>6.6</v>
      </c>
      <c r="AI108" s="137" t="s">
        <v>193</v>
      </c>
      <c r="AJ108" s="137" t="s">
        <v>193</v>
      </c>
      <c r="AK108" s="137" t="s">
        <v>193</v>
      </c>
      <c r="AL108" s="137" t="s">
        <v>193</v>
      </c>
      <c r="AM108" s="137" t="s">
        <v>193</v>
      </c>
      <c r="AN108" s="137" t="s">
        <v>53</v>
      </c>
      <c r="AO108" s="137">
        <v>100</v>
      </c>
      <c r="AP108" s="137" t="s">
        <v>193</v>
      </c>
      <c r="AQ108" s="137" t="s">
        <v>193</v>
      </c>
      <c r="AR108" s="137" t="s">
        <v>193</v>
      </c>
      <c r="AV108" s="1">
        <f t="shared" si="14"/>
        <v>67.677999999999997</v>
      </c>
      <c r="AW108" s="1">
        <f t="shared" si="8"/>
        <v>57.83</v>
      </c>
      <c r="AX108" s="13">
        <f t="shared" si="12"/>
        <v>0.85448742575135195</v>
      </c>
      <c r="BA108" s="12">
        <f t="shared" si="9"/>
        <v>6.6</v>
      </c>
      <c r="BB108" s="12">
        <f t="shared" si="13"/>
        <v>6.6</v>
      </c>
      <c r="BC108" s="12">
        <f t="shared" si="13"/>
        <v>0</v>
      </c>
      <c r="BD108" s="12">
        <f t="shared" si="13"/>
        <v>0</v>
      </c>
      <c r="BE108" s="12">
        <f t="shared" si="13"/>
        <v>0</v>
      </c>
      <c r="BF108" s="12">
        <f t="shared" si="10"/>
        <v>0</v>
      </c>
      <c r="BJ108" s="12" t="str">
        <f t="shared" si="11"/>
        <v/>
      </c>
      <c r="BK108" s="12">
        <f>VLOOKUP(B108,Kraftvärmeprod!$B$1:$BH$549,MATCH($BA$1,Kraftvärmeprod!$B$1:$CC$1,0),FALSE)</f>
        <v>0</v>
      </c>
    </row>
    <row r="109" spans="1:63" ht="15" customHeight="1" x14ac:dyDescent="0.25">
      <c r="A109" s="137" t="s">
        <v>337</v>
      </c>
      <c r="B109" s="137" t="s">
        <v>340</v>
      </c>
      <c r="C109" s="137">
        <v>2018</v>
      </c>
      <c r="D109" s="137">
        <v>0.254</v>
      </c>
      <c r="E109" s="137">
        <v>0.26300000000000001</v>
      </c>
      <c r="F109" s="137" t="s">
        <v>193</v>
      </c>
      <c r="G109" s="137">
        <v>4.1000000000000002E-2</v>
      </c>
      <c r="H109" s="137" t="s">
        <v>193</v>
      </c>
      <c r="I109" s="137" t="s">
        <v>193</v>
      </c>
      <c r="J109" s="137" t="s">
        <v>193</v>
      </c>
      <c r="K109" s="137" t="s">
        <v>193</v>
      </c>
      <c r="L109" s="137" t="s">
        <v>193</v>
      </c>
      <c r="M109" s="137" t="s">
        <v>53</v>
      </c>
      <c r="N109" s="137" t="s">
        <v>193</v>
      </c>
      <c r="O109" s="137" t="s">
        <v>193</v>
      </c>
      <c r="P109" s="137" t="s">
        <v>193</v>
      </c>
      <c r="Q109" s="137" t="s">
        <v>193</v>
      </c>
      <c r="R109" s="137" t="s">
        <v>193</v>
      </c>
      <c r="S109" s="137" t="s">
        <v>193</v>
      </c>
      <c r="T109" s="137" t="s">
        <v>193</v>
      </c>
      <c r="U109" s="137">
        <v>0.222</v>
      </c>
      <c r="V109" s="137" t="s">
        <v>193</v>
      </c>
      <c r="W109" s="137" t="s">
        <v>193</v>
      </c>
      <c r="X109" s="137" t="s">
        <v>193</v>
      </c>
      <c r="Y109" s="137" t="s">
        <v>193</v>
      </c>
      <c r="Z109" s="137" t="s">
        <v>193</v>
      </c>
      <c r="AA109" s="137" t="s">
        <v>193</v>
      </c>
      <c r="AB109" s="137" t="s">
        <v>193</v>
      </c>
      <c r="AC109" s="137" t="s">
        <v>193</v>
      </c>
      <c r="AD109" s="137" t="s">
        <v>193</v>
      </c>
      <c r="AE109" s="137" t="s">
        <v>199</v>
      </c>
      <c r="AF109" s="137" t="s">
        <v>193</v>
      </c>
      <c r="AG109" s="137" t="s">
        <v>193</v>
      </c>
      <c r="AH109" s="137" t="s">
        <v>193</v>
      </c>
      <c r="AI109" s="137" t="s">
        <v>193</v>
      </c>
      <c r="AJ109" s="137" t="s">
        <v>193</v>
      </c>
      <c r="AK109" s="137" t="s">
        <v>193</v>
      </c>
      <c r="AL109" s="137" t="s">
        <v>193</v>
      </c>
      <c r="AM109" s="137" t="s">
        <v>193</v>
      </c>
      <c r="AN109" s="137" t="s">
        <v>53</v>
      </c>
      <c r="AO109" s="137" t="s">
        <v>193</v>
      </c>
      <c r="AP109" s="137" t="s">
        <v>193</v>
      </c>
      <c r="AQ109" s="137" t="s">
        <v>193</v>
      </c>
      <c r="AR109" s="137" t="s">
        <v>193</v>
      </c>
      <c r="AV109" s="1">
        <f t="shared" si="14"/>
        <v>0.26300000000000001</v>
      </c>
      <c r="AW109" s="1">
        <f t="shared" si="8"/>
        <v>0.254</v>
      </c>
      <c r="AX109" s="13">
        <f t="shared" si="12"/>
        <v>0.96577946768060829</v>
      </c>
      <c r="BA109" s="12">
        <f t="shared" si="9"/>
        <v>0</v>
      </c>
      <c r="BB109" s="12">
        <f t="shared" si="13"/>
        <v>0</v>
      </c>
      <c r="BC109" s="12">
        <f t="shared" si="13"/>
        <v>0</v>
      </c>
      <c r="BD109" s="12">
        <f t="shared" si="13"/>
        <v>0</v>
      </c>
      <c r="BE109" s="12">
        <f t="shared" si="13"/>
        <v>0</v>
      </c>
      <c r="BF109" s="12">
        <f t="shared" si="10"/>
        <v>0</v>
      </c>
      <c r="BJ109" s="12" t="str">
        <f t="shared" si="11"/>
        <v/>
      </c>
      <c r="BK109" s="12">
        <f>VLOOKUP(B109,Kraftvärmeprod!$B$1:$BH$549,MATCH($BA$1,Kraftvärmeprod!$B$1:$CC$1,0),FALSE)</f>
        <v>0</v>
      </c>
    </row>
    <row r="110" spans="1:63" ht="15" customHeight="1" x14ac:dyDescent="0.25">
      <c r="A110" s="137" t="s">
        <v>341</v>
      </c>
      <c r="B110" s="137" t="s">
        <v>342</v>
      </c>
      <c r="C110" s="137">
        <v>2018</v>
      </c>
      <c r="D110" s="137">
        <v>294698</v>
      </c>
      <c r="E110" s="137">
        <v>387.512</v>
      </c>
      <c r="F110" s="137">
        <v>0</v>
      </c>
      <c r="G110" s="137">
        <v>1</v>
      </c>
      <c r="H110" s="137">
        <v>0</v>
      </c>
      <c r="I110" s="137">
        <v>0</v>
      </c>
      <c r="J110" s="137">
        <v>0</v>
      </c>
      <c r="K110" s="137">
        <v>0</v>
      </c>
      <c r="L110" s="137">
        <v>0</v>
      </c>
      <c r="M110" s="137" t="s">
        <v>53</v>
      </c>
      <c r="N110" s="137">
        <v>85.5</v>
      </c>
      <c r="O110" s="137">
        <v>0</v>
      </c>
      <c r="P110" s="137">
        <v>0</v>
      </c>
      <c r="Q110" s="137">
        <v>0</v>
      </c>
      <c r="R110" s="137">
        <v>0</v>
      </c>
      <c r="S110" s="137">
        <v>0</v>
      </c>
      <c r="T110" s="137" t="s">
        <v>193</v>
      </c>
      <c r="U110" s="137">
        <v>0</v>
      </c>
      <c r="V110" s="137">
        <v>0</v>
      </c>
      <c r="W110" s="137">
        <v>0</v>
      </c>
      <c r="X110" s="137">
        <v>0</v>
      </c>
      <c r="Y110" s="137">
        <v>0</v>
      </c>
      <c r="Z110" s="137">
        <v>0.41199999999999998</v>
      </c>
      <c r="AA110" s="137">
        <v>0</v>
      </c>
      <c r="AB110" s="137">
        <v>0</v>
      </c>
      <c r="AC110" s="137">
        <v>212.9</v>
      </c>
      <c r="AD110" s="137">
        <v>0.4</v>
      </c>
      <c r="AE110" s="137" t="s">
        <v>327</v>
      </c>
      <c r="AF110" s="137">
        <v>40.68</v>
      </c>
      <c r="AG110" s="137">
        <v>33.4</v>
      </c>
      <c r="AH110" s="137">
        <v>54.3</v>
      </c>
      <c r="AI110" s="137">
        <v>0</v>
      </c>
      <c r="AJ110" s="137" t="s">
        <v>193</v>
      </c>
      <c r="AK110" s="137">
        <v>0</v>
      </c>
      <c r="AL110" s="137">
        <v>0</v>
      </c>
      <c r="AM110" s="137">
        <v>0</v>
      </c>
      <c r="AN110" s="137" t="s">
        <v>53</v>
      </c>
      <c r="AO110" s="137">
        <v>31</v>
      </c>
      <c r="AP110" s="137">
        <v>69</v>
      </c>
      <c r="AQ110" s="137">
        <v>0</v>
      </c>
      <c r="AR110" s="137">
        <v>0</v>
      </c>
      <c r="AV110" s="1">
        <f t="shared" si="14"/>
        <v>387.512</v>
      </c>
      <c r="AW110" s="1">
        <f t="shared" si="8"/>
        <v>294698</v>
      </c>
      <c r="AX110" s="13">
        <f t="shared" si="12"/>
        <v>760.48741716385553</v>
      </c>
      <c r="BA110" s="12">
        <f t="shared" si="9"/>
        <v>54.3</v>
      </c>
      <c r="BB110" s="12">
        <f t="shared" si="13"/>
        <v>16.832999999999998</v>
      </c>
      <c r="BC110" s="12">
        <f t="shared" si="13"/>
        <v>37.466999999999992</v>
      </c>
      <c r="BD110" s="12">
        <f t="shared" si="13"/>
        <v>0</v>
      </c>
      <c r="BE110" s="12">
        <f t="shared" si="13"/>
        <v>0</v>
      </c>
      <c r="BF110" s="12">
        <f t="shared" si="10"/>
        <v>7.1054273576010019E-15</v>
      </c>
      <c r="BJ110" s="12" t="str">
        <f t="shared" si="11"/>
        <v/>
      </c>
      <c r="BK110" s="12">
        <f>VLOOKUP(B110,Kraftvärmeprod!$B$1:$BH$549,MATCH($BA$1,Kraftvärmeprod!$B$1:$CC$1,0),FALSE)</f>
        <v>50.3</v>
      </c>
    </row>
    <row r="111" spans="1:63" ht="15" customHeight="1" x14ac:dyDescent="0.25">
      <c r="A111" s="137" t="s">
        <v>343</v>
      </c>
      <c r="B111" s="137" t="s">
        <v>344</v>
      </c>
      <c r="C111" s="137">
        <v>2018</v>
      </c>
      <c r="D111" s="137">
        <v>3.9</v>
      </c>
      <c r="E111" s="137">
        <v>3.84</v>
      </c>
      <c r="F111" s="137">
        <v>0</v>
      </c>
      <c r="G111" s="137">
        <v>0.14000000000000001</v>
      </c>
      <c r="H111" s="137">
        <v>0</v>
      </c>
      <c r="I111" s="137">
        <v>0</v>
      </c>
      <c r="J111" s="137">
        <v>0</v>
      </c>
      <c r="K111" s="137" t="s">
        <v>193</v>
      </c>
      <c r="L111" s="137">
        <v>0</v>
      </c>
      <c r="M111" s="137" t="s">
        <v>53</v>
      </c>
      <c r="N111" s="137" t="s">
        <v>193</v>
      </c>
      <c r="O111" s="137" t="s">
        <v>193</v>
      </c>
      <c r="P111" s="137" t="s">
        <v>193</v>
      </c>
      <c r="Q111" s="137" t="s">
        <v>193</v>
      </c>
      <c r="R111" s="137" t="s">
        <v>193</v>
      </c>
      <c r="S111" s="137" t="s">
        <v>193</v>
      </c>
      <c r="T111" s="137" t="s">
        <v>193</v>
      </c>
      <c r="U111" s="137">
        <v>3.7</v>
      </c>
      <c r="V111" s="137">
        <v>0</v>
      </c>
      <c r="W111" s="137">
        <v>0</v>
      </c>
      <c r="X111" s="137">
        <v>0</v>
      </c>
      <c r="Y111" s="137">
        <v>0</v>
      </c>
      <c r="Z111" s="137">
        <v>0</v>
      </c>
      <c r="AA111" s="137">
        <v>0</v>
      </c>
      <c r="AB111" s="137" t="s">
        <v>193</v>
      </c>
      <c r="AC111" s="137" t="s">
        <v>193</v>
      </c>
      <c r="AD111" s="137" t="s">
        <v>193</v>
      </c>
      <c r="AE111" s="137" t="s">
        <v>53</v>
      </c>
      <c r="AF111" s="137" t="s">
        <v>193</v>
      </c>
      <c r="AG111" s="137" t="s">
        <v>193</v>
      </c>
      <c r="AH111" s="137" t="s">
        <v>193</v>
      </c>
      <c r="AI111" s="137" t="s">
        <v>193</v>
      </c>
      <c r="AJ111" s="137" t="s">
        <v>193</v>
      </c>
      <c r="AK111" s="137" t="s">
        <v>193</v>
      </c>
      <c r="AL111" s="137" t="s">
        <v>193</v>
      </c>
      <c r="AM111" s="137" t="s">
        <v>193</v>
      </c>
      <c r="AN111" s="137" t="s">
        <v>53</v>
      </c>
      <c r="AO111" s="137" t="s">
        <v>193</v>
      </c>
      <c r="AP111" s="137" t="s">
        <v>193</v>
      </c>
      <c r="AQ111" s="137" t="s">
        <v>193</v>
      </c>
      <c r="AR111" s="137" t="s">
        <v>193</v>
      </c>
      <c r="AV111" s="1">
        <f t="shared" si="14"/>
        <v>3.8400000000000003</v>
      </c>
      <c r="AW111" s="1">
        <f t="shared" si="8"/>
        <v>3.9</v>
      </c>
      <c r="AX111" s="13">
        <f t="shared" si="12"/>
        <v>1.015625</v>
      </c>
      <c r="BA111" s="12">
        <f t="shared" si="9"/>
        <v>0</v>
      </c>
      <c r="BB111" s="12">
        <f t="shared" si="13"/>
        <v>0</v>
      </c>
      <c r="BC111" s="12">
        <f t="shared" si="13"/>
        <v>0</v>
      </c>
      <c r="BD111" s="12">
        <f t="shared" si="13"/>
        <v>0</v>
      </c>
      <c r="BE111" s="12">
        <f t="shared" si="13"/>
        <v>0</v>
      </c>
      <c r="BF111" s="12">
        <f t="shared" si="10"/>
        <v>0</v>
      </c>
      <c r="BJ111" s="12" t="str">
        <f t="shared" si="11"/>
        <v/>
      </c>
      <c r="BK111" s="12">
        <f>VLOOKUP(B111,Kraftvärmeprod!$B$1:$BH$549,MATCH($BA$1,Kraftvärmeprod!$B$1:$CC$1,0),FALSE)</f>
        <v>0</v>
      </c>
    </row>
    <row r="112" spans="1:63" ht="15" customHeight="1" x14ac:dyDescent="0.25">
      <c r="A112" s="137" t="s">
        <v>345</v>
      </c>
      <c r="B112" s="137" t="s">
        <v>346</v>
      </c>
      <c r="C112" s="137">
        <v>2018</v>
      </c>
      <c r="D112" s="137">
        <v>11</v>
      </c>
      <c r="E112" s="137">
        <v>12.209</v>
      </c>
      <c r="F112" s="137" t="s">
        <v>193</v>
      </c>
      <c r="G112" s="137" t="s">
        <v>193</v>
      </c>
      <c r="H112" s="137" t="s">
        <v>193</v>
      </c>
      <c r="I112" s="137" t="s">
        <v>193</v>
      </c>
      <c r="J112" s="137" t="s">
        <v>193</v>
      </c>
      <c r="K112" s="137" t="s">
        <v>193</v>
      </c>
      <c r="L112" s="137" t="s">
        <v>193</v>
      </c>
      <c r="M112" s="137" t="s">
        <v>53</v>
      </c>
      <c r="N112" s="137" t="s">
        <v>193</v>
      </c>
      <c r="O112" s="137" t="s">
        <v>193</v>
      </c>
      <c r="P112" s="137">
        <v>6.3559999999999999</v>
      </c>
      <c r="Q112" s="137" t="s">
        <v>193</v>
      </c>
      <c r="R112" s="137" t="s">
        <v>193</v>
      </c>
      <c r="S112" s="137" t="s">
        <v>193</v>
      </c>
      <c r="T112" s="137" t="s">
        <v>193</v>
      </c>
      <c r="U112" s="137">
        <v>3.4489999999999998</v>
      </c>
      <c r="V112" s="137" t="s">
        <v>193</v>
      </c>
      <c r="W112" s="137" t="s">
        <v>193</v>
      </c>
      <c r="X112" s="137" t="s">
        <v>193</v>
      </c>
      <c r="Y112" s="137" t="s">
        <v>193</v>
      </c>
      <c r="Z112" s="137">
        <v>2.4039999999999999</v>
      </c>
      <c r="AA112" s="137" t="s">
        <v>193</v>
      </c>
      <c r="AB112" s="137" t="s">
        <v>193</v>
      </c>
      <c r="AC112" s="137" t="s">
        <v>193</v>
      </c>
      <c r="AD112" s="137" t="s">
        <v>193</v>
      </c>
      <c r="AE112" s="137" t="s">
        <v>199</v>
      </c>
      <c r="AF112" s="137" t="s">
        <v>193</v>
      </c>
      <c r="AG112" s="137" t="s">
        <v>193</v>
      </c>
      <c r="AH112" s="137" t="s">
        <v>193</v>
      </c>
      <c r="AI112" s="137" t="s">
        <v>193</v>
      </c>
      <c r="AJ112" s="137" t="s">
        <v>193</v>
      </c>
      <c r="AK112" s="137" t="s">
        <v>193</v>
      </c>
      <c r="AL112" s="137" t="s">
        <v>193</v>
      </c>
      <c r="AM112" s="137" t="s">
        <v>193</v>
      </c>
      <c r="AN112" s="137" t="s">
        <v>53</v>
      </c>
      <c r="AO112" s="137" t="s">
        <v>193</v>
      </c>
      <c r="AP112" s="137" t="s">
        <v>193</v>
      </c>
      <c r="AQ112" s="137" t="s">
        <v>193</v>
      </c>
      <c r="AR112" s="137" t="s">
        <v>193</v>
      </c>
      <c r="AV112" s="1">
        <f t="shared" si="14"/>
        <v>12.209</v>
      </c>
      <c r="AW112" s="1">
        <f t="shared" si="8"/>
        <v>11</v>
      </c>
      <c r="AX112" s="13">
        <f t="shared" si="12"/>
        <v>0.90097469080186754</v>
      </c>
      <c r="BA112" s="12">
        <f t="shared" si="9"/>
        <v>0</v>
      </c>
      <c r="BB112" s="12">
        <f t="shared" si="13"/>
        <v>0</v>
      </c>
      <c r="BC112" s="12">
        <f t="shared" si="13"/>
        <v>0</v>
      </c>
      <c r="BD112" s="12">
        <f t="shared" si="13"/>
        <v>0</v>
      </c>
      <c r="BE112" s="12">
        <f t="shared" si="13"/>
        <v>0</v>
      </c>
      <c r="BF112" s="12">
        <f t="shared" si="10"/>
        <v>0</v>
      </c>
      <c r="BJ112" s="12" t="str">
        <f t="shared" si="11"/>
        <v/>
      </c>
      <c r="BK112" s="12">
        <f>VLOOKUP(B112,Kraftvärmeprod!$B$1:$BH$549,MATCH($BA$1,Kraftvärmeprod!$B$1:$CC$1,0),FALSE)</f>
        <v>0</v>
      </c>
    </row>
    <row r="113" spans="1:63" ht="15" customHeight="1" x14ac:dyDescent="0.25">
      <c r="A113" s="137" t="s">
        <v>345</v>
      </c>
      <c r="B113" s="137" t="s">
        <v>347</v>
      </c>
      <c r="C113" s="137">
        <v>2018</v>
      </c>
      <c r="D113" s="137">
        <v>13.228</v>
      </c>
      <c r="E113" s="137">
        <v>15.925000000000001</v>
      </c>
      <c r="F113" s="137" t="s">
        <v>193</v>
      </c>
      <c r="G113" s="137">
        <v>1.9E-2</v>
      </c>
      <c r="H113" s="137" t="s">
        <v>193</v>
      </c>
      <c r="I113" s="137" t="s">
        <v>193</v>
      </c>
      <c r="J113" s="137" t="s">
        <v>193</v>
      </c>
      <c r="K113" s="137" t="s">
        <v>193</v>
      </c>
      <c r="L113" s="137" t="s">
        <v>193</v>
      </c>
      <c r="M113" s="137" t="s">
        <v>53</v>
      </c>
      <c r="N113" s="137" t="s">
        <v>193</v>
      </c>
      <c r="O113" s="137" t="s">
        <v>193</v>
      </c>
      <c r="P113" s="137" t="s">
        <v>193</v>
      </c>
      <c r="Q113" s="137" t="s">
        <v>193</v>
      </c>
      <c r="R113" s="137" t="s">
        <v>193</v>
      </c>
      <c r="S113" s="137" t="s">
        <v>193</v>
      </c>
      <c r="T113" s="137" t="s">
        <v>193</v>
      </c>
      <c r="U113" s="137" t="s">
        <v>193</v>
      </c>
      <c r="V113" s="137" t="s">
        <v>193</v>
      </c>
      <c r="W113" s="137" t="s">
        <v>193</v>
      </c>
      <c r="X113" s="137" t="s">
        <v>193</v>
      </c>
      <c r="Y113" s="137" t="s">
        <v>193</v>
      </c>
      <c r="Z113" s="137" t="s">
        <v>193</v>
      </c>
      <c r="AA113" s="137" t="s">
        <v>193</v>
      </c>
      <c r="AB113" s="137">
        <v>15.906000000000001</v>
      </c>
      <c r="AC113" s="137" t="s">
        <v>193</v>
      </c>
      <c r="AD113" s="137" t="s">
        <v>193</v>
      </c>
      <c r="AE113" s="137" t="s">
        <v>199</v>
      </c>
      <c r="AF113" s="137" t="s">
        <v>193</v>
      </c>
      <c r="AG113" s="137" t="s">
        <v>193</v>
      </c>
      <c r="AH113" s="137" t="s">
        <v>193</v>
      </c>
      <c r="AI113" s="137" t="s">
        <v>193</v>
      </c>
      <c r="AJ113" s="137" t="s">
        <v>193</v>
      </c>
      <c r="AK113" s="137" t="s">
        <v>193</v>
      </c>
      <c r="AL113" s="137" t="s">
        <v>193</v>
      </c>
      <c r="AM113" s="137" t="s">
        <v>193</v>
      </c>
      <c r="AN113" s="137" t="s">
        <v>53</v>
      </c>
      <c r="AO113" s="137" t="s">
        <v>193</v>
      </c>
      <c r="AP113" s="137" t="s">
        <v>193</v>
      </c>
      <c r="AQ113" s="137" t="s">
        <v>193</v>
      </c>
      <c r="AR113" s="137" t="s">
        <v>193</v>
      </c>
      <c r="AV113" s="1">
        <f t="shared" si="14"/>
        <v>15.925000000000001</v>
      </c>
      <c r="AW113" s="1">
        <f t="shared" si="8"/>
        <v>13.228</v>
      </c>
      <c r="AX113" s="13">
        <f t="shared" si="12"/>
        <v>0.83064364207221342</v>
      </c>
      <c r="BA113" s="12">
        <f t="shared" si="9"/>
        <v>0</v>
      </c>
      <c r="BB113" s="12">
        <f t="shared" si="13"/>
        <v>0</v>
      </c>
      <c r="BC113" s="12">
        <f t="shared" si="13"/>
        <v>0</v>
      </c>
      <c r="BD113" s="12">
        <f t="shared" si="13"/>
        <v>0</v>
      </c>
      <c r="BE113" s="12">
        <f t="shared" si="13"/>
        <v>0</v>
      </c>
      <c r="BF113" s="12">
        <f t="shared" si="10"/>
        <v>0</v>
      </c>
      <c r="BJ113" s="12" t="str">
        <f t="shared" si="11"/>
        <v/>
      </c>
      <c r="BK113" s="12">
        <f>VLOOKUP(B113,Kraftvärmeprod!$B$1:$BH$549,MATCH($BA$1,Kraftvärmeprod!$B$1:$CC$1,0),FALSE)</f>
        <v>0</v>
      </c>
    </row>
    <row r="114" spans="1:63" ht="15" customHeight="1" x14ac:dyDescent="0.25">
      <c r="A114" s="137" t="s">
        <v>348</v>
      </c>
      <c r="B114" s="137" t="s">
        <v>349</v>
      </c>
      <c r="C114" s="137">
        <v>2018</v>
      </c>
      <c r="D114" s="137">
        <v>24.3</v>
      </c>
      <c r="E114" s="137">
        <v>27.5</v>
      </c>
      <c r="F114" s="137" t="s">
        <v>193</v>
      </c>
      <c r="G114" s="137">
        <v>1.7</v>
      </c>
      <c r="H114" s="137" t="s">
        <v>193</v>
      </c>
      <c r="I114" s="137" t="s">
        <v>193</v>
      </c>
      <c r="J114" s="137" t="s">
        <v>193</v>
      </c>
      <c r="K114" s="137" t="s">
        <v>193</v>
      </c>
      <c r="L114" s="137" t="s">
        <v>193</v>
      </c>
      <c r="M114" s="137" t="s">
        <v>53</v>
      </c>
      <c r="N114" s="137">
        <v>4.4000000000000004</v>
      </c>
      <c r="O114" s="137">
        <v>4.4000000000000004</v>
      </c>
      <c r="P114" s="137">
        <v>4.4000000000000004</v>
      </c>
      <c r="Q114" s="137">
        <v>4.4000000000000004</v>
      </c>
      <c r="R114" s="137" t="s">
        <v>193</v>
      </c>
      <c r="S114" s="137">
        <v>4.4000000000000004</v>
      </c>
      <c r="T114" s="137" t="s">
        <v>194</v>
      </c>
      <c r="U114" s="137" t="s">
        <v>193</v>
      </c>
      <c r="V114" s="137" t="s">
        <v>193</v>
      </c>
      <c r="W114" s="137" t="s">
        <v>193</v>
      </c>
      <c r="X114" s="137" t="s">
        <v>193</v>
      </c>
      <c r="Y114" s="137" t="s">
        <v>193</v>
      </c>
      <c r="Z114" s="137" t="s">
        <v>193</v>
      </c>
      <c r="AA114" s="137" t="s">
        <v>193</v>
      </c>
      <c r="AB114" s="137" t="s">
        <v>193</v>
      </c>
      <c r="AC114" s="137" t="s">
        <v>193</v>
      </c>
      <c r="AD114" s="137" t="s">
        <v>193</v>
      </c>
      <c r="AE114" s="137" t="s">
        <v>53</v>
      </c>
      <c r="AF114" s="137" t="s">
        <v>193</v>
      </c>
      <c r="AG114" s="137" t="s">
        <v>193</v>
      </c>
      <c r="AH114" s="137">
        <v>3.8</v>
      </c>
      <c r="AI114" s="137" t="s">
        <v>193</v>
      </c>
      <c r="AJ114" s="137" t="s">
        <v>193</v>
      </c>
      <c r="AK114" s="137" t="s">
        <v>193</v>
      </c>
      <c r="AL114" s="137" t="s">
        <v>193</v>
      </c>
      <c r="AM114" s="137" t="s">
        <v>193</v>
      </c>
      <c r="AN114" s="137" t="s">
        <v>53</v>
      </c>
      <c r="AO114" s="137">
        <v>100</v>
      </c>
      <c r="AP114" s="137" t="s">
        <v>193</v>
      </c>
      <c r="AQ114" s="137" t="s">
        <v>193</v>
      </c>
      <c r="AR114" s="137" t="s">
        <v>193</v>
      </c>
      <c r="AV114" s="1">
        <f t="shared" si="14"/>
        <v>27.500000000000004</v>
      </c>
      <c r="AW114" s="1">
        <f t="shared" si="8"/>
        <v>24.3</v>
      </c>
      <c r="AX114" s="13">
        <f t="shared" si="12"/>
        <v>0.88363636363636355</v>
      </c>
      <c r="BA114" s="12">
        <f t="shared" si="9"/>
        <v>3.8</v>
      </c>
      <c r="BB114" s="12">
        <f t="shared" si="13"/>
        <v>3.8</v>
      </c>
      <c r="BC114" s="12">
        <f t="shared" si="13"/>
        <v>0</v>
      </c>
      <c r="BD114" s="12">
        <f t="shared" si="13"/>
        <v>0</v>
      </c>
      <c r="BE114" s="12">
        <f t="shared" si="13"/>
        <v>0</v>
      </c>
      <c r="BF114" s="12">
        <f t="shared" si="10"/>
        <v>0</v>
      </c>
      <c r="BJ114" s="12" t="str">
        <f t="shared" si="11"/>
        <v/>
      </c>
      <c r="BK114" s="12">
        <f>VLOOKUP(B114,Kraftvärmeprod!$B$1:$BH$549,MATCH($BA$1,Kraftvärmeprod!$B$1:$CC$1,0),FALSE)</f>
        <v>6.7</v>
      </c>
    </row>
    <row r="115" spans="1:63" ht="15" customHeight="1" x14ac:dyDescent="0.25">
      <c r="A115" s="137" t="s">
        <v>348</v>
      </c>
      <c r="B115" s="137" t="s">
        <v>350</v>
      </c>
      <c r="C115" s="137">
        <v>2018</v>
      </c>
      <c r="D115" s="137">
        <v>7.36</v>
      </c>
      <c r="E115" s="137">
        <v>8.36</v>
      </c>
      <c r="F115" s="137" t="s">
        <v>193</v>
      </c>
      <c r="G115" s="137">
        <v>0.16</v>
      </c>
      <c r="H115" s="137" t="s">
        <v>193</v>
      </c>
      <c r="I115" s="137" t="s">
        <v>193</v>
      </c>
      <c r="J115" s="137" t="s">
        <v>193</v>
      </c>
      <c r="K115" s="137" t="s">
        <v>193</v>
      </c>
      <c r="L115" s="137" t="s">
        <v>193</v>
      </c>
      <c r="M115" s="137" t="s">
        <v>53</v>
      </c>
      <c r="N115" s="137" t="s">
        <v>193</v>
      </c>
      <c r="O115" s="137" t="s">
        <v>193</v>
      </c>
      <c r="P115" s="137">
        <v>8.1999999999999993</v>
      </c>
      <c r="Q115" s="137" t="s">
        <v>193</v>
      </c>
      <c r="R115" s="137" t="s">
        <v>193</v>
      </c>
      <c r="S115" s="137" t="s">
        <v>193</v>
      </c>
      <c r="T115" s="137" t="s">
        <v>193</v>
      </c>
      <c r="U115" s="137" t="s">
        <v>193</v>
      </c>
      <c r="V115" s="137" t="s">
        <v>193</v>
      </c>
      <c r="W115" s="137" t="s">
        <v>193</v>
      </c>
      <c r="X115" s="137" t="s">
        <v>193</v>
      </c>
      <c r="Y115" s="137" t="s">
        <v>193</v>
      </c>
      <c r="Z115" s="137" t="s">
        <v>193</v>
      </c>
      <c r="AA115" s="137" t="s">
        <v>193</v>
      </c>
      <c r="AB115" s="137" t="s">
        <v>193</v>
      </c>
      <c r="AC115" s="137" t="s">
        <v>193</v>
      </c>
      <c r="AD115" s="137" t="s">
        <v>193</v>
      </c>
      <c r="AE115" s="137" t="s">
        <v>53</v>
      </c>
      <c r="AF115" s="137" t="s">
        <v>193</v>
      </c>
      <c r="AG115" s="137" t="s">
        <v>193</v>
      </c>
      <c r="AH115" s="137" t="s">
        <v>193</v>
      </c>
      <c r="AI115" s="137" t="s">
        <v>193</v>
      </c>
      <c r="AJ115" s="137" t="s">
        <v>193</v>
      </c>
      <c r="AK115" s="137" t="s">
        <v>193</v>
      </c>
      <c r="AL115" s="137" t="s">
        <v>193</v>
      </c>
      <c r="AM115" s="137" t="s">
        <v>193</v>
      </c>
      <c r="AN115" s="137" t="s">
        <v>53</v>
      </c>
      <c r="AO115" s="137" t="s">
        <v>193</v>
      </c>
      <c r="AP115" s="137" t="s">
        <v>193</v>
      </c>
      <c r="AQ115" s="137" t="s">
        <v>193</v>
      </c>
      <c r="AR115" s="137" t="s">
        <v>193</v>
      </c>
      <c r="AV115" s="1">
        <f t="shared" si="14"/>
        <v>8.36</v>
      </c>
      <c r="AW115" s="1">
        <f t="shared" si="8"/>
        <v>7.36</v>
      </c>
      <c r="AX115" s="13">
        <f t="shared" si="12"/>
        <v>0.88038277511961738</v>
      </c>
      <c r="BA115" s="12">
        <f t="shared" si="9"/>
        <v>0</v>
      </c>
      <c r="BB115" s="12">
        <f t="shared" si="13"/>
        <v>0</v>
      </c>
      <c r="BC115" s="12">
        <f t="shared" si="13"/>
        <v>0</v>
      </c>
      <c r="BD115" s="12">
        <f t="shared" si="13"/>
        <v>0</v>
      </c>
      <c r="BE115" s="12">
        <f t="shared" si="13"/>
        <v>0</v>
      </c>
      <c r="BF115" s="12">
        <f t="shared" si="10"/>
        <v>0</v>
      </c>
      <c r="BJ115" s="12" t="str">
        <f t="shared" si="11"/>
        <v/>
      </c>
      <c r="BK115" s="12">
        <f>VLOOKUP(B115,Kraftvärmeprod!$B$1:$BH$549,MATCH($BA$1,Kraftvärmeprod!$B$1:$CC$1,0),FALSE)</f>
        <v>0</v>
      </c>
    </row>
    <row r="116" spans="1:63" ht="15" customHeight="1" x14ac:dyDescent="0.25">
      <c r="A116" s="137" t="s">
        <v>348</v>
      </c>
      <c r="B116" s="137" t="s">
        <v>351</v>
      </c>
      <c r="C116" s="137">
        <v>2018</v>
      </c>
      <c r="D116" s="137">
        <v>2.76</v>
      </c>
      <c r="E116" s="137">
        <v>2.77</v>
      </c>
      <c r="F116" s="137" t="s">
        <v>193</v>
      </c>
      <c r="G116" s="137">
        <v>0.17</v>
      </c>
      <c r="H116" s="137" t="s">
        <v>193</v>
      </c>
      <c r="I116" s="137" t="s">
        <v>193</v>
      </c>
      <c r="J116" s="137" t="s">
        <v>193</v>
      </c>
      <c r="K116" s="137" t="s">
        <v>193</v>
      </c>
      <c r="L116" s="137" t="s">
        <v>193</v>
      </c>
      <c r="M116" s="137" t="s">
        <v>53</v>
      </c>
      <c r="N116" s="137" t="s">
        <v>193</v>
      </c>
      <c r="O116" s="137" t="s">
        <v>193</v>
      </c>
      <c r="P116" s="137">
        <v>2.6</v>
      </c>
      <c r="Q116" s="137" t="s">
        <v>193</v>
      </c>
      <c r="R116" s="137" t="s">
        <v>193</v>
      </c>
      <c r="S116" s="137" t="s">
        <v>193</v>
      </c>
      <c r="T116" s="137" t="s">
        <v>193</v>
      </c>
      <c r="U116" s="137" t="s">
        <v>193</v>
      </c>
      <c r="V116" s="137" t="s">
        <v>193</v>
      </c>
      <c r="W116" s="137" t="s">
        <v>193</v>
      </c>
      <c r="X116" s="137" t="s">
        <v>193</v>
      </c>
      <c r="Y116" s="137" t="s">
        <v>193</v>
      </c>
      <c r="Z116" s="137" t="s">
        <v>193</v>
      </c>
      <c r="AA116" s="137" t="s">
        <v>193</v>
      </c>
      <c r="AB116" s="137" t="s">
        <v>193</v>
      </c>
      <c r="AC116" s="137" t="s">
        <v>193</v>
      </c>
      <c r="AD116" s="137" t="s">
        <v>193</v>
      </c>
      <c r="AE116" s="137" t="s">
        <v>53</v>
      </c>
      <c r="AF116" s="137" t="s">
        <v>193</v>
      </c>
      <c r="AG116" s="137" t="s">
        <v>193</v>
      </c>
      <c r="AH116" s="137" t="s">
        <v>193</v>
      </c>
      <c r="AI116" s="137" t="s">
        <v>193</v>
      </c>
      <c r="AJ116" s="137" t="s">
        <v>193</v>
      </c>
      <c r="AK116" s="137" t="s">
        <v>193</v>
      </c>
      <c r="AL116" s="137" t="s">
        <v>193</v>
      </c>
      <c r="AM116" s="137" t="s">
        <v>193</v>
      </c>
      <c r="AN116" s="137" t="s">
        <v>53</v>
      </c>
      <c r="AO116" s="137" t="s">
        <v>193</v>
      </c>
      <c r="AP116" s="137" t="s">
        <v>193</v>
      </c>
      <c r="AQ116" s="137" t="s">
        <v>193</v>
      </c>
      <c r="AR116" s="137" t="s">
        <v>193</v>
      </c>
      <c r="AV116" s="1">
        <f t="shared" si="14"/>
        <v>2.77</v>
      </c>
      <c r="AW116" s="1">
        <f t="shared" si="8"/>
        <v>2.76</v>
      </c>
      <c r="AX116" s="13">
        <f t="shared" si="12"/>
        <v>0.99638989169675085</v>
      </c>
      <c r="BA116" s="12">
        <f t="shared" si="9"/>
        <v>0</v>
      </c>
      <c r="BB116" s="12">
        <f t="shared" si="13"/>
        <v>0</v>
      </c>
      <c r="BC116" s="12">
        <f t="shared" si="13"/>
        <v>0</v>
      </c>
      <c r="BD116" s="12">
        <f t="shared" si="13"/>
        <v>0</v>
      </c>
      <c r="BE116" s="12">
        <f t="shared" si="13"/>
        <v>0</v>
      </c>
      <c r="BF116" s="12">
        <f t="shared" si="10"/>
        <v>0</v>
      </c>
      <c r="BJ116" s="12" t="str">
        <f t="shared" si="11"/>
        <v/>
      </c>
      <c r="BK116" s="12">
        <f>VLOOKUP(B116,Kraftvärmeprod!$B$1:$BH$549,MATCH($BA$1,Kraftvärmeprod!$B$1:$CC$1,0),FALSE)</f>
        <v>0</v>
      </c>
    </row>
    <row r="117" spans="1:63" ht="15" customHeight="1" x14ac:dyDescent="0.25">
      <c r="A117" s="137" t="s">
        <v>348</v>
      </c>
      <c r="B117" s="137" t="s">
        <v>352</v>
      </c>
      <c r="C117" s="137">
        <v>2018</v>
      </c>
      <c r="D117" s="137">
        <v>22.8</v>
      </c>
      <c r="E117" s="137">
        <v>25.78</v>
      </c>
      <c r="F117" s="137" t="s">
        <v>193</v>
      </c>
      <c r="G117" s="137">
        <v>2.2000000000000002</v>
      </c>
      <c r="H117" s="137" t="s">
        <v>193</v>
      </c>
      <c r="I117" s="137" t="s">
        <v>193</v>
      </c>
      <c r="J117" s="137" t="s">
        <v>193</v>
      </c>
      <c r="K117" s="137" t="s">
        <v>193</v>
      </c>
      <c r="L117" s="137" t="s">
        <v>193</v>
      </c>
      <c r="M117" s="137" t="s">
        <v>53</v>
      </c>
      <c r="N117" s="137">
        <v>4.26</v>
      </c>
      <c r="O117" s="137">
        <v>4.26</v>
      </c>
      <c r="P117" s="137">
        <v>4.26</v>
      </c>
      <c r="Q117" s="137">
        <v>4.26</v>
      </c>
      <c r="R117" s="137">
        <v>0</v>
      </c>
      <c r="S117" s="137">
        <v>4.26</v>
      </c>
      <c r="T117" s="137" t="s">
        <v>194</v>
      </c>
      <c r="U117" s="137" t="s">
        <v>193</v>
      </c>
      <c r="V117" s="137" t="s">
        <v>193</v>
      </c>
      <c r="W117" s="137" t="s">
        <v>193</v>
      </c>
      <c r="X117" s="137" t="s">
        <v>193</v>
      </c>
      <c r="Y117" s="137" t="s">
        <v>193</v>
      </c>
      <c r="Z117" s="137" t="s">
        <v>193</v>
      </c>
      <c r="AA117" s="137" t="s">
        <v>193</v>
      </c>
      <c r="AB117" s="137" t="s">
        <v>193</v>
      </c>
      <c r="AC117" s="137" t="s">
        <v>193</v>
      </c>
      <c r="AD117" s="137" t="s">
        <v>193</v>
      </c>
      <c r="AE117" s="137" t="s">
        <v>53</v>
      </c>
      <c r="AF117" s="137" t="s">
        <v>193</v>
      </c>
      <c r="AG117" s="137" t="s">
        <v>193</v>
      </c>
      <c r="AH117" s="137">
        <v>2.2799999999999998</v>
      </c>
      <c r="AI117" s="137" t="s">
        <v>193</v>
      </c>
      <c r="AJ117" s="137" t="s">
        <v>193</v>
      </c>
      <c r="AK117" s="137" t="s">
        <v>193</v>
      </c>
      <c r="AL117" s="137" t="s">
        <v>193</v>
      </c>
      <c r="AM117" s="137" t="s">
        <v>193</v>
      </c>
      <c r="AN117" s="137" t="s">
        <v>53</v>
      </c>
      <c r="AO117" s="137">
        <v>100</v>
      </c>
      <c r="AP117" s="137" t="s">
        <v>193</v>
      </c>
      <c r="AQ117" s="137" t="s">
        <v>193</v>
      </c>
      <c r="AR117" s="137" t="s">
        <v>193</v>
      </c>
      <c r="AV117" s="1">
        <f t="shared" si="14"/>
        <v>25.78</v>
      </c>
      <c r="AW117" s="1">
        <f t="shared" si="8"/>
        <v>22.8</v>
      </c>
      <c r="AX117" s="13">
        <f t="shared" si="12"/>
        <v>0.88440651667959658</v>
      </c>
      <c r="BA117" s="12">
        <f t="shared" si="9"/>
        <v>2.2799999999999998</v>
      </c>
      <c r="BB117" s="12">
        <f t="shared" si="13"/>
        <v>2.2799999999999998</v>
      </c>
      <c r="BC117" s="12">
        <f t="shared" si="13"/>
        <v>0</v>
      </c>
      <c r="BD117" s="12">
        <f t="shared" si="13"/>
        <v>0</v>
      </c>
      <c r="BE117" s="12">
        <f t="shared" si="13"/>
        <v>0</v>
      </c>
      <c r="BF117" s="12">
        <f t="shared" si="10"/>
        <v>0</v>
      </c>
      <c r="BJ117" s="12" t="str">
        <f t="shared" si="11"/>
        <v/>
      </c>
      <c r="BK117" s="12">
        <f>VLOOKUP(B117,Kraftvärmeprod!$B$1:$BH$549,MATCH($BA$1,Kraftvärmeprod!$B$1:$CC$1,0),FALSE)</f>
        <v>4</v>
      </c>
    </row>
    <row r="118" spans="1:63" ht="15" customHeight="1" x14ac:dyDescent="0.25">
      <c r="A118" s="137" t="s">
        <v>353</v>
      </c>
      <c r="B118" s="137" t="s">
        <v>78</v>
      </c>
      <c r="C118" s="137">
        <v>2018</v>
      </c>
      <c r="D118" s="137">
        <v>0.48099999999999998</v>
      </c>
      <c r="E118" s="137">
        <v>0.50346999999999997</v>
      </c>
      <c r="F118" s="137">
        <v>0</v>
      </c>
      <c r="G118" s="137">
        <v>0.50346999999999997</v>
      </c>
      <c r="H118" s="137">
        <v>0</v>
      </c>
      <c r="I118" s="137">
        <v>0</v>
      </c>
      <c r="J118" s="137">
        <v>0</v>
      </c>
      <c r="K118" s="137">
        <v>0</v>
      </c>
      <c r="L118" s="137">
        <v>0</v>
      </c>
      <c r="M118" s="137" t="s">
        <v>53</v>
      </c>
      <c r="N118" s="137">
        <v>0</v>
      </c>
      <c r="O118" s="137">
        <v>0</v>
      </c>
      <c r="P118" s="137">
        <v>0</v>
      </c>
      <c r="Q118" s="137">
        <v>0</v>
      </c>
      <c r="R118" s="137">
        <v>0</v>
      </c>
      <c r="S118" s="137">
        <v>0</v>
      </c>
      <c r="T118" s="137" t="s">
        <v>194</v>
      </c>
      <c r="U118" s="137">
        <v>0</v>
      </c>
      <c r="V118" s="137">
        <v>0</v>
      </c>
      <c r="W118" s="137">
        <v>0</v>
      </c>
      <c r="X118" s="137">
        <v>0</v>
      </c>
      <c r="Y118" s="137">
        <v>0</v>
      </c>
      <c r="Z118" s="137">
        <v>0</v>
      </c>
      <c r="AA118" s="137">
        <v>0</v>
      </c>
      <c r="AB118" s="137">
        <v>0</v>
      </c>
      <c r="AC118" s="137">
        <v>0</v>
      </c>
      <c r="AD118" s="137">
        <v>0</v>
      </c>
      <c r="AE118" s="137" t="s">
        <v>199</v>
      </c>
      <c r="AF118" s="137" t="s">
        <v>193</v>
      </c>
      <c r="AG118" s="137">
        <v>0</v>
      </c>
      <c r="AH118" s="137">
        <v>0</v>
      </c>
      <c r="AI118" s="137">
        <v>0</v>
      </c>
      <c r="AJ118" s="137" t="s">
        <v>193</v>
      </c>
      <c r="AK118" s="137">
        <v>0</v>
      </c>
      <c r="AL118" s="137">
        <v>0</v>
      </c>
      <c r="AM118" s="137">
        <v>0</v>
      </c>
      <c r="AN118" s="137" t="s">
        <v>53</v>
      </c>
      <c r="AO118" s="137">
        <v>0</v>
      </c>
      <c r="AP118" s="137">
        <v>0</v>
      </c>
      <c r="AQ118" s="137">
        <v>0</v>
      </c>
      <c r="AR118" s="137">
        <v>0</v>
      </c>
      <c r="AV118" s="1">
        <f t="shared" si="14"/>
        <v>0.50346999999999997</v>
      </c>
      <c r="AW118" s="1">
        <f t="shared" si="8"/>
        <v>0.48099999999999998</v>
      </c>
      <c r="AX118" s="13">
        <f t="shared" si="12"/>
        <v>0.95536973404572267</v>
      </c>
      <c r="BA118" s="12">
        <f t="shared" si="9"/>
        <v>0</v>
      </c>
      <c r="BB118" s="12">
        <f t="shared" si="13"/>
        <v>0</v>
      </c>
      <c r="BC118" s="12">
        <f t="shared" si="13"/>
        <v>0</v>
      </c>
      <c r="BD118" s="12">
        <f t="shared" si="13"/>
        <v>0</v>
      </c>
      <c r="BE118" s="12">
        <f t="shared" si="13"/>
        <v>0</v>
      </c>
      <c r="BF118" s="12">
        <f t="shared" si="10"/>
        <v>0</v>
      </c>
      <c r="BJ118" s="12" t="str">
        <f t="shared" si="11"/>
        <v/>
      </c>
      <c r="BK118" s="12">
        <f>VLOOKUP(B118,Kraftvärmeprod!$B$1:$BH$549,MATCH($BA$1,Kraftvärmeprod!$B$1:$CC$1,0),FALSE)</f>
        <v>0</v>
      </c>
    </row>
    <row r="119" spans="1:63" ht="15" customHeight="1" x14ac:dyDescent="0.25">
      <c r="A119" s="137" t="s">
        <v>354</v>
      </c>
      <c r="B119" s="137" t="s">
        <v>355</v>
      </c>
      <c r="C119" s="137">
        <v>2018</v>
      </c>
      <c r="D119" s="137">
        <v>43.1</v>
      </c>
      <c r="E119" s="137">
        <v>49.1</v>
      </c>
      <c r="F119" s="137" t="s">
        <v>193</v>
      </c>
      <c r="G119" s="137">
        <v>0.3</v>
      </c>
      <c r="H119" s="137" t="s">
        <v>193</v>
      </c>
      <c r="I119" s="137" t="s">
        <v>193</v>
      </c>
      <c r="J119" s="137" t="s">
        <v>193</v>
      </c>
      <c r="K119" s="137" t="s">
        <v>193</v>
      </c>
      <c r="L119" s="137" t="s">
        <v>193</v>
      </c>
      <c r="M119" s="137" t="s">
        <v>53</v>
      </c>
      <c r="N119" s="137">
        <v>40.5</v>
      </c>
      <c r="O119" s="137" t="s">
        <v>193</v>
      </c>
      <c r="P119" s="137">
        <v>2.2999999999999998</v>
      </c>
      <c r="Q119" s="137" t="s">
        <v>193</v>
      </c>
      <c r="R119" s="137" t="s">
        <v>193</v>
      </c>
      <c r="S119" s="137" t="s">
        <v>193</v>
      </c>
      <c r="T119" s="137" t="s">
        <v>194</v>
      </c>
      <c r="U119" s="137" t="s">
        <v>193</v>
      </c>
      <c r="V119" s="137" t="s">
        <v>193</v>
      </c>
      <c r="W119" s="137" t="s">
        <v>193</v>
      </c>
      <c r="X119" s="137" t="s">
        <v>193</v>
      </c>
      <c r="Y119" s="137" t="s">
        <v>193</v>
      </c>
      <c r="Z119" s="137" t="s">
        <v>193</v>
      </c>
      <c r="AA119" s="137" t="s">
        <v>193</v>
      </c>
      <c r="AB119" s="137" t="s">
        <v>193</v>
      </c>
      <c r="AC119" s="137" t="s">
        <v>193</v>
      </c>
      <c r="AD119" s="137" t="s">
        <v>193</v>
      </c>
      <c r="AE119" s="137" t="s">
        <v>53</v>
      </c>
      <c r="AF119" s="137" t="s">
        <v>193</v>
      </c>
      <c r="AG119" s="137" t="s">
        <v>193</v>
      </c>
      <c r="AH119" s="137">
        <v>6</v>
      </c>
      <c r="AI119" s="137" t="s">
        <v>193</v>
      </c>
      <c r="AJ119" s="137" t="s">
        <v>193</v>
      </c>
      <c r="AK119" s="137" t="s">
        <v>193</v>
      </c>
      <c r="AL119" s="137" t="s">
        <v>193</v>
      </c>
      <c r="AM119" s="137" t="s">
        <v>193</v>
      </c>
      <c r="AN119" s="137" t="s">
        <v>53</v>
      </c>
      <c r="AO119" s="137">
        <v>100</v>
      </c>
      <c r="AP119" s="137">
        <v>0</v>
      </c>
      <c r="AQ119" s="137">
        <v>0</v>
      </c>
      <c r="AR119" s="137">
        <v>0</v>
      </c>
      <c r="AV119" s="1">
        <f t="shared" si="14"/>
        <v>49.099999999999994</v>
      </c>
      <c r="AW119" s="1">
        <f t="shared" si="8"/>
        <v>43.1</v>
      </c>
      <c r="AX119" s="13">
        <f t="shared" si="12"/>
        <v>0.87780040733197573</v>
      </c>
      <c r="BA119" s="12">
        <f t="shared" si="9"/>
        <v>6</v>
      </c>
      <c r="BB119" s="12">
        <f t="shared" si="13"/>
        <v>6</v>
      </c>
      <c r="BC119" s="12">
        <f t="shared" si="13"/>
        <v>0</v>
      </c>
      <c r="BD119" s="12">
        <f t="shared" si="13"/>
        <v>0</v>
      </c>
      <c r="BE119" s="12">
        <f t="shared" si="13"/>
        <v>0</v>
      </c>
      <c r="BF119" s="12">
        <f t="shared" si="10"/>
        <v>0</v>
      </c>
      <c r="BJ119" s="12" t="str">
        <f t="shared" si="11"/>
        <v/>
      </c>
      <c r="BK119" s="12">
        <f>VLOOKUP(B119,Kraftvärmeprod!$B$1:$BH$549,MATCH($BA$1,Kraftvärmeprod!$B$1:$CC$1,0),FALSE)</f>
        <v>0</v>
      </c>
    </row>
    <row r="120" spans="1:63" ht="15" customHeight="1" x14ac:dyDescent="0.25">
      <c r="A120" s="137" t="s">
        <v>356</v>
      </c>
      <c r="B120" s="137" t="s">
        <v>357</v>
      </c>
      <c r="C120" s="137">
        <v>2018</v>
      </c>
      <c r="D120" s="137">
        <v>39.1</v>
      </c>
      <c r="E120" s="137">
        <v>42</v>
      </c>
      <c r="F120" s="137" t="s">
        <v>193</v>
      </c>
      <c r="G120" s="137">
        <v>0</v>
      </c>
      <c r="H120" s="137">
        <v>2.4</v>
      </c>
      <c r="I120" s="137">
        <v>0</v>
      </c>
      <c r="J120" s="137" t="s">
        <v>193</v>
      </c>
      <c r="K120" s="137" t="s">
        <v>193</v>
      </c>
      <c r="L120" s="137" t="s">
        <v>193</v>
      </c>
      <c r="M120" s="137" t="s">
        <v>53</v>
      </c>
      <c r="N120" s="137">
        <v>3.3</v>
      </c>
      <c r="O120" s="137">
        <v>8.8000000000000007</v>
      </c>
      <c r="P120" s="137">
        <v>10.1</v>
      </c>
      <c r="Q120" s="137">
        <v>0.5</v>
      </c>
      <c r="R120" s="137" t="s">
        <v>193</v>
      </c>
      <c r="S120" s="137">
        <v>0</v>
      </c>
      <c r="T120" s="137" t="s">
        <v>194</v>
      </c>
      <c r="U120" s="137">
        <v>5</v>
      </c>
      <c r="V120" s="137" t="s">
        <v>193</v>
      </c>
      <c r="W120" s="137" t="s">
        <v>193</v>
      </c>
      <c r="X120" s="137" t="s">
        <v>193</v>
      </c>
      <c r="Y120" s="137" t="s">
        <v>193</v>
      </c>
      <c r="Z120" s="137" t="s">
        <v>193</v>
      </c>
      <c r="AA120" s="137">
        <v>0</v>
      </c>
      <c r="AB120" s="137">
        <v>5.3</v>
      </c>
      <c r="AC120" s="137" t="s">
        <v>193</v>
      </c>
      <c r="AD120" s="137" t="s">
        <v>193</v>
      </c>
      <c r="AE120" s="137" t="s">
        <v>53</v>
      </c>
      <c r="AF120" s="137" t="s">
        <v>193</v>
      </c>
      <c r="AG120" s="137">
        <v>1.6</v>
      </c>
      <c r="AH120" s="137">
        <v>2.5</v>
      </c>
      <c r="AI120" s="137" t="s">
        <v>193</v>
      </c>
      <c r="AJ120" s="137" t="s">
        <v>193</v>
      </c>
      <c r="AK120" s="137" t="s">
        <v>193</v>
      </c>
      <c r="AL120" s="137">
        <v>2.5</v>
      </c>
      <c r="AM120" s="137">
        <v>2.7</v>
      </c>
      <c r="AN120" s="137" t="s">
        <v>53</v>
      </c>
      <c r="AO120" s="137">
        <v>81</v>
      </c>
      <c r="AP120" s="137" t="s">
        <v>193</v>
      </c>
      <c r="AQ120" s="137">
        <v>6</v>
      </c>
      <c r="AR120" s="137">
        <v>13</v>
      </c>
      <c r="AV120" s="1">
        <f t="shared" si="14"/>
        <v>42</v>
      </c>
      <c r="AW120" s="1">
        <f t="shared" si="8"/>
        <v>39.1</v>
      </c>
      <c r="AX120" s="13">
        <f t="shared" si="12"/>
        <v>0.93095238095238098</v>
      </c>
      <c r="BA120" s="12">
        <f t="shared" si="9"/>
        <v>2.5</v>
      </c>
      <c r="BB120" s="12">
        <f t="shared" si="13"/>
        <v>2.0250000000000004</v>
      </c>
      <c r="BC120" s="12">
        <f t="shared" si="13"/>
        <v>0</v>
      </c>
      <c r="BD120" s="12">
        <f t="shared" si="13"/>
        <v>0.15</v>
      </c>
      <c r="BE120" s="12">
        <f t="shared" si="13"/>
        <v>0.32500000000000001</v>
      </c>
      <c r="BF120" s="12">
        <f t="shared" si="10"/>
        <v>0</v>
      </c>
      <c r="BJ120" s="12" t="str">
        <f t="shared" si="11"/>
        <v/>
      </c>
      <c r="BK120" s="12">
        <f>VLOOKUP(B120,Kraftvärmeprod!$B$1:$BH$549,MATCH($BA$1,Kraftvärmeprod!$B$1:$CC$1,0),FALSE)</f>
        <v>31.5</v>
      </c>
    </row>
    <row r="121" spans="1:63" ht="15" customHeight="1" x14ac:dyDescent="0.25">
      <c r="A121" s="137" t="s">
        <v>358</v>
      </c>
      <c r="B121" s="137" t="s">
        <v>359</v>
      </c>
      <c r="C121" s="137">
        <v>2018</v>
      </c>
      <c r="D121" s="137">
        <v>97.1</v>
      </c>
      <c r="E121" s="137">
        <v>112.15</v>
      </c>
      <c r="F121" s="137" t="s">
        <v>193</v>
      </c>
      <c r="G121" s="137">
        <v>0.75</v>
      </c>
      <c r="H121" s="137" t="s">
        <v>193</v>
      </c>
      <c r="I121" s="137" t="s">
        <v>193</v>
      </c>
      <c r="J121" s="137" t="s">
        <v>193</v>
      </c>
      <c r="K121" s="137" t="s">
        <v>193</v>
      </c>
      <c r="L121" s="137" t="s">
        <v>193</v>
      </c>
      <c r="M121" s="137" t="s">
        <v>193</v>
      </c>
      <c r="N121" s="137" t="s">
        <v>193</v>
      </c>
      <c r="O121" s="137" t="s">
        <v>193</v>
      </c>
      <c r="P121" s="137">
        <v>95.8</v>
      </c>
      <c r="Q121" s="137" t="s">
        <v>193</v>
      </c>
      <c r="R121" s="137" t="s">
        <v>193</v>
      </c>
      <c r="S121" s="137" t="s">
        <v>193</v>
      </c>
      <c r="T121" s="137" t="s">
        <v>194</v>
      </c>
      <c r="U121" s="137" t="s">
        <v>193</v>
      </c>
      <c r="V121" s="137" t="s">
        <v>193</v>
      </c>
      <c r="W121" s="137" t="s">
        <v>193</v>
      </c>
      <c r="X121" s="137" t="s">
        <v>193</v>
      </c>
      <c r="Y121" s="137" t="s">
        <v>193</v>
      </c>
      <c r="Z121" s="137" t="s">
        <v>193</v>
      </c>
      <c r="AA121" s="137" t="s">
        <v>193</v>
      </c>
      <c r="AB121" s="137" t="s">
        <v>193</v>
      </c>
      <c r="AC121" s="137" t="s">
        <v>193</v>
      </c>
      <c r="AD121" s="137" t="s">
        <v>193</v>
      </c>
      <c r="AE121" s="137" t="s">
        <v>199</v>
      </c>
      <c r="AF121" s="137" t="s">
        <v>193</v>
      </c>
      <c r="AG121" s="137" t="s">
        <v>193</v>
      </c>
      <c r="AH121" s="137">
        <v>15.6</v>
      </c>
      <c r="AI121" s="137" t="s">
        <v>193</v>
      </c>
      <c r="AJ121" s="137" t="s">
        <v>193</v>
      </c>
      <c r="AK121" s="137" t="s">
        <v>193</v>
      </c>
      <c r="AL121" s="137" t="s">
        <v>193</v>
      </c>
      <c r="AM121" s="137" t="s">
        <v>193</v>
      </c>
      <c r="AN121" s="137" t="s">
        <v>193</v>
      </c>
      <c r="AO121" s="137">
        <v>100</v>
      </c>
      <c r="AP121" s="137" t="s">
        <v>193</v>
      </c>
      <c r="AQ121" s="137" t="s">
        <v>193</v>
      </c>
      <c r="AR121" s="137" t="s">
        <v>193</v>
      </c>
      <c r="AV121" s="1">
        <f t="shared" si="14"/>
        <v>112.14999999999999</v>
      </c>
      <c r="AW121" s="1">
        <f t="shared" si="8"/>
        <v>97.1</v>
      </c>
      <c r="AX121" s="13">
        <f t="shared" si="12"/>
        <v>0.86580472581364243</v>
      </c>
      <c r="BA121" s="12">
        <f t="shared" si="9"/>
        <v>15.6</v>
      </c>
      <c r="BB121" s="12">
        <f t="shared" si="13"/>
        <v>15.6</v>
      </c>
      <c r="BC121" s="12">
        <f t="shared" si="13"/>
        <v>0</v>
      </c>
      <c r="BD121" s="12">
        <f t="shared" si="13"/>
        <v>0</v>
      </c>
      <c r="BE121" s="12">
        <f t="shared" si="13"/>
        <v>0</v>
      </c>
      <c r="BF121" s="12">
        <f t="shared" si="10"/>
        <v>0</v>
      </c>
      <c r="BJ121" s="12" t="str">
        <f t="shared" si="11"/>
        <v/>
      </c>
      <c r="BK121" s="12">
        <f>VLOOKUP(B121,Kraftvärmeprod!$B$1:$BH$549,MATCH($BA$1,Kraftvärmeprod!$B$1:$CC$1,0),FALSE)</f>
        <v>0</v>
      </c>
    </row>
    <row r="122" spans="1:63" ht="15" customHeight="1" x14ac:dyDescent="0.25">
      <c r="A122" s="137" t="s">
        <v>358</v>
      </c>
      <c r="B122" s="137" t="s">
        <v>360</v>
      </c>
      <c r="C122" s="137">
        <v>2018</v>
      </c>
      <c r="D122" s="137">
        <v>20.5</v>
      </c>
      <c r="E122" s="137">
        <v>24.43</v>
      </c>
      <c r="F122" s="137" t="s">
        <v>193</v>
      </c>
      <c r="G122" s="137">
        <v>0</v>
      </c>
      <c r="H122" s="137" t="s">
        <v>193</v>
      </c>
      <c r="I122" s="137" t="s">
        <v>193</v>
      </c>
      <c r="J122" s="137" t="s">
        <v>193</v>
      </c>
      <c r="K122" s="137" t="s">
        <v>193</v>
      </c>
      <c r="L122" s="137" t="s">
        <v>193</v>
      </c>
      <c r="M122" s="137" t="s">
        <v>361</v>
      </c>
      <c r="N122" s="137" t="s">
        <v>193</v>
      </c>
      <c r="O122" s="137" t="s">
        <v>193</v>
      </c>
      <c r="P122" s="137">
        <v>24.1</v>
      </c>
      <c r="Q122" s="137" t="s">
        <v>193</v>
      </c>
      <c r="R122" s="137" t="s">
        <v>193</v>
      </c>
      <c r="S122" s="137" t="s">
        <v>193</v>
      </c>
      <c r="T122" s="137" t="s">
        <v>194</v>
      </c>
      <c r="U122" s="137" t="s">
        <v>193</v>
      </c>
      <c r="V122" s="137" t="s">
        <v>193</v>
      </c>
      <c r="W122" s="137" t="s">
        <v>193</v>
      </c>
      <c r="X122" s="137" t="s">
        <v>193</v>
      </c>
      <c r="Y122" s="137" t="s">
        <v>193</v>
      </c>
      <c r="Z122" s="137">
        <v>0.33</v>
      </c>
      <c r="AA122" s="137" t="s">
        <v>193</v>
      </c>
      <c r="AB122" s="137" t="s">
        <v>193</v>
      </c>
      <c r="AC122" s="137" t="s">
        <v>193</v>
      </c>
      <c r="AD122" s="137" t="s">
        <v>193</v>
      </c>
      <c r="AE122" s="137" t="s">
        <v>199</v>
      </c>
      <c r="AF122" s="137" t="s">
        <v>193</v>
      </c>
      <c r="AG122" s="137" t="s">
        <v>193</v>
      </c>
      <c r="AH122" s="137" t="s">
        <v>193</v>
      </c>
      <c r="AI122" s="137" t="s">
        <v>193</v>
      </c>
      <c r="AJ122" s="137" t="s">
        <v>193</v>
      </c>
      <c r="AK122" s="137" t="s">
        <v>193</v>
      </c>
      <c r="AL122" s="137" t="s">
        <v>193</v>
      </c>
      <c r="AM122" s="137" t="s">
        <v>193</v>
      </c>
      <c r="AN122" s="137" t="s">
        <v>53</v>
      </c>
      <c r="AO122" s="137" t="s">
        <v>193</v>
      </c>
      <c r="AP122" s="137" t="s">
        <v>193</v>
      </c>
      <c r="AQ122" s="137" t="s">
        <v>193</v>
      </c>
      <c r="AR122" s="137" t="s">
        <v>193</v>
      </c>
      <c r="AV122" s="1">
        <f t="shared" si="14"/>
        <v>24.43</v>
      </c>
      <c r="AW122" s="1">
        <f t="shared" si="8"/>
        <v>20.5</v>
      </c>
      <c r="AX122" s="13">
        <f t="shared" si="12"/>
        <v>0.83913221449038067</v>
      </c>
      <c r="BA122" s="12">
        <f t="shared" si="9"/>
        <v>0</v>
      </c>
      <c r="BB122" s="12">
        <f t="shared" si="13"/>
        <v>0</v>
      </c>
      <c r="BC122" s="12">
        <f t="shared" si="13"/>
        <v>0</v>
      </c>
      <c r="BD122" s="12">
        <f t="shared" si="13"/>
        <v>0</v>
      </c>
      <c r="BE122" s="12">
        <f t="shared" si="13"/>
        <v>0</v>
      </c>
      <c r="BF122" s="12">
        <f t="shared" si="10"/>
        <v>0</v>
      </c>
      <c r="BJ122" s="12" t="str">
        <f t="shared" si="11"/>
        <v/>
      </c>
      <c r="BK122" s="12">
        <f>VLOOKUP(B122,Kraftvärmeprod!$B$1:$BH$549,MATCH($BA$1,Kraftvärmeprod!$B$1:$CC$1,0),FALSE)</f>
        <v>0</v>
      </c>
    </row>
    <row r="123" spans="1:63" ht="15" customHeight="1" x14ac:dyDescent="0.25">
      <c r="A123" s="137" t="s">
        <v>362</v>
      </c>
      <c r="B123" s="137" t="s">
        <v>363</v>
      </c>
      <c r="C123" s="137">
        <v>2018</v>
      </c>
      <c r="D123" s="137">
        <v>5.8140000000000001</v>
      </c>
      <c r="E123" s="137">
        <v>6.3109999999999999</v>
      </c>
      <c r="F123" s="137" t="s">
        <v>193</v>
      </c>
      <c r="G123" s="137" t="s">
        <v>193</v>
      </c>
      <c r="H123" s="137" t="s">
        <v>193</v>
      </c>
      <c r="I123" s="137" t="s">
        <v>193</v>
      </c>
      <c r="J123" s="137">
        <v>1.4E-2</v>
      </c>
      <c r="K123" s="137" t="s">
        <v>193</v>
      </c>
      <c r="L123" s="137" t="s">
        <v>193</v>
      </c>
      <c r="M123" s="137" t="s">
        <v>219</v>
      </c>
      <c r="N123" s="137" t="s">
        <v>193</v>
      </c>
      <c r="O123" s="137" t="s">
        <v>193</v>
      </c>
      <c r="P123" s="137" t="s">
        <v>193</v>
      </c>
      <c r="Q123" s="137" t="s">
        <v>193</v>
      </c>
      <c r="R123" s="137" t="s">
        <v>193</v>
      </c>
      <c r="S123" s="137" t="s">
        <v>193</v>
      </c>
      <c r="T123" s="137" t="s">
        <v>193</v>
      </c>
      <c r="U123" s="137" t="s">
        <v>193</v>
      </c>
      <c r="V123" s="137" t="s">
        <v>193</v>
      </c>
      <c r="W123" s="137" t="s">
        <v>193</v>
      </c>
      <c r="X123" s="137" t="s">
        <v>193</v>
      </c>
      <c r="Y123" s="137" t="s">
        <v>193</v>
      </c>
      <c r="Z123" s="137">
        <v>6.2969999999999997</v>
      </c>
      <c r="AA123" s="137" t="s">
        <v>193</v>
      </c>
      <c r="AB123" s="137" t="s">
        <v>193</v>
      </c>
      <c r="AC123" s="137" t="s">
        <v>193</v>
      </c>
      <c r="AD123" s="137" t="s">
        <v>193</v>
      </c>
      <c r="AE123" s="137" t="s">
        <v>199</v>
      </c>
      <c r="AF123" s="137" t="s">
        <v>193</v>
      </c>
      <c r="AG123" s="137" t="s">
        <v>193</v>
      </c>
      <c r="AH123" s="137" t="s">
        <v>193</v>
      </c>
      <c r="AI123" s="137" t="s">
        <v>193</v>
      </c>
      <c r="AJ123" s="137" t="s">
        <v>193</v>
      </c>
      <c r="AK123" s="137" t="s">
        <v>193</v>
      </c>
      <c r="AL123" s="137" t="s">
        <v>193</v>
      </c>
      <c r="AM123" s="137" t="s">
        <v>193</v>
      </c>
      <c r="AN123" s="137" t="s">
        <v>219</v>
      </c>
      <c r="AO123" s="137" t="s">
        <v>193</v>
      </c>
      <c r="AP123" s="137" t="s">
        <v>193</v>
      </c>
      <c r="AQ123" s="137" t="s">
        <v>193</v>
      </c>
      <c r="AR123" s="137" t="s">
        <v>193</v>
      </c>
      <c r="AV123" s="1">
        <f t="shared" si="14"/>
        <v>6.3109999999999999</v>
      </c>
      <c r="AW123" s="1">
        <f t="shared" si="8"/>
        <v>5.8140000000000001</v>
      </c>
      <c r="AX123" s="13">
        <f t="shared" si="12"/>
        <v>0.92124861353192844</v>
      </c>
      <c r="BA123" s="12">
        <f t="shared" si="9"/>
        <v>0</v>
      </c>
      <c r="BB123" s="12">
        <f t="shared" si="13"/>
        <v>0</v>
      </c>
      <c r="BC123" s="12">
        <f t="shared" si="13"/>
        <v>0</v>
      </c>
      <c r="BD123" s="12">
        <f t="shared" si="13"/>
        <v>0</v>
      </c>
      <c r="BE123" s="12">
        <f t="shared" si="13"/>
        <v>0</v>
      </c>
      <c r="BF123" s="12">
        <f t="shared" si="10"/>
        <v>0</v>
      </c>
      <c r="BJ123" s="12" t="str">
        <f t="shared" si="11"/>
        <v/>
      </c>
      <c r="BK123" s="12">
        <f>VLOOKUP(B123,Kraftvärmeprod!$B$1:$BH$549,MATCH($BA$1,Kraftvärmeprod!$B$1:$CC$1,0),FALSE)</f>
        <v>0</v>
      </c>
    </row>
    <row r="124" spans="1:63" ht="15" customHeight="1" x14ac:dyDescent="0.25">
      <c r="A124" s="137" t="s">
        <v>364</v>
      </c>
      <c r="B124" s="137" t="s">
        <v>365</v>
      </c>
      <c r="C124" s="137">
        <v>2018</v>
      </c>
      <c r="D124" s="137">
        <v>41</v>
      </c>
      <c r="E124" s="137">
        <v>50.3</v>
      </c>
      <c r="F124" s="137" t="s">
        <v>193</v>
      </c>
      <c r="G124" s="137">
        <v>0.3</v>
      </c>
      <c r="H124" s="137" t="s">
        <v>193</v>
      </c>
      <c r="I124" s="137" t="s">
        <v>193</v>
      </c>
      <c r="J124" s="137" t="s">
        <v>193</v>
      </c>
      <c r="K124" s="137" t="s">
        <v>193</v>
      </c>
      <c r="L124" s="137" t="s">
        <v>193</v>
      </c>
      <c r="M124" s="137" t="s">
        <v>53</v>
      </c>
      <c r="N124" s="137" t="s">
        <v>193</v>
      </c>
      <c r="O124" s="137" t="s">
        <v>193</v>
      </c>
      <c r="P124" s="137">
        <v>39</v>
      </c>
      <c r="Q124" s="137" t="s">
        <v>193</v>
      </c>
      <c r="R124" s="137" t="s">
        <v>193</v>
      </c>
      <c r="S124" s="137" t="s">
        <v>193</v>
      </c>
      <c r="T124" s="137" t="s">
        <v>194</v>
      </c>
      <c r="U124" s="137">
        <v>5</v>
      </c>
      <c r="V124" s="137" t="s">
        <v>193</v>
      </c>
      <c r="W124" s="137" t="s">
        <v>193</v>
      </c>
      <c r="X124" s="137" t="s">
        <v>193</v>
      </c>
      <c r="Y124" s="137" t="s">
        <v>193</v>
      </c>
      <c r="Z124" s="137" t="s">
        <v>193</v>
      </c>
      <c r="AA124" s="137" t="s">
        <v>193</v>
      </c>
      <c r="AB124" s="137" t="s">
        <v>193</v>
      </c>
      <c r="AC124" s="137" t="s">
        <v>193</v>
      </c>
      <c r="AD124" s="137" t="s">
        <v>193</v>
      </c>
      <c r="AE124" s="137" t="s">
        <v>53</v>
      </c>
      <c r="AF124" s="137" t="s">
        <v>193</v>
      </c>
      <c r="AG124" s="137" t="s">
        <v>193</v>
      </c>
      <c r="AH124" s="137">
        <v>6</v>
      </c>
      <c r="AI124" s="137" t="s">
        <v>193</v>
      </c>
      <c r="AJ124" s="137" t="s">
        <v>193</v>
      </c>
      <c r="AK124" s="137" t="s">
        <v>193</v>
      </c>
      <c r="AL124" s="137">
        <v>0</v>
      </c>
      <c r="AM124" s="137">
        <v>0</v>
      </c>
      <c r="AN124" s="137" t="s">
        <v>53</v>
      </c>
      <c r="AO124" s="137">
        <v>100</v>
      </c>
      <c r="AP124" s="137" t="s">
        <v>193</v>
      </c>
      <c r="AQ124" s="137" t="s">
        <v>193</v>
      </c>
      <c r="AR124" s="137" t="s">
        <v>193</v>
      </c>
      <c r="AV124" s="1">
        <f t="shared" si="14"/>
        <v>50.3</v>
      </c>
      <c r="AW124" s="1">
        <f t="shared" si="8"/>
        <v>41</v>
      </c>
      <c r="AX124" s="13">
        <f t="shared" si="12"/>
        <v>0.81510934393638179</v>
      </c>
      <c r="BA124" s="12">
        <f t="shared" si="9"/>
        <v>6</v>
      </c>
      <c r="BB124" s="12">
        <f t="shared" si="13"/>
        <v>6</v>
      </c>
      <c r="BC124" s="12">
        <f t="shared" si="13"/>
        <v>0</v>
      </c>
      <c r="BD124" s="12">
        <f t="shared" si="13"/>
        <v>0</v>
      </c>
      <c r="BE124" s="12">
        <f t="shared" si="13"/>
        <v>0</v>
      </c>
      <c r="BF124" s="12">
        <f t="shared" si="10"/>
        <v>0</v>
      </c>
      <c r="BJ124" s="12" t="str">
        <f t="shared" si="11"/>
        <v/>
      </c>
      <c r="BK124" s="12">
        <f>VLOOKUP(B124,Kraftvärmeprod!$B$1:$BH$549,MATCH($BA$1,Kraftvärmeprod!$B$1:$CC$1,0),FALSE)</f>
        <v>0</v>
      </c>
    </row>
    <row r="125" spans="1:63" ht="15" customHeight="1" x14ac:dyDescent="0.25">
      <c r="A125" s="137" t="s">
        <v>366</v>
      </c>
      <c r="B125" s="137" t="s">
        <v>367</v>
      </c>
      <c r="C125" s="137">
        <v>2018</v>
      </c>
      <c r="D125" s="137" t="s">
        <v>193</v>
      </c>
      <c r="E125" s="137" t="s">
        <v>193</v>
      </c>
      <c r="F125" s="137" t="s">
        <v>193</v>
      </c>
      <c r="G125" s="137" t="s">
        <v>193</v>
      </c>
      <c r="H125" s="137" t="s">
        <v>193</v>
      </c>
      <c r="I125" s="137" t="s">
        <v>193</v>
      </c>
      <c r="J125" s="137" t="s">
        <v>193</v>
      </c>
      <c r="K125" s="137" t="s">
        <v>193</v>
      </c>
      <c r="L125" s="137" t="s">
        <v>193</v>
      </c>
      <c r="M125" s="137" t="s">
        <v>53</v>
      </c>
      <c r="N125" s="137" t="s">
        <v>193</v>
      </c>
      <c r="O125" s="137" t="s">
        <v>193</v>
      </c>
      <c r="P125" s="137" t="s">
        <v>193</v>
      </c>
      <c r="Q125" s="137" t="s">
        <v>193</v>
      </c>
      <c r="R125" s="137" t="s">
        <v>193</v>
      </c>
      <c r="S125" s="137" t="s">
        <v>193</v>
      </c>
      <c r="T125" s="137" t="s">
        <v>193</v>
      </c>
      <c r="U125" s="137" t="s">
        <v>193</v>
      </c>
      <c r="V125" s="137" t="s">
        <v>193</v>
      </c>
      <c r="W125" s="137" t="s">
        <v>193</v>
      </c>
      <c r="X125" s="137" t="s">
        <v>193</v>
      </c>
      <c r="Y125" s="137" t="s">
        <v>193</v>
      </c>
      <c r="Z125" s="137" t="s">
        <v>193</v>
      </c>
      <c r="AA125" s="137" t="s">
        <v>193</v>
      </c>
      <c r="AB125" s="137" t="s">
        <v>193</v>
      </c>
      <c r="AC125" s="137" t="s">
        <v>193</v>
      </c>
      <c r="AD125" s="137" t="s">
        <v>193</v>
      </c>
      <c r="AE125" s="137" t="s">
        <v>199</v>
      </c>
      <c r="AF125" s="137" t="s">
        <v>193</v>
      </c>
      <c r="AG125" s="137" t="s">
        <v>193</v>
      </c>
      <c r="AH125" s="137" t="s">
        <v>193</v>
      </c>
      <c r="AI125" s="137" t="s">
        <v>193</v>
      </c>
      <c r="AJ125" s="137" t="s">
        <v>193</v>
      </c>
      <c r="AK125" s="137" t="s">
        <v>193</v>
      </c>
      <c r="AL125" s="137" t="s">
        <v>193</v>
      </c>
      <c r="AM125" s="137" t="s">
        <v>193</v>
      </c>
      <c r="AN125" s="137" t="s">
        <v>53</v>
      </c>
      <c r="AO125" s="137" t="s">
        <v>193</v>
      </c>
      <c r="AP125" s="137" t="s">
        <v>193</v>
      </c>
      <c r="AQ125" s="137" t="s">
        <v>193</v>
      </c>
      <c r="AR125" s="137" t="s">
        <v>193</v>
      </c>
      <c r="AV125" s="1">
        <f t="shared" si="14"/>
        <v>0</v>
      </c>
      <c r="AW125" s="1">
        <f t="shared" si="8"/>
        <v>0</v>
      </c>
      <c r="AX125" s="13" t="str">
        <f t="shared" si="12"/>
        <v/>
      </c>
      <c r="BA125" s="12">
        <f t="shared" si="9"/>
        <v>0</v>
      </c>
      <c r="BB125" s="12">
        <f t="shared" si="13"/>
        <v>0</v>
      </c>
      <c r="BC125" s="12">
        <f t="shared" si="13"/>
        <v>0</v>
      </c>
      <c r="BD125" s="12">
        <f t="shared" si="13"/>
        <v>0</v>
      </c>
      <c r="BE125" s="12">
        <f t="shared" si="13"/>
        <v>0</v>
      </c>
      <c r="BF125" s="12">
        <f t="shared" si="10"/>
        <v>0</v>
      </c>
      <c r="BJ125" s="12" t="str">
        <f t="shared" si="11"/>
        <v/>
      </c>
      <c r="BK125" s="12">
        <f>VLOOKUP(B125,Kraftvärmeprod!$B$1:$BH$549,MATCH($BA$1,Kraftvärmeprod!$B$1:$CC$1,0),FALSE)</f>
        <v>0</v>
      </c>
    </row>
    <row r="126" spans="1:63" ht="15" customHeight="1" x14ac:dyDescent="0.25">
      <c r="A126" s="137" t="s">
        <v>366</v>
      </c>
      <c r="B126" s="137" t="s">
        <v>368</v>
      </c>
      <c r="C126" s="137">
        <v>2018</v>
      </c>
      <c r="D126" s="137">
        <v>6.8</v>
      </c>
      <c r="E126" s="137">
        <v>7.8</v>
      </c>
      <c r="F126" s="137" t="s">
        <v>193</v>
      </c>
      <c r="G126" s="137">
        <v>0.3</v>
      </c>
      <c r="H126" s="137" t="s">
        <v>193</v>
      </c>
      <c r="I126" s="137" t="s">
        <v>193</v>
      </c>
      <c r="J126" s="137" t="s">
        <v>193</v>
      </c>
      <c r="K126" s="137" t="s">
        <v>193</v>
      </c>
      <c r="L126" s="137" t="s">
        <v>193</v>
      </c>
      <c r="M126" s="137" t="s">
        <v>53</v>
      </c>
      <c r="N126" s="137" t="s">
        <v>193</v>
      </c>
      <c r="O126" s="137" t="s">
        <v>193</v>
      </c>
      <c r="P126" s="137" t="s">
        <v>193</v>
      </c>
      <c r="Q126" s="137" t="s">
        <v>193</v>
      </c>
      <c r="R126" s="137" t="s">
        <v>193</v>
      </c>
      <c r="S126" s="137" t="s">
        <v>193</v>
      </c>
      <c r="T126" s="137" t="s">
        <v>193</v>
      </c>
      <c r="U126" s="137">
        <v>6.7</v>
      </c>
      <c r="V126" s="137" t="s">
        <v>193</v>
      </c>
      <c r="W126" s="137" t="s">
        <v>193</v>
      </c>
      <c r="X126" s="137" t="s">
        <v>193</v>
      </c>
      <c r="Y126" s="137" t="s">
        <v>193</v>
      </c>
      <c r="Z126" s="137">
        <v>0.1</v>
      </c>
      <c r="AA126" s="137" t="s">
        <v>193</v>
      </c>
      <c r="AB126" s="137" t="s">
        <v>193</v>
      </c>
      <c r="AC126" s="137" t="s">
        <v>193</v>
      </c>
      <c r="AD126" s="137" t="s">
        <v>193</v>
      </c>
      <c r="AE126" s="137" t="s">
        <v>199</v>
      </c>
      <c r="AF126" s="137" t="s">
        <v>193</v>
      </c>
      <c r="AG126" s="137" t="s">
        <v>193</v>
      </c>
      <c r="AH126" s="137" t="s">
        <v>193</v>
      </c>
      <c r="AI126" s="137" t="s">
        <v>193</v>
      </c>
      <c r="AJ126" s="137" t="s">
        <v>193</v>
      </c>
      <c r="AK126" s="137" t="s">
        <v>193</v>
      </c>
      <c r="AL126" s="137">
        <v>0.7</v>
      </c>
      <c r="AM126" s="137">
        <v>0.7</v>
      </c>
      <c r="AN126" s="137" t="s">
        <v>53</v>
      </c>
      <c r="AO126" s="137" t="s">
        <v>193</v>
      </c>
      <c r="AP126" s="137" t="s">
        <v>193</v>
      </c>
      <c r="AQ126" s="137" t="s">
        <v>193</v>
      </c>
      <c r="AR126" s="137" t="s">
        <v>193</v>
      </c>
      <c r="AV126" s="1">
        <f t="shared" si="14"/>
        <v>7.8</v>
      </c>
      <c r="AW126" s="1">
        <f t="shared" si="8"/>
        <v>6.8</v>
      </c>
      <c r="AX126" s="13">
        <f t="shared" si="12"/>
        <v>0.87179487179487181</v>
      </c>
      <c r="BA126" s="12">
        <f t="shared" si="9"/>
        <v>0</v>
      </c>
      <c r="BB126" s="12">
        <f t="shared" si="13"/>
        <v>0</v>
      </c>
      <c r="BC126" s="12">
        <f t="shared" si="13"/>
        <v>0</v>
      </c>
      <c r="BD126" s="12">
        <f t="shared" si="13"/>
        <v>0</v>
      </c>
      <c r="BE126" s="12">
        <f t="shared" si="13"/>
        <v>0</v>
      </c>
      <c r="BF126" s="12">
        <f t="shared" si="10"/>
        <v>0</v>
      </c>
      <c r="BJ126" s="12" t="str">
        <f t="shared" si="11"/>
        <v/>
      </c>
      <c r="BK126" s="12">
        <f>VLOOKUP(B126,Kraftvärmeprod!$B$1:$BH$549,MATCH($BA$1,Kraftvärmeprod!$B$1:$CC$1,0),FALSE)</f>
        <v>0</v>
      </c>
    </row>
    <row r="127" spans="1:63" ht="15" customHeight="1" x14ac:dyDescent="0.25">
      <c r="A127" s="137" t="s">
        <v>366</v>
      </c>
      <c r="B127" s="137" t="s">
        <v>369</v>
      </c>
      <c r="C127" s="137">
        <v>2018</v>
      </c>
      <c r="D127" s="137">
        <v>64.3</v>
      </c>
      <c r="E127" s="137">
        <v>80.3</v>
      </c>
      <c r="F127" s="137" t="s">
        <v>193</v>
      </c>
      <c r="G127" s="137">
        <v>0.3</v>
      </c>
      <c r="H127" s="137" t="s">
        <v>193</v>
      </c>
      <c r="I127" s="137" t="s">
        <v>193</v>
      </c>
      <c r="J127" s="137" t="s">
        <v>193</v>
      </c>
      <c r="K127" s="137" t="s">
        <v>193</v>
      </c>
      <c r="L127" s="137" t="s">
        <v>193</v>
      </c>
      <c r="M127" s="137" t="s">
        <v>53</v>
      </c>
      <c r="N127" s="137" t="s">
        <v>193</v>
      </c>
      <c r="O127" s="137" t="s">
        <v>193</v>
      </c>
      <c r="P127" s="137">
        <v>59.5</v>
      </c>
      <c r="Q127" s="137" t="s">
        <v>193</v>
      </c>
      <c r="R127" s="137" t="s">
        <v>193</v>
      </c>
      <c r="S127" s="137" t="s">
        <v>193</v>
      </c>
      <c r="T127" s="137" t="s">
        <v>193</v>
      </c>
      <c r="U127" s="137">
        <v>8.5</v>
      </c>
      <c r="V127" s="137" t="s">
        <v>193</v>
      </c>
      <c r="W127" s="137" t="s">
        <v>193</v>
      </c>
      <c r="X127" s="137" t="s">
        <v>193</v>
      </c>
      <c r="Y127" s="137" t="s">
        <v>193</v>
      </c>
      <c r="Z127" s="137">
        <v>6.8</v>
      </c>
      <c r="AA127" s="137" t="s">
        <v>193</v>
      </c>
      <c r="AB127" s="137" t="s">
        <v>193</v>
      </c>
      <c r="AC127" s="137" t="s">
        <v>193</v>
      </c>
      <c r="AD127" s="137" t="s">
        <v>193</v>
      </c>
      <c r="AE127" s="137" t="s">
        <v>199</v>
      </c>
      <c r="AF127" s="137" t="s">
        <v>193</v>
      </c>
      <c r="AG127" s="137" t="s">
        <v>193</v>
      </c>
      <c r="AH127" s="137">
        <v>4.8</v>
      </c>
      <c r="AI127" s="137" t="s">
        <v>193</v>
      </c>
      <c r="AJ127" s="137" t="s">
        <v>193</v>
      </c>
      <c r="AK127" s="137" t="s">
        <v>193</v>
      </c>
      <c r="AL127" s="137">
        <v>0.4</v>
      </c>
      <c r="AM127" s="137">
        <v>0.4</v>
      </c>
      <c r="AN127" s="137" t="s">
        <v>53</v>
      </c>
      <c r="AO127" s="137">
        <v>100</v>
      </c>
      <c r="AP127" s="137">
        <v>0</v>
      </c>
      <c r="AQ127" s="137">
        <v>0</v>
      </c>
      <c r="AR127" s="137">
        <v>0</v>
      </c>
      <c r="AV127" s="1">
        <f t="shared" si="14"/>
        <v>80.3</v>
      </c>
      <c r="AW127" s="1">
        <f t="shared" si="8"/>
        <v>64.3</v>
      </c>
      <c r="AX127" s="13">
        <f t="shared" si="12"/>
        <v>0.80074719800747196</v>
      </c>
      <c r="BA127" s="12">
        <f t="shared" si="9"/>
        <v>4.8</v>
      </c>
      <c r="BB127" s="12">
        <f t="shared" si="13"/>
        <v>4.8</v>
      </c>
      <c r="BC127" s="12">
        <f t="shared" si="13"/>
        <v>0</v>
      </c>
      <c r="BD127" s="12">
        <f t="shared" si="13"/>
        <v>0</v>
      </c>
      <c r="BE127" s="12">
        <f t="shared" si="13"/>
        <v>0</v>
      </c>
      <c r="BF127" s="12">
        <f t="shared" si="10"/>
        <v>0</v>
      </c>
      <c r="BJ127" s="12" t="str">
        <f t="shared" si="11"/>
        <v/>
      </c>
      <c r="BK127" s="12">
        <f>VLOOKUP(B127,Kraftvärmeprod!$B$1:$BH$549,MATCH($BA$1,Kraftvärmeprod!$B$1:$CC$1,0),FALSE)</f>
        <v>0</v>
      </c>
    </row>
    <row r="128" spans="1:63" ht="15" customHeight="1" x14ac:dyDescent="0.25">
      <c r="A128" s="137" t="s">
        <v>366</v>
      </c>
      <c r="B128" s="137" t="s">
        <v>370</v>
      </c>
      <c r="C128" s="137">
        <v>2018</v>
      </c>
      <c r="D128" s="137">
        <v>120.7</v>
      </c>
      <c r="E128" s="137">
        <v>127.8</v>
      </c>
      <c r="F128" s="137" t="s">
        <v>193</v>
      </c>
      <c r="G128" s="137">
        <v>2.9</v>
      </c>
      <c r="H128" s="137" t="s">
        <v>193</v>
      </c>
      <c r="I128" s="137">
        <v>8.1</v>
      </c>
      <c r="J128" s="137" t="s">
        <v>193</v>
      </c>
      <c r="K128" s="137" t="s">
        <v>193</v>
      </c>
      <c r="L128" s="137" t="s">
        <v>193</v>
      </c>
      <c r="M128" s="137" t="s">
        <v>53</v>
      </c>
      <c r="N128" s="137">
        <v>8.8000000000000007</v>
      </c>
      <c r="O128" s="137">
        <v>28.6</v>
      </c>
      <c r="P128" s="137">
        <v>32.1</v>
      </c>
      <c r="Q128" s="137">
        <v>24.7</v>
      </c>
      <c r="R128" s="137" t="s">
        <v>193</v>
      </c>
      <c r="S128" s="137" t="s">
        <v>193</v>
      </c>
      <c r="T128" s="137" t="s">
        <v>193</v>
      </c>
      <c r="U128" s="137" t="s">
        <v>193</v>
      </c>
      <c r="V128" s="137" t="s">
        <v>193</v>
      </c>
      <c r="W128" s="137" t="s">
        <v>193</v>
      </c>
      <c r="X128" s="137" t="s">
        <v>193</v>
      </c>
      <c r="Y128" s="137" t="s">
        <v>193</v>
      </c>
      <c r="Z128" s="137">
        <v>1.2</v>
      </c>
      <c r="AA128" s="137" t="s">
        <v>193</v>
      </c>
      <c r="AB128" s="137">
        <v>3.2</v>
      </c>
      <c r="AC128" s="137" t="s">
        <v>193</v>
      </c>
      <c r="AD128" s="137" t="s">
        <v>193</v>
      </c>
      <c r="AE128" s="137" t="s">
        <v>199</v>
      </c>
      <c r="AF128" s="137" t="s">
        <v>193</v>
      </c>
      <c r="AG128" s="137" t="s">
        <v>193</v>
      </c>
      <c r="AH128" s="137">
        <v>18.2</v>
      </c>
      <c r="AI128" s="137" t="s">
        <v>193</v>
      </c>
      <c r="AJ128" s="137" t="s">
        <v>193</v>
      </c>
      <c r="AK128" s="137" t="s">
        <v>193</v>
      </c>
      <c r="AL128" s="137" t="s">
        <v>193</v>
      </c>
      <c r="AM128" s="137" t="s">
        <v>193</v>
      </c>
      <c r="AN128" s="137" t="s">
        <v>53</v>
      </c>
      <c r="AO128" s="137">
        <v>97</v>
      </c>
      <c r="AP128" s="137">
        <v>0</v>
      </c>
      <c r="AQ128" s="137">
        <v>0</v>
      </c>
      <c r="AR128" s="137">
        <v>3</v>
      </c>
      <c r="AV128" s="1">
        <f t="shared" si="14"/>
        <v>127.80000000000001</v>
      </c>
      <c r="AW128" s="1">
        <f t="shared" si="8"/>
        <v>120.7</v>
      </c>
      <c r="AX128" s="13">
        <f t="shared" si="12"/>
        <v>0.94444444444444442</v>
      </c>
      <c r="BA128" s="12">
        <f t="shared" si="9"/>
        <v>18.2</v>
      </c>
      <c r="BB128" s="12">
        <f t="shared" si="13"/>
        <v>17.654</v>
      </c>
      <c r="BC128" s="12">
        <f t="shared" si="13"/>
        <v>0</v>
      </c>
      <c r="BD128" s="12">
        <f t="shared" si="13"/>
        <v>0</v>
      </c>
      <c r="BE128" s="12">
        <f t="shared" si="13"/>
        <v>0.54599999999999993</v>
      </c>
      <c r="BF128" s="12">
        <f t="shared" si="10"/>
        <v>0</v>
      </c>
      <c r="BJ128" s="12" t="str">
        <f t="shared" si="11"/>
        <v/>
      </c>
      <c r="BK128" s="12">
        <f>VLOOKUP(B128,Kraftvärmeprod!$B$1:$BH$549,MATCH($BA$1,Kraftvärmeprod!$B$1:$CC$1,0),FALSE)</f>
        <v>106.1</v>
      </c>
    </row>
    <row r="129" spans="1:63" ht="15" customHeight="1" x14ac:dyDescent="0.25">
      <c r="A129" s="137" t="s">
        <v>371</v>
      </c>
      <c r="B129" s="137" t="s">
        <v>81</v>
      </c>
      <c r="C129" s="137">
        <v>2018</v>
      </c>
      <c r="D129" s="137">
        <v>62</v>
      </c>
      <c r="E129" s="137">
        <v>83.87</v>
      </c>
      <c r="F129" s="137" t="s">
        <v>193</v>
      </c>
      <c r="G129" s="137">
        <v>1</v>
      </c>
      <c r="H129" s="137" t="s">
        <v>193</v>
      </c>
      <c r="I129" s="137" t="s">
        <v>193</v>
      </c>
      <c r="J129" s="137" t="s">
        <v>193</v>
      </c>
      <c r="K129" s="137" t="s">
        <v>193</v>
      </c>
      <c r="L129" s="137" t="s">
        <v>193</v>
      </c>
      <c r="M129" s="137" t="s">
        <v>53</v>
      </c>
      <c r="N129" s="137" t="s">
        <v>193</v>
      </c>
      <c r="O129" s="137" t="s">
        <v>193</v>
      </c>
      <c r="P129" s="137">
        <v>16.5</v>
      </c>
      <c r="Q129" s="137">
        <v>16.899999999999999</v>
      </c>
      <c r="R129" s="137" t="s">
        <v>193</v>
      </c>
      <c r="S129" s="137">
        <v>30.8</v>
      </c>
      <c r="T129" s="137" t="s">
        <v>193</v>
      </c>
      <c r="U129" s="137">
        <v>12</v>
      </c>
      <c r="V129" s="137" t="s">
        <v>193</v>
      </c>
      <c r="W129" s="137" t="s">
        <v>193</v>
      </c>
      <c r="X129" s="137" t="s">
        <v>193</v>
      </c>
      <c r="Y129" s="137" t="s">
        <v>193</v>
      </c>
      <c r="Z129" s="137">
        <v>4.47</v>
      </c>
      <c r="AA129" s="137" t="s">
        <v>193</v>
      </c>
      <c r="AB129" s="137" t="s">
        <v>193</v>
      </c>
      <c r="AC129" s="137" t="s">
        <v>193</v>
      </c>
      <c r="AD129" s="137" t="s">
        <v>193</v>
      </c>
      <c r="AE129" s="137" t="s">
        <v>53</v>
      </c>
      <c r="AF129" s="137" t="s">
        <v>193</v>
      </c>
      <c r="AG129" s="137" t="s">
        <v>193</v>
      </c>
      <c r="AH129" s="137">
        <v>2.2000000000000002</v>
      </c>
      <c r="AI129" s="137" t="s">
        <v>193</v>
      </c>
      <c r="AJ129" s="137" t="s">
        <v>193</v>
      </c>
      <c r="AK129" s="137" t="s">
        <v>193</v>
      </c>
      <c r="AL129" s="137" t="s">
        <v>193</v>
      </c>
      <c r="AM129" s="137" t="s">
        <v>193</v>
      </c>
      <c r="AN129" s="137" t="s">
        <v>53</v>
      </c>
      <c r="AO129" s="137">
        <v>100</v>
      </c>
      <c r="AP129" s="137" t="s">
        <v>193</v>
      </c>
      <c r="AQ129" s="137" t="s">
        <v>193</v>
      </c>
      <c r="AR129" s="137" t="s">
        <v>193</v>
      </c>
      <c r="AV129" s="1">
        <f t="shared" si="14"/>
        <v>83.87</v>
      </c>
      <c r="AW129" s="1">
        <f t="shared" ref="AW129:AW192" si="15">IFERROR(D129/1,0)</f>
        <v>62</v>
      </c>
      <c r="AX129" s="13">
        <f t="shared" si="12"/>
        <v>0.73923929891498741</v>
      </c>
      <c r="BA129" s="12">
        <f t="shared" ref="BA129:BA192" si="16">IFERROR(AH129/1,0)</f>
        <v>2.2000000000000002</v>
      </c>
      <c r="BB129" s="12">
        <f t="shared" si="13"/>
        <v>2.2000000000000002</v>
      </c>
      <c r="BC129" s="12">
        <f t="shared" si="13"/>
        <v>0</v>
      </c>
      <c r="BD129" s="12">
        <f t="shared" si="13"/>
        <v>0</v>
      </c>
      <c r="BE129" s="12">
        <f t="shared" ref="BE129:BE192" si="17">IFERROR(AR129/100,0)*$BA129</f>
        <v>0</v>
      </c>
      <c r="BF129" s="12">
        <f t="shared" ref="BF129:BF192" si="18">MAX(BA129-SUM(BB129:BE129),0)</f>
        <v>0</v>
      </c>
      <c r="BJ129" s="12" t="str">
        <f t="shared" ref="BJ129:BJ192" si="19">IF(AND((IFERROR(AO129/1,0)+IFERROR(AP129/1,0)+IFERROR(AQ129/1,0)+IFERROR(AR129/1,0))&gt;0,OR(TYPE(AH129)&lt;&gt;1,AH129=0)),"ja","")</f>
        <v/>
      </c>
      <c r="BK129" s="12">
        <f>VLOOKUP(B129,Kraftvärmeprod!$B$1:$BH$549,MATCH($BA$1,Kraftvärmeprod!$B$1:$CC$1,0),FALSE)</f>
        <v>0</v>
      </c>
    </row>
    <row r="130" spans="1:63" ht="15" customHeight="1" x14ac:dyDescent="0.25">
      <c r="A130" s="137" t="s">
        <v>372</v>
      </c>
      <c r="B130" s="137" t="s">
        <v>373</v>
      </c>
      <c r="C130" s="137">
        <v>2018</v>
      </c>
      <c r="D130" s="137">
        <v>14.1</v>
      </c>
      <c r="E130" s="137">
        <v>18.03</v>
      </c>
      <c r="F130" s="137" t="s">
        <v>193</v>
      </c>
      <c r="G130" s="137">
        <v>0.28000000000000003</v>
      </c>
      <c r="H130" s="137" t="s">
        <v>193</v>
      </c>
      <c r="I130" s="137" t="s">
        <v>193</v>
      </c>
      <c r="J130" s="137" t="s">
        <v>193</v>
      </c>
      <c r="K130" s="137" t="s">
        <v>193</v>
      </c>
      <c r="L130" s="137" t="s">
        <v>193</v>
      </c>
      <c r="M130" s="137" t="s">
        <v>53</v>
      </c>
      <c r="N130" s="137">
        <v>0</v>
      </c>
      <c r="O130" s="137">
        <v>0</v>
      </c>
      <c r="P130" s="137">
        <v>15.32</v>
      </c>
      <c r="Q130" s="137">
        <v>0</v>
      </c>
      <c r="R130" s="137">
        <v>0</v>
      </c>
      <c r="S130" s="137">
        <v>0</v>
      </c>
      <c r="T130" s="137" t="s">
        <v>194</v>
      </c>
      <c r="U130" s="137" t="s">
        <v>193</v>
      </c>
      <c r="V130" s="137" t="s">
        <v>193</v>
      </c>
      <c r="W130" s="137" t="s">
        <v>193</v>
      </c>
      <c r="X130" s="137" t="s">
        <v>193</v>
      </c>
      <c r="Y130" s="137" t="s">
        <v>193</v>
      </c>
      <c r="Z130" s="137" t="s">
        <v>193</v>
      </c>
      <c r="AA130" s="137" t="s">
        <v>193</v>
      </c>
      <c r="AB130" s="137" t="s">
        <v>193</v>
      </c>
      <c r="AC130" s="137" t="s">
        <v>193</v>
      </c>
      <c r="AD130" s="137" t="s">
        <v>193</v>
      </c>
      <c r="AE130" s="137" t="s">
        <v>199</v>
      </c>
      <c r="AF130" s="137" t="s">
        <v>193</v>
      </c>
      <c r="AG130" s="137" t="s">
        <v>193</v>
      </c>
      <c r="AH130" s="137">
        <v>2.4300000000000002</v>
      </c>
      <c r="AI130" s="137" t="s">
        <v>193</v>
      </c>
      <c r="AJ130" s="137" t="s">
        <v>193</v>
      </c>
      <c r="AK130" s="137" t="s">
        <v>193</v>
      </c>
      <c r="AL130" s="137" t="s">
        <v>193</v>
      </c>
      <c r="AM130" s="137" t="s">
        <v>193</v>
      </c>
      <c r="AN130" s="137" t="s">
        <v>53</v>
      </c>
      <c r="AO130" s="137">
        <v>100</v>
      </c>
      <c r="AP130" s="137">
        <v>0</v>
      </c>
      <c r="AQ130" s="137">
        <v>0</v>
      </c>
      <c r="AR130" s="137">
        <v>0</v>
      </c>
      <c r="AV130" s="1">
        <f t="shared" si="14"/>
        <v>18.03</v>
      </c>
      <c r="AW130" s="1">
        <f t="shared" si="15"/>
        <v>14.1</v>
      </c>
      <c r="AX130" s="13">
        <f t="shared" ref="AX130:AX193" si="20">IFERROR(AW130/AV130,"")</f>
        <v>0.78202995008319465</v>
      </c>
      <c r="BA130" s="12">
        <f t="shared" si="16"/>
        <v>2.4300000000000002</v>
      </c>
      <c r="BB130" s="12">
        <f t="shared" ref="BB130:BE193" si="21">IFERROR(AO130/100,0)*$BA130</f>
        <v>2.4300000000000002</v>
      </c>
      <c r="BC130" s="12">
        <f t="shared" si="21"/>
        <v>0</v>
      </c>
      <c r="BD130" s="12">
        <f t="shared" si="21"/>
        <v>0</v>
      </c>
      <c r="BE130" s="12">
        <f t="shared" si="17"/>
        <v>0</v>
      </c>
      <c r="BF130" s="12">
        <f t="shared" si="18"/>
        <v>0</v>
      </c>
      <c r="BJ130" s="12" t="str">
        <f t="shared" si="19"/>
        <v/>
      </c>
      <c r="BK130" s="12">
        <f>VLOOKUP(B130,Kraftvärmeprod!$B$1:$BH$549,MATCH($BA$1,Kraftvärmeprod!$B$1:$CC$1,0),FALSE)</f>
        <v>0</v>
      </c>
    </row>
    <row r="131" spans="1:63" ht="15" customHeight="1" x14ac:dyDescent="0.25">
      <c r="A131" s="137" t="s">
        <v>372</v>
      </c>
      <c r="B131" s="137" t="s">
        <v>374</v>
      </c>
      <c r="C131" s="137">
        <v>2018</v>
      </c>
      <c r="D131" s="137">
        <v>88.23</v>
      </c>
      <c r="E131" s="137">
        <v>107.15</v>
      </c>
      <c r="F131" s="137" t="s">
        <v>193</v>
      </c>
      <c r="G131" s="137">
        <v>1.32</v>
      </c>
      <c r="H131" s="137" t="s">
        <v>193</v>
      </c>
      <c r="I131" s="137">
        <v>14.96</v>
      </c>
      <c r="J131" s="137" t="s">
        <v>193</v>
      </c>
      <c r="K131" s="137" t="s">
        <v>193</v>
      </c>
      <c r="L131" s="137" t="s">
        <v>193</v>
      </c>
      <c r="M131" s="137" t="s">
        <v>53</v>
      </c>
      <c r="N131" s="137" t="s">
        <v>193</v>
      </c>
      <c r="O131" s="137" t="s">
        <v>193</v>
      </c>
      <c r="P131" s="137" t="s">
        <v>193</v>
      </c>
      <c r="Q131" s="137" t="s">
        <v>193</v>
      </c>
      <c r="R131" s="137" t="s">
        <v>193</v>
      </c>
      <c r="S131" s="137" t="s">
        <v>193</v>
      </c>
      <c r="T131" s="137" t="s">
        <v>193</v>
      </c>
      <c r="U131" s="137">
        <v>20.23</v>
      </c>
      <c r="V131" s="137">
        <v>0</v>
      </c>
      <c r="W131" s="137">
        <v>57.21</v>
      </c>
      <c r="X131" s="137" t="s">
        <v>193</v>
      </c>
      <c r="Y131" s="137" t="s">
        <v>193</v>
      </c>
      <c r="Z131" s="137">
        <v>0</v>
      </c>
      <c r="AA131" s="137" t="s">
        <v>193</v>
      </c>
      <c r="AB131" s="137" t="s">
        <v>193</v>
      </c>
      <c r="AC131" s="137">
        <v>0</v>
      </c>
      <c r="AD131" s="137">
        <v>0</v>
      </c>
      <c r="AE131" s="137" t="s">
        <v>195</v>
      </c>
      <c r="AF131" s="137">
        <v>40.5</v>
      </c>
      <c r="AG131" s="137" t="s">
        <v>193</v>
      </c>
      <c r="AH131" s="137">
        <v>0.85</v>
      </c>
      <c r="AI131" s="137">
        <v>12.58</v>
      </c>
      <c r="AJ131" s="137" t="s">
        <v>271</v>
      </c>
      <c r="AK131" s="137">
        <v>3.19</v>
      </c>
      <c r="AL131" s="137">
        <v>0</v>
      </c>
      <c r="AM131" s="137">
        <v>0</v>
      </c>
      <c r="AN131" s="137" t="s">
        <v>53</v>
      </c>
      <c r="AO131" s="137">
        <v>100</v>
      </c>
      <c r="AP131" s="137">
        <v>0</v>
      </c>
      <c r="AQ131" s="137">
        <v>0</v>
      </c>
      <c r="AR131" s="137">
        <v>0</v>
      </c>
      <c r="AV131" s="1">
        <f t="shared" ref="AV131:AV194" si="22">SUMPRODUCT(F131:AC131)+SUMPRODUCT(AG131:AI131)+IFERROR(AL131/1,0)</f>
        <v>107.15</v>
      </c>
      <c r="AW131" s="1">
        <f t="shared" si="15"/>
        <v>88.23</v>
      </c>
      <c r="AX131" s="13">
        <f t="shared" si="20"/>
        <v>0.82342510499300048</v>
      </c>
      <c r="BA131" s="12">
        <f t="shared" si="16"/>
        <v>0.85</v>
      </c>
      <c r="BB131" s="12">
        <f t="shared" si="21"/>
        <v>0.85</v>
      </c>
      <c r="BC131" s="12">
        <f t="shared" si="21"/>
        <v>0</v>
      </c>
      <c r="BD131" s="12">
        <f t="shared" si="21"/>
        <v>0</v>
      </c>
      <c r="BE131" s="12">
        <f t="shared" si="17"/>
        <v>0</v>
      </c>
      <c r="BF131" s="12">
        <f t="shared" si="18"/>
        <v>0</v>
      </c>
      <c r="BJ131" s="12" t="str">
        <f t="shared" si="19"/>
        <v/>
      </c>
      <c r="BK131" s="12">
        <f>VLOOKUP(B131,Kraftvärmeprod!$B$1:$BH$549,MATCH($BA$1,Kraftvärmeprod!$B$1:$CC$1,0),FALSE)</f>
        <v>124.5</v>
      </c>
    </row>
    <row r="132" spans="1:63" ht="15" customHeight="1" x14ac:dyDescent="0.25">
      <c r="A132" s="137" t="s">
        <v>372</v>
      </c>
      <c r="B132" s="137" t="s">
        <v>375</v>
      </c>
      <c r="C132" s="137">
        <v>2018</v>
      </c>
      <c r="D132" s="137">
        <v>3.33</v>
      </c>
      <c r="E132" s="137">
        <v>4.51</v>
      </c>
      <c r="F132" s="137" t="s">
        <v>193</v>
      </c>
      <c r="G132" s="137">
        <v>0.14000000000000001</v>
      </c>
      <c r="H132" s="137" t="s">
        <v>193</v>
      </c>
      <c r="I132" s="137" t="s">
        <v>193</v>
      </c>
      <c r="J132" s="137" t="s">
        <v>193</v>
      </c>
      <c r="K132" s="137" t="s">
        <v>193</v>
      </c>
      <c r="L132" s="137" t="s">
        <v>193</v>
      </c>
      <c r="M132" s="137" t="s">
        <v>53</v>
      </c>
      <c r="N132" s="137" t="s">
        <v>193</v>
      </c>
      <c r="O132" s="137" t="s">
        <v>193</v>
      </c>
      <c r="P132" s="137" t="s">
        <v>193</v>
      </c>
      <c r="Q132" s="137" t="s">
        <v>193</v>
      </c>
      <c r="R132" s="137" t="s">
        <v>193</v>
      </c>
      <c r="S132" s="137" t="s">
        <v>193</v>
      </c>
      <c r="T132" s="137" t="s">
        <v>193</v>
      </c>
      <c r="U132" s="137">
        <v>4.37</v>
      </c>
      <c r="V132" s="137" t="s">
        <v>193</v>
      </c>
      <c r="W132" s="137" t="s">
        <v>193</v>
      </c>
      <c r="X132" s="137" t="s">
        <v>193</v>
      </c>
      <c r="Y132" s="137" t="s">
        <v>193</v>
      </c>
      <c r="Z132" s="137" t="s">
        <v>193</v>
      </c>
      <c r="AA132" s="137" t="s">
        <v>193</v>
      </c>
      <c r="AB132" s="137" t="s">
        <v>193</v>
      </c>
      <c r="AC132" s="137" t="s">
        <v>193</v>
      </c>
      <c r="AD132" s="137" t="s">
        <v>193</v>
      </c>
      <c r="AE132" s="137" t="s">
        <v>199</v>
      </c>
      <c r="AF132" s="137" t="s">
        <v>193</v>
      </c>
      <c r="AG132" s="137" t="s">
        <v>193</v>
      </c>
      <c r="AH132" s="137" t="s">
        <v>193</v>
      </c>
      <c r="AI132" s="137" t="s">
        <v>193</v>
      </c>
      <c r="AJ132" s="137" t="s">
        <v>193</v>
      </c>
      <c r="AK132" s="137" t="s">
        <v>193</v>
      </c>
      <c r="AL132" s="137" t="s">
        <v>193</v>
      </c>
      <c r="AM132" s="137" t="s">
        <v>193</v>
      </c>
      <c r="AN132" s="137" t="s">
        <v>53</v>
      </c>
      <c r="AO132" s="137" t="s">
        <v>193</v>
      </c>
      <c r="AP132" s="137" t="s">
        <v>193</v>
      </c>
      <c r="AQ132" s="137" t="s">
        <v>193</v>
      </c>
      <c r="AR132" s="137" t="s">
        <v>193</v>
      </c>
      <c r="AV132" s="1">
        <f t="shared" si="22"/>
        <v>4.51</v>
      </c>
      <c r="AW132" s="1">
        <f t="shared" si="15"/>
        <v>3.33</v>
      </c>
      <c r="AX132" s="13">
        <f t="shared" si="20"/>
        <v>0.73835920177383596</v>
      </c>
      <c r="BA132" s="12">
        <f t="shared" si="16"/>
        <v>0</v>
      </c>
      <c r="BB132" s="12">
        <f t="shared" si="21"/>
        <v>0</v>
      </c>
      <c r="BC132" s="12">
        <f t="shared" si="21"/>
        <v>0</v>
      </c>
      <c r="BD132" s="12">
        <f t="shared" si="21"/>
        <v>0</v>
      </c>
      <c r="BE132" s="12">
        <f t="shared" si="17"/>
        <v>0</v>
      </c>
      <c r="BF132" s="12">
        <f t="shared" si="18"/>
        <v>0</v>
      </c>
      <c r="BJ132" s="12" t="str">
        <f t="shared" si="19"/>
        <v/>
      </c>
      <c r="BK132" s="12">
        <f>VLOOKUP(B132,Kraftvärmeprod!$B$1:$BH$549,MATCH($BA$1,Kraftvärmeprod!$B$1:$CC$1,0),FALSE)</f>
        <v>0</v>
      </c>
    </row>
    <row r="133" spans="1:63" ht="15" customHeight="1" x14ac:dyDescent="0.25">
      <c r="A133" s="137" t="s">
        <v>376</v>
      </c>
      <c r="B133" s="137" t="s">
        <v>377</v>
      </c>
      <c r="C133" s="137">
        <v>2018</v>
      </c>
      <c r="D133" s="137">
        <v>58.8</v>
      </c>
      <c r="E133" s="137">
        <v>65.39</v>
      </c>
      <c r="F133" s="137" t="s">
        <v>193</v>
      </c>
      <c r="G133" s="137">
        <v>0.66</v>
      </c>
      <c r="H133" s="137" t="s">
        <v>193</v>
      </c>
      <c r="I133" s="137">
        <v>0.73</v>
      </c>
      <c r="J133" s="137" t="s">
        <v>193</v>
      </c>
      <c r="K133" s="137" t="s">
        <v>193</v>
      </c>
      <c r="L133" s="137" t="s">
        <v>193</v>
      </c>
      <c r="M133" s="137" t="s">
        <v>219</v>
      </c>
      <c r="N133" s="137" t="s">
        <v>193</v>
      </c>
      <c r="O133" s="137" t="s">
        <v>193</v>
      </c>
      <c r="P133" s="137" t="s">
        <v>193</v>
      </c>
      <c r="Q133" s="137" t="s">
        <v>193</v>
      </c>
      <c r="R133" s="137" t="s">
        <v>193</v>
      </c>
      <c r="S133" s="137" t="s">
        <v>193</v>
      </c>
      <c r="T133" s="137" t="s">
        <v>193</v>
      </c>
      <c r="U133" s="137">
        <v>0</v>
      </c>
      <c r="V133" s="137">
        <v>0</v>
      </c>
      <c r="W133" s="137">
        <v>64</v>
      </c>
      <c r="X133" s="137" t="s">
        <v>193</v>
      </c>
      <c r="Y133" s="137" t="s">
        <v>193</v>
      </c>
      <c r="Z133" s="137" t="s">
        <v>193</v>
      </c>
      <c r="AA133" s="137" t="s">
        <v>193</v>
      </c>
      <c r="AB133" s="137" t="s">
        <v>193</v>
      </c>
      <c r="AC133" s="137" t="s">
        <v>193</v>
      </c>
      <c r="AD133" s="137" t="s">
        <v>193</v>
      </c>
      <c r="AE133" s="137" t="s">
        <v>53</v>
      </c>
      <c r="AF133" s="137" t="s">
        <v>193</v>
      </c>
      <c r="AG133" s="137" t="s">
        <v>193</v>
      </c>
      <c r="AH133" s="137" t="s">
        <v>193</v>
      </c>
      <c r="AI133" s="137" t="s">
        <v>193</v>
      </c>
      <c r="AJ133" s="137" t="s">
        <v>193</v>
      </c>
      <c r="AK133" s="137" t="s">
        <v>193</v>
      </c>
      <c r="AL133" s="137" t="s">
        <v>193</v>
      </c>
      <c r="AM133" s="137" t="s">
        <v>193</v>
      </c>
      <c r="AN133" s="137" t="s">
        <v>53</v>
      </c>
      <c r="AO133" s="137" t="s">
        <v>193</v>
      </c>
      <c r="AP133" s="137" t="s">
        <v>193</v>
      </c>
      <c r="AQ133" s="137" t="s">
        <v>193</v>
      </c>
      <c r="AR133" s="137" t="s">
        <v>193</v>
      </c>
      <c r="AV133" s="1">
        <f t="shared" si="22"/>
        <v>65.39</v>
      </c>
      <c r="AW133" s="1">
        <f t="shared" si="15"/>
        <v>58.8</v>
      </c>
      <c r="AX133" s="13">
        <f t="shared" si="20"/>
        <v>0.89922006423000456</v>
      </c>
      <c r="BA133" s="12">
        <f t="shared" si="16"/>
        <v>0</v>
      </c>
      <c r="BB133" s="12">
        <f t="shared" si="21"/>
        <v>0</v>
      </c>
      <c r="BC133" s="12">
        <f t="shared" si="21"/>
        <v>0</v>
      </c>
      <c r="BD133" s="12">
        <f t="shared" si="21"/>
        <v>0</v>
      </c>
      <c r="BE133" s="12">
        <f t="shared" si="17"/>
        <v>0</v>
      </c>
      <c r="BF133" s="12">
        <f t="shared" si="18"/>
        <v>0</v>
      </c>
      <c r="BJ133" s="12" t="str">
        <f t="shared" si="19"/>
        <v/>
      </c>
      <c r="BK133" s="12">
        <f>VLOOKUP(B133,Kraftvärmeprod!$B$1:$BH$549,MATCH($BA$1,Kraftvärmeprod!$B$1:$CC$1,0),FALSE)</f>
        <v>89.3</v>
      </c>
    </row>
    <row r="134" spans="1:63" ht="15" customHeight="1" x14ac:dyDescent="0.25">
      <c r="A134" s="137" t="s">
        <v>378</v>
      </c>
      <c r="B134" s="137" t="s">
        <v>84</v>
      </c>
      <c r="C134" s="137">
        <v>2018</v>
      </c>
      <c r="D134" s="137">
        <v>16.535</v>
      </c>
      <c r="E134" s="137">
        <v>21.404</v>
      </c>
      <c r="F134" s="137" t="s">
        <v>193</v>
      </c>
      <c r="G134" s="137">
        <v>0.64200000000000002</v>
      </c>
      <c r="H134" s="137" t="s">
        <v>193</v>
      </c>
      <c r="I134" s="137" t="s">
        <v>193</v>
      </c>
      <c r="J134" s="137" t="s">
        <v>193</v>
      </c>
      <c r="K134" s="137" t="s">
        <v>193</v>
      </c>
      <c r="L134" s="137" t="s">
        <v>193</v>
      </c>
      <c r="M134" s="137" t="s">
        <v>53</v>
      </c>
      <c r="N134" s="137" t="s">
        <v>193</v>
      </c>
      <c r="O134" s="137" t="s">
        <v>193</v>
      </c>
      <c r="P134" s="137">
        <v>18.353000000000002</v>
      </c>
      <c r="Q134" s="137" t="s">
        <v>193</v>
      </c>
      <c r="R134" s="137" t="s">
        <v>193</v>
      </c>
      <c r="S134" s="137" t="s">
        <v>193</v>
      </c>
      <c r="T134" s="137" t="s">
        <v>379</v>
      </c>
      <c r="U134" s="137" t="s">
        <v>193</v>
      </c>
      <c r="V134" s="137" t="s">
        <v>193</v>
      </c>
      <c r="W134" s="137" t="s">
        <v>193</v>
      </c>
      <c r="X134" s="137" t="s">
        <v>193</v>
      </c>
      <c r="Y134" s="137" t="s">
        <v>193</v>
      </c>
      <c r="Z134" s="137" t="s">
        <v>193</v>
      </c>
      <c r="AA134" s="137" t="s">
        <v>193</v>
      </c>
      <c r="AB134" s="137" t="s">
        <v>193</v>
      </c>
      <c r="AC134" s="137" t="s">
        <v>193</v>
      </c>
      <c r="AD134" s="137" t="s">
        <v>193</v>
      </c>
      <c r="AE134" s="137" t="s">
        <v>199</v>
      </c>
      <c r="AF134" s="137" t="s">
        <v>193</v>
      </c>
      <c r="AG134" s="137" t="s">
        <v>193</v>
      </c>
      <c r="AH134" s="137">
        <v>2.4089999999999998</v>
      </c>
      <c r="AI134" s="137" t="s">
        <v>193</v>
      </c>
      <c r="AJ134" s="137" t="s">
        <v>193</v>
      </c>
      <c r="AK134" s="137" t="s">
        <v>193</v>
      </c>
      <c r="AL134" s="137" t="s">
        <v>193</v>
      </c>
      <c r="AM134" s="137" t="s">
        <v>193</v>
      </c>
      <c r="AN134" s="137" t="s">
        <v>53</v>
      </c>
      <c r="AO134" s="137">
        <v>100</v>
      </c>
      <c r="AP134" s="137" t="s">
        <v>193</v>
      </c>
      <c r="AQ134" s="137" t="s">
        <v>193</v>
      </c>
      <c r="AR134" s="137" t="s">
        <v>193</v>
      </c>
      <c r="AV134" s="1">
        <f t="shared" si="22"/>
        <v>21.404</v>
      </c>
      <c r="AW134" s="1">
        <f t="shared" si="15"/>
        <v>16.535</v>
      </c>
      <c r="AX134" s="13">
        <f t="shared" si="20"/>
        <v>0.77251915529807513</v>
      </c>
      <c r="BA134" s="12">
        <f t="shared" si="16"/>
        <v>2.4089999999999998</v>
      </c>
      <c r="BB134" s="12">
        <f t="shared" si="21"/>
        <v>2.4089999999999998</v>
      </c>
      <c r="BC134" s="12">
        <f t="shared" si="21"/>
        <v>0</v>
      </c>
      <c r="BD134" s="12">
        <f t="shared" si="21"/>
        <v>0</v>
      </c>
      <c r="BE134" s="12">
        <f t="shared" si="17"/>
        <v>0</v>
      </c>
      <c r="BF134" s="12">
        <f t="shared" si="18"/>
        <v>0</v>
      </c>
      <c r="BJ134" s="12" t="str">
        <f t="shared" si="19"/>
        <v/>
      </c>
      <c r="BK134" s="12">
        <f>VLOOKUP(B134,Kraftvärmeprod!$B$1:$BH$549,MATCH($BA$1,Kraftvärmeprod!$B$1:$CC$1,0),FALSE)</f>
        <v>0</v>
      </c>
    </row>
    <row r="135" spans="1:63" ht="15" customHeight="1" x14ac:dyDescent="0.25">
      <c r="A135" s="137" t="s">
        <v>380</v>
      </c>
      <c r="B135" s="137" t="s">
        <v>381</v>
      </c>
      <c r="C135" s="137">
        <v>2018</v>
      </c>
      <c r="D135" s="137" t="s">
        <v>312</v>
      </c>
      <c r="E135" s="137">
        <v>4.8940000000000001</v>
      </c>
      <c r="F135" s="137" t="s">
        <v>193</v>
      </c>
      <c r="G135" s="137">
        <v>2.008</v>
      </c>
      <c r="H135" s="137" t="s">
        <v>193</v>
      </c>
      <c r="I135" s="137" t="s">
        <v>193</v>
      </c>
      <c r="J135" s="137">
        <v>1.1990000000000001</v>
      </c>
      <c r="K135" s="137" t="s">
        <v>193</v>
      </c>
      <c r="L135" s="137" t="s">
        <v>193</v>
      </c>
      <c r="M135" s="137" t="s">
        <v>193</v>
      </c>
      <c r="N135" s="137" t="s">
        <v>193</v>
      </c>
      <c r="O135" s="137" t="s">
        <v>193</v>
      </c>
      <c r="P135" s="137" t="s">
        <v>193</v>
      </c>
      <c r="Q135" s="137" t="s">
        <v>193</v>
      </c>
      <c r="R135" s="137" t="s">
        <v>193</v>
      </c>
      <c r="S135" s="137" t="s">
        <v>193</v>
      </c>
      <c r="T135" s="137" t="s">
        <v>193</v>
      </c>
      <c r="U135" s="137">
        <v>1.6870000000000001</v>
      </c>
      <c r="V135" s="137" t="s">
        <v>193</v>
      </c>
      <c r="W135" s="137" t="s">
        <v>193</v>
      </c>
      <c r="X135" s="137" t="s">
        <v>193</v>
      </c>
      <c r="Y135" s="137" t="s">
        <v>193</v>
      </c>
      <c r="Z135" s="137" t="s">
        <v>193</v>
      </c>
      <c r="AA135" s="137" t="s">
        <v>193</v>
      </c>
      <c r="AB135" s="137" t="s">
        <v>193</v>
      </c>
      <c r="AC135" s="137" t="s">
        <v>193</v>
      </c>
      <c r="AD135" s="137" t="s">
        <v>193</v>
      </c>
      <c r="AE135" s="137" t="s">
        <v>53</v>
      </c>
      <c r="AF135" s="137" t="s">
        <v>193</v>
      </c>
      <c r="AG135" s="137" t="s">
        <v>193</v>
      </c>
      <c r="AH135" s="137" t="s">
        <v>193</v>
      </c>
      <c r="AI135" s="137" t="s">
        <v>193</v>
      </c>
      <c r="AJ135" s="137" t="s">
        <v>193</v>
      </c>
      <c r="AK135" s="137" t="s">
        <v>193</v>
      </c>
      <c r="AL135" s="137" t="s">
        <v>193</v>
      </c>
      <c r="AM135" s="137" t="s">
        <v>193</v>
      </c>
      <c r="AN135" s="137" t="s">
        <v>193</v>
      </c>
      <c r="AO135" s="137" t="s">
        <v>193</v>
      </c>
      <c r="AP135" s="137" t="s">
        <v>193</v>
      </c>
      <c r="AQ135" s="137" t="s">
        <v>193</v>
      </c>
      <c r="AR135" s="137" t="s">
        <v>193</v>
      </c>
      <c r="AV135" s="1">
        <f t="shared" si="22"/>
        <v>4.8940000000000001</v>
      </c>
      <c r="AW135" s="1">
        <f t="shared" si="15"/>
        <v>0</v>
      </c>
      <c r="AX135" s="13">
        <f t="shared" si="20"/>
        <v>0</v>
      </c>
      <c r="BA135" s="12">
        <f t="shared" si="16"/>
        <v>0</v>
      </c>
      <c r="BB135" s="12">
        <f t="shared" si="21"/>
        <v>0</v>
      </c>
      <c r="BC135" s="12">
        <f t="shared" si="21"/>
        <v>0</v>
      </c>
      <c r="BD135" s="12">
        <f t="shared" si="21"/>
        <v>0</v>
      </c>
      <c r="BE135" s="12">
        <f t="shared" si="17"/>
        <v>0</v>
      </c>
      <c r="BF135" s="12">
        <f t="shared" si="18"/>
        <v>0</v>
      </c>
      <c r="BJ135" s="12" t="str">
        <f t="shared" si="19"/>
        <v/>
      </c>
      <c r="BK135" s="12">
        <f>VLOOKUP(B135,Kraftvärmeprod!$B$1:$BH$549,MATCH($BA$1,Kraftvärmeprod!$B$1:$CC$1,0),FALSE)</f>
        <v>0</v>
      </c>
    </row>
    <row r="136" spans="1:63" ht="15" customHeight="1" x14ac:dyDescent="0.25">
      <c r="A136" s="137" t="s">
        <v>382</v>
      </c>
      <c r="B136" s="137" t="s">
        <v>87</v>
      </c>
      <c r="C136" s="137">
        <v>2018</v>
      </c>
      <c r="D136" s="137">
        <v>34.9</v>
      </c>
      <c r="E136" s="137">
        <v>39.200000000000003</v>
      </c>
      <c r="F136" s="137" t="s">
        <v>193</v>
      </c>
      <c r="G136" s="137">
        <v>10.4</v>
      </c>
      <c r="H136" s="137" t="s">
        <v>193</v>
      </c>
      <c r="I136" s="137" t="s">
        <v>193</v>
      </c>
      <c r="J136" s="137" t="s">
        <v>193</v>
      </c>
      <c r="K136" s="137" t="s">
        <v>193</v>
      </c>
      <c r="L136" s="137" t="s">
        <v>193</v>
      </c>
      <c r="M136" s="137" t="s">
        <v>53</v>
      </c>
      <c r="N136" s="137" t="s">
        <v>193</v>
      </c>
      <c r="O136" s="137" t="s">
        <v>193</v>
      </c>
      <c r="P136" s="137" t="s">
        <v>193</v>
      </c>
      <c r="Q136" s="137" t="s">
        <v>193</v>
      </c>
      <c r="R136" s="137" t="s">
        <v>193</v>
      </c>
      <c r="S136" s="137" t="s">
        <v>193</v>
      </c>
      <c r="T136" s="137" t="s">
        <v>194</v>
      </c>
      <c r="U136" s="137" t="s">
        <v>193</v>
      </c>
      <c r="V136" s="137" t="s">
        <v>193</v>
      </c>
      <c r="W136" s="137" t="s">
        <v>193</v>
      </c>
      <c r="X136" s="137">
        <v>1.2</v>
      </c>
      <c r="Y136" s="137" t="s">
        <v>193</v>
      </c>
      <c r="Z136" s="137">
        <v>13.7</v>
      </c>
      <c r="AA136" s="137" t="s">
        <v>193</v>
      </c>
      <c r="AB136" s="137">
        <v>0.2</v>
      </c>
      <c r="AC136" s="137">
        <v>13.7</v>
      </c>
      <c r="AD136" s="137" t="s">
        <v>193</v>
      </c>
      <c r="AE136" s="137" t="s">
        <v>195</v>
      </c>
      <c r="AF136" s="137">
        <v>40.5</v>
      </c>
      <c r="AG136" s="137" t="s">
        <v>193</v>
      </c>
      <c r="AH136" s="137" t="s">
        <v>193</v>
      </c>
      <c r="AI136" s="137" t="s">
        <v>193</v>
      </c>
      <c r="AJ136" s="137" t="s">
        <v>193</v>
      </c>
      <c r="AK136" s="137" t="s">
        <v>193</v>
      </c>
      <c r="AL136" s="137">
        <v>0</v>
      </c>
      <c r="AM136" s="137">
        <v>0</v>
      </c>
      <c r="AN136" s="137" t="s">
        <v>53</v>
      </c>
      <c r="AO136" s="137" t="s">
        <v>193</v>
      </c>
      <c r="AP136" s="137" t="s">
        <v>193</v>
      </c>
      <c r="AQ136" s="137" t="s">
        <v>193</v>
      </c>
      <c r="AR136" s="137" t="s">
        <v>193</v>
      </c>
      <c r="AV136" s="1">
        <f t="shared" si="22"/>
        <v>39.199999999999996</v>
      </c>
      <c r="AW136" s="1">
        <f t="shared" si="15"/>
        <v>34.9</v>
      </c>
      <c r="AX136" s="13">
        <f t="shared" si="20"/>
        <v>0.89030612244897966</v>
      </c>
      <c r="BA136" s="12">
        <f t="shared" si="16"/>
        <v>0</v>
      </c>
      <c r="BB136" s="12">
        <f t="shared" si="21"/>
        <v>0</v>
      </c>
      <c r="BC136" s="12">
        <f t="shared" si="21"/>
        <v>0</v>
      </c>
      <c r="BD136" s="12">
        <f t="shared" si="21"/>
        <v>0</v>
      </c>
      <c r="BE136" s="12">
        <f t="shared" si="17"/>
        <v>0</v>
      </c>
      <c r="BF136" s="12">
        <f t="shared" si="18"/>
        <v>0</v>
      </c>
      <c r="BJ136" s="12" t="str">
        <f t="shared" si="19"/>
        <v/>
      </c>
      <c r="BK136" s="12">
        <f>VLOOKUP(B136,Kraftvärmeprod!$B$1:$BH$549,MATCH($BA$1,Kraftvärmeprod!$B$1:$CC$1,0),FALSE)</f>
        <v>22.4</v>
      </c>
    </row>
    <row r="137" spans="1:63" ht="15" customHeight="1" x14ac:dyDescent="0.25">
      <c r="A137" s="137" t="s">
        <v>383</v>
      </c>
      <c r="B137" s="137" t="s">
        <v>384</v>
      </c>
      <c r="C137" s="137">
        <v>2018</v>
      </c>
      <c r="D137" s="137">
        <v>160.58099999999999</v>
      </c>
      <c r="E137" s="137">
        <v>175.18700000000001</v>
      </c>
      <c r="F137" s="137" t="s">
        <v>193</v>
      </c>
      <c r="G137" s="137">
        <v>4.2619999999999996</v>
      </c>
      <c r="H137" s="137" t="s">
        <v>193</v>
      </c>
      <c r="I137" s="137" t="s">
        <v>193</v>
      </c>
      <c r="J137" s="137" t="s">
        <v>193</v>
      </c>
      <c r="K137" s="137" t="s">
        <v>193</v>
      </c>
      <c r="L137" s="137" t="s">
        <v>193</v>
      </c>
      <c r="M137" s="137" t="s">
        <v>53</v>
      </c>
      <c r="N137" s="137" t="s">
        <v>193</v>
      </c>
      <c r="O137" s="137" t="s">
        <v>193</v>
      </c>
      <c r="P137" s="137" t="s">
        <v>193</v>
      </c>
      <c r="Q137" s="137" t="s">
        <v>193</v>
      </c>
      <c r="R137" s="137" t="s">
        <v>193</v>
      </c>
      <c r="S137" s="137">
        <v>0.249</v>
      </c>
      <c r="T137" s="137" t="s">
        <v>193</v>
      </c>
      <c r="U137" s="137" t="s">
        <v>193</v>
      </c>
      <c r="V137" s="137" t="s">
        <v>193</v>
      </c>
      <c r="W137" s="137" t="s">
        <v>193</v>
      </c>
      <c r="X137" s="137" t="s">
        <v>193</v>
      </c>
      <c r="Y137" s="137" t="s">
        <v>193</v>
      </c>
      <c r="Z137" s="137">
        <v>9.1</v>
      </c>
      <c r="AA137" s="137" t="s">
        <v>193</v>
      </c>
      <c r="AB137" s="137" t="s">
        <v>193</v>
      </c>
      <c r="AC137" s="137">
        <v>146.11000000000001</v>
      </c>
      <c r="AD137" s="137">
        <v>2.331</v>
      </c>
      <c r="AE137" s="137" t="s">
        <v>195</v>
      </c>
      <c r="AF137" s="137">
        <v>40.5</v>
      </c>
      <c r="AG137" s="137" t="s">
        <v>193</v>
      </c>
      <c r="AH137" s="137">
        <v>15.465999999999999</v>
      </c>
      <c r="AI137" s="137" t="s">
        <v>193</v>
      </c>
      <c r="AJ137" s="137" t="s">
        <v>193</v>
      </c>
      <c r="AK137" s="137" t="s">
        <v>193</v>
      </c>
      <c r="AL137" s="137" t="s">
        <v>193</v>
      </c>
      <c r="AM137" s="137" t="s">
        <v>193</v>
      </c>
      <c r="AN137" s="137" t="s">
        <v>53</v>
      </c>
      <c r="AO137" s="137" t="s">
        <v>193</v>
      </c>
      <c r="AP137" s="137">
        <v>100</v>
      </c>
      <c r="AQ137" s="137" t="s">
        <v>193</v>
      </c>
      <c r="AR137" s="137" t="s">
        <v>193</v>
      </c>
      <c r="AV137" s="1">
        <f t="shared" si="22"/>
        <v>175.18700000000001</v>
      </c>
      <c r="AW137" s="1">
        <f t="shared" si="15"/>
        <v>160.58099999999999</v>
      </c>
      <c r="AX137" s="13">
        <f t="shared" si="20"/>
        <v>0.9166262336817228</v>
      </c>
      <c r="BA137" s="12">
        <f t="shared" si="16"/>
        <v>15.465999999999999</v>
      </c>
      <c r="BB137" s="12">
        <f t="shared" si="21"/>
        <v>0</v>
      </c>
      <c r="BC137" s="12">
        <f t="shared" si="21"/>
        <v>15.465999999999999</v>
      </c>
      <c r="BD137" s="12">
        <f t="shared" si="21"/>
        <v>0</v>
      </c>
      <c r="BE137" s="12">
        <f t="shared" si="17"/>
        <v>0</v>
      </c>
      <c r="BF137" s="12">
        <f t="shared" si="18"/>
        <v>0</v>
      </c>
      <c r="BJ137" s="12" t="str">
        <f t="shared" si="19"/>
        <v/>
      </c>
      <c r="BK137" s="12">
        <f>VLOOKUP(B137,Kraftvärmeprod!$B$1:$BH$549,MATCH($BA$1,Kraftvärmeprod!$B$1:$CC$1,0),FALSE)</f>
        <v>137.58500000000001</v>
      </c>
    </row>
    <row r="138" spans="1:63" ht="15" customHeight="1" x14ac:dyDescent="0.25">
      <c r="A138" s="137" t="s">
        <v>385</v>
      </c>
      <c r="B138" s="137" t="s">
        <v>386</v>
      </c>
      <c r="C138" s="137">
        <v>2018</v>
      </c>
      <c r="D138" s="137">
        <v>46.9</v>
      </c>
      <c r="E138" s="137">
        <v>46.7</v>
      </c>
      <c r="F138" s="137" t="s">
        <v>193</v>
      </c>
      <c r="G138" s="137">
        <v>0.6</v>
      </c>
      <c r="H138" s="137" t="s">
        <v>193</v>
      </c>
      <c r="I138" s="137" t="s">
        <v>193</v>
      </c>
      <c r="J138" s="137" t="s">
        <v>193</v>
      </c>
      <c r="K138" s="137" t="s">
        <v>193</v>
      </c>
      <c r="L138" s="137" t="s">
        <v>193</v>
      </c>
      <c r="M138" s="137" t="s">
        <v>53</v>
      </c>
      <c r="N138" s="137" t="s">
        <v>193</v>
      </c>
      <c r="O138" s="137" t="s">
        <v>193</v>
      </c>
      <c r="P138" s="137" t="s">
        <v>193</v>
      </c>
      <c r="Q138" s="137" t="s">
        <v>193</v>
      </c>
      <c r="R138" s="137" t="s">
        <v>193</v>
      </c>
      <c r="S138" s="137" t="s">
        <v>193</v>
      </c>
      <c r="T138" s="137" t="s">
        <v>193</v>
      </c>
      <c r="U138" s="137">
        <v>3.2</v>
      </c>
      <c r="V138" s="137" t="s">
        <v>193</v>
      </c>
      <c r="W138" s="137" t="s">
        <v>193</v>
      </c>
      <c r="X138" s="137">
        <v>42.9</v>
      </c>
      <c r="Y138" s="137" t="s">
        <v>193</v>
      </c>
      <c r="Z138" s="137" t="s">
        <v>193</v>
      </c>
      <c r="AA138" s="137" t="s">
        <v>193</v>
      </c>
      <c r="AB138" s="137" t="s">
        <v>193</v>
      </c>
      <c r="AC138" s="137" t="s">
        <v>193</v>
      </c>
      <c r="AD138" s="137" t="s">
        <v>193</v>
      </c>
      <c r="AE138" s="137" t="s">
        <v>199</v>
      </c>
      <c r="AF138" s="137" t="s">
        <v>193</v>
      </c>
      <c r="AG138" s="137" t="s">
        <v>193</v>
      </c>
      <c r="AH138" s="137" t="s">
        <v>193</v>
      </c>
      <c r="AI138" s="137" t="s">
        <v>193</v>
      </c>
      <c r="AJ138" s="137" t="s">
        <v>193</v>
      </c>
      <c r="AK138" s="137" t="s">
        <v>193</v>
      </c>
      <c r="AL138" s="137" t="s">
        <v>193</v>
      </c>
      <c r="AM138" s="137" t="s">
        <v>193</v>
      </c>
      <c r="AN138" s="137" t="s">
        <v>53</v>
      </c>
      <c r="AO138" s="137" t="s">
        <v>193</v>
      </c>
      <c r="AP138" s="137" t="s">
        <v>193</v>
      </c>
      <c r="AQ138" s="137" t="s">
        <v>193</v>
      </c>
      <c r="AR138" s="137" t="s">
        <v>193</v>
      </c>
      <c r="AV138" s="1">
        <f t="shared" si="22"/>
        <v>46.699999999999996</v>
      </c>
      <c r="AW138" s="1">
        <f t="shared" si="15"/>
        <v>46.9</v>
      </c>
      <c r="AX138" s="13">
        <f t="shared" si="20"/>
        <v>1.0042826552462527</v>
      </c>
      <c r="BA138" s="12">
        <f t="shared" si="16"/>
        <v>0</v>
      </c>
      <c r="BB138" s="12">
        <f t="shared" si="21"/>
        <v>0</v>
      </c>
      <c r="BC138" s="12">
        <f t="shared" si="21"/>
        <v>0</v>
      </c>
      <c r="BD138" s="12">
        <f t="shared" si="21"/>
        <v>0</v>
      </c>
      <c r="BE138" s="12">
        <f t="shared" si="17"/>
        <v>0</v>
      </c>
      <c r="BF138" s="12">
        <f t="shared" si="18"/>
        <v>0</v>
      </c>
      <c r="BJ138" s="12" t="str">
        <f t="shared" si="19"/>
        <v/>
      </c>
      <c r="BK138" s="12">
        <f>VLOOKUP(B138,Kraftvärmeprod!$B$1:$BH$549,MATCH($BA$1,Kraftvärmeprod!$B$1:$CC$1,0),FALSE)</f>
        <v>0</v>
      </c>
    </row>
    <row r="139" spans="1:63" ht="15" customHeight="1" x14ac:dyDescent="0.25">
      <c r="A139" s="137" t="s">
        <v>387</v>
      </c>
      <c r="B139" s="137" t="s">
        <v>388</v>
      </c>
      <c r="C139" s="137">
        <v>2018</v>
      </c>
      <c r="D139" s="137">
        <v>73.313000000000002</v>
      </c>
      <c r="E139" s="137">
        <v>101.75</v>
      </c>
      <c r="F139" s="137" t="s">
        <v>193</v>
      </c>
      <c r="G139" s="137">
        <v>13.426</v>
      </c>
      <c r="H139" s="137" t="s">
        <v>193</v>
      </c>
      <c r="I139" s="137" t="s">
        <v>193</v>
      </c>
      <c r="J139" s="137" t="s">
        <v>193</v>
      </c>
      <c r="K139" s="137" t="s">
        <v>193</v>
      </c>
      <c r="L139" s="137" t="s">
        <v>193</v>
      </c>
      <c r="M139" s="137" t="s">
        <v>53</v>
      </c>
      <c r="N139" s="137" t="s">
        <v>193</v>
      </c>
      <c r="O139" s="137" t="s">
        <v>193</v>
      </c>
      <c r="P139" s="137">
        <v>8.391</v>
      </c>
      <c r="Q139" s="137" t="s">
        <v>193</v>
      </c>
      <c r="R139" s="137" t="s">
        <v>193</v>
      </c>
      <c r="S139" s="137" t="s">
        <v>193</v>
      </c>
      <c r="T139" s="137" t="s">
        <v>194</v>
      </c>
      <c r="U139" s="137">
        <v>2.8450000000000002</v>
      </c>
      <c r="V139" s="137" t="s">
        <v>193</v>
      </c>
      <c r="W139" s="137" t="s">
        <v>193</v>
      </c>
      <c r="X139" s="137">
        <v>60.988999999999997</v>
      </c>
      <c r="Y139" s="137" t="s">
        <v>193</v>
      </c>
      <c r="Z139" s="137">
        <v>12.061</v>
      </c>
      <c r="AA139" s="137" t="s">
        <v>193</v>
      </c>
      <c r="AB139" s="137" t="s">
        <v>193</v>
      </c>
      <c r="AC139" s="137" t="s">
        <v>193</v>
      </c>
      <c r="AD139" s="137" t="s">
        <v>193</v>
      </c>
      <c r="AE139" s="137" t="s">
        <v>199</v>
      </c>
      <c r="AF139" s="137" t="s">
        <v>193</v>
      </c>
      <c r="AG139" s="137" t="s">
        <v>193</v>
      </c>
      <c r="AH139" s="137" t="s">
        <v>193</v>
      </c>
      <c r="AI139" s="137" t="s">
        <v>193</v>
      </c>
      <c r="AJ139" s="137" t="s">
        <v>193</v>
      </c>
      <c r="AK139" s="137" t="s">
        <v>193</v>
      </c>
      <c r="AL139" s="137">
        <v>4.0380000000000003</v>
      </c>
      <c r="AM139" s="137">
        <v>4.0380000000000003</v>
      </c>
      <c r="AN139" s="137" t="s">
        <v>53</v>
      </c>
      <c r="AO139" s="137" t="s">
        <v>193</v>
      </c>
      <c r="AP139" s="137" t="s">
        <v>193</v>
      </c>
      <c r="AQ139" s="137" t="s">
        <v>193</v>
      </c>
      <c r="AR139" s="137" t="s">
        <v>193</v>
      </c>
      <c r="AV139" s="1">
        <f t="shared" si="22"/>
        <v>101.74999999999999</v>
      </c>
      <c r="AW139" s="1">
        <f t="shared" si="15"/>
        <v>73.313000000000002</v>
      </c>
      <c r="AX139" s="13">
        <f t="shared" si="20"/>
        <v>0.7205208845208847</v>
      </c>
      <c r="BA139" s="12">
        <f t="shared" si="16"/>
        <v>0</v>
      </c>
      <c r="BB139" s="12">
        <f t="shared" si="21"/>
        <v>0</v>
      </c>
      <c r="BC139" s="12">
        <f t="shared" si="21"/>
        <v>0</v>
      </c>
      <c r="BD139" s="12">
        <f t="shared" si="21"/>
        <v>0</v>
      </c>
      <c r="BE139" s="12">
        <f t="shared" si="17"/>
        <v>0</v>
      </c>
      <c r="BF139" s="12">
        <f t="shared" si="18"/>
        <v>0</v>
      </c>
      <c r="BJ139" s="12" t="str">
        <f t="shared" si="19"/>
        <v/>
      </c>
      <c r="BK139" s="12">
        <f>VLOOKUP(B139,Kraftvärmeprod!$B$1:$BH$549,MATCH($BA$1,Kraftvärmeprod!$B$1:$CC$1,0),FALSE)</f>
        <v>17.306000000000001</v>
      </c>
    </row>
    <row r="140" spans="1:63" ht="15" customHeight="1" x14ac:dyDescent="0.25">
      <c r="A140" s="137" t="s">
        <v>387</v>
      </c>
      <c r="B140" s="137" t="s">
        <v>389</v>
      </c>
      <c r="C140" s="137">
        <v>2018</v>
      </c>
      <c r="D140" s="137">
        <v>8.3390000000000004</v>
      </c>
      <c r="E140" s="137">
        <v>11.071</v>
      </c>
      <c r="F140" s="137" t="s">
        <v>193</v>
      </c>
      <c r="G140" s="137">
        <v>1.9470000000000001</v>
      </c>
      <c r="H140" s="137" t="s">
        <v>193</v>
      </c>
      <c r="I140" s="137" t="s">
        <v>193</v>
      </c>
      <c r="J140" s="137" t="s">
        <v>193</v>
      </c>
      <c r="K140" s="137" t="s">
        <v>193</v>
      </c>
      <c r="L140" s="137" t="s">
        <v>193</v>
      </c>
      <c r="M140" s="137" t="s">
        <v>53</v>
      </c>
      <c r="N140" s="137" t="s">
        <v>193</v>
      </c>
      <c r="O140" s="137" t="s">
        <v>193</v>
      </c>
      <c r="P140" s="137">
        <v>8.6809999999999992</v>
      </c>
      <c r="Q140" s="137" t="s">
        <v>193</v>
      </c>
      <c r="R140" s="137" t="s">
        <v>193</v>
      </c>
      <c r="S140" s="137" t="s">
        <v>193</v>
      </c>
      <c r="T140" s="137" t="s">
        <v>194</v>
      </c>
      <c r="U140" s="137" t="s">
        <v>193</v>
      </c>
      <c r="V140" s="137" t="s">
        <v>193</v>
      </c>
      <c r="W140" s="137" t="s">
        <v>193</v>
      </c>
      <c r="X140" s="137" t="s">
        <v>193</v>
      </c>
      <c r="Y140" s="137" t="s">
        <v>193</v>
      </c>
      <c r="Z140" s="137" t="s">
        <v>193</v>
      </c>
      <c r="AA140" s="137" t="s">
        <v>193</v>
      </c>
      <c r="AB140" s="137" t="s">
        <v>193</v>
      </c>
      <c r="AC140" s="137" t="s">
        <v>193</v>
      </c>
      <c r="AD140" s="137" t="s">
        <v>193</v>
      </c>
      <c r="AE140" s="137" t="s">
        <v>53</v>
      </c>
      <c r="AF140" s="137" t="s">
        <v>193</v>
      </c>
      <c r="AG140" s="137" t="s">
        <v>193</v>
      </c>
      <c r="AH140" s="137" t="s">
        <v>193</v>
      </c>
      <c r="AI140" s="137" t="s">
        <v>193</v>
      </c>
      <c r="AJ140" s="137" t="s">
        <v>193</v>
      </c>
      <c r="AK140" s="137" t="s">
        <v>193</v>
      </c>
      <c r="AL140" s="137">
        <v>0.443</v>
      </c>
      <c r="AM140" s="137">
        <v>0.443</v>
      </c>
      <c r="AN140" s="137" t="s">
        <v>53</v>
      </c>
      <c r="AO140" s="137" t="s">
        <v>193</v>
      </c>
      <c r="AP140" s="137" t="s">
        <v>193</v>
      </c>
      <c r="AQ140" s="137" t="s">
        <v>193</v>
      </c>
      <c r="AR140" s="137" t="s">
        <v>193</v>
      </c>
      <c r="AV140" s="1">
        <f t="shared" si="22"/>
        <v>11.071</v>
      </c>
      <c r="AW140" s="1">
        <f t="shared" si="15"/>
        <v>8.3390000000000004</v>
      </c>
      <c r="AX140" s="13">
        <f t="shared" si="20"/>
        <v>0.75322915725770034</v>
      </c>
      <c r="BA140" s="12">
        <f t="shared" si="16"/>
        <v>0</v>
      </c>
      <c r="BB140" s="12">
        <f t="shared" si="21"/>
        <v>0</v>
      </c>
      <c r="BC140" s="12">
        <f t="shared" si="21"/>
        <v>0</v>
      </c>
      <c r="BD140" s="12">
        <f t="shared" si="21"/>
        <v>0</v>
      </c>
      <c r="BE140" s="12">
        <f t="shared" si="17"/>
        <v>0</v>
      </c>
      <c r="BF140" s="12">
        <f t="shared" si="18"/>
        <v>0</v>
      </c>
      <c r="BJ140" s="12" t="str">
        <f t="shared" si="19"/>
        <v/>
      </c>
      <c r="BK140" s="12">
        <f>VLOOKUP(B140,Kraftvärmeprod!$B$1:$BH$549,MATCH($BA$1,Kraftvärmeprod!$B$1:$CC$1,0),FALSE)</f>
        <v>0</v>
      </c>
    </row>
    <row r="141" spans="1:63" ht="15" customHeight="1" x14ac:dyDescent="0.25">
      <c r="A141" s="137" t="s">
        <v>390</v>
      </c>
      <c r="B141" s="137" t="s">
        <v>391</v>
      </c>
      <c r="C141" s="137">
        <v>2018</v>
      </c>
      <c r="D141" s="137">
        <v>898.59900000000005</v>
      </c>
      <c r="E141" s="137">
        <v>326.24200000000002</v>
      </c>
      <c r="F141" s="137" t="s">
        <v>193</v>
      </c>
      <c r="G141" s="137" t="s">
        <v>193</v>
      </c>
      <c r="H141" s="137" t="s">
        <v>193</v>
      </c>
      <c r="I141" s="137" t="s">
        <v>193</v>
      </c>
      <c r="J141" s="137" t="s">
        <v>193</v>
      </c>
      <c r="K141" s="137" t="s">
        <v>193</v>
      </c>
      <c r="L141" s="137" t="s">
        <v>193</v>
      </c>
      <c r="M141" s="137" t="s">
        <v>53</v>
      </c>
      <c r="N141" s="137" t="s">
        <v>193</v>
      </c>
      <c r="O141" s="137" t="s">
        <v>193</v>
      </c>
      <c r="P141" s="137" t="s">
        <v>193</v>
      </c>
      <c r="Q141" s="137" t="s">
        <v>193</v>
      </c>
      <c r="R141" s="137" t="s">
        <v>193</v>
      </c>
      <c r="S141" s="137" t="s">
        <v>193</v>
      </c>
      <c r="T141" s="137" t="s">
        <v>193</v>
      </c>
      <c r="U141" s="137">
        <v>8.7390000000000008</v>
      </c>
      <c r="V141" s="137" t="s">
        <v>193</v>
      </c>
      <c r="W141" s="137" t="s">
        <v>193</v>
      </c>
      <c r="X141" s="137" t="s">
        <v>193</v>
      </c>
      <c r="Y141" s="137" t="s">
        <v>193</v>
      </c>
      <c r="Z141" s="137">
        <v>72.75</v>
      </c>
      <c r="AA141" s="137" t="s">
        <v>193</v>
      </c>
      <c r="AB141" s="137" t="s">
        <v>193</v>
      </c>
      <c r="AC141" s="137" t="s">
        <v>193</v>
      </c>
      <c r="AD141" s="137" t="s">
        <v>193</v>
      </c>
      <c r="AE141" s="137" t="s">
        <v>195</v>
      </c>
      <c r="AF141" s="137">
        <v>40.5</v>
      </c>
      <c r="AG141" s="137">
        <v>26.567</v>
      </c>
      <c r="AH141" s="137">
        <v>3.06</v>
      </c>
      <c r="AI141" s="137">
        <v>215.126</v>
      </c>
      <c r="AJ141" s="137" t="s">
        <v>392</v>
      </c>
      <c r="AK141" s="137">
        <v>67.361999999999995</v>
      </c>
      <c r="AL141" s="137" t="s">
        <v>193</v>
      </c>
      <c r="AM141" s="137" t="s">
        <v>193</v>
      </c>
      <c r="AN141" s="137" t="s">
        <v>53</v>
      </c>
      <c r="AO141" s="137">
        <v>100</v>
      </c>
      <c r="AP141" s="137">
        <v>0</v>
      </c>
      <c r="AQ141" s="137">
        <v>0</v>
      </c>
      <c r="AR141" s="137">
        <v>0</v>
      </c>
      <c r="AV141" s="1">
        <f t="shared" si="22"/>
        <v>326.24200000000002</v>
      </c>
      <c r="AW141" s="1">
        <f t="shared" si="15"/>
        <v>898.59900000000005</v>
      </c>
      <c r="AX141" s="13">
        <f t="shared" si="20"/>
        <v>2.7543939774768424</v>
      </c>
      <c r="BA141" s="12">
        <f t="shared" si="16"/>
        <v>3.06</v>
      </c>
      <c r="BB141" s="12">
        <f t="shared" si="21"/>
        <v>3.06</v>
      </c>
      <c r="BC141" s="12">
        <f t="shared" si="21"/>
        <v>0</v>
      </c>
      <c r="BD141" s="12">
        <f t="shared" si="21"/>
        <v>0</v>
      </c>
      <c r="BE141" s="12">
        <f t="shared" si="17"/>
        <v>0</v>
      </c>
      <c r="BF141" s="12">
        <f t="shared" si="18"/>
        <v>0</v>
      </c>
      <c r="BJ141" s="12" t="str">
        <f t="shared" si="19"/>
        <v/>
      </c>
      <c r="BK141" s="12">
        <f>VLOOKUP(B141,Kraftvärmeprod!$B$1:$BH$549,MATCH($BA$1,Kraftvärmeprod!$B$1:$CC$1,0),FALSE)</f>
        <v>84.301000000000002</v>
      </c>
    </row>
    <row r="142" spans="1:63" ht="15" customHeight="1" x14ac:dyDescent="0.25">
      <c r="A142" s="137" t="s">
        <v>390</v>
      </c>
      <c r="B142" s="137" t="s">
        <v>393</v>
      </c>
      <c r="C142" s="137">
        <v>2018</v>
      </c>
      <c r="D142" s="137">
        <v>65.438000000000002</v>
      </c>
      <c r="E142" s="137">
        <v>71.652000000000001</v>
      </c>
      <c r="F142" s="137" t="s">
        <v>193</v>
      </c>
      <c r="G142" s="137" t="s">
        <v>193</v>
      </c>
      <c r="H142" s="137" t="s">
        <v>193</v>
      </c>
      <c r="I142" s="137" t="s">
        <v>193</v>
      </c>
      <c r="J142" s="137" t="s">
        <v>193</v>
      </c>
      <c r="K142" s="137" t="s">
        <v>193</v>
      </c>
      <c r="L142" s="137" t="s">
        <v>193</v>
      </c>
      <c r="M142" s="137" t="s">
        <v>53</v>
      </c>
      <c r="N142" s="137" t="s">
        <v>193</v>
      </c>
      <c r="O142" s="137" t="s">
        <v>193</v>
      </c>
      <c r="P142" s="137">
        <v>44.725999999999999</v>
      </c>
      <c r="Q142" s="137" t="s">
        <v>193</v>
      </c>
      <c r="R142" s="137" t="s">
        <v>193</v>
      </c>
      <c r="S142" s="137" t="s">
        <v>193</v>
      </c>
      <c r="T142" s="137" t="s">
        <v>193</v>
      </c>
      <c r="U142" s="137">
        <v>3.3660000000000001</v>
      </c>
      <c r="V142" s="137">
        <v>13.488</v>
      </c>
      <c r="W142" s="137" t="s">
        <v>193</v>
      </c>
      <c r="X142" s="137" t="s">
        <v>193</v>
      </c>
      <c r="Y142" s="137" t="s">
        <v>193</v>
      </c>
      <c r="Z142" s="137">
        <v>4.383</v>
      </c>
      <c r="AA142" s="137" t="s">
        <v>193</v>
      </c>
      <c r="AB142" s="137" t="s">
        <v>193</v>
      </c>
      <c r="AC142" s="137" t="s">
        <v>193</v>
      </c>
      <c r="AD142" s="137" t="s">
        <v>193</v>
      </c>
      <c r="AE142" s="137" t="s">
        <v>195</v>
      </c>
      <c r="AF142" s="137">
        <v>40.5</v>
      </c>
      <c r="AG142" s="137">
        <v>2.3860000000000001</v>
      </c>
      <c r="AH142" s="137">
        <v>2.8889999999999998</v>
      </c>
      <c r="AI142" s="137" t="s">
        <v>193</v>
      </c>
      <c r="AJ142" s="137" t="s">
        <v>193</v>
      </c>
      <c r="AK142" s="137" t="s">
        <v>193</v>
      </c>
      <c r="AL142" s="137">
        <v>0.41399999999999998</v>
      </c>
      <c r="AM142" s="137">
        <v>0.41399999999999998</v>
      </c>
      <c r="AN142" s="137" t="s">
        <v>53</v>
      </c>
      <c r="AO142" s="137">
        <v>100</v>
      </c>
      <c r="AP142" s="137">
        <v>0</v>
      </c>
      <c r="AQ142" s="137">
        <v>0</v>
      </c>
      <c r="AR142" s="137">
        <v>0</v>
      </c>
      <c r="AV142" s="1">
        <f t="shared" si="22"/>
        <v>71.652000000000001</v>
      </c>
      <c r="AW142" s="1">
        <f t="shared" si="15"/>
        <v>65.438000000000002</v>
      </c>
      <c r="AX142" s="13">
        <f t="shared" si="20"/>
        <v>0.91327527493998772</v>
      </c>
      <c r="BA142" s="12">
        <f t="shared" si="16"/>
        <v>2.8889999999999998</v>
      </c>
      <c r="BB142" s="12">
        <f t="shared" si="21"/>
        <v>2.8889999999999998</v>
      </c>
      <c r="BC142" s="12">
        <f t="shared" si="21"/>
        <v>0</v>
      </c>
      <c r="BD142" s="12">
        <f t="shared" si="21"/>
        <v>0</v>
      </c>
      <c r="BE142" s="12">
        <f t="shared" si="17"/>
        <v>0</v>
      </c>
      <c r="BF142" s="12">
        <f t="shared" si="18"/>
        <v>0</v>
      </c>
      <c r="BJ142" s="12" t="str">
        <f t="shared" si="19"/>
        <v/>
      </c>
      <c r="BK142" s="12">
        <f>VLOOKUP(B142,Kraftvärmeprod!$B$1:$BH$549,MATCH($BA$1,Kraftvärmeprod!$B$1:$CC$1,0),FALSE)</f>
        <v>0</v>
      </c>
    </row>
    <row r="143" spans="1:63" ht="15" customHeight="1" x14ac:dyDescent="0.25">
      <c r="A143" s="137" t="s">
        <v>394</v>
      </c>
      <c r="B143" s="137" t="s">
        <v>395</v>
      </c>
      <c r="C143" s="137">
        <v>2018</v>
      </c>
      <c r="D143" s="137">
        <v>1.2250000000000001</v>
      </c>
      <c r="E143" s="137">
        <v>1.3580000000000001</v>
      </c>
      <c r="F143" s="137" t="s">
        <v>193</v>
      </c>
      <c r="G143" s="137">
        <v>4.8000000000000001E-2</v>
      </c>
      <c r="H143" s="137" t="s">
        <v>193</v>
      </c>
      <c r="I143" s="137" t="s">
        <v>193</v>
      </c>
      <c r="J143" s="137" t="s">
        <v>193</v>
      </c>
      <c r="K143" s="137" t="s">
        <v>193</v>
      </c>
      <c r="L143" s="137" t="s">
        <v>193</v>
      </c>
      <c r="M143" s="137" t="s">
        <v>53</v>
      </c>
      <c r="N143" s="137" t="s">
        <v>193</v>
      </c>
      <c r="O143" s="137" t="s">
        <v>193</v>
      </c>
      <c r="P143" s="137" t="s">
        <v>193</v>
      </c>
      <c r="Q143" s="137" t="s">
        <v>193</v>
      </c>
      <c r="R143" s="137" t="s">
        <v>193</v>
      </c>
      <c r="S143" s="137" t="s">
        <v>193</v>
      </c>
      <c r="T143" s="137" t="s">
        <v>193</v>
      </c>
      <c r="U143" s="137">
        <v>1.31</v>
      </c>
      <c r="V143" s="137" t="s">
        <v>193</v>
      </c>
      <c r="W143" s="137" t="s">
        <v>193</v>
      </c>
      <c r="X143" s="137" t="s">
        <v>193</v>
      </c>
      <c r="Y143" s="137" t="s">
        <v>193</v>
      </c>
      <c r="Z143" s="137" t="s">
        <v>193</v>
      </c>
      <c r="AA143" s="137" t="s">
        <v>193</v>
      </c>
      <c r="AB143" s="137" t="s">
        <v>193</v>
      </c>
      <c r="AC143" s="137" t="s">
        <v>193</v>
      </c>
      <c r="AD143" s="137" t="s">
        <v>193</v>
      </c>
      <c r="AE143" s="137" t="s">
        <v>199</v>
      </c>
      <c r="AF143" s="137" t="s">
        <v>193</v>
      </c>
      <c r="AG143" s="137" t="s">
        <v>193</v>
      </c>
      <c r="AH143" s="137" t="s">
        <v>193</v>
      </c>
      <c r="AI143" s="137" t="s">
        <v>193</v>
      </c>
      <c r="AJ143" s="137" t="s">
        <v>193</v>
      </c>
      <c r="AK143" s="137" t="s">
        <v>193</v>
      </c>
      <c r="AL143" s="137" t="s">
        <v>193</v>
      </c>
      <c r="AM143" s="137" t="s">
        <v>193</v>
      </c>
      <c r="AN143" s="137" t="s">
        <v>53</v>
      </c>
      <c r="AO143" s="137" t="s">
        <v>193</v>
      </c>
      <c r="AP143" s="137" t="s">
        <v>193</v>
      </c>
      <c r="AQ143" s="137" t="s">
        <v>193</v>
      </c>
      <c r="AR143" s="137" t="s">
        <v>193</v>
      </c>
      <c r="AV143" s="1">
        <f t="shared" si="22"/>
        <v>1.3580000000000001</v>
      </c>
      <c r="AW143" s="1">
        <f t="shared" si="15"/>
        <v>1.2250000000000001</v>
      </c>
      <c r="AX143" s="13">
        <f t="shared" si="20"/>
        <v>0.90206185567010311</v>
      </c>
      <c r="BA143" s="12">
        <f t="shared" si="16"/>
        <v>0</v>
      </c>
      <c r="BB143" s="12">
        <f t="shared" si="21"/>
        <v>0</v>
      </c>
      <c r="BC143" s="12">
        <f t="shared" si="21"/>
        <v>0</v>
      </c>
      <c r="BD143" s="12">
        <f t="shared" si="21"/>
        <v>0</v>
      </c>
      <c r="BE143" s="12">
        <f t="shared" si="17"/>
        <v>0</v>
      </c>
      <c r="BF143" s="12">
        <f t="shared" si="18"/>
        <v>0</v>
      </c>
      <c r="BJ143" s="12" t="str">
        <f t="shared" si="19"/>
        <v/>
      </c>
      <c r="BK143" s="12">
        <f>VLOOKUP(B143,Kraftvärmeprod!$B$1:$BH$549,MATCH($BA$1,Kraftvärmeprod!$B$1:$CC$1,0),FALSE)</f>
        <v>0</v>
      </c>
    </row>
    <row r="144" spans="1:63" ht="15" customHeight="1" x14ac:dyDescent="0.25">
      <c r="A144" s="137" t="s">
        <v>394</v>
      </c>
      <c r="B144" s="137" t="s">
        <v>396</v>
      </c>
      <c r="C144" s="137">
        <v>2018</v>
      </c>
      <c r="D144" s="137">
        <v>0.90100000000000002</v>
      </c>
      <c r="E144" s="137">
        <v>1</v>
      </c>
      <c r="F144" s="137" t="s">
        <v>193</v>
      </c>
      <c r="G144" s="137">
        <v>0.02</v>
      </c>
      <c r="H144" s="137" t="s">
        <v>193</v>
      </c>
      <c r="I144" s="137" t="s">
        <v>193</v>
      </c>
      <c r="J144" s="137" t="s">
        <v>193</v>
      </c>
      <c r="K144" s="137" t="s">
        <v>193</v>
      </c>
      <c r="L144" s="137" t="s">
        <v>193</v>
      </c>
      <c r="M144" s="137" t="s">
        <v>53</v>
      </c>
      <c r="N144" s="137" t="s">
        <v>193</v>
      </c>
      <c r="O144" s="137" t="s">
        <v>193</v>
      </c>
      <c r="P144" s="137" t="s">
        <v>193</v>
      </c>
      <c r="Q144" s="137" t="s">
        <v>193</v>
      </c>
      <c r="R144" s="137" t="s">
        <v>193</v>
      </c>
      <c r="S144" s="137" t="s">
        <v>193</v>
      </c>
      <c r="T144" s="137" t="s">
        <v>194</v>
      </c>
      <c r="U144" s="137">
        <v>0.98</v>
      </c>
      <c r="V144" s="137" t="s">
        <v>193</v>
      </c>
      <c r="W144" s="137" t="s">
        <v>193</v>
      </c>
      <c r="X144" s="137" t="s">
        <v>193</v>
      </c>
      <c r="Y144" s="137" t="s">
        <v>193</v>
      </c>
      <c r="Z144" s="137" t="s">
        <v>193</v>
      </c>
      <c r="AA144" s="137" t="s">
        <v>193</v>
      </c>
      <c r="AB144" s="137" t="s">
        <v>193</v>
      </c>
      <c r="AC144" s="137" t="s">
        <v>193</v>
      </c>
      <c r="AD144" s="137" t="s">
        <v>193</v>
      </c>
      <c r="AE144" s="137" t="s">
        <v>199</v>
      </c>
      <c r="AF144" s="137" t="s">
        <v>193</v>
      </c>
      <c r="AG144" s="137" t="s">
        <v>193</v>
      </c>
      <c r="AH144" s="137" t="s">
        <v>193</v>
      </c>
      <c r="AI144" s="137" t="s">
        <v>193</v>
      </c>
      <c r="AJ144" s="137" t="s">
        <v>193</v>
      </c>
      <c r="AK144" s="137" t="s">
        <v>193</v>
      </c>
      <c r="AL144" s="137" t="s">
        <v>193</v>
      </c>
      <c r="AM144" s="137" t="s">
        <v>193</v>
      </c>
      <c r="AN144" s="137" t="s">
        <v>53</v>
      </c>
      <c r="AO144" s="137" t="s">
        <v>193</v>
      </c>
      <c r="AP144" s="137" t="s">
        <v>193</v>
      </c>
      <c r="AQ144" s="137" t="s">
        <v>193</v>
      </c>
      <c r="AR144" s="137" t="s">
        <v>193</v>
      </c>
      <c r="AV144" s="1">
        <f t="shared" si="22"/>
        <v>1</v>
      </c>
      <c r="AW144" s="1">
        <f t="shared" si="15"/>
        <v>0.90100000000000002</v>
      </c>
      <c r="AX144" s="13">
        <f t="shared" si="20"/>
        <v>0.90100000000000002</v>
      </c>
      <c r="BA144" s="12">
        <f t="shared" si="16"/>
        <v>0</v>
      </c>
      <c r="BB144" s="12">
        <f t="shared" si="21"/>
        <v>0</v>
      </c>
      <c r="BC144" s="12">
        <f t="shared" si="21"/>
        <v>0</v>
      </c>
      <c r="BD144" s="12">
        <f t="shared" si="21"/>
        <v>0</v>
      </c>
      <c r="BE144" s="12">
        <f t="shared" si="17"/>
        <v>0</v>
      </c>
      <c r="BF144" s="12">
        <f t="shared" si="18"/>
        <v>0</v>
      </c>
      <c r="BJ144" s="12" t="str">
        <f t="shared" si="19"/>
        <v/>
      </c>
      <c r="BK144" s="12">
        <f>VLOOKUP(B144,Kraftvärmeprod!$B$1:$BH$549,MATCH($BA$1,Kraftvärmeprod!$B$1:$CC$1,0),FALSE)</f>
        <v>0</v>
      </c>
    </row>
    <row r="145" spans="1:63" ht="15" customHeight="1" x14ac:dyDescent="0.25">
      <c r="A145" s="137" t="s">
        <v>394</v>
      </c>
      <c r="B145" s="137" t="s">
        <v>397</v>
      </c>
      <c r="C145" s="137">
        <v>2018</v>
      </c>
      <c r="D145" s="137">
        <v>3.4</v>
      </c>
      <c r="E145" s="137">
        <v>3.577</v>
      </c>
      <c r="F145" s="137" t="s">
        <v>193</v>
      </c>
      <c r="G145" s="137">
        <v>6.5000000000000002E-2</v>
      </c>
      <c r="H145" s="137" t="s">
        <v>193</v>
      </c>
      <c r="I145" s="137" t="s">
        <v>193</v>
      </c>
      <c r="J145" s="137" t="s">
        <v>193</v>
      </c>
      <c r="K145" s="137" t="s">
        <v>193</v>
      </c>
      <c r="L145" s="137" t="s">
        <v>193</v>
      </c>
      <c r="M145" s="137" t="s">
        <v>53</v>
      </c>
      <c r="N145" s="137" t="s">
        <v>193</v>
      </c>
      <c r="O145" s="137" t="s">
        <v>193</v>
      </c>
      <c r="P145" s="137" t="s">
        <v>193</v>
      </c>
      <c r="Q145" s="137" t="s">
        <v>193</v>
      </c>
      <c r="R145" s="137" t="s">
        <v>193</v>
      </c>
      <c r="S145" s="137" t="s">
        <v>193</v>
      </c>
      <c r="T145" s="137" t="s">
        <v>193</v>
      </c>
      <c r="U145" s="137">
        <v>3.512</v>
      </c>
      <c r="V145" s="137" t="s">
        <v>193</v>
      </c>
      <c r="W145" s="137" t="s">
        <v>193</v>
      </c>
      <c r="X145" s="137" t="s">
        <v>193</v>
      </c>
      <c r="Y145" s="137" t="s">
        <v>193</v>
      </c>
      <c r="Z145" s="137" t="s">
        <v>193</v>
      </c>
      <c r="AA145" s="137" t="s">
        <v>193</v>
      </c>
      <c r="AB145" s="137" t="s">
        <v>193</v>
      </c>
      <c r="AC145" s="137" t="s">
        <v>193</v>
      </c>
      <c r="AD145" s="137" t="s">
        <v>193</v>
      </c>
      <c r="AE145" s="137" t="s">
        <v>199</v>
      </c>
      <c r="AF145" s="137" t="s">
        <v>193</v>
      </c>
      <c r="AG145" s="137" t="s">
        <v>193</v>
      </c>
      <c r="AH145" s="137" t="s">
        <v>193</v>
      </c>
      <c r="AI145" s="137" t="s">
        <v>193</v>
      </c>
      <c r="AJ145" s="137" t="s">
        <v>193</v>
      </c>
      <c r="AK145" s="137" t="s">
        <v>193</v>
      </c>
      <c r="AL145" s="137" t="s">
        <v>193</v>
      </c>
      <c r="AM145" s="137" t="s">
        <v>193</v>
      </c>
      <c r="AN145" s="137" t="s">
        <v>53</v>
      </c>
      <c r="AO145" s="137" t="s">
        <v>193</v>
      </c>
      <c r="AP145" s="137" t="s">
        <v>193</v>
      </c>
      <c r="AQ145" s="137" t="s">
        <v>193</v>
      </c>
      <c r="AR145" s="137" t="s">
        <v>193</v>
      </c>
      <c r="AV145" s="1">
        <f t="shared" si="22"/>
        <v>3.577</v>
      </c>
      <c r="AW145" s="1">
        <f t="shared" si="15"/>
        <v>3.4</v>
      </c>
      <c r="AX145" s="13">
        <f t="shared" si="20"/>
        <v>0.95051719317864125</v>
      </c>
      <c r="BA145" s="12">
        <f t="shared" si="16"/>
        <v>0</v>
      </c>
      <c r="BB145" s="12">
        <f t="shared" si="21"/>
        <v>0</v>
      </c>
      <c r="BC145" s="12">
        <f t="shared" si="21"/>
        <v>0</v>
      </c>
      <c r="BD145" s="12">
        <f t="shared" si="21"/>
        <v>0</v>
      </c>
      <c r="BE145" s="12">
        <f t="shared" si="17"/>
        <v>0</v>
      </c>
      <c r="BF145" s="12">
        <f t="shared" si="18"/>
        <v>0</v>
      </c>
      <c r="BJ145" s="12" t="str">
        <f t="shared" si="19"/>
        <v/>
      </c>
      <c r="BK145" s="12">
        <f>VLOOKUP(B145,Kraftvärmeprod!$B$1:$BH$549,MATCH($BA$1,Kraftvärmeprod!$B$1:$CC$1,0),FALSE)</f>
        <v>0</v>
      </c>
    </row>
    <row r="146" spans="1:63" ht="15" customHeight="1" x14ac:dyDescent="0.25">
      <c r="A146" s="137" t="s">
        <v>394</v>
      </c>
      <c r="B146" s="137" t="s">
        <v>398</v>
      </c>
      <c r="C146" s="137">
        <v>2018</v>
      </c>
      <c r="D146" s="137">
        <v>0.42899999999999999</v>
      </c>
      <c r="E146" s="137">
        <v>0.48299999999999998</v>
      </c>
      <c r="F146" s="137" t="s">
        <v>193</v>
      </c>
      <c r="G146" s="137" t="s">
        <v>193</v>
      </c>
      <c r="H146" s="137" t="s">
        <v>193</v>
      </c>
      <c r="I146" s="137" t="s">
        <v>193</v>
      </c>
      <c r="J146" s="137" t="s">
        <v>193</v>
      </c>
      <c r="K146" s="137" t="s">
        <v>193</v>
      </c>
      <c r="L146" s="137" t="s">
        <v>193</v>
      </c>
      <c r="M146" s="137" t="s">
        <v>53</v>
      </c>
      <c r="N146" s="137" t="s">
        <v>193</v>
      </c>
      <c r="O146" s="137" t="s">
        <v>193</v>
      </c>
      <c r="P146" s="137" t="s">
        <v>193</v>
      </c>
      <c r="Q146" s="137" t="s">
        <v>193</v>
      </c>
      <c r="R146" s="137" t="s">
        <v>193</v>
      </c>
      <c r="S146" s="137" t="s">
        <v>193</v>
      </c>
      <c r="T146" s="137" t="s">
        <v>193</v>
      </c>
      <c r="U146" s="137" t="s">
        <v>193</v>
      </c>
      <c r="V146" s="137" t="s">
        <v>193</v>
      </c>
      <c r="W146" s="137" t="s">
        <v>193</v>
      </c>
      <c r="X146" s="137" t="s">
        <v>193</v>
      </c>
      <c r="Y146" s="137" t="s">
        <v>193</v>
      </c>
      <c r="Z146" s="137">
        <v>0.48299999999999998</v>
      </c>
      <c r="AA146" s="137" t="s">
        <v>193</v>
      </c>
      <c r="AB146" s="137" t="s">
        <v>193</v>
      </c>
      <c r="AC146" s="137" t="s">
        <v>193</v>
      </c>
      <c r="AD146" s="137" t="s">
        <v>193</v>
      </c>
      <c r="AE146" s="137" t="s">
        <v>199</v>
      </c>
      <c r="AF146" s="137" t="s">
        <v>193</v>
      </c>
      <c r="AG146" s="137" t="s">
        <v>193</v>
      </c>
      <c r="AH146" s="137" t="s">
        <v>193</v>
      </c>
      <c r="AI146" s="137" t="s">
        <v>193</v>
      </c>
      <c r="AJ146" s="137" t="s">
        <v>193</v>
      </c>
      <c r="AK146" s="137" t="s">
        <v>193</v>
      </c>
      <c r="AL146" s="137" t="s">
        <v>193</v>
      </c>
      <c r="AM146" s="137" t="s">
        <v>193</v>
      </c>
      <c r="AN146" s="137" t="s">
        <v>53</v>
      </c>
      <c r="AO146" s="137" t="s">
        <v>193</v>
      </c>
      <c r="AP146" s="137" t="s">
        <v>193</v>
      </c>
      <c r="AQ146" s="137" t="s">
        <v>193</v>
      </c>
      <c r="AR146" s="137" t="s">
        <v>193</v>
      </c>
      <c r="AV146" s="1">
        <f t="shared" si="22"/>
        <v>0.48299999999999998</v>
      </c>
      <c r="AW146" s="1">
        <f t="shared" si="15"/>
        <v>0.42899999999999999</v>
      </c>
      <c r="AX146" s="13">
        <f t="shared" si="20"/>
        <v>0.88819875776397517</v>
      </c>
      <c r="BA146" s="12">
        <f t="shared" si="16"/>
        <v>0</v>
      </c>
      <c r="BB146" s="12">
        <f t="shared" si="21"/>
        <v>0</v>
      </c>
      <c r="BC146" s="12">
        <f t="shared" si="21"/>
        <v>0</v>
      </c>
      <c r="BD146" s="12">
        <f t="shared" si="21"/>
        <v>0</v>
      </c>
      <c r="BE146" s="12">
        <f t="shared" si="17"/>
        <v>0</v>
      </c>
      <c r="BF146" s="12">
        <f t="shared" si="18"/>
        <v>0</v>
      </c>
      <c r="BJ146" s="12" t="str">
        <f t="shared" si="19"/>
        <v/>
      </c>
      <c r="BK146" s="12">
        <f>VLOOKUP(B146,Kraftvärmeprod!$B$1:$BH$549,MATCH($BA$1,Kraftvärmeprod!$B$1:$CC$1,0),FALSE)</f>
        <v>26.8</v>
      </c>
    </row>
    <row r="147" spans="1:63" ht="15" customHeight="1" x14ac:dyDescent="0.25">
      <c r="A147" s="137" t="s">
        <v>45</v>
      </c>
      <c r="B147" s="141" t="s">
        <v>46</v>
      </c>
      <c r="C147" s="137">
        <v>2018</v>
      </c>
      <c r="D147" s="137" t="s">
        <v>53</v>
      </c>
      <c r="E147" s="137" t="s">
        <v>53</v>
      </c>
      <c r="F147" s="137" t="s">
        <v>53</v>
      </c>
      <c r="G147" s="137" t="s">
        <v>53</v>
      </c>
      <c r="H147" s="137" t="s">
        <v>53</v>
      </c>
      <c r="I147" s="137" t="s">
        <v>53</v>
      </c>
      <c r="J147" s="137" t="s">
        <v>53</v>
      </c>
      <c r="K147" s="137" t="s">
        <v>53</v>
      </c>
      <c r="L147" s="137" t="s">
        <v>53</v>
      </c>
      <c r="M147" s="137" t="s">
        <v>53</v>
      </c>
      <c r="N147" s="137" t="s">
        <v>53</v>
      </c>
      <c r="O147" s="137" t="s">
        <v>53</v>
      </c>
      <c r="P147" s="137" t="s">
        <v>53</v>
      </c>
      <c r="Q147" s="137" t="s">
        <v>53</v>
      </c>
      <c r="R147" s="137" t="s">
        <v>53</v>
      </c>
      <c r="S147" s="137" t="s">
        <v>53</v>
      </c>
      <c r="T147" s="137" t="s">
        <v>53</v>
      </c>
      <c r="U147" s="137" t="s">
        <v>53</v>
      </c>
      <c r="V147" s="137" t="s">
        <v>53</v>
      </c>
      <c r="W147" s="137" t="s">
        <v>53</v>
      </c>
      <c r="X147" s="137" t="s">
        <v>53</v>
      </c>
      <c r="Y147" s="137" t="s">
        <v>53</v>
      </c>
      <c r="Z147" s="137" t="s">
        <v>53</v>
      </c>
      <c r="AA147" s="137" t="s">
        <v>53</v>
      </c>
      <c r="AB147" s="137" t="s">
        <v>53</v>
      </c>
      <c r="AC147" s="137" t="s">
        <v>53</v>
      </c>
      <c r="AD147" s="137" t="s">
        <v>53</v>
      </c>
      <c r="AE147" s="137" t="s">
        <v>53</v>
      </c>
      <c r="AF147" s="137" t="s">
        <v>53</v>
      </c>
      <c r="AG147" s="137" t="s">
        <v>53</v>
      </c>
      <c r="AH147" s="137" t="s">
        <v>53</v>
      </c>
      <c r="AI147" s="137" t="s">
        <v>53</v>
      </c>
      <c r="AJ147" s="137" t="s">
        <v>53</v>
      </c>
      <c r="AK147" s="137" t="s">
        <v>53</v>
      </c>
      <c r="AL147" s="137" t="s">
        <v>53</v>
      </c>
      <c r="AM147" s="137" t="s">
        <v>53</v>
      </c>
      <c r="AN147" s="137" t="s">
        <v>53</v>
      </c>
      <c r="AO147" s="137" t="s">
        <v>53</v>
      </c>
      <c r="AP147" s="137" t="s">
        <v>53</v>
      </c>
      <c r="AQ147" s="137" t="s">
        <v>53</v>
      </c>
      <c r="AR147" s="137" t="s">
        <v>53</v>
      </c>
      <c r="AV147" s="1">
        <f t="shared" si="22"/>
        <v>0</v>
      </c>
      <c r="AW147" s="1">
        <f t="shared" si="15"/>
        <v>0</v>
      </c>
      <c r="AX147" s="13" t="str">
        <f t="shared" si="20"/>
        <v/>
      </c>
      <c r="BA147" s="12">
        <f t="shared" si="16"/>
        <v>0</v>
      </c>
      <c r="BB147" s="12">
        <f t="shared" si="21"/>
        <v>0</v>
      </c>
      <c r="BC147" s="12">
        <f t="shared" si="21"/>
        <v>0</v>
      </c>
      <c r="BD147" s="12">
        <f t="shared" si="21"/>
        <v>0</v>
      </c>
      <c r="BE147" s="12">
        <f t="shared" si="17"/>
        <v>0</v>
      </c>
      <c r="BF147" s="12">
        <f t="shared" si="18"/>
        <v>0</v>
      </c>
      <c r="BJ147" s="12" t="str">
        <f t="shared" si="19"/>
        <v/>
      </c>
      <c r="BK147" s="12">
        <f>VLOOKUP(B147,Kraftvärmeprod!$B$1:$BH$549,MATCH($BA$1,Kraftvärmeprod!$B$1:$CC$1,0),FALSE)</f>
        <v>0</v>
      </c>
    </row>
    <row r="148" spans="1:63" ht="15" customHeight="1" x14ac:dyDescent="0.25">
      <c r="A148" s="137" t="s">
        <v>399</v>
      </c>
      <c r="B148" s="137" t="s">
        <v>400</v>
      </c>
      <c r="C148" s="137">
        <v>2018</v>
      </c>
      <c r="D148" s="137">
        <v>74.3</v>
      </c>
      <c r="E148" s="137">
        <v>90.350999999999999</v>
      </c>
      <c r="F148" s="137" t="s">
        <v>193</v>
      </c>
      <c r="G148" s="137">
        <v>9.5000000000000001E-2</v>
      </c>
      <c r="H148" s="137" t="s">
        <v>193</v>
      </c>
      <c r="I148" s="137" t="s">
        <v>193</v>
      </c>
      <c r="J148" s="137">
        <v>0.436</v>
      </c>
      <c r="K148" s="137" t="s">
        <v>193</v>
      </c>
      <c r="L148" s="137" t="s">
        <v>193</v>
      </c>
      <c r="M148" s="137" t="s">
        <v>219</v>
      </c>
      <c r="N148" s="137" t="s">
        <v>193</v>
      </c>
      <c r="O148" s="137" t="s">
        <v>193</v>
      </c>
      <c r="P148" s="137">
        <v>25.2</v>
      </c>
      <c r="Q148" s="137" t="s">
        <v>193</v>
      </c>
      <c r="R148" s="137" t="s">
        <v>193</v>
      </c>
      <c r="S148" s="137" t="s">
        <v>193</v>
      </c>
      <c r="T148" s="137" t="s">
        <v>194</v>
      </c>
      <c r="U148" s="137" t="s">
        <v>193</v>
      </c>
      <c r="V148" s="137" t="s">
        <v>193</v>
      </c>
      <c r="W148" s="137" t="s">
        <v>193</v>
      </c>
      <c r="X148" s="137">
        <v>55</v>
      </c>
      <c r="Y148" s="137" t="s">
        <v>193</v>
      </c>
      <c r="Z148" s="137" t="s">
        <v>193</v>
      </c>
      <c r="AA148" s="137" t="s">
        <v>193</v>
      </c>
      <c r="AB148" s="137" t="s">
        <v>193</v>
      </c>
      <c r="AC148" s="137" t="s">
        <v>193</v>
      </c>
      <c r="AD148" s="137" t="s">
        <v>193</v>
      </c>
      <c r="AE148" s="137" t="s">
        <v>199</v>
      </c>
      <c r="AF148" s="137" t="s">
        <v>193</v>
      </c>
      <c r="AG148" s="137">
        <v>9.6199999999999992</v>
      </c>
      <c r="AH148" s="137" t="s">
        <v>193</v>
      </c>
      <c r="AI148" s="137" t="s">
        <v>193</v>
      </c>
      <c r="AJ148" s="137" t="s">
        <v>193</v>
      </c>
      <c r="AK148" s="137" t="s">
        <v>193</v>
      </c>
      <c r="AL148" s="137" t="s">
        <v>193</v>
      </c>
      <c r="AM148" s="137" t="s">
        <v>193</v>
      </c>
      <c r="AN148" s="137" t="s">
        <v>219</v>
      </c>
      <c r="AO148" s="137" t="s">
        <v>193</v>
      </c>
      <c r="AP148" s="137" t="s">
        <v>193</v>
      </c>
      <c r="AQ148" s="137" t="s">
        <v>193</v>
      </c>
      <c r="AR148" s="137" t="s">
        <v>193</v>
      </c>
      <c r="AV148" s="1">
        <f t="shared" si="22"/>
        <v>90.350999999999999</v>
      </c>
      <c r="AW148" s="1">
        <f t="shared" si="15"/>
        <v>74.3</v>
      </c>
      <c r="AX148" s="13">
        <f t="shared" si="20"/>
        <v>0.82234839680800431</v>
      </c>
      <c r="BA148" s="12">
        <f t="shared" si="16"/>
        <v>0</v>
      </c>
      <c r="BB148" s="12">
        <f t="shared" si="21"/>
        <v>0</v>
      </c>
      <c r="BC148" s="12">
        <f t="shared" si="21"/>
        <v>0</v>
      </c>
      <c r="BD148" s="12">
        <f t="shared" si="21"/>
        <v>0</v>
      </c>
      <c r="BE148" s="12">
        <f t="shared" si="17"/>
        <v>0</v>
      </c>
      <c r="BF148" s="12">
        <f t="shared" si="18"/>
        <v>0</v>
      </c>
      <c r="BJ148" s="12" t="str">
        <f t="shared" si="19"/>
        <v/>
      </c>
      <c r="BK148" s="12">
        <f>VLOOKUP(B148,Kraftvärmeprod!$B$1:$BH$549,MATCH($BA$1,Kraftvärmeprod!$B$1:$CC$1,0),FALSE)</f>
        <v>12.797000000000001</v>
      </c>
    </row>
    <row r="149" spans="1:63" ht="15" customHeight="1" x14ac:dyDescent="0.25">
      <c r="A149" s="137" t="s">
        <v>401</v>
      </c>
      <c r="B149" s="137" t="s">
        <v>402</v>
      </c>
      <c r="C149" s="137">
        <v>2018</v>
      </c>
      <c r="D149" s="137">
        <v>10.199999999999999</v>
      </c>
      <c r="E149" s="137">
        <v>11.823</v>
      </c>
      <c r="F149" s="137" t="s">
        <v>193</v>
      </c>
      <c r="G149" s="137">
        <v>1.4</v>
      </c>
      <c r="H149" s="137" t="s">
        <v>193</v>
      </c>
      <c r="I149" s="137" t="s">
        <v>193</v>
      </c>
      <c r="J149" s="137" t="s">
        <v>193</v>
      </c>
      <c r="K149" s="137" t="s">
        <v>193</v>
      </c>
      <c r="L149" s="137" t="s">
        <v>193</v>
      </c>
      <c r="M149" s="137" t="s">
        <v>53</v>
      </c>
      <c r="N149" s="137" t="s">
        <v>193</v>
      </c>
      <c r="O149" s="137" t="s">
        <v>193</v>
      </c>
      <c r="P149" s="137">
        <v>9.77</v>
      </c>
      <c r="Q149" s="137" t="s">
        <v>193</v>
      </c>
      <c r="R149" s="137" t="s">
        <v>193</v>
      </c>
      <c r="S149" s="137" t="s">
        <v>193</v>
      </c>
      <c r="T149" s="137" t="s">
        <v>193</v>
      </c>
      <c r="U149" s="137">
        <v>0.65300000000000002</v>
      </c>
      <c r="V149" s="137" t="s">
        <v>193</v>
      </c>
      <c r="W149" s="137" t="s">
        <v>193</v>
      </c>
      <c r="X149" s="137" t="s">
        <v>193</v>
      </c>
      <c r="Y149" s="137" t="s">
        <v>193</v>
      </c>
      <c r="Z149" s="137" t="s">
        <v>193</v>
      </c>
      <c r="AA149" s="137" t="s">
        <v>193</v>
      </c>
      <c r="AB149" s="137" t="s">
        <v>193</v>
      </c>
      <c r="AC149" s="137" t="s">
        <v>193</v>
      </c>
      <c r="AD149" s="137" t="s">
        <v>193</v>
      </c>
      <c r="AE149" s="137" t="s">
        <v>199</v>
      </c>
      <c r="AF149" s="137" t="s">
        <v>193</v>
      </c>
      <c r="AG149" s="137" t="s">
        <v>193</v>
      </c>
      <c r="AH149" s="137" t="s">
        <v>193</v>
      </c>
      <c r="AI149" s="137" t="s">
        <v>193</v>
      </c>
      <c r="AJ149" s="137" t="s">
        <v>193</v>
      </c>
      <c r="AK149" s="137" t="s">
        <v>193</v>
      </c>
      <c r="AL149" s="137" t="s">
        <v>193</v>
      </c>
      <c r="AM149" s="137" t="s">
        <v>193</v>
      </c>
      <c r="AN149" s="137" t="s">
        <v>53</v>
      </c>
      <c r="AO149" s="137" t="s">
        <v>193</v>
      </c>
      <c r="AP149" s="137" t="s">
        <v>193</v>
      </c>
      <c r="AQ149" s="137" t="s">
        <v>193</v>
      </c>
      <c r="AR149" s="137" t="s">
        <v>193</v>
      </c>
      <c r="AV149" s="1">
        <f t="shared" si="22"/>
        <v>11.823</v>
      </c>
      <c r="AW149" s="1">
        <f t="shared" si="15"/>
        <v>10.199999999999999</v>
      </c>
      <c r="AX149" s="13">
        <f t="shared" si="20"/>
        <v>0.86272519665059622</v>
      </c>
      <c r="BA149" s="12">
        <f t="shared" si="16"/>
        <v>0</v>
      </c>
      <c r="BB149" s="12">
        <f t="shared" si="21"/>
        <v>0</v>
      </c>
      <c r="BC149" s="12">
        <f t="shared" si="21"/>
        <v>0</v>
      </c>
      <c r="BD149" s="12">
        <f t="shared" si="21"/>
        <v>0</v>
      </c>
      <c r="BE149" s="12">
        <f t="shared" si="17"/>
        <v>0</v>
      </c>
      <c r="BF149" s="12">
        <f t="shared" si="18"/>
        <v>0</v>
      </c>
      <c r="BJ149" s="12" t="str">
        <f t="shared" si="19"/>
        <v/>
      </c>
      <c r="BK149" s="12">
        <f>VLOOKUP(B149,Kraftvärmeprod!$B$1:$BH$549,MATCH($BA$1,Kraftvärmeprod!$B$1:$CC$1,0),FALSE)</f>
        <v>0</v>
      </c>
    </row>
    <row r="150" spans="1:63" ht="15" customHeight="1" x14ac:dyDescent="0.25">
      <c r="A150" s="137" t="s">
        <v>401</v>
      </c>
      <c r="B150" s="137" t="s">
        <v>403</v>
      </c>
      <c r="C150" s="137">
        <v>2018</v>
      </c>
      <c r="D150" s="137">
        <v>8.17</v>
      </c>
      <c r="E150" s="137">
        <v>9.7899999999999991</v>
      </c>
      <c r="F150" s="137" t="s">
        <v>193</v>
      </c>
      <c r="G150" s="137">
        <v>0.79</v>
      </c>
      <c r="H150" s="137" t="s">
        <v>193</v>
      </c>
      <c r="I150" s="137" t="s">
        <v>193</v>
      </c>
      <c r="J150" s="137" t="s">
        <v>193</v>
      </c>
      <c r="K150" s="137" t="s">
        <v>193</v>
      </c>
      <c r="L150" s="137" t="s">
        <v>193</v>
      </c>
      <c r="M150" s="137" t="s">
        <v>53</v>
      </c>
      <c r="N150" s="137" t="s">
        <v>193</v>
      </c>
      <c r="O150" s="137" t="s">
        <v>193</v>
      </c>
      <c r="P150" s="137">
        <v>9</v>
      </c>
      <c r="Q150" s="137" t="s">
        <v>193</v>
      </c>
      <c r="R150" s="137" t="s">
        <v>193</v>
      </c>
      <c r="S150" s="137" t="s">
        <v>193</v>
      </c>
      <c r="T150" s="137" t="s">
        <v>193</v>
      </c>
      <c r="U150" s="137" t="s">
        <v>193</v>
      </c>
      <c r="V150" s="137" t="s">
        <v>193</v>
      </c>
      <c r="W150" s="137" t="s">
        <v>193</v>
      </c>
      <c r="X150" s="137" t="s">
        <v>193</v>
      </c>
      <c r="Y150" s="137" t="s">
        <v>193</v>
      </c>
      <c r="Z150" s="137" t="s">
        <v>193</v>
      </c>
      <c r="AA150" s="137" t="s">
        <v>193</v>
      </c>
      <c r="AB150" s="137" t="s">
        <v>193</v>
      </c>
      <c r="AC150" s="137" t="s">
        <v>193</v>
      </c>
      <c r="AD150" s="137" t="s">
        <v>193</v>
      </c>
      <c r="AE150" s="137" t="s">
        <v>199</v>
      </c>
      <c r="AF150" s="137" t="s">
        <v>193</v>
      </c>
      <c r="AG150" s="137" t="s">
        <v>193</v>
      </c>
      <c r="AH150" s="137" t="s">
        <v>193</v>
      </c>
      <c r="AI150" s="137" t="s">
        <v>193</v>
      </c>
      <c r="AJ150" s="137" t="s">
        <v>193</v>
      </c>
      <c r="AK150" s="137" t="s">
        <v>193</v>
      </c>
      <c r="AL150" s="137" t="s">
        <v>193</v>
      </c>
      <c r="AM150" s="137" t="s">
        <v>193</v>
      </c>
      <c r="AN150" s="137" t="s">
        <v>53</v>
      </c>
      <c r="AO150" s="137" t="s">
        <v>193</v>
      </c>
      <c r="AP150" s="137" t="s">
        <v>193</v>
      </c>
      <c r="AQ150" s="137" t="s">
        <v>193</v>
      </c>
      <c r="AR150" s="137" t="s">
        <v>193</v>
      </c>
      <c r="AV150" s="1">
        <f t="shared" si="22"/>
        <v>9.7899999999999991</v>
      </c>
      <c r="AW150" s="1">
        <f t="shared" si="15"/>
        <v>8.17</v>
      </c>
      <c r="AX150" s="13">
        <f t="shared" si="20"/>
        <v>0.83452502553626151</v>
      </c>
      <c r="BA150" s="12">
        <f t="shared" si="16"/>
        <v>0</v>
      </c>
      <c r="BB150" s="12">
        <f t="shared" si="21"/>
        <v>0</v>
      </c>
      <c r="BC150" s="12">
        <f t="shared" si="21"/>
        <v>0</v>
      </c>
      <c r="BD150" s="12">
        <f t="shared" si="21"/>
        <v>0</v>
      </c>
      <c r="BE150" s="12">
        <f t="shared" si="17"/>
        <v>0</v>
      </c>
      <c r="BF150" s="12">
        <f t="shared" si="18"/>
        <v>0</v>
      </c>
      <c r="BJ150" s="12" t="str">
        <f t="shared" si="19"/>
        <v/>
      </c>
      <c r="BK150" s="12">
        <f>VLOOKUP(B150,Kraftvärmeprod!$B$1:$BH$549,MATCH($BA$1,Kraftvärmeprod!$B$1:$CC$1,0),FALSE)</f>
        <v>0</v>
      </c>
    </row>
    <row r="151" spans="1:63" ht="15" customHeight="1" x14ac:dyDescent="0.25">
      <c r="A151" s="137" t="s">
        <v>401</v>
      </c>
      <c r="B151" s="137" t="s">
        <v>404</v>
      </c>
      <c r="C151" s="137">
        <v>2018</v>
      </c>
      <c r="D151" s="137">
        <v>13.04</v>
      </c>
      <c r="E151" s="137">
        <v>15.96</v>
      </c>
      <c r="F151" s="137" t="s">
        <v>193</v>
      </c>
      <c r="G151" s="137">
        <v>0.15</v>
      </c>
      <c r="H151" s="137" t="s">
        <v>193</v>
      </c>
      <c r="I151" s="137" t="s">
        <v>193</v>
      </c>
      <c r="J151" s="137" t="s">
        <v>193</v>
      </c>
      <c r="K151" s="137" t="s">
        <v>193</v>
      </c>
      <c r="L151" s="137" t="s">
        <v>193</v>
      </c>
      <c r="M151" s="137" t="s">
        <v>53</v>
      </c>
      <c r="N151" s="137" t="s">
        <v>193</v>
      </c>
      <c r="O151" s="137" t="s">
        <v>193</v>
      </c>
      <c r="P151" s="137">
        <v>12.14</v>
      </c>
      <c r="Q151" s="137" t="s">
        <v>193</v>
      </c>
      <c r="R151" s="137">
        <v>3.67</v>
      </c>
      <c r="S151" s="137" t="s">
        <v>193</v>
      </c>
      <c r="T151" s="137" t="s">
        <v>193</v>
      </c>
      <c r="U151" s="137" t="s">
        <v>193</v>
      </c>
      <c r="V151" s="137" t="s">
        <v>193</v>
      </c>
      <c r="W151" s="137" t="s">
        <v>193</v>
      </c>
      <c r="X151" s="137" t="s">
        <v>193</v>
      </c>
      <c r="Y151" s="137" t="s">
        <v>193</v>
      </c>
      <c r="Z151" s="137" t="s">
        <v>193</v>
      </c>
      <c r="AA151" s="137" t="s">
        <v>193</v>
      </c>
      <c r="AB151" s="137" t="s">
        <v>193</v>
      </c>
      <c r="AC151" s="137" t="s">
        <v>193</v>
      </c>
      <c r="AD151" s="137" t="s">
        <v>193</v>
      </c>
      <c r="AE151" s="137" t="s">
        <v>199</v>
      </c>
      <c r="AF151" s="137" t="s">
        <v>193</v>
      </c>
      <c r="AG151" s="137" t="s">
        <v>193</v>
      </c>
      <c r="AH151" s="137" t="s">
        <v>193</v>
      </c>
      <c r="AI151" s="137" t="s">
        <v>193</v>
      </c>
      <c r="AJ151" s="137" t="s">
        <v>193</v>
      </c>
      <c r="AK151" s="137" t="s">
        <v>193</v>
      </c>
      <c r="AL151" s="137" t="s">
        <v>193</v>
      </c>
      <c r="AM151" s="137" t="s">
        <v>193</v>
      </c>
      <c r="AN151" s="137" t="s">
        <v>53</v>
      </c>
      <c r="AO151" s="137" t="s">
        <v>193</v>
      </c>
      <c r="AP151" s="137" t="s">
        <v>193</v>
      </c>
      <c r="AQ151" s="137" t="s">
        <v>193</v>
      </c>
      <c r="AR151" s="137" t="s">
        <v>193</v>
      </c>
      <c r="AV151" s="1">
        <f t="shared" si="22"/>
        <v>15.96</v>
      </c>
      <c r="AW151" s="1">
        <f t="shared" si="15"/>
        <v>13.04</v>
      </c>
      <c r="AX151" s="13">
        <f t="shared" si="20"/>
        <v>0.81704260651629068</v>
      </c>
      <c r="BA151" s="12">
        <f t="shared" si="16"/>
        <v>0</v>
      </c>
      <c r="BB151" s="12">
        <f t="shared" si="21"/>
        <v>0</v>
      </c>
      <c r="BC151" s="12">
        <f t="shared" si="21"/>
        <v>0</v>
      </c>
      <c r="BD151" s="12">
        <f t="shared" si="21"/>
        <v>0</v>
      </c>
      <c r="BE151" s="12">
        <f t="shared" si="17"/>
        <v>0</v>
      </c>
      <c r="BF151" s="12">
        <f t="shared" si="18"/>
        <v>0</v>
      </c>
      <c r="BJ151" s="12" t="str">
        <f t="shared" si="19"/>
        <v/>
      </c>
      <c r="BK151" s="12">
        <f>VLOOKUP(B151,Kraftvärmeprod!$B$1:$BH$549,MATCH($BA$1,Kraftvärmeprod!$B$1:$CC$1,0),FALSE)</f>
        <v>0</v>
      </c>
    </row>
    <row r="152" spans="1:63" ht="15" customHeight="1" x14ac:dyDescent="0.25">
      <c r="A152" s="137" t="s">
        <v>401</v>
      </c>
      <c r="B152" s="137" t="s">
        <v>405</v>
      </c>
      <c r="C152" s="137">
        <v>2018</v>
      </c>
      <c r="D152" s="137">
        <v>6.69</v>
      </c>
      <c r="E152" s="137">
        <v>8.09</v>
      </c>
      <c r="F152" s="137" t="s">
        <v>193</v>
      </c>
      <c r="G152" s="137">
        <v>0.27</v>
      </c>
      <c r="H152" s="137" t="s">
        <v>193</v>
      </c>
      <c r="I152" s="137" t="s">
        <v>193</v>
      </c>
      <c r="J152" s="137" t="s">
        <v>193</v>
      </c>
      <c r="K152" s="137" t="s">
        <v>193</v>
      </c>
      <c r="L152" s="137" t="s">
        <v>193</v>
      </c>
      <c r="M152" s="137" t="s">
        <v>53</v>
      </c>
      <c r="N152" s="137" t="s">
        <v>193</v>
      </c>
      <c r="O152" s="137" t="s">
        <v>193</v>
      </c>
      <c r="P152" s="137" t="s">
        <v>193</v>
      </c>
      <c r="Q152" s="137" t="s">
        <v>193</v>
      </c>
      <c r="R152" s="137" t="s">
        <v>193</v>
      </c>
      <c r="S152" s="137" t="s">
        <v>193</v>
      </c>
      <c r="T152" s="137" t="s">
        <v>193</v>
      </c>
      <c r="U152" s="137" t="s">
        <v>193</v>
      </c>
      <c r="V152" s="137">
        <v>7.82</v>
      </c>
      <c r="W152" s="137" t="s">
        <v>193</v>
      </c>
      <c r="X152" s="137" t="s">
        <v>193</v>
      </c>
      <c r="Y152" s="137" t="s">
        <v>193</v>
      </c>
      <c r="Z152" s="137" t="s">
        <v>193</v>
      </c>
      <c r="AA152" s="137" t="s">
        <v>193</v>
      </c>
      <c r="AB152" s="137" t="s">
        <v>193</v>
      </c>
      <c r="AC152" s="137" t="s">
        <v>193</v>
      </c>
      <c r="AD152" s="137" t="s">
        <v>193</v>
      </c>
      <c r="AE152" s="137" t="s">
        <v>199</v>
      </c>
      <c r="AF152" s="137" t="s">
        <v>193</v>
      </c>
      <c r="AG152" s="137" t="s">
        <v>193</v>
      </c>
      <c r="AH152" s="137" t="s">
        <v>193</v>
      </c>
      <c r="AI152" s="137" t="s">
        <v>193</v>
      </c>
      <c r="AJ152" s="137" t="s">
        <v>193</v>
      </c>
      <c r="AK152" s="137" t="s">
        <v>193</v>
      </c>
      <c r="AL152" s="137" t="s">
        <v>193</v>
      </c>
      <c r="AM152" s="137" t="s">
        <v>193</v>
      </c>
      <c r="AN152" s="137" t="s">
        <v>53</v>
      </c>
      <c r="AO152" s="137" t="s">
        <v>193</v>
      </c>
      <c r="AP152" s="137" t="s">
        <v>193</v>
      </c>
      <c r="AQ152" s="137" t="s">
        <v>193</v>
      </c>
      <c r="AR152" s="137" t="s">
        <v>193</v>
      </c>
      <c r="AV152" s="1">
        <f t="shared" si="22"/>
        <v>8.09</v>
      </c>
      <c r="AW152" s="1">
        <f t="shared" si="15"/>
        <v>6.69</v>
      </c>
      <c r="AX152" s="13">
        <f t="shared" si="20"/>
        <v>0.82694684796044504</v>
      </c>
      <c r="BA152" s="12">
        <f t="shared" si="16"/>
        <v>0</v>
      </c>
      <c r="BB152" s="12">
        <f t="shared" si="21"/>
        <v>0</v>
      </c>
      <c r="BC152" s="12">
        <f t="shared" si="21"/>
        <v>0</v>
      </c>
      <c r="BD152" s="12">
        <f t="shared" si="21"/>
        <v>0</v>
      </c>
      <c r="BE152" s="12">
        <f t="shared" si="17"/>
        <v>0</v>
      </c>
      <c r="BF152" s="12">
        <f t="shared" si="18"/>
        <v>0</v>
      </c>
      <c r="BJ152" s="12" t="str">
        <f t="shared" si="19"/>
        <v/>
      </c>
      <c r="BK152" s="12">
        <f>VLOOKUP(B152,Kraftvärmeprod!$B$1:$BH$549,MATCH($BA$1,Kraftvärmeprod!$B$1:$CC$1,0),FALSE)</f>
        <v>0</v>
      </c>
    </row>
    <row r="153" spans="1:63" ht="15" customHeight="1" x14ac:dyDescent="0.25">
      <c r="A153" s="137" t="s">
        <v>401</v>
      </c>
      <c r="B153" s="137" t="s">
        <v>406</v>
      </c>
      <c r="C153" s="137">
        <v>2018</v>
      </c>
      <c r="D153" s="137">
        <v>13.15</v>
      </c>
      <c r="E153" s="137">
        <v>13.106</v>
      </c>
      <c r="F153" s="137" t="s">
        <v>193</v>
      </c>
      <c r="G153" s="137">
        <v>4.5999999999999999E-2</v>
      </c>
      <c r="H153" s="137" t="s">
        <v>193</v>
      </c>
      <c r="I153" s="137" t="s">
        <v>193</v>
      </c>
      <c r="J153" s="137" t="s">
        <v>193</v>
      </c>
      <c r="K153" s="137" t="s">
        <v>193</v>
      </c>
      <c r="L153" s="137" t="s">
        <v>193</v>
      </c>
      <c r="M153" s="137" t="s">
        <v>53</v>
      </c>
      <c r="N153" s="137" t="s">
        <v>193</v>
      </c>
      <c r="O153" s="137" t="s">
        <v>193</v>
      </c>
      <c r="P153" s="137" t="s">
        <v>193</v>
      </c>
      <c r="Q153" s="137" t="s">
        <v>193</v>
      </c>
      <c r="R153" s="137">
        <v>7.5</v>
      </c>
      <c r="S153" s="137" t="s">
        <v>193</v>
      </c>
      <c r="T153" s="137" t="s">
        <v>193</v>
      </c>
      <c r="U153" s="137">
        <v>0.16</v>
      </c>
      <c r="V153" s="137">
        <v>5.4</v>
      </c>
      <c r="W153" s="137" t="s">
        <v>193</v>
      </c>
      <c r="X153" s="137" t="s">
        <v>193</v>
      </c>
      <c r="Y153" s="137" t="s">
        <v>193</v>
      </c>
      <c r="Z153" s="137" t="s">
        <v>193</v>
      </c>
      <c r="AA153" s="137" t="s">
        <v>193</v>
      </c>
      <c r="AB153" s="137" t="s">
        <v>193</v>
      </c>
      <c r="AC153" s="137" t="s">
        <v>193</v>
      </c>
      <c r="AD153" s="137" t="s">
        <v>193</v>
      </c>
      <c r="AE153" s="137" t="s">
        <v>199</v>
      </c>
      <c r="AF153" s="137" t="s">
        <v>193</v>
      </c>
      <c r="AG153" s="137" t="s">
        <v>193</v>
      </c>
      <c r="AH153" s="137" t="s">
        <v>193</v>
      </c>
      <c r="AI153" s="137" t="s">
        <v>193</v>
      </c>
      <c r="AJ153" s="137" t="s">
        <v>193</v>
      </c>
      <c r="AK153" s="137" t="s">
        <v>193</v>
      </c>
      <c r="AL153" s="137" t="s">
        <v>193</v>
      </c>
      <c r="AM153" s="137" t="s">
        <v>193</v>
      </c>
      <c r="AN153" s="137" t="s">
        <v>53</v>
      </c>
      <c r="AO153" s="137" t="s">
        <v>193</v>
      </c>
      <c r="AP153" s="137" t="s">
        <v>193</v>
      </c>
      <c r="AQ153" s="137" t="s">
        <v>193</v>
      </c>
      <c r="AR153" s="137" t="s">
        <v>193</v>
      </c>
      <c r="AV153" s="1">
        <f t="shared" si="22"/>
        <v>13.106000000000002</v>
      </c>
      <c r="AW153" s="1">
        <f t="shared" si="15"/>
        <v>13.15</v>
      </c>
      <c r="AX153" s="13">
        <f t="shared" si="20"/>
        <v>1.0033572409583396</v>
      </c>
      <c r="BA153" s="12">
        <f t="shared" si="16"/>
        <v>0</v>
      </c>
      <c r="BB153" s="12">
        <f t="shared" si="21"/>
        <v>0</v>
      </c>
      <c r="BC153" s="12">
        <f t="shared" si="21"/>
        <v>0</v>
      </c>
      <c r="BD153" s="12">
        <f t="shared" si="21"/>
        <v>0</v>
      </c>
      <c r="BE153" s="12">
        <f t="shared" si="17"/>
        <v>0</v>
      </c>
      <c r="BF153" s="12">
        <f t="shared" si="18"/>
        <v>0</v>
      </c>
      <c r="BJ153" s="12" t="str">
        <f t="shared" si="19"/>
        <v/>
      </c>
      <c r="BK153" s="12">
        <f>VLOOKUP(B153,Kraftvärmeprod!$B$1:$BH$549,MATCH($BA$1,Kraftvärmeprod!$B$1:$CC$1,0),FALSE)</f>
        <v>0</v>
      </c>
    </row>
    <row r="154" spans="1:63" ht="15" customHeight="1" x14ac:dyDescent="0.25">
      <c r="A154" s="137" t="s">
        <v>401</v>
      </c>
      <c r="B154" s="137" t="s">
        <v>407</v>
      </c>
      <c r="C154" s="137">
        <v>2018</v>
      </c>
      <c r="D154" s="137">
        <v>31.13</v>
      </c>
      <c r="E154" s="137">
        <v>36.11</v>
      </c>
      <c r="F154" s="137" t="s">
        <v>193</v>
      </c>
      <c r="G154" s="137">
        <v>2</v>
      </c>
      <c r="H154" s="137" t="s">
        <v>193</v>
      </c>
      <c r="I154" s="137" t="s">
        <v>193</v>
      </c>
      <c r="J154" s="137" t="s">
        <v>193</v>
      </c>
      <c r="K154" s="137" t="s">
        <v>193</v>
      </c>
      <c r="L154" s="137" t="s">
        <v>193</v>
      </c>
      <c r="M154" s="137" t="s">
        <v>53</v>
      </c>
      <c r="N154" s="137" t="s">
        <v>193</v>
      </c>
      <c r="O154" s="137" t="s">
        <v>193</v>
      </c>
      <c r="P154" s="137">
        <v>11.57</v>
      </c>
      <c r="Q154" s="137" t="s">
        <v>193</v>
      </c>
      <c r="R154" s="137">
        <v>22.54</v>
      </c>
      <c r="S154" s="137" t="s">
        <v>193</v>
      </c>
      <c r="T154" s="137" t="s">
        <v>193</v>
      </c>
      <c r="U154" s="137" t="s">
        <v>193</v>
      </c>
      <c r="V154" s="137" t="s">
        <v>193</v>
      </c>
      <c r="W154" s="137" t="s">
        <v>193</v>
      </c>
      <c r="X154" s="137" t="s">
        <v>193</v>
      </c>
      <c r="Y154" s="137" t="s">
        <v>193</v>
      </c>
      <c r="Z154" s="137" t="s">
        <v>193</v>
      </c>
      <c r="AA154" s="137" t="s">
        <v>193</v>
      </c>
      <c r="AB154" s="137" t="s">
        <v>193</v>
      </c>
      <c r="AC154" s="137" t="s">
        <v>193</v>
      </c>
      <c r="AD154" s="137" t="s">
        <v>193</v>
      </c>
      <c r="AE154" s="137" t="s">
        <v>199</v>
      </c>
      <c r="AF154" s="137" t="s">
        <v>193</v>
      </c>
      <c r="AG154" s="137" t="s">
        <v>193</v>
      </c>
      <c r="AH154" s="137" t="s">
        <v>193</v>
      </c>
      <c r="AI154" s="137" t="s">
        <v>193</v>
      </c>
      <c r="AJ154" s="137" t="s">
        <v>193</v>
      </c>
      <c r="AK154" s="137" t="s">
        <v>193</v>
      </c>
      <c r="AL154" s="137" t="s">
        <v>193</v>
      </c>
      <c r="AM154" s="137" t="s">
        <v>193</v>
      </c>
      <c r="AN154" s="137" t="s">
        <v>53</v>
      </c>
      <c r="AO154" s="137" t="s">
        <v>193</v>
      </c>
      <c r="AP154" s="137" t="s">
        <v>193</v>
      </c>
      <c r="AQ154" s="137" t="s">
        <v>193</v>
      </c>
      <c r="AR154" s="137" t="s">
        <v>193</v>
      </c>
      <c r="AV154" s="1">
        <f t="shared" si="22"/>
        <v>36.11</v>
      </c>
      <c r="AW154" s="1">
        <f t="shared" si="15"/>
        <v>31.13</v>
      </c>
      <c r="AX154" s="13">
        <f t="shared" si="20"/>
        <v>0.86208806424813067</v>
      </c>
      <c r="BA154" s="12">
        <f t="shared" si="16"/>
        <v>0</v>
      </c>
      <c r="BB154" s="12">
        <f t="shared" si="21"/>
        <v>0</v>
      </c>
      <c r="BC154" s="12">
        <f t="shared" si="21"/>
        <v>0</v>
      </c>
      <c r="BD154" s="12">
        <f t="shared" si="21"/>
        <v>0</v>
      </c>
      <c r="BE154" s="12">
        <f t="shared" si="17"/>
        <v>0</v>
      </c>
      <c r="BF154" s="12">
        <f t="shared" si="18"/>
        <v>0</v>
      </c>
      <c r="BJ154" s="12" t="str">
        <f t="shared" si="19"/>
        <v/>
      </c>
      <c r="BK154" s="12">
        <f>VLOOKUP(B154,Kraftvärmeprod!$B$1:$BH$549,MATCH($BA$1,Kraftvärmeprod!$B$1:$CC$1,0),FALSE)</f>
        <v>0</v>
      </c>
    </row>
    <row r="155" spans="1:63" ht="15" customHeight="1" x14ac:dyDescent="0.25">
      <c r="A155" s="137" t="s">
        <v>401</v>
      </c>
      <c r="B155" s="137" t="s">
        <v>408</v>
      </c>
      <c r="C155" s="137">
        <v>2018</v>
      </c>
      <c r="D155" s="137">
        <v>9.99</v>
      </c>
      <c r="E155" s="137">
        <v>12.332000000000001</v>
      </c>
      <c r="F155" s="137" t="s">
        <v>193</v>
      </c>
      <c r="G155" s="137">
        <v>5.1999999999999998E-2</v>
      </c>
      <c r="H155" s="137" t="s">
        <v>193</v>
      </c>
      <c r="I155" s="137" t="s">
        <v>193</v>
      </c>
      <c r="J155" s="137" t="s">
        <v>193</v>
      </c>
      <c r="K155" s="137" t="s">
        <v>193</v>
      </c>
      <c r="L155" s="137" t="s">
        <v>193</v>
      </c>
      <c r="M155" s="137" t="s">
        <v>53</v>
      </c>
      <c r="N155" s="137" t="s">
        <v>193</v>
      </c>
      <c r="O155" s="137" t="s">
        <v>193</v>
      </c>
      <c r="P155" s="137">
        <v>12.28</v>
      </c>
      <c r="Q155" s="137" t="s">
        <v>193</v>
      </c>
      <c r="R155" s="137" t="s">
        <v>193</v>
      </c>
      <c r="S155" s="137" t="s">
        <v>193</v>
      </c>
      <c r="T155" s="137" t="s">
        <v>193</v>
      </c>
      <c r="U155" s="137" t="s">
        <v>193</v>
      </c>
      <c r="V155" s="137" t="s">
        <v>193</v>
      </c>
      <c r="W155" s="137" t="s">
        <v>193</v>
      </c>
      <c r="X155" s="137" t="s">
        <v>193</v>
      </c>
      <c r="Y155" s="137" t="s">
        <v>193</v>
      </c>
      <c r="Z155" s="137" t="s">
        <v>193</v>
      </c>
      <c r="AA155" s="137" t="s">
        <v>193</v>
      </c>
      <c r="AB155" s="137" t="s">
        <v>193</v>
      </c>
      <c r="AC155" s="137" t="s">
        <v>193</v>
      </c>
      <c r="AD155" s="137" t="s">
        <v>193</v>
      </c>
      <c r="AE155" s="137" t="s">
        <v>199</v>
      </c>
      <c r="AF155" s="137" t="s">
        <v>193</v>
      </c>
      <c r="AG155" s="137" t="s">
        <v>193</v>
      </c>
      <c r="AH155" s="137" t="s">
        <v>193</v>
      </c>
      <c r="AI155" s="137" t="s">
        <v>193</v>
      </c>
      <c r="AJ155" s="137" t="s">
        <v>193</v>
      </c>
      <c r="AK155" s="137" t="s">
        <v>193</v>
      </c>
      <c r="AL155" s="137" t="s">
        <v>193</v>
      </c>
      <c r="AM155" s="137" t="s">
        <v>193</v>
      </c>
      <c r="AN155" s="137" t="s">
        <v>53</v>
      </c>
      <c r="AO155" s="137" t="s">
        <v>193</v>
      </c>
      <c r="AP155" s="137" t="s">
        <v>193</v>
      </c>
      <c r="AQ155" s="137" t="s">
        <v>193</v>
      </c>
      <c r="AR155" s="137" t="s">
        <v>193</v>
      </c>
      <c r="AV155" s="1">
        <f t="shared" si="22"/>
        <v>12.331999999999999</v>
      </c>
      <c r="AW155" s="1">
        <f t="shared" si="15"/>
        <v>9.99</v>
      </c>
      <c r="AX155" s="13">
        <f t="shared" si="20"/>
        <v>0.81008757703535528</v>
      </c>
      <c r="BA155" s="12">
        <f t="shared" si="16"/>
        <v>0</v>
      </c>
      <c r="BB155" s="12">
        <f t="shared" si="21"/>
        <v>0</v>
      </c>
      <c r="BC155" s="12">
        <f t="shared" si="21"/>
        <v>0</v>
      </c>
      <c r="BD155" s="12">
        <f t="shared" si="21"/>
        <v>0</v>
      </c>
      <c r="BE155" s="12">
        <f t="shared" si="17"/>
        <v>0</v>
      </c>
      <c r="BF155" s="12">
        <f t="shared" si="18"/>
        <v>0</v>
      </c>
      <c r="BJ155" s="12" t="str">
        <f t="shared" si="19"/>
        <v/>
      </c>
      <c r="BK155" s="12">
        <f>VLOOKUP(B155,Kraftvärmeprod!$B$1:$BH$549,MATCH($BA$1,Kraftvärmeprod!$B$1:$CC$1,0),FALSE)</f>
        <v>0</v>
      </c>
    </row>
    <row r="156" spans="1:63" ht="15" customHeight="1" x14ac:dyDescent="0.25">
      <c r="A156" s="137" t="s">
        <v>401</v>
      </c>
      <c r="B156" s="137" t="s">
        <v>409</v>
      </c>
      <c r="C156" s="137">
        <v>2018</v>
      </c>
      <c r="D156" s="137">
        <v>13.98</v>
      </c>
      <c r="E156" s="137">
        <v>16.876000000000001</v>
      </c>
      <c r="F156" s="137" t="s">
        <v>193</v>
      </c>
      <c r="G156" s="137">
        <v>2.5999999999999999E-2</v>
      </c>
      <c r="H156" s="137" t="s">
        <v>193</v>
      </c>
      <c r="I156" s="137" t="s">
        <v>193</v>
      </c>
      <c r="J156" s="137" t="s">
        <v>193</v>
      </c>
      <c r="K156" s="137" t="s">
        <v>193</v>
      </c>
      <c r="L156" s="137" t="s">
        <v>193</v>
      </c>
      <c r="M156" s="137" t="s">
        <v>53</v>
      </c>
      <c r="N156" s="137" t="s">
        <v>193</v>
      </c>
      <c r="O156" s="137" t="s">
        <v>193</v>
      </c>
      <c r="P156" s="137">
        <v>16.850000000000001</v>
      </c>
      <c r="Q156" s="137" t="s">
        <v>193</v>
      </c>
      <c r="R156" s="137" t="s">
        <v>193</v>
      </c>
      <c r="S156" s="137" t="s">
        <v>193</v>
      </c>
      <c r="T156" s="137" t="s">
        <v>193</v>
      </c>
      <c r="U156" s="137" t="s">
        <v>193</v>
      </c>
      <c r="V156" s="137" t="s">
        <v>193</v>
      </c>
      <c r="W156" s="137" t="s">
        <v>193</v>
      </c>
      <c r="X156" s="137" t="s">
        <v>193</v>
      </c>
      <c r="Y156" s="137" t="s">
        <v>193</v>
      </c>
      <c r="Z156" s="137" t="s">
        <v>193</v>
      </c>
      <c r="AA156" s="137" t="s">
        <v>193</v>
      </c>
      <c r="AB156" s="137" t="s">
        <v>193</v>
      </c>
      <c r="AC156" s="137" t="s">
        <v>193</v>
      </c>
      <c r="AD156" s="137" t="s">
        <v>193</v>
      </c>
      <c r="AE156" s="137" t="s">
        <v>199</v>
      </c>
      <c r="AF156" s="137" t="s">
        <v>193</v>
      </c>
      <c r="AG156" s="137" t="s">
        <v>193</v>
      </c>
      <c r="AH156" s="137" t="s">
        <v>193</v>
      </c>
      <c r="AI156" s="137" t="s">
        <v>193</v>
      </c>
      <c r="AJ156" s="137" t="s">
        <v>193</v>
      </c>
      <c r="AK156" s="137" t="s">
        <v>193</v>
      </c>
      <c r="AL156" s="137" t="s">
        <v>193</v>
      </c>
      <c r="AM156" s="137" t="s">
        <v>193</v>
      </c>
      <c r="AN156" s="137" t="s">
        <v>53</v>
      </c>
      <c r="AO156" s="137" t="s">
        <v>193</v>
      </c>
      <c r="AP156" s="137" t="s">
        <v>193</v>
      </c>
      <c r="AQ156" s="137" t="s">
        <v>193</v>
      </c>
      <c r="AR156" s="137" t="s">
        <v>193</v>
      </c>
      <c r="AV156" s="1">
        <f t="shared" si="22"/>
        <v>16.876000000000001</v>
      </c>
      <c r="AW156" s="1">
        <f t="shared" si="15"/>
        <v>13.98</v>
      </c>
      <c r="AX156" s="13">
        <f t="shared" si="20"/>
        <v>0.82839535434937184</v>
      </c>
      <c r="BA156" s="12">
        <f t="shared" si="16"/>
        <v>0</v>
      </c>
      <c r="BB156" s="12">
        <f t="shared" si="21"/>
        <v>0</v>
      </c>
      <c r="BC156" s="12">
        <f t="shared" si="21"/>
        <v>0</v>
      </c>
      <c r="BD156" s="12">
        <f t="shared" si="21"/>
        <v>0</v>
      </c>
      <c r="BE156" s="12">
        <f t="shared" si="17"/>
        <v>0</v>
      </c>
      <c r="BF156" s="12">
        <f t="shared" si="18"/>
        <v>0</v>
      </c>
      <c r="BJ156" s="12" t="str">
        <f t="shared" si="19"/>
        <v/>
      </c>
      <c r="BK156" s="12">
        <f>VLOOKUP(B156,Kraftvärmeprod!$B$1:$BH$549,MATCH($BA$1,Kraftvärmeprod!$B$1:$CC$1,0),FALSE)</f>
        <v>0</v>
      </c>
    </row>
    <row r="157" spans="1:63" ht="15" customHeight="1" x14ac:dyDescent="0.25">
      <c r="A157" s="137" t="s">
        <v>401</v>
      </c>
      <c r="B157" s="137" t="s">
        <v>410</v>
      </c>
      <c r="C157" s="137">
        <v>2018</v>
      </c>
      <c r="D157" s="137">
        <v>5.8</v>
      </c>
      <c r="E157" s="137">
        <v>7.5430000000000001</v>
      </c>
      <c r="F157" s="137" t="s">
        <v>193</v>
      </c>
      <c r="G157" s="137">
        <v>6.3E-2</v>
      </c>
      <c r="H157" s="137" t="s">
        <v>193</v>
      </c>
      <c r="I157" s="137" t="s">
        <v>193</v>
      </c>
      <c r="J157" s="137" t="s">
        <v>193</v>
      </c>
      <c r="K157" s="137" t="s">
        <v>193</v>
      </c>
      <c r="L157" s="137" t="s">
        <v>193</v>
      </c>
      <c r="M157" s="137" t="s">
        <v>53</v>
      </c>
      <c r="N157" s="137" t="s">
        <v>193</v>
      </c>
      <c r="O157" s="137" t="s">
        <v>193</v>
      </c>
      <c r="P157" s="137">
        <v>7.48</v>
      </c>
      <c r="Q157" s="137" t="s">
        <v>193</v>
      </c>
      <c r="R157" s="137" t="s">
        <v>193</v>
      </c>
      <c r="S157" s="137" t="s">
        <v>193</v>
      </c>
      <c r="T157" s="137" t="s">
        <v>193</v>
      </c>
      <c r="U157" s="137" t="s">
        <v>193</v>
      </c>
      <c r="V157" s="137" t="s">
        <v>193</v>
      </c>
      <c r="W157" s="137" t="s">
        <v>193</v>
      </c>
      <c r="X157" s="137" t="s">
        <v>193</v>
      </c>
      <c r="Y157" s="137" t="s">
        <v>193</v>
      </c>
      <c r="Z157" s="137" t="s">
        <v>193</v>
      </c>
      <c r="AA157" s="137" t="s">
        <v>193</v>
      </c>
      <c r="AB157" s="137" t="s">
        <v>193</v>
      </c>
      <c r="AC157" s="137" t="s">
        <v>193</v>
      </c>
      <c r="AD157" s="137" t="s">
        <v>193</v>
      </c>
      <c r="AE157" s="137" t="s">
        <v>199</v>
      </c>
      <c r="AF157" s="137" t="s">
        <v>193</v>
      </c>
      <c r="AG157" s="137" t="s">
        <v>193</v>
      </c>
      <c r="AH157" s="137" t="s">
        <v>193</v>
      </c>
      <c r="AI157" s="137" t="s">
        <v>193</v>
      </c>
      <c r="AJ157" s="137" t="s">
        <v>193</v>
      </c>
      <c r="AK157" s="137" t="s">
        <v>193</v>
      </c>
      <c r="AL157" s="137" t="s">
        <v>193</v>
      </c>
      <c r="AM157" s="137" t="s">
        <v>193</v>
      </c>
      <c r="AN157" s="137" t="s">
        <v>53</v>
      </c>
      <c r="AO157" s="137" t="s">
        <v>193</v>
      </c>
      <c r="AP157" s="137" t="s">
        <v>193</v>
      </c>
      <c r="AQ157" s="137" t="s">
        <v>193</v>
      </c>
      <c r="AR157" s="137" t="s">
        <v>193</v>
      </c>
      <c r="AV157" s="1">
        <f t="shared" si="22"/>
        <v>7.5430000000000001</v>
      </c>
      <c r="AW157" s="1">
        <f t="shared" si="15"/>
        <v>5.8</v>
      </c>
      <c r="AX157" s="13">
        <f t="shared" si="20"/>
        <v>0.76892483096911035</v>
      </c>
      <c r="BA157" s="12">
        <f t="shared" si="16"/>
        <v>0</v>
      </c>
      <c r="BB157" s="12">
        <f t="shared" si="21"/>
        <v>0</v>
      </c>
      <c r="BC157" s="12">
        <f t="shared" si="21"/>
        <v>0</v>
      </c>
      <c r="BD157" s="12">
        <f t="shared" si="21"/>
        <v>0</v>
      </c>
      <c r="BE157" s="12">
        <f t="shared" si="17"/>
        <v>0</v>
      </c>
      <c r="BF157" s="12">
        <f t="shared" si="18"/>
        <v>0</v>
      </c>
      <c r="BJ157" s="12" t="str">
        <f t="shared" si="19"/>
        <v/>
      </c>
      <c r="BK157" s="12">
        <f>VLOOKUP(B157,Kraftvärmeprod!$B$1:$BH$549,MATCH($BA$1,Kraftvärmeprod!$B$1:$CC$1,0),FALSE)</f>
        <v>0</v>
      </c>
    </row>
    <row r="158" spans="1:63" ht="15" customHeight="1" x14ac:dyDescent="0.25">
      <c r="A158" s="137" t="s">
        <v>411</v>
      </c>
      <c r="B158" s="137" t="s">
        <v>412</v>
      </c>
      <c r="C158" s="137">
        <v>2018</v>
      </c>
      <c r="D158" s="137">
        <v>34.074300000000001</v>
      </c>
      <c r="E158" s="137">
        <v>37.244999999999997</v>
      </c>
      <c r="F158" s="137">
        <v>0</v>
      </c>
      <c r="G158" s="137">
        <v>0.39</v>
      </c>
      <c r="H158" s="137">
        <v>0</v>
      </c>
      <c r="I158" s="137">
        <v>0</v>
      </c>
      <c r="J158" s="137">
        <v>0</v>
      </c>
      <c r="K158" s="137">
        <v>0</v>
      </c>
      <c r="L158" s="137">
        <v>0</v>
      </c>
      <c r="M158" s="137" t="s">
        <v>219</v>
      </c>
      <c r="N158" s="137">
        <v>0</v>
      </c>
      <c r="O158" s="137">
        <v>0</v>
      </c>
      <c r="P158" s="137">
        <v>0</v>
      </c>
      <c r="Q158" s="137">
        <v>0</v>
      </c>
      <c r="R158" s="137">
        <v>0</v>
      </c>
      <c r="S158" s="137">
        <v>0</v>
      </c>
      <c r="T158" s="137" t="s">
        <v>193</v>
      </c>
      <c r="U158" s="137">
        <v>5.7469999999999999</v>
      </c>
      <c r="V158" s="137">
        <v>31.108000000000001</v>
      </c>
      <c r="W158" s="137">
        <v>0</v>
      </c>
      <c r="X158" s="137">
        <v>0</v>
      </c>
      <c r="Y158" s="137">
        <v>0</v>
      </c>
      <c r="Z158" s="137">
        <v>0</v>
      </c>
      <c r="AA158" s="137">
        <v>0</v>
      </c>
      <c r="AB158" s="137">
        <v>0</v>
      </c>
      <c r="AC158" s="137">
        <v>0</v>
      </c>
      <c r="AD158" s="137">
        <v>0</v>
      </c>
      <c r="AE158" s="137" t="s">
        <v>199</v>
      </c>
      <c r="AF158" s="137" t="s">
        <v>193</v>
      </c>
      <c r="AG158" s="137">
        <v>0</v>
      </c>
      <c r="AH158" s="137">
        <v>0</v>
      </c>
      <c r="AI158" s="137">
        <v>0</v>
      </c>
      <c r="AJ158" s="137" t="s">
        <v>193</v>
      </c>
      <c r="AK158" s="137">
        <v>0</v>
      </c>
      <c r="AL158" s="137">
        <v>0</v>
      </c>
      <c r="AM158" s="137">
        <v>0</v>
      </c>
      <c r="AN158" s="137" t="s">
        <v>219</v>
      </c>
      <c r="AO158" s="137" t="s">
        <v>193</v>
      </c>
      <c r="AP158" s="137" t="s">
        <v>193</v>
      </c>
      <c r="AQ158" s="137" t="s">
        <v>193</v>
      </c>
      <c r="AR158" s="137" t="s">
        <v>193</v>
      </c>
      <c r="AV158" s="1">
        <f t="shared" si="22"/>
        <v>37.244999999999997</v>
      </c>
      <c r="AW158" s="1">
        <f t="shared" si="15"/>
        <v>34.074300000000001</v>
      </c>
      <c r="AX158" s="13">
        <f t="shared" si="20"/>
        <v>0.91486910994764403</v>
      </c>
      <c r="BA158" s="12">
        <f t="shared" si="16"/>
        <v>0</v>
      </c>
      <c r="BB158" s="12">
        <f t="shared" si="21"/>
        <v>0</v>
      </c>
      <c r="BC158" s="12">
        <f t="shared" si="21"/>
        <v>0</v>
      </c>
      <c r="BD158" s="12">
        <f t="shared" si="21"/>
        <v>0</v>
      </c>
      <c r="BE158" s="12">
        <f t="shared" si="17"/>
        <v>0</v>
      </c>
      <c r="BF158" s="12">
        <f t="shared" si="18"/>
        <v>0</v>
      </c>
      <c r="BJ158" s="12" t="str">
        <f t="shared" si="19"/>
        <v/>
      </c>
      <c r="BK158" s="12">
        <f>VLOOKUP(B158,Kraftvärmeprod!$B$1:$BH$549,MATCH($BA$1,Kraftvärmeprod!$B$1:$CC$1,0),FALSE)</f>
        <v>0</v>
      </c>
    </row>
    <row r="159" spans="1:63" ht="15" customHeight="1" x14ac:dyDescent="0.25">
      <c r="A159" s="137" t="s">
        <v>413</v>
      </c>
      <c r="B159" s="137" t="s">
        <v>93</v>
      </c>
      <c r="C159" s="137">
        <v>2018</v>
      </c>
      <c r="D159" s="137" t="s">
        <v>53</v>
      </c>
      <c r="E159" s="137" t="s">
        <v>53</v>
      </c>
      <c r="F159" s="137" t="s">
        <v>53</v>
      </c>
      <c r="G159" s="137" t="s">
        <v>53</v>
      </c>
      <c r="H159" s="137" t="s">
        <v>53</v>
      </c>
      <c r="I159" s="137" t="s">
        <v>53</v>
      </c>
      <c r="J159" s="137" t="s">
        <v>53</v>
      </c>
      <c r="K159" s="137" t="s">
        <v>53</v>
      </c>
      <c r="L159" s="137" t="s">
        <v>53</v>
      </c>
      <c r="M159" s="137" t="s">
        <v>53</v>
      </c>
      <c r="N159" s="137" t="s">
        <v>53</v>
      </c>
      <c r="O159" s="137" t="s">
        <v>53</v>
      </c>
      <c r="P159" s="137" t="s">
        <v>53</v>
      </c>
      <c r="Q159" s="137" t="s">
        <v>53</v>
      </c>
      <c r="R159" s="137" t="s">
        <v>53</v>
      </c>
      <c r="S159" s="137" t="s">
        <v>53</v>
      </c>
      <c r="T159" s="137" t="s">
        <v>53</v>
      </c>
      <c r="U159" s="137" t="s">
        <v>53</v>
      </c>
      <c r="V159" s="137" t="s">
        <v>53</v>
      </c>
      <c r="W159" s="137" t="s">
        <v>53</v>
      </c>
      <c r="X159" s="137" t="s">
        <v>53</v>
      </c>
      <c r="Y159" s="137" t="s">
        <v>53</v>
      </c>
      <c r="Z159" s="137" t="s">
        <v>53</v>
      </c>
      <c r="AA159" s="137" t="s">
        <v>53</v>
      </c>
      <c r="AB159" s="137" t="s">
        <v>53</v>
      </c>
      <c r="AC159" s="137" t="s">
        <v>53</v>
      </c>
      <c r="AD159" s="137" t="s">
        <v>53</v>
      </c>
      <c r="AE159" s="137" t="s">
        <v>53</v>
      </c>
      <c r="AF159" s="137" t="s">
        <v>53</v>
      </c>
      <c r="AG159" s="137" t="s">
        <v>53</v>
      </c>
      <c r="AH159" s="137" t="s">
        <v>53</v>
      </c>
      <c r="AI159" s="137" t="s">
        <v>53</v>
      </c>
      <c r="AJ159" s="137" t="s">
        <v>53</v>
      </c>
      <c r="AK159" s="137" t="s">
        <v>53</v>
      </c>
      <c r="AL159" s="137" t="s">
        <v>53</v>
      </c>
      <c r="AM159" s="137" t="s">
        <v>53</v>
      </c>
      <c r="AN159" s="137" t="s">
        <v>53</v>
      </c>
      <c r="AO159" s="137" t="s">
        <v>53</v>
      </c>
      <c r="AP159" s="137" t="s">
        <v>53</v>
      </c>
      <c r="AQ159" s="137" t="s">
        <v>53</v>
      </c>
      <c r="AR159" s="137" t="s">
        <v>53</v>
      </c>
      <c r="AV159" s="1">
        <f t="shared" si="22"/>
        <v>0</v>
      </c>
      <c r="AW159" s="1">
        <f t="shared" si="15"/>
        <v>0</v>
      </c>
      <c r="AX159" s="13" t="str">
        <f t="shared" si="20"/>
        <v/>
      </c>
      <c r="BA159" s="12">
        <f t="shared" si="16"/>
        <v>0</v>
      </c>
      <c r="BB159" s="12">
        <f t="shared" si="21"/>
        <v>0</v>
      </c>
      <c r="BC159" s="12">
        <f t="shared" si="21"/>
        <v>0</v>
      </c>
      <c r="BD159" s="12">
        <f t="shared" si="21"/>
        <v>0</v>
      </c>
      <c r="BE159" s="12">
        <f t="shared" si="17"/>
        <v>0</v>
      </c>
      <c r="BF159" s="12">
        <f t="shared" si="18"/>
        <v>0</v>
      </c>
      <c r="BJ159" s="12" t="str">
        <f t="shared" si="19"/>
        <v/>
      </c>
      <c r="BK159" s="12">
        <f>VLOOKUP(B159,Kraftvärmeprod!$B$1:$BH$549,MATCH($BA$1,Kraftvärmeprod!$B$1:$CC$1,0),FALSE)</f>
        <v>0</v>
      </c>
    </row>
    <row r="160" spans="1:63" ht="15" customHeight="1" x14ac:dyDescent="0.25">
      <c r="A160" s="137" t="s">
        <v>414</v>
      </c>
      <c r="B160" s="137" t="s">
        <v>415</v>
      </c>
      <c r="C160" s="137">
        <v>2018</v>
      </c>
      <c r="D160" s="137">
        <v>9</v>
      </c>
      <c r="E160" s="137">
        <v>10</v>
      </c>
      <c r="F160" s="137" t="s">
        <v>193</v>
      </c>
      <c r="G160" s="137">
        <v>0.9</v>
      </c>
      <c r="H160" s="137" t="s">
        <v>193</v>
      </c>
      <c r="I160" s="137" t="s">
        <v>193</v>
      </c>
      <c r="J160" s="137" t="s">
        <v>193</v>
      </c>
      <c r="K160" s="137" t="s">
        <v>193</v>
      </c>
      <c r="L160" s="137" t="s">
        <v>193</v>
      </c>
      <c r="M160" s="137" t="s">
        <v>53</v>
      </c>
      <c r="N160" s="137" t="s">
        <v>193</v>
      </c>
      <c r="O160" s="137" t="s">
        <v>193</v>
      </c>
      <c r="P160" s="137">
        <v>9</v>
      </c>
      <c r="Q160" s="137" t="s">
        <v>193</v>
      </c>
      <c r="R160" s="137" t="s">
        <v>193</v>
      </c>
      <c r="S160" s="137" t="s">
        <v>193</v>
      </c>
      <c r="T160" s="137" t="s">
        <v>194</v>
      </c>
      <c r="U160" s="137">
        <v>0.1</v>
      </c>
      <c r="V160" s="137" t="s">
        <v>193</v>
      </c>
      <c r="W160" s="137" t="s">
        <v>193</v>
      </c>
      <c r="X160" s="137" t="s">
        <v>193</v>
      </c>
      <c r="Y160" s="137" t="s">
        <v>193</v>
      </c>
      <c r="Z160" s="137" t="s">
        <v>193</v>
      </c>
      <c r="AA160" s="137" t="s">
        <v>193</v>
      </c>
      <c r="AB160" s="137" t="s">
        <v>193</v>
      </c>
      <c r="AC160" s="137" t="s">
        <v>193</v>
      </c>
      <c r="AD160" s="137" t="s">
        <v>193</v>
      </c>
      <c r="AE160" s="137" t="s">
        <v>53</v>
      </c>
      <c r="AF160" s="137" t="s">
        <v>193</v>
      </c>
      <c r="AG160" s="137" t="s">
        <v>193</v>
      </c>
      <c r="AH160" s="137" t="s">
        <v>193</v>
      </c>
      <c r="AI160" s="137" t="s">
        <v>193</v>
      </c>
      <c r="AJ160" s="137" t="s">
        <v>193</v>
      </c>
      <c r="AK160" s="137" t="s">
        <v>193</v>
      </c>
      <c r="AL160" s="137" t="s">
        <v>193</v>
      </c>
      <c r="AM160" s="137" t="s">
        <v>193</v>
      </c>
      <c r="AN160" s="137" t="s">
        <v>53</v>
      </c>
      <c r="AO160" s="137" t="s">
        <v>193</v>
      </c>
      <c r="AP160" s="137" t="s">
        <v>193</v>
      </c>
      <c r="AQ160" s="137" t="s">
        <v>193</v>
      </c>
      <c r="AR160" s="137" t="s">
        <v>193</v>
      </c>
      <c r="AV160" s="1">
        <f t="shared" si="22"/>
        <v>10</v>
      </c>
      <c r="AW160" s="1">
        <f t="shared" si="15"/>
        <v>9</v>
      </c>
      <c r="AX160" s="13">
        <f t="shared" si="20"/>
        <v>0.9</v>
      </c>
      <c r="BA160" s="12">
        <f t="shared" si="16"/>
        <v>0</v>
      </c>
      <c r="BB160" s="12">
        <f t="shared" si="21"/>
        <v>0</v>
      </c>
      <c r="BC160" s="12">
        <f t="shared" si="21"/>
        <v>0</v>
      </c>
      <c r="BD160" s="12">
        <f t="shared" si="21"/>
        <v>0</v>
      </c>
      <c r="BE160" s="12">
        <f t="shared" si="17"/>
        <v>0</v>
      </c>
      <c r="BF160" s="12">
        <f t="shared" si="18"/>
        <v>0</v>
      </c>
      <c r="BJ160" s="12" t="str">
        <f t="shared" si="19"/>
        <v/>
      </c>
      <c r="BK160" s="12">
        <f>VLOOKUP(B160,Kraftvärmeprod!$B$1:$BH$549,MATCH($BA$1,Kraftvärmeprod!$B$1:$CC$1,0),FALSE)</f>
        <v>0</v>
      </c>
    </row>
    <row r="161" spans="1:63" ht="15" customHeight="1" x14ac:dyDescent="0.25">
      <c r="A161" s="137" t="s">
        <v>414</v>
      </c>
      <c r="B161" s="137" t="s">
        <v>416</v>
      </c>
      <c r="C161" s="137">
        <v>2018</v>
      </c>
      <c r="D161" s="137">
        <v>12.1</v>
      </c>
      <c r="E161" s="137">
        <v>12.076000000000001</v>
      </c>
      <c r="F161" s="137" t="s">
        <v>193</v>
      </c>
      <c r="G161" s="137">
        <v>0.67600000000000005</v>
      </c>
      <c r="H161" s="137" t="s">
        <v>193</v>
      </c>
      <c r="I161" s="137" t="s">
        <v>193</v>
      </c>
      <c r="J161" s="137" t="s">
        <v>193</v>
      </c>
      <c r="K161" s="137" t="s">
        <v>193</v>
      </c>
      <c r="L161" s="137" t="s">
        <v>193</v>
      </c>
      <c r="M161" s="137" t="s">
        <v>219</v>
      </c>
      <c r="N161" s="137" t="s">
        <v>193</v>
      </c>
      <c r="O161" s="137" t="s">
        <v>193</v>
      </c>
      <c r="P161" s="137" t="s">
        <v>193</v>
      </c>
      <c r="Q161" s="137" t="s">
        <v>193</v>
      </c>
      <c r="R161" s="137" t="s">
        <v>193</v>
      </c>
      <c r="S161" s="137" t="s">
        <v>193</v>
      </c>
      <c r="T161" s="137" t="s">
        <v>193</v>
      </c>
      <c r="U161" s="137">
        <v>2.2999999999999998</v>
      </c>
      <c r="V161" s="137">
        <v>9.1</v>
      </c>
      <c r="W161" s="137" t="s">
        <v>193</v>
      </c>
      <c r="X161" s="137" t="s">
        <v>193</v>
      </c>
      <c r="Y161" s="137" t="s">
        <v>193</v>
      </c>
      <c r="Z161" s="137" t="s">
        <v>193</v>
      </c>
      <c r="AA161" s="137" t="s">
        <v>193</v>
      </c>
      <c r="AB161" s="137" t="s">
        <v>193</v>
      </c>
      <c r="AC161" s="137" t="s">
        <v>193</v>
      </c>
      <c r="AD161" s="137" t="s">
        <v>193</v>
      </c>
      <c r="AE161" s="137" t="s">
        <v>53</v>
      </c>
      <c r="AF161" s="137" t="s">
        <v>193</v>
      </c>
      <c r="AG161" s="137" t="s">
        <v>193</v>
      </c>
      <c r="AH161" s="137" t="s">
        <v>193</v>
      </c>
      <c r="AI161" s="137" t="s">
        <v>193</v>
      </c>
      <c r="AJ161" s="137" t="s">
        <v>193</v>
      </c>
      <c r="AK161" s="137" t="s">
        <v>193</v>
      </c>
      <c r="AL161" s="137" t="s">
        <v>193</v>
      </c>
      <c r="AM161" s="137" t="s">
        <v>193</v>
      </c>
      <c r="AN161" s="137" t="s">
        <v>53</v>
      </c>
      <c r="AO161" s="137" t="s">
        <v>193</v>
      </c>
      <c r="AP161" s="137" t="s">
        <v>193</v>
      </c>
      <c r="AQ161" s="137" t="s">
        <v>193</v>
      </c>
      <c r="AR161" s="137" t="s">
        <v>193</v>
      </c>
      <c r="AV161" s="1">
        <f t="shared" si="22"/>
        <v>12.076000000000001</v>
      </c>
      <c r="AW161" s="1">
        <f t="shared" si="15"/>
        <v>12.1</v>
      </c>
      <c r="AX161" s="13">
        <f t="shared" si="20"/>
        <v>1.001987413050679</v>
      </c>
      <c r="BA161" s="12">
        <f t="shared" si="16"/>
        <v>0</v>
      </c>
      <c r="BB161" s="12">
        <f t="shared" si="21"/>
        <v>0</v>
      </c>
      <c r="BC161" s="12">
        <f t="shared" si="21"/>
        <v>0</v>
      </c>
      <c r="BD161" s="12">
        <f t="shared" si="21"/>
        <v>0</v>
      </c>
      <c r="BE161" s="12">
        <f t="shared" si="17"/>
        <v>0</v>
      </c>
      <c r="BF161" s="12">
        <f t="shared" si="18"/>
        <v>0</v>
      </c>
      <c r="BJ161" s="12" t="str">
        <f t="shared" si="19"/>
        <v/>
      </c>
      <c r="BK161" s="12">
        <f>VLOOKUP(B161,Kraftvärmeprod!$B$1:$BH$549,MATCH($BA$1,Kraftvärmeprod!$B$1:$CC$1,0),FALSE)</f>
        <v>0</v>
      </c>
    </row>
    <row r="162" spans="1:63" ht="15" customHeight="1" x14ac:dyDescent="0.25">
      <c r="A162" s="137" t="s">
        <v>414</v>
      </c>
      <c r="B162" s="137" t="s">
        <v>417</v>
      </c>
      <c r="C162" s="137">
        <v>2018</v>
      </c>
      <c r="D162" s="137">
        <v>32.700000000000003</v>
      </c>
      <c r="E162" s="137">
        <v>36.770000000000003</v>
      </c>
      <c r="F162" s="137" t="s">
        <v>193</v>
      </c>
      <c r="G162" s="137">
        <v>7.0000000000000007E-2</v>
      </c>
      <c r="H162" s="137" t="s">
        <v>193</v>
      </c>
      <c r="I162" s="137" t="s">
        <v>193</v>
      </c>
      <c r="J162" s="137" t="s">
        <v>193</v>
      </c>
      <c r="K162" s="137" t="s">
        <v>193</v>
      </c>
      <c r="L162" s="137" t="s">
        <v>193</v>
      </c>
      <c r="M162" s="137" t="s">
        <v>53</v>
      </c>
      <c r="N162" s="137" t="s">
        <v>193</v>
      </c>
      <c r="O162" s="137" t="s">
        <v>193</v>
      </c>
      <c r="P162" s="137">
        <v>16.399999999999999</v>
      </c>
      <c r="Q162" s="137" t="s">
        <v>193</v>
      </c>
      <c r="R162" s="137" t="s">
        <v>193</v>
      </c>
      <c r="S162" s="137" t="s">
        <v>193</v>
      </c>
      <c r="T162" s="137" t="s">
        <v>194</v>
      </c>
      <c r="U162" s="137">
        <v>12.8</v>
      </c>
      <c r="V162" s="137" t="s">
        <v>193</v>
      </c>
      <c r="W162" s="137" t="s">
        <v>193</v>
      </c>
      <c r="X162" s="137" t="s">
        <v>193</v>
      </c>
      <c r="Y162" s="137" t="s">
        <v>193</v>
      </c>
      <c r="Z162" s="137" t="s">
        <v>193</v>
      </c>
      <c r="AA162" s="137">
        <v>6</v>
      </c>
      <c r="AB162" s="137" t="s">
        <v>193</v>
      </c>
      <c r="AC162" s="137" t="s">
        <v>193</v>
      </c>
      <c r="AD162" s="137" t="s">
        <v>193</v>
      </c>
      <c r="AE162" s="137" t="s">
        <v>199</v>
      </c>
      <c r="AF162" s="137" t="s">
        <v>193</v>
      </c>
      <c r="AG162" s="137" t="s">
        <v>193</v>
      </c>
      <c r="AH162" s="137">
        <v>1.5</v>
      </c>
      <c r="AI162" s="137" t="s">
        <v>193</v>
      </c>
      <c r="AJ162" s="137" t="s">
        <v>193</v>
      </c>
      <c r="AK162" s="137" t="s">
        <v>193</v>
      </c>
      <c r="AL162" s="137" t="s">
        <v>193</v>
      </c>
      <c r="AM162" s="137" t="s">
        <v>193</v>
      </c>
      <c r="AN162" s="137" t="s">
        <v>53</v>
      </c>
      <c r="AO162" s="137">
        <v>100</v>
      </c>
      <c r="AP162" s="137" t="s">
        <v>193</v>
      </c>
      <c r="AQ162" s="137" t="s">
        <v>193</v>
      </c>
      <c r="AR162" s="137" t="s">
        <v>193</v>
      </c>
      <c r="AV162" s="1">
        <f t="shared" si="22"/>
        <v>36.769999999999996</v>
      </c>
      <c r="AW162" s="1">
        <f t="shared" si="15"/>
        <v>32.700000000000003</v>
      </c>
      <c r="AX162" s="13">
        <f t="shared" si="20"/>
        <v>0.88931193908077255</v>
      </c>
      <c r="BA162" s="12">
        <f t="shared" si="16"/>
        <v>1.5</v>
      </c>
      <c r="BB162" s="12">
        <f t="shared" si="21"/>
        <v>1.5</v>
      </c>
      <c r="BC162" s="12">
        <f t="shared" si="21"/>
        <v>0</v>
      </c>
      <c r="BD162" s="12">
        <f t="shared" si="21"/>
        <v>0</v>
      </c>
      <c r="BE162" s="12">
        <f t="shared" si="17"/>
        <v>0</v>
      </c>
      <c r="BF162" s="12">
        <f t="shared" si="18"/>
        <v>0</v>
      </c>
      <c r="BJ162" s="12" t="str">
        <f t="shared" si="19"/>
        <v/>
      </c>
      <c r="BK162" s="12">
        <f>VLOOKUP(B162,Kraftvärmeprod!$B$1:$BH$549,MATCH($BA$1,Kraftvärmeprod!$B$1:$CC$1,0),FALSE)</f>
        <v>0</v>
      </c>
    </row>
    <row r="163" spans="1:63" ht="15" customHeight="1" x14ac:dyDescent="0.25">
      <c r="A163" s="137" t="s">
        <v>414</v>
      </c>
      <c r="B163" s="137" t="s">
        <v>418</v>
      </c>
      <c r="C163" s="137">
        <v>2018</v>
      </c>
      <c r="D163" s="137">
        <v>3.5</v>
      </c>
      <c r="E163" s="137">
        <v>3.524</v>
      </c>
      <c r="F163" s="137" t="s">
        <v>193</v>
      </c>
      <c r="G163" s="137">
        <v>0.124</v>
      </c>
      <c r="H163" s="137" t="s">
        <v>193</v>
      </c>
      <c r="I163" s="137" t="s">
        <v>193</v>
      </c>
      <c r="J163" s="137" t="s">
        <v>193</v>
      </c>
      <c r="K163" s="137" t="s">
        <v>193</v>
      </c>
      <c r="L163" s="137" t="s">
        <v>193</v>
      </c>
      <c r="M163" s="137" t="s">
        <v>53</v>
      </c>
      <c r="N163" s="137" t="s">
        <v>193</v>
      </c>
      <c r="O163" s="137" t="s">
        <v>193</v>
      </c>
      <c r="P163" s="137" t="s">
        <v>193</v>
      </c>
      <c r="Q163" s="137" t="s">
        <v>193</v>
      </c>
      <c r="R163" s="137" t="s">
        <v>193</v>
      </c>
      <c r="S163" s="137" t="s">
        <v>193</v>
      </c>
      <c r="T163" s="137" t="s">
        <v>193</v>
      </c>
      <c r="U163" s="137">
        <v>3.4</v>
      </c>
      <c r="V163" s="137" t="s">
        <v>193</v>
      </c>
      <c r="W163" s="137" t="s">
        <v>193</v>
      </c>
      <c r="X163" s="137" t="s">
        <v>193</v>
      </c>
      <c r="Y163" s="137" t="s">
        <v>193</v>
      </c>
      <c r="Z163" s="137" t="s">
        <v>193</v>
      </c>
      <c r="AA163" s="137" t="s">
        <v>193</v>
      </c>
      <c r="AB163" s="137" t="s">
        <v>193</v>
      </c>
      <c r="AC163" s="137" t="s">
        <v>193</v>
      </c>
      <c r="AD163" s="137" t="s">
        <v>193</v>
      </c>
      <c r="AE163" s="137" t="s">
        <v>53</v>
      </c>
      <c r="AF163" s="137" t="s">
        <v>193</v>
      </c>
      <c r="AG163" s="137" t="s">
        <v>193</v>
      </c>
      <c r="AH163" s="137" t="s">
        <v>193</v>
      </c>
      <c r="AI163" s="137" t="s">
        <v>193</v>
      </c>
      <c r="AJ163" s="137" t="s">
        <v>193</v>
      </c>
      <c r="AK163" s="137" t="s">
        <v>193</v>
      </c>
      <c r="AL163" s="137" t="s">
        <v>193</v>
      </c>
      <c r="AM163" s="137" t="s">
        <v>193</v>
      </c>
      <c r="AN163" s="137" t="s">
        <v>53</v>
      </c>
      <c r="AO163" s="137" t="s">
        <v>193</v>
      </c>
      <c r="AP163" s="137" t="s">
        <v>193</v>
      </c>
      <c r="AQ163" s="137" t="s">
        <v>193</v>
      </c>
      <c r="AR163" s="137" t="s">
        <v>193</v>
      </c>
      <c r="AV163" s="1">
        <f t="shared" si="22"/>
        <v>3.524</v>
      </c>
      <c r="AW163" s="1">
        <f t="shared" si="15"/>
        <v>3.5</v>
      </c>
      <c r="AX163" s="13">
        <f t="shared" si="20"/>
        <v>0.99318955732122582</v>
      </c>
      <c r="BA163" s="12">
        <f t="shared" si="16"/>
        <v>0</v>
      </c>
      <c r="BB163" s="12">
        <f t="shared" si="21"/>
        <v>0</v>
      </c>
      <c r="BC163" s="12">
        <f t="shared" si="21"/>
        <v>0</v>
      </c>
      <c r="BD163" s="12">
        <f t="shared" si="21"/>
        <v>0</v>
      </c>
      <c r="BE163" s="12">
        <f t="shared" si="17"/>
        <v>0</v>
      </c>
      <c r="BF163" s="12">
        <f t="shared" si="18"/>
        <v>0</v>
      </c>
      <c r="BJ163" s="12" t="str">
        <f t="shared" si="19"/>
        <v/>
      </c>
      <c r="BK163" s="12">
        <f>VLOOKUP(B163,Kraftvärmeprod!$B$1:$BH$549,MATCH($BA$1,Kraftvärmeprod!$B$1:$CC$1,0),FALSE)</f>
        <v>0</v>
      </c>
    </row>
    <row r="164" spans="1:63" ht="15" customHeight="1" x14ac:dyDescent="0.25">
      <c r="A164" s="137" t="s">
        <v>419</v>
      </c>
      <c r="B164" s="137" t="s">
        <v>420</v>
      </c>
      <c r="C164" s="137">
        <v>2018</v>
      </c>
      <c r="D164" s="137">
        <v>2.06</v>
      </c>
      <c r="E164" s="137">
        <v>2.06</v>
      </c>
      <c r="F164" s="137" t="s">
        <v>193</v>
      </c>
      <c r="G164" s="137">
        <v>2.06</v>
      </c>
      <c r="H164" s="137" t="s">
        <v>193</v>
      </c>
      <c r="I164" s="137" t="s">
        <v>193</v>
      </c>
      <c r="J164" s="137" t="s">
        <v>193</v>
      </c>
      <c r="K164" s="137" t="s">
        <v>193</v>
      </c>
      <c r="L164" s="137" t="s">
        <v>193</v>
      </c>
      <c r="M164" s="137" t="s">
        <v>53</v>
      </c>
      <c r="N164" s="137" t="s">
        <v>193</v>
      </c>
      <c r="O164" s="137" t="s">
        <v>193</v>
      </c>
      <c r="P164" s="137" t="s">
        <v>193</v>
      </c>
      <c r="Q164" s="137" t="s">
        <v>193</v>
      </c>
      <c r="R164" s="137" t="s">
        <v>193</v>
      </c>
      <c r="S164" s="137" t="s">
        <v>193</v>
      </c>
      <c r="T164" s="137" t="s">
        <v>193</v>
      </c>
      <c r="U164" s="137" t="s">
        <v>193</v>
      </c>
      <c r="V164" s="137" t="s">
        <v>193</v>
      </c>
      <c r="W164" s="137" t="s">
        <v>193</v>
      </c>
      <c r="X164" s="137" t="s">
        <v>193</v>
      </c>
      <c r="Y164" s="137" t="s">
        <v>193</v>
      </c>
      <c r="Z164" s="137" t="s">
        <v>193</v>
      </c>
      <c r="AA164" s="137" t="s">
        <v>193</v>
      </c>
      <c r="AB164" s="137" t="s">
        <v>193</v>
      </c>
      <c r="AC164" s="137" t="s">
        <v>193</v>
      </c>
      <c r="AD164" s="137" t="s">
        <v>193</v>
      </c>
      <c r="AE164" s="137" t="s">
        <v>53</v>
      </c>
      <c r="AF164" s="137" t="s">
        <v>193</v>
      </c>
      <c r="AG164" s="137" t="s">
        <v>193</v>
      </c>
      <c r="AH164" s="137" t="s">
        <v>193</v>
      </c>
      <c r="AI164" s="137" t="s">
        <v>193</v>
      </c>
      <c r="AJ164" s="137" t="s">
        <v>193</v>
      </c>
      <c r="AK164" s="137" t="s">
        <v>193</v>
      </c>
      <c r="AL164" s="137" t="s">
        <v>193</v>
      </c>
      <c r="AM164" s="137" t="s">
        <v>193</v>
      </c>
      <c r="AN164" s="137" t="s">
        <v>53</v>
      </c>
      <c r="AO164" s="137" t="s">
        <v>193</v>
      </c>
      <c r="AP164" s="137" t="s">
        <v>193</v>
      </c>
      <c r="AQ164" s="137" t="s">
        <v>193</v>
      </c>
      <c r="AR164" s="137" t="s">
        <v>193</v>
      </c>
      <c r="AV164" s="1">
        <f t="shared" si="22"/>
        <v>2.06</v>
      </c>
      <c r="AW164" s="1">
        <f t="shared" si="15"/>
        <v>2.06</v>
      </c>
      <c r="AX164" s="13">
        <f t="shared" si="20"/>
        <v>1</v>
      </c>
      <c r="BA164" s="12">
        <f t="shared" si="16"/>
        <v>0</v>
      </c>
      <c r="BB164" s="12">
        <f t="shared" si="21"/>
        <v>0</v>
      </c>
      <c r="BC164" s="12">
        <f t="shared" si="21"/>
        <v>0</v>
      </c>
      <c r="BD164" s="12">
        <f t="shared" si="21"/>
        <v>0</v>
      </c>
      <c r="BE164" s="12">
        <f t="shared" si="17"/>
        <v>0</v>
      </c>
      <c r="BF164" s="12">
        <f t="shared" si="18"/>
        <v>0</v>
      </c>
      <c r="BJ164" s="12" t="str">
        <f t="shared" si="19"/>
        <v/>
      </c>
      <c r="BK164" s="12">
        <f>VLOOKUP(B164,Kraftvärmeprod!$B$1:$BH$549,MATCH($BA$1,Kraftvärmeprod!$B$1:$CC$1,0),FALSE)</f>
        <v>0</v>
      </c>
    </row>
    <row r="165" spans="1:63" ht="15" customHeight="1" x14ac:dyDescent="0.25">
      <c r="A165" s="137" t="s">
        <v>421</v>
      </c>
      <c r="B165" s="137" t="s">
        <v>422</v>
      </c>
      <c r="C165" s="137">
        <v>2018</v>
      </c>
      <c r="D165" s="137" t="s">
        <v>193</v>
      </c>
      <c r="E165" s="137" t="s">
        <v>193</v>
      </c>
      <c r="F165" s="137" t="s">
        <v>193</v>
      </c>
      <c r="G165" s="137" t="s">
        <v>193</v>
      </c>
      <c r="H165" s="137" t="s">
        <v>193</v>
      </c>
      <c r="I165" s="137" t="s">
        <v>193</v>
      </c>
      <c r="J165" s="137" t="s">
        <v>193</v>
      </c>
      <c r="K165" s="137" t="s">
        <v>193</v>
      </c>
      <c r="L165" s="137" t="s">
        <v>193</v>
      </c>
      <c r="M165" s="137" t="s">
        <v>193</v>
      </c>
      <c r="N165" s="137" t="s">
        <v>193</v>
      </c>
      <c r="O165" s="137" t="s">
        <v>193</v>
      </c>
      <c r="P165" s="137" t="s">
        <v>193</v>
      </c>
      <c r="Q165" s="137" t="s">
        <v>193</v>
      </c>
      <c r="R165" s="137" t="s">
        <v>193</v>
      </c>
      <c r="S165" s="137" t="s">
        <v>193</v>
      </c>
      <c r="T165" s="137" t="s">
        <v>193</v>
      </c>
      <c r="U165" s="137" t="s">
        <v>193</v>
      </c>
      <c r="V165" s="137" t="s">
        <v>193</v>
      </c>
      <c r="W165" s="137" t="s">
        <v>193</v>
      </c>
      <c r="X165" s="137" t="s">
        <v>193</v>
      </c>
      <c r="Y165" s="137" t="s">
        <v>193</v>
      </c>
      <c r="Z165" s="137" t="s">
        <v>193</v>
      </c>
      <c r="AA165" s="137" t="s">
        <v>193</v>
      </c>
      <c r="AB165" s="137" t="s">
        <v>193</v>
      </c>
      <c r="AC165" s="137" t="s">
        <v>193</v>
      </c>
      <c r="AD165" s="137" t="s">
        <v>193</v>
      </c>
      <c r="AE165" s="137" t="s">
        <v>199</v>
      </c>
      <c r="AF165" s="137" t="s">
        <v>193</v>
      </c>
      <c r="AG165" s="137" t="s">
        <v>193</v>
      </c>
      <c r="AH165" s="137" t="s">
        <v>193</v>
      </c>
      <c r="AI165" s="137" t="s">
        <v>193</v>
      </c>
      <c r="AJ165" s="137" t="s">
        <v>193</v>
      </c>
      <c r="AK165" s="137" t="s">
        <v>193</v>
      </c>
      <c r="AL165" s="137" t="s">
        <v>193</v>
      </c>
      <c r="AM165" s="137" t="s">
        <v>193</v>
      </c>
      <c r="AN165" s="137" t="s">
        <v>193</v>
      </c>
      <c r="AO165" s="137" t="s">
        <v>193</v>
      </c>
      <c r="AP165" s="137" t="s">
        <v>193</v>
      </c>
      <c r="AQ165" s="137" t="s">
        <v>193</v>
      </c>
      <c r="AR165" s="137" t="s">
        <v>193</v>
      </c>
      <c r="AV165" s="1">
        <f t="shared" si="22"/>
        <v>0</v>
      </c>
      <c r="AW165" s="1">
        <f t="shared" si="15"/>
        <v>0</v>
      </c>
      <c r="AX165" s="13" t="str">
        <f t="shared" si="20"/>
        <v/>
      </c>
      <c r="BA165" s="12">
        <f t="shared" si="16"/>
        <v>0</v>
      </c>
      <c r="BB165" s="12">
        <f t="shared" si="21"/>
        <v>0</v>
      </c>
      <c r="BC165" s="12">
        <f t="shared" si="21"/>
        <v>0</v>
      </c>
      <c r="BD165" s="12">
        <f t="shared" si="21"/>
        <v>0</v>
      </c>
      <c r="BE165" s="12">
        <f t="shared" si="17"/>
        <v>0</v>
      </c>
      <c r="BF165" s="12">
        <f t="shared" si="18"/>
        <v>0</v>
      </c>
      <c r="BJ165" s="12" t="str">
        <f t="shared" si="19"/>
        <v/>
      </c>
      <c r="BK165" s="12">
        <f>VLOOKUP(B165,Kraftvärmeprod!$B$1:$BH$549,MATCH($BA$1,Kraftvärmeprod!$B$1:$CC$1,0),FALSE)</f>
        <v>0</v>
      </c>
    </row>
    <row r="166" spans="1:63" ht="15" customHeight="1" x14ac:dyDescent="0.25">
      <c r="A166" s="137" t="s">
        <v>421</v>
      </c>
      <c r="B166" s="137" t="s">
        <v>423</v>
      </c>
      <c r="C166" s="137">
        <v>2018</v>
      </c>
      <c r="D166" s="137">
        <v>228.20400000000001</v>
      </c>
      <c r="E166" s="137">
        <v>227.756</v>
      </c>
      <c r="F166" s="137" t="s">
        <v>193</v>
      </c>
      <c r="G166" s="137">
        <v>3.8860000000000001</v>
      </c>
      <c r="H166" s="137" t="s">
        <v>193</v>
      </c>
      <c r="I166" s="137" t="s">
        <v>193</v>
      </c>
      <c r="J166" s="137" t="s">
        <v>193</v>
      </c>
      <c r="K166" s="137" t="s">
        <v>193</v>
      </c>
      <c r="L166" s="137" t="s">
        <v>193</v>
      </c>
      <c r="M166" s="137" t="s">
        <v>193</v>
      </c>
      <c r="N166" s="137" t="s">
        <v>193</v>
      </c>
      <c r="O166" s="137" t="s">
        <v>193</v>
      </c>
      <c r="P166" s="137" t="s">
        <v>193</v>
      </c>
      <c r="Q166" s="137" t="s">
        <v>193</v>
      </c>
      <c r="R166" s="137" t="s">
        <v>193</v>
      </c>
      <c r="S166" s="137" t="s">
        <v>193</v>
      </c>
      <c r="T166" s="137" t="s">
        <v>193</v>
      </c>
      <c r="U166" s="137" t="s">
        <v>193</v>
      </c>
      <c r="V166" s="137" t="s">
        <v>193</v>
      </c>
      <c r="W166" s="137" t="s">
        <v>193</v>
      </c>
      <c r="X166" s="137">
        <v>0</v>
      </c>
      <c r="Y166" s="137" t="s">
        <v>193</v>
      </c>
      <c r="Z166" s="137">
        <v>4.6749999999999998</v>
      </c>
      <c r="AA166" s="137" t="s">
        <v>193</v>
      </c>
      <c r="AB166" s="137" t="s">
        <v>193</v>
      </c>
      <c r="AC166" s="137">
        <v>206.31</v>
      </c>
      <c r="AD166" s="137" t="s">
        <v>193</v>
      </c>
      <c r="AE166" s="137" t="s">
        <v>199</v>
      </c>
      <c r="AF166" s="137" t="s">
        <v>193</v>
      </c>
      <c r="AG166" s="137" t="s">
        <v>193</v>
      </c>
      <c r="AH166" s="137">
        <v>12.885</v>
      </c>
      <c r="AI166" s="137" t="s">
        <v>193</v>
      </c>
      <c r="AJ166" s="137" t="s">
        <v>193</v>
      </c>
      <c r="AK166" s="137" t="s">
        <v>193</v>
      </c>
      <c r="AL166" s="137" t="s">
        <v>193</v>
      </c>
      <c r="AM166" s="137" t="s">
        <v>193</v>
      </c>
      <c r="AN166" s="137" t="s">
        <v>193</v>
      </c>
      <c r="AO166" s="137">
        <v>0</v>
      </c>
      <c r="AP166" s="137">
        <v>100</v>
      </c>
      <c r="AQ166" s="137">
        <v>0</v>
      </c>
      <c r="AR166" s="137">
        <v>0</v>
      </c>
      <c r="AV166" s="1">
        <f t="shared" si="22"/>
        <v>227.756</v>
      </c>
      <c r="AW166" s="1">
        <f t="shared" si="15"/>
        <v>228.20400000000001</v>
      </c>
      <c r="AX166" s="13">
        <f t="shared" si="20"/>
        <v>1.0019670173343402</v>
      </c>
      <c r="BA166" s="12">
        <f t="shared" si="16"/>
        <v>12.885</v>
      </c>
      <c r="BB166" s="12">
        <f t="shared" si="21"/>
        <v>0</v>
      </c>
      <c r="BC166" s="12">
        <f t="shared" si="21"/>
        <v>12.885</v>
      </c>
      <c r="BD166" s="12">
        <f t="shared" si="21"/>
        <v>0</v>
      </c>
      <c r="BE166" s="12">
        <f t="shared" si="17"/>
        <v>0</v>
      </c>
      <c r="BF166" s="12">
        <f t="shared" si="18"/>
        <v>0</v>
      </c>
      <c r="BJ166" s="12" t="str">
        <f t="shared" si="19"/>
        <v/>
      </c>
      <c r="BK166" s="12">
        <f>VLOOKUP(B166,Kraftvärmeprod!$B$1:$BH$549,MATCH($BA$1,Kraftvärmeprod!$B$1:$CC$1,0),FALSE)</f>
        <v>6.4450000000000003</v>
      </c>
    </row>
    <row r="167" spans="1:63" ht="15" customHeight="1" x14ac:dyDescent="0.25">
      <c r="A167" s="137" t="s">
        <v>424</v>
      </c>
      <c r="B167" s="137" t="s">
        <v>425</v>
      </c>
      <c r="C167" s="137">
        <v>2018</v>
      </c>
      <c r="D167" s="137">
        <v>0.38800000000000001</v>
      </c>
      <c r="E167" s="137">
        <v>0.45800000000000002</v>
      </c>
      <c r="F167" s="137" t="s">
        <v>193</v>
      </c>
      <c r="G167" s="137">
        <v>0.45800000000000002</v>
      </c>
      <c r="H167" s="137" t="s">
        <v>193</v>
      </c>
      <c r="I167" s="137" t="s">
        <v>193</v>
      </c>
      <c r="J167" s="137" t="s">
        <v>193</v>
      </c>
      <c r="K167" s="137" t="s">
        <v>193</v>
      </c>
      <c r="L167" s="137" t="s">
        <v>193</v>
      </c>
      <c r="M167" s="137" t="s">
        <v>53</v>
      </c>
      <c r="N167" s="137" t="s">
        <v>193</v>
      </c>
      <c r="O167" s="137" t="s">
        <v>193</v>
      </c>
      <c r="P167" s="137" t="s">
        <v>193</v>
      </c>
      <c r="Q167" s="137" t="s">
        <v>193</v>
      </c>
      <c r="R167" s="137" t="s">
        <v>193</v>
      </c>
      <c r="S167" s="137" t="s">
        <v>193</v>
      </c>
      <c r="T167" s="137" t="s">
        <v>193</v>
      </c>
      <c r="U167" s="137" t="s">
        <v>193</v>
      </c>
      <c r="V167" s="137" t="s">
        <v>193</v>
      </c>
      <c r="W167" s="137" t="s">
        <v>193</v>
      </c>
      <c r="X167" s="137" t="s">
        <v>193</v>
      </c>
      <c r="Y167" s="137" t="s">
        <v>193</v>
      </c>
      <c r="Z167" s="137" t="s">
        <v>193</v>
      </c>
      <c r="AA167" s="137" t="s">
        <v>193</v>
      </c>
      <c r="AB167" s="137" t="s">
        <v>193</v>
      </c>
      <c r="AC167" s="137" t="s">
        <v>193</v>
      </c>
      <c r="AD167" s="137" t="s">
        <v>193</v>
      </c>
      <c r="AE167" s="137" t="s">
        <v>199</v>
      </c>
      <c r="AF167" s="137" t="s">
        <v>193</v>
      </c>
      <c r="AG167" s="137" t="s">
        <v>193</v>
      </c>
      <c r="AH167" s="137" t="s">
        <v>193</v>
      </c>
      <c r="AI167" s="137" t="s">
        <v>193</v>
      </c>
      <c r="AJ167" s="137" t="s">
        <v>193</v>
      </c>
      <c r="AK167" s="137" t="s">
        <v>193</v>
      </c>
      <c r="AL167" s="137" t="s">
        <v>193</v>
      </c>
      <c r="AM167" s="137" t="s">
        <v>193</v>
      </c>
      <c r="AN167" s="137" t="s">
        <v>53</v>
      </c>
      <c r="AO167" s="137" t="s">
        <v>193</v>
      </c>
      <c r="AP167" s="137" t="s">
        <v>193</v>
      </c>
      <c r="AQ167" s="137" t="s">
        <v>193</v>
      </c>
      <c r="AR167" s="137" t="s">
        <v>193</v>
      </c>
      <c r="AV167" s="1">
        <f t="shared" si="22"/>
        <v>0.45800000000000002</v>
      </c>
      <c r="AW167" s="1">
        <f t="shared" si="15"/>
        <v>0.38800000000000001</v>
      </c>
      <c r="AX167" s="13">
        <f t="shared" si="20"/>
        <v>0.84716157205240172</v>
      </c>
      <c r="BA167" s="12">
        <f t="shared" si="16"/>
        <v>0</v>
      </c>
      <c r="BB167" s="12">
        <f t="shared" si="21"/>
        <v>0</v>
      </c>
      <c r="BC167" s="12">
        <f t="shared" si="21"/>
        <v>0</v>
      </c>
      <c r="BD167" s="12">
        <f t="shared" si="21"/>
        <v>0</v>
      </c>
      <c r="BE167" s="12">
        <f t="shared" si="17"/>
        <v>0</v>
      </c>
      <c r="BF167" s="12">
        <f t="shared" si="18"/>
        <v>0</v>
      </c>
      <c r="BJ167" s="12" t="str">
        <f t="shared" si="19"/>
        <v/>
      </c>
      <c r="BK167" s="12">
        <f>VLOOKUP(B167,Kraftvärmeprod!$B$1:$BH$549,MATCH($BA$1,Kraftvärmeprod!$B$1:$CC$1,0),FALSE)</f>
        <v>0</v>
      </c>
    </row>
    <row r="168" spans="1:63" ht="15" customHeight="1" x14ac:dyDescent="0.25">
      <c r="A168" s="137" t="s">
        <v>426</v>
      </c>
      <c r="B168" s="137" t="s">
        <v>427</v>
      </c>
      <c r="C168" s="137">
        <v>2018</v>
      </c>
      <c r="D168" s="137">
        <v>0.56599999999999995</v>
      </c>
      <c r="E168" s="137">
        <v>0.56599999999999995</v>
      </c>
      <c r="F168" s="137" t="s">
        <v>193</v>
      </c>
      <c r="G168" s="137">
        <v>0.56599999999999995</v>
      </c>
      <c r="H168" s="137" t="s">
        <v>193</v>
      </c>
      <c r="I168" s="137" t="s">
        <v>193</v>
      </c>
      <c r="J168" s="137" t="s">
        <v>193</v>
      </c>
      <c r="K168" s="137" t="s">
        <v>193</v>
      </c>
      <c r="L168" s="137" t="s">
        <v>193</v>
      </c>
      <c r="M168" s="137" t="s">
        <v>53</v>
      </c>
      <c r="N168" s="137" t="s">
        <v>193</v>
      </c>
      <c r="O168" s="137" t="s">
        <v>193</v>
      </c>
      <c r="P168" s="137" t="s">
        <v>193</v>
      </c>
      <c r="Q168" s="137" t="s">
        <v>193</v>
      </c>
      <c r="R168" s="137" t="s">
        <v>193</v>
      </c>
      <c r="S168" s="137" t="s">
        <v>193</v>
      </c>
      <c r="T168" s="137" t="s">
        <v>193</v>
      </c>
      <c r="U168" s="137" t="s">
        <v>193</v>
      </c>
      <c r="V168" s="137" t="s">
        <v>193</v>
      </c>
      <c r="W168" s="137" t="s">
        <v>193</v>
      </c>
      <c r="X168" s="137" t="s">
        <v>193</v>
      </c>
      <c r="Y168" s="137" t="s">
        <v>193</v>
      </c>
      <c r="Z168" s="137" t="s">
        <v>193</v>
      </c>
      <c r="AA168" s="137" t="s">
        <v>193</v>
      </c>
      <c r="AB168" s="137" t="s">
        <v>193</v>
      </c>
      <c r="AC168" s="137" t="s">
        <v>193</v>
      </c>
      <c r="AD168" s="137" t="s">
        <v>193</v>
      </c>
      <c r="AE168" s="137" t="s">
        <v>53</v>
      </c>
      <c r="AF168" s="137" t="s">
        <v>193</v>
      </c>
      <c r="AG168" s="137" t="s">
        <v>193</v>
      </c>
      <c r="AH168" s="137" t="s">
        <v>193</v>
      </c>
      <c r="AI168" s="137" t="s">
        <v>193</v>
      </c>
      <c r="AJ168" s="137" t="s">
        <v>193</v>
      </c>
      <c r="AK168" s="137" t="s">
        <v>193</v>
      </c>
      <c r="AL168" s="137" t="s">
        <v>193</v>
      </c>
      <c r="AM168" s="137" t="s">
        <v>193</v>
      </c>
      <c r="AN168" s="137" t="s">
        <v>53</v>
      </c>
      <c r="AO168" s="137" t="s">
        <v>193</v>
      </c>
      <c r="AP168" s="137" t="s">
        <v>193</v>
      </c>
      <c r="AQ168" s="137" t="s">
        <v>193</v>
      </c>
      <c r="AR168" s="137" t="s">
        <v>193</v>
      </c>
      <c r="AV168" s="1">
        <f t="shared" si="22"/>
        <v>0.56599999999999995</v>
      </c>
      <c r="AW168" s="1">
        <f t="shared" si="15"/>
        <v>0.56599999999999995</v>
      </c>
      <c r="AX168" s="13">
        <f t="shared" si="20"/>
        <v>1</v>
      </c>
      <c r="BA168" s="12">
        <f t="shared" si="16"/>
        <v>0</v>
      </c>
      <c r="BB168" s="12">
        <f t="shared" si="21"/>
        <v>0</v>
      </c>
      <c r="BC168" s="12">
        <f t="shared" si="21"/>
        <v>0</v>
      </c>
      <c r="BD168" s="12">
        <f t="shared" si="21"/>
        <v>0</v>
      </c>
      <c r="BE168" s="12">
        <f t="shared" si="17"/>
        <v>0</v>
      </c>
      <c r="BF168" s="12">
        <f t="shared" si="18"/>
        <v>0</v>
      </c>
      <c r="BJ168" s="12" t="str">
        <f t="shared" si="19"/>
        <v/>
      </c>
      <c r="BK168" s="12">
        <f>VLOOKUP(B168,Kraftvärmeprod!$B$1:$BH$549,MATCH($BA$1,Kraftvärmeprod!$B$1:$CC$1,0),FALSE)</f>
        <v>0</v>
      </c>
    </row>
    <row r="169" spans="1:63" ht="15" customHeight="1" x14ac:dyDescent="0.25">
      <c r="A169" s="137" t="s">
        <v>426</v>
      </c>
      <c r="B169" s="137" t="s">
        <v>428</v>
      </c>
      <c r="C169" s="137">
        <v>2018</v>
      </c>
      <c r="D169" s="137">
        <v>3.948</v>
      </c>
      <c r="E169" s="137">
        <v>3.948</v>
      </c>
      <c r="F169" s="137" t="s">
        <v>193</v>
      </c>
      <c r="G169" s="137">
        <v>0</v>
      </c>
      <c r="H169" s="137" t="s">
        <v>193</v>
      </c>
      <c r="I169" s="137" t="s">
        <v>193</v>
      </c>
      <c r="J169" s="137" t="s">
        <v>193</v>
      </c>
      <c r="K169" s="137" t="s">
        <v>193</v>
      </c>
      <c r="L169" s="137" t="s">
        <v>193</v>
      </c>
      <c r="M169" s="137" t="s">
        <v>53</v>
      </c>
      <c r="N169" s="137" t="s">
        <v>193</v>
      </c>
      <c r="O169" s="137" t="s">
        <v>193</v>
      </c>
      <c r="P169" s="137" t="s">
        <v>193</v>
      </c>
      <c r="Q169" s="137" t="s">
        <v>193</v>
      </c>
      <c r="R169" s="137" t="s">
        <v>193</v>
      </c>
      <c r="S169" s="137" t="s">
        <v>193</v>
      </c>
      <c r="T169" s="137" t="s">
        <v>193</v>
      </c>
      <c r="U169" s="137">
        <v>3.948</v>
      </c>
      <c r="V169" s="137" t="s">
        <v>193</v>
      </c>
      <c r="W169" s="137" t="s">
        <v>193</v>
      </c>
      <c r="X169" s="137" t="s">
        <v>193</v>
      </c>
      <c r="Y169" s="137" t="s">
        <v>193</v>
      </c>
      <c r="Z169" s="137" t="s">
        <v>193</v>
      </c>
      <c r="AA169" s="137" t="s">
        <v>193</v>
      </c>
      <c r="AB169" s="137" t="s">
        <v>193</v>
      </c>
      <c r="AC169" s="137" t="s">
        <v>193</v>
      </c>
      <c r="AD169" s="137" t="s">
        <v>193</v>
      </c>
      <c r="AE169" s="137" t="s">
        <v>53</v>
      </c>
      <c r="AF169" s="137" t="s">
        <v>193</v>
      </c>
      <c r="AG169" s="137" t="s">
        <v>193</v>
      </c>
      <c r="AH169" s="137" t="s">
        <v>193</v>
      </c>
      <c r="AI169" s="137" t="s">
        <v>193</v>
      </c>
      <c r="AJ169" s="137" t="s">
        <v>193</v>
      </c>
      <c r="AK169" s="137" t="s">
        <v>193</v>
      </c>
      <c r="AL169" s="137" t="s">
        <v>193</v>
      </c>
      <c r="AM169" s="137" t="s">
        <v>193</v>
      </c>
      <c r="AN169" s="137" t="s">
        <v>53</v>
      </c>
      <c r="AO169" s="137" t="s">
        <v>193</v>
      </c>
      <c r="AP169" s="137" t="s">
        <v>193</v>
      </c>
      <c r="AQ169" s="137" t="s">
        <v>193</v>
      </c>
      <c r="AR169" s="137" t="s">
        <v>193</v>
      </c>
      <c r="AV169" s="1">
        <f t="shared" si="22"/>
        <v>3.948</v>
      </c>
      <c r="AW169" s="1">
        <f t="shared" si="15"/>
        <v>3.948</v>
      </c>
      <c r="AX169" s="13">
        <f t="shared" si="20"/>
        <v>1</v>
      </c>
      <c r="BA169" s="12">
        <f t="shared" si="16"/>
        <v>0</v>
      </c>
      <c r="BB169" s="12">
        <f t="shared" si="21"/>
        <v>0</v>
      </c>
      <c r="BC169" s="12">
        <f t="shared" si="21"/>
        <v>0</v>
      </c>
      <c r="BD169" s="12">
        <f t="shared" si="21"/>
        <v>0</v>
      </c>
      <c r="BE169" s="12">
        <f t="shared" si="17"/>
        <v>0</v>
      </c>
      <c r="BF169" s="12">
        <f t="shared" si="18"/>
        <v>0</v>
      </c>
      <c r="BJ169" s="12" t="str">
        <f t="shared" si="19"/>
        <v/>
      </c>
      <c r="BK169" s="12">
        <f>VLOOKUP(B169,Kraftvärmeprod!$B$1:$BH$549,MATCH($BA$1,Kraftvärmeprod!$B$1:$CC$1,0),FALSE)</f>
        <v>0</v>
      </c>
    </row>
    <row r="170" spans="1:63" ht="15" customHeight="1" x14ac:dyDescent="0.25">
      <c r="A170" s="137" t="s">
        <v>426</v>
      </c>
      <c r="B170" s="137" t="s">
        <v>429</v>
      </c>
      <c r="C170" s="137">
        <v>2018</v>
      </c>
      <c r="D170" s="137">
        <v>13.087</v>
      </c>
      <c r="E170" s="137">
        <v>13.087</v>
      </c>
      <c r="F170" s="137" t="s">
        <v>193</v>
      </c>
      <c r="G170" s="137">
        <v>0.76200000000000001</v>
      </c>
      <c r="H170" s="137" t="s">
        <v>193</v>
      </c>
      <c r="I170" s="137" t="s">
        <v>193</v>
      </c>
      <c r="J170" s="137" t="s">
        <v>193</v>
      </c>
      <c r="K170" s="137" t="s">
        <v>193</v>
      </c>
      <c r="L170" s="137" t="s">
        <v>193</v>
      </c>
      <c r="M170" s="137" t="s">
        <v>53</v>
      </c>
      <c r="N170" s="137" t="s">
        <v>193</v>
      </c>
      <c r="O170" s="137" t="s">
        <v>193</v>
      </c>
      <c r="P170" s="137" t="s">
        <v>193</v>
      </c>
      <c r="Q170" s="137" t="s">
        <v>193</v>
      </c>
      <c r="R170" s="137" t="s">
        <v>193</v>
      </c>
      <c r="S170" s="137" t="s">
        <v>193</v>
      </c>
      <c r="T170" s="137" t="s">
        <v>193</v>
      </c>
      <c r="U170" s="137">
        <v>5.0359999999999996</v>
      </c>
      <c r="V170" s="137" t="s">
        <v>193</v>
      </c>
      <c r="W170" s="137" t="s">
        <v>193</v>
      </c>
      <c r="X170" s="137" t="s">
        <v>193</v>
      </c>
      <c r="Y170" s="137" t="s">
        <v>193</v>
      </c>
      <c r="Z170" s="137">
        <v>3.5</v>
      </c>
      <c r="AA170" s="137" t="s">
        <v>193</v>
      </c>
      <c r="AB170" s="137" t="s">
        <v>193</v>
      </c>
      <c r="AC170" s="137" t="s">
        <v>193</v>
      </c>
      <c r="AD170" s="137" t="s">
        <v>193</v>
      </c>
      <c r="AE170" s="137" t="s">
        <v>53</v>
      </c>
      <c r="AF170" s="137" t="s">
        <v>193</v>
      </c>
      <c r="AG170" s="137" t="s">
        <v>193</v>
      </c>
      <c r="AH170" s="137" t="s">
        <v>193</v>
      </c>
      <c r="AI170" s="137" t="s">
        <v>193</v>
      </c>
      <c r="AJ170" s="137" t="s">
        <v>193</v>
      </c>
      <c r="AK170" s="137" t="s">
        <v>193</v>
      </c>
      <c r="AL170" s="137">
        <v>3.7890000000000001</v>
      </c>
      <c r="AM170" s="137">
        <v>3.7890000000000001</v>
      </c>
      <c r="AN170" s="137" t="s">
        <v>53</v>
      </c>
      <c r="AO170" s="137" t="s">
        <v>193</v>
      </c>
      <c r="AP170" s="137" t="s">
        <v>193</v>
      </c>
      <c r="AQ170" s="137" t="s">
        <v>193</v>
      </c>
      <c r="AR170" s="137" t="s">
        <v>193</v>
      </c>
      <c r="AV170" s="1">
        <f t="shared" si="22"/>
        <v>13.087</v>
      </c>
      <c r="AW170" s="1">
        <f t="shared" si="15"/>
        <v>13.087</v>
      </c>
      <c r="AX170" s="13">
        <f t="shared" si="20"/>
        <v>1</v>
      </c>
      <c r="BA170" s="12">
        <f t="shared" si="16"/>
        <v>0</v>
      </c>
      <c r="BB170" s="12">
        <f t="shared" si="21"/>
        <v>0</v>
      </c>
      <c r="BC170" s="12">
        <f t="shared" si="21"/>
        <v>0</v>
      </c>
      <c r="BD170" s="12">
        <f t="shared" si="21"/>
        <v>0</v>
      </c>
      <c r="BE170" s="12">
        <f t="shared" si="17"/>
        <v>0</v>
      </c>
      <c r="BF170" s="12">
        <f t="shared" si="18"/>
        <v>0</v>
      </c>
      <c r="BJ170" s="12" t="str">
        <f t="shared" si="19"/>
        <v/>
      </c>
      <c r="BK170" s="12">
        <f>VLOOKUP(B170,Kraftvärmeprod!$B$1:$BH$549,MATCH($BA$1,Kraftvärmeprod!$B$1:$CC$1,0),FALSE)</f>
        <v>0</v>
      </c>
    </row>
    <row r="171" spans="1:63" ht="15" customHeight="1" x14ac:dyDescent="0.25">
      <c r="A171" s="137" t="s">
        <v>426</v>
      </c>
      <c r="B171" s="137" t="s">
        <v>430</v>
      </c>
      <c r="C171" s="137">
        <v>2018</v>
      </c>
      <c r="D171" s="137" t="s">
        <v>193</v>
      </c>
      <c r="E171" s="137" t="s">
        <v>193</v>
      </c>
      <c r="F171" s="137" t="s">
        <v>193</v>
      </c>
      <c r="G171" s="137" t="s">
        <v>193</v>
      </c>
      <c r="H171" s="137" t="s">
        <v>193</v>
      </c>
      <c r="I171" s="137" t="s">
        <v>193</v>
      </c>
      <c r="J171" s="137" t="s">
        <v>193</v>
      </c>
      <c r="K171" s="137" t="s">
        <v>193</v>
      </c>
      <c r="L171" s="137" t="s">
        <v>193</v>
      </c>
      <c r="M171" s="137" t="s">
        <v>53</v>
      </c>
      <c r="N171" s="137" t="s">
        <v>193</v>
      </c>
      <c r="O171" s="137" t="s">
        <v>193</v>
      </c>
      <c r="P171" s="137" t="s">
        <v>193</v>
      </c>
      <c r="Q171" s="137" t="s">
        <v>193</v>
      </c>
      <c r="R171" s="137" t="s">
        <v>193</v>
      </c>
      <c r="S171" s="137" t="s">
        <v>193</v>
      </c>
      <c r="T171" s="137" t="s">
        <v>193</v>
      </c>
      <c r="U171" s="137" t="s">
        <v>193</v>
      </c>
      <c r="V171" s="137" t="s">
        <v>193</v>
      </c>
      <c r="W171" s="137" t="s">
        <v>193</v>
      </c>
      <c r="X171" s="137" t="s">
        <v>193</v>
      </c>
      <c r="Y171" s="137" t="s">
        <v>193</v>
      </c>
      <c r="Z171" s="137" t="s">
        <v>193</v>
      </c>
      <c r="AA171" s="137" t="s">
        <v>193</v>
      </c>
      <c r="AB171" s="137" t="s">
        <v>193</v>
      </c>
      <c r="AC171" s="137" t="s">
        <v>193</v>
      </c>
      <c r="AD171" s="137" t="s">
        <v>193</v>
      </c>
      <c r="AE171" s="137" t="s">
        <v>53</v>
      </c>
      <c r="AF171" s="137" t="s">
        <v>193</v>
      </c>
      <c r="AG171" s="137" t="s">
        <v>193</v>
      </c>
      <c r="AH171" s="137" t="s">
        <v>193</v>
      </c>
      <c r="AI171" s="137" t="s">
        <v>193</v>
      </c>
      <c r="AJ171" s="137" t="s">
        <v>193</v>
      </c>
      <c r="AK171" s="137" t="s">
        <v>193</v>
      </c>
      <c r="AL171" s="137" t="s">
        <v>193</v>
      </c>
      <c r="AM171" s="137" t="s">
        <v>193</v>
      </c>
      <c r="AN171" s="137" t="s">
        <v>53</v>
      </c>
      <c r="AO171" s="137" t="s">
        <v>193</v>
      </c>
      <c r="AP171" s="137" t="s">
        <v>193</v>
      </c>
      <c r="AQ171" s="137" t="s">
        <v>193</v>
      </c>
      <c r="AR171" s="137" t="s">
        <v>193</v>
      </c>
      <c r="AV171" s="1">
        <f t="shared" si="22"/>
        <v>0</v>
      </c>
      <c r="AW171" s="1">
        <f t="shared" si="15"/>
        <v>0</v>
      </c>
      <c r="AX171" s="13" t="str">
        <f t="shared" si="20"/>
        <v/>
      </c>
      <c r="BA171" s="12">
        <f t="shared" si="16"/>
        <v>0</v>
      </c>
      <c r="BB171" s="12">
        <f t="shared" si="21"/>
        <v>0</v>
      </c>
      <c r="BC171" s="12">
        <f t="shared" si="21"/>
        <v>0</v>
      </c>
      <c r="BD171" s="12">
        <f t="shared" si="21"/>
        <v>0</v>
      </c>
      <c r="BE171" s="12">
        <f t="shared" si="17"/>
        <v>0</v>
      </c>
      <c r="BF171" s="12">
        <f t="shared" si="18"/>
        <v>0</v>
      </c>
      <c r="BJ171" s="12" t="str">
        <f t="shared" si="19"/>
        <v/>
      </c>
      <c r="BK171" s="12">
        <f>VLOOKUP(B171,Kraftvärmeprod!$B$1:$BH$549,MATCH($BA$1,Kraftvärmeprod!$B$1:$CC$1,0),FALSE)</f>
        <v>0</v>
      </c>
    </row>
    <row r="172" spans="1:63" ht="15" customHeight="1" x14ac:dyDescent="0.25">
      <c r="A172" s="137" t="s">
        <v>426</v>
      </c>
      <c r="B172" s="137" t="s">
        <v>431</v>
      </c>
      <c r="C172" s="137">
        <v>2018</v>
      </c>
      <c r="D172" s="137">
        <v>0.23799999999999999</v>
      </c>
      <c r="E172" s="137">
        <v>0.23799999999999999</v>
      </c>
      <c r="F172" s="137" t="s">
        <v>193</v>
      </c>
      <c r="G172" s="137">
        <v>0.23799999999999999</v>
      </c>
      <c r="H172" s="137" t="s">
        <v>193</v>
      </c>
      <c r="I172" s="137" t="s">
        <v>193</v>
      </c>
      <c r="J172" s="137" t="s">
        <v>193</v>
      </c>
      <c r="K172" s="137" t="s">
        <v>193</v>
      </c>
      <c r="L172" s="137" t="s">
        <v>193</v>
      </c>
      <c r="M172" s="137" t="s">
        <v>53</v>
      </c>
      <c r="N172" s="137" t="s">
        <v>193</v>
      </c>
      <c r="O172" s="137" t="s">
        <v>193</v>
      </c>
      <c r="P172" s="137" t="s">
        <v>193</v>
      </c>
      <c r="Q172" s="137" t="s">
        <v>193</v>
      </c>
      <c r="R172" s="137" t="s">
        <v>193</v>
      </c>
      <c r="S172" s="137" t="s">
        <v>193</v>
      </c>
      <c r="T172" s="137" t="s">
        <v>193</v>
      </c>
      <c r="U172" s="137" t="s">
        <v>193</v>
      </c>
      <c r="V172" s="137" t="s">
        <v>193</v>
      </c>
      <c r="W172" s="137" t="s">
        <v>193</v>
      </c>
      <c r="X172" s="137" t="s">
        <v>193</v>
      </c>
      <c r="Y172" s="137" t="s">
        <v>193</v>
      </c>
      <c r="Z172" s="137" t="s">
        <v>193</v>
      </c>
      <c r="AA172" s="137" t="s">
        <v>193</v>
      </c>
      <c r="AB172" s="137" t="s">
        <v>193</v>
      </c>
      <c r="AC172" s="137" t="s">
        <v>193</v>
      </c>
      <c r="AD172" s="137" t="s">
        <v>193</v>
      </c>
      <c r="AE172" s="137" t="s">
        <v>53</v>
      </c>
      <c r="AF172" s="137" t="s">
        <v>193</v>
      </c>
      <c r="AG172" s="137" t="s">
        <v>193</v>
      </c>
      <c r="AH172" s="137" t="s">
        <v>193</v>
      </c>
      <c r="AI172" s="137" t="s">
        <v>193</v>
      </c>
      <c r="AJ172" s="137" t="s">
        <v>193</v>
      </c>
      <c r="AK172" s="137" t="s">
        <v>193</v>
      </c>
      <c r="AL172" s="137" t="s">
        <v>193</v>
      </c>
      <c r="AM172" s="137" t="s">
        <v>193</v>
      </c>
      <c r="AN172" s="137" t="s">
        <v>53</v>
      </c>
      <c r="AO172" s="137" t="s">
        <v>193</v>
      </c>
      <c r="AP172" s="137" t="s">
        <v>193</v>
      </c>
      <c r="AQ172" s="137" t="s">
        <v>193</v>
      </c>
      <c r="AR172" s="137" t="s">
        <v>193</v>
      </c>
      <c r="AV172" s="1">
        <f t="shared" si="22"/>
        <v>0.23799999999999999</v>
      </c>
      <c r="AW172" s="1">
        <f t="shared" si="15"/>
        <v>0.23799999999999999</v>
      </c>
      <c r="AX172" s="13">
        <f t="shared" si="20"/>
        <v>1</v>
      </c>
      <c r="BA172" s="12">
        <f t="shared" si="16"/>
        <v>0</v>
      </c>
      <c r="BB172" s="12">
        <f t="shared" si="21"/>
        <v>0</v>
      </c>
      <c r="BC172" s="12">
        <f t="shared" si="21"/>
        <v>0</v>
      </c>
      <c r="BD172" s="12">
        <f t="shared" si="21"/>
        <v>0</v>
      </c>
      <c r="BE172" s="12">
        <f t="shared" si="17"/>
        <v>0</v>
      </c>
      <c r="BF172" s="12">
        <f t="shared" si="18"/>
        <v>0</v>
      </c>
      <c r="BJ172" s="12" t="str">
        <f t="shared" si="19"/>
        <v/>
      </c>
      <c r="BK172" s="12">
        <f>VLOOKUP(B172,Kraftvärmeprod!$B$1:$BH$549,MATCH($BA$1,Kraftvärmeprod!$B$1:$CC$1,0),FALSE)</f>
        <v>0</v>
      </c>
    </row>
    <row r="173" spans="1:63" ht="15" customHeight="1" x14ac:dyDescent="0.25">
      <c r="A173" s="137" t="s">
        <v>432</v>
      </c>
      <c r="B173" s="137" t="s">
        <v>433</v>
      </c>
      <c r="C173" s="137">
        <v>2018</v>
      </c>
      <c r="D173" s="137">
        <v>27.8</v>
      </c>
      <c r="E173" s="137">
        <v>31.39</v>
      </c>
      <c r="F173" s="137" t="s">
        <v>193</v>
      </c>
      <c r="G173" s="137">
        <v>2.58</v>
      </c>
      <c r="H173" s="137" t="s">
        <v>193</v>
      </c>
      <c r="I173" s="137" t="s">
        <v>193</v>
      </c>
      <c r="J173" s="137" t="s">
        <v>193</v>
      </c>
      <c r="K173" s="137" t="s">
        <v>193</v>
      </c>
      <c r="L173" s="137" t="s">
        <v>193</v>
      </c>
      <c r="M173" s="137" t="s">
        <v>219</v>
      </c>
      <c r="N173" s="137">
        <v>18.75</v>
      </c>
      <c r="O173" s="137" t="s">
        <v>193</v>
      </c>
      <c r="P173" s="137" t="s">
        <v>193</v>
      </c>
      <c r="Q173" s="137" t="s">
        <v>193</v>
      </c>
      <c r="R173" s="137" t="s">
        <v>193</v>
      </c>
      <c r="S173" s="137" t="s">
        <v>193</v>
      </c>
      <c r="T173" s="137" t="s">
        <v>194</v>
      </c>
      <c r="U173" s="137">
        <v>10.06</v>
      </c>
      <c r="V173" s="137" t="s">
        <v>193</v>
      </c>
      <c r="W173" s="137" t="s">
        <v>193</v>
      </c>
      <c r="X173" s="137" t="s">
        <v>193</v>
      </c>
      <c r="Y173" s="137" t="s">
        <v>193</v>
      </c>
      <c r="Z173" s="137" t="s">
        <v>193</v>
      </c>
      <c r="AA173" s="137" t="s">
        <v>193</v>
      </c>
      <c r="AB173" s="137" t="s">
        <v>193</v>
      </c>
      <c r="AC173" s="137" t="s">
        <v>193</v>
      </c>
      <c r="AD173" s="137" t="s">
        <v>193</v>
      </c>
      <c r="AE173" s="137" t="s">
        <v>199</v>
      </c>
      <c r="AF173" s="137" t="s">
        <v>193</v>
      </c>
      <c r="AG173" s="137" t="s">
        <v>193</v>
      </c>
      <c r="AH173" s="137" t="s">
        <v>193</v>
      </c>
      <c r="AI173" s="137" t="s">
        <v>193</v>
      </c>
      <c r="AJ173" s="137" t="s">
        <v>193</v>
      </c>
      <c r="AK173" s="137" t="s">
        <v>193</v>
      </c>
      <c r="AL173" s="137" t="s">
        <v>193</v>
      </c>
      <c r="AM173" s="137" t="s">
        <v>193</v>
      </c>
      <c r="AN173" s="137" t="s">
        <v>219</v>
      </c>
      <c r="AO173" s="137" t="s">
        <v>193</v>
      </c>
      <c r="AP173" s="137" t="s">
        <v>193</v>
      </c>
      <c r="AQ173" s="137" t="s">
        <v>193</v>
      </c>
      <c r="AR173" s="137" t="s">
        <v>193</v>
      </c>
      <c r="AV173" s="1">
        <f t="shared" si="22"/>
        <v>31.39</v>
      </c>
      <c r="AW173" s="1">
        <f t="shared" si="15"/>
        <v>27.8</v>
      </c>
      <c r="AX173" s="13">
        <f t="shared" si="20"/>
        <v>0.88563236699585857</v>
      </c>
      <c r="BA173" s="12">
        <f t="shared" si="16"/>
        <v>0</v>
      </c>
      <c r="BB173" s="12">
        <f t="shared" si="21"/>
        <v>0</v>
      </c>
      <c r="BC173" s="12">
        <f t="shared" si="21"/>
        <v>0</v>
      </c>
      <c r="BD173" s="12">
        <f t="shared" si="21"/>
        <v>0</v>
      </c>
      <c r="BE173" s="12">
        <f t="shared" si="17"/>
        <v>0</v>
      </c>
      <c r="BF173" s="12">
        <f t="shared" si="18"/>
        <v>0</v>
      </c>
      <c r="BJ173" s="12" t="str">
        <f t="shared" si="19"/>
        <v/>
      </c>
      <c r="BK173" s="12">
        <f>VLOOKUP(B173,Kraftvärmeprod!$B$1:$BH$549,MATCH($BA$1,Kraftvärmeprod!$B$1:$CC$1,0),FALSE)</f>
        <v>0</v>
      </c>
    </row>
    <row r="174" spans="1:63" ht="15" customHeight="1" x14ac:dyDescent="0.25">
      <c r="A174" s="137" t="s">
        <v>434</v>
      </c>
      <c r="B174" s="137" t="s">
        <v>435</v>
      </c>
      <c r="C174" s="137">
        <v>2018</v>
      </c>
      <c r="D174" s="137">
        <v>8.6</v>
      </c>
      <c r="E174" s="137">
        <v>8.6</v>
      </c>
      <c r="F174" s="137" t="s">
        <v>193</v>
      </c>
      <c r="G174" s="137">
        <v>0.2</v>
      </c>
      <c r="H174" s="137" t="s">
        <v>193</v>
      </c>
      <c r="I174" s="137" t="s">
        <v>193</v>
      </c>
      <c r="J174" s="137" t="s">
        <v>193</v>
      </c>
      <c r="K174" s="137" t="s">
        <v>193</v>
      </c>
      <c r="L174" s="137" t="s">
        <v>193</v>
      </c>
      <c r="M174" s="137" t="s">
        <v>53</v>
      </c>
      <c r="N174" s="137" t="s">
        <v>193</v>
      </c>
      <c r="O174" s="137" t="s">
        <v>193</v>
      </c>
      <c r="P174" s="137" t="s">
        <v>193</v>
      </c>
      <c r="Q174" s="137" t="s">
        <v>193</v>
      </c>
      <c r="R174" s="137" t="s">
        <v>193</v>
      </c>
      <c r="S174" s="137">
        <v>6.8</v>
      </c>
      <c r="T174" s="137" t="s">
        <v>193</v>
      </c>
      <c r="U174" s="137">
        <v>1.6</v>
      </c>
      <c r="V174" s="137" t="s">
        <v>193</v>
      </c>
      <c r="W174" s="137" t="s">
        <v>193</v>
      </c>
      <c r="X174" s="137" t="s">
        <v>193</v>
      </c>
      <c r="Y174" s="137" t="s">
        <v>193</v>
      </c>
      <c r="Z174" s="137" t="s">
        <v>193</v>
      </c>
      <c r="AA174" s="137" t="s">
        <v>193</v>
      </c>
      <c r="AB174" s="137" t="s">
        <v>193</v>
      </c>
      <c r="AC174" s="137" t="s">
        <v>193</v>
      </c>
      <c r="AD174" s="137" t="s">
        <v>193</v>
      </c>
      <c r="AE174" s="137" t="s">
        <v>53</v>
      </c>
      <c r="AF174" s="137" t="s">
        <v>193</v>
      </c>
      <c r="AG174" s="137" t="s">
        <v>193</v>
      </c>
      <c r="AH174" s="137" t="s">
        <v>193</v>
      </c>
      <c r="AI174" s="137" t="s">
        <v>193</v>
      </c>
      <c r="AJ174" s="137" t="s">
        <v>193</v>
      </c>
      <c r="AK174" s="137" t="s">
        <v>193</v>
      </c>
      <c r="AL174" s="137" t="s">
        <v>193</v>
      </c>
      <c r="AM174" s="137" t="s">
        <v>193</v>
      </c>
      <c r="AN174" s="137" t="s">
        <v>53</v>
      </c>
      <c r="AO174" s="137" t="s">
        <v>193</v>
      </c>
      <c r="AP174" s="137" t="s">
        <v>193</v>
      </c>
      <c r="AQ174" s="137" t="s">
        <v>193</v>
      </c>
      <c r="AR174" s="137" t="s">
        <v>193</v>
      </c>
      <c r="AV174" s="1">
        <f t="shared" si="22"/>
        <v>8.6</v>
      </c>
      <c r="AW174" s="1">
        <f t="shared" si="15"/>
        <v>8.6</v>
      </c>
      <c r="AX174" s="13">
        <f t="shared" si="20"/>
        <v>1</v>
      </c>
      <c r="BA174" s="12">
        <f t="shared" si="16"/>
        <v>0</v>
      </c>
      <c r="BB174" s="12">
        <f t="shared" si="21"/>
        <v>0</v>
      </c>
      <c r="BC174" s="12">
        <f t="shared" si="21"/>
        <v>0</v>
      </c>
      <c r="BD174" s="12">
        <f t="shared" si="21"/>
        <v>0</v>
      </c>
      <c r="BE174" s="12">
        <f t="shared" si="17"/>
        <v>0</v>
      </c>
      <c r="BF174" s="12">
        <f t="shared" si="18"/>
        <v>0</v>
      </c>
      <c r="BJ174" s="12" t="str">
        <f t="shared" si="19"/>
        <v/>
      </c>
      <c r="BK174" s="12">
        <f>VLOOKUP(B174,Kraftvärmeprod!$B$1:$BH$549,MATCH($BA$1,Kraftvärmeprod!$B$1:$CC$1,0),FALSE)</f>
        <v>0</v>
      </c>
    </row>
    <row r="175" spans="1:63" ht="15" customHeight="1" x14ac:dyDescent="0.25">
      <c r="A175" s="137" t="s">
        <v>434</v>
      </c>
      <c r="B175" s="137" t="s">
        <v>436</v>
      </c>
      <c r="C175" s="137">
        <v>2018</v>
      </c>
      <c r="D175" s="137">
        <v>14</v>
      </c>
      <c r="E175" s="137">
        <v>14.9</v>
      </c>
      <c r="F175" s="137" t="s">
        <v>193</v>
      </c>
      <c r="G175" s="137">
        <v>0.9</v>
      </c>
      <c r="H175" s="137" t="s">
        <v>193</v>
      </c>
      <c r="I175" s="137" t="s">
        <v>193</v>
      </c>
      <c r="J175" s="137" t="s">
        <v>193</v>
      </c>
      <c r="K175" s="137" t="s">
        <v>193</v>
      </c>
      <c r="L175" s="137" t="s">
        <v>193</v>
      </c>
      <c r="M175" s="137" t="s">
        <v>53</v>
      </c>
      <c r="N175" s="137" t="s">
        <v>193</v>
      </c>
      <c r="O175" s="137" t="s">
        <v>193</v>
      </c>
      <c r="P175" s="137">
        <v>12.8</v>
      </c>
      <c r="Q175" s="137" t="s">
        <v>193</v>
      </c>
      <c r="R175" s="137" t="s">
        <v>193</v>
      </c>
      <c r="S175" s="137" t="s">
        <v>193</v>
      </c>
      <c r="T175" s="137" t="s">
        <v>193</v>
      </c>
      <c r="U175" s="137" t="s">
        <v>193</v>
      </c>
      <c r="V175" s="137" t="s">
        <v>193</v>
      </c>
      <c r="W175" s="137" t="s">
        <v>193</v>
      </c>
      <c r="X175" s="137" t="s">
        <v>193</v>
      </c>
      <c r="Y175" s="137" t="s">
        <v>193</v>
      </c>
      <c r="Z175" s="137" t="s">
        <v>193</v>
      </c>
      <c r="AA175" s="137" t="s">
        <v>193</v>
      </c>
      <c r="AB175" s="137" t="s">
        <v>193</v>
      </c>
      <c r="AC175" s="137" t="s">
        <v>193</v>
      </c>
      <c r="AD175" s="137" t="s">
        <v>193</v>
      </c>
      <c r="AE175" s="137" t="s">
        <v>53</v>
      </c>
      <c r="AF175" s="137" t="s">
        <v>193</v>
      </c>
      <c r="AG175" s="137" t="s">
        <v>193</v>
      </c>
      <c r="AH175" s="137">
        <v>1.2</v>
      </c>
      <c r="AI175" s="137" t="s">
        <v>193</v>
      </c>
      <c r="AJ175" s="137" t="s">
        <v>193</v>
      </c>
      <c r="AK175" s="137" t="s">
        <v>193</v>
      </c>
      <c r="AL175" s="137" t="s">
        <v>193</v>
      </c>
      <c r="AM175" s="137" t="s">
        <v>193</v>
      </c>
      <c r="AN175" s="137" t="s">
        <v>53</v>
      </c>
      <c r="AO175" s="137">
        <v>100</v>
      </c>
      <c r="AP175" s="137" t="s">
        <v>193</v>
      </c>
      <c r="AQ175" s="137" t="s">
        <v>193</v>
      </c>
      <c r="AR175" s="137" t="s">
        <v>193</v>
      </c>
      <c r="AV175" s="1">
        <f t="shared" si="22"/>
        <v>14.9</v>
      </c>
      <c r="AW175" s="1">
        <f t="shared" si="15"/>
        <v>14</v>
      </c>
      <c r="AX175" s="13">
        <f t="shared" si="20"/>
        <v>0.93959731543624159</v>
      </c>
      <c r="BA175" s="12">
        <f t="shared" si="16"/>
        <v>1.2</v>
      </c>
      <c r="BB175" s="12">
        <f t="shared" si="21"/>
        <v>1.2</v>
      </c>
      <c r="BC175" s="12">
        <f t="shared" si="21"/>
        <v>0</v>
      </c>
      <c r="BD175" s="12">
        <f t="shared" si="21"/>
        <v>0</v>
      </c>
      <c r="BE175" s="12">
        <f t="shared" si="17"/>
        <v>0</v>
      </c>
      <c r="BF175" s="12">
        <f t="shared" si="18"/>
        <v>0</v>
      </c>
      <c r="BJ175" s="12" t="str">
        <f t="shared" si="19"/>
        <v/>
      </c>
      <c r="BK175" s="12">
        <f>VLOOKUP(B175,Kraftvärmeprod!$B$1:$BH$549,MATCH($BA$1,Kraftvärmeprod!$B$1:$CC$1,0),FALSE)</f>
        <v>0</v>
      </c>
    </row>
    <row r="176" spans="1:63" ht="15" customHeight="1" x14ac:dyDescent="0.25">
      <c r="A176" s="137" t="s">
        <v>434</v>
      </c>
      <c r="B176" s="137" t="s">
        <v>437</v>
      </c>
      <c r="C176" s="137">
        <v>2018</v>
      </c>
      <c r="D176" s="137">
        <v>84.8</v>
      </c>
      <c r="E176" s="137">
        <v>84.76</v>
      </c>
      <c r="F176" s="137" t="s">
        <v>193</v>
      </c>
      <c r="G176" s="137">
        <v>0.56000000000000005</v>
      </c>
      <c r="H176" s="137" t="s">
        <v>193</v>
      </c>
      <c r="I176" s="137" t="s">
        <v>193</v>
      </c>
      <c r="J176" s="137" t="s">
        <v>193</v>
      </c>
      <c r="K176" s="137" t="s">
        <v>193</v>
      </c>
      <c r="L176" s="137" t="s">
        <v>193</v>
      </c>
      <c r="M176" s="137" t="s">
        <v>53</v>
      </c>
      <c r="N176" s="137">
        <v>65.8</v>
      </c>
      <c r="O176" s="137">
        <v>7.6</v>
      </c>
      <c r="P176" s="137">
        <v>0</v>
      </c>
      <c r="Q176" s="137">
        <v>0</v>
      </c>
      <c r="R176" s="137">
        <v>0</v>
      </c>
      <c r="S176" s="137">
        <v>0</v>
      </c>
      <c r="T176" s="137" t="s">
        <v>193</v>
      </c>
      <c r="U176" s="137" t="s">
        <v>193</v>
      </c>
      <c r="V176" s="137" t="s">
        <v>193</v>
      </c>
      <c r="W176" s="137" t="s">
        <v>193</v>
      </c>
      <c r="X176" s="137" t="s">
        <v>193</v>
      </c>
      <c r="Y176" s="137" t="s">
        <v>193</v>
      </c>
      <c r="Z176" s="137" t="s">
        <v>193</v>
      </c>
      <c r="AA176" s="137" t="s">
        <v>193</v>
      </c>
      <c r="AB176" s="137" t="s">
        <v>193</v>
      </c>
      <c r="AC176" s="137" t="s">
        <v>193</v>
      </c>
      <c r="AD176" s="137" t="s">
        <v>193</v>
      </c>
      <c r="AE176" s="137" t="s">
        <v>53</v>
      </c>
      <c r="AF176" s="137" t="s">
        <v>193</v>
      </c>
      <c r="AG176" s="137" t="s">
        <v>193</v>
      </c>
      <c r="AH176" s="137">
        <v>10.8</v>
      </c>
      <c r="AI176" s="137" t="s">
        <v>193</v>
      </c>
      <c r="AJ176" s="137" t="s">
        <v>193</v>
      </c>
      <c r="AK176" s="137" t="s">
        <v>193</v>
      </c>
      <c r="AL176" s="137" t="s">
        <v>193</v>
      </c>
      <c r="AM176" s="137" t="s">
        <v>193</v>
      </c>
      <c r="AN176" s="137" t="s">
        <v>53</v>
      </c>
      <c r="AO176" s="137">
        <v>100</v>
      </c>
      <c r="AP176" s="137" t="s">
        <v>193</v>
      </c>
      <c r="AQ176" s="137" t="s">
        <v>193</v>
      </c>
      <c r="AR176" s="137" t="s">
        <v>193</v>
      </c>
      <c r="AV176" s="1">
        <f t="shared" si="22"/>
        <v>84.759999999999991</v>
      </c>
      <c r="AW176" s="1">
        <f t="shared" si="15"/>
        <v>84.8</v>
      </c>
      <c r="AX176" s="13">
        <f t="shared" si="20"/>
        <v>1.0004719207173196</v>
      </c>
      <c r="BA176" s="12">
        <f t="shared" si="16"/>
        <v>10.8</v>
      </c>
      <c r="BB176" s="12">
        <f t="shared" si="21"/>
        <v>10.8</v>
      </c>
      <c r="BC176" s="12">
        <f t="shared" si="21"/>
        <v>0</v>
      </c>
      <c r="BD176" s="12">
        <f t="shared" si="21"/>
        <v>0</v>
      </c>
      <c r="BE176" s="12">
        <f t="shared" si="17"/>
        <v>0</v>
      </c>
      <c r="BF176" s="12">
        <f t="shared" si="18"/>
        <v>0</v>
      </c>
      <c r="BJ176" s="12" t="str">
        <f t="shared" si="19"/>
        <v/>
      </c>
      <c r="BK176" s="12">
        <f>VLOOKUP(B176,Kraftvärmeprod!$B$1:$BH$549,MATCH($BA$1,Kraftvärmeprod!$B$1:$CC$1,0),FALSE)</f>
        <v>0</v>
      </c>
    </row>
    <row r="177" spans="1:63" ht="15" customHeight="1" x14ac:dyDescent="0.25">
      <c r="A177" s="137" t="s">
        <v>438</v>
      </c>
      <c r="B177" s="137" t="s">
        <v>439</v>
      </c>
      <c r="C177" s="137">
        <v>2018</v>
      </c>
      <c r="D177" s="137">
        <v>41.5</v>
      </c>
      <c r="E177" s="137">
        <v>49.2</v>
      </c>
      <c r="F177" s="137" t="s">
        <v>193</v>
      </c>
      <c r="G177" s="137">
        <v>0.2</v>
      </c>
      <c r="H177" s="137" t="s">
        <v>193</v>
      </c>
      <c r="I177" s="137">
        <v>10.1</v>
      </c>
      <c r="J177" s="137" t="s">
        <v>193</v>
      </c>
      <c r="K177" s="137">
        <v>13.6</v>
      </c>
      <c r="L177" s="137" t="s">
        <v>193</v>
      </c>
      <c r="M177" s="137" t="s">
        <v>53</v>
      </c>
      <c r="N177" s="137" t="s">
        <v>193</v>
      </c>
      <c r="O177" s="137" t="s">
        <v>193</v>
      </c>
      <c r="P177" s="137" t="s">
        <v>193</v>
      </c>
      <c r="Q177" s="137" t="s">
        <v>193</v>
      </c>
      <c r="R177" s="137" t="s">
        <v>193</v>
      </c>
      <c r="S177" s="137" t="s">
        <v>193</v>
      </c>
      <c r="T177" s="137" t="s">
        <v>193</v>
      </c>
      <c r="U177" s="137">
        <v>26.2</v>
      </c>
      <c r="V177" s="137" t="s">
        <v>193</v>
      </c>
      <c r="W177" s="137" t="s">
        <v>193</v>
      </c>
      <c r="X177" s="137" t="s">
        <v>193</v>
      </c>
      <c r="Y177" s="137" t="s">
        <v>193</v>
      </c>
      <c r="Z177" s="137">
        <v>4.7</v>
      </c>
      <c r="AA177" s="137" t="s">
        <v>193</v>
      </c>
      <c r="AB177" s="137" t="s">
        <v>193</v>
      </c>
      <c r="AC177" s="137" t="s">
        <v>193</v>
      </c>
      <c r="AD177" s="137" t="s">
        <v>193</v>
      </c>
      <c r="AE177" s="137" t="s">
        <v>199</v>
      </c>
      <c r="AF177" s="137" t="s">
        <v>193</v>
      </c>
      <c r="AG177" s="137" t="s">
        <v>193</v>
      </c>
      <c r="AH177" s="137" t="s">
        <v>193</v>
      </c>
      <c r="AI177" s="137" t="s">
        <v>193</v>
      </c>
      <c r="AJ177" s="137" t="s">
        <v>193</v>
      </c>
      <c r="AK177" s="137" t="s">
        <v>193</v>
      </c>
      <c r="AL177" s="137">
        <v>8</v>
      </c>
      <c r="AM177" s="137">
        <v>8.1</v>
      </c>
      <c r="AN177" s="137" t="s">
        <v>53</v>
      </c>
      <c r="AO177" s="137" t="s">
        <v>193</v>
      </c>
      <c r="AP177" s="137" t="s">
        <v>193</v>
      </c>
      <c r="AQ177" s="137" t="s">
        <v>193</v>
      </c>
      <c r="AR177" s="137" t="s">
        <v>193</v>
      </c>
      <c r="AV177" s="1">
        <f t="shared" si="22"/>
        <v>62.8</v>
      </c>
      <c r="AW177" s="1">
        <f t="shared" si="15"/>
        <v>41.5</v>
      </c>
      <c r="AX177" s="13">
        <f t="shared" si="20"/>
        <v>0.66082802547770703</v>
      </c>
      <c r="BA177" s="12">
        <f t="shared" si="16"/>
        <v>0</v>
      </c>
      <c r="BB177" s="12">
        <f t="shared" si="21"/>
        <v>0</v>
      </c>
      <c r="BC177" s="12">
        <f t="shared" si="21"/>
        <v>0</v>
      </c>
      <c r="BD177" s="12">
        <f t="shared" si="21"/>
        <v>0</v>
      </c>
      <c r="BE177" s="12">
        <f t="shared" si="17"/>
        <v>0</v>
      </c>
      <c r="BF177" s="12">
        <f t="shared" si="18"/>
        <v>0</v>
      </c>
      <c r="BJ177" s="12" t="str">
        <f t="shared" si="19"/>
        <v/>
      </c>
      <c r="BK177" s="12">
        <f>VLOOKUP(B177,Kraftvärmeprod!$B$1:$BH$549,MATCH($BA$1,Kraftvärmeprod!$B$1:$CC$1,0),FALSE)</f>
        <v>0</v>
      </c>
    </row>
    <row r="178" spans="1:63" ht="15" customHeight="1" x14ac:dyDescent="0.25">
      <c r="A178" s="137" t="s">
        <v>438</v>
      </c>
      <c r="B178" s="137" t="s">
        <v>440</v>
      </c>
      <c r="C178" s="137">
        <v>2018</v>
      </c>
      <c r="D178" s="137">
        <v>0.33</v>
      </c>
      <c r="E178" s="137">
        <v>0.37</v>
      </c>
      <c r="F178" s="137" t="s">
        <v>193</v>
      </c>
      <c r="G178" s="137" t="s">
        <v>193</v>
      </c>
      <c r="H178" s="137" t="s">
        <v>193</v>
      </c>
      <c r="I178" s="137" t="s">
        <v>193</v>
      </c>
      <c r="J178" s="137" t="s">
        <v>193</v>
      </c>
      <c r="K178" s="137" t="s">
        <v>193</v>
      </c>
      <c r="L178" s="137" t="s">
        <v>193</v>
      </c>
      <c r="M178" s="137" t="s">
        <v>53</v>
      </c>
      <c r="N178" s="137" t="s">
        <v>193</v>
      </c>
      <c r="O178" s="137" t="s">
        <v>193</v>
      </c>
      <c r="P178" s="137" t="s">
        <v>193</v>
      </c>
      <c r="Q178" s="137" t="s">
        <v>193</v>
      </c>
      <c r="R178" s="137" t="s">
        <v>193</v>
      </c>
      <c r="S178" s="137" t="s">
        <v>193</v>
      </c>
      <c r="T178" s="137" t="s">
        <v>193</v>
      </c>
      <c r="U178" s="137">
        <v>0.25</v>
      </c>
      <c r="V178" s="137" t="s">
        <v>193</v>
      </c>
      <c r="W178" s="137" t="s">
        <v>193</v>
      </c>
      <c r="X178" s="137" t="s">
        <v>193</v>
      </c>
      <c r="Y178" s="137" t="s">
        <v>193</v>
      </c>
      <c r="Z178" s="137">
        <v>0.05</v>
      </c>
      <c r="AA178" s="137" t="s">
        <v>193</v>
      </c>
      <c r="AB178" s="137" t="s">
        <v>193</v>
      </c>
      <c r="AC178" s="137" t="s">
        <v>193</v>
      </c>
      <c r="AD178" s="137" t="s">
        <v>193</v>
      </c>
      <c r="AE178" s="137" t="s">
        <v>53</v>
      </c>
      <c r="AF178" s="137" t="s">
        <v>193</v>
      </c>
      <c r="AG178" s="137" t="s">
        <v>193</v>
      </c>
      <c r="AH178" s="137" t="s">
        <v>193</v>
      </c>
      <c r="AI178" s="137" t="s">
        <v>193</v>
      </c>
      <c r="AJ178" s="137" t="s">
        <v>193</v>
      </c>
      <c r="AK178" s="137" t="s">
        <v>193</v>
      </c>
      <c r="AL178" s="137">
        <v>7.0000000000000007E-2</v>
      </c>
      <c r="AM178" s="137">
        <v>7.0000000000000007E-2</v>
      </c>
      <c r="AN178" s="137" t="s">
        <v>53</v>
      </c>
      <c r="AO178" s="137" t="s">
        <v>193</v>
      </c>
      <c r="AP178" s="137" t="s">
        <v>193</v>
      </c>
      <c r="AQ178" s="137" t="s">
        <v>193</v>
      </c>
      <c r="AR178" s="137" t="s">
        <v>193</v>
      </c>
      <c r="AV178" s="1">
        <f t="shared" si="22"/>
        <v>0.37</v>
      </c>
      <c r="AW178" s="1">
        <f t="shared" si="15"/>
        <v>0.33</v>
      </c>
      <c r="AX178" s="13">
        <f t="shared" si="20"/>
        <v>0.891891891891892</v>
      </c>
      <c r="BA178" s="12">
        <f t="shared" si="16"/>
        <v>0</v>
      </c>
      <c r="BB178" s="12">
        <f t="shared" si="21"/>
        <v>0</v>
      </c>
      <c r="BC178" s="12">
        <f t="shared" si="21"/>
        <v>0</v>
      </c>
      <c r="BD178" s="12">
        <f t="shared" si="21"/>
        <v>0</v>
      </c>
      <c r="BE178" s="12">
        <f t="shared" si="17"/>
        <v>0</v>
      </c>
      <c r="BF178" s="12">
        <f t="shared" si="18"/>
        <v>0</v>
      </c>
      <c r="BJ178" s="12" t="str">
        <f t="shared" si="19"/>
        <v/>
      </c>
      <c r="BK178" s="12">
        <f>VLOOKUP(B178,Kraftvärmeprod!$B$1:$BH$549,MATCH($BA$1,Kraftvärmeprod!$B$1:$CC$1,0),FALSE)</f>
        <v>0</v>
      </c>
    </row>
    <row r="179" spans="1:63" ht="15" customHeight="1" x14ac:dyDescent="0.25">
      <c r="A179" s="137" t="s">
        <v>438</v>
      </c>
      <c r="B179" s="137" t="s">
        <v>441</v>
      </c>
      <c r="C179" s="137">
        <v>2018</v>
      </c>
      <c r="D179" s="137">
        <v>26.6</v>
      </c>
      <c r="E179" s="137">
        <v>31.2</v>
      </c>
      <c r="F179" s="137" t="s">
        <v>193</v>
      </c>
      <c r="G179" s="137">
        <v>1.4</v>
      </c>
      <c r="H179" s="137" t="s">
        <v>193</v>
      </c>
      <c r="I179" s="137" t="s">
        <v>193</v>
      </c>
      <c r="J179" s="137" t="s">
        <v>193</v>
      </c>
      <c r="K179" s="137" t="s">
        <v>193</v>
      </c>
      <c r="L179" s="137" t="s">
        <v>193</v>
      </c>
      <c r="M179" s="137" t="s">
        <v>53</v>
      </c>
      <c r="N179" s="137" t="s">
        <v>193</v>
      </c>
      <c r="O179" s="137" t="s">
        <v>193</v>
      </c>
      <c r="P179" s="137">
        <v>12</v>
      </c>
      <c r="Q179" s="137" t="s">
        <v>193</v>
      </c>
      <c r="R179" s="137" t="s">
        <v>193</v>
      </c>
      <c r="S179" s="137" t="s">
        <v>193</v>
      </c>
      <c r="T179" s="137" t="s">
        <v>194</v>
      </c>
      <c r="U179" s="137">
        <v>17.8</v>
      </c>
      <c r="V179" s="137" t="s">
        <v>193</v>
      </c>
      <c r="W179" s="137" t="s">
        <v>193</v>
      </c>
      <c r="X179" s="137" t="s">
        <v>193</v>
      </c>
      <c r="Y179" s="137" t="s">
        <v>193</v>
      </c>
      <c r="Z179" s="137" t="s">
        <v>193</v>
      </c>
      <c r="AA179" s="137" t="s">
        <v>193</v>
      </c>
      <c r="AB179" s="137" t="s">
        <v>193</v>
      </c>
      <c r="AC179" s="137" t="s">
        <v>193</v>
      </c>
      <c r="AD179" s="137" t="s">
        <v>193</v>
      </c>
      <c r="AE179" s="137" t="s">
        <v>53</v>
      </c>
      <c r="AF179" s="137" t="s">
        <v>193</v>
      </c>
      <c r="AG179" s="137" t="s">
        <v>193</v>
      </c>
      <c r="AH179" s="137" t="s">
        <v>193</v>
      </c>
      <c r="AI179" s="137" t="s">
        <v>193</v>
      </c>
      <c r="AJ179" s="137" t="s">
        <v>193</v>
      </c>
      <c r="AK179" s="137" t="s">
        <v>193</v>
      </c>
      <c r="AL179" s="137" t="s">
        <v>193</v>
      </c>
      <c r="AM179" s="137" t="s">
        <v>193</v>
      </c>
      <c r="AN179" s="137" t="s">
        <v>53</v>
      </c>
      <c r="AO179" s="137" t="s">
        <v>193</v>
      </c>
      <c r="AP179" s="137" t="s">
        <v>193</v>
      </c>
      <c r="AQ179" s="137" t="s">
        <v>193</v>
      </c>
      <c r="AR179" s="137" t="s">
        <v>193</v>
      </c>
      <c r="AV179" s="1">
        <f t="shared" si="22"/>
        <v>31.200000000000003</v>
      </c>
      <c r="AW179" s="1">
        <f t="shared" si="15"/>
        <v>26.6</v>
      </c>
      <c r="AX179" s="13">
        <f t="shared" si="20"/>
        <v>0.85256410256410253</v>
      </c>
      <c r="BA179" s="12">
        <f t="shared" si="16"/>
        <v>0</v>
      </c>
      <c r="BB179" s="12">
        <f t="shared" si="21"/>
        <v>0</v>
      </c>
      <c r="BC179" s="12">
        <f t="shared" si="21"/>
        <v>0</v>
      </c>
      <c r="BD179" s="12">
        <f t="shared" si="21"/>
        <v>0</v>
      </c>
      <c r="BE179" s="12">
        <f t="shared" si="17"/>
        <v>0</v>
      </c>
      <c r="BF179" s="12">
        <f t="shared" si="18"/>
        <v>0</v>
      </c>
      <c r="BJ179" s="12" t="str">
        <f t="shared" si="19"/>
        <v/>
      </c>
      <c r="BK179" s="12">
        <f>VLOOKUP(B179,Kraftvärmeprod!$B$1:$BH$549,MATCH($BA$1,Kraftvärmeprod!$B$1:$CC$1,0),FALSE)</f>
        <v>0</v>
      </c>
    </row>
    <row r="180" spans="1:63" ht="15" customHeight="1" x14ac:dyDescent="0.25">
      <c r="A180" s="137" t="s">
        <v>442</v>
      </c>
      <c r="B180" s="137" t="s">
        <v>443</v>
      </c>
      <c r="C180" s="137">
        <v>2018</v>
      </c>
      <c r="D180" s="137">
        <v>32</v>
      </c>
      <c r="E180" s="137">
        <v>33.03</v>
      </c>
      <c r="F180" s="137" t="s">
        <v>193</v>
      </c>
      <c r="G180" s="137">
        <v>0.13</v>
      </c>
      <c r="H180" s="137" t="s">
        <v>193</v>
      </c>
      <c r="I180" s="137" t="s">
        <v>193</v>
      </c>
      <c r="J180" s="137" t="s">
        <v>193</v>
      </c>
      <c r="K180" s="137" t="s">
        <v>193</v>
      </c>
      <c r="L180" s="137" t="s">
        <v>193</v>
      </c>
      <c r="M180" s="137" t="s">
        <v>53</v>
      </c>
      <c r="N180" s="137" t="s">
        <v>193</v>
      </c>
      <c r="O180" s="137" t="s">
        <v>193</v>
      </c>
      <c r="P180" s="137">
        <v>29.1</v>
      </c>
      <c r="Q180" s="137" t="s">
        <v>193</v>
      </c>
      <c r="R180" s="137" t="s">
        <v>193</v>
      </c>
      <c r="S180" s="137" t="s">
        <v>193</v>
      </c>
      <c r="T180" s="137" t="s">
        <v>194</v>
      </c>
      <c r="U180" s="137" t="s">
        <v>193</v>
      </c>
      <c r="V180" s="137" t="s">
        <v>193</v>
      </c>
      <c r="W180" s="137" t="s">
        <v>193</v>
      </c>
      <c r="X180" s="137" t="s">
        <v>193</v>
      </c>
      <c r="Y180" s="137" t="s">
        <v>193</v>
      </c>
      <c r="Z180" s="137" t="s">
        <v>193</v>
      </c>
      <c r="AA180" s="137" t="s">
        <v>193</v>
      </c>
      <c r="AB180" s="137" t="s">
        <v>193</v>
      </c>
      <c r="AC180" s="137" t="s">
        <v>193</v>
      </c>
      <c r="AD180" s="137" t="s">
        <v>193</v>
      </c>
      <c r="AE180" s="137" t="s">
        <v>53</v>
      </c>
      <c r="AF180" s="137" t="s">
        <v>193</v>
      </c>
      <c r="AG180" s="137" t="s">
        <v>193</v>
      </c>
      <c r="AH180" s="137">
        <v>3.8</v>
      </c>
      <c r="AI180" s="137" t="s">
        <v>193</v>
      </c>
      <c r="AJ180" s="137" t="s">
        <v>193</v>
      </c>
      <c r="AK180" s="137" t="s">
        <v>193</v>
      </c>
      <c r="AL180" s="137" t="s">
        <v>193</v>
      </c>
      <c r="AM180" s="137" t="s">
        <v>193</v>
      </c>
      <c r="AN180" s="137" t="s">
        <v>53</v>
      </c>
      <c r="AO180" s="137">
        <v>100</v>
      </c>
      <c r="AP180" s="137" t="s">
        <v>193</v>
      </c>
      <c r="AQ180" s="137" t="s">
        <v>193</v>
      </c>
      <c r="AR180" s="137" t="s">
        <v>193</v>
      </c>
      <c r="AV180" s="1">
        <f t="shared" si="22"/>
        <v>33.03</v>
      </c>
      <c r="AW180" s="1">
        <f t="shared" si="15"/>
        <v>32</v>
      </c>
      <c r="AX180" s="13">
        <f t="shared" si="20"/>
        <v>0.96881622767181352</v>
      </c>
      <c r="BA180" s="12">
        <f t="shared" si="16"/>
        <v>3.8</v>
      </c>
      <c r="BB180" s="12">
        <f t="shared" si="21"/>
        <v>3.8</v>
      </c>
      <c r="BC180" s="12">
        <f t="shared" si="21"/>
        <v>0</v>
      </c>
      <c r="BD180" s="12">
        <f t="shared" si="21"/>
        <v>0</v>
      </c>
      <c r="BE180" s="12">
        <f t="shared" si="17"/>
        <v>0</v>
      </c>
      <c r="BF180" s="12">
        <f t="shared" si="18"/>
        <v>0</v>
      </c>
      <c r="BJ180" s="12" t="str">
        <f t="shared" si="19"/>
        <v/>
      </c>
      <c r="BK180" s="12">
        <f>VLOOKUP(B180,Kraftvärmeprod!$B$1:$BH$549,MATCH($BA$1,Kraftvärmeprod!$B$1:$CC$1,0),FALSE)</f>
        <v>0</v>
      </c>
    </row>
    <row r="181" spans="1:63" ht="15" customHeight="1" x14ac:dyDescent="0.25">
      <c r="A181" s="137" t="s">
        <v>444</v>
      </c>
      <c r="B181" s="137" t="s">
        <v>445</v>
      </c>
      <c r="C181" s="137">
        <v>2018</v>
      </c>
      <c r="D181" s="137">
        <v>42.7</v>
      </c>
      <c r="E181" s="137">
        <v>54.627000000000002</v>
      </c>
      <c r="F181" s="137" t="s">
        <v>193</v>
      </c>
      <c r="G181" s="137">
        <v>0.82699999999999996</v>
      </c>
      <c r="H181" s="137" t="s">
        <v>193</v>
      </c>
      <c r="I181" s="137" t="s">
        <v>193</v>
      </c>
      <c r="J181" s="137" t="s">
        <v>193</v>
      </c>
      <c r="K181" s="137" t="s">
        <v>193</v>
      </c>
      <c r="L181" s="137" t="s">
        <v>193</v>
      </c>
      <c r="M181" s="137" t="s">
        <v>53</v>
      </c>
      <c r="N181" s="137">
        <v>23.3</v>
      </c>
      <c r="O181" s="137">
        <v>2.2000000000000002</v>
      </c>
      <c r="P181" s="137">
        <v>17.8</v>
      </c>
      <c r="Q181" s="137">
        <v>0</v>
      </c>
      <c r="R181" s="137">
        <v>0</v>
      </c>
      <c r="S181" s="137">
        <v>0</v>
      </c>
      <c r="T181" s="137" t="s">
        <v>193</v>
      </c>
      <c r="U181" s="137" t="s">
        <v>193</v>
      </c>
      <c r="V181" s="137">
        <v>4.71</v>
      </c>
      <c r="W181" s="137" t="s">
        <v>193</v>
      </c>
      <c r="X181" s="137" t="s">
        <v>193</v>
      </c>
      <c r="Y181" s="137" t="s">
        <v>193</v>
      </c>
      <c r="Z181" s="137" t="s">
        <v>193</v>
      </c>
      <c r="AA181" s="137" t="s">
        <v>193</v>
      </c>
      <c r="AB181" s="137" t="s">
        <v>193</v>
      </c>
      <c r="AC181" s="137" t="s">
        <v>193</v>
      </c>
      <c r="AD181" s="137" t="s">
        <v>193</v>
      </c>
      <c r="AE181" s="137" t="s">
        <v>199</v>
      </c>
      <c r="AF181" s="137" t="s">
        <v>193</v>
      </c>
      <c r="AG181" s="137" t="s">
        <v>193</v>
      </c>
      <c r="AH181" s="137">
        <v>5.79</v>
      </c>
      <c r="AI181" s="137" t="s">
        <v>193</v>
      </c>
      <c r="AJ181" s="137" t="s">
        <v>193</v>
      </c>
      <c r="AK181" s="137" t="s">
        <v>193</v>
      </c>
      <c r="AL181" s="137" t="s">
        <v>193</v>
      </c>
      <c r="AM181" s="137" t="s">
        <v>193</v>
      </c>
      <c r="AN181" s="137" t="s">
        <v>53</v>
      </c>
      <c r="AO181" s="137">
        <v>100</v>
      </c>
      <c r="AP181" s="137">
        <v>0</v>
      </c>
      <c r="AQ181" s="137">
        <v>0</v>
      </c>
      <c r="AR181" s="137">
        <v>0</v>
      </c>
      <c r="AV181" s="1">
        <f t="shared" si="22"/>
        <v>54.627000000000002</v>
      </c>
      <c r="AW181" s="1">
        <f t="shared" si="15"/>
        <v>42.7</v>
      </c>
      <c r="AX181" s="13">
        <f t="shared" si="20"/>
        <v>0.7816647445402457</v>
      </c>
      <c r="BA181" s="12">
        <f t="shared" si="16"/>
        <v>5.79</v>
      </c>
      <c r="BB181" s="12">
        <f t="shared" si="21"/>
        <v>5.79</v>
      </c>
      <c r="BC181" s="12">
        <f t="shared" si="21"/>
        <v>0</v>
      </c>
      <c r="BD181" s="12">
        <f t="shared" si="21"/>
        <v>0</v>
      </c>
      <c r="BE181" s="12">
        <f t="shared" si="17"/>
        <v>0</v>
      </c>
      <c r="BF181" s="12">
        <f t="shared" si="18"/>
        <v>0</v>
      </c>
      <c r="BJ181" s="12" t="str">
        <f t="shared" si="19"/>
        <v/>
      </c>
      <c r="BK181" s="12">
        <f>VLOOKUP(B181,Kraftvärmeprod!$B$1:$BH$549,MATCH($BA$1,Kraftvärmeprod!$B$1:$CC$1,0),FALSE)</f>
        <v>12</v>
      </c>
    </row>
    <row r="182" spans="1:63" ht="15" customHeight="1" x14ac:dyDescent="0.25">
      <c r="A182" s="137" t="s">
        <v>444</v>
      </c>
      <c r="B182" s="137" t="s">
        <v>446</v>
      </c>
      <c r="C182" s="137">
        <v>2018</v>
      </c>
      <c r="D182" s="137">
        <v>1.35</v>
      </c>
      <c r="E182" s="137">
        <v>1.5259</v>
      </c>
      <c r="F182" s="137" t="s">
        <v>193</v>
      </c>
      <c r="G182" s="137">
        <v>8.8999999999999999E-3</v>
      </c>
      <c r="H182" s="137" t="s">
        <v>193</v>
      </c>
      <c r="I182" s="137" t="s">
        <v>193</v>
      </c>
      <c r="J182" s="137" t="s">
        <v>193</v>
      </c>
      <c r="K182" s="137" t="s">
        <v>193</v>
      </c>
      <c r="L182" s="137" t="s">
        <v>193</v>
      </c>
      <c r="M182" s="137" t="s">
        <v>53</v>
      </c>
      <c r="N182" s="137" t="s">
        <v>193</v>
      </c>
      <c r="O182" s="137" t="s">
        <v>193</v>
      </c>
      <c r="P182" s="137" t="s">
        <v>193</v>
      </c>
      <c r="Q182" s="137" t="s">
        <v>193</v>
      </c>
      <c r="R182" s="137" t="s">
        <v>193</v>
      </c>
      <c r="S182" s="137" t="s">
        <v>193</v>
      </c>
      <c r="T182" s="137" t="s">
        <v>194</v>
      </c>
      <c r="U182" s="137" t="s">
        <v>193</v>
      </c>
      <c r="V182" s="137">
        <v>1.5169999999999999</v>
      </c>
      <c r="W182" s="137" t="s">
        <v>193</v>
      </c>
      <c r="X182" s="137" t="s">
        <v>193</v>
      </c>
      <c r="Y182" s="137" t="s">
        <v>193</v>
      </c>
      <c r="Z182" s="137" t="s">
        <v>193</v>
      </c>
      <c r="AA182" s="137" t="s">
        <v>193</v>
      </c>
      <c r="AB182" s="137" t="s">
        <v>193</v>
      </c>
      <c r="AC182" s="137" t="s">
        <v>193</v>
      </c>
      <c r="AD182" s="137" t="s">
        <v>193</v>
      </c>
      <c r="AE182" s="137" t="s">
        <v>199</v>
      </c>
      <c r="AF182" s="137" t="s">
        <v>193</v>
      </c>
      <c r="AG182" s="137" t="s">
        <v>193</v>
      </c>
      <c r="AH182" s="137" t="s">
        <v>193</v>
      </c>
      <c r="AI182" s="137" t="s">
        <v>193</v>
      </c>
      <c r="AJ182" s="137" t="s">
        <v>193</v>
      </c>
      <c r="AK182" s="137" t="s">
        <v>193</v>
      </c>
      <c r="AL182" s="137" t="s">
        <v>193</v>
      </c>
      <c r="AM182" s="137" t="s">
        <v>193</v>
      </c>
      <c r="AN182" s="137" t="s">
        <v>53</v>
      </c>
      <c r="AO182" s="137" t="s">
        <v>193</v>
      </c>
      <c r="AP182" s="137" t="s">
        <v>193</v>
      </c>
      <c r="AQ182" s="137" t="s">
        <v>193</v>
      </c>
      <c r="AR182" s="137" t="s">
        <v>193</v>
      </c>
      <c r="AV182" s="1">
        <f t="shared" si="22"/>
        <v>1.5258999999999998</v>
      </c>
      <c r="AW182" s="1">
        <f t="shared" si="15"/>
        <v>1.35</v>
      </c>
      <c r="AX182" s="13">
        <f t="shared" si="20"/>
        <v>0.88472376957860954</v>
      </c>
      <c r="BA182" s="12">
        <f t="shared" si="16"/>
        <v>0</v>
      </c>
      <c r="BB182" s="12">
        <f t="shared" si="21"/>
        <v>0</v>
      </c>
      <c r="BC182" s="12">
        <f t="shared" si="21"/>
        <v>0</v>
      </c>
      <c r="BD182" s="12">
        <f t="shared" si="21"/>
        <v>0</v>
      </c>
      <c r="BE182" s="12">
        <f t="shared" si="17"/>
        <v>0</v>
      </c>
      <c r="BF182" s="12">
        <f t="shared" si="18"/>
        <v>0</v>
      </c>
      <c r="BJ182" s="12" t="str">
        <f t="shared" si="19"/>
        <v/>
      </c>
      <c r="BK182" s="12">
        <f>VLOOKUP(B182,Kraftvärmeprod!$B$1:$BH$549,MATCH($BA$1,Kraftvärmeprod!$B$1:$CC$1,0),FALSE)</f>
        <v>0</v>
      </c>
    </row>
    <row r="183" spans="1:63" ht="15" customHeight="1" x14ac:dyDescent="0.25">
      <c r="A183" s="137" t="s">
        <v>447</v>
      </c>
      <c r="B183" s="137" t="s">
        <v>448</v>
      </c>
      <c r="C183" s="137">
        <v>2018</v>
      </c>
      <c r="D183" s="137">
        <v>40.799999999999997</v>
      </c>
      <c r="E183" s="137">
        <v>44.637</v>
      </c>
      <c r="F183" s="137" t="s">
        <v>193</v>
      </c>
      <c r="G183" s="137">
        <v>0.73699999999999999</v>
      </c>
      <c r="H183" s="137" t="s">
        <v>193</v>
      </c>
      <c r="I183" s="137" t="s">
        <v>193</v>
      </c>
      <c r="J183" s="137" t="s">
        <v>193</v>
      </c>
      <c r="K183" s="137" t="s">
        <v>193</v>
      </c>
      <c r="L183" s="137" t="s">
        <v>193</v>
      </c>
      <c r="M183" s="137" t="s">
        <v>53</v>
      </c>
      <c r="N183" s="137">
        <v>25.3</v>
      </c>
      <c r="O183" s="137">
        <v>5.3</v>
      </c>
      <c r="P183" s="137">
        <v>8</v>
      </c>
      <c r="Q183" s="137">
        <v>5.3</v>
      </c>
      <c r="R183" s="137" t="s">
        <v>193</v>
      </c>
      <c r="S183" s="137" t="s">
        <v>193</v>
      </c>
      <c r="T183" s="137" t="s">
        <v>194</v>
      </c>
      <c r="U183" s="137" t="s">
        <v>193</v>
      </c>
      <c r="V183" s="137" t="s">
        <v>193</v>
      </c>
      <c r="W183" s="137" t="s">
        <v>193</v>
      </c>
      <c r="X183" s="137" t="s">
        <v>193</v>
      </c>
      <c r="Y183" s="137" t="s">
        <v>193</v>
      </c>
      <c r="Z183" s="137" t="s">
        <v>193</v>
      </c>
      <c r="AA183" s="137" t="s">
        <v>193</v>
      </c>
      <c r="AB183" s="137" t="s">
        <v>193</v>
      </c>
      <c r="AC183" s="137" t="s">
        <v>193</v>
      </c>
      <c r="AD183" s="137" t="s">
        <v>193</v>
      </c>
      <c r="AE183" s="137" t="s">
        <v>53</v>
      </c>
      <c r="AF183" s="137" t="s">
        <v>193</v>
      </c>
      <c r="AG183" s="137" t="s">
        <v>193</v>
      </c>
      <c r="AH183" s="137" t="s">
        <v>193</v>
      </c>
      <c r="AI183" s="137" t="s">
        <v>193</v>
      </c>
      <c r="AJ183" s="137" t="s">
        <v>193</v>
      </c>
      <c r="AK183" s="137" t="s">
        <v>193</v>
      </c>
      <c r="AL183" s="137" t="s">
        <v>193</v>
      </c>
      <c r="AM183" s="137" t="s">
        <v>193</v>
      </c>
      <c r="AN183" s="137" t="s">
        <v>53</v>
      </c>
      <c r="AO183" s="137" t="s">
        <v>193</v>
      </c>
      <c r="AP183" s="137" t="s">
        <v>193</v>
      </c>
      <c r="AQ183" s="137" t="s">
        <v>193</v>
      </c>
      <c r="AR183" s="137" t="s">
        <v>193</v>
      </c>
      <c r="AV183" s="1">
        <f t="shared" si="22"/>
        <v>44.637</v>
      </c>
      <c r="AW183" s="1">
        <f t="shared" si="15"/>
        <v>40.799999999999997</v>
      </c>
      <c r="AX183" s="13">
        <f t="shared" si="20"/>
        <v>0.91403992203777129</v>
      </c>
      <c r="BA183" s="12">
        <f t="shared" si="16"/>
        <v>0</v>
      </c>
      <c r="BB183" s="12">
        <f t="shared" si="21"/>
        <v>0</v>
      </c>
      <c r="BC183" s="12">
        <f t="shared" si="21"/>
        <v>0</v>
      </c>
      <c r="BD183" s="12">
        <f t="shared" si="21"/>
        <v>0</v>
      </c>
      <c r="BE183" s="12">
        <f t="shared" si="17"/>
        <v>0</v>
      </c>
      <c r="BF183" s="12">
        <f t="shared" si="18"/>
        <v>0</v>
      </c>
      <c r="BJ183" s="12" t="str">
        <f t="shared" si="19"/>
        <v/>
      </c>
      <c r="BK183" s="12">
        <f>VLOOKUP(B183,Kraftvärmeprod!$B$1:$BH$549,MATCH($BA$1,Kraftvärmeprod!$B$1:$CC$1,0),FALSE)</f>
        <v>0</v>
      </c>
    </row>
    <row r="184" spans="1:63" ht="15" customHeight="1" x14ac:dyDescent="0.25">
      <c r="A184" s="137" t="s">
        <v>449</v>
      </c>
      <c r="B184" s="137" t="s">
        <v>450</v>
      </c>
      <c r="C184" s="137">
        <v>2018</v>
      </c>
      <c r="D184" s="137">
        <v>21.3</v>
      </c>
      <c r="E184" s="137">
        <v>26.4</v>
      </c>
      <c r="F184" s="137" t="s">
        <v>193</v>
      </c>
      <c r="G184" s="137">
        <v>0</v>
      </c>
      <c r="H184" s="137" t="s">
        <v>193</v>
      </c>
      <c r="I184" s="137" t="s">
        <v>193</v>
      </c>
      <c r="J184" s="137" t="s">
        <v>193</v>
      </c>
      <c r="K184" s="137" t="s">
        <v>193</v>
      </c>
      <c r="L184" s="137" t="s">
        <v>193</v>
      </c>
      <c r="M184" s="137" t="s">
        <v>219</v>
      </c>
      <c r="N184" s="137" t="s">
        <v>193</v>
      </c>
      <c r="O184" s="137" t="s">
        <v>193</v>
      </c>
      <c r="P184" s="137">
        <v>22.1</v>
      </c>
      <c r="Q184" s="137" t="s">
        <v>193</v>
      </c>
      <c r="R184" s="137" t="s">
        <v>193</v>
      </c>
      <c r="S184" s="137" t="s">
        <v>193</v>
      </c>
      <c r="T184" s="137" t="s">
        <v>194</v>
      </c>
      <c r="U184" s="137">
        <v>4.3</v>
      </c>
      <c r="V184" s="137">
        <v>0</v>
      </c>
      <c r="W184" s="137">
        <v>0</v>
      </c>
      <c r="X184" s="137">
        <v>0</v>
      </c>
      <c r="Y184" s="137">
        <v>0</v>
      </c>
      <c r="Z184" s="137">
        <v>0</v>
      </c>
      <c r="AA184" s="137">
        <v>0</v>
      </c>
      <c r="AB184" s="137" t="s">
        <v>193</v>
      </c>
      <c r="AC184" s="137" t="s">
        <v>193</v>
      </c>
      <c r="AD184" s="137" t="s">
        <v>193</v>
      </c>
      <c r="AE184" s="137" t="s">
        <v>199</v>
      </c>
      <c r="AF184" s="137" t="s">
        <v>193</v>
      </c>
      <c r="AG184" s="137" t="s">
        <v>193</v>
      </c>
      <c r="AH184" s="137" t="s">
        <v>193</v>
      </c>
      <c r="AI184" s="137" t="s">
        <v>193</v>
      </c>
      <c r="AJ184" s="137" t="s">
        <v>193</v>
      </c>
      <c r="AK184" s="137" t="s">
        <v>193</v>
      </c>
      <c r="AL184" s="137" t="s">
        <v>193</v>
      </c>
      <c r="AM184" s="137" t="s">
        <v>193</v>
      </c>
      <c r="AN184" s="137" t="s">
        <v>219</v>
      </c>
      <c r="AO184" s="137" t="s">
        <v>193</v>
      </c>
      <c r="AP184" s="137" t="s">
        <v>193</v>
      </c>
      <c r="AQ184" s="137" t="s">
        <v>193</v>
      </c>
      <c r="AR184" s="137" t="s">
        <v>193</v>
      </c>
      <c r="AV184" s="1">
        <f t="shared" si="22"/>
        <v>26.400000000000002</v>
      </c>
      <c r="AW184" s="1">
        <f t="shared" si="15"/>
        <v>21.3</v>
      </c>
      <c r="AX184" s="13">
        <f t="shared" si="20"/>
        <v>0.80681818181818177</v>
      </c>
      <c r="BA184" s="12">
        <f t="shared" si="16"/>
        <v>0</v>
      </c>
      <c r="BB184" s="12">
        <f t="shared" si="21"/>
        <v>0</v>
      </c>
      <c r="BC184" s="12">
        <f t="shared" si="21"/>
        <v>0</v>
      </c>
      <c r="BD184" s="12">
        <f t="shared" si="21"/>
        <v>0</v>
      </c>
      <c r="BE184" s="12">
        <f t="shared" si="17"/>
        <v>0</v>
      </c>
      <c r="BF184" s="12">
        <f t="shared" si="18"/>
        <v>0</v>
      </c>
      <c r="BJ184" s="12" t="str">
        <f t="shared" si="19"/>
        <v/>
      </c>
      <c r="BK184" s="12">
        <f>VLOOKUP(B184,Kraftvärmeprod!$B$1:$BH$549,MATCH($BA$1,Kraftvärmeprod!$B$1:$CC$1,0),FALSE)</f>
        <v>0</v>
      </c>
    </row>
    <row r="185" spans="1:63" ht="15" customHeight="1" x14ac:dyDescent="0.25">
      <c r="A185" s="137" t="s">
        <v>451</v>
      </c>
      <c r="B185" s="137" t="s">
        <v>452</v>
      </c>
      <c r="C185" s="137">
        <v>2018</v>
      </c>
      <c r="D185" s="137" t="s">
        <v>53</v>
      </c>
      <c r="E185" s="137" t="s">
        <v>53</v>
      </c>
      <c r="F185" s="137" t="s">
        <v>53</v>
      </c>
      <c r="G185" s="137" t="s">
        <v>53</v>
      </c>
      <c r="H185" s="137" t="s">
        <v>53</v>
      </c>
      <c r="I185" s="137" t="s">
        <v>53</v>
      </c>
      <c r="J185" s="137" t="s">
        <v>53</v>
      </c>
      <c r="K185" s="137" t="s">
        <v>53</v>
      </c>
      <c r="L185" s="137" t="s">
        <v>53</v>
      </c>
      <c r="M185" s="137" t="s">
        <v>53</v>
      </c>
      <c r="N185" s="137" t="s">
        <v>53</v>
      </c>
      <c r="O185" s="137" t="s">
        <v>53</v>
      </c>
      <c r="P185" s="137" t="s">
        <v>53</v>
      </c>
      <c r="Q185" s="137" t="s">
        <v>53</v>
      </c>
      <c r="R185" s="137" t="s">
        <v>53</v>
      </c>
      <c r="S185" s="137" t="s">
        <v>53</v>
      </c>
      <c r="T185" s="137" t="s">
        <v>53</v>
      </c>
      <c r="U185" s="137" t="s">
        <v>53</v>
      </c>
      <c r="V185" s="137" t="s">
        <v>53</v>
      </c>
      <c r="W185" s="137" t="s">
        <v>53</v>
      </c>
      <c r="X185" s="137" t="s">
        <v>53</v>
      </c>
      <c r="Y185" s="137" t="s">
        <v>53</v>
      </c>
      <c r="Z185" s="137" t="s">
        <v>53</v>
      </c>
      <c r="AA185" s="137" t="s">
        <v>53</v>
      </c>
      <c r="AB185" s="137" t="s">
        <v>53</v>
      </c>
      <c r="AC185" s="137" t="s">
        <v>53</v>
      </c>
      <c r="AD185" s="137" t="s">
        <v>53</v>
      </c>
      <c r="AE185" s="137" t="s">
        <v>53</v>
      </c>
      <c r="AF185" s="137" t="s">
        <v>53</v>
      </c>
      <c r="AG185" s="137" t="s">
        <v>53</v>
      </c>
      <c r="AH185" s="137" t="s">
        <v>53</v>
      </c>
      <c r="AI185" s="137" t="s">
        <v>53</v>
      </c>
      <c r="AJ185" s="137" t="s">
        <v>53</v>
      </c>
      <c r="AK185" s="137" t="s">
        <v>53</v>
      </c>
      <c r="AL185" s="137" t="s">
        <v>53</v>
      </c>
      <c r="AM185" s="137" t="s">
        <v>53</v>
      </c>
      <c r="AN185" s="137" t="s">
        <v>53</v>
      </c>
      <c r="AO185" s="137" t="s">
        <v>53</v>
      </c>
      <c r="AP185" s="137" t="s">
        <v>53</v>
      </c>
      <c r="AQ185" s="137" t="s">
        <v>53</v>
      </c>
      <c r="AR185" s="137" t="s">
        <v>53</v>
      </c>
      <c r="AV185" s="1">
        <f t="shared" si="22"/>
        <v>0</v>
      </c>
      <c r="AW185" s="1">
        <f t="shared" si="15"/>
        <v>0</v>
      </c>
      <c r="AX185" s="13" t="str">
        <f t="shared" si="20"/>
        <v/>
      </c>
      <c r="BA185" s="12">
        <f t="shared" si="16"/>
        <v>0</v>
      </c>
      <c r="BB185" s="12">
        <f t="shared" si="21"/>
        <v>0</v>
      </c>
      <c r="BC185" s="12">
        <f t="shared" si="21"/>
        <v>0</v>
      </c>
      <c r="BD185" s="12">
        <f t="shared" si="21"/>
        <v>0</v>
      </c>
      <c r="BE185" s="12">
        <f t="shared" si="17"/>
        <v>0</v>
      </c>
      <c r="BF185" s="12">
        <f t="shared" si="18"/>
        <v>0</v>
      </c>
      <c r="BJ185" s="12" t="str">
        <f t="shared" si="19"/>
        <v/>
      </c>
      <c r="BK185" s="12">
        <f>VLOOKUP(B185,Kraftvärmeprod!$B$1:$BH$549,MATCH($BA$1,Kraftvärmeprod!$B$1:$CC$1,0),FALSE)</f>
        <v>0</v>
      </c>
    </row>
    <row r="186" spans="1:63" ht="15" customHeight="1" x14ac:dyDescent="0.25">
      <c r="A186" s="137" t="s">
        <v>453</v>
      </c>
      <c r="B186" s="137" t="s">
        <v>454</v>
      </c>
      <c r="C186" s="137">
        <v>2018</v>
      </c>
      <c r="D186" s="137">
        <v>42.8</v>
      </c>
      <c r="E186" s="137">
        <v>50.9</v>
      </c>
      <c r="F186" s="137" t="s">
        <v>193</v>
      </c>
      <c r="G186" s="137">
        <v>0.92</v>
      </c>
      <c r="H186" s="137" t="s">
        <v>193</v>
      </c>
      <c r="I186" s="137" t="s">
        <v>193</v>
      </c>
      <c r="J186" s="137" t="s">
        <v>193</v>
      </c>
      <c r="K186" s="137" t="s">
        <v>193</v>
      </c>
      <c r="L186" s="137" t="s">
        <v>193</v>
      </c>
      <c r="M186" s="137" t="s">
        <v>219</v>
      </c>
      <c r="N186" s="137">
        <v>10.8</v>
      </c>
      <c r="O186" s="137" t="s">
        <v>193</v>
      </c>
      <c r="P186" s="137" t="s">
        <v>193</v>
      </c>
      <c r="Q186" s="137" t="s">
        <v>193</v>
      </c>
      <c r="R186" s="137" t="s">
        <v>193</v>
      </c>
      <c r="S186" s="137" t="s">
        <v>193</v>
      </c>
      <c r="T186" s="137" t="s">
        <v>194</v>
      </c>
      <c r="U186" s="137">
        <v>10.88</v>
      </c>
      <c r="V186" s="137" t="s">
        <v>193</v>
      </c>
      <c r="W186" s="137" t="s">
        <v>193</v>
      </c>
      <c r="X186" s="137">
        <v>24.6</v>
      </c>
      <c r="Y186" s="137">
        <v>0</v>
      </c>
      <c r="Z186" s="137" t="s">
        <v>193</v>
      </c>
      <c r="AA186" s="137" t="s">
        <v>193</v>
      </c>
      <c r="AB186" s="137" t="s">
        <v>193</v>
      </c>
      <c r="AC186" s="137" t="s">
        <v>193</v>
      </c>
      <c r="AD186" s="137" t="s">
        <v>193</v>
      </c>
      <c r="AE186" s="137" t="s">
        <v>199</v>
      </c>
      <c r="AF186" s="137" t="s">
        <v>193</v>
      </c>
      <c r="AG186" s="137" t="s">
        <v>193</v>
      </c>
      <c r="AH186" s="137">
        <v>3.7</v>
      </c>
      <c r="AI186" s="137" t="s">
        <v>193</v>
      </c>
      <c r="AJ186" s="137" t="s">
        <v>193</v>
      </c>
      <c r="AK186" s="137" t="s">
        <v>193</v>
      </c>
      <c r="AL186" s="137" t="s">
        <v>193</v>
      </c>
      <c r="AM186" s="137" t="s">
        <v>193</v>
      </c>
      <c r="AN186" s="137" t="s">
        <v>219</v>
      </c>
      <c r="AO186" s="137">
        <v>100</v>
      </c>
      <c r="AP186" s="137" t="s">
        <v>193</v>
      </c>
      <c r="AQ186" s="137" t="s">
        <v>193</v>
      </c>
      <c r="AR186" s="137" t="s">
        <v>193</v>
      </c>
      <c r="AV186" s="1">
        <f t="shared" si="22"/>
        <v>50.900000000000006</v>
      </c>
      <c r="AW186" s="1">
        <f t="shared" si="15"/>
        <v>42.8</v>
      </c>
      <c r="AX186" s="13">
        <f t="shared" si="20"/>
        <v>0.8408644400785853</v>
      </c>
      <c r="BA186" s="12">
        <f t="shared" si="16"/>
        <v>3.7</v>
      </c>
      <c r="BB186" s="12">
        <f t="shared" si="21"/>
        <v>3.7</v>
      </c>
      <c r="BC186" s="12">
        <f t="shared" si="21"/>
        <v>0</v>
      </c>
      <c r="BD186" s="12">
        <f t="shared" si="21"/>
        <v>0</v>
      </c>
      <c r="BE186" s="12">
        <f t="shared" si="17"/>
        <v>0</v>
      </c>
      <c r="BF186" s="12">
        <f t="shared" si="18"/>
        <v>0</v>
      </c>
      <c r="BJ186" s="12" t="str">
        <f t="shared" si="19"/>
        <v/>
      </c>
      <c r="BK186" s="12">
        <f>VLOOKUP(B186,Kraftvärmeprod!$B$1:$BH$549,MATCH($BA$1,Kraftvärmeprod!$B$1:$CC$1,0),FALSE)</f>
        <v>0</v>
      </c>
    </row>
    <row r="187" spans="1:63" ht="15" customHeight="1" x14ac:dyDescent="0.25">
      <c r="A187" s="137" t="s">
        <v>453</v>
      </c>
      <c r="B187" s="137" t="s">
        <v>126</v>
      </c>
      <c r="C187" s="137">
        <v>2018</v>
      </c>
      <c r="D187" s="137" t="s">
        <v>193</v>
      </c>
      <c r="E187" s="137" t="s">
        <v>193</v>
      </c>
      <c r="F187" s="137" t="s">
        <v>193</v>
      </c>
      <c r="G187" s="137" t="s">
        <v>193</v>
      </c>
      <c r="H187" s="137" t="s">
        <v>193</v>
      </c>
      <c r="I187" s="137" t="s">
        <v>193</v>
      </c>
      <c r="J187" s="137" t="s">
        <v>193</v>
      </c>
      <c r="K187" s="137" t="s">
        <v>193</v>
      </c>
      <c r="L187" s="137" t="s">
        <v>193</v>
      </c>
      <c r="M187" s="137" t="s">
        <v>53</v>
      </c>
      <c r="N187" s="137" t="s">
        <v>193</v>
      </c>
      <c r="O187" s="137" t="s">
        <v>193</v>
      </c>
      <c r="P187" s="137" t="s">
        <v>193</v>
      </c>
      <c r="Q187" s="137" t="s">
        <v>193</v>
      </c>
      <c r="R187" s="137" t="s">
        <v>193</v>
      </c>
      <c r="S187" s="137" t="s">
        <v>193</v>
      </c>
      <c r="T187" s="137" t="s">
        <v>193</v>
      </c>
      <c r="U187" s="137" t="s">
        <v>193</v>
      </c>
      <c r="V187" s="137" t="s">
        <v>193</v>
      </c>
      <c r="W187" s="137" t="s">
        <v>193</v>
      </c>
      <c r="X187" s="137" t="s">
        <v>193</v>
      </c>
      <c r="Y187" s="137" t="s">
        <v>193</v>
      </c>
      <c r="Z187" s="137" t="s">
        <v>193</v>
      </c>
      <c r="AA187" s="137" t="s">
        <v>193</v>
      </c>
      <c r="AB187" s="137" t="s">
        <v>193</v>
      </c>
      <c r="AC187" s="137" t="s">
        <v>193</v>
      </c>
      <c r="AD187" s="137" t="s">
        <v>193</v>
      </c>
      <c r="AE187" s="137" t="s">
        <v>199</v>
      </c>
      <c r="AF187" s="137" t="s">
        <v>193</v>
      </c>
      <c r="AG187" s="137" t="s">
        <v>193</v>
      </c>
      <c r="AH187" s="137" t="s">
        <v>193</v>
      </c>
      <c r="AI187" s="137" t="s">
        <v>193</v>
      </c>
      <c r="AJ187" s="137" t="s">
        <v>193</v>
      </c>
      <c r="AK187" s="137" t="s">
        <v>193</v>
      </c>
      <c r="AL187" s="137" t="s">
        <v>193</v>
      </c>
      <c r="AM187" s="137" t="s">
        <v>193</v>
      </c>
      <c r="AN187" s="137" t="s">
        <v>219</v>
      </c>
      <c r="AO187" s="137" t="s">
        <v>193</v>
      </c>
      <c r="AP187" s="137" t="s">
        <v>193</v>
      </c>
      <c r="AQ187" s="137" t="s">
        <v>193</v>
      </c>
      <c r="AR187" s="137" t="s">
        <v>193</v>
      </c>
      <c r="AV187" s="1">
        <f t="shared" si="22"/>
        <v>0</v>
      </c>
      <c r="AW187" s="1">
        <f t="shared" si="15"/>
        <v>0</v>
      </c>
      <c r="AX187" s="13" t="str">
        <f t="shared" si="20"/>
        <v/>
      </c>
      <c r="BA187" s="12">
        <f t="shared" si="16"/>
        <v>0</v>
      </c>
      <c r="BB187" s="12">
        <f t="shared" si="21"/>
        <v>0</v>
      </c>
      <c r="BC187" s="12">
        <f t="shared" si="21"/>
        <v>0</v>
      </c>
      <c r="BD187" s="12">
        <f t="shared" si="21"/>
        <v>0</v>
      </c>
      <c r="BE187" s="12">
        <f t="shared" si="17"/>
        <v>0</v>
      </c>
      <c r="BF187" s="12">
        <f t="shared" si="18"/>
        <v>0</v>
      </c>
      <c r="BJ187" s="12" t="str">
        <f t="shared" si="19"/>
        <v/>
      </c>
      <c r="BK187" s="12">
        <f>VLOOKUP(B187,Kraftvärmeprod!$B$1:$BH$549,MATCH($BA$1,Kraftvärmeprod!$B$1:$CC$1,0),FALSE)</f>
        <v>0</v>
      </c>
    </row>
    <row r="188" spans="1:63" ht="15" customHeight="1" x14ac:dyDescent="0.25">
      <c r="A188" s="137" t="s">
        <v>453</v>
      </c>
      <c r="B188" s="137" t="s">
        <v>455</v>
      </c>
      <c r="C188" s="137">
        <v>2018</v>
      </c>
      <c r="D188" s="137">
        <v>846.46</v>
      </c>
      <c r="E188" s="137">
        <v>931.83</v>
      </c>
      <c r="F188" s="137">
        <v>0.53</v>
      </c>
      <c r="G188" s="137">
        <v>3.02</v>
      </c>
      <c r="H188" s="137" t="s">
        <v>193</v>
      </c>
      <c r="I188" s="137">
        <v>2.66</v>
      </c>
      <c r="J188" s="137" t="s">
        <v>193</v>
      </c>
      <c r="K188" s="137" t="s">
        <v>193</v>
      </c>
      <c r="L188" s="137" t="s">
        <v>193</v>
      </c>
      <c r="M188" s="137" t="s">
        <v>53</v>
      </c>
      <c r="N188" s="137">
        <v>96.46</v>
      </c>
      <c r="O188" s="137">
        <v>53.58</v>
      </c>
      <c r="P188" s="137">
        <v>139.11000000000001</v>
      </c>
      <c r="Q188" s="137">
        <v>96.55</v>
      </c>
      <c r="R188" s="137">
        <v>4.49</v>
      </c>
      <c r="S188" s="137" t="s">
        <v>193</v>
      </c>
      <c r="T188" s="137" t="s">
        <v>379</v>
      </c>
      <c r="U188" s="137" t="s">
        <v>193</v>
      </c>
      <c r="V188" s="137" t="s">
        <v>193</v>
      </c>
      <c r="W188" s="137" t="s">
        <v>193</v>
      </c>
      <c r="X188" s="137">
        <v>144.76</v>
      </c>
      <c r="Y188" s="137">
        <v>7.48</v>
      </c>
      <c r="Z188" s="137" t="s">
        <v>193</v>
      </c>
      <c r="AA188" s="137" t="s">
        <v>193</v>
      </c>
      <c r="AB188" s="137">
        <v>73.03</v>
      </c>
      <c r="AC188" s="137">
        <v>99.97</v>
      </c>
      <c r="AD188" s="137">
        <v>3.02</v>
      </c>
      <c r="AE188" s="137" t="s">
        <v>327</v>
      </c>
      <c r="AF188" s="137">
        <v>41.6</v>
      </c>
      <c r="AG188" s="137" t="s">
        <v>193</v>
      </c>
      <c r="AH188" s="137">
        <v>196.65</v>
      </c>
      <c r="AI188" s="137">
        <v>13.47</v>
      </c>
      <c r="AJ188" s="137" t="s">
        <v>240</v>
      </c>
      <c r="AK188" s="137">
        <v>4.5199999999999996</v>
      </c>
      <c r="AL188" s="137">
        <v>7.0000000000000007E-2</v>
      </c>
      <c r="AM188" s="137">
        <v>7.0000000000000007E-2</v>
      </c>
      <c r="AN188" s="137" t="s">
        <v>53</v>
      </c>
      <c r="AO188" s="137">
        <v>36.700000000000003</v>
      </c>
      <c r="AP188" s="137">
        <v>41</v>
      </c>
      <c r="AQ188" s="137">
        <v>0</v>
      </c>
      <c r="AR188" s="137">
        <v>22.3</v>
      </c>
      <c r="AV188" s="1">
        <f t="shared" si="22"/>
        <v>931.83000000000015</v>
      </c>
      <c r="AW188" s="1">
        <f t="shared" si="15"/>
        <v>846.46</v>
      </c>
      <c r="AX188" s="13">
        <f t="shared" si="20"/>
        <v>0.90838457658585781</v>
      </c>
      <c r="BA188" s="12">
        <f t="shared" si="16"/>
        <v>196.65</v>
      </c>
      <c r="BB188" s="12">
        <f t="shared" si="21"/>
        <v>72.170550000000006</v>
      </c>
      <c r="BC188" s="12">
        <f t="shared" si="21"/>
        <v>80.626499999999993</v>
      </c>
      <c r="BD188" s="12">
        <f t="shared" si="21"/>
        <v>0</v>
      </c>
      <c r="BE188" s="12">
        <f t="shared" si="17"/>
        <v>43.85295</v>
      </c>
      <c r="BF188" s="12">
        <f t="shared" si="18"/>
        <v>0</v>
      </c>
      <c r="BJ188" s="12" t="str">
        <f t="shared" si="19"/>
        <v/>
      </c>
      <c r="BK188" s="12">
        <f>VLOOKUP(B188,Kraftvärmeprod!$B$1:$BH$549,MATCH($BA$1,Kraftvärmeprod!$B$1:$CC$1,0),FALSE)</f>
        <v>0</v>
      </c>
    </row>
    <row r="189" spans="1:63" ht="15" customHeight="1" x14ac:dyDescent="0.25">
      <c r="A189" s="137" t="s">
        <v>453</v>
      </c>
      <c r="B189" s="137" t="s">
        <v>456</v>
      </c>
      <c r="C189" s="137">
        <v>2018</v>
      </c>
      <c r="D189" s="137">
        <v>13.3973</v>
      </c>
      <c r="E189" s="137">
        <v>23.057130000000001</v>
      </c>
      <c r="F189" s="137">
        <v>0.81176000000000004</v>
      </c>
      <c r="G189" s="137">
        <v>4.7030000000000002E-2</v>
      </c>
      <c r="H189" s="137" t="s">
        <v>193</v>
      </c>
      <c r="I189" s="137" t="s">
        <v>193</v>
      </c>
      <c r="J189" s="137" t="s">
        <v>193</v>
      </c>
      <c r="K189" s="137" t="s">
        <v>193</v>
      </c>
      <c r="L189" s="137" t="s">
        <v>193</v>
      </c>
      <c r="M189" s="137" t="s">
        <v>53</v>
      </c>
      <c r="N189" s="137">
        <v>1.2901899999999999</v>
      </c>
      <c r="O189" s="137">
        <v>0.71660999999999997</v>
      </c>
      <c r="P189" s="137">
        <v>1.86069</v>
      </c>
      <c r="Q189" s="137">
        <v>1.2914399999999999</v>
      </c>
      <c r="R189" s="137">
        <v>6.0019999999999997E-2</v>
      </c>
      <c r="S189" s="137" t="s">
        <v>193</v>
      </c>
      <c r="T189" s="137" t="s">
        <v>379</v>
      </c>
      <c r="U189" s="137" t="s">
        <v>193</v>
      </c>
      <c r="V189" s="137" t="s">
        <v>193</v>
      </c>
      <c r="W189" s="137" t="s">
        <v>193</v>
      </c>
      <c r="X189" s="137">
        <v>2.0481500000000001</v>
      </c>
      <c r="Y189" s="137">
        <v>0.11765</v>
      </c>
      <c r="Z189" s="137" t="s">
        <v>193</v>
      </c>
      <c r="AA189" s="137" t="s">
        <v>193</v>
      </c>
      <c r="AB189" s="137">
        <v>0.68869999999999998</v>
      </c>
      <c r="AC189" s="137">
        <v>5.49559</v>
      </c>
      <c r="AD189" s="137" t="s">
        <v>193</v>
      </c>
      <c r="AE189" s="137" t="s">
        <v>327</v>
      </c>
      <c r="AF189" s="137">
        <v>41.6</v>
      </c>
      <c r="AG189" s="137" t="s">
        <v>193</v>
      </c>
      <c r="AH189" s="137">
        <v>8.0830500000000001</v>
      </c>
      <c r="AI189" s="137">
        <v>0.54544000000000004</v>
      </c>
      <c r="AJ189" s="137" t="s">
        <v>240</v>
      </c>
      <c r="AK189" s="137">
        <v>0.18043000000000001</v>
      </c>
      <c r="AL189" s="137">
        <v>8.0999999999999996E-4</v>
      </c>
      <c r="AM189" s="137">
        <v>8.0999999999999996E-4</v>
      </c>
      <c r="AN189" s="137" t="s">
        <v>53</v>
      </c>
      <c r="AO189" s="137">
        <v>36.090000000000003</v>
      </c>
      <c r="AP189" s="137">
        <v>41.02</v>
      </c>
      <c r="AQ189" s="137">
        <v>0</v>
      </c>
      <c r="AR189" s="137">
        <v>22.3</v>
      </c>
      <c r="AV189" s="1">
        <f t="shared" si="22"/>
        <v>23.057130000000001</v>
      </c>
      <c r="AW189" s="1">
        <f t="shared" si="15"/>
        <v>13.3973</v>
      </c>
      <c r="AX189" s="13">
        <f t="shared" si="20"/>
        <v>0.58104803156333851</v>
      </c>
      <c r="BA189" s="12">
        <f t="shared" si="16"/>
        <v>8.0830500000000001</v>
      </c>
      <c r="BB189" s="12">
        <f t="shared" si="21"/>
        <v>2.9171727450000007</v>
      </c>
      <c r="BC189" s="12">
        <f t="shared" si="21"/>
        <v>3.3156671100000001</v>
      </c>
      <c r="BD189" s="12">
        <f t="shared" si="21"/>
        <v>0</v>
      </c>
      <c r="BE189" s="12">
        <f t="shared" si="17"/>
        <v>1.8025201500000001</v>
      </c>
      <c r="BF189" s="12">
        <f t="shared" si="18"/>
        <v>4.768999499999893E-2</v>
      </c>
      <c r="BJ189" s="12" t="str">
        <f t="shared" si="19"/>
        <v/>
      </c>
      <c r="BK189" s="12">
        <f>VLOOKUP(B189,Kraftvärmeprod!$B$1:$BH$549,MATCH($BA$1,Kraftvärmeprod!$B$1:$CC$1,0),FALSE)</f>
        <v>0</v>
      </c>
    </row>
    <row r="190" spans="1:63" ht="15" customHeight="1" x14ac:dyDescent="0.25">
      <c r="A190" s="137" t="s">
        <v>457</v>
      </c>
      <c r="B190" s="137" t="s">
        <v>458</v>
      </c>
      <c r="C190" s="137">
        <v>2018</v>
      </c>
      <c r="D190" s="137">
        <v>25.2</v>
      </c>
      <c r="E190" s="137">
        <v>28.339400000000001</v>
      </c>
      <c r="F190" s="137" t="s">
        <v>193</v>
      </c>
      <c r="G190" s="137">
        <v>0.49</v>
      </c>
      <c r="H190" s="137" t="s">
        <v>193</v>
      </c>
      <c r="I190" s="137" t="s">
        <v>193</v>
      </c>
      <c r="J190" s="137" t="s">
        <v>193</v>
      </c>
      <c r="K190" s="137" t="s">
        <v>193</v>
      </c>
      <c r="L190" s="137" t="s">
        <v>193</v>
      </c>
      <c r="M190" s="137" t="s">
        <v>53</v>
      </c>
      <c r="N190" s="137">
        <v>4.6970000000000001</v>
      </c>
      <c r="O190" s="137">
        <v>16.805700000000002</v>
      </c>
      <c r="P190" s="137">
        <v>1.9484999999999999</v>
      </c>
      <c r="Q190" s="137" t="s">
        <v>193</v>
      </c>
      <c r="R190" s="137" t="s">
        <v>193</v>
      </c>
      <c r="S190" s="137" t="s">
        <v>193</v>
      </c>
      <c r="T190" s="137" t="s">
        <v>193</v>
      </c>
      <c r="U190" s="137" t="s">
        <v>193</v>
      </c>
      <c r="V190" s="137" t="s">
        <v>193</v>
      </c>
      <c r="W190" s="137" t="s">
        <v>193</v>
      </c>
      <c r="X190" s="137" t="s">
        <v>193</v>
      </c>
      <c r="Y190" s="137" t="s">
        <v>193</v>
      </c>
      <c r="Z190" s="137" t="s">
        <v>193</v>
      </c>
      <c r="AA190" s="137" t="s">
        <v>193</v>
      </c>
      <c r="AB190" s="137" t="s">
        <v>193</v>
      </c>
      <c r="AC190" s="137" t="s">
        <v>193</v>
      </c>
      <c r="AD190" s="137" t="s">
        <v>193</v>
      </c>
      <c r="AE190" s="137" t="s">
        <v>53</v>
      </c>
      <c r="AF190" s="137" t="s">
        <v>193</v>
      </c>
      <c r="AG190" s="137" t="s">
        <v>193</v>
      </c>
      <c r="AH190" s="137">
        <v>4.3982000000000001</v>
      </c>
      <c r="AI190" s="137" t="s">
        <v>193</v>
      </c>
      <c r="AJ190" s="137" t="s">
        <v>193</v>
      </c>
      <c r="AK190" s="137" t="s">
        <v>193</v>
      </c>
      <c r="AL190" s="137" t="s">
        <v>193</v>
      </c>
      <c r="AM190" s="137" t="s">
        <v>193</v>
      </c>
      <c r="AN190" s="137" t="s">
        <v>53</v>
      </c>
      <c r="AO190" s="137">
        <v>100</v>
      </c>
      <c r="AP190" s="137" t="s">
        <v>193</v>
      </c>
      <c r="AQ190" s="137" t="s">
        <v>193</v>
      </c>
      <c r="AR190" s="137" t="s">
        <v>193</v>
      </c>
      <c r="AV190" s="1">
        <f t="shared" si="22"/>
        <v>28.339400000000001</v>
      </c>
      <c r="AW190" s="1">
        <f t="shared" si="15"/>
        <v>25.2</v>
      </c>
      <c r="AX190" s="13">
        <f t="shared" si="20"/>
        <v>0.88922136671912599</v>
      </c>
      <c r="BA190" s="12">
        <f t="shared" si="16"/>
        <v>4.3982000000000001</v>
      </c>
      <c r="BB190" s="12">
        <f t="shared" si="21"/>
        <v>4.3982000000000001</v>
      </c>
      <c r="BC190" s="12">
        <f t="shared" si="21"/>
        <v>0</v>
      </c>
      <c r="BD190" s="12">
        <f t="shared" si="21"/>
        <v>0</v>
      </c>
      <c r="BE190" s="12">
        <f t="shared" si="17"/>
        <v>0</v>
      </c>
      <c r="BF190" s="12">
        <f t="shared" si="18"/>
        <v>0</v>
      </c>
      <c r="BJ190" s="12" t="str">
        <f t="shared" si="19"/>
        <v/>
      </c>
      <c r="BK190" s="12">
        <f>VLOOKUP(B190,Kraftvärmeprod!$B$1:$BH$549,MATCH($BA$1,Kraftvärmeprod!$B$1:$CC$1,0),FALSE)</f>
        <v>95.120999999999995</v>
      </c>
    </row>
    <row r="191" spans="1:63" ht="15" customHeight="1" x14ac:dyDescent="0.25">
      <c r="A191" s="137" t="s">
        <v>457</v>
      </c>
      <c r="B191" s="137" t="s">
        <v>459</v>
      </c>
      <c r="C191" s="137">
        <v>2018</v>
      </c>
      <c r="D191" s="137" t="s">
        <v>193</v>
      </c>
      <c r="E191" s="137" t="s">
        <v>193</v>
      </c>
      <c r="F191" s="137" t="s">
        <v>193</v>
      </c>
      <c r="G191" s="137" t="s">
        <v>193</v>
      </c>
      <c r="H191" s="137" t="s">
        <v>193</v>
      </c>
      <c r="I191" s="137" t="s">
        <v>193</v>
      </c>
      <c r="J191" s="137" t="s">
        <v>193</v>
      </c>
      <c r="K191" s="137" t="s">
        <v>193</v>
      </c>
      <c r="L191" s="137" t="s">
        <v>193</v>
      </c>
      <c r="M191" s="137" t="s">
        <v>53</v>
      </c>
      <c r="N191" s="137" t="s">
        <v>193</v>
      </c>
      <c r="O191" s="137" t="s">
        <v>193</v>
      </c>
      <c r="P191" s="137" t="s">
        <v>193</v>
      </c>
      <c r="Q191" s="137" t="s">
        <v>193</v>
      </c>
      <c r="R191" s="137" t="s">
        <v>193</v>
      </c>
      <c r="S191" s="137" t="s">
        <v>193</v>
      </c>
      <c r="T191" s="137" t="s">
        <v>193</v>
      </c>
      <c r="U191" s="137" t="s">
        <v>193</v>
      </c>
      <c r="V191" s="137" t="s">
        <v>193</v>
      </c>
      <c r="W191" s="137" t="s">
        <v>193</v>
      </c>
      <c r="X191" s="137" t="s">
        <v>193</v>
      </c>
      <c r="Y191" s="137" t="s">
        <v>193</v>
      </c>
      <c r="Z191" s="137" t="s">
        <v>193</v>
      </c>
      <c r="AA191" s="137" t="s">
        <v>193</v>
      </c>
      <c r="AB191" s="137" t="s">
        <v>193</v>
      </c>
      <c r="AC191" s="137" t="s">
        <v>193</v>
      </c>
      <c r="AD191" s="137" t="s">
        <v>193</v>
      </c>
      <c r="AE191" s="137" t="s">
        <v>53</v>
      </c>
      <c r="AF191" s="137" t="s">
        <v>193</v>
      </c>
      <c r="AG191" s="137" t="s">
        <v>193</v>
      </c>
      <c r="AH191" s="137" t="s">
        <v>193</v>
      </c>
      <c r="AI191" s="137" t="s">
        <v>193</v>
      </c>
      <c r="AJ191" s="137" t="s">
        <v>193</v>
      </c>
      <c r="AK191" s="137" t="s">
        <v>193</v>
      </c>
      <c r="AL191" s="137" t="s">
        <v>193</v>
      </c>
      <c r="AM191" s="137" t="s">
        <v>193</v>
      </c>
      <c r="AN191" s="137" t="s">
        <v>53</v>
      </c>
      <c r="AO191" s="137">
        <v>100</v>
      </c>
      <c r="AP191" s="137" t="s">
        <v>193</v>
      </c>
      <c r="AQ191" s="137" t="s">
        <v>193</v>
      </c>
      <c r="AR191" s="137" t="s">
        <v>193</v>
      </c>
      <c r="AV191" s="1">
        <f t="shared" si="22"/>
        <v>0</v>
      </c>
      <c r="AW191" s="1">
        <f t="shared" si="15"/>
        <v>0</v>
      </c>
      <c r="AX191" s="13" t="str">
        <f t="shared" si="20"/>
        <v/>
      </c>
      <c r="BA191" s="12">
        <f t="shared" si="16"/>
        <v>0</v>
      </c>
      <c r="BB191" s="12">
        <f t="shared" si="21"/>
        <v>0</v>
      </c>
      <c r="BC191" s="12">
        <f t="shared" si="21"/>
        <v>0</v>
      </c>
      <c r="BD191" s="12">
        <f t="shared" si="21"/>
        <v>0</v>
      </c>
      <c r="BE191" s="12">
        <f t="shared" si="17"/>
        <v>0</v>
      </c>
      <c r="BF191" s="12">
        <f t="shared" si="18"/>
        <v>0</v>
      </c>
      <c r="BJ191" s="12" t="str">
        <f t="shared" si="19"/>
        <v>ja</v>
      </c>
      <c r="BK191" s="12">
        <f>VLOOKUP(B191,Kraftvärmeprod!$B$1:$BH$549,MATCH($BA$1,Kraftvärmeprod!$B$1:$CC$1,0),FALSE)</f>
        <v>16.21</v>
      </c>
    </row>
    <row r="192" spans="1:63" ht="15" customHeight="1" x14ac:dyDescent="0.25">
      <c r="A192" s="137" t="s">
        <v>457</v>
      </c>
      <c r="B192" s="137" t="s">
        <v>460</v>
      </c>
      <c r="C192" s="137">
        <v>2018</v>
      </c>
      <c r="D192" s="137" t="s">
        <v>193</v>
      </c>
      <c r="E192" s="137" t="s">
        <v>193</v>
      </c>
      <c r="F192" s="137" t="s">
        <v>193</v>
      </c>
      <c r="G192" s="137" t="s">
        <v>193</v>
      </c>
      <c r="H192" s="137" t="s">
        <v>193</v>
      </c>
      <c r="I192" s="137" t="s">
        <v>193</v>
      </c>
      <c r="J192" s="137" t="s">
        <v>193</v>
      </c>
      <c r="K192" s="137" t="s">
        <v>193</v>
      </c>
      <c r="L192" s="137" t="s">
        <v>193</v>
      </c>
      <c r="M192" s="137" t="s">
        <v>53</v>
      </c>
      <c r="N192" s="137" t="s">
        <v>193</v>
      </c>
      <c r="O192" s="137" t="s">
        <v>193</v>
      </c>
      <c r="P192" s="137" t="s">
        <v>193</v>
      </c>
      <c r="Q192" s="137" t="s">
        <v>193</v>
      </c>
      <c r="R192" s="137" t="s">
        <v>193</v>
      </c>
      <c r="S192" s="137" t="s">
        <v>193</v>
      </c>
      <c r="T192" s="137" t="s">
        <v>193</v>
      </c>
      <c r="U192" s="137" t="s">
        <v>193</v>
      </c>
      <c r="V192" s="137" t="s">
        <v>193</v>
      </c>
      <c r="W192" s="137" t="s">
        <v>193</v>
      </c>
      <c r="X192" s="137" t="s">
        <v>193</v>
      </c>
      <c r="Y192" s="137" t="s">
        <v>193</v>
      </c>
      <c r="Z192" s="137" t="s">
        <v>193</v>
      </c>
      <c r="AA192" s="137" t="s">
        <v>193</v>
      </c>
      <c r="AB192" s="137" t="s">
        <v>193</v>
      </c>
      <c r="AC192" s="137" t="s">
        <v>193</v>
      </c>
      <c r="AD192" s="137" t="s">
        <v>193</v>
      </c>
      <c r="AE192" s="137" t="s">
        <v>53</v>
      </c>
      <c r="AF192" s="137" t="s">
        <v>193</v>
      </c>
      <c r="AG192" s="137" t="s">
        <v>193</v>
      </c>
      <c r="AH192" s="137" t="s">
        <v>193</v>
      </c>
      <c r="AI192" s="137" t="s">
        <v>193</v>
      </c>
      <c r="AJ192" s="137" t="s">
        <v>193</v>
      </c>
      <c r="AK192" s="137" t="s">
        <v>193</v>
      </c>
      <c r="AL192" s="137" t="s">
        <v>193</v>
      </c>
      <c r="AM192" s="137" t="s">
        <v>193</v>
      </c>
      <c r="AN192" s="137" t="s">
        <v>53</v>
      </c>
      <c r="AO192" s="137">
        <v>100</v>
      </c>
      <c r="AP192" s="137">
        <v>0</v>
      </c>
      <c r="AQ192" s="137">
        <v>0</v>
      </c>
      <c r="AR192" s="137">
        <v>0</v>
      </c>
      <c r="AV192" s="1">
        <f t="shared" si="22"/>
        <v>0</v>
      </c>
      <c r="AW192" s="1">
        <f t="shared" si="15"/>
        <v>0</v>
      </c>
      <c r="AX192" s="13" t="str">
        <f t="shared" si="20"/>
        <v/>
      </c>
      <c r="BA192" s="12">
        <f t="shared" si="16"/>
        <v>0</v>
      </c>
      <c r="BB192" s="12">
        <f t="shared" si="21"/>
        <v>0</v>
      </c>
      <c r="BC192" s="12">
        <f t="shared" si="21"/>
        <v>0</v>
      </c>
      <c r="BD192" s="12">
        <f t="shared" si="21"/>
        <v>0</v>
      </c>
      <c r="BE192" s="12">
        <f t="shared" si="17"/>
        <v>0</v>
      </c>
      <c r="BF192" s="12">
        <f t="shared" si="18"/>
        <v>0</v>
      </c>
      <c r="BJ192" s="12" t="str">
        <f t="shared" si="19"/>
        <v>ja</v>
      </c>
      <c r="BK192" s="12">
        <f>VLOOKUP(B192,Kraftvärmeprod!$B$1:$BH$549,MATCH($BA$1,Kraftvärmeprod!$B$1:$CC$1,0),FALSE)</f>
        <v>3.6680000000000001</v>
      </c>
    </row>
    <row r="193" spans="1:63" ht="15" customHeight="1" x14ac:dyDescent="0.25">
      <c r="A193" s="137" t="s">
        <v>461</v>
      </c>
      <c r="B193" s="137" t="s">
        <v>462</v>
      </c>
      <c r="C193" s="137">
        <v>2018</v>
      </c>
      <c r="D193" s="137">
        <v>3.3660000000000001</v>
      </c>
      <c r="E193" s="137">
        <v>3.7970000000000002</v>
      </c>
      <c r="F193" s="137" t="s">
        <v>193</v>
      </c>
      <c r="G193" s="137">
        <v>0.313</v>
      </c>
      <c r="H193" s="137" t="s">
        <v>193</v>
      </c>
      <c r="I193" s="137" t="s">
        <v>193</v>
      </c>
      <c r="J193" s="137" t="s">
        <v>193</v>
      </c>
      <c r="K193" s="137" t="s">
        <v>193</v>
      </c>
      <c r="L193" s="137" t="s">
        <v>193</v>
      </c>
      <c r="M193" s="137" t="s">
        <v>463</v>
      </c>
      <c r="N193" s="137" t="s">
        <v>193</v>
      </c>
      <c r="O193" s="137" t="s">
        <v>193</v>
      </c>
      <c r="P193" s="137" t="s">
        <v>193</v>
      </c>
      <c r="Q193" s="137" t="s">
        <v>193</v>
      </c>
      <c r="R193" s="137" t="s">
        <v>193</v>
      </c>
      <c r="S193" s="137" t="s">
        <v>193</v>
      </c>
      <c r="T193" s="137" t="s">
        <v>193</v>
      </c>
      <c r="U193" s="137">
        <v>3.484</v>
      </c>
      <c r="V193" s="137">
        <v>0</v>
      </c>
      <c r="W193" s="137">
        <v>0</v>
      </c>
      <c r="X193" s="137">
        <v>0</v>
      </c>
      <c r="Y193" s="137">
        <v>0</v>
      </c>
      <c r="Z193" s="137">
        <v>0</v>
      </c>
      <c r="AA193" s="137">
        <v>0</v>
      </c>
      <c r="AB193" s="137" t="s">
        <v>193</v>
      </c>
      <c r="AC193" s="137" t="s">
        <v>193</v>
      </c>
      <c r="AD193" s="137" t="s">
        <v>193</v>
      </c>
      <c r="AE193" s="137" t="s">
        <v>199</v>
      </c>
      <c r="AF193" s="137" t="s">
        <v>193</v>
      </c>
      <c r="AG193" s="137" t="s">
        <v>193</v>
      </c>
      <c r="AH193" s="137" t="s">
        <v>193</v>
      </c>
      <c r="AI193" s="137" t="s">
        <v>193</v>
      </c>
      <c r="AJ193" s="137" t="s">
        <v>193</v>
      </c>
      <c r="AK193" s="137" t="s">
        <v>193</v>
      </c>
      <c r="AL193" s="137" t="s">
        <v>193</v>
      </c>
      <c r="AM193" s="137" t="s">
        <v>193</v>
      </c>
      <c r="AN193" s="137" t="s">
        <v>53</v>
      </c>
      <c r="AO193" s="137" t="s">
        <v>193</v>
      </c>
      <c r="AP193" s="137" t="s">
        <v>193</v>
      </c>
      <c r="AQ193" s="137" t="s">
        <v>193</v>
      </c>
      <c r="AR193" s="137" t="s">
        <v>193</v>
      </c>
      <c r="AV193" s="1">
        <f t="shared" si="22"/>
        <v>3.7970000000000002</v>
      </c>
      <c r="AW193" s="1">
        <f t="shared" ref="AW193:AW256" si="23">IFERROR(D193/1,0)</f>
        <v>3.3660000000000001</v>
      </c>
      <c r="AX193" s="13">
        <f t="shared" si="20"/>
        <v>0.88648933368448779</v>
      </c>
      <c r="BA193" s="12">
        <f t="shared" ref="BA193:BA256" si="24">IFERROR(AH193/1,0)</f>
        <v>0</v>
      </c>
      <c r="BB193" s="12">
        <f t="shared" si="21"/>
        <v>0</v>
      </c>
      <c r="BC193" s="12">
        <f t="shared" si="21"/>
        <v>0</v>
      </c>
      <c r="BD193" s="12">
        <f t="shared" si="21"/>
        <v>0</v>
      </c>
      <c r="BE193" s="12">
        <f t="shared" si="21"/>
        <v>0</v>
      </c>
      <c r="BF193" s="12">
        <f t="shared" ref="BF193:BF256" si="25">MAX(BA193-SUM(BB193:BE193),0)</f>
        <v>0</v>
      </c>
      <c r="BJ193" s="12" t="str">
        <f t="shared" ref="BJ193:BJ256" si="26">IF(AND((IFERROR(AO193/1,0)+IFERROR(AP193/1,0)+IFERROR(AQ193/1,0)+IFERROR(AR193/1,0))&gt;0,OR(TYPE(AH193)&lt;&gt;1,AH193=0)),"ja","")</f>
        <v/>
      </c>
      <c r="BK193" s="12">
        <f>VLOOKUP(B193,Kraftvärmeprod!$B$1:$BH$549,MATCH($BA$1,Kraftvärmeprod!$B$1:$CC$1,0),FALSE)</f>
        <v>0</v>
      </c>
    </row>
    <row r="194" spans="1:63" ht="15" customHeight="1" x14ac:dyDescent="0.25">
      <c r="A194" s="137" t="s">
        <v>461</v>
      </c>
      <c r="B194" s="137" t="s">
        <v>464</v>
      </c>
      <c r="C194" s="137">
        <v>2018</v>
      </c>
      <c r="D194" s="137">
        <v>25.119</v>
      </c>
      <c r="E194" s="137">
        <v>28.423999999999999</v>
      </c>
      <c r="F194" s="137" t="s">
        <v>193</v>
      </c>
      <c r="G194" s="137">
        <v>0</v>
      </c>
      <c r="H194" s="137">
        <v>0</v>
      </c>
      <c r="I194" s="137">
        <v>0</v>
      </c>
      <c r="J194" s="137">
        <v>2.5979999999999999</v>
      </c>
      <c r="K194" s="137">
        <v>0</v>
      </c>
      <c r="L194" s="137">
        <v>0</v>
      </c>
      <c r="M194" s="137" t="s">
        <v>53</v>
      </c>
      <c r="N194" s="137">
        <v>0</v>
      </c>
      <c r="O194" s="137">
        <v>0</v>
      </c>
      <c r="P194" s="137">
        <v>25.164000000000001</v>
      </c>
      <c r="Q194" s="137">
        <v>0</v>
      </c>
      <c r="R194" s="137">
        <v>0</v>
      </c>
      <c r="S194" s="137">
        <v>0</v>
      </c>
      <c r="T194" s="137" t="s">
        <v>194</v>
      </c>
      <c r="U194" s="137">
        <v>0.66200000000000003</v>
      </c>
      <c r="V194" s="137">
        <v>0</v>
      </c>
      <c r="W194" s="137">
        <v>0</v>
      </c>
      <c r="X194" s="137">
        <v>0</v>
      </c>
      <c r="Y194" s="137">
        <v>0</v>
      </c>
      <c r="Z194" s="137">
        <v>0</v>
      </c>
      <c r="AA194" s="137">
        <v>0</v>
      </c>
      <c r="AB194" s="137" t="s">
        <v>193</v>
      </c>
      <c r="AC194" s="137" t="s">
        <v>193</v>
      </c>
      <c r="AD194" s="137" t="s">
        <v>193</v>
      </c>
      <c r="AE194" s="137" t="s">
        <v>199</v>
      </c>
      <c r="AF194" s="137" t="s">
        <v>193</v>
      </c>
      <c r="AG194" s="137" t="s">
        <v>193</v>
      </c>
      <c r="AH194" s="137" t="s">
        <v>193</v>
      </c>
      <c r="AI194" s="137" t="s">
        <v>193</v>
      </c>
      <c r="AJ194" s="137" t="s">
        <v>193</v>
      </c>
      <c r="AK194" s="137" t="s">
        <v>193</v>
      </c>
      <c r="AL194" s="137" t="s">
        <v>193</v>
      </c>
      <c r="AM194" s="137" t="s">
        <v>193</v>
      </c>
      <c r="AN194" s="137" t="s">
        <v>53</v>
      </c>
      <c r="AO194" s="137" t="s">
        <v>193</v>
      </c>
      <c r="AP194" s="137" t="s">
        <v>193</v>
      </c>
      <c r="AQ194" s="137" t="s">
        <v>193</v>
      </c>
      <c r="AR194" s="137" t="s">
        <v>193</v>
      </c>
      <c r="AV194" s="1">
        <f t="shared" si="22"/>
        <v>28.423999999999999</v>
      </c>
      <c r="AW194" s="1">
        <f t="shared" si="23"/>
        <v>25.119</v>
      </c>
      <c r="AX194" s="13">
        <f t="shared" ref="AX194:AX257" si="27">IFERROR(AW194/AV194,"")</f>
        <v>0.88372502110892204</v>
      </c>
      <c r="BA194" s="12">
        <f t="shared" si="24"/>
        <v>0</v>
      </c>
      <c r="BB194" s="12">
        <f t="shared" ref="BB194:BE257" si="28">IFERROR(AO194/100,0)*$BA194</f>
        <v>0</v>
      </c>
      <c r="BC194" s="12">
        <f t="shared" si="28"/>
        <v>0</v>
      </c>
      <c r="BD194" s="12">
        <f t="shared" si="28"/>
        <v>0</v>
      </c>
      <c r="BE194" s="12">
        <f t="shared" si="28"/>
        <v>0</v>
      </c>
      <c r="BF194" s="12">
        <f t="shared" si="25"/>
        <v>0</v>
      </c>
      <c r="BJ194" s="12" t="str">
        <f t="shared" si="26"/>
        <v/>
      </c>
      <c r="BK194" s="12">
        <f>VLOOKUP(B194,Kraftvärmeprod!$B$1:$BH$549,MATCH($BA$1,Kraftvärmeprod!$B$1:$CC$1,0),FALSE)</f>
        <v>0</v>
      </c>
    </row>
    <row r="195" spans="1:63" ht="15" customHeight="1" x14ac:dyDescent="0.25">
      <c r="A195" s="137" t="s">
        <v>461</v>
      </c>
      <c r="B195" s="137" t="s">
        <v>465</v>
      </c>
      <c r="C195" s="137">
        <v>2018</v>
      </c>
      <c r="D195" s="137">
        <v>13.628</v>
      </c>
      <c r="E195" s="137">
        <v>17.279</v>
      </c>
      <c r="F195" s="137">
        <v>0</v>
      </c>
      <c r="G195" s="137">
        <v>2.649</v>
      </c>
      <c r="H195" s="137">
        <v>0</v>
      </c>
      <c r="I195" s="137">
        <v>0</v>
      </c>
      <c r="J195" s="137">
        <v>0</v>
      </c>
      <c r="K195" s="137">
        <v>0</v>
      </c>
      <c r="L195" s="137">
        <v>0</v>
      </c>
      <c r="M195" s="137" t="s">
        <v>466</v>
      </c>
      <c r="N195" s="137">
        <v>4.63</v>
      </c>
      <c r="O195" s="137">
        <v>0</v>
      </c>
      <c r="P195" s="137">
        <v>10</v>
      </c>
      <c r="Q195" s="137">
        <v>0</v>
      </c>
      <c r="R195" s="137">
        <v>0</v>
      </c>
      <c r="S195" s="137">
        <v>0</v>
      </c>
      <c r="T195" s="137" t="s">
        <v>194</v>
      </c>
      <c r="U195" s="137" t="s">
        <v>193</v>
      </c>
      <c r="V195" s="137" t="s">
        <v>193</v>
      </c>
      <c r="W195" s="137" t="s">
        <v>193</v>
      </c>
      <c r="X195" s="137" t="s">
        <v>193</v>
      </c>
      <c r="Y195" s="137" t="s">
        <v>193</v>
      </c>
      <c r="Z195" s="137" t="s">
        <v>193</v>
      </c>
      <c r="AA195" s="137" t="s">
        <v>193</v>
      </c>
      <c r="AB195" s="137" t="s">
        <v>193</v>
      </c>
      <c r="AC195" s="137" t="s">
        <v>193</v>
      </c>
      <c r="AD195" s="137" t="s">
        <v>193</v>
      </c>
      <c r="AE195" s="137" t="s">
        <v>199</v>
      </c>
      <c r="AF195" s="137" t="s">
        <v>193</v>
      </c>
      <c r="AG195" s="137" t="s">
        <v>193</v>
      </c>
      <c r="AH195" s="137" t="s">
        <v>193</v>
      </c>
      <c r="AI195" s="137" t="s">
        <v>193</v>
      </c>
      <c r="AJ195" s="137" t="s">
        <v>193</v>
      </c>
      <c r="AK195" s="137" t="s">
        <v>193</v>
      </c>
      <c r="AL195" s="137" t="s">
        <v>193</v>
      </c>
      <c r="AM195" s="137" t="s">
        <v>193</v>
      </c>
      <c r="AN195" s="137" t="s">
        <v>53</v>
      </c>
      <c r="AO195" s="137" t="s">
        <v>193</v>
      </c>
      <c r="AP195" s="137" t="s">
        <v>193</v>
      </c>
      <c r="AQ195" s="137" t="s">
        <v>193</v>
      </c>
      <c r="AR195" s="137" t="s">
        <v>193</v>
      </c>
      <c r="AV195" s="1">
        <f t="shared" ref="AV195:AV258" si="29">SUMPRODUCT(F195:AC195)+SUMPRODUCT(AG195:AI195)+IFERROR(AL195/1,0)</f>
        <v>17.279</v>
      </c>
      <c r="AW195" s="1">
        <f t="shared" si="23"/>
        <v>13.628</v>
      </c>
      <c r="AX195" s="13">
        <f t="shared" si="27"/>
        <v>0.78870304994501994</v>
      </c>
      <c r="BA195" s="12">
        <f t="shared" si="24"/>
        <v>0</v>
      </c>
      <c r="BB195" s="12">
        <f t="shared" si="28"/>
        <v>0</v>
      </c>
      <c r="BC195" s="12">
        <f t="shared" si="28"/>
        <v>0</v>
      </c>
      <c r="BD195" s="12">
        <f t="shared" si="28"/>
        <v>0</v>
      </c>
      <c r="BE195" s="12">
        <f t="shared" si="28"/>
        <v>0</v>
      </c>
      <c r="BF195" s="12">
        <f t="shared" si="25"/>
        <v>0</v>
      </c>
      <c r="BJ195" s="12" t="str">
        <f t="shared" si="26"/>
        <v/>
      </c>
      <c r="BK195" s="12">
        <f>VLOOKUP(B195,Kraftvärmeprod!$B$1:$BH$549,MATCH($BA$1,Kraftvärmeprod!$B$1:$CC$1,0),FALSE)</f>
        <v>0</v>
      </c>
    </row>
    <row r="196" spans="1:63" ht="15" customHeight="1" x14ac:dyDescent="0.25">
      <c r="A196" s="137" t="s">
        <v>461</v>
      </c>
      <c r="B196" s="137" t="s">
        <v>101</v>
      </c>
      <c r="C196" s="137">
        <v>2018</v>
      </c>
      <c r="D196" s="137">
        <v>35.752000000000002</v>
      </c>
      <c r="E196" s="137">
        <v>45.627000000000002</v>
      </c>
      <c r="F196" s="137" t="s">
        <v>193</v>
      </c>
      <c r="G196" s="137">
        <v>0.108</v>
      </c>
      <c r="H196" s="137">
        <v>0</v>
      </c>
      <c r="I196" s="137">
        <v>0</v>
      </c>
      <c r="J196" s="137">
        <v>0</v>
      </c>
      <c r="K196" s="137">
        <v>0</v>
      </c>
      <c r="L196" s="137">
        <v>0</v>
      </c>
      <c r="M196" s="137" t="s">
        <v>53</v>
      </c>
      <c r="N196" s="137">
        <v>0</v>
      </c>
      <c r="O196" s="137">
        <v>0</v>
      </c>
      <c r="P196" s="137">
        <v>39.893999999999998</v>
      </c>
      <c r="Q196" s="137">
        <v>0</v>
      </c>
      <c r="R196" s="137">
        <v>0</v>
      </c>
      <c r="S196" s="137">
        <v>0</v>
      </c>
      <c r="T196" s="137" t="s">
        <v>194</v>
      </c>
      <c r="U196" s="137" t="s">
        <v>193</v>
      </c>
      <c r="V196" s="137" t="s">
        <v>193</v>
      </c>
      <c r="W196" s="137" t="s">
        <v>193</v>
      </c>
      <c r="X196" s="137" t="s">
        <v>193</v>
      </c>
      <c r="Y196" s="137" t="s">
        <v>193</v>
      </c>
      <c r="Z196" s="137" t="s">
        <v>193</v>
      </c>
      <c r="AA196" s="137" t="s">
        <v>193</v>
      </c>
      <c r="AB196" s="137" t="s">
        <v>193</v>
      </c>
      <c r="AC196" s="137" t="s">
        <v>193</v>
      </c>
      <c r="AD196" s="137" t="s">
        <v>193</v>
      </c>
      <c r="AE196" s="137" t="s">
        <v>199</v>
      </c>
      <c r="AF196" s="137" t="s">
        <v>193</v>
      </c>
      <c r="AG196" s="137" t="s">
        <v>193</v>
      </c>
      <c r="AH196" s="137">
        <v>5.625</v>
      </c>
      <c r="AI196" s="137" t="s">
        <v>193</v>
      </c>
      <c r="AJ196" s="137" t="s">
        <v>193</v>
      </c>
      <c r="AK196" s="137" t="s">
        <v>193</v>
      </c>
      <c r="AL196" s="137" t="s">
        <v>193</v>
      </c>
      <c r="AM196" s="137" t="s">
        <v>193</v>
      </c>
      <c r="AN196" s="137" t="s">
        <v>53</v>
      </c>
      <c r="AO196" s="137">
        <v>100</v>
      </c>
      <c r="AP196" s="137">
        <v>0</v>
      </c>
      <c r="AQ196" s="137">
        <v>0</v>
      </c>
      <c r="AR196" s="137">
        <v>0</v>
      </c>
      <c r="AV196" s="1">
        <f t="shared" si="29"/>
        <v>45.626999999999995</v>
      </c>
      <c r="AW196" s="1">
        <f t="shared" si="23"/>
        <v>35.752000000000002</v>
      </c>
      <c r="AX196" s="13">
        <f t="shared" si="27"/>
        <v>0.78357113112849863</v>
      </c>
      <c r="BA196" s="12">
        <f t="shared" si="24"/>
        <v>5.625</v>
      </c>
      <c r="BB196" s="12">
        <f t="shared" si="28"/>
        <v>5.625</v>
      </c>
      <c r="BC196" s="12">
        <f t="shared" si="28"/>
        <v>0</v>
      </c>
      <c r="BD196" s="12">
        <f t="shared" si="28"/>
        <v>0</v>
      </c>
      <c r="BE196" s="12">
        <f t="shared" si="28"/>
        <v>0</v>
      </c>
      <c r="BF196" s="12">
        <f t="shared" si="25"/>
        <v>0</v>
      </c>
      <c r="BJ196" s="12" t="str">
        <f t="shared" si="26"/>
        <v/>
      </c>
      <c r="BK196" s="12">
        <f>VLOOKUP(B196,Kraftvärmeprod!$B$1:$BH$549,MATCH($BA$1,Kraftvärmeprod!$B$1:$CC$1,0),FALSE)</f>
        <v>0</v>
      </c>
    </row>
    <row r="197" spans="1:63" ht="15" customHeight="1" x14ac:dyDescent="0.25">
      <c r="A197" s="137" t="s">
        <v>461</v>
      </c>
      <c r="B197" s="137" t="s">
        <v>103</v>
      </c>
      <c r="C197" s="137">
        <v>2018</v>
      </c>
      <c r="D197" s="137">
        <v>51.368000000000002</v>
      </c>
      <c r="E197" s="137">
        <v>63.234000000000002</v>
      </c>
      <c r="F197" s="137" t="s">
        <v>193</v>
      </c>
      <c r="G197" s="137">
        <v>0.82199999999999995</v>
      </c>
      <c r="H197" s="137">
        <v>0</v>
      </c>
      <c r="I197" s="137">
        <v>0</v>
      </c>
      <c r="J197" s="137">
        <v>0</v>
      </c>
      <c r="K197" s="137">
        <v>0</v>
      </c>
      <c r="L197" s="137">
        <v>0</v>
      </c>
      <c r="M197" s="137" t="s">
        <v>53</v>
      </c>
      <c r="N197" s="137">
        <v>0</v>
      </c>
      <c r="O197" s="137">
        <v>0</v>
      </c>
      <c r="P197" s="137">
        <v>27.856999999999999</v>
      </c>
      <c r="Q197" s="137">
        <v>0</v>
      </c>
      <c r="R197" s="137">
        <v>0</v>
      </c>
      <c r="S197" s="137">
        <v>0</v>
      </c>
      <c r="T197" s="137" t="s">
        <v>194</v>
      </c>
      <c r="U197" s="137">
        <v>9.0250000000000004</v>
      </c>
      <c r="V197" s="137">
        <v>0</v>
      </c>
      <c r="W197" s="137">
        <v>0</v>
      </c>
      <c r="X197" s="137">
        <v>0</v>
      </c>
      <c r="Y197" s="137">
        <v>0</v>
      </c>
      <c r="Z197" s="137">
        <v>0</v>
      </c>
      <c r="AA197" s="137">
        <v>0</v>
      </c>
      <c r="AB197" s="137">
        <v>19.849</v>
      </c>
      <c r="AC197" s="137" t="s">
        <v>193</v>
      </c>
      <c r="AD197" s="137" t="s">
        <v>193</v>
      </c>
      <c r="AE197" s="137" t="s">
        <v>199</v>
      </c>
      <c r="AF197" s="137" t="s">
        <v>193</v>
      </c>
      <c r="AG197" s="137">
        <v>0</v>
      </c>
      <c r="AH197" s="137">
        <v>5.681</v>
      </c>
      <c r="AI197" s="137">
        <v>0</v>
      </c>
      <c r="AJ197" s="137" t="s">
        <v>193</v>
      </c>
      <c r="AK197" s="137" t="s">
        <v>193</v>
      </c>
      <c r="AL197" s="137" t="s">
        <v>193</v>
      </c>
      <c r="AM197" s="137" t="s">
        <v>193</v>
      </c>
      <c r="AN197" s="137" t="s">
        <v>467</v>
      </c>
      <c r="AO197" s="137">
        <v>58</v>
      </c>
      <c r="AP197" s="137" t="s">
        <v>193</v>
      </c>
      <c r="AQ197" s="137" t="s">
        <v>193</v>
      </c>
      <c r="AR197" s="137">
        <v>42</v>
      </c>
      <c r="AV197" s="1">
        <f t="shared" si="29"/>
        <v>63.233999999999995</v>
      </c>
      <c r="AW197" s="1">
        <f t="shared" si="23"/>
        <v>51.368000000000002</v>
      </c>
      <c r="AX197" s="13">
        <f t="shared" si="27"/>
        <v>0.81234778758262971</v>
      </c>
      <c r="BA197" s="12">
        <f t="shared" si="24"/>
        <v>5.681</v>
      </c>
      <c r="BB197" s="12">
        <f t="shared" si="28"/>
        <v>3.2949799999999998</v>
      </c>
      <c r="BC197" s="12">
        <f t="shared" si="28"/>
        <v>0</v>
      </c>
      <c r="BD197" s="12">
        <f t="shared" si="28"/>
        <v>0</v>
      </c>
      <c r="BE197" s="12">
        <f t="shared" si="28"/>
        <v>2.3860199999999998</v>
      </c>
      <c r="BF197" s="12">
        <f t="shared" si="25"/>
        <v>8.8817841970012523E-16</v>
      </c>
      <c r="BJ197" s="12" t="str">
        <f t="shared" si="26"/>
        <v/>
      </c>
      <c r="BK197" s="12">
        <f>VLOOKUP(B197,Kraftvärmeprod!$B$1:$BH$549,MATCH($BA$1,Kraftvärmeprod!$B$1:$CC$1,0),FALSE)</f>
        <v>0</v>
      </c>
    </row>
    <row r="198" spans="1:63" ht="15" customHeight="1" x14ac:dyDescent="0.25">
      <c r="A198" s="137" t="s">
        <v>461</v>
      </c>
      <c r="B198" s="137" t="s">
        <v>468</v>
      </c>
      <c r="C198" s="137">
        <v>2018</v>
      </c>
      <c r="D198" s="137">
        <v>4.0069999999999997</v>
      </c>
      <c r="E198" s="137">
        <v>3.8759999999999999</v>
      </c>
      <c r="F198" s="137" t="s">
        <v>193</v>
      </c>
      <c r="G198" s="137">
        <v>0.23</v>
      </c>
      <c r="H198" s="137">
        <v>0</v>
      </c>
      <c r="I198" s="137">
        <v>0</v>
      </c>
      <c r="J198" s="137">
        <v>0</v>
      </c>
      <c r="K198" s="137">
        <v>0</v>
      </c>
      <c r="L198" s="137">
        <v>0</v>
      </c>
      <c r="M198" s="137" t="s">
        <v>53</v>
      </c>
      <c r="N198" s="137" t="s">
        <v>193</v>
      </c>
      <c r="O198" s="137" t="s">
        <v>193</v>
      </c>
      <c r="P198" s="137" t="s">
        <v>193</v>
      </c>
      <c r="Q198" s="137" t="s">
        <v>193</v>
      </c>
      <c r="R198" s="137" t="s">
        <v>193</v>
      </c>
      <c r="S198" s="137" t="s">
        <v>193</v>
      </c>
      <c r="T198" s="137" t="s">
        <v>193</v>
      </c>
      <c r="U198" s="137">
        <v>3.6459999999999999</v>
      </c>
      <c r="V198" s="137">
        <v>0</v>
      </c>
      <c r="W198" s="137">
        <v>0</v>
      </c>
      <c r="X198" s="137">
        <v>0</v>
      </c>
      <c r="Y198" s="137">
        <v>0</v>
      </c>
      <c r="Z198" s="137">
        <v>0</v>
      </c>
      <c r="AA198" s="137">
        <v>0</v>
      </c>
      <c r="AB198" s="137" t="s">
        <v>193</v>
      </c>
      <c r="AC198" s="137" t="s">
        <v>193</v>
      </c>
      <c r="AD198" s="137" t="s">
        <v>193</v>
      </c>
      <c r="AE198" s="137" t="s">
        <v>199</v>
      </c>
      <c r="AF198" s="137" t="s">
        <v>193</v>
      </c>
      <c r="AG198" s="137" t="s">
        <v>193</v>
      </c>
      <c r="AH198" s="137" t="s">
        <v>193</v>
      </c>
      <c r="AI198" s="137" t="s">
        <v>193</v>
      </c>
      <c r="AJ198" s="137" t="s">
        <v>193</v>
      </c>
      <c r="AK198" s="137" t="s">
        <v>193</v>
      </c>
      <c r="AL198" s="137" t="s">
        <v>193</v>
      </c>
      <c r="AM198" s="137" t="s">
        <v>193</v>
      </c>
      <c r="AN198" s="137" t="s">
        <v>53</v>
      </c>
      <c r="AO198" s="137" t="s">
        <v>193</v>
      </c>
      <c r="AP198" s="137" t="s">
        <v>193</v>
      </c>
      <c r="AQ198" s="137" t="s">
        <v>193</v>
      </c>
      <c r="AR198" s="137" t="s">
        <v>193</v>
      </c>
      <c r="AV198" s="1">
        <f t="shared" si="29"/>
        <v>3.8759999999999999</v>
      </c>
      <c r="AW198" s="1">
        <f t="shared" si="23"/>
        <v>4.0069999999999997</v>
      </c>
      <c r="AX198" s="13">
        <f t="shared" si="27"/>
        <v>1.0337977296181631</v>
      </c>
      <c r="BA198" s="12">
        <f t="shared" si="24"/>
        <v>0</v>
      </c>
      <c r="BB198" s="12">
        <f t="shared" si="28"/>
        <v>0</v>
      </c>
      <c r="BC198" s="12">
        <f t="shared" si="28"/>
        <v>0</v>
      </c>
      <c r="BD198" s="12">
        <f t="shared" si="28"/>
        <v>0</v>
      </c>
      <c r="BE198" s="12">
        <f t="shared" si="28"/>
        <v>0</v>
      </c>
      <c r="BF198" s="12">
        <f t="shared" si="25"/>
        <v>0</v>
      </c>
      <c r="BJ198" s="12" t="str">
        <f t="shared" si="26"/>
        <v/>
      </c>
      <c r="BK198" s="12">
        <f>VLOOKUP(B198,Kraftvärmeprod!$B$1:$BH$549,MATCH($BA$1,Kraftvärmeprod!$B$1:$CC$1,0),FALSE)</f>
        <v>0</v>
      </c>
    </row>
    <row r="199" spans="1:63" ht="15" customHeight="1" x14ac:dyDescent="0.25">
      <c r="A199" s="137" t="s">
        <v>461</v>
      </c>
      <c r="B199" s="137" t="s">
        <v>105</v>
      </c>
      <c r="C199" s="137">
        <v>2018</v>
      </c>
      <c r="D199" s="137">
        <v>9.6609999999999996</v>
      </c>
      <c r="E199" s="137">
        <v>9.6609999999999996</v>
      </c>
      <c r="F199" s="137">
        <v>0</v>
      </c>
      <c r="G199" s="137">
        <v>0.127</v>
      </c>
      <c r="H199" s="137">
        <v>0</v>
      </c>
      <c r="I199" s="137">
        <v>0</v>
      </c>
      <c r="J199" s="137">
        <v>0</v>
      </c>
      <c r="K199" s="137">
        <v>0</v>
      </c>
      <c r="L199" s="137">
        <v>0</v>
      </c>
      <c r="M199" s="137" t="s">
        <v>53</v>
      </c>
      <c r="N199" s="137" t="s">
        <v>193</v>
      </c>
      <c r="O199" s="137" t="s">
        <v>193</v>
      </c>
      <c r="P199" s="137" t="s">
        <v>193</v>
      </c>
      <c r="Q199" s="137" t="s">
        <v>193</v>
      </c>
      <c r="R199" s="137" t="s">
        <v>193</v>
      </c>
      <c r="S199" s="137" t="s">
        <v>193</v>
      </c>
      <c r="T199" s="137" t="s">
        <v>193</v>
      </c>
      <c r="U199" s="137">
        <v>9.5340000000000007</v>
      </c>
      <c r="V199" s="137">
        <v>0</v>
      </c>
      <c r="W199" s="137">
        <v>0</v>
      </c>
      <c r="X199" s="137">
        <v>0</v>
      </c>
      <c r="Y199" s="137">
        <v>0</v>
      </c>
      <c r="Z199" s="137">
        <v>0</v>
      </c>
      <c r="AA199" s="137">
        <v>0</v>
      </c>
      <c r="AB199" s="137" t="s">
        <v>193</v>
      </c>
      <c r="AC199" s="137" t="s">
        <v>193</v>
      </c>
      <c r="AD199" s="137" t="s">
        <v>193</v>
      </c>
      <c r="AE199" s="137" t="s">
        <v>199</v>
      </c>
      <c r="AF199" s="137" t="s">
        <v>193</v>
      </c>
      <c r="AG199" s="137" t="s">
        <v>193</v>
      </c>
      <c r="AH199" s="137" t="s">
        <v>193</v>
      </c>
      <c r="AI199" s="137" t="s">
        <v>193</v>
      </c>
      <c r="AJ199" s="137" t="s">
        <v>193</v>
      </c>
      <c r="AK199" s="137" t="s">
        <v>193</v>
      </c>
      <c r="AL199" s="137" t="s">
        <v>193</v>
      </c>
      <c r="AM199" s="137" t="s">
        <v>193</v>
      </c>
      <c r="AN199" s="137" t="s">
        <v>53</v>
      </c>
      <c r="AO199" s="137" t="s">
        <v>193</v>
      </c>
      <c r="AP199" s="137" t="s">
        <v>193</v>
      </c>
      <c r="AQ199" s="137" t="s">
        <v>193</v>
      </c>
      <c r="AR199" s="137" t="s">
        <v>193</v>
      </c>
      <c r="AV199" s="1">
        <f t="shared" si="29"/>
        <v>9.6610000000000014</v>
      </c>
      <c r="AW199" s="1">
        <f t="shared" si="23"/>
        <v>9.6609999999999996</v>
      </c>
      <c r="AX199" s="13">
        <f t="shared" si="27"/>
        <v>0.99999999999999978</v>
      </c>
      <c r="BA199" s="12">
        <f t="shared" si="24"/>
        <v>0</v>
      </c>
      <c r="BB199" s="12">
        <f t="shared" si="28"/>
        <v>0</v>
      </c>
      <c r="BC199" s="12">
        <f t="shared" si="28"/>
        <v>0</v>
      </c>
      <c r="BD199" s="12">
        <f t="shared" si="28"/>
        <v>0</v>
      </c>
      <c r="BE199" s="12">
        <f t="shared" si="28"/>
        <v>0</v>
      </c>
      <c r="BF199" s="12">
        <f t="shared" si="25"/>
        <v>0</v>
      </c>
      <c r="BJ199" s="12" t="str">
        <f t="shared" si="26"/>
        <v/>
      </c>
      <c r="BK199" s="12">
        <f>VLOOKUP(B199,Kraftvärmeprod!$B$1:$BH$549,MATCH($BA$1,Kraftvärmeprod!$B$1:$CC$1,0),FALSE)</f>
        <v>0</v>
      </c>
    </row>
    <row r="200" spans="1:63" ht="15" customHeight="1" x14ac:dyDescent="0.25">
      <c r="A200" s="137" t="s">
        <v>461</v>
      </c>
      <c r="B200" s="137" t="s">
        <v>107</v>
      </c>
      <c r="C200" s="137">
        <v>2018</v>
      </c>
      <c r="D200" s="137">
        <v>62.015999999999998</v>
      </c>
      <c r="E200" s="137">
        <v>69.710999999999999</v>
      </c>
      <c r="F200" s="137">
        <v>0</v>
      </c>
      <c r="G200" s="137">
        <v>0.311</v>
      </c>
      <c r="H200" s="137" t="s">
        <v>193</v>
      </c>
      <c r="I200" s="137" t="s">
        <v>193</v>
      </c>
      <c r="J200" s="137" t="s">
        <v>193</v>
      </c>
      <c r="K200" s="137" t="s">
        <v>193</v>
      </c>
      <c r="L200" s="137" t="s">
        <v>193</v>
      </c>
      <c r="M200" s="137" t="s">
        <v>53</v>
      </c>
      <c r="N200" s="137">
        <v>0</v>
      </c>
      <c r="O200" s="137">
        <v>0</v>
      </c>
      <c r="P200" s="137">
        <v>0</v>
      </c>
      <c r="Q200" s="137">
        <v>52.595999999999997</v>
      </c>
      <c r="R200" s="137">
        <v>0</v>
      </c>
      <c r="S200" s="137">
        <v>0</v>
      </c>
      <c r="T200" s="137" t="s">
        <v>194</v>
      </c>
      <c r="U200" s="137">
        <v>0</v>
      </c>
      <c r="V200" s="137">
        <v>16.803999999999998</v>
      </c>
      <c r="W200" s="137">
        <v>0</v>
      </c>
      <c r="X200" s="137">
        <v>0</v>
      </c>
      <c r="Y200" s="137">
        <v>0</v>
      </c>
      <c r="Z200" s="137">
        <v>0</v>
      </c>
      <c r="AA200" s="137">
        <v>0</v>
      </c>
      <c r="AB200" s="137" t="s">
        <v>193</v>
      </c>
      <c r="AC200" s="137" t="s">
        <v>193</v>
      </c>
      <c r="AD200" s="137" t="s">
        <v>193</v>
      </c>
      <c r="AE200" s="137" t="s">
        <v>199</v>
      </c>
      <c r="AF200" s="137" t="s">
        <v>193</v>
      </c>
      <c r="AG200" s="137">
        <v>0</v>
      </c>
      <c r="AH200" s="137" t="s">
        <v>193</v>
      </c>
      <c r="AI200" s="137" t="s">
        <v>193</v>
      </c>
      <c r="AJ200" s="137" t="s">
        <v>193</v>
      </c>
      <c r="AK200" s="137" t="s">
        <v>193</v>
      </c>
      <c r="AL200" s="137" t="s">
        <v>193</v>
      </c>
      <c r="AM200" s="137" t="s">
        <v>193</v>
      </c>
      <c r="AN200" s="137" t="s">
        <v>53</v>
      </c>
      <c r="AO200" s="137" t="s">
        <v>193</v>
      </c>
      <c r="AP200" s="137" t="s">
        <v>193</v>
      </c>
      <c r="AQ200" s="137" t="s">
        <v>193</v>
      </c>
      <c r="AR200" s="137" t="s">
        <v>193</v>
      </c>
      <c r="AV200" s="1">
        <f t="shared" si="29"/>
        <v>69.710999999999999</v>
      </c>
      <c r="AW200" s="1">
        <f t="shared" si="23"/>
        <v>62.015999999999998</v>
      </c>
      <c r="AX200" s="13">
        <f t="shared" si="27"/>
        <v>0.88961569910057237</v>
      </c>
      <c r="BA200" s="12">
        <f t="shared" si="24"/>
        <v>0</v>
      </c>
      <c r="BB200" s="12">
        <f t="shared" si="28"/>
        <v>0</v>
      </c>
      <c r="BC200" s="12">
        <f t="shared" si="28"/>
        <v>0</v>
      </c>
      <c r="BD200" s="12">
        <f t="shared" si="28"/>
        <v>0</v>
      </c>
      <c r="BE200" s="12">
        <f t="shared" si="28"/>
        <v>0</v>
      </c>
      <c r="BF200" s="12">
        <f t="shared" si="25"/>
        <v>0</v>
      </c>
      <c r="BJ200" s="12" t="str">
        <f t="shared" si="26"/>
        <v/>
      </c>
      <c r="BK200" s="12">
        <f>VLOOKUP(B200,Kraftvärmeprod!$B$1:$BH$549,MATCH($BA$1,Kraftvärmeprod!$B$1:$CC$1,0),FALSE)</f>
        <v>0</v>
      </c>
    </row>
    <row r="201" spans="1:63" ht="15" customHeight="1" x14ac:dyDescent="0.25">
      <c r="A201" s="137" t="s">
        <v>461</v>
      </c>
      <c r="B201" s="137" t="s">
        <v>109</v>
      </c>
      <c r="C201" s="137">
        <v>2018</v>
      </c>
      <c r="D201" s="137">
        <v>14.396000000000001</v>
      </c>
      <c r="E201" s="137">
        <v>17.241</v>
      </c>
      <c r="F201" s="137">
        <v>0</v>
      </c>
      <c r="G201" s="137">
        <v>5.7000000000000002E-2</v>
      </c>
      <c r="H201" s="137">
        <v>0</v>
      </c>
      <c r="I201" s="137">
        <v>0</v>
      </c>
      <c r="J201" s="137">
        <v>0</v>
      </c>
      <c r="K201" s="137">
        <v>0</v>
      </c>
      <c r="L201" s="137">
        <v>0</v>
      </c>
      <c r="M201" s="137" t="s">
        <v>53</v>
      </c>
      <c r="N201" s="137">
        <v>0</v>
      </c>
      <c r="O201" s="137">
        <v>0</v>
      </c>
      <c r="P201" s="137">
        <v>3.2040000000000002</v>
      </c>
      <c r="Q201" s="137">
        <v>0</v>
      </c>
      <c r="R201" s="137">
        <v>0</v>
      </c>
      <c r="S201" s="137">
        <v>0</v>
      </c>
      <c r="T201" s="137" t="s">
        <v>194</v>
      </c>
      <c r="U201" s="137">
        <v>0</v>
      </c>
      <c r="V201" s="137">
        <v>13.98</v>
      </c>
      <c r="W201" s="137">
        <v>0</v>
      </c>
      <c r="X201" s="137">
        <v>0</v>
      </c>
      <c r="Y201" s="137">
        <v>0</v>
      </c>
      <c r="Z201" s="137">
        <v>0</v>
      </c>
      <c r="AA201" s="137">
        <v>0</v>
      </c>
      <c r="AB201" s="137" t="s">
        <v>193</v>
      </c>
      <c r="AC201" s="137" t="s">
        <v>193</v>
      </c>
      <c r="AD201" s="137" t="s">
        <v>193</v>
      </c>
      <c r="AE201" s="137" t="s">
        <v>199</v>
      </c>
      <c r="AF201" s="137" t="s">
        <v>193</v>
      </c>
      <c r="AG201" s="137" t="s">
        <v>193</v>
      </c>
      <c r="AH201" s="137" t="s">
        <v>193</v>
      </c>
      <c r="AI201" s="137" t="s">
        <v>193</v>
      </c>
      <c r="AJ201" s="137" t="s">
        <v>193</v>
      </c>
      <c r="AK201" s="137" t="s">
        <v>193</v>
      </c>
      <c r="AL201" s="137" t="s">
        <v>193</v>
      </c>
      <c r="AM201" s="137" t="s">
        <v>193</v>
      </c>
      <c r="AN201" s="137" t="s">
        <v>53</v>
      </c>
      <c r="AO201" s="137" t="s">
        <v>193</v>
      </c>
      <c r="AP201" s="137" t="s">
        <v>193</v>
      </c>
      <c r="AQ201" s="137" t="s">
        <v>193</v>
      </c>
      <c r="AR201" s="137" t="s">
        <v>193</v>
      </c>
      <c r="AV201" s="1">
        <f t="shared" si="29"/>
        <v>17.241</v>
      </c>
      <c r="AW201" s="1">
        <f t="shared" si="23"/>
        <v>14.396000000000001</v>
      </c>
      <c r="AX201" s="13">
        <f t="shared" si="27"/>
        <v>0.83498636970013351</v>
      </c>
      <c r="BA201" s="12">
        <f t="shared" si="24"/>
        <v>0</v>
      </c>
      <c r="BB201" s="12">
        <f t="shared" si="28"/>
        <v>0</v>
      </c>
      <c r="BC201" s="12">
        <f t="shared" si="28"/>
        <v>0</v>
      </c>
      <c r="BD201" s="12">
        <f t="shared" si="28"/>
        <v>0</v>
      </c>
      <c r="BE201" s="12">
        <f t="shared" si="28"/>
        <v>0</v>
      </c>
      <c r="BF201" s="12">
        <f t="shared" si="25"/>
        <v>0</v>
      </c>
      <c r="BJ201" s="12" t="str">
        <f t="shared" si="26"/>
        <v/>
      </c>
      <c r="BK201" s="12">
        <f>VLOOKUP(B201,Kraftvärmeprod!$B$1:$BH$549,MATCH($BA$1,Kraftvärmeprod!$B$1:$CC$1,0),FALSE)</f>
        <v>0</v>
      </c>
    </row>
    <row r="202" spans="1:63" ht="15" customHeight="1" x14ac:dyDescent="0.25">
      <c r="A202" s="137" t="s">
        <v>461</v>
      </c>
      <c r="B202" s="137" t="s">
        <v>111</v>
      </c>
      <c r="C202" s="137">
        <v>2018</v>
      </c>
      <c r="D202" s="137">
        <v>19.510000000000002</v>
      </c>
      <c r="E202" s="137">
        <v>5.2850000000000001</v>
      </c>
      <c r="F202" s="137" t="s">
        <v>193</v>
      </c>
      <c r="G202" s="137" t="s">
        <v>193</v>
      </c>
      <c r="H202" s="137" t="s">
        <v>193</v>
      </c>
      <c r="I202" s="137" t="s">
        <v>193</v>
      </c>
      <c r="J202" s="137" t="s">
        <v>193</v>
      </c>
      <c r="K202" s="137" t="s">
        <v>193</v>
      </c>
      <c r="L202" s="137" t="s">
        <v>193</v>
      </c>
      <c r="M202" s="137" t="s">
        <v>53</v>
      </c>
      <c r="N202" s="137" t="s">
        <v>193</v>
      </c>
      <c r="O202" s="137" t="s">
        <v>193</v>
      </c>
      <c r="P202" s="137" t="s">
        <v>193</v>
      </c>
      <c r="Q202" s="137" t="s">
        <v>193</v>
      </c>
      <c r="R202" s="137" t="s">
        <v>193</v>
      </c>
      <c r="S202" s="137" t="s">
        <v>193</v>
      </c>
      <c r="T202" s="137" t="s">
        <v>193</v>
      </c>
      <c r="U202" s="137">
        <v>5.2850000000000001</v>
      </c>
      <c r="V202" s="137">
        <v>0</v>
      </c>
      <c r="W202" s="137">
        <v>0</v>
      </c>
      <c r="X202" s="137">
        <v>0</v>
      </c>
      <c r="Y202" s="137">
        <v>0</v>
      </c>
      <c r="Z202" s="137">
        <v>0</v>
      </c>
      <c r="AA202" s="137">
        <v>0</v>
      </c>
      <c r="AB202" s="137" t="s">
        <v>193</v>
      </c>
      <c r="AC202" s="137" t="s">
        <v>193</v>
      </c>
      <c r="AD202" s="137" t="s">
        <v>193</v>
      </c>
      <c r="AE202" s="137" t="s">
        <v>199</v>
      </c>
      <c r="AF202" s="137" t="s">
        <v>193</v>
      </c>
      <c r="AG202" s="137" t="s">
        <v>193</v>
      </c>
      <c r="AH202" s="137" t="s">
        <v>193</v>
      </c>
      <c r="AI202" s="137" t="s">
        <v>193</v>
      </c>
      <c r="AJ202" s="137" t="s">
        <v>193</v>
      </c>
      <c r="AK202" s="137" t="s">
        <v>193</v>
      </c>
      <c r="AL202" s="137" t="s">
        <v>193</v>
      </c>
      <c r="AM202" s="137" t="s">
        <v>193</v>
      </c>
      <c r="AN202" s="137" t="s">
        <v>53</v>
      </c>
      <c r="AO202" s="137" t="s">
        <v>193</v>
      </c>
      <c r="AP202" s="137" t="s">
        <v>193</v>
      </c>
      <c r="AQ202" s="137" t="s">
        <v>193</v>
      </c>
      <c r="AR202" s="137" t="s">
        <v>193</v>
      </c>
      <c r="AV202" s="1">
        <f t="shared" si="29"/>
        <v>5.2850000000000001</v>
      </c>
      <c r="AW202" s="1">
        <f t="shared" si="23"/>
        <v>19.510000000000002</v>
      </c>
      <c r="AX202" s="13">
        <f t="shared" si="27"/>
        <v>3.6915799432355727</v>
      </c>
      <c r="BA202" s="12">
        <f t="shared" si="24"/>
        <v>0</v>
      </c>
      <c r="BB202" s="12">
        <f t="shared" si="28"/>
        <v>0</v>
      </c>
      <c r="BC202" s="12">
        <f t="shared" si="28"/>
        <v>0</v>
      </c>
      <c r="BD202" s="12">
        <f t="shared" si="28"/>
        <v>0</v>
      </c>
      <c r="BE202" s="12">
        <f t="shared" si="28"/>
        <v>0</v>
      </c>
      <c r="BF202" s="12">
        <f t="shared" si="25"/>
        <v>0</v>
      </c>
      <c r="BJ202" s="12" t="str">
        <f t="shared" si="26"/>
        <v/>
      </c>
      <c r="BK202" s="12">
        <f>VLOOKUP(B202,Kraftvärmeprod!$B$1:$BH$549,MATCH($BA$1,Kraftvärmeprod!$B$1:$CC$1,0),FALSE)</f>
        <v>0</v>
      </c>
    </row>
    <row r="203" spans="1:63" ht="15" customHeight="1" x14ac:dyDescent="0.25">
      <c r="A203" s="137" t="s">
        <v>461</v>
      </c>
      <c r="B203" s="137" t="s">
        <v>469</v>
      </c>
      <c r="C203" s="137">
        <v>2018</v>
      </c>
      <c r="D203" s="137">
        <v>27.824000000000002</v>
      </c>
      <c r="E203" s="137">
        <v>34.460999999999999</v>
      </c>
      <c r="F203" s="137" t="s">
        <v>193</v>
      </c>
      <c r="G203" s="137">
        <v>1.823</v>
      </c>
      <c r="H203" s="137">
        <v>0</v>
      </c>
      <c r="I203" s="137">
        <v>0</v>
      </c>
      <c r="J203" s="137">
        <v>0</v>
      </c>
      <c r="K203" s="137">
        <v>0</v>
      </c>
      <c r="L203" s="137">
        <v>0</v>
      </c>
      <c r="M203" s="137" t="s">
        <v>53</v>
      </c>
      <c r="N203" s="137">
        <v>0</v>
      </c>
      <c r="O203" s="137">
        <v>0</v>
      </c>
      <c r="P203" s="137">
        <v>29.163</v>
      </c>
      <c r="Q203" s="137">
        <v>0</v>
      </c>
      <c r="R203" s="137">
        <v>0</v>
      </c>
      <c r="S203" s="137">
        <v>0</v>
      </c>
      <c r="T203" s="137" t="s">
        <v>194</v>
      </c>
      <c r="U203" s="137" t="s">
        <v>193</v>
      </c>
      <c r="V203" s="137" t="s">
        <v>193</v>
      </c>
      <c r="W203" s="137" t="s">
        <v>193</v>
      </c>
      <c r="X203" s="137" t="s">
        <v>193</v>
      </c>
      <c r="Y203" s="137" t="s">
        <v>193</v>
      </c>
      <c r="Z203" s="137" t="s">
        <v>193</v>
      </c>
      <c r="AA203" s="137" t="s">
        <v>193</v>
      </c>
      <c r="AB203" s="137" t="s">
        <v>193</v>
      </c>
      <c r="AC203" s="137" t="s">
        <v>193</v>
      </c>
      <c r="AD203" s="137" t="s">
        <v>193</v>
      </c>
      <c r="AE203" s="137" t="s">
        <v>199</v>
      </c>
      <c r="AF203" s="137" t="s">
        <v>193</v>
      </c>
      <c r="AG203" s="137" t="s">
        <v>193</v>
      </c>
      <c r="AH203" s="137">
        <v>3.4750000000000001</v>
      </c>
      <c r="AI203" s="137" t="s">
        <v>193</v>
      </c>
      <c r="AJ203" s="137" t="s">
        <v>193</v>
      </c>
      <c r="AK203" s="137" t="s">
        <v>193</v>
      </c>
      <c r="AL203" s="137" t="s">
        <v>193</v>
      </c>
      <c r="AM203" s="137" t="s">
        <v>193</v>
      </c>
      <c r="AN203" s="137" t="s">
        <v>53</v>
      </c>
      <c r="AO203" s="137">
        <v>100</v>
      </c>
      <c r="AP203" s="137">
        <v>0</v>
      </c>
      <c r="AQ203" s="137">
        <v>0</v>
      </c>
      <c r="AR203" s="137">
        <v>0</v>
      </c>
      <c r="AV203" s="1">
        <f t="shared" si="29"/>
        <v>34.460999999999999</v>
      </c>
      <c r="AW203" s="1">
        <f t="shared" si="23"/>
        <v>27.824000000000002</v>
      </c>
      <c r="AX203" s="13">
        <f t="shared" si="27"/>
        <v>0.80740547285337061</v>
      </c>
      <c r="BA203" s="12">
        <f t="shared" si="24"/>
        <v>3.4750000000000001</v>
      </c>
      <c r="BB203" s="12">
        <f t="shared" si="28"/>
        <v>3.4750000000000001</v>
      </c>
      <c r="BC203" s="12">
        <f t="shared" si="28"/>
        <v>0</v>
      </c>
      <c r="BD203" s="12">
        <f t="shared" si="28"/>
        <v>0</v>
      </c>
      <c r="BE203" s="12">
        <f t="shared" si="28"/>
        <v>0</v>
      </c>
      <c r="BF203" s="12">
        <f t="shared" si="25"/>
        <v>0</v>
      </c>
      <c r="BJ203" s="12" t="str">
        <f t="shared" si="26"/>
        <v/>
      </c>
      <c r="BK203" s="12">
        <f>VLOOKUP(B203,Kraftvärmeprod!$B$1:$BH$549,MATCH($BA$1,Kraftvärmeprod!$B$1:$CC$1,0),FALSE)</f>
        <v>0</v>
      </c>
    </row>
    <row r="204" spans="1:63" ht="15" customHeight="1" x14ac:dyDescent="0.25">
      <c r="A204" s="137" t="s">
        <v>461</v>
      </c>
      <c r="B204" s="137" t="s">
        <v>470</v>
      </c>
      <c r="C204" s="137">
        <v>2018</v>
      </c>
      <c r="D204" s="137">
        <v>8.1980000000000004</v>
      </c>
      <c r="E204" s="137">
        <v>10.526999999999999</v>
      </c>
      <c r="F204" s="137" t="s">
        <v>193</v>
      </c>
      <c r="G204" s="137">
        <v>0.57299999999999995</v>
      </c>
      <c r="H204" s="137">
        <v>0</v>
      </c>
      <c r="I204" s="137">
        <v>0</v>
      </c>
      <c r="J204" s="137" t="s">
        <v>193</v>
      </c>
      <c r="K204" s="137" t="s">
        <v>193</v>
      </c>
      <c r="L204" s="137" t="s">
        <v>193</v>
      </c>
      <c r="M204" s="137" t="s">
        <v>471</v>
      </c>
      <c r="N204" s="137">
        <v>0</v>
      </c>
      <c r="O204" s="137">
        <v>0</v>
      </c>
      <c r="P204" s="137">
        <v>9.9540000000000006</v>
      </c>
      <c r="Q204" s="137">
        <v>0</v>
      </c>
      <c r="R204" s="137">
        <v>0</v>
      </c>
      <c r="S204" s="137">
        <v>0</v>
      </c>
      <c r="T204" s="137" t="s">
        <v>194</v>
      </c>
      <c r="U204" s="137" t="s">
        <v>193</v>
      </c>
      <c r="V204" s="137" t="s">
        <v>193</v>
      </c>
      <c r="W204" s="137" t="s">
        <v>193</v>
      </c>
      <c r="X204" s="137" t="s">
        <v>193</v>
      </c>
      <c r="Y204" s="137" t="s">
        <v>193</v>
      </c>
      <c r="Z204" s="137" t="s">
        <v>193</v>
      </c>
      <c r="AA204" s="137" t="s">
        <v>193</v>
      </c>
      <c r="AB204" s="137" t="s">
        <v>193</v>
      </c>
      <c r="AC204" s="137" t="s">
        <v>193</v>
      </c>
      <c r="AD204" s="137" t="s">
        <v>193</v>
      </c>
      <c r="AE204" s="137" t="s">
        <v>199</v>
      </c>
      <c r="AF204" s="137" t="s">
        <v>193</v>
      </c>
      <c r="AG204" s="137" t="s">
        <v>193</v>
      </c>
      <c r="AH204" s="137" t="s">
        <v>193</v>
      </c>
      <c r="AI204" s="137" t="s">
        <v>193</v>
      </c>
      <c r="AJ204" s="137" t="s">
        <v>193</v>
      </c>
      <c r="AK204" s="137" t="s">
        <v>193</v>
      </c>
      <c r="AL204" s="137" t="s">
        <v>193</v>
      </c>
      <c r="AM204" s="137" t="s">
        <v>193</v>
      </c>
      <c r="AN204" s="137" t="s">
        <v>472</v>
      </c>
      <c r="AO204" s="137" t="s">
        <v>193</v>
      </c>
      <c r="AP204" s="137" t="s">
        <v>193</v>
      </c>
      <c r="AQ204" s="137" t="s">
        <v>193</v>
      </c>
      <c r="AR204" s="137" t="s">
        <v>193</v>
      </c>
      <c r="AV204" s="1">
        <f t="shared" si="29"/>
        <v>10.527000000000001</v>
      </c>
      <c r="AW204" s="1">
        <f t="shared" si="23"/>
        <v>8.1980000000000004</v>
      </c>
      <c r="AX204" s="13">
        <f t="shared" si="27"/>
        <v>0.77875938064025829</v>
      </c>
      <c r="BA204" s="12">
        <f t="shared" si="24"/>
        <v>0</v>
      </c>
      <c r="BB204" s="12">
        <f t="shared" si="28"/>
        <v>0</v>
      </c>
      <c r="BC204" s="12">
        <f t="shared" si="28"/>
        <v>0</v>
      </c>
      <c r="BD204" s="12">
        <f t="shared" si="28"/>
        <v>0</v>
      </c>
      <c r="BE204" s="12">
        <f t="shared" si="28"/>
        <v>0</v>
      </c>
      <c r="BF204" s="12">
        <f t="shared" si="25"/>
        <v>0</v>
      </c>
      <c r="BJ204" s="12" t="str">
        <f t="shared" si="26"/>
        <v/>
      </c>
      <c r="BK204" s="12">
        <f>VLOOKUP(B204,Kraftvärmeprod!$B$1:$BH$549,MATCH($BA$1,Kraftvärmeprod!$B$1:$CC$1,0),FALSE)</f>
        <v>0</v>
      </c>
    </row>
    <row r="205" spans="1:63" ht="15" customHeight="1" x14ac:dyDescent="0.25">
      <c r="A205" s="137" t="s">
        <v>461</v>
      </c>
      <c r="B205" s="137" t="s">
        <v>113</v>
      </c>
      <c r="C205" s="137">
        <v>2018</v>
      </c>
      <c r="D205" s="137">
        <v>5.22</v>
      </c>
      <c r="E205" s="137">
        <v>6.016</v>
      </c>
      <c r="F205" s="137" t="s">
        <v>193</v>
      </c>
      <c r="G205" s="137">
        <v>0.223</v>
      </c>
      <c r="H205" s="137" t="s">
        <v>193</v>
      </c>
      <c r="I205" s="137" t="s">
        <v>193</v>
      </c>
      <c r="J205" s="137" t="s">
        <v>193</v>
      </c>
      <c r="K205" s="137" t="s">
        <v>193</v>
      </c>
      <c r="L205" s="137" t="s">
        <v>193</v>
      </c>
      <c r="M205" s="137" t="s">
        <v>473</v>
      </c>
      <c r="N205" s="137" t="s">
        <v>193</v>
      </c>
      <c r="O205" s="137" t="s">
        <v>193</v>
      </c>
      <c r="P205" s="137" t="s">
        <v>193</v>
      </c>
      <c r="Q205" s="137" t="s">
        <v>193</v>
      </c>
      <c r="R205" s="137" t="s">
        <v>193</v>
      </c>
      <c r="S205" s="137" t="s">
        <v>193</v>
      </c>
      <c r="T205" s="137" t="s">
        <v>193</v>
      </c>
      <c r="U205" s="137">
        <v>5.7930000000000001</v>
      </c>
      <c r="V205" s="137" t="s">
        <v>193</v>
      </c>
      <c r="W205" s="137" t="s">
        <v>193</v>
      </c>
      <c r="X205" s="137" t="s">
        <v>193</v>
      </c>
      <c r="Y205" s="137" t="s">
        <v>193</v>
      </c>
      <c r="Z205" s="137" t="s">
        <v>193</v>
      </c>
      <c r="AA205" s="137" t="s">
        <v>193</v>
      </c>
      <c r="AB205" s="137" t="s">
        <v>193</v>
      </c>
      <c r="AC205" s="137" t="s">
        <v>193</v>
      </c>
      <c r="AD205" s="137" t="s">
        <v>193</v>
      </c>
      <c r="AE205" s="137" t="s">
        <v>199</v>
      </c>
      <c r="AF205" s="137" t="s">
        <v>193</v>
      </c>
      <c r="AG205" s="137" t="s">
        <v>193</v>
      </c>
      <c r="AH205" s="137" t="s">
        <v>193</v>
      </c>
      <c r="AI205" s="137" t="s">
        <v>193</v>
      </c>
      <c r="AJ205" s="137" t="s">
        <v>193</v>
      </c>
      <c r="AK205" s="137" t="s">
        <v>193</v>
      </c>
      <c r="AL205" s="137" t="s">
        <v>193</v>
      </c>
      <c r="AM205" s="137" t="s">
        <v>193</v>
      </c>
      <c r="AN205" s="137" t="s">
        <v>53</v>
      </c>
      <c r="AO205" s="137" t="s">
        <v>193</v>
      </c>
      <c r="AP205" s="137" t="s">
        <v>193</v>
      </c>
      <c r="AQ205" s="137" t="s">
        <v>193</v>
      </c>
      <c r="AR205" s="137" t="s">
        <v>193</v>
      </c>
      <c r="AV205" s="1">
        <f t="shared" si="29"/>
        <v>6.016</v>
      </c>
      <c r="AW205" s="1">
        <f t="shared" si="23"/>
        <v>5.22</v>
      </c>
      <c r="AX205" s="13">
        <f t="shared" si="27"/>
        <v>0.86768617021276595</v>
      </c>
      <c r="BA205" s="12">
        <f t="shared" si="24"/>
        <v>0</v>
      </c>
      <c r="BB205" s="12">
        <f t="shared" si="28"/>
        <v>0</v>
      </c>
      <c r="BC205" s="12">
        <f t="shared" si="28"/>
        <v>0</v>
      </c>
      <c r="BD205" s="12">
        <f t="shared" si="28"/>
        <v>0</v>
      </c>
      <c r="BE205" s="12">
        <f t="shared" si="28"/>
        <v>0</v>
      </c>
      <c r="BF205" s="12">
        <f t="shared" si="25"/>
        <v>0</v>
      </c>
      <c r="BJ205" s="12" t="str">
        <f t="shared" si="26"/>
        <v/>
      </c>
      <c r="BK205" s="12">
        <f>VLOOKUP(B205,Kraftvärmeprod!$B$1:$BH$549,MATCH($BA$1,Kraftvärmeprod!$B$1:$CC$1,0),FALSE)</f>
        <v>0</v>
      </c>
    </row>
    <row r="206" spans="1:63" ht="15" customHeight="1" x14ac:dyDescent="0.25">
      <c r="A206" s="137" t="s">
        <v>474</v>
      </c>
      <c r="B206" s="137" t="s">
        <v>475</v>
      </c>
      <c r="C206" s="137">
        <v>2018</v>
      </c>
      <c r="D206" s="137" t="s">
        <v>193</v>
      </c>
      <c r="E206" s="137" t="s">
        <v>193</v>
      </c>
      <c r="F206" s="137" t="s">
        <v>193</v>
      </c>
      <c r="G206" s="137" t="s">
        <v>193</v>
      </c>
      <c r="H206" s="137" t="s">
        <v>193</v>
      </c>
      <c r="I206" s="137" t="s">
        <v>193</v>
      </c>
      <c r="J206" s="137" t="s">
        <v>193</v>
      </c>
      <c r="K206" s="137" t="s">
        <v>193</v>
      </c>
      <c r="L206" s="137" t="s">
        <v>193</v>
      </c>
      <c r="M206" s="137" t="s">
        <v>219</v>
      </c>
      <c r="N206" s="137" t="s">
        <v>193</v>
      </c>
      <c r="O206" s="137" t="s">
        <v>193</v>
      </c>
      <c r="P206" s="137" t="s">
        <v>193</v>
      </c>
      <c r="Q206" s="137" t="s">
        <v>193</v>
      </c>
      <c r="R206" s="137" t="s">
        <v>193</v>
      </c>
      <c r="S206" s="137" t="s">
        <v>193</v>
      </c>
      <c r="T206" s="137" t="s">
        <v>193</v>
      </c>
      <c r="U206" s="137" t="s">
        <v>193</v>
      </c>
      <c r="V206" s="137" t="s">
        <v>193</v>
      </c>
      <c r="W206" s="137" t="s">
        <v>193</v>
      </c>
      <c r="X206" s="137" t="s">
        <v>193</v>
      </c>
      <c r="Y206" s="137" t="s">
        <v>193</v>
      </c>
      <c r="Z206" s="137" t="s">
        <v>193</v>
      </c>
      <c r="AA206" s="137" t="s">
        <v>193</v>
      </c>
      <c r="AB206" s="137" t="s">
        <v>193</v>
      </c>
      <c r="AC206" s="137" t="s">
        <v>193</v>
      </c>
      <c r="AD206" s="137" t="s">
        <v>193</v>
      </c>
      <c r="AE206" s="137" t="s">
        <v>199</v>
      </c>
      <c r="AF206" s="137" t="s">
        <v>193</v>
      </c>
      <c r="AG206" s="137" t="s">
        <v>193</v>
      </c>
      <c r="AH206" s="137" t="s">
        <v>193</v>
      </c>
      <c r="AI206" s="137" t="s">
        <v>193</v>
      </c>
      <c r="AJ206" s="137" t="s">
        <v>193</v>
      </c>
      <c r="AK206" s="137" t="s">
        <v>193</v>
      </c>
      <c r="AL206" s="137" t="s">
        <v>193</v>
      </c>
      <c r="AM206" s="137" t="s">
        <v>193</v>
      </c>
      <c r="AN206" s="137" t="s">
        <v>219</v>
      </c>
      <c r="AO206" s="137" t="s">
        <v>193</v>
      </c>
      <c r="AP206" s="137" t="s">
        <v>193</v>
      </c>
      <c r="AQ206" s="137" t="s">
        <v>193</v>
      </c>
      <c r="AR206" s="137" t="s">
        <v>193</v>
      </c>
      <c r="AV206" s="1">
        <f t="shared" si="29"/>
        <v>0</v>
      </c>
      <c r="AW206" s="1">
        <f t="shared" si="23"/>
        <v>0</v>
      </c>
      <c r="AX206" s="13" t="str">
        <f t="shared" si="27"/>
        <v/>
      </c>
      <c r="BA206" s="12">
        <f t="shared" si="24"/>
        <v>0</v>
      </c>
      <c r="BB206" s="12">
        <f t="shared" si="28"/>
        <v>0</v>
      </c>
      <c r="BC206" s="12">
        <f t="shared" si="28"/>
        <v>0</v>
      </c>
      <c r="BD206" s="12">
        <f t="shared" si="28"/>
        <v>0</v>
      </c>
      <c r="BE206" s="12">
        <f t="shared" si="28"/>
        <v>0</v>
      </c>
      <c r="BF206" s="12">
        <f t="shared" si="25"/>
        <v>0</v>
      </c>
      <c r="BJ206" s="12" t="str">
        <f t="shared" si="26"/>
        <v/>
      </c>
      <c r="BK206" s="12">
        <f>VLOOKUP(B206,Kraftvärmeprod!$B$1:$BH$549,MATCH($BA$1,Kraftvärmeprod!$B$1:$CC$1,0),FALSE)</f>
        <v>0</v>
      </c>
    </row>
    <row r="207" spans="1:63" ht="15" customHeight="1" x14ac:dyDescent="0.25">
      <c r="A207" s="137" t="s">
        <v>474</v>
      </c>
      <c r="B207" s="137" t="s">
        <v>476</v>
      </c>
      <c r="C207" s="137">
        <v>2018</v>
      </c>
      <c r="D207" s="137">
        <v>53.609000000000002</v>
      </c>
      <c r="E207" s="137">
        <v>58.921999999999997</v>
      </c>
      <c r="F207" s="137" t="s">
        <v>193</v>
      </c>
      <c r="G207" s="137">
        <v>0.44500000000000001</v>
      </c>
      <c r="H207" s="137" t="s">
        <v>193</v>
      </c>
      <c r="I207" s="137" t="s">
        <v>193</v>
      </c>
      <c r="J207" s="137" t="s">
        <v>193</v>
      </c>
      <c r="K207" s="137" t="s">
        <v>193</v>
      </c>
      <c r="L207" s="137" t="s">
        <v>193</v>
      </c>
      <c r="M207" s="137" t="s">
        <v>219</v>
      </c>
      <c r="N207" s="137">
        <v>57.481000000000002</v>
      </c>
      <c r="O207" s="137" t="s">
        <v>193</v>
      </c>
      <c r="P207" s="137" t="s">
        <v>193</v>
      </c>
      <c r="Q207" s="137" t="s">
        <v>193</v>
      </c>
      <c r="R207" s="137" t="s">
        <v>193</v>
      </c>
      <c r="S207" s="137" t="s">
        <v>193</v>
      </c>
      <c r="T207" s="137" t="s">
        <v>194</v>
      </c>
      <c r="U207" s="137">
        <v>0.996</v>
      </c>
      <c r="V207" s="137" t="s">
        <v>193</v>
      </c>
      <c r="W207" s="137" t="s">
        <v>193</v>
      </c>
      <c r="X207" s="137" t="s">
        <v>193</v>
      </c>
      <c r="Y207" s="137" t="s">
        <v>193</v>
      </c>
      <c r="Z207" s="137" t="s">
        <v>193</v>
      </c>
      <c r="AA207" s="137" t="s">
        <v>193</v>
      </c>
      <c r="AB207" s="137" t="s">
        <v>193</v>
      </c>
      <c r="AC207" s="137" t="s">
        <v>193</v>
      </c>
      <c r="AD207" s="137" t="s">
        <v>193</v>
      </c>
      <c r="AE207" s="137" t="s">
        <v>199</v>
      </c>
      <c r="AF207" s="137" t="s">
        <v>193</v>
      </c>
      <c r="AG207" s="137" t="s">
        <v>193</v>
      </c>
      <c r="AH207" s="137" t="s">
        <v>193</v>
      </c>
      <c r="AI207" s="137" t="s">
        <v>193</v>
      </c>
      <c r="AJ207" s="137" t="s">
        <v>193</v>
      </c>
      <c r="AK207" s="137" t="s">
        <v>193</v>
      </c>
      <c r="AL207" s="137" t="s">
        <v>193</v>
      </c>
      <c r="AM207" s="137" t="s">
        <v>193</v>
      </c>
      <c r="AN207" s="137" t="s">
        <v>53</v>
      </c>
      <c r="AO207" s="137">
        <v>100</v>
      </c>
      <c r="AP207" s="137">
        <v>0</v>
      </c>
      <c r="AQ207" s="137">
        <v>0</v>
      </c>
      <c r="AR207" s="137">
        <v>0</v>
      </c>
      <c r="AV207" s="1">
        <f t="shared" si="29"/>
        <v>58.922000000000004</v>
      </c>
      <c r="AW207" s="1">
        <f t="shared" si="23"/>
        <v>53.609000000000002</v>
      </c>
      <c r="AX207" s="13">
        <f t="shared" si="27"/>
        <v>0.90982994467261802</v>
      </c>
      <c r="BA207" s="12">
        <f t="shared" si="24"/>
        <v>0</v>
      </c>
      <c r="BB207" s="12">
        <f t="shared" si="28"/>
        <v>0</v>
      </c>
      <c r="BC207" s="12">
        <f t="shared" si="28"/>
        <v>0</v>
      </c>
      <c r="BD207" s="12">
        <f t="shared" si="28"/>
        <v>0</v>
      </c>
      <c r="BE207" s="12">
        <f t="shared" si="28"/>
        <v>0</v>
      </c>
      <c r="BF207" s="12">
        <f t="shared" si="25"/>
        <v>0</v>
      </c>
      <c r="BJ207" s="12" t="str">
        <f t="shared" si="26"/>
        <v>ja</v>
      </c>
      <c r="BK207" s="12">
        <f>VLOOKUP(B207,Kraftvärmeprod!$B$1:$BH$549,MATCH($BA$1,Kraftvärmeprod!$B$1:$CC$1,0),FALSE)</f>
        <v>0</v>
      </c>
    </row>
    <row r="208" spans="1:63" ht="15" customHeight="1" x14ac:dyDescent="0.25">
      <c r="A208" s="137" t="s">
        <v>477</v>
      </c>
      <c r="B208" s="137" t="s">
        <v>478</v>
      </c>
      <c r="C208" s="137">
        <v>2018</v>
      </c>
      <c r="D208" s="137">
        <v>5.0999999999999996</v>
      </c>
      <c r="E208" s="137">
        <v>6.4</v>
      </c>
      <c r="F208" s="137" t="s">
        <v>193</v>
      </c>
      <c r="G208" s="137">
        <v>0.3</v>
      </c>
      <c r="H208" s="137" t="s">
        <v>193</v>
      </c>
      <c r="I208" s="137" t="s">
        <v>193</v>
      </c>
      <c r="J208" s="137" t="s">
        <v>193</v>
      </c>
      <c r="K208" s="137" t="s">
        <v>193</v>
      </c>
      <c r="L208" s="137" t="s">
        <v>193</v>
      </c>
      <c r="M208" s="137" t="s">
        <v>219</v>
      </c>
      <c r="N208" s="137" t="s">
        <v>193</v>
      </c>
      <c r="O208" s="137" t="s">
        <v>193</v>
      </c>
      <c r="P208" s="137">
        <v>6.1</v>
      </c>
      <c r="Q208" s="137" t="s">
        <v>193</v>
      </c>
      <c r="R208" s="137" t="s">
        <v>193</v>
      </c>
      <c r="S208" s="137" t="s">
        <v>193</v>
      </c>
      <c r="T208" s="137" t="s">
        <v>194</v>
      </c>
      <c r="U208" s="137" t="s">
        <v>193</v>
      </c>
      <c r="V208" s="137" t="s">
        <v>193</v>
      </c>
      <c r="W208" s="137" t="s">
        <v>193</v>
      </c>
      <c r="X208" s="137" t="s">
        <v>193</v>
      </c>
      <c r="Y208" s="137" t="s">
        <v>193</v>
      </c>
      <c r="Z208" s="137" t="s">
        <v>193</v>
      </c>
      <c r="AA208" s="137" t="s">
        <v>193</v>
      </c>
      <c r="AB208" s="137" t="s">
        <v>193</v>
      </c>
      <c r="AC208" s="137" t="s">
        <v>193</v>
      </c>
      <c r="AD208" s="137" t="s">
        <v>193</v>
      </c>
      <c r="AE208" s="137" t="s">
        <v>199</v>
      </c>
      <c r="AF208" s="137" t="s">
        <v>193</v>
      </c>
      <c r="AG208" s="137" t="s">
        <v>193</v>
      </c>
      <c r="AH208" s="137" t="s">
        <v>193</v>
      </c>
      <c r="AI208" s="137" t="s">
        <v>193</v>
      </c>
      <c r="AJ208" s="137" t="s">
        <v>193</v>
      </c>
      <c r="AK208" s="137" t="s">
        <v>193</v>
      </c>
      <c r="AL208" s="137" t="s">
        <v>193</v>
      </c>
      <c r="AM208" s="137" t="s">
        <v>193</v>
      </c>
      <c r="AN208" s="137" t="s">
        <v>219</v>
      </c>
      <c r="AO208" s="137" t="s">
        <v>193</v>
      </c>
      <c r="AP208" s="137" t="s">
        <v>193</v>
      </c>
      <c r="AQ208" s="137" t="s">
        <v>193</v>
      </c>
      <c r="AR208" s="137" t="s">
        <v>193</v>
      </c>
      <c r="AV208" s="1">
        <f t="shared" si="29"/>
        <v>6.3999999999999995</v>
      </c>
      <c r="AW208" s="1">
        <f t="shared" si="23"/>
        <v>5.0999999999999996</v>
      </c>
      <c r="AX208" s="13">
        <f t="shared" si="27"/>
        <v>0.796875</v>
      </c>
      <c r="BA208" s="12">
        <f t="shared" si="24"/>
        <v>0</v>
      </c>
      <c r="BB208" s="12">
        <f t="shared" si="28"/>
        <v>0</v>
      </c>
      <c r="BC208" s="12">
        <f t="shared" si="28"/>
        <v>0</v>
      </c>
      <c r="BD208" s="12">
        <f t="shared" si="28"/>
        <v>0</v>
      </c>
      <c r="BE208" s="12">
        <f t="shared" si="28"/>
        <v>0</v>
      </c>
      <c r="BF208" s="12">
        <f t="shared" si="25"/>
        <v>0</v>
      </c>
      <c r="BJ208" s="12" t="str">
        <f t="shared" si="26"/>
        <v/>
      </c>
      <c r="BK208" s="12">
        <f>VLOOKUP(B208,Kraftvärmeprod!$B$1:$BH$549,MATCH($BA$1,Kraftvärmeprod!$B$1:$CC$1,0),FALSE)</f>
        <v>0</v>
      </c>
    </row>
    <row r="209" spans="1:63" ht="15" customHeight="1" x14ac:dyDescent="0.25">
      <c r="A209" s="137" t="s">
        <v>477</v>
      </c>
      <c r="B209" s="137" t="s">
        <v>479</v>
      </c>
      <c r="C209" s="137">
        <v>2018</v>
      </c>
      <c r="D209" s="137">
        <v>62.7</v>
      </c>
      <c r="E209" s="137">
        <v>73.2</v>
      </c>
      <c r="F209" s="137" t="s">
        <v>193</v>
      </c>
      <c r="G209" s="137">
        <v>2.4</v>
      </c>
      <c r="H209" s="137" t="s">
        <v>193</v>
      </c>
      <c r="I209" s="137" t="s">
        <v>193</v>
      </c>
      <c r="J209" s="137" t="s">
        <v>193</v>
      </c>
      <c r="K209" s="137" t="s">
        <v>193</v>
      </c>
      <c r="L209" s="137" t="s">
        <v>193</v>
      </c>
      <c r="M209" s="137" t="s">
        <v>219</v>
      </c>
      <c r="N209" s="137">
        <v>23.6</v>
      </c>
      <c r="O209" s="137">
        <v>9.6</v>
      </c>
      <c r="P209" s="137">
        <v>29.8</v>
      </c>
      <c r="Q209" s="137" t="s">
        <v>193</v>
      </c>
      <c r="R209" s="137" t="s">
        <v>193</v>
      </c>
      <c r="S209" s="137" t="s">
        <v>193</v>
      </c>
      <c r="T209" s="137" t="s">
        <v>194</v>
      </c>
      <c r="U209" s="137" t="s">
        <v>193</v>
      </c>
      <c r="V209" s="137" t="s">
        <v>193</v>
      </c>
      <c r="W209" s="137" t="s">
        <v>193</v>
      </c>
      <c r="X209" s="137" t="s">
        <v>193</v>
      </c>
      <c r="Y209" s="137" t="s">
        <v>193</v>
      </c>
      <c r="Z209" s="137" t="s">
        <v>193</v>
      </c>
      <c r="AA209" s="137" t="s">
        <v>193</v>
      </c>
      <c r="AB209" s="137" t="s">
        <v>193</v>
      </c>
      <c r="AC209" s="137" t="s">
        <v>193</v>
      </c>
      <c r="AD209" s="137" t="s">
        <v>193</v>
      </c>
      <c r="AE209" s="137" t="s">
        <v>199</v>
      </c>
      <c r="AF209" s="137" t="s">
        <v>193</v>
      </c>
      <c r="AG209" s="137">
        <v>1</v>
      </c>
      <c r="AH209" s="137">
        <v>6.8</v>
      </c>
      <c r="AI209" s="137" t="s">
        <v>193</v>
      </c>
      <c r="AJ209" s="137" t="s">
        <v>193</v>
      </c>
      <c r="AK209" s="137" t="s">
        <v>193</v>
      </c>
      <c r="AL209" s="137" t="s">
        <v>193</v>
      </c>
      <c r="AM209" s="137" t="s">
        <v>193</v>
      </c>
      <c r="AN209" s="137" t="s">
        <v>219</v>
      </c>
      <c r="AO209" s="137">
        <v>100</v>
      </c>
      <c r="AP209" s="137" t="s">
        <v>193</v>
      </c>
      <c r="AQ209" s="137" t="s">
        <v>193</v>
      </c>
      <c r="AR209" s="137" t="s">
        <v>193</v>
      </c>
      <c r="AV209" s="1">
        <f t="shared" si="29"/>
        <v>73.2</v>
      </c>
      <c r="AW209" s="1">
        <f t="shared" si="23"/>
        <v>62.7</v>
      </c>
      <c r="AX209" s="13">
        <f t="shared" si="27"/>
        <v>0.85655737704918034</v>
      </c>
      <c r="BA209" s="12">
        <f t="shared" si="24"/>
        <v>6.8</v>
      </c>
      <c r="BB209" s="12">
        <f t="shared" si="28"/>
        <v>6.8</v>
      </c>
      <c r="BC209" s="12">
        <f t="shared" si="28"/>
        <v>0</v>
      </c>
      <c r="BD209" s="12">
        <f t="shared" si="28"/>
        <v>0</v>
      </c>
      <c r="BE209" s="12">
        <f t="shared" si="28"/>
        <v>0</v>
      </c>
      <c r="BF209" s="12">
        <f t="shared" si="25"/>
        <v>0</v>
      </c>
      <c r="BJ209" s="12" t="str">
        <f t="shared" si="26"/>
        <v/>
      </c>
      <c r="BK209" s="12">
        <f>VLOOKUP(B209,Kraftvärmeprod!$B$1:$BH$549,MATCH($BA$1,Kraftvärmeprod!$B$1:$CC$1,0),FALSE)</f>
        <v>13.8</v>
      </c>
    </row>
    <row r="210" spans="1:63" ht="15" customHeight="1" x14ac:dyDescent="0.25">
      <c r="A210" s="137" t="s">
        <v>480</v>
      </c>
      <c r="B210" s="137" t="s">
        <v>481</v>
      </c>
      <c r="C210" s="137">
        <v>2018</v>
      </c>
      <c r="D210" s="137" t="s">
        <v>53</v>
      </c>
      <c r="E210" s="137" t="s">
        <v>53</v>
      </c>
      <c r="F210" s="137" t="s">
        <v>53</v>
      </c>
      <c r="G210" s="137" t="s">
        <v>53</v>
      </c>
      <c r="H210" s="137" t="s">
        <v>53</v>
      </c>
      <c r="I210" s="137" t="s">
        <v>53</v>
      </c>
      <c r="J210" s="137" t="s">
        <v>53</v>
      </c>
      <c r="K210" s="137" t="s">
        <v>53</v>
      </c>
      <c r="L210" s="137" t="s">
        <v>53</v>
      </c>
      <c r="M210" s="137" t="s">
        <v>53</v>
      </c>
      <c r="N210" s="137" t="s">
        <v>53</v>
      </c>
      <c r="O210" s="137" t="s">
        <v>53</v>
      </c>
      <c r="P210" s="137" t="s">
        <v>53</v>
      </c>
      <c r="Q210" s="137" t="s">
        <v>53</v>
      </c>
      <c r="R210" s="137" t="s">
        <v>53</v>
      </c>
      <c r="S210" s="137" t="s">
        <v>53</v>
      </c>
      <c r="T210" s="137" t="s">
        <v>53</v>
      </c>
      <c r="U210" s="137" t="s">
        <v>53</v>
      </c>
      <c r="V210" s="137" t="s">
        <v>53</v>
      </c>
      <c r="W210" s="137" t="s">
        <v>53</v>
      </c>
      <c r="X210" s="137" t="s">
        <v>53</v>
      </c>
      <c r="Y210" s="137" t="s">
        <v>53</v>
      </c>
      <c r="Z210" s="137" t="s">
        <v>53</v>
      </c>
      <c r="AA210" s="137" t="s">
        <v>53</v>
      </c>
      <c r="AB210" s="137" t="s">
        <v>53</v>
      </c>
      <c r="AC210" s="137" t="s">
        <v>53</v>
      </c>
      <c r="AD210" s="137" t="s">
        <v>53</v>
      </c>
      <c r="AE210" s="137" t="s">
        <v>53</v>
      </c>
      <c r="AF210" s="137" t="s">
        <v>53</v>
      </c>
      <c r="AG210" s="137" t="s">
        <v>53</v>
      </c>
      <c r="AH210" s="137" t="s">
        <v>53</v>
      </c>
      <c r="AI210" s="137" t="s">
        <v>53</v>
      </c>
      <c r="AJ210" s="137" t="s">
        <v>53</v>
      </c>
      <c r="AK210" s="137" t="s">
        <v>53</v>
      </c>
      <c r="AL210" s="137" t="s">
        <v>53</v>
      </c>
      <c r="AM210" s="137" t="s">
        <v>53</v>
      </c>
      <c r="AN210" s="137" t="s">
        <v>53</v>
      </c>
      <c r="AO210" s="137" t="s">
        <v>53</v>
      </c>
      <c r="AP210" s="137" t="s">
        <v>53</v>
      </c>
      <c r="AQ210" s="137" t="s">
        <v>53</v>
      </c>
      <c r="AR210" s="137" t="s">
        <v>53</v>
      </c>
      <c r="AV210" s="1">
        <f t="shared" si="29"/>
        <v>0</v>
      </c>
      <c r="AW210" s="1">
        <f t="shared" si="23"/>
        <v>0</v>
      </c>
      <c r="AX210" s="13" t="str">
        <f t="shared" si="27"/>
        <v/>
      </c>
      <c r="BA210" s="12">
        <f t="shared" si="24"/>
        <v>0</v>
      </c>
      <c r="BB210" s="12">
        <f t="shared" si="28"/>
        <v>0</v>
      </c>
      <c r="BC210" s="12">
        <f t="shared" si="28"/>
        <v>0</v>
      </c>
      <c r="BD210" s="12">
        <f t="shared" si="28"/>
        <v>0</v>
      </c>
      <c r="BE210" s="12">
        <f t="shared" si="28"/>
        <v>0</v>
      </c>
      <c r="BF210" s="12">
        <f t="shared" si="25"/>
        <v>0</v>
      </c>
      <c r="BJ210" s="12" t="str">
        <f t="shared" si="26"/>
        <v/>
      </c>
      <c r="BK210" s="12">
        <f>VLOOKUP(B210,Kraftvärmeprod!$B$1:$BH$549,MATCH($BA$1,Kraftvärmeprod!$B$1:$CC$1,0),FALSE)</f>
        <v>0</v>
      </c>
    </row>
    <row r="211" spans="1:63" ht="15" customHeight="1" x14ac:dyDescent="0.25">
      <c r="A211" s="137" t="s">
        <v>115</v>
      </c>
      <c r="B211" s="137" t="s">
        <v>482</v>
      </c>
      <c r="C211" s="137">
        <v>2018</v>
      </c>
      <c r="D211" s="137">
        <v>623.09</v>
      </c>
      <c r="E211" s="137">
        <v>638.77</v>
      </c>
      <c r="F211" s="137" t="s">
        <v>193</v>
      </c>
      <c r="G211" s="137">
        <v>2.5499999999999998</v>
      </c>
      <c r="H211" s="137" t="s">
        <v>193</v>
      </c>
      <c r="I211" s="137">
        <v>5.54</v>
      </c>
      <c r="J211" s="137" t="s">
        <v>193</v>
      </c>
      <c r="K211" s="137" t="s">
        <v>193</v>
      </c>
      <c r="L211" s="137" t="s">
        <v>193</v>
      </c>
      <c r="M211" s="137" t="s">
        <v>53</v>
      </c>
      <c r="N211" s="137" t="s">
        <v>193</v>
      </c>
      <c r="O211" s="137" t="s">
        <v>193</v>
      </c>
      <c r="P211" s="137" t="s">
        <v>193</v>
      </c>
      <c r="Q211" s="137" t="s">
        <v>193</v>
      </c>
      <c r="R211" s="137" t="s">
        <v>193</v>
      </c>
      <c r="S211" s="137" t="s">
        <v>193</v>
      </c>
      <c r="T211" s="137" t="s">
        <v>193</v>
      </c>
      <c r="U211" s="137" t="s">
        <v>193</v>
      </c>
      <c r="V211" s="137" t="s">
        <v>193</v>
      </c>
      <c r="W211" s="137">
        <v>192.54</v>
      </c>
      <c r="X211" s="137" t="s">
        <v>193</v>
      </c>
      <c r="Y211" s="137">
        <v>5.15</v>
      </c>
      <c r="Z211" s="137">
        <v>2.58</v>
      </c>
      <c r="AA211" s="137" t="s">
        <v>193</v>
      </c>
      <c r="AB211" s="137" t="s">
        <v>193</v>
      </c>
      <c r="AC211" s="137" t="s">
        <v>193</v>
      </c>
      <c r="AD211" s="137" t="s">
        <v>193</v>
      </c>
      <c r="AE211" s="137" t="s">
        <v>53</v>
      </c>
      <c r="AF211" s="137" t="s">
        <v>193</v>
      </c>
      <c r="AG211" s="137" t="s">
        <v>193</v>
      </c>
      <c r="AH211" s="137" t="s">
        <v>193</v>
      </c>
      <c r="AI211" s="137">
        <v>430.41</v>
      </c>
      <c r="AJ211" s="137" t="s">
        <v>240</v>
      </c>
      <c r="AK211" s="137">
        <v>147.62</v>
      </c>
      <c r="AL211" s="137" t="s">
        <v>193</v>
      </c>
      <c r="AM211" s="137" t="s">
        <v>193</v>
      </c>
      <c r="AN211" s="137" t="s">
        <v>53</v>
      </c>
      <c r="AO211" s="137" t="s">
        <v>193</v>
      </c>
      <c r="AP211" s="137" t="s">
        <v>193</v>
      </c>
      <c r="AQ211" s="137" t="s">
        <v>193</v>
      </c>
      <c r="AR211" s="137" t="s">
        <v>193</v>
      </c>
      <c r="AV211" s="1">
        <f t="shared" si="29"/>
        <v>638.77</v>
      </c>
      <c r="AW211" s="1">
        <f t="shared" si="23"/>
        <v>623.09</v>
      </c>
      <c r="AX211" s="13">
        <f t="shared" si="27"/>
        <v>0.97545282339496231</v>
      </c>
      <c r="BA211" s="12">
        <f t="shared" si="24"/>
        <v>0</v>
      </c>
      <c r="BB211" s="12">
        <f t="shared" si="28"/>
        <v>0</v>
      </c>
      <c r="BC211" s="12">
        <f t="shared" si="28"/>
        <v>0</v>
      </c>
      <c r="BD211" s="12">
        <f t="shared" si="28"/>
        <v>0</v>
      </c>
      <c r="BE211" s="12">
        <f t="shared" si="28"/>
        <v>0</v>
      </c>
      <c r="BF211" s="12">
        <f t="shared" si="25"/>
        <v>0</v>
      </c>
      <c r="BJ211" s="12" t="str">
        <f t="shared" si="26"/>
        <v/>
      </c>
      <c r="BK211" s="12">
        <f>VLOOKUP(B211,Kraftvärmeprod!$B$1:$BH$549,MATCH($BA$1,Kraftvärmeprod!$B$1:$CC$1,0),FALSE)</f>
        <v>0</v>
      </c>
    </row>
    <row r="212" spans="1:63" ht="15" customHeight="1" x14ac:dyDescent="0.25">
      <c r="A212" s="137" t="s">
        <v>483</v>
      </c>
      <c r="B212" s="137" t="s">
        <v>484</v>
      </c>
      <c r="C212" s="137">
        <v>2018</v>
      </c>
      <c r="D212" s="137">
        <v>14.698</v>
      </c>
      <c r="E212" s="137">
        <v>15.461</v>
      </c>
      <c r="F212" s="137" t="s">
        <v>193</v>
      </c>
      <c r="G212" s="137">
        <v>1E-3</v>
      </c>
      <c r="H212" s="137" t="s">
        <v>193</v>
      </c>
      <c r="I212" s="137" t="s">
        <v>193</v>
      </c>
      <c r="J212" s="137" t="s">
        <v>193</v>
      </c>
      <c r="K212" s="137" t="s">
        <v>193</v>
      </c>
      <c r="L212" s="137" t="s">
        <v>193</v>
      </c>
      <c r="M212" s="137" t="s">
        <v>53</v>
      </c>
      <c r="N212" s="137" t="s">
        <v>193</v>
      </c>
      <c r="O212" s="137" t="s">
        <v>193</v>
      </c>
      <c r="P212" s="137" t="s">
        <v>193</v>
      </c>
      <c r="Q212" s="137" t="s">
        <v>193</v>
      </c>
      <c r="R212" s="137" t="s">
        <v>193</v>
      </c>
      <c r="S212" s="137" t="s">
        <v>193</v>
      </c>
      <c r="T212" s="137" t="s">
        <v>193</v>
      </c>
      <c r="U212" s="137">
        <v>15.46</v>
      </c>
      <c r="V212" s="137" t="s">
        <v>193</v>
      </c>
      <c r="W212" s="137" t="s">
        <v>193</v>
      </c>
      <c r="X212" s="137" t="s">
        <v>193</v>
      </c>
      <c r="Y212" s="137" t="s">
        <v>193</v>
      </c>
      <c r="Z212" s="137" t="s">
        <v>193</v>
      </c>
      <c r="AA212" s="137" t="s">
        <v>193</v>
      </c>
      <c r="AB212" s="137" t="s">
        <v>193</v>
      </c>
      <c r="AC212" s="137" t="s">
        <v>193</v>
      </c>
      <c r="AD212" s="137" t="s">
        <v>193</v>
      </c>
      <c r="AE212" s="137" t="s">
        <v>199</v>
      </c>
      <c r="AF212" s="137" t="s">
        <v>193</v>
      </c>
      <c r="AG212" s="137" t="s">
        <v>193</v>
      </c>
      <c r="AH212" s="137" t="s">
        <v>193</v>
      </c>
      <c r="AI212" s="137" t="s">
        <v>193</v>
      </c>
      <c r="AJ212" s="137" t="s">
        <v>193</v>
      </c>
      <c r="AK212" s="137" t="s">
        <v>193</v>
      </c>
      <c r="AL212" s="137" t="s">
        <v>193</v>
      </c>
      <c r="AM212" s="137" t="s">
        <v>193</v>
      </c>
      <c r="AN212" s="137" t="s">
        <v>53</v>
      </c>
      <c r="AO212" s="137" t="s">
        <v>193</v>
      </c>
      <c r="AP212" s="137" t="s">
        <v>193</v>
      </c>
      <c r="AQ212" s="137" t="s">
        <v>193</v>
      </c>
      <c r="AR212" s="137" t="s">
        <v>193</v>
      </c>
      <c r="AV212" s="1">
        <f t="shared" si="29"/>
        <v>15.461</v>
      </c>
      <c r="AW212" s="1">
        <f t="shared" si="23"/>
        <v>14.698</v>
      </c>
      <c r="AX212" s="13">
        <f t="shared" si="27"/>
        <v>0.95065002263760434</v>
      </c>
      <c r="BA212" s="12">
        <f t="shared" si="24"/>
        <v>0</v>
      </c>
      <c r="BB212" s="12">
        <f t="shared" si="28"/>
        <v>0</v>
      </c>
      <c r="BC212" s="12">
        <f t="shared" si="28"/>
        <v>0</v>
      </c>
      <c r="BD212" s="12">
        <f t="shared" si="28"/>
        <v>0</v>
      </c>
      <c r="BE212" s="12">
        <f t="shared" si="28"/>
        <v>0</v>
      </c>
      <c r="BF212" s="12">
        <f t="shared" si="25"/>
        <v>0</v>
      </c>
      <c r="BJ212" s="12" t="str">
        <f t="shared" si="26"/>
        <v/>
      </c>
      <c r="BK212" s="12">
        <f>VLOOKUP(B212,Kraftvärmeprod!$B$1:$BH$549,MATCH($BA$1,Kraftvärmeprod!$B$1:$CC$1,0),FALSE)</f>
        <v>0</v>
      </c>
    </row>
    <row r="213" spans="1:63" ht="15" customHeight="1" x14ac:dyDescent="0.25">
      <c r="A213" s="137" t="s">
        <v>483</v>
      </c>
      <c r="B213" s="137" t="s">
        <v>485</v>
      </c>
      <c r="C213" s="137">
        <v>2018</v>
      </c>
      <c r="D213" s="137">
        <v>35464</v>
      </c>
      <c r="E213" s="137">
        <v>43.777999999999999</v>
      </c>
      <c r="F213" s="137" t="s">
        <v>193</v>
      </c>
      <c r="G213" s="137">
        <v>0.55300000000000005</v>
      </c>
      <c r="H213" s="137" t="s">
        <v>193</v>
      </c>
      <c r="I213" s="137" t="s">
        <v>193</v>
      </c>
      <c r="J213" s="137" t="s">
        <v>193</v>
      </c>
      <c r="K213" s="137" t="s">
        <v>193</v>
      </c>
      <c r="L213" s="137" t="s">
        <v>193</v>
      </c>
      <c r="M213" s="137" t="s">
        <v>53</v>
      </c>
      <c r="N213" s="137">
        <v>28.241</v>
      </c>
      <c r="O213" s="137">
        <v>0</v>
      </c>
      <c r="P213" s="137">
        <v>8.843</v>
      </c>
      <c r="Q213" s="137">
        <v>0</v>
      </c>
      <c r="R213" s="137">
        <v>0</v>
      </c>
      <c r="S213" s="137">
        <v>0</v>
      </c>
      <c r="T213" s="137" t="s">
        <v>194</v>
      </c>
      <c r="U213" s="137" t="s">
        <v>193</v>
      </c>
      <c r="V213" s="137" t="s">
        <v>193</v>
      </c>
      <c r="W213" s="137" t="s">
        <v>193</v>
      </c>
      <c r="X213" s="137" t="s">
        <v>193</v>
      </c>
      <c r="Y213" s="137" t="s">
        <v>193</v>
      </c>
      <c r="Z213" s="137" t="s">
        <v>193</v>
      </c>
      <c r="AA213" s="137" t="s">
        <v>193</v>
      </c>
      <c r="AB213" s="137" t="s">
        <v>193</v>
      </c>
      <c r="AC213" s="137" t="s">
        <v>193</v>
      </c>
      <c r="AD213" s="137" t="s">
        <v>193</v>
      </c>
      <c r="AE213" s="137" t="s">
        <v>199</v>
      </c>
      <c r="AF213" s="137" t="s">
        <v>193</v>
      </c>
      <c r="AG213" s="137" t="s">
        <v>193</v>
      </c>
      <c r="AH213" s="137">
        <v>5.3120000000000003</v>
      </c>
      <c r="AI213" s="137" t="s">
        <v>193</v>
      </c>
      <c r="AJ213" s="137" t="s">
        <v>193</v>
      </c>
      <c r="AK213" s="137" t="s">
        <v>193</v>
      </c>
      <c r="AL213" s="137">
        <v>0.82899999999999996</v>
      </c>
      <c r="AM213" s="137">
        <v>0.88</v>
      </c>
      <c r="AN213" s="137" t="s">
        <v>53</v>
      </c>
      <c r="AO213" s="137">
        <v>100</v>
      </c>
      <c r="AP213" s="137">
        <v>0</v>
      </c>
      <c r="AQ213" s="137">
        <v>0</v>
      </c>
      <c r="AR213" s="137">
        <v>0</v>
      </c>
      <c r="AV213" s="1">
        <f t="shared" si="29"/>
        <v>43.777999999999999</v>
      </c>
      <c r="AW213" s="1">
        <f t="shared" si="23"/>
        <v>35464</v>
      </c>
      <c r="AX213" s="13">
        <f t="shared" si="27"/>
        <v>810.08725844031255</v>
      </c>
      <c r="BA213" s="12">
        <f t="shared" si="24"/>
        <v>5.3120000000000003</v>
      </c>
      <c r="BB213" s="12">
        <f t="shared" si="28"/>
        <v>5.3120000000000003</v>
      </c>
      <c r="BC213" s="12">
        <f t="shared" si="28"/>
        <v>0</v>
      </c>
      <c r="BD213" s="12">
        <f t="shared" si="28"/>
        <v>0</v>
      </c>
      <c r="BE213" s="12">
        <f t="shared" si="28"/>
        <v>0</v>
      </c>
      <c r="BF213" s="12">
        <f t="shared" si="25"/>
        <v>0</v>
      </c>
      <c r="BJ213" s="12" t="str">
        <f t="shared" si="26"/>
        <v/>
      </c>
      <c r="BK213" s="12">
        <f>VLOOKUP(B213,Kraftvärmeprod!$B$1:$BH$549,MATCH($BA$1,Kraftvärmeprod!$B$1:$CC$1,0),FALSE)</f>
        <v>23.058</v>
      </c>
    </row>
    <row r="214" spans="1:63" ht="15" customHeight="1" x14ac:dyDescent="0.25">
      <c r="A214" s="137" t="s">
        <v>483</v>
      </c>
      <c r="B214" s="137" t="s">
        <v>486</v>
      </c>
      <c r="C214" s="137">
        <v>2018</v>
      </c>
      <c r="D214" s="137">
        <v>20.347999999999999</v>
      </c>
      <c r="E214" s="137">
        <v>24.486000000000001</v>
      </c>
      <c r="F214" s="137" t="s">
        <v>193</v>
      </c>
      <c r="G214" s="137">
        <v>1.3009999999999999</v>
      </c>
      <c r="H214" s="137" t="s">
        <v>193</v>
      </c>
      <c r="I214" s="137" t="s">
        <v>193</v>
      </c>
      <c r="J214" s="137" t="s">
        <v>193</v>
      </c>
      <c r="K214" s="137" t="s">
        <v>193</v>
      </c>
      <c r="L214" s="137" t="s">
        <v>193</v>
      </c>
      <c r="M214" s="137" t="s">
        <v>53</v>
      </c>
      <c r="N214" s="137">
        <v>0</v>
      </c>
      <c r="O214" s="137">
        <v>0</v>
      </c>
      <c r="P214" s="137">
        <v>19.702000000000002</v>
      </c>
      <c r="Q214" s="137">
        <v>0</v>
      </c>
      <c r="R214" s="137">
        <v>0</v>
      </c>
      <c r="S214" s="137">
        <v>0</v>
      </c>
      <c r="T214" s="137" t="s">
        <v>194</v>
      </c>
      <c r="U214" s="137" t="s">
        <v>193</v>
      </c>
      <c r="V214" s="137" t="s">
        <v>193</v>
      </c>
      <c r="W214" s="137" t="s">
        <v>193</v>
      </c>
      <c r="X214" s="137" t="s">
        <v>193</v>
      </c>
      <c r="Y214" s="137" t="s">
        <v>193</v>
      </c>
      <c r="Z214" s="137" t="s">
        <v>193</v>
      </c>
      <c r="AA214" s="137" t="s">
        <v>193</v>
      </c>
      <c r="AB214" s="137" t="s">
        <v>193</v>
      </c>
      <c r="AC214" s="137" t="s">
        <v>193</v>
      </c>
      <c r="AD214" s="137" t="s">
        <v>193</v>
      </c>
      <c r="AE214" s="137" t="s">
        <v>199</v>
      </c>
      <c r="AF214" s="137" t="s">
        <v>193</v>
      </c>
      <c r="AG214" s="137" t="s">
        <v>193</v>
      </c>
      <c r="AH214" s="137">
        <v>2.0960000000000001</v>
      </c>
      <c r="AI214" s="137" t="s">
        <v>193</v>
      </c>
      <c r="AJ214" s="137" t="s">
        <v>193</v>
      </c>
      <c r="AK214" s="137" t="s">
        <v>193</v>
      </c>
      <c r="AL214" s="137">
        <v>1.387</v>
      </c>
      <c r="AM214" s="137">
        <v>1.4159999999999999</v>
      </c>
      <c r="AN214" s="137" t="s">
        <v>53</v>
      </c>
      <c r="AO214" s="137">
        <v>100</v>
      </c>
      <c r="AP214" s="137">
        <v>0</v>
      </c>
      <c r="AQ214" s="137">
        <v>0</v>
      </c>
      <c r="AR214" s="137">
        <v>0</v>
      </c>
      <c r="AV214" s="1">
        <f t="shared" si="29"/>
        <v>24.486000000000001</v>
      </c>
      <c r="AW214" s="1">
        <f t="shared" si="23"/>
        <v>20.347999999999999</v>
      </c>
      <c r="AX214" s="13">
        <f t="shared" si="27"/>
        <v>0.83100547251490642</v>
      </c>
      <c r="BA214" s="12">
        <f t="shared" si="24"/>
        <v>2.0960000000000001</v>
      </c>
      <c r="BB214" s="12">
        <f t="shared" si="28"/>
        <v>2.0960000000000001</v>
      </c>
      <c r="BC214" s="12">
        <f t="shared" si="28"/>
        <v>0</v>
      </c>
      <c r="BD214" s="12">
        <f t="shared" si="28"/>
        <v>0</v>
      </c>
      <c r="BE214" s="12">
        <f t="shared" si="28"/>
        <v>0</v>
      </c>
      <c r="BF214" s="12">
        <f t="shared" si="25"/>
        <v>0</v>
      </c>
      <c r="BJ214" s="12" t="str">
        <f t="shared" si="26"/>
        <v/>
      </c>
      <c r="BK214" s="12">
        <f>VLOOKUP(B214,Kraftvärmeprod!$B$1:$BH$549,MATCH($BA$1,Kraftvärmeprod!$B$1:$CC$1,0),FALSE)</f>
        <v>0</v>
      </c>
    </row>
    <row r="215" spans="1:63" ht="15" customHeight="1" x14ac:dyDescent="0.25">
      <c r="A215" s="137" t="s">
        <v>487</v>
      </c>
      <c r="B215" s="137" t="s">
        <v>488</v>
      </c>
      <c r="C215" s="137">
        <v>2018</v>
      </c>
      <c r="D215" s="137">
        <v>8</v>
      </c>
      <c r="E215" s="137">
        <v>10.7</v>
      </c>
      <c r="F215" s="137" t="s">
        <v>193</v>
      </c>
      <c r="G215" s="137" t="s">
        <v>193</v>
      </c>
      <c r="H215" s="137" t="s">
        <v>193</v>
      </c>
      <c r="I215" s="137" t="s">
        <v>193</v>
      </c>
      <c r="J215" s="137" t="s">
        <v>193</v>
      </c>
      <c r="K215" s="137" t="s">
        <v>193</v>
      </c>
      <c r="L215" s="137" t="s">
        <v>193</v>
      </c>
      <c r="M215" s="137" t="s">
        <v>53</v>
      </c>
      <c r="N215" s="137" t="s">
        <v>193</v>
      </c>
      <c r="O215" s="137" t="s">
        <v>193</v>
      </c>
      <c r="P215" s="137">
        <v>10.6</v>
      </c>
      <c r="Q215" s="137" t="s">
        <v>193</v>
      </c>
      <c r="R215" s="137" t="s">
        <v>193</v>
      </c>
      <c r="S215" s="137" t="s">
        <v>193</v>
      </c>
      <c r="T215" s="137" t="s">
        <v>193</v>
      </c>
      <c r="U215" s="137">
        <v>0.1</v>
      </c>
      <c r="V215" s="137" t="s">
        <v>193</v>
      </c>
      <c r="W215" s="137" t="s">
        <v>193</v>
      </c>
      <c r="X215" s="137" t="s">
        <v>193</v>
      </c>
      <c r="Y215" s="137" t="s">
        <v>193</v>
      </c>
      <c r="Z215" s="137" t="s">
        <v>193</v>
      </c>
      <c r="AA215" s="137" t="s">
        <v>193</v>
      </c>
      <c r="AB215" s="137" t="s">
        <v>193</v>
      </c>
      <c r="AC215" s="137" t="s">
        <v>193</v>
      </c>
      <c r="AD215" s="137" t="s">
        <v>193</v>
      </c>
      <c r="AE215" s="137" t="s">
        <v>53</v>
      </c>
      <c r="AF215" s="137" t="s">
        <v>193</v>
      </c>
      <c r="AG215" s="137" t="s">
        <v>193</v>
      </c>
      <c r="AH215" s="137" t="s">
        <v>193</v>
      </c>
      <c r="AI215" s="137" t="s">
        <v>193</v>
      </c>
      <c r="AJ215" s="137" t="s">
        <v>193</v>
      </c>
      <c r="AK215" s="137" t="s">
        <v>193</v>
      </c>
      <c r="AL215" s="137" t="s">
        <v>193</v>
      </c>
      <c r="AM215" s="137" t="s">
        <v>193</v>
      </c>
      <c r="AN215" s="137" t="s">
        <v>53</v>
      </c>
      <c r="AO215" s="137" t="s">
        <v>193</v>
      </c>
      <c r="AP215" s="137" t="s">
        <v>193</v>
      </c>
      <c r="AQ215" s="137" t="s">
        <v>193</v>
      </c>
      <c r="AR215" s="137" t="s">
        <v>193</v>
      </c>
      <c r="AV215" s="1">
        <f t="shared" si="29"/>
        <v>10.7</v>
      </c>
      <c r="AW215" s="1">
        <f t="shared" si="23"/>
        <v>8</v>
      </c>
      <c r="AX215" s="13">
        <f t="shared" si="27"/>
        <v>0.74766355140186924</v>
      </c>
      <c r="BA215" s="12">
        <f t="shared" si="24"/>
        <v>0</v>
      </c>
      <c r="BB215" s="12">
        <f t="shared" si="28"/>
        <v>0</v>
      </c>
      <c r="BC215" s="12">
        <f t="shared" si="28"/>
        <v>0</v>
      </c>
      <c r="BD215" s="12">
        <f t="shared" si="28"/>
        <v>0</v>
      </c>
      <c r="BE215" s="12">
        <f t="shared" si="28"/>
        <v>0</v>
      </c>
      <c r="BF215" s="12">
        <f t="shared" si="25"/>
        <v>0</v>
      </c>
      <c r="BJ215" s="12" t="str">
        <f t="shared" si="26"/>
        <v/>
      </c>
      <c r="BK215" s="12">
        <f>VLOOKUP(B215,Kraftvärmeprod!$B$1:$BH$549,MATCH($BA$1,Kraftvärmeprod!$B$1:$CC$1,0),FALSE)</f>
        <v>0</v>
      </c>
    </row>
    <row r="216" spans="1:63" ht="15" customHeight="1" x14ac:dyDescent="0.25">
      <c r="A216" s="137" t="s">
        <v>489</v>
      </c>
      <c r="B216" s="137" t="s">
        <v>490</v>
      </c>
      <c r="C216" s="137">
        <v>2018</v>
      </c>
      <c r="D216" s="137">
        <v>0.03</v>
      </c>
      <c r="E216" s="137" t="s">
        <v>193</v>
      </c>
      <c r="F216" s="137" t="s">
        <v>193</v>
      </c>
      <c r="G216" s="137" t="s">
        <v>193</v>
      </c>
      <c r="H216" s="137" t="s">
        <v>193</v>
      </c>
      <c r="I216" s="137" t="s">
        <v>193</v>
      </c>
      <c r="J216" s="137" t="s">
        <v>193</v>
      </c>
      <c r="K216" s="137" t="s">
        <v>193</v>
      </c>
      <c r="L216" s="137" t="s">
        <v>193</v>
      </c>
      <c r="M216" s="137" t="s">
        <v>219</v>
      </c>
      <c r="N216" s="137" t="s">
        <v>193</v>
      </c>
      <c r="O216" s="137" t="s">
        <v>193</v>
      </c>
      <c r="P216" s="137" t="s">
        <v>193</v>
      </c>
      <c r="Q216" s="137" t="s">
        <v>193</v>
      </c>
      <c r="R216" s="137" t="s">
        <v>193</v>
      </c>
      <c r="S216" s="137" t="s">
        <v>193</v>
      </c>
      <c r="T216" s="137" t="s">
        <v>193</v>
      </c>
      <c r="U216" s="137" t="s">
        <v>193</v>
      </c>
      <c r="V216" s="137" t="s">
        <v>193</v>
      </c>
      <c r="W216" s="137" t="s">
        <v>193</v>
      </c>
      <c r="X216" s="137" t="s">
        <v>193</v>
      </c>
      <c r="Y216" s="137" t="s">
        <v>193</v>
      </c>
      <c r="Z216" s="137" t="s">
        <v>193</v>
      </c>
      <c r="AA216" s="137" t="s">
        <v>193</v>
      </c>
      <c r="AB216" s="137" t="s">
        <v>193</v>
      </c>
      <c r="AC216" s="137" t="s">
        <v>193</v>
      </c>
      <c r="AD216" s="137" t="s">
        <v>193</v>
      </c>
      <c r="AE216" s="137" t="s">
        <v>199</v>
      </c>
      <c r="AF216" s="137" t="s">
        <v>193</v>
      </c>
      <c r="AG216" s="137" t="s">
        <v>193</v>
      </c>
      <c r="AH216" s="137" t="s">
        <v>193</v>
      </c>
      <c r="AI216" s="137" t="s">
        <v>193</v>
      </c>
      <c r="AJ216" s="137" t="s">
        <v>193</v>
      </c>
      <c r="AK216" s="137" t="s">
        <v>193</v>
      </c>
      <c r="AL216" s="137" t="s">
        <v>193</v>
      </c>
      <c r="AM216" s="137" t="s">
        <v>193</v>
      </c>
      <c r="AN216" s="137" t="s">
        <v>219</v>
      </c>
      <c r="AO216" s="137" t="s">
        <v>193</v>
      </c>
      <c r="AP216" s="137" t="s">
        <v>193</v>
      </c>
      <c r="AQ216" s="137" t="s">
        <v>193</v>
      </c>
      <c r="AR216" s="137" t="s">
        <v>193</v>
      </c>
      <c r="AV216" s="1">
        <f t="shared" si="29"/>
        <v>0</v>
      </c>
      <c r="AW216" s="1">
        <f t="shared" si="23"/>
        <v>0.03</v>
      </c>
      <c r="AX216" s="13" t="str">
        <f t="shared" si="27"/>
        <v/>
      </c>
      <c r="BA216" s="12">
        <f t="shared" si="24"/>
        <v>0</v>
      </c>
      <c r="BB216" s="12">
        <f t="shared" si="28"/>
        <v>0</v>
      </c>
      <c r="BC216" s="12">
        <f t="shared" si="28"/>
        <v>0</v>
      </c>
      <c r="BD216" s="12">
        <f t="shared" si="28"/>
        <v>0</v>
      </c>
      <c r="BE216" s="12">
        <f t="shared" si="28"/>
        <v>0</v>
      </c>
      <c r="BF216" s="12">
        <f t="shared" si="25"/>
        <v>0</v>
      </c>
      <c r="BJ216" s="12" t="str">
        <f t="shared" si="26"/>
        <v/>
      </c>
      <c r="BK216" s="12">
        <f>VLOOKUP(B216,Kraftvärmeprod!$B$1:$BH$549,MATCH($BA$1,Kraftvärmeprod!$B$1:$CC$1,0),FALSE)</f>
        <v>0</v>
      </c>
    </row>
    <row r="217" spans="1:63" ht="15" customHeight="1" x14ac:dyDescent="0.25">
      <c r="A217" s="137" t="s">
        <v>491</v>
      </c>
      <c r="B217" s="137" t="s">
        <v>492</v>
      </c>
      <c r="C217" s="137">
        <v>2018</v>
      </c>
      <c r="D217" s="137">
        <v>1.8640000000000001</v>
      </c>
      <c r="E217" s="137">
        <v>2.11</v>
      </c>
      <c r="F217" s="137" t="s">
        <v>193</v>
      </c>
      <c r="G217" s="137">
        <v>6.8000000000000005E-2</v>
      </c>
      <c r="H217" s="137" t="s">
        <v>193</v>
      </c>
      <c r="I217" s="137" t="s">
        <v>193</v>
      </c>
      <c r="J217" s="137" t="s">
        <v>193</v>
      </c>
      <c r="K217" s="137" t="s">
        <v>193</v>
      </c>
      <c r="L217" s="137" t="s">
        <v>193</v>
      </c>
      <c r="M217" s="137" t="s">
        <v>53</v>
      </c>
      <c r="N217" s="137" t="s">
        <v>193</v>
      </c>
      <c r="O217" s="137" t="s">
        <v>193</v>
      </c>
      <c r="P217" s="137" t="s">
        <v>193</v>
      </c>
      <c r="Q217" s="137" t="s">
        <v>193</v>
      </c>
      <c r="R217" s="137" t="s">
        <v>193</v>
      </c>
      <c r="S217" s="137" t="s">
        <v>193</v>
      </c>
      <c r="T217" s="137" t="s">
        <v>193</v>
      </c>
      <c r="U217" s="137">
        <v>2.0419999999999998</v>
      </c>
      <c r="V217" s="137" t="s">
        <v>193</v>
      </c>
      <c r="W217" s="137" t="s">
        <v>193</v>
      </c>
      <c r="X217" s="137" t="s">
        <v>193</v>
      </c>
      <c r="Y217" s="137" t="s">
        <v>193</v>
      </c>
      <c r="Z217" s="137" t="s">
        <v>193</v>
      </c>
      <c r="AA217" s="137" t="s">
        <v>193</v>
      </c>
      <c r="AB217" s="137" t="s">
        <v>193</v>
      </c>
      <c r="AC217" s="137" t="s">
        <v>193</v>
      </c>
      <c r="AD217" s="137" t="s">
        <v>193</v>
      </c>
      <c r="AE217" s="137" t="s">
        <v>53</v>
      </c>
      <c r="AF217" s="137" t="s">
        <v>193</v>
      </c>
      <c r="AG217" s="137" t="s">
        <v>193</v>
      </c>
      <c r="AH217" s="137" t="s">
        <v>193</v>
      </c>
      <c r="AI217" s="137" t="s">
        <v>193</v>
      </c>
      <c r="AJ217" s="137" t="s">
        <v>193</v>
      </c>
      <c r="AK217" s="137" t="s">
        <v>193</v>
      </c>
      <c r="AL217" s="137" t="s">
        <v>193</v>
      </c>
      <c r="AM217" s="137" t="s">
        <v>193</v>
      </c>
      <c r="AN217" s="137" t="s">
        <v>53</v>
      </c>
      <c r="AO217" s="137" t="s">
        <v>193</v>
      </c>
      <c r="AP217" s="137" t="s">
        <v>193</v>
      </c>
      <c r="AQ217" s="137" t="s">
        <v>193</v>
      </c>
      <c r="AR217" s="137" t="s">
        <v>193</v>
      </c>
      <c r="AV217" s="1">
        <f t="shared" si="29"/>
        <v>2.11</v>
      </c>
      <c r="AW217" s="1">
        <f t="shared" si="23"/>
        <v>1.8640000000000001</v>
      </c>
      <c r="AX217" s="13">
        <f t="shared" si="27"/>
        <v>0.88341232227488165</v>
      </c>
      <c r="BA217" s="12">
        <f t="shared" si="24"/>
        <v>0</v>
      </c>
      <c r="BB217" s="12">
        <f t="shared" si="28"/>
        <v>0</v>
      </c>
      <c r="BC217" s="12">
        <f t="shared" si="28"/>
        <v>0</v>
      </c>
      <c r="BD217" s="12">
        <f t="shared" si="28"/>
        <v>0</v>
      </c>
      <c r="BE217" s="12">
        <f t="shared" si="28"/>
        <v>0</v>
      </c>
      <c r="BF217" s="12">
        <f t="shared" si="25"/>
        <v>0</v>
      </c>
      <c r="BJ217" s="12" t="str">
        <f t="shared" si="26"/>
        <v/>
      </c>
      <c r="BK217" s="12">
        <f>VLOOKUP(B217,Kraftvärmeprod!$B$1:$BH$549,MATCH($BA$1,Kraftvärmeprod!$B$1:$CC$1,0),FALSE)</f>
        <v>0</v>
      </c>
    </row>
    <row r="218" spans="1:63" ht="15" customHeight="1" x14ac:dyDescent="0.25">
      <c r="A218" s="137" t="s">
        <v>491</v>
      </c>
      <c r="B218" s="137" t="s">
        <v>493</v>
      </c>
      <c r="C218" s="137">
        <v>2018</v>
      </c>
      <c r="D218" s="137">
        <v>12.651</v>
      </c>
      <c r="E218" s="137">
        <v>13.308</v>
      </c>
      <c r="F218" s="137" t="s">
        <v>193</v>
      </c>
      <c r="G218" s="137">
        <v>0.42799999999999999</v>
      </c>
      <c r="H218" s="137" t="s">
        <v>193</v>
      </c>
      <c r="I218" s="137" t="s">
        <v>193</v>
      </c>
      <c r="J218" s="137" t="s">
        <v>193</v>
      </c>
      <c r="K218" s="137" t="s">
        <v>193</v>
      </c>
      <c r="L218" s="137" t="s">
        <v>193</v>
      </c>
      <c r="M218" s="137" t="s">
        <v>53</v>
      </c>
      <c r="N218" s="137" t="s">
        <v>193</v>
      </c>
      <c r="O218" s="137" t="s">
        <v>193</v>
      </c>
      <c r="P218" s="137">
        <v>10.91</v>
      </c>
      <c r="Q218" s="137" t="s">
        <v>193</v>
      </c>
      <c r="R218" s="137" t="s">
        <v>193</v>
      </c>
      <c r="S218" s="137" t="s">
        <v>193</v>
      </c>
      <c r="T218" s="137" t="s">
        <v>193</v>
      </c>
      <c r="U218" s="137" t="s">
        <v>193</v>
      </c>
      <c r="V218" s="137" t="s">
        <v>193</v>
      </c>
      <c r="W218" s="137" t="s">
        <v>193</v>
      </c>
      <c r="X218" s="137" t="s">
        <v>193</v>
      </c>
      <c r="Y218" s="137" t="s">
        <v>193</v>
      </c>
      <c r="Z218" s="137">
        <v>0.75</v>
      </c>
      <c r="AA218" s="137" t="s">
        <v>193</v>
      </c>
      <c r="AB218" s="137" t="s">
        <v>193</v>
      </c>
      <c r="AC218" s="137" t="s">
        <v>193</v>
      </c>
      <c r="AD218" s="137" t="s">
        <v>193</v>
      </c>
      <c r="AE218" s="137" t="s">
        <v>53</v>
      </c>
      <c r="AF218" s="137" t="s">
        <v>193</v>
      </c>
      <c r="AG218" s="137" t="s">
        <v>193</v>
      </c>
      <c r="AH218" s="137">
        <v>1.22</v>
      </c>
      <c r="AI218" s="137" t="s">
        <v>193</v>
      </c>
      <c r="AJ218" s="137" t="s">
        <v>193</v>
      </c>
      <c r="AK218" s="137" t="s">
        <v>193</v>
      </c>
      <c r="AL218" s="137" t="s">
        <v>193</v>
      </c>
      <c r="AM218" s="137" t="s">
        <v>193</v>
      </c>
      <c r="AN218" s="137" t="s">
        <v>53</v>
      </c>
      <c r="AO218" s="137" t="s">
        <v>193</v>
      </c>
      <c r="AP218" s="137" t="s">
        <v>193</v>
      </c>
      <c r="AQ218" s="137" t="s">
        <v>193</v>
      </c>
      <c r="AR218" s="137" t="s">
        <v>193</v>
      </c>
      <c r="AV218" s="1">
        <f t="shared" si="29"/>
        <v>13.308000000000002</v>
      </c>
      <c r="AW218" s="1">
        <f t="shared" si="23"/>
        <v>12.651</v>
      </c>
      <c r="AX218" s="13">
        <f t="shared" si="27"/>
        <v>0.95063119927862927</v>
      </c>
      <c r="BA218" s="12">
        <f t="shared" si="24"/>
        <v>1.22</v>
      </c>
      <c r="BB218" s="12">
        <f t="shared" si="28"/>
        <v>0</v>
      </c>
      <c r="BC218" s="12">
        <f t="shared" si="28"/>
        <v>0</v>
      </c>
      <c r="BD218" s="12">
        <f t="shared" si="28"/>
        <v>0</v>
      </c>
      <c r="BE218" s="12">
        <f t="shared" si="28"/>
        <v>0</v>
      </c>
      <c r="BF218" s="12">
        <f t="shared" si="25"/>
        <v>1.22</v>
      </c>
      <c r="BJ218" s="12" t="str">
        <f t="shared" si="26"/>
        <v/>
      </c>
      <c r="BK218" s="12">
        <f>VLOOKUP(B218,Kraftvärmeprod!$B$1:$BH$549,MATCH($BA$1,Kraftvärmeprod!$B$1:$CC$1,0),FALSE)</f>
        <v>0</v>
      </c>
    </row>
    <row r="219" spans="1:63" ht="15" customHeight="1" x14ac:dyDescent="0.25">
      <c r="A219" s="137" t="s">
        <v>491</v>
      </c>
      <c r="B219" s="137" t="s">
        <v>494</v>
      </c>
      <c r="C219" s="137">
        <v>2018</v>
      </c>
      <c r="D219" s="137">
        <v>54.47</v>
      </c>
      <c r="E219" s="137">
        <v>61.23</v>
      </c>
      <c r="F219" s="137" t="s">
        <v>193</v>
      </c>
      <c r="G219" s="137">
        <v>3.2450000000000001</v>
      </c>
      <c r="H219" s="137">
        <v>3.5649999999999999</v>
      </c>
      <c r="I219" s="137" t="s">
        <v>193</v>
      </c>
      <c r="J219" s="137" t="s">
        <v>193</v>
      </c>
      <c r="K219" s="137" t="s">
        <v>193</v>
      </c>
      <c r="L219" s="137" t="s">
        <v>193</v>
      </c>
      <c r="M219" s="137" t="s">
        <v>53</v>
      </c>
      <c r="N219" s="137">
        <v>45.53</v>
      </c>
      <c r="O219" s="137" t="s">
        <v>193</v>
      </c>
      <c r="P219" s="137" t="s">
        <v>193</v>
      </c>
      <c r="Q219" s="137" t="s">
        <v>193</v>
      </c>
      <c r="R219" s="137" t="s">
        <v>193</v>
      </c>
      <c r="S219" s="137" t="s">
        <v>193</v>
      </c>
      <c r="T219" s="137" t="s">
        <v>193</v>
      </c>
      <c r="U219" s="137" t="s">
        <v>193</v>
      </c>
      <c r="V219" s="137" t="s">
        <v>193</v>
      </c>
      <c r="W219" s="137" t="s">
        <v>193</v>
      </c>
      <c r="X219" s="137" t="s">
        <v>193</v>
      </c>
      <c r="Y219" s="137" t="s">
        <v>193</v>
      </c>
      <c r="Z219" s="137" t="s">
        <v>193</v>
      </c>
      <c r="AA219" s="137" t="s">
        <v>193</v>
      </c>
      <c r="AB219" s="137" t="s">
        <v>193</v>
      </c>
      <c r="AC219" s="137" t="s">
        <v>193</v>
      </c>
      <c r="AD219" s="137" t="s">
        <v>193</v>
      </c>
      <c r="AE219" s="137" t="s">
        <v>53</v>
      </c>
      <c r="AF219" s="137" t="s">
        <v>193</v>
      </c>
      <c r="AG219" s="137" t="s">
        <v>193</v>
      </c>
      <c r="AH219" s="137">
        <v>8.89</v>
      </c>
      <c r="AI219" s="137" t="s">
        <v>193</v>
      </c>
      <c r="AJ219" s="137" t="s">
        <v>193</v>
      </c>
      <c r="AK219" s="137" t="s">
        <v>193</v>
      </c>
      <c r="AL219" s="137" t="s">
        <v>193</v>
      </c>
      <c r="AM219" s="137" t="s">
        <v>193</v>
      </c>
      <c r="AN219" s="137" t="s">
        <v>53</v>
      </c>
      <c r="AO219" s="137" t="s">
        <v>193</v>
      </c>
      <c r="AP219" s="137" t="s">
        <v>193</v>
      </c>
      <c r="AQ219" s="137" t="s">
        <v>193</v>
      </c>
      <c r="AR219" s="137" t="s">
        <v>193</v>
      </c>
      <c r="AV219" s="1">
        <f t="shared" si="29"/>
        <v>61.230000000000004</v>
      </c>
      <c r="AW219" s="1">
        <f t="shared" si="23"/>
        <v>54.47</v>
      </c>
      <c r="AX219" s="13">
        <f t="shared" si="27"/>
        <v>0.88959660297239906</v>
      </c>
      <c r="BA219" s="12">
        <f t="shared" si="24"/>
        <v>8.89</v>
      </c>
      <c r="BB219" s="12">
        <f t="shared" si="28"/>
        <v>0</v>
      </c>
      <c r="BC219" s="12">
        <f t="shared" si="28"/>
        <v>0</v>
      </c>
      <c r="BD219" s="12">
        <f t="shared" si="28"/>
        <v>0</v>
      </c>
      <c r="BE219" s="12">
        <f t="shared" si="28"/>
        <v>0</v>
      </c>
      <c r="BF219" s="12">
        <f t="shared" si="25"/>
        <v>8.89</v>
      </c>
      <c r="BJ219" s="12" t="str">
        <f t="shared" si="26"/>
        <v/>
      </c>
      <c r="BK219" s="12">
        <f>VLOOKUP(B219,Kraftvärmeprod!$B$1:$BH$549,MATCH($BA$1,Kraftvärmeprod!$B$1:$CC$1,0),FALSE)</f>
        <v>21.2</v>
      </c>
    </row>
    <row r="220" spans="1:63" ht="15" customHeight="1" x14ac:dyDescent="0.25">
      <c r="A220" s="137" t="s">
        <v>495</v>
      </c>
      <c r="B220" s="137" t="s">
        <v>496</v>
      </c>
      <c r="C220" s="137">
        <v>2018</v>
      </c>
      <c r="D220" s="137">
        <v>52.4</v>
      </c>
      <c r="E220" s="137">
        <v>46.6</v>
      </c>
      <c r="F220" s="137" t="s">
        <v>193</v>
      </c>
      <c r="G220" s="137" t="s">
        <v>193</v>
      </c>
      <c r="H220" s="137" t="s">
        <v>193</v>
      </c>
      <c r="I220" s="137" t="s">
        <v>193</v>
      </c>
      <c r="J220" s="137" t="s">
        <v>193</v>
      </c>
      <c r="K220" s="137" t="s">
        <v>193</v>
      </c>
      <c r="L220" s="137" t="s">
        <v>193</v>
      </c>
      <c r="M220" s="137" t="s">
        <v>193</v>
      </c>
      <c r="N220" s="137">
        <v>35.619999999999997</v>
      </c>
      <c r="O220" s="137">
        <v>1.34</v>
      </c>
      <c r="P220" s="137" t="s">
        <v>193</v>
      </c>
      <c r="Q220" s="137" t="s">
        <v>193</v>
      </c>
      <c r="R220" s="137" t="s">
        <v>193</v>
      </c>
      <c r="S220" s="137" t="s">
        <v>193</v>
      </c>
      <c r="T220" s="137" t="s">
        <v>193</v>
      </c>
      <c r="U220" s="137">
        <v>7.37</v>
      </c>
      <c r="V220" s="137" t="s">
        <v>193</v>
      </c>
      <c r="W220" s="137" t="s">
        <v>193</v>
      </c>
      <c r="X220" s="137" t="s">
        <v>193</v>
      </c>
      <c r="Y220" s="137" t="s">
        <v>193</v>
      </c>
      <c r="Z220" s="137">
        <v>1.7</v>
      </c>
      <c r="AA220" s="137" t="s">
        <v>193</v>
      </c>
      <c r="AB220" s="137" t="s">
        <v>193</v>
      </c>
      <c r="AC220" s="137" t="s">
        <v>193</v>
      </c>
      <c r="AD220" s="137" t="s">
        <v>193</v>
      </c>
      <c r="AE220" s="137" t="s">
        <v>199</v>
      </c>
      <c r="AF220" s="137" t="s">
        <v>193</v>
      </c>
      <c r="AG220" s="137" t="s">
        <v>193</v>
      </c>
      <c r="AH220" s="137" t="s">
        <v>193</v>
      </c>
      <c r="AI220" s="137" t="s">
        <v>193</v>
      </c>
      <c r="AJ220" s="137" t="s">
        <v>193</v>
      </c>
      <c r="AK220" s="137" t="s">
        <v>193</v>
      </c>
      <c r="AL220" s="137">
        <v>0.56999999999999995</v>
      </c>
      <c r="AM220" s="137">
        <v>0.78</v>
      </c>
      <c r="AN220" s="137" t="s">
        <v>497</v>
      </c>
      <c r="AO220" s="137" t="s">
        <v>193</v>
      </c>
      <c r="AP220" s="137" t="s">
        <v>193</v>
      </c>
      <c r="AQ220" s="137" t="s">
        <v>193</v>
      </c>
      <c r="AR220" s="137" t="s">
        <v>193</v>
      </c>
      <c r="AV220" s="1">
        <f t="shared" si="29"/>
        <v>46.6</v>
      </c>
      <c r="AW220" s="1">
        <f t="shared" si="23"/>
        <v>52.4</v>
      </c>
      <c r="AX220" s="13">
        <f t="shared" si="27"/>
        <v>1.1244635193133046</v>
      </c>
      <c r="BA220" s="12">
        <f t="shared" si="24"/>
        <v>0</v>
      </c>
      <c r="BB220" s="12">
        <f t="shared" si="28"/>
        <v>0</v>
      </c>
      <c r="BC220" s="12">
        <f t="shared" si="28"/>
        <v>0</v>
      </c>
      <c r="BD220" s="12">
        <f t="shared" si="28"/>
        <v>0</v>
      </c>
      <c r="BE220" s="12">
        <f t="shared" si="28"/>
        <v>0</v>
      </c>
      <c r="BF220" s="12">
        <f t="shared" si="25"/>
        <v>0</v>
      </c>
      <c r="BJ220" s="12" t="str">
        <f t="shared" si="26"/>
        <v/>
      </c>
      <c r="BK220" s="12">
        <f>VLOOKUP(B220,Kraftvärmeprod!$B$1:$BH$549,MATCH($BA$1,Kraftvärmeprod!$B$1:$CC$1,0),FALSE)</f>
        <v>0</v>
      </c>
    </row>
    <row r="221" spans="1:63" ht="15" customHeight="1" x14ac:dyDescent="0.25">
      <c r="A221" s="137" t="s">
        <v>498</v>
      </c>
      <c r="B221" s="137" t="s">
        <v>499</v>
      </c>
      <c r="C221" s="137">
        <v>2018</v>
      </c>
      <c r="D221" s="137" t="s">
        <v>53</v>
      </c>
      <c r="E221" s="137" t="s">
        <v>53</v>
      </c>
      <c r="F221" s="137" t="s">
        <v>53</v>
      </c>
      <c r="G221" s="137" t="s">
        <v>53</v>
      </c>
      <c r="H221" s="137" t="s">
        <v>53</v>
      </c>
      <c r="I221" s="137" t="s">
        <v>53</v>
      </c>
      <c r="J221" s="137" t="s">
        <v>53</v>
      </c>
      <c r="K221" s="137" t="s">
        <v>53</v>
      </c>
      <c r="L221" s="137" t="s">
        <v>53</v>
      </c>
      <c r="M221" s="137" t="s">
        <v>53</v>
      </c>
      <c r="N221" s="137" t="s">
        <v>53</v>
      </c>
      <c r="O221" s="137" t="s">
        <v>53</v>
      </c>
      <c r="P221" s="137" t="s">
        <v>53</v>
      </c>
      <c r="Q221" s="137" t="s">
        <v>53</v>
      </c>
      <c r="R221" s="137" t="s">
        <v>53</v>
      </c>
      <c r="S221" s="137" t="s">
        <v>53</v>
      </c>
      <c r="T221" s="137" t="s">
        <v>53</v>
      </c>
      <c r="U221" s="137" t="s">
        <v>53</v>
      </c>
      <c r="V221" s="137" t="s">
        <v>53</v>
      </c>
      <c r="W221" s="137" t="s">
        <v>53</v>
      </c>
      <c r="X221" s="137" t="s">
        <v>53</v>
      </c>
      <c r="Y221" s="137" t="s">
        <v>53</v>
      </c>
      <c r="Z221" s="137" t="s">
        <v>53</v>
      </c>
      <c r="AA221" s="137" t="s">
        <v>53</v>
      </c>
      <c r="AB221" s="137" t="s">
        <v>53</v>
      </c>
      <c r="AC221" s="137" t="s">
        <v>53</v>
      </c>
      <c r="AD221" s="137" t="s">
        <v>53</v>
      </c>
      <c r="AE221" s="137" t="s">
        <v>53</v>
      </c>
      <c r="AF221" s="137" t="s">
        <v>53</v>
      </c>
      <c r="AG221" s="137" t="s">
        <v>53</v>
      </c>
      <c r="AH221" s="137" t="s">
        <v>53</v>
      </c>
      <c r="AI221" s="137" t="s">
        <v>53</v>
      </c>
      <c r="AJ221" s="137" t="s">
        <v>53</v>
      </c>
      <c r="AK221" s="137" t="s">
        <v>53</v>
      </c>
      <c r="AL221" s="137" t="s">
        <v>53</v>
      </c>
      <c r="AM221" s="137" t="s">
        <v>53</v>
      </c>
      <c r="AN221" s="137" t="s">
        <v>53</v>
      </c>
      <c r="AO221" s="137" t="s">
        <v>53</v>
      </c>
      <c r="AP221" s="137" t="s">
        <v>53</v>
      </c>
      <c r="AQ221" s="137" t="s">
        <v>53</v>
      </c>
      <c r="AR221" s="137" t="s">
        <v>53</v>
      </c>
      <c r="AV221" s="1">
        <f t="shared" si="29"/>
        <v>0</v>
      </c>
      <c r="AW221" s="1">
        <f t="shared" si="23"/>
        <v>0</v>
      </c>
      <c r="AX221" s="13" t="str">
        <f t="shared" si="27"/>
        <v/>
      </c>
      <c r="BA221" s="12">
        <f t="shared" si="24"/>
        <v>0</v>
      </c>
      <c r="BB221" s="12">
        <f t="shared" si="28"/>
        <v>0</v>
      </c>
      <c r="BC221" s="12">
        <f t="shared" si="28"/>
        <v>0</v>
      </c>
      <c r="BD221" s="12">
        <f t="shared" si="28"/>
        <v>0</v>
      </c>
      <c r="BE221" s="12">
        <f t="shared" si="28"/>
        <v>0</v>
      </c>
      <c r="BF221" s="12">
        <f t="shared" si="25"/>
        <v>0</v>
      </c>
      <c r="BJ221" s="12" t="str">
        <f t="shared" si="26"/>
        <v/>
      </c>
      <c r="BK221" s="12">
        <f>VLOOKUP(B221,Kraftvärmeprod!$B$1:$BH$549,MATCH($BA$1,Kraftvärmeprod!$B$1:$CC$1,0),FALSE)</f>
        <v>0</v>
      </c>
    </row>
    <row r="222" spans="1:63" ht="15" customHeight="1" x14ac:dyDescent="0.25">
      <c r="A222" s="137" t="s">
        <v>498</v>
      </c>
      <c r="B222" s="137" t="s">
        <v>500</v>
      </c>
      <c r="C222" s="137">
        <v>2018</v>
      </c>
      <c r="D222" s="137" t="s">
        <v>53</v>
      </c>
      <c r="E222" s="137" t="s">
        <v>53</v>
      </c>
      <c r="F222" s="137" t="s">
        <v>53</v>
      </c>
      <c r="G222" s="137" t="s">
        <v>53</v>
      </c>
      <c r="H222" s="137" t="s">
        <v>53</v>
      </c>
      <c r="I222" s="137" t="s">
        <v>53</v>
      </c>
      <c r="J222" s="137" t="s">
        <v>53</v>
      </c>
      <c r="K222" s="137" t="s">
        <v>53</v>
      </c>
      <c r="L222" s="137" t="s">
        <v>53</v>
      </c>
      <c r="M222" s="137" t="s">
        <v>53</v>
      </c>
      <c r="N222" s="137" t="s">
        <v>53</v>
      </c>
      <c r="O222" s="137" t="s">
        <v>53</v>
      </c>
      <c r="P222" s="137" t="s">
        <v>53</v>
      </c>
      <c r="Q222" s="137" t="s">
        <v>53</v>
      </c>
      <c r="R222" s="137" t="s">
        <v>53</v>
      </c>
      <c r="S222" s="137" t="s">
        <v>53</v>
      </c>
      <c r="T222" s="137" t="s">
        <v>53</v>
      </c>
      <c r="U222" s="137" t="s">
        <v>53</v>
      </c>
      <c r="V222" s="137" t="s">
        <v>53</v>
      </c>
      <c r="W222" s="137" t="s">
        <v>53</v>
      </c>
      <c r="X222" s="137" t="s">
        <v>53</v>
      </c>
      <c r="Y222" s="137" t="s">
        <v>53</v>
      </c>
      <c r="Z222" s="137" t="s">
        <v>53</v>
      </c>
      <c r="AA222" s="137" t="s">
        <v>53</v>
      </c>
      <c r="AB222" s="137" t="s">
        <v>53</v>
      </c>
      <c r="AC222" s="137" t="s">
        <v>53</v>
      </c>
      <c r="AD222" s="137" t="s">
        <v>53</v>
      </c>
      <c r="AE222" s="137" t="s">
        <v>53</v>
      </c>
      <c r="AF222" s="137" t="s">
        <v>53</v>
      </c>
      <c r="AG222" s="137" t="s">
        <v>53</v>
      </c>
      <c r="AH222" s="137" t="s">
        <v>53</v>
      </c>
      <c r="AI222" s="137" t="s">
        <v>53</v>
      </c>
      <c r="AJ222" s="137" t="s">
        <v>53</v>
      </c>
      <c r="AK222" s="137" t="s">
        <v>53</v>
      </c>
      <c r="AL222" s="137" t="s">
        <v>53</v>
      </c>
      <c r="AM222" s="137" t="s">
        <v>53</v>
      </c>
      <c r="AN222" s="137" t="s">
        <v>53</v>
      </c>
      <c r="AO222" s="137" t="s">
        <v>53</v>
      </c>
      <c r="AP222" s="137" t="s">
        <v>53</v>
      </c>
      <c r="AQ222" s="137" t="s">
        <v>53</v>
      </c>
      <c r="AR222" s="137" t="s">
        <v>53</v>
      </c>
      <c r="AV222" s="1">
        <f t="shared" si="29"/>
        <v>0</v>
      </c>
      <c r="AW222" s="1">
        <f t="shared" si="23"/>
        <v>0</v>
      </c>
      <c r="AX222" s="13" t="str">
        <f t="shared" si="27"/>
        <v/>
      </c>
      <c r="BA222" s="12">
        <f t="shared" si="24"/>
        <v>0</v>
      </c>
      <c r="BB222" s="12">
        <f t="shared" si="28"/>
        <v>0</v>
      </c>
      <c r="BC222" s="12">
        <f t="shared" si="28"/>
        <v>0</v>
      </c>
      <c r="BD222" s="12">
        <f t="shared" si="28"/>
        <v>0</v>
      </c>
      <c r="BE222" s="12">
        <f t="shared" si="28"/>
        <v>0</v>
      </c>
      <c r="BF222" s="12">
        <f t="shared" si="25"/>
        <v>0</v>
      </c>
      <c r="BJ222" s="12" t="str">
        <f t="shared" si="26"/>
        <v/>
      </c>
      <c r="BK222" s="12">
        <f>VLOOKUP(B222,Kraftvärmeprod!$B$1:$BH$549,MATCH($BA$1,Kraftvärmeprod!$B$1:$CC$1,0),FALSE)</f>
        <v>0</v>
      </c>
    </row>
    <row r="223" spans="1:63" ht="15" customHeight="1" x14ac:dyDescent="0.25">
      <c r="A223" s="137" t="s">
        <v>501</v>
      </c>
      <c r="B223" s="137" t="s">
        <v>502</v>
      </c>
      <c r="C223" s="137">
        <v>2018</v>
      </c>
      <c r="D223" s="137">
        <v>61.1</v>
      </c>
      <c r="E223" s="137">
        <v>71.5</v>
      </c>
      <c r="F223" s="137" t="s">
        <v>193</v>
      </c>
      <c r="G223" s="137">
        <v>0.3</v>
      </c>
      <c r="H223" s="137" t="s">
        <v>193</v>
      </c>
      <c r="I223" s="137" t="s">
        <v>193</v>
      </c>
      <c r="J223" s="137" t="s">
        <v>193</v>
      </c>
      <c r="K223" s="137" t="s">
        <v>193</v>
      </c>
      <c r="L223" s="137" t="s">
        <v>193</v>
      </c>
      <c r="M223" s="137" t="s">
        <v>53</v>
      </c>
      <c r="N223" s="137">
        <v>0</v>
      </c>
      <c r="O223" s="137">
        <v>23.5</v>
      </c>
      <c r="P223" s="137">
        <v>16.399999999999999</v>
      </c>
      <c r="Q223" s="137">
        <v>7</v>
      </c>
      <c r="R223" s="137" t="s">
        <v>193</v>
      </c>
      <c r="S223" s="137" t="s">
        <v>193</v>
      </c>
      <c r="T223" s="137" t="s">
        <v>194</v>
      </c>
      <c r="U223" s="137">
        <v>10.3</v>
      </c>
      <c r="V223" s="137" t="s">
        <v>193</v>
      </c>
      <c r="W223" s="137" t="s">
        <v>193</v>
      </c>
      <c r="X223" s="137" t="s">
        <v>193</v>
      </c>
      <c r="Y223" s="137" t="s">
        <v>193</v>
      </c>
      <c r="Z223" s="137">
        <v>5.6</v>
      </c>
      <c r="AA223" s="137" t="s">
        <v>193</v>
      </c>
      <c r="AB223" s="137" t="s">
        <v>193</v>
      </c>
      <c r="AC223" s="137" t="s">
        <v>193</v>
      </c>
      <c r="AD223" s="137" t="s">
        <v>193</v>
      </c>
      <c r="AE223" s="137" t="s">
        <v>199</v>
      </c>
      <c r="AF223" s="137" t="s">
        <v>193</v>
      </c>
      <c r="AG223" s="137" t="s">
        <v>193</v>
      </c>
      <c r="AH223" s="137">
        <v>7.2</v>
      </c>
      <c r="AI223" s="137">
        <v>1.2</v>
      </c>
      <c r="AJ223" s="137" t="s">
        <v>240</v>
      </c>
      <c r="AK223" s="137">
        <v>0.6</v>
      </c>
      <c r="AL223" s="137">
        <v>0</v>
      </c>
      <c r="AM223" s="137">
        <v>0</v>
      </c>
      <c r="AN223" s="137" t="s">
        <v>53</v>
      </c>
      <c r="AO223" s="137">
        <v>100</v>
      </c>
      <c r="AP223" s="137" t="s">
        <v>193</v>
      </c>
      <c r="AQ223" s="137" t="s">
        <v>193</v>
      </c>
      <c r="AR223" s="137" t="s">
        <v>193</v>
      </c>
      <c r="AV223" s="1">
        <f t="shared" si="29"/>
        <v>71.5</v>
      </c>
      <c r="AW223" s="1">
        <f t="shared" si="23"/>
        <v>61.1</v>
      </c>
      <c r="AX223" s="13">
        <f t="shared" si="27"/>
        <v>0.85454545454545461</v>
      </c>
      <c r="BA223" s="12">
        <f t="shared" si="24"/>
        <v>7.2</v>
      </c>
      <c r="BB223" s="12">
        <f t="shared" si="28"/>
        <v>7.2</v>
      </c>
      <c r="BC223" s="12">
        <f t="shared" si="28"/>
        <v>0</v>
      </c>
      <c r="BD223" s="12">
        <f t="shared" si="28"/>
        <v>0</v>
      </c>
      <c r="BE223" s="12">
        <f t="shared" si="28"/>
        <v>0</v>
      </c>
      <c r="BF223" s="12">
        <f t="shared" si="25"/>
        <v>0</v>
      </c>
      <c r="BJ223" s="12" t="str">
        <f t="shared" si="26"/>
        <v/>
      </c>
      <c r="BK223" s="12">
        <f>VLOOKUP(B223,Kraftvärmeprod!$B$1:$BH$549,MATCH($BA$1,Kraftvärmeprod!$B$1:$CC$1,0),FALSE)</f>
        <v>21.7</v>
      </c>
    </row>
    <row r="224" spans="1:63" ht="15" customHeight="1" x14ac:dyDescent="0.25">
      <c r="A224" s="137" t="s">
        <v>503</v>
      </c>
      <c r="B224" s="137" t="s">
        <v>504</v>
      </c>
      <c r="C224" s="137">
        <v>2018</v>
      </c>
      <c r="D224" s="137" t="s">
        <v>193</v>
      </c>
      <c r="E224" s="137">
        <v>0.70299999999999996</v>
      </c>
      <c r="F224" s="137" t="s">
        <v>193</v>
      </c>
      <c r="G224" s="137">
        <v>0.70299999999999996</v>
      </c>
      <c r="H224" s="137" t="s">
        <v>193</v>
      </c>
      <c r="I224" s="137" t="s">
        <v>193</v>
      </c>
      <c r="J224" s="137" t="s">
        <v>193</v>
      </c>
      <c r="K224" s="137" t="s">
        <v>193</v>
      </c>
      <c r="L224" s="137" t="s">
        <v>193</v>
      </c>
      <c r="M224" s="137" t="s">
        <v>193</v>
      </c>
      <c r="N224" s="137" t="s">
        <v>193</v>
      </c>
      <c r="O224" s="137" t="s">
        <v>193</v>
      </c>
      <c r="P224" s="137" t="s">
        <v>193</v>
      </c>
      <c r="Q224" s="137" t="s">
        <v>193</v>
      </c>
      <c r="R224" s="137" t="s">
        <v>193</v>
      </c>
      <c r="S224" s="137" t="s">
        <v>193</v>
      </c>
      <c r="T224" s="137" t="s">
        <v>193</v>
      </c>
      <c r="U224" s="137" t="s">
        <v>193</v>
      </c>
      <c r="V224" s="137" t="s">
        <v>193</v>
      </c>
      <c r="W224" s="137" t="s">
        <v>193</v>
      </c>
      <c r="X224" s="137" t="s">
        <v>193</v>
      </c>
      <c r="Y224" s="137" t="s">
        <v>193</v>
      </c>
      <c r="Z224" s="137" t="s">
        <v>193</v>
      </c>
      <c r="AA224" s="137" t="s">
        <v>193</v>
      </c>
      <c r="AB224" s="137" t="s">
        <v>193</v>
      </c>
      <c r="AC224" s="137" t="s">
        <v>193</v>
      </c>
      <c r="AD224" s="137" t="s">
        <v>193</v>
      </c>
      <c r="AE224" s="137" t="s">
        <v>199</v>
      </c>
      <c r="AF224" s="137" t="s">
        <v>193</v>
      </c>
      <c r="AG224" s="137" t="s">
        <v>193</v>
      </c>
      <c r="AH224" s="137" t="s">
        <v>193</v>
      </c>
      <c r="AI224" s="137" t="s">
        <v>193</v>
      </c>
      <c r="AJ224" s="137" t="s">
        <v>193</v>
      </c>
      <c r="AK224" s="137" t="s">
        <v>193</v>
      </c>
      <c r="AL224" s="137" t="s">
        <v>193</v>
      </c>
      <c r="AM224" s="137" t="s">
        <v>193</v>
      </c>
      <c r="AN224" s="137" t="s">
        <v>193</v>
      </c>
      <c r="AO224" s="137" t="s">
        <v>193</v>
      </c>
      <c r="AP224" s="137" t="s">
        <v>193</v>
      </c>
      <c r="AQ224" s="137" t="s">
        <v>193</v>
      </c>
      <c r="AR224" s="137" t="s">
        <v>193</v>
      </c>
      <c r="AV224" s="1">
        <f t="shared" si="29"/>
        <v>0.70299999999999996</v>
      </c>
      <c r="AW224" s="1">
        <f t="shared" si="23"/>
        <v>0</v>
      </c>
      <c r="AX224" s="13">
        <f t="shared" si="27"/>
        <v>0</v>
      </c>
      <c r="BA224" s="12">
        <f t="shared" si="24"/>
        <v>0</v>
      </c>
      <c r="BB224" s="12">
        <f t="shared" si="28"/>
        <v>0</v>
      </c>
      <c r="BC224" s="12">
        <f t="shared" si="28"/>
        <v>0</v>
      </c>
      <c r="BD224" s="12">
        <f t="shared" si="28"/>
        <v>0</v>
      </c>
      <c r="BE224" s="12">
        <f t="shared" si="28"/>
        <v>0</v>
      </c>
      <c r="BF224" s="12">
        <f t="shared" si="25"/>
        <v>0</v>
      </c>
      <c r="BJ224" s="12" t="str">
        <f t="shared" si="26"/>
        <v/>
      </c>
      <c r="BK224" s="12">
        <f>VLOOKUP(B224,Kraftvärmeprod!$B$1:$BH$549,MATCH($BA$1,Kraftvärmeprod!$B$1:$CC$1,0),FALSE)</f>
        <v>0</v>
      </c>
    </row>
    <row r="225" spans="1:63" ht="15" customHeight="1" x14ac:dyDescent="0.25">
      <c r="A225" s="137" t="s">
        <v>505</v>
      </c>
      <c r="B225" s="137" t="s">
        <v>119</v>
      </c>
      <c r="C225" s="137">
        <v>2018</v>
      </c>
      <c r="D225" s="137" t="s">
        <v>53</v>
      </c>
      <c r="E225" s="137" t="s">
        <v>53</v>
      </c>
      <c r="F225" s="137" t="s">
        <v>53</v>
      </c>
      <c r="G225" s="137" t="s">
        <v>53</v>
      </c>
      <c r="H225" s="137" t="s">
        <v>53</v>
      </c>
      <c r="I225" s="137" t="s">
        <v>53</v>
      </c>
      <c r="J225" s="137" t="s">
        <v>53</v>
      </c>
      <c r="K225" s="137" t="s">
        <v>53</v>
      </c>
      <c r="L225" s="137" t="s">
        <v>53</v>
      </c>
      <c r="M225" s="137" t="s">
        <v>53</v>
      </c>
      <c r="N225" s="137" t="s">
        <v>53</v>
      </c>
      <c r="O225" s="137" t="s">
        <v>53</v>
      </c>
      <c r="P225" s="137" t="s">
        <v>53</v>
      </c>
      <c r="Q225" s="137" t="s">
        <v>53</v>
      </c>
      <c r="R225" s="137" t="s">
        <v>53</v>
      </c>
      <c r="S225" s="137" t="s">
        <v>53</v>
      </c>
      <c r="T225" s="137" t="s">
        <v>53</v>
      </c>
      <c r="U225" s="137" t="s">
        <v>53</v>
      </c>
      <c r="V225" s="137" t="s">
        <v>53</v>
      </c>
      <c r="W225" s="137" t="s">
        <v>53</v>
      </c>
      <c r="X225" s="137" t="s">
        <v>53</v>
      </c>
      <c r="Y225" s="137" t="s">
        <v>53</v>
      </c>
      <c r="Z225" s="137" t="s">
        <v>53</v>
      </c>
      <c r="AA225" s="137" t="s">
        <v>53</v>
      </c>
      <c r="AB225" s="137" t="s">
        <v>53</v>
      </c>
      <c r="AC225" s="137" t="s">
        <v>53</v>
      </c>
      <c r="AD225" s="137" t="s">
        <v>53</v>
      </c>
      <c r="AE225" s="137" t="s">
        <v>53</v>
      </c>
      <c r="AF225" s="137" t="s">
        <v>53</v>
      </c>
      <c r="AG225" s="137" t="s">
        <v>53</v>
      </c>
      <c r="AH225" s="137" t="s">
        <v>53</v>
      </c>
      <c r="AI225" s="137" t="s">
        <v>53</v>
      </c>
      <c r="AJ225" s="137" t="s">
        <v>53</v>
      </c>
      <c r="AK225" s="137" t="s">
        <v>53</v>
      </c>
      <c r="AL225" s="137" t="s">
        <v>53</v>
      </c>
      <c r="AM225" s="137" t="s">
        <v>53</v>
      </c>
      <c r="AN225" s="137" t="s">
        <v>53</v>
      </c>
      <c r="AO225" s="137" t="s">
        <v>53</v>
      </c>
      <c r="AP225" s="137" t="s">
        <v>53</v>
      </c>
      <c r="AQ225" s="137" t="s">
        <v>53</v>
      </c>
      <c r="AR225" s="137" t="s">
        <v>53</v>
      </c>
      <c r="AV225" s="1">
        <f t="shared" si="29"/>
        <v>0</v>
      </c>
      <c r="AW225" s="1">
        <f t="shared" si="23"/>
        <v>0</v>
      </c>
      <c r="AX225" s="13" t="str">
        <f t="shared" si="27"/>
        <v/>
      </c>
      <c r="BA225" s="12">
        <f t="shared" si="24"/>
        <v>0</v>
      </c>
      <c r="BB225" s="12">
        <f t="shared" si="28"/>
        <v>0</v>
      </c>
      <c r="BC225" s="12">
        <f t="shared" si="28"/>
        <v>0</v>
      </c>
      <c r="BD225" s="12">
        <f t="shared" si="28"/>
        <v>0</v>
      </c>
      <c r="BE225" s="12">
        <f t="shared" si="28"/>
        <v>0</v>
      </c>
      <c r="BF225" s="12">
        <f t="shared" si="25"/>
        <v>0</v>
      </c>
      <c r="BJ225" s="12" t="str">
        <f t="shared" si="26"/>
        <v/>
      </c>
      <c r="BK225" s="12">
        <f>VLOOKUP(B225,Kraftvärmeprod!$B$1:$BH$549,MATCH($BA$1,Kraftvärmeprod!$B$1:$CC$1,0),FALSE)</f>
        <v>0</v>
      </c>
    </row>
    <row r="226" spans="1:63" ht="15" customHeight="1" x14ac:dyDescent="0.25">
      <c r="A226" s="137" t="s">
        <v>506</v>
      </c>
      <c r="B226" s="137" t="s">
        <v>507</v>
      </c>
      <c r="C226" s="137">
        <v>2018</v>
      </c>
      <c r="D226" s="137" t="s">
        <v>193</v>
      </c>
      <c r="E226" s="137" t="s">
        <v>193</v>
      </c>
      <c r="F226" s="137" t="s">
        <v>193</v>
      </c>
      <c r="G226" s="137" t="s">
        <v>193</v>
      </c>
      <c r="H226" s="137" t="s">
        <v>193</v>
      </c>
      <c r="I226" s="137" t="s">
        <v>193</v>
      </c>
      <c r="J226" s="137" t="s">
        <v>193</v>
      </c>
      <c r="K226" s="137" t="s">
        <v>193</v>
      </c>
      <c r="L226" s="137" t="s">
        <v>193</v>
      </c>
      <c r="M226" s="137" t="s">
        <v>193</v>
      </c>
      <c r="N226" s="137" t="s">
        <v>193</v>
      </c>
      <c r="O226" s="137" t="s">
        <v>193</v>
      </c>
      <c r="P226" s="137" t="s">
        <v>193</v>
      </c>
      <c r="Q226" s="137" t="s">
        <v>193</v>
      </c>
      <c r="R226" s="137" t="s">
        <v>193</v>
      </c>
      <c r="S226" s="137" t="s">
        <v>193</v>
      </c>
      <c r="T226" s="137" t="s">
        <v>193</v>
      </c>
      <c r="U226" s="137" t="s">
        <v>193</v>
      </c>
      <c r="V226" s="137" t="s">
        <v>193</v>
      </c>
      <c r="W226" s="137" t="s">
        <v>193</v>
      </c>
      <c r="X226" s="137" t="s">
        <v>193</v>
      </c>
      <c r="Y226" s="137" t="s">
        <v>193</v>
      </c>
      <c r="Z226" s="137" t="s">
        <v>193</v>
      </c>
      <c r="AA226" s="137" t="s">
        <v>193</v>
      </c>
      <c r="AB226" s="137" t="s">
        <v>193</v>
      </c>
      <c r="AC226" s="137" t="s">
        <v>193</v>
      </c>
      <c r="AD226" s="137" t="s">
        <v>193</v>
      </c>
      <c r="AE226" s="137" t="s">
        <v>199</v>
      </c>
      <c r="AF226" s="137" t="s">
        <v>193</v>
      </c>
      <c r="AG226" s="137" t="s">
        <v>193</v>
      </c>
      <c r="AH226" s="137" t="s">
        <v>193</v>
      </c>
      <c r="AI226" s="137" t="s">
        <v>193</v>
      </c>
      <c r="AJ226" s="137" t="s">
        <v>193</v>
      </c>
      <c r="AK226" s="137" t="s">
        <v>193</v>
      </c>
      <c r="AL226" s="137" t="s">
        <v>193</v>
      </c>
      <c r="AM226" s="137" t="s">
        <v>193</v>
      </c>
      <c r="AN226" s="137" t="s">
        <v>193</v>
      </c>
      <c r="AO226" s="137" t="s">
        <v>193</v>
      </c>
      <c r="AP226" s="137" t="s">
        <v>193</v>
      </c>
      <c r="AQ226" s="137" t="s">
        <v>193</v>
      </c>
      <c r="AR226" s="137" t="s">
        <v>193</v>
      </c>
      <c r="AV226" s="1">
        <f t="shared" si="29"/>
        <v>0</v>
      </c>
      <c r="AW226" s="1">
        <f t="shared" si="23"/>
        <v>0</v>
      </c>
      <c r="AX226" s="13" t="str">
        <f t="shared" si="27"/>
        <v/>
      </c>
      <c r="BA226" s="12">
        <f t="shared" si="24"/>
        <v>0</v>
      </c>
      <c r="BB226" s="12">
        <f t="shared" si="28"/>
        <v>0</v>
      </c>
      <c r="BC226" s="12">
        <f t="shared" si="28"/>
        <v>0</v>
      </c>
      <c r="BD226" s="12">
        <f t="shared" si="28"/>
        <v>0</v>
      </c>
      <c r="BE226" s="12">
        <f t="shared" si="28"/>
        <v>0</v>
      </c>
      <c r="BF226" s="12">
        <f t="shared" si="25"/>
        <v>0</v>
      </c>
      <c r="BJ226" s="12" t="str">
        <f t="shared" si="26"/>
        <v/>
      </c>
      <c r="BK226" s="12">
        <f>VLOOKUP(B226,Kraftvärmeprod!$B$1:$BH$549,MATCH($BA$1,Kraftvärmeprod!$B$1:$CC$1,0),FALSE)</f>
        <v>0</v>
      </c>
    </row>
    <row r="227" spans="1:63" ht="15" customHeight="1" x14ac:dyDescent="0.25">
      <c r="A227" s="137" t="s">
        <v>38</v>
      </c>
      <c r="B227" s="141" t="s">
        <v>40</v>
      </c>
      <c r="C227" s="137">
        <v>2018</v>
      </c>
      <c r="D227" s="137" t="s">
        <v>53</v>
      </c>
      <c r="E227" s="137" t="s">
        <v>53</v>
      </c>
      <c r="F227" s="137" t="s">
        <v>53</v>
      </c>
      <c r="G227" s="137" t="s">
        <v>53</v>
      </c>
      <c r="H227" s="137" t="s">
        <v>53</v>
      </c>
      <c r="I227" s="137" t="s">
        <v>53</v>
      </c>
      <c r="J227" s="137" t="s">
        <v>53</v>
      </c>
      <c r="K227" s="137" t="s">
        <v>53</v>
      </c>
      <c r="L227" s="137" t="s">
        <v>53</v>
      </c>
      <c r="M227" s="137" t="s">
        <v>53</v>
      </c>
      <c r="N227" s="137" t="s">
        <v>53</v>
      </c>
      <c r="O227" s="137" t="s">
        <v>53</v>
      </c>
      <c r="P227" s="137" t="s">
        <v>53</v>
      </c>
      <c r="Q227" s="137" t="s">
        <v>53</v>
      </c>
      <c r="R227" s="137" t="s">
        <v>53</v>
      </c>
      <c r="S227" s="137" t="s">
        <v>53</v>
      </c>
      <c r="T227" s="137" t="s">
        <v>53</v>
      </c>
      <c r="U227" s="137" t="s">
        <v>53</v>
      </c>
      <c r="V227" s="137" t="s">
        <v>53</v>
      </c>
      <c r="W227" s="137" t="s">
        <v>53</v>
      </c>
      <c r="X227" s="137" t="s">
        <v>53</v>
      </c>
      <c r="Y227" s="137" t="s">
        <v>53</v>
      </c>
      <c r="Z227" s="137" t="s">
        <v>53</v>
      </c>
      <c r="AA227" s="137" t="s">
        <v>53</v>
      </c>
      <c r="AB227" s="137" t="s">
        <v>53</v>
      </c>
      <c r="AC227" s="137" t="s">
        <v>53</v>
      </c>
      <c r="AD227" s="137" t="s">
        <v>53</v>
      </c>
      <c r="AE227" s="137" t="s">
        <v>53</v>
      </c>
      <c r="AF227" s="137" t="s">
        <v>53</v>
      </c>
      <c r="AG227" s="137" t="s">
        <v>53</v>
      </c>
      <c r="AH227" s="137" t="s">
        <v>53</v>
      </c>
      <c r="AI227" s="137" t="s">
        <v>53</v>
      </c>
      <c r="AJ227" s="137" t="s">
        <v>53</v>
      </c>
      <c r="AK227" s="137" t="s">
        <v>53</v>
      </c>
      <c r="AL227" s="137" t="s">
        <v>53</v>
      </c>
      <c r="AM227" s="137" t="s">
        <v>53</v>
      </c>
      <c r="AN227" s="137" t="s">
        <v>53</v>
      </c>
      <c r="AO227" s="137" t="s">
        <v>53</v>
      </c>
      <c r="AP227" s="137" t="s">
        <v>53</v>
      </c>
      <c r="AQ227" s="137" t="s">
        <v>53</v>
      </c>
      <c r="AR227" s="137" t="s">
        <v>53</v>
      </c>
      <c r="AV227" s="1">
        <f t="shared" si="29"/>
        <v>0</v>
      </c>
      <c r="AW227" s="1">
        <f t="shared" si="23"/>
        <v>0</v>
      </c>
      <c r="AX227" s="13" t="str">
        <f t="shared" si="27"/>
        <v/>
      </c>
      <c r="BA227" s="12">
        <f t="shared" si="24"/>
        <v>0</v>
      </c>
      <c r="BB227" s="12">
        <f t="shared" si="28"/>
        <v>0</v>
      </c>
      <c r="BC227" s="12">
        <f t="shared" si="28"/>
        <v>0</v>
      </c>
      <c r="BD227" s="12">
        <f t="shared" si="28"/>
        <v>0</v>
      </c>
      <c r="BE227" s="12">
        <f t="shared" si="28"/>
        <v>0</v>
      </c>
      <c r="BF227" s="12">
        <f t="shared" si="25"/>
        <v>0</v>
      </c>
      <c r="BJ227" s="12" t="str">
        <f t="shared" si="26"/>
        <v/>
      </c>
      <c r="BK227" s="12">
        <f>VLOOKUP(B227,Kraftvärmeprod!$B$1:$BH$549,MATCH($BA$1,Kraftvärmeprod!$B$1:$CC$1,0),FALSE)</f>
        <v>0</v>
      </c>
    </row>
    <row r="228" spans="1:63" ht="15" customHeight="1" x14ac:dyDescent="0.25">
      <c r="A228" s="137" t="s">
        <v>4</v>
      </c>
      <c r="B228" s="137" t="s">
        <v>508</v>
      </c>
      <c r="C228" s="137">
        <v>2018</v>
      </c>
      <c r="D228" s="137" t="s">
        <v>53</v>
      </c>
      <c r="E228" s="137" t="s">
        <v>53</v>
      </c>
      <c r="F228" s="137" t="s">
        <v>53</v>
      </c>
      <c r="G228" s="137" t="s">
        <v>53</v>
      </c>
      <c r="H228" s="137" t="s">
        <v>53</v>
      </c>
      <c r="I228" s="137" t="s">
        <v>53</v>
      </c>
      <c r="J228" s="137" t="s">
        <v>53</v>
      </c>
      <c r="K228" s="137" t="s">
        <v>53</v>
      </c>
      <c r="L228" s="137" t="s">
        <v>53</v>
      </c>
      <c r="M228" s="137" t="s">
        <v>53</v>
      </c>
      <c r="N228" s="137" t="s">
        <v>53</v>
      </c>
      <c r="O228" s="137" t="s">
        <v>53</v>
      </c>
      <c r="P228" s="137" t="s">
        <v>53</v>
      </c>
      <c r="Q228" s="137" t="s">
        <v>53</v>
      </c>
      <c r="R228" s="137" t="s">
        <v>53</v>
      </c>
      <c r="S228" s="137" t="s">
        <v>53</v>
      </c>
      <c r="T228" s="137" t="s">
        <v>53</v>
      </c>
      <c r="U228" s="137" t="s">
        <v>53</v>
      </c>
      <c r="V228" s="137" t="s">
        <v>53</v>
      </c>
      <c r="W228" s="137" t="s">
        <v>53</v>
      </c>
      <c r="X228" s="137" t="s">
        <v>53</v>
      </c>
      <c r="Y228" s="137" t="s">
        <v>53</v>
      </c>
      <c r="Z228" s="137" t="s">
        <v>53</v>
      </c>
      <c r="AA228" s="137" t="s">
        <v>53</v>
      </c>
      <c r="AB228" s="137" t="s">
        <v>53</v>
      </c>
      <c r="AC228" s="137" t="s">
        <v>53</v>
      </c>
      <c r="AD228" s="137" t="s">
        <v>53</v>
      </c>
      <c r="AE228" s="137" t="s">
        <v>53</v>
      </c>
      <c r="AF228" s="137" t="s">
        <v>53</v>
      </c>
      <c r="AG228" s="137" t="s">
        <v>53</v>
      </c>
      <c r="AH228" s="137" t="s">
        <v>53</v>
      </c>
      <c r="AI228" s="137" t="s">
        <v>53</v>
      </c>
      <c r="AJ228" s="137" t="s">
        <v>53</v>
      </c>
      <c r="AK228" s="137" t="s">
        <v>53</v>
      </c>
      <c r="AL228" s="137" t="s">
        <v>53</v>
      </c>
      <c r="AM228" s="137" t="s">
        <v>53</v>
      </c>
      <c r="AN228" s="137" t="s">
        <v>53</v>
      </c>
      <c r="AO228" s="137" t="s">
        <v>53</v>
      </c>
      <c r="AP228" s="137" t="s">
        <v>53</v>
      </c>
      <c r="AQ228" s="137" t="s">
        <v>53</v>
      </c>
      <c r="AR228" s="137" t="s">
        <v>53</v>
      </c>
      <c r="AV228" s="1">
        <f t="shared" si="29"/>
        <v>0</v>
      </c>
      <c r="AW228" s="1">
        <f t="shared" si="23"/>
        <v>0</v>
      </c>
      <c r="AX228" s="13" t="str">
        <f t="shared" si="27"/>
        <v/>
      </c>
      <c r="BA228" s="12">
        <f t="shared" si="24"/>
        <v>0</v>
      </c>
      <c r="BB228" s="12">
        <f t="shared" si="28"/>
        <v>0</v>
      </c>
      <c r="BC228" s="12">
        <f t="shared" si="28"/>
        <v>0</v>
      </c>
      <c r="BD228" s="12">
        <f t="shared" si="28"/>
        <v>0</v>
      </c>
      <c r="BE228" s="12">
        <f t="shared" si="28"/>
        <v>0</v>
      </c>
      <c r="BF228" s="12">
        <f t="shared" si="25"/>
        <v>0</v>
      </c>
      <c r="BJ228" s="12" t="str">
        <f t="shared" si="26"/>
        <v/>
      </c>
      <c r="BK228" s="12">
        <f>VLOOKUP(B228,Kraftvärmeprod!$B$1:$BH$549,MATCH($BA$1,Kraftvärmeprod!$B$1:$CC$1,0),FALSE)</f>
        <v>0</v>
      </c>
    </row>
    <row r="229" spans="1:63" ht="15" customHeight="1" x14ac:dyDescent="0.25">
      <c r="A229" s="137" t="s">
        <v>4</v>
      </c>
      <c r="B229" s="137" t="s">
        <v>509</v>
      </c>
      <c r="C229" s="137">
        <v>2018</v>
      </c>
      <c r="D229" s="137" t="s">
        <v>53</v>
      </c>
      <c r="E229" s="137" t="s">
        <v>53</v>
      </c>
      <c r="F229" s="137" t="s">
        <v>53</v>
      </c>
      <c r="G229" s="137" t="s">
        <v>53</v>
      </c>
      <c r="H229" s="137" t="s">
        <v>53</v>
      </c>
      <c r="I229" s="137" t="s">
        <v>53</v>
      </c>
      <c r="J229" s="137" t="s">
        <v>53</v>
      </c>
      <c r="K229" s="137" t="s">
        <v>53</v>
      </c>
      <c r="L229" s="137" t="s">
        <v>53</v>
      </c>
      <c r="M229" s="137" t="s">
        <v>53</v>
      </c>
      <c r="N229" s="137" t="s">
        <v>53</v>
      </c>
      <c r="O229" s="137" t="s">
        <v>53</v>
      </c>
      <c r="P229" s="137" t="s">
        <v>53</v>
      </c>
      <c r="Q229" s="137" t="s">
        <v>53</v>
      </c>
      <c r="R229" s="137" t="s">
        <v>53</v>
      </c>
      <c r="S229" s="137" t="s">
        <v>53</v>
      </c>
      <c r="T229" s="137" t="s">
        <v>53</v>
      </c>
      <c r="U229" s="137" t="s">
        <v>53</v>
      </c>
      <c r="V229" s="137" t="s">
        <v>53</v>
      </c>
      <c r="W229" s="137" t="s">
        <v>53</v>
      </c>
      <c r="X229" s="137" t="s">
        <v>53</v>
      </c>
      <c r="Y229" s="137" t="s">
        <v>53</v>
      </c>
      <c r="Z229" s="137" t="s">
        <v>53</v>
      </c>
      <c r="AA229" s="137" t="s">
        <v>53</v>
      </c>
      <c r="AB229" s="137" t="s">
        <v>53</v>
      </c>
      <c r="AC229" s="137" t="s">
        <v>53</v>
      </c>
      <c r="AD229" s="137" t="s">
        <v>53</v>
      </c>
      <c r="AE229" s="137" t="s">
        <v>53</v>
      </c>
      <c r="AF229" s="137" t="s">
        <v>53</v>
      </c>
      <c r="AG229" s="137" t="s">
        <v>53</v>
      </c>
      <c r="AH229" s="137" t="s">
        <v>53</v>
      </c>
      <c r="AI229" s="137" t="s">
        <v>53</v>
      </c>
      <c r="AJ229" s="137" t="s">
        <v>53</v>
      </c>
      <c r="AK229" s="137" t="s">
        <v>53</v>
      </c>
      <c r="AL229" s="137" t="s">
        <v>53</v>
      </c>
      <c r="AM229" s="137" t="s">
        <v>53</v>
      </c>
      <c r="AN229" s="137" t="s">
        <v>53</v>
      </c>
      <c r="AO229" s="137" t="s">
        <v>53</v>
      </c>
      <c r="AP229" s="137" t="s">
        <v>53</v>
      </c>
      <c r="AQ229" s="137" t="s">
        <v>53</v>
      </c>
      <c r="AR229" s="137" t="s">
        <v>53</v>
      </c>
      <c r="AV229" s="1">
        <f t="shared" si="29"/>
        <v>0</v>
      </c>
      <c r="AW229" s="1">
        <f t="shared" si="23"/>
        <v>0</v>
      </c>
      <c r="AX229" s="13" t="str">
        <f t="shared" si="27"/>
        <v/>
      </c>
      <c r="BA229" s="12">
        <f t="shared" si="24"/>
        <v>0</v>
      </c>
      <c r="BB229" s="12">
        <f t="shared" si="28"/>
        <v>0</v>
      </c>
      <c r="BC229" s="12">
        <f t="shared" si="28"/>
        <v>0</v>
      </c>
      <c r="BD229" s="12">
        <f t="shared" si="28"/>
        <v>0</v>
      </c>
      <c r="BE229" s="12">
        <f t="shared" si="28"/>
        <v>0</v>
      </c>
      <c r="BF229" s="12">
        <f t="shared" si="25"/>
        <v>0</v>
      </c>
      <c r="BJ229" s="12" t="str">
        <f t="shared" si="26"/>
        <v/>
      </c>
      <c r="BK229" s="12">
        <f>VLOOKUP(B229,Kraftvärmeprod!$B$1:$BH$549,MATCH($BA$1,Kraftvärmeprod!$B$1:$CC$1,0),FALSE)</f>
        <v>0</v>
      </c>
    </row>
    <row r="230" spans="1:63" ht="15" customHeight="1" x14ac:dyDescent="0.25">
      <c r="A230" s="137" t="s">
        <v>4</v>
      </c>
      <c r="B230" s="137" t="s">
        <v>5</v>
      </c>
      <c r="C230" s="137">
        <v>2018</v>
      </c>
      <c r="D230" s="137" t="s">
        <v>53</v>
      </c>
      <c r="E230" s="137" t="s">
        <v>53</v>
      </c>
      <c r="F230" s="137" t="s">
        <v>53</v>
      </c>
      <c r="G230" s="137" t="s">
        <v>53</v>
      </c>
      <c r="H230" s="137" t="s">
        <v>53</v>
      </c>
      <c r="I230" s="137" t="s">
        <v>53</v>
      </c>
      <c r="J230" s="137" t="s">
        <v>53</v>
      </c>
      <c r="K230" s="137" t="s">
        <v>53</v>
      </c>
      <c r="L230" s="137" t="s">
        <v>53</v>
      </c>
      <c r="M230" s="137" t="s">
        <v>53</v>
      </c>
      <c r="N230" s="137" t="s">
        <v>53</v>
      </c>
      <c r="O230" s="137" t="s">
        <v>53</v>
      </c>
      <c r="P230" s="137" t="s">
        <v>53</v>
      </c>
      <c r="Q230" s="137" t="s">
        <v>53</v>
      </c>
      <c r="R230" s="137" t="s">
        <v>53</v>
      </c>
      <c r="S230" s="137" t="s">
        <v>53</v>
      </c>
      <c r="T230" s="137" t="s">
        <v>53</v>
      </c>
      <c r="U230" s="137" t="s">
        <v>53</v>
      </c>
      <c r="V230" s="137" t="s">
        <v>53</v>
      </c>
      <c r="W230" s="137" t="s">
        <v>53</v>
      </c>
      <c r="X230" s="137" t="s">
        <v>53</v>
      </c>
      <c r="Y230" s="137" t="s">
        <v>53</v>
      </c>
      <c r="Z230" s="137" t="s">
        <v>53</v>
      </c>
      <c r="AA230" s="137" t="s">
        <v>53</v>
      </c>
      <c r="AB230" s="137" t="s">
        <v>53</v>
      </c>
      <c r="AC230" s="137" t="s">
        <v>53</v>
      </c>
      <c r="AD230" s="137" t="s">
        <v>53</v>
      </c>
      <c r="AE230" s="137" t="s">
        <v>53</v>
      </c>
      <c r="AF230" s="137" t="s">
        <v>53</v>
      </c>
      <c r="AG230" s="137" t="s">
        <v>53</v>
      </c>
      <c r="AH230" s="137" t="s">
        <v>53</v>
      </c>
      <c r="AI230" s="137" t="s">
        <v>53</v>
      </c>
      <c r="AJ230" s="137" t="s">
        <v>53</v>
      </c>
      <c r="AK230" s="137" t="s">
        <v>53</v>
      </c>
      <c r="AL230" s="137" t="s">
        <v>53</v>
      </c>
      <c r="AM230" s="137" t="s">
        <v>53</v>
      </c>
      <c r="AN230" s="137" t="s">
        <v>53</v>
      </c>
      <c r="AO230" s="137" t="s">
        <v>53</v>
      </c>
      <c r="AP230" s="137" t="s">
        <v>53</v>
      </c>
      <c r="AQ230" s="137" t="s">
        <v>53</v>
      </c>
      <c r="AR230" s="137" t="s">
        <v>53</v>
      </c>
      <c r="AV230" s="1">
        <f t="shared" si="29"/>
        <v>0</v>
      </c>
      <c r="AW230" s="1">
        <f t="shared" si="23"/>
        <v>0</v>
      </c>
      <c r="AX230" s="13" t="str">
        <f t="shared" si="27"/>
        <v/>
      </c>
      <c r="BA230" s="12">
        <f t="shared" si="24"/>
        <v>0</v>
      </c>
      <c r="BB230" s="12">
        <f t="shared" si="28"/>
        <v>0</v>
      </c>
      <c r="BC230" s="12">
        <f t="shared" si="28"/>
        <v>0</v>
      </c>
      <c r="BD230" s="12">
        <f t="shared" si="28"/>
        <v>0</v>
      </c>
      <c r="BE230" s="12">
        <f t="shared" si="28"/>
        <v>0</v>
      </c>
      <c r="BF230" s="12">
        <f t="shared" si="25"/>
        <v>0</v>
      </c>
      <c r="BJ230" s="12" t="str">
        <f t="shared" si="26"/>
        <v/>
      </c>
      <c r="BK230" s="12">
        <f>VLOOKUP(B230,Kraftvärmeprod!$B$1:$BH$549,MATCH($BA$1,Kraftvärmeprod!$B$1:$CC$1,0),FALSE)</f>
        <v>0</v>
      </c>
    </row>
    <row r="231" spans="1:63" ht="15" customHeight="1" x14ac:dyDescent="0.25">
      <c r="A231" s="137" t="s">
        <v>510</v>
      </c>
      <c r="B231" s="137" t="s">
        <v>511</v>
      </c>
      <c r="C231" s="137">
        <v>2018</v>
      </c>
      <c r="D231" s="137">
        <v>40.26</v>
      </c>
      <c r="E231" s="137">
        <v>44.719000000000001</v>
      </c>
      <c r="F231" s="137">
        <v>0</v>
      </c>
      <c r="G231" s="137">
        <v>0.01</v>
      </c>
      <c r="H231" s="137">
        <v>0</v>
      </c>
      <c r="I231" s="137">
        <v>0</v>
      </c>
      <c r="J231" s="137">
        <v>0</v>
      </c>
      <c r="K231" s="137">
        <v>0</v>
      </c>
      <c r="L231" s="137">
        <v>0</v>
      </c>
      <c r="M231" s="137" t="s">
        <v>512</v>
      </c>
      <c r="N231" s="137">
        <v>5.2969999999999997</v>
      </c>
      <c r="O231" s="137">
        <v>17.399000000000001</v>
      </c>
      <c r="P231" s="137">
        <v>4.2489999999999997</v>
      </c>
      <c r="Q231" s="137">
        <v>6.1909999999999998</v>
      </c>
      <c r="R231" s="137">
        <v>2.7519999999999998</v>
      </c>
      <c r="S231" s="137">
        <v>0</v>
      </c>
      <c r="T231" s="137" t="s">
        <v>194</v>
      </c>
      <c r="U231" s="137">
        <v>0</v>
      </c>
      <c r="V231" s="137">
        <v>0</v>
      </c>
      <c r="W231" s="137">
        <v>0</v>
      </c>
      <c r="X231" s="137">
        <v>0</v>
      </c>
      <c r="Y231" s="137">
        <v>0</v>
      </c>
      <c r="Z231" s="137">
        <v>0</v>
      </c>
      <c r="AA231" s="137">
        <v>0</v>
      </c>
      <c r="AB231" s="137">
        <v>0</v>
      </c>
      <c r="AC231" s="137">
        <v>0</v>
      </c>
      <c r="AD231" s="137" t="s">
        <v>193</v>
      </c>
      <c r="AE231" s="137" t="s">
        <v>199</v>
      </c>
      <c r="AF231" s="137" t="s">
        <v>193</v>
      </c>
      <c r="AG231" s="137">
        <v>0</v>
      </c>
      <c r="AH231" s="137">
        <v>8.8209999999999997</v>
      </c>
      <c r="AI231" s="137">
        <v>0</v>
      </c>
      <c r="AJ231" s="137" t="s">
        <v>193</v>
      </c>
      <c r="AK231" s="137">
        <v>0</v>
      </c>
      <c r="AL231" s="137">
        <v>0</v>
      </c>
      <c r="AM231" s="137">
        <v>0</v>
      </c>
      <c r="AN231" s="137" t="s">
        <v>219</v>
      </c>
      <c r="AO231" s="137">
        <v>100</v>
      </c>
      <c r="AP231" s="137">
        <v>0</v>
      </c>
      <c r="AQ231" s="137">
        <v>0</v>
      </c>
      <c r="AR231" s="137">
        <v>0</v>
      </c>
      <c r="AV231" s="1">
        <f t="shared" si="29"/>
        <v>44.719000000000001</v>
      </c>
      <c r="AW231" s="1">
        <f t="shared" si="23"/>
        <v>40.26</v>
      </c>
      <c r="AX231" s="13">
        <f t="shared" si="27"/>
        <v>0.90028846798899786</v>
      </c>
      <c r="BA231" s="12">
        <f t="shared" si="24"/>
        <v>8.8209999999999997</v>
      </c>
      <c r="BB231" s="12">
        <f t="shared" si="28"/>
        <v>8.8209999999999997</v>
      </c>
      <c r="BC231" s="12">
        <f t="shared" si="28"/>
        <v>0</v>
      </c>
      <c r="BD231" s="12">
        <f t="shared" si="28"/>
        <v>0</v>
      </c>
      <c r="BE231" s="12">
        <f t="shared" si="28"/>
        <v>0</v>
      </c>
      <c r="BF231" s="12">
        <f t="shared" si="25"/>
        <v>0</v>
      </c>
      <c r="BJ231" s="12" t="str">
        <f t="shared" si="26"/>
        <v/>
      </c>
      <c r="BK231" s="12">
        <f>VLOOKUP(B231,Kraftvärmeprod!$B$1:$BH$549,MATCH($BA$1,Kraftvärmeprod!$B$1:$CC$1,0),FALSE)</f>
        <v>0</v>
      </c>
    </row>
    <row r="232" spans="1:63" ht="15" customHeight="1" x14ac:dyDescent="0.25">
      <c r="A232" s="137" t="s">
        <v>513</v>
      </c>
      <c r="B232" s="137" t="s">
        <v>514</v>
      </c>
      <c r="C232" s="137">
        <v>2018</v>
      </c>
      <c r="D232" s="137">
        <v>7.51</v>
      </c>
      <c r="E232" s="137">
        <v>7.5048000000000004</v>
      </c>
      <c r="F232" s="137" t="s">
        <v>193</v>
      </c>
      <c r="G232" s="137">
        <v>3.8E-3</v>
      </c>
      <c r="H232" s="137" t="s">
        <v>193</v>
      </c>
      <c r="I232" s="137" t="s">
        <v>193</v>
      </c>
      <c r="J232" s="137" t="s">
        <v>193</v>
      </c>
      <c r="K232" s="137" t="s">
        <v>193</v>
      </c>
      <c r="L232" s="137" t="s">
        <v>193</v>
      </c>
      <c r="M232" s="137" t="s">
        <v>53</v>
      </c>
      <c r="N232" s="137" t="s">
        <v>193</v>
      </c>
      <c r="O232" s="137" t="s">
        <v>193</v>
      </c>
      <c r="P232" s="137" t="s">
        <v>193</v>
      </c>
      <c r="Q232" s="137" t="s">
        <v>193</v>
      </c>
      <c r="R232" s="137" t="s">
        <v>193</v>
      </c>
      <c r="S232" s="137" t="s">
        <v>193</v>
      </c>
      <c r="T232" s="137" t="s">
        <v>193</v>
      </c>
      <c r="U232" s="137">
        <v>7.3</v>
      </c>
      <c r="V232" s="137" t="s">
        <v>193</v>
      </c>
      <c r="W232" s="137" t="s">
        <v>193</v>
      </c>
      <c r="X232" s="137" t="s">
        <v>193</v>
      </c>
      <c r="Y232" s="137" t="s">
        <v>193</v>
      </c>
      <c r="Z232" s="137" t="s">
        <v>193</v>
      </c>
      <c r="AA232" s="137" t="s">
        <v>193</v>
      </c>
      <c r="AB232" s="137" t="s">
        <v>193</v>
      </c>
      <c r="AC232" s="137" t="s">
        <v>193</v>
      </c>
      <c r="AD232" s="137" t="s">
        <v>193</v>
      </c>
      <c r="AE232" s="137" t="s">
        <v>53</v>
      </c>
      <c r="AF232" s="137" t="s">
        <v>193</v>
      </c>
      <c r="AG232" s="137" t="s">
        <v>193</v>
      </c>
      <c r="AH232" s="137" t="s">
        <v>193</v>
      </c>
      <c r="AI232" s="137" t="s">
        <v>193</v>
      </c>
      <c r="AJ232" s="137" t="s">
        <v>193</v>
      </c>
      <c r="AK232" s="137" t="s">
        <v>193</v>
      </c>
      <c r="AL232" s="137">
        <v>0.20100000000000001</v>
      </c>
      <c r="AM232" s="137">
        <v>0.20100000000000001</v>
      </c>
      <c r="AN232" s="137" t="s">
        <v>53</v>
      </c>
      <c r="AO232" s="137" t="s">
        <v>193</v>
      </c>
      <c r="AP232" s="137" t="s">
        <v>193</v>
      </c>
      <c r="AQ232" s="137" t="s">
        <v>193</v>
      </c>
      <c r="AR232" s="137" t="s">
        <v>193</v>
      </c>
      <c r="AV232" s="1">
        <f t="shared" si="29"/>
        <v>7.5047999999999995</v>
      </c>
      <c r="AW232" s="1">
        <f t="shared" si="23"/>
        <v>7.51</v>
      </c>
      <c r="AX232" s="13">
        <f t="shared" si="27"/>
        <v>1.0006928898838077</v>
      </c>
      <c r="BA232" s="12">
        <f t="shared" si="24"/>
        <v>0</v>
      </c>
      <c r="BB232" s="12">
        <f t="shared" si="28"/>
        <v>0</v>
      </c>
      <c r="BC232" s="12">
        <f t="shared" si="28"/>
        <v>0</v>
      </c>
      <c r="BD232" s="12">
        <f t="shared" si="28"/>
        <v>0</v>
      </c>
      <c r="BE232" s="12">
        <f t="shared" si="28"/>
        <v>0</v>
      </c>
      <c r="BF232" s="12">
        <f t="shared" si="25"/>
        <v>0</v>
      </c>
      <c r="BJ232" s="12" t="str">
        <f t="shared" si="26"/>
        <v/>
      </c>
      <c r="BK232" s="12">
        <f>VLOOKUP(B232,Kraftvärmeprod!$B$1:$BH$549,MATCH($BA$1,Kraftvärmeprod!$B$1:$CC$1,0),FALSE)</f>
        <v>0</v>
      </c>
    </row>
    <row r="233" spans="1:63" ht="15" customHeight="1" x14ac:dyDescent="0.25">
      <c r="A233" s="137" t="s">
        <v>513</v>
      </c>
      <c r="B233" s="137" t="s">
        <v>515</v>
      </c>
      <c r="C233" s="137">
        <v>2018</v>
      </c>
      <c r="D233" s="137">
        <v>0.78300000000000003</v>
      </c>
      <c r="E233" s="137">
        <v>0.78400000000000003</v>
      </c>
      <c r="F233" s="137" t="s">
        <v>193</v>
      </c>
      <c r="G233" s="137">
        <v>0.66600000000000004</v>
      </c>
      <c r="H233" s="137" t="s">
        <v>193</v>
      </c>
      <c r="I233" s="137" t="s">
        <v>193</v>
      </c>
      <c r="J233" s="137" t="s">
        <v>193</v>
      </c>
      <c r="K233" s="137" t="s">
        <v>193</v>
      </c>
      <c r="L233" s="137">
        <v>0.11799999999999999</v>
      </c>
      <c r="M233" s="137" t="s">
        <v>516</v>
      </c>
      <c r="N233" s="137" t="s">
        <v>193</v>
      </c>
      <c r="O233" s="137" t="s">
        <v>193</v>
      </c>
      <c r="P233" s="137" t="s">
        <v>193</v>
      </c>
      <c r="Q233" s="137" t="s">
        <v>193</v>
      </c>
      <c r="R233" s="137" t="s">
        <v>193</v>
      </c>
      <c r="S233" s="137" t="s">
        <v>193</v>
      </c>
      <c r="T233" s="137" t="s">
        <v>193</v>
      </c>
      <c r="U233" s="137" t="s">
        <v>193</v>
      </c>
      <c r="V233" s="137" t="s">
        <v>193</v>
      </c>
      <c r="W233" s="137" t="s">
        <v>193</v>
      </c>
      <c r="X233" s="137" t="s">
        <v>193</v>
      </c>
      <c r="Y233" s="137" t="s">
        <v>193</v>
      </c>
      <c r="Z233" s="137" t="s">
        <v>193</v>
      </c>
      <c r="AA233" s="137" t="s">
        <v>193</v>
      </c>
      <c r="AB233" s="137" t="s">
        <v>193</v>
      </c>
      <c r="AC233" s="137" t="s">
        <v>193</v>
      </c>
      <c r="AD233" s="137" t="s">
        <v>193</v>
      </c>
      <c r="AE233" s="137" t="s">
        <v>53</v>
      </c>
      <c r="AF233" s="137" t="s">
        <v>193</v>
      </c>
      <c r="AG233" s="137" t="s">
        <v>193</v>
      </c>
      <c r="AH233" s="137" t="s">
        <v>193</v>
      </c>
      <c r="AI233" s="137" t="s">
        <v>193</v>
      </c>
      <c r="AJ233" s="137" t="s">
        <v>193</v>
      </c>
      <c r="AK233" s="137" t="s">
        <v>193</v>
      </c>
      <c r="AL233" s="137" t="s">
        <v>193</v>
      </c>
      <c r="AM233" s="137" t="s">
        <v>193</v>
      </c>
      <c r="AN233" s="137" t="s">
        <v>53</v>
      </c>
      <c r="AO233" s="137" t="s">
        <v>193</v>
      </c>
      <c r="AP233" s="137" t="s">
        <v>193</v>
      </c>
      <c r="AQ233" s="137" t="s">
        <v>193</v>
      </c>
      <c r="AR233" s="137" t="s">
        <v>193</v>
      </c>
      <c r="AV233" s="1">
        <f t="shared" si="29"/>
        <v>0.78400000000000003</v>
      </c>
      <c r="AW233" s="1">
        <f t="shared" si="23"/>
        <v>0.78300000000000003</v>
      </c>
      <c r="AX233" s="13">
        <f t="shared" si="27"/>
        <v>0.99872448979591832</v>
      </c>
      <c r="BA233" s="12">
        <f t="shared" si="24"/>
        <v>0</v>
      </c>
      <c r="BB233" s="12">
        <f t="shared" si="28"/>
        <v>0</v>
      </c>
      <c r="BC233" s="12">
        <f t="shared" si="28"/>
        <v>0</v>
      </c>
      <c r="BD233" s="12">
        <f t="shared" si="28"/>
        <v>0</v>
      </c>
      <c r="BE233" s="12">
        <f t="shared" si="28"/>
        <v>0</v>
      </c>
      <c r="BF233" s="12">
        <f t="shared" si="25"/>
        <v>0</v>
      </c>
      <c r="BJ233" s="12" t="str">
        <f t="shared" si="26"/>
        <v/>
      </c>
      <c r="BK233" s="12">
        <f>VLOOKUP(B233,Kraftvärmeprod!$B$1:$BH$549,MATCH($BA$1,Kraftvärmeprod!$B$1:$CC$1,0),FALSE)</f>
        <v>0</v>
      </c>
    </row>
    <row r="234" spans="1:63" ht="15" customHeight="1" x14ac:dyDescent="0.25">
      <c r="A234" s="137" t="s">
        <v>513</v>
      </c>
      <c r="B234" s="137" t="s">
        <v>517</v>
      </c>
      <c r="C234" s="137">
        <v>2018</v>
      </c>
      <c r="D234" s="137" t="s">
        <v>193</v>
      </c>
      <c r="E234" s="137" t="s">
        <v>193</v>
      </c>
      <c r="F234" s="137" t="s">
        <v>193</v>
      </c>
      <c r="G234" s="137" t="s">
        <v>193</v>
      </c>
      <c r="H234" s="137" t="s">
        <v>193</v>
      </c>
      <c r="I234" s="137" t="s">
        <v>193</v>
      </c>
      <c r="J234" s="137" t="s">
        <v>193</v>
      </c>
      <c r="K234" s="137" t="s">
        <v>193</v>
      </c>
      <c r="L234" s="137" t="s">
        <v>193</v>
      </c>
      <c r="M234" s="137" t="s">
        <v>53</v>
      </c>
      <c r="N234" s="137" t="s">
        <v>193</v>
      </c>
      <c r="O234" s="137" t="s">
        <v>193</v>
      </c>
      <c r="P234" s="137" t="s">
        <v>193</v>
      </c>
      <c r="Q234" s="137" t="s">
        <v>193</v>
      </c>
      <c r="R234" s="137" t="s">
        <v>193</v>
      </c>
      <c r="S234" s="137" t="s">
        <v>193</v>
      </c>
      <c r="T234" s="137" t="s">
        <v>193</v>
      </c>
      <c r="U234" s="137" t="s">
        <v>193</v>
      </c>
      <c r="V234" s="137" t="s">
        <v>193</v>
      </c>
      <c r="W234" s="137" t="s">
        <v>193</v>
      </c>
      <c r="X234" s="137" t="s">
        <v>193</v>
      </c>
      <c r="Y234" s="137" t="s">
        <v>193</v>
      </c>
      <c r="Z234" s="137" t="s">
        <v>193</v>
      </c>
      <c r="AA234" s="137" t="s">
        <v>193</v>
      </c>
      <c r="AB234" s="137" t="s">
        <v>193</v>
      </c>
      <c r="AC234" s="137" t="s">
        <v>193</v>
      </c>
      <c r="AD234" s="137" t="s">
        <v>193</v>
      </c>
      <c r="AE234" s="137" t="s">
        <v>53</v>
      </c>
      <c r="AF234" s="137" t="s">
        <v>193</v>
      </c>
      <c r="AG234" s="137" t="s">
        <v>193</v>
      </c>
      <c r="AH234" s="137" t="s">
        <v>193</v>
      </c>
      <c r="AI234" s="137" t="s">
        <v>193</v>
      </c>
      <c r="AJ234" s="137" t="s">
        <v>193</v>
      </c>
      <c r="AK234" s="137" t="s">
        <v>193</v>
      </c>
      <c r="AL234" s="137" t="s">
        <v>193</v>
      </c>
      <c r="AM234" s="137" t="s">
        <v>193</v>
      </c>
      <c r="AN234" s="137" t="s">
        <v>53</v>
      </c>
      <c r="AO234" s="137" t="s">
        <v>193</v>
      </c>
      <c r="AP234" s="137" t="s">
        <v>193</v>
      </c>
      <c r="AQ234" s="137" t="s">
        <v>193</v>
      </c>
      <c r="AR234" s="137" t="s">
        <v>193</v>
      </c>
      <c r="AV234" s="1">
        <f t="shared" si="29"/>
        <v>0</v>
      </c>
      <c r="AW234" s="1">
        <f t="shared" si="23"/>
        <v>0</v>
      </c>
      <c r="AX234" s="13" t="str">
        <f t="shared" si="27"/>
        <v/>
      </c>
      <c r="BA234" s="12">
        <f t="shared" si="24"/>
        <v>0</v>
      </c>
      <c r="BB234" s="12">
        <f t="shared" si="28"/>
        <v>0</v>
      </c>
      <c r="BC234" s="12">
        <f t="shared" si="28"/>
        <v>0</v>
      </c>
      <c r="BD234" s="12">
        <f t="shared" si="28"/>
        <v>0</v>
      </c>
      <c r="BE234" s="12">
        <f t="shared" si="28"/>
        <v>0</v>
      </c>
      <c r="BF234" s="12">
        <f t="shared" si="25"/>
        <v>0</v>
      </c>
      <c r="BJ234" s="12" t="str">
        <f t="shared" si="26"/>
        <v/>
      </c>
      <c r="BK234" s="12">
        <f>VLOOKUP(B234,Kraftvärmeprod!$B$1:$BH$549,MATCH($BA$1,Kraftvärmeprod!$B$1:$CC$1,0),FALSE)</f>
        <v>0</v>
      </c>
    </row>
    <row r="235" spans="1:63" ht="15" customHeight="1" x14ac:dyDescent="0.25">
      <c r="A235" s="137" t="s">
        <v>513</v>
      </c>
      <c r="B235" s="137" t="s">
        <v>518</v>
      </c>
      <c r="C235" s="137">
        <v>2018</v>
      </c>
      <c r="D235" s="137">
        <v>2.4849999999999999</v>
      </c>
      <c r="E235" s="137">
        <v>2.4857999999999998</v>
      </c>
      <c r="F235" s="137" t="s">
        <v>193</v>
      </c>
      <c r="G235" s="137">
        <v>7.6999999999999999E-2</v>
      </c>
      <c r="H235" s="137" t="s">
        <v>193</v>
      </c>
      <c r="I235" s="137" t="s">
        <v>193</v>
      </c>
      <c r="J235" s="137" t="s">
        <v>193</v>
      </c>
      <c r="K235" s="137" t="s">
        <v>193</v>
      </c>
      <c r="L235" s="137" t="s">
        <v>193</v>
      </c>
      <c r="M235" s="137" t="s">
        <v>53</v>
      </c>
      <c r="N235" s="137" t="s">
        <v>193</v>
      </c>
      <c r="O235" s="137" t="s">
        <v>193</v>
      </c>
      <c r="P235" s="137" t="s">
        <v>193</v>
      </c>
      <c r="Q235" s="137" t="s">
        <v>193</v>
      </c>
      <c r="R235" s="137" t="s">
        <v>193</v>
      </c>
      <c r="S235" s="137" t="s">
        <v>193</v>
      </c>
      <c r="T235" s="137" t="s">
        <v>193</v>
      </c>
      <c r="U235" s="137">
        <v>2.367</v>
      </c>
      <c r="V235" s="137" t="s">
        <v>193</v>
      </c>
      <c r="W235" s="137" t="s">
        <v>193</v>
      </c>
      <c r="X235" s="137" t="s">
        <v>193</v>
      </c>
      <c r="Y235" s="137" t="s">
        <v>193</v>
      </c>
      <c r="Z235" s="137" t="s">
        <v>193</v>
      </c>
      <c r="AA235" s="137" t="s">
        <v>193</v>
      </c>
      <c r="AB235" s="137" t="s">
        <v>193</v>
      </c>
      <c r="AC235" s="137" t="s">
        <v>193</v>
      </c>
      <c r="AD235" s="137" t="s">
        <v>193</v>
      </c>
      <c r="AE235" s="137" t="s">
        <v>53</v>
      </c>
      <c r="AF235" s="137" t="s">
        <v>193</v>
      </c>
      <c r="AG235" s="137" t="s">
        <v>193</v>
      </c>
      <c r="AH235" s="137" t="s">
        <v>193</v>
      </c>
      <c r="AI235" s="137" t="s">
        <v>193</v>
      </c>
      <c r="AJ235" s="137" t="s">
        <v>193</v>
      </c>
      <c r="AK235" s="137" t="s">
        <v>193</v>
      </c>
      <c r="AL235" s="137">
        <v>4.1799999999999997E-2</v>
      </c>
      <c r="AM235" s="137">
        <v>4.1799999999999997E-2</v>
      </c>
      <c r="AN235" s="137" t="s">
        <v>53</v>
      </c>
      <c r="AO235" s="137" t="s">
        <v>193</v>
      </c>
      <c r="AP235" s="137" t="s">
        <v>193</v>
      </c>
      <c r="AQ235" s="137" t="s">
        <v>193</v>
      </c>
      <c r="AR235" s="137" t="s">
        <v>193</v>
      </c>
      <c r="AV235" s="1">
        <f t="shared" si="29"/>
        <v>2.4857999999999998</v>
      </c>
      <c r="AW235" s="1">
        <f t="shared" si="23"/>
        <v>2.4849999999999999</v>
      </c>
      <c r="AX235" s="13">
        <f t="shared" si="27"/>
        <v>0.99967817201705689</v>
      </c>
      <c r="BA235" s="12">
        <f t="shared" si="24"/>
        <v>0</v>
      </c>
      <c r="BB235" s="12">
        <f t="shared" si="28"/>
        <v>0</v>
      </c>
      <c r="BC235" s="12">
        <f t="shared" si="28"/>
        <v>0</v>
      </c>
      <c r="BD235" s="12">
        <f t="shared" si="28"/>
        <v>0</v>
      </c>
      <c r="BE235" s="12">
        <f t="shared" si="28"/>
        <v>0</v>
      </c>
      <c r="BF235" s="12">
        <f t="shared" si="25"/>
        <v>0</v>
      </c>
      <c r="BJ235" s="12" t="str">
        <f t="shared" si="26"/>
        <v/>
      </c>
      <c r="BK235" s="12">
        <f>VLOOKUP(B235,Kraftvärmeprod!$B$1:$BH$549,MATCH($BA$1,Kraftvärmeprod!$B$1:$CC$1,0),FALSE)</f>
        <v>0</v>
      </c>
    </row>
    <row r="236" spans="1:63" ht="15" customHeight="1" x14ac:dyDescent="0.25">
      <c r="A236" s="137" t="s">
        <v>519</v>
      </c>
      <c r="B236" s="137" t="s">
        <v>520</v>
      </c>
      <c r="C236" s="137">
        <v>2018</v>
      </c>
      <c r="D236" s="137" t="s">
        <v>53</v>
      </c>
      <c r="E236" s="137" t="s">
        <v>53</v>
      </c>
      <c r="F236" s="137" t="s">
        <v>53</v>
      </c>
      <c r="G236" s="137" t="s">
        <v>53</v>
      </c>
      <c r="H236" s="137" t="s">
        <v>53</v>
      </c>
      <c r="I236" s="137" t="s">
        <v>53</v>
      </c>
      <c r="J236" s="137" t="s">
        <v>53</v>
      </c>
      <c r="K236" s="137" t="s">
        <v>53</v>
      </c>
      <c r="L236" s="137" t="s">
        <v>53</v>
      </c>
      <c r="M236" s="137" t="s">
        <v>53</v>
      </c>
      <c r="N236" s="137" t="s">
        <v>53</v>
      </c>
      <c r="O236" s="137" t="s">
        <v>53</v>
      </c>
      <c r="P236" s="137" t="s">
        <v>53</v>
      </c>
      <c r="Q236" s="137" t="s">
        <v>53</v>
      </c>
      <c r="R236" s="137" t="s">
        <v>53</v>
      </c>
      <c r="S236" s="137" t="s">
        <v>53</v>
      </c>
      <c r="T236" s="137" t="s">
        <v>53</v>
      </c>
      <c r="U236" s="137" t="s">
        <v>53</v>
      </c>
      <c r="V236" s="137" t="s">
        <v>53</v>
      </c>
      <c r="W236" s="137" t="s">
        <v>53</v>
      </c>
      <c r="X236" s="137" t="s">
        <v>53</v>
      </c>
      <c r="Y236" s="137" t="s">
        <v>53</v>
      </c>
      <c r="Z236" s="137" t="s">
        <v>53</v>
      </c>
      <c r="AA236" s="137" t="s">
        <v>53</v>
      </c>
      <c r="AB236" s="137" t="s">
        <v>53</v>
      </c>
      <c r="AC236" s="137" t="s">
        <v>53</v>
      </c>
      <c r="AD236" s="137" t="s">
        <v>53</v>
      </c>
      <c r="AE236" s="137" t="s">
        <v>53</v>
      </c>
      <c r="AF236" s="137" t="s">
        <v>53</v>
      </c>
      <c r="AG236" s="137" t="s">
        <v>53</v>
      </c>
      <c r="AH236" s="137" t="s">
        <v>53</v>
      </c>
      <c r="AI236" s="137" t="s">
        <v>53</v>
      </c>
      <c r="AJ236" s="137" t="s">
        <v>53</v>
      </c>
      <c r="AK236" s="137" t="s">
        <v>53</v>
      </c>
      <c r="AL236" s="137" t="s">
        <v>53</v>
      </c>
      <c r="AM236" s="137" t="s">
        <v>53</v>
      </c>
      <c r="AN236" s="137" t="s">
        <v>53</v>
      </c>
      <c r="AO236" s="137" t="s">
        <v>53</v>
      </c>
      <c r="AP236" s="137" t="s">
        <v>53</v>
      </c>
      <c r="AQ236" s="137" t="s">
        <v>53</v>
      </c>
      <c r="AR236" s="137" t="s">
        <v>53</v>
      </c>
      <c r="AV236" s="1">
        <f t="shared" si="29"/>
        <v>0</v>
      </c>
      <c r="AW236" s="1">
        <f t="shared" si="23"/>
        <v>0</v>
      </c>
      <c r="AX236" s="13" t="str">
        <f t="shared" si="27"/>
        <v/>
      </c>
      <c r="BA236" s="12">
        <f t="shared" si="24"/>
        <v>0</v>
      </c>
      <c r="BB236" s="12">
        <f t="shared" si="28"/>
        <v>0</v>
      </c>
      <c r="BC236" s="12">
        <f t="shared" si="28"/>
        <v>0</v>
      </c>
      <c r="BD236" s="12">
        <f t="shared" si="28"/>
        <v>0</v>
      </c>
      <c r="BE236" s="12">
        <f t="shared" si="28"/>
        <v>0</v>
      </c>
      <c r="BF236" s="12">
        <f t="shared" si="25"/>
        <v>0</v>
      </c>
      <c r="BJ236" s="12" t="str">
        <f t="shared" si="26"/>
        <v/>
      </c>
      <c r="BK236" s="12">
        <f>VLOOKUP(B236,Kraftvärmeprod!$B$1:$BH$549,MATCH($BA$1,Kraftvärmeprod!$B$1:$CC$1,0),FALSE)</f>
        <v>0</v>
      </c>
    </row>
    <row r="237" spans="1:63" ht="15" customHeight="1" x14ac:dyDescent="0.25">
      <c r="A237" s="137" t="s">
        <v>521</v>
      </c>
      <c r="B237" s="137" t="s">
        <v>522</v>
      </c>
      <c r="C237" s="137">
        <v>2018</v>
      </c>
      <c r="D237" s="137">
        <v>17.8</v>
      </c>
      <c r="E237" s="137">
        <v>20.48</v>
      </c>
      <c r="F237" s="137" t="s">
        <v>193</v>
      </c>
      <c r="G237" s="137">
        <v>0.18</v>
      </c>
      <c r="H237" s="137" t="s">
        <v>193</v>
      </c>
      <c r="I237" s="137" t="s">
        <v>193</v>
      </c>
      <c r="J237" s="137" t="s">
        <v>193</v>
      </c>
      <c r="K237" s="137" t="s">
        <v>193</v>
      </c>
      <c r="L237" s="137" t="s">
        <v>193</v>
      </c>
      <c r="M237" s="137" t="s">
        <v>53</v>
      </c>
      <c r="N237" s="137">
        <v>5.4</v>
      </c>
      <c r="O237" s="137">
        <v>5.4</v>
      </c>
      <c r="P237" s="137">
        <v>5.5</v>
      </c>
      <c r="Q237" s="137">
        <v>1.8</v>
      </c>
      <c r="R237" s="137" t="s">
        <v>193</v>
      </c>
      <c r="S237" s="137" t="s">
        <v>193</v>
      </c>
      <c r="T237" s="137" t="s">
        <v>193</v>
      </c>
      <c r="U237" s="137">
        <v>2.2000000000000002</v>
      </c>
      <c r="V237" s="137" t="s">
        <v>193</v>
      </c>
      <c r="W237" s="137" t="s">
        <v>193</v>
      </c>
      <c r="X237" s="137" t="s">
        <v>193</v>
      </c>
      <c r="Y237" s="137" t="s">
        <v>193</v>
      </c>
      <c r="Z237" s="137" t="s">
        <v>193</v>
      </c>
      <c r="AA237" s="137" t="s">
        <v>193</v>
      </c>
      <c r="AB237" s="137" t="s">
        <v>193</v>
      </c>
      <c r="AC237" s="137" t="s">
        <v>193</v>
      </c>
      <c r="AD237" s="137" t="s">
        <v>193</v>
      </c>
      <c r="AE237" s="137" t="s">
        <v>53</v>
      </c>
      <c r="AF237" s="137" t="s">
        <v>193</v>
      </c>
      <c r="AG237" s="137" t="s">
        <v>193</v>
      </c>
      <c r="AH237" s="137" t="s">
        <v>193</v>
      </c>
      <c r="AI237" s="137" t="s">
        <v>193</v>
      </c>
      <c r="AJ237" s="137" t="s">
        <v>193</v>
      </c>
      <c r="AK237" s="137" t="s">
        <v>193</v>
      </c>
      <c r="AL237" s="137" t="s">
        <v>193</v>
      </c>
      <c r="AM237" s="137" t="s">
        <v>193</v>
      </c>
      <c r="AN237" s="137" t="s">
        <v>53</v>
      </c>
      <c r="AO237" s="137" t="s">
        <v>193</v>
      </c>
      <c r="AP237" s="137" t="s">
        <v>193</v>
      </c>
      <c r="AQ237" s="137" t="s">
        <v>193</v>
      </c>
      <c r="AR237" s="137" t="s">
        <v>193</v>
      </c>
      <c r="AV237" s="1">
        <f t="shared" si="29"/>
        <v>20.48</v>
      </c>
      <c r="AW237" s="1">
        <f t="shared" si="23"/>
        <v>17.8</v>
      </c>
      <c r="AX237" s="13">
        <f t="shared" si="27"/>
        <v>0.869140625</v>
      </c>
      <c r="BA237" s="12">
        <f t="shared" si="24"/>
        <v>0</v>
      </c>
      <c r="BB237" s="12">
        <f t="shared" si="28"/>
        <v>0</v>
      </c>
      <c r="BC237" s="12">
        <f t="shared" si="28"/>
        <v>0</v>
      </c>
      <c r="BD237" s="12">
        <f t="shared" si="28"/>
        <v>0</v>
      </c>
      <c r="BE237" s="12">
        <f t="shared" si="28"/>
        <v>0</v>
      </c>
      <c r="BF237" s="12">
        <f t="shared" si="25"/>
        <v>0</v>
      </c>
      <c r="BJ237" s="12" t="str">
        <f t="shared" si="26"/>
        <v/>
      </c>
      <c r="BK237" s="12">
        <f>VLOOKUP(B237,Kraftvärmeprod!$B$1:$BH$549,MATCH($BA$1,Kraftvärmeprod!$B$1:$CC$1,0),FALSE)</f>
        <v>0</v>
      </c>
    </row>
    <row r="238" spans="1:63" ht="15" customHeight="1" x14ac:dyDescent="0.25">
      <c r="A238" s="137" t="s">
        <v>521</v>
      </c>
      <c r="B238" s="137" t="s">
        <v>523</v>
      </c>
      <c r="C238" s="137">
        <v>2018</v>
      </c>
      <c r="D238" s="137">
        <v>119.3</v>
      </c>
      <c r="E238" s="137">
        <v>124.3</v>
      </c>
      <c r="F238" s="137" t="s">
        <v>193</v>
      </c>
      <c r="G238" s="137">
        <v>3</v>
      </c>
      <c r="H238" s="137" t="s">
        <v>193</v>
      </c>
      <c r="I238" s="137" t="s">
        <v>193</v>
      </c>
      <c r="J238" s="137" t="s">
        <v>193</v>
      </c>
      <c r="K238" s="137" t="s">
        <v>193</v>
      </c>
      <c r="L238" s="137" t="s">
        <v>193</v>
      </c>
      <c r="M238" s="137" t="s">
        <v>53</v>
      </c>
      <c r="N238" s="137">
        <v>23.2</v>
      </c>
      <c r="O238" s="137">
        <v>23.2</v>
      </c>
      <c r="P238" s="137">
        <v>23.2</v>
      </c>
      <c r="Q238" s="137">
        <v>7.7</v>
      </c>
      <c r="R238" s="137" t="s">
        <v>193</v>
      </c>
      <c r="S238" s="137" t="s">
        <v>193</v>
      </c>
      <c r="T238" s="137" t="s">
        <v>193</v>
      </c>
      <c r="U238" s="137">
        <v>3</v>
      </c>
      <c r="V238" s="137">
        <v>41</v>
      </c>
      <c r="W238" s="137" t="s">
        <v>193</v>
      </c>
      <c r="X238" s="137" t="s">
        <v>193</v>
      </c>
      <c r="Y238" s="137" t="s">
        <v>193</v>
      </c>
      <c r="Z238" s="137" t="s">
        <v>193</v>
      </c>
      <c r="AA238" s="137" t="s">
        <v>193</v>
      </c>
      <c r="AB238" s="137" t="s">
        <v>193</v>
      </c>
      <c r="AC238" s="137" t="s">
        <v>193</v>
      </c>
      <c r="AD238" s="137" t="s">
        <v>193</v>
      </c>
      <c r="AE238" s="137" t="s">
        <v>53</v>
      </c>
      <c r="AF238" s="137" t="s">
        <v>193</v>
      </c>
      <c r="AG238" s="137" t="s">
        <v>193</v>
      </c>
      <c r="AH238" s="137" t="s">
        <v>193</v>
      </c>
      <c r="AI238" s="137" t="s">
        <v>193</v>
      </c>
      <c r="AJ238" s="137" t="s">
        <v>193</v>
      </c>
      <c r="AK238" s="137" t="s">
        <v>193</v>
      </c>
      <c r="AL238" s="137" t="s">
        <v>193</v>
      </c>
      <c r="AM238" s="137" t="s">
        <v>193</v>
      </c>
      <c r="AN238" s="137" t="s">
        <v>53</v>
      </c>
      <c r="AO238" s="137" t="s">
        <v>193</v>
      </c>
      <c r="AP238" s="137" t="s">
        <v>193</v>
      </c>
      <c r="AQ238" s="137" t="s">
        <v>193</v>
      </c>
      <c r="AR238" s="137" t="s">
        <v>193</v>
      </c>
      <c r="AV238" s="1">
        <f t="shared" si="29"/>
        <v>124.3</v>
      </c>
      <c r="AW238" s="1">
        <f t="shared" si="23"/>
        <v>119.3</v>
      </c>
      <c r="AX238" s="13">
        <f t="shared" si="27"/>
        <v>0.95977473853580053</v>
      </c>
      <c r="BA238" s="12">
        <f t="shared" si="24"/>
        <v>0</v>
      </c>
      <c r="BB238" s="12">
        <f t="shared" si="28"/>
        <v>0</v>
      </c>
      <c r="BC238" s="12">
        <f t="shared" si="28"/>
        <v>0</v>
      </c>
      <c r="BD238" s="12">
        <f t="shared" si="28"/>
        <v>0</v>
      </c>
      <c r="BE238" s="12">
        <f t="shared" si="28"/>
        <v>0</v>
      </c>
      <c r="BF238" s="12">
        <f t="shared" si="25"/>
        <v>0</v>
      </c>
      <c r="BJ238" s="12" t="str">
        <f t="shared" si="26"/>
        <v/>
      </c>
      <c r="BK238" s="12">
        <f>VLOOKUP(B238,Kraftvärmeprod!$B$1:$BH$549,MATCH($BA$1,Kraftvärmeprod!$B$1:$CC$1,0),FALSE)</f>
        <v>0</v>
      </c>
    </row>
    <row r="239" spans="1:63" ht="15" customHeight="1" x14ac:dyDescent="0.25">
      <c r="A239" s="137" t="s">
        <v>524</v>
      </c>
      <c r="B239" s="137" t="s">
        <v>525</v>
      </c>
      <c r="C239" s="137">
        <v>2018</v>
      </c>
      <c r="D239" s="137">
        <v>65.59</v>
      </c>
      <c r="E239" s="137">
        <v>78.647768900000003</v>
      </c>
      <c r="F239" s="137" t="s">
        <v>193</v>
      </c>
      <c r="G239" s="137" t="s">
        <v>193</v>
      </c>
      <c r="H239" s="137" t="s">
        <v>193</v>
      </c>
      <c r="I239" s="137" t="s">
        <v>193</v>
      </c>
      <c r="J239" s="137" t="s">
        <v>193</v>
      </c>
      <c r="K239" s="137" t="s">
        <v>193</v>
      </c>
      <c r="L239" s="137" t="s">
        <v>193</v>
      </c>
      <c r="M239" s="137" t="s">
        <v>53</v>
      </c>
      <c r="N239" s="137" t="s">
        <v>193</v>
      </c>
      <c r="O239" s="137" t="s">
        <v>193</v>
      </c>
      <c r="P239" s="137">
        <v>6.5</v>
      </c>
      <c r="Q239" s="137">
        <v>10.130000000000001</v>
      </c>
      <c r="R239" s="137" t="s">
        <v>193</v>
      </c>
      <c r="S239" s="137" t="s">
        <v>193</v>
      </c>
      <c r="T239" s="137" t="s">
        <v>194</v>
      </c>
      <c r="U239" s="137">
        <v>39.090000000000003</v>
      </c>
      <c r="V239" s="137" t="s">
        <v>193</v>
      </c>
      <c r="W239" s="137" t="s">
        <v>193</v>
      </c>
      <c r="X239" s="137" t="s">
        <v>193</v>
      </c>
      <c r="Y239" s="137" t="s">
        <v>193</v>
      </c>
      <c r="Z239" s="137">
        <v>5.44</v>
      </c>
      <c r="AA239" s="137" t="s">
        <v>193</v>
      </c>
      <c r="AB239" s="137" t="s">
        <v>193</v>
      </c>
      <c r="AC239" s="137" t="s">
        <v>193</v>
      </c>
      <c r="AD239" s="137" t="s">
        <v>193</v>
      </c>
      <c r="AE239" s="137" t="s">
        <v>199</v>
      </c>
      <c r="AF239" s="137" t="s">
        <v>193</v>
      </c>
      <c r="AG239" s="137">
        <v>1.90123</v>
      </c>
      <c r="AH239" s="137">
        <v>15.55</v>
      </c>
      <c r="AI239" s="137" t="s">
        <v>193</v>
      </c>
      <c r="AJ239" s="137" t="s">
        <v>193</v>
      </c>
      <c r="AK239" s="137" t="s">
        <v>193</v>
      </c>
      <c r="AL239" s="137">
        <v>3.6538899999999999E-2</v>
      </c>
      <c r="AM239" s="137">
        <v>3.8462000000000003E-2</v>
      </c>
      <c r="AN239" s="137" t="s">
        <v>53</v>
      </c>
      <c r="AO239" s="137">
        <v>100</v>
      </c>
      <c r="AP239" s="137" t="s">
        <v>193</v>
      </c>
      <c r="AQ239" s="137" t="s">
        <v>193</v>
      </c>
      <c r="AR239" s="137" t="s">
        <v>193</v>
      </c>
      <c r="AV239" s="1">
        <f t="shared" si="29"/>
        <v>78.647768900000003</v>
      </c>
      <c r="AW239" s="1">
        <f t="shared" si="23"/>
        <v>65.59</v>
      </c>
      <c r="AX239" s="13">
        <f t="shared" si="27"/>
        <v>0.83397152795773721</v>
      </c>
      <c r="BA239" s="12">
        <f t="shared" si="24"/>
        <v>15.55</v>
      </c>
      <c r="BB239" s="12">
        <f t="shared" si="28"/>
        <v>15.55</v>
      </c>
      <c r="BC239" s="12">
        <f t="shared" si="28"/>
        <v>0</v>
      </c>
      <c r="BD239" s="12">
        <f t="shared" si="28"/>
        <v>0</v>
      </c>
      <c r="BE239" s="12">
        <f t="shared" si="28"/>
        <v>0</v>
      </c>
      <c r="BF239" s="12">
        <f t="shared" si="25"/>
        <v>0</v>
      </c>
      <c r="BJ239" s="12" t="str">
        <f t="shared" si="26"/>
        <v/>
      </c>
      <c r="BK239" s="12">
        <f>VLOOKUP(B239,Kraftvärmeprod!$B$1:$BH$549,MATCH($BA$1,Kraftvärmeprod!$B$1:$CC$1,0),FALSE)</f>
        <v>0</v>
      </c>
    </row>
    <row r="240" spans="1:63" ht="15" customHeight="1" x14ac:dyDescent="0.25">
      <c r="A240" s="137" t="s">
        <v>526</v>
      </c>
      <c r="B240" s="137" t="s">
        <v>527</v>
      </c>
      <c r="C240" s="137">
        <v>2018</v>
      </c>
      <c r="D240" s="137">
        <v>255</v>
      </c>
      <c r="E240" s="137">
        <v>302.83800000000002</v>
      </c>
      <c r="F240" s="137" t="s">
        <v>193</v>
      </c>
      <c r="G240" s="137">
        <v>1.08</v>
      </c>
      <c r="H240" s="137" t="s">
        <v>193</v>
      </c>
      <c r="I240" s="137" t="s">
        <v>193</v>
      </c>
      <c r="J240" s="137" t="s">
        <v>193</v>
      </c>
      <c r="K240" s="137" t="s">
        <v>193</v>
      </c>
      <c r="L240" s="137">
        <v>1.0940000000000001</v>
      </c>
      <c r="M240" s="137" t="s">
        <v>53</v>
      </c>
      <c r="N240" s="137" t="s">
        <v>193</v>
      </c>
      <c r="O240" s="137" t="s">
        <v>193</v>
      </c>
      <c r="P240" s="137" t="s">
        <v>193</v>
      </c>
      <c r="Q240" s="137">
        <v>55.508000000000003</v>
      </c>
      <c r="R240" s="137" t="s">
        <v>193</v>
      </c>
      <c r="S240" s="137">
        <v>0.59899999999999998</v>
      </c>
      <c r="T240" s="137" t="s">
        <v>194</v>
      </c>
      <c r="U240" s="137">
        <v>68</v>
      </c>
      <c r="V240" s="137">
        <v>0</v>
      </c>
      <c r="W240" s="137" t="s">
        <v>193</v>
      </c>
      <c r="X240" s="137">
        <v>35.375</v>
      </c>
      <c r="Y240" s="137" t="s">
        <v>193</v>
      </c>
      <c r="Z240" s="137" t="s">
        <v>193</v>
      </c>
      <c r="AA240" s="137">
        <v>0</v>
      </c>
      <c r="AB240" s="137">
        <v>112.46899999999999</v>
      </c>
      <c r="AC240" s="137" t="s">
        <v>193</v>
      </c>
      <c r="AD240" s="137" t="s">
        <v>193</v>
      </c>
      <c r="AE240" s="137" t="s">
        <v>199</v>
      </c>
      <c r="AF240" s="137" t="s">
        <v>193</v>
      </c>
      <c r="AG240" s="137" t="s">
        <v>193</v>
      </c>
      <c r="AH240" s="137">
        <v>28.713000000000001</v>
      </c>
      <c r="AI240" s="137" t="s">
        <v>193</v>
      </c>
      <c r="AJ240" s="137" t="s">
        <v>193</v>
      </c>
      <c r="AK240" s="137" t="s">
        <v>193</v>
      </c>
      <c r="AL240" s="137" t="s">
        <v>193</v>
      </c>
      <c r="AM240" s="137" t="s">
        <v>193</v>
      </c>
      <c r="AN240" s="137" t="s">
        <v>219</v>
      </c>
      <c r="AO240" s="137">
        <v>57</v>
      </c>
      <c r="AP240" s="137">
        <v>0</v>
      </c>
      <c r="AQ240" s="137">
        <v>1</v>
      </c>
      <c r="AR240" s="137">
        <v>42</v>
      </c>
      <c r="AV240" s="1">
        <f t="shared" si="29"/>
        <v>302.83800000000002</v>
      </c>
      <c r="AW240" s="1">
        <f t="shared" si="23"/>
        <v>255</v>
      </c>
      <c r="AX240" s="13">
        <f t="shared" si="27"/>
        <v>0.842034355001684</v>
      </c>
      <c r="BA240" s="12">
        <f t="shared" si="24"/>
        <v>28.713000000000001</v>
      </c>
      <c r="BB240" s="12">
        <f t="shared" si="28"/>
        <v>16.366409999999998</v>
      </c>
      <c r="BC240" s="12">
        <f t="shared" si="28"/>
        <v>0</v>
      </c>
      <c r="BD240" s="12">
        <f t="shared" si="28"/>
        <v>0.28713</v>
      </c>
      <c r="BE240" s="12">
        <f t="shared" si="28"/>
        <v>12.05946</v>
      </c>
      <c r="BF240" s="12">
        <f t="shared" si="25"/>
        <v>0</v>
      </c>
      <c r="BJ240" s="12" t="str">
        <f t="shared" si="26"/>
        <v/>
      </c>
      <c r="BK240" s="12">
        <f>VLOOKUP(B240,Kraftvärmeprod!$B$1:$BH$549,MATCH($BA$1,Kraftvärmeprod!$B$1:$CC$1,0),FALSE)</f>
        <v>0</v>
      </c>
    </row>
    <row r="241" spans="1:63" ht="15" customHeight="1" x14ac:dyDescent="0.25">
      <c r="A241" s="137" t="s">
        <v>528</v>
      </c>
      <c r="B241" s="137" t="s">
        <v>529</v>
      </c>
      <c r="C241" s="137">
        <v>2018</v>
      </c>
      <c r="D241" s="137">
        <v>32.896999999999998</v>
      </c>
      <c r="E241" s="137">
        <v>35.231000000000002</v>
      </c>
      <c r="F241" s="137" t="s">
        <v>193</v>
      </c>
      <c r="G241" s="137">
        <v>10.308999999999999</v>
      </c>
      <c r="H241" s="137" t="s">
        <v>193</v>
      </c>
      <c r="I241" s="137" t="s">
        <v>193</v>
      </c>
      <c r="J241" s="137" t="s">
        <v>193</v>
      </c>
      <c r="K241" s="137" t="s">
        <v>193</v>
      </c>
      <c r="L241" s="137" t="s">
        <v>193</v>
      </c>
      <c r="M241" s="137" t="s">
        <v>53</v>
      </c>
      <c r="N241" s="137" t="s">
        <v>193</v>
      </c>
      <c r="O241" s="137" t="s">
        <v>193</v>
      </c>
      <c r="P241" s="137" t="s">
        <v>193</v>
      </c>
      <c r="Q241" s="137" t="s">
        <v>193</v>
      </c>
      <c r="R241" s="137" t="s">
        <v>193</v>
      </c>
      <c r="S241" s="137" t="s">
        <v>193</v>
      </c>
      <c r="T241" s="137" t="s">
        <v>193</v>
      </c>
      <c r="U241" s="137">
        <v>24.922000000000001</v>
      </c>
      <c r="V241" s="137" t="s">
        <v>193</v>
      </c>
      <c r="W241" s="137" t="s">
        <v>193</v>
      </c>
      <c r="X241" s="137" t="s">
        <v>193</v>
      </c>
      <c r="Y241" s="137" t="s">
        <v>193</v>
      </c>
      <c r="Z241" s="137" t="s">
        <v>193</v>
      </c>
      <c r="AA241" s="137" t="s">
        <v>193</v>
      </c>
      <c r="AB241" s="137" t="s">
        <v>193</v>
      </c>
      <c r="AC241" s="137" t="s">
        <v>193</v>
      </c>
      <c r="AD241" s="137" t="s">
        <v>193</v>
      </c>
      <c r="AE241" s="137" t="s">
        <v>53</v>
      </c>
      <c r="AF241" s="137" t="s">
        <v>193</v>
      </c>
      <c r="AG241" s="137" t="s">
        <v>193</v>
      </c>
      <c r="AH241" s="137" t="s">
        <v>193</v>
      </c>
      <c r="AI241" s="137" t="s">
        <v>193</v>
      </c>
      <c r="AJ241" s="137" t="s">
        <v>193</v>
      </c>
      <c r="AK241" s="137" t="s">
        <v>193</v>
      </c>
      <c r="AL241" s="137" t="s">
        <v>193</v>
      </c>
      <c r="AM241" s="137" t="s">
        <v>193</v>
      </c>
      <c r="AN241" s="137" t="s">
        <v>53</v>
      </c>
      <c r="AO241" s="137" t="s">
        <v>193</v>
      </c>
      <c r="AP241" s="137" t="s">
        <v>193</v>
      </c>
      <c r="AQ241" s="137" t="s">
        <v>193</v>
      </c>
      <c r="AR241" s="137" t="s">
        <v>193</v>
      </c>
      <c r="AV241" s="1">
        <f t="shared" si="29"/>
        <v>35.231000000000002</v>
      </c>
      <c r="AW241" s="1">
        <f t="shared" si="23"/>
        <v>32.896999999999998</v>
      </c>
      <c r="AX241" s="13">
        <f t="shared" si="27"/>
        <v>0.93375152564502839</v>
      </c>
      <c r="BA241" s="12">
        <f t="shared" si="24"/>
        <v>0</v>
      </c>
      <c r="BB241" s="12">
        <f t="shared" si="28"/>
        <v>0</v>
      </c>
      <c r="BC241" s="12">
        <f t="shared" si="28"/>
        <v>0</v>
      </c>
      <c r="BD241" s="12">
        <f t="shared" si="28"/>
        <v>0</v>
      </c>
      <c r="BE241" s="12">
        <f t="shared" si="28"/>
        <v>0</v>
      </c>
      <c r="BF241" s="12">
        <f t="shared" si="25"/>
        <v>0</v>
      </c>
      <c r="BJ241" s="12" t="str">
        <f t="shared" si="26"/>
        <v/>
      </c>
      <c r="BK241" s="12">
        <f>VLOOKUP(B241,Kraftvärmeprod!$B$1:$BH$549,MATCH($BA$1,Kraftvärmeprod!$B$1:$CC$1,0),FALSE)</f>
        <v>17.63</v>
      </c>
    </row>
    <row r="242" spans="1:63" ht="15" customHeight="1" x14ac:dyDescent="0.25">
      <c r="A242" s="137" t="s">
        <v>530</v>
      </c>
      <c r="B242" s="137" t="s">
        <v>531</v>
      </c>
      <c r="C242" s="137">
        <v>2018</v>
      </c>
      <c r="D242" s="137">
        <v>114.4</v>
      </c>
      <c r="E242" s="137">
        <v>107.9</v>
      </c>
      <c r="F242" s="137" t="s">
        <v>193</v>
      </c>
      <c r="G242" s="137">
        <v>0.6</v>
      </c>
      <c r="H242" s="137" t="s">
        <v>193</v>
      </c>
      <c r="I242" s="137" t="s">
        <v>193</v>
      </c>
      <c r="J242" s="137" t="s">
        <v>193</v>
      </c>
      <c r="K242" s="137" t="s">
        <v>193</v>
      </c>
      <c r="L242" s="137" t="s">
        <v>193</v>
      </c>
      <c r="M242" s="137" t="s">
        <v>193</v>
      </c>
      <c r="N242" s="137">
        <v>69.8</v>
      </c>
      <c r="O242" s="137">
        <v>22.1</v>
      </c>
      <c r="P242" s="137">
        <v>1.1000000000000001</v>
      </c>
      <c r="Q242" s="137" t="s">
        <v>193</v>
      </c>
      <c r="R242" s="137" t="s">
        <v>193</v>
      </c>
      <c r="S242" s="137" t="s">
        <v>193</v>
      </c>
      <c r="T242" s="137" t="s">
        <v>193</v>
      </c>
      <c r="U242" s="137" t="s">
        <v>193</v>
      </c>
      <c r="V242" s="137" t="s">
        <v>193</v>
      </c>
      <c r="W242" s="137" t="s">
        <v>193</v>
      </c>
      <c r="X242" s="137" t="s">
        <v>193</v>
      </c>
      <c r="Y242" s="137" t="s">
        <v>193</v>
      </c>
      <c r="Z242" s="137" t="s">
        <v>193</v>
      </c>
      <c r="AA242" s="137" t="s">
        <v>193</v>
      </c>
      <c r="AB242" s="137" t="s">
        <v>193</v>
      </c>
      <c r="AC242" s="137" t="s">
        <v>193</v>
      </c>
      <c r="AD242" s="137" t="s">
        <v>193</v>
      </c>
      <c r="AE242" s="137" t="s">
        <v>199</v>
      </c>
      <c r="AF242" s="137" t="s">
        <v>193</v>
      </c>
      <c r="AG242" s="137" t="s">
        <v>193</v>
      </c>
      <c r="AH242" s="137">
        <v>14.3</v>
      </c>
      <c r="AI242" s="137" t="s">
        <v>193</v>
      </c>
      <c r="AJ242" s="137" t="s">
        <v>193</v>
      </c>
      <c r="AK242" s="137" t="s">
        <v>193</v>
      </c>
      <c r="AL242" s="137" t="s">
        <v>193</v>
      </c>
      <c r="AM242" s="137" t="s">
        <v>193</v>
      </c>
      <c r="AN242" s="137" t="s">
        <v>193</v>
      </c>
      <c r="AO242" s="137" t="s">
        <v>193</v>
      </c>
      <c r="AP242" s="137" t="s">
        <v>193</v>
      </c>
      <c r="AQ242" s="137" t="s">
        <v>193</v>
      </c>
      <c r="AR242" s="137" t="s">
        <v>193</v>
      </c>
      <c r="AV242" s="1">
        <f t="shared" si="29"/>
        <v>107.89999999999999</v>
      </c>
      <c r="AW242" s="1">
        <f t="shared" si="23"/>
        <v>114.4</v>
      </c>
      <c r="AX242" s="13">
        <f t="shared" si="27"/>
        <v>1.0602409638554218</v>
      </c>
      <c r="BA242" s="12">
        <f t="shared" si="24"/>
        <v>14.3</v>
      </c>
      <c r="BB242" s="12">
        <f t="shared" si="28"/>
        <v>0</v>
      </c>
      <c r="BC242" s="12">
        <f t="shared" si="28"/>
        <v>0</v>
      </c>
      <c r="BD242" s="12">
        <f t="shared" si="28"/>
        <v>0</v>
      </c>
      <c r="BE242" s="12">
        <f t="shared" si="28"/>
        <v>0</v>
      </c>
      <c r="BF242" s="12">
        <f t="shared" si="25"/>
        <v>14.3</v>
      </c>
      <c r="BJ242" s="12" t="str">
        <f t="shared" si="26"/>
        <v/>
      </c>
      <c r="BK242" s="12">
        <f>VLOOKUP(B242,Kraftvärmeprod!$B$1:$BH$549,MATCH($BA$1,Kraftvärmeprod!$B$1:$CC$1,0),FALSE)</f>
        <v>0</v>
      </c>
    </row>
    <row r="243" spans="1:63" ht="15" customHeight="1" x14ac:dyDescent="0.25">
      <c r="A243" s="137" t="s">
        <v>532</v>
      </c>
      <c r="B243" s="137" t="s">
        <v>533</v>
      </c>
      <c r="C243" s="137">
        <v>2018</v>
      </c>
      <c r="D243" s="137">
        <v>8.5009999999999994</v>
      </c>
      <c r="E243" s="137">
        <v>9.7720000000000002</v>
      </c>
      <c r="F243" s="137" t="s">
        <v>193</v>
      </c>
      <c r="G243" s="137">
        <v>0.16500000000000001</v>
      </c>
      <c r="H243" s="137" t="s">
        <v>193</v>
      </c>
      <c r="I243" s="137" t="s">
        <v>193</v>
      </c>
      <c r="J243" s="137" t="s">
        <v>193</v>
      </c>
      <c r="K243" s="137" t="s">
        <v>193</v>
      </c>
      <c r="L243" s="137" t="s">
        <v>193</v>
      </c>
      <c r="M243" s="137" t="s">
        <v>193</v>
      </c>
      <c r="N243" s="137" t="s">
        <v>193</v>
      </c>
      <c r="O243" s="137" t="s">
        <v>193</v>
      </c>
      <c r="P243" s="137" t="s">
        <v>193</v>
      </c>
      <c r="Q243" s="137" t="s">
        <v>193</v>
      </c>
      <c r="R243" s="137" t="s">
        <v>193</v>
      </c>
      <c r="S243" s="137" t="s">
        <v>193</v>
      </c>
      <c r="T243" s="137" t="s">
        <v>193</v>
      </c>
      <c r="U243" s="137">
        <v>9.6039999999999992</v>
      </c>
      <c r="V243" s="137" t="s">
        <v>193</v>
      </c>
      <c r="W243" s="137" t="s">
        <v>193</v>
      </c>
      <c r="X243" s="137" t="s">
        <v>193</v>
      </c>
      <c r="Y243" s="137" t="s">
        <v>193</v>
      </c>
      <c r="Z243" s="137" t="s">
        <v>193</v>
      </c>
      <c r="AA243" s="137" t="s">
        <v>193</v>
      </c>
      <c r="AB243" s="137" t="s">
        <v>193</v>
      </c>
      <c r="AC243" s="137" t="s">
        <v>193</v>
      </c>
      <c r="AD243" s="137" t="s">
        <v>193</v>
      </c>
      <c r="AE243" s="137" t="s">
        <v>199</v>
      </c>
      <c r="AF243" s="137" t="s">
        <v>193</v>
      </c>
      <c r="AG243" s="137" t="s">
        <v>193</v>
      </c>
      <c r="AH243" s="137" t="s">
        <v>193</v>
      </c>
      <c r="AI243" s="137" t="s">
        <v>193</v>
      </c>
      <c r="AJ243" s="137" t="s">
        <v>193</v>
      </c>
      <c r="AK243" s="137" t="s">
        <v>193</v>
      </c>
      <c r="AL243" s="137">
        <v>3.0000000000000001E-3</v>
      </c>
      <c r="AM243" s="137">
        <v>3.0000000000000001E-3</v>
      </c>
      <c r="AN243" s="137" t="s">
        <v>53</v>
      </c>
      <c r="AO243" s="137" t="s">
        <v>193</v>
      </c>
      <c r="AP243" s="137" t="s">
        <v>193</v>
      </c>
      <c r="AQ243" s="137" t="s">
        <v>193</v>
      </c>
      <c r="AR243" s="137" t="s">
        <v>193</v>
      </c>
      <c r="AV243" s="1">
        <f t="shared" si="29"/>
        <v>9.7719999999999985</v>
      </c>
      <c r="AW243" s="1">
        <f t="shared" si="23"/>
        <v>8.5009999999999994</v>
      </c>
      <c r="AX243" s="13">
        <f t="shared" si="27"/>
        <v>0.86993450675399109</v>
      </c>
      <c r="BA243" s="12">
        <f t="shared" si="24"/>
        <v>0</v>
      </c>
      <c r="BB243" s="12">
        <f t="shared" si="28"/>
        <v>0</v>
      </c>
      <c r="BC243" s="12">
        <f t="shared" si="28"/>
        <v>0</v>
      </c>
      <c r="BD243" s="12">
        <f t="shared" si="28"/>
        <v>0</v>
      </c>
      <c r="BE243" s="12">
        <f t="shared" si="28"/>
        <v>0</v>
      </c>
      <c r="BF243" s="12">
        <f t="shared" si="25"/>
        <v>0</v>
      </c>
      <c r="BJ243" s="12" t="str">
        <f t="shared" si="26"/>
        <v/>
      </c>
      <c r="BK243" s="12">
        <f>VLOOKUP(B243,Kraftvärmeprod!$B$1:$BH$549,MATCH($BA$1,Kraftvärmeprod!$B$1:$CC$1,0),FALSE)</f>
        <v>0</v>
      </c>
    </row>
    <row r="244" spans="1:63" ht="15" customHeight="1" x14ac:dyDescent="0.25">
      <c r="A244" s="137" t="s">
        <v>532</v>
      </c>
      <c r="B244" s="137" t="s">
        <v>534</v>
      </c>
      <c r="C244" s="137">
        <v>2018</v>
      </c>
      <c r="D244" s="137">
        <v>9.0820000000000007</v>
      </c>
      <c r="E244" s="137">
        <v>10.462999999999999</v>
      </c>
      <c r="F244" s="137" t="s">
        <v>193</v>
      </c>
      <c r="G244" s="137">
        <v>6.3E-2</v>
      </c>
      <c r="H244" s="137" t="s">
        <v>193</v>
      </c>
      <c r="I244" s="137" t="s">
        <v>193</v>
      </c>
      <c r="J244" s="137" t="s">
        <v>193</v>
      </c>
      <c r="K244" s="137" t="s">
        <v>193</v>
      </c>
      <c r="L244" s="137" t="s">
        <v>193</v>
      </c>
      <c r="M244" s="137" t="s">
        <v>535</v>
      </c>
      <c r="N244" s="137" t="s">
        <v>193</v>
      </c>
      <c r="O244" s="137" t="s">
        <v>193</v>
      </c>
      <c r="P244" s="137" t="s">
        <v>193</v>
      </c>
      <c r="Q244" s="137" t="s">
        <v>193</v>
      </c>
      <c r="R244" s="137" t="s">
        <v>193</v>
      </c>
      <c r="S244" s="137" t="s">
        <v>193</v>
      </c>
      <c r="T244" s="137" t="s">
        <v>193</v>
      </c>
      <c r="U244" s="137">
        <v>10.4</v>
      </c>
      <c r="V244" s="137" t="s">
        <v>193</v>
      </c>
      <c r="W244" s="137" t="s">
        <v>193</v>
      </c>
      <c r="X244" s="137" t="s">
        <v>193</v>
      </c>
      <c r="Y244" s="137" t="s">
        <v>193</v>
      </c>
      <c r="Z244" s="137" t="s">
        <v>193</v>
      </c>
      <c r="AA244" s="137" t="s">
        <v>193</v>
      </c>
      <c r="AB244" s="137" t="s">
        <v>193</v>
      </c>
      <c r="AC244" s="137" t="s">
        <v>193</v>
      </c>
      <c r="AD244" s="137" t="s">
        <v>193</v>
      </c>
      <c r="AE244" s="137" t="s">
        <v>199</v>
      </c>
      <c r="AF244" s="137" t="s">
        <v>193</v>
      </c>
      <c r="AG244" s="137" t="s">
        <v>193</v>
      </c>
      <c r="AH244" s="137" t="s">
        <v>193</v>
      </c>
      <c r="AI244" s="137" t="s">
        <v>193</v>
      </c>
      <c r="AJ244" s="137" t="s">
        <v>193</v>
      </c>
      <c r="AK244" s="137" t="s">
        <v>193</v>
      </c>
      <c r="AL244" s="137" t="s">
        <v>193</v>
      </c>
      <c r="AM244" s="137" t="s">
        <v>193</v>
      </c>
      <c r="AN244" s="137" t="s">
        <v>53</v>
      </c>
      <c r="AO244" s="137" t="s">
        <v>193</v>
      </c>
      <c r="AP244" s="137" t="s">
        <v>193</v>
      </c>
      <c r="AQ244" s="137" t="s">
        <v>193</v>
      </c>
      <c r="AR244" s="137" t="s">
        <v>193</v>
      </c>
      <c r="AV244" s="1">
        <f t="shared" si="29"/>
        <v>10.463000000000001</v>
      </c>
      <c r="AW244" s="1">
        <f t="shared" si="23"/>
        <v>9.0820000000000007</v>
      </c>
      <c r="AX244" s="13">
        <f t="shared" si="27"/>
        <v>0.8680110866864188</v>
      </c>
      <c r="BA244" s="12">
        <f t="shared" si="24"/>
        <v>0</v>
      </c>
      <c r="BB244" s="12">
        <f t="shared" si="28"/>
        <v>0</v>
      </c>
      <c r="BC244" s="12">
        <f t="shared" si="28"/>
        <v>0</v>
      </c>
      <c r="BD244" s="12">
        <f t="shared" si="28"/>
        <v>0</v>
      </c>
      <c r="BE244" s="12">
        <f t="shared" si="28"/>
        <v>0</v>
      </c>
      <c r="BF244" s="12">
        <f t="shared" si="25"/>
        <v>0</v>
      </c>
      <c r="BJ244" s="12" t="str">
        <f t="shared" si="26"/>
        <v/>
      </c>
      <c r="BK244" s="12">
        <f>VLOOKUP(B244,Kraftvärmeprod!$B$1:$BH$549,MATCH($BA$1,Kraftvärmeprod!$B$1:$CC$1,0),FALSE)</f>
        <v>0</v>
      </c>
    </row>
    <row r="245" spans="1:63" ht="15" customHeight="1" x14ac:dyDescent="0.25">
      <c r="A245" s="137" t="s">
        <v>532</v>
      </c>
      <c r="B245" s="137" t="s">
        <v>536</v>
      </c>
      <c r="C245" s="137">
        <v>2018</v>
      </c>
      <c r="D245" s="137">
        <v>18.637</v>
      </c>
      <c r="E245" s="137">
        <v>21.285312000000001</v>
      </c>
      <c r="F245" s="137" t="s">
        <v>193</v>
      </c>
      <c r="G245" s="137">
        <v>0.499</v>
      </c>
      <c r="H245" s="137" t="s">
        <v>193</v>
      </c>
      <c r="I245" s="137" t="s">
        <v>193</v>
      </c>
      <c r="J245" s="137" t="s">
        <v>193</v>
      </c>
      <c r="K245" s="137" t="s">
        <v>193</v>
      </c>
      <c r="L245" s="137" t="s">
        <v>193</v>
      </c>
      <c r="M245" s="137" t="s">
        <v>193</v>
      </c>
      <c r="N245" s="137" t="s">
        <v>193</v>
      </c>
      <c r="O245" s="137">
        <v>5.3546560000000003</v>
      </c>
      <c r="P245" s="137" t="s">
        <v>193</v>
      </c>
      <c r="Q245" s="137">
        <v>5.3546560000000003</v>
      </c>
      <c r="R245" s="137" t="s">
        <v>193</v>
      </c>
      <c r="S245" s="137" t="s">
        <v>193</v>
      </c>
      <c r="T245" s="137" t="s">
        <v>193</v>
      </c>
      <c r="U245" s="137">
        <v>10.071999999999999</v>
      </c>
      <c r="V245" s="137" t="s">
        <v>193</v>
      </c>
      <c r="W245" s="137" t="s">
        <v>193</v>
      </c>
      <c r="X245" s="137" t="s">
        <v>193</v>
      </c>
      <c r="Y245" s="137" t="s">
        <v>193</v>
      </c>
      <c r="Z245" s="137" t="s">
        <v>193</v>
      </c>
      <c r="AA245" s="137" t="s">
        <v>193</v>
      </c>
      <c r="AB245" s="137" t="s">
        <v>193</v>
      </c>
      <c r="AC245" s="137" t="s">
        <v>193</v>
      </c>
      <c r="AD245" s="137" t="s">
        <v>193</v>
      </c>
      <c r="AE245" s="137" t="s">
        <v>199</v>
      </c>
      <c r="AF245" s="137" t="s">
        <v>193</v>
      </c>
      <c r="AG245" s="137" t="s">
        <v>193</v>
      </c>
      <c r="AH245" s="137" t="s">
        <v>193</v>
      </c>
      <c r="AI245" s="137" t="s">
        <v>193</v>
      </c>
      <c r="AJ245" s="137" t="s">
        <v>193</v>
      </c>
      <c r="AK245" s="137" t="s">
        <v>193</v>
      </c>
      <c r="AL245" s="137">
        <v>5.0000000000000001E-3</v>
      </c>
      <c r="AM245" s="137">
        <v>5.0000000000000001E-3</v>
      </c>
      <c r="AN245" s="137" t="s">
        <v>53</v>
      </c>
      <c r="AO245" s="137" t="s">
        <v>193</v>
      </c>
      <c r="AP245" s="137" t="s">
        <v>193</v>
      </c>
      <c r="AQ245" s="137" t="s">
        <v>193</v>
      </c>
      <c r="AR245" s="137" t="s">
        <v>193</v>
      </c>
      <c r="AV245" s="1">
        <f t="shared" si="29"/>
        <v>21.285311999999998</v>
      </c>
      <c r="AW245" s="1">
        <f t="shared" si="23"/>
        <v>18.637</v>
      </c>
      <c r="AX245" s="13">
        <f t="shared" si="27"/>
        <v>0.87558030626941252</v>
      </c>
      <c r="BA245" s="12">
        <f t="shared" si="24"/>
        <v>0</v>
      </c>
      <c r="BB245" s="12">
        <f t="shared" si="28"/>
        <v>0</v>
      </c>
      <c r="BC245" s="12">
        <f t="shared" si="28"/>
        <v>0</v>
      </c>
      <c r="BD245" s="12">
        <f t="shared" si="28"/>
        <v>0</v>
      </c>
      <c r="BE245" s="12">
        <f t="shared" si="28"/>
        <v>0</v>
      </c>
      <c r="BF245" s="12">
        <f t="shared" si="25"/>
        <v>0</v>
      </c>
      <c r="BJ245" s="12" t="str">
        <f t="shared" si="26"/>
        <v/>
      </c>
      <c r="BK245" s="12">
        <f>VLOOKUP(B245,Kraftvärmeprod!$B$1:$BH$549,MATCH($BA$1,Kraftvärmeprod!$B$1:$CC$1,0),FALSE)</f>
        <v>0</v>
      </c>
    </row>
    <row r="246" spans="1:63" ht="15" customHeight="1" x14ac:dyDescent="0.25">
      <c r="A246" s="137" t="s">
        <v>532</v>
      </c>
      <c r="B246" s="137" t="s">
        <v>537</v>
      </c>
      <c r="C246" s="137">
        <v>2018</v>
      </c>
      <c r="D246" s="137">
        <v>11.618</v>
      </c>
      <c r="E246" s="137">
        <v>13.355</v>
      </c>
      <c r="F246" s="137" t="s">
        <v>193</v>
      </c>
      <c r="G246" s="137">
        <v>0.16400000000000001</v>
      </c>
      <c r="H246" s="137" t="s">
        <v>193</v>
      </c>
      <c r="I246" s="137" t="s">
        <v>193</v>
      </c>
      <c r="J246" s="137" t="s">
        <v>193</v>
      </c>
      <c r="K246" s="137" t="s">
        <v>193</v>
      </c>
      <c r="L246" s="137" t="s">
        <v>193</v>
      </c>
      <c r="M246" s="137" t="s">
        <v>193</v>
      </c>
      <c r="N246" s="137" t="s">
        <v>193</v>
      </c>
      <c r="O246" s="137" t="s">
        <v>193</v>
      </c>
      <c r="P246" s="137" t="s">
        <v>193</v>
      </c>
      <c r="Q246" s="137" t="s">
        <v>193</v>
      </c>
      <c r="R246" s="137" t="s">
        <v>193</v>
      </c>
      <c r="S246" s="137" t="s">
        <v>193</v>
      </c>
      <c r="T246" s="137" t="s">
        <v>193</v>
      </c>
      <c r="U246" s="137">
        <v>13.191000000000001</v>
      </c>
      <c r="V246" s="137" t="s">
        <v>193</v>
      </c>
      <c r="W246" s="137" t="s">
        <v>193</v>
      </c>
      <c r="X246" s="137" t="s">
        <v>193</v>
      </c>
      <c r="Y246" s="137" t="s">
        <v>193</v>
      </c>
      <c r="Z246" s="137" t="s">
        <v>193</v>
      </c>
      <c r="AA246" s="137" t="s">
        <v>193</v>
      </c>
      <c r="AB246" s="137" t="s">
        <v>193</v>
      </c>
      <c r="AC246" s="137" t="s">
        <v>193</v>
      </c>
      <c r="AD246" s="137" t="s">
        <v>193</v>
      </c>
      <c r="AE246" s="137" t="s">
        <v>199</v>
      </c>
      <c r="AF246" s="137" t="s">
        <v>193</v>
      </c>
      <c r="AG246" s="137" t="s">
        <v>193</v>
      </c>
      <c r="AH246" s="137" t="s">
        <v>193</v>
      </c>
      <c r="AI246" s="137" t="s">
        <v>193</v>
      </c>
      <c r="AJ246" s="137" t="s">
        <v>193</v>
      </c>
      <c r="AK246" s="137" t="s">
        <v>193</v>
      </c>
      <c r="AL246" s="137" t="s">
        <v>193</v>
      </c>
      <c r="AM246" s="137" t="s">
        <v>193</v>
      </c>
      <c r="AN246" s="137" t="s">
        <v>53</v>
      </c>
      <c r="AO246" s="137" t="s">
        <v>193</v>
      </c>
      <c r="AP246" s="137" t="s">
        <v>193</v>
      </c>
      <c r="AQ246" s="137" t="s">
        <v>193</v>
      </c>
      <c r="AR246" s="137" t="s">
        <v>193</v>
      </c>
      <c r="AV246" s="1">
        <f t="shared" si="29"/>
        <v>13.355</v>
      </c>
      <c r="AW246" s="1">
        <f t="shared" si="23"/>
        <v>11.618</v>
      </c>
      <c r="AX246" s="13">
        <f t="shared" si="27"/>
        <v>0.86993635342568321</v>
      </c>
      <c r="BA246" s="12">
        <f t="shared" si="24"/>
        <v>0</v>
      </c>
      <c r="BB246" s="12">
        <f t="shared" si="28"/>
        <v>0</v>
      </c>
      <c r="BC246" s="12">
        <f t="shared" si="28"/>
        <v>0</v>
      </c>
      <c r="BD246" s="12">
        <f t="shared" si="28"/>
        <v>0</v>
      </c>
      <c r="BE246" s="12">
        <f t="shared" si="28"/>
        <v>0</v>
      </c>
      <c r="BF246" s="12">
        <f t="shared" si="25"/>
        <v>0</v>
      </c>
      <c r="BJ246" s="12" t="str">
        <f t="shared" si="26"/>
        <v/>
      </c>
      <c r="BK246" s="12">
        <f>VLOOKUP(B246,Kraftvärmeprod!$B$1:$BH$549,MATCH($BA$1,Kraftvärmeprod!$B$1:$CC$1,0),FALSE)</f>
        <v>0</v>
      </c>
    </row>
    <row r="247" spans="1:63" ht="15" customHeight="1" x14ac:dyDescent="0.25">
      <c r="A247" s="137" t="s">
        <v>532</v>
      </c>
      <c r="B247" s="137" t="s">
        <v>538</v>
      </c>
      <c r="C247" s="137">
        <v>2018</v>
      </c>
      <c r="D247" s="137">
        <v>7.6890000000000001</v>
      </c>
      <c r="E247" s="137">
        <v>8.8369999999999997</v>
      </c>
      <c r="F247" s="137" t="s">
        <v>193</v>
      </c>
      <c r="G247" s="137">
        <v>5.0999999999999997E-2</v>
      </c>
      <c r="H247" s="137" t="s">
        <v>193</v>
      </c>
      <c r="I247" s="137" t="s">
        <v>193</v>
      </c>
      <c r="J247" s="137" t="s">
        <v>193</v>
      </c>
      <c r="K247" s="137" t="s">
        <v>193</v>
      </c>
      <c r="L247" s="137" t="s">
        <v>193</v>
      </c>
      <c r="M247" s="137" t="s">
        <v>193</v>
      </c>
      <c r="N247" s="137" t="s">
        <v>193</v>
      </c>
      <c r="O247" s="137" t="s">
        <v>193</v>
      </c>
      <c r="P247" s="137" t="s">
        <v>193</v>
      </c>
      <c r="Q247" s="137" t="s">
        <v>193</v>
      </c>
      <c r="R247" s="137" t="s">
        <v>193</v>
      </c>
      <c r="S247" s="137" t="s">
        <v>193</v>
      </c>
      <c r="T247" s="137" t="s">
        <v>193</v>
      </c>
      <c r="U247" s="137">
        <v>8.7859999999999996</v>
      </c>
      <c r="V247" s="137" t="s">
        <v>193</v>
      </c>
      <c r="W247" s="137" t="s">
        <v>193</v>
      </c>
      <c r="X247" s="137" t="s">
        <v>193</v>
      </c>
      <c r="Y247" s="137" t="s">
        <v>193</v>
      </c>
      <c r="Z247" s="137" t="s">
        <v>193</v>
      </c>
      <c r="AA247" s="137" t="s">
        <v>193</v>
      </c>
      <c r="AB247" s="137" t="s">
        <v>193</v>
      </c>
      <c r="AC247" s="137" t="s">
        <v>193</v>
      </c>
      <c r="AD247" s="137" t="s">
        <v>193</v>
      </c>
      <c r="AE247" s="137" t="s">
        <v>199</v>
      </c>
      <c r="AF247" s="137" t="s">
        <v>193</v>
      </c>
      <c r="AG247" s="137" t="s">
        <v>193</v>
      </c>
      <c r="AH247" s="137" t="s">
        <v>193</v>
      </c>
      <c r="AI247" s="137" t="s">
        <v>193</v>
      </c>
      <c r="AJ247" s="137" t="s">
        <v>193</v>
      </c>
      <c r="AK247" s="137" t="s">
        <v>193</v>
      </c>
      <c r="AL247" s="137" t="s">
        <v>193</v>
      </c>
      <c r="AM247" s="137" t="s">
        <v>193</v>
      </c>
      <c r="AN247" s="137" t="s">
        <v>53</v>
      </c>
      <c r="AO247" s="137" t="s">
        <v>193</v>
      </c>
      <c r="AP247" s="137" t="s">
        <v>193</v>
      </c>
      <c r="AQ247" s="137" t="s">
        <v>193</v>
      </c>
      <c r="AR247" s="137" t="s">
        <v>193</v>
      </c>
      <c r="AV247" s="1">
        <f t="shared" si="29"/>
        <v>8.8369999999999997</v>
      </c>
      <c r="AW247" s="1">
        <f t="shared" si="23"/>
        <v>7.6890000000000001</v>
      </c>
      <c r="AX247" s="13">
        <f t="shared" si="27"/>
        <v>0.87009166006563321</v>
      </c>
      <c r="BA247" s="12">
        <f t="shared" si="24"/>
        <v>0</v>
      </c>
      <c r="BB247" s="12">
        <f t="shared" si="28"/>
        <v>0</v>
      </c>
      <c r="BC247" s="12">
        <f t="shared" si="28"/>
        <v>0</v>
      </c>
      <c r="BD247" s="12">
        <f t="shared" si="28"/>
        <v>0</v>
      </c>
      <c r="BE247" s="12">
        <f t="shared" si="28"/>
        <v>0</v>
      </c>
      <c r="BF247" s="12">
        <f t="shared" si="25"/>
        <v>0</v>
      </c>
      <c r="BJ247" s="12" t="str">
        <f t="shared" si="26"/>
        <v/>
      </c>
      <c r="BK247" s="12">
        <f>VLOOKUP(B247,Kraftvärmeprod!$B$1:$BH$549,MATCH($BA$1,Kraftvärmeprod!$B$1:$CC$1,0),FALSE)</f>
        <v>0</v>
      </c>
    </row>
    <row r="248" spans="1:63" ht="15" customHeight="1" x14ac:dyDescent="0.25">
      <c r="A248" s="137" t="s">
        <v>532</v>
      </c>
      <c r="B248" s="137" t="s">
        <v>539</v>
      </c>
      <c r="C248" s="137">
        <v>2018</v>
      </c>
      <c r="D248" s="137" t="s">
        <v>193</v>
      </c>
      <c r="E248" s="137" t="s">
        <v>193</v>
      </c>
      <c r="F248" s="137" t="s">
        <v>193</v>
      </c>
      <c r="G248" s="137" t="s">
        <v>193</v>
      </c>
      <c r="H248" s="137" t="s">
        <v>193</v>
      </c>
      <c r="I248" s="137" t="s">
        <v>193</v>
      </c>
      <c r="J248" s="137" t="s">
        <v>193</v>
      </c>
      <c r="K248" s="137" t="s">
        <v>193</v>
      </c>
      <c r="L248" s="137" t="s">
        <v>193</v>
      </c>
      <c r="M248" s="137" t="s">
        <v>53</v>
      </c>
      <c r="N248" s="137" t="s">
        <v>193</v>
      </c>
      <c r="O248" s="137" t="s">
        <v>193</v>
      </c>
      <c r="P248" s="137" t="s">
        <v>193</v>
      </c>
      <c r="Q248" s="137" t="s">
        <v>193</v>
      </c>
      <c r="R248" s="137" t="s">
        <v>193</v>
      </c>
      <c r="S248" s="137" t="s">
        <v>193</v>
      </c>
      <c r="T248" s="137" t="s">
        <v>193</v>
      </c>
      <c r="U248" s="137" t="s">
        <v>193</v>
      </c>
      <c r="V248" s="137" t="s">
        <v>193</v>
      </c>
      <c r="W248" s="137" t="s">
        <v>193</v>
      </c>
      <c r="X248" s="137" t="s">
        <v>193</v>
      </c>
      <c r="Y248" s="137" t="s">
        <v>193</v>
      </c>
      <c r="Z248" s="137" t="s">
        <v>193</v>
      </c>
      <c r="AA248" s="137" t="s">
        <v>193</v>
      </c>
      <c r="AB248" s="137" t="s">
        <v>193</v>
      </c>
      <c r="AC248" s="137" t="s">
        <v>193</v>
      </c>
      <c r="AD248" s="137" t="s">
        <v>193</v>
      </c>
      <c r="AE248" s="137" t="s">
        <v>199</v>
      </c>
      <c r="AF248" s="137" t="s">
        <v>193</v>
      </c>
      <c r="AG248" s="137" t="s">
        <v>193</v>
      </c>
      <c r="AH248" s="137" t="s">
        <v>193</v>
      </c>
      <c r="AI248" s="137" t="s">
        <v>193</v>
      </c>
      <c r="AJ248" s="137" t="s">
        <v>193</v>
      </c>
      <c r="AK248" s="137" t="s">
        <v>193</v>
      </c>
      <c r="AL248" s="137" t="s">
        <v>193</v>
      </c>
      <c r="AM248" s="137" t="s">
        <v>193</v>
      </c>
      <c r="AN248" s="137" t="s">
        <v>53</v>
      </c>
      <c r="AO248" s="137" t="s">
        <v>193</v>
      </c>
      <c r="AP248" s="137" t="s">
        <v>193</v>
      </c>
      <c r="AQ248" s="137" t="s">
        <v>193</v>
      </c>
      <c r="AR248" s="137" t="s">
        <v>193</v>
      </c>
      <c r="AV248" s="1">
        <f t="shared" si="29"/>
        <v>0</v>
      </c>
      <c r="AW248" s="1">
        <f t="shared" si="23"/>
        <v>0</v>
      </c>
      <c r="AX248" s="13" t="str">
        <f t="shared" si="27"/>
        <v/>
      </c>
      <c r="BA248" s="12">
        <f t="shared" si="24"/>
        <v>0</v>
      </c>
      <c r="BB248" s="12">
        <f t="shared" si="28"/>
        <v>0</v>
      </c>
      <c r="BC248" s="12">
        <f t="shared" si="28"/>
        <v>0</v>
      </c>
      <c r="BD248" s="12">
        <f t="shared" si="28"/>
        <v>0</v>
      </c>
      <c r="BE248" s="12">
        <f t="shared" si="28"/>
        <v>0</v>
      </c>
      <c r="BF248" s="12">
        <f t="shared" si="25"/>
        <v>0</v>
      </c>
      <c r="BJ248" s="12" t="str">
        <f t="shared" si="26"/>
        <v/>
      </c>
      <c r="BK248" s="12">
        <f>VLOOKUP(B248,Kraftvärmeprod!$B$1:$BH$549,MATCH($BA$1,Kraftvärmeprod!$B$1:$CC$1,0),FALSE)</f>
        <v>0</v>
      </c>
    </row>
    <row r="249" spans="1:63" ht="15" customHeight="1" x14ac:dyDescent="0.25">
      <c r="A249" s="137" t="s">
        <v>532</v>
      </c>
      <c r="B249" s="137" t="s">
        <v>540</v>
      </c>
      <c r="C249" s="137">
        <v>2018</v>
      </c>
      <c r="D249" s="137">
        <v>6.1820000000000004</v>
      </c>
      <c r="E249" s="137">
        <v>7.0970000000000004</v>
      </c>
      <c r="F249" s="137" t="s">
        <v>193</v>
      </c>
      <c r="G249" s="137">
        <v>2.1999999999999999E-2</v>
      </c>
      <c r="H249" s="137" t="s">
        <v>193</v>
      </c>
      <c r="I249" s="137" t="s">
        <v>193</v>
      </c>
      <c r="J249" s="137" t="s">
        <v>193</v>
      </c>
      <c r="K249" s="137" t="s">
        <v>193</v>
      </c>
      <c r="L249" s="137" t="s">
        <v>193</v>
      </c>
      <c r="M249" s="137" t="s">
        <v>193</v>
      </c>
      <c r="N249" s="137" t="s">
        <v>193</v>
      </c>
      <c r="O249" s="137" t="s">
        <v>193</v>
      </c>
      <c r="P249" s="137" t="s">
        <v>193</v>
      </c>
      <c r="Q249" s="137" t="s">
        <v>193</v>
      </c>
      <c r="R249" s="137" t="s">
        <v>193</v>
      </c>
      <c r="S249" s="137" t="s">
        <v>193</v>
      </c>
      <c r="T249" s="137" t="s">
        <v>193</v>
      </c>
      <c r="U249" s="137">
        <v>6.9969999999999999</v>
      </c>
      <c r="V249" s="137" t="s">
        <v>193</v>
      </c>
      <c r="W249" s="137" t="s">
        <v>193</v>
      </c>
      <c r="X249" s="137" t="s">
        <v>193</v>
      </c>
      <c r="Y249" s="137" t="s">
        <v>193</v>
      </c>
      <c r="Z249" s="137" t="s">
        <v>193</v>
      </c>
      <c r="AA249" s="137" t="s">
        <v>193</v>
      </c>
      <c r="AB249" s="137" t="s">
        <v>193</v>
      </c>
      <c r="AC249" s="137" t="s">
        <v>193</v>
      </c>
      <c r="AD249" s="137" t="s">
        <v>193</v>
      </c>
      <c r="AE249" s="137" t="s">
        <v>199</v>
      </c>
      <c r="AF249" s="137" t="s">
        <v>193</v>
      </c>
      <c r="AG249" s="137" t="s">
        <v>193</v>
      </c>
      <c r="AH249" s="137" t="s">
        <v>193</v>
      </c>
      <c r="AI249" s="137" t="s">
        <v>193</v>
      </c>
      <c r="AJ249" s="137" t="s">
        <v>193</v>
      </c>
      <c r="AK249" s="137" t="s">
        <v>193</v>
      </c>
      <c r="AL249" s="137">
        <v>7.8E-2</v>
      </c>
      <c r="AM249" s="137">
        <v>7.8E-2</v>
      </c>
      <c r="AN249" s="137" t="s">
        <v>53</v>
      </c>
      <c r="AO249" s="137" t="s">
        <v>193</v>
      </c>
      <c r="AP249" s="137" t="s">
        <v>193</v>
      </c>
      <c r="AQ249" s="137" t="s">
        <v>193</v>
      </c>
      <c r="AR249" s="137" t="s">
        <v>193</v>
      </c>
      <c r="AV249" s="1">
        <f t="shared" si="29"/>
        <v>7.0970000000000004</v>
      </c>
      <c r="AW249" s="1">
        <f t="shared" si="23"/>
        <v>6.1820000000000004</v>
      </c>
      <c r="AX249" s="13">
        <f t="shared" si="27"/>
        <v>0.87107228406368886</v>
      </c>
      <c r="BA249" s="12">
        <f t="shared" si="24"/>
        <v>0</v>
      </c>
      <c r="BB249" s="12">
        <f t="shared" si="28"/>
        <v>0</v>
      </c>
      <c r="BC249" s="12">
        <f t="shared" si="28"/>
        <v>0</v>
      </c>
      <c r="BD249" s="12">
        <f t="shared" si="28"/>
        <v>0</v>
      </c>
      <c r="BE249" s="12">
        <f t="shared" si="28"/>
        <v>0</v>
      </c>
      <c r="BF249" s="12">
        <f t="shared" si="25"/>
        <v>0</v>
      </c>
      <c r="BJ249" s="12" t="str">
        <f t="shared" si="26"/>
        <v/>
      </c>
      <c r="BK249" s="12">
        <f>VLOOKUP(B249,Kraftvärmeprod!$B$1:$BH$549,MATCH($BA$1,Kraftvärmeprod!$B$1:$CC$1,0),FALSE)</f>
        <v>0</v>
      </c>
    </row>
    <row r="250" spans="1:63" ht="15" customHeight="1" x14ac:dyDescent="0.25">
      <c r="A250" s="137" t="s">
        <v>532</v>
      </c>
      <c r="B250" s="137" t="s">
        <v>541</v>
      </c>
      <c r="C250" s="137">
        <v>2018</v>
      </c>
      <c r="D250" s="137">
        <v>3.1509999999999998</v>
      </c>
      <c r="E250" s="137">
        <v>3.6219999999999999</v>
      </c>
      <c r="F250" s="137" t="s">
        <v>193</v>
      </c>
      <c r="G250" s="137">
        <v>5.3999999999999999E-2</v>
      </c>
      <c r="H250" s="137" t="s">
        <v>193</v>
      </c>
      <c r="I250" s="137" t="s">
        <v>193</v>
      </c>
      <c r="J250" s="137" t="s">
        <v>193</v>
      </c>
      <c r="K250" s="137" t="s">
        <v>193</v>
      </c>
      <c r="L250" s="137" t="s">
        <v>193</v>
      </c>
      <c r="M250" s="137" t="s">
        <v>193</v>
      </c>
      <c r="N250" s="137" t="s">
        <v>193</v>
      </c>
      <c r="O250" s="137" t="s">
        <v>193</v>
      </c>
      <c r="P250" s="137" t="s">
        <v>193</v>
      </c>
      <c r="Q250" s="137" t="s">
        <v>193</v>
      </c>
      <c r="R250" s="137" t="s">
        <v>193</v>
      </c>
      <c r="S250" s="137" t="s">
        <v>193</v>
      </c>
      <c r="T250" s="137" t="s">
        <v>193</v>
      </c>
      <c r="U250" s="137">
        <v>3.5680000000000001</v>
      </c>
      <c r="V250" s="137" t="s">
        <v>193</v>
      </c>
      <c r="W250" s="137" t="s">
        <v>193</v>
      </c>
      <c r="X250" s="137" t="s">
        <v>193</v>
      </c>
      <c r="Y250" s="137" t="s">
        <v>193</v>
      </c>
      <c r="Z250" s="137" t="s">
        <v>193</v>
      </c>
      <c r="AA250" s="137" t="s">
        <v>193</v>
      </c>
      <c r="AB250" s="137" t="s">
        <v>193</v>
      </c>
      <c r="AC250" s="137" t="s">
        <v>193</v>
      </c>
      <c r="AD250" s="137" t="s">
        <v>193</v>
      </c>
      <c r="AE250" s="137" t="s">
        <v>199</v>
      </c>
      <c r="AF250" s="137" t="s">
        <v>193</v>
      </c>
      <c r="AG250" s="137" t="s">
        <v>193</v>
      </c>
      <c r="AH250" s="137" t="s">
        <v>193</v>
      </c>
      <c r="AI250" s="137" t="s">
        <v>193</v>
      </c>
      <c r="AJ250" s="137" t="s">
        <v>193</v>
      </c>
      <c r="AK250" s="137" t="s">
        <v>193</v>
      </c>
      <c r="AL250" s="137" t="s">
        <v>193</v>
      </c>
      <c r="AM250" s="137" t="s">
        <v>193</v>
      </c>
      <c r="AN250" s="137" t="s">
        <v>53</v>
      </c>
      <c r="AO250" s="137" t="s">
        <v>193</v>
      </c>
      <c r="AP250" s="137" t="s">
        <v>193</v>
      </c>
      <c r="AQ250" s="137" t="s">
        <v>193</v>
      </c>
      <c r="AR250" s="137" t="s">
        <v>193</v>
      </c>
      <c r="AV250" s="1">
        <f t="shared" si="29"/>
        <v>3.6219999999999999</v>
      </c>
      <c r="AW250" s="1">
        <f t="shared" si="23"/>
        <v>3.1509999999999998</v>
      </c>
      <c r="AX250" s="13">
        <f t="shared" si="27"/>
        <v>0.86996134732192154</v>
      </c>
      <c r="BA250" s="12">
        <f t="shared" si="24"/>
        <v>0</v>
      </c>
      <c r="BB250" s="12">
        <f t="shared" si="28"/>
        <v>0</v>
      </c>
      <c r="BC250" s="12">
        <f t="shared" si="28"/>
        <v>0</v>
      </c>
      <c r="BD250" s="12">
        <f t="shared" si="28"/>
        <v>0</v>
      </c>
      <c r="BE250" s="12">
        <f t="shared" si="28"/>
        <v>0</v>
      </c>
      <c r="BF250" s="12">
        <f t="shared" si="25"/>
        <v>0</v>
      </c>
      <c r="BJ250" s="12" t="str">
        <f t="shared" si="26"/>
        <v/>
      </c>
      <c r="BK250" s="12">
        <f>VLOOKUP(B250,Kraftvärmeprod!$B$1:$BH$549,MATCH($BA$1,Kraftvärmeprod!$B$1:$CC$1,0),FALSE)</f>
        <v>0</v>
      </c>
    </row>
    <row r="251" spans="1:63" ht="15" customHeight="1" x14ac:dyDescent="0.25">
      <c r="A251" s="137" t="s">
        <v>532</v>
      </c>
      <c r="B251" s="137" t="s">
        <v>542</v>
      </c>
      <c r="C251" s="137">
        <v>2018</v>
      </c>
      <c r="D251" s="137">
        <v>10.597025</v>
      </c>
      <c r="E251" s="137">
        <v>13.243493000000001</v>
      </c>
      <c r="F251" s="137" t="s">
        <v>193</v>
      </c>
      <c r="G251" s="137">
        <v>0.35091800000000001</v>
      </c>
      <c r="H251" s="137">
        <v>7.8560000000000005E-2</v>
      </c>
      <c r="I251" s="137" t="s">
        <v>193</v>
      </c>
      <c r="J251" s="137" t="s">
        <v>193</v>
      </c>
      <c r="K251" s="137" t="s">
        <v>193</v>
      </c>
      <c r="L251" s="137" t="s">
        <v>193</v>
      </c>
      <c r="M251" s="137" t="s">
        <v>193</v>
      </c>
      <c r="N251" s="137">
        <v>0.65746229700000003</v>
      </c>
      <c r="O251" s="137">
        <v>1.679569096</v>
      </c>
      <c r="P251" s="137">
        <v>0</v>
      </c>
      <c r="Q251" s="137">
        <v>2.1783042859999999</v>
      </c>
      <c r="R251" s="137">
        <v>0</v>
      </c>
      <c r="S251" s="137">
        <v>0.38837423300000001</v>
      </c>
      <c r="T251" s="137" t="s">
        <v>194</v>
      </c>
      <c r="U251" s="137">
        <v>2.2667205999999999E-2</v>
      </c>
      <c r="V251" s="137">
        <v>9.0668820000000001E-3</v>
      </c>
      <c r="W251" s="137">
        <v>0</v>
      </c>
      <c r="X251" s="137" t="s">
        <v>193</v>
      </c>
      <c r="Y251" s="137" t="s">
        <v>193</v>
      </c>
      <c r="Z251" s="137" t="s">
        <v>193</v>
      </c>
      <c r="AA251" s="137" t="s">
        <v>193</v>
      </c>
      <c r="AB251" s="137">
        <v>7.8645550000000002</v>
      </c>
      <c r="AC251" s="137" t="s">
        <v>193</v>
      </c>
      <c r="AD251" s="137" t="s">
        <v>193</v>
      </c>
      <c r="AE251" s="137" t="s">
        <v>199</v>
      </c>
      <c r="AF251" s="137" t="s">
        <v>193</v>
      </c>
      <c r="AG251" s="137" t="s">
        <v>193</v>
      </c>
      <c r="AH251" s="137" t="s">
        <v>193</v>
      </c>
      <c r="AI251" s="137" t="s">
        <v>193</v>
      </c>
      <c r="AJ251" s="137" t="s">
        <v>193</v>
      </c>
      <c r="AK251" s="137" t="s">
        <v>193</v>
      </c>
      <c r="AL251" s="137">
        <v>1.4016000000000001E-2</v>
      </c>
      <c r="AM251" s="137">
        <v>1.4016000000000001E-2</v>
      </c>
      <c r="AN251" s="137" t="s">
        <v>193</v>
      </c>
      <c r="AO251" s="137" t="s">
        <v>193</v>
      </c>
      <c r="AP251" s="137" t="s">
        <v>193</v>
      </c>
      <c r="AQ251" s="137" t="s">
        <v>193</v>
      </c>
      <c r="AR251" s="137" t="s">
        <v>193</v>
      </c>
      <c r="AV251" s="1">
        <f t="shared" si="29"/>
        <v>13.243492999999999</v>
      </c>
      <c r="AW251" s="1">
        <f t="shared" si="23"/>
        <v>10.597025</v>
      </c>
      <c r="AX251" s="13">
        <f t="shared" si="27"/>
        <v>0.80016842988477443</v>
      </c>
      <c r="BA251" s="12">
        <f t="shared" si="24"/>
        <v>0</v>
      </c>
      <c r="BB251" s="12">
        <f t="shared" si="28"/>
        <v>0</v>
      </c>
      <c r="BC251" s="12">
        <f t="shared" si="28"/>
        <v>0</v>
      </c>
      <c r="BD251" s="12">
        <f t="shared" si="28"/>
        <v>0</v>
      </c>
      <c r="BE251" s="12">
        <f t="shared" si="28"/>
        <v>0</v>
      </c>
      <c r="BF251" s="12">
        <f t="shared" si="25"/>
        <v>0</v>
      </c>
      <c r="BJ251" s="12" t="str">
        <f t="shared" si="26"/>
        <v/>
      </c>
      <c r="BK251" s="12">
        <f>VLOOKUP(B251,Kraftvärmeprod!$B$1:$BH$549,MATCH($BA$1,Kraftvärmeprod!$B$1:$CC$1,0),FALSE)</f>
        <v>0</v>
      </c>
    </row>
    <row r="252" spans="1:63" ht="15" customHeight="1" x14ac:dyDescent="0.25">
      <c r="A252" s="137" t="s">
        <v>532</v>
      </c>
      <c r="B252" s="137" t="s">
        <v>543</v>
      </c>
      <c r="C252" s="137">
        <v>2018</v>
      </c>
      <c r="D252" s="137">
        <v>3.6070000000000002</v>
      </c>
      <c r="E252" s="137">
        <v>4.1459999999999999</v>
      </c>
      <c r="F252" s="137" t="s">
        <v>193</v>
      </c>
      <c r="G252" s="137">
        <v>2.1999999999999999E-2</v>
      </c>
      <c r="H252" s="137" t="s">
        <v>193</v>
      </c>
      <c r="I252" s="137" t="s">
        <v>193</v>
      </c>
      <c r="J252" s="137" t="s">
        <v>193</v>
      </c>
      <c r="K252" s="137" t="s">
        <v>193</v>
      </c>
      <c r="L252" s="137" t="s">
        <v>193</v>
      </c>
      <c r="M252" s="137" t="s">
        <v>193</v>
      </c>
      <c r="N252" s="137" t="s">
        <v>193</v>
      </c>
      <c r="O252" s="137" t="s">
        <v>193</v>
      </c>
      <c r="P252" s="137" t="s">
        <v>193</v>
      </c>
      <c r="Q252" s="137" t="s">
        <v>193</v>
      </c>
      <c r="R252" s="137" t="s">
        <v>193</v>
      </c>
      <c r="S252" s="137" t="s">
        <v>193</v>
      </c>
      <c r="T252" s="137" t="s">
        <v>193</v>
      </c>
      <c r="U252" s="137">
        <v>4.1239999999999997</v>
      </c>
      <c r="V252" s="137" t="s">
        <v>193</v>
      </c>
      <c r="W252" s="137" t="s">
        <v>193</v>
      </c>
      <c r="X252" s="137" t="s">
        <v>193</v>
      </c>
      <c r="Y252" s="137" t="s">
        <v>193</v>
      </c>
      <c r="Z252" s="137" t="s">
        <v>193</v>
      </c>
      <c r="AA252" s="137" t="s">
        <v>193</v>
      </c>
      <c r="AB252" s="137" t="s">
        <v>193</v>
      </c>
      <c r="AC252" s="137" t="s">
        <v>193</v>
      </c>
      <c r="AD252" s="137" t="s">
        <v>193</v>
      </c>
      <c r="AE252" s="137" t="s">
        <v>199</v>
      </c>
      <c r="AF252" s="137" t="s">
        <v>193</v>
      </c>
      <c r="AG252" s="137" t="s">
        <v>193</v>
      </c>
      <c r="AH252" s="137" t="s">
        <v>193</v>
      </c>
      <c r="AI252" s="137" t="s">
        <v>193</v>
      </c>
      <c r="AJ252" s="137" t="s">
        <v>193</v>
      </c>
      <c r="AK252" s="137" t="s">
        <v>193</v>
      </c>
      <c r="AL252" s="137" t="s">
        <v>193</v>
      </c>
      <c r="AM252" s="137" t="s">
        <v>193</v>
      </c>
      <c r="AN252" s="137" t="s">
        <v>53</v>
      </c>
      <c r="AO252" s="137" t="s">
        <v>193</v>
      </c>
      <c r="AP252" s="137" t="s">
        <v>193</v>
      </c>
      <c r="AQ252" s="137" t="s">
        <v>193</v>
      </c>
      <c r="AR252" s="137" t="s">
        <v>193</v>
      </c>
      <c r="AV252" s="1">
        <f t="shared" si="29"/>
        <v>4.1459999999999999</v>
      </c>
      <c r="AW252" s="1">
        <f t="shared" si="23"/>
        <v>3.6070000000000002</v>
      </c>
      <c r="AX252" s="13">
        <f t="shared" si="27"/>
        <v>0.86999517607332377</v>
      </c>
      <c r="BA252" s="12">
        <f t="shared" si="24"/>
        <v>0</v>
      </c>
      <c r="BB252" s="12">
        <f t="shared" si="28"/>
        <v>0</v>
      </c>
      <c r="BC252" s="12">
        <f t="shared" si="28"/>
        <v>0</v>
      </c>
      <c r="BD252" s="12">
        <f t="shared" si="28"/>
        <v>0</v>
      </c>
      <c r="BE252" s="12">
        <f t="shared" si="28"/>
        <v>0</v>
      </c>
      <c r="BF252" s="12">
        <f t="shared" si="25"/>
        <v>0</v>
      </c>
      <c r="BJ252" s="12" t="str">
        <f t="shared" si="26"/>
        <v/>
      </c>
      <c r="BK252" s="12">
        <f>VLOOKUP(B252,Kraftvärmeprod!$B$1:$BH$549,MATCH($BA$1,Kraftvärmeprod!$B$1:$CC$1,0),FALSE)</f>
        <v>0</v>
      </c>
    </row>
    <row r="253" spans="1:63" ht="15" customHeight="1" x14ac:dyDescent="0.25">
      <c r="A253" s="137" t="s">
        <v>532</v>
      </c>
      <c r="B253" s="137" t="s">
        <v>544</v>
      </c>
      <c r="C253" s="137">
        <v>2018</v>
      </c>
      <c r="D253" s="137">
        <v>10.858573</v>
      </c>
      <c r="E253" s="137">
        <v>12.432504</v>
      </c>
      <c r="F253" s="137" t="s">
        <v>193</v>
      </c>
      <c r="G253" s="137">
        <v>1.465006</v>
      </c>
      <c r="H253" s="137" t="s">
        <v>193</v>
      </c>
      <c r="I253" s="137" t="s">
        <v>193</v>
      </c>
      <c r="J253" s="137" t="s">
        <v>193</v>
      </c>
      <c r="K253" s="137" t="s">
        <v>193</v>
      </c>
      <c r="L253" s="137" t="s">
        <v>193</v>
      </c>
      <c r="M253" s="137" t="s">
        <v>193</v>
      </c>
      <c r="N253" s="137" t="s">
        <v>193</v>
      </c>
      <c r="O253" s="137" t="s">
        <v>193</v>
      </c>
      <c r="P253" s="137" t="s">
        <v>193</v>
      </c>
      <c r="Q253" s="137" t="s">
        <v>193</v>
      </c>
      <c r="R253" s="137" t="s">
        <v>193</v>
      </c>
      <c r="S253" s="137" t="s">
        <v>193</v>
      </c>
      <c r="T253" s="137" t="s">
        <v>193</v>
      </c>
      <c r="U253" s="137">
        <v>10.805128</v>
      </c>
      <c r="V253" s="137" t="s">
        <v>193</v>
      </c>
      <c r="W253" s="137" t="s">
        <v>193</v>
      </c>
      <c r="X253" s="137" t="s">
        <v>193</v>
      </c>
      <c r="Y253" s="137" t="s">
        <v>193</v>
      </c>
      <c r="Z253" s="137" t="s">
        <v>193</v>
      </c>
      <c r="AA253" s="137" t="s">
        <v>193</v>
      </c>
      <c r="AB253" s="137" t="s">
        <v>193</v>
      </c>
      <c r="AC253" s="137" t="s">
        <v>193</v>
      </c>
      <c r="AD253" s="137" t="s">
        <v>193</v>
      </c>
      <c r="AE253" s="137" t="s">
        <v>199</v>
      </c>
      <c r="AF253" s="137" t="s">
        <v>193</v>
      </c>
      <c r="AG253" s="137" t="s">
        <v>193</v>
      </c>
      <c r="AH253" s="137" t="s">
        <v>193</v>
      </c>
      <c r="AI253" s="137" t="s">
        <v>193</v>
      </c>
      <c r="AJ253" s="137" t="s">
        <v>193</v>
      </c>
      <c r="AK253" s="137" t="s">
        <v>193</v>
      </c>
      <c r="AL253" s="137">
        <v>0.16236999999999999</v>
      </c>
      <c r="AM253" s="137">
        <v>0.16236999999999999</v>
      </c>
      <c r="AN253" s="137" t="s">
        <v>53</v>
      </c>
      <c r="AO253" s="137" t="s">
        <v>193</v>
      </c>
      <c r="AP253" s="137" t="s">
        <v>193</v>
      </c>
      <c r="AQ253" s="137" t="s">
        <v>193</v>
      </c>
      <c r="AR253" s="137" t="s">
        <v>193</v>
      </c>
      <c r="AV253" s="1">
        <f t="shared" si="29"/>
        <v>12.432504</v>
      </c>
      <c r="AW253" s="1">
        <f t="shared" si="23"/>
        <v>10.858573</v>
      </c>
      <c r="AX253" s="13">
        <f t="shared" si="27"/>
        <v>0.87340193093844976</v>
      </c>
      <c r="BA253" s="12">
        <f t="shared" si="24"/>
        <v>0</v>
      </c>
      <c r="BB253" s="12">
        <f t="shared" si="28"/>
        <v>0</v>
      </c>
      <c r="BC253" s="12">
        <f t="shared" si="28"/>
        <v>0</v>
      </c>
      <c r="BD253" s="12">
        <f t="shared" si="28"/>
        <v>0</v>
      </c>
      <c r="BE253" s="12">
        <f t="shared" si="28"/>
        <v>0</v>
      </c>
      <c r="BF253" s="12">
        <f t="shared" si="25"/>
        <v>0</v>
      </c>
      <c r="BJ253" s="12" t="str">
        <f t="shared" si="26"/>
        <v/>
      </c>
      <c r="BK253" s="12">
        <f>VLOOKUP(B253,Kraftvärmeprod!$B$1:$BH$549,MATCH($BA$1,Kraftvärmeprod!$B$1:$CC$1,0),FALSE)</f>
        <v>0</v>
      </c>
    </row>
    <row r="254" spans="1:63" ht="15" customHeight="1" x14ac:dyDescent="0.25">
      <c r="A254" s="137" t="s">
        <v>532</v>
      </c>
      <c r="B254" s="137" t="s">
        <v>545</v>
      </c>
      <c r="C254" s="137">
        <v>2018</v>
      </c>
      <c r="D254" s="137">
        <v>9.6530000000000005</v>
      </c>
      <c r="E254" s="137">
        <v>11.064</v>
      </c>
      <c r="F254" s="137" t="s">
        <v>193</v>
      </c>
      <c r="G254" s="137">
        <v>0.31900000000000001</v>
      </c>
      <c r="H254" s="137" t="s">
        <v>193</v>
      </c>
      <c r="I254" s="137" t="s">
        <v>193</v>
      </c>
      <c r="J254" s="137" t="s">
        <v>193</v>
      </c>
      <c r="K254" s="137" t="s">
        <v>193</v>
      </c>
      <c r="L254" s="137" t="s">
        <v>193</v>
      </c>
      <c r="M254" s="137" t="s">
        <v>193</v>
      </c>
      <c r="N254" s="137" t="s">
        <v>193</v>
      </c>
      <c r="O254" s="137" t="s">
        <v>193</v>
      </c>
      <c r="P254" s="137" t="s">
        <v>193</v>
      </c>
      <c r="Q254" s="137" t="s">
        <v>193</v>
      </c>
      <c r="R254" s="137" t="s">
        <v>193</v>
      </c>
      <c r="S254" s="137" t="s">
        <v>193</v>
      </c>
      <c r="T254" s="137" t="s">
        <v>193</v>
      </c>
      <c r="U254" s="137">
        <v>10.474</v>
      </c>
      <c r="V254" s="137" t="s">
        <v>193</v>
      </c>
      <c r="W254" s="137" t="s">
        <v>193</v>
      </c>
      <c r="X254" s="137" t="s">
        <v>193</v>
      </c>
      <c r="Y254" s="137" t="s">
        <v>193</v>
      </c>
      <c r="Z254" s="137" t="s">
        <v>193</v>
      </c>
      <c r="AA254" s="137" t="s">
        <v>193</v>
      </c>
      <c r="AB254" s="137" t="s">
        <v>193</v>
      </c>
      <c r="AC254" s="137" t="s">
        <v>193</v>
      </c>
      <c r="AD254" s="137" t="s">
        <v>193</v>
      </c>
      <c r="AE254" s="137" t="s">
        <v>199</v>
      </c>
      <c r="AF254" s="137" t="s">
        <v>193</v>
      </c>
      <c r="AG254" s="137" t="s">
        <v>193</v>
      </c>
      <c r="AH254" s="137" t="s">
        <v>193</v>
      </c>
      <c r="AI254" s="137" t="s">
        <v>193</v>
      </c>
      <c r="AJ254" s="137" t="s">
        <v>193</v>
      </c>
      <c r="AK254" s="137" t="s">
        <v>193</v>
      </c>
      <c r="AL254" s="137">
        <v>0.27100000000000002</v>
      </c>
      <c r="AM254" s="137">
        <v>0.27100000000000002</v>
      </c>
      <c r="AN254" s="137" t="s">
        <v>53</v>
      </c>
      <c r="AO254" s="137" t="s">
        <v>193</v>
      </c>
      <c r="AP254" s="137" t="s">
        <v>193</v>
      </c>
      <c r="AQ254" s="137" t="s">
        <v>193</v>
      </c>
      <c r="AR254" s="137" t="s">
        <v>193</v>
      </c>
      <c r="AV254" s="1">
        <f t="shared" si="29"/>
        <v>11.064000000000002</v>
      </c>
      <c r="AW254" s="1">
        <f t="shared" si="23"/>
        <v>9.6530000000000005</v>
      </c>
      <c r="AX254" s="13">
        <f t="shared" si="27"/>
        <v>0.87246926970354288</v>
      </c>
      <c r="BA254" s="12">
        <f t="shared" si="24"/>
        <v>0</v>
      </c>
      <c r="BB254" s="12">
        <f t="shared" si="28"/>
        <v>0</v>
      </c>
      <c r="BC254" s="12">
        <f t="shared" si="28"/>
        <v>0</v>
      </c>
      <c r="BD254" s="12">
        <f t="shared" si="28"/>
        <v>0</v>
      </c>
      <c r="BE254" s="12">
        <f t="shared" si="28"/>
        <v>0</v>
      </c>
      <c r="BF254" s="12">
        <f t="shared" si="25"/>
        <v>0</v>
      </c>
      <c r="BJ254" s="12" t="str">
        <f t="shared" si="26"/>
        <v/>
      </c>
      <c r="BK254" s="12">
        <f>VLOOKUP(B254,Kraftvärmeprod!$B$1:$BH$549,MATCH($BA$1,Kraftvärmeprod!$B$1:$CC$1,0),FALSE)</f>
        <v>0</v>
      </c>
    </row>
    <row r="255" spans="1:63" ht="15" customHeight="1" x14ac:dyDescent="0.25">
      <c r="A255" s="137" t="s">
        <v>532</v>
      </c>
      <c r="B255" s="137" t="s">
        <v>546</v>
      </c>
      <c r="C255" s="137">
        <v>2018</v>
      </c>
      <c r="D255" s="137">
        <v>11.102</v>
      </c>
      <c r="E255" s="137">
        <v>12.762</v>
      </c>
      <c r="F255" s="137" t="s">
        <v>193</v>
      </c>
      <c r="G255" s="137">
        <v>9.1999999999999998E-2</v>
      </c>
      <c r="H255" s="137" t="s">
        <v>193</v>
      </c>
      <c r="I255" s="137" t="s">
        <v>193</v>
      </c>
      <c r="J255" s="137" t="s">
        <v>193</v>
      </c>
      <c r="K255" s="137" t="s">
        <v>193</v>
      </c>
      <c r="L255" s="137" t="s">
        <v>193</v>
      </c>
      <c r="M255" s="137" t="s">
        <v>193</v>
      </c>
      <c r="N255" s="137" t="s">
        <v>193</v>
      </c>
      <c r="O255" s="137" t="s">
        <v>193</v>
      </c>
      <c r="P255" s="137" t="s">
        <v>193</v>
      </c>
      <c r="Q255" s="137" t="s">
        <v>193</v>
      </c>
      <c r="R255" s="137" t="s">
        <v>193</v>
      </c>
      <c r="S255" s="137" t="s">
        <v>193</v>
      </c>
      <c r="T255" s="137" t="s">
        <v>193</v>
      </c>
      <c r="U255" s="137">
        <v>12.67</v>
      </c>
      <c r="V255" s="137" t="s">
        <v>193</v>
      </c>
      <c r="W255" s="137" t="s">
        <v>193</v>
      </c>
      <c r="X255" s="137" t="s">
        <v>193</v>
      </c>
      <c r="Y255" s="137" t="s">
        <v>193</v>
      </c>
      <c r="Z255" s="137" t="s">
        <v>193</v>
      </c>
      <c r="AA255" s="137" t="s">
        <v>193</v>
      </c>
      <c r="AB255" s="137" t="s">
        <v>193</v>
      </c>
      <c r="AC255" s="137" t="s">
        <v>193</v>
      </c>
      <c r="AD255" s="137" t="s">
        <v>193</v>
      </c>
      <c r="AE255" s="137" t="s">
        <v>199</v>
      </c>
      <c r="AF255" s="137" t="s">
        <v>193</v>
      </c>
      <c r="AG255" s="137" t="s">
        <v>193</v>
      </c>
      <c r="AH255" s="137" t="s">
        <v>193</v>
      </c>
      <c r="AI255" s="137" t="s">
        <v>193</v>
      </c>
      <c r="AJ255" s="137" t="s">
        <v>193</v>
      </c>
      <c r="AK255" s="137" t="s">
        <v>193</v>
      </c>
      <c r="AL255" s="137" t="s">
        <v>193</v>
      </c>
      <c r="AM255" s="137" t="s">
        <v>193</v>
      </c>
      <c r="AN255" s="137" t="s">
        <v>53</v>
      </c>
      <c r="AO255" s="137" t="s">
        <v>193</v>
      </c>
      <c r="AP255" s="137" t="s">
        <v>193</v>
      </c>
      <c r="AQ255" s="137" t="s">
        <v>193</v>
      </c>
      <c r="AR255" s="137" t="s">
        <v>193</v>
      </c>
      <c r="AV255" s="1">
        <f t="shared" si="29"/>
        <v>12.762</v>
      </c>
      <c r="AW255" s="1">
        <f t="shared" si="23"/>
        <v>11.102</v>
      </c>
      <c r="AX255" s="13">
        <f t="shared" si="27"/>
        <v>0.86992634383325496</v>
      </c>
      <c r="BA255" s="12">
        <f t="shared" si="24"/>
        <v>0</v>
      </c>
      <c r="BB255" s="12">
        <f t="shared" si="28"/>
        <v>0</v>
      </c>
      <c r="BC255" s="12">
        <f t="shared" si="28"/>
        <v>0</v>
      </c>
      <c r="BD255" s="12">
        <f t="shared" si="28"/>
        <v>0</v>
      </c>
      <c r="BE255" s="12">
        <f t="shared" si="28"/>
        <v>0</v>
      </c>
      <c r="BF255" s="12">
        <f t="shared" si="25"/>
        <v>0</v>
      </c>
      <c r="BJ255" s="12" t="str">
        <f t="shared" si="26"/>
        <v/>
      </c>
      <c r="BK255" s="12">
        <f>VLOOKUP(B255,Kraftvärmeprod!$B$1:$BH$549,MATCH($BA$1,Kraftvärmeprod!$B$1:$CC$1,0),FALSE)</f>
        <v>0</v>
      </c>
    </row>
    <row r="256" spans="1:63" ht="15" customHeight="1" x14ac:dyDescent="0.25">
      <c r="A256" s="137" t="s">
        <v>532</v>
      </c>
      <c r="B256" s="137" t="s">
        <v>547</v>
      </c>
      <c r="C256" s="137">
        <v>2018</v>
      </c>
      <c r="D256" s="137">
        <v>31.949000000000002</v>
      </c>
      <c r="E256" s="137">
        <v>54.725117009999998</v>
      </c>
      <c r="F256" s="137" t="s">
        <v>193</v>
      </c>
      <c r="G256" s="137">
        <v>5.5048170000000001</v>
      </c>
      <c r="H256" s="137" t="s">
        <v>193</v>
      </c>
      <c r="I256" s="137" t="s">
        <v>193</v>
      </c>
      <c r="J256" s="137" t="s">
        <v>193</v>
      </c>
      <c r="K256" s="137" t="s">
        <v>193</v>
      </c>
      <c r="L256" s="137" t="s">
        <v>193</v>
      </c>
      <c r="M256" s="137" t="s">
        <v>193</v>
      </c>
      <c r="N256" s="137">
        <v>8.8995154579999998</v>
      </c>
      <c r="O256" s="137">
        <v>13.466172540000001</v>
      </c>
      <c r="P256" s="137">
        <v>2.8577810769999998</v>
      </c>
      <c r="Q256" s="137">
        <v>13.65061081</v>
      </c>
      <c r="R256" s="137">
        <v>0</v>
      </c>
      <c r="S256" s="137">
        <v>6.3871201209999997</v>
      </c>
      <c r="T256" s="137" t="s">
        <v>194</v>
      </c>
      <c r="U256" s="137">
        <v>0</v>
      </c>
      <c r="V256" s="137" t="s">
        <v>193</v>
      </c>
      <c r="W256" s="137" t="s">
        <v>193</v>
      </c>
      <c r="X256" s="137" t="s">
        <v>193</v>
      </c>
      <c r="Y256" s="137" t="s">
        <v>193</v>
      </c>
      <c r="Z256" s="137" t="s">
        <v>193</v>
      </c>
      <c r="AA256" s="137" t="s">
        <v>193</v>
      </c>
      <c r="AB256" s="137">
        <v>3.9590999999999998</v>
      </c>
      <c r="AC256" s="137" t="s">
        <v>193</v>
      </c>
      <c r="AD256" s="137" t="s">
        <v>193</v>
      </c>
      <c r="AE256" s="137" t="s">
        <v>199</v>
      </c>
      <c r="AF256" s="137" t="s">
        <v>193</v>
      </c>
      <c r="AG256" s="137" t="s">
        <v>193</v>
      </c>
      <c r="AH256" s="137" t="s">
        <v>193</v>
      </c>
      <c r="AI256" s="137" t="s">
        <v>193</v>
      </c>
      <c r="AJ256" s="137" t="s">
        <v>193</v>
      </c>
      <c r="AK256" s="137" t="s">
        <v>193</v>
      </c>
      <c r="AL256" s="137" t="s">
        <v>193</v>
      </c>
      <c r="AM256" s="137" t="s">
        <v>193</v>
      </c>
      <c r="AN256" s="137" t="s">
        <v>193</v>
      </c>
      <c r="AO256" s="137" t="s">
        <v>193</v>
      </c>
      <c r="AP256" s="137" t="s">
        <v>193</v>
      </c>
      <c r="AQ256" s="137" t="s">
        <v>193</v>
      </c>
      <c r="AR256" s="137" t="s">
        <v>193</v>
      </c>
      <c r="AV256" s="1">
        <f t="shared" si="29"/>
        <v>54.725117006000005</v>
      </c>
      <c r="AW256" s="1">
        <f t="shared" si="23"/>
        <v>31.949000000000002</v>
      </c>
      <c r="AX256" s="13">
        <f t="shared" si="27"/>
        <v>0.58380871066017359</v>
      </c>
      <c r="BA256" s="12">
        <f t="shared" si="24"/>
        <v>0</v>
      </c>
      <c r="BB256" s="12">
        <f t="shared" si="28"/>
        <v>0</v>
      </c>
      <c r="BC256" s="12">
        <f t="shared" si="28"/>
        <v>0</v>
      </c>
      <c r="BD256" s="12">
        <f t="shared" si="28"/>
        <v>0</v>
      </c>
      <c r="BE256" s="12">
        <f t="shared" si="28"/>
        <v>0</v>
      </c>
      <c r="BF256" s="12">
        <f t="shared" si="25"/>
        <v>0</v>
      </c>
      <c r="BJ256" s="12" t="str">
        <f t="shared" si="26"/>
        <v/>
      </c>
      <c r="BK256" s="12">
        <f>VLOOKUP(B256,Kraftvärmeprod!$B$1:$BH$549,MATCH($BA$1,Kraftvärmeprod!$B$1:$CC$1,0),FALSE)</f>
        <v>67.151470000000003</v>
      </c>
    </row>
    <row r="257" spans="1:63" ht="15" customHeight="1" x14ac:dyDescent="0.25">
      <c r="A257" s="137" t="s">
        <v>532</v>
      </c>
      <c r="B257" s="137" t="s">
        <v>548</v>
      </c>
      <c r="C257" s="137">
        <v>2018</v>
      </c>
      <c r="D257" s="137">
        <v>39.143000000000001</v>
      </c>
      <c r="E257" s="137">
        <v>44.945999999999998</v>
      </c>
      <c r="F257" s="137" t="s">
        <v>193</v>
      </c>
      <c r="G257" s="137">
        <v>1.3169999999999999</v>
      </c>
      <c r="H257" s="137" t="s">
        <v>193</v>
      </c>
      <c r="I257" s="137" t="s">
        <v>193</v>
      </c>
      <c r="J257" s="137" t="s">
        <v>193</v>
      </c>
      <c r="K257" s="137" t="s">
        <v>193</v>
      </c>
      <c r="L257" s="137" t="s">
        <v>193</v>
      </c>
      <c r="M257" s="137" t="s">
        <v>193</v>
      </c>
      <c r="N257" s="137" t="s">
        <v>193</v>
      </c>
      <c r="O257" s="137" t="s">
        <v>193</v>
      </c>
      <c r="P257" s="137" t="s">
        <v>193</v>
      </c>
      <c r="Q257" s="137" t="s">
        <v>193</v>
      </c>
      <c r="R257" s="137" t="s">
        <v>193</v>
      </c>
      <c r="S257" s="137" t="s">
        <v>193</v>
      </c>
      <c r="T257" s="137" t="s">
        <v>193</v>
      </c>
      <c r="U257" s="137">
        <v>43.628999999999998</v>
      </c>
      <c r="V257" s="137" t="s">
        <v>193</v>
      </c>
      <c r="W257" s="137" t="s">
        <v>193</v>
      </c>
      <c r="X257" s="137" t="s">
        <v>193</v>
      </c>
      <c r="Y257" s="137" t="s">
        <v>193</v>
      </c>
      <c r="Z257" s="137" t="s">
        <v>193</v>
      </c>
      <c r="AA257" s="137" t="s">
        <v>193</v>
      </c>
      <c r="AB257" s="137" t="s">
        <v>193</v>
      </c>
      <c r="AC257" s="137" t="s">
        <v>193</v>
      </c>
      <c r="AD257" s="137" t="s">
        <v>193</v>
      </c>
      <c r="AE257" s="137" t="s">
        <v>199</v>
      </c>
      <c r="AF257" s="137" t="s">
        <v>193</v>
      </c>
      <c r="AG257" s="137" t="s">
        <v>193</v>
      </c>
      <c r="AH257" s="137" t="s">
        <v>193</v>
      </c>
      <c r="AI257" s="137" t="s">
        <v>193</v>
      </c>
      <c r="AJ257" s="137" t="s">
        <v>193</v>
      </c>
      <c r="AK257" s="137" t="s">
        <v>193</v>
      </c>
      <c r="AL257" s="137" t="s">
        <v>193</v>
      </c>
      <c r="AM257" s="137" t="s">
        <v>193</v>
      </c>
      <c r="AN257" s="137" t="s">
        <v>53</v>
      </c>
      <c r="AO257" s="137" t="s">
        <v>193</v>
      </c>
      <c r="AP257" s="137" t="s">
        <v>193</v>
      </c>
      <c r="AQ257" s="137" t="s">
        <v>193</v>
      </c>
      <c r="AR257" s="137" t="s">
        <v>193</v>
      </c>
      <c r="AV257" s="1">
        <f t="shared" si="29"/>
        <v>44.945999999999998</v>
      </c>
      <c r="AW257" s="1">
        <f t="shared" ref="AW257:AW320" si="30">IFERROR(D257/1,0)</f>
        <v>39.143000000000001</v>
      </c>
      <c r="AX257" s="13">
        <f t="shared" si="27"/>
        <v>0.87088951185867491</v>
      </c>
      <c r="BA257" s="12">
        <f t="shared" ref="BA257:BA320" si="31">IFERROR(AH257/1,0)</f>
        <v>0</v>
      </c>
      <c r="BB257" s="12">
        <f t="shared" si="28"/>
        <v>0</v>
      </c>
      <c r="BC257" s="12">
        <f t="shared" si="28"/>
        <v>0</v>
      </c>
      <c r="BD257" s="12">
        <f t="shared" si="28"/>
        <v>0</v>
      </c>
      <c r="BE257" s="12">
        <f t="shared" ref="BE257:BE320" si="32">IFERROR(AR257/100,0)*$BA257</f>
        <v>0</v>
      </c>
      <c r="BF257" s="12">
        <f t="shared" ref="BF257:BF320" si="33">MAX(BA257-SUM(BB257:BE257),0)</f>
        <v>0</v>
      </c>
      <c r="BJ257" s="12" t="str">
        <f t="shared" ref="BJ257:BJ320" si="34">IF(AND((IFERROR(AO257/1,0)+IFERROR(AP257/1,0)+IFERROR(AQ257/1,0)+IFERROR(AR257/1,0))&gt;0,OR(TYPE(AH257)&lt;&gt;1,AH257=0)),"ja","")</f>
        <v/>
      </c>
      <c r="BK257" s="12">
        <f>VLOOKUP(B257,Kraftvärmeprod!$B$1:$BH$549,MATCH($BA$1,Kraftvärmeprod!$B$1:$CC$1,0),FALSE)</f>
        <v>0</v>
      </c>
    </row>
    <row r="258" spans="1:63" ht="15" customHeight="1" x14ac:dyDescent="0.25">
      <c r="A258" s="137" t="s">
        <v>532</v>
      </c>
      <c r="B258" s="137" t="s">
        <v>549</v>
      </c>
      <c r="C258" s="137">
        <v>2018</v>
      </c>
      <c r="D258" s="137" t="s">
        <v>193</v>
      </c>
      <c r="E258" s="137" t="s">
        <v>193</v>
      </c>
      <c r="F258" s="137" t="s">
        <v>193</v>
      </c>
      <c r="G258" s="137" t="s">
        <v>193</v>
      </c>
      <c r="H258" s="137" t="s">
        <v>193</v>
      </c>
      <c r="I258" s="137" t="s">
        <v>193</v>
      </c>
      <c r="J258" s="137" t="s">
        <v>193</v>
      </c>
      <c r="K258" s="137" t="s">
        <v>193</v>
      </c>
      <c r="L258" s="137" t="s">
        <v>193</v>
      </c>
      <c r="M258" s="137" t="s">
        <v>53</v>
      </c>
      <c r="N258" s="137" t="s">
        <v>193</v>
      </c>
      <c r="O258" s="137" t="s">
        <v>193</v>
      </c>
      <c r="P258" s="137" t="s">
        <v>193</v>
      </c>
      <c r="Q258" s="137" t="s">
        <v>193</v>
      </c>
      <c r="R258" s="137" t="s">
        <v>193</v>
      </c>
      <c r="S258" s="137" t="s">
        <v>193</v>
      </c>
      <c r="T258" s="137" t="s">
        <v>193</v>
      </c>
      <c r="U258" s="137" t="s">
        <v>193</v>
      </c>
      <c r="V258" s="137" t="s">
        <v>193</v>
      </c>
      <c r="W258" s="137" t="s">
        <v>193</v>
      </c>
      <c r="X258" s="137" t="s">
        <v>193</v>
      </c>
      <c r="Y258" s="137" t="s">
        <v>193</v>
      </c>
      <c r="Z258" s="137" t="s">
        <v>193</v>
      </c>
      <c r="AA258" s="137" t="s">
        <v>193</v>
      </c>
      <c r="AB258" s="137" t="s">
        <v>193</v>
      </c>
      <c r="AC258" s="137" t="s">
        <v>193</v>
      </c>
      <c r="AD258" s="137" t="s">
        <v>193</v>
      </c>
      <c r="AE258" s="137" t="s">
        <v>199</v>
      </c>
      <c r="AF258" s="137" t="s">
        <v>193</v>
      </c>
      <c r="AG258" s="137" t="s">
        <v>193</v>
      </c>
      <c r="AH258" s="137" t="s">
        <v>193</v>
      </c>
      <c r="AI258" s="137" t="s">
        <v>193</v>
      </c>
      <c r="AJ258" s="137" t="s">
        <v>193</v>
      </c>
      <c r="AK258" s="137" t="s">
        <v>193</v>
      </c>
      <c r="AL258" s="137" t="s">
        <v>193</v>
      </c>
      <c r="AM258" s="137" t="s">
        <v>193</v>
      </c>
      <c r="AN258" s="137" t="s">
        <v>53</v>
      </c>
      <c r="AO258" s="137" t="s">
        <v>193</v>
      </c>
      <c r="AP258" s="137" t="s">
        <v>193</v>
      </c>
      <c r="AQ258" s="137" t="s">
        <v>193</v>
      </c>
      <c r="AR258" s="137" t="s">
        <v>193</v>
      </c>
      <c r="AV258" s="1">
        <f t="shared" si="29"/>
        <v>0</v>
      </c>
      <c r="AW258" s="1">
        <f t="shared" si="30"/>
        <v>0</v>
      </c>
      <c r="AX258" s="13" t="str">
        <f t="shared" ref="AX258:AX321" si="35">IFERROR(AW258/AV258,"")</f>
        <v/>
      </c>
      <c r="BA258" s="12">
        <f t="shared" si="31"/>
        <v>0</v>
      </c>
      <c r="BB258" s="12">
        <f t="shared" ref="BB258:BE321" si="36">IFERROR(AO258/100,0)*$BA258</f>
        <v>0</v>
      </c>
      <c r="BC258" s="12">
        <f t="shared" si="36"/>
        <v>0</v>
      </c>
      <c r="BD258" s="12">
        <f t="shared" si="36"/>
        <v>0</v>
      </c>
      <c r="BE258" s="12">
        <f t="shared" si="32"/>
        <v>0</v>
      </c>
      <c r="BF258" s="12">
        <f t="shared" si="33"/>
        <v>0</v>
      </c>
      <c r="BJ258" s="12" t="str">
        <f t="shared" si="34"/>
        <v/>
      </c>
      <c r="BK258" s="12">
        <f>VLOOKUP(B258,Kraftvärmeprod!$B$1:$BH$549,MATCH($BA$1,Kraftvärmeprod!$B$1:$CC$1,0),FALSE)</f>
        <v>0</v>
      </c>
    </row>
    <row r="259" spans="1:63" ht="15" customHeight="1" x14ac:dyDescent="0.25">
      <c r="A259" s="137" t="s">
        <v>532</v>
      </c>
      <c r="B259" s="137" t="s">
        <v>550</v>
      </c>
      <c r="C259" s="137">
        <v>2018</v>
      </c>
      <c r="D259" s="137">
        <v>14.792</v>
      </c>
      <c r="E259" s="137">
        <v>17.001999999999999</v>
      </c>
      <c r="F259" s="137" t="s">
        <v>193</v>
      </c>
      <c r="G259" s="137">
        <v>0.75700000000000001</v>
      </c>
      <c r="H259" s="137" t="s">
        <v>193</v>
      </c>
      <c r="I259" s="137" t="s">
        <v>193</v>
      </c>
      <c r="J259" s="137" t="s">
        <v>193</v>
      </c>
      <c r="K259" s="137" t="s">
        <v>193</v>
      </c>
      <c r="L259" s="137" t="s">
        <v>193</v>
      </c>
      <c r="M259" s="137" t="s">
        <v>193</v>
      </c>
      <c r="N259" s="137" t="s">
        <v>193</v>
      </c>
      <c r="O259" s="137" t="s">
        <v>193</v>
      </c>
      <c r="P259" s="137" t="s">
        <v>193</v>
      </c>
      <c r="Q259" s="137" t="s">
        <v>193</v>
      </c>
      <c r="R259" s="137" t="s">
        <v>193</v>
      </c>
      <c r="S259" s="137" t="s">
        <v>193</v>
      </c>
      <c r="T259" s="137" t="s">
        <v>193</v>
      </c>
      <c r="U259" s="137">
        <v>16.245000000000001</v>
      </c>
      <c r="V259" s="137" t="s">
        <v>193</v>
      </c>
      <c r="W259" s="137" t="s">
        <v>193</v>
      </c>
      <c r="X259" s="137" t="s">
        <v>193</v>
      </c>
      <c r="Y259" s="137" t="s">
        <v>193</v>
      </c>
      <c r="Z259" s="137" t="s">
        <v>193</v>
      </c>
      <c r="AA259" s="137" t="s">
        <v>193</v>
      </c>
      <c r="AB259" s="137" t="s">
        <v>193</v>
      </c>
      <c r="AC259" s="137" t="s">
        <v>193</v>
      </c>
      <c r="AD259" s="137" t="s">
        <v>193</v>
      </c>
      <c r="AE259" s="137" t="s">
        <v>199</v>
      </c>
      <c r="AF259" s="137" t="s">
        <v>193</v>
      </c>
      <c r="AG259" s="137" t="s">
        <v>193</v>
      </c>
      <c r="AH259" s="137" t="s">
        <v>193</v>
      </c>
      <c r="AI259" s="137" t="s">
        <v>193</v>
      </c>
      <c r="AJ259" s="137" t="s">
        <v>193</v>
      </c>
      <c r="AK259" s="137" t="s">
        <v>193</v>
      </c>
      <c r="AL259" s="137" t="s">
        <v>193</v>
      </c>
      <c r="AM259" s="137" t="s">
        <v>193</v>
      </c>
      <c r="AN259" s="137" t="s">
        <v>53</v>
      </c>
      <c r="AO259" s="137" t="s">
        <v>193</v>
      </c>
      <c r="AP259" s="137" t="s">
        <v>193</v>
      </c>
      <c r="AQ259" s="137" t="s">
        <v>193</v>
      </c>
      <c r="AR259" s="137" t="s">
        <v>193</v>
      </c>
      <c r="AV259" s="1">
        <f t="shared" ref="AV259:AV322" si="37">SUMPRODUCT(F259:AC259)+SUMPRODUCT(AG259:AI259)+IFERROR(AL259/1,0)</f>
        <v>17.002000000000002</v>
      </c>
      <c r="AW259" s="1">
        <f t="shared" si="30"/>
        <v>14.792</v>
      </c>
      <c r="AX259" s="13">
        <f t="shared" si="35"/>
        <v>0.87001529231855057</v>
      </c>
      <c r="BA259" s="12">
        <f t="shared" si="31"/>
        <v>0</v>
      </c>
      <c r="BB259" s="12">
        <f t="shared" si="36"/>
        <v>0</v>
      </c>
      <c r="BC259" s="12">
        <f t="shared" si="36"/>
        <v>0</v>
      </c>
      <c r="BD259" s="12">
        <f t="shared" si="36"/>
        <v>0</v>
      </c>
      <c r="BE259" s="12">
        <f t="shared" si="32"/>
        <v>0</v>
      </c>
      <c r="BF259" s="12">
        <f t="shared" si="33"/>
        <v>0</v>
      </c>
      <c r="BJ259" s="12" t="str">
        <f t="shared" si="34"/>
        <v/>
      </c>
      <c r="BK259" s="12">
        <f>VLOOKUP(B259,Kraftvärmeprod!$B$1:$BH$549,MATCH($BA$1,Kraftvärmeprod!$B$1:$CC$1,0),FALSE)</f>
        <v>0</v>
      </c>
    </row>
    <row r="260" spans="1:63" ht="15" customHeight="1" x14ac:dyDescent="0.25">
      <c r="A260" s="137" t="s">
        <v>532</v>
      </c>
      <c r="B260" s="137" t="s">
        <v>551</v>
      </c>
      <c r="C260" s="137">
        <v>2018</v>
      </c>
      <c r="D260" s="137">
        <v>3.2410000000000001</v>
      </c>
      <c r="E260" s="137">
        <v>3.7250000000000001</v>
      </c>
      <c r="F260" s="137" t="s">
        <v>193</v>
      </c>
      <c r="G260" s="137">
        <v>2.5999999999999999E-2</v>
      </c>
      <c r="H260" s="137" t="s">
        <v>193</v>
      </c>
      <c r="I260" s="137" t="s">
        <v>193</v>
      </c>
      <c r="J260" s="137" t="s">
        <v>193</v>
      </c>
      <c r="K260" s="137" t="s">
        <v>193</v>
      </c>
      <c r="L260" s="137" t="s">
        <v>193</v>
      </c>
      <c r="M260" s="137" t="s">
        <v>193</v>
      </c>
      <c r="N260" s="137" t="s">
        <v>193</v>
      </c>
      <c r="O260" s="137" t="s">
        <v>193</v>
      </c>
      <c r="P260" s="137" t="s">
        <v>193</v>
      </c>
      <c r="Q260" s="137" t="s">
        <v>193</v>
      </c>
      <c r="R260" s="137" t="s">
        <v>193</v>
      </c>
      <c r="S260" s="137" t="s">
        <v>193</v>
      </c>
      <c r="T260" s="137" t="s">
        <v>193</v>
      </c>
      <c r="U260" s="137">
        <v>3.6989999999999998</v>
      </c>
      <c r="V260" s="137" t="s">
        <v>193</v>
      </c>
      <c r="W260" s="137" t="s">
        <v>193</v>
      </c>
      <c r="X260" s="137" t="s">
        <v>193</v>
      </c>
      <c r="Y260" s="137" t="s">
        <v>193</v>
      </c>
      <c r="Z260" s="137" t="s">
        <v>193</v>
      </c>
      <c r="AA260" s="137" t="s">
        <v>193</v>
      </c>
      <c r="AB260" s="137" t="s">
        <v>193</v>
      </c>
      <c r="AC260" s="137" t="s">
        <v>193</v>
      </c>
      <c r="AD260" s="137" t="s">
        <v>193</v>
      </c>
      <c r="AE260" s="137" t="s">
        <v>199</v>
      </c>
      <c r="AF260" s="137" t="s">
        <v>193</v>
      </c>
      <c r="AG260" s="137" t="s">
        <v>193</v>
      </c>
      <c r="AH260" s="137" t="s">
        <v>193</v>
      </c>
      <c r="AI260" s="137" t="s">
        <v>193</v>
      </c>
      <c r="AJ260" s="137" t="s">
        <v>193</v>
      </c>
      <c r="AK260" s="137" t="s">
        <v>193</v>
      </c>
      <c r="AL260" s="137" t="s">
        <v>193</v>
      </c>
      <c r="AM260" s="137" t="s">
        <v>193</v>
      </c>
      <c r="AN260" s="137" t="s">
        <v>53</v>
      </c>
      <c r="AO260" s="137" t="s">
        <v>193</v>
      </c>
      <c r="AP260" s="137" t="s">
        <v>193</v>
      </c>
      <c r="AQ260" s="137" t="s">
        <v>193</v>
      </c>
      <c r="AR260" s="137" t="s">
        <v>193</v>
      </c>
      <c r="AV260" s="1">
        <f t="shared" si="37"/>
        <v>3.7249999999999996</v>
      </c>
      <c r="AW260" s="1">
        <f t="shared" si="30"/>
        <v>3.2410000000000001</v>
      </c>
      <c r="AX260" s="13">
        <f t="shared" si="35"/>
        <v>0.87006711409395987</v>
      </c>
      <c r="BA260" s="12">
        <f t="shared" si="31"/>
        <v>0</v>
      </c>
      <c r="BB260" s="12">
        <f t="shared" si="36"/>
        <v>0</v>
      </c>
      <c r="BC260" s="12">
        <f t="shared" si="36"/>
        <v>0</v>
      </c>
      <c r="BD260" s="12">
        <f t="shared" si="36"/>
        <v>0</v>
      </c>
      <c r="BE260" s="12">
        <f t="shared" si="32"/>
        <v>0</v>
      </c>
      <c r="BF260" s="12">
        <f t="shared" si="33"/>
        <v>0</v>
      </c>
      <c r="BJ260" s="12" t="str">
        <f t="shared" si="34"/>
        <v/>
      </c>
      <c r="BK260" s="12">
        <f>VLOOKUP(B260,Kraftvärmeprod!$B$1:$BH$549,MATCH($BA$1,Kraftvärmeprod!$B$1:$CC$1,0),FALSE)</f>
        <v>0</v>
      </c>
    </row>
    <row r="261" spans="1:63" ht="15" customHeight="1" x14ac:dyDescent="0.25">
      <c r="A261" s="137" t="s">
        <v>552</v>
      </c>
      <c r="B261" s="137" t="s">
        <v>553</v>
      </c>
      <c r="C261" s="137">
        <v>2018</v>
      </c>
      <c r="D261" s="137">
        <v>11.13</v>
      </c>
      <c r="E261" s="137">
        <v>12.66</v>
      </c>
      <c r="F261" s="137" t="s">
        <v>193</v>
      </c>
      <c r="G261" s="137">
        <v>0.06</v>
      </c>
      <c r="H261" s="137" t="s">
        <v>193</v>
      </c>
      <c r="I261" s="137" t="s">
        <v>193</v>
      </c>
      <c r="J261" s="137" t="s">
        <v>193</v>
      </c>
      <c r="K261" s="137" t="s">
        <v>193</v>
      </c>
      <c r="L261" s="137" t="s">
        <v>193</v>
      </c>
      <c r="M261" s="137" t="s">
        <v>193</v>
      </c>
      <c r="N261" s="137" t="s">
        <v>193</v>
      </c>
      <c r="O261" s="137" t="s">
        <v>193</v>
      </c>
      <c r="P261" s="137" t="s">
        <v>193</v>
      </c>
      <c r="Q261" s="137" t="s">
        <v>193</v>
      </c>
      <c r="R261" s="137" t="s">
        <v>193</v>
      </c>
      <c r="S261" s="137" t="s">
        <v>193</v>
      </c>
      <c r="T261" s="137" t="s">
        <v>193</v>
      </c>
      <c r="U261" s="137" t="s">
        <v>193</v>
      </c>
      <c r="V261" s="137">
        <v>12.6</v>
      </c>
      <c r="W261" s="137" t="s">
        <v>193</v>
      </c>
      <c r="X261" s="137" t="s">
        <v>193</v>
      </c>
      <c r="Y261" s="137" t="s">
        <v>193</v>
      </c>
      <c r="Z261" s="137" t="s">
        <v>193</v>
      </c>
      <c r="AA261" s="137" t="s">
        <v>193</v>
      </c>
      <c r="AB261" s="137" t="s">
        <v>193</v>
      </c>
      <c r="AC261" s="137" t="s">
        <v>193</v>
      </c>
      <c r="AD261" s="137" t="s">
        <v>193</v>
      </c>
      <c r="AE261" s="137" t="s">
        <v>199</v>
      </c>
      <c r="AF261" s="137" t="s">
        <v>193</v>
      </c>
      <c r="AG261" s="137" t="s">
        <v>193</v>
      </c>
      <c r="AH261" s="137" t="s">
        <v>193</v>
      </c>
      <c r="AI261" s="137" t="s">
        <v>193</v>
      </c>
      <c r="AJ261" s="137" t="s">
        <v>193</v>
      </c>
      <c r="AK261" s="137" t="s">
        <v>193</v>
      </c>
      <c r="AL261" s="137" t="s">
        <v>193</v>
      </c>
      <c r="AM261" s="137" t="s">
        <v>193</v>
      </c>
      <c r="AN261" s="137" t="s">
        <v>193</v>
      </c>
      <c r="AO261" s="137" t="s">
        <v>193</v>
      </c>
      <c r="AP261" s="137" t="s">
        <v>193</v>
      </c>
      <c r="AQ261" s="137" t="s">
        <v>193</v>
      </c>
      <c r="AR261" s="137" t="s">
        <v>193</v>
      </c>
      <c r="AV261" s="1">
        <f t="shared" si="37"/>
        <v>12.66</v>
      </c>
      <c r="AW261" s="1">
        <f t="shared" si="30"/>
        <v>11.13</v>
      </c>
      <c r="AX261" s="13">
        <f t="shared" si="35"/>
        <v>0.87914691943127965</v>
      </c>
      <c r="BA261" s="12">
        <f t="shared" si="31"/>
        <v>0</v>
      </c>
      <c r="BB261" s="12">
        <f t="shared" si="36"/>
        <v>0</v>
      </c>
      <c r="BC261" s="12">
        <f t="shared" si="36"/>
        <v>0</v>
      </c>
      <c r="BD261" s="12">
        <f t="shared" si="36"/>
        <v>0</v>
      </c>
      <c r="BE261" s="12">
        <f t="shared" si="32"/>
        <v>0</v>
      </c>
      <c r="BF261" s="12">
        <f t="shared" si="33"/>
        <v>0</v>
      </c>
      <c r="BJ261" s="12" t="str">
        <f t="shared" si="34"/>
        <v/>
      </c>
      <c r="BK261" s="12">
        <f>VLOOKUP(B261,Kraftvärmeprod!$B$1:$BH$549,MATCH($BA$1,Kraftvärmeprod!$B$1:$CC$1,0),FALSE)</f>
        <v>0</v>
      </c>
    </row>
    <row r="262" spans="1:63" ht="15" customHeight="1" x14ac:dyDescent="0.25">
      <c r="A262" s="137" t="s">
        <v>552</v>
      </c>
      <c r="B262" s="137" t="s">
        <v>554</v>
      </c>
      <c r="C262" s="137">
        <v>2018</v>
      </c>
      <c r="D262" s="137">
        <v>105.592</v>
      </c>
      <c r="E262" s="137">
        <v>133.846</v>
      </c>
      <c r="F262" s="137" t="s">
        <v>193</v>
      </c>
      <c r="G262" s="137">
        <v>0.57999999999999996</v>
      </c>
      <c r="H262" s="137">
        <v>0.56999999999999995</v>
      </c>
      <c r="I262" s="137" t="s">
        <v>193</v>
      </c>
      <c r="J262" s="137" t="s">
        <v>193</v>
      </c>
      <c r="K262" s="137" t="s">
        <v>193</v>
      </c>
      <c r="L262" s="137" t="s">
        <v>193</v>
      </c>
      <c r="M262" s="137" t="s">
        <v>193</v>
      </c>
      <c r="N262" s="137" t="s">
        <v>193</v>
      </c>
      <c r="O262" s="137" t="s">
        <v>193</v>
      </c>
      <c r="P262" s="137">
        <v>110.845</v>
      </c>
      <c r="Q262" s="137" t="s">
        <v>193</v>
      </c>
      <c r="R262" s="137" t="s">
        <v>193</v>
      </c>
      <c r="S262" s="137" t="s">
        <v>193</v>
      </c>
      <c r="T262" s="137" t="s">
        <v>193</v>
      </c>
      <c r="U262" s="137" t="s">
        <v>193</v>
      </c>
      <c r="V262" s="137" t="s">
        <v>193</v>
      </c>
      <c r="W262" s="137" t="s">
        <v>193</v>
      </c>
      <c r="X262" s="137" t="s">
        <v>193</v>
      </c>
      <c r="Y262" s="137" t="s">
        <v>193</v>
      </c>
      <c r="Z262" s="137">
        <v>6.1820000000000004</v>
      </c>
      <c r="AA262" s="137" t="s">
        <v>193</v>
      </c>
      <c r="AB262" s="137" t="s">
        <v>193</v>
      </c>
      <c r="AC262" s="137" t="s">
        <v>193</v>
      </c>
      <c r="AD262" s="137" t="s">
        <v>193</v>
      </c>
      <c r="AE262" s="137" t="s">
        <v>199</v>
      </c>
      <c r="AF262" s="137" t="s">
        <v>193</v>
      </c>
      <c r="AG262" s="137" t="s">
        <v>193</v>
      </c>
      <c r="AH262" s="137">
        <v>15.669</v>
      </c>
      <c r="AI262" s="137" t="s">
        <v>193</v>
      </c>
      <c r="AJ262" s="137" t="s">
        <v>193</v>
      </c>
      <c r="AK262" s="137" t="s">
        <v>193</v>
      </c>
      <c r="AL262" s="137" t="s">
        <v>193</v>
      </c>
      <c r="AM262" s="137" t="s">
        <v>193</v>
      </c>
      <c r="AN262" s="137" t="s">
        <v>193</v>
      </c>
      <c r="AO262" s="137">
        <v>100</v>
      </c>
      <c r="AP262" s="137" t="s">
        <v>193</v>
      </c>
      <c r="AQ262" s="137" t="s">
        <v>193</v>
      </c>
      <c r="AR262" s="137" t="s">
        <v>193</v>
      </c>
      <c r="AV262" s="1">
        <f t="shared" si="37"/>
        <v>133.846</v>
      </c>
      <c r="AW262" s="1">
        <f t="shared" si="30"/>
        <v>105.592</v>
      </c>
      <c r="AX262" s="13">
        <f t="shared" si="35"/>
        <v>0.78890665391569414</v>
      </c>
      <c r="BA262" s="12">
        <f t="shared" si="31"/>
        <v>15.669</v>
      </c>
      <c r="BB262" s="12">
        <f t="shared" si="36"/>
        <v>15.669</v>
      </c>
      <c r="BC262" s="12">
        <f t="shared" si="36"/>
        <v>0</v>
      </c>
      <c r="BD262" s="12">
        <f t="shared" si="36"/>
        <v>0</v>
      </c>
      <c r="BE262" s="12">
        <f t="shared" si="32"/>
        <v>0</v>
      </c>
      <c r="BF262" s="12">
        <f t="shared" si="33"/>
        <v>0</v>
      </c>
      <c r="BJ262" s="12" t="str">
        <f t="shared" si="34"/>
        <v/>
      </c>
      <c r="BK262" s="12">
        <f>VLOOKUP(B262,Kraftvärmeprod!$B$1:$BH$549,MATCH($BA$1,Kraftvärmeprod!$B$1:$CC$1,0),FALSE)</f>
        <v>47.305</v>
      </c>
    </row>
    <row r="263" spans="1:63" ht="15" customHeight="1" x14ac:dyDescent="0.25">
      <c r="A263" s="137" t="s">
        <v>552</v>
      </c>
      <c r="B263" s="137" t="s">
        <v>555</v>
      </c>
      <c r="C263" s="137">
        <v>2018</v>
      </c>
      <c r="D263" s="137">
        <v>5.5250000000000004</v>
      </c>
      <c r="E263" s="137">
        <v>5.5250000000000004</v>
      </c>
      <c r="F263" s="137" t="s">
        <v>193</v>
      </c>
      <c r="G263" s="137">
        <v>0.185</v>
      </c>
      <c r="H263" s="137" t="s">
        <v>193</v>
      </c>
      <c r="I263" s="137" t="s">
        <v>193</v>
      </c>
      <c r="J263" s="137" t="s">
        <v>193</v>
      </c>
      <c r="K263" s="137" t="s">
        <v>193</v>
      </c>
      <c r="L263" s="137" t="s">
        <v>193</v>
      </c>
      <c r="M263" s="137" t="s">
        <v>193</v>
      </c>
      <c r="N263" s="137" t="s">
        <v>193</v>
      </c>
      <c r="O263" s="137" t="s">
        <v>193</v>
      </c>
      <c r="P263" s="137" t="s">
        <v>193</v>
      </c>
      <c r="Q263" s="137" t="s">
        <v>193</v>
      </c>
      <c r="R263" s="137" t="s">
        <v>193</v>
      </c>
      <c r="S263" s="137" t="s">
        <v>193</v>
      </c>
      <c r="T263" s="137" t="s">
        <v>193</v>
      </c>
      <c r="U263" s="137">
        <v>5.34</v>
      </c>
      <c r="V263" s="137" t="s">
        <v>193</v>
      </c>
      <c r="W263" s="137" t="s">
        <v>193</v>
      </c>
      <c r="X263" s="137" t="s">
        <v>193</v>
      </c>
      <c r="Y263" s="137" t="s">
        <v>193</v>
      </c>
      <c r="Z263" s="137" t="s">
        <v>193</v>
      </c>
      <c r="AA263" s="137" t="s">
        <v>193</v>
      </c>
      <c r="AB263" s="137" t="s">
        <v>193</v>
      </c>
      <c r="AC263" s="137" t="s">
        <v>193</v>
      </c>
      <c r="AD263" s="137" t="s">
        <v>193</v>
      </c>
      <c r="AE263" s="137" t="s">
        <v>199</v>
      </c>
      <c r="AF263" s="137" t="s">
        <v>193</v>
      </c>
      <c r="AG263" s="137" t="s">
        <v>193</v>
      </c>
      <c r="AH263" s="137" t="s">
        <v>193</v>
      </c>
      <c r="AI263" s="137" t="s">
        <v>193</v>
      </c>
      <c r="AJ263" s="137" t="s">
        <v>193</v>
      </c>
      <c r="AK263" s="137" t="s">
        <v>193</v>
      </c>
      <c r="AL263" s="137" t="s">
        <v>193</v>
      </c>
      <c r="AM263" s="137" t="s">
        <v>193</v>
      </c>
      <c r="AN263" s="137" t="s">
        <v>193</v>
      </c>
      <c r="AO263" s="137" t="s">
        <v>193</v>
      </c>
      <c r="AP263" s="137" t="s">
        <v>193</v>
      </c>
      <c r="AQ263" s="137" t="s">
        <v>193</v>
      </c>
      <c r="AR263" s="137" t="s">
        <v>193</v>
      </c>
      <c r="AV263" s="1">
        <f t="shared" si="37"/>
        <v>5.5249999999999995</v>
      </c>
      <c r="AW263" s="1">
        <f t="shared" si="30"/>
        <v>5.5250000000000004</v>
      </c>
      <c r="AX263" s="13">
        <f t="shared" si="35"/>
        <v>1.0000000000000002</v>
      </c>
      <c r="BA263" s="12">
        <f t="shared" si="31"/>
        <v>0</v>
      </c>
      <c r="BB263" s="12">
        <f t="shared" si="36"/>
        <v>0</v>
      </c>
      <c r="BC263" s="12">
        <f t="shared" si="36"/>
        <v>0</v>
      </c>
      <c r="BD263" s="12">
        <f t="shared" si="36"/>
        <v>0</v>
      </c>
      <c r="BE263" s="12">
        <f t="shared" si="32"/>
        <v>0</v>
      </c>
      <c r="BF263" s="12">
        <f t="shared" si="33"/>
        <v>0</v>
      </c>
      <c r="BJ263" s="12" t="str">
        <f t="shared" si="34"/>
        <v/>
      </c>
      <c r="BK263" s="12">
        <f>VLOOKUP(B263,Kraftvärmeprod!$B$1:$BH$549,MATCH($BA$1,Kraftvärmeprod!$B$1:$CC$1,0),FALSE)</f>
        <v>0</v>
      </c>
    </row>
    <row r="264" spans="1:63" ht="15" customHeight="1" x14ac:dyDescent="0.25">
      <c r="A264" s="137" t="s">
        <v>552</v>
      </c>
      <c r="B264" s="137" t="s">
        <v>556</v>
      </c>
      <c r="C264" s="137">
        <v>2018</v>
      </c>
      <c r="D264" s="137">
        <v>2.5499999999999998</v>
      </c>
      <c r="E264" s="137">
        <v>2.6259999999999999</v>
      </c>
      <c r="F264" s="137" t="s">
        <v>193</v>
      </c>
      <c r="G264" s="137">
        <v>4.5999999999999999E-2</v>
      </c>
      <c r="H264" s="137" t="s">
        <v>193</v>
      </c>
      <c r="I264" s="137" t="s">
        <v>193</v>
      </c>
      <c r="J264" s="137" t="s">
        <v>193</v>
      </c>
      <c r="K264" s="137" t="s">
        <v>193</v>
      </c>
      <c r="L264" s="137" t="s">
        <v>193</v>
      </c>
      <c r="M264" s="137" t="s">
        <v>193</v>
      </c>
      <c r="N264" s="137" t="s">
        <v>193</v>
      </c>
      <c r="O264" s="137" t="s">
        <v>193</v>
      </c>
      <c r="P264" s="137" t="s">
        <v>193</v>
      </c>
      <c r="Q264" s="137" t="s">
        <v>193</v>
      </c>
      <c r="R264" s="137" t="s">
        <v>193</v>
      </c>
      <c r="S264" s="137" t="s">
        <v>193</v>
      </c>
      <c r="T264" s="137" t="s">
        <v>193</v>
      </c>
      <c r="U264" s="137">
        <v>2.58</v>
      </c>
      <c r="V264" s="137" t="s">
        <v>193</v>
      </c>
      <c r="W264" s="137" t="s">
        <v>193</v>
      </c>
      <c r="X264" s="137" t="s">
        <v>193</v>
      </c>
      <c r="Y264" s="137" t="s">
        <v>193</v>
      </c>
      <c r="Z264" s="137" t="s">
        <v>193</v>
      </c>
      <c r="AA264" s="137" t="s">
        <v>193</v>
      </c>
      <c r="AB264" s="137" t="s">
        <v>193</v>
      </c>
      <c r="AC264" s="137" t="s">
        <v>193</v>
      </c>
      <c r="AD264" s="137" t="s">
        <v>193</v>
      </c>
      <c r="AE264" s="137" t="s">
        <v>199</v>
      </c>
      <c r="AF264" s="137" t="s">
        <v>193</v>
      </c>
      <c r="AG264" s="137" t="s">
        <v>193</v>
      </c>
      <c r="AH264" s="137" t="s">
        <v>193</v>
      </c>
      <c r="AI264" s="137" t="s">
        <v>193</v>
      </c>
      <c r="AJ264" s="137" t="s">
        <v>193</v>
      </c>
      <c r="AK264" s="137" t="s">
        <v>193</v>
      </c>
      <c r="AL264" s="137" t="s">
        <v>193</v>
      </c>
      <c r="AM264" s="137" t="s">
        <v>193</v>
      </c>
      <c r="AN264" s="137" t="s">
        <v>193</v>
      </c>
      <c r="AO264" s="137" t="s">
        <v>193</v>
      </c>
      <c r="AP264" s="137" t="s">
        <v>193</v>
      </c>
      <c r="AQ264" s="137" t="s">
        <v>193</v>
      </c>
      <c r="AR264" s="137" t="s">
        <v>193</v>
      </c>
      <c r="AV264" s="1">
        <f t="shared" si="37"/>
        <v>2.6259999999999999</v>
      </c>
      <c r="AW264" s="1">
        <f t="shared" si="30"/>
        <v>2.5499999999999998</v>
      </c>
      <c r="AX264" s="13">
        <f t="shared" si="35"/>
        <v>0.971058644325971</v>
      </c>
      <c r="BA264" s="12">
        <f t="shared" si="31"/>
        <v>0</v>
      </c>
      <c r="BB264" s="12">
        <f t="shared" si="36"/>
        <v>0</v>
      </c>
      <c r="BC264" s="12">
        <f t="shared" si="36"/>
        <v>0</v>
      </c>
      <c r="BD264" s="12">
        <f t="shared" si="36"/>
        <v>0</v>
      </c>
      <c r="BE264" s="12">
        <f t="shared" si="32"/>
        <v>0</v>
      </c>
      <c r="BF264" s="12">
        <f t="shared" si="33"/>
        <v>0</v>
      </c>
      <c r="BJ264" s="12" t="str">
        <f t="shared" si="34"/>
        <v/>
      </c>
      <c r="BK264" s="12">
        <f>VLOOKUP(B264,Kraftvärmeprod!$B$1:$BH$549,MATCH($BA$1,Kraftvärmeprod!$B$1:$CC$1,0),FALSE)</f>
        <v>0</v>
      </c>
    </row>
    <row r="265" spans="1:63" ht="15" customHeight="1" x14ac:dyDescent="0.25">
      <c r="A265" s="137" t="s">
        <v>552</v>
      </c>
      <c r="B265" s="137" t="s">
        <v>557</v>
      </c>
      <c r="C265" s="137">
        <v>2018</v>
      </c>
      <c r="D265" s="137">
        <v>4.0039999999999996</v>
      </c>
      <c r="E265" s="137">
        <v>4.0039999999999996</v>
      </c>
      <c r="F265" s="137" t="s">
        <v>193</v>
      </c>
      <c r="G265" s="137">
        <v>5.2999999999999999E-2</v>
      </c>
      <c r="H265" s="137" t="s">
        <v>193</v>
      </c>
      <c r="I265" s="137" t="s">
        <v>193</v>
      </c>
      <c r="J265" s="137" t="s">
        <v>193</v>
      </c>
      <c r="K265" s="137" t="s">
        <v>193</v>
      </c>
      <c r="L265" s="137" t="s">
        <v>193</v>
      </c>
      <c r="M265" s="137" t="s">
        <v>193</v>
      </c>
      <c r="N265" s="137" t="s">
        <v>193</v>
      </c>
      <c r="O265" s="137" t="s">
        <v>193</v>
      </c>
      <c r="P265" s="137" t="s">
        <v>193</v>
      </c>
      <c r="Q265" s="137" t="s">
        <v>193</v>
      </c>
      <c r="R265" s="137" t="s">
        <v>193</v>
      </c>
      <c r="S265" s="137" t="s">
        <v>193</v>
      </c>
      <c r="T265" s="137" t="s">
        <v>193</v>
      </c>
      <c r="U265" s="137">
        <v>3.9510000000000001</v>
      </c>
      <c r="V265" s="137" t="s">
        <v>193</v>
      </c>
      <c r="W265" s="137" t="s">
        <v>193</v>
      </c>
      <c r="X265" s="137" t="s">
        <v>193</v>
      </c>
      <c r="Y265" s="137" t="s">
        <v>193</v>
      </c>
      <c r="Z265" s="137" t="s">
        <v>193</v>
      </c>
      <c r="AA265" s="137" t="s">
        <v>193</v>
      </c>
      <c r="AB265" s="137" t="s">
        <v>193</v>
      </c>
      <c r="AC265" s="137" t="s">
        <v>193</v>
      </c>
      <c r="AD265" s="137" t="s">
        <v>193</v>
      </c>
      <c r="AE265" s="137" t="s">
        <v>199</v>
      </c>
      <c r="AF265" s="137" t="s">
        <v>193</v>
      </c>
      <c r="AG265" s="137" t="s">
        <v>193</v>
      </c>
      <c r="AH265" s="137" t="s">
        <v>193</v>
      </c>
      <c r="AI265" s="137" t="s">
        <v>193</v>
      </c>
      <c r="AJ265" s="137" t="s">
        <v>193</v>
      </c>
      <c r="AK265" s="137" t="s">
        <v>193</v>
      </c>
      <c r="AL265" s="137" t="s">
        <v>193</v>
      </c>
      <c r="AM265" s="137" t="s">
        <v>193</v>
      </c>
      <c r="AN265" s="137" t="s">
        <v>193</v>
      </c>
      <c r="AO265" s="137" t="s">
        <v>193</v>
      </c>
      <c r="AP265" s="137" t="s">
        <v>193</v>
      </c>
      <c r="AQ265" s="137" t="s">
        <v>193</v>
      </c>
      <c r="AR265" s="137" t="s">
        <v>193</v>
      </c>
      <c r="AV265" s="1">
        <f t="shared" si="37"/>
        <v>4.0040000000000004</v>
      </c>
      <c r="AW265" s="1">
        <f t="shared" si="30"/>
        <v>4.0039999999999996</v>
      </c>
      <c r="AX265" s="13">
        <f t="shared" si="35"/>
        <v>0.99999999999999978</v>
      </c>
      <c r="BA265" s="12">
        <f t="shared" si="31"/>
        <v>0</v>
      </c>
      <c r="BB265" s="12">
        <f t="shared" si="36"/>
        <v>0</v>
      </c>
      <c r="BC265" s="12">
        <f t="shared" si="36"/>
        <v>0</v>
      </c>
      <c r="BD265" s="12">
        <f t="shared" si="36"/>
        <v>0</v>
      </c>
      <c r="BE265" s="12">
        <f t="shared" si="32"/>
        <v>0</v>
      </c>
      <c r="BF265" s="12">
        <f t="shared" si="33"/>
        <v>0</v>
      </c>
      <c r="BJ265" s="12" t="str">
        <f t="shared" si="34"/>
        <v/>
      </c>
      <c r="BK265" s="12">
        <f>VLOOKUP(B265,Kraftvärmeprod!$B$1:$BH$549,MATCH($BA$1,Kraftvärmeprod!$B$1:$CC$1,0),FALSE)</f>
        <v>0</v>
      </c>
    </row>
    <row r="266" spans="1:63" ht="15" customHeight="1" x14ac:dyDescent="0.25">
      <c r="A266" s="137" t="s">
        <v>558</v>
      </c>
      <c r="B266" s="137" t="s">
        <v>559</v>
      </c>
      <c r="C266" s="137">
        <v>2018</v>
      </c>
      <c r="D266" s="137">
        <v>48.304000000000002</v>
      </c>
      <c r="E266" s="137">
        <v>21.606000000000002</v>
      </c>
      <c r="F266" s="137" t="s">
        <v>193</v>
      </c>
      <c r="G266" s="137">
        <v>0.40799999999999997</v>
      </c>
      <c r="H266" s="137" t="s">
        <v>193</v>
      </c>
      <c r="I266" s="137" t="s">
        <v>193</v>
      </c>
      <c r="J266" s="137" t="s">
        <v>193</v>
      </c>
      <c r="K266" s="137" t="s">
        <v>193</v>
      </c>
      <c r="L266" s="137" t="s">
        <v>193</v>
      </c>
      <c r="M266" s="137" t="s">
        <v>53</v>
      </c>
      <c r="N266" s="137" t="s">
        <v>193</v>
      </c>
      <c r="O266" s="137" t="s">
        <v>193</v>
      </c>
      <c r="P266" s="137" t="s">
        <v>193</v>
      </c>
      <c r="Q266" s="137" t="s">
        <v>193</v>
      </c>
      <c r="R266" s="137" t="s">
        <v>193</v>
      </c>
      <c r="S266" s="137" t="s">
        <v>193</v>
      </c>
      <c r="T266" s="137" t="s">
        <v>193</v>
      </c>
      <c r="U266" s="137">
        <v>19.085999999999999</v>
      </c>
      <c r="V266" s="137" t="s">
        <v>193</v>
      </c>
      <c r="W266" s="137" t="s">
        <v>193</v>
      </c>
      <c r="X266" s="137" t="s">
        <v>193</v>
      </c>
      <c r="Y266" s="137" t="s">
        <v>193</v>
      </c>
      <c r="Z266" s="137" t="s">
        <v>193</v>
      </c>
      <c r="AA266" s="137" t="s">
        <v>193</v>
      </c>
      <c r="AB266" s="137" t="s">
        <v>193</v>
      </c>
      <c r="AC266" s="137" t="s">
        <v>193</v>
      </c>
      <c r="AD266" s="137" t="s">
        <v>193</v>
      </c>
      <c r="AE266" s="137" t="s">
        <v>53</v>
      </c>
      <c r="AF266" s="137" t="s">
        <v>193</v>
      </c>
      <c r="AG266" s="137" t="s">
        <v>193</v>
      </c>
      <c r="AH266" s="137" t="s">
        <v>193</v>
      </c>
      <c r="AI266" s="137" t="s">
        <v>193</v>
      </c>
      <c r="AJ266" s="137" t="s">
        <v>193</v>
      </c>
      <c r="AK266" s="137" t="s">
        <v>193</v>
      </c>
      <c r="AL266" s="137">
        <v>2.1120000000000001</v>
      </c>
      <c r="AM266" s="137">
        <v>2.1120000000000001</v>
      </c>
      <c r="AN266" s="137" t="s">
        <v>53</v>
      </c>
      <c r="AO266" s="137" t="s">
        <v>193</v>
      </c>
      <c r="AP266" s="137" t="s">
        <v>193</v>
      </c>
      <c r="AQ266" s="137" t="s">
        <v>193</v>
      </c>
      <c r="AR266" s="137" t="s">
        <v>193</v>
      </c>
      <c r="AV266" s="1">
        <f t="shared" si="37"/>
        <v>21.606000000000002</v>
      </c>
      <c r="AW266" s="1">
        <f t="shared" si="30"/>
        <v>48.304000000000002</v>
      </c>
      <c r="AX266" s="13">
        <f t="shared" si="35"/>
        <v>2.2356752753864666</v>
      </c>
      <c r="BA266" s="12">
        <f t="shared" si="31"/>
        <v>0</v>
      </c>
      <c r="BB266" s="12">
        <f t="shared" si="36"/>
        <v>0</v>
      </c>
      <c r="BC266" s="12">
        <f t="shared" si="36"/>
        <v>0</v>
      </c>
      <c r="BD266" s="12">
        <f t="shared" si="36"/>
        <v>0</v>
      </c>
      <c r="BE266" s="12">
        <f t="shared" si="32"/>
        <v>0</v>
      </c>
      <c r="BF266" s="12">
        <f t="shared" si="33"/>
        <v>0</v>
      </c>
      <c r="BJ266" s="12" t="str">
        <f t="shared" si="34"/>
        <v/>
      </c>
      <c r="BK266" s="12">
        <f>VLOOKUP(B266,Kraftvärmeprod!$B$1:$BH$549,MATCH($BA$1,Kraftvärmeprod!$B$1:$CC$1,0),FALSE)</f>
        <v>0</v>
      </c>
    </row>
    <row r="267" spans="1:63" ht="15" customHeight="1" x14ac:dyDescent="0.25">
      <c r="A267" s="137" t="s">
        <v>558</v>
      </c>
      <c r="B267" s="137" t="s">
        <v>560</v>
      </c>
      <c r="C267" s="137">
        <v>2018</v>
      </c>
      <c r="D267" s="137">
        <v>9.6000000000000002E-2</v>
      </c>
      <c r="E267" s="137">
        <v>9.6000000000000002E-2</v>
      </c>
      <c r="F267" s="137" t="s">
        <v>193</v>
      </c>
      <c r="G267" s="137">
        <v>9.6000000000000002E-2</v>
      </c>
      <c r="H267" s="137" t="s">
        <v>193</v>
      </c>
      <c r="I267" s="137" t="s">
        <v>193</v>
      </c>
      <c r="J267" s="137" t="s">
        <v>193</v>
      </c>
      <c r="K267" s="137" t="s">
        <v>193</v>
      </c>
      <c r="L267" s="137" t="s">
        <v>193</v>
      </c>
      <c r="M267" s="137" t="s">
        <v>53</v>
      </c>
      <c r="N267" s="137" t="s">
        <v>193</v>
      </c>
      <c r="O267" s="137" t="s">
        <v>193</v>
      </c>
      <c r="P267" s="137" t="s">
        <v>193</v>
      </c>
      <c r="Q267" s="137" t="s">
        <v>193</v>
      </c>
      <c r="R267" s="137" t="s">
        <v>193</v>
      </c>
      <c r="S267" s="137" t="s">
        <v>193</v>
      </c>
      <c r="T267" s="137" t="s">
        <v>193</v>
      </c>
      <c r="U267" s="137" t="s">
        <v>193</v>
      </c>
      <c r="V267" s="137" t="s">
        <v>193</v>
      </c>
      <c r="W267" s="137" t="s">
        <v>193</v>
      </c>
      <c r="X267" s="137" t="s">
        <v>193</v>
      </c>
      <c r="Y267" s="137" t="s">
        <v>193</v>
      </c>
      <c r="Z267" s="137" t="s">
        <v>193</v>
      </c>
      <c r="AA267" s="137" t="s">
        <v>193</v>
      </c>
      <c r="AB267" s="137" t="s">
        <v>193</v>
      </c>
      <c r="AC267" s="137" t="s">
        <v>193</v>
      </c>
      <c r="AD267" s="137" t="s">
        <v>193</v>
      </c>
      <c r="AE267" s="137" t="s">
        <v>53</v>
      </c>
      <c r="AF267" s="137" t="s">
        <v>193</v>
      </c>
      <c r="AG267" s="137" t="s">
        <v>193</v>
      </c>
      <c r="AH267" s="137" t="s">
        <v>193</v>
      </c>
      <c r="AI267" s="137" t="s">
        <v>193</v>
      </c>
      <c r="AJ267" s="137" t="s">
        <v>193</v>
      </c>
      <c r="AK267" s="137" t="s">
        <v>193</v>
      </c>
      <c r="AL267" s="137" t="s">
        <v>193</v>
      </c>
      <c r="AM267" s="137" t="s">
        <v>193</v>
      </c>
      <c r="AN267" s="137" t="s">
        <v>53</v>
      </c>
      <c r="AO267" s="137" t="s">
        <v>193</v>
      </c>
      <c r="AP267" s="137" t="s">
        <v>193</v>
      </c>
      <c r="AQ267" s="137" t="s">
        <v>193</v>
      </c>
      <c r="AR267" s="137" t="s">
        <v>193</v>
      </c>
      <c r="AV267" s="1">
        <f t="shared" si="37"/>
        <v>9.6000000000000002E-2</v>
      </c>
      <c r="AW267" s="1">
        <f t="shared" si="30"/>
        <v>9.6000000000000002E-2</v>
      </c>
      <c r="AX267" s="13">
        <f t="shared" si="35"/>
        <v>1</v>
      </c>
      <c r="BA267" s="12">
        <f t="shared" si="31"/>
        <v>0</v>
      </c>
      <c r="BB267" s="12">
        <f t="shared" si="36"/>
        <v>0</v>
      </c>
      <c r="BC267" s="12">
        <f t="shared" si="36"/>
        <v>0</v>
      </c>
      <c r="BD267" s="12">
        <f t="shared" si="36"/>
        <v>0</v>
      </c>
      <c r="BE267" s="12">
        <f t="shared" si="32"/>
        <v>0</v>
      </c>
      <c r="BF267" s="12">
        <f t="shared" si="33"/>
        <v>0</v>
      </c>
      <c r="BJ267" s="12" t="str">
        <f t="shared" si="34"/>
        <v/>
      </c>
      <c r="BK267" s="12">
        <f>VLOOKUP(B267,Kraftvärmeprod!$B$1:$BH$549,MATCH($BA$1,Kraftvärmeprod!$B$1:$CC$1,0),FALSE)</f>
        <v>0</v>
      </c>
    </row>
    <row r="268" spans="1:63" ht="15" customHeight="1" x14ac:dyDescent="0.25">
      <c r="A268" s="137" t="s">
        <v>561</v>
      </c>
      <c r="B268" s="137" t="s">
        <v>562</v>
      </c>
      <c r="C268" s="137">
        <v>2018</v>
      </c>
      <c r="D268" s="137" t="s">
        <v>193</v>
      </c>
      <c r="E268" s="137" t="s">
        <v>193</v>
      </c>
      <c r="F268" s="137" t="s">
        <v>193</v>
      </c>
      <c r="G268" s="137" t="s">
        <v>193</v>
      </c>
      <c r="H268" s="137" t="s">
        <v>193</v>
      </c>
      <c r="I268" s="137" t="s">
        <v>193</v>
      </c>
      <c r="J268" s="137" t="s">
        <v>193</v>
      </c>
      <c r="K268" s="137" t="s">
        <v>193</v>
      </c>
      <c r="L268" s="137" t="s">
        <v>193</v>
      </c>
      <c r="M268" s="137" t="s">
        <v>53</v>
      </c>
      <c r="N268" s="137" t="s">
        <v>193</v>
      </c>
      <c r="O268" s="137" t="s">
        <v>193</v>
      </c>
      <c r="P268" s="137" t="s">
        <v>193</v>
      </c>
      <c r="Q268" s="137" t="s">
        <v>193</v>
      </c>
      <c r="R268" s="137" t="s">
        <v>193</v>
      </c>
      <c r="S268" s="137" t="s">
        <v>193</v>
      </c>
      <c r="T268" s="137" t="s">
        <v>193</v>
      </c>
      <c r="U268" s="137" t="s">
        <v>193</v>
      </c>
      <c r="V268" s="137" t="s">
        <v>193</v>
      </c>
      <c r="W268" s="137" t="s">
        <v>193</v>
      </c>
      <c r="X268" s="137" t="s">
        <v>193</v>
      </c>
      <c r="Y268" s="137" t="s">
        <v>193</v>
      </c>
      <c r="Z268" s="137" t="s">
        <v>193</v>
      </c>
      <c r="AA268" s="137" t="s">
        <v>193</v>
      </c>
      <c r="AB268" s="137" t="s">
        <v>193</v>
      </c>
      <c r="AC268" s="137" t="s">
        <v>193</v>
      </c>
      <c r="AD268" s="137" t="s">
        <v>193</v>
      </c>
      <c r="AE268" s="137" t="s">
        <v>53</v>
      </c>
      <c r="AF268" s="137" t="s">
        <v>193</v>
      </c>
      <c r="AG268" s="137" t="s">
        <v>193</v>
      </c>
      <c r="AH268" s="137" t="s">
        <v>193</v>
      </c>
      <c r="AI268" s="137" t="s">
        <v>193</v>
      </c>
      <c r="AJ268" s="137" t="s">
        <v>193</v>
      </c>
      <c r="AK268" s="137" t="s">
        <v>193</v>
      </c>
      <c r="AL268" s="137" t="s">
        <v>193</v>
      </c>
      <c r="AM268" s="137" t="s">
        <v>193</v>
      </c>
      <c r="AN268" s="137" t="s">
        <v>53</v>
      </c>
      <c r="AO268" s="137" t="s">
        <v>193</v>
      </c>
      <c r="AP268" s="137" t="s">
        <v>193</v>
      </c>
      <c r="AQ268" s="137" t="s">
        <v>193</v>
      </c>
      <c r="AR268" s="137" t="s">
        <v>193</v>
      </c>
      <c r="AV268" s="1">
        <f t="shared" si="37"/>
        <v>0</v>
      </c>
      <c r="AW268" s="1">
        <f t="shared" si="30"/>
        <v>0</v>
      </c>
      <c r="AX268" s="13" t="str">
        <f t="shared" si="35"/>
        <v/>
      </c>
      <c r="BA268" s="12">
        <f t="shared" si="31"/>
        <v>0</v>
      </c>
      <c r="BB268" s="12">
        <f t="shared" si="36"/>
        <v>0</v>
      </c>
      <c r="BC268" s="12">
        <f t="shared" si="36"/>
        <v>0</v>
      </c>
      <c r="BD268" s="12">
        <f t="shared" si="36"/>
        <v>0</v>
      </c>
      <c r="BE268" s="12">
        <f t="shared" si="32"/>
        <v>0</v>
      </c>
      <c r="BF268" s="12">
        <f t="shared" si="33"/>
        <v>0</v>
      </c>
      <c r="BJ268" s="12" t="str">
        <f t="shared" si="34"/>
        <v/>
      </c>
      <c r="BK268" s="12">
        <f>VLOOKUP(B268,Kraftvärmeprod!$B$1:$BH$549,MATCH($BA$1,Kraftvärmeprod!$B$1:$CC$1,0),FALSE)</f>
        <v>0</v>
      </c>
    </row>
    <row r="269" spans="1:63" ht="15" customHeight="1" x14ac:dyDescent="0.25">
      <c r="A269" s="137" t="s">
        <v>563</v>
      </c>
      <c r="B269" s="137" t="s">
        <v>564</v>
      </c>
      <c r="C269" s="137">
        <v>2018</v>
      </c>
      <c r="D269" s="137" t="s">
        <v>53</v>
      </c>
      <c r="E269" s="137" t="s">
        <v>53</v>
      </c>
      <c r="F269" s="137" t="s">
        <v>53</v>
      </c>
      <c r="G269" s="137" t="s">
        <v>53</v>
      </c>
      <c r="H269" s="137" t="s">
        <v>53</v>
      </c>
      <c r="I269" s="137" t="s">
        <v>53</v>
      </c>
      <c r="J269" s="137" t="s">
        <v>53</v>
      </c>
      <c r="K269" s="137" t="s">
        <v>53</v>
      </c>
      <c r="L269" s="137" t="s">
        <v>53</v>
      </c>
      <c r="M269" s="137" t="s">
        <v>53</v>
      </c>
      <c r="N269" s="137" t="s">
        <v>53</v>
      </c>
      <c r="O269" s="137" t="s">
        <v>53</v>
      </c>
      <c r="P269" s="137" t="s">
        <v>53</v>
      </c>
      <c r="Q269" s="137" t="s">
        <v>53</v>
      </c>
      <c r="R269" s="137" t="s">
        <v>53</v>
      </c>
      <c r="S269" s="137" t="s">
        <v>53</v>
      </c>
      <c r="T269" s="137" t="s">
        <v>53</v>
      </c>
      <c r="U269" s="137" t="s">
        <v>53</v>
      </c>
      <c r="V269" s="137" t="s">
        <v>53</v>
      </c>
      <c r="W269" s="137" t="s">
        <v>53</v>
      </c>
      <c r="X269" s="137" t="s">
        <v>53</v>
      </c>
      <c r="Y269" s="137" t="s">
        <v>53</v>
      </c>
      <c r="Z269" s="137" t="s">
        <v>53</v>
      </c>
      <c r="AA269" s="137" t="s">
        <v>53</v>
      </c>
      <c r="AB269" s="137" t="s">
        <v>53</v>
      </c>
      <c r="AC269" s="137" t="s">
        <v>53</v>
      </c>
      <c r="AD269" s="137" t="s">
        <v>53</v>
      </c>
      <c r="AE269" s="137" t="s">
        <v>53</v>
      </c>
      <c r="AF269" s="137" t="s">
        <v>53</v>
      </c>
      <c r="AG269" s="137" t="s">
        <v>53</v>
      </c>
      <c r="AH269" s="137" t="s">
        <v>53</v>
      </c>
      <c r="AI269" s="137" t="s">
        <v>53</v>
      </c>
      <c r="AJ269" s="137" t="s">
        <v>53</v>
      </c>
      <c r="AK269" s="137" t="s">
        <v>53</v>
      </c>
      <c r="AL269" s="137" t="s">
        <v>53</v>
      </c>
      <c r="AM269" s="137" t="s">
        <v>53</v>
      </c>
      <c r="AN269" s="137" t="s">
        <v>53</v>
      </c>
      <c r="AO269" s="137" t="s">
        <v>53</v>
      </c>
      <c r="AP269" s="137" t="s">
        <v>53</v>
      </c>
      <c r="AQ269" s="137" t="s">
        <v>53</v>
      </c>
      <c r="AR269" s="137" t="s">
        <v>53</v>
      </c>
      <c r="AV269" s="1">
        <f t="shared" si="37"/>
        <v>0</v>
      </c>
      <c r="AW269" s="1">
        <f t="shared" si="30"/>
        <v>0</v>
      </c>
      <c r="AX269" s="13" t="str">
        <f t="shared" si="35"/>
        <v/>
      </c>
      <c r="BA269" s="12">
        <f t="shared" si="31"/>
        <v>0</v>
      </c>
      <c r="BB269" s="12">
        <f t="shared" si="36"/>
        <v>0</v>
      </c>
      <c r="BC269" s="12">
        <f t="shared" si="36"/>
        <v>0</v>
      </c>
      <c r="BD269" s="12">
        <f t="shared" si="36"/>
        <v>0</v>
      </c>
      <c r="BE269" s="12">
        <f t="shared" si="32"/>
        <v>0</v>
      </c>
      <c r="BF269" s="12">
        <f t="shared" si="33"/>
        <v>0</v>
      </c>
      <c r="BJ269" s="12" t="str">
        <f t="shared" si="34"/>
        <v/>
      </c>
      <c r="BK269" s="12">
        <f>VLOOKUP(B269,Kraftvärmeprod!$B$1:$BH$549,MATCH($BA$1,Kraftvärmeprod!$B$1:$CC$1,0),FALSE)</f>
        <v>0</v>
      </c>
    </row>
    <row r="270" spans="1:63" ht="15" customHeight="1" x14ac:dyDescent="0.25">
      <c r="A270" s="137" t="s">
        <v>565</v>
      </c>
      <c r="B270" s="137" t="s">
        <v>566</v>
      </c>
      <c r="C270" s="137">
        <v>2018</v>
      </c>
      <c r="D270" s="137">
        <v>141.30000000000001</v>
      </c>
      <c r="E270" s="137">
        <v>159.9</v>
      </c>
      <c r="F270" s="137">
        <v>0</v>
      </c>
      <c r="G270" s="137">
        <v>0</v>
      </c>
      <c r="H270" s="137">
        <v>0</v>
      </c>
      <c r="I270" s="137">
        <v>0</v>
      </c>
      <c r="J270" s="137">
        <v>0</v>
      </c>
      <c r="K270" s="137">
        <v>0</v>
      </c>
      <c r="L270" s="137">
        <v>0</v>
      </c>
      <c r="M270" s="137" t="s">
        <v>193</v>
      </c>
      <c r="N270" s="137">
        <v>8.26</v>
      </c>
      <c r="O270" s="137">
        <v>20.96</v>
      </c>
      <c r="P270" s="137">
        <v>24.77</v>
      </c>
      <c r="Q270" s="137">
        <v>73.040000000000006</v>
      </c>
      <c r="R270" s="137">
        <v>0</v>
      </c>
      <c r="S270" s="137">
        <v>0</v>
      </c>
      <c r="T270" s="137" t="s">
        <v>194</v>
      </c>
      <c r="U270" s="137">
        <v>0</v>
      </c>
      <c r="V270" s="137">
        <v>0</v>
      </c>
      <c r="W270" s="137">
        <v>0</v>
      </c>
      <c r="X270" s="137">
        <v>0</v>
      </c>
      <c r="Y270" s="137">
        <v>0</v>
      </c>
      <c r="Z270" s="137">
        <v>3.24</v>
      </c>
      <c r="AA270" s="137">
        <v>0</v>
      </c>
      <c r="AB270" s="137">
        <v>0</v>
      </c>
      <c r="AC270" s="137">
        <v>0</v>
      </c>
      <c r="AD270" s="137">
        <v>0</v>
      </c>
      <c r="AE270" s="137" t="s">
        <v>199</v>
      </c>
      <c r="AF270" s="137" t="s">
        <v>193</v>
      </c>
      <c r="AG270" s="137">
        <v>0</v>
      </c>
      <c r="AH270" s="137">
        <v>29.63</v>
      </c>
      <c r="AI270" s="137">
        <v>0</v>
      </c>
      <c r="AJ270" s="137" t="s">
        <v>240</v>
      </c>
      <c r="AK270" s="137">
        <v>0</v>
      </c>
      <c r="AL270" s="137">
        <v>0</v>
      </c>
      <c r="AM270" s="137">
        <v>0</v>
      </c>
      <c r="AN270" s="137" t="s">
        <v>219</v>
      </c>
      <c r="AO270" s="137">
        <v>100</v>
      </c>
      <c r="AP270" s="137">
        <v>0</v>
      </c>
      <c r="AQ270" s="137">
        <v>0</v>
      </c>
      <c r="AR270" s="137">
        <v>0</v>
      </c>
      <c r="AV270" s="1">
        <f t="shared" si="37"/>
        <v>159.9</v>
      </c>
      <c r="AW270" s="1">
        <f t="shared" si="30"/>
        <v>141.30000000000001</v>
      </c>
      <c r="AX270" s="13">
        <f t="shared" si="35"/>
        <v>0.8836772983114447</v>
      </c>
      <c r="BA270" s="12">
        <f t="shared" si="31"/>
        <v>29.63</v>
      </c>
      <c r="BB270" s="12">
        <f t="shared" si="36"/>
        <v>29.63</v>
      </c>
      <c r="BC270" s="12">
        <f t="shared" si="36"/>
        <v>0</v>
      </c>
      <c r="BD270" s="12">
        <f t="shared" si="36"/>
        <v>0</v>
      </c>
      <c r="BE270" s="12">
        <f t="shared" si="32"/>
        <v>0</v>
      </c>
      <c r="BF270" s="12">
        <f t="shared" si="33"/>
        <v>0</v>
      </c>
      <c r="BJ270" s="12" t="str">
        <f t="shared" si="34"/>
        <v/>
      </c>
      <c r="BK270" s="12">
        <f>VLOOKUP(B270,Kraftvärmeprod!$B$1:$BH$549,MATCH($BA$1,Kraftvärmeprod!$B$1:$CC$1,0),FALSE)</f>
        <v>0</v>
      </c>
    </row>
    <row r="271" spans="1:63" ht="15" customHeight="1" x14ac:dyDescent="0.25">
      <c r="A271" s="137" t="s">
        <v>565</v>
      </c>
      <c r="B271" s="137" t="s">
        <v>567</v>
      </c>
      <c r="C271" s="137">
        <v>2018</v>
      </c>
      <c r="D271" s="137">
        <v>25.05</v>
      </c>
      <c r="E271" s="137">
        <v>29.28</v>
      </c>
      <c r="F271" s="137">
        <v>0</v>
      </c>
      <c r="G271" s="137">
        <v>0</v>
      </c>
      <c r="H271" s="137">
        <v>0</v>
      </c>
      <c r="I271" s="137">
        <v>0</v>
      </c>
      <c r="J271" s="137">
        <v>0</v>
      </c>
      <c r="K271" s="137">
        <v>0</v>
      </c>
      <c r="L271" s="137">
        <v>0</v>
      </c>
      <c r="M271" s="137" t="s">
        <v>193</v>
      </c>
      <c r="N271" s="137">
        <v>11.27</v>
      </c>
      <c r="O271" s="137">
        <v>6.57</v>
      </c>
      <c r="P271" s="137">
        <v>1.17</v>
      </c>
      <c r="Q271" s="137">
        <v>4.46</v>
      </c>
      <c r="R271" s="137">
        <v>0</v>
      </c>
      <c r="S271" s="137">
        <v>0</v>
      </c>
      <c r="T271" s="137" t="s">
        <v>194</v>
      </c>
      <c r="U271" s="137">
        <v>0</v>
      </c>
      <c r="V271" s="137">
        <v>0</v>
      </c>
      <c r="W271" s="137">
        <v>0</v>
      </c>
      <c r="X271" s="137">
        <v>0</v>
      </c>
      <c r="Y271" s="137">
        <v>0</v>
      </c>
      <c r="Z271" s="137">
        <v>0.81</v>
      </c>
      <c r="AA271" s="137">
        <v>0</v>
      </c>
      <c r="AB271" s="137">
        <v>0</v>
      </c>
      <c r="AC271" s="137">
        <v>0</v>
      </c>
      <c r="AD271" s="137">
        <v>0</v>
      </c>
      <c r="AE271" s="137" t="s">
        <v>199</v>
      </c>
      <c r="AF271" s="137" t="s">
        <v>193</v>
      </c>
      <c r="AG271" s="137">
        <v>0</v>
      </c>
      <c r="AH271" s="137">
        <v>5</v>
      </c>
      <c r="AI271" s="137">
        <v>0</v>
      </c>
      <c r="AJ271" s="137" t="s">
        <v>193</v>
      </c>
      <c r="AK271" s="137">
        <v>0</v>
      </c>
      <c r="AL271" s="137">
        <v>0</v>
      </c>
      <c r="AM271" s="137">
        <v>0</v>
      </c>
      <c r="AN271" s="137" t="s">
        <v>219</v>
      </c>
      <c r="AO271" s="137">
        <v>100</v>
      </c>
      <c r="AP271" s="137">
        <v>0</v>
      </c>
      <c r="AQ271" s="137">
        <v>0</v>
      </c>
      <c r="AR271" s="137">
        <v>0</v>
      </c>
      <c r="AV271" s="1">
        <f t="shared" si="37"/>
        <v>29.279999999999998</v>
      </c>
      <c r="AW271" s="1">
        <f t="shared" si="30"/>
        <v>25.05</v>
      </c>
      <c r="AX271" s="13">
        <f t="shared" si="35"/>
        <v>0.85553278688524603</v>
      </c>
      <c r="BA271" s="12">
        <f t="shared" si="31"/>
        <v>5</v>
      </c>
      <c r="BB271" s="12">
        <f t="shared" si="36"/>
        <v>5</v>
      </c>
      <c r="BC271" s="12">
        <f t="shared" si="36"/>
        <v>0</v>
      </c>
      <c r="BD271" s="12">
        <f t="shared" si="36"/>
        <v>0</v>
      </c>
      <c r="BE271" s="12">
        <f t="shared" si="32"/>
        <v>0</v>
      </c>
      <c r="BF271" s="12">
        <f t="shared" si="33"/>
        <v>0</v>
      </c>
      <c r="BJ271" s="12" t="str">
        <f t="shared" si="34"/>
        <v/>
      </c>
      <c r="BK271" s="12">
        <f>VLOOKUP(B271,Kraftvärmeprod!$B$1:$BH$549,MATCH($BA$1,Kraftvärmeprod!$B$1:$CC$1,0),FALSE)</f>
        <v>0</v>
      </c>
    </row>
    <row r="272" spans="1:63" ht="15" customHeight="1" x14ac:dyDescent="0.25">
      <c r="A272" s="137" t="s">
        <v>565</v>
      </c>
      <c r="B272" s="137" t="s">
        <v>568</v>
      </c>
      <c r="C272" s="137">
        <v>2018</v>
      </c>
      <c r="D272" s="137">
        <v>11.13</v>
      </c>
      <c r="E272" s="137">
        <v>12.77</v>
      </c>
      <c r="F272" s="137">
        <v>0</v>
      </c>
      <c r="G272" s="137">
        <v>0.31</v>
      </c>
      <c r="H272" s="137">
        <v>0</v>
      </c>
      <c r="I272" s="137">
        <v>0</v>
      </c>
      <c r="J272" s="137">
        <v>0</v>
      </c>
      <c r="K272" s="137">
        <v>0</v>
      </c>
      <c r="L272" s="137">
        <v>0</v>
      </c>
      <c r="M272" s="137" t="s">
        <v>193</v>
      </c>
      <c r="N272" s="137">
        <v>4.03</v>
      </c>
      <c r="O272" s="137">
        <v>0</v>
      </c>
      <c r="P272" s="137">
        <v>6.57</v>
      </c>
      <c r="Q272" s="137">
        <v>0</v>
      </c>
      <c r="R272" s="137">
        <v>0</v>
      </c>
      <c r="S272" s="137">
        <v>0</v>
      </c>
      <c r="T272" s="137" t="s">
        <v>194</v>
      </c>
      <c r="U272" s="137">
        <v>0</v>
      </c>
      <c r="V272" s="137">
        <v>0</v>
      </c>
      <c r="W272" s="137">
        <v>0</v>
      </c>
      <c r="X272" s="137">
        <v>0</v>
      </c>
      <c r="Y272" s="137">
        <v>0</v>
      </c>
      <c r="Z272" s="137">
        <v>0.47</v>
      </c>
      <c r="AA272" s="137">
        <v>0</v>
      </c>
      <c r="AB272" s="137">
        <v>0</v>
      </c>
      <c r="AC272" s="137">
        <v>0</v>
      </c>
      <c r="AD272" s="137">
        <v>0</v>
      </c>
      <c r="AE272" s="137" t="s">
        <v>199</v>
      </c>
      <c r="AF272" s="137" t="s">
        <v>193</v>
      </c>
      <c r="AG272" s="137">
        <v>0</v>
      </c>
      <c r="AH272" s="137">
        <v>1.39</v>
      </c>
      <c r="AI272" s="137">
        <v>0</v>
      </c>
      <c r="AJ272" s="137" t="s">
        <v>193</v>
      </c>
      <c r="AK272" s="137">
        <v>0</v>
      </c>
      <c r="AL272" s="137">
        <v>0</v>
      </c>
      <c r="AM272" s="137">
        <v>0</v>
      </c>
      <c r="AN272" s="137" t="s">
        <v>219</v>
      </c>
      <c r="AO272" s="137">
        <v>100</v>
      </c>
      <c r="AP272" s="137">
        <v>0</v>
      </c>
      <c r="AQ272" s="137">
        <v>0</v>
      </c>
      <c r="AR272" s="137">
        <v>0</v>
      </c>
      <c r="AV272" s="1">
        <f t="shared" si="37"/>
        <v>12.770000000000001</v>
      </c>
      <c r="AW272" s="1">
        <f t="shared" si="30"/>
        <v>11.13</v>
      </c>
      <c r="AX272" s="13">
        <f t="shared" si="35"/>
        <v>0.87157400156617071</v>
      </c>
      <c r="BA272" s="12">
        <f t="shared" si="31"/>
        <v>1.39</v>
      </c>
      <c r="BB272" s="12">
        <f t="shared" si="36"/>
        <v>1.39</v>
      </c>
      <c r="BC272" s="12">
        <f t="shared" si="36"/>
        <v>0</v>
      </c>
      <c r="BD272" s="12">
        <f t="shared" si="36"/>
        <v>0</v>
      </c>
      <c r="BE272" s="12">
        <f t="shared" si="32"/>
        <v>0</v>
      </c>
      <c r="BF272" s="12">
        <f t="shared" si="33"/>
        <v>0</v>
      </c>
      <c r="BJ272" s="12" t="str">
        <f t="shared" si="34"/>
        <v/>
      </c>
      <c r="BK272" s="12">
        <f>VLOOKUP(B272,Kraftvärmeprod!$B$1:$BH$549,MATCH($BA$1,Kraftvärmeprod!$B$1:$CC$1,0),FALSE)</f>
        <v>0</v>
      </c>
    </row>
    <row r="273" spans="1:63" ht="15" customHeight="1" x14ac:dyDescent="0.25">
      <c r="A273" s="137" t="s">
        <v>565</v>
      </c>
      <c r="B273" s="137" t="s">
        <v>569</v>
      </c>
      <c r="C273" s="137">
        <v>2018</v>
      </c>
      <c r="D273" s="137">
        <v>48.27</v>
      </c>
      <c r="E273" s="137">
        <v>52.722999999999999</v>
      </c>
      <c r="F273" s="137">
        <v>0</v>
      </c>
      <c r="G273" s="137">
        <v>6.3E-2</v>
      </c>
      <c r="H273" s="137">
        <v>0</v>
      </c>
      <c r="I273" s="137">
        <v>0</v>
      </c>
      <c r="J273" s="137">
        <v>0</v>
      </c>
      <c r="K273" s="137">
        <v>0</v>
      </c>
      <c r="L273" s="137">
        <v>0</v>
      </c>
      <c r="M273" s="137" t="s">
        <v>193</v>
      </c>
      <c r="N273" s="137">
        <v>3.41</v>
      </c>
      <c r="O273" s="137">
        <v>11.07</v>
      </c>
      <c r="P273" s="137">
        <v>25.54</v>
      </c>
      <c r="Q273" s="137">
        <v>2.5499999999999998</v>
      </c>
      <c r="R273" s="137">
        <v>0</v>
      </c>
      <c r="S273" s="137">
        <v>0</v>
      </c>
      <c r="T273" s="137" t="s">
        <v>194</v>
      </c>
      <c r="U273" s="137">
        <v>0</v>
      </c>
      <c r="V273" s="137">
        <v>0</v>
      </c>
      <c r="W273" s="137">
        <v>0</v>
      </c>
      <c r="X273" s="137">
        <v>0</v>
      </c>
      <c r="Y273" s="137">
        <v>0</v>
      </c>
      <c r="Z273" s="137">
        <v>3.55</v>
      </c>
      <c r="AA273" s="137">
        <v>0</v>
      </c>
      <c r="AB273" s="137">
        <v>0</v>
      </c>
      <c r="AC273" s="137">
        <v>0</v>
      </c>
      <c r="AD273" s="137">
        <v>0</v>
      </c>
      <c r="AE273" s="137" t="s">
        <v>199</v>
      </c>
      <c r="AF273" s="137" t="s">
        <v>193</v>
      </c>
      <c r="AG273" s="137">
        <v>0</v>
      </c>
      <c r="AH273" s="137">
        <v>6.54</v>
      </c>
      <c r="AI273" s="137">
        <v>0</v>
      </c>
      <c r="AJ273" s="137" t="s">
        <v>193</v>
      </c>
      <c r="AK273" s="137">
        <v>0</v>
      </c>
      <c r="AL273" s="137">
        <v>0</v>
      </c>
      <c r="AM273" s="137">
        <v>0</v>
      </c>
      <c r="AN273" s="137" t="s">
        <v>219</v>
      </c>
      <c r="AO273" s="137">
        <v>100</v>
      </c>
      <c r="AP273" s="137">
        <v>0</v>
      </c>
      <c r="AQ273" s="137">
        <v>0</v>
      </c>
      <c r="AR273" s="137">
        <v>0</v>
      </c>
      <c r="AV273" s="1">
        <f t="shared" si="37"/>
        <v>52.722999999999992</v>
      </c>
      <c r="AW273" s="1">
        <f t="shared" si="30"/>
        <v>48.27</v>
      </c>
      <c r="AX273" s="13">
        <f t="shared" si="35"/>
        <v>0.91553970752802405</v>
      </c>
      <c r="BA273" s="12">
        <f t="shared" si="31"/>
        <v>6.54</v>
      </c>
      <c r="BB273" s="12">
        <f t="shared" si="36"/>
        <v>6.54</v>
      </c>
      <c r="BC273" s="12">
        <f t="shared" si="36"/>
        <v>0</v>
      </c>
      <c r="BD273" s="12">
        <f t="shared" si="36"/>
        <v>0</v>
      </c>
      <c r="BE273" s="12">
        <f t="shared" si="32"/>
        <v>0</v>
      </c>
      <c r="BF273" s="12">
        <f t="shared" si="33"/>
        <v>0</v>
      </c>
      <c r="BJ273" s="12" t="str">
        <f t="shared" si="34"/>
        <v/>
      </c>
      <c r="BK273" s="12">
        <f>VLOOKUP(B273,Kraftvärmeprod!$B$1:$BH$549,MATCH($BA$1,Kraftvärmeprod!$B$1:$CC$1,0),FALSE)</f>
        <v>0</v>
      </c>
    </row>
    <row r="274" spans="1:63" ht="15" customHeight="1" x14ac:dyDescent="0.25">
      <c r="A274" s="137" t="s">
        <v>570</v>
      </c>
      <c r="B274" s="137" t="s">
        <v>571</v>
      </c>
      <c r="C274" s="137">
        <v>2018</v>
      </c>
      <c r="D274" s="137">
        <v>93.6</v>
      </c>
      <c r="E274" s="137">
        <v>4.5140000000000002</v>
      </c>
      <c r="F274" s="137" t="s">
        <v>193</v>
      </c>
      <c r="G274" s="137">
        <v>3.0000000000000001E-3</v>
      </c>
      <c r="H274" s="137" t="s">
        <v>193</v>
      </c>
      <c r="I274" s="137" t="s">
        <v>193</v>
      </c>
      <c r="J274" s="137">
        <v>2.58</v>
      </c>
      <c r="K274" s="137" t="s">
        <v>193</v>
      </c>
      <c r="L274" s="137" t="s">
        <v>193</v>
      </c>
      <c r="M274" s="137" t="s">
        <v>219</v>
      </c>
      <c r="N274" s="137" t="s">
        <v>193</v>
      </c>
      <c r="O274" s="137" t="s">
        <v>193</v>
      </c>
      <c r="P274" s="137" t="s">
        <v>193</v>
      </c>
      <c r="Q274" s="137" t="s">
        <v>193</v>
      </c>
      <c r="R274" s="137" t="s">
        <v>193</v>
      </c>
      <c r="S274" s="137" t="s">
        <v>193</v>
      </c>
      <c r="T274" s="137" t="s">
        <v>193</v>
      </c>
      <c r="U274" s="137" t="s">
        <v>193</v>
      </c>
      <c r="V274" s="137" t="s">
        <v>193</v>
      </c>
      <c r="W274" s="137" t="s">
        <v>193</v>
      </c>
      <c r="X274" s="137" t="s">
        <v>193</v>
      </c>
      <c r="Y274" s="137" t="s">
        <v>193</v>
      </c>
      <c r="Z274" s="137" t="s">
        <v>193</v>
      </c>
      <c r="AA274" s="137" t="s">
        <v>193</v>
      </c>
      <c r="AB274" s="137" t="s">
        <v>193</v>
      </c>
      <c r="AC274" s="137" t="s">
        <v>193</v>
      </c>
      <c r="AD274" s="137" t="s">
        <v>193</v>
      </c>
      <c r="AE274" s="137" t="s">
        <v>199</v>
      </c>
      <c r="AF274" s="137" t="s">
        <v>193</v>
      </c>
      <c r="AG274" s="137">
        <v>1.931</v>
      </c>
      <c r="AH274" s="137" t="s">
        <v>193</v>
      </c>
      <c r="AI274" s="137" t="s">
        <v>193</v>
      </c>
      <c r="AJ274" s="137" t="s">
        <v>193</v>
      </c>
      <c r="AK274" s="137" t="s">
        <v>193</v>
      </c>
      <c r="AL274" s="137" t="s">
        <v>193</v>
      </c>
      <c r="AM274" s="137" t="s">
        <v>193</v>
      </c>
      <c r="AN274" s="137" t="s">
        <v>219</v>
      </c>
      <c r="AO274" s="137" t="s">
        <v>193</v>
      </c>
      <c r="AP274" s="137" t="s">
        <v>193</v>
      </c>
      <c r="AQ274" s="137" t="s">
        <v>193</v>
      </c>
      <c r="AR274" s="137" t="s">
        <v>193</v>
      </c>
      <c r="AV274" s="1">
        <f t="shared" si="37"/>
        <v>4.5140000000000002</v>
      </c>
      <c r="AW274" s="1">
        <f t="shared" si="30"/>
        <v>93.6</v>
      </c>
      <c r="AX274" s="13">
        <f t="shared" si="35"/>
        <v>20.735489587948603</v>
      </c>
      <c r="BA274" s="12">
        <f t="shared" si="31"/>
        <v>0</v>
      </c>
      <c r="BB274" s="12">
        <f t="shared" si="36"/>
        <v>0</v>
      </c>
      <c r="BC274" s="12">
        <f t="shared" si="36"/>
        <v>0</v>
      </c>
      <c r="BD274" s="12">
        <f t="shared" si="36"/>
        <v>0</v>
      </c>
      <c r="BE274" s="12">
        <f t="shared" si="32"/>
        <v>0</v>
      </c>
      <c r="BF274" s="12">
        <f t="shared" si="33"/>
        <v>0</v>
      </c>
      <c r="BJ274" s="12" t="str">
        <f t="shared" si="34"/>
        <v/>
      </c>
      <c r="BK274" s="12">
        <f>VLOOKUP(B274,Kraftvärmeprod!$B$1:$BH$549,MATCH($BA$1,Kraftvärmeprod!$B$1:$CC$1,0),FALSE)</f>
        <v>0</v>
      </c>
    </row>
    <row r="275" spans="1:63" ht="15" customHeight="1" x14ac:dyDescent="0.25">
      <c r="A275" s="137" t="s">
        <v>570</v>
      </c>
      <c r="B275" s="137" t="s">
        <v>572</v>
      </c>
      <c r="C275" s="137">
        <v>2018</v>
      </c>
      <c r="D275" s="137">
        <v>0.872</v>
      </c>
      <c r="E275" s="137">
        <v>0.871</v>
      </c>
      <c r="F275" s="137" t="s">
        <v>193</v>
      </c>
      <c r="G275" s="137">
        <v>1.0999999999999999E-2</v>
      </c>
      <c r="H275" s="137" t="s">
        <v>193</v>
      </c>
      <c r="I275" s="137" t="s">
        <v>193</v>
      </c>
      <c r="J275" s="137" t="s">
        <v>193</v>
      </c>
      <c r="K275" s="137" t="s">
        <v>193</v>
      </c>
      <c r="L275" s="137" t="s">
        <v>193</v>
      </c>
      <c r="M275" s="137" t="s">
        <v>219</v>
      </c>
      <c r="N275" s="137" t="s">
        <v>193</v>
      </c>
      <c r="O275" s="137" t="s">
        <v>193</v>
      </c>
      <c r="P275" s="137" t="s">
        <v>193</v>
      </c>
      <c r="Q275" s="137" t="s">
        <v>193</v>
      </c>
      <c r="R275" s="137" t="s">
        <v>193</v>
      </c>
      <c r="S275" s="137" t="s">
        <v>193</v>
      </c>
      <c r="T275" s="137" t="s">
        <v>193</v>
      </c>
      <c r="U275" s="137">
        <v>0.86</v>
      </c>
      <c r="V275" s="137" t="s">
        <v>193</v>
      </c>
      <c r="W275" s="137" t="s">
        <v>193</v>
      </c>
      <c r="X275" s="137" t="s">
        <v>193</v>
      </c>
      <c r="Y275" s="137" t="s">
        <v>193</v>
      </c>
      <c r="Z275" s="137" t="s">
        <v>193</v>
      </c>
      <c r="AA275" s="137" t="s">
        <v>193</v>
      </c>
      <c r="AB275" s="137" t="s">
        <v>193</v>
      </c>
      <c r="AC275" s="137" t="s">
        <v>193</v>
      </c>
      <c r="AD275" s="137" t="s">
        <v>193</v>
      </c>
      <c r="AE275" s="137" t="s">
        <v>199</v>
      </c>
      <c r="AF275" s="137" t="s">
        <v>193</v>
      </c>
      <c r="AG275" s="137" t="s">
        <v>193</v>
      </c>
      <c r="AH275" s="137" t="s">
        <v>193</v>
      </c>
      <c r="AI275" s="137" t="s">
        <v>193</v>
      </c>
      <c r="AJ275" s="137" t="s">
        <v>193</v>
      </c>
      <c r="AK275" s="137" t="s">
        <v>193</v>
      </c>
      <c r="AL275" s="137" t="s">
        <v>193</v>
      </c>
      <c r="AM275" s="137" t="s">
        <v>193</v>
      </c>
      <c r="AN275" s="137" t="s">
        <v>219</v>
      </c>
      <c r="AO275" s="137" t="s">
        <v>193</v>
      </c>
      <c r="AP275" s="137" t="s">
        <v>193</v>
      </c>
      <c r="AQ275" s="137" t="s">
        <v>193</v>
      </c>
      <c r="AR275" s="137" t="s">
        <v>193</v>
      </c>
      <c r="AV275" s="1">
        <f t="shared" si="37"/>
        <v>0.871</v>
      </c>
      <c r="AW275" s="1">
        <f t="shared" si="30"/>
        <v>0.872</v>
      </c>
      <c r="AX275" s="13">
        <f t="shared" si="35"/>
        <v>1.0011481056257177</v>
      </c>
      <c r="BA275" s="12">
        <f t="shared" si="31"/>
        <v>0</v>
      </c>
      <c r="BB275" s="12">
        <f t="shared" si="36"/>
        <v>0</v>
      </c>
      <c r="BC275" s="12">
        <f t="shared" si="36"/>
        <v>0</v>
      </c>
      <c r="BD275" s="12">
        <f t="shared" si="36"/>
        <v>0</v>
      </c>
      <c r="BE275" s="12">
        <f t="shared" si="32"/>
        <v>0</v>
      </c>
      <c r="BF275" s="12">
        <f t="shared" si="33"/>
        <v>0</v>
      </c>
      <c r="BJ275" s="12" t="str">
        <f t="shared" si="34"/>
        <v/>
      </c>
      <c r="BK275" s="12">
        <f>VLOOKUP(B275,Kraftvärmeprod!$B$1:$BH$549,MATCH($BA$1,Kraftvärmeprod!$B$1:$CC$1,0),FALSE)</f>
        <v>0</v>
      </c>
    </row>
    <row r="276" spans="1:63" ht="15" customHeight="1" x14ac:dyDescent="0.25">
      <c r="A276" s="137" t="s">
        <v>573</v>
      </c>
      <c r="B276" s="137" t="s">
        <v>574</v>
      </c>
      <c r="C276" s="137">
        <v>2018</v>
      </c>
      <c r="D276" s="137" t="s">
        <v>53</v>
      </c>
      <c r="E276" s="137" t="s">
        <v>53</v>
      </c>
      <c r="F276" s="137" t="s">
        <v>53</v>
      </c>
      <c r="G276" s="137" t="s">
        <v>53</v>
      </c>
      <c r="H276" s="137" t="s">
        <v>53</v>
      </c>
      <c r="I276" s="137" t="s">
        <v>53</v>
      </c>
      <c r="J276" s="137" t="s">
        <v>53</v>
      </c>
      <c r="K276" s="137" t="s">
        <v>53</v>
      </c>
      <c r="L276" s="137" t="s">
        <v>53</v>
      </c>
      <c r="M276" s="137" t="s">
        <v>53</v>
      </c>
      <c r="N276" s="137" t="s">
        <v>53</v>
      </c>
      <c r="O276" s="137" t="s">
        <v>53</v>
      </c>
      <c r="P276" s="137" t="s">
        <v>53</v>
      </c>
      <c r="Q276" s="137" t="s">
        <v>53</v>
      </c>
      <c r="R276" s="137" t="s">
        <v>53</v>
      </c>
      <c r="S276" s="137" t="s">
        <v>53</v>
      </c>
      <c r="T276" s="137" t="s">
        <v>53</v>
      </c>
      <c r="U276" s="137" t="s">
        <v>53</v>
      </c>
      <c r="V276" s="137" t="s">
        <v>53</v>
      </c>
      <c r="W276" s="137" t="s">
        <v>53</v>
      </c>
      <c r="X276" s="137" t="s">
        <v>53</v>
      </c>
      <c r="Y276" s="137" t="s">
        <v>53</v>
      </c>
      <c r="Z276" s="137" t="s">
        <v>53</v>
      </c>
      <c r="AA276" s="137" t="s">
        <v>53</v>
      </c>
      <c r="AB276" s="137" t="s">
        <v>53</v>
      </c>
      <c r="AC276" s="137" t="s">
        <v>53</v>
      </c>
      <c r="AD276" s="137" t="s">
        <v>53</v>
      </c>
      <c r="AE276" s="137" t="s">
        <v>53</v>
      </c>
      <c r="AF276" s="137" t="s">
        <v>53</v>
      </c>
      <c r="AG276" s="137" t="s">
        <v>53</v>
      </c>
      <c r="AH276" s="137" t="s">
        <v>53</v>
      </c>
      <c r="AI276" s="137" t="s">
        <v>53</v>
      </c>
      <c r="AJ276" s="137" t="s">
        <v>53</v>
      </c>
      <c r="AK276" s="137" t="s">
        <v>53</v>
      </c>
      <c r="AL276" s="137" t="s">
        <v>53</v>
      </c>
      <c r="AM276" s="137" t="s">
        <v>53</v>
      </c>
      <c r="AN276" s="137" t="s">
        <v>53</v>
      </c>
      <c r="AO276" s="137" t="s">
        <v>53</v>
      </c>
      <c r="AP276" s="137" t="s">
        <v>53</v>
      </c>
      <c r="AQ276" s="137" t="s">
        <v>53</v>
      </c>
      <c r="AR276" s="137" t="s">
        <v>53</v>
      </c>
      <c r="AV276" s="1">
        <f t="shared" si="37"/>
        <v>0</v>
      </c>
      <c r="AW276" s="1">
        <f t="shared" si="30"/>
        <v>0</v>
      </c>
      <c r="AX276" s="13" t="str">
        <f t="shared" si="35"/>
        <v/>
      </c>
      <c r="BA276" s="12">
        <f t="shared" si="31"/>
        <v>0</v>
      </c>
      <c r="BB276" s="12">
        <f t="shared" si="36"/>
        <v>0</v>
      </c>
      <c r="BC276" s="12">
        <f t="shared" si="36"/>
        <v>0</v>
      </c>
      <c r="BD276" s="12">
        <f t="shared" si="36"/>
        <v>0</v>
      </c>
      <c r="BE276" s="12">
        <f t="shared" si="32"/>
        <v>0</v>
      </c>
      <c r="BF276" s="12">
        <f t="shared" si="33"/>
        <v>0</v>
      </c>
      <c r="BJ276" s="12" t="str">
        <f t="shared" si="34"/>
        <v/>
      </c>
      <c r="BK276" s="12">
        <f>VLOOKUP(B276,Kraftvärmeprod!$B$1:$BH$549,MATCH($BA$1,Kraftvärmeprod!$B$1:$CC$1,0),FALSE)</f>
        <v>0</v>
      </c>
    </row>
    <row r="277" spans="1:63" ht="15" customHeight="1" x14ac:dyDescent="0.25">
      <c r="A277" s="137" t="s">
        <v>573</v>
      </c>
      <c r="B277" s="137" t="s">
        <v>575</v>
      </c>
      <c r="C277" s="137">
        <v>2018</v>
      </c>
      <c r="D277" s="137" t="s">
        <v>53</v>
      </c>
      <c r="E277" s="137" t="s">
        <v>53</v>
      </c>
      <c r="F277" s="137" t="s">
        <v>53</v>
      </c>
      <c r="G277" s="137" t="s">
        <v>53</v>
      </c>
      <c r="H277" s="137" t="s">
        <v>53</v>
      </c>
      <c r="I277" s="137" t="s">
        <v>53</v>
      </c>
      <c r="J277" s="137" t="s">
        <v>53</v>
      </c>
      <c r="K277" s="137" t="s">
        <v>53</v>
      </c>
      <c r="L277" s="137" t="s">
        <v>53</v>
      </c>
      <c r="M277" s="137" t="s">
        <v>53</v>
      </c>
      <c r="N277" s="137" t="s">
        <v>53</v>
      </c>
      <c r="O277" s="137" t="s">
        <v>53</v>
      </c>
      <c r="P277" s="137" t="s">
        <v>53</v>
      </c>
      <c r="Q277" s="137" t="s">
        <v>53</v>
      </c>
      <c r="R277" s="137" t="s">
        <v>53</v>
      </c>
      <c r="S277" s="137" t="s">
        <v>53</v>
      </c>
      <c r="T277" s="137" t="s">
        <v>53</v>
      </c>
      <c r="U277" s="137" t="s">
        <v>53</v>
      </c>
      <c r="V277" s="137" t="s">
        <v>53</v>
      </c>
      <c r="W277" s="137" t="s">
        <v>53</v>
      </c>
      <c r="X277" s="137" t="s">
        <v>53</v>
      </c>
      <c r="Y277" s="137" t="s">
        <v>53</v>
      </c>
      <c r="Z277" s="137" t="s">
        <v>53</v>
      </c>
      <c r="AA277" s="137" t="s">
        <v>53</v>
      </c>
      <c r="AB277" s="137" t="s">
        <v>53</v>
      </c>
      <c r="AC277" s="137" t="s">
        <v>53</v>
      </c>
      <c r="AD277" s="137" t="s">
        <v>53</v>
      </c>
      <c r="AE277" s="137" t="s">
        <v>53</v>
      </c>
      <c r="AF277" s="137" t="s">
        <v>53</v>
      </c>
      <c r="AG277" s="137" t="s">
        <v>53</v>
      </c>
      <c r="AH277" s="137" t="s">
        <v>53</v>
      </c>
      <c r="AI277" s="137" t="s">
        <v>53</v>
      </c>
      <c r="AJ277" s="137" t="s">
        <v>53</v>
      </c>
      <c r="AK277" s="137" t="s">
        <v>53</v>
      </c>
      <c r="AL277" s="137" t="s">
        <v>53</v>
      </c>
      <c r="AM277" s="137" t="s">
        <v>53</v>
      </c>
      <c r="AN277" s="137" t="s">
        <v>53</v>
      </c>
      <c r="AO277" s="137" t="s">
        <v>53</v>
      </c>
      <c r="AP277" s="137" t="s">
        <v>53</v>
      </c>
      <c r="AQ277" s="137" t="s">
        <v>53</v>
      </c>
      <c r="AR277" s="137" t="s">
        <v>53</v>
      </c>
      <c r="AV277" s="1">
        <f t="shared" si="37"/>
        <v>0</v>
      </c>
      <c r="AW277" s="1">
        <f t="shared" si="30"/>
        <v>0</v>
      </c>
      <c r="AX277" s="13" t="str">
        <f t="shared" si="35"/>
        <v/>
      </c>
      <c r="BA277" s="12">
        <f t="shared" si="31"/>
        <v>0</v>
      </c>
      <c r="BB277" s="12">
        <f t="shared" si="36"/>
        <v>0</v>
      </c>
      <c r="BC277" s="12">
        <f t="shared" si="36"/>
        <v>0</v>
      </c>
      <c r="BD277" s="12">
        <f t="shared" si="36"/>
        <v>0</v>
      </c>
      <c r="BE277" s="12">
        <f t="shared" si="32"/>
        <v>0</v>
      </c>
      <c r="BF277" s="12">
        <f t="shared" si="33"/>
        <v>0</v>
      </c>
      <c r="BJ277" s="12" t="str">
        <f t="shared" si="34"/>
        <v/>
      </c>
      <c r="BK277" s="12">
        <f>VLOOKUP(B277,Kraftvärmeprod!$B$1:$BH$549,MATCH($BA$1,Kraftvärmeprod!$B$1:$CC$1,0),FALSE)</f>
        <v>0</v>
      </c>
    </row>
    <row r="278" spans="1:63" ht="15" customHeight="1" x14ac:dyDescent="0.25">
      <c r="A278" s="137" t="s">
        <v>573</v>
      </c>
      <c r="B278" s="137" t="s">
        <v>576</v>
      </c>
      <c r="C278" s="137">
        <v>2018</v>
      </c>
      <c r="D278" s="137" t="s">
        <v>53</v>
      </c>
      <c r="E278" s="137" t="s">
        <v>53</v>
      </c>
      <c r="F278" s="137" t="s">
        <v>53</v>
      </c>
      <c r="G278" s="137" t="s">
        <v>53</v>
      </c>
      <c r="H278" s="137" t="s">
        <v>53</v>
      </c>
      <c r="I278" s="137" t="s">
        <v>53</v>
      </c>
      <c r="J278" s="137" t="s">
        <v>53</v>
      </c>
      <c r="K278" s="137" t="s">
        <v>53</v>
      </c>
      <c r="L278" s="137" t="s">
        <v>53</v>
      </c>
      <c r="M278" s="137" t="s">
        <v>53</v>
      </c>
      <c r="N278" s="137" t="s">
        <v>53</v>
      </c>
      <c r="O278" s="137" t="s">
        <v>53</v>
      </c>
      <c r="P278" s="137" t="s">
        <v>53</v>
      </c>
      <c r="Q278" s="137" t="s">
        <v>53</v>
      </c>
      <c r="R278" s="137" t="s">
        <v>53</v>
      </c>
      <c r="S278" s="137" t="s">
        <v>53</v>
      </c>
      <c r="T278" s="137" t="s">
        <v>53</v>
      </c>
      <c r="U278" s="137" t="s">
        <v>53</v>
      </c>
      <c r="V278" s="137" t="s">
        <v>53</v>
      </c>
      <c r="W278" s="137" t="s">
        <v>53</v>
      </c>
      <c r="X278" s="137" t="s">
        <v>53</v>
      </c>
      <c r="Y278" s="137" t="s">
        <v>53</v>
      </c>
      <c r="Z278" s="137" t="s">
        <v>53</v>
      </c>
      <c r="AA278" s="137" t="s">
        <v>53</v>
      </c>
      <c r="AB278" s="137" t="s">
        <v>53</v>
      </c>
      <c r="AC278" s="137" t="s">
        <v>53</v>
      </c>
      <c r="AD278" s="137" t="s">
        <v>53</v>
      </c>
      <c r="AE278" s="137" t="s">
        <v>53</v>
      </c>
      <c r="AF278" s="137" t="s">
        <v>53</v>
      </c>
      <c r="AG278" s="137" t="s">
        <v>53</v>
      </c>
      <c r="AH278" s="137" t="s">
        <v>53</v>
      </c>
      <c r="AI278" s="137" t="s">
        <v>53</v>
      </c>
      <c r="AJ278" s="137" t="s">
        <v>53</v>
      </c>
      <c r="AK278" s="137" t="s">
        <v>53</v>
      </c>
      <c r="AL278" s="137" t="s">
        <v>53</v>
      </c>
      <c r="AM278" s="137" t="s">
        <v>53</v>
      </c>
      <c r="AN278" s="137" t="s">
        <v>53</v>
      </c>
      <c r="AO278" s="137" t="s">
        <v>53</v>
      </c>
      <c r="AP278" s="137" t="s">
        <v>53</v>
      </c>
      <c r="AQ278" s="137" t="s">
        <v>53</v>
      </c>
      <c r="AR278" s="137" t="s">
        <v>53</v>
      </c>
      <c r="AV278" s="1">
        <f t="shared" si="37"/>
        <v>0</v>
      </c>
      <c r="AW278" s="1">
        <f t="shared" si="30"/>
        <v>0</v>
      </c>
      <c r="AX278" s="13" t="str">
        <f t="shared" si="35"/>
        <v/>
      </c>
      <c r="BA278" s="12">
        <f t="shared" si="31"/>
        <v>0</v>
      </c>
      <c r="BB278" s="12">
        <f t="shared" si="36"/>
        <v>0</v>
      </c>
      <c r="BC278" s="12">
        <f t="shared" si="36"/>
        <v>0</v>
      </c>
      <c r="BD278" s="12">
        <f t="shared" si="36"/>
        <v>0</v>
      </c>
      <c r="BE278" s="12">
        <f t="shared" si="32"/>
        <v>0</v>
      </c>
      <c r="BF278" s="12">
        <f t="shared" si="33"/>
        <v>0</v>
      </c>
      <c r="BJ278" s="12" t="str">
        <f t="shared" si="34"/>
        <v/>
      </c>
      <c r="BK278" s="12">
        <f>VLOOKUP(B278,Kraftvärmeprod!$B$1:$BH$549,MATCH($BA$1,Kraftvärmeprod!$B$1:$CC$1,0),FALSE)</f>
        <v>0</v>
      </c>
    </row>
    <row r="279" spans="1:63" ht="15" customHeight="1" x14ac:dyDescent="0.25">
      <c r="A279" s="137" t="s">
        <v>573</v>
      </c>
      <c r="B279" s="137" t="s">
        <v>116</v>
      </c>
      <c r="C279" s="137">
        <v>2018</v>
      </c>
      <c r="D279" s="137">
        <v>4169.9520000000002</v>
      </c>
      <c r="E279" s="137">
        <v>4258.5339999999997</v>
      </c>
      <c r="F279" s="137">
        <v>4.2450000000000001</v>
      </c>
      <c r="G279" s="137">
        <v>29.533000000000001</v>
      </c>
      <c r="H279" s="137">
        <v>0</v>
      </c>
      <c r="I279" s="137">
        <v>57.531999999999996</v>
      </c>
      <c r="J279" s="137">
        <v>0</v>
      </c>
      <c r="K279" s="137">
        <v>0</v>
      </c>
      <c r="L279" s="137">
        <v>0</v>
      </c>
      <c r="M279" s="137" t="s">
        <v>53</v>
      </c>
      <c r="N279" s="137">
        <v>262.63799999999998</v>
      </c>
      <c r="O279" s="137" t="s">
        <v>53</v>
      </c>
      <c r="P279" s="137" t="s">
        <v>53</v>
      </c>
      <c r="Q279" s="137" t="s">
        <v>53</v>
      </c>
      <c r="R279" s="137" t="s">
        <v>53</v>
      </c>
      <c r="S279" s="137">
        <v>6.1109999999999998</v>
      </c>
      <c r="T279" s="137" t="s">
        <v>193</v>
      </c>
      <c r="U279" s="137">
        <v>338.56200000000001</v>
      </c>
      <c r="V279" s="137">
        <v>0</v>
      </c>
      <c r="W279" s="137">
        <v>0</v>
      </c>
      <c r="X279" s="137">
        <v>188.87700000000001</v>
      </c>
      <c r="Y279" s="137">
        <v>197.69399999999999</v>
      </c>
      <c r="Z279" s="137">
        <v>323.77300000000002</v>
      </c>
      <c r="AA279" s="137">
        <v>0</v>
      </c>
      <c r="AB279" s="137">
        <v>0</v>
      </c>
      <c r="AC279" s="137">
        <v>1058.7550000000001</v>
      </c>
      <c r="AD279" s="137">
        <v>0</v>
      </c>
      <c r="AE279" s="137" t="s">
        <v>327</v>
      </c>
      <c r="AF279" s="137">
        <v>37</v>
      </c>
      <c r="AG279" s="137">
        <v>0</v>
      </c>
      <c r="AH279" s="137">
        <v>51.061999999999998</v>
      </c>
      <c r="AI279" s="137">
        <v>1693.9690000000001</v>
      </c>
      <c r="AJ279" s="137" t="s">
        <v>240</v>
      </c>
      <c r="AK279" s="137">
        <v>546.71500000000003</v>
      </c>
      <c r="AL279" s="137">
        <v>45.783000000000001</v>
      </c>
      <c r="AM279" s="137">
        <v>45.783000000000001</v>
      </c>
      <c r="AN279" s="137" t="s">
        <v>53</v>
      </c>
      <c r="AO279" s="137">
        <v>47.36</v>
      </c>
      <c r="AP279" s="137">
        <v>51.18</v>
      </c>
      <c r="AQ279" s="137">
        <v>1.46</v>
      </c>
      <c r="AR279" s="137" t="s">
        <v>193</v>
      </c>
      <c r="AV279" s="1">
        <f t="shared" si="37"/>
        <v>4258.5340000000006</v>
      </c>
      <c r="AW279" s="1">
        <f t="shared" si="30"/>
        <v>4169.9520000000002</v>
      </c>
      <c r="AX279" s="13">
        <f t="shared" si="35"/>
        <v>0.97919894498905014</v>
      </c>
      <c r="BA279" s="12">
        <f t="shared" si="31"/>
        <v>51.061999999999998</v>
      </c>
      <c r="BB279" s="12">
        <f t="shared" si="36"/>
        <v>24.1829632</v>
      </c>
      <c r="BC279" s="12">
        <f t="shared" si="36"/>
        <v>26.133531600000001</v>
      </c>
      <c r="BD279" s="12">
        <f t="shared" si="36"/>
        <v>0.74550519999999998</v>
      </c>
      <c r="BE279" s="12">
        <f t="shared" si="32"/>
        <v>0</v>
      </c>
      <c r="BF279" s="12">
        <f t="shared" si="33"/>
        <v>0</v>
      </c>
      <c r="BJ279" s="12" t="str">
        <f t="shared" si="34"/>
        <v/>
      </c>
      <c r="BK279" s="12">
        <f>VLOOKUP(B279,Kraftvärmeprod!$B$1:$BH$549,MATCH($BA$1,Kraftvärmeprod!$B$1:$CC$1,0),FALSE)</f>
        <v>1013.927</v>
      </c>
    </row>
    <row r="280" spans="1:63" ht="15" customHeight="1" x14ac:dyDescent="0.25">
      <c r="A280" s="137" t="s">
        <v>573</v>
      </c>
      <c r="B280" s="137" t="s">
        <v>577</v>
      </c>
      <c r="C280" s="137">
        <v>2018</v>
      </c>
      <c r="D280" s="137" t="s">
        <v>53</v>
      </c>
      <c r="E280" s="137" t="s">
        <v>53</v>
      </c>
      <c r="F280" s="137" t="s">
        <v>53</v>
      </c>
      <c r="G280" s="137" t="s">
        <v>53</v>
      </c>
      <c r="H280" s="137" t="s">
        <v>53</v>
      </c>
      <c r="I280" s="137" t="s">
        <v>53</v>
      </c>
      <c r="J280" s="137" t="s">
        <v>53</v>
      </c>
      <c r="K280" s="137" t="s">
        <v>53</v>
      </c>
      <c r="L280" s="137" t="s">
        <v>53</v>
      </c>
      <c r="M280" s="137" t="s">
        <v>53</v>
      </c>
      <c r="N280" s="137" t="s">
        <v>53</v>
      </c>
      <c r="O280" s="137" t="s">
        <v>53</v>
      </c>
      <c r="P280" s="137" t="s">
        <v>53</v>
      </c>
      <c r="Q280" s="137" t="s">
        <v>53</v>
      </c>
      <c r="R280" s="137" t="s">
        <v>53</v>
      </c>
      <c r="S280" s="137" t="s">
        <v>53</v>
      </c>
      <c r="T280" s="137" t="s">
        <v>53</v>
      </c>
      <c r="U280" s="137" t="s">
        <v>53</v>
      </c>
      <c r="V280" s="137" t="s">
        <v>53</v>
      </c>
      <c r="W280" s="137" t="s">
        <v>53</v>
      </c>
      <c r="X280" s="137" t="s">
        <v>53</v>
      </c>
      <c r="Y280" s="137" t="s">
        <v>53</v>
      </c>
      <c r="Z280" s="137" t="s">
        <v>53</v>
      </c>
      <c r="AA280" s="137" t="s">
        <v>53</v>
      </c>
      <c r="AB280" s="137" t="s">
        <v>53</v>
      </c>
      <c r="AC280" s="137" t="s">
        <v>53</v>
      </c>
      <c r="AD280" s="137" t="s">
        <v>53</v>
      </c>
      <c r="AE280" s="137" t="s">
        <v>53</v>
      </c>
      <c r="AF280" s="137" t="s">
        <v>53</v>
      </c>
      <c r="AG280" s="137" t="s">
        <v>53</v>
      </c>
      <c r="AH280" s="137" t="s">
        <v>53</v>
      </c>
      <c r="AI280" s="137" t="s">
        <v>53</v>
      </c>
      <c r="AJ280" s="137" t="s">
        <v>53</v>
      </c>
      <c r="AK280" s="137" t="s">
        <v>53</v>
      </c>
      <c r="AL280" s="137" t="s">
        <v>53</v>
      </c>
      <c r="AM280" s="137" t="s">
        <v>53</v>
      </c>
      <c r="AN280" s="137" t="s">
        <v>53</v>
      </c>
      <c r="AO280" s="137" t="s">
        <v>53</v>
      </c>
      <c r="AP280" s="137" t="s">
        <v>53</v>
      </c>
      <c r="AQ280" s="137" t="s">
        <v>53</v>
      </c>
      <c r="AR280" s="137" t="s">
        <v>53</v>
      </c>
      <c r="AV280" s="1">
        <f t="shared" si="37"/>
        <v>0</v>
      </c>
      <c r="AW280" s="1">
        <f t="shared" si="30"/>
        <v>0</v>
      </c>
      <c r="AX280" s="13" t="str">
        <f t="shared" si="35"/>
        <v/>
      </c>
      <c r="BA280" s="12">
        <f t="shared" si="31"/>
        <v>0</v>
      </c>
      <c r="BB280" s="12">
        <f t="shared" si="36"/>
        <v>0</v>
      </c>
      <c r="BC280" s="12">
        <f t="shared" si="36"/>
        <v>0</v>
      </c>
      <c r="BD280" s="12">
        <f t="shared" si="36"/>
        <v>0</v>
      </c>
      <c r="BE280" s="12">
        <f t="shared" si="32"/>
        <v>0</v>
      </c>
      <c r="BF280" s="12">
        <f t="shared" si="33"/>
        <v>0</v>
      </c>
      <c r="BJ280" s="12" t="str">
        <f t="shared" si="34"/>
        <v/>
      </c>
      <c r="BK280" s="12">
        <f>VLOOKUP(B280,Kraftvärmeprod!$B$1:$BH$549,MATCH($BA$1,Kraftvärmeprod!$B$1:$CC$1,0),FALSE)</f>
        <v>0</v>
      </c>
    </row>
    <row r="281" spans="1:63" ht="15" customHeight="1" x14ac:dyDescent="0.25">
      <c r="A281" s="137" t="s">
        <v>573</v>
      </c>
      <c r="B281" s="137" t="s">
        <v>578</v>
      </c>
      <c r="C281" s="137">
        <v>2018</v>
      </c>
      <c r="D281" s="137" t="s">
        <v>53</v>
      </c>
      <c r="E281" s="137" t="s">
        <v>53</v>
      </c>
      <c r="F281" s="137" t="s">
        <v>53</v>
      </c>
      <c r="G281" s="137" t="s">
        <v>53</v>
      </c>
      <c r="H281" s="137" t="s">
        <v>53</v>
      </c>
      <c r="I281" s="137" t="s">
        <v>53</v>
      </c>
      <c r="J281" s="137" t="s">
        <v>53</v>
      </c>
      <c r="K281" s="137" t="s">
        <v>53</v>
      </c>
      <c r="L281" s="137" t="s">
        <v>53</v>
      </c>
      <c r="M281" s="137" t="s">
        <v>53</v>
      </c>
      <c r="N281" s="137" t="s">
        <v>53</v>
      </c>
      <c r="O281" s="137" t="s">
        <v>53</v>
      </c>
      <c r="P281" s="137" t="s">
        <v>53</v>
      </c>
      <c r="Q281" s="137" t="s">
        <v>53</v>
      </c>
      <c r="R281" s="137" t="s">
        <v>53</v>
      </c>
      <c r="S281" s="137" t="s">
        <v>53</v>
      </c>
      <c r="T281" s="137" t="s">
        <v>53</v>
      </c>
      <c r="U281" s="137" t="s">
        <v>53</v>
      </c>
      <c r="V281" s="137" t="s">
        <v>53</v>
      </c>
      <c r="W281" s="137" t="s">
        <v>53</v>
      </c>
      <c r="X281" s="137" t="s">
        <v>53</v>
      </c>
      <c r="Y281" s="137" t="s">
        <v>53</v>
      </c>
      <c r="Z281" s="137" t="s">
        <v>53</v>
      </c>
      <c r="AA281" s="137" t="s">
        <v>53</v>
      </c>
      <c r="AB281" s="137" t="s">
        <v>53</v>
      </c>
      <c r="AC281" s="137" t="s">
        <v>53</v>
      </c>
      <c r="AD281" s="137" t="s">
        <v>53</v>
      </c>
      <c r="AE281" s="137" t="s">
        <v>53</v>
      </c>
      <c r="AF281" s="137" t="s">
        <v>53</v>
      </c>
      <c r="AG281" s="137" t="s">
        <v>53</v>
      </c>
      <c r="AH281" s="137" t="s">
        <v>53</v>
      </c>
      <c r="AI281" s="137" t="s">
        <v>53</v>
      </c>
      <c r="AJ281" s="137" t="s">
        <v>53</v>
      </c>
      <c r="AK281" s="137" t="s">
        <v>53</v>
      </c>
      <c r="AL281" s="137" t="s">
        <v>53</v>
      </c>
      <c r="AM281" s="137" t="s">
        <v>53</v>
      </c>
      <c r="AN281" s="137" t="s">
        <v>53</v>
      </c>
      <c r="AO281" s="137" t="s">
        <v>53</v>
      </c>
      <c r="AP281" s="137" t="s">
        <v>53</v>
      </c>
      <c r="AQ281" s="137" t="s">
        <v>53</v>
      </c>
      <c r="AR281" s="137" t="s">
        <v>53</v>
      </c>
      <c r="AV281" s="1">
        <f t="shared" si="37"/>
        <v>0</v>
      </c>
      <c r="AW281" s="1">
        <f t="shared" si="30"/>
        <v>0</v>
      </c>
      <c r="AX281" s="13" t="str">
        <f t="shared" si="35"/>
        <v/>
      </c>
      <c r="BA281" s="12">
        <f t="shared" si="31"/>
        <v>0</v>
      </c>
      <c r="BB281" s="12">
        <f t="shared" si="36"/>
        <v>0</v>
      </c>
      <c r="BC281" s="12">
        <f t="shared" si="36"/>
        <v>0</v>
      </c>
      <c r="BD281" s="12">
        <f t="shared" si="36"/>
        <v>0</v>
      </c>
      <c r="BE281" s="12">
        <f t="shared" si="32"/>
        <v>0</v>
      </c>
      <c r="BF281" s="12">
        <f t="shared" si="33"/>
        <v>0</v>
      </c>
      <c r="BJ281" s="12" t="str">
        <f t="shared" si="34"/>
        <v/>
      </c>
      <c r="BK281" s="12">
        <f>VLOOKUP(B281,Kraftvärmeprod!$B$1:$BH$549,MATCH($BA$1,Kraftvärmeprod!$B$1:$CC$1,0),FALSE)</f>
        <v>0</v>
      </c>
    </row>
    <row r="282" spans="1:63" ht="15" customHeight="1" x14ac:dyDescent="0.25">
      <c r="A282" s="137" t="s">
        <v>573</v>
      </c>
      <c r="B282" s="137" t="s">
        <v>579</v>
      </c>
      <c r="C282" s="137">
        <v>2018</v>
      </c>
      <c r="D282" s="137" t="s">
        <v>53</v>
      </c>
      <c r="E282" s="137" t="s">
        <v>53</v>
      </c>
      <c r="F282" s="137" t="s">
        <v>53</v>
      </c>
      <c r="G282" s="137" t="s">
        <v>53</v>
      </c>
      <c r="H282" s="137" t="s">
        <v>53</v>
      </c>
      <c r="I282" s="137" t="s">
        <v>53</v>
      </c>
      <c r="J282" s="137" t="s">
        <v>53</v>
      </c>
      <c r="K282" s="137" t="s">
        <v>53</v>
      </c>
      <c r="L282" s="137" t="s">
        <v>53</v>
      </c>
      <c r="M282" s="137" t="s">
        <v>53</v>
      </c>
      <c r="N282" s="137" t="s">
        <v>53</v>
      </c>
      <c r="O282" s="137" t="s">
        <v>53</v>
      </c>
      <c r="P282" s="137" t="s">
        <v>53</v>
      </c>
      <c r="Q282" s="137" t="s">
        <v>53</v>
      </c>
      <c r="R282" s="137" t="s">
        <v>53</v>
      </c>
      <c r="S282" s="137" t="s">
        <v>53</v>
      </c>
      <c r="T282" s="137" t="s">
        <v>53</v>
      </c>
      <c r="U282" s="137" t="s">
        <v>53</v>
      </c>
      <c r="V282" s="137" t="s">
        <v>53</v>
      </c>
      <c r="W282" s="137" t="s">
        <v>53</v>
      </c>
      <c r="X282" s="137" t="s">
        <v>53</v>
      </c>
      <c r="Y282" s="137" t="s">
        <v>53</v>
      </c>
      <c r="Z282" s="137" t="s">
        <v>53</v>
      </c>
      <c r="AA282" s="137" t="s">
        <v>53</v>
      </c>
      <c r="AB282" s="137" t="s">
        <v>53</v>
      </c>
      <c r="AC282" s="137" t="s">
        <v>53</v>
      </c>
      <c r="AD282" s="137" t="s">
        <v>53</v>
      </c>
      <c r="AE282" s="137" t="s">
        <v>53</v>
      </c>
      <c r="AF282" s="137" t="s">
        <v>53</v>
      </c>
      <c r="AG282" s="137" t="s">
        <v>53</v>
      </c>
      <c r="AH282" s="137" t="s">
        <v>53</v>
      </c>
      <c r="AI282" s="137" t="s">
        <v>53</v>
      </c>
      <c r="AJ282" s="137" t="s">
        <v>53</v>
      </c>
      <c r="AK282" s="137" t="s">
        <v>53</v>
      </c>
      <c r="AL282" s="137" t="s">
        <v>53</v>
      </c>
      <c r="AM282" s="137" t="s">
        <v>53</v>
      </c>
      <c r="AN282" s="137" t="s">
        <v>53</v>
      </c>
      <c r="AO282" s="137" t="s">
        <v>53</v>
      </c>
      <c r="AP282" s="137" t="s">
        <v>53</v>
      </c>
      <c r="AQ282" s="137" t="s">
        <v>53</v>
      </c>
      <c r="AR282" s="137" t="s">
        <v>53</v>
      </c>
      <c r="AV282" s="1">
        <f t="shared" si="37"/>
        <v>0</v>
      </c>
      <c r="AW282" s="1">
        <f t="shared" si="30"/>
        <v>0</v>
      </c>
      <c r="AX282" s="13" t="str">
        <f t="shared" si="35"/>
        <v/>
      </c>
      <c r="BA282" s="12">
        <f t="shared" si="31"/>
        <v>0</v>
      </c>
      <c r="BB282" s="12">
        <f t="shared" si="36"/>
        <v>0</v>
      </c>
      <c r="BC282" s="12">
        <f t="shared" si="36"/>
        <v>0</v>
      </c>
      <c r="BD282" s="12">
        <f t="shared" si="36"/>
        <v>0</v>
      </c>
      <c r="BE282" s="12">
        <f t="shared" si="32"/>
        <v>0</v>
      </c>
      <c r="BF282" s="12">
        <f t="shared" si="33"/>
        <v>0</v>
      </c>
      <c r="BJ282" s="12" t="str">
        <f t="shared" si="34"/>
        <v/>
      </c>
      <c r="BK282" s="12">
        <f>VLOOKUP(B282,Kraftvärmeprod!$B$1:$BH$549,MATCH($BA$1,Kraftvärmeprod!$B$1:$CC$1,0),FALSE)</f>
        <v>0</v>
      </c>
    </row>
    <row r="283" spans="1:63" ht="15" customHeight="1" x14ac:dyDescent="0.25">
      <c r="A283" s="137" t="s">
        <v>573</v>
      </c>
      <c r="B283" s="137" t="s">
        <v>580</v>
      </c>
      <c r="C283" s="137">
        <v>2018</v>
      </c>
      <c r="D283" s="137" t="s">
        <v>53</v>
      </c>
      <c r="E283" s="137" t="s">
        <v>53</v>
      </c>
      <c r="F283" s="137" t="s">
        <v>53</v>
      </c>
      <c r="G283" s="137" t="s">
        <v>53</v>
      </c>
      <c r="H283" s="137" t="s">
        <v>53</v>
      </c>
      <c r="I283" s="137" t="s">
        <v>53</v>
      </c>
      <c r="J283" s="137" t="s">
        <v>53</v>
      </c>
      <c r="K283" s="137" t="s">
        <v>53</v>
      </c>
      <c r="L283" s="137" t="s">
        <v>53</v>
      </c>
      <c r="M283" s="137" t="s">
        <v>53</v>
      </c>
      <c r="N283" s="137" t="s">
        <v>53</v>
      </c>
      <c r="O283" s="137" t="s">
        <v>53</v>
      </c>
      <c r="P283" s="137" t="s">
        <v>53</v>
      </c>
      <c r="Q283" s="137" t="s">
        <v>53</v>
      </c>
      <c r="R283" s="137" t="s">
        <v>53</v>
      </c>
      <c r="S283" s="137" t="s">
        <v>53</v>
      </c>
      <c r="T283" s="137" t="s">
        <v>53</v>
      </c>
      <c r="U283" s="137" t="s">
        <v>53</v>
      </c>
      <c r="V283" s="137" t="s">
        <v>53</v>
      </c>
      <c r="W283" s="137" t="s">
        <v>53</v>
      </c>
      <c r="X283" s="137" t="s">
        <v>53</v>
      </c>
      <c r="Y283" s="137" t="s">
        <v>53</v>
      </c>
      <c r="Z283" s="137" t="s">
        <v>53</v>
      </c>
      <c r="AA283" s="137" t="s">
        <v>53</v>
      </c>
      <c r="AB283" s="137" t="s">
        <v>53</v>
      </c>
      <c r="AC283" s="137" t="s">
        <v>53</v>
      </c>
      <c r="AD283" s="137" t="s">
        <v>53</v>
      </c>
      <c r="AE283" s="137" t="s">
        <v>53</v>
      </c>
      <c r="AF283" s="137" t="s">
        <v>53</v>
      </c>
      <c r="AG283" s="137" t="s">
        <v>53</v>
      </c>
      <c r="AH283" s="137" t="s">
        <v>53</v>
      </c>
      <c r="AI283" s="137" t="s">
        <v>53</v>
      </c>
      <c r="AJ283" s="137" t="s">
        <v>53</v>
      </c>
      <c r="AK283" s="137" t="s">
        <v>53</v>
      </c>
      <c r="AL283" s="137" t="s">
        <v>53</v>
      </c>
      <c r="AM283" s="137" t="s">
        <v>53</v>
      </c>
      <c r="AN283" s="137" t="s">
        <v>53</v>
      </c>
      <c r="AO283" s="137" t="s">
        <v>53</v>
      </c>
      <c r="AP283" s="137" t="s">
        <v>53</v>
      </c>
      <c r="AQ283" s="137" t="s">
        <v>53</v>
      </c>
      <c r="AR283" s="137" t="s">
        <v>53</v>
      </c>
      <c r="AV283" s="1">
        <f t="shared" si="37"/>
        <v>0</v>
      </c>
      <c r="AW283" s="1">
        <f t="shared" si="30"/>
        <v>0</v>
      </c>
      <c r="AX283" s="13" t="str">
        <f t="shared" si="35"/>
        <v/>
      </c>
      <c r="BA283" s="12">
        <f t="shared" si="31"/>
        <v>0</v>
      </c>
      <c r="BB283" s="12">
        <f t="shared" si="36"/>
        <v>0</v>
      </c>
      <c r="BC283" s="12">
        <f t="shared" si="36"/>
        <v>0</v>
      </c>
      <c r="BD283" s="12">
        <f t="shared" si="36"/>
        <v>0</v>
      </c>
      <c r="BE283" s="12">
        <f t="shared" si="32"/>
        <v>0</v>
      </c>
      <c r="BF283" s="12">
        <f t="shared" si="33"/>
        <v>0</v>
      </c>
      <c r="BJ283" s="12" t="str">
        <f t="shared" si="34"/>
        <v/>
      </c>
      <c r="BK283" s="12">
        <f>VLOOKUP(B283,Kraftvärmeprod!$B$1:$BH$549,MATCH($BA$1,Kraftvärmeprod!$B$1:$CC$1,0),FALSE)</f>
        <v>0</v>
      </c>
    </row>
    <row r="284" spans="1:63" ht="15" customHeight="1" x14ac:dyDescent="0.25">
      <c r="A284" s="137" t="s">
        <v>573</v>
      </c>
      <c r="B284" s="137" t="s">
        <v>581</v>
      </c>
      <c r="C284" s="137">
        <v>2018</v>
      </c>
      <c r="D284" s="137" t="s">
        <v>53</v>
      </c>
      <c r="E284" s="137" t="s">
        <v>53</v>
      </c>
      <c r="F284" s="137" t="s">
        <v>53</v>
      </c>
      <c r="G284" s="137" t="s">
        <v>53</v>
      </c>
      <c r="H284" s="137" t="s">
        <v>53</v>
      </c>
      <c r="I284" s="137" t="s">
        <v>53</v>
      </c>
      <c r="J284" s="137" t="s">
        <v>53</v>
      </c>
      <c r="K284" s="137" t="s">
        <v>53</v>
      </c>
      <c r="L284" s="137" t="s">
        <v>53</v>
      </c>
      <c r="M284" s="137" t="s">
        <v>53</v>
      </c>
      <c r="N284" s="137" t="s">
        <v>53</v>
      </c>
      <c r="O284" s="137" t="s">
        <v>53</v>
      </c>
      <c r="P284" s="137" t="s">
        <v>53</v>
      </c>
      <c r="Q284" s="137" t="s">
        <v>53</v>
      </c>
      <c r="R284" s="137" t="s">
        <v>53</v>
      </c>
      <c r="S284" s="137" t="s">
        <v>53</v>
      </c>
      <c r="T284" s="137" t="s">
        <v>53</v>
      </c>
      <c r="U284" s="137" t="s">
        <v>53</v>
      </c>
      <c r="V284" s="137" t="s">
        <v>53</v>
      </c>
      <c r="W284" s="137" t="s">
        <v>53</v>
      </c>
      <c r="X284" s="137" t="s">
        <v>53</v>
      </c>
      <c r="Y284" s="137" t="s">
        <v>53</v>
      </c>
      <c r="Z284" s="137" t="s">
        <v>53</v>
      </c>
      <c r="AA284" s="137" t="s">
        <v>53</v>
      </c>
      <c r="AB284" s="137" t="s">
        <v>53</v>
      </c>
      <c r="AC284" s="137" t="s">
        <v>53</v>
      </c>
      <c r="AD284" s="137" t="s">
        <v>53</v>
      </c>
      <c r="AE284" s="137" t="s">
        <v>53</v>
      </c>
      <c r="AF284" s="137" t="s">
        <v>53</v>
      </c>
      <c r="AG284" s="137" t="s">
        <v>53</v>
      </c>
      <c r="AH284" s="137" t="s">
        <v>53</v>
      </c>
      <c r="AI284" s="137" t="s">
        <v>53</v>
      </c>
      <c r="AJ284" s="137" t="s">
        <v>53</v>
      </c>
      <c r="AK284" s="137" t="s">
        <v>53</v>
      </c>
      <c r="AL284" s="137" t="s">
        <v>53</v>
      </c>
      <c r="AM284" s="137" t="s">
        <v>53</v>
      </c>
      <c r="AN284" s="137" t="s">
        <v>53</v>
      </c>
      <c r="AO284" s="137" t="s">
        <v>53</v>
      </c>
      <c r="AP284" s="137" t="s">
        <v>53</v>
      </c>
      <c r="AQ284" s="137" t="s">
        <v>53</v>
      </c>
      <c r="AR284" s="137" t="s">
        <v>53</v>
      </c>
      <c r="AV284" s="1">
        <f t="shared" si="37"/>
        <v>0</v>
      </c>
      <c r="AW284" s="1">
        <f t="shared" si="30"/>
        <v>0</v>
      </c>
      <c r="AX284" s="13" t="str">
        <f t="shared" si="35"/>
        <v/>
      </c>
      <c r="BA284" s="12">
        <f t="shared" si="31"/>
        <v>0</v>
      </c>
      <c r="BB284" s="12">
        <f t="shared" si="36"/>
        <v>0</v>
      </c>
      <c r="BC284" s="12">
        <f t="shared" si="36"/>
        <v>0</v>
      </c>
      <c r="BD284" s="12">
        <f t="shared" si="36"/>
        <v>0</v>
      </c>
      <c r="BE284" s="12">
        <f t="shared" si="32"/>
        <v>0</v>
      </c>
      <c r="BF284" s="12">
        <f t="shared" si="33"/>
        <v>0</v>
      </c>
      <c r="BJ284" s="12" t="str">
        <f t="shared" si="34"/>
        <v/>
      </c>
      <c r="BK284" s="12">
        <f>VLOOKUP(B284,Kraftvärmeprod!$B$1:$BH$549,MATCH($BA$1,Kraftvärmeprod!$B$1:$CC$1,0),FALSE)</f>
        <v>0</v>
      </c>
    </row>
    <row r="285" spans="1:63" ht="15" customHeight="1" x14ac:dyDescent="0.25">
      <c r="A285" s="137" t="s">
        <v>573</v>
      </c>
      <c r="B285" s="137" t="s">
        <v>582</v>
      </c>
      <c r="C285" s="137">
        <v>2018</v>
      </c>
      <c r="D285" s="137" t="s">
        <v>53</v>
      </c>
      <c r="E285" s="137" t="s">
        <v>53</v>
      </c>
      <c r="F285" s="137" t="s">
        <v>53</v>
      </c>
      <c r="G285" s="137" t="s">
        <v>53</v>
      </c>
      <c r="H285" s="137" t="s">
        <v>53</v>
      </c>
      <c r="I285" s="137" t="s">
        <v>53</v>
      </c>
      <c r="J285" s="137" t="s">
        <v>53</v>
      </c>
      <c r="K285" s="137" t="s">
        <v>53</v>
      </c>
      <c r="L285" s="137" t="s">
        <v>53</v>
      </c>
      <c r="M285" s="137" t="s">
        <v>53</v>
      </c>
      <c r="N285" s="137" t="s">
        <v>53</v>
      </c>
      <c r="O285" s="137" t="s">
        <v>53</v>
      </c>
      <c r="P285" s="137" t="s">
        <v>53</v>
      </c>
      <c r="Q285" s="137" t="s">
        <v>53</v>
      </c>
      <c r="R285" s="137" t="s">
        <v>53</v>
      </c>
      <c r="S285" s="137" t="s">
        <v>53</v>
      </c>
      <c r="T285" s="137" t="s">
        <v>53</v>
      </c>
      <c r="U285" s="137" t="s">
        <v>53</v>
      </c>
      <c r="V285" s="137" t="s">
        <v>53</v>
      </c>
      <c r="W285" s="137" t="s">
        <v>53</v>
      </c>
      <c r="X285" s="137" t="s">
        <v>53</v>
      </c>
      <c r="Y285" s="137" t="s">
        <v>53</v>
      </c>
      <c r="Z285" s="137" t="s">
        <v>53</v>
      </c>
      <c r="AA285" s="137" t="s">
        <v>53</v>
      </c>
      <c r="AB285" s="137" t="s">
        <v>53</v>
      </c>
      <c r="AC285" s="137" t="s">
        <v>53</v>
      </c>
      <c r="AD285" s="137" t="s">
        <v>53</v>
      </c>
      <c r="AE285" s="137" t="s">
        <v>53</v>
      </c>
      <c r="AF285" s="137" t="s">
        <v>53</v>
      </c>
      <c r="AG285" s="137" t="s">
        <v>53</v>
      </c>
      <c r="AH285" s="137" t="s">
        <v>53</v>
      </c>
      <c r="AI285" s="137" t="s">
        <v>53</v>
      </c>
      <c r="AJ285" s="137" t="s">
        <v>53</v>
      </c>
      <c r="AK285" s="137" t="s">
        <v>53</v>
      </c>
      <c r="AL285" s="137" t="s">
        <v>53</v>
      </c>
      <c r="AM285" s="137" t="s">
        <v>53</v>
      </c>
      <c r="AN285" s="137" t="s">
        <v>53</v>
      </c>
      <c r="AO285" s="137" t="s">
        <v>53</v>
      </c>
      <c r="AP285" s="137" t="s">
        <v>53</v>
      </c>
      <c r="AQ285" s="137" t="s">
        <v>53</v>
      </c>
      <c r="AR285" s="137" t="s">
        <v>53</v>
      </c>
      <c r="AV285" s="1">
        <f t="shared" si="37"/>
        <v>0</v>
      </c>
      <c r="AW285" s="1">
        <f t="shared" si="30"/>
        <v>0</v>
      </c>
      <c r="AX285" s="13" t="str">
        <f t="shared" si="35"/>
        <v/>
      </c>
      <c r="BA285" s="12">
        <f t="shared" si="31"/>
        <v>0</v>
      </c>
      <c r="BB285" s="12">
        <f t="shared" si="36"/>
        <v>0</v>
      </c>
      <c r="BC285" s="12">
        <f t="shared" si="36"/>
        <v>0</v>
      </c>
      <c r="BD285" s="12">
        <f t="shared" si="36"/>
        <v>0</v>
      </c>
      <c r="BE285" s="12">
        <f t="shared" si="32"/>
        <v>0</v>
      </c>
      <c r="BF285" s="12">
        <f t="shared" si="33"/>
        <v>0</v>
      </c>
      <c r="BJ285" s="12" t="str">
        <f t="shared" si="34"/>
        <v/>
      </c>
      <c r="BK285" s="12">
        <f>VLOOKUP(B285,Kraftvärmeprod!$B$1:$BH$549,MATCH($BA$1,Kraftvärmeprod!$B$1:$CC$1,0),FALSE)</f>
        <v>0</v>
      </c>
    </row>
    <row r="286" spans="1:63" ht="15" customHeight="1" x14ac:dyDescent="0.25">
      <c r="A286" s="137" t="s">
        <v>573</v>
      </c>
      <c r="B286" s="137" t="s">
        <v>583</v>
      </c>
      <c r="C286" s="137">
        <v>2018</v>
      </c>
      <c r="D286" s="137">
        <v>65.856999999999999</v>
      </c>
      <c r="E286" s="137">
        <v>68.352999999999994</v>
      </c>
      <c r="F286" s="137" t="s">
        <v>193</v>
      </c>
      <c r="G286" s="137">
        <v>0</v>
      </c>
      <c r="H286" s="137" t="s">
        <v>193</v>
      </c>
      <c r="I286" s="137" t="s">
        <v>193</v>
      </c>
      <c r="J286" s="137" t="s">
        <v>193</v>
      </c>
      <c r="K286" s="137" t="s">
        <v>193</v>
      </c>
      <c r="L286" s="137" t="s">
        <v>193</v>
      </c>
      <c r="M286" s="137" t="s">
        <v>53</v>
      </c>
      <c r="N286" s="137" t="s">
        <v>193</v>
      </c>
      <c r="O286" s="137" t="s">
        <v>193</v>
      </c>
      <c r="P286" s="137" t="s">
        <v>193</v>
      </c>
      <c r="Q286" s="137" t="s">
        <v>193</v>
      </c>
      <c r="R286" s="137" t="s">
        <v>193</v>
      </c>
      <c r="S286" s="137" t="s">
        <v>193</v>
      </c>
      <c r="T286" s="137" t="s">
        <v>193</v>
      </c>
      <c r="U286" s="137">
        <v>17.670000000000002</v>
      </c>
      <c r="V286" s="137" t="s">
        <v>193</v>
      </c>
      <c r="W286" s="137" t="s">
        <v>193</v>
      </c>
      <c r="X286" s="137" t="s">
        <v>193</v>
      </c>
      <c r="Y286" s="137" t="s">
        <v>193</v>
      </c>
      <c r="Z286" s="137">
        <v>30.751000000000001</v>
      </c>
      <c r="AA286" s="137" t="s">
        <v>193</v>
      </c>
      <c r="AB286" s="137" t="s">
        <v>193</v>
      </c>
      <c r="AC286" s="137" t="s">
        <v>193</v>
      </c>
      <c r="AD286" s="137" t="s">
        <v>193</v>
      </c>
      <c r="AE286" s="137" t="s">
        <v>53</v>
      </c>
      <c r="AF286" s="137" t="s">
        <v>193</v>
      </c>
      <c r="AG286" s="137" t="s">
        <v>193</v>
      </c>
      <c r="AH286" s="137" t="s">
        <v>193</v>
      </c>
      <c r="AI286" s="137">
        <v>14.308</v>
      </c>
      <c r="AJ286" s="137" t="s">
        <v>240</v>
      </c>
      <c r="AK286" s="137">
        <v>6.41</v>
      </c>
      <c r="AL286" s="137">
        <v>5.6239999999999997</v>
      </c>
      <c r="AM286" s="137">
        <v>5.5650000000000004</v>
      </c>
      <c r="AN286" s="137" t="s">
        <v>53</v>
      </c>
      <c r="AO286" s="137" t="s">
        <v>193</v>
      </c>
      <c r="AP286" s="137" t="s">
        <v>193</v>
      </c>
      <c r="AQ286" s="137" t="s">
        <v>193</v>
      </c>
      <c r="AR286" s="137" t="s">
        <v>193</v>
      </c>
      <c r="AV286" s="1">
        <f t="shared" si="37"/>
        <v>68.353000000000009</v>
      </c>
      <c r="AW286" s="1">
        <f t="shared" si="30"/>
        <v>65.856999999999999</v>
      </c>
      <c r="AX286" s="13">
        <f t="shared" si="35"/>
        <v>0.96348368030664333</v>
      </c>
      <c r="BA286" s="12">
        <f t="shared" si="31"/>
        <v>0</v>
      </c>
      <c r="BB286" s="12">
        <f t="shared" si="36"/>
        <v>0</v>
      </c>
      <c r="BC286" s="12">
        <f t="shared" si="36"/>
        <v>0</v>
      </c>
      <c r="BD286" s="12">
        <f t="shared" si="36"/>
        <v>0</v>
      </c>
      <c r="BE286" s="12">
        <f t="shared" si="32"/>
        <v>0</v>
      </c>
      <c r="BF286" s="12">
        <f t="shared" si="33"/>
        <v>0</v>
      </c>
      <c r="BJ286" s="12" t="str">
        <f t="shared" si="34"/>
        <v/>
      </c>
      <c r="BK286" s="12">
        <f>VLOOKUP(B286,Kraftvärmeprod!$B$1:$BH$549,MATCH($BA$1,Kraftvärmeprod!$B$1:$CC$1,0),FALSE)</f>
        <v>0</v>
      </c>
    </row>
    <row r="287" spans="1:63" ht="15" customHeight="1" x14ac:dyDescent="0.25">
      <c r="A287" s="137" t="s">
        <v>573</v>
      </c>
      <c r="B287" s="137" t="s">
        <v>584</v>
      </c>
      <c r="C287" s="137">
        <v>2018</v>
      </c>
      <c r="D287" s="137" t="s">
        <v>53</v>
      </c>
      <c r="E287" s="137" t="s">
        <v>53</v>
      </c>
      <c r="F287" s="137" t="s">
        <v>53</v>
      </c>
      <c r="G287" s="137" t="s">
        <v>53</v>
      </c>
      <c r="H287" s="137" t="s">
        <v>53</v>
      </c>
      <c r="I287" s="137" t="s">
        <v>53</v>
      </c>
      <c r="J287" s="137" t="s">
        <v>53</v>
      </c>
      <c r="K287" s="137" t="s">
        <v>53</v>
      </c>
      <c r="L287" s="137" t="s">
        <v>53</v>
      </c>
      <c r="M287" s="137" t="s">
        <v>53</v>
      </c>
      <c r="N287" s="137" t="s">
        <v>53</v>
      </c>
      <c r="O287" s="137" t="s">
        <v>53</v>
      </c>
      <c r="P287" s="137" t="s">
        <v>53</v>
      </c>
      <c r="Q287" s="137" t="s">
        <v>53</v>
      </c>
      <c r="R287" s="137" t="s">
        <v>53</v>
      </c>
      <c r="S287" s="137" t="s">
        <v>53</v>
      </c>
      <c r="T287" s="137" t="s">
        <v>53</v>
      </c>
      <c r="U287" s="137" t="s">
        <v>53</v>
      </c>
      <c r="V287" s="137" t="s">
        <v>53</v>
      </c>
      <c r="W287" s="137" t="s">
        <v>53</v>
      </c>
      <c r="X287" s="137" t="s">
        <v>53</v>
      </c>
      <c r="Y287" s="137" t="s">
        <v>53</v>
      </c>
      <c r="Z287" s="137" t="s">
        <v>53</v>
      </c>
      <c r="AA287" s="137" t="s">
        <v>53</v>
      </c>
      <c r="AB287" s="137" t="s">
        <v>53</v>
      </c>
      <c r="AC287" s="137" t="s">
        <v>53</v>
      </c>
      <c r="AD287" s="137" t="s">
        <v>53</v>
      </c>
      <c r="AE287" s="137" t="s">
        <v>53</v>
      </c>
      <c r="AF287" s="137" t="s">
        <v>53</v>
      </c>
      <c r="AG287" s="137" t="s">
        <v>53</v>
      </c>
      <c r="AH287" s="137" t="s">
        <v>53</v>
      </c>
      <c r="AI287" s="137" t="s">
        <v>53</v>
      </c>
      <c r="AJ287" s="137" t="s">
        <v>53</v>
      </c>
      <c r="AK287" s="137" t="s">
        <v>53</v>
      </c>
      <c r="AL287" s="137" t="s">
        <v>53</v>
      </c>
      <c r="AM287" s="137" t="s">
        <v>53</v>
      </c>
      <c r="AN287" s="137" t="s">
        <v>53</v>
      </c>
      <c r="AO287" s="137" t="s">
        <v>53</v>
      </c>
      <c r="AP287" s="137" t="s">
        <v>53</v>
      </c>
      <c r="AQ287" s="137" t="s">
        <v>53</v>
      </c>
      <c r="AR287" s="137" t="s">
        <v>53</v>
      </c>
      <c r="AV287" s="1">
        <f t="shared" si="37"/>
        <v>0</v>
      </c>
      <c r="AW287" s="1">
        <f t="shared" si="30"/>
        <v>0</v>
      </c>
      <c r="AX287" s="13" t="str">
        <f t="shared" si="35"/>
        <v/>
      </c>
      <c r="BA287" s="12">
        <f t="shared" si="31"/>
        <v>0</v>
      </c>
      <c r="BB287" s="12">
        <f t="shared" si="36"/>
        <v>0</v>
      </c>
      <c r="BC287" s="12">
        <f t="shared" si="36"/>
        <v>0</v>
      </c>
      <c r="BD287" s="12">
        <f t="shared" si="36"/>
        <v>0</v>
      </c>
      <c r="BE287" s="12">
        <f t="shared" si="32"/>
        <v>0</v>
      </c>
      <c r="BF287" s="12">
        <f t="shared" si="33"/>
        <v>0</v>
      </c>
      <c r="BJ287" s="12" t="str">
        <f t="shared" si="34"/>
        <v/>
      </c>
      <c r="BK287" s="12">
        <f>VLOOKUP(B287,Kraftvärmeprod!$B$1:$BH$549,MATCH($BA$1,Kraftvärmeprod!$B$1:$CC$1,0),FALSE)</f>
        <v>0</v>
      </c>
    </row>
    <row r="288" spans="1:63" ht="15" customHeight="1" x14ac:dyDescent="0.25">
      <c r="A288" s="137" t="s">
        <v>585</v>
      </c>
      <c r="B288" s="137" t="s">
        <v>586</v>
      </c>
      <c r="C288" s="137">
        <v>2018</v>
      </c>
      <c r="D288" s="137">
        <v>27.821999999999999</v>
      </c>
      <c r="E288" s="137">
        <v>33.429000000000002</v>
      </c>
      <c r="F288" s="137" t="s">
        <v>193</v>
      </c>
      <c r="G288" s="137">
        <v>0.34599999999999997</v>
      </c>
      <c r="H288" s="137" t="s">
        <v>193</v>
      </c>
      <c r="I288" s="137">
        <v>3.9510000000000001</v>
      </c>
      <c r="J288" s="137" t="s">
        <v>193</v>
      </c>
      <c r="K288" s="137" t="s">
        <v>193</v>
      </c>
      <c r="L288" s="137" t="s">
        <v>193</v>
      </c>
      <c r="M288" s="137" t="s">
        <v>53</v>
      </c>
      <c r="N288" s="137" t="s">
        <v>193</v>
      </c>
      <c r="O288" s="137" t="s">
        <v>193</v>
      </c>
      <c r="P288" s="137" t="s">
        <v>193</v>
      </c>
      <c r="Q288" s="137">
        <v>24.946000000000002</v>
      </c>
      <c r="R288" s="137" t="s">
        <v>193</v>
      </c>
      <c r="S288" s="137" t="s">
        <v>193</v>
      </c>
      <c r="T288" s="137" t="s">
        <v>193</v>
      </c>
      <c r="U288" s="137" t="s">
        <v>193</v>
      </c>
      <c r="V288" s="137" t="s">
        <v>193</v>
      </c>
      <c r="W288" s="137" t="s">
        <v>193</v>
      </c>
      <c r="X288" s="137" t="s">
        <v>193</v>
      </c>
      <c r="Y288" s="137" t="s">
        <v>193</v>
      </c>
      <c r="Z288" s="137" t="s">
        <v>193</v>
      </c>
      <c r="AA288" s="137" t="s">
        <v>193</v>
      </c>
      <c r="AB288" s="137" t="s">
        <v>193</v>
      </c>
      <c r="AC288" s="137" t="s">
        <v>193</v>
      </c>
      <c r="AD288" s="137" t="s">
        <v>193</v>
      </c>
      <c r="AE288" s="137" t="s">
        <v>199</v>
      </c>
      <c r="AF288" s="137" t="s">
        <v>193</v>
      </c>
      <c r="AG288" s="137" t="s">
        <v>193</v>
      </c>
      <c r="AH288" s="137">
        <v>4.1859999999999999</v>
      </c>
      <c r="AI288" s="137" t="s">
        <v>193</v>
      </c>
      <c r="AJ288" s="137" t="s">
        <v>193</v>
      </c>
      <c r="AK288" s="137" t="s">
        <v>193</v>
      </c>
      <c r="AL288" s="137" t="s">
        <v>193</v>
      </c>
      <c r="AM288" s="137" t="s">
        <v>193</v>
      </c>
      <c r="AN288" s="137" t="s">
        <v>53</v>
      </c>
      <c r="AO288" s="137">
        <v>100</v>
      </c>
      <c r="AP288" s="137" t="s">
        <v>193</v>
      </c>
      <c r="AQ288" s="137" t="s">
        <v>193</v>
      </c>
      <c r="AR288" s="137" t="s">
        <v>193</v>
      </c>
      <c r="AV288" s="1">
        <f t="shared" si="37"/>
        <v>33.429000000000002</v>
      </c>
      <c r="AW288" s="1">
        <f t="shared" si="30"/>
        <v>27.821999999999999</v>
      </c>
      <c r="AX288" s="13">
        <f t="shared" si="35"/>
        <v>0.83227138113613919</v>
      </c>
      <c r="BA288" s="12">
        <f t="shared" si="31"/>
        <v>4.1859999999999999</v>
      </c>
      <c r="BB288" s="12">
        <f t="shared" si="36"/>
        <v>4.1859999999999999</v>
      </c>
      <c r="BC288" s="12">
        <f t="shared" si="36"/>
        <v>0</v>
      </c>
      <c r="BD288" s="12">
        <f t="shared" si="36"/>
        <v>0</v>
      </c>
      <c r="BE288" s="12">
        <f t="shared" si="32"/>
        <v>0</v>
      </c>
      <c r="BF288" s="12">
        <f t="shared" si="33"/>
        <v>0</v>
      </c>
      <c r="BJ288" s="12" t="str">
        <f t="shared" si="34"/>
        <v/>
      </c>
      <c r="BK288" s="12">
        <f>VLOOKUP(B288,Kraftvärmeprod!$B$1:$BH$549,MATCH($BA$1,Kraftvärmeprod!$B$1:$CC$1,0),FALSE)</f>
        <v>0</v>
      </c>
    </row>
    <row r="289" spans="1:63" ht="15" customHeight="1" x14ac:dyDescent="0.25">
      <c r="A289" s="137" t="s">
        <v>585</v>
      </c>
      <c r="B289" s="137" t="s">
        <v>587</v>
      </c>
      <c r="C289" s="137">
        <v>2018</v>
      </c>
      <c r="D289" s="137">
        <v>18.100999999999999</v>
      </c>
      <c r="E289" s="137">
        <v>18.088000000000001</v>
      </c>
      <c r="F289" s="137" t="s">
        <v>193</v>
      </c>
      <c r="G289" s="137">
        <v>0.51300000000000001</v>
      </c>
      <c r="H289" s="137" t="s">
        <v>193</v>
      </c>
      <c r="I289" s="137" t="s">
        <v>193</v>
      </c>
      <c r="J289" s="137" t="s">
        <v>193</v>
      </c>
      <c r="K289" s="137" t="s">
        <v>193</v>
      </c>
      <c r="L289" s="137" t="s">
        <v>193</v>
      </c>
      <c r="M289" s="137" t="s">
        <v>53</v>
      </c>
      <c r="N289" s="137" t="s">
        <v>193</v>
      </c>
      <c r="O289" s="137" t="s">
        <v>193</v>
      </c>
      <c r="P289" s="137">
        <v>15.426</v>
      </c>
      <c r="Q289" s="137" t="s">
        <v>193</v>
      </c>
      <c r="R289" s="137" t="s">
        <v>193</v>
      </c>
      <c r="S289" s="137" t="s">
        <v>193</v>
      </c>
      <c r="T289" s="137" t="s">
        <v>194</v>
      </c>
      <c r="U289" s="137" t="s">
        <v>193</v>
      </c>
      <c r="V289" s="137" t="s">
        <v>193</v>
      </c>
      <c r="W289" s="137" t="s">
        <v>193</v>
      </c>
      <c r="X289" s="137" t="s">
        <v>193</v>
      </c>
      <c r="Y289" s="137">
        <v>0.90900000000000003</v>
      </c>
      <c r="Z289" s="137" t="s">
        <v>193</v>
      </c>
      <c r="AA289" s="137" t="s">
        <v>193</v>
      </c>
      <c r="AB289" s="137" t="s">
        <v>193</v>
      </c>
      <c r="AC289" s="137" t="s">
        <v>193</v>
      </c>
      <c r="AD289" s="137" t="s">
        <v>193</v>
      </c>
      <c r="AE289" s="137" t="s">
        <v>195</v>
      </c>
      <c r="AF289" s="137">
        <v>40.5</v>
      </c>
      <c r="AG289" s="137" t="s">
        <v>193</v>
      </c>
      <c r="AH289" s="137">
        <v>1.24</v>
      </c>
      <c r="AI289" s="137" t="s">
        <v>193</v>
      </c>
      <c r="AJ289" s="137" t="s">
        <v>193</v>
      </c>
      <c r="AK289" s="137" t="s">
        <v>193</v>
      </c>
      <c r="AL289" s="137" t="s">
        <v>193</v>
      </c>
      <c r="AM289" s="137" t="s">
        <v>193</v>
      </c>
      <c r="AN289" s="137" t="s">
        <v>53</v>
      </c>
      <c r="AO289" s="137">
        <v>100</v>
      </c>
      <c r="AP289" s="137" t="s">
        <v>193</v>
      </c>
      <c r="AQ289" s="137" t="s">
        <v>193</v>
      </c>
      <c r="AR289" s="137" t="s">
        <v>193</v>
      </c>
      <c r="AV289" s="1">
        <f t="shared" si="37"/>
        <v>18.087999999999997</v>
      </c>
      <c r="AW289" s="1">
        <f t="shared" si="30"/>
        <v>18.100999999999999</v>
      </c>
      <c r="AX289" s="13">
        <f t="shared" si="35"/>
        <v>1.0007187085360461</v>
      </c>
      <c r="BA289" s="12">
        <f t="shared" si="31"/>
        <v>1.24</v>
      </c>
      <c r="BB289" s="12">
        <f t="shared" si="36"/>
        <v>1.24</v>
      </c>
      <c r="BC289" s="12">
        <f t="shared" si="36"/>
        <v>0</v>
      </c>
      <c r="BD289" s="12">
        <f t="shared" si="36"/>
        <v>0</v>
      </c>
      <c r="BE289" s="12">
        <f t="shared" si="32"/>
        <v>0</v>
      </c>
      <c r="BF289" s="12">
        <f t="shared" si="33"/>
        <v>0</v>
      </c>
      <c r="BJ289" s="12" t="str">
        <f t="shared" si="34"/>
        <v/>
      </c>
      <c r="BK289" s="12">
        <f>VLOOKUP(B289,Kraftvärmeprod!$B$1:$BH$549,MATCH($BA$1,Kraftvärmeprod!$B$1:$CC$1,0),FALSE)</f>
        <v>0</v>
      </c>
    </row>
    <row r="290" spans="1:63" ht="15" customHeight="1" x14ac:dyDescent="0.25">
      <c r="A290" s="137" t="s">
        <v>585</v>
      </c>
      <c r="B290" s="137" t="s">
        <v>588</v>
      </c>
      <c r="C290" s="137">
        <v>2018</v>
      </c>
      <c r="D290" s="137">
        <v>176.43100000000001</v>
      </c>
      <c r="E290" s="137">
        <v>192.68299999999999</v>
      </c>
      <c r="F290" s="137" t="s">
        <v>193</v>
      </c>
      <c r="G290" s="137">
        <v>4.8259999999999996</v>
      </c>
      <c r="H290" s="137" t="s">
        <v>193</v>
      </c>
      <c r="I290" s="137">
        <v>4.1100000000000003</v>
      </c>
      <c r="J290" s="137" t="s">
        <v>193</v>
      </c>
      <c r="K290" s="137" t="s">
        <v>193</v>
      </c>
      <c r="L290" s="137" t="s">
        <v>193</v>
      </c>
      <c r="M290" s="137" t="s">
        <v>53</v>
      </c>
      <c r="N290" s="137" t="s">
        <v>193</v>
      </c>
      <c r="O290" s="137" t="s">
        <v>193</v>
      </c>
      <c r="P290" s="137" t="s">
        <v>193</v>
      </c>
      <c r="Q290" s="137" t="s">
        <v>193</v>
      </c>
      <c r="R290" s="137" t="s">
        <v>193</v>
      </c>
      <c r="S290" s="137">
        <v>1.347</v>
      </c>
      <c r="T290" s="137" t="s">
        <v>193</v>
      </c>
      <c r="U290" s="137" t="s">
        <v>193</v>
      </c>
      <c r="V290" s="137" t="s">
        <v>193</v>
      </c>
      <c r="W290" s="137" t="s">
        <v>193</v>
      </c>
      <c r="X290" s="137" t="s">
        <v>193</v>
      </c>
      <c r="Y290" s="137">
        <v>4.9470000000000001</v>
      </c>
      <c r="Z290" s="137" t="s">
        <v>193</v>
      </c>
      <c r="AA290" s="137" t="s">
        <v>193</v>
      </c>
      <c r="AB290" s="137" t="s">
        <v>193</v>
      </c>
      <c r="AC290" s="137">
        <v>176</v>
      </c>
      <c r="AD290" s="137" t="s">
        <v>193</v>
      </c>
      <c r="AE290" s="137" t="s">
        <v>199</v>
      </c>
      <c r="AF290" s="137" t="s">
        <v>193</v>
      </c>
      <c r="AG290" s="137" t="s">
        <v>193</v>
      </c>
      <c r="AH290" s="137" t="s">
        <v>193</v>
      </c>
      <c r="AI290" s="137" t="s">
        <v>193</v>
      </c>
      <c r="AJ290" s="137" t="s">
        <v>193</v>
      </c>
      <c r="AK290" s="137" t="s">
        <v>193</v>
      </c>
      <c r="AL290" s="137">
        <v>1.4530000000000001</v>
      </c>
      <c r="AM290" s="137">
        <v>1.468</v>
      </c>
      <c r="AN290" s="137" t="s">
        <v>53</v>
      </c>
      <c r="AO290" s="137" t="s">
        <v>193</v>
      </c>
      <c r="AP290" s="137" t="s">
        <v>193</v>
      </c>
      <c r="AQ290" s="137" t="s">
        <v>193</v>
      </c>
      <c r="AR290" s="137" t="s">
        <v>193</v>
      </c>
      <c r="AV290" s="1">
        <f t="shared" si="37"/>
        <v>192.68299999999999</v>
      </c>
      <c r="AW290" s="1">
        <f t="shared" si="30"/>
        <v>176.43100000000001</v>
      </c>
      <c r="AX290" s="13">
        <f t="shared" si="35"/>
        <v>0.91565420924523711</v>
      </c>
      <c r="BA290" s="12">
        <f t="shared" si="31"/>
        <v>0</v>
      </c>
      <c r="BB290" s="12">
        <f t="shared" si="36"/>
        <v>0</v>
      </c>
      <c r="BC290" s="12">
        <f t="shared" si="36"/>
        <v>0</v>
      </c>
      <c r="BD290" s="12">
        <f t="shared" si="36"/>
        <v>0</v>
      </c>
      <c r="BE290" s="12">
        <f t="shared" si="32"/>
        <v>0</v>
      </c>
      <c r="BF290" s="12">
        <f t="shared" si="33"/>
        <v>0</v>
      </c>
      <c r="BJ290" s="12" t="str">
        <f t="shared" si="34"/>
        <v/>
      </c>
      <c r="BK290" s="12">
        <f>VLOOKUP(B290,Kraftvärmeprod!$B$1:$BH$549,MATCH($BA$1,Kraftvärmeprod!$B$1:$CC$1,0),FALSE)</f>
        <v>39.429000000000002</v>
      </c>
    </row>
    <row r="291" spans="1:63" ht="15" customHeight="1" x14ac:dyDescent="0.25">
      <c r="A291" s="137" t="s">
        <v>585</v>
      </c>
      <c r="B291" s="137" t="s">
        <v>589</v>
      </c>
      <c r="C291" s="137">
        <v>2018</v>
      </c>
      <c r="D291" s="137">
        <v>114.04</v>
      </c>
      <c r="E291" s="137">
        <v>131.23500000000001</v>
      </c>
      <c r="F291" s="137" t="s">
        <v>193</v>
      </c>
      <c r="G291" s="137">
        <v>0.81100000000000005</v>
      </c>
      <c r="H291" s="137" t="s">
        <v>193</v>
      </c>
      <c r="I291" s="137">
        <v>0.44</v>
      </c>
      <c r="J291" s="137" t="s">
        <v>193</v>
      </c>
      <c r="K291" s="137" t="s">
        <v>193</v>
      </c>
      <c r="L291" s="137" t="s">
        <v>193</v>
      </c>
      <c r="M291" s="137" t="s">
        <v>53</v>
      </c>
      <c r="N291" s="137" t="s">
        <v>193</v>
      </c>
      <c r="O291" s="137" t="s">
        <v>193</v>
      </c>
      <c r="P291" s="137" t="s">
        <v>193</v>
      </c>
      <c r="Q291" s="137" t="s">
        <v>193</v>
      </c>
      <c r="R291" s="137" t="s">
        <v>193</v>
      </c>
      <c r="S291" s="137" t="s">
        <v>193</v>
      </c>
      <c r="T291" s="137" t="s">
        <v>193</v>
      </c>
      <c r="U291" s="137" t="s">
        <v>193</v>
      </c>
      <c r="V291" s="137" t="s">
        <v>193</v>
      </c>
      <c r="W291" s="137" t="s">
        <v>193</v>
      </c>
      <c r="X291" s="137" t="s">
        <v>193</v>
      </c>
      <c r="Y291" s="137" t="s">
        <v>193</v>
      </c>
      <c r="Z291" s="137" t="s">
        <v>193</v>
      </c>
      <c r="AA291" s="137">
        <v>0.77300000000000002</v>
      </c>
      <c r="AB291" s="137" t="s">
        <v>193</v>
      </c>
      <c r="AC291" s="137">
        <v>85.738</v>
      </c>
      <c r="AD291" s="137" t="s">
        <v>193</v>
      </c>
      <c r="AE291" s="137" t="s">
        <v>195</v>
      </c>
      <c r="AF291" s="137">
        <v>40.5</v>
      </c>
      <c r="AG291" s="137" t="s">
        <v>193</v>
      </c>
      <c r="AH291" s="137" t="s">
        <v>193</v>
      </c>
      <c r="AI291" s="137" t="s">
        <v>193</v>
      </c>
      <c r="AJ291" s="137" t="s">
        <v>193</v>
      </c>
      <c r="AK291" s="137" t="s">
        <v>193</v>
      </c>
      <c r="AL291" s="137">
        <v>43.472999999999999</v>
      </c>
      <c r="AM291" s="137">
        <v>43.911999999999999</v>
      </c>
      <c r="AN291" s="137" t="s">
        <v>53</v>
      </c>
      <c r="AO291" s="137" t="s">
        <v>193</v>
      </c>
      <c r="AP291" s="137" t="s">
        <v>193</v>
      </c>
      <c r="AQ291" s="137" t="s">
        <v>193</v>
      </c>
      <c r="AR291" s="137" t="s">
        <v>193</v>
      </c>
      <c r="AV291" s="1">
        <f t="shared" si="37"/>
        <v>131.23500000000001</v>
      </c>
      <c r="AW291" s="1">
        <f t="shared" si="30"/>
        <v>114.04</v>
      </c>
      <c r="AX291" s="13">
        <f t="shared" si="35"/>
        <v>0.86897550196212892</v>
      </c>
      <c r="BA291" s="12">
        <f t="shared" si="31"/>
        <v>0</v>
      </c>
      <c r="BB291" s="12">
        <f t="shared" si="36"/>
        <v>0</v>
      </c>
      <c r="BC291" s="12">
        <f t="shared" si="36"/>
        <v>0</v>
      </c>
      <c r="BD291" s="12">
        <f t="shared" si="36"/>
        <v>0</v>
      </c>
      <c r="BE291" s="12">
        <f t="shared" si="32"/>
        <v>0</v>
      </c>
      <c r="BF291" s="12">
        <f t="shared" si="33"/>
        <v>0</v>
      </c>
      <c r="BJ291" s="12" t="str">
        <f t="shared" si="34"/>
        <v/>
      </c>
      <c r="BK291" s="12">
        <f>VLOOKUP(B291,Kraftvärmeprod!$B$1:$BH$549,MATCH($BA$1,Kraftvärmeprod!$B$1:$CC$1,0),FALSE)</f>
        <v>0</v>
      </c>
    </row>
    <row r="292" spans="1:63" ht="15" customHeight="1" x14ac:dyDescent="0.25">
      <c r="A292" s="137" t="s">
        <v>585</v>
      </c>
      <c r="B292" s="137" t="s">
        <v>590</v>
      </c>
      <c r="C292" s="137">
        <v>2018</v>
      </c>
      <c r="D292" s="137">
        <v>7.806</v>
      </c>
      <c r="E292" s="137">
        <v>9.0730000000000004</v>
      </c>
      <c r="F292" s="137" t="s">
        <v>193</v>
      </c>
      <c r="G292" s="137">
        <v>0.86299999999999999</v>
      </c>
      <c r="H292" s="137" t="s">
        <v>193</v>
      </c>
      <c r="I292" s="137" t="s">
        <v>193</v>
      </c>
      <c r="J292" s="137" t="s">
        <v>193</v>
      </c>
      <c r="K292" s="137" t="s">
        <v>193</v>
      </c>
      <c r="L292" s="137" t="s">
        <v>193</v>
      </c>
      <c r="M292" s="137" t="s">
        <v>53</v>
      </c>
      <c r="N292" s="137" t="s">
        <v>193</v>
      </c>
      <c r="O292" s="137" t="s">
        <v>193</v>
      </c>
      <c r="P292" s="137" t="s">
        <v>193</v>
      </c>
      <c r="Q292" s="137" t="s">
        <v>193</v>
      </c>
      <c r="R292" s="137" t="s">
        <v>193</v>
      </c>
      <c r="S292" s="137" t="s">
        <v>193</v>
      </c>
      <c r="T292" s="137" t="s">
        <v>193</v>
      </c>
      <c r="U292" s="137">
        <v>8.2100000000000009</v>
      </c>
      <c r="V292" s="137" t="s">
        <v>193</v>
      </c>
      <c r="W292" s="137" t="s">
        <v>193</v>
      </c>
      <c r="X292" s="137" t="s">
        <v>193</v>
      </c>
      <c r="Y292" s="137" t="s">
        <v>193</v>
      </c>
      <c r="Z292" s="137" t="s">
        <v>193</v>
      </c>
      <c r="AA292" s="137" t="s">
        <v>193</v>
      </c>
      <c r="AB292" s="137" t="s">
        <v>193</v>
      </c>
      <c r="AC292" s="137" t="s">
        <v>193</v>
      </c>
      <c r="AD292" s="137" t="s">
        <v>193</v>
      </c>
      <c r="AE292" s="137" t="s">
        <v>195</v>
      </c>
      <c r="AF292" s="137">
        <v>40.5</v>
      </c>
      <c r="AG292" s="137" t="s">
        <v>193</v>
      </c>
      <c r="AH292" s="137" t="s">
        <v>193</v>
      </c>
      <c r="AI292" s="137" t="s">
        <v>193</v>
      </c>
      <c r="AJ292" s="137" t="s">
        <v>193</v>
      </c>
      <c r="AK292" s="137" t="s">
        <v>193</v>
      </c>
      <c r="AL292" s="137" t="s">
        <v>193</v>
      </c>
      <c r="AM292" s="137" t="s">
        <v>193</v>
      </c>
      <c r="AN292" s="137" t="s">
        <v>53</v>
      </c>
      <c r="AO292" s="137" t="s">
        <v>193</v>
      </c>
      <c r="AP292" s="137" t="s">
        <v>193</v>
      </c>
      <c r="AQ292" s="137" t="s">
        <v>193</v>
      </c>
      <c r="AR292" s="137" t="s">
        <v>193</v>
      </c>
      <c r="AV292" s="1">
        <f t="shared" si="37"/>
        <v>9.0730000000000004</v>
      </c>
      <c r="AW292" s="1">
        <f t="shared" si="30"/>
        <v>7.806</v>
      </c>
      <c r="AX292" s="13">
        <f t="shared" si="35"/>
        <v>0.86035489915132812</v>
      </c>
      <c r="BA292" s="12">
        <f t="shared" si="31"/>
        <v>0</v>
      </c>
      <c r="BB292" s="12">
        <f t="shared" si="36"/>
        <v>0</v>
      </c>
      <c r="BC292" s="12">
        <f t="shared" si="36"/>
        <v>0</v>
      </c>
      <c r="BD292" s="12">
        <f t="shared" si="36"/>
        <v>0</v>
      </c>
      <c r="BE292" s="12">
        <f t="shared" si="32"/>
        <v>0</v>
      </c>
      <c r="BF292" s="12">
        <f t="shared" si="33"/>
        <v>0</v>
      </c>
      <c r="BJ292" s="12" t="str">
        <f t="shared" si="34"/>
        <v/>
      </c>
      <c r="BK292" s="12">
        <f>VLOOKUP(B292,Kraftvärmeprod!$B$1:$BH$549,MATCH($BA$1,Kraftvärmeprod!$B$1:$CC$1,0),FALSE)</f>
        <v>0</v>
      </c>
    </row>
    <row r="293" spans="1:63" ht="15" customHeight="1" x14ac:dyDescent="0.25">
      <c r="A293" s="137" t="s">
        <v>49</v>
      </c>
      <c r="B293" s="141" t="s">
        <v>50</v>
      </c>
      <c r="C293" s="137">
        <v>2018</v>
      </c>
      <c r="D293" s="137" t="s">
        <v>53</v>
      </c>
      <c r="E293" s="137" t="s">
        <v>53</v>
      </c>
      <c r="F293" s="137" t="s">
        <v>53</v>
      </c>
      <c r="G293" s="137" t="s">
        <v>53</v>
      </c>
      <c r="H293" s="137" t="s">
        <v>53</v>
      </c>
      <c r="I293" s="137" t="s">
        <v>53</v>
      </c>
      <c r="J293" s="137" t="s">
        <v>53</v>
      </c>
      <c r="K293" s="137" t="s">
        <v>53</v>
      </c>
      <c r="L293" s="137" t="s">
        <v>53</v>
      </c>
      <c r="M293" s="137" t="s">
        <v>53</v>
      </c>
      <c r="N293" s="137" t="s">
        <v>53</v>
      </c>
      <c r="O293" s="137" t="s">
        <v>53</v>
      </c>
      <c r="P293" s="137" t="s">
        <v>53</v>
      </c>
      <c r="Q293" s="137" t="s">
        <v>53</v>
      </c>
      <c r="R293" s="137" t="s">
        <v>53</v>
      </c>
      <c r="S293" s="137" t="s">
        <v>53</v>
      </c>
      <c r="T293" s="137" t="s">
        <v>53</v>
      </c>
      <c r="U293" s="137" t="s">
        <v>53</v>
      </c>
      <c r="V293" s="137" t="s">
        <v>53</v>
      </c>
      <c r="W293" s="137" t="s">
        <v>53</v>
      </c>
      <c r="X293" s="137" t="s">
        <v>53</v>
      </c>
      <c r="Y293" s="137" t="s">
        <v>53</v>
      </c>
      <c r="Z293" s="137" t="s">
        <v>53</v>
      </c>
      <c r="AA293" s="137" t="s">
        <v>53</v>
      </c>
      <c r="AB293" s="137" t="s">
        <v>53</v>
      </c>
      <c r="AC293" s="137" t="s">
        <v>53</v>
      </c>
      <c r="AD293" s="137" t="s">
        <v>53</v>
      </c>
      <c r="AE293" s="137" t="s">
        <v>53</v>
      </c>
      <c r="AF293" s="137" t="s">
        <v>53</v>
      </c>
      <c r="AG293" s="137" t="s">
        <v>53</v>
      </c>
      <c r="AH293" s="137" t="s">
        <v>53</v>
      </c>
      <c r="AI293" s="137" t="s">
        <v>53</v>
      </c>
      <c r="AJ293" s="137" t="s">
        <v>53</v>
      </c>
      <c r="AK293" s="137" t="s">
        <v>53</v>
      </c>
      <c r="AL293" s="137" t="s">
        <v>53</v>
      </c>
      <c r="AM293" s="137" t="s">
        <v>53</v>
      </c>
      <c r="AN293" s="137" t="s">
        <v>53</v>
      </c>
      <c r="AO293" s="137" t="s">
        <v>53</v>
      </c>
      <c r="AP293" s="137" t="s">
        <v>53</v>
      </c>
      <c r="AQ293" s="137" t="s">
        <v>53</v>
      </c>
      <c r="AR293" s="137" t="s">
        <v>53</v>
      </c>
      <c r="AV293" s="1">
        <f t="shared" si="37"/>
        <v>0</v>
      </c>
      <c r="AW293" s="1">
        <f t="shared" si="30"/>
        <v>0</v>
      </c>
      <c r="AX293" s="13" t="str">
        <f t="shared" si="35"/>
        <v/>
      </c>
      <c r="BA293" s="12">
        <f t="shared" si="31"/>
        <v>0</v>
      </c>
      <c r="BB293" s="12">
        <f t="shared" si="36"/>
        <v>0</v>
      </c>
      <c r="BC293" s="12">
        <f t="shared" si="36"/>
        <v>0</v>
      </c>
      <c r="BD293" s="12">
        <f t="shared" si="36"/>
        <v>0</v>
      </c>
      <c r="BE293" s="12">
        <f t="shared" si="32"/>
        <v>0</v>
      </c>
      <c r="BF293" s="12">
        <f t="shared" si="33"/>
        <v>0</v>
      </c>
      <c r="BJ293" s="12" t="str">
        <f t="shared" si="34"/>
        <v/>
      </c>
      <c r="BK293" s="12">
        <f>VLOOKUP(B293,Kraftvärmeprod!$B$1:$BH$549,MATCH($BA$1,Kraftvärmeprod!$B$1:$CC$1,0),FALSE)</f>
        <v>0</v>
      </c>
    </row>
    <row r="294" spans="1:63" ht="15" customHeight="1" x14ac:dyDescent="0.25">
      <c r="A294" s="137" t="s">
        <v>591</v>
      </c>
      <c r="B294" s="137" t="s">
        <v>592</v>
      </c>
      <c r="C294" s="137">
        <v>2018</v>
      </c>
      <c r="D294" s="137">
        <v>1.849</v>
      </c>
      <c r="E294" s="137">
        <v>2.1040000000000001</v>
      </c>
      <c r="F294" s="137" t="s">
        <v>193</v>
      </c>
      <c r="G294" s="137">
        <v>0.752</v>
      </c>
      <c r="H294" s="137" t="s">
        <v>193</v>
      </c>
      <c r="I294" s="137" t="s">
        <v>193</v>
      </c>
      <c r="J294" s="137" t="s">
        <v>193</v>
      </c>
      <c r="K294" s="137" t="s">
        <v>193</v>
      </c>
      <c r="L294" s="137">
        <v>1.0009999999999999</v>
      </c>
      <c r="M294" s="137" t="s">
        <v>593</v>
      </c>
      <c r="N294" s="137" t="s">
        <v>193</v>
      </c>
      <c r="O294" s="137" t="s">
        <v>193</v>
      </c>
      <c r="P294" s="137" t="s">
        <v>193</v>
      </c>
      <c r="Q294" s="137" t="s">
        <v>193</v>
      </c>
      <c r="R294" s="137" t="s">
        <v>193</v>
      </c>
      <c r="S294" s="137" t="s">
        <v>193</v>
      </c>
      <c r="T294" s="137" t="s">
        <v>193</v>
      </c>
      <c r="U294" s="137" t="s">
        <v>193</v>
      </c>
      <c r="V294" s="137" t="s">
        <v>193</v>
      </c>
      <c r="W294" s="137" t="s">
        <v>193</v>
      </c>
      <c r="X294" s="137" t="s">
        <v>193</v>
      </c>
      <c r="Y294" s="137" t="s">
        <v>193</v>
      </c>
      <c r="Z294" s="137">
        <v>0.35099999999999998</v>
      </c>
      <c r="AA294" s="137" t="s">
        <v>193</v>
      </c>
      <c r="AB294" s="137" t="s">
        <v>193</v>
      </c>
      <c r="AC294" s="137" t="s">
        <v>193</v>
      </c>
      <c r="AD294" s="137" t="s">
        <v>193</v>
      </c>
      <c r="AE294" s="137" t="s">
        <v>53</v>
      </c>
      <c r="AF294" s="137" t="s">
        <v>193</v>
      </c>
      <c r="AG294" s="137" t="s">
        <v>193</v>
      </c>
      <c r="AH294" s="137" t="s">
        <v>193</v>
      </c>
      <c r="AI294" s="137" t="s">
        <v>193</v>
      </c>
      <c r="AJ294" s="137" t="s">
        <v>193</v>
      </c>
      <c r="AK294" s="137" t="s">
        <v>193</v>
      </c>
      <c r="AL294" s="137" t="s">
        <v>193</v>
      </c>
      <c r="AM294" s="137" t="s">
        <v>193</v>
      </c>
      <c r="AN294" s="137" t="s">
        <v>53</v>
      </c>
      <c r="AO294" s="137" t="s">
        <v>193</v>
      </c>
      <c r="AP294" s="137" t="s">
        <v>193</v>
      </c>
      <c r="AQ294" s="137" t="s">
        <v>193</v>
      </c>
      <c r="AR294" s="137" t="s">
        <v>193</v>
      </c>
      <c r="AV294" s="1">
        <f t="shared" si="37"/>
        <v>2.1040000000000001</v>
      </c>
      <c r="AW294" s="1">
        <f t="shared" si="30"/>
        <v>1.849</v>
      </c>
      <c r="AX294" s="13">
        <f t="shared" si="35"/>
        <v>0.87880228136882121</v>
      </c>
      <c r="BA294" s="12">
        <f t="shared" si="31"/>
        <v>0</v>
      </c>
      <c r="BB294" s="12">
        <f t="shared" si="36"/>
        <v>0</v>
      </c>
      <c r="BC294" s="12">
        <f t="shared" si="36"/>
        <v>0</v>
      </c>
      <c r="BD294" s="12">
        <f t="shared" si="36"/>
        <v>0</v>
      </c>
      <c r="BE294" s="12">
        <f t="shared" si="32"/>
        <v>0</v>
      </c>
      <c r="BF294" s="12">
        <f t="shared" si="33"/>
        <v>0</v>
      </c>
      <c r="BJ294" s="12" t="str">
        <f t="shared" si="34"/>
        <v/>
      </c>
      <c r="BK294" s="12">
        <f>VLOOKUP(B294,Kraftvärmeprod!$B$1:$BH$549,MATCH($BA$1,Kraftvärmeprod!$B$1:$CC$1,0),FALSE)</f>
        <v>0</v>
      </c>
    </row>
    <row r="295" spans="1:63" ht="15" customHeight="1" x14ac:dyDescent="0.25">
      <c r="A295" s="137" t="s">
        <v>591</v>
      </c>
      <c r="B295" s="137" t="s">
        <v>594</v>
      </c>
      <c r="C295" s="137">
        <v>2018</v>
      </c>
      <c r="D295" s="137" t="s">
        <v>193</v>
      </c>
      <c r="E295" s="137" t="s">
        <v>193</v>
      </c>
      <c r="F295" s="137" t="s">
        <v>193</v>
      </c>
      <c r="G295" s="137" t="s">
        <v>193</v>
      </c>
      <c r="H295" s="137" t="s">
        <v>193</v>
      </c>
      <c r="I295" s="137" t="s">
        <v>193</v>
      </c>
      <c r="J295" s="137" t="s">
        <v>193</v>
      </c>
      <c r="K295" s="137" t="s">
        <v>193</v>
      </c>
      <c r="L295" s="137" t="s">
        <v>193</v>
      </c>
      <c r="M295" s="137" t="s">
        <v>53</v>
      </c>
      <c r="N295" s="137" t="s">
        <v>193</v>
      </c>
      <c r="O295" s="137" t="s">
        <v>193</v>
      </c>
      <c r="P295" s="137" t="s">
        <v>193</v>
      </c>
      <c r="Q295" s="137" t="s">
        <v>193</v>
      </c>
      <c r="R295" s="137" t="s">
        <v>193</v>
      </c>
      <c r="S295" s="137" t="s">
        <v>193</v>
      </c>
      <c r="T295" s="137" t="s">
        <v>193</v>
      </c>
      <c r="U295" s="137" t="s">
        <v>193</v>
      </c>
      <c r="V295" s="137" t="s">
        <v>193</v>
      </c>
      <c r="W295" s="137" t="s">
        <v>193</v>
      </c>
      <c r="X295" s="137" t="s">
        <v>193</v>
      </c>
      <c r="Y295" s="137" t="s">
        <v>193</v>
      </c>
      <c r="Z295" s="137" t="s">
        <v>193</v>
      </c>
      <c r="AA295" s="137" t="s">
        <v>193</v>
      </c>
      <c r="AB295" s="137" t="s">
        <v>193</v>
      </c>
      <c r="AC295" s="137" t="s">
        <v>193</v>
      </c>
      <c r="AD295" s="137" t="s">
        <v>193</v>
      </c>
      <c r="AE295" s="137" t="s">
        <v>53</v>
      </c>
      <c r="AF295" s="137" t="s">
        <v>193</v>
      </c>
      <c r="AG295" s="137" t="s">
        <v>193</v>
      </c>
      <c r="AH295" s="137" t="s">
        <v>193</v>
      </c>
      <c r="AI295" s="137" t="s">
        <v>193</v>
      </c>
      <c r="AJ295" s="137" t="s">
        <v>193</v>
      </c>
      <c r="AK295" s="137" t="s">
        <v>193</v>
      </c>
      <c r="AL295" s="137" t="s">
        <v>193</v>
      </c>
      <c r="AM295" s="137" t="s">
        <v>193</v>
      </c>
      <c r="AN295" s="137" t="s">
        <v>53</v>
      </c>
      <c r="AO295" s="137" t="s">
        <v>193</v>
      </c>
      <c r="AP295" s="137" t="s">
        <v>193</v>
      </c>
      <c r="AQ295" s="137" t="s">
        <v>193</v>
      </c>
      <c r="AR295" s="137" t="s">
        <v>193</v>
      </c>
      <c r="AV295" s="1">
        <f t="shared" si="37"/>
        <v>0</v>
      </c>
      <c r="AW295" s="1">
        <f t="shared" si="30"/>
        <v>0</v>
      </c>
      <c r="AX295" s="13" t="str">
        <f t="shared" si="35"/>
        <v/>
      </c>
      <c r="BA295" s="12">
        <f t="shared" si="31"/>
        <v>0</v>
      </c>
      <c r="BB295" s="12">
        <f t="shared" si="36"/>
        <v>0</v>
      </c>
      <c r="BC295" s="12">
        <f t="shared" si="36"/>
        <v>0</v>
      </c>
      <c r="BD295" s="12">
        <f t="shared" si="36"/>
        <v>0</v>
      </c>
      <c r="BE295" s="12">
        <f t="shared" si="32"/>
        <v>0</v>
      </c>
      <c r="BF295" s="12">
        <f t="shared" si="33"/>
        <v>0</v>
      </c>
      <c r="BJ295" s="12" t="str">
        <f t="shared" si="34"/>
        <v/>
      </c>
      <c r="BK295" s="12">
        <f>VLOOKUP(B295,Kraftvärmeprod!$B$1:$BH$549,MATCH($BA$1,Kraftvärmeprod!$B$1:$CC$1,0),FALSE)</f>
        <v>0</v>
      </c>
    </row>
    <row r="296" spans="1:63" ht="15" customHeight="1" x14ac:dyDescent="0.25">
      <c r="A296" s="137" t="s">
        <v>591</v>
      </c>
      <c r="B296" s="137" t="s">
        <v>595</v>
      </c>
      <c r="C296" s="137">
        <v>2018</v>
      </c>
      <c r="D296" s="137">
        <v>3.61</v>
      </c>
      <c r="E296" s="137">
        <v>4.0460000000000003</v>
      </c>
      <c r="F296" s="137" t="s">
        <v>193</v>
      </c>
      <c r="G296" s="137">
        <v>7.8E-2</v>
      </c>
      <c r="H296" s="137" t="s">
        <v>193</v>
      </c>
      <c r="I296" s="137" t="s">
        <v>193</v>
      </c>
      <c r="J296" s="137" t="s">
        <v>193</v>
      </c>
      <c r="K296" s="137" t="s">
        <v>193</v>
      </c>
      <c r="L296" s="137" t="s">
        <v>193</v>
      </c>
      <c r="M296" s="137" t="s">
        <v>53</v>
      </c>
      <c r="N296" s="137" t="s">
        <v>193</v>
      </c>
      <c r="O296" s="137" t="s">
        <v>193</v>
      </c>
      <c r="P296" s="137" t="s">
        <v>193</v>
      </c>
      <c r="Q296" s="137" t="s">
        <v>193</v>
      </c>
      <c r="R296" s="137" t="s">
        <v>193</v>
      </c>
      <c r="S296" s="137" t="s">
        <v>193</v>
      </c>
      <c r="T296" s="137" t="s">
        <v>193</v>
      </c>
      <c r="U296" s="137">
        <v>3.968</v>
      </c>
      <c r="V296" s="137" t="s">
        <v>193</v>
      </c>
      <c r="W296" s="137" t="s">
        <v>193</v>
      </c>
      <c r="X296" s="137" t="s">
        <v>193</v>
      </c>
      <c r="Y296" s="137" t="s">
        <v>193</v>
      </c>
      <c r="Z296" s="137" t="s">
        <v>193</v>
      </c>
      <c r="AA296" s="137" t="s">
        <v>193</v>
      </c>
      <c r="AB296" s="137" t="s">
        <v>193</v>
      </c>
      <c r="AC296" s="137" t="s">
        <v>193</v>
      </c>
      <c r="AD296" s="137" t="s">
        <v>193</v>
      </c>
      <c r="AE296" s="137" t="s">
        <v>53</v>
      </c>
      <c r="AF296" s="137" t="s">
        <v>193</v>
      </c>
      <c r="AG296" s="137" t="s">
        <v>193</v>
      </c>
      <c r="AH296" s="137" t="s">
        <v>193</v>
      </c>
      <c r="AI296" s="137" t="s">
        <v>193</v>
      </c>
      <c r="AJ296" s="137" t="s">
        <v>596</v>
      </c>
      <c r="AK296" s="137" t="s">
        <v>193</v>
      </c>
      <c r="AL296" s="137" t="s">
        <v>193</v>
      </c>
      <c r="AM296" s="137">
        <v>0</v>
      </c>
      <c r="AN296" s="137" t="s">
        <v>53</v>
      </c>
      <c r="AO296" s="137" t="s">
        <v>193</v>
      </c>
      <c r="AP296" s="137" t="s">
        <v>193</v>
      </c>
      <c r="AQ296" s="137" t="s">
        <v>193</v>
      </c>
      <c r="AR296" s="137" t="s">
        <v>193</v>
      </c>
      <c r="AV296" s="1">
        <f t="shared" si="37"/>
        <v>4.0460000000000003</v>
      </c>
      <c r="AW296" s="1">
        <f t="shared" si="30"/>
        <v>3.61</v>
      </c>
      <c r="AX296" s="13">
        <f t="shared" si="35"/>
        <v>0.89223924864063264</v>
      </c>
      <c r="BA296" s="12">
        <f t="shared" si="31"/>
        <v>0</v>
      </c>
      <c r="BB296" s="12">
        <f t="shared" si="36"/>
        <v>0</v>
      </c>
      <c r="BC296" s="12">
        <f t="shared" si="36"/>
        <v>0</v>
      </c>
      <c r="BD296" s="12">
        <f t="shared" si="36"/>
        <v>0</v>
      </c>
      <c r="BE296" s="12">
        <f t="shared" si="32"/>
        <v>0</v>
      </c>
      <c r="BF296" s="12">
        <f t="shared" si="33"/>
        <v>0</v>
      </c>
      <c r="BJ296" s="12" t="str">
        <f t="shared" si="34"/>
        <v/>
      </c>
      <c r="BK296" s="12">
        <f>VLOOKUP(B296,Kraftvärmeprod!$B$1:$BH$549,MATCH($BA$1,Kraftvärmeprod!$B$1:$CC$1,0),FALSE)</f>
        <v>0</v>
      </c>
    </row>
    <row r="297" spans="1:63" ht="15" customHeight="1" x14ac:dyDescent="0.25">
      <c r="A297" s="137" t="s">
        <v>591</v>
      </c>
      <c r="B297" s="137" t="s">
        <v>597</v>
      </c>
      <c r="C297" s="137">
        <v>2018</v>
      </c>
      <c r="D297" s="137">
        <v>24.974</v>
      </c>
      <c r="E297" s="137">
        <v>27.92</v>
      </c>
      <c r="F297" s="137" t="s">
        <v>193</v>
      </c>
      <c r="G297" s="137">
        <v>0.83499999999999996</v>
      </c>
      <c r="H297" s="137" t="s">
        <v>193</v>
      </c>
      <c r="I297" s="137" t="s">
        <v>193</v>
      </c>
      <c r="J297" s="137" t="s">
        <v>193</v>
      </c>
      <c r="K297" s="137" t="s">
        <v>193</v>
      </c>
      <c r="L297" s="137" t="s">
        <v>193</v>
      </c>
      <c r="M297" s="137" t="s">
        <v>53</v>
      </c>
      <c r="N297" s="137" t="s">
        <v>193</v>
      </c>
      <c r="O297" s="137" t="s">
        <v>193</v>
      </c>
      <c r="P297" s="137" t="s">
        <v>193</v>
      </c>
      <c r="Q297" s="137" t="s">
        <v>193</v>
      </c>
      <c r="R297" s="137" t="s">
        <v>193</v>
      </c>
      <c r="S297" s="137" t="s">
        <v>193</v>
      </c>
      <c r="T297" s="137" t="s">
        <v>193</v>
      </c>
      <c r="U297" s="137">
        <v>27.085000000000001</v>
      </c>
      <c r="V297" s="137" t="s">
        <v>193</v>
      </c>
      <c r="W297" s="137" t="s">
        <v>193</v>
      </c>
      <c r="X297" s="137" t="s">
        <v>193</v>
      </c>
      <c r="Y297" s="137" t="s">
        <v>193</v>
      </c>
      <c r="Z297" s="137" t="s">
        <v>193</v>
      </c>
      <c r="AA297" s="137" t="s">
        <v>193</v>
      </c>
      <c r="AB297" s="137" t="s">
        <v>193</v>
      </c>
      <c r="AC297" s="137" t="s">
        <v>193</v>
      </c>
      <c r="AD297" s="137" t="s">
        <v>193</v>
      </c>
      <c r="AE297" s="137" t="s">
        <v>199</v>
      </c>
      <c r="AF297" s="137" t="s">
        <v>193</v>
      </c>
      <c r="AG297" s="137" t="s">
        <v>193</v>
      </c>
      <c r="AH297" s="137" t="s">
        <v>193</v>
      </c>
      <c r="AI297" s="137" t="s">
        <v>193</v>
      </c>
      <c r="AJ297" s="137" t="s">
        <v>193</v>
      </c>
      <c r="AK297" s="137" t="s">
        <v>193</v>
      </c>
      <c r="AL297" s="137">
        <v>0</v>
      </c>
      <c r="AM297" s="137">
        <v>0</v>
      </c>
      <c r="AN297" s="137" t="s">
        <v>53</v>
      </c>
      <c r="AO297" s="137" t="s">
        <v>193</v>
      </c>
      <c r="AP297" s="137" t="s">
        <v>193</v>
      </c>
      <c r="AQ297" s="137" t="s">
        <v>193</v>
      </c>
      <c r="AR297" s="137" t="s">
        <v>193</v>
      </c>
      <c r="AV297" s="1">
        <f t="shared" si="37"/>
        <v>27.92</v>
      </c>
      <c r="AW297" s="1">
        <f t="shared" si="30"/>
        <v>24.974</v>
      </c>
      <c r="AX297" s="13">
        <f t="shared" si="35"/>
        <v>0.89448424068767907</v>
      </c>
      <c r="BA297" s="12">
        <f t="shared" si="31"/>
        <v>0</v>
      </c>
      <c r="BB297" s="12">
        <f t="shared" si="36"/>
        <v>0</v>
      </c>
      <c r="BC297" s="12">
        <f t="shared" si="36"/>
        <v>0</v>
      </c>
      <c r="BD297" s="12">
        <f t="shared" si="36"/>
        <v>0</v>
      </c>
      <c r="BE297" s="12">
        <f t="shared" si="32"/>
        <v>0</v>
      </c>
      <c r="BF297" s="12">
        <f t="shared" si="33"/>
        <v>0</v>
      </c>
      <c r="BJ297" s="12" t="str">
        <f t="shared" si="34"/>
        <v/>
      </c>
      <c r="BK297" s="12">
        <f>VLOOKUP(B297,Kraftvärmeprod!$B$1:$BH$549,MATCH($BA$1,Kraftvärmeprod!$B$1:$CC$1,0),FALSE)</f>
        <v>21.395</v>
      </c>
    </row>
    <row r="298" spans="1:63" ht="15" customHeight="1" x14ac:dyDescent="0.25">
      <c r="A298" s="137" t="s">
        <v>598</v>
      </c>
      <c r="B298" s="137" t="s">
        <v>599</v>
      </c>
      <c r="C298" s="137">
        <v>2018</v>
      </c>
      <c r="D298" s="137">
        <v>384</v>
      </c>
      <c r="E298" s="137">
        <v>384.15300000000002</v>
      </c>
      <c r="F298" s="137">
        <v>0</v>
      </c>
      <c r="G298" s="137">
        <v>2.1190000000000002</v>
      </c>
      <c r="H298" s="137" t="s">
        <v>193</v>
      </c>
      <c r="I298" s="137">
        <v>4.0830000000000002</v>
      </c>
      <c r="J298" s="137" t="s">
        <v>193</v>
      </c>
      <c r="K298" s="137" t="s">
        <v>193</v>
      </c>
      <c r="L298" s="137" t="s">
        <v>193</v>
      </c>
      <c r="M298" s="137" t="s">
        <v>53</v>
      </c>
      <c r="N298" s="137">
        <v>0.33300000000000002</v>
      </c>
      <c r="O298" s="137">
        <v>0.23400000000000001</v>
      </c>
      <c r="P298" s="137">
        <v>0.11899999999999999</v>
      </c>
      <c r="Q298" s="137">
        <v>0.39400000000000002</v>
      </c>
      <c r="R298" s="137" t="s">
        <v>193</v>
      </c>
      <c r="S298" s="137" t="s">
        <v>193</v>
      </c>
      <c r="T298" s="137" t="s">
        <v>193</v>
      </c>
      <c r="U298" s="137">
        <v>18.861999999999998</v>
      </c>
      <c r="V298" s="137" t="s">
        <v>193</v>
      </c>
      <c r="W298" s="137" t="s">
        <v>193</v>
      </c>
      <c r="X298" s="137">
        <v>92.206999999999994</v>
      </c>
      <c r="Y298" s="137">
        <v>36.31</v>
      </c>
      <c r="Z298" s="137">
        <v>13.082000000000001</v>
      </c>
      <c r="AA298" s="137" t="s">
        <v>193</v>
      </c>
      <c r="AB298" s="137" t="s">
        <v>193</v>
      </c>
      <c r="AC298" s="137">
        <v>191.071</v>
      </c>
      <c r="AD298" s="137" t="s">
        <v>193</v>
      </c>
      <c r="AE298" s="137" t="s">
        <v>195</v>
      </c>
      <c r="AF298" s="137">
        <v>40.5</v>
      </c>
      <c r="AG298" s="137">
        <v>3.19</v>
      </c>
      <c r="AH298" s="137">
        <v>19.181999999999999</v>
      </c>
      <c r="AI298" s="137">
        <v>2.9670000000000001</v>
      </c>
      <c r="AJ298" s="137" t="s">
        <v>197</v>
      </c>
      <c r="AK298" s="137">
        <v>1.413</v>
      </c>
      <c r="AL298" s="137" t="s">
        <v>193</v>
      </c>
      <c r="AM298" s="137" t="s">
        <v>193</v>
      </c>
      <c r="AN298" s="137" t="s">
        <v>53</v>
      </c>
      <c r="AO298" s="137">
        <v>100</v>
      </c>
      <c r="AP298" s="137" t="s">
        <v>193</v>
      </c>
      <c r="AQ298" s="137" t="s">
        <v>193</v>
      </c>
      <c r="AR298" s="137" t="s">
        <v>193</v>
      </c>
      <c r="AV298" s="1">
        <f t="shared" si="37"/>
        <v>384.15299999999996</v>
      </c>
      <c r="AW298" s="1">
        <f t="shared" si="30"/>
        <v>384</v>
      </c>
      <c r="AX298" s="13">
        <f t="shared" si="35"/>
        <v>0.99960172118921375</v>
      </c>
      <c r="BA298" s="12">
        <f t="shared" si="31"/>
        <v>19.181999999999999</v>
      </c>
      <c r="BB298" s="12">
        <f t="shared" si="36"/>
        <v>19.181999999999999</v>
      </c>
      <c r="BC298" s="12">
        <f t="shared" si="36"/>
        <v>0</v>
      </c>
      <c r="BD298" s="12">
        <f t="shared" si="36"/>
        <v>0</v>
      </c>
      <c r="BE298" s="12">
        <f t="shared" si="32"/>
        <v>0</v>
      </c>
      <c r="BF298" s="12">
        <f t="shared" si="33"/>
        <v>0</v>
      </c>
      <c r="BJ298" s="12" t="str">
        <f t="shared" si="34"/>
        <v/>
      </c>
      <c r="BK298" s="12">
        <f>VLOOKUP(B298,Kraftvärmeprod!$B$1:$BH$549,MATCH($BA$1,Kraftvärmeprod!$B$1:$CC$1,0),FALSE)</f>
        <v>144.01300000000001</v>
      </c>
    </row>
    <row r="299" spans="1:63" ht="15" customHeight="1" x14ac:dyDescent="0.25">
      <c r="A299" s="137" t="s">
        <v>600</v>
      </c>
      <c r="B299" s="137" t="s">
        <v>132</v>
      </c>
      <c r="C299" s="137">
        <v>2018</v>
      </c>
      <c r="D299" s="137" t="s">
        <v>53</v>
      </c>
      <c r="E299" s="137" t="s">
        <v>53</v>
      </c>
      <c r="F299" s="137" t="s">
        <v>53</v>
      </c>
      <c r="G299" s="137" t="s">
        <v>53</v>
      </c>
      <c r="H299" s="137" t="s">
        <v>53</v>
      </c>
      <c r="I299" s="137" t="s">
        <v>53</v>
      </c>
      <c r="J299" s="137" t="s">
        <v>53</v>
      </c>
      <c r="K299" s="137" t="s">
        <v>53</v>
      </c>
      <c r="L299" s="137" t="s">
        <v>53</v>
      </c>
      <c r="M299" s="137" t="s">
        <v>53</v>
      </c>
      <c r="N299" s="137" t="s">
        <v>53</v>
      </c>
      <c r="O299" s="137" t="s">
        <v>53</v>
      </c>
      <c r="P299" s="137" t="s">
        <v>53</v>
      </c>
      <c r="Q299" s="137" t="s">
        <v>53</v>
      </c>
      <c r="R299" s="137" t="s">
        <v>53</v>
      </c>
      <c r="S299" s="137" t="s">
        <v>53</v>
      </c>
      <c r="T299" s="137" t="s">
        <v>53</v>
      </c>
      <c r="U299" s="137" t="s">
        <v>53</v>
      </c>
      <c r="V299" s="137" t="s">
        <v>53</v>
      </c>
      <c r="W299" s="137" t="s">
        <v>53</v>
      </c>
      <c r="X299" s="137" t="s">
        <v>53</v>
      </c>
      <c r="Y299" s="137" t="s">
        <v>53</v>
      </c>
      <c r="Z299" s="137" t="s">
        <v>53</v>
      </c>
      <c r="AA299" s="137" t="s">
        <v>53</v>
      </c>
      <c r="AB299" s="137" t="s">
        <v>53</v>
      </c>
      <c r="AC299" s="137" t="s">
        <v>53</v>
      </c>
      <c r="AD299" s="137" t="s">
        <v>53</v>
      </c>
      <c r="AE299" s="137" t="s">
        <v>53</v>
      </c>
      <c r="AF299" s="137" t="s">
        <v>53</v>
      </c>
      <c r="AG299" s="137" t="s">
        <v>53</v>
      </c>
      <c r="AH299" s="137" t="s">
        <v>53</v>
      </c>
      <c r="AI299" s="137" t="s">
        <v>53</v>
      </c>
      <c r="AJ299" s="137" t="s">
        <v>53</v>
      </c>
      <c r="AK299" s="137" t="s">
        <v>53</v>
      </c>
      <c r="AL299" s="137" t="s">
        <v>53</v>
      </c>
      <c r="AM299" s="137" t="s">
        <v>53</v>
      </c>
      <c r="AN299" s="137" t="s">
        <v>53</v>
      </c>
      <c r="AO299" s="137" t="s">
        <v>53</v>
      </c>
      <c r="AP299" s="137" t="s">
        <v>53</v>
      </c>
      <c r="AQ299" s="137" t="s">
        <v>53</v>
      </c>
      <c r="AR299" s="137" t="s">
        <v>53</v>
      </c>
      <c r="AV299" s="1">
        <f t="shared" si="37"/>
        <v>0</v>
      </c>
      <c r="AW299" s="1">
        <f t="shared" si="30"/>
        <v>0</v>
      </c>
      <c r="AX299" s="13" t="str">
        <f t="shared" si="35"/>
        <v/>
      </c>
      <c r="BA299" s="12">
        <f t="shared" si="31"/>
        <v>0</v>
      </c>
      <c r="BB299" s="12">
        <f t="shared" si="36"/>
        <v>0</v>
      </c>
      <c r="BC299" s="12">
        <f t="shared" si="36"/>
        <v>0</v>
      </c>
      <c r="BD299" s="12">
        <f t="shared" si="36"/>
        <v>0</v>
      </c>
      <c r="BE299" s="12">
        <f t="shared" si="32"/>
        <v>0</v>
      </c>
      <c r="BF299" s="12">
        <f t="shared" si="33"/>
        <v>0</v>
      </c>
      <c r="BJ299" s="12" t="str">
        <f t="shared" si="34"/>
        <v/>
      </c>
      <c r="BK299" s="12">
        <f>VLOOKUP(B299,Kraftvärmeprod!$B$1:$BH$549,MATCH($BA$1,Kraftvärmeprod!$B$1:$CC$1,0),FALSE)</f>
        <v>0</v>
      </c>
    </row>
    <row r="300" spans="1:63" ht="15" customHeight="1" x14ac:dyDescent="0.25">
      <c r="A300" s="137" t="s">
        <v>601</v>
      </c>
      <c r="B300" s="137" t="s">
        <v>602</v>
      </c>
      <c r="C300" s="137">
        <v>2018</v>
      </c>
      <c r="D300" s="137">
        <v>14</v>
      </c>
      <c r="E300" s="137">
        <v>17.670000000000002</v>
      </c>
      <c r="F300" s="137" t="s">
        <v>193</v>
      </c>
      <c r="G300" s="137" t="s">
        <v>193</v>
      </c>
      <c r="H300" s="137" t="s">
        <v>193</v>
      </c>
      <c r="I300" s="137" t="s">
        <v>193</v>
      </c>
      <c r="J300" s="137" t="s">
        <v>193</v>
      </c>
      <c r="K300" s="137" t="s">
        <v>193</v>
      </c>
      <c r="L300" s="137" t="s">
        <v>193</v>
      </c>
      <c r="M300" s="137" t="s">
        <v>53</v>
      </c>
      <c r="N300" s="137">
        <v>16.2</v>
      </c>
      <c r="O300" s="137" t="s">
        <v>193</v>
      </c>
      <c r="P300" s="137">
        <v>7.0000000000000007E-2</v>
      </c>
      <c r="Q300" s="137" t="s">
        <v>193</v>
      </c>
      <c r="R300" s="137" t="s">
        <v>193</v>
      </c>
      <c r="S300" s="137" t="s">
        <v>193</v>
      </c>
      <c r="T300" s="137" t="s">
        <v>193</v>
      </c>
      <c r="U300" s="137" t="s">
        <v>193</v>
      </c>
      <c r="V300" s="137" t="s">
        <v>193</v>
      </c>
      <c r="W300" s="137" t="s">
        <v>193</v>
      </c>
      <c r="X300" s="137" t="s">
        <v>193</v>
      </c>
      <c r="Y300" s="137" t="s">
        <v>193</v>
      </c>
      <c r="Z300" s="137">
        <v>1.4</v>
      </c>
      <c r="AA300" s="137" t="s">
        <v>193</v>
      </c>
      <c r="AB300" s="137" t="s">
        <v>193</v>
      </c>
      <c r="AC300" s="137" t="s">
        <v>193</v>
      </c>
      <c r="AD300" s="137" t="s">
        <v>193</v>
      </c>
      <c r="AE300" s="137" t="s">
        <v>53</v>
      </c>
      <c r="AF300" s="137" t="s">
        <v>193</v>
      </c>
      <c r="AG300" s="137" t="s">
        <v>193</v>
      </c>
      <c r="AH300" s="137" t="s">
        <v>193</v>
      </c>
      <c r="AI300" s="137" t="s">
        <v>193</v>
      </c>
      <c r="AJ300" s="137" t="s">
        <v>193</v>
      </c>
      <c r="AK300" s="137" t="s">
        <v>193</v>
      </c>
      <c r="AL300" s="137" t="s">
        <v>193</v>
      </c>
      <c r="AM300" s="137" t="s">
        <v>193</v>
      </c>
      <c r="AN300" s="137" t="s">
        <v>53</v>
      </c>
      <c r="AO300" s="137" t="s">
        <v>193</v>
      </c>
      <c r="AP300" s="137" t="s">
        <v>193</v>
      </c>
      <c r="AQ300" s="137" t="s">
        <v>193</v>
      </c>
      <c r="AR300" s="137" t="s">
        <v>193</v>
      </c>
      <c r="AV300" s="1">
        <f t="shared" si="37"/>
        <v>17.669999999999998</v>
      </c>
      <c r="AW300" s="1">
        <f t="shared" si="30"/>
        <v>14</v>
      </c>
      <c r="AX300" s="13">
        <f t="shared" si="35"/>
        <v>0.79230333899264294</v>
      </c>
      <c r="BA300" s="12">
        <f t="shared" si="31"/>
        <v>0</v>
      </c>
      <c r="BB300" s="12">
        <f t="shared" si="36"/>
        <v>0</v>
      </c>
      <c r="BC300" s="12">
        <f t="shared" si="36"/>
        <v>0</v>
      </c>
      <c r="BD300" s="12">
        <f t="shared" si="36"/>
        <v>0</v>
      </c>
      <c r="BE300" s="12">
        <f t="shared" si="32"/>
        <v>0</v>
      </c>
      <c r="BF300" s="12">
        <f t="shared" si="33"/>
        <v>0</v>
      </c>
      <c r="BJ300" s="12" t="str">
        <f t="shared" si="34"/>
        <v/>
      </c>
      <c r="BK300" s="12">
        <f>VLOOKUP(B300,Kraftvärmeprod!$B$1:$BH$549,MATCH($BA$1,Kraftvärmeprod!$B$1:$CC$1,0),FALSE)</f>
        <v>0</v>
      </c>
    </row>
    <row r="301" spans="1:63" ht="15" customHeight="1" x14ac:dyDescent="0.25">
      <c r="A301" s="137" t="s">
        <v>601</v>
      </c>
      <c r="B301" s="137" t="s">
        <v>603</v>
      </c>
      <c r="C301" s="137">
        <v>2018</v>
      </c>
      <c r="D301" s="137">
        <v>76.900000000000006</v>
      </c>
      <c r="E301" s="137">
        <v>95.1</v>
      </c>
      <c r="F301" s="137" t="s">
        <v>193</v>
      </c>
      <c r="G301" s="137">
        <v>0</v>
      </c>
      <c r="H301" s="137" t="s">
        <v>193</v>
      </c>
      <c r="I301" s="137">
        <v>0</v>
      </c>
      <c r="J301" s="137" t="s">
        <v>193</v>
      </c>
      <c r="K301" s="137" t="s">
        <v>193</v>
      </c>
      <c r="L301" s="137" t="s">
        <v>193</v>
      </c>
      <c r="M301" s="137" t="s">
        <v>53</v>
      </c>
      <c r="N301" s="137">
        <v>31.8</v>
      </c>
      <c r="O301" s="137" t="s">
        <v>193</v>
      </c>
      <c r="P301" s="137" t="s">
        <v>193</v>
      </c>
      <c r="Q301" s="137" t="s">
        <v>193</v>
      </c>
      <c r="R301" s="137" t="s">
        <v>193</v>
      </c>
      <c r="S301" s="137" t="s">
        <v>193</v>
      </c>
      <c r="T301" s="137" t="s">
        <v>193</v>
      </c>
      <c r="U301" s="137">
        <v>8.8000000000000007</v>
      </c>
      <c r="V301" s="137" t="s">
        <v>193</v>
      </c>
      <c r="W301" s="137" t="s">
        <v>193</v>
      </c>
      <c r="X301" s="137">
        <v>40.200000000000003</v>
      </c>
      <c r="Y301" s="137" t="s">
        <v>193</v>
      </c>
      <c r="Z301" s="137">
        <v>2.2000000000000002</v>
      </c>
      <c r="AA301" s="137" t="s">
        <v>193</v>
      </c>
      <c r="AB301" s="137" t="s">
        <v>193</v>
      </c>
      <c r="AC301" s="137" t="s">
        <v>193</v>
      </c>
      <c r="AD301" s="137" t="s">
        <v>193</v>
      </c>
      <c r="AE301" s="137" t="s">
        <v>53</v>
      </c>
      <c r="AF301" s="137" t="s">
        <v>193</v>
      </c>
      <c r="AG301" s="137" t="s">
        <v>193</v>
      </c>
      <c r="AH301" s="137">
        <v>12.1</v>
      </c>
      <c r="AI301" s="137" t="s">
        <v>193</v>
      </c>
      <c r="AJ301" s="137" t="s">
        <v>193</v>
      </c>
      <c r="AK301" s="137" t="s">
        <v>193</v>
      </c>
      <c r="AL301" s="137" t="s">
        <v>193</v>
      </c>
      <c r="AM301" s="137" t="s">
        <v>193</v>
      </c>
      <c r="AN301" s="137" t="s">
        <v>53</v>
      </c>
      <c r="AO301" s="137">
        <v>100</v>
      </c>
      <c r="AP301" s="137">
        <v>0</v>
      </c>
      <c r="AQ301" s="137">
        <v>0</v>
      </c>
      <c r="AR301" s="137">
        <v>0</v>
      </c>
      <c r="AV301" s="1">
        <f t="shared" si="37"/>
        <v>95.100000000000009</v>
      </c>
      <c r="AW301" s="1">
        <f t="shared" si="30"/>
        <v>76.900000000000006</v>
      </c>
      <c r="AX301" s="13">
        <f t="shared" si="35"/>
        <v>0.80862250262881175</v>
      </c>
      <c r="BA301" s="12">
        <f t="shared" si="31"/>
        <v>12.1</v>
      </c>
      <c r="BB301" s="12">
        <f t="shared" si="36"/>
        <v>12.1</v>
      </c>
      <c r="BC301" s="12">
        <f t="shared" si="36"/>
        <v>0</v>
      </c>
      <c r="BD301" s="12">
        <f t="shared" si="36"/>
        <v>0</v>
      </c>
      <c r="BE301" s="12">
        <f t="shared" si="32"/>
        <v>0</v>
      </c>
      <c r="BF301" s="12">
        <f t="shared" si="33"/>
        <v>0</v>
      </c>
      <c r="BJ301" s="12" t="str">
        <f t="shared" si="34"/>
        <v/>
      </c>
      <c r="BK301" s="12">
        <f>VLOOKUP(B301,Kraftvärmeprod!$B$1:$BH$549,MATCH($BA$1,Kraftvärmeprod!$B$1:$CC$1,0),FALSE)</f>
        <v>0</v>
      </c>
    </row>
    <row r="302" spans="1:63" ht="15" customHeight="1" x14ac:dyDescent="0.25">
      <c r="A302" s="137" t="s">
        <v>601</v>
      </c>
      <c r="B302" s="137" t="s">
        <v>604</v>
      </c>
      <c r="C302" s="137">
        <v>2018</v>
      </c>
      <c r="D302" s="137">
        <v>0.8</v>
      </c>
      <c r="E302" s="137">
        <v>0.93</v>
      </c>
      <c r="F302" s="137" t="s">
        <v>193</v>
      </c>
      <c r="G302" s="137">
        <v>0.93</v>
      </c>
      <c r="H302" s="137" t="s">
        <v>193</v>
      </c>
      <c r="I302" s="137" t="s">
        <v>193</v>
      </c>
      <c r="J302" s="137" t="s">
        <v>193</v>
      </c>
      <c r="K302" s="137" t="s">
        <v>193</v>
      </c>
      <c r="L302" s="137" t="s">
        <v>193</v>
      </c>
      <c r="M302" s="137" t="s">
        <v>53</v>
      </c>
      <c r="N302" s="137">
        <v>0</v>
      </c>
      <c r="O302" s="137" t="s">
        <v>193</v>
      </c>
      <c r="P302" s="137" t="s">
        <v>193</v>
      </c>
      <c r="Q302" s="137" t="s">
        <v>193</v>
      </c>
      <c r="R302" s="137" t="s">
        <v>193</v>
      </c>
      <c r="S302" s="137" t="s">
        <v>193</v>
      </c>
      <c r="T302" s="137" t="s">
        <v>193</v>
      </c>
      <c r="U302" s="137" t="s">
        <v>193</v>
      </c>
      <c r="V302" s="137" t="s">
        <v>193</v>
      </c>
      <c r="W302" s="137" t="s">
        <v>193</v>
      </c>
      <c r="X302" s="137" t="s">
        <v>193</v>
      </c>
      <c r="Y302" s="137" t="s">
        <v>193</v>
      </c>
      <c r="Z302" s="137" t="s">
        <v>193</v>
      </c>
      <c r="AA302" s="137" t="s">
        <v>193</v>
      </c>
      <c r="AB302" s="137" t="s">
        <v>193</v>
      </c>
      <c r="AC302" s="137" t="s">
        <v>193</v>
      </c>
      <c r="AD302" s="137" t="s">
        <v>193</v>
      </c>
      <c r="AE302" s="137" t="s">
        <v>53</v>
      </c>
      <c r="AF302" s="137" t="s">
        <v>193</v>
      </c>
      <c r="AG302" s="137" t="s">
        <v>193</v>
      </c>
      <c r="AH302" s="137" t="s">
        <v>193</v>
      </c>
      <c r="AI302" s="137" t="s">
        <v>193</v>
      </c>
      <c r="AJ302" s="137" t="s">
        <v>193</v>
      </c>
      <c r="AK302" s="137" t="s">
        <v>193</v>
      </c>
      <c r="AL302" s="137" t="s">
        <v>193</v>
      </c>
      <c r="AM302" s="137" t="s">
        <v>193</v>
      </c>
      <c r="AN302" s="137" t="s">
        <v>53</v>
      </c>
      <c r="AO302" s="137" t="s">
        <v>193</v>
      </c>
      <c r="AP302" s="137" t="s">
        <v>193</v>
      </c>
      <c r="AQ302" s="137" t="s">
        <v>193</v>
      </c>
      <c r="AR302" s="137" t="s">
        <v>193</v>
      </c>
      <c r="AV302" s="1">
        <f t="shared" si="37"/>
        <v>0.93</v>
      </c>
      <c r="AW302" s="1">
        <f t="shared" si="30"/>
        <v>0.8</v>
      </c>
      <c r="AX302" s="13">
        <f t="shared" si="35"/>
        <v>0.86021505376344087</v>
      </c>
      <c r="BA302" s="12">
        <f t="shared" si="31"/>
        <v>0</v>
      </c>
      <c r="BB302" s="12">
        <f t="shared" si="36"/>
        <v>0</v>
      </c>
      <c r="BC302" s="12">
        <f t="shared" si="36"/>
        <v>0</v>
      </c>
      <c r="BD302" s="12">
        <f t="shared" si="36"/>
        <v>0</v>
      </c>
      <c r="BE302" s="12">
        <f t="shared" si="32"/>
        <v>0</v>
      </c>
      <c r="BF302" s="12">
        <f t="shared" si="33"/>
        <v>0</v>
      </c>
      <c r="BJ302" s="12" t="str">
        <f t="shared" si="34"/>
        <v/>
      </c>
      <c r="BK302" s="12">
        <f>VLOOKUP(B302,Kraftvärmeprod!$B$1:$BH$549,MATCH($BA$1,Kraftvärmeprod!$B$1:$CC$1,0),FALSE)</f>
        <v>0</v>
      </c>
    </row>
    <row r="303" spans="1:63" ht="15" customHeight="1" x14ac:dyDescent="0.25">
      <c r="A303" s="137" t="s">
        <v>601</v>
      </c>
      <c r="B303" s="137" t="s">
        <v>605</v>
      </c>
      <c r="C303" s="137">
        <v>2018</v>
      </c>
      <c r="D303" s="137">
        <v>472.1</v>
      </c>
      <c r="E303" s="137">
        <v>550.1</v>
      </c>
      <c r="F303" s="137" t="s">
        <v>193</v>
      </c>
      <c r="G303" s="137">
        <v>0.1</v>
      </c>
      <c r="H303" s="137" t="s">
        <v>193</v>
      </c>
      <c r="I303" s="137">
        <v>9.1999999999999993</v>
      </c>
      <c r="J303" s="137" t="s">
        <v>193</v>
      </c>
      <c r="K303" s="137" t="s">
        <v>193</v>
      </c>
      <c r="L303" s="137" t="s">
        <v>193</v>
      </c>
      <c r="M303" s="137" t="s">
        <v>53</v>
      </c>
      <c r="N303" s="137">
        <v>1.5</v>
      </c>
      <c r="O303" s="137">
        <v>0</v>
      </c>
      <c r="P303" s="137">
        <v>0.9</v>
      </c>
      <c r="Q303" s="137" t="s">
        <v>193</v>
      </c>
      <c r="R303" s="137" t="s">
        <v>193</v>
      </c>
      <c r="S303" s="137" t="s">
        <v>193</v>
      </c>
      <c r="T303" s="137" t="s">
        <v>193</v>
      </c>
      <c r="U303" s="137" t="s">
        <v>193</v>
      </c>
      <c r="V303" s="137" t="s">
        <v>193</v>
      </c>
      <c r="W303" s="137" t="s">
        <v>193</v>
      </c>
      <c r="X303" s="137">
        <v>56.7</v>
      </c>
      <c r="Y303" s="137" t="s">
        <v>193</v>
      </c>
      <c r="Z303" s="137">
        <v>0</v>
      </c>
      <c r="AA303" s="137" t="s">
        <v>193</v>
      </c>
      <c r="AB303" s="137" t="s">
        <v>193</v>
      </c>
      <c r="AC303" s="137">
        <v>481.7</v>
      </c>
      <c r="AD303" s="137" t="s">
        <v>193</v>
      </c>
      <c r="AE303" s="137" t="s">
        <v>327</v>
      </c>
      <c r="AF303" s="137">
        <v>44</v>
      </c>
      <c r="AG303" s="137" t="s">
        <v>193</v>
      </c>
      <c r="AH303" s="137" t="s">
        <v>193</v>
      </c>
      <c r="AI303" s="137" t="s">
        <v>193</v>
      </c>
      <c r="AJ303" s="137" t="s">
        <v>193</v>
      </c>
      <c r="AK303" s="137" t="s">
        <v>193</v>
      </c>
      <c r="AL303" s="137" t="s">
        <v>193</v>
      </c>
      <c r="AM303" s="137" t="s">
        <v>193</v>
      </c>
      <c r="AN303" s="137" t="s">
        <v>53</v>
      </c>
      <c r="AO303" s="137" t="s">
        <v>193</v>
      </c>
      <c r="AP303" s="137" t="s">
        <v>193</v>
      </c>
      <c r="AQ303" s="137" t="s">
        <v>193</v>
      </c>
      <c r="AR303" s="137" t="s">
        <v>193</v>
      </c>
      <c r="AV303" s="1">
        <f t="shared" si="37"/>
        <v>550.1</v>
      </c>
      <c r="AW303" s="1">
        <f t="shared" si="30"/>
        <v>472.1</v>
      </c>
      <c r="AX303" s="13">
        <f t="shared" si="35"/>
        <v>0.85820759861843299</v>
      </c>
      <c r="BA303" s="12">
        <f t="shared" si="31"/>
        <v>0</v>
      </c>
      <c r="BB303" s="12">
        <f t="shared" si="36"/>
        <v>0</v>
      </c>
      <c r="BC303" s="12">
        <f t="shared" si="36"/>
        <v>0</v>
      </c>
      <c r="BD303" s="12">
        <f t="shared" si="36"/>
        <v>0</v>
      </c>
      <c r="BE303" s="12">
        <f t="shared" si="32"/>
        <v>0</v>
      </c>
      <c r="BF303" s="12">
        <f t="shared" si="33"/>
        <v>0</v>
      </c>
      <c r="BJ303" s="12" t="str">
        <f t="shared" si="34"/>
        <v/>
      </c>
      <c r="BK303" s="12">
        <f>VLOOKUP(B303,Kraftvärmeprod!$B$1:$BH$549,MATCH($BA$1,Kraftvärmeprod!$B$1:$CC$1,0),FALSE)</f>
        <v>191.3</v>
      </c>
    </row>
    <row r="304" spans="1:63" ht="15" customHeight="1" x14ac:dyDescent="0.25">
      <c r="A304" s="137" t="s">
        <v>601</v>
      </c>
      <c r="B304" s="137" t="s">
        <v>606</v>
      </c>
      <c r="C304" s="137">
        <v>2018</v>
      </c>
      <c r="D304" s="137">
        <v>0.5</v>
      </c>
      <c r="E304" s="137">
        <v>0.6</v>
      </c>
      <c r="F304" s="137" t="s">
        <v>193</v>
      </c>
      <c r="G304" s="137">
        <v>0.6</v>
      </c>
      <c r="H304" s="137" t="s">
        <v>193</v>
      </c>
      <c r="I304" s="137" t="s">
        <v>193</v>
      </c>
      <c r="J304" s="137" t="s">
        <v>193</v>
      </c>
      <c r="K304" s="137" t="s">
        <v>193</v>
      </c>
      <c r="L304" s="137" t="s">
        <v>193</v>
      </c>
      <c r="M304" s="137" t="s">
        <v>53</v>
      </c>
      <c r="N304" s="137" t="s">
        <v>193</v>
      </c>
      <c r="O304" s="137" t="s">
        <v>193</v>
      </c>
      <c r="P304" s="137" t="s">
        <v>193</v>
      </c>
      <c r="Q304" s="137" t="s">
        <v>193</v>
      </c>
      <c r="R304" s="137" t="s">
        <v>193</v>
      </c>
      <c r="S304" s="137" t="s">
        <v>193</v>
      </c>
      <c r="T304" s="137" t="s">
        <v>193</v>
      </c>
      <c r="U304" s="137" t="s">
        <v>193</v>
      </c>
      <c r="V304" s="137" t="s">
        <v>193</v>
      </c>
      <c r="W304" s="137" t="s">
        <v>193</v>
      </c>
      <c r="X304" s="137" t="s">
        <v>193</v>
      </c>
      <c r="Y304" s="137" t="s">
        <v>193</v>
      </c>
      <c r="Z304" s="137" t="s">
        <v>193</v>
      </c>
      <c r="AA304" s="137" t="s">
        <v>193</v>
      </c>
      <c r="AB304" s="137" t="s">
        <v>193</v>
      </c>
      <c r="AC304" s="137" t="s">
        <v>193</v>
      </c>
      <c r="AD304" s="137" t="s">
        <v>193</v>
      </c>
      <c r="AE304" s="137" t="s">
        <v>53</v>
      </c>
      <c r="AF304" s="137" t="s">
        <v>193</v>
      </c>
      <c r="AG304" s="137" t="s">
        <v>193</v>
      </c>
      <c r="AH304" s="137" t="s">
        <v>193</v>
      </c>
      <c r="AI304" s="137" t="s">
        <v>193</v>
      </c>
      <c r="AJ304" s="137" t="s">
        <v>193</v>
      </c>
      <c r="AK304" s="137" t="s">
        <v>193</v>
      </c>
      <c r="AL304" s="137" t="s">
        <v>193</v>
      </c>
      <c r="AM304" s="137" t="s">
        <v>193</v>
      </c>
      <c r="AN304" s="137" t="s">
        <v>53</v>
      </c>
      <c r="AO304" s="137" t="s">
        <v>193</v>
      </c>
      <c r="AP304" s="137" t="s">
        <v>193</v>
      </c>
      <c r="AQ304" s="137" t="s">
        <v>193</v>
      </c>
      <c r="AR304" s="137" t="s">
        <v>193</v>
      </c>
      <c r="AV304" s="1">
        <f t="shared" si="37"/>
        <v>0.6</v>
      </c>
      <c r="AW304" s="1">
        <f t="shared" si="30"/>
        <v>0.5</v>
      </c>
      <c r="AX304" s="13">
        <f t="shared" si="35"/>
        <v>0.83333333333333337</v>
      </c>
      <c r="BA304" s="12">
        <f t="shared" si="31"/>
        <v>0</v>
      </c>
      <c r="BB304" s="12">
        <f t="shared" si="36"/>
        <v>0</v>
      </c>
      <c r="BC304" s="12">
        <f t="shared" si="36"/>
        <v>0</v>
      </c>
      <c r="BD304" s="12">
        <f t="shared" si="36"/>
        <v>0</v>
      </c>
      <c r="BE304" s="12">
        <f t="shared" si="32"/>
        <v>0</v>
      </c>
      <c r="BF304" s="12">
        <f t="shared" si="33"/>
        <v>0</v>
      </c>
      <c r="BJ304" s="12" t="str">
        <f t="shared" si="34"/>
        <v/>
      </c>
      <c r="BK304" s="12">
        <f>VLOOKUP(B304,Kraftvärmeprod!$B$1:$BH$549,MATCH($BA$1,Kraftvärmeprod!$B$1:$CC$1,0),FALSE)</f>
        <v>0</v>
      </c>
    </row>
    <row r="305" spans="1:63" ht="15" customHeight="1" x14ac:dyDescent="0.25">
      <c r="A305" s="137" t="s">
        <v>601</v>
      </c>
      <c r="B305" s="137" t="s">
        <v>607</v>
      </c>
      <c r="C305" s="137">
        <v>2018</v>
      </c>
      <c r="D305" s="137">
        <v>30.8</v>
      </c>
      <c r="E305" s="137">
        <v>28.58</v>
      </c>
      <c r="F305" s="137" t="s">
        <v>193</v>
      </c>
      <c r="G305" s="137">
        <v>0.52</v>
      </c>
      <c r="H305" s="137" t="s">
        <v>193</v>
      </c>
      <c r="I305" s="137" t="s">
        <v>193</v>
      </c>
      <c r="J305" s="137" t="s">
        <v>193</v>
      </c>
      <c r="K305" s="137" t="s">
        <v>193</v>
      </c>
      <c r="L305" s="137" t="s">
        <v>193</v>
      </c>
      <c r="M305" s="137" t="s">
        <v>53</v>
      </c>
      <c r="N305" s="137">
        <v>22.6</v>
      </c>
      <c r="O305" s="137" t="s">
        <v>193</v>
      </c>
      <c r="P305" s="137" t="s">
        <v>193</v>
      </c>
      <c r="Q305" s="137" t="s">
        <v>193</v>
      </c>
      <c r="R305" s="137" t="s">
        <v>193</v>
      </c>
      <c r="S305" s="137" t="s">
        <v>193</v>
      </c>
      <c r="T305" s="137" t="s">
        <v>194</v>
      </c>
      <c r="U305" s="137" t="s">
        <v>193</v>
      </c>
      <c r="V305" s="137" t="s">
        <v>193</v>
      </c>
      <c r="W305" s="137" t="s">
        <v>193</v>
      </c>
      <c r="X305" s="137" t="s">
        <v>193</v>
      </c>
      <c r="Y305" s="137" t="s">
        <v>193</v>
      </c>
      <c r="Z305" s="137" t="s">
        <v>193</v>
      </c>
      <c r="AA305" s="137" t="s">
        <v>193</v>
      </c>
      <c r="AB305" s="137" t="s">
        <v>193</v>
      </c>
      <c r="AC305" s="137" t="s">
        <v>193</v>
      </c>
      <c r="AD305" s="137" t="s">
        <v>193</v>
      </c>
      <c r="AE305" s="137" t="s">
        <v>53</v>
      </c>
      <c r="AF305" s="137" t="s">
        <v>193</v>
      </c>
      <c r="AG305" s="137" t="s">
        <v>193</v>
      </c>
      <c r="AH305" s="137">
        <v>5.46</v>
      </c>
      <c r="AI305" s="137" t="s">
        <v>193</v>
      </c>
      <c r="AJ305" s="137" t="s">
        <v>193</v>
      </c>
      <c r="AK305" s="137" t="s">
        <v>193</v>
      </c>
      <c r="AL305" s="137" t="s">
        <v>193</v>
      </c>
      <c r="AM305" s="137" t="s">
        <v>193</v>
      </c>
      <c r="AN305" s="137" t="s">
        <v>53</v>
      </c>
      <c r="AO305" s="137">
        <v>100</v>
      </c>
      <c r="AP305" s="137">
        <v>0</v>
      </c>
      <c r="AQ305" s="137">
        <v>0</v>
      </c>
      <c r="AR305" s="137">
        <v>0</v>
      </c>
      <c r="AV305" s="1">
        <f t="shared" si="37"/>
        <v>28.580000000000002</v>
      </c>
      <c r="AW305" s="1">
        <f t="shared" si="30"/>
        <v>30.8</v>
      </c>
      <c r="AX305" s="13">
        <f t="shared" si="35"/>
        <v>1.0776766969909026</v>
      </c>
      <c r="BA305" s="12">
        <f t="shared" si="31"/>
        <v>5.46</v>
      </c>
      <c r="BB305" s="12">
        <f t="shared" si="36"/>
        <v>5.46</v>
      </c>
      <c r="BC305" s="12">
        <f t="shared" si="36"/>
        <v>0</v>
      </c>
      <c r="BD305" s="12">
        <f t="shared" si="36"/>
        <v>0</v>
      </c>
      <c r="BE305" s="12">
        <f t="shared" si="32"/>
        <v>0</v>
      </c>
      <c r="BF305" s="12">
        <f t="shared" si="33"/>
        <v>0</v>
      </c>
      <c r="BJ305" s="12" t="str">
        <f t="shared" si="34"/>
        <v/>
      </c>
      <c r="BK305" s="12">
        <f>VLOOKUP(B305,Kraftvärmeprod!$B$1:$BH$549,MATCH($BA$1,Kraftvärmeprod!$B$1:$CC$1,0),FALSE)</f>
        <v>0</v>
      </c>
    </row>
    <row r="306" spans="1:63" ht="15" customHeight="1" x14ac:dyDescent="0.25">
      <c r="A306" s="137" t="s">
        <v>608</v>
      </c>
      <c r="B306" s="137" t="s">
        <v>609</v>
      </c>
      <c r="C306" s="137">
        <v>2018</v>
      </c>
      <c r="D306" s="137">
        <v>12</v>
      </c>
      <c r="E306" s="137">
        <v>13.494</v>
      </c>
      <c r="F306" s="137" t="s">
        <v>193</v>
      </c>
      <c r="G306" s="137" t="s">
        <v>193</v>
      </c>
      <c r="H306" s="137" t="s">
        <v>193</v>
      </c>
      <c r="I306" s="137" t="s">
        <v>193</v>
      </c>
      <c r="J306" s="137" t="s">
        <v>193</v>
      </c>
      <c r="K306" s="137" t="s">
        <v>193</v>
      </c>
      <c r="L306" s="137" t="s">
        <v>193</v>
      </c>
      <c r="M306" s="137" t="s">
        <v>53</v>
      </c>
      <c r="N306" s="137" t="s">
        <v>193</v>
      </c>
      <c r="O306" s="137" t="s">
        <v>193</v>
      </c>
      <c r="P306" s="137" t="s">
        <v>193</v>
      </c>
      <c r="Q306" s="137" t="s">
        <v>193</v>
      </c>
      <c r="R306" s="137" t="s">
        <v>193</v>
      </c>
      <c r="S306" s="137" t="s">
        <v>193</v>
      </c>
      <c r="T306" s="137" t="s">
        <v>193</v>
      </c>
      <c r="U306" s="137">
        <v>6.3390000000000004</v>
      </c>
      <c r="V306" s="137" t="s">
        <v>193</v>
      </c>
      <c r="W306" s="137" t="s">
        <v>193</v>
      </c>
      <c r="X306" s="137" t="s">
        <v>193</v>
      </c>
      <c r="Y306" s="137" t="s">
        <v>193</v>
      </c>
      <c r="Z306" s="137">
        <v>6.1669999999999998</v>
      </c>
      <c r="AA306" s="137" t="s">
        <v>193</v>
      </c>
      <c r="AB306" s="137" t="s">
        <v>193</v>
      </c>
      <c r="AC306" s="137" t="s">
        <v>193</v>
      </c>
      <c r="AD306" s="137" t="s">
        <v>193</v>
      </c>
      <c r="AE306" s="137" t="s">
        <v>53</v>
      </c>
      <c r="AF306" s="137" t="s">
        <v>193</v>
      </c>
      <c r="AG306" s="137">
        <v>0.98799999999999999</v>
      </c>
      <c r="AH306" s="137" t="s">
        <v>193</v>
      </c>
      <c r="AI306" s="137" t="s">
        <v>193</v>
      </c>
      <c r="AJ306" s="137" t="s">
        <v>193</v>
      </c>
      <c r="AK306" s="137" t="s">
        <v>193</v>
      </c>
      <c r="AL306" s="137" t="s">
        <v>193</v>
      </c>
      <c r="AM306" s="137" t="s">
        <v>193</v>
      </c>
      <c r="AN306" s="137" t="s">
        <v>53</v>
      </c>
      <c r="AO306" s="137" t="s">
        <v>193</v>
      </c>
      <c r="AP306" s="137" t="s">
        <v>193</v>
      </c>
      <c r="AQ306" s="137" t="s">
        <v>193</v>
      </c>
      <c r="AR306" s="137" t="s">
        <v>193</v>
      </c>
      <c r="AV306" s="1">
        <f t="shared" si="37"/>
        <v>13.494</v>
      </c>
      <c r="AW306" s="1">
        <f t="shared" si="30"/>
        <v>12</v>
      </c>
      <c r="AX306" s="13">
        <f t="shared" si="35"/>
        <v>0.88928412627834597</v>
      </c>
      <c r="BA306" s="12">
        <f t="shared" si="31"/>
        <v>0</v>
      </c>
      <c r="BB306" s="12">
        <f t="shared" si="36"/>
        <v>0</v>
      </c>
      <c r="BC306" s="12">
        <f t="shared" si="36"/>
        <v>0</v>
      </c>
      <c r="BD306" s="12">
        <f t="shared" si="36"/>
        <v>0</v>
      </c>
      <c r="BE306" s="12">
        <f t="shared" si="32"/>
        <v>0</v>
      </c>
      <c r="BF306" s="12">
        <f t="shared" si="33"/>
        <v>0</v>
      </c>
      <c r="BJ306" s="12" t="str">
        <f t="shared" si="34"/>
        <v/>
      </c>
      <c r="BK306" s="12">
        <f>VLOOKUP(B306,Kraftvärmeprod!$B$1:$BH$549,MATCH($BA$1,Kraftvärmeprod!$B$1:$CC$1,0),FALSE)</f>
        <v>0</v>
      </c>
    </row>
    <row r="307" spans="1:63" ht="15" customHeight="1" x14ac:dyDescent="0.25">
      <c r="A307" s="137" t="s">
        <v>608</v>
      </c>
      <c r="B307" s="137" t="s">
        <v>610</v>
      </c>
      <c r="C307" s="137">
        <v>2018</v>
      </c>
      <c r="D307" s="137">
        <v>228.4</v>
      </c>
      <c r="E307" s="137">
        <v>282.39299999999997</v>
      </c>
      <c r="F307" s="137" t="s">
        <v>193</v>
      </c>
      <c r="G307" s="137">
        <v>1.788</v>
      </c>
      <c r="H307" s="137" t="s">
        <v>193</v>
      </c>
      <c r="I307" s="137">
        <v>3.4969999999999999</v>
      </c>
      <c r="J307" s="137" t="s">
        <v>193</v>
      </c>
      <c r="K307" s="137" t="s">
        <v>193</v>
      </c>
      <c r="L307" s="137" t="s">
        <v>193</v>
      </c>
      <c r="M307" s="137" t="s">
        <v>53</v>
      </c>
      <c r="N307" s="137">
        <v>0.25</v>
      </c>
      <c r="O307" s="137">
        <v>0.19</v>
      </c>
      <c r="P307" s="137">
        <v>9.8000000000000004E-2</v>
      </c>
      <c r="Q307" s="137">
        <v>0.32</v>
      </c>
      <c r="R307" s="137" t="s">
        <v>193</v>
      </c>
      <c r="S307" s="137" t="s">
        <v>193</v>
      </c>
      <c r="T307" s="137" t="s">
        <v>193</v>
      </c>
      <c r="U307" s="137">
        <v>15.49</v>
      </c>
      <c r="V307" s="137" t="s">
        <v>193</v>
      </c>
      <c r="W307" s="137" t="s">
        <v>193</v>
      </c>
      <c r="X307" s="137">
        <v>75.760000000000005</v>
      </c>
      <c r="Y307" s="137">
        <v>7.58</v>
      </c>
      <c r="Z307" s="137" t="s">
        <v>193</v>
      </c>
      <c r="AA307" s="137" t="s">
        <v>193</v>
      </c>
      <c r="AB307" s="137" t="s">
        <v>193</v>
      </c>
      <c r="AC307" s="137">
        <v>161.79</v>
      </c>
      <c r="AD307" s="137" t="s">
        <v>193</v>
      </c>
      <c r="AE307" s="137" t="s">
        <v>327</v>
      </c>
      <c r="AF307" s="137">
        <v>47.3</v>
      </c>
      <c r="AG307" s="137" t="s">
        <v>193</v>
      </c>
      <c r="AH307" s="137">
        <v>15.63</v>
      </c>
      <c r="AI307" s="137" t="s">
        <v>193</v>
      </c>
      <c r="AJ307" s="137" t="s">
        <v>193</v>
      </c>
      <c r="AK307" s="137" t="s">
        <v>193</v>
      </c>
      <c r="AL307" s="137" t="s">
        <v>193</v>
      </c>
      <c r="AM307" s="137">
        <v>2.67</v>
      </c>
      <c r="AN307" s="137" t="s">
        <v>53</v>
      </c>
      <c r="AO307" s="137">
        <v>96</v>
      </c>
      <c r="AP307" s="137">
        <v>4</v>
      </c>
      <c r="AQ307" s="137">
        <v>0</v>
      </c>
      <c r="AR307" s="137">
        <v>0</v>
      </c>
      <c r="AV307" s="1">
        <f t="shared" si="37"/>
        <v>282.39299999999997</v>
      </c>
      <c r="AW307" s="1">
        <f t="shared" si="30"/>
        <v>228.4</v>
      </c>
      <c r="AX307" s="13">
        <f t="shared" si="35"/>
        <v>0.80880191789456546</v>
      </c>
      <c r="BA307" s="12">
        <f t="shared" si="31"/>
        <v>15.63</v>
      </c>
      <c r="BB307" s="12">
        <f t="shared" si="36"/>
        <v>15.004799999999999</v>
      </c>
      <c r="BC307" s="12">
        <f t="shared" si="36"/>
        <v>0.62520000000000009</v>
      </c>
      <c r="BD307" s="12">
        <f t="shared" si="36"/>
        <v>0</v>
      </c>
      <c r="BE307" s="12">
        <f t="shared" si="32"/>
        <v>0</v>
      </c>
      <c r="BF307" s="12">
        <f t="shared" si="33"/>
        <v>1.7763568394002505E-15</v>
      </c>
      <c r="BJ307" s="12" t="str">
        <f t="shared" si="34"/>
        <v/>
      </c>
      <c r="BK307" s="12">
        <f>VLOOKUP(B307,Kraftvärmeprod!$B$1:$BH$549,MATCH($BA$1,Kraftvärmeprod!$B$1:$CC$1,0),FALSE)</f>
        <v>118.84</v>
      </c>
    </row>
    <row r="308" spans="1:63" ht="15" customHeight="1" x14ac:dyDescent="0.25">
      <c r="A308" s="137" t="s">
        <v>611</v>
      </c>
      <c r="B308" s="137" t="s">
        <v>612</v>
      </c>
      <c r="C308" s="137">
        <v>2018</v>
      </c>
      <c r="D308" s="137">
        <v>14.132</v>
      </c>
      <c r="E308" s="137">
        <v>14.426</v>
      </c>
      <c r="F308" s="137" t="s">
        <v>193</v>
      </c>
      <c r="G308" s="137">
        <v>0.78</v>
      </c>
      <c r="H308" s="137" t="s">
        <v>193</v>
      </c>
      <c r="I308" s="137" t="s">
        <v>193</v>
      </c>
      <c r="J308" s="137" t="s">
        <v>193</v>
      </c>
      <c r="K308" s="137" t="s">
        <v>193</v>
      </c>
      <c r="L308" s="137" t="s">
        <v>193</v>
      </c>
      <c r="M308" s="137" t="s">
        <v>53</v>
      </c>
      <c r="N308" s="137" t="s">
        <v>193</v>
      </c>
      <c r="O308" s="137" t="s">
        <v>193</v>
      </c>
      <c r="P308" s="137" t="s">
        <v>193</v>
      </c>
      <c r="Q308" s="137" t="s">
        <v>193</v>
      </c>
      <c r="R308" s="137" t="s">
        <v>193</v>
      </c>
      <c r="S308" s="137" t="s">
        <v>193</v>
      </c>
      <c r="T308" s="137" t="s">
        <v>193</v>
      </c>
      <c r="U308" s="137">
        <v>0.63</v>
      </c>
      <c r="V308" s="137" t="s">
        <v>193</v>
      </c>
      <c r="W308" s="137" t="s">
        <v>193</v>
      </c>
      <c r="X308" s="137" t="s">
        <v>193</v>
      </c>
      <c r="Y308" s="137" t="s">
        <v>193</v>
      </c>
      <c r="Z308" s="137" t="s">
        <v>193</v>
      </c>
      <c r="AA308" s="137">
        <v>13.016</v>
      </c>
      <c r="AB308" s="137" t="s">
        <v>193</v>
      </c>
      <c r="AC308" s="137" t="s">
        <v>193</v>
      </c>
      <c r="AD308" s="137" t="s">
        <v>193</v>
      </c>
      <c r="AE308" s="137" t="s">
        <v>199</v>
      </c>
      <c r="AF308" s="137" t="s">
        <v>193</v>
      </c>
      <c r="AG308" s="137" t="s">
        <v>193</v>
      </c>
      <c r="AH308" s="137" t="s">
        <v>193</v>
      </c>
      <c r="AI308" s="137" t="s">
        <v>193</v>
      </c>
      <c r="AJ308" s="137" t="s">
        <v>193</v>
      </c>
      <c r="AK308" s="137" t="s">
        <v>193</v>
      </c>
      <c r="AL308" s="137" t="s">
        <v>193</v>
      </c>
      <c r="AM308" s="137" t="s">
        <v>193</v>
      </c>
      <c r="AN308" s="137" t="s">
        <v>219</v>
      </c>
      <c r="AO308" s="137" t="s">
        <v>193</v>
      </c>
      <c r="AP308" s="137" t="s">
        <v>193</v>
      </c>
      <c r="AQ308" s="137" t="s">
        <v>193</v>
      </c>
      <c r="AR308" s="137" t="s">
        <v>193</v>
      </c>
      <c r="AV308" s="1">
        <f t="shared" si="37"/>
        <v>14.426</v>
      </c>
      <c r="AW308" s="1">
        <f t="shared" si="30"/>
        <v>14.132</v>
      </c>
      <c r="AX308" s="13">
        <f t="shared" si="35"/>
        <v>0.97962013032025508</v>
      </c>
      <c r="BA308" s="12">
        <f t="shared" si="31"/>
        <v>0</v>
      </c>
      <c r="BB308" s="12">
        <f t="shared" si="36"/>
        <v>0</v>
      </c>
      <c r="BC308" s="12">
        <f t="shared" si="36"/>
        <v>0</v>
      </c>
      <c r="BD308" s="12">
        <f t="shared" si="36"/>
        <v>0</v>
      </c>
      <c r="BE308" s="12">
        <f t="shared" si="32"/>
        <v>0</v>
      </c>
      <c r="BF308" s="12">
        <f t="shared" si="33"/>
        <v>0</v>
      </c>
      <c r="BJ308" s="12" t="str">
        <f t="shared" si="34"/>
        <v/>
      </c>
      <c r="BK308" s="12">
        <f>VLOOKUP(B308,Kraftvärmeprod!$B$1:$BH$549,MATCH($BA$1,Kraftvärmeprod!$B$1:$CC$1,0),FALSE)</f>
        <v>0</v>
      </c>
    </row>
    <row r="309" spans="1:63" ht="15" customHeight="1" x14ac:dyDescent="0.25">
      <c r="A309" s="137" t="s">
        <v>613</v>
      </c>
      <c r="B309" s="137" t="s">
        <v>614</v>
      </c>
      <c r="C309" s="137">
        <v>2018</v>
      </c>
      <c r="D309" s="137">
        <v>64.152000000000001</v>
      </c>
      <c r="E309" s="137">
        <v>69.251999999999995</v>
      </c>
      <c r="F309" s="137" t="s">
        <v>193</v>
      </c>
      <c r="G309" s="137">
        <v>0.38500000000000001</v>
      </c>
      <c r="H309" s="137" t="s">
        <v>193</v>
      </c>
      <c r="I309" s="137" t="s">
        <v>193</v>
      </c>
      <c r="J309" s="137" t="s">
        <v>193</v>
      </c>
      <c r="K309" s="137" t="s">
        <v>193</v>
      </c>
      <c r="L309" s="137" t="s">
        <v>193</v>
      </c>
      <c r="M309" s="137" t="s">
        <v>193</v>
      </c>
      <c r="N309" s="137">
        <v>40.799999999999997</v>
      </c>
      <c r="O309" s="137" t="s">
        <v>193</v>
      </c>
      <c r="P309" s="137" t="s">
        <v>193</v>
      </c>
      <c r="Q309" s="137" t="s">
        <v>193</v>
      </c>
      <c r="R309" s="137" t="s">
        <v>193</v>
      </c>
      <c r="S309" s="137" t="s">
        <v>193</v>
      </c>
      <c r="T309" s="137" t="s">
        <v>194</v>
      </c>
      <c r="U309" s="137">
        <v>19.04</v>
      </c>
      <c r="V309" s="137">
        <v>5.46</v>
      </c>
      <c r="W309" s="137" t="s">
        <v>193</v>
      </c>
      <c r="X309" s="137" t="s">
        <v>193</v>
      </c>
      <c r="Y309" s="137" t="s">
        <v>193</v>
      </c>
      <c r="Z309" s="137" t="s">
        <v>193</v>
      </c>
      <c r="AA309" s="137" t="s">
        <v>193</v>
      </c>
      <c r="AB309" s="137" t="s">
        <v>193</v>
      </c>
      <c r="AC309" s="137" t="s">
        <v>193</v>
      </c>
      <c r="AD309" s="137" t="s">
        <v>193</v>
      </c>
      <c r="AE309" s="137" t="s">
        <v>199</v>
      </c>
      <c r="AF309" s="137" t="s">
        <v>193</v>
      </c>
      <c r="AG309" s="137" t="s">
        <v>193</v>
      </c>
      <c r="AH309" s="137">
        <v>2.8319999999999999</v>
      </c>
      <c r="AI309" s="137" t="s">
        <v>193</v>
      </c>
      <c r="AJ309" s="137" t="s">
        <v>193</v>
      </c>
      <c r="AK309" s="137" t="s">
        <v>193</v>
      </c>
      <c r="AL309" s="137">
        <v>0.73499999999999999</v>
      </c>
      <c r="AM309" s="137">
        <v>0.73499999999999999</v>
      </c>
      <c r="AN309" s="137" t="s">
        <v>53</v>
      </c>
      <c r="AO309" s="137">
        <v>100</v>
      </c>
      <c r="AP309" s="137" t="s">
        <v>193</v>
      </c>
      <c r="AQ309" s="137" t="s">
        <v>193</v>
      </c>
      <c r="AR309" s="137" t="s">
        <v>193</v>
      </c>
      <c r="AV309" s="1">
        <f t="shared" si="37"/>
        <v>69.251999999999981</v>
      </c>
      <c r="AW309" s="1">
        <f t="shared" si="30"/>
        <v>64.152000000000001</v>
      </c>
      <c r="AX309" s="13">
        <f t="shared" si="35"/>
        <v>0.92635591751862789</v>
      </c>
      <c r="BA309" s="12">
        <f t="shared" si="31"/>
        <v>2.8319999999999999</v>
      </c>
      <c r="BB309" s="12">
        <f t="shared" si="36"/>
        <v>2.8319999999999999</v>
      </c>
      <c r="BC309" s="12">
        <f t="shared" si="36"/>
        <v>0</v>
      </c>
      <c r="BD309" s="12">
        <f t="shared" si="36"/>
        <v>0</v>
      </c>
      <c r="BE309" s="12">
        <f t="shared" si="32"/>
        <v>0</v>
      </c>
      <c r="BF309" s="12">
        <f t="shared" si="33"/>
        <v>0</v>
      </c>
      <c r="BJ309" s="12" t="str">
        <f t="shared" si="34"/>
        <v/>
      </c>
      <c r="BK309" s="12">
        <f>VLOOKUP(B309,Kraftvärmeprod!$B$1:$BH$549,MATCH($BA$1,Kraftvärmeprod!$B$1:$CC$1,0),FALSE)</f>
        <v>0</v>
      </c>
    </row>
    <row r="310" spans="1:63" ht="15" customHeight="1" x14ac:dyDescent="0.25">
      <c r="A310" s="137" t="s">
        <v>613</v>
      </c>
      <c r="B310" s="137" t="s">
        <v>615</v>
      </c>
      <c r="C310" s="137">
        <v>2018</v>
      </c>
      <c r="D310" s="137" t="s">
        <v>193</v>
      </c>
      <c r="E310" s="137" t="s">
        <v>193</v>
      </c>
      <c r="F310" s="137" t="s">
        <v>193</v>
      </c>
      <c r="G310" s="137" t="s">
        <v>193</v>
      </c>
      <c r="H310" s="137" t="s">
        <v>193</v>
      </c>
      <c r="I310" s="137" t="s">
        <v>193</v>
      </c>
      <c r="J310" s="137" t="s">
        <v>193</v>
      </c>
      <c r="K310" s="137" t="s">
        <v>193</v>
      </c>
      <c r="L310" s="137" t="s">
        <v>193</v>
      </c>
      <c r="M310" s="137" t="s">
        <v>53</v>
      </c>
      <c r="N310" s="137" t="s">
        <v>193</v>
      </c>
      <c r="O310" s="137" t="s">
        <v>193</v>
      </c>
      <c r="P310" s="137" t="s">
        <v>193</v>
      </c>
      <c r="Q310" s="137" t="s">
        <v>193</v>
      </c>
      <c r="R310" s="137" t="s">
        <v>193</v>
      </c>
      <c r="S310" s="137" t="s">
        <v>193</v>
      </c>
      <c r="T310" s="137" t="s">
        <v>193</v>
      </c>
      <c r="U310" s="137" t="s">
        <v>193</v>
      </c>
      <c r="V310" s="137" t="s">
        <v>193</v>
      </c>
      <c r="W310" s="137" t="s">
        <v>193</v>
      </c>
      <c r="X310" s="137" t="s">
        <v>193</v>
      </c>
      <c r="Y310" s="137" t="s">
        <v>193</v>
      </c>
      <c r="Z310" s="137" t="s">
        <v>193</v>
      </c>
      <c r="AA310" s="137" t="s">
        <v>193</v>
      </c>
      <c r="AB310" s="137" t="s">
        <v>193</v>
      </c>
      <c r="AC310" s="137" t="s">
        <v>193</v>
      </c>
      <c r="AD310" s="137" t="s">
        <v>193</v>
      </c>
      <c r="AE310" s="137" t="s">
        <v>199</v>
      </c>
      <c r="AF310" s="137" t="s">
        <v>193</v>
      </c>
      <c r="AG310" s="137" t="s">
        <v>193</v>
      </c>
      <c r="AH310" s="137" t="s">
        <v>193</v>
      </c>
      <c r="AI310" s="137" t="s">
        <v>193</v>
      </c>
      <c r="AJ310" s="137" t="s">
        <v>193</v>
      </c>
      <c r="AK310" s="137" t="s">
        <v>193</v>
      </c>
      <c r="AL310" s="137" t="s">
        <v>193</v>
      </c>
      <c r="AM310" s="137" t="s">
        <v>193</v>
      </c>
      <c r="AN310" s="137" t="s">
        <v>53</v>
      </c>
      <c r="AO310" s="137" t="s">
        <v>193</v>
      </c>
      <c r="AP310" s="137" t="s">
        <v>193</v>
      </c>
      <c r="AQ310" s="137" t="s">
        <v>193</v>
      </c>
      <c r="AR310" s="137" t="s">
        <v>193</v>
      </c>
      <c r="AV310" s="1">
        <f t="shared" si="37"/>
        <v>0</v>
      </c>
      <c r="AW310" s="1">
        <f t="shared" si="30"/>
        <v>0</v>
      </c>
      <c r="AX310" s="13" t="str">
        <f t="shared" si="35"/>
        <v/>
      </c>
      <c r="BA310" s="12">
        <f t="shared" si="31"/>
        <v>0</v>
      </c>
      <c r="BB310" s="12">
        <f t="shared" si="36"/>
        <v>0</v>
      </c>
      <c r="BC310" s="12">
        <f t="shared" si="36"/>
        <v>0</v>
      </c>
      <c r="BD310" s="12">
        <f t="shared" si="36"/>
        <v>0</v>
      </c>
      <c r="BE310" s="12">
        <f t="shared" si="32"/>
        <v>0</v>
      </c>
      <c r="BF310" s="12">
        <f t="shared" si="33"/>
        <v>0</v>
      </c>
      <c r="BJ310" s="12" t="str">
        <f t="shared" si="34"/>
        <v/>
      </c>
      <c r="BK310" s="12">
        <f>VLOOKUP(B310,Kraftvärmeprod!$B$1:$BH$549,MATCH($BA$1,Kraftvärmeprod!$B$1:$CC$1,0),FALSE)</f>
        <v>0</v>
      </c>
    </row>
    <row r="311" spans="1:63" ht="15" customHeight="1" x14ac:dyDescent="0.25">
      <c r="A311" s="137" t="s">
        <v>616</v>
      </c>
      <c r="B311" s="137" t="s">
        <v>616</v>
      </c>
      <c r="C311" s="137">
        <v>2018</v>
      </c>
      <c r="D311" s="137" t="s">
        <v>193</v>
      </c>
      <c r="E311" s="137">
        <v>5.1890000000000001</v>
      </c>
      <c r="F311" s="137" t="s">
        <v>193</v>
      </c>
      <c r="G311" s="137">
        <v>0.4</v>
      </c>
      <c r="H311" s="137" t="s">
        <v>193</v>
      </c>
      <c r="I311" s="137" t="s">
        <v>193</v>
      </c>
      <c r="J311" s="137" t="s">
        <v>193</v>
      </c>
      <c r="K311" s="137" t="s">
        <v>193</v>
      </c>
      <c r="L311" s="137" t="s">
        <v>193</v>
      </c>
      <c r="M311" s="137" t="s">
        <v>219</v>
      </c>
      <c r="N311" s="137" t="s">
        <v>193</v>
      </c>
      <c r="O311" s="137" t="s">
        <v>193</v>
      </c>
      <c r="P311" s="137">
        <v>4.7699999999999996</v>
      </c>
      <c r="Q311" s="137" t="s">
        <v>193</v>
      </c>
      <c r="R311" s="137" t="s">
        <v>193</v>
      </c>
      <c r="S311" s="137" t="s">
        <v>193</v>
      </c>
      <c r="T311" s="137" t="s">
        <v>193</v>
      </c>
      <c r="U311" s="137" t="s">
        <v>193</v>
      </c>
      <c r="V311" s="137" t="s">
        <v>193</v>
      </c>
      <c r="W311" s="137" t="s">
        <v>193</v>
      </c>
      <c r="X311" s="137" t="s">
        <v>193</v>
      </c>
      <c r="Y311" s="137" t="s">
        <v>193</v>
      </c>
      <c r="Z311" s="137">
        <v>1.9E-2</v>
      </c>
      <c r="AA311" s="137" t="s">
        <v>193</v>
      </c>
      <c r="AB311" s="137" t="s">
        <v>193</v>
      </c>
      <c r="AC311" s="137" t="s">
        <v>193</v>
      </c>
      <c r="AD311" s="137" t="s">
        <v>193</v>
      </c>
      <c r="AE311" s="137" t="s">
        <v>199</v>
      </c>
      <c r="AF311" s="137" t="s">
        <v>193</v>
      </c>
      <c r="AG311" s="137" t="s">
        <v>193</v>
      </c>
      <c r="AH311" s="137" t="s">
        <v>193</v>
      </c>
      <c r="AI311" s="137" t="s">
        <v>193</v>
      </c>
      <c r="AJ311" s="137" t="s">
        <v>193</v>
      </c>
      <c r="AK311" s="137" t="s">
        <v>193</v>
      </c>
      <c r="AL311" s="137" t="s">
        <v>193</v>
      </c>
      <c r="AM311" s="137" t="s">
        <v>193</v>
      </c>
      <c r="AN311" s="137" t="s">
        <v>219</v>
      </c>
      <c r="AO311" s="137" t="s">
        <v>193</v>
      </c>
      <c r="AP311" s="137" t="s">
        <v>193</v>
      </c>
      <c r="AQ311" s="137" t="s">
        <v>193</v>
      </c>
      <c r="AR311" s="137" t="s">
        <v>193</v>
      </c>
      <c r="AV311" s="1">
        <f t="shared" si="37"/>
        <v>5.1890000000000001</v>
      </c>
      <c r="AW311" s="1">
        <f t="shared" si="30"/>
        <v>0</v>
      </c>
      <c r="AX311" s="13">
        <f t="shared" si="35"/>
        <v>0</v>
      </c>
      <c r="BA311" s="12">
        <f t="shared" si="31"/>
        <v>0</v>
      </c>
      <c r="BB311" s="12">
        <f t="shared" si="36"/>
        <v>0</v>
      </c>
      <c r="BC311" s="12">
        <f t="shared" si="36"/>
        <v>0</v>
      </c>
      <c r="BD311" s="12">
        <f t="shared" si="36"/>
        <v>0</v>
      </c>
      <c r="BE311" s="12">
        <f t="shared" si="32"/>
        <v>0</v>
      </c>
      <c r="BF311" s="12">
        <f t="shared" si="33"/>
        <v>0</v>
      </c>
      <c r="BJ311" s="12" t="str">
        <f t="shared" si="34"/>
        <v/>
      </c>
      <c r="BK311" s="12">
        <f>VLOOKUP(B311,Kraftvärmeprod!$B$1:$BH$549,MATCH($BA$1,Kraftvärmeprod!$B$1:$CC$1,0),FALSE)</f>
        <v>0</v>
      </c>
    </row>
    <row r="312" spans="1:63" ht="15" customHeight="1" x14ac:dyDescent="0.25">
      <c r="A312" s="137" t="s">
        <v>617</v>
      </c>
      <c r="B312" s="137" t="s">
        <v>135</v>
      </c>
      <c r="C312" s="137">
        <v>2018</v>
      </c>
      <c r="D312" s="137" t="s">
        <v>193</v>
      </c>
      <c r="E312" s="137" t="s">
        <v>193</v>
      </c>
      <c r="F312" s="137" t="s">
        <v>193</v>
      </c>
      <c r="G312" s="137" t="s">
        <v>193</v>
      </c>
      <c r="H312" s="137" t="s">
        <v>193</v>
      </c>
      <c r="I312" s="137" t="s">
        <v>193</v>
      </c>
      <c r="J312" s="137" t="s">
        <v>193</v>
      </c>
      <c r="K312" s="137" t="s">
        <v>193</v>
      </c>
      <c r="L312" s="137" t="s">
        <v>193</v>
      </c>
      <c r="M312" s="137" t="s">
        <v>53</v>
      </c>
      <c r="N312" s="137" t="s">
        <v>193</v>
      </c>
      <c r="O312" s="137" t="s">
        <v>193</v>
      </c>
      <c r="P312" s="137" t="s">
        <v>193</v>
      </c>
      <c r="Q312" s="137" t="s">
        <v>193</v>
      </c>
      <c r="R312" s="137" t="s">
        <v>193</v>
      </c>
      <c r="S312" s="137" t="s">
        <v>193</v>
      </c>
      <c r="T312" s="137" t="s">
        <v>193</v>
      </c>
      <c r="U312" s="137" t="s">
        <v>193</v>
      </c>
      <c r="V312" s="137" t="s">
        <v>193</v>
      </c>
      <c r="W312" s="137" t="s">
        <v>193</v>
      </c>
      <c r="X312" s="137" t="s">
        <v>193</v>
      </c>
      <c r="Y312" s="137" t="s">
        <v>193</v>
      </c>
      <c r="Z312" s="137" t="s">
        <v>193</v>
      </c>
      <c r="AA312" s="137" t="s">
        <v>193</v>
      </c>
      <c r="AB312" s="137" t="s">
        <v>193</v>
      </c>
      <c r="AC312" s="137" t="s">
        <v>193</v>
      </c>
      <c r="AD312" s="137" t="s">
        <v>193</v>
      </c>
      <c r="AE312" s="137" t="s">
        <v>53</v>
      </c>
      <c r="AF312" s="137" t="s">
        <v>193</v>
      </c>
      <c r="AG312" s="137" t="s">
        <v>193</v>
      </c>
      <c r="AH312" s="137" t="s">
        <v>193</v>
      </c>
      <c r="AI312" s="137" t="s">
        <v>193</v>
      </c>
      <c r="AJ312" s="137" t="s">
        <v>193</v>
      </c>
      <c r="AK312" s="137" t="s">
        <v>193</v>
      </c>
      <c r="AL312" s="137" t="s">
        <v>193</v>
      </c>
      <c r="AM312" s="137" t="s">
        <v>193</v>
      </c>
      <c r="AN312" s="137" t="s">
        <v>53</v>
      </c>
      <c r="AO312" s="137" t="s">
        <v>193</v>
      </c>
      <c r="AP312" s="137" t="s">
        <v>193</v>
      </c>
      <c r="AQ312" s="137" t="s">
        <v>193</v>
      </c>
      <c r="AR312" s="137" t="s">
        <v>193</v>
      </c>
      <c r="AV312" s="1">
        <f t="shared" si="37"/>
        <v>0</v>
      </c>
      <c r="AW312" s="1">
        <f t="shared" si="30"/>
        <v>0</v>
      </c>
      <c r="AX312" s="13" t="str">
        <f t="shared" si="35"/>
        <v/>
      </c>
      <c r="BA312" s="12">
        <f t="shared" si="31"/>
        <v>0</v>
      </c>
      <c r="BB312" s="12">
        <f t="shared" si="36"/>
        <v>0</v>
      </c>
      <c r="BC312" s="12">
        <f t="shared" si="36"/>
        <v>0</v>
      </c>
      <c r="BD312" s="12">
        <f t="shared" si="36"/>
        <v>0</v>
      </c>
      <c r="BE312" s="12">
        <f t="shared" si="32"/>
        <v>0</v>
      </c>
      <c r="BF312" s="12">
        <f t="shared" si="33"/>
        <v>0</v>
      </c>
      <c r="BJ312" s="12" t="str">
        <f t="shared" si="34"/>
        <v/>
      </c>
      <c r="BK312" s="12">
        <f>VLOOKUP(B312,Kraftvärmeprod!$B$1:$BH$549,MATCH($BA$1,Kraftvärmeprod!$B$1:$CC$1,0),FALSE)</f>
        <v>0</v>
      </c>
    </row>
    <row r="313" spans="1:63" ht="15" customHeight="1" x14ac:dyDescent="0.25">
      <c r="A313" s="137" t="s">
        <v>618</v>
      </c>
      <c r="B313" s="137" t="s">
        <v>619</v>
      </c>
      <c r="C313" s="137">
        <v>2018</v>
      </c>
      <c r="D313" s="137">
        <v>13.6</v>
      </c>
      <c r="E313" s="137">
        <v>14.031000000000001</v>
      </c>
      <c r="F313" s="137" t="s">
        <v>193</v>
      </c>
      <c r="G313" s="137">
        <v>1.4910000000000001</v>
      </c>
      <c r="H313" s="137" t="s">
        <v>193</v>
      </c>
      <c r="I313" s="137" t="s">
        <v>193</v>
      </c>
      <c r="J313" s="137" t="s">
        <v>193</v>
      </c>
      <c r="K313" s="137" t="s">
        <v>193</v>
      </c>
      <c r="L313" s="137" t="s">
        <v>193</v>
      </c>
      <c r="M313" s="137" t="s">
        <v>620</v>
      </c>
      <c r="N313" s="137">
        <v>10.9</v>
      </c>
      <c r="O313" s="137" t="s">
        <v>193</v>
      </c>
      <c r="P313" s="137" t="s">
        <v>193</v>
      </c>
      <c r="Q313" s="137" t="s">
        <v>193</v>
      </c>
      <c r="R313" s="137" t="s">
        <v>193</v>
      </c>
      <c r="S313" s="137" t="s">
        <v>193</v>
      </c>
      <c r="T313" s="137" t="s">
        <v>194</v>
      </c>
      <c r="U313" s="137" t="s">
        <v>193</v>
      </c>
      <c r="V313" s="137" t="s">
        <v>193</v>
      </c>
      <c r="W313" s="137" t="s">
        <v>193</v>
      </c>
      <c r="X313" s="137" t="s">
        <v>193</v>
      </c>
      <c r="Y313" s="137" t="s">
        <v>193</v>
      </c>
      <c r="Z313" s="137" t="s">
        <v>193</v>
      </c>
      <c r="AA313" s="137" t="s">
        <v>193</v>
      </c>
      <c r="AB313" s="137" t="s">
        <v>193</v>
      </c>
      <c r="AC313" s="137" t="s">
        <v>193</v>
      </c>
      <c r="AD313" s="137" t="s">
        <v>193</v>
      </c>
      <c r="AE313" s="137" t="s">
        <v>199</v>
      </c>
      <c r="AF313" s="137" t="s">
        <v>193</v>
      </c>
      <c r="AG313" s="137" t="s">
        <v>193</v>
      </c>
      <c r="AH313" s="137">
        <v>1.64</v>
      </c>
      <c r="AI313" s="137" t="s">
        <v>193</v>
      </c>
      <c r="AJ313" s="137" t="s">
        <v>193</v>
      </c>
      <c r="AK313" s="137" t="s">
        <v>193</v>
      </c>
      <c r="AL313" s="137" t="s">
        <v>193</v>
      </c>
      <c r="AM313" s="137" t="s">
        <v>193</v>
      </c>
      <c r="AN313" s="137" t="s">
        <v>219</v>
      </c>
      <c r="AO313" s="137">
        <v>100</v>
      </c>
      <c r="AP313" s="137" t="s">
        <v>193</v>
      </c>
      <c r="AQ313" s="137" t="s">
        <v>193</v>
      </c>
      <c r="AR313" s="137" t="s">
        <v>193</v>
      </c>
      <c r="AV313" s="1">
        <f t="shared" si="37"/>
        <v>14.031000000000001</v>
      </c>
      <c r="AW313" s="1">
        <f t="shared" si="30"/>
        <v>13.6</v>
      </c>
      <c r="AX313" s="13">
        <f t="shared" si="35"/>
        <v>0.96928230347088584</v>
      </c>
      <c r="BA313" s="12">
        <f t="shared" si="31"/>
        <v>1.64</v>
      </c>
      <c r="BB313" s="12">
        <f t="shared" si="36"/>
        <v>1.64</v>
      </c>
      <c r="BC313" s="12">
        <f t="shared" si="36"/>
        <v>0</v>
      </c>
      <c r="BD313" s="12">
        <f t="shared" si="36"/>
        <v>0</v>
      </c>
      <c r="BE313" s="12">
        <f t="shared" si="32"/>
        <v>0</v>
      </c>
      <c r="BF313" s="12">
        <f t="shared" si="33"/>
        <v>0</v>
      </c>
      <c r="BJ313" s="12" t="str">
        <f t="shared" si="34"/>
        <v/>
      </c>
      <c r="BK313" s="12">
        <f>VLOOKUP(B313,Kraftvärmeprod!$B$1:$BH$549,MATCH($BA$1,Kraftvärmeprod!$B$1:$CC$1,0),FALSE)</f>
        <v>28.6</v>
      </c>
    </row>
    <row r="314" spans="1:63" ht="15" customHeight="1" x14ac:dyDescent="0.25">
      <c r="A314" s="137" t="s">
        <v>621</v>
      </c>
      <c r="B314" s="137" t="s">
        <v>622</v>
      </c>
      <c r="C314" s="137">
        <v>2018</v>
      </c>
      <c r="D314" s="137" t="s">
        <v>53</v>
      </c>
      <c r="E314" s="137" t="s">
        <v>193</v>
      </c>
      <c r="F314" s="137" t="s">
        <v>193</v>
      </c>
      <c r="G314" s="137" t="s">
        <v>53</v>
      </c>
      <c r="H314" s="137" t="s">
        <v>193</v>
      </c>
      <c r="I314" s="137" t="s">
        <v>193</v>
      </c>
      <c r="J314" s="137" t="s">
        <v>53</v>
      </c>
      <c r="K314" s="137" t="s">
        <v>193</v>
      </c>
      <c r="L314" s="137" t="s">
        <v>193</v>
      </c>
      <c r="M314" s="137" t="s">
        <v>53</v>
      </c>
      <c r="N314" s="137" t="s">
        <v>53</v>
      </c>
      <c r="O314" s="137" t="s">
        <v>193</v>
      </c>
      <c r="P314" s="137" t="s">
        <v>53</v>
      </c>
      <c r="Q314" s="137" t="s">
        <v>193</v>
      </c>
      <c r="R314" s="137" t="s">
        <v>193</v>
      </c>
      <c r="S314" s="137" t="s">
        <v>193</v>
      </c>
      <c r="T314" s="137" t="s">
        <v>194</v>
      </c>
      <c r="U314" s="137" t="s">
        <v>53</v>
      </c>
      <c r="V314" s="137" t="s">
        <v>193</v>
      </c>
      <c r="W314" s="137" t="s">
        <v>193</v>
      </c>
      <c r="X314" s="137" t="s">
        <v>193</v>
      </c>
      <c r="Y314" s="137" t="s">
        <v>193</v>
      </c>
      <c r="Z314" s="137" t="s">
        <v>193</v>
      </c>
      <c r="AA314" s="137" t="s">
        <v>193</v>
      </c>
      <c r="AB314" s="137" t="s">
        <v>193</v>
      </c>
      <c r="AC314" s="137" t="s">
        <v>193</v>
      </c>
      <c r="AD314" s="137" t="s">
        <v>193</v>
      </c>
      <c r="AE314" s="137" t="s">
        <v>199</v>
      </c>
      <c r="AF314" s="137" t="s">
        <v>193</v>
      </c>
      <c r="AG314" s="137" t="s">
        <v>53</v>
      </c>
      <c r="AH314" s="137" t="s">
        <v>53</v>
      </c>
      <c r="AI314" s="137" t="s">
        <v>193</v>
      </c>
      <c r="AJ314" s="137" t="s">
        <v>53</v>
      </c>
      <c r="AK314" s="137" t="s">
        <v>193</v>
      </c>
      <c r="AL314" s="137" t="s">
        <v>193</v>
      </c>
      <c r="AM314" s="137" t="s">
        <v>193</v>
      </c>
      <c r="AN314" s="137" t="s">
        <v>53</v>
      </c>
      <c r="AO314" s="137">
        <v>100</v>
      </c>
      <c r="AP314" s="137" t="s">
        <v>193</v>
      </c>
      <c r="AQ314" s="137" t="s">
        <v>193</v>
      </c>
      <c r="AR314" s="137" t="s">
        <v>193</v>
      </c>
      <c r="AV314" s="1">
        <f t="shared" si="37"/>
        <v>0</v>
      </c>
      <c r="AW314" s="1">
        <f t="shared" si="30"/>
        <v>0</v>
      </c>
      <c r="AX314" s="13" t="str">
        <f t="shared" si="35"/>
        <v/>
      </c>
      <c r="BA314" s="12">
        <f t="shared" si="31"/>
        <v>0</v>
      </c>
      <c r="BB314" s="12">
        <f t="shared" si="36"/>
        <v>0</v>
      </c>
      <c r="BC314" s="12">
        <f t="shared" si="36"/>
        <v>0</v>
      </c>
      <c r="BD314" s="12">
        <f t="shared" si="36"/>
        <v>0</v>
      </c>
      <c r="BE314" s="12">
        <f t="shared" si="32"/>
        <v>0</v>
      </c>
      <c r="BF314" s="12">
        <f t="shared" si="33"/>
        <v>0</v>
      </c>
      <c r="BJ314" s="12" t="str">
        <f t="shared" si="34"/>
        <v>ja</v>
      </c>
      <c r="BK314" s="12">
        <f>VLOOKUP(B314,Kraftvärmeprod!$B$1:$BH$549,MATCH($BA$1,Kraftvärmeprod!$B$1:$CC$1,0),FALSE)</f>
        <v>0</v>
      </c>
    </row>
    <row r="315" spans="1:63" ht="15" customHeight="1" x14ac:dyDescent="0.25">
      <c r="A315" s="137" t="s">
        <v>623</v>
      </c>
      <c r="B315" s="137" t="s">
        <v>624</v>
      </c>
      <c r="C315" s="137">
        <v>2018</v>
      </c>
      <c r="D315" s="137">
        <v>231.3</v>
      </c>
      <c r="E315" s="137">
        <v>278.13</v>
      </c>
      <c r="F315" s="137" t="s">
        <v>193</v>
      </c>
      <c r="G315" s="137">
        <v>0.53</v>
      </c>
      <c r="H315" s="137" t="s">
        <v>193</v>
      </c>
      <c r="I315" s="137" t="s">
        <v>193</v>
      </c>
      <c r="J315" s="137" t="s">
        <v>193</v>
      </c>
      <c r="K315" s="137" t="s">
        <v>193</v>
      </c>
      <c r="L315" s="137" t="s">
        <v>193</v>
      </c>
      <c r="M315" s="137" t="s">
        <v>219</v>
      </c>
      <c r="N315" s="137">
        <v>205.1</v>
      </c>
      <c r="O315" s="137" t="s">
        <v>193</v>
      </c>
      <c r="P315" s="137" t="s">
        <v>193</v>
      </c>
      <c r="Q315" s="137" t="s">
        <v>193</v>
      </c>
      <c r="R315" s="137" t="s">
        <v>193</v>
      </c>
      <c r="S315" s="137" t="s">
        <v>193</v>
      </c>
      <c r="T315" s="137" t="s">
        <v>194</v>
      </c>
      <c r="U315" s="137" t="s">
        <v>193</v>
      </c>
      <c r="V315" s="137" t="s">
        <v>193</v>
      </c>
      <c r="W315" s="137" t="s">
        <v>193</v>
      </c>
      <c r="X315" s="137" t="s">
        <v>193</v>
      </c>
      <c r="Y315" s="137" t="s">
        <v>193</v>
      </c>
      <c r="Z315" s="137">
        <v>42.6</v>
      </c>
      <c r="AA315" s="137" t="s">
        <v>193</v>
      </c>
      <c r="AB315" s="137" t="s">
        <v>193</v>
      </c>
      <c r="AC315" s="137" t="s">
        <v>193</v>
      </c>
      <c r="AD315" s="137" t="s">
        <v>193</v>
      </c>
      <c r="AE315" s="137" t="s">
        <v>199</v>
      </c>
      <c r="AF315" s="137" t="s">
        <v>193</v>
      </c>
      <c r="AG315" s="137" t="s">
        <v>193</v>
      </c>
      <c r="AH315" s="137">
        <v>29.9</v>
      </c>
      <c r="AI315" s="137" t="s">
        <v>193</v>
      </c>
      <c r="AJ315" s="137" t="s">
        <v>193</v>
      </c>
      <c r="AK315" s="137" t="s">
        <v>193</v>
      </c>
      <c r="AL315" s="137" t="s">
        <v>193</v>
      </c>
      <c r="AM315" s="137" t="s">
        <v>193</v>
      </c>
      <c r="AN315" s="137" t="s">
        <v>219</v>
      </c>
      <c r="AO315" s="137">
        <v>100</v>
      </c>
      <c r="AP315" s="137">
        <v>0</v>
      </c>
      <c r="AQ315" s="137">
        <v>0</v>
      </c>
      <c r="AR315" s="137">
        <v>0</v>
      </c>
      <c r="AV315" s="1">
        <f t="shared" si="37"/>
        <v>278.13</v>
      </c>
      <c r="AW315" s="1">
        <f t="shared" si="30"/>
        <v>231.3</v>
      </c>
      <c r="AX315" s="13">
        <f t="shared" si="35"/>
        <v>0.8316254988674362</v>
      </c>
      <c r="BA315" s="12">
        <f t="shared" si="31"/>
        <v>29.9</v>
      </c>
      <c r="BB315" s="12">
        <f t="shared" si="36"/>
        <v>29.9</v>
      </c>
      <c r="BC315" s="12">
        <f t="shared" si="36"/>
        <v>0</v>
      </c>
      <c r="BD315" s="12">
        <f t="shared" si="36"/>
        <v>0</v>
      </c>
      <c r="BE315" s="12">
        <f t="shared" si="32"/>
        <v>0</v>
      </c>
      <c r="BF315" s="12">
        <f t="shared" si="33"/>
        <v>0</v>
      </c>
      <c r="BJ315" s="12" t="str">
        <f t="shared" si="34"/>
        <v/>
      </c>
      <c r="BK315" s="12">
        <f>VLOOKUP(B315,Kraftvärmeprod!$B$1:$BH$549,MATCH($BA$1,Kraftvärmeprod!$B$1:$CC$1,0),FALSE)</f>
        <v>18.100000000000001</v>
      </c>
    </row>
    <row r="316" spans="1:63" ht="15" customHeight="1" x14ac:dyDescent="0.25">
      <c r="A316" s="137" t="s">
        <v>43</v>
      </c>
      <c r="B316" s="141" t="s">
        <v>51</v>
      </c>
      <c r="C316" s="137">
        <v>2018</v>
      </c>
      <c r="D316" s="137" t="s">
        <v>53</v>
      </c>
      <c r="E316" s="137" t="s">
        <v>53</v>
      </c>
      <c r="F316" s="137" t="s">
        <v>53</v>
      </c>
      <c r="G316" s="137" t="s">
        <v>53</v>
      </c>
      <c r="H316" s="137" t="s">
        <v>53</v>
      </c>
      <c r="I316" s="137" t="s">
        <v>53</v>
      </c>
      <c r="J316" s="137" t="s">
        <v>53</v>
      </c>
      <c r="K316" s="137" t="s">
        <v>53</v>
      </c>
      <c r="L316" s="137" t="s">
        <v>53</v>
      </c>
      <c r="M316" s="137" t="s">
        <v>53</v>
      </c>
      <c r="N316" s="137" t="s">
        <v>53</v>
      </c>
      <c r="O316" s="137" t="s">
        <v>53</v>
      </c>
      <c r="P316" s="137" t="s">
        <v>53</v>
      </c>
      <c r="Q316" s="137" t="s">
        <v>53</v>
      </c>
      <c r="R316" s="137" t="s">
        <v>53</v>
      </c>
      <c r="S316" s="137" t="s">
        <v>53</v>
      </c>
      <c r="T316" s="137" t="s">
        <v>53</v>
      </c>
      <c r="U316" s="137" t="s">
        <v>53</v>
      </c>
      <c r="V316" s="137" t="s">
        <v>53</v>
      </c>
      <c r="W316" s="137" t="s">
        <v>53</v>
      </c>
      <c r="X316" s="137" t="s">
        <v>53</v>
      </c>
      <c r="Y316" s="137" t="s">
        <v>53</v>
      </c>
      <c r="Z316" s="137" t="s">
        <v>53</v>
      </c>
      <c r="AA316" s="137" t="s">
        <v>53</v>
      </c>
      <c r="AB316" s="137" t="s">
        <v>53</v>
      </c>
      <c r="AC316" s="137" t="s">
        <v>53</v>
      </c>
      <c r="AD316" s="137" t="s">
        <v>53</v>
      </c>
      <c r="AE316" s="137" t="s">
        <v>53</v>
      </c>
      <c r="AF316" s="137" t="s">
        <v>53</v>
      </c>
      <c r="AG316" s="137" t="s">
        <v>53</v>
      </c>
      <c r="AH316" s="137" t="s">
        <v>53</v>
      </c>
      <c r="AI316" s="137" t="s">
        <v>53</v>
      </c>
      <c r="AJ316" s="137" t="s">
        <v>53</v>
      </c>
      <c r="AK316" s="137" t="s">
        <v>53</v>
      </c>
      <c r="AL316" s="137" t="s">
        <v>53</v>
      </c>
      <c r="AM316" s="137" t="s">
        <v>53</v>
      </c>
      <c r="AN316" s="137" t="s">
        <v>53</v>
      </c>
      <c r="AO316" s="137" t="s">
        <v>53</v>
      </c>
      <c r="AP316" s="137" t="s">
        <v>53</v>
      </c>
      <c r="AQ316" s="137" t="s">
        <v>53</v>
      </c>
      <c r="AR316" s="137" t="s">
        <v>53</v>
      </c>
      <c r="AV316" s="1">
        <f t="shared" si="37"/>
        <v>0</v>
      </c>
      <c r="AW316" s="1">
        <f t="shared" si="30"/>
        <v>0</v>
      </c>
      <c r="AX316" s="13" t="str">
        <f t="shared" si="35"/>
        <v/>
      </c>
      <c r="BA316" s="12">
        <f t="shared" si="31"/>
        <v>0</v>
      </c>
      <c r="BB316" s="12">
        <f t="shared" si="36"/>
        <v>0</v>
      </c>
      <c r="BC316" s="12">
        <f t="shared" si="36"/>
        <v>0</v>
      </c>
      <c r="BD316" s="12">
        <f t="shared" si="36"/>
        <v>0</v>
      </c>
      <c r="BE316" s="12">
        <f t="shared" si="32"/>
        <v>0</v>
      </c>
      <c r="BF316" s="12">
        <f t="shared" si="33"/>
        <v>0</v>
      </c>
      <c r="BJ316" s="12" t="str">
        <f t="shared" si="34"/>
        <v/>
      </c>
      <c r="BK316" s="12">
        <f>VLOOKUP(B316,Kraftvärmeprod!$B$1:$BH$549,MATCH($BA$1,Kraftvärmeprod!$B$1:$CC$1,0),FALSE)</f>
        <v>0</v>
      </c>
    </row>
    <row r="317" spans="1:63" ht="15" customHeight="1" x14ac:dyDescent="0.25">
      <c r="A317" s="137" t="s">
        <v>625</v>
      </c>
      <c r="B317" s="137" t="s">
        <v>626</v>
      </c>
      <c r="C317" s="137">
        <v>2018</v>
      </c>
      <c r="D317" s="137">
        <v>5.0090000000000003</v>
      </c>
      <c r="E317" s="137">
        <v>5.4850000000000003</v>
      </c>
      <c r="F317" s="137" t="s">
        <v>193</v>
      </c>
      <c r="G317" s="137" t="s">
        <v>193</v>
      </c>
      <c r="H317" s="137" t="s">
        <v>193</v>
      </c>
      <c r="I317" s="137" t="s">
        <v>193</v>
      </c>
      <c r="J317" s="137" t="s">
        <v>193</v>
      </c>
      <c r="K317" s="137" t="s">
        <v>193</v>
      </c>
      <c r="L317" s="137" t="s">
        <v>193</v>
      </c>
      <c r="M317" s="137" t="s">
        <v>53</v>
      </c>
      <c r="N317" s="137" t="s">
        <v>193</v>
      </c>
      <c r="O317" s="137" t="s">
        <v>193</v>
      </c>
      <c r="P317" s="137" t="s">
        <v>193</v>
      </c>
      <c r="Q317" s="137" t="s">
        <v>193</v>
      </c>
      <c r="R317" s="137" t="s">
        <v>193</v>
      </c>
      <c r="S317" s="137" t="s">
        <v>193</v>
      </c>
      <c r="T317" s="137" t="s">
        <v>194</v>
      </c>
      <c r="U317" s="137">
        <v>5.4180000000000001</v>
      </c>
      <c r="V317" s="137">
        <v>0</v>
      </c>
      <c r="W317" s="137" t="s">
        <v>193</v>
      </c>
      <c r="X317" s="137" t="s">
        <v>193</v>
      </c>
      <c r="Y317" s="137" t="s">
        <v>193</v>
      </c>
      <c r="Z317" s="137">
        <v>6.7000000000000004E-2</v>
      </c>
      <c r="AA317" s="137" t="s">
        <v>193</v>
      </c>
      <c r="AB317" s="137" t="s">
        <v>193</v>
      </c>
      <c r="AC317" s="137" t="s">
        <v>193</v>
      </c>
      <c r="AD317" s="137" t="s">
        <v>193</v>
      </c>
      <c r="AE317" s="137" t="s">
        <v>199</v>
      </c>
      <c r="AF317" s="137" t="s">
        <v>193</v>
      </c>
      <c r="AG317" s="137" t="s">
        <v>193</v>
      </c>
      <c r="AH317" s="137" t="s">
        <v>193</v>
      </c>
      <c r="AI317" s="137" t="s">
        <v>193</v>
      </c>
      <c r="AJ317" s="137" t="s">
        <v>193</v>
      </c>
      <c r="AK317" s="137" t="s">
        <v>193</v>
      </c>
      <c r="AL317" s="137" t="s">
        <v>193</v>
      </c>
      <c r="AM317" s="137" t="s">
        <v>193</v>
      </c>
      <c r="AN317" s="137" t="s">
        <v>219</v>
      </c>
      <c r="AO317" s="137" t="s">
        <v>193</v>
      </c>
      <c r="AP317" s="137" t="s">
        <v>193</v>
      </c>
      <c r="AQ317" s="137" t="s">
        <v>193</v>
      </c>
      <c r="AR317" s="137" t="s">
        <v>193</v>
      </c>
      <c r="AV317" s="1">
        <f t="shared" si="37"/>
        <v>5.4850000000000003</v>
      </c>
      <c r="AW317" s="1">
        <f t="shared" si="30"/>
        <v>5.0090000000000003</v>
      </c>
      <c r="AX317" s="13">
        <f t="shared" si="35"/>
        <v>0.91321786690975393</v>
      </c>
      <c r="BA317" s="12">
        <f t="shared" si="31"/>
        <v>0</v>
      </c>
      <c r="BB317" s="12">
        <f t="shared" si="36"/>
        <v>0</v>
      </c>
      <c r="BC317" s="12">
        <f t="shared" si="36"/>
        <v>0</v>
      </c>
      <c r="BD317" s="12">
        <f t="shared" si="36"/>
        <v>0</v>
      </c>
      <c r="BE317" s="12">
        <f t="shared" si="32"/>
        <v>0</v>
      </c>
      <c r="BF317" s="12">
        <f t="shared" si="33"/>
        <v>0</v>
      </c>
      <c r="BJ317" s="12" t="str">
        <f t="shared" si="34"/>
        <v/>
      </c>
      <c r="BK317" s="12">
        <f>VLOOKUP(B317,Kraftvärmeprod!$B$1:$BH$549,MATCH($BA$1,Kraftvärmeprod!$B$1:$CC$1,0),FALSE)</f>
        <v>0</v>
      </c>
    </row>
    <row r="318" spans="1:63" ht="15" customHeight="1" x14ac:dyDescent="0.25">
      <c r="A318" s="137" t="s">
        <v>625</v>
      </c>
      <c r="B318" s="137" t="s">
        <v>627</v>
      </c>
      <c r="C318" s="137">
        <v>2018</v>
      </c>
      <c r="D318" s="137">
        <v>7.8680000000000003</v>
      </c>
      <c r="E318" s="137">
        <v>9.2420000000000009</v>
      </c>
      <c r="F318" s="137" t="s">
        <v>193</v>
      </c>
      <c r="G318" s="137" t="s">
        <v>193</v>
      </c>
      <c r="H318" s="137" t="s">
        <v>193</v>
      </c>
      <c r="I318" s="137" t="s">
        <v>193</v>
      </c>
      <c r="J318" s="137" t="s">
        <v>193</v>
      </c>
      <c r="K318" s="137" t="s">
        <v>193</v>
      </c>
      <c r="L318" s="137" t="s">
        <v>193</v>
      </c>
      <c r="M318" s="137" t="s">
        <v>53</v>
      </c>
      <c r="N318" s="137" t="s">
        <v>193</v>
      </c>
      <c r="O318" s="137" t="s">
        <v>193</v>
      </c>
      <c r="P318" s="137">
        <v>2.593</v>
      </c>
      <c r="Q318" s="137" t="s">
        <v>193</v>
      </c>
      <c r="R318" s="137" t="s">
        <v>193</v>
      </c>
      <c r="S318" s="137" t="s">
        <v>193</v>
      </c>
      <c r="T318" s="137" t="s">
        <v>194</v>
      </c>
      <c r="U318" s="137">
        <v>6.3680000000000003</v>
      </c>
      <c r="V318" s="137">
        <v>0</v>
      </c>
      <c r="W318" s="137" t="s">
        <v>193</v>
      </c>
      <c r="X318" s="137" t="s">
        <v>193</v>
      </c>
      <c r="Y318" s="137" t="s">
        <v>193</v>
      </c>
      <c r="Z318" s="137">
        <v>0.28100000000000003</v>
      </c>
      <c r="AA318" s="137" t="s">
        <v>193</v>
      </c>
      <c r="AB318" s="137" t="s">
        <v>193</v>
      </c>
      <c r="AC318" s="137" t="s">
        <v>193</v>
      </c>
      <c r="AD318" s="137" t="s">
        <v>193</v>
      </c>
      <c r="AE318" s="137" t="s">
        <v>199</v>
      </c>
      <c r="AF318" s="137" t="s">
        <v>193</v>
      </c>
      <c r="AG318" s="137" t="s">
        <v>193</v>
      </c>
      <c r="AH318" s="137" t="s">
        <v>193</v>
      </c>
      <c r="AI318" s="137" t="s">
        <v>193</v>
      </c>
      <c r="AJ318" s="137" t="s">
        <v>193</v>
      </c>
      <c r="AK318" s="137" t="s">
        <v>193</v>
      </c>
      <c r="AL318" s="137" t="s">
        <v>193</v>
      </c>
      <c r="AM318" s="137" t="s">
        <v>193</v>
      </c>
      <c r="AN318" s="137" t="s">
        <v>219</v>
      </c>
      <c r="AO318" s="137" t="s">
        <v>193</v>
      </c>
      <c r="AP318" s="137" t="s">
        <v>193</v>
      </c>
      <c r="AQ318" s="137" t="s">
        <v>193</v>
      </c>
      <c r="AR318" s="137" t="s">
        <v>193</v>
      </c>
      <c r="AV318" s="1">
        <f t="shared" si="37"/>
        <v>9.2420000000000009</v>
      </c>
      <c r="AW318" s="1">
        <f t="shared" si="30"/>
        <v>7.8680000000000003</v>
      </c>
      <c r="AX318" s="13">
        <f t="shared" si="35"/>
        <v>0.85133088076173979</v>
      </c>
      <c r="BA318" s="12">
        <f t="shared" si="31"/>
        <v>0</v>
      </c>
      <c r="BB318" s="12">
        <f t="shared" si="36"/>
        <v>0</v>
      </c>
      <c r="BC318" s="12">
        <f t="shared" si="36"/>
        <v>0</v>
      </c>
      <c r="BD318" s="12">
        <f t="shared" si="36"/>
        <v>0</v>
      </c>
      <c r="BE318" s="12">
        <f t="shared" si="32"/>
        <v>0</v>
      </c>
      <c r="BF318" s="12">
        <f t="shared" si="33"/>
        <v>0</v>
      </c>
      <c r="BJ318" s="12" t="str">
        <f t="shared" si="34"/>
        <v/>
      </c>
      <c r="BK318" s="12">
        <f>VLOOKUP(B318,Kraftvärmeprod!$B$1:$BH$549,MATCH($BA$1,Kraftvärmeprod!$B$1:$CC$1,0),FALSE)</f>
        <v>0</v>
      </c>
    </row>
    <row r="319" spans="1:63" ht="15" customHeight="1" x14ac:dyDescent="0.25">
      <c r="A319" s="137" t="s">
        <v>625</v>
      </c>
      <c r="B319" s="137" t="s">
        <v>628</v>
      </c>
      <c r="C319" s="137">
        <v>2018</v>
      </c>
      <c r="D319" s="137">
        <v>96.057000000000002</v>
      </c>
      <c r="E319" s="137">
        <v>119.17700000000001</v>
      </c>
      <c r="F319" s="137" t="s">
        <v>193</v>
      </c>
      <c r="G319" s="137">
        <v>0.23899999999999999</v>
      </c>
      <c r="H319" s="137" t="s">
        <v>193</v>
      </c>
      <c r="I319" s="137" t="s">
        <v>193</v>
      </c>
      <c r="J319" s="137" t="s">
        <v>193</v>
      </c>
      <c r="K319" s="137" t="s">
        <v>193</v>
      </c>
      <c r="L319" s="137" t="s">
        <v>193</v>
      </c>
      <c r="M319" s="137" t="s">
        <v>219</v>
      </c>
      <c r="N319" s="137" t="s">
        <v>193</v>
      </c>
      <c r="O319" s="137" t="s">
        <v>193</v>
      </c>
      <c r="P319" s="137">
        <v>50.084000000000003</v>
      </c>
      <c r="Q319" s="137" t="s">
        <v>193</v>
      </c>
      <c r="R319" s="137" t="s">
        <v>193</v>
      </c>
      <c r="S319" s="137" t="s">
        <v>193</v>
      </c>
      <c r="T319" s="137" t="s">
        <v>194</v>
      </c>
      <c r="U319" s="137" t="s">
        <v>193</v>
      </c>
      <c r="V319" s="137" t="s">
        <v>193</v>
      </c>
      <c r="W319" s="137" t="s">
        <v>193</v>
      </c>
      <c r="X319" s="137">
        <v>16.576000000000001</v>
      </c>
      <c r="Y319" s="137" t="s">
        <v>193</v>
      </c>
      <c r="Z319" s="137">
        <v>1.4239999999999999</v>
      </c>
      <c r="AA319" s="137" t="s">
        <v>193</v>
      </c>
      <c r="AB319" s="137">
        <v>31.010999999999999</v>
      </c>
      <c r="AC319" s="137" t="s">
        <v>193</v>
      </c>
      <c r="AD319" s="137" t="s">
        <v>193</v>
      </c>
      <c r="AE319" s="137" t="s">
        <v>199</v>
      </c>
      <c r="AF319" s="137" t="s">
        <v>193</v>
      </c>
      <c r="AG319" s="137" t="s">
        <v>193</v>
      </c>
      <c r="AH319" s="137">
        <v>19.843</v>
      </c>
      <c r="AI319" s="137" t="s">
        <v>193</v>
      </c>
      <c r="AJ319" s="137" t="s">
        <v>193</v>
      </c>
      <c r="AK319" s="137" t="s">
        <v>193</v>
      </c>
      <c r="AL319" s="137" t="s">
        <v>193</v>
      </c>
      <c r="AM319" s="137" t="s">
        <v>193</v>
      </c>
      <c r="AN319" s="137" t="s">
        <v>219</v>
      </c>
      <c r="AO319" s="137">
        <v>67</v>
      </c>
      <c r="AP319" s="137" t="s">
        <v>193</v>
      </c>
      <c r="AQ319" s="137">
        <v>0</v>
      </c>
      <c r="AR319" s="137">
        <v>33</v>
      </c>
      <c r="AV319" s="1">
        <f t="shared" si="37"/>
        <v>119.17700000000001</v>
      </c>
      <c r="AW319" s="1">
        <f t="shared" si="30"/>
        <v>96.057000000000002</v>
      </c>
      <c r="AX319" s="13">
        <f t="shared" si="35"/>
        <v>0.80600283611770729</v>
      </c>
      <c r="BA319" s="12">
        <f t="shared" si="31"/>
        <v>19.843</v>
      </c>
      <c r="BB319" s="12">
        <f t="shared" si="36"/>
        <v>13.29481</v>
      </c>
      <c r="BC319" s="12">
        <f t="shared" si="36"/>
        <v>0</v>
      </c>
      <c r="BD319" s="12">
        <f t="shared" si="36"/>
        <v>0</v>
      </c>
      <c r="BE319" s="12">
        <f t="shared" si="32"/>
        <v>6.54819</v>
      </c>
      <c r="BF319" s="12">
        <f t="shared" si="33"/>
        <v>0</v>
      </c>
      <c r="BJ319" s="12" t="str">
        <f t="shared" si="34"/>
        <v/>
      </c>
      <c r="BK319" s="12">
        <f>VLOOKUP(B319,Kraftvärmeprod!$B$1:$BH$549,MATCH($BA$1,Kraftvärmeprod!$B$1:$CC$1,0),FALSE)</f>
        <v>40.703000000000003</v>
      </c>
    </row>
    <row r="320" spans="1:63" ht="15" customHeight="1" x14ac:dyDescent="0.25">
      <c r="A320" s="137" t="s">
        <v>629</v>
      </c>
      <c r="B320" s="137" t="s">
        <v>630</v>
      </c>
      <c r="C320" s="137">
        <v>2018</v>
      </c>
      <c r="D320" s="137">
        <v>2.4969999999999999</v>
      </c>
      <c r="E320" s="137">
        <v>2.8248000000000002</v>
      </c>
      <c r="F320" s="137" t="s">
        <v>193</v>
      </c>
      <c r="G320" s="137">
        <v>0.1022</v>
      </c>
      <c r="H320" s="137" t="s">
        <v>193</v>
      </c>
      <c r="I320" s="137" t="s">
        <v>193</v>
      </c>
      <c r="J320" s="137" t="s">
        <v>193</v>
      </c>
      <c r="K320" s="137" t="s">
        <v>193</v>
      </c>
      <c r="L320" s="137" t="s">
        <v>193</v>
      </c>
      <c r="M320" s="137" t="s">
        <v>53</v>
      </c>
      <c r="N320" s="137" t="s">
        <v>193</v>
      </c>
      <c r="O320" s="137" t="s">
        <v>193</v>
      </c>
      <c r="P320" s="137" t="s">
        <v>193</v>
      </c>
      <c r="Q320" s="137" t="s">
        <v>193</v>
      </c>
      <c r="R320" s="137" t="s">
        <v>193</v>
      </c>
      <c r="S320" s="137" t="s">
        <v>193</v>
      </c>
      <c r="T320" s="137" t="s">
        <v>193</v>
      </c>
      <c r="U320" s="137">
        <v>2.7225999999999999</v>
      </c>
      <c r="V320" s="137" t="s">
        <v>193</v>
      </c>
      <c r="W320" s="137" t="s">
        <v>193</v>
      </c>
      <c r="X320" s="137" t="s">
        <v>193</v>
      </c>
      <c r="Y320" s="137" t="s">
        <v>193</v>
      </c>
      <c r="Z320" s="137" t="s">
        <v>193</v>
      </c>
      <c r="AA320" s="137" t="s">
        <v>193</v>
      </c>
      <c r="AB320" s="137" t="s">
        <v>193</v>
      </c>
      <c r="AC320" s="137" t="s">
        <v>193</v>
      </c>
      <c r="AD320" s="137" t="s">
        <v>193</v>
      </c>
      <c r="AE320" s="137" t="s">
        <v>53</v>
      </c>
      <c r="AF320" s="137" t="s">
        <v>193</v>
      </c>
      <c r="AG320" s="137" t="s">
        <v>193</v>
      </c>
      <c r="AH320" s="137" t="s">
        <v>193</v>
      </c>
      <c r="AI320" s="137" t="s">
        <v>193</v>
      </c>
      <c r="AJ320" s="137" t="s">
        <v>193</v>
      </c>
      <c r="AK320" s="137" t="s">
        <v>193</v>
      </c>
      <c r="AL320" s="137" t="s">
        <v>193</v>
      </c>
      <c r="AM320" s="137" t="s">
        <v>193</v>
      </c>
      <c r="AN320" s="137" t="s">
        <v>53</v>
      </c>
      <c r="AO320" s="137" t="s">
        <v>193</v>
      </c>
      <c r="AP320" s="137" t="s">
        <v>193</v>
      </c>
      <c r="AQ320" s="137" t="s">
        <v>193</v>
      </c>
      <c r="AR320" s="137" t="s">
        <v>193</v>
      </c>
      <c r="AV320" s="1">
        <f t="shared" si="37"/>
        <v>2.8247999999999998</v>
      </c>
      <c r="AW320" s="1">
        <f t="shared" si="30"/>
        <v>2.4969999999999999</v>
      </c>
      <c r="AX320" s="13">
        <f t="shared" si="35"/>
        <v>0.88395638629283491</v>
      </c>
      <c r="BA320" s="12">
        <f t="shared" si="31"/>
        <v>0</v>
      </c>
      <c r="BB320" s="12">
        <f t="shared" si="36"/>
        <v>0</v>
      </c>
      <c r="BC320" s="12">
        <f t="shared" si="36"/>
        <v>0</v>
      </c>
      <c r="BD320" s="12">
        <f t="shared" si="36"/>
        <v>0</v>
      </c>
      <c r="BE320" s="12">
        <f t="shared" si="32"/>
        <v>0</v>
      </c>
      <c r="BF320" s="12">
        <f t="shared" si="33"/>
        <v>0</v>
      </c>
      <c r="BJ320" s="12" t="str">
        <f t="shared" si="34"/>
        <v/>
      </c>
      <c r="BK320" s="12">
        <f>VLOOKUP(B320,Kraftvärmeprod!$B$1:$BH$549,MATCH($BA$1,Kraftvärmeprod!$B$1:$CC$1,0),FALSE)</f>
        <v>0</v>
      </c>
    </row>
    <row r="321" spans="1:63" ht="15" customHeight="1" x14ac:dyDescent="0.25">
      <c r="A321" s="137" t="s">
        <v>629</v>
      </c>
      <c r="B321" s="137" t="s">
        <v>631</v>
      </c>
      <c r="C321" s="137">
        <v>2018</v>
      </c>
      <c r="D321" s="137">
        <v>0.8881</v>
      </c>
      <c r="E321" s="137">
        <v>1.1275649999999999</v>
      </c>
      <c r="F321" s="137" t="s">
        <v>193</v>
      </c>
      <c r="G321" s="137" t="s">
        <v>193</v>
      </c>
      <c r="H321" s="137" t="s">
        <v>193</v>
      </c>
      <c r="I321" s="137" t="s">
        <v>193</v>
      </c>
      <c r="J321" s="137" t="s">
        <v>193</v>
      </c>
      <c r="K321" s="137" t="s">
        <v>193</v>
      </c>
      <c r="L321" s="137" t="s">
        <v>193</v>
      </c>
      <c r="M321" s="137" t="s">
        <v>53</v>
      </c>
      <c r="N321" s="137" t="s">
        <v>193</v>
      </c>
      <c r="O321" s="137" t="s">
        <v>193</v>
      </c>
      <c r="P321" s="137" t="s">
        <v>193</v>
      </c>
      <c r="Q321" s="137" t="s">
        <v>193</v>
      </c>
      <c r="R321" s="137" t="s">
        <v>193</v>
      </c>
      <c r="S321" s="137" t="s">
        <v>193</v>
      </c>
      <c r="T321" s="137" t="s">
        <v>193</v>
      </c>
      <c r="U321" s="137">
        <v>1.1273150000000001</v>
      </c>
      <c r="V321" s="137" t="s">
        <v>193</v>
      </c>
      <c r="W321" s="137" t="s">
        <v>193</v>
      </c>
      <c r="X321" s="137" t="s">
        <v>193</v>
      </c>
      <c r="Y321" s="137" t="s">
        <v>193</v>
      </c>
      <c r="Z321" s="137" t="s">
        <v>193</v>
      </c>
      <c r="AA321" s="137" t="s">
        <v>193</v>
      </c>
      <c r="AB321" s="137" t="s">
        <v>193</v>
      </c>
      <c r="AC321" s="137" t="s">
        <v>193</v>
      </c>
      <c r="AD321" s="137" t="s">
        <v>193</v>
      </c>
      <c r="AE321" s="137" t="s">
        <v>53</v>
      </c>
      <c r="AF321" s="137" t="s">
        <v>193</v>
      </c>
      <c r="AG321" s="137" t="s">
        <v>193</v>
      </c>
      <c r="AH321" s="137" t="s">
        <v>193</v>
      </c>
      <c r="AI321" s="137" t="s">
        <v>193</v>
      </c>
      <c r="AJ321" s="137" t="s">
        <v>193</v>
      </c>
      <c r="AK321" s="137" t="s">
        <v>193</v>
      </c>
      <c r="AL321" s="137">
        <v>2.5000000000000001E-4</v>
      </c>
      <c r="AM321" s="137">
        <v>2.5000000000000001E-4</v>
      </c>
      <c r="AN321" s="137" t="s">
        <v>53</v>
      </c>
      <c r="AO321" s="137" t="s">
        <v>193</v>
      </c>
      <c r="AP321" s="137" t="s">
        <v>193</v>
      </c>
      <c r="AQ321" s="137" t="s">
        <v>193</v>
      </c>
      <c r="AR321" s="137" t="s">
        <v>193</v>
      </c>
      <c r="AV321" s="1">
        <f t="shared" si="37"/>
        <v>1.1275650000000002</v>
      </c>
      <c r="AW321" s="1">
        <f t="shared" ref="AW321:AW384" si="38">IFERROR(D321/1,0)</f>
        <v>0.8881</v>
      </c>
      <c r="AX321" s="13">
        <f t="shared" si="35"/>
        <v>0.78762643395280973</v>
      </c>
      <c r="BA321" s="12">
        <f t="shared" ref="BA321:BA384" si="39">IFERROR(AH321/1,0)</f>
        <v>0</v>
      </c>
      <c r="BB321" s="12">
        <f t="shared" si="36"/>
        <v>0</v>
      </c>
      <c r="BC321" s="12">
        <f t="shared" si="36"/>
        <v>0</v>
      </c>
      <c r="BD321" s="12">
        <f t="shared" si="36"/>
        <v>0</v>
      </c>
      <c r="BE321" s="12">
        <f t="shared" si="36"/>
        <v>0</v>
      </c>
      <c r="BF321" s="12">
        <f t="shared" ref="BF321:BF384" si="40">MAX(BA321-SUM(BB321:BE321),0)</f>
        <v>0</v>
      </c>
      <c r="BJ321" s="12" t="str">
        <f t="shared" ref="BJ321:BJ384" si="41">IF(AND((IFERROR(AO321/1,0)+IFERROR(AP321/1,0)+IFERROR(AQ321/1,0)+IFERROR(AR321/1,0))&gt;0,OR(TYPE(AH321)&lt;&gt;1,AH321=0)),"ja","")</f>
        <v/>
      </c>
      <c r="BK321" s="12">
        <f>VLOOKUP(B321,Kraftvärmeprod!$B$1:$BH$549,MATCH($BA$1,Kraftvärmeprod!$B$1:$CC$1,0),FALSE)</f>
        <v>0</v>
      </c>
    </row>
    <row r="322" spans="1:63" ht="15" customHeight="1" x14ac:dyDescent="0.25">
      <c r="A322" s="137" t="s">
        <v>629</v>
      </c>
      <c r="B322" s="137" t="s">
        <v>632</v>
      </c>
      <c r="C322" s="137">
        <v>2018</v>
      </c>
      <c r="D322" s="137">
        <v>2.798</v>
      </c>
      <c r="E322" s="137">
        <v>3.243023</v>
      </c>
      <c r="F322" s="137" t="s">
        <v>193</v>
      </c>
      <c r="G322" s="137">
        <v>0.15</v>
      </c>
      <c r="H322" s="137" t="s">
        <v>193</v>
      </c>
      <c r="I322" s="137" t="s">
        <v>193</v>
      </c>
      <c r="J322" s="137" t="s">
        <v>193</v>
      </c>
      <c r="K322" s="137" t="s">
        <v>193</v>
      </c>
      <c r="L322" s="137" t="s">
        <v>193</v>
      </c>
      <c r="M322" s="137" t="s">
        <v>53</v>
      </c>
      <c r="N322" s="137" t="s">
        <v>193</v>
      </c>
      <c r="O322" s="137" t="s">
        <v>193</v>
      </c>
      <c r="P322" s="137" t="s">
        <v>193</v>
      </c>
      <c r="Q322" s="137" t="s">
        <v>193</v>
      </c>
      <c r="R322" s="137" t="s">
        <v>193</v>
      </c>
      <c r="S322" s="137" t="s">
        <v>193</v>
      </c>
      <c r="T322" s="137" t="s">
        <v>193</v>
      </c>
      <c r="U322" s="137">
        <v>3.0930230000000001</v>
      </c>
      <c r="V322" s="137" t="s">
        <v>193</v>
      </c>
      <c r="W322" s="137" t="s">
        <v>193</v>
      </c>
      <c r="X322" s="137" t="s">
        <v>193</v>
      </c>
      <c r="Y322" s="137" t="s">
        <v>193</v>
      </c>
      <c r="Z322" s="137" t="s">
        <v>193</v>
      </c>
      <c r="AA322" s="137" t="s">
        <v>193</v>
      </c>
      <c r="AB322" s="137" t="s">
        <v>193</v>
      </c>
      <c r="AC322" s="137" t="s">
        <v>193</v>
      </c>
      <c r="AD322" s="137" t="s">
        <v>193</v>
      </c>
      <c r="AE322" s="137" t="s">
        <v>53</v>
      </c>
      <c r="AF322" s="137" t="s">
        <v>193</v>
      </c>
      <c r="AG322" s="137" t="s">
        <v>193</v>
      </c>
      <c r="AH322" s="137" t="s">
        <v>193</v>
      </c>
      <c r="AI322" s="137" t="s">
        <v>193</v>
      </c>
      <c r="AJ322" s="137" t="s">
        <v>193</v>
      </c>
      <c r="AK322" s="137" t="s">
        <v>193</v>
      </c>
      <c r="AL322" s="137" t="s">
        <v>193</v>
      </c>
      <c r="AM322" s="137" t="s">
        <v>193</v>
      </c>
      <c r="AN322" s="137" t="s">
        <v>53</v>
      </c>
      <c r="AO322" s="137" t="s">
        <v>193</v>
      </c>
      <c r="AP322" s="137" t="s">
        <v>193</v>
      </c>
      <c r="AQ322" s="137" t="s">
        <v>193</v>
      </c>
      <c r="AR322" s="137" t="s">
        <v>193</v>
      </c>
      <c r="AV322" s="1">
        <f t="shared" si="37"/>
        <v>3.243023</v>
      </c>
      <c r="AW322" s="1">
        <f t="shared" si="38"/>
        <v>2.798</v>
      </c>
      <c r="AX322" s="13">
        <f t="shared" ref="AX322:AX385" si="42">IFERROR(AW322/AV322,"")</f>
        <v>0.86277525629636298</v>
      </c>
      <c r="BA322" s="12">
        <f t="shared" si="39"/>
        <v>0</v>
      </c>
      <c r="BB322" s="12">
        <f t="shared" ref="BB322:BE385" si="43">IFERROR(AO322/100,0)*$BA322</f>
        <v>0</v>
      </c>
      <c r="BC322" s="12">
        <f t="shared" si="43"/>
        <v>0</v>
      </c>
      <c r="BD322" s="12">
        <f t="shared" si="43"/>
        <v>0</v>
      </c>
      <c r="BE322" s="12">
        <f t="shared" si="43"/>
        <v>0</v>
      </c>
      <c r="BF322" s="12">
        <f t="shared" si="40"/>
        <v>0</v>
      </c>
      <c r="BJ322" s="12" t="str">
        <f t="shared" si="41"/>
        <v/>
      </c>
      <c r="BK322" s="12">
        <f>VLOOKUP(B322,Kraftvärmeprod!$B$1:$BH$549,MATCH($BA$1,Kraftvärmeprod!$B$1:$CC$1,0),FALSE)</f>
        <v>0</v>
      </c>
    </row>
    <row r="323" spans="1:63" ht="15" customHeight="1" x14ac:dyDescent="0.25">
      <c r="A323" s="137" t="s">
        <v>633</v>
      </c>
      <c r="B323" s="137" t="s">
        <v>634</v>
      </c>
      <c r="C323" s="137">
        <v>2018</v>
      </c>
      <c r="D323" s="137">
        <v>8.58</v>
      </c>
      <c r="E323" s="137">
        <v>9.093</v>
      </c>
      <c r="F323" s="137" t="s">
        <v>193</v>
      </c>
      <c r="G323" s="137">
        <v>1.62</v>
      </c>
      <c r="H323" s="137" t="s">
        <v>193</v>
      </c>
      <c r="I323" s="137" t="s">
        <v>193</v>
      </c>
      <c r="J323" s="137" t="s">
        <v>193</v>
      </c>
      <c r="K323" s="137" t="s">
        <v>193</v>
      </c>
      <c r="L323" s="137" t="s">
        <v>193</v>
      </c>
      <c r="M323" s="137" t="s">
        <v>53</v>
      </c>
      <c r="N323" s="137" t="s">
        <v>193</v>
      </c>
      <c r="O323" s="137" t="s">
        <v>193</v>
      </c>
      <c r="P323" s="137" t="s">
        <v>193</v>
      </c>
      <c r="Q323" s="137" t="s">
        <v>193</v>
      </c>
      <c r="R323" s="137" t="s">
        <v>193</v>
      </c>
      <c r="S323" s="137" t="s">
        <v>193</v>
      </c>
      <c r="T323" s="137" t="s">
        <v>193</v>
      </c>
      <c r="U323" s="137">
        <v>7.4729999999999999</v>
      </c>
      <c r="V323" s="137" t="s">
        <v>193</v>
      </c>
      <c r="W323" s="137" t="s">
        <v>193</v>
      </c>
      <c r="X323" s="137" t="s">
        <v>193</v>
      </c>
      <c r="Y323" s="137" t="s">
        <v>193</v>
      </c>
      <c r="Z323" s="137" t="s">
        <v>193</v>
      </c>
      <c r="AA323" s="137" t="s">
        <v>193</v>
      </c>
      <c r="AB323" s="137" t="s">
        <v>193</v>
      </c>
      <c r="AC323" s="137" t="s">
        <v>193</v>
      </c>
      <c r="AD323" s="137" t="s">
        <v>193</v>
      </c>
      <c r="AE323" s="137" t="s">
        <v>199</v>
      </c>
      <c r="AF323" s="137" t="s">
        <v>193</v>
      </c>
      <c r="AG323" s="137" t="s">
        <v>193</v>
      </c>
      <c r="AH323" s="137" t="s">
        <v>193</v>
      </c>
      <c r="AI323" s="137" t="s">
        <v>193</v>
      </c>
      <c r="AJ323" s="137" t="s">
        <v>193</v>
      </c>
      <c r="AK323" s="137" t="s">
        <v>193</v>
      </c>
      <c r="AL323" s="137" t="s">
        <v>193</v>
      </c>
      <c r="AM323" s="137" t="s">
        <v>193</v>
      </c>
      <c r="AN323" s="137" t="s">
        <v>53</v>
      </c>
      <c r="AO323" s="137" t="s">
        <v>193</v>
      </c>
      <c r="AP323" s="137" t="s">
        <v>193</v>
      </c>
      <c r="AQ323" s="137" t="s">
        <v>193</v>
      </c>
      <c r="AR323" s="137" t="s">
        <v>193</v>
      </c>
      <c r="AV323" s="1">
        <f t="shared" ref="AV323:AV386" si="44">SUMPRODUCT(F323:AC323)+SUMPRODUCT(AG323:AI323)+IFERROR(AL323/1,0)</f>
        <v>9.093</v>
      </c>
      <c r="AW323" s="1">
        <f t="shared" si="38"/>
        <v>8.58</v>
      </c>
      <c r="AX323" s="13">
        <f t="shared" si="42"/>
        <v>0.94358297591553941</v>
      </c>
      <c r="BA323" s="12">
        <f t="shared" si="39"/>
        <v>0</v>
      </c>
      <c r="BB323" s="12">
        <f t="shared" si="43"/>
        <v>0</v>
      </c>
      <c r="BC323" s="12">
        <f t="shared" si="43"/>
        <v>0</v>
      </c>
      <c r="BD323" s="12">
        <f t="shared" si="43"/>
        <v>0</v>
      </c>
      <c r="BE323" s="12">
        <f t="shared" si="43"/>
        <v>0</v>
      </c>
      <c r="BF323" s="12">
        <f t="shared" si="40"/>
        <v>0</v>
      </c>
      <c r="BJ323" s="12" t="str">
        <f t="shared" si="41"/>
        <v/>
      </c>
      <c r="BK323" s="12">
        <f>VLOOKUP(B323,Kraftvärmeprod!$B$1:$BH$549,MATCH($BA$1,Kraftvärmeprod!$B$1:$CC$1,0),FALSE)</f>
        <v>0</v>
      </c>
    </row>
    <row r="324" spans="1:63" ht="15" customHeight="1" x14ac:dyDescent="0.25">
      <c r="A324" s="137" t="s">
        <v>633</v>
      </c>
      <c r="B324" s="137" t="s">
        <v>635</v>
      </c>
      <c r="C324" s="137">
        <v>2018</v>
      </c>
      <c r="D324" s="137">
        <v>8.9540000000000006</v>
      </c>
      <c r="E324" s="137">
        <v>10.35</v>
      </c>
      <c r="F324" s="137" t="s">
        <v>193</v>
      </c>
      <c r="G324" s="137">
        <v>0.03</v>
      </c>
      <c r="H324" s="137" t="s">
        <v>193</v>
      </c>
      <c r="I324" s="137" t="s">
        <v>193</v>
      </c>
      <c r="J324" s="137" t="s">
        <v>193</v>
      </c>
      <c r="K324" s="137" t="s">
        <v>193</v>
      </c>
      <c r="L324" s="137" t="s">
        <v>193</v>
      </c>
      <c r="M324" s="137" t="s">
        <v>53</v>
      </c>
      <c r="N324" s="137" t="s">
        <v>193</v>
      </c>
      <c r="O324" s="137" t="s">
        <v>193</v>
      </c>
      <c r="P324" s="137" t="s">
        <v>193</v>
      </c>
      <c r="Q324" s="137" t="s">
        <v>193</v>
      </c>
      <c r="R324" s="137" t="s">
        <v>193</v>
      </c>
      <c r="S324" s="137" t="s">
        <v>193</v>
      </c>
      <c r="T324" s="137" t="s">
        <v>193</v>
      </c>
      <c r="U324" s="137">
        <v>10.32</v>
      </c>
      <c r="V324" s="137" t="s">
        <v>193</v>
      </c>
      <c r="W324" s="137" t="s">
        <v>193</v>
      </c>
      <c r="X324" s="137" t="s">
        <v>193</v>
      </c>
      <c r="Y324" s="137" t="s">
        <v>193</v>
      </c>
      <c r="Z324" s="137" t="s">
        <v>193</v>
      </c>
      <c r="AA324" s="137" t="s">
        <v>193</v>
      </c>
      <c r="AB324" s="137" t="s">
        <v>193</v>
      </c>
      <c r="AC324" s="137" t="s">
        <v>193</v>
      </c>
      <c r="AD324" s="137" t="s">
        <v>193</v>
      </c>
      <c r="AE324" s="137" t="s">
        <v>199</v>
      </c>
      <c r="AF324" s="137" t="s">
        <v>193</v>
      </c>
      <c r="AG324" s="137" t="s">
        <v>193</v>
      </c>
      <c r="AH324" s="137" t="s">
        <v>193</v>
      </c>
      <c r="AI324" s="137" t="s">
        <v>193</v>
      </c>
      <c r="AJ324" s="137" t="s">
        <v>193</v>
      </c>
      <c r="AK324" s="137" t="s">
        <v>193</v>
      </c>
      <c r="AL324" s="137" t="s">
        <v>193</v>
      </c>
      <c r="AM324" s="137" t="s">
        <v>193</v>
      </c>
      <c r="AN324" s="137" t="s">
        <v>53</v>
      </c>
      <c r="AO324" s="137" t="s">
        <v>193</v>
      </c>
      <c r="AP324" s="137" t="s">
        <v>193</v>
      </c>
      <c r="AQ324" s="137" t="s">
        <v>193</v>
      </c>
      <c r="AR324" s="137" t="s">
        <v>193</v>
      </c>
      <c r="AV324" s="1">
        <f t="shared" si="44"/>
        <v>10.35</v>
      </c>
      <c r="AW324" s="1">
        <f t="shared" si="38"/>
        <v>8.9540000000000006</v>
      </c>
      <c r="AX324" s="13">
        <f t="shared" si="42"/>
        <v>0.86512077294685996</v>
      </c>
      <c r="BA324" s="12">
        <f t="shared" si="39"/>
        <v>0</v>
      </c>
      <c r="BB324" s="12">
        <f t="shared" si="43"/>
        <v>0</v>
      </c>
      <c r="BC324" s="12">
        <f t="shared" si="43"/>
        <v>0</v>
      </c>
      <c r="BD324" s="12">
        <f t="shared" si="43"/>
        <v>0</v>
      </c>
      <c r="BE324" s="12">
        <f t="shared" si="43"/>
        <v>0</v>
      </c>
      <c r="BF324" s="12">
        <f t="shared" si="40"/>
        <v>0</v>
      </c>
      <c r="BJ324" s="12" t="str">
        <f t="shared" si="41"/>
        <v/>
      </c>
      <c r="BK324" s="12">
        <f>VLOOKUP(B324,Kraftvärmeprod!$B$1:$BH$549,MATCH($BA$1,Kraftvärmeprod!$B$1:$CC$1,0),FALSE)</f>
        <v>0</v>
      </c>
    </row>
    <row r="325" spans="1:63" ht="15" customHeight="1" x14ac:dyDescent="0.25">
      <c r="A325" s="137" t="s">
        <v>633</v>
      </c>
      <c r="B325" s="137" t="s">
        <v>636</v>
      </c>
      <c r="C325" s="137">
        <v>2018</v>
      </c>
      <c r="D325" s="137">
        <v>0.34699999999999998</v>
      </c>
      <c r="E325" s="137">
        <v>0.39</v>
      </c>
      <c r="F325" s="137" t="s">
        <v>193</v>
      </c>
      <c r="G325" s="137">
        <v>0.39</v>
      </c>
      <c r="H325" s="137" t="s">
        <v>193</v>
      </c>
      <c r="I325" s="137" t="s">
        <v>193</v>
      </c>
      <c r="J325" s="137" t="s">
        <v>193</v>
      </c>
      <c r="K325" s="137" t="s">
        <v>193</v>
      </c>
      <c r="L325" s="137" t="s">
        <v>193</v>
      </c>
      <c r="M325" s="137" t="s">
        <v>53</v>
      </c>
      <c r="N325" s="137" t="s">
        <v>193</v>
      </c>
      <c r="O325" s="137" t="s">
        <v>193</v>
      </c>
      <c r="P325" s="137" t="s">
        <v>193</v>
      </c>
      <c r="Q325" s="137" t="s">
        <v>193</v>
      </c>
      <c r="R325" s="137" t="s">
        <v>193</v>
      </c>
      <c r="S325" s="137" t="s">
        <v>193</v>
      </c>
      <c r="T325" s="137" t="s">
        <v>193</v>
      </c>
      <c r="U325" s="137" t="s">
        <v>193</v>
      </c>
      <c r="V325" s="137" t="s">
        <v>193</v>
      </c>
      <c r="W325" s="137" t="s">
        <v>193</v>
      </c>
      <c r="X325" s="137" t="s">
        <v>193</v>
      </c>
      <c r="Y325" s="137" t="s">
        <v>193</v>
      </c>
      <c r="Z325" s="137" t="s">
        <v>193</v>
      </c>
      <c r="AA325" s="137" t="s">
        <v>193</v>
      </c>
      <c r="AB325" s="137" t="s">
        <v>193</v>
      </c>
      <c r="AC325" s="137" t="s">
        <v>193</v>
      </c>
      <c r="AD325" s="137" t="s">
        <v>193</v>
      </c>
      <c r="AE325" s="137" t="s">
        <v>199</v>
      </c>
      <c r="AF325" s="137" t="s">
        <v>193</v>
      </c>
      <c r="AG325" s="137" t="s">
        <v>193</v>
      </c>
      <c r="AH325" s="137" t="s">
        <v>193</v>
      </c>
      <c r="AI325" s="137" t="s">
        <v>193</v>
      </c>
      <c r="AJ325" s="137" t="s">
        <v>193</v>
      </c>
      <c r="AK325" s="137" t="s">
        <v>193</v>
      </c>
      <c r="AL325" s="137" t="s">
        <v>193</v>
      </c>
      <c r="AM325" s="137" t="s">
        <v>193</v>
      </c>
      <c r="AN325" s="137" t="s">
        <v>53</v>
      </c>
      <c r="AO325" s="137" t="s">
        <v>193</v>
      </c>
      <c r="AP325" s="137" t="s">
        <v>193</v>
      </c>
      <c r="AQ325" s="137" t="s">
        <v>193</v>
      </c>
      <c r="AR325" s="137" t="s">
        <v>193</v>
      </c>
      <c r="AV325" s="1">
        <f t="shared" si="44"/>
        <v>0.39</v>
      </c>
      <c r="AW325" s="1">
        <f t="shared" si="38"/>
        <v>0.34699999999999998</v>
      </c>
      <c r="AX325" s="13">
        <f t="shared" si="42"/>
        <v>0.88974358974358969</v>
      </c>
      <c r="BA325" s="12">
        <f t="shared" si="39"/>
        <v>0</v>
      </c>
      <c r="BB325" s="12">
        <f t="shared" si="43"/>
        <v>0</v>
      </c>
      <c r="BC325" s="12">
        <f t="shared" si="43"/>
        <v>0</v>
      </c>
      <c r="BD325" s="12">
        <f t="shared" si="43"/>
        <v>0</v>
      </c>
      <c r="BE325" s="12">
        <f t="shared" si="43"/>
        <v>0</v>
      </c>
      <c r="BF325" s="12">
        <f t="shared" si="40"/>
        <v>0</v>
      </c>
      <c r="BJ325" s="12" t="str">
        <f t="shared" si="41"/>
        <v/>
      </c>
      <c r="BK325" s="12">
        <f>VLOOKUP(B325,Kraftvärmeprod!$B$1:$BH$549,MATCH($BA$1,Kraftvärmeprod!$B$1:$CC$1,0),FALSE)</f>
        <v>0</v>
      </c>
    </row>
    <row r="326" spans="1:63" ht="15" customHeight="1" x14ac:dyDescent="0.25">
      <c r="A326" s="137" t="s">
        <v>633</v>
      </c>
      <c r="B326" s="137" t="s">
        <v>637</v>
      </c>
      <c r="C326" s="137">
        <v>2018</v>
      </c>
      <c r="D326" s="137">
        <v>218.86199999999999</v>
      </c>
      <c r="E326" s="137">
        <v>252.649</v>
      </c>
      <c r="F326" s="137" t="s">
        <v>193</v>
      </c>
      <c r="G326" s="137">
        <v>23.95</v>
      </c>
      <c r="H326" s="137" t="s">
        <v>193</v>
      </c>
      <c r="I326" s="137" t="s">
        <v>193</v>
      </c>
      <c r="J326" s="137" t="s">
        <v>193</v>
      </c>
      <c r="K326" s="137" t="s">
        <v>193</v>
      </c>
      <c r="L326" s="137" t="s">
        <v>193</v>
      </c>
      <c r="M326" s="137" t="s">
        <v>53</v>
      </c>
      <c r="N326" s="137">
        <v>0</v>
      </c>
      <c r="O326" s="137">
        <v>13.26</v>
      </c>
      <c r="P326" s="137">
        <v>50.9</v>
      </c>
      <c r="Q326" s="137" t="s">
        <v>193</v>
      </c>
      <c r="R326" s="137" t="s">
        <v>193</v>
      </c>
      <c r="S326" s="137">
        <v>0.6</v>
      </c>
      <c r="T326" s="137" t="s">
        <v>194</v>
      </c>
      <c r="U326" s="137">
        <v>11.53</v>
      </c>
      <c r="V326" s="137" t="s">
        <v>193</v>
      </c>
      <c r="W326" s="137" t="s">
        <v>193</v>
      </c>
      <c r="X326" s="137">
        <v>90.942999999999998</v>
      </c>
      <c r="Y326" s="137" t="s">
        <v>193</v>
      </c>
      <c r="Z326" s="137">
        <v>5.899</v>
      </c>
      <c r="AA326" s="137" t="s">
        <v>193</v>
      </c>
      <c r="AB326" s="137" t="s">
        <v>193</v>
      </c>
      <c r="AC326" s="137" t="s">
        <v>193</v>
      </c>
      <c r="AD326" s="137" t="s">
        <v>193</v>
      </c>
      <c r="AE326" s="137" t="s">
        <v>199</v>
      </c>
      <c r="AF326" s="137" t="s">
        <v>193</v>
      </c>
      <c r="AG326" s="137" t="s">
        <v>193</v>
      </c>
      <c r="AH326" s="137" t="s">
        <v>193</v>
      </c>
      <c r="AI326" s="137">
        <v>47.177</v>
      </c>
      <c r="AJ326" s="137" t="s">
        <v>271</v>
      </c>
      <c r="AK326" s="137">
        <v>16.350000000000001</v>
      </c>
      <c r="AL326" s="137">
        <v>8.39</v>
      </c>
      <c r="AM326" s="137">
        <v>8.83</v>
      </c>
      <c r="AN326" s="137" t="s">
        <v>53</v>
      </c>
      <c r="AO326" s="137" t="s">
        <v>193</v>
      </c>
      <c r="AP326" s="137" t="s">
        <v>193</v>
      </c>
      <c r="AQ326" s="137" t="s">
        <v>193</v>
      </c>
      <c r="AR326" s="137" t="s">
        <v>193</v>
      </c>
      <c r="AV326" s="1">
        <f t="shared" si="44"/>
        <v>252.649</v>
      </c>
      <c r="AW326" s="1">
        <f t="shared" si="38"/>
        <v>218.86199999999999</v>
      </c>
      <c r="AX326" s="13">
        <f t="shared" si="42"/>
        <v>0.86626901353260843</v>
      </c>
      <c r="BA326" s="12">
        <f t="shared" si="39"/>
        <v>0</v>
      </c>
      <c r="BB326" s="12">
        <f t="shared" si="43"/>
        <v>0</v>
      </c>
      <c r="BC326" s="12">
        <f t="shared" si="43"/>
        <v>0</v>
      </c>
      <c r="BD326" s="12">
        <f t="shared" si="43"/>
        <v>0</v>
      </c>
      <c r="BE326" s="12">
        <f t="shared" si="43"/>
        <v>0</v>
      </c>
      <c r="BF326" s="12">
        <f t="shared" si="40"/>
        <v>0</v>
      </c>
      <c r="BJ326" s="12" t="str">
        <f t="shared" si="41"/>
        <v/>
      </c>
      <c r="BK326" s="12">
        <f>VLOOKUP(B326,Kraftvärmeprod!$B$1:$BH$549,MATCH($BA$1,Kraftvärmeprod!$B$1:$CC$1,0),FALSE)</f>
        <v>168.2</v>
      </c>
    </row>
    <row r="327" spans="1:63" ht="15" customHeight="1" x14ac:dyDescent="0.25">
      <c r="A327" s="137" t="s">
        <v>638</v>
      </c>
      <c r="B327" s="137" t="s">
        <v>639</v>
      </c>
      <c r="C327" s="137">
        <v>2018</v>
      </c>
      <c r="D327" s="137">
        <v>27.655999999999999</v>
      </c>
      <c r="E327" s="137">
        <v>30.103999999999999</v>
      </c>
      <c r="F327" s="137" t="s">
        <v>193</v>
      </c>
      <c r="G327" s="137">
        <v>0.87</v>
      </c>
      <c r="H327" s="137" t="s">
        <v>193</v>
      </c>
      <c r="I327" s="137" t="s">
        <v>193</v>
      </c>
      <c r="J327" s="137" t="s">
        <v>193</v>
      </c>
      <c r="K327" s="137" t="s">
        <v>193</v>
      </c>
      <c r="L327" s="137" t="s">
        <v>193</v>
      </c>
      <c r="M327" s="137" t="s">
        <v>193</v>
      </c>
      <c r="N327" s="137">
        <v>7.0170000000000003</v>
      </c>
      <c r="O327" s="137">
        <v>0.53</v>
      </c>
      <c r="P327" s="137">
        <v>2.6440000000000001</v>
      </c>
      <c r="Q327" s="137">
        <v>0</v>
      </c>
      <c r="R327" s="137" t="s">
        <v>193</v>
      </c>
      <c r="S327" s="137">
        <v>5.78</v>
      </c>
      <c r="T327" s="137" t="s">
        <v>193</v>
      </c>
      <c r="U327" s="137">
        <v>10.63</v>
      </c>
      <c r="V327" s="137" t="s">
        <v>193</v>
      </c>
      <c r="W327" s="137" t="s">
        <v>193</v>
      </c>
      <c r="X327" s="137" t="s">
        <v>193</v>
      </c>
      <c r="Y327" s="137" t="s">
        <v>193</v>
      </c>
      <c r="Z327" s="137" t="s">
        <v>193</v>
      </c>
      <c r="AA327" s="137" t="s">
        <v>193</v>
      </c>
      <c r="AB327" s="137">
        <v>0.9</v>
      </c>
      <c r="AC327" s="137" t="s">
        <v>193</v>
      </c>
      <c r="AD327" s="137" t="s">
        <v>193</v>
      </c>
      <c r="AE327" s="137" t="s">
        <v>199</v>
      </c>
      <c r="AF327" s="137" t="s">
        <v>193</v>
      </c>
      <c r="AG327" s="137" t="s">
        <v>193</v>
      </c>
      <c r="AH327" s="137">
        <v>1.7330000000000001</v>
      </c>
      <c r="AI327" s="137" t="s">
        <v>193</v>
      </c>
      <c r="AJ327" s="137" t="s">
        <v>193</v>
      </c>
      <c r="AK327" s="137" t="s">
        <v>193</v>
      </c>
      <c r="AL327" s="137" t="s">
        <v>193</v>
      </c>
      <c r="AM327" s="137" t="s">
        <v>193</v>
      </c>
      <c r="AN327" s="137" t="s">
        <v>640</v>
      </c>
      <c r="AO327" s="137">
        <v>100</v>
      </c>
      <c r="AP327" s="137" t="s">
        <v>193</v>
      </c>
      <c r="AQ327" s="137" t="s">
        <v>193</v>
      </c>
      <c r="AR327" s="137" t="s">
        <v>312</v>
      </c>
      <c r="AV327" s="1">
        <f t="shared" si="44"/>
        <v>30.104000000000003</v>
      </c>
      <c r="AW327" s="1">
        <f t="shared" si="38"/>
        <v>27.655999999999999</v>
      </c>
      <c r="AX327" s="13">
        <f t="shared" si="42"/>
        <v>0.91868190273717765</v>
      </c>
      <c r="BA327" s="12">
        <f t="shared" si="39"/>
        <v>1.7330000000000001</v>
      </c>
      <c r="BB327" s="12">
        <f t="shared" si="43"/>
        <v>1.7330000000000001</v>
      </c>
      <c r="BC327" s="12">
        <f t="shared" si="43"/>
        <v>0</v>
      </c>
      <c r="BD327" s="12">
        <f t="shared" si="43"/>
        <v>0</v>
      </c>
      <c r="BE327" s="12">
        <f t="shared" si="43"/>
        <v>0</v>
      </c>
      <c r="BF327" s="12">
        <f t="shared" si="40"/>
        <v>0</v>
      </c>
      <c r="BJ327" s="12" t="str">
        <f t="shared" si="41"/>
        <v/>
      </c>
      <c r="BK327" s="12">
        <f>VLOOKUP(B327,Kraftvärmeprod!$B$1:$BH$549,MATCH($BA$1,Kraftvärmeprod!$B$1:$CC$1,0),FALSE)</f>
        <v>0</v>
      </c>
    </row>
    <row r="328" spans="1:63" ht="15" customHeight="1" x14ac:dyDescent="0.25">
      <c r="A328" s="137" t="s">
        <v>638</v>
      </c>
      <c r="B328" s="137" t="s">
        <v>641</v>
      </c>
      <c r="C328" s="137">
        <v>2018</v>
      </c>
      <c r="D328" s="137">
        <v>35.944000000000003</v>
      </c>
      <c r="E328" s="137">
        <v>39.603999999999999</v>
      </c>
      <c r="F328" s="137" t="s">
        <v>193</v>
      </c>
      <c r="G328" s="137">
        <v>0.45200000000000001</v>
      </c>
      <c r="H328" s="137" t="s">
        <v>193</v>
      </c>
      <c r="I328" s="137" t="s">
        <v>193</v>
      </c>
      <c r="J328" s="137" t="s">
        <v>193</v>
      </c>
      <c r="K328" s="137" t="s">
        <v>193</v>
      </c>
      <c r="L328" s="137" t="s">
        <v>193</v>
      </c>
      <c r="M328" s="137" t="s">
        <v>53</v>
      </c>
      <c r="N328" s="137">
        <v>16.212</v>
      </c>
      <c r="O328" s="137">
        <v>0.56100000000000005</v>
      </c>
      <c r="P328" s="137">
        <v>7.423</v>
      </c>
      <c r="Q328" s="137" t="s">
        <v>193</v>
      </c>
      <c r="R328" s="137" t="s">
        <v>193</v>
      </c>
      <c r="S328" s="137">
        <v>9.8330000000000002</v>
      </c>
      <c r="T328" s="137" t="s">
        <v>193</v>
      </c>
      <c r="U328" s="137" t="s">
        <v>193</v>
      </c>
      <c r="V328" s="137" t="s">
        <v>193</v>
      </c>
      <c r="W328" s="137" t="s">
        <v>193</v>
      </c>
      <c r="X328" s="137" t="s">
        <v>193</v>
      </c>
      <c r="Y328" s="137" t="s">
        <v>193</v>
      </c>
      <c r="Z328" s="137" t="s">
        <v>193</v>
      </c>
      <c r="AA328" s="137" t="s">
        <v>193</v>
      </c>
      <c r="AB328" s="137">
        <v>0.98499999999999999</v>
      </c>
      <c r="AC328" s="137" t="s">
        <v>193</v>
      </c>
      <c r="AD328" s="137" t="s">
        <v>193</v>
      </c>
      <c r="AE328" s="137" t="s">
        <v>199</v>
      </c>
      <c r="AF328" s="137" t="s">
        <v>193</v>
      </c>
      <c r="AG328" s="137" t="s">
        <v>193</v>
      </c>
      <c r="AH328" s="137">
        <v>4.1379999999999999</v>
      </c>
      <c r="AI328" s="137" t="s">
        <v>193</v>
      </c>
      <c r="AJ328" s="137" t="s">
        <v>193</v>
      </c>
      <c r="AK328" s="137" t="s">
        <v>193</v>
      </c>
      <c r="AL328" s="137" t="s">
        <v>193</v>
      </c>
      <c r="AM328" s="137" t="s">
        <v>193</v>
      </c>
      <c r="AN328" s="137" t="s">
        <v>642</v>
      </c>
      <c r="AO328" s="137">
        <v>100</v>
      </c>
      <c r="AP328" s="137" t="s">
        <v>193</v>
      </c>
      <c r="AQ328" s="137" t="s">
        <v>193</v>
      </c>
      <c r="AR328" s="137" t="s">
        <v>312</v>
      </c>
      <c r="AV328" s="1">
        <f t="shared" si="44"/>
        <v>39.603999999999999</v>
      </c>
      <c r="AW328" s="1">
        <f t="shared" si="38"/>
        <v>35.944000000000003</v>
      </c>
      <c r="AX328" s="13">
        <f t="shared" si="42"/>
        <v>0.9075850924149077</v>
      </c>
      <c r="BA328" s="12">
        <f t="shared" si="39"/>
        <v>4.1379999999999999</v>
      </c>
      <c r="BB328" s="12">
        <f t="shared" si="43"/>
        <v>4.1379999999999999</v>
      </c>
      <c r="BC328" s="12">
        <f t="shared" si="43"/>
        <v>0</v>
      </c>
      <c r="BD328" s="12">
        <f t="shared" si="43"/>
        <v>0</v>
      </c>
      <c r="BE328" s="12">
        <f t="shared" si="43"/>
        <v>0</v>
      </c>
      <c r="BF328" s="12">
        <f t="shared" si="40"/>
        <v>0</v>
      </c>
      <c r="BJ328" s="12" t="str">
        <f t="shared" si="41"/>
        <v/>
      </c>
      <c r="BK328" s="12">
        <f>VLOOKUP(B328,Kraftvärmeprod!$B$1:$BH$549,MATCH($BA$1,Kraftvärmeprod!$B$1:$CC$1,0),FALSE)</f>
        <v>0</v>
      </c>
    </row>
    <row r="329" spans="1:63" ht="15" customHeight="1" x14ac:dyDescent="0.25">
      <c r="A329" s="137" t="s">
        <v>643</v>
      </c>
      <c r="B329" s="137" t="s">
        <v>644</v>
      </c>
      <c r="C329" s="137">
        <v>2018</v>
      </c>
      <c r="D329" s="137">
        <v>31.706</v>
      </c>
      <c r="E329" s="137">
        <v>38.481000000000002</v>
      </c>
      <c r="F329" s="137" t="s">
        <v>193</v>
      </c>
      <c r="G329" s="137">
        <v>7.0000000000000001E-3</v>
      </c>
      <c r="H329" s="137" t="s">
        <v>193</v>
      </c>
      <c r="I329" s="137" t="s">
        <v>193</v>
      </c>
      <c r="J329" s="137" t="s">
        <v>193</v>
      </c>
      <c r="K329" s="137" t="s">
        <v>193</v>
      </c>
      <c r="L329" s="137" t="s">
        <v>193</v>
      </c>
      <c r="M329" s="137" t="s">
        <v>53</v>
      </c>
      <c r="N329" s="137">
        <v>9.0519999999999996</v>
      </c>
      <c r="O329" s="137">
        <v>6.73</v>
      </c>
      <c r="P329" s="137">
        <v>16.548999999999999</v>
      </c>
      <c r="Q329" s="137">
        <v>6.1429999999999998</v>
      </c>
      <c r="R329" s="137" t="s">
        <v>193</v>
      </c>
      <c r="S329" s="137" t="s">
        <v>193</v>
      </c>
      <c r="T329" s="137" t="s">
        <v>193</v>
      </c>
      <c r="U329" s="137" t="s">
        <v>193</v>
      </c>
      <c r="V329" s="137" t="s">
        <v>193</v>
      </c>
      <c r="W329" s="137" t="s">
        <v>193</v>
      </c>
      <c r="X329" s="137" t="s">
        <v>193</v>
      </c>
      <c r="Y329" s="137" t="s">
        <v>193</v>
      </c>
      <c r="Z329" s="137" t="s">
        <v>193</v>
      </c>
      <c r="AA329" s="137" t="s">
        <v>193</v>
      </c>
      <c r="AB329" s="137" t="s">
        <v>193</v>
      </c>
      <c r="AC329" s="137" t="s">
        <v>193</v>
      </c>
      <c r="AD329" s="137" t="s">
        <v>193</v>
      </c>
      <c r="AE329" s="137" t="s">
        <v>53</v>
      </c>
      <c r="AF329" s="137" t="s">
        <v>193</v>
      </c>
      <c r="AG329" s="137" t="s">
        <v>193</v>
      </c>
      <c r="AH329" s="137" t="s">
        <v>193</v>
      </c>
      <c r="AI329" s="137" t="s">
        <v>193</v>
      </c>
      <c r="AJ329" s="137" t="s">
        <v>193</v>
      </c>
      <c r="AK329" s="137" t="s">
        <v>193</v>
      </c>
      <c r="AL329" s="137" t="s">
        <v>193</v>
      </c>
      <c r="AM329" s="137" t="s">
        <v>193</v>
      </c>
      <c r="AN329" s="137" t="s">
        <v>53</v>
      </c>
      <c r="AO329" s="137">
        <v>100</v>
      </c>
      <c r="AP329" s="137" t="s">
        <v>193</v>
      </c>
      <c r="AQ329" s="137" t="s">
        <v>193</v>
      </c>
      <c r="AR329" s="137" t="s">
        <v>193</v>
      </c>
      <c r="AV329" s="1">
        <f t="shared" si="44"/>
        <v>38.481000000000002</v>
      </c>
      <c r="AW329" s="1">
        <f t="shared" si="38"/>
        <v>31.706</v>
      </c>
      <c r="AX329" s="13">
        <f t="shared" si="42"/>
        <v>0.82393908682206796</v>
      </c>
      <c r="BA329" s="12">
        <f t="shared" si="39"/>
        <v>0</v>
      </c>
      <c r="BB329" s="12">
        <f t="shared" si="43"/>
        <v>0</v>
      </c>
      <c r="BC329" s="12">
        <f t="shared" si="43"/>
        <v>0</v>
      </c>
      <c r="BD329" s="12">
        <f t="shared" si="43"/>
        <v>0</v>
      </c>
      <c r="BE329" s="12">
        <f t="shared" si="43"/>
        <v>0</v>
      </c>
      <c r="BF329" s="12">
        <f t="shared" si="40"/>
        <v>0</v>
      </c>
      <c r="BJ329" s="12" t="str">
        <f t="shared" si="41"/>
        <v>ja</v>
      </c>
      <c r="BK329" s="12">
        <f>VLOOKUP(B329,Kraftvärmeprod!$B$1:$BH$549,MATCH($BA$1,Kraftvärmeprod!$B$1:$CC$1,0),FALSE)</f>
        <v>0</v>
      </c>
    </row>
    <row r="330" spans="1:63" ht="15" customHeight="1" x14ac:dyDescent="0.25">
      <c r="A330" s="137" t="s">
        <v>645</v>
      </c>
      <c r="B330" s="137" t="s">
        <v>646</v>
      </c>
      <c r="C330" s="137">
        <v>2018</v>
      </c>
      <c r="D330" s="137">
        <v>6.5510000000000002</v>
      </c>
      <c r="E330" s="137">
        <v>6.7629999999999999</v>
      </c>
      <c r="F330" s="137" t="s">
        <v>193</v>
      </c>
      <c r="G330" s="137">
        <v>0.126</v>
      </c>
      <c r="H330" s="137" t="s">
        <v>193</v>
      </c>
      <c r="I330" s="137" t="s">
        <v>193</v>
      </c>
      <c r="J330" s="137" t="s">
        <v>193</v>
      </c>
      <c r="K330" s="137" t="s">
        <v>193</v>
      </c>
      <c r="L330" s="137" t="s">
        <v>193</v>
      </c>
      <c r="M330" s="137" t="s">
        <v>219</v>
      </c>
      <c r="N330" s="137" t="s">
        <v>193</v>
      </c>
      <c r="O330" s="137" t="s">
        <v>193</v>
      </c>
      <c r="P330" s="137" t="s">
        <v>193</v>
      </c>
      <c r="Q330" s="137" t="s">
        <v>193</v>
      </c>
      <c r="R330" s="137" t="s">
        <v>193</v>
      </c>
      <c r="S330" s="137" t="s">
        <v>193</v>
      </c>
      <c r="T330" s="137" t="s">
        <v>193</v>
      </c>
      <c r="U330" s="137">
        <v>6.6369999999999996</v>
      </c>
      <c r="V330" s="137" t="s">
        <v>193</v>
      </c>
      <c r="W330" s="137" t="s">
        <v>193</v>
      </c>
      <c r="X330" s="137" t="s">
        <v>193</v>
      </c>
      <c r="Y330" s="137" t="s">
        <v>193</v>
      </c>
      <c r="Z330" s="137" t="s">
        <v>193</v>
      </c>
      <c r="AA330" s="137" t="s">
        <v>193</v>
      </c>
      <c r="AB330" s="137" t="s">
        <v>193</v>
      </c>
      <c r="AC330" s="137" t="s">
        <v>193</v>
      </c>
      <c r="AD330" s="137" t="s">
        <v>193</v>
      </c>
      <c r="AE330" s="137" t="s">
        <v>199</v>
      </c>
      <c r="AF330" s="137" t="s">
        <v>193</v>
      </c>
      <c r="AG330" s="137" t="s">
        <v>193</v>
      </c>
      <c r="AH330" s="137" t="s">
        <v>193</v>
      </c>
      <c r="AI330" s="137" t="s">
        <v>193</v>
      </c>
      <c r="AJ330" s="137" t="s">
        <v>193</v>
      </c>
      <c r="AK330" s="137" t="s">
        <v>193</v>
      </c>
      <c r="AL330" s="137" t="s">
        <v>193</v>
      </c>
      <c r="AM330" s="137" t="s">
        <v>193</v>
      </c>
      <c r="AN330" s="137" t="s">
        <v>53</v>
      </c>
      <c r="AO330" s="137" t="s">
        <v>193</v>
      </c>
      <c r="AP330" s="137" t="s">
        <v>193</v>
      </c>
      <c r="AQ330" s="137" t="s">
        <v>193</v>
      </c>
      <c r="AR330" s="137" t="s">
        <v>193</v>
      </c>
      <c r="AV330" s="1">
        <f t="shared" si="44"/>
        <v>6.7629999999999999</v>
      </c>
      <c r="AW330" s="1">
        <f t="shared" si="38"/>
        <v>6.5510000000000002</v>
      </c>
      <c r="AX330" s="13">
        <f t="shared" si="42"/>
        <v>0.96865296466065365</v>
      </c>
      <c r="BA330" s="12">
        <f t="shared" si="39"/>
        <v>0</v>
      </c>
      <c r="BB330" s="12">
        <f t="shared" si="43"/>
        <v>0</v>
      </c>
      <c r="BC330" s="12">
        <f t="shared" si="43"/>
        <v>0</v>
      </c>
      <c r="BD330" s="12">
        <f t="shared" si="43"/>
        <v>0</v>
      </c>
      <c r="BE330" s="12">
        <f t="shared" si="43"/>
        <v>0</v>
      </c>
      <c r="BF330" s="12">
        <f t="shared" si="40"/>
        <v>0</v>
      </c>
      <c r="BJ330" s="12" t="str">
        <f t="shared" si="41"/>
        <v/>
      </c>
      <c r="BK330" s="12">
        <f>VLOOKUP(B330,Kraftvärmeprod!$B$1:$BH$549,MATCH($BA$1,Kraftvärmeprod!$B$1:$CC$1,0),FALSE)</f>
        <v>0</v>
      </c>
    </row>
    <row r="331" spans="1:63" ht="15" customHeight="1" x14ac:dyDescent="0.25">
      <c r="A331" s="137" t="s">
        <v>645</v>
      </c>
      <c r="B331" s="137" t="s">
        <v>647</v>
      </c>
      <c r="C331" s="137">
        <v>2018</v>
      </c>
      <c r="D331" s="137">
        <v>39.159999999999997</v>
      </c>
      <c r="E331" s="137">
        <v>35.323</v>
      </c>
      <c r="F331" s="137" t="s">
        <v>193</v>
      </c>
      <c r="G331" s="137" t="s">
        <v>193</v>
      </c>
      <c r="H331" s="137" t="s">
        <v>193</v>
      </c>
      <c r="I331" s="137" t="s">
        <v>193</v>
      </c>
      <c r="J331" s="137" t="s">
        <v>193</v>
      </c>
      <c r="K331" s="137" t="s">
        <v>193</v>
      </c>
      <c r="L331" s="137" t="s">
        <v>193</v>
      </c>
      <c r="M331" s="137" t="s">
        <v>53</v>
      </c>
      <c r="N331" s="137" t="s">
        <v>193</v>
      </c>
      <c r="O331" s="137">
        <v>10.786</v>
      </c>
      <c r="P331" s="137">
        <v>21.295999999999999</v>
      </c>
      <c r="Q331" s="137" t="s">
        <v>193</v>
      </c>
      <c r="R331" s="137" t="s">
        <v>193</v>
      </c>
      <c r="S331" s="137" t="s">
        <v>193</v>
      </c>
      <c r="T331" s="137" t="s">
        <v>193</v>
      </c>
      <c r="U331" s="137" t="s">
        <v>193</v>
      </c>
      <c r="V331" s="137" t="s">
        <v>193</v>
      </c>
      <c r="W331" s="137" t="s">
        <v>193</v>
      </c>
      <c r="X331" s="137" t="s">
        <v>193</v>
      </c>
      <c r="Y331" s="137" t="s">
        <v>193</v>
      </c>
      <c r="Z331" s="137">
        <v>0.82599999999999996</v>
      </c>
      <c r="AA331" s="137" t="s">
        <v>193</v>
      </c>
      <c r="AB331" s="137" t="s">
        <v>193</v>
      </c>
      <c r="AC331" s="137" t="s">
        <v>193</v>
      </c>
      <c r="AD331" s="137" t="s">
        <v>193</v>
      </c>
      <c r="AE331" s="137" t="s">
        <v>199</v>
      </c>
      <c r="AF331" s="137" t="s">
        <v>193</v>
      </c>
      <c r="AG331" s="137">
        <v>2.415</v>
      </c>
      <c r="AH331" s="137" t="s">
        <v>193</v>
      </c>
      <c r="AI331" s="137" t="s">
        <v>193</v>
      </c>
      <c r="AJ331" s="137" t="s">
        <v>193</v>
      </c>
      <c r="AK331" s="137" t="s">
        <v>193</v>
      </c>
      <c r="AL331" s="137" t="s">
        <v>193</v>
      </c>
      <c r="AM331" s="137" t="s">
        <v>193</v>
      </c>
      <c r="AN331" s="137" t="s">
        <v>53</v>
      </c>
      <c r="AO331" s="137">
        <v>100</v>
      </c>
      <c r="AP331" s="137" t="s">
        <v>193</v>
      </c>
      <c r="AQ331" s="137" t="s">
        <v>193</v>
      </c>
      <c r="AR331" s="137" t="s">
        <v>193</v>
      </c>
      <c r="AV331" s="1">
        <f t="shared" si="44"/>
        <v>35.323</v>
      </c>
      <c r="AW331" s="1">
        <f t="shared" si="38"/>
        <v>39.159999999999997</v>
      </c>
      <c r="AX331" s="13">
        <f t="shared" si="42"/>
        <v>1.1086261076352517</v>
      </c>
      <c r="BA331" s="12">
        <f t="shared" si="39"/>
        <v>0</v>
      </c>
      <c r="BB331" s="12">
        <f t="shared" si="43"/>
        <v>0</v>
      </c>
      <c r="BC331" s="12">
        <f t="shared" si="43"/>
        <v>0</v>
      </c>
      <c r="BD331" s="12">
        <f t="shared" si="43"/>
        <v>0</v>
      </c>
      <c r="BE331" s="12">
        <f t="shared" si="43"/>
        <v>0</v>
      </c>
      <c r="BF331" s="12">
        <f t="shared" si="40"/>
        <v>0</v>
      </c>
      <c r="BJ331" s="12" t="str">
        <f t="shared" si="41"/>
        <v>ja</v>
      </c>
      <c r="BK331" s="12">
        <f>VLOOKUP(B331,Kraftvärmeprod!$B$1:$BH$549,MATCH($BA$1,Kraftvärmeprod!$B$1:$CC$1,0),FALSE)</f>
        <v>0</v>
      </c>
    </row>
    <row r="332" spans="1:63" ht="15" customHeight="1" x14ac:dyDescent="0.25">
      <c r="A332" s="137" t="s">
        <v>645</v>
      </c>
      <c r="B332" s="137" t="s">
        <v>648</v>
      </c>
      <c r="C332" s="137">
        <v>2018</v>
      </c>
      <c r="D332" s="137">
        <v>4.8419999999999996</v>
      </c>
      <c r="E332" s="137">
        <v>5.38</v>
      </c>
      <c r="F332" s="137" t="s">
        <v>193</v>
      </c>
      <c r="G332" s="137">
        <v>0.95799999999999996</v>
      </c>
      <c r="H332" s="137" t="s">
        <v>193</v>
      </c>
      <c r="I332" s="137" t="s">
        <v>193</v>
      </c>
      <c r="J332" s="137" t="s">
        <v>193</v>
      </c>
      <c r="K332" s="137" t="s">
        <v>193</v>
      </c>
      <c r="L332" s="137" t="s">
        <v>193</v>
      </c>
      <c r="M332" s="137" t="s">
        <v>53</v>
      </c>
      <c r="N332" s="137" t="s">
        <v>193</v>
      </c>
      <c r="O332" s="137" t="s">
        <v>193</v>
      </c>
      <c r="P332" s="137" t="s">
        <v>193</v>
      </c>
      <c r="Q332" s="137" t="s">
        <v>193</v>
      </c>
      <c r="R332" s="137" t="s">
        <v>193</v>
      </c>
      <c r="S332" s="137" t="s">
        <v>193</v>
      </c>
      <c r="T332" s="137" t="s">
        <v>193</v>
      </c>
      <c r="U332" s="137" t="s">
        <v>193</v>
      </c>
      <c r="V332" s="137">
        <v>4.4219999999999997</v>
      </c>
      <c r="W332" s="137" t="s">
        <v>193</v>
      </c>
      <c r="X332" s="137" t="s">
        <v>193</v>
      </c>
      <c r="Y332" s="137" t="s">
        <v>193</v>
      </c>
      <c r="Z332" s="137" t="s">
        <v>193</v>
      </c>
      <c r="AA332" s="137" t="s">
        <v>193</v>
      </c>
      <c r="AB332" s="137" t="s">
        <v>193</v>
      </c>
      <c r="AC332" s="137" t="s">
        <v>193</v>
      </c>
      <c r="AD332" s="137" t="s">
        <v>193</v>
      </c>
      <c r="AE332" s="137" t="s">
        <v>199</v>
      </c>
      <c r="AF332" s="137" t="s">
        <v>193</v>
      </c>
      <c r="AG332" s="137" t="s">
        <v>193</v>
      </c>
      <c r="AH332" s="137" t="s">
        <v>193</v>
      </c>
      <c r="AI332" s="137" t="s">
        <v>193</v>
      </c>
      <c r="AJ332" s="137" t="s">
        <v>193</v>
      </c>
      <c r="AK332" s="137" t="s">
        <v>193</v>
      </c>
      <c r="AL332" s="137" t="s">
        <v>193</v>
      </c>
      <c r="AM332" s="137" t="s">
        <v>193</v>
      </c>
      <c r="AN332" s="137" t="s">
        <v>53</v>
      </c>
      <c r="AO332" s="137" t="s">
        <v>193</v>
      </c>
      <c r="AP332" s="137" t="s">
        <v>193</v>
      </c>
      <c r="AQ332" s="137" t="s">
        <v>193</v>
      </c>
      <c r="AR332" s="137" t="s">
        <v>193</v>
      </c>
      <c r="AV332" s="1">
        <f t="shared" si="44"/>
        <v>5.38</v>
      </c>
      <c r="AW332" s="1">
        <f t="shared" si="38"/>
        <v>4.8419999999999996</v>
      </c>
      <c r="AX332" s="13">
        <f t="shared" si="42"/>
        <v>0.89999999999999991</v>
      </c>
      <c r="BA332" s="12">
        <f t="shared" si="39"/>
        <v>0</v>
      </c>
      <c r="BB332" s="12">
        <f t="shared" si="43"/>
        <v>0</v>
      </c>
      <c r="BC332" s="12">
        <f t="shared" si="43"/>
        <v>0</v>
      </c>
      <c r="BD332" s="12">
        <f t="shared" si="43"/>
        <v>0</v>
      </c>
      <c r="BE332" s="12">
        <f t="shared" si="43"/>
        <v>0</v>
      </c>
      <c r="BF332" s="12">
        <f t="shared" si="40"/>
        <v>0</v>
      </c>
      <c r="BJ332" s="12" t="str">
        <f t="shared" si="41"/>
        <v/>
      </c>
      <c r="BK332" s="12">
        <f>VLOOKUP(B332,Kraftvärmeprod!$B$1:$BH$549,MATCH($BA$1,Kraftvärmeprod!$B$1:$CC$1,0),FALSE)</f>
        <v>0</v>
      </c>
    </row>
    <row r="333" spans="1:63" ht="15" customHeight="1" x14ac:dyDescent="0.25">
      <c r="A333" s="137" t="s">
        <v>649</v>
      </c>
      <c r="B333" s="137" t="s">
        <v>650</v>
      </c>
      <c r="C333" s="137">
        <v>2018</v>
      </c>
      <c r="D333" s="137">
        <v>18.309999999999999</v>
      </c>
      <c r="E333" s="137">
        <v>21.69</v>
      </c>
      <c r="F333" s="137" t="s">
        <v>193</v>
      </c>
      <c r="G333" s="137">
        <v>0.16300000000000001</v>
      </c>
      <c r="H333" s="137" t="s">
        <v>193</v>
      </c>
      <c r="I333" s="137" t="s">
        <v>193</v>
      </c>
      <c r="J333" s="137" t="s">
        <v>193</v>
      </c>
      <c r="K333" s="137" t="s">
        <v>193</v>
      </c>
      <c r="L333" s="137" t="s">
        <v>193</v>
      </c>
      <c r="M333" s="137" t="s">
        <v>53</v>
      </c>
      <c r="N333" s="137" t="s">
        <v>193</v>
      </c>
      <c r="O333" s="137">
        <v>5.6</v>
      </c>
      <c r="P333" s="137">
        <v>13.5</v>
      </c>
      <c r="Q333" s="137" t="s">
        <v>193</v>
      </c>
      <c r="R333" s="137" t="s">
        <v>193</v>
      </c>
      <c r="S333" s="137" t="s">
        <v>193</v>
      </c>
      <c r="T333" s="137" t="s">
        <v>193</v>
      </c>
      <c r="U333" s="137" t="s">
        <v>193</v>
      </c>
      <c r="V333" s="137" t="s">
        <v>193</v>
      </c>
      <c r="W333" s="137" t="s">
        <v>193</v>
      </c>
      <c r="X333" s="137" t="s">
        <v>193</v>
      </c>
      <c r="Y333" s="137" t="s">
        <v>193</v>
      </c>
      <c r="Z333" s="137" t="s">
        <v>193</v>
      </c>
      <c r="AA333" s="137" t="s">
        <v>193</v>
      </c>
      <c r="AB333" s="137" t="s">
        <v>193</v>
      </c>
      <c r="AC333" s="137" t="s">
        <v>193</v>
      </c>
      <c r="AD333" s="137" t="s">
        <v>193</v>
      </c>
      <c r="AE333" s="137" t="s">
        <v>199</v>
      </c>
      <c r="AF333" s="137" t="s">
        <v>193</v>
      </c>
      <c r="AG333" s="137" t="s">
        <v>193</v>
      </c>
      <c r="AH333" s="137">
        <v>2.427</v>
      </c>
      <c r="AI333" s="137" t="s">
        <v>193</v>
      </c>
      <c r="AJ333" s="137" t="s">
        <v>193</v>
      </c>
      <c r="AK333" s="137" t="s">
        <v>193</v>
      </c>
      <c r="AL333" s="137" t="s">
        <v>193</v>
      </c>
      <c r="AM333" s="137" t="s">
        <v>193</v>
      </c>
      <c r="AN333" s="137" t="s">
        <v>53</v>
      </c>
      <c r="AO333" s="137">
        <v>100</v>
      </c>
      <c r="AP333" s="137" t="s">
        <v>193</v>
      </c>
      <c r="AQ333" s="137" t="s">
        <v>193</v>
      </c>
      <c r="AR333" s="137" t="s">
        <v>193</v>
      </c>
      <c r="AV333" s="1">
        <f t="shared" si="44"/>
        <v>21.689999999999998</v>
      </c>
      <c r="AW333" s="1">
        <f t="shared" si="38"/>
        <v>18.309999999999999</v>
      </c>
      <c r="AX333" s="13">
        <f t="shared" si="42"/>
        <v>0.84416781927155371</v>
      </c>
      <c r="BA333" s="12">
        <f t="shared" si="39"/>
        <v>2.427</v>
      </c>
      <c r="BB333" s="12">
        <f t="shared" si="43"/>
        <v>2.427</v>
      </c>
      <c r="BC333" s="12">
        <f t="shared" si="43"/>
        <v>0</v>
      </c>
      <c r="BD333" s="12">
        <f t="shared" si="43"/>
        <v>0</v>
      </c>
      <c r="BE333" s="12">
        <f t="shared" si="43"/>
        <v>0</v>
      </c>
      <c r="BF333" s="12">
        <f t="shared" si="40"/>
        <v>0</v>
      </c>
      <c r="BJ333" s="12" t="str">
        <f t="shared" si="41"/>
        <v/>
      </c>
      <c r="BK333" s="12">
        <f>VLOOKUP(B333,Kraftvärmeprod!$B$1:$BH$549,MATCH($BA$1,Kraftvärmeprod!$B$1:$CC$1,0),FALSE)</f>
        <v>0</v>
      </c>
    </row>
    <row r="334" spans="1:63" ht="15" customHeight="1" x14ac:dyDescent="0.25">
      <c r="A334" s="137" t="s">
        <v>649</v>
      </c>
      <c r="B334" s="137" t="s">
        <v>651</v>
      </c>
      <c r="C334" s="137">
        <v>2018</v>
      </c>
      <c r="D334" s="137">
        <v>8.6999999999999993</v>
      </c>
      <c r="E334" s="137">
        <v>10.358000000000001</v>
      </c>
      <c r="F334" s="137" t="s">
        <v>193</v>
      </c>
      <c r="G334" s="137">
        <v>0.35299999999999998</v>
      </c>
      <c r="H334" s="137" t="s">
        <v>193</v>
      </c>
      <c r="I334" s="137" t="s">
        <v>193</v>
      </c>
      <c r="J334" s="137" t="s">
        <v>193</v>
      </c>
      <c r="K334" s="137" t="s">
        <v>193</v>
      </c>
      <c r="L334" s="137" t="s">
        <v>193</v>
      </c>
      <c r="M334" s="137" t="s">
        <v>53</v>
      </c>
      <c r="N334" s="137" t="s">
        <v>193</v>
      </c>
      <c r="O334" s="137" t="s">
        <v>193</v>
      </c>
      <c r="P334" s="137">
        <v>10.005000000000001</v>
      </c>
      <c r="Q334" s="137" t="s">
        <v>193</v>
      </c>
      <c r="R334" s="137" t="s">
        <v>193</v>
      </c>
      <c r="S334" s="137" t="s">
        <v>193</v>
      </c>
      <c r="T334" s="137" t="s">
        <v>193</v>
      </c>
      <c r="U334" s="137" t="s">
        <v>193</v>
      </c>
      <c r="V334" s="137" t="s">
        <v>193</v>
      </c>
      <c r="W334" s="137" t="s">
        <v>193</v>
      </c>
      <c r="X334" s="137" t="s">
        <v>193</v>
      </c>
      <c r="Y334" s="137" t="s">
        <v>193</v>
      </c>
      <c r="Z334" s="137" t="s">
        <v>193</v>
      </c>
      <c r="AA334" s="137" t="s">
        <v>193</v>
      </c>
      <c r="AB334" s="137" t="s">
        <v>193</v>
      </c>
      <c r="AC334" s="137" t="s">
        <v>193</v>
      </c>
      <c r="AD334" s="137" t="s">
        <v>193</v>
      </c>
      <c r="AE334" s="137" t="s">
        <v>199</v>
      </c>
      <c r="AF334" s="137" t="s">
        <v>193</v>
      </c>
      <c r="AG334" s="137" t="s">
        <v>193</v>
      </c>
      <c r="AH334" s="137" t="s">
        <v>193</v>
      </c>
      <c r="AI334" s="137" t="s">
        <v>193</v>
      </c>
      <c r="AJ334" s="137" t="s">
        <v>193</v>
      </c>
      <c r="AK334" s="137" t="s">
        <v>193</v>
      </c>
      <c r="AL334" s="137" t="s">
        <v>193</v>
      </c>
      <c r="AM334" s="137" t="s">
        <v>193</v>
      </c>
      <c r="AN334" s="137" t="s">
        <v>53</v>
      </c>
      <c r="AO334" s="137" t="s">
        <v>193</v>
      </c>
      <c r="AP334" s="137" t="s">
        <v>193</v>
      </c>
      <c r="AQ334" s="137" t="s">
        <v>193</v>
      </c>
      <c r="AR334" s="137" t="s">
        <v>193</v>
      </c>
      <c r="AV334" s="1">
        <f t="shared" si="44"/>
        <v>10.358000000000001</v>
      </c>
      <c r="AW334" s="1">
        <f t="shared" si="38"/>
        <v>8.6999999999999993</v>
      </c>
      <c r="AX334" s="13">
        <f t="shared" si="42"/>
        <v>0.83993048851129548</v>
      </c>
      <c r="BA334" s="12">
        <f t="shared" si="39"/>
        <v>0</v>
      </c>
      <c r="BB334" s="12">
        <f t="shared" si="43"/>
        <v>0</v>
      </c>
      <c r="BC334" s="12">
        <f t="shared" si="43"/>
        <v>0</v>
      </c>
      <c r="BD334" s="12">
        <f t="shared" si="43"/>
        <v>0</v>
      </c>
      <c r="BE334" s="12">
        <f t="shared" si="43"/>
        <v>0</v>
      </c>
      <c r="BF334" s="12">
        <f t="shared" si="40"/>
        <v>0</v>
      </c>
      <c r="BJ334" s="12" t="str">
        <f t="shared" si="41"/>
        <v/>
      </c>
      <c r="BK334" s="12">
        <f>VLOOKUP(B334,Kraftvärmeprod!$B$1:$BH$549,MATCH($BA$1,Kraftvärmeprod!$B$1:$CC$1,0),FALSE)</f>
        <v>0</v>
      </c>
    </row>
    <row r="335" spans="1:63" ht="15" customHeight="1" x14ac:dyDescent="0.25">
      <c r="A335" s="137" t="s">
        <v>649</v>
      </c>
      <c r="B335" s="137" t="s">
        <v>652</v>
      </c>
      <c r="C335" s="137">
        <v>2018</v>
      </c>
      <c r="D335" s="137">
        <v>121.5</v>
      </c>
      <c r="E335" s="137">
        <v>142.262</v>
      </c>
      <c r="F335" s="137" t="s">
        <v>193</v>
      </c>
      <c r="G335" s="137">
        <v>3.8</v>
      </c>
      <c r="H335" s="137" t="s">
        <v>193</v>
      </c>
      <c r="I335" s="137" t="s">
        <v>193</v>
      </c>
      <c r="J335" s="137" t="s">
        <v>193</v>
      </c>
      <c r="K335" s="137" t="s">
        <v>193</v>
      </c>
      <c r="L335" s="137" t="s">
        <v>193</v>
      </c>
      <c r="M335" s="137" t="s">
        <v>53</v>
      </c>
      <c r="N335" s="137">
        <v>2.4039999999999999</v>
      </c>
      <c r="O335" s="137">
        <v>62.540999999999997</v>
      </c>
      <c r="P335" s="137">
        <v>20.155999999999999</v>
      </c>
      <c r="Q335" s="137" t="s">
        <v>193</v>
      </c>
      <c r="R335" s="137" t="s">
        <v>193</v>
      </c>
      <c r="S335" s="137">
        <v>42.761000000000003</v>
      </c>
      <c r="T335" s="137" t="s">
        <v>194</v>
      </c>
      <c r="U335" s="137" t="s">
        <v>193</v>
      </c>
      <c r="V335" s="137" t="s">
        <v>193</v>
      </c>
      <c r="W335" s="137" t="s">
        <v>193</v>
      </c>
      <c r="X335" s="137" t="s">
        <v>193</v>
      </c>
      <c r="Y335" s="137" t="s">
        <v>193</v>
      </c>
      <c r="Z335" s="137" t="s">
        <v>193</v>
      </c>
      <c r="AA335" s="137" t="s">
        <v>193</v>
      </c>
      <c r="AB335" s="137" t="s">
        <v>193</v>
      </c>
      <c r="AC335" s="137" t="s">
        <v>193</v>
      </c>
      <c r="AD335" s="137" t="s">
        <v>193</v>
      </c>
      <c r="AE335" s="137" t="s">
        <v>199</v>
      </c>
      <c r="AF335" s="137" t="s">
        <v>193</v>
      </c>
      <c r="AG335" s="137" t="s">
        <v>193</v>
      </c>
      <c r="AH335" s="137">
        <v>10.6</v>
      </c>
      <c r="AI335" s="137" t="s">
        <v>193</v>
      </c>
      <c r="AJ335" s="137" t="s">
        <v>193</v>
      </c>
      <c r="AK335" s="137" t="s">
        <v>193</v>
      </c>
      <c r="AL335" s="137" t="s">
        <v>193</v>
      </c>
      <c r="AM335" s="137" t="s">
        <v>193</v>
      </c>
      <c r="AN335" s="137" t="s">
        <v>53</v>
      </c>
      <c r="AO335" s="137">
        <v>100</v>
      </c>
      <c r="AP335" s="137" t="s">
        <v>193</v>
      </c>
      <c r="AQ335" s="137" t="s">
        <v>193</v>
      </c>
      <c r="AR335" s="137" t="s">
        <v>193</v>
      </c>
      <c r="AV335" s="1">
        <f t="shared" si="44"/>
        <v>142.26199999999997</v>
      </c>
      <c r="AW335" s="1">
        <f t="shared" si="38"/>
        <v>121.5</v>
      </c>
      <c r="AX335" s="13">
        <f t="shared" si="42"/>
        <v>0.85405800565154455</v>
      </c>
      <c r="BA335" s="12">
        <f t="shared" si="39"/>
        <v>10.6</v>
      </c>
      <c r="BB335" s="12">
        <f t="shared" si="43"/>
        <v>10.6</v>
      </c>
      <c r="BC335" s="12">
        <f t="shared" si="43"/>
        <v>0</v>
      </c>
      <c r="BD335" s="12">
        <f t="shared" si="43"/>
        <v>0</v>
      </c>
      <c r="BE335" s="12">
        <f t="shared" si="43"/>
        <v>0</v>
      </c>
      <c r="BF335" s="12">
        <f t="shared" si="40"/>
        <v>0</v>
      </c>
      <c r="BJ335" s="12" t="str">
        <f t="shared" si="41"/>
        <v/>
      </c>
      <c r="BK335" s="12">
        <f>VLOOKUP(B335,Kraftvärmeprod!$B$1:$BH$549,MATCH($BA$1,Kraftvärmeprod!$B$1:$CC$1,0),FALSE)</f>
        <v>0</v>
      </c>
    </row>
    <row r="336" spans="1:63" ht="15" customHeight="1" x14ac:dyDescent="0.25">
      <c r="A336" s="137" t="s">
        <v>649</v>
      </c>
      <c r="B336" s="137" t="s">
        <v>653</v>
      </c>
      <c r="C336" s="137">
        <v>2018</v>
      </c>
      <c r="D336" s="137">
        <v>2.8029999999999999</v>
      </c>
      <c r="E336" s="137">
        <v>2.7559999999999998</v>
      </c>
      <c r="F336" s="137" t="s">
        <v>193</v>
      </c>
      <c r="G336" s="137">
        <v>2E-3</v>
      </c>
      <c r="H336" s="137" t="s">
        <v>193</v>
      </c>
      <c r="I336" s="137" t="s">
        <v>193</v>
      </c>
      <c r="J336" s="137" t="s">
        <v>193</v>
      </c>
      <c r="K336" s="137" t="s">
        <v>193</v>
      </c>
      <c r="L336" s="137" t="s">
        <v>193</v>
      </c>
      <c r="M336" s="137" t="s">
        <v>53</v>
      </c>
      <c r="N336" s="137" t="s">
        <v>193</v>
      </c>
      <c r="O336" s="137" t="s">
        <v>193</v>
      </c>
      <c r="P336" s="137" t="s">
        <v>193</v>
      </c>
      <c r="Q336" s="137" t="s">
        <v>193</v>
      </c>
      <c r="R336" s="137" t="s">
        <v>193</v>
      </c>
      <c r="S336" s="137" t="s">
        <v>193</v>
      </c>
      <c r="T336" s="137" t="s">
        <v>193</v>
      </c>
      <c r="U336" s="137">
        <v>2.754</v>
      </c>
      <c r="V336" s="137" t="s">
        <v>193</v>
      </c>
      <c r="W336" s="137" t="s">
        <v>193</v>
      </c>
      <c r="X336" s="137" t="s">
        <v>193</v>
      </c>
      <c r="Y336" s="137" t="s">
        <v>193</v>
      </c>
      <c r="Z336" s="137" t="s">
        <v>193</v>
      </c>
      <c r="AA336" s="137" t="s">
        <v>193</v>
      </c>
      <c r="AB336" s="137" t="s">
        <v>193</v>
      </c>
      <c r="AC336" s="137" t="s">
        <v>193</v>
      </c>
      <c r="AD336" s="137" t="s">
        <v>193</v>
      </c>
      <c r="AE336" s="137" t="s">
        <v>199</v>
      </c>
      <c r="AF336" s="137" t="s">
        <v>193</v>
      </c>
      <c r="AG336" s="137" t="s">
        <v>193</v>
      </c>
      <c r="AH336" s="137" t="s">
        <v>193</v>
      </c>
      <c r="AI336" s="137" t="s">
        <v>193</v>
      </c>
      <c r="AJ336" s="137" t="s">
        <v>193</v>
      </c>
      <c r="AK336" s="137" t="s">
        <v>193</v>
      </c>
      <c r="AL336" s="137" t="s">
        <v>193</v>
      </c>
      <c r="AM336" s="137" t="s">
        <v>193</v>
      </c>
      <c r="AN336" s="137" t="s">
        <v>53</v>
      </c>
      <c r="AO336" s="137" t="s">
        <v>193</v>
      </c>
      <c r="AP336" s="137" t="s">
        <v>193</v>
      </c>
      <c r="AQ336" s="137" t="s">
        <v>193</v>
      </c>
      <c r="AR336" s="137" t="s">
        <v>193</v>
      </c>
      <c r="AV336" s="1">
        <f t="shared" si="44"/>
        <v>2.7559999999999998</v>
      </c>
      <c r="AW336" s="1">
        <f t="shared" si="38"/>
        <v>2.8029999999999999</v>
      </c>
      <c r="AX336" s="13">
        <f t="shared" si="42"/>
        <v>1.0170537010159653</v>
      </c>
      <c r="BA336" s="12">
        <f t="shared" si="39"/>
        <v>0</v>
      </c>
      <c r="BB336" s="12">
        <f t="shared" si="43"/>
        <v>0</v>
      </c>
      <c r="BC336" s="12">
        <f t="shared" si="43"/>
        <v>0</v>
      </c>
      <c r="BD336" s="12">
        <f t="shared" si="43"/>
        <v>0</v>
      </c>
      <c r="BE336" s="12">
        <f t="shared" si="43"/>
        <v>0</v>
      </c>
      <c r="BF336" s="12">
        <f t="shared" si="40"/>
        <v>0</v>
      </c>
      <c r="BJ336" s="12" t="str">
        <f t="shared" si="41"/>
        <v/>
      </c>
      <c r="BK336" s="12">
        <f>VLOOKUP(B336,Kraftvärmeprod!$B$1:$BH$549,MATCH($BA$1,Kraftvärmeprod!$B$1:$CC$1,0),FALSE)</f>
        <v>0</v>
      </c>
    </row>
    <row r="337" spans="1:63" ht="15" customHeight="1" x14ac:dyDescent="0.25">
      <c r="A337" s="137" t="s">
        <v>649</v>
      </c>
      <c r="B337" s="137" t="s">
        <v>138</v>
      </c>
      <c r="C337" s="137">
        <v>2018</v>
      </c>
      <c r="D337" s="137">
        <v>17.3</v>
      </c>
      <c r="E337" s="137">
        <v>20.093</v>
      </c>
      <c r="F337" s="137" t="s">
        <v>193</v>
      </c>
      <c r="G337" s="137">
        <v>0.1</v>
      </c>
      <c r="H337" s="137" t="s">
        <v>193</v>
      </c>
      <c r="I337" s="137" t="s">
        <v>193</v>
      </c>
      <c r="J337" s="137" t="s">
        <v>193</v>
      </c>
      <c r="K337" s="137" t="s">
        <v>193</v>
      </c>
      <c r="L337" s="137" t="s">
        <v>193</v>
      </c>
      <c r="M337" s="137" t="s">
        <v>53</v>
      </c>
      <c r="N337" s="137" t="s">
        <v>193</v>
      </c>
      <c r="O337" s="137" t="s">
        <v>193</v>
      </c>
      <c r="P337" s="137">
        <v>18.8</v>
      </c>
      <c r="Q337" s="137" t="s">
        <v>193</v>
      </c>
      <c r="R337" s="137" t="s">
        <v>193</v>
      </c>
      <c r="S337" s="137" t="s">
        <v>193</v>
      </c>
      <c r="T337" s="137" t="s">
        <v>379</v>
      </c>
      <c r="U337" s="137" t="s">
        <v>193</v>
      </c>
      <c r="V337" s="137" t="s">
        <v>193</v>
      </c>
      <c r="W337" s="137" t="s">
        <v>193</v>
      </c>
      <c r="X337" s="137" t="s">
        <v>193</v>
      </c>
      <c r="Y337" s="137" t="s">
        <v>193</v>
      </c>
      <c r="Z337" s="137" t="s">
        <v>193</v>
      </c>
      <c r="AA337" s="137" t="s">
        <v>193</v>
      </c>
      <c r="AB337" s="137" t="s">
        <v>193</v>
      </c>
      <c r="AC337" s="137" t="s">
        <v>193</v>
      </c>
      <c r="AD337" s="137" t="s">
        <v>193</v>
      </c>
      <c r="AE337" s="137" t="s">
        <v>199</v>
      </c>
      <c r="AF337" s="137" t="s">
        <v>193</v>
      </c>
      <c r="AG337" s="137" t="s">
        <v>193</v>
      </c>
      <c r="AH337" s="137">
        <v>1.1930000000000001</v>
      </c>
      <c r="AI337" s="137" t="s">
        <v>193</v>
      </c>
      <c r="AJ337" s="137" t="s">
        <v>193</v>
      </c>
      <c r="AK337" s="137" t="s">
        <v>193</v>
      </c>
      <c r="AL337" s="137" t="s">
        <v>193</v>
      </c>
      <c r="AM337" s="137" t="s">
        <v>193</v>
      </c>
      <c r="AN337" s="137" t="s">
        <v>53</v>
      </c>
      <c r="AO337" s="137">
        <v>100</v>
      </c>
      <c r="AP337" s="137" t="s">
        <v>193</v>
      </c>
      <c r="AQ337" s="137" t="s">
        <v>193</v>
      </c>
      <c r="AR337" s="137" t="s">
        <v>193</v>
      </c>
      <c r="AV337" s="1">
        <f t="shared" si="44"/>
        <v>20.093000000000004</v>
      </c>
      <c r="AW337" s="1">
        <f t="shared" si="38"/>
        <v>17.3</v>
      </c>
      <c r="AX337" s="13">
        <f t="shared" si="42"/>
        <v>0.8609963668939431</v>
      </c>
      <c r="BA337" s="12">
        <f t="shared" si="39"/>
        <v>1.1930000000000001</v>
      </c>
      <c r="BB337" s="12">
        <f t="shared" si="43"/>
        <v>1.1930000000000001</v>
      </c>
      <c r="BC337" s="12">
        <f t="shared" si="43"/>
        <v>0</v>
      </c>
      <c r="BD337" s="12">
        <f t="shared" si="43"/>
        <v>0</v>
      </c>
      <c r="BE337" s="12">
        <f t="shared" si="43"/>
        <v>0</v>
      </c>
      <c r="BF337" s="12">
        <f t="shared" si="40"/>
        <v>0</v>
      </c>
      <c r="BJ337" s="12" t="str">
        <f t="shared" si="41"/>
        <v/>
      </c>
      <c r="BK337" s="12">
        <f>VLOOKUP(B337,Kraftvärmeprod!$B$1:$BH$549,MATCH($BA$1,Kraftvärmeprod!$B$1:$CC$1,0),FALSE)</f>
        <v>0</v>
      </c>
    </row>
    <row r="338" spans="1:63" ht="15" customHeight="1" x14ac:dyDescent="0.25">
      <c r="A338" s="137" t="s">
        <v>654</v>
      </c>
      <c r="B338" s="137" t="s">
        <v>655</v>
      </c>
      <c r="C338" s="137">
        <v>2018</v>
      </c>
      <c r="D338" s="137">
        <v>22.088999999999999</v>
      </c>
      <c r="E338" s="137">
        <v>24.337</v>
      </c>
      <c r="F338" s="137" t="s">
        <v>193</v>
      </c>
      <c r="G338" s="137">
        <v>0.627</v>
      </c>
      <c r="H338" s="137" t="s">
        <v>193</v>
      </c>
      <c r="I338" s="137" t="s">
        <v>193</v>
      </c>
      <c r="J338" s="137" t="s">
        <v>193</v>
      </c>
      <c r="K338" s="137" t="s">
        <v>193</v>
      </c>
      <c r="L338" s="137" t="s">
        <v>193</v>
      </c>
      <c r="M338" s="137" t="s">
        <v>53</v>
      </c>
      <c r="N338" s="137" t="s">
        <v>193</v>
      </c>
      <c r="O338" s="137">
        <v>11.95</v>
      </c>
      <c r="P338" s="137">
        <v>7.81</v>
      </c>
      <c r="Q338" s="137" t="s">
        <v>193</v>
      </c>
      <c r="R338" s="137" t="s">
        <v>193</v>
      </c>
      <c r="S338" s="137" t="s">
        <v>193</v>
      </c>
      <c r="T338" s="137" t="s">
        <v>194</v>
      </c>
      <c r="U338" s="137" t="s">
        <v>193</v>
      </c>
      <c r="V338" s="137" t="s">
        <v>193</v>
      </c>
      <c r="W338" s="137" t="s">
        <v>193</v>
      </c>
      <c r="X338" s="137" t="s">
        <v>193</v>
      </c>
      <c r="Y338" s="137" t="s">
        <v>193</v>
      </c>
      <c r="Z338" s="137" t="s">
        <v>193</v>
      </c>
      <c r="AA338" s="137" t="s">
        <v>193</v>
      </c>
      <c r="AB338" s="137" t="s">
        <v>193</v>
      </c>
      <c r="AC338" s="137" t="s">
        <v>193</v>
      </c>
      <c r="AD338" s="137" t="s">
        <v>193</v>
      </c>
      <c r="AE338" s="137" t="s">
        <v>53</v>
      </c>
      <c r="AF338" s="137" t="s">
        <v>193</v>
      </c>
      <c r="AG338" s="137" t="s">
        <v>193</v>
      </c>
      <c r="AH338" s="137">
        <v>3.95</v>
      </c>
      <c r="AI338" s="137" t="s">
        <v>193</v>
      </c>
      <c r="AJ338" s="137" t="s">
        <v>193</v>
      </c>
      <c r="AK338" s="137" t="s">
        <v>193</v>
      </c>
      <c r="AL338" s="137" t="s">
        <v>193</v>
      </c>
      <c r="AM338" s="137" t="s">
        <v>193</v>
      </c>
      <c r="AN338" s="137" t="s">
        <v>53</v>
      </c>
      <c r="AO338" s="137">
        <v>100</v>
      </c>
      <c r="AP338" s="137" t="s">
        <v>193</v>
      </c>
      <c r="AQ338" s="137" t="s">
        <v>193</v>
      </c>
      <c r="AR338" s="137" t="s">
        <v>193</v>
      </c>
      <c r="AV338" s="1">
        <f t="shared" si="44"/>
        <v>24.337</v>
      </c>
      <c r="AW338" s="1">
        <f t="shared" si="38"/>
        <v>22.088999999999999</v>
      </c>
      <c r="AX338" s="13">
        <f t="shared" si="42"/>
        <v>0.90763035706948259</v>
      </c>
      <c r="BA338" s="12">
        <f t="shared" si="39"/>
        <v>3.95</v>
      </c>
      <c r="BB338" s="12">
        <f t="shared" si="43"/>
        <v>3.95</v>
      </c>
      <c r="BC338" s="12">
        <f t="shared" si="43"/>
        <v>0</v>
      </c>
      <c r="BD338" s="12">
        <f t="shared" si="43"/>
        <v>0</v>
      </c>
      <c r="BE338" s="12">
        <f t="shared" si="43"/>
        <v>0</v>
      </c>
      <c r="BF338" s="12">
        <f t="shared" si="40"/>
        <v>0</v>
      </c>
      <c r="BJ338" s="12" t="str">
        <f t="shared" si="41"/>
        <v/>
      </c>
      <c r="BK338" s="12">
        <f>VLOOKUP(B338,Kraftvärmeprod!$B$1:$BH$549,MATCH($BA$1,Kraftvärmeprod!$B$1:$CC$1,0),FALSE)</f>
        <v>0</v>
      </c>
    </row>
    <row r="339" spans="1:63" ht="15" customHeight="1" x14ac:dyDescent="0.25">
      <c r="A339" s="137" t="s">
        <v>654</v>
      </c>
      <c r="B339" s="137" t="s">
        <v>656</v>
      </c>
      <c r="C339" s="137">
        <v>2018</v>
      </c>
      <c r="D339" s="137">
        <v>159.80000000000001</v>
      </c>
      <c r="E339" s="137">
        <v>169.78</v>
      </c>
      <c r="F339" s="137" t="s">
        <v>193</v>
      </c>
      <c r="G339" s="137" t="s">
        <v>193</v>
      </c>
      <c r="H339" s="137" t="s">
        <v>193</v>
      </c>
      <c r="I339" s="137" t="s">
        <v>193</v>
      </c>
      <c r="J339" s="137" t="s">
        <v>193</v>
      </c>
      <c r="K339" s="137" t="s">
        <v>193</v>
      </c>
      <c r="L339" s="137" t="s">
        <v>193</v>
      </c>
      <c r="M339" s="137" t="s">
        <v>53</v>
      </c>
      <c r="N339" s="137" t="s">
        <v>193</v>
      </c>
      <c r="O339" s="137" t="s">
        <v>193</v>
      </c>
      <c r="P339" s="137" t="s">
        <v>193</v>
      </c>
      <c r="Q339" s="137" t="s">
        <v>193</v>
      </c>
      <c r="R339" s="137" t="s">
        <v>193</v>
      </c>
      <c r="S339" s="137" t="s">
        <v>193</v>
      </c>
      <c r="T339" s="137" t="s">
        <v>193</v>
      </c>
      <c r="U339" s="137" t="s">
        <v>193</v>
      </c>
      <c r="V339" s="137">
        <v>152.47999999999999</v>
      </c>
      <c r="W339" s="137" t="s">
        <v>193</v>
      </c>
      <c r="X339" s="137" t="s">
        <v>193</v>
      </c>
      <c r="Y339" s="137" t="s">
        <v>193</v>
      </c>
      <c r="Z339" s="137">
        <v>17.3</v>
      </c>
      <c r="AA339" s="137" t="s">
        <v>193</v>
      </c>
      <c r="AB339" s="137" t="s">
        <v>193</v>
      </c>
      <c r="AC339" s="137" t="s">
        <v>193</v>
      </c>
      <c r="AD339" s="137" t="s">
        <v>193</v>
      </c>
      <c r="AE339" s="137" t="s">
        <v>199</v>
      </c>
      <c r="AF339" s="137" t="s">
        <v>193</v>
      </c>
      <c r="AG339" s="137" t="s">
        <v>193</v>
      </c>
      <c r="AH339" s="137" t="s">
        <v>193</v>
      </c>
      <c r="AI339" s="137" t="s">
        <v>193</v>
      </c>
      <c r="AJ339" s="137" t="s">
        <v>193</v>
      </c>
      <c r="AK339" s="137" t="s">
        <v>193</v>
      </c>
      <c r="AL339" s="137" t="s">
        <v>193</v>
      </c>
      <c r="AM339" s="137" t="s">
        <v>193</v>
      </c>
      <c r="AN339" s="137" t="s">
        <v>53</v>
      </c>
      <c r="AO339" s="137" t="s">
        <v>193</v>
      </c>
      <c r="AP339" s="137" t="s">
        <v>193</v>
      </c>
      <c r="AQ339" s="137" t="s">
        <v>193</v>
      </c>
      <c r="AR339" s="137" t="s">
        <v>193</v>
      </c>
      <c r="AV339" s="1">
        <f t="shared" si="44"/>
        <v>169.78</v>
      </c>
      <c r="AW339" s="1">
        <f t="shared" si="38"/>
        <v>159.80000000000001</v>
      </c>
      <c r="AX339" s="13">
        <f t="shared" si="42"/>
        <v>0.94121804688420319</v>
      </c>
      <c r="BA339" s="12">
        <f t="shared" si="39"/>
        <v>0</v>
      </c>
      <c r="BB339" s="12">
        <f t="shared" si="43"/>
        <v>0</v>
      </c>
      <c r="BC339" s="12">
        <f t="shared" si="43"/>
        <v>0</v>
      </c>
      <c r="BD339" s="12">
        <f t="shared" si="43"/>
        <v>0</v>
      </c>
      <c r="BE339" s="12">
        <f t="shared" si="43"/>
        <v>0</v>
      </c>
      <c r="BF339" s="12">
        <f t="shared" si="40"/>
        <v>0</v>
      </c>
      <c r="BJ339" s="12" t="str">
        <f t="shared" si="41"/>
        <v/>
      </c>
      <c r="BK339" s="12">
        <f>VLOOKUP(B339,Kraftvärmeprod!$B$1:$BH$549,MATCH($BA$1,Kraftvärmeprod!$B$1:$CC$1,0),FALSE)</f>
        <v>49.4</v>
      </c>
    </row>
    <row r="340" spans="1:63" ht="15" customHeight="1" x14ac:dyDescent="0.25">
      <c r="A340" s="137" t="s">
        <v>654</v>
      </c>
      <c r="B340" s="137" t="s">
        <v>657</v>
      </c>
      <c r="C340" s="137">
        <v>2018</v>
      </c>
      <c r="D340" s="137">
        <v>76.959999999999994</v>
      </c>
      <c r="E340" s="137">
        <v>85.951999999999998</v>
      </c>
      <c r="F340" s="137" t="s">
        <v>193</v>
      </c>
      <c r="G340" s="137">
        <v>1.2E-2</v>
      </c>
      <c r="H340" s="137" t="s">
        <v>193</v>
      </c>
      <c r="I340" s="137" t="s">
        <v>193</v>
      </c>
      <c r="J340" s="137" t="s">
        <v>193</v>
      </c>
      <c r="K340" s="137" t="s">
        <v>193</v>
      </c>
      <c r="L340" s="137" t="s">
        <v>193</v>
      </c>
      <c r="M340" s="137" t="s">
        <v>53</v>
      </c>
      <c r="N340" s="137" t="s">
        <v>193</v>
      </c>
      <c r="O340" s="137" t="s">
        <v>193</v>
      </c>
      <c r="P340" s="137">
        <v>40.74</v>
      </c>
      <c r="Q340" s="137" t="s">
        <v>193</v>
      </c>
      <c r="R340" s="137" t="s">
        <v>193</v>
      </c>
      <c r="S340" s="137" t="s">
        <v>193</v>
      </c>
      <c r="T340" s="137" t="s">
        <v>193</v>
      </c>
      <c r="U340" s="137">
        <v>2.8</v>
      </c>
      <c r="V340" s="137" t="s">
        <v>193</v>
      </c>
      <c r="W340" s="137" t="s">
        <v>193</v>
      </c>
      <c r="X340" s="137" t="s">
        <v>193</v>
      </c>
      <c r="Y340" s="137" t="s">
        <v>193</v>
      </c>
      <c r="Z340" s="137">
        <v>21.5</v>
      </c>
      <c r="AA340" s="137">
        <v>3.43</v>
      </c>
      <c r="AB340" s="137" t="s">
        <v>193</v>
      </c>
      <c r="AC340" s="137" t="s">
        <v>193</v>
      </c>
      <c r="AD340" s="137" t="s">
        <v>193</v>
      </c>
      <c r="AE340" s="137" t="s">
        <v>199</v>
      </c>
      <c r="AF340" s="137" t="s">
        <v>193</v>
      </c>
      <c r="AG340" s="137">
        <v>10.8</v>
      </c>
      <c r="AH340" s="137">
        <v>6.67</v>
      </c>
      <c r="AI340" s="137" t="s">
        <v>193</v>
      </c>
      <c r="AJ340" s="137" t="s">
        <v>193</v>
      </c>
      <c r="AK340" s="137" t="s">
        <v>193</v>
      </c>
      <c r="AL340" s="137" t="s">
        <v>193</v>
      </c>
      <c r="AM340" s="137" t="s">
        <v>193</v>
      </c>
      <c r="AN340" s="137" t="s">
        <v>53</v>
      </c>
      <c r="AO340" s="137">
        <v>100</v>
      </c>
      <c r="AP340" s="137" t="s">
        <v>193</v>
      </c>
      <c r="AQ340" s="137">
        <v>0</v>
      </c>
      <c r="AR340" s="137" t="s">
        <v>193</v>
      </c>
      <c r="AV340" s="1">
        <f t="shared" si="44"/>
        <v>85.951999999999998</v>
      </c>
      <c r="AW340" s="1">
        <f t="shared" si="38"/>
        <v>76.959999999999994</v>
      </c>
      <c r="AX340" s="13">
        <f t="shared" si="42"/>
        <v>0.89538346984363359</v>
      </c>
      <c r="BA340" s="12">
        <f t="shared" si="39"/>
        <v>6.67</v>
      </c>
      <c r="BB340" s="12">
        <f t="shared" si="43"/>
        <v>6.67</v>
      </c>
      <c r="BC340" s="12">
        <f t="shared" si="43"/>
        <v>0</v>
      </c>
      <c r="BD340" s="12">
        <f t="shared" si="43"/>
        <v>0</v>
      </c>
      <c r="BE340" s="12">
        <f t="shared" si="43"/>
        <v>0</v>
      </c>
      <c r="BF340" s="12">
        <f t="shared" si="40"/>
        <v>0</v>
      </c>
      <c r="BJ340" s="12" t="str">
        <f t="shared" si="41"/>
        <v/>
      </c>
      <c r="BK340" s="12">
        <f>VLOOKUP(B340,Kraftvärmeprod!$B$1:$BH$549,MATCH($BA$1,Kraftvärmeprod!$B$1:$CC$1,0),FALSE)</f>
        <v>0</v>
      </c>
    </row>
    <row r="341" spans="1:63" ht="15" customHeight="1" x14ac:dyDescent="0.25">
      <c r="A341" s="137" t="s">
        <v>654</v>
      </c>
      <c r="B341" s="141" t="s">
        <v>11</v>
      </c>
      <c r="C341" s="137">
        <v>2018</v>
      </c>
      <c r="D341" s="137">
        <v>65.400000000000006</v>
      </c>
      <c r="E341" s="137">
        <v>79.930000000000007</v>
      </c>
      <c r="F341" s="137" t="s">
        <v>193</v>
      </c>
      <c r="G341" s="137">
        <v>2.84</v>
      </c>
      <c r="H341" s="137" t="s">
        <v>193</v>
      </c>
      <c r="I341" s="137" t="s">
        <v>193</v>
      </c>
      <c r="J341" s="137" t="s">
        <v>193</v>
      </c>
      <c r="K341" s="137" t="s">
        <v>193</v>
      </c>
      <c r="L341" s="137" t="s">
        <v>193</v>
      </c>
      <c r="M341" s="137" t="s">
        <v>53</v>
      </c>
      <c r="N341" s="137">
        <v>56.34</v>
      </c>
      <c r="O341" s="137">
        <v>10.89</v>
      </c>
      <c r="P341" s="137">
        <v>9.86</v>
      </c>
      <c r="Q341" s="137" t="s">
        <v>193</v>
      </c>
      <c r="R341" s="137" t="s">
        <v>193</v>
      </c>
      <c r="S341" s="137" t="s">
        <v>193</v>
      </c>
      <c r="T341" s="137" t="s">
        <v>193</v>
      </c>
      <c r="U341" s="137" t="s">
        <v>193</v>
      </c>
      <c r="V341" s="137" t="s">
        <v>193</v>
      </c>
      <c r="W341" s="137" t="s">
        <v>193</v>
      </c>
      <c r="X341" s="137" t="s">
        <v>193</v>
      </c>
      <c r="Y341" s="137" t="s">
        <v>193</v>
      </c>
      <c r="Z341" s="137" t="s">
        <v>193</v>
      </c>
      <c r="AA341" s="137" t="s">
        <v>193</v>
      </c>
      <c r="AB341" s="137" t="s">
        <v>193</v>
      </c>
      <c r="AC341" s="137" t="s">
        <v>193</v>
      </c>
      <c r="AD341" s="137" t="s">
        <v>193</v>
      </c>
      <c r="AE341" s="137" t="s">
        <v>53</v>
      </c>
      <c r="AF341" s="137" t="s">
        <v>193</v>
      </c>
      <c r="AG341" s="137" t="s">
        <v>193</v>
      </c>
      <c r="AH341" s="137" t="s">
        <v>193</v>
      </c>
      <c r="AI341" s="137" t="s">
        <v>193</v>
      </c>
      <c r="AJ341" s="137" t="s">
        <v>193</v>
      </c>
      <c r="AK341" s="137" t="s">
        <v>193</v>
      </c>
      <c r="AL341" s="137" t="s">
        <v>193</v>
      </c>
      <c r="AM341" s="137" t="s">
        <v>193</v>
      </c>
      <c r="AN341" s="137" t="s">
        <v>53</v>
      </c>
      <c r="AO341" s="137" t="s">
        <v>193</v>
      </c>
      <c r="AP341" s="137" t="s">
        <v>193</v>
      </c>
      <c r="AQ341" s="137" t="s">
        <v>193</v>
      </c>
      <c r="AR341" s="137" t="s">
        <v>193</v>
      </c>
      <c r="AV341" s="1">
        <f t="shared" si="44"/>
        <v>79.930000000000007</v>
      </c>
      <c r="AW341" s="1">
        <f t="shared" si="38"/>
        <v>65.400000000000006</v>
      </c>
      <c r="AX341" s="13">
        <f t="shared" si="42"/>
        <v>0.81821593894657829</v>
      </c>
      <c r="BA341" s="12">
        <f t="shared" si="39"/>
        <v>0</v>
      </c>
      <c r="BB341" s="12">
        <f t="shared" si="43"/>
        <v>0</v>
      </c>
      <c r="BC341" s="12">
        <f t="shared" si="43"/>
        <v>0</v>
      </c>
      <c r="BD341" s="12">
        <f t="shared" si="43"/>
        <v>0</v>
      </c>
      <c r="BE341" s="12">
        <f t="shared" si="43"/>
        <v>0</v>
      </c>
      <c r="BF341" s="12">
        <f t="shared" si="40"/>
        <v>0</v>
      </c>
      <c r="BJ341" s="12" t="str">
        <f t="shared" si="41"/>
        <v/>
      </c>
      <c r="BK341" s="12">
        <f>VLOOKUP(B341,Kraftvärmeprod!$B$1:$BH$549,MATCH($BA$1,Kraftvärmeprod!$B$1:$CC$1,0),FALSE)</f>
        <v>0</v>
      </c>
    </row>
    <row r="342" spans="1:63" ht="15" customHeight="1" x14ac:dyDescent="0.25">
      <c r="A342" s="137" t="s">
        <v>654</v>
      </c>
      <c r="B342" s="137" t="s">
        <v>658</v>
      </c>
      <c r="C342" s="137">
        <v>2018</v>
      </c>
      <c r="D342" s="137">
        <v>77.004000000000005</v>
      </c>
      <c r="E342" s="137">
        <v>134.19999999999999</v>
      </c>
      <c r="F342" s="137" t="s">
        <v>193</v>
      </c>
      <c r="G342" s="137">
        <v>1.74</v>
      </c>
      <c r="H342" s="137" t="s">
        <v>193</v>
      </c>
      <c r="I342" s="137">
        <v>3.27</v>
      </c>
      <c r="J342" s="137" t="s">
        <v>193</v>
      </c>
      <c r="K342" s="137" t="s">
        <v>193</v>
      </c>
      <c r="L342" s="137" t="s">
        <v>193</v>
      </c>
      <c r="M342" s="137" t="s">
        <v>53</v>
      </c>
      <c r="N342" s="137">
        <v>58.71</v>
      </c>
      <c r="O342" s="137">
        <v>26.28</v>
      </c>
      <c r="P342" s="137">
        <v>1.95</v>
      </c>
      <c r="Q342" s="137">
        <v>28.08</v>
      </c>
      <c r="R342" s="137" t="s">
        <v>193</v>
      </c>
      <c r="S342" s="137" t="s">
        <v>193</v>
      </c>
      <c r="T342" s="137" t="s">
        <v>194</v>
      </c>
      <c r="U342" s="137" t="s">
        <v>193</v>
      </c>
      <c r="V342" s="137" t="s">
        <v>193</v>
      </c>
      <c r="W342" s="137" t="s">
        <v>193</v>
      </c>
      <c r="X342" s="137" t="s">
        <v>193</v>
      </c>
      <c r="Y342" s="137" t="s">
        <v>193</v>
      </c>
      <c r="Z342" s="137" t="s">
        <v>193</v>
      </c>
      <c r="AA342" s="137" t="s">
        <v>193</v>
      </c>
      <c r="AB342" s="137" t="s">
        <v>193</v>
      </c>
      <c r="AC342" s="137" t="s">
        <v>193</v>
      </c>
      <c r="AD342" s="137" t="s">
        <v>193</v>
      </c>
      <c r="AE342" s="137" t="s">
        <v>53</v>
      </c>
      <c r="AF342" s="137" t="s">
        <v>193</v>
      </c>
      <c r="AG342" s="137" t="s">
        <v>193</v>
      </c>
      <c r="AH342" s="137">
        <v>14.17</v>
      </c>
      <c r="AI342" s="137" t="s">
        <v>193</v>
      </c>
      <c r="AJ342" s="137" t="s">
        <v>193</v>
      </c>
      <c r="AK342" s="137" t="s">
        <v>193</v>
      </c>
      <c r="AL342" s="137" t="s">
        <v>193</v>
      </c>
      <c r="AM342" s="137" t="s">
        <v>193</v>
      </c>
      <c r="AN342" s="137" t="s">
        <v>53</v>
      </c>
      <c r="AO342" s="137">
        <v>100</v>
      </c>
      <c r="AP342" s="137" t="s">
        <v>193</v>
      </c>
      <c r="AQ342" s="137" t="s">
        <v>193</v>
      </c>
      <c r="AR342" s="137" t="s">
        <v>193</v>
      </c>
      <c r="AV342" s="1">
        <f t="shared" si="44"/>
        <v>134.19999999999999</v>
      </c>
      <c r="AW342" s="1">
        <f t="shared" si="38"/>
        <v>77.004000000000005</v>
      </c>
      <c r="AX342" s="13">
        <f t="shared" si="42"/>
        <v>0.57380029806259325</v>
      </c>
      <c r="BA342" s="12">
        <f t="shared" si="39"/>
        <v>14.17</v>
      </c>
      <c r="BB342" s="12">
        <f t="shared" si="43"/>
        <v>14.17</v>
      </c>
      <c r="BC342" s="12">
        <f t="shared" si="43"/>
        <v>0</v>
      </c>
      <c r="BD342" s="12">
        <f t="shared" si="43"/>
        <v>0</v>
      </c>
      <c r="BE342" s="12">
        <f t="shared" si="43"/>
        <v>0</v>
      </c>
      <c r="BF342" s="12">
        <f t="shared" si="40"/>
        <v>0</v>
      </c>
      <c r="BJ342" s="12" t="str">
        <f t="shared" si="41"/>
        <v/>
      </c>
      <c r="BK342" s="12">
        <f>VLOOKUP(B342,Kraftvärmeprod!$B$1:$BH$549,MATCH($BA$1,Kraftvärmeprod!$B$1:$CC$1,0),FALSE)</f>
        <v>22.05</v>
      </c>
    </row>
    <row r="343" spans="1:63" ht="15" customHeight="1" x14ac:dyDescent="0.25">
      <c r="A343" s="137" t="s">
        <v>654</v>
      </c>
      <c r="B343" s="137" t="s">
        <v>659</v>
      </c>
      <c r="C343" s="137">
        <v>2018</v>
      </c>
      <c r="D343" s="137">
        <v>87.379000000000005</v>
      </c>
      <c r="E343" s="137">
        <v>49.594999999999999</v>
      </c>
      <c r="F343" s="137">
        <v>0</v>
      </c>
      <c r="G343" s="137">
        <v>0</v>
      </c>
      <c r="H343" s="137">
        <v>5.8940000000000001</v>
      </c>
      <c r="I343" s="137" t="s">
        <v>193</v>
      </c>
      <c r="J343" s="137" t="s">
        <v>193</v>
      </c>
      <c r="K343" s="137" t="s">
        <v>193</v>
      </c>
      <c r="L343" s="137" t="s">
        <v>193</v>
      </c>
      <c r="M343" s="137" t="s">
        <v>193</v>
      </c>
      <c r="N343" s="137">
        <v>42.994999999999997</v>
      </c>
      <c r="O343" s="137">
        <v>0</v>
      </c>
      <c r="P343" s="137">
        <v>0</v>
      </c>
      <c r="Q343" s="137" t="s">
        <v>193</v>
      </c>
      <c r="R343" s="137" t="s">
        <v>193</v>
      </c>
      <c r="S343" s="137" t="s">
        <v>193</v>
      </c>
      <c r="T343" s="137" t="s">
        <v>193</v>
      </c>
      <c r="U343" s="137" t="s">
        <v>193</v>
      </c>
      <c r="V343" s="137" t="s">
        <v>193</v>
      </c>
      <c r="W343" s="137" t="s">
        <v>193</v>
      </c>
      <c r="X343" s="137" t="s">
        <v>193</v>
      </c>
      <c r="Y343" s="137" t="s">
        <v>193</v>
      </c>
      <c r="Z343" s="137" t="s">
        <v>193</v>
      </c>
      <c r="AA343" s="137" t="s">
        <v>193</v>
      </c>
      <c r="AB343" s="137" t="s">
        <v>193</v>
      </c>
      <c r="AC343" s="137" t="s">
        <v>193</v>
      </c>
      <c r="AD343" s="137" t="s">
        <v>193</v>
      </c>
      <c r="AE343" s="137" t="s">
        <v>199</v>
      </c>
      <c r="AF343" s="137" t="s">
        <v>193</v>
      </c>
      <c r="AG343" s="137">
        <v>0.32500000000000001</v>
      </c>
      <c r="AH343" s="137" t="s">
        <v>193</v>
      </c>
      <c r="AI343" s="137" t="s">
        <v>193</v>
      </c>
      <c r="AJ343" s="137" t="s">
        <v>193</v>
      </c>
      <c r="AK343" s="137" t="s">
        <v>193</v>
      </c>
      <c r="AL343" s="137">
        <v>0.38100000000000001</v>
      </c>
      <c r="AM343" s="137">
        <v>0.40100000000000002</v>
      </c>
      <c r="AN343" s="137" t="s">
        <v>193</v>
      </c>
      <c r="AO343" s="137" t="s">
        <v>193</v>
      </c>
      <c r="AP343" s="137" t="s">
        <v>193</v>
      </c>
      <c r="AQ343" s="137" t="s">
        <v>193</v>
      </c>
      <c r="AR343" s="137" t="s">
        <v>193</v>
      </c>
      <c r="AV343" s="1">
        <f t="shared" si="44"/>
        <v>49.594999999999999</v>
      </c>
      <c r="AW343" s="1">
        <f t="shared" si="38"/>
        <v>87.379000000000005</v>
      </c>
      <c r="AX343" s="13">
        <f t="shared" si="42"/>
        <v>1.7618509930436537</v>
      </c>
      <c r="BA343" s="12">
        <f t="shared" si="39"/>
        <v>0</v>
      </c>
      <c r="BB343" s="12">
        <f t="shared" si="43"/>
        <v>0</v>
      </c>
      <c r="BC343" s="12">
        <f t="shared" si="43"/>
        <v>0</v>
      </c>
      <c r="BD343" s="12">
        <f t="shared" si="43"/>
        <v>0</v>
      </c>
      <c r="BE343" s="12">
        <f t="shared" si="43"/>
        <v>0</v>
      </c>
      <c r="BF343" s="12">
        <f t="shared" si="40"/>
        <v>0</v>
      </c>
      <c r="BJ343" s="12" t="str">
        <f t="shared" si="41"/>
        <v/>
      </c>
      <c r="BK343" s="12">
        <f>VLOOKUP(B343,Kraftvärmeprod!$B$1:$BH$549,MATCH($BA$1,Kraftvärmeprod!$B$1:$CC$1,0),FALSE)</f>
        <v>51.639000000000003</v>
      </c>
    </row>
    <row r="344" spans="1:63" ht="15" customHeight="1" x14ac:dyDescent="0.25">
      <c r="A344" s="137" t="s">
        <v>654</v>
      </c>
      <c r="B344" s="137" t="s">
        <v>660</v>
      </c>
      <c r="C344" s="137">
        <v>2018</v>
      </c>
      <c r="D344" s="137">
        <v>25.12</v>
      </c>
      <c r="E344" s="137">
        <v>29.53</v>
      </c>
      <c r="F344" s="137" t="s">
        <v>193</v>
      </c>
      <c r="G344" s="137" t="s">
        <v>193</v>
      </c>
      <c r="H344" s="137" t="s">
        <v>193</v>
      </c>
      <c r="I344" s="137" t="s">
        <v>193</v>
      </c>
      <c r="J344" s="137" t="s">
        <v>193</v>
      </c>
      <c r="K344" s="137" t="s">
        <v>193</v>
      </c>
      <c r="L344" s="137" t="s">
        <v>193</v>
      </c>
      <c r="M344" s="137" t="s">
        <v>53</v>
      </c>
      <c r="N344" s="137" t="s">
        <v>193</v>
      </c>
      <c r="O344" s="137" t="s">
        <v>193</v>
      </c>
      <c r="P344" s="137" t="s">
        <v>193</v>
      </c>
      <c r="Q344" s="137" t="s">
        <v>193</v>
      </c>
      <c r="R344" s="137" t="s">
        <v>193</v>
      </c>
      <c r="S344" s="137" t="s">
        <v>193</v>
      </c>
      <c r="T344" s="137" t="s">
        <v>193</v>
      </c>
      <c r="U344" s="137" t="s">
        <v>193</v>
      </c>
      <c r="V344" s="137" t="s">
        <v>193</v>
      </c>
      <c r="W344" s="137" t="s">
        <v>193</v>
      </c>
      <c r="X344" s="137" t="s">
        <v>193</v>
      </c>
      <c r="Y344" s="137" t="s">
        <v>193</v>
      </c>
      <c r="Z344" s="137">
        <v>29.53</v>
      </c>
      <c r="AA344" s="137" t="s">
        <v>193</v>
      </c>
      <c r="AB344" s="137" t="s">
        <v>193</v>
      </c>
      <c r="AC344" s="137" t="s">
        <v>193</v>
      </c>
      <c r="AD344" s="137" t="s">
        <v>193</v>
      </c>
      <c r="AE344" s="137" t="s">
        <v>199</v>
      </c>
      <c r="AF344" s="137" t="s">
        <v>193</v>
      </c>
      <c r="AG344" s="137" t="s">
        <v>193</v>
      </c>
      <c r="AH344" s="137" t="s">
        <v>193</v>
      </c>
      <c r="AI344" s="137" t="s">
        <v>193</v>
      </c>
      <c r="AJ344" s="137" t="s">
        <v>193</v>
      </c>
      <c r="AK344" s="137" t="s">
        <v>193</v>
      </c>
      <c r="AL344" s="137" t="s">
        <v>193</v>
      </c>
      <c r="AM344" s="137" t="s">
        <v>193</v>
      </c>
      <c r="AN344" s="137" t="s">
        <v>53</v>
      </c>
      <c r="AO344" s="137" t="s">
        <v>193</v>
      </c>
      <c r="AP344" s="137" t="s">
        <v>193</v>
      </c>
      <c r="AQ344" s="137" t="s">
        <v>193</v>
      </c>
      <c r="AR344" s="137" t="s">
        <v>193</v>
      </c>
      <c r="AV344" s="1">
        <f t="shared" si="44"/>
        <v>29.53</v>
      </c>
      <c r="AW344" s="1">
        <f t="shared" si="38"/>
        <v>25.12</v>
      </c>
      <c r="AX344" s="13">
        <f t="shared" si="42"/>
        <v>0.85066034541144597</v>
      </c>
      <c r="BA344" s="12">
        <f t="shared" si="39"/>
        <v>0</v>
      </c>
      <c r="BB344" s="12">
        <f t="shared" si="43"/>
        <v>0</v>
      </c>
      <c r="BC344" s="12">
        <f t="shared" si="43"/>
        <v>0</v>
      </c>
      <c r="BD344" s="12">
        <f t="shared" si="43"/>
        <v>0</v>
      </c>
      <c r="BE344" s="12">
        <f t="shared" si="43"/>
        <v>0</v>
      </c>
      <c r="BF344" s="12">
        <f t="shared" si="40"/>
        <v>0</v>
      </c>
      <c r="BJ344" s="12" t="str">
        <f t="shared" si="41"/>
        <v/>
      </c>
      <c r="BK344" s="12">
        <f>VLOOKUP(B344,Kraftvärmeprod!$B$1:$BH$549,MATCH($BA$1,Kraftvärmeprod!$B$1:$CC$1,0),FALSE)</f>
        <v>0</v>
      </c>
    </row>
    <row r="345" spans="1:63" ht="15" customHeight="1" x14ac:dyDescent="0.25">
      <c r="A345" s="137" t="s">
        <v>654</v>
      </c>
      <c r="B345" s="137" t="s">
        <v>661</v>
      </c>
      <c r="C345" s="137">
        <v>2018</v>
      </c>
      <c r="D345" s="137">
        <v>18.2</v>
      </c>
      <c r="E345" s="137">
        <v>23.916</v>
      </c>
      <c r="F345" s="137" t="s">
        <v>193</v>
      </c>
      <c r="G345" s="137">
        <v>0.216</v>
      </c>
      <c r="H345" s="137" t="s">
        <v>193</v>
      </c>
      <c r="I345" s="137" t="s">
        <v>193</v>
      </c>
      <c r="J345" s="137" t="s">
        <v>193</v>
      </c>
      <c r="K345" s="137" t="s">
        <v>193</v>
      </c>
      <c r="L345" s="137" t="s">
        <v>193</v>
      </c>
      <c r="M345" s="137" t="s">
        <v>53</v>
      </c>
      <c r="N345" s="137" t="s">
        <v>193</v>
      </c>
      <c r="O345" s="137" t="s">
        <v>193</v>
      </c>
      <c r="P345" s="137" t="s">
        <v>193</v>
      </c>
      <c r="Q345" s="137" t="s">
        <v>193</v>
      </c>
      <c r="R345" s="137" t="s">
        <v>193</v>
      </c>
      <c r="S345" s="137" t="s">
        <v>193</v>
      </c>
      <c r="T345" s="137" t="s">
        <v>193</v>
      </c>
      <c r="U345" s="137">
        <v>23.7</v>
      </c>
      <c r="V345" s="137" t="s">
        <v>193</v>
      </c>
      <c r="W345" s="137" t="s">
        <v>193</v>
      </c>
      <c r="X345" s="137" t="s">
        <v>193</v>
      </c>
      <c r="Y345" s="137" t="s">
        <v>193</v>
      </c>
      <c r="Z345" s="137" t="s">
        <v>193</v>
      </c>
      <c r="AA345" s="137" t="s">
        <v>193</v>
      </c>
      <c r="AB345" s="137" t="s">
        <v>193</v>
      </c>
      <c r="AC345" s="137" t="s">
        <v>193</v>
      </c>
      <c r="AD345" s="137" t="s">
        <v>193</v>
      </c>
      <c r="AE345" s="137" t="s">
        <v>53</v>
      </c>
      <c r="AF345" s="137" t="s">
        <v>193</v>
      </c>
      <c r="AG345" s="137" t="s">
        <v>193</v>
      </c>
      <c r="AH345" s="137" t="s">
        <v>193</v>
      </c>
      <c r="AI345" s="137" t="s">
        <v>193</v>
      </c>
      <c r="AJ345" s="137" t="s">
        <v>193</v>
      </c>
      <c r="AK345" s="137" t="s">
        <v>193</v>
      </c>
      <c r="AL345" s="137" t="s">
        <v>193</v>
      </c>
      <c r="AM345" s="137" t="s">
        <v>193</v>
      </c>
      <c r="AN345" s="137" t="s">
        <v>53</v>
      </c>
      <c r="AO345" s="137" t="s">
        <v>193</v>
      </c>
      <c r="AP345" s="137" t="s">
        <v>193</v>
      </c>
      <c r="AQ345" s="137" t="s">
        <v>193</v>
      </c>
      <c r="AR345" s="137" t="s">
        <v>193</v>
      </c>
      <c r="AV345" s="1">
        <f t="shared" si="44"/>
        <v>23.916</v>
      </c>
      <c r="AW345" s="1">
        <f t="shared" si="38"/>
        <v>18.2</v>
      </c>
      <c r="AX345" s="13">
        <f t="shared" si="42"/>
        <v>0.76099682221107201</v>
      </c>
      <c r="BA345" s="12">
        <f t="shared" si="39"/>
        <v>0</v>
      </c>
      <c r="BB345" s="12">
        <f t="shared" si="43"/>
        <v>0</v>
      </c>
      <c r="BC345" s="12">
        <f t="shared" si="43"/>
        <v>0</v>
      </c>
      <c r="BD345" s="12">
        <f t="shared" si="43"/>
        <v>0</v>
      </c>
      <c r="BE345" s="12">
        <f t="shared" si="43"/>
        <v>0</v>
      </c>
      <c r="BF345" s="12">
        <f t="shared" si="40"/>
        <v>0</v>
      </c>
      <c r="BJ345" s="12" t="str">
        <f t="shared" si="41"/>
        <v/>
      </c>
      <c r="BK345" s="12">
        <f>VLOOKUP(B345,Kraftvärmeprod!$B$1:$BH$549,MATCH($BA$1,Kraftvärmeprod!$B$1:$CC$1,0),FALSE)</f>
        <v>0</v>
      </c>
    </row>
    <row r="346" spans="1:63" ht="15" customHeight="1" x14ac:dyDescent="0.25">
      <c r="A346" s="137" t="s">
        <v>654</v>
      </c>
      <c r="B346" s="137" t="s">
        <v>662</v>
      </c>
      <c r="C346" s="137">
        <v>2018</v>
      </c>
      <c r="D346" s="137">
        <v>1091.8</v>
      </c>
      <c r="E346" s="137">
        <v>1334.99</v>
      </c>
      <c r="F346" s="137" t="s">
        <v>193</v>
      </c>
      <c r="G346" s="137">
        <v>16.7</v>
      </c>
      <c r="H346" s="137" t="s">
        <v>193</v>
      </c>
      <c r="I346" s="137">
        <v>24.1</v>
      </c>
      <c r="J346" s="137" t="s">
        <v>193</v>
      </c>
      <c r="K346" s="137" t="s">
        <v>193</v>
      </c>
      <c r="L346" s="137" t="s">
        <v>193</v>
      </c>
      <c r="M346" s="137" t="s">
        <v>53</v>
      </c>
      <c r="N346" s="137" t="s">
        <v>193</v>
      </c>
      <c r="O346" s="137" t="s">
        <v>193</v>
      </c>
      <c r="P346" s="137" t="s">
        <v>193</v>
      </c>
      <c r="Q346" s="137" t="s">
        <v>193</v>
      </c>
      <c r="R346" s="137" t="s">
        <v>193</v>
      </c>
      <c r="S346" s="137">
        <v>0.09</v>
      </c>
      <c r="T346" s="137" t="s">
        <v>194</v>
      </c>
      <c r="U346" s="137">
        <v>15.1</v>
      </c>
      <c r="V346" s="137" t="s">
        <v>193</v>
      </c>
      <c r="W346" s="137" t="s">
        <v>193</v>
      </c>
      <c r="X346" s="137" t="s">
        <v>193</v>
      </c>
      <c r="Y346" s="137" t="s">
        <v>193</v>
      </c>
      <c r="Z346" s="137">
        <v>54.5</v>
      </c>
      <c r="AA346" s="137" t="s">
        <v>193</v>
      </c>
      <c r="AB346" s="137">
        <v>97</v>
      </c>
      <c r="AC346" s="137">
        <v>885.8</v>
      </c>
      <c r="AD346" s="137">
        <v>14.4</v>
      </c>
      <c r="AE346" s="137" t="s">
        <v>327</v>
      </c>
      <c r="AF346" s="137">
        <v>40.1</v>
      </c>
      <c r="AG346" s="137" t="s">
        <v>193</v>
      </c>
      <c r="AH346" s="137">
        <v>139.9</v>
      </c>
      <c r="AI346" s="137">
        <v>74.400000000000006</v>
      </c>
      <c r="AJ346" s="137" t="s">
        <v>240</v>
      </c>
      <c r="AK346" s="137">
        <v>15.2</v>
      </c>
      <c r="AL346" s="137">
        <v>27.4</v>
      </c>
      <c r="AM346" s="137">
        <v>28.6</v>
      </c>
      <c r="AN346" s="137" t="s">
        <v>53</v>
      </c>
      <c r="AO346" s="137">
        <v>0</v>
      </c>
      <c r="AP346" s="137">
        <v>98.6</v>
      </c>
      <c r="AQ346" s="137">
        <v>1.4</v>
      </c>
      <c r="AR346" s="137">
        <v>0</v>
      </c>
      <c r="AV346" s="1">
        <f t="shared" si="44"/>
        <v>1334.99</v>
      </c>
      <c r="AW346" s="1">
        <f t="shared" si="38"/>
        <v>1091.8</v>
      </c>
      <c r="AX346" s="13">
        <f t="shared" si="42"/>
        <v>0.81783384145199589</v>
      </c>
      <c r="BA346" s="12">
        <f t="shared" si="39"/>
        <v>139.9</v>
      </c>
      <c r="BB346" s="12">
        <f t="shared" si="43"/>
        <v>0</v>
      </c>
      <c r="BC346" s="12">
        <f t="shared" si="43"/>
        <v>137.94140000000002</v>
      </c>
      <c r="BD346" s="12">
        <f t="shared" si="43"/>
        <v>1.9585999999999999</v>
      </c>
      <c r="BE346" s="12">
        <f t="shared" si="43"/>
        <v>0</v>
      </c>
      <c r="BF346" s="12">
        <f t="shared" si="40"/>
        <v>0</v>
      </c>
      <c r="BJ346" s="12" t="str">
        <f t="shared" si="41"/>
        <v/>
      </c>
      <c r="BK346" s="12">
        <f>VLOOKUP(B346,Kraftvärmeprod!$B$1:$BH$549,MATCH($BA$1,Kraftvärmeprod!$B$1:$CC$1,0),FALSE)</f>
        <v>0</v>
      </c>
    </row>
    <row r="347" spans="1:63" ht="15" customHeight="1" x14ac:dyDescent="0.25">
      <c r="A347" s="137" t="s">
        <v>654</v>
      </c>
      <c r="B347" s="137" t="s">
        <v>663</v>
      </c>
      <c r="C347" s="137">
        <v>2018</v>
      </c>
      <c r="D347" s="137">
        <v>26.5</v>
      </c>
      <c r="E347" s="137">
        <v>28.7</v>
      </c>
      <c r="F347" s="137" t="s">
        <v>193</v>
      </c>
      <c r="G347" s="137">
        <v>0.1</v>
      </c>
      <c r="H347" s="137" t="s">
        <v>193</v>
      </c>
      <c r="I347" s="137" t="s">
        <v>193</v>
      </c>
      <c r="J347" s="137" t="s">
        <v>193</v>
      </c>
      <c r="K347" s="137" t="s">
        <v>193</v>
      </c>
      <c r="L347" s="137" t="s">
        <v>193</v>
      </c>
      <c r="M347" s="137" t="s">
        <v>53</v>
      </c>
      <c r="N347" s="137" t="s">
        <v>193</v>
      </c>
      <c r="O347" s="137" t="s">
        <v>193</v>
      </c>
      <c r="P347" s="137" t="s">
        <v>193</v>
      </c>
      <c r="Q347" s="137" t="s">
        <v>193</v>
      </c>
      <c r="R347" s="137" t="s">
        <v>193</v>
      </c>
      <c r="S347" s="137" t="s">
        <v>193</v>
      </c>
      <c r="T347" s="137" t="s">
        <v>193</v>
      </c>
      <c r="U347" s="137" t="s">
        <v>193</v>
      </c>
      <c r="V347" s="137" t="s">
        <v>193</v>
      </c>
      <c r="W347" s="137" t="s">
        <v>193</v>
      </c>
      <c r="X347" s="137" t="s">
        <v>193</v>
      </c>
      <c r="Y347" s="137" t="s">
        <v>193</v>
      </c>
      <c r="Z347" s="137">
        <v>28.6</v>
      </c>
      <c r="AA347" s="137" t="s">
        <v>193</v>
      </c>
      <c r="AB347" s="137" t="s">
        <v>193</v>
      </c>
      <c r="AC347" s="137" t="s">
        <v>193</v>
      </c>
      <c r="AD347" s="137" t="s">
        <v>193</v>
      </c>
      <c r="AE347" s="137" t="s">
        <v>53</v>
      </c>
      <c r="AF347" s="137" t="s">
        <v>193</v>
      </c>
      <c r="AG347" s="137" t="s">
        <v>193</v>
      </c>
      <c r="AH347" s="137" t="s">
        <v>193</v>
      </c>
      <c r="AI347" s="137" t="s">
        <v>193</v>
      </c>
      <c r="AJ347" s="137" t="s">
        <v>193</v>
      </c>
      <c r="AK347" s="137" t="s">
        <v>193</v>
      </c>
      <c r="AL347" s="137" t="s">
        <v>193</v>
      </c>
      <c r="AM347" s="137" t="s">
        <v>193</v>
      </c>
      <c r="AN347" s="137" t="s">
        <v>53</v>
      </c>
      <c r="AO347" s="137" t="s">
        <v>193</v>
      </c>
      <c r="AP347" s="137" t="s">
        <v>193</v>
      </c>
      <c r="AQ347" s="137" t="s">
        <v>193</v>
      </c>
      <c r="AR347" s="137" t="s">
        <v>193</v>
      </c>
      <c r="AV347" s="1">
        <f t="shared" si="44"/>
        <v>28.700000000000003</v>
      </c>
      <c r="AW347" s="1">
        <f t="shared" si="38"/>
        <v>26.5</v>
      </c>
      <c r="AX347" s="13">
        <f t="shared" si="42"/>
        <v>0.9233449477351916</v>
      </c>
      <c r="BA347" s="12">
        <f t="shared" si="39"/>
        <v>0</v>
      </c>
      <c r="BB347" s="12">
        <f t="shared" si="43"/>
        <v>0</v>
      </c>
      <c r="BC347" s="12">
        <f t="shared" si="43"/>
        <v>0</v>
      </c>
      <c r="BD347" s="12">
        <f t="shared" si="43"/>
        <v>0</v>
      </c>
      <c r="BE347" s="12">
        <f t="shared" si="43"/>
        <v>0</v>
      </c>
      <c r="BF347" s="12">
        <f t="shared" si="40"/>
        <v>0</v>
      </c>
      <c r="BJ347" s="12" t="str">
        <f t="shared" si="41"/>
        <v/>
      </c>
      <c r="BK347" s="12">
        <f>VLOOKUP(B347,Kraftvärmeprod!$B$1:$BH$549,MATCH($BA$1,Kraftvärmeprod!$B$1:$CC$1,0),FALSE)</f>
        <v>0</v>
      </c>
    </row>
    <row r="348" spans="1:63" ht="15" customHeight="1" x14ac:dyDescent="0.25">
      <c r="A348" s="137" t="s">
        <v>7</v>
      </c>
      <c r="B348" s="137" t="s">
        <v>664</v>
      </c>
      <c r="C348" s="137">
        <v>2018</v>
      </c>
      <c r="D348" s="137">
        <v>7.2</v>
      </c>
      <c r="E348" s="137">
        <v>8.06</v>
      </c>
      <c r="F348" s="137" t="s">
        <v>193</v>
      </c>
      <c r="G348" s="137">
        <v>0.62</v>
      </c>
      <c r="H348" s="137" t="s">
        <v>193</v>
      </c>
      <c r="I348" s="137" t="s">
        <v>193</v>
      </c>
      <c r="J348" s="137" t="s">
        <v>193</v>
      </c>
      <c r="K348" s="137" t="s">
        <v>193</v>
      </c>
      <c r="L348" s="137" t="s">
        <v>193</v>
      </c>
      <c r="M348" s="137" t="s">
        <v>53</v>
      </c>
      <c r="N348" s="137" t="s">
        <v>193</v>
      </c>
      <c r="O348" s="137" t="s">
        <v>193</v>
      </c>
      <c r="P348" s="137" t="s">
        <v>193</v>
      </c>
      <c r="Q348" s="137" t="s">
        <v>193</v>
      </c>
      <c r="R348" s="137" t="s">
        <v>193</v>
      </c>
      <c r="S348" s="137" t="s">
        <v>193</v>
      </c>
      <c r="T348" s="137" t="s">
        <v>193</v>
      </c>
      <c r="U348" s="137">
        <v>7.44</v>
      </c>
      <c r="V348" s="137" t="s">
        <v>193</v>
      </c>
      <c r="W348" s="137" t="s">
        <v>193</v>
      </c>
      <c r="X348" s="137" t="s">
        <v>193</v>
      </c>
      <c r="Y348" s="137" t="s">
        <v>193</v>
      </c>
      <c r="Z348" s="137" t="s">
        <v>193</v>
      </c>
      <c r="AA348" s="137" t="s">
        <v>193</v>
      </c>
      <c r="AB348" s="137" t="s">
        <v>193</v>
      </c>
      <c r="AC348" s="137" t="s">
        <v>193</v>
      </c>
      <c r="AD348" s="137" t="s">
        <v>193</v>
      </c>
      <c r="AE348" s="137" t="s">
        <v>195</v>
      </c>
      <c r="AF348" s="137">
        <v>40.5</v>
      </c>
      <c r="AG348" s="137" t="s">
        <v>193</v>
      </c>
      <c r="AH348" s="137" t="s">
        <v>193</v>
      </c>
      <c r="AI348" s="137" t="s">
        <v>193</v>
      </c>
      <c r="AJ348" s="137" t="s">
        <v>193</v>
      </c>
      <c r="AK348" s="137" t="s">
        <v>193</v>
      </c>
      <c r="AL348" s="137" t="s">
        <v>193</v>
      </c>
      <c r="AM348" s="137" t="s">
        <v>193</v>
      </c>
      <c r="AN348" s="137" t="s">
        <v>53</v>
      </c>
      <c r="AO348" s="137" t="s">
        <v>193</v>
      </c>
      <c r="AP348" s="137" t="s">
        <v>193</v>
      </c>
      <c r="AQ348" s="137" t="s">
        <v>193</v>
      </c>
      <c r="AR348" s="137" t="s">
        <v>193</v>
      </c>
      <c r="AV348" s="1">
        <f t="shared" si="44"/>
        <v>8.06</v>
      </c>
      <c r="AW348" s="1">
        <f t="shared" si="38"/>
        <v>7.2</v>
      </c>
      <c r="AX348" s="13">
        <f t="shared" si="42"/>
        <v>0.89330024813895781</v>
      </c>
      <c r="BA348" s="12">
        <f t="shared" si="39"/>
        <v>0</v>
      </c>
      <c r="BB348" s="12">
        <f t="shared" si="43"/>
        <v>0</v>
      </c>
      <c r="BC348" s="12">
        <f t="shared" si="43"/>
        <v>0</v>
      </c>
      <c r="BD348" s="12">
        <f t="shared" si="43"/>
        <v>0</v>
      </c>
      <c r="BE348" s="12">
        <f t="shared" si="43"/>
        <v>0</v>
      </c>
      <c r="BF348" s="12">
        <f t="shared" si="40"/>
        <v>0</v>
      </c>
      <c r="BJ348" s="12" t="str">
        <f t="shared" si="41"/>
        <v/>
      </c>
      <c r="BK348" s="12">
        <f>VLOOKUP(B348,Kraftvärmeprod!$B$1:$BH$549,MATCH($BA$1,Kraftvärmeprod!$B$1:$CC$1,0),FALSE)</f>
        <v>0</v>
      </c>
    </row>
    <row r="349" spans="1:63" ht="15" customHeight="1" x14ac:dyDescent="0.25">
      <c r="A349" s="137" t="s">
        <v>7</v>
      </c>
      <c r="B349" s="137" t="s">
        <v>8</v>
      </c>
      <c r="C349" s="137">
        <v>2018</v>
      </c>
      <c r="D349" s="137" t="s">
        <v>193</v>
      </c>
      <c r="E349" s="137" t="s">
        <v>193</v>
      </c>
      <c r="F349" s="137" t="s">
        <v>193</v>
      </c>
      <c r="G349" s="137" t="s">
        <v>193</v>
      </c>
      <c r="H349" s="137" t="s">
        <v>193</v>
      </c>
      <c r="I349" s="137" t="s">
        <v>193</v>
      </c>
      <c r="J349" s="137" t="s">
        <v>193</v>
      </c>
      <c r="K349" s="137" t="s">
        <v>193</v>
      </c>
      <c r="L349" s="137" t="s">
        <v>193</v>
      </c>
      <c r="M349" s="137" t="s">
        <v>53</v>
      </c>
      <c r="N349" s="137" t="s">
        <v>193</v>
      </c>
      <c r="O349" s="137" t="s">
        <v>193</v>
      </c>
      <c r="P349" s="137" t="s">
        <v>193</v>
      </c>
      <c r="Q349" s="137" t="s">
        <v>193</v>
      </c>
      <c r="R349" s="137" t="s">
        <v>193</v>
      </c>
      <c r="S349" s="137" t="s">
        <v>193</v>
      </c>
      <c r="T349" s="137" t="s">
        <v>193</v>
      </c>
      <c r="U349" s="137" t="s">
        <v>193</v>
      </c>
      <c r="V349" s="137" t="s">
        <v>193</v>
      </c>
      <c r="W349" s="137" t="s">
        <v>193</v>
      </c>
      <c r="X349" s="137" t="s">
        <v>193</v>
      </c>
      <c r="Y349" s="137" t="s">
        <v>193</v>
      </c>
      <c r="Z349" s="137" t="s">
        <v>193</v>
      </c>
      <c r="AA349" s="137" t="s">
        <v>193</v>
      </c>
      <c r="AB349" s="137" t="s">
        <v>193</v>
      </c>
      <c r="AC349" s="137" t="s">
        <v>193</v>
      </c>
      <c r="AD349" s="137" t="s">
        <v>193</v>
      </c>
      <c r="AE349" s="137" t="s">
        <v>199</v>
      </c>
      <c r="AF349" s="137" t="s">
        <v>193</v>
      </c>
      <c r="AG349" s="137" t="s">
        <v>193</v>
      </c>
      <c r="AH349" s="137" t="s">
        <v>193</v>
      </c>
      <c r="AI349" s="137" t="s">
        <v>193</v>
      </c>
      <c r="AJ349" s="137" t="s">
        <v>193</v>
      </c>
      <c r="AK349" s="137" t="s">
        <v>193</v>
      </c>
      <c r="AL349" s="137" t="s">
        <v>193</v>
      </c>
      <c r="AM349" s="137" t="s">
        <v>193</v>
      </c>
      <c r="AN349" s="137" t="s">
        <v>53</v>
      </c>
      <c r="AO349" s="137" t="s">
        <v>193</v>
      </c>
      <c r="AP349" s="137" t="s">
        <v>193</v>
      </c>
      <c r="AQ349" s="137" t="s">
        <v>193</v>
      </c>
      <c r="AR349" s="137" t="s">
        <v>193</v>
      </c>
      <c r="AV349" s="1">
        <f t="shared" si="44"/>
        <v>0</v>
      </c>
      <c r="AW349" s="1">
        <f t="shared" si="38"/>
        <v>0</v>
      </c>
      <c r="AX349" s="13" t="str">
        <f t="shared" si="42"/>
        <v/>
      </c>
      <c r="BA349" s="12">
        <f t="shared" si="39"/>
        <v>0</v>
      </c>
      <c r="BB349" s="12">
        <f t="shared" si="43"/>
        <v>0</v>
      </c>
      <c r="BC349" s="12">
        <f t="shared" si="43"/>
        <v>0</v>
      </c>
      <c r="BD349" s="12">
        <f t="shared" si="43"/>
        <v>0</v>
      </c>
      <c r="BE349" s="12">
        <f t="shared" si="43"/>
        <v>0</v>
      </c>
      <c r="BF349" s="12">
        <f t="shared" si="40"/>
        <v>0</v>
      </c>
      <c r="BJ349" s="12" t="str">
        <f t="shared" si="41"/>
        <v/>
      </c>
      <c r="BK349" s="12">
        <f>VLOOKUP(B349,Kraftvärmeprod!$B$1:$BH$549,MATCH($BA$1,Kraftvärmeprod!$B$1:$CC$1,0),FALSE)</f>
        <v>0</v>
      </c>
    </row>
    <row r="350" spans="1:63" ht="15" customHeight="1" x14ac:dyDescent="0.25">
      <c r="A350" s="137" t="s">
        <v>665</v>
      </c>
      <c r="B350" s="137" t="s">
        <v>666</v>
      </c>
      <c r="C350" s="137">
        <v>2018</v>
      </c>
      <c r="D350" s="137" t="s">
        <v>193</v>
      </c>
      <c r="E350" s="137" t="s">
        <v>193</v>
      </c>
      <c r="F350" s="137" t="s">
        <v>193</v>
      </c>
      <c r="G350" s="137" t="s">
        <v>193</v>
      </c>
      <c r="H350" s="137" t="s">
        <v>193</v>
      </c>
      <c r="I350" s="137" t="s">
        <v>193</v>
      </c>
      <c r="J350" s="137" t="s">
        <v>193</v>
      </c>
      <c r="K350" s="137" t="s">
        <v>193</v>
      </c>
      <c r="L350" s="137" t="s">
        <v>193</v>
      </c>
      <c r="M350" s="137" t="s">
        <v>53</v>
      </c>
      <c r="N350" s="137" t="s">
        <v>193</v>
      </c>
      <c r="O350" s="137" t="s">
        <v>193</v>
      </c>
      <c r="P350" s="137" t="s">
        <v>193</v>
      </c>
      <c r="Q350" s="137" t="s">
        <v>193</v>
      </c>
      <c r="R350" s="137" t="s">
        <v>193</v>
      </c>
      <c r="S350" s="137" t="s">
        <v>193</v>
      </c>
      <c r="T350" s="137" t="s">
        <v>193</v>
      </c>
      <c r="U350" s="137" t="s">
        <v>193</v>
      </c>
      <c r="V350" s="137" t="s">
        <v>193</v>
      </c>
      <c r="W350" s="137" t="s">
        <v>193</v>
      </c>
      <c r="X350" s="137" t="s">
        <v>193</v>
      </c>
      <c r="Y350" s="137" t="s">
        <v>193</v>
      </c>
      <c r="Z350" s="137" t="s">
        <v>193</v>
      </c>
      <c r="AA350" s="137" t="s">
        <v>193</v>
      </c>
      <c r="AB350" s="137" t="s">
        <v>193</v>
      </c>
      <c r="AC350" s="137" t="s">
        <v>193</v>
      </c>
      <c r="AD350" s="137" t="s">
        <v>193</v>
      </c>
      <c r="AE350" s="137" t="s">
        <v>199</v>
      </c>
      <c r="AF350" s="137" t="s">
        <v>193</v>
      </c>
      <c r="AG350" s="137" t="s">
        <v>193</v>
      </c>
      <c r="AH350" s="137" t="s">
        <v>193</v>
      </c>
      <c r="AI350" s="137" t="s">
        <v>193</v>
      </c>
      <c r="AJ350" s="137" t="s">
        <v>193</v>
      </c>
      <c r="AK350" s="137" t="s">
        <v>193</v>
      </c>
      <c r="AL350" s="137" t="s">
        <v>193</v>
      </c>
      <c r="AM350" s="137" t="s">
        <v>193</v>
      </c>
      <c r="AN350" s="137" t="s">
        <v>53</v>
      </c>
      <c r="AO350" s="137" t="s">
        <v>193</v>
      </c>
      <c r="AP350" s="137" t="s">
        <v>193</v>
      </c>
      <c r="AQ350" s="137" t="s">
        <v>193</v>
      </c>
      <c r="AR350" s="137" t="s">
        <v>193</v>
      </c>
      <c r="AV350" s="1">
        <f t="shared" si="44"/>
        <v>0</v>
      </c>
      <c r="AW350" s="1">
        <f t="shared" si="38"/>
        <v>0</v>
      </c>
      <c r="AX350" s="13" t="str">
        <f t="shared" si="42"/>
        <v/>
      </c>
      <c r="BA350" s="12">
        <f t="shared" si="39"/>
        <v>0</v>
      </c>
      <c r="BB350" s="12">
        <f t="shared" si="43"/>
        <v>0</v>
      </c>
      <c r="BC350" s="12">
        <f t="shared" si="43"/>
        <v>0</v>
      </c>
      <c r="BD350" s="12">
        <f t="shared" si="43"/>
        <v>0</v>
      </c>
      <c r="BE350" s="12">
        <f t="shared" si="43"/>
        <v>0</v>
      </c>
      <c r="BF350" s="12">
        <f t="shared" si="40"/>
        <v>0</v>
      </c>
      <c r="BJ350" s="12" t="str">
        <f t="shared" si="41"/>
        <v/>
      </c>
      <c r="BK350" s="12">
        <f>VLOOKUP(B350,Kraftvärmeprod!$B$1:$BH$549,MATCH($BA$1,Kraftvärmeprod!$B$1:$CC$1,0),FALSE)</f>
        <v>0</v>
      </c>
    </row>
    <row r="351" spans="1:63" ht="15" customHeight="1" x14ac:dyDescent="0.25">
      <c r="A351" s="137" t="s">
        <v>665</v>
      </c>
      <c r="B351" s="137" t="s">
        <v>667</v>
      </c>
      <c r="C351" s="137">
        <v>2018</v>
      </c>
      <c r="D351" s="137">
        <v>5.4320000000000004</v>
      </c>
      <c r="E351" s="137">
        <v>6.03</v>
      </c>
      <c r="F351" s="137" t="s">
        <v>193</v>
      </c>
      <c r="G351" s="137" t="s">
        <v>193</v>
      </c>
      <c r="H351" s="137" t="s">
        <v>193</v>
      </c>
      <c r="I351" s="137" t="s">
        <v>193</v>
      </c>
      <c r="J351" s="137" t="s">
        <v>193</v>
      </c>
      <c r="K351" s="137" t="s">
        <v>193</v>
      </c>
      <c r="L351" s="137" t="s">
        <v>193</v>
      </c>
      <c r="M351" s="137" t="s">
        <v>53</v>
      </c>
      <c r="N351" s="137" t="s">
        <v>193</v>
      </c>
      <c r="O351" s="137" t="s">
        <v>193</v>
      </c>
      <c r="P351" s="137">
        <v>0.45</v>
      </c>
      <c r="Q351" s="137" t="s">
        <v>193</v>
      </c>
      <c r="R351" s="137" t="s">
        <v>193</v>
      </c>
      <c r="S351" s="137">
        <v>5.18</v>
      </c>
      <c r="T351" s="137" t="s">
        <v>193</v>
      </c>
      <c r="U351" s="137" t="s">
        <v>193</v>
      </c>
      <c r="V351" s="137" t="s">
        <v>193</v>
      </c>
      <c r="W351" s="137" t="s">
        <v>193</v>
      </c>
      <c r="X351" s="137" t="s">
        <v>193</v>
      </c>
      <c r="Y351" s="137" t="s">
        <v>193</v>
      </c>
      <c r="Z351" s="137">
        <v>0.4</v>
      </c>
      <c r="AA351" s="137" t="s">
        <v>193</v>
      </c>
      <c r="AB351" s="137" t="s">
        <v>193</v>
      </c>
      <c r="AC351" s="137" t="s">
        <v>193</v>
      </c>
      <c r="AD351" s="137" t="s">
        <v>193</v>
      </c>
      <c r="AE351" s="137" t="s">
        <v>199</v>
      </c>
      <c r="AF351" s="137" t="s">
        <v>193</v>
      </c>
      <c r="AG351" s="137" t="s">
        <v>193</v>
      </c>
      <c r="AH351" s="137" t="s">
        <v>193</v>
      </c>
      <c r="AI351" s="137" t="s">
        <v>193</v>
      </c>
      <c r="AJ351" s="137" t="s">
        <v>193</v>
      </c>
      <c r="AK351" s="137" t="s">
        <v>193</v>
      </c>
      <c r="AL351" s="137" t="s">
        <v>193</v>
      </c>
      <c r="AM351" s="137" t="s">
        <v>193</v>
      </c>
      <c r="AN351" s="137" t="s">
        <v>53</v>
      </c>
      <c r="AO351" s="137" t="s">
        <v>193</v>
      </c>
      <c r="AP351" s="137" t="s">
        <v>193</v>
      </c>
      <c r="AQ351" s="137" t="s">
        <v>193</v>
      </c>
      <c r="AR351" s="137" t="s">
        <v>193</v>
      </c>
      <c r="AV351" s="1">
        <f t="shared" si="44"/>
        <v>6.03</v>
      </c>
      <c r="AW351" s="1">
        <f t="shared" si="38"/>
        <v>5.4320000000000004</v>
      </c>
      <c r="AX351" s="13">
        <f t="shared" si="42"/>
        <v>0.90082918739635165</v>
      </c>
      <c r="BA351" s="12">
        <f t="shared" si="39"/>
        <v>0</v>
      </c>
      <c r="BB351" s="12">
        <f t="shared" si="43"/>
        <v>0</v>
      </c>
      <c r="BC351" s="12">
        <f t="shared" si="43"/>
        <v>0</v>
      </c>
      <c r="BD351" s="12">
        <f t="shared" si="43"/>
        <v>0</v>
      </c>
      <c r="BE351" s="12">
        <f t="shared" si="43"/>
        <v>0</v>
      </c>
      <c r="BF351" s="12">
        <f t="shared" si="40"/>
        <v>0</v>
      </c>
      <c r="BJ351" s="12" t="str">
        <f t="shared" si="41"/>
        <v/>
      </c>
      <c r="BK351" s="12">
        <f>VLOOKUP(B351,Kraftvärmeprod!$B$1:$BH$549,MATCH($BA$1,Kraftvärmeprod!$B$1:$CC$1,0),FALSE)</f>
        <v>0</v>
      </c>
    </row>
    <row r="352" spans="1:63" ht="15" customHeight="1" x14ac:dyDescent="0.25">
      <c r="A352" s="137" t="s">
        <v>665</v>
      </c>
      <c r="B352" s="137" t="s">
        <v>668</v>
      </c>
      <c r="C352" s="137">
        <v>2018</v>
      </c>
      <c r="D352" s="137">
        <v>9.1150000000000002</v>
      </c>
      <c r="E352" s="137">
        <v>10.14</v>
      </c>
      <c r="F352" s="137" t="s">
        <v>193</v>
      </c>
      <c r="G352" s="137" t="s">
        <v>193</v>
      </c>
      <c r="H352" s="137" t="s">
        <v>193</v>
      </c>
      <c r="I352" s="137" t="s">
        <v>193</v>
      </c>
      <c r="J352" s="137" t="s">
        <v>193</v>
      </c>
      <c r="K352" s="137" t="s">
        <v>193</v>
      </c>
      <c r="L352" s="137" t="s">
        <v>193</v>
      </c>
      <c r="M352" s="137" t="s">
        <v>53</v>
      </c>
      <c r="N352" s="137" t="s">
        <v>193</v>
      </c>
      <c r="O352" s="137" t="s">
        <v>193</v>
      </c>
      <c r="P352" s="137" t="s">
        <v>193</v>
      </c>
      <c r="Q352" s="137" t="s">
        <v>193</v>
      </c>
      <c r="R352" s="137" t="s">
        <v>193</v>
      </c>
      <c r="S352" s="137">
        <v>9.89</v>
      </c>
      <c r="T352" s="137" t="s">
        <v>194</v>
      </c>
      <c r="U352" s="137" t="s">
        <v>193</v>
      </c>
      <c r="V352" s="137" t="s">
        <v>193</v>
      </c>
      <c r="W352" s="137" t="s">
        <v>193</v>
      </c>
      <c r="X352" s="137" t="s">
        <v>193</v>
      </c>
      <c r="Y352" s="137" t="s">
        <v>193</v>
      </c>
      <c r="Z352" s="137">
        <v>0.25</v>
      </c>
      <c r="AA352" s="137" t="s">
        <v>193</v>
      </c>
      <c r="AB352" s="137" t="s">
        <v>193</v>
      </c>
      <c r="AC352" s="137" t="s">
        <v>193</v>
      </c>
      <c r="AD352" s="137" t="s">
        <v>193</v>
      </c>
      <c r="AE352" s="137" t="s">
        <v>199</v>
      </c>
      <c r="AF352" s="137" t="s">
        <v>193</v>
      </c>
      <c r="AG352" s="137" t="s">
        <v>193</v>
      </c>
      <c r="AH352" s="137" t="s">
        <v>193</v>
      </c>
      <c r="AI352" s="137" t="s">
        <v>193</v>
      </c>
      <c r="AJ352" s="137" t="s">
        <v>193</v>
      </c>
      <c r="AK352" s="137" t="s">
        <v>193</v>
      </c>
      <c r="AL352" s="137" t="s">
        <v>193</v>
      </c>
      <c r="AM352" s="137" t="s">
        <v>193</v>
      </c>
      <c r="AN352" s="137" t="s">
        <v>53</v>
      </c>
      <c r="AO352" s="137" t="s">
        <v>193</v>
      </c>
      <c r="AP352" s="137" t="s">
        <v>193</v>
      </c>
      <c r="AQ352" s="137" t="s">
        <v>193</v>
      </c>
      <c r="AR352" s="137" t="s">
        <v>193</v>
      </c>
      <c r="AV352" s="1">
        <f t="shared" si="44"/>
        <v>10.14</v>
      </c>
      <c r="AW352" s="1">
        <f t="shared" si="38"/>
        <v>9.1150000000000002</v>
      </c>
      <c r="AX352" s="13">
        <f t="shared" si="42"/>
        <v>0.89891518737672582</v>
      </c>
      <c r="BA352" s="12">
        <f t="shared" si="39"/>
        <v>0</v>
      </c>
      <c r="BB352" s="12">
        <f t="shared" si="43"/>
        <v>0</v>
      </c>
      <c r="BC352" s="12">
        <f t="shared" si="43"/>
        <v>0</v>
      </c>
      <c r="BD352" s="12">
        <f t="shared" si="43"/>
        <v>0</v>
      </c>
      <c r="BE352" s="12">
        <f t="shared" si="43"/>
        <v>0</v>
      </c>
      <c r="BF352" s="12">
        <f t="shared" si="40"/>
        <v>0</v>
      </c>
      <c r="BJ352" s="12" t="str">
        <f t="shared" si="41"/>
        <v/>
      </c>
      <c r="BK352" s="12">
        <f>VLOOKUP(B352,Kraftvärmeprod!$B$1:$BH$549,MATCH($BA$1,Kraftvärmeprod!$B$1:$CC$1,0),FALSE)</f>
        <v>0</v>
      </c>
    </row>
    <row r="353" spans="1:63" ht="15" customHeight="1" x14ac:dyDescent="0.25">
      <c r="A353" s="137" t="s">
        <v>665</v>
      </c>
      <c r="B353" s="137" t="s">
        <v>669</v>
      </c>
      <c r="C353" s="137">
        <v>2018</v>
      </c>
      <c r="D353" s="137">
        <v>14.58</v>
      </c>
      <c r="E353" s="137">
        <v>16.2</v>
      </c>
      <c r="F353" s="137" t="s">
        <v>193</v>
      </c>
      <c r="G353" s="137" t="s">
        <v>193</v>
      </c>
      <c r="H353" s="137" t="s">
        <v>193</v>
      </c>
      <c r="I353" s="137" t="s">
        <v>193</v>
      </c>
      <c r="J353" s="137" t="s">
        <v>193</v>
      </c>
      <c r="K353" s="137" t="s">
        <v>193</v>
      </c>
      <c r="L353" s="137" t="s">
        <v>193</v>
      </c>
      <c r="M353" s="137" t="s">
        <v>53</v>
      </c>
      <c r="N353" s="137" t="s">
        <v>193</v>
      </c>
      <c r="O353" s="137" t="s">
        <v>193</v>
      </c>
      <c r="P353" s="137" t="s">
        <v>193</v>
      </c>
      <c r="Q353" s="137" t="s">
        <v>193</v>
      </c>
      <c r="R353" s="137" t="s">
        <v>193</v>
      </c>
      <c r="S353" s="137">
        <v>15.43</v>
      </c>
      <c r="T353" s="137" t="s">
        <v>193</v>
      </c>
      <c r="U353" s="137" t="s">
        <v>193</v>
      </c>
      <c r="V353" s="137" t="s">
        <v>193</v>
      </c>
      <c r="W353" s="137" t="s">
        <v>193</v>
      </c>
      <c r="X353" s="137" t="s">
        <v>193</v>
      </c>
      <c r="Y353" s="137" t="s">
        <v>193</v>
      </c>
      <c r="Z353" s="137">
        <v>0.77</v>
      </c>
      <c r="AA353" s="137" t="s">
        <v>193</v>
      </c>
      <c r="AB353" s="137" t="s">
        <v>193</v>
      </c>
      <c r="AC353" s="137" t="s">
        <v>193</v>
      </c>
      <c r="AD353" s="137" t="s">
        <v>193</v>
      </c>
      <c r="AE353" s="137" t="s">
        <v>199</v>
      </c>
      <c r="AF353" s="137" t="s">
        <v>193</v>
      </c>
      <c r="AG353" s="137" t="s">
        <v>193</v>
      </c>
      <c r="AH353" s="137" t="s">
        <v>193</v>
      </c>
      <c r="AI353" s="137" t="s">
        <v>193</v>
      </c>
      <c r="AJ353" s="137" t="s">
        <v>193</v>
      </c>
      <c r="AK353" s="137" t="s">
        <v>193</v>
      </c>
      <c r="AL353" s="137" t="s">
        <v>193</v>
      </c>
      <c r="AM353" s="137" t="s">
        <v>193</v>
      </c>
      <c r="AN353" s="137" t="s">
        <v>53</v>
      </c>
      <c r="AO353" s="137" t="s">
        <v>193</v>
      </c>
      <c r="AP353" s="137" t="s">
        <v>193</v>
      </c>
      <c r="AQ353" s="137" t="s">
        <v>193</v>
      </c>
      <c r="AR353" s="137" t="s">
        <v>193</v>
      </c>
      <c r="AV353" s="1">
        <f t="shared" si="44"/>
        <v>16.2</v>
      </c>
      <c r="AW353" s="1">
        <f t="shared" si="38"/>
        <v>14.58</v>
      </c>
      <c r="AX353" s="13">
        <f t="shared" si="42"/>
        <v>0.9</v>
      </c>
      <c r="BA353" s="12">
        <f t="shared" si="39"/>
        <v>0</v>
      </c>
      <c r="BB353" s="12">
        <f t="shared" si="43"/>
        <v>0</v>
      </c>
      <c r="BC353" s="12">
        <f t="shared" si="43"/>
        <v>0</v>
      </c>
      <c r="BD353" s="12">
        <f t="shared" si="43"/>
        <v>0</v>
      </c>
      <c r="BE353" s="12">
        <f t="shared" si="43"/>
        <v>0</v>
      </c>
      <c r="BF353" s="12">
        <f t="shared" si="40"/>
        <v>0</v>
      </c>
      <c r="BJ353" s="12" t="str">
        <f t="shared" si="41"/>
        <v/>
      </c>
      <c r="BK353" s="12">
        <f>VLOOKUP(B353,Kraftvärmeprod!$B$1:$BH$549,MATCH($BA$1,Kraftvärmeprod!$B$1:$CC$1,0),FALSE)</f>
        <v>0</v>
      </c>
    </row>
    <row r="354" spans="1:63" ht="15" customHeight="1" x14ac:dyDescent="0.25">
      <c r="A354" s="137" t="s">
        <v>665</v>
      </c>
      <c r="B354" s="137" t="s">
        <v>670</v>
      </c>
      <c r="C354" s="137">
        <v>2018</v>
      </c>
      <c r="D354" s="137">
        <v>17.917999999999999</v>
      </c>
      <c r="E354" s="137">
        <v>18.558</v>
      </c>
      <c r="F354" s="137" t="s">
        <v>193</v>
      </c>
      <c r="G354" s="137">
        <v>0.69599999999999995</v>
      </c>
      <c r="H354" s="137">
        <v>4.2000000000000003E-2</v>
      </c>
      <c r="I354" s="137" t="s">
        <v>193</v>
      </c>
      <c r="J354" s="137" t="s">
        <v>193</v>
      </c>
      <c r="K354" s="137" t="s">
        <v>193</v>
      </c>
      <c r="L354" s="137" t="s">
        <v>193</v>
      </c>
      <c r="M354" s="137" t="s">
        <v>53</v>
      </c>
      <c r="N354" s="137" t="s">
        <v>193</v>
      </c>
      <c r="O354" s="137">
        <v>11.85</v>
      </c>
      <c r="P354" s="137">
        <v>1.5</v>
      </c>
      <c r="Q354" s="137" t="s">
        <v>193</v>
      </c>
      <c r="R354" s="137" t="s">
        <v>193</v>
      </c>
      <c r="S354" s="137" t="s">
        <v>193</v>
      </c>
      <c r="T354" s="137" t="s">
        <v>194</v>
      </c>
      <c r="U354" s="137" t="s">
        <v>193</v>
      </c>
      <c r="V354" s="137" t="s">
        <v>193</v>
      </c>
      <c r="W354" s="137" t="s">
        <v>193</v>
      </c>
      <c r="X354" s="137" t="s">
        <v>193</v>
      </c>
      <c r="Y354" s="137" t="s">
        <v>193</v>
      </c>
      <c r="Z354" s="137">
        <v>0.77</v>
      </c>
      <c r="AA354" s="137" t="s">
        <v>193</v>
      </c>
      <c r="AB354" s="137" t="s">
        <v>193</v>
      </c>
      <c r="AC354" s="137" t="s">
        <v>193</v>
      </c>
      <c r="AD354" s="137" t="s">
        <v>193</v>
      </c>
      <c r="AE354" s="137" t="s">
        <v>199</v>
      </c>
      <c r="AF354" s="137" t="s">
        <v>193</v>
      </c>
      <c r="AG354" s="137">
        <v>3.7</v>
      </c>
      <c r="AH354" s="137" t="s">
        <v>193</v>
      </c>
      <c r="AI354" s="137" t="s">
        <v>193</v>
      </c>
      <c r="AJ354" s="137" t="s">
        <v>193</v>
      </c>
      <c r="AK354" s="137" t="s">
        <v>193</v>
      </c>
      <c r="AL354" s="137" t="s">
        <v>193</v>
      </c>
      <c r="AM354" s="137" t="s">
        <v>193</v>
      </c>
      <c r="AN354" s="137" t="s">
        <v>53</v>
      </c>
      <c r="AO354" s="137">
        <v>100</v>
      </c>
      <c r="AP354" s="137" t="s">
        <v>193</v>
      </c>
      <c r="AQ354" s="137" t="s">
        <v>193</v>
      </c>
      <c r="AR354" s="137" t="s">
        <v>193</v>
      </c>
      <c r="AV354" s="1">
        <f t="shared" si="44"/>
        <v>18.558</v>
      </c>
      <c r="AW354" s="1">
        <f t="shared" si="38"/>
        <v>17.917999999999999</v>
      </c>
      <c r="AX354" s="13">
        <f t="shared" si="42"/>
        <v>0.96551352516434963</v>
      </c>
      <c r="BA354" s="12">
        <f t="shared" si="39"/>
        <v>0</v>
      </c>
      <c r="BB354" s="12">
        <f t="shared" si="43"/>
        <v>0</v>
      </c>
      <c r="BC354" s="12">
        <f t="shared" si="43"/>
        <v>0</v>
      </c>
      <c r="BD354" s="12">
        <f t="shared" si="43"/>
        <v>0</v>
      </c>
      <c r="BE354" s="12">
        <f t="shared" si="43"/>
        <v>0</v>
      </c>
      <c r="BF354" s="12">
        <f t="shared" si="40"/>
        <v>0</v>
      </c>
      <c r="BJ354" s="12" t="str">
        <f t="shared" si="41"/>
        <v>ja</v>
      </c>
      <c r="BK354" s="12">
        <f>VLOOKUP(B354,Kraftvärmeprod!$B$1:$BH$549,MATCH($BA$1,Kraftvärmeprod!$B$1:$CC$1,0),FALSE)</f>
        <v>16.149999999999999</v>
      </c>
    </row>
    <row r="355" spans="1:63" ht="15" customHeight="1" x14ac:dyDescent="0.25">
      <c r="A355" s="137" t="s">
        <v>671</v>
      </c>
      <c r="B355" s="137" t="s">
        <v>672</v>
      </c>
      <c r="C355" s="137">
        <v>2018</v>
      </c>
      <c r="D355" s="137">
        <v>2.5059999999999998</v>
      </c>
      <c r="E355" s="137">
        <v>2.7770000000000001</v>
      </c>
      <c r="F355" s="137" t="s">
        <v>193</v>
      </c>
      <c r="G355" s="137">
        <v>2.4E-2</v>
      </c>
      <c r="H355" s="137" t="s">
        <v>193</v>
      </c>
      <c r="I355" s="137" t="s">
        <v>193</v>
      </c>
      <c r="J355" s="137" t="s">
        <v>193</v>
      </c>
      <c r="K355" s="137" t="s">
        <v>193</v>
      </c>
      <c r="L355" s="137" t="s">
        <v>193</v>
      </c>
      <c r="M355" s="137" t="s">
        <v>53</v>
      </c>
      <c r="N355" s="137" t="s">
        <v>193</v>
      </c>
      <c r="O355" s="137" t="s">
        <v>193</v>
      </c>
      <c r="P355" s="137" t="s">
        <v>193</v>
      </c>
      <c r="Q355" s="137" t="s">
        <v>193</v>
      </c>
      <c r="R355" s="137" t="s">
        <v>193</v>
      </c>
      <c r="S355" s="137" t="s">
        <v>193</v>
      </c>
      <c r="T355" s="137" t="s">
        <v>193</v>
      </c>
      <c r="U355" s="137">
        <v>0.10299999999999999</v>
      </c>
      <c r="V355" s="137">
        <v>2.65</v>
      </c>
      <c r="W355" s="137" t="s">
        <v>193</v>
      </c>
      <c r="X355" s="137" t="s">
        <v>193</v>
      </c>
      <c r="Y355" s="137" t="s">
        <v>193</v>
      </c>
      <c r="Z355" s="137" t="s">
        <v>193</v>
      </c>
      <c r="AA355" s="137" t="s">
        <v>193</v>
      </c>
      <c r="AB355" s="137" t="s">
        <v>193</v>
      </c>
      <c r="AC355" s="137" t="s">
        <v>193</v>
      </c>
      <c r="AD355" s="137" t="s">
        <v>193</v>
      </c>
      <c r="AE355" s="137" t="s">
        <v>53</v>
      </c>
      <c r="AF355" s="137" t="s">
        <v>193</v>
      </c>
      <c r="AG355" s="137" t="s">
        <v>193</v>
      </c>
      <c r="AH355" s="137" t="s">
        <v>193</v>
      </c>
      <c r="AI355" s="137" t="s">
        <v>193</v>
      </c>
      <c r="AJ355" s="137" t="s">
        <v>193</v>
      </c>
      <c r="AK355" s="137" t="s">
        <v>193</v>
      </c>
      <c r="AL355" s="137" t="s">
        <v>193</v>
      </c>
      <c r="AM355" s="137" t="s">
        <v>193</v>
      </c>
      <c r="AN355" s="137" t="s">
        <v>53</v>
      </c>
      <c r="AO355" s="137" t="s">
        <v>193</v>
      </c>
      <c r="AP355" s="137" t="s">
        <v>193</v>
      </c>
      <c r="AQ355" s="137" t="s">
        <v>193</v>
      </c>
      <c r="AR355" s="137" t="s">
        <v>193</v>
      </c>
      <c r="AV355" s="1">
        <f t="shared" si="44"/>
        <v>2.7770000000000001</v>
      </c>
      <c r="AW355" s="1">
        <f t="shared" si="38"/>
        <v>2.5059999999999998</v>
      </c>
      <c r="AX355" s="13">
        <f t="shared" si="42"/>
        <v>0.90241267554915361</v>
      </c>
      <c r="BA355" s="12">
        <f t="shared" si="39"/>
        <v>0</v>
      </c>
      <c r="BB355" s="12">
        <f t="shared" si="43"/>
        <v>0</v>
      </c>
      <c r="BC355" s="12">
        <f t="shared" si="43"/>
        <v>0</v>
      </c>
      <c r="BD355" s="12">
        <f t="shared" si="43"/>
        <v>0</v>
      </c>
      <c r="BE355" s="12">
        <f t="shared" si="43"/>
        <v>0</v>
      </c>
      <c r="BF355" s="12">
        <f t="shared" si="40"/>
        <v>0</v>
      </c>
      <c r="BJ355" s="12" t="str">
        <f t="shared" si="41"/>
        <v/>
      </c>
      <c r="BK355" s="12">
        <f>VLOOKUP(B355,Kraftvärmeprod!$B$1:$BH$549,MATCH($BA$1,Kraftvärmeprod!$B$1:$CC$1,0),FALSE)</f>
        <v>0</v>
      </c>
    </row>
    <row r="356" spans="1:63" ht="15" customHeight="1" x14ac:dyDescent="0.25">
      <c r="A356" s="137" t="s">
        <v>671</v>
      </c>
      <c r="B356" s="137" t="s">
        <v>673</v>
      </c>
      <c r="C356" s="137">
        <v>2018</v>
      </c>
      <c r="D356" s="137" t="s">
        <v>193</v>
      </c>
      <c r="E356" s="137" t="s">
        <v>193</v>
      </c>
      <c r="F356" s="137" t="s">
        <v>193</v>
      </c>
      <c r="G356" s="137" t="s">
        <v>193</v>
      </c>
      <c r="H356" s="137" t="s">
        <v>193</v>
      </c>
      <c r="I356" s="137" t="s">
        <v>193</v>
      </c>
      <c r="J356" s="137" t="s">
        <v>193</v>
      </c>
      <c r="K356" s="137" t="s">
        <v>193</v>
      </c>
      <c r="L356" s="137" t="s">
        <v>193</v>
      </c>
      <c r="M356" s="137" t="s">
        <v>53</v>
      </c>
      <c r="N356" s="137" t="s">
        <v>193</v>
      </c>
      <c r="O356" s="137" t="s">
        <v>193</v>
      </c>
      <c r="P356" s="137" t="s">
        <v>193</v>
      </c>
      <c r="Q356" s="137" t="s">
        <v>193</v>
      </c>
      <c r="R356" s="137" t="s">
        <v>193</v>
      </c>
      <c r="S356" s="137" t="s">
        <v>193</v>
      </c>
      <c r="T356" s="137" t="s">
        <v>193</v>
      </c>
      <c r="U356" s="137" t="s">
        <v>193</v>
      </c>
      <c r="V356" s="137" t="s">
        <v>193</v>
      </c>
      <c r="W356" s="137" t="s">
        <v>193</v>
      </c>
      <c r="X356" s="137" t="s">
        <v>193</v>
      </c>
      <c r="Y356" s="137" t="s">
        <v>193</v>
      </c>
      <c r="Z356" s="137" t="s">
        <v>193</v>
      </c>
      <c r="AA356" s="137" t="s">
        <v>193</v>
      </c>
      <c r="AB356" s="137" t="s">
        <v>193</v>
      </c>
      <c r="AC356" s="137" t="s">
        <v>193</v>
      </c>
      <c r="AD356" s="137" t="s">
        <v>193</v>
      </c>
      <c r="AE356" s="137" t="s">
        <v>53</v>
      </c>
      <c r="AF356" s="137" t="s">
        <v>193</v>
      </c>
      <c r="AG356" s="137" t="s">
        <v>193</v>
      </c>
      <c r="AH356" s="137" t="s">
        <v>193</v>
      </c>
      <c r="AI356" s="137" t="s">
        <v>193</v>
      </c>
      <c r="AJ356" s="137" t="s">
        <v>193</v>
      </c>
      <c r="AK356" s="137" t="s">
        <v>193</v>
      </c>
      <c r="AL356" s="137" t="s">
        <v>193</v>
      </c>
      <c r="AM356" s="137" t="s">
        <v>193</v>
      </c>
      <c r="AN356" s="137" t="s">
        <v>53</v>
      </c>
      <c r="AO356" s="137" t="s">
        <v>193</v>
      </c>
      <c r="AP356" s="137" t="s">
        <v>193</v>
      </c>
      <c r="AQ356" s="137" t="s">
        <v>193</v>
      </c>
      <c r="AR356" s="137" t="s">
        <v>193</v>
      </c>
      <c r="AV356" s="1">
        <f t="shared" si="44"/>
        <v>0</v>
      </c>
      <c r="AW356" s="1">
        <f t="shared" si="38"/>
        <v>0</v>
      </c>
      <c r="AX356" s="13" t="str">
        <f t="shared" si="42"/>
        <v/>
      </c>
      <c r="BA356" s="12">
        <f t="shared" si="39"/>
        <v>0</v>
      </c>
      <c r="BB356" s="12">
        <f t="shared" si="43"/>
        <v>0</v>
      </c>
      <c r="BC356" s="12">
        <f t="shared" si="43"/>
        <v>0</v>
      </c>
      <c r="BD356" s="12">
        <f t="shared" si="43"/>
        <v>0</v>
      </c>
      <c r="BE356" s="12">
        <f t="shared" si="43"/>
        <v>0</v>
      </c>
      <c r="BF356" s="12">
        <f t="shared" si="40"/>
        <v>0</v>
      </c>
      <c r="BJ356" s="12" t="str">
        <f t="shared" si="41"/>
        <v/>
      </c>
      <c r="BK356" s="12">
        <f>VLOOKUP(B356,Kraftvärmeprod!$B$1:$BH$549,MATCH($BA$1,Kraftvärmeprod!$B$1:$CC$1,0),FALSE)</f>
        <v>28</v>
      </c>
    </row>
    <row r="357" spans="1:63" ht="15" customHeight="1" x14ac:dyDescent="0.25">
      <c r="A357" s="137" t="s">
        <v>671</v>
      </c>
      <c r="B357" s="137" t="s">
        <v>674</v>
      </c>
      <c r="C357" s="137">
        <v>2018</v>
      </c>
      <c r="D357" s="137">
        <v>29.109000000000002</v>
      </c>
      <c r="E357" s="137">
        <v>31.71</v>
      </c>
      <c r="F357" s="137" t="s">
        <v>193</v>
      </c>
      <c r="G357" s="137">
        <v>0.08</v>
      </c>
      <c r="H357" s="137" t="s">
        <v>193</v>
      </c>
      <c r="I357" s="137" t="s">
        <v>193</v>
      </c>
      <c r="J357" s="137" t="s">
        <v>193</v>
      </c>
      <c r="K357" s="137" t="s">
        <v>193</v>
      </c>
      <c r="L357" s="137" t="s">
        <v>193</v>
      </c>
      <c r="M357" s="137" t="s">
        <v>53</v>
      </c>
      <c r="N357" s="137" t="s">
        <v>193</v>
      </c>
      <c r="O357" s="137" t="s">
        <v>193</v>
      </c>
      <c r="P357" s="137">
        <v>11.061999999999999</v>
      </c>
      <c r="Q357" s="137">
        <v>17.414999999999999</v>
      </c>
      <c r="R357" s="137" t="s">
        <v>193</v>
      </c>
      <c r="S357" s="137" t="s">
        <v>193</v>
      </c>
      <c r="T357" s="137" t="s">
        <v>194</v>
      </c>
      <c r="U357" s="137" t="s">
        <v>193</v>
      </c>
      <c r="V357" s="137">
        <v>1.581</v>
      </c>
      <c r="W357" s="137" t="s">
        <v>193</v>
      </c>
      <c r="X357" s="137" t="s">
        <v>193</v>
      </c>
      <c r="Y357" s="137" t="s">
        <v>193</v>
      </c>
      <c r="Z357" s="137" t="s">
        <v>193</v>
      </c>
      <c r="AA357" s="137" t="s">
        <v>193</v>
      </c>
      <c r="AB357" s="137" t="s">
        <v>193</v>
      </c>
      <c r="AC357" s="137" t="s">
        <v>193</v>
      </c>
      <c r="AD357" s="137" t="s">
        <v>193</v>
      </c>
      <c r="AE357" s="137" t="s">
        <v>199</v>
      </c>
      <c r="AF357" s="137" t="s">
        <v>193</v>
      </c>
      <c r="AG357" s="137" t="s">
        <v>193</v>
      </c>
      <c r="AH357" s="137">
        <v>1.5720000000000001</v>
      </c>
      <c r="AI357" s="137" t="s">
        <v>193</v>
      </c>
      <c r="AJ357" s="137" t="s">
        <v>193</v>
      </c>
      <c r="AK357" s="137" t="s">
        <v>193</v>
      </c>
      <c r="AL357" s="137" t="s">
        <v>193</v>
      </c>
      <c r="AM357" s="137" t="s">
        <v>193</v>
      </c>
      <c r="AN357" s="137" t="s">
        <v>53</v>
      </c>
      <c r="AO357" s="137">
        <v>100</v>
      </c>
      <c r="AP357" s="137" t="s">
        <v>193</v>
      </c>
      <c r="AQ357" s="137" t="s">
        <v>193</v>
      </c>
      <c r="AR357" s="137" t="s">
        <v>193</v>
      </c>
      <c r="AV357" s="1">
        <f t="shared" si="44"/>
        <v>31.709999999999997</v>
      </c>
      <c r="AW357" s="1">
        <f t="shared" si="38"/>
        <v>29.109000000000002</v>
      </c>
      <c r="AX357" s="13">
        <f t="shared" si="42"/>
        <v>0.91797540208136252</v>
      </c>
      <c r="BA357" s="12">
        <f t="shared" si="39"/>
        <v>1.5720000000000001</v>
      </c>
      <c r="BB357" s="12">
        <f t="shared" si="43"/>
        <v>1.5720000000000001</v>
      </c>
      <c r="BC357" s="12">
        <f t="shared" si="43"/>
        <v>0</v>
      </c>
      <c r="BD357" s="12">
        <f t="shared" si="43"/>
        <v>0</v>
      </c>
      <c r="BE357" s="12">
        <f t="shared" si="43"/>
        <v>0</v>
      </c>
      <c r="BF357" s="12">
        <f t="shared" si="40"/>
        <v>0</v>
      </c>
      <c r="BJ357" s="12" t="str">
        <f t="shared" si="41"/>
        <v/>
      </c>
      <c r="BK357" s="12">
        <f>VLOOKUP(B357,Kraftvärmeprod!$B$1:$BH$549,MATCH($BA$1,Kraftvärmeprod!$B$1:$CC$1,0),FALSE)</f>
        <v>0</v>
      </c>
    </row>
    <row r="358" spans="1:63" ht="15" customHeight="1" x14ac:dyDescent="0.25">
      <c r="A358" s="137" t="s">
        <v>52</v>
      </c>
      <c r="B358" s="137" t="s">
        <v>675</v>
      </c>
      <c r="C358" s="137">
        <v>2018</v>
      </c>
      <c r="D358" s="137">
        <v>216.38200000000001</v>
      </c>
      <c r="E358" s="137">
        <v>251.86500000000001</v>
      </c>
      <c r="F358" s="137" t="s">
        <v>193</v>
      </c>
      <c r="G358" s="137">
        <v>10.045</v>
      </c>
      <c r="H358" s="137">
        <v>17.312999999999999</v>
      </c>
      <c r="I358" s="137" t="s">
        <v>193</v>
      </c>
      <c r="J358" s="137" t="s">
        <v>193</v>
      </c>
      <c r="K358" s="137" t="s">
        <v>193</v>
      </c>
      <c r="L358" s="137" t="s">
        <v>193</v>
      </c>
      <c r="M358" s="137" t="s">
        <v>53</v>
      </c>
      <c r="N358" s="137" t="s">
        <v>193</v>
      </c>
      <c r="O358" s="137" t="s">
        <v>193</v>
      </c>
      <c r="P358" s="137" t="s">
        <v>193</v>
      </c>
      <c r="Q358" s="137">
        <v>28.706</v>
      </c>
      <c r="R358" s="137" t="s">
        <v>193</v>
      </c>
      <c r="S358" s="137" t="s">
        <v>193</v>
      </c>
      <c r="T358" s="137" t="s">
        <v>193</v>
      </c>
      <c r="U358" s="137">
        <v>0.16</v>
      </c>
      <c r="V358" s="137" t="s">
        <v>193</v>
      </c>
      <c r="W358" s="137" t="s">
        <v>193</v>
      </c>
      <c r="X358" s="137" t="s">
        <v>193</v>
      </c>
      <c r="Y358" s="137" t="s">
        <v>193</v>
      </c>
      <c r="Z358" s="137" t="s">
        <v>193</v>
      </c>
      <c r="AA358" s="137" t="s">
        <v>193</v>
      </c>
      <c r="AB358" s="137" t="s">
        <v>193</v>
      </c>
      <c r="AC358" s="137">
        <v>181.98099999999999</v>
      </c>
      <c r="AD358" s="137">
        <v>5.0629999999999997</v>
      </c>
      <c r="AE358" s="137" t="s">
        <v>195</v>
      </c>
      <c r="AF358" s="137">
        <v>40.5</v>
      </c>
      <c r="AG358" s="137" t="s">
        <v>193</v>
      </c>
      <c r="AH358" s="137">
        <v>13.66</v>
      </c>
      <c r="AI358" s="137" t="s">
        <v>193</v>
      </c>
      <c r="AJ358" s="137" t="s">
        <v>193</v>
      </c>
      <c r="AK358" s="137" t="s">
        <v>193</v>
      </c>
      <c r="AL358" s="137" t="s">
        <v>193</v>
      </c>
      <c r="AM358" s="137" t="s">
        <v>193</v>
      </c>
      <c r="AN358" s="137" t="s">
        <v>53</v>
      </c>
      <c r="AO358" s="137">
        <v>0</v>
      </c>
      <c r="AP358" s="137">
        <v>97</v>
      </c>
      <c r="AQ358" s="137">
        <v>3</v>
      </c>
      <c r="AR358" s="137">
        <v>0</v>
      </c>
      <c r="AV358" s="1">
        <f t="shared" si="44"/>
        <v>251.86499999999998</v>
      </c>
      <c r="AW358" s="1">
        <f t="shared" si="38"/>
        <v>216.38200000000001</v>
      </c>
      <c r="AX358" s="13">
        <f t="shared" si="42"/>
        <v>0.85911897246540814</v>
      </c>
      <c r="BA358" s="12">
        <f t="shared" si="39"/>
        <v>13.66</v>
      </c>
      <c r="BB358" s="12">
        <f t="shared" si="43"/>
        <v>0</v>
      </c>
      <c r="BC358" s="12">
        <f t="shared" si="43"/>
        <v>13.2502</v>
      </c>
      <c r="BD358" s="12">
        <f t="shared" si="43"/>
        <v>0.4098</v>
      </c>
      <c r="BE358" s="12">
        <f t="shared" si="43"/>
        <v>0</v>
      </c>
      <c r="BF358" s="12">
        <f t="shared" si="40"/>
        <v>0</v>
      </c>
      <c r="BJ358" s="12" t="str">
        <f t="shared" si="41"/>
        <v/>
      </c>
      <c r="BK358" s="12">
        <f>VLOOKUP(B358,Kraftvärmeprod!$B$1:$BH$549,MATCH($BA$1,Kraftvärmeprod!$B$1:$CC$1,0),FALSE)</f>
        <v>0</v>
      </c>
    </row>
    <row r="359" spans="1:63" ht="15" customHeight="1" x14ac:dyDescent="0.25">
      <c r="A359" s="137" t="s">
        <v>52</v>
      </c>
      <c r="B359" s="137" t="s">
        <v>676</v>
      </c>
      <c r="C359" s="137">
        <v>2018</v>
      </c>
      <c r="D359" s="137">
        <v>16.131</v>
      </c>
      <c r="E359" s="137">
        <v>19.157</v>
      </c>
      <c r="F359" s="137" t="s">
        <v>193</v>
      </c>
      <c r="G359" s="137">
        <v>0.67300000000000004</v>
      </c>
      <c r="H359" s="137" t="s">
        <v>193</v>
      </c>
      <c r="I359" s="137" t="s">
        <v>193</v>
      </c>
      <c r="J359" s="137" t="s">
        <v>193</v>
      </c>
      <c r="K359" s="137" t="s">
        <v>193</v>
      </c>
      <c r="L359" s="137" t="s">
        <v>193</v>
      </c>
      <c r="M359" s="137" t="s">
        <v>53</v>
      </c>
      <c r="N359" s="137" t="s">
        <v>193</v>
      </c>
      <c r="O359" s="137" t="s">
        <v>193</v>
      </c>
      <c r="P359" s="137" t="s">
        <v>193</v>
      </c>
      <c r="Q359" s="137">
        <v>15.845000000000001</v>
      </c>
      <c r="R359" s="137" t="s">
        <v>193</v>
      </c>
      <c r="S359" s="137" t="s">
        <v>193</v>
      </c>
      <c r="T359" s="137" t="s">
        <v>193</v>
      </c>
      <c r="U359" s="137" t="s">
        <v>193</v>
      </c>
      <c r="V359" s="137" t="s">
        <v>193</v>
      </c>
      <c r="W359" s="137" t="s">
        <v>193</v>
      </c>
      <c r="X359" s="137" t="s">
        <v>193</v>
      </c>
      <c r="Y359" s="137" t="s">
        <v>193</v>
      </c>
      <c r="Z359" s="137" t="s">
        <v>193</v>
      </c>
      <c r="AA359" s="137" t="s">
        <v>193</v>
      </c>
      <c r="AB359" s="137" t="s">
        <v>193</v>
      </c>
      <c r="AC359" s="137" t="s">
        <v>193</v>
      </c>
      <c r="AD359" s="137" t="s">
        <v>193</v>
      </c>
      <c r="AE359" s="137" t="s">
        <v>199</v>
      </c>
      <c r="AF359" s="137" t="s">
        <v>193</v>
      </c>
      <c r="AG359" s="137" t="s">
        <v>193</v>
      </c>
      <c r="AH359" s="137">
        <v>2.6389999999999998</v>
      </c>
      <c r="AI359" s="137" t="s">
        <v>193</v>
      </c>
      <c r="AJ359" s="137" t="s">
        <v>193</v>
      </c>
      <c r="AK359" s="137" t="s">
        <v>193</v>
      </c>
      <c r="AL359" s="137" t="s">
        <v>193</v>
      </c>
      <c r="AM359" s="137" t="s">
        <v>193</v>
      </c>
      <c r="AN359" s="137" t="s">
        <v>53</v>
      </c>
      <c r="AO359" s="137">
        <v>100</v>
      </c>
      <c r="AP359" s="137" t="s">
        <v>193</v>
      </c>
      <c r="AQ359" s="137" t="s">
        <v>193</v>
      </c>
      <c r="AR359" s="137" t="s">
        <v>193</v>
      </c>
      <c r="AV359" s="1">
        <f t="shared" si="44"/>
        <v>19.157</v>
      </c>
      <c r="AW359" s="1">
        <f t="shared" si="38"/>
        <v>16.131</v>
      </c>
      <c r="AX359" s="13">
        <f t="shared" si="42"/>
        <v>0.84204207339353765</v>
      </c>
      <c r="BA359" s="12">
        <f t="shared" si="39"/>
        <v>2.6389999999999998</v>
      </c>
      <c r="BB359" s="12">
        <f t="shared" si="43"/>
        <v>2.6389999999999998</v>
      </c>
      <c r="BC359" s="12">
        <f t="shared" si="43"/>
        <v>0</v>
      </c>
      <c r="BD359" s="12">
        <f t="shared" si="43"/>
        <v>0</v>
      </c>
      <c r="BE359" s="12">
        <f t="shared" si="43"/>
        <v>0</v>
      </c>
      <c r="BF359" s="12">
        <f t="shared" si="40"/>
        <v>0</v>
      </c>
      <c r="BJ359" s="12" t="str">
        <f t="shared" si="41"/>
        <v/>
      </c>
      <c r="BK359" s="12">
        <f>VLOOKUP(B359,Kraftvärmeprod!$B$1:$BH$549,MATCH($BA$1,Kraftvärmeprod!$B$1:$CC$1,0),FALSE)</f>
        <v>0</v>
      </c>
    </row>
    <row r="360" spans="1:63" ht="15" customHeight="1" x14ac:dyDescent="0.25">
      <c r="A360" s="137" t="s">
        <v>52</v>
      </c>
      <c r="B360" s="137" t="s">
        <v>677</v>
      </c>
      <c r="C360" s="137">
        <v>2018</v>
      </c>
      <c r="D360" s="137">
        <v>4.0540000000000003</v>
      </c>
      <c r="E360" s="137">
        <v>4.4939999999999998</v>
      </c>
      <c r="F360" s="137" t="s">
        <v>193</v>
      </c>
      <c r="G360" s="137">
        <v>4.4939999999999998</v>
      </c>
      <c r="H360" s="137" t="s">
        <v>193</v>
      </c>
      <c r="I360" s="137" t="s">
        <v>193</v>
      </c>
      <c r="J360" s="137" t="s">
        <v>193</v>
      </c>
      <c r="K360" s="137" t="s">
        <v>193</v>
      </c>
      <c r="L360" s="137" t="s">
        <v>193</v>
      </c>
      <c r="M360" s="137" t="s">
        <v>53</v>
      </c>
      <c r="N360" s="137" t="s">
        <v>193</v>
      </c>
      <c r="O360" s="137" t="s">
        <v>193</v>
      </c>
      <c r="P360" s="137" t="s">
        <v>193</v>
      </c>
      <c r="Q360" s="137" t="s">
        <v>193</v>
      </c>
      <c r="R360" s="137" t="s">
        <v>193</v>
      </c>
      <c r="S360" s="137" t="s">
        <v>193</v>
      </c>
      <c r="T360" s="137" t="s">
        <v>193</v>
      </c>
      <c r="U360" s="137" t="s">
        <v>193</v>
      </c>
      <c r="V360" s="137" t="s">
        <v>193</v>
      </c>
      <c r="W360" s="137" t="s">
        <v>193</v>
      </c>
      <c r="X360" s="137" t="s">
        <v>193</v>
      </c>
      <c r="Y360" s="137" t="s">
        <v>193</v>
      </c>
      <c r="Z360" s="137" t="s">
        <v>193</v>
      </c>
      <c r="AA360" s="137" t="s">
        <v>193</v>
      </c>
      <c r="AB360" s="137" t="s">
        <v>193</v>
      </c>
      <c r="AC360" s="137" t="s">
        <v>193</v>
      </c>
      <c r="AD360" s="137" t="s">
        <v>193</v>
      </c>
      <c r="AE360" s="137" t="s">
        <v>199</v>
      </c>
      <c r="AF360" s="137" t="s">
        <v>193</v>
      </c>
      <c r="AG360" s="137" t="s">
        <v>193</v>
      </c>
      <c r="AH360" s="137" t="s">
        <v>193</v>
      </c>
      <c r="AI360" s="137" t="s">
        <v>193</v>
      </c>
      <c r="AJ360" s="137" t="s">
        <v>193</v>
      </c>
      <c r="AK360" s="137" t="s">
        <v>193</v>
      </c>
      <c r="AL360" s="137" t="s">
        <v>193</v>
      </c>
      <c r="AM360" s="137" t="s">
        <v>193</v>
      </c>
      <c r="AN360" s="137" t="s">
        <v>53</v>
      </c>
      <c r="AO360" s="137" t="s">
        <v>193</v>
      </c>
      <c r="AP360" s="137" t="s">
        <v>193</v>
      </c>
      <c r="AQ360" s="137" t="s">
        <v>193</v>
      </c>
      <c r="AR360" s="137" t="s">
        <v>193</v>
      </c>
      <c r="AV360" s="1">
        <f t="shared" si="44"/>
        <v>4.4939999999999998</v>
      </c>
      <c r="AW360" s="1">
        <f t="shared" si="38"/>
        <v>4.0540000000000003</v>
      </c>
      <c r="AX360" s="13">
        <f t="shared" si="42"/>
        <v>0.90209167779261246</v>
      </c>
      <c r="BA360" s="12">
        <f t="shared" si="39"/>
        <v>0</v>
      </c>
      <c r="BB360" s="12">
        <f t="shared" si="43"/>
        <v>0</v>
      </c>
      <c r="BC360" s="12">
        <f t="shared" si="43"/>
        <v>0</v>
      </c>
      <c r="BD360" s="12">
        <f t="shared" si="43"/>
        <v>0</v>
      </c>
      <c r="BE360" s="12">
        <f t="shared" si="43"/>
        <v>0</v>
      </c>
      <c r="BF360" s="12">
        <f t="shared" si="40"/>
        <v>0</v>
      </c>
      <c r="BJ360" s="12" t="str">
        <f t="shared" si="41"/>
        <v/>
      </c>
      <c r="BK360" s="12">
        <f>VLOOKUP(B360,Kraftvärmeprod!$B$1:$BH$549,MATCH($BA$1,Kraftvärmeprod!$B$1:$CC$1,0),FALSE)</f>
        <v>0</v>
      </c>
    </row>
    <row r="361" spans="1:63" ht="15" customHeight="1" x14ac:dyDescent="0.25">
      <c r="A361" s="137" t="s">
        <v>52</v>
      </c>
      <c r="B361" s="137" t="s">
        <v>678</v>
      </c>
      <c r="C361" s="137">
        <v>2018</v>
      </c>
      <c r="D361" s="137">
        <v>6.0439999999999996</v>
      </c>
      <c r="E361" s="137">
        <v>7.4359999999999999</v>
      </c>
      <c r="F361" s="137" t="s">
        <v>193</v>
      </c>
      <c r="G361" s="137">
        <v>0.316</v>
      </c>
      <c r="H361" s="137" t="s">
        <v>193</v>
      </c>
      <c r="I361" s="137" t="s">
        <v>193</v>
      </c>
      <c r="J361" s="137" t="s">
        <v>193</v>
      </c>
      <c r="K361" s="137" t="s">
        <v>193</v>
      </c>
      <c r="L361" s="137" t="s">
        <v>193</v>
      </c>
      <c r="M361" s="137" t="s">
        <v>53</v>
      </c>
      <c r="N361" s="137" t="s">
        <v>193</v>
      </c>
      <c r="O361" s="137" t="s">
        <v>193</v>
      </c>
      <c r="P361" s="137" t="s">
        <v>193</v>
      </c>
      <c r="Q361" s="137" t="s">
        <v>193</v>
      </c>
      <c r="R361" s="137" t="s">
        <v>193</v>
      </c>
      <c r="S361" s="137" t="s">
        <v>193</v>
      </c>
      <c r="T361" s="137" t="s">
        <v>193</v>
      </c>
      <c r="U361" s="137" t="s">
        <v>193</v>
      </c>
      <c r="V361" s="137">
        <v>7.12</v>
      </c>
      <c r="W361" s="137" t="s">
        <v>193</v>
      </c>
      <c r="X361" s="137" t="s">
        <v>193</v>
      </c>
      <c r="Y361" s="137" t="s">
        <v>193</v>
      </c>
      <c r="Z361" s="137" t="s">
        <v>193</v>
      </c>
      <c r="AA361" s="137" t="s">
        <v>193</v>
      </c>
      <c r="AB361" s="137" t="s">
        <v>193</v>
      </c>
      <c r="AC361" s="137" t="s">
        <v>193</v>
      </c>
      <c r="AD361" s="137" t="s">
        <v>193</v>
      </c>
      <c r="AE361" s="137" t="s">
        <v>199</v>
      </c>
      <c r="AF361" s="137" t="s">
        <v>193</v>
      </c>
      <c r="AG361" s="137" t="s">
        <v>193</v>
      </c>
      <c r="AH361" s="137" t="s">
        <v>193</v>
      </c>
      <c r="AI361" s="137" t="s">
        <v>193</v>
      </c>
      <c r="AJ361" s="137" t="s">
        <v>193</v>
      </c>
      <c r="AK361" s="137" t="s">
        <v>193</v>
      </c>
      <c r="AL361" s="137" t="s">
        <v>193</v>
      </c>
      <c r="AM361" s="137" t="s">
        <v>193</v>
      </c>
      <c r="AN361" s="137" t="s">
        <v>53</v>
      </c>
      <c r="AO361" s="137" t="s">
        <v>193</v>
      </c>
      <c r="AP361" s="137" t="s">
        <v>193</v>
      </c>
      <c r="AQ361" s="137" t="s">
        <v>193</v>
      </c>
      <c r="AR361" s="137" t="s">
        <v>193</v>
      </c>
      <c r="AV361" s="1">
        <f t="shared" si="44"/>
        <v>7.4359999999999999</v>
      </c>
      <c r="AW361" s="1">
        <f t="shared" si="38"/>
        <v>6.0439999999999996</v>
      </c>
      <c r="AX361" s="13">
        <f t="shared" si="42"/>
        <v>0.81280258203335121</v>
      </c>
      <c r="BA361" s="12">
        <f t="shared" si="39"/>
        <v>0</v>
      </c>
      <c r="BB361" s="12">
        <f t="shared" si="43"/>
        <v>0</v>
      </c>
      <c r="BC361" s="12">
        <f t="shared" si="43"/>
        <v>0</v>
      </c>
      <c r="BD361" s="12">
        <f t="shared" si="43"/>
        <v>0</v>
      </c>
      <c r="BE361" s="12">
        <f t="shared" si="43"/>
        <v>0</v>
      </c>
      <c r="BF361" s="12">
        <f t="shared" si="40"/>
        <v>0</v>
      </c>
      <c r="BJ361" s="12" t="str">
        <f t="shared" si="41"/>
        <v/>
      </c>
      <c r="BK361" s="12">
        <f>VLOOKUP(B361,Kraftvärmeprod!$B$1:$BH$549,MATCH($BA$1,Kraftvärmeprod!$B$1:$CC$1,0),FALSE)</f>
        <v>0</v>
      </c>
    </row>
    <row r="362" spans="1:63" ht="15" customHeight="1" x14ac:dyDescent="0.25">
      <c r="A362" s="137" t="s">
        <v>52</v>
      </c>
      <c r="B362" s="137" t="s">
        <v>679</v>
      </c>
      <c r="C362" s="137">
        <v>2018</v>
      </c>
      <c r="D362" s="137">
        <v>31.471</v>
      </c>
      <c r="E362" s="137">
        <v>32.695</v>
      </c>
      <c r="F362" s="137" t="s">
        <v>193</v>
      </c>
      <c r="G362" s="137" t="s">
        <v>193</v>
      </c>
      <c r="H362" s="137" t="s">
        <v>193</v>
      </c>
      <c r="I362" s="137" t="s">
        <v>193</v>
      </c>
      <c r="J362" s="137" t="s">
        <v>193</v>
      </c>
      <c r="K362" s="137" t="s">
        <v>193</v>
      </c>
      <c r="L362" s="137" t="s">
        <v>193</v>
      </c>
      <c r="M362" s="137" t="s">
        <v>53</v>
      </c>
      <c r="N362" s="137" t="s">
        <v>193</v>
      </c>
      <c r="O362" s="137" t="s">
        <v>193</v>
      </c>
      <c r="P362" s="137">
        <v>7.5179999999999998</v>
      </c>
      <c r="Q362" s="137">
        <v>18.818999999999999</v>
      </c>
      <c r="R362" s="137" t="s">
        <v>193</v>
      </c>
      <c r="S362" s="137" t="s">
        <v>193</v>
      </c>
      <c r="T362" s="137" t="s">
        <v>194</v>
      </c>
      <c r="U362" s="137" t="s">
        <v>193</v>
      </c>
      <c r="V362" s="137" t="s">
        <v>193</v>
      </c>
      <c r="W362" s="137" t="s">
        <v>193</v>
      </c>
      <c r="X362" s="137" t="s">
        <v>193</v>
      </c>
      <c r="Y362" s="137" t="s">
        <v>193</v>
      </c>
      <c r="Z362" s="137" t="s">
        <v>193</v>
      </c>
      <c r="AA362" s="137" t="s">
        <v>193</v>
      </c>
      <c r="AB362" s="137" t="s">
        <v>193</v>
      </c>
      <c r="AC362" s="137" t="s">
        <v>193</v>
      </c>
      <c r="AD362" s="137" t="s">
        <v>193</v>
      </c>
      <c r="AE362" s="137" t="s">
        <v>199</v>
      </c>
      <c r="AF362" s="137" t="s">
        <v>193</v>
      </c>
      <c r="AG362" s="137" t="s">
        <v>193</v>
      </c>
      <c r="AH362" s="137">
        <v>6.3579999999999997</v>
      </c>
      <c r="AI362" s="137" t="s">
        <v>193</v>
      </c>
      <c r="AJ362" s="137" t="s">
        <v>193</v>
      </c>
      <c r="AK362" s="137" t="s">
        <v>193</v>
      </c>
      <c r="AL362" s="137" t="s">
        <v>193</v>
      </c>
      <c r="AM362" s="137" t="s">
        <v>193</v>
      </c>
      <c r="AN362" s="137" t="s">
        <v>53</v>
      </c>
      <c r="AO362" s="137">
        <v>100</v>
      </c>
      <c r="AP362" s="137" t="s">
        <v>193</v>
      </c>
      <c r="AQ362" s="137" t="s">
        <v>193</v>
      </c>
      <c r="AR362" s="137" t="s">
        <v>193</v>
      </c>
      <c r="AV362" s="1">
        <f t="shared" si="44"/>
        <v>32.695</v>
      </c>
      <c r="AW362" s="1">
        <f t="shared" si="38"/>
        <v>31.471</v>
      </c>
      <c r="AX362" s="13">
        <f t="shared" si="42"/>
        <v>0.9625630830402202</v>
      </c>
      <c r="BA362" s="12">
        <f t="shared" si="39"/>
        <v>6.3579999999999997</v>
      </c>
      <c r="BB362" s="12">
        <f t="shared" si="43"/>
        <v>6.3579999999999997</v>
      </c>
      <c r="BC362" s="12">
        <f t="shared" si="43"/>
        <v>0</v>
      </c>
      <c r="BD362" s="12">
        <f t="shared" si="43"/>
        <v>0</v>
      </c>
      <c r="BE362" s="12">
        <f t="shared" si="43"/>
        <v>0</v>
      </c>
      <c r="BF362" s="12">
        <f t="shared" si="40"/>
        <v>0</v>
      </c>
      <c r="BJ362" s="12" t="str">
        <f t="shared" si="41"/>
        <v/>
      </c>
      <c r="BK362" s="12">
        <f>VLOOKUP(B362,Kraftvärmeprod!$B$1:$BH$549,MATCH($BA$1,Kraftvärmeprod!$B$1:$CC$1,0),FALSE)</f>
        <v>0</v>
      </c>
    </row>
    <row r="363" spans="1:63" ht="15" customHeight="1" x14ac:dyDescent="0.25">
      <c r="A363" s="137" t="s">
        <v>52</v>
      </c>
      <c r="B363" s="137" t="s">
        <v>680</v>
      </c>
      <c r="C363" s="137">
        <v>2018</v>
      </c>
      <c r="D363" s="137">
        <v>43.002000000000002</v>
      </c>
      <c r="E363" s="137">
        <v>44.26</v>
      </c>
      <c r="F363" s="137" t="s">
        <v>193</v>
      </c>
      <c r="G363" s="137">
        <v>0.37</v>
      </c>
      <c r="H363" s="137" t="s">
        <v>193</v>
      </c>
      <c r="I363" s="137" t="s">
        <v>193</v>
      </c>
      <c r="J363" s="137" t="s">
        <v>193</v>
      </c>
      <c r="K363" s="137" t="s">
        <v>193</v>
      </c>
      <c r="L363" s="137" t="s">
        <v>193</v>
      </c>
      <c r="M363" s="137" t="s">
        <v>53</v>
      </c>
      <c r="N363" s="137" t="s">
        <v>193</v>
      </c>
      <c r="O363" s="137" t="s">
        <v>193</v>
      </c>
      <c r="P363" s="137" t="s">
        <v>193</v>
      </c>
      <c r="Q363" s="137" t="s">
        <v>193</v>
      </c>
      <c r="R363" s="137" t="s">
        <v>193</v>
      </c>
      <c r="S363" s="137" t="s">
        <v>193</v>
      </c>
      <c r="T363" s="137" t="s">
        <v>194</v>
      </c>
      <c r="U363" s="137" t="s">
        <v>193</v>
      </c>
      <c r="V363" s="137" t="s">
        <v>193</v>
      </c>
      <c r="W363" s="137" t="s">
        <v>193</v>
      </c>
      <c r="X363" s="137" t="s">
        <v>193</v>
      </c>
      <c r="Y363" s="137">
        <v>6.1870000000000003</v>
      </c>
      <c r="Z363" s="137" t="s">
        <v>193</v>
      </c>
      <c r="AA363" s="137" t="s">
        <v>193</v>
      </c>
      <c r="AB363" s="137" t="s">
        <v>193</v>
      </c>
      <c r="AC363" s="137" t="s">
        <v>193</v>
      </c>
      <c r="AD363" s="137" t="s">
        <v>193</v>
      </c>
      <c r="AE363" s="137" t="s">
        <v>199</v>
      </c>
      <c r="AF363" s="137" t="s">
        <v>193</v>
      </c>
      <c r="AG363" s="137">
        <v>0.73299999999999998</v>
      </c>
      <c r="AH363" s="137">
        <v>36.97</v>
      </c>
      <c r="AI363" s="137" t="s">
        <v>193</v>
      </c>
      <c r="AJ363" s="137" t="s">
        <v>193</v>
      </c>
      <c r="AK363" s="137" t="s">
        <v>193</v>
      </c>
      <c r="AL363" s="137" t="s">
        <v>193</v>
      </c>
      <c r="AM363" s="137" t="s">
        <v>193</v>
      </c>
      <c r="AN363" s="137" t="s">
        <v>53</v>
      </c>
      <c r="AO363" s="137">
        <v>100</v>
      </c>
      <c r="AP363" s="137" t="s">
        <v>193</v>
      </c>
      <c r="AQ363" s="137" t="s">
        <v>193</v>
      </c>
      <c r="AR363" s="137" t="s">
        <v>193</v>
      </c>
      <c r="AV363" s="1">
        <f t="shared" si="44"/>
        <v>44.26</v>
      </c>
      <c r="AW363" s="1">
        <f t="shared" si="38"/>
        <v>43.002000000000002</v>
      </c>
      <c r="AX363" s="13">
        <f t="shared" si="42"/>
        <v>0.97157704473565309</v>
      </c>
      <c r="BA363" s="12">
        <f t="shared" si="39"/>
        <v>36.97</v>
      </c>
      <c r="BB363" s="12">
        <f t="shared" si="43"/>
        <v>36.97</v>
      </c>
      <c r="BC363" s="12">
        <f t="shared" si="43"/>
        <v>0</v>
      </c>
      <c r="BD363" s="12">
        <f t="shared" si="43"/>
        <v>0</v>
      </c>
      <c r="BE363" s="12">
        <f t="shared" si="43"/>
        <v>0</v>
      </c>
      <c r="BF363" s="12">
        <f t="shared" si="40"/>
        <v>0</v>
      </c>
      <c r="BJ363" s="12" t="str">
        <f t="shared" si="41"/>
        <v/>
      </c>
      <c r="BK363" s="12">
        <f>VLOOKUP(B363,Kraftvärmeprod!$B$1:$BH$549,MATCH($BA$1,Kraftvärmeprod!$B$1:$CC$1,0),FALSE)</f>
        <v>0</v>
      </c>
    </row>
    <row r="364" spans="1:63" ht="15" customHeight="1" x14ac:dyDescent="0.25">
      <c r="A364" s="137" t="s">
        <v>52</v>
      </c>
      <c r="B364" s="137" t="s">
        <v>681</v>
      </c>
      <c r="C364" s="137">
        <v>2018</v>
      </c>
      <c r="D364" s="137">
        <v>33.561</v>
      </c>
      <c r="E364" s="137">
        <v>39.765000000000001</v>
      </c>
      <c r="F364" s="137" t="s">
        <v>193</v>
      </c>
      <c r="G364" s="137">
        <v>0.14599999999999999</v>
      </c>
      <c r="H364" s="137" t="s">
        <v>193</v>
      </c>
      <c r="I364" s="137" t="s">
        <v>193</v>
      </c>
      <c r="J364" s="137" t="s">
        <v>193</v>
      </c>
      <c r="K364" s="137" t="s">
        <v>193</v>
      </c>
      <c r="L364" s="137" t="s">
        <v>193</v>
      </c>
      <c r="M364" s="137" t="s">
        <v>53</v>
      </c>
      <c r="N364" s="137">
        <v>10.077</v>
      </c>
      <c r="O364" s="137">
        <v>12.379</v>
      </c>
      <c r="P364" s="137">
        <v>9.3350000000000009</v>
      </c>
      <c r="Q364" s="137" t="s">
        <v>193</v>
      </c>
      <c r="R364" s="137" t="s">
        <v>193</v>
      </c>
      <c r="S364" s="137" t="s">
        <v>193</v>
      </c>
      <c r="T364" s="137" t="s">
        <v>193</v>
      </c>
      <c r="U364" s="137" t="s">
        <v>193</v>
      </c>
      <c r="V364" s="137" t="s">
        <v>193</v>
      </c>
      <c r="W364" s="137" t="s">
        <v>193</v>
      </c>
      <c r="X364" s="137" t="s">
        <v>193</v>
      </c>
      <c r="Y364" s="137" t="s">
        <v>193</v>
      </c>
      <c r="Z364" s="137" t="s">
        <v>193</v>
      </c>
      <c r="AA364" s="137" t="s">
        <v>193</v>
      </c>
      <c r="AB364" s="137" t="s">
        <v>193</v>
      </c>
      <c r="AC364" s="137" t="s">
        <v>193</v>
      </c>
      <c r="AD364" s="137" t="s">
        <v>193</v>
      </c>
      <c r="AE364" s="137" t="s">
        <v>199</v>
      </c>
      <c r="AF364" s="137" t="s">
        <v>193</v>
      </c>
      <c r="AG364" s="137" t="s">
        <v>193</v>
      </c>
      <c r="AH364" s="137">
        <v>7.8280000000000003</v>
      </c>
      <c r="AI364" s="137" t="s">
        <v>193</v>
      </c>
      <c r="AJ364" s="137" t="s">
        <v>193</v>
      </c>
      <c r="AK364" s="137" t="s">
        <v>193</v>
      </c>
      <c r="AL364" s="137" t="s">
        <v>193</v>
      </c>
      <c r="AM364" s="137" t="s">
        <v>193</v>
      </c>
      <c r="AN364" s="137" t="s">
        <v>53</v>
      </c>
      <c r="AO364" s="137">
        <v>100</v>
      </c>
      <c r="AP364" s="137" t="s">
        <v>193</v>
      </c>
      <c r="AQ364" s="137" t="s">
        <v>193</v>
      </c>
      <c r="AR364" s="137" t="s">
        <v>193</v>
      </c>
      <c r="AV364" s="1">
        <f t="shared" si="44"/>
        <v>39.765000000000001</v>
      </c>
      <c r="AW364" s="1">
        <f t="shared" si="38"/>
        <v>33.561</v>
      </c>
      <c r="AX364" s="13">
        <f t="shared" si="42"/>
        <v>0.84398340248962656</v>
      </c>
      <c r="BA364" s="12">
        <f t="shared" si="39"/>
        <v>7.8280000000000003</v>
      </c>
      <c r="BB364" s="12">
        <f t="shared" si="43"/>
        <v>7.8280000000000003</v>
      </c>
      <c r="BC364" s="12">
        <f t="shared" si="43"/>
        <v>0</v>
      </c>
      <c r="BD364" s="12">
        <f t="shared" si="43"/>
        <v>0</v>
      </c>
      <c r="BE364" s="12">
        <f t="shared" si="43"/>
        <v>0</v>
      </c>
      <c r="BF364" s="12">
        <f t="shared" si="40"/>
        <v>0</v>
      </c>
      <c r="BJ364" s="12" t="str">
        <f t="shared" si="41"/>
        <v/>
      </c>
      <c r="BK364" s="12">
        <f>VLOOKUP(B364,Kraftvärmeprod!$B$1:$BH$549,MATCH($BA$1,Kraftvärmeprod!$B$1:$CC$1,0),FALSE)</f>
        <v>0</v>
      </c>
    </row>
    <row r="365" spans="1:63" ht="15" customHeight="1" x14ac:dyDescent="0.25">
      <c r="A365" s="137" t="s">
        <v>52</v>
      </c>
      <c r="B365" s="137" t="s">
        <v>682</v>
      </c>
      <c r="C365" s="137">
        <v>2018</v>
      </c>
      <c r="D365" s="137">
        <v>0.27100000000000002</v>
      </c>
      <c r="E365" s="137">
        <v>0.27100000000000002</v>
      </c>
      <c r="F365" s="137" t="s">
        <v>193</v>
      </c>
      <c r="G365" s="137">
        <v>0.27100000000000002</v>
      </c>
      <c r="H365" s="137" t="s">
        <v>193</v>
      </c>
      <c r="I365" s="137" t="s">
        <v>193</v>
      </c>
      <c r="J365" s="137" t="s">
        <v>193</v>
      </c>
      <c r="K365" s="137" t="s">
        <v>193</v>
      </c>
      <c r="L365" s="137" t="s">
        <v>193</v>
      </c>
      <c r="M365" s="137" t="s">
        <v>53</v>
      </c>
      <c r="N365" s="137" t="s">
        <v>193</v>
      </c>
      <c r="O365" s="137" t="s">
        <v>193</v>
      </c>
      <c r="P365" s="137" t="s">
        <v>193</v>
      </c>
      <c r="Q365" s="137" t="s">
        <v>193</v>
      </c>
      <c r="R365" s="137" t="s">
        <v>193</v>
      </c>
      <c r="S365" s="137" t="s">
        <v>193</v>
      </c>
      <c r="T365" s="137" t="s">
        <v>193</v>
      </c>
      <c r="U365" s="137" t="s">
        <v>193</v>
      </c>
      <c r="V365" s="137" t="s">
        <v>193</v>
      </c>
      <c r="W365" s="137" t="s">
        <v>193</v>
      </c>
      <c r="X365" s="137" t="s">
        <v>193</v>
      </c>
      <c r="Y365" s="137" t="s">
        <v>193</v>
      </c>
      <c r="Z365" s="137" t="s">
        <v>193</v>
      </c>
      <c r="AA365" s="137" t="s">
        <v>193</v>
      </c>
      <c r="AB365" s="137" t="s">
        <v>193</v>
      </c>
      <c r="AC365" s="137" t="s">
        <v>193</v>
      </c>
      <c r="AD365" s="137" t="s">
        <v>193</v>
      </c>
      <c r="AE365" s="137" t="s">
        <v>199</v>
      </c>
      <c r="AF365" s="137" t="s">
        <v>193</v>
      </c>
      <c r="AG365" s="137" t="s">
        <v>193</v>
      </c>
      <c r="AH365" s="137" t="s">
        <v>193</v>
      </c>
      <c r="AI365" s="137" t="s">
        <v>193</v>
      </c>
      <c r="AJ365" s="137" t="s">
        <v>193</v>
      </c>
      <c r="AK365" s="137" t="s">
        <v>193</v>
      </c>
      <c r="AL365" s="137" t="s">
        <v>193</v>
      </c>
      <c r="AM365" s="137" t="s">
        <v>193</v>
      </c>
      <c r="AN365" s="137" t="s">
        <v>53</v>
      </c>
      <c r="AO365" s="137" t="s">
        <v>193</v>
      </c>
      <c r="AP365" s="137" t="s">
        <v>193</v>
      </c>
      <c r="AQ365" s="137" t="s">
        <v>193</v>
      </c>
      <c r="AR365" s="137" t="s">
        <v>193</v>
      </c>
      <c r="AV365" s="1">
        <f t="shared" si="44"/>
        <v>0.27100000000000002</v>
      </c>
      <c r="AW365" s="1">
        <f t="shared" si="38"/>
        <v>0.27100000000000002</v>
      </c>
      <c r="AX365" s="13">
        <f t="shared" si="42"/>
        <v>1</v>
      </c>
      <c r="BA365" s="12">
        <f t="shared" si="39"/>
        <v>0</v>
      </c>
      <c r="BB365" s="12">
        <f t="shared" si="43"/>
        <v>0</v>
      </c>
      <c r="BC365" s="12">
        <f t="shared" si="43"/>
        <v>0</v>
      </c>
      <c r="BD365" s="12">
        <f t="shared" si="43"/>
        <v>0</v>
      </c>
      <c r="BE365" s="12">
        <f t="shared" si="43"/>
        <v>0</v>
      </c>
      <c r="BF365" s="12">
        <f t="shared" si="40"/>
        <v>0</v>
      </c>
      <c r="BJ365" s="12" t="str">
        <f t="shared" si="41"/>
        <v/>
      </c>
      <c r="BK365" s="12">
        <f>VLOOKUP(B365,Kraftvärmeprod!$B$1:$BH$549,MATCH($BA$1,Kraftvärmeprod!$B$1:$CC$1,0),FALSE)</f>
        <v>0</v>
      </c>
    </row>
    <row r="366" spans="1:63" ht="15" customHeight="1" x14ac:dyDescent="0.25">
      <c r="A366" s="137" t="s">
        <v>52</v>
      </c>
      <c r="B366" s="137" t="s">
        <v>683</v>
      </c>
      <c r="C366" s="137">
        <v>2018</v>
      </c>
      <c r="D366" s="137">
        <v>11.032999999999999</v>
      </c>
      <c r="E366" s="137">
        <v>15.006</v>
      </c>
      <c r="F366" s="137" t="s">
        <v>193</v>
      </c>
      <c r="G366" s="137">
        <v>0.41299999999999998</v>
      </c>
      <c r="H366" s="137" t="s">
        <v>193</v>
      </c>
      <c r="I366" s="137" t="s">
        <v>193</v>
      </c>
      <c r="J366" s="137" t="s">
        <v>193</v>
      </c>
      <c r="K366" s="137" t="s">
        <v>193</v>
      </c>
      <c r="L366" s="137" t="s">
        <v>193</v>
      </c>
      <c r="M366" s="137" t="s">
        <v>53</v>
      </c>
      <c r="N366" s="137" t="s">
        <v>193</v>
      </c>
      <c r="O366" s="137" t="s">
        <v>193</v>
      </c>
      <c r="P366" s="137">
        <v>2.419</v>
      </c>
      <c r="Q366" s="137" t="s">
        <v>193</v>
      </c>
      <c r="R366" s="137" t="s">
        <v>193</v>
      </c>
      <c r="S366" s="137">
        <v>11.605</v>
      </c>
      <c r="T366" s="137" t="s">
        <v>193</v>
      </c>
      <c r="U366" s="137" t="s">
        <v>193</v>
      </c>
      <c r="V366" s="137">
        <v>0.56899999999999995</v>
      </c>
      <c r="W366" s="137" t="s">
        <v>193</v>
      </c>
      <c r="X366" s="137" t="s">
        <v>193</v>
      </c>
      <c r="Y366" s="137" t="s">
        <v>193</v>
      </c>
      <c r="Z366" s="137" t="s">
        <v>193</v>
      </c>
      <c r="AA366" s="137" t="s">
        <v>193</v>
      </c>
      <c r="AB366" s="137" t="s">
        <v>193</v>
      </c>
      <c r="AC366" s="137" t="s">
        <v>193</v>
      </c>
      <c r="AD366" s="137" t="s">
        <v>193</v>
      </c>
      <c r="AE366" s="137" t="s">
        <v>199</v>
      </c>
      <c r="AF366" s="137" t="s">
        <v>193</v>
      </c>
      <c r="AG366" s="137" t="s">
        <v>193</v>
      </c>
      <c r="AH366" s="137" t="s">
        <v>193</v>
      </c>
      <c r="AI366" s="137" t="s">
        <v>193</v>
      </c>
      <c r="AJ366" s="137" t="s">
        <v>193</v>
      </c>
      <c r="AK366" s="137" t="s">
        <v>193</v>
      </c>
      <c r="AL366" s="137" t="s">
        <v>193</v>
      </c>
      <c r="AM366" s="137" t="s">
        <v>193</v>
      </c>
      <c r="AN366" s="137" t="s">
        <v>53</v>
      </c>
      <c r="AO366" s="137" t="s">
        <v>193</v>
      </c>
      <c r="AP366" s="137" t="s">
        <v>193</v>
      </c>
      <c r="AQ366" s="137" t="s">
        <v>193</v>
      </c>
      <c r="AR366" s="137" t="s">
        <v>193</v>
      </c>
      <c r="AV366" s="1">
        <f t="shared" si="44"/>
        <v>15.006</v>
      </c>
      <c r="AW366" s="1">
        <f t="shared" si="38"/>
        <v>11.032999999999999</v>
      </c>
      <c r="AX366" s="13">
        <f t="shared" si="42"/>
        <v>0.73523923763827792</v>
      </c>
      <c r="BA366" s="12">
        <f t="shared" si="39"/>
        <v>0</v>
      </c>
      <c r="BB366" s="12">
        <f t="shared" si="43"/>
        <v>0</v>
      </c>
      <c r="BC366" s="12">
        <f t="shared" si="43"/>
        <v>0</v>
      </c>
      <c r="BD366" s="12">
        <f t="shared" si="43"/>
        <v>0</v>
      </c>
      <c r="BE366" s="12">
        <f t="shared" si="43"/>
        <v>0</v>
      </c>
      <c r="BF366" s="12">
        <f t="shared" si="40"/>
        <v>0</v>
      </c>
      <c r="BJ366" s="12" t="str">
        <f t="shared" si="41"/>
        <v/>
      </c>
      <c r="BK366" s="12">
        <f>VLOOKUP(B366,Kraftvärmeprod!$B$1:$BH$549,MATCH($BA$1,Kraftvärmeprod!$B$1:$CC$1,0),FALSE)</f>
        <v>0</v>
      </c>
    </row>
    <row r="367" spans="1:63" ht="15" customHeight="1" x14ac:dyDescent="0.25">
      <c r="A367" s="137" t="s">
        <v>52</v>
      </c>
      <c r="B367" s="137" t="s">
        <v>684</v>
      </c>
      <c r="C367" s="137">
        <v>2018</v>
      </c>
      <c r="D367" s="137">
        <v>108.655</v>
      </c>
      <c r="E367" s="137">
        <v>101.723</v>
      </c>
      <c r="F367" s="137" t="s">
        <v>193</v>
      </c>
      <c r="G367" s="137">
        <v>1.4119999999999999</v>
      </c>
      <c r="H367" s="137" t="s">
        <v>193</v>
      </c>
      <c r="I367" s="137" t="s">
        <v>193</v>
      </c>
      <c r="J367" s="137" t="s">
        <v>193</v>
      </c>
      <c r="K367" s="137" t="s">
        <v>193</v>
      </c>
      <c r="L367" s="137" t="s">
        <v>193</v>
      </c>
      <c r="M367" s="137" t="s">
        <v>53</v>
      </c>
      <c r="N367" s="137">
        <v>40.195999999999998</v>
      </c>
      <c r="O367" s="137">
        <v>51.36</v>
      </c>
      <c r="P367" s="137">
        <v>8.7550000000000008</v>
      </c>
      <c r="Q367" s="137" t="s">
        <v>193</v>
      </c>
      <c r="R367" s="137" t="s">
        <v>193</v>
      </c>
      <c r="S367" s="137" t="s">
        <v>193</v>
      </c>
      <c r="T367" s="137" t="s">
        <v>193</v>
      </c>
      <c r="U367" s="137" t="s">
        <v>193</v>
      </c>
      <c r="V367" s="137" t="s">
        <v>193</v>
      </c>
      <c r="W367" s="137" t="s">
        <v>193</v>
      </c>
      <c r="X367" s="137" t="s">
        <v>193</v>
      </c>
      <c r="Y367" s="137" t="s">
        <v>193</v>
      </c>
      <c r="Z367" s="137" t="s">
        <v>193</v>
      </c>
      <c r="AA367" s="137" t="s">
        <v>193</v>
      </c>
      <c r="AB367" s="137" t="s">
        <v>193</v>
      </c>
      <c r="AC367" s="137" t="s">
        <v>193</v>
      </c>
      <c r="AD367" s="137" t="s">
        <v>193</v>
      </c>
      <c r="AE367" s="137" t="s">
        <v>199</v>
      </c>
      <c r="AF367" s="137" t="s">
        <v>193</v>
      </c>
      <c r="AG367" s="137" t="s">
        <v>193</v>
      </c>
      <c r="AH367" s="137" t="s">
        <v>193</v>
      </c>
      <c r="AI367" s="137" t="s">
        <v>193</v>
      </c>
      <c r="AJ367" s="137" t="s">
        <v>193</v>
      </c>
      <c r="AK367" s="137" t="s">
        <v>193</v>
      </c>
      <c r="AL367" s="137" t="s">
        <v>193</v>
      </c>
      <c r="AM367" s="137" t="s">
        <v>193</v>
      </c>
      <c r="AN367" s="137" t="s">
        <v>53</v>
      </c>
      <c r="AO367" s="137">
        <v>100</v>
      </c>
      <c r="AP367" s="137">
        <v>0</v>
      </c>
      <c r="AQ367" s="137">
        <v>0</v>
      </c>
      <c r="AR367" s="137">
        <v>0</v>
      </c>
      <c r="AV367" s="1">
        <f t="shared" si="44"/>
        <v>101.72299999999998</v>
      </c>
      <c r="AW367" s="1">
        <f t="shared" si="38"/>
        <v>108.655</v>
      </c>
      <c r="AX367" s="13">
        <f t="shared" si="42"/>
        <v>1.0681458470552385</v>
      </c>
      <c r="BA367" s="12">
        <f t="shared" si="39"/>
        <v>0</v>
      </c>
      <c r="BB367" s="12">
        <f t="shared" si="43"/>
        <v>0</v>
      </c>
      <c r="BC367" s="12">
        <f t="shared" si="43"/>
        <v>0</v>
      </c>
      <c r="BD367" s="12">
        <f t="shared" si="43"/>
        <v>0</v>
      </c>
      <c r="BE367" s="12">
        <f t="shared" si="43"/>
        <v>0</v>
      </c>
      <c r="BF367" s="12">
        <f t="shared" si="40"/>
        <v>0</v>
      </c>
      <c r="BJ367" s="12" t="str">
        <f t="shared" si="41"/>
        <v>ja</v>
      </c>
      <c r="BK367" s="12">
        <f>VLOOKUP(B367,Kraftvärmeprod!$B$1:$BH$549,MATCH($BA$1,Kraftvärmeprod!$B$1:$CC$1,0),FALSE)</f>
        <v>0</v>
      </c>
    </row>
    <row r="368" spans="1:63" ht="15" customHeight="1" x14ac:dyDescent="0.25">
      <c r="A368" s="137" t="s">
        <v>52</v>
      </c>
      <c r="B368" s="137" t="s">
        <v>685</v>
      </c>
      <c r="C368" s="137">
        <v>2018</v>
      </c>
      <c r="D368" s="137">
        <v>189.86500000000001</v>
      </c>
      <c r="E368" s="137">
        <v>211.511</v>
      </c>
      <c r="F368" s="137" t="s">
        <v>193</v>
      </c>
      <c r="G368" s="137">
        <v>1.3120000000000001</v>
      </c>
      <c r="H368" s="137" t="s">
        <v>193</v>
      </c>
      <c r="I368" s="137">
        <v>10.760999999999999</v>
      </c>
      <c r="J368" s="137" t="s">
        <v>193</v>
      </c>
      <c r="K368" s="137" t="s">
        <v>193</v>
      </c>
      <c r="L368" s="137" t="s">
        <v>193</v>
      </c>
      <c r="M368" s="137" t="s">
        <v>53</v>
      </c>
      <c r="N368" s="137">
        <v>18.111000000000001</v>
      </c>
      <c r="O368" s="137" t="s">
        <v>193</v>
      </c>
      <c r="P368" s="137">
        <v>6.827</v>
      </c>
      <c r="Q368" s="137" t="s">
        <v>193</v>
      </c>
      <c r="R368" s="137" t="s">
        <v>193</v>
      </c>
      <c r="S368" s="137" t="s">
        <v>193</v>
      </c>
      <c r="T368" s="137" t="s">
        <v>194</v>
      </c>
      <c r="U368" s="137" t="s">
        <v>193</v>
      </c>
      <c r="V368" s="137" t="s">
        <v>193</v>
      </c>
      <c r="W368" s="137" t="s">
        <v>193</v>
      </c>
      <c r="X368" s="137">
        <v>128.125</v>
      </c>
      <c r="Y368" s="137" t="s">
        <v>193</v>
      </c>
      <c r="Z368" s="137" t="s">
        <v>193</v>
      </c>
      <c r="AA368" s="137" t="s">
        <v>193</v>
      </c>
      <c r="AB368" s="137" t="s">
        <v>193</v>
      </c>
      <c r="AC368" s="137">
        <v>8.1649999999999991</v>
      </c>
      <c r="AD368" s="137" t="s">
        <v>193</v>
      </c>
      <c r="AE368" s="137" t="s">
        <v>199</v>
      </c>
      <c r="AF368" s="137" t="s">
        <v>193</v>
      </c>
      <c r="AG368" s="137" t="s">
        <v>193</v>
      </c>
      <c r="AH368" s="137">
        <v>23.391999999999999</v>
      </c>
      <c r="AI368" s="137" t="s">
        <v>193</v>
      </c>
      <c r="AJ368" s="137" t="s">
        <v>193</v>
      </c>
      <c r="AK368" s="137" t="s">
        <v>193</v>
      </c>
      <c r="AL368" s="137">
        <v>14.818</v>
      </c>
      <c r="AM368" s="137">
        <v>14.81</v>
      </c>
      <c r="AN368" s="137" t="s">
        <v>53</v>
      </c>
      <c r="AO368" s="137">
        <v>95</v>
      </c>
      <c r="AP368" s="137">
        <v>4</v>
      </c>
      <c r="AQ368" s="137">
        <v>1</v>
      </c>
      <c r="AR368" s="137" t="s">
        <v>193</v>
      </c>
      <c r="AV368" s="1">
        <f t="shared" si="44"/>
        <v>211.511</v>
      </c>
      <c r="AW368" s="1">
        <f t="shared" si="38"/>
        <v>189.86500000000001</v>
      </c>
      <c r="AX368" s="13">
        <f t="shared" si="42"/>
        <v>0.89766016897466328</v>
      </c>
      <c r="BA368" s="12">
        <f t="shared" si="39"/>
        <v>23.391999999999999</v>
      </c>
      <c r="BB368" s="12">
        <f t="shared" si="43"/>
        <v>22.222399999999997</v>
      </c>
      <c r="BC368" s="12">
        <f t="shared" si="43"/>
        <v>0.93567999999999996</v>
      </c>
      <c r="BD368" s="12">
        <f t="shared" si="43"/>
        <v>0.23391999999999999</v>
      </c>
      <c r="BE368" s="12">
        <f t="shared" si="43"/>
        <v>0</v>
      </c>
      <c r="BF368" s="12">
        <f t="shared" si="40"/>
        <v>0</v>
      </c>
      <c r="BJ368" s="12" t="str">
        <f t="shared" si="41"/>
        <v/>
      </c>
      <c r="BK368" s="12">
        <f>VLOOKUP(B368,Kraftvärmeprod!$B$1:$BH$549,MATCH($BA$1,Kraftvärmeprod!$B$1:$CC$1,0),FALSE)</f>
        <v>0</v>
      </c>
    </row>
    <row r="369" spans="1:63" ht="15" customHeight="1" x14ac:dyDescent="0.25">
      <c r="A369" s="137" t="s">
        <v>52</v>
      </c>
      <c r="B369" s="137" t="s">
        <v>686</v>
      </c>
      <c r="C369" s="137">
        <v>2018</v>
      </c>
      <c r="D369" s="137">
        <v>2.2749999999999999</v>
      </c>
      <c r="E369" s="137">
        <v>2.5859999999999999</v>
      </c>
      <c r="F369" s="137" t="s">
        <v>193</v>
      </c>
      <c r="G369" s="137">
        <v>8.9999999999999993E-3</v>
      </c>
      <c r="H369" s="137" t="s">
        <v>193</v>
      </c>
      <c r="I369" s="137" t="s">
        <v>193</v>
      </c>
      <c r="J369" s="137" t="s">
        <v>193</v>
      </c>
      <c r="K369" s="137" t="s">
        <v>193</v>
      </c>
      <c r="L369" s="137" t="s">
        <v>193</v>
      </c>
      <c r="M369" s="137" t="s">
        <v>53</v>
      </c>
      <c r="N369" s="137" t="s">
        <v>193</v>
      </c>
      <c r="O369" s="137" t="s">
        <v>193</v>
      </c>
      <c r="P369" s="137" t="s">
        <v>193</v>
      </c>
      <c r="Q369" s="137" t="s">
        <v>193</v>
      </c>
      <c r="R369" s="137" t="s">
        <v>193</v>
      </c>
      <c r="S369" s="137" t="s">
        <v>193</v>
      </c>
      <c r="T369" s="137" t="s">
        <v>193</v>
      </c>
      <c r="U369" s="137" t="s">
        <v>193</v>
      </c>
      <c r="V369" s="137">
        <v>2.577</v>
      </c>
      <c r="W369" s="137" t="s">
        <v>193</v>
      </c>
      <c r="X369" s="137" t="s">
        <v>193</v>
      </c>
      <c r="Y369" s="137" t="s">
        <v>193</v>
      </c>
      <c r="Z369" s="137" t="s">
        <v>193</v>
      </c>
      <c r="AA369" s="137" t="s">
        <v>193</v>
      </c>
      <c r="AB369" s="137" t="s">
        <v>193</v>
      </c>
      <c r="AC369" s="137" t="s">
        <v>193</v>
      </c>
      <c r="AD369" s="137" t="s">
        <v>193</v>
      </c>
      <c r="AE369" s="137" t="s">
        <v>199</v>
      </c>
      <c r="AF369" s="137" t="s">
        <v>193</v>
      </c>
      <c r="AG369" s="137" t="s">
        <v>193</v>
      </c>
      <c r="AH369" s="137" t="s">
        <v>193</v>
      </c>
      <c r="AI369" s="137" t="s">
        <v>193</v>
      </c>
      <c r="AJ369" s="137" t="s">
        <v>193</v>
      </c>
      <c r="AK369" s="137" t="s">
        <v>193</v>
      </c>
      <c r="AL369" s="137" t="s">
        <v>193</v>
      </c>
      <c r="AM369" s="137" t="s">
        <v>193</v>
      </c>
      <c r="AN369" s="137" t="s">
        <v>53</v>
      </c>
      <c r="AO369" s="137" t="s">
        <v>193</v>
      </c>
      <c r="AP369" s="137" t="s">
        <v>193</v>
      </c>
      <c r="AQ369" s="137" t="s">
        <v>193</v>
      </c>
      <c r="AR369" s="137" t="s">
        <v>193</v>
      </c>
      <c r="AV369" s="1">
        <f t="shared" si="44"/>
        <v>2.5859999999999999</v>
      </c>
      <c r="AW369" s="1">
        <f t="shared" si="38"/>
        <v>2.2749999999999999</v>
      </c>
      <c r="AX369" s="13">
        <f t="shared" si="42"/>
        <v>0.87973704563031707</v>
      </c>
      <c r="BA369" s="12">
        <f t="shared" si="39"/>
        <v>0</v>
      </c>
      <c r="BB369" s="12">
        <f t="shared" si="43"/>
        <v>0</v>
      </c>
      <c r="BC369" s="12">
        <f t="shared" si="43"/>
        <v>0</v>
      </c>
      <c r="BD369" s="12">
        <f t="shared" si="43"/>
        <v>0</v>
      </c>
      <c r="BE369" s="12">
        <f t="shared" si="43"/>
        <v>0</v>
      </c>
      <c r="BF369" s="12">
        <f t="shared" si="40"/>
        <v>0</v>
      </c>
      <c r="BJ369" s="12" t="str">
        <f t="shared" si="41"/>
        <v/>
      </c>
      <c r="BK369" s="12">
        <f>VLOOKUP(B369,Kraftvärmeprod!$B$1:$BH$549,MATCH($BA$1,Kraftvärmeprod!$B$1:$CC$1,0),FALSE)</f>
        <v>0</v>
      </c>
    </row>
    <row r="370" spans="1:63" ht="15" customHeight="1" x14ac:dyDescent="0.25">
      <c r="A370" s="137" t="s">
        <v>52</v>
      </c>
      <c r="B370" s="137" t="s">
        <v>687</v>
      </c>
      <c r="C370" s="137">
        <v>2018</v>
      </c>
      <c r="D370" s="137">
        <v>31.721</v>
      </c>
      <c r="E370" s="137">
        <v>34.930999999999997</v>
      </c>
      <c r="F370" s="137" t="s">
        <v>193</v>
      </c>
      <c r="G370" s="137">
        <v>0.59599999999999997</v>
      </c>
      <c r="H370" s="137">
        <v>3.468</v>
      </c>
      <c r="I370" s="137" t="s">
        <v>193</v>
      </c>
      <c r="J370" s="137" t="s">
        <v>193</v>
      </c>
      <c r="K370" s="137" t="s">
        <v>193</v>
      </c>
      <c r="L370" s="137" t="s">
        <v>193</v>
      </c>
      <c r="M370" s="137" t="s">
        <v>53</v>
      </c>
      <c r="N370" s="137" t="s">
        <v>193</v>
      </c>
      <c r="O370" s="137" t="s">
        <v>193</v>
      </c>
      <c r="P370" s="137" t="s">
        <v>193</v>
      </c>
      <c r="Q370" s="137" t="s">
        <v>193</v>
      </c>
      <c r="R370" s="137" t="s">
        <v>193</v>
      </c>
      <c r="S370" s="137" t="s">
        <v>193</v>
      </c>
      <c r="T370" s="137" t="s">
        <v>193</v>
      </c>
      <c r="U370" s="137">
        <v>30.867000000000001</v>
      </c>
      <c r="V370" s="137" t="s">
        <v>193</v>
      </c>
      <c r="W370" s="137" t="s">
        <v>193</v>
      </c>
      <c r="X370" s="137" t="s">
        <v>193</v>
      </c>
      <c r="Y370" s="137" t="s">
        <v>193</v>
      </c>
      <c r="Z370" s="137" t="s">
        <v>193</v>
      </c>
      <c r="AA370" s="137" t="s">
        <v>193</v>
      </c>
      <c r="AB370" s="137" t="s">
        <v>193</v>
      </c>
      <c r="AC370" s="137" t="s">
        <v>193</v>
      </c>
      <c r="AD370" s="137" t="s">
        <v>193</v>
      </c>
      <c r="AE370" s="137" t="s">
        <v>199</v>
      </c>
      <c r="AF370" s="137" t="s">
        <v>193</v>
      </c>
      <c r="AG370" s="137" t="s">
        <v>193</v>
      </c>
      <c r="AH370" s="137" t="s">
        <v>193</v>
      </c>
      <c r="AI370" s="137" t="s">
        <v>193</v>
      </c>
      <c r="AJ370" s="137" t="s">
        <v>193</v>
      </c>
      <c r="AK370" s="137" t="s">
        <v>193</v>
      </c>
      <c r="AL370" s="137" t="s">
        <v>193</v>
      </c>
      <c r="AM370" s="137" t="s">
        <v>193</v>
      </c>
      <c r="AN370" s="137" t="s">
        <v>53</v>
      </c>
      <c r="AO370" s="137" t="s">
        <v>193</v>
      </c>
      <c r="AP370" s="137" t="s">
        <v>193</v>
      </c>
      <c r="AQ370" s="137" t="s">
        <v>193</v>
      </c>
      <c r="AR370" s="137" t="s">
        <v>193</v>
      </c>
      <c r="AV370" s="1">
        <f t="shared" si="44"/>
        <v>34.930999999999997</v>
      </c>
      <c r="AW370" s="1">
        <f t="shared" si="38"/>
        <v>31.721</v>
      </c>
      <c r="AX370" s="13">
        <f t="shared" si="42"/>
        <v>0.90810454896796544</v>
      </c>
      <c r="BA370" s="12">
        <f t="shared" si="39"/>
        <v>0</v>
      </c>
      <c r="BB370" s="12">
        <f t="shared" si="43"/>
        <v>0</v>
      </c>
      <c r="BC370" s="12">
        <f t="shared" si="43"/>
        <v>0</v>
      </c>
      <c r="BD370" s="12">
        <f t="shared" si="43"/>
        <v>0</v>
      </c>
      <c r="BE370" s="12">
        <f t="shared" si="43"/>
        <v>0</v>
      </c>
      <c r="BF370" s="12">
        <f t="shared" si="40"/>
        <v>0</v>
      </c>
      <c r="BJ370" s="12" t="str">
        <f t="shared" si="41"/>
        <v/>
      </c>
      <c r="BK370" s="12">
        <f>VLOOKUP(B370,Kraftvärmeprod!$B$1:$BH$549,MATCH($BA$1,Kraftvärmeprod!$B$1:$CC$1,0),FALSE)</f>
        <v>0</v>
      </c>
    </row>
    <row r="371" spans="1:63" ht="15" customHeight="1" x14ac:dyDescent="0.25">
      <c r="A371" s="137" t="s">
        <v>52</v>
      </c>
      <c r="B371" s="137" t="s">
        <v>688</v>
      </c>
      <c r="C371" s="137">
        <v>2018</v>
      </c>
      <c r="D371" s="137">
        <v>7.5590000000000002</v>
      </c>
      <c r="E371" s="137">
        <v>6.7759999999999998</v>
      </c>
      <c r="F371" s="137" t="s">
        <v>193</v>
      </c>
      <c r="G371" s="137">
        <v>0.48799999999999999</v>
      </c>
      <c r="H371" s="137" t="s">
        <v>193</v>
      </c>
      <c r="I371" s="137" t="s">
        <v>193</v>
      </c>
      <c r="J371" s="137" t="s">
        <v>193</v>
      </c>
      <c r="K371" s="137" t="s">
        <v>193</v>
      </c>
      <c r="L371" s="137" t="s">
        <v>193</v>
      </c>
      <c r="M371" s="137" t="s">
        <v>53</v>
      </c>
      <c r="N371" s="137" t="s">
        <v>193</v>
      </c>
      <c r="O371" s="137" t="s">
        <v>193</v>
      </c>
      <c r="P371" s="137">
        <v>1.92</v>
      </c>
      <c r="Q371" s="137">
        <v>0.95799999999999996</v>
      </c>
      <c r="R371" s="137" t="s">
        <v>193</v>
      </c>
      <c r="S371" s="137">
        <v>3.41</v>
      </c>
      <c r="T371" s="137" t="s">
        <v>193</v>
      </c>
      <c r="U371" s="137" t="s">
        <v>193</v>
      </c>
      <c r="V371" s="137" t="s">
        <v>193</v>
      </c>
      <c r="W371" s="137" t="s">
        <v>193</v>
      </c>
      <c r="X371" s="137" t="s">
        <v>193</v>
      </c>
      <c r="Y371" s="137" t="s">
        <v>193</v>
      </c>
      <c r="Z371" s="137" t="s">
        <v>193</v>
      </c>
      <c r="AA371" s="137" t="s">
        <v>193</v>
      </c>
      <c r="AB371" s="137" t="s">
        <v>193</v>
      </c>
      <c r="AC371" s="137" t="s">
        <v>193</v>
      </c>
      <c r="AD371" s="137" t="s">
        <v>193</v>
      </c>
      <c r="AE371" s="137" t="s">
        <v>199</v>
      </c>
      <c r="AF371" s="137" t="s">
        <v>193</v>
      </c>
      <c r="AG371" s="137" t="s">
        <v>193</v>
      </c>
      <c r="AH371" s="137" t="s">
        <v>193</v>
      </c>
      <c r="AI371" s="137" t="s">
        <v>193</v>
      </c>
      <c r="AJ371" s="137" t="s">
        <v>193</v>
      </c>
      <c r="AK371" s="137" t="s">
        <v>193</v>
      </c>
      <c r="AL371" s="137" t="s">
        <v>193</v>
      </c>
      <c r="AM371" s="137" t="s">
        <v>193</v>
      </c>
      <c r="AN371" s="137" t="s">
        <v>53</v>
      </c>
      <c r="AO371" s="137" t="s">
        <v>193</v>
      </c>
      <c r="AP371" s="137" t="s">
        <v>193</v>
      </c>
      <c r="AQ371" s="137" t="s">
        <v>193</v>
      </c>
      <c r="AR371" s="137" t="s">
        <v>193</v>
      </c>
      <c r="AV371" s="1">
        <f t="shared" si="44"/>
        <v>6.7759999999999998</v>
      </c>
      <c r="AW371" s="1">
        <f t="shared" si="38"/>
        <v>7.5590000000000002</v>
      </c>
      <c r="AX371" s="13">
        <f t="shared" si="42"/>
        <v>1.1155548996458089</v>
      </c>
      <c r="BA371" s="12">
        <f t="shared" si="39"/>
        <v>0</v>
      </c>
      <c r="BB371" s="12">
        <f t="shared" si="43"/>
        <v>0</v>
      </c>
      <c r="BC371" s="12">
        <f t="shared" si="43"/>
        <v>0</v>
      </c>
      <c r="BD371" s="12">
        <f t="shared" si="43"/>
        <v>0</v>
      </c>
      <c r="BE371" s="12">
        <f t="shared" si="43"/>
        <v>0</v>
      </c>
      <c r="BF371" s="12">
        <f t="shared" si="40"/>
        <v>0</v>
      </c>
      <c r="BJ371" s="12" t="str">
        <f t="shared" si="41"/>
        <v/>
      </c>
      <c r="BK371" s="12">
        <f>VLOOKUP(B371,Kraftvärmeprod!$B$1:$BH$549,MATCH($BA$1,Kraftvärmeprod!$B$1:$CC$1,0),FALSE)</f>
        <v>0</v>
      </c>
    </row>
    <row r="372" spans="1:63" ht="15" customHeight="1" x14ac:dyDescent="0.25">
      <c r="A372" s="137" t="s">
        <v>52</v>
      </c>
      <c r="B372" s="137" t="s">
        <v>689</v>
      </c>
      <c r="C372" s="137">
        <v>2018</v>
      </c>
      <c r="D372" s="137">
        <v>93.099000000000004</v>
      </c>
      <c r="E372" s="137">
        <v>105.236</v>
      </c>
      <c r="F372" s="137" t="s">
        <v>193</v>
      </c>
      <c r="G372" s="137">
        <v>1.891</v>
      </c>
      <c r="H372" s="137" t="s">
        <v>193</v>
      </c>
      <c r="I372" s="137" t="s">
        <v>193</v>
      </c>
      <c r="J372" s="137" t="s">
        <v>193</v>
      </c>
      <c r="K372" s="137" t="s">
        <v>193</v>
      </c>
      <c r="L372" s="137" t="s">
        <v>193</v>
      </c>
      <c r="M372" s="137" t="s">
        <v>53</v>
      </c>
      <c r="N372" s="137" t="s">
        <v>193</v>
      </c>
      <c r="O372" s="137" t="s">
        <v>193</v>
      </c>
      <c r="P372" s="137" t="s">
        <v>193</v>
      </c>
      <c r="Q372" s="137" t="s">
        <v>193</v>
      </c>
      <c r="R372" s="137" t="s">
        <v>193</v>
      </c>
      <c r="S372" s="137">
        <v>88.082999999999998</v>
      </c>
      <c r="T372" s="137" t="s">
        <v>193</v>
      </c>
      <c r="U372" s="137" t="s">
        <v>193</v>
      </c>
      <c r="V372" s="137" t="s">
        <v>193</v>
      </c>
      <c r="W372" s="137" t="s">
        <v>193</v>
      </c>
      <c r="X372" s="137" t="s">
        <v>193</v>
      </c>
      <c r="Y372" s="137" t="s">
        <v>193</v>
      </c>
      <c r="Z372" s="137" t="s">
        <v>193</v>
      </c>
      <c r="AA372" s="137" t="s">
        <v>193</v>
      </c>
      <c r="AB372" s="137" t="s">
        <v>193</v>
      </c>
      <c r="AC372" s="137" t="s">
        <v>193</v>
      </c>
      <c r="AD372" s="137" t="s">
        <v>193</v>
      </c>
      <c r="AE372" s="137" t="s">
        <v>199</v>
      </c>
      <c r="AF372" s="137" t="s">
        <v>193</v>
      </c>
      <c r="AG372" s="137" t="s">
        <v>193</v>
      </c>
      <c r="AH372" s="137">
        <v>15.262</v>
      </c>
      <c r="AI372" s="137" t="s">
        <v>193</v>
      </c>
      <c r="AJ372" s="137" t="s">
        <v>193</v>
      </c>
      <c r="AK372" s="137" t="s">
        <v>193</v>
      </c>
      <c r="AL372" s="137" t="s">
        <v>193</v>
      </c>
      <c r="AM372" s="137" t="s">
        <v>193</v>
      </c>
      <c r="AN372" s="137" t="s">
        <v>53</v>
      </c>
      <c r="AO372" s="137">
        <v>100</v>
      </c>
      <c r="AP372" s="137" t="s">
        <v>193</v>
      </c>
      <c r="AQ372" s="137" t="s">
        <v>193</v>
      </c>
      <c r="AR372" s="137" t="s">
        <v>193</v>
      </c>
      <c r="AV372" s="1">
        <f t="shared" si="44"/>
        <v>105.236</v>
      </c>
      <c r="AW372" s="1">
        <f t="shared" si="38"/>
        <v>93.099000000000004</v>
      </c>
      <c r="AX372" s="13">
        <f t="shared" si="42"/>
        <v>0.88466874453609035</v>
      </c>
      <c r="BA372" s="12">
        <f t="shared" si="39"/>
        <v>15.262</v>
      </c>
      <c r="BB372" s="12">
        <f t="shared" si="43"/>
        <v>15.262</v>
      </c>
      <c r="BC372" s="12">
        <f t="shared" si="43"/>
        <v>0</v>
      </c>
      <c r="BD372" s="12">
        <f t="shared" si="43"/>
        <v>0</v>
      </c>
      <c r="BE372" s="12">
        <f t="shared" si="43"/>
        <v>0</v>
      </c>
      <c r="BF372" s="12">
        <f t="shared" si="40"/>
        <v>0</v>
      </c>
      <c r="BJ372" s="12" t="str">
        <f t="shared" si="41"/>
        <v/>
      </c>
      <c r="BK372" s="12">
        <f>VLOOKUP(B372,Kraftvärmeprod!$B$1:$BH$549,MATCH($BA$1,Kraftvärmeprod!$B$1:$CC$1,0),FALSE)</f>
        <v>0</v>
      </c>
    </row>
    <row r="373" spans="1:63" ht="15" customHeight="1" x14ac:dyDescent="0.25">
      <c r="A373" s="137" t="s">
        <v>52</v>
      </c>
      <c r="B373" s="137" t="s">
        <v>690</v>
      </c>
      <c r="C373" s="137">
        <v>2018</v>
      </c>
      <c r="D373" s="137" t="s">
        <v>193</v>
      </c>
      <c r="E373" s="137" t="s">
        <v>193</v>
      </c>
      <c r="F373" s="137" t="s">
        <v>193</v>
      </c>
      <c r="G373" s="137" t="s">
        <v>193</v>
      </c>
      <c r="H373" s="137" t="s">
        <v>193</v>
      </c>
      <c r="I373" s="137" t="s">
        <v>193</v>
      </c>
      <c r="J373" s="137" t="s">
        <v>193</v>
      </c>
      <c r="K373" s="137" t="s">
        <v>193</v>
      </c>
      <c r="L373" s="137" t="s">
        <v>193</v>
      </c>
      <c r="M373" s="137" t="s">
        <v>53</v>
      </c>
      <c r="N373" s="137" t="s">
        <v>193</v>
      </c>
      <c r="O373" s="137" t="s">
        <v>193</v>
      </c>
      <c r="P373" s="137" t="s">
        <v>193</v>
      </c>
      <c r="Q373" s="137" t="s">
        <v>193</v>
      </c>
      <c r="R373" s="137" t="s">
        <v>193</v>
      </c>
      <c r="S373" s="137" t="s">
        <v>193</v>
      </c>
      <c r="T373" s="137" t="s">
        <v>193</v>
      </c>
      <c r="U373" s="137" t="s">
        <v>193</v>
      </c>
      <c r="V373" s="137" t="s">
        <v>193</v>
      </c>
      <c r="W373" s="137" t="s">
        <v>193</v>
      </c>
      <c r="X373" s="137" t="s">
        <v>193</v>
      </c>
      <c r="Y373" s="137" t="s">
        <v>193</v>
      </c>
      <c r="Z373" s="137" t="s">
        <v>193</v>
      </c>
      <c r="AA373" s="137" t="s">
        <v>193</v>
      </c>
      <c r="AB373" s="137" t="s">
        <v>193</v>
      </c>
      <c r="AC373" s="137" t="s">
        <v>193</v>
      </c>
      <c r="AD373" s="137" t="s">
        <v>193</v>
      </c>
      <c r="AE373" s="137" t="s">
        <v>199</v>
      </c>
      <c r="AF373" s="137" t="s">
        <v>193</v>
      </c>
      <c r="AG373" s="137" t="s">
        <v>193</v>
      </c>
      <c r="AH373" s="137" t="s">
        <v>193</v>
      </c>
      <c r="AI373" s="137" t="s">
        <v>193</v>
      </c>
      <c r="AJ373" s="137" t="s">
        <v>193</v>
      </c>
      <c r="AK373" s="137" t="s">
        <v>193</v>
      </c>
      <c r="AL373" s="137" t="s">
        <v>193</v>
      </c>
      <c r="AM373" s="137" t="s">
        <v>193</v>
      </c>
      <c r="AN373" s="137" t="s">
        <v>53</v>
      </c>
      <c r="AO373" s="137" t="s">
        <v>193</v>
      </c>
      <c r="AP373" s="137" t="s">
        <v>193</v>
      </c>
      <c r="AQ373" s="137" t="s">
        <v>193</v>
      </c>
      <c r="AR373" s="137" t="s">
        <v>193</v>
      </c>
      <c r="AV373" s="1">
        <f t="shared" si="44"/>
        <v>0</v>
      </c>
      <c r="AW373" s="1">
        <f t="shared" si="38"/>
        <v>0</v>
      </c>
      <c r="AX373" s="13" t="str">
        <f t="shared" si="42"/>
        <v/>
      </c>
      <c r="BA373" s="12">
        <f t="shared" si="39"/>
        <v>0</v>
      </c>
      <c r="BB373" s="12">
        <f t="shared" si="43"/>
        <v>0</v>
      </c>
      <c r="BC373" s="12">
        <f t="shared" si="43"/>
        <v>0</v>
      </c>
      <c r="BD373" s="12">
        <f t="shared" si="43"/>
        <v>0</v>
      </c>
      <c r="BE373" s="12">
        <f t="shared" si="43"/>
        <v>0</v>
      </c>
      <c r="BF373" s="12">
        <f t="shared" si="40"/>
        <v>0</v>
      </c>
      <c r="BJ373" s="12" t="str">
        <f t="shared" si="41"/>
        <v/>
      </c>
      <c r="BK373" s="12">
        <f>VLOOKUP(B373,Kraftvärmeprod!$B$1:$BH$549,MATCH($BA$1,Kraftvärmeprod!$B$1:$CC$1,0),FALSE)</f>
        <v>0</v>
      </c>
    </row>
    <row r="374" spans="1:63" ht="15" customHeight="1" x14ac:dyDescent="0.25">
      <c r="A374" s="137" t="s">
        <v>691</v>
      </c>
      <c r="B374" s="137" t="s">
        <v>692</v>
      </c>
      <c r="C374" s="137">
        <v>2018</v>
      </c>
      <c r="D374" s="137">
        <v>0.39200000000000002</v>
      </c>
      <c r="E374" s="137">
        <v>0.67300000000000004</v>
      </c>
      <c r="F374" s="137" t="s">
        <v>193</v>
      </c>
      <c r="G374" s="137">
        <v>0.14899999999999999</v>
      </c>
      <c r="H374" s="137" t="s">
        <v>193</v>
      </c>
      <c r="I374" s="137" t="s">
        <v>193</v>
      </c>
      <c r="J374" s="137" t="s">
        <v>193</v>
      </c>
      <c r="K374" s="137" t="s">
        <v>193</v>
      </c>
      <c r="L374" s="137" t="s">
        <v>193</v>
      </c>
      <c r="M374" s="137" t="s">
        <v>53</v>
      </c>
      <c r="N374" s="137" t="s">
        <v>193</v>
      </c>
      <c r="O374" s="137" t="s">
        <v>193</v>
      </c>
      <c r="P374" s="137" t="s">
        <v>193</v>
      </c>
      <c r="Q374" s="137" t="s">
        <v>193</v>
      </c>
      <c r="R374" s="137" t="s">
        <v>193</v>
      </c>
      <c r="S374" s="137" t="s">
        <v>193</v>
      </c>
      <c r="T374" s="137" t="s">
        <v>193</v>
      </c>
      <c r="U374" s="137">
        <v>0.52400000000000002</v>
      </c>
      <c r="V374" s="137" t="s">
        <v>193</v>
      </c>
      <c r="W374" s="137" t="s">
        <v>193</v>
      </c>
      <c r="X374" s="137" t="s">
        <v>193</v>
      </c>
      <c r="Y374" s="137" t="s">
        <v>193</v>
      </c>
      <c r="Z374" s="137" t="s">
        <v>193</v>
      </c>
      <c r="AA374" s="137" t="s">
        <v>193</v>
      </c>
      <c r="AB374" s="137" t="s">
        <v>193</v>
      </c>
      <c r="AC374" s="137" t="s">
        <v>193</v>
      </c>
      <c r="AD374" s="137" t="s">
        <v>193</v>
      </c>
      <c r="AE374" s="137" t="s">
        <v>199</v>
      </c>
      <c r="AF374" s="137" t="s">
        <v>193</v>
      </c>
      <c r="AG374" s="137" t="s">
        <v>193</v>
      </c>
      <c r="AH374" s="137" t="s">
        <v>193</v>
      </c>
      <c r="AI374" s="137" t="s">
        <v>193</v>
      </c>
      <c r="AJ374" s="137" t="s">
        <v>193</v>
      </c>
      <c r="AK374" s="137" t="s">
        <v>193</v>
      </c>
      <c r="AL374" s="137" t="s">
        <v>193</v>
      </c>
      <c r="AM374" s="137" t="s">
        <v>193</v>
      </c>
      <c r="AN374" s="137" t="s">
        <v>53</v>
      </c>
      <c r="AO374" s="137" t="s">
        <v>193</v>
      </c>
      <c r="AP374" s="137" t="s">
        <v>193</v>
      </c>
      <c r="AQ374" s="137" t="s">
        <v>193</v>
      </c>
      <c r="AR374" s="137" t="s">
        <v>193</v>
      </c>
      <c r="AV374" s="1">
        <f t="shared" si="44"/>
        <v>0.67300000000000004</v>
      </c>
      <c r="AW374" s="1">
        <f t="shared" si="38"/>
        <v>0.39200000000000002</v>
      </c>
      <c r="AX374" s="13">
        <f t="shared" si="42"/>
        <v>0.58246656760772664</v>
      </c>
      <c r="BA374" s="12">
        <f t="shared" si="39"/>
        <v>0</v>
      </c>
      <c r="BB374" s="12">
        <f t="shared" si="43"/>
        <v>0</v>
      </c>
      <c r="BC374" s="12">
        <f t="shared" si="43"/>
        <v>0</v>
      </c>
      <c r="BD374" s="12">
        <f t="shared" si="43"/>
        <v>0</v>
      </c>
      <c r="BE374" s="12">
        <f t="shared" si="43"/>
        <v>0</v>
      </c>
      <c r="BF374" s="12">
        <f t="shared" si="40"/>
        <v>0</v>
      </c>
      <c r="BJ374" s="12" t="str">
        <f t="shared" si="41"/>
        <v/>
      </c>
      <c r="BK374" s="12">
        <f>VLOOKUP(B374,Kraftvärmeprod!$B$1:$BH$549,MATCH($BA$1,Kraftvärmeprod!$B$1:$CC$1,0),FALSE)</f>
        <v>0</v>
      </c>
    </row>
    <row r="375" spans="1:63" ht="15" customHeight="1" x14ac:dyDescent="0.25">
      <c r="A375" s="137" t="s">
        <v>691</v>
      </c>
      <c r="B375" s="137" t="s">
        <v>693</v>
      </c>
      <c r="C375" s="137">
        <v>2018</v>
      </c>
      <c r="D375" s="137" t="s">
        <v>193</v>
      </c>
      <c r="E375" s="137" t="s">
        <v>193</v>
      </c>
      <c r="F375" s="137" t="s">
        <v>193</v>
      </c>
      <c r="G375" s="137" t="s">
        <v>193</v>
      </c>
      <c r="H375" s="137" t="s">
        <v>193</v>
      </c>
      <c r="I375" s="137" t="s">
        <v>193</v>
      </c>
      <c r="J375" s="137" t="s">
        <v>193</v>
      </c>
      <c r="K375" s="137" t="s">
        <v>193</v>
      </c>
      <c r="L375" s="137" t="s">
        <v>193</v>
      </c>
      <c r="M375" s="137" t="s">
        <v>53</v>
      </c>
      <c r="N375" s="137" t="s">
        <v>193</v>
      </c>
      <c r="O375" s="137" t="s">
        <v>193</v>
      </c>
      <c r="P375" s="137" t="s">
        <v>193</v>
      </c>
      <c r="Q375" s="137" t="s">
        <v>193</v>
      </c>
      <c r="R375" s="137" t="s">
        <v>193</v>
      </c>
      <c r="S375" s="137" t="s">
        <v>193</v>
      </c>
      <c r="T375" s="137" t="s">
        <v>193</v>
      </c>
      <c r="U375" s="137" t="s">
        <v>193</v>
      </c>
      <c r="V375" s="137" t="s">
        <v>193</v>
      </c>
      <c r="W375" s="137" t="s">
        <v>193</v>
      </c>
      <c r="X375" s="137" t="s">
        <v>193</v>
      </c>
      <c r="Y375" s="137" t="s">
        <v>193</v>
      </c>
      <c r="Z375" s="137" t="s">
        <v>193</v>
      </c>
      <c r="AA375" s="137" t="s">
        <v>193</v>
      </c>
      <c r="AB375" s="137" t="s">
        <v>193</v>
      </c>
      <c r="AC375" s="137" t="s">
        <v>193</v>
      </c>
      <c r="AD375" s="137" t="s">
        <v>193</v>
      </c>
      <c r="AE375" s="137" t="s">
        <v>199</v>
      </c>
      <c r="AF375" s="137" t="s">
        <v>193</v>
      </c>
      <c r="AG375" s="137" t="s">
        <v>193</v>
      </c>
      <c r="AH375" s="137" t="s">
        <v>193</v>
      </c>
      <c r="AI375" s="137" t="s">
        <v>193</v>
      </c>
      <c r="AJ375" s="137" t="s">
        <v>193</v>
      </c>
      <c r="AK375" s="137" t="s">
        <v>193</v>
      </c>
      <c r="AL375" s="137" t="s">
        <v>193</v>
      </c>
      <c r="AM375" s="137" t="s">
        <v>193</v>
      </c>
      <c r="AN375" s="137" t="s">
        <v>53</v>
      </c>
      <c r="AO375" s="137" t="s">
        <v>193</v>
      </c>
      <c r="AP375" s="137" t="s">
        <v>193</v>
      </c>
      <c r="AQ375" s="137" t="s">
        <v>193</v>
      </c>
      <c r="AR375" s="137" t="s">
        <v>193</v>
      </c>
      <c r="AV375" s="1">
        <f t="shared" si="44"/>
        <v>0</v>
      </c>
      <c r="AW375" s="1">
        <f t="shared" si="38"/>
        <v>0</v>
      </c>
      <c r="AX375" s="13" t="str">
        <f t="shared" si="42"/>
        <v/>
      </c>
      <c r="BA375" s="12">
        <f t="shared" si="39"/>
        <v>0</v>
      </c>
      <c r="BB375" s="12">
        <f t="shared" si="43"/>
        <v>0</v>
      </c>
      <c r="BC375" s="12">
        <f t="shared" si="43"/>
        <v>0</v>
      </c>
      <c r="BD375" s="12">
        <f t="shared" si="43"/>
        <v>0</v>
      </c>
      <c r="BE375" s="12">
        <f t="shared" si="43"/>
        <v>0</v>
      </c>
      <c r="BF375" s="12">
        <f t="shared" si="40"/>
        <v>0</v>
      </c>
      <c r="BJ375" s="12" t="str">
        <f t="shared" si="41"/>
        <v/>
      </c>
      <c r="BK375" s="12">
        <f>VLOOKUP(B375,Kraftvärmeprod!$B$1:$BH$549,MATCH($BA$1,Kraftvärmeprod!$B$1:$CC$1,0),FALSE)</f>
        <v>0</v>
      </c>
    </row>
    <row r="376" spans="1:63" ht="15" customHeight="1" x14ac:dyDescent="0.25">
      <c r="A376" s="137" t="s">
        <v>691</v>
      </c>
      <c r="B376" s="137" t="s">
        <v>694</v>
      </c>
      <c r="C376" s="137">
        <v>2018</v>
      </c>
      <c r="D376" s="137" t="s">
        <v>193</v>
      </c>
      <c r="E376" s="137" t="s">
        <v>193</v>
      </c>
      <c r="F376" s="137" t="s">
        <v>193</v>
      </c>
      <c r="G376" s="137" t="s">
        <v>193</v>
      </c>
      <c r="H376" s="137" t="s">
        <v>193</v>
      </c>
      <c r="I376" s="137" t="s">
        <v>193</v>
      </c>
      <c r="J376" s="137" t="s">
        <v>193</v>
      </c>
      <c r="K376" s="137" t="s">
        <v>193</v>
      </c>
      <c r="L376" s="137" t="s">
        <v>193</v>
      </c>
      <c r="M376" s="137" t="s">
        <v>53</v>
      </c>
      <c r="N376" s="137" t="s">
        <v>193</v>
      </c>
      <c r="O376" s="137" t="s">
        <v>193</v>
      </c>
      <c r="P376" s="137" t="s">
        <v>193</v>
      </c>
      <c r="Q376" s="137" t="s">
        <v>193</v>
      </c>
      <c r="R376" s="137" t="s">
        <v>193</v>
      </c>
      <c r="S376" s="137" t="s">
        <v>193</v>
      </c>
      <c r="T376" s="137" t="s">
        <v>193</v>
      </c>
      <c r="U376" s="137" t="s">
        <v>193</v>
      </c>
      <c r="V376" s="137" t="s">
        <v>193</v>
      </c>
      <c r="W376" s="137" t="s">
        <v>193</v>
      </c>
      <c r="X376" s="137" t="s">
        <v>193</v>
      </c>
      <c r="Y376" s="137" t="s">
        <v>193</v>
      </c>
      <c r="Z376" s="137" t="s">
        <v>193</v>
      </c>
      <c r="AA376" s="137" t="s">
        <v>193</v>
      </c>
      <c r="AB376" s="137" t="s">
        <v>193</v>
      </c>
      <c r="AC376" s="137" t="s">
        <v>193</v>
      </c>
      <c r="AD376" s="137" t="s">
        <v>193</v>
      </c>
      <c r="AE376" s="137" t="s">
        <v>199</v>
      </c>
      <c r="AF376" s="137" t="s">
        <v>193</v>
      </c>
      <c r="AG376" s="137" t="s">
        <v>193</v>
      </c>
      <c r="AH376" s="137" t="s">
        <v>193</v>
      </c>
      <c r="AI376" s="137" t="s">
        <v>193</v>
      </c>
      <c r="AJ376" s="137" t="s">
        <v>193</v>
      </c>
      <c r="AK376" s="137" t="s">
        <v>193</v>
      </c>
      <c r="AL376" s="137" t="s">
        <v>193</v>
      </c>
      <c r="AM376" s="137" t="s">
        <v>193</v>
      </c>
      <c r="AN376" s="137" t="s">
        <v>53</v>
      </c>
      <c r="AO376" s="137" t="s">
        <v>193</v>
      </c>
      <c r="AP376" s="137" t="s">
        <v>193</v>
      </c>
      <c r="AQ376" s="137" t="s">
        <v>193</v>
      </c>
      <c r="AR376" s="137" t="s">
        <v>193</v>
      </c>
      <c r="AV376" s="1">
        <f t="shared" si="44"/>
        <v>0</v>
      </c>
      <c r="AW376" s="1">
        <f t="shared" si="38"/>
        <v>0</v>
      </c>
      <c r="AX376" s="13" t="str">
        <f t="shared" si="42"/>
        <v/>
      </c>
      <c r="BA376" s="12">
        <f t="shared" si="39"/>
        <v>0</v>
      </c>
      <c r="BB376" s="12">
        <f t="shared" si="43"/>
        <v>0</v>
      </c>
      <c r="BC376" s="12">
        <f t="shared" si="43"/>
        <v>0</v>
      </c>
      <c r="BD376" s="12">
        <f t="shared" si="43"/>
        <v>0</v>
      </c>
      <c r="BE376" s="12">
        <f t="shared" si="43"/>
        <v>0</v>
      </c>
      <c r="BF376" s="12">
        <f t="shared" si="40"/>
        <v>0</v>
      </c>
      <c r="BJ376" s="12" t="str">
        <f t="shared" si="41"/>
        <v/>
      </c>
      <c r="BK376" s="12">
        <f>VLOOKUP(B376,Kraftvärmeprod!$B$1:$BH$549,MATCH($BA$1,Kraftvärmeprod!$B$1:$CC$1,0),FALSE)</f>
        <v>0</v>
      </c>
    </row>
    <row r="377" spans="1:63" ht="15" customHeight="1" x14ac:dyDescent="0.25">
      <c r="A377" s="137" t="s">
        <v>691</v>
      </c>
      <c r="B377" s="137" t="s">
        <v>695</v>
      </c>
      <c r="C377" s="137">
        <v>2018</v>
      </c>
      <c r="D377" s="137">
        <v>0.78600000000000003</v>
      </c>
      <c r="E377" s="137">
        <v>0.78600000000000003</v>
      </c>
      <c r="F377" s="137" t="s">
        <v>193</v>
      </c>
      <c r="G377" s="137">
        <v>0</v>
      </c>
      <c r="H377" s="137" t="s">
        <v>193</v>
      </c>
      <c r="I377" s="137" t="s">
        <v>193</v>
      </c>
      <c r="J377" s="137" t="s">
        <v>193</v>
      </c>
      <c r="K377" s="137" t="s">
        <v>193</v>
      </c>
      <c r="L377" s="137" t="s">
        <v>193</v>
      </c>
      <c r="M377" s="137" t="s">
        <v>53</v>
      </c>
      <c r="N377" s="137" t="s">
        <v>193</v>
      </c>
      <c r="O377" s="137" t="s">
        <v>193</v>
      </c>
      <c r="P377" s="137" t="s">
        <v>193</v>
      </c>
      <c r="Q377" s="137" t="s">
        <v>193</v>
      </c>
      <c r="R377" s="137" t="s">
        <v>193</v>
      </c>
      <c r="S377" s="137" t="s">
        <v>193</v>
      </c>
      <c r="T377" s="137" t="s">
        <v>193</v>
      </c>
      <c r="U377" s="137">
        <v>0.78600000000000003</v>
      </c>
      <c r="V377" s="137" t="s">
        <v>193</v>
      </c>
      <c r="W377" s="137" t="s">
        <v>193</v>
      </c>
      <c r="X377" s="137" t="s">
        <v>193</v>
      </c>
      <c r="Y377" s="137" t="s">
        <v>193</v>
      </c>
      <c r="Z377" s="137" t="s">
        <v>193</v>
      </c>
      <c r="AA377" s="137" t="s">
        <v>193</v>
      </c>
      <c r="AB377" s="137" t="s">
        <v>193</v>
      </c>
      <c r="AC377" s="137" t="s">
        <v>193</v>
      </c>
      <c r="AD377" s="137" t="s">
        <v>193</v>
      </c>
      <c r="AE377" s="137" t="s">
        <v>199</v>
      </c>
      <c r="AF377" s="137" t="s">
        <v>193</v>
      </c>
      <c r="AG377" s="137" t="s">
        <v>193</v>
      </c>
      <c r="AH377" s="137" t="s">
        <v>193</v>
      </c>
      <c r="AI377" s="137" t="s">
        <v>193</v>
      </c>
      <c r="AJ377" s="137" t="s">
        <v>193</v>
      </c>
      <c r="AK377" s="137" t="s">
        <v>193</v>
      </c>
      <c r="AL377" s="137" t="s">
        <v>193</v>
      </c>
      <c r="AM377" s="137" t="s">
        <v>193</v>
      </c>
      <c r="AN377" s="137" t="s">
        <v>53</v>
      </c>
      <c r="AO377" s="137" t="s">
        <v>193</v>
      </c>
      <c r="AP377" s="137" t="s">
        <v>193</v>
      </c>
      <c r="AQ377" s="137" t="s">
        <v>193</v>
      </c>
      <c r="AR377" s="137" t="s">
        <v>193</v>
      </c>
      <c r="AV377" s="1">
        <f t="shared" si="44"/>
        <v>0.78600000000000003</v>
      </c>
      <c r="AW377" s="1">
        <f t="shared" si="38"/>
        <v>0.78600000000000003</v>
      </c>
      <c r="AX377" s="13">
        <f t="shared" si="42"/>
        <v>1</v>
      </c>
      <c r="BA377" s="12">
        <f t="shared" si="39"/>
        <v>0</v>
      </c>
      <c r="BB377" s="12">
        <f t="shared" si="43"/>
        <v>0</v>
      </c>
      <c r="BC377" s="12">
        <f t="shared" si="43"/>
        <v>0</v>
      </c>
      <c r="BD377" s="12">
        <f t="shared" si="43"/>
        <v>0</v>
      </c>
      <c r="BE377" s="12">
        <f t="shared" si="43"/>
        <v>0</v>
      </c>
      <c r="BF377" s="12">
        <f t="shared" si="40"/>
        <v>0</v>
      </c>
      <c r="BJ377" s="12" t="str">
        <f t="shared" si="41"/>
        <v/>
      </c>
      <c r="BK377" s="12">
        <f>VLOOKUP(B377,Kraftvärmeprod!$B$1:$BH$549,MATCH($BA$1,Kraftvärmeprod!$B$1:$CC$1,0),FALSE)</f>
        <v>0</v>
      </c>
    </row>
    <row r="378" spans="1:63" ht="15" customHeight="1" x14ac:dyDescent="0.25">
      <c r="A378" s="137" t="s">
        <v>691</v>
      </c>
      <c r="B378" s="137" t="s">
        <v>696</v>
      </c>
      <c r="C378" s="137">
        <v>2018</v>
      </c>
      <c r="D378" s="137">
        <v>8.5999999999999993E-2</v>
      </c>
      <c r="E378" s="137">
        <v>8.5999999999999993E-2</v>
      </c>
      <c r="F378" s="137" t="s">
        <v>193</v>
      </c>
      <c r="G378" s="137">
        <v>8.5999999999999993E-2</v>
      </c>
      <c r="H378" s="137" t="s">
        <v>193</v>
      </c>
      <c r="I378" s="137" t="s">
        <v>193</v>
      </c>
      <c r="J378" s="137" t="s">
        <v>193</v>
      </c>
      <c r="K378" s="137" t="s">
        <v>193</v>
      </c>
      <c r="L378" s="137" t="s">
        <v>193</v>
      </c>
      <c r="M378" s="137" t="s">
        <v>53</v>
      </c>
      <c r="N378" s="137" t="s">
        <v>193</v>
      </c>
      <c r="O378" s="137" t="s">
        <v>193</v>
      </c>
      <c r="P378" s="137" t="s">
        <v>193</v>
      </c>
      <c r="Q378" s="137" t="s">
        <v>193</v>
      </c>
      <c r="R378" s="137" t="s">
        <v>193</v>
      </c>
      <c r="S378" s="137" t="s">
        <v>193</v>
      </c>
      <c r="T378" s="137" t="s">
        <v>194</v>
      </c>
      <c r="U378" s="137" t="s">
        <v>193</v>
      </c>
      <c r="V378" s="137" t="s">
        <v>193</v>
      </c>
      <c r="W378" s="137" t="s">
        <v>193</v>
      </c>
      <c r="X378" s="137" t="s">
        <v>193</v>
      </c>
      <c r="Y378" s="137" t="s">
        <v>193</v>
      </c>
      <c r="Z378" s="137" t="s">
        <v>193</v>
      </c>
      <c r="AA378" s="137" t="s">
        <v>193</v>
      </c>
      <c r="AB378" s="137" t="s">
        <v>193</v>
      </c>
      <c r="AC378" s="137" t="s">
        <v>193</v>
      </c>
      <c r="AD378" s="137" t="s">
        <v>193</v>
      </c>
      <c r="AE378" s="137" t="s">
        <v>199</v>
      </c>
      <c r="AF378" s="137" t="s">
        <v>193</v>
      </c>
      <c r="AG378" s="137" t="s">
        <v>193</v>
      </c>
      <c r="AH378" s="137" t="s">
        <v>193</v>
      </c>
      <c r="AI378" s="137" t="s">
        <v>193</v>
      </c>
      <c r="AJ378" s="137" t="s">
        <v>193</v>
      </c>
      <c r="AK378" s="137" t="s">
        <v>193</v>
      </c>
      <c r="AL378" s="137" t="s">
        <v>193</v>
      </c>
      <c r="AM378" s="137" t="s">
        <v>193</v>
      </c>
      <c r="AN378" s="137" t="s">
        <v>53</v>
      </c>
      <c r="AO378" s="137" t="s">
        <v>193</v>
      </c>
      <c r="AP378" s="137" t="s">
        <v>193</v>
      </c>
      <c r="AQ378" s="137" t="s">
        <v>193</v>
      </c>
      <c r="AR378" s="137" t="s">
        <v>193</v>
      </c>
      <c r="AV378" s="1">
        <f t="shared" si="44"/>
        <v>8.5999999999999993E-2</v>
      </c>
      <c r="AW378" s="1">
        <f t="shared" si="38"/>
        <v>8.5999999999999993E-2</v>
      </c>
      <c r="AX378" s="13">
        <f t="shared" si="42"/>
        <v>1</v>
      </c>
      <c r="BA378" s="12">
        <f t="shared" si="39"/>
        <v>0</v>
      </c>
      <c r="BB378" s="12">
        <f t="shared" si="43"/>
        <v>0</v>
      </c>
      <c r="BC378" s="12">
        <f t="shared" si="43"/>
        <v>0</v>
      </c>
      <c r="BD378" s="12">
        <f t="shared" si="43"/>
        <v>0</v>
      </c>
      <c r="BE378" s="12">
        <f t="shared" si="43"/>
        <v>0</v>
      </c>
      <c r="BF378" s="12">
        <f t="shared" si="40"/>
        <v>0</v>
      </c>
      <c r="BJ378" s="12" t="str">
        <f t="shared" si="41"/>
        <v/>
      </c>
      <c r="BK378" s="12">
        <f>VLOOKUP(B378,Kraftvärmeprod!$B$1:$BH$549,MATCH($BA$1,Kraftvärmeprod!$B$1:$CC$1,0),FALSE)</f>
        <v>0</v>
      </c>
    </row>
    <row r="379" spans="1:63" ht="15" customHeight="1" x14ac:dyDescent="0.25">
      <c r="A379" s="137" t="s">
        <v>691</v>
      </c>
      <c r="B379" s="137" t="s">
        <v>697</v>
      </c>
      <c r="C379" s="137">
        <v>2018</v>
      </c>
      <c r="D379" s="137">
        <v>91.837000000000003</v>
      </c>
      <c r="E379" s="137">
        <v>107.27370000000001</v>
      </c>
      <c r="F379" s="137" t="s">
        <v>193</v>
      </c>
      <c r="G379" s="137">
        <v>6.0699999999999997E-2</v>
      </c>
      <c r="H379" s="137" t="s">
        <v>193</v>
      </c>
      <c r="I379" s="137" t="s">
        <v>193</v>
      </c>
      <c r="J379" s="137" t="s">
        <v>193</v>
      </c>
      <c r="K379" s="137" t="s">
        <v>193</v>
      </c>
      <c r="L379" s="137">
        <v>2.5859999999999999</v>
      </c>
      <c r="M379" s="137" t="s">
        <v>53</v>
      </c>
      <c r="N379" s="137">
        <v>34.447000000000003</v>
      </c>
      <c r="O379" s="137">
        <v>29.02</v>
      </c>
      <c r="P379" s="137">
        <v>13.289</v>
      </c>
      <c r="Q379" s="137" t="s">
        <v>193</v>
      </c>
      <c r="R379" s="137" t="s">
        <v>193</v>
      </c>
      <c r="S379" s="137" t="s">
        <v>193</v>
      </c>
      <c r="T379" s="137" t="s">
        <v>194</v>
      </c>
      <c r="U379" s="137" t="s">
        <v>193</v>
      </c>
      <c r="V379" s="137" t="s">
        <v>193</v>
      </c>
      <c r="W379" s="137" t="s">
        <v>193</v>
      </c>
      <c r="X379" s="137" t="s">
        <v>193</v>
      </c>
      <c r="Y379" s="137" t="s">
        <v>193</v>
      </c>
      <c r="Z379" s="137">
        <v>12.273</v>
      </c>
      <c r="AA379" s="137" t="s">
        <v>193</v>
      </c>
      <c r="AB379" s="137">
        <v>0</v>
      </c>
      <c r="AC379" s="137" t="s">
        <v>193</v>
      </c>
      <c r="AD379" s="137" t="s">
        <v>193</v>
      </c>
      <c r="AE379" s="137" t="s">
        <v>199</v>
      </c>
      <c r="AF379" s="137" t="s">
        <v>193</v>
      </c>
      <c r="AG379" s="137">
        <v>0.89900000000000002</v>
      </c>
      <c r="AH379" s="137">
        <v>14.699</v>
      </c>
      <c r="AI379" s="137" t="s">
        <v>193</v>
      </c>
      <c r="AJ379" s="137" t="s">
        <v>193</v>
      </c>
      <c r="AK379" s="137" t="s">
        <v>193</v>
      </c>
      <c r="AL379" s="137">
        <v>0</v>
      </c>
      <c r="AM379" s="137">
        <v>0</v>
      </c>
      <c r="AN379" s="137" t="s">
        <v>53</v>
      </c>
      <c r="AO379" s="137">
        <v>100</v>
      </c>
      <c r="AP379" s="137">
        <v>0</v>
      </c>
      <c r="AQ379" s="137">
        <v>0</v>
      </c>
      <c r="AR379" s="137">
        <v>0</v>
      </c>
      <c r="AV379" s="1">
        <f t="shared" si="44"/>
        <v>107.27370000000001</v>
      </c>
      <c r="AW379" s="1">
        <f t="shared" si="38"/>
        <v>91.837000000000003</v>
      </c>
      <c r="AX379" s="13">
        <f t="shared" si="42"/>
        <v>0.8560998641791977</v>
      </c>
      <c r="BA379" s="12">
        <f t="shared" si="39"/>
        <v>14.699</v>
      </c>
      <c r="BB379" s="12">
        <f t="shared" si="43"/>
        <v>14.699</v>
      </c>
      <c r="BC379" s="12">
        <f t="shared" si="43"/>
        <v>0</v>
      </c>
      <c r="BD379" s="12">
        <f t="shared" si="43"/>
        <v>0</v>
      </c>
      <c r="BE379" s="12">
        <f t="shared" si="43"/>
        <v>0</v>
      </c>
      <c r="BF379" s="12">
        <f t="shared" si="40"/>
        <v>0</v>
      </c>
      <c r="BJ379" s="12" t="str">
        <f t="shared" si="41"/>
        <v/>
      </c>
      <c r="BK379" s="12">
        <f>VLOOKUP(B379,Kraftvärmeprod!$B$1:$BH$549,MATCH($BA$1,Kraftvärmeprod!$B$1:$CC$1,0),FALSE)</f>
        <v>19.888000000000002</v>
      </c>
    </row>
    <row r="380" spans="1:63" ht="15" customHeight="1" x14ac:dyDescent="0.25">
      <c r="A380" s="137" t="s">
        <v>698</v>
      </c>
      <c r="B380" s="137" t="s">
        <v>699</v>
      </c>
      <c r="C380" s="137">
        <v>2018</v>
      </c>
      <c r="D380" s="137">
        <v>96.128</v>
      </c>
      <c r="E380" s="137">
        <v>120.041</v>
      </c>
      <c r="F380" s="137" t="s">
        <v>193</v>
      </c>
      <c r="G380" s="137">
        <v>9.4E-2</v>
      </c>
      <c r="H380" s="137" t="s">
        <v>193</v>
      </c>
      <c r="I380" s="137" t="s">
        <v>193</v>
      </c>
      <c r="J380" s="137" t="s">
        <v>193</v>
      </c>
      <c r="K380" s="137" t="s">
        <v>193</v>
      </c>
      <c r="L380" s="137" t="s">
        <v>193</v>
      </c>
      <c r="M380" s="137" t="s">
        <v>53</v>
      </c>
      <c r="N380" s="137">
        <v>34.72</v>
      </c>
      <c r="O380" s="137">
        <v>6.1379999999999999</v>
      </c>
      <c r="P380" s="137">
        <v>27.561</v>
      </c>
      <c r="Q380" s="137">
        <v>14.253</v>
      </c>
      <c r="R380" s="137" t="s">
        <v>193</v>
      </c>
      <c r="S380" s="137" t="s">
        <v>193</v>
      </c>
      <c r="T380" s="137" t="s">
        <v>194</v>
      </c>
      <c r="U380" s="137" t="s">
        <v>193</v>
      </c>
      <c r="V380" s="137" t="s">
        <v>193</v>
      </c>
      <c r="W380" s="137" t="s">
        <v>193</v>
      </c>
      <c r="X380" s="137" t="s">
        <v>193</v>
      </c>
      <c r="Y380" s="137" t="s">
        <v>193</v>
      </c>
      <c r="Z380" s="137">
        <v>7.2069999999999999</v>
      </c>
      <c r="AA380" s="137" t="s">
        <v>193</v>
      </c>
      <c r="AB380" s="137">
        <v>4.7380000000000004</v>
      </c>
      <c r="AC380" s="137" t="s">
        <v>193</v>
      </c>
      <c r="AD380" s="137" t="s">
        <v>193</v>
      </c>
      <c r="AE380" s="137" t="s">
        <v>199</v>
      </c>
      <c r="AF380" s="137" t="s">
        <v>193</v>
      </c>
      <c r="AG380" s="137" t="s">
        <v>193</v>
      </c>
      <c r="AH380" s="137">
        <v>15.9</v>
      </c>
      <c r="AI380" s="137">
        <v>9.43</v>
      </c>
      <c r="AJ380" s="137" t="s">
        <v>271</v>
      </c>
      <c r="AK380" s="137">
        <v>1.1970000000000001</v>
      </c>
      <c r="AL380" s="137">
        <v>0</v>
      </c>
      <c r="AM380" s="137">
        <v>0</v>
      </c>
      <c r="AN380" s="137" t="s">
        <v>53</v>
      </c>
      <c r="AO380" s="137">
        <v>95</v>
      </c>
      <c r="AP380" s="137" t="s">
        <v>193</v>
      </c>
      <c r="AQ380" s="137" t="s">
        <v>193</v>
      </c>
      <c r="AR380" s="137">
        <v>5.4</v>
      </c>
      <c r="AV380" s="1">
        <f t="shared" si="44"/>
        <v>120.041</v>
      </c>
      <c r="AW380" s="1">
        <f t="shared" si="38"/>
        <v>96.128</v>
      </c>
      <c r="AX380" s="13">
        <f t="shared" si="42"/>
        <v>0.80079306237035686</v>
      </c>
      <c r="BA380" s="12">
        <f t="shared" si="39"/>
        <v>15.9</v>
      </c>
      <c r="BB380" s="12">
        <f t="shared" si="43"/>
        <v>15.105</v>
      </c>
      <c r="BC380" s="12">
        <f t="shared" si="43"/>
        <v>0</v>
      </c>
      <c r="BD380" s="12">
        <f t="shared" si="43"/>
        <v>0</v>
      </c>
      <c r="BE380" s="12">
        <f t="shared" si="43"/>
        <v>0.85860000000000014</v>
      </c>
      <c r="BF380" s="12">
        <f t="shared" si="40"/>
        <v>0</v>
      </c>
      <c r="BJ380" s="12" t="str">
        <f t="shared" si="41"/>
        <v/>
      </c>
      <c r="BK380" s="12">
        <f>VLOOKUP(B380,Kraftvärmeprod!$B$1:$BH$549,MATCH($BA$1,Kraftvärmeprod!$B$1:$CC$1,0),FALSE)</f>
        <v>0</v>
      </c>
    </row>
    <row r="381" spans="1:63" ht="15" customHeight="1" x14ac:dyDescent="0.25">
      <c r="A381" s="137" t="s">
        <v>698</v>
      </c>
      <c r="B381" s="137" t="s">
        <v>700</v>
      </c>
      <c r="C381" s="137">
        <v>2018</v>
      </c>
      <c r="D381" s="137">
        <v>13.797000000000001</v>
      </c>
      <c r="E381" s="137">
        <v>14.5185</v>
      </c>
      <c r="F381" s="137" t="s">
        <v>193</v>
      </c>
      <c r="G381" s="137" t="s">
        <v>193</v>
      </c>
      <c r="H381" s="137" t="s">
        <v>193</v>
      </c>
      <c r="I381" s="137" t="s">
        <v>193</v>
      </c>
      <c r="J381" s="137" t="s">
        <v>193</v>
      </c>
      <c r="K381" s="137" t="s">
        <v>193</v>
      </c>
      <c r="L381" s="137" t="s">
        <v>193</v>
      </c>
      <c r="M381" s="137" t="s">
        <v>53</v>
      </c>
      <c r="N381" s="137" t="s">
        <v>193</v>
      </c>
      <c r="O381" s="137" t="s">
        <v>193</v>
      </c>
      <c r="P381" s="137">
        <v>13.401</v>
      </c>
      <c r="Q381" s="137" t="s">
        <v>193</v>
      </c>
      <c r="R381" s="137" t="s">
        <v>193</v>
      </c>
      <c r="S381" s="137" t="s">
        <v>193</v>
      </c>
      <c r="T381" s="137" t="s">
        <v>193</v>
      </c>
      <c r="U381" s="137" t="s">
        <v>193</v>
      </c>
      <c r="V381" s="137" t="s">
        <v>193</v>
      </c>
      <c r="W381" s="137" t="s">
        <v>193</v>
      </c>
      <c r="X381" s="137" t="s">
        <v>193</v>
      </c>
      <c r="Y381" s="137" t="s">
        <v>193</v>
      </c>
      <c r="Z381" s="137">
        <v>1.1034999999999999</v>
      </c>
      <c r="AA381" s="137" t="s">
        <v>193</v>
      </c>
      <c r="AB381" s="137" t="s">
        <v>193</v>
      </c>
      <c r="AC381" s="137" t="s">
        <v>193</v>
      </c>
      <c r="AD381" s="137" t="s">
        <v>193</v>
      </c>
      <c r="AE381" s="137" t="s">
        <v>199</v>
      </c>
      <c r="AF381" s="137" t="s">
        <v>193</v>
      </c>
      <c r="AG381" s="137" t="s">
        <v>193</v>
      </c>
      <c r="AH381" s="137" t="s">
        <v>193</v>
      </c>
      <c r="AI381" s="137" t="s">
        <v>193</v>
      </c>
      <c r="AJ381" s="137" t="s">
        <v>193</v>
      </c>
      <c r="AK381" s="137" t="s">
        <v>193</v>
      </c>
      <c r="AL381" s="137">
        <v>1.4E-2</v>
      </c>
      <c r="AM381" s="137">
        <v>1.72E-2</v>
      </c>
      <c r="AN381" s="137" t="s">
        <v>53</v>
      </c>
      <c r="AO381" s="137" t="s">
        <v>193</v>
      </c>
      <c r="AP381" s="137" t="s">
        <v>193</v>
      </c>
      <c r="AQ381" s="137" t="s">
        <v>193</v>
      </c>
      <c r="AR381" s="137" t="s">
        <v>193</v>
      </c>
      <c r="AV381" s="1">
        <f t="shared" si="44"/>
        <v>14.5185</v>
      </c>
      <c r="AW381" s="1">
        <f t="shared" si="38"/>
        <v>13.797000000000001</v>
      </c>
      <c r="AX381" s="13">
        <f t="shared" si="42"/>
        <v>0.95030478355201986</v>
      </c>
      <c r="BA381" s="12">
        <f t="shared" si="39"/>
        <v>0</v>
      </c>
      <c r="BB381" s="12">
        <f t="shared" si="43"/>
        <v>0</v>
      </c>
      <c r="BC381" s="12">
        <f t="shared" si="43"/>
        <v>0</v>
      </c>
      <c r="BD381" s="12">
        <f t="shared" si="43"/>
        <v>0</v>
      </c>
      <c r="BE381" s="12">
        <f t="shared" si="43"/>
        <v>0</v>
      </c>
      <c r="BF381" s="12">
        <f t="shared" si="40"/>
        <v>0</v>
      </c>
      <c r="BJ381" s="12" t="str">
        <f t="shared" si="41"/>
        <v/>
      </c>
      <c r="BK381" s="12">
        <f>VLOOKUP(B381,Kraftvärmeprod!$B$1:$BH$549,MATCH($BA$1,Kraftvärmeprod!$B$1:$CC$1,0),FALSE)</f>
        <v>0</v>
      </c>
    </row>
    <row r="382" spans="1:63" ht="15" customHeight="1" x14ac:dyDescent="0.25">
      <c r="A382" s="137" t="s">
        <v>698</v>
      </c>
      <c r="B382" s="137" t="s">
        <v>701</v>
      </c>
      <c r="C382" s="137">
        <v>2018</v>
      </c>
      <c r="D382" s="137">
        <v>105.914</v>
      </c>
      <c r="E382" s="137">
        <v>125.461</v>
      </c>
      <c r="F382" s="137" t="s">
        <v>193</v>
      </c>
      <c r="G382" s="137">
        <v>2.5579999999999998</v>
      </c>
      <c r="H382" s="137" t="s">
        <v>193</v>
      </c>
      <c r="I382" s="137" t="s">
        <v>193</v>
      </c>
      <c r="J382" s="137" t="s">
        <v>193</v>
      </c>
      <c r="K382" s="137" t="s">
        <v>193</v>
      </c>
      <c r="L382" s="137" t="s">
        <v>193</v>
      </c>
      <c r="M382" s="137" t="s">
        <v>53</v>
      </c>
      <c r="N382" s="137">
        <v>1.6679999999999999</v>
      </c>
      <c r="O382" s="137">
        <v>9.0370000000000008</v>
      </c>
      <c r="P382" s="137">
        <v>6.58</v>
      </c>
      <c r="Q382" s="137">
        <v>1.514</v>
      </c>
      <c r="R382" s="137" t="s">
        <v>193</v>
      </c>
      <c r="S382" s="137" t="s">
        <v>193</v>
      </c>
      <c r="T382" s="137" t="s">
        <v>194</v>
      </c>
      <c r="U382" s="137" t="s">
        <v>193</v>
      </c>
      <c r="V382" s="137" t="s">
        <v>193</v>
      </c>
      <c r="W382" s="137" t="s">
        <v>193</v>
      </c>
      <c r="X382" s="137">
        <v>77.911000000000001</v>
      </c>
      <c r="Y382" s="137" t="s">
        <v>193</v>
      </c>
      <c r="Z382" s="137">
        <v>10.496</v>
      </c>
      <c r="AA382" s="137" t="s">
        <v>193</v>
      </c>
      <c r="AB382" s="137" t="s">
        <v>193</v>
      </c>
      <c r="AC382" s="137" t="s">
        <v>193</v>
      </c>
      <c r="AD382" s="137" t="s">
        <v>193</v>
      </c>
      <c r="AE382" s="137" t="s">
        <v>199</v>
      </c>
      <c r="AF382" s="137" t="s">
        <v>193</v>
      </c>
      <c r="AG382" s="137" t="s">
        <v>193</v>
      </c>
      <c r="AH382" s="137">
        <v>15.694000000000001</v>
      </c>
      <c r="AI382" s="137" t="s">
        <v>193</v>
      </c>
      <c r="AJ382" s="137" t="s">
        <v>193</v>
      </c>
      <c r="AK382" s="137" t="s">
        <v>193</v>
      </c>
      <c r="AL382" s="137">
        <v>3.0000000000000001E-3</v>
      </c>
      <c r="AM382" s="137">
        <v>3.0000000000000001E-3</v>
      </c>
      <c r="AN382" s="137" t="s">
        <v>53</v>
      </c>
      <c r="AO382" s="137">
        <v>100</v>
      </c>
      <c r="AP382" s="137" t="s">
        <v>193</v>
      </c>
      <c r="AQ382" s="137" t="s">
        <v>193</v>
      </c>
      <c r="AR382" s="137" t="s">
        <v>193</v>
      </c>
      <c r="AV382" s="1">
        <f t="shared" si="44"/>
        <v>125.461</v>
      </c>
      <c r="AW382" s="1">
        <f t="shared" si="38"/>
        <v>105.914</v>
      </c>
      <c r="AX382" s="13">
        <f t="shared" si="42"/>
        <v>0.84419859557950283</v>
      </c>
      <c r="BA382" s="12">
        <f t="shared" si="39"/>
        <v>15.694000000000001</v>
      </c>
      <c r="BB382" s="12">
        <f t="shared" si="43"/>
        <v>15.694000000000001</v>
      </c>
      <c r="BC382" s="12">
        <f t="shared" si="43"/>
        <v>0</v>
      </c>
      <c r="BD382" s="12">
        <f t="shared" si="43"/>
        <v>0</v>
      </c>
      <c r="BE382" s="12">
        <f t="shared" si="43"/>
        <v>0</v>
      </c>
      <c r="BF382" s="12">
        <f t="shared" si="40"/>
        <v>0</v>
      </c>
      <c r="BJ382" s="12" t="str">
        <f t="shared" si="41"/>
        <v/>
      </c>
      <c r="BK382" s="12">
        <f>VLOOKUP(B382,Kraftvärmeprod!$B$1:$BH$549,MATCH($BA$1,Kraftvärmeprod!$B$1:$CC$1,0),FALSE)</f>
        <v>0</v>
      </c>
    </row>
    <row r="383" spans="1:63" ht="15" customHeight="1" x14ac:dyDescent="0.25">
      <c r="A383" s="137" t="s">
        <v>698</v>
      </c>
      <c r="B383" s="137" t="s">
        <v>702</v>
      </c>
      <c r="C383" s="137">
        <v>2018</v>
      </c>
      <c r="D383" s="137" t="s">
        <v>193</v>
      </c>
      <c r="E383" s="137" t="s">
        <v>193</v>
      </c>
      <c r="F383" s="137" t="s">
        <v>193</v>
      </c>
      <c r="G383" s="137" t="s">
        <v>193</v>
      </c>
      <c r="H383" s="137" t="s">
        <v>193</v>
      </c>
      <c r="I383" s="137" t="s">
        <v>193</v>
      </c>
      <c r="J383" s="137" t="s">
        <v>193</v>
      </c>
      <c r="K383" s="137" t="s">
        <v>193</v>
      </c>
      <c r="L383" s="137" t="s">
        <v>193</v>
      </c>
      <c r="M383" s="137" t="s">
        <v>53</v>
      </c>
      <c r="N383" s="137" t="s">
        <v>193</v>
      </c>
      <c r="O383" s="137" t="s">
        <v>193</v>
      </c>
      <c r="P383" s="137" t="s">
        <v>193</v>
      </c>
      <c r="Q383" s="137" t="s">
        <v>193</v>
      </c>
      <c r="R383" s="137" t="s">
        <v>193</v>
      </c>
      <c r="S383" s="137" t="s">
        <v>193</v>
      </c>
      <c r="T383" s="137" t="s">
        <v>193</v>
      </c>
      <c r="U383" s="137" t="s">
        <v>193</v>
      </c>
      <c r="V383" s="137" t="s">
        <v>193</v>
      </c>
      <c r="W383" s="137" t="s">
        <v>193</v>
      </c>
      <c r="X383" s="137" t="s">
        <v>193</v>
      </c>
      <c r="Y383" s="137" t="s">
        <v>193</v>
      </c>
      <c r="Z383" s="137" t="s">
        <v>193</v>
      </c>
      <c r="AA383" s="137" t="s">
        <v>193</v>
      </c>
      <c r="AB383" s="137" t="s">
        <v>193</v>
      </c>
      <c r="AC383" s="137" t="s">
        <v>193</v>
      </c>
      <c r="AD383" s="137" t="s">
        <v>193</v>
      </c>
      <c r="AE383" s="137" t="s">
        <v>199</v>
      </c>
      <c r="AF383" s="137" t="s">
        <v>193</v>
      </c>
      <c r="AG383" s="137" t="s">
        <v>193</v>
      </c>
      <c r="AH383" s="137" t="s">
        <v>193</v>
      </c>
      <c r="AI383" s="137" t="s">
        <v>193</v>
      </c>
      <c r="AJ383" s="137" t="s">
        <v>193</v>
      </c>
      <c r="AK383" s="137" t="s">
        <v>193</v>
      </c>
      <c r="AL383" s="137" t="s">
        <v>193</v>
      </c>
      <c r="AM383" s="137" t="s">
        <v>193</v>
      </c>
      <c r="AN383" s="137" t="s">
        <v>53</v>
      </c>
      <c r="AO383" s="137" t="s">
        <v>193</v>
      </c>
      <c r="AP383" s="137" t="s">
        <v>193</v>
      </c>
      <c r="AQ383" s="137" t="s">
        <v>193</v>
      </c>
      <c r="AR383" s="137" t="s">
        <v>193</v>
      </c>
      <c r="AV383" s="1">
        <f t="shared" si="44"/>
        <v>0</v>
      </c>
      <c r="AW383" s="1">
        <f t="shared" si="38"/>
        <v>0</v>
      </c>
      <c r="AX383" s="13" t="str">
        <f t="shared" si="42"/>
        <v/>
      </c>
      <c r="BA383" s="12">
        <f t="shared" si="39"/>
        <v>0</v>
      </c>
      <c r="BB383" s="12">
        <f t="shared" si="43"/>
        <v>0</v>
      </c>
      <c r="BC383" s="12">
        <f t="shared" si="43"/>
        <v>0</v>
      </c>
      <c r="BD383" s="12">
        <f t="shared" si="43"/>
        <v>0</v>
      </c>
      <c r="BE383" s="12">
        <f t="shared" si="43"/>
        <v>0</v>
      </c>
      <c r="BF383" s="12">
        <f t="shared" si="40"/>
        <v>0</v>
      </c>
      <c r="BJ383" s="12" t="str">
        <f t="shared" si="41"/>
        <v/>
      </c>
      <c r="BK383" s="12">
        <f>VLOOKUP(B383,Kraftvärmeprod!$B$1:$BH$549,MATCH($BA$1,Kraftvärmeprod!$B$1:$CC$1,0),FALSE)</f>
        <v>0</v>
      </c>
    </row>
    <row r="384" spans="1:63" ht="15" customHeight="1" x14ac:dyDescent="0.25">
      <c r="A384" s="137" t="s">
        <v>703</v>
      </c>
      <c r="B384" s="137" t="s">
        <v>704</v>
      </c>
      <c r="C384" s="137">
        <v>2018</v>
      </c>
      <c r="D384" s="137">
        <v>9.3239999999999998</v>
      </c>
      <c r="E384" s="137">
        <v>10.819000000000001</v>
      </c>
      <c r="F384" s="137" t="s">
        <v>193</v>
      </c>
      <c r="G384" s="137">
        <v>0.41</v>
      </c>
      <c r="H384" s="137" t="s">
        <v>193</v>
      </c>
      <c r="I384" s="137" t="s">
        <v>193</v>
      </c>
      <c r="J384" s="137" t="s">
        <v>193</v>
      </c>
      <c r="K384" s="137" t="s">
        <v>193</v>
      </c>
      <c r="L384" s="137" t="s">
        <v>193</v>
      </c>
      <c r="M384" s="137" t="s">
        <v>53</v>
      </c>
      <c r="N384" s="137" t="s">
        <v>193</v>
      </c>
      <c r="O384" s="137" t="s">
        <v>193</v>
      </c>
      <c r="P384" s="137">
        <v>10.409000000000001</v>
      </c>
      <c r="Q384" s="137" t="s">
        <v>193</v>
      </c>
      <c r="R384" s="137" t="s">
        <v>193</v>
      </c>
      <c r="S384" s="137" t="s">
        <v>193</v>
      </c>
      <c r="T384" s="137" t="s">
        <v>193</v>
      </c>
      <c r="U384" s="137" t="s">
        <v>193</v>
      </c>
      <c r="V384" s="137" t="s">
        <v>193</v>
      </c>
      <c r="W384" s="137" t="s">
        <v>193</v>
      </c>
      <c r="X384" s="137" t="s">
        <v>193</v>
      </c>
      <c r="Y384" s="137" t="s">
        <v>193</v>
      </c>
      <c r="Z384" s="137" t="s">
        <v>193</v>
      </c>
      <c r="AA384" s="137" t="s">
        <v>193</v>
      </c>
      <c r="AB384" s="137" t="s">
        <v>193</v>
      </c>
      <c r="AC384" s="137" t="s">
        <v>193</v>
      </c>
      <c r="AD384" s="137" t="s">
        <v>193</v>
      </c>
      <c r="AE384" s="137" t="s">
        <v>53</v>
      </c>
      <c r="AF384" s="137" t="s">
        <v>193</v>
      </c>
      <c r="AG384" s="137" t="s">
        <v>193</v>
      </c>
      <c r="AH384" s="137" t="s">
        <v>193</v>
      </c>
      <c r="AI384" s="137" t="s">
        <v>193</v>
      </c>
      <c r="AJ384" s="137" t="s">
        <v>193</v>
      </c>
      <c r="AK384" s="137" t="s">
        <v>193</v>
      </c>
      <c r="AL384" s="137" t="s">
        <v>193</v>
      </c>
      <c r="AM384" s="137" t="s">
        <v>193</v>
      </c>
      <c r="AN384" s="137" t="s">
        <v>53</v>
      </c>
      <c r="AO384" s="137" t="s">
        <v>193</v>
      </c>
      <c r="AP384" s="137" t="s">
        <v>193</v>
      </c>
      <c r="AQ384" s="137" t="s">
        <v>193</v>
      </c>
      <c r="AR384" s="137" t="s">
        <v>193</v>
      </c>
      <c r="AV384" s="1">
        <f t="shared" si="44"/>
        <v>10.819000000000001</v>
      </c>
      <c r="AW384" s="1">
        <f t="shared" si="38"/>
        <v>9.3239999999999998</v>
      </c>
      <c r="AX384" s="13">
        <f t="shared" si="42"/>
        <v>0.86181717349108045</v>
      </c>
      <c r="BA384" s="12">
        <f t="shared" si="39"/>
        <v>0</v>
      </c>
      <c r="BB384" s="12">
        <f t="shared" si="43"/>
        <v>0</v>
      </c>
      <c r="BC384" s="12">
        <f t="shared" si="43"/>
        <v>0</v>
      </c>
      <c r="BD384" s="12">
        <f t="shared" si="43"/>
        <v>0</v>
      </c>
      <c r="BE384" s="12">
        <f t="shared" si="43"/>
        <v>0</v>
      </c>
      <c r="BF384" s="12">
        <f t="shared" si="40"/>
        <v>0</v>
      </c>
      <c r="BJ384" s="12" t="str">
        <f t="shared" si="41"/>
        <v/>
      </c>
      <c r="BK384" s="12">
        <f>VLOOKUP(B384,Kraftvärmeprod!$B$1:$BH$549,MATCH($BA$1,Kraftvärmeprod!$B$1:$CC$1,0),FALSE)</f>
        <v>0</v>
      </c>
    </row>
    <row r="385" spans="1:63" ht="15" customHeight="1" x14ac:dyDescent="0.25">
      <c r="A385" s="137" t="s">
        <v>703</v>
      </c>
      <c r="B385" s="137" t="s">
        <v>705</v>
      </c>
      <c r="C385" s="137">
        <v>2018</v>
      </c>
      <c r="D385" s="137">
        <v>30.867000000000001</v>
      </c>
      <c r="E385" s="137">
        <v>36.76</v>
      </c>
      <c r="F385" s="137" t="s">
        <v>193</v>
      </c>
      <c r="G385" s="137">
        <v>4.68</v>
      </c>
      <c r="H385" s="137" t="s">
        <v>193</v>
      </c>
      <c r="I385" s="137" t="s">
        <v>193</v>
      </c>
      <c r="J385" s="137" t="s">
        <v>193</v>
      </c>
      <c r="K385" s="137" t="s">
        <v>193</v>
      </c>
      <c r="L385" s="137" t="s">
        <v>193</v>
      </c>
      <c r="M385" s="137" t="s">
        <v>53</v>
      </c>
      <c r="N385" s="137">
        <v>15.7</v>
      </c>
      <c r="O385" s="137" t="s">
        <v>193</v>
      </c>
      <c r="P385" s="137">
        <v>16.38</v>
      </c>
      <c r="Q385" s="137" t="s">
        <v>193</v>
      </c>
      <c r="R385" s="137" t="s">
        <v>193</v>
      </c>
      <c r="S385" s="137" t="s">
        <v>193</v>
      </c>
      <c r="T385" s="137" t="s">
        <v>193</v>
      </c>
      <c r="U385" s="137" t="s">
        <v>193</v>
      </c>
      <c r="V385" s="137" t="s">
        <v>193</v>
      </c>
      <c r="W385" s="137" t="s">
        <v>193</v>
      </c>
      <c r="X385" s="137" t="s">
        <v>193</v>
      </c>
      <c r="Y385" s="137" t="s">
        <v>193</v>
      </c>
      <c r="Z385" s="137" t="s">
        <v>193</v>
      </c>
      <c r="AA385" s="137" t="s">
        <v>193</v>
      </c>
      <c r="AB385" s="137" t="s">
        <v>193</v>
      </c>
      <c r="AC385" s="137" t="s">
        <v>193</v>
      </c>
      <c r="AD385" s="137" t="s">
        <v>193</v>
      </c>
      <c r="AE385" s="137" t="s">
        <v>53</v>
      </c>
      <c r="AF385" s="137" t="s">
        <v>193</v>
      </c>
      <c r="AG385" s="137" t="s">
        <v>193</v>
      </c>
      <c r="AH385" s="137" t="s">
        <v>193</v>
      </c>
      <c r="AI385" s="137" t="s">
        <v>193</v>
      </c>
      <c r="AJ385" s="137" t="s">
        <v>193</v>
      </c>
      <c r="AK385" s="137" t="s">
        <v>193</v>
      </c>
      <c r="AL385" s="137" t="s">
        <v>193</v>
      </c>
      <c r="AM385" s="137" t="s">
        <v>193</v>
      </c>
      <c r="AN385" s="137" t="s">
        <v>53</v>
      </c>
      <c r="AO385" s="137" t="s">
        <v>193</v>
      </c>
      <c r="AP385" s="137" t="s">
        <v>193</v>
      </c>
      <c r="AQ385" s="137" t="s">
        <v>193</v>
      </c>
      <c r="AR385" s="137" t="s">
        <v>193</v>
      </c>
      <c r="AV385" s="1">
        <f t="shared" si="44"/>
        <v>36.76</v>
      </c>
      <c r="AW385" s="1">
        <f t="shared" ref="AW385:AW414" si="45">IFERROR(D385/1,0)</f>
        <v>30.867000000000001</v>
      </c>
      <c r="AX385" s="13">
        <f t="shared" si="42"/>
        <v>0.83968988030467906</v>
      </c>
      <c r="BA385" s="12">
        <f t="shared" ref="BA385:BA414" si="46">IFERROR(AH385/1,0)</f>
        <v>0</v>
      </c>
      <c r="BB385" s="12">
        <f t="shared" si="43"/>
        <v>0</v>
      </c>
      <c r="BC385" s="12">
        <f t="shared" si="43"/>
        <v>0</v>
      </c>
      <c r="BD385" s="12">
        <f t="shared" si="43"/>
        <v>0</v>
      </c>
      <c r="BE385" s="12">
        <f t="shared" ref="BE385:BE414" si="47">IFERROR(AR385/100,0)*$BA385</f>
        <v>0</v>
      </c>
      <c r="BF385" s="12">
        <f t="shared" ref="BF385:BF414" si="48">MAX(BA385-SUM(BB385:BE385),0)</f>
        <v>0</v>
      </c>
      <c r="BJ385" s="12" t="str">
        <f t="shared" ref="BJ385:BJ414" si="49">IF(AND((IFERROR(AO385/1,0)+IFERROR(AP385/1,0)+IFERROR(AQ385/1,0)+IFERROR(AR385/1,0))&gt;0,OR(TYPE(AH385)&lt;&gt;1,AH385=0)),"ja","")</f>
        <v/>
      </c>
      <c r="BK385" s="12">
        <f>VLOOKUP(B385,Kraftvärmeprod!$B$1:$BH$549,MATCH($BA$1,Kraftvärmeprod!$B$1:$CC$1,0),FALSE)</f>
        <v>0</v>
      </c>
    </row>
    <row r="386" spans="1:63" ht="15" customHeight="1" x14ac:dyDescent="0.25">
      <c r="A386" s="137" t="s">
        <v>703</v>
      </c>
      <c r="B386" s="137" t="s">
        <v>706</v>
      </c>
      <c r="C386" s="137">
        <v>2018</v>
      </c>
      <c r="D386" s="137">
        <v>152.41900000000001</v>
      </c>
      <c r="E386" s="137">
        <v>205.292</v>
      </c>
      <c r="F386" s="137" t="s">
        <v>193</v>
      </c>
      <c r="G386" s="137">
        <v>3.64</v>
      </c>
      <c r="H386" s="137" t="s">
        <v>193</v>
      </c>
      <c r="I386" s="137" t="s">
        <v>193</v>
      </c>
      <c r="J386" s="137" t="s">
        <v>193</v>
      </c>
      <c r="K386" s="137" t="s">
        <v>193</v>
      </c>
      <c r="L386" s="137" t="s">
        <v>193</v>
      </c>
      <c r="M386" s="137" t="s">
        <v>53</v>
      </c>
      <c r="N386" s="137">
        <v>60.61</v>
      </c>
      <c r="O386" s="137" t="s">
        <v>193</v>
      </c>
      <c r="P386" s="137">
        <v>27.056000000000001</v>
      </c>
      <c r="Q386" s="137" t="s">
        <v>193</v>
      </c>
      <c r="R386" s="137" t="s">
        <v>193</v>
      </c>
      <c r="S386" s="137" t="s">
        <v>193</v>
      </c>
      <c r="T386" s="137" t="s">
        <v>193</v>
      </c>
      <c r="U386" s="137" t="s">
        <v>193</v>
      </c>
      <c r="V386" s="137" t="s">
        <v>193</v>
      </c>
      <c r="W386" s="137" t="s">
        <v>193</v>
      </c>
      <c r="X386" s="137" t="s">
        <v>193</v>
      </c>
      <c r="Y386" s="137" t="s">
        <v>193</v>
      </c>
      <c r="Z386" s="137" t="s">
        <v>193</v>
      </c>
      <c r="AA386" s="137" t="s">
        <v>193</v>
      </c>
      <c r="AB386" s="137" t="s">
        <v>193</v>
      </c>
      <c r="AC386" s="137">
        <v>105.64400000000001</v>
      </c>
      <c r="AD386" s="137" t="s">
        <v>193</v>
      </c>
      <c r="AE386" s="137" t="s">
        <v>195</v>
      </c>
      <c r="AF386" s="137">
        <v>40.5</v>
      </c>
      <c r="AG386" s="137" t="s">
        <v>193</v>
      </c>
      <c r="AH386" s="137">
        <v>8.3420000000000005</v>
      </c>
      <c r="AI386" s="137" t="s">
        <v>193</v>
      </c>
      <c r="AJ386" s="137" t="s">
        <v>193</v>
      </c>
      <c r="AK386" s="137" t="s">
        <v>193</v>
      </c>
      <c r="AL386" s="137" t="s">
        <v>193</v>
      </c>
      <c r="AM386" s="137" t="s">
        <v>193</v>
      </c>
      <c r="AN386" s="137" t="s">
        <v>53</v>
      </c>
      <c r="AO386" s="137">
        <v>3.9</v>
      </c>
      <c r="AP386" s="137">
        <v>1.2</v>
      </c>
      <c r="AQ386" s="137" t="s">
        <v>193</v>
      </c>
      <c r="AR386" s="137" t="s">
        <v>193</v>
      </c>
      <c r="AV386" s="1">
        <f t="shared" si="44"/>
        <v>205.292</v>
      </c>
      <c r="AW386" s="1">
        <f t="shared" si="45"/>
        <v>152.41900000000001</v>
      </c>
      <c r="AX386" s="13">
        <f t="shared" ref="AX386:AX414" si="50">IFERROR(AW386/AV386,"")</f>
        <v>0.74244977885158703</v>
      </c>
      <c r="BA386" s="12">
        <f t="shared" si="46"/>
        <v>8.3420000000000005</v>
      </c>
      <c r="BB386" s="12">
        <f t="shared" ref="BB386:BD414" si="51">IFERROR(AO386/100,0)*$BA386</f>
        <v>0.32533800000000002</v>
      </c>
      <c r="BC386" s="12">
        <f t="shared" si="51"/>
        <v>0.10010400000000001</v>
      </c>
      <c r="BD386" s="12">
        <f t="shared" si="51"/>
        <v>0</v>
      </c>
      <c r="BE386" s="12">
        <f t="shared" si="47"/>
        <v>0</v>
      </c>
      <c r="BF386" s="12">
        <f t="shared" si="48"/>
        <v>7.9165580000000002</v>
      </c>
      <c r="BJ386" s="12" t="str">
        <f t="shared" si="49"/>
        <v/>
      </c>
      <c r="BK386" s="12">
        <f>VLOOKUP(B386,Kraftvärmeprod!$B$1:$BH$549,MATCH($BA$1,Kraftvärmeprod!$B$1:$CC$1,0),FALSE)</f>
        <v>2.528</v>
      </c>
    </row>
    <row r="387" spans="1:63" ht="15" customHeight="1" x14ac:dyDescent="0.25">
      <c r="A387" s="137" t="s">
        <v>707</v>
      </c>
      <c r="B387" s="137" t="s">
        <v>708</v>
      </c>
      <c r="C387" s="137">
        <v>2018</v>
      </c>
      <c r="D387" s="137">
        <v>310</v>
      </c>
      <c r="E387" s="137">
        <v>125.5</v>
      </c>
      <c r="F387" s="137" t="s">
        <v>193</v>
      </c>
      <c r="G387" s="137" t="s">
        <v>193</v>
      </c>
      <c r="H387" s="137" t="s">
        <v>193</v>
      </c>
      <c r="I387" s="137" t="s">
        <v>193</v>
      </c>
      <c r="J387" s="137" t="s">
        <v>193</v>
      </c>
      <c r="K387" s="137" t="s">
        <v>193</v>
      </c>
      <c r="L387" s="137" t="s">
        <v>193</v>
      </c>
      <c r="M387" s="137" t="s">
        <v>53</v>
      </c>
      <c r="N387" s="137">
        <v>29</v>
      </c>
      <c r="O387" s="137">
        <v>1</v>
      </c>
      <c r="P387" s="137">
        <v>38</v>
      </c>
      <c r="Q387" s="137">
        <v>1</v>
      </c>
      <c r="R387" s="137">
        <v>0</v>
      </c>
      <c r="S387" s="137">
        <v>4</v>
      </c>
      <c r="T387" s="137" t="s">
        <v>379</v>
      </c>
      <c r="U387" s="137">
        <v>32.200000000000003</v>
      </c>
      <c r="V387" s="137" t="s">
        <v>193</v>
      </c>
      <c r="W387" s="137" t="s">
        <v>193</v>
      </c>
      <c r="X387" s="137" t="s">
        <v>193</v>
      </c>
      <c r="Y387" s="137" t="s">
        <v>193</v>
      </c>
      <c r="Z387" s="137">
        <v>8.3000000000000007</v>
      </c>
      <c r="AA387" s="137" t="s">
        <v>193</v>
      </c>
      <c r="AB387" s="137" t="s">
        <v>193</v>
      </c>
      <c r="AC387" s="137" t="s">
        <v>193</v>
      </c>
      <c r="AD387" s="137" t="s">
        <v>193</v>
      </c>
      <c r="AE387" s="137" t="s">
        <v>199</v>
      </c>
      <c r="AF387" s="137" t="s">
        <v>193</v>
      </c>
      <c r="AG387" s="137" t="s">
        <v>193</v>
      </c>
      <c r="AH387" s="137">
        <v>12</v>
      </c>
      <c r="AI387" s="137" t="s">
        <v>193</v>
      </c>
      <c r="AJ387" s="137" t="s">
        <v>193</v>
      </c>
      <c r="AK387" s="137" t="s">
        <v>193</v>
      </c>
      <c r="AL387" s="137" t="s">
        <v>193</v>
      </c>
      <c r="AM387" s="137" t="s">
        <v>193</v>
      </c>
      <c r="AN387" s="137" t="s">
        <v>53</v>
      </c>
      <c r="AO387" s="137">
        <v>100</v>
      </c>
      <c r="AP387" s="137" t="s">
        <v>193</v>
      </c>
      <c r="AQ387" s="137" t="s">
        <v>193</v>
      </c>
      <c r="AR387" s="137" t="s">
        <v>193</v>
      </c>
      <c r="AV387" s="1">
        <f t="shared" ref="AV387:AV414" si="52">SUMPRODUCT(F387:AC387)+SUMPRODUCT(AG387:AI387)+IFERROR(AL387/1,0)</f>
        <v>125.5</v>
      </c>
      <c r="AW387" s="1">
        <f t="shared" si="45"/>
        <v>310</v>
      </c>
      <c r="AX387" s="13">
        <f t="shared" si="50"/>
        <v>2.4701195219123506</v>
      </c>
      <c r="BA387" s="12">
        <f t="shared" si="46"/>
        <v>12</v>
      </c>
      <c r="BB387" s="12">
        <f t="shared" si="51"/>
        <v>12</v>
      </c>
      <c r="BC387" s="12">
        <f t="shared" si="51"/>
        <v>0</v>
      </c>
      <c r="BD387" s="12">
        <f t="shared" si="51"/>
        <v>0</v>
      </c>
      <c r="BE387" s="12">
        <f t="shared" si="47"/>
        <v>0</v>
      </c>
      <c r="BF387" s="12">
        <f t="shared" si="48"/>
        <v>0</v>
      </c>
      <c r="BJ387" s="12" t="str">
        <f t="shared" si="49"/>
        <v/>
      </c>
      <c r="BK387" s="12">
        <f>VLOOKUP(B387,Kraftvärmeprod!$B$1:$BH$549,MATCH($BA$1,Kraftvärmeprod!$B$1:$CC$1,0),FALSE)</f>
        <v>0</v>
      </c>
    </row>
    <row r="388" spans="1:63" ht="15" customHeight="1" x14ac:dyDescent="0.25">
      <c r="A388" s="137" t="s">
        <v>707</v>
      </c>
      <c r="B388" s="137" t="s">
        <v>709</v>
      </c>
      <c r="C388" s="137">
        <v>2018</v>
      </c>
      <c r="D388" s="137" t="s">
        <v>53</v>
      </c>
      <c r="E388" s="137" t="s">
        <v>53</v>
      </c>
      <c r="F388" s="137" t="s">
        <v>53</v>
      </c>
      <c r="G388" s="137" t="s">
        <v>53</v>
      </c>
      <c r="H388" s="137" t="s">
        <v>53</v>
      </c>
      <c r="I388" s="137" t="s">
        <v>53</v>
      </c>
      <c r="J388" s="137" t="s">
        <v>53</v>
      </c>
      <c r="K388" s="137" t="s">
        <v>53</v>
      </c>
      <c r="L388" s="137" t="s">
        <v>53</v>
      </c>
      <c r="M388" s="137" t="s">
        <v>53</v>
      </c>
      <c r="N388" s="137" t="s">
        <v>53</v>
      </c>
      <c r="O388" s="137" t="s">
        <v>53</v>
      </c>
      <c r="P388" s="137" t="s">
        <v>53</v>
      </c>
      <c r="Q388" s="137" t="s">
        <v>53</v>
      </c>
      <c r="R388" s="137" t="s">
        <v>53</v>
      </c>
      <c r="S388" s="137" t="s">
        <v>53</v>
      </c>
      <c r="T388" s="137" t="s">
        <v>53</v>
      </c>
      <c r="U388" s="137" t="s">
        <v>53</v>
      </c>
      <c r="V388" s="137" t="s">
        <v>53</v>
      </c>
      <c r="W388" s="137" t="s">
        <v>53</v>
      </c>
      <c r="X388" s="137" t="s">
        <v>53</v>
      </c>
      <c r="Y388" s="137" t="s">
        <v>53</v>
      </c>
      <c r="Z388" s="137" t="s">
        <v>53</v>
      </c>
      <c r="AA388" s="137" t="s">
        <v>53</v>
      </c>
      <c r="AB388" s="137" t="s">
        <v>53</v>
      </c>
      <c r="AC388" s="137" t="s">
        <v>53</v>
      </c>
      <c r="AD388" s="137" t="s">
        <v>53</v>
      </c>
      <c r="AE388" s="137" t="s">
        <v>53</v>
      </c>
      <c r="AF388" s="137" t="s">
        <v>53</v>
      </c>
      <c r="AG388" s="137" t="s">
        <v>53</v>
      </c>
      <c r="AH388" s="137" t="s">
        <v>53</v>
      </c>
      <c r="AI388" s="137" t="s">
        <v>53</v>
      </c>
      <c r="AJ388" s="137" t="s">
        <v>53</v>
      </c>
      <c r="AK388" s="137" t="s">
        <v>53</v>
      </c>
      <c r="AL388" s="137" t="s">
        <v>53</v>
      </c>
      <c r="AM388" s="137" t="s">
        <v>53</v>
      </c>
      <c r="AN388" s="137" t="s">
        <v>53</v>
      </c>
      <c r="AO388" s="137" t="s">
        <v>53</v>
      </c>
      <c r="AP388" s="137" t="s">
        <v>53</v>
      </c>
      <c r="AQ388" s="137" t="s">
        <v>53</v>
      </c>
      <c r="AR388" s="137" t="s">
        <v>53</v>
      </c>
      <c r="AV388" s="1">
        <f t="shared" si="52"/>
        <v>0</v>
      </c>
      <c r="AW388" s="1">
        <f t="shared" si="45"/>
        <v>0</v>
      </c>
      <c r="AX388" s="13" t="str">
        <f t="shared" si="50"/>
        <v/>
      </c>
      <c r="BA388" s="12">
        <f t="shared" si="46"/>
        <v>0</v>
      </c>
      <c r="BB388" s="12">
        <f t="shared" si="51"/>
        <v>0</v>
      </c>
      <c r="BC388" s="12">
        <f t="shared" si="51"/>
        <v>0</v>
      </c>
      <c r="BD388" s="12">
        <f t="shared" si="51"/>
        <v>0</v>
      </c>
      <c r="BE388" s="12">
        <f t="shared" si="47"/>
        <v>0</v>
      </c>
      <c r="BF388" s="12">
        <f t="shared" si="48"/>
        <v>0</v>
      </c>
      <c r="BJ388" s="12" t="str">
        <f t="shared" si="49"/>
        <v/>
      </c>
      <c r="BK388" s="12">
        <f>VLOOKUP(B388,Kraftvärmeprod!$B$1:$BH$549,MATCH($BA$1,Kraftvärmeprod!$B$1:$CC$1,0),FALSE)</f>
        <v>0</v>
      </c>
    </row>
    <row r="389" spans="1:63" ht="15" customHeight="1" x14ac:dyDescent="0.25">
      <c r="A389" s="137" t="s">
        <v>707</v>
      </c>
      <c r="B389" s="137" t="s">
        <v>710</v>
      </c>
      <c r="C389" s="137">
        <v>2018</v>
      </c>
      <c r="D389" s="137">
        <v>14.8</v>
      </c>
      <c r="E389" s="137">
        <v>16.899999999999999</v>
      </c>
      <c r="F389" s="137" t="s">
        <v>193</v>
      </c>
      <c r="G389" s="137" t="s">
        <v>193</v>
      </c>
      <c r="H389" s="137" t="s">
        <v>193</v>
      </c>
      <c r="I389" s="137" t="s">
        <v>193</v>
      </c>
      <c r="J389" s="137" t="s">
        <v>193</v>
      </c>
      <c r="K389" s="137" t="s">
        <v>193</v>
      </c>
      <c r="L389" s="137" t="s">
        <v>193</v>
      </c>
      <c r="M389" s="137" t="s">
        <v>53</v>
      </c>
      <c r="N389" s="137" t="s">
        <v>193</v>
      </c>
      <c r="O389" s="137" t="s">
        <v>193</v>
      </c>
      <c r="P389" s="137" t="s">
        <v>193</v>
      </c>
      <c r="Q389" s="137" t="s">
        <v>193</v>
      </c>
      <c r="R389" s="137" t="s">
        <v>193</v>
      </c>
      <c r="S389" s="137" t="s">
        <v>193</v>
      </c>
      <c r="T389" s="137" t="s">
        <v>193</v>
      </c>
      <c r="U389" s="137">
        <v>16.3</v>
      </c>
      <c r="V389" s="137" t="s">
        <v>193</v>
      </c>
      <c r="W389" s="137" t="s">
        <v>193</v>
      </c>
      <c r="X389" s="137" t="s">
        <v>193</v>
      </c>
      <c r="Y389" s="137" t="s">
        <v>193</v>
      </c>
      <c r="Z389" s="137">
        <v>0.6</v>
      </c>
      <c r="AA389" s="137" t="s">
        <v>193</v>
      </c>
      <c r="AB389" s="137" t="s">
        <v>193</v>
      </c>
      <c r="AC389" s="137" t="s">
        <v>193</v>
      </c>
      <c r="AD389" s="137" t="s">
        <v>193</v>
      </c>
      <c r="AE389" s="137" t="s">
        <v>53</v>
      </c>
      <c r="AF389" s="137" t="s">
        <v>193</v>
      </c>
      <c r="AG389" s="137" t="s">
        <v>193</v>
      </c>
      <c r="AH389" s="137" t="s">
        <v>193</v>
      </c>
      <c r="AI389" s="137" t="s">
        <v>193</v>
      </c>
      <c r="AJ389" s="137" t="s">
        <v>193</v>
      </c>
      <c r="AK389" s="137" t="s">
        <v>193</v>
      </c>
      <c r="AL389" s="137" t="s">
        <v>193</v>
      </c>
      <c r="AM389" s="137" t="s">
        <v>193</v>
      </c>
      <c r="AN389" s="137" t="s">
        <v>53</v>
      </c>
      <c r="AO389" s="137" t="s">
        <v>193</v>
      </c>
      <c r="AP389" s="137" t="s">
        <v>193</v>
      </c>
      <c r="AQ389" s="137" t="s">
        <v>193</v>
      </c>
      <c r="AR389" s="137" t="s">
        <v>193</v>
      </c>
      <c r="AV389" s="1">
        <f t="shared" si="52"/>
        <v>16.900000000000002</v>
      </c>
      <c r="AW389" s="1">
        <f t="shared" si="45"/>
        <v>14.8</v>
      </c>
      <c r="AX389" s="13">
        <f t="shared" si="50"/>
        <v>0.87573964497041412</v>
      </c>
      <c r="BA389" s="12">
        <f t="shared" si="46"/>
        <v>0</v>
      </c>
      <c r="BB389" s="12">
        <f t="shared" si="51"/>
        <v>0</v>
      </c>
      <c r="BC389" s="12">
        <f t="shared" si="51"/>
        <v>0</v>
      </c>
      <c r="BD389" s="12">
        <f t="shared" si="51"/>
        <v>0</v>
      </c>
      <c r="BE389" s="12">
        <f t="shared" si="47"/>
        <v>0</v>
      </c>
      <c r="BF389" s="12">
        <f t="shared" si="48"/>
        <v>0</v>
      </c>
      <c r="BJ389" s="12" t="str">
        <f t="shared" si="49"/>
        <v/>
      </c>
      <c r="BK389" s="12">
        <f>VLOOKUP(B389,Kraftvärmeprod!$B$1:$BH$549,MATCH($BA$1,Kraftvärmeprod!$B$1:$CC$1,0),FALSE)</f>
        <v>0</v>
      </c>
    </row>
    <row r="390" spans="1:63" ht="15" customHeight="1" x14ac:dyDescent="0.25">
      <c r="A390" s="137" t="s">
        <v>707</v>
      </c>
      <c r="B390" s="137" t="s">
        <v>711</v>
      </c>
      <c r="C390" s="137">
        <v>2018</v>
      </c>
      <c r="D390" s="137" t="s">
        <v>53</v>
      </c>
      <c r="E390" s="137" t="s">
        <v>53</v>
      </c>
      <c r="F390" s="137" t="s">
        <v>53</v>
      </c>
      <c r="G390" s="137" t="s">
        <v>53</v>
      </c>
      <c r="H390" s="137" t="s">
        <v>53</v>
      </c>
      <c r="I390" s="137" t="s">
        <v>53</v>
      </c>
      <c r="J390" s="137" t="s">
        <v>53</v>
      </c>
      <c r="K390" s="137" t="s">
        <v>53</v>
      </c>
      <c r="L390" s="137" t="s">
        <v>53</v>
      </c>
      <c r="M390" s="137" t="s">
        <v>53</v>
      </c>
      <c r="N390" s="137" t="s">
        <v>53</v>
      </c>
      <c r="O390" s="137" t="s">
        <v>53</v>
      </c>
      <c r="P390" s="137" t="s">
        <v>53</v>
      </c>
      <c r="Q390" s="137" t="s">
        <v>53</v>
      </c>
      <c r="R390" s="137" t="s">
        <v>53</v>
      </c>
      <c r="S390" s="137" t="s">
        <v>53</v>
      </c>
      <c r="T390" s="137" t="s">
        <v>53</v>
      </c>
      <c r="U390" s="137" t="s">
        <v>53</v>
      </c>
      <c r="V390" s="137" t="s">
        <v>53</v>
      </c>
      <c r="W390" s="137" t="s">
        <v>53</v>
      </c>
      <c r="X390" s="137" t="s">
        <v>53</v>
      </c>
      <c r="Y390" s="137" t="s">
        <v>53</v>
      </c>
      <c r="Z390" s="137" t="s">
        <v>53</v>
      </c>
      <c r="AA390" s="137" t="s">
        <v>53</v>
      </c>
      <c r="AB390" s="137" t="s">
        <v>53</v>
      </c>
      <c r="AC390" s="137" t="s">
        <v>53</v>
      </c>
      <c r="AD390" s="137" t="s">
        <v>53</v>
      </c>
      <c r="AE390" s="137" t="s">
        <v>53</v>
      </c>
      <c r="AF390" s="137" t="s">
        <v>53</v>
      </c>
      <c r="AG390" s="137" t="s">
        <v>53</v>
      </c>
      <c r="AH390" s="137" t="s">
        <v>53</v>
      </c>
      <c r="AI390" s="137" t="s">
        <v>53</v>
      </c>
      <c r="AJ390" s="137" t="s">
        <v>53</v>
      </c>
      <c r="AK390" s="137" t="s">
        <v>53</v>
      </c>
      <c r="AL390" s="137" t="s">
        <v>53</v>
      </c>
      <c r="AM390" s="137" t="s">
        <v>53</v>
      </c>
      <c r="AN390" s="137" t="s">
        <v>53</v>
      </c>
      <c r="AO390" s="137" t="s">
        <v>53</v>
      </c>
      <c r="AP390" s="137" t="s">
        <v>53</v>
      </c>
      <c r="AQ390" s="137" t="s">
        <v>53</v>
      </c>
      <c r="AR390" s="137" t="s">
        <v>53</v>
      </c>
      <c r="AV390" s="1">
        <f t="shared" si="52"/>
        <v>0</v>
      </c>
      <c r="AW390" s="1">
        <f t="shared" si="45"/>
        <v>0</v>
      </c>
      <c r="AX390" s="13" t="str">
        <f t="shared" si="50"/>
        <v/>
      </c>
      <c r="BA390" s="12">
        <f t="shared" si="46"/>
        <v>0</v>
      </c>
      <c r="BB390" s="12">
        <f t="shared" si="51"/>
        <v>0</v>
      </c>
      <c r="BC390" s="12">
        <f t="shared" si="51"/>
        <v>0</v>
      </c>
      <c r="BD390" s="12">
        <f t="shared" si="51"/>
        <v>0</v>
      </c>
      <c r="BE390" s="12">
        <f t="shared" si="47"/>
        <v>0</v>
      </c>
      <c r="BF390" s="12">
        <f t="shared" si="48"/>
        <v>0</v>
      </c>
      <c r="BJ390" s="12" t="str">
        <f t="shared" si="49"/>
        <v/>
      </c>
      <c r="BK390" s="12">
        <f>VLOOKUP(B390,Kraftvärmeprod!$B$1:$BH$549,MATCH($BA$1,Kraftvärmeprod!$B$1:$CC$1,0),FALSE)</f>
        <v>0</v>
      </c>
    </row>
    <row r="391" spans="1:63" ht="15" customHeight="1" x14ac:dyDescent="0.25">
      <c r="A391" s="137" t="s">
        <v>712</v>
      </c>
      <c r="B391" s="137" t="s">
        <v>713</v>
      </c>
      <c r="C391" s="137">
        <v>2018</v>
      </c>
      <c r="D391" s="137">
        <v>17.298999999999999</v>
      </c>
      <c r="E391" s="137">
        <v>19.984000000000002</v>
      </c>
      <c r="F391" s="137" t="s">
        <v>193</v>
      </c>
      <c r="G391" s="137" t="s">
        <v>193</v>
      </c>
      <c r="H391" s="137" t="s">
        <v>193</v>
      </c>
      <c r="I391" s="137" t="s">
        <v>193</v>
      </c>
      <c r="J391" s="137" t="s">
        <v>193</v>
      </c>
      <c r="K391" s="137" t="s">
        <v>193</v>
      </c>
      <c r="L391" s="137" t="s">
        <v>193</v>
      </c>
      <c r="M391" s="137" t="s">
        <v>53</v>
      </c>
      <c r="N391" s="137" t="s">
        <v>193</v>
      </c>
      <c r="O391" s="137" t="s">
        <v>193</v>
      </c>
      <c r="P391" s="137">
        <v>14.672000000000001</v>
      </c>
      <c r="Q391" s="137" t="s">
        <v>193</v>
      </c>
      <c r="R391" s="137" t="s">
        <v>193</v>
      </c>
      <c r="S391" s="137" t="s">
        <v>193</v>
      </c>
      <c r="T391" s="137" t="s">
        <v>193</v>
      </c>
      <c r="U391" s="137">
        <v>4.3650000000000002</v>
      </c>
      <c r="V391" s="137" t="s">
        <v>193</v>
      </c>
      <c r="W391" s="137" t="s">
        <v>193</v>
      </c>
      <c r="X391" s="137" t="s">
        <v>193</v>
      </c>
      <c r="Y391" s="137" t="s">
        <v>193</v>
      </c>
      <c r="Z391" s="137">
        <v>0.94699999999999995</v>
      </c>
      <c r="AA391" s="137" t="s">
        <v>193</v>
      </c>
      <c r="AB391" s="137" t="s">
        <v>193</v>
      </c>
      <c r="AC391" s="137" t="s">
        <v>193</v>
      </c>
      <c r="AD391" s="137" t="s">
        <v>193</v>
      </c>
      <c r="AE391" s="137" t="s">
        <v>53</v>
      </c>
      <c r="AF391" s="137" t="s">
        <v>193</v>
      </c>
      <c r="AG391" s="137" t="s">
        <v>193</v>
      </c>
      <c r="AH391" s="137" t="s">
        <v>193</v>
      </c>
      <c r="AI391" s="137" t="s">
        <v>193</v>
      </c>
      <c r="AJ391" s="137" t="s">
        <v>193</v>
      </c>
      <c r="AK391" s="137" t="s">
        <v>193</v>
      </c>
      <c r="AL391" s="137" t="s">
        <v>193</v>
      </c>
      <c r="AM391" s="137" t="s">
        <v>193</v>
      </c>
      <c r="AN391" s="137" t="s">
        <v>53</v>
      </c>
      <c r="AO391" s="137" t="s">
        <v>193</v>
      </c>
      <c r="AP391" s="137" t="s">
        <v>193</v>
      </c>
      <c r="AQ391" s="137" t="s">
        <v>193</v>
      </c>
      <c r="AR391" s="137" t="s">
        <v>193</v>
      </c>
      <c r="AV391" s="1">
        <f t="shared" si="52"/>
        <v>19.983999999999998</v>
      </c>
      <c r="AW391" s="1">
        <f t="shared" si="45"/>
        <v>17.298999999999999</v>
      </c>
      <c r="AX391" s="13">
        <f t="shared" si="50"/>
        <v>0.86564251401120906</v>
      </c>
      <c r="BA391" s="12">
        <f t="shared" si="46"/>
        <v>0</v>
      </c>
      <c r="BB391" s="12">
        <f t="shared" si="51"/>
        <v>0</v>
      </c>
      <c r="BC391" s="12">
        <f t="shared" si="51"/>
        <v>0</v>
      </c>
      <c r="BD391" s="12">
        <f t="shared" si="51"/>
        <v>0</v>
      </c>
      <c r="BE391" s="12">
        <f t="shared" si="47"/>
        <v>0</v>
      </c>
      <c r="BF391" s="12">
        <f t="shared" si="48"/>
        <v>0</v>
      </c>
      <c r="BJ391" s="12" t="str">
        <f t="shared" si="49"/>
        <v/>
      </c>
      <c r="BK391" s="12">
        <f>VLOOKUP(B391,Kraftvärmeprod!$B$1:$BH$549,MATCH($BA$1,Kraftvärmeprod!$B$1:$CC$1,0),FALSE)</f>
        <v>0</v>
      </c>
    </row>
    <row r="392" spans="1:63" ht="15" customHeight="1" x14ac:dyDescent="0.25">
      <c r="A392" s="137" t="s">
        <v>712</v>
      </c>
      <c r="B392" s="137" t="s">
        <v>714</v>
      </c>
      <c r="C392" s="137">
        <v>2018</v>
      </c>
      <c r="D392" s="137">
        <v>9.77</v>
      </c>
      <c r="E392" s="137">
        <v>10.994999999999999</v>
      </c>
      <c r="F392" s="137" t="s">
        <v>193</v>
      </c>
      <c r="G392" s="137" t="s">
        <v>193</v>
      </c>
      <c r="H392" s="137" t="s">
        <v>193</v>
      </c>
      <c r="I392" s="137" t="s">
        <v>193</v>
      </c>
      <c r="J392" s="137" t="s">
        <v>193</v>
      </c>
      <c r="K392" s="137" t="s">
        <v>193</v>
      </c>
      <c r="L392" s="137" t="s">
        <v>193</v>
      </c>
      <c r="M392" s="137" t="s">
        <v>53</v>
      </c>
      <c r="N392" s="137" t="s">
        <v>193</v>
      </c>
      <c r="O392" s="137" t="s">
        <v>193</v>
      </c>
      <c r="P392" s="137">
        <v>5.5110000000000001</v>
      </c>
      <c r="Q392" s="137" t="s">
        <v>193</v>
      </c>
      <c r="R392" s="137" t="s">
        <v>193</v>
      </c>
      <c r="S392" s="137" t="s">
        <v>193</v>
      </c>
      <c r="T392" s="137" t="s">
        <v>193</v>
      </c>
      <c r="U392" s="137">
        <v>4.2549999999999999</v>
      </c>
      <c r="V392" s="137" t="s">
        <v>193</v>
      </c>
      <c r="W392" s="137" t="s">
        <v>193</v>
      </c>
      <c r="X392" s="137" t="s">
        <v>193</v>
      </c>
      <c r="Y392" s="137" t="s">
        <v>193</v>
      </c>
      <c r="Z392" s="137">
        <v>1.2290000000000001</v>
      </c>
      <c r="AA392" s="137" t="s">
        <v>193</v>
      </c>
      <c r="AB392" s="137" t="s">
        <v>193</v>
      </c>
      <c r="AC392" s="137" t="s">
        <v>193</v>
      </c>
      <c r="AD392" s="137" t="s">
        <v>193</v>
      </c>
      <c r="AE392" s="137" t="s">
        <v>53</v>
      </c>
      <c r="AF392" s="137" t="s">
        <v>193</v>
      </c>
      <c r="AG392" s="137" t="s">
        <v>193</v>
      </c>
      <c r="AH392" s="137" t="s">
        <v>193</v>
      </c>
      <c r="AI392" s="137" t="s">
        <v>193</v>
      </c>
      <c r="AJ392" s="137" t="s">
        <v>193</v>
      </c>
      <c r="AK392" s="137" t="s">
        <v>193</v>
      </c>
      <c r="AL392" s="137" t="s">
        <v>193</v>
      </c>
      <c r="AM392" s="137" t="s">
        <v>193</v>
      </c>
      <c r="AN392" s="137" t="s">
        <v>53</v>
      </c>
      <c r="AO392" s="137" t="s">
        <v>193</v>
      </c>
      <c r="AP392" s="137" t="s">
        <v>193</v>
      </c>
      <c r="AQ392" s="137" t="s">
        <v>193</v>
      </c>
      <c r="AR392" s="137" t="s">
        <v>193</v>
      </c>
      <c r="AV392" s="1">
        <f t="shared" si="52"/>
        <v>10.995000000000001</v>
      </c>
      <c r="AW392" s="1">
        <f t="shared" si="45"/>
        <v>9.77</v>
      </c>
      <c r="AX392" s="13">
        <f t="shared" si="50"/>
        <v>0.88858572078217357</v>
      </c>
      <c r="BA392" s="12">
        <f t="shared" si="46"/>
        <v>0</v>
      </c>
      <c r="BB392" s="12">
        <f t="shared" si="51"/>
        <v>0</v>
      </c>
      <c r="BC392" s="12">
        <f t="shared" si="51"/>
        <v>0</v>
      </c>
      <c r="BD392" s="12">
        <f t="shared" si="51"/>
        <v>0</v>
      </c>
      <c r="BE392" s="12">
        <f t="shared" si="47"/>
        <v>0</v>
      </c>
      <c r="BF392" s="12">
        <f t="shared" si="48"/>
        <v>0</v>
      </c>
      <c r="BJ392" s="12" t="str">
        <f t="shared" si="49"/>
        <v/>
      </c>
      <c r="BK392" s="12">
        <f>VLOOKUP(B392,Kraftvärmeprod!$B$1:$BH$549,MATCH($BA$1,Kraftvärmeprod!$B$1:$CC$1,0),FALSE)</f>
        <v>0</v>
      </c>
    </row>
    <row r="393" spans="1:63" ht="15" customHeight="1" x14ac:dyDescent="0.25">
      <c r="A393" s="137" t="s">
        <v>712</v>
      </c>
      <c r="B393" s="137" t="s">
        <v>715</v>
      </c>
      <c r="C393" s="137">
        <v>2018</v>
      </c>
      <c r="D393" s="137">
        <v>12.972</v>
      </c>
      <c r="E393" s="137">
        <v>14.185</v>
      </c>
      <c r="F393" s="137" t="s">
        <v>193</v>
      </c>
      <c r="G393" s="137" t="s">
        <v>193</v>
      </c>
      <c r="H393" s="137" t="s">
        <v>193</v>
      </c>
      <c r="I393" s="137" t="s">
        <v>193</v>
      </c>
      <c r="J393" s="137" t="s">
        <v>193</v>
      </c>
      <c r="K393" s="137" t="s">
        <v>193</v>
      </c>
      <c r="L393" s="137" t="s">
        <v>193</v>
      </c>
      <c r="M393" s="137" t="s">
        <v>53</v>
      </c>
      <c r="N393" s="137" t="s">
        <v>193</v>
      </c>
      <c r="O393" s="137" t="s">
        <v>193</v>
      </c>
      <c r="P393" s="137">
        <v>12.664</v>
      </c>
      <c r="Q393" s="137" t="s">
        <v>193</v>
      </c>
      <c r="R393" s="137" t="s">
        <v>193</v>
      </c>
      <c r="S393" s="137" t="s">
        <v>193</v>
      </c>
      <c r="T393" s="137" t="s">
        <v>193</v>
      </c>
      <c r="U393" s="137" t="s">
        <v>193</v>
      </c>
      <c r="V393" s="137" t="s">
        <v>193</v>
      </c>
      <c r="W393" s="137" t="s">
        <v>193</v>
      </c>
      <c r="X393" s="137" t="s">
        <v>193</v>
      </c>
      <c r="Y393" s="137" t="s">
        <v>193</v>
      </c>
      <c r="Z393" s="137">
        <v>1.5209999999999999</v>
      </c>
      <c r="AA393" s="137" t="s">
        <v>193</v>
      </c>
      <c r="AB393" s="137" t="s">
        <v>193</v>
      </c>
      <c r="AC393" s="137" t="s">
        <v>193</v>
      </c>
      <c r="AD393" s="137" t="s">
        <v>193</v>
      </c>
      <c r="AE393" s="137" t="s">
        <v>53</v>
      </c>
      <c r="AF393" s="137" t="s">
        <v>193</v>
      </c>
      <c r="AG393" s="137" t="s">
        <v>193</v>
      </c>
      <c r="AH393" s="137" t="s">
        <v>193</v>
      </c>
      <c r="AI393" s="137" t="s">
        <v>193</v>
      </c>
      <c r="AJ393" s="137" t="s">
        <v>193</v>
      </c>
      <c r="AK393" s="137" t="s">
        <v>193</v>
      </c>
      <c r="AL393" s="137" t="s">
        <v>193</v>
      </c>
      <c r="AM393" s="137" t="s">
        <v>193</v>
      </c>
      <c r="AN393" s="137" t="s">
        <v>53</v>
      </c>
      <c r="AO393" s="137" t="s">
        <v>193</v>
      </c>
      <c r="AP393" s="137" t="s">
        <v>193</v>
      </c>
      <c r="AQ393" s="137" t="s">
        <v>193</v>
      </c>
      <c r="AR393" s="137" t="s">
        <v>193</v>
      </c>
      <c r="AV393" s="1">
        <f t="shared" si="52"/>
        <v>14.184999999999999</v>
      </c>
      <c r="AW393" s="1">
        <f t="shared" si="45"/>
        <v>12.972</v>
      </c>
      <c r="AX393" s="13">
        <f t="shared" si="50"/>
        <v>0.9144871342967924</v>
      </c>
      <c r="BA393" s="12">
        <f t="shared" si="46"/>
        <v>0</v>
      </c>
      <c r="BB393" s="12">
        <f t="shared" si="51"/>
        <v>0</v>
      </c>
      <c r="BC393" s="12">
        <f t="shared" si="51"/>
        <v>0</v>
      </c>
      <c r="BD393" s="12">
        <f t="shared" si="51"/>
        <v>0</v>
      </c>
      <c r="BE393" s="12">
        <f t="shared" si="47"/>
        <v>0</v>
      </c>
      <c r="BF393" s="12">
        <f t="shared" si="48"/>
        <v>0</v>
      </c>
      <c r="BJ393" s="12" t="str">
        <f t="shared" si="49"/>
        <v/>
      </c>
      <c r="BK393" s="12">
        <f>VLOOKUP(B393,Kraftvärmeprod!$B$1:$BH$549,MATCH($BA$1,Kraftvärmeprod!$B$1:$CC$1,0),FALSE)</f>
        <v>0</v>
      </c>
    </row>
    <row r="394" spans="1:63" ht="15" customHeight="1" x14ac:dyDescent="0.25">
      <c r="A394" s="137" t="s">
        <v>712</v>
      </c>
      <c r="B394" s="137" t="s">
        <v>716</v>
      </c>
      <c r="C394" s="137">
        <v>2018</v>
      </c>
      <c r="D394" s="137">
        <v>17.399999999999999</v>
      </c>
      <c r="E394" s="137">
        <v>12.4</v>
      </c>
      <c r="F394" s="137" t="s">
        <v>193</v>
      </c>
      <c r="G394" s="137" t="s">
        <v>193</v>
      </c>
      <c r="H394" s="137" t="s">
        <v>193</v>
      </c>
      <c r="I394" s="137" t="s">
        <v>193</v>
      </c>
      <c r="J394" s="137" t="s">
        <v>193</v>
      </c>
      <c r="K394" s="137" t="s">
        <v>193</v>
      </c>
      <c r="L394" s="137" t="s">
        <v>193</v>
      </c>
      <c r="M394" s="137" t="s">
        <v>53</v>
      </c>
      <c r="N394" s="137" t="s">
        <v>193</v>
      </c>
      <c r="O394" s="137" t="s">
        <v>193</v>
      </c>
      <c r="P394" s="137">
        <v>12.4</v>
      </c>
      <c r="Q394" s="137" t="s">
        <v>193</v>
      </c>
      <c r="R394" s="137" t="s">
        <v>193</v>
      </c>
      <c r="S394" s="137" t="s">
        <v>193</v>
      </c>
      <c r="T394" s="137" t="s">
        <v>193</v>
      </c>
      <c r="U394" s="137" t="s">
        <v>193</v>
      </c>
      <c r="V394" s="137" t="s">
        <v>193</v>
      </c>
      <c r="W394" s="137" t="s">
        <v>193</v>
      </c>
      <c r="X394" s="137" t="s">
        <v>193</v>
      </c>
      <c r="Y394" s="137" t="s">
        <v>193</v>
      </c>
      <c r="Z394" s="137" t="s">
        <v>193</v>
      </c>
      <c r="AA394" s="137" t="s">
        <v>193</v>
      </c>
      <c r="AB394" s="137" t="s">
        <v>193</v>
      </c>
      <c r="AC394" s="137" t="s">
        <v>193</v>
      </c>
      <c r="AD394" s="137" t="s">
        <v>193</v>
      </c>
      <c r="AE394" s="137" t="s">
        <v>53</v>
      </c>
      <c r="AF394" s="137" t="s">
        <v>193</v>
      </c>
      <c r="AG394" s="137" t="s">
        <v>193</v>
      </c>
      <c r="AH394" s="137" t="s">
        <v>193</v>
      </c>
      <c r="AI394" s="137" t="s">
        <v>193</v>
      </c>
      <c r="AJ394" s="137" t="s">
        <v>193</v>
      </c>
      <c r="AK394" s="137" t="s">
        <v>193</v>
      </c>
      <c r="AL394" s="137" t="s">
        <v>193</v>
      </c>
      <c r="AM394" s="137" t="s">
        <v>193</v>
      </c>
      <c r="AN394" s="137" t="s">
        <v>53</v>
      </c>
      <c r="AO394" s="137" t="s">
        <v>193</v>
      </c>
      <c r="AP394" s="137" t="s">
        <v>193</v>
      </c>
      <c r="AQ394" s="137" t="s">
        <v>193</v>
      </c>
      <c r="AR394" s="137" t="s">
        <v>193</v>
      </c>
      <c r="AV394" s="1">
        <f t="shared" si="52"/>
        <v>12.4</v>
      </c>
      <c r="AW394" s="1">
        <f t="shared" si="45"/>
        <v>17.399999999999999</v>
      </c>
      <c r="AX394" s="13">
        <f t="shared" si="50"/>
        <v>1.4032258064516128</v>
      </c>
      <c r="BA394" s="12">
        <f t="shared" si="46"/>
        <v>0</v>
      </c>
      <c r="BB394" s="12">
        <f t="shared" si="51"/>
        <v>0</v>
      </c>
      <c r="BC394" s="12">
        <f t="shared" si="51"/>
        <v>0</v>
      </c>
      <c r="BD394" s="12">
        <f t="shared" si="51"/>
        <v>0</v>
      </c>
      <c r="BE394" s="12">
        <f t="shared" si="47"/>
        <v>0</v>
      </c>
      <c r="BF394" s="12">
        <f t="shared" si="48"/>
        <v>0</v>
      </c>
      <c r="BJ394" s="12" t="str">
        <f t="shared" si="49"/>
        <v/>
      </c>
      <c r="BK394" s="12">
        <f>VLOOKUP(B394,Kraftvärmeprod!$B$1:$BH$549,MATCH($BA$1,Kraftvärmeprod!$B$1:$CC$1,0),FALSE)</f>
        <v>0</v>
      </c>
    </row>
    <row r="395" spans="1:63" ht="15" customHeight="1" x14ac:dyDescent="0.25">
      <c r="A395" s="137" t="s">
        <v>712</v>
      </c>
      <c r="B395" s="137" t="s">
        <v>717</v>
      </c>
      <c r="C395" s="137">
        <v>2018</v>
      </c>
      <c r="D395" s="137">
        <v>24.1</v>
      </c>
      <c r="E395" s="137">
        <v>28.4</v>
      </c>
      <c r="F395" s="137" t="s">
        <v>193</v>
      </c>
      <c r="G395" s="137" t="s">
        <v>193</v>
      </c>
      <c r="H395" s="137" t="s">
        <v>193</v>
      </c>
      <c r="I395" s="137">
        <v>0.5</v>
      </c>
      <c r="J395" s="137" t="s">
        <v>193</v>
      </c>
      <c r="K395" s="137" t="s">
        <v>193</v>
      </c>
      <c r="L395" s="137" t="s">
        <v>193</v>
      </c>
      <c r="M395" s="137" t="s">
        <v>53</v>
      </c>
      <c r="N395" s="137">
        <v>9.9</v>
      </c>
      <c r="O395" s="137" t="s">
        <v>193</v>
      </c>
      <c r="P395" s="137">
        <v>10.6</v>
      </c>
      <c r="Q395" s="137" t="s">
        <v>193</v>
      </c>
      <c r="R395" s="137" t="s">
        <v>193</v>
      </c>
      <c r="S395" s="137" t="s">
        <v>193</v>
      </c>
      <c r="T395" s="137" t="s">
        <v>379</v>
      </c>
      <c r="U395" s="137" t="s">
        <v>193</v>
      </c>
      <c r="V395" s="137" t="s">
        <v>193</v>
      </c>
      <c r="W395" s="137" t="s">
        <v>193</v>
      </c>
      <c r="X395" s="137" t="s">
        <v>193</v>
      </c>
      <c r="Y395" s="137" t="s">
        <v>193</v>
      </c>
      <c r="Z395" s="137">
        <v>4.3</v>
      </c>
      <c r="AA395" s="137" t="s">
        <v>193</v>
      </c>
      <c r="AB395" s="137" t="s">
        <v>193</v>
      </c>
      <c r="AC395" s="137" t="s">
        <v>193</v>
      </c>
      <c r="AD395" s="137" t="s">
        <v>193</v>
      </c>
      <c r="AE395" s="137" t="s">
        <v>199</v>
      </c>
      <c r="AF395" s="137" t="s">
        <v>193</v>
      </c>
      <c r="AG395" s="137" t="s">
        <v>193</v>
      </c>
      <c r="AH395" s="137">
        <v>3.1</v>
      </c>
      <c r="AI395" s="137" t="s">
        <v>193</v>
      </c>
      <c r="AJ395" s="137" t="s">
        <v>193</v>
      </c>
      <c r="AK395" s="137" t="s">
        <v>193</v>
      </c>
      <c r="AL395" s="137" t="s">
        <v>193</v>
      </c>
      <c r="AM395" s="137" t="s">
        <v>193</v>
      </c>
      <c r="AN395" s="137" t="s">
        <v>53</v>
      </c>
      <c r="AO395" s="137">
        <v>100</v>
      </c>
      <c r="AP395" s="137" t="s">
        <v>193</v>
      </c>
      <c r="AQ395" s="137" t="s">
        <v>193</v>
      </c>
      <c r="AR395" s="137" t="s">
        <v>193</v>
      </c>
      <c r="AV395" s="1">
        <f t="shared" si="52"/>
        <v>28.400000000000002</v>
      </c>
      <c r="AW395" s="1">
        <f t="shared" si="45"/>
        <v>24.1</v>
      </c>
      <c r="AX395" s="13">
        <f t="shared" si="50"/>
        <v>0.84859154929577463</v>
      </c>
      <c r="BA395" s="12">
        <f t="shared" si="46"/>
        <v>3.1</v>
      </c>
      <c r="BB395" s="12">
        <f t="shared" si="51"/>
        <v>3.1</v>
      </c>
      <c r="BC395" s="12">
        <f t="shared" si="51"/>
        <v>0</v>
      </c>
      <c r="BD395" s="12">
        <f t="shared" si="51"/>
        <v>0</v>
      </c>
      <c r="BE395" s="12">
        <f t="shared" si="47"/>
        <v>0</v>
      </c>
      <c r="BF395" s="12">
        <f t="shared" si="48"/>
        <v>0</v>
      </c>
      <c r="BJ395" s="12" t="str">
        <f t="shared" si="49"/>
        <v/>
      </c>
      <c r="BK395" s="12">
        <f>VLOOKUP(B395,Kraftvärmeprod!$B$1:$BH$549,MATCH($BA$1,Kraftvärmeprod!$B$1:$CC$1,0),FALSE)</f>
        <v>63.5</v>
      </c>
    </row>
    <row r="396" spans="1:63" ht="15" customHeight="1" x14ac:dyDescent="0.25">
      <c r="A396" s="137" t="s">
        <v>712</v>
      </c>
      <c r="B396" s="137" t="s">
        <v>718</v>
      </c>
      <c r="C396" s="137">
        <v>2018</v>
      </c>
      <c r="D396" s="137" t="s">
        <v>53</v>
      </c>
      <c r="E396" s="137" t="s">
        <v>53</v>
      </c>
      <c r="F396" s="137" t="s">
        <v>53</v>
      </c>
      <c r="G396" s="137" t="s">
        <v>53</v>
      </c>
      <c r="H396" s="137" t="s">
        <v>53</v>
      </c>
      <c r="I396" s="137" t="s">
        <v>53</v>
      </c>
      <c r="J396" s="137" t="s">
        <v>53</v>
      </c>
      <c r="K396" s="137" t="s">
        <v>53</v>
      </c>
      <c r="L396" s="137" t="s">
        <v>53</v>
      </c>
      <c r="M396" s="137" t="s">
        <v>53</v>
      </c>
      <c r="N396" s="137" t="s">
        <v>53</v>
      </c>
      <c r="O396" s="137" t="s">
        <v>53</v>
      </c>
      <c r="P396" s="137" t="s">
        <v>53</v>
      </c>
      <c r="Q396" s="137" t="s">
        <v>53</v>
      </c>
      <c r="R396" s="137" t="s">
        <v>53</v>
      </c>
      <c r="S396" s="137" t="s">
        <v>53</v>
      </c>
      <c r="T396" s="137" t="s">
        <v>53</v>
      </c>
      <c r="U396" s="137" t="s">
        <v>53</v>
      </c>
      <c r="V396" s="137" t="s">
        <v>53</v>
      </c>
      <c r="W396" s="137" t="s">
        <v>53</v>
      </c>
      <c r="X396" s="137" t="s">
        <v>53</v>
      </c>
      <c r="Y396" s="137" t="s">
        <v>53</v>
      </c>
      <c r="Z396" s="137" t="s">
        <v>53</v>
      </c>
      <c r="AA396" s="137" t="s">
        <v>53</v>
      </c>
      <c r="AB396" s="137" t="s">
        <v>53</v>
      </c>
      <c r="AC396" s="137" t="s">
        <v>53</v>
      </c>
      <c r="AD396" s="137" t="s">
        <v>53</v>
      </c>
      <c r="AE396" s="137" t="s">
        <v>53</v>
      </c>
      <c r="AF396" s="137" t="s">
        <v>53</v>
      </c>
      <c r="AG396" s="137" t="s">
        <v>53</v>
      </c>
      <c r="AH396" s="137" t="s">
        <v>53</v>
      </c>
      <c r="AI396" s="137" t="s">
        <v>53</v>
      </c>
      <c r="AJ396" s="137" t="s">
        <v>53</v>
      </c>
      <c r="AK396" s="137" t="s">
        <v>53</v>
      </c>
      <c r="AL396" s="137" t="s">
        <v>53</v>
      </c>
      <c r="AM396" s="137" t="s">
        <v>53</v>
      </c>
      <c r="AN396" s="137" t="s">
        <v>53</v>
      </c>
      <c r="AO396" s="137" t="s">
        <v>53</v>
      </c>
      <c r="AP396" s="137" t="s">
        <v>53</v>
      </c>
      <c r="AQ396" s="137" t="s">
        <v>53</v>
      </c>
      <c r="AR396" s="137" t="s">
        <v>53</v>
      </c>
      <c r="AV396" s="1">
        <f t="shared" si="52"/>
        <v>0</v>
      </c>
      <c r="AW396" s="1">
        <f t="shared" si="45"/>
        <v>0</v>
      </c>
      <c r="AX396" s="13" t="str">
        <f t="shared" si="50"/>
        <v/>
      </c>
      <c r="BA396" s="12">
        <f t="shared" si="46"/>
        <v>0</v>
      </c>
      <c r="BB396" s="12">
        <f t="shared" si="51"/>
        <v>0</v>
      </c>
      <c r="BC396" s="12">
        <f t="shared" si="51"/>
        <v>0</v>
      </c>
      <c r="BD396" s="12">
        <f t="shared" si="51"/>
        <v>0</v>
      </c>
      <c r="BE396" s="12">
        <f t="shared" si="47"/>
        <v>0</v>
      </c>
      <c r="BF396" s="12">
        <f t="shared" si="48"/>
        <v>0</v>
      </c>
      <c r="BJ396" s="12" t="str">
        <f t="shared" si="49"/>
        <v/>
      </c>
      <c r="BK396" s="12">
        <f>VLOOKUP(B396,Kraftvärmeprod!$B$1:$BH$549,MATCH($BA$1,Kraftvärmeprod!$B$1:$CC$1,0),FALSE)</f>
        <v>0</v>
      </c>
    </row>
    <row r="397" spans="1:63" ht="15" customHeight="1" x14ac:dyDescent="0.25">
      <c r="A397" s="137" t="s">
        <v>719</v>
      </c>
      <c r="B397" s="137" t="s">
        <v>720</v>
      </c>
      <c r="C397" s="137">
        <v>2018</v>
      </c>
      <c r="D397" s="137">
        <v>158381</v>
      </c>
      <c r="E397" s="137">
        <v>184.81700000000001</v>
      </c>
      <c r="F397" s="137">
        <v>0</v>
      </c>
      <c r="G397" s="137">
        <v>10.287000000000001</v>
      </c>
      <c r="H397" s="137">
        <v>0</v>
      </c>
      <c r="I397" s="137">
        <v>0</v>
      </c>
      <c r="J397" s="137">
        <v>0</v>
      </c>
      <c r="K397" s="137">
        <v>0</v>
      </c>
      <c r="L397" s="137">
        <v>0</v>
      </c>
      <c r="M397" s="137" t="s">
        <v>53</v>
      </c>
      <c r="N397" s="137">
        <v>81.489999999999995</v>
      </c>
      <c r="O397" s="137">
        <v>11.917</v>
      </c>
      <c r="P397" s="137">
        <v>0.64800000000000002</v>
      </c>
      <c r="Q397" s="137">
        <v>5.57</v>
      </c>
      <c r="R397" s="137">
        <v>0</v>
      </c>
      <c r="S397" s="137">
        <v>5.681</v>
      </c>
      <c r="T397" s="137" t="s">
        <v>194</v>
      </c>
      <c r="U397" s="137">
        <v>14.532</v>
      </c>
      <c r="V397" s="137">
        <v>0.76500000000000001</v>
      </c>
      <c r="W397" s="137">
        <v>0</v>
      </c>
      <c r="X397" s="137">
        <v>20.693999999999999</v>
      </c>
      <c r="Y397" s="137">
        <v>0</v>
      </c>
      <c r="Z397" s="137">
        <v>9.5389999999999997</v>
      </c>
      <c r="AA397" s="137">
        <v>0</v>
      </c>
      <c r="AB397" s="137">
        <v>0</v>
      </c>
      <c r="AC397" s="137">
        <v>0</v>
      </c>
      <c r="AD397" s="137" t="s">
        <v>193</v>
      </c>
      <c r="AE397" s="137" t="s">
        <v>199</v>
      </c>
      <c r="AF397" s="137" t="s">
        <v>193</v>
      </c>
      <c r="AG397" s="137">
        <v>3.746</v>
      </c>
      <c r="AH397" s="137">
        <v>19.948</v>
      </c>
      <c r="AI397" s="137">
        <v>0</v>
      </c>
      <c r="AJ397" s="137" t="s">
        <v>193</v>
      </c>
      <c r="AK397" s="137">
        <v>0</v>
      </c>
      <c r="AL397" s="137">
        <v>0</v>
      </c>
      <c r="AM397" s="137">
        <v>0</v>
      </c>
      <c r="AN397" s="137" t="s">
        <v>53</v>
      </c>
      <c r="AO397" s="137">
        <v>100</v>
      </c>
      <c r="AP397" s="137">
        <v>0</v>
      </c>
      <c r="AQ397" s="137">
        <v>0</v>
      </c>
      <c r="AR397" s="137">
        <v>0</v>
      </c>
      <c r="AV397" s="1">
        <f t="shared" si="52"/>
        <v>184.81699999999995</v>
      </c>
      <c r="AW397" s="1">
        <f t="shared" si="45"/>
        <v>158381</v>
      </c>
      <c r="AX397" s="13">
        <f t="shared" si="50"/>
        <v>856.96121027827553</v>
      </c>
      <c r="BA397" s="12">
        <f t="shared" si="46"/>
        <v>19.948</v>
      </c>
      <c r="BB397" s="12">
        <f t="shared" si="51"/>
        <v>19.948</v>
      </c>
      <c r="BC397" s="12">
        <f t="shared" si="51"/>
        <v>0</v>
      </c>
      <c r="BD397" s="12">
        <f t="shared" si="51"/>
        <v>0</v>
      </c>
      <c r="BE397" s="12">
        <f t="shared" si="47"/>
        <v>0</v>
      </c>
      <c r="BF397" s="12">
        <f t="shared" si="48"/>
        <v>0</v>
      </c>
      <c r="BJ397" s="12" t="str">
        <f t="shared" si="49"/>
        <v/>
      </c>
      <c r="BK397" s="12">
        <f>VLOOKUP(B397,Kraftvärmeprod!$B$1:$BH$549,MATCH($BA$1,Kraftvärmeprod!$B$1:$CC$1,0),FALSE)</f>
        <v>0</v>
      </c>
    </row>
    <row r="398" spans="1:63" ht="15" customHeight="1" x14ac:dyDescent="0.25">
      <c r="A398" s="137" t="s">
        <v>721</v>
      </c>
      <c r="B398" s="137" t="s">
        <v>722</v>
      </c>
      <c r="C398" s="137">
        <v>2018</v>
      </c>
      <c r="D398" s="137">
        <v>7.6</v>
      </c>
      <c r="E398" s="137">
        <v>8.33</v>
      </c>
      <c r="F398" s="137" t="s">
        <v>193</v>
      </c>
      <c r="G398" s="137">
        <v>0.32</v>
      </c>
      <c r="H398" s="137" t="s">
        <v>193</v>
      </c>
      <c r="I398" s="137" t="s">
        <v>193</v>
      </c>
      <c r="J398" s="137" t="s">
        <v>193</v>
      </c>
      <c r="K398" s="137" t="s">
        <v>193</v>
      </c>
      <c r="L398" s="137" t="s">
        <v>193</v>
      </c>
      <c r="M398" s="137" t="s">
        <v>53</v>
      </c>
      <c r="N398" s="137" t="s">
        <v>193</v>
      </c>
      <c r="O398" s="137" t="s">
        <v>193</v>
      </c>
      <c r="P398" s="137" t="s">
        <v>193</v>
      </c>
      <c r="Q398" s="137" t="s">
        <v>193</v>
      </c>
      <c r="R398" s="137" t="s">
        <v>193</v>
      </c>
      <c r="S398" s="137" t="s">
        <v>193</v>
      </c>
      <c r="T398" s="137" t="s">
        <v>193</v>
      </c>
      <c r="U398" s="137">
        <v>8.01</v>
      </c>
      <c r="V398" s="137" t="s">
        <v>193</v>
      </c>
      <c r="W398" s="137" t="s">
        <v>193</v>
      </c>
      <c r="X398" s="137" t="s">
        <v>193</v>
      </c>
      <c r="Y398" s="137" t="s">
        <v>193</v>
      </c>
      <c r="Z398" s="137" t="s">
        <v>193</v>
      </c>
      <c r="AA398" s="137" t="s">
        <v>193</v>
      </c>
      <c r="AB398" s="137" t="s">
        <v>193</v>
      </c>
      <c r="AC398" s="137" t="s">
        <v>193</v>
      </c>
      <c r="AD398" s="137" t="s">
        <v>193</v>
      </c>
      <c r="AE398" s="137" t="s">
        <v>199</v>
      </c>
      <c r="AF398" s="137" t="s">
        <v>193</v>
      </c>
      <c r="AG398" s="137" t="s">
        <v>193</v>
      </c>
      <c r="AH398" s="137" t="s">
        <v>193</v>
      </c>
      <c r="AI398" s="137" t="s">
        <v>193</v>
      </c>
      <c r="AJ398" s="137" t="s">
        <v>193</v>
      </c>
      <c r="AK398" s="137" t="s">
        <v>193</v>
      </c>
      <c r="AL398" s="137" t="s">
        <v>193</v>
      </c>
      <c r="AM398" s="137" t="s">
        <v>193</v>
      </c>
      <c r="AN398" s="137" t="s">
        <v>53</v>
      </c>
      <c r="AO398" s="137" t="s">
        <v>193</v>
      </c>
      <c r="AP398" s="137" t="s">
        <v>193</v>
      </c>
      <c r="AQ398" s="137" t="s">
        <v>193</v>
      </c>
      <c r="AR398" s="137" t="s">
        <v>193</v>
      </c>
      <c r="AV398" s="1">
        <f t="shared" si="52"/>
        <v>8.33</v>
      </c>
      <c r="AW398" s="1">
        <f t="shared" si="45"/>
        <v>7.6</v>
      </c>
      <c r="AX398" s="13">
        <f t="shared" si="50"/>
        <v>0.91236494597839135</v>
      </c>
      <c r="BA398" s="12">
        <f t="shared" si="46"/>
        <v>0</v>
      </c>
      <c r="BB398" s="12">
        <f t="shared" si="51"/>
        <v>0</v>
      </c>
      <c r="BC398" s="12">
        <f t="shared" si="51"/>
        <v>0</v>
      </c>
      <c r="BD398" s="12">
        <f t="shared" si="51"/>
        <v>0</v>
      </c>
      <c r="BE398" s="12">
        <f t="shared" si="47"/>
        <v>0</v>
      </c>
      <c r="BF398" s="12">
        <f t="shared" si="48"/>
        <v>0</v>
      </c>
      <c r="BJ398" s="12" t="str">
        <f t="shared" si="49"/>
        <v/>
      </c>
      <c r="BK398" s="12">
        <f>VLOOKUP(B398,Kraftvärmeprod!$B$1:$BH$549,MATCH($BA$1,Kraftvärmeprod!$B$1:$CC$1,0),FALSE)</f>
        <v>0</v>
      </c>
    </row>
    <row r="399" spans="1:63" ht="15" customHeight="1" x14ac:dyDescent="0.25">
      <c r="A399" s="137" t="s">
        <v>721</v>
      </c>
      <c r="B399" s="137" t="s">
        <v>723</v>
      </c>
      <c r="C399" s="137">
        <v>2018</v>
      </c>
      <c r="D399" s="137">
        <v>8.9499999999999993</v>
      </c>
      <c r="E399" s="137">
        <v>11.097</v>
      </c>
      <c r="F399" s="137" t="s">
        <v>193</v>
      </c>
      <c r="G399" s="137">
        <v>0.308</v>
      </c>
      <c r="H399" s="137" t="s">
        <v>193</v>
      </c>
      <c r="I399" s="137" t="s">
        <v>193</v>
      </c>
      <c r="J399" s="137" t="s">
        <v>193</v>
      </c>
      <c r="K399" s="137" t="s">
        <v>193</v>
      </c>
      <c r="L399" s="137" t="s">
        <v>193</v>
      </c>
      <c r="M399" s="137" t="s">
        <v>53</v>
      </c>
      <c r="N399" s="137">
        <v>0</v>
      </c>
      <c r="O399" s="137">
        <v>0.93500000000000005</v>
      </c>
      <c r="P399" s="137">
        <v>6.3819999999999997</v>
      </c>
      <c r="Q399" s="137" t="s">
        <v>193</v>
      </c>
      <c r="R399" s="137" t="s">
        <v>193</v>
      </c>
      <c r="S399" s="137">
        <v>1.4910000000000001</v>
      </c>
      <c r="T399" s="137" t="s">
        <v>193</v>
      </c>
      <c r="U399" s="137">
        <v>1.6439999999999999</v>
      </c>
      <c r="V399" s="137" t="s">
        <v>193</v>
      </c>
      <c r="W399" s="137" t="s">
        <v>193</v>
      </c>
      <c r="X399" s="137" t="s">
        <v>193</v>
      </c>
      <c r="Y399" s="137" t="s">
        <v>193</v>
      </c>
      <c r="Z399" s="137" t="s">
        <v>193</v>
      </c>
      <c r="AA399" s="137" t="s">
        <v>193</v>
      </c>
      <c r="AB399" s="137" t="s">
        <v>193</v>
      </c>
      <c r="AC399" s="137" t="s">
        <v>193</v>
      </c>
      <c r="AD399" s="137" t="s">
        <v>193</v>
      </c>
      <c r="AE399" s="137" t="s">
        <v>199</v>
      </c>
      <c r="AF399" s="137" t="s">
        <v>193</v>
      </c>
      <c r="AG399" s="137" t="s">
        <v>193</v>
      </c>
      <c r="AH399" s="137">
        <v>0.33700000000000002</v>
      </c>
      <c r="AI399" s="137" t="s">
        <v>193</v>
      </c>
      <c r="AJ399" s="137" t="s">
        <v>193</v>
      </c>
      <c r="AK399" s="137" t="s">
        <v>193</v>
      </c>
      <c r="AL399" s="137" t="s">
        <v>193</v>
      </c>
      <c r="AM399" s="137" t="s">
        <v>193</v>
      </c>
      <c r="AN399" s="137" t="s">
        <v>53</v>
      </c>
      <c r="AO399" s="137">
        <v>100</v>
      </c>
      <c r="AP399" s="137" t="s">
        <v>193</v>
      </c>
      <c r="AQ399" s="137" t="s">
        <v>193</v>
      </c>
      <c r="AR399" s="137" t="s">
        <v>193</v>
      </c>
      <c r="AV399" s="1">
        <f t="shared" si="52"/>
        <v>11.097</v>
      </c>
      <c r="AW399" s="1">
        <f t="shared" si="45"/>
        <v>8.9499999999999993</v>
      </c>
      <c r="AX399" s="13">
        <f t="shared" si="50"/>
        <v>0.80652428584302061</v>
      </c>
      <c r="BA399" s="12">
        <f t="shared" si="46"/>
        <v>0.33700000000000002</v>
      </c>
      <c r="BB399" s="12">
        <f t="shared" si="51"/>
        <v>0.33700000000000002</v>
      </c>
      <c r="BC399" s="12">
        <f t="shared" si="51"/>
        <v>0</v>
      </c>
      <c r="BD399" s="12">
        <f t="shared" si="51"/>
        <v>0</v>
      </c>
      <c r="BE399" s="12">
        <f t="shared" si="47"/>
        <v>0</v>
      </c>
      <c r="BF399" s="12">
        <f t="shared" si="48"/>
        <v>0</v>
      </c>
      <c r="BJ399" s="12" t="str">
        <f t="shared" si="49"/>
        <v/>
      </c>
      <c r="BK399" s="12">
        <f>VLOOKUP(B399,Kraftvärmeprod!$B$1:$BH$549,MATCH($BA$1,Kraftvärmeprod!$B$1:$CC$1,0),FALSE)</f>
        <v>0</v>
      </c>
    </row>
    <row r="400" spans="1:63" ht="15" customHeight="1" x14ac:dyDescent="0.25">
      <c r="A400" s="137" t="s">
        <v>724</v>
      </c>
      <c r="B400" s="137" t="s">
        <v>141</v>
      </c>
      <c r="C400" s="137">
        <v>2018</v>
      </c>
      <c r="D400" s="137" t="s">
        <v>53</v>
      </c>
      <c r="E400" s="137" t="s">
        <v>53</v>
      </c>
      <c r="F400" s="137" t="s">
        <v>53</v>
      </c>
      <c r="G400" s="137" t="s">
        <v>53</v>
      </c>
      <c r="H400" s="137" t="s">
        <v>53</v>
      </c>
      <c r="I400" s="137" t="s">
        <v>53</v>
      </c>
      <c r="J400" s="137" t="s">
        <v>53</v>
      </c>
      <c r="K400" s="137" t="s">
        <v>53</v>
      </c>
      <c r="L400" s="137" t="s">
        <v>53</v>
      </c>
      <c r="M400" s="137" t="s">
        <v>53</v>
      </c>
      <c r="N400" s="137" t="s">
        <v>53</v>
      </c>
      <c r="O400" s="137" t="s">
        <v>53</v>
      </c>
      <c r="P400" s="137" t="s">
        <v>53</v>
      </c>
      <c r="Q400" s="137" t="s">
        <v>53</v>
      </c>
      <c r="R400" s="137" t="s">
        <v>53</v>
      </c>
      <c r="S400" s="137" t="s">
        <v>53</v>
      </c>
      <c r="T400" s="137" t="s">
        <v>53</v>
      </c>
      <c r="U400" s="137" t="s">
        <v>53</v>
      </c>
      <c r="V400" s="137" t="s">
        <v>53</v>
      </c>
      <c r="W400" s="137" t="s">
        <v>53</v>
      </c>
      <c r="X400" s="137" t="s">
        <v>53</v>
      </c>
      <c r="Y400" s="137" t="s">
        <v>53</v>
      </c>
      <c r="Z400" s="137" t="s">
        <v>53</v>
      </c>
      <c r="AA400" s="137" t="s">
        <v>53</v>
      </c>
      <c r="AB400" s="137" t="s">
        <v>53</v>
      </c>
      <c r="AC400" s="137" t="s">
        <v>53</v>
      </c>
      <c r="AD400" s="137" t="s">
        <v>53</v>
      </c>
      <c r="AE400" s="137" t="s">
        <v>53</v>
      </c>
      <c r="AF400" s="137" t="s">
        <v>53</v>
      </c>
      <c r="AG400" s="137" t="s">
        <v>53</v>
      </c>
      <c r="AH400" s="137" t="s">
        <v>53</v>
      </c>
      <c r="AI400" s="137" t="s">
        <v>53</v>
      </c>
      <c r="AJ400" s="137" t="s">
        <v>53</v>
      </c>
      <c r="AK400" s="137" t="s">
        <v>53</v>
      </c>
      <c r="AL400" s="137" t="s">
        <v>53</v>
      </c>
      <c r="AM400" s="137" t="s">
        <v>53</v>
      </c>
      <c r="AN400" s="137" t="s">
        <v>53</v>
      </c>
      <c r="AO400" s="137" t="s">
        <v>53</v>
      </c>
      <c r="AP400" s="137" t="s">
        <v>53</v>
      </c>
      <c r="AQ400" s="137" t="s">
        <v>53</v>
      </c>
      <c r="AR400" s="137" t="s">
        <v>53</v>
      </c>
      <c r="AV400" s="1">
        <f t="shared" si="52"/>
        <v>0</v>
      </c>
      <c r="AW400" s="1">
        <f t="shared" si="45"/>
        <v>0</v>
      </c>
      <c r="AX400" s="13" t="str">
        <f t="shared" si="50"/>
        <v/>
      </c>
      <c r="BA400" s="12">
        <f t="shared" si="46"/>
        <v>0</v>
      </c>
      <c r="BB400" s="12">
        <f t="shared" si="51"/>
        <v>0</v>
      </c>
      <c r="BC400" s="12">
        <f t="shared" si="51"/>
        <v>0</v>
      </c>
      <c r="BD400" s="12">
        <f t="shared" si="51"/>
        <v>0</v>
      </c>
      <c r="BE400" s="12">
        <f t="shared" si="47"/>
        <v>0</v>
      </c>
      <c r="BF400" s="12">
        <f t="shared" si="48"/>
        <v>0</v>
      </c>
      <c r="BJ400" s="12" t="str">
        <f t="shared" si="49"/>
        <v/>
      </c>
      <c r="BK400" s="12">
        <f>VLOOKUP(B400,Kraftvärmeprod!$B$1:$BH$549,MATCH($BA$1,Kraftvärmeprod!$B$1:$CC$1,0),FALSE)</f>
        <v>0</v>
      </c>
    </row>
    <row r="401" spans="1:63" ht="15" customHeight="1" x14ac:dyDescent="0.25">
      <c r="A401" s="137" t="s">
        <v>725</v>
      </c>
      <c r="B401" s="137" t="s">
        <v>726</v>
      </c>
      <c r="C401" s="137">
        <v>2018</v>
      </c>
      <c r="D401" s="137">
        <v>63.11</v>
      </c>
      <c r="E401" s="137">
        <v>63.414999999999999</v>
      </c>
      <c r="F401" s="137" t="s">
        <v>193</v>
      </c>
      <c r="G401" s="137" t="s">
        <v>193</v>
      </c>
      <c r="H401" s="137" t="s">
        <v>193</v>
      </c>
      <c r="I401" s="137">
        <v>4.4820000000000002</v>
      </c>
      <c r="J401" s="137" t="s">
        <v>193</v>
      </c>
      <c r="K401" s="137" t="s">
        <v>193</v>
      </c>
      <c r="L401" s="137" t="s">
        <v>193</v>
      </c>
      <c r="M401" s="137" t="s">
        <v>53</v>
      </c>
      <c r="N401" s="137" t="s">
        <v>193</v>
      </c>
      <c r="O401" s="137" t="s">
        <v>193</v>
      </c>
      <c r="P401" s="137" t="s">
        <v>193</v>
      </c>
      <c r="Q401" s="137" t="s">
        <v>193</v>
      </c>
      <c r="R401" s="137" t="s">
        <v>193</v>
      </c>
      <c r="S401" s="137" t="s">
        <v>193</v>
      </c>
      <c r="T401" s="137" t="s">
        <v>193</v>
      </c>
      <c r="U401" s="137" t="s">
        <v>193</v>
      </c>
      <c r="V401" s="137" t="s">
        <v>193</v>
      </c>
      <c r="W401" s="137" t="s">
        <v>193</v>
      </c>
      <c r="X401" s="137" t="s">
        <v>193</v>
      </c>
      <c r="Y401" s="137" t="s">
        <v>193</v>
      </c>
      <c r="Z401" s="137" t="s">
        <v>193</v>
      </c>
      <c r="AA401" s="137" t="s">
        <v>193</v>
      </c>
      <c r="AB401" s="137" t="s">
        <v>193</v>
      </c>
      <c r="AC401" s="137" t="s">
        <v>193</v>
      </c>
      <c r="AD401" s="137" t="s">
        <v>193</v>
      </c>
      <c r="AE401" s="137" t="s">
        <v>199</v>
      </c>
      <c r="AF401" s="137" t="s">
        <v>193</v>
      </c>
      <c r="AG401" s="137" t="s">
        <v>193</v>
      </c>
      <c r="AH401" s="137" t="s">
        <v>193</v>
      </c>
      <c r="AI401" s="137">
        <v>58.933</v>
      </c>
      <c r="AJ401" s="137" t="s">
        <v>240</v>
      </c>
      <c r="AK401" s="137">
        <v>18.471</v>
      </c>
      <c r="AL401" s="137" t="s">
        <v>193</v>
      </c>
      <c r="AM401" s="137" t="s">
        <v>193</v>
      </c>
      <c r="AN401" s="137" t="s">
        <v>53</v>
      </c>
      <c r="AO401" s="137" t="s">
        <v>193</v>
      </c>
      <c r="AP401" s="137" t="s">
        <v>193</v>
      </c>
      <c r="AQ401" s="137" t="s">
        <v>193</v>
      </c>
      <c r="AR401" s="137" t="s">
        <v>193</v>
      </c>
      <c r="AV401" s="1">
        <f t="shared" si="52"/>
        <v>63.414999999999999</v>
      </c>
      <c r="AW401" s="1">
        <f t="shared" si="45"/>
        <v>63.11</v>
      </c>
      <c r="AX401" s="13">
        <f t="shared" si="50"/>
        <v>0.99519041236300565</v>
      </c>
      <c r="BA401" s="12">
        <f t="shared" si="46"/>
        <v>0</v>
      </c>
      <c r="BB401" s="12">
        <f t="shared" si="51"/>
        <v>0</v>
      </c>
      <c r="BC401" s="12">
        <f t="shared" si="51"/>
        <v>0</v>
      </c>
      <c r="BD401" s="12">
        <f t="shared" si="51"/>
        <v>0</v>
      </c>
      <c r="BE401" s="12">
        <f t="shared" si="47"/>
        <v>0</v>
      </c>
      <c r="BF401" s="12">
        <f t="shared" si="48"/>
        <v>0</v>
      </c>
      <c r="BJ401" s="12" t="str">
        <f t="shared" si="49"/>
        <v/>
      </c>
      <c r="BK401" s="12">
        <f>VLOOKUP(B401,Kraftvärmeprod!$B$1:$BH$549,MATCH($BA$1,Kraftvärmeprod!$B$1:$CC$1,0),FALSE)</f>
        <v>108.1</v>
      </c>
    </row>
    <row r="402" spans="1:63" ht="15" customHeight="1" x14ac:dyDescent="0.25">
      <c r="A402" s="137" t="s">
        <v>725</v>
      </c>
      <c r="B402" s="137" t="s">
        <v>727</v>
      </c>
      <c r="C402" s="137">
        <v>2018</v>
      </c>
      <c r="D402" s="137">
        <v>1.8</v>
      </c>
      <c r="E402" s="137">
        <v>2.2050000000000001</v>
      </c>
      <c r="F402" s="137" t="s">
        <v>193</v>
      </c>
      <c r="G402" s="137">
        <v>1.4999999999999999E-2</v>
      </c>
      <c r="H402" s="137" t="s">
        <v>193</v>
      </c>
      <c r="I402" s="137" t="s">
        <v>193</v>
      </c>
      <c r="J402" s="137" t="s">
        <v>193</v>
      </c>
      <c r="K402" s="137" t="s">
        <v>193</v>
      </c>
      <c r="L402" s="137" t="s">
        <v>193</v>
      </c>
      <c r="M402" s="137" t="s">
        <v>53</v>
      </c>
      <c r="N402" s="137" t="s">
        <v>193</v>
      </c>
      <c r="O402" s="137" t="s">
        <v>193</v>
      </c>
      <c r="P402" s="137" t="s">
        <v>193</v>
      </c>
      <c r="Q402" s="137" t="s">
        <v>193</v>
      </c>
      <c r="R402" s="137" t="s">
        <v>193</v>
      </c>
      <c r="S402" s="137" t="s">
        <v>193</v>
      </c>
      <c r="T402" s="137" t="s">
        <v>193</v>
      </c>
      <c r="U402" s="137">
        <v>2.19</v>
      </c>
      <c r="V402" s="137" t="s">
        <v>193</v>
      </c>
      <c r="W402" s="137" t="s">
        <v>193</v>
      </c>
      <c r="X402" s="137" t="s">
        <v>193</v>
      </c>
      <c r="Y402" s="137" t="s">
        <v>193</v>
      </c>
      <c r="Z402" s="137" t="s">
        <v>193</v>
      </c>
      <c r="AA402" s="137" t="s">
        <v>193</v>
      </c>
      <c r="AB402" s="137" t="s">
        <v>193</v>
      </c>
      <c r="AC402" s="137" t="s">
        <v>193</v>
      </c>
      <c r="AD402" s="137" t="s">
        <v>193</v>
      </c>
      <c r="AE402" s="137" t="s">
        <v>53</v>
      </c>
      <c r="AF402" s="137" t="s">
        <v>193</v>
      </c>
      <c r="AG402" s="137" t="s">
        <v>193</v>
      </c>
      <c r="AH402" s="137" t="s">
        <v>193</v>
      </c>
      <c r="AI402" s="137" t="s">
        <v>193</v>
      </c>
      <c r="AJ402" s="137" t="s">
        <v>193</v>
      </c>
      <c r="AK402" s="137" t="s">
        <v>193</v>
      </c>
      <c r="AL402" s="137" t="s">
        <v>193</v>
      </c>
      <c r="AM402" s="137" t="s">
        <v>193</v>
      </c>
      <c r="AN402" s="137" t="s">
        <v>53</v>
      </c>
      <c r="AO402" s="137" t="s">
        <v>193</v>
      </c>
      <c r="AP402" s="137" t="s">
        <v>193</v>
      </c>
      <c r="AQ402" s="137" t="s">
        <v>193</v>
      </c>
      <c r="AR402" s="137" t="s">
        <v>193</v>
      </c>
      <c r="AV402" s="1">
        <f t="shared" si="52"/>
        <v>2.2050000000000001</v>
      </c>
      <c r="AW402" s="1">
        <f t="shared" si="45"/>
        <v>1.8</v>
      </c>
      <c r="AX402" s="13">
        <f t="shared" si="50"/>
        <v>0.81632653061224492</v>
      </c>
      <c r="BA402" s="12">
        <f t="shared" si="46"/>
        <v>0</v>
      </c>
      <c r="BB402" s="12">
        <f t="shared" si="51"/>
        <v>0</v>
      </c>
      <c r="BC402" s="12">
        <f t="shared" si="51"/>
        <v>0</v>
      </c>
      <c r="BD402" s="12">
        <f t="shared" si="51"/>
        <v>0</v>
      </c>
      <c r="BE402" s="12">
        <f t="shared" si="47"/>
        <v>0</v>
      </c>
      <c r="BF402" s="12">
        <f t="shared" si="48"/>
        <v>0</v>
      </c>
      <c r="BJ402" s="12" t="str">
        <f t="shared" si="49"/>
        <v/>
      </c>
      <c r="BK402" s="12">
        <f>VLOOKUP(B402,Kraftvärmeprod!$B$1:$BH$549,MATCH($BA$1,Kraftvärmeprod!$B$1:$CC$1,0),FALSE)</f>
        <v>0</v>
      </c>
    </row>
    <row r="403" spans="1:63" ht="15" customHeight="1" x14ac:dyDescent="0.25">
      <c r="A403" s="137" t="s">
        <v>725</v>
      </c>
      <c r="B403" s="137" t="s">
        <v>728</v>
      </c>
      <c r="C403" s="137">
        <v>2018</v>
      </c>
      <c r="D403" s="137">
        <v>11.2</v>
      </c>
      <c r="E403" s="137">
        <v>13.2288</v>
      </c>
      <c r="F403" s="137" t="s">
        <v>193</v>
      </c>
      <c r="G403" s="137">
        <v>3.8800000000000001E-2</v>
      </c>
      <c r="H403" s="137" t="s">
        <v>193</v>
      </c>
      <c r="I403" s="137" t="s">
        <v>193</v>
      </c>
      <c r="J403" s="137" t="s">
        <v>193</v>
      </c>
      <c r="K403" s="137" t="s">
        <v>193</v>
      </c>
      <c r="L403" s="137" t="s">
        <v>193</v>
      </c>
      <c r="M403" s="137" t="s">
        <v>53</v>
      </c>
      <c r="N403" s="137" t="s">
        <v>193</v>
      </c>
      <c r="O403" s="137" t="s">
        <v>193</v>
      </c>
      <c r="P403" s="137" t="s">
        <v>193</v>
      </c>
      <c r="Q403" s="137" t="s">
        <v>193</v>
      </c>
      <c r="R403" s="137" t="s">
        <v>193</v>
      </c>
      <c r="S403" s="137" t="s">
        <v>193</v>
      </c>
      <c r="T403" s="137" t="s">
        <v>193</v>
      </c>
      <c r="U403" s="137">
        <v>13.19</v>
      </c>
      <c r="V403" s="137" t="s">
        <v>193</v>
      </c>
      <c r="W403" s="137" t="s">
        <v>193</v>
      </c>
      <c r="X403" s="137" t="s">
        <v>193</v>
      </c>
      <c r="Y403" s="137" t="s">
        <v>193</v>
      </c>
      <c r="Z403" s="137" t="s">
        <v>193</v>
      </c>
      <c r="AA403" s="137" t="s">
        <v>193</v>
      </c>
      <c r="AB403" s="137" t="s">
        <v>193</v>
      </c>
      <c r="AC403" s="137" t="s">
        <v>193</v>
      </c>
      <c r="AD403" s="137" t="s">
        <v>193</v>
      </c>
      <c r="AE403" s="137" t="s">
        <v>53</v>
      </c>
      <c r="AF403" s="137" t="s">
        <v>193</v>
      </c>
      <c r="AG403" s="137" t="s">
        <v>193</v>
      </c>
      <c r="AH403" s="137" t="s">
        <v>193</v>
      </c>
      <c r="AI403" s="137" t="s">
        <v>193</v>
      </c>
      <c r="AJ403" s="137" t="s">
        <v>193</v>
      </c>
      <c r="AK403" s="137" t="s">
        <v>193</v>
      </c>
      <c r="AL403" s="137" t="s">
        <v>193</v>
      </c>
      <c r="AM403" s="137" t="s">
        <v>193</v>
      </c>
      <c r="AN403" s="137" t="s">
        <v>53</v>
      </c>
      <c r="AO403" s="137" t="s">
        <v>193</v>
      </c>
      <c r="AP403" s="137" t="s">
        <v>193</v>
      </c>
      <c r="AQ403" s="137" t="s">
        <v>193</v>
      </c>
      <c r="AR403" s="137" t="s">
        <v>193</v>
      </c>
      <c r="AV403" s="1">
        <f t="shared" si="52"/>
        <v>13.2288</v>
      </c>
      <c r="AW403" s="1">
        <f t="shared" si="45"/>
        <v>11.2</v>
      </c>
      <c r="AX403" s="13">
        <f t="shared" si="50"/>
        <v>0.8466376390904693</v>
      </c>
      <c r="BA403" s="12">
        <f t="shared" si="46"/>
        <v>0</v>
      </c>
      <c r="BB403" s="12">
        <f t="shared" si="51"/>
        <v>0</v>
      </c>
      <c r="BC403" s="12">
        <f t="shared" si="51"/>
        <v>0</v>
      </c>
      <c r="BD403" s="12">
        <f t="shared" si="51"/>
        <v>0</v>
      </c>
      <c r="BE403" s="12">
        <f t="shared" si="47"/>
        <v>0</v>
      </c>
      <c r="BF403" s="12">
        <f t="shared" si="48"/>
        <v>0</v>
      </c>
      <c r="BJ403" s="12" t="str">
        <f t="shared" si="49"/>
        <v/>
      </c>
      <c r="BK403" s="12">
        <f>VLOOKUP(B403,Kraftvärmeprod!$B$1:$BH$549,MATCH($BA$1,Kraftvärmeprod!$B$1:$CC$1,0),FALSE)</f>
        <v>0</v>
      </c>
    </row>
    <row r="404" spans="1:63" ht="15" customHeight="1" x14ac:dyDescent="0.25">
      <c r="A404" s="137" t="s">
        <v>725</v>
      </c>
      <c r="B404" s="137" t="s">
        <v>729</v>
      </c>
      <c r="C404" s="137">
        <v>2018</v>
      </c>
      <c r="D404" s="137">
        <v>200.4</v>
      </c>
      <c r="E404" s="137">
        <v>225.41550000000001</v>
      </c>
      <c r="F404" s="137" t="s">
        <v>193</v>
      </c>
      <c r="G404" s="137">
        <v>1.35</v>
      </c>
      <c r="H404" s="137" t="s">
        <v>193</v>
      </c>
      <c r="I404" s="137" t="s">
        <v>193</v>
      </c>
      <c r="J404" s="137" t="s">
        <v>193</v>
      </c>
      <c r="K404" s="137" t="s">
        <v>193</v>
      </c>
      <c r="L404" s="137" t="s">
        <v>193</v>
      </c>
      <c r="M404" s="137" t="s">
        <v>53</v>
      </c>
      <c r="N404" s="137" t="s">
        <v>193</v>
      </c>
      <c r="O404" s="137" t="s">
        <v>193</v>
      </c>
      <c r="P404" s="137">
        <v>11.259</v>
      </c>
      <c r="Q404" s="137" t="s">
        <v>193</v>
      </c>
      <c r="R404" s="137" t="s">
        <v>193</v>
      </c>
      <c r="S404" s="137">
        <v>4.0270000000000001</v>
      </c>
      <c r="T404" s="137" t="s">
        <v>193</v>
      </c>
      <c r="U404" s="137" t="s">
        <v>193</v>
      </c>
      <c r="V404" s="137" t="s">
        <v>193</v>
      </c>
      <c r="W404" s="137" t="s">
        <v>193</v>
      </c>
      <c r="X404" s="137">
        <v>208.39949999999999</v>
      </c>
      <c r="Y404" s="137" t="s">
        <v>193</v>
      </c>
      <c r="Z404" s="137" t="s">
        <v>193</v>
      </c>
      <c r="AA404" s="137" t="s">
        <v>193</v>
      </c>
      <c r="AB404" s="137" t="s">
        <v>193</v>
      </c>
      <c r="AC404" s="137">
        <v>0.38</v>
      </c>
      <c r="AD404" s="137" t="s">
        <v>193</v>
      </c>
      <c r="AE404" s="137" t="s">
        <v>195</v>
      </c>
      <c r="AF404" s="137">
        <v>40.5</v>
      </c>
      <c r="AG404" s="137" t="s">
        <v>193</v>
      </c>
      <c r="AH404" s="137" t="s">
        <v>193</v>
      </c>
      <c r="AI404" s="137" t="s">
        <v>193</v>
      </c>
      <c r="AJ404" s="137" t="s">
        <v>193</v>
      </c>
      <c r="AK404" s="137" t="s">
        <v>193</v>
      </c>
      <c r="AL404" s="137" t="s">
        <v>193</v>
      </c>
      <c r="AM404" s="137" t="s">
        <v>193</v>
      </c>
      <c r="AN404" s="137" t="s">
        <v>53</v>
      </c>
      <c r="AO404" s="137" t="s">
        <v>193</v>
      </c>
      <c r="AP404" s="137" t="s">
        <v>193</v>
      </c>
      <c r="AQ404" s="137" t="s">
        <v>193</v>
      </c>
      <c r="AR404" s="137" t="s">
        <v>193</v>
      </c>
      <c r="AV404" s="1">
        <f t="shared" si="52"/>
        <v>225.41549999999998</v>
      </c>
      <c r="AW404" s="1">
        <f t="shared" si="45"/>
        <v>200.4</v>
      </c>
      <c r="AX404" s="13">
        <f t="shared" si="50"/>
        <v>0.88902493395529603</v>
      </c>
      <c r="BA404" s="12">
        <f t="shared" si="46"/>
        <v>0</v>
      </c>
      <c r="BB404" s="12">
        <f t="shared" si="51"/>
        <v>0</v>
      </c>
      <c r="BC404" s="12">
        <f t="shared" si="51"/>
        <v>0</v>
      </c>
      <c r="BD404" s="12">
        <f t="shared" si="51"/>
        <v>0</v>
      </c>
      <c r="BE404" s="12">
        <f t="shared" si="47"/>
        <v>0</v>
      </c>
      <c r="BF404" s="12">
        <f t="shared" si="48"/>
        <v>0</v>
      </c>
      <c r="BJ404" s="12" t="str">
        <f t="shared" si="49"/>
        <v/>
      </c>
      <c r="BK404" s="12">
        <f>VLOOKUP(B404,Kraftvärmeprod!$B$1:$BH$549,MATCH($BA$1,Kraftvärmeprod!$B$1:$CC$1,0),FALSE)</f>
        <v>0</v>
      </c>
    </row>
    <row r="405" spans="1:63" ht="15" customHeight="1" x14ac:dyDescent="0.25">
      <c r="A405" s="137" t="s">
        <v>730</v>
      </c>
      <c r="B405" s="137" t="s">
        <v>731</v>
      </c>
      <c r="C405" s="137">
        <v>2018</v>
      </c>
      <c r="D405" s="137">
        <v>34.21</v>
      </c>
      <c r="E405" s="137">
        <v>37.918999999999997</v>
      </c>
      <c r="F405" s="137" t="s">
        <v>193</v>
      </c>
      <c r="G405" s="137">
        <v>0.1</v>
      </c>
      <c r="H405" s="137" t="s">
        <v>193</v>
      </c>
      <c r="I405" s="137" t="s">
        <v>193</v>
      </c>
      <c r="J405" s="137" t="s">
        <v>193</v>
      </c>
      <c r="K405" s="137" t="s">
        <v>193</v>
      </c>
      <c r="L405" s="137" t="s">
        <v>193</v>
      </c>
      <c r="M405" s="137" t="s">
        <v>53</v>
      </c>
      <c r="N405" s="137">
        <v>33.719000000000001</v>
      </c>
      <c r="O405" s="137" t="s">
        <v>193</v>
      </c>
      <c r="P405" s="137" t="s">
        <v>193</v>
      </c>
      <c r="Q405" s="137" t="s">
        <v>193</v>
      </c>
      <c r="R405" s="137" t="s">
        <v>193</v>
      </c>
      <c r="S405" s="137" t="s">
        <v>193</v>
      </c>
      <c r="T405" s="137" t="s">
        <v>193</v>
      </c>
      <c r="U405" s="137" t="s">
        <v>193</v>
      </c>
      <c r="V405" s="137" t="s">
        <v>193</v>
      </c>
      <c r="W405" s="137" t="s">
        <v>193</v>
      </c>
      <c r="X405" s="137" t="s">
        <v>193</v>
      </c>
      <c r="Y405" s="137" t="s">
        <v>193</v>
      </c>
      <c r="Z405" s="137" t="s">
        <v>193</v>
      </c>
      <c r="AA405" s="137" t="s">
        <v>193</v>
      </c>
      <c r="AB405" s="137" t="s">
        <v>193</v>
      </c>
      <c r="AC405" s="137" t="s">
        <v>193</v>
      </c>
      <c r="AD405" s="137" t="s">
        <v>193</v>
      </c>
      <c r="AE405" s="137" t="s">
        <v>53</v>
      </c>
      <c r="AF405" s="137" t="s">
        <v>193</v>
      </c>
      <c r="AG405" s="137" t="s">
        <v>193</v>
      </c>
      <c r="AH405" s="137">
        <v>4.0999999999999996</v>
      </c>
      <c r="AI405" s="137" t="s">
        <v>193</v>
      </c>
      <c r="AJ405" s="137" t="s">
        <v>193</v>
      </c>
      <c r="AK405" s="137" t="s">
        <v>193</v>
      </c>
      <c r="AL405" s="137" t="s">
        <v>193</v>
      </c>
      <c r="AM405" s="137" t="s">
        <v>193</v>
      </c>
      <c r="AN405" s="137" t="s">
        <v>53</v>
      </c>
      <c r="AO405" s="137">
        <v>100</v>
      </c>
      <c r="AP405" s="137" t="s">
        <v>193</v>
      </c>
      <c r="AQ405" s="137" t="s">
        <v>193</v>
      </c>
      <c r="AR405" s="137" t="s">
        <v>193</v>
      </c>
      <c r="AV405" s="1">
        <f t="shared" si="52"/>
        <v>37.919000000000004</v>
      </c>
      <c r="AW405" s="1">
        <f t="shared" si="45"/>
        <v>34.21</v>
      </c>
      <c r="AX405" s="13">
        <f t="shared" si="50"/>
        <v>0.90218623908858353</v>
      </c>
      <c r="BA405" s="12">
        <f t="shared" si="46"/>
        <v>4.0999999999999996</v>
      </c>
      <c r="BB405" s="12">
        <f t="shared" si="51"/>
        <v>4.0999999999999996</v>
      </c>
      <c r="BC405" s="12">
        <f t="shared" si="51"/>
        <v>0</v>
      </c>
      <c r="BD405" s="12">
        <f t="shared" si="51"/>
        <v>0</v>
      </c>
      <c r="BE405" s="12">
        <f t="shared" si="47"/>
        <v>0</v>
      </c>
      <c r="BF405" s="12">
        <f t="shared" si="48"/>
        <v>0</v>
      </c>
      <c r="BJ405" s="12" t="str">
        <f t="shared" si="49"/>
        <v/>
      </c>
      <c r="BK405" s="12">
        <f>VLOOKUP(B405,Kraftvärmeprod!$B$1:$BH$549,MATCH($BA$1,Kraftvärmeprod!$B$1:$CC$1,0),FALSE)</f>
        <v>0</v>
      </c>
    </row>
    <row r="406" spans="1:63" ht="15" customHeight="1" x14ac:dyDescent="0.25">
      <c r="A406" s="137" t="s">
        <v>732</v>
      </c>
      <c r="B406" s="137" t="s">
        <v>733</v>
      </c>
      <c r="C406" s="137">
        <v>2018</v>
      </c>
      <c r="D406" s="137">
        <v>52.6</v>
      </c>
      <c r="E406" s="137">
        <v>56.4</v>
      </c>
      <c r="F406" s="137" t="s">
        <v>193</v>
      </c>
      <c r="G406" s="137">
        <v>3</v>
      </c>
      <c r="H406" s="137" t="s">
        <v>193</v>
      </c>
      <c r="I406" s="137" t="s">
        <v>193</v>
      </c>
      <c r="J406" s="137" t="s">
        <v>193</v>
      </c>
      <c r="K406" s="137" t="s">
        <v>193</v>
      </c>
      <c r="L406" s="137" t="s">
        <v>193</v>
      </c>
      <c r="M406" s="137" t="s">
        <v>53</v>
      </c>
      <c r="N406" s="137" t="s">
        <v>193</v>
      </c>
      <c r="O406" s="137" t="s">
        <v>193</v>
      </c>
      <c r="P406" s="137" t="s">
        <v>193</v>
      </c>
      <c r="Q406" s="137" t="s">
        <v>193</v>
      </c>
      <c r="R406" s="137" t="s">
        <v>193</v>
      </c>
      <c r="S406" s="137">
        <v>53.4</v>
      </c>
      <c r="T406" s="137" t="s">
        <v>194</v>
      </c>
      <c r="U406" s="137" t="s">
        <v>193</v>
      </c>
      <c r="V406" s="137" t="s">
        <v>193</v>
      </c>
      <c r="W406" s="137" t="s">
        <v>193</v>
      </c>
      <c r="X406" s="137" t="s">
        <v>193</v>
      </c>
      <c r="Y406" s="137" t="s">
        <v>193</v>
      </c>
      <c r="Z406" s="137" t="s">
        <v>193</v>
      </c>
      <c r="AA406" s="137" t="s">
        <v>193</v>
      </c>
      <c r="AB406" s="137" t="s">
        <v>193</v>
      </c>
      <c r="AC406" s="137" t="s">
        <v>193</v>
      </c>
      <c r="AD406" s="137" t="s">
        <v>193</v>
      </c>
      <c r="AE406" s="137" t="s">
        <v>199</v>
      </c>
      <c r="AF406" s="137" t="s">
        <v>193</v>
      </c>
      <c r="AG406" s="137" t="s">
        <v>193</v>
      </c>
      <c r="AH406" s="137" t="s">
        <v>193</v>
      </c>
      <c r="AI406" s="137" t="s">
        <v>193</v>
      </c>
      <c r="AJ406" s="137" t="s">
        <v>193</v>
      </c>
      <c r="AK406" s="137" t="s">
        <v>193</v>
      </c>
      <c r="AL406" s="137" t="s">
        <v>193</v>
      </c>
      <c r="AM406" s="137" t="s">
        <v>193</v>
      </c>
      <c r="AN406" s="137" t="s">
        <v>53</v>
      </c>
      <c r="AO406" s="137">
        <v>100</v>
      </c>
      <c r="AP406" s="137">
        <v>0</v>
      </c>
      <c r="AQ406" s="137">
        <v>0</v>
      </c>
      <c r="AR406" s="137">
        <v>0</v>
      </c>
      <c r="AV406" s="1">
        <f t="shared" si="52"/>
        <v>56.4</v>
      </c>
      <c r="AW406" s="1">
        <f t="shared" si="45"/>
        <v>52.6</v>
      </c>
      <c r="AX406" s="13">
        <f t="shared" si="50"/>
        <v>0.93262411347517737</v>
      </c>
      <c r="BA406" s="12">
        <f t="shared" si="46"/>
        <v>0</v>
      </c>
      <c r="BB406" s="12">
        <f t="shared" si="51"/>
        <v>0</v>
      </c>
      <c r="BC406" s="12">
        <f t="shared" si="51"/>
        <v>0</v>
      </c>
      <c r="BD406" s="12">
        <f t="shared" si="51"/>
        <v>0</v>
      </c>
      <c r="BE406" s="12">
        <f t="shared" si="47"/>
        <v>0</v>
      </c>
      <c r="BF406" s="12">
        <f t="shared" si="48"/>
        <v>0</v>
      </c>
      <c r="BJ406" s="12" t="str">
        <f t="shared" si="49"/>
        <v>ja</v>
      </c>
      <c r="BK406" s="12">
        <f>VLOOKUP(B406,Kraftvärmeprod!$B$1:$BH$549,MATCH($BA$1,Kraftvärmeprod!$B$1:$CC$1,0),FALSE)</f>
        <v>0</v>
      </c>
    </row>
    <row r="407" spans="1:63" ht="15" customHeight="1" x14ac:dyDescent="0.25">
      <c r="A407" s="137" t="s">
        <v>149</v>
      </c>
      <c r="B407" s="137" t="s">
        <v>13</v>
      </c>
      <c r="C407" s="137">
        <v>2018</v>
      </c>
      <c r="D407" s="137" t="s">
        <v>53</v>
      </c>
      <c r="E407" s="137" t="s">
        <v>53</v>
      </c>
      <c r="F407" s="137" t="s">
        <v>53</v>
      </c>
      <c r="G407" s="137" t="s">
        <v>53</v>
      </c>
      <c r="H407" s="137" t="s">
        <v>53</v>
      </c>
      <c r="I407" s="137" t="s">
        <v>53</v>
      </c>
      <c r="J407" s="137" t="s">
        <v>53</v>
      </c>
      <c r="K407" s="137" t="s">
        <v>53</v>
      </c>
      <c r="L407" s="137" t="s">
        <v>53</v>
      </c>
      <c r="M407" s="137" t="s">
        <v>53</v>
      </c>
      <c r="N407" s="137" t="s">
        <v>53</v>
      </c>
      <c r="O407" s="137" t="s">
        <v>53</v>
      </c>
      <c r="P407" s="137" t="s">
        <v>53</v>
      </c>
      <c r="Q407" s="137" t="s">
        <v>53</v>
      </c>
      <c r="R407" s="137" t="s">
        <v>53</v>
      </c>
      <c r="S407" s="137" t="s">
        <v>53</v>
      </c>
      <c r="T407" s="137" t="s">
        <v>53</v>
      </c>
      <c r="U407" s="137" t="s">
        <v>53</v>
      </c>
      <c r="V407" s="137" t="s">
        <v>53</v>
      </c>
      <c r="W407" s="137" t="s">
        <v>53</v>
      </c>
      <c r="X407" s="137" t="s">
        <v>53</v>
      </c>
      <c r="Y407" s="137" t="s">
        <v>53</v>
      </c>
      <c r="Z407" s="137" t="s">
        <v>53</v>
      </c>
      <c r="AA407" s="137" t="s">
        <v>53</v>
      </c>
      <c r="AB407" s="137" t="s">
        <v>53</v>
      </c>
      <c r="AC407" s="137" t="s">
        <v>53</v>
      </c>
      <c r="AD407" s="137" t="s">
        <v>53</v>
      </c>
      <c r="AE407" s="137" t="s">
        <v>53</v>
      </c>
      <c r="AF407" s="137" t="s">
        <v>53</v>
      </c>
      <c r="AG407" s="137" t="s">
        <v>53</v>
      </c>
      <c r="AH407" s="137" t="s">
        <v>53</v>
      </c>
      <c r="AI407" s="137" t="s">
        <v>53</v>
      </c>
      <c r="AJ407" s="137" t="s">
        <v>53</v>
      </c>
      <c r="AK407" s="137" t="s">
        <v>53</v>
      </c>
      <c r="AL407" s="137" t="s">
        <v>53</v>
      </c>
      <c r="AM407" s="137" t="s">
        <v>53</v>
      </c>
      <c r="AN407" s="137" t="s">
        <v>53</v>
      </c>
      <c r="AO407" s="137" t="s">
        <v>53</v>
      </c>
      <c r="AP407" s="137" t="s">
        <v>53</v>
      </c>
      <c r="AQ407" s="137" t="s">
        <v>53</v>
      </c>
      <c r="AR407" s="137" t="s">
        <v>53</v>
      </c>
      <c r="AV407" s="1">
        <f t="shared" si="52"/>
        <v>0</v>
      </c>
      <c r="AW407" s="1">
        <f t="shared" si="45"/>
        <v>0</v>
      </c>
      <c r="AX407" s="13" t="str">
        <f t="shared" si="50"/>
        <v/>
      </c>
      <c r="BA407" s="12">
        <f t="shared" si="46"/>
        <v>0</v>
      </c>
      <c r="BB407" s="12">
        <f t="shared" si="51"/>
        <v>0</v>
      </c>
      <c r="BC407" s="12">
        <f t="shared" si="51"/>
        <v>0</v>
      </c>
      <c r="BD407" s="12">
        <f t="shared" si="51"/>
        <v>0</v>
      </c>
      <c r="BE407" s="12">
        <f t="shared" si="47"/>
        <v>0</v>
      </c>
      <c r="BF407" s="12">
        <f t="shared" si="48"/>
        <v>0</v>
      </c>
      <c r="BJ407" s="12" t="str">
        <f t="shared" si="49"/>
        <v/>
      </c>
      <c r="BK407" s="12">
        <f>VLOOKUP(B407,Kraftvärmeprod!$B$1:$BH$549,MATCH($BA$1,Kraftvärmeprod!$B$1:$CC$1,0),FALSE)</f>
        <v>0</v>
      </c>
    </row>
    <row r="408" spans="1:63" ht="15" customHeight="1" x14ac:dyDescent="0.25">
      <c r="A408" s="137" t="s">
        <v>12</v>
      </c>
      <c r="B408" s="141" t="s">
        <v>14</v>
      </c>
      <c r="C408" s="137">
        <v>2018</v>
      </c>
      <c r="D408" s="137" t="s">
        <v>53</v>
      </c>
      <c r="E408" s="137" t="s">
        <v>53</v>
      </c>
      <c r="F408" s="137" t="s">
        <v>53</v>
      </c>
      <c r="G408" s="137" t="s">
        <v>53</v>
      </c>
      <c r="H408" s="137" t="s">
        <v>53</v>
      </c>
      <c r="I408" s="137" t="s">
        <v>53</v>
      </c>
      <c r="J408" s="137" t="s">
        <v>53</v>
      </c>
      <c r="K408" s="137" t="s">
        <v>53</v>
      </c>
      <c r="L408" s="137" t="s">
        <v>53</v>
      </c>
      <c r="M408" s="137" t="s">
        <v>53</v>
      </c>
      <c r="N408" s="137" t="s">
        <v>53</v>
      </c>
      <c r="O408" s="137" t="s">
        <v>53</v>
      </c>
      <c r="P408" s="137" t="s">
        <v>53</v>
      </c>
      <c r="Q408" s="137" t="s">
        <v>53</v>
      </c>
      <c r="R408" s="137" t="s">
        <v>53</v>
      </c>
      <c r="S408" s="137" t="s">
        <v>53</v>
      </c>
      <c r="T408" s="137" t="s">
        <v>53</v>
      </c>
      <c r="U408" s="137" t="s">
        <v>53</v>
      </c>
      <c r="V408" s="137" t="s">
        <v>53</v>
      </c>
      <c r="W408" s="137" t="s">
        <v>53</v>
      </c>
      <c r="X408" s="137" t="s">
        <v>53</v>
      </c>
      <c r="Y408" s="137" t="s">
        <v>53</v>
      </c>
      <c r="Z408" s="137" t="s">
        <v>53</v>
      </c>
      <c r="AA408" s="137" t="s">
        <v>53</v>
      </c>
      <c r="AB408" s="137" t="s">
        <v>53</v>
      </c>
      <c r="AC408" s="137" t="s">
        <v>53</v>
      </c>
      <c r="AD408" s="137" t="s">
        <v>53</v>
      </c>
      <c r="AE408" s="137" t="s">
        <v>53</v>
      </c>
      <c r="AF408" s="137" t="s">
        <v>53</v>
      </c>
      <c r="AG408" s="137" t="s">
        <v>53</v>
      </c>
      <c r="AH408" s="137" t="s">
        <v>53</v>
      </c>
      <c r="AI408" s="137" t="s">
        <v>53</v>
      </c>
      <c r="AJ408" s="137" t="s">
        <v>53</v>
      </c>
      <c r="AK408" s="137" t="s">
        <v>53</v>
      </c>
      <c r="AL408" s="137" t="s">
        <v>53</v>
      </c>
      <c r="AM408" s="137" t="s">
        <v>53</v>
      </c>
      <c r="AN408" s="137" t="s">
        <v>53</v>
      </c>
      <c r="AO408" s="137" t="s">
        <v>53</v>
      </c>
      <c r="AP408" s="137" t="s">
        <v>53</v>
      </c>
      <c r="AQ408" s="137" t="s">
        <v>53</v>
      </c>
      <c r="AR408" s="137" t="s">
        <v>53</v>
      </c>
      <c r="AV408" s="1">
        <f t="shared" si="52"/>
        <v>0</v>
      </c>
      <c r="AW408" s="1">
        <f t="shared" si="45"/>
        <v>0</v>
      </c>
      <c r="AX408" s="13" t="str">
        <f t="shared" si="50"/>
        <v/>
      </c>
      <c r="BA408" s="12">
        <f t="shared" si="46"/>
        <v>0</v>
      </c>
      <c r="BB408" s="12">
        <f t="shared" si="51"/>
        <v>0</v>
      </c>
      <c r="BC408" s="12">
        <f t="shared" si="51"/>
        <v>0</v>
      </c>
      <c r="BD408" s="12">
        <f t="shared" si="51"/>
        <v>0</v>
      </c>
      <c r="BE408" s="12">
        <f t="shared" si="47"/>
        <v>0</v>
      </c>
      <c r="BF408" s="12">
        <f t="shared" si="48"/>
        <v>0</v>
      </c>
      <c r="BJ408" s="12" t="str">
        <f t="shared" si="49"/>
        <v/>
      </c>
      <c r="BK408" s="12">
        <f>VLOOKUP(B408,Kraftvärmeprod!$B$1:$BH$549,MATCH($BA$1,Kraftvärmeprod!$B$1:$CC$1,0),FALSE)</f>
        <v>0</v>
      </c>
    </row>
    <row r="409" spans="1:63" ht="15" customHeight="1" x14ac:dyDescent="0.25">
      <c r="A409" s="137" t="s">
        <v>734</v>
      </c>
      <c r="B409" s="137" t="s">
        <v>735</v>
      </c>
      <c r="C409" s="137">
        <v>2018</v>
      </c>
      <c r="D409" s="137">
        <v>7.73</v>
      </c>
      <c r="E409" s="137">
        <v>10.25</v>
      </c>
      <c r="F409" s="137" t="s">
        <v>193</v>
      </c>
      <c r="G409" s="137">
        <v>4.9000000000000002E-2</v>
      </c>
      <c r="H409" s="137" t="s">
        <v>193</v>
      </c>
      <c r="I409" s="137" t="s">
        <v>193</v>
      </c>
      <c r="J409" s="137" t="s">
        <v>193</v>
      </c>
      <c r="K409" s="137" t="s">
        <v>193</v>
      </c>
      <c r="L409" s="137" t="s">
        <v>193</v>
      </c>
      <c r="M409" s="137" t="s">
        <v>193</v>
      </c>
      <c r="N409" s="137" t="s">
        <v>193</v>
      </c>
      <c r="O409" s="137" t="s">
        <v>193</v>
      </c>
      <c r="P409" s="137">
        <v>7.399</v>
      </c>
      <c r="Q409" s="137" t="s">
        <v>193</v>
      </c>
      <c r="R409" s="137" t="s">
        <v>193</v>
      </c>
      <c r="S409" s="137" t="s">
        <v>193</v>
      </c>
      <c r="T409" s="137" t="s">
        <v>194</v>
      </c>
      <c r="U409" s="137" t="s">
        <v>193</v>
      </c>
      <c r="V409" s="137" t="s">
        <v>193</v>
      </c>
      <c r="W409" s="137" t="s">
        <v>193</v>
      </c>
      <c r="X409" s="137" t="s">
        <v>193</v>
      </c>
      <c r="Y409" s="137" t="s">
        <v>193</v>
      </c>
      <c r="Z409" s="137">
        <v>2.4249999999999998</v>
      </c>
      <c r="AA409" s="137" t="s">
        <v>193</v>
      </c>
      <c r="AB409" s="137" t="s">
        <v>193</v>
      </c>
      <c r="AC409" s="137" t="s">
        <v>193</v>
      </c>
      <c r="AD409" s="137" t="s">
        <v>193</v>
      </c>
      <c r="AE409" s="137" t="s">
        <v>199</v>
      </c>
      <c r="AF409" s="137" t="s">
        <v>193</v>
      </c>
      <c r="AG409" s="137" t="s">
        <v>193</v>
      </c>
      <c r="AH409" s="137" t="s">
        <v>193</v>
      </c>
      <c r="AI409" s="137" t="s">
        <v>193</v>
      </c>
      <c r="AJ409" s="137" t="s">
        <v>193</v>
      </c>
      <c r="AK409" s="137" t="s">
        <v>193</v>
      </c>
      <c r="AL409" s="137">
        <v>0.377</v>
      </c>
      <c r="AM409" s="137">
        <v>0.38500000000000001</v>
      </c>
      <c r="AN409" s="137" t="s">
        <v>193</v>
      </c>
      <c r="AO409" s="137" t="s">
        <v>193</v>
      </c>
      <c r="AP409" s="137" t="s">
        <v>193</v>
      </c>
      <c r="AQ409" s="137" t="s">
        <v>193</v>
      </c>
      <c r="AR409" s="137" t="s">
        <v>193</v>
      </c>
      <c r="AV409" s="1">
        <f t="shared" si="52"/>
        <v>10.250000000000002</v>
      </c>
      <c r="AW409" s="1">
        <f t="shared" si="45"/>
        <v>7.73</v>
      </c>
      <c r="AX409" s="13">
        <f t="shared" si="50"/>
        <v>0.75414634146341453</v>
      </c>
      <c r="BA409" s="12">
        <f t="shared" si="46"/>
        <v>0</v>
      </c>
      <c r="BB409" s="12">
        <f t="shared" si="51"/>
        <v>0</v>
      </c>
      <c r="BC409" s="12">
        <f t="shared" si="51"/>
        <v>0</v>
      </c>
      <c r="BD409" s="12">
        <f t="shared" si="51"/>
        <v>0</v>
      </c>
      <c r="BE409" s="12">
        <f t="shared" si="47"/>
        <v>0</v>
      </c>
      <c r="BF409" s="12">
        <f t="shared" si="48"/>
        <v>0</v>
      </c>
      <c r="BJ409" s="12" t="str">
        <f t="shared" si="49"/>
        <v/>
      </c>
      <c r="BK409" s="12">
        <f>VLOOKUP(B409,Kraftvärmeprod!$B$1:$BH$549,MATCH($BA$1,Kraftvärmeprod!$B$1:$CC$1,0),FALSE)</f>
        <v>0</v>
      </c>
    </row>
    <row r="410" spans="1:63" ht="15" customHeight="1" x14ac:dyDescent="0.25">
      <c r="A410" s="137" t="s">
        <v>734</v>
      </c>
      <c r="B410" s="137" t="s">
        <v>736</v>
      </c>
      <c r="C410" s="137">
        <v>2018</v>
      </c>
      <c r="D410" s="137">
        <v>6.60778</v>
      </c>
      <c r="E410" s="137">
        <v>7.5053200000000002</v>
      </c>
      <c r="F410" s="137" t="s">
        <v>193</v>
      </c>
      <c r="G410" s="137">
        <v>1.34E-3</v>
      </c>
      <c r="H410" s="137" t="s">
        <v>193</v>
      </c>
      <c r="I410" s="137" t="s">
        <v>193</v>
      </c>
      <c r="J410" s="137" t="s">
        <v>193</v>
      </c>
      <c r="K410" s="137" t="s">
        <v>193</v>
      </c>
      <c r="L410" s="137" t="s">
        <v>193</v>
      </c>
      <c r="M410" s="137" t="s">
        <v>193</v>
      </c>
      <c r="N410" s="137" t="s">
        <v>193</v>
      </c>
      <c r="O410" s="137" t="s">
        <v>193</v>
      </c>
      <c r="P410" s="137">
        <v>4.9874700000000001</v>
      </c>
      <c r="Q410" s="137" t="s">
        <v>193</v>
      </c>
      <c r="R410" s="137" t="s">
        <v>193</v>
      </c>
      <c r="S410" s="137" t="s">
        <v>193</v>
      </c>
      <c r="T410" s="137" t="s">
        <v>194</v>
      </c>
      <c r="U410" s="137" t="s">
        <v>193</v>
      </c>
      <c r="V410" s="137" t="s">
        <v>193</v>
      </c>
      <c r="W410" s="137" t="s">
        <v>193</v>
      </c>
      <c r="X410" s="137" t="s">
        <v>193</v>
      </c>
      <c r="Y410" s="137" t="s">
        <v>193</v>
      </c>
      <c r="Z410" s="137">
        <v>1.1816199999999999</v>
      </c>
      <c r="AA410" s="137" t="s">
        <v>193</v>
      </c>
      <c r="AB410" s="137" t="s">
        <v>193</v>
      </c>
      <c r="AC410" s="137" t="s">
        <v>193</v>
      </c>
      <c r="AD410" s="137" t="s">
        <v>193</v>
      </c>
      <c r="AE410" s="137" t="s">
        <v>199</v>
      </c>
      <c r="AF410" s="137" t="s">
        <v>193</v>
      </c>
      <c r="AG410" s="137" t="s">
        <v>193</v>
      </c>
      <c r="AH410" s="137" t="s">
        <v>193</v>
      </c>
      <c r="AI410" s="137" t="s">
        <v>193</v>
      </c>
      <c r="AJ410" s="137" t="s">
        <v>193</v>
      </c>
      <c r="AK410" s="137" t="s">
        <v>193</v>
      </c>
      <c r="AL410" s="137">
        <v>1.3348899999999999</v>
      </c>
      <c r="AM410" s="137">
        <v>1.3621300000000001</v>
      </c>
      <c r="AN410" s="137" t="s">
        <v>193</v>
      </c>
      <c r="AO410" s="137" t="s">
        <v>193</v>
      </c>
      <c r="AP410" s="137" t="s">
        <v>193</v>
      </c>
      <c r="AQ410" s="137" t="s">
        <v>193</v>
      </c>
      <c r="AR410" s="137" t="s">
        <v>193</v>
      </c>
      <c r="AV410" s="1">
        <f t="shared" si="52"/>
        <v>7.5053199999999993</v>
      </c>
      <c r="AW410" s="1">
        <f t="shared" si="45"/>
        <v>6.60778</v>
      </c>
      <c r="AX410" s="13">
        <f t="shared" si="50"/>
        <v>0.88041282716792901</v>
      </c>
      <c r="BA410" s="12">
        <f t="shared" si="46"/>
        <v>0</v>
      </c>
      <c r="BB410" s="12">
        <f t="shared" si="51"/>
        <v>0</v>
      </c>
      <c r="BC410" s="12">
        <f t="shared" si="51"/>
        <v>0</v>
      </c>
      <c r="BD410" s="12">
        <f t="shared" si="51"/>
        <v>0</v>
      </c>
      <c r="BE410" s="12">
        <f t="shared" si="47"/>
        <v>0</v>
      </c>
      <c r="BF410" s="12">
        <f t="shared" si="48"/>
        <v>0</v>
      </c>
      <c r="BJ410" s="12" t="str">
        <f t="shared" si="49"/>
        <v/>
      </c>
      <c r="BK410" s="12">
        <f>VLOOKUP(B410,Kraftvärmeprod!$B$1:$BH$549,MATCH($BA$1,Kraftvärmeprod!$B$1:$CC$1,0),FALSE)</f>
        <v>0</v>
      </c>
    </row>
    <row r="411" spans="1:63" ht="15" customHeight="1" x14ac:dyDescent="0.25">
      <c r="A411" s="137" t="s">
        <v>734</v>
      </c>
      <c r="B411" s="137" t="s">
        <v>737</v>
      </c>
      <c r="C411" s="137">
        <v>2018</v>
      </c>
      <c r="D411" s="137">
        <v>0.34745999999999999</v>
      </c>
      <c r="E411" s="137">
        <v>0.40877000000000002</v>
      </c>
      <c r="F411" s="137" t="s">
        <v>193</v>
      </c>
      <c r="G411" s="137">
        <v>0.40877000000000002</v>
      </c>
      <c r="H411" s="137" t="s">
        <v>193</v>
      </c>
      <c r="I411" s="137" t="s">
        <v>193</v>
      </c>
      <c r="J411" s="137" t="s">
        <v>193</v>
      </c>
      <c r="K411" s="137" t="s">
        <v>193</v>
      </c>
      <c r="L411" s="137" t="s">
        <v>193</v>
      </c>
      <c r="M411" s="137" t="s">
        <v>193</v>
      </c>
      <c r="N411" s="137" t="s">
        <v>193</v>
      </c>
      <c r="O411" s="137" t="s">
        <v>193</v>
      </c>
      <c r="P411" s="137" t="s">
        <v>193</v>
      </c>
      <c r="Q411" s="137" t="s">
        <v>193</v>
      </c>
      <c r="R411" s="137" t="s">
        <v>193</v>
      </c>
      <c r="S411" s="137" t="s">
        <v>193</v>
      </c>
      <c r="T411" s="137" t="s">
        <v>193</v>
      </c>
      <c r="U411" s="137" t="s">
        <v>193</v>
      </c>
      <c r="V411" s="137" t="s">
        <v>193</v>
      </c>
      <c r="W411" s="137" t="s">
        <v>193</v>
      </c>
      <c r="X411" s="137" t="s">
        <v>193</v>
      </c>
      <c r="Y411" s="137" t="s">
        <v>193</v>
      </c>
      <c r="Z411" s="137" t="s">
        <v>193</v>
      </c>
      <c r="AA411" s="137" t="s">
        <v>193</v>
      </c>
      <c r="AB411" s="137" t="s">
        <v>193</v>
      </c>
      <c r="AC411" s="137" t="s">
        <v>193</v>
      </c>
      <c r="AD411" s="137" t="s">
        <v>193</v>
      </c>
      <c r="AE411" s="137" t="s">
        <v>199</v>
      </c>
      <c r="AF411" s="137" t="s">
        <v>193</v>
      </c>
      <c r="AG411" s="137" t="s">
        <v>193</v>
      </c>
      <c r="AH411" s="137" t="s">
        <v>193</v>
      </c>
      <c r="AI411" s="137" t="s">
        <v>193</v>
      </c>
      <c r="AJ411" s="137" t="s">
        <v>193</v>
      </c>
      <c r="AK411" s="137" t="s">
        <v>193</v>
      </c>
      <c r="AL411" s="137" t="s">
        <v>193</v>
      </c>
      <c r="AM411" s="137" t="s">
        <v>193</v>
      </c>
      <c r="AN411" s="137" t="s">
        <v>193</v>
      </c>
      <c r="AO411" s="137" t="s">
        <v>193</v>
      </c>
      <c r="AP411" s="137" t="s">
        <v>193</v>
      </c>
      <c r="AQ411" s="137" t="s">
        <v>193</v>
      </c>
      <c r="AR411" s="137" t="s">
        <v>193</v>
      </c>
      <c r="AV411" s="1">
        <f t="shared" si="52"/>
        <v>0.40877000000000002</v>
      </c>
      <c r="AW411" s="1">
        <f t="shared" si="45"/>
        <v>0.34745999999999999</v>
      </c>
      <c r="AX411" s="13">
        <f t="shared" si="50"/>
        <v>0.85001345499914371</v>
      </c>
      <c r="BA411" s="12">
        <f t="shared" si="46"/>
        <v>0</v>
      </c>
      <c r="BB411" s="12">
        <f t="shared" si="51"/>
        <v>0</v>
      </c>
      <c r="BC411" s="12">
        <f t="shared" si="51"/>
        <v>0</v>
      </c>
      <c r="BD411" s="12">
        <f t="shared" si="51"/>
        <v>0</v>
      </c>
      <c r="BE411" s="12">
        <f t="shared" si="47"/>
        <v>0</v>
      </c>
      <c r="BF411" s="12">
        <f t="shared" si="48"/>
        <v>0</v>
      </c>
      <c r="BJ411" s="12" t="str">
        <f t="shared" si="49"/>
        <v/>
      </c>
      <c r="BK411" s="12">
        <f>VLOOKUP(B411,Kraftvärmeprod!$B$1:$BH$549,MATCH($BA$1,Kraftvärmeprod!$B$1:$CC$1,0),FALSE)</f>
        <v>0</v>
      </c>
    </row>
    <row r="412" spans="1:63" ht="15" customHeight="1" x14ac:dyDescent="0.25">
      <c r="A412" s="137" t="s">
        <v>734</v>
      </c>
      <c r="B412" s="137" t="s">
        <v>738</v>
      </c>
      <c r="C412" s="137">
        <v>2018</v>
      </c>
      <c r="D412" s="137">
        <v>0.72250000000000003</v>
      </c>
      <c r="E412" s="137">
        <v>0.72257000000000005</v>
      </c>
      <c r="F412" s="137" t="s">
        <v>193</v>
      </c>
      <c r="G412" s="137">
        <v>5.3699999999999998E-3</v>
      </c>
      <c r="H412" s="137" t="s">
        <v>193</v>
      </c>
      <c r="I412" s="137" t="s">
        <v>193</v>
      </c>
      <c r="J412" s="137" t="s">
        <v>193</v>
      </c>
      <c r="K412" s="137" t="s">
        <v>193</v>
      </c>
      <c r="L412" s="137" t="s">
        <v>193</v>
      </c>
      <c r="M412" s="137" t="s">
        <v>193</v>
      </c>
      <c r="N412" s="137" t="s">
        <v>193</v>
      </c>
      <c r="O412" s="137" t="s">
        <v>193</v>
      </c>
      <c r="P412" s="137" t="s">
        <v>193</v>
      </c>
      <c r="Q412" s="137" t="s">
        <v>193</v>
      </c>
      <c r="R412" s="137" t="s">
        <v>193</v>
      </c>
      <c r="S412" s="137" t="s">
        <v>193</v>
      </c>
      <c r="T412" s="137" t="s">
        <v>193</v>
      </c>
      <c r="U412" s="137">
        <v>0.71719999999999995</v>
      </c>
      <c r="V412" s="137" t="s">
        <v>193</v>
      </c>
      <c r="W412" s="137" t="s">
        <v>193</v>
      </c>
      <c r="X412" s="137" t="s">
        <v>193</v>
      </c>
      <c r="Y412" s="137" t="s">
        <v>193</v>
      </c>
      <c r="Z412" s="137" t="s">
        <v>193</v>
      </c>
      <c r="AA412" s="137" t="s">
        <v>193</v>
      </c>
      <c r="AB412" s="137" t="s">
        <v>193</v>
      </c>
      <c r="AC412" s="137" t="s">
        <v>193</v>
      </c>
      <c r="AD412" s="137" t="s">
        <v>193</v>
      </c>
      <c r="AE412" s="137" t="s">
        <v>199</v>
      </c>
      <c r="AF412" s="137" t="s">
        <v>193</v>
      </c>
      <c r="AG412" s="137" t="s">
        <v>193</v>
      </c>
      <c r="AH412" s="137" t="s">
        <v>193</v>
      </c>
      <c r="AI412" s="137" t="s">
        <v>193</v>
      </c>
      <c r="AJ412" s="137" t="s">
        <v>193</v>
      </c>
      <c r="AK412" s="137" t="s">
        <v>193</v>
      </c>
      <c r="AL412" s="137" t="s">
        <v>193</v>
      </c>
      <c r="AM412" s="137" t="s">
        <v>193</v>
      </c>
      <c r="AN412" s="137" t="s">
        <v>53</v>
      </c>
      <c r="AO412" s="137" t="s">
        <v>193</v>
      </c>
      <c r="AP412" s="137" t="s">
        <v>193</v>
      </c>
      <c r="AQ412" s="137" t="s">
        <v>193</v>
      </c>
      <c r="AR412" s="137" t="s">
        <v>193</v>
      </c>
      <c r="AV412" s="1">
        <f t="shared" si="52"/>
        <v>0.72256999999999993</v>
      </c>
      <c r="AW412" s="1">
        <f t="shared" si="45"/>
        <v>0.72250000000000003</v>
      </c>
      <c r="AX412" s="13">
        <f t="shared" si="50"/>
        <v>0.99990312357280275</v>
      </c>
      <c r="BA412" s="12">
        <f t="shared" si="46"/>
        <v>0</v>
      </c>
      <c r="BB412" s="12">
        <f t="shared" si="51"/>
        <v>0</v>
      </c>
      <c r="BC412" s="12">
        <f t="shared" si="51"/>
        <v>0</v>
      </c>
      <c r="BD412" s="12">
        <f t="shared" si="51"/>
        <v>0</v>
      </c>
      <c r="BE412" s="12">
        <f t="shared" si="47"/>
        <v>0</v>
      </c>
      <c r="BF412" s="12">
        <f t="shared" si="48"/>
        <v>0</v>
      </c>
      <c r="BJ412" s="12" t="str">
        <f t="shared" si="49"/>
        <v/>
      </c>
      <c r="BK412" s="12">
        <f>VLOOKUP(B412,Kraftvärmeprod!$B$1:$BH$549,MATCH($BA$1,Kraftvärmeprod!$B$1:$CC$1,0),FALSE)</f>
        <v>0</v>
      </c>
    </row>
    <row r="413" spans="1:63" ht="15" customHeight="1" x14ac:dyDescent="0.25">
      <c r="A413" s="137" t="s">
        <v>734</v>
      </c>
      <c r="B413" s="137" t="s">
        <v>739</v>
      </c>
      <c r="C413" s="137">
        <v>2018</v>
      </c>
      <c r="D413" s="137" t="s">
        <v>193</v>
      </c>
      <c r="E413" s="137" t="s">
        <v>193</v>
      </c>
      <c r="F413" s="137" t="s">
        <v>193</v>
      </c>
      <c r="G413" s="137" t="s">
        <v>193</v>
      </c>
      <c r="H413" s="137" t="s">
        <v>193</v>
      </c>
      <c r="I413" s="137" t="s">
        <v>193</v>
      </c>
      <c r="J413" s="137" t="s">
        <v>193</v>
      </c>
      <c r="K413" s="137" t="s">
        <v>193</v>
      </c>
      <c r="L413" s="137" t="s">
        <v>193</v>
      </c>
      <c r="M413" s="137" t="s">
        <v>53</v>
      </c>
      <c r="N413" s="137" t="s">
        <v>193</v>
      </c>
      <c r="O413" s="137" t="s">
        <v>193</v>
      </c>
      <c r="P413" s="137" t="s">
        <v>193</v>
      </c>
      <c r="Q413" s="137" t="s">
        <v>193</v>
      </c>
      <c r="R413" s="137" t="s">
        <v>193</v>
      </c>
      <c r="S413" s="137" t="s">
        <v>193</v>
      </c>
      <c r="T413" s="137" t="s">
        <v>193</v>
      </c>
      <c r="U413" s="137" t="s">
        <v>193</v>
      </c>
      <c r="V413" s="137" t="s">
        <v>193</v>
      </c>
      <c r="W413" s="137" t="s">
        <v>193</v>
      </c>
      <c r="X413" s="137" t="s">
        <v>193</v>
      </c>
      <c r="Y413" s="137" t="s">
        <v>193</v>
      </c>
      <c r="Z413" s="137" t="s">
        <v>193</v>
      </c>
      <c r="AA413" s="137" t="s">
        <v>193</v>
      </c>
      <c r="AB413" s="137" t="s">
        <v>193</v>
      </c>
      <c r="AC413" s="137" t="s">
        <v>193</v>
      </c>
      <c r="AD413" s="137" t="s">
        <v>193</v>
      </c>
      <c r="AE413" s="137" t="s">
        <v>199</v>
      </c>
      <c r="AF413" s="137" t="s">
        <v>193</v>
      </c>
      <c r="AG413" s="137" t="s">
        <v>193</v>
      </c>
      <c r="AH413" s="137" t="s">
        <v>193</v>
      </c>
      <c r="AI413" s="137" t="s">
        <v>193</v>
      </c>
      <c r="AJ413" s="137" t="s">
        <v>193</v>
      </c>
      <c r="AK413" s="137" t="s">
        <v>193</v>
      </c>
      <c r="AL413" s="137" t="s">
        <v>193</v>
      </c>
      <c r="AM413" s="137" t="s">
        <v>193</v>
      </c>
      <c r="AN413" s="137" t="s">
        <v>53</v>
      </c>
      <c r="AO413" s="137" t="s">
        <v>193</v>
      </c>
      <c r="AP413" s="137" t="s">
        <v>193</v>
      </c>
      <c r="AQ413" s="137" t="s">
        <v>193</v>
      </c>
      <c r="AR413" s="137" t="s">
        <v>193</v>
      </c>
      <c r="AV413" s="1">
        <f t="shared" si="52"/>
        <v>0</v>
      </c>
      <c r="AW413" s="1">
        <f t="shared" si="45"/>
        <v>0</v>
      </c>
      <c r="AX413" s="13" t="str">
        <f t="shared" si="50"/>
        <v/>
      </c>
      <c r="BA413" s="12">
        <f t="shared" si="46"/>
        <v>0</v>
      </c>
      <c r="BB413" s="12">
        <f t="shared" si="51"/>
        <v>0</v>
      </c>
      <c r="BC413" s="12">
        <f t="shared" si="51"/>
        <v>0</v>
      </c>
      <c r="BD413" s="12">
        <f t="shared" si="51"/>
        <v>0</v>
      </c>
      <c r="BE413" s="12">
        <f t="shared" si="47"/>
        <v>0</v>
      </c>
      <c r="BF413" s="12">
        <f t="shared" si="48"/>
        <v>0</v>
      </c>
      <c r="BJ413" s="12" t="str">
        <f t="shared" si="49"/>
        <v/>
      </c>
      <c r="BK413" s="12">
        <f>VLOOKUP(B413,Kraftvärmeprod!$B$1:$BH$549,MATCH($BA$1,Kraftvärmeprod!$B$1:$CC$1,0),FALSE)</f>
        <v>0</v>
      </c>
    </row>
    <row r="414" spans="1:63" ht="15" customHeight="1" x14ac:dyDescent="0.25">
      <c r="A414" s="137" t="s">
        <v>734</v>
      </c>
      <c r="B414" s="137" t="s">
        <v>740</v>
      </c>
      <c r="C414" s="137">
        <v>2018</v>
      </c>
      <c r="D414" s="137">
        <v>13.521000000000001</v>
      </c>
      <c r="E414" s="137">
        <v>17.747199999999999</v>
      </c>
      <c r="F414" s="137" t="s">
        <v>193</v>
      </c>
      <c r="G414" s="137">
        <v>0.63500000000000001</v>
      </c>
      <c r="H414" s="137" t="s">
        <v>193</v>
      </c>
      <c r="I414" s="137" t="s">
        <v>193</v>
      </c>
      <c r="J414" s="137" t="s">
        <v>193</v>
      </c>
      <c r="K414" s="137" t="s">
        <v>193</v>
      </c>
      <c r="L414" s="137" t="s">
        <v>193</v>
      </c>
      <c r="M414" s="137" t="s">
        <v>193</v>
      </c>
      <c r="N414" s="137" t="s">
        <v>193</v>
      </c>
      <c r="O414" s="137">
        <v>5.1840000000000002</v>
      </c>
      <c r="P414" s="137" t="s">
        <v>193</v>
      </c>
      <c r="Q414" s="137" t="s">
        <v>193</v>
      </c>
      <c r="R414" s="137" t="s">
        <v>193</v>
      </c>
      <c r="S414" s="137" t="s">
        <v>193</v>
      </c>
      <c r="T414" s="137" t="s">
        <v>194</v>
      </c>
      <c r="U414" s="137" t="s">
        <v>193</v>
      </c>
      <c r="V414" s="137" t="s">
        <v>193</v>
      </c>
      <c r="W414" s="137" t="s">
        <v>193</v>
      </c>
      <c r="X414" s="137" t="s">
        <v>193</v>
      </c>
      <c r="Y414" s="137" t="s">
        <v>193</v>
      </c>
      <c r="Z414" s="137">
        <v>11.022</v>
      </c>
      <c r="AA414" s="137" t="s">
        <v>193</v>
      </c>
      <c r="AB414" s="137" t="s">
        <v>193</v>
      </c>
      <c r="AC414" s="137" t="s">
        <v>193</v>
      </c>
      <c r="AD414" s="137" t="s">
        <v>193</v>
      </c>
      <c r="AE414" s="137" t="s">
        <v>199</v>
      </c>
      <c r="AF414" s="137" t="s">
        <v>193</v>
      </c>
      <c r="AG414" s="137" t="s">
        <v>193</v>
      </c>
      <c r="AH414" s="137" t="s">
        <v>193</v>
      </c>
      <c r="AI414" s="137" t="s">
        <v>193</v>
      </c>
      <c r="AJ414" s="137" t="s">
        <v>193</v>
      </c>
      <c r="AK414" s="137" t="s">
        <v>193</v>
      </c>
      <c r="AL414" s="137">
        <v>0.90620000000000001</v>
      </c>
      <c r="AM414" s="137">
        <v>1.0069999999999999</v>
      </c>
      <c r="AN414" s="137" t="s">
        <v>193</v>
      </c>
      <c r="AO414" s="137" t="s">
        <v>193</v>
      </c>
      <c r="AP414" s="137" t="s">
        <v>193</v>
      </c>
      <c r="AQ414" s="137" t="s">
        <v>193</v>
      </c>
      <c r="AR414" s="137" t="s">
        <v>193</v>
      </c>
      <c r="AV414" s="1">
        <f t="shared" si="52"/>
        <v>17.747199999999999</v>
      </c>
      <c r="AW414" s="1">
        <f t="shared" si="45"/>
        <v>13.521000000000001</v>
      </c>
      <c r="AX414" s="13">
        <f t="shared" si="50"/>
        <v>0.76186666065632891</v>
      </c>
      <c r="BA414" s="12">
        <f t="shared" si="46"/>
        <v>0</v>
      </c>
      <c r="BB414" s="12">
        <f t="shared" si="51"/>
        <v>0</v>
      </c>
      <c r="BC414" s="12">
        <f t="shared" si="51"/>
        <v>0</v>
      </c>
      <c r="BD414" s="12">
        <f t="shared" si="51"/>
        <v>0</v>
      </c>
      <c r="BE414" s="12">
        <f t="shared" si="47"/>
        <v>0</v>
      </c>
      <c r="BF414" s="12">
        <f t="shared" si="48"/>
        <v>0</v>
      </c>
      <c r="BJ414" s="12" t="str">
        <f t="shared" si="49"/>
        <v/>
      </c>
      <c r="BK414" s="12">
        <f>VLOOKUP(B414,Kraftvärmeprod!$B$1:$BH$549,MATCH($BA$1,Kraftvärmeprod!$B$1:$CC$1,0),FALSE)</f>
        <v>75.570999999999998</v>
      </c>
    </row>
    <row r="416" spans="1:63" ht="15" customHeight="1" x14ac:dyDescent="0.25">
      <c r="AZ416" s="12" t="s">
        <v>1316</v>
      </c>
      <c r="BA416" s="1">
        <f t="shared" ref="BA416:BF416" si="53">SUM(BA2:BA414)</f>
        <v>1805.6622500000001</v>
      </c>
      <c r="BB416" s="1">
        <f t="shared" si="53"/>
        <v>962.89578394499983</v>
      </c>
      <c r="BC416" s="1">
        <f t="shared" si="53"/>
        <v>722.32600230999992</v>
      </c>
      <c r="BD416" s="1">
        <f t="shared" si="53"/>
        <v>7.8730756</v>
      </c>
      <c r="BE416" s="1">
        <f t="shared" si="53"/>
        <v>69.358740150000003</v>
      </c>
      <c r="BF416" s="1">
        <f t="shared" si="53"/>
        <v>43.272247995000065</v>
      </c>
    </row>
    <row r="418" spans="54:58" ht="15" customHeight="1" x14ac:dyDescent="0.25">
      <c r="BB418" s="13">
        <f>BB416/$BA$416</f>
        <v>0.53326461465592456</v>
      </c>
      <c r="BC418" s="13">
        <f t="shared" ref="BC418:BF418" si="54">BC416/$BA$416</f>
        <v>0.4000338392797434</v>
      </c>
      <c r="BD418" s="13">
        <f t="shared" si="54"/>
        <v>4.3602149848345111E-3</v>
      </c>
      <c r="BE418" s="13">
        <f t="shared" si="54"/>
        <v>3.8411801625691626E-2</v>
      </c>
      <c r="BF418" s="13">
        <f t="shared" si="54"/>
        <v>2.3964751987809493E-2</v>
      </c>
    </row>
  </sheetData>
  <autoFilter ref="A1:BK414"/>
  <conditionalFormatting sqref="B32:B70 B1:B30 B72:B146 B148:B226 B228:B292 B294:B315 B317:B340 B342:B407 B409:B1048576">
    <cfRule type="duplicateValues" dxfId="23" priority="1"/>
  </conditionalFormatting>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X414"/>
  <sheetViews>
    <sheetView workbookViewId="0">
      <selection activeCell="A32" sqref="A32"/>
    </sheetView>
  </sheetViews>
  <sheetFormatPr defaultColWidth="9.140625" defaultRowHeight="15" customHeight="1" x14ac:dyDescent="0.25"/>
  <cols>
    <col min="1" max="1" width="36.140625" style="1" bestFit="1" customWidth="1"/>
    <col min="2" max="2" width="48" style="1" bestFit="1" customWidth="1"/>
    <col min="3" max="16384" width="9.140625" style="1"/>
  </cols>
  <sheetData>
    <row r="1" spans="1:24" s="2" customFormat="1" ht="105.75" thickBot="1" x14ac:dyDescent="0.3">
      <c r="A1" s="132" t="s">
        <v>151</v>
      </c>
      <c r="B1" s="132" t="s">
        <v>2</v>
      </c>
      <c r="C1" s="132" t="s">
        <v>152</v>
      </c>
      <c r="D1" s="132" t="s">
        <v>750</v>
      </c>
      <c r="E1" s="132" t="s">
        <v>751</v>
      </c>
      <c r="F1" s="132" t="s">
        <v>752</v>
      </c>
      <c r="G1" s="132" t="s">
        <v>753</v>
      </c>
      <c r="H1" s="132" t="s">
        <v>754</v>
      </c>
      <c r="I1" s="132" t="s">
        <v>755</v>
      </c>
      <c r="J1" s="132" t="s">
        <v>756</v>
      </c>
      <c r="K1" s="132" t="s">
        <v>757</v>
      </c>
      <c r="L1" s="132" t="s">
        <v>758</v>
      </c>
      <c r="M1" s="132" t="s">
        <v>759</v>
      </c>
      <c r="N1" s="132" t="s">
        <v>760</v>
      </c>
      <c r="O1" s="132" t="s">
        <v>761</v>
      </c>
      <c r="P1" s="132" t="s">
        <v>762</v>
      </c>
      <c r="Q1" s="132" t="s">
        <v>763</v>
      </c>
      <c r="R1" s="132" t="s">
        <v>764</v>
      </c>
      <c r="S1" s="132" t="s">
        <v>765</v>
      </c>
      <c r="T1" s="132" t="s">
        <v>766</v>
      </c>
      <c r="U1" s="132" t="s">
        <v>767</v>
      </c>
      <c r="X1" s="2" t="s">
        <v>1210</v>
      </c>
    </row>
    <row r="2" spans="1:24" ht="15" customHeight="1" x14ac:dyDescent="0.25">
      <c r="A2" s="137" t="s">
        <v>15</v>
      </c>
      <c r="B2" s="137" t="s">
        <v>16</v>
      </c>
      <c r="C2" s="137">
        <v>2018</v>
      </c>
      <c r="D2" s="137" t="s">
        <v>53</v>
      </c>
      <c r="E2" s="137" t="s">
        <v>193</v>
      </c>
      <c r="F2" s="137" t="s">
        <v>193</v>
      </c>
      <c r="G2" s="137" t="s">
        <v>193</v>
      </c>
      <c r="H2" s="137" t="s">
        <v>193</v>
      </c>
      <c r="I2" s="137" t="s">
        <v>193</v>
      </c>
      <c r="J2" s="137" t="s">
        <v>53</v>
      </c>
      <c r="K2" s="137" t="s">
        <v>193</v>
      </c>
      <c r="L2" s="137" t="s">
        <v>193</v>
      </c>
      <c r="M2" s="137" t="s">
        <v>193</v>
      </c>
      <c r="N2" s="137" t="s">
        <v>193</v>
      </c>
      <c r="O2" s="137" t="s">
        <v>193</v>
      </c>
      <c r="P2" s="137" t="s">
        <v>53</v>
      </c>
      <c r="Q2" s="137" t="s">
        <v>193</v>
      </c>
      <c r="R2" s="137" t="s">
        <v>193</v>
      </c>
      <c r="S2" s="137" t="s">
        <v>193</v>
      </c>
      <c r="T2" s="137" t="s">
        <v>193</v>
      </c>
      <c r="U2" s="137" t="s">
        <v>193</v>
      </c>
      <c r="X2" s="12">
        <f>(IF(E2="Avfall",F2,0)+IF(G2="Avfall",H2,0))/IFERROR(I2/100,0.85)+(IF(K2="Avfall",L2,0)+IF(M2="Avfall",N2,0))/IFERROR(O2/100,0.85)+(IF(Q2="avfall",R2,0)+IF(S2="avfall",T2,0))/IFERROR(U2/100,0.85)</f>
        <v>0</v>
      </c>
    </row>
    <row r="3" spans="1:24" ht="15" customHeight="1" x14ac:dyDescent="0.25">
      <c r="A3" s="137" t="s">
        <v>15</v>
      </c>
      <c r="B3" s="137" t="s">
        <v>18</v>
      </c>
      <c r="C3" s="137">
        <v>2018</v>
      </c>
      <c r="D3" s="137" t="s">
        <v>53</v>
      </c>
      <c r="E3" s="137" t="s">
        <v>193</v>
      </c>
      <c r="F3" s="137" t="s">
        <v>193</v>
      </c>
      <c r="G3" s="137" t="s">
        <v>193</v>
      </c>
      <c r="H3" s="137" t="s">
        <v>193</v>
      </c>
      <c r="I3" s="137" t="s">
        <v>193</v>
      </c>
      <c r="J3" s="137" t="s">
        <v>53</v>
      </c>
      <c r="K3" s="137" t="s">
        <v>193</v>
      </c>
      <c r="L3" s="137" t="s">
        <v>193</v>
      </c>
      <c r="M3" s="137" t="s">
        <v>193</v>
      </c>
      <c r="N3" s="137" t="s">
        <v>193</v>
      </c>
      <c r="O3" s="137" t="s">
        <v>193</v>
      </c>
      <c r="P3" s="137" t="s">
        <v>53</v>
      </c>
      <c r="Q3" s="137" t="s">
        <v>193</v>
      </c>
      <c r="R3" s="137" t="s">
        <v>193</v>
      </c>
      <c r="S3" s="137" t="s">
        <v>193</v>
      </c>
      <c r="T3" s="137" t="s">
        <v>193</v>
      </c>
      <c r="U3" s="137" t="s">
        <v>193</v>
      </c>
      <c r="X3" s="12">
        <f t="shared" ref="X3:X65" si="0">(IF(E3="Avfall",F3,0)+IF(G3="Avfall",H3,0))/IFERROR(I3/100,0.85)+(IF(K3="Avfall",L3,0)+IF(M3="Avfall",N3,0))/IFERROR(O3/100,0.85)+(IF(Q3="avfall",R3,0)+IF(S3="avfall",T3,0))/IFERROR(U3/100,0.85)</f>
        <v>0</v>
      </c>
    </row>
    <row r="4" spans="1:24" ht="15" customHeight="1" x14ac:dyDescent="0.25">
      <c r="A4" s="137" t="s">
        <v>15</v>
      </c>
      <c r="B4" s="137" t="s">
        <v>20</v>
      </c>
      <c r="C4" s="137">
        <v>2018</v>
      </c>
      <c r="D4" s="137" t="s">
        <v>53</v>
      </c>
      <c r="E4" s="137" t="s">
        <v>193</v>
      </c>
      <c r="F4" s="137" t="s">
        <v>193</v>
      </c>
      <c r="G4" s="137" t="s">
        <v>193</v>
      </c>
      <c r="H4" s="137" t="s">
        <v>193</v>
      </c>
      <c r="I4" s="137" t="s">
        <v>193</v>
      </c>
      <c r="J4" s="137" t="s">
        <v>53</v>
      </c>
      <c r="K4" s="137" t="s">
        <v>193</v>
      </c>
      <c r="L4" s="137" t="s">
        <v>193</v>
      </c>
      <c r="M4" s="137" t="s">
        <v>193</v>
      </c>
      <c r="N4" s="137" t="s">
        <v>193</v>
      </c>
      <c r="O4" s="137" t="s">
        <v>193</v>
      </c>
      <c r="P4" s="137" t="s">
        <v>53</v>
      </c>
      <c r="Q4" s="137" t="s">
        <v>193</v>
      </c>
      <c r="R4" s="137" t="s">
        <v>193</v>
      </c>
      <c r="S4" s="137" t="s">
        <v>193</v>
      </c>
      <c r="T4" s="137" t="s">
        <v>193</v>
      </c>
      <c r="U4" s="137" t="s">
        <v>193</v>
      </c>
      <c r="X4" s="12">
        <f t="shared" si="0"/>
        <v>0</v>
      </c>
    </row>
    <row r="5" spans="1:24" ht="15" customHeight="1" x14ac:dyDescent="0.25">
      <c r="A5" s="137" t="s">
        <v>15</v>
      </c>
      <c r="B5" s="137" t="s">
        <v>22</v>
      </c>
      <c r="C5" s="137">
        <v>2018</v>
      </c>
      <c r="D5" s="137" t="s">
        <v>53</v>
      </c>
      <c r="E5" s="137" t="s">
        <v>193</v>
      </c>
      <c r="F5" s="137" t="s">
        <v>193</v>
      </c>
      <c r="G5" s="137" t="s">
        <v>193</v>
      </c>
      <c r="H5" s="137" t="s">
        <v>193</v>
      </c>
      <c r="I5" s="137" t="s">
        <v>193</v>
      </c>
      <c r="J5" s="137" t="s">
        <v>53</v>
      </c>
      <c r="K5" s="137" t="s">
        <v>193</v>
      </c>
      <c r="L5" s="137" t="s">
        <v>193</v>
      </c>
      <c r="M5" s="137" t="s">
        <v>193</v>
      </c>
      <c r="N5" s="137" t="s">
        <v>193</v>
      </c>
      <c r="O5" s="137" t="s">
        <v>193</v>
      </c>
      <c r="P5" s="137" t="s">
        <v>53</v>
      </c>
      <c r="Q5" s="137" t="s">
        <v>193</v>
      </c>
      <c r="R5" s="137" t="s">
        <v>193</v>
      </c>
      <c r="S5" s="137" t="s">
        <v>193</v>
      </c>
      <c r="T5" s="137" t="s">
        <v>193</v>
      </c>
      <c r="U5" s="137" t="s">
        <v>193</v>
      </c>
      <c r="X5" s="12">
        <f t="shared" si="0"/>
        <v>0</v>
      </c>
    </row>
    <row r="6" spans="1:24" ht="15" customHeight="1" x14ac:dyDescent="0.25">
      <c r="A6" s="137" t="s">
        <v>15</v>
      </c>
      <c r="B6" s="137" t="s">
        <v>24</v>
      </c>
      <c r="C6" s="137">
        <v>2018</v>
      </c>
      <c r="D6" s="137" t="s">
        <v>53</v>
      </c>
      <c r="E6" s="137" t="s">
        <v>193</v>
      </c>
      <c r="F6" s="137" t="s">
        <v>193</v>
      </c>
      <c r="G6" s="137" t="s">
        <v>193</v>
      </c>
      <c r="H6" s="137" t="s">
        <v>193</v>
      </c>
      <c r="I6" s="137" t="s">
        <v>193</v>
      </c>
      <c r="J6" s="137" t="s">
        <v>53</v>
      </c>
      <c r="K6" s="137" t="s">
        <v>193</v>
      </c>
      <c r="L6" s="137" t="s">
        <v>193</v>
      </c>
      <c r="M6" s="137" t="s">
        <v>193</v>
      </c>
      <c r="N6" s="137" t="s">
        <v>193</v>
      </c>
      <c r="O6" s="137" t="s">
        <v>193</v>
      </c>
      <c r="P6" s="137" t="s">
        <v>53</v>
      </c>
      <c r="Q6" s="137" t="s">
        <v>193</v>
      </c>
      <c r="R6" s="137" t="s">
        <v>193</v>
      </c>
      <c r="S6" s="137" t="s">
        <v>193</v>
      </c>
      <c r="T6" s="137" t="s">
        <v>193</v>
      </c>
      <c r="U6" s="137" t="s">
        <v>193</v>
      </c>
      <c r="X6" s="12">
        <f t="shared" si="0"/>
        <v>0</v>
      </c>
    </row>
    <row r="7" spans="1:24" ht="15" customHeight="1" x14ac:dyDescent="0.25">
      <c r="A7" s="137" t="s">
        <v>15</v>
      </c>
      <c r="B7" s="137" t="s">
        <v>26</v>
      </c>
      <c r="C7" s="137">
        <v>2018</v>
      </c>
      <c r="D7" s="137" t="s">
        <v>53</v>
      </c>
      <c r="E7" s="137" t="s">
        <v>193</v>
      </c>
      <c r="F7" s="137" t="s">
        <v>193</v>
      </c>
      <c r="G7" s="137" t="s">
        <v>193</v>
      </c>
      <c r="H7" s="137" t="s">
        <v>193</v>
      </c>
      <c r="I7" s="137" t="s">
        <v>193</v>
      </c>
      <c r="J7" s="137" t="s">
        <v>53</v>
      </c>
      <c r="K7" s="137" t="s">
        <v>193</v>
      </c>
      <c r="L7" s="137" t="s">
        <v>193</v>
      </c>
      <c r="M7" s="137" t="s">
        <v>193</v>
      </c>
      <c r="N7" s="137" t="s">
        <v>193</v>
      </c>
      <c r="O7" s="137" t="s">
        <v>193</v>
      </c>
      <c r="P7" s="137" t="s">
        <v>53</v>
      </c>
      <c r="Q7" s="137" t="s">
        <v>193</v>
      </c>
      <c r="R7" s="137" t="s">
        <v>193</v>
      </c>
      <c r="S7" s="137" t="s">
        <v>193</v>
      </c>
      <c r="T7" s="137" t="s">
        <v>193</v>
      </c>
      <c r="U7" s="137" t="s">
        <v>193</v>
      </c>
      <c r="X7" s="12">
        <f t="shared" si="0"/>
        <v>0</v>
      </c>
    </row>
    <row r="8" spans="1:24" ht="15" customHeight="1" x14ac:dyDescent="0.25">
      <c r="A8" s="137" t="s">
        <v>15</v>
      </c>
      <c r="B8" s="137" t="s">
        <v>28</v>
      </c>
      <c r="C8" s="137">
        <v>2018</v>
      </c>
      <c r="D8" s="137" t="s">
        <v>53</v>
      </c>
      <c r="E8" s="137" t="s">
        <v>193</v>
      </c>
      <c r="F8" s="137" t="s">
        <v>193</v>
      </c>
      <c r="G8" s="137" t="s">
        <v>193</v>
      </c>
      <c r="H8" s="137" t="s">
        <v>193</v>
      </c>
      <c r="I8" s="137" t="s">
        <v>193</v>
      </c>
      <c r="J8" s="137" t="s">
        <v>53</v>
      </c>
      <c r="K8" s="137" t="s">
        <v>193</v>
      </c>
      <c r="L8" s="137" t="s">
        <v>193</v>
      </c>
      <c r="M8" s="137" t="s">
        <v>193</v>
      </c>
      <c r="N8" s="137" t="s">
        <v>193</v>
      </c>
      <c r="O8" s="137" t="s">
        <v>193</v>
      </c>
      <c r="P8" s="137" t="s">
        <v>53</v>
      </c>
      <c r="Q8" s="137" t="s">
        <v>193</v>
      </c>
      <c r="R8" s="137" t="s">
        <v>193</v>
      </c>
      <c r="S8" s="137" t="s">
        <v>193</v>
      </c>
      <c r="T8" s="137" t="s">
        <v>193</v>
      </c>
      <c r="U8" s="137" t="s">
        <v>193</v>
      </c>
      <c r="X8" s="12">
        <f t="shared" si="0"/>
        <v>0</v>
      </c>
    </row>
    <row r="9" spans="1:24" ht="15" customHeight="1" x14ac:dyDescent="0.25">
      <c r="A9" s="137" t="s">
        <v>15</v>
      </c>
      <c r="B9" s="137" t="s">
        <v>30</v>
      </c>
      <c r="C9" s="137">
        <v>2018</v>
      </c>
      <c r="D9" s="137" t="s">
        <v>53</v>
      </c>
      <c r="E9" s="137" t="s">
        <v>193</v>
      </c>
      <c r="F9" s="137" t="s">
        <v>193</v>
      </c>
      <c r="G9" s="137" t="s">
        <v>193</v>
      </c>
      <c r="H9" s="137" t="s">
        <v>193</v>
      </c>
      <c r="I9" s="137" t="s">
        <v>193</v>
      </c>
      <c r="J9" s="137" t="s">
        <v>53</v>
      </c>
      <c r="K9" s="137" t="s">
        <v>193</v>
      </c>
      <c r="L9" s="137" t="s">
        <v>193</v>
      </c>
      <c r="M9" s="137" t="s">
        <v>193</v>
      </c>
      <c r="N9" s="137" t="s">
        <v>193</v>
      </c>
      <c r="O9" s="137" t="s">
        <v>193</v>
      </c>
      <c r="P9" s="137" t="s">
        <v>53</v>
      </c>
      <c r="Q9" s="137" t="s">
        <v>193</v>
      </c>
      <c r="R9" s="137" t="s">
        <v>193</v>
      </c>
      <c r="S9" s="137" t="s">
        <v>193</v>
      </c>
      <c r="T9" s="137" t="s">
        <v>193</v>
      </c>
      <c r="U9" s="137" t="s">
        <v>193</v>
      </c>
      <c r="X9" s="12">
        <f t="shared" si="0"/>
        <v>0</v>
      </c>
    </row>
    <row r="10" spans="1:24" ht="15" customHeight="1" x14ac:dyDescent="0.25">
      <c r="A10" s="137" t="s">
        <v>15</v>
      </c>
      <c r="B10" s="137" t="s">
        <v>32</v>
      </c>
      <c r="C10" s="137">
        <v>2018</v>
      </c>
      <c r="D10" s="137" t="s">
        <v>53</v>
      </c>
      <c r="E10" s="137" t="s">
        <v>193</v>
      </c>
      <c r="F10" s="137" t="s">
        <v>193</v>
      </c>
      <c r="G10" s="137" t="s">
        <v>193</v>
      </c>
      <c r="H10" s="137" t="s">
        <v>193</v>
      </c>
      <c r="I10" s="137" t="s">
        <v>193</v>
      </c>
      <c r="J10" s="137" t="s">
        <v>53</v>
      </c>
      <c r="K10" s="137" t="s">
        <v>193</v>
      </c>
      <c r="L10" s="137" t="s">
        <v>193</v>
      </c>
      <c r="M10" s="137" t="s">
        <v>193</v>
      </c>
      <c r="N10" s="137" t="s">
        <v>193</v>
      </c>
      <c r="O10" s="137" t="s">
        <v>193</v>
      </c>
      <c r="P10" s="137" t="s">
        <v>53</v>
      </c>
      <c r="Q10" s="137" t="s">
        <v>193</v>
      </c>
      <c r="R10" s="137" t="s">
        <v>193</v>
      </c>
      <c r="S10" s="137" t="s">
        <v>193</v>
      </c>
      <c r="T10" s="137" t="s">
        <v>193</v>
      </c>
      <c r="U10" s="137" t="s">
        <v>193</v>
      </c>
      <c r="X10" s="12">
        <f t="shared" si="0"/>
        <v>0</v>
      </c>
    </row>
    <row r="11" spans="1:24" ht="15" customHeight="1" x14ac:dyDescent="0.25">
      <c r="A11" s="137" t="s">
        <v>200</v>
      </c>
      <c r="B11" s="137" t="s">
        <v>201</v>
      </c>
      <c r="C11" s="137">
        <v>2018</v>
      </c>
      <c r="D11" s="137" t="s">
        <v>768</v>
      </c>
      <c r="E11" s="137" t="s">
        <v>769</v>
      </c>
      <c r="F11" s="137">
        <v>6.3</v>
      </c>
      <c r="G11" s="137" t="s">
        <v>193</v>
      </c>
      <c r="H11" s="137" t="s">
        <v>193</v>
      </c>
      <c r="I11" s="137" t="s">
        <v>193</v>
      </c>
      <c r="J11" s="137" t="s">
        <v>53</v>
      </c>
      <c r="K11" s="137" t="s">
        <v>193</v>
      </c>
      <c r="L11" s="137" t="s">
        <v>193</v>
      </c>
      <c r="M11" s="137" t="s">
        <v>193</v>
      </c>
      <c r="N11" s="137" t="s">
        <v>193</v>
      </c>
      <c r="O11" s="137" t="s">
        <v>193</v>
      </c>
      <c r="P11" s="137" t="s">
        <v>53</v>
      </c>
      <c r="Q11" s="137" t="s">
        <v>193</v>
      </c>
      <c r="R11" s="137" t="s">
        <v>193</v>
      </c>
      <c r="S11" s="137" t="s">
        <v>193</v>
      </c>
      <c r="T11" s="137" t="s">
        <v>193</v>
      </c>
      <c r="U11" s="137" t="s">
        <v>193</v>
      </c>
      <c r="X11" s="12">
        <f t="shared" si="0"/>
        <v>0</v>
      </c>
    </row>
    <row r="12" spans="1:24" ht="15" customHeight="1" x14ac:dyDescent="0.25">
      <c r="A12" s="137" t="s">
        <v>200</v>
      </c>
      <c r="B12" s="137" t="s">
        <v>202</v>
      </c>
      <c r="C12" s="137">
        <v>2018</v>
      </c>
      <c r="D12" s="137" t="s">
        <v>53</v>
      </c>
      <c r="E12" s="137" t="s">
        <v>53</v>
      </c>
      <c r="F12" s="137" t="s">
        <v>53</v>
      </c>
      <c r="G12" s="137" t="s">
        <v>53</v>
      </c>
      <c r="H12" s="137" t="s">
        <v>53</v>
      </c>
      <c r="I12" s="137" t="s">
        <v>53</v>
      </c>
      <c r="J12" s="137" t="s">
        <v>53</v>
      </c>
      <c r="K12" s="137" t="s">
        <v>53</v>
      </c>
      <c r="L12" s="137" t="s">
        <v>53</v>
      </c>
      <c r="M12" s="137" t="s">
        <v>53</v>
      </c>
      <c r="N12" s="137" t="s">
        <v>53</v>
      </c>
      <c r="O12" s="137" t="s">
        <v>53</v>
      </c>
      <c r="P12" s="137" t="s">
        <v>53</v>
      </c>
      <c r="Q12" s="137" t="s">
        <v>53</v>
      </c>
      <c r="R12" s="137" t="s">
        <v>53</v>
      </c>
      <c r="S12" s="137" t="s">
        <v>53</v>
      </c>
      <c r="T12" s="137" t="s">
        <v>53</v>
      </c>
      <c r="U12" s="137" t="s">
        <v>53</v>
      </c>
      <c r="X12" s="12">
        <f t="shared" si="0"/>
        <v>0</v>
      </c>
    </row>
    <row r="13" spans="1:24" ht="15" customHeight="1" x14ac:dyDescent="0.25">
      <c r="A13" s="137" t="s">
        <v>200</v>
      </c>
      <c r="B13" s="137" t="s">
        <v>203</v>
      </c>
      <c r="C13" s="137">
        <v>2018</v>
      </c>
      <c r="D13" s="137" t="s">
        <v>53</v>
      </c>
      <c r="E13" s="137" t="s">
        <v>53</v>
      </c>
      <c r="F13" s="137" t="s">
        <v>53</v>
      </c>
      <c r="G13" s="137" t="s">
        <v>53</v>
      </c>
      <c r="H13" s="137" t="s">
        <v>53</v>
      </c>
      <c r="I13" s="137" t="s">
        <v>53</v>
      </c>
      <c r="J13" s="137" t="s">
        <v>53</v>
      </c>
      <c r="K13" s="137" t="s">
        <v>53</v>
      </c>
      <c r="L13" s="137" t="s">
        <v>53</v>
      </c>
      <c r="M13" s="137" t="s">
        <v>53</v>
      </c>
      <c r="N13" s="137" t="s">
        <v>53</v>
      </c>
      <c r="O13" s="137" t="s">
        <v>53</v>
      </c>
      <c r="P13" s="137" t="s">
        <v>53</v>
      </c>
      <c r="Q13" s="137" t="s">
        <v>53</v>
      </c>
      <c r="R13" s="137" t="s">
        <v>53</v>
      </c>
      <c r="S13" s="137" t="s">
        <v>53</v>
      </c>
      <c r="T13" s="137" t="s">
        <v>53</v>
      </c>
      <c r="U13" s="137" t="s">
        <v>53</v>
      </c>
      <c r="X13" s="12">
        <f t="shared" si="0"/>
        <v>0</v>
      </c>
    </row>
    <row r="14" spans="1:24" ht="15" customHeight="1" x14ac:dyDescent="0.25">
      <c r="A14" s="137" t="s">
        <v>200</v>
      </c>
      <c r="B14" s="137" t="s">
        <v>204</v>
      </c>
      <c r="C14" s="137">
        <v>2018</v>
      </c>
      <c r="D14" s="137" t="s">
        <v>53</v>
      </c>
      <c r="E14" s="137" t="s">
        <v>53</v>
      </c>
      <c r="F14" s="137" t="s">
        <v>53</v>
      </c>
      <c r="G14" s="137" t="s">
        <v>53</v>
      </c>
      <c r="H14" s="137" t="s">
        <v>53</v>
      </c>
      <c r="I14" s="137" t="s">
        <v>53</v>
      </c>
      <c r="J14" s="137" t="s">
        <v>53</v>
      </c>
      <c r="K14" s="137" t="s">
        <v>53</v>
      </c>
      <c r="L14" s="137" t="s">
        <v>53</v>
      </c>
      <c r="M14" s="137" t="s">
        <v>53</v>
      </c>
      <c r="N14" s="137" t="s">
        <v>53</v>
      </c>
      <c r="O14" s="137" t="s">
        <v>53</v>
      </c>
      <c r="P14" s="137" t="s">
        <v>53</v>
      </c>
      <c r="Q14" s="137" t="s">
        <v>53</v>
      </c>
      <c r="R14" s="137" t="s">
        <v>53</v>
      </c>
      <c r="S14" s="137" t="s">
        <v>53</v>
      </c>
      <c r="T14" s="137" t="s">
        <v>53</v>
      </c>
      <c r="U14" s="137" t="s">
        <v>53</v>
      </c>
      <c r="X14" s="12">
        <f t="shared" si="0"/>
        <v>0</v>
      </c>
    </row>
    <row r="15" spans="1:24" ht="15" customHeight="1" x14ac:dyDescent="0.25">
      <c r="A15" s="137" t="s">
        <v>200</v>
      </c>
      <c r="B15" s="137" t="s">
        <v>205</v>
      </c>
      <c r="C15" s="137">
        <v>2018</v>
      </c>
      <c r="D15" s="137" t="s">
        <v>53</v>
      </c>
      <c r="E15" s="137" t="s">
        <v>53</v>
      </c>
      <c r="F15" s="137" t="s">
        <v>53</v>
      </c>
      <c r="G15" s="137" t="s">
        <v>53</v>
      </c>
      <c r="H15" s="137" t="s">
        <v>53</v>
      </c>
      <c r="I15" s="137" t="s">
        <v>53</v>
      </c>
      <c r="J15" s="137" t="s">
        <v>53</v>
      </c>
      <c r="K15" s="137" t="s">
        <v>53</v>
      </c>
      <c r="L15" s="137" t="s">
        <v>53</v>
      </c>
      <c r="M15" s="137" t="s">
        <v>53</v>
      </c>
      <c r="N15" s="137" t="s">
        <v>53</v>
      </c>
      <c r="O15" s="137" t="s">
        <v>53</v>
      </c>
      <c r="P15" s="137" t="s">
        <v>53</v>
      </c>
      <c r="Q15" s="137" t="s">
        <v>53</v>
      </c>
      <c r="R15" s="137" t="s">
        <v>53</v>
      </c>
      <c r="S15" s="137" t="s">
        <v>53</v>
      </c>
      <c r="T15" s="137" t="s">
        <v>53</v>
      </c>
      <c r="U15" s="137" t="s">
        <v>53</v>
      </c>
      <c r="X15" s="12">
        <f t="shared" si="0"/>
        <v>0</v>
      </c>
    </row>
    <row r="16" spans="1:24" ht="15" customHeight="1" x14ac:dyDescent="0.25">
      <c r="A16" s="137" t="s">
        <v>200</v>
      </c>
      <c r="B16" s="137" t="s">
        <v>206</v>
      </c>
      <c r="C16" s="137">
        <v>2018</v>
      </c>
      <c r="D16" s="137" t="s">
        <v>53</v>
      </c>
      <c r="E16" s="137" t="s">
        <v>193</v>
      </c>
      <c r="F16" s="137" t="s">
        <v>193</v>
      </c>
      <c r="G16" s="137" t="s">
        <v>193</v>
      </c>
      <c r="H16" s="137" t="s">
        <v>193</v>
      </c>
      <c r="I16" s="137" t="s">
        <v>193</v>
      </c>
      <c r="J16" s="137" t="s">
        <v>53</v>
      </c>
      <c r="K16" s="137" t="s">
        <v>193</v>
      </c>
      <c r="L16" s="137" t="s">
        <v>193</v>
      </c>
      <c r="M16" s="137" t="s">
        <v>193</v>
      </c>
      <c r="N16" s="137" t="s">
        <v>193</v>
      </c>
      <c r="O16" s="137" t="s">
        <v>193</v>
      </c>
      <c r="P16" s="137" t="s">
        <v>53</v>
      </c>
      <c r="Q16" s="137" t="s">
        <v>193</v>
      </c>
      <c r="R16" s="137" t="s">
        <v>193</v>
      </c>
      <c r="S16" s="137" t="s">
        <v>193</v>
      </c>
      <c r="T16" s="137" t="s">
        <v>193</v>
      </c>
      <c r="U16" s="137" t="s">
        <v>193</v>
      </c>
      <c r="X16" s="12">
        <f t="shared" si="0"/>
        <v>0</v>
      </c>
    </row>
    <row r="17" spans="1:24" ht="15" customHeight="1" x14ac:dyDescent="0.25">
      <c r="A17" s="137" t="s">
        <v>200</v>
      </c>
      <c r="B17" s="137" t="s">
        <v>207</v>
      </c>
      <c r="C17" s="137">
        <v>2018</v>
      </c>
      <c r="D17" s="137" t="s">
        <v>53</v>
      </c>
      <c r="E17" s="137" t="s">
        <v>53</v>
      </c>
      <c r="F17" s="137" t="s">
        <v>53</v>
      </c>
      <c r="G17" s="137" t="s">
        <v>53</v>
      </c>
      <c r="H17" s="137" t="s">
        <v>53</v>
      </c>
      <c r="I17" s="137" t="s">
        <v>53</v>
      </c>
      <c r="J17" s="137" t="s">
        <v>53</v>
      </c>
      <c r="K17" s="137" t="s">
        <v>53</v>
      </c>
      <c r="L17" s="137" t="s">
        <v>53</v>
      </c>
      <c r="M17" s="137" t="s">
        <v>53</v>
      </c>
      <c r="N17" s="137" t="s">
        <v>53</v>
      </c>
      <c r="O17" s="137" t="s">
        <v>53</v>
      </c>
      <c r="P17" s="137" t="s">
        <v>53</v>
      </c>
      <c r="Q17" s="137" t="s">
        <v>53</v>
      </c>
      <c r="R17" s="137" t="s">
        <v>53</v>
      </c>
      <c r="S17" s="137" t="s">
        <v>53</v>
      </c>
      <c r="T17" s="137" t="s">
        <v>53</v>
      </c>
      <c r="U17" s="137" t="s">
        <v>53</v>
      </c>
      <c r="X17" s="12">
        <f t="shared" si="0"/>
        <v>0</v>
      </c>
    </row>
    <row r="18" spans="1:24" ht="15" customHeight="1" x14ac:dyDescent="0.25">
      <c r="A18" s="137" t="s">
        <v>200</v>
      </c>
      <c r="B18" s="137" t="s">
        <v>208</v>
      </c>
      <c r="C18" s="137">
        <v>2018</v>
      </c>
      <c r="D18" s="137" t="s">
        <v>53</v>
      </c>
      <c r="E18" s="137" t="s">
        <v>53</v>
      </c>
      <c r="F18" s="137" t="s">
        <v>53</v>
      </c>
      <c r="G18" s="137" t="s">
        <v>53</v>
      </c>
      <c r="H18" s="137" t="s">
        <v>53</v>
      </c>
      <c r="I18" s="137" t="s">
        <v>53</v>
      </c>
      <c r="J18" s="137" t="s">
        <v>53</v>
      </c>
      <c r="K18" s="137" t="s">
        <v>53</v>
      </c>
      <c r="L18" s="137" t="s">
        <v>53</v>
      </c>
      <c r="M18" s="137" t="s">
        <v>53</v>
      </c>
      <c r="N18" s="137" t="s">
        <v>53</v>
      </c>
      <c r="O18" s="137" t="s">
        <v>53</v>
      </c>
      <c r="P18" s="137" t="s">
        <v>53</v>
      </c>
      <c r="Q18" s="137" t="s">
        <v>53</v>
      </c>
      <c r="R18" s="137" t="s">
        <v>53</v>
      </c>
      <c r="S18" s="137" t="s">
        <v>53</v>
      </c>
      <c r="T18" s="137" t="s">
        <v>53</v>
      </c>
      <c r="U18" s="137" t="s">
        <v>53</v>
      </c>
      <c r="X18" s="12">
        <f t="shared" si="0"/>
        <v>0</v>
      </c>
    </row>
    <row r="19" spans="1:24" ht="15" customHeight="1" x14ac:dyDescent="0.25">
      <c r="A19" s="137" t="s">
        <v>200</v>
      </c>
      <c r="B19" s="137" t="s">
        <v>209</v>
      </c>
      <c r="C19" s="137">
        <v>2018</v>
      </c>
      <c r="D19" s="137" t="s">
        <v>53</v>
      </c>
      <c r="E19" s="137" t="s">
        <v>53</v>
      </c>
      <c r="F19" s="137" t="s">
        <v>53</v>
      </c>
      <c r="G19" s="137" t="s">
        <v>53</v>
      </c>
      <c r="H19" s="137" t="s">
        <v>53</v>
      </c>
      <c r="I19" s="137" t="s">
        <v>53</v>
      </c>
      <c r="J19" s="137" t="s">
        <v>53</v>
      </c>
      <c r="K19" s="137" t="s">
        <v>53</v>
      </c>
      <c r="L19" s="137" t="s">
        <v>53</v>
      </c>
      <c r="M19" s="137" t="s">
        <v>53</v>
      </c>
      <c r="N19" s="137" t="s">
        <v>53</v>
      </c>
      <c r="O19" s="137" t="s">
        <v>53</v>
      </c>
      <c r="P19" s="137" t="s">
        <v>53</v>
      </c>
      <c r="Q19" s="137" t="s">
        <v>53</v>
      </c>
      <c r="R19" s="137" t="s">
        <v>53</v>
      </c>
      <c r="S19" s="137" t="s">
        <v>53</v>
      </c>
      <c r="T19" s="137" t="s">
        <v>53</v>
      </c>
      <c r="U19" s="137" t="s">
        <v>53</v>
      </c>
      <c r="X19" s="12">
        <f t="shared" si="0"/>
        <v>0</v>
      </c>
    </row>
    <row r="20" spans="1:24" ht="15" customHeight="1" x14ac:dyDescent="0.25">
      <c r="A20" s="137" t="s">
        <v>200</v>
      </c>
      <c r="B20" s="137" t="s">
        <v>210</v>
      </c>
      <c r="C20" s="137">
        <v>2018</v>
      </c>
      <c r="D20" s="137" t="s">
        <v>53</v>
      </c>
      <c r="E20" s="137" t="s">
        <v>193</v>
      </c>
      <c r="F20" s="137" t="s">
        <v>193</v>
      </c>
      <c r="G20" s="137" t="s">
        <v>193</v>
      </c>
      <c r="H20" s="137" t="s">
        <v>193</v>
      </c>
      <c r="I20" s="137" t="s">
        <v>193</v>
      </c>
      <c r="J20" s="137" t="s">
        <v>53</v>
      </c>
      <c r="K20" s="137" t="s">
        <v>193</v>
      </c>
      <c r="L20" s="137" t="s">
        <v>193</v>
      </c>
      <c r="M20" s="137" t="s">
        <v>193</v>
      </c>
      <c r="N20" s="137" t="s">
        <v>193</v>
      </c>
      <c r="O20" s="137" t="s">
        <v>193</v>
      </c>
      <c r="P20" s="137" t="s">
        <v>53</v>
      </c>
      <c r="Q20" s="137" t="s">
        <v>193</v>
      </c>
      <c r="R20" s="137" t="s">
        <v>193</v>
      </c>
      <c r="S20" s="137" t="s">
        <v>193</v>
      </c>
      <c r="T20" s="137" t="s">
        <v>193</v>
      </c>
      <c r="U20" s="137" t="s">
        <v>193</v>
      </c>
      <c r="X20" s="12">
        <f t="shared" si="0"/>
        <v>0</v>
      </c>
    </row>
    <row r="21" spans="1:24" ht="15" customHeight="1" x14ac:dyDescent="0.25">
      <c r="A21" s="137" t="s">
        <v>211</v>
      </c>
      <c r="B21" s="137" t="s">
        <v>212</v>
      </c>
      <c r="C21" s="137">
        <v>2018</v>
      </c>
      <c r="D21" s="137" t="s">
        <v>53</v>
      </c>
      <c r="E21" s="137" t="s">
        <v>193</v>
      </c>
      <c r="F21" s="137" t="s">
        <v>193</v>
      </c>
      <c r="G21" s="137" t="s">
        <v>193</v>
      </c>
      <c r="H21" s="137" t="s">
        <v>193</v>
      </c>
      <c r="I21" s="137" t="s">
        <v>193</v>
      </c>
      <c r="J21" s="137" t="s">
        <v>53</v>
      </c>
      <c r="K21" s="137" t="s">
        <v>193</v>
      </c>
      <c r="L21" s="137" t="s">
        <v>193</v>
      </c>
      <c r="M21" s="137" t="s">
        <v>193</v>
      </c>
      <c r="N21" s="137" t="s">
        <v>193</v>
      </c>
      <c r="O21" s="137" t="s">
        <v>193</v>
      </c>
      <c r="P21" s="137" t="s">
        <v>53</v>
      </c>
      <c r="Q21" s="137" t="s">
        <v>193</v>
      </c>
      <c r="R21" s="137" t="s">
        <v>193</v>
      </c>
      <c r="S21" s="137" t="s">
        <v>193</v>
      </c>
      <c r="T21" s="137" t="s">
        <v>193</v>
      </c>
      <c r="U21" s="137" t="s">
        <v>193</v>
      </c>
      <c r="X21" s="12">
        <f t="shared" si="0"/>
        <v>0</v>
      </c>
    </row>
    <row r="22" spans="1:24" ht="15" customHeight="1" x14ac:dyDescent="0.25">
      <c r="A22" s="137" t="s">
        <v>211</v>
      </c>
      <c r="B22" s="137" t="s">
        <v>213</v>
      </c>
      <c r="C22" s="137">
        <v>2018</v>
      </c>
      <c r="D22" s="137" t="s">
        <v>53</v>
      </c>
      <c r="E22" s="137" t="s">
        <v>193</v>
      </c>
      <c r="F22" s="137" t="s">
        <v>193</v>
      </c>
      <c r="G22" s="137" t="s">
        <v>193</v>
      </c>
      <c r="H22" s="137" t="s">
        <v>193</v>
      </c>
      <c r="I22" s="137" t="s">
        <v>193</v>
      </c>
      <c r="J22" s="137" t="s">
        <v>53</v>
      </c>
      <c r="K22" s="137" t="s">
        <v>193</v>
      </c>
      <c r="L22" s="137" t="s">
        <v>193</v>
      </c>
      <c r="M22" s="137" t="s">
        <v>193</v>
      </c>
      <c r="N22" s="137" t="s">
        <v>193</v>
      </c>
      <c r="O22" s="137" t="s">
        <v>193</v>
      </c>
      <c r="P22" s="137" t="s">
        <v>53</v>
      </c>
      <c r="Q22" s="137" t="s">
        <v>193</v>
      </c>
      <c r="R22" s="137" t="s">
        <v>193</v>
      </c>
      <c r="S22" s="137" t="s">
        <v>193</v>
      </c>
      <c r="T22" s="137" t="s">
        <v>193</v>
      </c>
      <c r="U22" s="137" t="s">
        <v>193</v>
      </c>
      <c r="X22" s="12">
        <f t="shared" si="0"/>
        <v>0</v>
      </c>
    </row>
    <row r="23" spans="1:24" ht="15" customHeight="1" x14ac:dyDescent="0.25">
      <c r="A23" s="137" t="s">
        <v>211</v>
      </c>
      <c r="B23" s="137" t="s">
        <v>214</v>
      </c>
      <c r="C23" s="137">
        <v>2018</v>
      </c>
      <c r="D23" s="137" t="s">
        <v>53</v>
      </c>
      <c r="E23" s="137" t="s">
        <v>193</v>
      </c>
      <c r="F23" s="137" t="s">
        <v>193</v>
      </c>
      <c r="G23" s="137" t="s">
        <v>193</v>
      </c>
      <c r="H23" s="137" t="s">
        <v>193</v>
      </c>
      <c r="I23" s="137" t="s">
        <v>193</v>
      </c>
      <c r="J23" s="137" t="s">
        <v>53</v>
      </c>
      <c r="K23" s="137" t="s">
        <v>193</v>
      </c>
      <c r="L23" s="137" t="s">
        <v>193</v>
      </c>
      <c r="M23" s="137" t="s">
        <v>193</v>
      </c>
      <c r="N23" s="137" t="s">
        <v>193</v>
      </c>
      <c r="O23" s="137" t="s">
        <v>193</v>
      </c>
      <c r="P23" s="137" t="s">
        <v>53</v>
      </c>
      <c r="Q23" s="137" t="s">
        <v>193</v>
      </c>
      <c r="R23" s="137" t="s">
        <v>193</v>
      </c>
      <c r="S23" s="137" t="s">
        <v>193</v>
      </c>
      <c r="T23" s="137" t="s">
        <v>193</v>
      </c>
      <c r="U23" s="137" t="s">
        <v>193</v>
      </c>
      <c r="X23" s="12">
        <f t="shared" si="0"/>
        <v>0</v>
      </c>
    </row>
    <row r="24" spans="1:24" ht="15" customHeight="1" x14ac:dyDescent="0.25">
      <c r="A24" s="137" t="s">
        <v>211</v>
      </c>
      <c r="B24" s="137" t="s">
        <v>215</v>
      </c>
      <c r="C24" s="137">
        <v>2018</v>
      </c>
      <c r="D24" s="137" t="s">
        <v>53</v>
      </c>
      <c r="E24" s="137" t="s">
        <v>193</v>
      </c>
      <c r="F24" s="137" t="s">
        <v>193</v>
      </c>
      <c r="G24" s="137" t="s">
        <v>193</v>
      </c>
      <c r="H24" s="137" t="s">
        <v>193</v>
      </c>
      <c r="I24" s="137" t="s">
        <v>193</v>
      </c>
      <c r="J24" s="137" t="s">
        <v>53</v>
      </c>
      <c r="K24" s="137" t="s">
        <v>193</v>
      </c>
      <c r="L24" s="137" t="s">
        <v>193</v>
      </c>
      <c r="M24" s="137" t="s">
        <v>193</v>
      </c>
      <c r="N24" s="137" t="s">
        <v>193</v>
      </c>
      <c r="O24" s="137" t="s">
        <v>193</v>
      </c>
      <c r="P24" s="137" t="s">
        <v>53</v>
      </c>
      <c r="Q24" s="137" t="s">
        <v>193</v>
      </c>
      <c r="R24" s="137" t="s">
        <v>193</v>
      </c>
      <c r="S24" s="137" t="s">
        <v>193</v>
      </c>
      <c r="T24" s="137" t="s">
        <v>193</v>
      </c>
      <c r="U24" s="137" t="s">
        <v>193</v>
      </c>
      <c r="X24" s="12">
        <f t="shared" si="0"/>
        <v>0</v>
      </c>
    </row>
    <row r="25" spans="1:24" ht="15" customHeight="1" x14ac:dyDescent="0.25">
      <c r="A25" s="137" t="s">
        <v>211</v>
      </c>
      <c r="B25" s="137" t="s">
        <v>216</v>
      </c>
      <c r="C25" s="137">
        <v>2018</v>
      </c>
      <c r="D25" s="137" t="s">
        <v>53</v>
      </c>
      <c r="E25" s="137" t="s">
        <v>193</v>
      </c>
      <c r="F25" s="137" t="s">
        <v>193</v>
      </c>
      <c r="G25" s="137" t="s">
        <v>193</v>
      </c>
      <c r="H25" s="137" t="s">
        <v>193</v>
      </c>
      <c r="I25" s="137" t="s">
        <v>193</v>
      </c>
      <c r="J25" s="137" t="s">
        <v>53</v>
      </c>
      <c r="K25" s="137" t="s">
        <v>193</v>
      </c>
      <c r="L25" s="137" t="s">
        <v>193</v>
      </c>
      <c r="M25" s="137" t="s">
        <v>193</v>
      </c>
      <c r="N25" s="137" t="s">
        <v>193</v>
      </c>
      <c r="O25" s="137" t="s">
        <v>193</v>
      </c>
      <c r="P25" s="137" t="s">
        <v>53</v>
      </c>
      <c r="Q25" s="137" t="s">
        <v>193</v>
      </c>
      <c r="R25" s="137" t="s">
        <v>193</v>
      </c>
      <c r="S25" s="137" t="s">
        <v>193</v>
      </c>
      <c r="T25" s="137" t="s">
        <v>193</v>
      </c>
      <c r="U25" s="137" t="s">
        <v>193</v>
      </c>
      <c r="X25" s="12">
        <f t="shared" si="0"/>
        <v>0</v>
      </c>
    </row>
    <row r="26" spans="1:24" ht="15" customHeight="1" x14ac:dyDescent="0.25">
      <c r="A26" s="137" t="s">
        <v>217</v>
      </c>
      <c r="B26" s="137" t="s">
        <v>218</v>
      </c>
      <c r="C26" s="137">
        <v>2018</v>
      </c>
      <c r="D26" s="137" t="s">
        <v>53</v>
      </c>
      <c r="E26" s="137" t="s">
        <v>193</v>
      </c>
      <c r="F26" s="137" t="s">
        <v>193</v>
      </c>
      <c r="G26" s="137" t="s">
        <v>193</v>
      </c>
      <c r="H26" s="137" t="s">
        <v>193</v>
      </c>
      <c r="I26" s="137" t="s">
        <v>193</v>
      </c>
      <c r="J26" s="137" t="s">
        <v>53</v>
      </c>
      <c r="K26" s="137" t="s">
        <v>193</v>
      </c>
      <c r="L26" s="137" t="s">
        <v>193</v>
      </c>
      <c r="M26" s="137" t="s">
        <v>193</v>
      </c>
      <c r="N26" s="137" t="s">
        <v>193</v>
      </c>
      <c r="O26" s="137" t="s">
        <v>193</v>
      </c>
      <c r="P26" s="137" t="s">
        <v>53</v>
      </c>
      <c r="Q26" s="137" t="s">
        <v>193</v>
      </c>
      <c r="R26" s="137" t="s">
        <v>193</v>
      </c>
      <c r="S26" s="137" t="s">
        <v>193</v>
      </c>
      <c r="T26" s="137" t="s">
        <v>193</v>
      </c>
      <c r="U26" s="137" t="s">
        <v>193</v>
      </c>
      <c r="X26" s="12">
        <f t="shared" si="0"/>
        <v>0</v>
      </c>
    </row>
    <row r="27" spans="1:24" ht="15" customHeight="1" x14ac:dyDescent="0.25">
      <c r="A27" s="137" t="s">
        <v>220</v>
      </c>
      <c r="B27" s="137" t="s">
        <v>221</v>
      </c>
      <c r="C27" s="137">
        <v>2018</v>
      </c>
      <c r="D27" s="137" t="s">
        <v>770</v>
      </c>
      <c r="E27" s="137" t="s">
        <v>193</v>
      </c>
      <c r="F27" s="137" t="s">
        <v>193</v>
      </c>
      <c r="G27" s="137" t="s">
        <v>193</v>
      </c>
      <c r="H27" s="137" t="s">
        <v>193</v>
      </c>
      <c r="I27" s="137" t="s">
        <v>193</v>
      </c>
      <c r="J27" s="137" t="s">
        <v>53</v>
      </c>
      <c r="K27" s="137" t="s">
        <v>193</v>
      </c>
      <c r="L27" s="137" t="s">
        <v>193</v>
      </c>
      <c r="M27" s="137" t="s">
        <v>193</v>
      </c>
      <c r="N27" s="137" t="s">
        <v>193</v>
      </c>
      <c r="O27" s="137" t="s">
        <v>193</v>
      </c>
      <c r="P27" s="137" t="s">
        <v>53</v>
      </c>
      <c r="Q27" s="137" t="s">
        <v>193</v>
      </c>
      <c r="R27" s="137" t="s">
        <v>193</v>
      </c>
      <c r="S27" s="137" t="s">
        <v>193</v>
      </c>
      <c r="T27" s="137" t="s">
        <v>193</v>
      </c>
      <c r="U27" s="137" t="s">
        <v>193</v>
      </c>
      <c r="X27" s="12">
        <f t="shared" si="0"/>
        <v>0</v>
      </c>
    </row>
    <row r="28" spans="1:24" ht="15" customHeight="1" x14ac:dyDescent="0.25">
      <c r="A28" s="137" t="s">
        <v>220</v>
      </c>
      <c r="B28" s="137" t="s">
        <v>222</v>
      </c>
      <c r="C28" s="137">
        <v>2018</v>
      </c>
      <c r="D28" s="137" t="s">
        <v>770</v>
      </c>
      <c r="E28" s="137" t="s">
        <v>193</v>
      </c>
      <c r="F28" s="137" t="s">
        <v>193</v>
      </c>
      <c r="G28" s="137" t="s">
        <v>193</v>
      </c>
      <c r="H28" s="137" t="s">
        <v>193</v>
      </c>
      <c r="I28" s="137" t="s">
        <v>193</v>
      </c>
      <c r="J28" s="137" t="s">
        <v>770</v>
      </c>
      <c r="K28" s="137" t="s">
        <v>193</v>
      </c>
      <c r="L28" s="137" t="s">
        <v>193</v>
      </c>
      <c r="M28" s="137" t="s">
        <v>193</v>
      </c>
      <c r="N28" s="137" t="s">
        <v>193</v>
      </c>
      <c r="O28" s="137" t="s">
        <v>193</v>
      </c>
      <c r="P28" s="137" t="s">
        <v>770</v>
      </c>
      <c r="Q28" s="137" t="s">
        <v>193</v>
      </c>
      <c r="R28" s="137" t="s">
        <v>193</v>
      </c>
      <c r="S28" s="137" t="s">
        <v>193</v>
      </c>
      <c r="T28" s="137" t="s">
        <v>193</v>
      </c>
      <c r="U28" s="137" t="s">
        <v>193</v>
      </c>
      <c r="X28" s="12">
        <f t="shared" si="0"/>
        <v>0</v>
      </c>
    </row>
    <row r="29" spans="1:24" ht="15" customHeight="1" x14ac:dyDescent="0.25">
      <c r="A29" s="137" t="s">
        <v>220</v>
      </c>
      <c r="B29" s="137" t="s">
        <v>223</v>
      </c>
      <c r="C29" s="137">
        <v>2018</v>
      </c>
      <c r="D29" s="137" t="s">
        <v>53</v>
      </c>
      <c r="E29" s="137" t="s">
        <v>193</v>
      </c>
      <c r="F29" s="137" t="s">
        <v>193</v>
      </c>
      <c r="G29" s="137" t="s">
        <v>193</v>
      </c>
      <c r="H29" s="137" t="s">
        <v>193</v>
      </c>
      <c r="I29" s="137" t="s">
        <v>193</v>
      </c>
      <c r="J29" s="137" t="s">
        <v>53</v>
      </c>
      <c r="K29" s="137" t="s">
        <v>193</v>
      </c>
      <c r="L29" s="137" t="s">
        <v>193</v>
      </c>
      <c r="M29" s="137" t="s">
        <v>193</v>
      </c>
      <c r="N29" s="137" t="s">
        <v>193</v>
      </c>
      <c r="O29" s="137" t="s">
        <v>193</v>
      </c>
      <c r="P29" s="137" t="s">
        <v>53</v>
      </c>
      <c r="Q29" s="137" t="s">
        <v>193</v>
      </c>
      <c r="R29" s="137" t="s">
        <v>193</v>
      </c>
      <c r="S29" s="137" t="s">
        <v>193</v>
      </c>
      <c r="T29" s="137" t="s">
        <v>193</v>
      </c>
      <c r="U29" s="137" t="s">
        <v>193</v>
      </c>
      <c r="X29" s="12">
        <f t="shared" si="0"/>
        <v>0</v>
      </c>
    </row>
    <row r="30" spans="1:24" ht="15" customHeight="1" x14ac:dyDescent="0.25">
      <c r="A30" s="137" t="s">
        <v>224</v>
      </c>
      <c r="B30" s="137" t="s">
        <v>225</v>
      </c>
      <c r="C30" s="137">
        <v>2018</v>
      </c>
      <c r="D30" s="137" t="s">
        <v>53</v>
      </c>
      <c r="E30" s="137" t="s">
        <v>193</v>
      </c>
      <c r="F30" s="137" t="s">
        <v>193</v>
      </c>
      <c r="G30" s="137" t="s">
        <v>193</v>
      </c>
      <c r="H30" s="137" t="s">
        <v>193</v>
      </c>
      <c r="I30" s="137" t="s">
        <v>193</v>
      </c>
      <c r="J30" s="137" t="s">
        <v>53</v>
      </c>
      <c r="K30" s="137" t="s">
        <v>193</v>
      </c>
      <c r="L30" s="137" t="s">
        <v>193</v>
      </c>
      <c r="M30" s="137" t="s">
        <v>193</v>
      </c>
      <c r="N30" s="137" t="s">
        <v>193</v>
      </c>
      <c r="O30" s="137" t="s">
        <v>193</v>
      </c>
      <c r="P30" s="137" t="s">
        <v>53</v>
      </c>
      <c r="Q30" s="137" t="s">
        <v>193</v>
      </c>
      <c r="R30" s="137" t="s">
        <v>193</v>
      </c>
      <c r="S30" s="137" t="s">
        <v>193</v>
      </c>
      <c r="T30" s="137" t="s">
        <v>193</v>
      </c>
      <c r="U30" s="137" t="s">
        <v>193</v>
      </c>
      <c r="X30" s="12">
        <f t="shared" si="0"/>
        <v>0</v>
      </c>
    </row>
    <row r="31" spans="1:24" ht="15" customHeight="1" x14ac:dyDescent="0.25">
      <c r="A31" s="137" t="s">
        <v>36</v>
      </c>
      <c r="B31" s="141" t="s">
        <v>37</v>
      </c>
      <c r="C31" s="137">
        <v>2018</v>
      </c>
      <c r="D31" s="137" t="s">
        <v>53</v>
      </c>
      <c r="E31" s="137" t="s">
        <v>53</v>
      </c>
      <c r="F31" s="137" t="s">
        <v>53</v>
      </c>
      <c r="G31" s="137" t="s">
        <v>53</v>
      </c>
      <c r="H31" s="137" t="s">
        <v>53</v>
      </c>
      <c r="I31" s="137" t="s">
        <v>53</v>
      </c>
      <c r="J31" s="137" t="s">
        <v>53</v>
      </c>
      <c r="K31" s="137" t="s">
        <v>53</v>
      </c>
      <c r="L31" s="137" t="s">
        <v>53</v>
      </c>
      <c r="M31" s="137" t="s">
        <v>53</v>
      </c>
      <c r="N31" s="137" t="s">
        <v>53</v>
      </c>
      <c r="O31" s="137" t="s">
        <v>53</v>
      </c>
      <c r="P31" s="137" t="s">
        <v>53</v>
      </c>
      <c r="Q31" s="137" t="s">
        <v>53</v>
      </c>
      <c r="R31" s="137" t="s">
        <v>53</v>
      </c>
      <c r="S31" s="137" t="s">
        <v>53</v>
      </c>
      <c r="T31" s="137" t="s">
        <v>53</v>
      </c>
      <c r="U31" s="137" t="s">
        <v>53</v>
      </c>
      <c r="X31" s="12">
        <f t="shared" si="0"/>
        <v>0</v>
      </c>
    </row>
    <row r="32" spans="1:24" ht="15" customHeight="1" x14ac:dyDescent="0.25">
      <c r="A32" s="137" t="s">
        <v>226</v>
      </c>
      <c r="B32" s="137" t="s">
        <v>227</v>
      </c>
      <c r="C32" s="137">
        <v>2018</v>
      </c>
      <c r="D32" s="137" t="s">
        <v>53</v>
      </c>
      <c r="E32" s="137" t="s">
        <v>193</v>
      </c>
      <c r="F32" s="137" t="s">
        <v>193</v>
      </c>
      <c r="G32" s="137" t="s">
        <v>193</v>
      </c>
      <c r="H32" s="137" t="s">
        <v>193</v>
      </c>
      <c r="I32" s="137" t="s">
        <v>193</v>
      </c>
      <c r="J32" s="137" t="s">
        <v>53</v>
      </c>
      <c r="K32" s="137" t="s">
        <v>193</v>
      </c>
      <c r="L32" s="137" t="s">
        <v>193</v>
      </c>
      <c r="M32" s="137" t="s">
        <v>193</v>
      </c>
      <c r="N32" s="137" t="s">
        <v>193</v>
      </c>
      <c r="O32" s="137" t="s">
        <v>193</v>
      </c>
      <c r="P32" s="137" t="s">
        <v>53</v>
      </c>
      <c r="Q32" s="137" t="s">
        <v>193</v>
      </c>
      <c r="R32" s="137" t="s">
        <v>193</v>
      </c>
      <c r="S32" s="137" t="s">
        <v>193</v>
      </c>
      <c r="T32" s="137" t="s">
        <v>193</v>
      </c>
      <c r="U32" s="137" t="s">
        <v>193</v>
      </c>
      <c r="X32" s="12">
        <f t="shared" si="0"/>
        <v>0</v>
      </c>
    </row>
    <row r="33" spans="1:24" ht="15" customHeight="1" x14ac:dyDescent="0.25">
      <c r="A33" s="137" t="s">
        <v>228</v>
      </c>
      <c r="B33" s="137" t="s">
        <v>229</v>
      </c>
      <c r="C33" s="137">
        <v>2018</v>
      </c>
      <c r="D33" s="137" t="s">
        <v>53</v>
      </c>
      <c r="E33" s="137" t="s">
        <v>193</v>
      </c>
      <c r="F33" s="137" t="s">
        <v>193</v>
      </c>
      <c r="G33" s="137" t="s">
        <v>193</v>
      </c>
      <c r="H33" s="137" t="s">
        <v>193</v>
      </c>
      <c r="I33" s="137" t="s">
        <v>193</v>
      </c>
      <c r="J33" s="137" t="s">
        <v>53</v>
      </c>
      <c r="K33" s="137" t="s">
        <v>193</v>
      </c>
      <c r="L33" s="137" t="s">
        <v>193</v>
      </c>
      <c r="M33" s="137" t="s">
        <v>193</v>
      </c>
      <c r="N33" s="137" t="s">
        <v>193</v>
      </c>
      <c r="O33" s="137" t="s">
        <v>193</v>
      </c>
      <c r="P33" s="137" t="s">
        <v>53</v>
      </c>
      <c r="Q33" s="137" t="s">
        <v>193</v>
      </c>
      <c r="R33" s="137" t="s">
        <v>193</v>
      </c>
      <c r="S33" s="137" t="s">
        <v>193</v>
      </c>
      <c r="T33" s="137" t="s">
        <v>193</v>
      </c>
      <c r="U33" s="137" t="s">
        <v>193</v>
      </c>
      <c r="X33" s="12">
        <f t="shared" si="0"/>
        <v>0</v>
      </c>
    </row>
    <row r="34" spans="1:24" ht="15" customHeight="1" x14ac:dyDescent="0.25">
      <c r="A34" s="137" t="s">
        <v>230</v>
      </c>
      <c r="B34" s="137" t="s">
        <v>66</v>
      </c>
      <c r="C34" s="137">
        <v>2018</v>
      </c>
      <c r="D34" s="137" t="s">
        <v>771</v>
      </c>
      <c r="E34" s="137" t="s">
        <v>772</v>
      </c>
      <c r="F34" s="137">
        <v>2.4409999999999998</v>
      </c>
      <c r="G34" s="137" t="s">
        <v>193</v>
      </c>
      <c r="H34" s="137" t="s">
        <v>193</v>
      </c>
      <c r="I34" s="137" t="s">
        <v>193</v>
      </c>
      <c r="J34" s="137" t="s">
        <v>53</v>
      </c>
      <c r="K34" s="137" t="s">
        <v>193</v>
      </c>
      <c r="L34" s="137" t="s">
        <v>193</v>
      </c>
      <c r="M34" s="137" t="s">
        <v>193</v>
      </c>
      <c r="N34" s="137" t="s">
        <v>193</v>
      </c>
      <c r="O34" s="137" t="s">
        <v>193</v>
      </c>
      <c r="P34" s="137" t="s">
        <v>53</v>
      </c>
      <c r="Q34" s="137" t="s">
        <v>193</v>
      </c>
      <c r="R34" s="137" t="s">
        <v>193</v>
      </c>
      <c r="S34" s="137" t="s">
        <v>193</v>
      </c>
      <c r="T34" s="137" t="s">
        <v>193</v>
      </c>
      <c r="U34" s="137" t="s">
        <v>193</v>
      </c>
      <c r="X34" s="12">
        <f t="shared" si="0"/>
        <v>0</v>
      </c>
    </row>
    <row r="35" spans="1:24" ht="15" customHeight="1" x14ac:dyDescent="0.25">
      <c r="A35" s="137" t="s">
        <v>231</v>
      </c>
      <c r="B35" s="137" t="s">
        <v>232</v>
      </c>
      <c r="C35" s="137">
        <v>2018</v>
      </c>
      <c r="D35" s="137" t="s">
        <v>53</v>
      </c>
      <c r="E35" s="137" t="s">
        <v>193</v>
      </c>
      <c r="F35" s="137" t="s">
        <v>193</v>
      </c>
      <c r="G35" s="137" t="s">
        <v>193</v>
      </c>
      <c r="H35" s="137" t="s">
        <v>193</v>
      </c>
      <c r="I35" s="137" t="s">
        <v>193</v>
      </c>
      <c r="J35" s="137" t="s">
        <v>53</v>
      </c>
      <c r="K35" s="137" t="s">
        <v>193</v>
      </c>
      <c r="L35" s="137" t="s">
        <v>193</v>
      </c>
      <c r="M35" s="137" t="s">
        <v>193</v>
      </c>
      <c r="N35" s="137" t="s">
        <v>193</v>
      </c>
      <c r="O35" s="137" t="s">
        <v>193</v>
      </c>
      <c r="P35" s="137" t="s">
        <v>53</v>
      </c>
      <c r="Q35" s="137" t="s">
        <v>193</v>
      </c>
      <c r="R35" s="137" t="s">
        <v>193</v>
      </c>
      <c r="S35" s="137" t="s">
        <v>193</v>
      </c>
      <c r="T35" s="137" t="s">
        <v>193</v>
      </c>
      <c r="U35" s="137" t="s">
        <v>193</v>
      </c>
      <c r="X35" s="12">
        <f t="shared" si="0"/>
        <v>0</v>
      </c>
    </row>
    <row r="36" spans="1:24" ht="15" customHeight="1" x14ac:dyDescent="0.25">
      <c r="A36" s="137" t="s">
        <v>231</v>
      </c>
      <c r="B36" s="137" t="s">
        <v>233</v>
      </c>
      <c r="C36" s="137">
        <v>2018</v>
      </c>
      <c r="D36" s="137" t="s">
        <v>53</v>
      </c>
      <c r="E36" s="137" t="s">
        <v>193</v>
      </c>
      <c r="F36" s="137" t="s">
        <v>193</v>
      </c>
      <c r="G36" s="137" t="s">
        <v>193</v>
      </c>
      <c r="H36" s="137" t="s">
        <v>193</v>
      </c>
      <c r="I36" s="137" t="s">
        <v>193</v>
      </c>
      <c r="J36" s="137" t="s">
        <v>53</v>
      </c>
      <c r="K36" s="137" t="s">
        <v>193</v>
      </c>
      <c r="L36" s="137" t="s">
        <v>193</v>
      </c>
      <c r="M36" s="137" t="s">
        <v>193</v>
      </c>
      <c r="N36" s="137" t="s">
        <v>193</v>
      </c>
      <c r="O36" s="137" t="s">
        <v>193</v>
      </c>
      <c r="P36" s="137" t="s">
        <v>53</v>
      </c>
      <c r="Q36" s="137" t="s">
        <v>193</v>
      </c>
      <c r="R36" s="137" t="s">
        <v>193</v>
      </c>
      <c r="S36" s="137" t="s">
        <v>193</v>
      </c>
      <c r="T36" s="137" t="s">
        <v>193</v>
      </c>
      <c r="U36" s="137" t="s">
        <v>193</v>
      </c>
      <c r="X36" s="12">
        <f t="shared" si="0"/>
        <v>0</v>
      </c>
    </row>
    <row r="37" spans="1:24" ht="15" customHeight="1" x14ac:dyDescent="0.25">
      <c r="A37" s="137" t="s">
        <v>231</v>
      </c>
      <c r="B37" s="137" t="s">
        <v>234</v>
      </c>
      <c r="C37" s="137">
        <v>2018</v>
      </c>
      <c r="D37" s="137" t="s">
        <v>53</v>
      </c>
      <c r="E37" s="137" t="s">
        <v>193</v>
      </c>
      <c r="F37" s="137" t="s">
        <v>193</v>
      </c>
      <c r="G37" s="137" t="s">
        <v>193</v>
      </c>
      <c r="H37" s="137" t="s">
        <v>193</v>
      </c>
      <c r="I37" s="137" t="s">
        <v>193</v>
      </c>
      <c r="J37" s="137" t="s">
        <v>53</v>
      </c>
      <c r="K37" s="137" t="s">
        <v>193</v>
      </c>
      <c r="L37" s="137" t="s">
        <v>193</v>
      </c>
      <c r="M37" s="137" t="s">
        <v>193</v>
      </c>
      <c r="N37" s="137" t="s">
        <v>193</v>
      </c>
      <c r="O37" s="137" t="s">
        <v>193</v>
      </c>
      <c r="P37" s="137" t="s">
        <v>53</v>
      </c>
      <c r="Q37" s="137" t="s">
        <v>193</v>
      </c>
      <c r="R37" s="137" t="s">
        <v>193</v>
      </c>
      <c r="S37" s="137" t="s">
        <v>193</v>
      </c>
      <c r="T37" s="137" t="s">
        <v>193</v>
      </c>
      <c r="U37" s="137" t="s">
        <v>193</v>
      </c>
      <c r="X37" s="12">
        <f t="shared" si="0"/>
        <v>0</v>
      </c>
    </row>
    <row r="38" spans="1:24" ht="15" customHeight="1" x14ac:dyDescent="0.25">
      <c r="A38" s="137" t="s">
        <v>235</v>
      </c>
      <c r="B38" s="137" t="s">
        <v>236</v>
      </c>
      <c r="C38" s="137">
        <v>2018</v>
      </c>
      <c r="D38" s="137" t="s">
        <v>53</v>
      </c>
      <c r="E38" s="137" t="s">
        <v>193</v>
      </c>
      <c r="F38" s="137" t="s">
        <v>193</v>
      </c>
      <c r="G38" s="137" t="s">
        <v>193</v>
      </c>
      <c r="H38" s="137" t="s">
        <v>193</v>
      </c>
      <c r="I38" s="137" t="s">
        <v>193</v>
      </c>
      <c r="J38" s="137" t="s">
        <v>53</v>
      </c>
      <c r="K38" s="137" t="s">
        <v>193</v>
      </c>
      <c r="L38" s="137" t="s">
        <v>193</v>
      </c>
      <c r="M38" s="137" t="s">
        <v>193</v>
      </c>
      <c r="N38" s="137" t="s">
        <v>193</v>
      </c>
      <c r="O38" s="137" t="s">
        <v>193</v>
      </c>
      <c r="P38" s="137" t="s">
        <v>53</v>
      </c>
      <c r="Q38" s="137" t="s">
        <v>193</v>
      </c>
      <c r="R38" s="137" t="s">
        <v>193</v>
      </c>
      <c r="S38" s="137" t="s">
        <v>193</v>
      </c>
      <c r="T38" s="137" t="s">
        <v>193</v>
      </c>
      <c r="U38" s="137" t="s">
        <v>193</v>
      </c>
      <c r="X38" s="12">
        <f t="shared" si="0"/>
        <v>0</v>
      </c>
    </row>
    <row r="39" spans="1:24" ht="15" customHeight="1" x14ac:dyDescent="0.25">
      <c r="A39" s="137" t="s">
        <v>235</v>
      </c>
      <c r="B39" s="137" t="s">
        <v>237</v>
      </c>
      <c r="C39" s="137">
        <v>2018</v>
      </c>
      <c r="D39" s="137" t="s">
        <v>53</v>
      </c>
      <c r="E39" s="137" t="s">
        <v>193</v>
      </c>
      <c r="F39" s="137" t="s">
        <v>193</v>
      </c>
      <c r="G39" s="137" t="s">
        <v>193</v>
      </c>
      <c r="H39" s="137" t="s">
        <v>193</v>
      </c>
      <c r="I39" s="137" t="s">
        <v>193</v>
      </c>
      <c r="J39" s="137" t="s">
        <v>53</v>
      </c>
      <c r="K39" s="137" t="s">
        <v>193</v>
      </c>
      <c r="L39" s="137" t="s">
        <v>193</v>
      </c>
      <c r="M39" s="137" t="s">
        <v>193</v>
      </c>
      <c r="N39" s="137" t="s">
        <v>193</v>
      </c>
      <c r="O39" s="137" t="s">
        <v>193</v>
      </c>
      <c r="P39" s="137" t="s">
        <v>53</v>
      </c>
      <c r="Q39" s="137" t="s">
        <v>193</v>
      </c>
      <c r="R39" s="137" t="s">
        <v>193</v>
      </c>
      <c r="S39" s="137" t="s">
        <v>193</v>
      </c>
      <c r="T39" s="137" t="s">
        <v>193</v>
      </c>
      <c r="U39" s="137" t="s">
        <v>193</v>
      </c>
      <c r="X39" s="12">
        <f t="shared" si="0"/>
        <v>0</v>
      </c>
    </row>
    <row r="40" spans="1:24" ht="15" customHeight="1" x14ac:dyDescent="0.25">
      <c r="A40" s="137" t="s">
        <v>238</v>
      </c>
      <c r="B40" s="137" t="s">
        <v>239</v>
      </c>
      <c r="C40" s="137">
        <v>2018</v>
      </c>
      <c r="D40" s="137" t="s">
        <v>773</v>
      </c>
      <c r="E40" s="137" t="s">
        <v>769</v>
      </c>
      <c r="F40" s="137">
        <v>155.61500000000001</v>
      </c>
      <c r="G40" s="137" t="s">
        <v>193</v>
      </c>
      <c r="H40" s="137" t="s">
        <v>193</v>
      </c>
      <c r="I40" s="137" t="s">
        <v>193</v>
      </c>
      <c r="J40" s="137" t="s">
        <v>53</v>
      </c>
      <c r="K40" s="137" t="s">
        <v>193</v>
      </c>
      <c r="L40" s="137" t="s">
        <v>193</v>
      </c>
      <c r="M40" s="137" t="s">
        <v>193</v>
      </c>
      <c r="N40" s="137" t="s">
        <v>193</v>
      </c>
      <c r="O40" s="137" t="s">
        <v>193</v>
      </c>
      <c r="P40" s="137" t="s">
        <v>53</v>
      </c>
      <c r="Q40" s="137" t="s">
        <v>193</v>
      </c>
      <c r="R40" s="137" t="s">
        <v>193</v>
      </c>
      <c r="S40" s="137" t="s">
        <v>193</v>
      </c>
      <c r="T40" s="137" t="s">
        <v>193</v>
      </c>
      <c r="U40" s="137" t="s">
        <v>193</v>
      </c>
      <c r="X40" s="12">
        <f t="shared" si="0"/>
        <v>0</v>
      </c>
    </row>
    <row r="41" spans="1:24" ht="15" customHeight="1" x14ac:dyDescent="0.25">
      <c r="A41" s="137" t="s">
        <v>238</v>
      </c>
      <c r="B41" s="137" t="s">
        <v>241</v>
      </c>
      <c r="C41" s="137">
        <v>2018</v>
      </c>
      <c r="D41" s="137" t="s">
        <v>53</v>
      </c>
      <c r="E41" s="137" t="s">
        <v>193</v>
      </c>
      <c r="F41" s="137" t="s">
        <v>193</v>
      </c>
      <c r="G41" s="137" t="s">
        <v>193</v>
      </c>
      <c r="H41" s="137" t="s">
        <v>193</v>
      </c>
      <c r="I41" s="137" t="s">
        <v>193</v>
      </c>
      <c r="J41" s="137" t="s">
        <v>53</v>
      </c>
      <c r="K41" s="137" t="s">
        <v>193</v>
      </c>
      <c r="L41" s="137" t="s">
        <v>193</v>
      </c>
      <c r="M41" s="137" t="s">
        <v>193</v>
      </c>
      <c r="N41" s="137" t="s">
        <v>193</v>
      </c>
      <c r="O41" s="137" t="s">
        <v>193</v>
      </c>
      <c r="P41" s="137" t="s">
        <v>53</v>
      </c>
      <c r="Q41" s="137" t="s">
        <v>193</v>
      </c>
      <c r="R41" s="137" t="s">
        <v>193</v>
      </c>
      <c r="S41" s="137" t="s">
        <v>193</v>
      </c>
      <c r="T41" s="137" t="s">
        <v>193</v>
      </c>
      <c r="U41" s="137" t="s">
        <v>193</v>
      </c>
      <c r="X41" s="12">
        <f t="shared" si="0"/>
        <v>0</v>
      </c>
    </row>
    <row r="42" spans="1:24" ht="15" customHeight="1" x14ac:dyDescent="0.25">
      <c r="A42" s="137" t="s">
        <v>238</v>
      </c>
      <c r="B42" s="137" t="s">
        <v>242</v>
      </c>
      <c r="C42" s="137">
        <v>2018</v>
      </c>
      <c r="D42" s="137" t="s">
        <v>53</v>
      </c>
      <c r="E42" s="137" t="s">
        <v>193</v>
      </c>
      <c r="F42" s="137" t="s">
        <v>193</v>
      </c>
      <c r="G42" s="137" t="s">
        <v>193</v>
      </c>
      <c r="H42" s="137" t="s">
        <v>193</v>
      </c>
      <c r="I42" s="137" t="s">
        <v>193</v>
      </c>
      <c r="J42" s="137" t="s">
        <v>53</v>
      </c>
      <c r="K42" s="137" t="s">
        <v>193</v>
      </c>
      <c r="L42" s="137" t="s">
        <v>193</v>
      </c>
      <c r="M42" s="137" t="s">
        <v>193</v>
      </c>
      <c r="N42" s="137" t="s">
        <v>193</v>
      </c>
      <c r="O42" s="137" t="s">
        <v>193</v>
      </c>
      <c r="P42" s="137" t="s">
        <v>53</v>
      </c>
      <c r="Q42" s="137" t="s">
        <v>193</v>
      </c>
      <c r="R42" s="137" t="s">
        <v>193</v>
      </c>
      <c r="S42" s="137" t="s">
        <v>193</v>
      </c>
      <c r="T42" s="137" t="s">
        <v>193</v>
      </c>
      <c r="U42" s="137" t="s">
        <v>193</v>
      </c>
      <c r="X42" s="12">
        <f t="shared" si="0"/>
        <v>0</v>
      </c>
    </row>
    <row r="43" spans="1:24" ht="15" customHeight="1" x14ac:dyDescent="0.25">
      <c r="A43" s="137" t="s">
        <v>243</v>
      </c>
      <c r="B43" s="137" t="s">
        <v>244</v>
      </c>
      <c r="C43" s="137">
        <v>2018</v>
      </c>
      <c r="D43" s="137" t="s">
        <v>53</v>
      </c>
      <c r="E43" s="137" t="s">
        <v>193</v>
      </c>
      <c r="F43" s="137" t="s">
        <v>193</v>
      </c>
      <c r="G43" s="137" t="s">
        <v>193</v>
      </c>
      <c r="H43" s="137" t="s">
        <v>193</v>
      </c>
      <c r="I43" s="137" t="s">
        <v>193</v>
      </c>
      <c r="J43" s="137" t="s">
        <v>53</v>
      </c>
      <c r="K43" s="137" t="s">
        <v>193</v>
      </c>
      <c r="L43" s="137" t="s">
        <v>193</v>
      </c>
      <c r="M43" s="137" t="s">
        <v>193</v>
      </c>
      <c r="N43" s="137" t="s">
        <v>193</v>
      </c>
      <c r="O43" s="137" t="s">
        <v>193</v>
      </c>
      <c r="P43" s="137" t="s">
        <v>53</v>
      </c>
      <c r="Q43" s="137" t="s">
        <v>193</v>
      </c>
      <c r="R43" s="137" t="s">
        <v>193</v>
      </c>
      <c r="S43" s="137" t="s">
        <v>193</v>
      </c>
      <c r="T43" s="137" t="s">
        <v>193</v>
      </c>
      <c r="U43" s="137" t="s">
        <v>193</v>
      </c>
      <c r="X43" s="12">
        <f t="shared" si="0"/>
        <v>0</v>
      </c>
    </row>
    <row r="44" spans="1:24" ht="15" customHeight="1" x14ac:dyDescent="0.25">
      <c r="A44" s="137" t="s">
        <v>243</v>
      </c>
      <c r="B44" s="137" t="s">
        <v>245</v>
      </c>
      <c r="C44" s="137">
        <v>2018</v>
      </c>
      <c r="D44" s="137" t="s">
        <v>53</v>
      </c>
      <c r="E44" s="137" t="s">
        <v>193</v>
      </c>
      <c r="F44" s="137" t="s">
        <v>193</v>
      </c>
      <c r="G44" s="137" t="s">
        <v>193</v>
      </c>
      <c r="H44" s="137" t="s">
        <v>193</v>
      </c>
      <c r="I44" s="137" t="s">
        <v>193</v>
      </c>
      <c r="J44" s="137" t="s">
        <v>53</v>
      </c>
      <c r="K44" s="137" t="s">
        <v>193</v>
      </c>
      <c r="L44" s="137" t="s">
        <v>193</v>
      </c>
      <c r="M44" s="137" t="s">
        <v>193</v>
      </c>
      <c r="N44" s="137" t="s">
        <v>193</v>
      </c>
      <c r="O44" s="137" t="s">
        <v>193</v>
      </c>
      <c r="P44" s="137" t="s">
        <v>53</v>
      </c>
      <c r="Q44" s="137" t="s">
        <v>193</v>
      </c>
      <c r="R44" s="137" t="s">
        <v>193</v>
      </c>
      <c r="S44" s="137" t="s">
        <v>193</v>
      </c>
      <c r="T44" s="137" t="s">
        <v>193</v>
      </c>
      <c r="U44" s="137" t="s">
        <v>193</v>
      </c>
      <c r="X44" s="12">
        <f t="shared" si="0"/>
        <v>0</v>
      </c>
    </row>
    <row r="45" spans="1:24" ht="15" customHeight="1" x14ac:dyDescent="0.25">
      <c r="A45" s="137" t="s">
        <v>246</v>
      </c>
      <c r="B45" s="137" t="s">
        <v>247</v>
      </c>
      <c r="C45" s="137">
        <v>2018</v>
      </c>
      <c r="D45" s="137" t="s">
        <v>53</v>
      </c>
      <c r="E45" s="137" t="s">
        <v>53</v>
      </c>
      <c r="F45" s="137" t="s">
        <v>53</v>
      </c>
      <c r="G45" s="137" t="s">
        <v>53</v>
      </c>
      <c r="H45" s="137" t="s">
        <v>53</v>
      </c>
      <c r="I45" s="137" t="s">
        <v>53</v>
      </c>
      <c r="J45" s="137" t="s">
        <v>53</v>
      </c>
      <c r="K45" s="137" t="s">
        <v>53</v>
      </c>
      <c r="L45" s="137" t="s">
        <v>53</v>
      </c>
      <c r="M45" s="137" t="s">
        <v>53</v>
      </c>
      <c r="N45" s="137" t="s">
        <v>53</v>
      </c>
      <c r="O45" s="137" t="s">
        <v>53</v>
      </c>
      <c r="P45" s="137" t="s">
        <v>53</v>
      </c>
      <c r="Q45" s="137" t="s">
        <v>53</v>
      </c>
      <c r="R45" s="137" t="s">
        <v>53</v>
      </c>
      <c r="S45" s="137" t="s">
        <v>53</v>
      </c>
      <c r="T45" s="137" t="s">
        <v>53</v>
      </c>
      <c r="U45" s="137" t="s">
        <v>53</v>
      </c>
      <c r="X45" s="12">
        <f t="shared" si="0"/>
        <v>0</v>
      </c>
    </row>
    <row r="46" spans="1:24" ht="15" customHeight="1" x14ac:dyDescent="0.25">
      <c r="A46" s="137" t="s">
        <v>248</v>
      </c>
      <c r="B46" s="137" t="s">
        <v>69</v>
      </c>
      <c r="C46" s="137">
        <v>2018</v>
      </c>
      <c r="D46" s="137" t="s">
        <v>53</v>
      </c>
      <c r="E46" s="137" t="s">
        <v>53</v>
      </c>
      <c r="F46" s="137" t="s">
        <v>53</v>
      </c>
      <c r="G46" s="137" t="s">
        <v>53</v>
      </c>
      <c r="H46" s="137" t="s">
        <v>53</v>
      </c>
      <c r="I46" s="137" t="s">
        <v>53</v>
      </c>
      <c r="J46" s="137" t="s">
        <v>53</v>
      </c>
      <c r="K46" s="137" t="s">
        <v>53</v>
      </c>
      <c r="L46" s="137" t="s">
        <v>53</v>
      </c>
      <c r="M46" s="137" t="s">
        <v>53</v>
      </c>
      <c r="N46" s="137" t="s">
        <v>53</v>
      </c>
      <c r="O46" s="137" t="s">
        <v>53</v>
      </c>
      <c r="P46" s="137" t="s">
        <v>53</v>
      </c>
      <c r="Q46" s="137" t="s">
        <v>53</v>
      </c>
      <c r="R46" s="137" t="s">
        <v>53</v>
      </c>
      <c r="S46" s="137" t="s">
        <v>53</v>
      </c>
      <c r="T46" s="137" t="s">
        <v>53</v>
      </c>
      <c r="U46" s="137" t="s">
        <v>53</v>
      </c>
      <c r="X46" s="12">
        <f t="shared" si="0"/>
        <v>0</v>
      </c>
    </row>
    <row r="47" spans="1:24" ht="15" customHeight="1" x14ac:dyDescent="0.25">
      <c r="A47" s="137" t="s">
        <v>249</v>
      </c>
      <c r="B47" s="137" t="s">
        <v>250</v>
      </c>
      <c r="C47" s="137">
        <v>2018</v>
      </c>
      <c r="D47" s="137" t="s">
        <v>219</v>
      </c>
      <c r="E47" s="137" t="s">
        <v>193</v>
      </c>
      <c r="F47" s="137" t="s">
        <v>193</v>
      </c>
      <c r="G47" s="137" t="s">
        <v>193</v>
      </c>
      <c r="H47" s="137" t="s">
        <v>193</v>
      </c>
      <c r="I47" s="137" t="s">
        <v>193</v>
      </c>
      <c r="J47" s="137" t="s">
        <v>219</v>
      </c>
      <c r="K47" s="137" t="s">
        <v>193</v>
      </c>
      <c r="L47" s="137" t="s">
        <v>193</v>
      </c>
      <c r="M47" s="137" t="s">
        <v>193</v>
      </c>
      <c r="N47" s="137" t="s">
        <v>193</v>
      </c>
      <c r="O47" s="137" t="s">
        <v>193</v>
      </c>
      <c r="P47" s="137" t="s">
        <v>219</v>
      </c>
      <c r="Q47" s="137" t="s">
        <v>193</v>
      </c>
      <c r="R47" s="137" t="s">
        <v>193</v>
      </c>
      <c r="S47" s="137" t="s">
        <v>193</v>
      </c>
      <c r="T47" s="137" t="s">
        <v>193</v>
      </c>
      <c r="U47" s="137" t="s">
        <v>193</v>
      </c>
      <c r="X47" s="12">
        <f t="shared" si="0"/>
        <v>0</v>
      </c>
    </row>
    <row r="48" spans="1:24" ht="15" customHeight="1" x14ac:dyDescent="0.25">
      <c r="A48" s="137" t="s">
        <v>249</v>
      </c>
      <c r="B48" s="137" t="s">
        <v>251</v>
      </c>
      <c r="C48" s="137">
        <v>2018</v>
      </c>
      <c r="D48" s="137" t="s">
        <v>219</v>
      </c>
      <c r="E48" s="137" t="s">
        <v>193</v>
      </c>
      <c r="F48" s="137" t="s">
        <v>193</v>
      </c>
      <c r="G48" s="137" t="s">
        <v>193</v>
      </c>
      <c r="H48" s="137" t="s">
        <v>193</v>
      </c>
      <c r="I48" s="137" t="s">
        <v>193</v>
      </c>
      <c r="J48" s="137" t="s">
        <v>219</v>
      </c>
      <c r="K48" s="137" t="s">
        <v>193</v>
      </c>
      <c r="L48" s="137" t="s">
        <v>193</v>
      </c>
      <c r="M48" s="137" t="s">
        <v>193</v>
      </c>
      <c r="N48" s="137" t="s">
        <v>193</v>
      </c>
      <c r="O48" s="137" t="s">
        <v>193</v>
      </c>
      <c r="P48" s="137" t="s">
        <v>219</v>
      </c>
      <c r="Q48" s="137" t="s">
        <v>193</v>
      </c>
      <c r="R48" s="137" t="s">
        <v>193</v>
      </c>
      <c r="S48" s="137" t="s">
        <v>193</v>
      </c>
      <c r="T48" s="137" t="s">
        <v>193</v>
      </c>
      <c r="U48" s="137" t="s">
        <v>193</v>
      </c>
      <c r="X48" s="12">
        <f t="shared" si="0"/>
        <v>0</v>
      </c>
    </row>
    <row r="49" spans="1:24" ht="15" customHeight="1" x14ac:dyDescent="0.25">
      <c r="A49" s="137" t="s">
        <v>253</v>
      </c>
      <c r="B49" s="137" t="s">
        <v>254</v>
      </c>
      <c r="C49" s="137">
        <v>2018</v>
      </c>
      <c r="D49" s="137" t="s">
        <v>774</v>
      </c>
      <c r="E49" s="137" t="s">
        <v>769</v>
      </c>
      <c r="F49" s="137">
        <v>12.144</v>
      </c>
      <c r="G49" s="137" t="s">
        <v>193</v>
      </c>
      <c r="H49" s="137" t="s">
        <v>193</v>
      </c>
      <c r="I49" s="137">
        <v>91</v>
      </c>
      <c r="J49" s="137" t="s">
        <v>53</v>
      </c>
      <c r="K49" s="137" t="s">
        <v>193</v>
      </c>
      <c r="L49" s="137" t="s">
        <v>193</v>
      </c>
      <c r="M49" s="137" t="s">
        <v>193</v>
      </c>
      <c r="N49" s="137" t="s">
        <v>193</v>
      </c>
      <c r="O49" s="137" t="s">
        <v>193</v>
      </c>
      <c r="P49" s="137" t="s">
        <v>53</v>
      </c>
      <c r="Q49" s="137" t="s">
        <v>193</v>
      </c>
      <c r="R49" s="137" t="s">
        <v>193</v>
      </c>
      <c r="S49" s="137" t="s">
        <v>193</v>
      </c>
      <c r="T49" s="137" t="s">
        <v>193</v>
      </c>
      <c r="U49" s="137" t="s">
        <v>193</v>
      </c>
      <c r="X49" s="12">
        <f t="shared" si="0"/>
        <v>0</v>
      </c>
    </row>
    <row r="50" spans="1:24" ht="15" customHeight="1" x14ac:dyDescent="0.25">
      <c r="A50" s="137" t="s">
        <v>253</v>
      </c>
      <c r="B50" s="137" t="s">
        <v>256</v>
      </c>
      <c r="C50" s="137">
        <v>2018</v>
      </c>
      <c r="D50" s="137" t="s">
        <v>53</v>
      </c>
      <c r="E50" s="137" t="s">
        <v>193</v>
      </c>
      <c r="F50" s="137" t="s">
        <v>193</v>
      </c>
      <c r="G50" s="137" t="s">
        <v>193</v>
      </c>
      <c r="H50" s="137" t="s">
        <v>193</v>
      </c>
      <c r="I50" s="137" t="s">
        <v>193</v>
      </c>
      <c r="J50" s="137" t="s">
        <v>53</v>
      </c>
      <c r="K50" s="137" t="s">
        <v>193</v>
      </c>
      <c r="L50" s="137" t="s">
        <v>193</v>
      </c>
      <c r="M50" s="137" t="s">
        <v>193</v>
      </c>
      <c r="N50" s="137" t="s">
        <v>193</v>
      </c>
      <c r="O50" s="137" t="s">
        <v>193</v>
      </c>
      <c r="P50" s="137" t="s">
        <v>53</v>
      </c>
      <c r="Q50" s="137" t="s">
        <v>193</v>
      </c>
      <c r="R50" s="137" t="s">
        <v>193</v>
      </c>
      <c r="S50" s="137" t="s">
        <v>193</v>
      </c>
      <c r="T50" s="137" t="s">
        <v>193</v>
      </c>
      <c r="U50" s="137" t="s">
        <v>193</v>
      </c>
      <c r="X50" s="12">
        <f t="shared" si="0"/>
        <v>0</v>
      </c>
    </row>
    <row r="51" spans="1:24" ht="15" customHeight="1" x14ac:dyDescent="0.25">
      <c r="A51" s="137" t="s">
        <v>258</v>
      </c>
      <c r="B51" s="137" t="s">
        <v>259</v>
      </c>
      <c r="C51" s="137">
        <v>2018</v>
      </c>
      <c r="D51" s="137" t="s">
        <v>219</v>
      </c>
      <c r="E51" s="137" t="s">
        <v>193</v>
      </c>
      <c r="F51" s="137" t="s">
        <v>193</v>
      </c>
      <c r="G51" s="137" t="s">
        <v>193</v>
      </c>
      <c r="H51" s="137" t="s">
        <v>193</v>
      </c>
      <c r="I51" s="137" t="s">
        <v>193</v>
      </c>
      <c r="J51" s="137" t="s">
        <v>219</v>
      </c>
      <c r="K51" s="137" t="s">
        <v>193</v>
      </c>
      <c r="L51" s="137" t="s">
        <v>193</v>
      </c>
      <c r="M51" s="137" t="s">
        <v>193</v>
      </c>
      <c r="N51" s="137" t="s">
        <v>193</v>
      </c>
      <c r="O51" s="137" t="s">
        <v>193</v>
      </c>
      <c r="P51" s="137" t="s">
        <v>219</v>
      </c>
      <c r="Q51" s="137" t="s">
        <v>193</v>
      </c>
      <c r="R51" s="137" t="s">
        <v>193</v>
      </c>
      <c r="S51" s="137" t="s">
        <v>775</v>
      </c>
      <c r="T51" s="137" t="s">
        <v>193</v>
      </c>
      <c r="U51" s="137" t="s">
        <v>193</v>
      </c>
      <c r="X51" s="12">
        <f t="shared" si="0"/>
        <v>0</v>
      </c>
    </row>
    <row r="52" spans="1:24" ht="15" customHeight="1" x14ac:dyDescent="0.25">
      <c r="A52" s="137" t="s">
        <v>258</v>
      </c>
      <c r="B52" s="137" t="s">
        <v>260</v>
      </c>
      <c r="C52" s="137">
        <v>2018</v>
      </c>
      <c r="D52" s="137" t="s">
        <v>53</v>
      </c>
      <c r="E52" s="137" t="s">
        <v>53</v>
      </c>
      <c r="F52" s="137" t="s">
        <v>53</v>
      </c>
      <c r="G52" s="137" t="s">
        <v>53</v>
      </c>
      <c r="H52" s="137" t="s">
        <v>53</v>
      </c>
      <c r="I52" s="137" t="s">
        <v>53</v>
      </c>
      <c r="J52" s="137" t="s">
        <v>53</v>
      </c>
      <c r="K52" s="137" t="s">
        <v>53</v>
      </c>
      <c r="L52" s="137" t="s">
        <v>53</v>
      </c>
      <c r="M52" s="137" t="s">
        <v>53</v>
      </c>
      <c r="N52" s="137" t="s">
        <v>53</v>
      </c>
      <c r="O52" s="137" t="s">
        <v>53</v>
      </c>
      <c r="P52" s="137" t="s">
        <v>53</v>
      </c>
      <c r="Q52" s="137" t="s">
        <v>53</v>
      </c>
      <c r="R52" s="137" t="s">
        <v>53</v>
      </c>
      <c r="S52" s="137" t="s">
        <v>53</v>
      </c>
      <c r="T52" s="137" t="s">
        <v>53</v>
      </c>
      <c r="U52" s="137" t="s">
        <v>53</v>
      </c>
      <c r="X52" s="12">
        <f t="shared" si="0"/>
        <v>0</v>
      </c>
    </row>
    <row r="53" spans="1:24" ht="15" customHeight="1" x14ac:dyDescent="0.25">
      <c r="A53" s="137" t="s">
        <v>258</v>
      </c>
      <c r="B53" s="137" t="s">
        <v>261</v>
      </c>
      <c r="C53" s="137">
        <v>2018</v>
      </c>
      <c r="D53" s="137" t="s">
        <v>219</v>
      </c>
      <c r="E53" s="137" t="s">
        <v>193</v>
      </c>
      <c r="F53" s="137" t="s">
        <v>193</v>
      </c>
      <c r="G53" s="137" t="s">
        <v>193</v>
      </c>
      <c r="H53" s="137" t="s">
        <v>193</v>
      </c>
      <c r="I53" s="137" t="s">
        <v>193</v>
      </c>
      <c r="J53" s="137" t="s">
        <v>219</v>
      </c>
      <c r="K53" s="137" t="s">
        <v>193</v>
      </c>
      <c r="L53" s="137" t="s">
        <v>193</v>
      </c>
      <c r="M53" s="137" t="s">
        <v>193</v>
      </c>
      <c r="N53" s="137" t="s">
        <v>193</v>
      </c>
      <c r="O53" s="137" t="s">
        <v>193</v>
      </c>
      <c r="P53" s="137" t="s">
        <v>219</v>
      </c>
      <c r="Q53" s="137" t="s">
        <v>193</v>
      </c>
      <c r="R53" s="137" t="s">
        <v>193</v>
      </c>
      <c r="S53" s="137" t="s">
        <v>193</v>
      </c>
      <c r="T53" s="137" t="s">
        <v>193</v>
      </c>
      <c r="U53" s="137" t="s">
        <v>193</v>
      </c>
      <c r="X53" s="12">
        <f t="shared" si="0"/>
        <v>0</v>
      </c>
    </row>
    <row r="54" spans="1:24" ht="15" customHeight="1" x14ac:dyDescent="0.25">
      <c r="A54" s="137" t="s">
        <v>258</v>
      </c>
      <c r="B54" s="137" t="s">
        <v>262</v>
      </c>
      <c r="C54" s="137">
        <v>2018</v>
      </c>
      <c r="D54" s="137" t="s">
        <v>219</v>
      </c>
      <c r="E54" s="137" t="s">
        <v>193</v>
      </c>
      <c r="F54" s="137" t="s">
        <v>193</v>
      </c>
      <c r="G54" s="137" t="s">
        <v>193</v>
      </c>
      <c r="H54" s="137" t="s">
        <v>193</v>
      </c>
      <c r="I54" s="137" t="s">
        <v>193</v>
      </c>
      <c r="J54" s="137" t="s">
        <v>219</v>
      </c>
      <c r="K54" s="137" t="s">
        <v>193</v>
      </c>
      <c r="L54" s="137" t="s">
        <v>193</v>
      </c>
      <c r="M54" s="137" t="s">
        <v>193</v>
      </c>
      <c r="N54" s="137" t="s">
        <v>193</v>
      </c>
      <c r="O54" s="137" t="s">
        <v>193</v>
      </c>
      <c r="P54" s="137" t="s">
        <v>219</v>
      </c>
      <c r="Q54" s="137" t="s">
        <v>193</v>
      </c>
      <c r="R54" s="137" t="s">
        <v>193</v>
      </c>
      <c r="S54" s="137" t="s">
        <v>193</v>
      </c>
      <c r="T54" s="137" t="s">
        <v>193</v>
      </c>
      <c r="U54" s="137" t="s">
        <v>193</v>
      </c>
      <c r="X54" s="12">
        <f t="shared" si="0"/>
        <v>0</v>
      </c>
    </row>
    <row r="55" spans="1:24" ht="15" customHeight="1" x14ac:dyDescent="0.25">
      <c r="A55" s="137" t="s">
        <v>263</v>
      </c>
      <c r="B55" s="137" t="s">
        <v>264</v>
      </c>
      <c r="C55" s="137">
        <v>2018</v>
      </c>
      <c r="D55" s="137" t="s">
        <v>53</v>
      </c>
      <c r="E55" s="137" t="s">
        <v>193</v>
      </c>
      <c r="F55" s="137" t="s">
        <v>193</v>
      </c>
      <c r="G55" s="137" t="s">
        <v>193</v>
      </c>
      <c r="H55" s="137" t="s">
        <v>193</v>
      </c>
      <c r="I55" s="137" t="s">
        <v>193</v>
      </c>
      <c r="J55" s="137" t="s">
        <v>53</v>
      </c>
      <c r="K55" s="137" t="s">
        <v>193</v>
      </c>
      <c r="L55" s="137" t="s">
        <v>193</v>
      </c>
      <c r="M55" s="137" t="s">
        <v>193</v>
      </c>
      <c r="N55" s="137" t="s">
        <v>193</v>
      </c>
      <c r="O55" s="137" t="s">
        <v>193</v>
      </c>
      <c r="P55" s="137" t="s">
        <v>53</v>
      </c>
      <c r="Q55" s="137" t="s">
        <v>193</v>
      </c>
      <c r="R55" s="137" t="s">
        <v>193</v>
      </c>
      <c r="S55" s="137" t="s">
        <v>193</v>
      </c>
      <c r="T55" s="137" t="s">
        <v>193</v>
      </c>
      <c r="U55" s="137" t="s">
        <v>193</v>
      </c>
      <c r="X55" s="12">
        <f t="shared" si="0"/>
        <v>0</v>
      </c>
    </row>
    <row r="56" spans="1:24" ht="15" customHeight="1" x14ac:dyDescent="0.25">
      <c r="A56" s="137" t="s">
        <v>263</v>
      </c>
      <c r="B56" s="137" t="s">
        <v>265</v>
      </c>
      <c r="C56" s="137">
        <v>2018</v>
      </c>
      <c r="D56" s="137" t="s">
        <v>53</v>
      </c>
      <c r="E56" s="137" t="s">
        <v>193</v>
      </c>
      <c r="F56" s="137" t="s">
        <v>193</v>
      </c>
      <c r="G56" s="137" t="s">
        <v>193</v>
      </c>
      <c r="H56" s="137" t="s">
        <v>193</v>
      </c>
      <c r="I56" s="137" t="s">
        <v>193</v>
      </c>
      <c r="J56" s="137" t="s">
        <v>53</v>
      </c>
      <c r="K56" s="137" t="s">
        <v>193</v>
      </c>
      <c r="L56" s="137" t="s">
        <v>193</v>
      </c>
      <c r="M56" s="137" t="s">
        <v>193</v>
      </c>
      <c r="N56" s="137" t="s">
        <v>193</v>
      </c>
      <c r="O56" s="137" t="s">
        <v>193</v>
      </c>
      <c r="P56" s="137" t="s">
        <v>53</v>
      </c>
      <c r="Q56" s="137" t="s">
        <v>193</v>
      </c>
      <c r="R56" s="137" t="s">
        <v>193</v>
      </c>
      <c r="S56" s="137" t="s">
        <v>193</v>
      </c>
      <c r="T56" s="137" t="s">
        <v>193</v>
      </c>
      <c r="U56" s="137" t="s">
        <v>193</v>
      </c>
      <c r="X56" s="12">
        <f t="shared" si="0"/>
        <v>0</v>
      </c>
    </row>
    <row r="57" spans="1:24" ht="15" customHeight="1" x14ac:dyDescent="0.25">
      <c r="A57" s="137" t="s">
        <v>263</v>
      </c>
      <c r="B57" s="137" t="s">
        <v>266</v>
      </c>
      <c r="C57" s="137">
        <v>2018</v>
      </c>
      <c r="D57" s="137" t="s">
        <v>53</v>
      </c>
      <c r="E57" s="137" t="s">
        <v>193</v>
      </c>
      <c r="F57" s="137" t="s">
        <v>193</v>
      </c>
      <c r="G57" s="137" t="s">
        <v>193</v>
      </c>
      <c r="H57" s="137" t="s">
        <v>193</v>
      </c>
      <c r="I57" s="137" t="s">
        <v>193</v>
      </c>
      <c r="J57" s="137" t="s">
        <v>53</v>
      </c>
      <c r="K57" s="137" t="s">
        <v>193</v>
      </c>
      <c r="L57" s="137" t="s">
        <v>193</v>
      </c>
      <c r="M57" s="137" t="s">
        <v>193</v>
      </c>
      <c r="N57" s="137" t="s">
        <v>193</v>
      </c>
      <c r="O57" s="137" t="s">
        <v>193</v>
      </c>
      <c r="P57" s="137" t="s">
        <v>53</v>
      </c>
      <c r="Q57" s="137" t="s">
        <v>193</v>
      </c>
      <c r="R57" s="137" t="s">
        <v>193</v>
      </c>
      <c r="S57" s="137" t="s">
        <v>193</v>
      </c>
      <c r="T57" s="137" t="s">
        <v>193</v>
      </c>
      <c r="U57" s="137" t="s">
        <v>193</v>
      </c>
      <c r="X57" s="12">
        <f t="shared" si="0"/>
        <v>0</v>
      </c>
    </row>
    <row r="58" spans="1:24" ht="15" customHeight="1" x14ac:dyDescent="0.25">
      <c r="A58" s="137" t="s">
        <v>263</v>
      </c>
      <c r="B58" s="137" t="s">
        <v>267</v>
      </c>
      <c r="C58" s="137">
        <v>2018</v>
      </c>
      <c r="D58" s="137" t="s">
        <v>776</v>
      </c>
      <c r="E58" s="137" t="s">
        <v>747</v>
      </c>
      <c r="F58" s="137">
        <v>203</v>
      </c>
      <c r="G58" s="137" t="s">
        <v>193</v>
      </c>
      <c r="H58" s="137" t="s">
        <v>193</v>
      </c>
      <c r="I58" s="137" t="s">
        <v>193</v>
      </c>
      <c r="J58" s="137" t="s">
        <v>53</v>
      </c>
      <c r="K58" s="137" t="s">
        <v>193</v>
      </c>
      <c r="L58" s="137" t="s">
        <v>193</v>
      </c>
      <c r="M58" s="137" t="s">
        <v>193</v>
      </c>
      <c r="N58" s="137" t="s">
        <v>193</v>
      </c>
      <c r="O58" s="137" t="s">
        <v>193</v>
      </c>
      <c r="P58" s="137" t="s">
        <v>53</v>
      </c>
      <c r="Q58" s="137" t="s">
        <v>193</v>
      </c>
      <c r="R58" s="137" t="s">
        <v>193</v>
      </c>
      <c r="S58" s="137" t="s">
        <v>193</v>
      </c>
      <c r="T58" s="137" t="s">
        <v>193</v>
      </c>
      <c r="U58" s="137" t="s">
        <v>193</v>
      </c>
      <c r="X58" s="12">
        <f t="shared" si="0"/>
        <v>238.82352941176472</v>
      </c>
    </row>
    <row r="59" spans="1:24" ht="15" customHeight="1" x14ac:dyDescent="0.25">
      <c r="A59" s="137" t="s">
        <v>263</v>
      </c>
      <c r="B59" s="137" t="s">
        <v>269</v>
      </c>
      <c r="C59" s="137">
        <v>2018</v>
      </c>
      <c r="D59" s="137" t="s">
        <v>53</v>
      </c>
      <c r="E59" s="137" t="s">
        <v>193</v>
      </c>
      <c r="F59" s="137" t="s">
        <v>193</v>
      </c>
      <c r="G59" s="137" t="s">
        <v>193</v>
      </c>
      <c r="H59" s="137" t="s">
        <v>193</v>
      </c>
      <c r="I59" s="137" t="s">
        <v>193</v>
      </c>
      <c r="J59" s="137" t="s">
        <v>53</v>
      </c>
      <c r="K59" s="137" t="s">
        <v>193</v>
      </c>
      <c r="L59" s="137" t="s">
        <v>193</v>
      </c>
      <c r="M59" s="137" t="s">
        <v>193</v>
      </c>
      <c r="N59" s="137" t="s">
        <v>193</v>
      </c>
      <c r="O59" s="137" t="s">
        <v>193</v>
      </c>
      <c r="P59" s="137" t="s">
        <v>53</v>
      </c>
      <c r="Q59" s="137" t="s">
        <v>193</v>
      </c>
      <c r="R59" s="137" t="s">
        <v>193</v>
      </c>
      <c r="S59" s="137" t="s">
        <v>193</v>
      </c>
      <c r="T59" s="137" t="s">
        <v>193</v>
      </c>
      <c r="U59" s="137" t="s">
        <v>193</v>
      </c>
      <c r="X59" s="12">
        <f t="shared" si="0"/>
        <v>0</v>
      </c>
    </row>
    <row r="60" spans="1:24" ht="15" customHeight="1" x14ac:dyDescent="0.25">
      <c r="A60" s="137" t="s">
        <v>263</v>
      </c>
      <c r="B60" s="137" t="s">
        <v>270</v>
      </c>
      <c r="C60" s="137">
        <v>2018</v>
      </c>
      <c r="D60" s="137" t="s">
        <v>53</v>
      </c>
      <c r="E60" s="137" t="s">
        <v>193</v>
      </c>
      <c r="F60" s="137" t="s">
        <v>193</v>
      </c>
      <c r="G60" s="137" t="s">
        <v>193</v>
      </c>
      <c r="H60" s="137" t="s">
        <v>193</v>
      </c>
      <c r="I60" s="137" t="s">
        <v>193</v>
      </c>
      <c r="J60" s="137" t="s">
        <v>53</v>
      </c>
      <c r="K60" s="137" t="s">
        <v>193</v>
      </c>
      <c r="L60" s="137" t="s">
        <v>193</v>
      </c>
      <c r="M60" s="137" t="s">
        <v>193</v>
      </c>
      <c r="N60" s="137" t="s">
        <v>193</v>
      </c>
      <c r="O60" s="137" t="s">
        <v>193</v>
      </c>
      <c r="P60" s="137" t="s">
        <v>53</v>
      </c>
      <c r="Q60" s="137" t="s">
        <v>193</v>
      </c>
      <c r="R60" s="137" t="s">
        <v>193</v>
      </c>
      <c r="S60" s="137" t="s">
        <v>193</v>
      </c>
      <c r="T60" s="137" t="s">
        <v>193</v>
      </c>
      <c r="U60" s="137" t="s">
        <v>193</v>
      </c>
      <c r="X60" s="12">
        <f t="shared" si="0"/>
        <v>0</v>
      </c>
    </row>
    <row r="61" spans="1:24" ht="15" customHeight="1" x14ac:dyDescent="0.25">
      <c r="A61" s="137" t="s">
        <v>263</v>
      </c>
      <c r="B61" s="137" t="s">
        <v>272</v>
      </c>
      <c r="C61" s="137">
        <v>2018</v>
      </c>
      <c r="D61" s="137" t="s">
        <v>53</v>
      </c>
      <c r="E61" s="137" t="s">
        <v>193</v>
      </c>
      <c r="F61" s="137" t="s">
        <v>193</v>
      </c>
      <c r="G61" s="137" t="s">
        <v>193</v>
      </c>
      <c r="H61" s="137" t="s">
        <v>193</v>
      </c>
      <c r="I61" s="137" t="s">
        <v>193</v>
      </c>
      <c r="J61" s="137" t="s">
        <v>53</v>
      </c>
      <c r="K61" s="137" t="s">
        <v>193</v>
      </c>
      <c r="L61" s="137" t="s">
        <v>193</v>
      </c>
      <c r="M61" s="137" t="s">
        <v>193</v>
      </c>
      <c r="N61" s="137" t="s">
        <v>193</v>
      </c>
      <c r="O61" s="137" t="s">
        <v>193</v>
      </c>
      <c r="P61" s="137" t="s">
        <v>53</v>
      </c>
      <c r="Q61" s="137" t="s">
        <v>193</v>
      </c>
      <c r="R61" s="137" t="s">
        <v>193</v>
      </c>
      <c r="S61" s="137" t="s">
        <v>193</v>
      </c>
      <c r="T61" s="137" t="s">
        <v>193</v>
      </c>
      <c r="U61" s="137" t="s">
        <v>193</v>
      </c>
      <c r="X61" s="12">
        <f t="shared" si="0"/>
        <v>0</v>
      </c>
    </row>
    <row r="62" spans="1:24" ht="15" customHeight="1" x14ac:dyDescent="0.25">
      <c r="A62" s="137" t="s">
        <v>263</v>
      </c>
      <c r="B62" s="137" t="s">
        <v>273</v>
      </c>
      <c r="C62" s="137">
        <v>2018</v>
      </c>
      <c r="D62" s="137" t="s">
        <v>53</v>
      </c>
      <c r="E62" s="137" t="s">
        <v>193</v>
      </c>
      <c r="F62" s="137" t="s">
        <v>193</v>
      </c>
      <c r="G62" s="137" t="s">
        <v>193</v>
      </c>
      <c r="H62" s="137" t="s">
        <v>193</v>
      </c>
      <c r="I62" s="137" t="s">
        <v>193</v>
      </c>
      <c r="J62" s="137" t="s">
        <v>53</v>
      </c>
      <c r="K62" s="137" t="s">
        <v>193</v>
      </c>
      <c r="L62" s="137" t="s">
        <v>193</v>
      </c>
      <c r="M62" s="137" t="s">
        <v>193</v>
      </c>
      <c r="N62" s="137" t="s">
        <v>193</v>
      </c>
      <c r="O62" s="137" t="s">
        <v>193</v>
      </c>
      <c r="P62" s="137" t="s">
        <v>53</v>
      </c>
      <c r="Q62" s="137" t="s">
        <v>193</v>
      </c>
      <c r="R62" s="137" t="s">
        <v>193</v>
      </c>
      <c r="S62" s="137" t="s">
        <v>193</v>
      </c>
      <c r="T62" s="137" t="s">
        <v>193</v>
      </c>
      <c r="U62" s="137" t="s">
        <v>193</v>
      </c>
      <c r="X62" s="12">
        <f t="shared" si="0"/>
        <v>0</v>
      </c>
    </row>
    <row r="63" spans="1:24" ht="15" customHeight="1" x14ac:dyDescent="0.25">
      <c r="A63" s="137" t="s">
        <v>263</v>
      </c>
      <c r="B63" s="137" t="s">
        <v>274</v>
      </c>
      <c r="C63" s="137">
        <v>2018</v>
      </c>
      <c r="D63" s="137" t="s">
        <v>53</v>
      </c>
      <c r="E63" s="137" t="s">
        <v>193</v>
      </c>
      <c r="F63" s="137" t="s">
        <v>193</v>
      </c>
      <c r="G63" s="137" t="s">
        <v>193</v>
      </c>
      <c r="H63" s="137" t="s">
        <v>193</v>
      </c>
      <c r="I63" s="137" t="s">
        <v>193</v>
      </c>
      <c r="J63" s="137" t="s">
        <v>53</v>
      </c>
      <c r="K63" s="137" t="s">
        <v>193</v>
      </c>
      <c r="L63" s="137" t="s">
        <v>193</v>
      </c>
      <c r="M63" s="137" t="s">
        <v>193</v>
      </c>
      <c r="N63" s="137" t="s">
        <v>193</v>
      </c>
      <c r="O63" s="137" t="s">
        <v>193</v>
      </c>
      <c r="P63" s="137" t="s">
        <v>53</v>
      </c>
      <c r="Q63" s="137" t="s">
        <v>193</v>
      </c>
      <c r="R63" s="137" t="s">
        <v>193</v>
      </c>
      <c r="S63" s="137" t="s">
        <v>193</v>
      </c>
      <c r="T63" s="137" t="s">
        <v>193</v>
      </c>
      <c r="U63" s="137" t="s">
        <v>193</v>
      </c>
      <c r="X63" s="12">
        <f t="shared" si="0"/>
        <v>0</v>
      </c>
    </row>
    <row r="64" spans="1:24" ht="15" customHeight="1" x14ac:dyDescent="0.25">
      <c r="A64" s="137" t="s">
        <v>263</v>
      </c>
      <c r="B64" s="137" t="s">
        <v>275</v>
      </c>
      <c r="C64" s="137">
        <v>2018</v>
      </c>
      <c r="D64" s="137" t="s">
        <v>53</v>
      </c>
      <c r="E64" s="137" t="s">
        <v>193</v>
      </c>
      <c r="F64" s="137" t="s">
        <v>193</v>
      </c>
      <c r="G64" s="137" t="s">
        <v>193</v>
      </c>
      <c r="H64" s="137" t="s">
        <v>193</v>
      </c>
      <c r="I64" s="137" t="s">
        <v>193</v>
      </c>
      <c r="J64" s="137" t="s">
        <v>53</v>
      </c>
      <c r="K64" s="137" t="s">
        <v>193</v>
      </c>
      <c r="L64" s="137" t="s">
        <v>193</v>
      </c>
      <c r="M64" s="137" t="s">
        <v>193</v>
      </c>
      <c r="N64" s="137" t="s">
        <v>193</v>
      </c>
      <c r="O64" s="137" t="s">
        <v>193</v>
      </c>
      <c r="P64" s="137" t="s">
        <v>53</v>
      </c>
      <c r="Q64" s="137" t="s">
        <v>193</v>
      </c>
      <c r="R64" s="137" t="s">
        <v>193</v>
      </c>
      <c r="S64" s="137" t="s">
        <v>193</v>
      </c>
      <c r="T64" s="137" t="s">
        <v>193</v>
      </c>
      <c r="U64" s="137" t="s">
        <v>193</v>
      </c>
      <c r="X64" s="12">
        <f t="shared" si="0"/>
        <v>0</v>
      </c>
    </row>
    <row r="65" spans="1:24" ht="15" customHeight="1" x14ac:dyDescent="0.25">
      <c r="A65" s="137" t="s">
        <v>263</v>
      </c>
      <c r="B65" s="137" t="s">
        <v>276</v>
      </c>
      <c r="C65" s="137">
        <v>2018</v>
      </c>
      <c r="D65" s="137" t="s">
        <v>53</v>
      </c>
      <c r="E65" s="137" t="s">
        <v>193</v>
      </c>
      <c r="F65" s="137" t="s">
        <v>193</v>
      </c>
      <c r="G65" s="137" t="s">
        <v>193</v>
      </c>
      <c r="H65" s="137" t="s">
        <v>193</v>
      </c>
      <c r="I65" s="137" t="s">
        <v>193</v>
      </c>
      <c r="J65" s="137" t="s">
        <v>53</v>
      </c>
      <c r="K65" s="137" t="s">
        <v>193</v>
      </c>
      <c r="L65" s="137" t="s">
        <v>193</v>
      </c>
      <c r="M65" s="137" t="s">
        <v>193</v>
      </c>
      <c r="N65" s="137" t="s">
        <v>193</v>
      </c>
      <c r="O65" s="137" t="s">
        <v>193</v>
      </c>
      <c r="P65" s="137" t="s">
        <v>53</v>
      </c>
      <c r="Q65" s="137" t="s">
        <v>193</v>
      </c>
      <c r="R65" s="137" t="s">
        <v>193</v>
      </c>
      <c r="S65" s="137" t="s">
        <v>193</v>
      </c>
      <c r="T65" s="137" t="s">
        <v>193</v>
      </c>
      <c r="U65" s="137" t="s">
        <v>193</v>
      </c>
      <c r="X65" s="12">
        <f t="shared" si="0"/>
        <v>0</v>
      </c>
    </row>
    <row r="66" spans="1:24" ht="15" customHeight="1" x14ac:dyDescent="0.25">
      <c r="A66" s="137" t="s">
        <v>277</v>
      </c>
      <c r="B66" s="137" t="s">
        <v>277</v>
      </c>
      <c r="C66" s="137">
        <v>2018</v>
      </c>
      <c r="D66" s="137" t="s">
        <v>53</v>
      </c>
      <c r="E66" s="137" t="s">
        <v>53</v>
      </c>
      <c r="F66" s="137" t="s">
        <v>53</v>
      </c>
      <c r="G66" s="137" t="s">
        <v>53</v>
      </c>
      <c r="H66" s="137" t="s">
        <v>53</v>
      </c>
      <c r="I66" s="137" t="s">
        <v>53</v>
      </c>
      <c r="J66" s="137" t="s">
        <v>53</v>
      </c>
      <c r="K66" s="137" t="s">
        <v>53</v>
      </c>
      <c r="L66" s="137" t="s">
        <v>53</v>
      </c>
      <c r="M66" s="137" t="s">
        <v>53</v>
      </c>
      <c r="N66" s="137" t="s">
        <v>53</v>
      </c>
      <c r="O66" s="137" t="s">
        <v>53</v>
      </c>
      <c r="P66" s="137" t="s">
        <v>53</v>
      </c>
      <c r="Q66" s="137" t="s">
        <v>53</v>
      </c>
      <c r="R66" s="137" t="s">
        <v>53</v>
      </c>
      <c r="S66" s="137" t="s">
        <v>53</v>
      </c>
      <c r="T66" s="137" t="s">
        <v>53</v>
      </c>
      <c r="U66" s="137" t="s">
        <v>53</v>
      </c>
      <c r="X66" s="12">
        <f t="shared" ref="X66:X129" si="1">(IF(E66="Avfall",F66,0)+IF(G66="Avfall",H66,0))/IFERROR(I66/100,0.85)+(IF(K66="Avfall",L66,0)+IF(M66="Avfall",N66,0))/IFERROR(O66/100,0.85)+(IF(Q66="avfall",R66,0)+IF(S66="avfall",T66,0))/IFERROR(U66/100,0.85)</f>
        <v>0</v>
      </c>
    </row>
    <row r="67" spans="1:24" ht="15" customHeight="1" x14ac:dyDescent="0.25">
      <c r="A67" s="137" t="s">
        <v>277</v>
      </c>
      <c r="B67" s="137" t="s">
        <v>278</v>
      </c>
      <c r="C67" s="137">
        <v>2018</v>
      </c>
      <c r="D67" s="137" t="s">
        <v>53</v>
      </c>
      <c r="E67" s="137" t="s">
        <v>53</v>
      </c>
      <c r="F67" s="137" t="s">
        <v>53</v>
      </c>
      <c r="G67" s="137" t="s">
        <v>53</v>
      </c>
      <c r="H67" s="137" t="s">
        <v>53</v>
      </c>
      <c r="I67" s="137" t="s">
        <v>53</v>
      </c>
      <c r="J67" s="137" t="s">
        <v>53</v>
      </c>
      <c r="K67" s="137" t="s">
        <v>53</v>
      </c>
      <c r="L67" s="137" t="s">
        <v>53</v>
      </c>
      <c r="M67" s="137" t="s">
        <v>53</v>
      </c>
      <c r="N67" s="137" t="s">
        <v>53</v>
      </c>
      <c r="O67" s="137" t="s">
        <v>53</v>
      </c>
      <c r="P67" s="137" t="s">
        <v>53</v>
      </c>
      <c r="Q67" s="137" t="s">
        <v>53</v>
      </c>
      <c r="R67" s="137" t="s">
        <v>53</v>
      </c>
      <c r="S67" s="137" t="s">
        <v>53</v>
      </c>
      <c r="T67" s="137" t="s">
        <v>53</v>
      </c>
      <c r="U67" s="137" t="s">
        <v>53</v>
      </c>
      <c r="X67" s="12">
        <f t="shared" si="1"/>
        <v>0</v>
      </c>
    </row>
    <row r="68" spans="1:24" ht="15" customHeight="1" x14ac:dyDescent="0.25">
      <c r="A68" s="137" t="s">
        <v>279</v>
      </c>
      <c r="B68" s="137" t="s">
        <v>280</v>
      </c>
      <c r="C68" s="137">
        <v>2018</v>
      </c>
      <c r="D68" s="137" t="s">
        <v>777</v>
      </c>
      <c r="E68" s="137" t="s">
        <v>769</v>
      </c>
      <c r="F68" s="137">
        <v>1.64</v>
      </c>
      <c r="G68" s="137" t="s">
        <v>193</v>
      </c>
      <c r="H68" s="137" t="s">
        <v>193</v>
      </c>
      <c r="I68" s="137" t="s">
        <v>193</v>
      </c>
      <c r="J68" s="137" t="s">
        <v>53</v>
      </c>
      <c r="K68" s="137" t="s">
        <v>193</v>
      </c>
      <c r="L68" s="137" t="s">
        <v>193</v>
      </c>
      <c r="M68" s="137" t="s">
        <v>193</v>
      </c>
      <c r="N68" s="137" t="s">
        <v>193</v>
      </c>
      <c r="O68" s="137" t="s">
        <v>193</v>
      </c>
      <c r="P68" s="137" t="s">
        <v>53</v>
      </c>
      <c r="Q68" s="137" t="s">
        <v>193</v>
      </c>
      <c r="R68" s="137" t="s">
        <v>193</v>
      </c>
      <c r="S68" s="137" t="s">
        <v>193</v>
      </c>
      <c r="T68" s="137" t="s">
        <v>193</v>
      </c>
      <c r="U68" s="137" t="s">
        <v>193</v>
      </c>
      <c r="X68" s="12">
        <f t="shared" si="1"/>
        <v>0</v>
      </c>
    </row>
    <row r="69" spans="1:24" ht="15" customHeight="1" x14ac:dyDescent="0.25">
      <c r="A69" s="137" t="s">
        <v>279</v>
      </c>
      <c r="B69" s="137" t="s">
        <v>281</v>
      </c>
      <c r="C69" s="137">
        <v>2018</v>
      </c>
      <c r="D69" s="137" t="s">
        <v>53</v>
      </c>
      <c r="E69" s="137" t="s">
        <v>193</v>
      </c>
      <c r="F69" s="137" t="s">
        <v>193</v>
      </c>
      <c r="G69" s="137" t="s">
        <v>193</v>
      </c>
      <c r="H69" s="137" t="s">
        <v>193</v>
      </c>
      <c r="I69" s="137" t="s">
        <v>193</v>
      </c>
      <c r="J69" s="137" t="s">
        <v>53</v>
      </c>
      <c r="K69" s="137" t="s">
        <v>193</v>
      </c>
      <c r="L69" s="137" t="s">
        <v>193</v>
      </c>
      <c r="M69" s="137" t="s">
        <v>193</v>
      </c>
      <c r="N69" s="137" t="s">
        <v>193</v>
      </c>
      <c r="O69" s="137" t="s">
        <v>193</v>
      </c>
      <c r="P69" s="137" t="s">
        <v>53</v>
      </c>
      <c r="Q69" s="137" t="s">
        <v>193</v>
      </c>
      <c r="R69" s="137" t="s">
        <v>193</v>
      </c>
      <c r="S69" s="137" t="s">
        <v>193</v>
      </c>
      <c r="T69" s="137" t="s">
        <v>193</v>
      </c>
      <c r="U69" s="137" t="s">
        <v>193</v>
      </c>
      <c r="X69" s="12">
        <f t="shared" si="1"/>
        <v>0</v>
      </c>
    </row>
    <row r="70" spans="1:24" ht="15" customHeight="1" x14ac:dyDescent="0.25">
      <c r="A70" s="137" t="s">
        <v>279</v>
      </c>
      <c r="B70" s="137" t="s">
        <v>282</v>
      </c>
      <c r="C70" s="137">
        <v>2018</v>
      </c>
      <c r="D70" s="137" t="s">
        <v>53</v>
      </c>
      <c r="E70" s="137" t="s">
        <v>193</v>
      </c>
      <c r="F70" s="137" t="s">
        <v>193</v>
      </c>
      <c r="G70" s="137" t="s">
        <v>193</v>
      </c>
      <c r="H70" s="137" t="s">
        <v>193</v>
      </c>
      <c r="I70" s="137" t="s">
        <v>193</v>
      </c>
      <c r="J70" s="137" t="s">
        <v>53</v>
      </c>
      <c r="K70" s="137" t="s">
        <v>193</v>
      </c>
      <c r="L70" s="137" t="s">
        <v>193</v>
      </c>
      <c r="M70" s="137" t="s">
        <v>193</v>
      </c>
      <c r="N70" s="137" t="s">
        <v>193</v>
      </c>
      <c r="O70" s="137" t="s">
        <v>193</v>
      </c>
      <c r="P70" s="137" t="s">
        <v>53</v>
      </c>
      <c r="Q70" s="137" t="s">
        <v>193</v>
      </c>
      <c r="R70" s="137" t="s">
        <v>193</v>
      </c>
      <c r="S70" s="137" t="s">
        <v>193</v>
      </c>
      <c r="T70" s="137" t="s">
        <v>193</v>
      </c>
      <c r="U70" s="137" t="s">
        <v>193</v>
      </c>
      <c r="X70" s="12">
        <f t="shared" si="1"/>
        <v>0</v>
      </c>
    </row>
    <row r="71" spans="1:24" ht="15" customHeight="1" x14ac:dyDescent="0.25">
      <c r="A71" s="137" t="s">
        <v>47</v>
      </c>
      <c r="B71" s="141" t="s">
        <v>48</v>
      </c>
      <c r="C71" s="137">
        <v>2018</v>
      </c>
      <c r="D71" s="137" t="s">
        <v>53</v>
      </c>
      <c r="E71" s="137" t="s">
        <v>53</v>
      </c>
      <c r="F71" s="137" t="s">
        <v>53</v>
      </c>
      <c r="G71" s="137" t="s">
        <v>53</v>
      </c>
      <c r="H71" s="137" t="s">
        <v>53</v>
      </c>
      <c r="I71" s="137" t="s">
        <v>53</v>
      </c>
      <c r="J71" s="137" t="s">
        <v>53</v>
      </c>
      <c r="K71" s="137" t="s">
        <v>53</v>
      </c>
      <c r="L71" s="137" t="s">
        <v>53</v>
      </c>
      <c r="M71" s="137" t="s">
        <v>53</v>
      </c>
      <c r="N71" s="137" t="s">
        <v>53</v>
      </c>
      <c r="O71" s="137" t="s">
        <v>53</v>
      </c>
      <c r="P71" s="137" t="s">
        <v>53</v>
      </c>
      <c r="Q71" s="137" t="s">
        <v>53</v>
      </c>
      <c r="R71" s="137" t="s">
        <v>53</v>
      </c>
      <c r="S71" s="137" t="s">
        <v>53</v>
      </c>
      <c r="T71" s="137" t="s">
        <v>53</v>
      </c>
      <c r="U71" s="137" t="s">
        <v>53</v>
      </c>
      <c r="X71" s="12">
        <f t="shared" si="1"/>
        <v>0</v>
      </c>
    </row>
    <row r="72" spans="1:24" ht="15" customHeight="1" x14ac:dyDescent="0.25">
      <c r="A72" s="137" t="s">
        <v>283</v>
      </c>
      <c r="B72" s="137" t="s">
        <v>284</v>
      </c>
      <c r="C72" s="137">
        <v>2018</v>
      </c>
      <c r="D72" s="137" t="s">
        <v>53</v>
      </c>
      <c r="E72" s="137" t="s">
        <v>193</v>
      </c>
      <c r="F72" s="137" t="s">
        <v>193</v>
      </c>
      <c r="G72" s="137" t="s">
        <v>193</v>
      </c>
      <c r="H72" s="137" t="s">
        <v>193</v>
      </c>
      <c r="I72" s="137" t="s">
        <v>193</v>
      </c>
      <c r="J72" s="137" t="s">
        <v>53</v>
      </c>
      <c r="K72" s="137" t="s">
        <v>193</v>
      </c>
      <c r="L72" s="137" t="s">
        <v>193</v>
      </c>
      <c r="M72" s="137" t="s">
        <v>193</v>
      </c>
      <c r="N72" s="137" t="s">
        <v>193</v>
      </c>
      <c r="O72" s="137" t="s">
        <v>193</v>
      </c>
      <c r="P72" s="137" t="s">
        <v>53</v>
      </c>
      <c r="Q72" s="137" t="s">
        <v>193</v>
      </c>
      <c r="R72" s="137" t="s">
        <v>193</v>
      </c>
      <c r="S72" s="137" t="s">
        <v>193</v>
      </c>
      <c r="T72" s="137" t="s">
        <v>193</v>
      </c>
      <c r="U72" s="137" t="s">
        <v>193</v>
      </c>
      <c r="X72" s="12">
        <f t="shared" si="1"/>
        <v>0</v>
      </c>
    </row>
    <row r="73" spans="1:24" ht="15" customHeight="1" x14ac:dyDescent="0.25">
      <c r="A73" s="137" t="s">
        <v>285</v>
      </c>
      <c r="B73" s="137" t="s">
        <v>286</v>
      </c>
      <c r="C73" s="137">
        <v>2018</v>
      </c>
      <c r="D73" s="137" t="s">
        <v>193</v>
      </c>
      <c r="E73" s="137" t="s">
        <v>193</v>
      </c>
      <c r="F73" s="137" t="s">
        <v>193</v>
      </c>
      <c r="G73" s="137" t="s">
        <v>193</v>
      </c>
      <c r="H73" s="137" t="s">
        <v>193</v>
      </c>
      <c r="I73" s="137" t="s">
        <v>193</v>
      </c>
      <c r="J73" s="137" t="s">
        <v>193</v>
      </c>
      <c r="K73" s="137" t="s">
        <v>193</v>
      </c>
      <c r="L73" s="137" t="s">
        <v>193</v>
      </c>
      <c r="M73" s="137" t="s">
        <v>193</v>
      </c>
      <c r="N73" s="137" t="s">
        <v>193</v>
      </c>
      <c r="O73" s="137" t="s">
        <v>193</v>
      </c>
      <c r="P73" s="137" t="s">
        <v>193</v>
      </c>
      <c r="Q73" s="137" t="s">
        <v>193</v>
      </c>
      <c r="R73" s="137" t="s">
        <v>193</v>
      </c>
      <c r="S73" s="137" t="s">
        <v>193</v>
      </c>
      <c r="T73" s="137" t="s">
        <v>193</v>
      </c>
      <c r="U73" s="137" t="s">
        <v>193</v>
      </c>
      <c r="X73" s="12">
        <f t="shared" si="1"/>
        <v>0</v>
      </c>
    </row>
    <row r="74" spans="1:24" ht="15" customHeight="1" x14ac:dyDescent="0.25">
      <c r="A74" s="137" t="s">
        <v>289</v>
      </c>
      <c r="B74" s="137" t="s">
        <v>290</v>
      </c>
      <c r="C74" s="137">
        <v>2018</v>
      </c>
      <c r="D74" s="137" t="s">
        <v>53</v>
      </c>
      <c r="E74" s="137" t="s">
        <v>193</v>
      </c>
      <c r="F74" s="137" t="s">
        <v>193</v>
      </c>
      <c r="G74" s="137" t="s">
        <v>193</v>
      </c>
      <c r="H74" s="137" t="s">
        <v>193</v>
      </c>
      <c r="I74" s="137" t="s">
        <v>193</v>
      </c>
      <c r="J74" s="137" t="s">
        <v>53</v>
      </c>
      <c r="K74" s="137" t="s">
        <v>193</v>
      </c>
      <c r="L74" s="137" t="s">
        <v>193</v>
      </c>
      <c r="M74" s="137" t="s">
        <v>193</v>
      </c>
      <c r="N74" s="137" t="s">
        <v>193</v>
      </c>
      <c r="O74" s="137" t="s">
        <v>193</v>
      </c>
      <c r="P74" s="137" t="s">
        <v>53</v>
      </c>
      <c r="Q74" s="137" t="s">
        <v>193</v>
      </c>
      <c r="R74" s="137" t="s">
        <v>193</v>
      </c>
      <c r="S74" s="137" t="s">
        <v>193</v>
      </c>
      <c r="T74" s="137" t="s">
        <v>193</v>
      </c>
      <c r="U74" s="137" t="s">
        <v>193</v>
      </c>
      <c r="X74" s="12">
        <f t="shared" si="1"/>
        <v>0</v>
      </c>
    </row>
    <row r="75" spans="1:24" ht="15" customHeight="1" x14ac:dyDescent="0.25">
      <c r="A75" s="137" t="s">
        <v>289</v>
      </c>
      <c r="B75" s="137" t="s">
        <v>291</v>
      </c>
      <c r="C75" s="137">
        <v>2018</v>
      </c>
      <c r="D75" s="137" t="s">
        <v>53</v>
      </c>
      <c r="E75" s="137" t="s">
        <v>193</v>
      </c>
      <c r="F75" s="137" t="s">
        <v>193</v>
      </c>
      <c r="G75" s="137" t="s">
        <v>193</v>
      </c>
      <c r="H75" s="137" t="s">
        <v>193</v>
      </c>
      <c r="I75" s="137" t="s">
        <v>193</v>
      </c>
      <c r="J75" s="137" t="s">
        <v>53</v>
      </c>
      <c r="K75" s="137" t="s">
        <v>193</v>
      </c>
      <c r="L75" s="137" t="s">
        <v>193</v>
      </c>
      <c r="M75" s="137" t="s">
        <v>193</v>
      </c>
      <c r="N75" s="137" t="s">
        <v>193</v>
      </c>
      <c r="O75" s="137" t="s">
        <v>193</v>
      </c>
      <c r="P75" s="137" t="s">
        <v>53</v>
      </c>
      <c r="Q75" s="137" t="s">
        <v>193</v>
      </c>
      <c r="R75" s="137" t="s">
        <v>193</v>
      </c>
      <c r="S75" s="137" t="s">
        <v>193</v>
      </c>
      <c r="T75" s="137" t="s">
        <v>193</v>
      </c>
      <c r="U75" s="137" t="s">
        <v>193</v>
      </c>
      <c r="X75" s="12">
        <f t="shared" si="1"/>
        <v>0</v>
      </c>
    </row>
    <row r="76" spans="1:24" ht="15" customHeight="1" x14ac:dyDescent="0.25">
      <c r="A76" s="137" t="s">
        <v>289</v>
      </c>
      <c r="B76" s="137" t="s">
        <v>292</v>
      </c>
      <c r="C76" s="137">
        <v>2018</v>
      </c>
      <c r="D76" s="137" t="s">
        <v>53</v>
      </c>
      <c r="E76" s="137" t="s">
        <v>193</v>
      </c>
      <c r="F76" s="137" t="s">
        <v>193</v>
      </c>
      <c r="G76" s="137" t="s">
        <v>193</v>
      </c>
      <c r="H76" s="137" t="s">
        <v>193</v>
      </c>
      <c r="I76" s="137" t="s">
        <v>193</v>
      </c>
      <c r="J76" s="137" t="s">
        <v>53</v>
      </c>
      <c r="K76" s="137" t="s">
        <v>193</v>
      </c>
      <c r="L76" s="137" t="s">
        <v>193</v>
      </c>
      <c r="M76" s="137" t="s">
        <v>193</v>
      </c>
      <c r="N76" s="137" t="s">
        <v>193</v>
      </c>
      <c r="O76" s="137" t="s">
        <v>193</v>
      </c>
      <c r="P76" s="137" t="s">
        <v>53</v>
      </c>
      <c r="Q76" s="137" t="s">
        <v>193</v>
      </c>
      <c r="R76" s="137" t="s">
        <v>193</v>
      </c>
      <c r="S76" s="137" t="s">
        <v>193</v>
      </c>
      <c r="T76" s="137" t="s">
        <v>193</v>
      </c>
      <c r="U76" s="137" t="s">
        <v>193</v>
      </c>
      <c r="X76" s="12">
        <f t="shared" si="1"/>
        <v>0</v>
      </c>
    </row>
    <row r="77" spans="1:24" ht="15" customHeight="1" x14ac:dyDescent="0.25">
      <c r="A77" s="137" t="s">
        <v>293</v>
      </c>
      <c r="B77" s="137" t="s">
        <v>294</v>
      </c>
      <c r="C77" s="137">
        <v>2018</v>
      </c>
      <c r="D77" s="137" t="s">
        <v>193</v>
      </c>
      <c r="E77" s="137" t="s">
        <v>193</v>
      </c>
      <c r="F77" s="137" t="s">
        <v>193</v>
      </c>
      <c r="G77" s="137" t="s">
        <v>193</v>
      </c>
      <c r="H77" s="137" t="s">
        <v>193</v>
      </c>
      <c r="I77" s="137" t="s">
        <v>193</v>
      </c>
      <c r="J77" s="137" t="s">
        <v>193</v>
      </c>
      <c r="K77" s="137" t="s">
        <v>193</v>
      </c>
      <c r="L77" s="137" t="s">
        <v>193</v>
      </c>
      <c r="M77" s="137" t="s">
        <v>193</v>
      </c>
      <c r="N77" s="137" t="s">
        <v>193</v>
      </c>
      <c r="O77" s="137" t="s">
        <v>193</v>
      </c>
      <c r="P77" s="137" t="s">
        <v>193</v>
      </c>
      <c r="Q77" s="137" t="s">
        <v>193</v>
      </c>
      <c r="R77" s="137" t="s">
        <v>193</v>
      </c>
      <c r="S77" s="137" t="s">
        <v>193</v>
      </c>
      <c r="T77" s="137" t="s">
        <v>193</v>
      </c>
      <c r="U77" s="137" t="s">
        <v>193</v>
      </c>
      <c r="X77" s="12">
        <f t="shared" si="1"/>
        <v>0</v>
      </c>
    </row>
    <row r="78" spans="1:24" ht="15" customHeight="1" x14ac:dyDescent="0.25">
      <c r="A78" s="137" t="s">
        <v>293</v>
      </c>
      <c r="B78" s="137" t="s">
        <v>295</v>
      </c>
      <c r="C78" s="137">
        <v>2018</v>
      </c>
      <c r="D78" s="137" t="s">
        <v>219</v>
      </c>
      <c r="E78" s="137" t="s">
        <v>193</v>
      </c>
      <c r="F78" s="137" t="s">
        <v>193</v>
      </c>
      <c r="G78" s="137" t="s">
        <v>193</v>
      </c>
      <c r="H78" s="137" t="s">
        <v>193</v>
      </c>
      <c r="I78" s="137" t="s">
        <v>193</v>
      </c>
      <c r="J78" s="137" t="s">
        <v>53</v>
      </c>
      <c r="K78" s="137" t="s">
        <v>193</v>
      </c>
      <c r="L78" s="137" t="s">
        <v>193</v>
      </c>
      <c r="M78" s="137" t="s">
        <v>193</v>
      </c>
      <c r="N78" s="137" t="s">
        <v>193</v>
      </c>
      <c r="O78" s="137" t="s">
        <v>193</v>
      </c>
      <c r="P78" s="137" t="s">
        <v>53</v>
      </c>
      <c r="Q78" s="137" t="s">
        <v>193</v>
      </c>
      <c r="R78" s="137" t="s">
        <v>193</v>
      </c>
      <c r="S78" s="137" t="s">
        <v>193</v>
      </c>
      <c r="T78" s="137" t="s">
        <v>193</v>
      </c>
      <c r="U78" s="137" t="s">
        <v>193</v>
      </c>
      <c r="X78" s="12">
        <f t="shared" si="1"/>
        <v>0</v>
      </c>
    </row>
    <row r="79" spans="1:24" ht="15" customHeight="1" x14ac:dyDescent="0.25">
      <c r="A79" s="137" t="s">
        <v>293</v>
      </c>
      <c r="B79" s="137" t="s">
        <v>296</v>
      </c>
      <c r="C79" s="137">
        <v>2018</v>
      </c>
      <c r="D79" s="137" t="s">
        <v>53</v>
      </c>
      <c r="E79" s="137" t="s">
        <v>193</v>
      </c>
      <c r="F79" s="137" t="s">
        <v>193</v>
      </c>
      <c r="G79" s="137" t="s">
        <v>193</v>
      </c>
      <c r="H79" s="137" t="s">
        <v>193</v>
      </c>
      <c r="I79" s="137" t="s">
        <v>193</v>
      </c>
      <c r="J79" s="137" t="s">
        <v>53</v>
      </c>
      <c r="K79" s="137" t="s">
        <v>193</v>
      </c>
      <c r="L79" s="137" t="s">
        <v>193</v>
      </c>
      <c r="M79" s="137" t="s">
        <v>193</v>
      </c>
      <c r="N79" s="137" t="s">
        <v>193</v>
      </c>
      <c r="O79" s="137" t="s">
        <v>193</v>
      </c>
      <c r="P79" s="137" t="s">
        <v>193</v>
      </c>
      <c r="Q79" s="137" t="s">
        <v>193</v>
      </c>
      <c r="R79" s="137" t="s">
        <v>193</v>
      </c>
      <c r="S79" s="137" t="s">
        <v>193</v>
      </c>
      <c r="T79" s="137" t="s">
        <v>193</v>
      </c>
      <c r="U79" s="137" t="s">
        <v>193</v>
      </c>
      <c r="X79" s="12">
        <f t="shared" si="1"/>
        <v>0</v>
      </c>
    </row>
    <row r="80" spans="1:24" ht="15" customHeight="1" x14ac:dyDescent="0.25">
      <c r="A80" s="137" t="s">
        <v>297</v>
      </c>
      <c r="B80" s="137" t="s">
        <v>298</v>
      </c>
      <c r="C80" s="137">
        <v>2018</v>
      </c>
      <c r="D80" s="137" t="s">
        <v>53</v>
      </c>
      <c r="E80" s="137" t="s">
        <v>193</v>
      </c>
      <c r="F80" s="137" t="s">
        <v>193</v>
      </c>
      <c r="G80" s="137" t="s">
        <v>193</v>
      </c>
      <c r="H80" s="137" t="s">
        <v>193</v>
      </c>
      <c r="I80" s="137" t="s">
        <v>193</v>
      </c>
      <c r="J80" s="137" t="s">
        <v>53</v>
      </c>
      <c r="K80" s="137" t="s">
        <v>193</v>
      </c>
      <c r="L80" s="137" t="s">
        <v>193</v>
      </c>
      <c r="M80" s="137" t="s">
        <v>193</v>
      </c>
      <c r="N80" s="137" t="s">
        <v>193</v>
      </c>
      <c r="O80" s="137" t="s">
        <v>193</v>
      </c>
      <c r="P80" s="137" t="s">
        <v>53</v>
      </c>
      <c r="Q80" s="137" t="s">
        <v>193</v>
      </c>
      <c r="R80" s="137" t="s">
        <v>193</v>
      </c>
      <c r="S80" s="137" t="s">
        <v>193</v>
      </c>
      <c r="T80" s="137" t="s">
        <v>193</v>
      </c>
      <c r="U80" s="137" t="s">
        <v>193</v>
      </c>
      <c r="X80" s="12">
        <f t="shared" si="1"/>
        <v>0</v>
      </c>
    </row>
    <row r="81" spans="1:24" ht="15" customHeight="1" x14ac:dyDescent="0.25">
      <c r="A81" s="137" t="s">
        <v>297</v>
      </c>
      <c r="B81" s="137" t="s">
        <v>299</v>
      </c>
      <c r="C81" s="137">
        <v>2018</v>
      </c>
      <c r="D81" s="137" t="s">
        <v>53</v>
      </c>
      <c r="E81" s="137" t="s">
        <v>193</v>
      </c>
      <c r="F81" s="137" t="s">
        <v>193</v>
      </c>
      <c r="G81" s="137" t="s">
        <v>193</v>
      </c>
      <c r="H81" s="137" t="s">
        <v>193</v>
      </c>
      <c r="I81" s="137" t="s">
        <v>193</v>
      </c>
      <c r="J81" s="137" t="s">
        <v>53</v>
      </c>
      <c r="K81" s="137" t="s">
        <v>193</v>
      </c>
      <c r="L81" s="137" t="s">
        <v>193</v>
      </c>
      <c r="M81" s="137" t="s">
        <v>193</v>
      </c>
      <c r="N81" s="137" t="s">
        <v>193</v>
      </c>
      <c r="O81" s="137" t="s">
        <v>193</v>
      </c>
      <c r="P81" s="137" t="s">
        <v>53</v>
      </c>
      <c r="Q81" s="137" t="s">
        <v>193</v>
      </c>
      <c r="R81" s="137" t="s">
        <v>193</v>
      </c>
      <c r="S81" s="137" t="s">
        <v>193</v>
      </c>
      <c r="T81" s="137" t="s">
        <v>193</v>
      </c>
      <c r="U81" s="137" t="s">
        <v>193</v>
      </c>
      <c r="X81" s="12">
        <f t="shared" si="1"/>
        <v>0</v>
      </c>
    </row>
    <row r="82" spans="1:24" ht="15" customHeight="1" x14ac:dyDescent="0.25">
      <c r="A82" s="137" t="s">
        <v>297</v>
      </c>
      <c r="B82" s="137" t="s">
        <v>300</v>
      </c>
      <c r="C82" s="137">
        <v>2018</v>
      </c>
      <c r="D82" s="137" t="s">
        <v>53</v>
      </c>
      <c r="E82" s="137" t="s">
        <v>193</v>
      </c>
      <c r="F82" s="137" t="s">
        <v>193</v>
      </c>
      <c r="G82" s="137" t="s">
        <v>193</v>
      </c>
      <c r="H82" s="137" t="s">
        <v>193</v>
      </c>
      <c r="I82" s="137" t="s">
        <v>193</v>
      </c>
      <c r="J82" s="137" t="s">
        <v>53</v>
      </c>
      <c r="K82" s="137" t="s">
        <v>193</v>
      </c>
      <c r="L82" s="137" t="s">
        <v>193</v>
      </c>
      <c r="M82" s="137" t="s">
        <v>193</v>
      </c>
      <c r="N82" s="137" t="s">
        <v>193</v>
      </c>
      <c r="O82" s="137" t="s">
        <v>193</v>
      </c>
      <c r="P82" s="137" t="s">
        <v>53</v>
      </c>
      <c r="Q82" s="137" t="s">
        <v>193</v>
      </c>
      <c r="R82" s="137" t="s">
        <v>193</v>
      </c>
      <c r="S82" s="137" t="s">
        <v>193</v>
      </c>
      <c r="T82" s="137" t="s">
        <v>193</v>
      </c>
      <c r="U82" s="137" t="s">
        <v>193</v>
      </c>
      <c r="X82" s="12">
        <f t="shared" si="1"/>
        <v>0</v>
      </c>
    </row>
    <row r="83" spans="1:24" ht="15" customHeight="1" x14ac:dyDescent="0.25">
      <c r="A83" s="137" t="s">
        <v>301</v>
      </c>
      <c r="B83" s="137" t="s">
        <v>302</v>
      </c>
      <c r="C83" s="137">
        <v>2018</v>
      </c>
      <c r="D83" s="137" t="s">
        <v>53</v>
      </c>
      <c r="E83" s="137" t="s">
        <v>193</v>
      </c>
      <c r="F83" s="137" t="s">
        <v>193</v>
      </c>
      <c r="G83" s="137" t="s">
        <v>193</v>
      </c>
      <c r="H83" s="137" t="s">
        <v>193</v>
      </c>
      <c r="I83" s="137" t="s">
        <v>193</v>
      </c>
      <c r="J83" s="137" t="s">
        <v>53</v>
      </c>
      <c r="K83" s="137" t="s">
        <v>193</v>
      </c>
      <c r="L83" s="137" t="s">
        <v>193</v>
      </c>
      <c r="M83" s="137" t="s">
        <v>193</v>
      </c>
      <c r="N83" s="137" t="s">
        <v>193</v>
      </c>
      <c r="O83" s="137" t="s">
        <v>193</v>
      </c>
      <c r="P83" s="137" t="s">
        <v>53</v>
      </c>
      <c r="Q83" s="137" t="s">
        <v>193</v>
      </c>
      <c r="R83" s="137" t="s">
        <v>193</v>
      </c>
      <c r="S83" s="137" t="s">
        <v>193</v>
      </c>
      <c r="T83" s="137" t="s">
        <v>193</v>
      </c>
      <c r="U83" s="137" t="s">
        <v>193</v>
      </c>
      <c r="X83" s="12">
        <f t="shared" si="1"/>
        <v>0</v>
      </c>
    </row>
    <row r="84" spans="1:24" ht="15" customHeight="1" x14ac:dyDescent="0.25">
      <c r="A84" s="137" t="s">
        <v>301</v>
      </c>
      <c r="B84" s="137" t="s">
        <v>303</v>
      </c>
      <c r="C84" s="137">
        <v>2018</v>
      </c>
      <c r="D84" s="137" t="s">
        <v>53</v>
      </c>
      <c r="E84" s="137" t="s">
        <v>193</v>
      </c>
      <c r="F84" s="137" t="s">
        <v>193</v>
      </c>
      <c r="G84" s="137" t="s">
        <v>193</v>
      </c>
      <c r="H84" s="137" t="s">
        <v>193</v>
      </c>
      <c r="I84" s="137" t="s">
        <v>193</v>
      </c>
      <c r="J84" s="137" t="s">
        <v>53</v>
      </c>
      <c r="K84" s="137" t="s">
        <v>193</v>
      </c>
      <c r="L84" s="137" t="s">
        <v>193</v>
      </c>
      <c r="M84" s="137" t="s">
        <v>193</v>
      </c>
      <c r="N84" s="137" t="s">
        <v>193</v>
      </c>
      <c r="O84" s="137" t="s">
        <v>193</v>
      </c>
      <c r="P84" s="137" t="s">
        <v>53</v>
      </c>
      <c r="Q84" s="137" t="s">
        <v>193</v>
      </c>
      <c r="R84" s="137" t="s">
        <v>193</v>
      </c>
      <c r="S84" s="137" t="s">
        <v>193</v>
      </c>
      <c r="T84" s="137" t="s">
        <v>193</v>
      </c>
      <c r="U84" s="137" t="s">
        <v>193</v>
      </c>
      <c r="X84" s="12">
        <f t="shared" si="1"/>
        <v>0</v>
      </c>
    </row>
    <row r="85" spans="1:24" ht="15" customHeight="1" x14ac:dyDescent="0.25">
      <c r="A85" s="137" t="s">
        <v>301</v>
      </c>
      <c r="B85" s="137" t="s">
        <v>305</v>
      </c>
      <c r="C85" s="137">
        <v>2018</v>
      </c>
      <c r="D85" s="137" t="s">
        <v>53</v>
      </c>
      <c r="E85" s="137" t="s">
        <v>193</v>
      </c>
      <c r="F85" s="137" t="s">
        <v>193</v>
      </c>
      <c r="G85" s="137" t="s">
        <v>193</v>
      </c>
      <c r="H85" s="137" t="s">
        <v>193</v>
      </c>
      <c r="I85" s="137" t="s">
        <v>193</v>
      </c>
      <c r="J85" s="137" t="s">
        <v>53</v>
      </c>
      <c r="K85" s="137" t="s">
        <v>193</v>
      </c>
      <c r="L85" s="137" t="s">
        <v>193</v>
      </c>
      <c r="M85" s="137" t="s">
        <v>193</v>
      </c>
      <c r="N85" s="137" t="s">
        <v>193</v>
      </c>
      <c r="O85" s="137" t="s">
        <v>193</v>
      </c>
      <c r="P85" s="137" t="s">
        <v>53</v>
      </c>
      <c r="Q85" s="137" t="s">
        <v>193</v>
      </c>
      <c r="R85" s="137" t="s">
        <v>193</v>
      </c>
      <c r="S85" s="137" t="s">
        <v>193</v>
      </c>
      <c r="T85" s="137" t="s">
        <v>193</v>
      </c>
      <c r="U85" s="137" t="s">
        <v>193</v>
      </c>
      <c r="X85" s="12">
        <f t="shared" si="1"/>
        <v>0</v>
      </c>
    </row>
    <row r="86" spans="1:24" ht="15" customHeight="1" x14ac:dyDescent="0.25">
      <c r="A86" s="137" t="s">
        <v>301</v>
      </c>
      <c r="B86" s="137" t="s">
        <v>306</v>
      </c>
      <c r="C86" s="137">
        <v>2018</v>
      </c>
      <c r="D86" s="137" t="s">
        <v>53</v>
      </c>
      <c r="E86" s="137" t="s">
        <v>193</v>
      </c>
      <c r="F86" s="137" t="s">
        <v>193</v>
      </c>
      <c r="G86" s="137" t="s">
        <v>193</v>
      </c>
      <c r="H86" s="137" t="s">
        <v>193</v>
      </c>
      <c r="I86" s="137" t="s">
        <v>193</v>
      </c>
      <c r="J86" s="137" t="s">
        <v>53</v>
      </c>
      <c r="K86" s="137" t="s">
        <v>193</v>
      </c>
      <c r="L86" s="137" t="s">
        <v>193</v>
      </c>
      <c r="M86" s="137" t="s">
        <v>193</v>
      </c>
      <c r="N86" s="137" t="s">
        <v>193</v>
      </c>
      <c r="O86" s="137" t="s">
        <v>193</v>
      </c>
      <c r="P86" s="137" t="s">
        <v>53</v>
      </c>
      <c r="Q86" s="137" t="s">
        <v>193</v>
      </c>
      <c r="R86" s="137" t="s">
        <v>193</v>
      </c>
      <c r="S86" s="137" t="s">
        <v>193</v>
      </c>
      <c r="T86" s="137" t="s">
        <v>193</v>
      </c>
      <c r="U86" s="137" t="s">
        <v>193</v>
      </c>
      <c r="X86" s="12">
        <f t="shared" si="1"/>
        <v>0</v>
      </c>
    </row>
    <row r="87" spans="1:24" ht="15" customHeight="1" x14ac:dyDescent="0.25">
      <c r="A87" s="137" t="s">
        <v>307</v>
      </c>
      <c r="B87" s="137" t="s">
        <v>308</v>
      </c>
      <c r="C87" s="137">
        <v>2018</v>
      </c>
      <c r="D87" s="137" t="s">
        <v>53</v>
      </c>
      <c r="E87" s="137" t="s">
        <v>193</v>
      </c>
      <c r="F87" s="137" t="s">
        <v>193</v>
      </c>
      <c r="G87" s="137" t="s">
        <v>193</v>
      </c>
      <c r="H87" s="137" t="s">
        <v>193</v>
      </c>
      <c r="I87" s="137" t="s">
        <v>193</v>
      </c>
      <c r="J87" s="137" t="s">
        <v>53</v>
      </c>
      <c r="K87" s="137" t="s">
        <v>193</v>
      </c>
      <c r="L87" s="137" t="s">
        <v>193</v>
      </c>
      <c r="M87" s="137" t="s">
        <v>193</v>
      </c>
      <c r="N87" s="137" t="s">
        <v>193</v>
      </c>
      <c r="O87" s="137" t="s">
        <v>193</v>
      </c>
      <c r="P87" s="137" t="s">
        <v>53</v>
      </c>
      <c r="Q87" s="137" t="s">
        <v>193</v>
      </c>
      <c r="R87" s="137" t="s">
        <v>193</v>
      </c>
      <c r="S87" s="137" t="s">
        <v>193</v>
      </c>
      <c r="T87" s="137" t="s">
        <v>193</v>
      </c>
      <c r="U87" s="137" t="s">
        <v>193</v>
      </c>
      <c r="X87" s="12">
        <f t="shared" si="1"/>
        <v>0</v>
      </c>
    </row>
    <row r="88" spans="1:24" ht="15" customHeight="1" x14ac:dyDescent="0.25">
      <c r="A88" s="137" t="s">
        <v>309</v>
      </c>
      <c r="B88" s="137" t="s">
        <v>310</v>
      </c>
      <c r="C88" s="137">
        <v>2018</v>
      </c>
      <c r="D88" s="137" t="s">
        <v>53</v>
      </c>
      <c r="E88" s="137" t="s">
        <v>193</v>
      </c>
      <c r="F88" s="137" t="s">
        <v>193</v>
      </c>
      <c r="G88" s="137" t="s">
        <v>193</v>
      </c>
      <c r="H88" s="137" t="s">
        <v>193</v>
      </c>
      <c r="I88" s="137" t="s">
        <v>193</v>
      </c>
      <c r="J88" s="137" t="s">
        <v>53</v>
      </c>
      <c r="K88" s="137" t="s">
        <v>193</v>
      </c>
      <c r="L88" s="137" t="s">
        <v>193</v>
      </c>
      <c r="M88" s="137" t="s">
        <v>193</v>
      </c>
      <c r="N88" s="137" t="s">
        <v>193</v>
      </c>
      <c r="O88" s="137" t="s">
        <v>193</v>
      </c>
      <c r="P88" s="137" t="s">
        <v>53</v>
      </c>
      <c r="Q88" s="137" t="s">
        <v>193</v>
      </c>
      <c r="R88" s="137" t="s">
        <v>193</v>
      </c>
      <c r="S88" s="137" t="s">
        <v>193</v>
      </c>
      <c r="T88" s="137" t="s">
        <v>193</v>
      </c>
      <c r="U88" s="137" t="s">
        <v>193</v>
      </c>
      <c r="X88" s="12">
        <f t="shared" si="1"/>
        <v>0</v>
      </c>
    </row>
    <row r="89" spans="1:24" ht="15" customHeight="1" x14ac:dyDescent="0.25">
      <c r="A89" s="137" t="s">
        <v>309</v>
      </c>
      <c r="B89" s="137" t="s">
        <v>311</v>
      </c>
      <c r="C89" s="137">
        <v>2018</v>
      </c>
      <c r="D89" s="137" t="s">
        <v>778</v>
      </c>
      <c r="E89" s="137" t="s">
        <v>769</v>
      </c>
      <c r="F89" s="137">
        <v>5.024</v>
      </c>
      <c r="G89" s="137" t="s">
        <v>193</v>
      </c>
      <c r="H89" s="137" t="s">
        <v>193</v>
      </c>
      <c r="I89" s="137" t="s">
        <v>193</v>
      </c>
      <c r="J89" s="137" t="s">
        <v>53</v>
      </c>
      <c r="K89" s="137" t="s">
        <v>193</v>
      </c>
      <c r="L89" s="137" t="s">
        <v>193</v>
      </c>
      <c r="M89" s="137" t="s">
        <v>193</v>
      </c>
      <c r="N89" s="137" t="s">
        <v>193</v>
      </c>
      <c r="O89" s="137" t="s">
        <v>193</v>
      </c>
      <c r="P89" s="137" t="s">
        <v>53</v>
      </c>
      <c r="Q89" s="137" t="s">
        <v>193</v>
      </c>
      <c r="R89" s="137" t="s">
        <v>193</v>
      </c>
      <c r="S89" s="137" t="s">
        <v>193</v>
      </c>
      <c r="T89" s="137" t="s">
        <v>193</v>
      </c>
      <c r="U89" s="137" t="s">
        <v>193</v>
      </c>
      <c r="X89" s="12">
        <f t="shared" si="1"/>
        <v>0</v>
      </c>
    </row>
    <row r="90" spans="1:24" ht="15" customHeight="1" x14ac:dyDescent="0.25">
      <c r="A90" s="137" t="s">
        <v>309</v>
      </c>
      <c r="B90" s="137" t="s">
        <v>313</v>
      </c>
      <c r="C90" s="137">
        <v>2018</v>
      </c>
      <c r="D90" s="137" t="s">
        <v>53</v>
      </c>
      <c r="E90" s="137" t="s">
        <v>193</v>
      </c>
      <c r="F90" s="137" t="s">
        <v>193</v>
      </c>
      <c r="G90" s="137" t="s">
        <v>193</v>
      </c>
      <c r="H90" s="137" t="s">
        <v>193</v>
      </c>
      <c r="I90" s="137" t="s">
        <v>193</v>
      </c>
      <c r="J90" s="137" t="s">
        <v>53</v>
      </c>
      <c r="K90" s="137" t="s">
        <v>193</v>
      </c>
      <c r="L90" s="137" t="s">
        <v>193</v>
      </c>
      <c r="M90" s="137" t="s">
        <v>193</v>
      </c>
      <c r="N90" s="137" t="s">
        <v>193</v>
      </c>
      <c r="O90" s="137" t="s">
        <v>193</v>
      </c>
      <c r="P90" s="137" t="s">
        <v>53</v>
      </c>
      <c r="Q90" s="137" t="s">
        <v>193</v>
      </c>
      <c r="R90" s="137" t="s">
        <v>193</v>
      </c>
      <c r="S90" s="137" t="s">
        <v>193</v>
      </c>
      <c r="T90" s="137" t="s">
        <v>193</v>
      </c>
      <c r="U90" s="137" t="s">
        <v>193</v>
      </c>
      <c r="X90" s="12">
        <f t="shared" si="1"/>
        <v>0</v>
      </c>
    </row>
    <row r="91" spans="1:24" ht="15" customHeight="1" x14ac:dyDescent="0.25">
      <c r="A91" s="137" t="s">
        <v>315</v>
      </c>
      <c r="B91" s="137" t="s">
        <v>316</v>
      </c>
      <c r="C91" s="137">
        <v>2018</v>
      </c>
      <c r="D91" s="137" t="s">
        <v>219</v>
      </c>
      <c r="E91" s="137" t="s">
        <v>193</v>
      </c>
      <c r="F91" s="137" t="s">
        <v>193</v>
      </c>
      <c r="G91" s="137" t="s">
        <v>193</v>
      </c>
      <c r="H91" s="137" t="s">
        <v>193</v>
      </c>
      <c r="I91" s="137" t="s">
        <v>193</v>
      </c>
      <c r="J91" s="137" t="s">
        <v>219</v>
      </c>
      <c r="K91" s="137" t="s">
        <v>193</v>
      </c>
      <c r="L91" s="137" t="s">
        <v>193</v>
      </c>
      <c r="M91" s="137" t="s">
        <v>193</v>
      </c>
      <c r="N91" s="137" t="s">
        <v>193</v>
      </c>
      <c r="O91" s="137" t="s">
        <v>193</v>
      </c>
      <c r="P91" s="137" t="s">
        <v>219</v>
      </c>
      <c r="Q91" s="137" t="s">
        <v>193</v>
      </c>
      <c r="R91" s="137" t="s">
        <v>193</v>
      </c>
      <c r="S91" s="137" t="s">
        <v>193</v>
      </c>
      <c r="T91" s="137" t="s">
        <v>193</v>
      </c>
      <c r="U91" s="137" t="s">
        <v>193</v>
      </c>
      <c r="X91" s="12">
        <f t="shared" si="1"/>
        <v>0</v>
      </c>
    </row>
    <row r="92" spans="1:24" ht="15" customHeight="1" x14ac:dyDescent="0.25">
      <c r="A92" s="137" t="s">
        <v>315</v>
      </c>
      <c r="B92" s="137" t="s">
        <v>317</v>
      </c>
      <c r="C92" s="137">
        <v>2018</v>
      </c>
      <c r="D92" s="137" t="s">
        <v>779</v>
      </c>
      <c r="E92" s="137" t="s">
        <v>780</v>
      </c>
      <c r="F92" s="137">
        <v>8.468</v>
      </c>
      <c r="G92" s="137" t="s">
        <v>193</v>
      </c>
      <c r="H92" s="137" t="s">
        <v>193</v>
      </c>
      <c r="I92" s="137" t="s">
        <v>193</v>
      </c>
      <c r="J92" s="137" t="s">
        <v>53</v>
      </c>
      <c r="K92" s="137" t="s">
        <v>193</v>
      </c>
      <c r="L92" s="137" t="s">
        <v>193</v>
      </c>
      <c r="M92" s="137" t="s">
        <v>193</v>
      </c>
      <c r="N92" s="137" t="s">
        <v>193</v>
      </c>
      <c r="O92" s="137" t="s">
        <v>193</v>
      </c>
      <c r="P92" s="137" t="s">
        <v>53</v>
      </c>
      <c r="Q92" s="137" t="s">
        <v>193</v>
      </c>
      <c r="R92" s="137" t="s">
        <v>193</v>
      </c>
      <c r="S92" s="137" t="s">
        <v>193</v>
      </c>
      <c r="T92" s="137" t="s">
        <v>193</v>
      </c>
      <c r="U92" s="137" t="s">
        <v>193</v>
      </c>
      <c r="X92" s="12">
        <f t="shared" si="1"/>
        <v>0</v>
      </c>
    </row>
    <row r="93" spans="1:24" ht="15" customHeight="1" x14ac:dyDescent="0.25">
      <c r="A93" s="137" t="s">
        <v>315</v>
      </c>
      <c r="B93" s="137" t="s">
        <v>318</v>
      </c>
      <c r="C93" s="137">
        <v>2018</v>
      </c>
      <c r="D93" s="137" t="s">
        <v>53</v>
      </c>
      <c r="E93" s="137" t="s">
        <v>193</v>
      </c>
      <c r="F93" s="137" t="s">
        <v>193</v>
      </c>
      <c r="G93" s="137" t="s">
        <v>193</v>
      </c>
      <c r="H93" s="137" t="s">
        <v>193</v>
      </c>
      <c r="I93" s="137" t="s">
        <v>193</v>
      </c>
      <c r="J93" s="137" t="s">
        <v>53</v>
      </c>
      <c r="K93" s="137" t="s">
        <v>193</v>
      </c>
      <c r="L93" s="137" t="s">
        <v>193</v>
      </c>
      <c r="M93" s="137" t="s">
        <v>193</v>
      </c>
      <c r="N93" s="137" t="s">
        <v>193</v>
      </c>
      <c r="O93" s="137" t="s">
        <v>193</v>
      </c>
      <c r="P93" s="137" t="s">
        <v>53</v>
      </c>
      <c r="Q93" s="137" t="s">
        <v>193</v>
      </c>
      <c r="R93" s="137" t="s">
        <v>193</v>
      </c>
      <c r="S93" s="137" t="s">
        <v>193</v>
      </c>
      <c r="T93" s="137" t="s">
        <v>193</v>
      </c>
      <c r="U93" s="137" t="s">
        <v>193</v>
      </c>
      <c r="X93" s="12">
        <f t="shared" si="1"/>
        <v>0</v>
      </c>
    </row>
    <row r="94" spans="1:24" ht="15" customHeight="1" x14ac:dyDescent="0.25">
      <c r="A94" s="137" t="s">
        <v>315</v>
      </c>
      <c r="B94" s="137" t="s">
        <v>319</v>
      </c>
      <c r="C94" s="137">
        <v>2018</v>
      </c>
      <c r="D94" s="137" t="s">
        <v>53</v>
      </c>
      <c r="E94" s="137" t="s">
        <v>193</v>
      </c>
      <c r="F94" s="137" t="s">
        <v>193</v>
      </c>
      <c r="G94" s="137" t="s">
        <v>193</v>
      </c>
      <c r="H94" s="137" t="s">
        <v>193</v>
      </c>
      <c r="I94" s="137" t="s">
        <v>193</v>
      </c>
      <c r="J94" s="137" t="s">
        <v>53</v>
      </c>
      <c r="K94" s="137" t="s">
        <v>193</v>
      </c>
      <c r="L94" s="137" t="s">
        <v>193</v>
      </c>
      <c r="M94" s="137" t="s">
        <v>193</v>
      </c>
      <c r="N94" s="137" t="s">
        <v>193</v>
      </c>
      <c r="O94" s="137" t="s">
        <v>193</v>
      </c>
      <c r="P94" s="137" t="s">
        <v>53</v>
      </c>
      <c r="Q94" s="137" t="s">
        <v>193</v>
      </c>
      <c r="R94" s="137" t="s">
        <v>193</v>
      </c>
      <c r="S94" s="137" t="s">
        <v>193</v>
      </c>
      <c r="T94" s="137" t="s">
        <v>193</v>
      </c>
      <c r="U94" s="137" t="s">
        <v>193</v>
      </c>
      <c r="X94" s="12">
        <f t="shared" si="1"/>
        <v>0</v>
      </c>
    </row>
    <row r="95" spans="1:24" ht="15" customHeight="1" x14ac:dyDescent="0.25">
      <c r="A95" s="137" t="s">
        <v>320</v>
      </c>
      <c r="B95" s="137" t="s">
        <v>321</v>
      </c>
      <c r="C95" s="137">
        <v>2018</v>
      </c>
      <c r="D95" s="137" t="s">
        <v>53</v>
      </c>
      <c r="E95" s="137" t="s">
        <v>193</v>
      </c>
      <c r="F95" s="137" t="s">
        <v>193</v>
      </c>
      <c r="G95" s="137" t="s">
        <v>193</v>
      </c>
      <c r="H95" s="137" t="s">
        <v>193</v>
      </c>
      <c r="I95" s="137" t="s">
        <v>193</v>
      </c>
      <c r="J95" s="137" t="s">
        <v>53</v>
      </c>
      <c r="K95" s="137" t="s">
        <v>193</v>
      </c>
      <c r="L95" s="137" t="s">
        <v>193</v>
      </c>
      <c r="M95" s="137" t="s">
        <v>193</v>
      </c>
      <c r="N95" s="137" t="s">
        <v>193</v>
      </c>
      <c r="O95" s="137" t="s">
        <v>193</v>
      </c>
      <c r="P95" s="137" t="s">
        <v>53</v>
      </c>
      <c r="Q95" s="137" t="s">
        <v>193</v>
      </c>
      <c r="R95" s="137" t="s">
        <v>193</v>
      </c>
      <c r="S95" s="137" t="s">
        <v>193</v>
      </c>
      <c r="T95" s="137" t="s">
        <v>193</v>
      </c>
      <c r="U95" s="137" t="s">
        <v>193</v>
      </c>
      <c r="X95" s="12">
        <f t="shared" si="1"/>
        <v>0</v>
      </c>
    </row>
    <row r="96" spans="1:24" ht="15" customHeight="1" x14ac:dyDescent="0.25">
      <c r="A96" s="137" t="s">
        <v>322</v>
      </c>
      <c r="B96" s="137" t="s">
        <v>323</v>
      </c>
      <c r="C96" s="137">
        <v>2018</v>
      </c>
      <c r="D96" s="137" t="s">
        <v>781</v>
      </c>
      <c r="E96" s="137" t="s">
        <v>769</v>
      </c>
      <c r="F96" s="137">
        <v>39.174999999999997</v>
      </c>
      <c r="G96" s="137" t="s">
        <v>193</v>
      </c>
      <c r="H96" s="137" t="s">
        <v>193</v>
      </c>
      <c r="I96" s="137" t="s">
        <v>193</v>
      </c>
      <c r="J96" s="137" t="s">
        <v>782</v>
      </c>
      <c r="K96" s="137" t="s">
        <v>769</v>
      </c>
      <c r="L96" s="137">
        <v>35.615000000000002</v>
      </c>
      <c r="M96" s="137" t="s">
        <v>193</v>
      </c>
      <c r="N96" s="137" t="s">
        <v>193</v>
      </c>
      <c r="O96" s="137" t="s">
        <v>193</v>
      </c>
      <c r="P96" s="137" t="s">
        <v>782</v>
      </c>
      <c r="Q96" s="137" t="s">
        <v>783</v>
      </c>
      <c r="R96" s="137">
        <v>0.14299999999999999</v>
      </c>
      <c r="S96" s="137" t="s">
        <v>193</v>
      </c>
      <c r="T96" s="137" t="s">
        <v>193</v>
      </c>
      <c r="U96" s="137" t="s">
        <v>193</v>
      </c>
      <c r="X96" s="12">
        <f t="shared" si="1"/>
        <v>0</v>
      </c>
    </row>
    <row r="97" spans="1:24" ht="15" customHeight="1" x14ac:dyDescent="0.25">
      <c r="A97" s="137" t="s">
        <v>324</v>
      </c>
      <c r="B97" s="137" t="s">
        <v>325</v>
      </c>
      <c r="C97" s="137">
        <v>2018</v>
      </c>
      <c r="D97" s="137" t="s">
        <v>219</v>
      </c>
      <c r="E97" s="137" t="s">
        <v>193</v>
      </c>
      <c r="F97" s="137" t="s">
        <v>193</v>
      </c>
      <c r="G97" s="137" t="s">
        <v>193</v>
      </c>
      <c r="H97" s="137" t="s">
        <v>193</v>
      </c>
      <c r="I97" s="137" t="s">
        <v>193</v>
      </c>
      <c r="J97" s="137" t="s">
        <v>219</v>
      </c>
      <c r="K97" s="137" t="s">
        <v>193</v>
      </c>
      <c r="L97" s="137" t="s">
        <v>193</v>
      </c>
      <c r="M97" s="137" t="s">
        <v>193</v>
      </c>
      <c r="N97" s="137" t="s">
        <v>193</v>
      </c>
      <c r="O97" s="137" t="s">
        <v>193</v>
      </c>
      <c r="P97" s="137" t="s">
        <v>219</v>
      </c>
      <c r="Q97" s="137" t="s">
        <v>193</v>
      </c>
      <c r="R97" s="137" t="s">
        <v>193</v>
      </c>
      <c r="S97" s="137" t="s">
        <v>193</v>
      </c>
      <c r="T97" s="137" t="s">
        <v>193</v>
      </c>
      <c r="U97" s="137" t="s">
        <v>193</v>
      </c>
      <c r="X97" s="12">
        <f t="shared" si="1"/>
        <v>0</v>
      </c>
    </row>
    <row r="98" spans="1:24" ht="15" customHeight="1" x14ac:dyDescent="0.25">
      <c r="A98" s="137" t="s">
        <v>324</v>
      </c>
      <c r="B98" s="137" t="s">
        <v>326</v>
      </c>
      <c r="C98" s="137">
        <v>2018</v>
      </c>
      <c r="D98" s="137" t="s">
        <v>784</v>
      </c>
      <c r="E98" s="137" t="s">
        <v>747</v>
      </c>
      <c r="F98" s="137">
        <v>875.61599999999999</v>
      </c>
      <c r="G98" s="137" t="s">
        <v>193</v>
      </c>
      <c r="H98" s="137" t="s">
        <v>193</v>
      </c>
      <c r="I98" s="137">
        <v>100</v>
      </c>
      <c r="J98" s="137" t="s">
        <v>785</v>
      </c>
      <c r="K98" s="137" t="s">
        <v>769</v>
      </c>
      <c r="L98" s="137">
        <v>3.1645346559999998</v>
      </c>
      <c r="M98" s="137" t="s">
        <v>786</v>
      </c>
      <c r="N98" s="137">
        <v>9.8000000000000004E-2</v>
      </c>
      <c r="O98" s="137">
        <v>100</v>
      </c>
      <c r="P98" s="137" t="s">
        <v>787</v>
      </c>
      <c r="Q98" s="137" t="s">
        <v>748</v>
      </c>
      <c r="R98" s="137">
        <v>0</v>
      </c>
      <c r="S98" s="137" t="s">
        <v>193</v>
      </c>
      <c r="T98" s="137" t="s">
        <v>193</v>
      </c>
      <c r="U98" s="137">
        <v>100</v>
      </c>
      <c r="X98" s="12">
        <f t="shared" si="1"/>
        <v>875.61599999999999</v>
      </c>
    </row>
    <row r="99" spans="1:24" ht="15" customHeight="1" x14ac:dyDescent="0.25">
      <c r="A99" s="137" t="s">
        <v>324</v>
      </c>
      <c r="B99" s="137" t="s">
        <v>328</v>
      </c>
      <c r="C99" s="137">
        <v>2018</v>
      </c>
      <c r="D99" s="137" t="s">
        <v>219</v>
      </c>
      <c r="E99" s="137" t="s">
        <v>193</v>
      </c>
      <c r="F99" s="137" t="s">
        <v>193</v>
      </c>
      <c r="G99" s="137" t="s">
        <v>193</v>
      </c>
      <c r="H99" s="137" t="s">
        <v>193</v>
      </c>
      <c r="I99" s="137" t="s">
        <v>193</v>
      </c>
      <c r="J99" s="137" t="s">
        <v>219</v>
      </c>
      <c r="K99" s="137" t="s">
        <v>193</v>
      </c>
      <c r="L99" s="137" t="s">
        <v>193</v>
      </c>
      <c r="M99" s="137" t="s">
        <v>193</v>
      </c>
      <c r="N99" s="137" t="s">
        <v>193</v>
      </c>
      <c r="O99" s="137" t="s">
        <v>193</v>
      </c>
      <c r="P99" s="137" t="s">
        <v>219</v>
      </c>
      <c r="Q99" s="137" t="s">
        <v>193</v>
      </c>
      <c r="R99" s="137" t="s">
        <v>193</v>
      </c>
      <c r="S99" s="137" t="s">
        <v>193</v>
      </c>
      <c r="T99" s="137" t="s">
        <v>193</v>
      </c>
      <c r="U99" s="137" t="s">
        <v>193</v>
      </c>
      <c r="X99" s="12">
        <f t="shared" si="1"/>
        <v>0</v>
      </c>
    </row>
    <row r="100" spans="1:24" ht="15" customHeight="1" x14ac:dyDescent="0.25">
      <c r="A100" s="137" t="s">
        <v>324</v>
      </c>
      <c r="B100" s="137" t="s">
        <v>324</v>
      </c>
      <c r="C100" s="137">
        <v>2018</v>
      </c>
      <c r="D100" s="137" t="s">
        <v>219</v>
      </c>
      <c r="E100" s="137" t="s">
        <v>193</v>
      </c>
      <c r="F100" s="137" t="s">
        <v>193</v>
      </c>
      <c r="G100" s="137" t="s">
        <v>193</v>
      </c>
      <c r="H100" s="137" t="s">
        <v>193</v>
      </c>
      <c r="I100" s="137" t="s">
        <v>193</v>
      </c>
      <c r="J100" s="137" t="s">
        <v>219</v>
      </c>
      <c r="K100" s="137" t="s">
        <v>193</v>
      </c>
      <c r="L100" s="137" t="s">
        <v>193</v>
      </c>
      <c r="M100" s="137" t="s">
        <v>193</v>
      </c>
      <c r="N100" s="137" t="s">
        <v>193</v>
      </c>
      <c r="O100" s="137" t="s">
        <v>193</v>
      </c>
      <c r="P100" s="137" t="s">
        <v>219</v>
      </c>
      <c r="Q100" s="137" t="s">
        <v>193</v>
      </c>
      <c r="R100" s="137" t="s">
        <v>193</v>
      </c>
      <c r="S100" s="137" t="s">
        <v>193</v>
      </c>
      <c r="T100" s="137" t="s">
        <v>193</v>
      </c>
      <c r="U100" s="137" t="s">
        <v>193</v>
      </c>
      <c r="X100" s="12">
        <f t="shared" si="1"/>
        <v>0</v>
      </c>
    </row>
    <row r="101" spans="1:24" ht="15" customHeight="1" x14ac:dyDescent="0.25">
      <c r="A101" s="137" t="s">
        <v>324</v>
      </c>
      <c r="B101" s="137" t="s">
        <v>329</v>
      </c>
      <c r="C101" s="137">
        <v>2018</v>
      </c>
      <c r="D101" s="137" t="s">
        <v>53</v>
      </c>
      <c r="E101" s="137" t="s">
        <v>53</v>
      </c>
      <c r="F101" s="137" t="s">
        <v>53</v>
      </c>
      <c r="G101" s="137" t="s">
        <v>53</v>
      </c>
      <c r="H101" s="137" t="s">
        <v>53</v>
      </c>
      <c r="I101" s="137" t="s">
        <v>53</v>
      </c>
      <c r="J101" s="137" t="s">
        <v>53</v>
      </c>
      <c r="K101" s="137" t="s">
        <v>53</v>
      </c>
      <c r="L101" s="137" t="s">
        <v>53</v>
      </c>
      <c r="M101" s="137" t="s">
        <v>53</v>
      </c>
      <c r="N101" s="137" t="s">
        <v>53</v>
      </c>
      <c r="O101" s="137" t="s">
        <v>53</v>
      </c>
      <c r="P101" s="137" t="s">
        <v>53</v>
      </c>
      <c r="Q101" s="137" t="s">
        <v>53</v>
      </c>
      <c r="R101" s="137" t="s">
        <v>53</v>
      </c>
      <c r="S101" s="137" t="s">
        <v>53</v>
      </c>
      <c r="T101" s="137" t="s">
        <v>53</v>
      </c>
      <c r="U101" s="137" t="s">
        <v>53</v>
      </c>
      <c r="X101" s="12">
        <f t="shared" si="1"/>
        <v>0</v>
      </c>
    </row>
    <row r="102" spans="1:24" ht="15" customHeight="1" x14ac:dyDescent="0.25">
      <c r="A102" s="137" t="s">
        <v>324</v>
      </c>
      <c r="B102" s="137" t="s">
        <v>330</v>
      </c>
      <c r="C102" s="137">
        <v>2018</v>
      </c>
      <c r="D102" s="137" t="s">
        <v>219</v>
      </c>
      <c r="E102" s="137" t="s">
        <v>193</v>
      </c>
      <c r="F102" s="137" t="s">
        <v>193</v>
      </c>
      <c r="G102" s="137" t="s">
        <v>193</v>
      </c>
      <c r="H102" s="137" t="s">
        <v>193</v>
      </c>
      <c r="I102" s="137" t="s">
        <v>193</v>
      </c>
      <c r="J102" s="137" t="s">
        <v>219</v>
      </c>
      <c r="K102" s="137" t="s">
        <v>193</v>
      </c>
      <c r="L102" s="137" t="s">
        <v>193</v>
      </c>
      <c r="M102" s="137" t="s">
        <v>193</v>
      </c>
      <c r="N102" s="137" t="s">
        <v>193</v>
      </c>
      <c r="O102" s="137" t="s">
        <v>193</v>
      </c>
      <c r="P102" s="137" t="s">
        <v>219</v>
      </c>
      <c r="Q102" s="137" t="s">
        <v>193</v>
      </c>
      <c r="R102" s="137" t="s">
        <v>193</v>
      </c>
      <c r="S102" s="137" t="s">
        <v>193</v>
      </c>
      <c r="T102" s="137" t="s">
        <v>193</v>
      </c>
      <c r="U102" s="137" t="s">
        <v>193</v>
      </c>
      <c r="X102" s="12">
        <f t="shared" si="1"/>
        <v>0</v>
      </c>
    </row>
    <row r="103" spans="1:24" ht="15" customHeight="1" x14ac:dyDescent="0.25">
      <c r="A103" s="137" t="s">
        <v>324</v>
      </c>
      <c r="B103" s="137" t="s">
        <v>331</v>
      </c>
      <c r="C103" s="137">
        <v>2018</v>
      </c>
      <c r="D103" s="137" t="s">
        <v>193</v>
      </c>
      <c r="E103" s="137" t="s">
        <v>193</v>
      </c>
      <c r="F103" s="137" t="s">
        <v>193</v>
      </c>
      <c r="G103" s="137" t="s">
        <v>193</v>
      </c>
      <c r="H103" s="137" t="s">
        <v>193</v>
      </c>
      <c r="I103" s="137" t="s">
        <v>193</v>
      </c>
      <c r="J103" s="137" t="s">
        <v>219</v>
      </c>
      <c r="K103" s="137" t="s">
        <v>193</v>
      </c>
      <c r="L103" s="137" t="s">
        <v>193</v>
      </c>
      <c r="M103" s="137" t="s">
        <v>193</v>
      </c>
      <c r="N103" s="137" t="s">
        <v>193</v>
      </c>
      <c r="O103" s="137" t="s">
        <v>193</v>
      </c>
      <c r="P103" s="137" t="s">
        <v>219</v>
      </c>
      <c r="Q103" s="137" t="s">
        <v>193</v>
      </c>
      <c r="R103" s="137" t="s">
        <v>193</v>
      </c>
      <c r="S103" s="137" t="s">
        <v>193</v>
      </c>
      <c r="T103" s="137" t="s">
        <v>193</v>
      </c>
      <c r="U103" s="137" t="s">
        <v>193</v>
      </c>
      <c r="X103" s="12">
        <f t="shared" si="1"/>
        <v>0</v>
      </c>
    </row>
    <row r="104" spans="1:24" ht="15" customHeight="1" x14ac:dyDescent="0.25">
      <c r="A104" s="137" t="s">
        <v>332</v>
      </c>
      <c r="B104" s="137" t="s">
        <v>333</v>
      </c>
      <c r="C104" s="137">
        <v>2018</v>
      </c>
      <c r="D104" s="137" t="s">
        <v>53</v>
      </c>
      <c r="E104" s="137" t="s">
        <v>193</v>
      </c>
      <c r="F104" s="137" t="s">
        <v>193</v>
      </c>
      <c r="G104" s="137" t="s">
        <v>193</v>
      </c>
      <c r="H104" s="137" t="s">
        <v>193</v>
      </c>
      <c r="I104" s="137" t="s">
        <v>193</v>
      </c>
      <c r="J104" s="137" t="s">
        <v>53</v>
      </c>
      <c r="K104" s="137" t="s">
        <v>193</v>
      </c>
      <c r="L104" s="137" t="s">
        <v>193</v>
      </c>
      <c r="M104" s="137" t="s">
        <v>193</v>
      </c>
      <c r="N104" s="137" t="s">
        <v>193</v>
      </c>
      <c r="O104" s="137" t="s">
        <v>193</v>
      </c>
      <c r="P104" s="137" t="s">
        <v>53</v>
      </c>
      <c r="Q104" s="137" t="s">
        <v>193</v>
      </c>
      <c r="R104" s="137" t="s">
        <v>193</v>
      </c>
      <c r="S104" s="137" t="s">
        <v>193</v>
      </c>
      <c r="T104" s="137" t="s">
        <v>193</v>
      </c>
      <c r="U104" s="137" t="s">
        <v>193</v>
      </c>
      <c r="X104" s="12">
        <f t="shared" si="1"/>
        <v>0</v>
      </c>
    </row>
    <row r="105" spans="1:24" ht="15" customHeight="1" x14ac:dyDescent="0.25">
      <c r="A105" s="137" t="s">
        <v>332</v>
      </c>
      <c r="B105" s="137" t="s">
        <v>334</v>
      </c>
      <c r="C105" s="137">
        <v>2018</v>
      </c>
      <c r="D105" s="137" t="s">
        <v>53</v>
      </c>
      <c r="E105" s="137" t="s">
        <v>193</v>
      </c>
      <c r="F105" s="137" t="s">
        <v>193</v>
      </c>
      <c r="G105" s="137" t="s">
        <v>193</v>
      </c>
      <c r="H105" s="137" t="s">
        <v>193</v>
      </c>
      <c r="I105" s="137" t="s">
        <v>193</v>
      </c>
      <c r="J105" s="137" t="s">
        <v>53</v>
      </c>
      <c r="K105" s="137" t="s">
        <v>193</v>
      </c>
      <c r="L105" s="137" t="s">
        <v>193</v>
      </c>
      <c r="M105" s="137" t="s">
        <v>193</v>
      </c>
      <c r="N105" s="137" t="s">
        <v>193</v>
      </c>
      <c r="O105" s="137" t="s">
        <v>193</v>
      </c>
      <c r="P105" s="137" t="s">
        <v>53</v>
      </c>
      <c r="Q105" s="137" t="s">
        <v>193</v>
      </c>
      <c r="R105" s="137" t="s">
        <v>193</v>
      </c>
      <c r="S105" s="137" t="s">
        <v>193</v>
      </c>
      <c r="T105" s="137" t="s">
        <v>193</v>
      </c>
      <c r="U105" s="137" t="s">
        <v>193</v>
      </c>
      <c r="X105" s="12">
        <f t="shared" si="1"/>
        <v>0</v>
      </c>
    </row>
    <row r="106" spans="1:24" ht="15" customHeight="1" x14ac:dyDescent="0.25">
      <c r="A106" s="137" t="s">
        <v>335</v>
      </c>
      <c r="B106" s="137" t="s">
        <v>336</v>
      </c>
      <c r="C106" s="137">
        <v>2018</v>
      </c>
      <c r="D106" s="137" t="s">
        <v>53</v>
      </c>
      <c r="E106" s="137" t="s">
        <v>193</v>
      </c>
      <c r="F106" s="137" t="s">
        <v>193</v>
      </c>
      <c r="G106" s="137" t="s">
        <v>193</v>
      </c>
      <c r="H106" s="137" t="s">
        <v>193</v>
      </c>
      <c r="I106" s="137" t="s">
        <v>193</v>
      </c>
      <c r="J106" s="137" t="s">
        <v>53</v>
      </c>
      <c r="K106" s="137" t="s">
        <v>193</v>
      </c>
      <c r="L106" s="137" t="s">
        <v>193</v>
      </c>
      <c r="M106" s="137" t="s">
        <v>193</v>
      </c>
      <c r="N106" s="137" t="s">
        <v>193</v>
      </c>
      <c r="O106" s="137" t="s">
        <v>193</v>
      </c>
      <c r="P106" s="137" t="s">
        <v>53</v>
      </c>
      <c r="Q106" s="137" t="s">
        <v>193</v>
      </c>
      <c r="R106" s="137" t="s">
        <v>193</v>
      </c>
      <c r="S106" s="137" t="s">
        <v>193</v>
      </c>
      <c r="T106" s="137" t="s">
        <v>193</v>
      </c>
      <c r="U106" s="137" t="s">
        <v>193</v>
      </c>
      <c r="X106" s="12">
        <f t="shared" si="1"/>
        <v>0</v>
      </c>
    </row>
    <row r="107" spans="1:24" ht="15" customHeight="1" x14ac:dyDescent="0.25">
      <c r="A107" s="137" t="s">
        <v>337</v>
      </c>
      <c r="B107" s="137" t="s">
        <v>338</v>
      </c>
      <c r="C107" s="137">
        <v>2018</v>
      </c>
      <c r="D107" s="137" t="s">
        <v>53</v>
      </c>
      <c r="E107" s="137" t="s">
        <v>193</v>
      </c>
      <c r="F107" s="137" t="s">
        <v>193</v>
      </c>
      <c r="G107" s="137" t="s">
        <v>193</v>
      </c>
      <c r="H107" s="137" t="s">
        <v>193</v>
      </c>
      <c r="I107" s="137" t="s">
        <v>193</v>
      </c>
      <c r="J107" s="137" t="s">
        <v>53</v>
      </c>
      <c r="K107" s="137" t="s">
        <v>193</v>
      </c>
      <c r="L107" s="137" t="s">
        <v>193</v>
      </c>
      <c r="M107" s="137" t="s">
        <v>193</v>
      </c>
      <c r="N107" s="137" t="s">
        <v>193</v>
      </c>
      <c r="O107" s="137" t="s">
        <v>193</v>
      </c>
      <c r="P107" s="137" t="s">
        <v>53</v>
      </c>
      <c r="Q107" s="137" t="s">
        <v>193</v>
      </c>
      <c r="R107" s="137" t="s">
        <v>193</v>
      </c>
      <c r="S107" s="137" t="s">
        <v>193</v>
      </c>
      <c r="T107" s="137" t="s">
        <v>193</v>
      </c>
      <c r="U107" s="137" t="s">
        <v>193</v>
      </c>
      <c r="X107" s="12">
        <f t="shared" si="1"/>
        <v>0</v>
      </c>
    </row>
    <row r="108" spans="1:24" ht="15" customHeight="1" x14ac:dyDescent="0.25">
      <c r="A108" s="137" t="s">
        <v>337</v>
      </c>
      <c r="B108" s="137" t="s">
        <v>339</v>
      </c>
      <c r="C108" s="137">
        <v>2018</v>
      </c>
      <c r="D108" s="137" t="s">
        <v>53</v>
      </c>
      <c r="E108" s="137" t="s">
        <v>193</v>
      </c>
      <c r="F108" s="137" t="s">
        <v>193</v>
      </c>
      <c r="G108" s="137" t="s">
        <v>193</v>
      </c>
      <c r="H108" s="137" t="s">
        <v>193</v>
      </c>
      <c r="I108" s="137" t="s">
        <v>193</v>
      </c>
      <c r="J108" s="137" t="s">
        <v>53</v>
      </c>
      <c r="K108" s="137" t="s">
        <v>193</v>
      </c>
      <c r="L108" s="137" t="s">
        <v>193</v>
      </c>
      <c r="M108" s="137" t="s">
        <v>193</v>
      </c>
      <c r="N108" s="137" t="s">
        <v>193</v>
      </c>
      <c r="O108" s="137" t="s">
        <v>193</v>
      </c>
      <c r="P108" s="137" t="s">
        <v>53</v>
      </c>
      <c r="Q108" s="137" t="s">
        <v>193</v>
      </c>
      <c r="R108" s="137" t="s">
        <v>193</v>
      </c>
      <c r="S108" s="137" t="s">
        <v>193</v>
      </c>
      <c r="T108" s="137" t="s">
        <v>193</v>
      </c>
      <c r="U108" s="137" t="s">
        <v>193</v>
      </c>
      <c r="X108" s="12">
        <f t="shared" si="1"/>
        <v>0</v>
      </c>
    </row>
    <row r="109" spans="1:24" ht="15" customHeight="1" x14ac:dyDescent="0.25">
      <c r="A109" s="137" t="s">
        <v>337</v>
      </c>
      <c r="B109" s="137" t="s">
        <v>340</v>
      </c>
      <c r="C109" s="137">
        <v>2018</v>
      </c>
      <c r="D109" s="137" t="s">
        <v>53</v>
      </c>
      <c r="E109" s="137" t="s">
        <v>193</v>
      </c>
      <c r="F109" s="137" t="s">
        <v>193</v>
      </c>
      <c r="G109" s="137" t="s">
        <v>193</v>
      </c>
      <c r="H109" s="137" t="s">
        <v>193</v>
      </c>
      <c r="I109" s="137" t="s">
        <v>193</v>
      </c>
      <c r="J109" s="137" t="s">
        <v>53</v>
      </c>
      <c r="K109" s="137" t="s">
        <v>193</v>
      </c>
      <c r="L109" s="137" t="s">
        <v>193</v>
      </c>
      <c r="M109" s="137" t="s">
        <v>193</v>
      </c>
      <c r="N109" s="137" t="s">
        <v>193</v>
      </c>
      <c r="O109" s="137" t="s">
        <v>193</v>
      </c>
      <c r="P109" s="137" t="s">
        <v>53</v>
      </c>
      <c r="Q109" s="137" t="s">
        <v>193</v>
      </c>
      <c r="R109" s="137" t="s">
        <v>193</v>
      </c>
      <c r="S109" s="137" t="s">
        <v>193</v>
      </c>
      <c r="T109" s="137" t="s">
        <v>193</v>
      </c>
      <c r="U109" s="137" t="s">
        <v>193</v>
      </c>
      <c r="X109" s="12">
        <f t="shared" si="1"/>
        <v>0</v>
      </c>
    </row>
    <row r="110" spans="1:24" ht="15" customHeight="1" x14ac:dyDescent="0.25">
      <c r="A110" s="137" t="s">
        <v>341</v>
      </c>
      <c r="B110" s="137" t="s">
        <v>342</v>
      </c>
      <c r="C110" s="137">
        <v>2018</v>
      </c>
      <c r="D110" s="137" t="s">
        <v>53</v>
      </c>
      <c r="E110" s="137" t="s">
        <v>193</v>
      </c>
      <c r="F110" s="137" t="s">
        <v>193</v>
      </c>
      <c r="G110" s="137" t="s">
        <v>193</v>
      </c>
      <c r="H110" s="137" t="s">
        <v>193</v>
      </c>
      <c r="I110" s="137" t="s">
        <v>193</v>
      </c>
      <c r="J110" s="137" t="s">
        <v>53</v>
      </c>
      <c r="K110" s="137" t="s">
        <v>193</v>
      </c>
      <c r="L110" s="137" t="s">
        <v>193</v>
      </c>
      <c r="M110" s="137" t="s">
        <v>193</v>
      </c>
      <c r="N110" s="137" t="s">
        <v>193</v>
      </c>
      <c r="O110" s="137" t="s">
        <v>193</v>
      </c>
      <c r="P110" s="137" t="s">
        <v>53</v>
      </c>
      <c r="Q110" s="137" t="s">
        <v>193</v>
      </c>
      <c r="R110" s="137" t="s">
        <v>193</v>
      </c>
      <c r="S110" s="137" t="s">
        <v>193</v>
      </c>
      <c r="T110" s="137" t="s">
        <v>193</v>
      </c>
      <c r="U110" s="137" t="s">
        <v>193</v>
      </c>
      <c r="X110" s="12">
        <f t="shared" si="1"/>
        <v>0</v>
      </c>
    </row>
    <row r="111" spans="1:24" ht="15" customHeight="1" x14ac:dyDescent="0.25">
      <c r="A111" s="137" t="s">
        <v>343</v>
      </c>
      <c r="B111" s="137" t="s">
        <v>344</v>
      </c>
      <c r="C111" s="137">
        <v>2018</v>
      </c>
      <c r="D111" s="137" t="s">
        <v>770</v>
      </c>
      <c r="E111" s="137" t="s">
        <v>193</v>
      </c>
      <c r="F111" s="137" t="s">
        <v>193</v>
      </c>
      <c r="G111" s="137" t="s">
        <v>193</v>
      </c>
      <c r="H111" s="137" t="s">
        <v>193</v>
      </c>
      <c r="I111" s="137" t="s">
        <v>193</v>
      </c>
      <c r="J111" s="137" t="s">
        <v>193</v>
      </c>
      <c r="K111" s="137" t="s">
        <v>193</v>
      </c>
      <c r="L111" s="137" t="s">
        <v>193</v>
      </c>
      <c r="M111" s="137" t="s">
        <v>193</v>
      </c>
      <c r="N111" s="137" t="s">
        <v>193</v>
      </c>
      <c r="O111" s="137" t="s">
        <v>193</v>
      </c>
      <c r="P111" s="137" t="s">
        <v>193</v>
      </c>
      <c r="Q111" s="137" t="s">
        <v>193</v>
      </c>
      <c r="R111" s="137" t="s">
        <v>193</v>
      </c>
      <c r="S111" s="137" t="s">
        <v>193</v>
      </c>
      <c r="T111" s="137" t="s">
        <v>193</v>
      </c>
      <c r="U111" s="137" t="s">
        <v>193</v>
      </c>
      <c r="X111" s="12">
        <f t="shared" si="1"/>
        <v>0</v>
      </c>
    </row>
    <row r="112" spans="1:24" ht="15" customHeight="1" x14ac:dyDescent="0.25">
      <c r="A112" s="137" t="s">
        <v>345</v>
      </c>
      <c r="B112" s="137" t="s">
        <v>346</v>
      </c>
      <c r="C112" s="137">
        <v>2018</v>
      </c>
      <c r="D112" s="137" t="s">
        <v>788</v>
      </c>
      <c r="E112" s="137" t="s">
        <v>780</v>
      </c>
      <c r="F112" s="137">
        <v>0.9</v>
      </c>
      <c r="G112" s="137" t="s">
        <v>193</v>
      </c>
      <c r="H112" s="137" t="s">
        <v>193</v>
      </c>
      <c r="I112" s="137">
        <v>81</v>
      </c>
      <c r="J112" s="137" t="s">
        <v>53</v>
      </c>
      <c r="K112" s="137" t="s">
        <v>193</v>
      </c>
      <c r="L112" s="137" t="s">
        <v>193</v>
      </c>
      <c r="M112" s="137" t="s">
        <v>193</v>
      </c>
      <c r="N112" s="137" t="s">
        <v>193</v>
      </c>
      <c r="O112" s="137" t="s">
        <v>193</v>
      </c>
      <c r="P112" s="137" t="s">
        <v>53</v>
      </c>
      <c r="Q112" s="137" t="s">
        <v>193</v>
      </c>
      <c r="R112" s="137" t="s">
        <v>193</v>
      </c>
      <c r="S112" s="137" t="s">
        <v>193</v>
      </c>
      <c r="T112" s="137" t="s">
        <v>193</v>
      </c>
      <c r="U112" s="137" t="s">
        <v>193</v>
      </c>
      <c r="X112" s="12">
        <f t="shared" si="1"/>
        <v>0</v>
      </c>
    </row>
    <row r="113" spans="1:24" ht="15" customHeight="1" x14ac:dyDescent="0.25">
      <c r="A113" s="137" t="s">
        <v>345</v>
      </c>
      <c r="B113" s="137" t="s">
        <v>347</v>
      </c>
      <c r="C113" s="137">
        <v>2018</v>
      </c>
      <c r="D113" s="137" t="s">
        <v>789</v>
      </c>
      <c r="E113" s="137" t="s">
        <v>790</v>
      </c>
      <c r="F113" s="137">
        <v>40.4</v>
      </c>
      <c r="G113" s="137" t="s">
        <v>791</v>
      </c>
      <c r="H113" s="137">
        <v>0.7</v>
      </c>
      <c r="I113" s="137" t="s">
        <v>193</v>
      </c>
      <c r="J113" s="137" t="s">
        <v>53</v>
      </c>
      <c r="K113" s="137" t="s">
        <v>193</v>
      </c>
      <c r="L113" s="137">
        <v>0</v>
      </c>
      <c r="M113" s="137" t="s">
        <v>193</v>
      </c>
      <c r="N113" s="137" t="s">
        <v>193</v>
      </c>
      <c r="O113" s="137" t="s">
        <v>193</v>
      </c>
      <c r="P113" s="137" t="s">
        <v>53</v>
      </c>
      <c r="Q113" s="137" t="s">
        <v>193</v>
      </c>
      <c r="R113" s="137" t="s">
        <v>193</v>
      </c>
      <c r="S113" s="137" t="s">
        <v>193</v>
      </c>
      <c r="T113" s="137" t="s">
        <v>193</v>
      </c>
      <c r="U113" s="137" t="s">
        <v>193</v>
      </c>
      <c r="X113" s="12">
        <f t="shared" si="1"/>
        <v>0</v>
      </c>
    </row>
    <row r="114" spans="1:24" ht="15" customHeight="1" x14ac:dyDescent="0.25">
      <c r="A114" s="137" t="s">
        <v>348</v>
      </c>
      <c r="B114" s="137" t="s">
        <v>349</v>
      </c>
      <c r="C114" s="137">
        <v>2018</v>
      </c>
      <c r="D114" s="137" t="s">
        <v>53</v>
      </c>
      <c r="E114" s="137" t="s">
        <v>193</v>
      </c>
      <c r="F114" s="137" t="s">
        <v>193</v>
      </c>
      <c r="G114" s="137" t="s">
        <v>193</v>
      </c>
      <c r="H114" s="137" t="s">
        <v>193</v>
      </c>
      <c r="I114" s="137" t="s">
        <v>193</v>
      </c>
      <c r="J114" s="137" t="s">
        <v>53</v>
      </c>
      <c r="K114" s="137" t="s">
        <v>193</v>
      </c>
      <c r="L114" s="137" t="s">
        <v>193</v>
      </c>
      <c r="M114" s="137" t="s">
        <v>193</v>
      </c>
      <c r="N114" s="137" t="s">
        <v>193</v>
      </c>
      <c r="O114" s="137" t="s">
        <v>193</v>
      </c>
      <c r="P114" s="137" t="s">
        <v>53</v>
      </c>
      <c r="Q114" s="137" t="s">
        <v>193</v>
      </c>
      <c r="R114" s="137" t="s">
        <v>193</v>
      </c>
      <c r="S114" s="137" t="s">
        <v>193</v>
      </c>
      <c r="T114" s="137" t="s">
        <v>193</v>
      </c>
      <c r="U114" s="137" t="s">
        <v>193</v>
      </c>
      <c r="X114" s="12">
        <f t="shared" si="1"/>
        <v>0</v>
      </c>
    </row>
    <row r="115" spans="1:24" ht="15" customHeight="1" x14ac:dyDescent="0.25">
      <c r="A115" s="137" t="s">
        <v>348</v>
      </c>
      <c r="B115" s="137" t="s">
        <v>350</v>
      </c>
      <c r="C115" s="137">
        <v>2018</v>
      </c>
      <c r="D115" s="137" t="s">
        <v>53</v>
      </c>
      <c r="E115" s="137" t="s">
        <v>193</v>
      </c>
      <c r="F115" s="137" t="s">
        <v>193</v>
      </c>
      <c r="G115" s="137" t="s">
        <v>193</v>
      </c>
      <c r="H115" s="137" t="s">
        <v>193</v>
      </c>
      <c r="I115" s="137" t="s">
        <v>193</v>
      </c>
      <c r="J115" s="137" t="s">
        <v>53</v>
      </c>
      <c r="K115" s="137" t="s">
        <v>193</v>
      </c>
      <c r="L115" s="137" t="s">
        <v>193</v>
      </c>
      <c r="M115" s="137" t="s">
        <v>193</v>
      </c>
      <c r="N115" s="137" t="s">
        <v>193</v>
      </c>
      <c r="O115" s="137" t="s">
        <v>193</v>
      </c>
      <c r="P115" s="137" t="s">
        <v>53</v>
      </c>
      <c r="Q115" s="137" t="s">
        <v>193</v>
      </c>
      <c r="R115" s="137" t="s">
        <v>193</v>
      </c>
      <c r="S115" s="137" t="s">
        <v>193</v>
      </c>
      <c r="T115" s="137" t="s">
        <v>193</v>
      </c>
      <c r="U115" s="137" t="s">
        <v>193</v>
      </c>
      <c r="X115" s="12">
        <f t="shared" si="1"/>
        <v>0</v>
      </c>
    </row>
    <row r="116" spans="1:24" ht="15" customHeight="1" x14ac:dyDescent="0.25">
      <c r="A116" s="137" t="s">
        <v>348</v>
      </c>
      <c r="B116" s="137" t="s">
        <v>351</v>
      </c>
      <c r="C116" s="137">
        <v>2018</v>
      </c>
      <c r="D116" s="137" t="s">
        <v>53</v>
      </c>
      <c r="E116" s="137" t="s">
        <v>193</v>
      </c>
      <c r="F116" s="137" t="s">
        <v>193</v>
      </c>
      <c r="G116" s="137" t="s">
        <v>193</v>
      </c>
      <c r="H116" s="137" t="s">
        <v>193</v>
      </c>
      <c r="I116" s="137" t="s">
        <v>193</v>
      </c>
      <c r="J116" s="137" t="s">
        <v>53</v>
      </c>
      <c r="K116" s="137" t="s">
        <v>193</v>
      </c>
      <c r="L116" s="137" t="s">
        <v>193</v>
      </c>
      <c r="M116" s="137" t="s">
        <v>193</v>
      </c>
      <c r="N116" s="137" t="s">
        <v>193</v>
      </c>
      <c r="O116" s="137" t="s">
        <v>193</v>
      </c>
      <c r="P116" s="137" t="s">
        <v>53</v>
      </c>
      <c r="Q116" s="137" t="s">
        <v>193</v>
      </c>
      <c r="R116" s="137" t="s">
        <v>193</v>
      </c>
      <c r="S116" s="137" t="s">
        <v>193</v>
      </c>
      <c r="T116" s="137" t="s">
        <v>193</v>
      </c>
      <c r="U116" s="137" t="s">
        <v>193</v>
      </c>
      <c r="X116" s="12">
        <f t="shared" si="1"/>
        <v>0</v>
      </c>
    </row>
    <row r="117" spans="1:24" ht="15" customHeight="1" x14ac:dyDescent="0.25">
      <c r="A117" s="137" t="s">
        <v>348</v>
      </c>
      <c r="B117" s="137" t="s">
        <v>352</v>
      </c>
      <c r="C117" s="137">
        <v>2018</v>
      </c>
      <c r="D117" s="137" t="s">
        <v>53</v>
      </c>
      <c r="E117" s="137" t="s">
        <v>53</v>
      </c>
      <c r="F117" s="137" t="s">
        <v>193</v>
      </c>
      <c r="G117" s="137" t="s">
        <v>53</v>
      </c>
      <c r="H117" s="137" t="s">
        <v>193</v>
      </c>
      <c r="I117" s="137" t="s">
        <v>193</v>
      </c>
      <c r="J117" s="137" t="s">
        <v>53</v>
      </c>
      <c r="K117" s="137" t="s">
        <v>53</v>
      </c>
      <c r="L117" s="137" t="s">
        <v>193</v>
      </c>
      <c r="M117" s="137" t="s">
        <v>53</v>
      </c>
      <c r="N117" s="137" t="s">
        <v>193</v>
      </c>
      <c r="O117" s="137" t="s">
        <v>193</v>
      </c>
      <c r="P117" s="137" t="s">
        <v>53</v>
      </c>
      <c r="Q117" s="137" t="s">
        <v>53</v>
      </c>
      <c r="R117" s="137" t="s">
        <v>193</v>
      </c>
      <c r="S117" s="137" t="s">
        <v>53</v>
      </c>
      <c r="T117" s="137" t="s">
        <v>193</v>
      </c>
      <c r="U117" s="137" t="s">
        <v>193</v>
      </c>
      <c r="X117" s="12">
        <f t="shared" si="1"/>
        <v>0</v>
      </c>
    </row>
    <row r="118" spans="1:24" ht="15" customHeight="1" x14ac:dyDescent="0.25">
      <c r="A118" s="137" t="s">
        <v>353</v>
      </c>
      <c r="B118" s="137" t="s">
        <v>78</v>
      </c>
      <c r="C118" s="137">
        <v>2018</v>
      </c>
      <c r="D118" s="137" t="s">
        <v>792</v>
      </c>
      <c r="E118" s="137" t="s">
        <v>769</v>
      </c>
      <c r="F118" s="137">
        <v>22.327000000000002</v>
      </c>
      <c r="G118" s="137" t="s">
        <v>193</v>
      </c>
      <c r="H118" s="137" t="s">
        <v>193</v>
      </c>
      <c r="I118" s="137" t="s">
        <v>193</v>
      </c>
      <c r="J118" s="137" t="s">
        <v>53</v>
      </c>
      <c r="K118" s="137" t="s">
        <v>193</v>
      </c>
      <c r="L118" s="137" t="s">
        <v>193</v>
      </c>
      <c r="M118" s="137" t="s">
        <v>193</v>
      </c>
      <c r="N118" s="137" t="s">
        <v>193</v>
      </c>
      <c r="O118" s="137" t="s">
        <v>193</v>
      </c>
      <c r="P118" s="137" t="s">
        <v>53</v>
      </c>
      <c r="Q118" s="137" t="s">
        <v>193</v>
      </c>
      <c r="R118" s="137" t="s">
        <v>193</v>
      </c>
      <c r="S118" s="137" t="s">
        <v>193</v>
      </c>
      <c r="T118" s="137" t="s">
        <v>193</v>
      </c>
      <c r="U118" s="137" t="s">
        <v>193</v>
      </c>
      <c r="X118" s="12">
        <f t="shared" si="1"/>
        <v>0</v>
      </c>
    </row>
    <row r="119" spans="1:24" ht="15" customHeight="1" x14ac:dyDescent="0.25">
      <c r="A119" s="137" t="s">
        <v>354</v>
      </c>
      <c r="B119" s="137" t="s">
        <v>355</v>
      </c>
      <c r="C119" s="137">
        <v>2018</v>
      </c>
      <c r="D119" s="137" t="s">
        <v>53</v>
      </c>
      <c r="E119" s="137" t="s">
        <v>193</v>
      </c>
      <c r="F119" s="137" t="s">
        <v>193</v>
      </c>
      <c r="G119" s="137" t="s">
        <v>193</v>
      </c>
      <c r="H119" s="137" t="s">
        <v>193</v>
      </c>
      <c r="I119" s="137" t="s">
        <v>193</v>
      </c>
      <c r="J119" s="137" t="s">
        <v>53</v>
      </c>
      <c r="K119" s="137" t="s">
        <v>193</v>
      </c>
      <c r="L119" s="137" t="s">
        <v>193</v>
      </c>
      <c r="M119" s="137" t="s">
        <v>193</v>
      </c>
      <c r="N119" s="137" t="s">
        <v>193</v>
      </c>
      <c r="O119" s="137" t="s">
        <v>193</v>
      </c>
      <c r="P119" s="137" t="s">
        <v>53</v>
      </c>
      <c r="Q119" s="137" t="s">
        <v>193</v>
      </c>
      <c r="R119" s="137" t="s">
        <v>193</v>
      </c>
      <c r="S119" s="137" t="s">
        <v>193</v>
      </c>
      <c r="T119" s="137" t="s">
        <v>193</v>
      </c>
      <c r="U119" s="137" t="s">
        <v>193</v>
      </c>
      <c r="X119" s="12">
        <f t="shared" si="1"/>
        <v>0</v>
      </c>
    </row>
    <row r="120" spans="1:24" ht="15" customHeight="1" x14ac:dyDescent="0.25">
      <c r="A120" s="137" t="s">
        <v>356</v>
      </c>
      <c r="B120" s="137" t="s">
        <v>357</v>
      </c>
      <c r="C120" s="137">
        <v>2018</v>
      </c>
      <c r="D120" s="137" t="s">
        <v>53</v>
      </c>
      <c r="E120" s="137" t="s">
        <v>193</v>
      </c>
      <c r="F120" s="137" t="s">
        <v>193</v>
      </c>
      <c r="G120" s="137" t="s">
        <v>193</v>
      </c>
      <c r="H120" s="137" t="s">
        <v>193</v>
      </c>
      <c r="I120" s="137" t="s">
        <v>193</v>
      </c>
      <c r="J120" s="137" t="s">
        <v>53</v>
      </c>
      <c r="K120" s="137" t="s">
        <v>193</v>
      </c>
      <c r="L120" s="137" t="s">
        <v>193</v>
      </c>
      <c r="M120" s="137" t="s">
        <v>193</v>
      </c>
      <c r="N120" s="137" t="s">
        <v>193</v>
      </c>
      <c r="O120" s="137" t="s">
        <v>193</v>
      </c>
      <c r="P120" s="137" t="s">
        <v>53</v>
      </c>
      <c r="Q120" s="137" t="s">
        <v>193</v>
      </c>
      <c r="R120" s="137" t="s">
        <v>193</v>
      </c>
      <c r="S120" s="137" t="s">
        <v>193</v>
      </c>
      <c r="T120" s="137" t="s">
        <v>193</v>
      </c>
      <c r="U120" s="137" t="s">
        <v>193</v>
      </c>
      <c r="X120" s="12">
        <f t="shared" si="1"/>
        <v>0</v>
      </c>
    </row>
    <row r="121" spans="1:24" ht="15" customHeight="1" x14ac:dyDescent="0.25">
      <c r="A121" s="137" t="s">
        <v>358</v>
      </c>
      <c r="B121" s="137" t="s">
        <v>359</v>
      </c>
      <c r="C121" s="137">
        <v>2018</v>
      </c>
      <c r="D121" s="137" t="s">
        <v>193</v>
      </c>
      <c r="E121" s="137" t="s">
        <v>193</v>
      </c>
      <c r="F121" s="137" t="s">
        <v>193</v>
      </c>
      <c r="G121" s="137" t="s">
        <v>193</v>
      </c>
      <c r="H121" s="137" t="s">
        <v>193</v>
      </c>
      <c r="I121" s="137" t="s">
        <v>193</v>
      </c>
      <c r="J121" s="137" t="s">
        <v>53</v>
      </c>
      <c r="K121" s="137" t="s">
        <v>193</v>
      </c>
      <c r="L121" s="137" t="s">
        <v>193</v>
      </c>
      <c r="M121" s="137" t="s">
        <v>193</v>
      </c>
      <c r="N121" s="137" t="s">
        <v>193</v>
      </c>
      <c r="O121" s="137" t="s">
        <v>193</v>
      </c>
      <c r="P121" s="137" t="s">
        <v>53</v>
      </c>
      <c r="Q121" s="137" t="s">
        <v>193</v>
      </c>
      <c r="R121" s="137" t="s">
        <v>193</v>
      </c>
      <c r="S121" s="137" t="s">
        <v>193</v>
      </c>
      <c r="T121" s="137" t="s">
        <v>193</v>
      </c>
      <c r="U121" s="137" t="s">
        <v>193</v>
      </c>
      <c r="X121" s="12">
        <f t="shared" si="1"/>
        <v>0</v>
      </c>
    </row>
    <row r="122" spans="1:24" ht="15" customHeight="1" x14ac:dyDescent="0.25">
      <c r="A122" s="137" t="s">
        <v>358</v>
      </c>
      <c r="B122" s="137" t="s">
        <v>360</v>
      </c>
      <c r="C122" s="137">
        <v>2018</v>
      </c>
      <c r="D122" s="137" t="s">
        <v>53</v>
      </c>
      <c r="E122" s="137" t="s">
        <v>193</v>
      </c>
      <c r="F122" s="137" t="s">
        <v>193</v>
      </c>
      <c r="G122" s="137" t="s">
        <v>193</v>
      </c>
      <c r="H122" s="137" t="s">
        <v>193</v>
      </c>
      <c r="I122" s="137" t="s">
        <v>193</v>
      </c>
      <c r="J122" s="137" t="s">
        <v>53</v>
      </c>
      <c r="K122" s="137" t="s">
        <v>193</v>
      </c>
      <c r="L122" s="137" t="s">
        <v>193</v>
      </c>
      <c r="M122" s="137" t="s">
        <v>193</v>
      </c>
      <c r="N122" s="137" t="s">
        <v>193</v>
      </c>
      <c r="O122" s="137" t="s">
        <v>193</v>
      </c>
      <c r="P122" s="137" t="s">
        <v>53</v>
      </c>
      <c r="Q122" s="137" t="s">
        <v>193</v>
      </c>
      <c r="R122" s="137" t="s">
        <v>193</v>
      </c>
      <c r="S122" s="137" t="s">
        <v>193</v>
      </c>
      <c r="T122" s="137" t="s">
        <v>193</v>
      </c>
      <c r="U122" s="137" t="s">
        <v>193</v>
      </c>
      <c r="X122" s="12">
        <f t="shared" si="1"/>
        <v>0</v>
      </c>
    </row>
    <row r="123" spans="1:24" ht="15" customHeight="1" x14ac:dyDescent="0.25">
      <c r="A123" s="137" t="s">
        <v>362</v>
      </c>
      <c r="B123" s="137" t="s">
        <v>363</v>
      </c>
      <c r="C123" s="137">
        <v>2018</v>
      </c>
      <c r="D123" s="137" t="s">
        <v>219</v>
      </c>
      <c r="E123" s="137" t="s">
        <v>193</v>
      </c>
      <c r="F123" s="137" t="s">
        <v>193</v>
      </c>
      <c r="G123" s="137" t="s">
        <v>193</v>
      </c>
      <c r="H123" s="137" t="s">
        <v>193</v>
      </c>
      <c r="I123" s="137" t="s">
        <v>193</v>
      </c>
      <c r="J123" s="137" t="s">
        <v>219</v>
      </c>
      <c r="K123" s="137" t="s">
        <v>193</v>
      </c>
      <c r="L123" s="137" t="s">
        <v>193</v>
      </c>
      <c r="M123" s="137" t="s">
        <v>193</v>
      </c>
      <c r="N123" s="137" t="s">
        <v>193</v>
      </c>
      <c r="O123" s="137" t="s">
        <v>193</v>
      </c>
      <c r="P123" s="137" t="s">
        <v>219</v>
      </c>
      <c r="Q123" s="137" t="s">
        <v>193</v>
      </c>
      <c r="R123" s="137" t="s">
        <v>193</v>
      </c>
      <c r="S123" s="137" t="s">
        <v>193</v>
      </c>
      <c r="T123" s="137" t="s">
        <v>193</v>
      </c>
      <c r="U123" s="137" t="s">
        <v>193</v>
      </c>
      <c r="X123" s="12">
        <f t="shared" si="1"/>
        <v>0</v>
      </c>
    </row>
    <row r="124" spans="1:24" ht="15" customHeight="1" x14ac:dyDescent="0.25">
      <c r="A124" s="137" t="s">
        <v>364</v>
      </c>
      <c r="B124" s="137" t="s">
        <v>365</v>
      </c>
      <c r="C124" s="137">
        <v>2018</v>
      </c>
      <c r="D124" s="137" t="s">
        <v>53</v>
      </c>
      <c r="E124" s="137" t="s">
        <v>193</v>
      </c>
      <c r="F124" s="137" t="s">
        <v>193</v>
      </c>
      <c r="G124" s="137" t="s">
        <v>193</v>
      </c>
      <c r="H124" s="137" t="s">
        <v>193</v>
      </c>
      <c r="I124" s="137" t="s">
        <v>193</v>
      </c>
      <c r="J124" s="137" t="s">
        <v>53</v>
      </c>
      <c r="K124" s="137" t="s">
        <v>193</v>
      </c>
      <c r="L124" s="137" t="s">
        <v>193</v>
      </c>
      <c r="M124" s="137" t="s">
        <v>193</v>
      </c>
      <c r="N124" s="137" t="s">
        <v>193</v>
      </c>
      <c r="O124" s="137" t="s">
        <v>193</v>
      </c>
      <c r="P124" s="137" t="s">
        <v>53</v>
      </c>
      <c r="Q124" s="137" t="s">
        <v>193</v>
      </c>
      <c r="R124" s="137" t="s">
        <v>193</v>
      </c>
      <c r="S124" s="137" t="s">
        <v>193</v>
      </c>
      <c r="T124" s="137" t="s">
        <v>193</v>
      </c>
      <c r="U124" s="137" t="s">
        <v>193</v>
      </c>
      <c r="X124" s="12">
        <f t="shared" si="1"/>
        <v>0</v>
      </c>
    </row>
    <row r="125" spans="1:24" ht="15" customHeight="1" x14ac:dyDescent="0.25">
      <c r="A125" s="137" t="s">
        <v>366</v>
      </c>
      <c r="B125" s="137" t="s">
        <v>367</v>
      </c>
      <c r="C125" s="137">
        <v>2018</v>
      </c>
      <c r="D125" s="137" t="s">
        <v>53</v>
      </c>
      <c r="E125" s="137" t="s">
        <v>193</v>
      </c>
      <c r="F125" s="137" t="s">
        <v>193</v>
      </c>
      <c r="G125" s="137" t="s">
        <v>193</v>
      </c>
      <c r="H125" s="137" t="s">
        <v>193</v>
      </c>
      <c r="I125" s="137" t="s">
        <v>193</v>
      </c>
      <c r="J125" s="137" t="s">
        <v>53</v>
      </c>
      <c r="K125" s="137" t="s">
        <v>193</v>
      </c>
      <c r="L125" s="137" t="s">
        <v>193</v>
      </c>
      <c r="M125" s="137" t="s">
        <v>193</v>
      </c>
      <c r="N125" s="137" t="s">
        <v>193</v>
      </c>
      <c r="O125" s="137" t="s">
        <v>193</v>
      </c>
      <c r="P125" s="137" t="s">
        <v>53</v>
      </c>
      <c r="Q125" s="137" t="s">
        <v>193</v>
      </c>
      <c r="R125" s="137" t="s">
        <v>193</v>
      </c>
      <c r="S125" s="137" t="s">
        <v>193</v>
      </c>
      <c r="T125" s="137" t="s">
        <v>193</v>
      </c>
      <c r="U125" s="137" t="s">
        <v>193</v>
      </c>
      <c r="X125" s="12">
        <f t="shared" si="1"/>
        <v>0</v>
      </c>
    </row>
    <row r="126" spans="1:24" ht="15" customHeight="1" x14ac:dyDescent="0.25">
      <c r="A126" s="137" t="s">
        <v>366</v>
      </c>
      <c r="B126" s="137" t="s">
        <v>368</v>
      </c>
      <c r="C126" s="137">
        <v>2018</v>
      </c>
      <c r="D126" s="137" t="s">
        <v>793</v>
      </c>
      <c r="E126" s="137" t="s">
        <v>769</v>
      </c>
      <c r="F126" s="137">
        <v>15</v>
      </c>
      <c r="G126" s="137" t="s">
        <v>193</v>
      </c>
      <c r="H126" s="137" t="s">
        <v>193</v>
      </c>
      <c r="I126" s="137">
        <v>85</v>
      </c>
      <c r="J126" s="137" t="s">
        <v>53</v>
      </c>
      <c r="K126" s="137" t="s">
        <v>193</v>
      </c>
      <c r="L126" s="137" t="s">
        <v>193</v>
      </c>
      <c r="M126" s="137" t="s">
        <v>193</v>
      </c>
      <c r="N126" s="137" t="s">
        <v>193</v>
      </c>
      <c r="O126" s="137" t="s">
        <v>193</v>
      </c>
      <c r="P126" s="137" t="s">
        <v>53</v>
      </c>
      <c r="Q126" s="137" t="s">
        <v>193</v>
      </c>
      <c r="R126" s="137" t="s">
        <v>193</v>
      </c>
      <c r="S126" s="137" t="s">
        <v>193</v>
      </c>
      <c r="T126" s="137" t="s">
        <v>193</v>
      </c>
      <c r="U126" s="137" t="s">
        <v>193</v>
      </c>
      <c r="X126" s="12">
        <f t="shared" si="1"/>
        <v>0</v>
      </c>
    </row>
    <row r="127" spans="1:24" ht="15" customHeight="1" x14ac:dyDescent="0.25">
      <c r="A127" s="137" t="s">
        <v>366</v>
      </c>
      <c r="B127" s="137" t="s">
        <v>369</v>
      </c>
      <c r="C127" s="137">
        <v>2018</v>
      </c>
      <c r="D127" s="137" t="s">
        <v>53</v>
      </c>
      <c r="E127" s="137" t="s">
        <v>193</v>
      </c>
      <c r="F127" s="137" t="s">
        <v>193</v>
      </c>
      <c r="G127" s="137" t="s">
        <v>193</v>
      </c>
      <c r="H127" s="137" t="s">
        <v>193</v>
      </c>
      <c r="I127" s="137" t="s">
        <v>193</v>
      </c>
      <c r="J127" s="137" t="s">
        <v>53</v>
      </c>
      <c r="K127" s="137" t="s">
        <v>193</v>
      </c>
      <c r="L127" s="137" t="s">
        <v>193</v>
      </c>
      <c r="M127" s="137" t="s">
        <v>193</v>
      </c>
      <c r="N127" s="137" t="s">
        <v>193</v>
      </c>
      <c r="O127" s="137" t="s">
        <v>193</v>
      </c>
      <c r="P127" s="137" t="s">
        <v>53</v>
      </c>
      <c r="Q127" s="137" t="s">
        <v>193</v>
      </c>
      <c r="R127" s="137" t="s">
        <v>193</v>
      </c>
      <c r="S127" s="137" t="s">
        <v>193</v>
      </c>
      <c r="T127" s="137" t="s">
        <v>193</v>
      </c>
      <c r="U127" s="137" t="s">
        <v>193</v>
      </c>
      <c r="X127" s="12">
        <f t="shared" si="1"/>
        <v>0</v>
      </c>
    </row>
    <row r="128" spans="1:24" ht="15" customHeight="1" x14ac:dyDescent="0.25">
      <c r="A128" s="137" t="s">
        <v>366</v>
      </c>
      <c r="B128" s="137" t="s">
        <v>370</v>
      </c>
      <c r="C128" s="137">
        <v>2018</v>
      </c>
      <c r="D128" s="137" t="s">
        <v>53</v>
      </c>
      <c r="E128" s="137" t="s">
        <v>193</v>
      </c>
      <c r="F128" s="137" t="s">
        <v>193</v>
      </c>
      <c r="G128" s="137" t="s">
        <v>193</v>
      </c>
      <c r="H128" s="137" t="s">
        <v>193</v>
      </c>
      <c r="I128" s="137" t="s">
        <v>193</v>
      </c>
      <c r="J128" s="137" t="s">
        <v>53</v>
      </c>
      <c r="K128" s="137" t="s">
        <v>193</v>
      </c>
      <c r="L128" s="137" t="s">
        <v>193</v>
      </c>
      <c r="M128" s="137" t="s">
        <v>193</v>
      </c>
      <c r="N128" s="137" t="s">
        <v>193</v>
      </c>
      <c r="O128" s="137" t="s">
        <v>193</v>
      </c>
      <c r="P128" s="137" t="s">
        <v>53</v>
      </c>
      <c r="Q128" s="137" t="s">
        <v>193</v>
      </c>
      <c r="R128" s="137" t="s">
        <v>193</v>
      </c>
      <c r="S128" s="137" t="s">
        <v>193</v>
      </c>
      <c r="T128" s="137" t="s">
        <v>193</v>
      </c>
      <c r="U128" s="137" t="s">
        <v>193</v>
      </c>
      <c r="X128" s="12">
        <f t="shared" si="1"/>
        <v>0</v>
      </c>
    </row>
    <row r="129" spans="1:24" ht="15" customHeight="1" x14ac:dyDescent="0.25">
      <c r="A129" s="137" t="s">
        <v>371</v>
      </c>
      <c r="B129" s="137" t="s">
        <v>81</v>
      </c>
      <c r="C129" s="137">
        <v>2018</v>
      </c>
      <c r="D129" s="137" t="s">
        <v>53</v>
      </c>
      <c r="E129" s="137" t="s">
        <v>193</v>
      </c>
      <c r="F129" s="137" t="s">
        <v>193</v>
      </c>
      <c r="G129" s="137" t="s">
        <v>193</v>
      </c>
      <c r="H129" s="137" t="s">
        <v>193</v>
      </c>
      <c r="I129" s="137" t="s">
        <v>193</v>
      </c>
      <c r="J129" s="137" t="s">
        <v>53</v>
      </c>
      <c r="K129" s="137" t="s">
        <v>193</v>
      </c>
      <c r="L129" s="137" t="s">
        <v>193</v>
      </c>
      <c r="M129" s="137" t="s">
        <v>193</v>
      </c>
      <c r="N129" s="137" t="s">
        <v>193</v>
      </c>
      <c r="O129" s="137" t="s">
        <v>193</v>
      </c>
      <c r="P129" s="137" t="s">
        <v>53</v>
      </c>
      <c r="Q129" s="137" t="s">
        <v>193</v>
      </c>
      <c r="R129" s="137" t="s">
        <v>193</v>
      </c>
      <c r="S129" s="137" t="s">
        <v>193</v>
      </c>
      <c r="T129" s="137" t="s">
        <v>193</v>
      </c>
      <c r="U129" s="137" t="s">
        <v>193</v>
      </c>
      <c r="X129" s="12">
        <f t="shared" si="1"/>
        <v>0</v>
      </c>
    </row>
    <row r="130" spans="1:24" ht="15" customHeight="1" x14ac:dyDescent="0.25">
      <c r="A130" s="137" t="s">
        <v>372</v>
      </c>
      <c r="B130" s="137" t="s">
        <v>373</v>
      </c>
      <c r="C130" s="137">
        <v>2018</v>
      </c>
      <c r="D130" s="137" t="s">
        <v>53</v>
      </c>
      <c r="E130" s="137" t="s">
        <v>193</v>
      </c>
      <c r="F130" s="137" t="s">
        <v>193</v>
      </c>
      <c r="G130" s="137" t="s">
        <v>193</v>
      </c>
      <c r="H130" s="137" t="s">
        <v>193</v>
      </c>
      <c r="I130" s="137" t="s">
        <v>193</v>
      </c>
      <c r="J130" s="137" t="s">
        <v>53</v>
      </c>
      <c r="K130" s="137" t="s">
        <v>193</v>
      </c>
      <c r="L130" s="137" t="s">
        <v>193</v>
      </c>
      <c r="M130" s="137" t="s">
        <v>193</v>
      </c>
      <c r="N130" s="137" t="s">
        <v>193</v>
      </c>
      <c r="O130" s="137" t="s">
        <v>193</v>
      </c>
      <c r="P130" s="137" t="s">
        <v>53</v>
      </c>
      <c r="Q130" s="137" t="s">
        <v>193</v>
      </c>
      <c r="R130" s="137" t="s">
        <v>193</v>
      </c>
      <c r="S130" s="137" t="s">
        <v>193</v>
      </c>
      <c r="T130" s="137" t="s">
        <v>193</v>
      </c>
      <c r="U130" s="137" t="s">
        <v>193</v>
      </c>
      <c r="X130" s="12">
        <f t="shared" ref="X130:X193" si="2">(IF(E130="Avfall",F130,0)+IF(G130="Avfall",H130,0))/IFERROR(I130/100,0.85)+(IF(K130="Avfall",L130,0)+IF(M130="Avfall",N130,0))/IFERROR(O130/100,0.85)+(IF(Q130="avfall",R130,0)+IF(S130="avfall",T130,0))/IFERROR(U130/100,0.85)</f>
        <v>0</v>
      </c>
    </row>
    <row r="131" spans="1:24" ht="15" customHeight="1" x14ac:dyDescent="0.25">
      <c r="A131" s="137" t="s">
        <v>372</v>
      </c>
      <c r="B131" s="137" t="s">
        <v>374</v>
      </c>
      <c r="C131" s="137">
        <v>2018</v>
      </c>
      <c r="D131" s="137" t="s">
        <v>53</v>
      </c>
      <c r="E131" s="137" t="s">
        <v>193</v>
      </c>
      <c r="F131" s="137" t="s">
        <v>193</v>
      </c>
      <c r="G131" s="137" t="s">
        <v>193</v>
      </c>
      <c r="H131" s="137" t="s">
        <v>193</v>
      </c>
      <c r="I131" s="137" t="s">
        <v>193</v>
      </c>
      <c r="J131" s="137" t="s">
        <v>53</v>
      </c>
      <c r="K131" s="137" t="s">
        <v>193</v>
      </c>
      <c r="L131" s="137" t="s">
        <v>193</v>
      </c>
      <c r="M131" s="137" t="s">
        <v>193</v>
      </c>
      <c r="N131" s="137" t="s">
        <v>193</v>
      </c>
      <c r="O131" s="137" t="s">
        <v>193</v>
      </c>
      <c r="P131" s="137" t="s">
        <v>53</v>
      </c>
      <c r="Q131" s="137" t="s">
        <v>193</v>
      </c>
      <c r="R131" s="137" t="s">
        <v>193</v>
      </c>
      <c r="S131" s="137" t="s">
        <v>193</v>
      </c>
      <c r="T131" s="137" t="s">
        <v>193</v>
      </c>
      <c r="U131" s="137" t="s">
        <v>193</v>
      </c>
      <c r="X131" s="12">
        <f t="shared" si="2"/>
        <v>0</v>
      </c>
    </row>
    <row r="132" spans="1:24" ht="15" customHeight="1" x14ac:dyDescent="0.25">
      <c r="A132" s="137" t="s">
        <v>372</v>
      </c>
      <c r="B132" s="137" t="s">
        <v>375</v>
      </c>
      <c r="C132" s="137">
        <v>2018</v>
      </c>
      <c r="D132" s="137" t="s">
        <v>53</v>
      </c>
      <c r="E132" s="137" t="s">
        <v>193</v>
      </c>
      <c r="F132" s="137" t="s">
        <v>193</v>
      </c>
      <c r="G132" s="137" t="s">
        <v>193</v>
      </c>
      <c r="H132" s="137" t="s">
        <v>193</v>
      </c>
      <c r="I132" s="137" t="s">
        <v>193</v>
      </c>
      <c r="J132" s="137" t="s">
        <v>53</v>
      </c>
      <c r="K132" s="137" t="s">
        <v>193</v>
      </c>
      <c r="L132" s="137" t="s">
        <v>193</v>
      </c>
      <c r="M132" s="137" t="s">
        <v>193</v>
      </c>
      <c r="N132" s="137" t="s">
        <v>193</v>
      </c>
      <c r="O132" s="137" t="s">
        <v>193</v>
      </c>
      <c r="P132" s="137" t="s">
        <v>53</v>
      </c>
      <c r="Q132" s="137" t="s">
        <v>193</v>
      </c>
      <c r="R132" s="137" t="s">
        <v>193</v>
      </c>
      <c r="S132" s="137" t="s">
        <v>193</v>
      </c>
      <c r="T132" s="137" t="s">
        <v>193</v>
      </c>
      <c r="U132" s="137" t="s">
        <v>193</v>
      </c>
      <c r="X132" s="12">
        <f t="shared" si="2"/>
        <v>0</v>
      </c>
    </row>
    <row r="133" spans="1:24" ht="15" customHeight="1" x14ac:dyDescent="0.25">
      <c r="A133" s="137" t="s">
        <v>376</v>
      </c>
      <c r="B133" s="137" t="s">
        <v>377</v>
      </c>
      <c r="C133" s="137">
        <v>2018</v>
      </c>
      <c r="D133" s="137" t="s">
        <v>53</v>
      </c>
      <c r="E133" s="137" t="s">
        <v>53</v>
      </c>
      <c r="F133" s="137" t="s">
        <v>193</v>
      </c>
      <c r="G133" s="137" t="s">
        <v>53</v>
      </c>
      <c r="H133" s="137" t="s">
        <v>193</v>
      </c>
      <c r="I133" s="137" t="s">
        <v>193</v>
      </c>
      <c r="J133" s="137" t="s">
        <v>53</v>
      </c>
      <c r="K133" s="137" t="s">
        <v>53</v>
      </c>
      <c r="L133" s="137" t="s">
        <v>193</v>
      </c>
      <c r="M133" s="137" t="s">
        <v>53</v>
      </c>
      <c r="N133" s="137" t="s">
        <v>193</v>
      </c>
      <c r="O133" s="137" t="s">
        <v>193</v>
      </c>
      <c r="P133" s="137" t="s">
        <v>53</v>
      </c>
      <c r="Q133" s="137" t="s">
        <v>53</v>
      </c>
      <c r="R133" s="137" t="s">
        <v>193</v>
      </c>
      <c r="S133" s="137" t="s">
        <v>53</v>
      </c>
      <c r="T133" s="137" t="s">
        <v>193</v>
      </c>
      <c r="U133" s="137" t="s">
        <v>193</v>
      </c>
      <c r="X133" s="12">
        <f t="shared" si="2"/>
        <v>0</v>
      </c>
    </row>
    <row r="134" spans="1:24" ht="15" customHeight="1" x14ac:dyDescent="0.25">
      <c r="A134" s="137" t="s">
        <v>378</v>
      </c>
      <c r="B134" s="137" t="s">
        <v>84</v>
      </c>
      <c r="C134" s="137">
        <v>2018</v>
      </c>
      <c r="D134" s="137" t="s">
        <v>794</v>
      </c>
      <c r="E134" s="137" t="s">
        <v>780</v>
      </c>
      <c r="F134" s="137">
        <v>0.19</v>
      </c>
      <c r="G134" s="137" t="s">
        <v>193</v>
      </c>
      <c r="H134" s="137" t="s">
        <v>193</v>
      </c>
      <c r="I134" s="137" t="s">
        <v>193</v>
      </c>
      <c r="J134" s="137" t="s">
        <v>53</v>
      </c>
      <c r="K134" s="137" t="s">
        <v>193</v>
      </c>
      <c r="L134" s="137" t="s">
        <v>193</v>
      </c>
      <c r="M134" s="137" t="s">
        <v>193</v>
      </c>
      <c r="N134" s="137" t="s">
        <v>193</v>
      </c>
      <c r="O134" s="137" t="s">
        <v>193</v>
      </c>
      <c r="P134" s="137" t="s">
        <v>53</v>
      </c>
      <c r="Q134" s="137" t="s">
        <v>193</v>
      </c>
      <c r="R134" s="137" t="s">
        <v>193</v>
      </c>
      <c r="S134" s="137" t="s">
        <v>193</v>
      </c>
      <c r="T134" s="137" t="s">
        <v>193</v>
      </c>
      <c r="U134" s="137" t="s">
        <v>193</v>
      </c>
      <c r="X134" s="12">
        <f t="shared" si="2"/>
        <v>0</v>
      </c>
    </row>
    <row r="135" spans="1:24" ht="15" customHeight="1" x14ac:dyDescent="0.25">
      <c r="A135" s="137" t="s">
        <v>380</v>
      </c>
      <c r="B135" s="137" t="s">
        <v>381</v>
      </c>
      <c r="C135" s="137">
        <v>2018</v>
      </c>
      <c r="D135" s="137" t="s">
        <v>795</v>
      </c>
      <c r="E135" s="137" t="s">
        <v>786</v>
      </c>
      <c r="F135" s="137">
        <v>8.2789999999999999</v>
      </c>
      <c r="G135" s="137" t="s">
        <v>193</v>
      </c>
      <c r="H135" s="137" t="s">
        <v>193</v>
      </c>
      <c r="I135" s="137" t="s">
        <v>193</v>
      </c>
      <c r="J135" s="137" t="s">
        <v>53</v>
      </c>
      <c r="K135" s="137" t="s">
        <v>193</v>
      </c>
      <c r="L135" s="137" t="s">
        <v>193</v>
      </c>
      <c r="M135" s="137" t="s">
        <v>193</v>
      </c>
      <c r="N135" s="137" t="s">
        <v>193</v>
      </c>
      <c r="O135" s="137" t="s">
        <v>193</v>
      </c>
      <c r="P135" s="137" t="s">
        <v>53</v>
      </c>
      <c r="Q135" s="137" t="s">
        <v>193</v>
      </c>
      <c r="R135" s="137" t="s">
        <v>193</v>
      </c>
      <c r="S135" s="137" t="s">
        <v>193</v>
      </c>
      <c r="T135" s="137" t="s">
        <v>193</v>
      </c>
      <c r="U135" s="137" t="s">
        <v>193</v>
      </c>
      <c r="X135" s="12">
        <f t="shared" si="2"/>
        <v>0</v>
      </c>
    </row>
    <row r="136" spans="1:24" ht="15" customHeight="1" x14ac:dyDescent="0.25">
      <c r="A136" s="137" t="s">
        <v>382</v>
      </c>
      <c r="B136" s="137" t="s">
        <v>87</v>
      </c>
      <c r="C136" s="137">
        <v>2018</v>
      </c>
      <c r="D136" s="137" t="s">
        <v>53</v>
      </c>
      <c r="E136" s="137" t="s">
        <v>193</v>
      </c>
      <c r="F136" s="137" t="s">
        <v>193</v>
      </c>
      <c r="G136" s="137" t="s">
        <v>193</v>
      </c>
      <c r="H136" s="137" t="s">
        <v>193</v>
      </c>
      <c r="I136" s="137" t="s">
        <v>193</v>
      </c>
      <c r="J136" s="137" t="s">
        <v>53</v>
      </c>
      <c r="K136" s="137" t="s">
        <v>193</v>
      </c>
      <c r="L136" s="137" t="s">
        <v>193</v>
      </c>
      <c r="M136" s="137" t="s">
        <v>193</v>
      </c>
      <c r="N136" s="137" t="s">
        <v>193</v>
      </c>
      <c r="O136" s="137" t="s">
        <v>193</v>
      </c>
      <c r="P136" s="137" t="s">
        <v>53</v>
      </c>
      <c r="Q136" s="137" t="s">
        <v>193</v>
      </c>
      <c r="R136" s="137" t="s">
        <v>193</v>
      </c>
      <c r="S136" s="137" t="s">
        <v>193</v>
      </c>
      <c r="T136" s="137" t="s">
        <v>193</v>
      </c>
      <c r="U136" s="137" t="s">
        <v>193</v>
      </c>
      <c r="X136" s="12">
        <f t="shared" si="2"/>
        <v>0</v>
      </c>
    </row>
    <row r="137" spans="1:24" ht="15" customHeight="1" x14ac:dyDescent="0.25">
      <c r="A137" s="137" t="s">
        <v>383</v>
      </c>
      <c r="B137" s="137" t="s">
        <v>384</v>
      </c>
      <c r="C137" s="137">
        <v>2018</v>
      </c>
      <c r="D137" s="137" t="s">
        <v>796</v>
      </c>
      <c r="E137" s="137" t="s">
        <v>769</v>
      </c>
      <c r="F137" s="137">
        <v>7.3760000000000003</v>
      </c>
      <c r="G137" s="137" t="s">
        <v>783</v>
      </c>
      <c r="H137" s="137">
        <v>1.6180000000000001</v>
      </c>
      <c r="I137" s="137">
        <v>94.98</v>
      </c>
      <c r="J137" s="137" t="s">
        <v>53</v>
      </c>
      <c r="K137" s="137" t="s">
        <v>193</v>
      </c>
      <c r="L137" s="137" t="s">
        <v>193</v>
      </c>
      <c r="M137" s="137" t="s">
        <v>193</v>
      </c>
      <c r="N137" s="137" t="s">
        <v>193</v>
      </c>
      <c r="O137" s="137" t="s">
        <v>193</v>
      </c>
      <c r="P137" s="137" t="s">
        <v>53</v>
      </c>
      <c r="Q137" s="137" t="s">
        <v>193</v>
      </c>
      <c r="R137" s="137" t="s">
        <v>193</v>
      </c>
      <c r="S137" s="137" t="s">
        <v>193</v>
      </c>
      <c r="T137" s="137" t="s">
        <v>193</v>
      </c>
      <c r="U137" s="137" t="s">
        <v>193</v>
      </c>
      <c r="X137" s="12">
        <f t="shared" si="2"/>
        <v>0</v>
      </c>
    </row>
    <row r="138" spans="1:24" ht="15" customHeight="1" x14ac:dyDescent="0.25">
      <c r="A138" s="137" t="s">
        <v>385</v>
      </c>
      <c r="B138" s="137" t="s">
        <v>386</v>
      </c>
      <c r="C138" s="137">
        <v>2018</v>
      </c>
      <c r="D138" s="137" t="s">
        <v>797</v>
      </c>
      <c r="E138" s="137" t="s">
        <v>772</v>
      </c>
      <c r="F138" s="137">
        <v>0.2</v>
      </c>
      <c r="G138" s="137" t="s">
        <v>193</v>
      </c>
      <c r="H138" s="137" t="s">
        <v>193</v>
      </c>
      <c r="I138" s="137" t="s">
        <v>193</v>
      </c>
      <c r="J138" s="137" t="s">
        <v>53</v>
      </c>
      <c r="K138" s="137" t="s">
        <v>193</v>
      </c>
      <c r="L138" s="137" t="s">
        <v>193</v>
      </c>
      <c r="M138" s="137" t="s">
        <v>193</v>
      </c>
      <c r="N138" s="137" t="s">
        <v>193</v>
      </c>
      <c r="O138" s="137" t="s">
        <v>193</v>
      </c>
      <c r="P138" s="137" t="s">
        <v>53</v>
      </c>
      <c r="Q138" s="137" t="s">
        <v>193</v>
      </c>
      <c r="R138" s="137" t="s">
        <v>193</v>
      </c>
      <c r="S138" s="137" t="s">
        <v>193</v>
      </c>
      <c r="T138" s="137" t="s">
        <v>193</v>
      </c>
      <c r="U138" s="137" t="s">
        <v>193</v>
      </c>
      <c r="X138" s="12">
        <f t="shared" si="2"/>
        <v>0</v>
      </c>
    </row>
    <row r="139" spans="1:24" ht="15" customHeight="1" x14ac:dyDescent="0.25">
      <c r="A139" s="137" t="s">
        <v>387</v>
      </c>
      <c r="B139" s="137" t="s">
        <v>388</v>
      </c>
      <c r="C139" s="137">
        <v>2018</v>
      </c>
      <c r="D139" s="137" t="s">
        <v>53</v>
      </c>
      <c r="E139" s="137" t="s">
        <v>53</v>
      </c>
      <c r="F139" s="137" t="s">
        <v>193</v>
      </c>
      <c r="G139" s="137" t="s">
        <v>53</v>
      </c>
      <c r="H139" s="137" t="s">
        <v>193</v>
      </c>
      <c r="I139" s="137" t="s">
        <v>193</v>
      </c>
      <c r="J139" s="137" t="s">
        <v>53</v>
      </c>
      <c r="K139" s="137" t="s">
        <v>53</v>
      </c>
      <c r="L139" s="137" t="s">
        <v>193</v>
      </c>
      <c r="M139" s="137" t="s">
        <v>53</v>
      </c>
      <c r="N139" s="137" t="s">
        <v>193</v>
      </c>
      <c r="O139" s="137" t="s">
        <v>193</v>
      </c>
      <c r="P139" s="137" t="s">
        <v>53</v>
      </c>
      <c r="Q139" s="137" t="s">
        <v>53</v>
      </c>
      <c r="R139" s="137" t="s">
        <v>193</v>
      </c>
      <c r="S139" s="137" t="s">
        <v>53</v>
      </c>
      <c r="T139" s="137" t="s">
        <v>193</v>
      </c>
      <c r="U139" s="137" t="s">
        <v>193</v>
      </c>
      <c r="X139" s="12">
        <f t="shared" si="2"/>
        <v>0</v>
      </c>
    </row>
    <row r="140" spans="1:24" ht="15" customHeight="1" x14ac:dyDescent="0.25">
      <c r="A140" s="137" t="s">
        <v>387</v>
      </c>
      <c r="B140" s="137" t="s">
        <v>389</v>
      </c>
      <c r="C140" s="137">
        <v>2018</v>
      </c>
      <c r="D140" s="137" t="s">
        <v>53</v>
      </c>
      <c r="E140" s="137" t="s">
        <v>193</v>
      </c>
      <c r="F140" s="137" t="s">
        <v>193</v>
      </c>
      <c r="G140" s="137" t="s">
        <v>193</v>
      </c>
      <c r="H140" s="137" t="s">
        <v>193</v>
      </c>
      <c r="I140" s="137" t="s">
        <v>193</v>
      </c>
      <c r="J140" s="137" t="s">
        <v>53</v>
      </c>
      <c r="K140" s="137" t="s">
        <v>193</v>
      </c>
      <c r="L140" s="137" t="s">
        <v>193</v>
      </c>
      <c r="M140" s="137" t="s">
        <v>193</v>
      </c>
      <c r="N140" s="137" t="s">
        <v>193</v>
      </c>
      <c r="O140" s="137" t="s">
        <v>193</v>
      </c>
      <c r="P140" s="137" t="s">
        <v>53</v>
      </c>
      <c r="Q140" s="137" t="s">
        <v>193</v>
      </c>
      <c r="R140" s="137" t="s">
        <v>193</v>
      </c>
      <c r="S140" s="137" t="s">
        <v>193</v>
      </c>
      <c r="T140" s="137" t="s">
        <v>193</v>
      </c>
      <c r="U140" s="137" t="s">
        <v>193</v>
      </c>
      <c r="X140" s="12">
        <f t="shared" si="2"/>
        <v>0</v>
      </c>
    </row>
    <row r="141" spans="1:24" ht="15" customHeight="1" x14ac:dyDescent="0.25">
      <c r="A141" s="137" t="s">
        <v>390</v>
      </c>
      <c r="B141" s="137" t="s">
        <v>391</v>
      </c>
      <c r="C141" s="137">
        <v>2018</v>
      </c>
      <c r="D141" s="137" t="s">
        <v>798</v>
      </c>
      <c r="E141" s="137" t="s">
        <v>769</v>
      </c>
      <c r="F141" s="137">
        <v>10.906000000000001</v>
      </c>
      <c r="G141" s="137" t="s">
        <v>193</v>
      </c>
      <c r="H141" s="137" t="s">
        <v>193</v>
      </c>
      <c r="I141" s="137">
        <v>85</v>
      </c>
      <c r="J141" s="137" t="s">
        <v>799</v>
      </c>
      <c r="K141" s="137" t="s">
        <v>769</v>
      </c>
      <c r="L141" s="137">
        <v>7.2080000000000002</v>
      </c>
      <c r="M141" s="137" t="s">
        <v>193</v>
      </c>
      <c r="N141" s="137" t="s">
        <v>193</v>
      </c>
      <c r="O141" s="137">
        <v>85</v>
      </c>
      <c r="P141" s="137" t="s">
        <v>800</v>
      </c>
      <c r="Q141" s="137" t="s">
        <v>769</v>
      </c>
      <c r="R141" s="137">
        <v>5.4249999999999998</v>
      </c>
      <c r="S141" s="137" t="s">
        <v>193</v>
      </c>
      <c r="T141" s="137" t="s">
        <v>193</v>
      </c>
      <c r="U141" s="137">
        <v>85</v>
      </c>
      <c r="X141" s="12">
        <f t="shared" si="2"/>
        <v>0</v>
      </c>
    </row>
    <row r="142" spans="1:24" ht="15" customHeight="1" x14ac:dyDescent="0.25">
      <c r="A142" s="137" t="s">
        <v>390</v>
      </c>
      <c r="B142" s="137" t="s">
        <v>393</v>
      </c>
      <c r="C142" s="137">
        <v>2018</v>
      </c>
      <c r="D142" s="137" t="s">
        <v>53</v>
      </c>
      <c r="E142" s="137" t="s">
        <v>193</v>
      </c>
      <c r="F142" s="137" t="s">
        <v>193</v>
      </c>
      <c r="G142" s="137" t="s">
        <v>193</v>
      </c>
      <c r="H142" s="137" t="s">
        <v>193</v>
      </c>
      <c r="I142" s="137" t="s">
        <v>193</v>
      </c>
      <c r="J142" s="137" t="s">
        <v>53</v>
      </c>
      <c r="K142" s="137" t="s">
        <v>193</v>
      </c>
      <c r="L142" s="137" t="s">
        <v>193</v>
      </c>
      <c r="M142" s="137" t="s">
        <v>193</v>
      </c>
      <c r="N142" s="137" t="s">
        <v>193</v>
      </c>
      <c r="O142" s="137" t="s">
        <v>193</v>
      </c>
      <c r="P142" s="137" t="s">
        <v>53</v>
      </c>
      <c r="Q142" s="137" t="s">
        <v>193</v>
      </c>
      <c r="R142" s="137" t="s">
        <v>193</v>
      </c>
      <c r="S142" s="137" t="s">
        <v>193</v>
      </c>
      <c r="T142" s="137" t="s">
        <v>193</v>
      </c>
      <c r="U142" s="137" t="s">
        <v>193</v>
      </c>
      <c r="X142" s="12">
        <f t="shared" si="2"/>
        <v>0</v>
      </c>
    </row>
    <row r="143" spans="1:24" ht="15" customHeight="1" x14ac:dyDescent="0.25">
      <c r="A143" s="137" t="s">
        <v>394</v>
      </c>
      <c r="B143" s="137" t="s">
        <v>395</v>
      </c>
      <c r="C143" s="137">
        <v>2018</v>
      </c>
      <c r="D143" s="137" t="s">
        <v>53</v>
      </c>
      <c r="E143" s="137" t="s">
        <v>193</v>
      </c>
      <c r="F143" s="137" t="s">
        <v>193</v>
      </c>
      <c r="G143" s="137" t="s">
        <v>193</v>
      </c>
      <c r="H143" s="137" t="s">
        <v>193</v>
      </c>
      <c r="I143" s="137" t="s">
        <v>193</v>
      </c>
      <c r="J143" s="137" t="s">
        <v>53</v>
      </c>
      <c r="K143" s="137" t="s">
        <v>193</v>
      </c>
      <c r="L143" s="137" t="s">
        <v>193</v>
      </c>
      <c r="M143" s="137" t="s">
        <v>193</v>
      </c>
      <c r="N143" s="137" t="s">
        <v>193</v>
      </c>
      <c r="O143" s="137" t="s">
        <v>193</v>
      </c>
      <c r="P143" s="137" t="s">
        <v>53</v>
      </c>
      <c r="Q143" s="137" t="s">
        <v>193</v>
      </c>
      <c r="R143" s="137" t="s">
        <v>193</v>
      </c>
      <c r="S143" s="137" t="s">
        <v>193</v>
      </c>
      <c r="T143" s="137" t="s">
        <v>193</v>
      </c>
      <c r="U143" s="137" t="s">
        <v>193</v>
      </c>
      <c r="X143" s="12">
        <f t="shared" si="2"/>
        <v>0</v>
      </c>
    </row>
    <row r="144" spans="1:24" ht="15" customHeight="1" x14ac:dyDescent="0.25">
      <c r="A144" s="137" t="s">
        <v>394</v>
      </c>
      <c r="B144" s="137" t="s">
        <v>396</v>
      </c>
      <c r="C144" s="137">
        <v>2018</v>
      </c>
      <c r="D144" s="137" t="s">
        <v>53</v>
      </c>
      <c r="E144" s="137" t="s">
        <v>193</v>
      </c>
      <c r="F144" s="137" t="s">
        <v>193</v>
      </c>
      <c r="G144" s="137" t="s">
        <v>193</v>
      </c>
      <c r="H144" s="137" t="s">
        <v>193</v>
      </c>
      <c r="I144" s="137" t="s">
        <v>193</v>
      </c>
      <c r="J144" s="137" t="s">
        <v>53</v>
      </c>
      <c r="K144" s="137" t="s">
        <v>193</v>
      </c>
      <c r="L144" s="137" t="s">
        <v>193</v>
      </c>
      <c r="M144" s="137" t="s">
        <v>193</v>
      </c>
      <c r="N144" s="137" t="s">
        <v>193</v>
      </c>
      <c r="O144" s="137" t="s">
        <v>193</v>
      </c>
      <c r="P144" s="137" t="s">
        <v>53</v>
      </c>
      <c r="Q144" s="137" t="s">
        <v>193</v>
      </c>
      <c r="R144" s="137" t="s">
        <v>193</v>
      </c>
      <c r="S144" s="137" t="s">
        <v>193</v>
      </c>
      <c r="T144" s="137" t="s">
        <v>193</v>
      </c>
      <c r="U144" s="137" t="s">
        <v>193</v>
      </c>
      <c r="X144" s="12">
        <f t="shared" si="2"/>
        <v>0</v>
      </c>
    </row>
    <row r="145" spans="1:24" ht="15" customHeight="1" x14ac:dyDescent="0.25">
      <c r="A145" s="137" t="s">
        <v>394</v>
      </c>
      <c r="B145" s="137" t="s">
        <v>397</v>
      </c>
      <c r="C145" s="137">
        <v>2018</v>
      </c>
      <c r="D145" s="137" t="s">
        <v>53</v>
      </c>
      <c r="E145" s="137" t="s">
        <v>193</v>
      </c>
      <c r="F145" s="137" t="s">
        <v>193</v>
      </c>
      <c r="G145" s="137" t="s">
        <v>193</v>
      </c>
      <c r="H145" s="137" t="s">
        <v>193</v>
      </c>
      <c r="I145" s="137" t="s">
        <v>193</v>
      </c>
      <c r="J145" s="137" t="s">
        <v>53</v>
      </c>
      <c r="K145" s="137" t="s">
        <v>193</v>
      </c>
      <c r="L145" s="137" t="s">
        <v>193</v>
      </c>
      <c r="M145" s="137" t="s">
        <v>193</v>
      </c>
      <c r="N145" s="137" t="s">
        <v>193</v>
      </c>
      <c r="O145" s="137" t="s">
        <v>193</v>
      </c>
      <c r="P145" s="137" t="s">
        <v>53</v>
      </c>
      <c r="Q145" s="137" t="s">
        <v>193</v>
      </c>
      <c r="R145" s="137" t="s">
        <v>193</v>
      </c>
      <c r="S145" s="137" t="s">
        <v>193</v>
      </c>
      <c r="T145" s="137" t="s">
        <v>193</v>
      </c>
      <c r="U145" s="137" t="s">
        <v>193</v>
      </c>
      <c r="X145" s="12">
        <f t="shared" si="2"/>
        <v>0</v>
      </c>
    </row>
    <row r="146" spans="1:24" ht="15" customHeight="1" x14ac:dyDescent="0.25">
      <c r="A146" s="137" t="s">
        <v>394</v>
      </c>
      <c r="B146" s="137" t="s">
        <v>398</v>
      </c>
      <c r="C146" s="137">
        <v>2018</v>
      </c>
      <c r="D146" s="137" t="s">
        <v>53</v>
      </c>
      <c r="E146" s="137" t="s">
        <v>193</v>
      </c>
      <c r="F146" s="137" t="s">
        <v>193</v>
      </c>
      <c r="G146" s="137" t="s">
        <v>193</v>
      </c>
      <c r="H146" s="137" t="s">
        <v>193</v>
      </c>
      <c r="I146" s="137" t="s">
        <v>193</v>
      </c>
      <c r="J146" s="137" t="s">
        <v>53</v>
      </c>
      <c r="K146" s="137" t="s">
        <v>193</v>
      </c>
      <c r="L146" s="137" t="s">
        <v>193</v>
      </c>
      <c r="M146" s="137" t="s">
        <v>193</v>
      </c>
      <c r="N146" s="137" t="s">
        <v>193</v>
      </c>
      <c r="O146" s="137" t="s">
        <v>193</v>
      </c>
      <c r="P146" s="137" t="s">
        <v>53</v>
      </c>
      <c r="Q146" s="137" t="s">
        <v>193</v>
      </c>
      <c r="R146" s="137" t="s">
        <v>193</v>
      </c>
      <c r="S146" s="137" t="s">
        <v>193</v>
      </c>
      <c r="T146" s="137" t="s">
        <v>193</v>
      </c>
      <c r="U146" s="137" t="s">
        <v>193</v>
      </c>
      <c r="X146" s="12">
        <f t="shared" si="2"/>
        <v>0</v>
      </c>
    </row>
    <row r="147" spans="1:24" ht="15" customHeight="1" x14ac:dyDescent="0.25">
      <c r="A147" s="137" t="s">
        <v>45</v>
      </c>
      <c r="B147" s="141" t="s">
        <v>46</v>
      </c>
      <c r="C147" s="137">
        <v>2018</v>
      </c>
      <c r="D147" s="137" t="s">
        <v>53</v>
      </c>
      <c r="E147" s="137" t="s">
        <v>53</v>
      </c>
      <c r="F147" s="137" t="s">
        <v>53</v>
      </c>
      <c r="G147" s="137" t="s">
        <v>53</v>
      </c>
      <c r="H147" s="137" t="s">
        <v>53</v>
      </c>
      <c r="I147" s="137" t="s">
        <v>53</v>
      </c>
      <c r="J147" s="137" t="s">
        <v>53</v>
      </c>
      <c r="K147" s="137" t="s">
        <v>53</v>
      </c>
      <c r="L147" s="137" t="s">
        <v>53</v>
      </c>
      <c r="M147" s="137" t="s">
        <v>53</v>
      </c>
      <c r="N147" s="137" t="s">
        <v>53</v>
      </c>
      <c r="O147" s="137" t="s">
        <v>53</v>
      </c>
      <c r="P147" s="137" t="s">
        <v>53</v>
      </c>
      <c r="Q147" s="137" t="s">
        <v>53</v>
      </c>
      <c r="R147" s="137" t="s">
        <v>53</v>
      </c>
      <c r="S147" s="137" t="s">
        <v>53</v>
      </c>
      <c r="T147" s="137" t="s">
        <v>53</v>
      </c>
      <c r="U147" s="137" t="s">
        <v>53</v>
      </c>
      <c r="X147" s="12">
        <f t="shared" si="2"/>
        <v>0</v>
      </c>
    </row>
    <row r="148" spans="1:24" ht="15" customHeight="1" x14ac:dyDescent="0.25">
      <c r="A148" s="137" t="s">
        <v>399</v>
      </c>
      <c r="B148" s="137" t="s">
        <v>400</v>
      </c>
      <c r="C148" s="137">
        <v>2018</v>
      </c>
      <c r="D148" s="137" t="s">
        <v>193</v>
      </c>
      <c r="E148" s="137" t="s">
        <v>193</v>
      </c>
      <c r="F148" s="137" t="s">
        <v>193</v>
      </c>
      <c r="G148" s="137" t="s">
        <v>193</v>
      </c>
      <c r="H148" s="137" t="s">
        <v>193</v>
      </c>
      <c r="I148" s="137" t="s">
        <v>193</v>
      </c>
      <c r="J148" s="137" t="s">
        <v>53</v>
      </c>
      <c r="K148" s="137" t="s">
        <v>193</v>
      </c>
      <c r="L148" s="137" t="s">
        <v>193</v>
      </c>
      <c r="M148" s="137" t="s">
        <v>193</v>
      </c>
      <c r="N148" s="137" t="s">
        <v>193</v>
      </c>
      <c r="O148" s="137" t="s">
        <v>193</v>
      </c>
      <c r="P148" s="137" t="s">
        <v>53</v>
      </c>
      <c r="Q148" s="137" t="s">
        <v>193</v>
      </c>
      <c r="R148" s="137" t="s">
        <v>193</v>
      </c>
      <c r="S148" s="137" t="s">
        <v>193</v>
      </c>
      <c r="T148" s="137" t="s">
        <v>193</v>
      </c>
      <c r="U148" s="137" t="s">
        <v>193</v>
      </c>
      <c r="X148" s="12">
        <f t="shared" si="2"/>
        <v>0</v>
      </c>
    </row>
    <row r="149" spans="1:24" ht="15" customHeight="1" x14ac:dyDescent="0.25">
      <c r="A149" s="137" t="s">
        <v>401</v>
      </c>
      <c r="B149" s="137" t="s">
        <v>402</v>
      </c>
      <c r="C149" s="137">
        <v>2018</v>
      </c>
      <c r="D149" s="137" t="s">
        <v>53</v>
      </c>
      <c r="E149" s="137" t="s">
        <v>193</v>
      </c>
      <c r="F149" s="137" t="s">
        <v>193</v>
      </c>
      <c r="G149" s="137" t="s">
        <v>193</v>
      </c>
      <c r="H149" s="137" t="s">
        <v>193</v>
      </c>
      <c r="I149" s="137" t="s">
        <v>193</v>
      </c>
      <c r="J149" s="137" t="s">
        <v>53</v>
      </c>
      <c r="K149" s="137" t="s">
        <v>193</v>
      </c>
      <c r="L149" s="137" t="s">
        <v>193</v>
      </c>
      <c r="M149" s="137" t="s">
        <v>193</v>
      </c>
      <c r="N149" s="137" t="s">
        <v>193</v>
      </c>
      <c r="O149" s="137" t="s">
        <v>193</v>
      </c>
      <c r="P149" s="137" t="s">
        <v>53</v>
      </c>
      <c r="Q149" s="137" t="s">
        <v>193</v>
      </c>
      <c r="R149" s="137" t="s">
        <v>193</v>
      </c>
      <c r="S149" s="137" t="s">
        <v>193</v>
      </c>
      <c r="T149" s="137" t="s">
        <v>193</v>
      </c>
      <c r="U149" s="137" t="s">
        <v>193</v>
      </c>
      <c r="X149" s="12">
        <f t="shared" si="2"/>
        <v>0</v>
      </c>
    </row>
    <row r="150" spans="1:24" ht="15" customHeight="1" x14ac:dyDescent="0.25">
      <c r="A150" s="137" t="s">
        <v>401</v>
      </c>
      <c r="B150" s="137" t="s">
        <v>403</v>
      </c>
      <c r="C150" s="137">
        <v>2018</v>
      </c>
      <c r="D150" s="137" t="s">
        <v>53</v>
      </c>
      <c r="E150" s="137" t="s">
        <v>193</v>
      </c>
      <c r="F150" s="137" t="s">
        <v>193</v>
      </c>
      <c r="G150" s="137" t="s">
        <v>193</v>
      </c>
      <c r="H150" s="137" t="s">
        <v>193</v>
      </c>
      <c r="I150" s="137" t="s">
        <v>193</v>
      </c>
      <c r="J150" s="137" t="s">
        <v>53</v>
      </c>
      <c r="K150" s="137" t="s">
        <v>193</v>
      </c>
      <c r="L150" s="137" t="s">
        <v>193</v>
      </c>
      <c r="M150" s="137" t="s">
        <v>193</v>
      </c>
      <c r="N150" s="137" t="s">
        <v>193</v>
      </c>
      <c r="O150" s="137" t="s">
        <v>193</v>
      </c>
      <c r="P150" s="137" t="s">
        <v>53</v>
      </c>
      <c r="Q150" s="137" t="s">
        <v>193</v>
      </c>
      <c r="R150" s="137" t="s">
        <v>193</v>
      </c>
      <c r="S150" s="137" t="s">
        <v>193</v>
      </c>
      <c r="T150" s="137" t="s">
        <v>193</v>
      </c>
      <c r="U150" s="137" t="s">
        <v>193</v>
      </c>
      <c r="X150" s="12">
        <f t="shared" si="2"/>
        <v>0</v>
      </c>
    </row>
    <row r="151" spans="1:24" ht="15" customHeight="1" x14ac:dyDescent="0.25">
      <c r="A151" s="137" t="s">
        <v>401</v>
      </c>
      <c r="B151" s="137" t="s">
        <v>404</v>
      </c>
      <c r="C151" s="137">
        <v>2018</v>
      </c>
      <c r="D151" s="137" t="s">
        <v>53</v>
      </c>
      <c r="E151" s="137" t="s">
        <v>193</v>
      </c>
      <c r="F151" s="137" t="s">
        <v>193</v>
      </c>
      <c r="G151" s="137" t="s">
        <v>193</v>
      </c>
      <c r="H151" s="137" t="s">
        <v>193</v>
      </c>
      <c r="I151" s="137" t="s">
        <v>193</v>
      </c>
      <c r="J151" s="137" t="s">
        <v>53</v>
      </c>
      <c r="K151" s="137" t="s">
        <v>193</v>
      </c>
      <c r="L151" s="137" t="s">
        <v>193</v>
      </c>
      <c r="M151" s="137" t="s">
        <v>193</v>
      </c>
      <c r="N151" s="137" t="s">
        <v>193</v>
      </c>
      <c r="O151" s="137" t="s">
        <v>193</v>
      </c>
      <c r="P151" s="137" t="s">
        <v>53</v>
      </c>
      <c r="Q151" s="137" t="s">
        <v>193</v>
      </c>
      <c r="R151" s="137" t="s">
        <v>193</v>
      </c>
      <c r="S151" s="137" t="s">
        <v>193</v>
      </c>
      <c r="T151" s="137" t="s">
        <v>193</v>
      </c>
      <c r="U151" s="137" t="s">
        <v>193</v>
      </c>
      <c r="X151" s="12">
        <f t="shared" si="2"/>
        <v>0</v>
      </c>
    </row>
    <row r="152" spans="1:24" ht="15" customHeight="1" x14ac:dyDescent="0.25">
      <c r="A152" s="137" t="s">
        <v>401</v>
      </c>
      <c r="B152" s="137" t="s">
        <v>405</v>
      </c>
      <c r="C152" s="137">
        <v>2018</v>
      </c>
      <c r="D152" s="137" t="s">
        <v>53</v>
      </c>
      <c r="E152" s="137" t="s">
        <v>193</v>
      </c>
      <c r="F152" s="137" t="s">
        <v>193</v>
      </c>
      <c r="G152" s="137" t="s">
        <v>193</v>
      </c>
      <c r="H152" s="137" t="s">
        <v>193</v>
      </c>
      <c r="I152" s="137" t="s">
        <v>193</v>
      </c>
      <c r="J152" s="137" t="s">
        <v>53</v>
      </c>
      <c r="K152" s="137" t="s">
        <v>193</v>
      </c>
      <c r="L152" s="137" t="s">
        <v>193</v>
      </c>
      <c r="M152" s="137" t="s">
        <v>193</v>
      </c>
      <c r="N152" s="137" t="s">
        <v>193</v>
      </c>
      <c r="O152" s="137" t="s">
        <v>193</v>
      </c>
      <c r="P152" s="137" t="s">
        <v>53</v>
      </c>
      <c r="Q152" s="137" t="s">
        <v>193</v>
      </c>
      <c r="R152" s="137" t="s">
        <v>193</v>
      </c>
      <c r="S152" s="137" t="s">
        <v>193</v>
      </c>
      <c r="T152" s="137" t="s">
        <v>193</v>
      </c>
      <c r="U152" s="137" t="s">
        <v>193</v>
      </c>
      <c r="X152" s="12">
        <f t="shared" si="2"/>
        <v>0</v>
      </c>
    </row>
    <row r="153" spans="1:24" ht="15" customHeight="1" x14ac:dyDescent="0.25">
      <c r="A153" s="137" t="s">
        <v>401</v>
      </c>
      <c r="B153" s="137" t="s">
        <v>406</v>
      </c>
      <c r="C153" s="137">
        <v>2018</v>
      </c>
      <c r="D153" s="137" t="s">
        <v>53</v>
      </c>
      <c r="E153" s="137" t="s">
        <v>193</v>
      </c>
      <c r="F153" s="137" t="s">
        <v>193</v>
      </c>
      <c r="G153" s="137" t="s">
        <v>193</v>
      </c>
      <c r="H153" s="137" t="s">
        <v>193</v>
      </c>
      <c r="I153" s="137" t="s">
        <v>193</v>
      </c>
      <c r="J153" s="137" t="s">
        <v>53</v>
      </c>
      <c r="K153" s="137" t="s">
        <v>193</v>
      </c>
      <c r="L153" s="137" t="s">
        <v>193</v>
      </c>
      <c r="M153" s="137" t="s">
        <v>193</v>
      </c>
      <c r="N153" s="137" t="s">
        <v>193</v>
      </c>
      <c r="O153" s="137" t="s">
        <v>193</v>
      </c>
      <c r="P153" s="137" t="s">
        <v>53</v>
      </c>
      <c r="Q153" s="137" t="s">
        <v>193</v>
      </c>
      <c r="R153" s="137" t="s">
        <v>193</v>
      </c>
      <c r="S153" s="137" t="s">
        <v>193</v>
      </c>
      <c r="T153" s="137" t="s">
        <v>193</v>
      </c>
      <c r="U153" s="137" t="s">
        <v>193</v>
      </c>
      <c r="X153" s="12">
        <f t="shared" si="2"/>
        <v>0</v>
      </c>
    </row>
    <row r="154" spans="1:24" ht="15" customHeight="1" x14ac:dyDescent="0.25">
      <c r="A154" s="137" t="s">
        <v>401</v>
      </c>
      <c r="B154" s="137" t="s">
        <v>407</v>
      </c>
      <c r="C154" s="137">
        <v>2018</v>
      </c>
      <c r="D154" s="137" t="s">
        <v>53</v>
      </c>
      <c r="E154" s="137" t="s">
        <v>193</v>
      </c>
      <c r="F154" s="137" t="s">
        <v>193</v>
      </c>
      <c r="G154" s="137" t="s">
        <v>193</v>
      </c>
      <c r="H154" s="137" t="s">
        <v>193</v>
      </c>
      <c r="I154" s="137" t="s">
        <v>193</v>
      </c>
      <c r="J154" s="137" t="s">
        <v>53</v>
      </c>
      <c r="K154" s="137" t="s">
        <v>193</v>
      </c>
      <c r="L154" s="137" t="s">
        <v>193</v>
      </c>
      <c r="M154" s="137" t="s">
        <v>193</v>
      </c>
      <c r="N154" s="137" t="s">
        <v>193</v>
      </c>
      <c r="O154" s="137" t="s">
        <v>193</v>
      </c>
      <c r="P154" s="137" t="s">
        <v>53</v>
      </c>
      <c r="Q154" s="137" t="s">
        <v>193</v>
      </c>
      <c r="R154" s="137" t="s">
        <v>193</v>
      </c>
      <c r="S154" s="137" t="s">
        <v>193</v>
      </c>
      <c r="T154" s="137" t="s">
        <v>193</v>
      </c>
      <c r="U154" s="137" t="s">
        <v>193</v>
      </c>
      <c r="X154" s="12">
        <f t="shared" si="2"/>
        <v>0</v>
      </c>
    </row>
    <row r="155" spans="1:24" ht="15" customHeight="1" x14ac:dyDescent="0.25">
      <c r="A155" s="137" t="s">
        <v>401</v>
      </c>
      <c r="B155" s="137" t="s">
        <v>408</v>
      </c>
      <c r="C155" s="137">
        <v>2018</v>
      </c>
      <c r="D155" s="137" t="s">
        <v>53</v>
      </c>
      <c r="E155" s="137" t="s">
        <v>193</v>
      </c>
      <c r="F155" s="137" t="s">
        <v>193</v>
      </c>
      <c r="G155" s="137" t="s">
        <v>193</v>
      </c>
      <c r="H155" s="137" t="s">
        <v>193</v>
      </c>
      <c r="I155" s="137" t="s">
        <v>193</v>
      </c>
      <c r="J155" s="137" t="s">
        <v>53</v>
      </c>
      <c r="K155" s="137" t="s">
        <v>193</v>
      </c>
      <c r="L155" s="137" t="s">
        <v>193</v>
      </c>
      <c r="M155" s="137" t="s">
        <v>193</v>
      </c>
      <c r="N155" s="137" t="s">
        <v>193</v>
      </c>
      <c r="O155" s="137" t="s">
        <v>193</v>
      </c>
      <c r="P155" s="137" t="s">
        <v>53</v>
      </c>
      <c r="Q155" s="137" t="s">
        <v>193</v>
      </c>
      <c r="R155" s="137" t="s">
        <v>193</v>
      </c>
      <c r="S155" s="137" t="s">
        <v>193</v>
      </c>
      <c r="T155" s="137" t="s">
        <v>193</v>
      </c>
      <c r="U155" s="137" t="s">
        <v>193</v>
      </c>
      <c r="X155" s="12">
        <f t="shared" si="2"/>
        <v>0</v>
      </c>
    </row>
    <row r="156" spans="1:24" ht="15" customHeight="1" x14ac:dyDescent="0.25">
      <c r="A156" s="137" t="s">
        <v>401</v>
      </c>
      <c r="B156" s="137" t="s">
        <v>409</v>
      </c>
      <c r="C156" s="137">
        <v>2018</v>
      </c>
      <c r="D156" s="137" t="s">
        <v>53</v>
      </c>
      <c r="E156" s="137" t="s">
        <v>193</v>
      </c>
      <c r="F156" s="137" t="s">
        <v>193</v>
      </c>
      <c r="G156" s="137" t="s">
        <v>193</v>
      </c>
      <c r="H156" s="137" t="s">
        <v>193</v>
      </c>
      <c r="I156" s="137" t="s">
        <v>193</v>
      </c>
      <c r="J156" s="137" t="s">
        <v>53</v>
      </c>
      <c r="K156" s="137" t="s">
        <v>193</v>
      </c>
      <c r="L156" s="137" t="s">
        <v>193</v>
      </c>
      <c r="M156" s="137" t="s">
        <v>193</v>
      </c>
      <c r="N156" s="137" t="s">
        <v>193</v>
      </c>
      <c r="O156" s="137" t="s">
        <v>193</v>
      </c>
      <c r="P156" s="137" t="s">
        <v>53</v>
      </c>
      <c r="Q156" s="137" t="s">
        <v>193</v>
      </c>
      <c r="R156" s="137" t="s">
        <v>193</v>
      </c>
      <c r="S156" s="137" t="s">
        <v>193</v>
      </c>
      <c r="T156" s="137" t="s">
        <v>193</v>
      </c>
      <c r="U156" s="137" t="s">
        <v>193</v>
      </c>
      <c r="X156" s="12">
        <f t="shared" si="2"/>
        <v>0</v>
      </c>
    </row>
    <row r="157" spans="1:24" ht="15" customHeight="1" x14ac:dyDescent="0.25">
      <c r="A157" s="137" t="s">
        <v>401</v>
      </c>
      <c r="B157" s="137" t="s">
        <v>410</v>
      </c>
      <c r="C157" s="137">
        <v>2018</v>
      </c>
      <c r="D157" s="137" t="s">
        <v>53</v>
      </c>
      <c r="E157" s="137" t="s">
        <v>193</v>
      </c>
      <c r="F157" s="137" t="s">
        <v>193</v>
      </c>
      <c r="G157" s="137" t="s">
        <v>193</v>
      </c>
      <c r="H157" s="137" t="s">
        <v>193</v>
      </c>
      <c r="I157" s="137" t="s">
        <v>193</v>
      </c>
      <c r="J157" s="137" t="s">
        <v>53</v>
      </c>
      <c r="K157" s="137" t="s">
        <v>193</v>
      </c>
      <c r="L157" s="137" t="s">
        <v>193</v>
      </c>
      <c r="M157" s="137" t="s">
        <v>193</v>
      </c>
      <c r="N157" s="137" t="s">
        <v>193</v>
      </c>
      <c r="O157" s="137" t="s">
        <v>193</v>
      </c>
      <c r="P157" s="137" t="s">
        <v>53</v>
      </c>
      <c r="Q157" s="137" t="s">
        <v>193</v>
      </c>
      <c r="R157" s="137" t="s">
        <v>193</v>
      </c>
      <c r="S157" s="137" t="s">
        <v>193</v>
      </c>
      <c r="T157" s="137" t="s">
        <v>193</v>
      </c>
      <c r="U157" s="137" t="s">
        <v>193</v>
      </c>
      <c r="X157" s="12">
        <f t="shared" si="2"/>
        <v>0</v>
      </c>
    </row>
    <row r="158" spans="1:24" ht="15" customHeight="1" x14ac:dyDescent="0.25">
      <c r="A158" s="137" t="s">
        <v>411</v>
      </c>
      <c r="B158" s="137" t="s">
        <v>412</v>
      </c>
      <c r="C158" s="137">
        <v>2018</v>
      </c>
      <c r="D158" s="137" t="s">
        <v>219</v>
      </c>
      <c r="E158" s="137" t="s">
        <v>193</v>
      </c>
      <c r="F158" s="137" t="s">
        <v>193</v>
      </c>
      <c r="G158" s="137" t="s">
        <v>193</v>
      </c>
      <c r="H158" s="137" t="s">
        <v>193</v>
      </c>
      <c r="I158" s="137" t="s">
        <v>193</v>
      </c>
      <c r="J158" s="137" t="s">
        <v>219</v>
      </c>
      <c r="K158" s="137" t="s">
        <v>193</v>
      </c>
      <c r="L158" s="137" t="s">
        <v>193</v>
      </c>
      <c r="M158" s="137" t="s">
        <v>193</v>
      </c>
      <c r="N158" s="137" t="s">
        <v>193</v>
      </c>
      <c r="O158" s="137" t="s">
        <v>193</v>
      </c>
      <c r="P158" s="137" t="s">
        <v>219</v>
      </c>
      <c r="Q158" s="137" t="s">
        <v>193</v>
      </c>
      <c r="R158" s="137" t="s">
        <v>193</v>
      </c>
      <c r="S158" s="137" t="s">
        <v>193</v>
      </c>
      <c r="T158" s="137" t="s">
        <v>193</v>
      </c>
      <c r="U158" s="137" t="s">
        <v>193</v>
      </c>
      <c r="X158" s="12">
        <f t="shared" si="2"/>
        <v>0</v>
      </c>
    </row>
    <row r="159" spans="1:24" ht="15" customHeight="1" x14ac:dyDescent="0.25">
      <c r="A159" s="137" t="s">
        <v>413</v>
      </c>
      <c r="B159" s="137" t="s">
        <v>93</v>
      </c>
      <c r="C159" s="137">
        <v>2018</v>
      </c>
      <c r="D159" s="137" t="s">
        <v>53</v>
      </c>
      <c r="E159" s="137" t="s">
        <v>53</v>
      </c>
      <c r="F159" s="137" t="s">
        <v>53</v>
      </c>
      <c r="G159" s="137" t="s">
        <v>53</v>
      </c>
      <c r="H159" s="137" t="s">
        <v>53</v>
      </c>
      <c r="I159" s="137" t="s">
        <v>53</v>
      </c>
      <c r="J159" s="137" t="s">
        <v>53</v>
      </c>
      <c r="K159" s="137" t="s">
        <v>53</v>
      </c>
      <c r="L159" s="137" t="s">
        <v>53</v>
      </c>
      <c r="M159" s="137" t="s">
        <v>53</v>
      </c>
      <c r="N159" s="137" t="s">
        <v>53</v>
      </c>
      <c r="O159" s="137" t="s">
        <v>53</v>
      </c>
      <c r="P159" s="137" t="s">
        <v>53</v>
      </c>
      <c r="Q159" s="137" t="s">
        <v>53</v>
      </c>
      <c r="R159" s="137" t="s">
        <v>53</v>
      </c>
      <c r="S159" s="137" t="s">
        <v>53</v>
      </c>
      <c r="T159" s="137" t="s">
        <v>53</v>
      </c>
      <c r="U159" s="137" t="s">
        <v>53</v>
      </c>
      <c r="X159" s="12">
        <f t="shared" si="2"/>
        <v>0</v>
      </c>
    </row>
    <row r="160" spans="1:24" ht="15" customHeight="1" x14ac:dyDescent="0.25">
      <c r="A160" s="137" t="s">
        <v>414</v>
      </c>
      <c r="B160" s="137" t="s">
        <v>415</v>
      </c>
      <c r="C160" s="137">
        <v>2018</v>
      </c>
      <c r="D160" s="137" t="s">
        <v>53</v>
      </c>
      <c r="E160" s="137" t="s">
        <v>193</v>
      </c>
      <c r="F160" s="137" t="s">
        <v>193</v>
      </c>
      <c r="G160" s="137" t="s">
        <v>193</v>
      </c>
      <c r="H160" s="137" t="s">
        <v>193</v>
      </c>
      <c r="I160" s="137" t="s">
        <v>193</v>
      </c>
      <c r="J160" s="137" t="s">
        <v>53</v>
      </c>
      <c r="K160" s="137" t="s">
        <v>193</v>
      </c>
      <c r="L160" s="137" t="s">
        <v>193</v>
      </c>
      <c r="M160" s="137" t="s">
        <v>193</v>
      </c>
      <c r="N160" s="137" t="s">
        <v>193</v>
      </c>
      <c r="O160" s="137" t="s">
        <v>193</v>
      </c>
      <c r="P160" s="137" t="s">
        <v>53</v>
      </c>
      <c r="Q160" s="137" t="s">
        <v>193</v>
      </c>
      <c r="R160" s="137" t="s">
        <v>193</v>
      </c>
      <c r="S160" s="137" t="s">
        <v>193</v>
      </c>
      <c r="T160" s="137" t="s">
        <v>193</v>
      </c>
      <c r="U160" s="137" t="s">
        <v>193</v>
      </c>
      <c r="X160" s="12">
        <f t="shared" si="2"/>
        <v>0</v>
      </c>
    </row>
    <row r="161" spans="1:24" ht="15" customHeight="1" x14ac:dyDescent="0.25">
      <c r="A161" s="137" t="s">
        <v>414</v>
      </c>
      <c r="B161" s="137" t="s">
        <v>416</v>
      </c>
      <c r="C161" s="137">
        <v>2018</v>
      </c>
      <c r="D161" s="137" t="s">
        <v>53</v>
      </c>
      <c r="E161" s="137" t="s">
        <v>193</v>
      </c>
      <c r="F161" s="137" t="s">
        <v>193</v>
      </c>
      <c r="G161" s="137" t="s">
        <v>193</v>
      </c>
      <c r="H161" s="137" t="s">
        <v>193</v>
      </c>
      <c r="I161" s="137" t="s">
        <v>193</v>
      </c>
      <c r="J161" s="137" t="s">
        <v>53</v>
      </c>
      <c r="K161" s="137" t="s">
        <v>193</v>
      </c>
      <c r="L161" s="137" t="s">
        <v>193</v>
      </c>
      <c r="M161" s="137" t="s">
        <v>193</v>
      </c>
      <c r="N161" s="137" t="s">
        <v>193</v>
      </c>
      <c r="O161" s="137" t="s">
        <v>193</v>
      </c>
      <c r="P161" s="137" t="s">
        <v>53</v>
      </c>
      <c r="Q161" s="137" t="s">
        <v>193</v>
      </c>
      <c r="R161" s="137" t="s">
        <v>193</v>
      </c>
      <c r="S161" s="137" t="s">
        <v>193</v>
      </c>
      <c r="T161" s="137" t="s">
        <v>193</v>
      </c>
      <c r="U161" s="137" t="s">
        <v>193</v>
      </c>
      <c r="X161" s="12">
        <f t="shared" si="2"/>
        <v>0</v>
      </c>
    </row>
    <row r="162" spans="1:24" ht="15" customHeight="1" x14ac:dyDescent="0.25">
      <c r="A162" s="137" t="s">
        <v>414</v>
      </c>
      <c r="B162" s="137" t="s">
        <v>417</v>
      </c>
      <c r="C162" s="137">
        <v>2018</v>
      </c>
      <c r="D162" s="137" t="s">
        <v>53</v>
      </c>
      <c r="E162" s="137" t="s">
        <v>193</v>
      </c>
      <c r="F162" s="137" t="s">
        <v>193</v>
      </c>
      <c r="G162" s="137" t="s">
        <v>193</v>
      </c>
      <c r="H162" s="137" t="s">
        <v>193</v>
      </c>
      <c r="I162" s="137" t="s">
        <v>193</v>
      </c>
      <c r="J162" s="137" t="s">
        <v>53</v>
      </c>
      <c r="K162" s="137" t="s">
        <v>193</v>
      </c>
      <c r="L162" s="137" t="s">
        <v>193</v>
      </c>
      <c r="M162" s="137" t="s">
        <v>193</v>
      </c>
      <c r="N162" s="137" t="s">
        <v>193</v>
      </c>
      <c r="O162" s="137" t="s">
        <v>193</v>
      </c>
      <c r="P162" s="137" t="s">
        <v>53</v>
      </c>
      <c r="Q162" s="137" t="s">
        <v>193</v>
      </c>
      <c r="R162" s="137" t="s">
        <v>193</v>
      </c>
      <c r="S162" s="137" t="s">
        <v>193</v>
      </c>
      <c r="T162" s="137" t="s">
        <v>193</v>
      </c>
      <c r="U162" s="137" t="s">
        <v>193</v>
      </c>
      <c r="X162" s="12">
        <f t="shared" si="2"/>
        <v>0</v>
      </c>
    </row>
    <row r="163" spans="1:24" ht="15" customHeight="1" x14ac:dyDescent="0.25">
      <c r="A163" s="137" t="s">
        <v>414</v>
      </c>
      <c r="B163" s="137" t="s">
        <v>418</v>
      </c>
      <c r="C163" s="137">
        <v>2018</v>
      </c>
      <c r="D163" s="137" t="s">
        <v>53</v>
      </c>
      <c r="E163" s="137" t="s">
        <v>193</v>
      </c>
      <c r="F163" s="137" t="s">
        <v>193</v>
      </c>
      <c r="G163" s="137" t="s">
        <v>193</v>
      </c>
      <c r="H163" s="137" t="s">
        <v>193</v>
      </c>
      <c r="I163" s="137" t="s">
        <v>193</v>
      </c>
      <c r="J163" s="137" t="s">
        <v>53</v>
      </c>
      <c r="K163" s="137" t="s">
        <v>193</v>
      </c>
      <c r="L163" s="137" t="s">
        <v>193</v>
      </c>
      <c r="M163" s="137" t="s">
        <v>193</v>
      </c>
      <c r="N163" s="137" t="s">
        <v>193</v>
      </c>
      <c r="O163" s="137" t="s">
        <v>193</v>
      </c>
      <c r="P163" s="137" t="s">
        <v>53</v>
      </c>
      <c r="Q163" s="137" t="s">
        <v>193</v>
      </c>
      <c r="R163" s="137" t="s">
        <v>193</v>
      </c>
      <c r="S163" s="137" t="s">
        <v>193</v>
      </c>
      <c r="T163" s="137" t="s">
        <v>193</v>
      </c>
      <c r="U163" s="137" t="s">
        <v>193</v>
      </c>
      <c r="X163" s="12">
        <f t="shared" si="2"/>
        <v>0</v>
      </c>
    </row>
    <row r="164" spans="1:24" ht="15" customHeight="1" x14ac:dyDescent="0.25">
      <c r="A164" s="137" t="s">
        <v>419</v>
      </c>
      <c r="B164" s="137" t="s">
        <v>420</v>
      </c>
      <c r="C164" s="137">
        <v>2018</v>
      </c>
      <c r="D164" s="137" t="s">
        <v>53</v>
      </c>
      <c r="E164" s="137" t="s">
        <v>193</v>
      </c>
      <c r="F164" s="137" t="s">
        <v>193</v>
      </c>
      <c r="G164" s="137" t="s">
        <v>193</v>
      </c>
      <c r="H164" s="137" t="s">
        <v>193</v>
      </c>
      <c r="I164" s="137" t="s">
        <v>193</v>
      </c>
      <c r="J164" s="137" t="s">
        <v>53</v>
      </c>
      <c r="K164" s="137" t="s">
        <v>193</v>
      </c>
      <c r="L164" s="137" t="s">
        <v>193</v>
      </c>
      <c r="M164" s="137" t="s">
        <v>193</v>
      </c>
      <c r="N164" s="137" t="s">
        <v>193</v>
      </c>
      <c r="O164" s="137" t="s">
        <v>193</v>
      </c>
      <c r="P164" s="137" t="s">
        <v>53</v>
      </c>
      <c r="Q164" s="137" t="s">
        <v>193</v>
      </c>
      <c r="R164" s="137" t="s">
        <v>193</v>
      </c>
      <c r="S164" s="137" t="s">
        <v>193</v>
      </c>
      <c r="T164" s="137" t="s">
        <v>193</v>
      </c>
      <c r="U164" s="137" t="s">
        <v>193</v>
      </c>
      <c r="X164" s="12">
        <f t="shared" si="2"/>
        <v>0</v>
      </c>
    </row>
    <row r="165" spans="1:24" ht="15" customHeight="1" x14ac:dyDescent="0.25">
      <c r="A165" s="137" t="s">
        <v>421</v>
      </c>
      <c r="B165" s="137" t="s">
        <v>422</v>
      </c>
      <c r="C165" s="137">
        <v>2018</v>
      </c>
      <c r="D165" s="137" t="s">
        <v>193</v>
      </c>
      <c r="E165" s="137" t="s">
        <v>193</v>
      </c>
      <c r="F165" s="137" t="s">
        <v>193</v>
      </c>
      <c r="G165" s="137" t="s">
        <v>193</v>
      </c>
      <c r="H165" s="137" t="s">
        <v>193</v>
      </c>
      <c r="I165" s="137" t="s">
        <v>193</v>
      </c>
      <c r="J165" s="137" t="s">
        <v>193</v>
      </c>
      <c r="K165" s="137" t="s">
        <v>193</v>
      </c>
      <c r="L165" s="137" t="s">
        <v>193</v>
      </c>
      <c r="M165" s="137" t="s">
        <v>193</v>
      </c>
      <c r="N165" s="137" t="s">
        <v>193</v>
      </c>
      <c r="O165" s="137" t="s">
        <v>193</v>
      </c>
      <c r="P165" s="137" t="s">
        <v>193</v>
      </c>
      <c r="Q165" s="137" t="s">
        <v>193</v>
      </c>
      <c r="R165" s="137" t="s">
        <v>193</v>
      </c>
      <c r="S165" s="137" t="s">
        <v>193</v>
      </c>
      <c r="T165" s="137" t="s">
        <v>193</v>
      </c>
      <c r="U165" s="137" t="s">
        <v>193</v>
      </c>
      <c r="X165" s="12">
        <f t="shared" si="2"/>
        <v>0</v>
      </c>
    </row>
    <row r="166" spans="1:24" ht="15" customHeight="1" x14ac:dyDescent="0.25">
      <c r="A166" s="137" t="s">
        <v>421</v>
      </c>
      <c r="B166" s="137" t="s">
        <v>423</v>
      </c>
      <c r="C166" s="137">
        <v>2018</v>
      </c>
      <c r="D166" s="137" t="s">
        <v>193</v>
      </c>
      <c r="E166" s="137" t="s">
        <v>193</v>
      </c>
      <c r="F166" s="137" t="s">
        <v>193</v>
      </c>
      <c r="G166" s="137" t="s">
        <v>193</v>
      </c>
      <c r="H166" s="137" t="s">
        <v>193</v>
      </c>
      <c r="I166" s="137" t="s">
        <v>193</v>
      </c>
      <c r="J166" s="137" t="s">
        <v>193</v>
      </c>
      <c r="K166" s="137" t="s">
        <v>193</v>
      </c>
      <c r="L166" s="137" t="s">
        <v>193</v>
      </c>
      <c r="M166" s="137" t="s">
        <v>193</v>
      </c>
      <c r="N166" s="137" t="s">
        <v>193</v>
      </c>
      <c r="O166" s="137" t="s">
        <v>193</v>
      </c>
      <c r="P166" s="137" t="s">
        <v>193</v>
      </c>
      <c r="Q166" s="137" t="s">
        <v>193</v>
      </c>
      <c r="R166" s="137" t="s">
        <v>193</v>
      </c>
      <c r="S166" s="137" t="s">
        <v>193</v>
      </c>
      <c r="T166" s="137" t="s">
        <v>193</v>
      </c>
      <c r="U166" s="137" t="s">
        <v>193</v>
      </c>
      <c r="X166" s="12">
        <f t="shared" si="2"/>
        <v>0</v>
      </c>
    </row>
    <row r="167" spans="1:24" ht="15" customHeight="1" x14ac:dyDescent="0.25">
      <c r="A167" s="137" t="s">
        <v>424</v>
      </c>
      <c r="B167" s="137" t="s">
        <v>425</v>
      </c>
      <c r="C167" s="137">
        <v>2018</v>
      </c>
      <c r="D167" s="137" t="s">
        <v>801</v>
      </c>
      <c r="E167" s="137" t="s">
        <v>769</v>
      </c>
      <c r="F167" s="137">
        <v>13.43</v>
      </c>
      <c r="G167" s="137" t="s">
        <v>802</v>
      </c>
      <c r="H167" s="137">
        <v>0</v>
      </c>
      <c r="I167" s="137" t="s">
        <v>193</v>
      </c>
      <c r="J167" s="137" t="s">
        <v>53</v>
      </c>
      <c r="K167" s="137" t="s">
        <v>193</v>
      </c>
      <c r="L167" s="137" t="s">
        <v>193</v>
      </c>
      <c r="M167" s="137" t="s">
        <v>193</v>
      </c>
      <c r="N167" s="137" t="s">
        <v>193</v>
      </c>
      <c r="O167" s="137" t="s">
        <v>193</v>
      </c>
      <c r="P167" s="137" t="s">
        <v>53</v>
      </c>
      <c r="Q167" s="137" t="s">
        <v>193</v>
      </c>
      <c r="R167" s="137" t="s">
        <v>193</v>
      </c>
      <c r="S167" s="137" t="s">
        <v>193</v>
      </c>
      <c r="T167" s="137" t="s">
        <v>193</v>
      </c>
      <c r="U167" s="137" t="s">
        <v>193</v>
      </c>
      <c r="X167" s="12">
        <f t="shared" si="2"/>
        <v>0</v>
      </c>
    </row>
    <row r="168" spans="1:24" ht="15" customHeight="1" x14ac:dyDescent="0.25">
      <c r="A168" s="137" t="s">
        <v>426</v>
      </c>
      <c r="B168" s="137" t="s">
        <v>427</v>
      </c>
      <c r="C168" s="137">
        <v>2018</v>
      </c>
      <c r="D168" s="137" t="s">
        <v>803</v>
      </c>
      <c r="E168" s="137" t="s">
        <v>769</v>
      </c>
      <c r="F168" s="137">
        <v>0.24</v>
      </c>
      <c r="G168" s="137" t="s">
        <v>193</v>
      </c>
      <c r="H168" s="137" t="s">
        <v>193</v>
      </c>
      <c r="I168" s="137" t="s">
        <v>193</v>
      </c>
      <c r="J168" s="137" t="s">
        <v>53</v>
      </c>
      <c r="K168" s="137" t="s">
        <v>193</v>
      </c>
      <c r="L168" s="137" t="s">
        <v>193</v>
      </c>
      <c r="M168" s="137" t="s">
        <v>193</v>
      </c>
      <c r="N168" s="137" t="s">
        <v>193</v>
      </c>
      <c r="O168" s="137" t="s">
        <v>193</v>
      </c>
      <c r="P168" s="137" t="s">
        <v>53</v>
      </c>
      <c r="Q168" s="137" t="s">
        <v>193</v>
      </c>
      <c r="R168" s="137" t="s">
        <v>193</v>
      </c>
      <c r="S168" s="137" t="s">
        <v>193</v>
      </c>
      <c r="T168" s="137" t="s">
        <v>193</v>
      </c>
      <c r="U168" s="137" t="s">
        <v>193</v>
      </c>
      <c r="X168" s="12">
        <f t="shared" si="2"/>
        <v>0</v>
      </c>
    </row>
    <row r="169" spans="1:24" ht="15" customHeight="1" x14ac:dyDescent="0.25">
      <c r="A169" s="137" t="s">
        <v>426</v>
      </c>
      <c r="B169" s="137" t="s">
        <v>428</v>
      </c>
      <c r="C169" s="137">
        <v>2018</v>
      </c>
      <c r="D169" s="137" t="s">
        <v>804</v>
      </c>
      <c r="E169" s="137" t="s">
        <v>805</v>
      </c>
      <c r="F169" s="137">
        <v>0.64100000000000001</v>
      </c>
      <c r="G169" s="137" t="s">
        <v>193</v>
      </c>
      <c r="H169" s="137" t="s">
        <v>193</v>
      </c>
      <c r="I169" s="137" t="s">
        <v>193</v>
      </c>
      <c r="J169" s="137" t="s">
        <v>53</v>
      </c>
      <c r="K169" s="137" t="s">
        <v>193</v>
      </c>
      <c r="L169" s="137" t="s">
        <v>193</v>
      </c>
      <c r="M169" s="137" t="s">
        <v>193</v>
      </c>
      <c r="N169" s="137" t="s">
        <v>193</v>
      </c>
      <c r="O169" s="137" t="s">
        <v>193</v>
      </c>
      <c r="P169" s="137" t="s">
        <v>53</v>
      </c>
      <c r="Q169" s="137" t="s">
        <v>193</v>
      </c>
      <c r="R169" s="137" t="s">
        <v>193</v>
      </c>
      <c r="S169" s="137" t="s">
        <v>193</v>
      </c>
      <c r="T169" s="137" t="s">
        <v>193</v>
      </c>
      <c r="U169" s="137" t="s">
        <v>193</v>
      </c>
      <c r="X169" s="12">
        <f t="shared" si="2"/>
        <v>0</v>
      </c>
    </row>
    <row r="170" spans="1:24" ht="15" customHeight="1" x14ac:dyDescent="0.25">
      <c r="A170" s="137" t="s">
        <v>426</v>
      </c>
      <c r="B170" s="137" t="s">
        <v>429</v>
      </c>
      <c r="C170" s="137">
        <v>2018</v>
      </c>
      <c r="D170" s="137" t="s">
        <v>803</v>
      </c>
      <c r="E170" s="137" t="s">
        <v>769</v>
      </c>
      <c r="F170" s="137">
        <v>5.2</v>
      </c>
      <c r="G170" s="137" t="s">
        <v>193</v>
      </c>
      <c r="H170" s="137" t="s">
        <v>193</v>
      </c>
      <c r="I170" s="137" t="s">
        <v>193</v>
      </c>
      <c r="J170" s="137" t="s">
        <v>53</v>
      </c>
      <c r="K170" s="137" t="s">
        <v>193</v>
      </c>
      <c r="L170" s="137" t="s">
        <v>193</v>
      </c>
      <c r="M170" s="137" t="s">
        <v>193</v>
      </c>
      <c r="N170" s="137" t="s">
        <v>193</v>
      </c>
      <c r="O170" s="137" t="s">
        <v>193</v>
      </c>
      <c r="P170" s="137" t="s">
        <v>53</v>
      </c>
      <c r="Q170" s="137" t="s">
        <v>193</v>
      </c>
      <c r="R170" s="137" t="s">
        <v>193</v>
      </c>
      <c r="S170" s="137" t="s">
        <v>193</v>
      </c>
      <c r="T170" s="137" t="s">
        <v>193</v>
      </c>
      <c r="U170" s="137" t="s">
        <v>193</v>
      </c>
      <c r="X170" s="12">
        <f t="shared" si="2"/>
        <v>0</v>
      </c>
    </row>
    <row r="171" spans="1:24" ht="15" customHeight="1" x14ac:dyDescent="0.25">
      <c r="A171" s="137" t="s">
        <v>426</v>
      </c>
      <c r="B171" s="137" t="s">
        <v>430</v>
      </c>
      <c r="C171" s="137">
        <v>2018</v>
      </c>
      <c r="D171" s="137" t="s">
        <v>53</v>
      </c>
      <c r="E171" s="137" t="s">
        <v>193</v>
      </c>
      <c r="F171" s="137" t="s">
        <v>193</v>
      </c>
      <c r="G171" s="137" t="s">
        <v>193</v>
      </c>
      <c r="H171" s="137" t="s">
        <v>193</v>
      </c>
      <c r="I171" s="137" t="s">
        <v>193</v>
      </c>
      <c r="J171" s="137" t="s">
        <v>53</v>
      </c>
      <c r="K171" s="137" t="s">
        <v>193</v>
      </c>
      <c r="L171" s="137" t="s">
        <v>193</v>
      </c>
      <c r="M171" s="137" t="s">
        <v>193</v>
      </c>
      <c r="N171" s="137" t="s">
        <v>193</v>
      </c>
      <c r="O171" s="137" t="s">
        <v>193</v>
      </c>
      <c r="P171" s="137" t="s">
        <v>53</v>
      </c>
      <c r="Q171" s="137" t="s">
        <v>193</v>
      </c>
      <c r="R171" s="137" t="s">
        <v>193</v>
      </c>
      <c r="S171" s="137" t="s">
        <v>193</v>
      </c>
      <c r="T171" s="137" t="s">
        <v>193</v>
      </c>
      <c r="U171" s="137" t="s">
        <v>193</v>
      </c>
      <c r="X171" s="12">
        <f t="shared" si="2"/>
        <v>0</v>
      </c>
    </row>
    <row r="172" spans="1:24" ht="15" customHeight="1" x14ac:dyDescent="0.25">
      <c r="A172" s="137" t="s">
        <v>426</v>
      </c>
      <c r="B172" s="137" t="s">
        <v>431</v>
      </c>
      <c r="C172" s="137">
        <v>2018</v>
      </c>
      <c r="D172" s="137" t="s">
        <v>803</v>
      </c>
      <c r="E172" s="137" t="s">
        <v>769</v>
      </c>
      <c r="F172" s="137">
        <v>0.27</v>
      </c>
      <c r="G172" s="137" t="s">
        <v>193</v>
      </c>
      <c r="H172" s="137" t="s">
        <v>193</v>
      </c>
      <c r="I172" s="137" t="s">
        <v>193</v>
      </c>
      <c r="J172" s="137" t="s">
        <v>53</v>
      </c>
      <c r="K172" s="137" t="s">
        <v>193</v>
      </c>
      <c r="L172" s="137" t="s">
        <v>193</v>
      </c>
      <c r="M172" s="137" t="s">
        <v>193</v>
      </c>
      <c r="N172" s="137" t="s">
        <v>193</v>
      </c>
      <c r="O172" s="137" t="s">
        <v>193</v>
      </c>
      <c r="P172" s="137" t="s">
        <v>53</v>
      </c>
      <c r="Q172" s="137" t="s">
        <v>193</v>
      </c>
      <c r="R172" s="137" t="s">
        <v>193</v>
      </c>
      <c r="S172" s="137" t="s">
        <v>193</v>
      </c>
      <c r="T172" s="137" t="s">
        <v>193</v>
      </c>
      <c r="U172" s="137" t="s">
        <v>193</v>
      </c>
      <c r="X172" s="12">
        <f t="shared" si="2"/>
        <v>0</v>
      </c>
    </row>
    <row r="173" spans="1:24" ht="15" customHeight="1" x14ac:dyDescent="0.25">
      <c r="A173" s="137" t="s">
        <v>432</v>
      </c>
      <c r="B173" s="137" t="s">
        <v>433</v>
      </c>
      <c r="C173" s="137">
        <v>2018</v>
      </c>
      <c r="D173" s="137" t="s">
        <v>53</v>
      </c>
      <c r="E173" s="137" t="s">
        <v>193</v>
      </c>
      <c r="F173" s="137" t="s">
        <v>193</v>
      </c>
      <c r="G173" s="137" t="s">
        <v>193</v>
      </c>
      <c r="H173" s="137" t="s">
        <v>193</v>
      </c>
      <c r="I173" s="137" t="s">
        <v>193</v>
      </c>
      <c r="J173" s="137" t="s">
        <v>53</v>
      </c>
      <c r="K173" s="137" t="s">
        <v>193</v>
      </c>
      <c r="L173" s="137" t="s">
        <v>193</v>
      </c>
      <c r="M173" s="137" t="s">
        <v>193</v>
      </c>
      <c r="N173" s="137" t="s">
        <v>193</v>
      </c>
      <c r="O173" s="137" t="s">
        <v>193</v>
      </c>
      <c r="P173" s="137" t="s">
        <v>53</v>
      </c>
      <c r="Q173" s="137" t="s">
        <v>193</v>
      </c>
      <c r="R173" s="137" t="s">
        <v>193</v>
      </c>
      <c r="S173" s="137" t="s">
        <v>193</v>
      </c>
      <c r="T173" s="137" t="s">
        <v>193</v>
      </c>
      <c r="U173" s="137" t="s">
        <v>193</v>
      </c>
      <c r="X173" s="12">
        <f t="shared" si="2"/>
        <v>0</v>
      </c>
    </row>
    <row r="174" spans="1:24" ht="15" customHeight="1" x14ac:dyDescent="0.25">
      <c r="A174" s="137" t="s">
        <v>434</v>
      </c>
      <c r="B174" s="137" t="s">
        <v>435</v>
      </c>
      <c r="C174" s="137">
        <v>2018</v>
      </c>
      <c r="D174" s="137" t="s">
        <v>53</v>
      </c>
      <c r="E174" s="137" t="s">
        <v>193</v>
      </c>
      <c r="F174" s="137" t="s">
        <v>193</v>
      </c>
      <c r="G174" s="137" t="s">
        <v>193</v>
      </c>
      <c r="H174" s="137" t="s">
        <v>193</v>
      </c>
      <c r="I174" s="137" t="s">
        <v>193</v>
      </c>
      <c r="J174" s="137" t="s">
        <v>53</v>
      </c>
      <c r="K174" s="137" t="s">
        <v>193</v>
      </c>
      <c r="L174" s="137" t="s">
        <v>193</v>
      </c>
      <c r="M174" s="137" t="s">
        <v>193</v>
      </c>
      <c r="N174" s="137" t="s">
        <v>193</v>
      </c>
      <c r="O174" s="137" t="s">
        <v>193</v>
      </c>
      <c r="P174" s="137" t="s">
        <v>53</v>
      </c>
      <c r="Q174" s="137" t="s">
        <v>193</v>
      </c>
      <c r="R174" s="137" t="s">
        <v>193</v>
      </c>
      <c r="S174" s="137" t="s">
        <v>193</v>
      </c>
      <c r="T174" s="137" t="s">
        <v>193</v>
      </c>
      <c r="U174" s="137" t="s">
        <v>193</v>
      </c>
      <c r="X174" s="12">
        <f t="shared" si="2"/>
        <v>0</v>
      </c>
    </row>
    <row r="175" spans="1:24" ht="15" customHeight="1" x14ac:dyDescent="0.25">
      <c r="A175" s="137" t="s">
        <v>434</v>
      </c>
      <c r="B175" s="137" t="s">
        <v>436</v>
      </c>
      <c r="C175" s="137">
        <v>2018</v>
      </c>
      <c r="D175" s="137" t="s">
        <v>53</v>
      </c>
      <c r="E175" s="137" t="s">
        <v>193</v>
      </c>
      <c r="F175" s="137" t="s">
        <v>193</v>
      </c>
      <c r="G175" s="137" t="s">
        <v>193</v>
      </c>
      <c r="H175" s="137" t="s">
        <v>193</v>
      </c>
      <c r="I175" s="137" t="s">
        <v>193</v>
      </c>
      <c r="J175" s="137" t="s">
        <v>53</v>
      </c>
      <c r="K175" s="137" t="s">
        <v>193</v>
      </c>
      <c r="L175" s="137" t="s">
        <v>193</v>
      </c>
      <c r="M175" s="137" t="s">
        <v>193</v>
      </c>
      <c r="N175" s="137" t="s">
        <v>193</v>
      </c>
      <c r="O175" s="137" t="s">
        <v>193</v>
      </c>
      <c r="P175" s="137" t="s">
        <v>53</v>
      </c>
      <c r="Q175" s="137" t="s">
        <v>193</v>
      </c>
      <c r="R175" s="137" t="s">
        <v>193</v>
      </c>
      <c r="S175" s="137" t="s">
        <v>193</v>
      </c>
      <c r="T175" s="137" t="s">
        <v>193</v>
      </c>
      <c r="U175" s="137" t="s">
        <v>193</v>
      </c>
      <c r="X175" s="12">
        <f t="shared" si="2"/>
        <v>0</v>
      </c>
    </row>
    <row r="176" spans="1:24" ht="15" customHeight="1" x14ac:dyDescent="0.25">
      <c r="A176" s="137" t="s">
        <v>434</v>
      </c>
      <c r="B176" s="137" t="s">
        <v>437</v>
      </c>
      <c r="C176" s="137">
        <v>2018</v>
      </c>
      <c r="D176" s="137" t="s">
        <v>53</v>
      </c>
      <c r="E176" s="137" t="s">
        <v>193</v>
      </c>
      <c r="F176" s="137" t="s">
        <v>193</v>
      </c>
      <c r="G176" s="137" t="s">
        <v>193</v>
      </c>
      <c r="H176" s="137" t="s">
        <v>193</v>
      </c>
      <c r="I176" s="137" t="s">
        <v>193</v>
      </c>
      <c r="J176" s="137" t="s">
        <v>53</v>
      </c>
      <c r="K176" s="137" t="s">
        <v>193</v>
      </c>
      <c r="L176" s="137" t="s">
        <v>193</v>
      </c>
      <c r="M176" s="137" t="s">
        <v>193</v>
      </c>
      <c r="N176" s="137" t="s">
        <v>193</v>
      </c>
      <c r="O176" s="137" t="s">
        <v>193</v>
      </c>
      <c r="P176" s="137" t="s">
        <v>53</v>
      </c>
      <c r="Q176" s="137" t="s">
        <v>193</v>
      </c>
      <c r="R176" s="137" t="s">
        <v>193</v>
      </c>
      <c r="S176" s="137" t="s">
        <v>193</v>
      </c>
      <c r="T176" s="137" t="s">
        <v>193</v>
      </c>
      <c r="U176" s="137" t="s">
        <v>193</v>
      </c>
      <c r="X176" s="12">
        <f t="shared" si="2"/>
        <v>0</v>
      </c>
    </row>
    <row r="177" spans="1:24" ht="15" customHeight="1" x14ac:dyDescent="0.25">
      <c r="A177" s="137" t="s">
        <v>438</v>
      </c>
      <c r="B177" s="137" t="s">
        <v>439</v>
      </c>
      <c r="C177" s="137">
        <v>2018</v>
      </c>
      <c r="D177" s="137" t="s">
        <v>806</v>
      </c>
      <c r="E177" s="137" t="s">
        <v>807</v>
      </c>
      <c r="F177" s="137">
        <v>725.9</v>
      </c>
      <c r="G177" s="137" t="s">
        <v>783</v>
      </c>
      <c r="H177" s="137">
        <v>26.2</v>
      </c>
      <c r="I177" s="137">
        <v>100</v>
      </c>
      <c r="J177" s="137" t="s">
        <v>53</v>
      </c>
      <c r="K177" s="137" t="s">
        <v>193</v>
      </c>
      <c r="L177" s="137" t="s">
        <v>193</v>
      </c>
      <c r="M177" s="137" t="s">
        <v>193</v>
      </c>
      <c r="N177" s="137" t="s">
        <v>193</v>
      </c>
      <c r="O177" s="137" t="s">
        <v>193</v>
      </c>
      <c r="P177" s="137" t="s">
        <v>53</v>
      </c>
      <c r="Q177" s="137" t="s">
        <v>193</v>
      </c>
      <c r="R177" s="137" t="s">
        <v>193</v>
      </c>
      <c r="S177" s="137" t="s">
        <v>193</v>
      </c>
      <c r="T177" s="137" t="s">
        <v>193</v>
      </c>
      <c r="U177" s="137" t="s">
        <v>193</v>
      </c>
      <c r="X177" s="12">
        <f t="shared" si="2"/>
        <v>0</v>
      </c>
    </row>
    <row r="178" spans="1:24" ht="15" customHeight="1" x14ac:dyDescent="0.25">
      <c r="A178" s="137" t="s">
        <v>438</v>
      </c>
      <c r="B178" s="137" t="s">
        <v>440</v>
      </c>
      <c r="C178" s="137">
        <v>2018</v>
      </c>
      <c r="D178" s="137" t="s">
        <v>53</v>
      </c>
      <c r="E178" s="137" t="s">
        <v>193</v>
      </c>
      <c r="F178" s="137" t="s">
        <v>193</v>
      </c>
      <c r="G178" s="137" t="s">
        <v>193</v>
      </c>
      <c r="H178" s="137" t="s">
        <v>193</v>
      </c>
      <c r="I178" s="137" t="s">
        <v>193</v>
      </c>
      <c r="J178" s="137" t="s">
        <v>53</v>
      </c>
      <c r="K178" s="137" t="s">
        <v>193</v>
      </c>
      <c r="L178" s="137" t="s">
        <v>193</v>
      </c>
      <c r="M178" s="137" t="s">
        <v>193</v>
      </c>
      <c r="N178" s="137" t="s">
        <v>193</v>
      </c>
      <c r="O178" s="137" t="s">
        <v>193</v>
      </c>
      <c r="P178" s="137" t="s">
        <v>53</v>
      </c>
      <c r="Q178" s="137" t="s">
        <v>193</v>
      </c>
      <c r="R178" s="137" t="s">
        <v>193</v>
      </c>
      <c r="S178" s="137" t="s">
        <v>193</v>
      </c>
      <c r="T178" s="137" t="s">
        <v>193</v>
      </c>
      <c r="U178" s="137" t="s">
        <v>193</v>
      </c>
      <c r="X178" s="12">
        <f t="shared" si="2"/>
        <v>0</v>
      </c>
    </row>
    <row r="179" spans="1:24" ht="15" customHeight="1" x14ac:dyDescent="0.25">
      <c r="A179" s="137" t="s">
        <v>438</v>
      </c>
      <c r="B179" s="137" t="s">
        <v>441</v>
      </c>
      <c r="C179" s="137">
        <v>2018</v>
      </c>
      <c r="D179" s="137" t="s">
        <v>53</v>
      </c>
      <c r="E179" s="137" t="s">
        <v>193</v>
      </c>
      <c r="F179" s="137" t="s">
        <v>193</v>
      </c>
      <c r="G179" s="137" t="s">
        <v>193</v>
      </c>
      <c r="H179" s="137" t="s">
        <v>193</v>
      </c>
      <c r="I179" s="137" t="s">
        <v>193</v>
      </c>
      <c r="J179" s="137" t="s">
        <v>53</v>
      </c>
      <c r="K179" s="137" t="s">
        <v>193</v>
      </c>
      <c r="L179" s="137" t="s">
        <v>193</v>
      </c>
      <c r="M179" s="137" t="s">
        <v>193</v>
      </c>
      <c r="N179" s="137" t="s">
        <v>193</v>
      </c>
      <c r="O179" s="137" t="s">
        <v>193</v>
      </c>
      <c r="P179" s="137" t="s">
        <v>53</v>
      </c>
      <c r="Q179" s="137" t="s">
        <v>193</v>
      </c>
      <c r="R179" s="137" t="s">
        <v>193</v>
      </c>
      <c r="S179" s="137" t="s">
        <v>193</v>
      </c>
      <c r="T179" s="137" t="s">
        <v>193</v>
      </c>
      <c r="U179" s="137" t="s">
        <v>193</v>
      </c>
      <c r="X179" s="12">
        <f t="shared" si="2"/>
        <v>0</v>
      </c>
    </row>
    <row r="180" spans="1:24" ht="15" customHeight="1" x14ac:dyDescent="0.25">
      <c r="A180" s="137" t="s">
        <v>442</v>
      </c>
      <c r="B180" s="137" t="s">
        <v>443</v>
      </c>
      <c r="C180" s="137">
        <v>2018</v>
      </c>
      <c r="D180" s="137" t="s">
        <v>53</v>
      </c>
      <c r="E180" s="137" t="s">
        <v>193</v>
      </c>
      <c r="F180" s="137" t="s">
        <v>193</v>
      </c>
      <c r="G180" s="137" t="s">
        <v>193</v>
      </c>
      <c r="H180" s="137" t="s">
        <v>193</v>
      </c>
      <c r="I180" s="137" t="s">
        <v>193</v>
      </c>
      <c r="J180" s="137" t="s">
        <v>53</v>
      </c>
      <c r="K180" s="137" t="s">
        <v>193</v>
      </c>
      <c r="L180" s="137" t="s">
        <v>193</v>
      </c>
      <c r="M180" s="137" t="s">
        <v>193</v>
      </c>
      <c r="N180" s="137" t="s">
        <v>193</v>
      </c>
      <c r="O180" s="137" t="s">
        <v>193</v>
      </c>
      <c r="P180" s="137" t="s">
        <v>53</v>
      </c>
      <c r="Q180" s="137" t="s">
        <v>193</v>
      </c>
      <c r="R180" s="137" t="s">
        <v>193</v>
      </c>
      <c r="S180" s="137" t="s">
        <v>193</v>
      </c>
      <c r="T180" s="137" t="s">
        <v>193</v>
      </c>
      <c r="U180" s="137" t="s">
        <v>193</v>
      </c>
      <c r="X180" s="12">
        <f t="shared" si="2"/>
        <v>0</v>
      </c>
    </row>
    <row r="181" spans="1:24" ht="15" customHeight="1" x14ac:dyDescent="0.25">
      <c r="A181" s="137" t="s">
        <v>444</v>
      </c>
      <c r="B181" s="137" t="s">
        <v>445</v>
      </c>
      <c r="C181" s="137">
        <v>2018</v>
      </c>
      <c r="D181" s="137" t="s">
        <v>193</v>
      </c>
      <c r="E181" s="137" t="s">
        <v>193</v>
      </c>
      <c r="F181" s="137" t="s">
        <v>193</v>
      </c>
      <c r="G181" s="137" t="s">
        <v>193</v>
      </c>
      <c r="H181" s="137" t="s">
        <v>193</v>
      </c>
      <c r="I181" s="137" t="s">
        <v>193</v>
      </c>
      <c r="J181" s="137" t="s">
        <v>193</v>
      </c>
      <c r="K181" s="137" t="s">
        <v>193</v>
      </c>
      <c r="L181" s="137" t="s">
        <v>193</v>
      </c>
      <c r="M181" s="137" t="s">
        <v>193</v>
      </c>
      <c r="N181" s="137" t="s">
        <v>193</v>
      </c>
      <c r="O181" s="137" t="s">
        <v>193</v>
      </c>
      <c r="P181" s="137" t="s">
        <v>193</v>
      </c>
      <c r="Q181" s="137" t="s">
        <v>193</v>
      </c>
      <c r="R181" s="137" t="s">
        <v>193</v>
      </c>
      <c r="S181" s="137" t="s">
        <v>193</v>
      </c>
      <c r="T181" s="137" t="s">
        <v>193</v>
      </c>
      <c r="U181" s="137" t="s">
        <v>193</v>
      </c>
      <c r="X181" s="12">
        <f t="shared" si="2"/>
        <v>0</v>
      </c>
    </row>
    <row r="182" spans="1:24" ht="15" customHeight="1" x14ac:dyDescent="0.25">
      <c r="A182" s="137" t="s">
        <v>444</v>
      </c>
      <c r="B182" s="137" t="s">
        <v>446</v>
      </c>
      <c r="C182" s="137">
        <v>2018</v>
      </c>
      <c r="D182" s="137" t="s">
        <v>193</v>
      </c>
      <c r="E182" s="137" t="s">
        <v>193</v>
      </c>
      <c r="F182" s="137" t="s">
        <v>193</v>
      </c>
      <c r="G182" s="137" t="s">
        <v>193</v>
      </c>
      <c r="H182" s="137" t="s">
        <v>193</v>
      </c>
      <c r="I182" s="137" t="s">
        <v>193</v>
      </c>
      <c r="J182" s="137" t="s">
        <v>193</v>
      </c>
      <c r="K182" s="137" t="s">
        <v>193</v>
      </c>
      <c r="L182" s="137" t="s">
        <v>193</v>
      </c>
      <c r="M182" s="137" t="s">
        <v>193</v>
      </c>
      <c r="N182" s="137" t="s">
        <v>193</v>
      </c>
      <c r="O182" s="137" t="s">
        <v>193</v>
      </c>
      <c r="P182" s="137" t="s">
        <v>193</v>
      </c>
      <c r="Q182" s="137" t="s">
        <v>193</v>
      </c>
      <c r="R182" s="137" t="s">
        <v>193</v>
      </c>
      <c r="S182" s="137" t="s">
        <v>193</v>
      </c>
      <c r="T182" s="137" t="s">
        <v>193</v>
      </c>
      <c r="U182" s="137" t="s">
        <v>193</v>
      </c>
      <c r="X182" s="12">
        <f t="shared" si="2"/>
        <v>0</v>
      </c>
    </row>
    <row r="183" spans="1:24" ht="15" customHeight="1" x14ac:dyDescent="0.25">
      <c r="A183" s="137" t="s">
        <v>447</v>
      </c>
      <c r="B183" s="137" t="s">
        <v>448</v>
      </c>
      <c r="C183" s="137">
        <v>2018</v>
      </c>
      <c r="D183" s="137" t="s">
        <v>808</v>
      </c>
      <c r="E183" s="137" t="s">
        <v>769</v>
      </c>
      <c r="F183" s="137">
        <v>8</v>
      </c>
      <c r="G183" s="137" t="s">
        <v>193</v>
      </c>
      <c r="H183" s="137" t="s">
        <v>193</v>
      </c>
      <c r="I183" s="137" t="s">
        <v>193</v>
      </c>
      <c r="J183" s="137" t="s">
        <v>53</v>
      </c>
      <c r="K183" s="137" t="s">
        <v>193</v>
      </c>
      <c r="L183" s="137" t="s">
        <v>193</v>
      </c>
      <c r="M183" s="137" t="s">
        <v>193</v>
      </c>
      <c r="N183" s="137" t="s">
        <v>193</v>
      </c>
      <c r="O183" s="137" t="s">
        <v>193</v>
      </c>
      <c r="P183" s="137" t="s">
        <v>53</v>
      </c>
      <c r="Q183" s="137" t="s">
        <v>193</v>
      </c>
      <c r="R183" s="137" t="s">
        <v>193</v>
      </c>
      <c r="S183" s="137" t="s">
        <v>193</v>
      </c>
      <c r="T183" s="137" t="s">
        <v>193</v>
      </c>
      <c r="U183" s="137" t="s">
        <v>193</v>
      </c>
      <c r="X183" s="12">
        <f t="shared" si="2"/>
        <v>0</v>
      </c>
    </row>
    <row r="184" spans="1:24" ht="15" customHeight="1" x14ac:dyDescent="0.25">
      <c r="A184" s="137" t="s">
        <v>449</v>
      </c>
      <c r="B184" s="137" t="s">
        <v>450</v>
      </c>
      <c r="C184" s="137">
        <v>2018</v>
      </c>
      <c r="D184" s="137" t="s">
        <v>53</v>
      </c>
      <c r="E184" s="137" t="s">
        <v>53</v>
      </c>
      <c r="F184" s="137" t="s">
        <v>193</v>
      </c>
      <c r="G184" s="137" t="s">
        <v>53</v>
      </c>
      <c r="H184" s="137" t="s">
        <v>193</v>
      </c>
      <c r="I184" s="137" t="s">
        <v>193</v>
      </c>
      <c r="J184" s="137" t="s">
        <v>53</v>
      </c>
      <c r="K184" s="137" t="s">
        <v>53</v>
      </c>
      <c r="L184" s="137" t="s">
        <v>193</v>
      </c>
      <c r="M184" s="137" t="s">
        <v>53</v>
      </c>
      <c r="N184" s="137" t="s">
        <v>193</v>
      </c>
      <c r="O184" s="137" t="s">
        <v>193</v>
      </c>
      <c r="P184" s="137" t="s">
        <v>53</v>
      </c>
      <c r="Q184" s="137" t="s">
        <v>53</v>
      </c>
      <c r="R184" s="137" t="s">
        <v>193</v>
      </c>
      <c r="S184" s="137" t="s">
        <v>53</v>
      </c>
      <c r="T184" s="137" t="s">
        <v>193</v>
      </c>
      <c r="U184" s="137" t="s">
        <v>193</v>
      </c>
      <c r="X184" s="12">
        <f t="shared" si="2"/>
        <v>0</v>
      </c>
    </row>
    <row r="185" spans="1:24" ht="15" customHeight="1" x14ac:dyDescent="0.25">
      <c r="A185" s="137" t="s">
        <v>451</v>
      </c>
      <c r="B185" s="137" t="s">
        <v>452</v>
      </c>
      <c r="C185" s="137">
        <v>2018</v>
      </c>
      <c r="D185" s="137" t="s">
        <v>53</v>
      </c>
      <c r="E185" s="137" t="s">
        <v>53</v>
      </c>
      <c r="F185" s="137" t="s">
        <v>53</v>
      </c>
      <c r="G185" s="137" t="s">
        <v>53</v>
      </c>
      <c r="H185" s="137" t="s">
        <v>53</v>
      </c>
      <c r="I185" s="137" t="s">
        <v>53</v>
      </c>
      <c r="J185" s="137" t="s">
        <v>53</v>
      </c>
      <c r="K185" s="137" t="s">
        <v>53</v>
      </c>
      <c r="L185" s="137" t="s">
        <v>53</v>
      </c>
      <c r="M185" s="137" t="s">
        <v>53</v>
      </c>
      <c r="N185" s="137" t="s">
        <v>53</v>
      </c>
      <c r="O185" s="137" t="s">
        <v>53</v>
      </c>
      <c r="P185" s="137" t="s">
        <v>53</v>
      </c>
      <c r="Q185" s="137" t="s">
        <v>53</v>
      </c>
      <c r="R185" s="137" t="s">
        <v>53</v>
      </c>
      <c r="S185" s="137" t="s">
        <v>53</v>
      </c>
      <c r="T185" s="137" t="s">
        <v>53</v>
      </c>
      <c r="U185" s="137" t="s">
        <v>53</v>
      </c>
      <c r="X185" s="12">
        <f t="shared" si="2"/>
        <v>0</v>
      </c>
    </row>
    <row r="186" spans="1:24" ht="15" customHeight="1" x14ac:dyDescent="0.25">
      <c r="A186" s="137" t="s">
        <v>453</v>
      </c>
      <c r="B186" s="137" t="s">
        <v>454</v>
      </c>
      <c r="C186" s="137">
        <v>2018</v>
      </c>
      <c r="D186" s="137" t="s">
        <v>53</v>
      </c>
      <c r="E186" s="137" t="s">
        <v>193</v>
      </c>
      <c r="F186" s="137" t="s">
        <v>193</v>
      </c>
      <c r="G186" s="137" t="s">
        <v>193</v>
      </c>
      <c r="H186" s="137" t="s">
        <v>193</v>
      </c>
      <c r="I186" s="137" t="s">
        <v>193</v>
      </c>
      <c r="J186" s="137" t="s">
        <v>53</v>
      </c>
      <c r="K186" s="137" t="s">
        <v>193</v>
      </c>
      <c r="L186" s="137" t="s">
        <v>193</v>
      </c>
      <c r="M186" s="137" t="s">
        <v>193</v>
      </c>
      <c r="N186" s="137" t="s">
        <v>193</v>
      </c>
      <c r="O186" s="137" t="s">
        <v>193</v>
      </c>
      <c r="P186" s="137" t="s">
        <v>53</v>
      </c>
      <c r="Q186" s="137" t="s">
        <v>193</v>
      </c>
      <c r="R186" s="137" t="s">
        <v>193</v>
      </c>
      <c r="S186" s="137" t="s">
        <v>193</v>
      </c>
      <c r="T186" s="137" t="s">
        <v>193</v>
      </c>
      <c r="U186" s="137" t="s">
        <v>193</v>
      </c>
      <c r="X186" s="12">
        <f t="shared" si="2"/>
        <v>0</v>
      </c>
    </row>
    <row r="187" spans="1:24" ht="15" customHeight="1" x14ac:dyDescent="0.25">
      <c r="A187" s="137" t="s">
        <v>453</v>
      </c>
      <c r="B187" s="137" t="s">
        <v>126</v>
      </c>
      <c r="C187" s="137">
        <v>2018</v>
      </c>
      <c r="D187" s="137" t="s">
        <v>53</v>
      </c>
      <c r="E187" s="137" t="s">
        <v>193</v>
      </c>
      <c r="F187" s="137" t="s">
        <v>193</v>
      </c>
      <c r="G187" s="137" t="s">
        <v>193</v>
      </c>
      <c r="H187" s="137" t="s">
        <v>193</v>
      </c>
      <c r="I187" s="137" t="s">
        <v>193</v>
      </c>
      <c r="J187" s="137" t="s">
        <v>53</v>
      </c>
      <c r="K187" s="137" t="s">
        <v>193</v>
      </c>
      <c r="L187" s="137" t="s">
        <v>193</v>
      </c>
      <c r="M187" s="137" t="s">
        <v>193</v>
      </c>
      <c r="N187" s="137" t="s">
        <v>193</v>
      </c>
      <c r="O187" s="137" t="s">
        <v>193</v>
      </c>
      <c r="P187" s="137" t="s">
        <v>53</v>
      </c>
      <c r="Q187" s="137" t="s">
        <v>193</v>
      </c>
      <c r="R187" s="137" t="s">
        <v>193</v>
      </c>
      <c r="S187" s="137" t="s">
        <v>193</v>
      </c>
      <c r="T187" s="137" t="s">
        <v>193</v>
      </c>
      <c r="U187" s="137" t="s">
        <v>193</v>
      </c>
      <c r="X187" s="12">
        <f t="shared" si="2"/>
        <v>0</v>
      </c>
    </row>
    <row r="188" spans="1:24" ht="15" customHeight="1" x14ac:dyDescent="0.25">
      <c r="A188" s="137" t="s">
        <v>453</v>
      </c>
      <c r="B188" s="137" t="s">
        <v>455</v>
      </c>
      <c r="C188" s="137">
        <v>2018</v>
      </c>
      <c r="D188" s="137" t="s">
        <v>809</v>
      </c>
      <c r="E188" s="137" t="s">
        <v>772</v>
      </c>
      <c r="F188" s="137">
        <v>2.19</v>
      </c>
      <c r="G188" s="137" t="s">
        <v>193</v>
      </c>
      <c r="H188" s="137" t="s">
        <v>193</v>
      </c>
      <c r="I188" s="137" t="s">
        <v>193</v>
      </c>
      <c r="J188" s="137" t="s">
        <v>53</v>
      </c>
      <c r="K188" s="137" t="s">
        <v>193</v>
      </c>
      <c r="L188" s="137" t="s">
        <v>193</v>
      </c>
      <c r="M188" s="137" t="s">
        <v>193</v>
      </c>
      <c r="N188" s="137" t="s">
        <v>193</v>
      </c>
      <c r="O188" s="137" t="s">
        <v>193</v>
      </c>
      <c r="P188" s="137" t="s">
        <v>53</v>
      </c>
      <c r="Q188" s="137" t="s">
        <v>193</v>
      </c>
      <c r="R188" s="137" t="s">
        <v>193</v>
      </c>
      <c r="S188" s="137" t="s">
        <v>193</v>
      </c>
      <c r="T188" s="137" t="s">
        <v>193</v>
      </c>
      <c r="U188" s="137" t="s">
        <v>193</v>
      </c>
      <c r="X188" s="12">
        <f t="shared" si="2"/>
        <v>0</v>
      </c>
    </row>
    <row r="189" spans="1:24" ht="15" customHeight="1" x14ac:dyDescent="0.25">
      <c r="A189" s="137" t="s">
        <v>453</v>
      </c>
      <c r="B189" s="137" t="s">
        <v>456</v>
      </c>
      <c r="C189" s="137">
        <v>2018</v>
      </c>
      <c r="D189" s="137" t="s">
        <v>809</v>
      </c>
      <c r="E189" s="137" t="s">
        <v>772</v>
      </c>
      <c r="F189" s="137">
        <v>8.9330000000000007E-2</v>
      </c>
      <c r="G189" s="137" t="s">
        <v>193</v>
      </c>
      <c r="H189" s="137" t="s">
        <v>193</v>
      </c>
      <c r="I189" s="137" t="s">
        <v>193</v>
      </c>
      <c r="J189" s="137" t="s">
        <v>53</v>
      </c>
      <c r="K189" s="137" t="s">
        <v>193</v>
      </c>
      <c r="L189" s="137" t="s">
        <v>193</v>
      </c>
      <c r="M189" s="137" t="s">
        <v>193</v>
      </c>
      <c r="N189" s="137" t="s">
        <v>193</v>
      </c>
      <c r="O189" s="137" t="s">
        <v>193</v>
      </c>
      <c r="P189" s="137" t="s">
        <v>53</v>
      </c>
      <c r="Q189" s="137" t="s">
        <v>193</v>
      </c>
      <c r="R189" s="137" t="s">
        <v>193</v>
      </c>
      <c r="S189" s="137" t="s">
        <v>193</v>
      </c>
      <c r="T189" s="137" t="s">
        <v>193</v>
      </c>
      <c r="U189" s="137" t="s">
        <v>193</v>
      </c>
      <c r="X189" s="12">
        <f t="shared" si="2"/>
        <v>0</v>
      </c>
    </row>
    <row r="190" spans="1:24" ht="15" customHeight="1" x14ac:dyDescent="0.25">
      <c r="A190" s="137" t="s">
        <v>457</v>
      </c>
      <c r="B190" s="137" t="s">
        <v>458</v>
      </c>
      <c r="C190" s="137">
        <v>2018</v>
      </c>
      <c r="D190" s="137" t="s">
        <v>53</v>
      </c>
      <c r="E190" s="137" t="s">
        <v>193</v>
      </c>
      <c r="F190" s="137" t="s">
        <v>193</v>
      </c>
      <c r="G190" s="137" t="s">
        <v>193</v>
      </c>
      <c r="H190" s="137" t="s">
        <v>193</v>
      </c>
      <c r="I190" s="137" t="s">
        <v>193</v>
      </c>
      <c r="J190" s="137" t="s">
        <v>53</v>
      </c>
      <c r="K190" s="137" t="s">
        <v>193</v>
      </c>
      <c r="L190" s="137" t="s">
        <v>193</v>
      </c>
      <c r="M190" s="137" t="s">
        <v>193</v>
      </c>
      <c r="N190" s="137" t="s">
        <v>193</v>
      </c>
      <c r="O190" s="137" t="s">
        <v>193</v>
      </c>
      <c r="P190" s="137" t="s">
        <v>53</v>
      </c>
      <c r="Q190" s="137" t="s">
        <v>193</v>
      </c>
      <c r="R190" s="137" t="s">
        <v>193</v>
      </c>
      <c r="S190" s="137" t="s">
        <v>193</v>
      </c>
      <c r="T190" s="137" t="s">
        <v>193</v>
      </c>
      <c r="U190" s="137" t="s">
        <v>193</v>
      </c>
      <c r="X190" s="12">
        <f t="shared" si="2"/>
        <v>0</v>
      </c>
    </row>
    <row r="191" spans="1:24" ht="15" customHeight="1" x14ac:dyDescent="0.25">
      <c r="A191" s="137" t="s">
        <v>457</v>
      </c>
      <c r="B191" s="137" t="s">
        <v>459</v>
      </c>
      <c r="C191" s="137">
        <v>2018</v>
      </c>
      <c r="D191" s="137" t="s">
        <v>53</v>
      </c>
      <c r="E191" s="137" t="s">
        <v>193</v>
      </c>
      <c r="F191" s="137" t="s">
        <v>193</v>
      </c>
      <c r="G191" s="137" t="s">
        <v>193</v>
      </c>
      <c r="H191" s="137" t="s">
        <v>193</v>
      </c>
      <c r="I191" s="137" t="s">
        <v>193</v>
      </c>
      <c r="J191" s="137" t="s">
        <v>53</v>
      </c>
      <c r="K191" s="137" t="s">
        <v>193</v>
      </c>
      <c r="L191" s="137" t="s">
        <v>193</v>
      </c>
      <c r="M191" s="137" t="s">
        <v>193</v>
      </c>
      <c r="N191" s="137" t="s">
        <v>193</v>
      </c>
      <c r="O191" s="137" t="s">
        <v>193</v>
      </c>
      <c r="P191" s="137" t="s">
        <v>53</v>
      </c>
      <c r="Q191" s="137" t="s">
        <v>193</v>
      </c>
      <c r="R191" s="137" t="s">
        <v>193</v>
      </c>
      <c r="S191" s="137" t="s">
        <v>193</v>
      </c>
      <c r="T191" s="137" t="s">
        <v>193</v>
      </c>
      <c r="U191" s="137" t="s">
        <v>193</v>
      </c>
      <c r="X191" s="12">
        <f t="shared" si="2"/>
        <v>0</v>
      </c>
    </row>
    <row r="192" spans="1:24" ht="15" customHeight="1" x14ac:dyDescent="0.25">
      <c r="A192" s="137" t="s">
        <v>457</v>
      </c>
      <c r="B192" s="137" t="s">
        <v>460</v>
      </c>
      <c r="C192" s="137">
        <v>2018</v>
      </c>
      <c r="D192" s="137" t="s">
        <v>53</v>
      </c>
      <c r="E192" s="137" t="s">
        <v>193</v>
      </c>
      <c r="F192" s="137" t="s">
        <v>193</v>
      </c>
      <c r="G192" s="137" t="s">
        <v>193</v>
      </c>
      <c r="H192" s="137" t="s">
        <v>193</v>
      </c>
      <c r="I192" s="137" t="s">
        <v>193</v>
      </c>
      <c r="J192" s="137" t="s">
        <v>53</v>
      </c>
      <c r="K192" s="137" t="s">
        <v>193</v>
      </c>
      <c r="L192" s="137" t="s">
        <v>193</v>
      </c>
      <c r="M192" s="137" t="s">
        <v>193</v>
      </c>
      <c r="N192" s="137" t="s">
        <v>193</v>
      </c>
      <c r="O192" s="137" t="s">
        <v>193</v>
      </c>
      <c r="P192" s="137" t="s">
        <v>53</v>
      </c>
      <c r="Q192" s="137" t="s">
        <v>193</v>
      </c>
      <c r="R192" s="137" t="s">
        <v>193</v>
      </c>
      <c r="S192" s="137" t="s">
        <v>193</v>
      </c>
      <c r="T192" s="137" t="s">
        <v>193</v>
      </c>
      <c r="U192" s="137" t="s">
        <v>193</v>
      </c>
      <c r="X192" s="12">
        <f t="shared" si="2"/>
        <v>0</v>
      </c>
    </row>
    <row r="193" spans="1:24" ht="15" customHeight="1" x14ac:dyDescent="0.25">
      <c r="A193" s="137" t="s">
        <v>461</v>
      </c>
      <c r="B193" s="137" t="s">
        <v>462</v>
      </c>
      <c r="C193" s="137">
        <v>2018</v>
      </c>
      <c r="D193" s="137" t="s">
        <v>53</v>
      </c>
      <c r="E193" s="137" t="s">
        <v>193</v>
      </c>
      <c r="F193" s="137" t="s">
        <v>193</v>
      </c>
      <c r="G193" s="137" t="s">
        <v>193</v>
      </c>
      <c r="H193" s="137" t="s">
        <v>193</v>
      </c>
      <c r="I193" s="137" t="s">
        <v>193</v>
      </c>
      <c r="J193" s="137" t="s">
        <v>53</v>
      </c>
      <c r="K193" s="137" t="s">
        <v>193</v>
      </c>
      <c r="L193" s="137" t="s">
        <v>193</v>
      </c>
      <c r="M193" s="137" t="s">
        <v>193</v>
      </c>
      <c r="N193" s="137" t="s">
        <v>193</v>
      </c>
      <c r="O193" s="137" t="s">
        <v>193</v>
      </c>
      <c r="P193" s="137" t="s">
        <v>53</v>
      </c>
      <c r="Q193" s="137" t="s">
        <v>193</v>
      </c>
      <c r="R193" s="137" t="s">
        <v>193</v>
      </c>
      <c r="S193" s="137" t="s">
        <v>193</v>
      </c>
      <c r="T193" s="137" t="s">
        <v>193</v>
      </c>
      <c r="U193" s="137" t="s">
        <v>193</v>
      </c>
      <c r="X193" s="12">
        <f t="shared" si="2"/>
        <v>0</v>
      </c>
    </row>
    <row r="194" spans="1:24" ht="15" customHeight="1" x14ac:dyDescent="0.25">
      <c r="A194" s="137" t="s">
        <v>461</v>
      </c>
      <c r="B194" s="137" t="s">
        <v>464</v>
      </c>
      <c r="C194" s="137">
        <v>2018</v>
      </c>
      <c r="D194" s="137" t="s">
        <v>53</v>
      </c>
      <c r="E194" s="137" t="s">
        <v>193</v>
      </c>
      <c r="F194" s="137" t="s">
        <v>193</v>
      </c>
      <c r="G194" s="137" t="s">
        <v>193</v>
      </c>
      <c r="H194" s="137" t="s">
        <v>193</v>
      </c>
      <c r="I194" s="137" t="s">
        <v>193</v>
      </c>
      <c r="J194" s="137" t="s">
        <v>53</v>
      </c>
      <c r="K194" s="137" t="s">
        <v>193</v>
      </c>
      <c r="L194" s="137" t="s">
        <v>193</v>
      </c>
      <c r="M194" s="137" t="s">
        <v>193</v>
      </c>
      <c r="N194" s="137" t="s">
        <v>193</v>
      </c>
      <c r="O194" s="137" t="s">
        <v>193</v>
      </c>
      <c r="P194" s="137" t="s">
        <v>53</v>
      </c>
      <c r="Q194" s="137" t="s">
        <v>193</v>
      </c>
      <c r="R194" s="137" t="s">
        <v>193</v>
      </c>
      <c r="S194" s="137" t="s">
        <v>193</v>
      </c>
      <c r="T194" s="137" t="s">
        <v>193</v>
      </c>
      <c r="U194" s="137" t="s">
        <v>193</v>
      </c>
      <c r="X194" s="12">
        <f t="shared" ref="X194:X257" si="3">(IF(E194="Avfall",F194,0)+IF(G194="Avfall",H194,0))/IFERROR(I194/100,0.85)+(IF(K194="Avfall",L194,0)+IF(M194="Avfall",N194,0))/IFERROR(O194/100,0.85)+(IF(Q194="avfall",R194,0)+IF(S194="avfall",T194,0))/IFERROR(U194/100,0.85)</f>
        <v>0</v>
      </c>
    </row>
    <row r="195" spans="1:24" ht="15" customHeight="1" x14ac:dyDescent="0.25">
      <c r="A195" s="137" t="s">
        <v>461</v>
      </c>
      <c r="B195" s="137" t="s">
        <v>465</v>
      </c>
      <c r="C195" s="137">
        <v>2018</v>
      </c>
      <c r="D195" s="137" t="s">
        <v>53</v>
      </c>
      <c r="E195" s="137" t="s">
        <v>193</v>
      </c>
      <c r="F195" s="137" t="s">
        <v>193</v>
      </c>
      <c r="G195" s="137" t="s">
        <v>193</v>
      </c>
      <c r="H195" s="137" t="s">
        <v>193</v>
      </c>
      <c r="I195" s="137" t="s">
        <v>193</v>
      </c>
      <c r="J195" s="137" t="s">
        <v>53</v>
      </c>
      <c r="K195" s="137" t="s">
        <v>193</v>
      </c>
      <c r="L195" s="137" t="s">
        <v>193</v>
      </c>
      <c r="M195" s="137" t="s">
        <v>193</v>
      </c>
      <c r="N195" s="137" t="s">
        <v>193</v>
      </c>
      <c r="O195" s="137" t="s">
        <v>193</v>
      </c>
      <c r="P195" s="137" t="s">
        <v>53</v>
      </c>
      <c r="Q195" s="137" t="s">
        <v>193</v>
      </c>
      <c r="R195" s="137" t="s">
        <v>193</v>
      </c>
      <c r="S195" s="137" t="s">
        <v>193</v>
      </c>
      <c r="T195" s="137" t="s">
        <v>193</v>
      </c>
      <c r="U195" s="137" t="s">
        <v>193</v>
      </c>
      <c r="X195" s="12">
        <f t="shared" si="3"/>
        <v>0</v>
      </c>
    </row>
    <row r="196" spans="1:24" ht="15" customHeight="1" x14ac:dyDescent="0.25">
      <c r="A196" s="137" t="s">
        <v>461</v>
      </c>
      <c r="B196" s="137" t="s">
        <v>101</v>
      </c>
      <c r="C196" s="137">
        <v>2018</v>
      </c>
      <c r="D196" s="137" t="s">
        <v>53</v>
      </c>
      <c r="E196" s="137" t="s">
        <v>193</v>
      </c>
      <c r="F196" s="137" t="s">
        <v>193</v>
      </c>
      <c r="G196" s="137" t="s">
        <v>193</v>
      </c>
      <c r="H196" s="137" t="s">
        <v>193</v>
      </c>
      <c r="I196" s="137" t="s">
        <v>193</v>
      </c>
      <c r="J196" s="137" t="s">
        <v>53</v>
      </c>
      <c r="K196" s="137" t="s">
        <v>193</v>
      </c>
      <c r="L196" s="137" t="s">
        <v>193</v>
      </c>
      <c r="M196" s="137" t="s">
        <v>193</v>
      </c>
      <c r="N196" s="137" t="s">
        <v>193</v>
      </c>
      <c r="O196" s="137" t="s">
        <v>193</v>
      </c>
      <c r="P196" s="137" t="s">
        <v>53</v>
      </c>
      <c r="Q196" s="137" t="s">
        <v>193</v>
      </c>
      <c r="R196" s="137" t="s">
        <v>193</v>
      </c>
      <c r="S196" s="137" t="s">
        <v>193</v>
      </c>
      <c r="T196" s="137" t="s">
        <v>193</v>
      </c>
      <c r="U196" s="137" t="s">
        <v>193</v>
      </c>
      <c r="X196" s="12">
        <f t="shared" si="3"/>
        <v>0</v>
      </c>
    </row>
    <row r="197" spans="1:24" ht="15" customHeight="1" x14ac:dyDescent="0.25">
      <c r="A197" s="137" t="s">
        <v>461</v>
      </c>
      <c r="B197" s="137" t="s">
        <v>103</v>
      </c>
      <c r="C197" s="137">
        <v>2018</v>
      </c>
      <c r="D197" s="137" t="s">
        <v>53</v>
      </c>
      <c r="E197" s="137" t="s">
        <v>193</v>
      </c>
      <c r="F197" s="137" t="s">
        <v>193</v>
      </c>
      <c r="G197" s="137" t="s">
        <v>193</v>
      </c>
      <c r="H197" s="137" t="s">
        <v>193</v>
      </c>
      <c r="I197" s="137" t="s">
        <v>193</v>
      </c>
      <c r="J197" s="137" t="s">
        <v>53</v>
      </c>
      <c r="K197" s="137" t="s">
        <v>193</v>
      </c>
      <c r="L197" s="137" t="s">
        <v>193</v>
      </c>
      <c r="M197" s="137" t="s">
        <v>193</v>
      </c>
      <c r="N197" s="137" t="s">
        <v>193</v>
      </c>
      <c r="O197" s="137" t="s">
        <v>193</v>
      </c>
      <c r="P197" s="137" t="s">
        <v>53</v>
      </c>
      <c r="Q197" s="137" t="s">
        <v>193</v>
      </c>
      <c r="R197" s="137" t="s">
        <v>193</v>
      </c>
      <c r="S197" s="137" t="s">
        <v>193</v>
      </c>
      <c r="T197" s="137" t="s">
        <v>193</v>
      </c>
      <c r="U197" s="137" t="s">
        <v>193</v>
      </c>
      <c r="X197" s="12">
        <f t="shared" si="3"/>
        <v>0</v>
      </c>
    </row>
    <row r="198" spans="1:24" ht="15" customHeight="1" x14ac:dyDescent="0.25">
      <c r="A198" s="137" t="s">
        <v>461</v>
      </c>
      <c r="B198" s="137" t="s">
        <v>468</v>
      </c>
      <c r="C198" s="137">
        <v>2018</v>
      </c>
      <c r="D198" s="137" t="s">
        <v>53</v>
      </c>
      <c r="E198" s="137" t="s">
        <v>193</v>
      </c>
      <c r="F198" s="137" t="s">
        <v>193</v>
      </c>
      <c r="G198" s="137" t="s">
        <v>193</v>
      </c>
      <c r="H198" s="137" t="s">
        <v>193</v>
      </c>
      <c r="I198" s="137" t="s">
        <v>193</v>
      </c>
      <c r="J198" s="137" t="s">
        <v>53</v>
      </c>
      <c r="K198" s="137" t="s">
        <v>193</v>
      </c>
      <c r="L198" s="137" t="s">
        <v>193</v>
      </c>
      <c r="M198" s="137" t="s">
        <v>193</v>
      </c>
      <c r="N198" s="137" t="s">
        <v>193</v>
      </c>
      <c r="O198" s="137" t="s">
        <v>193</v>
      </c>
      <c r="P198" s="137" t="s">
        <v>53</v>
      </c>
      <c r="Q198" s="137" t="s">
        <v>193</v>
      </c>
      <c r="R198" s="137" t="s">
        <v>193</v>
      </c>
      <c r="S198" s="137" t="s">
        <v>193</v>
      </c>
      <c r="T198" s="137" t="s">
        <v>193</v>
      </c>
      <c r="U198" s="137" t="s">
        <v>193</v>
      </c>
      <c r="X198" s="12">
        <f t="shared" si="3"/>
        <v>0</v>
      </c>
    </row>
    <row r="199" spans="1:24" ht="15" customHeight="1" x14ac:dyDescent="0.25">
      <c r="A199" s="137" t="s">
        <v>461</v>
      </c>
      <c r="B199" s="137" t="s">
        <v>105</v>
      </c>
      <c r="C199" s="137">
        <v>2018</v>
      </c>
      <c r="D199" s="137" t="s">
        <v>53</v>
      </c>
      <c r="E199" s="137" t="s">
        <v>193</v>
      </c>
      <c r="F199" s="137" t="s">
        <v>193</v>
      </c>
      <c r="G199" s="137" t="s">
        <v>193</v>
      </c>
      <c r="H199" s="137" t="s">
        <v>193</v>
      </c>
      <c r="I199" s="137" t="s">
        <v>193</v>
      </c>
      <c r="J199" s="137" t="s">
        <v>53</v>
      </c>
      <c r="K199" s="137" t="s">
        <v>193</v>
      </c>
      <c r="L199" s="137" t="s">
        <v>193</v>
      </c>
      <c r="M199" s="137" t="s">
        <v>193</v>
      </c>
      <c r="N199" s="137" t="s">
        <v>193</v>
      </c>
      <c r="O199" s="137" t="s">
        <v>193</v>
      </c>
      <c r="P199" s="137" t="s">
        <v>53</v>
      </c>
      <c r="Q199" s="137" t="s">
        <v>193</v>
      </c>
      <c r="R199" s="137" t="s">
        <v>193</v>
      </c>
      <c r="S199" s="137" t="s">
        <v>193</v>
      </c>
      <c r="T199" s="137" t="s">
        <v>193</v>
      </c>
      <c r="U199" s="137" t="s">
        <v>193</v>
      </c>
      <c r="X199" s="12">
        <f t="shared" si="3"/>
        <v>0</v>
      </c>
    </row>
    <row r="200" spans="1:24" ht="15" customHeight="1" x14ac:dyDescent="0.25">
      <c r="A200" s="137" t="s">
        <v>461</v>
      </c>
      <c r="B200" s="137" t="s">
        <v>107</v>
      </c>
      <c r="C200" s="137">
        <v>2018</v>
      </c>
      <c r="D200" s="137" t="s">
        <v>53</v>
      </c>
      <c r="E200" s="137" t="s">
        <v>193</v>
      </c>
      <c r="F200" s="137" t="s">
        <v>193</v>
      </c>
      <c r="G200" s="137" t="s">
        <v>193</v>
      </c>
      <c r="H200" s="137" t="s">
        <v>193</v>
      </c>
      <c r="I200" s="137" t="s">
        <v>193</v>
      </c>
      <c r="J200" s="137" t="s">
        <v>53</v>
      </c>
      <c r="K200" s="137" t="s">
        <v>193</v>
      </c>
      <c r="L200" s="137" t="s">
        <v>193</v>
      </c>
      <c r="M200" s="137" t="s">
        <v>193</v>
      </c>
      <c r="N200" s="137" t="s">
        <v>193</v>
      </c>
      <c r="O200" s="137" t="s">
        <v>193</v>
      </c>
      <c r="P200" s="137" t="s">
        <v>53</v>
      </c>
      <c r="Q200" s="137" t="s">
        <v>193</v>
      </c>
      <c r="R200" s="137" t="s">
        <v>193</v>
      </c>
      <c r="S200" s="137" t="s">
        <v>193</v>
      </c>
      <c r="T200" s="137" t="s">
        <v>193</v>
      </c>
      <c r="U200" s="137" t="s">
        <v>193</v>
      </c>
      <c r="X200" s="12">
        <f t="shared" si="3"/>
        <v>0</v>
      </c>
    </row>
    <row r="201" spans="1:24" ht="15" customHeight="1" x14ac:dyDescent="0.25">
      <c r="A201" s="137" t="s">
        <v>461</v>
      </c>
      <c r="B201" s="137" t="s">
        <v>109</v>
      </c>
      <c r="C201" s="137">
        <v>2018</v>
      </c>
      <c r="D201" s="137" t="s">
        <v>53</v>
      </c>
      <c r="E201" s="137" t="s">
        <v>193</v>
      </c>
      <c r="F201" s="137" t="s">
        <v>193</v>
      </c>
      <c r="G201" s="137" t="s">
        <v>193</v>
      </c>
      <c r="H201" s="137" t="s">
        <v>193</v>
      </c>
      <c r="I201" s="137" t="s">
        <v>193</v>
      </c>
      <c r="J201" s="137" t="s">
        <v>53</v>
      </c>
      <c r="K201" s="137" t="s">
        <v>193</v>
      </c>
      <c r="L201" s="137" t="s">
        <v>193</v>
      </c>
      <c r="M201" s="137" t="s">
        <v>193</v>
      </c>
      <c r="N201" s="137" t="s">
        <v>193</v>
      </c>
      <c r="O201" s="137" t="s">
        <v>193</v>
      </c>
      <c r="P201" s="137" t="s">
        <v>53</v>
      </c>
      <c r="Q201" s="137" t="s">
        <v>193</v>
      </c>
      <c r="R201" s="137" t="s">
        <v>193</v>
      </c>
      <c r="S201" s="137" t="s">
        <v>193</v>
      </c>
      <c r="T201" s="137" t="s">
        <v>193</v>
      </c>
      <c r="U201" s="137" t="s">
        <v>193</v>
      </c>
      <c r="X201" s="12">
        <f t="shared" si="3"/>
        <v>0</v>
      </c>
    </row>
    <row r="202" spans="1:24" ht="15" customHeight="1" x14ac:dyDescent="0.25">
      <c r="A202" s="137" t="s">
        <v>461</v>
      </c>
      <c r="B202" s="137" t="s">
        <v>111</v>
      </c>
      <c r="C202" s="137">
        <v>2018</v>
      </c>
      <c r="D202" s="137" t="s">
        <v>810</v>
      </c>
      <c r="E202" s="137" t="s">
        <v>769</v>
      </c>
      <c r="F202" s="137">
        <v>12.798</v>
      </c>
      <c r="G202" s="137" t="s">
        <v>791</v>
      </c>
      <c r="H202" s="137">
        <v>2.1579999999999999</v>
      </c>
      <c r="I202" s="137">
        <v>89</v>
      </c>
      <c r="J202" s="137" t="s">
        <v>53</v>
      </c>
      <c r="K202" s="137" t="s">
        <v>193</v>
      </c>
      <c r="L202" s="137" t="s">
        <v>193</v>
      </c>
      <c r="M202" s="137" t="s">
        <v>193</v>
      </c>
      <c r="N202" s="137" t="s">
        <v>193</v>
      </c>
      <c r="O202" s="137" t="s">
        <v>193</v>
      </c>
      <c r="P202" s="137" t="s">
        <v>53</v>
      </c>
      <c r="Q202" s="137" t="s">
        <v>193</v>
      </c>
      <c r="R202" s="137" t="s">
        <v>193</v>
      </c>
      <c r="S202" s="137" t="s">
        <v>193</v>
      </c>
      <c r="T202" s="137" t="s">
        <v>193</v>
      </c>
      <c r="U202" s="137" t="s">
        <v>193</v>
      </c>
      <c r="X202" s="12">
        <f t="shared" si="3"/>
        <v>0</v>
      </c>
    </row>
    <row r="203" spans="1:24" ht="15" customHeight="1" x14ac:dyDescent="0.25">
      <c r="A203" s="137" t="s">
        <v>461</v>
      </c>
      <c r="B203" s="137" t="s">
        <v>469</v>
      </c>
      <c r="C203" s="137">
        <v>2018</v>
      </c>
      <c r="D203" s="137" t="s">
        <v>53</v>
      </c>
      <c r="E203" s="137" t="s">
        <v>193</v>
      </c>
      <c r="F203" s="137" t="s">
        <v>193</v>
      </c>
      <c r="G203" s="137" t="s">
        <v>193</v>
      </c>
      <c r="H203" s="137" t="s">
        <v>193</v>
      </c>
      <c r="I203" s="137" t="s">
        <v>193</v>
      </c>
      <c r="J203" s="137" t="s">
        <v>53</v>
      </c>
      <c r="K203" s="137" t="s">
        <v>193</v>
      </c>
      <c r="L203" s="137" t="s">
        <v>193</v>
      </c>
      <c r="M203" s="137" t="s">
        <v>193</v>
      </c>
      <c r="N203" s="137" t="s">
        <v>193</v>
      </c>
      <c r="O203" s="137" t="s">
        <v>193</v>
      </c>
      <c r="P203" s="137" t="s">
        <v>53</v>
      </c>
      <c r="Q203" s="137" t="s">
        <v>193</v>
      </c>
      <c r="R203" s="137" t="s">
        <v>193</v>
      </c>
      <c r="S203" s="137" t="s">
        <v>193</v>
      </c>
      <c r="T203" s="137" t="s">
        <v>193</v>
      </c>
      <c r="U203" s="137" t="s">
        <v>193</v>
      </c>
      <c r="X203" s="12">
        <f t="shared" si="3"/>
        <v>0</v>
      </c>
    </row>
    <row r="204" spans="1:24" ht="15" customHeight="1" x14ac:dyDescent="0.25">
      <c r="A204" s="137" t="s">
        <v>461</v>
      </c>
      <c r="B204" s="137" t="s">
        <v>470</v>
      </c>
      <c r="C204" s="137">
        <v>2018</v>
      </c>
      <c r="D204" s="137" t="s">
        <v>53</v>
      </c>
      <c r="E204" s="137" t="s">
        <v>193</v>
      </c>
      <c r="F204" s="137" t="s">
        <v>193</v>
      </c>
      <c r="G204" s="137" t="s">
        <v>193</v>
      </c>
      <c r="H204" s="137" t="s">
        <v>193</v>
      </c>
      <c r="I204" s="137" t="s">
        <v>193</v>
      </c>
      <c r="J204" s="137" t="s">
        <v>53</v>
      </c>
      <c r="K204" s="137" t="s">
        <v>193</v>
      </c>
      <c r="L204" s="137" t="s">
        <v>193</v>
      </c>
      <c r="M204" s="137" t="s">
        <v>193</v>
      </c>
      <c r="N204" s="137" t="s">
        <v>193</v>
      </c>
      <c r="O204" s="137" t="s">
        <v>193</v>
      </c>
      <c r="P204" s="137" t="s">
        <v>53</v>
      </c>
      <c r="Q204" s="137" t="s">
        <v>193</v>
      </c>
      <c r="R204" s="137" t="s">
        <v>193</v>
      </c>
      <c r="S204" s="137" t="s">
        <v>193</v>
      </c>
      <c r="T204" s="137" t="s">
        <v>193</v>
      </c>
      <c r="U204" s="137" t="s">
        <v>193</v>
      </c>
      <c r="X204" s="12">
        <f t="shared" si="3"/>
        <v>0</v>
      </c>
    </row>
    <row r="205" spans="1:24" ht="15" customHeight="1" x14ac:dyDescent="0.25">
      <c r="A205" s="137" t="s">
        <v>461</v>
      </c>
      <c r="B205" s="137" t="s">
        <v>113</v>
      </c>
      <c r="C205" s="137">
        <v>2018</v>
      </c>
      <c r="D205" s="137" t="s">
        <v>53</v>
      </c>
      <c r="E205" s="137" t="s">
        <v>193</v>
      </c>
      <c r="F205" s="137" t="s">
        <v>193</v>
      </c>
      <c r="G205" s="137" t="s">
        <v>193</v>
      </c>
      <c r="H205" s="137" t="s">
        <v>193</v>
      </c>
      <c r="I205" s="137" t="s">
        <v>193</v>
      </c>
      <c r="J205" s="137" t="s">
        <v>53</v>
      </c>
      <c r="K205" s="137" t="s">
        <v>193</v>
      </c>
      <c r="L205" s="137" t="s">
        <v>193</v>
      </c>
      <c r="M205" s="137" t="s">
        <v>193</v>
      </c>
      <c r="N205" s="137" t="s">
        <v>193</v>
      </c>
      <c r="O205" s="137" t="s">
        <v>193</v>
      </c>
      <c r="P205" s="137" t="s">
        <v>53</v>
      </c>
      <c r="Q205" s="137" t="s">
        <v>193</v>
      </c>
      <c r="R205" s="137" t="s">
        <v>193</v>
      </c>
      <c r="S205" s="137" t="s">
        <v>193</v>
      </c>
      <c r="T205" s="137" t="s">
        <v>193</v>
      </c>
      <c r="U205" s="137" t="s">
        <v>193</v>
      </c>
      <c r="X205" s="12">
        <f t="shared" si="3"/>
        <v>0</v>
      </c>
    </row>
    <row r="206" spans="1:24" ht="15" customHeight="1" x14ac:dyDescent="0.25">
      <c r="A206" s="137" t="s">
        <v>474</v>
      </c>
      <c r="B206" s="137" t="s">
        <v>475</v>
      </c>
      <c r="C206" s="137">
        <v>2018</v>
      </c>
      <c r="D206" s="137" t="s">
        <v>811</v>
      </c>
      <c r="E206" s="137" t="s">
        <v>769</v>
      </c>
      <c r="F206" s="137">
        <v>4.7030000000000003</v>
      </c>
      <c r="G206" s="137" t="s">
        <v>193</v>
      </c>
      <c r="H206" s="137" t="s">
        <v>193</v>
      </c>
      <c r="I206" s="137" t="s">
        <v>193</v>
      </c>
      <c r="J206" s="137" t="s">
        <v>53</v>
      </c>
      <c r="K206" s="137" t="s">
        <v>193</v>
      </c>
      <c r="L206" s="137" t="s">
        <v>193</v>
      </c>
      <c r="M206" s="137" t="s">
        <v>193</v>
      </c>
      <c r="N206" s="137" t="s">
        <v>193</v>
      </c>
      <c r="O206" s="137" t="s">
        <v>193</v>
      </c>
      <c r="P206" s="137" t="s">
        <v>53</v>
      </c>
      <c r="Q206" s="137" t="s">
        <v>193</v>
      </c>
      <c r="R206" s="137" t="s">
        <v>193</v>
      </c>
      <c r="S206" s="137" t="s">
        <v>193</v>
      </c>
      <c r="T206" s="137" t="s">
        <v>193</v>
      </c>
      <c r="U206" s="137" t="s">
        <v>193</v>
      </c>
      <c r="X206" s="12">
        <f t="shared" si="3"/>
        <v>0</v>
      </c>
    </row>
    <row r="207" spans="1:24" ht="15" customHeight="1" x14ac:dyDescent="0.25">
      <c r="A207" s="137" t="s">
        <v>474</v>
      </c>
      <c r="B207" s="137" t="s">
        <v>476</v>
      </c>
      <c r="C207" s="137">
        <v>2018</v>
      </c>
      <c r="D207" s="137" t="s">
        <v>53</v>
      </c>
      <c r="E207" s="137" t="s">
        <v>193</v>
      </c>
      <c r="F207" s="137" t="s">
        <v>193</v>
      </c>
      <c r="G207" s="137" t="s">
        <v>193</v>
      </c>
      <c r="H207" s="137" t="s">
        <v>193</v>
      </c>
      <c r="I207" s="137" t="s">
        <v>193</v>
      </c>
      <c r="J207" s="137" t="s">
        <v>53</v>
      </c>
      <c r="K207" s="137" t="s">
        <v>193</v>
      </c>
      <c r="L207" s="137" t="s">
        <v>193</v>
      </c>
      <c r="M207" s="137" t="s">
        <v>193</v>
      </c>
      <c r="N207" s="137" t="s">
        <v>193</v>
      </c>
      <c r="O207" s="137" t="s">
        <v>193</v>
      </c>
      <c r="P207" s="137" t="s">
        <v>53</v>
      </c>
      <c r="Q207" s="137" t="s">
        <v>193</v>
      </c>
      <c r="R207" s="137" t="s">
        <v>193</v>
      </c>
      <c r="S207" s="137" t="s">
        <v>193</v>
      </c>
      <c r="T207" s="137" t="s">
        <v>193</v>
      </c>
      <c r="U207" s="137" t="s">
        <v>193</v>
      </c>
      <c r="X207" s="12">
        <f t="shared" si="3"/>
        <v>0</v>
      </c>
    </row>
    <row r="208" spans="1:24" ht="15" customHeight="1" x14ac:dyDescent="0.25">
      <c r="A208" s="137" t="s">
        <v>477</v>
      </c>
      <c r="B208" s="137" t="s">
        <v>478</v>
      </c>
      <c r="C208" s="137">
        <v>2018</v>
      </c>
      <c r="D208" s="137" t="s">
        <v>53</v>
      </c>
      <c r="E208" s="137" t="s">
        <v>193</v>
      </c>
      <c r="F208" s="137" t="s">
        <v>193</v>
      </c>
      <c r="G208" s="137" t="s">
        <v>193</v>
      </c>
      <c r="H208" s="137" t="s">
        <v>193</v>
      </c>
      <c r="I208" s="137" t="s">
        <v>193</v>
      </c>
      <c r="J208" s="137" t="s">
        <v>53</v>
      </c>
      <c r="K208" s="137" t="s">
        <v>193</v>
      </c>
      <c r="L208" s="137" t="s">
        <v>193</v>
      </c>
      <c r="M208" s="137" t="s">
        <v>193</v>
      </c>
      <c r="N208" s="137" t="s">
        <v>193</v>
      </c>
      <c r="O208" s="137" t="s">
        <v>193</v>
      </c>
      <c r="P208" s="137" t="s">
        <v>53</v>
      </c>
      <c r="Q208" s="137" t="s">
        <v>193</v>
      </c>
      <c r="R208" s="137" t="s">
        <v>193</v>
      </c>
      <c r="S208" s="137" t="s">
        <v>193</v>
      </c>
      <c r="T208" s="137" t="s">
        <v>193</v>
      </c>
      <c r="U208" s="137" t="s">
        <v>193</v>
      </c>
      <c r="X208" s="12">
        <f t="shared" si="3"/>
        <v>0</v>
      </c>
    </row>
    <row r="209" spans="1:24" ht="15" customHeight="1" x14ac:dyDescent="0.25">
      <c r="A209" s="137" t="s">
        <v>477</v>
      </c>
      <c r="B209" s="137" t="s">
        <v>479</v>
      </c>
      <c r="C209" s="137">
        <v>2018</v>
      </c>
      <c r="D209" s="137" t="s">
        <v>812</v>
      </c>
      <c r="E209" s="137" t="s">
        <v>769</v>
      </c>
      <c r="F209" s="137">
        <v>2.1</v>
      </c>
      <c r="G209" s="137" t="s">
        <v>193</v>
      </c>
      <c r="H209" s="137" t="s">
        <v>193</v>
      </c>
      <c r="I209" s="137" t="s">
        <v>193</v>
      </c>
      <c r="J209" s="137" t="s">
        <v>53</v>
      </c>
      <c r="K209" s="137" t="s">
        <v>193</v>
      </c>
      <c r="L209" s="137" t="s">
        <v>193</v>
      </c>
      <c r="M209" s="137" t="s">
        <v>193</v>
      </c>
      <c r="N209" s="137" t="s">
        <v>193</v>
      </c>
      <c r="O209" s="137" t="s">
        <v>193</v>
      </c>
      <c r="P209" s="137" t="s">
        <v>53</v>
      </c>
      <c r="Q209" s="137" t="s">
        <v>193</v>
      </c>
      <c r="R209" s="137" t="s">
        <v>193</v>
      </c>
      <c r="S209" s="137" t="s">
        <v>193</v>
      </c>
      <c r="T209" s="137" t="s">
        <v>193</v>
      </c>
      <c r="U209" s="137" t="s">
        <v>193</v>
      </c>
      <c r="X209" s="12">
        <f t="shared" si="3"/>
        <v>0</v>
      </c>
    </row>
    <row r="210" spans="1:24" ht="15" customHeight="1" x14ac:dyDescent="0.25">
      <c r="A210" s="137" t="s">
        <v>480</v>
      </c>
      <c r="B210" s="137" t="s">
        <v>481</v>
      </c>
      <c r="C210" s="137">
        <v>2018</v>
      </c>
      <c r="D210" s="137" t="s">
        <v>53</v>
      </c>
      <c r="E210" s="137" t="s">
        <v>53</v>
      </c>
      <c r="F210" s="137" t="s">
        <v>53</v>
      </c>
      <c r="G210" s="137" t="s">
        <v>53</v>
      </c>
      <c r="H210" s="137" t="s">
        <v>53</v>
      </c>
      <c r="I210" s="137" t="s">
        <v>53</v>
      </c>
      <c r="J210" s="137" t="s">
        <v>53</v>
      </c>
      <c r="K210" s="137" t="s">
        <v>53</v>
      </c>
      <c r="L210" s="137" t="s">
        <v>53</v>
      </c>
      <c r="M210" s="137" t="s">
        <v>53</v>
      </c>
      <c r="N210" s="137" t="s">
        <v>53</v>
      </c>
      <c r="O210" s="137" t="s">
        <v>53</v>
      </c>
      <c r="P210" s="137" t="s">
        <v>53</v>
      </c>
      <c r="Q210" s="137" t="s">
        <v>53</v>
      </c>
      <c r="R210" s="137" t="s">
        <v>53</v>
      </c>
      <c r="S210" s="137" t="s">
        <v>53</v>
      </c>
      <c r="T210" s="137" t="s">
        <v>53</v>
      </c>
      <c r="U210" s="137" t="s">
        <v>53</v>
      </c>
      <c r="X210" s="12">
        <f t="shared" si="3"/>
        <v>0</v>
      </c>
    </row>
    <row r="211" spans="1:24" ht="15" customHeight="1" x14ac:dyDescent="0.25">
      <c r="A211" s="137" t="s">
        <v>115</v>
      </c>
      <c r="B211" s="137" t="s">
        <v>482</v>
      </c>
      <c r="C211" s="137">
        <v>2018</v>
      </c>
      <c r="D211" s="137" t="s">
        <v>53</v>
      </c>
      <c r="E211" s="137" t="s">
        <v>193</v>
      </c>
      <c r="F211" s="137" t="s">
        <v>193</v>
      </c>
      <c r="G211" s="137" t="s">
        <v>193</v>
      </c>
      <c r="H211" s="137" t="s">
        <v>193</v>
      </c>
      <c r="I211" s="137" t="s">
        <v>193</v>
      </c>
      <c r="J211" s="137" t="s">
        <v>53</v>
      </c>
      <c r="K211" s="137" t="s">
        <v>193</v>
      </c>
      <c r="L211" s="137" t="s">
        <v>193</v>
      </c>
      <c r="M211" s="137" t="s">
        <v>193</v>
      </c>
      <c r="N211" s="137" t="s">
        <v>193</v>
      </c>
      <c r="O211" s="137" t="s">
        <v>193</v>
      </c>
      <c r="P211" s="137" t="s">
        <v>53</v>
      </c>
      <c r="Q211" s="137" t="s">
        <v>193</v>
      </c>
      <c r="R211" s="137" t="s">
        <v>193</v>
      </c>
      <c r="S211" s="137" t="s">
        <v>193</v>
      </c>
      <c r="T211" s="137" t="s">
        <v>193</v>
      </c>
      <c r="U211" s="137" t="s">
        <v>193</v>
      </c>
      <c r="X211" s="12">
        <f t="shared" si="3"/>
        <v>0</v>
      </c>
    </row>
    <row r="212" spans="1:24" ht="15" customHeight="1" x14ac:dyDescent="0.25">
      <c r="A212" s="137" t="s">
        <v>483</v>
      </c>
      <c r="B212" s="137" t="s">
        <v>484</v>
      </c>
      <c r="C212" s="137">
        <v>2018</v>
      </c>
      <c r="D212" s="137" t="s">
        <v>53</v>
      </c>
      <c r="E212" s="137" t="s">
        <v>193</v>
      </c>
      <c r="F212" s="137" t="s">
        <v>193</v>
      </c>
      <c r="G212" s="137" t="s">
        <v>193</v>
      </c>
      <c r="H212" s="137" t="s">
        <v>193</v>
      </c>
      <c r="I212" s="137" t="s">
        <v>193</v>
      </c>
      <c r="J212" s="137" t="s">
        <v>53</v>
      </c>
      <c r="K212" s="137" t="s">
        <v>193</v>
      </c>
      <c r="L212" s="137" t="s">
        <v>193</v>
      </c>
      <c r="M212" s="137" t="s">
        <v>193</v>
      </c>
      <c r="N212" s="137" t="s">
        <v>193</v>
      </c>
      <c r="O212" s="137" t="s">
        <v>193</v>
      </c>
      <c r="P212" s="137" t="s">
        <v>53</v>
      </c>
      <c r="Q212" s="137" t="s">
        <v>193</v>
      </c>
      <c r="R212" s="137" t="s">
        <v>193</v>
      </c>
      <c r="S212" s="137" t="s">
        <v>193</v>
      </c>
      <c r="T212" s="137" t="s">
        <v>193</v>
      </c>
      <c r="U212" s="137" t="s">
        <v>193</v>
      </c>
      <c r="X212" s="12">
        <f t="shared" si="3"/>
        <v>0</v>
      </c>
    </row>
    <row r="213" spans="1:24" ht="15" customHeight="1" x14ac:dyDescent="0.25">
      <c r="A213" s="137" t="s">
        <v>483</v>
      </c>
      <c r="B213" s="137" t="s">
        <v>485</v>
      </c>
      <c r="C213" s="137">
        <v>2018</v>
      </c>
      <c r="D213" s="137" t="s">
        <v>53</v>
      </c>
      <c r="E213" s="137" t="s">
        <v>193</v>
      </c>
      <c r="F213" s="137" t="s">
        <v>193</v>
      </c>
      <c r="G213" s="137" t="s">
        <v>193</v>
      </c>
      <c r="H213" s="137" t="s">
        <v>193</v>
      </c>
      <c r="I213" s="137" t="s">
        <v>193</v>
      </c>
      <c r="J213" s="137" t="s">
        <v>53</v>
      </c>
      <c r="K213" s="137" t="s">
        <v>193</v>
      </c>
      <c r="L213" s="137" t="s">
        <v>193</v>
      </c>
      <c r="M213" s="137" t="s">
        <v>193</v>
      </c>
      <c r="N213" s="137" t="s">
        <v>193</v>
      </c>
      <c r="O213" s="137" t="s">
        <v>193</v>
      </c>
      <c r="P213" s="137" t="s">
        <v>53</v>
      </c>
      <c r="Q213" s="137" t="s">
        <v>193</v>
      </c>
      <c r="R213" s="137" t="s">
        <v>193</v>
      </c>
      <c r="S213" s="137" t="s">
        <v>193</v>
      </c>
      <c r="T213" s="137" t="s">
        <v>193</v>
      </c>
      <c r="U213" s="137" t="s">
        <v>193</v>
      </c>
      <c r="X213" s="12">
        <f t="shared" si="3"/>
        <v>0</v>
      </c>
    </row>
    <row r="214" spans="1:24" ht="15" customHeight="1" x14ac:dyDescent="0.25">
      <c r="A214" s="137" t="s">
        <v>483</v>
      </c>
      <c r="B214" s="137" t="s">
        <v>486</v>
      </c>
      <c r="C214" s="137">
        <v>2018</v>
      </c>
      <c r="D214" s="137" t="s">
        <v>53</v>
      </c>
      <c r="E214" s="137" t="s">
        <v>193</v>
      </c>
      <c r="F214" s="137" t="s">
        <v>193</v>
      </c>
      <c r="G214" s="137" t="s">
        <v>193</v>
      </c>
      <c r="H214" s="137" t="s">
        <v>193</v>
      </c>
      <c r="I214" s="137" t="s">
        <v>193</v>
      </c>
      <c r="J214" s="137" t="s">
        <v>53</v>
      </c>
      <c r="K214" s="137" t="s">
        <v>193</v>
      </c>
      <c r="L214" s="137" t="s">
        <v>193</v>
      </c>
      <c r="M214" s="137" t="s">
        <v>193</v>
      </c>
      <c r="N214" s="137" t="s">
        <v>193</v>
      </c>
      <c r="O214" s="137" t="s">
        <v>193</v>
      </c>
      <c r="P214" s="137" t="s">
        <v>53</v>
      </c>
      <c r="Q214" s="137" t="s">
        <v>193</v>
      </c>
      <c r="R214" s="137" t="s">
        <v>193</v>
      </c>
      <c r="S214" s="137" t="s">
        <v>193</v>
      </c>
      <c r="T214" s="137" t="s">
        <v>193</v>
      </c>
      <c r="U214" s="137" t="s">
        <v>193</v>
      </c>
      <c r="X214" s="12">
        <f t="shared" si="3"/>
        <v>0</v>
      </c>
    </row>
    <row r="215" spans="1:24" ht="15" customHeight="1" x14ac:dyDescent="0.25">
      <c r="A215" s="137" t="s">
        <v>487</v>
      </c>
      <c r="B215" s="137" t="s">
        <v>488</v>
      </c>
      <c r="C215" s="137">
        <v>2018</v>
      </c>
      <c r="D215" s="137" t="s">
        <v>53</v>
      </c>
      <c r="E215" s="137" t="s">
        <v>193</v>
      </c>
      <c r="F215" s="137" t="s">
        <v>193</v>
      </c>
      <c r="G215" s="137" t="s">
        <v>193</v>
      </c>
      <c r="H215" s="137" t="s">
        <v>193</v>
      </c>
      <c r="I215" s="137" t="s">
        <v>193</v>
      </c>
      <c r="J215" s="137" t="s">
        <v>53</v>
      </c>
      <c r="K215" s="137" t="s">
        <v>193</v>
      </c>
      <c r="L215" s="137" t="s">
        <v>193</v>
      </c>
      <c r="M215" s="137" t="s">
        <v>193</v>
      </c>
      <c r="N215" s="137" t="s">
        <v>193</v>
      </c>
      <c r="O215" s="137" t="s">
        <v>193</v>
      </c>
      <c r="P215" s="137" t="s">
        <v>53</v>
      </c>
      <c r="Q215" s="137" t="s">
        <v>193</v>
      </c>
      <c r="R215" s="137" t="s">
        <v>193</v>
      </c>
      <c r="S215" s="137" t="s">
        <v>193</v>
      </c>
      <c r="T215" s="137" t="s">
        <v>193</v>
      </c>
      <c r="U215" s="137" t="s">
        <v>193</v>
      </c>
      <c r="X215" s="12">
        <f t="shared" si="3"/>
        <v>0</v>
      </c>
    </row>
    <row r="216" spans="1:24" ht="15" customHeight="1" x14ac:dyDescent="0.25">
      <c r="A216" s="137" t="s">
        <v>489</v>
      </c>
      <c r="B216" s="137" t="s">
        <v>490</v>
      </c>
      <c r="C216" s="137">
        <v>2018</v>
      </c>
      <c r="D216" s="137" t="s">
        <v>219</v>
      </c>
      <c r="E216" s="137" t="s">
        <v>193</v>
      </c>
      <c r="F216" s="137" t="s">
        <v>193</v>
      </c>
      <c r="G216" s="137" t="s">
        <v>193</v>
      </c>
      <c r="H216" s="137" t="s">
        <v>193</v>
      </c>
      <c r="I216" s="137" t="s">
        <v>193</v>
      </c>
      <c r="J216" s="137" t="s">
        <v>219</v>
      </c>
      <c r="K216" s="137" t="s">
        <v>193</v>
      </c>
      <c r="L216" s="137" t="s">
        <v>193</v>
      </c>
      <c r="M216" s="137" t="s">
        <v>193</v>
      </c>
      <c r="N216" s="137" t="s">
        <v>193</v>
      </c>
      <c r="O216" s="137" t="s">
        <v>193</v>
      </c>
      <c r="P216" s="137" t="s">
        <v>219</v>
      </c>
      <c r="Q216" s="137" t="s">
        <v>193</v>
      </c>
      <c r="R216" s="137" t="s">
        <v>193</v>
      </c>
      <c r="S216" s="137" t="s">
        <v>193</v>
      </c>
      <c r="T216" s="137" t="s">
        <v>193</v>
      </c>
      <c r="U216" s="137" t="s">
        <v>193</v>
      </c>
      <c r="X216" s="12">
        <f t="shared" si="3"/>
        <v>0</v>
      </c>
    </row>
    <row r="217" spans="1:24" ht="15" customHeight="1" x14ac:dyDescent="0.25">
      <c r="A217" s="137" t="s">
        <v>491</v>
      </c>
      <c r="B217" s="137" t="s">
        <v>492</v>
      </c>
      <c r="C217" s="137">
        <v>2018</v>
      </c>
      <c r="D217" s="137" t="s">
        <v>53</v>
      </c>
      <c r="E217" s="137" t="s">
        <v>193</v>
      </c>
      <c r="F217" s="137" t="s">
        <v>193</v>
      </c>
      <c r="G217" s="137" t="s">
        <v>193</v>
      </c>
      <c r="H217" s="137" t="s">
        <v>193</v>
      </c>
      <c r="I217" s="137" t="s">
        <v>193</v>
      </c>
      <c r="J217" s="137" t="s">
        <v>53</v>
      </c>
      <c r="K217" s="137" t="s">
        <v>193</v>
      </c>
      <c r="L217" s="137" t="s">
        <v>193</v>
      </c>
      <c r="M217" s="137" t="s">
        <v>193</v>
      </c>
      <c r="N217" s="137" t="s">
        <v>193</v>
      </c>
      <c r="O217" s="137" t="s">
        <v>193</v>
      </c>
      <c r="P217" s="137" t="s">
        <v>53</v>
      </c>
      <c r="Q217" s="137" t="s">
        <v>193</v>
      </c>
      <c r="R217" s="137" t="s">
        <v>193</v>
      </c>
      <c r="S217" s="137" t="s">
        <v>193</v>
      </c>
      <c r="T217" s="137" t="s">
        <v>193</v>
      </c>
      <c r="U217" s="137" t="s">
        <v>193</v>
      </c>
      <c r="X217" s="12">
        <f t="shared" si="3"/>
        <v>0</v>
      </c>
    </row>
    <row r="218" spans="1:24" ht="15" customHeight="1" x14ac:dyDescent="0.25">
      <c r="A218" s="137" t="s">
        <v>491</v>
      </c>
      <c r="B218" s="137" t="s">
        <v>493</v>
      </c>
      <c r="C218" s="137">
        <v>2018</v>
      </c>
      <c r="D218" s="137" t="s">
        <v>53</v>
      </c>
      <c r="E218" s="137" t="s">
        <v>193</v>
      </c>
      <c r="F218" s="137" t="s">
        <v>193</v>
      </c>
      <c r="G218" s="137" t="s">
        <v>193</v>
      </c>
      <c r="H218" s="137" t="s">
        <v>193</v>
      </c>
      <c r="I218" s="137" t="s">
        <v>193</v>
      </c>
      <c r="J218" s="137" t="s">
        <v>53</v>
      </c>
      <c r="K218" s="137" t="s">
        <v>193</v>
      </c>
      <c r="L218" s="137" t="s">
        <v>193</v>
      </c>
      <c r="M218" s="137" t="s">
        <v>193</v>
      </c>
      <c r="N218" s="137" t="s">
        <v>193</v>
      </c>
      <c r="O218" s="137" t="s">
        <v>193</v>
      </c>
      <c r="P218" s="137" t="s">
        <v>53</v>
      </c>
      <c r="Q218" s="137" t="s">
        <v>193</v>
      </c>
      <c r="R218" s="137" t="s">
        <v>193</v>
      </c>
      <c r="S218" s="137" t="s">
        <v>193</v>
      </c>
      <c r="T218" s="137" t="s">
        <v>193</v>
      </c>
      <c r="U218" s="137" t="s">
        <v>193</v>
      </c>
      <c r="X218" s="12">
        <f t="shared" si="3"/>
        <v>0</v>
      </c>
    </row>
    <row r="219" spans="1:24" ht="15" customHeight="1" x14ac:dyDescent="0.25">
      <c r="A219" s="137" t="s">
        <v>491</v>
      </c>
      <c r="B219" s="137" t="s">
        <v>494</v>
      </c>
      <c r="C219" s="137">
        <v>2018</v>
      </c>
      <c r="D219" s="137" t="s">
        <v>53</v>
      </c>
      <c r="E219" s="137" t="s">
        <v>193</v>
      </c>
      <c r="F219" s="137" t="s">
        <v>193</v>
      </c>
      <c r="G219" s="137" t="s">
        <v>193</v>
      </c>
      <c r="H219" s="137" t="s">
        <v>193</v>
      </c>
      <c r="I219" s="137" t="s">
        <v>193</v>
      </c>
      <c r="J219" s="137" t="s">
        <v>53</v>
      </c>
      <c r="K219" s="137" t="s">
        <v>193</v>
      </c>
      <c r="L219" s="137" t="s">
        <v>193</v>
      </c>
      <c r="M219" s="137" t="s">
        <v>193</v>
      </c>
      <c r="N219" s="137" t="s">
        <v>193</v>
      </c>
      <c r="O219" s="137" t="s">
        <v>193</v>
      </c>
      <c r="P219" s="137" t="s">
        <v>53</v>
      </c>
      <c r="Q219" s="137" t="s">
        <v>193</v>
      </c>
      <c r="R219" s="137" t="s">
        <v>193</v>
      </c>
      <c r="S219" s="137" t="s">
        <v>193</v>
      </c>
      <c r="T219" s="137" t="s">
        <v>193</v>
      </c>
      <c r="U219" s="137" t="s">
        <v>193</v>
      </c>
      <c r="X219" s="12">
        <f t="shared" si="3"/>
        <v>0</v>
      </c>
    </row>
    <row r="220" spans="1:24" ht="15" customHeight="1" x14ac:dyDescent="0.25">
      <c r="A220" s="137" t="s">
        <v>495</v>
      </c>
      <c r="B220" s="137" t="s">
        <v>496</v>
      </c>
      <c r="C220" s="137">
        <v>2018</v>
      </c>
      <c r="D220" s="137" t="s">
        <v>193</v>
      </c>
      <c r="E220" s="137" t="s">
        <v>193</v>
      </c>
      <c r="F220" s="137" t="s">
        <v>193</v>
      </c>
      <c r="G220" s="137" t="s">
        <v>193</v>
      </c>
      <c r="H220" s="137" t="s">
        <v>193</v>
      </c>
      <c r="I220" s="137" t="s">
        <v>193</v>
      </c>
      <c r="J220" s="137" t="s">
        <v>193</v>
      </c>
      <c r="K220" s="137" t="s">
        <v>193</v>
      </c>
      <c r="L220" s="137" t="s">
        <v>193</v>
      </c>
      <c r="M220" s="137" t="s">
        <v>193</v>
      </c>
      <c r="N220" s="137" t="s">
        <v>193</v>
      </c>
      <c r="O220" s="137" t="s">
        <v>193</v>
      </c>
      <c r="P220" s="137" t="s">
        <v>193</v>
      </c>
      <c r="Q220" s="137" t="s">
        <v>193</v>
      </c>
      <c r="R220" s="137" t="s">
        <v>193</v>
      </c>
      <c r="S220" s="137" t="s">
        <v>193</v>
      </c>
      <c r="T220" s="137" t="s">
        <v>193</v>
      </c>
      <c r="U220" s="137" t="s">
        <v>193</v>
      </c>
      <c r="X220" s="12">
        <f t="shared" si="3"/>
        <v>0</v>
      </c>
    </row>
    <row r="221" spans="1:24" ht="15" customHeight="1" x14ac:dyDescent="0.25">
      <c r="A221" s="137" t="s">
        <v>498</v>
      </c>
      <c r="B221" s="137" t="s">
        <v>499</v>
      </c>
      <c r="C221" s="137">
        <v>2018</v>
      </c>
      <c r="D221" s="137" t="s">
        <v>53</v>
      </c>
      <c r="E221" s="137" t="s">
        <v>53</v>
      </c>
      <c r="F221" s="137" t="s">
        <v>53</v>
      </c>
      <c r="G221" s="137" t="s">
        <v>53</v>
      </c>
      <c r="H221" s="137" t="s">
        <v>53</v>
      </c>
      <c r="I221" s="137" t="s">
        <v>53</v>
      </c>
      <c r="J221" s="137" t="s">
        <v>53</v>
      </c>
      <c r="K221" s="137" t="s">
        <v>53</v>
      </c>
      <c r="L221" s="137" t="s">
        <v>53</v>
      </c>
      <c r="M221" s="137" t="s">
        <v>53</v>
      </c>
      <c r="N221" s="137" t="s">
        <v>53</v>
      </c>
      <c r="O221" s="137" t="s">
        <v>53</v>
      </c>
      <c r="P221" s="137" t="s">
        <v>53</v>
      </c>
      <c r="Q221" s="137" t="s">
        <v>53</v>
      </c>
      <c r="R221" s="137" t="s">
        <v>53</v>
      </c>
      <c r="S221" s="137" t="s">
        <v>53</v>
      </c>
      <c r="T221" s="137" t="s">
        <v>53</v>
      </c>
      <c r="U221" s="137" t="s">
        <v>53</v>
      </c>
      <c r="X221" s="12">
        <f t="shared" si="3"/>
        <v>0</v>
      </c>
    </row>
    <row r="222" spans="1:24" ht="15" customHeight="1" x14ac:dyDescent="0.25">
      <c r="A222" s="137" t="s">
        <v>498</v>
      </c>
      <c r="B222" s="137" t="s">
        <v>500</v>
      </c>
      <c r="C222" s="137">
        <v>2018</v>
      </c>
      <c r="D222" s="137" t="s">
        <v>53</v>
      </c>
      <c r="E222" s="137" t="s">
        <v>53</v>
      </c>
      <c r="F222" s="137" t="s">
        <v>53</v>
      </c>
      <c r="G222" s="137" t="s">
        <v>53</v>
      </c>
      <c r="H222" s="137" t="s">
        <v>53</v>
      </c>
      <c r="I222" s="137" t="s">
        <v>53</v>
      </c>
      <c r="J222" s="137" t="s">
        <v>53</v>
      </c>
      <c r="K222" s="137" t="s">
        <v>53</v>
      </c>
      <c r="L222" s="137" t="s">
        <v>53</v>
      </c>
      <c r="M222" s="137" t="s">
        <v>53</v>
      </c>
      <c r="N222" s="137" t="s">
        <v>53</v>
      </c>
      <c r="O222" s="137" t="s">
        <v>53</v>
      </c>
      <c r="P222" s="137" t="s">
        <v>53</v>
      </c>
      <c r="Q222" s="137" t="s">
        <v>53</v>
      </c>
      <c r="R222" s="137" t="s">
        <v>53</v>
      </c>
      <c r="S222" s="137" t="s">
        <v>53</v>
      </c>
      <c r="T222" s="137" t="s">
        <v>53</v>
      </c>
      <c r="U222" s="137" t="s">
        <v>53</v>
      </c>
      <c r="X222" s="12">
        <f t="shared" si="3"/>
        <v>0</v>
      </c>
    </row>
    <row r="223" spans="1:24" ht="15" customHeight="1" x14ac:dyDescent="0.25">
      <c r="A223" s="137" t="s">
        <v>501</v>
      </c>
      <c r="B223" s="137" t="s">
        <v>502</v>
      </c>
      <c r="C223" s="137">
        <v>2018</v>
      </c>
      <c r="D223" s="137" t="s">
        <v>53</v>
      </c>
      <c r="E223" s="137" t="s">
        <v>193</v>
      </c>
      <c r="F223" s="137" t="s">
        <v>193</v>
      </c>
      <c r="G223" s="137" t="s">
        <v>193</v>
      </c>
      <c r="H223" s="137" t="s">
        <v>193</v>
      </c>
      <c r="I223" s="137" t="s">
        <v>193</v>
      </c>
      <c r="J223" s="137" t="s">
        <v>53</v>
      </c>
      <c r="K223" s="137" t="s">
        <v>193</v>
      </c>
      <c r="L223" s="137" t="s">
        <v>193</v>
      </c>
      <c r="M223" s="137" t="s">
        <v>193</v>
      </c>
      <c r="N223" s="137" t="s">
        <v>193</v>
      </c>
      <c r="O223" s="137" t="s">
        <v>193</v>
      </c>
      <c r="P223" s="137" t="s">
        <v>53</v>
      </c>
      <c r="Q223" s="137" t="s">
        <v>193</v>
      </c>
      <c r="R223" s="137" t="s">
        <v>193</v>
      </c>
      <c r="S223" s="137" t="s">
        <v>193</v>
      </c>
      <c r="T223" s="137" t="s">
        <v>193</v>
      </c>
      <c r="U223" s="137" t="s">
        <v>193</v>
      </c>
      <c r="X223" s="12">
        <f t="shared" si="3"/>
        <v>0</v>
      </c>
    </row>
    <row r="224" spans="1:24" ht="15" customHeight="1" x14ac:dyDescent="0.25">
      <c r="A224" s="137" t="s">
        <v>503</v>
      </c>
      <c r="B224" s="137" t="s">
        <v>504</v>
      </c>
      <c r="C224" s="137">
        <v>2018</v>
      </c>
      <c r="D224" s="137" t="s">
        <v>53</v>
      </c>
      <c r="E224" s="137" t="s">
        <v>193</v>
      </c>
      <c r="F224" s="137" t="s">
        <v>193</v>
      </c>
      <c r="G224" s="137" t="s">
        <v>193</v>
      </c>
      <c r="H224" s="137" t="s">
        <v>193</v>
      </c>
      <c r="I224" s="137" t="s">
        <v>193</v>
      </c>
      <c r="J224" s="137" t="s">
        <v>53</v>
      </c>
      <c r="K224" s="137" t="s">
        <v>193</v>
      </c>
      <c r="L224" s="137" t="s">
        <v>193</v>
      </c>
      <c r="M224" s="137" t="s">
        <v>193</v>
      </c>
      <c r="N224" s="137" t="s">
        <v>193</v>
      </c>
      <c r="O224" s="137" t="s">
        <v>193</v>
      </c>
      <c r="P224" s="137" t="s">
        <v>53</v>
      </c>
      <c r="Q224" s="137" t="s">
        <v>193</v>
      </c>
      <c r="R224" s="137" t="s">
        <v>193</v>
      </c>
      <c r="S224" s="137" t="s">
        <v>193</v>
      </c>
      <c r="T224" s="137" t="s">
        <v>193</v>
      </c>
      <c r="U224" s="137" t="s">
        <v>193</v>
      </c>
      <c r="X224" s="12">
        <f t="shared" si="3"/>
        <v>0</v>
      </c>
    </row>
    <row r="225" spans="1:24" ht="15" customHeight="1" x14ac:dyDescent="0.25">
      <c r="A225" s="137" t="s">
        <v>505</v>
      </c>
      <c r="B225" s="137" t="s">
        <v>119</v>
      </c>
      <c r="C225" s="137">
        <v>2018</v>
      </c>
      <c r="D225" s="137" t="s">
        <v>53</v>
      </c>
      <c r="E225" s="137" t="s">
        <v>53</v>
      </c>
      <c r="F225" s="137" t="s">
        <v>53</v>
      </c>
      <c r="G225" s="137" t="s">
        <v>53</v>
      </c>
      <c r="H225" s="137" t="s">
        <v>53</v>
      </c>
      <c r="I225" s="137" t="s">
        <v>53</v>
      </c>
      <c r="J225" s="137" t="s">
        <v>53</v>
      </c>
      <c r="K225" s="137" t="s">
        <v>53</v>
      </c>
      <c r="L225" s="137" t="s">
        <v>53</v>
      </c>
      <c r="M225" s="137" t="s">
        <v>53</v>
      </c>
      <c r="N225" s="137" t="s">
        <v>53</v>
      </c>
      <c r="O225" s="137" t="s">
        <v>53</v>
      </c>
      <c r="P225" s="137" t="s">
        <v>53</v>
      </c>
      <c r="Q225" s="137" t="s">
        <v>53</v>
      </c>
      <c r="R225" s="137" t="s">
        <v>53</v>
      </c>
      <c r="S225" s="137" t="s">
        <v>53</v>
      </c>
      <c r="T225" s="137" t="s">
        <v>53</v>
      </c>
      <c r="U225" s="137" t="s">
        <v>53</v>
      </c>
      <c r="X225" s="12">
        <f t="shared" si="3"/>
        <v>0</v>
      </c>
    </row>
    <row r="226" spans="1:24" ht="15" customHeight="1" x14ac:dyDescent="0.25">
      <c r="A226" s="137" t="s">
        <v>506</v>
      </c>
      <c r="B226" s="137" t="s">
        <v>507</v>
      </c>
      <c r="C226" s="137">
        <v>2018</v>
      </c>
      <c r="D226" s="137" t="s">
        <v>53</v>
      </c>
      <c r="E226" s="137" t="s">
        <v>193</v>
      </c>
      <c r="F226" s="137" t="s">
        <v>193</v>
      </c>
      <c r="G226" s="137" t="s">
        <v>193</v>
      </c>
      <c r="H226" s="137" t="s">
        <v>193</v>
      </c>
      <c r="I226" s="137" t="s">
        <v>193</v>
      </c>
      <c r="J226" s="137" t="s">
        <v>53</v>
      </c>
      <c r="K226" s="137" t="s">
        <v>193</v>
      </c>
      <c r="L226" s="137" t="s">
        <v>193</v>
      </c>
      <c r="M226" s="137" t="s">
        <v>193</v>
      </c>
      <c r="N226" s="137" t="s">
        <v>193</v>
      </c>
      <c r="O226" s="137" t="s">
        <v>193</v>
      </c>
      <c r="P226" s="137" t="s">
        <v>53</v>
      </c>
      <c r="Q226" s="137" t="s">
        <v>193</v>
      </c>
      <c r="R226" s="137" t="s">
        <v>193</v>
      </c>
      <c r="S226" s="137" t="s">
        <v>193</v>
      </c>
      <c r="T226" s="137" t="s">
        <v>193</v>
      </c>
      <c r="U226" s="137" t="s">
        <v>193</v>
      </c>
      <c r="X226" s="12">
        <f t="shared" si="3"/>
        <v>0</v>
      </c>
    </row>
    <row r="227" spans="1:24" ht="15" customHeight="1" x14ac:dyDescent="0.25">
      <c r="A227" s="137" t="s">
        <v>38</v>
      </c>
      <c r="B227" s="141" t="s">
        <v>40</v>
      </c>
      <c r="C227" s="137">
        <v>2018</v>
      </c>
      <c r="D227" s="137" t="s">
        <v>53</v>
      </c>
      <c r="E227" s="137" t="s">
        <v>53</v>
      </c>
      <c r="F227" s="137" t="s">
        <v>53</v>
      </c>
      <c r="G227" s="137" t="s">
        <v>53</v>
      </c>
      <c r="H227" s="137" t="s">
        <v>53</v>
      </c>
      <c r="I227" s="137" t="s">
        <v>53</v>
      </c>
      <c r="J227" s="137" t="s">
        <v>53</v>
      </c>
      <c r="K227" s="137" t="s">
        <v>53</v>
      </c>
      <c r="L227" s="137" t="s">
        <v>53</v>
      </c>
      <c r="M227" s="137" t="s">
        <v>53</v>
      </c>
      <c r="N227" s="137" t="s">
        <v>53</v>
      </c>
      <c r="O227" s="137" t="s">
        <v>53</v>
      </c>
      <c r="P227" s="137" t="s">
        <v>53</v>
      </c>
      <c r="Q227" s="137" t="s">
        <v>53</v>
      </c>
      <c r="R227" s="137" t="s">
        <v>53</v>
      </c>
      <c r="S227" s="137" t="s">
        <v>53</v>
      </c>
      <c r="T227" s="137" t="s">
        <v>53</v>
      </c>
      <c r="U227" s="137" t="s">
        <v>53</v>
      </c>
      <c r="X227" s="12">
        <f t="shared" si="3"/>
        <v>0</v>
      </c>
    </row>
    <row r="228" spans="1:24" ht="15" customHeight="1" x14ac:dyDescent="0.25">
      <c r="A228" s="137" t="s">
        <v>4</v>
      </c>
      <c r="B228" s="137" t="s">
        <v>508</v>
      </c>
      <c r="C228" s="137">
        <v>2018</v>
      </c>
      <c r="D228" s="137" t="s">
        <v>53</v>
      </c>
      <c r="E228" s="137" t="s">
        <v>53</v>
      </c>
      <c r="F228" s="137" t="s">
        <v>53</v>
      </c>
      <c r="G228" s="137" t="s">
        <v>53</v>
      </c>
      <c r="H228" s="137" t="s">
        <v>53</v>
      </c>
      <c r="I228" s="137" t="s">
        <v>53</v>
      </c>
      <c r="J228" s="137" t="s">
        <v>53</v>
      </c>
      <c r="K228" s="137" t="s">
        <v>53</v>
      </c>
      <c r="L228" s="137" t="s">
        <v>53</v>
      </c>
      <c r="M228" s="137" t="s">
        <v>53</v>
      </c>
      <c r="N228" s="137" t="s">
        <v>53</v>
      </c>
      <c r="O228" s="137" t="s">
        <v>53</v>
      </c>
      <c r="P228" s="137" t="s">
        <v>53</v>
      </c>
      <c r="Q228" s="137" t="s">
        <v>53</v>
      </c>
      <c r="R228" s="137" t="s">
        <v>53</v>
      </c>
      <c r="S228" s="137" t="s">
        <v>53</v>
      </c>
      <c r="T228" s="137" t="s">
        <v>53</v>
      </c>
      <c r="U228" s="137" t="s">
        <v>53</v>
      </c>
      <c r="X228" s="12">
        <f t="shared" si="3"/>
        <v>0</v>
      </c>
    </row>
    <row r="229" spans="1:24" ht="15" customHeight="1" x14ac:dyDescent="0.25">
      <c r="A229" s="137" t="s">
        <v>4</v>
      </c>
      <c r="B229" s="137" t="s">
        <v>509</v>
      </c>
      <c r="C229" s="137">
        <v>2018</v>
      </c>
      <c r="D229" s="137" t="s">
        <v>53</v>
      </c>
      <c r="E229" s="137" t="s">
        <v>53</v>
      </c>
      <c r="F229" s="137" t="s">
        <v>53</v>
      </c>
      <c r="G229" s="137" t="s">
        <v>53</v>
      </c>
      <c r="H229" s="137" t="s">
        <v>53</v>
      </c>
      <c r="I229" s="137" t="s">
        <v>53</v>
      </c>
      <c r="J229" s="137" t="s">
        <v>53</v>
      </c>
      <c r="K229" s="137" t="s">
        <v>53</v>
      </c>
      <c r="L229" s="137" t="s">
        <v>53</v>
      </c>
      <c r="M229" s="137" t="s">
        <v>53</v>
      </c>
      <c r="N229" s="137" t="s">
        <v>53</v>
      </c>
      <c r="O229" s="137" t="s">
        <v>53</v>
      </c>
      <c r="P229" s="137" t="s">
        <v>53</v>
      </c>
      <c r="Q229" s="137" t="s">
        <v>53</v>
      </c>
      <c r="R229" s="137" t="s">
        <v>53</v>
      </c>
      <c r="S229" s="137" t="s">
        <v>53</v>
      </c>
      <c r="T229" s="137" t="s">
        <v>53</v>
      </c>
      <c r="U229" s="137" t="s">
        <v>53</v>
      </c>
      <c r="X229" s="12">
        <f t="shared" si="3"/>
        <v>0</v>
      </c>
    </row>
    <row r="230" spans="1:24" ht="15" customHeight="1" x14ac:dyDescent="0.25">
      <c r="A230" s="137" t="s">
        <v>4</v>
      </c>
      <c r="B230" s="137" t="s">
        <v>5</v>
      </c>
      <c r="C230" s="137">
        <v>2018</v>
      </c>
      <c r="D230" s="137" t="s">
        <v>53</v>
      </c>
      <c r="E230" s="137" t="s">
        <v>53</v>
      </c>
      <c r="F230" s="137" t="s">
        <v>53</v>
      </c>
      <c r="G230" s="137" t="s">
        <v>53</v>
      </c>
      <c r="H230" s="137" t="s">
        <v>53</v>
      </c>
      <c r="I230" s="137" t="s">
        <v>53</v>
      </c>
      <c r="J230" s="137" t="s">
        <v>53</v>
      </c>
      <c r="K230" s="137" t="s">
        <v>53</v>
      </c>
      <c r="L230" s="137" t="s">
        <v>53</v>
      </c>
      <c r="M230" s="137" t="s">
        <v>53</v>
      </c>
      <c r="N230" s="137" t="s">
        <v>53</v>
      </c>
      <c r="O230" s="137" t="s">
        <v>53</v>
      </c>
      <c r="P230" s="137" t="s">
        <v>53</v>
      </c>
      <c r="Q230" s="137" t="s">
        <v>53</v>
      </c>
      <c r="R230" s="137" t="s">
        <v>53</v>
      </c>
      <c r="S230" s="137" t="s">
        <v>53</v>
      </c>
      <c r="T230" s="137" t="s">
        <v>53</v>
      </c>
      <c r="U230" s="137" t="s">
        <v>53</v>
      </c>
      <c r="X230" s="12">
        <f t="shared" si="3"/>
        <v>0</v>
      </c>
    </row>
    <row r="231" spans="1:24" ht="15" customHeight="1" x14ac:dyDescent="0.25">
      <c r="A231" s="137" t="s">
        <v>510</v>
      </c>
      <c r="B231" s="137" t="s">
        <v>511</v>
      </c>
      <c r="C231" s="137">
        <v>2018</v>
      </c>
      <c r="D231" s="137" t="s">
        <v>813</v>
      </c>
      <c r="E231" s="137" t="s">
        <v>769</v>
      </c>
      <c r="F231" s="137">
        <v>14.853999999999999</v>
      </c>
      <c r="G231" s="137" t="s">
        <v>193</v>
      </c>
      <c r="H231" s="137" t="s">
        <v>193</v>
      </c>
      <c r="I231" s="137">
        <v>100</v>
      </c>
      <c r="J231" s="137" t="s">
        <v>53</v>
      </c>
      <c r="K231" s="137" t="s">
        <v>193</v>
      </c>
      <c r="L231" s="137" t="s">
        <v>193</v>
      </c>
      <c r="M231" s="137" t="s">
        <v>193</v>
      </c>
      <c r="N231" s="137" t="s">
        <v>193</v>
      </c>
      <c r="O231" s="137" t="s">
        <v>193</v>
      </c>
      <c r="P231" s="137" t="s">
        <v>53</v>
      </c>
      <c r="Q231" s="137" t="s">
        <v>193</v>
      </c>
      <c r="R231" s="137" t="s">
        <v>193</v>
      </c>
      <c r="S231" s="137" t="s">
        <v>193</v>
      </c>
      <c r="T231" s="137" t="s">
        <v>193</v>
      </c>
      <c r="U231" s="137" t="s">
        <v>193</v>
      </c>
      <c r="X231" s="12">
        <f t="shared" si="3"/>
        <v>0</v>
      </c>
    </row>
    <row r="232" spans="1:24" ht="15" customHeight="1" x14ac:dyDescent="0.25">
      <c r="A232" s="137" t="s">
        <v>513</v>
      </c>
      <c r="B232" s="137" t="s">
        <v>514</v>
      </c>
      <c r="C232" s="137">
        <v>2018</v>
      </c>
      <c r="D232" s="137" t="s">
        <v>53</v>
      </c>
      <c r="E232" s="137" t="s">
        <v>193</v>
      </c>
      <c r="F232" s="137" t="s">
        <v>193</v>
      </c>
      <c r="G232" s="137" t="s">
        <v>193</v>
      </c>
      <c r="H232" s="137" t="s">
        <v>193</v>
      </c>
      <c r="I232" s="137" t="s">
        <v>193</v>
      </c>
      <c r="J232" s="137" t="s">
        <v>53</v>
      </c>
      <c r="K232" s="137" t="s">
        <v>193</v>
      </c>
      <c r="L232" s="137" t="s">
        <v>193</v>
      </c>
      <c r="M232" s="137" t="s">
        <v>193</v>
      </c>
      <c r="N232" s="137" t="s">
        <v>193</v>
      </c>
      <c r="O232" s="137" t="s">
        <v>193</v>
      </c>
      <c r="P232" s="137" t="s">
        <v>53</v>
      </c>
      <c r="Q232" s="137" t="s">
        <v>193</v>
      </c>
      <c r="R232" s="137" t="s">
        <v>193</v>
      </c>
      <c r="S232" s="137" t="s">
        <v>193</v>
      </c>
      <c r="T232" s="137" t="s">
        <v>193</v>
      </c>
      <c r="U232" s="137" t="s">
        <v>193</v>
      </c>
      <c r="X232" s="12">
        <f t="shared" si="3"/>
        <v>0</v>
      </c>
    </row>
    <row r="233" spans="1:24" ht="15" customHeight="1" x14ac:dyDescent="0.25">
      <c r="A233" s="137" t="s">
        <v>513</v>
      </c>
      <c r="B233" s="137" t="s">
        <v>515</v>
      </c>
      <c r="C233" s="137">
        <v>2018</v>
      </c>
      <c r="D233" s="137" t="s">
        <v>53</v>
      </c>
      <c r="E233" s="137" t="s">
        <v>193</v>
      </c>
      <c r="F233" s="137" t="s">
        <v>193</v>
      </c>
      <c r="G233" s="137" t="s">
        <v>193</v>
      </c>
      <c r="H233" s="137" t="s">
        <v>193</v>
      </c>
      <c r="I233" s="137" t="s">
        <v>193</v>
      </c>
      <c r="J233" s="137" t="s">
        <v>53</v>
      </c>
      <c r="K233" s="137" t="s">
        <v>193</v>
      </c>
      <c r="L233" s="137" t="s">
        <v>193</v>
      </c>
      <c r="M233" s="137" t="s">
        <v>193</v>
      </c>
      <c r="N233" s="137" t="s">
        <v>193</v>
      </c>
      <c r="O233" s="137" t="s">
        <v>193</v>
      </c>
      <c r="P233" s="137" t="s">
        <v>53</v>
      </c>
      <c r="Q233" s="137" t="s">
        <v>193</v>
      </c>
      <c r="R233" s="137" t="s">
        <v>193</v>
      </c>
      <c r="S233" s="137" t="s">
        <v>193</v>
      </c>
      <c r="T233" s="137" t="s">
        <v>193</v>
      </c>
      <c r="U233" s="137" t="s">
        <v>193</v>
      </c>
      <c r="X233" s="12">
        <f t="shared" si="3"/>
        <v>0</v>
      </c>
    </row>
    <row r="234" spans="1:24" ht="15" customHeight="1" x14ac:dyDescent="0.25">
      <c r="A234" s="137" t="s">
        <v>513</v>
      </c>
      <c r="B234" s="137" t="s">
        <v>517</v>
      </c>
      <c r="C234" s="137">
        <v>2018</v>
      </c>
      <c r="D234" s="137" t="s">
        <v>814</v>
      </c>
      <c r="E234" s="137" t="s">
        <v>769</v>
      </c>
      <c r="F234" s="137">
        <v>1.73</v>
      </c>
      <c r="G234" s="137" t="s">
        <v>193</v>
      </c>
      <c r="H234" s="137" t="s">
        <v>193</v>
      </c>
      <c r="I234" s="137" t="s">
        <v>193</v>
      </c>
      <c r="J234" s="137" t="s">
        <v>53</v>
      </c>
      <c r="K234" s="137" t="s">
        <v>193</v>
      </c>
      <c r="L234" s="137" t="s">
        <v>193</v>
      </c>
      <c r="M234" s="137" t="s">
        <v>193</v>
      </c>
      <c r="N234" s="137" t="s">
        <v>193</v>
      </c>
      <c r="O234" s="137" t="s">
        <v>193</v>
      </c>
      <c r="P234" s="137" t="s">
        <v>53</v>
      </c>
      <c r="Q234" s="137" t="s">
        <v>193</v>
      </c>
      <c r="R234" s="137" t="s">
        <v>193</v>
      </c>
      <c r="S234" s="137" t="s">
        <v>193</v>
      </c>
      <c r="T234" s="137" t="s">
        <v>193</v>
      </c>
      <c r="U234" s="137" t="s">
        <v>193</v>
      </c>
      <c r="X234" s="12">
        <f t="shared" si="3"/>
        <v>0</v>
      </c>
    </row>
    <row r="235" spans="1:24" ht="15" customHeight="1" x14ac:dyDescent="0.25">
      <c r="A235" s="137" t="s">
        <v>513</v>
      </c>
      <c r="B235" s="137" t="s">
        <v>518</v>
      </c>
      <c r="C235" s="137">
        <v>2018</v>
      </c>
      <c r="D235" s="137" t="s">
        <v>53</v>
      </c>
      <c r="E235" s="137" t="s">
        <v>193</v>
      </c>
      <c r="F235" s="137" t="s">
        <v>193</v>
      </c>
      <c r="G235" s="137" t="s">
        <v>193</v>
      </c>
      <c r="H235" s="137" t="s">
        <v>193</v>
      </c>
      <c r="I235" s="137" t="s">
        <v>193</v>
      </c>
      <c r="J235" s="137" t="s">
        <v>53</v>
      </c>
      <c r="K235" s="137" t="s">
        <v>193</v>
      </c>
      <c r="L235" s="137" t="s">
        <v>193</v>
      </c>
      <c r="M235" s="137" t="s">
        <v>193</v>
      </c>
      <c r="N235" s="137" t="s">
        <v>193</v>
      </c>
      <c r="O235" s="137" t="s">
        <v>193</v>
      </c>
      <c r="P235" s="137" t="s">
        <v>53</v>
      </c>
      <c r="Q235" s="137" t="s">
        <v>193</v>
      </c>
      <c r="R235" s="137" t="s">
        <v>193</v>
      </c>
      <c r="S235" s="137" t="s">
        <v>193</v>
      </c>
      <c r="T235" s="137" t="s">
        <v>193</v>
      </c>
      <c r="U235" s="137" t="s">
        <v>193</v>
      </c>
      <c r="X235" s="12">
        <f t="shared" si="3"/>
        <v>0</v>
      </c>
    </row>
    <row r="236" spans="1:24" ht="15" customHeight="1" x14ac:dyDescent="0.25">
      <c r="A236" s="137" t="s">
        <v>519</v>
      </c>
      <c r="B236" s="137" t="s">
        <v>520</v>
      </c>
      <c r="C236" s="137">
        <v>2018</v>
      </c>
      <c r="D236" s="137" t="s">
        <v>53</v>
      </c>
      <c r="E236" s="137" t="s">
        <v>53</v>
      </c>
      <c r="F236" s="137" t="s">
        <v>53</v>
      </c>
      <c r="G236" s="137" t="s">
        <v>53</v>
      </c>
      <c r="H236" s="137" t="s">
        <v>53</v>
      </c>
      <c r="I236" s="137" t="s">
        <v>53</v>
      </c>
      <c r="J236" s="137" t="s">
        <v>53</v>
      </c>
      <c r="K236" s="137" t="s">
        <v>53</v>
      </c>
      <c r="L236" s="137" t="s">
        <v>53</v>
      </c>
      <c r="M236" s="137" t="s">
        <v>53</v>
      </c>
      <c r="N236" s="137" t="s">
        <v>53</v>
      </c>
      <c r="O236" s="137" t="s">
        <v>53</v>
      </c>
      <c r="P236" s="137" t="s">
        <v>53</v>
      </c>
      <c r="Q236" s="137" t="s">
        <v>53</v>
      </c>
      <c r="R236" s="137" t="s">
        <v>53</v>
      </c>
      <c r="S236" s="137" t="s">
        <v>53</v>
      </c>
      <c r="T236" s="137" t="s">
        <v>53</v>
      </c>
      <c r="U236" s="137" t="s">
        <v>53</v>
      </c>
      <c r="X236" s="12">
        <f t="shared" si="3"/>
        <v>0</v>
      </c>
    </row>
    <row r="237" spans="1:24" ht="15" customHeight="1" x14ac:dyDescent="0.25">
      <c r="A237" s="137" t="s">
        <v>521</v>
      </c>
      <c r="B237" s="137" t="s">
        <v>522</v>
      </c>
      <c r="C237" s="137">
        <v>2018</v>
      </c>
      <c r="D237" s="137" t="s">
        <v>53</v>
      </c>
      <c r="E237" s="137" t="s">
        <v>193</v>
      </c>
      <c r="F237" s="137" t="s">
        <v>193</v>
      </c>
      <c r="G237" s="137" t="s">
        <v>193</v>
      </c>
      <c r="H237" s="137" t="s">
        <v>193</v>
      </c>
      <c r="I237" s="137" t="s">
        <v>193</v>
      </c>
      <c r="J237" s="137" t="s">
        <v>53</v>
      </c>
      <c r="K237" s="137" t="s">
        <v>193</v>
      </c>
      <c r="L237" s="137" t="s">
        <v>193</v>
      </c>
      <c r="M237" s="137" t="s">
        <v>193</v>
      </c>
      <c r="N237" s="137" t="s">
        <v>193</v>
      </c>
      <c r="O237" s="137" t="s">
        <v>193</v>
      </c>
      <c r="P237" s="137" t="s">
        <v>53</v>
      </c>
      <c r="Q237" s="137" t="s">
        <v>193</v>
      </c>
      <c r="R237" s="137" t="s">
        <v>193</v>
      </c>
      <c r="S237" s="137" t="s">
        <v>193</v>
      </c>
      <c r="T237" s="137" t="s">
        <v>193</v>
      </c>
      <c r="U237" s="137" t="s">
        <v>193</v>
      </c>
      <c r="X237" s="12">
        <f t="shared" si="3"/>
        <v>0</v>
      </c>
    </row>
    <row r="238" spans="1:24" ht="15" customHeight="1" x14ac:dyDescent="0.25">
      <c r="A238" s="137" t="s">
        <v>521</v>
      </c>
      <c r="B238" s="137" t="s">
        <v>523</v>
      </c>
      <c r="C238" s="137">
        <v>2018</v>
      </c>
      <c r="D238" s="137" t="s">
        <v>53</v>
      </c>
      <c r="E238" s="137" t="s">
        <v>193</v>
      </c>
      <c r="F238" s="137" t="s">
        <v>193</v>
      </c>
      <c r="G238" s="137" t="s">
        <v>193</v>
      </c>
      <c r="H238" s="137" t="s">
        <v>193</v>
      </c>
      <c r="I238" s="137" t="s">
        <v>193</v>
      </c>
      <c r="J238" s="137" t="s">
        <v>53</v>
      </c>
      <c r="K238" s="137" t="s">
        <v>193</v>
      </c>
      <c r="L238" s="137" t="s">
        <v>193</v>
      </c>
      <c r="M238" s="137" t="s">
        <v>193</v>
      </c>
      <c r="N238" s="137" t="s">
        <v>193</v>
      </c>
      <c r="O238" s="137" t="s">
        <v>193</v>
      </c>
      <c r="P238" s="137" t="s">
        <v>53</v>
      </c>
      <c r="Q238" s="137" t="s">
        <v>193</v>
      </c>
      <c r="R238" s="137" t="s">
        <v>193</v>
      </c>
      <c r="S238" s="137" t="s">
        <v>193</v>
      </c>
      <c r="T238" s="137" t="s">
        <v>193</v>
      </c>
      <c r="U238" s="137" t="s">
        <v>193</v>
      </c>
      <c r="X238" s="12">
        <f t="shared" si="3"/>
        <v>0</v>
      </c>
    </row>
    <row r="239" spans="1:24" ht="15" customHeight="1" x14ac:dyDescent="0.25">
      <c r="A239" s="137" t="s">
        <v>524</v>
      </c>
      <c r="B239" s="137" t="s">
        <v>525</v>
      </c>
      <c r="C239" s="137">
        <v>2018</v>
      </c>
      <c r="D239" s="137" t="s">
        <v>815</v>
      </c>
      <c r="E239" s="137" t="s">
        <v>769</v>
      </c>
      <c r="F239" s="137">
        <v>8.8486899999999995</v>
      </c>
      <c r="G239" s="137" t="s">
        <v>786</v>
      </c>
      <c r="H239" s="137">
        <v>1.1145210000000001</v>
      </c>
      <c r="I239" s="137" t="s">
        <v>193</v>
      </c>
      <c r="J239" s="137" t="s">
        <v>816</v>
      </c>
      <c r="K239" s="137" t="s">
        <v>772</v>
      </c>
      <c r="L239" s="137">
        <v>1.21068</v>
      </c>
      <c r="M239" s="137" t="s">
        <v>193</v>
      </c>
      <c r="N239" s="137" t="s">
        <v>193</v>
      </c>
      <c r="O239" s="137" t="s">
        <v>193</v>
      </c>
      <c r="P239" s="137" t="s">
        <v>53</v>
      </c>
      <c r="Q239" s="137" t="s">
        <v>193</v>
      </c>
      <c r="R239" s="137" t="s">
        <v>193</v>
      </c>
      <c r="S239" s="137" t="s">
        <v>193</v>
      </c>
      <c r="T239" s="137" t="s">
        <v>193</v>
      </c>
      <c r="U239" s="137" t="s">
        <v>193</v>
      </c>
      <c r="X239" s="12">
        <f t="shared" si="3"/>
        <v>0</v>
      </c>
    </row>
    <row r="240" spans="1:24" ht="15" customHeight="1" x14ac:dyDescent="0.25">
      <c r="A240" s="137" t="s">
        <v>526</v>
      </c>
      <c r="B240" s="137" t="s">
        <v>527</v>
      </c>
      <c r="C240" s="137">
        <v>2018</v>
      </c>
      <c r="D240" s="137" t="s">
        <v>53</v>
      </c>
      <c r="E240" s="137" t="s">
        <v>193</v>
      </c>
      <c r="F240" s="137" t="s">
        <v>193</v>
      </c>
      <c r="G240" s="137" t="s">
        <v>193</v>
      </c>
      <c r="H240" s="137" t="s">
        <v>193</v>
      </c>
      <c r="I240" s="137" t="s">
        <v>193</v>
      </c>
      <c r="J240" s="137" t="s">
        <v>53</v>
      </c>
      <c r="K240" s="137" t="s">
        <v>193</v>
      </c>
      <c r="L240" s="137" t="s">
        <v>193</v>
      </c>
      <c r="M240" s="137" t="s">
        <v>193</v>
      </c>
      <c r="N240" s="137" t="s">
        <v>193</v>
      </c>
      <c r="O240" s="137" t="s">
        <v>193</v>
      </c>
      <c r="P240" s="137" t="s">
        <v>53</v>
      </c>
      <c r="Q240" s="137" t="s">
        <v>193</v>
      </c>
      <c r="R240" s="137" t="s">
        <v>193</v>
      </c>
      <c r="S240" s="137" t="s">
        <v>193</v>
      </c>
      <c r="T240" s="137" t="s">
        <v>193</v>
      </c>
      <c r="U240" s="137" t="s">
        <v>193</v>
      </c>
      <c r="X240" s="12">
        <f t="shared" si="3"/>
        <v>0</v>
      </c>
    </row>
    <row r="241" spans="1:24" ht="15" customHeight="1" x14ac:dyDescent="0.25">
      <c r="A241" s="137" t="s">
        <v>528</v>
      </c>
      <c r="B241" s="137" t="s">
        <v>529</v>
      </c>
      <c r="C241" s="137">
        <v>2018</v>
      </c>
      <c r="D241" s="137" t="s">
        <v>817</v>
      </c>
      <c r="E241" s="137" t="s">
        <v>769</v>
      </c>
      <c r="F241" s="137">
        <v>11.071</v>
      </c>
      <c r="G241" s="137" t="s">
        <v>193</v>
      </c>
      <c r="H241" s="137" t="s">
        <v>193</v>
      </c>
      <c r="I241" s="137" t="s">
        <v>193</v>
      </c>
      <c r="J241" s="137" t="s">
        <v>53</v>
      </c>
      <c r="K241" s="137" t="s">
        <v>193</v>
      </c>
      <c r="L241" s="137" t="s">
        <v>193</v>
      </c>
      <c r="M241" s="137" t="s">
        <v>193</v>
      </c>
      <c r="N241" s="137" t="s">
        <v>193</v>
      </c>
      <c r="O241" s="137" t="s">
        <v>193</v>
      </c>
      <c r="P241" s="137" t="s">
        <v>53</v>
      </c>
      <c r="Q241" s="137" t="s">
        <v>193</v>
      </c>
      <c r="R241" s="137" t="s">
        <v>193</v>
      </c>
      <c r="S241" s="137" t="s">
        <v>193</v>
      </c>
      <c r="T241" s="137" t="s">
        <v>193</v>
      </c>
      <c r="U241" s="137" t="s">
        <v>193</v>
      </c>
      <c r="X241" s="12">
        <f t="shared" si="3"/>
        <v>0</v>
      </c>
    </row>
    <row r="242" spans="1:24" ht="15" customHeight="1" x14ac:dyDescent="0.25">
      <c r="A242" s="137" t="s">
        <v>530</v>
      </c>
      <c r="B242" s="137" t="s">
        <v>531</v>
      </c>
      <c r="C242" s="137">
        <v>2018</v>
      </c>
      <c r="D242" s="137" t="s">
        <v>53</v>
      </c>
      <c r="E242" s="137" t="s">
        <v>193</v>
      </c>
      <c r="F242" s="137" t="s">
        <v>193</v>
      </c>
      <c r="G242" s="137" t="s">
        <v>193</v>
      </c>
      <c r="H242" s="137" t="s">
        <v>193</v>
      </c>
      <c r="I242" s="137" t="s">
        <v>193</v>
      </c>
      <c r="J242" s="137" t="s">
        <v>53</v>
      </c>
      <c r="K242" s="137" t="s">
        <v>193</v>
      </c>
      <c r="L242" s="137" t="s">
        <v>193</v>
      </c>
      <c r="M242" s="137" t="s">
        <v>193</v>
      </c>
      <c r="N242" s="137" t="s">
        <v>193</v>
      </c>
      <c r="O242" s="137" t="s">
        <v>193</v>
      </c>
      <c r="P242" s="137" t="s">
        <v>53</v>
      </c>
      <c r="Q242" s="137" t="s">
        <v>193</v>
      </c>
      <c r="R242" s="137" t="s">
        <v>193</v>
      </c>
      <c r="S242" s="137" t="s">
        <v>193</v>
      </c>
      <c r="T242" s="137" t="s">
        <v>193</v>
      </c>
      <c r="U242" s="137" t="s">
        <v>193</v>
      </c>
      <c r="X242" s="12">
        <f t="shared" si="3"/>
        <v>0</v>
      </c>
    </row>
    <row r="243" spans="1:24" ht="15" customHeight="1" x14ac:dyDescent="0.25">
      <c r="A243" s="137" t="s">
        <v>532</v>
      </c>
      <c r="B243" s="137" t="s">
        <v>533</v>
      </c>
      <c r="C243" s="137">
        <v>2018</v>
      </c>
      <c r="D243" s="137" t="s">
        <v>53</v>
      </c>
      <c r="E243" s="137" t="s">
        <v>193</v>
      </c>
      <c r="F243" s="137" t="s">
        <v>193</v>
      </c>
      <c r="G243" s="137" t="s">
        <v>193</v>
      </c>
      <c r="H243" s="137" t="s">
        <v>193</v>
      </c>
      <c r="I243" s="137" t="s">
        <v>193</v>
      </c>
      <c r="J243" s="137" t="s">
        <v>53</v>
      </c>
      <c r="K243" s="137" t="s">
        <v>193</v>
      </c>
      <c r="L243" s="137" t="s">
        <v>193</v>
      </c>
      <c r="M243" s="137" t="s">
        <v>193</v>
      </c>
      <c r="N243" s="137" t="s">
        <v>193</v>
      </c>
      <c r="O243" s="137" t="s">
        <v>193</v>
      </c>
      <c r="P243" s="137" t="s">
        <v>53</v>
      </c>
      <c r="Q243" s="137" t="s">
        <v>193</v>
      </c>
      <c r="R243" s="137" t="s">
        <v>193</v>
      </c>
      <c r="S243" s="137" t="s">
        <v>193</v>
      </c>
      <c r="T243" s="137" t="s">
        <v>193</v>
      </c>
      <c r="U243" s="137" t="s">
        <v>193</v>
      </c>
      <c r="X243" s="12">
        <f t="shared" si="3"/>
        <v>0</v>
      </c>
    </row>
    <row r="244" spans="1:24" ht="15" customHeight="1" x14ac:dyDescent="0.25">
      <c r="A244" s="137" t="s">
        <v>532</v>
      </c>
      <c r="B244" s="137" t="s">
        <v>534</v>
      </c>
      <c r="C244" s="137">
        <v>2018</v>
      </c>
      <c r="D244" s="137" t="s">
        <v>53</v>
      </c>
      <c r="E244" s="137" t="s">
        <v>193</v>
      </c>
      <c r="F244" s="137" t="s">
        <v>193</v>
      </c>
      <c r="G244" s="137" t="s">
        <v>193</v>
      </c>
      <c r="H244" s="137" t="s">
        <v>193</v>
      </c>
      <c r="I244" s="137" t="s">
        <v>193</v>
      </c>
      <c r="J244" s="137" t="s">
        <v>53</v>
      </c>
      <c r="K244" s="137" t="s">
        <v>193</v>
      </c>
      <c r="L244" s="137" t="s">
        <v>193</v>
      </c>
      <c r="M244" s="137" t="s">
        <v>193</v>
      </c>
      <c r="N244" s="137" t="s">
        <v>193</v>
      </c>
      <c r="O244" s="137" t="s">
        <v>193</v>
      </c>
      <c r="P244" s="137" t="s">
        <v>53</v>
      </c>
      <c r="Q244" s="137" t="s">
        <v>193</v>
      </c>
      <c r="R244" s="137" t="s">
        <v>193</v>
      </c>
      <c r="S244" s="137" t="s">
        <v>193</v>
      </c>
      <c r="T244" s="137" t="s">
        <v>193</v>
      </c>
      <c r="U244" s="137" t="s">
        <v>193</v>
      </c>
      <c r="X244" s="12">
        <f t="shared" si="3"/>
        <v>0</v>
      </c>
    </row>
    <row r="245" spans="1:24" ht="15" customHeight="1" x14ac:dyDescent="0.25">
      <c r="A245" s="137" t="s">
        <v>532</v>
      </c>
      <c r="B245" s="137" t="s">
        <v>536</v>
      </c>
      <c r="C245" s="137">
        <v>2018</v>
      </c>
      <c r="D245" s="137" t="s">
        <v>53</v>
      </c>
      <c r="E245" s="137" t="s">
        <v>193</v>
      </c>
      <c r="F245" s="137" t="s">
        <v>193</v>
      </c>
      <c r="G245" s="137" t="s">
        <v>193</v>
      </c>
      <c r="H245" s="137" t="s">
        <v>193</v>
      </c>
      <c r="I245" s="137" t="s">
        <v>193</v>
      </c>
      <c r="J245" s="137" t="s">
        <v>53</v>
      </c>
      <c r="K245" s="137" t="s">
        <v>193</v>
      </c>
      <c r="L245" s="137" t="s">
        <v>193</v>
      </c>
      <c r="M245" s="137" t="s">
        <v>193</v>
      </c>
      <c r="N245" s="137" t="s">
        <v>193</v>
      </c>
      <c r="O245" s="137" t="s">
        <v>193</v>
      </c>
      <c r="P245" s="137" t="s">
        <v>53</v>
      </c>
      <c r="Q245" s="137" t="s">
        <v>193</v>
      </c>
      <c r="R245" s="137" t="s">
        <v>193</v>
      </c>
      <c r="S245" s="137" t="s">
        <v>193</v>
      </c>
      <c r="T245" s="137" t="s">
        <v>193</v>
      </c>
      <c r="U245" s="137" t="s">
        <v>193</v>
      </c>
      <c r="X245" s="12">
        <f t="shared" si="3"/>
        <v>0</v>
      </c>
    </row>
    <row r="246" spans="1:24" ht="15" customHeight="1" x14ac:dyDescent="0.25">
      <c r="A246" s="137" t="s">
        <v>532</v>
      </c>
      <c r="B246" s="137" t="s">
        <v>537</v>
      </c>
      <c r="C246" s="137">
        <v>2018</v>
      </c>
      <c r="D246" s="137" t="s">
        <v>53</v>
      </c>
      <c r="E246" s="137" t="s">
        <v>193</v>
      </c>
      <c r="F246" s="137" t="s">
        <v>193</v>
      </c>
      <c r="G246" s="137" t="s">
        <v>193</v>
      </c>
      <c r="H246" s="137" t="s">
        <v>193</v>
      </c>
      <c r="I246" s="137" t="s">
        <v>193</v>
      </c>
      <c r="J246" s="137" t="s">
        <v>53</v>
      </c>
      <c r="K246" s="137" t="s">
        <v>193</v>
      </c>
      <c r="L246" s="137" t="s">
        <v>193</v>
      </c>
      <c r="M246" s="137" t="s">
        <v>193</v>
      </c>
      <c r="N246" s="137" t="s">
        <v>193</v>
      </c>
      <c r="O246" s="137" t="s">
        <v>193</v>
      </c>
      <c r="P246" s="137" t="s">
        <v>53</v>
      </c>
      <c r="Q246" s="137" t="s">
        <v>193</v>
      </c>
      <c r="R246" s="137" t="s">
        <v>193</v>
      </c>
      <c r="S246" s="137" t="s">
        <v>193</v>
      </c>
      <c r="T246" s="137" t="s">
        <v>193</v>
      </c>
      <c r="U246" s="137" t="s">
        <v>193</v>
      </c>
      <c r="X246" s="12">
        <f t="shared" si="3"/>
        <v>0</v>
      </c>
    </row>
    <row r="247" spans="1:24" ht="15" customHeight="1" x14ac:dyDescent="0.25">
      <c r="A247" s="137" t="s">
        <v>532</v>
      </c>
      <c r="B247" s="137" t="s">
        <v>538</v>
      </c>
      <c r="C247" s="137">
        <v>2018</v>
      </c>
      <c r="D247" s="137" t="s">
        <v>53</v>
      </c>
      <c r="E247" s="137" t="s">
        <v>193</v>
      </c>
      <c r="F247" s="137" t="s">
        <v>193</v>
      </c>
      <c r="G247" s="137" t="s">
        <v>193</v>
      </c>
      <c r="H247" s="137" t="s">
        <v>193</v>
      </c>
      <c r="I247" s="137" t="s">
        <v>193</v>
      </c>
      <c r="J247" s="137" t="s">
        <v>53</v>
      </c>
      <c r="K247" s="137" t="s">
        <v>193</v>
      </c>
      <c r="L247" s="137" t="s">
        <v>193</v>
      </c>
      <c r="M247" s="137" t="s">
        <v>193</v>
      </c>
      <c r="N247" s="137" t="s">
        <v>193</v>
      </c>
      <c r="O247" s="137" t="s">
        <v>193</v>
      </c>
      <c r="P247" s="137" t="s">
        <v>53</v>
      </c>
      <c r="Q247" s="137" t="s">
        <v>193</v>
      </c>
      <c r="R247" s="137" t="s">
        <v>193</v>
      </c>
      <c r="S247" s="137" t="s">
        <v>193</v>
      </c>
      <c r="T247" s="137" t="s">
        <v>193</v>
      </c>
      <c r="U247" s="137" t="s">
        <v>193</v>
      </c>
      <c r="X247" s="12">
        <f t="shared" si="3"/>
        <v>0</v>
      </c>
    </row>
    <row r="248" spans="1:24" ht="15" customHeight="1" x14ac:dyDescent="0.25">
      <c r="A248" s="137" t="s">
        <v>532</v>
      </c>
      <c r="B248" s="137" t="s">
        <v>539</v>
      </c>
      <c r="C248" s="137">
        <v>2018</v>
      </c>
      <c r="D248" s="137" t="s">
        <v>53</v>
      </c>
      <c r="E248" s="137" t="s">
        <v>193</v>
      </c>
      <c r="F248" s="137" t="s">
        <v>193</v>
      </c>
      <c r="G248" s="137" t="s">
        <v>193</v>
      </c>
      <c r="H248" s="137" t="s">
        <v>193</v>
      </c>
      <c r="I248" s="137" t="s">
        <v>193</v>
      </c>
      <c r="J248" s="137" t="s">
        <v>53</v>
      </c>
      <c r="K248" s="137" t="s">
        <v>193</v>
      </c>
      <c r="L248" s="137" t="s">
        <v>193</v>
      </c>
      <c r="M248" s="137" t="s">
        <v>193</v>
      </c>
      <c r="N248" s="137" t="s">
        <v>193</v>
      </c>
      <c r="O248" s="137" t="s">
        <v>193</v>
      </c>
      <c r="P248" s="137" t="s">
        <v>53</v>
      </c>
      <c r="Q248" s="137" t="s">
        <v>193</v>
      </c>
      <c r="R248" s="137" t="s">
        <v>193</v>
      </c>
      <c r="S248" s="137" t="s">
        <v>193</v>
      </c>
      <c r="T248" s="137" t="s">
        <v>193</v>
      </c>
      <c r="U248" s="137" t="s">
        <v>193</v>
      </c>
      <c r="X248" s="12">
        <f t="shared" si="3"/>
        <v>0</v>
      </c>
    </row>
    <row r="249" spans="1:24" ht="15" customHeight="1" x14ac:dyDescent="0.25">
      <c r="A249" s="137" t="s">
        <v>532</v>
      </c>
      <c r="B249" s="137" t="s">
        <v>540</v>
      </c>
      <c r="C249" s="137">
        <v>2018</v>
      </c>
      <c r="D249" s="137" t="s">
        <v>53</v>
      </c>
      <c r="E249" s="137" t="s">
        <v>193</v>
      </c>
      <c r="F249" s="137" t="s">
        <v>193</v>
      </c>
      <c r="G249" s="137" t="s">
        <v>193</v>
      </c>
      <c r="H249" s="137" t="s">
        <v>193</v>
      </c>
      <c r="I249" s="137" t="s">
        <v>193</v>
      </c>
      <c r="J249" s="137" t="s">
        <v>53</v>
      </c>
      <c r="K249" s="137" t="s">
        <v>193</v>
      </c>
      <c r="L249" s="137" t="s">
        <v>193</v>
      </c>
      <c r="M249" s="137" t="s">
        <v>193</v>
      </c>
      <c r="N249" s="137" t="s">
        <v>193</v>
      </c>
      <c r="O249" s="137" t="s">
        <v>193</v>
      </c>
      <c r="P249" s="137" t="s">
        <v>53</v>
      </c>
      <c r="Q249" s="137" t="s">
        <v>193</v>
      </c>
      <c r="R249" s="137" t="s">
        <v>193</v>
      </c>
      <c r="S249" s="137" t="s">
        <v>193</v>
      </c>
      <c r="T249" s="137" t="s">
        <v>193</v>
      </c>
      <c r="U249" s="137" t="s">
        <v>193</v>
      </c>
      <c r="X249" s="12">
        <f t="shared" si="3"/>
        <v>0</v>
      </c>
    </row>
    <row r="250" spans="1:24" ht="15" customHeight="1" x14ac:dyDescent="0.25">
      <c r="A250" s="137" t="s">
        <v>532</v>
      </c>
      <c r="B250" s="137" t="s">
        <v>541</v>
      </c>
      <c r="C250" s="137">
        <v>2018</v>
      </c>
      <c r="D250" s="137" t="s">
        <v>53</v>
      </c>
      <c r="E250" s="137" t="s">
        <v>193</v>
      </c>
      <c r="F250" s="137" t="s">
        <v>193</v>
      </c>
      <c r="G250" s="137" t="s">
        <v>193</v>
      </c>
      <c r="H250" s="137" t="s">
        <v>193</v>
      </c>
      <c r="I250" s="137" t="s">
        <v>193</v>
      </c>
      <c r="J250" s="137" t="s">
        <v>53</v>
      </c>
      <c r="K250" s="137" t="s">
        <v>193</v>
      </c>
      <c r="L250" s="137" t="s">
        <v>193</v>
      </c>
      <c r="M250" s="137" t="s">
        <v>193</v>
      </c>
      <c r="N250" s="137" t="s">
        <v>193</v>
      </c>
      <c r="O250" s="137" t="s">
        <v>193</v>
      </c>
      <c r="P250" s="137" t="s">
        <v>53</v>
      </c>
      <c r="Q250" s="137" t="s">
        <v>193</v>
      </c>
      <c r="R250" s="137" t="s">
        <v>193</v>
      </c>
      <c r="S250" s="137" t="s">
        <v>193</v>
      </c>
      <c r="T250" s="137" t="s">
        <v>193</v>
      </c>
      <c r="U250" s="137" t="s">
        <v>193</v>
      </c>
      <c r="X250" s="12">
        <f t="shared" si="3"/>
        <v>0</v>
      </c>
    </row>
    <row r="251" spans="1:24" ht="15" customHeight="1" x14ac:dyDescent="0.25">
      <c r="A251" s="137" t="s">
        <v>532</v>
      </c>
      <c r="B251" s="137" t="s">
        <v>542</v>
      </c>
      <c r="C251" s="137">
        <v>2018</v>
      </c>
      <c r="D251" s="137" t="s">
        <v>53</v>
      </c>
      <c r="E251" s="137" t="s">
        <v>193</v>
      </c>
      <c r="F251" s="137" t="s">
        <v>193</v>
      </c>
      <c r="G251" s="137" t="s">
        <v>193</v>
      </c>
      <c r="H251" s="137" t="s">
        <v>193</v>
      </c>
      <c r="I251" s="137" t="s">
        <v>193</v>
      </c>
      <c r="J251" s="137" t="s">
        <v>53</v>
      </c>
      <c r="K251" s="137" t="s">
        <v>193</v>
      </c>
      <c r="L251" s="137" t="s">
        <v>193</v>
      </c>
      <c r="M251" s="137" t="s">
        <v>193</v>
      </c>
      <c r="N251" s="137" t="s">
        <v>193</v>
      </c>
      <c r="O251" s="137" t="s">
        <v>193</v>
      </c>
      <c r="P251" s="137" t="s">
        <v>53</v>
      </c>
      <c r="Q251" s="137" t="s">
        <v>193</v>
      </c>
      <c r="R251" s="137" t="s">
        <v>193</v>
      </c>
      <c r="S251" s="137" t="s">
        <v>193</v>
      </c>
      <c r="T251" s="137" t="s">
        <v>193</v>
      </c>
      <c r="U251" s="137" t="s">
        <v>193</v>
      </c>
      <c r="X251" s="12">
        <f t="shared" si="3"/>
        <v>0</v>
      </c>
    </row>
    <row r="252" spans="1:24" ht="15" customHeight="1" x14ac:dyDescent="0.25">
      <c r="A252" s="137" t="s">
        <v>532</v>
      </c>
      <c r="B252" s="137" t="s">
        <v>543</v>
      </c>
      <c r="C252" s="137">
        <v>2018</v>
      </c>
      <c r="D252" s="137" t="s">
        <v>53</v>
      </c>
      <c r="E252" s="137" t="s">
        <v>193</v>
      </c>
      <c r="F252" s="137" t="s">
        <v>193</v>
      </c>
      <c r="G252" s="137" t="s">
        <v>193</v>
      </c>
      <c r="H252" s="137" t="s">
        <v>193</v>
      </c>
      <c r="I252" s="137" t="s">
        <v>193</v>
      </c>
      <c r="J252" s="137" t="s">
        <v>53</v>
      </c>
      <c r="K252" s="137" t="s">
        <v>193</v>
      </c>
      <c r="L252" s="137" t="s">
        <v>193</v>
      </c>
      <c r="M252" s="137" t="s">
        <v>193</v>
      </c>
      <c r="N252" s="137" t="s">
        <v>193</v>
      </c>
      <c r="O252" s="137" t="s">
        <v>193</v>
      </c>
      <c r="P252" s="137" t="s">
        <v>53</v>
      </c>
      <c r="Q252" s="137" t="s">
        <v>193</v>
      </c>
      <c r="R252" s="137" t="s">
        <v>193</v>
      </c>
      <c r="S252" s="137" t="s">
        <v>193</v>
      </c>
      <c r="T252" s="137" t="s">
        <v>193</v>
      </c>
      <c r="U252" s="137" t="s">
        <v>193</v>
      </c>
      <c r="X252" s="12">
        <f t="shared" si="3"/>
        <v>0</v>
      </c>
    </row>
    <row r="253" spans="1:24" ht="15" customHeight="1" x14ac:dyDescent="0.25">
      <c r="A253" s="137" t="s">
        <v>532</v>
      </c>
      <c r="B253" s="137" t="s">
        <v>544</v>
      </c>
      <c r="C253" s="137">
        <v>2018</v>
      </c>
      <c r="D253" s="137" t="s">
        <v>53</v>
      </c>
      <c r="E253" s="137" t="s">
        <v>193</v>
      </c>
      <c r="F253" s="137" t="s">
        <v>193</v>
      </c>
      <c r="G253" s="137" t="s">
        <v>193</v>
      </c>
      <c r="H253" s="137" t="s">
        <v>193</v>
      </c>
      <c r="I253" s="137" t="s">
        <v>193</v>
      </c>
      <c r="J253" s="137" t="s">
        <v>53</v>
      </c>
      <c r="K253" s="137" t="s">
        <v>193</v>
      </c>
      <c r="L253" s="137" t="s">
        <v>193</v>
      </c>
      <c r="M253" s="137" t="s">
        <v>193</v>
      </c>
      <c r="N253" s="137" t="s">
        <v>193</v>
      </c>
      <c r="O253" s="137" t="s">
        <v>193</v>
      </c>
      <c r="P253" s="137" t="s">
        <v>53</v>
      </c>
      <c r="Q253" s="137" t="s">
        <v>193</v>
      </c>
      <c r="R253" s="137" t="s">
        <v>193</v>
      </c>
      <c r="S253" s="137" t="s">
        <v>193</v>
      </c>
      <c r="T253" s="137" t="s">
        <v>193</v>
      </c>
      <c r="U253" s="137" t="s">
        <v>193</v>
      </c>
      <c r="X253" s="12">
        <f t="shared" si="3"/>
        <v>0</v>
      </c>
    </row>
    <row r="254" spans="1:24" ht="15" customHeight="1" x14ac:dyDescent="0.25">
      <c r="A254" s="137" t="s">
        <v>532</v>
      </c>
      <c r="B254" s="137" t="s">
        <v>545</v>
      </c>
      <c r="C254" s="137">
        <v>2018</v>
      </c>
      <c r="D254" s="137" t="s">
        <v>53</v>
      </c>
      <c r="E254" s="137" t="s">
        <v>193</v>
      </c>
      <c r="F254" s="137" t="s">
        <v>193</v>
      </c>
      <c r="G254" s="137" t="s">
        <v>193</v>
      </c>
      <c r="H254" s="137" t="s">
        <v>193</v>
      </c>
      <c r="I254" s="137" t="s">
        <v>193</v>
      </c>
      <c r="J254" s="137" t="s">
        <v>53</v>
      </c>
      <c r="K254" s="137" t="s">
        <v>193</v>
      </c>
      <c r="L254" s="137" t="s">
        <v>193</v>
      </c>
      <c r="M254" s="137" t="s">
        <v>193</v>
      </c>
      <c r="N254" s="137" t="s">
        <v>193</v>
      </c>
      <c r="O254" s="137" t="s">
        <v>193</v>
      </c>
      <c r="P254" s="137" t="s">
        <v>53</v>
      </c>
      <c r="Q254" s="137" t="s">
        <v>193</v>
      </c>
      <c r="R254" s="137" t="s">
        <v>193</v>
      </c>
      <c r="S254" s="137" t="s">
        <v>193</v>
      </c>
      <c r="T254" s="137" t="s">
        <v>193</v>
      </c>
      <c r="U254" s="137" t="s">
        <v>193</v>
      </c>
      <c r="X254" s="12">
        <f t="shared" si="3"/>
        <v>0</v>
      </c>
    </row>
    <row r="255" spans="1:24" ht="15" customHeight="1" x14ac:dyDescent="0.25">
      <c r="A255" s="137" t="s">
        <v>532</v>
      </c>
      <c r="B255" s="137" t="s">
        <v>546</v>
      </c>
      <c r="C255" s="137">
        <v>2018</v>
      </c>
      <c r="D255" s="137" t="s">
        <v>53</v>
      </c>
      <c r="E255" s="137" t="s">
        <v>193</v>
      </c>
      <c r="F255" s="137" t="s">
        <v>193</v>
      </c>
      <c r="G255" s="137" t="s">
        <v>193</v>
      </c>
      <c r="H255" s="137" t="s">
        <v>193</v>
      </c>
      <c r="I255" s="137" t="s">
        <v>193</v>
      </c>
      <c r="J255" s="137" t="s">
        <v>53</v>
      </c>
      <c r="K255" s="137" t="s">
        <v>193</v>
      </c>
      <c r="L255" s="137" t="s">
        <v>193</v>
      </c>
      <c r="M255" s="137" t="s">
        <v>193</v>
      </c>
      <c r="N255" s="137" t="s">
        <v>193</v>
      </c>
      <c r="O255" s="137" t="s">
        <v>193</v>
      </c>
      <c r="P255" s="137" t="s">
        <v>53</v>
      </c>
      <c r="Q255" s="137" t="s">
        <v>193</v>
      </c>
      <c r="R255" s="137" t="s">
        <v>193</v>
      </c>
      <c r="S255" s="137" t="s">
        <v>193</v>
      </c>
      <c r="T255" s="137" t="s">
        <v>193</v>
      </c>
      <c r="U255" s="137" t="s">
        <v>193</v>
      </c>
      <c r="X255" s="12">
        <f t="shared" si="3"/>
        <v>0</v>
      </c>
    </row>
    <row r="256" spans="1:24" ht="15" customHeight="1" x14ac:dyDescent="0.25">
      <c r="A256" s="137" t="s">
        <v>532</v>
      </c>
      <c r="B256" s="137" t="s">
        <v>547</v>
      </c>
      <c r="C256" s="137">
        <v>2018</v>
      </c>
      <c r="D256" s="137" t="s">
        <v>53</v>
      </c>
      <c r="E256" s="137" t="s">
        <v>193</v>
      </c>
      <c r="F256" s="137" t="s">
        <v>193</v>
      </c>
      <c r="G256" s="137" t="s">
        <v>193</v>
      </c>
      <c r="H256" s="137" t="s">
        <v>193</v>
      </c>
      <c r="I256" s="137" t="s">
        <v>193</v>
      </c>
      <c r="J256" s="137" t="s">
        <v>53</v>
      </c>
      <c r="K256" s="137" t="s">
        <v>193</v>
      </c>
      <c r="L256" s="137" t="s">
        <v>193</v>
      </c>
      <c r="M256" s="137" t="s">
        <v>193</v>
      </c>
      <c r="N256" s="137" t="s">
        <v>193</v>
      </c>
      <c r="O256" s="137" t="s">
        <v>193</v>
      </c>
      <c r="P256" s="137" t="s">
        <v>53</v>
      </c>
      <c r="Q256" s="137" t="s">
        <v>193</v>
      </c>
      <c r="R256" s="137" t="s">
        <v>193</v>
      </c>
      <c r="S256" s="137" t="s">
        <v>193</v>
      </c>
      <c r="T256" s="137" t="s">
        <v>193</v>
      </c>
      <c r="U256" s="137" t="s">
        <v>193</v>
      </c>
      <c r="X256" s="12">
        <f t="shared" si="3"/>
        <v>0</v>
      </c>
    </row>
    <row r="257" spans="1:24" ht="15" customHeight="1" x14ac:dyDescent="0.25">
      <c r="A257" s="137" t="s">
        <v>532</v>
      </c>
      <c r="B257" s="137" t="s">
        <v>548</v>
      </c>
      <c r="C257" s="137">
        <v>2018</v>
      </c>
      <c r="D257" s="137" t="s">
        <v>53</v>
      </c>
      <c r="E257" s="137" t="s">
        <v>193</v>
      </c>
      <c r="F257" s="137" t="s">
        <v>193</v>
      </c>
      <c r="G257" s="137" t="s">
        <v>193</v>
      </c>
      <c r="H257" s="137" t="s">
        <v>193</v>
      </c>
      <c r="I257" s="137" t="s">
        <v>193</v>
      </c>
      <c r="J257" s="137" t="s">
        <v>53</v>
      </c>
      <c r="K257" s="137" t="s">
        <v>193</v>
      </c>
      <c r="L257" s="137" t="s">
        <v>193</v>
      </c>
      <c r="M257" s="137" t="s">
        <v>193</v>
      </c>
      <c r="N257" s="137" t="s">
        <v>193</v>
      </c>
      <c r="O257" s="137" t="s">
        <v>193</v>
      </c>
      <c r="P257" s="137" t="s">
        <v>53</v>
      </c>
      <c r="Q257" s="137" t="s">
        <v>193</v>
      </c>
      <c r="R257" s="137" t="s">
        <v>193</v>
      </c>
      <c r="S257" s="137" t="s">
        <v>193</v>
      </c>
      <c r="T257" s="137" t="s">
        <v>193</v>
      </c>
      <c r="U257" s="137" t="s">
        <v>193</v>
      </c>
      <c r="X257" s="12">
        <f t="shared" si="3"/>
        <v>0</v>
      </c>
    </row>
    <row r="258" spans="1:24" ht="15" customHeight="1" x14ac:dyDescent="0.25">
      <c r="A258" s="137" t="s">
        <v>532</v>
      </c>
      <c r="B258" s="137" t="s">
        <v>549</v>
      </c>
      <c r="C258" s="137">
        <v>2018</v>
      </c>
      <c r="D258" s="137" t="s">
        <v>53</v>
      </c>
      <c r="E258" s="137" t="s">
        <v>193</v>
      </c>
      <c r="F258" s="137" t="s">
        <v>193</v>
      </c>
      <c r="G258" s="137" t="s">
        <v>193</v>
      </c>
      <c r="H258" s="137" t="s">
        <v>193</v>
      </c>
      <c r="I258" s="137" t="s">
        <v>193</v>
      </c>
      <c r="J258" s="137" t="s">
        <v>53</v>
      </c>
      <c r="K258" s="137" t="s">
        <v>193</v>
      </c>
      <c r="L258" s="137" t="s">
        <v>193</v>
      </c>
      <c r="M258" s="137" t="s">
        <v>193</v>
      </c>
      <c r="N258" s="137" t="s">
        <v>193</v>
      </c>
      <c r="O258" s="137" t="s">
        <v>193</v>
      </c>
      <c r="P258" s="137" t="s">
        <v>53</v>
      </c>
      <c r="Q258" s="137" t="s">
        <v>193</v>
      </c>
      <c r="R258" s="137" t="s">
        <v>193</v>
      </c>
      <c r="S258" s="137" t="s">
        <v>193</v>
      </c>
      <c r="T258" s="137" t="s">
        <v>193</v>
      </c>
      <c r="U258" s="137" t="s">
        <v>193</v>
      </c>
      <c r="X258" s="12">
        <f t="shared" ref="X258:X321" si="4">(IF(E258="Avfall",F258,0)+IF(G258="Avfall",H258,0))/IFERROR(I258/100,0.85)+(IF(K258="Avfall",L258,0)+IF(M258="Avfall",N258,0))/IFERROR(O258/100,0.85)+(IF(Q258="avfall",R258,0)+IF(S258="avfall",T258,0))/IFERROR(U258/100,0.85)</f>
        <v>0</v>
      </c>
    </row>
    <row r="259" spans="1:24" ht="15" customHeight="1" x14ac:dyDescent="0.25">
      <c r="A259" s="137" t="s">
        <v>532</v>
      </c>
      <c r="B259" s="137" t="s">
        <v>550</v>
      </c>
      <c r="C259" s="137">
        <v>2018</v>
      </c>
      <c r="D259" s="137" t="s">
        <v>53</v>
      </c>
      <c r="E259" s="137" t="s">
        <v>193</v>
      </c>
      <c r="F259" s="137" t="s">
        <v>193</v>
      </c>
      <c r="G259" s="137" t="s">
        <v>193</v>
      </c>
      <c r="H259" s="137" t="s">
        <v>193</v>
      </c>
      <c r="I259" s="137" t="s">
        <v>193</v>
      </c>
      <c r="J259" s="137" t="s">
        <v>53</v>
      </c>
      <c r="K259" s="137" t="s">
        <v>193</v>
      </c>
      <c r="L259" s="137" t="s">
        <v>193</v>
      </c>
      <c r="M259" s="137" t="s">
        <v>193</v>
      </c>
      <c r="N259" s="137" t="s">
        <v>193</v>
      </c>
      <c r="O259" s="137" t="s">
        <v>193</v>
      </c>
      <c r="P259" s="137" t="s">
        <v>53</v>
      </c>
      <c r="Q259" s="137" t="s">
        <v>193</v>
      </c>
      <c r="R259" s="137" t="s">
        <v>193</v>
      </c>
      <c r="S259" s="137" t="s">
        <v>193</v>
      </c>
      <c r="T259" s="137" t="s">
        <v>193</v>
      </c>
      <c r="U259" s="137" t="s">
        <v>193</v>
      </c>
      <c r="X259" s="12">
        <f t="shared" si="4"/>
        <v>0</v>
      </c>
    </row>
    <row r="260" spans="1:24" ht="15" customHeight="1" x14ac:dyDescent="0.25">
      <c r="A260" s="137" t="s">
        <v>532</v>
      </c>
      <c r="B260" s="137" t="s">
        <v>551</v>
      </c>
      <c r="C260" s="137">
        <v>2018</v>
      </c>
      <c r="D260" s="137" t="s">
        <v>53</v>
      </c>
      <c r="E260" s="137" t="s">
        <v>193</v>
      </c>
      <c r="F260" s="137" t="s">
        <v>193</v>
      </c>
      <c r="G260" s="137" t="s">
        <v>193</v>
      </c>
      <c r="H260" s="137" t="s">
        <v>193</v>
      </c>
      <c r="I260" s="137" t="s">
        <v>193</v>
      </c>
      <c r="J260" s="137" t="s">
        <v>53</v>
      </c>
      <c r="K260" s="137" t="s">
        <v>193</v>
      </c>
      <c r="L260" s="137" t="s">
        <v>193</v>
      </c>
      <c r="M260" s="137" t="s">
        <v>193</v>
      </c>
      <c r="N260" s="137" t="s">
        <v>193</v>
      </c>
      <c r="O260" s="137" t="s">
        <v>193</v>
      </c>
      <c r="P260" s="137" t="s">
        <v>53</v>
      </c>
      <c r="Q260" s="137" t="s">
        <v>193</v>
      </c>
      <c r="R260" s="137" t="s">
        <v>193</v>
      </c>
      <c r="S260" s="137" t="s">
        <v>193</v>
      </c>
      <c r="T260" s="137" t="s">
        <v>193</v>
      </c>
      <c r="U260" s="137" t="s">
        <v>193</v>
      </c>
      <c r="X260" s="12">
        <f t="shared" si="4"/>
        <v>0</v>
      </c>
    </row>
    <row r="261" spans="1:24" ht="15" customHeight="1" x14ac:dyDescent="0.25">
      <c r="A261" s="137" t="s">
        <v>552</v>
      </c>
      <c r="B261" s="137" t="s">
        <v>553</v>
      </c>
      <c r="C261" s="137">
        <v>2018</v>
      </c>
      <c r="D261" s="137" t="s">
        <v>818</v>
      </c>
      <c r="E261" s="137" t="s">
        <v>193</v>
      </c>
      <c r="F261" s="137" t="s">
        <v>193</v>
      </c>
      <c r="G261" s="137" t="s">
        <v>193</v>
      </c>
      <c r="H261" s="137" t="s">
        <v>193</v>
      </c>
      <c r="I261" s="137" t="s">
        <v>193</v>
      </c>
      <c r="J261" s="137" t="s">
        <v>193</v>
      </c>
      <c r="K261" s="137" t="s">
        <v>193</v>
      </c>
      <c r="L261" s="137" t="s">
        <v>193</v>
      </c>
      <c r="M261" s="137" t="s">
        <v>193</v>
      </c>
      <c r="N261" s="137" t="s">
        <v>193</v>
      </c>
      <c r="O261" s="137" t="s">
        <v>193</v>
      </c>
      <c r="P261" s="137" t="s">
        <v>193</v>
      </c>
      <c r="Q261" s="137" t="s">
        <v>193</v>
      </c>
      <c r="R261" s="137" t="s">
        <v>193</v>
      </c>
      <c r="S261" s="137" t="s">
        <v>193</v>
      </c>
      <c r="T261" s="137" t="s">
        <v>193</v>
      </c>
      <c r="U261" s="137" t="s">
        <v>193</v>
      </c>
      <c r="X261" s="12">
        <f t="shared" si="4"/>
        <v>0</v>
      </c>
    </row>
    <row r="262" spans="1:24" ht="15" customHeight="1" x14ac:dyDescent="0.25">
      <c r="A262" s="137" t="s">
        <v>552</v>
      </c>
      <c r="B262" s="137" t="s">
        <v>554</v>
      </c>
      <c r="C262" s="137">
        <v>2018</v>
      </c>
      <c r="D262" s="137" t="s">
        <v>193</v>
      </c>
      <c r="E262" s="137" t="s">
        <v>193</v>
      </c>
      <c r="F262" s="137" t="s">
        <v>193</v>
      </c>
      <c r="G262" s="137" t="s">
        <v>193</v>
      </c>
      <c r="H262" s="137" t="s">
        <v>193</v>
      </c>
      <c r="I262" s="137" t="s">
        <v>193</v>
      </c>
      <c r="J262" s="137" t="s">
        <v>193</v>
      </c>
      <c r="K262" s="137" t="s">
        <v>193</v>
      </c>
      <c r="L262" s="137" t="s">
        <v>193</v>
      </c>
      <c r="M262" s="137" t="s">
        <v>193</v>
      </c>
      <c r="N262" s="137" t="s">
        <v>193</v>
      </c>
      <c r="O262" s="137" t="s">
        <v>193</v>
      </c>
      <c r="P262" s="137" t="s">
        <v>193</v>
      </c>
      <c r="Q262" s="137" t="s">
        <v>193</v>
      </c>
      <c r="R262" s="137" t="s">
        <v>193</v>
      </c>
      <c r="S262" s="137" t="s">
        <v>193</v>
      </c>
      <c r="T262" s="137" t="s">
        <v>193</v>
      </c>
      <c r="U262" s="137" t="s">
        <v>193</v>
      </c>
      <c r="X262" s="12">
        <f t="shared" si="4"/>
        <v>0</v>
      </c>
    </row>
    <row r="263" spans="1:24" ht="15" customHeight="1" x14ac:dyDescent="0.25">
      <c r="A263" s="137" t="s">
        <v>552</v>
      </c>
      <c r="B263" s="137" t="s">
        <v>555</v>
      </c>
      <c r="C263" s="137">
        <v>2018</v>
      </c>
      <c r="D263" s="137" t="s">
        <v>53</v>
      </c>
      <c r="E263" s="137" t="s">
        <v>193</v>
      </c>
      <c r="F263" s="137" t="s">
        <v>193</v>
      </c>
      <c r="G263" s="137" t="s">
        <v>193</v>
      </c>
      <c r="H263" s="137" t="s">
        <v>193</v>
      </c>
      <c r="I263" s="137" t="s">
        <v>193</v>
      </c>
      <c r="J263" s="137" t="s">
        <v>53</v>
      </c>
      <c r="K263" s="137" t="s">
        <v>193</v>
      </c>
      <c r="L263" s="137" t="s">
        <v>193</v>
      </c>
      <c r="M263" s="137" t="s">
        <v>193</v>
      </c>
      <c r="N263" s="137" t="s">
        <v>193</v>
      </c>
      <c r="O263" s="137" t="s">
        <v>193</v>
      </c>
      <c r="P263" s="137" t="s">
        <v>53</v>
      </c>
      <c r="Q263" s="137" t="s">
        <v>193</v>
      </c>
      <c r="R263" s="137" t="s">
        <v>193</v>
      </c>
      <c r="S263" s="137" t="s">
        <v>193</v>
      </c>
      <c r="T263" s="137" t="s">
        <v>193</v>
      </c>
      <c r="U263" s="137" t="s">
        <v>193</v>
      </c>
      <c r="X263" s="12">
        <f t="shared" si="4"/>
        <v>0</v>
      </c>
    </row>
    <row r="264" spans="1:24" ht="15" customHeight="1" x14ac:dyDescent="0.25">
      <c r="A264" s="137" t="s">
        <v>552</v>
      </c>
      <c r="B264" s="137" t="s">
        <v>556</v>
      </c>
      <c r="C264" s="137">
        <v>2018</v>
      </c>
      <c r="D264" s="137" t="s">
        <v>53</v>
      </c>
      <c r="E264" s="137" t="s">
        <v>193</v>
      </c>
      <c r="F264" s="137" t="s">
        <v>193</v>
      </c>
      <c r="G264" s="137" t="s">
        <v>193</v>
      </c>
      <c r="H264" s="137" t="s">
        <v>193</v>
      </c>
      <c r="I264" s="137" t="s">
        <v>193</v>
      </c>
      <c r="J264" s="137" t="s">
        <v>53</v>
      </c>
      <c r="K264" s="137" t="s">
        <v>193</v>
      </c>
      <c r="L264" s="137" t="s">
        <v>193</v>
      </c>
      <c r="M264" s="137" t="s">
        <v>193</v>
      </c>
      <c r="N264" s="137" t="s">
        <v>193</v>
      </c>
      <c r="O264" s="137" t="s">
        <v>193</v>
      </c>
      <c r="P264" s="137" t="s">
        <v>53</v>
      </c>
      <c r="Q264" s="137" t="s">
        <v>193</v>
      </c>
      <c r="R264" s="137" t="s">
        <v>193</v>
      </c>
      <c r="S264" s="137" t="s">
        <v>193</v>
      </c>
      <c r="T264" s="137" t="s">
        <v>193</v>
      </c>
      <c r="U264" s="137" t="s">
        <v>193</v>
      </c>
      <c r="X264" s="12">
        <f t="shared" si="4"/>
        <v>0</v>
      </c>
    </row>
    <row r="265" spans="1:24" ht="15" customHeight="1" x14ac:dyDescent="0.25">
      <c r="A265" s="137" t="s">
        <v>552</v>
      </c>
      <c r="B265" s="137" t="s">
        <v>557</v>
      </c>
      <c r="C265" s="137">
        <v>2018</v>
      </c>
      <c r="D265" s="137" t="s">
        <v>53</v>
      </c>
      <c r="E265" s="137" t="s">
        <v>193</v>
      </c>
      <c r="F265" s="137" t="s">
        <v>193</v>
      </c>
      <c r="G265" s="137" t="s">
        <v>193</v>
      </c>
      <c r="H265" s="137" t="s">
        <v>193</v>
      </c>
      <c r="I265" s="137" t="s">
        <v>193</v>
      </c>
      <c r="J265" s="137" t="s">
        <v>53</v>
      </c>
      <c r="K265" s="137" t="s">
        <v>193</v>
      </c>
      <c r="L265" s="137" t="s">
        <v>193</v>
      </c>
      <c r="M265" s="137" t="s">
        <v>193</v>
      </c>
      <c r="N265" s="137" t="s">
        <v>193</v>
      </c>
      <c r="O265" s="137" t="s">
        <v>193</v>
      </c>
      <c r="P265" s="137" t="s">
        <v>53</v>
      </c>
      <c r="Q265" s="137" t="s">
        <v>193</v>
      </c>
      <c r="R265" s="137" t="s">
        <v>193</v>
      </c>
      <c r="S265" s="137" t="s">
        <v>193</v>
      </c>
      <c r="T265" s="137" t="s">
        <v>193</v>
      </c>
      <c r="U265" s="137" t="s">
        <v>193</v>
      </c>
      <c r="X265" s="12">
        <f t="shared" si="4"/>
        <v>0</v>
      </c>
    </row>
    <row r="266" spans="1:24" ht="15" customHeight="1" x14ac:dyDescent="0.25">
      <c r="A266" s="137" t="s">
        <v>558</v>
      </c>
      <c r="B266" s="137" t="s">
        <v>559</v>
      </c>
      <c r="C266" s="137">
        <v>2018</v>
      </c>
      <c r="D266" s="137" t="s">
        <v>53</v>
      </c>
      <c r="E266" s="137" t="s">
        <v>193</v>
      </c>
      <c r="F266" s="137" t="s">
        <v>193</v>
      </c>
      <c r="G266" s="137" t="s">
        <v>193</v>
      </c>
      <c r="H266" s="137" t="s">
        <v>193</v>
      </c>
      <c r="I266" s="137" t="s">
        <v>193</v>
      </c>
      <c r="J266" s="137" t="s">
        <v>53</v>
      </c>
      <c r="K266" s="137" t="s">
        <v>193</v>
      </c>
      <c r="L266" s="137" t="s">
        <v>193</v>
      </c>
      <c r="M266" s="137" t="s">
        <v>193</v>
      </c>
      <c r="N266" s="137" t="s">
        <v>193</v>
      </c>
      <c r="O266" s="137" t="s">
        <v>193</v>
      </c>
      <c r="P266" s="137" t="s">
        <v>53</v>
      </c>
      <c r="Q266" s="137" t="s">
        <v>193</v>
      </c>
      <c r="R266" s="137" t="s">
        <v>193</v>
      </c>
      <c r="S266" s="137" t="s">
        <v>193</v>
      </c>
      <c r="T266" s="137" t="s">
        <v>193</v>
      </c>
      <c r="U266" s="137" t="s">
        <v>193</v>
      </c>
      <c r="X266" s="12">
        <f t="shared" si="4"/>
        <v>0</v>
      </c>
    </row>
    <row r="267" spans="1:24" ht="15" customHeight="1" x14ac:dyDescent="0.25">
      <c r="A267" s="137" t="s">
        <v>558</v>
      </c>
      <c r="B267" s="137" t="s">
        <v>560</v>
      </c>
      <c r="C267" s="137">
        <v>2018</v>
      </c>
      <c r="D267" s="137" t="s">
        <v>819</v>
      </c>
      <c r="E267" s="137" t="s">
        <v>769</v>
      </c>
      <c r="F267" s="137">
        <v>4.625</v>
      </c>
      <c r="G267" s="137" t="s">
        <v>193</v>
      </c>
      <c r="H267" s="137" t="s">
        <v>193</v>
      </c>
      <c r="I267" s="137" t="s">
        <v>193</v>
      </c>
      <c r="J267" s="137" t="s">
        <v>53</v>
      </c>
      <c r="K267" s="137" t="s">
        <v>193</v>
      </c>
      <c r="L267" s="137" t="s">
        <v>193</v>
      </c>
      <c r="M267" s="137" t="s">
        <v>193</v>
      </c>
      <c r="N267" s="137" t="s">
        <v>193</v>
      </c>
      <c r="O267" s="137" t="s">
        <v>193</v>
      </c>
      <c r="P267" s="137" t="s">
        <v>53</v>
      </c>
      <c r="Q267" s="137" t="s">
        <v>193</v>
      </c>
      <c r="R267" s="137" t="s">
        <v>193</v>
      </c>
      <c r="S267" s="137" t="s">
        <v>193</v>
      </c>
      <c r="T267" s="137" t="s">
        <v>193</v>
      </c>
      <c r="U267" s="137" t="s">
        <v>193</v>
      </c>
      <c r="X267" s="12">
        <f t="shared" si="4"/>
        <v>0</v>
      </c>
    </row>
    <row r="268" spans="1:24" ht="15" customHeight="1" x14ac:dyDescent="0.25">
      <c r="A268" s="137" t="s">
        <v>561</v>
      </c>
      <c r="B268" s="137" t="s">
        <v>562</v>
      </c>
      <c r="C268" s="137">
        <v>2018</v>
      </c>
      <c r="D268" s="137" t="s">
        <v>53</v>
      </c>
      <c r="E268" s="137" t="s">
        <v>193</v>
      </c>
      <c r="F268" s="137" t="s">
        <v>193</v>
      </c>
      <c r="G268" s="137" t="s">
        <v>193</v>
      </c>
      <c r="H268" s="137" t="s">
        <v>193</v>
      </c>
      <c r="I268" s="137" t="s">
        <v>193</v>
      </c>
      <c r="J268" s="137" t="s">
        <v>53</v>
      </c>
      <c r="K268" s="137" t="s">
        <v>193</v>
      </c>
      <c r="L268" s="137" t="s">
        <v>193</v>
      </c>
      <c r="M268" s="137" t="s">
        <v>193</v>
      </c>
      <c r="N268" s="137" t="s">
        <v>193</v>
      </c>
      <c r="O268" s="137" t="s">
        <v>193</v>
      </c>
      <c r="P268" s="137" t="s">
        <v>53</v>
      </c>
      <c r="Q268" s="137" t="s">
        <v>193</v>
      </c>
      <c r="R268" s="137" t="s">
        <v>193</v>
      </c>
      <c r="S268" s="137" t="s">
        <v>193</v>
      </c>
      <c r="T268" s="137" t="s">
        <v>193</v>
      </c>
      <c r="U268" s="137" t="s">
        <v>193</v>
      </c>
      <c r="X268" s="12">
        <f t="shared" si="4"/>
        <v>0</v>
      </c>
    </row>
    <row r="269" spans="1:24" ht="15" customHeight="1" x14ac:dyDescent="0.25">
      <c r="A269" s="137" t="s">
        <v>563</v>
      </c>
      <c r="B269" s="137" t="s">
        <v>564</v>
      </c>
      <c r="C269" s="137">
        <v>2018</v>
      </c>
      <c r="D269" s="137" t="s">
        <v>53</v>
      </c>
      <c r="E269" s="137" t="s">
        <v>53</v>
      </c>
      <c r="F269" s="137" t="s">
        <v>53</v>
      </c>
      <c r="G269" s="137" t="s">
        <v>53</v>
      </c>
      <c r="H269" s="137" t="s">
        <v>53</v>
      </c>
      <c r="I269" s="137" t="s">
        <v>53</v>
      </c>
      <c r="J269" s="137" t="s">
        <v>53</v>
      </c>
      <c r="K269" s="137" t="s">
        <v>53</v>
      </c>
      <c r="L269" s="137" t="s">
        <v>53</v>
      </c>
      <c r="M269" s="137" t="s">
        <v>53</v>
      </c>
      <c r="N269" s="137" t="s">
        <v>53</v>
      </c>
      <c r="O269" s="137" t="s">
        <v>53</v>
      </c>
      <c r="P269" s="137" t="s">
        <v>53</v>
      </c>
      <c r="Q269" s="137" t="s">
        <v>53</v>
      </c>
      <c r="R269" s="137" t="s">
        <v>53</v>
      </c>
      <c r="S269" s="137" t="s">
        <v>53</v>
      </c>
      <c r="T269" s="137" t="s">
        <v>53</v>
      </c>
      <c r="U269" s="137" t="s">
        <v>53</v>
      </c>
      <c r="X269" s="12">
        <f t="shared" si="4"/>
        <v>0</v>
      </c>
    </row>
    <row r="270" spans="1:24" ht="15" customHeight="1" x14ac:dyDescent="0.25">
      <c r="A270" s="137" t="s">
        <v>565</v>
      </c>
      <c r="B270" s="137" t="s">
        <v>566</v>
      </c>
      <c r="C270" s="137">
        <v>2018</v>
      </c>
      <c r="D270" s="137" t="s">
        <v>193</v>
      </c>
      <c r="E270" s="137" t="s">
        <v>193</v>
      </c>
      <c r="F270" s="137" t="s">
        <v>193</v>
      </c>
      <c r="G270" s="137" t="s">
        <v>193</v>
      </c>
      <c r="H270" s="137" t="s">
        <v>193</v>
      </c>
      <c r="I270" s="137" t="s">
        <v>193</v>
      </c>
      <c r="J270" s="137" t="s">
        <v>193</v>
      </c>
      <c r="K270" s="137" t="s">
        <v>193</v>
      </c>
      <c r="L270" s="137" t="s">
        <v>193</v>
      </c>
      <c r="M270" s="137" t="s">
        <v>193</v>
      </c>
      <c r="N270" s="137" t="s">
        <v>193</v>
      </c>
      <c r="O270" s="137" t="s">
        <v>193</v>
      </c>
      <c r="P270" s="137" t="s">
        <v>193</v>
      </c>
      <c r="Q270" s="137" t="s">
        <v>193</v>
      </c>
      <c r="R270" s="137" t="s">
        <v>193</v>
      </c>
      <c r="S270" s="137" t="s">
        <v>193</v>
      </c>
      <c r="T270" s="137" t="s">
        <v>193</v>
      </c>
      <c r="U270" s="137" t="s">
        <v>193</v>
      </c>
      <c r="X270" s="12">
        <f t="shared" si="4"/>
        <v>0</v>
      </c>
    </row>
    <row r="271" spans="1:24" ht="15" customHeight="1" x14ac:dyDescent="0.25">
      <c r="A271" s="137" t="s">
        <v>565</v>
      </c>
      <c r="B271" s="137" t="s">
        <v>567</v>
      </c>
      <c r="C271" s="137">
        <v>2018</v>
      </c>
      <c r="D271" s="137" t="s">
        <v>193</v>
      </c>
      <c r="E271" s="137" t="s">
        <v>193</v>
      </c>
      <c r="F271" s="137" t="s">
        <v>193</v>
      </c>
      <c r="G271" s="137" t="s">
        <v>193</v>
      </c>
      <c r="H271" s="137" t="s">
        <v>193</v>
      </c>
      <c r="I271" s="137" t="s">
        <v>193</v>
      </c>
      <c r="J271" s="137" t="s">
        <v>193</v>
      </c>
      <c r="K271" s="137" t="s">
        <v>193</v>
      </c>
      <c r="L271" s="137" t="s">
        <v>193</v>
      </c>
      <c r="M271" s="137" t="s">
        <v>193</v>
      </c>
      <c r="N271" s="137" t="s">
        <v>193</v>
      </c>
      <c r="O271" s="137" t="s">
        <v>193</v>
      </c>
      <c r="P271" s="137" t="s">
        <v>193</v>
      </c>
      <c r="Q271" s="137" t="s">
        <v>193</v>
      </c>
      <c r="R271" s="137" t="s">
        <v>193</v>
      </c>
      <c r="S271" s="137" t="s">
        <v>193</v>
      </c>
      <c r="T271" s="137" t="s">
        <v>193</v>
      </c>
      <c r="U271" s="137" t="s">
        <v>193</v>
      </c>
      <c r="X271" s="12">
        <f t="shared" si="4"/>
        <v>0</v>
      </c>
    </row>
    <row r="272" spans="1:24" ht="15" customHeight="1" x14ac:dyDescent="0.25">
      <c r="A272" s="137" t="s">
        <v>565</v>
      </c>
      <c r="B272" s="137" t="s">
        <v>568</v>
      </c>
      <c r="C272" s="137">
        <v>2018</v>
      </c>
      <c r="D272" s="137" t="s">
        <v>193</v>
      </c>
      <c r="E272" s="137" t="s">
        <v>193</v>
      </c>
      <c r="F272" s="137" t="s">
        <v>193</v>
      </c>
      <c r="G272" s="137" t="s">
        <v>193</v>
      </c>
      <c r="H272" s="137" t="s">
        <v>193</v>
      </c>
      <c r="I272" s="137" t="s">
        <v>193</v>
      </c>
      <c r="J272" s="137" t="s">
        <v>193</v>
      </c>
      <c r="K272" s="137" t="s">
        <v>193</v>
      </c>
      <c r="L272" s="137" t="s">
        <v>193</v>
      </c>
      <c r="M272" s="137" t="s">
        <v>193</v>
      </c>
      <c r="N272" s="137" t="s">
        <v>193</v>
      </c>
      <c r="O272" s="137" t="s">
        <v>193</v>
      </c>
      <c r="P272" s="137" t="s">
        <v>193</v>
      </c>
      <c r="Q272" s="137" t="s">
        <v>193</v>
      </c>
      <c r="R272" s="137" t="s">
        <v>193</v>
      </c>
      <c r="S272" s="137" t="s">
        <v>193</v>
      </c>
      <c r="T272" s="137" t="s">
        <v>193</v>
      </c>
      <c r="U272" s="137" t="s">
        <v>193</v>
      </c>
      <c r="X272" s="12">
        <f t="shared" si="4"/>
        <v>0</v>
      </c>
    </row>
    <row r="273" spans="1:24" ht="15" customHeight="1" x14ac:dyDescent="0.25">
      <c r="A273" s="137" t="s">
        <v>565</v>
      </c>
      <c r="B273" s="137" t="s">
        <v>569</v>
      </c>
      <c r="C273" s="137">
        <v>2018</v>
      </c>
      <c r="D273" s="137" t="s">
        <v>193</v>
      </c>
      <c r="E273" s="137" t="s">
        <v>193</v>
      </c>
      <c r="F273" s="137" t="s">
        <v>193</v>
      </c>
      <c r="G273" s="137" t="s">
        <v>193</v>
      </c>
      <c r="H273" s="137" t="s">
        <v>193</v>
      </c>
      <c r="I273" s="137" t="s">
        <v>193</v>
      </c>
      <c r="J273" s="137" t="s">
        <v>193</v>
      </c>
      <c r="K273" s="137" t="s">
        <v>193</v>
      </c>
      <c r="L273" s="137" t="s">
        <v>193</v>
      </c>
      <c r="M273" s="137" t="s">
        <v>193</v>
      </c>
      <c r="N273" s="137" t="s">
        <v>193</v>
      </c>
      <c r="O273" s="137" t="s">
        <v>193</v>
      </c>
      <c r="P273" s="137" t="s">
        <v>193</v>
      </c>
      <c r="Q273" s="137" t="s">
        <v>193</v>
      </c>
      <c r="R273" s="137" t="s">
        <v>193</v>
      </c>
      <c r="S273" s="137" t="s">
        <v>193</v>
      </c>
      <c r="T273" s="137" t="s">
        <v>193</v>
      </c>
      <c r="U273" s="137" t="s">
        <v>193</v>
      </c>
      <c r="X273" s="12">
        <f t="shared" si="4"/>
        <v>0</v>
      </c>
    </row>
    <row r="274" spans="1:24" ht="15" customHeight="1" x14ac:dyDescent="0.25">
      <c r="A274" s="137" t="s">
        <v>570</v>
      </c>
      <c r="B274" s="137" t="s">
        <v>571</v>
      </c>
      <c r="C274" s="137">
        <v>2018</v>
      </c>
      <c r="D274" s="137" t="s">
        <v>53</v>
      </c>
      <c r="E274" s="137" t="s">
        <v>193</v>
      </c>
      <c r="F274" s="137" t="s">
        <v>193</v>
      </c>
      <c r="G274" s="137" t="s">
        <v>193</v>
      </c>
      <c r="H274" s="137" t="s">
        <v>193</v>
      </c>
      <c r="I274" s="137" t="s">
        <v>193</v>
      </c>
      <c r="J274" s="137" t="s">
        <v>53</v>
      </c>
      <c r="K274" s="137" t="s">
        <v>193</v>
      </c>
      <c r="L274" s="137" t="s">
        <v>193</v>
      </c>
      <c r="M274" s="137" t="s">
        <v>193</v>
      </c>
      <c r="N274" s="137" t="s">
        <v>193</v>
      </c>
      <c r="O274" s="137" t="s">
        <v>193</v>
      </c>
      <c r="P274" s="137" t="s">
        <v>53</v>
      </c>
      <c r="Q274" s="137" t="s">
        <v>193</v>
      </c>
      <c r="R274" s="137" t="s">
        <v>193</v>
      </c>
      <c r="S274" s="137" t="s">
        <v>193</v>
      </c>
      <c r="T274" s="137" t="s">
        <v>193</v>
      </c>
      <c r="U274" s="137" t="s">
        <v>193</v>
      </c>
      <c r="X274" s="12">
        <f t="shared" si="4"/>
        <v>0</v>
      </c>
    </row>
    <row r="275" spans="1:24" ht="15" customHeight="1" x14ac:dyDescent="0.25">
      <c r="A275" s="137" t="s">
        <v>570</v>
      </c>
      <c r="B275" s="137" t="s">
        <v>572</v>
      </c>
      <c r="C275" s="137">
        <v>2018</v>
      </c>
      <c r="D275" s="137" t="s">
        <v>193</v>
      </c>
      <c r="E275" s="137" t="s">
        <v>193</v>
      </c>
      <c r="F275" s="137" t="s">
        <v>193</v>
      </c>
      <c r="G275" s="137" t="s">
        <v>193</v>
      </c>
      <c r="H275" s="137" t="s">
        <v>193</v>
      </c>
      <c r="I275" s="137" t="s">
        <v>193</v>
      </c>
      <c r="J275" s="137" t="s">
        <v>193</v>
      </c>
      <c r="K275" s="137" t="s">
        <v>193</v>
      </c>
      <c r="L275" s="137" t="s">
        <v>193</v>
      </c>
      <c r="M275" s="137" t="s">
        <v>193</v>
      </c>
      <c r="N275" s="137" t="s">
        <v>193</v>
      </c>
      <c r="O275" s="137" t="s">
        <v>193</v>
      </c>
      <c r="P275" s="137" t="s">
        <v>193</v>
      </c>
      <c r="Q275" s="137" t="s">
        <v>193</v>
      </c>
      <c r="R275" s="137" t="s">
        <v>193</v>
      </c>
      <c r="S275" s="137" t="s">
        <v>193</v>
      </c>
      <c r="T275" s="137" t="s">
        <v>193</v>
      </c>
      <c r="U275" s="137" t="s">
        <v>193</v>
      </c>
      <c r="X275" s="12">
        <f t="shared" si="4"/>
        <v>0</v>
      </c>
    </row>
    <row r="276" spans="1:24" ht="15" customHeight="1" x14ac:dyDescent="0.25">
      <c r="A276" s="137" t="s">
        <v>573</v>
      </c>
      <c r="B276" s="137" t="s">
        <v>574</v>
      </c>
      <c r="C276" s="137">
        <v>2018</v>
      </c>
      <c r="D276" s="137" t="s">
        <v>53</v>
      </c>
      <c r="E276" s="137" t="s">
        <v>53</v>
      </c>
      <c r="F276" s="137" t="s">
        <v>53</v>
      </c>
      <c r="G276" s="137" t="s">
        <v>53</v>
      </c>
      <c r="H276" s="137" t="s">
        <v>53</v>
      </c>
      <c r="I276" s="137" t="s">
        <v>53</v>
      </c>
      <c r="J276" s="137" t="s">
        <v>53</v>
      </c>
      <c r="K276" s="137" t="s">
        <v>53</v>
      </c>
      <c r="L276" s="137" t="s">
        <v>53</v>
      </c>
      <c r="M276" s="137" t="s">
        <v>53</v>
      </c>
      <c r="N276" s="137" t="s">
        <v>53</v>
      </c>
      <c r="O276" s="137" t="s">
        <v>53</v>
      </c>
      <c r="P276" s="137" t="s">
        <v>53</v>
      </c>
      <c r="Q276" s="137" t="s">
        <v>53</v>
      </c>
      <c r="R276" s="137" t="s">
        <v>53</v>
      </c>
      <c r="S276" s="137" t="s">
        <v>53</v>
      </c>
      <c r="T276" s="137" t="s">
        <v>53</v>
      </c>
      <c r="U276" s="137" t="s">
        <v>53</v>
      </c>
      <c r="X276" s="12">
        <f t="shared" si="4"/>
        <v>0</v>
      </c>
    </row>
    <row r="277" spans="1:24" ht="15" customHeight="1" x14ac:dyDescent="0.25">
      <c r="A277" s="137" t="s">
        <v>573</v>
      </c>
      <c r="B277" s="137" t="s">
        <v>575</v>
      </c>
      <c r="C277" s="137">
        <v>2018</v>
      </c>
      <c r="D277" s="137" t="s">
        <v>53</v>
      </c>
      <c r="E277" s="137" t="s">
        <v>53</v>
      </c>
      <c r="F277" s="137" t="s">
        <v>53</v>
      </c>
      <c r="G277" s="137" t="s">
        <v>53</v>
      </c>
      <c r="H277" s="137" t="s">
        <v>53</v>
      </c>
      <c r="I277" s="137" t="s">
        <v>53</v>
      </c>
      <c r="J277" s="137" t="s">
        <v>53</v>
      </c>
      <c r="K277" s="137" t="s">
        <v>53</v>
      </c>
      <c r="L277" s="137" t="s">
        <v>53</v>
      </c>
      <c r="M277" s="137" t="s">
        <v>53</v>
      </c>
      <c r="N277" s="137" t="s">
        <v>53</v>
      </c>
      <c r="O277" s="137" t="s">
        <v>53</v>
      </c>
      <c r="P277" s="137" t="s">
        <v>53</v>
      </c>
      <c r="Q277" s="137" t="s">
        <v>53</v>
      </c>
      <c r="R277" s="137" t="s">
        <v>53</v>
      </c>
      <c r="S277" s="137" t="s">
        <v>53</v>
      </c>
      <c r="T277" s="137" t="s">
        <v>53</v>
      </c>
      <c r="U277" s="137" t="s">
        <v>53</v>
      </c>
      <c r="X277" s="12">
        <f t="shared" si="4"/>
        <v>0</v>
      </c>
    </row>
    <row r="278" spans="1:24" ht="15" customHeight="1" x14ac:dyDescent="0.25">
      <c r="A278" s="137" t="s">
        <v>573</v>
      </c>
      <c r="B278" s="137" t="s">
        <v>576</v>
      </c>
      <c r="C278" s="137">
        <v>2018</v>
      </c>
      <c r="D278" s="137" t="s">
        <v>53</v>
      </c>
      <c r="E278" s="137" t="s">
        <v>53</v>
      </c>
      <c r="F278" s="137" t="s">
        <v>53</v>
      </c>
      <c r="G278" s="137" t="s">
        <v>53</v>
      </c>
      <c r="H278" s="137" t="s">
        <v>53</v>
      </c>
      <c r="I278" s="137" t="s">
        <v>53</v>
      </c>
      <c r="J278" s="137" t="s">
        <v>53</v>
      </c>
      <c r="K278" s="137" t="s">
        <v>53</v>
      </c>
      <c r="L278" s="137" t="s">
        <v>53</v>
      </c>
      <c r="M278" s="137" t="s">
        <v>53</v>
      </c>
      <c r="N278" s="137" t="s">
        <v>53</v>
      </c>
      <c r="O278" s="137" t="s">
        <v>53</v>
      </c>
      <c r="P278" s="137" t="s">
        <v>53</v>
      </c>
      <c r="Q278" s="137" t="s">
        <v>53</v>
      </c>
      <c r="R278" s="137" t="s">
        <v>53</v>
      </c>
      <c r="S278" s="137" t="s">
        <v>53</v>
      </c>
      <c r="T278" s="137" t="s">
        <v>53</v>
      </c>
      <c r="U278" s="137" t="s">
        <v>53</v>
      </c>
      <c r="X278" s="12">
        <f t="shared" si="4"/>
        <v>0</v>
      </c>
    </row>
    <row r="279" spans="1:24" ht="15" customHeight="1" x14ac:dyDescent="0.25">
      <c r="A279" s="137" t="s">
        <v>573</v>
      </c>
      <c r="B279" s="137" t="s">
        <v>116</v>
      </c>
      <c r="C279" s="137">
        <v>2018</v>
      </c>
      <c r="D279" s="137" t="s">
        <v>53</v>
      </c>
      <c r="E279" s="137" t="s">
        <v>193</v>
      </c>
      <c r="F279" s="137" t="s">
        <v>193</v>
      </c>
      <c r="G279" s="137" t="s">
        <v>193</v>
      </c>
      <c r="H279" s="137" t="s">
        <v>193</v>
      </c>
      <c r="I279" s="137" t="s">
        <v>193</v>
      </c>
      <c r="J279" s="137" t="s">
        <v>53</v>
      </c>
      <c r="K279" s="137" t="s">
        <v>193</v>
      </c>
      <c r="L279" s="137" t="s">
        <v>193</v>
      </c>
      <c r="M279" s="137" t="s">
        <v>193</v>
      </c>
      <c r="N279" s="137" t="s">
        <v>193</v>
      </c>
      <c r="O279" s="137" t="s">
        <v>193</v>
      </c>
      <c r="P279" s="137" t="s">
        <v>53</v>
      </c>
      <c r="Q279" s="137" t="s">
        <v>193</v>
      </c>
      <c r="R279" s="137" t="s">
        <v>193</v>
      </c>
      <c r="S279" s="137" t="s">
        <v>193</v>
      </c>
      <c r="T279" s="137" t="s">
        <v>193</v>
      </c>
      <c r="U279" s="137" t="s">
        <v>193</v>
      </c>
      <c r="X279" s="12">
        <f t="shared" si="4"/>
        <v>0</v>
      </c>
    </row>
    <row r="280" spans="1:24" ht="15" customHeight="1" x14ac:dyDescent="0.25">
      <c r="A280" s="137" t="s">
        <v>573</v>
      </c>
      <c r="B280" s="137" t="s">
        <v>577</v>
      </c>
      <c r="C280" s="137">
        <v>2018</v>
      </c>
      <c r="D280" s="137" t="s">
        <v>53</v>
      </c>
      <c r="E280" s="137" t="s">
        <v>53</v>
      </c>
      <c r="F280" s="137" t="s">
        <v>53</v>
      </c>
      <c r="G280" s="137" t="s">
        <v>53</v>
      </c>
      <c r="H280" s="137" t="s">
        <v>53</v>
      </c>
      <c r="I280" s="137" t="s">
        <v>53</v>
      </c>
      <c r="J280" s="137" t="s">
        <v>53</v>
      </c>
      <c r="K280" s="137" t="s">
        <v>53</v>
      </c>
      <c r="L280" s="137" t="s">
        <v>53</v>
      </c>
      <c r="M280" s="137" t="s">
        <v>53</v>
      </c>
      <c r="N280" s="137" t="s">
        <v>53</v>
      </c>
      <c r="O280" s="137" t="s">
        <v>53</v>
      </c>
      <c r="P280" s="137" t="s">
        <v>53</v>
      </c>
      <c r="Q280" s="137" t="s">
        <v>53</v>
      </c>
      <c r="R280" s="137" t="s">
        <v>53</v>
      </c>
      <c r="S280" s="137" t="s">
        <v>53</v>
      </c>
      <c r="T280" s="137" t="s">
        <v>53</v>
      </c>
      <c r="U280" s="137" t="s">
        <v>53</v>
      </c>
      <c r="X280" s="12">
        <f t="shared" si="4"/>
        <v>0</v>
      </c>
    </row>
    <row r="281" spans="1:24" ht="15" customHeight="1" x14ac:dyDescent="0.25">
      <c r="A281" s="137" t="s">
        <v>573</v>
      </c>
      <c r="B281" s="137" t="s">
        <v>578</v>
      </c>
      <c r="C281" s="137">
        <v>2018</v>
      </c>
      <c r="D281" s="137" t="s">
        <v>53</v>
      </c>
      <c r="E281" s="137" t="s">
        <v>53</v>
      </c>
      <c r="F281" s="137" t="s">
        <v>53</v>
      </c>
      <c r="G281" s="137" t="s">
        <v>53</v>
      </c>
      <c r="H281" s="137" t="s">
        <v>53</v>
      </c>
      <c r="I281" s="137" t="s">
        <v>53</v>
      </c>
      <c r="J281" s="137" t="s">
        <v>53</v>
      </c>
      <c r="K281" s="137" t="s">
        <v>53</v>
      </c>
      <c r="L281" s="137" t="s">
        <v>53</v>
      </c>
      <c r="M281" s="137" t="s">
        <v>53</v>
      </c>
      <c r="N281" s="137" t="s">
        <v>53</v>
      </c>
      <c r="O281" s="137" t="s">
        <v>53</v>
      </c>
      <c r="P281" s="137" t="s">
        <v>53</v>
      </c>
      <c r="Q281" s="137" t="s">
        <v>53</v>
      </c>
      <c r="R281" s="137" t="s">
        <v>53</v>
      </c>
      <c r="S281" s="137" t="s">
        <v>53</v>
      </c>
      <c r="T281" s="137" t="s">
        <v>53</v>
      </c>
      <c r="U281" s="137" t="s">
        <v>53</v>
      </c>
      <c r="X281" s="12">
        <f t="shared" si="4"/>
        <v>0</v>
      </c>
    </row>
    <row r="282" spans="1:24" ht="15" customHeight="1" x14ac:dyDescent="0.25">
      <c r="A282" s="137" t="s">
        <v>573</v>
      </c>
      <c r="B282" s="137" t="s">
        <v>579</v>
      </c>
      <c r="C282" s="137">
        <v>2018</v>
      </c>
      <c r="D282" s="137" t="s">
        <v>53</v>
      </c>
      <c r="E282" s="137" t="s">
        <v>53</v>
      </c>
      <c r="F282" s="137" t="s">
        <v>53</v>
      </c>
      <c r="G282" s="137" t="s">
        <v>53</v>
      </c>
      <c r="H282" s="137" t="s">
        <v>53</v>
      </c>
      <c r="I282" s="137" t="s">
        <v>53</v>
      </c>
      <c r="J282" s="137" t="s">
        <v>53</v>
      </c>
      <c r="K282" s="137" t="s">
        <v>53</v>
      </c>
      <c r="L282" s="137" t="s">
        <v>53</v>
      </c>
      <c r="M282" s="137" t="s">
        <v>53</v>
      </c>
      <c r="N282" s="137" t="s">
        <v>53</v>
      </c>
      <c r="O282" s="137" t="s">
        <v>53</v>
      </c>
      <c r="P282" s="137" t="s">
        <v>53</v>
      </c>
      <c r="Q282" s="137" t="s">
        <v>53</v>
      </c>
      <c r="R282" s="137" t="s">
        <v>53</v>
      </c>
      <c r="S282" s="137" t="s">
        <v>53</v>
      </c>
      <c r="T282" s="137" t="s">
        <v>53</v>
      </c>
      <c r="U282" s="137" t="s">
        <v>53</v>
      </c>
      <c r="X282" s="12">
        <f t="shared" si="4"/>
        <v>0</v>
      </c>
    </row>
    <row r="283" spans="1:24" ht="15" customHeight="1" x14ac:dyDescent="0.25">
      <c r="A283" s="137" t="s">
        <v>573</v>
      </c>
      <c r="B283" s="137" t="s">
        <v>580</v>
      </c>
      <c r="C283" s="137">
        <v>2018</v>
      </c>
      <c r="D283" s="137" t="s">
        <v>53</v>
      </c>
      <c r="E283" s="137" t="s">
        <v>53</v>
      </c>
      <c r="F283" s="137" t="s">
        <v>53</v>
      </c>
      <c r="G283" s="137" t="s">
        <v>53</v>
      </c>
      <c r="H283" s="137" t="s">
        <v>53</v>
      </c>
      <c r="I283" s="137" t="s">
        <v>53</v>
      </c>
      <c r="J283" s="137" t="s">
        <v>53</v>
      </c>
      <c r="K283" s="137" t="s">
        <v>53</v>
      </c>
      <c r="L283" s="137" t="s">
        <v>53</v>
      </c>
      <c r="M283" s="137" t="s">
        <v>53</v>
      </c>
      <c r="N283" s="137" t="s">
        <v>53</v>
      </c>
      <c r="O283" s="137" t="s">
        <v>53</v>
      </c>
      <c r="P283" s="137" t="s">
        <v>53</v>
      </c>
      <c r="Q283" s="137" t="s">
        <v>53</v>
      </c>
      <c r="R283" s="137" t="s">
        <v>53</v>
      </c>
      <c r="S283" s="137" t="s">
        <v>53</v>
      </c>
      <c r="T283" s="137" t="s">
        <v>53</v>
      </c>
      <c r="U283" s="137" t="s">
        <v>53</v>
      </c>
      <c r="X283" s="12">
        <f t="shared" si="4"/>
        <v>0</v>
      </c>
    </row>
    <row r="284" spans="1:24" ht="15" customHeight="1" x14ac:dyDescent="0.25">
      <c r="A284" s="137" t="s">
        <v>573</v>
      </c>
      <c r="B284" s="137" t="s">
        <v>581</v>
      </c>
      <c r="C284" s="137">
        <v>2018</v>
      </c>
      <c r="D284" s="137" t="s">
        <v>53</v>
      </c>
      <c r="E284" s="137" t="s">
        <v>53</v>
      </c>
      <c r="F284" s="137" t="s">
        <v>53</v>
      </c>
      <c r="G284" s="137" t="s">
        <v>53</v>
      </c>
      <c r="H284" s="137" t="s">
        <v>53</v>
      </c>
      <c r="I284" s="137" t="s">
        <v>53</v>
      </c>
      <c r="J284" s="137" t="s">
        <v>53</v>
      </c>
      <c r="K284" s="137" t="s">
        <v>53</v>
      </c>
      <c r="L284" s="137" t="s">
        <v>53</v>
      </c>
      <c r="M284" s="137" t="s">
        <v>53</v>
      </c>
      <c r="N284" s="137" t="s">
        <v>53</v>
      </c>
      <c r="O284" s="137" t="s">
        <v>53</v>
      </c>
      <c r="P284" s="137" t="s">
        <v>53</v>
      </c>
      <c r="Q284" s="137" t="s">
        <v>53</v>
      </c>
      <c r="R284" s="137" t="s">
        <v>53</v>
      </c>
      <c r="S284" s="137" t="s">
        <v>53</v>
      </c>
      <c r="T284" s="137" t="s">
        <v>53</v>
      </c>
      <c r="U284" s="137" t="s">
        <v>53</v>
      </c>
      <c r="X284" s="12">
        <f t="shared" si="4"/>
        <v>0</v>
      </c>
    </row>
    <row r="285" spans="1:24" ht="15" customHeight="1" x14ac:dyDescent="0.25">
      <c r="A285" s="137" t="s">
        <v>573</v>
      </c>
      <c r="B285" s="137" t="s">
        <v>582</v>
      </c>
      <c r="C285" s="137">
        <v>2018</v>
      </c>
      <c r="D285" s="137" t="s">
        <v>53</v>
      </c>
      <c r="E285" s="137" t="s">
        <v>53</v>
      </c>
      <c r="F285" s="137" t="s">
        <v>53</v>
      </c>
      <c r="G285" s="137" t="s">
        <v>53</v>
      </c>
      <c r="H285" s="137" t="s">
        <v>53</v>
      </c>
      <c r="I285" s="137" t="s">
        <v>53</v>
      </c>
      <c r="J285" s="137" t="s">
        <v>53</v>
      </c>
      <c r="K285" s="137" t="s">
        <v>53</v>
      </c>
      <c r="L285" s="137" t="s">
        <v>53</v>
      </c>
      <c r="M285" s="137" t="s">
        <v>53</v>
      </c>
      <c r="N285" s="137" t="s">
        <v>53</v>
      </c>
      <c r="O285" s="137" t="s">
        <v>53</v>
      </c>
      <c r="P285" s="137" t="s">
        <v>53</v>
      </c>
      <c r="Q285" s="137" t="s">
        <v>53</v>
      </c>
      <c r="R285" s="137" t="s">
        <v>53</v>
      </c>
      <c r="S285" s="137" t="s">
        <v>53</v>
      </c>
      <c r="T285" s="137" t="s">
        <v>53</v>
      </c>
      <c r="U285" s="137" t="s">
        <v>53</v>
      </c>
      <c r="X285" s="12">
        <f t="shared" si="4"/>
        <v>0</v>
      </c>
    </row>
    <row r="286" spans="1:24" ht="15" customHeight="1" x14ac:dyDescent="0.25">
      <c r="A286" s="137" t="s">
        <v>573</v>
      </c>
      <c r="B286" s="137" t="s">
        <v>583</v>
      </c>
      <c r="C286" s="137">
        <v>2018</v>
      </c>
      <c r="D286" s="137" t="s">
        <v>53</v>
      </c>
      <c r="E286" s="137" t="s">
        <v>193</v>
      </c>
      <c r="F286" s="137" t="s">
        <v>193</v>
      </c>
      <c r="G286" s="137" t="s">
        <v>193</v>
      </c>
      <c r="H286" s="137" t="s">
        <v>193</v>
      </c>
      <c r="I286" s="137" t="s">
        <v>193</v>
      </c>
      <c r="J286" s="137" t="s">
        <v>53</v>
      </c>
      <c r="K286" s="137" t="s">
        <v>193</v>
      </c>
      <c r="L286" s="137" t="s">
        <v>193</v>
      </c>
      <c r="M286" s="137" t="s">
        <v>193</v>
      </c>
      <c r="N286" s="137" t="s">
        <v>193</v>
      </c>
      <c r="O286" s="137" t="s">
        <v>193</v>
      </c>
      <c r="P286" s="137" t="s">
        <v>53</v>
      </c>
      <c r="Q286" s="137" t="s">
        <v>193</v>
      </c>
      <c r="R286" s="137" t="s">
        <v>193</v>
      </c>
      <c r="S286" s="137" t="s">
        <v>193</v>
      </c>
      <c r="T286" s="137" t="s">
        <v>193</v>
      </c>
      <c r="U286" s="137" t="s">
        <v>193</v>
      </c>
      <c r="X286" s="12">
        <f t="shared" si="4"/>
        <v>0</v>
      </c>
    </row>
    <row r="287" spans="1:24" ht="15" customHeight="1" x14ac:dyDescent="0.25">
      <c r="A287" s="137" t="s">
        <v>573</v>
      </c>
      <c r="B287" s="137" t="s">
        <v>584</v>
      </c>
      <c r="C287" s="137">
        <v>2018</v>
      </c>
      <c r="D287" s="137" t="s">
        <v>53</v>
      </c>
      <c r="E287" s="137" t="s">
        <v>53</v>
      </c>
      <c r="F287" s="137" t="s">
        <v>53</v>
      </c>
      <c r="G287" s="137" t="s">
        <v>53</v>
      </c>
      <c r="H287" s="137" t="s">
        <v>53</v>
      </c>
      <c r="I287" s="137" t="s">
        <v>53</v>
      </c>
      <c r="J287" s="137" t="s">
        <v>53</v>
      </c>
      <c r="K287" s="137" t="s">
        <v>53</v>
      </c>
      <c r="L287" s="137" t="s">
        <v>53</v>
      </c>
      <c r="M287" s="137" t="s">
        <v>53</v>
      </c>
      <c r="N287" s="137" t="s">
        <v>53</v>
      </c>
      <c r="O287" s="137" t="s">
        <v>53</v>
      </c>
      <c r="P287" s="137" t="s">
        <v>53</v>
      </c>
      <c r="Q287" s="137" t="s">
        <v>53</v>
      </c>
      <c r="R287" s="137" t="s">
        <v>53</v>
      </c>
      <c r="S287" s="137" t="s">
        <v>53</v>
      </c>
      <c r="T287" s="137" t="s">
        <v>53</v>
      </c>
      <c r="U287" s="137" t="s">
        <v>53</v>
      </c>
      <c r="X287" s="12">
        <f t="shared" si="4"/>
        <v>0</v>
      </c>
    </row>
    <row r="288" spans="1:24" ht="15" customHeight="1" x14ac:dyDescent="0.25">
      <c r="A288" s="137" t="s">
        <v>585</v>
      </c>
      <c r="B288" s="137" t="s">
        <v>586</v>
      </c>
      <c r="C288" s="137">
        <v>2018</v>
      </c>
      <c r="D288" s="137" t="s">
        <v>53</v>
      </c>
      <c r="E288" s="137" t="s">
        <v>193</v>
      </c>
      <c r="F288" s="137" t="s">
        <v>193</v>
      </c>
      <c r="G288" s="137" t="s">
        <v>193</v>
      </c>
      <c r="H288" s="137" t="s">
        <v>193</v>
      </c>
      <c r="I288" s="137" t="s">
        <v>193</v>
      </c>
      <c r="J288" s="137" t="s">
        <v>53</v>
      </c>
      <c r="K288" s="137" t="s">
        <v>193</v>
      </c>
      <c r="L288" s="137" t="s">
        <v>193</v>
      </c>
      <c r="M288" s="137" t="s">
        <v>193</v>
      </c>
      <c r="N288" s="137" t="s">
        <v>193</v>
      </c>
      <c r="O288" s="137" t="s">
        <v>193</v>
      </c>
      <c r="P288" s="137" t="s">
        <v>53</v>
      </c>
      <c r="Q288" s="137" t="s">
        <v>193</v>
      </c>
      <c r="R288" s="137" t="s">
        <v>193</v>
      </c>
      <c r="S288" s="137" t="s">
        <v>193</v>
      </c>
      <c r="T288" s="137" t="s">
        <v>193</v>
      </c>
      <c r="U288" s="137" t="s">
        <v>193</v>
      </c>
      <c r="X288" s="12">
        <f t="shared" si="4"/>
        <v>0</v>
      </c>
    </row>
    <row r="289" spans="1:24" ht="15" customHeight="1" x14ac:dyDescent="0.25">
      <c r="A289" s="137" t="s">
        <v>585</v>
      </c>
      <c r="B289" s="137" t="s">
        <v>587</v>
      </c>
      <c r="C289" s="137">
        <v>2018</v>
      </c>
      <c r="D289" s="137" t="s">
        <v>53</v>
      </c>
      <c r="E289" s="137" t="s">
        <v>193</v>
      </c>
      <c r="F289" s="137" t="s">
        <v>193</v>
      </c>
      <c r="G289" s="137" t="s">
        <v>193</v>
      </c>
      <c r="H289" s="137" t="s">
        <v>193</v>
      </c>
      <c r="I289" s="137" t="s">
        <v>193</v>
      </c>
      <c r="J289" s="137" t="s">
        <v>53</v>
      </c>
      <c r="K289" s="137" t="s">
        <v>193</v>
      </c>
      <c r="L289" s="137" t="s">
        <v>193</v>
      </c>
      <c r="M289" s="137" t="s">
        <v>193</v>
      </c>
      <c r="N289" s="137" t="s">
        <v>193</v>
      </c>
      <c r="O289" s="137" t="s">
        <v>193</v>
      </c>
      <c r="P289" s="137" t="s">
        <v>53</v>
      </c>
      <c r="Q289" s="137" t="s">
        <v>193</v>
      </c>
      <c r="R289" s="137" t="s">
        <v>193</v>
      </c>
      <c r="S289" s="137" t="s">
        <v>193</v>
      </c>
      <c r="T289" s="137" t="s">
        <v>193</v>
      </c>
      <c r="U289" s="137" t="s">
        <v>193</v>
      </c>
      <c r="X289" s="12">
        <f t="shared" si="4"/>
        <v>0</v>
      </c>
    </row>
    <row r="290" spans="1:24" ht="15" customHeight="1" x14ac:dyDescent="0.25">
      <c r="A290" s="137" t="s">
        <v>585</v>
      </c>
      <c r="B290" s="137" t="s">
        <v>588</v>
      </c>
      <c r="C290" s="137">
        <v>2018</v>
      </c>
      <c r="D290" s="137" t="s">
        <v>820</v>
      </c>
      <c r="E290" s="137" t="s">
        <v>786</v>
      </c>
      <c r="F290" s="137">
        <v>110.057</v>
      </c>
      <c r="G290" s="137" t="s">
        <v>193</v>
      </c>
      <c r="H290" s="137" t="s">
        <v>193</v>
      </c>
      <c r="I290" s="137">
        <v>85</v>
      </c>
      <c r="J290" s="137" t="s">
        <v>821</v>
      </c>
      <c r="K290" s="137" t="s">
        <v>786</v>
      </c>
      <c r="L290" s="137">
        <v>33.396999999999998</v>
      </c>
      <c r="M290" s="137" t="s">
        <v>193</v>
      </c>
      <c r="N290" s="137" t="s">
        <v>193</v>
      </c>
      <c r="O290" s="137">
        <v>85</v>
      </c>
      <c r="P290" s="137" t="s">
        <v>53</v>
      </c>
      <c r="Q290" s="137" t="s">
        <v>193</v>
      </c>
      <c r="R290" s="137" t="s">
        <v>193</v>
      </c>
      <c r="S290" s="137" t="s">
        <v>193</v>
      </c>
      <c r="T290" s="137" t="s">
        <v>193</v>
      </c>
      <c r="U290" s="137" t="s">
        <v>193</v>
      </c>
      <c r="X290" s="12">
        <f t="shared" si="4"/>
        <v>0</v>
      </c>
    </row>
    <row r="291" spans="1:24" ht="15" customHeight="1" x14ac:dyDescent="0.25">
      <c r="A291" s="137" t="s">
        <v>585</v>
      </c>
      <c r="B291" s="137" t="s">
        <v>589</v>
      </c>
      <c r="C291" s="137">
        <v>2018</v>
      </c>
      <c r="D291" s="137" t="s">
        <v>53</v>
      </c>
      <c r="E291" s="137" t="s">
        <v>193</v>
      </c>
      <c r="F291" s="137" t="s">
        <v>193</v>
      </c>
      <c r="G291" s="137" t="s">
        <v>193</v>
      </c>
      <c r="H291" s="137" t="s">
        <v>193</v>
      </c>
      <c r="I291" s="137" t="s">
        <v>193</v>
      </c>
      <c r="J291" s="137" t="s">
        <v>53</v>
      </c>
      <c r="K291" s="137" t="s">
        <v>193</v>
      </c>
      <c r="L291" s="137" t="s">
        <v>193</v>
      </c>
      <c r="M291" s="137" t="s">
        <v>193</v>
      </c>
      <c r="N291" s="137" t="s">
        <v>193</v>
      </c>
      <c r="O291" s="137" t="s">
        <v>193</v>
      </c>
      <c r="P291" s="137" t="s">
        <v>53</v>
      </c>
      <c r="Q291" s="137" t="s">
        <v>193</v>
      </c>
      <c r="R291" s="137" t="s">
        <v>193</v>
      </c>
      <c r="S291" s="137" t="s">
        <v>193</v>
      </c>
      <c r="T291" s="137" t="s">
        <v>193</v>
      </c>
      <c r="U291" s="137" t="s">
        <v>193</v>
      </c>
      <c r="X291" s="12">
        <f t="shared" si="4"/>
        <v>0</v>
      </c>
    </row>
    <row r="292" spans="1:24" ht="15" customHeight="1" x14ac:dyDescent="0.25">
      <c r="A292" s="137" t="s">
        <v>585</v>
      </c>
      <c r="B292" s="137" t="s">
        <v>590</v>
      </c>
      <c r="C292" s="137">
        <v>2018</v>
      </c>
      <c r="D292" s="137" t="s">
        <v>53</v>
      </c>
      <c r="E292" s="137" t="s">
        <v>193</v>
      </c>
      <c r="F292" s="137" t="s">
        <v>193</v>
      </c>
      <c r="G292" s="137" t="s">
        <v>193</v>
      </c>
      <c r="H292" s="137" t="s">
        <v>193</v>
      </c>
      <c r="I292" s="137" t="s">
        <v>193</v>
      </c>
      <c r="J292" s="137" t="s">
        <v>53</v>
      </c>
      <c r="K292" s="137" t="s">
        <v>193</v>
      </c>
      <c r="L292" s="137" t="s">
        <v>193</v>
      </c>
      <c r="M292" s="137" t="s">
        <v>193</v>
      </c>
      <c r="N292" s="137" t="s">
        <v>193</v>
      </c>
      <c r="O292" s="137" t="s">
        <v>193</v>
      </c>
      <c r="P292" s="137" t="s">
        <v>53</v>
      </c>
      <c r="Q292" s="137" t="s">
        <v>193</v>
      </c>
      <c r="R292" s="137" t="s">
        <v>193</v>
      </c>
      <c r="S292" s="137" t="s">
        <v>193</v>
      </c>
      <c r="T292" s="137" t="s">
        <v>193</v>
      </c>
      <c r="U292" s="137" t="s">
        <v>193</v>
      </c>
      <c r="X292" s="12">
        <f t="shared" si="4"/>
        <v>0</v>
      </c>
    </row>
    <row r="293" spans="1:24" ht="15" customHeight="1" x14ac:dyDescent="0.25">
      <c r="A293" s="137" t="s">
        <v>49</v>
      </c>
      <c r="B293" s="141" t="s">
        <v>50</v>
      </c>
      <c r="C293" s="137">
        <v>2018</v>
      </c>
      <c r="D293" s="137" t="s">
        <v>53</v>
      </c>
      <c r="E293" s="137" t="s">
        <v>53</v>
      </c>
      <c r="F293" s="137" t="s">
        <v>53</v>
      </c>
      <c r="G293" s="137" t="s">
        <v>53</v>
      </c>
      <c r="H293" s="137" t="s">
        <v>53</v>
      </c>
      <c r="I293" s="137" t="s">
        <v>53</v>
      </c>
      <c r="J293" s="137" t="s">
        <v>53</v>
      </c>
      <c r="K293" s="137" t="s">
        <v>53</v>
      </c>
      <c r="L293" s="137" t="s">
        <v>53</v>
      </c>
      <c r="M293" s="137" t="s">
        <v>53</v>
      </c>
      <c r="N293" s="137" t="s">
        <v>53</v>
      </c>
      <c r="O293" s="137" t="s">
        <v>53</v>
      </c>
      <c r="P293" s="137" t="s">
        <v>53</v>
      </c>
      <c r="Q293" s="137" t="s">
        <v>53</v>
      </c>
      <c r="R293" s="137" t="s">
        <v>53</v>
      </c>
      <c r="S293" s="137" t="s">
        <v>53</v>
      </c>
      <c r="T293" s="137" t="s">
        <v>53</v>
      </c>
      <c r="U293" s="137" t="s">
        <v>53</v>
      </c>
      <c r="X293" s="12">
        <f t="shared" si="4"/>
        <v>0</v>
      </c>
    </row>
    <row r="294" spans="1:24" ht="15" customHeight="1" x14ac:dyDescent="0.25">
      <c r="A294" s="137" t="s">
        <v>591</v>
      </c>
      <c r="B294" s="137" t="s">
        <v>592</v>
      </c>
      <c r="C294" s="137">
        <v>2018</v>
      </c>
      <c r="D294" s="137" t="s">
        <v>811</v>
      </c>
      <c r="E294" s="137" t="s">
        <v>769</v>
      </c>
      <c r="F294" s="137">
        <v>9.8279999999999994</v>
      </c>
      <c r="G294" s="137" t="s">
        <v>193</v>
      </c>
      <c r="H294" s="137" t="s">
        <v>193</v>
      </c>
      <c r="I294" s="137" t="s">
        <v>193</v>
      </c>
      <c r="J294" s="137" t="s">
        <v>53</v>
      </c>
      <c r="K294" s="137" t="s">
        <v>193</v>
      </c>
      <c r="L294" s="137" t="s">
        <v>193</v>
      </c>
      <c r="M294" s="137" t="s">
        <v>193</v>
      </c>
      <c r="N294" s="137" t="s">
        <v>193</v>
      </c>
      <c r="O294" s="137" t="s">
        <v>193</v>
      </c>
      <c r="P294" s="137" t="s">
        <v>53</v>
      </c>
      <c r="Q294" s="137" t="s">
        <v>193</v>
      </c>
      <c r="R294" s="137" t="s">
        <v>193</v>
      </c>
      <c r="S294" s="137" t="s">
        <v>193</v>
      </c>
      <c r="T294" s="137" t="s">
        <v>193</v>
      </c>
      <c r="U294" s="137" t="s">
        <v>193</v>
      </c>
      <c r="X294" s="12">
        <f t="shared" si="4"/>
        <v>0</v>
      </c>
    </row>
    <row r="295" spans="1:24" ht="15" customHeight="1" x14ac:dyDescent="0.25">
      <c r="A295" s="137" t="s">
        <v>591</v>
      </c>
      <c r="B295" s="137" t="s">
        <v>594</v>
      </c>
      <c r="C295" s="137">
        <v>2018</v>
      </c>
      <c r="D295" s="137" t="s">
        <v>53</v>
      </c>
      <c r="E295" s="137" t="s">
        <v>193</v>
      </c>
      <c r="F295" s="137" t="s">
        <v>193</v>
      </c>
      <c r="G295" s="137" t="s">
        <v>193</v>
      </c>
      <c r="H295" s="137" t="s">
        <v>193</v>
      </c>
      <c r="I295" s="137" t="s">
        <v>193</v>
      </c>
      <c r="J295" s="137" t="s">
        <v>53</v>
      </c>
      <c r="K295" s="137" t="s">
        <v>193</v>
      </c>
      <c r="L295" s="137" t="s">
        <v>193</v>
      </c>
      <c r="M295" s="137" t="s">
        <v>193</v>
      </c>
      <c r="N295" s="137" t="s">
        <v>193</v>
      </c>
      <c r="O295" s="137" t="s">
        <v>193</v>
      </c>
      <c r="P295" s="137" t="s">
        <v>53</v>
      </c>
      <c r="Q295" s="137" t="s">
        <v>193</v>
      </c>
      <c r="R295" s="137" t="s">
        <v>193</v>
      </c>
      <c r="S295" s="137" t="s">
        <v>193</v>
      </c>
      <c r="T295" s="137" t="s">
        <v>193</v>
      </c>
      <c r="U295" s="137" t="s">
        <v>193</v>
      </c>
      <c r="X295" s="12">
        <f t="shared" si="4"/>
        <v>0</v>
      </c>
    </row>
    <row r="296" spans="1:24" ht="15" customHeight="1" x14ac:dyDescent="0.25">
      <c r="A296" s="137" t="s">
        <v>591</v>
      </c>
      <c r="B296" s="137" t="s">
        <v>595</v>
      </c>
      <c r="C296" s="137">
        <v>2018</v>
      </c>
      <c r="D296" s="137" t="s">
        <v>53</v>
      </c>
      <c r="E296" s="137" t="s">
        <v>193</v>
      </c>
      <c r="F296" s="137" t="s">
        <v>193</v>
      </c>
      <c r="G296" s="137" t="s">
        <v>193</v>
      </c>
      <c r="H296" s="137" t="s">
        <v>193</v>
      </c>
      <c r="I296" s="137" t="s">
        <v>193</v>
      </c>
      <c r="J296" s="137" t="s">
        <v>53</v>
      </c>
      <c r="K296" s="137" t="s">
        <v>193</v>
      </c>
      <c r="L296" s="137" t="s">
        <v>193</v>
      </c>
      <c r="M296" s="137" t="s">
        <v>193</v>
      </c>
      <c r="N296" s="137" t="s">
        <v>193</v>
      </c>
      <c r="O296" s="137" t="s">
        <v>193</v>
      </c>
      <c r="P296" s="137" t="s">
        <v>53</v>
      </c>
      <c r="Q296" s="137" t="s">
        <v>193</v>
      </c>
      <c r="R296" s="137" t="s">
        <v>193</v>
      </c>
      <c r="S296" s="137" t="s">
        <v>193</v>
      </c>
      <c r="T296" s="137" t="s">
        <v>193</v>
      </c>
      <c r="U296" s="137" t="s">
        <v>193</v>
      </c>
      <c r="X296" s="12">
        <f t="shared" si="4"/>
        <v>0</v>
      </c>
    </row>
    <row r="297" spans="1:24" ht="15" customHeight="1" x14ac:dyDescent="0.25">
      <c r="A297" s="137" t="s">
        <v>591</v>
      </c>
      <c r="B297" s="137" t="s">
        <v>597</v>
      </c>
      <c r="C297" s="137">
        <v>2018</v>
      </c>
      <c r="D297" s="137" t="s">
        <v>53</v>
      </c>
      <c r="E297" s="137" t="s">
        <v>193</v>
      </c>
      <c r="F297" s="137" t="s">
        <v>193</v>
      </c>
      <c r="G297" s="137" t="s">
        <v>193</v>
      </c>
      <c r="H297" s="137" t="s">
        <v>193</v>
      </c>
      <c r="I297" s="137" t="s">
        <v>193</v>
      </c>
      <c r="J297" s="137" t="s">
        <v>53</v>
      </c>
      <c r="K297" s="137" t="s">
        <v>193</v>
      </c>
      <c r="L297" s="137" t="s">
        <v>193</v>
      </c>
      <c r="M297" s="137" t="s">
        <v>193</v>
      </c>
      <c r="N297" s="137" t="s">
        <v>193</v>
      </c>
      <c r="O297" s="137" t="s">
        <v>193</v>
      </c>
      <c r="P297" s="137" t="s">
        <v>53</v>
      </c>
      <c r="Q297" s="137" t="s">
        <v>193</v>
      </c>
      <c r="R297" s="137" t="s">
        <v>193</v>
      </c>
      <c r="S297" s="137" t="s">
        <v>193</v>
      </c>
      <c r="T297" s="137" t="s">
        <v>193</v>
      </c>
      <c r="U297" s="137" t="s">
        <v>193</v>
      </c>
      <c r="X297" s="12">
        <f t="shared" si="4"/>
        <v>0</v>
      </c>
    </row>
    <row r="298" spans="1:24" ht="15" customHeight="1" x14ac:dyDescent="0.25">
      <c r="A298" s="137" t="s">
        <v>598</v>
      </c>
      <c r="B298" s="137" t="s">
        <v>599</v>
      </c>
      <c r="C298" s="137">
        <v>2018</v>
      </c>
      <c r="D298" s="137" t="s">
        <v>53</v>
      </c>
      <c r="E298" s="137" t="s">
        <v>193</v>
      </c>
      <c r="F298" s="137" t="s">
        <v>193</v>
      </c>
      <c r="G298" s="137" t="s">
        <v>193</v>
      </c>
      <c r="H298" s="137" t="s">
        <v>193</v>
      </c>
      <c r="I298" s="137" t="s">
        <v>193</v>
      </c>
      <c r="J298" s="137" t="s">
        <v>53</v>
      </c>
      <c r="K298" s="137" t="s">
        <v>193</v>
      </c>
      <c r="L298" s="137" t="s">
        <v>193</v>
      </c>
      <c r="M298" s="137" t="s">
        <v>193</v>
      </c>
      <c r="N298" s="137" t="s">
        <v>193</v>
      </c>
      <c r="O298" s="137" t="s">
        <v>193</v>
      </c>
      <c r="P298" s="137" t="s">
        <v>53</v>
      </c>
      <c r="Q298" s="137" t="s">
        <v>193</v>
      </c>
      <c r="R298" s="137" t="s">
        <v>193</v>
      </c>
      <c r="S298" s="137" t="s">
        <v>193</v>
      </c>
      <c r="T298" s="137" t="s">
        <v>193</v>
      </c>
      <c r="U298" s="137" t="s">
        <v>193</v>
      </c>
      <c r="X298" s="12">
        <f t="shared" si="4"/>
        <v>0</v>
      </c>
    </row>
    <row r="299" spans="1:24" ht="15" customHeight="1" x14ac:dyDescent="0.25">
      <c r="A299" s="137" t="s">
        <v>600</v>
      </c>
      <c r="B299" s="137" t="s">
        <v>132</v>
      </c>
      <c r="C299" s="137">
        <v>2018</v>
      </c>
      <c r="D299" s="137" t="s">
        <v>53</v>
      </c>
      <c r="E299" s="137" t="s">
        <v>53</v>
      </c>
      <c r="F299" s="137" t="s">
        <v>53</v>
      </c>
      <c r="G299" s="137" t="s">
        <v>53</v>
      </c>
      <c r="H299" s="137" t="s">
        <v>53</v>
      </c>
      <c r="I299" s="137" t="s">
        <v>53</v>
      </c>
      <c r="J299" s="137" t="s">
        <v>53</v>
      </c>
      <c r="K299" s="137" t="s">
        <v>53</v>
      </c>
      <c r="L299" s="137" t="s">
        <v>53</v>
      </c>
      <c r="M299" s="137" t="s">
        <v>53</v>
      </c>
      <c r="N299" s="137" t="s">
        <v>53</v>
      </c>
      <c r="O299" s="137" t="s">
        <v>53</v>
      </c>
      <c r="P299" s="137" t="s">
        <v>53</v>
      </c>
      <c r="Q299" s="137" t="s">
        <v>53</v>
      </c>
      <c r="R299" s="137" t="s">
        <v>53</v>
      </c>
      <c r="S299" s="137" t="s">
        <v>53</v>
      </c>
      <c r="T299" s="137" t="s">
        <v>53</v>
      </c>
      <c r="U299" s="137" t="s">
        <v>53</v>
      </c>
      <c r="X299" s="12">
        <f t="shared" si="4"/>
        <v>0</v>
      </c>
    </row>
    <row r="300" spans="1:24" ht="15" customHeight="1" x14ac:dyDescent="0.25">
      <c r="A300" s="137" t="s">
        <v>601</v>
      </c>
      <c r="B300" s="137" t="s">
        <v>602</v>
      </c>
      <c r="C300" s="137">
        <v>2018</v>
      </c>
      <c r="D300" s="137" t="s">
        <v>53</v>
      </c>
      <c r="E300" s="137" t="s">
        <v>193</v>
      </c>
      <c r="F300" s="137" t="s">
        <v>193</v>
      </c>
      <c r="G300" s="137" t="s">
        <v>193</v>
      </c>
      <c r="H300" s="137" t="s">
        <v>193</v>
      </c>
      <c r="I300" s="137" t="s">
        <v>193</v>
      </c>
      <c r="J300" s="137" t="s">
        <v>53</v>
      </c>
      <c r="K300" s="137" t="s">
        <v>193</v>
      </c>
      <c r="L300" s="137" t="s">
        <v>193</v>
      </c>
      <c r="M300" s="137" t="s">
        <v>193</v>
      </c>
      <c r="N300" s="137" t="s">
        <v>193</v>
      </c>
      <c r="O300" s="137" t="s">
        <v>193</v>
      </c>
      <c r="P300" s="137" t="s">
        <v>53</v>
      </c>
      <c r="Q300" s="137" t="s">
        <v>193</v>
      </c>
      <c r="R300" s="137" t="s">
        <v>193</v>
      </c>
      <c r="S300" s="137" t="s">
        <v>193</v>
      </c>
      <c r="T300" s="137" t="s">
        <v>193</v>
      </c>
      <c r="U300" s="137" t="s">
        <v>193</v>
      </c>
      <c r="X300" s="12">
        <f t="shared" si="4"/>
        <v>0</v>
      </c>
    </row>
    <row r="301" spans="1:24" ht="15" customHeight="1" x14ac:dyDescent="0.25">
      <c r="A301" s="137" t="s">
        <v>601</v>
      </c>
      <c r="B301" s="137" t="s">
        <v>603</v>
      </c>
      <c r="C301" s="137">
        <v>2018</v>
      </c>
      <c r="D301" s="137" t="s">
        <v>53</v>
      </c>
      <c r="E301" s="137" t="s">
        <v>193</v>
      </c>
      <c r="F301" s="137" t="s">
        <v>193</v>
      </c>
      <c r="G301" s="137" t="s">
        <v>193</v>
      </c>
      <c r="H301" s="137" t="s">
        <v>193</v>
      </c>
      <c r="I301" s="137" t="s">
        <v>193</v>
      </c>
      <c r="J301" s="137" t="s">
        <v>53</v>
      </c>
      <c r="K301" s="137" t="s">
        <v>193</v>
      </c>
      <c r="L301" s="137" t="s">
        <v>193</v>
      </c>
      <c r="M301" s="137" t="s">
        <v>193</v>
      </c>
      <c r="N301" s="137" t="s">
        <v>193</v>
      </c>
      <c r="O301" s="137" t="s">
        <v>193</v>
      </c>
      <c r="P301" s="137" t="s">
        <v>53</v>
      </c>
      <c r="Q301" s="137" t="s">
        <v>193</v>
      </c>
      <c r="R301" s="137" t="s">
        <v>193</v>
      </c>
      <c r="S301" s="137" t="s">
        <v>193</v>
      </c>
      <c r="T301" s="137" t="s">
        <v>193</v>
      </c>
      <c r="U301" s="137" t="s">
        <v>193</v>
      </c>
      <c r="X301" s="12">
        <f t="shared" si="4"/>
        <v>0</v>
      </c>
    </row>
    <row r="302" spans="1:24" ht="15" customHeight="1" x14ac:dyDescent="0.25">
      <c r="A302" s="137" t="s">
        <v>601</v>
      </c>
      <c r="B302" s="137" t="s">
        <v>604</v>
      </c>
      <c r="C302" s="137">
        <v>2018</v>
      </c>
      <c r="D302" s="137" t="s">
        <v>822</v>
      </c>
      <c r="E302" s="137" t="s">
        <v>769</v>
      </c>
      <c r="F302" s="137">
        <v>21.1</v>
      </c>
      <c r="G302" s="137" t="s">
        <v>193</v>
      </c>
      <c r="H302" s="137" t="s">
        <v>193</v>
      </c>
      <c r="I302" s="137" t="s">
        <v>193</v>
      </c>
      <c r="J302" s="137" t="s">
        <v>53</v>
      </c>
      <c r="K302" s="137" t="s">
        <v>193</v>
      </c>
      <c r="L302" s="137" t="s">
        <v>193</v>
      </c>
      <c r="M302" s="137" t="s">
        <v>193</v>
      </c>
      <c r="N302" s="137" t="s">
        <v>193</v>
      </c>
      <c r="O302" s="137" t="s">
        <v>193</v>
      </c>
      <c r="P302" s="137" t="s">
        <v>53</v>
      </c>
      <c r="Q302" s="137" t="s">
        <v>193</v>
      </c>
      <c r="R302" s="137" t="s">
        <v>193</v>
      </c>
      <c r="S302" s="137" t="s">
        <v>193</v>
      </c>
      <c r="T302" s="137" t="s">
        <v>193</v>
      </c>
      <c r="U302" s="137" t="s">
        <v>193</v>
      </c>
      <c r="X302" s="12">
        <f t="shared" si="4"/>
        <v>0</v>
      </c>
    </row>
    <row r="303" spans="1:24" ht="15" customHeight="1" x14ac:dyDescent="0.25">
      <c r="A303" s="137" t="s">
        <v>601</v>
      </c>
      <c r="B303" s="137" t="s">
        <v>605</v>
      </c>
      <c r="C303" s="137">
        <v>2018</v>
      </c>
      <c r="D303" s="137" t="s">
        <v>53</v>
      </c>
      <c r="E303" s="137" t="s">
        <v>193</v>
      </c>
      <c r="F303" s="137" t="s">
        <v>193</v>
      </c>
      <c r="G303" s="137" t="s">
        <v>193</v>
      </c>
      <c r="H303" s="137" t="s">
        <v>193</v>
      </c>
      <c r="I303" s="137" t="s">
        <v>193</v>
      </c>
      <c r="J303" s="137" t="s">
        <v>53</v>
      </c>
      <c r="K303" s="137" t="s">
        <v>193</v>
      </c>
      <c r="L303" s="137" t="s">
        <v>193</v>
      </c>
      <c r="M303" s="137" t="s">
        <v>193</v>
      </c>
      <c r="N303" s="137" t="s">
        <v>193</v>
      </c>
      <c r="O303" s="137" t="s">
        <v>193</v>
      </c>
      <c r="P303" s="137" t="s">
        <v>53</v>
      </c>
      <c r="Q303" s="137" t="s">
        <v>193</v>
      </c>
      <c r="R303" s="137" t="s">
        <v>193</v>
      </c>
      <c r="S303" s="137" t="s">
        <v>193</v>
      </c>
      <c r="T303" s="137" t="s">
        <v>193</v>
      </c>
      <c r="U303" s="137" t="s">
        <v>193</v>
      </c>
      <c r="X303" s="12">
        <f t="shared" si="4"/>
        <v>0</v>
      </c>
    </row>
    <row r="304" spans="1:24" ht="15" customHeight="1" x14ac:dyDescent="0.25">
      <c r="A304" s="137" t="s">
        <v>601</v>
      </c>
      <c r="B304" s="137" t="s">
        <v>606</v>
      </c>
      <c r="C304" s="137">
        <v>2018</v>
      </c>
      <c r="D304" s="137" t="s">
        <v>823</v>
      </c>
      <c r="E304" s="137" t="s">
        <v>769</v>
      </c>
      <c r="F304" s="137">
        <v>8.6999999999999993</v>
      </c>
      <c r="G304" s="137" t="s">
        <v>783</v>
      </c>
      <c r="H304" s="137">
        <v>2.9</v>
      </c>
      <c r="I304" s="137">
        <v>85</v>
      </c>
      <c r="J304" s="137" t="s">
        <v>53</v>
      </c>
      <c r="K304" s="137" t="s">
        <v>193</v>
      </c>
      <c r="L304" s="137" t="s">
        <v>193</v>
      </c>
      <c r="M304" s="137" t="s">
        <v>193</v>
      </c>
      <c r="N304" s="137" t="s">
        <v>193</v>
      </c>
      <c r="O304" s="137" t="s">
        <v>193</v>
      </c>
      <c r="P304" s="137" t="s">
        <v>53</v>
      </c>
      <c r="Q304" s="137" t="s">
        <v>193</v>
      </c>
      <c r="R304" s="137" t="s">
        <v>193</v>
      </c>
      <c r="S304" s="137" t="s">
        <v>193</v>
      </c>
      <c r="T304" s="137" t="s">
        <v>193</v>
      </c>
      <c r="U304" s="137" t="s">
        <v>193</v>
      </c>
      <c r="X304" s="12">
        <f t="shared" si="4"/>
        <v>0</v>
      </c>
    </row>
    <row r="305" spans="1:24" ht="15" customHeight="1" x14ac:dyDescent="0.25">
      <c r="A305" s="137" t="s">
        <v>601</v>
      </c>
      <c r="B305" s="137" t="s">
        <v>607</v>
      </c>
      <c r="C305" s="137">
        <v>2018</v>
      </c>
      <c r="D305" s="137" t="s">
        <v>824</v>
      </c>
      <c r="E305" s="137" t="s">
        <v>769</v>
      </c>
      <c r="F305" s="137">
        <v>4.6500000000000004</v>
      </c>
      <c r="G305" s="137" t="s">
        <v>193</v>
      </c>
      <c r="H305" s="137" t="s">
        <v>193</v>
      </c>
      <c r="I305" s="137">
        <v>85</v>
      </c>
      <c r="J305" s="137" t="s">
        <v>53</v>
      </c>
      <c r="K305" s="137" t="s">
        <v>193</v>
      </c>
      <c r="L305" s="137" t="s">
        <v>193</v>
      </c>
      <c r="M305" s="137" t="s">
        <v>193</v>
      </c>
      <c r="N305" s="137" t="s">
        <v>193</v>
      </c>
      <c r="O305" s="137" t="s">
        <v>193</v>
      </c>
      <c r="P305" s="137" t="s">
        <v>53</v>
      </c>
      <c r="Q305" s="137" t="s">
        <v>193</v>
      </c>
      <c r="R305" s="137" t="s">
        <v>193</v>
      </c>
      <c r="S305" s="137" t="s">
        <v>193</v>
      </c>
      <c r="T305" s="137" t="s">
        <v>193</v>
      </c>
      <c r="U305" s="137" t="s">
        <v>193</v>
      </c>
      <c r="X305" s="12">
        <f t="shared" si="4"/>
        <v>0</v>
      </c>
    </row>
    <row r="306" spans="1:24" ht="15" customHeight="1" x14ac:dyDescent="0.25">
      <c r="A306" s="137" t="s">
        <v>608</v>
      </c>
      <c r="B306" s="137" t="s">
        <v>609</v>
      </c>
      <c r="C306" s="137">
        <v>2018</v>
      </c>
      <c r="D306" s="137" t="s">
        <v>53</v>
      </c>
      <c r="E306" s="137" t="s">
        <v>193</v>
      </c>
      <c r="F306" s="137" t="s">
        <v>193</v>
      </c>
      <c r="G306" s="137" t="s">
        <v>193</v>
      </c>
      <c r="H306" s="137" t="s">
        <v>193</v>
      </c>
      <c r="I306" s="137" t="s">
        <v>193</v>
      </c>
      <c r="J306" s="137" t="s">
        <v>53</v>
      </c>
      <c r="K306" s="137" t="s">
        <v>193</v>
      </c>
      <c r="L306" s="137" t="s">
        <v>193</v>
      </c>
      <c r="M306" s="137" t="s">
        <v>193</v>
      </c>
      <c r="N306" s="137" t="s">
        <v>193</v>
      </c>
      <c r="O306" s="137" t="s">
        <v>193</v>
      </c>
      <c r="P306" s="137" t="s">
        <v>53</v>
      </c>
      <c r="Q306" s="137" t="s">
        <v>193</v>
      </c>
      <c r="R306" s="137" t="s">
        <v>193</v>
      </c>
      <c r="S306" s="137" t="s">
        <v>193</v>
      </c>
      <c r="T306" s="137" t="s">
        <v>193</v>
      </c>
      <c r="U306" s="137" t="s">
        <v>193</v>
      </c>
      <c r="X306" s="12">
        <f t="shared" si="4"/>
        <v>0</v>
      </c>
    </row>
    <row r="307" spans="1:24" ht="15" customHeight="1" x14ac:dyDescent="0.25">
      <c r="A307" s="137" t="s">
        <v>608</v>
      </c>
      <c r="B307" s="137" t="s">
        <v>610</v>
      </c>
      <c r="C307" s="137">
        <v>2018</v>
      </c>
      <c r="D307" s="137" t="s">
        <v>53</v>
      </c>
      <c r="E307" s="137" t="s">
        <v>193</v>
      </c>
      <c r="F307" s="137" t="s">
        <v>193</v>
      </c>
      <c r="G307" s="137" t="s">
        <v>193</v>
      </c>
      <c r="H307" s="137" t="s">
        <v>193</v>
      </c>
      <c r="I307" s="137" t="s">
        <v>193</v>
      </c>
      <c r="J307" s="137" t="s">
        <v>53</v>
      </c>
      <c r="K307" s="137" t="s">
        <v>193</v>
      </c>
      <c r="L307" s="137" t="s">
        <v>193</v>
      </c>
      <c r="M307" s="137" t="s">
        <v>193</v>
      </c>
      <c r="N307" s="137" t="s">
        <v>193</v>
      </c>
      <c r="O307" s="137" t="s">
        <v>193</v>
      </c>
      <c r="P307" s="137" t="s">
        <v>53</v>
      </c>
      <c r="Q307" s="137" t="s">
        <v>193</v>
      </c>
      <c r="R307" s="137" t="s">
        <v>193</v>
      </c>
      <c r="S307" s="137" t="s">
        <v>193</v>
      </c>
      <c r="T307" s="137" t="s">
        <v>193</v>
      </c>
      <c r="U307" s="137" t="s">
        <v>193</v>
      </c>
      <c r="X307" s="12">
        <f t="shared" si="4"/>
        <v>0</v>
      </c>
    </row>
    <row r="308" spans="1:24" ht="15" customHeight="1" x14ac:dyDescent="0.25">
      <c r="A308" s="137" t="s">
        <v>611</v>
      </c>
      <c r="B308" s="137" t="s">
        <v>612</v>
      </c>
      <c r="C308" s="137">
        <v>2018</v>
      </c>
      <c r="D308" s="137" t="s">
        <v>53</v>
      </c>
      <c r="E308" s="137" t="s">
        <v>193</v>
      </c>
      <c r="F308" s="137" t="s">
        <v>193</v>
      </c>
      <c r="G308" s="137" t="s">
        <v>193</v>
      </c>
      <c r="H308" s="137" t="s">
        <v>193</v>
      </c>
      <c r="I308" s="137" t="s">
        <v>193</v>
      </c>
      <c r="J308" s="137" t="s">
        <v>53</v>
      </c>
      <c r="K308" s="137" t="s">
        <v>193</v>
      </c>
      <c r="L308" s="137" t="s">
        <v>193</v>
      </c>
      <c r="M308" s="137" t="s">
        <v>193</v>
      </c>
      <c r="N308" s="137" t="s">
        <v>193</v>
      </c>
      <c r="O308" s="137" t="s">
        <v>193</v>
      </c>
      <c r="P308" s="137" t="s">
        <v>53</v>
      </c>
      <c r="Q308" s="137" t="s">
        <v>193</v>
      </c>
      <c r="R308" s="137" t="s">
        <v>193</v>
      </c>
      <c r="S308" s="137" t="s">
        <v>193</v>
      </c>
      <c r="T308" s="137" t="s">
        <v>193</v>
      </c>
      <c r="U308" s="137" t="s">
        <v>193</v>
      </c>
      <c r="X308" s="12">
        <f t="shared" si="4"/>
        <v>0</v>
      </c>
    </row>
    <row r="309" spans="1:24" ht="15" customHeight="1" x14ac:dyDescent="0.25">
      <c r="A309" s="137" t="s">
        <v>613</v>
      </c>
      <c r="B309" s="137" t="s">
        <v>614</v>
      </c>
      <c r="C309" s="137">
        <v>2018</v>
      </c>
      <c r="D309" s="137" t="s">
        <v>53</v>
      </c>
      <c r="E309" s="137" t="s">
        <v>193</v>
      </c>
      <c r="F309" s="137" t="s">
        <v>193</v>
      </c>
      <c r="G309" s="137" t="s">
        <v>193</v>
      </c>
      <c r="H309" s="137" t="s">
        <v>193</v>
      </c>
      <c r="I309" s="137" t="s">
        <v>193</v>
      </c>
      <c r="J309" s="137" t="s">
        <v>53</v>
      </c>
      <c r="K309" s="137" t="s">
        <v>193</v>
      </c>
      <c r="L309" s="137" t="s">
        <v>193</v>
      </c>
      <c r="M309" s="137" t="s">
        <v>193</v>
      </c>
      <c r="N309" s="137" t="s">
        <v>193</v>
      </c>
      <c r="O309" s="137" t="s">
        <v>193</v>
      </c>
      <c r="P309" s="137" t="s">
        <v>53</v>
      </c>
      <c r="Q309" s="137" t="s">
        <v>193</v>
      </c>
      <c r="R309" s="137" t="s">
        <v>193</v>
      </c>
      <c r="S309" s="137" t="s">
        <v>193</v>
      </c>
      <c r="T309" s="137" t="s">
        <v>193</v>
      </c>
      <c r="U309" s="137" t="s">
        <v>193</v>
      </c>
      <c r="X309" s="12">
        <f t="shared" si="4"/>
        <v>0</v>
      </c>
    </row>
    <row r="310" spans="1:24" ht="15" customHeight="1" x14ac:dyDescent="0.25">
      <c r="A310" s="137" t="s">
        <v>613</v>
      </c>
      <c r="B310" s="137" t="s">
        <v>615</v>
      </c>
      <c r="C310" s="137">
        <v>2018</v>
      </c>
      <c r="D310" s="137" t="s">
        <v>53</v>
      </c>
      <c r="E310" s="137" t="s">
        <v>193</v>
      </c>
      <c r="F310" s="137" t="s">
        <v>193</v>
      </c>
      <c r="G310" s="137" t="s">
        <v>193</v>
      </c>
      <c r="H310" s="137" t="s">
        <v>193</v>
      </c>
      <c r="I310" s="137" t="s">
        <v>193</v>
      </c>
      <c r="J310" s="137" t="s">
        <v>53</v>
      </c>
      <c r="K310" s="137" t="s">
        <v>193</v>
      </c>
      <c r="L310" s="137" t="s">
        <v>193</v>
      </c>
      <c r="M310" s="137" t="s">
        <v>193</v>
      </c>
      <c r="N310" s="137" t="s">
        <v>193</v>
      </c>
      <c r="O310" s="137" t="s">
        <v>193</v>
      </c>
      <c r="P310" s="137" t="s">
        <v>53</v>
      </c>
      <c r="Q310" s="137" t="s">
        <v>193</v>
      </c>
      <c r="R310" s="137" t="s">
        <v>193</v>
      </c>
      <c r="S310" s="137" t="s">
        <v>193</v>
      </c>
      <c r="T310" s="137" t="s">
        <v>193</v>
      </c>
      <c r="U310" s="137" t="s">
        <v>193</v>
      </c>
      <c r="X310" s="12">
        <f t="shared" si="4"/>
        <v>0</v>
      </c>
    </row>
    <row r="311" spans="1:24" ht="15" customHeight="1" x14ac:dyDescent="0.25">
      <c r="A311" s="137" t="s">
        <v>616</v>
      </c>
      <c r="B311" s="137" t="s">
        <v>616</v>
      </c>
      <c r="C311" s="137">
        <v>2018</v>
      </c>
      <c r="D311" s="137" t="s">
        <v>53</v>
      </c>
      <c r="E311" s="137" t="s">
        <v>193</v>
      </c>
      <c r="F311" s="137" t="s">
        <v>193</v>
      </c>
      <c r="G311" s="137" t="s">
        <v>193</v>
      </c>
      <c r="H311" s="137" t="s">
        <v>193</v>
      </c>
      <c r="I311" s="137" t="s">
        <v>193</v>
      </c>
      <c r="J311" s="137" t="s">
        <v>53</v>
      </c>
      <c r="K311" s="137" t="s">
        <v>193</v>
      </c>
      <c r="L311" s="137" t="s">
        <v>193</v>
      </c>
      <c r="M311" s="137" t="s">
        <v>193</v>
      </c>
      <c r="N311" s="137" t="s">
        <v>193</v>
      </c>
      <c r="O311" s="137" t="s">
        <v>193</v>
      </c>
      <c r="P311" s="137" t="s">
        <v>53</v>
      </c>
      <c r="Q311" s="137" t="s">
        <v>193</v>
      </c>
      <c r="R311" s="137" t="s">
        <v>193</v>
      </c>
      <c r="S311" s="137" t="s">
        <v>193</v>
      </c>
      <c r="T311" s="137" t="s">
        <v>193</v>
      </c>
      <c r="U311" s="137" t="s">
        <v>193</v>
      </c>
      <c r="X311" s="12">
        <f t="shared" si="4"/>
        <v>0</v>
      </c>
    </row>
    <row r="312" spans="1:24" ht="15" customHeight="1" x14ac:dyDescent="0.25">
      <c r="A312" s="137" t="s">
        <v>617</v>
      </c>
      <c r="B312" s="137" t="s">
        <v>135</v>
      </c>
      <c r="C312" s="137">
        <v>2018</v>
      </c>
      <c r="D312" s="137" t="s">
        <v>825</v>
      </c>
      <c r="E312" s="137" t="s">
        <v>769</v>
      </c>
      <c r="F312" s="137">
        <v>15.4</v>
      </c>
      <c r="G312" s="137" t="s">
        <v>193</v>
      </c>
      <c r="H312" s="137" t="s">
        <v>193</v>
      </c>
      <c r="I312" s="137">
        <v>90</v>
      </c>
      <c r="J312" s="137" t="s">
        <v>53</v>
      </c>
      <c r="K312" s="137" t="s">
        <v>193</v>
      </c>
      <c r="L312" s="137" t="s">
        <v>193</v>
      </c>
      <c r="M312" s="137" t="s">
        <v>193</v>
      </c>
      <c r="N312" s="137" t="s">
        <v>193</v>
      </c>
      <c r="O312" s="137" t="s">
        <v>193</v>
      </c>
      <c r="P312" s="137" t="s">
        <v>53</v>
      </c>
      <c r="Q312" s="137" t="s">
        <v>193</v>
      </c>
      <c r="R312" s="137" t="s">
        <v>193</v>
      </c>
      <c r="S312" s="137" t="s">
        <v>193</v>
      </c>
      <c r="T312" s="137" t="s">
        <v>193</v>
      </c>
      <c r="U312" s="137" t="s">
        <v>193</v>
      </c>
      <c r="X312" s="12">
        <f t="shared" si="4"/>
        <v>0</v>
      </c>
    </row>
    <row r="313" spans="1:24" ht="15" customHeight="1" x14ac:dyDescent="0.25">
      <c r="A313" s="137" t="s">
        <v>618</v>
      </c>
      <c r="B313" s="137" t="s">
        <v>619</v>
      </c>
      <c r="C313" s="137">
        <v>2018</v>
      </c>
      <c r="D313" s="137" t="s">
        <v>219</v>
      </c>
      <c r="E313" s="137" t="s">
        <v>193</v>
      </c>
      <c r="F313" s="137" t="s">
        <v>193</v>
      </c>
      <c r="G313" s="137" t="s">
        <v>193</v>
      </c>
      <c r="H313" s="137" t="s">
        <v>193</v>
      </c>
      <c r="I313" s="137" t="s">
        <v>193</v>
      </c>
      <c r="J313" s="137" t="s">
        <v>219</v>
      </c>
      <c r="K313" s="137" t="s">
        <v>193</v>
      </c>
      <c r="L313" s="137" t="s">
        <v>193</v>
      </c>
      <c r="M313" s="137" t="s">
        <v>193</v>
      </c>
      <c r="N313" s="137" t="s">
        <v>193</v>
      </c>
      <c r="O313" s="137" t="s">
        <v>193</v>
      </c>
      <c r="P313" s="137" t="s">
        <v>219</v>
      </c>
      <c r="Q313" s="137" t="s">
        <v>193</v>
      </c>
      <c r="R313" s="137" t="s">
        <v>193</v>
      </c>
      <c r="S313" s="137" t="s">
        <v>193</v>
      </c>
      <c r="T313" s="137" t="s">
        <v>193</v>
      </c>
      <c r="U313" s="137" t="s">
        <v>193</v>
      </c>
      <c r="X313" s="12">
        <f t="shared" si="4"/>
        <v>0</v>
      </c>
    </row>
    <row r="314" spans="1:24" ht="15" customHeight="1" x14ac:dyDescent="0.25">
      <c r="A314" s="137" t="s">
        <v>621</v>
      </c>
      <c r="B314" s="137" t="s">
        <v>622</v>
      </c>
      <c r="C314" s="137">
        <v>2018</v>
      </c>
      <c r="D314" s="137" t="s">
        <v>53</v>
      </c>
      <c r="E314" s="137" t="s">
        <v>53</v>
      </c>
      <c r="F314" s="137" t="s">
        <v>193</v>
      </c>
      <c r="G314" s="137" t="s">
        <v>53</v>
      </c>
      <c r="H314" s="137" t="s">
        <v>193</v>
      </c>
      <c r="I314" s="137" t="s">
        <v>193</v>
      </c>
      <c r="J314" s="137" t="s">
        <v>53</v>
      </c>
      <c r="K314" s="137" t="s">
        <v>53</v>
      </c>
      <c r="L314" s="137" t="s">
        <v>193</v>
      </c>
      <c r="M314" s="137" t="s">
        <v>53</v>
      </c>
      <c r="N314" s="137" t="s">
        <v>193</v>
      </c>
      <c r="O314" s="137" t="s">
        <v>193</v>
      </c>
      <c r="P314" s="137" t="s">
        <v>53</v>
      </c>
      <c r="Q314" s="137" t="s">
        <v>193</v>
      </c>
      <c r="R314" s="137" t="s">
        <v>193</v>
      </c>
      <c r="S314" s="137" t="s">
        <v>193</v>
      </c>
      <c r="T314" s="137" t="s">
        <v>193</v>
      </c>
      <c r="U314" s="137" t="s">
        <v>193</v>
      </c>
      <c r="X314" s="12">
        <f t="shared" si="4"/>
        <v>0</v>
      </c>
    </row>
    <row r="315" spans="1:24" ht="15" customHeight="1" x14ac:dyDescent="0.25">
      <c r="A315" s="137" t="s">
        <v>623</v>
      </c>
      <c r="B315" s="137" t="s">
        <v>624</v>
      </c>
      <c r="C315" s="137">
        <v>2018</v>
      </c>
      <c r="D315" s="137" t="s">
        <v>193</v>
      </c>
      <c r="E315" s="137" t="s">
        <v>193</v>
      </c>
      <c r="F315" s="137" t="s">
        <v>193</v>
      </c>
      <c r="G315" s="137" t="s">
        <v>193</v>
      </c>
      <c r="H315" s="137" t="s">
        <v>193</v>
      </c>
      <c r="I315" s="137" t="s">
        <v>193</v>
      </c>
      <c r="J315" s="137" t="s">
        <v>193</v>
      </c>
      <c r="K315" s="137" t="s">
        <v>193</v>
      </c>
      <c r="L315" s="137" t="s">
        <v>193</v>
      </c>
      <c r="M315" s="137" t="s">
        <v>193</v>
      </c>
      <c r="N315" s="137" t="s">
        <v>193</v>
      </c>
      <c r="O315" s="137" t="s">
        <v>193</v>
      </c>
      <c r="P315" s="137" t="s">
        <v>193</v>
      </c>
      <c r="Q315" s="137" t="s">
        <v>193</v>
      </c>
      <c r="R315" s="137" t="s">
        <v>193</v>
      </c>
      <c r="S315" s="137" t="s">
        <v>193</v>
      </c>
      <c r="T315" s="137" t="s">
        <v>193</v>
      </c>
      <c r="U315" s="137" t="s">
        <v>193</v>
      </c>
      <c r="X315" s="12">
        <f t="shared" si="4"/>
        <v>0</v>
      </c>
    </row>
    <row r="316" spans="1:24" ht="15" customHeight="1" x14ac:dyDescent="0.25">
      <c r="A316" s="137" t="s">
        <v>43</v>
      </c>
      <c r="B316" s="141" t="s">
        <v>51</v>
      </c>
      <c r="C316" s="137">
        <v>2018</v>
      </c>
      <c r="D316" s="137" t="s">
        <v>53</v>
      </c>
      <c r="E316" s="137" t="s">
        <v>53</v>
      </c>
      <c r="F316" s="137" t="s">
        <v>53</v>
      </c>
      <c r="G316" s="137" t="s">
        <v>53</v>
      </c>
      <c r="H316" s="137" t="s">
        <v>53</v>
      </c>
      <c r="I316" s="137" t="s">
        <v>53</v>
      </c>
      <c r="J316" s="137" t="s">
        <v>53</v>
      </c>
      <c r="K316" s="137" t="s">
        <v>53</v>
      </c>
      <c r="L316" s="137" t="s">
        <v>53</v>
      </c>
      <c r="M316" s="137" t="s">
        <v>53</v>
      </c>
      <c r="N316" s="137" t="s">
        <v>53</v>
      </c>
      <c r="O316" s="137" t="s">
        <v>53</v>
      </c>
      <c r="P316" s="137" t="s">
        <v>53</v>
      </c>
      <c r="Q316" s="137" t="s">
        <v>53</v>
      </c>
      <c r="R316" s="137" t="s">
        <v>53</v>
      </c>
      <c r="S316" s="137" t="s">
        <v>53</v>
      </c>
      <c r="T316" s="137" t="s">
        <v>53</v>
      </c>
      <c r="U316" s="137" t="s">
        <v>53</v>
      </c>
      <c r="X316" s="12">
        <f t="shared" si="4"/>
        <v>0</v>
      </c>
    </row>
    <row r="317" spans="1:24" ht="15" customHeight="1" x14ac:dyDescent="0.25">
      <c r="A317" s="137" t="s">
        <v>625</v>
      </c>
      <c r="B317" s="137" t="s">
        <v>626</v>
      </c>
      <c r="C317" s="137">
        <v>2018</v>
      </c>
      <c r="D317" s="137" t="s">
        <v>53</v>
      </c>
      <c r="E317" s="137" t="s">
        <v>193</v>
      </c>
      <c r="F317" s="137" t="s">
        <v>193</v>
      </c>
      <c r="G317" s="137" t="s">
        <v>193</v>
      </c>
      <c r="H317" s="137" t="s">
        <v>193</v>
      </c>
      <c r="I317" s="137" t="s">
        <v>193</v>
      </c>
      <c r="J317" s="137" t="s">
        <v>53</v>
      </c>
      <c r="K317" s="137" t="s">
        <v>193</v>
      </c>
      <c r="L317" s="137" t="s">
        <v>193</v>
      </c>
      <c r="M317" s="137" t="s">
        <v>193</v>
      </c>
      <c r="N317" s="137" t="s">
        <v>193</v>
      </c>
      <c r="O317" s="137" t="s">
        <v>193</v>
      </c>
      <c r="P317" s="137" t="s">
        <v>53</v>
      </c>
      <c r="Q317" s="137" t="s">
        <v>193</v>
      </c>
      <c r="R317" s="137" t="s">
        <v>193</v>
      </c>
      <c r="S317" s="137" t="s">
        <v>193</v>
      </c>
      <c r="T317" s="137" t="s">
        <v>193</v>
      </c>
      <c r="U317" s="137" t="s">
        <v>193</v>
      </c>
      <c r="X317" s="12">
        <f t="shared" si="4"/>
        <v>0</v>
      </c>
    </row>
    <row r="318" spans="1:24" ht="15" customHeight="1" x14ac:dyDescent="0.25">
      <c r="A318" s="137" t="s">
        <v>625</v>
      </c>
      <c r="B318" s="137" t="s">
        <v>627</v>
      </c>
      <c r="C318" s="137">
        <v>2018</v>
      </c>
      <c r="D318" s="137" t="s">
        <v>53</v>
      </c>
      <c r="E318" s="137" t="s">
        <v>193</v>
      </c>
      <c r="F318" s="137" t="s">
        <v>193</v>
      </c>
      <c r="G318" s="137" t="s">
        <v>193</v>
      </c>
      <c r="H318" s="137" t="s">
        <v>193</v>
      </c>
      <c r="I318" s="137" t="s">
        <v>193</v>
      </c>
      <c r="J318" s="137" t="s">
        <v>53</v>
      </c>
      <c r="K318" s="137" t="s">
        <v>193</v>
      </c>
      <c r="L318" s="137" t="s">
        <v>193</v>
      </c>
      <c r="M318" s="137" t="s">
        <v>193</v>
      </c>
      <c r="N318" s="137" t="s">
        <v>193</v>
      </c>
      <c r="O318" s="137" t="s">
        <v>193</v>
      </c>
      <c r="P318" s="137" t="s">
        <v>53</v>
      </c>
      <c r="Q318" s="137" t="s">
        <v>193</v>
      </c>
      <c r="R318" s="137" t="s">
        <v>193</v>
      </c>
      <c r="S318" s="137" t="s">
        <v>193</v>
      </c>
      <c r="T318" s="137" t="s">
        <v>193</v>
      </c>
      <c r="U318" s="137" t="s">
        <v>193</v>
      </c>
      <c r="X318" s="12">
        <f t="shared" si="4"/>
        <v>0</v>
      </c>
    </row>
    <row r="319" spans="1:24" ht="15" customHeight="1" x14ac:dyDescent="0.25">
      <c r="A319" s="137" t="s">
        <v>625</v>
      </c>
      <c r="B319" s="137" t="s">
        <v>628</v>
      </c>
      <c r="C319" s="137">
        <v>2018</v>
      </c>
      <c r="D319" s="137" t="s">
        <v>53</v>
      </c>
      <c r="E319" s="137" t="s">
        <v>193</v>
      </c>
      <c r="F319" s="137" t="s">
        <v>193</v>
      </c>
      <c r="G319" s="137" t="s">
        <v>193</v>
      </c>
      <c r="H319" s="137" t="s">
        <v>193</v>
      </c>
      <c r="I319" s="137" t="s">
        <v>193</v>
      </c>
      <c r="J319" s="137" t="s">
        <v>193</v>
      </c>
      <c r="K319" s="137" t="s">
        <v>193</v>
      </c>
      <c r="L319" s="137" t="s">
        <v>193</v>
      </c>
      <c r="M319" s="137" t="s">
        <v>193</v>
      </c>
      <c r="N319" s="137" t="s">
        <v>193</v>
      </c>
      <c r="O319" s="137" t="s">
        <v>193</v>
      </c>
      <c r="P319" s="137" t="s">
        <v>53</v>
      </c>
      <c r="Q319" s="137" t="s">
        <v>193</v>
      </c>
      <c r="R319" s="137" t="s">
        <v>193</v>
      </c>
      <c r="S319" s="137" t="s">
        <v>193</v>
      </c>
      <c r="T319" s="137" t="s">
        <v>193</v>
      </c>
      <c r="U319" s="137" t="s">
        <v>193</v>
      </c>
      <c r="X319" s="12">
        <f t="shared" si="4"/>
        <v>0</v>
      </c>
    </row>
    <row r="320" spans="1:24" ht="15" customHeight="1" x14ac:dyDescent="0.25">
      <c r="A320" s="137" t="s">
        <v>629</v>
      </c>
      <c r="B320" s="137" t="s">
        <v>630</v>
      </c>
      <c r="C320" s="137">
        <v>2018</v>
      </c>
      <c r="D320" s="137" t="s">
        <v>53</v>
      </c>
      <c r="E320" s="137" t="s">
        <v>193</v>
      </c>
      <c r="F320" s="137" t="s">
        <v>193</v>
      </c>
      <c r="G320" s="137" t="s">
        <v>193</v>
      </c>
      <c r="H320" s="137" t="s">
        <v>193</v>
      </c>
      <c r="I320" s="137" t="s">
        <v>193</v>
      </c>
      <c r="J320" s="137" t="s">
        <v>53</v>
      </c>
      <c r="K320" s="137" t="s">
        <v>193</v>
      </c>
      <c r="L320" s="137" t="s">
        <v>193</v>
      </c>
      <c r="M320" s="137" t="s">
        <v>193</v>
      </c>
      <c r="N320" s="137" t="s">
        <v>193</v>
      </c>
      <c r="O320" s="137" t="s">
        <v>193</v>
      </c>
      <c r="P320" s="137" t="s">
        <v>53</v>
      </c>
      <c r="Q320" s="137" t="s">
        <v>193</v>
      </c>
      <c r="R320" s="137" t="s">
        <v>193</v>
      </c>
      <c r="S320" s="137" t="s">
        <v>193</v>
      </c>
      <c r="T320" s="137" t="s">
        <v>193</v>
      </c>
      <c r="U320" s="137" t="s">
        <v>193</v>
      </c>
      <c r="X320" s="12">
        <f t="shared" si="4"/>
        <v>0</v>
      </c>
    </row>
    <row r="321" spans="1:24" ht="15" customHeight="1" x14ac:dyDescent="0.25">
      <c r="A321" s="137" t="s">
        <v>629</v>
      </c>
      <c r="B321" s="137" t="s">
        <v>631</v>
      </c>
      <c r="C321" s="137">
        <v>2018</v>
      </c>
      <c r="D321" s="137" t="s">
        <v>53</v>
      </c>
      <c r="E321" s="137" t="s">
        <v>193</v>
      </c>
      <c r="F321" s="137" t="s">
        <v>193</v>
      </c>
      <c r="G321" s="137" t="s">
        <v>193</v>
      </c>
      <c r="H321" s="137" t="s">
        <v>193</v>
      </c>
      <c r="I321" s="137" t="s">
        <v>193</v>
      </c>
      <c r="J321" s="137" t="s">
        <v>53</v>
      </c>
      <c r="K321" s="137" t="s">
        <v>193</v>
      </c>
      <c r="L321" s="137" t="s">
        <v>193</v>
      </c>
      <c r="M321" s="137" t="s">
        <v>193</v>
      </c>
      <c r="N321" s="137" t="s">
        <v>193</v>
      </c>
      <c r="O321" s="137" t="s">
        <v>193</v>
      </c>
      <c r="P321" s="137" t="s">
        <v>53</v>
      </c>
      <c r="Q321" s="137" t="s">
        <v>193</v>
      </c>
      <c r="R321" s="137" t="s">
        <v>193</v>
      </c>
      <c r="S321" s="137" t="s">
        <v>193</v>
      </c>
      <c r="T321" s="137" t="s">
        <v>193</v>
      </c>
      <c r="U321" s="137" t="s">
        <v>193</v>
      </c>
      <c r="X321" s="12">
        <f t="shared" si="4"/>
        <v>0</v>
      </c>
    </row>
    <row r="322" spans="1:24" ht="15" customHeight="1" x14ac:dyDescent="0.25">
      <c r="A322" s="137" t="s">
        <v>629</v>
      </c>
      <c r="B322" s="137" t="s">
        <v>632</v>
      </c>
      <c r="C322" s="137">
        <v>2018</v>
      </c>
      <c r="D322" s="137" t="s">
        <v>826</v>
      </c>
      <c r="E322" s="137" t="s">
        <v>769</v>
      </c>
      <c r="F322" s="137">
        <v>22.387</v>
      </c>
      <c r="G322" s="137" t="s">
        <v>791</v>
      </c>
      <c r="H322" s="137">
        <v>0.28199999999999997</v>
      </c>
      <c r="I322" s="137">
        <v>90</v>
      </c>
      <c r="J322" s="137" t="s">
        <v>53</v>
      </c>
      <c r="K322" s="137" t="s">
        <v>193</v>
      </c>
      <c r="L322" s="137" t="s">
        <v>193</v>
      </c>
      <c r="M322" s="137" t="s">
        <v>193</v>
      </c>
      <c r="N322" s="137" t="s">
        <v>193</v>
      </c>
      <c r="O322" s="137" t="s">
        <v>193</v>
      </c>
      <c r="P322" s="137" t="s">
        <v>53</v>
      </c>
      <c r="Q322" s="137" t="s">
        <v>193</v>
      </c>
      <c r="R322" s="137" t="s">
        <v>193</v>
      </c>
      <c r="S322" s="137" t="s">
        <v>193</v>
      </c>
      <c r="T322" s="137" t="s">
        <v>193</v>
      </c>
      <c r="U322" s="137" t="s">
        <v>193</v>
      </c>
      <c r="X322" s="12">
        <f t="shared" ref="X322:X385" si="5">(IF(E322="Avfall",F322,0)+IF(G322="Avfall",H322,0))/IFERROR(I322/100,0.85)+(IF(K322="Avfall",L322,0)+IF(M322="Avfall",N322,0))/IFERROR(O322/100,0.85)+(IF(Q322="avfall",R322,0)+IF(S322="avfall",T322,0))/IFERROR(U322/100,0.85)</f>
        <v>0</v>
      </c>
    </row>
    <row r="323" spans="1:24" ht="15" customHeight="1" x14ac:dyDescent="0.25">
      <c r="A323" s="137" t="s">
        <v>633</v>
      </c>
      <c r="B323" s="137" t="s">
        <v>634</v>
      </c>
      <c r="C323" s="137">
        <v>2018</v>
      </c>
      <c r="D323" s="137" t="s">
        <v>53</v>
      </c>
      <c r="E323" s="137" t="s">
        <v>193</v>
      </c>
      <c r="F323" s="137" t="s">
        <v>193</v>
      </c>
      <c r="G323" s="137" t="s">
        <v>193</v>
      </c>
      <c r="H323" s="137" t="s">
        <v>193</v>
      </c>
      <c r="I323" s="137" t="s">
        <v>193</v>
      </c>
      <c r="J323" s="137" t="s">
        <v>53</v>
      </c>
      <c r="K323" s="137" t="s">
        <v>193</v>
      </c>
      <c r="L323" s="137" t="s">
        <v>193</v>
      </c>
      <c r="M323" s="137" t="s">
        <v>193</v>
      </c>
      <c r="N323" s="137" t="s">
        <v>193</v>
      </c>
      <c r="O323" s="137" t="s">
        <v>193</v>
      </c>
      <c r="P323" s="137" t="s">
        <v>53</v>
      </c>
      <c r="Q323" s="137" t="s">
        <v>193</v>
      </c>
      <c r="R323" s="137" t="s">
        <v>193</v>
      </c>
      <c r="S323" s="137" t="s">
        <v>193</v>
      </c>
      <c r="T323" s="137" t="s">
        <v>193</v>
      </c>
      <c r="U323" s="137" t="s">
        <v>193</v>
      </c>
      <c r="X323" s="12">
        <f t="shared" si="5"/>
        <v>0</v>
      </c>
    </row>
    <row r="324" spans="1:24" ht="15" customHeight="1" x14ac:dyDescent="0.25">
      <c r="A324" s="137" t="s">
        <v>633</v>
      </c>
      <c r="B324" s="137" t="s">
        <v>635</v>
      </c>
      <c r="C324" s="137">
        <v>2018</v>
      </c>
      <c r="D324" s="137" t="s">
        <v>53</v>
      </c>
      <c r="E324" s="137" t="s">
        <v>193</v>
      </c>
      <c r="F324" s="137" t="s">
        <v>193</v>
      </c>
      <c r="G324" s="137" t="s">
        <v>193</v>
      </c>
      <c r="H324" s="137" t="s">
        <v>193</v>
      </c>
      <c r="I324" s="137" t="s">
        <v>193</v>
      </c>
      <c r="J324" s="137" t="s">
        <v>53</v>
      </c>
      <c r="K324" s="137" t="s">
        <v>193</v>
      </c>
      <c r="L324" s="137" t="s">
        <v>193</v>
      </c>
      <c r="M324" s="137" t="s">
        <v>193</v>
      </c>
      <c r="N324" s="137" t="s">
        <v>193</v>
      </c>
      <c r="O324" s="137" t="s">
        <v>193</v>
      </c>
      <c r="P324" s="137" t="s">
        <v>53</v>
      </c>
      <c r="Q324" s="137" t="s">
        <v>193</v>
      </c>
      <c r="R324" s="137" t="s">
        <v>193</v>
      </c>
      <c r="S324" s="137" t="s">
        <v>193</v>
      </c>
      <c r="T324" s="137" t="s">
        <v>193</v>
      </c>
      <c r="U324" s="137" t="s">
        <v>193</v>
      </c>
      <c r="X324" s="12">
        <f t="shared" si="5"/>
        <v>0</v>
      </c>
    </row>
    <row r="325" spans="1:24" ht="15" customHeight="1" x14ac:dyDescent="0.25">
      <c r="A325" s="137" t="s">
        <v>633</v>
      </c>
      <c r="B325" s="137" t="s">
        <v>636</v>
      </c>
      <c r="C325" s="137">
        <v>2018</v>
      </c>
      <c r="D325" s="137" t="s">
        <v>827</v>
      </c>
      <c r="E325" s="137" t="s">
        <v>769</v>
      </c>
      <c r="F325" s="137">
        <v>9.0749999999999993</v>
      </c>
      <c r="G325" s="137" t="s">
        <v>193</v>
      </c>
      <c r="H325" s="137" t="s">
        <v>193</v>
      </c>
      <c r="I325" s="137">
        <v>85</v>
      </c>
      <c r="J325" s="137" t="s">
        <v>53</v>
      </c>
      <c r="K325" s="137" t="s">
        <v>193</v>
      </c>
      <c r="L325" s="137" t="s">
        <v>193</v>
      </c>
      <c r="M325" s="137" t="s">
        <v>193</v>
      </c>
      <c r="N325" s="137" t="s">
        <v>193</v>
      </c>
      <c r="O325" s="137" t="s">
        <v>193</v>
      </c>
      <c r="P325" s="137" t="s">
        <v>53</v>
      </c>
      <c r="Q325" s="137" t="s">
        <v>193</v>
      </c>
      <c r="R325" s="137" t="s">
        <v>193</v>
      </c>
      <c r="S325" s="137" t="s">
        <v>193</v>
      </c>
      <c r="T325" s="137" t="s">
        <v>193</v>
      </c>
      <c r="U325" s="137" t="s">
        <v>193</v>
      </c>
      <c r="X325" s="12">
        <f t="shared" si="5"/>
        <v>0</v>
      </c>
    </row>
    <row r="326" spans="1:24" ht="15" customHeight="1" x14ac:dyDescent="0.25">
      <c r="A326" s="137" t="s">
        <v>633</v>
      </c>
      <c r="B326" s="137" t="s">
        <v>637</v>
      </c>
      <c r="C326" s="137">
        <v>2018</v>
      </c>
      <c r="D326" s="137" t="s">
        <v>828</v>
      </c>
      <c r="E326" s="137" t="s">
        <v>802</v>
      </c>
      <c r="F326" s="137">
        <v>0.39200000000000002</v>
      </c>
      <c r="G326" s="137" t="s">
        <v>193</v>
      </c>
      <c r="H326" s="137" t="s">
        <v>193</v>
      </c>
      <c r="I326" s="137" t="s">
        <v>193</v>
      </c>
      <c r="J326" s="137" t="s">
        <v>829</v>
      </c>
      <c r="K326" s="137" t="s">
        <v>830</v>
      </c>
      <c r="L326" s="137">
        <v>4.5999999999999999E-2</v>
      </c>
      <c r="M326" s="137" t="s">
        <v>193</v>
      </c>
      <c r="N326" s="137" t="s">
        <v>193</v>
      </c>
      <c r="O326" s="137" t="s">
        <v>193</v>
      </c>
      <c r="P326" s="137" t="s">
        <v>53</v>
      </c>
      <c r="Q326" s="137" t="s">
        <v>193</v>
      </c>
      <c r="R326" s="137" t="s">
        <v>193</v>
      </c>
      <c r="S326" s="137" t="s">
        <v>193</v>
      </c>
      <c r="T326" s="137" t="s">
        <v>193</v>
      </c>
      <c r="U326" s="137" t="s">
        <v>193</v>
      </c>
      <c r="X326" s="12">
        <f t="shared" si="5"/>
        <v>0</v>
      </c>
    </row>
    <row r="327" spans="1:24" ht="15" customHeight="1" x14ac:dyDescent="0.25">
      <c r="A327" s="137" t="s">
        <v>638</v>
      </c>
      <c r="B327" s="137" t="s">
        <v>639</v>
      </c>
      <c r="C327" s="137">
        <v>2018</v>
      </c>
      <c r="D327" s="137" t="s">
        <v>53</v>
      </c>
      <c r="E327" s="137" t="s">
        <v>193</v>
      </c>
      <c r="F327" s="137" t="s">
        <v>193</v>
      </c>
      <c r="G327" s="137" t="s">
        <v>193</v>
      </c>
      <c r="H327" s="137" t="s">
        <v>193</v>
      </c>
      <c r="I327" s="137" t="s">
        <v>193</v>
      </c>
      <c r="J327" s="137" t="s">
        <v>53</v>
      </c>
      <c r="K327" s="137" t="s">
        <v>193</v>
      </c>
      <c r="L327" s="137" t="s">
        <v>193</v>
      </c>
      <c r="M327" s="137" t="s">
        <v>193</v>
      </c>
      <c r="N327" s="137" t="s">
        <v>193</v>
      </c>
      <c r="O327" s="137" t="s">
        <v>193</v>
      </c>
      <c r="P327" s="137" t="s">
        <v>53</v>
      </c>
      <c r="Q327" s="137" t="s">
        <v>193</v>
      </c>
      <c r="R327" s="137" t="s">
        <v>193</v>
      </c>
      <c r="S327" s="137" t="s">
        <v>193</v>
      </c>
      <c r="T327" s="137" t="s">
        <v>193</v>
      </c>
      <c r="U327" s="137" t="s">
        <v>193</v>
      </c>
      <c r="X327" s="12">
        <f t="shared" si="5"/>
        <v>0</v>
      </c>
    </row>
    <row r="328" spans="1:24" ht="15" customHeight="1" x14ac:dyDescent="0.25">
      <c r="A328" s="137" t="s">
        <v>638</v>
      </c>
      <c r="B328" s="137" t="s">
        <v>641</v>
      </c>
      <c r="C328" s="137">
        <v>2018</v>
      </c>
      <c r="D328" s="137" t="s">
        <v>53</v>
      </c>
      <c r="E328" s="137" t="s">
        <v>193</v>
      </c>
      <c r="F328" s="137" t="s">
        <v>193</v>
      </c>
      <c r="G328" s="137" t="s">
        <v>193</v>
      </c>
      <c r="H328" s="137" t="s">
        <v>193</v>
      </c>
      <c r="I328" s="137" t="s">
        <v>193</v>
      </c>
      <c r="J328" s="137" t="s">
        <v>53</v>
      </c>
      <c r="K328" s="137" t="s">
        <v>193</v>
      </c>
      <c r="L328" s="137" t="s">
        <v>193</v>
      </c>
      <c r="M328" s="137" t="s">
        <v>193</v>
      </c>
      <c r="N328" s="137" t="s">
        <v>193</v>
      </c>
      <c r="O328" s="137" t="s">
        <v>193</v>
      </c>
      <c r="P328" s="137" t="s">
        <v>53</v>
      </c>
      <c r="Q328" s="137" t="s">
        <v>193</v>
      </c>
      <c r="R328" s="137" t="s">
        <v>193</v>
      </c>
      <c r="S328" s="137" t="s">
        <v>193</v>
      </c>
      <c r="T328" s="137" t="s">
        <v>193</v>
      </c>
      <c r="U328" s="137" t="s">
        <v>193</v>
      </c>
      <c r="X328" s="12">
        <f t="shared" si="5"/>
        <v>0</v>
      </c>
    </row>
    <row r="329" spans="1:24" ht="15" customHeight="1" x14ac:dyDescent="0.25">
      <c r="A329" s="137" t="s">
        <v>643</v>
      </c>
      <c r="B329" s="137" t="s">
        <v>644</v>
      </c>
      <c r="C329" s="137">
        <v>2018</v>
      </c>
      <c r="D329" s="137" t="s">
        <v>831</v>
      </c>
      <c r="E329" s="137" t="s">
        <v>769</v>
      </c>
      <c r="F329" s="137">
        <v>2.762</v>
      </c>
      <c r="G329" s="137" t="s">
        <v>193</v>
      </c>
      <c r="H329" s="137" t="s">
        <v>193</v>
      </c>
      <c r="I329" s="137" t="s">
        <v>193</v>
      </c>
      <c r="J329" s="137" t="s">
        <v>832</v>
      </c>
      <c r="K329" s="137" t="s">
        <v>769</v>
      </c>
      <c r="L329" s="137">
        <v>2.2519999999999998</v>
      </c>
      <c r="M329" s="137" t="s">
        <v>193</v>
      </c>
      <c r="N329" s="137" t="s">
        <v>193</v>
      </c>
      <c r="O329" s="137" t="s">
        <v>193</v>
      </c>
      <c r="P329" s="137" t="s">
        <v>53</v>
      </c>
      <c r="Q329" s="137" t="s">
        <v>193</v>
      </c>
      <c r="R329" s="137" t="s">
        <v>193</v>
      </c>
      <c r="S329" s="137" t="s">
        <v>193</v>
      </c>
      <c r="T329" s="137" t="s">
        <v>193</v>
      </c>
      <c r="U329" s="137" t="s">
        <v>193</v>
      </c>
      <c r="X329" s="12">
        <f t="shared" si="5"/>
        <v>0</v>
      </c>
    </row>
    <row r="330" spans="1:24" ht="15" customHeight="1" x14ac:dyDescent="0.25">
      <c r="A330" s="137" t="s">
        <v>645</v>
      </c>
      <c r="B330" s="137" t="s">
        <v>646</v>
      </c>
      <c r="C330" s="137">
        <v>2018</v>
      </c>
      <c r="D330" s="137" t="s">
        <v>53</v>
      </c>
      <c r="E330" s="137" t="s">
        <v>193</v>
      </c>
      <c r="F330" s="137" t="s">
        <v>193</v>
      </c>
      <c r="G330" s="137" t="s">
        <v>193</v>
      </c>
      <c r="H330" s="137" t="s">
        <v>193</v>
      </c>
      <c r="I330" s="137" t="s">
        <v>193</v>
      </c>
      <c r="J330" s="137" t="s">
        <v>53</v>
      </c>
      <c r="K330" s="137" t="s">
        <v>193</v>
      </c>
      <c r="L330" s="137" t="s">
        <v>193</v>
      </c>
      <c r="M330" s="137" t="s">
        <v>193</v>
      </c>
      <c r="N330" s="137" t="s">
        <v>193</v>
      </c>
      <c r="O330" s="137" t="s">
        <v>193</v>
      </c>
      <c r="P330" s="137" t="s">
        <v>53</v>
      </c>
      <c r="Q330" s="137" t="s">
        <v>193</v>
      </c>
      <c r="R330" s="137" t="s">
        <v>193</v>
      </c>
      <c r="S330" s="137" t="s">
        <v>193</v>
      </c>
      <c r="T330" s="137" t="s">
        <v>193</v>
      </c>
      <c r="U330" s="137" t="s">
        <v>193</v>
      </c>
      <c r="X330" s="12">
        <f t="shared" si="5"/>
        <v>0</v>
      </c>
    </row>
    <row r="331" spans="1:24" ht="15" customHeight="1" x14ac:dyDescent="0.25">
      <c r="A331" s="137" t="s">
        <v>645</v>
      </c>
      <c r="B331" s="137" t="s">
        <v>647</v>
      </c>
      <c r="C331" s="137">
        <v>2018</v>
      </c>
      <c r="D331" s="137" t="s">
        <v>833</v>
      </c>
      <c r="E331" s="137" t="s">
        <v>834</v>
      </c>
      <c r="F331" s="137">
        <v>4</v>
      </c>
      <c r="G331" s="137" t="s">
        <v>193</v>
      </c>
      <c r="H331" s="137" t="s">
        <v>193</v>
      </c>
      <c r="I331" s="137" t="s">
        <v>193</v>
      </c>
      <c r="J331" s="137" t="s">
        <v>53</v>
      </c>
      <c r="K331" s="137" t="s">
        <v>193</v>
      </c>
      <c r="L331" s="137" t="s">
        <v>193</v>
      </c>
      <c r="M331" s="137" t="s">
        <v>193</v>
      </c>
      <c r="N331" s="137" t="s">
        <v>193</v>
      </c>
      <c r="O331" s="137" t="s">
        <v>193</v>
      </c>
      <c r="P331" s="137" t="s">
        <v>53</v>
      </c>
      <c r="Q331" s="137" t="s">
        <v>193</v>
      </c>
      <c r="R331" s="137" t="s">
        <v>193</v>
      </c>
      <c r="S331" s="137" t="s">
        <v>193</v>
      </c>
      <c r="T331" s="137" t="s">
        <v>193</v>
      </c>
      <c r="U331" s="137" t="s">
        <v>193</v>
      </c>
      <c r="X331" s="12">
        <f t="shared" si="5"/>
        <v>0</v>
      </c>
    </row>
    <row r="332" spans="1:24" ht="15" customHeight="1" x14ac:dyDescent="0.25">
      <c r="A332" s="137" t="s">
        <v>645</v>
      </c>
      <c r="B332" s="137" t="s">
        <v>648</v>
      </c>
      <c r="C332" s="137">
        <v>2018</v>
      </c>
      <c r="D332" s="137" t="s">
        <v>53</v>
      </c>
      <c r="E332" s="137" t="s">
        <v>193</v>
      </c>
      <c r="F332" s="137" t="s">
        <v>193</v>
      </c>
      <c r="G332" s="137" t="s">
        <v>193</v>
      </c>
      <c r="H332" s="137" t="s">
        <v>193</v>
      </c>
      <c r="I332" s="137" t="s">
        <v>193</v>
      </c>
      <c r="J332" s="137" t="s">
        <v>53</v>
      </c>
      <c r="K332" s="137" t="s">
        <v>193</v>
      </c>
      <c r="L332" s="137" t="s">
        <v>193</v>
      </c>
      <c r="M332" s="137" t="s">
        <v>193</v>
      </c>
      <c r="N332" s="137" t="s">
        <v>193</v>
      </c>
      <c r="O332" s="137" t="s">
        <v>193</v>
      </c>
      <c r="P332" s="137" t="s">
        <v>53</v>
      </c>
      <c r="Q332" s="137" t="s">
        <v>193</v>
      </c>
      <c r="R332" s="137" t="s">
        <v>193</v>
      </c>
      <c r="S332" s="137" t="s">
        <v>193</v>
      </c>
      <c r="T332" s="137" t="s">
        <v>193</v>
      </c>
      <c r="U332" s="137" t="s">
        <v>193</v>
      </c>
      <c r="X332" s="12">
        <f t="shared" si="5"/>
        <v>0</v>
      </c>
    </row>
    <row r="333" spans="1:24" ht="15" customHeight="1" x14ac:dyDescent="0.25">
      <c r="A333" s="137" t="s">
        <v>649</v>
      </c>
      <c r="B333" s="137" t="s">
        <v>650</v>
      </c>
      <c r="C333" s="137">
        <v>2018</v>
      </c>
      <c r="D333" s="137" t="s">
        <v>835</v>
      </c>
      <c r="E333" s="137" t="s">
        <v>780</v>
      </c>
      <c r="F333" s="137">
        <v>2.9820000000000002</v>
      </c>
      <c r="G333" s="137" t="s">
        <v>193</v>
      </c>
      <c r="H333" s="137" t="s">
        <v>193</v>
      </c>
      <c r="I333" s="137" t="s">
        <v>193</v>
      </c>
      <c r="J333" s="137" t="s">
        <v>53</v>
      </c>
      <c r="K333" s="137" t="s">
        <v>193</v>
      </c>
      <c r="L333" s="137" t="s">
        <v>193</v>
      </c>
      <c r="M333" s="137" t="s">
        <v>193</v>
      </c>
      <c r="N333" s="137" t="s">
        <v>193</v>
      </c>
      <c r="O333" s="137" t="s">
        <v>193</v>
      </c>
      <c r="P333" s="137" t="s">
        <v>53</v>
      </c>
      <c r="Q333" s="137" t="s">
        <v>193</v>
      </c>
      <c r="R333" s="137" t="s">
        <v>193</v>
      </c>
      <c r="S333" s="137" t="s">
        <v>193</v>
      </c>
      <c r="T333" s="137" t="s">
        <v>193</v>
      </c>
      <c r="U333" s="137" t="s">
        <v>193</v>
      </c>
      <c r="X333" s="12">
        <f t="shared" si="5"/>
        <v>0</v>
      </c>
    </row>
    <row r="334" spans="1:24" ht="15" customHeight="1" x14ac:dyDescent="0.25">
      <c r="A334" s="137" t="s">
        <v>649</v>
      </c>
      <c r="B334" s="137" t="s">
        <v>651</v>
      </c>
      <c r="C334" s="137">
        <v>2018</v>
      </c>
      <c r="D334" s="137" t="s">
        <v>836</v>
      </c>
      <c r="E334" s="137" t="s">
        <v>769</v>
      </c>
      <c r="F334" s="137">
        <v>29.9</v>
      </c>
      <c r="G334" s="137" t="s">
        <v>193</v>
      </c>
      <c r="H334" s="137" t="s">
        <v>193</v>
      </c>
      <c r="I334" s="137" t="s">
        <v>193</v>
      </c>
      <c r="J334" s="137" t="s">
        <v>53</v>
      </c>
      <c r="K334" s="137" t="s">
        <v>193</v>
      </c>
      <c r="L334" s="137" t="s">
        <v>193</v>
      </c>
      <c r="M334" s="137" t="s">
        <v>193</v>
      </c>
      <c r="N334" s="137" t="s">
        <v>193</v>
      </c>
      <c r="O334" s="137" t="s">
        <v>193</v>
      </c>
      <c r="P334" s="137" t="s">
        <v>53</v>
      </c>
      <c r="Q334" s="137" t="s">
        <v>193</v>
      </c>
      <c r="R334" s="137" t="s">
        <v>193</v>
      </c>
      <c r="S334" s="137" t="s">
        <v>193</v>
      </c>
      <c r="T334" s="137" t="s">
        <v>193</v>
      </c>
      <c r="U334" s="137" t="s">
        <v>193</v>
      </c>
      <c r="X334" s="12">
        <f t="shared" si="5"/>
        <v>0</v>
      </c>
    </row>
    <row r="335" spans="1:24" ht="15" customHeight="1" x14ac:dyDescent="0.25">
      <c r="A335" s="137" t="s">
        <v>649</v>
      </c>
      <c r="B335" s="137" t="s">
        <v>652</v>
      </c>
      <c r="C335" s="137">
        <v>2018</v>
      </c>
      <c r="D335" s="137" t="s">
        <v>53</v>
      </c>
      <c r="E335" s="137" t="s">
        <v>193</v>
      </c>
      <c r="F335" s="137" t="s">
        <v>193</v>
      </c>
      <c r="G335" s="137" t="s">
        <v>193</v>
      </c>
      <c r="H335" s="137" t="s">
        <v>193</v>
      </c>
      <c r="I335" s="137" t="s">
        <v>193</v>
      </c>
      <c r="J335" s="137" t="s">
        <v>53</v>
      </c>
      <c r="K335" s="137" t="s">
        <v>193</v>
      </c>
      <c r="L335" s="137" t="s">
        <v>193</v>
      </c>
      <c r="M335" s="137" t="s">
        <v>193</v>
      </c>
      <c r="N335" s="137" t="s">
        <v>193</v>
      </c>
      <c r="O335" s="137" t="s">
        <v>193</v>
      </c>
      <c r="P335" s="137" t="s">
        <v>53</v>
      </c>
      <c r="Q335" s="137" t="s">
        <v>193</v>
      </c>
      <c r="R335" s="137" t="s">
        <v>193</v>
      </c>
      <c r="S335" s="137" t="s">
        <v>193</v>
      </c>
      <c r="T335" s="137" t="s">
        <v>193</v>
      </c>
      <c r="U335" s="137" t="s">
        <v>193</v>
      </c>
      <c r="X335" s="12">
        <f t="shared" si="5"/>
        <v>0</v>
      </c>
    </row>
    <row r="336" spans="1:24" ht="15" customHeight="1" x14ac:dyDescent="0.25">
      <c r="A336" s="137" t="s">
        <v>649</v>
      </c>
      <c r="B336" s="137" t="s">
        <v>653</v>
      </c>
      <c r="C336" s="137">
        <v>2018</v>
      </c>
      <c r="D336" s="137" t="s">
        <v>53</v>
      </c>
      <c r="E336" s="137" t="s">
        <v>193</v>
      </c>
      <c r="F336" s="137" t="s">
        <v>193</v>
      </c>
      <c r="G336" s="137" t="s">
        <v>193</v>
      </c>
      <c r="H336" s="137" t="s">
        <v>193</v>
      </c>
      <c r="I336" s="137" t="s">
        <v>193</v>
      </c>
      <c r="J336" s="137" t="s">
        <v>53</v>
      </c>
      <c r="K336" s="137" t="s">
        <v>193</v>
      </c>
      <c r="L336" s="137" t="s">
        <v>193</v>
      </c>
      <c r="M336" s="137" t="s">
        <v>193</v>
      </c>
      <c r="N336" s="137" t="s">
        <v>193</v>
      </c>
      <c r="O336" s="137" t="s">
        <v>193</v>
      </c>
      <c r="P336" s="137" t="s">
        <v>53</v>
      </c>
      <c r="Q336" s="137" t="s">
        <v>193</v>
      </c>
      <c r="R336" s="137" t="s">
        <v>193</v>
      </c>
      <c r="S336" s="137" t="s">
        <v>193</v>
      </c>
      <c r="T336" s="137" t="s">
        <v>193</v>
      </c>
      <c r="U336" s="137" t="s">
        <v>193</v>
      </c>
      <c r="X336" s="12">
        <f t="shared" si="5"/>
        <v>0</v>
      </c>
    </row>
    <row r="337" spans="1:24" ht="15" customHeight="1" x14ac:dyDescent="0.25">
      <c r="A337" s="137" t="s">
        <v>649</v>
      </c>
      <c r="B337" s="137" t="s">
        <v>138</v>
      </c>
      <c r="C337" s="137">
        <v>2018</v>
      </c>
      <c r="D337" s="137" t="s">
        <v>53</v>
      </c>
      <c r="E337" s="137" t="s">
        <v>193</v>
      </c>
      <c r="F337" s="137" t="s">
        <v>193</v>
      </c>
      <c r="G337" s="137" t="s">
        <v>193</v>
      </c>
      <c r="H337" s="137" t="s">
        <v>193</v>
      </c>
      <c r="I337" s="137" t="s">
        <v>193</v>
      </c>
      <c r="J337" s="137" t="s">
        <v>53</v>
      </c>
      <c r="K337" s="137" t="s">
        <v>193</v>
      </c>
      <c r="L337" s="137" t="s">
        <v>193</v>
      </c>
      <c r="M337" s="137" t="s">
        <v>193</v>
      </c>
      <c r="N337" s="137" t="s">
        <v>193</v>
      </c>
      <c r="O337" s="137" t="s">
        <v>193</v>
      </c>
      <c r="P337" s="137" t="s">
        <v>53</v>
      </c>
      <c r="Q337" s="137" t="s">
        <v>193</v>
      </c>
      <c r="R337" s="137" t="s">
        <v>193</v>
      </c>
      <c r="S337" s="137" t="s">
        <v>193</v>
      </c>
      <c r="T337" s="137" t="s">
        <v>193</v>
      </c>
      <c r="U337" s="137" t="s">
        <v>193</v>
      </c>
      <c r="X337" s="12">
        <f t="shared" si="5"/>
        <v>0</v>
      </c>
    </row>
    <row r="338" spans="1:24" ht="15" customHeight="1" x14ac:dyDescent="0.25">
      <c r="A338" s="137" t="s">
        <v>654</v>
      </c>
      <c r="B338" s="137" t="s">
        <v>655</v>
      </c>
      <c r="C338" s="137">
        <v>2018</v>
      </c>
      <c r="D338" s="137" t="s">
        <v>53</v>
      </c>
      <c r="E338" s="137" t="s">
        <v>53</v>
      </c>
      <c r="F338" s="137" t="s">
        <v>193</v>
      </c>
      <c r="G338" s="137" t="s">
        <v>53</v>
      </c>
      <c r="H338" s="137" t="s">
        <v>193</v>
      </c>
      <c r="I338" s="137" t="s">
        <v>193</v>
      </c>
      <c r="J338" s="137" t="s">
        <v>53</v>
      </c>
      <c r="K338" s="137" t="s">
        <v>53</v>
      </c>
      <c r="L338" s="137" t="s">
        <v>193</v>
      </c>
      <c r="M338" s="137" t="s">
        <v>53</v>
      </c>
      <c r="N338" s="137" t="s">
        <v>193</v>
      </c>
      <c r="O338" s="137" t="s">
        <v>193</v>
      </c>
      <c r="P338" s="137" t="s">
        <v>53</v>
      </c>
      <c r="Q338" s="137" t="s">
        <v>53</v>
      </c>
      <c r="R338" s="137" t="s">
        <v>193</v>
      </c>
      <c r="S338" s="137" t="s">
        <v>53</v>
      </c>
      <c r="T338" s="137" t="s">
        <v>193</v>
      </c>
      <c r="U338" s="137" t="s">
        <v>193</v>
      </c>
      <c r="X338" s="12">
        <f t="shared" si="5"/>
        <v>0</v>
      </c>
    </row>
    <row r="339" spans="1:24" ht="15" customHeight="1" x14ac:dyDescent="0.25">
      <c r="A339" s="137" t="s">
        <v>654</v>
      </c>
      <c r="B339" s="137" t="s">
        <v>656</v>
      </c>
      <c r="C339" s="137">
        <v>2018</v>
      </c>
      <c r="D339" s="137" t="s">
        <v>53</v>
      </c>
      <c r="E339" s="137" t="s">
        <v>193</v>
      </c>
      <c r="F339" s="137" t="s">
        <v>193</v>
      </c>
      <c r="G339" s="137" t="s">
        <v>193</v>
      </c>
      <c r="H339" s="137" t="s">
        <v>193</v>
      </c>
      <c r="I339" s="137" t="s">
        <v>193</v>
      </c>
      <c r="J339" s="137" t="s">
        <v>53</v>
      </c>
      <c r="K339" s="137" t="s">
        <v>193</v>
      </c>
      <c r="L339" s="137" t="s">
        <v>193</v>
      </c>
      <c r="M339" s="137" t="s">
        <v>193</v>
      </c>
      <c r="N339" s="137" t="s">
        <v>193</v>
      </c>
      <c r="O339" s="137" t="s">
        <v>193</v>
      </c>
      <c r="P339" s="137" t="s">
        <v>53</v>
      </c>
      <c r="Q339" s="137" t="s">
        <v>193</v>
      </c>
      <c r="R339" s="137" t="s">
        <v>193</v>
      </c>
      <c r="S339" s="137" t="s">
        <v>193</v>
      </c>
      <c r="T339" s="137" t="s">
        <v>193</v>
      </c>
      <c r="U339" s="137" t="s">
        <v>193</v>
      </c>
      <c r="X339" s="12">
        <f t="shared" si="5"/>
        <v>0</v>
      </c>
    </row>
    <row r="340" spans="1:24" ht="15" customHeight="1" x14ac:dyDescent="0.25">
      <c r="A340" s="137" t="s">
        <v>654</v>
      </c>
      <c r="B340" s="137" t="s">
        <v>657</v>
      </c>
      <c r="C340" s="137">
        <v>2018</v>
      </c>
      <c r="D340" s="137" t="s">
        <v>53</v>
      </c>
      <c r="E340" s="137" t="s">
        <v>193</v>
      </c>
      <c r="F340" s="137" t="s">
        <v>193</v>
      </c>
      <c r="G340" s="137" t="s">
        <v>193</v>
      </c>
      <c r="H340" s="137" t="s">
        <v>193</v>
      </c>
      <c r="I340" s="137" t="s">
        <v>193</v>
      </c>
      <c r="J340" s="137" t="s">
        <v>53</v>
      </c>
      <c r="K340" s="137" t="s">
        <v>193</v>
      </c>
      <c r="L340" s="137" t="s">
        <v>193</v>
      </c>
      <c r="M340" s="137" t="s">
        <v>193</v>
      </c>
      <c r="N340" s="137" t="s">
        <v>193</v>
      </c>
      <c r="O340" s="137" t="s">
        <v>193</v>
      </c>
      <c r="P340" s="137" t="s">
        <v>53</v>
      </c>
      <c r="Q340" s="137" t="s">
        <v>193</v>
      </c>
      <c r="R340" s="137" t="s">
        <v>193</v>
      </c>
      <c r="S340" s="137" t="s">
        <v>193</v>
      </c>
      <c r="T340" s="137" t="s">
        <v>193</v>
      </c>
      <c r="U340" s="137" t="s">
        <v>193</v>
      </c>
      <c r="X340" s="12">
        <f t="shared" si="5"/>
        <v>0</v>
      </c>
    </row>
    <row r="341" spans="1:24" ht="15" customHeight="1" x14ac:dyDescent="0.25">
      <c r="A341" s="137" t="s">
        <v>654</v>
      </c>
      <c r="B341" s="141" t="s">
        <v>11</v>
      </c>
      <c r="C341" s="137">
        <v>2018</v>
      </c>
      <c r="D341" s="137" t="s">
        <v>53</v>
      </c>
      <c r="E341" s="137" t="s">
        <v>193</v>
      </c>
      <c r="F341" s="137" t="s">
        <v>193</v>
      </c>
      <c r="G341" s="137" t="s">
        <v>193</v>
      </c>
      <c r="H341" s="137" t="s">
        <v>193</v>
      </c>
      <c r="I341" s="137" t="s">
        <v>193</v>
      </c>
      <c r="J341" s="137" t="s">
        <v>53</v>
      </c>
      <c r="K341" s="137" t="s">
        <v>193</v>
      </c>
      <c r="L341" s="137" t="s">
        <v>193</v>
      </c>
      <c r="M341" s="137" t="s">
        <v>193</v>
      </c>
      <c r="N341" s="137" t="s">
        <v>193</v>
      </c>
      <c r="O341" s="137" t="s">
        <v>193</v>
      </c>
      <c r="P341" s="137" t="s">
        <v>53</v>
      </c>
      <c r="Q341" s="137" t="s">
        <v>193</v>
      </c>
      <c r="R341" s="137" t="s">
        <v>193</v>
      </c>
      <c r="S341" s="137" t="s">
        <v>193</v>
      </c>
      <c r="T341" s="137" t="s">
        <v>193</v>
      </c>
      <c r="U341" s="137" t="s">
        <v>193</v>
      </c>
      <c r="X341" s="12">
        <f t="shared" si="5"/>
        <v>0</v>
      </c>
    </row>
    <row r="342" spans="1:24" ht="15" customHeight="1" x14ac:dyDescent="0.25">
      <c r="A342" s="137" t="s">
        <v>654</v>
      </c>
      <c r="B342" s="137" t="s">
        <v>658</v>
      </c>
      <c r="C342" s="137">
        <v>2018</v>
      </c>
      <c r="D342" s="137" t="s">
        <v>53</v>
      </c>
      <c r="E342" s="137" t="s">
        <v>193</v>
      </c>
      <c r="F342" s="137" t="s">
        <v>193</v>
      </c>
      <c r="G342" s="137" t="s">
        <v>193</v>
      </c>
      <c r="H342" s="137" t="s">
        <v>193</v>
      </c>
      <c r="I342" s="137" t="s">
        <v>193</v>
      </c>
      <c r="J342" s="137" t="s">
        <v>53</v>
      </c>
      <c r="K342" s="137" t="s">
        <v>193</v>
      </c>
      <c r="L342" s="137" t="s">
        <v>193</v>
      </c>
      <c r="M342" s="137" t="s">
        <v>193</v>
      </c>
      <c r="N342" s="137" t="s">
        <v>193</v>
      </c>
      <c r="O342" s="137" t="s">
        <v>193</v>
      </c>
      <c r="P342" s="137" t="s">
        <v>53</v>
      </c>
      <c r="Q342" s="137" t="s">
        <v>193</v>
      </c>
      <c r="R342" s="137" t="s">
        <v>193</v>
      </c>
      <c r="S342" s="137" t="s">
        <v>193</v>
      </c>
      <c r="T342" s="137" t="s">
        <v>193</v>
      </c>
      <c r="U342" s="137" t="s">
        <v>193</v>
      </c>
      <c r="X342" s="12">
        <f t="shared" si="5"/>
        <v>0</v>
      </c>
    </row>
    <row r="343" spans="1:24" ht="15" customHeight="1" x14ac:dyDescent="0.25">
      <c r="A343" s="137" t="s">
        <v>654</v>
      </c>
      <c r="B343" s="137" t="s">
        <v>659</v>
      </c>
      <c r="C343" s="137">
        <v>2018</v>
      </c>
      <c r="D343" s="137" t="s">
        <v>193</v>
      </c>
      <c r="E343" s="137" t="s">
        <v>193</v>
      </c>
      <c r="F343" s="137" t="s">
        <v>193</v>
      </c>
      <c r="G343" s="137" t="s">
        <v>193</v>
      </c>
      <c r="H343" s="137" t="s">
        <v>193</v>
      </c>
      <c r="I343" s="137" t="s">
        <v>193</v>
      </c>
      <c r="J343" s="137" t="s">
        <v>193</v>
      </c>
      <c r="K343" s="137" t="s">
        <v>193</v>
      </c>
      <c r="L343" s="137" t="s">
        <v>193</v>
      </c>
      <c r="M343" s="137" t="s">
        <v>193</v>
      </c>
      <c r="N343" s="137" t="s">
        <v>193</v>
      </c>
      <c r="O343" s="137" t="s">
        <v>193</v>
      </c>
      <c r="P343" s="137" t="s">
        <v>193</v>
      </c>
      <c r="Q343" s="137" t="s">
        <v>193</v>
      </c>
      <c r="R343" s="137" t="s">
        <v>193</v>
      </c>
      <c r="S343" s="137" t="s">
        <v>193</v>
      </c>
      <c r="T343" s="137" t="s">
        <v>193</v>
      </c>
      <c r="U343" s="137" t="s">
        <v>193</v>
      </c>
      <c r="X343" s="12">
        <f t="shared" si="5"/>
        <v>0</v>
      </c>
    </row>
    <row r="344" spans="1:24" ht="15" customHeight="1" x14ac:dyDescent="0.25">
      <c r="A344" s="137" t="s">
        <v>654</v>
      </c>
      <c r="B344" s="137" t="s">
        <v>660</v>
      </c>
      <c r="C344" s="137">
        <v>2018</v>
      </c>
      <c r="D344" s="137" t="s">
        <v>53</v>
      </c>
      <c r="E344" s="137" t="s">
        <v>193</v>
      </c>
      <c r="F344" s="137" t="s">
        <v>193</v>
      </c>
      <c r="G344" s="137" t="s">
        <v>193</v>
      </c>
      <c r="H344" s="137" t="s">
        <v>193</v>
      </c>
      <c r="I344" s="137" t="s">
        <v>193</v>
      </c>
      <c r="J344" s="137" t="s">
        <v>53</v>
      </c>
      <c r="K344" s="137" t="s">
        <v>193</v>
      </c>
      <c r="L344" s="137" t="s">
        <v>193</v>
      </c>
      <c r="M344" s="137" t="s">
        <v>193</v>
      </c>
      <c r="N344" s="137" t="s">
        <v>193</v>
      </c>
      <c r="O344" s="137" t="s">
        <v>193</v>
      </c>
      <c r="P344" s="137" t="s">
        <v>53</v>
      </c>
      <c r="Q344" s="137" t="s">
        <v>193</v>
      </c>
      <c r="R344" s="137" t="s">
        <v>193</v>
      </c>
      <c r="S344" s="137" t="s">
        <v>193</v>
      </c>
      <c r="T344" s="137" t="s">
        <v>193</v>
      </c>
      <c r="U344" s="137" t="s">
        <v>193</v>
      </c>
      <c r="X344" s="12">
        <f t="shared" si="5"/>
        <v>0</v>
      </c>
    </row>
    <row r="345" spans="1:24" ht="15" customHeight="1" x14ac:dyDescent="0.25">
      <c r="A345" s="137" t="s">
        <v>654</v>
      </c>
      <c r="B345" s="137" t="s">
        <v>661</v>
      </c>
      <c r="C345" s="137">
        <v>2018</v>
      </c>
      <c r="D345" s="137" t="s">
        <v>53</v>
      </c>
      <c r="E345" s="137" t="s">
        <v>193</v>
      </c>
      <c r="F345" s="137" t="s">
        <v>193</v>
      </c>
      <c r="G345" s="137" t="s">
        <v>193</v>
      </c>
      <c r="H345" s="137" t="s">
        <v>193</v>
      </c>
      <c r="I345" s="137" t="s">
        <v>193</v>
      </c>
      <c r="J345" s="137" t="s">
        <v>53</v>
      </c>
      <c r="K345" s="137" t="s">
        <v>193</v>
      </c>
      <c r="L345" s="137" t="s">
        <v>193</v>
      </c>
      <c r="M345" s="137" t="s">
        <v>193</v>
      </c>
      <c r="N345" s="137" t="s">
        <v>193</v>
      </c>
      <c r="O345" s="137" t="s">
        <v>193</v>
      </c>
      <c r="P345" s="137" t="s">
        <v>53</v>
      </c>
      <c r="Q345" s="137" t="s">
        <v>193</v>
      </c>
      <c r="R345" s="137" t="s">
        <v>193</v>
      </c>
      <c r="S345" s="137" t="s">
        <v>193</v>
      </c>
      <c r="T345" s="137" t="s">
        <v>193</v>
      </c>
      <c r="U345" s="137" t="s">
        <v>193</v>
      </c>
      <c r="X345" s="12">
        <f t="shared" si="5"/>
        <v>0</v>
      </c>
    </row>
    <row r="346" spans="1:24" ht="15" customHeight="1" x14ac:dyDescent="0.25">
      <c r="A346" s="137" t="s">
        <v>654</v>
      </c>
      <c r="B346" s="137" t="s">
        <v>662</v>
      </c>
      <c r="C346" s="137">
        <v>2018</v>
      </c>
      <c r="D346" s="137" t="s">
        <v>53</v>
      </c>
      <c r="E346" s="137" t="s">
        <v>193</v>
      </c>
      <c r="F346" s="137" t="s">
        <v>193</v>
      </c>
      <c r="G346" s="137" t="s">
        <v>193</v>
      </c>
      <c r="H346" s="137" t="s">
        <v>193</v>
      </c>
      <c r="I346" s="137" t="s">
        <v>193</v>
      </c>
      <c r="J346" s="137" t="s">
        <v>53</v>
      </c>
      <c r="K346" s="137" t="s">
        <v>193</v>
      </c>
      <c r="L346" s="137" t="s">
        <v>193</v>
      </c>
      <c r="M346" s="137" t="s">
        <v>193</v>
      </c>
      <c r="N346" s="137" t="s">
        <v>193</v>
      </c>
      <c r="O346" s="137" t="s">
        <v>193</v>
      </c>
      <c r="P346" s="137" t="s">
        <v>53</v>
      </c>
      <c r="Q346" s="137" t="s">
        <v>193</v>
      </c>
      <c r="R346" s="137" t="s">
        <v>193</v>
      </c>
      <c r="S346" s="137" t="s">
        <v>193</v>
      </c>
      <c r="T346" s="137" t="s">
        <v>193</v>
      </c>
      <c r="U346" s="137" t="s">
        <v>193</v>
      </c>
      <c r="X346" s="12">
        <f t="shared" si="5"/>
        <v>0</v>
      </c>
    </row>
    <row r="347" spans="1:24" ht="15" customHeight="1" x14ac:dyDescent="0.25">
      <c r="A347" s="137" t="s">
        <v>654</v>
      </c>
      <c r="B347" s="137" t="s">
        <v>663</v>
      </c>
      <c r="C347" s="137">
        <v>2018</v>
      </c>
      <c r="D347" s="137" t="s">
        <v>53</v>
      </c>
      <c r="E347" s="137" t="s">
        <v>193</v>
      </c>
      <c r="F347" s="137" t="s">
        <v>193</v>
      </c>
      <c r="G347" s="137" t="s">
        <v>193</v>
      </c>
      <c r="H347" s="137" t="s">
        <v>193</v>
      </c>
      <c r="I347" s="137" t="s">
        <v>193</v>
      </c>
      <c r="J347" s="137" t="s">
        <v>53</v>
      </c>
      <c r="K347" s="137" t="s">
        <v>193</v>
      </c>
      <c r="L347" s="137" t="s">
        <v>193</v>
      </c>
      <c r="M347" s="137" t="s">
        <v>193</v>
      </c>
      <c r="N347" s="137" t="s">
        <v>193</v>
      </c>
      <c r="O347" s="137" t="s">
        <v>193</v>
      </c>
      <c r="P347" s="137" t="s">
        <v>53</v>
      </c>
      <c r="Q347" s="137" t="s">
        <v>193</v>
      </c>
      <c r="R347" s="137" t="s">
        <v>193</v>
      </c>
      <c r="S347" s="137" t="s">
        <v>193</v>
      </c>
      <c r="T347" s="137" t="s">
        <v>193</v>
      </c>
      <c r="U347" s="137" t="s">
        <v>193</v>
      </c>
      <c r="X347" s="12">
        <f t="shared" si="5"/>
        <v>0</v>
      </c>
    </row>
    <row r="348" spans="1:24" ht="15" customHeight="1" x14ac:dyDescent="0.25">
      <c r="A348" s="137" t="s">
        <v>7</v>
      </c>
      <c r="B348" s="137" t="s">
        <v>664</v>
      </c>
      <c r="C348" s="137">
        <v>2018</v>
      </c>
      <c r="D348" s="137" t="s">
        <v>53</v>
      </c>
      <c r="E348" s="137" t="s">
        <v>193</v>
      </c>
      <c r="F348" s="137" t="s">
        <v>193</v>
      </c>
      <c r="G348" s="137" t="s">
        <v>193</v>
      </c>
      <c r="H348" s="137" t="s">
        <v>193</v>
      </c>
      <c r="I348" s="137" t="s">
        <v>193</v>
      </c>
      <c r="J348" s="137" t="s">
        <v>53</v>
      </c>
      <c r="K348" s="137" t="s">
        <v>193</v>
      </c>
      <c r="L348" s="137" t="s">
        <v>193</v>
      </c>
      <c r="M348" s="137" t="s">
        <v>193</v>
      </c>
      <c r="N348" s="137" t="s">
        <v>193</v>
      </c>
      <c r="O348" s="137" t="s">
        <v>193</v>
      </c>
      <c r="P348" s="137" t="s">
        <v>53</v>
      </c>
      <c r="Q348" s="137" t="s">
        <v>193</v>
      </c>
      <c r="R348" s="137" t="s">
        <v>193</v>
      </c>
      <c r="S348" s="137" t="s">
        <v>193</v>
      </c>
      <c r="T348" s="137" t="s">
        <v>193</v>
      </c>
      <c r="U348" s="137" t="s">
        <v>193</v>
      </c>
      <c r="X348" s="12">
        <f t="shared" si="5"/>
        <v>0</v>
      </c>
    </row>
    <row r="349" spans="1:24" ht="15" customHeight="1" x14ac:dyDescent="0.25">
      <c r="A349" s="137" t="s">
        <v>7</v>
      </c>
      <c r="B349" s="137" t="s">
        <v>8</v>
      </c>
      <c r="C349" s="137">
        <v>2018</v>
      </c>
      <c r="D349" s="137" t="s">
        <v>53</v>
      </c>
      <c r="E349" s="137" t="s">
        <v>193</v>
      </c>
      <c r="F349" s="137" t="s">
        <v>193</v>
      </c>
      <c r="G349" s="137" t="s">
        <v>193</v>
      </c>
      <c r="H349" s="137" t="s">
        <v>193</v>
      </c>
      <c r="I349" s="137" t="s">
        <v>193</v>
      </c>
      <c r="J349" s="137" t="s">
        <v>53</v>
      </c>
      <c r="K349" s="137" t="s">
        <v>193</v>
      </c>
      <c r="L349" s="137" t="s">
        <v>193</v>
      </c>
      <c r="M349" s="137" t="s">
        <v>193</v>
      </c>
      <c r="N349" s="137" t="s">
        <v>193</v>
      </c>
      <c r="O349" s="137" t="s">
        <v>193</v>
      </c>
      <c r="P349" s="137" t="s">
        <v>53</v>
      </c>
      <c r="Q349" s="137" t="s">
        <v>193</v>
      </c>
      <c r="R349" s="137" t="s">
        <v>193</v>
      </c>
      <c r="S349" s="137" t="s">
        <v>193</v>
      </c>
      <c r="T349" s="137" t="s">
        <v>193</v>
      </c>
      <c r="U349" s="137" t="s">
        <v>193</v>
      </c>
      <c r="X349" s="12">
        <f t="shared" si="5"/>
        <v>0</v>
      </c>
    </row>
    <row r="350" spans="1:24" ht="15" customHeight="1" x14ac:dyDescent="0.25">
      <c r="A350" s="137" t="s">
        <v>665</v>
      </c>
      <c r="B350" s="137" t="s">
        <v>666</v>
      </c>
      <c r="C350" s="137">
        <v>2018</v>
      </c>
      <c r="D350" s="137" t="s">
        <v>837</v>
      </c>
      <c r="E350" s="137" t="s">
        <v>769</v>
      </c>
      <c r="F350" s="137">
        <v>5.5149999999999997</v>
      </c>
      <c r="G350" s="137" t="s">
        <v>193</v>
      </c>
      <c r="H350" s="137" t="s">
        <v>193</v>
      </c>
      <c r="I350" s="137">
        <v>87</v>
      </c>
      <c r="J350" s="137" t="s">
        <v>53</v>
      </c>
      <c r="K350" s="137" t="s">
        <v>193</v>
      </c>
      <c r="L350" s="137" t="s">
        <v>193</v>
      </c>
      <c r="M350" s="137" t="s">
        <v>193</v>
      </c>
      <c r="N350" s="137" t="s">
        <v>193</v>
      </c>
      <c r="O350" s="137" t="s">
        <v>193</v>
      </c>
      <c r="P350" s="137" t="s">
        <v>53</v>
      </c>
      <c r="Q350" s="137" t="s">
        <v>193</v>
      </c>
      <c r="R350" s="137" t="s">
        <v>193</v>
      </c>
      <c r="S350" s="137" t="s">
        <v>193</v>
      </c>
      <c r="T350" s="137" t="s">
        <v>193</v>
      </c>
      <c r="U350" s="137" t="s">
        <v>193</v>
      </c>
      <c r="X350" s="12">
        <f t="shared" si="5"/>
        <v>0</v>
      </c>
    </row>
    <row r="351" spans="1:24" ht="15" customHeight="1" x14ac:dyDescent="0.25">
      <c r="A351" s="137" t="s">
        <v>665</v>
      </c>
      <c r="B351" s="137" t="s">
        <v>667</v>
      </c>
      <c r="C351" s="137">
        <v>2018</v>
      </c>
      <c r="D351" s="137" t="s">
        <v>53</v>
      </c>
      <c r="E351" s="137" t="s">
        <v>193</v>
      </c>
      <c r="F351" s="137" t="s">
        <v>193</v>
      </c>
      <c r="G351" s="137" t="s">
        <v>193</v>
      </c>
      <c r="H351" s="137" t="s">
        <v>193</v>
      </c>
      <c r="I351" s="137" t="s">
        <v>193</v>
      </c>
      <c r="J351" s="137" t="s">
        <v>53</v>
      </c>
      <c r="K351" s="137" t="s">
        <v>193</v>
      </c>
      <c r="L351" s="137" t="s">
        <v>193</v>
      </c>
      <c r="M351" s="137" t="s">
        <v>193</v>
      </c>
      <c r="N351" s="137" t="s">
        <v>193</v>
      </c>
      <c r="O351" s="137" t="s">
        <v>193</v>
      </c>
      <c r="P351" s="137" t="s">
        <v>53</v>
      </c>
      <c r="Q351" s="137" t="s">
        <v>193</v>
      </c>
      <c r="R351" s="137" t="s">
        <v>193</v>
      </c>
      <c r="S351" s="137" t="s">
        <v>193</v>
      </c>
      <c r="T351" s="137" t="s">
        <v>193</v>
      </c>
      <c r="U351" s="137" t="s">
        <v>193</v>
      </c>
      <c r="X351" s="12">
        <f t="shared" si="5"/>
        <v>0</v>
      </c>
    </row>
    <row r="352" spans="1:24" ht="15" customHeight="1" x14ac:dyDescent="0.25">
      <c r="A352" s="137" t="s">
        <v>665</v>
      </c>
      <c r="B352" s="137" t="s">
        <v>668</v>
      </c>
      <c r="C352" s="137">
        <v>2018</v>
      </c>
      <c r="D352" s="137" t="s">
        <v>53</v>
      </c>
      <c r="E352" s="137" t="s">
        <v>193</v>
      </c>
      <c r="F352" s="137" t="s">
        <v>193</v>
      </c>
      <c r="G352" s="137" t="s">
        <v>193</v>
      </c>
      <c r="H352" s="137" t="s">
        <v>193</v>
      </c>
      <c r="I352" s="137" t="s">
        <v>193</v>
      </c>
      <c r="J352" s="137" t="s">
        <v>53</v>
      </c>
      <c r="K352" s="137" t="s">
        <v>193</v>
      </c>
      <c r="L352" s="137" t="s">
        <v>193</v>
      </c>
      <c r="M352" s="137" t="s">
        <v>193</v>
      </c>
      <c r="N352" s="137" t="s">
        <v>193</v>
      </c>
      <c r="O352" s="137" t="s">
        <v>193</v>
      </c>
      <c r="P352" s="137" t="s">
        <v>53</v>
      </c>
      <c r="Q352" s="137" t="s">
        <v>193</v>
      </c>
      <c r="R352" s="137" t="s">
        <v>193</v>
      </c>
      <c r="S352" s="137" t="s">
        <v>193</v>
      </c>
      <c r="T352" s="137" t="s">
        <v>193</v>
      </c>
      <c r="U352" s="137" t="s">
        <v>193</v>
      </c>
      <c r="X352" s="12">
        <f t="shared" si="5"/>
        <v>0</v>
      </c>
    </row>
    <row r="353" spans="1:24" ht="15" customHeight="1" x14ac:dyDescent="0.25">
      <c r="A353" s="137" t="s">
        <v>665</v>
      </c>
      <c r="B353" s="137" t="s">
        <v>669</v>
      </c>
      <c r="C353" s="137">
        <v>2018</v>
      </c>
      <c r="D353" s="137" t="s">
        <v>53</v>
      </c>
      <c r="E353" s="137" t="s">
        <v>193</v>
      </c>
      <c r="F353" s="137" t="s">
        <v>193</v>
      </c>
      <c r="G353" s="137" t="s">
        <v>193</v>
      </c>
      <c r="H353" s="137" t="s">
        <v>193</v>
      </c>
      <c r="I353" s="137" t="s">
        <v>193</v>
      </c>
      <c r="J353" s="137" t="s">
        <v>53</v>
      </c>
      <c r="K353" s="137" t="s">
        <v>193</v>
      </c>
      <c r="L353" s="137" t="s">
        <v>193</v>
      </c>
      <c r="M353" s="137" t="s">
        <v>193</v>
      </c>
      <c r="N353" s="137" t="s">
        <v>193</v>
      </c>
      <c r="O353" s="137" t="s">
        <v>193</v>
      </c>
      <c r="P353" s="137" t="s">
        <v>53</v>
      </c>
      <c r="Q353" s="137" t="s">
        <v>193</v>
      </c>
      <c r="R353" s="137" t="s">
        <v>193</v>
      </c>
      <c r="S353" s="137" t="s">
        <v>193</v>
      </c>
      <c r="T353" s="137" t="s">
        <v>193</v>
      </c>
      <c r="U353" s="137" t="s">
        <v>193</v>
      </c>
      <c r="X353" s="12">
        <f t="shared" si="5"/>
        <v>0</v>
      </c>
    </row>
    <row r="354" spans="1:24" ht="15" customHeight="1" x14ac:dyDescent="0.25">
      <c r="A354" s="137" t="s">
        <v>665</v>
      </c>
      <c r="B354" s="137" t="s">
        <v>670</v>
      </c>
      <c r="C354" s="137">
        <v>2018</v>
      </c>
      <c r="D354" s="137" t="s">
        <v>53</v>
      </c>
      <c r="E354" s="137" t="s">
        <v>193</v>
      </c>
      <c r="F354" s="137" t="s">
        <v>193</v>
      </c>
      <c r="G354" s="137" t="s">
        <v>193</v>
      </c>
      <c r="H354" s="137" t="s">
        <v>193</v>
      </c>
      <c r="I354" s="137" t="s">
        <v>193</v>
      </c>
      <c r="J354" s="137" t="s">
        <v>53</v>
      </c>
      <c r="K354" s="137" t="s">
        <v>193</v>
      </c>
      <c r="L354" s="137" t="s">
        <v>193</v>
      </c>
      <c r="M354" s="137" t="s">
        <v>193</v>
      </c>
      <c r="N354" s="137" t="s">
        <v>193</v>
      </c>
      <c r="O354" s="137" t="s">
        <v>193</v>
      </c>
      <c r="P354" s="137" t="s">
        <v>53</v>
      </c>
      <c r="Q354" s="137" t="s">
        <v>193</v>
      </c>
      <c r="R354" s="137" t="s">
        <v>193</v>
      </c>
      <c r="S354" s="137" t="s">
        <v>193</v>
      </c>
      <c r="T354" s="137" t="s">
        <v>193</v>
      </c>
      <c r="U354" s="137" t="s">
        <v>193</v>
      </c>
      <c r="X354" s="12">
        <f t="shared" si="5"/>
        <v>0</v>
      </c>
    </row>
    <row r="355" spans="1:24" ht="15" customHeight="1" x14ac:dyDescent="0.25">
      <c r="A355" s="137" t="s">
        <v>671</v>
      </c>
      <c r="B355" s="137" t="s">
        <v>672</v>
      </c>
      <c r="C355" s="137">
        <v>2018</v>
      </c>
      <c r="D355" s="137" t="s">
        <v>53</v>
      </c>
      <c r="E355" s="137" t="s">
        <v>193</v>
      </c>
      <c r="F355" s="137" t="s">
        <v>193</v>
      </c>
      <c r="G355" s="137" t="s">
        <v>193</v>
      </c>
      <c r="H355" s="137" t="s">
        <v>193</v>
      </c>
      <c r="I355" s="137" t="s">
        <v>193</v>
      </c>
      <c r="J355" s="137" t="s">
        <v>53</v>
      </c>
      <c r="K355" s="137" t="s">
        <v>193</v>
      </c>
      <c r="L355" s="137" t="s">
        <v>193</v>
      </c>
      <c r="M355" s="137" t="s">
        <v>193</v>
      </c>
      <c r="N355" s="137" t="s">
        <v>193</v>
      </c>
      <c r="O355" s="137" t="s">
        <v>193</v>
      </c>
      <c r="P355" s="137" t="s">
        <v>53</v>
      </c>
      <c r="Q355" s="137" t="s">
        <v>193</v>
      </c>
      <c r="R355" s="137" t="s">
        <v>193</v>
      </c>
      <c r="S355" s="137" t="s">
        <v>193</v>
      </c>
      <c r="T355" s="137" t="s">
        <v>193</v>
      </c>
      <c r="U355" s="137" t="s">
        <v>193</v>
      </c>
      <c r="X355" s="12">
        <f t="shared" si="5"/>
        <v>0</v>
      </c>
    </row>
    <row r="356" spans="1:24" ht="15" customHeight="1" x14ac:dyDescent="0.25">
      <c r="A356" s="137" t="s">
        <v>671</v>
      </c>
      <c r="B356" s="137" t="s">
        <v>673</v>
      </c>
      <c r="C356" s="137">
        <v>2018</v>
      </c>
      <c r="D356" s="137" t="s">
        <v>53</v>
      </c>
      <c r="E356" s="137" t="s">
        <v>53</v>
      </c>
      <c r="F356" s="137" t="s">
        <v>53</v>
      </c>
      <c r="G356" s="137" t="s">
        <v>53</v>
      </c>
      <c r="H356" s="137" t="s">
        <v>53</v>
      </c>
      <c r="I356" s="137" t="s">
        <v>53</v>
      </c>
      <c r="J356" s="137" t="s">
        <v>53</v>
      </c>
      <c r="K356" s="137" t="s">
        <v>53</v>
      </c>
      <c r="L356" s="137" t="s">
        <v>53</v>
      </c>
      <c r="M356" s="137" t="s">
        <v>53</v>
      </c>
      <c r="N356" s="137" t="s">
        <v>53</v>
      </c>
      <c r="O356" s="137" t="s">
        <v>53</v>
      </c>
      <c r="P356" s="137" t="s">
        <v>53</v>
      </c>
      <c r="Q356" s="137" t="s">
        <v>53</v>
      </c>
      <c r="R356" s="137" t="s">
        <v>53</v>
      </c>
      <c r="S356" s="137" t="s">
        <v>53</v>
      </c>
      <c r="T356" s="137" t="s">
        <v>53</v>
      </c>
      <c r="U356" s="137" t="s">
        <v>53</v>
      </c>
      <c r="X356" s="12">
        <f t="shared" si="5"/>
        <v>0</v>
      </c>
    </row>
    <row r="357" spans="1:24" ht="15" customHeight="1" x14ac:dyDescent="0.25">
      <c r="A357" s="137" t="s">
        <v>671</v>
      </c>
      <c r="B357" s="137" t="s">
        <v>674</v>
      </c>
      <c r="C357" s="137">
        <v>2018</v>
      </c>
      <c r="D357" s="137" t="s">
        <v>53</v>
      </c>
      <c r="E357" s="137" t="s">
        <v>193</v>
      </c>
      <c r="F357" s="137" t="s">
        <v>193</v>
      </c>
      <c r="G357" s="137" t="s">
        <v>193</v>
      </c>
      <c r="H357" s="137" t="s">
        <v>193</v>
      </c>
      <c r="I357" s="137" t="s">
        <v>193</v>
      </c>
      <c r="J357" s="137" t="s">
        <v>53</v>
      </c>
      <c r="K357" s="137" t="s">
        <v>193</v>
      </c>
      <c r="L357" s="137" t="s">
        <v>193</v>
      </c>
      <c r="M357" s="137" t="s">
        <v>193</v>
      </c>
      <c r="N357" s="137" t="s">
        <v>193</v>
      </c>
      <c r="O357" s="137" t="s">
        <v>193</v>
      </c>
      <c r="P357" s="137" t="s">
        <v>53</v>
      </c>
      <c r="Q357" s="137" t="s">
        <v>193</v>
      </c>
      <c r="R357" s="137" t="s">
        <v>193</v>
      </c>
      <c r="S357" s="137" t="s">
        <v>193</v>
      </c>
      <c r="T357" s="137" t="s">
        <v>193</v>
      </c>
      <c r="U357" s="137" t="s">
        <v>193</v>
      </c>
      <c r="X357" s="12">
        <f t="shared" si="5"/>
        <v>0</v>
      </c>
    </row>
    <row r="358" spans="1:24" ht="15" customHeight="1" x14ac:dyDescent="0.25">
      <c r="A358" s="137" t="s">
        <v>52</v>
      </c>
      <c r="B358" s="137" t="s">
        <v>675</v>
      </c>
      <c r="C358" s="137">
        <v>2018</v>
      </c>
      <c r="D358" s="137" t="s">
        <v>838</v>
      </c>
      <c r="E358" s="137" t="s">
        <v>769</v>
      </c>
      <c r="F358" s="137">
        <v>6.109</v>
      </c>
      <c r="G358" s="137" t="s">
        <v>193</v>
      </c>
      <c r="H358" s="137" t="s">
        <v>193</v>
      </c>
      <c r="I358" s="137" t="s">
        <v>193</v>
      </c>
      <c r="J358" s="137" t="s">
        <v>53</v>
      </c>
      <c r="K358" s="137" t="s">
        <v>193</v>
      </c>
      <c r="L358" s="137" t="s">
        <v>193</v>
      </c>
      <c r="M358" s="137" t="s">
        <v>193</v>
      </c>
      <c r="N358" s="137" t="s">
        <v>193</v>
      </c>
      <c r="O358" s="137" t="s">
        <v>193</v>
      </c>
      <c r="P358" s="137" t="s">
        <v>53</v>
      </c>
      <c r="Q358" s="137" t="s">
        <v>193</v>
      </c>
      <c r="R358" s="137" t="s">
        <v>193</v>
      </c>
      <c r="S358" s="137" t="s">
        <v>193</v>
      </c>
      <c r="T358" s="137" t="s">
        <v>193</v>
      </c>
      <c r="U358" s="137" t="s">
        <v>193</v>
      </c>
      <c r="X358" s="12">
        <f t="shared" si="5"/>
        <v>0</v>
      </c>
    </row>
    <row r="359" spans="1:24" ht="15" customHeight="1" x14ac:dyDescent="0.25">
      <c r="A359" s="137" t="s">
        <v>52</v>
      </c>
      <c r="B359" s="137" t="s">
        <v>676</v>
      </c>
      <c r="C359" s="137">
        <v>2018</v>
      </c>
      <c r="D359" s="137" t="s">
        <v>53</v>
      </c>
      <c r="E359" s="137" t="s">
        <v>193</v>
      </c>
      <c r="F359" s="137" t="s">
        <v>193</v>
      </c>
      <c r="G359" s="137" t="s">
        <v>193</v>
      </c>
      <c r="H359" s="137" t="s">
        <v>193</v>
      </c>
      <c r="I359" s="137" t="s">
        <v>193</v>
      </c>
      <c r="J359" s="137" t="s">
        <v>53</v>
      </c>
      <c r="K359" s="137" t="s">
        <v>193</v>
      </c>
      <c r="L359" s="137" t="s">
        <v>193</v>
      </c>
      <c r="M359" s="137" t="s">
        <v>193</v>
      </c>
      <c r="N359" s="137" t="s">
        <v>193</v>
      </c>
      <c r="O359" s="137" t="s">
        <v>193</v>
      </c>
      <c r="P359" s="137" t="s">
        <v>53</v>
      </c>
      <c r="Q359" s="137" t="s">
        <v>193</v>
      </c>
      <c r="R359" s="137" t="s">
        <v>193</v>
      </c>
      <c r="S359" s="137" t="s">
        <v>193</v>
      </c>
      <c r="T359" s="137" t="s">
        <v>193</v>
      </c>
      <c r="U359" s="137" t="s">
        <v>193</v>
      </c>
      <c r="X359" s="12">
        <f t="shared" si="5"/>
        <v>0</v>
      </c>
    </row>
    <row r="360" spans="1:24" ht="15" customHeight="1" x14ac:dyDescent="0.25">
      <c r="A360" s="137" t="s">
        <v>52</v>
      </c>
      <c r="B360" s="137" t="s">
        <v>677</v>
      </c>
      <c r="C360" s="137">
        <v>2018</v>
      </c>
      <c r="D360" s="137" t="s">
        <v>839</v>
      </c>
      <c r="E360" s="137" t="s">
        <v>769</v>
      </c>
      <c r="F360" s="137">
        <v>0.66</v>
      </c>
      <c r="G360" s="137" t="s">
        <v>840</v>
      </c>
      <c r="H360" s="137">
        <v>0.32800000000000001</v>
      </c>
      <c r="I360" s="137">
        <v>89</v>
      </c>
      <c r="J360" s="137" t="s">
        <v>53</v>
      </c>
      <c r="K360" s="137" t="s">
        <v>193</v>
      </c>
      <c r="L360" s="137" t="s">
        <v>193</v>
      </c>
      <c r="M360" s="137" t="s">
        <v>193</v>
      </c>
      <c r="N360" s="137" t="s">
        <v>193</v>
      </c>
      <c r="O360" s="137" t="s">
        <v>193</v>
      </c>
      <c r="P360" s="137" t="s">
        <v>53</v>
      </c>
      <c r="Q360" s="137" t="s">
        <v>193</v>
      </c>
      <c r="R360" s="137" t="s">
        <v>193</v>
      </c>
      <c r="S360" s="137" t="s">
        <v>193</v>
      </c>
      <c r="T360" s="137" t="s">
        <v>193</v>
      </c>
      <c r="U360" s="137" t="s">
        <v>193</v>
      </c>
      <c r="X360" s="12">
        <f t="shared" si="5"/>
        <v>0</v>
      </c>
    </row>
    <row r="361" spans="1:24" ht="15" customHeight="1" x14ac:dyDescent="0.25">
      <c r="A361" s="137" t="s">
        <v>52</v>
      </c>
      <c r="B361" s="137" t="s">
        <v>678</v>
      </c>
      <c r="C361" s="137">
        <v>2018</v>
      </c>
      <c r="D361" s="137" t="s">
        <v>53</v>
      </c>
      <c r="E361" s="137" t="s">
        <v>193</v>
      </c>
      <c r="F361" s="137" t="s">
        <v>193</v>
      </c>
      <c r="G361" s="137" t="s">
        <v>193</v>
      </c>
      <c r="H361" s="137" t="s">
        <v>193</v>
      </c>
      <c r="I361" s="137" t="s">
        <v>193</v>
      </c>
      <c r="J361" s="137" t="s">
        <v>53</v>
      </c>
      <c r="K361" s="137" t="s">
        <v>193</v>
      </c>
      <c r="L361" s="137" t="s">
        <v>193</v>
      </c>
      <c r="M361" s="137" t="s">
        <v>193</v>
      </c>
      <c r="N361" s="137" t="s">
        <v>193</v>
      </c>
      <c r="O361" s="137" t="s">
        <v>193</v>
      </c>
      <c r="P361" s="137" t="s">
        <v>53</v>
      </c>
      <c r="Q361" s="137" t="s">
        <v>193</v>
      </c>
      <c r="R361" s="137" t="s">
        <v>193</v>
      </c>
      <c r="S361" s="137" t="s">
        <v>193</v>
      </c>
      <c r="T361" s="137" t="s">
        <v>193</v>
      </c>
      <c r="U361" s="137" t="s">
        <v>193</v>
      </c>
      <c r="X361" s="12">
        <f t="shared" si="5"/>
        <v>0</v>
      </c>
    </row>
    <row r="362" spans="1:24" ht="15" customHeight="1" x14ac:dyDescent="0.25">
      <c r="A362" s="137" t="s">
        <v>52</v>
      </c>
      <c r="B362" s="137" t="s">
        <v>679</v>
      </c>
      <c r="C362" s="137">
        <v>2018</v>
      </c>
      <c r="D362" s="137" t="s">
        <v>53</v>
      </c>
      <c r="E362" s="137" t="s">
        <v>193</v>
      </c>
      <c r="F362" s="137" t="s">
        <v>193</v>
      </c>
      <c r="G362" s="137" t="s">
        <v>193</v>
      </c>
      <c r="H362" s="137" t="s">
        <v>193</v>
      </c>
      <c r="I362" s="137" t="s">
        <v>193</v>
      </c>
      <c r="J362" s="137" t="s">
        <v>53</v>
      </c>
      <c r="K362" s="137" t="s">
        <v>193</v>
      </c>
      <c r="L362" s="137" t="s">
        <v>193</v>
      </c>
      <c r="M362" s="137" t="s">
        <v>193</v>
      </c>
      <c r="N362" s="137" t="s">
        <v>193</v>
      </c>
      <c r="O362" s="137" t="s">
        <v>193</v>
      </c>
      <c r="P362" s="137" t="s">
        <v>53</v>
      </c>
      <c r="Q362" s="137" t="s">
        <v>193</v>
      </c>
      <c r="R362" s="137" t="s">
        <v>193</v>
      </c>
      <c r="S362" s="137" t="s">
        <v>193</v>
      </c>
      <c r="T362" s="137" t="s">
        <v>193</v>
      </c>
      <c r="U362" s="137" t="s">
        <v>193</v>
      </c>
      <c r="X362" s="12">
        <f t="shared" si="5"/>
        <v>0</v>
      </c>
    </row>
    <row r="363" spans="1:24" ht="15" customHeight="1" x14ac:dyDescent="0.25">
      <c r="A363" s="137" t="s">
        <v>52</v>
      </c>
      <c r="B363" s="137" t="s">
        <v>680</v>
      </c>
      <c r="C363" s="137">
        <v>2018</v>
      </c>
      <c r="D363" s="137" t="s">
        <v>53</v>
      </c>
      <c r="E363" s="137" t="s">
        <v>193</v>
      </c>
      <c r="F363" s="137" t="s">
        <v>193</v>
      </c>
      <c r="G363" s="137" t="s">
        <v>193</v>
      </c>
      <c r="H363" s="137" t="s">
        <v>193</v>
      </c>
      <c r="I363" s="137" t="s">
        <v>193</v>
      </c>
      <c r="J363" s="137" t="s">
        <v>53</v>
      </c>
      <c r="K363" s="137" t="s">
        <v>193</v>
      </c>
      <c r="L363" s="137" t="s">
        <v>193</v>
      </c>
      <c r="M363" s="137" t="s">
        <v>193</v>
      </c>
      <c r="N363" s="137" t="s">
        <v>193</v>
      </c>
      <c r="O363" s="137" t="s">
        <v>193</v>
      </c>
      <c r="P363" s="137" t="s">
        <v>53</v>
      </c>
      <c r="Q363" s="137" t="s">
        <v>193</v>
      </c>
      <c r="R363" s="137" t="s">
        <v>193</v>
      </c>
      <c r="S363" s="137" t="s">
        <v>193</v>
      </c>
      <c r="T363" s="137" t="s">
        <v>193</v>
      </c>
      <c r="U363" s="137" t="s">
        <v>193</v>
      </c>
      <c r="X363" s="12">
        <f t="shared" si="5"/>
        <v>0</v>
      </c>
    </row>
    <row r="364" spans="1:24" ht="15" customHeight="1" x14ac:dyDescent="0.25">
      <c r="A364" s="137" t="s">
        <v>52</v>
      </c>
      <c r="B364" s="137" t="s">
        <v>681</v>
      </c>
      <c r="C364" s="137">
        <v>2018</v>
      </c>
      <c r="D364" s="137" t="s">
        <v>53</v>
      </c>
      <c r="E364" s="137" t="s">
        <v>193</v>
      </c>
      <c r="F364" s="137" t="s">
        <v>193</v>
      </c>
      <c r="G364" s="137" t="s">
        <v>193</v>
      </c>
      <c r="H364" s="137" t="s">
        <v>193</v>
      </c>
      <c r="I364" s="137" t="s">
        <v>193</v>
      </c>
      <c r="J364" s="137" t="s">
        <v>53</v>
      </c>
      <c r="K364" s="137" t="s">
        <v>193</v>
      </c>
      <c r="L364" s="137" t="s">
        <v>193</v>
      </c>
      <c r="M364" s="137" t="s">
        <v>193</v>
      </c>
      <c r="N364" s="137" t="s">
        <v>193</v>
      </c>
      <c r="O364" s="137" t="s">
        <v>193</v>
      </c>
      <c r="P364" s="137" t="s">
        <v>53</v>
      </c>
      <c r="Q364" s="137" t="s">
        <v>193</v>
      </c>
      <c r="R364" s="137" t="s">
        <v>193</v>
      </c>
      <c r="S364" s="137" t="s">
        <v>193</v>
      </c>
      <c r="T364" s="137" t="s">
        <v>193</v>
      </c>
      <c r="U364" s="137" t="s">
        <v>193</v>
      </c>
      <c r="X364" s="12">
        <f t="shared" si="5"/>
        <v>0</v>
      </c>
    </row>
    <row r="365" spans="1:24" ht="15" customHeight="1" x14ac:dyDescent="0.25">
      <c r="A365" s="137" t="s">
        <v>52</v>
      </c>
      <c r="B365" s="137" t="s">
        <v>682</v>
      </c>
      <c r="C365" s="137">
        <v>2018</v>
      </c>
      <c r="D365" s="137" t="s">
        <v>841</v>
      </c>
      <c r="E365" s="137" t="s">
        <v>769</v>
      </c>
      <c r="F365" s="137">
        <v>5.1289999999999996</v>
      </c>
      <c r="G365" s="137" t="s">
        <v>783</v>
      </c>
      <c r="H365" s="137">
        <v>0.59899999999999998</v>
      </c>
      <c r="I365" s="137" t="s">
        <v>193</v>
      </c>
      <c r="J365" s="137" t="s">
        <v>53</v>
      </c>
      <c r="K365" s="137" t="s">
        <v>193</v>
      </c>
      <c r="L365" s="137" t="s">
        <v>193</v>
      </c>
      <c r="M365" s="137" t="s">
        <v>193</v>
      </c>
      <c r="N365" s="137" t="s">
        <v>193</v>
      </c>
      <c r="O365" s="137" t="s">
        <v>193</v>
      </c>
      <c r="P365" s="137" t="s">
        <v>53</v>
      </c>
      <c r="Q365" s="137" t="s">
        <v>193</v>
      </c>
      <c r="R365" s="137" t="s">
        <v>193</v>
      </c>
      <c r="S365" s="137" t="s">
        <v>193</v>
      </c>
      <c r="T365" s="137" t="s">
        <v>193</v>
      </c>
      <c r="U365" s="137" t="s">
        <v>193</v>
      </c>
      <c r="X365" s="12">
        <f t="shared" si="5"/>
        <v>0</v>
      </c>
    </row>
    <row r="366" spans="1:24" ht="15" customHeight="1" x14ac:dyDescent="0.25">
      <c r="A366" s="137" t="s">
        <v>52</v>
      </c>
      <c r="B366" s="137" t="s">
        <v>683</v>
      </c>
      <c r="C366" s="137">
        <v>2018</v>
      </c>
      <c r="D366" s="137" t="s">
        <v>53</v>
      </c>
      <c r="E366" s="137" t="s">
        <v>193</v>
      </c>
      <c r="F366" s="137" t="s">
        <v>193</v>
      </c>
      <c r="G366" s="137" t="s">
        <v>193</v>
      </c>
      <c r="H366" s="137" t="s">
        <v>193</v>
      </c>
      <c r="I366" s="137" t="s">
        <v>193</v>
      </c>
      <c r="J366" s="137" t="s">
        <v>53</v>
      </c>
      <c r="K366" s="137" t="s">
        <v>193</v>
      </c>
      <c r="L366" s="137" t="s">
        <v>193</v>
      </c>
      <c r="M366" s="137" t="s">
        <v>193</v>
      </c>
      <c r="N366" s="137" t="s">
        <v>193</v>
      </c>
      <c r="O366" s="137" t="s">
        <v>193</v>
      </c>
      <c r="P366" s="137" t="s">
        <v>53</v>
      </c>
      <c r="Q366" s="137" t="s">
        <v>193</v>
      </c>
      <c r="R366" s="137" t="s">
        <v>193</v>
      </c>
      <c r="S366" s="137" t="s">
        <v>193</v>
      </c>
      <c r="T366" s="137" t="s">
        <v>193</v>
      </c>
      <c r="U366" s="137" t="s">
        <v>193</v>
      </c>
      <c r="X366" s="12">
        <f t="shared" si="5"/>
        <v>0</v>
      </c>
    </row>
    <row r="367" spans="1:24" ht="15" customHeight="1" x14ac:dyDescent="0.25">
      <c r="A367" s="137" t="s">
        <v>52</v>
      </c>
      <c r="B367" s="137" t="s">
        <v>684</v>
      </c>
      <c r="C367" s="137">
        <v>2018</v>
      </c>
      <c r="D367" s="137" t="s">
        <v>53</v>
      </c>
      <c r="E367" s="137" t="s">
        <v>193</v>
      </c>
      <c r="F367" s="137" t="s">
        <v>193</v>
      </c>
      <c r="G367" s="137" t="s">
        <v>193</v>
      </c>
      <c r="H367" s="137" t="s">
        <v>193</v>
      </c>
      <c r="I367" s="137" t="s">
        <v>193</v>
      </c>
      <c r="J367" s="137" t="s">
        <v>53</v>
      </c>
      <c r="K367" s="137" t="s">
        <v>193</v>
      </c>
      <c r="L367" s="137" t="s">
        <v>193</v>
      </c>
      <c r="M367" s="137" t="s">
        <v>193</v>
      </c>
      <c r="N367" s="137" t="s">
        <v>193</v>
      </c>
      <c r="O367" s="137" t="s">
        <v>193</v>
      </c>
      <c r="P367" s="137" t="s">
        <v>53</v>
      </c>
      <c r="Q367" s="137" t="s">
        <v>193</v>
      </c>
      <c r="R367" s="137" t="s">
        <v>193</v>
      </c>
      <c r="S367" s="137" t="s">
        <v>193</v>
      </c>
      <c r="T367" s="137" t="s">
        <v>193</v>
      </c>
      <c r="U367" s="137" t="s">
        <v>193</v>
      </c>
      <c r="X367" s="12">
        <f t="shared" si="5"/>
        <v>0</v>
      </c>
    </row>
    <row r="368" spans="1:24" ht="15" customHeight="1" x14ac:dyDescent="0.25">
      <c r="A368" s="137" t="s">
        <v>52</v>
      </c>
      <c r="B368" s="137" t="s">
        <v>685</v>
      </c>
      <c r="C368" s="137">
        <v>2018</v>
      </c>
      <c r="D368" s="137" t="s">
        <v>53</v>
      </c>
      <c r="E368" s="137" t="s">
        <v>193</v>
      </c>
      <c r="F368" s="137" t="s">
        <v>193</v>
      </c>
      <c r="G368" s="137" t="s">
        <v>193</v>
      </c>
      <c r="H368" s="137" t="s">
        <v>193</v>
      </c>
      <c r="I368" s="137" t="s">
        <v>193</v>
      </c>
      <c r="J368" s="137" t="s">
        <v>53</v>
      </c>
      <c r="K368" s="137" t="s">
        <v>193</v>
      </c>
      <c r="L368" s="137" t="s">
        <v>193</v>
      </c>
      <c r="M368" s="137" t="s">
        <v>193</v>
      </c>
      <c r="N368" s="137" t="s">
        <v>193</v>
      </c>
      <c r="O368" s="137" t="s">
        <v>193</v>
      </c>
      <c r="P368" s="137" t="s">
        <v>53</v>
      </c>
      <c r="Q368" s="137" t="s">
        <v>193</v>
      </c>
      <c r="R368" s="137" t="s">
        <v>193</v>
      </c>
      <c r="S368" s="137" t="s">
        <v>193</v>
      </c>
      <c r="T368" s="137" t="s">
        <v>193</v>
      </c>
      <c r="U368" s="137" t="s">
        <v>193</v>
      </c>
      <c r="X368" s="12">
        <f t="shared" si="5"/>
        <v>0</v>
      </c>
    </row>
    <row r="369" spans="1:24" ht="15" customHeight="1" x14ac:dyDescent="0.25">
      <c r="A369" s="137" t="s">
        <v>52</v>
      </c>
      <c r="B369" s="137" t="s">
        <v>686</v>
      </c>
      <c r="C369" s="137">
        <v>2018</v>
      </c>
      <c r="D369" s="137" t="s">
        <v>53</v>
      </c>
      <c r="E369" s="137" t="s">
        <v>193</v>
      </c>
      <c r="F369" s="137" t="s">
        <v>193</v>
      </c>
      <c r="G369" s="137" t="s">
        <v>193</v>
      </c>
      <c r="H369" s="137" t="s">
        <v>193</v>
      </c>
      <c r="I369" s="137" t="s">
        <v>193</v>
      </c>
      <c r="J369" s="137" t="s">
        <v>53</v>
      </c>
      <c r="K369" s="137" t="s">
        <v>193</v>
      </c>
      <c r="L369" s="137" t="s">
        <v>193</v>
      </c>
      <c r="M369" s="137" t="s">
        <v>193</v>
      </c>
      <c r="N369" s="137" t="s">
        <v>193</v>
      </c>
      <c r="O369" s="137" t="s">
        <v>193</v>
      </c>
      <c r="P369" s="137" t="s">
        <v>53</v>
      </c>
      <c r="Q369" s="137" t="s">
        <v>193</v>
      </c>
      <c r="R369" s="137" t="s">
        <v>193</v>
      </c>
      <c r="S369" s="137" t="s">
        <v>193</v>
      </c>
      <c r="T369" s="137" t="s">
        <v>193</v>
      </c>
      <c r="U369" s="137" t="s">
        <v>193</v>
      </c>
      <c r="X369" s="12">
        <f t="shared" si="5"/>
        <v>0</v>
      </c>
    </row>
    <row r="370" spans="1:24" ht="15" customHeight="1" x14ac:dyDescent="0.25">
      <c r="A370" s="137" t="s">
        <v>52</v>
      </c>
      <c r="B370" s="137" t="s">
        <v>687</v>
      </c>
      <c r="C370" s="137">
        <v>2018</v>
      </c>
      <c r="D370" s="137" t="s">
        <v>842</v>
      </c>
      <c r="E370" s="137" t="s">
        <v>786</v>
      </c>
      <c r="F370" s="137">
        <v>1.972</v>
      </c>
      <c r="G370" s="137" t="s">
        <v>193</v>
      </c>
      <c r="H370" s="137" t="s">
        <v>193</v>
      </c>
      <c r="I370" s="137" t="s">
        <v>193</v>
      </c>
      <c r="J370" s="137" t="s">
        <v>53</v>
      </c>
      <c r="K370" s="137" t="s">
        <v>193</v>
      </c>
      <c r="L370" s="137" t="s">
        <v>193</v>
      </c>
      <c r="M370" s="137" t="s">
        <v>193</v>
      </c>
      <c r="N370" s="137" t="s">
        <v>193</v>
      </c>
      <c r="O370" s="137" t="s">
        <v>193</v>
      </c>
      <c r="P370" s="137" t="s">
        <v>53</v>
      </c>
      <c r="Q370" s="137" t="s">
        <v>193</v>
      </c>
      <c r="R370" s="137" t="s">
        <v>193</v>
      </c>
      <c r="S370" s="137" t="s">
        <v>193</v>
      </c>
      <c r="T370" s="137" t="s">
        <v>193</v>
      </c>
      <c r="U370" s="137" t="s">
        <v>193</v>
      </c>
      <c r="X370" s="12">
        <f t="shared" si="5"/>
        <v>0</v>
      </c>
    </row>
    <row r="371" spans="1:24" ht="15" customHeight="1" x14ac:dyDescent="0.25">
      <c r="A371" s="137" t="s">
        <v>52</v>
      </c>
      <c r="B371" s="137" t="s">
        <v>688</v>
      </c>
      <c r="C371" s="137">
        <v>2018</v>
      </c>
      <c r="D371" s="137" t="s">
        <v>53</v>
      </c>
      <c r="E371" s="137" t="s">
        <v>193</v>
      </c>
      <c r="F371" s="137" t="s">
        <v>193</v>
      </c>
      <c r="G371" s="137" t="s">
        <v>193</v>
      </c>
      <c r="H371" s="137" t="s">
        <v>193</v>
      </c>
      <c r="I371" s="137" t="s">
        <v>193</v>
      </c>
      <c r="J371" s="137" t="s">
        <v>53</v>
      </c>
      <c r="K371" s="137" t="s">
        <v>193</v>
      </c>
      <c r="L371" s="137" t="s">
        <v>193</v>
      </c>
      <c r="M371" s="137" t="s">
        <v>193</v>
      </c>
      <c r="N371" s="137" t="s">
        <v>193</v>
      </c>
      <c r="O371" s="137" t="s">
        <v>193</v>
      </c>
      <c r="P371" s="137" t="s">
        <v>53</v>
      </c>
      <c r="Q371" s="137" t="s">
        <v>193</v>
      </c>
      <c r="R371" s="137" t="s">
        <v>193</v>
      </c>
      <c r="S371" s="137" t="s">
        <v>193</v>
      </c>
      <c r="T371" s="137" t="s">
        <v>193</v>
      </c>
      <c r="U371" s="137" t="s">
        <v>193</v>
      </c>
      <c r="X371" s="12">
        <f t="shared" si="5"/>
        <v>0</v>
      </c>
    </row>
    <row r="372" spans="1:24" ht="15" customHeight="1" x14ac:dyDescent="0.25">
      <c r="A372" s="137" t="s">
        <v>52</v>
      </c>
      <c r="B372" s="137" t="s">
        <v>689</v>
      </c>
      <c r="C372" s="137">
        <v>2018</v>
      </c>
      <c r="D372" s="137" t="s">
        <v>53</v>
      </c>
      <c r="E372" s="137" t="s">
        <v>193</v>
      </c>
      <c r="F372" s="137" t="s">
        <v>193</v>
      </c>
      <c r="G372" s="137" t="s">
        <v>193</v>
      </c>
      <c r="H372" s="137" t="s">
        <v>193</v>
      </c>
      <c r="I372" s="137" t="s">
        <v>193</v>
      </c>
      <c r="J372" s="137" t="s">
        <v>53</v>
      </c>
      <c r="K372" s="137" t="s">
        <v>193</v>
      </c>
      <c r="L372" s="137" t="s">
        <v>193</v>
      </c>
      <c r="M372" s="137" t="s">
        <v>193</v>
      </c>
      <c r="N372" s="137" t="s">
        <v>193</v>
      </c>
      <c r="O372" s="137" t="s">
        <v>193</v>
      </c>
      <c r="P372" s="137" t="s">
        <v>53</v>
      </c>
      <c r="Q372" s="137" t="s">
        <v>193</v>
      </c>
      <c r="R372" s="137" t="s">
        <v>193</v>
      </c>
      <c r="S372" s="137" t="s">
        <v>193</v>
      </c>
      <c r="T372" s="137" t="s">
        <v>193</v>
      </c>
      <c r="U372" s="137" t="s">
        <v>193</v>
      </c>
      <c r="X372" s="12">
        <f t="shared" si="5"/>
        <v>0</v>
      </c>
    </row>
    <row r="373" spans="1:24" ht="15" customHeight="1" x14ac:dyDescent="0.25">
      <c r="A373" s="137" t="s">
        <v>52</v>
      </c>
      <c r="B373" s="137" t="s">
        <v>690</v>
      </c>
      <c r="C373" s="137">
        <v>2018</v>
      </c>
      <c r="D373" s="137" t="s">
        <v>53</v>
      </c>
      <c r="E373" s="137" t="s">
        <v>193</v>
      </c>
      <c r="F373" s="137" t="s">
        <v>193</v>
      </c>
      <c r="G373" s="137" t="s">
        <v>193</v>
      </c>
      <c r="H373" s="137" t="s">
        <v>193</v>
      </c>
      <c r="I373" s="137" t="s">
        <v>193</v>
      </c>
      <c r="J373" s="137" t="s">
        <v>53</v>
      </c>
      <c r="K373" s="137" t="s">
        <v>193</v>
      </c>
      <c r="L373" s="137" t="s">
        <v>193</v>
      </c>
      <c r="M373" s="137" t="s">
        <v>193</v>
      </c>
      <c r="N373" s="137" t="s">
        <v>193</v>
      </c>
      <c r="O373" s="137" t="s">
        <v>193</v>
      </c>
      <c r="P373" s="137" t="s">
        <v>53</v>
      </c>
      <c r="Q373" s="137" t="s">
        <v>193</v>
      </c>
      <c r="R373" s="137" t="s">
        <v>193</v>
      </c>
      <c r="S373" s="137" t="s">
        <v>193</v>
      </c>
      <c r="T373" s="137" t="s">
        <v>193</v>
      </c>
      <c r="U373" s="137" t="s">
        <v>193</v>
      </c>
      <c r="X373" s="12">
        <f t="shared" si="5"/>
        <v>0</v>
      </c>
    </row>
    <row r="374" spans="1:24" ht="15" customHeight="1" x14ac:dyDescent="0.25">
      <c r="A374" s="137" t="s">
        <v>691</v>
      </c>
      <c r="B374" s="137" t="s">
        <v>692</v>
      </c>
      <c r="C374" s="137">
        <v>2018</v>
      </c>
      <c r="D374" s="137" t="s">
        <v>53</v>
      </c>
      <c r="E374" s="137" t="s">
        <v>193</v>
      </c>
      <c r="F374" s="137" t="s">
        <v>193</v>
      </c>
      <c r="G374" s="137" t="s">
        <v>193</v>
      </c>
      <c r="H374" s="137" t="s">
        <v>193</v>
      </c>
      <c r="I374" s="137" t="s">
        <v>193</v>
      </c>
      <c r="J374" s="137" t="s">
        <v>53</v>
      </c>
      <c r="K374" s="137" t="s">
        <v>193</v>
      </c>
      <c r="L374" s="137" t="s">
        <v>193</v>
      </c>
      <c r="M374" s="137" t="s">
        <v>193</v>
      </c>
      <c r="N374" s="137" t="s">
        <v>193</v>
      </c>
      <c r="O374" s="137" t="s">
        <v>193</v>
      </c>
      <c r="P374" s="137" t="s">
        <v>53</v>
      </c>
      <c r="Q374" s="137" t="s">
        <v>193</v>
      </c>
      <c r="R374" s="137" t="s">
        <v>193</v>
      </c>
      <c r="S374" s="137" t="s">
        <v>193</v>
      </c>
      <c r="T374" s="137" t="s">
        <v>193</v>
      </c>
      <c r="U374" s="137" t="s">
        <v>193</v>
      </c>
      <c r="X374" s="12">
        <f t="shared" si="5"/>
        <v>0</v>
      </c>
    </row>
    <row r="375" spans="1:24" ht="15" customHeight="1" x14ac:dyDescent="0.25">
      <c r="A375" s="137" t="s">
        <v>691</v>
      </c>
      <c r="B375" s="137" t="s">
        <v>693</v>
      </c>
      <c r="C375" s="137">
        <v>2018</v>
      </c>
      <c r="D375" s="137" t="s">
        <v>53</v>
      </c>
      <c r="E375" s="137" t="s">
        <v>193</v>
      </c>
      <c r="F375" s="137" t="s">
        <v>193</v>
      </c>
      <c r="G375" s="137" t="s">
        <v>193</v>
      </c>
      <c r="H375" s="137" t="s">
        <v>193</v>
      </c>
      <c r="I375" s="137" t="s">
        <v>193</v>
      </c>
      <c r="J375" s="137" t="s">
        <v>53</v>
      </c>
      <c r="K375" s="137" t="s">
        <v>193</v>
      </c>
      <c r="L375" s="137" t="s">
        <v>193</v>
      </c>
      <c r="M375" s="137" t="s">
        <v>193</v>
      </c>
      <c r="N375" s="137" t="s">
        <v>193</v>
      </c>
      <c r="O375" s="137" t="s">
        <v>193</v>
      </c>
      <c r="P375" s="137" t="s">
        <v>53</v>
      </c>
      <c r="Q375" s="137" t="s">
        <v>193</v>
      </c>
      <c r="R375" s="137" t="s">
        <v>193</v>
      </c>
      <c r="S375" s="137" t="s">
        <v>193</v>
      </c>
      <c r="T375" s="137" t="s">
        <v>193</v>
      </c>
      <c r="U375" s="137" t="s">
        <v>193</v>
      </c>
      <c r="X375" s="12">
        <f t="shared" si="5"/>
        <v>0</v>
      </c>
    </row>
    <row r="376" spans="1:24" ht="15" customHeight="1" x14ac:dyDescent="0.25">
      <c r="A376" s="137" t="s">
        <v>691</v>
      </c>
      <c r="B376" s="137" t="s">
        <v>694</v>
      </c>
      <c r="C376" s="137">
        <v>2018</v>
      </c>
      <c r="D376" s="137" t="s">
        <v>53</v>
      </c>
      <c r="E376" s="137" t="s">
        <v>193</v>
      </c>
      <c r="F376" s="137" t="s">
        <v>193</v>
      </c>
      <c r="G376" s="137" t="s">
        <v>193</v>
      </c>
      <c r="H376" s="137" t="s">
        <v>193</v>
      </c>
      <c r="I376" s="137" t="s">
        <v>193</v>
      </c>
      <c r="J376" s="137" t="s">
        <v>53</v>
      </c>
      <c r="K376" s="137" t="s">
        <v>193</v>
      </c>
      <c r="L376" s="137" t="s">
        <v>193</v>
      </c>
      <c r="M376" s="137" t="s">
        <v>193</v>
      </c>
      <c r="N376" s="137" t="s">
        <v>193</v>
      </c>
      <c r="O376" s="137" t="s">
        <v>193</v>
      </c>
      <c r="P376" s="137" t="s">
        <v>53</v>
      </c>
      <c r="Q376" s="137" t="s">
        <v>193</v>
      </c>
      <c r="R376" s="137" t="s">
        <v>193</v>
      </c>
      <c r="S376" s="137" t="s">
        <v>193</v>
      </c>
      <c r="T376" s="137" t="s">
        <v>193</v>
      </c>
      <c r="U376" s="137" t="s">
        <v>193</v>
      </c>
      <c r="X376" s="12">
        <f t="shared" si="5"/>
        <v>0</v>
      </c>
    </row>
    <row r="377" spans="1:24" ht="15" customHeight="1" x14ac:dyDescent="0.25">
      <c r="A377" s="137" t="s">
        <v>691</v>
      </c>
      <c r="B377" s="137" t="s">
        <v>695</v>
      </c>
      <c r="C377" s="137">
        <v>2018</v>
      </c>
      <c r="D377" s="137" t="s">
        <v>53</v>
      </c>
      <c r="E377" s="137" t="s">
        <v>193</v>
      </c>
      <c r="F377" s="137" t="s">
        <v>193</v>
      </c>
      <c r="G377" s="137" t="s">
        <v>193</v>
      </c>
      <c r="H377" s="137" t="s">
        <v>193</v>
      </c>
      <c r="I377" s="137" t="s">
        <v>193</v>
      </c>
      <c r="J377" s="137" t="s">
        <v>53</v>
      </c>
      <c r="K377" s="137" t="s">
        <v>193</v>
      </c>
      <c r="L377" s="137" t="s">
        <v>193</v>
      </c>
      <c r="M377" s="137" t="s">
        <v>193</v>
      </c>
      <c r="N377" s="137" t="s">
        <v>193</v>
      </c>
      <c r="O377" s="137" t="s">
        <v>193</v>
      </c>
      <c r="P377" s="137" t="s">
        <v>53</v>
      </c>
      <c r="Q377" s="137" t="s">
        <v>193</v>
      </c>
      <c r="R377" s="137" t="s">
        <v>193</v>
      </c>
      <c r="S377" s="137" t="s">
        <v>193</v>
      </c>
      <c r="T377" s="137" t="s">
        <v>193</v>
      </c>
      <c r="U377" s="137" t="s">
        <v>193</v>
      </c>
      <c r="X377" s="12">
        <f t="shared" si="5"/>
        <v>0</v>
      </c>
    </row>
    <row r="378" spans="1:24" ht="15" customHeight="1" x14ac:dyDescent="0.25">
      <c r="A378" s="137" t="s">
        <v>691</v>
      </c>
      <c r="B378" s="137" t="s">
        <v>696</v>
      </c>
      <c r="C378" s="137">
        <v>2018</v>
      </c>
      <c r="D378" s="137" t="s">
        <v>843</v>
      </c>
      <c r="E378" s="137" t="s">
        <v>769</v>
      </c>
      <c r="F378" s="137">
        <v>11.632999999999999</v>
      </c>
      <c r="G378" s="137" t="s">
        <v>193</v>
      </c>
      <c r="H378" s="137" t="s">
        <v>193</v>
      </c>
      <c r="I378" s="137" t="s">
        <v>193</v>
      </c>
      <c r="J378" s="137" t="s">
        <v>53</v>
      </c>
      <c r="K378" s="137" t="s">
        <v>193</v>
      </c>
      <c r="L378" s="137" t="s">
        <v>193</v>
      </c>
      <c r="M378" s="137" t="s">
        <v>193</v>
      </c>
      <c r="N378" s="137" t="s">
        <v>193</v>
      </c>
      <c r="O378" s="137" t="s">
        <v>193</v>
      </c>
      <c r="P378" s="137" t="s">
        <v>53</v>
      </c>
      <c r="Q378" s="137" t="s">
        <v>193</v>
      </c>
      <c r="R378" s="137" t="s">
        <v>193</v>
      </c>
      <c r="S378" s="137" t="s">
        <v>193</v>
      </c>
      <c r="T378" s="137" t="s">
        <v>193</v>
      </c>
      <c r="U378" s="137" t="s">
        <v>193</v>
      </c>
      <c r="X378" s="12">
        <f t="shared" si="5"/>
        <v>0</v>
      </c>
    </row>
    <row r="379" spans="1:24" ht="15" customHeight="1" x14ac:dyDescent="0.25">
      <c r="A379" s="137" t="s">
        <v>691</v>
      </c>
      <c r="B379" s="137" t="s">
        <v>697</v>
      </c>
      <c r="C379" s="137">
        <v>2018</v>
      </c>
      <c r="D379" s="137" t="s">
        <v>193</v>
      </c>
      <c r="E379" s="137" t="s">
        <v>193</v>
      </c>
      <c r="F379" s="137" t="s">
        <v>193</v>
      </c>
      <c r="G379" s="137" t="s">
        <v>193</v>
      </c>
      <c r="H379" s="137" t="s">
        <v>193</v>
      </c>
      <c r="I379" s="137" t="s">
        <v>193</v>
      </c>
      <c r="J379" s="137" t="s">
        <v>193</v>
      </c>
      <c r="K379" s="137" t="s">
        <v>193</v>
      </c>
      <c r="L379" s="137" t="s">
        <v>193</v>
      </c>
      <c r="M379" s="137" t="s">
        <v>193</v>
      </c>
      <c r="N379" s="137" t="s">
        <v>193</v>
      </c>
      <c r="O379" s="137" t="s">
        <v>193</v>
      </c>
      <c r="P379" s="137" t="s">
        <v>193</v>
      </c>
      <c r="Q379" s="137" t="s">
        <v>193</v>
      </c>
      <c r="R379" s="137" t="s">
        <v>193</v>
      </c>
      <c r="S379" s="137" t="s">
        <v>193</v>
      </c>
      <c r="T379" s="137" t="s">
        <v>193</v>
      </c>
      <c r="U379" s="137" t="s">
        <v>193</v>
      </c>
      <c r="X379" s="12">
        <f t="shared" si="5"/>
        <v>0</v>
      </c>
    </row>
    <row r="380" spans="1:24" ht="15" customHeight="1" x14ac:dyDescent="0.25">
      <c r="A380" s="137" t="s">
        <v>698</v>
      </c>
      <c r="B380" s="137" t="s">
        <v>699</v>
      </c>
      <c r="C380" s="137">
        <v>2018</v>
      </c>
      <c r="D380" s="137" t="s">
        <v>53</v>
      </c>
      <c r="E380" s="137" t="s">
        <v>193</v>
      </c>
      <c r="F380" s="137" t="s">
        <v>193</v>
      </c>
      <c r="G380" s="137" t="s">
        <v>193</v>
      </c>
      <c r="H380" s="137" t="s">
        <v>193</v>
      </c>
      <c r="I380" s="137" t="s">
        <v>193</v>
      </c>
      <c r="J380" s="137" t="s">
        <v>53</v>
      </c>
      <c r="K380" s="137" t="s">
        <v>193</v>
      </c>
      <c r="L380" s="137" t="s">
        <v>193</v>
      </c>
      <c r="M380" s="137" t="s">
        <v>193</v>
      </c>
      <c r="N380" s="137" t="s">
        <v>193</v>
      </c>
      <c r="O380" s="137" t="s">
        <v>193</v>
      </c>
      <c r="P380" s="137" t="s">
        <v>53</v>
      </c>
      <c r="Q380" s="137" t="s">
        <v>193</v>
      </c>
      <c r="R380" s="137" t="s">
        <v>193</v>
      </c>
      <c r="S380" s="137" t="s">
        <v>193</v>
      </c>
      <c r="T380" s="137" t="s">
        <v>193</v>
      </c>
      <c r="U380" s="137" t="s">
        <v>193</v>
      </c>
      <c r="X380" s="12">
        <f t="shared" si="5"/>
        <v>0</v>
      </c>
    </row>
    <row r="381" spans="1:24" ht="15" customHeight="1" x14ac:dyDescent="0.25">
      <c r="A381" s="137" t="s">
        <v>698</v>
      </c>
      <c r="B381" s="137" t="s">
        <v>700</v>
      </c>
      <c r="C381" s="137">
        <v>2018</v>
      </c>
      <c r="D381" s="137" t="s">
        <v>53</v>
      </c>
      <c r="E381" s="137" t="s">
        <v>193</v>
      </c>
      <c r="F381" s="137" t="s">
        <v>193</v>
      </c>
      <c r="G381" s="137" t="s">
        <v>193</v>
      </c>
      <c r="H381" s="137" t="s">
        <v>193</v>
      </c>
      <c r="I381" s="137" t="s">
        <v>193</v>
      </c>
      <c r="J381" s="137" t="s">
        <v>53</v>
      </c>
      <c r="K381" s="137" t="s">
        <v>193</v>
      </c>
      <c r="L381" s="137" t="s">
        <v>193</v>
      </c>
      <c r="M381" s="137" t="s">
        <v>193</v>
      </c>
      <c r="N381" s="137" t="s">
        <v>193</v>
      </c>
      <c r="O381" s="137" t="s">
        <v>193</v>
      </c>
      <c r="P381" s="137" t="s">
        <v>53</v>
      </c>
      <c r="Q381" s="137" t="s">
        <v>193</v>
      </c>
      <c r="R381" s="137" t="s">
        <v>193</v>
      </c>
      <c r="S381" s="137" t="s">
        <v>193</v>
      </c>
      <c r="T381" s="137" t="s">
        <v>193</v>
      </c>
      <c r="U381" s="137" t="s">
        <v>193</v>
      </c>
      <c r="X381" s="12">
        <f t="shared" si="5"/>
        <v>0</v>
      </c>
    </row>
    <row r="382" spans="1:24" ht="15" customHeight="1" x14ac:dyDescent="0.25">
      <c r="A382" s="137" t="s">
        <v>698</v>
      </c>
      <c r="B382" s="137" t="s">
        <v>701</v>
      </c>
      <c r="C382" s="137">
        <v>2018</v>
      </c>
      <c r="D382" s="137" t="s">
        <v>844</v>
      </c>
      <c r="E382" s="137" t="s">
        <v>845</v>
      </c>
      <c r="F382" s="137">
        <v>0.252</v>
      </c>
      <c r="G382" s="137" t="s">
        <v>193</v>
      </c>
      <c r="H382" s="137" t="s">
        <v>193</v>
      </c>
      <c r="I382" s="137">
        <v>90</v>
      </c>
      <c r="J382" s="137" t="s">
        <v>53</v>
      </c>
      <c r="K382" s="137" t="s">
        <v>193</v>
      </c>
      <c r="L382" s="137" t="s">
        <v>193</v>
      </c>
      <c r="M382" s="137" t="s">
        <v>193</v>
      </c>
      <c r="N382" s="137" t="s">
        <v>193</v>
      </c>
      <c r="O382" s="137" t="s">
        <v>193</v>
      </c>
      <c r="P382" s="137" t="s">
        <v>53</v>
      </c>
      <c r="Q382" s="137" t="s">
        <v>193</v>
      </c>
      <c r="R382" s="137" t="s">
        <v>193</v>
      </c>
      <c r="S382" s="137" t="s">
        <v>193</v>
      </c>
      <c r="T382" s="137" t="s">
        <v>193</v>
      </c>
      <c r="U382" s="137" t="s">
        <v>193</v>
      </c>
      <c r="X382" s="12">
        <f t="shared" si="5"/>
        <v>0</v>
      </c>
    </row>
    <row r="383" spans="1:24" ht="15" customHeight="1" x14ac:dyDescent="0.25">
      <c r="A383" s="137" t="s">
        <v>698</v>
      </c>
      <c r="B383" s="137" t="s">
        <v>702</v>
      </c>
      <c r="C383" s="137">
        <v>2018</v>
      </c>
      <c r="D383" s="137" t="s">
        <v>846</v>
      </c>
      <c r="E383" s="137" t="s">
        <v>786</v>
      </c>
      <c r="F383" s="137">
        <v>1.4179999999999999</v>
      </c>
      <c r="G383" s="137" t="s">
        <v>791</v>
      </c>
      <c r="H383" s="137">
        <v>0.36820000000000003</v>
      </c>
      <c r="I383" s="137">
        <v>90</v>
      </c>
      <c r="J383" s="137" t="s">
        <v>53</v>
      </c>
      <c r="K383" s="137" t="s">
        <v>193</v>
      </c>
      <c r="L383" s="137" t="s">
        <v>193</v>
      </c>
      <c r="M383" s="137" t="s">
        <v>193</v>
      </c>
      <c r="N383" s="137" t="s">
        <v>193</v>
      </c>
      <c r="O383" s="137" t="s">
        <v>193</v>
      </c>
      <c r="P383" s="137" t="s">
        <v>53</v>
      </c>
      <c r="Q383" s="137" t="s">
        <v>193</v>
      </c>
      <c r="R383" s="137" t="s">
        <v>193</v>
      </c>
      <c r="S383" s="137" t="s">
        <v>193</v>
      </c>
      <c r="T383" s="137" t="s">
        <v>193</v>
      </c>
      <c r="U383" s="137" t="s">
        <v>193</v>
      </c>
      <c r="X383" s="12">
        <f t="shared" si="5"/>
        <v>0</v>
      </c>
    </row>
    <row r="384" spans="1:24" ht="15" customHeight="1" x14ac:dyDescent="0.25">
      <c r="A384" s="137" t="s">
        <v>703</v>
      </c>
      <c r="B384" s="137" t="s">
        <v>704</v>
      </c>
      <c r="C384" s="137">
        <v>2018</v>
      </c>
      <c r="D384" s="137" t="s">
        <v>53</v>
      </c>
      <c r="E384" s="137" t="s">
        <v>193</v>
      </c>
      <c r="F384" s="137" t="s">
        <v>193</v>
      </c>
      <c r="G384" s="137" t="s">
        <v>193</v>
      </c>
      <c r="H384" s="137" t="s">
        <v>193</v>
      </c>
      <c r="I384" s="137" t="s">
        <v>193</v>
      </c>
      <c r="J384" s="137" t="s">
        <v>53</v>
      </c>
      <c r="K384" s="137" t="s">
        <v>193</v>
      </c>
      <c r="L384" s="137" t="s">
        <v>193</v>
      </c>
      <c r="M384" s="137" t="s">
        <v>193</v>
      </c>
      <c r="N384" s="137" t="s">
        <v>193</v>
      </c>
      <c r="O384" s="137" t="s">
        <v>193</v>
      </c>
      <c r="P384" s="137" t="s">
        <v>53</v>
      </c>
      <c r="Q384" s="137" t="s">
        <v>193</v>
      </c>
      <c r="R384" s="137" t="s">
        <v>193</v>
      </c>
      <c r="S384" s="137" t="s">
        <v>193</v>
      </c>
      <c r="T384" s="137" t="s">
        <v>193</v>
      </c>
      <c r="U384" s="137" t="s">
        <v>193</v>
      </c>
      <c r="X384" s="12">
        <f t="shared" si="5"/>
        <v>0</v>
      </c>
    </row>
    <row r="385" spans="1:24" ht="15" customHeight="1" x14ac:dyDescent="0.25">
      <c r="A385" s="137" t="s">
        <v>703</v>
      </c>
      <c r="B385" s="137" t="s">
        <v>705</v>
      </c>
      <c r="C385" s="137">
        <v>2018</v>
      </c>
      <c r="D385" s="137" t="s">
        <v>53</v>
      </c>
      <c r="E385" s="137" t="s">
        <v>193</v>
      </c>
      <c r="F385" s="137" t="s">
        <v>193</v>
      </c>
      <c r="G385" s="137" t="s">
        <v>193</v>
      </c>
      <c r="H385" s="137" t="s">
        <v>193</v>
      </c>
      <c r="I385" s="137" t="s">
        <v>193</v>
      </c>
      <c r="J385" s="137" t="s">
        <v>53</v>
      </c>
      <c r="K385" s="137" t="s">
        <v>193</v>
      </c>
      <c r="L385" s="137" t="s">
        <v>193</v>
      </c>
      <c r="M385" s="137" t="s">
        <v>193</v>
      </c>
      <c r="N385" s="137" t="s">
        <v>193</v>
      </c>
      <c r="O385" s="137" t="s">
        <v>193</v>
      </c>
      <c r="P385" s="137" t="s">
        <v>53</v>
      </c>
      <c r="Q385" s="137" t="s">
        <v>193</v>
      </c>
      <c r="R385" s="137" t="s">
        <v>193</v>
      </c>
      <c r="S385" s="137" t="s">
        <v>193</v>
      </c>
      <c r="T385" s="137" t="s">
        <v>193</v>
      </c>
      <c r="U385" s="137" t="s">
        <v>193</v>
      </c>
      <c r="X385" s="12">
        <f t="shared" si="5"/>
        <v>0</v>
      </c>
    </row>
    <row r="386" spans="1:24" ht="15" customHeight="1" x14ac:dyDescent="0.25">
      <c r="A386" s="137" t="s">
        <v>703</v>
      </c>
      <c r="B386" s="137" t="s">
        <v>706</v>
      </c>
      <c r="C386" s="137">
        <v>2018</v>
      </c>
      <c r="D386" s="137" t="s">
        <v>53</v>
      </c>
      <c r="E386" s="137" t="s">
        <v>193</v>
      </c>
      <c r="F386" s="137" t="s">
        <v>193</v>
      </c>
      <c r="G386" s="137" t="s">
        <v>193</v>
      </c>
      <c r="H386" s="137" t="s">
        <v>193</v>
      </c>
      <c r="I386" s="137" t="s">
        <v>193</v>
      </c>
      <c r="J386" s="137" t="s">
        <v>53</v>
      </c>
      <c r="K386" s="137" t="s">
        <v>193</v>
      </c>
      <c r="L386" s="137" t="s">
        <v>193</v>
      </c>
      <c r="M386" s="137" t="s">
        <v>193</v>
      </c>
      <c r="N386" s="137" t="s">
        <v>193</v>
      </c>
      <c r="O386" s="137" t="s">
        <v>193</v>
      </c>
      <c r="P386" s="137" t="s">
        <v>53</v>
      </c>
      <c r="Q386" s="137" t="s">
        <v>193</v>
      </c>
      <c r="R386" s="137" t="s">
        <v>193</v>
      </c>
      <c r="S386" s="137" t="s">
        <v>193</v>
      </c>
      <c r="T386" s="137" t="s">
        <v>193</v>
      </c>
      <c r="U386" s="137" t="s">
        <v>193</v>
      </c>
      <c r="X386" s="12">
        <f t="shared" ref="X386:X414" si="6">(IF(E386="Avfall",F386,0)+IF(G386="Avfall",H386,0))/IFERROR(I386/100,0.85)+(IF(K386="Avfall",L386,0)+IF(M386="Avfall",N386,0))/IFERROR(O386/100,0.85)+(IF(Q386="avfall",R386,0)+IF(S386="avfall",T386,0))/IFERROR(U386/100,0.85)</f>
        <v>0</v>
      </c>
    </row>
    <row r="387" spans="1:24" ht="15" customHeight="1" x14ac:dyDescent="0.25">
      <c r="A387" s="137" t="s">
        <v>707</v>
      </c>
      <c r="B387" s="137" t="s">
        <v>708</v>
      </c>
      <c r="C387" s="137">
        <v>2018</v>
      </c>
      <c r="D387" s="137" t="s">
        <v>193</v>
      </c>
      <c r="E387" s="137" t="s">
        <v>747</v>
      </c>
      <c r="F387" s="137">
        <v>61</v>
      </c>
      <c r="G387" s="137" t="s">
        <v>193</v>
      </c>
      <c r="H387" s="137" t="s">
        <v>193</v>
      </c>
      <c r="I387" s="137" t="s">
        <v>193</v>
      </c>
      <c r="J387" s="137" t="s">
        <v>193</v>
      </c>
      <c r="K387" s="137" t="s">
        <v>193</v>
      </c>
      <c r="L387" s="137" t="s">
        <v>193</v>
      </c>
      <c r="M387" s="137" t="s">
        <v>193</v>
      </c>
      <c r="N387" s="137" t="s">
        <v>193</v>
      </c>
      <c r="O387" s="137" t="s">
        <v>193</v>
      </c>
      <c r="P387" s="137" t="s">
        <v>53</v>
      </c>
      <c r="Q387" s="137" t="s">
        <v>193</v>
      </c>
      <c r="R387" s="137" t="s">
        <v>193</v>
      </c>
      <c r="S387" s="137" t="s">
        <v>193</v>
      </c>
      <c r="T387" s="137" t="s">
        <v>193</v>
      </c>
      <c r="U387" s="137" t="s">
        <v>193</v>
      </c>
      <c r="X387" s="12">
        <f t="shared" si="6"/>
        <v>71.764705882352942</v>
      </c>
    </row>
    <row r="388" spans="1:24" ht="15" customHeight="1" x14ac:dyDescent="0.25">
      <c r="A388" s="137" t="s">
        <v>707</v>
      </c>
      <c r="B388" s="137" t="s">
        <v>709</v>
      </c>
      <c r="C388" s="137">
        <v>2018</v>
      </c>
      <c r="D388" s="137" t="s">
        <v>53</v>
      </c>
      <c r="E388" s="137" t="s">
        <v>53</v>
      </c>
      <c r="F388" s="137" t="s">
        <v>53</v>
      </c>
      <c r="G388" s="137" t="s">
        <v>53</v>
      </c>
      <c r="H388" s="137" t="s">
        <v>53</v>
      </c>
      <c r="I388" s="137" t="s">
        <v>53</v>
      </c>
      <c r="J388" s="137" t="s">
        <v>53</v>
      </c>
      <c r="K388" s="137" t="s">
        <v>53</v>
      </c>
      <c r="L388" s="137" t="s">
        <v>53</v>
      </c>
      <c r="M388" s="137" t="s">
        <v>53</v>
      </c>
      <c r="N388" s="137" t="s">
        <v>53</v>
      </c>
      <c r="O388" s="137" t="s">
        <v>53</v>
      </c>
      <c r="P388" s="137" t="s">
        <v>53</v>
      </c>
      <c r="Q388" s="137" t="s">
        <v>53</v>
      </c>
      <c r="R388" s="137" t="s">
        <v>53</v>
      </c>
      <c r="S388" s="137" t="s">
        <v>53</v>
      </c>
      <c r="T388" s="137" t="s">
        <v>53</v>
      </c>
      <c r="U388" s="137" t="s">
        <v>53</v>
      </c>
      <c r="X388" s="12">
        <f t="shared" si="6"/>
        <v>0</v>
      </c>
    </row>
    <row r="389" spans="1:24" ht="15" customHeight="1" x14ac:dyDescent="0.25">
      <c r="A389" s="137" t="s">
        <v>707</v>
      </c>
      <c r="B389" s="137" t="s">
        <v>710</v>
      </c>
      <c r="C389" s="137">
        <v>2018</v>
      </c>
      <c r="D389" s="137" t="s">
        <v>53</v>
      </c>
      <c r="E389" s="137" t="s">
        <v>193</v>
      </c>
      <c r="F389" s="137" t="s">
        <v>193</v>
      </c>
      <c r="G389" s="137" t="s">
        <v>193</v>
      </c>
      <c r="H389" s="137" t="s">
        <v>193</v>
      </c>
      <c r="I389" s="137" t="s">
        <v>193</v>
      </c>
      <c r="J389" s="137" t="s">
        <v>53</v>
      </c>
      <c r="K389" s="137" t="s">
        <v>193</v>
      </c>
      <c r="L389" s="137" t="s">
        <v>193</v>
      </c>
      <c r="M389" s="137" t="s">
        <v>193</v>
      </c>
      <c r="N389" s="137" t="s">
        <v>193</v>
      </c>
      <c r="O389" s="137" t="s">
        <v>193</v>
      </c>
      <c r="P389" s="137" t="s">
        <v>53</v>
      </c>
      <c r="Q389" s="137" t="s">
        <v>193</v>
      </c>
      <c r="R389" s="137" t="s">
        <v>193</v>
      </c>
      <c r="S389" s="137" t="s">
        <v>193</v>
      </c>
      <c r="T389" s="137" t="s">
        <v>193</v>
      </c>
      <c r="U389" s="137" t="s">
        <v>193</v>
      </c>
      <c r="X389" s="12">
        <f t="shared" si="6"/>
        <v>0</v>
      </c>
    </row>
    <row r="390" spans="1:24" ht="15" customHeight="1" x14ac:dyDescent="0.25">
      <c r="A390" s="137" t="s">
        <v>707</v>
      </c>
      <c r="B390" s="137" t="s">
        <v>711</v>
      </c>
      <c r="C390" s="137">
        <v>2018</v>
      </c>
      <c r="D390" s="137" t="s">
        <v>53</v>
      </c>
      <c r="E390" s="137" t="s">
        <v>53</v>
      </c>
      <c r="F390" s="137" t="s">
        <v>53</v>
      </c>
      <c r="G390" s="137" t="s">
        <v>53</v>
      </c>
      <c r="H390" s="137" t="s">
        <v>53</v>
      </c>
      <c r="I390" s="137" t="s">
        <v>53</v>
      </c>
      <c r="J390" s="137" t="s">
        <v>53</v>
      </c>
      <c r="K390" s="137" t="s">
        <v>53</v>
      </c>
      <c r="L390" s="137" t="s">
        <v>53</v>
      </c>
      <c r="M390" s="137" t="s">
        <v>53</v>
      </c>
      <c r="N390" s="137" t="s">
        <v>53</v>
      </c>
      <c r="O390" s="137" t="s">
        <v>53</v>
      </c>
      <c r="P390" s="137" t="s">
        <v>53</v>
      </c>
      <c r="Q390" s="137" t="s">
        <v>53</v>
      </c>
      <c r="R390" s="137" t="s">
        <v>53</v>
      </c>
      <c r="S390" s="137" t="s">
        <v>53</v>
      </c>
      <c r="T390" s="137" t="s">
        <v>53</v>
      </c>
      <c r="U390" s="137" t="s">
        <v>53</v>
      </c>
      <c r="X390" s="12">
        <f t="shared" si="6"/>
        <v>0</v>
      </c>
    </row>
    <row r="391" spans="1:24" ht="15" customHeight="1" x14ac:dyDescent="0.25">
      <c r="A391" s="137" t="s">
        <v>712</v>
      </c>
      <c r="B391" s="137" t="s">
        <v>713</v>
      </c>
      <c r="C391" s="137">
        <v>2018</v>
      </c>
      <c r="D391" s="137" t="s">
        <v>53</v>
      </c>
      <c r="E391" s="137" t="s">
        <v>193</v>
      </c>
      <c r="F391" s="137" t="s">
        <v>193</v>
      </c>
      <c r="G391" s="137" t="s">
        <v>193</v>
      </c>
      <c r="H391" s="137" t="s">
        <v>193</v>
      </c>
      <c r="I391" s="137" t="s">
        <v>193</v>
      </c>
      <c r="J391" s="137" t="s">
        <v>53</v>
      </c>
      <c r="K391" s="137" t="s">
        <v>193</v>
      </c>
      <c r="L391" s="137" t="s">
        <v>193</v>
      </c>
      <c r="M391" s="137" t="s">
        <v>193</v>
      </c>
      <c r="N391" s="137" t="s">
        <v>193</v>
      </c>
      <c r="O391" s="137" t="s">
        <v>193</v>
      </c>
      <c r="P391" s="137" t="s">
        <v>53</v>
      </c>
      <c r="Q391" s="137" t="s">
        <v>193</v>
      </c>
      <c r="R391" s="137" t="s">
        <v>193</v>
      </c>
      <c r="S391" s="137" t="s">
        <v>193</v>
      </c>
      <c r="T391" s="137" t="s">
        <v>193</v>
      </c>
      <c r="U391" s="137" t="s">
        <v>193</v>
      </c>
      <c r="X391" s="12">
        <f t="shared" si="6"/>
        <v>0</v>
      </c>
    </row>
    <row r="392" spans="1:24" ht="15" customHeight="1" x14ac:dyDescent="0.25">
      <c r="A392" s="137" t="s">
        <v>712</v>
      </c>
      <c r="B392" s="137" t="s">
        <v>714</v>
      </c>
      <c r="C392" s="137">
        <v>2018</v>
      </c>
      <c r="D392" s="137" t="s">
        <v>53</v>
      </c>
      <c r="E392" s="137" t="s">
        <v>193</v>
      </c>
      <c r="F392" s="137" t="s">
        <v>193</v>
      </c>
      <c r="G392" s="137" t="s">
        <v>193</v>
      </c>
      <c r="H392" s="137" t="s">
        <v>193</v>
      </c>
      <c r="I392" s="137" t="s">
        <v>193</v>
      </c>
      <c r="J392" s="137" t="s">
        <v>53</v>
      </c>
      <c r="K392" s="137" t="s">
        <v>193</v>
      </c>
      <c r="L392" s="137" t="s">
        <v>193</v>
      </c>
      <c r="M392" s="137" t="s">
        <v>193</v>
      </c>
      <c r="N392" s="137" t="s">
        <v>193</v>
      </c>
      <c r="O392" s="137" t="s">
        <v>193</v>
      </c>
      <c r="P392" s="137" t="s">
        <v>53</v>
      </c>
      <c r="Q392" s="137" t="s">
        <v>193</v>
      </c>
      <c r="R392" s="137" t="s">
        <v>193</v>
      </c>
      <c r="S392" s="137" t="s">
        <v>193</v>
      </c>
      <c r="T392" s="137" t="s">
        <v>193</v>
      </c>
      <c r="U392" s="137" t="s">
        <v>193</v>
      </c>
      <c r="X392" s="12">
        <f t="shared" si="6"/>
        <v>0</v>
      </c>
    </row>
    <row r="393" spans="1:24" ht="15" customHeight="1" x14ac:dyDescent="0.25">
      <c r="A393" s="137" t="s">
        <v>712</v>
      </c>
      <c r="B393" s="137" t="s">
        <v>715</v>
      </c>
      <c r="C393" s="137">
        <v>2018</v>
      </c>
      <c r="D393" s="137" t="s">
        <v>53</v>
      </c>
      <c r="E393" s="137" t="s">
        <v>193</v>
      </c>
      <c r="F393" s="137" t="s">
        <v>193</v>
      </c>
      <c r="G393" s="137" t="s">
        <v>193</v>
      </c>
      <c r="H393" s="137" t="s">
        <v>193</v>
      </c>
      <c r="I393" s="137" t="s">
        <v>193</v>
      </c>
      <c r="J393" s="137" t="s">
        <v>53</v>
      </c>
      <c r="K393" s="137" t="s">
        <v>193</v>
      </c>
      <c r="L393" s="137" t="s">
        <v>193</v>
      </c>
      <c r="M393" s="137" t="s">
        <v>193</v>
      </c>
      <c r="N393" s="137" t="s">
        <v>193</v>
      </c>
      <c r="O393" s="137" t="s">
        <v>193</v>
      </c>
      <c r="P393" s="137" t="s">
        <v>53</v>
      </c>
      <c r="Q393" s="137" t="s">
        <v>193</v>
      </c>
      <c r="R393" s="137" t="s">
        <v>193</v>
      </c>
      <c r="S393" s="137" t="s">
        <v>193</v>
      </c>
      <c r="T393" s="137" t="s">
        <v>193</v>
      </c>
      <c r="U393" s="137" t="s">
        <v>193</v>
      </c>
      <c r="X393" s="12">
        <f t="shared" si="6"/>
        <v>0</v>
      </c>
    </row>
    <row r="394" spans="1:24" ht="15" customHeight="1" x14ac:dyDescent="0.25">
      <c r="A394" s="137" t="s">
        <v>712</v>
      </c>
      <c r="B394" s="137" t="s">
        <v>716</v>
      </c>
      <c r="C394" s="137">
        <v>2018</v>
      </c>
      <c r="D394" s="137" t="s">
        <v>53</v>
      </c>
      <c r="E394" s="137" t="s">
        <v>193</v>
      </c>
      <c r="F394" s="137" t="s">
        <v>193</v>
      </c>
      <c r="G394" s="137" t="s">
        <v>193</v>
      </c>
      <c r="H394" s="137" t="s">
        <v>193</v>
      </c>
      <c r="I394" s="137" t="s">
        <v>193</v>
      </c>
      <c r="J394" s="137" t="s">
        <v>53</v>
      </c>
      <c r="K394" s="137" t="s">
        <v>193</v>
      </c>
      <c r="L394" s="137" t="s">
        <v>193</v>
      </c>
      <c r="M394" s="137" t="s">
        <v>193</v>
      </c>
      <c r="N394" s="137" t="s">
        <v>193</v>
      </c>
      <c r="O394" s="137" t="s">
        <v>193</v>
      </c>
      <c r="P394" s="137" t="s">
        <v>53</v>
      </c>
      <c r="Q394" s="137" t="s">
        <v>193</v>
      </c>
      <c r="R394" s="137" t="s">
        <v>193</v>
      </c>
      <c r="S394" s="137" t="s">
        <v>193</v>
      </c>
      <c r="T394" s="137" t="s">
        <v>193</v>
      </c>
      <c r="U394" s="137" t="s">
        <v>193</v>
      </c>
      <c r="X394" s="12">
        <f t="shared" si="6"/>
        <v>0</v>
      </c>
    </row>
    <row r="395" spans="1:24" ht="15" customHeight="1" x14ac:dyDescent="0.25">
      <c r="A395" s="137" t="s">
        <v>712</v>
      </c>
      <c r="B395" s="137" t="s">
        <v>717</v>
      </c>
      <c r="C395" s="137">
        <v>2018</v>
      </c>
      <c r="D395" s="137" t="s">
        <v>53</v>
      </c>
      <c r="E395" s="137" t="s">
        <v>53</v>
      </c>
      <c r="F395" s="137" t="s">
        <v>193</v>
      </c>
      <c r="G395" s="137" t="s">
        <v>53</v>
      </c>
      <c r="H395" s="137" t="s">
        <v>193</v>
      </c>
      <c r="I395" s="137" t="s">
        <v>193</v>
      </c>
      <c r="J395" s="137" t="s">
        <v>53</v>
      </c>
      <c r="K395" s="137" t="s">
        <v>53</v>
      </c>
      <c r="L395" s="137" t="s">
        <v>193</v>
      </c>
      <c r="M395" s="137" t="s">
        <v>53</v>
      </c>
      <c r="N395" s="137" t="s">
        <v>193</v>
      </c>
      <c r="O395" s="137" t="s">
        <v>193</v>
      </c>
      <c r="P395" s="137" t="s">
        <v>53</v>
      </c>
      <c r="Q395" s="137" t="s">
        <v>53</v>
      </c>
      <c r="R395" s="137" t="s">
        <v>193</v>
      </c>
      <c r="S395" s="137" t="s">
        <v>53</v>
      </c>
      <c r="T395" s="137" t="s">
        <v>193</v>
      </c>
      <c r="U395" s="137" t="s">
        <v>193</v>
      </c>
      <c r="X395" s="12">
        <f t="shared" si="6"/>
        <v>0</v>
      </c>
    </row>
    <row r="396" spans="1:24" ht="15" customHeight="1" x14ac:dyDescent="0.25">
      <c r="A396" s="137" t="s">
        <v>712</v>
      </c>
      <c r="B396" s="137" t="s">
        <v>718</v>
      </c>
      <c r="C396" s="137">
        <v>2018</v>
      </c>
      <c r="D396" s="137" t="s">
        <v>53</v>
      </c>
      <c r="E396" s="137" t="s">
        <v>53</v>
      </c>
      <c r="F396" s="137" t="s">
        <v>53</v>
      </c>
      <c r="G396" s="137" t="s">
        <v>53</v>
      </c>
      <c r="H396" s="137" t="s">
        <v>53</v>
      </c>
      <c r="I396" s="137" t="s">
        <v>53</v>
      </c>
      <c r="J396" s="137" t="s">
        <v>53</v>
      </c>
      <c r="K396" s="137" t="s">
        <v>53</v>
      </c>
      <c r="L396" s="137" t="s">
        <v>53</v>
      </c>
      <c r="M396" s="137" t="s">
        <v>53</v>
      </c>
      <c r="N396" s="137" t="s">
        <v>53</v>
      </c>
      <c r="O396" s="137" t="s">
        <v>53</v>
      </c>
      <c r="P396" s="137" t="s">
        <v>53</v>
      </c>
      <c r="Q396" s="137" t="s">
        <v>53</v>
      </c>
      <c r="R396" s="137" t="s">
        <v>53</v>
      </c>
      <c r="S396" s="137" t="s">
        <v>53</v>
      </c>
      <c r="T396" s="137" t="s">
        <v>53</v>
      </c>
      <c r="U396" s="137" t="s">
        <v>53</v>
      </c>
      <c r="X396" s="12">
        <f t="shared" si="6"/>
        <v>0</v>
      </c>
    </row>
    <row r="397" spans="1:24" ht="15" customHeight="1" x14ac:dyDescent="0.25">
      <c r="A397" s="137" t="s">
        <v>719</v>
      </c>
      <c r="B397" s="137" t="s">
        <v>720</v>
      </c>
      <c r="C397" s="137">
        <v>2018</v>
      </c>
      <c r="D397" s="137" t="s">
        <v>53</v>
      </c>
      <c r="E397" s="137" t="s">
        <v>193</v>
      </c>
      <c r="F397" s="137" t="s">
        <v>193</v>
      </c>
      <c r="G397" s="137" t="s">
        <v>193</v>
      </c>
      <c r="H397" s="137" t="s">
        <v>193</v>
      </c>
      <c r="I397" s="137" t="s">
        <v>193</v>
      </c>
      <c r="J397" s="137" t="s">
        <v>847</v>
      </c>
      <c r="K397" s="137" t="s">
        <v>769</v>
      </c>
      <c r="L397" s="137">
        <v>0.89400000000000002</v>
      </c>
      <c r="M397" s="137" t="s">
        <v>193</v>
      </c>
      <c r="N397" s="137" t="s">
        <v>193</v>
      </c>
      <c r="O397" s="137">
        <v>90</v>
      </c>
      <c r="P397" s="137" t="s">
        <v>53</v>
      </c>
      <c r="Q397" s="137" t="s">
        <v>193</v>
      </c>
      <c r="R397" s="137" t="s">
        <v>193</v>
      </c>
      <c r="S397" s="137" t="s">
        <v>193</v>
      </c>
      <c r="T397" s="137" t="s">
        <v>193</v>
      </c>
      <c r="U397" s="137" t="s">
        <v>193</v>
      </c>
      <c r="X397" s="12">
        <f t="shared" si="6"/>
        <v>0</v>
      </c>
    </row>
    <row r="398" spans="1:24" ht="15" customHeight="1" x14ac:dyDescent="0.25">
      <c r="A398" s="137" t="s">
        <v>721</v>
      </c>
      <c r="B398" s="137" t="s">
        <v>722</v>
      </c>
      <c r="C398" s="137">
        <v>2018</v>
      </c>
      <c r="D398" s="137" t="s">
        <v>53</v>
      </c>
      <c r="E398" s="137" t="s">
        <v>193</v>
      </c>
      <c r="F398" s="137" t="s">
        <v>193</v>
      </c>
      <c r="G398" s="137" t="s">
        <v>193</v>
      </c>
      <c r="H398" s="137" t="s">
        <v>193</v>
      </c>
      <c r="I398" s="137" t="s">
        <v>193</v>
      </c>
      <c r="J398" s="137" t="s">
        <v>53</v>
      </c>
      <c r="K398" s="137" t="s">
        <v>193</v>
      </c>
      <c r="L398" s="137" t="s">
        <v>193</v>
      </c>
      <c r="M398" s="137" t="s">
        <v>193</v>
      </c>
      <c r="N398" s="137" t="s">
        <v>193</v>
      </c>
      <c r="O398" s="137" t="s">
        <v>193</v>
      </c>
      <c r="P398" s="137" t="s">
        <v>53</v>
      </c>
      <c r="Q398" s="137" t="s">
        <v>193</v>
      </c>
      <c r="R398" s="137" t="s">
        <v>193</v>
      </c>
      <c r="S398" s="137" t="s">
        <v>193</v>
      </c>
      <c r="T398" s="137" t="s">
        <v>193</v>
      </c>
      <c r="U398" s="137" t="s">
        <v>193</v>
      </c>
      <c r="X398" s="12">
        <f t="shared" si="6"/>
        <v>0</v>
      </c>
    </row>
    <row r="399" spans="1:24" ht="15" customHeight="1" x14ac:dyDescent="0.25">
      <c r="A399" s="137" t="s">
        <v>721</v>
      </c>
      <c r="B399" s="137" t="s">
        <v>723</v>
      </c>
      <c r="C399" s="137">
        <v>2018</v>
      </c>
      <c r="D399" s="137" t="s">
        <v>53</v>
      </c>
      <c r="E399" s="137" t="s">
        <v>53</v>
      </c>
      <c r="F399" s="137" t="s">
        <v>193</v>
      </c>
      <c r="G399" s="137" t="s">
        <v>53</v>
      </c>
      <c r="H399" s="137" t="s">
        <v>193</v>
      </c>
      <c r="I399" s="137" t="s">
        <v>193</v>
      </c>
      <c r="J399" s="137" t="s">
        <v>53</v>
      </c>
      <c r="K399" s="137" t="s">
        <v>53</v>
      </c>
      <c r="L399" s="137" t="s">
        <v>193</v>
      </c>
      <c r="M399" s="137" t="s">
        <v>53</v>
      </c>
      <c r="N399" s="137" t="s">
        <v>193</v>
      </c>
      <c r="O399" s="137" t="s">
        <v>193</v>
      </c>
      <c r="P399" s="137" t="s">
        <v>53</v>
      </c>
      <c r="Q399" s="137" t="s">
        <v>53</v>
      </c>
      <c r="R399" s="137" t="s">
        <v>193</v>
      </c>
      <c r="S399" s="137" t="s">
        <v>53</v>
      </c>
      <c r="T399" s="137" t="s">
        <v>193</v>
      </c>
      <c r="U399" s="137" t="s">
        <v>193</v>
      </c>
      <c r="X399" s="12">
        <f t="shared" si="6"/>
        <v>0</v>
      </c>
    </row>
    <row r="400" spans="1:24" ht="15" customHeight="1" x14ac:dyDescent="0.25">
      <c r="A400" s="137" t="s">
        <v>724</v>
      </c>
      <c r="B400" s="137" t="s">
        <v>141</v>
      </c>
      <c r="C400" s="137">
        <v>2018</v>
      </c>
      <c r="D400" s="137" t="s">
        <v>53</v>
      </c>
      <c r="E400" s="137" t="s">
        <v>53</v>
      </c>
      <c r="F400" s="137" t="s">
        <v>53</v>
      </c>
      <c r="G400" s="137" t="s">
        <v>53</v>
      </c>
      <c r="H400" s="137" t="s">
        <v>53</v>
      </c>
      <c r="I400" s="137" t="s">
        <v>53</v>
      </c>
      <c r="J400" s="137" t="s">
        <v>53</v>
      </c>
      <c r="K400" s="137" t="s">
        <v>53</v>
      </c>
      <c r="L400" s="137" t="s">
        <v>53</v>
      </c>
      <c r="M400" s="137" t="s">
        <v>53</v>
      </c>
      <c r="N400" s="137" t="s">
        <v>53</v>
      </c>
      <c r="O400" s="137" t="s">
        <v>53</v>
      </c>
      <c r="P400" s="137" t="s">
        <v>53</v>
      </c>
      <c r="Q400" s="137" t="s">
        <v>53</v>
      </c>
      <c r="R400" s="137" t="s">
        <v>53</v>
      </c>
      <c r="S400" s="137" t="s">
        <v>53</v>
      </c>
      <c r="T400" s="137" t="s">
        <v>53</v>
      </c>
      <c r="U400" s="137" t="s">
        <v>53</v>
      </c>
      <c r="X400" s="12">
        <f t="shared" si="6"/>
        <v>0</v>
      </c>
    </row>
    <row r="401" spans="1:24" ht="15" customHeight="1" x14ac:dyDescent="0.25">
      <c r="A401" s="137" t="s">
        <v>725</v>
      </c>
      <c r="B401" s="137" t="s">
        <v>726</v>
      </c>
      <c r="C401" s="137">
        <v>2018</v>
      </c>
      <c r="D401" s="137" t="s">
        <v>848</v>
      </c>
      <c r="E401" s="137" t="s">
        <v>772</v>
      </c>
      <c r="F401" s="137">
        <v>6.88</v>
      </c>
      <c r="G401" s="137" t="s">
        <v>193</v>
      </c>
      <c r="H401" s="137" t="s">
        <v>193</v>
      </c>
      <c r="I401" s="137" t="s">
        <v>193</v>
      </c>
      <c r="J401" s="137" t="s">
        <v>53</v>
      </c>
      <c r="K401" s="137" t="s">
        <v>193</v>
      </c>
      <c r="L401" s="137" t="s">
        <v>193</v>
      </c>
      <c r="M401" s="137" t="s">
        <v>193</v>
      </c>
      <c r="N401" s="137" t="s">
        <v>193</v>
      </c>
      <c r="O401" s="137" t="s">
        <v>193</v>
      </c>
      <c r="P401" s="137" t="s">
        <v>53</v>
      </c>
      <c r="Q401" s="137" t="s">
        <v>193</v>
      </c>
      <c r="R401" s="137" t="s">
        <v>193</v>
      </c>
      <c r="S401" s="137" t="s">
        <v>193</v>
      </c>
      <c r="T401" s="137" t="s">
        <v>193</v>
      </c>
      <c r="U401" s="137" t="s">
        <v>193</v>
      </c>
      <c r="X401" s="12">
        <f t="shared" si="6"/>
        <v>0</v>
      </c>
    </row>
    <row r="402" spans="1:24" ht="15" customHeight="1" x14ac:dyDescent="0.25">
      <c r="A402" s="137" t="s">
        <v>725</v>
      </c>
      <c r="B402" s="137" t="s">
        <v>727</v>
      </c>
      <c r="C402" s="137">
        <v>2018</v>
      </c>
      <c r="D402" s="137" t="s">
        <v>53</v>
      </c>
      <c r="E402" s="137" t="s">
        <v>193</v>
      </c>
      <c r="F402" s="137" t="s">
        <v>193</v>
      </c>
      <c r="G402" s="137" t="s">
        <v>193</v>
      </c>
      <c r="H402" s="137" t="s">
        <v>193</v>
      </c>
      <c r="I402" s="137" t="s">
        <v>193</v>
      </c>
      <c r="J402" s="137" t="s">
        <v>53</v>
      </c>
      <c r="K402" s="137" t="s">
        <v>193</v>
      </c>
      <c r="L402" s="137" t="s">
        <v>193</v>
      </c>
      <c r="M402" s="137" t="s">
        <v>193</v>
      </c>
      <c r="N402" s="137" t="s">
        <v>193</v>
      </c>
      <c r="O402" s="137" t="s">
        <v>193</v>
      </c>
      <c r="P402" s="137" t="s">
        <v>53</v>
      </c>
      <c r="Q402" s="137" t="s">
        <v>193</v>
      </c>
      <c r="R402" s="137" t="s">
        <v>193</v>
      </c>
      <c r="S402" s="137" t="s">
        <v>193</v>
      </c>
      <c r="T402" s="137" t="s">
        <v>193</v>
      </c>
      <c r="U402" s="137" t="s">
        <v>193</v>
      </c>
      <c r="X402" s="12">
        <f t="shared" si="6"/>
        <v>0</v>
      </c>
    </row>
    <row r="403" spans="1:24" ht="15" customHeight="1" x14ac:dyDescent="0.25">
      <c r="A403" s="137" t="s">
        <v>725</v>
      </c>
      <c r="B403" s="137" t="s">
        <v>728</v>
      </c>
      <c r="C403" s="137">
        <v>2018</v>
      </c>
      <c r="D403" s="137" t="s">
        <v>53</v>
      </c>
      <c r="E403" s="137" t="s">
        <v>193</v>
      </c>
      <c r="F403" s="137" t="s">
        <v>193</v>
      </c>
      <c r="G403" s="137" t="s">
        <v>193</v>
      </c>
      <c r="H403" s="137" t="s">
        <v>193</v>
      </c>
      <c r="I403" s="137" t="s">
        <v>193</v>
      </c>
      <c r="J403" s="137" t="s">
        <v>53</v>
      </c>
      <c r="K403" s="137" t="s">
        <v>193</v>
      </c>
      <c r="L403" s="137" t="s">
        <v>193</v>
      </c>
      <c r="M403" s="137" t="s">
        <v>193</v>
      </c>
      <c r="N403" s="137" t="s">
        <v>193</v>
      </c>
      <c r="O403" s="137" t="s">
        <v>193</v>
      </c>
      <c r="P403" s="137" t="s">
        <v>53</v>
      </c>
      <c r="Q403" s="137" t="s">
        <v>193</v>
      </c>
      <c r="R403" s="137" t="s">
        <v>193</v>
      </c>
      <c r="S403" s="137" t="s">
        <v>193</v>
      </c>
      <c r="T403" s="137" t="s">
        <v>193</v>
      </c>
      <c r="U403" s="137" t="s">
        <v>193</v>
      </c>
      <c r="X403" s="12">
        <f t="shared" si="6"/>
        <v>0</v>
      </c>
    </row>
    <row r="404" spans="1:24" ht="15" customHeight="1" x14ac:dyDescent="0.25">
      <c r="A404" s="137" t="s">
        <v>725</v>
      </c>
      <c r="B404" s="137" t="s">
        <v>729</v>
      </c>
      <c r="C404" s="137">
        <v>2018</v>
      </c>
      <c r="D404" s="137" t="s">
        <v>849</v>
      </c>
      <c r="E404" s="137" t="s">
        <v>772</v>
      </c>
      <c r="F404" s="137">
        <v>0.80700000000000005</v>
      </c>
      <c r="G404" s="137" t="s">
        <v>193</v>
      </c>
      <c r="H404" s="137" t="s">
        <v>193</v>
      </c>
      <c r="I404" s="137" t="s">
        <v>193</v>
      </c>
      <c r="J404" s="137" t="s">
        <v>53</v>
      </c>
      <c r="K404" s="137" t="s">
        <v>193</v>
      </c>
      <c r="L404" s="137" t="s">
        <v>193</v>
      </c>
      <c r="M404" s="137" t="s">
        <v>193</v>
      </c>
      <c r="N404" s="137" t="s">
        <v>193</v>
      </c>
      <c r="O404" s="137" t="s">
        <v>193</v>
      </c>
      <c r="P404" s="137" t="s">
        <v>53</v>
      </c>
      <c r="Q404" s="137" t="s">
        <v>193</v>
      </c>
      <c r="R404" s="137" t="s">
        <v>193</v>
      </c>
      <c r="S404" s="137" t="s">
        <v>193</v>
      </c>
      <c r="T404" s="137" t="s">
        <v>193</v>
      </c>
      <c r="U404" s="137" t="s">
        <v>193</v>
      </c>
      <c r="X404" s="12">
        <f t="shared" si="6"/>
        <v>0</v>
      </c>
    </row>
    <row r="405" spans="1:24" ht="15" customHeight="1" x14ac:dyDescent="0.25">
      <c r="A405" s="137" t="s">
        <v>730</v>
      </c>
      <c r="B405" s="137" t="s">
        <v>731</v>
      </c>
      <c r="C405" s="137">
        <v>2018</v>
      </c>
      <c r="D405" s="137" t="s">
        <v>53</v>
      </c>
      <c r="E405" s="137" t="s">
        <v>193</v>
      </c>
      <c r="F405" s="137" t="s">
        <v>193</v>
      </c>
      <c r="G405" s="137" t="s">
        <v>193</v>
      </c>
      <c r="H405" s="137" t="s">
        <v>193</v>
      </c>
      <c r="I405" s="137" t="s">
        <v>193</v>
      </c>
      <c r="J405" s="137" t="s">
        <v>53</v>
      </c>
      <c r="K405" s="137" t="s">
        <v>193</v>
      </c>
      <c r="L405" s="137" t="s">
        <v>193</v>
      </c>
      <c r="M405" s="137" t="s">
        <v>193</v>
      </c>
      <c r="N405" s="137" t="s">
        <v>193</v>
      </c>
      <c r="O405" s="137" t="s">
        <v>193</v>
      </c>
      <c r="P405" s="137" t="s">
        <v>53</v>
      </c>
      <c r="Q405" s="137" t="s">
        <v>193</v>
      </c>
      <c r="R405" s="137" t="s">
        <v>193</v>
      </c>
      <c r="S405" s="137" t="s">
        <v>193</v>
      </c>
      <c r="T405" s="137" t="s">
        <v>193</v>
      </c>
      <c r="U405" s="137" t="s">
        <v>193</v>
      </c>
      <c r="X405" s="12">
        <f t="shared" si="6"/>
        <v>0</v>
      </c>
    </row>
    <row r="406" spans="1:24" ht="15" customHeight="1" x14ac:dyDescent="0.25">
      <c r="A406" s="137" t="s">
        <v>732</v>
      </c>
      <c r="B406" s="137" t="s">
        <v>733</v>
      </c>
      <c r="C406" s="137">
        <v>2018</v>
      </c>
      <c r="D406" s="137" t="s">
        <v>53</v>
      </c>
      <c r="E406" s="137" t="s">
        <v>193</v>
      </c>
      <c r="F406" s="137" t="s">
        <v>193</v>
      </c>
      <c r="G406" s="137" t="s">
        <v>193</v>
      </c>
      <c r="H406" s="137" t="s">
        <v>193</v>
      </c>
      <c r="I406" s="137" t="s">
        <v>193</v>
      </c>
      <c r="J406" s="137" t="s">
        <v>53</v>
      </c>
      <c r="K406" s="137" t="s">
        <v>193</v>
      </c>
      <c r="L406" s="137" t="s">
        <v>193</v>
      </c>
      <c r="M406" s="137" t="s">
        <v>193</v>
      </c>
      <c r="N406" s="137" t="s">
        <v>193</v>
      </c>
      <c r="O406" s="137" t="s">
        <v>193</v>
      </c>
      <c r="P406" s="137" t="s">
        <v>53</v>
      </c>
      <c r="Q406" s="137" t="s">
        <v>193</v>
      </c>
      <c r="R406" s="137" t="s">
        <v>193</v>
      </c>
      <c r="S406" s="137" t="s">
        <v>193</v>
      </c>
      <c r="T406" s="137" t="s">
        <v>193</v>
      </c>
      <c r="U406" s="137" t="s">
        <v>193</v>
      </c>
      <c r="X406" s="12">
        <f t="shared" si="6"/>
        <v>0</v>
      </c>
    </row>
    <row r="407" spans="1:24" ht="15" customHeight="1" x14ac:dyDescent="0.25">
      <c r="A407" s="137" t="s">
        <v>149</v>
      </c>
      <c r="B407" s="137" t="s">
        <v>13</v>
      </c>
      <c r="C407" s="137">
        <v>2018</v>
      </c>
      <c r="D407" s="137" t="s">
        <v>53</v>
      </c>
      <c r="E407" s="137" t="s">
        <v>53</v>
      </c>
      <c r="F407" s="137" t="s">
        <v>53</v>
      </c>
      <c r="G407" s="137" t="s">
        <v>53</v>
      </c>
      <c r="H407" s="137" t="s">
        <v>53</v>
      </c>
      <c r="I407" s="137" t="s">
        <v>53</v>
      </c>
      <c r="J407" s="137" t="s">
        <v>53</v>
      </c>
      <c r="K407" s="137" t="s">
        <v>53</v>
      </c>
      <c r="L407" s="137" t="s">
        <v>53</v>
      </c>
      <c r="M407" s="137" t="s">
        <v>53</v>
      </c>
      <c r="N407" s="137" t="s">
        <v>53</v>
      </c>
      <c r="O407" s="137" t="s">
        <v>53</v>
      </c>
      <c r="P407" s="137" t="s">
        <v>53</v>
      </c>
      <c r="Q407" s="137" t="s">
        <v>53</v>
      </c>
      <c r="R407" s="137" t="s">
        <v>53</v>
      </c>
      <c r="S407" s="137" t="s">
        <v>53</v>
      </c>
      <c r="T407" s="137" t="s">
        <v>53</v>
      </c>
      <c r="U407" s="137" t="s">
        <v>53</v>
      </c>
      <c r="X407" s="12">
        <f t="shared" si="6"/>
        <v>0</v>
      </c>
    </row>
    <row r="408" spans="1:24" ht="15" customHeight="1" x14ac:dyDescent="0.25">
      <c r="A408" s="137" t="s">
        <v>12</v>
      </c>
      <c r="B408" s="141" t="s">
        <v>14</v>
      </c>
      <c r="C408" s="137">
        <v>2018</v>
      </c>
      <c r="D408" s="137" t="s">
        <v>53</v>
      </c>
      <c r="E408" s="137" t="s">
        <v>53</v>
      </c>
      <c r="F408" s="137" t="s">
        <v>53</v>
      </c>
      <c r="G408" s="137" t="s">
        <v>53</v>
      </c>
      <c r="H408" s="137" t="s">
        <v>53</v>
      </c>
      <c r="I408" s="137" t="s">
        <v>53</v>
      </c>
      <c r="J408" s="137" t="s">
        <v>53</v>
      </c>
      <c r="K408" s="137" t="s">
        <v>53</v>
      </c>
      <c r="L408" s="137" t="s">
        <v>53</v>
      </c>
      <c r="M408" s="137" t="s">
        <v>53</v>
      </c>
      <c r="N408" s="137" t="s">
        <v>53</v>
      </c>
      <c r="O408" s="137" t="s">
        <v>53</v>
      </c>
      <c r="P408" s="137" t="s">
        <v>53</v>
      </c>
      <c r="Q408" s="137" t="s">
        <v>53</v>
      </c>
      <c r="R408" s="137" t="s">
        <v>53</v>
      </c>
      <c r="S408" s="137" t="s">
        <v>53</v>
      </c>
      <c r="T408" s="137" t="s">
        <v>53</v>
      </c>
      <c r="U408" s="137" t="s">
        <v>53</v>
      </c>
      <c r="X408" s="12">
        <f t="shared" si="6"/>
        <v>0</v>
      </c>
    </row>
    <row r="409" spans="1:24" ht="15" customHeight="1" x14ac:dyDescent="0.25">
      <c r="A409" s="137" t="s">
        <v>734</v>
      </c>
      <c r="B409" s="137" t="s">
        <v>735</v>
      </c>
      <c r="C409" s="137">
        <v>2018</v>
      </c>
      <c r="D409" s="137" t="s">
        <v>53</v>
      </c>
      <c r="E409" s="137" t="s">
        <v>193</v>
      </c>
      <c r="F409" s="137" t="s">
        <v>193</v>
      </c>
      <c r="G409" s="137" t="s">
        <v>193</v>
      </c>
      <c r="H409" s="137" t="s">
        <v>193</v>
      </c>
      <c r="I409" s="137" t="s">
        <v>193</v>
      </c>
      <c r="J409" s="137" t="s">
        <v>53</v>
      </c>
      <c r="K409" s="137" t="s">
        <v>193</v>
      </c>
      <c r="L409" s="137" t="s">
        <v>193</v>
      </c>
      <c r="M409" s="137" t="s">
        <v>193</v>
      </c>
      <c r="N409" s="137" t="s">
        <v>193</v>
      </c>
      <c r="O409" s="137" t="s">
        <v>193</v>
      </c>
      <c r="P409" s="137" t="s">
        <v>53</v>
      </c>
      <c r="Q409" s="137" t="s">
        <v>193</v>
      </c>
      <c r="R409" s="137" t="s">
        <v>193</v>
      </c>
      <c r="S409" s="137" t="s">
        <v>193</v>
      </c>
      <c r="T409" s="137" t="s">
        <v>193</v>
      </c>
      <c r="U409" s="137" t="s">
        <v>193</v>
      </c>
      <c r="X409" s="12">
        <f t="shared" si="6"/>
        <v>0</v>
      </c>
    </row>
    <row r="410" spans="1:24" ht="15" customHeight="1" x14ac:dyDescent="0.25">
      <c r="A410" s="137" t="s">
        <v>734</v>
      </c>
      <c r="B410" s="137" t="s">
        <v>736</v>
      </c>
      <c r="C410" s="137">
        <v>2018</v>
      </c>
      <c r="D410" s="137" t="s">
        <v>53</v>
      </c>
      <c r="E410" s="137" t="s">
        <v>193</v>
      </c>
      <c r="F410" s="137" t="s">
        <v>193</v>
      </c>
      <c r="G410" s="137" t="s">
        <v>193</v>
      </c>
      <c r="H410" s="137" t="s">
        <v>193</v>
      </c>
      <c r="I410" s="137" t="s">
        <v>193</v>
      </c>
      <c r="J410" s="137" t="s">
        <v>53</v>
      </c>
      <c r="K410" s="137" t="s">
        <v>193</v>
      </c>
      <c r="L410" s="137" t="s">
        <v>193</v>
      </c>
      <c r="M410" s="137" t="s">
        <v>193</v>
      </c>
      <c r="N410" s="137" t="s">
        <v>193</v>
      </c>
      <c r="O410" s="137" t="s">
        <v>193</v>
      </c>
      <c r="P410" s="137" t="s">
        <v>53</v>
      </c>
      <c r="Q410" s="137" t="s">
        <v>193</v>
      </c>
      <c r="R410" s="137" t="s">
        <v>193</v>
      </c>
      <c r="S410" s="137" t="s">
        <v>193</v>
      </c>
      <c r="T410" s="137" t="s">
        <v>193</v>
      </c>
      <c r="U410" s="137" t="s">
        <v>193</v>
      </c>
      <c r="X410" s="12">
        <f t="shared" si="6"/>
        <v>0</v>
      </c>
    </row>
    <row r="411" spans="1:24" ht="15" customHeight="1" x14ac:dyDescent="0.25">
      <c r="A411" s="137" t="s">
        <v>734</v>
      </c>
      <c r="B411" s="137" t="s">
        <v>737</v>
      </c>
      <c r="C411" s="137">
        <v>2018</v>
      </c>
      <c r="D411" s="137" t="s">
        <v>850</v>
      </c>
      <c r="E411" s="137" t="s">
        <v>769</v>
      </c>
      <c r="F411" s="137">
        <v>1.9490000000000001</v>
      </c>
      <c r="G411" s="137" t="s">
        <v>193</v>
      </c>
      <c r="H411" s="137" t="s">
        <v>193</v>
      </c>
      <c r="I411" s="137">
        <v>85</v>
      </c>
      <c r="J411" s="137" t="s">
        <v>53</v>
      </c>
      <c r="K411" s="137" t="s">
        <v>193</v>
      </c>
      <c r="L411" s="137" t="s">
        <v>193</v>
      </c>
      <c r="M411" s="137" t="s">
        <v>193</v>
      </c>
      <c r="N411" s="137" t="s">
        <v>193</v>
      </c>
      <c r="O411" s="137" t="s">
        <v>193</v>
      </c>
      <c r="P411" s="137" t="s">
        <v>53</v>
      </c>
      <c r="Q411" s="137" t="s">
        <v>193</v>
      </c>
      <c r="R411" s="137" t="s">
        <v>193</v>
      </c>
      <c r="S411" s="137" t="s">
        <v>193</v>
      </c>
      <c r="T411" s="137" t="s">
        <v>193</v>
      </c>
      <c r="U411" s="137" t="s">
        <v>193</v>
      </c>
      <c r="X411" s="12">
        <f t="shared" si="6"/>
        <v>0</v>
      </c>
    </row>
    <row r="412" spans="1:24" ht="15" customHeight="1" x14ac:dyDescent="0.25">
      <c r="A412" s="137" t="s">
        <v>734</v>
      </c>
      <c r="B412" s="137" t="s">
        <v>738</v>
      </c>
      <c r="C412" s="137">
        <v>2018</v>
      </c>
      <c r="D412" s="137" t="s">
        <v>53</v>
      </c>
      <c r="E412" s="137" t="s">
        <v>193</v>
      </c>
      <c r="F412" s="137" t="s">
        <v>193</v>
      </c>
      <c r="G412" s="137" t="s">
        <v>193</v>
      </c>
      <c r="H412" s="137" t="s">
        <v>193</v>
      </c>
      <c r="I412" s="137" t="s">
        <v>193</v>
      </c>
      <c r="J412" s="137" t="s">
        <v>53</v>
      </c>
      <c r="K412" s="137" t="s">
        <v>193</v>
      </c>
      <c r="L412" s="137" t="s">
        <v>193</v>
      </c>
      <c r="M412" s="137" t="s">
        <v>193</v>
      </c>
      <c r="N412" s="137" t="s">
        <v>193</v>
      </c>
      <c r="O412" s="137" t="s">
        <v>193</v>
      </c>
      <c r="P412" s="137" t="s">
        <v>53</v>
      </c>
      <c r="Q412" s="137" t="s">
        <v>193</v>
      </c>
      <c r="R412" s="137" t="s">
        <v>193</v>
      </c>
      <c r="S412" s="137" t="s">
        <v>193</v>
      </c>
      <c r="T412" s="137" t="s">
        <v>193</v>
      </c>
      <c r="U412" s="137" t="s">
        <v>193</v>
      </c>
      <c r="X412" s="12">
        <f t="shared" si="6"/>
        <v>0</v>
      </c>
    </row>
    <row r="413" spans="1:24" ht="15" customHeight="1" x14ac:dyDescent="0.25">
      <c r="A413" s="137" t="s">
        <v>734</v>
      </c>
      <c r="B413" s="137" t="s">
        <v>739</v>
      </c>
      <c r="C413" s="137">
        <v>2018</v>
      </c>
      <c r="D413" s="137" t="s">
        <v>53</v>
      </c>
      <c r="E413" s="137" t="s">
        <v>193</v>
      </c>
      <c r="F413" s="137" t="s">
        <v>193</v>
      </c>
      <c r="G413" s="137" t="s">
        <v>193</v>
      </c>
      <c r="H413" s="137" t="s">
        <v>193</v>
      </c>
      <c r="I413" s="137" t="s">
        <v>193</v>
      </c>
      <c r="J413" s="137" t="s">
        <v>53</v>
      </c>
      <c r="K413" s="137" t="s">
        <v>193</v>
      </c>
      <c r="L413" s="137" t="s">
        <v>193</v>
      </c>
      <c r="M413" s="137" t="s">
        <v>193</v>
      </c>
      <c r="N413" s="137" t="s">
        <v>193</v>
      </c>
      <c r="O413" s="137" t="s">
        <v>193</v>
      </c>
      <c r="P413" s="137" t="s">
        <v>53</v>
      </c>
      <c r="Q413" s="137" t="s">
        <v>193</v>
      </c>
      <c r="R413" s="137" t="s">
        <v>193</v>
      </c>
      <c r="S413" s="137" t="s">
        <v>193</v>
      </c>
      <c r="T413" s="137" t="s">
        <v>193</v>
      </c>
      <c r="U413" s="137" t="s">
        <v>193</v>
      </c>
      <c r="X413" s="12">
        <f t="shared" si="6"/>
        <v>0</v>
      </c>
    </row>
    <row r="414" spans="1:24" ht="15" customHeight="1" x14ac:dyDescent="0.25">
      <c r="A414" s="137" t="s">
        <v>734</v>
      </c>
      <c r="B414" s="137" t="s">
        <v>740</v>
      </c>
      <c r="C414" s="137">
        <v>2018</v>
      </c>
      <c r="D414" s="137" t="s">
        <v>53</v>
      </c>
      <c r="E414" s="137" t="s">
        <v>193</v>
      </c>
      <c r="F414" s="137" t="s">
        <v>193</v>
      </c>
      <c r="G414" s="137" t="s">
        <v>193</v>
      </c>
      <c r="H414" s="137" t="s">
        <v>193</v>
      </c>
      <c r="I414" s="137" t="s">
        <v>193</v>
      </c>
      <c r="J414" s="137" t="s">
        <v>53</v>
      </c>
      <c r="K414" s="137" t="s">
        <v>193</v>
      </c>
      <c r="L414" s="137" t="s">
        <v>193</v>
      </c>
      <c r="M414" s="137" t="s">
        <v>193</v>
      </c>
      <c r="N414" s="137" t="s">
        <v>193</v>
      </c>
      <c r="O414" s="137" t="s">
        <v>193</v>
      </c>
      <c r="P414" s="137" t="s">
        <v>53</v>
      </c>
      <c r="Q414" s="137" t="s">
        <v>193</v>
      </c>
      <c r="R414" s="137" t="s">
        <v>193</v>
      </c>
      <c r="S414" s="137" t="s">
        <v>193</v>
      </c>
      <c r="T414" s="137" t="s">
        <v>193</v>
      </c>
      <c r="U414" s="137" t="s">
        <v>193</v>
      </c>
      <c r="X414" s="12">
        <f t="shared" si="6"/>
        <v>0</v>
      </c>
    </row>
  </sheetData>
  <autoFilter ref="A1:X414"/>
  <conditionalFormatting sqref="B32:B70 B1:B30 B72:B146 B148:B226 B228:B292 B294:B315 B317:B340 B342:B407 B409:B1048576">
    <cfRule type="duplicateValues" dxfId="22" priority="1"/>
  </conditionalFormatting>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BD419"/>
  <sheetViews>
    <sheetView workbookViewId="0">
      <selection activeCell="B27" sqref="A1:AO414"/>
    </sheetView>
  </sheetViews>
  <sheetFormatPr defaultColWidth="9.140625" defaultRowHeight="15" customHeight="1" x14ac:dyDescent="0.25"/>
  <cols>
    <col min="1" max="1" width="36.140625" style="1" bestFit="1" customWidth="1"/>
    <col min="2" max="2" width="48" style="1" bestFit="1" customWidth="1"/>
    <col min="3" max="16384" width="9.140625" style="1"/>
  </cols>
  <sheetData>
    <row r="1" spans="1:56" s="2" customFormat="1" ht="132.75" customHeight="1" thickBot="1" x14ac:dyDescent="0.3">
      <c r="A1" s="132" t="s">
        <v>151</v>
      </c>
      <c r="B1" s="132" t="s">
        <v>2</v>
      </c>
      <c r="C1" s="132" t="s">
        <v>152</v>
      </c>
      <c r="D1" s="132" t="s">
        <v>741</v>
      </c>
      <c r="E1" s="132" t="s">
        <v>742</v>
      </c>
      <c r="F1" s="132" t="s">
        <v>743</v>
      </c>
      <c r="G1" s="132" t="s">
        <v>744</v>
      </c>
      <c r="H1" s="132" t="s">
        <v>745</v>
      </c>
      <c r="I1" s="132" t="s">
        <v>154</v>
      </c>
      <c r="J1" s="132" t="s">
        <v>155</v>
      </c>
      <c r="K1" s="132" t="s">
        <v>156</v>
      </c>
      <c r="L1" s="132" t="s">
        <v>157</v>
      </c>
      <c r="M1" s="132" t="s">
        <v>158</v>
      </c>
      <c r="N1" s="132" t="s">
        <v>159</v>
      </c>
      <c r="O1" s="132" t="s">
        <v>160</v>
      </c>
      <c r="P1" s="132" t="s">
        <v>161</v>
      </c>
      <c r="Q1" s="132" t="s">
        <v>163</v>
      </c>
      <c r="R1" s="132" t="s">
        <v>164</v>
      </c>
      <c r="S1" s="132" t="s">
        <v>165</v>
      </c>
      <c r="T1" s="132" t="s">
        <v>166</v>
      </c>
      <c r="U1" s="132" t="s">
        <v>167</v>
      </c>
      <c r="V1" s="132" t="s">
        <v>168</v>
      </c>
      <c r="W1" s="132" t="s">
        <v>169</v>
      </c>
      <c r="X1" s="132" t="s">
        <v>170</v>
      </c>
      <c r="Y1" s="132" t="s">
        <v>171</v>
      </c>
      <c r="Z1" s="132" t="s">
        <v>172</v>
      </c>
      <c r="AA1" s="132" t="s">
        <v>173</v>
      </c>
      <c r="AB1" s="132" t="s">
        <v>174</v>
      </c>
      <c r="AC1" s="132" t="s">
        <v>175</v>
      </c>
      <c r="AD1" s="132" t="s">
        <v>176</v>
      </c>
      <c r="AE1" s="132" t="s">
        <v>177</v>
      </c>
      <c r="AF1" s="132" t="s">
        <v>178</v>
      </c>
      <c r="AG1" s="132" t="s">
        <v>179</v>
      </c>
      <c r="AH1" s="132" t="s">
        <v>180</v>
      </c>
      <c r="AI1" s="132" t="s">
        <v>181</v>
      </c>
      <c r="AJ1" s="132" t="s">
        <v>182</v>
      </c>
      <c r="AK1" s="132" t="s">
        <v>746</v>
      </c>
      <c r="AL1" s="132" t="s">
        <v>189</v>
      </c>
      <c r="AM1" s="132" t="s">
        <v>190</v>
      </c>
      <c r="AN1" s="132" t="s">
        <v>191</v>
      </c>
      <c r="AO1" s="132" t="s">
        <v>192</v>
      </c>
      <c r="AQ1" s="2" t="s">
        <v>1205</v>
      </c>
      <c r="AR1" s="2" t="s">
        <v>1206</v>
      </c>
      <c r="AS1" s="3"/>
      <c r="AT1" s="3" t="s">
        <v>1207</v>
      </c>
      <c r="AU1" s="3" t="s">
        <v>1208</v>
      </c>
      <c r="AV1" s="5" t="s">
        <v>1209</v>
      </c>
      <c r="AY1" s="2" t="s">
        <v>1197</v>
      </c>
      <c r="AZ1" s="4" t="s">
        <v>1198</v>
      </c>
      <c r="BA1" s="4" t="s">
        <v>1199</v>
      </c>
      <c r="BB1" s="4" t="s">
        <v>1200</v>
      </c>
      <c r="BC1" s="4" t="s">
        <v>1201</v>
      </c>
      <c r="BD1" s="4" t="s">
        <v>1202</v>
      </c>
    </row>
    <row r="2" spans="1:56" ht="15" customHeight="1" x14ac:dyDescent="0.25">
      <c r="A2" s="137" t="s">
        <v>15</v>
      </c>
      <c r="B2" s="137" t="s">
        <v>16</v>
      </c>
      <c r="C2" s="137">
        <v>2018</v>
      </c>
      <c r="D2" s="137" t="s">
        <v>193</v>
      </c>
      <c r="E2" s="137" t="s">
        <v>193</v>
      </c>
      <c r="F2" s="137" t="s">
        <v>193</v>
      </c>
      <c r="G2" s="137" t="s">
        <v>193</v>
      </c>
      <c r="H2" s="137" t="s">
        <v>193</v>
      </c>
      <c r="I2" s="137" t="s">
        <v>193</v>
      </c>
      <c r="J2" s="137" t="s">
        <v>193</v>
      </c>
      <c r="K2" s="137" t="s">
        <v>193</v>
      </c>
      <c r="L2" s="137" t="s">
        <v>193</v>
      </c>
      <c r="M2" s="137" t="s">
        <v>193</v>
      </c>
      <c r="N2" s="137" t="s">
        <v>193</v>
      </c>
      <c r="O2" s="137" t="s">
        <v>193</v>
      </c>
      <c r="P2" s="137" t="s">
        <v>193</v>
      </c>
      <c r="Q2" s="137" t="s">
        <v>193</v>
      </c>
      <c r="R2" s="137" t="s">
        <v>193</v>
      </c>
      <c r="S2" s="137" t="s">
        <v>193</v>
      </c>
      <c r="T2" s="137" t="s">
        <v>193</v>
      </c>
      <c r="U2" s="137" t="s">
        <v>193</v>
      </c>
      <c r="V2" s="137" t="s">
        <v>193</v>
      </c>
      <c r="W2" s="137" t="s">
        <v>193</v>
      </c>
      <c r="X2" s="137" t="s">
        <v>193</v>
      </c>
      <c r="Y2" s="137" t="s">
        <v>193</v>
      </c>
      <c r="Z2" s="137" t="s">
        <v>193</v>
      </c>
      <c r="AA2" s="137" t="s">
        <v>193</v>
      </c>
      <c r="AB2" s="137" t="s">
        <v>193</v>
      </c>
      <c r="AC2" s="137" t="s">
        <v>193</v>
      </c>
      <c r="AD2" s="137" t="s">
        <v>193</v>
      </c>
      <c r="AE2" s="137" t="s">
        <v>193</v>
      </c>
      <c r="AF2" s="137" t="s">
        <v>193</v>
      </c>
      <c r="AG2" s="137" t="s">
        <v>193</v>
      </c>
      <c r="AH2" s="137" t="s">
        <v>53</v>
      </c>
      <c r="AI2" s="137" t="s">
        <v>193</v>
      </c>
      <c r="AJ2" s="137" t="s">
        <v>193</v>
      </c>
      <c r="AK2" s="137" t="s">
        <v>193</v>
      </c>
      <c r="AL2" s="137" t="s">
        <v>193</v>
      </c>
      <c r="AM2" s="137" t="s">
        <v>193</v>
      </c>
      <c r="AN2" s="137" t="s">
        <v>193</v>
      </c>
      <c r="AO2" s="137" t="s">
        <v>193</v>
      </c>
      <c r="AQ2" s="12">
        <f>SUMPRODUCT(J2:AF2)+IFERROR(AJ2/1,0)</f>
        <v>0</v>
      </c>
      <c r="AR2" s="12">
        <f t="shared" ref="AR2:AR64" si="0">SUMPRODUCT(J2:AF2)+SUMPRODUCT(AJ2:AK2)</f>
        <v>0</v>
      </c>
      <c r="AS2" s="12"/>
      <c r="AT2" s="12">
        <f>IFERROR(D2/1,0)</f>
        <v>0</v>
      </c>
      <c r="AU2" s="12">
        <f>IFERROR(E2/1,0)</f>
        <v>0</v>
      </c>
      <c r="AV2" s="13" t="str">
        <f>IFERROR((AT2+AU2)/AR2,"")</f>
        <v/>
      </c>
      <c r="AW2" s="12"/>
      <c r="AX2" s="12"/>
      <c r="AY2" s="12">
        <f>IFERROR(AK2/1,0)</f>
        <v>0</v>
      </c>
      <c r="AZ2" s="12">
        <f>IFERROR(AL2/100,0)*$AY2</f>
        <v>0</v>
      </c>
      <c r="BA2" s="12">
        <f t="shared" ref="BA2:BC16" si="1">IFERROR(AM2/100,0)*$AY2</f>
        <v>0</v>
      </c>
      <c r="BB2" s="12">
        <f t="shared" si="1"/>
        <v>0</v>
      </c>
      <c r="BC2" s="12">
        <f t="shared" si="1"/>
        <v>0</v>
      </c>
      <c r="BD2" s="12">
        <f>MAX(AY2-SUM(AZ2:BC2),0)</f>
        <v>0</v>
      </c>
    </row>
    <row r="3" spans="1:56" ht="15" customHeight="1" x14ac:dyDescent="0.25">
      <c r="A3" s="137" t="s">
        <v>15</v>
      </c>
      <c r="B3" s="137" t="s">
        <v>18</v>
      </c>
      <c r="C3" s="137">
        <v>2018</v>
      </c>
      <c r="D3" s="137" t="s">
        <v>193</v>
      </c>
      <c r="E3" s="137" t="s">
        <v>193</v>
      </c>
      <c r="F3" s="137" t="s">
        <v>193</v>
      </c>
      <c r="G3" s="137" t="s">
        <v>193</v>
      </c>
      <c r="H3" s="137" t="s">
        <v>193</v>
      </c>
      <c r="I3" s="137" t="s">
        <v>193</v>
      </c>
      <c r="J3" s="137" t="s">
        <v>193</v>
      </c>
      <c r="K3" s="137" t="s">
        <v>193</v>
      </c>
      <c r="L3" s="137" t="s">
        <v>193</v>
      </c>
      <c r="M3" s="137" t="s">
        <v>193</v>
      </c>
      <c r="N3" s="137" t="s">
        <v>193</v>
      </c>
      <c r="O3" s="137" t="s">
        <v>193</v>
      </c>
      <c r="P3" s="137" t="s">
        <v>193</v>
      </c>
      <c r="Q3" s="137" t="s">
        <v>193</v>
      </c>
      <c r="R3" s="137" t="s">
        <v>193</v>
      </c>
      <c r="S3" s="137" t="s">
        <v>193</v>
      </c>
      <c r="T3" s="137" t="s">
        <v>193</v>
      </c>
      <c r="U3" s="137" t="s">
        <v>193</v>
      </c>
      <c r="V3" s="137" t="s">
        <v>193</v>
      </c>
      <c r="W3" s="137" t="s">
        <v>193</v>
      </c>
      <c r="X3" s="137" t="s">
        <v>193</v>
      </c>
      <c r="Y3" s="137" t="s">
        <v>193</v>
      </c>
      <c r="Z3" s="137" t="s">
        <v>193</v>
      </c>
      <c r="AA3" s="137" t="s">
        <v>193</v>
      </c>
      <c r="AB3" s="137" t="s">
        <v>193</v>
      </c>
      <c r="AC3" s="137" t="s">
        <v>193</v>
      </c>
      <c r="AD3" s="137" t="s">
        <v>193</v>
      </c>
      <c r="AE3" s="137" t="s">
        <v>193</v>
      </c>
      <c r="AF3" s="137" t="s">
        <v>193</v>
      </c>
      <c r="AG3" s="137" t="s">
        <v>193</v>
      </c>
      <c r="AH3" s="137" t="s">
        <v>53</v>
      </c>
      <c r="AI3" s="137" t="s">
        <v>193</v>
      </c>
      <c r="AJ3" s="137" t="s">
        <v>193</v>
      </c>
      <c r="AK3" s="137" t="s">
        <v>193</v>
      </c>
      <c r="AL3" s="137" t="s">
        <v>193</v>
      </c>
      <c r="AM3" s="137" t="s">
        <v>193</v>
      </c>
      <c r="AN3" s="137" t="s">
        <v>193</v>
      </c>
      <c r="AO3" s="137" t="s">
        <v>193</v>
      </c>
      <c r="AQ3" s="12">
        <f t="shared" ref="AQ3:AQ65" si="2">SUMPRODUCT(J3:AF3)+IFERROR(AJ3/1,0)</f>
        <v>0</v>
      </c>
      <c r="AR3" s="12">
        <f t="shared" si="0"/>
        <v>0</v>
      </c>
      <c r="AT3" s="12">
        <f t="shared" ref="AT3:AT65" si="3">IFERROR(D3/1,0)</f>
        <v>0</v>
      </c>
      <c r="AU3" s="12">
        <f t="shared" ref="AU3:AU65" si="4">IFERROR(E3/1,0)</f>
        <v>0</v>
      </c>
      <c r="AV3" s="13" t="str">
        <f t="shared" ref="AV3:AV65" si="5">IFERROR((AT3+AU3)/AR3,"")</f>
        <v/>
      </c>
      <c r="AY3" s="12">
        <f t="shared" ref="AY3:AY65" si="6">IFERROR(AK3/1,0)</f>
        <v>0</v>
      </c>
      <c r="AZ3" s="12">
        <f t="shared" ref="AZ3:BC65" si="7">IFERROR(AL3/100,0)*$AY3</f>
        <v>0</v>
      </c>
      <c r="BA3" s="12">
        <f t="shared" si="1"/>
        <v>0</v>
      </c>
      <c r="BB3" s="12">
        <f t="shared" si="1"/>
        <v>0</v>
      </c>
      <c r="BC3" s="12">
        <f t="shared" si="1"/>
        <v>0</v>
      </c>
      <c r="BD3" s="12">
        <f t="shared" ref="BD3:BD65" si="8">MAX(AY3-SUM(AZ3:BC3),0)</f>
        <v>0</v>
      </c>
    </row>
    <row r="4" spans="1:56" ht="15" customHeight="1" x14ac:dyDescent="0.25">
      <c r="A4" s="137" t="s">
        <v>15</v>
      </c>
      <c r="B4" s="137" t="s">
        <v>20</v>
      </c>
      <c r="C4" s="137">
        <v>2018</v>
      </c>
      <c r="D4" s="137" t="s">
        <v>193</v>
      </c>
      <c r="E4" s="137" t="s">
        <v>193</v>
      </c>
      <c r="F4" s="137" t="s">
        <v>193</v>
      </c>
      <c r="G4" s="137" t="s">
        <v>193</v>
      </c>
      <c r="H4" s="137" t="s">
        <v>193</v>
      </c>
      <c r="I4" s="137" t="s">
        <v>193</v>
      </c>
      <c r="J4" s="137" t="s">
        <v>193</v>
      </c>
      <c r="K4" s="137" t="s">
        <v>193</v>
      </c>
      <c r="L4" s="137" t="s">
        <v>193</v>
      </c>
      <c r="M4" s="137" t="s">
        <v>193</v>
      </c>
      <c r="N4" s="137" t="s">
        <v>193</v>
      </c>
      <c r="O4" s="137" t="s">
        <v>193</v>
      </c>
      <c r="P4" s="137" t="s">
        <v>193</v>
      </c>
      <c r="Q4" s="137" t="s">
        <v>193</v>
      </c>
      <c r="R4" s="137" t="s">
        <v>193</v>
      </c>
      <c r="S4" s="137" t="s">
        <v>193</v>
      </c>
      <c r="T4" s="137" t="s">
        <v>193</v>
      </c>
      <c r="U4" s="137" t="s">
        <v>193</v>
      </c>
      <c r="V4" s="137" t="s">
        <v>193</v>
      </c>
      <c r="W4" s="137" t="s">
        <v>193</v>
      </c>
      <c r="X4" s="137" t="s">
        <v>193</v>
      </c>
      <c r="Y4" s="137" t="s">
        <v>193</v>
      </c>
      <c r="Z4" s="137" t="s">
        <v>193</v>
      </c>
      <c r="AA4" s="137" t="s">
        <v>193</v>
      </c>
      <c r="AB4" s="137" t="s">
        <v>193</v>
      </c>
      <c r="AC4" s="137" t="s">
        <v>193</v>
      </c>
      <c r="AD4" s="137" t="s">
        <v>193</v>
      </c>
      <c r="AE4" s="137" t="s">
        <v>193</v>
      </c>
      <c r="AF4" s="137" t="s">
        <v>193</v>
      </c>
      <c r="AG4" s="137" t="s">
        <v>193</v>
      </c>
      <c r="AH4" s="137" t="s">
        <v>53</v>
      </c>
      <c r="AI4" s="137" t="s">
        <v>193</v>
      </c>
      <c r="AJ4" s="137" t="s">
        <v>193</v>
      </c>
      <c r="AK4" s="137" t="s">
        <v>193</v>
      </c>
      <c r="AL4" s="137" t="s">
        <v>193</v>
      </c>
      <c r="AM4" s="137" t="s">
        <v>193</v>
      </c>
      <c r="AN4" s="137" t="s">
        <v>193</v>
      </c>
      <c r="AO4" s="137" t="s">
        <v>193</v>
      </c>
      <c r="AQ4" s="12">
        <f t="shared" si="2"/>
        <v>0</v>
      </c>
      <c r="AR4" s="12">
        <f t="shared" si="0"/>
        <v>0</v>
      </c>
      <c r="AT4" s="12">
        <f t="shared" si="3"/>
        <v>0</v>
      </c>
      <c r="AU4" s="12">
        <f t="shared" si="4"/>
        <v>0</v>
      </c>
      <c r="AV4" s="13" t="str">
        <f t="shared" si="5"/>
        <v/>
      </c>
      <c r="AY4" s="12">
        <f t="shared" si="6"/>
        <v>0</v>
      </c>
      <c r="AZ4" s="12">
        <f t="shared" si="7"/>
        <v>0</v>
      </c>
      <c r="BA4" s="12">
        <f t="shared" si="1"/>
        <v>0</v>
      </c>
      <c r="BB4" s="12">
        <f t="shared" si="1"/>
        <v>0</v>
      </c>
      <c r="BC4" s="12">
        <f t="shared" si="1"/>
        <v>0</v>
      </c>
      <c r="BD4" s="12">
        <f t="shared" si="8"/>
        <v>0</v>
      </c>
    </row>
    <row r="5" spans="1:56" ht="15" customHeight="1" x14ac:dyDescent="0.25">
      <c r="A5" s="137" t="s">
        <v>15</v>
      </c>
      <c r="B5" s="137" t="s">
        <v>22</v>
      </c>
      <c r="C5" s="137">
        <v>2018</v>
      </c>
      <c r="D5" s="137" t="s">
        <v>193</v>
      </c>
      <c r="E5" s="137" t="s">
        <v>193</v>
      </c>
      <c r="F5" s="137" t="s">
        <v>193</v>
      </c>
      <c r="G5" s="137" t="s">
        <v>193</v>
      </c>
      <c r="H5" s="137" t="s">
        <v>193</v>
      </c>
      <c r="I5" s="137" t="s">
        <v>193</v>
      </c>
      <c r="J5" s="137" t="s">
        <v>193</v>
      </c>
      <c r="K5" s="137" t="s">
        <v>193</v>
      </c>
      <c r="L5" s="137" t="s">
        <v>193</v>
      </c>
      <c r="M5" s="137" t="s">
        <v>193</v>
      </c>
      <c r="N5" s="137" t="s">
        <v>193</v>
      </c>
      <c r="O5" s="137" t="s">
        <v>193</v>
      </c>
      <c r="P5" s="137" t="s">
        <v>193</v>
      </c>
      <c r="Q5" s="137" t="s">
        <v>193</v>
      </c>
      <c r="R5" s="137" t="s">
        <v>193</v>
      </c>
      <c r="S5" s="137" t="s">
        <v>193</v>
      </c>
      <c r="T5" s="137" t="s">
        <v>193</v>
      </c>
      <c r="U5" s="137" t="s">
        <v>193</v>
      </c>
      <c r="V5" s="137" t="s">
        <v>193</v>
      </c>
      <c r="W5" s="137" t="s">
        <v>193</v>
      </c>
      <c r="X5" s="137" t="s">
        <v>193</v>
      </c>
      <c r="Y5" s="137" t="s">
        <v>193</v>
      </c>
      <c r="Z5" s="137" t="s">
        <v>193</v>
      </c>
      <c r="AA5" s="137" t="s">
        <v>193</v>
      </c>
      <c r="AB5" s="137" t="s">
        <v>193</v>
      </c>
      <c r="AC5" s="137" t="s">
        <v>193</v>
      </c>
      <c r="AD5" s="137" t="s">
        <v>193</v>
      </c>
      <c r="AE5" s="137" t="s">
        <v>193</v>
      </c>
      <c r="AF5" s="137" t="s">
        <v>193</v>
      </c>
      <c r="AG5" s="137" t="s">
        <v>193</v>
      </c>
      <c r="AH5" s="137" t="s">
        <v>53</v>
      </c>
      <c r="AI5" s="137" t="s">
        <v>193</v>
      </c>
      <c r="AJ5" s="137" t="s">
        <v>193</v>
      </c>
      <c r="AK5" s="137" t="s">
        <v>193</v>
      </c>
      <c r="AL5" s="137" t="s">
        <v>193</v>
      </c>
      <c r="AM5" s="137" t="s">
        <v>193</v>
      </c>
      <c r="AN5" s="137" t="s">
        <v>193</v>
      </c>
      <c r="AO5" s="137" t="s">
        <v>193</v>
      </c>
      <c r="AQ5" s="12">
        <f t="shared" si="2"/>
        <v>0</v>
      </c>
      <c r="AR5" s="12">
        <f t="shared" si="0"/>
        <v>0</v>
      </c>
      <c r="AT5" s="12">
        <f t="shared" si="3"/>
        <v>0</v>
      </c>
      <c r="AU5" s="12">
        <f t="shared" si="4"/>
        <v>0</v>
      </c>
      <c r="AV5" s="13" t="str">
        <f t="shared" si="5"/>
        <v/>
      </c>
      <c r="AY5" s="12">
        <f t="shared" si="6"/>
        <v>0</v>
      </c>
      <c r="AZ5" s="12">
        <f t="shared" si="7"/>
        <v>0</v>
      </c>
      <c r="BA5" s="12">
        <f t="shared" si="1"/>
        <v>0</v>
      </c>
      <c r="BB5" s="12">
        <f t="shared" si="1"/>
        <v>0</v>
      </c>
      <c r="BC5" s="12">
        <f t="shared" si="1"/>
        <v>0</v>
      </c>
      <c r="BD5" s="12">
        <f t="shared" si="8"/>
        <v>0</v>
      </c>
    </row>
    <row r="6" spans="1:56" ht="15" customHeight="1" x14ac:dyDescent="0.25">
      <c r="A6" s="137" t="s">
        <v>15</v>
      </c>
      <c r="B6" s="137" t="s">
        <v>24</v>
      </c>
      <c r="C6" s="137">
        <v>2018</v>
      </c>
      <c r="D6" s="137" t="s">
        <v>193</v>
      </c>
      <c r="E6" s="137" t="s">
        <v>193</v>
      </c>
      <c r="F6" s="137" t="s">
        <v>193</v>
      </c>
      <c r="G6" s="137" t="s">
        <v>193</v>
      </c>
      <c r="H6" s="137" t="s">
        <v>193</v>
      </c>
      <c r="I6" s="137" t="s">
        <v>193</v>
      </c>
      <c r="J6" s="137" t="s">
        <v>193</v>
      </c>
      <c r="K6" s="137" t="s">
        <v>193</v>
      </c>
      <c r="L6" s="137" t="s">
        <v>193</v>
      </c>
      <c r="M6" s="137" t="s">
        <v>193</v>
      </c>
      <c r="N6" s="137" t="s">
        <v>193</v>
      </c>
      <c r="O6" s="137" t="s">
        <v>193</v>
      </c>
      <c r="P6" s="137" t="s">
        <v>193</v>
      </c>
      <c r="Q6" s="137" t="s">
        <v>193</v>
      </c>
      <c r="R6" s="137" t="s">
        <v>193</v>
      </c>
      <c r="S6" s="137" t="s">
        <v>193</v>
      </c>
      <c r="T6" s="137" t="s">
        <v>193</v>
      </c>
      <c r="U6" s="137" t="s">
        <v>193</v>
      </c>
      <c r="V6" s="137" t="s">
        <v>193</v>
      </c>
      <c r="W6" s="137" t="s">
        <v>193</v>
      </c>
      <c r="X6" s="137" t="s">
        <v>193</v>
      </c>
      <c r="Y6" s="137" t="s">
        <v>193</v>
      </c>
      <c r="Z6" s="137" t="s">
        <v>193</v>
      </c>
      <c r="AA6" s="137" t="s">
        <v>193</v>
      </c>
      <c r="AB6" s="137" t="s">
        <v>193</v>
      </c>
      <c r="AC6" s="137" t="s">
        <v>193</v>
      </c>
      <c r="AD6" s="137" t="s">
        <v>193</v>
      </c>
      <c r="AE6" s="137" t="s">
        <v>193</v>
      </c>
      <c r="AF6" s="137" t="s">
        <v>193</v>
      </c>
      <c r="AG6" s="137" t="s">
        <v>193</v>
      </c>
      <c r="AH6" s="137" t="s">
        <v>53</v>
      </c>
      <c r="AI6" s="137" t="s">
        <v>193</v>
      </c>
      <c r="AJ6" s="137" t="s">
        <v>193</v>
      </c>
      <c r="AK6" s="137" t="s">
        <v>193</v>
      </c>
      <c r="AL6" s="137" t="s">
        <v>193</v>
      </c>
      <c r="AM6" s="137" t="s">
        <v>193</v>
      </c>
      <c r="AN6" s="137" t="s">
        <v>193</v>
      </c>
      <c r="AO6" s="137" t="s">
        <v>193</v>
      </c>
      <c r="AQ6" s="12">
        <f t="shared" si="2"/>
        <v>0</v>
      </c>
      <c r="AR6" s="12">
        <f t="shared" si="0"/>
        <v>0</v>
      </c>
      <c r="AT6" s="12">
        <f t="shared" si="3"/>
        <v>0</v>
      </c>
      <c r="AU6" s="12">
        <f t="shared" si="4"/>
        <v>0</v>
      </c>
      <c r="AV6" s="13" t="str">
        <f t="shared" si="5"/>
        <v/>
      </c>
      <c r="AY6" s="12">
        <f t="shared" si="6"/>
        <v>0</v>
      </c>
      <c r="AZ6" s="12">
        <f t="shared" si="7"/>
        <v>0</v>
      </c>
      <c r="BA6" s="12">
        <f t="shared" si="1"/>
        <v>0</v>
      </c>
      <c r="BB6" s="12">
        <f t="shared" si="1"/>
        <v>0</v>
      </c>
      <c r="BC6" s="12">
        <f t="shared" si="1"/>
        <v>0</v>
      </c>
      <c r="BD6" s="12">
        <f t="shared" si="8"/>
        <v>0</v>
      </c>
    </row>
    <row r="7" spans="1:56" ht="15" customHeight="1" x14ac:dyDescent="0.25">
      <c r="A7" s="137" t="s">
        <v>15</v>
      </c>
      <c r="B7" s="137" t="s">
        <v>26</v>
      </c>
      <c r="C7" s="137">
        <v>2018</v>
      </c>
      <c r="D7" s="137" t="s">
        <v>193</v>
      </c>
      <c r="E7" s="137" t="s">
        <v>193</v>
      </c>
      <c r="F7" s="137" t="s">
        <v>193</v>
      </c>
      <c r="G7" s="137" t="s">
        <v>193</v>
      </c>
      <c r="H7" s="137" t="s">
        <v>193</v>
      </c>
      <c r="I7" s="137" t="s">
        <v>193</v>
      </c>
      <c r="J7" s="137" t="s">
        <v>193</v>
      </c>
      <c r="K7" s="137" t="s">
        <v>193</v>
      </c>
      <c r="L7" s="137" t="s">
        <v>193</v>
      </c>
      <c r="M7" s="137" t="s">
        <v>193</v>
      </c>
      <c r="N7" s="137" t="s">
        <v>193</v>
      </c>
      <c r="O7" s="137" t="s">
        <v>193</v>
      </c>
      <c r="P7" s="137" t="s">
        <v>193</v>
      </c>
      <c r="Q7" s="137" t="s">
        <v>193</v>
      </c>
      <c r="R7" s="137" t="s">
        <v>193</v>
      </c>
      <c r="S7" s="137" t="s">
        <v>193</v>
      </c>
      <c r="T7" s="137" t="s">
        <v>193</v>
      </c>
      <c r="U7" s="137" t="s">
        <v>193</v>
      </c>
      <c r="V7" s="137" t="s">
        <v>193</v>
      </c>
      <c r="W7" s="137" t="s">
        <v>193</v>
      </c>
      <c r="X7" s="137" t="s">
        <v>193</v>
      </c>
      <c r="Y7" s="137" t="s">
        <v>193</v>
      </c>
      <c r="Z7" s="137" t="s">
        <v>193</v>
      </c>
      <c r="AA7" s="137" t="s">
        <v>193</v>
      </c>
      <c r="AB7" s="137" t="s">
        <v>193</v>
      </c>
      <c r="AC7" s="137" t="s">
        <v>193</v>
      </c>
      <c r="AD7" s="137" t="s">
        <v>193</v>
      </c>
      <c r="AE7" s="137" t="s">
        <v>193</v>
      </c>
      <c r="AF7" s="137" t="s">
        <v>193</v>
      </c>
      <c r="AG7" s="137" t="s">
        <v>193</v>
      </c>
      <c r="AH7" s="137" t="s">
        <v>53</v>
      </c>
      <c r="AI7" s="137" t="s">
        <v>193</v>
      </c>
      <c r="AJ7" s="137" t="s">
        <v>193</v>
      </c>
      <c r="AK7" s="137" t="s">
        <v>193</v>
      </c>
      <c r="AL7" s="137" t="s">
        <v>193</v>
      </c>
      <c r="AM7" s="137" t="s">
        <v>193</v>
      </c>
      <c r="AN7" s="137" t="s">
        <v>193</v>
      </c>
      <c r="AO7" s="137" t="s">
        <v>193</v>
      </c>
      <c r="AQ7" s="12">
        <f t="shared" si="2"/>
        <v>0</v>
      </c>
      <c r="AR7" s="12">
        <f t="shared" si="0"/>
        <v>0</v>
      </c>
      <c r="AT7" s="12">
        <f t="shared" si="3"/>
        <v>0</v>
      </c>
      <c r="AU7" s="12">
        <f t="shared" si="4"/>
        <v>0</v>
      </c>
      <c r="AV7" s="13" t="str">
        <f t="shared" si="5"/>
        <v/>
      </c>
      <c r="AY7" s="12">
        <f t="shared" si="6"/>
        <v>0</v>
      </c>
      <c r="AZ7" s="12">
        <f t="shared" si="7"/>
        <v>0</v>
      </c>
      <c r="BA7" s="12">
        <f t="shared" si="1"/>
        <v>0</v>
      </c>
      <c r="BB7" s="12">
        <f t="shared" si="1"/>
        <v>0</v>
      </c>
      <c r="BC7" s="12">
        <f t="shared" si="1"/>
        <v>0</v>
      </c>
      <c r="BD7" s="12">
        <f t="shared" si="8"/>
        <v>0</v>
      </c>
    </row>
    <row r="8" spans="1:56" ht="15" customHeight="1" x14ac:dyDescent="0.25">
      <c r="A8" s="137" t="s">
        <v>15</v>
      </c>
      <c r="B8" s="137" t="s">
        <v>28</v>
      </c>
      <c r="C8" s="137">
        <v>2018</v>
      </c>
      <c r="D8" s="137" t="s">
        <v>193</v>
      </c>
      <c r="E8" s="137" t="s">
        <v>193</v>
      </c>
      <c r="F8" s="137" t="s">
        <v>193</v>
      </c>
      <c r="G8" s="137" t="s">
        <v>193</v>
      </c>
      <c r="H8" s="137" t="s">
        <v>193</v>
      </c>
      <c r="I8" s="137" t="s">
        <v>193</v>
      </c>
      <c r="J8" s="137" t="s">
        <v>193</v>
      </c>
      <c r="K8" s="137" t="s">
        <v>193</v>
      </c>
      <c r="L8" s="137" t="s">
        <v>193</v>
      </c>
      <c r="M8" s="137" t="s">
        <v>193</v>
      </c>
      <c r="N8" s="137" t="s">
        <v>193</v>
      </c>
      <c r="O8" s="137" t="s">
        <v>193</v>
      </c>
      <c r="P8" s="137" t="s">
        <v>193</v>
      </c>
      <c r="Q8" s="137" t="s">
        <v>193</v>
      </c>
      <c r="R8" s="137" t="s">
        <v>193</v>
      </c>
      <c r="S8" s="137" t="s">
        <v>193</v>
      </c>
      <c r="T8" s="137" t="s">
        <v>193</v>
      </c>
      <c r="U8" s="137" t="s">
        <v>193</v>
      </c>
      <c r="V8" s="137" t="s">
        <v>193</v>
      </c>
      <c r="W8" s="137" t="s">
        <v>193</v>
      </c>
      <c r="X8" s="137" t="s">
        <v>193</v>
      </c>
      <c r="Y8" s="137" t="s">
        <v>193</v>
      </c>
      <c r="Z8" s="137" t="s">
        <v>193</v>
      </c>
      <c r="AA8" s="137" t="s">
        <v>193</v>
      </c>
      <c r="AB8" s="137" t="s">
        <v>193</v>
      </c>
      <c r="AC8" s="137" t="s">
        <v>193</v>
      </c>
      <c r="AD8" s="137" t="s">
        <v>193</v>
      </c>
      <c r="AE8" s="137" t="s">
        <v>193</v>
      </c>
      <c r="AF8" s="137" t="s">
        <v>193</v>
      </c>
      <c r="AG8" s="137" t="s">
        <v>193</v>
      </c>
      <c r="AH8" s="137" t="s">
        <v>53</v>
      </c>
      <c r="AI8" s="137" t="s">
        <v>193</v>
      </c>
      <c r="AJ8" s="137" t="s">
        <v>193</v>
      </c>
      <c r="AK8" s="137" t="s">
        <v>193</v>
      </c>
      <c r="AL8" s="137" t="s">
        <v>193</v>
      </c>
      <c r="AM8" s="137" t="s">
        <v>193</v>
      </c>
      <c r="AN8" s="137" t="s">
        <v>193</v>
      </c>
      <c r="AO8" s="137" t="s">
        <v>193</v>
      </c>
      <c r="AQ8" s="12">
        <f t="shared" si="2"/>
        <v>0</v>
      </c>
      <c r="AR8" s="12">
        <f t="shared" si="0"/>
        <v>0</v>
      </c>
      <c r="AT8" s="12">
        <f t="shared" si="3"/>
        <v>0</v>
      </c>
      <c r="AU8" s="12">
        <f t="shared" si="4"/>
        <v>0</v>
      </c>
      <c r="AV8" s="13" t="str">
        <f t="shared" si="5"/>
        <v/>
      </c>
      <c r="AY8" s="12">
        <f t="shared" si="6"/>
        <v>0</v>
      </c>
      <c r="AZ8" s="12">
        <f t="shared" si="7"/>
        <v>0</v>
      </c>
      <c r="BA8" s="12">
        <f t="shared" si="1"/>
        <v>0</v>
      </c>
      <c r="BB8" s="12">
        <f t="shared" si="1"/>
        <v>0</v>
      </c>
      <c r="BC8" s="12">
        <f t="shared" si="1"/>
        <v>0</v>
      </c>
      <c r="BD8" s="12">
        <f t="shared" si="8"/>
        <v>0</v>
      </c>
    </row>
    <row r="9" spans="1:56" ht="15" customHeight="1" x14ac:dyDescent="0.25">
      <c r="A9" s="137" t="s">
        <v>15</v>
      </c>
      <c r="B9" s="137" t="s">
        <v>30</v>
      </c>
      <c r="C9" s="137">
        <v>2018</v>
      </c>
      <c r="D9" s="137" t="s">
        <v>193</v>
      </c>
      <c r="E9" s="137" t="s">
        <v>193</v>
      </c>
      <c r="F9" s="137" t="s">
        <v>193</v>
      </c>
      <c r="G9" s="137" t="s">
        <v>193</v>
      </c>
      <c r="H9" s="137" t="s">
        <v>193</v>
      </c>
      <c r="I9" s="137" t="s">
        <v>193</v>
      </c>
      <c r="J9" s="137" t="s">
        <v>193</v>
      </c>
      <c r="K9" s="137" t="s">
        <v>193</v>
      </c>
      <c r="L9" s="137" t="s">
        <v>193</v>
      </c>
      <c r="M9" s="137" t="s">
        <v>193</v>
      </c>
      <c r="N9" s="137" t="s">
        <v>193</v>
      </c>
      <c r="O9" s="137" t="s">
        <v>193</v>
      </c>
      <c r="P9" s="137" t="s">
        <v>193</v>
      </c>
      <c r="Q9" s="137" t="s">
        <v>193</v>
      </c>
      <c r="R9" s="137" t="s">
        <v>193</v>
      </c>
      <c r="S9" s="137" t="s">
        <v>193</v>
      </c>
      <c r="T9" s="137" t="s">
        <v>193</v>
      </c>
      <c r="U9" s="137" t="s">
        <v>193</v>
      </c>
      <c r="V9" s="137" t="s">
        <v>193</v>
      </c>
      <c r="W9" s="137" t="s">
        <v>193</v>
      </c>
      <c r="X9" s="137" t="s">
        <v>193</v>
      </c>
      <c r="Y9" s="137" t="s">
        <v>193</v>
      </c>
      <c r="Z9" s="137" t="s">
        <v>193</v>
      </c>
      <c r="AA9" s="137" t="s">
        <v>193</v>
      </c>
      <c r="AB9" s="137" t="s">
        <v>193</v>
      </c>
      <c r="AC9" s="137" t="s">
        <v>193</v>
      </c>
      <c r="AD9" s="137" t="s">
        <v>193</v>
      </c>
      <c r="AE9" s="137" t="s">
        <v>193</v>
      </c>
      <c r="AF9" s="137" t="s">
        <v>193</v>
      </c>
      <c r="AG9" s="137" t="s">
        <v>193</v>
      </c>
      <c r="AH9" s="137" t="s">
        <v>53</v>
      </c>
      <c r="AI9" s="137" t="s">
        <v>193</v>
      </c>
      <c r="AJ9" s="137" t="s">
        <v>193</v>
      </c>
      <c r="AK9" s="137" t="s">
        <v>193</v>
      </c>
      <c r="AL9" s="137" t="s">
        <v>193</v>
      </c>
      <c r="AM9" s="137" t="s">
        <v>193</v>
      </c>
      <c r="AN9" s="137" t="s">
        <v>193</v>
      </c>
      <c r="AO9" s="137" t="s">
        <v>193</v>
      </c>
      <c r="AQ9" s="12">
        <f t="shared" si="2"/>
        <v>0</v>
      </c>
      <c r="AR9" s="12">
        <f t="shared" si="0"/>
        <v>0</v>
      </c>
      <c r="AT9" s="12">
        <f t="shared" si="3"/>
        <v>0</v>
      </c>
      <c r="AU9" s="12">
        <f t="shared" si="4"/>
        <v>0</v>
      </c>
      <c r="AV9" s="13" t="str">
        <f t="shared" si="5"/>
        <v/>
      </c>
      <c r="AY9" s="12">
        <f t="shared" si="6"/>
        <v>0</v>
      </c>
      <c r="AZ9" s="12">
        <f t="shared" si="7"/>
        <v>0</v>
      </c>
      <c r="BA9" s="12">
        <f t="shared" si="1"/>
        <v>0</v>
      </c>
      <c r="BB9" s="12">
        <f t="shared" si="1"/>
        <v>0</v>
      </c>
      <c r="BC9" s="12">
        <f t="shared" si="1"/>
        <v>0</v>
      </c>
      <c r="BD9" s="12">
        <f t="shared" si="8"/>
        <v>0</v>
      </c>
    </row>
    <row r="10" spans="1:56" ht="15" customHeight="1" x14ac:dyDescent="0.25">
      <c r="A10" s="137" t="s">
        <v>15</v>
      </c>
      <c r="B10" s="137" t="s">
        <v>32</v>
      </c>
      <c r="C10" s="137">
        <v>2018</v>
      </c>
      <c r="D10" s="137" t="s">
        <v>193</v>
      </c>
      <c r="E10" s="137" t="s">
        <v>193</v>
      </c>
      <c r="F10" s="137" t="s">
        <v>193</v>
      </c>
      <c r="G10" s="137" t="s">
        <v>193</v>
      </c>
      <c r="H10" s="137" t="s">
        <v>193</v>
      </c>
      <c r="I10" s="137" t="s">
        <v>193</v>
      </c>
      <c r="J10" s="137" t="s">
        <v>193</v>
      </c>
      <c r="K10" s="137" t="s">
        <v>193</v>
      </c>
      <c r="L10" s="137" t="s">
        <v>193</v>
      </c>
      <c r="M10" s="137" t="s">
        <v>193</v>
      </c>
      <c r="N10" s="137" t="s">
        <v>193</v>
      </c>
      <c r="O10" s="137" t="s">
        <v>193</v>
      </c>
      <c r="P10" s="137" t="s">
        <v>193</v>
      </c>
      <c r="Q10" s="137" t="s">
        <v>193</v>
      </c>
      <c r="R10" s="137" t="s">
        <v>193</v>
      </c>
      <c r="S10" s="137" t="s">
        <v>193</v>
      </c>
      <c r="T10" s="137" t="s">
        <v>193</v>
      </c>
      <c r="U10" s="137" t="s">
        <v>193</v>
      </c>
      <c r="V10" s="137" t="s">
        <v>193</v>
      </c>
      <c r="W10" s="137" t="s">
        <v>193</v>
      </c>
      <c r="X10" s="137" t="s">
        <v>193</v>
      </c>
      <c r="Y10" s="137" t="s">
        <v>193</v>
      </c>
      <c r="Z10" s="137" t="s">
        <v>193</v>
      </c>
      <c r="AA10" s="137" t="s">
        <v>193</v>
      </c>
      <c r="AB10" s="137" t="s">
        <v>193</v>
      </c>
      <c r="AC10" s="137" t="s">
        <v>193</v>
      </c>
      <c r="AD10" s="137" t="s">
        <v>193</v>
      </c>
      <c r="AE10" s="137" t="s">
        <v>193</v>
      </c>
      <c r="AF10" s="137" t="s">
        <v>193</v>
      </c>
      <c r="AG10" s="137" t="s">
        <v>193</v>
      </c>
      <c r="AH10" s="137" t="s">
        <v>53</v>
      </c>
      <c r="AI10" s="137" t="s">
        <v>193</v>
      </c>
      <c r="AJ10" s="137" t="s">
        <v>193</v>
      </c>
      <c r="AK10" s="137" t="s">
        <v>193</v>
      </c>
      <c r="AL10" s="137" t="s">
        <v>193</v>
      </c>
      <c r="AM10" s="137" t="s">
        <v>193</v>
      </c>
      <c r="AN10" s="137" t="s">
        <v>193</v>
      </c>
      <c r="AO10" s="137" t="s">
        <v>193</v>
      </c>
      <c r="AQ10" s="12">
        <f t="shared" si="2"/>
        <v>0</v>
      </c>
      <c r="AR10" s="12">
        <f t="shared" si="0"/>
        <v>0</v>
      </c>
      <c r="AT10" s="12">
        <f t="shared" si="3"/>
        <v>0</v>
      </c>
      <c r="AU10" s="12">
        <f t="shared" si="4"/>
        <v>0</v>
      </c>
      <c r="AV10" s="13" t="str">
        <f t="shared" si="5"/>
        <v/>
      </c>
      <c r="AY10" s="12">
        <f t="shared" si="6"/>
        <v>0</v>
      </c>
      <c r="AZ10" s="12">
        <f t="shared" si="7"/>
        <v>0</v>
      </c>
      <c r="BA10" s="12">
        <f t="shared" si="1"/>
        <v>0</v>
      </c>
      <c r="BB10" s="12">
        <f t="shared" si="1"/>
        <v>0</v>
      </c>
      <c r="BC10" s="12">
        <f t="shared" si="1"/>
        <v>0</v>
      </c>
      <c r="BD10" s="12">
        <f t="shared" si="8"/>
        <v>0</v>
      </c>
    </row>
    <row r="11" spans="1:56" ht="15" customHeight="1" x14ac:dyDescent="0.25">
      <c r="A11" s="137" t="s">
        <v>200</v>
      </c>
      <c r="B11" s="137" t="s">
        <v>201</v>
      </c>
      <c r="C11" s="137">
        <v>2018</v>
      </c>
      <c r="D11" s="137" t="s">
        <v>193</v>
      </c>
      <c r="E11" s="137" t="s">
        <v>193</v>
      </c>
      <c r="F11" s="137" t="s">
        <v>193</v>
      </c>
      <c r="G11" s="137" t="s">
        <v>193</v>
      </c>
      <c r="H11" s="137" t="s">
        <v>193</v>
      </c>
      <c r="I11" s="137" t="s">
        <v>193</v>
      </c>
      <c r="J11" s="137" t="s">
        <v>193</v>
      </c>
      <c r="K11" s="137" t="s">
        <v>193</v>
      </c>
      <c r="L11" s="137" t="s">
        <v>193</v>
      </c>
      <c r="M11" s="137" t="s">
        <v>193</v>
      </c>
      <c r="N11" s="137" t="s">
        <v>193</v>
      </c>
      <c r="O11" s="137" t="s">
        <v>193</v>
      </c>
      <c r="P11" s="137" t="s">
        <v>193</v>
      </c>
      <c r="Q11" s="137" t="s">
        <v>193</v>
      </c>
      <c r="R11" s="137" t="s">
        <v>193</v>
      </c>
      <c r="S11" s="137" t="s">
        <v>193</v>
      </c>
      <c r="T11" s="137" t="s">
        <v>193</v>
      </c>
      <c r="U11" s="137" t="s">
        <v>193</v>
      </c>
      <c r="V11" s="137" t="s">
        <v>193</v>
      </c>
      <c r="W11" s="137" t="s">
        <v>193</v>
      </c>
      <c r="X11" s="137" t="s">
        <v>193</v>
      </c>
      <c r="Y11" s="137" t="s">
        <v>193</v>
      </c>
      <c r="Z11" s="137" t="s">
        <v>193</v>
      </c>
      <c r="AA11" s="137" t="s">
        <v>193</v>
      </c>
      <c r="AB11" s="137" t="s">
        <v>193</v>
      </c>
      <c r="AC11" s="137" t="s">
        <v>193</v>
      </c>
      <c r="AD11" s="137" t="s">
        <v>193</v>
      </c>
      <c r="AE11" s="137" t="s">
        <v>193</v>
      </c>
      <c r="AF11" s="137" t="s">
        <v>193</v>
      </c>
      <c r="AG11" s="137" t="s">
        <v>193</v>
      </c>
      <c r="AH11" s="137" t="s">
        <v>53</v>
      </c>
      <c r="AI11" s="137" t="s">
        <v>193</v>
      </c>
      <c r="AJ11" s="137" t="s">
        <v>193</v>
      </c>
      <c r="AK11" s="137" t="s">
        <v>193</v>
      </c>
      <c r="AL11" s="137" t="s">
        <v>193</v>
      </c>
      <c r="AM11" s="137" t="s">
        <v>193</v>
      </c>
      <c r="AN11" s="137" t="s">
        <v>193</v>
      </c>
      <c r="AO11" s="137" t="s">
        <v>193</v>
      </c>
      <c r="AQ11" s="12">
        <f t="shared" si="2"/>
        <v>0</v>
      </c>
      <c r="AR11" s="12">
        <f t="shared" si="0"/>
        <v>0</v>
      </c>
      <c r="AT11" s="12">
        <f t="shared" si="3"/>
        <v>0</v>
      </c>
      <c r="AU11" s="12">
        <f t="shared" si="4"/>
        <v>0</v>
      </c>
      <c r="AV11" s="13" t="str">
        <f t="shared" si="5"/>
        <v/>
      </c>
      <c r="AY11" s="12">
        <f t="shared" si="6"/>
        <v>0</v>
      </c>
      <c r="AZ11" s="12">
        <f t="shared" si="7"/>
        <v>0</v>
      </c>
      <c r="BA11" s="12">
        <f t="shared" si="1"/>
        <v>0</v>
      </c>
      <c r="BB11" s="12">
        <f t="shared" si="1"/>
        <v>0</v>
      </c>
      <c r="BC11" s="12">
        <f t="shared" si="1"/>
        <v>0</v>
      </c>
      <c r="BD11" s="12">
        <f t="shared" si="8"/>
        <v>0</v>
      </c>
    </row>
    <row r="12" spans="1:56" ht="15" customHeight="1" x14ac:dyDescent="0.25">
      <c r="A12" s="137" t="s">
        <v>200</v>
      </c>
      <c r="B12" s="137" t="s">
        <v>202</v>
      </c>
      <c r="C12" s="137">
        <v>2018</v>
      </c>
      <c r="D12" s="137" t="s">
        <v>53</v>
      </c>
      <c r="E12" s="137" t="s">
        <v>53</v>
      </c>
      <c r="F12" s="137" t="s">
        <v>193</v>
      </c>
      <c r="G12" s="137" t="s">
        <v>193</v>
      </c>
      <c r="H12" s="137" t="s">
        <v>193</v>
      </c>
      <c r="I12" s="137" t="s">
        <v>193</v>
      </c>
      <c r="J12" s="137" t="s">
        <v>53</v>
      </c>
      <c r="K12" s="137" t="s">
        <v>53</v>
      </c>
      <c r="L12" s="137" t="s">
        <v>53</v>
      </c>
      <c r="M12" s="137" t="s">
        <v>53</v>
      </c>
      <c r="N12" s="137" t="s">
        <v>53</v>
      </c>
      <c r="O12" s="137" t="s">
        <v>53</v>
      </c>
      <c r="P12" s="137" t="s">
        <v>53</v>
      </c>
      <c r="Q12" s="137" t="s">
        <v>53</v>
      </c>
      <c r="R12" s="137" t="s">
        <v>53</v>
      </c>
      <c r="S12" s="137" t="s">
        <v>53</v>
      </c>
      <c r="T12" s="137" t="s">
        <v>53</v>
      </c>
      <c r="U12" s="137" t="s">
        <v>53</v>
      </c>
      <c r="V12" s="137" t="s">
        <v>53</v>
      </c>
      <c r="W12" s="137" t="s">
        <v>193</v>
      </c>
      <c r="X12" s="137" t="s">
        <v>53</v>
      </c>
      <c r="Y12" s="137" t="s">
        <v>53</v>
      </c>
      <c r="Z12" s="137" t="s">
        <v>53</v>
      </c>
      <c r="AA12" s="137" t="s">
        <v>53</v>
      </c>
      <c r="AB12" s="137" t="s">
        <v>53</v>
      </c>
      <c r="AC12" s="137" t="s">
        <v>53</v>
      </c>
      <c r="AD12" s="137" t="s">
        <v>53</v>
      </c>
      <c r="AE12" s="137" t="s">
        <v>53</v>
      </c>
      <c r="AF12" s="137" t="s">
        <v>53</v>
      </c>
      <c r="AG12" s="137" t="s">
        <v>193</v>
      </c>
      <c r="AH12" s="137" t="s">
        <v>199</v>
      </c>
      <c r="AI12" s="137" t="s">
        <v>193</v>
      </c>
      <c r="AJ12" s="137" t="s">
        <v>53</v>
      </c>
      <c r="AK12" s="137" t="s">
        <v>53</v>
      </c>
      <c r="AL12" s="137" t="s">
        <v>193</v>
      </c>
      <c r="AM12" s="137" t="s">
        <v>193</v>
      </c>
      <c r="AN12" s="137" t="s">
        <v>193</v>
      </c>
      <c r="AO12" s="137" t="s">
        <v>193</v>
      </c>
      <c r="AQ12" s="12">
        <f t="shared" si="2"/>
        <v>0</v>
      </c>
      <c r="AR12" s="12">
        <f t="shared" si="0"/>
        <v>0</v>
      </c>
      <c r="AT12" s="12">
        <f t="shared" si="3"/>
        <v>0</v>
      </c>
      <c r="AU12" s="12">
        <f t="shared" si="4"/>
        <v>0</v>
      </c>
      <c r="AV12" s="13" t="str">
        <f t="shared" si="5"/>
        <v/>
      </c>
      <c r="AY12" s="12">
        <f t="shared" si="6"/>
        <v>0</v>
      </c>
      <c r="AZ12" s="12">
        <f t="shared" si="7"/>
        <v>0</v>
      </c>
      <c r="BA12" s="12">
        <f t="shared" si="1"/>
        <v>0</v>
      </c>
      <c r="BB12" s="12">
        <f t="shared" si="1"/>
        <v>0</v>
      </c>
      <c r="BC12" s="12">
        <f t="shared" si="1"/>
        <v>0</v>
      </c>
      <c r="BD12" s="12">
        <f t="shared" si="8"/>
        <v>0</v>
      </c>
    </row>
    <row r="13" spans="1:56" ht="15" customHeight="1" x14ac:dyDescent="0.25">
      <c r="A13" s="137" t="s">
        <v>200</v>
      </c>
      <c r="B13" s="137" t="s">
        <v>203</v>
      </c>
      <c r="C13" s="137">
        <v>2018</v>
      </c>
      <c r="D13" s="137" t="s">
        <v>53</v>
      </c>
      <c r="E13" s="137" t="s">
        <v>53</v>
      </c>
      <c r="F13" s="137" t="s">
        <v>193</v>
      </c>
      <c r="G13" s="137" t="s">
        <v>193</v>
      </c>
      <c r="H13" s="137" t="s">
        <v>193</v>
      </c>
      <c r="I13" s="137" t="s">
        <v>193</v>
      </c>
      <c r="J13" s="137" t="s">
        <v>53</v>
      </c>
      <c r="K13" s="137" t="s">
        <v>53</v>
      </c>
      <c r="L13" s="137" t="s">
        <v>53</v>
      </c>
      <c r="M13" s="137" t="s">
        <v>53</v>
      </c>
      <c r="N13" s="137" t="s">
        <v>53</v>
      </c>
      <c r="O13" s="137" t="s">
        <v>53</v>
      </c>
      <c r="P13" s="137" t="s">
        <v>53</v>
      </c>
      <c r="Q13" s="137" t="s">
        <v>53</v>
      </c>
      <c r="R13" s="137" t="s">
        <v>53</v>
      </c>
      <c r="S13" s="137" t="s">
        <v>53</v>
      </c>
      <c r="T13" s="137" t="s">
        <v>53</v>
      </c>
      <c r="U13" s="137" t="s">
        <v>53</v>
      </c>
      <c r="V13" s="137" t="s">
        <v>53</v>
      </c>
      <c r="W13" s="137" t="s">
        <v>193</v>
      </c>
      <c r="X13" s="137" t="s">
        <v>53</v>
      </c>
      <c r="Y13" s="137" t="s">
        <v>53</v>
      </c>
      <c r="Z13" s="137" t="s">
        <v>53</v>
      </c>
      <c r="AA13" s="137" t="s">
        <v>53</v>
      </c>
      <c r="AB13" s="137" t="s">
        <v>53</v>
      </c>
      <c r="AC13" s="137" t="s">
        <v>53</v>
      </c>
      <c r="AD13" s="137" t="s">
        <v>53</v>
      </c>
      <c r="AE13" s="137" t="s">
        <v>53</v>
      </c>
      <c r="AF13" s="137" t="s">
        <v>53</v>
      </c>
      <c r="AG13" s="137" t="s">
        <v>193</v>
      </c>
      <c r="AH13" s="137" t="s">
        <v>53</v>
      </c>
      <c r="AI13" s="137" t="s">
        <v>193</v>
      </c>
      <c r="AJ13" s="137" t="s">
        <v>53</v>
      </c>
      <c r="AK13" s="137" t="s">
        <v>53</v>
      </c>
      <c r="AL13" s="137" t="s">
        <v>193</v>
      </c>
      <c r="AM13" s="137" t="s">
        <v>193</v>
      </c>
      <c r="AN13" s="137" t="s">
        <v>193</v>
      </c>
      <c r="AO13" s="137" t="s">
        <v>193</v>
      </c>
      <c r="AQ13" s="12">
        <f t="shared" si="2"/>
        <v>0</v>
      </c>
      <c r="AR13" s="12">
        <f t="shared" si="0"/>
        <v>0</v>
      </c>
      <c r="AT13" s="12">
        <f t="shared" si="3"/>
        <v>0</v>
      </c>
      <c r="AU13" s="12">
        <f t="shared" si="4"/>
        <v>0</v>
      </c>
      <c r="AV13" s="13" t="str">
        <f t="shared" si="5"/>
        <v/>
      </c>
      <c r="AY13" s="12">
        <f t="shared" si="6"/>
        <v>0</v>
      </c>
      <c r="AZ13" s="12">
        <f t="shared" si="7"/>
        <v>0</v>
      </c>
      <c r="BA13" s="12">
        <f t="shared" si="1"/>
        <v>0</v>
      </c>
      <c r="BB13" s="12">
        <f t="shared" si="1"/>
        <v>0</v>
      </c>
      <c r="BC13" s="12">
        <f t="shared" si="1"/>
        <v>0</v>
      </c>
      <c r="BD13" s="12">
        <f t="shared" si="8"/>
        <v>0</v>
      </c>
    </row>
    <row r="14" spans="1:56" ht="15" customHeight="1" x14ac:dyDescent="0.25">
      <c r="A14" s="137" t="s">
        <v>200</v>
      </c>
      <c r="B14" s="137" t="s">
        <v>204</v>
      </c>
      <c r="C14" s="137">
        <v>2018</v>
      </c>
      <c r="D14" s="137" t="s">
        <v>53</v>
      </c>
      <c r="E14" s="137" t="s">
        <v>53</v>
      </c>
      <c r="F14" s="137" t="s">
        <v>193</v>
      </c>
      <c r="G14" s="137" t="s">
        <v>193</v>
      </c>
      <c r="H14" s="137" t="s">
        <v>193</v>
      </c>
      <c r="I14" s="137" t="s">
        <v>193</v>
      </c>
      <c r="J14" s="137" t="s">
        <v>53</v>
      </c>
      <c r="K14" s="137" t="s">
        <v>53</v>
      </c>
      <c r="L14" s="137" t="s">
        <v>53</v>
      </c>
      <c r="M14" s="137" t="s">
        <v>53</v>
      </c>
      <c r="N14" s="137" t="s">
        <v>53</v>
      </c>
      <c r="O14" s="137" t="s">
        <v>53</v>
      </c>
      <c r="P14" s="137" t="s">
        <v>53</v>
      </c>
      <c r="Q14" s="137" t="s">
        <v>53</v>
      </c>
      <c r="R14" s="137" t="s">
        <v>53</v>
      </c>
      <c r="S14" s="137" t="s">
        <v>53</v>
      </c>
      <c r="T14" s="137" t="s">
        <v>53</v>
      </c>
      <c r="U14" s="137" t="s">
        <v>53</v>
      </c>
      <c r="V14" s="137" t="s">
        <v>53</v>
      </c>
      <c r="W14" s="137" t="s">
        <v>193</v>
      </c>
      <c r="X14" s="137" t="s">
        <v>53</v>
      </c>
      <c r="Y14" s="137" t="s">
        <v>53</v>
      </c>
      <c r="Z14" s="137" t="s">
        <v>53</v>
      </c>
      <c r="AA14" s="137" t="s">
        <v>53</v>
      </c>
      <c r="AB14" s="137" t="s">
        <v>53</v>
      </c>
      <c r="AC14" s="137" t="s">
        <v>53</v>
      </c>
      <c r="AD14" s="137" t="s">
        <v>53</v>
      </c>
      <c r="AE14" s="137" t="s">
        <v>53</v>
      </c>
      <c r="AF14" s="137" t="s">
        <v>53</v>
      </c>
      <c r="AG14" s="137" t="s">
        <v>193</v>
      </c>
      <c r="AH14" s="137" t="s">
        <v>53</v>
      </c>
      <c r="AI14" s="137" t="s">
        <v>193</v>
      </c>
      <c r="AJ14" s="137" t="s">
        <v>53</v>
      </c>
      <c r="AK14" s="137" t="s">
        <v>53</v>
      </c>
      <c r="AL14" s="137" t="s">
        <v>193</v>
      </c>
      <c r="AM14" s="137" t="s">
        <v>193</v>
      </c>
      <c r="AN14" s="137" t="s">
        <v>193</v>
      </c>
      <c r="AO14" s="137" t="s">
        <v>193</v>
      </c>
      <c r="AQ14" s="12">
        <f t="shared" si="2"/>
        <v>0</v>
      </c>
      <c r="AR14" s="12">
        <f t="shared" si="0"/>
        <v>0</v>
      </c>
      <c r="AT14" s="12">
        <f t="shared" si="3"/>
        <v>0</v>
      </c>
      <c r="AU14" s="12">
        <f t="shared" si="4"/>
        <v>0</v>
      </c>
      <c r="AV14" s="13" t="str">
        <f t="shared" si="5"/>
        <v/>
      </c>
      <c r="AY14" s="12">
        <f t="shared" si="6"/>
        <v>0</v>
      </c>
      <c r="AZ14" s="12">
        <f t="shared" si="7"/>
        <v>0</v>
      </c>
      <c r="BA14" s="12">
        <f t="shared" si="1"/>
        <v>0</v>
      </c>
      <c r="BB14" s="12">
        <f t="shared" si="1"/>
        <v>0</v>
      </c>
      <c r="BC14" s="12">
        <f t="shared" si="1"/>
        <v>0</v>
      </c>
      <c r="BD14" s="12">
        <f t="shared" si="8"/>
        <v>0</v>
      </c>
    </row>
    <row r="15" spans="1:56" ht="15" customHeight="1" x14ac:dyDescent="0.25">
      <c r="A15" s="137" t="s">
        <v>200</v>
      </c>
      <c r="B15" s="137" t="s">
        <v>205</v>
      </c>
      <c r="C15" s="137">
        <v>2018</v>
      </c>
      <c r="D15" s="137" t="s">
        <v>53</v>
      </c>
      <c r="E15" s="137" t="s">
        <v>53</v>
      </c>
      <c r="F15" s="137" t="s">
        <v>193</v>
      </c>
      <c r="G15" s="137" t="s">
        <v>193</v>
      </c>
      <c r="H15" s="137" t="s">
        <v>193</v>
      </c>
      <c r="I15" s="137" t="s">
        <v>193</v>
      </c>
      <c r="J15" s="137" t="s">
        <v>53</v>
      </c>
      <c r="K15" s="137" t="s">
        <v>53</v>
      </c>
      <c r="L15" s="137" t="s">
        <v>53</v>
      </c>
      <c r="M15" s="137" t="s">
        <v>53</v>
      </c>
      <c r="N15" s="137" t="s">
        <v>53</v>
      </c>
      <c r="O15" s="137" t="s">
        <v>53</v>
      </c>
      <c r="P15" s="137" t="s">
        <v>53</v>
      </c>
      <c r="Q15" s="137" t="s">
        <v>53</v>
      </c>
      <c r="R15" s="137" t="s">
        <v>53</v>
      </c>
      <c r="S15" s="137" t="s">
        <v>53</v>
      </c>
      <c r="T15" s="137" t="s">
        <v>53</v>
      </c>
      <c r="U15" s="137" t="s">
        <v>53</v>
      </c>
      <c r="V15" s="137" t="s">
        <v>53</v>
      </c>
      <c r="W15" s="137" t="s">
        <v>193</v>
      </c>
      <c r="X15" s="137" t="s">
        <v>53</v>
      </c>
      <c r="Y15" s="137" t="s">
        <v>53</v>
      </c>
      <c r="Z15" s="137" t="s">
        <v>53</v>
      </c>
      <c r="AA15" s="137" t="s">
        <v>53</v>
      </c>
      <c r="AB15" s="137" t="s">
        <v>53</v>
      </c>
      <c r="AC15" s="137" t="s">
        <v>53</v>
      </c>
      <c r="AD15" s="137" t="s">
        <v>53</v>
      </c>
      <c r="AE15" s="137" t="s">
        <v>53</v>
      </c>
      <c r="AF15" s="137" t="s">
        <v>53</v>
      </c>
      <c r="AG15" s="137" t="s">
        <v>193</v>
      </c>
      <c r="AH15" s="137" t="s">
        <v>53</v>
      </c>
      <c r="AI15" s="137" t="s">
        <v>193</v>
      </c>
      <c r="AJ15" s="137" t="s">
        <v>53</v>
      </c>
      <c r="AK15" s="137" t="s">
        <v>53</v>
      </c>
      <c r="AL15" s="137" t="s">
        <v>193</v>
      </c>
      <c r="AM15" s="137" t="s">
        <v>193</v>
      </c>
      <c r="AN15" s="137" t="s">
        <v>193</v>
      </c>
      <c r="AO15" s="137" t="s">
        <v>193</v>
      </c>
      <c r="AQ15" s="12">
        <f t="shared" si="2"/>
        <v>0</v>
      </c>
      <c r="AR15" s="12">
        <f t="shared" si="0"/>
        <v>0</v>
      </c>
      <c r="AT15" s="12">
        <f t="shared" si="3"/>
        <v>0</v>
      </c>
      <c r="AU15" s="12">
        <f t="shared" si="4"/>
        <v>0</v>
      </c>
      <c r="AV15" s="13" t="str">
        <f t="shared" si="5"/>
        <v/>
      </c>
      <c r="AY15" s="12">
        <f t="shared" si="6"/>
        <v>0</v>
      </c>
      <c r="AZ15" s="12">
        <f t="shared" si="7"/>
        <v>0</v>
      </c>
      <c r="BA15" s="12">
        <f t="shared" si="1"/>
        <v>0</v>
      </c>
      <c r="BB15" s="12">
        <f t="shared" si="1"/>
        <v>0</v>
      </c>
      <c r="BC15" s="12">
        <f t="shared" si="1"/>
        <v>0</v>
      </c>
      <c r="BD15" s="12">
        <f t="shared" si="8"/>
        <v>0</v>
      </c>
    </row>
    <row r="16" spans="1:56" ht="15" customHeight="1" x14ac:dyDescent="0.25">
      <c r="A16" s="137" t="s">
        <v>200</v>
      </c>
      <c r="B16" s="137" t="s">
        <v>206</v>
      </c>
      <c r="C16" s="137">
        <v>2018</v>
      </c>
      <c r="D16" s="137" t="s">
        <v>193</v>
      </c>
      <c r="E16" s="137" t="s">
        <v>193</v>
      </c>
      <c r="F16" s="137" t="s">
        <v>193</v>
      </c>
      <c r="G16" s="137" t="s">
        <v>193</v>
      </c>
      <c r="H16" s="137" t="s">
        <v>193</v>
      </c>
      <c r="I16" s="137" t="s">
        <v>193</v>
      </c>
      <c r="J16" s="137" t="s">
        <v>193</v>
      </c>
      <c r="K16" s="137" t="s">
        <v>193</v>
      </c>
      <c r="L16" s="137" t="s">
        <v>193</v>
      </c>
      <c r="M16" s="137" t="s">
        <v>193</v>
      </c>
      <c r="N16" s="137" t="s">
        <v>193</v>
      </c>
      <c r="O16" s="137" t="s">
        <v>193</v>
      </c>
      <c r="P16" s="137" t="s">
        <v>193</v>
      </c>
      <c r="Q16" s="137" t="s">
        <v>193</v>
      </c>
      <c r="R16" s="137" t="s">
        <v>193</v>
      </c>
      <c r="S16" s="137" t="s">
        <v>193</v>
      </c>
      <c r="T16" s="137" t="s">
        <v>193</v>
      </c>
      <c r="U16" s="137" t="s">
        <v>193</v>
      </c>
      <c r="V16" s="137" t="s">
        <v>193</v>
      </c>
      <c r="W16" s="137" t="s">
        <v>193</v>
      </c>
      <c r="X16" s="137" t="s">
        <v>193</v>
      </c>
      <c r="Y16" s="137" t="s">
        <v>193</v>
      </c>
      <c r="Z16" s="137" t="s">
        <v>193</v>
      </c>
      <c r="AA16" s="137" t="s">
        <v>193</v>
      </c>
      <c r="AB16" s="137" t="s">
        <v>193</v>
      </c>
      <c r="AC16" s="137" t="s">
        <v>193</v>
      </c>
      <c r="AD16" s="137" t="s">
        <v>193</v>
      </c>
      <c r="AE16" s="137" t="s">
        <v>193</v>
      </c>
      <c r="AF16" s="137" t="s">
        <v>193</v>
      </c>
      <c r="AG16" s="137" t="s">
        <v>193</v>
      </c>
      <c r="AH16" s="137" t="s">
        <v>53</v>
      </c>
      <c r="AI16" s="137" t="s">
        <v>193</v>
      </c>
      <c r="AJ16" s="137" t="s">
        <v>193</v>
      </c>
      <c r="AK16" s="137" t="s">
        <v>193</v>
      </c>
      <c r="AL16" s="137" t="s">
        <v>193</v>
      </c>
      <c r="AM16" s="137" t="s">
        <v>193</v>
      </c>
      <c r="AN16" s="137" t="s">
        <v>193</v>
      </c>
      <c r="AO16" s="137" t="s">
        <v>193</v>
      </c>
      <c r="AQ16" s="12">
        <f t="shared" si="2"/>
        <v>0</v>
      </c>
      <c r="AR16" s="12">
        <f t="shared" si="0"/>
        <v>0</v>
      </c>
      <c r="AT16" s="12">
        <f t="shared" si="3"/>
        <v>0</v>
      </c>
      <c r="AU16" s="12">
        <f t="shared" si="4"/>
        <v>0</v>
      </c>
      <c r="AV16" s="13" t="str">
        <f t="shared" si="5"/>
        <v/>
      </c>
      <c r="AY16" s="12">
        <f t="shared" si="6"/>
        <v>0</v>
      </c>
      <c r="AZ16" s="12">
        <f t="shared" si="7"/>
        <v>0</v>
      </c>
      <c r="BA16" s="12">
        <f t="shared" si="1"/>
        <v>0</v>
      </c>
      <c r="BB16" s="12">
        <f t="shared" si="1"/>
        <v>0</v>
      </c>
      <c r="BC16" s="12">
        <f t="shared" si="1"/>
        <v>0</v>
      </c>
      <c r="BD16" s="12">
        <f t="shared" si="8"/>
        <v>0</v>
      </c>
    </row>
    <row r="17" spans="1:56" ht="15" customHeight="1" x14ac:dyDescent="0.25">
      <c r="A17" s="137" t="s">
        <v>200</v>
      </c>
      <c r="B17" s="137" t="s">
        <v>207</v>
      </c>
      <c r="C17" s="137">
        <v>2018</v>
      </c>
      <c r="D17" s="137" t="s">
        <v>53</v>
      </c>
      <c r="E17" s="137" t="s">
        <v>53</v>
      </c>
      <c r="F17" s="137" t="s">
        <v>193</v>
      </c>
      <c r="G17" s="137" t="s">
        <v>193</v>
      </c>
      <c r="H17" s="137" t="s">
        <v>193</v>
      </c>
      <c r="I17" s="137" t="s">
        <v>193</v>
      </c>
      <c r="J17" s="137" t="s">
        <v>53</v>
      </c>
      <c r="K17" s="137" t="s">
        <v>53</v>
      </c>
      <c r="L17" s="137" t="s">
        <v>53</v>
      </c>
      <c r="M17" s="137" t="s">
        <v>53</v>
      </c>
      <c r="N17" s="137" t="s">
        <v>53</v>
      </c>
      <c r="O17" s="137" t="s">
        <v>53</v>
      </c>
      <c r="P17" s="137" t="s">
        <v>53</v>
      </c>
      <c r="Q17" s="137" t="s">
        <v>53</v>
      </c>
      <c r="R17" s="137" t="s">
        <v>53</v>
      </c>
      <c r="S17" s="137" t="s">
        <v>53</v>
      </c>
      <c r="T17" s="137" t="s">
        <v>53</v>
      </c>
      <c r="U17" s="137" t="s">
        <v>53</v>
      </c>
      <c r="V17" s="137" t="s">
        <v>53</v>
      </c>
      <c r="W17" s="137" t="s">
        <v>193</v>
      </c>
      <c r="X17" s="137" t="s">
        <v>53</v>
      </c>
      <c r="Y17" s="137" t="s">
        <v>53</v>
      </c>
      <c r="Z17" s="137" t="s">
        <v>53</v>
      </c>
      <c r="AA17" s="137" t="s">
        <v>53</v>
      </c>
      <c r="AB17" s="137" t="s">
        <v>53</v>
      </c>
      <c r="AC17" s="137" t="s">
        <v>53</v>
      </c>
      <c r="AD17" s="137" t="s">
        <v>53</v>
      </c>
      <c r="AE17" s="137" t="s">
        <v>53</v>
      </c>
      <c r="AF17" s="137" t="s">
        <v>53</v>
      </c>
      <c r="AG17" s="137" t="s">
        <v>193</v>
      </c>
      <c r="AH17" s="137" t="s">
        <v>53</v>
      </c>
      <c r="AI17" s="137" t="s">
        <v>193</v>
      </c>
      <c r="AJ17" s="137" t="s">
        <v>53</v>
      </c>
      <c r="AK17" s="137" t="s">
        <v>53</v>
      </c>
      <c r="AL17" s="137" t="s">
        <v>193</v>
      </c>
      <c r="AM17" s="137" t="s">
        <v>193</v>
      </c>
      <c r="AN17" s="137" t="s">
        <v>193</v>
      </c>
      <c r="AO17" s="137" t="s">
        <v>193</v>
      </c>
      <c r="AQ17" s="12">
        <f t="shared" si="2"/>
        <v>0</v>
      </c>
      <c r="AR17" s="12">
        <f t="shared" si="0"/>
        <v>0</v>
      </c>
      <c r="AT17" s="12">
        <f t="shared" si="3"/>
        <v>0</v>
      </c>
      <c r="AU17" s="12">
        <f t="shared" si="4"/>
        <v>0</v>
      </c>
      <c r="AV17" s="13" t="str">
        <f t="shared" si="5"/>
        <v/>
      </c>
      <c r="AY17" s="12">
        <f t="shared" si="6"/>
        <v>0</v>
      </c>
      <c r="AZ17" s="12">
        <f t="shared" si="7"/>
        <v>0</v>
      </c>
      <c r="BA17" s="12">
        <f t="shared" si="7"/>
        <v>0</v>
      </c>
      <c r="BB17" s="12">
        <f t="shared" si="7"/>
        <v>0</v>
      </c>
      <c r="BC17" s="12">
        <f t="shared" si="7"/>
        <v>0</v>
      </c>
      <c r="BD17" s="12">
        <f t="shared" si="8"/>
        <v>0</v>
      </c>
    </row>
    <row r="18" spans="1:56" ht="15" customHeight="1" x14ac:dyDescent="0.25">
      <c r="A18" s="137" t="s">
        <v>200</v>
      </c>
      <c r="B18" s="137" t="s">
        <v>208</v>
      </c>
      <c r="C18" s="137">
        <v>2018</v>
      </c>
      <c r="D18" s="137" t="s">
        <v>53</v>
      </c>
      <c r="E18" s="137" t="s">
        <v>53</v>
      </c>
      <c r="F18" s="137" t="s">
        <v>193</v>
      </c>
      <c r="G18" s="137" t="s">
        <v>193</v>
      </c>
      <c r="H18" s="137" t="s">
        <v>193</v>
      </c>
      <c r="I18" s="137" t="s">
        <v>193</v>
      </c>
      <c r="J18" s="137" t="s">
        <v>53</v>
      </c>
      <c r="K18" s="137" t="s">
        <v>53</v>
      </c>
      <c r="L18" s="137" t="s">
        <v>53</v>
      </c>
      <c r="M18" s="137" t="s">
        <v>53</v>
      </c>
      <c r="N18" s="137" t="s">
        <v>53</v>
      </c>
      <c r="O18" s="137" t="s">
        <v>53</v>
      </c>
      <c r="P18" s="137" t="s">
        <v>53</v>
      </c>
      <c r="Q18" s="137" t="s">
        <v>53</v>
      </c>
      <c r="R18" s="137" t="s">
        <v>53</v>
      </c>
      <c r="S18" s="137" t="s">
        <v>53</v>
      </c>
      <c r="T18" s="137" t="s">
        <v>53</v>
      </c>
      <c r="U18" s="137" t="s">
        <v>53</v>
      </c>
      <c r="V18" s="137" t="s">
        <v>53</v>
      </c>
      <c r="W18" s="137" t="s">
        <v>193</v>
      </c>
      <c r="X18" s="137" t="s">
        <v>53</v>
      </c>
      <c r="Y18" s="137" t="s">
        <v>53</v>
      </c>
      <c r="Z18" s="137" t="s">
        <v>53</v>
      </c>
      <c r="AA18" s="137" t="s">
        <v>53</v>
      </c>
      <c r="AB18" s="137" t="s">
        <v>53</v>
      </c>
      <c r="AC18" s="137" t="s">
        <v>53</v>
      </c>
      <c r="AD18" s="137" t="s">
        <v>53</v>
      </c>
      <c r="AE18" s="137" t="s">
        <v>53</v>
      </c>
      <c r="AF18" s="137" t="s">
        <v>53</v>
      </c>
      <c r="AG18" s="137" t="s">
        <v>193</v>
      </c>
      <c r="AH18" s="137" t="s">
        <v>53</v>
      </c>
      <c r="AI18" s="137" t="s">
        <v>193</v>
      </c>
      <c r="AJ18" s="137" t="s">
        <v>53</v>
      </c>
      <c r="AK18" s="137" t="s">
        <v>53</v>
      </c>
      <c r="AL18" s="137" t="s">
        <v>193</v>
      </c>
      <c r="AM18" s="137" t="s">
        <v>193</v>
      </c>
      <c r="AN18" s="137" t="s">
        <v>193</v>
      </c>
      <c r="AO18" s="137" t="s">
        <v>193</v>
      </c>
      <c r="AQ18" s="12">
        <f t="shared" si="2"/>
        <v>0</v>
      </c>
      <c r="AR18" s="12">
        <f t="shared" si="0"/>
        <v>0</v>
      </c>
      <c r="AT18" s="12">
        <f t="shared" si="3"/>
        <v>0</v>
      </c>
      <c r="AU18" s="12">
        <f t="shared" si="4"/>
        <v>0</v>
      </c>
      <c r="AV18" s="13" t="str">
        <f t="shared" si="5"/>
        <v/>
      </c>
      <c r="AY18" s="12">
        <f t="shared" si="6"/>
        <v>0</v>
      </c>
      <c r="AZ18" s="12">
        <f t="shared" si="7"/>
        <v>0</v>
      </c>
      <c r="BA18" s="12">
        <f t="shared" si="7"/>
        <v>0</v>
      </c>
      <c r="BB18" s="12">
        <f t="shared" si="7"/>
        <v>0</v>
      </c>
      <c r="BC18" s="12">
        <f t="shared" si="7"/>
        <v>0</v>
      </c>
      <c r="BD18" s="12">
        <f t="shared" si="8"/>
        <v>0</v>
      </c>
    </row>
    <row r="19" spans="1:56" ht="15" customHeight="1" x14ac:dyDescent="0.25">
      <c r="A19" s="137" t="s">
        <v>200</v>
      </c>
      <c r="B19" s="137" t="s">
        <v>209</v>
      </c>
      <c r="C19" s="137">
        <v>2018</v>
      </c>
      <c r="D19" s="137" t="s">
        <v>53</v>
      </c>
      <c r="E19" s="137" t="s">
        <v>53</v>
      </c>
      <c r="F19" s="137" t="s">
        <v>193</v>
      </c>
      <c r="G19" s="137" t="s">
        <v>193</v>
      </c>
      <c r="H19" s="137" t="s">
        <v>193</v>
      </c>
      <c r="I19" s="137" t="s">
        <v>193</v>
      </c>
      <c r="J19" s="137" t="s">
        <v>53</v>
      </c>
      <c r="K19" s="137" t="s">
        <v>53</v>
      </c>
      <c r="L19" s="137" t="s">
        <v>53</v>
      </c>
      <c r="M19" s="137" t="s">
        <v>53</v>
      </c>
      <c r="N19" s="137" t="s">
        <v>53</v>
      </c>
      <c r="O19" s="137" t="s">
        <v>53</v>
      </c>
      <c r="P19" s="137" t="s">
        <v>53</v>
      </c>
      <c r="Q19" s="137" t="s">
        <v>53</v>
      </c>
      <c r="R19" s="137" t="s">
        <v>53</v>
      </c>
      <c r="S19" s="137" t="s">
        <v>53</v>
      </c>
      <c r="T19" s="137" t="s">
        <v>53</v>
      </c>
      <c r="U19" s="137" t="s">
        <v>53</v>
      </c>
      <c r="V19" s="137" t="s">
        <v>53</v>
      </c>
      <c r="W19" s="137" t="s">
        <v>193</v>
      </c>
      <c r="X19" s="137" t="s">
        <v>53</v>
      </c>
      <c r="Y19" s="137" t="s">
        <v>53</v>
      </c>
      <c r="Z19" s="137" t="s">
        <v>53</v>
      </c>
      <c r="AA19" s="137" t="s">
        <v>53</v>
      </c>
      <c r="AB19" s="137" t="s">
        <v>53</v>
      </c>
      <c r="AC19" s="137" t="s">
        <v>53</v>
      </c>
      <c r="AD19" s="137" t="s">
        <v>53</v>
      </c>
      <c r="AE19" s="137" t="s">
        <v>53</v>
      </c>
      <c r="AF19" s="137" t="s">
        <v>53</v>
      </c>
      <c r="AG19" s="137" t="s">
        <v>193</v>
      </c>
      <c r="AH19" s="137" t="s">
        <v>53</v>
      </c>
      <c r="AI19" s="137" t="s">
        <v>193</v>
      </c>
      <c r="AJ19" s="137" t="s">
        <v>53</v>
      </c>
      <c r="AK19" s="137" t="s">
        <v>53</v>
      </c>
      <c r="AL19" s="137" t="s">
        <v>193</v>
      </c>
      <c r="AM19" s="137" t="s">
        <v>193</v>
      </c>
      <c r="AN19" s="137" t="s">
        <v>193</v>
      </c>
      <c r="AO19" s="137" t="s">
        <v>193</v>
      </c>
      <c r="AQ19" s="12">
        <f t="shared" si="2"/>
        <v>0</v>
      </c>
      <c r="AR19" s="12">
        <f t="shared" si="0"/>
        <v>0</v>
      </c>
      <c r="AT19" s="12">
        <f t="shared" si="3"/>
        <v>0</v>
      </c>
      <c r="AU19" s="12">
        <f t="shared" si="4"/>
        <v>0</v>
      </c>
      <c r="AV19" s="13" t="str">
        <f t="shared" si="5"/>
        <v/>
      </c>
      <c r="AY19" s="12">
        <f t="shared" si="6"/>
        <v>0</v>
      </c>
      <c r="AZ19" s="12">
        <f t="shared" si="7"/>
        <v>0</v>
      </c>
      <c r="BA19" s="12">
        <f t="shared" si="7"/>
        <v>0</v>
      </c>
      <c r="BB19" s="12">
        <f t="shared" si="7"/>
        <v>0</v>
      </c>
      <c r="BC19" s="12">
        <f t="shared" si="7"/>
        <v>0</v>
      </c>
      <c r="BD19" s="12">
        <f t="shared" si="8"/>
        <v>0</v>
      </c>
    </row>
    <row r="20" spans="1:56" ht="15" customHeight="1" x14ac:dyDescent="0.25">
      <c r="A20" s="137" t="s">
        <v>200</v>
      </c>
      <c r="B20" s="137" t="s">
        <v>210</v>
      </c>
      <c r="C20" s="137">
        <v>2018</v>
      </c>
      <c r="D20" s="137" t="s">
        <v>193</v>
      </c>
      <c r="E20" s="137" t="s">
        <v>193</v>
      </c>
      <c r="F20" s="137" t="s">
        <v>193</v>
      </c>
      <c r="G20" s="137" t="s">
        <v>193</v>
      </c>
      <c r="H20" s="137" t="s">
        <v>193</v>
      </c>
      <c r="I20" s="137" t="s">
        <v>193</v>
      </c>
      <c r="J20" s="137" t="s">
        <v>193</v>
      </c>
      <c r="K20" s="137" t="s">
        <v>193</v>
      </c>
      <c r="L20" s="137" t="s">
        <v>193</v>
      </c>
      <c r="M20" s="137" t="s">
        <v>193</v>
      </c>
      <c r="N20" s="137" t="s">
        <v>193</v>
      </c>
      <c r="O20" s="137" t="s">
        <v>193</v>
      </c>
      <c r="P20" s="137" t="s">
        <v>193</v>
      </c>
      <c r="Q20" s="137" t="s">
        <v>193</v>
      </c>
      <c r="R20" s="137" t="s">
        <v>193</v>
      </c>
      <c r="S20" s="137" t="s">
        <v>193</v>
      </c>
      <c r="T20" s="137" t="s">
        <v>193</v>
      </c>
      <c r="U20" s="137" t="s">
        <v>193</v>
      </c>
      <c r="V20" s="137" t="s">
        <v>193</v>
      </c>
      <c r="W20" s="137" t="s">
        <v>193</v>
      </c>
      <c r="X20" s="137" t="s">
        <v>193</v>
      </c>
      <c r="Y20" s="137" t="s">
        <v>193</v>
      </c>
      <c r="Z20" s="137" t="s">
        <v>193</v>
      </c>
      <c r="AA20" s="137" t="s">
        <v>193</v>
      </c>
      <c r="AB20" s="137" t="s">
        <v>193</v>
      </c>
      <c r="AC20" s="137" t="s">
        <v>193</v>
      </c>
      <c r="AD20" s="137" t="s">
        <v>193</v>
      </c>
      <c r="AE20" s="137" t="s">
        <v>193</v>
      </c>
      <c r="AF20" s="137" t="s">
        <v>193</v>
      </c>
      <c r="AG20" s="137" t="s">
        <v>193</v>
      </c>
      <c r="AH20" s="137" t="s">
        <v>53</v>
      </c>
      <c r="AI20" s="137" t="s">
        <v>193</v>
      </c>
      <c r="AJ20" s="137" t="s">
        <v>193</v>
      </c>
      <c r="AK20" s="137" t="s">
        <v>193</v>
      </c>
      <c r="AL20" s="137" t="s">
        <v>193</v>
      </c>
      <c r="AM20" s="137" t="s">
        <v>193</v>
      </c>
      <c r="AN20" s="137" t="s">
        <v>193</v>
      </c>
      <c r="AO20" s="137" t="s">
        <v>193</v>
      </c>
      <c r="AQ20" s="12">
        <f t="shared" si="2"/>
        <v>0</v>
      </c>
      <c r="AR20" s="12">
        <f t="shared" si="0"/>
        <v>0</v>
      </c>
      <c r="AT20" s="12">
        <f t="shared" si="3"/>
        <v>0</v>
      </c>
      <c r="AU20" s="12">
        <f t="shared" si="4"/>
        <v>0</v>
      </c>
      <c r="AV20" s="13" t="str">
        <f t="shared" si="5"/>
        <v/>
      </c>
      <c r="AY20" s="12">
        <f t="shared" si="6"/>
        <v>0</v>
      </c>
      <c r="AZ20" s="12">
        <f t="shared" si="7"/>
        <v>0</v>
      </c>
      <c r="BA20" s="12">
        <f t="shared" si="7"/>
        <v>0</v>
      </c>
      <c r="BB20" s="12">
        <f t="shared" si="7"/>
        <v>0</v>
      </c>
      <c r="BC20" s="12">
        <f t="shared" si="7"/>
        <v>0</v>
      </c>
      <c r="BD20" s="12">
        <f t="shared" si="8"/>
        <v>0</v>
      </c>
    </row>
    <row r="21" spans="1:56" ht="15" customHeight="1" x14ac:dyDescent="0.25">
      <c r="A21" s="137" t="s">
        <v>211</v>
      </c>
      <c r="B21" s="137" t="s">
        <v>212</v>
      </c>
      <c r="C21" s="137">
        <v>2018</v>
      </c>
      <c r="D21" s="137" t="s">
        <v>193</v>
      </c>
      <c r="E21" s="137" t="s">
        <v>193</v>
      </c>
      <c r="F21" s="137" t="s">
        <v>193</v>
      </c>
      <c r="G21" s="137" t="s">
        <v>193</v>
      </c>
      <c r="H21" s="137" t="s">
        <v>193</v>
      </c>
      <c r="I21" s="137" t="s">
        <v>193</v>
      </c>
      <c r="J21" s="137" t="s">
        <v>193</v>
      </c>
      <c r="K21" s="137" t="s">
        <v>193</v>
      </c>
      <c r="L21" s="137" t="s">
        <v>193</v>
      </c>
      <c r="M21" s="137" t="s">
        <v>193</v>
      </c>
      <c r="N21" s="137" t="s">
        <v>193</v>
      </c>
      <c r="O21" s="137" t="s">
        <v>193</v>
      </c>
      <c r="P21" s="137" t="s">
        <v>193</v>
      </c>
      <c r="Q21" s="137" t="s">
        <v>193</v>
      </c>
      <c r="R21" s="137" t="s">
        <v>193</v>
      </c>
      <c r="S21" s="137" t="s">
        <v>193</v>
      </c>
      <c r="T21" s="137" t="s">
        <v>193</v>
      </c>
      <c r="U21" s="137" t="s">
        <v>193</v>
      </c>
      <c r="V21" s="137" t="s">
        <v>193</v>
      </c>
      <c r="W21" s="137" t="s">
        <v>193</v>
      </c>
      <c r="X21" s="137" t="s">
        <v>193</v>
      </c>
      <c r="Y21" s="137" t="s">
        <v>193</v>
      </c>
      <c r="Z21" s="137" t="s">
        <v>193</v>
      </c>
      <c r="AA21" s="137" t="s">
        <v>193</v>
      </c>
      <c r="AB21" s="137" t="s">
        <v>193</v>
      </c>
      <c r="AC21" s="137" t="s">
        <v>193</v>
      </c>
      <c r="AD21" s="137" t="s">
        <v>193</v>
      </c>
      <c r="AE21" s="137" t="s">
        <v>193</v>
      </c>
      <c r="AF21" s="137" t="s">
        <v>193</v>
      </c>
      <c r="AG21" s="137" t="s">
        <v>193</v>
      </c>
      <c r="AH21" s="137" t="s">
        <v>199</v>
      </c>
      <c r="AI21" s="137" t="s">
        <v>193</v>
      </c>
      <c r="AJ21" s="137" t="s">
        <v>193</v>
      </c>
      <c r="AK21" s="137" t="s">
        <v>193</v>
      </c>
      <c r="AL21" s="137" t="s">
        <v>193</v>
      </c>
      <c r="AM21" s="137" t="s">
        <v>193</v>
      </c>
      <c r="AN21" s="137" t="s">
        <v>193</v>
      </c>
      <c r="AO21" s="137" t="s">
        <v>193</v>
      </c>
      <c r="AQ21" s="12">
        <f t="shared" si="2"/>
        <v>0</v>
      </c>
      <c r="AR21" s="12">
        <f t="shared" si="0"/>
        <v>0</v>
      </c>
      <c r="AT21" s="12">
        <f t="shared" si="3"/>
        <v>0</v>
      </c>
      <c r="AU21" s="12">
        <f t="shared" si="4"/>
        <v>0</v>
      </c>
      <c r="AV21" s="13" t="str">
        <f t="shared" si="5"/>
        <v/>
      </c>
      <c r="AY21" s="12">
        <f t="shared" si="6"/>
        <v>0</v>
      </c>
      <c r="AZ21" s="12">
        <f t="shared" si="7"/>
        <v>0</v>
      </c>
      <c r="BA21" s="12">
        <f t="shared" si="7"/>
        <v>0</v>
      </c>
      <c r="BB21" s="12">
        <f t="shared" si="7"/>
        <v>0</v>
      </c>
      <c r="BC21" s="12">
        <f t="shared" si="7"/>
        <v>0</v>
      </c>
      <c r="BD21" s="12">
        <f t="shared" si="8"/>
        <v>0</v>
      </c>
    </row>
    <row r="22" spans="1:56" ht="15" customHeight="1" x14ac:dyDescent="0.25">
      <c r="A22" s="137" t="s">
        <v>211</v>
      </c>
      <c r="B22" s="137" t="s">
        <v>213</v>
      </c>
      <c r="C22" s="137">
        <v>2018</v>
      </c>
      <c r="D22" s="137" t="s">
        <v>193</v>
      </c>
      <c r="E22" s="137" t="s">
        <v>193</v>
      </c>
      <c r="F22" s="137" t="s">
        <v>193</v>
      </c>
      <c r="G22" s="137" t="s">
        <v>193</v>
      </c>
      <c r="H22" s="137" t="s">
        <v>193</v>
      </c>
      <c r="I22" s="137" t="s">
        <v>193</v>
      </c>
      <c r="J22" s="137" t="s">
        <v>193</v>
      </c>
      <c r="K22" s="137" t="s">
        <v>193</v>
      </c>
      <c r="L22" s="137" t="s">
        <v>193</v>
      </c>
      <c r="M22" s="137" t="s">
        <v>193</v>
      </c>
      <c r="N22" s="137" t="s">
        <v>193</v>
      </c>
      <c r="O22" s="137" t="s">
        <v>193</v>
      </c>
      <c r="P22" s="137" t="s">
        <v>193</v>
      </c>
      <c r="Q22" s="137" t="s">
        <v>193</v>
      </c>
      <c r="R22" s="137" t="s">
        <v>193</v>
      </c>
      <c r="S22" s="137" t="s">
        <v>193</v>
      </c>
      <c r="T22" s="137" t="s">
        <v>193</v>
      </c>
      <c r="U22" s="137" t="s">
        <v>193</v>
      </c>
      <c r="V22" s="137" t="s">
        <v>193</v>
      </c>
      <c r="W22" s="137" t="s">
        <v>193</v>
      </c>
      <c r="X22" s="137" t="s">
        <v>193</v>
      </c>
      <c r="Y22" s="137" t="s">
        <v>193</v>
      </c>
      <c r="Z22" s="137" t="s">
        <v>193</v>
      </c>
      <c r="AA22" s="137" t="s">
        <v>193</v>
      </c>
      <c r="AB22" s="137" t="s">
        <v>193</v>
      </c>
      <c r="AC22" s="137" t="s">
        <v>193</v>
      </c>
      <c r="AD22" s="137" t="s">
        <v>193</v>
      </c>
      <c r="AE22" s="137" t="s">
        <v>193</v>
      </c>
      <c r="AF22" s="137" t="s">
        <v>193</v>
      </c>
      <c r="AG22" s="137" t="s">
        <v>193</v>
      </c>
      <c r="AH22" s="137" t="s">
        <v>199</v>
      </c>
      <c r="AI22" s="137" t="s">
        <v>193</v>
      </c>
      <c r="AJ22" s="137" t="s">
        <v>193</v>
      </c>
      <c r="AK22" s="137" t="s">
        <v>193</v>
      </c>
      <c r="AL22" s="137" t="s">
        <v>193</v>
      </c>
      <c r="AM22" s="137" t="s">
        <v>193</v>
      </c>
      <c r="AN22" s="137" t="s">
        <v>193</v>
      </c>
      <c r="AO22" s="137" t="s">
        <v>193</v>
      </c>
      <c r="AQ22" s="12">
        <f t="shared" si="2"/>
        <v>0</v>
      </c>
      <c r="AR22" s="12">
        <f t="shared" si="0"/>
        <v>0</v>
      </c>
      <c r="AT22" s="12">
        <f t="shared" si="3"/>
        <v>0</v>
      </c>
      <c r="AU22" s="12">
        <f t="shared" si="4"/>
        <v>0</v>
      </c>
      <c r="AV22" s="13" t="str">
        <f t="shared" si="5"/>
        <v/>
      </c>
      <c r="AY22" s="12">
        <f t="shared" si="6"/>
        <v>0</v>
      </c>
      <c r="AZ22" s="12">
        <f t="shared" si="7"/>
        <v>0</v>
      </c>
      <c r="BA22" s="12">
        <f t="shared" si="7"/>
        <v>0</v>
      </c>
      <c r="BB22" s="12">
        <f t="shared" si="7"/>
        <v>0</v>
      </c>
      <c r="BC22" s="12">
        <f t="shared" si="7"/>
        <v>0</v>
      </c>
      <c r="BD22" s="12">
        <f t="shared" si="8"/>
        <v>0</v>
      </c>
    </row>
    <row r="23" spans="1:56" ht="15" customHeight="1" x14ac:dyDescent="0.25">
      <c r="A23" s="137" t="s">
        <v>211</v>
      </c>
      <c r="B23" s="137" t="s">
        <v>214</v>
      </c>
      <c r="C23" s="137">
        <v>2018</v>
      </c>
      <c r="D23" s="137">
        <v>232.97800000000001</v>
      </c>
      <c r="E23" s="137">
        <v>58.92</v>
      </c>
      <c r="F23" s="137" t="s">
        <v>193</v>
      </c>
      <c r="G23" s="137" t="s">
        <v>193</v>
      </c>
      <c r="H23" s="137" t="s">
        <v>193</v>
      </c>
      <c r="I23" s="137">
        <v>313.18700000000001</v>
      </c>
      <c r="J23" s="137" t="s">
        <v>193</v>
      </c>
      <c r="K23" s="137">
        <v>0.28199999999999997</v>
      </c>
      <c r="L23" s="137" t="s">
        <v>193</v>
      </c>
      <c r="M23" s="137" t="s">
        <v>193</v>
      </c>
      <c r="N23" s="137" t="s">
        <v>193</v>
      </c>
      <c r="O23" s="137" t="s">
        <v>193</v>
      </c>
      <c r="P23" s="137" t="s">
        <v>193</v>
      </c>
      <c r="Q23" s="137">
        <v>134.87100000000001</v>
      </c>
      <c r="R23" s="137">
        <v>17.309000000000001</v>
      </c>
      <c r="S23" s="137">
        <v>18.135999999999999</v>
      </c>
      <c r="T23" s="137">
        <v>33.247999999999998</v>
      </c>
      <c r="U23" s="137" t="s">
        <v>193</v>
      </c>
      <c r="V23" s="137">
        <v>10.295</v>
      </c>
      <c r="W23" s="137" t="s">
        <v>193</v>
      </c>
      <c r="X23" s="137" t="s">
        <v>193</v>
      </c>
      <c r="Y23" s="137" t="s">
        <v>193</v>
      </c>
      <c r="Z23" s="137" t="s">
        <v>193</v>
      </c>
      <c r="AA23" s="137">
        <v>38.707999999999998</v>
      </c>
      <c r="AB23" s="137" t="s">
        <v>193</v>
      </c>
      <c r="AC23" s="137" t="s">
        <v>193</v>
      </c>
      <c r="AD23" s="137" t="s">
        <v>193</v>
      </c>
      <c r="AE23" s="137">
        <v>14.45</v>
      </c>
      <c r="AF23" s="137" t="s">
        <v>193</v>
      </c>
      <c r="AG23" s="137" t="s">
        <v>193</v>
      </c>
      <c r="AH23" s="137" t="s">
        <v>199</v>
      </c>
      <c r="AI23" s="137" t="s">
        <v>193</v>
      </c>
      <c r="AJ23" s="137" t="s">
        <v>193</v>
      </c>
      <c r="AK23" s="137">
        <v>45.887999999999998</v>
      </c>
      <c r="AL23" s="137">
        <v>95</v>
      </c>
      <c r="AM23" s="137" t="s">
        <v>193</v>
      </c>
      <c r="AN23" s="137" t="s">
        <v>193</v>
      </c>
      <c r="AO23" s="137">
        <v>5</v>
      </c>
      <c r="AQ23" s="12">
        <f t="shared" si="2"/>
        <v>267.29899999999998</v>
      </c>
      <c r="AR23" s="12">
        <f t="shared" si="0"/>
        <v>313.18699999999995</v>
      </c>
      <c r="AT23" s="12">
        <f t="shared" si="3"/>
        <v>232.97800000000001</v>
      </c>
      <c r="AU23" s="12">
        <f t="shared" si="4"/>
        <v>58.92</v>
      </c>
      <c r="AV23" s="13">
        <f t="shared" si="5"/>
        <v>0.93202463703793603</v>
      </c>
      <c r="AY23" s="12">
        <f t="shared" si="6"/>
        <v>45.887999999999998</v>
      </c>
      <c r="AZ23" s="12">
        <f t="shared" si="7"/>
        <v>43.593599999999995</v>
      </c>
      <c r="BA23" s="12">
        <f t="shared" si="7"/>
        <v>0</v>
      </c>
      <c r="BB23" s="12">
        <f t="shared" si="7"/>
        <v>0</v>
      </c>
      <c r="BC23" s="12">
        <f t="shared" si="7"/>
        <v>2.2944</v>
      </c>
      <c r="BD23" s="12">
        <f t="shared" si="8"/>
        <v>0</v>
      </c>
    </row>
    <row r="24" spans="1:56" ht="15" customHeight="1" x14ac:dyDescent="0.25">
      <c r="A24" s="137" t="s">
        <v>211</v>
      </c>
      <c r="B24" s="137" t="s">
        <v>215</v>
      </c>
      <c r="C24" s="137">
        <v>2018</v>
      </c>
      <c r="D24" s="137" t="s">
        <v>193</v>
      </c>
      <c r="E24" s="137" t="s">
        <v>193</v>
      </c>
      <c r="F24" s="137" t="s">
        <v>193</v>
      </c>
      <c r="G24" s="137" t="s">
        <v>193</v>
      </c>
      <c r="H24" s="137" t="s">
        <v>193</v>
      </c>
      <c r="I24" s="137" t="s">
        <v>193</v>
      </c>
      <c r="J24" s="137" t="s">
        <v>193</v>
      </c>
      <c r="K24" s="137" t="s">
        <v>193</v>
      </c>
      <c r="L24" s="137" t="s">
        <v>193</v>
      </c>
      <c r="M24" s="137" t="s">
        <v>193</v>
      </c>
      <c r="N24" s="137" t="s">
        <v>193</v>
      </c>
      <c r="O24" s="137" t="s">
        <v>193</v>
      </c>
      <c r="P24" s="137" t="s">
        <v>193</v>
      </c>
      <c r="Q24" s="137" t="s">
        <v>193</v>
      </c>
      <c r="R24" s="137" t="s">
        <v>193</v>
      </c>
      <c r="S24" s="137" t="s">
        <v>193</v>
      </c>
      <c r="T24" s="137" t="s">
        <v>193</v>
      </c>
      <c r="U24" s="137" t="s">
        <v>193</v>
      </c>
      <c r="V24" s="137" t="s">
        <v>193</v>
      </c>
      <c r="W24" s="137" t="s">
        <v>193</v>
      </c>
      <c r="X24" s="137" t="s">
        <v>193</v>
      </c>
      <c r="Y24" s="137" t="s">
        <v>193</v>
      </c>
      <c r="Z24" s="137" t="s">
        <v>193</v>
      </c>
      <c r="AA24" s="137" t="s">
        <v>193</v>
      </c>
      <c r="AB24" s="137" t="s">
        <v>193</v>
      </c>
      <c r="AC24" s="137" t="s">
        <v>193</v>
      </c>
      <c r="AD24" s="137" t="s">
        <v>193</v>
      </c>
      <c r="AE24" s="137" t="s">
        <v>193</v>
      </c>
      <c r="AF24" s="137" t="s">
        <v>193</v>
      </c>
      <c r="AG24" s="137" t="s">
        <v>193</v>
      </c>
      <c r="AH24" s="137" t="s">
        <v>199</v>
      </c>
      <c r="AI24" s="137" t="s">
        <v>193</v>
      </c>
      <c r="AJ24" s="137" t="s">
        <v>193</v>
      </c>
      <c r="AK24" s="137" t="s">
        <v>193</v>
      </c>
      <c r="AL24" s="137" t="s">
        <v>193</v>
      </c>
      <c r="AM24" s="137" t="s">
        <v>193</v>
      </c>
      <c r="AN24" s="137" t="s">
        <v>193</v>
      </c>
      <c r="AO24" s="137" t="s">
        <v>193</v>
      </c>
      <c r="AQ24" s="12">
        <f t="shared" si="2"/>
        <v>0</v>
      </c>
      <c r="AR24" s="12">
        <f t="shared" si="0"/>
        <v>0</v>
      </c>
      <c r="AT24" s="12">
        <f t="shared" si="3"/>
        <v>0</v>
      </c>
      <c r="AU24" s="12">
        <f t="shared" si="4"/>
        <v>0</v>
      </c>
      <c r="AV24" s="13" t="str">
        <f t="shared" si="5"/>
        <v/>
      </c>
      <c r="AY24" s="12">
        <f t="shared" si="6"/>
        <v>0</v>
      </c>
      <c r="AZ24" s="12">
        <f t="shared" si="7"/>
        <v>0</v>
      </c>
      <c r="BA24" s="12">
        <f t="shared" si="7"/>
        <v>0</v>
      </c>
      <c r="BB24" s="12">
        <f t="shared" si="7"/>
        <v>0</v>
      </c>
      <c r="BC24" s="12">
        <f t="shared" si="7"/>
        <v>0</v>
      </c>
      <c r="BD24" s="12">
        <f t="shared" si="8"/>
        <v>0</v>
      </c>
    </row>
    <row r="25" spans="1:56" ht="15" customHeight="1" x14ac:dyDescent="0.25">
      <c r="A25" s="137" t="s">
        <v>211</v>
      </c>
      <c r="B25" s="137" t="s">
        <v>216</v>
      </c>
      <c r="C25" s="137">
        <v>2018</v>
      </c>
      <c r="D25" s="137" t="s">
        <v>193</v>
      </c>
      <c r="E25" s="137" t="s">
        <v>193</v>
      </c>
      <c r="F25" s="137" t="s">
        <v>193</v>
      </c>
      <c r="G25" s="137" t="s">
        <v>193</v>
      </c>
      <c r="H25" s="137" t="s">
        <v>193</v>
      </c>
      <c r="I25" s="137" t="s">
        <v>193</v>
      </c>
      <c r="J25" s="137" t="s">
        <v>193</v>
      </c>
      <c r="K25" s="137" t="s">
        <v>193</v>
      </c>
      <c r="L25" s="137" t="s">
        <v>193</v>
      </c>
      <c r="M25" s="137" t="s">
        <v>193</v>
      </c>
      <c r="N25" s="137" t="s">
        <v>193</v>
      </c>
      <c r="O25" s="137" t="s">
        <v>193</v>
      </c>
      <c r="P25" s="137" t="s">
        <v>193</v>
      </c>
      <c r="Q25" s="137" t="s">
        <v>193</v>
      </c>
      <c r="R25" s="137" t="s">
        <v>193</v>
      </c>
      <c r="S25" s="137" t="s">
        <v>193</v>
      </c>
      <c r="T25" s="137" t="s">
        <v>193</v>
      </c>
      <c r="U25" s="137" t="s">
        <v>193</v>
      </c>
      <c r="V25" s="137" t="s">
        <v>193</v>
      </c>
      <c r="W25" s="137" t="s">
        <v>193</v>
      </c>
      <c r="X25" s="137" t="s">
        <v>193</v>
      </c>
      <c r="Y25" s="137" t="s">
        <v>193</v>
      </c>
      <c r="Z25" s="137" t="s">
        <v>193</v>
      </c>
      <c r="AA25" s="137" t="s">
        <v>193</v>
      </c>
      <c r="AB25" s="137" t="s">
        <v>193</v>
      </c>
      <c r="AC25" s="137" t="s">
        <v>193</v>
      </c>
      <c r="AD25" s="137" t="s">
        <v>193</v>
      </c>
      <c r="AE25" s="137" t="s">
        <v>193</v>
      </c>
      <c r="AF25" s="137" t="s">
        <v>193</v>
      </c>
      <c r="AG25" s="137" t="s">
        <v>193</v>
      </c>
      <c r="AH25" s="137" t="s">
        <v>199</v>
      </c>
      <c r="AI25" s="137" t="s">
        <v>193</v>
      </c>
      <c r="AJ25" s="137" t="s">
        <v>193</v>
      </c>
      <c r="AK25" s="137" t="s">
        <v>193</v>
      </c>
      <c r="AL25" s="137" t="s">
        <v>193</v>
      </c>
      <c r="AM25" s="137" t="s">
        <v>193</v>
      </c>
      <c r="AN25" s="137" t="s">
        <v>193</v>
      </c>
      <c r="AO25" s="137" t="s">
        <v>193</v>
      </c>
      <c r="AQ25" s="12">
        <f t="shared" si="2"/>
        <v>0</v>
      </c>
      <c r="AR25" s="12">
        <f t="shared" si="0"/>
        <v>0</v>
      </c>
      <c r="AT25" s="12">
        <f t="shared" si="3"/>
        <v>0</v>
      </c>
      <c r="AU25" s="12">
        <f t="shared" si="4"/>
        <v>0</v>
      </c>
      <c r="AV25" s="13" t="str">
        <f t="shared" si="5"/>
        <v/>
      </c>
      <c r="AY25" s="12">
        <f t="shared" si="6"/>
        <v>0</v>
      </c>
      <c r="AZ25" s="12">
        <f t="shared" si="7"/>
        <v>0</v>
      </c>
      <c r="BA25" s="12">
        <f t="shared" si="7"/>
        <v>0</v>
      </c>
      <c r="BB25" s="12">
        <f t="shared" si="7"/>
        <v>0</v>
      </c>
      <c r="BC25" s="12">
        <f t="shared" si="7"/>
        <v>0</v>
      </c>
      <c r="BD25" s="12">
        <f t="shared" si="8"/>
        <v>0</v>
      </c>
    </row>
    <row r="26" spans="1:56" ht="15" customHeight="1" x14ac:dyDescent="0.25">
      <c r="A26" s="137" t="s">
        <v>217</v>
      </c>
      <c r="B26" s="137" t="s">
        <v>218</v>
      </c>
      <c r="C26" s="137">
        <v>2018</v>
      </c>
      <c r="D26" s="137" t="s">
        <v>193</v>
      </c>
      <c r="E26" s="137" t="s">
        <v>193</v>
      </c>
      <c r="F26" s="137" t="s">
        <v>193</v>
      </c>
      <c r="G26" s="137" t="s">
        <v>193</v>
      </c>
      <c r="H26" s="137" t="s">
        <v>193</v>
      </c>
      <c r="I26" s="137" t="s">
        <v>193</v>
      </c>
      <c r="J26" s="137" t="s">
        <v>193</v>
      </c>
      <c r="K26" s="137" t="s">
        <v>193</v>
      </c>
      <c r="L26" s="137" t="s">
        <v>193</v>
      </c>
      <c r="M26" s="137" t="s">
        <v>193</v>
      </c>
      <c r="N26" s="137" t="s">
        <v>193</v>
      </c>
      <c r="O26" s="137" t="s">
        <v>193</v>
      </c>
      <c r="P26" s="137" t="s">
        <v>193</v>
      </c>
      <c r="Q26" s="137" t="s">
        <v>193</v>
      </c>
      <c r="R26" s="137" t="s">
        <v>193</v>
      </c>
      <c r="S26" s="137" t="s">
        <v>193</v>
      </c>
      <c r="T26" s="137" t="s">
        <v>193</v>
      </c>
      <c r="U26" s="137" t="s">
        <v>193</v>
      </c>
      <c r="V26" s="137" t="s">
        <v>193</v>
      </c>
      <c r="W26" s="137" t="s">
        <v>193</v>
      </c>
      <c r="X26" s="137" t="s">
        <v>193</v>
      </c>
      <c r="Y26" s="137" t="s">
        <v>193</v>
      </c>
      <c r="Z26" s="137" t="s">
        <v>193</v>
      </c>
      <c r="AA26" s="137" t="s">
        <v>193</v>
      </c>
      <c r="AB26" s="137" t="s">
        <v>193</v>
      </c>
      <c r="AC26" s="137" t="s">
        <v>193</v>
      </c>
      <c r="AD26" s="137" t="s">
        <v>193</v>
      </c>
      <c r="AE26" s="137" t="s">
        <v>193</v>
      </c>
      <c r="AF26" s="137" t="s">
        <v>193</v>
      </c>
      <c r="AG26" s="137" t="s">
        <v>193</v>
      </c>
      <c r="AH26" s="137" t="s">
        <v>53</v>
      </c>
      <c r="AI26" s="137" t="s">
        <v>193</v>
      </c>
      <c r="AJ26" s="137" t="s">
        <v>193</v>
      </c>
      <c r="AK26" s="137" t="s">
        <v>193</v>
      </c>
      <c r="AL26" s="137" t="s">
        <v>193</v>
      </c>
      <c r="AM26" s="137" t="s">
        <v>193</v>
      </c>
      <c r="AN26" s="137" t="s">
        <v>193</v>
      </c>
      <c r="AO26" s="137" t="s">
        <v>193</v>
      </c>
      <c r="AQ26" s="12">
        <f t="shared" si="2"/>
        <v>0</v>
      </c>
      <c r="AR26" s="12">
        <f t="shared" si="0"/>
        <v>0</v>
      </c>
      <c r="AT26" s="12">
        <f t="shared" si="3"/>
        <v>0</v>
      </c>
      <c r="AU26" s="12">
        <f t="shared" si="4"/>
        <v>0</v>
      </c>
      <c r="AV26" s="13" t="str">
        <f t="shared" si="5"/>
        <v/>
      </c>
      <c r="AY26" s="12">
        <f t="shared" si="6"/>
        <v>0</v>
      </c>
      <c r="AZ26" s="12">
        <f t="shared" si="7"/>
        <v>0</v>
      </c>
      <c r="BA26" s="12">
        <f t="shared" si="7"/>
        <v>0</v>
      </c>
      <c r="BB26" s="12">
        <f t="shared" si="7"/>
        <v>0</v>
      </c>
      <c r="BC26" s="12">
        <f t="shared" si="7"/>
        <v>0</v>
      </c>
      <c r="BD26" s="12">
        <f t="shared" si="8"/>
        <v>0</v>
      </c>
    </row>
    <row r="27" spans="1:56" ht="15" customHeight="1" x14ac:dyDescent="0.25">
      <c r="A27" s="137" t="s">
        <v>220</v>
      </c>
      <c r="B27" s="137" t="s">
        <v>221</v>
      </c>
      <c r="C27" s="137">
        <v>2018</v>
      </c>
      <c r="D27" s="137" t="s">
        <v>193</v>
      </c>
      <c r="E27" s="137" t="s">
        <v>193</v>
      </c>
      <c r="F27" s="137" t="s">
        <v>193</v>
      </c>
      <c r="G27" s="137" t="s">
        <v>193</v>
      </c>
      <c r="H27" s="137" t="s">
        <v>193</v>
      </c>
      <c r="I27" s="137" t="s">
        <v>193</v>
      </c>
      <c r="J27" s="137" t="s">
        <v>193</v>
      </c>
      <c r="K27" s="137" t="s">
        <v>193</v>
      </c>
      <c r="L27" s="137" t="s">
        <v>193</v>
      </c>
      <c r="M27" s="137" t="s">
        <v>193</v>
      </c>
      <c r="N27" s="137" t="s">
        <v>193</v>
      </c>
      <c r="O27" s="137" t="s">
        <v>193</v>
      </c>
      <c r="P27" s="137" t="s">
        <v>193</v>
      </c>
      <c r="Q27" s="137" t="s">
        <v>193</v>
      </c>
      <c r="R27" s="137" t="s">
        <v>193</v>
      </c>
      <c r="S27" s="137" t="s">
        <v>193</v>
      </c>
      <c r="T27" s="137" t="s">
        <v>193</v>
      </c>
      <c r="U27" s="137" t="s">
        <v>193</v>
      </c>
      <c r="V27" s="137" t="s">
        <v>193</v>
      </c>
      <c r="W27" s="137" t="s">
        <v>193</v>
      </c>
      <c r="X27" s="137" t="s">
        <v>193</v>
      </c>
      <c r="Y27" s="137" t="s">
        <v>193</v>
      </c>
      <c r="Z27" s="137" t="s">
        <v>193</v>
      </c>
      <c r="AA27" s="137" t="s">
        <v>193</v>
      </c>
      <c r="AB27" s="137" t="s">
        <v>193</v>
      </c>
      <c r="AC27" s="137" t="s">
        <v>193</v>
      </c>
      <c r="AD27" s="137" t="s">
        <v>193</v>
      </c>
      <c r="AE27" s="137" t="s">
        <v>193</v>
      </c>
      <c r="AF27" s="137" t="s">
        <v>193</v>
      </c>
      <c r="AG27" s="137" t="s">
        <v>193</v>
      </c>
      <c r="AH27" s="137" t="s">
        <v>199</v>
      </c>
      <c r="AI27" s="137" t="s">
        <v>193</v>
      </c>
      <c r="AJ27" s="137" t="s">
        <v>193</v>
      </c>
      <c r="AK27" s="137" t="s">
        <v>193</v>
      </c>
      <c r="AL27" s="137" t="s">
        <v>193</v>
      </c>
      <c r="AM27" s="137" t="s">
        <v>193</v>
      </c>
      <c r="AN27" s="137" t="s">
        <v>193</v>
      </c>
      <c r="AO27" s="137" t="s">
        <v>193</v>
      </c>
      <c r="AQ27" s="12">
        <f t="shared" si="2"/>
        <v>0</v>
      </c>
      <c r="AR27" s="12">
        <f t="shared" si="0"/>
        <v>0</v>
      </c>
      <c r="AT27" s="12">
        <f t="shared" si="3"/>
        <v>0</v>
      </c>
      <c r="AU27" s="12">
        <f t="shared" si="4"/>
        <v>0</v>
      </c>
      <c r="AV27" s="13" t="str">
        <f t="shared" si="5"/>
        <v/>
      </c>
      <c r="AY27" s="12">
        <f t="shared" si="6"/>
        <v>0</v>
      </c>
      <c r="AZ27" s="12">
        <f t="shared" si="7"/>
        <v>0</v>
      </c>
      <c r="BA27" s="12">
        <f t="shared" si="7"/>
        <v>0</v>
      </c>
      <c r="BB27" s="12">
        <f t="shared" si="7"/>
        <v>0</v>
      </c>
      <c r="BC27" s="12">
        <f t="shared" si="7"/>
        <v>0</v>
      </c>
      <c r="BD27" s="12">
        <f t="shared" si="8"/>
        <v>0</v>
      </c>
    </row>
    <row r="28" spans="1:56" ht="15" customHeight="1" x14ac:dyDescent="0.25">
      <c r="A28" s="137" t="s">
        <v>220</v>
      </c>
      <c r="B28" s="137" t="s">
        <v>222</v>
      </c>
      <c r="C28" s="137">
        <v>2018</v>
      </c>
      <c r="D28" s="137" t="s">
        <v>193</v>
      </c>
      <c r="E28" s="137" t="s">
        <v>193</v>
      </c>
      <c r="F28" s="137" t="s">
        <v>193</v>
      </c>
      <c r="G28" s="137" t="s">
        <v>193</v>
      </c>
      <c r="H28" s="137" t="s">
        <v>193</v>
      </c>
      <c r="I28" s="137" t="s">
        <v>193</v>
      </c>
      <c r="J28" s="137" t="s">
        <v>193</v>
      </c>
      <c r="K28" s="137" t="s">
        <v>193</v>
      </c>
      <c r="L28" s="137" t="s">
        <v>193</v>
      </c>
      <c r="M28" s="137" t="s">
        <v>193</v>
      </c>
      <c r="N28" s="137" t="s">
        <v>193</v>
      </c>
      <c r="O28" s="137" t="s">
        <v>193</v>
      </c>
      <c r="P28" s="137" t="s">
        <v>193</v>
      </c>
      <c r="Q28" s="137" t="s">
        <v>193</v>
      </c>
      <c r="R28" s="137" t="s">
        <v>193</v>
      </c>
      <c r="S28" s="137" t="s">
        <v>193</v>
      </c>
      <c r="T28" s="137" t="s">
        <v>193</v>
      </c>
      <c r="U28" s="137" t="s">
        <v>193</v>
      </c>
      <c r="V28" s="137" t="s">
        <v>193</v>
      </c>
      <c r="W28" s="137" t="s">
        <v>193</v>
      </c>
      <c r="X28" s="137" t="s">
        <v>193</v>
      </c>
      <c r="Y28" s="137" t="s">
        <v>193</v>
      </c>
      <c r="Z28" s="137" t="s">
        <v>193</v>
      </c>
      <c r="AA28" s="137" t="s">
        <v>193</v>
      </c>
      <c r="AB28" s="137" t="s">
        <v>193</v>
      </c>
      <c r="AC28" s="137" t="s">
        <v>193</v>
      </c>
      <c r="AD28" s="137" t="s">
        <v>193</v>
      </c>
      <c r="AE28" s="137" t="s">
        <v>193</v>
      </c>
      <c r="AF28" s="137" t="s">
        <v>193</v>
      </c>
      <c r="AG28" s="137" t="s">
        <v>193</v>
      </c>
      <c r="AH28" s="137" t="s">
        <v>199</v>
      </c>
      <c r="AI28" s="137" t="s">
        <v>193</v>
      </c>
      <c r="AJ28" s="137" t="s">
        <v>193</v>
      </c>
      <c r="AK28" s="137" t="s">
        <v>193</v>
      </c>
      <c r="AL28" s="137" t="s">
        <v>193</v>
      </c>
      <c r="AM28" s="137" t="s">
        <v>193</v>
      </c>
      <c r="AN28" s="137" t="s">
        <v>193</v>
      </c>
      <c r="AO28" s="137" t="s">
        <v>193</v>
      </c>
      <c r="AQ28" s="12">
        <f t="shared" si="2"/>
        <v>0</v>
      </c>
      <c r="AR28" s="12">
        <f t="shared" si="0"/>
        <v>0</v>
      </c>
      <c r="AT28" s="12">
        <f t="shared" si="3"/>
        <v>0</v>
      </c>
      <c r="AU28" s="12">
        <f t="shared" si="4"/>
        <v>0</v>
      </c>
      <c r="AV28" s="13" t="str">
        <f t="shared" si="5"/>
        <v/>
      </c>
      <c r="AY28" s="12">
        <f t="shared" si="6"/>
        <v>0</v>
      </c>
      <c r="AZ28" s="12">
        <f t="shared" si="7"/>
        <v>0</v>
      </c>
      <c r="BA28" s="12">
        <f t="shared" si="7"/>
        <v>0</v>
      </c>
      <c r="BB28" s="12">
        <f t="shared" si="7"/>
        <v>0</v>
      </c>
      <c r="BC28" s="12">
        <f t="shared" si="7"/>
        <v>0</v>
      </c>
      <c r="BD28" s="12">
        <f t="shared" si="8"/>
        <v>0</v>
      </c>
    </row>
    <row r="29" spans="1:56" ht="15" customHeight="1" x14ac:dyDescent="0.25">
      <c r="A29" s="137" t="s">
        <v>220</v>
      </c>
      <c r="B29" s="137" t="s">
        <v>223</v>
      </c>
      <c r="C29" s="137">
        <v>2018</v>
      </c>
      <c r="D29" s="137" t="s">
        <v>193</v>
      </c>
      <c r="E29" s="137" t="s">
        <v>193</v>
      </c>
      <c r="F29" s="137" t="s">
        <v>193</v>
      </c>
      <c r="G29" s="137" t="s">
        <v>193</v>
      </c>
      <c r="H29" s="137" t="s">
        <v>193</v>
      </c>
      <c r="I29" s="137" t="s">
        <v>193</v>
      </c>
      <c r="J29" s="137" t="s">
        <v>193</v>
      </c>
      <c r="K29" s="137" t="s">
        <v>193</v>
      </c>
      <c r="L29" s="137" t="s">
        <v>193</v>
      </c>
      <c r="M29" s="137" t="s">
        <v>193</v>
      </c>
      <c r="N29" s="137" t="s">
        <v>193</v>
      </c>
      <c r="O29" s="137" t="s">
        <v>193</v>
      </c>
      <c r="P29" s="137" t="s">
        <v>193</v>
      </c>
      <c r="Q29" s="137" t="s">
        <v>193</v>
      </c>
      <c r="R29" s="137" t="s">
        <v>193</v>
      </c>
      <c r="S29" s="137" t="s">
        <v>193</v>
      </c>
      <c r="T29" s="137" t="s">
        <v>193</v>
      </c>
      <c r="U29" s="137" t="s">
        <v>193</v>
      </c>
      <c r="V29" s="137" t="s">
        <v>193</v>
      </c>
      <c r="W29" s="137" t="s">
        <v>193</v>
      </c>
      <c r="X29" s="137" t="s">
        <v>193</v>
      </c>
      <c r="Y29" s="137" t="s">
        <v>193</v>
      </c>
      <c r="Z29" s="137" t="s">
        <v>193</v>
      </c>
      <c r="AA29" s="137" t="s">
        <v>193</v>
      </c>
      <c r="AB29" s="137" t="s">
        <v>193</v>
      </c>
      <c r="AC29" s="137" t="s">
        <v>193</v>
      </c>
      <c r="AD29" s="137" t="s">
        <v>193</v>
      </c>
      <c r="AE29" s="137" t="s">
        <v>193</v>
      </c>
      <c r="AF29" s="137" t="s">
        <v>193</v>
      </c>
      <c r="AG29" s="137" t="s">
        <v>193</v>
      </c>
      <c r="AH29" s="137" t="s">
        <v>199</v>
      </c>
      <c r="AI29" s="137" t="s">
        <v>193</v>
      </c>
      <c r="AJ29" s="137" t="s">
        <v>193</v>
      </c>
      <c r="AK29" s="137" t="s">
        <v>193</v>
      </c>
      <c r="AL29" s="137" t="s">
        <v>193</v>
      </c>
      <c r="AM29" s="137" t="s">
        <v>193</v>
      </c>
      <c r="AN29" s="137" t="s">
        <v>193</v>
      </c>
      <c r="AO29" s="137" t="s">
        <v>193</v>
      </c>
      <c r="AQ29" s="12">
        <f t="shared" si="2"/>
        <v>0</v>
      </c>
      <c r="AR29" s="12">
        <f t="shared" si="0"/>
        <v>0</v>
      </c>
      <c r="AT29" s="12">
        <f t="shared" si="3"/>
        <v>0</v>
      </c>
      <c r="AU29" s="12">
        <f t="shared" si="4"/>
        <v>0</v>
      </c>
      <c r="AV29" s="13" t="str">
        <f t="shared" si="5"/>
        <v/>
      </c>
      <c r="AY29" s="12">
        <f t="shared" si="6"/>
        <v>0</v>
      </c>
      <c r="AZ29" s="12">
        <f t="shared" si="7"/>
        <v>0</v>
      </c>
      <c r="BA29" s="12">
        <f t="shared" si="7"/>
        <v>0</v>
      </c>
      <c r="BB29" s="12">
        <f t="shared" si="7"/>
        <v>0</v>
      </c>
      <c r="BC29" s="12">
        <f t="shared" si="7"/>
        <v>0</v>
      </c>
      <c r="BD29" s="12">
        <f t="shared" si="8"/>
        <v>0</v>
      </c>
    </row>
    <row r="30" spans="1:56" ht="15" customHeight="1" x14ac:dyDescent="0.25">
      <c r="A30" s="137" t="s">
        <v>224</v>
      </c>
      <c r="B30" s="137" t="s">
        <v>225</v>
      </c>
      <c r="C30" s="137">
        <v>2018</v>
      </c>
      <c r="D30" s="137" t="s">
        <v>193</v>
      </c>
      <c r="E30" s="137" t="s">
        <v>193</v>
      </c>
      <c r="F30" s="137" t="s">
        <v>193</v>
      </c>
      <c r="G30" s="137" t="s">
        <v>193</v>
      </c>
      <c r="H30" s="137" t="s">
        <v>193</v>
      </c>
      <c r="I30" s="137" t="s">
        <v>193</v>
      </c>
      <c r="J30" s="137" t="s">
        <v>193</v>
      </c>
      <c r="K30" s="137" t="s">
        <v>193</v>
      </c>
      <c r="L30" s="137" t="s">
        <v>193</v>
      </c>
      <c r="M30" s="137" t="s">
        <v>193</v>
      </c>
      <c r="N30" s="137" t="s">
        <v>193</v>
      </c>
      <c r="O30" s="137" t="s">
        <v>193</v>
      </c>
      <c r="P30" s="137" t="s">
        <v>193</v>
      </c>
      <c r="Q30" s="137" t="s">
        <v>193</v>
      </c>
      <c r="R30" s="137" t="s">
        <v>193</v>
      </c>
      <c r="S30" s="137" t="s">
        <v>193</v>
      </c>
      <c r="T30" s="137" t="s">
        <v>193</v>
      </c>
      <c r="U30" s="137" t="s">
        <v>193</v>
      </c>
      <c r="V30" s="137" t="s">
        <v>193</v>
      </c>
      <c r="W30" s="137" t="s">
        <v>193</v>
      </c>
      <c r="X30" s="137" t="s">
        <v>193</v>
      </c>
      <c r="Y30" s="137" t="s">
        <v>193</v>
      </c>
      <c r="Z30" s="137" t="s">
        <v>193</v>
      </c>
      <c r="AA30" s="137" t="s">
        <v>193</v>
      </c>
      <c r="AB30" s="137" t="s">
        <v>193</v>
      </c>
      <c r="AC30" s="137" t="s">
        <v>193</v>
      </c>
      <c r="AD30" s="137" t="s">
        <v>193</v>
      </c>
      <c r="AE30" s="137" t="s">
        <v>193</v>
      </c>
      <c r="AF30" s="137" t="s">
        <v>193</v>
      </c>
      <c r="AG30" s="137" t="s">
        <v>193</v>
      </c>
      <c r="AH30" s="137" t="s">
        <v>53</v>
      </c>
      <c r="AI30" s="137" t="s">
        <v>193</v>
      </c>
      <c r="AJ30" s="137" t="s">
        <v>193</v>
      </c>
      <c r="AK30" s="137" t="s">
        <v>193</v>
      </c>
      <c r="AL30" s="137" t="s">
        <v>193</v>
      </c>
      <c r="AM30" s="137" t="s">
        <v>193</v>
      </c>
      <c r="AN30" s="137" t="s">
        <v>193</v>
      </c>
      <c r="AO30" s="137" t="s">
        <v>193</v>
      </c>
      <c r="AQ30" s="12">
        <f t="shared" si="2"/>
        <v>0</v>
      </c>
      <c r="AR30" s="12">
        <f t="shared" si="0"/>
        <v>0</v>
      </c>
      <c r="AT30" s="12">
        <f t="shared" si="3"/>
        <v>0</v>
      </c>
      <c r="AU30" s="12">
        <f t="shared" si="4"/>
        <v>0</v>
      </c>
      <c r="AV30" s="13" t="str">
        <f t="shared" si="5"/>
        <v/>
      </c>
      <c r="AY30" s="12">
        <f t="shared" si="6"/>
        <v>0</v>
      </c>
      <c r="AZ30" s="12">
        <f t="shared" si="7"/>
        <v>0</v>
      </c>
      <c r="BA30" s="12">
        <f t="shared" si="7"/>
        <v>0</v>
      </c>
      <c r="BB30" s="12">
        <f t="shared" si="7"/>
        <v>0</v>
      </c>
      <c r="BC30" s="12">
        <f t="shared" si="7"/>
        <v>0</v>
      </c>
      <c r="BD30" s="12">
        <f t="shared" si="8"/>
        <v>0</v>
      </c>
    </row>
    <row r="31" spans="1:56" ht="15" customHeight="1" x14ac:dyDescent="0.25">
      <c r="A31" s="137" t="s">
        <v>36</v>
      </c>
      <c r="B31" s="141" t="s">
        <v>37</v>
      </c>
      <c r="C31" s="137">
        <v>2018</v>
      </c>
      <c r="D31" s="137" t="s">
        <v>53</v>
      </c>
      <c r="E31" s="137" t="s">
        <v>53</v>
      </c>
      <c r="F31" s="137" t="s">
        <v>53</v>
      </c>
      <c r="G31" s="137" t="s">
        <v>53</v>
      </c>
      <c r="H31" s="137" t="s">
        <v>53</v>
      </c>
      <c r="I31" s="137" t="s">
        <v>53</v>
      </c>
      <c r="J31" s="137" t="s">
        <v>53</v>
      </c>
      <c r="K31" s="137" t="s">
        <v>53</v>
      </c>
      <c r="L31" s="137" t="s">
        <v>53</v>
      </c>
      <c r="M31" s="137" t="s">
        <v>53</v>
      </c>
      <c r="N31" s="137" t="s">
        <v>53</v>
      </c>
      <c r="O31" s="137" t="s">
        <v>53</v>
      </c>
      <c r="P31" s="137" t="s">
        <v>53</v>
      </c>
      <c r="Q31" s="137" t="s">
        <v>53</v>
      </c>
      <c r="R31" s="137" t="s">
        <v>53</v>
      </c>
      <c r="S31" s="137" t="s">
        <v>53</v>
      </c>
      <c r="T31" s="137" t="s">
        <v>53</v>
      </c>
      <c r="U31" s="137" t="s">
        <v>53</v>
      </c>
      <c r="V31" s="137" t="s">
        <v>53</v>
      </c>
      <c r="W31" s="137" t="s">
        <v>53</v>
      </c>
      <c r="X31" s="137" t="s">
        <v>53</v>
      </c>
      <c r="Y31" s="137" t="s">
        <v>53</v>
      </c>
      <c r="Z31" s="137" t="s">
        <v>53</v>
      </c>
      <c r="AA31" s="137" t="s">
        <v>53</v>
      </c>
      <c r="AB31" s="137" t="s">
        <v>53</v>
      </c>
      <c r="AC31" s="137" t="s">
        <v>53</v>
      </c>
      <c r="AD31" s="137" t="s">
        <v>53</v>
      </c>
      <c r="AE31" s="137" t="s">
        <v>53</v>
      </c>
      <c r="AF31" s="137" t="s">
        <v>53</v>
      </c>
      <c r="AG31" s="137" t="s">
        <v>53</v>
      </c>
      <c r="AH31" s="137" t="s">
        <v>53</v>
      </c>
      <c r="AI31" s="137" t="s">
        <v>53</v>
      </c>
      <c r="AJ31" s="137" t="s">
        <v>53</v>
      </c>
      <c r="AK31" s="137" t="s">
        <v>53</v>
      </c>
      <c r="AL31" s="137" t="s">
        <v>53</v>
      </c>
      <c r="AM31" s="137" t="s">
        <v>53</v>
      </c>
      <c r="AN31" s="137" t="s">
        <v>53</v>
      </c>
      <c r="AO31" s="137" t="s">
        <v>53</v>
      </c>
      <c r="AQ31" s="12">
        <f t="shared" si="2"/>
        <v>0</v>
      </c>
      <c r="AR31" s="12">
        <f t="shared" si="0"/>
        <v>0</v>
      </c>
      <c r="AT31" s="12">
        <f t="shared" si="3"/>
        <v>0</v>
      </c>
      <c r="AU31" s="12">
        <f t="shared" si="4"/>
        <v>0</v>
      </c>
      <c r="AV31" s="13" t="str">
        <f t="shared" si="5"/>
        <v/>
      </c>
      <c r="AY31" s="12">
        <f t="shared" si="6"/>
        <v>0</v>
      </c>
      <c r="AZ31" s="12">
        <f t="shared" si="7"/>
        <v>0</v>
      </c>
      <c r="BA31" s="12">
        <f t="shared" si="7"/>
        <v>0</v>
      </c>
      <c r="BB31" s="12">
        <f t="shared" si="7"/>
        <v>0</v>
      </c>
      <c r="BC31" s="12">
        <f t="shared" si="7"/>
        <v>0</v>
      </c>
      <c r="BD31" s="12">
        <f t="shared" si="8"/>
        <v>0</v>
      </c>
    </row>
    <row r="32" spans="1:56" ht="15" customHeight="1" x14ac:dyDescent="0.25">
      <c r="A32" s="137" t="s">
        <v>226</v>
      </c>
      <c r="B32" s="137" t="s">
        <v>227</v>
      </c>
      <c r="C32" s="137">
        <v>2018</v>
      </c>
      <c r="D32" s="137" t="s">
        <v>193</v>
      </c>
      <c r="E32" s="137" t="s">
        <v>193</v>
      </c>
      <c r="F32" s="137" t="s">
        <v>193</v>
      </c>
      <c r="G32" s="137" t="s">
        <v>193</v>
      </c>
      <c r="H32" s="137" t="s">
        <v>193</v>
      </c>
      <c r="I32" s="137" t="s">
        <v>193</v>
      </c>
      <c r="J32" s="137" t="s">
        <v>193</v>
      </c>
      <c r="K32" s="137" t="s">
        <v>193</v>
      </c>
      <c r="L32" s="137" t="s">
        <v>193</v>
      </c>
      <c r="M32" s="137" t="s">
        <v>193</v>
      </c>
      <c r="N32" s="137" t="s">
        <v>193</v>
      </c>
      <c r="O32" s="137" t="s">
        <v>193</v>
      </c>
      <c r="P32" s="137" t="s">
        <v>193</v>
      </c>
      <c r="Q32" s="137" t="s">
        <v>193</v>
      </c>
      <c r="R32" s="137" t="s">
        <v>193</v>
      </c>
      <c r="S32" s="137" t="s">
        <v>193</v>
      </c>
      <c r="T32" s="137" t="s">
        <v>193</v>
      </c>
      <c r="U32" s="137" t="s">
        <v>193</v>
      </c>
      <c r="V32" s="137" t="s">
        <v>193</v>
      </c>
      <c r="W32" s="137" t="s">
        <v>193</v>
      </c>
      <c r="X32" s="137" t="s">
        <v>193</v>
      </c>
      <c r="Y32" s="137" t="s">
        <v>193</v>
      </c>
      <c r="Z32" s="137" t="s">
        <v>193</v>
      </c>
      <c r="AA32" s="137" t="s">
        <v>193</v>
      </c>
      <c r="AB32" s="137" t="s">
        <v>193</v>
      </c>
      <c r="AC32" s="137" t="s">
        <v>193</v>
      </c>
      <c r="AD32" s="137" t="s">
        <v>193</v>
      </c>
      <c r="AE32" s="137" t="s">
        <v>193</v>
      </c>
      <c r="AF32" s="137" t="s">
        <v>193</v>
      </c>
      <c r="AG32" s="137" t="s">
        <v>193</v>
      </c>
      <c r="AH32" s="137" t="s">
        <v>199</v>
      </c>
      <c r="AI32" s="137" t="s">
        <v>193</v>
      </c>
      <c r="AJ32" s="137" t="s">
        <v>193</v>
      </c>
      <c r="AK32" s="137" t="s">
        <v>193</v>
      </c>
      <c r="AL32" s="137" t="s">
        <v>193</v>
      </c>
      <c r="AM32" s="137" t="s">
        <v>193</v>
      </c>
      <c r="AN32" s="137" t="s">
        <v>193</v>
      </c>
      <c r="AO32" s="137" t="s">
        <v>193</v>
      </c>
      <c r="AQ32" s="12">
        <f t="shared" si="2"/>
        <v>0</v>
      </c>
      <c r="AR32" s="12">
        <f t="shared" si="0"/>
        <v>0</v>
      </c>
      <c r="AT32" s="12">
        <f t="shared" si="3"/>
        <v>0</v>
      </c>
      <c r="AU32" s="12">
        <f t="shared" si="4"/>
        <v>0</v>
      </c>
      <c r="AV32" s="13" t="str">
        <f t="shared" si="5"/>
        <v/>
      </c>
      <c r="AY32" s="12">
        <f t="shared" si="6"/>
        <v>0</v>
      </c>
      <c r="AZ32" s="12">
        <f t="shared" si="7"/>
        <v>0</v>
      </c>
      <c r="BA32" s="12">
        <f t="shared" si="7"/>
        <v>0</v>
      </c>
      <c r="BB32" s="12">
        <f t="shared" si="7"/>
        <v>0</v>
      </c>
      <c r="BC32" s="12">
        <f t="shared" si="7"/>
        <v>0</v>
      </c>
      <c r="BD32" s="12">
        <f t="shared" si="8"/>
        <v>0</v>
      </c>
    </row>
    <row r="33" spans="1:56" ht="15" customHeight="1" x14ac:dyDescent="0.25">
      <c r="A33" s="137" t="s">
        <v>228</v>
      </c>
      <c r="B33" s="137" t="s">
        <v>229</v>
      </c>
      <c r="C33" s="137">
        <v>2018</v>
      </c>
      <c r="D33" s="137" t="s">
        <v>193</v>
      </c>
      <c r="E33" s="137" t="s">
        <v>193</v>
      </c>
      <c r="F33" s="137" t="s">
        <v>193</v>
      </c>
      <c r="G33" s="137" t="s">
        <v>193</v>
      </c>
      <c r="H33" s="137" t="s">
        <v>193</v>
      </c>
      <c r="I33" s="137" t="s">
        <v>193</v>
      </c>
      <c r="J33" s="137" t="s">
        <v>193</v>
      </c>
      <c r="K33" s="137" t="s">
        <v>193</v>
      </c>
      <c r="L33" s="137" t="s">
        <v>193</v>
      </c>
      <c r="M33" s="137" t="s">
        <v>193</v>
      </c>
      <c r="N33" s="137" t="s">
        <v>193</v>
      </c>
      <c r="O33" s="137" t="s">
        <v>193</v>
      </c>
      <c r="P33" s="137" t="s">
        <v>193</v>
      </c>
      <c r="Q33" s="137" t="s">
        <v>193</v>
      </c>
      <c r="R33" s="137" t="s">
        <v>193</v>
      </c>
      <c r="S33" s="137" t="s">
        <v>193</v>
      </c>
      <c r="T33" s="137" t="s">
        <v>193</v>
      </c>
      <c r="U33" s="137" t="s">
        <v>193</v>
      </c>
      <c r="V33" s="137" t="s">
        <v>193</v>
      </c>
      <c r="W33" s="137" t="s">
        <v>193</v>
      </c>
      <c r="X33" s="137" t="s">
        <v>193</v>
      </c>
      <c r="Y33" s="137" t="s">
        <v>193</v>
      </c>
      <c r="Z33" s="137" t="s">
        <v>193</v>
      </c>
      <c r="AA33" s="137" t="s">
        <v>193</v>
      </c>
      <c r="AB33" s="137" t="s">
        <v>193</v>
      </c>
      <c r="AC33" s="137" t="s">
        <v>193</v>
      </c>
      <c r="AD33" s="137" t="s">
        <v>193</v>
      </c>
      <c r="AE33" s="137" t="s">
        <v>193</v>
      </c>
      <c r="AF33" s="137" t="s">
        <v>193</v>
      </c>
      <c r="AG33" s="137" t="s">
        <v>193</v>
      </c>
      <c r="AH33" s="137" t="s">
        <v>53</v>
      </c>
      <c r="AI33" s="137" t="s">
        <v>193</v>
      </c>
      <c r="AJ33" s="137" t="s">
        <v>193</v>
      </c>
      <c r="AK33" s="137" t="s">
        <v>193</v>
      </c>
      <c r="AL33" s="137" t="s">
        <v>193</v>
      </c>
      <c r="AM33" s="137" t="s">
        <v>193</v>
      </c>
      <c r="AN33" s="137" t="s">
        <v>193</v>
      </c>
      <c r="AO33" s="137" t="s">
        <v>193</v>
      </c>
      <c r="AQ33" s="12">
        <f t="shared" si="2"/>
        <v>0</v>
      </c>
      <c r="AR33" s="12">
        <f t="shared" si="0"/>
        <v>0</v>
      </c>
      <c r="AT33" s="12">
        <f t="shared" si="3"/>
        <v>0</v>
      </c>
      <c r="AU33" s="12">
        <f t="shared" si="4"/>
        <v>0</v>
      </c>
      <c r="AV33" s="13" t="str">
        <f t="shared" si="5"/>
        <v/>
      </c>
      <c r="AY33" s="12">
        <f t="shared" si="6"/>
        <v>0</v>
      </c>
      <c r="AZ33" s="12">
        <f t="shared" si="7"/>
        <v>0</v>
      </c>
      <c r="BA33" s="12">
        <f t="shared" si="7"/>
        <v>0</v>
      </c>
      <c r="BB33" s="12">
        <f t="shared" si="7"/>
        <v>0</v>
      </c>
      <c r="BC33" s="12">
        <f t="shared" si="7"/>
        <v>0</v>
      </c>
      <c r="BD33" s="12">
        <f t="shared" si="8"/>
        <v>0</v>
      </c>
    </row>
    <row r="34" spans="1:56" ht="15" customHeight="1" x14ac:dyDescent="0.25">
      <c r="A34" s="137" t="s">
        <v>230</v>
      </c>
      <c r="B34" s="137" t="s">
        <v>66</v>
      </c>
      <c r="C34" s="137">
        <v>2018</v>
      </c>
      <c r="D34" s="137">
        <v>124</v>
      </c>
      <c r="E34" s="137">
        <v>23</v>
      </c>
      <c r="F34" s="137" t="s">
        <v>193</v>
      </c>
      <c r="G34" s="137" t="s">
        <v>193</v>
      </c>
      <c r="H34" s="137" t="s">
        <v>193</v>
      </c>
      <c r="I34" s="137">
        <v>189</v>
      </c>
      <c r="J34" s="137" t="s">
        <v>193</v>
      </c>
      <c r="K34" s="137" t="s">
        <v>193</v>
      </c>
      <c r="L34" s="137" t="s">
        <v>193</v>
      </c>
      <c r="M34" s="137" t="s">
        <v>193</v>
      </c>
      <c r="N34" s="137" t="s">
        <v>193</v>
      </c>
      <c r="O34" s="137" t="s">
        <v>193</v>
      </c>
      <c r="P34" s="137" t="s">
        <v>193</v>
      </c>
      <c r="Q34" s="137" t="s">
        <v>193</v>
      </c>
      <c r="R34" s="137" t="s">
        <v>193</v>
      </c>
      <c r="S34" s="137" t="s">
        <v>193</v>
      </c>
      <c r="T34" s="137" t="s">
        <v>193</v>
      </c>
      <c r="U34" s="137" t="s">
        <v>193</v>
      </c>
      <c r="V34" s="137" t="s">
        <v>193</v>
      </c>
      <c r="W34" s="137" t="s">
        <v>193</v>
      </c>
      <c r="X34" s="137" t="s">
        <v>193</v>
      </c>
      <c r="Y34" s="137" t="s">
        <v>193</v>
      </c>
      <c r="Z34" s="137" t="s">
        <v>193</v>
      </c>
      <c r="AA34" s="137">
        <v>8</v>
      </c>
      <c r="AB34" s="137" t="s">
        <v>193</v>
      </c>
      <c r="AC34" s="137" t="s">
        <v>193</v>
      </c>
      <c r="AD34" s="137" t="s">
        <v>193</v>
      </c>
      <c r="AE34" s="137" t="s">
        <v>193</v>
      </c>
      <c r="AF34" s="137">
        <v>165</v>
      </c>
      <c r="AG34" s="137">
        <v>1.4</v>
      </c>
      <c r="AH34" s="137" t="s">
        <v>195</v>
      </c>
      <c r="AI34" s="137">
        <v>40.5</v>
      </c>
      <c r="AJ34" s="137" t="s">
        <v>193</v>
      </c>
      <c r="AK34" s="137">
        <v>16</v>
      </c>
      <c r="AL34" s="137">
        <v>15</v>
      </c>
      <c r="AM34" s="137">
        <v>85</v>
      </c>
      <c r="AN34" s="137">
        <v>0</v>
      </c>
      <c r="AO34" s="137">
        <v>0</v>
      </c>
      <c r="AQ34" s="12">
        <f t="shared" si="2"/>
        <v>173</v>
      </c>
      <c r="AR34" s="12">
        <f t="shared" si="0"/>
        <v>189</v>
      </c>
      <c r="AT34" s="12">
        <f t="shared" si="3"/>
        <v>124</v>
      </c>
      <c r="AU34" s="12">
        <f t="shared" si="4"/>
        <v>23</v>
      </c>
      <c r="AV34" s="13">
        <f t="shared" si="5"/>
        <v>0.77777777777777779</v>
      </c>
      <c r="AY34" s="12">
        <f t="shared" si="6"/>
        <v>16</v>
      </c>
      <c r="AZ34" s="12">
        <f t="shared" si="7"/>
        <v>2.4</v>
      </c>
      <c r="BA34" s="12">
        <f t="shared" si="7"/>
        <v>13.6</v>
      </c>
      <c r="BB34" s="12">
        <f t="shared" si="7"/>
        <v>0</v>
      </c>
      <c r="BC34" s="12">
        <f t="shared" si="7"/>
        <v>0</v>
      </c>
      <c r="BD34" s="12">
        <f t="shared" si="8"/>
        <v>0</v>
      </c>
    </row>
    <row r="35" spans="1:56" ht="15" customHeight="1" x14ac:dyDescent="0.25">
      <c r="A35" s="137" t="s">
        <v>231</v>
      </c>
      <c r="B35" s="137" t="s">
        <v>232</v>
      </c>
      <c r="C35" s="137">
        <v>2018</v>
      </c>
      <c r="D35" s="137" t="s">
        <v>193</v>
      </c>
      <c r="E35" s="137" t="s">
        <v>193</v>
      </c>
      <c r="F35" s="137" t="s">
        <v>193</v>
      </c>
      <c r="G35" s="137" t="s">
        <v>193</v>
      </c>
      <c r="H35" s="137" t="s">
        <v>193</v>
      </c>
      <c r="I35" s="137" t="s">
        <v>193</v>
      </c>
      <c r="J35" s="137" t="s">
        <v>193</v>
      </c>
      <c r="K35" s="137" t="s">
        <v>193</v>
      </c>
      <c r="L35" s="137" t="s">
        <v>193</v>
      </c>
      <c r="M35" s="137" t="s">
        <v>193</v>
      </c>
      <c r="N35" s="137" t="s">
        <v>193</v>
      </c>
      <c r="O35" s="137" t="s">
        <v>193</v>
      </c>
      <c r="P35" s="137" t="s">
        <v>193</v>
      </c>
      <c r="Q35" s="137" t="s">
        <v>193</v>
      </c>
      <c r="R35" s="137" t="s">
        <v>193</v>
      </c>
      <c r="S35" s="137" t="s">
        <v>193</v>
      </c>
      <c r="T35" s="137" t="s">
        <v>193</v>
      </c>
      <c r="U35" s="137" t="s">
        <v>193</v>
      </c>
      <c r="V35" s="137" t="s">
        <v>193</v>
      </c>
      <c r="W35" s="137" t="s">
        <v>193</v>
      </c>
      <c r="X35" s="137" t="s">
        <v>193</v>
      </c>
      <c r="Y35" s="137" t="s">
        <v>193</v>
      </c>
      <c r="Z35" s="137" t="s">
        <v>193</v>
      </c>
      <c r="AA35" s="137" t="s">
        <v>193</v>
      </c>
      <c r="AB35" s="137" t="s">
        <v>193</v>
      </c>
      <c r="AC35" s="137" t="s">
        <v>193</v>
      </c>
      <c r="AD35" s="137" t="s">
        <v>193</v>
      </c>
      <c r="AE35" s="137" t="s">
        <v>193</v>
      </c>
      <c r="AF35" s="137" t="s">
        <v>193</v>
      </c>
      <c r="AG35" s="137" t="s">
        <v>193</v>
      </c>
      <c r="AH35" s="137" t="s">
        <v>53</v>
      </c>
      <c r="AI35" s="137" t="s">
        <v>193</v>
      </c>
      <c r="AJ35" s="137" t="s">
        <v>193</v>
      </c>
      <c r="AK35" s="137" t="s">
        <v>193</v>
      </c>
      <c r="AL35" s="137" t="s">
        <v>193</v>
      </c>
      <c r="AM35" s="137" t="s">
        <v>193</v>
      </c>
      <c r="AN35" s="137" t="s">
        <v>193</v>
      </c>
      <c r="AO35" s="137" t="s">
        <v>193</v>
      </c>
      <c r="AQ35" s="12">
        <f t="shared" si="2"/>
        <v>0</v>
      </c>
      <c r="AR35" s="12">
        <f t="shared" si="0"/>
        <v>0</v>
      </c>
      <c r="AT35" s="12">
        <f t="shared" si="3"/>
        <v>0</v>
      </c>
      <c r="AU35" s="12">
        <f t="shared" si="4"/>
        <v>0</v>
      </c>
      <c r="AV35" s="13" t="str">
        <f t="shared" si="5"/>
        <v/>
      </c>
      <c r="AY35" s="12">
        <f t="shared" si="6"/>
        <v>0</v>
      </c>
      <c r="AZ35" s="12">
        <f t="shared" si="7"/>
        <v>0</v>
      </c>
      <c r="BA35" s="12">
        <f t="shared" si="7"/>
        <v>0</v>
      </c>
      <c r="BB35" s="12">
        <f t="shared" si="7"/>
        <v>0</v>
      </c>
      <c r="BC35" s="12">
        <f t="shared" si="7"/>
        <v>0</v>
      </c>
      <c r="BD35" s="12">
        <f t="shared" si="8"/>
        <v>0</v>
      </c>
    </row>
    <row r="36" spans="1:56" ht="15" customHeight="1" x14ac:dyDescent="0.25">
      <c r="A36" s="137" t="s">
        <v>231</v>
      </c>
      <c r="B36" s="137" t="s">
        <v>233</v>
      </c>
      <c r="C36" s="137">
        <v>2018</v>
      </c>
      <c r="D36" s="137">
        <v>119.96</v>
      </c>
      <c r="E36" s="137">
        <v>29.18</v>
      </c>
      <c r="F36" s="137" t="s">
        <v>193</v>
      </c>
      <c r="G36" s="137" t="s">
        <v>193</v>
      </c>
      <c r="H36" s="137" t="s">
        <v>193</v>
      </c>
      <c r="I36" s="137">
        <v>164.53</v>
      </c>
      <c r="J36" s="137" t="s">
        <v>193</v>
      </c>
      <c r="K36" s="137">
        <v>1.31</v>
      </c>
      <c r="L36" s="137" t="s">
        <v>193</v>
      </c>
      <c r="M36" s="137" t="s">
        <v>193</v>
      </c>
      <c r="N36" s="137" t="s">
        <v>193</v>
      </c>
      <c r="O36" s="137" t="s">
        <v>193</v>
      </c>
      <c r="P36" s="137" t="s">
        <v>193</v>
      </c>
      <c r="Q36" s="137" t="s">
        <v>193</v>
      </c>
      <c r="R36" s="137">
        <v>0.25</v>
      </c>
      <c r="S36" s="137" t="s">
        <v>193</v>
      </c>
      <c r="T36" s="137" t="s">
        <v>193</v>
      </c>
      <c r="U36" s="137" t="s">
        <v>193</v>
      </c>
      <c r="V36" s="137" t="s">
        <v>193</v>
      </c>
      <c r="W36" s="137" t="s">
        <v>194</v>
      </c>
      <c r="X36" s="137" t="s">
        <v>193</v>
      </c>
      <c r="Y36" s="137" t="s">
        <v>193</v>
      </c>
      <c r="Z36" s="137" t="s">
        <v>193</v>
      </c>
      <c r="AA36" s="137">
        <v>0.38</v>
      </c>
      <c r="AB36" s="137" t="s">
        <v>193</v>
      </c>
      <c r="AC36" s="137" t="s">
        <v>193</v>
      </c>
      <c r="AD36" s="137" t="s">
        <v>193</v>
      </c>
      <c r="AE36" s="137" t="s">
        <v>193</v>
      </c>
      <c r="AF36" s="137">
        <v>152</v>
      </c>
      <c r="AG36" s="137">
        <v>1.31</v>
      </c>
      <c r="AH36" s="137" t="s">
        <v>195</v>
      </c>
      <c r="AI36" s="137">
        <v>40.5</v>
      </c>
      <c r="AJ36" s="137" t="s">
        <v>193</v>
      </c>
      <c r="AK36" s="137">
        <v>10.59</v>
      </c>
      <c r="AL36" s="137">
        <v>0.3</v>
      </c>
      <c r="AM36" s="137">
        <v>99.4</v>
      </c>
      <c r="AN36" s="137">
        <v>0.3</v>
      </c>
      <c r="AO36" s="137">
        <v>0</v>
      </c>
      <c r="AQ36" s="12">
        <f t="shared" si="2"/>
        <v>153.94</v>
      </c>
      <c r="AR36" s="12">
        <f t="shared" si="0"/>
        <v>164.53</v>
      </c>
      <c r="AT36" s="12">
        <f t="shared" si="3"/>
        <v>119.96</v>
      </c>
      <c r="AU36" s="12">
        <f t="shared" si="4"/>
        <v>29.18</v>
      </c>
      <c r="AV36" s="13">
        <f t="shared" si="5"/>
        <v>0.90646082781255688</v>
      </c>
      <c r="AY36" s="12">
        <f t="shared" si="6"/>
        <v>10.59</v>
      </c>
      <c r="AZ36" s="12">
        <f t="shared" si="7"/>
        <v>3.177E-2</v>
      </c>
      <c r="BA36" s="12">
        <f t="shared" si="7"/>
        <v>10.52646</v>
      </c>
      <c r="BB36" s="12">
        <f t="shared" si="7"/>
        <v>3.177E-2</v>
      </c>
      <c r="BC36" s="12">
        <f t="shared" si="7"/>
        <v>0</v>
      </c>
      <c r="BD36" s="12">
        <f t="shared" si="8"/>
        <v>0</v>
      </c>
    </row>
    <row r="37" spans="1:56" ht="15" customHeight="1" x14ac:dyDescent="0.25">
      <c r="A37" s="137" t="s">
        <v>231</v>
      </c>
      <c r="B37" s="137" t="s">
        <v>234</v>
      </c>
      <c r="C37" s="137">
        <v>2018</v>
      </c>
      <c r="D37" s="137" t="s">
        <v>193</v>
      </c>
      <c r="E37" s="137" t="s">
        <v>193</v>
      </c>
      <c r="F37" s="137" t="s">
        <v>193</v>
      </c>
      <c r="G37" s="137" t="s">
        <v>193</v>
      </c>
      <c r="H37" s="137" t="s">
        <v>193</v>
      </c>
      <c r="I37" s="137" t="s">
        <v>193</v>
      </c>
      <c r="J37" s="137" t="s">
        <v>193</v>
      </c>
      <c r="K37" s="137" t="s">
        <v>193</v>
      </c>
      <c r="L37" s="137" t="s">
        <v>193</v>
      </c>
      <c r="M37" s="137" t="s">
        <v>193</v>
      </c>
      <c r="N37" s="137" t="s">
        <v>193</v>
      </c>
      <c r="O37" s="137" t="s">
        <v>193</v>
      </c>
      <c r="P37" s="137" t="s">
        <v>193</v>
      </c>
      <c r="Q37" s="137" t="s">
        <v>193</v>
      </c>
      <c r="R37" s="137" t="s">
        <v>193</v>
      </c>
      <c r="S37" s="137" t="s">
        <v>193</v>
      </c>
      <c r="T37" s="137" t="s">
        <v>193</v>
      </c>
      <c r="U37" s="137" t="s">
        <v>193</v>
      </c>
      <c r="V37" s="137" t="s">
        <v>193</v>
      </c>
      <c r="W37" s="137" t="s">
        <v>193</v>
      </c>
      <c r="X37" s="137" t="s">
        <v>193</v>
      </c>
      <c r="Y37" s="137" t="s">
        <v>193</v>
      </c>
      <c r="Z37" s="137" t="s">
        <v>193</v>
      </c>
      <c r="AA37" s="137" t="s">
        <v>193</v>
      </c>
      <c r="AB37" s="137" t="s">
        <v>193</v>
      </c>
      <c r="AC37" s="137" t="s">
        <v>193</v>
      </c>
      <c r="AD37" s="137" t="s">
        <v>193</v>
      </c>
      <c r="AE37" s="137" t="s">
        <v>193</v>
      </c>
      <c r="AF37" s="137" t="s">
        <v>193</v>
      </c>
      <c r="AG37" s="137" t="s">
        <v>193</v>
      </c>
      <c r="AH37" s="137" t="s">
        <v>53</v>
      </c>
      <c r="AI37" s="137" t="s">
        <v>193</v>
      </c>
      <c r="AJ37" s="137" t="s">
        <v>193</v>
      </c>
      <c r="AK37" s="137" t="s">
        <v>193</v>
      </c>
      <c r="AL37" s="137" t="s">
        <v>193</v>
      </c>
      <c r="AM37" s="137" t="s">
        <v>193</v>
      </c>
      <c r="AN37" s="137" t="s">
        <v>193</v>
      </c>
      <c r="AO37" s="137" t="s">
        <v>193</v>
      </c>
      <c r="AQ37" s="12">
        <f t="shared" si="2"/>
        <v>0</v>
      </c>
      <c r="AR37" s="12">
        <f t="shared" si="0"/>
        <v>0</v>
      </c>
      <c r="AT37" s="12">
        <f t="shared" si="3"/>
        <v>0</v>
      </c>
      <c r="AU37" s="12">
        <f t="shared" si="4"/>
        <v>0</v>
      </c>
      <c r="AV37" s="13" t="str">
        <f t="shared" si="5"/>
        <v/>
      </c>
      <c r="AY37" s="12">
        <f t="shared" si="6"/>
        <v>0</v>
      </c>
      <c r="AZ37" s="12">
        <f t="shared" si="7"/>
        <v>0</v>
      </c>
      <c r="BA37" s="12">
        <f t="shared" si="7"/>
        <v>0</v>
      </c>
      <c r="BB37" s="12">
        <f t="shared" si="7"/>
        <v>0</v>
      </c>
      <c r="BC37" s="12">
        <f t="shared" si="7"/>
        <v>0</v>
      </c>
      <c r="BD37" s="12">
        <f t="shared" si="8"/>
        <v>0</v>
      </c>
    </row>
    <row r="38" spans="1:56" ht="15" customHeight="1" x14ac:dyDescent="0.25">
      <c r="A38" s="137" t="s">
        <v>235</v>
      </c>
      <c r="B38" s="137" t="s">
        <v>236</v>
      </c>
      <c r="C38" s="137">
        <v>2018</v>
      </c>
      <c r="D38" s="137" t="s">
        <v>193</v>
      </c>
      <c r="E38" s="137" t="s">
        <v>193</v>
      </c>
      <c r="F38" s="137" t="s">
        <v>193</v>
      </c>
      <c r="G38" s="137" t="s">
        <v>193</v>
      </c>
      <c r="H38" s="137" t="s">
        <v>193</v>
      </c>
      <c r="I38" s="137" t="s">
        <v>193</v>
      </c>
      <c r="J38" s="137" t="s">
        <v>193</v>
      </c>
      <c r="K38" s="137" t="s">
        <v>193</v>
      </c>
      <c r="L38" s="137" t="s">
        <v>193</v>
      </c>
      <c r="M38" s="137" t="s">
        <v>193</v>
      </c>
      <c r="N38" s="137" t="s">
        <v>193</v>
      </c>
      <c r="O38" s="137" t="s">
        <v>193</v>
      </c>
      <c r="P38" s="137" t="s">
        <v>193</v>
      </c>
      <c r="Q38" s="137" t="s">
        <v>193</v>
      </c>
      <c r="R38" s="137" t="s">
        <v>193</v>
      </c>
      <c r="S38" s="137" t="s">
        <v>193</v>
      </c>
      <c r="T38" s="137" t="s">
        <v>193</v>
      </c>
      <c r="U38" s="137" t="s">
        <v>193</v>
      </c>
      <c r="V38" s="137" t="s">
        <v>193</v>
      </c>
      <c r="W38" s="137" t="s">
        <v>193</v>
      </c>
      <c r="X38" s="137" t="s">
        <v>193</v>
      </c>
      <c r="Y38" s="137" t="s">
        <v>193</v>
      </c>
      <c r="Z38" s="137" t="s">
        <v>193</v>
      </c>
      <c r="AA38" s="137" t="s">
        <v>193</v>
      </c>
      <c r="AB38" s="137" t="s">
        <v>193</v>
      </c>
      <c r="AC38" s="137" t="s">
        <v>193</v>
      </c>
      <c r="AD38" s="137" t="s">
        <v>193</v>
      </c>
      <c r="AE38" s="137" t="s">
        <v>193</v>
      </c>
      <c r="AF38" s="137" t="s">
        <v>193</v>
      </c>
      <c r="AG38" s="137" t="s">
        <v>193</v>
      </c>
      <c r="AH38" s="137" t="s">
        <v>53</v>
      </c>
      <c r="AI38" s="137" t="s">
        <v>193</v>
      </c>
      <c r="AJ38" s="137" t="s">
        <v>193</v>
      </c>
      <c r="AK38" s="137" t="s">
        <v>193</v>
      </c>
      <c r="AL38" s="137" t="s">
        <v>193</v>
      </c>
      <c r="AM38" s="137" t="s">
        <v>193</v>
      </c>
      <c r="AN38" s="137" t="s">
        <v>193</v>
      </c>
      <c r="AO38" s="137" t="s">
        <v>193</v>
      </c>
      <c r="AQ38" s="12">
        <f t="shared" si="2"/>
        <v>0</v>
      </c>
      <c r="AR38" s="12">
        <f t="shared" si="0"/>
        <v>0</v>
      </c>
      <c r="AT38" s="12">
        <f t="shared" si="3"/>
        <v>0</v>
      </c>
      <c r="AU38" s="12">
        <f t="shared" si="4"/>
        <v>0</v>
      </c>
      <c r="AV38" s="13" t="str">
        <f t="shared" si="5"/>
        <v/>
      </c>
      <c r="AY38" s="12">
        <f t="shared" si="6"/>
        <v>0</v>
      </c>
      <c r="AZ38" s="12">
        <f t="shared" si="7"/>
        <v>0</v>
      </c>
      <c r="BA38" s="12">
        <f t="shared" si="7"/>
        <v>0</v>
      </c>
      <c r="BB38" s="12">
        <f t="shared" si="7"/>
        <v>0</v>
      </c>
      <c r="BC38" s="12">
        <f t="shared" si="7"/>
        <v>0</v>
      </c>
      <c r="BD38" s="12">
        <f t="shared" si="8"/>
        <v>0</v>
      </c>
    </row>
    <row r="39" spans="1:56" ht="15" customHeight="1" x14ac:dyDescent="0.25">
      <c r="A39" s="137" t="s">
        <v>235</v>
      </c>
      <c r="B39" s="137" t="s">
        <v>237</v>
      </c>
      <c r="C39" s="137">
        <v>2018</v>
      </c>
      <c r="D39" s="137" t="s">
        <v>193</v>
      </c>
      <c r="E39" s="137" t="s">
        <v>193</v>
      </c>
      <c r="F39" s="137" t="s">
        <v>193</v>
      </c>
      <c r="G39" s="137" t="s">
        <v>193</v>
      </c>
      <c r="H39" s="137" t="s">
        <v>193</v>
      </c>
      <c r="I39" s="137" t="s">
        <v>193</v>
      </c>
      <c r="J39" s="137" t="s">
        <v>193</v>
      </c>
      <c r="K39" s="137" t="s">
        <v>193</v>
      </c>
      <c r="L39" s="137" t="s">
        <v>193</v>
      </c>
      <c r="M39" s="137" t="s">
        <v>193</v>
      </c>
      <c r="N39" s="137" t="s">
        <v>193</v>
      </c>
      <c r="O39" s="137" t="s">
        <v>193</v>
      </c>
      <c r="P39" s="137" t="s">
        <v>193</v>
      </c>
      <c r="Q39" s="137" t="s">
        <v>193</v>
      </c>
      <c r="R39" s="137" t="s">
        <v>193</v>
      </c>
      <c r="S39" s="137" t="s">
        <v>193</v>
      </c>
      <c r="T39" s="137" t="s">
        <v>193</v>
      </c>
      <c r="U39" s="137" t="s">
        <v>193</v>
      </c>
      <c r="V39" s="137" t="s">
        <v>193</v>
      </c>
      <c r="W39" s="137" t="s">
        <v>193</v>
      </c>
      <c r="X39" s="137" t="s">
        <v>193</v>
      </c>
      <c r="Y39" s="137" t="s">
        <v>193</v>
      </c>
      <c r="Z39" s="137" t="s">
        <v>193</v>
      </c>
      <c r="AA39" s="137" t="s">
        <v>193</v>
      </c>
      <c r="AB39" s="137" t="s">
        <v>193</v>
      </c>
      <c r="AC39" s="137" t="s">
        <v>193</v>
      </c>
      <c r="AD39" s="137" t="s">
        <v>193</v>
      </c>
      <c r="AE39" s="137" t="s">
        <v>193</v>
      </c>
      <c r="AF39" s="137" t="s">
        <v>193</v>
      </c>
      <c r="AG39" s="137" t="s">
        <v>193</v>
      </c>
      <c r="AH39" s="137" t="s">
        <v>53</v>
      </c>
      <c r="AI39" s="137" t="s">
        <v>193</v>
      </c>
      <c r="AJ39" s="137" t="s">
        <v>193</v>
      </c>
      <c r="AK39" s="137" t="s">
        <v>193</v>
      </c>
      <c r="AL39" s="137" t="s">
        <v>193</v>
      </c>
      <c r="AM39" s="137" t="s">
        <v>193</v>
      </c>
      <c r="AN39" s="137" t="s">
        <v>193</v>
      </c>
      <c r="AO39" s="137" t="s">
        <v>193</v>
      </c>
      <c r="AQ39" s="12">
        <f t="shared" si="2"/>
        <v>0</v>
      </c>
      <c r="AR39" s="12">
        <f t="shared" si="0"/>
        <v>0</v>
      </c>
      <c r="AT39" s="12">
        <f t="shared" si="3"/>
        <v>0</v>
      </c>
      <c r="AU39" s="12">
        <f t="shared" si="4"/>
        <v>0</v>
      </c>
      <c r="AV39" s="13" t="str">
        <f t="shared" si="5"/>
        <v/>
      </c>
      <c r="AY39" s="12">
        <f t="shared" si="6"/>
        <v>0</v>
      </c>
      <c r="AZ39" s="12">
        <f t="shared" si="7"/>
        <v>0</v>
      </c>
      <c r="BA39" s="12">
        <f t="shared" si="7"/>
        <v>0</v>
      </c>
      <c r="BB39" s="12">
        <f t="shared" si="7"/>
        <v>0</v>
      </c>
      <c r="BC39" s="12">
        <f t="shared" si="7"/>
        <v>0</v>
      </c>
      <c r="BD39" s="12">
        <f t="shared" si="8"/>
        <v>0</v>
      </c>
    </row>
    <row r="40" spans="1:56" ht="15" customHeight="1" x14ac:dyDescent="0.25">
      <c r="A40" s="137" t="s">
        <v>238</v>
      </c>
      <c r="B40" s="137" t="s">
        <v>239</v>
      </c>
      <c r="C40" s="137">
        <v>2018</v>
      </c>
      <c r="D40" s="137">
        <v>185.47800000000001</v>
      </c>
      <c r="E40" s="137">
        <v>40.518000000000001</v>
      </c>
      <c r="F40" s="137" t="s">
        <v>193</v>
      </c>
      <c r="G40" s="137" t="s">
        <v>193</v>
      </c>
      <c r="H40" s="137" t="s">
        <v>193</v>
      </c>
      <c r="I40" s="137">
        <v>254.55799999999999</v>
      </c>
      <c r="J40" s="137" t="s">
        <v>193</v>
      </c>
      <c r="K40" s="137" t="s">
        <v>193</v>
      </c>
      <c r="L40" s="137" t="s">
        <v>193</v>
      </c>
      <c r="M40" s="137" t="s">
        <v>193</v>
      </c>
      <c r="N40" s="137" t="s">
        <v>193</v>
      </c>
      <c r="O40" s="137" t="s">
        <v>193</v>
      </c>
      <c r="P40" s="137" t="s">
        <v>193</v>
      </c>
      <c r="Q40" s="137" t="s">
        <v>193</v>
      </c>
      <c r="R40" s="137" t="s">
        <v>193</v>
      </c>
      <c r="S40" s="137" t="s">
        <v>193</v>
      </c>
      <c r="T40" s="137" t="s">
        <v>193</v>
      </c>
      <c r="U40" s="137" t="s">
        <v>193</v>
      </c>
      <c r="V40" s="137" t="s">
        <v>193</v>
      </c>
      <c r="W40" s="137" t="s">
        <v>193</v>
      </c>
      <c r="X40" s="137" t="s">
        <v>193</v>
      </c>
      <c r="Y40" s="137" t="s">
        <v>193</v>
      </c>
      <c r="Z40" s="137" t="s">
        <v>193</v>
      </c>
      <c r="AA40" s="137">
        <v>4.1609999999999996</v>
      </c>
      <c r="AB40" s="137" t="s">
        <v>193</v>
      </c>
      <c r="AC40" s="137">
        <v>0.192</v>
      </c>
      <c r="AD40" s="137" t="s">
        <v>193</v>
      </c>
      <c r="AE40" s="137" t="s">
        <v>193</v>
      </c>
      <c r="AF40" s="137">
        <v>250.20500000000001</v>
      </c>
      <c r="AG40" s="137">
        <v>0.70899999999999996</v>
      </c>
      <c r="AH40" s="137" t="s">
        <v>195</v>
      </c>
      <c r="AI40" s="137">
        <v>40.5</v>
      </c>
      <c r="AJ40" s="137" t="s">
        <v>193</v>
      </c>
      <c r="AK40" s="137" t="s">
        <v>193</v>
      </c>
      <c r="AL40" s="137" t="s">
        <v>193</v>
      </c>
      <c r="AM40" s="137" t="s">
        <v>193</v>
      </c>
      <c r="AN40" s="137" t="s">
        <v>193</v>
      </c>
      <c r="AO40" s="137" t="s">
        <v>193</v>
      </c>
      <c r="AQ40" s="12">
        <f t="shared" si="2"/>
        <v>254.55800000000002</v>
      </c>
      <c r="AR40" s="12">
        <f t="shared" si="0"/>
        <v>254.55800000000002</v>
      </c>
      <c r="AT40" s="12">
        <f t="shared" si="3"/>
        <v>185.47800000000001</v>
      </c>
      <c r="AU40" s="12">
        <f t="shared" si="4"/>
        <v>40.518000000000001</v>
      </c>
      <c r="AV40" s="13">
        <f t="shared" si="5"/>
        <v>0.88779767282898192</v>
      </c>
      <c r="AY40" s="12">
        <f t="shared" si="6"/>
        <v>0</v>
      </c>
      <c r="AZ40" s="12">
        <f t="shared" si="7"/>
        <v>0</v>
      </c>
      <c r="BA40" s="12">
        <f t="shared" si="7"/>
        <v>0</v>
      </c>
      <c r="BB40" s="12">
        <f t="shared" si="7"/>
        <v>0</v>
      </c>
      <c r="BC40" s="12">
        <f t="shared" si="7"/>
        <v>0</v>
      </c>
      <c r="BD40" s="12">
        <f t="shared" si="8"/>
        <v>0</v>
      </c>
    </row>
    <row r="41" spans="1:56" ht="15" customHeight="1" x14ac:dyDescent="0.25">
      <c r="A41" s="137" t="s">
        <v>238</v>
      </c>
      <c r="B41" s="137" t="s">
        <v>241</v>
      </c>
      <c r="C41" s="137">
        <v>2018</v>
      </c>
      <c r="D41" s="137" t="s">
        <v>193</v>
      </c>
      <c r="E41" s="137" t="s">
        <v>193</v>
      </c>
      <c r="F41" s="137" t="s">
        <v>193</v>
      </c>
      <c r="G41" s="137" t="s">
        <v>193</v>
      </c>
      <c r="H41" s="137" t="s">
        <v>193</v>
      </c>
      <c r="I41" s="137" t="s">
        <v>193</v>
      </c>
      <c r="J41" s="137" t="s">
        <v>193</v>
      </c>
      <c r="K41" s="137" t="s">
        <v>193</v>
      </c>
      <c r="L41" s="137" t="s">
        <v>193</v>
      </c>
      <c r="M41" s="137" t="s">
        <v>193</v>
      </c>
      <c r="N41" s="137" t="s">
        <v>193</v>
      </c>
      <c r="O41" s="137" t="s">
        <v>193</v>
      </c>
      <c r="P41" s="137" t="s">
        <v>193</v>
      </c>
      <c r="Q41" s="137" t="s">
        <v>193</v>
      </c>
      <c r="R41" s="137" t="s">
        <v>193</v>
      </c>
      <c r="S41" s="137" t="s">
        <v>193</v>
      </c>
      <c r="T41" s="137" t="s">
        <v>193</v>
      </c>
      <c r="U41" s="137" t="s">
        <v>193</v>
      </c>
      <c r="V41" s="137" t="s">
        <v>193</v>
      </c>
      <c r="W41" s="137" t="s">
        <v>193</v>
      </c>
      <c r="X41" s="137" t="s">
        <v>193</v>
      </c>
      <c r="Y41" s="137" t="s">
        <v>193</v>
      </c>
      <c r="Z41" s="137" t="s">
        <v>193</v>
      </c>
      <c r="AA41" s="137" t="s">
        <v>193</v>
      </c>
      <c r="AB41" s="137" t="s">
        <v>193</v>
      </c>
      <c r="AC41" s="137" t="s">
        <v>193</v>
      </c>
      <c r="AD41" s="137" t="s">
        <v>193</v>
      </c>
      <c r="AE41" s="137" t="s">
        <v>193</v>
      </c>
      <c r="AF41" s="137" t="s">
        <v>193</v>
      </c>
      <c r="AG41" s="137" t="s">
        <v>193</v>
      </c>
      <c r="AH41" s="137" t="s">
        <v>53</v>
      </c>
      <c r="AI41" s="137" t="s">
        <v>193</v>
      </c>
      <c r="AJ41" s="137" t="s">
        <v>193</v>
      </c>
      <c r="AK41" s="137" t="s">
        <v>193</v>
      </c>
      <c r="AL41" s="137" t="s">
        <v>193</v>
      </c>
      <c r="AM41" s="137" t="s">
        <v>193</v>
      </c>
      <c r="AN41" s="137" t="s">
        <v>193</v>
      </c>
      <c r="AO41" s="137" t="s">
        <v>193</v>
      </c>
      <c r="AQ41" s="12">
        <f t="shared" si="2"/>
        <v>0</v>
      </c>
      <c r="AR41" s="12">
        <f t="shared" si="0"/>
        <v>0</v>
      </c>
      <c r="AT41" s="12">
        <f t="shared" si="3"/>
        <v>0</v>
      </c>
      <c r="AU41" s="12">
        <f t="shared" si="4"/>
        <v>0</v>
      </c>
      <c r="AV41" s="13" t="str">
        <f t="shared" si="5"/>
        <v/>
      </c>
      <c r="AY41" s="12">
        <f t="shared" si="6"/>
        <v>0</v>
      </c>
      <c r="AZ41" s="12">
        <f t="shared" si="7"/>
        <v>0</v>
      </c>
      <c r="BA41" s="12">
        <f t="shared" si="7"/>
        <v>0</v>
      </c>
      <c r="BB41" s="12">
        <f t="shared" si="7"/>
        <v>0</v>
      </c>
      <c r="BC41" s="12">
        <f t="shared" si="7"/>
        <v>0</v>
      </c>
      <c r="BD41" s="12">
        <f t="shared" si="8"/>
        <v>0</v>
      </c>
    </row>
    <row r="42" spans="1:56" ht="15" customHeight="1" x14ac:dyDescent="0.25">
      <c r="A42" s="137" t="s">
        <v>238</v>
      </c>
      <c r="B42" s="137" t="s">
        <v>242</v>
      </c>
      <c r="C42" s="137">
        <v>2018</v>
      </c>
      <c r="D42" s="137" t="s">
        <v>193</v>
      </c>
      <c r="E42" s="137" t="s">
        <v>193</v>
      </c>
      <c r="F42" s="137" t="s">
        <v>193</v>
      </c>
      <c r="G42" s="137" t="s">
        <v>193</v>
      </c>
      <c r="H42" s="137" t="s">
        <v>193</v>
      </c>
      <c r="I42" s="137" t="s">
        <v>193</v>
      </c>
      <c r="J42" s="137" t="s">
        <v>193</v>
      </c>
      <c r="K42" s="137" t="s">
        <v>193</v>
      </c>
      <c r="L42" s="137" t="s">
        <v>193</v>
      </c>
      <c r="M42" s="137" t="s">
        <v>193</v>
      </c>
      <c r="N42" s="137" t="s">
        <v>193</v>
      </c>
      <c r="O42" s="137" t="s">
        <v>193</v>
      </c>
      <c r="P42" s="137" t="s">
        <v>193</v>
      </c>
      <c r="Q42" s="137" t="s">
        <v>193</v>
      </c>
      <c r="R42" s="137" t="s">
        <v>193</v>
      </c>
      <c r="S42" s="137" t="s">
        <v>193</v>
      </c>
      <c r="T42" s="137" t="s">
        <v>193</v>
      </c>
      <c r="U42" s="137" t="s">
        <v>193</v>
      </c>
      <c r="V42" s="137" t="s">
        <v>193</v>
      </c>
      <c r="W42" s="137" t="s">
        <v>193</v>
      </c>
      <c r="X42" s="137" t="s">
        <v>193</v>
      </c>
      <c r="Y42" s="137" t="s">
        <v>193</v>
      </c>
      <c r="Z42" s="137" t="s">
        <v>193</v>
      </c>
      <c r="AA42" s="137" t="s">
        <v>193</v>
      </c>
      <c r="AB42" s="137" t="s">
        <v>193</v>
      </c>
      <c r="AC42" s="137" t="s">
        <v>193</v>
      </c>
      <c r="AD42" s="137" t="s">
        <v>193</v>
      </c>
      <c r="AE42" s="137" t="s">
        <v>193</v>
      </c>
      <c r="AF42" s="137" t="s">
        <v>193</v>
      </c>
      <c r="AG42" s="137" t="s">
        <v>193</v>
      </c>
      <c r="AH42" s="137" t="s">
        <v>195</v>
      </c>
      <c r="AI42" s="137">
        <v>40.5</v>
      </c>
      <c r="AJ42" s="137" t="s">
        <v>193</v>
      </c>
      <c r="AK42" s="137" t="s">
        <v>193</v>
      </c>
      <c r="AL42" s="137" t="s">
        <v>193</v>
      </c>
      <c r="AM42" s="137" t="s">
        <v>193</v>
      </c>
      <c r="AN42" s="137" t="s">
        <v>193</v>
      </c>
      <c r="AO42" s="137" t="s">
        <v>193</v>
      </c>
      <c r="AQ42" s="12">
        <f t="shared" si="2"/>
        <v>0</v>
      </c>
      <c r="AR42" s="12">
        <f t="shared" si="0"/>
        <v>0</v>
      </c>
      <c r="AT42" s="12">
        <f t="shared" si="3"/>
        <v>0</v>
      </c>
      <c r="AU42" s="12">
        <f t="shared" si="4"/>
        <v>0</v>
      </c>
      <c r="AV42" s="13" t="str">
        <f t="shared" si="5"/>
        <v/>
      </c>
      <c r="AY42" s="12">
        <f t="shared" si="6"/>
        <v>0</v>
      </c>
      <c r="AZ42" s="12">
        <f t="shared" si="7"/>
        <v>0</v>
      </c>
      <c r="BA42" s="12">
        <f t="shared" si="7"/>
        <v>0</v>
      </c>
      <c r="BB42" s="12">
        <f t="shared" si="7"/>
        <v>0</v>
      </c>
      <c r="BC42" s="12">
        <f t="shared" si="7"/>
        <v>0</v>
      </c>
      <c r="BD42" s="12">
        <f t="shared" si="8"/>
        <v>0</v>
      </c>
    </row>
    <row r="43" spans="1:56" ht="15" customHeight="1" x14ac:dyDescent="0.25">
      <c r="A43" s="137" t="s">
        <v>243</v>
      </c>
      <c r="B43" s="137" t="s">
        <v>244</v>
      </c>
      <c r="C43" s="137">
        <v>2018</v>
      </c>
      <c r="D43" s="137">
        <v>555.30999999999995</v>
      </c>
      <c r="E43" s="137">
        <v>90.48</v>
      </c>
      <c r="F43" s="137" t="s">
        <v>193</v>
      </c>
      <c r="G43" s="137" t="s">
        <v>193</v>
      </c>
      <c r="H43" s="137" t="s">
        <v>193</v>
      </c>
      <c r="I43" s="137">
        <v>838.47</v>
      </c>
      <c r="J43" s="137" t="s">
        <v>193</v>
      </c>
      <c r="K43" s="137" t="s">
        <v>193</v>
      </c>
      <c r="L43" s="137" t="s">
        <v>193</v>
      </c>
      <c r="M43" s="137" t="s">
        <v>193</v>
      </c>
      <c r="N43" s="137" t="s">
        <v>193</v>
      </c>
      <c r="O43" s="137" t="s">
        <v>193</v>
      </c>
      <c r="P43" s="137" t="s">
        <v>193</v>
      </c>
      <c r="Q43" s="137">
        <v>294.22000000000003</v>
      </c>
      <c r="R43" s="137">
        <v>56.54</v>
      </c>
      <c r="S43" s="137" t="s">
        <v>193</v>
      </c>
      <c r="T43" s="137">
        <v>2.66</v>
      </c>
      <c r="U43" s="137" t="s">
        <v>193</v>
      </c>
      <c r="V43" s="137">
        <v>83.15</v>
      </c>
      <c r="W43" s="137" t="s">
        <v>193</v>
      </c>
      <c r="X43" s="137" t="s">
        <v>193</v>
      </c>
      <c r="Y43" s="137">
        <v>3.82</v>
      </c>
      <c r="Z43" s="137" t="s">
        <v>193</v>
      </c>
      <c r="AA43" s="137" t="s">
        <v>193</v>
      </c>
      <c r="AB43" s="137" t="s">
        <v>193</v>
      </c>
      <c r="AC43" s="137" t="s">
        <v>193</v>
      </c>
      <c r="AD43" s="137">
        <v>60.56</v>
      </c>
      <c r="AE43" s="137" t="s">
        <v>193</v>
      </c>
      <c r="AF43" s="137">
        <v>298.07</v>
      </c>
      <c r="AG43" s="137">
        <v>9.86</v>
      </c>
      <c r="AH43" s="137" t="s">
        <v>195</v>
      </c>
      <c r="AI43" s="137">
        <v>40.5</v>
      </c>
      <c r="AJ43" s="137" t="s">
        <v>193</v>
      </c>
      <c r="AK43" s="137">
        <v>39.450000000000003</v>
      </c>
      <c r="AL43" s="137" t="s">
        <v>193</v>
      </c>
      <c r="AM43" s="137">
        <v>100</v>
      </c>
      <c r="AN43" s="137">
        <v>0</v>
      </c>
      <c r="AO43" s="137" t="s">
        <v>193</v>
      </c>
      <c r="AQ43" s="12">
        <f t="shared" si="2"/>
        <v>799.02</v>
      </c>
      <c r="AR43" s="12">
        <f t="shared" si="0"/>
        <v>838.47</v>
      </c>
      <c r="AT43" s="12">
        <f t="shared" si="3"/>
        <v>555.30999999999995</v>
      </c>
      <c r="AU43" s="12">
        <f t="shared" si="4"/>
        <v>90.48</v>
      </c>
      <c r="AV43" s="13">
        <f t="shared" si="5"/>
        <v>0.77020048421529685</v>
      </c>
      <c r="AY43" s="12">
        <f t="shared" si="6"/>
        <v>39.450000000000003</v>
      </c>
      <c r="AZ43" s="12">
        <f t="shared" si="7"/>
        <v>0</v>
      </c>
      <c r="BA43" s="12">
        <f t="shared" si="7"/>
        <v>39.450000000000003</v>
      </c>
      <c r="BB43" s="12">
        <f t="shared" si="7"/>
        <v>0</v>
      </c>
      <c r="BC43" s="12">
        <f t="shared" si="7"/>
        <v>0</v>
      </c>
      <c r="BD43" s="12">
        <f t="shared" si="8"/>
        <v>0</v>
      </c>
    </row>
    <row r="44" spans="1:56" ht="15" customHeight="1" x14ac:dyDescent="0.25">
      <c r="A44" s="137" t="s">
        <v>243</v>
      </c>
      <c r="B44" s="137" t="s">
        <v>245</v>
      </c>
      <c r="C44" s="137">
        <v>2018</v>
      </c>
      <c r="D44" s="137" t="s">
        <v>193</v>
      </c>
      <c r="E44" s="137" t="s">
        <v>193</v>
      </c>
      <c r="F44" s="137" t="s">
        <v>193</v>
      </c>
      <c r="G44" s="137" t="s">
        <v>193</v>
      </c>
      <c r="H44" s="137" t="s">
        <v>193</v>
      </c>
      <c r="I44" s="137" t="s">
        <v>193</v>
      </c>
      <c r="J44" s="137" t="s">
        <v>193</v>
      </c>
      <c r="K44" s="137" t="s">
        <v>193</v>
      </c>
      <c r="L44" s="137" t="s">
        <v>193</v>
      </c>
      <c r="M44" s="137" t="s">
        <v>193</v>
      </c>
      <c r="N44" s="137" t="s">
        <v>193</v>
      </c>
      <c r="O44" s="137" t="s">
        <v>193</v>
      </c>
      <c r="P44" s="137" t="s">
        <v>193</v>
      </c>
      <c r="Q44" s="137" t="s">
        <v>193</v>
      </c>
      <c r="R44" s="137" t="s">
        <v>193</v>
      </c>
      <c r="S44" s="137" t="s">
        <v>193</v>
      </c>
      <c r="T44" s="137" t="s">
        <v>193</v>
      </c>
      <c r="U44" s="137" t="s">
        <v>193</v>
      </c>
      <c r="V44" s="137" t="s">
        <v>193</v>
      </c>
      <c r="W44" s="137" t="s">
        <v>193</v>
      </c>
      <c r="X44" s="137" t="s">
        <v>193</v>
      </c>
      <c r="Y44" s="137" t="s">
        <v>193</v>
      </c>
      <c r="Z44" s="137" t="s">
        <v>193</v>
      </c>
      <c r="AA44" s="137" t="s">
        <v>193</v>
      </c>
      <c r="AB44" s="137" t="s">
        <v>193</v>
      </c>
      <c r="AC44" s="137" t="s">
        <v>193</v>
      </c>
      <c r="AD44" s="137" t="s">
        <v>193</v>
      </c>
      <c r="AE44" s="137" t="s">
        <v>193</v>
      </c>
      <c r="AF44" s="137" t="s">
        <v>193</v>
      </c>
      <c r="AG44" s="137" t="s">
        <v>193</v>
      </c>
      <c r="AH44" s="137" t="s">
        <v>53</v>
      </c>
      <c r="AI44" s="137" t="s">
        <v>193</v>
      </c>
      <c r="AJ44" s="137" t="s">
        <v>193</v>
      </c>
      <c r="AK44" s="137" t="s">
        <v>193</v>
      </c>
      <c r="AL44" s="137" t="s">
        <v>193</v>
      </c>
      <c r="AM44" s="137" t="s">
        <v>193</v>
      </c>
      <c r="AN44" s="137" t="s">
        <v>193</v>
      </c>
      <c r="AO44" s="137" t="s">
        <v>193</v>
      </c>
      <c r="AQ44" s="12">
        <f t="shared" si="2"/>
        <v>0</v>
      </c>
      <c r="AR44" s="12">
        <f t="shared" si="0"/>
        <v>0</v>
      </c>
      <c r="AT44" s="12">
        <f t="shared" si="3"/>
        <v>0</v>
      </c>
      <c r="AU44" s="12">
        <f t="shared" si="4"/>
        <v>0</v>
      </c>
      <c r="AV44" s="13" t="str">
        <f t="shared" si="5"/>
        <v/>
      </c>
      <c r="AY44" s="12">
        <f t="shared" si="6"/>
        <v>0</v>
      </c>
      <c r="AZ44" s="12">
        <f t="shared" si="7"/>
        <v>0</v>
      </c>
      <c r="BA44" s="12">
        <f t="shared" si="7"/>
        <v>0</v>
      </c>
      <c r="BB44" s="12">
        <f t="shared" si="7"/>
        <v>0</v>
      </c>
      <c r="BC44" s="12">
        <f t="shared" si="7"/>
        <v>0</v>
      </c>
      <c r="BD44" s="12">
        <f t="shared" si="8"/>
        <v>0</v>
      </c>
    </row>
    <row r="45" spans="1:56" ht="15" customHeight="1" x14ac:dyDescent="0.25">
      <c r="A45" s="137" t="s">
        <v>246</v>
      </c>
      <c r="B45" s="137" t="s">
        <v>247</v>
      </c>
      <c r="C45" s="137">
        <v>2018</v>
      </c>
      <c r="D45" s="137" t="s">
        <v>53</v>
      </c>
      <c r="E45" s="137" t="s">
        <v>53</v>
      </c>
      <c r="F45" s="137" t="s">
        <v>53</v>
      </c>
      <c r="G45" s="137" t="s">
        <v>53</v>
      </c>
      <c r="H45" s="137" t="s">
        <v>53</v>
      </c>
      <c r="I45" s="137" t="s">
        <v>53</v>
      </c>
      <c r="J45" s="137" t="s">
        <v>53</v>
      </c>
      <c r="K45" s="137" t="s">
        <v>53</v>
      </c>
      <c r="L45" s="137" t="s">
        <v>53</v>
      </c>
      <c r="M45" s="137" t="s">
        <v>53</v>
      </c>
      <c r="N45" s="137" t="s">
        <v>53</v>
      </c>
      <c r="O45" s="137" t="s">
        <v>53</v>
      </c>
      <c r="P45" s="137" t="s">
        <v>53</v>
      </c>
      <c r="Q45" s="137" t="s">
        <v>53</v>
      </c>
      <c r="R45" s="137" t="s">
        <v>53</v>
      </c>
      <c r="S45" s="137" t="s">
        <v>53</v>
      </c>
      <c r="T45" s="137" t="s">
        <v>53</v>
      </c>
      <c r="U45" s="137" t="s">
        <v>53</v>
      </c>
      <c r="V45" s="137" t="s">
        <v>53</v>
      </c>
      <c r="W45" s="137" t="s">
        <v>53</v>
      </c>
      <c r="X45" s="137" t="s">
        <v>53</v>
      </c>
      <c r="Y45" s="137" t="s">
        <v>53</v>
      </c>
      <c r="Z45" s="137" t="s">
        <v>53</v>
      </c>
      <c r="AA45" s="137" t="s">
        <v>53</v>
      </c>
      <c r="AB45" s="137" t="s">
        <v>53</v>
      </c>
      <c r="AC45" s="137" t="s">
        <v>53</v>
      </c>
      <c r="AD45" s="137" t="s">
        <v>53</v>
      </c>
      <c r="AE45" s="137" t="s">
        <v>53</v>
      </c>
      <c r="AF45" s="137" t="s">
        <v>53</v>
      </c>
      <c r="AG45" s="137" t="s">
        <v>53</v>
      </c>
      <c r="AH45" s="137" t="s">
        <v>53</v>
      </c>
      <c r="AI45" s="137" t="s">
        <v>53</v>
      </c>
      <c r="AJ45" s="137" t="s">
        <v>53</v>
      </c>
      <c r="AK45" s="137" t="s">
        <v>53</v>
      </c>
      <c r="AL45" s="137" t="s">
        <v>53</v>
      </c>
      <c r="AM45" s="137" t="s">
        <v>53</v>
      </c>
      <c r="AN45" s="137" t="s">
        <v>53</v>
      </c>
      <c r="AO45" s="137" t="s">
        <v>53</v>
      </c>
      <c r="AQ45" s="12">
        <f t="shared" si="2"/>
        <v>0</v>
      </c>
      <c r="AR45" s="12">
        <f t="shared" si="0"/>
        <v>0</v>
      </c>
      <c r="AT45" s="12">
        <f t="shared" si="3"/>
        <v>0</v>
      </c>
      <c r="AU45" s="12">
        <f t="shared" si="4"/>
        <v>0</v>
      </c>
      <c r="AV45" s="13" t="str">
        <f t="shared" si="5"/>
        <v/>
      </c>
      <c r="AY45" s="12">
        <f t="shared" si="6"/>
        <v>0</v>
      </c>
      <c r="AZ45" s="12">
        <f t="shared" si="7"/>
        <v>0</v>
      </c>
      <c r="BA45" s="12">
        <f t="shared" si="7"/>
        <v>0</v>
      </c>
      <c r="BB45" s="12">
        <f t="shared" si="7"/>
        <v>0</v>
      </c>
      <c r="BC45" s="12">
        <f t="shared" si="7"/>
        <v>0</v>
      </c>
      <c r="BD45" s="12">
        <f t="shared" si="8"/>
        <v>0</v>
      </c>
    </row>
    <row r="46" spans="1:56" ht="15" customHeight="1" x14ac:dyDescent="0.25">
      <c r="A46" s="137" t="s">
        <v>248</v>
      </c>
      <c r="B46" s="137" t="s">
        <v>69</v>
      </c>
      <c r="C46" s="137">
        <v>2018</v>
      </c>
      <c r="D46" s="137" t="s">
        <v>53</v>
      </c>
      <c r="E46" s="137" t="s">
        <v>53</v>
      </c>
      <c r="F46" s="137" t="s">
        <v>53</v>
      </c>
      <c r="G46" s="137" t="s">
        <v>53</v>
      </c>
      <c r="H46" s="137" t="s">
        <v>53</v>
      </c>
      <c r="I46" s="137" t="s">
        <v>53</v>
      </c>
      <c r="J46" s="137" t="s">
        <v>53</v>
      </c>
      <c r="K46" s="137" t="s">
        <v>53</v>
      </c>
      <c r="L46" s="137" t="s">
        <v>53</v>
      </c>
      <c r="M46" s="137" t="s">
        <v>53</v>
      </c>
      <c r="N46" s="137" t="s">
        <v>53</v>
      </c>
      <c r="O46" s="137" t="s">
        <v>53</v>
      </c>
      <c r="P46" s="137" t="s">
        <v>53</v>
      </c>
      <c r="Q46" s="137" t="s">
        <v>53</v>
      </c>
      <c r="R46" s="137" t="s">
        <v>53</v>
      </c>
      <c r="S46" s="137" t="s">
        <v>53</v>
      </c>
      <c r="T46" s="137" t="s">
        <v>53</v>
      </c>
      <c r="U46" s="137" t="s">
        <v>53</v>
      </c>
      <c r="V46" s="137" t="s">
        <v>53</v>
      </c>
      <c r="W46" s="137" t="s">
        <v>53</v>
      </c>
      <c r="X46" s="137" t="s">
        <v>53</v>
      </c>
      <c r="Y46" s="137" t="s">
        <v>53</v>
      </c>
      <c r="Z46" s="137" t="s">
        <v>53</v>
      </c>
      <c r="AA46" s="137" t="s">
        <v>53</v>
      </c>
      <c r="AB46" s="137" t="s">
        <v>53</v>
      </c>
      <c r="AC46" s="137" t="s">
        <v>53</v>
      </c>
      <c r="AD46" s="137" t="s">
        <v>53</v>
      </c>
      <c r="AE46" s="137" t="s">
        <v>53</v>
      </c>
      <c r="AF46" s="137" t="s">
        <v>53</v>
      </c>
      <c r="AG46" s="137" t="s">
        <v>53</v>
      </c>
      <c r="AH46" s="137" t="s">
        <v>53</v>
      </c>
      <c r="AI46" s="137" t="s">
        <v>53</v>
      </c>
      <c r="AJ46" s="137" t="s">
        <v>53</v>
      </c>
      <c r="AK46" s="137" t="s">
        <v>53</v>
      </c>
      <c r="AL46" s="137" t="s">
        <v>53</v>
      </c>
      <c r="AM46" s="137" t="s">
        <v>53</v>
      </c>
      <c r="AN46" s="137" t="s">
        <v>53</v>
      </c>
      <c r="AO46" s="137" t="s">
        <v>53</v>
      </c>
      <c r="AQ46" s="12">
        <f t="shared" si="2"/>
        <v>0</v>
      </c>
      <c r="AR46" s="12">
        <f t="shared" si="0"/>
        <v>0</v>
      </c>
      <c r="AT46" s="12">
        <f t="shared" si="3"/>
        <v>0</v>
      </c>
      <c r="AU46" s="12">
        <f t="shared" si="4"/>
        <v>0</v>
      </c>
      <c r="AV46" s="13" t="str">
        <f t="shared" si="5"/>
        <v/>
      </c>
      <c r="AY46" s="12">
        <f t="shared" si="6"/>
        <v>0</v>
      </c>
      <c r="AZ46" s="12">
        <f t="shared" si="7"/>
        <v>0</v>
      </c>
      <c r="BA46" s="12">
        <f t="shared" si="7"/>
        <v>0</v>
      </c>
      <c r="BB46" s="12">
        <f t="shared" si="7"/>
        <v>0</v>
      </c>
      <c r="BC46" s="12">
        <f t="shared" si="7"/>
        <v>0</v>
      </c>
      <c r="BD46" s="12">
        <f t="shared" si="8"/>
        <v>0</v>
      </c>
    </row>
    <row r="47" spans="1:56" ht="15" customHeight="1" x14ac:dyDescent="0.25">
      <c r="A47" s="137" t="s">
        <v>249</v>
      </c>
      <c r="B47" s="137" t="s">
        <v>250</v>
      </c>
      <c r="C47" s="137">
        <v>2018</v>
      </c>
      <c r="D47" s="137" t="s">
        <v>193</v>
      </c>
      <c r="E47" s="137" t="s">
        <v>193</v>
      </c>
      <c r="F47" s="137" t="s">
        <v>193</v>
      </c>
      <c r="G47" s="137" t="s">
        <v>193</v>
      </c>
      <c r="H47" s="137" t="s">
        <v>193</v>
      </c>
      <c r="I47" s="137" t="s">
        <v>193</v>
      </c>
      <c r="J47" s="137" t="s">
        <v>193</v>
      </c>
      <c r="K47" s="137" t="s">
        <v>193</v>
      </c>
      <c r="L47" s="137" t="s">
        <v>193</v>
      </c>
      <c r="M47" s="137" t="s">
        <v>193</v>
      </c>
      <c r="N47" s="137" t="s">
        <v>193</v>
      </c>
      <c r="O47" s="137" t="s">
        <v>193</v>
      </c>
      <c r="P47" s="137" t="s">
        <v>193</v>
      </c>
      <c r="Q47" s="137" t="s">
        <v>193</v>
      </c>
      <c r="R47" s="137" t="s">
        <v>193</v>
      </c>
      <c r="S47" s="137" t="s">
        <v>193</v>
      </c>
      <c r="T47" s="137" t="s">
        <v>193</v>
      </c>
      <c r="U47" s="137" t="s">
        <v>193</v>
      </c>
      <c r="V47" s="137" t="s">
        <v>193</v>
      </c>
      <c r="W47" s="137" t="s">
        <v>193</v>
      </c>
      <c r="X47" s="137" t="s">
        <v>193</v>
      </c>
      <c r="Y47" s="137" t="s">
        <v>193</v>
      </c>
      <c r="Z47" s="137" t="s">
        <v>193</v>
      </c>
      <c r="AA47" s="137" t="s">
        <v>193</v>
      </c>
      <c r="AB47" s="137" t="s">
        <v>193</v>
      </c>
      <c r="AC47" s="137" t="s">
        <v>193</v>
      </c>
      <c r="AD47" s="137" t="s">
        <v>193</v>
      </c>
      <c r="AE47" s="137" t="s">
        <v>193</v>
      </c>
      <c r="AF47" s="137" t="s">
        <v>193</v>
      </c>
      <c r="AG47" s="137" t="s">
        <v>193</v>
      </c>
      <c r="AH47" s="137" t="s">
        <v>199</v>
      </c>
      <c r="AI47" s="137" t="s">
        <v>193</v>
      </c>
      <c r="AJ47" s="137" t="s">
        <v>193</v>
      </c>
      <c r="AK47" s="137" t="s">
        <v>193</v>
      </c>
      <c r="AL47" s="137" t="s">
        <v>193</v>
      </c>
      <c r="AM47" s="137" t="s">
        <v>193</v>
      </c>
      <c r="AN47" s="137" t="s">
        <v>193</v>
      </c>
      <c r="AO47" s="137" t="s">
        <v>193</v>
      </c>
      <c r="AQ47" s="12">
        <f t="shared" si="2"/>
        <v>0</v>
      </c>
      <c r="AR47" s="12">
        <f t="shared" si="0"/>
        <v>0</v>
      </c>
      <c r="AT47" s="12">
        <f t="shared" si="3"/>
        <v>0</v>
      </c>
      <c r="AU47" s="12">
        <f t="shared" si="4"/>
        <v>0</v>
      </c>
      <c r="AV47" s="13" t="str">
        <f t="shared" si="5"/>
        <v/>
      </c>
      <c r="AY47" s="12">
        <f t="shared" si="6"/>
        <v>0</v>
      </c>
      <c r="AZ47" s="12">
        <f t="shared" si="7"/>
        <v>0</v>
      </c>
      <c r="BA47" s="12">
        <f t="shared" si="7"/>
        <v>0</v>
      </c>
      <c r="BB47" s="12">
        <f t="shared" si="7"/>
        <v>0</v>
      </c>
      <c r="BC47" s="12">
        <f t="shared" si="7"/>
        <v>0</v>
      </c>
      <c r="BD47" s="12">
        <f t="shared" si="8"/>
        <v>0</v>
      </c>
    </row>
    <row r="48" spans="1:56" ht="15" customHeight="1" x14ac:dyDescent="0.25">
      <c r="A48" s="137" t="s">
        <v>249</v>
      </c>
      <c r="B48" s="137" t="s">
        <v>251</v>
      </c>
      <c r="C48" s="137">
        <v>2018</v>
      </c>
      <c r="D48" s="137">
        <v>326.42399999999998</v>
      </c>
      <c r="E48" s="137">
        <v>79.798000000000002</v>
      </c>
      <c r="F48" s="137" t="s">
        <v>193</v>
      </c>
      <c r="G48" s="137" t="s">
        <v>193</v>
      </c>
      <c r="H48" s="137" t="s">
        <v>193</v>
      </c>
      <c r="I48" s="137">
        <v>537.06600000000003</v>
      </c>
      <c r="J48" s="137" t="s">
        <v>193</v>
      </c>
      <c r="K48" s="137">
        <v>0.21</v>
      </c>
      <c r="L48" s="137" t="s">
        <v>193</v>
      </c>
      <c r="M48" s="137" t="s">
        <v>193</v>
      </c>
      <c r="N48" s="137" t="s">
        <v>193</v>
      </c>
      <c r="O48" s="137" t="s">
        <v>193</v>
      </c>
      <c r="P48" s="137" t="s">
        <v>193</v>
      </c>
      <c r="Q48" s="137">
        <v>343.87</v>
      </c>
      <c r="R48" s="137">
        <v>25.297999999999998</v>
      </c>
      <c r="S48" s="137">
        <v>69.656000000000006</v>
      </c>
      <c r="T48" s="137">
        <v>0</v>
      </c>
      <c r="U48" s="137" t="s">
        <v>193</v>
      </c>
      <c r="V48" s="137">
        <v>3.3929999999999998</v>
      </c>
      <c r="W48" s="137" t="s">
        <v>194</v>
      </c>
      <c r="X48" s="137" t="s">
        <v>193</v>
      </c>
      <c r="Y48" s="137" t="s">
        <v>193</v>
      </c>
      <c r="Z48" s="137" t="s">
        <v>193</v>
      </c>
      <c r="AA48" s="137" t="s">
        <v>193</v>
      </c>
      <c r="AB48" s="137" t="s">
        <v>193</v>
      </c>
      <c r="AC48" s="137" t="s">
        <v>193</v>
      </c>
      <c r="AD48" s="137" t="s">
        <v>193</v>
      </c>
      <c r="AE48" s="137" t="s">
        <v>193</v>
      </c>
      <c r="AF48" s="137" t="s">
        <v>193</v>
      </c>
      <c r="AG48" s="137" t="s">
        <v>193</v>
      </c>
      <c r="AH48" s="137" t="s">
        <v>199</v>
      </c>
      <c r="AI48" s="137" t="s">
        <v>193</v>
      </c>
      <c r="AJ48" s="137">
        <v>18.728000000000002</v>
      </c>
      <c r="AK48" s="137">
        <v>75.911000000000001</v>
      </c>
      <c r="AL48" s="137">
        <v>100</v>
      </c>
      <c r="AM48" s="137" t="s">
        <v>193</v>
      </c>
      <c r="AN48" s="137">
        <v>0</v>
      </c>
      <c r="AO48" s="137" t="s">
        <v>193</v>
      </c>
      <c r="AQ48" s="12">
        <f t="shared" si="2"/>
        <v>461.15499999999997</v>
      </c>
      <c r="AR48" s="12">
        <f t="shared" si="0"/>
        <v>537.06600000000003</v>
      </c>
      <c r="AT48" s="12">
        <f t="shared" si="3"/>
        <v>326.42399999999998</v>
      </c>
      <c r="AU48" s="12">
        <f t="shared" si="4"/>
        <v>79.798000000000002</v>
      </c>
      <c r="AV48" s="13">
        <f t="shared" si="5"/>
        <v>0.75637258735425428</v>
      </c>
      <c r="AY48" s="12">
        <f t="shared" si="6"/>
        <v>75.911000000000001</v>
      </c>
      <c r="AZ48" s="12">
        <f t="shared" si="7"/>
        <v>75.911000000000001</v>
      </c>
      <c r="BA48" s="12">
        <f t="shared" si="7"/>
        <v>0</v>
      </c>
      <c r="BB48" s="12">
        <f t="shared" si="7"/>
        <v>0</v>
      </c>
      <c r="BC48" s="12">
        <f t="shared" si="7"/>
        <v>0</v>
      </c>
      <c r="BD48" s="12">
        <f t="shared" si="8"/>
        <v>0</v>
      </c>
    </row>
    <row r="49" spans="1:56" ht="15" customHeight="1" x14ac:dyDescent="0.25">
      <c r="A49" s="137" t="s">
        <v>253</v>
      </c>
      <c r="B49" s="137" t="s">
        <v>254</v>
      </c>
      <c r="C49" s="137">
        <v>2018</v>
      </c>
      <c r="D49" s="137" t="s">
        <v>193</v>
      </c>
      <c r="E49" s="137" t="s">
        <v>193</v>
      </c>
      <c r="F49" s="137" t="s">
        <v>193</v>
      </c>
      <c r="G49" s="137" t="s">
        <v>193</v>
      </c>
      <c r="H49" s="137" t="s">
        <v>193</v>
      </c>
      <c r="I49" s="137" t="s">
        <v>193</v>
      </c>
      <c r="J49" s="137" t="s">
        <v>193</v>
      </c>
      <c r="K49" s="137" t="s">
        <v>193</v>
      </c>
      <c r="L49" s="137" t="s">
        <v>193</v>
      </c>
      <c r="M49" s="137" t="s">
        <v>193</v>
      </c>
      <c r="N49" s="137" t="s">
        <v>193</v>
      </c>
      <c r="O49" s="137" t="s">
        <v>193</v>
      </c>
      <c r="P49" s="137" t="s">
        <v>193</v>
      </c>
      <c r="Q49" s="137" t="s">
        <v>193</v>
      </c>
      <c r="R49" s="137" t="s">
        <v>193</v>
      </c>
      <c r="S49" s="137" t="s">
        <v>193</v>
      </c>
      <c r="T49" s="137" t="s">
        <v>193</v>
      </c>
      <c r="U49" s="137" t="s">
        <v>193</v>
      </c>
      <c r="V49" s="137" t="s">
        <v>193</v>
      </c>
      <c r="W49" s="137" t="s">
        <v>193</v>
      </c>
      <c r="X49" s="137" t="s">
        <v>193</v>
      </c>
      <c r="Y49" s="137" t="s">
        <v>193</v>
      </c>
      <c r="Z49" s="137" t="s">
        <v>193</v>
      </c>
      <c r="AA49" s="137" t="s">
        <v>193</v>
      </c>
      <c r="AB49" s="137" t="s">
        <v>193</v>
      </c>
      <c r="AC49" s="137" t="s">
        <v>193</v>
      </c>
      <c r="AD49" s="137" t="s">
        <v>193</v>
      </c>
      <c r="AE49" s="137" t="s">
        <v>193</v>
      </c>
      <c r="AF49" s="137" t="s">
        <v>193</v>
      </c>
      <c r="AG49" s="137" t="s">
        <v>193</v>
      </c>
      <c r="AH49" s="137" t="s">
        <v>199</v>
      </c>
      <c r="AI49" s="137" t="s">
        <v>193</v>
      </c>
      <c r="AJ49" s="137" t="s">
        <v>193</v>
      </c>
      <c r="AK49" s="137" t="s">
        <v>193</v>
      </c>
      <c r="AL49" s="137" t="s">
        <v>193</v>
      </c>
      <c r="AM49" s="137" t="s">
        <v>193</v>
      </c>
      <c r="AN49" s="137" t="s">
        <v>193</v>
      </c>
      <c r="AO49" s="137" t="s">
        <v>193</v>
      </c>
      <c r="AQ49" s="12">
        <f t="shared" si="2"/>
        <v>0</v>
      </c>
      <c r="AR49" s="12">
        <f t="shared" si="0"/>
        <v>0</v>
      </c>
      <c r="AT49" s="12">
        <f t="shared" si="3"/>
        <v>0</v>
      </c>
      <c r="AU49" s="12">
        <f t="shared" si="4"/>
        <v>0</v>
      </c>
      <c r="AV49" s="13" t="str">
        <f t="shared" si="5"/>
        <v/>
      </c>
      <c r="AY49" s="12">
        <f t="shared" si="6"/>
        <v>0</v>
      </c>
      <c r="AZ49" s="12">
        <f t="shared" si="7"/>
        <v>0</v>
      </c>
      <c r="BA49" s="12">
        <f t="shared" si="7"/>
        <v>0</v>
      </c>
      <c r="BB49" s="12">
        <f t="shared" si="7"/>
        <v>0</v>
      </c>
      <c r="BC49" s="12">
        <f t="shared" si="7"/>
        <v>0</v>
      </c>
      <c r="BD49" s="12">
        <f t="shared" si="8"/>
        <v>0</v>
      </c>
    </row>
    <row r="50" spans="1:56" ht="15" customHeight="1" x14ac:dyDescent="0.25">
      <c r="A50" s="137" t="s">
        <v>253</v>
      </c>
      <c r="B50" s="137" t="s">
        <v>256</v>
      </c>
      <c r="C50" s="137">
        <v>2018</v>
      </c>
      <c r="D50" s="137" t="s">
        <v>193</v>
      </c>
      <c r="E50" s="137" t="s">
        <v>193</v>
      </c>
      <c r="F50" s="137" t="s">
        <v>193</v>
      </c>
      <c r="G50" s="137" t="s">
        <v>193</v>
      </c>
      <c r="H50" s="137" t="s">
        <v>193</v>
      </c>
      <c r="I50" s="137" t="s">
        <v>193</v>
      </c>
      <c r="J50" s="137" t="s">
        <v>193</v>
      </c>
      <c r="K50" s="137" t="s">
        <v>193</v>
      </c>
      <c r="L50" s="137" t="s">
        <v>193</v>
      </c>
      <c r="M50" s="137" t="s">
        <v>193</v>
      </c>
      <c r="N50" s="137" t="s">
        <v>193</v>
      </c>
      <c r="O50" s="137" t="s">
        <v>193</v>
      </c>
      <c r="P50" s="137" t="s">
        <v>193</v>
      </c>
      <c r="Q50" s="137" t="s">
        <v>193</v>
      </c>
      <c r="R50" s="137" t="s">
        <v>193</v>
      </c>
      <c r="S50" s="137" t="s">
        <v>193</v>
      </c>
      <c r="T50" s="137" t="s">
        <v>193</v>
      </c>
      <c r="U50" s="137" t="s">
        <v>193</v>
      </c>
      <c r="V50" s="137" t="s">
        <v>193</v>
      </c>
      <c r="W50" s="137" t="s">
        <v>193</v>
      </c>
      <c r="X50" s="137" t="s">
        <v>193</v>
      </c>
      <c r="Y50" s="137" t="s">
        <v>193</v>
      </c>
      <c r="Z50" s="137" t="s">
        <v>193</v>
      </c>
      <c r="AA50" s="137" t="s">
        <v>193</v>
      </c>
      <c r="AB50" s="137" t="s">
        <v>193</v>
      </c>
      <c r="AC50" s="137" t="s">
        <v>193</v>
      </c>
      <c r="AD50" s="137" t="s">
        <v>193</v>
      </c>
      <c r="AE50" s="137" t="s">
        <v>193</v>
      </c>
      <c r="AF50" s="137" t="s">
        <v>193</v>
      </c>
      <c r="AG50" s="137" t="s">
        <v>193</v>
      </c>
      <c r="AH50" s="137" t="s">
        <v>53</v>
      </c>
      <c r="AI50" s="137" t="s">
        <v>193</v>
      </c>
      <c r="AJ50" s="137" t="s">
        <v>193</v>
      </c>
      <c r="AK50" s="137" t="s">
        <v>193</v>
      </c>
      <c r="AL50" s="137" t="s">
        <v>193</v>
      </c>
      <c r="AM50" s="137" t="s">
        <v>193</v>
      </c>
      <c r="AN50" s="137" t="s">
        <v>193</v>
      </c>
      <c r="AO50" s="137" t="s">
        <v>193</v>
      </c>
      <c r="AQ50" s="12">
        <f t="shared" si="2"/>
        <v>0</v>
      </c>
      <c r="AR50" s="12">
        <f t="shared" si="0"/>
        <v>0</v>
      </c>
      <c r="AT50" s="12">
        <f t="shared" si="3"/>
        <v>0</v>
      </c>
      <c r="AU50" s="12">
        <f t="shared" si="4"/>
        <v>0</v>
      </c>
      <c r="AV50" s="13" t="str">
        <f t="shared" si="5"/>
        <v/>
      </c>
      <c r="AY50" s="12">
        <f t="shared" si="6"/>
        <v>0</v>
      </c>
      <c r="AZ50" s="12">
        <f t="shared" si="7"/>
        <v>0</v>
      </c>
      <c r="BA50" s="12">
        <f t="shared" si="7"/>
        <v>0</v>
      </c>
      <c r="BB50" s="12">
        <f t="shared" si="7"/>
        <v>0</v>
      </c>
      <c r="BC50" s="12">
        <f t="shared" si="7"/>
        <v>0</v>
      </c>
      <c r="BD50" s="12">
        <f t="shared" si="8"/>
        <v>0</v>
      </c>
    </row>
    <row r="51" spans="1:56" ht="15" customHeight="1" x14ac:dyDescent="0.25">
      <c r="A51" s="137" t="s">
        <v>258</v>
      </c>
      <c r="B51" s="137" t="s">
        <v>259</v>
      </c>
      <c r="C51" s="137">
        <v>2018</v>
      </c>
      <c r="D51" s="137" t="s">
        <v>193</v>
      </c>
      <c r="E51" s="137" t="s">
        <v>193</v>
      </c>
      <c r="F51" s="137" t="s">
        <v>193</v>
      </c>
      <c r="G51" s="137" t="s">
        <v>193</v>
      </c>
      <c r="H51" s="137" t="s">
        <v>193</v>
      </c>
      <c r="I51" s="137" t="s">
        <v>193</v>
      </c>
      <c r="J51" s="137" t="s">
        <v>193</v>
      </c>
      <c r="K51" s="137" t="s">
        <v>193</v>
      </c>
      <c r="L51" s="137" t="s">
        <v>193</v>
      </c>
      <c r="M51" s="137" t="s">
        <v>193</v>
      </c>
      <c r="N51" s="137" t="s">
        <v>193</v>
      </c>
      <c r="O51" s="137" t="s">
        <v>193</v>
      </c>
      <c r="P51" s="137" t="s">
        <v>193</v>
      </c>
      <c r="Q51" s="137" t="s">
        <v>193</v>
      </c>
      <c r="R51" s="137" t="s">
        <v>193</v>
      </c>
      <c r="S51" s="137" t="s">
        <v>193</v>
      </c>
      <c r="T51" s="137" t="s">
        <v>193</v>
      </c>
      <c r="U51" s="137" t="s">
        <v>193</v>
      </c>
      <c r="V51" s="137" t="s">
        <v>193</v>
      </c>
      <c r="W51" s="137" t="s">
        <v>193</v>
      </c>
      <c r="X51" s="137" t="s">
        <v>193</v>
      </c>
      <c r="Y51" s="137" t="s">
        <v>193</v>
      </c>
      <c r="Z51" s="137" t="s">
        <v>193</v>
      </c>
      <c r="AA51" s="137" t="s">
        <v>193</v>
      </c>
      <c r="AB51" s="137" t="s">
        <v>193</v>
      </c>
      <c r="AC51" s="137" t="s">
        <v>193</v>
      </c>
      <c r="AD51" s="137" t="s">
        <v>193</v>
      </c>
      <c r="AE51" s="137" t="s">
        <v>193</v>
      </c>
      <c r="AF51" s="137" t="s">
        <v>193</v>
      </c>
      <c r="AG51" s="137" t="s">
        <v>193</v>
      </c>
      <c r="AH51" s="137" t="s">
        <v>199</v>
      </c>
      <c r="AI51" s="137" t="s">
        <v>193</v>
      </c>
      <c r="AJ51" s="137" t="s">
        <v>193</v>
      </c>
      <c r="AK51" s="137" t="s">
        <v>193</v>
      </c>
      <c r="AL51" s="137" t="s">
        <v>193</v>
      </c>
      <c r="AM51" s="137" t="s">
        <v>193</v>
      </c>
      <c r="AN51" s="137" t="s">
        <v>193</v>
      </c>
      <c r="AO51" s="137" t="s">
        <v>193</v>
      </c>
      <c r="AQ51" s="12">
        <f t="shared" si="2"/>
        <v>0</v>
      </c>
      <c r="AR51" s="12">
        <f t="shared" si="0"/>
        <v>0</v>
      </c>
      <c r="AT51" s="12">
        <f t="shared" si="3"/>
        <v>0</v>
      </c>
      <c r="AU51" s="12">
        <f t="shared" si="4"/>
        <v>0</v>
      </c>
      <c r="AV51" s="13" t="str">
        <f t="shared" si="5"/>
        <v/>
      </c>
      <c r="AY51" s="12">
        <f t="shared" si="6"/>
        <v>0</v>
      </c>
      <c r="AZ51" s="12">
        <f t="shared" si="7"/>
        <v>0</v>
      </c>
      <c r="BA51" s="12">
        <f t="shared" si="7"/>
        <v>0</v>
      </c>
      <c r="BB51" s="12">
        <f t="shared" si="7"/>
        <v>0</v>
      </c>
      <c r="BC51" s="12">
        <f t="shared" si="7"/>
        <v>0</v>
      </c>
      <c r="BD51" s="12">
        <f t="shared" si="8"/>
        <v>0</v>
      </c>
    </row>
    <row r="52" spans="1:56" ht="15" customHeight="1" x14ac:dyDescent="0.25">
      <c r="A52" s="137" t="s">
        <v>258</v>
      </c>
      <c r="B52" s="137" t="s">
        <v>260</v>
      </c>
      <c r="C52" s="137">
        <v>2018</v>
      </c>
      <c r="D52" s="137" t="s">
        <v>53</v>
      </c>
      <c r="E52" s="137" t="s">
        <v>53</v>
      </c>
      <c r="F52" s="137" t="s">
        <v>53</v>
      </c>
      <c r="G52" s="137" t="s">
        <v>53</v>
      </c>
      <c r="H52" s="137" t="s">
        <v>53</v>
      </c>
      <c r="I52" s="137" t="s">
        <v>53</v>
      </c>
      <c r="J52" s="137" t="s">
        <v>53</v>
      </c>
      <c r="K52" s="137" t="s">
        <v>53</v>
      </c>
      <c r="L52" s="137" t="s">
        <v>53</v>
      </c>
      <c r="M52" s="137" t="s">
        <v>53</v>
      </c>
      <c r="N52" s="137" t="s">
        <v>53</v>
      </c>
      <c r="O52" s="137" t="s">
        <v>53</v>
      </c>
      <c r="P52" s="137" t="s">
        <v>53</v>
      </c>
      <c r="Q52" s="137" t="s">
        <v>53</v>
      </c>
      <c r="R52" s="137" t="s">
        <v>53</v>
      </c>
      <c r="S52" s="137" t="s">
        <v>53</v>
      </c>
      <c r="T52" s="137" t="s">
        <v>53</v>
      </c>
      <c r="U52" s="137" t="s">
        <v>53</v>
      </c>
      <c r="V52" s="137" t="s">
        <v>53</v>
      </c>
      <c r="W52" s="137" t="s">
        <v>53</v>
      </c>
      <c r="X52" s="137" t="s">
        <v>53</v>
      </c>
      <c r="Y52" s="137" t="s">
        <v>53</v>
      </c>
      <c r="Z52" s="137" t="s">
        <v>53</v>
      </c>
      <c r="AA52" s="137" t="s">
        <v>53</v>
      </c>
      <c r="AB52" s="137" t="s">
        <v>53</v>
      </c>
      <c r="AC52" s="137" t="s">
        <v>53</v>
      </c>
      <c r="AD52" s="137" t="s">
        <v>53</v>
      </c>
      <c r="AE52" s="137" t="s">
        <v>53</v>
      </c>
      <c r="AF52" s="137" t="s">
        <v>53</v>
      </c>
      <c r="AG52" s="137" t="s">
        <v>53</v>
      </c>
      <c r="AH52" s="137" t="s">
        <v>53</v>
      </c>
      <c r="AI52" s="137" t="s">
        <v>53</v>
      </c>
      <c r="AJ52" s="137" t="s">
        <v>53</v>
      </c>
      <c r="AK52" s="137" t="s">
        <v>53</v>
      </c>
      <c r="AL52" s="137" t="s">
        <v>53</v>
      </c>
      <c r="AM52" s="137" t="s">
        <v>53</v>
      </c>
      <c r="AN52" s="137" t="s">
        <v>53</v>
      </c>
      <c r="AO52" s="137" t="s">
        <v>53</v>
      </c>
      <c r="AQ52" s="12">
        <f t="shared" si="2"/>
        <v>0</v>
      </c>
      <c r="AR52" s="12">
        <f t="shared" si="0"/>
        <v>0</v>
      </c>
      <c r="AT52" s="12">
        <f t="shared" si="3"/>
        <v>0</v>
      </c>
      <c r="AU52" s="12">
        <f t="shared" si="4"/>
        <v>0</v>
      </c>
      <c r="AV52" s="13" t="str">
        <f t="shared" si="5"/>
        <v/>
      </c>
      <c r="AY52" s="12">
        <f t="shared" si="6"/>
        <v>0</v>
      </c>
      <c r="AZ52" s="12">
        <f t="shared" si="7"/>
        <v>0</v>
      </c>
      <c r="BA52" s="12">
        <f t="shared" si="7"/>
        <v>0</v>
      </c>
      <c r="BB52" s="12">
        <f t="shared" si="7"/>
        <v>0</v>
      </c>
      <c r="BC52" s="12">
        <f t="shared" si="7"/>
        <v>0</v>
      </c>
      <c r="BD52" s="12">
        <f t="shared" si="8"/>
        <v>0</v>
      </c>
    </row>
    <row r="53" spans="1:56" ht="15" customHeight="1" x14ac:dyDescent="0.25">
      <c r="A53" s="137" t="s">
        <v>258</v>
      </c>
      <c r="B53" s="137" t="s">
        <v>261</v>
      </c>
      <c r="C53" s="137">
        <v>2018</v>
      </c>
      <c r="D53" s="137" t="s">
        <v>193</v>
      </c>
      <c r="E53" s="137" t="s">
        <v>193</v>
      </c>
      <c r="F53" s="137" t="s">
        <v>193</v>
      </c>
      <c r="G53" s="137" t="s">
        <v>193</v>
      </c>
      <c r="H53" s="137" t="s">
        <v>193</v>
      </c>
      <c r="I53" s="137" t="s">
        <v>193</v>
      </c>
      <c r="J53" s="137" t="s">
        <v>193</v>
      </c>
      <c r="K53" s="137" t="s">
        <v>193</v>
      </c>
      <c r="L53" s="137" t="s">
        <v>193</v>
      </c>
      <c r="M53" s="137" t="s">
        <v>193</v>
      </c>
      <c r="N53" s="137" t="s">
        <v>193</v>
      </c>
      <c r="O53" s="137" t="s">
        <v>193</v>
      </c>
      <c r="P53" s="137" t="s">
        <v>193</v>
      </c>
      <c r="Q53" s="137" t="s">
        <v>193</v>
      </c>
      <c r="R53" s="137" t="s">
        <v>193</v>
      </c>
      <c r="S53" s="137" t="s">
        <v>193</v>
      </c>
      <c r="T53" s="137" t="s">
        <v>193</v>
      </c>
      <c r="U53" s="137" t="s">
        <v>193</v>
      </c>
      <c r="V53" s="137" t="s">
        <v>193</v>
      </c>
      <c r="W53" s="137" t="s">
        <v>193</v>
      </c>
      <c r="X53" s="137" t="s">
        <v>193</v>
      </c>
      <c r="Y53" s="137" t="s">
        <v>193</v>
      </c>
      <c r="Z53" s="137" t="s">
        <v>193</v>
      </c>
      <c r="AA53" s="137" t="s">
        <v>193</v>
      </c>
      <c r="AB53" s="137" t="s">
        <v>193</v>
      </c>
      <c r="AC53" s="137" t="s">
        <v>193</v>
      </c>
      <c r="AD53" s="137" t="s">
        <v>193</v>
      </c>
      <c r="AE53" s="137" t="s">
        <v>193</v>
      </c>
      <c r="AF53" s="137" t="s">
        <v>193</v>
      </c>
      <c r="AG53" s="137" t="s">
        <v>193</v>
      </c>
      <c r="AH53" s="137" t="s">
        <v>199</v>
      </c>
      <c r="AI53" s="137" t="s">
        <v>193</v>
      </c>
      <c r="AJ53" s="137" t="s">
        <v>193</v>
      </c>
      <c r="AK53" s="137" t="s">
        <v>193</v>
      </c>
      <c r="AL53" s="137" t="s">
        <v>193</v>
      </c>
      <c r="AM53" s="137" t="s">
        <v>193</v>
      </c>
      <c r="AN53" s="137" t="s">
        <v>193</v>
      </c>
      <c r="AO53" s="137" t="s">
        <v>193</v>
      </c>
      <c r="AQ53" s="12">
        <f t="shared" si="2"/>
        <v>0</v>
      </c>
      <c r="AR53" s="12">
        <f t="shared" si="0"/>
        <v>0</v>
      </c>
      <c r="AT53" s="12">
        <f t="shared" si="3"/>
        <v>0</v>
      </c>
      <c r="AU53" s="12">
        <f t="shared" si="4"/>
        <v>0</v>
      </c>
      <c r="AV53" s="13" t="str">
        <f t="shared" si="5"/>
        <v/>
      </c>
      <c r="AY53" s="12">
        <f t="shared" si="6"/>
        <v>0</v>
      </c>
      <c r="AZ53" s="12">
        <f t="shared" si="7"/>
        <v>0</v>
      </c>
      <c r="BA53" s="12">
        <f t="shared" si="7"/>
        <v>0</v>
      </c>
      <c r="BB53" s="12">
        <f t="shared" si="7"/>
        <v>0</v>
      </c>
      <c r="BC53" s="12">
        <f t="shared" si="7"/>
        <v>0</v>
      </c>
      <c r="BD53" s="12">
        <f t="shared" si="8"/>
        <v>0</v>
      </c>
    </row>
    <row r="54" spans="1:56" ht="15" customHeight="1" x14ac:dyDescent="0.25">
      <c r="A54" s="137" t="s">
        <v>258</v>
      </c>
      <c r="B54" s="137" t="s">
        <v>262</v>
      </c>
      <c r="C54" s="137">
        <v>2018</v>
      </c>
      <c r="D54" s="137" t="s">
        <v>193</v>
      </c>
      <c r="E54" s="137" t="s">
        <v>193</v>
      </c>
      <c r="F54" s="137" t="s">
        <v>193</v>
      </c>
      <c r="G54" s="137" t="s">
        <v>193</v>
      </c>
      <c r="H54" s="137" t="s">
        <v>193</v>
      </c>
      <c r="I54" s="137" t="s">
        <v>193</v>
      </c>
      <c r="J54" s="137" t="s">
        <v>193</v>
      </c>
      <c r="K54" s="137" t="s">
        <v>193</v>
      </c>
      <c r="L54" s="137" t="s">
        <v>193</v>
      </c>
      <c r="M54" s="137" t="s">
        <v>193</v>
      </c>
      <c r="N54" s="137" t="s">
        <v>193</v>
      </c>
      <c r="O54" s="137" t="s">
        <v>193</v>
      </c>
      <c r="P54" s="137" t="s">
        <v>193</v>
      </c>
      <c r="Q54" s="137" t="s">
        <v>193</v>
      </c>
      <c r="R54" s="137" t="s">
        <v>193</v>
      </c>
      <c r="S54" s="137" t="s">
        <v>193</v>
      </c>
      <c r="T54" s="137" t="s">
        <v>193</v>
      </c>
      <c r="U54" s="137" t="s">
        <v>193</v>
      </c>
      <c r="V54" s="137" t="s">
        <v>193</v>
      </c>
      <c r="W54" s="137" t="s">
        <v>193</v>
      </c>
      <c r="X54" s="137" t="s">
        <v>193</v>
      </c>
      <c r="Y54" s="137" t="s">
        <v>193</v>
      </c>
      <c r="Z54" s="137" t="s">
        <v>193</v>
      </c>
      <c r="AA54" s="137" t="s">
        <v>193</v>
      </c>
      <c r="AB54" s="137" t="s">
        <v>193</v>
      </c>
      <c r="AC54" s="137" t="s">
        <v>193</v>
      </c>
      <c r="AD54" s="137" t="s">
        <v>193</v>
      </c>
      <c r="AE54" s="137" t="s">
        <v>193</v>
      </c>
      <c r="AF54" s="137" t="s">
        <v>193</v>
      </c>
      <c r="AG54" s="137" t="s">
        <v>193</v>
      </c>
      <c r="AH54" s="137" t="s">
        <v>199</v>
      </c>
      <c r="AI54" s="137" t="s">
        <v>193</v>
      </c>
      <c r="AJ54" s="137" t="s">
        <v>193</v>
      </c>
      <c r="AK54" s="137" t="s">
        <v>193</v>
      </c>
      <c r="AL54" s="137" t="s">
        <v>193</v>
      </c>
      <c r="AM54" s="137" t="s">
        <v>193</v>
      </c>
      <c r="AN54" s="137" t="s">
        <v>193</v>
      </c>
      <c r="AO54" s="137" t="s">
        <v>193</v>
      </c>
      <c r="AQ54" s="12">
        <f t="shared" si="2"/>
        <v>0</v>
      </c>
      <c r="AR54" s="12">
        <f t="shared" si="0"/>
        <v>0</v>
      </c>
      <c r="AT54" s="12">
        <f t="shared" si="3"/>
        <v>0</v>
      </c>
      <c r="AU54" s="12">
        <f t="shared" si="4"/>
        <v>0</v>
      </c>
      <c r="AV54" s="13" t="str">
        <f t="shared" si="5"/>
        <v/>
      </c>
      <c r="AY54" s="12">
        <f t="shared" si="6"/>
        <v>0</v>
      </c>
      <c r="AZ54" s="12">
        <f t="shared" si="7"/>
        <v>0</v>
      </c>
      <c r="BA54" s="12">
        <f t="shared" si="7"/>
        <v>0</v>
      </c>
      <c r="BB54" s="12">
        <f t="shared" si="7"/>
        <v>0</v>
      </c>
      <c r="BC54" s="12">
        <f t="shared" si="7"/>
        <v>0</v>
      </c>
      <c r="BD54" s="12">
        <f t="shared" si="8"/>
        <v>0</v>
      </c>
    </row>
    <row r="55" spans="1:56" ht="15" customHeight="1" x14ac:dyDescent="0.25">
      <c r="A55" s="137" t="s">
        <v>263</v>
      </c>
      <c r="B55" s="137" t="s">
        <v>264</v>
      </c>
      <c r="C55" s="137">
        <v>2018</v>
      </c>
      <c r="D55" s="137" t="s">
        <v>193</v>
      </c>
      <c r="E55" s="137" t="s">
        <v>193</v>
      </c>
      <c r="F55" s="137" t="s">
        <v>193</v>
      </c>
      <c r="G55" s="137" t="s">
        <v>193</v>
      </c>
      <c r="H55" s="137" t="s">
        <v>193</v>
      </c>
      <c r="I55" s="137" t="s">
        <v>193</v>
      </c>
      <c r="J55" s="137" t="s">
        <v>193</v>
      </c>
      <c r="K55" s="137" t="s">
        <v>193</v>
      </c>
      <c r="L55" s="137" t="s">
        <v>193</v>
      </c>
      <c r="M55" s="137" t="s">
        <v>193</v>
      </c>
      <c r="N55" s="137" t="s">
        <v>193</v>
      </c>
      <c r="O55" s="137" t="s">
        <v>193</v>
      </c>
      <c r="P55" s="137" t="s">
        <v>193</v>
      </c>
      <c r="Q55" s="137" t="s">
        <v>193</v>
      </c>
      <c r="R55" s="137" t="s">
        <v>193</v>
      </c>
      <c r="S55" s="137" t="s">
        <v>193</v>
      </c>
      <c r="T55" s="137" t="s">
        <v>193</v>
      </c>
      <c r="U55" s="137" t="s">
        <v>193</v>
      </c>
      <c r="V55" s="137" t="s">
        <v>193</v>
      </c>
      <c r="W55" s="137" t="s">
        <v>193</v>
      </c>
      <c r="X55" s="137" t="s">
        <v>193</v>
      </c>
      <c r="Y55" s="137" t="s">
        <v>193</v>
      </c>
      <c r="Z55" s="137" t="s">
        <v>193</v>
      </c>
      <c r="AA55" s="137" t="s">
        <v>193</v>
      </c>
      <c r="AB55" s="137" t="s">
        <v>193</v>
      </c>
      <c r="AC55" s="137" t="s">
        <v>193</v>
      </c>
      <c r="AD55" s="137" t="s">
        <v>193</v>
      </c>
      <c r="AE55" s="137" t="s">
        <v>193</v>
      </c>
      <c r="AF55" s="137" t="s">
        <v>193</v>
      </c>
      <c r="AG55" s="137" t="s">
        <v>193</v>
      </c>
      <c r="AH55" s="137" t="s">
        <v>53</v>
      </c>
      <c r="AI55" s="137" t="s">
        <v>193</v>
      </c>
      <c r="AJ55" s="137" t="s">
        <v>193</v>
      </c>
      <c r="AK55" s="137" t="s">
        <v>193</v>
      </c>
      <c r="AL55" s="137" t="s">
        <v>193</v>
      </c>
      <c r="AM55" s="137" t="s">
        <v>193</v>
      </c>
      <c r="AN55" s="137" t="s">
        <v>193</v>
      </c>
      <c r="AO55" s="137" t="s">
        <v>193</v>
      </c>
      <c r="AQ55" s="12">
        <f t="shared" si="2"/>
        <v>0</v>
      </c>
      <c r="AR55" s="12">
        <f t="shared" si="0"/>
        <v>0</v>
      </c>
      <c r="AT55" s="12">
        <f t="shared" si="3"/>
        <v>0</v>
      </c>
      <c r="AU55" s="12">
        <f t="shared" si="4"/>
        <v>0</v>
      </c>
      <c r="AV55" s="13" t="str">
        <f t="shared" si="5"/>
        <v/>
      </c>
      <c r="AY55" s="12">
        <f t="shared" si="6"/>
        <v>0</v>
      </c>
      <c r="AZ55" s="12">
        <f t="shared" si="7"/>
        <v>0</v>
      </c>
      <c r="BA55" s="12">
        <f t="shared" si="7"/>
        <v>0</v>
      </c>
      <c r="BB55" s="12">
        <f t="shared" si="7"/>
        <v>0</v>
      </c>
      <c r="BC55" s="12">
        <f t="shared" si="7"/>
        <v>0</v>
      </c>
      <c r="BD55" s="12">
        <f t="shared" si="8"/>
        <v>0</v>
      </c>
    </row>
    <row r="56" spans="1:56" ht="15" customHeight="1" x14ac:dyDescent="0.25">
      <c r="A56" s="137" t="s">
        <v>263</v>
      </c>
      <c r="B56" s="137" t="s">
        <v>265</v>
      </c>
      <c r="C56" s="137">
        <v>2018</v>
      </c>
      <c r="D56" s="137" t="s">
        <v>193</v>
      </c>
      <c r="E56" s="137" t="s">
        <v>193</v>
      </c>
      <c r="F56" s="137" t="s">
        <v>193</v>
      </c>
      <c r="G56" s="137" t="s">
        <v>193</v>
      </c>
      <c r="H56" s="137" t="s">
        <v>193</v>
      </c>
      <c r="I56" s="137" t="s">
        <v>193</v>
      </c>
      <c r="J56" s="137" t="s">
        <v>193</v>
      </c>
      <c r="K56" s="137" t="s">
        <v>193</v>
      </c>
      <c r="L56" s="137" t="s">
        <v>193</v>
      </c>
      <c r="M56" s="137" t="s">
        <v>193</v>
      </c>
      <c r="N56" s="137" t="s">
        <v>193</v>
      </c>
      <c r="O56" s="137" t="s">
        <v>193</v>
      </c>
      <c r="P56" s="137" t="s">
        <v>193</v>
      </c>
      <c r="Q56" s="137" t="s">
        <v>193</v>
      </c>
      <c r="R56" s="137" t="s">
        <v>193</v>
      </c>
      <c r="S56" s="137" t="s">
        <v>193</v>
      </c>
      <c r="T56" s="137" t="s">
        <v>193</v>
      </c>
      <c r="U56" s="137" t="s">
        <v>193</v>
      </c>
      <c r="V56" s="137" t="s">
        <v>193</v>
      </c>
      <c r="W56" s="137" t="s">
        <v>193</v>
      </c>
      <c r="X56" s="137" t="s">
        <v>193</v>
      </c>
      <c r="Y56" s="137" t="s">
        <v>193</v>
      </c>
      <c r="Z56" s="137" t="s">
        <v>193</v>
      </c>
      <c r="AA56" s="137" t="s">
        <v>193</v>
      </c>
      <c r="AB56" s="137" t="s">
        <v>193</v>
      </c>
      <c r="AC56" s="137" t="s">
        <v>193</v>
      </c>
      <c r="AD56" s="137" t="s">
        <v>193</v>
      </c>
      <c r="AE56" s="137" t="s">
        <v>193</v>
      </c>
      <c r="AF56" s="137" t="s">
        <v>193</v>
      </c>
      <c r="AG56" s="137" t="s">
        <v>193</v>
      </c>
      <c r="AH56" s="137" t="s">
        <v>53</v>
      </c>
      <c r="AI56" s="137" t="s">
        <v>193</v>
      </c>
      <c r="AJ56" s="137" t="s">
        <v>193</v>
      </c>
      <c r="AK56" s="137" t="s">
        <v>193</v>
      </c>
      <c r="AL56" s="137" t="s">
        <v>193</v>
      </c>
      <c r="AM56" s="137" t="s">
        <v>193</v>
      </c>
      <c r="AN56" s="137" t="s">
        <v>193</v>
      </c>
      <c r="AO56" s="137" t="s">
        <v>193</v>
      </c>
      <c r="AQ56" s="12">
        <f t="shared" si="2"/>
        <v>0</v>
      </c>
      <c r="AR56" s="12">
        <f t="shared" si="0"/>
        <v>0</v>
      </c>
      <c r="AT56" s="12">
        <f t="shared" si="3"/>
        <v>0</v>
      </c>
      <c r="AU56" s="12">
        <f t="shared" si="4"/>
        <v>0</v>
      </c>
      <c r="AV56" s="13" t="str">
        <f t="shared" si="5"/>
        <v/>
      </c>
      <c r="AY56" s="12">
        <f t="shared" si="6"/>
        <v>0</v>
      </c>
      <c r="AZ56" s="12">
        <f t="shared" si="7"/>
        <v>0</v>
      </c>
      <c r="BA56" s="12">
        <f t="shared" si="7"/>
        <v>0</v>
      </c>
      <c r="BB56" s="12">
        <f t="shared" si="7"/>
        <v>0</v>
      </c>
      <c r="BC56" s="12">
        <f t="shared" si="7"/>
        <v>0</v>
      </c>
      <c r="BD56" s="12">
        <f t="shared" si="8"/>
        <v>0</v>
      </c>
    </row>
    <row r="57" spans="1:56" ht="15" customHeight="1" x14ac:dyDescent="0.25">
      <c r="A57" s="137" t="s">
        <v>263</v>
      </c>
      <c r="B57" s="137" t="s">
        <v>266</v>
      </c>
      <c r="C57" s="137">
        <v>2018</v>
      </c>
      <c r="D57" s="137" t="s">
        <v>193</v>
      </c>
      <c r="E57" s="137" t="s">
        <v>193</v>
      </c>
      <c r="F57" s="137" t="s">
        <v>193</v>
      </c>
      <c r="G57" s="137" t="s">
        <v>193</v>
      </c>
      <c r="H57" s="137" t="s">
        <v>193</v>
      </c>
      <c r="I57" s="137" t="s">
        <v>193</v>
      </c>
      <c r="J57" s="137" t="s">
        <v>193</v>
      </c>
      <c r="K57" s="137" t="s">
        <v>193</v>
      </c>
      <c r="L57" s="137" t="s">
        <v>193</v>
      </c>
      <c r="M57" s="137" t="s">
        <v>193</v>
      </c>
      <c r="N57" s="137" t="s">
        <v>193</v>
      </c>
      <c r="O57" s="137" t="s">
        <v>193</v>
      </c>
      <c r="P57" s="137" t="s">
        <v>193</v>
      </c>
      <c r="Q57" s="137" t="s">
        <v>193</v>
      </c>
      <c r="R57" s="137" t="s">
        <v>193</v>
      </c>
      <c r="S57" s="137" t="s">
        <v>193</v>
      </c>
      <c r="T57" s="137" t="s">
        <v>193</v>
      </c>
      <c r="U57" s="137" t="s">
        <v>193</v>
      </c>
      <c r="V57" s="137" t="s">
        <v>193</v>
      </c>
      <c r="W57" s="137" t="s">
        <v>193</v>
      </c>
      <c r="X57" s="137" t="s">
        <v>193</v>
      </c>
      <c r="Y57" s="137" t="s">
        <v>193</v>
      </c>
      <c r="Z57" s="137" t="s">
        <v>193</v>
      </c>
      <c r="AA57" s="137" t="s">
        <v>193</v>
      </c>
      <c r="AB57" s="137" t="s">
        <v>193</v>
      </c>
      <c r="AC57" s="137" t="s">
        <v>193</v>
      </c>
      <c r="AD57" s="137" t="s">
        <v>193</v>
      </c>
      <c r="AE57" s="137" t="s">
        <v>193</v>
      </c>
      <c r="AF57" s="137" t="s">
        <v>193</v>
      </c>
      <c r="AG57" s="137" t="s">
        <v>193</v>
      </c>
      <c r="AH57" s="137" t="s">
        <v>53</v>
      </c>
      <c r="AI57" s="137" t="s">
        <v>193</v>
      </c>
      <c r="AJ57" s="137" t="s">
        <v>193</v>
      </c>
      <c r="AK57" s="137" t="s">
        <v>193</v>
      </c>
      <c r="AL57" s="137" t="s">
        <v>193</v>
      </c>
      <c r="AM57" s="137" t="s">
        <v>193</v>
      </c>
      <c r="AN57" s="137" t="s">
        <v>193</v>
      </c>
      <c r="AO57" s="137" t="s">
        <v>193</v>
      </c>
      <c r="AQ57" s="12">
        <f t="shared" si="2"/>
        <v>0</v>
      </c>
      <c r="AR57" s="12">
        <f t="shared" si="0"/>
        <v>0</v>
      </c>
      <c r="AT57" s="12">
        <f t="shared" si="3"/>
        <v>0</v>
      </c>
      <c r="AU57" s="12">
        <f t="shared" si="4"/>
        <v>0</v>
      </c>
      <c r="AV57" s="13" t="str">
        <f t="shared" si="5"/>
        <v/>
      </c>
      <c r="AY57" s="12">
        <f t="shared" si="6"/>
        <v>0</v>
      </c>
      <c r="AZ57" s="12">
        <f t="shared" si="7"/>
        <v>0</v>
      </c>
      <c r="BA57" s="12">
        <f t="shared" si="7"/>
        <v>0</v>
      </c>
      <c r="BB57" s="12">
        <f t="shared" si="7"/>
        <v>0</v>
      </c>
      <c r="BC57" s="12">
        <f t="shared" si="7"/>
        <v>0</v>
      </c>
      <c r="BD57" s="12">
        <f t="shared" si="8"/>
        <v>0</v>
      </c>
    </row>
    <row r="58" spans="1:56" ht="15" customHeight="1" x14ac:dyDescent="0.25">
      <c r="A58" s="137" t="s">
        <v>263</v>
      </c>
      <c r="B58" s="137" t="s">
        <v>267</v>
      </c>
      <c r="C58" s="137">
        <v>2018</v>
      </c>
      <c r="D58" s="137">
        <v>638</v>
      </c>
      <c r="E58" s="137">
        <v>222</v>
      </c>
      <c r="F58" s="137">
        <v>0</v>
      </c>
      <c r="G58" s="137" t="s">
        <v>193</v>
      </c>
      <c r="H58" s="137" t="s">
        <v>193</v>
      </c>
      <c r="I58" s="137">
        <v>1267.5</v>
      </c>
      <c r="J58" s="137">
        <v>8.5</v>
      </c>
      <c r="K58" s="137">
        <v>1</v>
      </c>
      <c r="L58" s="137" t="s">
        <v>193</v>
      </c>
      <c r="M58" s="137">
        <v>22</v>
      </c>
      <c r="N58" s="137" t="s">
        <v>193</v>
      </c>
      <c r="O58" s="137" t="s">
        <v>193</v>
      </c>
      <c r="P58" s="137" t="s">
        <v>193</v>
      </c>
      <c r="Q58" s="137">
        <v>207</v>
      </c>
      <c r="R58" s="137">
        <v>95</v>
      </c>
      <c r="S58" s="137">
        <v>233</v>
      </c>
      <c r="T58" s="137">
        <v>208</v>
      </c>
      <c r="U58" s="137">
        <v>27</v>
      </c>
      <c r="V58" s="137">
        <v>137</v>
      </c>
      <c r="W58" s="137" t="s">
        <v>194</v>
      </c>
      <c r="X58" s="137" t="s">
        <v>193</v>
      </c>
      <c r="Y58" s="137" t="s">
        <v>193</v>
      </c>
      <c r="Z58" s="137" t="s">
        <v>193</v>
      </c>
      <c r="AA58" s="137" t="s">
        <v>193</v>
      </c>
      <c r="AB58" s="137" t="s">
        <v>193</v>
      </c>
      <c r="AC58" s="137" t="s">
        <v>193</v>
      </c>
      <c r="AD58" s="137" t="s">
        <v>193</v>
      </c>
      <c r="AE58" s="137">
        <v>156</v>
      </c>
      <c r="AF58" s="137" t="s">
        <v>193</v>
      </c>
      <c r="AG58" s="137" t="s">
        <v>193</v>
      </c>
      <c r="AH58" s="137" t="s">
        <v>199</v>
      </c>
      <c r="AI58" s="137" t="s">
        <v>193</v>
      </c>
      <c r="AJ58" s="137" t="s">
        <v>193</v>
      </c>
      <c r="AK58" s="137">
        <v>173</v>
      </c>
      <c r="AL58" s="137" t="s">
        <v>193</v>
      </c>
      <c r="AM58" s="137" t="s">
        <v>193</v>
      </c>
      <c r="AN58" s="137" t="s">
        <v>193</v>
      </c>
      <c r="AO58" s="137" t="s">
        <v>193</v>
      </c>
      <c r="AQ58" s="12">
        <f t="shared" si="2"/>
        <v>1094.5</v>
      </c>
      <c r="AR58" s="12">
        <f t="shared" si="0"/>
        <v>1267.5</v>
      </c>
      <c r="AT58" s="12">
        <f t="shared" si="3"/>
        <v>638</v>
      </c>
      <c r="AU58" s="12">
        <f t="shared" si="4"/>
        <v>222</v>
      </c>
      <c r="AV58" s="13">
        <f t="shared" si="5"/>
        <v>0.67850098619329391</v>
      </c>
      <c r="AY58" s="12">
        <f t="shared" si="6"/>
        <v>173</v>
      </c>
      <c r="AZ58" s="12">
        <f t="shared" si="7"/>
        <v>0</v>
      </c>
      <c r="BA58" s="12">
        <f t="shared" si="7"/>
        <v>0</v>
      </c>
      <c r="BB58" s="12">
        <f t="shared" si="7"/>
        <v>0</v>
      </c>
      <c r="BC58" s="12">
        <f t="shared" si="7"/>
        <v>0</v>
      </c>
      <c r="BD58" s="12">
        <f t="shared" si="8"/>
        <v>173</v>
      </c>
    </row>
    <row r="59" spans="1:56" ht="15" customHeight="1" x14ac:dyDescent="0.25">
      <c r="A59" s="137" t="s">
        <v>263</v>
      </c>
      <c r="B59" s="137" t="s">
        <v>269</v>
      </c>
      <c r="C59" s="137">
        <v>2018</v>
      </c>
      <c r="D59" s="137" t="s">
        <v>193</v>
      </c>
      <c r="E59" s="137" t="s">
        <v>193</v>
      </c>
      <c r="F59" s="137" t="s">
        <v>193</v>
      </c>
      <c r="G59" s="137" t="s">
        <v>193</v>
      </c>
      <c r="H59" s="137" t="s">
        <v>193</v>
      </c>
      <c r="I59" s="137" t="s">
        <v>193</v>
      </c>
      <c r="J59" s="137" t="s">
        <v>193</v>
      </c>
      <c r="K59" s="137" t="s">
        <v>193</v>
      </c>
      <c r="L59" s="137" t="s">
        <v>193</v>
      </c>
      <c r="M59" s="137" t="s">
        <v>193</v>
      </c>
      <c r="N59" s="137" t="s">
        <v>193</v>
      </c>
      <c r="O59" s="137" t="s">
        <v>193</v>
      </c>
      <c r="P59" s="137" t="s">
        <v>193</v>
      </c>
      <c r="Q59" s="137" t="s">
        <v>193</v>
      </c>
      <c r="R59" s="137" t="s">
        <v>193</v>
      </c>
      <c r="S59" s="137" t="s">
        <v>193</v>
      </c>
      <c r="T59" s="137" t="s">
        <v>193</v>
      </c>
      <c r="U59" s="137" t="s">
        <v>193</v>
      </c>
      <c r="V59" s="137" t="s">
        <v>193</v>
      </c>
      <c r="W59" s="137" t="s">
        <v>193</v>
      </c>
      <c r="X59" s="137" t="s">
        <v>193</v>
      </c>
      <c r="Y59" s="137" t="s">
        <v>193</v>
      </c>
      <c r="Z59" s="137" t="s">
        <v>193</v>
      </c>
      <c r="AA59" s="137" t="s">
        <v>193</v>
      </c>
      <c r="AB59" s="137" t="s">
        <v>193</v>
      </c>
      <c r="AC59" s="137" t="s">
        <v>193</v>
      </c>
      <c r="AD59" s="137" t="s">
        <v>193</v>
      </c>
      <c r="AE59" s="137" t="s">
        <v>193</v>
      </c>
      <c r="AF59" s="137" t="s">
        <v>193</v>
      </c>
      <c r="AG59" s="137" t="s">
        <v>193</v>
      </c>
      <c r="AH59" s="137" t="s">
        <v>53</v>
      </c>
      <c r="AI59" s="137" t="s">
        <v>193</v>
      </c>
      <c r="AJ59" s="137" t="s">
        <v>193</v>
      </c>
      <c r="AK59" s="137" t="s">
        <v>193</v>
      </c>
      <c r="AL59" s="137" t="s">
        <v>193</v>
      </c>
      <c r="AM59" s="137" t="s">
        <v>193</v>
      </c>
      <c r="AN59" s="137" t="s">
        <v>193</v>
      </c>
      <c r="AO59" s="137" t="s">
        <v>193</v>
      </c>
      <c r="AQ59" s="12">
        <f t="shared" si="2"/>
        <v>0</v>
      </c>
      <c r="AR59" s="12">
        <f t="shared" si="0"/>
        <v>0</v>
      </c>
      <c r="AT59" s="12">
        <f t="shared" si="3"/>
        <v>0</v>
      </c>
      <c r="AU59" s="12">
        <f t="shared" si="4"/>
        <v>0</v>
      </c>
      <c r="AV59" s="13" t="str">
        <f t="shared" si="5"/>
        <v/>
      </c>
      <c r="AY59" s="12">
        <f t="shared" si="6"/>
        <v>0</v>
      </c>
      <c r="AZ59" s="12">
        <f t="shared" si="7"/>
        <v>0</v>
      </c>
      <c r="BA59" s="12">
        <f t="shared" si="7"/>
        <v>0</v>
      </c>
      <c r="BB59" s="12">
        <f t="shared" si="7"/>
        <v>0</v>
      </c>
      <c r="BC59" s="12">
        <f t="shared" si="7"/>
        <v>0</v>
      </c>
      <c r="BD59" s="12">
        <f t="shared" si="8"/>
        <v>0</v>
      </c>
    </row>
    <row r="60" spans="1:56" ht="15" customHeight="1" x14ac:dyDescent="0.25">
      <c r="A60" s="137" t="s">
        <v>263</v>
      </c>
      <c r="B60" s="137" t="s">
        <v>270</v>
      </c>
      <c r="C60" s="137">
        <v>2018</v>
      </c>
      <c r="D60" s="137" t="s">
        <v>193</v>
      </c>
      <c r="E60" s="137" t="s">
        <v>193</v>
      </c>
      <c r="F60" s="137" t="s">
        <v>193</v>
      </c>
      <c r="G60" s="137" t="s">
        <v>193</v>
      </c>
      <c r="H60" s="137" t="s">
        <v>193</v>
      </c>
      <c r="I60" s="137" t="s">
        <v>193</v>
      </c>
      <c r="J60" s="137" t="s">
        <v>193</v>
      </c>
      <c r="K60" s="137" t="s">
        <v>193</v>
      </c>
      <c r="L60" s="137" t="s">
        <v>193</v>
      </c>
      <c r="M60" s="137" t="s">
        <v>193</v>
      </c>
      <c r="N60" s="137" t="s">
        <v>193</v>
      </c>
      <c r="O60" s="137" t="s">
        <v>193</v>
      </c>
      <c r="P60" s="137" t="s">
        <v>193</v>
      </c>
      <c r="Q60" s="137" t="s">
        <v>193</v>
      </c>
      <c r="R60" s="137" t="s">
        <v>193</v>
      </c>
      <c r="S60" s="137" t="s">
        <v>193</v>
      </c>
      <c r="T60" s="137" t="s">
        <v>193</v>
      </c>
      <c r="U60" s="137" t="s">
        <v>193</v>
      </c>
      <c r="V60" s="137" t="s">
        <v>193</v>
      </c>
      <c r="W60" s="137" t="s">
        <v>193</v>
      </c>
      <c r="X60" s="137" t="s">
        <v>193</v>
      </c>
      <c r="Y60" s="137" t="s">
        <v>193</v>
      </c>
      <c r="Z60" s="137" t="s">
        <v>193</v>
      </c>
      <c r="AA60" s="137" t="s">
        <v>193</v>
      </c>
      <c r="AB60" s="137" t="s">
        <v>193</v>
      </c>
      <c r="AC60" s="137" t="s">
        <v>193</v>
      </c>
      <c r="AD60" s="137" t="s">
        <v>193</v>
      </c>
      <c r="AE60" s="137" t="s">
        <v>193</v>
      </c>
      <c r="AF60" s="137" t="s">
        <v>193</v>
      </c>
      <c r="AG60" s="137" t="s">
        <v>193</v>
      </c>
      <c r="AH60" s="137" t="s">
        <v>53</v>
      </c>
      <c r="AI60" s="137" t="s">
        <v>193</v>
      </c>
      <c r="AJ60" s="137" t="s">
        <v>193</v>
      </c>
      <c r="AK60" s="137" t="s">
        <v>193</v>
      </c>
      <c r="AL60" s="137" t="s">
        <v>193</v>
      </c>
      <c r="AM60" s="137" t="s">
        <v>193</v>
      </c>
      <c r="AN60" s="137" t="s">
        <v>193</v>
      </c>
      <c r="AO60" s="137" t="s">
        <v>193</v>
      </c>
      <c r="AQ60" s="12">
        <f t="shared" si="2"/>
        <v>0</v>
      </c>
      <c r="AR60" s="12">
        <f t="shared" si="0"/>
        <v>0</v>
      </c>
      <c r="AT60" s="12">
        <f t="shared" si="3"/>
        <v>0</v>
      </c>
      <c r="AU60" s="12">
        <f t="shared" si="4"/>
        <v>0</v>
      </c>
      <c r="AV60" s="13" t="str">
        <f t="shared" si="5"/>
        <v/>
      </c>
      <c r="AY60" s="12">
        <f t="shared" si="6"/>
        <v>0</v>
      </c>
      <c r="AZ60" s="12">
        <f t="shared" si="7"/>
        <v>0</v>
      </c>
      <c r="BA60" s="12">
        <f t="shared" si="7"/>
        <v>0</v>
      </c>
      <c r="BB60" s="12">
        <f t="shared" si="7"/>
        <v>0</v>
      </c>
      <c r="BC60" s="12">
        <f t="shared" si="7"/>
        <v>0</v>
      </c>
      <c r="BD60" s="12">
        <f t="shared" si="8"/>
        <v>0</v>
      </c>
    </row>
    <row r="61" spans="1:56" ht="15" customHeight="1" x14ac:dyDescent="0.25">
      <c r="A61" s="137" t="s">
        <v>263</v>
      </c>
      <c r="B61" s="137" t="s">
        <v>272</v>
      </c>
      <c r="C61" s="137">
        <v>2018</v>
      </c>
      <c r="D61" s="137">
        <v>1897</v>
      </c>
      <c r="E61" s="137">
        <v>425</v>
      </c>
      <c r="F61" s="137" t="s">
        <v>193</v>
      </c>
      <c r="G61" s="137" t="s">
        <v>193</v>
      </c>
      <c r="H61" s="137" t="s">
        <v>193</v>
      </c>
      <c r="I61" s="137">
        <v>2473.6999999999998</v>
      </c>
      <c r="J61" s="137" t="s">
        <v>193</v>
      </c>
      <c r="K61" s="137">
        <v>0.3</v>
      </c>
      <c r="L61" s="137" t="s">
        <v>193</v>
      </c>
      <c r="M61" s="137">
        <v>0.4</v>
      </c>
      <c r="N61" s="137">
        <v>685</v>
      </c>
      <c r="O61" s="137" t="s">
        <v>193</v>
      </c>
      <c r="P61" s="137" t="s">
        <v>193</v>
      </c>
      <c r="Q61" s="137" t="s">
        <v>193</v>
      </c>
      <c r="R61" s="137" t="s">
        <v>193</v>
      </c>
      <c r="S61" s="137" t="s">
        <v>193</v>
      </c>
      <c r="T61" s="137" t="s">
        <v>193</v>
      </c>
      <c r="U61" s="137" t="s">
        <v>193</v>
      </c>
      <c r="V61" s="137" t="s">
        <v>193</v>
      </c>
      <c r="W61" s="137" t="s">
        <v>193</v>
      </c>
      <c r="X61" s="137" t="s">
        <v>193</v>
      </c>
      <c r="Y61" s="137" t="s">
        <v>193</v>
      </c>
      <c r="Z61" s="137" t="s">
        <v>193</v>
      </c>
      <c r="AA61" s="137" t="s">
        <v>193</v>
      </c>
      <c r="AB61" s="137" t="s">
        <v>193</v>
      </c>
      <c r="AC61" s="137" t="s">
        <v>193</v>
      </c>
      <c r="AD61" s="137" t="s">
        <v>193</v>
      </c>
      <c r="AE61" s="137" t="s">
        <v>193</v>
      </c>
      <c r="AF61" s="137">
        <v>1750</v>
      </c>
      <c r="AG61" s="137" t="s">
        <v>193</v>
      </c>
      <c r="AH61" s="137" t="s">
        <v>53</v>
      </c>
      <c r="AI61" s="137" t="s">
        <v>193</v>
      </c>
      <c r="AJ61" s="137" t="s">
        <v>193</v>
      </c>
      <c r="AK61" s="137">
        <v>38</v>
      </c>
      <c r="AL61" s="137" t="s">
        <v>193</v>
      </c>
      <c r="AM61" s="137" t="s">
        <v>193</v>
      </c>
      <c r="AN61" s="137">
        <v>100</v>
      </c>
      <c r="AO61" s="137" t="s">
        <v>193</v>
      </c>
      <c r="AQ61" s="12">
        <f t="shared" si="2"/>
        <v>2435.6999999999998</v>
      </c>
      <c r="AR61" s="12">
        <f t="shared" si="0"/>
        <v>2473.6999999999998</v>
      </c>
      <c r="AT61" s="12">
        <f t="shared" si="3"/>
        <v>1897</v>
      </c>
      <c r="AU61" s="12">
        <f t="shared" si="4"/>
        <v>425</v>
      </c>
      <c r="AV61" s="13">
        <f t="shared" si="5"/>
        <v>0.93867485952217333</v>
      </c>
      <c r="AY61" s="12">
        <f t="shared" si="6"/>
        <v>38</v>
      </c>
      <c r="AZ61" s="12">
        <f t="shared" si="7"/>
        <v>0</v>
      </c>
      <c r="BA61" s="12">
        <f t="shared" si="7"/>
        <v>0</v>
      </c>
      <c r="BB61" s="12">
        <f t="shared" si="7"/>
        <v>38</v>
      </c>
      <c r="BC61" s="12">
        <f t="shared" si="7"/>
        <v>0</v>
      </c>
      <c r="BD61" s="12">
        <f t="shared" si="8"/>
        <v>0</v>
      </c>
    </row>
    <row r="62" spans="1:56" ht="15" customHeight="1" x14ac:dyDescent="0.25">
      <c r="A62" s="137" t="s">
        <v>263</v>
      </c>
      <c r="B62" s="137" t="s">
        <v>273</v>
      </c>
      <c r="C62" s="137">
        <v>2018</v>
      </c>
      <c r="D62" s="137">
        <v>973.4</v>
      </c>
      <c r="E62" s="137">
        <v>349.2</v>
      </c>
      <c r="F62" s="137" t="s">
        <v>193</v>
      </c>
      <c r="G62" s="137" t="s">
        <v>193</v>
      </c>
      <c r="H62" s="137" t="s">
        <v>193</v>
      </c>
      <c r="I62" s="137">
        <v>1576.4</v>
      </c>
      <c r="J62" s="137">
        <v>107.7</v>
      </c>
      <c r="K62" s="137">
        <v>1.6</v>
      </c>
      <c r="L62" s="137" t="s">
        <v>193</v>
      </c>
      <c r="M62" s="137" t="s">
        <v>193</v>
      </c>
      <c r="N62" s="137" t="s">
        <v>193</v>
      </c>
      <c r="O62" s="137" t="s">
        <v>193</v>
      </c>
      <c r="P62" s="137" t="s">
        <v>193</v>
      </c>
      <c r="Q62" s="137">
        <v>74.400000000000006</v>
      </c>
      <c r="R62" s="137" t="s">
        <v>193</v>
      </c>
      <c r="S62" s="137" t="s">
        <v>193</v>
      </c>
      <c r="T62" s="137" t="s">
        <v>193</v>
      </c>
      <c r="U62" s="137" t="s">
        <v>193</v>
      </c>
      <c r="V62" s="137" t="s">
        <v>193</v>
      </c>
      <c r="W62" s="137" t="s">
        <v>194</v>
      </c>
      <c r="X62" s="137" t="s">
        <v>193</v>
      </c>
      <c r="Y62" s="137" t="s">
        <v>193</v>
      </c>
      <c r="Z62" s="137" t="s">
        <v>193</v>
      </c>
      <c r="AA62" s="137">
        <v>98.1</v>
      </c>
      <c r="AB62" s="137" t="s">
        <v>193</v>
      </c>
      <c r="AC62" s="137" t="s">
        <v>193</v>
      </c>
      <c r="AD62" s="137" t="s">
        <v>193</v>
      </c>
      <c r="AE62" s="137" t="s">
        <v>193</v>
      </c>
      <c r="AF62" s="137">
        <v>1223.4000000000001</v>
      </c>
      <c r="AG62" s="137">
        <v>10</v>
      </c>
      <c r="AH62" s="137" t="s">
        <v>53</v>
      </c>
      <c r="AI62" s="137" t="s">
        <v>193</v>
      </c>
      <c r="AJ62" s="137" t="s">
        <v>193</v>
      </c>
      <c r="AK62" s="137">
        <v>71.2</v>
      </c>
      <c r="AL62" s="137">
        <v>100</v>
      </c>
      <c r="AM62" s="137" t="s">
        <v>193</v>
      </c>
      <c r="AN62" s="137" t="s">
        <v>193</v>
      </c>
      <c r="AO62" s="137" t="s">
        <v>193</v>
      </c>
      <c r="AQ62" s="12">
        <f t="shared" si="2"/>
        <v>1505.2</v>
      </c>
      <c r="AR62" s="12">
        <f t="shared" si="0"/>
        <v>1576.4</v>
      </c>
      <c r="AT62" s="12">
        <f t="shared" si="3"/>
        <v>973.4</v>
      </c>
      <c r="AU62" s="12">
        <f t="shared" si="4"/>
        <v>349.2</v>
      </c>
      <c r="AV62" s="13">
        <f t="shared" si="5"/>
        <v>0.83900025374270482</v>
      </c>
      <c r="AY62" s="12">
        <f t="shared" si="6"/>
        <v>71.2</v>
      </c>
      <c r="AZ62" s="12">
        <f t="shared" si="7"/>
        <v>71.2</v>
      </c>
      <c r="BA62" s="12">
        <f t="shared" si="7"/>
        <v>0</v>
      </c>
      <c r="BB62" s="12">
        <f t="shared" si="7"/>
        <v>0</v>
      </c>
      <c r="BC62" s="12">
        <f t="shared" si="7"/>
        <v>0</v>
      </c>
      <c r="BD62" s="12">
        <f t="shared" si="8"/>
        <v>0</v>
      </c>
    </row>
    <row r="63" spans="1:56" ht="15" customHeight="1" x14ac:dyDescent="0.25">
      <c r="A63" s="137" t="s">
        <v>263</v>
      </c>
      <c r="B63" s="137" t="s">
        <v>274</v>
      </c>
      <c r="C63" s="137">
        <v>2018</v>
      </c>
      <c r="D63" s="137" t="s">
        <v>193</v>
      </c>
      <c r="E63" s="137" t="s">
        <v>193</v>
      </c>
      <c r="F63" s="137" t="s">
        <v>193</v>
      </c>
      <c r="G63" s="137" t="s">
        <v>193</v>
      </c>
      <c r="H63" s="137" t="s">
        <v>193</v>
      </c>
      <c r="I63" s="137" t="s">
        <v>193</v>
      </c>
      <c r="J63" s="137" t="s">
        <v>193</v>
      </c>
      <c r="K63" s="137" t="s">
        <v>193</v>
      </c>
      <c r="L63" s="137" t="s">
        <v>193</v>
      </c>
      <c r="M63" s="137" t="s">
        <v>193</v>
      </c>
      <c r="N63" s="137" t="s">
        <v>193</v>
      </c>
      <c r="O63" s="137" t="s">
        <v>193</v>
      </c>
      <c r="P63" s="137" t="s">
        <v>193</v>
      </c>
      <c r="Q63" s="137" t="s">
        <v>193</v>
      </c>
      <c r="R63" s="137" t="s">
        <v>193</v>
      </c>
      <c r="S63" s="137" t="s">
        <v>193</v>
      </c>
      <c r="T63" s="137" t="s">
        <v>193</v>
      </c>
      <c r="U63" s="137" t="s">
        <v>193</v>
      </c>
      <c r="V63" s="137" t="s">
        <v>193</v>
      </c>
      <c r="W63" s="137" t="s">
        <v>193</v>
      </c>
      <c r="X63" s="137" t="s">
        <v>193</v>
      </c>
      <c r="Y63" s="137" t="s">
        <v>193</v>
      </c>
      <c r="Z63" s="137" t="s">
        <v>193</v>
      </c>
      <c r="AA63" s="137" t="s">
        <v>193</v>
      </c>
      <c r="AB63" s="137" t="s">
        <v>193</v>
      </c>
      <c r="AC63" s="137" t="s">
        <v>193</v>
      </c>
      <c r="AD63" s="137" t="s">
        <v>193</v>
      </c>
      <c r="AE63" s="137" t="s">
        <v>193</v>
      </c>
      <c r="AF63" s="137" t="s">
        <v>193</v>
      </c>
      <c r="AG63" s="137" t="s">
        <v>193</v>
      </c>
      <c r="AH63" s="137" t="s">
        <v>53</v>
      </c>
      <c r="AI63" s="137" t="s">
        <v>193</v>
      </c>
      <c r="AJ63" s="137" t="s">
        <v>193</v>
      </c>
      <c r="AK63" s="137" t="s">
        <v>193</v>
      </c>
      <c r="AL63" s="137" t="s">
        <v>193</v>
      </c>
      <c r="AM63" s="137" t="s">
        <v>193</v>
      </c>
      <c r="AN63" s="137" t="s">
        <v>193</v>
      </c>
      <c r="AO63" s="137" t="s">
        <v>193</v>
      </c>
      <c r="AQ63" s="12">
        <f t="shared" si="2"/>
        <v>0</v>
      </c>
      <c r="AR63" s="12">
        <f t="shared" si="0"/>
        <v>0</v>
      </c>
      <c r="AT63" s="12">
        <f t="shared" si="3"/>
        <v>0</v>
      </c>
      <c r="AU63" s="12">
        <f t="shared" si="4"/>
        <v>0</v>
      </c>
      <c r="AV63" s="13" t="str">
        <f t="shared" si="5"/>
        <v/>
      </c>
      <c r="AY63" s="12">
        <f t="shared" si="6"/>
        <v>0</v>
      </c>
      <c r="AZ63" s="12">
        <f t="shared" si="7"/>
        <v>0</v>
      </c>
      <c r="BA63" s="12">
        <f t="shared" si="7"/>
        <v>0</v>
      </c>
      <c r="BB63" s="12">
        <f t="shared" si="7"/>
        <v>0</v>
      </c>
      <c r="BC63" s="12">
        <f t="shared" si="7"/>
        <v>0</v>
      </c>
      <c r="BD63" s="12">
        <f t="shared" si="8"/>
        <v>0</v>
      </c>
    </row>
    <row r="64" spans="1:56" ht="15" customHeight="1" x14ac:dyDescent="0.25">
      <c r="A64" s="137" t="s">
        <v>263</v>
      </c>
      <c r="B64" s="137" t="s">
        <v>275</v>
      </c>
      <c r="C64" s="137">
        <v>2018</v>
      </c>
      <c r="D64" s="137" t="s">
        <v>193</v>
      </c>
      <c r="E64" s="137" t="s">
        <v>193</v>
      </c>
      <c r="F64" s="137" t="s">
        <v>193</v>
      </c>
      <c r="G64" s="137" t="s">
        <v>193</v>
      </c>
      <c r="H64" s="137" t="s">
        <v>193</v>
      </c>
      <c r="I64" s="137" t="s">
        <v>193</v>
      </c>
      <c r="J64" s="137" t="s">
        <v>193</v>
      </c>
      <c r="K64" s="137" t="s">
        <v>193</v>
      </c>
      <c r="L64" s="137" t="s">
        <v>193</v>
      </c>
      <c r="M64" s="137" t="s">
        <v>193</v>
      </c>
      <c r="N64" s="137" t="s">
        <v>193</v>
      </c>
      <c r="O64" s="137" t="s">
        <v>193</v>
      </c>
      <c r="P64" s="137" t="s">
        <v>193</v>
      </c>
      <c r="Q64" s="137" t="s">
        <v>193</v>
      </c>
      <c r="R64" s="137" t="s">
        <v>193</v>
      </c>
      <c r="S64" s="137" t="s">
        <v>193</v>
      </c>
      <c r="T64" s="137" t="s">
        <v>193</v>
      </c>
      <c r="U64" s="137" t="s">
        <v>193</v>
      </c>
      <c r="V64" s="137" t="s">
        <v>193</v>
      </c>
      <c r="W64" s="137" t="s">
        <v>193</v>
      </c>
      <c r="X64" s="137" t="s">
        <v>193</v>
      </c>
      <c r="Y64" s="137" t="s">
        <v>193</v>
      </c>
      <c r="Z64" s="137" t="s">
        <v>193</v>
      </c>
      <c r="AA64" s="137" t="s">
        <v>193</v>
      </c>
      <c r="AB64" s="137" t="s">
        <v>193</v>
      </c>
      <c r="AC64" s="137" t="s">
        <v>193</v>
      </c>
      <c r="AD64" s="137" t="s">
        <v>193</v>
      </c>
      <c r="AE64" s="137" t="s">
        <v>193</v>
      </c>
      <c r="AF64" s="137" t="s">
        <v>193</v>
      </c>
      <c r="AG64" s="137" t="s">
        <v>193</v>
      </c>
      <c r="AH64" s="137" t="s">
        <v>53</v>
      </c>
      <c r="AI64" s="137" t="s">
        <v>193</v>
      </c>
      <c r="AJ64" s="137" t="s">
        <v>193</v>
      </c>
      <c r="AK64" s="137" t="s">
        <v>193</v>
      </c>
      <c r="AL64" s="137" t="s">
        <v>193</v>
      </c>
      <c r="AM64" s="137" t="s">
        <v>193</v>
      </c>
      <c r="AN64" s="137" t="s">
        <v>193</v>
      </c>
      <c r="AO64" s="137" t="s">
        <v>193</v>
      </c>
      <c r="AQ64" s="12">
        <f t="shared" si="2"/>
        <v>0</v>
      </c>
      <c r="AR64" s="12">
        <f t="shared" si="0"/>
        <v>0</v>
      </c>
      <c r="AT64" s="12">
        <f t="shared" si="3"/>
        <v>0</v>
      </c>
      <c r="AU64" s="12">
        <f t="shared" si="4"/>
        <v>0</v>
      </c>
      <c r="AV64" s="13" t="str">
        <f t="shared" si="5"/>
        <v/>
      </c>
      <c r="AY64" s="12">
        <f t="shared" si="6"/>
        <v>0</v>
      </c>
      <c r="AZ64" s="12">
        <f t="shared" si="7"/>
        <v>0</v>
      </c>
      <c r="BA64" s="12">
        <f t="shared" si="7"/>
        <v>0</v>
      </c>
      <c r="BB64" s="12">
        <f t="shared" si="7"/>
        <v>0</v>
      </c>
      <c r="BC64" s="12">
        <f t="shared" si="7"/>
        <v>0</v>
      </c>
      <c r="BD64" s="12">
        <f t="shared" si="8"/>
        <v>0</v>
      </c>
    </row>
    <row r="65" spans="1:56" ht="15" customHeight="1" x14ac:dyDescent="0.25">
      <c r="A65" s="137" t="s">
        <v>263</v>
      </c>
      <c r="B65" s="137" t="s">
        <v>276</v>
      </c>
      <c r="C65" s="137">
        <v>2018</v>
      </c>
      <c r="D65" s="137" t="s">
        <v>193</v>
      </c>
      <c r="E65" s="137" t="s">
        <v>193</v>
      </c>
      <c r="F65" s="137" t="s">
        <v>193</v>
      </c>
      <c r="G65" s="137" t="s">
        <v>193</v>
      </c>
      <c r="H65" s="137" t="s">
        <v>193</v>
      </c>
      <c r="I65" s="137" t="s">
        <v>193</v>
      </c>
      <c r="J65" s="137" t="s">
        <v>193</v>
      </c>
      <c r="K65" s="137" t="s">
        <v>193</v>
      </c>
      <c r="L65" s="137" t="s">
        <v>193</v>
      </c>
      <c r="M65" s="137" t="s">
        <v>193</v>
      </c>
      <c r="N65" s="137" t="s">
        <v>193</v>
      </c>
      <c r="O65" s="137" t="s">
        <v>193</v>
      </c>
      <c r="P65" s="137" t="s">
        <v>193</v>
      </c>
      <c r="Q65" s="137" t="s">
        <v>193</v>
      </c>
      <c r="R65" s="137" t="s">
        <v>193</v>
      </c>
      <c r="S65" s="137" t="s">
        <v>193</v>
      </c>
      <c r="T65" s="137" t="s">
        <v>193</v>
      </c>
      <c r="U65" s="137" t="s">
        <v>193</v>
      </c>
      <c r="V65" s="137" t="s">
        <v>193</v>
      </c>
      <c r="W65" s="137" t="s">
        <v>193</v>
      </c>
      <c r="X65" s="137" t="s">
        <v>193</v>
      </c>
      <c r="Y65" s="137" t="s">
        <v>193</v>
      </c>
      <c r="Z65" s="137" t="s">
        <v>193</v>
      </c>
      <c r="AA65" s="137" t="s">
        <v>193</v>
      </c>
      <c r="AB65" s="137" t="s">
        <v>193</v>
      </c>
      <c r="AC65" s="137" t="s">
        <v>193</v>
      </c>
      <c r="AD65" s="137" t="s">
        <v>193</v>
      </c>
      <c r="AE65" s="137" t="s">
        <v>193</v>
      </c>
      <c r="AF65" s="137" t="s">
        <v>193</v>
      </c>
      <c r="AG65" s="137" t="s">
        <v>193</v>
      </c>
      <c r="AH65" s="137" t="s">
        <v>53</v>
      </c>
      <c r="AI65" s="137" t="s">
        <v>193</v>
      </c>
      <c r="AJ65" s="137" t="s">
        <v>193</v>
      </c>
      <c r="AK65" s="137" t="s">
        <v>193</v>
      </c>
      <c r="AL65" s="137" t="s">
        <v>193</v>
      </c>
      <c r="AM65" s="137" t="s">
        <v>193</v>
      </c>
      <c r="AN65" s="137" t="s">
        <v>193</v>
      </c>
      <c r="AO65" s="137" t="s">
        <v>193</v>
      </c>
      <c r="AQ65" s="12">
        <f t="shared" si="2"/>
        <v>0</v>
      </c>
      <c r="AR65" s="12">
        <f t="shared" ref="AR65:AR128" si="9">SUMPRODUCT(J65:AF65)+SUMPRODUCT(AJ65:AK65)</f>
        <v>0</v>
      </c>
      <c r="AT65" s="12">
        <f t="shared" si="3"/>
        <v>0</v>
      </c>
      <c r="AU65" s="12">
        <f t="shared" si="4"/>
        <v>0</v>
      </c>
      <c r="AV65" s="13" t="str">
        <f t="shared" si="5"/>
        <v/>
      </c>
      <c r="AY65" s="12">
        <f t="shared" si="6"/>
        <v>0</v>
      </c>
      <c r="AZ65" s="12">
        <f t="shared" si="7"/>
        <v>0</v>
      </c>
      <c r="BA65" s="12">
        <f t="shared" si="7"/>
        <v>0</v>
      </c>
      <c r="BB65" s="12">
        <f t="shared" si="7"/>
        <v>0</v>
      </c>
      <c r="BC65" s="12">
        <f t="shared" si="7"/>
        <v>0</v>
      </c>
      <c r="BD65" s="12">
        <f t="shared" si="8"/>
        <v>0</v>
      </c>
    </row>
    <row r="66" spans="1:56" ht="15" customHeight="1" x14ac:dyDescent="0.25">
      <c r="A66" s="137" t="s">
        <v>277</v>
      </c>
      <c r="B66" s="137" t="s">
        <v>277</v>
      </c>
      <c r="C66" s="137">
        <v>2018</v>
      </c>
      <c r="D66" s="137" t="s">
        <v>53</v>
      </c>
      <c r="E66" s="137" t="s">
        <v>53</v>
      </c>
      <c r="F66" s="137" t="s">
        <v>53</v>
      </c>
      <c r="G66" s="137" t="s">
        <v>53</v>
      </c>
      <c r="H66" s="137" t="s">
        <v>53</v>
      </c>
      <c r="I66" s="137" t="s">
        <v>53</v>
      </c>
      <c r="J66" s="137" t="s">
        <v>53</v>
      </c>
      <c r="K66" s="137" t="s">
        <v>53</v>
      </c>
      <c r="L66" s="137" t="s">
        <v>53</v>
      </c>
      <c r="M66" s="137" t="s">
        <v>53</v>
      </c>
      <c r="N66" s="137" t="s">
        <v>53</v>
      </c>
      <c r="O66" s="137" t="s">
        <v>53</v>
      </c>
      <c r="P66" s="137" t="s">
        <v>53</v>
      </c>
      <c r="Q66" s="137" t="s">
        <v>53</v>
      </c>
      <c r="R66" s="137" t="s">
        <v>53</v>
      </c>
      <c r="S66" s="137" t="s">
        <v>53</v>
      </c>
      <c r="T66" s="137" t="s">
        <v>53</v>
      </c>
      <c r="U66" s="137" t="s">
        <v>53</v>
      </c>
      <c r="V66" s="137" t="s">
        <v>53</v>
      </c>
      <c r="W66" s="137" t="s">
        <v>53</v>
      </c>
      <c r="X66" s="137" t="s">
        <v>53</v>
      </c>
      <c r="Y66" s="137" t="s">
        <v>53</v>
      </c>
      <c r="Z66" s="137" t="s">
        <v>53</v>
      </c>
      <c r="AA66" s="137" t="s">
        <v>53</v>
      </c>
      <c r="AB66" s="137" t="s">
        <v>53</v>
      </c>
      <c r="AC66" s="137" t="s">
        <v>53</v>
      </c>
      <c r="AD66" s="137" t="s">
        <v>53</v>
      </c>
      <c r="AE66" s="137" t="s">
        <v>53</v>
      </c>
      <c r="AF66" s="137" t="s">
        <v>53</v>
      </c>
      <c r="AG66" s="137" t="s">
        <v>53</v>
      </c>
      <c r="AH66" s="137" t="s">
        <v>53</v>
      </c>
      <c r="AI66" s="137" t="s">
        <v>53</v>
      </c>
      <c r="AJ66" s="137" t="s">
        <v>53</v>
      </c>
      <c r="AK66" s="137" t="s">
        <v>53</v>
      </c>
      <c r="AL66" s="137" t="s">
        <v>53</v>
      </c>
      <c r="AM66" s="137" t="s">
        <v>53</v>
      </c>
      <c r="AN66" s="137" t="s">
        <v>53</v>
      </c>
      <c r="AO66" s="137" t="s">
        <v>53</v>
      </c>
      <c r="AQ66" s="12">
        <f t="shared" ref="AQ66:AQ129" si="10">SUMPRODUCT(J66:AF66)+IFERROR(AJ66/1,0)</f>
        <v>0</v>
      </c>
      <c r="AR66" s="12">
        <f t="shared" si="9"/>
        <v>0</v>
      </c>
      <c r="AT66" s="12">
        <f t="shared" ref="AT66:AT129" si="11">IFERROR(D66/1,0)</f>
        <v>0</v>
      </c>
      <c r="AU66" s="12">
        <f t="shared" ref="AU66:AU129" si="12">IFERROR(E66/1,0)</f>
        <v>0</v>
      </c>
      <c r="AV66" s="13" t="str">
        <f t="shared" ref="AV66:AV129" si="13">IFERROR((AT66+AU66)/AR66,"")</f>
        <v/>
      </c>
      <c r="AY66" s="12">
        <f t="shared" ref="AY66:AY129" si="14">IFERROR(AK66/1,0)</f>
        <v>0</v>
      </c>
      <c r="AZ66" s="12">
        <f t="shared" ref="AZ66:BC129" si="15">IFERROR(AL66/100,0)*$AY66</f>
        <v>0</v>
      </c>
      <c r="BA66" s="12">
        <f t="shared" si="15"/>
        <v>0</v>
      </c>
      <c r="BB66" s="12">
        <f t="shared" si="15"/>
        <v>0</v>
      </c>
      <c r="BC66" s="12">
        <f t="shared" si="15"/>
        <v>0</v>
      </c>
      <c r="BD66" s="12">
        <f t="shared" ref="BD66:BD129" si="16">MAX(AY66-SUM(AZ66:BC66),0)</f>
        <v>0</v>
      </c>
    </row>
    <row r="67" spans="1:56" ht="15" customHeight="1" x14ac:dyDescent="0.25">
      <c r="A67" s="137" t="s">
        <v>277</v>
      </c>
      <c r="B67" s="137" t="s">
        <v>278</v>
      </c>
      <c r="C67" s="137">
        <v>2018</v>
      </c>
      <c r="D67" s="137" t="s">
        <v>53</v>
      </c>
      <c r="E67" s="137" t="s">
        <v>53</v>
      </c>
      <c r="F67" s="137" t="s">
        <v>53</v>
      </c>
      <c r="G67" s="137" t="s">
        <v>53</v>
      </c>
      <c r="H67" s="137" t="s">
        <v>53</v>
      </c>
      <c r="I67" s="137" t="s">
        <v>53</v>
      </c>
      <c r="J67" s="137" t="s">
        <v>53</v>
      </c>
      <c r="K67" s="137" t="s">
        <v>53</v>
      </c>
      <c r="L67" s="137" t="s">
        <v>53</v>
      </c>
      <c r="M67" s="137" t="s">
        <v>53</v>
      </c>
      <c r="N67" s="137" t="s">
        <v>53</v>
      </c>
      <c r="O67" s="137" t="s">
        <v>53</v>
      </c>
      <c r="P67" s="137" t="s">
        <v>53</v>
      </c>
      <c r="Q67" s="137" t="s">
        <v>53</v>
      </c>
      <c r="R67" s="137" t="s">
        <v>53</v>
      </c>
      <c r="S67" s="137" t="s">
        <v>53</v>
      </c>
      <c r="T67" s="137" t="s">
        <v>53</v>
      </c>
      <c r="U67" s="137" t="s">
        <v>53</v>
      </c>
      <c r="V67" s="137" t="s">
        <v>53</v>
      </c>
      <c r="W67" s="137" t="s">
        <v>53</v>
      </c>
      <c r="X67" s="137" t="s">
        <v>53</v>
      </c>
      <c r="Y67" s="137" t="s">
        <v>53</v>
      </c>
      <c r="Z67" s="137" t="s">
        <v>53</v>
      </c>
      <c r="AA67" s="137" t="s">
        <v>53</v>
      </c>
      <c r="AB67" s="137" t="s">
        <v>53</v>
      </c>
      <c r="AC67" s="137" t="s">
        <v>53</v>
      </c>
      <c r="AD67" s="137" t="s">
        <v>53</v>
      </c>
      <c r="AE67" s="137" t="s">
        <v>53</v>
      </c>
      <c r="AF67" s="137" t="s">
        <v>53</v>
      </c>
      <c r="AG67" s="137" t="s">
        <v>53</v>
      </c>
      <c r="AH67" s="137" t="s">
        <v>53</v>
      </c>
      <c r="AI67" s="137" t="s">
        <v>53</v>
      </c>
      <c r="AJ67" s="137" t="s">
        <v>53</v>
      </c>
      <c r="AK67" s="137" t="s">
        <v>53</v>
      </c>
      <c r="AL67" s="137" t="s">
        <v>53</v>
      </c>
      <c r="AM67" s="137" t="s">
        <v>53</v>
      </c>
      <c r="AN67" s="137" t="s">
        <v>53</v>
      </c>
      <c r="AO67" s="137" t="s">
        <v>53</v>
      </c>
      <c r="AQ67" s="12">
        <f t="shared" si="10"/>
        <v>0</v>
      </c>
      <c r="AR67" s="12">
        <f t="shared" si="9"/>
        <v>0</v>
      </c>
      <c r="AT67" s="12">
        <f t="shared" si="11"/>
        <v>0</v>
      </c>
      <c r="AU67" s="12">
        <f t="shared" si="12"/>
        <v>0</v>
      </c>
      <c r="AV67" s="13" t="str">
        <f t="shared" si="13"/>
        <v/>
      </c>
      <c r="AY67" s="12">
        <f t="shared" si="14"/>
        <v>0</v>
      </c>
      <c r="AZ67" s="12">
        <f t="shared" si="15"/>
        <v>0</v>
      </c>
      <c r="BA67" s="12">
        <f t="shared" si="15"/>
        <v>0</v>
      </c>
      <c r="BB67" s="12">
        <f t="shared" si="15"/>
        <v>0</v>
      </c>
      <c r="BC67" s="12">
        <f t="shared" si="15"/>
        <v>0</v>
      </c>
      <c r="BD67" s="12">
        <f t="shared" si="16"/>
        <v>0</v>
      </c>
    </row>
    <row r="68" spans="1:56" ht="15" customHeight="1" x14ac:dyDescent="0.25">
      <c r="A68" s="137" t="s">
        <v>279</v>
      </c>
      <c r="B68" s="137" t="s">
        <v>280</v>
      </c>
      <c r="C68" s="137">
        <v>2018</v>
      </c>
      <c r="D68" s="137">
        <v>136</v>
      </c>
      <c r="E68" s="137">
        <v>14.2</v>
      </c>
      <c r="F68" s="137" t="s">
        <v>193</v>
      </c>
      <c r="G68" s="137" t="s">
        <v>193</v>
      </c>
      <c r="H68" s="137" t="s">
        <v>193</v>
      </c>
      <c r="I68" s="137">
        <v>162.81</v>
      </c>
      <c r="J68" s="137" t="s">
        <v>193</v>
      </c>
      <c r="K68" s="137" t="s">
        <v>193</v>
      </c>
      <c r="L68" s="137" t="s">
        <v>193</v>
      </c>
      <c r="M68" s="137" t="s">
        <v>193</v>
      </c>
      <c r="N68" s="137" t="s">
        <v>193</v>
      </c>
      <c r="O68" s="137" t="s">
        <v>193</v>
      </c>
      <c r="P68" s="137" t="s">
        <v>193</v>
      </c>
      <c r="Q68" s="137" t="s">
        <v>193</v>
      </c>
      <c r="R68" s="137" t="s">
        <v>193</v>
      </c>
      <c r="S68" s="137" t="s">
        <v>193</v>
      </c>
      <c r="T68" s="137" t="s">
        <v>193</v>
      </c>
      <c r="U68" s="137" t="s">
        <v>193</v>
      </c>
      <c r="V68" s="137" t="s">
        <v>193</v>
      </c>
      <c r="W68" s="137" t="s">
        <v>193</v>
      </c>
      <c r="X68" s="137" t="s">
        <v>193</v>
      </c>
      <c r="Y68" s="137" t="s">
        <v>193</v>
      </c>
      <c r="Z68" s="137" t="s">
        <v>193</v>
      </c>
      <c r="AA68" s="137" t="s">
        <v>193</v>
      </c>
      <c r="AB68" s="137" t="s">
        <v>193</v>
      </c>
      <c r="AC68" s="137">
        <v>0.31</v>
      </c>
      <c r="AD68" s="137" t="s">
        <v>193</v>
      </c>
      <c r="AE68" s="137" t="s">
        <v>193</v>
      </c>
      <c r="AF68" s="137">
        <v>151</v>
      </c>
      <c r="AG68" s="137" t="s">
        <v>193</v>
      </c>
      <c r="AH68" s="137" t="s">
        <v>195</v>
      </c>
      <c r="AI68" s="137">
        <v>40.5</v>
      </c>
      <c r="AJ68" s="137" t="s">
        <v>193</v>
      </c>
      <c r="AK68" s="137">
        <v>11.5</v>
      </c>
      <c r="AL68" s="137" t="s">
        <v>193</v>
      </c>
      <c r="AM68" s="137" t="s">
        <v>193</v>
      </c>
      <c r="AN68" s="137" t="s">
        <v>193</v>
      </c>
      <c r="AO68" s="137" t="s">
        <v>193</v>
      </c>
      <c r="AQ68" s="12">
        <f t="shared" si="10"/>
        <v>151.31</v>
      </c>
      <c r="AR68" s="12">
        <f t="shared" si="9"/>
        <v>162.81</v>
      </c>
      <c r="AT68" s="12">
        <f t="shared" si="11"/>
        <v>136</v>
      </c>
      <c r="AU68" s="12">
        <f t="shared" si="12"/>
        <v>14.2</v>
      </c>
      <c r="AV68" s="13">
        <f t="shared" si="13"/>
        <v>0.9225477550519009</v>
      </c>
      <c r="AY68" s="12">
        <f t="shared" si="14"/>
        <v>11.5</v>
      </c>
      <c r="AZ68" s="12">
        <f t="shared" si="15"/>
        <v>0</v>
      </c>
      <c r="BA68" s="12">
        <f t="shared" si="15"/>
        <v>0</v>
      </c>
      <c r="BB68" s="12">
        <f t="shared" si="15"/>
        <v>0</v>
      </c>
      <c r="BC68" s="12">
        <f t="shared" si="15"/>
        <v>0</v>
      </c>
      <c r="BD68" s="12">
        <f t="shared" si="16"/>
        <v>11.5</v>
      </c>
    </row>
    <row r="69" spans="1:56" ht="15" customHeight="1" x14ac:dyDescent="0.25">
      <c r="A69" s="137" t="s">
        <v>279</v>
      </c>
      <c r="B69" s="137" t="s">
        <v>281</v>
      </c>
      <c r="C69" s="137">
        <v>2018</v>
      </c>
      <c r="D69" s="137" t="s">
        <v>193</v>
      </c>
      <c r="E69" s="137" t="s">
        <v>193</v>
      </c>
      <c r="F69" s="137" t="s">
        <v>193</v>
      </c>
      <c r="G69" s="137" t="s">
        <v>193</v>
      </c>
      <c r="H69" s="137" t="s">
        <v>193</v>
      </c>
      <c r="I69" s="137" t="s">
        <v>193</v>
      </c>
      <c r="J69" s="137" t="s">
        <v>193</v>
      </c>
      <c r="K69" s="137" t="s">
        <v>193</v>
      </c>
      <c r="L69" s="137" t="s">
        <v>193</v>
      </c>
      <c r="M69" s="137" t="s">
        <v>193</v>
      </c>
      <c r="N69" s="137" t="s">
        <v>193</v>
      </c>
      <c r="O69" s="137" t="s">
        <v>193</v>
      </c>
      <c r="P69" s="137" t="s">
        <v>193</v>
      </c>
      <c r="Q69" s="137" t="s">
        <v>193</v>
      </c>
      <c r="R69" s="137" t="s">
        <v>193</v>
      </c>
      <c r="S69" s="137" t="s">
        <v>193</v>
      </c>
      <c r="T69" s="137" t="s">
        <v>193</v>
      </c>
      <c r="U69" s="137" t="s">
        <v>193</v>
      </c>
      <c r="V69" s="137" t="s">
        <v>193</v>
      </c>
      <c r="W69" s="137" t="s">
        <v>193</v>
      </c>
      <c r="X69" s="137" t="s">
        <v>193</v>
      </c>
      <c r="Y69" s="137" t="s">
        <v>193</v>
      </c>
      <c r="Z69" s="137" t="s">
        <v>193</v>
      </c>
      <c r="AA69" s="137" t="s">
        <v>193</v>
      </c>
      <c r="AB69" s="137" t="s">
        <v>193</v>
      </c>
      <c r="AC69" s="137" t="s">
        <v>193</v>
      </c>
      <c r="AD69" s="137" t="s">
        <v>193</v>
      </c>
      <c r="AE69" s="137" t="s">
        <v>193</v>
      </c>
      <c r="AF69" s="137" t="s">
        <v>193</v>
      </c>
      <c r="AG69" s="137" t="s">
        <v>193</v>
      </c>
      <c r="AH69" s="137" t="s">
        <v>53</v>
      </c>
      <c r="AI69" s="137" t="s">
        <v>193</v>
      </c>
      <c r="AJ69" s="137" t="s">
        <v>193</v>
      </c>
      <c r="AK69" s="137" t="s">
        <v>193</v>
      </c>
      <c r="AL69" s="137" t="s">
        <v>193</v>
      </c>
      <c r="AM69" s="137" t="s">
        <v>193</v>
      </c>
      <c r="AN69" s="137" t="s">
        <v>193</v>
      </c>
      <c r="AO69" s="137" t="s">
        <v>193</v>
      </c>
      <c r="AQ69" s="12">
        <f t="shared" si="10"/>
        <v>0</v>
      </c>
      <c r="AR69" s="12">
        <f t="shared" si="9"/>
        <v>0</v>
      </c>
      <c r="AT69" s="12">
        <f t="shared" si="11"/>
        <v>0</v>
      </c>
      <c r="AU69" s="12">
        <f t="shared" si="12"/>
        <v>0</v>
      </c>
      <c r="AV69" s="13" t="str">
        <f t="shared" si="13"/>
        <v/>
      </c>
      <c r="AY69" s="12">
        <f t="shared" si="14"/>
        <v>0</v>
      </c>
      <c r="AZ69" s="12">
        <f t="shared" si="15"/>
        <v>0</v>
      </c>
      <c r="BA69" s="12">
        <f t="shared" si="15"/>
        <v>0</v>
      </c>
      <c r="BB69" s="12">
        <f t="shared" si="15"/>
        <v>0</v>
      </c>
      <c r="BC69" s="12">
        <f t="shared" si="15"/>
        <v>0</v>
      </c>
      <c r="BD69" s="12">
        <f t="shared" si="16"/>
        <v>0</v>
      </c>
    </row>
    <row r="70" spans="1:56" ht="15" customHeight="1" x14ac:dyDescent="0.25">
      <c r="A70" s="137" t="s">
        <v>279</v>
      </c>
      <c r="B70" s="137" t="s">
        <v>282</v>
      </c>
      <c r="C70" s="137">
        <v>2018</v>
      </c>
      <c r="D70" s="137" t="s">
        <v>193</v>
      </c>
      <c r="E70" s="137" t="s">
        <v>193</v>
      </c>
      <c r="F70" s="137" t="s">
        <v>193</v>
      </c>
      <c r="G70" s="137" t="s">
        <v>193</v>
      </c>
      <c r="H70" s="137" t="s">
        <v>193</v>
      </c>
      <c r="I70" s="137" t="s">
        <v>193</v>
      </c>
      <c r="J70" s="137" t="s">
        <v>193</v>
      </c>
      <c r="K70" s="137" t="s">
        <v>193</v>
      </c>
      <c r="L70" s="137" t="s">
        <v>193</v>
      </c>
      <c r="M70" s="137" t="s">
        <v>193</v>
      </c>
      <c r="N70" s="137" t="s">
        <v>193</v>
      </c>
      <c r="O70" s="137" t="s">
        <v>193</v>
      </c>
      <c r="P70" s="137" t="s">
        <v>193</v>
      </c>
      <c r="Q70" s="137" t="s">
        <v>193</v>
      </c>
      <c r="R70" s="137" t="s">
        <v>193</v>
      </c>
      <c r="S70" s="137" t="s">
        <v>193</v>
      </c>
      <c r="T70" s="137" t="s">
        <v>193</v>
      </c>
      <c r="U70" s="137" t="s">
        <v>193</v>
      </c>
      <c r="V70" s="137" t="s">
        <v>193</v>
      </c>
      <c r="W70" s="137" t="s">
        <v>193</v>
      </c>
      <c r="X70" s="137" t="s">
        <v>193</v>
      </c>
      <c r="Y70" s="137" t="s">
        <v>193</v>
      </c>
      <c r="Z70" s="137" t="s">
        <v>193</v>
      </c>
      <c r="AA70" s="137" t="s">
        <v>193</v>
      </c>
      <c r="AB70" s="137" t="s">
        <v>193</v>
      </c>
      <c r="AC70" s="137" t="s">
        <v>193</v>
      </c>
      <c r="AD70" s="137" t="s">
        <v>193</v>
      </c>
      <c r="AE70" s="137" t="s">
        <v>193</v>
      </c>
      <c r="AF70" s="137" t="s">
        <v>193</v>
      </c>
      <c r="AG70" s="137" t="s">
        <v>193</v>
      </c>
      <c r="AH70" s="137" t="s">
        <v>53</v>
      </c>
      <c r="AI70" s="137" t="s">
        <v>193</v>
      </c>
      <c r="AJ70" s="137" t="s">
        <v>193</v>
      </c>
      <c r="AK70" s="137" t="s">
        <v>193</v>
      </c>
      <c r="AL70" s="137" t="s">
        <v>193</v>
      </c>
      <c r="AM70" s="137" t="s">
        <v>193</v>
      </c>
      <c r="AN70" s="137" t="s">
        <v>193</v>
      </c>
      <c r="AO70" s="137" t="s">
        <v>193</v>
      </c>
      <c r="AQ70" s="12">
        <f t="shared" si="10"/>
        <v>0</v>
      </c>
      <c r="AR70" s="12">
        <f t="shared" si="9"/>
        <v>0</v>
      </c>
      <c r="AT70" s="12">
        <f t="shared" si="11"/>
        <v>0</v>
      </c>
      <c r="AU70" s="12">
        <f t="shared" si="12"/>
        <v>0</v>
      </c>
      <c r="AV70" s="13" t="str">
        <f t="shared" si="13"/>
        <v/>
      </c>
      <c r="AY70" s="12">
        <f t="shared" si="14"/>
        <v>0</v>
      </c>
      <c r="AZ70" s="12">
        <f t="shared" si="15"/>
        <v>0</v>
      </c>
      <c r="BA70" s="12">
        <f t="shared" si="15"/>
        <v>0</v>
      </c>
      <c r="BB70" s="12">
        <f t="shared" si="15"/>
        <v>0</v>
      </c>
      <c r="BC70" s="12">
        <f t="shared" si="15"/>
        <v>0</v>
      </c>
      <c r="BD70" s="12">
        <f t="shared" si="16"/>
        <v>0</v>
      </c>
    </row>
    <row r="71" spans="1:56" ht="15" customHeight="1" x14ac:dyDescent="0.25">
      <c r="A71" s="137" t="s">
        <v>47</v>
      </c>
      <c r="B71" s="141" t="s">
        <v>48</v>
      </c>
      <c r="C71" s="137">
        <v>2018</v>
      </c>
      <c r="D71" s="137" t="s">
        <v>53</v>
      </c>
      <c r="E71" s="137" t="s">
        <v>53</v>
      </c>
      <c r="F71" s="137" t="s">
        <v>53</v>
      </c>
      <c r="G71" s="137" t="s">
        <v>53</v>
      </c>
      <c r="H71" s="137" t="s">
        <v>53</v>
      </c>
      <c r="I71" s="137" t="s">
        <v>53</v>
      </c>
      <c r="J71" s="137" t="s">
        <v>53</v>
      </c>
      <c r="K71" s="137" t="s">
        <v>53</v>
      </c>
      <c r="L71" s="137" t="s">
        <v>53</v>
      </c>
      <c r="M71" s="137" t="s">
        <v>53</v>
      </c>
      <c r="N71" s="137" t="s">
        <v>53</v>
      </c>
      <c r="O71" s="137" t="s">
        <v>53</v>
      </c>
      <c r="P71" s="137" t="s">
        <v>53</v>
      </c>
      <c r="Q71" s="137" t="s">
        <v>53</v>
      </c>
      <c r="R71" s="137" t="s">
        <v>53</v>
      </c>
      <c r="S71" s="137" t="s">
        <v>53</v>
      </c>
      <c r="T71" s="137" t="s">
        <v>53</v>
      </c>
      <c r="U71" s="137" t="s">
        <v>53</v>
      </c>
      <c r="V71" s="137" t="s">
        <v>53</v>
      </c>
      <c r="W71" s="137" t="s">
        <v>53</v>
      </c>
      <c r="X71" s="137" t="s">
        <v>53</v>
      </c>
      <c r="Y71" s="137" t="s">
        <v>53</v>
      </c>
      <c r="Z71" s="137" t="s">
        <v>53</v>
      </c>
      <c r="AA71" s="137" t="s">
        <v>53</v>
      </c>
      <c r="AB71" s="137" t="s">
        <v>53</v>
      </c>
      <c r="AC71" s="137" t="s">
        <v>53</v>
      </c>
      <c r="AD71" s="137" t="s">
        <v>53</v>
      </c>
      <c r="AE71" s="137" t="s">
        <v>53</v>
      </c>
      <c r="AF71" s="137" t="s">
        <v>53</v>
      </c>
      <c r="AG71" s="137" t="s">
        <v>53</v>
      </c>
      <c r="AH71" s="137" t="s">
        <v>53</v>
      </c>
      <c r="AI71" s="137" t="s">
        <v>53</v>
      </c>
      <c r="AJ71" s="137" t="s">
        <v>53</v>
      </c>
      <c r="AK71" s="137" t="s">
        <v>53</v>
      </c>
      <c r="AL71" s="137" t="s">
        <v>53</v>
      </c>
      <c r="AM71" s="137" t="s">
        <v>53</v>
      </c>
      <c r="AN71" s="137" t="s">
        <v>53</v>
      </c>
      <c r="AO71" s="137" t="s">
        <v>53</v>
      </c>
      <c r="AQ71" s="12">
        <f t="shared" si="10"/>
        <v>0</v>
      </c>
      <c r="AR71" s="12">
        <f t="shared" si="9"/>
        <v>0</v>
      </c>
      <c r="AT71" s="12">
        <f t="shared" si="11"/>
        <v>0</v>
      </c>
      <c r="AU71" s="12">
        <f t="shared" si="12"/>
        <v>0</v>
      </c>
      <c r="AV71" s="13" t="str">
        <f t="shared" si="13"/>
        <v/>
      </c>
      <c r="AY71" s="12">
        <f t="shared" si="14"/>
        <v>0</v>
      </c>
      <c r="AZ71" s="12">
        <f t="shared" si="15"/>
        <v>0</v>
      </c>
      <c r="BA71" s="12">
        <f t="shared" si="15"/>
        <v>0</v>
      </c>
      <c r="BB71" s="12">
        <f t="shared" si="15"/>
        <v>0</v>
      </c>
      <c r="BC71" s="12">
        <f t="shared" si="15"/>
        <v>0</v>
      </c>
      <c r="BD71" s="12">
        <f t="shared" si="16"/>
        <v>0</v>
      </c>
    </row>
    <row r="72" spans="1:56" ht="15" customHeight="1" x14ac:dyDescent="0.25">
      <c r="A72" s="137" t="s">
        <v>283</v>
      </c>
      <c r="B72" s="137" t="s">
        <v>284</v>
      </c>
      <c r="C72" s="137">
        <v>2018</v>
      </c>
      <c r="D72" s="137" t="s">
        <v>193</v>
      </c>
      <c r="E72" s="137" t="s">
        <v>193</v>
      </c>
      <c r="F72" s="137" t="s">
        <v>193</v>
      </c>
      <c r="G72" s="137" t="s">
        <v>193</v>
      </c>
      <c r="H72" s="137" t="s">
        <v>193</v>
      </c>
      <c r="I72" s="137" t="s">
        <v>193</v>
      </c>
      <c r="J72" s="137" t="s">
        <v>193</v>
      </c>
      <c r="K72" s="137" t="s">
        <v>193</v>
      </c>
      <c r="L72" s="137" t="s">
        <v>193</v>
      </c>
      <c r="M72" s="137" t="s">
        <v>193</v>
      </c>
      <c r="N72" s="137" t="s">
        <v>193</v>
      </c>
      <c r="O72" s="137" t="s">
        <v>193</v>
      </c>
      <c r="P72" s="137" t="s">
        <v>193</v>
      </c>
      <c r="Q72" s="137" t="s">
        <v>193</v>
      </c>
      <c r="R72" s="137" t="s">
        <v>193</v>
      </c>
      <c r="S72" s="137" t="s">
        <v>193</v>
      </c>
      <c r="T72" s="137" t="s">
        <v>193</v>
      </c>
      <c r="U72" s="137" t="s">
        <v>193</v>
      </c>
      <c r="V72" s="137" t="s">
        <v>193</v>
      </c>
      <c r="W72" s="137" t="s">
        <v>193</v>
      </c>
      <c r="X72" s="137" t="s">
        <v>193</v>
      </c>
      <c r="Y72" s="137" t="s">
        <v>193</v>
      </c>
      <c r="Z72" s="137" t="s">
        <v>193</v>
      </c>
      <c r="AA72" s="137" t="s">
        <v>193</v>
      </c>
      <c r="AB72" s="137" t="s">
        <v>193</v>
      </c>
      <c r="AC72" s="137" t="s">
        <v>193</v>
      </c>
      <c r="AD72" s="137" t="s">
        <v>193</v>
      </c>
      <c r="AE72" s="137" t="s">
        <v>193</v>
      </c>
      <c r="AF72" s="137" t="s">
        <v>193</v>
      </c>
      <c r="AG72" s="137" t="s">
        <v>193</v>
      </c>
      <c r="AH72" s="137" t="s">
        <v>53</v>
      </c>
      <c r="AI72" s="137" t="s">
        <v>193</v>
      </c>
      <c r="AJ72" s="137" t="s">
        <v>193</v>
      </c>
      <c r="AK72" s="137" t="s">
        <v>193</v>
      </c>
      <c r="AL72" s="137" t="s">
        <v>193</v>
      </c>
      <c r="AM72" s="137" t="s">
        <v>193</v>
      </c>
      <c r="AN72" s="137" t="s">
        <v>193</v>
      </c>
      <c r="AO72" s="137" t="s">
        <v>193</v>
      </c>
      <c r="AQ72" s="12">
        <f t="shared" si="10"/>
        <v>0</v>
      </c>
      <c r="AR72" s="12">
        <f t="shared" si="9"/>
        <v>0</v>
      </c>
      <c r="AT72" s="12">
        <f t="shared" si="11"/>
        <v>0</v>
      </c>
      <c r="AU72" s="12">
        <f t="shared" si="12"/>
        <v>0</v>
      </c>
      <c r="AV72" s="13" t="str">
        <f t="shared" si="13"/>
        <v/>
      </c>
      <c r="AY72" s="12">
        <f t="shared" si="14"/>
        <v>0</v>
      </c>
      <c r="AZ72" s="12">
        <f t="shared" si="15"/>
        <v>0</v>
      </c>
      <c r="BA72" s="12">
        <f t="shared" si="15"/>
        <v>0</v>
      </c>
      <c r="BB72" s="12">
        <f t="shared" si="15"/>
        <v>0</v>
      </c>
      <c r="BC72" s="12">
        <f t="shared" si="15"/>
        <v>0</v>
      </c>
      <c r="BD72" s="12">
        <f t="shared" si="16"/>
        <v>0</v>
      </c>
    </row>
    <row r="73" spans="1:56" ht="15" customHeight="1" x14ac:dyDescent="0.25">
      <c r="A73" s="137" t="s">
        <v>285</v>
      </c>
      <c r="B73" s="137" t="s">
        <v>286</v>
      </c>
      <c r="C73" s="137">
        <v>2018</v>
      </c>
      <c r="D73" s="137">
        <v>216</v>
      </c>
      <c r="E73" s="137">
        <v>73.7</v>
      </c>
      <c r="F73" s="137">
        <v>0</v>
      </c>
      <c r="G73" s="137" t="s">
        <v>193</v>
      </c>
      <c r="H73" s="137" t="s">
        <v>193</v>
      </c>
      <c r="I73" s="137">
        <v>371.4</v>
      </c>
      <c r="J73" s="137" t="s">
        <v>193</v>
      </c>
      <c r="K73" s="137">
        <v>1.8</v>
      </c>
      <c r="L73" s="137" t="s">
        <v>193</v>
      </c>
      <c r="M73" s="137" t="s">
        <v>193</v>
      </c>
      <c r="N73" s="137" t="s">
        <v>193</v>
      </c>
      <c r="O73" s="137" t="s">
        <v>193</v>
      </c>
      <c r="P73" s="137" t="s">
        <v>193</v>
      </c>
      <c r="Q73" s="137">
        <v>41</v>
      </c>
      <c r="R73" s="137">
        <v>0</v>
      </c>
      <c r="S73" s="137">
        <v>12</v>
      </c>
      <c r="T73" s="137">
        <v>0</v>
      </c>
      <c r="U73" s="137">
        <v>0</v>
      </c>
      <c r="V73" s="137">
        <v>0</v>
      </c>
      <c r="W73" s="137" t="s">
        <v>193</v>
      </c>
      <c r="X73" s="137" t="s">
        <v>193</v>
      </c>
      <c r="Y73" s="137" t="s">
        <v>193</v>
      </c>
      <c r="Z73" s="137" t="s">
        <v>193</v>
      </c>
      <c r="AA73" s="137">
        <v>294</v>
      </c>
      <c r="AB73" s="137" t="s">
        <v>193</v>
      </c>
      <c r="AC73" s="137" t="s">
        <v>193</v>
      </c>
      <c r="AD73" s="137" t="s">
        <v>193</v>
      </c>
      <c r="AE73" s="137" t="s">
        <v>193</v>
      </c>
      <c r="AF73" s="137" t="s">
        <v>193</v>
      </c>
      <c r="AG73" s="137" t="s">
        <v>193</v>
      </c>
      <c r="AH73" s="137" t="s">
        <v>199</v>
      </c>
      <c r="AI73" s="137" t="s">
        <v>193</v>
      </c>
      <c r="AJ73" s="137" t="s">
        <v>193</v>
      </c>
      <c r="AK73" s="137">
        <v>22.6</v>
      </c>
      <c r="AL73" s="137">
        <v>100</v>
      </c>
      <c r="AM73" s="137" t="s">
        <v>193</v>
      </c>
      <c r="AN73" s="137" t="s">
        <v>193</v>
      </c>
      <c r="AO73" s="137" t="s">
        <v>193</v>
      </c>
      <c r="AQ73" s="12">
        <f t="shared" si="10"/>
        <v>348.8</v>
      </c>
      <c r="AR73" s="12">
        <f t="shared" si="9"/>
        <v>371.40000000000003</v>
      </c>
      <c r="AT73" s="12">
        <f t="shared" si="11"/>
        <v>216</v>
      </c>
      <c r="AU73" s="12">
        <f t="shared" si="12"/>
        <v>73.7</v>
      </c>
      <c r="AV73" s="13">
        <f t="shared" si="13"/>
        <v>0.78002154011847058</v>
      </c>
      <c r="AY73" s="12">
        <f t="shared" si="14"/>
        <v>22.6</v>
      </c>
      <c r="AZ73" s="12">
        <f t="shared" si="15"/>
        <v>22.6</v>
      </c>
      <c r="BA73" s="12">
        <f t="shared" si="15"/>
        <v>0</v>
      </c>
      <c r="BB73" s="12">
        <f t="shared" si="15"/>
        <v>0</v>
      </c>
      <c r="BC73" s="12">
        <f t="shared" si="15"/>
        <v>0</v>
      </c>
      <c r="BD73" s="12">
        <f t="shared" si="16"/>
        <v>0</v>
      </c>
    </row>
    <row r="74" spans="1:56" ht="15" customHeight="1" x14ac:dyDescent="0.25">
      <c r="A74" s="137" t="s">
        <v>289</v>
      </c>
      <c r="B74" s="137" t="s">
        <v>290</v>
      </c>
      <c r="C74" s="137">
        <v>2018</v>
      </c>
      <c r="D74" s="137">
        <v>546.64099999999996</v>
      </c>
      <c r="E74" s="137">
        <v>162.79400000000001</v>
      </c>
      <c r="F74" s="137" t="s">
        <v>193</v>
      </c>
      <c r="G74" s="137" t="s">
        <v>193</v>
      </c>
      <c r="H74" s="137" t="s">
        <v>193</v>
      </c>
      <c r="I74" s="137">
        <v>780.22</v>
      </c>
      <c r="J74" s="137" t="s">
        <v>193</v>
      </c>
      <c r="K74" s="137">
        <v>0.65</v>
      </c>
      <c r="L74" s="137" t="s">
        <v>193</v>
      </c>
      <c r="M74" s="137" t="s">
        <v>193</v>
      </c>
      <c r="N74" s="137" t="s">
        <v>193</v>
      </c>
      <c r="O74" s="137" t="s">
        <v>193</v>
      </c>
      <c r="P74" s="137" t="s">
        <v>193</v>
      </c>
      <c r="Q74" s="137">
        <v>472.13200000000001</v>
      </c>
      <c r="R74" s="137">
        <v>193.68</v>
      </c>
      <c r="S74" s="137" t="s">
        <v>193</v>
      </c>
      <c r="T74" s="137" t="s">
        <v>193</v>
      </c>
      <c r="U74" s="137" t="s">
        <v>193</v>
      </c>
      <c r="V74" s="137" t="s">
        <v>193</v>
      </c>
      <c r="W74" s="137" t="s">
        <v>193</v>
      </c>
      <c r="X74" s="137" t="s">
        <v>193</v>
      </c>
      <c r="Y74" s="137" t="s">
        <v>193</v>
      </c>
      <c r="Z74" s="137" t="s">
        <v>193</v>
      </c>
      <c r="AA74" s="137" t="s">
        <v>193</v>
      </c>
      <c r="AB74" s="137" t="s">
        <v>193</v>
      </c>
      <c r="AC74" s="137" t="s">
        <v>193</v>
      </c>
      <c r="AD74" s="137" t="s">
        <v>193</v>
      </c>
      <c r="AE74" s="137" t="s">
        <v>193</v>
      </c>
      <c r="AF74" s="137" t="s">
        <v>193</v>
      </c>
      <c r="AG74" s="137" t="s">
        <v>193</v>
      </c>
      <c r="AH74" s="137" t="s">
        <v>53</v>
      </c>
      <c r="AI74" s="137" t="s">
        <v>193</v>
      </c>
      <c r="AJ74" s="137" t="s">
        <v>193</v>
      </c>
      <c r="AK74" s="137">
        <v>113.758</v>
      </c>
      <c r="AL74" s="137">
        <v>100</v>
      </c>
      <c r="AM74" s="137" t="s">
        <v>193</v>
      </c>
      <c r="AN74" s="137" t="s">
        <v>193</v>
      </c>
      <c r="AO74" s="137" t="s">
        <v>193</v>
      </c>
      <c r="AQ74" s="12">
        <f t="shared" si="10"/>
        <v>666.46199999999999</v>
      </c>
      <c r="AR74" s="12">
        <f t="shared" si="9"/>
        <v>780.22</v>
      </c>
      <c r="AT74" s="12">
        <f t="shared" si="11"/>
        <v>546.64099999999996</v>
      </c>
      <c r="AU74" s="12">
        <f t="shared" si="12"/>
        <v>162.79400000000001</v>
      </c>
      <c r="AV74" s="13">
        <f t="shared" si="13"/>
        <v>0.90927558893645377</v>
      </c>
      <c r="AY74" s="12">
        <f t="shared" si="14"/>
        <v>113.758</v>
      </c>
      <c r="AZ74" s="12">
        <f t="shared" si="15"/>
        <v>113.758</v>
      </c>
      <c r="BA74" s="12">
        <f t="shared" si="15"/>
        <v>0</v>
      </c>
      <c r="BB74" s="12">
        <f t="shared" si="15"/>
        <v>0</v>
      </c>
      <c r="BC74" s="12">
        <f t="shared" si="15"/>
        <v>0</v>
      </c>
      <c r="BD74" s="12">
        <f t="shared" si="16"/>
        <v>0</v>
      </c>
    </row>
    <row r="75" spans="1:56" ht="15" customHeight="1" x14ac:dyDescent="0.25">
      <c r="A75" s="137" t="s">
        <v>289</v>
      </c>
      <c r="B75" s="137" t="s">
        <v>291</v>
      </c>
      <c r="C75" s="137">
        <v>2018</v>
      </c>
      <c r="D75" s="137" t="s">
        <v>193</v>
      </c>
      <c r="E75" s="137" t="s">
        <v>193</v>
      </c>
      <c r="F75" s="137" t="s">
        <v>193</v>
      </c>
      <c r="G75" s="137" t="s">
        <v>193</v>
      </c>
      <c r="H75" s="137" t="s">
        <v>193</v>
      </c>
      <c r="I75" s="137" t="s">
        <v>193</v>
      </c>
      <c r="J75" s="137" t="s">
        <v>193</v>
      </c>
      <c r="K75" s="137" t="s">
        <v>193</v>
      </c>
      <c r="L75" s="137" t="s">
        <v>193</v>
      </c>
      <c r="M75" s="137" t="s">
        <v>193</v>
      </c>
      <c r="N75" s="137" t="s">
        <v>193</v>
      </c>
      <c r="O75" s="137" t="s">
        <v>193</v>
      </c>
      <c r="P75" s="137" t="s">
        <v>193</v>
      </c>
      <c r="Q75" s="137" t="s">
        <v>193</v>
      </c>
      <c r="R75" s="137" t="s">
        <v>193</v>
      </c>
      <c r="S75" s="137" t="s">
        <v>193</v>
      </c>
      <c r="T75" s="137" t="s">
        <v>193</v>
      </c>
      <c r="U75" s="137" t="s">
        <v>193</v>
      </c>
      <c r="V75" s="137" t="s">
        <v>193</v>
      </c>
      <c r="W75" s="137" t="s">
        <v>193</v>
      </c>
      <c r="X75" s="137" t="s">
        <v>193</v>
      </c>
      <c r="Y75" s="137" t="s">
        <v>193</v>
      </c>
      <c r="Z75" s="137" t="s">
        <v>193</v>
      </c>
      <c r="AA75" s="137" t="s">
        <v>193</v>
      </c>
      <c r="AB75" s="137" t="s">
        <v>193</v>
      </c>
      <c r="AC75" s="137" t="s">
        <v>193</v>
      </c>
      <c r="AD75" s="137" t="s">
        <v>193</v>
      </c>
      <c r="AE75" s="137" t="s">
        <v>193</v>
      </c>
      <c r="AF75" s="137" t="s">
        <v>193</v>
      </c>
      <c r="AG75" s="137" t="s">
        <v>193</v>
      </c>
      <c r="AH75" s="137" t="s">
        <v>53</v>
      </c>
      <c r="AI75" s="137" t="s">
        <v>193</v>
      </c>
      <c r="AJ75" s="137" t="s">
        <v>193</v>
      </c>
      <c r="AK75" s="137" t="s">
        <v>193</v>
      </c>
      <c r="AL75" s="137" t="s">
        <v>193</v>
      </c>
      <c r="AM75" s="137" t="s">
        <v>193</v>
      </c>
      <c r="AN75" s="137" t="s">
        <v>193</v>
      </c>
      <c r="AO75" s="137" t="s">
        <v>193</v>
      </c>
      <c r="AQ75" s="12">
        <f t="shared" si="10"/>
        <v>0</v>
      </c>
      <c r="AR75" s="12">
        <f t="shared" si="9"/>
        <v>0</v>
      </c>
      <c r="AT75" s="12">
        <f t="shared" si="11"/>
        <v>0</v>
      </c>
      <c r="AU75" s="12">
        <f t="shared" si="12"/>
        <v>0</v>
      </c>
      <c r="AV75" s="13" t="str">
        <f t="shared" si="13"/>
        <v/>
      </c>
      <c r="AY75" s="12">
        <f t="shared" si="14"/>
        <v>0</v>
      </c>
      <c r="AZ75" s="12">
        <f t="shared" si="15"/>
        <v>0</v>
      </c>
      <c r="BA75" s="12">
        <f t="shared" si="15"/>
        <v>0</v>
      </c>
      <c r="BB75" s="12">
        <f t="shared" si="15"/>
        <v>0</v>
      </c>
      <c r="BC75" s="12">
        <f t="shared" si="15"/>
        <v>0</v>
      </c>
      <c r="BD75" s="12">
        <f t="shared" si="16"/>
        <v>0</v>
      </c>
    </row>
    <row r="76" spans="1:56" ht="15" customHeight="1" x14ac:dyDescent="0.25">
      <c r="A76" s="137" t="s">
        <v>289</v>
      </c>
      <c r="B76" s="137" t="s">
        <v>292</v>
      </c>
      <c r="C76" s="137">
        <v>2018</v>
      </c>
      <c r="D76" s="137" t="s">
        <v>193</v>
      </c>
      <c r="E76" s="137" t="s">
        <v>193</v>
      </c>
      <c r="F76" s="137" t="s">
        <v>193</v>
      </c>
      <c r="G76" s="137" t="s">
        <v>193</v>
      </c>
      <c r="H76" s="137" t="s">
        <v>193</v>
      </c>
      <c r="I76" s="137" t="s">
        <v>193</v>
      </c>
      <c r="J76" s="137" t="s">
        <v>193</v>
      </c>
      <c r="K76" s="137" t="s">
        <v>193</v>
      </c>
      <c r="L76" s="137" t="s">
        <v>193</v>
      </c>
      <c r="M76" s="137" t="s">
        <v>193</v>
      </c>
      <c r="N76" s="137" t="s">
        <v>193</v>
      </c>
      <c r="O76" s="137" t="s">
        <v>193</v>
      </c>
      <c r="P76" s="137" t="s">
        <v>193</v>
      </c>
      <c r="Q76" s="137" t="s">
        <v>193</v>
      </c>
      <c r="R76" s="137" t="s">
        <v>193</v>
      </c>
      <c r="S76" s="137" t="s">
        <v>193</v>
      </c>
      <c r="T76" s="137" t="s">
        <v>193</v>
      </c>
      <c r="U76" s="137" t="s">
        <v>193</v>
      </c>
      <c r="V76" s="137" t="s">
        <v>193</v>
      </c>
      <c r="W76" s="137" t="s">
        <v>193</v>
      </c>
      <c r="X76" s="137" t="s">
        <v>193</v>
      </c>
      <c r="Y76" s="137" t="s">
        <v>193</v>
      </c>
      <c r="Z76" s="137" t="s">
        <v>193</v>
      </c>
      <c r="AA76" s="137" t="s">
        <v>193</v>
      </c>
      <c r="AB76" s="137" t="s">
        <v>193</v>
      </c>
      <c r="AC76" s="137" t="s">
        <v>193</v>
      </c>
      <c r="AD76" s="137" t="s">
        <v>193</v>
      </c>
      <c r="AE76" s="137" t="s">
        <v>193</v>
      </c>
      <c r="AF76" s="137" t="s">
        <v>193</v>
      </c>
      <c r="AG76" s="137" t="s">
        <v>193</v>
      </c>
      <c r="AH76" s="137" t="s">
        <v>53</v>
      </c>
      <c r="AI76" s="137" t="s">
        <v>193</v>
      </c>
      <c r="AJ76" s="137" t="s">
        <v>193</v>
      </c>
      <c r="AK76" s="137" t="s">
        <v>193</v>
      </c>
      <c r="AL76" s="137" t="s">
        <v>193</v>
      </c>
      <c r="AM76" s="137" t="s">
        <v>193</v>
      </c>
      <c r="AN76" s="137" t="s">
        <v>193</v>
      </c>
      <c r="AO76" s="137" t="s">
        <v>193</v>
      </c>
      <c r="AQ76" s="12">
        <f t="shared" si="10"/>
        <v>0</v>
      </c>
      <c r="AR76" s="12">
        <f t="shared" si="9"/>
        <v>0</v>
      </c>
      <c r="AT76" s="12">
        <f t="shared" si="11"/>
        <v>0</v>
      </c>
      <c r="AU76" s="12">
        <f t="shared" si="12"/>
        <v>0</v>
      </c>
      <c r="AV76" s="13" t="str">
        <f t="shared" si="13"/>
        <v/>
      </c>
      <c r="AY76" s="12">
        <f t="shared" si="14"/>
        <v>0</v>
      </c>
      <c r="AZ76" s="12">
        <f t="shared" si="15"/>
        <v>0</v>
      </c>
      <c r="BA76" s="12">
        <f t="shared" si="15"/>
        <v>0</v>
      </c>
      <c r="BB76" s="12">
        <f t="shared" si="15"/>
        <v>0</v>
      </c>
      <c r="BC76" s="12">
        <f t="shared" si="15"/>
        <v>0</v>
      </c>
      <c r="BD76" s="12">
        <f t="shared" si="16"/>
        <v>0</v>
      </c>
    </row>
    <row r="77" spans="1:56" ht="15" customHeight="1" x14ac:dyDescent="0.25">
      <c r="A77" s="137" t="s">
        <v>293</v>
      </c>
      <c r="B77" s="137" t="s">
        <v>294</v>
      </c>
      <c r="C77" s="137">
        <v>2018</v>
      </c>
      <c r="D77" s="137">
        <v>86.8</v>
      </c>
      <c r="E77" s="137">
        <v>9.3000000000000007</v>
      </c>
      <c r="F77" s="137" t="s">
        <v>193</v>
      </c>
      <c r="G77" s="137" t="s">
        <v>193</v>
      </c>
      <c r="H77" s="137" t="s">
        <v>193</v>
      </c>
      <c r="I77" s="137">
        <v>154.6</v>
      </c>
      <c r="J77" s="137" t="s">
        <v>193</v>
      </c>
      <c r="K77" s="137" t="s">
        <v>193</v>
      </c>
      <c r="L77" s="137" t="s">
        <v>193</v>
      </c>
      <c r="M77" s="137" t="s">
        <v>193</v>
      </c>
      <c r="N77" s="137" t="s">
        <v>193</v>
      </c>
      <c r="O77" s="137" t="s">
        <v>193</v>
      </c>
      <c r="P77" s="137" t="s">
        <v>193</v>
      </c>
      <c r="Q77" s="137">
        <v>74.099999999999994</v>
      </c>
      <c r="R77" s="137">
        <v>8.8000000000000007</v>
      </c>
      <c r="S77" s="137">
        <v>31</v>
      </c>
      <c r="T77" s="137" t="s">
        <v>193</v>
      </c>
      <c r="U77" s="137" t="s">
        <v>193</v>
      </c>
      <c r="V77" s="137">
        <v>16.100000000000001</v>
      </c>
      <c r="W77" s="137" t="s">
        <v>194</v>
      </c>
      <c r="X77" s="137" t="s">
        <v>193</v>
      </c>
      <c r="Y77" s="137">
        <v>0</v>
      </c>
      <c r="Z77" s="137" t="s">
        <v>193</v>
      </c>
      <c r="AA77" s="137" t="s">
        <v>193</v>
      </c>
      <c r="AB77" s="137" t="s">
        <v>193</v>
      </c>
      <c r="AC77" s="137">
        <v>0.3</v>
      </c>
      <c r="AD77" s="137" t="s">
        <v>193</v>
      </c>
      <c r="AE77" s="137" t="s">
        <v>193</v>
      </c>
      <c r="AF77" s="137" t="s">
        <v>193</v>
      </c>
      <c r="AG77" s="137" t="s">
        <v>193</v>
      </c>
      <c r="AH77" s="137" t="s">
        <v>199</v>
      </c>
      <c r="AI77" s="137" t="s">
        <v>193</v>
      </c>
      <c r="AJ77" s="137" t="s">
        <v>193</v>
      </c>
      <c r="AK77" s="137">
        <v>24.3</v>
      </c>
      <c r="AL77" s="137">
        <v>100</v>
      </c>
      <c r="AM77" s="137" t="s">
        <v>193</v>
      </c>
      <c r="AN77" s="137" t="s">
        <v>193</v>
      </c>
      <c r="AO77" s="137" t="s">
        <v>193</v>
      </c>
      <c r="AQ77" s="12">
        <f t="shared" si="10"/>
        <v>130.30000000000001</v>
      </c>
      <c r="AR77" s="12">
        <f t="shared" si="9"/>
        <v>154.60000000000002</v>
      </c>
      <c r="AT77" s="12">
        <f t="shared" si="11"/>
        <v>86.8</v>
      </c>
      <c r="AU77" s="12">
        <f t="shared" si="12"/>
        <v>9.3000000000000007</v>
      </c>
      <c r="AV77" s="13">
        <f t="shared" si="13"/>
        <v>0.62160413971539441</v>
      </c>
      <c r="AY77" s="12">
        <f t="shared" si="14"/>
        <v>24.3</v>
      </c>
      <c r="AZ77" s="12">
        <f t="shared" si="15"/>
        <v>24.3</v>
      </c>
      <c r="BA77" s="12">
        <f t="shared" si="15"/>
        <v>0</v>
      </c>
      <c r="BB77" s="12">
        <f t="shared" si="15"/>
        <v>0</v>
      </c>
      <c r="BC77" s="12">
        <f t="shared" si="15"/>
        <v>0</v>
      </c>
      <c r="BD77" s="12">
        <f t="shared" si="16"/>
        <v>0</v>
      </c>
    </row>
    <row r="78" spans="1:56" ht="15" customHeight="1" x14ac:dyDescent="0.25">
      <c r="A78" s="137" t="s">
        <v>293</v>
      </c>
      <c r="B78" s="137" t="s">
        <v>295</v>
      </c>
      <c r="C78" s="137">
        <v>2018</v>
      </c>
      <c r="D78" s="137" t="s">
        <v>193</v>
      </c>
      <c r="E78" s="137" t="s">
        <v>193</v>
      </c>
      <c r="F78" s="137" t="s">
        <v>193</v>
      </c>
      <c r="G78" s="137" t="s">
        <v>193</v>
      </c>
      <c r="H78" s="137" t="s">
        <v>193</v>
      </c>
      <c r="I78" s="137" t="s">
        <v>193</v>
      </c>
      <c r="J78" s="137" t="s">
        <v>193</v>
      </c>
      <c r="K78" s="137" t="s">
        <v>193</v>
      </c>
      <c r="L78" s="137" t="s">
        <v>193</v>
      </c>
      <c r="M78" s="137" t="s">
        <v>193</v>
      </c>
      <c r="N78" s="137" t="s">
        <v>193</v>
      </c>
      <c r="O78" s="137" t="s">
        <v>193</v>
      </c>
      <c r="P78" s="137" t="s">
        <v>193</v>
      </c>
      <c r="Q78" s="137" t="s">
        <v>193</v>
      </c>
      <c r="R78" s="137" t="s">
        <v>193</v>
      </c>
      <c r="S78" s="137" t="s">
        <v>193</v>
      </c>
      <c r="T78" s="137" t="s">
        <v>193</v>
      </c>
      <c r="U78" s="137" t="s">
        <v>193</v>
      </c>
      <c r="V78" s="137" t="s">
        <v>193</v>
      </c>
      <c r="W78" s="137" t="s">
        <v>193</v>
      </c>
      <c r="X78" s="137" t="s">
        <v>193</v>
      </c>
      <c r="Y78" s="137" t="s">
        <v>193</v>
      </c>
      <c r="Z78" s="137" t="s">
        <v>193</v>
      </c>
      <c r="AA78" s="137" t="s">
        <v>193</v>
      </c>
      <c r="AB78" s="137" t="s">
        <v>193</v>
      </c>
      <c r="AC78" s="137" t="s">
        <v>193</v>
      </c>
      <c r="AD78" s="137" t="s">
        <v>193</v>
      </c>
      <c r="AE78" s="137" t="s">
        <v>193</v>
      </c>
      <c r="AF78" s="137" t="s">
        <v>193</v>
      </c>
      <c r="AG78" s="137" t="s">
        <v>193</v>
      </c>
      <c r="AH78" s="137" t="s">
        <v>199</v>
      </c>
      <c r="AI78" s="137" t="s">
        <v>193</v>
      </c>
      <c r="AJ78" s="137" t="s">
        <v>193</v>
      </c>
      <c r="AK78" s="137" t="s">
        <v>193</v>
      </c>
      <c r="AL78" s="137" t="s">
        <v>193</v>
      </c>
      <c r="AM78" s="137" t="s">
        <v>193</v>
      </c>
      <c r="AN78" s="137" t="s">
        <v>193</v>
      </c>
      <c r="AO78" s="137" t="s">
        <v>193</v>
      </c>
      <c r="AQ78" s="12">
        <f t="shared" si="10"/>
        <v>0</v>
      </c>
      <c r="AR78" s="12">
        <f t="shared" si="9"/>
        <v>0</v>
      </c>
      <c r="AT78" s="12">
        <f t="shared" si="11"/>
        <v>0</v>
      </c>
      <c r="AU78" s="12">
        <f t="shared" si="12"/>
        <v>0</v>
      </c>
      <c r="AV78" s="13" t="str">
        <f t="shared" si="13"/>
        <v/>
      </c>
      <c r="AY78" s="12">
        <f t="shared" si="14"/>
        <v>0</v>
      </c>
      <c r="AZ78" s="12">
        <f t="shared" si="15"/>
        <v>0</v>
      </c>
      <c r="BA78" s="12">
        <f t="shared" si="15"/>
        <v>0</v>
      </c>
      <c r="BB78" s="12">
        <f t="shared" si="15"/>
        <v>0</v>
      </c>
      <c r="BC78" s="12">
        <f t="shared" si="15"/>
        <v>0</v>
      </c>
      <c r="BD78" s="12">
        <f t="shared" si="16"/>
        <v>0</v>
      </c>
    </row>
    <row r="79" spans="1:56" ht="15" customHeight="1" x14ac:dyDescent="0.25">
      <c r="A79" s="137" t="s">
        <v>293</v>
      </c>
      <c r="B79" s="137" t="s">
        <v>296</v>
      </c>
      <c r="C79" s="137">
        <v>2018</v>
      </c>
      <c r="D79" s="137" t="s">
        <v>193</v>
      </c>
      <c r="E79" s="137" t="s">
        <v>193</v>
      </c>
      <c r="F79" s="137" t="s">
        <v>193</v>
      </c>
      <c r="G79" s="137" t="s">
        <v>193</v>
      </c>
      <c r="H79" s="137" t="s">
        <v>193</v>
      </c>
      <c r="I79" s="137" t="s">
        <v>193</v>
      </c>
      <c r="J79" s="137" t="s">
        <v>193</v>
      </c>
      <c r="K79" s="137" t="s">
        <v>193</v>
      </c>
      <c r="L79" s="137" t="s">
        <v>193</v>
      </c>
      <c r="M79" s="137" t="s">
        <v>193</v>
      </c>
      <c r="N79" s="137" t="s">
        <v>193</v>
      </c>
      <c r="O79" s="137" t="s">
        <v>193</v>
      </c>
      <c r="P79" s="137" t="s">
        <v>193</v>
      </c>
      <c r="Q79" s="137" t="s">
        <v>193</v>
      </c>
      <c r="R79" s="137" t="s">
        <v>193</v>
      </c>
      <c r="S79" s="137" t="s">
        <v>193</v>
      </c>
      <c r="T79" s="137" t="s">
        <v>193</v>
      </c>
      <c r="U79" s="137" t="s">
        <v>193</v>
      </c>
      <c r="V79" s="137" t="s">
        <v>193</v>
      </c>
      <c r="W79" s="137" t="s">
        <v>193</v>
      </c>
      <c r="X79" s="137" t="s">
        <v>193</v>
      </c>
      <c r="Y79" s="137" t="s">
        <v>193</v>
      </c>
      <c r="Z79" s="137" t="s">
        <v>193</v>
      </c>
      <c r="AA79" s="137" t="s">
        <v>193</v>
      </c>
      <c r="AB79" s="137" t="s">
        <v>193</v>
      </c>
      <c r="AC79" s="137" t="s">
        <v>193</v>
      </c>
      <c r="AD79" s="137" t="s">
        <v>193</v>
      </c>
      <c r="AE79" s="137" t="s">
        <v>193</v>
      </c>
      <c r="AF79" s="137" t="s">
        <v>193</v>
      </c>
      <c r="AG79" s="137" t="s">
        <v>193</v>
      </c>
      <c r="AH79" s="137" t="s">
        <v>199</v>
      </c>
      <c r="AI79" s="137" t="s">
        <v>193</v>
      </c>
      <c r="AJ79" s="137" t="s">
        <v>193</v>
      </c>
      <c r="AK79" s="137" t="s">
        <v>193</v>
      </c>
      <c r="AL79" s="137" t="s">
        <v>193</v>
      </c>
      <c r="AM79" s="137" t="s">
        <v>193</v>
      </c>
      <c r="AN79" s="137" t="s">
        <v>193</v>
      </c>
      <c r="AO79" s="137" t="s">
        <v>193</v>
      </c>
      <c r="AQ79" s="12">
        <f t="shared" si="10"/>
        <v>0</v>
      </c>
      <c r="AR79" s="12">
        <f t="shared" si="9"/>
        <v>0</v>
      </c>
      <c r="AT79" s="12">
        <f t="shared" si="11"/>
        <v>0</v>
      </c>
      <c r="AU79" s="12">
        <f t="shared" si="12"/>
        <v>0</v>
      </c>
      <c r="AV79" s="13" t="str">
        <f t="shared" si="13"/>
        <v/>
      </c>
      <c r="AY79" s="12">
        <f t="shared" si="14"/>
        <v>0</v>
      </c>
      <c r="AZ79" s="12">
        <f t="shared" si="15"/>
        <v>0</v>
      </c>
      <c r="BA79" s="12">
        <f t="shared" si="15"/>
        <v>0</v>
      </c>
      <c r="BB79" s="12">
        <f t="shared" si="15"/>
        <v>0</v>
      </c>
      <c r="BC79" s="12">
        <f t="shared" si="15"/>
        <v>0</v>
      </c>
      <c r="BD79" s="12">
        <f t="shared" si="16"/>
        <v>0</v>
      </c>
    </row>
    <row r="80" spans="1:56" ht="15" customHeight="1" x14ac:dyDescent="0.25">
      <c r="A80" s="137" t="s">
        <v>297</v>
      </c>
      <c r="B80" s="137" t="s">
        <v>298</v>
      </c>
      <c r="C80" s="137">
        <v>2018</v>
      </c>
      <c r="D80" s="137" t="s">
        <v>193</v>
      </c>
      <c r="E80" s="137" t="s">
        <v>193</v>
      </c>
      <c r="F80" s="137" t="s">
        <v>193</v>
      </c>
      <c r="G80" s="137" t="s">
        <v>193</v>
      </c>
      <c r="H80" s="137" t="s">
        <v>193</v>
      </c>
      <c r="I80" s="137" t="s">
        <v>193</v>
      </c>
      <c r="J80" s="137" t="s">
        <v>193</v>
      </c>
      <c r="K80" s="137" t="s">
        <v>193</v>
      </c>
      <c r="L80" s="137" t="s">
        <v>193</v>
      </c>
      <c r="M80" s="137" t="s">
        <v>193</v>
      </c>
      <c r="N80" s="137" t="s">
        <v>193</v>
      </c>
      <c r="O80" s="137" t="s">
        <v>193</v>
      </c>
      <c r="P80" s="137" t="s">
        <v>193</v>
      </c>
      <c r="Q80" s="137" t="s">
        <v>193</v>
      </c>
      <c r="R80" s="137" t="s">
        <v>193</v>
      </c>
      <c r="S80" s="137" t="s">
        <v>193</v>
      </c>
      <c r="T80" s="137" t="s">
        <v>193</v>
      </c>
      <c r="U80" s="137" t="s">
        <v>193</v>
      </c>
      <c r="V80" s="137" t="s">
        <v>193</v>
      </c>
      <c r="W80" s="137" t="s">
        <v>193</v>
      </c>
      <c r="X80" s="137" t="s">
        <v>193</v>
      </c>
      <c r="Y80" s="137" t="s">
        <v>193</v>
      </c>
      <c r="Z80" s="137" t="s">
        <v>193</v>
      </c>
      <c r="AA80" s="137" t="s">
        <v>193</v>
      </c>
      <c r="AB80" s="137" t="s">
        <v>193</v>
      </c>
      <c r="AC80" s="137" t="s">
        <v>193</v>
      </c>
      <c r="AD80" s="137" t="s">
        <v>193</v>
      </c>
      <c r="AE80" s="137" t="s">
        <v>193</v>
      </c>
      <c r="AF80" s="137" t="s">
        <v>193</v>
      </c>
      <c r="AG80" s="137" t="s">
        <v>193</v>
      </c>
      <c r="AH80" s="137" t="s">
        <v>199</v>
      </c>
      <c r="AI80" s="137" t="s">
        <v>193</v>
      </c>
      <c r="AJ80" s="137" t="s">
        <v>193</v>
      </c>
      <c r="AK80" s="137" t="s">
        <v>193</v>
      </c>
      <c r="AL80" s="137" t="s">
        <v>193</v>
      </c>
      <c r="AM80" s="137" t="s">
        <v>193</v>
      </c>
      <c r="AN80" s="137" t="s">
        <v>193</v>
      </c>
      <c r="AO80" s="137" t="s">
        <v>193</v>
      </c>
      <c r="AQ80" s="12">
        <f t="shared" si="10"/>
        <v>0</v>
      </c>
      <c r="AR80" s="12">
        <f t="shared" si="9"/>
        <v>0</v>
      </c>
      <c r="AT80" s="12">
        <f t="shared" si="11"/>
        <v>0</v>
      </c>
      <c r="AU80" s="12">
        <f t="shared" si="12"/>
        <v>0</v>
      </c>
      <c r="AV80" s="13" t="str">
        <f t="shared" si="13"/>
        <v/>
      </c>
      <c r="AY80" s="12">
        <f t="shared" si="14"/>
        <v>0</v>
      </c>
      <c r="AZ80" s="12">
        <f t="shared" si="15"/>
        <v>0</v>
      </c>
      <c r="BA80" s="12">
        <f t="shared" si="15"/>
        <v>0</v>
      </c>
      <c r="BB80" s="12">
        <f t="shared" si="15"/>
        <v>0</v>
      </c>
      <c r="BC80" s="12">
        <f t="shared" si="15"/>
        <v>0</v>
      </c>
      <c r="BD80" s="12">
        <f t="shared" si="16"/>
        <v>0</v>
      </c>
    </row>
    <row r="81" spans="1:56" ht="15" customHeight="1" x14ac:dyDescent="0.25">
      <c r="A81" s="137" t="s">
        <v>297</v>
      </c>
      <c r="B81" s="137" t="s">
        <v>299</v>
      </c>
      <c r="C81" s="137">
        <v>2018</v>
      </c>
      <c r="D81" s="137" t="s">
        <v>193</v>
      </c>
      <c r="E81" s="137" t="s">
        <v>193</v>
      </c>
      <c r="F81" s="137" t="s">
        <v>193</v>
      </c>
      <c r="G81" s="137" t="s">
        <v>193</v>
      </c>
      <c r="H81" s="137" t="s">
        <v>193</v>
      </c>
      <c r="I81" s="137" t="s">
        <v>193</v>
      </c>
      <c r="J81" s="137" t="s">
        <v>193</v>
      </c>
      <c r="K81" s="137" t="s">
        <v>193</v>
      </c>
      <c r="L81" s="137" t="s">
        <v>193</v>
      </c>
      <c r="M81" s="137" t="s">
        <v>193</v>
      </c>
      <c r="N81" s="137" t="s">
        <v>193</v>
      </c>
      <c r="O81" s="137" t="s">
        <v>193</v>
      </c>
      <c r="P81" s="137" t="s">
        <v>193</v>
      </c>
      <c r="Q81" s="137" t="s">
        <v>193</v>
      </c>
      <c r="R81" s="137" t="s">
        <v>193</v>
      </c>
      <c r="S81" s="137" t="s">
        <v>193</v>
      </c>
      <c r="T81" s="137" t="s">
        <v>193</v>
      </c>
      <c r="U81" s="137" t="s">
        <v>193</v>
      </c>
      <c r="V81" s="137" t="s">
        <v>193</v>
      </c>
      <c r="W81" s="137" t="s">
        <v>193</v>
      </c>
      <c r="X81" s="137" t="s">
        <v>193</v>
      </c>
      <c r="Y81" s="137" t="s">
        <v>193</v>
      </c>
      <c r="Z81" s="137" t="s">
        <v>193</v>
      </c>
      <c r="AA81" s="137" t="s">
        <v>193</v>
      </c>
      <c r="AB81" s="137" t="s">
        <v>193</v>
      </c>
      <c r="AC81" s="137" t="s">
        <v>193</v>
      </c>
      <c r="AD81" s="137" t="s">
        <v>193</v>
      </c>
      <c r="AE81" s="137" t="s">
        <v>193</v>
      </c>
      <c r="AF81" s="137" t="s">
        <v>193</v>
      </c>
      <c r="AG81" s="137" t="s">
        <v>193</v>
      </c>
      <c r="AH81" s="137" t="s">
        <v>199</v>
      </c>
      <c r="AI81" s="137" t="s">
        <v>193</v>
      </c>
      <c r="AJ81" s="137" t="s">
        <v>193</v>
      </c>
      <c r="AK81" s="137" t="s">
        <v>193</v>
      </c>
      <c r="AL81" s="137" t="s">
        <v>193</v>
      </c>
      <c r="AM81" s="137" t="s">
        <v>193</v>
      </c>
      <c r="AN81" s="137" t="s">
        <v>193</v>
      </c>
      <c r="AO81" s="137" t="s">
        <v>193</v>
      </c>
      <c r="AQ81" s="12">
        <f t="shared" si="10"/>
        <v>0</v>
      </c>
      <c r="AR81" s="12">
        <f t="shared" si="9"/>
        <v>0</v>
      </c>
      <c r="AT81" s="12">
        <f t="shared" si="11"/>
        <v>0</v>
      </c>
      <c r="AU81" s="12">
        <f t="shared" si="12"/>
        <v>0</v>
      </c>
      <c r="AV81" s="13" t="str">
        <f t="shared" si="13"/>
        <v/>
      </c>
      <c r="AY81" s="12">
        <f t="shared" si="14"/>
        <v>0</v>
      </c>
      <c r="AZ81" s="12">
        <f t="shared" si="15"/>
        <v>0</v>
      </c>
      <c r="BA81" s="12">
        <f t="shared" si="15"/>
        <v>0</v>
      </c>
      <c r="BB81" s="12">
        <f t="shared" si="15"/>
        <v>0</v>
      </c>
      <c r="BC81" s="12">
        <f t="shared" si="15"/>
        <v>0</v>
      </c>
      <c r="BD81" s="12">
        <f t="shared" si="16"/>
        <v>0</v>
      </c>
    </row>
    <row r="82" spans="1:56" ht="15" customHeight="1" x14ac:dyDescent="0.25">
      <c r="A82" s="137" t="s">
        <v>297</v>
      </c>
      <c r="B82" s="137" t="s">
        <v>300</v>
      </c>
      <c r="C82" s="137">
        <v>2018</v>
      </c>
      <c r="D82" s="137" t="s">
        <v>193</v>
      </c>
      <c r="E82" s="137" t="s">
        <v>193</v>
      </c>
      <c r="F82" s="137" t="s">
        <v>193</v>
      </c>
      <c r="G82" s="137" t="s">
        <v>193</v>
      </c>
      <c r="H82" s="137" t="s">
        <v>193</v>
      </c>
      <c r="I82" s="137" t="s">
        <v>193</v>
      </c>
      <c r="J82" s="137" t="s">
        <v>193</v>
      </c>
      <c r="K82" s="137" t="s">
        <v>193</v>
      </c>
      <c r="L82" s="137" t="s">
        <v>193</v>
      </c>
      <c r="M82" s="137" t="s">
        <v>193</v>
      </c>
      <c r="N82" s="137" t="s">
        <v>193</v>
      </c>
      <c r="O82" s="137" t="s">
        <v>193</v>
      </c>
      <c r="P82" s="137" t="s">
        <v>193</v>
      </c>
      <c r="Q82" s="137" t="s">
        <v>193</v>
      </c>
      <c r="R82" s="137" t="s">
        <v>193</v>
      </c>
      <c r="S82" s="137" t="s">
        <v>193</v>
      </c>
      <c r="T82" s="137" t="s">
        <v>193</v>
      </c>
      <c r="U82" s="137" t="s">
        <v>193</v>
      </c>
      <c r="V82" s="137" t="s">
        <v>193</v>
      </c>
      <c r="W82" s="137" t="s">
        <v>193</v>
      </c>
      <c r="X82" s="137" t="s">
        <v>193</v>
      </c>
      <c r="Y82" s="137" t="s">
        <v>193</v>
      </c>
      <c r="Z82" s="137" t="s">
        <v>193</v>
      </c>
      <c r="AA82" s="137" t="s">
        <v>193</v>
      </c>
      <c r="AB82" s="137" t="s">
        <v>193</v>
      </c>
      <c r="AC82" s="137" t="s">
        <v>193</v>
      </c>
      <c r="AD82" s="137" t="s">
        <v>193</v>
      </c>
      <c r="AE82" s="137" t="s">
        <v>193</v>
      </c>
      <c r="AF82" s="137" t="s">
        <v>193</v>
      </c>
      <c r="AG82" s="137" t="s">
        <v>193</v>
      </c>
      <c r="AH82" s="137" t="s">
        <v>199</v>
      </c>
      <c r="AI82" s="137" t="s">
        <v>193</v>
      </c>
      <c r="AJ82" s="137" t="s">
        <v>193</v>
      </c>
      <c r="AK82" s="137" t="s">
        <v>193</v>
      </c>
      <c r="AL82" s="137" t="s">
        <v>193</v>
      </c>
      <c r="AM82" s="137" t="s">
        <v>193</v>
      </c>
      <c r="AN82" s="137" t="s">
        <v>193</v>
      </c>
      <c r="AO82" s="137" t="s">
        <v>193</v>
      </c>
      <c r="AQ82" s="12">
        <f t="shared" si="10"/>
        <v>0</v>
      </c>
      <c r="AR82" s="12">
        <f t="shared" si="9"/>
        <v>0</v>
      </c>
      <c r="AT82" s="12">
        <f t="shared" si="11"/>
        <v>0</v>
      </c>
      <c r="AU82" s="12">
        <f t="shared" si="12"/>
        <v>0</v>
      </c>
      <c r="AV82" s="13" t="str">
        <f t="shared" si="13"/>
        <v/>
      </c>
      <c r="AY82" s="12">
        <f t="shared" si="14"/>
        <v>0</v>
      </c>
      <c r="AZ82" s="12">
        <f t="shared" si="15"/>
        <v>0</v>
      </c>
      <c r="BA82" s="12">
        <f t="shared" si="15"/>
        <v>0</v>
      </c>
      <c r="BB82" s="12">
        <f t="shared" si="15"/>
        <v>0</v>
      </c>
      <c r="BC82" s="12">
        <f t="shared" si="15"/>
        <v>0</v>
      </c>
      <c r="BD82" s="12">
        <f t="shared" si="16"/>
        <v>0</v>
      </c>
    </row>
    <row r="83" spans="1:56" ht="15" customHeight="1" x14ac:dyDescent="0.25">
      <c r="A83" s="137" t="s">
        <v>301</v>
      </c>
      <c r="B83" s="137" t="s">
        <v>302</v>
      </c>
      <c r="C83" s="137">
        <v>2018</v>
      </c>
      <c r="D83" s="137" t="s">
        <v>193</v>
      </c>
      <c r="E83" s="137" t="s">
        <v>193</v>
      </c>
      <c r="F83" s="137" t="s">
        <v>193</v>
      </c>
      <c r="G83" s="137" t="s">
        <v>193</v>
      </c>
      <c r="H83" s="137" t="s">
        <v>193</v>
      </c>
      <c r="I83" s="137" t="s">
        <v>193</v>
      </c>
      <c r="J83" s="137" t="s">
        <v>193</v>
      </c>
      <c r="K83" s="137" t="s">
        <v>193</v>
      </c>
      <c r="L83" s="137" t="s">
        <v>193</v>
      </c>
      <c r="M83" s="137" t="s">
        <v>193</v>
      </c>
      <c r="N83" s="137" t="s">
        <v>193</v>
      </c>
      <c r="O83" s="137" t="s">
        <v>193</v>
      </c>
      <c r="P83" s="137" t="s">
        <v>193</v>
      </c>
      <c r="Q83" s="137" t="s">
        <v>193</v>
      </c>
      <c r="R83" s="137" t="s">
        <v>193</v>
      </c>
      <c r="S83" s="137" t="s">
        <v>193</v>
      </c>
      <c r="T83" s="137" t="s">
        <v>193</v>
      </c>
      <c r="U83" s="137" t="s">
        <v>193</v>
      </c>
      <c r="V83" s="137" t="s">
        <v>193</v>
      </c>
      <c r="W83" s="137" t="s">
        <v>193</v>
      </c>
      <c r="X83" s="137" t="s">
        <v>193</v>
      </c>
      <c r="Y83" s="137" t="s">
        <v>193</v>
      </c>
      <c r="Z83" s="137" t="s">
        <v>193</v>
      </c>
      <c r="AA83" s="137" t="s">
        <v>193</v>
      </c>
      <c r="AB83" s="137" t="s">
        <v>193</v>
      </c>
      <c r="AC83" s="137" t="s">
        <v>193</v>
      </c>
      <c r="AD83" s="137" t="s">
        <v>193</v>
      </c>
      <c r="AE83" s="137" t="s">
        <v>193</v>
      </c>
      <c r="AF83" s="137" t="s">
        <v>193</v>
      </c>
      <c r="AG83" s="137" t="s">
        <v>193</v>
      </c>
      <c r="AH83" s="137" t="s">
        <v>199</v>
      </c>
      <c r="AI83" s="137" t="s">
        <v>193</v>
      </c>
      <c r="AJ83" s="137" t="s">
        <v>193</v>
      </c>
      <c r="AK83" s="137" t="s">
        <v>193</v>
      </c>
      <c r="AL83" s="137" t="s">
        <v>193</v>
      </c>
      <c r="AM83" s="137" t="s">
        <v>193</v>
      </c>
      <c r="AN83" s="137" t="s">
        <v>193</v>
      </c>
      <c r="AO83" s="137" t="s">
        <v>193</v>
      </c>
      <c r="AQ83" s="12">
        <f t="shared" si="10"/>
        <v>0</v>
      </c>
      <c r="AR83" s="12">
        <f t="shared" si="9"/>
        <v>0</v>
      </c>
      <c r="AT83" s="12">
        <f t="shared" si="11"/>
        <v>0</v>
      </c>
      <c r="AU83" s="12">
        <f t="shared" si="12"/>
        <v>0</v>
      </c>
      <c r="AV83" s="13" t="str">
        <f t="shared" si="13"/>
        <v/>
      </c>
      <c r="AY83" s="12">
        <f t="shared" si="14"/>
        <v>0</v>
      </c>
      <c r="AZ83" s="12">
        <f t="shared" si="15"/>
        <v>0</v>
      </c>
      <c r="BA83" s="12">
        <f t="shared" si="15"/>
        <v>0</v>
      </c>
      <c r="BB83" s="12">
        <f t="shared" si="15"/>
        <v>0</v>
      </c>
      <c r="BC83" s="12">
        <f t="shared" si="15"/>
        <v>0</v>
      </c>
      <c r="BD83" s="12">
        <f t="shared" si="16"/>
        <v>0</v>
      </c>
    </row>
    <row r="84" spans="1:56" ht="15" customHeight="1" x14ac:dyDescent="0.25">
      <c r="A84" s="137" t="s">
        <v>301</v>
      </c>
      <c r="B84" s="137" t="s">
        <v>303</v>
      </c>
      <c r="C84" s="137">
        <v>2018</v>
      </c>
      <c r="D84" s="137">
        <v>255.6</v>
      </c>
      <c r="E84" s="137">
        <v>71.900000000000006</v>
      </c>
      <c r="F84" s="137" t="s">
        <v>193</v>
      </c>
      <c r="G84" s="137" t="s">
        <v>193</v>
      </c>
      <c r="H84" s="137" t="s">
        <v>193</v>
      </c>
      <c r="I84" s="137">
        <v>434.39</v>
      </c>
      <c r="J84" s="137" t="s">
        <v>193</v>
      </c>
      <c r="K84" s="137">
        <v>1.75</v>
      </c>
      <c r="L84" s="137" t="s">
        <v>193</v>
      </c>
      <c r="M84" s="137" t="s">
        <v>193</v>
      </c>
      <c r="N84" s="137" t="s">
        <v>193</v>
      </c>
      <c r="O84" s="137" t="s">
        <v>193</v>
      </c>
      <c r="P84" s="137" t="s">
        <v>193</v>
      </c>
      <c r="Q84" s="137">
        <v>58.6</v>
      </c>
      <c r="R84" s="137">
        <v>144.69999999999999</v>
      </c>
      <c r="S84" s="137">
        <v>52.5</v>
      </c>
      <c r="T84" s="137">
        <v>4</v>
      </c>
      <c r="U84" s="137" t="s">
        <v>193</v>
      </c>
      <c r="V84" s="137">
        <v>36.200000000000003</v>
      </c>
      <c r="W84" s="137" t="s">
        <v>194</v>
      </c>
      <c r="X84" s="137" t="s">
        <v>193</v>
      </c>
      <c r="Y84" s="137" t="s">
        <v>193</v>
      </c>
      <c r="Z84" s="137" t="s">
        <v>193</v>
      </c>
      <c r="AA84" s="137">
        <v>75.2</v>
      </c>
      <c r="AB84" s="137" t="s">
        <v>193</v>
      </c>
      <c r="AC84" s="137" t="s">
        <v>193</v>
      </c>
      <c r="AD84" s="137" t="s">
        <v>193</v>
      </c>
      <c r="AE84" s="137" t="s">
        <v>193</v>
      </c>
      <c r="AF84" s="137" t="s">
        <v>193</v>
      </c>
      <c r="AG84" s="137" t="s">
        <v>193</v>
      </c>
      <c r="AH84" s="137" t="s">
        <v>199</v>
      </c>
      <c r="AI84" s="137" t="s">
        <v>193</v>
      </c>
      <c r="AJ84" s="137" t="s">
        <v>193</v>
      </c>
      <c r="AK84" s="137">
        <v>61.44</v>
      </c>
      <c r="AL84" s="137">
        <v>100</v>
      </c>
      <c r="AM84" s="137" t="s">
        <v>193</v>
      </c>
      <c r="AN84" s="137" t="s">
        <v>193</v>
      </c>
      <c r="AO84" s="137" t="s">
        <v>193</v>
      </c>
      <c r="AQ84" s="12">
        <f t="shared" si="10"/>
        <v>372.94999999999993</v>
      </c>
      <c r="AR84" s="12">
        <f t="shared" si="9"/>
        <v>434.38999999999993</v>
      </c>
      <c r="AT84" s="12">
        <f t="shared" si="11"/>
        <v>255.6</v>
      </c>
      <c r="AU84" s="12">
        <f t="shared" si="12"/>
        <v>71.900000000000006</v>
      </c>
      <c r="AV84" s="13">
        <f t="shared" si="13"/>
        <v>0.7539307995119594</v>
      </c>
      <c r="AY84" s="12">
        <f t="shared" si="14"/>
        <v>61.44</v>
      </c>
      <c r="AZ84" s="12">
        <f t="shared" si="15"/>
        <v>61.44</v>
      </c>
      <c r="BA84" s="12">
        <f t="shared" si="15"/>
        <v>0</v>
      </c>
      <c r="BB84" s="12">
        <f t="shared" si="15"/>
        <v>0</v>
      </c>
      <c r="BC84" s="12">
        <f t="shared" si="15"/>
        <v>0</v>
      </c>
      <c r="BD84" s="12">
        <f t="shared" si="16"/>
        <v>0</v>
      </c>
    </row>
    <row r="85" spans="1:56" ht="15" customHeight="1" x14ac:dyDescent="0.25">
      <c r="A85" s="137" t="s">
        <v>301</v>
      </c>
      <c r="B85" s="137" t="s">
        <v>305</v>
      </c>
      <c r="C85" s="137">
        <v>2018</v>
      </c>
      <c r="D85" s="137" t="s">
        <v>193</v>
      </c>
      <c r="E85" s="137" t="s">
        <v>193</v>
      </c>
      <c r="F85" s="137" t="s">
        <v>193</v>
      </c>
      <c r="G85" s="137" t="s">
        <v>193</v>
      </c>
      <c r="H85" s="137" t="s">
        <v>193</v>
      </c>
      <c r="I85" s="137" t="s">
        <v>193</v>
      </c>
      <c r="J85" s="137" t="s">
        <v>193</v>
      </c>
      <c r="K85" s="137" t="s">
        <v>193</v>
      </c>
      <c r="L85" s="137" t="s">
        <v>193</v>
      </c>
      <c r="M85" s="137" t="s">
        <v>193</v>
      </c>
      <c r="N85" s="137" t="s">
        <v>193</v>
      </c>
      <c r="O85" s="137" t="s">
        <v>193</v>
      </c>
      <c r="P85" s="137" t="s">
        <v>193</v>
      </c>
      <c r="Q85" s="137" t="s">
        <v>193</v>
      </c>
      <c r="R85" s="137" t="s">
        <v>193</v>
      </c>
      <c r="S85" s="137" t="s">
        <v>193</v>
      </c>
      <c r="T85" s="137" t="s">
        <v>193</v>
      </c>
      <c r="U85" s="137" t="s">
        <v>193</v>
      </c>
      <c r="V85" s="137" t="s">
        <v>193</v>
      </c>
      <c r="W85" s="137" t="s">
        <v>193</v>
      </c>
      <c r="X85" s="137" t="s">
        <v>193</v>
      </c>
      <c r="Y85" s="137" t="s">
        <v>193</v>
      </c>
      <c r="Z85" s="137" t="s">
        <v>193</v>
      </c>
      <c r="AA85" s="137" t="s">
        <v>193</v>
      </c>
      <c r="AB85" s="137" t="s">
        <v>193</v>
      </c>
      <c r="AC85" s="137" t="s">
        <v>193</v>
      </c>
      <c r="AD85" s="137" t="s">
        <v>193</v>
      </c>
      <c r="AE85" s="137" t="s">
        <v>193</v>
      </c>
      <c r="AF85" s="137" t="s">
        <v>193</v>
      </c>
      <c r="AG85" s="137" t="s">
        <v>193</v>
      </c>
      <c r="AH85" s="137" t="s">
        <v>199</v>
      </c>
      <c r="AI85" s="137" t="s">
        <v>193</v>
      </c>
      <c r="AJ85" s="137" t="s">
        <v>193</v>
      </c>
      <c r="AK85" s="137" t="s">
        <v>193</v>
      </c>
      <c r="AL85" s="137" t="s">
        <v>193</v>
      </c>
      <c r="AM85" s="137" t="s">
        <v>193</v>
      </c>
      <c r="AN85" s="137" t="s">
        <v>193</v>
      </c>
      <c r="AO85" s="137" t="s">
        <v>193</v>
      </c>
      <c r="AQ85" s="12">
        <f t="shared" si="10"/>
        <v>0</v>
      </c>
      <c r="AR85" s="12">
        <f t="shared" si="9"/>
        <v>0</v>
      </c>
      <c r="AT85" s="12">
        <f t="shared" si="11"/>
        <v>0</v>
      </c>
      <c r="AU85" s="12">
        <f t="shared" si="12"/>
        <v>0</v>
      </c>
      <c r="AV85" s="13" t="str">
        <f t="shared" si="13"/>
        <v/>
      </c>
      <c r="AY85" s="12">
        <f t="shared" si="14"/>
        <v>0</v>
      </c>
      <c r="AZ85" s="12">
        <f t="shared" si="15"/>
        <v>0</v>
      </c>
      <c r="BA85" s="12">
        <f t="shared" si="15"/>
        <v>0</v>
      </c>
      <c r="BB85" s="12">
        <f t="shared" si="15"/>
        <v>0</v>
      </c>
      <c r="BC85" s="12">
        <f t="shared" si="15"/>
        <v>0</v>
      </c>
      <c r="BD85" s="12">
        <f t="shared" si="16"/>
        <v>0</v>
      </c>
    </row>
    <row r="86" spans="1:56" ht="15" customHeight="1" x14ac:dyDescent="0.25">
      <c r="A86" s="137" t="s">
        <v>301</v>
      </c>
      <c r="B86" s="137" t="s">
        <v>306</v>
      </c>
      <c r="C86" s="137">
        <v>2018</v>
      </c>
      <c r="D86" s="137" t="s">
        <v>193</v>
      </c>
      <c r="E86" s="137" t="s">
        <v>193</v>
      </c>
      <c r="F86" s="137" t="s">
        <v>193</v>
      </c>
      <c r="G86" s="137" t="s">
        <v>193</v>
      </c>
      <c r="H86" s="137" t="s">
        <v>193</v>
      </c>
      <c r="I86" s="137" t="s">
        <v>193</v>
      </c>
      <c r="J86" s="137" t="s">
        <v>193</v>
      </c>
      <c r="K86" s="137" t="s">
        <v>193</v>
      </c>
      <c r="L86" s="137" t="s">
        <v>193</v>
      </c>
      <c r="M86" s="137" t="s">
        <v>193</v>
      </c>
      <c r="N86" s="137" t="s">
        <v>193</v>
      </c>
      <c r="O86" s="137" t="s">
        <v>193</v>
      </c>
      <c r="P86" s="137" t="s">
        <v>193</v>
      </c>
      <c r="Q86" s="137" t="s">
        <v>193</v>
      </c>
      <c r="R86" s="137" t="s">
        <v>193</v>
      </c>
      <c r="S86" s="137" t="s">
        <v>193</v>
      </c>
      <c r="T86" s="137" t="s">
        <v>193</v>
      </c>
      <c r="U86" s="137" t="s">
        <v>193</v>
      </c>
      <c r="V86" s="137" t="s">
        <v>193</v>
      </c>
      <c r="W86" s="137" t="s">
        <v>193</v>
      </c>
      <c r="X86" s="137" t="s">
        <v>193</v>
      </c>
      <c r="Y86" s="137" t="s">
        <v>193</v>
      </c>
      <c r="Z86" s="137" t="s">
        <v>193</v>
      </c>
      <c r="AA86" s="137" t="s">
        <v>193</v>
      </c>
      <c r="AB86" s="137" t="s">
        <v>193</v>
      </c>
      <c r="AC86" s="137" t="s">
        <v>193</v>
      </c>
      <c r="AD86" s="137" t="s">
        <v>193</v>
      </c>
      <c r="AE86" s="137" t="s">
        <v>193</v>
      </c>
      <c r="AF86" s="137" t="s">
        <v>193</v>
      </c>
      <c r="AG86" s="137" t="s">
        <v>193</v>
      </c>
      <c r="AH86" s="137" t="s">
        <v>199</v>
      </c>
      <c r="AI86" s="137" t="s">
        <v>193</v>
      </c>
      <c r="AJ86" s="137" t="s">
        <v>193</v>
      </c>
      <c r="AK86" s="137" t="s">
        <v>193</v>
      </c>
      <c r="AL86" s="137" t="s">
        <v>193</v>
      </c>
      <c r="AM86" s="137" t="s">
        <v>193</v>
      </c>
      <c r="AN86" s="137" t="s">
        <v>193</v>
      </c>
      <c r="AO86" s="137" t="s">
        <v>193</v>
      </c>
      <c r="AQ86" s="12">
        <f t="shared" si="10"/>
        <v>0</v>
      </c>
      <c r="AR86" s="12">
        <f t="shared" si="9"/>
        <v>0</v>
      </c>
      <c r="AT86" s="12">
        <f t="shared" si="11"/>
        <v>0</v>
      </c>
      <c r="AU86" s="12">
        <f t="shared" si="12"/>
        <v>0</v>
      </c>
      <c r="AV86" s="13" t="str">
        <f t="shared" si="13"/>
        <v/>
      </c>
      <c r="AY86" s="12">
        <f t="shared" si="14"/>
        <v>0</v>
      </c>
      <c r="AZ86" s="12">
        <f t="shared" si="15"/>
        <v>0</v>
      </c>
      <c r="BA86" s="12">
        <f t="shared" si="15"/>
        <v>0</v>
      </c>
      <c r="BB86" s="12">
        <f t="shared" si="15"/>
        <v>0</v>
      </c>
      <c r="BC86" s="12">
        <f t="shared" si="15"/>
        <v>0</v>
      </c>
      <c r="BD86" s="12">
        <f t="shared" si="16"/>
        <v>0</v>
      </c>
    </row>
    <row r="87" spans="1:56" ht="15" customHeight="1" x14ac:dyDescent="0.25">
      <c r="A87" s="137" t="s">
        <v>307</v>
      </c>
      <c r="B87" s="137" t="s">
        <v>308</v>
      </c>
      <c r="C87" s="137">
        <v>2018</v>
      </c>
      <c r="D87" s="137" t="s">
        <v>193</v>
      </c>
      <c r="E87" s="137" t="s">
        <v>193</v>
      </c>
      <c r="F87" s="137" t="s">
        <v>193</v>
      </c>
      <c r="G87" s="137" t="s">
        <v>193</v>
      </c>
      <c r="H87" s="137" t="s">
        <v>193</v>
      </c>
      <c r="I87" s="137" t="s">
        <v>193</v>
      </c>
      <c r="J87" s="137" t="s">
        <v>193</v>
      </c>
      <c r="K87" s="137" t="s">
        <v>193</v>
      </c>
      <c r="L87" s="137" t="s">
        <v>193</v>
      </c>
      <c r="M87" s="137" t="s">
        <v>193</v>
      </c>
      <c r="N87" s="137" t="s">
        <v>193</v>
      </c>
      <c r="O87" s="137" t="s">
        <v>193</v>
      </c>
      <c r="P87" s="137" t="s">
        <v>193</v>
      </c>
      <c r="Q87" s="137" t="s">
        <v>193</v>
      </c>
      <c r="R87" s="137" t="s">
        <v>193</v>
      </c>
      <c r="S87" s="137" t="s">
        <v>193</v>
      </c>
      <c r="T87" s="137" t="s">
        <v>193</v>
      </c>
      <c r="U87" s="137" t="s">
        <v>193</v>
      </c>
      <c r="V87" s="137" t="s">
        <v>193</v>
      </c>
      <c r="W87" s="137" t="s">
        <v>193</v>
      </c>
      <c r="X87" s="137" t="s">
        <v>193</v>
      </c>
      <c r="Y87" s="137" t="s">
        <v>193</v>
      </c>
      <c r="Z87" s="137" t="s">
        <v>193</v>
      </c>
      <c r="AA87" s="137" t="s">
        <v>193</v>
      </c>
      <c r="AB87" s="137" t="s">
        <v>193</v>
      </c>
      <c r="AC87" s="137" t="s">
        <v>193</v>
      </c>
      <c r="AD87" s="137" t="s">
        <v>193</v>
      </c>
      <c r="AE87" s="137" t="s">
        <v>193</v>
      </c>
      <c r="AF87" s="137" t="s">
        <v>193</v>
      </c>
      <c r="AG87" s="137" t="s">
        <v>193</v>
      </c>
      <c r="AH87" s="137" t="s">
        <v>199</v>
      </c>
      <c r="AI87" s="137" t="s">
        <v>193</v>
      </c>
      <c r="AJ87" s="137" t="s">
        <v>193</v>
      </c>
      <c r="AK87" s="137" t="s">
        <v>193</v>
      </c>
      <c r="AL87" s="137" t="s">
        <v>193</v>
      </c>
      <c r="AM87" s="137" t="s">
        <v>193</v>
      </c>
      <c r="AN87" s="137" t="s">
        <v>193</v>
      </c>
      <c r="AO87" s="137" t="s">
        <v>193</v>
      </c>
      <c r="AQ87" s="12">
        <f t="shared" si="10"/>
        <v>0</v>
      </c>
      <c r="AR87" s="12">
        <f t="shared" si="9"/>
        <v>0</v>
      </c>
      <c r="AT87" s="12">
        <f t="shared" si="11"/>
        <v>0</v>
      </c>
      <c r="AU87" s="12">
        <f t="shared" si="12"/>
        <v>0</v>
      </c>
      <c r="AV87" s="13" t="str">
        <f t="shared" si="13"/>
        <v/>
      </c>
      <c r="AY87" s="12">
        <f t="shared" si="14"/>
        <v>0</v>
      </c>
      <c r="AZ87" s="12">
        <f t="shared" si="15"/>
        <v>0</v>
      </c>
      <c r="BA87" s="12">
        <f t="shared" si="15"/>
        <v>0</v>
      </c>
      <c r="BB87" s="12">
        <f t="shared" si="15"/>
        <v>0</v>
      </c>
      <c r="BC87" s="12">
        <f t="shared" si="15"/>
        <v>0</v>
      </c>
      <c r="BD87" s="12">
        <f t="shared" si="16"/>
        <v>0</v>
      </c>
    </row>
    <row r="88" spans="1:56" ht="15" customHeight="1" x14ac:dyDescent="0.25">
      <c r="A88" s="137" t="s">
        <v>309</v>
      </c>
      <c r="B88" s="137" t="s">
        <v>310</v>
      </c>
      <c r="C88" s="137">
        <v>2018</v>
      </c>
      <c r="D88" s="137" t="s">
        <v>193</v>
      </c>
      <c r="E88" s="137" t="s">
        <v>193</v>
      </c>
      <c r="F88" s="137" t="s">
        <v>193</v>
      </c>
      <c r="G88" s="137" t="s">
        <v>193</v>
      </c>
      <c r="H88" s="137" t="s">
        <v>193</v>
      </c>
      <c r="I88" s="137" t="s">
        <v>193</v>
      </c>
      <c r="J88" s="137" t="s">
        <v>193</v>
      </c>
      <c r="K88" s="137" t="s">
        <v>193</v>
      </c>
      <c r="L88" s="137" t="s">
        <v>193</v>
      </c>
      <c r="M88" s="137" t="s">
        <v>193</v>
      </c>
      <c r="N88" s="137" t="s">
        <v>193</v>
      </c>
      <c r="O88" s="137" t="s">
        <v>193</v>
      </c>
      <c r="P88" s="137" t="s">
        <v>193</v>
      </c>
      <c r="Q88" s="137" t="s">
        <v>193</v>
      </c>
      <c r="R88" s="137" t="s">
        <v>193</v>
      </c>
      <c r="S88" s="137" t="s">
        <v>193</v>
      </c>
      <c r="T88" s="137" t="s">
        <v>193</v>
      </c>
      <c r="U88" s="137" t="s">
        <v>193</v>
      </c>
      <c r="V88" s="137" t="s">
        <v>193</v>
      </c>
      <c r="W88" s="137" t="s">
        <v>193</v>
      </c>
      <c r="X88" s="137" t="s">
        <v>193</v>
      </c>
      <c r="Y88" s="137" t="s">
        <v>193</v>
      </c>
      <c r="Z88" s="137" t="s">
        <v>193</v>
      </c>
      <c r="AA88" s="137" t="s">
        <v>193</v>
      </c>
      <c r="AB88" s="137" t="s">
        <v>193</v>
      </c>
      <c r="AC88" s="137" t="s">
        <v>193</v>
      </c>
      <c r="AD88" s="137" t="s">
        <v>193</v>
      </c>
      <c r="AE88" s="137" t="s">
        <v>193</v>
      </c>
      <c r="AF88" s="137" t="s">
        <v>193</v>
      </c>
      <c r="AG88" s="137" t="s">
        <v>193</v>
      </c>
      <c r="AH88" s="137" t="s">
        <v>199</v>
      </c>
      <c r="AI88" s="137" t="s">
        <v>193</v>
      </c>
      <c r="AJ88" s="137" t="s">
        <v>193</v>
      </c>
      <c r="AK88" s="137" t="s">
        <v>193</v>
      </c>
      <c r="AL88" s="137" t="s">
        <v>193</v>
      </c>
      <c r="AM88" s="137" t="s">
        <v>193</v>
      </c>
      <c r="AN88" s="137" t="s">
        <v>193</v>
      </c>
      <c r="AO88" s="137" t="s">
        <v>193</v>
      </c>
      <c r="AQ88" s="12">
        <f t="shared" si="10"/>
        <v>0</v>
      </c>
      <c r="AR88" s="12">
        <f t="shared" si="9"/>
        <v>0</v>
      </c>
      <c r="AT88" s="12">
        <f t="shared" si="11"/>
        <v>0</v>
      </c>
      <c r="AU88" s="12">
        <f t="shared" si="12"/>
        <v>0</v>
      </c>
      <c r="AV88" s="13" t="str">
        <f t="shared" si="13"/>
        <v/>
      </c>
      <c r="AY88" s="12">
        <f t="shared" si="14"/>
        <v>0</v>
      </c>
      <c r="AZ88" s="12">
        <f t="shared" si="15"/>
        <v>0</v>
      </c>
      <c r="BA88" s="12">
        <f t="shared" si="15"/>
        <v>0</v>
      </c>
      <c r="BB88" s="12">
        <f t="shared" si="15"/>
        <v>0</v>
      </c>
      <c r="BC88" s="12">
        <f t="shared" si="15"/>
        <v>0</v>
      </c>
      <c r="BD88" s="12">
        <f t="shared" si="16"/>
        <v>0</v>
      </c>
    </row>
    <row r="89" spans="1:56" ht="15" customHeight="1" x14ac:dyDescent="0.25">
      <c r="A89" s="137" t="s">
        <v>309</v>
      </c>
      <c r="B89" s="137" t="s">
        <v>311</v>
      </c>
      <c r="C89" s="137">
        <v>2018</v>
      </c>
      <c r="D89" s="137" t="s">
        <v>193</v>
      </c>
      <c r="E89" s="137" t="s">
        <v>193</v>
      </c>
      <c r="F89" s="137" t="s">
        <v>193</v>
      </c>
      <c r="G89" s="137" t="s">
        <v>193</v>
      </c>
      <c r="H89" s="137" t="s">
        <v>193</v>
      </c>
      <c r="I89" s="137" t="s">
        <v>193</v>
      </c>
      <c r="J89" s="137" t="s">
        <v>193</v>
      </c>
      <c r="K89" s="137" t="s">
        <v>193</v>
      </c>
      <c r="L89" s="137" t="s">
        <v>193</v>
      </c>
      <c r="M89" s="137" t="s">
        <v>193</v>
      </c>
      <c r="N89" s="137" t="s">
        <v>193</v>
      </c>
      <c r="O89" s="137" t="s">
        <v>193</v>
      </c>
      <c r="P89" s="137" t="s">
        <v>193</v>
      </c>
      <c r="Q89" s="137" t="s">
        <v>193</v>
      </c>
      <c r="R89" s="137" t="s">
        <v>193</v>
      </c>
      <c r="S89" s="137" t="s">
        <v>193</v>
      </c>
      <c r="T89" s="137" t="s">
        <v>193</v>
      </c>
      <c r="U89" s="137" t="s">
        <v>193</v>
      </c>
      <c r="V89" s="137" t="s">
        <v>193</v>
      </c>
      <c r="W89" s="137" t="s">
        <v>193</v>
      </c>
      <c r="X89" s="137" t="s">
        <v>193</v>
      </c>
      <c r="Y89" s="137" t="s">
        <v>193</v>
      </c>
      <c r="Z89" s="137" t="s">
        <v>193</v>
      </c>
      <c r="AA89" s="137" t="s">
        <v>193</v>
      </c>
      <c r="AB89" s="137" t="s">
        <v>193</v>
      </c>
      <c r="AC89" s="137" t="s">
        <v>193</v>
      </c>
      <c r="AD89" s="137" t="s">
        <v>193</v>
      </c>
      <c r="AE89" s="137" t="s">
        <v>193</v>
      </c>
      <c r="AF89" s="137" t="s">
        <v>193</v>
      </c>
      <c r="AG89" s="137" t="s">
        <v>193</v>
      </c>
      <c r="AH89" s="137" t="s">
        <v>199</v>
      </c>
      <c r="AI89" s="137" t="s">
        <v>193</v>
      </c>
      <c r="AJ89" s="137" t="s">
        <v>193</v>
      </c>
      <c r="AK89" s="137" t="s">
        <v>193</v>
      </c>
      <c r="AL89" s="137" t="s">
        <v>193</v>
      </c>
      <c r="AM89" s="137" t="s">
        <v>193</v>
      </c>
      <c r="AN89" s="137" t="s">
        <v>193</v>
      </c>
      <c r="AO89" s="137" t="s">
        <v>193</v>
      </c>
      <c r="AQ89" s="12">
        <f t="shared" si="10"/>
        <v>0</v>
      </c>
      <c r="AR89" s="12">
        <f t="shared" si="9"/>
        <v>0</v>
      </c>
      <c r="AT89" s="12">
        <f t="shared" si="11"/>
        <v>0</v>
      </c>
      <c r="AU89" s="12">
        <f t="shared" si="12"/>
        <v>0</v>
      </c>
      <c r="AV89" s="13" t="str">
        <f t="shared" si="13"/>
        <v/>
      </c>
      <c r="AY89" s="12">
        <f t="shared" si="14"/>
        <v>0</v>
      </c>
      <c r="AZ89" s="12">
        <f t="shared" si="15"/>
        <v>0</v>
      </c>
      <c r="BA89" s="12">
        <f t="shared" si="15"/>
        <v>0</v>
      </c>
      <c r="BB89" s="12">
        <f t="shared" si="15"/>
        <v>0</v>
      </c>
      <c r="BC89" s="12">
        <f t="shared" si="15"/>
        <v>0</v>
      </c>
      <c r="BD89" s="12">
        <f t="shared" si="16"/>
        <v>0</v>
      </c>
    </row>
    <row r="90" spans="1:56" ht="15" customHeight="1" x14ac:dyDescent="0.25">
      <c r="A90" s="137" t="s">
        <v>309</v>
      </c>
      <c r="B90" s="137" t="s">
        <v>313</v>
      </c>
      <c r="C90" s="137">
        <v>2018</v>
      </c>
      <c r="D90" s="137" t="s">
        <v>193</v>
      </c>
      <c r="E90" s="137" t="s">
        <v>193</v>
      </c>
      <c r="F90" s="137" t="s">
        <v>193</v>
      </c>
      <c r="G90" s="137" t="s">
        <v>193</v>
      </c>
      <c r="H90" s="137" t="s">
        <v>193</v>
      </c>
      <c r="I90" s="137" t="s">
        <v>193</v>
      </c>
      <c r="J90" s="137" t="s">
        <v>193</v>
      </c>
      <c r="K90" s="137" t="s">
        <v>193</v>
      </c>
      <c r="L90" s="137" t="s">
        <v>193</v>
      </c>
      <c r="M90" s="137" t="s">
        <v>193</v>
      </c>
      <c r="N90" s="137" t="s">
        <v>193</v>
      </c>
      <c r="O90" s="137" t="s">
        <v>193</v>
      </c>
      <c r="P90" s="137" t="s">
        <v>193</v>
      </c>
      <c r="Q90" s="137" t="s">
        <v>193</v>
      </c>
      <c r="R90" s="137" t="s">
        <v>193</v>
      </c>
      <c r="S90" s="137" t="s">
        <v>193</v>
      </c>
      <c r="T90" s="137" t="s">
        <v>193</v>
      </c>
      <c r="U90" s="137" t="s">
        <v>193</v>
      </c>
      <c r="V90" s="137" t="s">
        <v>193</v>
      </c>
      <c r="W90" s="137" t="s">
        <v>193</v>
      </c>
      <c r="X90" s="137" t="s">
        <v>193</v>
      </c>
      <c r="Y90" s="137" t="s">
        <v>193</v>
      </c>
      <c r="Z90" s="137" t="s">
        <v>193</v>
      </c>
      <c r="AA90" s="137" t="s">
        <v>193</v>
      </c>
      <c r="AB90" s="137" t="s">
        <v>193</v>
      </c>
      <c r="AC90" s="137" t="s">
        <v>193</v>
      </c>
      <c r="AD90" s="137" t="s">
        <v>193</v>
      </c>
      <c r="AE90" s="137" t="s">
        <v>193</v>
      </c>
      <c r="AF90" s="137" t="s">
        <v>193</v>
      </c>
      <c r="AG90" s="137" t="s">
        <v>193</v>
      </c>
      <c r="AH90" s="137" t="s">
        <v>199</v>
      </c>
      <c r="AI90" s="137" t="s">
        <v>193</v>
      </c>
      <c r="AJ90" s="137" t="s">
        <v>193</v>
      </c>
      <c r="AK90" s="137" t="s">
        <v>193</v>
      </c>
      <c r="AL90" s="137" t="s">
        <v>193</v>
      </c>
      <c r="AM90" s="137" t="s">
        <v>193</v>
      </c>
      <c r="AN90" s="137" t="s">
        <v>193</v>
      </c>
      <c r="AO90" s="137" t="s">
        <v>193</v>
      </c>
      <c r="AQ90" s="12">
        <f t="shared" si="10"/>
        <v>0</v>
      </c>
      <c r="AR90" s="12">
        <f t="shared" si="9"/>
        <v>0</v>
      </c>
      <c r="AT90" s="12">
        <f t="shared" si="11"/>
        <v>0</v>
      </c>
      <c r="AU90" s="12">
        <f t="shared" si="12"/>
        <v>0</v>
      </c>
      <c r="AV90" s="13" t="str">
        <f t="shared" si="13"/>
        <v/>
      </c>
      <c r="AY90" s="12">
        <f t="shared" si="14"/>
        <v>0</v>
      </c>
      <c r="AZ90" s="12">
        <f t="shared" si="15"/>
        <v>0</v>
      </c>
      <c r="BA90" s="12">
        <f t="shared" si="15"/>
        <v>0</v>
      </c>
      <c r="BB90" s="12">
        <f t="shared" si="15"/>
        <v>0</v>
      </c>
      <c r="BC90" s="12">
        <f t="shared" si="15"/>
        <v>0</v>
      </c>
      <c r="BD90" s="12">
        <f t="shared" si="16"/>
        <v>0</v>
      </c>
    </row>
    <row r="91" spans="1:56" ht="15" customHeight="1" x14ac:dyDescent="0.25">
      <c r="A91" s="137" t="s">
        <v>315</v>
      </c>
      <c r="B91" s="137" t="s">
        <v>316</v>
      </c>
      <c r="C91" s="137">
        <v>2018</v>
      </c>
      <c r="D91" s="137" t="s">
        <v>193</v>
      </c>
      <c r="E91" s="137" t="s">
        <v>193</v>
      </c>
      <c r="F91" s="137" t="s">
        <v>193</v>
      </c>
      <c r="G91" s="137" t="s">
        <v>193</v>
      </c>
      <c r="H91" s="137" t="s">
        <v>193</v>
      </c>
      <c r="I91" s="137" t="s">
        <v>193</v>
      </c>
      <c r="J91" s="137" t="s">
        <v>193</v>
      </c>
      <c r="K91" s="137" t="s">
        <v>193</v>
      </c>
      <c r="L91" s="137" t="s">
        <v>193</v>
      </c>
      <c r="M91" s="137" t="s">
        <v>193</v>
      </c>
      <c r="N91" s="137" t="s">
        <v>193</v>
      </c>
      <c r="O91" s="137" t="s">
        <v>193</v>
      </c>
      <c r="P91" s="137" t="s">
        <v>193</v>
      </c>
      <c r="Q91" s="137" t="s">
        <v>193</v>
      </c>
      <c r="R91" s="137" t="s">
        <v>193</v>
      </c>
      <c r="S91" s="137" t="s">
        <v>193</v>
      </c>
      <c r="T91" s="137" t="s">
        <v>193</v>
      </c>
      <c r="U91" s="137" t="s">
        <v>193</v>
      </c>
      <c r="V91" s="137" t="s">
        <v>193</v>
      </c>
      <c r="W91" s="137" t="s">
        <v>193</v>
      </c>
      <c r="X91" s="137" t="s">
        <v>193</v>
      </c>
      <c r="Y91" s="137" t="s">
        <v>193</v>
      </c>
      <c r="Z91" s="137" t="s">
        <v>193</v>
      </c>
      <c r="AA91" s="137" t="s">
        <v>193</v>
      </c>
      <c r="AB91" s="137" t="s">
        <v>193</v>
      </c>
      <c r="AC91" s="137" t="s">
        <v>193</v>
      </c>
      <c r="AD91" s="137" t="s">
        <v>193</v>
      </c>
      <c r="AE91" s="137" t="s">
        <v>193</v>
      </c>
      <c r="AF91" s="137" t="s">
        <v>193</v>
      </c>
      <c r="AG91" s="137" t="s">
        <v>193</v>
      </c>
      <c r="AH91" s="137" t="s">
        <v>199</v>
      </c>
      <c r="AI91" s="137" t="s">
        <v>193</v>
      </c>
      <c r="AJ91" s="137" t="s">
        <v>193</v>
      </c>
      <c r="AK91" s="137" t="s">
        <v>193</v>
      </c>
      <c r="AL91" s="137" t="s">
        <v>193</v>
      </c>
      <c r="AM91" s="137" t="s">
        <v>193</v>
      </c>
      <c r="AN91" s="137" t="s">
        <v>193</v>
      </c>
      <c r="AO91" s="137" t="s">
        <v>193</v>
      </c>
      <c r="AQ91" s="12">
        <f t="shared" si="10"/>
        <v>0</v>
      </c>
      <c r="AR91" s="12">
        <f t="shared" si="9"/>
        <v>0</v>
      </c>
      <c r="AT91" s="12">
        <f t="shared" si="11"/>
        <v>0</v>
      </c>
      <c r="AU91" s="12">
        <f t="shared" si="12"/>
        <v>0</v>
      </c>
      <c r="AV91" s="13" t="str">
        <f t="shared" si="13"/>
        <v/>
      </c>
      <c r="AY91" s="12">
        <f t="shared" si="14"/>
        <v>0</v>
      </c>
      <c r="AZ91" s="12">
        <f t="shared" si="15"/>
        <v>0</v>
      </c>
      <c r="BA91" s="12">
        <f t="shared" si="15"/>
        <v>0</v>
      </c>
      <c r="BB91" s="12">
        <f t="shared" si="15"/>
        <v>0</v>
      </c>
      <c r="BC91" s="12">
        <f t="shared" si="15"/>
        <v>0</v>
      </c>
      <c r="BD91" s="12">
        <f t="shared" si="16"/>
        <v>0</v>
      </c>
    </row>
    <row r="92" spans="1:56" ht="15" customHeight="1" x14ac:dyDescent="0.25">
      <c r="A92" s="137" t="s">
        <v>315</v>
      </c>
      <c r="B92" s="137" t="s">
        <v>317</v>
      </c>
      <c r="C92" s="137">
        <v>2018</v>
      </c>
      <c r="D92" s="137" t="s">
        <v>193</v>
      </c>
      <c r="E92" s="137" t="s">
        <v>193</v>
      </c>
      <c r="F92" s="137" t="s">
        <v>193</v>
      </c>
      <c r="G92" s="137" t="s">
        <v>193</v>
      </c>
      <c r="H92" s="137" t="s">
        <v>193</v>
      </c>
      <c r="I92" s="137" t="s">
        <v>193</v>
      </c>
      <c r="J92" s="137" t="s">
        <v>193</v>
      </c>
      <c r="K92" s="137" t="s">
        <v>193</v>
      </c>
      <c r="L92" s="137" t="s">
        <v>193</v>
      </c>
      <c r="M92" s="137" t="s">
        <v>193</v>
      </c>
      <c r="N92" s="137" t="s">
        <v>193</v>
      </c>
      <c r="O92" s="137" t="s">
        <v>193</v>
      </c>
      <c r="P92" s="137" t="s">
        <v>193</v>
      </c>
      <c r="Q92" s="137" t="s">
        <v>193</v>
      </c>
      <c r="R92" s="137" t="s">
        <v>193</v>
      </c>
      <c r="S92" s="137" t="s">
        <v>193</v>
      </c>
      <c r="T92" s="137" t="s">
        <v>193</v>
      </c>
      <c r="U92" s="137" t="s">
        <v>193</v>
      </c>
      <c r="V92" s="137" t="s">
        <v>193</v>
      </c>
      <c r="W92" s="137" t="s">
        <v>193</v>
      </c>
      <c r="X92" s="137" t="s">
        <v>193</v>
      </c>
      <c r="Y92" s="137" t="s">
        <v>193</v>
      </c>
      <c r="Z92" s="137" t="s">
        <v>193</v>
      </c>
      <c r="AA92" s="137" t="s">
        <v>193</v>
      </c>
      <c r="AB92" s="137" t="s">
        <v>193</v>
      </c>
      <c r="AC92" s="137" t="s">
        <v>193</v>
      </c>
      <c r="AD92" s="137" t="s">
        <v>193</v>
      </c>
      <c r="AE92" s="137" t="s">
        <v>193</v>
      </c>
      <c r="AF92" s="137" t="s">
        <v>193</v>
      </c>
      <c r="AG92" s="137" t="s">
        <v>193</v>
      </c>
      <c r="AH92" s="137" t="s">
        <v>199</v>
      </c>
      <c r="AI92" s="137" t="s">
        <v>193</v>
      </c>
      <c r="AJ92" s="137" t="s">
        <v>193</v>
      </c>
      <c r="AK92" s="137" t="s">
        <v>193</v>
      </c>
      <c r="AL92" s="137" t="s">
        <v>193</v>
      </c>
      <c r="AM92" s="137" t="s">
        <v>193</v>
      </c>
      <c r="AN92" s="137" t="s">
        <v>193</v>
      </c>
      <c r="AO92" s="137" t="s">
        <v>193</v>
      </c>
      <c r="AQ92" s="12">
        <f t="shared" si="10"/>
        <v>0</v>
      </c>
      <c r="AR92" s="12">
        <f t="shared" si="9"/>
        <v>0</v>
      </c>
      <c r="AT92" s="12">
        <f t="shared" si="11"/>
        <v>0</v>
      </c>
      <c r="AU92" s="12">
        <f t="shared" si="12"/>
        <v>0</v>
      </c>
      <c r="AV92" s="13" t="str">
        <f t="shared" si="13"/>
        <v/>
      </c>
      <c r="AY92" s="12">
        <f t="shared" si="14"/>
        <v>0</v>
      </c>
      <c r="AZ92" s="12">
        <f t="shared" si="15"/>
        <v>0</v>
      </c>
      <c r="BA92" s="12">
        <f t="shared" si="15"/>
        <v>0</v>
      </c>
      <c r="BB92" s="12">
        <f t="shared" si="15"/>
        <v>0</v>
      </c>
      <c r="BC92" s="12">
        <f t="shared" si="15"/>
        <v>0</v>
      </c>
      <c r="BD92" s="12">
        <f t="shared" si="16"/>
        <v>0</v>
      </c>
    </row>
    <row r="93" spans="1:56" ht="15" customHeight="1" x14ac:dyDescent="0.25">
      <c r="A93" s="137" t="s">
        <v>315</v>
      </c>
      <c r="B93" s="137" t="s">
        <v>318</v>
      </c>
      <c r="C93" s="137">
        <v>2018</v>
      </c>
      <c r="D93" s="137" t="s">
        <v>193</v>
      </c>
      <c r="E93" s="137" t="s">
        <v>193</v>
      </c>
      <c r="F93" s="137" t="s">
        <v>193</v>
      </c>
      <c r="G93" s="137" t="s">
        <v>193</v>
      </c>
      <c r="H93" s="137" t="s">
        <v>193</v>
      </c>
      <c r="I93" s="137" t="s">
        <v>193</v>
      </c>
      <c r="J93" s="137" t="s">
        <v>193</v>
      </c>
      <c r="K93" s="137" t="s">
        <v>193</v>
      </c>
      <c r="L93" s="137" t="s">
        <v>193</v>
      </c>
      <c r="M93" s="137" t="s">
        <v>193</v>
      </c>
      <c r="N93" s="137" t="s">
        <v>193</v>
      </c>
      <c r="O93" s="137" t="s">
        <v>193</v>
      </c>
      <c r="P93" s="137" t="s">
        <v>193</v>
      </c>
      <c r="Q93" s="137" t="s">
        <v>193</v>
      </c>
      <c r="R93" s="137" t="s">
        <v>193</v>
      </c>
      <c r="S93" s="137" t="s">
        <v>193</v>
      </c>
      <c r="T93" s="137" t="s">
        <v>193</v>
      </c>
      <c r="U93" s="137" t="s">
        <v>193</v>
      </c>
      <c r="V93" s="137" t="s">
        <v>193</v>
      </c>
      <c r="W93" s="137" t="s">
        <v>193</v>
      </c>
      <c r="X93" s="137" t="s">
        <v>193</v>
      </c>
      <c r="Y93" s="137" t="s">
        <v>193</v>
      </c>
      <c r="Z93" s="137" t="s">
        <v>193</v>
      </c>
      <c r="AA93" s="137" t="s">
        <v>193</v>
      </c>
      <c r="AB93" s="137" t="s">
        <v>193</v>
      </c>
      <c r="AC93" s="137" t="s">
        <v>193</v>
      </c>
      <c r="AD93" s="137" t="s">
        <v>193</v>
      </c>
      <c r="AE93" s="137" t="s">
        <v>193</v>
      </c>
      <c r="AF93" s="137" t="s">
        <v>193</v>
      </c>
      <c r="AG93" s="137" t="s">
        <v>193</v>
      </c>
      <c r="AH93" s="137" t="s">
        <v>199</v>
      </c>
      <c r="AI93" s="137" t="s">
        <v>193</v>
      </c>
      <c r="AJ93" s="137" t="s">
        <v>193</v>
      </c>
      <c r="AK93" s="137" t="s">
        <v>193</v>
      </c>
      <c r="AL93" s="137" t="s">
        <v>193</v>
      </c>
      <c r="AM93" s="137" t="s">
        <v>193</v>
      </c>
      <c r="AN93" s="137" t="s">
        <v>193</v>
      </c>
      <c r="AO93" s="137" t="s">
        <v>193</v>
      </c>
      <c r="AQ93" s="12">
        <f t="shared" si="10"/>
        <v>0</v>
      </c>
      <c r="AR93" s="12">
        <f t="shared" si="9"/>
        <v>0</v>
      </c>
      <c r="AT93" s="12">
        <f t="shared" si="11"/>
        <v>0</v>
      </c>
      <c r="AU93" s="12">
        <f t="shared" si="12"/>
        <v>0</v>
      </c>
      <c r="AV93" s="13" t="str">
        <f t="shared" si="13"/>
        <v/>
      </c>
      <c r="AY93" s="12">
        <f t="shared" si="14"/>
        <v>0</v>
      </c>
      <c r="AZ93" s="12">
        <f t="shared" si="15"/>
        <v>0</v>
      </c>
      <c r="BA93" s="12">
        <f t="shared" si="15"/>
        <v>0</v>
      </c>
      <c r="BB93" s="12">
        <f t="shared" si="15"/>
        <v>0</v>
      </c>
      <c r="BC93" s="12">
        <f t="shared" si="15"/>
        <v>0</v>
      </c>
      <c r="BD93" s="12">
        <f t="shared" si="16"/>
        <v>0</v>
      </c>
    </row>
    <row r="94" spans="1:56" ht="15" customHeight="1" x14ac:dyDescent="0.25">
      <c r="A94" s="137" t="s">
        <v>315</v>
      </c>
      <c r="B94" s="137" t="s">
        <v>319</v>
      </c>
      <c r="C94" s="137">
        <v>2018</v>
      </c>
      <c r="D94" s="137" t="s">
        <v>193</v>
      </c>
      <c r="E94" s="137" t="s">
        <v>193</v>
      </c>
      <c r="F94" s="137" t="s">
        <v>193</v>
      </c>
      <c r="G94" s="137" t="s">
        <v>193</v>
      </c>
      <c r="H94" s="137" t="s">
        <v>193</v>
      </c>
      <c r="I94" s="137" t="s">
        <v>193</v>
      </c>
      <c r="J94" s="137" t="s">
        <v>193</v>
      </c>
      <c r="K94" s="137" t="s">
        <v>193</v>
      </c>
      <c r="L94" s="137" t="s">
        <v>193</v>
      </c>
      <c r="M94" s="137" t="s">
        <v>193</v>
      </c>
      <c r="N94" s="137" t="s">
        <v>193</v>
      </c>
      <c r="O94" s="137" t="s">
        <v>193</v>
      </c>
      <c r="P94" s="137" t="s">
        <v>193</v>
      </c>
      <c r="Q94" s="137" t="s">
        <v>193</v>
      </c>
      <c r="R94" s="137" t="s">
        <v>193</v>
      </c>
      <c r="S94" s="137" t="s">
        <v>193</v>
      </c>
      <c r="T94" s="137" t="s">
        <v>193</v>
      </c>
      <c r="U94" s="137" t="s">
        <v>193</v>
      </c>
      <c r="V94" s="137" t="s">
        <v>193</v>
      </c>
      <c r="W94" s="137" t="s">
        <v>193</v>
      </c>
      <c r="X94" s="137" t="s">
        <v>193</v>
      </c>
      <c r="Y94" s="137" t="s">
        <v>193</v>
      </c>
      <c r="Z94" s="137" t="s">
        <v>193</v>
      </c>
      <c r="AA94" s="137" t="s">
        <v>193</v>
      </c>
      <c r="AB94" s="137" t="s">
        <v>193</v>
      </c>
      <c r="AC94" s="137" t="s">
        <v>193</v>
      </c>
      <c r="AD94" s="137" t="s">
        <v>193</v>
      </c>
      <c r="AE94" s="137" t="s">
        <v>193</v>
      </c>
      <c r="AF94" s="137" t="s">
        <v>193</v>
      </c>
      <c r="AG94" s="137" t="s">
        <v>193</v>
      </c>
      <c r="AH94" s="137" t="s">
        <v>199</v>
      </c>
      <c r="AI94" s="137" t="s">
        <v>193</v>
      </c>
      <c r="AJ94" s="137" t="s">
        <v>193</v>
      </c>
      <c r="AK94" s="137" t="s">
        <v>193</v>
      </c>
      <c r="AL94" s="137" t="s">
        <v>193</v>
      </c>
      <c r="AM94" s="137" t="s">
        <v>193</v>
      </c>
      <c r="AN94" s="137" t="s">
        <v>193</v>
      </c>
      <c r="AO94" s="137" t="s">
        <v>193</v>
      </c>
      <c r="AQ94" s="12">
        <f t="shared" si="10"/>
        <v>0</v>
      </c>
      <c r="AR94" s="12">
        <f t="shared" si="9"/>
        <v>0</v>
      </c>
      <c r="AT94" s="12">
        <f t="shared" si="11"/>
        <v>0</v>
      </c>
      <c r="AU94" s="12">
        <f t="shared" si="12"/>
        <v>0</v>
      </c>
      <c r="AV94" s="13" t="str">
        <f t="shared" si="13"/>
        <v/>
      </c>
      <c r="AY94" s="12">
        <f t="shared" si="14"/>
        <v>0</v>
      </c>
      <c r="AZ94" s="12">
        <f t="shared" si="15"/>
        <v>0</v>
      </c>
      <c r="BA94" s="12">
        <f t="shared" si="15"/>
        <v>0</v>
      </c>
      <c r="BB94" s="12">
        <f t="shared" si="15"/>
        <v>0</v>
      </c>
      <c r="BC94" s="12">
        <f t="shared" si="15"/>
        <v>0</v>
      </c>
      <c r="BD94" s="12">
        <f t="shared" si="16"/>
        <v>0</v>
      </c>
    </row>
    <row r="95" spans="1:56" ht="15" customHeight="1" x14ac:dyDescent="0.25">
      <c r="A95" s="137" t="s">
        <v>320</v>
      </c>
      <c r="B95" s="137" t="s">
        <v>321</v>
      </c>
      <c r="C95" s="137">
        <v>2018</v>
      </c>
      <c r="D95" s="137">
        <v>184</v>
      </c>
      <c r="E95" s="137">
        <v>34</v>
      </c>
      <c r="F95" s="137" t="s">
        <v>193</v>
      </c>
      <c r="G95" s="137" t="s">
        <v>193</v>
      </c>
      <c r="H95" s="137" t="s">
        <v>193</v>
      </c>
      <c r="I95" s="137">
        <v>264.5</v>
      </c>
      <c r="J95" s="137" t="s">
        <v>193</v>
      </c>
      <c r="K95" s="137" t="s">
        <v>193</v>
      </c>
      <c r="L95" s="137" t="s">
        <v>193</v>
      </c>
      <c r="M95" s="137" t="s">
        <v>193</v>
      </c>
      <c r="N95" s="137" t="s">
        <v>193</v>
      </c>
      <c r="O95" s="137" t="s">
        <v>193</v>
      </c>
      <c r="P95" s="137" t="s">
        <v>193</v>
      </c>
      <c r="Q95" s="137">
        <v>3.5</v>
      </c>
      <c r="R95" s="137">
        <v>9</v>
      </c>
      <c r="S95" s="137">
        <v>32</v>
      </c>
      <c r="T95" s="137">
        <v>76</v>
      </c>
      <c r="U95" s="137" t="s">
        <v>193</v>
      </c>
      <c r="V95" s="137" t="s">
        <v>193</v>
      </c>
      <c r="W95" s="137" t="s">
        <v>193</v>
      </c>
      <c r="X95" s="137" t="s">
        <v>193</v>
      </c>
      <c r="Y95" s="137" t="s">
        <v>193</v>
      </c>
      <c r="Z95" s="137" t="s">
        <v>193</v>
      </c>
      <c r="AA95" s="137" t="s">
        <v>193</v>
      </c>
      <c r="AB95" s="137" t="s">
        <v>193</v>
      </c>
      <c r="AC95" s="137" t="s">
        <v>193</v>
      </c>
      <c r="AD95" s="137" t="s">
        <v>193</v>
      </c>
      <c r="AE95" s="137">
        <v>122</v>
      </c>
      <c r="AF95" s="137" t="s">
        <v>193</v>
      </c>
      <c r="AG95" s="137" t="s">
        <v>193</v>
      </c>
      <c r="AH95" s="137" t="s">
        <v>199</v>
      </c>
      <c r="AI95" s="137" t="s">
        <v>193</v>
      </c>
      <c r="AJ95" s="137" t="s">
        <v>193</v>
      </c>
      <c r="AK95" s="137">
        <v>22</v>
      </c>
      <c r="AL95" s="137">
        <v>58</v>
      </c>
      <c r="AM95" s="137" t="s">
        <v>193</v>
      </c>
      <c r="AN95" s="137">
        <v>0</v>
      </c>
      <c r="AO95" s="137">
        <v>42</v>
      </c>
      <c r="AQ95" s="12">
        <f t="shared" si="10"/>
        <v>242.5</v>
      </c>
      <c r="AR95" s="12">
        <f t="shared" si="9"/>
        <v>264.5</v>
      </c>
      <c r="AT95" s="12">
        <f t="shared" si="11"/>
        <v>184</v>
      </c>
      <c r="AU95" s="12">
        <f t="shared" si="12"/>
        <v>34</v>
      </c>
      <c r="AV95" s="13">
        <f t="shared" si="13"/>
        <v>0.82419659735349715</v>
      </c>
      <c r="AY95" s="12">
        <f t="shared" si="14"/>
        <v>22</v>
      </c>
      <c r="AZ95" s="12">
        <f t="shared" si="15"/>
        <v>12.76</v>
      </c>
      <c r="BA95" s="12">
        <f t="shared" si="15"/>
        <v>0</v>
      </c>
      <c r="BB95" s="12">
        <f t="shared" si="15"/>
        <v>0</v>
      </c>
      <c r="BC95" s="12">
        <f t="shared" si="15"/>
        <v>9.24</v>
      </c>
      <c r="BD95" s="12">
        <f t="shared" si="16"/>
        <v>0</v>
      </c>
    </row>
    <row r="96" spans="1:56" ht="15" customHeight="1" x14ac:dyDescent="0.25">
      <c r="A96" s="137" t="s">
        <v>322</v>
      </c>
      <c r="B96" s="137" t="s">
        <v>323</v>
      </c>
      <c r="C96" s="137">
        <v>2018</v>
      </c>
      <c r="D96" s="137">
        <v>232.85599999999999</v>
      </c>
      <c r="E96" s="137">
        <v>80.683000000000007</v>
      </c>
      <c r="F96" s="137" t="s">
        <v>193</v>
      </c>
      <c r="G96" s="137" t="s">
        <v>193</v>
      </c>
      <c r="H96" s="137" t="s">
        <v>193</v>
      </c>
      <c r="I96" s="137">
        <v>446.745</v>
      </c>
      <c r="J96" s="137" t="s">
        <v>193</v>
      </c>
      <c r="K96" s="137" t="s">
        <v>193</v>
      </c>
      <c r="L96" s="137" t="s">
        <v>193</v>
      </c>
      <c r="M96" s="137" t="s">
        <v>193</v>
      </c>
      <c r="N96" s="137" t="s">
        <v>193</v>
      </c>
      <c r="O96" s="137" t="s">
        <v>193</v>
      </c>
      <c r="P96" s="137" t="s">
        <v>193</v>
      </c>
      <c r="Q96" s="137">
        <v>26.225000000000001</v>
      </c>
      <c r="R96" s="137">
        <v>178.66900000000001</v>
      </c>
      <c r="S96" s="137">
        <v>14.99</v>
      </c>
      <c r="T96" s="137" t="s">
        <v>193</v>
      </c>
      <c r="U96" s="137" t="s">
        <v>193</v>
      </c>
      <c r="V96" s="137" t="s">
        <v>193</v>
      </c>
      <c r="W96" s="137" t="s">
        <v>193</v>
      </c>
      <c r="X96" s="137" t="s">
        <v>193</v>
      </c>
      <c r="Y96" s="137" t="s">
        <v>193</v>
      </c>
      <c r="Z96" s="137" t="s">
        <v>193</v>
      </c>
      <c r="AA96" s="137">
        <v>142.47300000000001</v>
      </c>
      <c r="AB96" s="137" t="s">
        <v>193</v>
      </c>
      <c r="AC96" s="137">
        <v>0.13200000000000001</v>
      </c>
      <c r="AD96" s="137" t="s">
        <v>193</v>
      </c>
      <c r="AE96" s="137" t="s">
        <v>193</v>
      </c>
      <c r="AF96" s="137" t="s">
        <v>193</v>
      </c>
      <c r="AG96" s="137" t="s">
        <v>193</v>
      </c>
      <c r="AH96" s="137" t="s">
        <v>199</v>
      </c>
      <c r="AI96" s="137" t="s">
        <v>193</v>
      </c>
      <c r="AJ96" s="137" t="s">
        <v>193</v>
      </c>
      <c r="AK96" s="137">
        <v>84.256</v>
      </c>
      <c r="AL96" s="137">
        <v>100</v>
      </c>
      <c r="AM96" s="137">
        <v>0</v>
      </c>
      <c r="AN96" s="137">
        <v>0</v>
      </c>
      <c r="AO96" s="137">
        <v>0</v>
      </c>
      <c r="AQ96" s="12">
        <f t="shared" si="10"/>
        <v>362.48900000000003</v>
      </c>
      <c r="AR96" s="12">
        <f t="shared" si="9"/>
        <v>446.745</v>
      </c>
      <c r="AT96" s="12">
        <f t="shared" si="11"/>
        <v>232.85599999999999</v>
      </c>
      <c r="AU96" s="12">
        <f t="shared" si="12"/>
        <v>80.683000000000007</v>
      </c>
      <c r="AV96" s="13">
        <f t="shared" si="13"/>
        <v>0.70182990296477854</v>
      </c>
      <c r="AY96" s="12">
        <f t="shared" si="14"/>
        <v>84.256</v>
      </c>
      <c r="AZ96" s="12">
        <f t="shared" si="15"/>
        <v>84.256</v>
      </c>
      <c r="BA96" s="12">
        <f t="shared" si="15"/>
        <v>0</v>
      </c>
      <c r="BB96" s="12">
        <f t="shared" si="15"/>
        <v>0</v>
      </c>
      <c r="BC96" s="12">
        <f t="shared" si="15"/>
        <v>0</v>
      </c>
      <c r="BD96" s="12">
        <f t="shared" si="16"/>
        <v>0</v>
      </c>
    </row>
    <row r="97" spans="1:56" ht="15" customHeight="1" x14ac:dyDescent="0.25">
      <c r="A97" s="137" t="s">
        <v>324</v>
      </c>
      <c r="B97" s="137" t="s">
        <v>325</v>
      </c>
      <c r="C97" s="137">
        <v>2018</v>
      </c>
      <c r="D97" s="137" t="s">
        <v>193</v>
      </c>
      <c r="E97" s="137" t="s">
        <v>193</v>
      </c>
      <c r="F97" s="137" t="s">
        <v>193</v>
      </c>
      <c r="G97" s="137" t="s">
        <v>193</v>
      </c>
      <c r="H97" s="137" t="s">
        <v>193</v>
      </c>
      <c r="I97" s="137" t="s">
        <v>193</v>
      </c>
      <c r="J97" s="137" t="s">
        <v>193</v>
      </c>
      <c r="K97" s="137" t="s">
        <v>193</v>
      </c>
      <c r="L97" s="137" t="s">
        <v>193</v>
      </c>
      <c r="M97" s="137" t="s">
        <v>193</v>
      </c>
      <c r="N97" s="137" t="s">
        <v>193</v>
      </c>
      <c r="O97" s="137" t="s">
        <v>193</v>
      </c>
      <c r="P97" s="137" t="s">
        <v>193</v>
      </c>
      <c r="Q97" s="137" t="s">
        <v>193</v>
      </c>
      <c r="R97" s="137" t="s">
        <v>193</v>
      </c>
      <c r="S97" s="137" t="s">
        <v>193</v>
      </c>
      <c r="T97" s="137" t="s">
        <v>193</v>
      </c>
      <c r="U97" s="137" t="s">
        <v>193</v>
      </c>
      <c r="V97" s="137" t="s">
        <v>193</v>
      </c>
      <c r="W97" s="137" t="s">
        <v>193</v>
      </c>
      <c r="X97" s="137" t="s">
        <v>193</v>
      </c>
      <c r="Y97" s="137" t="s">
        <v>193</v>
      </c>
      <c r="Z97" s="137" t="s">
        <v>193</v>
      </c>
      <c r="AA97" s="137" t="s">
        <v>193</v>
      </c>
      <c r="AB97" s="137" t="s">
        <v>193</v>
      </c>
      <c r="AC97" s="137" t="s">
        <v>193</v>
      </c>
      <c r="AD97" s="137" t="s">
        <v>193</v>
      </c>
      <c r="AE97" s="137" t="s">
        <v>193</v>
      </c>
      <c r="AF97" s="137" t="s">
        <v>193</v>
      </c>
      <c r="AG97" s="137" t="s">
        <v>193</v>
      </c>
      <c r="AH97" s="137" t="s">
        <v>199</v>
      </c>
      <c r="AI97" s="137" t="s">
        <v>193</v>
      </c>
      <c r="AJ97" s="137" t="s">
        <v>193</v>
      </c>
      <c r="AK97" s="137" t="s">
        <v>193</v>
      </c>
      <c r="AL97" s="137" t="s">
        <v>193</v>
      </c>
      <c r="AM97" s="137" t="s">
        <v>193</v>
      </c>
      <c r="AN97" s="137" t="s">
        <v>193</v>
      </c>
      <c r="AO97" s="137" t="s">
        <v>193</v>
      </c>
      <c r="AQ97" s="12">
        <f t="shared" si="10"/>
        <v>0</v>
      </c>
      <c r="AR97" s="12">
        <f t="shared" si="9"/>
        <v>0</v>
      </c>
      <c r="AT97" s="12">
        <f t="shared" si="11"/>
        <v>0</v>
      </c>
      <c r="AU97" s="12">
        <f t="shared" si="12"/>
        <v>0</v>
      </c>
      <c r="AV97" s="13" t="str">
        <f t="shared" si="13"/>
        <v/>
      </c>
      <c r="AY97" s="12">
        <f t="shared" si="14"/>
        <v>0</v>
      </c>
      <c r="AZ97" s="12">
        <f t="shared" si="15"/>
        <v>0</v>
      </c>
      <c r="BA97" s="12">
        <f t="shared" si="15"/>
        <v>0</v>
      </c>
      <c r="BB97" s="12">
        <f t="shared" si="15"/>
        <v>0</v>
      </c>
      <c r="BC97" s="12">
        <f t="shared" si="15"/>
        <v>0</v>
      </c>
      <c r="BD97" s="12">
        <f t="shared" si="16"/>
        <v>0</v>
      </c>
    </row>
    <row r="98" spans="1:56" ht="15" customHeight="1" x14ac:dyDescent="0.25">
      <c r="A98" s="137" t="s">
        <v>324</v>
      </c>
      <c r="B98" s="137" t="s">
        <v>326</v>
      </c>
      <c r="C98" s="137">
        <v>2018</v>
      </c>
      <c r="D98" s="137">
        <v>636.01499999999999</v>
      </c>
      <c r="E98" s="137">
        <v>430.66699999999997</v>
      </c>
      <c r="F98" s="137" t="s">
        <v>193</v>
      </c>
      <c r="G98" s="137" t="s">
        <v>193</v>
      </c>
      <c r="H98" s="137" t="s">
        <v>193</v>
      </c>
      <c r="I98" s="137">
        <v>1241.413</v>
      </c>
      <c r="J98" s="137" t="s">
        <v>193</v>
      </c>
      <c r="K98" s="137">
        <v>0.48299999999999998</v>
      </c>
      <c r="L98" s="137" t="s">
        <v>193</v>
      </c>
      <c r="M98" s="137" t="s">
        <v>193</v>
      </c>
      <c r="N98" s="137">
        <v>1034.5730000000001</v>
      </c>
      <c r="O98" s="137" t="s">
        <v>193</v>
      </c>
      <c r="P98" s="137" t="s">
        <v>193</v>
      </c>
      <c r="Q98" s="137">
        <v>75.674999999999997</v>
      </c>
      <c r="R98" s="137">
        <v>38.679000000000002</v>
      </c>
      <c r="S98" s="137">
        <v>30.27</v>
      </c>
      <c r="T98" s="137" t="s">
        <v>193</v>
      </c>
      <c r="U98" s="137" t="s">
        <v>193</v>
      </c>
      <c r="V98" s="137">
        <v>23.542999999999999</v>
      </c>
      <c r="W98" s="137" t="s">
        <v>194</v>
      </c>
      <c r="X98" s="137" t="s">
        <v>193</v>
      </c>
      <c r="Y98" s="137" t="s">
        <v>193</v>
      </c>
      <c r="Z98" s="137" t="s">
        <v>193</v>
      </c>
      <c r="AA98" s="137" t="s">
        <v>193</v>
      </c>
      <c r="AB98" s="137" t="s">
        <v>193</v>
      </c>
      <c r="AC98" s="137">
        <v>0.628</v>
      </c>
      <c r="AD98" s="137" t="s">
        <v>193</v>
      </c>
      <c r="AE98" s="137" t="s">
        <v>193</v>
      </c>
      <c r="AF98" s="137" t="s">
        <v>193</v>
      </c>
      <c r="AG98" s="137" t="s">
        <v>193</v>
      </c>
      <c r="AH98" s="137" t="s">
        <v>199</v>
      </c>
      <c r="AI98" s="137" t="s">
        <v>193</v>
      </c>
      <c r="AJ98" s="137" t="s">
        <v>193</v>
      </c>
      <c r="AK98" s="137">
        <v>37.561999999999998</v>
      </c>
      <c r="AL98" s="137">
        <v>100</v>
      </c>
      <c r="AM98" s="137">
        <v>0</v>
      </c>
      <c r="AN98" s="137">
        <v>0</v>
      </c>
      <c r="AO98" s="137" t="s">
        <v>193</v>
      </c>
      <c r="AQ98" s="12">
        <f t="shared" si="10"/>
        <v>1203.8509999999999</v>
      </c>
      <c r="AR98" s="12">
        <f t="shared" si="9"/>
        <v>1241.4129999999998</v>
      </c>
      <c r="AT98" s="12">
        <f t="shared" si="11"/>
        <v>636.01499999999999</v>
      </c>
      <c r="AU98" s="12">
        <f t="shared" si="12"/>
        <v>430.66699999999997</v>
      </c>
      <c r="AV98" s="13">
        <f t="shared" si="13"/>
        <v>0.85924829206718489</v>
      </c>
      <c r="AY98" s="12">
        <f t="shared" si="14"/>
        <v>37.561999999999998</v>
      </c>
      <c r="AZ98" s="12">
        <f t="shared" si="15"/>
        <v>37.561999999999998</v>
      </c>
      <c r="BA98" s="12">
        <f t="shared" si="15"/>
        <v>0</v>
      </c>
      <c r="BB98" s="12">
        <f t="shared" si="15"/>
        <v>0</v>
      </c>
      <c r="BC98" s="12">
        <f t="shared" si="15"/>
        <v>0</v>
      </c>
      <c r="BD98" s="12">
        <f t="shared" si="16"/>
        <v>0</v>
      </c>
    </row>
    <row r="99" spans="1:56" ht="15" customHeight="1" x14ac:dyDescent="0.25">
      <c r="A99" s="137" t="s">
        <v>324</v>
      </c>
      <c r="B99" s="137" t="s">
        <v>328</v>
      </c>
      <c r="C99" s="137">
        <v>2018</v>
      </c>
      <c r="D99" s="137">
        <v>142.43</v>
      </c>
      <c r="E99" s="137">
        <v>18.640999999999998</v>
      </c>
      <c r="F99" s="137" t="s">
        <v>193</v>
      </c>
      <c r="G99" s="137" t="s">
        <v>193</v>
      </c>
      <c r="H99" s="137" t="s">
        <v>193</v>
      </c>
      <c r="I99" s="137">
        <v>228.64</v>
      </c>
      <c r="J99" s="137" t="s">
        <v>193</v>
      </c>
      <c r="K99" s="137" t="s">
        <v>193</v>
      </c>
      <c r="L99" s="137" t="s">
        <v>193</v>
      </c>
      <c r="M99" s="137" t="s">
        <v>193</v>
      </c>
      <c r="N99" s="137" t="s">
        <v>193</v>
      </c>
      <c r="O99" s="137" t="s">
        <v>193</v>
      </c>
      <c r="P99" s="137" t="s">
        <v>193</v>
      </c>
      <c r="Q99" s="137">
        <v>83.846000000000004</v>
      </c>
      <c r="R99" s="137">
        <v>42.854999999999997</v>
      </c>
      <c r="S99" s="137">
        <v>33.539000000000001</v>
      </c>
      <c r="T99" s="137" t="s">
        <v>193</v>
      </c>
      <c r="U99" s="137" t="s">
        <v>193</v>
      </c>
      <c r="V99" s="137">
        <v>26.085999999999999</v>
      </c>
      <c r="W99" s="137" t="s">
        <v>193</v>
      </c>
      <c r="X99" s="137" t="s">
        <v>193</v>
      </c>
      <c r="Y99" s="137" t="s">
        <v>193</v>
      </c>
      <c r="Z99" s="137" t="s">
        <v>193</v>
      </c>
      <c r="AA99" s="137" t="s">
        <v>193</v>
      </c>
      <c r="AB99" s="137" t="s">
        <v>193</v>
      </c>
      <c r="AC99" s="137">
        <v>0.69599999999999995</v>
      </c>
      <c r="AD99" s="137" t="s">
        <v>193</v>
      </c>
      <c r="AE99" s="137" t="s">
        <v>193</v>
      </c>
      <c r="AF99" s="137" t="s">
        <v>193</v>
      </c>
      <c r="AG99" s="137" t="s">
        <v>193</v>
      </c>
      <c r="AH99" s="137" t="s">
        <v>199</v>
      </c>
      <c r="AI99" s="137" t="s">
        <v>193</v>
      </c>
      <c r="AJ99" s="137" t="s">
        <v>193</v>
      </c>
      <c r="AK99" s="137">
        <v>41.618000000000002</v>
      </c>
      <c r="AL99" s="137">
        <v>100</v>
      </c>
      <c r="AM99" s="137">
        <v>0</v>
      </c>
      <c r="AN99" s="137">
        <v>0</v>
      </c>
      <c r="AO99" s="137">
        <v>0</v>
      </c>
      <c r="AQ99" s="12">
        <f t="shared" si="10"/>
        <v>187.02200000000002</v>
      </c>
      <c r="AR99" s="12">
        <f t="shared" si="9"/>
        <v>228.64000000000001</v>
      </c>
      <c r="AT99" s="12">
        <f t="shared" si="11"/>
        <v>142.43</v>
      </c>
      <c r="AU99" s="12">
        <f t="shared" si="12"/>
        <v>18.640999999999998</v>
      </c>
      <c r="AV99" s="13">
        <f t="shared" si="13"/>
        <v>0.70447428271518542</v>
      </c>
      <c r="AY99" s="12">
        <f t="shared" si="14"/>
        <v>41.618000000000002</v>
      </c>
      <c r="AZ99" s="12">
        <f t="shared" si="15"/>
        <v>41.618000000000002</v>
      </c>
      <c r="BA99" s="12">
        <f t="shared" si="15"/>
        <v>0</v>
      </c>
      <c r="BB99" s="12">
        <f t="shared" si="15"/>
        <v>0</v>
      </c>
      <c r="BC99" s="12">
        <f t="shared" si="15"/>
        <v>0</v>
      </c>
      <c r="BD99" s="12">
        <f t="shared" si="16"/>
        <v>0</v>
      </c>
    </row>
    <row r="100" spans="1:56" ht="15" customHeight="1" x14ac:dyDescent="0.25">
      <c r="A100" s="137" t="s">
        <v>324</v>
      </c>
      <c r="B100" s="137" t="s">
        <v>324</v>
      </c>
      <c r="C100" s="137">
        <v>2018</v>
      </c>
      <c r="D100" s="137" t="s">
        <v>193</v>
      </c>
      <c r="E100" s="137" t="s">
        <v>193</v>
      </c>
      <c r="F100" s="137" t="s">
        <v>193</v>
      </c>
      <c r="G100" s="137" t="s">
        <v>193</v>
      </c>
      <c r="H100" s="137" t="s">
        <v>193</v>
      </c>
      <c r="I100" s="137" t="s">
        <v>193</v>
      </c>
      <c r="J100" s="137" t="s">
        <v>193</v>
      </c>
      <c r="K100" s="137" t="s">
        <v>193</v>
      </c>
      <c r="L100" s="137" t="s">
        <v>193</v>
      </c>
      <c r="M100" s="137" t="s">
        <v>193</v>
      </c>
      <c r="N100" s="137" t="s">
        <v>193</v>
      </c>
      <c r="O100" s="137" t="s">
        <v>193</v>
      </c>
      <c r="P100" s="137" t="s">
        <v>193</v>
      </c>
      <c r="Q100" s="137" t="s">
        <v>193</v>
      </c>
      <c r="R100" s="137" t="s">
        <v>193</v>
      </c>
      <c r="S100" s="137" t="s">
        <v>193</v>
      </c>
      <c r="T100" s="137" t="s">
        <v>193</v>
      </c>
      <c r="U100" s="137" t="s">
        <v>193</v>
      </c>
      <c r="V100" s="137" t="s">
        <v>193</v>
      </c>
      <c r="W100" s="137" t="s">
        <v>193</v>
      </c>
      <c r="X100" s="137" t="s">
        <v>193</v>
      </c>
      <c r="Y100" s="137" t="s">
        <v>193</v>
      </c>
      <c r="Z100" s="137" t="s">
        <v>193</v>
      </c>
      <c r="AA100" s="137" t="s">
        <v>193</v>
      </c>
      <c r="AB100" s="137" t="s">
        <v>193</v>
      </c>
      <c r="AC100" s="137" t="s">
        <v>193</v>
      </c>
      <c r="AD100" s="137" t="s">
        <v>193</v>
      </c>
      <c r="AE100" s="137" t="s">
        <v>193</v>
      </c>
      <c r="AF100" s="137" t="s">
        <v>193</v>
      </c>
      <c r="AG100" s="137" t="s">
        <v>193</v>
      </c>
      <c r="AH100" s="137" t="s">
        <v>199</v>
      </c>
      <c r="AI100" s="137" t="s">
        <v>193</v>
      </c>
      <c r="AJ100" s="137" t="s">
        <v>193</v>
      </c>
      <c r="AK100" s="137" t="s">
        <v>193</v>
      </c>
      <c r="AL100" s="137" t="s">
        <v>193</v>
      </c>
      <c r="AM100" s="137" t="s">
        <v>193</v>
      </c>
      <c r="AN100" s="137" t="s">
        <v>193</v>
      </c>
      <c r="AO100" s="137" t="s">
        <v>193</v>
      </c>
      <c r="AQ100" s="12">
        <f t="shared" si="10"/>
        <v>0</v>
      </c>
      <c r="AR100" s="12">
        <f t="shared" si="9"/>
        <v>0</v>
      </c>
      <c r="AT100" s="12">
        <f t="shared" si="11"/>
        <v>0</v>
      </c>
      <c r="AU100" s="12">
        <f t="shared" si="12"/>
        <v>0</v>
      </c>
      <c r="AV100" s="13" t="str">
        <f t="shared" si="13"/>
        <v/>
      </c>
      <c r="AY100" s="12">
        <f t="shared" si="14"/>
        <v>0</v>
      </c>
      <c r="AZ100" s="12">
        <f t="shared" si="15"/>
        <v>0</v>
      </c>
      <c r="BA100" s="12">
        <f t="shared" si="15"/>
        <v>0</v>
      </c>
      <c r="BB100" s="12">
        <f t="shared" si="15"/>
        <v>0</v>
      </c>
      <c r="BC100" s="12">
        <f t="shared" si="15"/>
        <v>0</v>
      </c>
      <c r="BD100" s="12">
        <f t="shared" si="16"/>
        <v>0</v>
      </c>
    </row>
    <row r="101" spans="1:56" ht="15" customHeight="1" x14ac:dyDescent="0.25">
      <c r="A101" s="137" t="s">
        <v>324</v>
      </c>
      <c r="B101" s="137" t="s">
        <v>329</v>
      </c>
      <c r="C101" s="137">
        <v>2018</v>
      </c>
      <c r="D101" s="137" t="s">
        <v>53</v>
      </c>
      <c r="E101" s="137" t="s">
        <v>53</v>
      </c>
      <c r="F101" s="137" t="s">
        <v>53</v>
      </c>
      <c r="G101" s="137" t="s">
        <v>53</v>
      </c>
      <c r="H101" s="137" t="s">
        <v>53</v>
      </c>
      <c r="I101" s="137" t="s">
        <v>53</v>
      </c>
      <c r="J101" s="137" t="s">
        <v>53</v>
      </c>
      <c r="K101" s="137" t="s">
        <v>53</v>
      </c>
      <c r="L101" s="137" t="s">
        <v>53</v>
      </c>
      <c r="M101" s="137" t="s">
        <v>53</v>
      </c>
      <c r="N101" s="137" t="s">
        <v>53</v>
      </c>
      <c r="O101" s="137" t="s">
        <v>53</v>
      </c>
      <c r="P101" s="137" t="s">
        <v>53</v>
      </c>
      <c r="Q101" s="137" t="s">
        <v>53</v>
      </c>
      <c r="R101" s="137" t="s">
        <v>53</v>
      </c>
      <c r="S101" s="137" t="s">
        <v>53</v>
      </c>
      <c r="T101" s="137" t="s">
        <v>53</v>
      </c>
      <c r="U101" s="137" t="s">
        <v>53</v>
      </c>
      <c r="V101" s="137" t="s">
        <v>53</v>
      </c>
      <c r="W101" s="137" t="s">
        <v>53</v>
      </c>
      <c r="X101" s="137" t="s">
        <v>53</v>
      </c>
      <c r="Y101" s="137" t="s">
        <v>53</v>
      </c>
      <c r="Z101" s="137" t="s">
        <v>53</v>
      </c>
      <c r="AA101" s="137" t="s">
        <v>53</v>
      </c>
      <c r="AB101" s="137" t="s">
        <v>53</v>
      </c>
      <c r="AC101" s="137" t="s">
        <v>53</v>
      </c>
      <c r="AD101" s="137" t="s">
        <v>53</v>
      </c>
      <c r="AE101" s="137" t="s">
        <v>53</v>
      </c>
      <c r="AF101" s="137" t="s">
        <v>53</v>
      </c>
      <c r="AG101" s="137" t="s">
        <v>53</v>
      </c>
      <c r="AH101" s="137" t="s">
        <v>53</v>
      </c>
      <c r="AI101" s="137" t="s">
        <v>53</v>
      </c>
      <c r="AJ101" s="137" t="s">
        <v>53</v>
      </c>
      <c r="AK101" s="137" t="s">
        <v>53</v>
      </c>
      <c r="AL101" s="137" t="s">
        <v>53</v>
      </c>
      <c r="AM101" s="137" t="s">
        <v>53</v>
      </c>
      <c r="AN101" s="137" t="s">
        <v>53</v>
      </c>
      <c r="AO101" s="137" t="s">
        <v>53</v>
      </c>
      <c r="AQ101" s="12">
        <f t="shared" si="10"/>
        <v>0</v>
      </c>
      <c r="AR101" s="12">
        <f t="shared" si="9"/>
        <v>0</v>
      </c>
      <c r="AT101" s="12">
        <f t="shared" si="11"/>
        <v>0</v>
      </c>
      <c r="AU101" s="12">
        <f t="shared" si="12"/>
        <v>0</v>
      </c>
      <c r="AV101" s="13" t="str">
        <f t="shared" si="13"/>
        <v/>
      </c>
      <c r="AY101" s="12">
        <f t="shared" si="14"/>
        <v>0</v>
      </c>
      <c r="AZ101" s="12">
        <f t="shared" si="15"/>
        <v>0</v>
      </c>
      <c r="BA101" s="12">
        <f t="shared" si="15"/>
        <v>0</v>
      </c>
      <c r="BB101" s="12">
        <f t="shared" si="15"/>
        <v>0</v>
      </c>
      <c r="BC101" s="12">
        <f t="shared" si="15"/>
        <v>0</v>
      </c>
      <c r="BD101" s="12">
        <f t="shared" si="16"/>
        <v>0</v>
      </c>
    </row>
    <row r="102" spans="1:56" ht="15" customHeight="1" x14ac:dyDescent="0.25">
      <c r="A102" s="137" t="s">
        <v>324</v>
      </c>
      <c r="B102" s="137" t="s">
        <v>330</v>
      </c>
      <c r="C102" s="137">
        <v>2018</v>
      </c>
      <c r="D102" s="137" t="s">
        <v>193</v>
      </c>
      <c r="E102" s="137" t="s">
        <v>193</v>
      </c>
      <c r="F102" s="137" t="s">
        <v>193</v>
      </c>
      <c r="G102" s="137" t="s">
        <v>193</v>
      </c>
      <c r="H102" s="137" t="s">
        <v>193</v>
      </c>
      <c r="I102" s="137" t="s">
        <v>193</v>
      </c>
      <c r="J102" s="137" t="s">
        <v>193</v>
      </c>
      <c r="K102" s="137" t="s">
        <v>193</v>
      </c>
      <c r="L102" s="137" t="s">
        <v>193</v>
      </c>
      <c r="M102" s="137" t="s">
        <v>193</v>
      </c>
      <c r="N102" s="137" t="s">
        <v>193</v>
      </c>
      <c r="O102" s="137" t="s">
        <v>193</v>
      </c>
      <c r="P102" s="137" t="s">
        <v>193</v>
      </c>
      <c r="Q102" s="137" t="s">
        <v>193</v>
      </c>
      <c r="R102" s="137" t="s">
        <v>193</v>
      </c>
      <c r="S102" s="137" t="s">
        <v>193</v>
      </c>
      <c r="T102" s="137" t="s">
        <v>193</v>
      </c>
      <c r="U102" s="137" t="s">
        <v>193</v>
      </c>
      <c r="V102" s="137" t="s">
        <v>193</v>
      </c>
      <c r="W102" s="137" t="s">
        <v>193</v>
      </c>
      <c r="X102" s="137" t="s">
        <v>193</v>
      </c>
      <c r="Y102" s="137" t="s">
        <v>193</v>
      </c>
      <c r="Z102" s="137" t="s">
        <v>193</v>
      </c>
      <c r="AA102" s="137" t="s">
        <v>193</v>
      </c>
      <c r="AB102" s="137" t="s">
        <v>193</v>
      </c>
      <c r="AC102" s="137" t="s">
        <v>193</v>
      </c>
      <c r="AD102" s="137" t="s">
        <v>193</v>
      </c>
      <c r="AE102" s="137" t="s">
        <v>193</v>
      </c>
      <c r="AF102" s="137" t="s">
        <v>193</v>
      </c>
      <c r="AG102" s="137" t="s">
        <v>193</v>
      </c>
      <c r="AH102" s="137" t="s">
        <v>199</v>
      </c>
      <c r="AI102" s="137" t="s">
        <v>193</v>
      </c>
      <c r="AJ102" s="137" t="s">
        <v>193</v>
      </c>
      <c r="AK102" s="137" t="s">
        <v>193</v>
      </c>
      <c r="AL102" s="137" t="s">
        <v>193</v>
      </c>
      <c r="AM102" s="137" t="s">
        <v>193</v>
      </c>
      <c r="AN102" s="137" t="s">
        <v>193</v>
      </c>
      <c r="AO102" s="137" t="s">
        <v>193</v>
      </c>
      <c r="AQ102" s="12">
        <f t="shared" si="10"/>
        <v>0</v>
      </c>
      <c r="AR102" s="12">
        <f t="shared" si="9"/>
        <v>0</v>
      </c>
      <c r="AT102" s="12">
        <f t="shared" si="11"/>
        <v>0</v>
      </c>
      <c r="AU102" s="12">
        <f t="shared" si="12"/>
        <v>0</v>
      </c>
      <c r="AV102" s="13" t="str">
        <f t="shared" si="13"/>
        <v/>
      </c>
      <c r="AY102" s="12">
        <f t="shared" si="14"/>
        <v>0</v>
      </c>
      <c r="AZ102" s="12">
        <f t="shared" si="15"/>
        <v>0</v>
      </c>
      <c r="BA102" s="12">
        <f t="shared" si="15"/>
        <v>0</v>
      </c>
      <c r="BB102" s="12">
        <f t="shared" si="15"/>
        <v>0</v>
      </c>
      <c r="BC102" s="12">
        <f t="shared" si="15"/>
        <v>0</v>
      </c>
      <c r="BD102" s="12">
        <f t="shared" si="16"/>
        <v>0</v>
      </c>
    </row>
    <row r="103" spans="1:56" ht="15" customHeight="1" x14ac:dyDescent="0.25">
      <c r="A103" s="137" t="s">
        <v>324</v>
      </c>
      <c r="B103" s="137" t="s">
        <v>331</v>
      </c>
      <c r="C103" s="137">
        <v>2018</v>
      </c>
      <c r="D103" s="137" t="s">
        <v>193</v>
      </c>
      <c r="E103" s="137" t="s">
        <v>193</v>
      </c>
      <c r="F103" s="137" t="s">
        <v>193</v>
      </c>
      <c r="G103" s="137" t="s">
        <v>193</v>
      </c>
      <c r="H103" s="137" t="s">
        <v>193</v>
      </c>
      <c r="I103" s="137" t="s">
        <v>193</v>
      </c>
      <c r="J103" s="137" t="s">
        <v>193</v>
      </c>
      <c r="K103" s="137" t="s">
        <v>193</v>
      </c>
      <c r="L103" s="137" t="s">
        <v>193</v>
      </c>
      <c r="M103" s="137" t="s">
        <v>193</v>
      </c>
      <c r="N103" s="137" t="s">
        <v>193</v>
      </c>
      <c r="O103" s="137" t="s">
        <v>193</v>
      </c>
      <c r="P103" s="137" t="s">
        <v>193</v>
      </c>
      <c r="Q103" s="137" t="s">
        <v>193</v>
      </c>
      <c r="R103" s="137" t="s">
        <v>193</v>
      </c>
      <c r="S103" s="137" t="s">
        <v>193</v>
      </c>
      <c r="T103" s="137" t="s">
        <v>193</v>
      </c>
      <c r="U103" s="137" t="s">
        <v>193</v>
      </c>
      <c r="V103" s="137" t="s">
        <v>193</v>
      </c>
      <c r="W103" s="137" t="s">
        <v>193</v>
      </c>
      <c r="X103" s="137" t="s">
        <v>193</v>
      </c>
      <c r="Y103" s="137" t="s">
        <v>193</v>
      </c>
      <c r="Z103" s="137" t="s">
        <v>193</v>
      </c>
      <c r="AA103" s="137" t="s">
        <v>193</v>
      </c>
      <c r="AB103" s="137" t="s">
        <v>193</v>
      </c>
      <c r="AC103" s="137" t="s">
        <v>193</v>
      </c>
      <c r="AD103" s="137" t="s">
        <v>193</v>
      </c>
      <c r="AE103" s="137" t="s">
        <v>193</v>
      </c>
      <c r="AF103" s="137" t="s">
        <v>193</v>
      </c>
      <c r="AG103" s="137" t="s">
        <v>193</v>
      </c>
      <c r="AH103" s="137" t="s">
        <v>199</v>
      </c>
      <c r="AI103" s="137" t="s">
        <v>193</v>
      </c>
      <c r="AJ103" s="137" t="s">
        <v>193</v>
      </c>
      <c r="AK103" s="137" t="s">
        <v>193</v>
      </c>
      <c r="AL103" s="137" t="s">
        <v>193</v>
      </c>
      <c r="AM103" s="137" t="s">
        <v>193</v>
      </c>
      <c r="AN103" s="137" t="s">
        <v>193</v>
      </c>
      <c r="AO103" s="137" t="s">
        <v>193</v>
      </c>
      <c r="AQ103" s="12">
        <f t="shared" si="10"/>
        <v>0</v>
      </c>
      <c r="AR103" s="12">
        <f t="shared" si="9"/>
        <v>0</v>
      </c>
      <c r="AT103" s="12">
        <f t="shared" si="11"/>
        <v>0</v>
      </c>
      <c r="AU103" s="12">
        <f t="shared" si="12"/>
        <v>0</v>
      </c>
      <c r="AV103" s="13" t="str">
        <f t="shared" si="13"/>
        <v/>
      </c>
      <c r="AY103" s="12">
        <f t="shared" si="14"/>
        <v>0</v>
      </c>
      <c r="AZ103" s="12">
        <f t="shared" si="15"/>
        <v>0</v>
      </c>
      <c r="BA103" s="12">
        <f t="shared" si="15"/>
        <v>0</v>
      </c>
      <c r="BB103" s="12">
        <f t="shared" si="15"/>
        <v>0</v>
      </c>
      <c r="BC103" s="12">
        <f t="shared" si="15"/>
        <v>0</v>
      </c>
      <c r="BD103" s="12">
        <f t="shared" si="16"/>
        <v>0</v>
      </c>
    </row>
    <row r="104" spans="1:56" ht="15" customHeight="1" x14ac:dyDescent="0.25">
      <c r="A104" s="137" t="s">
        <v>332</v>
      </c>
      <c r="B104" s="137" t="s">
        <v>333</v>
      </c>
      <c r="C104" s="137">
        <v>2018</v>
      </c>
      <c r="D104" s="137" t="s">
        <v>193</v>
      </c>
      <c r="E104" s="137" t="s">
        <v>193</v>
      </c>
      <c r="F104" s="137" t="s">
        <v>193</v>
      </c>
      <c r="G104" s="137" t="s">
        <v>193</v>
      </c>
      <c r="H104" s="137" t="s">
        <v>193</v>
      </c>
      <c r="I104" s="137" t="s">
        <v>193</v>
      </c>
      <c r="J104" s="137" t="s">
        <v>193</v>
      </c>
      <c r="K104" s="137" t="s">
        <v>193</v>
      </c>
      <c r="L104" s="137" t="s">
        <v>193</v>
      </c>
      <c r="M104" s="137" t="s">
        <v>193</v>
      </c>
      <c r="N104" s="137" t="s">
        <v>193</v>
      </c>
      <c r="O104" s="137" t="s">
        <v>193</v>
      </c>
      <c r="P104" s="137" t="s">
        <v>193</v>
      </c>
      <c r="Q104" s="137" t="s">
        <v>193</v>
      </c>
      <c r="R104" s="137" t="s">
        <v>193</v>
      </c>
      <c r="S104" s="137" t="s">
        <v>193</v>
      </c>
      <c r="T104" s="137" t="s">
        <v>193</v>
      </c>
      <c r="U104" s="137" t="s">
        <v>193</v>
      </c>
      <c r="V104" s="137" t="s">
        <v>193</v>
      </c>
      <c r="W104" s="137" t="s">
        <v>193</v>
      </c>
      <c r="X104" s="137" t="s">
        <v>193</v>
      </c>
      <c r="Y104" s="137" t="s">
        <v>193</v>
      </c>
      <c r="Z104" s="137" t="s">
        <v>193</v>
      </c>
      <c r="AA104" s="137" t="s">
        <v>193</v>
      </c>
      <c r="AB104" s="137" t="s">
        <v>193</v>
      </c>
      <c r="AC104" s="137" t="s">
        <v>193</v>
      </c>
      <c r="AD104" s="137" t="s">
        <v>193</v>
      </c>
      <c r="AE104" s="137" t="s">
        <v>193</v>
      </c>
      <c r="AF104" s="137" t="s">
        <v>193</v>
      </c>
      <c r="AG104" s="137" t="s">
        <v>193</v>
      </c>
      <c r="AH104" s="137" t="s">
        <v>53</v>
      </c>
      <c r="AI104" s="137" t="s">
        <v>193</v>
      </c>
      <c r="AJ104" s="137" t="s">
        <v>193</v>
      </c>
      <c r="AK104" s="137" t="s">
        <v>193</v>
      </c>
      <c r="AL104" s="137" t="s">
        <v>193</v>
      </c>
      <c r="AM104" s="137" t="s">
        <v>193</v>
      </c>
      <c r="AN104" s="137" t="s">
        <v>193</v>
      </c>
      <c r="AO104" s="137" t="s">
        <v>193</v>
      </c>
      <c r="AQ104" s="12">
        <f t="shared" si="10"/>
        <v>0</v>
      </c>
      <c r="AR104" s="12">
        <f t="shared" si="9"/>
        <v>0</v>
      </c>
      <c r="AT104" s="12">
        <f t="shared" si="11"/>
        <v>0</v>
      </c>
      <c r="AU104" s="12">
        <f t="shared" si="12"/>
        <v>0</v>
      </c>
      <c r="AV104" s="13" t="str">
        <f t="shared" si="13"/>
        <v/>
      </c>
      <c r="AY104" s="12">
        <f t="shared" si="14"/>
        <v>0</v>
      </c>
      <c r="AZ104" s="12">
        <f t="shared" si="15"/>
        <v>0</v>
      </c>
      <c r="BA104" s="12">
        <f t="shared" si="15"/>
        <v>0</v>
      </c>
      <c r="BB104" s="12">
        <f t="shared" si="15"/>
        <v>0</v>
      </c>
      <c r="BC104" s="12">
        <f t="shared" si="15"/>
        <v>0</v>
      </c>
      <c r="BD104" s="12">
        <f t="shared" si="16"/>
        <v>0</v>
      </c>
    </row>
    <row r="105" spans="1:56" ht="15" customHeight="1" x14ac:dyDescent="0.25">
      <c r="A105" s="137" t="s">
        <v>332</v>
      </c>
      <c r="B105" s="137" t="s">
        <v>334</v>
      </c>
      <c r="C105" s="137">
        <v>2018</v>
      </c>
      <c r="D105" s="137" t="s">
        <v>193</v>
      </c>
      <c r="E105" s="137" t="s">
        <v>193</v>
      </c>
      <c r="F105" s="137" t="s">
        <v>193</v>
      </c>
      <c r="G105" s="137" t="s">
        <v>193</v>
      </c>
      <c r="H105" s="137" t="s">
        <v>193</v>
      </c>
      <c r="I105" s="137" t="s">
        <v>193</v>
      </c>
      <c r="J105" s="137" t="s">
        <v>193</v>
      </c>
      <c r="K105" s="137" t="s">
        <v>193</v>
      </c>
      <c r="L105" s="137" t="s">
        <v>193</v>
      </c>
      <c r="M105" s="137" t="s">
        <v>193</v>
      </c>
      <c r="N105" s="137" t="s">
        <v>193</v>
      </c>
      <c r="O105" s="137" t="s">
        <v>193</v>
      </c>
      <c r="P105" s="137" t="s">
        <v>193</v>
      </c>
      <c r="Q105" s="137" t="s">
        <v>193</v>
      </c>
      <c r="R105" s="137" t="s">
        <v>193</v>
      </c>
      <c r="S105" s="137" t="s">
        <v>193</v>
      </c>
      <c r="T105" s="137" t="s">
        <v>193</v>
      </c>
      <c r="U105" s="137" t="s">
        <v>193</v>
      </c>
      <c r="V105" s="137" t="s">
        <v>193</v>
      </c>
      <c r="W105" s="137" t="s">
        <v>193</v>
      </c>
      <c r="X105" s="137" t="s">
        <v>193</v>
      </c>
      <c r="Y105" s="137" t="s">
        <v>193</v>
      </c>
      <c r="Z105" s="137" t="s">
        <v>193</v>
      </c>
      <c r="AA105" s="137" t="s">
        <v>193</v>
      </c>
      <c r="AB105" s="137" t="s">
        <v>193</v>
      </c>
      <c r="AC105" s="137" t="s">
        <v>193</v>
      </c>
      <c r="AD105" s="137" t="s">
        <v>193</v>
      </c>
      <c r="AE105" s="137" t="s">
        <v>193</v>
      </c>
      <c r="AF105" s="137" t="s">
        <v>193</v>
      </c>
      <c r="AG105" s="137" t="s">
        <v>193</v>
      </c>
      <c r="AH105" s="137" t="s">
        <v>53</v>
      </c>
      <c r="AI105" s="137" t="s">
        <v>193</v>
      </c>
      <c r="AJ105" s="137" t="s">
        <v>193</v>
      </c>
      <c r="AK105" s="137" t="s">
        <v>193</v>
      </c>
      <c r="AL105" s="137" t="s">
        <v>193</v>
      </c>
      <c r="AM105" s="137" t="s">
        <v>193</v>
      </c>
      <c r="AN105" s="137" t="s">
        <v>193</v>
      </c>
      <c r="AO105" s="137" t="s">
        <v>193</v>
      </c>
      <c r="AQ105" s="12">
        <f t="shared" si="10"/>
        <v>0</v>
      </c>
      <c r="AR105" s="12">
        <f t="shared" si="9"/>
        <v>0</v>
      </c>
      <c r="AT105" s="12">
        <f t="shared" si="11"/>
        <v>0</v>
      </c>
      <c r="AU105" s="12">
        <f t="shared" si="12"/>
        <v>0</v>
      </c>
      <c r="AV105" s="13" t="str">
        <f t="shared" si="13"/>
        <v/>
      </c>
      <c r="AY105" s="12">
        <f t="shared" si="14"/>
        <v>0</v>
      </c>
      <c r="AZ105" s="12">
        <f t="shared" si="15"/>
        <v>0</v>
      </c>
      <c r="BA105" s="12">
        <f t="shared" si="15"/>
        <v>0</v>
      </c>
      <c r="BB105" s="12">
        <f t="shared" si="15"/>
        <v>0</v>
      </c>
      <c r="BC105" s="12">
        <f t="shared" si="15"/>
        <v>0</v>
      </c>
      <c r="BD105" s="12">
        <f t="shared" si="16"/>
        <v>0</v>
      </c>
    </row>
    <row r="106" spans="1:56" ht="15" customHeight="1" x14ac:dyDescent="0.25">
      <c r="A106" s="137" t="s">
        <v>335</v>
      </c>
      <c r="B106" s="137" t="s">
        <v>336</v>
      </c>
      <c r="C106" s="137">
        <v>2018</v>
      </c>
      <c r="D106" s="137" t="s">
        <v>193</v>
      </c>
      <c r="E106" s="137" t="s">
        <v>193</v>
      </c>
      <c r="F106" s="137" t="s">
        <v>193</v>
      </c>
      <c r="G106" s="137" t="s">
        <v>193</v>
      </c>
      <c r="H106" s="137" t="s">
        <v>193</v>
      </c>
      <c r="I106" s="137" t="s">
        <v>193</v>
      </c>
      <c r="J106" s="137" t="s">
        <v>193</v>
      </c>
      <c r="K106" s="137" t="s">
        <v>193</v>
      </c>
      <c r="L106" s="137" t="s">
        <v>193</v>
      </c>
      <c r="M106" s="137" t="s">
        <v>193</v>
      </c>
      <c r="N106" s="137" t="s">
        <v>193</v>
      </c>
      <c r="O106" s="137" t="s">
        <v>193</v>
      </c>
      <c r="P106" s="137" t="s">
        <v>193</v>
      </c>
      <c r="Q106" s="137" t="s">
        <v>193</v>
      </c>
      <c r="R106" s="137" t="s">
        <v>193</v>
      </c>
      <c r="S106" s="137" t="s">
        <v>193</v>
      </c>
      <c r="T106" s="137" t="s">
        <v>193</v>
      </c>
      <c r="U106" s="137" t="s">
        <v>193</v>
      </c>
      <c r="V106" s="137" t="s">
        <v>193</v>
      </c>
      <c r="W106" s="137" t="s">
        <v>193</v>
      </c>
      <c r="X106" s="137" t="s">
        <v>193</v>
      </c>
      <c r="Y106" s="137" t="s">
        <v>193</v>
      </c>
      <c r="Z106" s="137" t="s">
        <v>193</v>
      </c>
      <c r="AA106" s="137" t="s">
        <v>193</v>
      </c>
      <c r="AB106" s="137" t="s">
        <v>193</v>
      </c>
      <c r="AC106" s="137" t="s">
        <v>193</v>
      </c>
      <c r="AD106" s="137" t="s">
        <v>193</v>
      </c>
      <c r="AE106" s="137" t="s">
        <v>193</v>
      </c>
      <c r="AF106" s="137" t="s">
        <v>193</v>
      </c>
      <c r="AG106" s="137" t="s">
        <v>193</v>
      </c>
      <c r="AH106" s="137" t="s">
        <v>53</v>
      </c>
      <c r="AI106" s="137" t="s">
        <v>193</v>
      </c>
      <c r="AJ106" s="137" t="s">
        <v>193</v>
      </c>
      <c r="AK106" s="137" t="s">
        <v>193</v>
      </c>
      <c r="AL106" s="137" t="s">
        <v>193</v>
      </c>
      <c r="AM106" s="137" t="s">
        <v>193</v>
      </c>
      <c r="AN106" s="137" t="s">
        <v>193</v>
      </c>
      <c r="AO106" s="137" t="s">
        <v>193</v>
      </c>
      <c r="AQ106" s="12">
        <f t="shared" si="10"/>
        <v>0</v>
      </c>
      <c r="AR106" s="12">
        <f t="shared" si="9"/>
        <v>0</v>
      </c>
      <c r="AT106" s="12">
        <f t="shared" si="11"/>
        <v>0</v>
      </c>
      <c r="AU106" s="12">
        <f t="shared" si="12"/>
        <v>0</v>
      </c>
      <c r="AV106" s="13" t="str">
        <f t="shared" si="13"/>
        <v/>
      </c>
      <c r="AY106" s="12">
        <f t="shared" si="14"/>
        <v>0</v>
      </c>
      <c r="AZ106" s="12">
        <f t="shared" si="15"/>
        <v>0</v>
      </c>
      <c r="BA106" s="12">
        <f t="shared" si="15"/>
        <v>0</v>
      </c>
      <c r="BB106" s="12">
        <f t="shared" si="15"/>
        <v>0</v>
      </c>
      <c r="BC106" s="12">
        <f t="shared" si="15"/>
        <v>0</v>
      </c>
      <c r="BD106" s="12">
        <f t="shared" si="16"/>
        <v>0</v>
      </c>
    </row>
    <row r="107" spans="1:56" ht="15" customHeight="1" x14ac:dyDescent="0.25">
      <c r="A107" s="137" t="s">
        <v>337</v>
      </c>
      <c r="B107" s="137" t="s">
        <v>338</v>
      </c>
      <c r="C107" s="137">
        <v>2018</v>
      </c>
      <c r="D107" s="137" t="s">
        <v>193</v>
      </c>
      <c r="E107" s="137" t="s">
        <v>193</v>
      </c>
      <c r="F107" s="137" t="s">
        <v>193</v>
      </c>
      <c r="G107" s="137" t="s">
        <v>193</v>
      </c>
      <c r="H107" s="137" t="s">
        <v>193</v>
      </c>
      <c r="I107" s="137" t="s">
        <v>193</v>
      </c>
      <c r="J107" s="137" t="s">
        <v>193</v>
      </c>
      <c r="K107" s="137" t="s">
        <v>193</v>
      </c>
      <c r="L107" s="137" t="s">
        <v>193</v>
      </c>
      <c r="M107" s="137" t="s">
        <v>193</v>
      </c>
      <c r="N107" s="137" t="s">
        <v>193</v>
      </c>
      <c r="O107" s="137" t="s">
        <v>193</v>
      </c>
      <c r="P107" s="137" t="s">
        <v>193</v>
      </c>
      <c r="Q107" s="137" t="s">
        <v>193</v>
      </c>
      <c r="R107" s="137" t="s">
        <v>193</v>
      </c>
      <c r="S107" s="137" t="s">
        <v>193</v>
      </c>
      <c r="T107" s="137" t="s">
        <v>193</v>
      </c>
      <c r="U107" s="137" t="s">
        <v>193</v>
      </c>
      <c r="V107" s="137" t="s">
        <v>193</v>
      </c>
      <c r="W107" s="137" t="s">
        <v>193</v>
      </c>
      <c r="X107" s="137" t="s">
        <v>193</v>
      </c>
      <c r="Y107" s="137" t="s">
        <v>193</v>
      </c>
      <c r="Z107" s="137" t="s">
        <v>193</v>
      </c>
      <c r="AA107" s="137" t="s">
        <v>193</v>
      </c>
      <c r="AB107" s="137" t="s">
        <v>193</v>
      </c>
      <c r="AC107" s="137" t="s">
        <v>193</v>
      </c>
      <c r="AD107" s="137" t="s">
        <v>193</v>
      </c>
      <c r="AE107" s="137" t="s">
        <v>193</v>
      </c>
      <c r="AF107" s="137" t="s">
        <v>193</v>
      </c>
      <c r="AG107" s="137" t="s">
        <v>193</v>
      </c>
      <c r="AH107" s="137" t="s">
        <v>199</v>
      </c>
      <c r="AI107" s="137" t="s">
        <v>193</v>
      </c>
      <c r="AJ107" s="137" t="s">
        <v>193</v>
      </c>
      <c r="AK107" s="137" t="s">
        <v>193</v>
      </c>
      <c r="AL107" s="137" t="s">
        <v>193</v>
      </c>
      <c r="AM107" s="137" t="s">
        <v>193</v>
      </c>
      <c r="AN107" s="137" t="s">
        <v>193</v>
      </c>
      <c r="AO107" s="137" t="s">
        <v>193</v>
      </c>
      <c r="AQ107" s="12">
        <f t="shared" si="10"/>
        <v>0</v>
      </c>
      <c r="AR107" s="12">
        <f t="shared" si="9"/>
        <v>0</v>
      </c>
      <c r="AT107" s="12">
        <f t="shared" si="11"/>
        <v>0</v>
      </c>
      <c r="AU107" s="12">
        <f t="shared" si="12"/>
        <v>0</v>
      </c>
      <c r="AV107" s="13" t="str">
        <f t="shared" si="13"/>
        <v/>
      </c>
      <c r="AY107" s="12">
        <f t="shared" si="14"/>
        <v>0</v>
      </c>
      <c r="AZ107" s="12">
        <f t="shared" si="15"/>
        <v>0</v>
      </c>
      <c r="BA107" s="12">
        <f t="shared" si="15"/>
        <v>0</v>
      </c>
      <c r="BB107" s="12">
        <f t="shared" si="15"/>
        <v>0</v>
      </c>
      <c r="BC107" s="12">
        <f t="shared" si="15"/>
        <v>0</v>
      </c>
      <c r="BD107" s="12">
        <f t="shared" si="16"/>
        <v>0</v>
      </c>
    </row>
    <row r="108" spans="1:56" ht="15" customHeight="1" x14ac:dyDescent="0.25">
      <c r="A108" s="137" t="s">
        <v>337</v>
      </c>
      <c r="B108" s="137" t="s">
        <v>339</v>
      </c>
      <c r="C108" s="137">
        <v>2018</v>
      </c>
      <c r="D108" s="137" t="s">
        <v>193</v>
      </c>
      <c r="E108" s="137" t="s">
        <v>193</v>
      </c>
      <c r="F108" s="137" t="s">
        <v>193</v>
      </c>
      <c r="G108" s="137" t="s">
        <v>193</v>
      </c>
      <c r="H108" s="137" t="s">
        <v>193</v>
      </c>
      <c r="I108" s="137" t="s">
        <v>193</v>
      </c>
      <c r="J108" s="137" t="s">
        <v>193</v>
      </c>
      <c r="K108" s="137" t="s">
        <v>193</v>
      </c>
      <c r="L108" s="137" t="s">
        <v>193</v>
      </c>
      <c r="M108" s="137" t="s">
        <v>193</v>
      </c>
      <c r="N108" s="137" t="s">
        <v>193</v>
      </c>
      <c r="O108" s="137" t="s">
        <v>193</v>
      </c>
      <c r="P108" s="137" t="s">
        <v>193</v>
      </c>
      <c r="Q108" s="137" t="s">
        <v>193</v>
      </c>
      <c r="R108" s="137" t="s">
        <v>193</v>
      </c>
      <c r="S108" s="137" t="s">
        <v>193</v>
      </c>
      <c r="T108" s="137" t="s">
        <v>193</v>
      </c>
      <c r="U108" s="137" t="s">
        <v>193</v>
      </c>
      <c r="V108" s="137" t="s">
        <v>193</v>
      </c>
      <c r="W108" s="137" t="s">
        <v>193</v>
      </c>
      <c r="X108" s="137" t="s">
        <v>193</v>
      </c>
      <c r="Y108" s="137" t="s">
        <v>193</v>
      </c>
      <c r="Z108" s="137" t="s">
        <v>193</v>
      </c>
      <c r="AA108" s="137" t="s">
        <v>193</v>
      </c>
      <c r="AB108" s="137" t="s">
        <v>193</v>
      </c>
      <c r="AC108" s="137" t="s">
        <v>193</v>
      </c>
      <c r="AD108" s="137" t="s">
        <v>193</v>
      </c>
      <c r="AE108" s="137" t="s">
        <v>193</v>
      </c>
      <c r="AF108" s="137" t="s">
        <v>193</v>
      </c>
      <c r="AG108" s="137" t="s">
        <v>193</v>
      </c>
      <c r="AH108" s="137" t="s">
        <v>199</v>
      </c>
      <c r="AI108" s="137" t="s">
        <v>193</v>
      </c>
      <c r="AJ108" s="137" t="s">
        <v>193</v>
      </c>
      <c r="AK108" s="137" t="s">
        <v>193</v>
      </c>
      <c r="AL108" s="137" t="s">
        <v>193</v>
      </c>
      <c r="AM108" s="137" t="s">
        <v>193</v>
      </c>
      <c r="AN108" s="137" t="s">
        <v>193</v>
      </c>
      <c r="AO108" s="137" t="s">
        <v>193</v>
      </c>
      <c r="AQ108" s="12">
        <f t="shared" si="10"/>
        <v>0</v>
      </c>
      <c r="AR108" s="12">
        <f t="shared" si="9"/>
        <v>0</v>
      </c>
      <c r="AT108" s="12">
        <f t="shared" si="11"/>
        <v>0</v>
      </c>
      <c r="AU108" s="12">
        <f t="shared" si="12"/>
        <v>0</v>
      </c>
      <c r="AV108" s="13" t="str">
        <f t="shared" si="13"/>
        <v/>
      </c>
      <c r="AY108" s="12">
        <f t="shared" si="14"/>
        <v>0</v>
      </c>
      <c r="AZ108" s="12">
        <f t="shared" si="15"/>
        <v>0</v>
      </c>
      <c r="BA108" s="12">
        <f t="shared" si="15"/>
        <v>0</v>
      </c>
      <c r="BB108" s="12">
        <f t="shared" si="15"/>
        <v>0</v>
      </c>
      <c r="BC108" s="12">
        <f t="shared" si="15"/>
        <v>0</v>
      </c>
      <c r="BD108" s="12">
        <f t="shared" si="16"/>
        <v>0</v>
      </c>
    </row>
    <row r="109" spans="1:56" ht="15" customHeight="1" x14ac:dyDescent="0.25">
      <c r="A109" s="137" t="s">
        <v>337</v>
      </c>
      <c r="B109" s="137" t="s">
        <v>340</v>
      </c>
      <c r="C109" s="137">
        <v>2018</v>
      </c>
      <c r="D109" s="137" t="s">
        <v>193</v>
      </c>
      <c r="E109" s="137" t="s">
        <v>193</v>
      </c>
      <c r="F109" s="137" t="s">
        <v>193</v>
      </c>
      <c r="G109" s="137" t="s">
        <v>193</v>
      </c>
      <c r="H109" s="137" t="s">
        <v>193</v>
      </c>
      <c r="I109" s="137" t="s">
        <v>193</v>
      </c>
      <c r="J109" s="137" t="s">
        <v>193</v>
      </c>
      <c r="K109" s="137" t="s">
        <v>193</v>
      </c>
      <c r="L109" s="137" t="s">
        <v>193</v>
      </c>
      <c r="M109" s="137" t="s">
        <v>193</v>
      </c>
      <c r="N109" s="137" t="s">
        <v>193</v>
      </c>
      <c r="O109" s="137" t="s">
        <v>193</v>
      </c>
      <c r="P109" s="137" t="s">
        <v>193</v>
      </c>
      <c r="Q109" s="137" t="s">
        <v>193</v>
      </c>
      <c r="R109" s="137" t="s">
        <v>193</v>
      </c>
      <c r="S109" s="137" t="s">
        <v>193</v>
      </c>
      <c r="T109" s="137" t="s">
        <v>193</v>
      </c>
      <c r="U109" s="137" t="s">
        <v>193</v>
      </c>
      <c r="V109" s="137" t="s">
        <v>193</v>
      </c>
      <c r="W109" s="137" t="s">
        <v>193</v>
      </c>
      <c r="X109" s="137" t="s">
        <v>193</v>
      </c>
      <c r="Y109" s="137" t="s">
        <v>193</v>
      </c>
      <c r="Z109" s="137" t="s">
        <v>193</v>
      </c>
      <c r="AA109" s="137" t="s">
        <v>193</v>
      </c>
      <c r="AB109" s="137" t="s">
        <v>193</v>
      </c>
      <c r="AC109" s="137" t="s">
        <v>193</v>
      </c>
      <c r="AD109" s="137" t="s">
        <v>193</v>
      </c>
      <c r="AE109" s="137" t="s">
        <v>193</v>
      </c>
      <c r="AF109" s="137" t="s">
        <v>193</v>
      </c>
      <c r="AG109" s="137" t="s">
        <v>193</v>
      </c>
      <c r="AH109" s="137" t="s">
        <v>199</v>
      </c>
      <c r="AI109" s="137" t="s">
        <v>193</v>
      </c>
      <c r="AJ109" s="137" t="s">
        <v>193</v>
      </c>
      <c r="AK109" s="137" t="s">
        <v>193</v>
      </c>
      <c r="AL109" s="137" t="s">
        <v>193</v>
      </c>
      <c r="AM109" s="137" t="s">
        <v>193</v>
      </c>
      <c r="AN109" s="137" t="s">
        <v>193</v>
      </c>
      <c r="AO109" s="137" t="s">
        <v>193</v>
      </c>
      <c r="AQ109" s="12">
        <f t="shared" si="10"/>
        <v>0</v>
      </c>
      <c r="AR109" s="12">
        <f t="shared" si="9"/>
        <v>0</v>
      </c>
      <c r="AT109" s="12">
        <f t="shared" si="11"/>
        <v>0</v>
      </c>
      <c r="AU109" s="12">
        <f t="shared" si="12"/>
        <v>0</v>
      </c>
      <c r="AV109" s="13" t="str">
        <f t="shared" si="13"/>
        <v/>
      </c>
      <c r="AY109" s="12">
        <f t="shared" si="14"/>
        <v>0</v>
      </c>
      <c r="AZ109" s="12">
        <f t="shared" si="15"/>
        <v>0</v>
      </c>
      <c r="BA109" s="12">
        <f t="shared" si="15"/>
        <v>0</v>
      </c>
      <c r="BB109" s="12">
        <f t="shared" si="15"/>
        <v>0</v>
      </c>
      <c r="BC109" s="12">
        <f t="shared" si="15"/>
        <v>0</v>
      </c>
      <c r="BD109" s="12">
        <f t="shared" si="16"/>
        <v>0</v>
      </c>
    </row>
    <row r="110" spans="1:56" ht="15" customHeight="1" x14ac:dyDescent="0.25">
      <c r="A110" s="137" t="s">
        <v>341</v>
      </c>
      <c r="B110" s="137" t="s">
        <v>342</v>
      </c>
      <c r="C110" s="137">
        <v>2018</v>
      </c>
      <c r="D110" s="137">
        <v>337.54399999999998</v>
      </c>
      <c r="E110" s="137">
        <v>73.2</v>
      </c>
      <c r="F110" s="137">
        <v>0</v>
      </c>
      <c r="G110" s="137" t="s">
        <v>193</v>
      </c>
      <c r="H110" s="137">
        <v>0</v>
      </c>
      <c r="I110" s="137">
        <v>488.041</v>
      </c>
      <c r="J110" s="137">
        <v>0</v>
      </c>
      <c r="K110" s="137">
        <v>0</v>
      </c>
      <c r="L110" s="137">
        <v>0</v>
      </c>
      <c r="M110" s="137">
        <v>0</v>
      </c>
      <c r="N110" s="137">
        <v>0</v>
      </c>
      <c r="O110" s="137">
        <v>0</v>
      </c>
      <c r="P110" s="137">
        <v>0</v>
      </c>
      <c r="Q110" s="137">
        <v>105</v>
      </c>
      <c r="R110" s="137">
        <v>0</v>
      </c>
      <c r="S110" s="137">
        <v>0</v>
      </c>
      <c r="T110" s="137">
        <v>0</v>
      </c>
      <c r="U110" s="137">
        <v>0</v>
      </c>
      <c r="V110" s="137">
        <v>0</v>
      </c>
      <c r="W110" s="137" t="s">
        <v>194</v>
      </c>
      <c r="X110" s="137">
        <v>0</v>
      </c>
      <c r="Y110" s="137">
        <v>0</v>
      </c>
      <c r="Z110" s="137">
        <v>0</v>
      </c>
      <c r="AA110" s="137">
        <v>0</v>
      </c>
      <c r="AB110" s="137">
        <v>0</v>
      </c>
      <c r="AC110" s="137">
        <v>0</v>
      </c>
      <c r="AD110" s="137">
        <v>0</v>
      </c>
      <c r="AE110" s="137">
        <v>0</v>
      </c>
      <c r="AF110" s="137">
        <v>332.74099999999999</v>
      </c>
      <c r="AG110" s="137">
        <v>1.8740000000000001</v>
      </c>
      <c r="AH110" s="137" t="s">
        <v>327</v>
      </c>
      <c r="AI110" s="137">
        <v>46.68</v>
      </c>
      <c r="AJ110" s="137">
        <v>0</v>
      </c>
      <c r="AK110" s="137">
        <v>50.3</v>
      </c>
      <c r="AL110" s="137">
        <v>25</v>
      </c>
      <c r="AM110" s="137">
        <v>75</v>
      </c>
      <c r="AN110" s="137">
        <v>0</v>
      </c>
      <c r="AO110" s="137">
        <v>0</v>
      </c>
      <c r="AQ110" s="12">
        <f t="shared" si="10"/>
        <v>437.74099999999999</v>
      </c>
      <c r="AR110" s="12">
        <f t="shared" si="9"/>
        <v>488.041</v>
      </c>
      <c r="AT110" s="12">
        <f t="shared" si="11"/>
        <v>337.54399999999998</v>
      </c>
      <c r="AU110" s="12">
        <f t="shared" si="12"/>
        <v>73.2</v>
      </c>
      <c r="AV110" s="13">
        <f t="shared" si="13"/>
        <v>0.84161781489669918</v>
      </c>
      <c r="AY110" s="12">
        <f t="shared" si="14"/>
        <v>50.3</v>
      </c>
      <c r="AZ110" s="12">
        <f t="shared" si="15"/>
        <v>12.574999999999999</v>
      </c>
      <c r="BA110" s="12">
        <f t="shared" si="15"/>
        <v>37.724999999999994</v>
      </c>
      <c r="BB110" s="12">
        <f t="shared" si="15"/>
        <v>0</v>
      </c>
      <c r="BC110" s="12">
        <f t="shared" si="15"/>
        <v>0</v>
      </c>
      <c r="BD110" s="12">
        <f t="shared" si="16"/>
        <v>0</v>
      </c>
    </row>
    <row r="111" spans="1:56" ht="15" customHeight="1" x14ac:dyDescent="0.25">
      <c r="A111" s="137" t="s">
        <v>343</v>
      </c>
      <c r="B111" s="137" t="s">
        <v>344</v>
      </c>
      <c r="C111" s="137">
        <v>2018</v>
      </c>
      <c r="D111" s="137" t="s">
        <v>193</v>
      </c>
      <c r="E111" s="137" t="s">
        <v>193</v>
      </c>
      <c r="F111" s="137" t="s">
        <v>193</v>
      </c>
      <c r="G111" s="137" t="s">
        <v>193</v>
      </c>
      <c r="H111" s="137" t="s">
        <v>193</v>
      </c>
      <c r="I111" s="137" t="s">
        <v>193</v>
      </c>
      <c r="J111" s="137" t="s">
        <v>193</v>
      </c>
      <c r="K111" s="137" t="s">
        <v>193</v>
      </c>
      <c r="L111" s="137" t="s">
        <v>193</v>
      </c>
      <c r="M111" s="137" t="s">
        <v>193</v>
      </c>
      <c r="N111" s="137" t="s">
        <v>193</v>
      </c>
      <c r="O111" s="137" t="s">
        <v>193</v>
      </c>
      <c r="P111" s="137" t="s">
        <v>193</v>
      </c>
      <c r="Q111" s="137" t="s">
        <v>193</v>
      </c>
      <c r="R111" s="137" t="s">
        <v>193</v>
      </c>
      <c r="S111" s="137" t="s">
        <v>193</v>
      </c>
      <c r="T111" s="137" t="s">
        <v>193</v>
      </c>
      <c r="U111" s="137" t="s">
        <v>193</v>
      </c>
      <c r="V111" s="137" t="s">
        <v>193</v>
      </c>
      <c r="W111" s="137" t="s">
        <v>193</v>
      </c>
      <c r="X111" s="137" t="s">
        <v>193</v>
      </c>
      <c r="Y111" s="137" t="s">
        <v>193</v>
      </c>
      <c r="Z111" s="137" t="s">
        <v>193</v>
      </c>
      <c r="AA111" s="137" t="s">
        <v>193</v>
      </c>
      <c r="AB111" s="137" t="s">
        <v>193</v>
      </c>
      <c r="AC111" s="137" t="s">
        <v>193</v>
      </c>
      <c r="AD111" s="137" t="s">
        <v>193</v>
      </c>
      <c r="AE111" s="137" t="s">
        <v>193</v>
      </c>
      <c r="AF111" s="137" t="s">
        <v>193</v>
      </c>
      <c r="AG111" s="137" t="s">
        <v>193</v>
      </c>
      <c r="AH111" s="137" t="s">
        <v>53</v>
      </c>
      <c r="AI111" s="137" t="s">
        <v>193</v>
      </c>
      <c r="AJ111" s="137" t="s">
        <v>193</v>
      </c>
      <c r="AK111" s="137" t="s">
        <v>193</v>
      </c>
      <c r="AL111" s="137" t="s">
        <v>193</v>
      </c>
      <c r="AM111" s="137" t="s">
        <v>193</v>
      </c>
      <c r="AN111" s="137" t="s">
        <v>193</v>
      </c>
      <c r="AO111" s="137" t="s">
        <v>193</v>
      </c>
      <c r="AQ111" s="12">
        <f t="shared" si="10"/>
        <v>0</v>
      </c>
      <c r="AR111" s="12">
        <f t="shared" si="9"/>
        <v>0</v>
      </c>
      <c r="AT111" s="12">
        <f t="shared" si="11"/>
        <v>0</v>
      </c>
      <c r="AU111" s="12">
        <f t="shared" si="12"/>
        <v>0</v>
      </c>
      <c r="AV111" s="13" t="str">
        <f t="shared" si="13"/>
        <v/>
      </c>
      <c r="AY111" s="12">
        <f t="shared" si="14"/>
        <v>0</v>
      </c>
      <c r="AZ111" s="12">
        <f t="shared" si="15"/>
        <v>0</v>
      </c>
      <c r="BA111" s="12">
        <f t="shared" si="15"/>
        <v>0</v>
      </c>
      <c r="BB111" s="12">
        <f t="shared" si="15"/>
        <v>0</v>
      </c>
      <c r="BC111" s="12">
        <f t="shared" si="15"/>
        <v>0</v>
      </c>
      <c r="BD111" s="12">
        <f t="shared" si="16"/>
        <v>0</v>
      </c>
    </row>
    <row r="112" spans="1:56" ht="15" customHeight="1" x14ac:dyDescent="0.25">
      <c r="A112" s="137" t="s">
        <v>345</v>
      </c>
      <c r="B112" s="137" t="s">
        <v>346</v>
      </c>
      <c r="C112" s="137">
        <v>2018</v>
      </c>
      <c r="D112" s="137" t="s">
        <v>193</v>
      </c>
      <c r="E112" s="137" t="s">
        <v>193</v>
      </c>
      <c r="F112" s="137" t="s">
        <v>193</v>
      </c>
      <c r="G112" s="137" t="s">
        <v>193</v>
      </c>
      <c r="H112" s="137" t="s">
        <v>193</v>
      </c>
      <c r="I112" s="137" t="s">
        <v>193</v>
      </c>
      <c r="J112" s="137" t="s">
        <v>193</v>
      </c>
      <c r="K112" s="137" t="s">
        <v>193</v>
      </c>
      <c r="L112" s="137" t="s">
        <v>193</v>
      </c>
      <c r="M112" s="137" t="s">
        <v>193</v>
      </c>
      <c r="N112" s="137" t="s">
        <v>193</v>
      </c>
      <c r="O112" s="137" t="s">
        <v>193</v>
      </c>
      <c r="P112" s="137" t="s">
        <v>193</v>
      </c>
      <c r="Q112" s="137" t="s">
        <v>193</v>
      </c>
      <c r="R112" s="137" t="s">
        <v>193</v>
      </c>
      <c r="S112" s="137" t="s">
        <v>193</v>
      </c>
      <c r="T112" s="137" t="s">
        <v>193</v>
      </c>
      <c r="U112" s="137" t="s">
        <v>193</v>
      </c>
      <c r="V112" s="137" t="s">
        <v>193</v>
      </c>
      <c r="W112" s="137" t="s">
        <v>193</v>
      </c>
      <c r="X112" s="137" t="s">
        <v>193</v>
      </c>
      <c r="Y112" s="137" t="s">
        <v>193</v>
      </c>
      <c r="Z112" s="137" t="s">
        <v>193</v>
      </c>
      <c r="AA112" s="137" t="s">
        <v>193</v>
      </c>
      <c r="AB112" s="137" t="s">
        <v>193</v>
      </c>
      <c r="AC112" s="137" t="s">
        <v>193</v>
      </c>
      <c r="AD112" s="137" t="s">
        <v>193</v>
      </c>
      <c r="AE112" s="137" t="s">
        <v>193</v>
      </c>
      <c r="AF112" s="137" t="s">
        <v>193</v>
      </c>
      <c r="AG112" s="137" t="s">
        <v>193</v>
      </c>
      <c r="AH112" s="137" t="s">
        <v>199</v>
      </c>
      <c r="AI112" s="137" t="s">
        <v>193</v>
      </c>
      <c r="AJ112" s="137" t="s">
        <v>193</v>
      </c>
      <c r="AK112" s="137" t="s">
        <v>193</v>
      </c>
      <c r="AL112" s="137" t="s">
        <v>193</v>
      </c>
      <c r="AM112" s="137" t="s">
        <v>193</v>
      </c>
      <c r="AN112" s="137" t="s">
        <v>193</v>
      </c>
      <c r="AO112" s="137" t="s">
        <v>193</v>
      </c>
      <c r="AQ112" s="12">
        <f t="shared" si="10"/>
        <v>0</v>
      </c>
      <c r="AR112" s="12">
        <f t="shared" si="9"/>
        <v>0</v>
      </c>
      <c r="AT112" s="12">
        <f t="shared" si="11"/>
        <v>0</v>
      </c>
      <c r="AU112" s="12">
        <f t="shared" si="12"/>
        <v>0</v>
      </c>
      <c r="AV112" s="13" t="str">
        <f t="shared" si="13"/>
        <v/>
      </c>
      <c r="AY112" s="12">
        <f t="shared" si="14"/>
        <v>0</v>
      </c>
      <c r="AZ112" s="12">
        <f t="shared" si="15"/>
        <v>0</v>
      </c>
      <c r="BA112" s="12">
        <f t="shared" si="15"/>
        <v>0</v>
      </c>
      <c r="BB112" s="12">
        <f t="shared" si="15"/>
        <v>0</v>
      </c>
      <c r="BC112" s="12">
        <f t="shared" si="15"/>
        <v>0</v>
      </c>
      <c r="BD112" s="12">
        <f t="shared" si="16"/>
        <v>0</v>
      </c>
    </row>
    <row r="113" spans="1:56" ht="15" customHeight="1" x14ac:dyDescent="0.25">
      <c r="A113" s="137" t="s">
        <v>345</v>
      </c>
      <c r="B113" s="137" t="s">
        <v>347</v>
      </c>
      <c r="C113" s="137">
        <v>2018</v>
      </c>
      <c r="D113" s="137" t="s">
        <v>193</v>
      </c>
      <c r="E113" s="137" t="s">
        <v>193</v>
      </c>
      <c r="F113" s="137" t="s">
        <v>193</v>
      </c>
      <c r="G113" s="137" t="s">
        <v>193</v>
      </c>
      <c r="H113" s="137" t="s">
        <v>193</v>
      </c>
      <c r="I113" s="137" t="s">
        <v>193</v>
      </c>
      <c r="J113" s="137" t="s">
        <v>193</v>
      </c>
      <c r="K113" s="137" t="s">
        <v>193</v>
      </c>
      <c r="L113" s="137" t="s">
        <v>193</v>
      </c>
      <c r="M113" s="137" t="s">
        <v>193</v>
      </c>
      <c r="N113" s="137" t="s">
        <v>193</v>
      </c>
      <c r="O113" s="137" t="s">
        <v>193</v>
      </c>
      <c r="P113" s="137" t="s">
        <v>193</v>
      </c>
      <c r="Q113" s="137" t="s">
        <v>193</v>
      </c>
      <c r="R113" s="137" t="s">
        <v>193</v>
      </c>
      <c r="S113" s="137" t="s">
        <v>193</v>
      </c>
      <c r="T113" s="137" t="s">
        <v>193</v>
      </c>
      <c r="U113" s="137" t="s">
        <v>193</v>
      </c>
      <c r="V113" s="137" t="s">
        <v>193</v>
      </c>
      <c r="W113" s="137" t="s">
        <v>193</v>
      </c>
      <c r="X113" s="137" t="s">
        <v>193</v>
      </c>
      <c r="Y113" s="137" t="s">
        <v>193</v>
      </c>
      <c r="Z113" s="137" t="s">
        <v>193</v>
      </c>
      <c r="AA113" s="137" t="s">
        <v>193</v>
      </c>
      <c r="AB113" s="137" t="s">
        <v>193</v>
      </c>
      <c r="AC113" s="137" t="s">
        <v>193</v>
      </c>
      <c r="AD113" s="137" t="s">
        <v>193</v>
      </c>
      <c r="AE113" s="137" t="s">
        <v>193</v>
      </c>
      <c r="AF113" s="137" t="s">
        <v>193</v>
      </c>
      <c r="AG113" s="137" t="s">
        <v>193</v>
      </c>
      <c r="AH113" s="137" t="s">
        <v>199</v>
      </c>
      <c r="AI113" s="137" t="s">
        <v>193</v>
      </c>
      <c r="AJ113" s="137" t="s">
        <v>193</v>
      </c>
      <c r="AK113" s="137" t="s">
        <v>193</v>
      </c>
      <c r="AL113" s="137" t="s">
        <v>193</v>
      </c>
      <c r="AM113" s="137" t="s">
        <v>193</v>
      </c>
      <c r="AN113" s="137" t="s">
        <v>193</v>
      </c>
      <c r="AO113" s="137" t="s">
        <v>193</v>
      </c>
      <c r="AQ113" s="12">
        <f t="shared" si="10"/>
        <v>0</v>
      </c>
      <c r="AR113" s="12">
        <f t="shared" si="9"/>
        <v>0</v>
      </c>
      <c r="AT113" s="12">
        <f t="shared" si="11"/>
        <v>0</v>
      </c>
      <c r="AU113" s="12">
        <f t="shared" si="12"/>
        <v>0</v>
      </c>
      <c r="AV113" s="13" t="str">
        <f t="shared" si="13"/>
        <v/>
      </c>
      <c r="AY113" s="12">
        <f t="shared" si="14"/>
        <v>0</v>
      </c>
      <c r="AZ113" s="12">
        <f t="shared" si="15"/>
        <v>0</v>
      </c>
      <c r="BA113" s="12">
        <f t="shared" si="15"/>
        <v>0</v>
      </c>
      <c r="BB113" s="12">
        <f t="shared" si="15"/>
        <v>0</v>
      </c>
      <c r="BC113" s="12">
        <f t="shared" si="15"/>
        <v>0</v>
      </c>
      <c r="BD113" s="12">
        <f t="shared" si="16"/>
        <v>0</v>
      </c>
    </row>
    <row r="114" spans="1:56" ht="15" customHeight="1" x14ac:dyDescent="0.25">
      <c r="A114" s="137" t="s">
        <v>348</v>
      </c>
      <c r="B114" s="137" t="s">
        <v>349</v>
      </c>
      <c r="C114" s="137">
        <v>2018</v>
      </c>
      <c r="D114" s="137">
        <v>43.2</v>
      </c>
      <c r="E114" s="137">
        <v>5.6</v>
      </c>
      <c r="F114" s="137" t="s">
        <v>193</v>
      </c>
      <c r="G114" s="137" t="s">
        <v>193</v>
      </c>
      <c r="H114" s="137" t="s">
        <v>193</v>
      </c>
      <c r="I114" s="137">
        <v>56.2</v>
      </c>
      <c r="J114" s="137" t="s">
        <v>193</v>
      </c>
      <c r="K114" s="137" t="s">
        <v>193</v>
      </c>
      <c r="L114" s="137" t="s">
        <v>193</v>
      </c>
      <c r="M114" s="137" t="s">
        <v>193</v>
      </c>
      <c r="N114" s="137" t="s">
        <v>193</v>
      </c>
      <c r="O114" s="137" t="s">
        <v>193</v>
      </c>
      <c r="P114" s="137" t="s">
        <v>193</v>
      </c>
      <c r="Q114" s="137">
        <v>9.9</v>
      </c>
      <c r="R114" s="137">
        <v>9.9</v>
      </c>
      <c r="S114" s="137">
        <v>9.9</v>
      </c>
      <c r="T114" s="137">
        <v>9.9</v>
      </c>
      <c r="U114" s="137" t="s">
        <v>193</v>
      </c>
      <c r="V114" s="137">
        <v>9.9</v>
      </c>
      <c r="W114" s="137" t="s">
        <v>193</v>
      </c>
      <c r="X114" s="137" t="s">
        <v>193</v>
      </c>
      <c r="Y114" s="137" t="s">
        <v>193</v>
      </c>
      <c r="Z114" s="137" t="s">
        <v>193</v>
      </c>
      <c r="AA114" s="137" t="s">
        <v>193</v>
      </c>
      <c r="AB114" s="137" t="s">
        <v>193</v>
      </c>
      <c r="AC114" s="137" t="s">
        <v>193</v>
      </c>
      <c r="AD114" s="137" t="s">
        <v>193</v>
      </c>
      <c r="AE114" s="137" t="s">
        <v>193</v>
      </c>
      <c r="AF114" s="137" t="s">
        <v>193</v>
      </c>
      <c r="AG114" s="137" t="s">
        <v>193</v>
      </c>
      <c r="AH114" s="137" t="s">
        <v>53</v>
      </c>
      <c r="AI114" s="137" t="s">
        <v>193</v>
      </c>
      <c r="AJ114" s="137" t="s">
        <v>193</v>
      </c>
      <c r="AK114" s="137">
        <v>6.7</v>
      </c>
      <c r="AL114" s="137">
        <v>100</v>
      </c>
      <c r="AM114" s="137" t="s">
        <v>193</v>
      </c>
      <c r="AN114" s="137" t="s">
        <v>193</v>
      </c>
      <c r="AO114" s="137" t="s">
        <v>193</v>
      </c>
      <c r="AQ114" s="12">
        <f t="shared" si="10"/>
        <v>49.5</v>
      </c>
      <c r="AR114" s="12">
        <f t="shared" si="9"/>
        <v>56.2</v>
      </c>
      <c r="AT114" s="12">
        <f t="shared" si="11"/>
        <v>43.2</v>
      </c>
      <c r="AU114" s="12">
        <f t="shared" si="12"/>
        <v>5.6</v>
      </c>
      <c r="AV114" s="13">
        <f t="shared" si="13"/>
        <v>0.8683274021352313</v>
      </c>
      <c r="AY114" s="12">
        <f t="shared" si="14"/>
        <v>6.7</v>
      </c>
      <c r="AZ114" s="12">
        <f t="shared" si="15"/>
        <v>6.7</v>
      </c>
      <c r="BA114" s="12">
        <f t="shared" si="15"/>
        <v>0</v>
      </c>
      <c r="BB114" s="12">
        <f t="shared" si="15"/>
        <v>0</v>
      </c>
      <c r="BC114" s="12">
        <f t="shared" si="15"/>
        <v>0</v>
      </c>
      <c r="BD114" s="12">
        <f t="shared" si="16"/>
        <v>0</v>
      </c>
    </row>
    <row r="115" spans="1:56" ht="15" customHeight="1" x14ac:dyDescent="0.25">
      <c r="A115" s="137" t="s">
        <v>348</v>
      </c>
      <c r="B115" s="137" t="s">
        <v>350</v>
      </c>
      <c r="C115" s="137">
        <v>2018</v>
      </c>
      <c r="D115" s="137" t="s">
        <v>193</v>
      </c>
      <c r="E115" s="137" t="s">
        <v>193</v>
      </c>
      <c r="F115" s="137" t="s">
        <v>193</v>
      </c>
      <c r="G115" s="137" t="s">
        <v>193</v>
      </c>
      <c r="H115" s="137" t="s">
        <v>193</v>
      </c>
      <c r="I115" s="137" t="s">
        <v>193</v>
      </c>
      <c r="J115" s="137" t="s">
        <v>193</v>
      </c>
      <c r="K115" s="137" t="s">
        <v>193</v>
      </c>
      <c r="L115" s="137" t="s">
        <v>193</v>
      </c>
      <c r="M115" s="137" t="s">
        <v>193</v>
      </c>
      <c r="N115" s="137" t="s">
        <v>193</v>
      </c>
      <c r="O115" s="137" t="s">
        <v>193</v>
      </c>
      <c r="P115" s="137" t="s">
        <v>193</v>
      </c>
      <c r="Q115" s="137" t="s">
        <v>193</v>
      </c>
      <c r="R115" s="137" t="s">
        <v>193</v>
      </c>
      <c r="S115" s="137" t="s">
        <v>193</v>
      </c>
      <c r="T115" s="137" t="s">
        <v>193</v>
      </c>
      <c r="U115" s="137" t="s">
        <v>193</v>
      </c>
      <c r="V115" s="137" t="s">
        <v>193</v>
      </c>
      <c r="W115" s="137" t="s">
        <v>193</v>
      </c>
      <c r="X115" s="137" t="s">
        <v>193</v>
      </c>
      <c r="Y115" s="137" t="s">
        <v>193</v>
      </c>
      <c r="Z115" s="137" t="s">
        <v>193</v>
      </c>
      <c r="AA115" s="137" t="s">
        <v>193</v>
      </c>
      <c r="AB115" s="137" t="s">
        <v>193</v>
      </c>
      <c r="AC115" s="137" t="s">
        <v>193</v>
      </c>
      <c r="AD115" s="137" t="s">
        <v>193</v>
      </c>
      <c r="AE115" s="137" t="s">
        <v>193</v>
      </c>
      <c r="AF115" s="137" t="s">
        <v>193</v>
      </c>
      <c r="AG115" s="137" t="s">
        <v>193</v>
      </c>
      <c r="AH115" s="137" t="s">
        <v>53</v>
      </c>
      <c r="AI115" s="137" t="s">
        <v>193</v>
      </c>
      <c r="AJ115" s="137" t="s">
        <v>193</v>
      </c>
      <c r="AK115" s="137" t="s">
        <v>193</v>
      </c>
      <c r="AL115" s="137" t="s">
        <v>193</v>
      </c>
      <c r="AM115" s="137" t="s">
        <v>193</v>
      </c>
      <c r="AN115" s="137" t="s">
        <v>193</v>
      </c>
      <c r="AO115" s="137" t="s">
        <v>193</v>
      </c>
      <c r="AQ115" s="12">
        <f t="shared" si="10"/>
        <v>0</v>
      </c>
      <c r="AR115" s="12">
        <f t="shared" si="9"/>
        <v>0</v>
      </c>
      <c r="AT115" s="12">
        <f t="shared" si="11"/>
        <v>0</v>
      </c>
      <c r="AU115" s="12">
        <f t="shared" si="12"/>
        <v>0</v>
      </c>
      <c r="AV115" s="13" t="str">
        <f t="shared" si="13"/>
        <v/>
      </c>
      <c r="AY115" s="12">
        <f t="shared" si="14"/>
        <v>0</v>
      </c>
      <c r="AZ115" s="12">
        <f t="shared" si="15"/>
        <v>0</v>
      </c>
      <c r="BA115" s="12">
        <f t="shared" si="15"/>
        <v>0</v>
      </c>
      <c r="BB115" s="12">
        <f t="shared" si="15"/>
        <v>0</v>
      </c>
      <c r="BC115" s="12">
        <f t="shared" si="15"/>
        <v>0</v>
      </c>
      <c r="BD115" s="12">
        <f t="shared" si="16"/>
        <v>0</v>
      </c>
    </row>
    <row r="116" spans="1:56" ht="15" customHeight="1" x14ac:dyDescent="0.25">
      <c r="A116" s="137" t="s">
        <v>348</v>
      </c>
      <c r="B116" s="137" t="s">
        <v>351</v>
      </c>
      <c r="C116" s="137">
        <v>2018</v>
      </c>
      <c r="D116" s="137" t="s">
        <v>193</v>
      </c>
      <c r="E116" s="137" t="s">
        <v>193</v>
      </c>
      <c r="F116" s="137" t="s">
        <v>193</v>
      </c>
      <c r="G116" s="137" t="s">
        <v>193</v>
      </c>
      <c r="H116" s="137" t="s">
        <v>193</v>
      </c>
      <c r="I116" s="137" t="s">
        <v>193</v>
      </c>
      <c r="J116" s="137" t="s">
        <v>193</v>
      </c>
      <c r="K116" s="137" t="s">
        <v>193</v>
      </c>
      <c r="L116" s="137" t="s">
        <v>193</v>
      </c>
      <c r="M116" s="137" t="s">
        <v>193</v>
      </c>
      <c r="N116" s="137" t="s">
        <v>193</v>
      </c>
      <c r="O116" s="137" t="s">
        <v>193</v>
      </c>
      <c r="P116" s="137" t="s">
        <v>193</v>
      </c>
      <c r="Q116" s="137" t="s">
        <v>193</v>
      </c>
      <c r="R116" s="137" t="s">
        <v>193</v>
      </c>
      <c r="S116" s="137" t="s">
        <v>193</v>
      </c>
      <c r="T116" s="137" t="s">
        <v>193</v>
      </c>
      <c r="U116" s="137" t="s">
        <v>193</v>
      </c>
      <c r="V116" s="137" t="s">
        <v>193</v>
      </c>
      <c r="W116" s="137" t="s">
        <v>193</v>
      </c>
      <c r="X116" s="137" t="s">
        <v>193</v>
      </c>
      <c r="Y116" s="137" t="s">
        <v>193</v>
      </c>
      <c r="Z116" s="137" t="s">
        <v>193</v>
      </c>
      <c r="AA116" s="137" t="s">
        <v>193</v>
      </c>
      <c r="AB116" s="137" t="s">
        <v>193</v>
      </c>
      <c r="AC116" s="137" t="s">
        <v>193</v>
      </c>
      <c r="AD116" s="137" t="s">
        <v>193</v>
      </c>
      <c r="AE116" s="137" t="s">
        <v>193</v>
      </c>
      <c r="AF116" s="137" t="s">
        <v>193</v>
      </c>
      <c r="AG116" s="137" t="s">
        <v>193</v>
      </c>
      <c r="AH116" s="137" t="s">
        <v>53</v>
      </c>
      <c r="AI116" s="137" t="s">
        <v>193</v>
      </c>
      <c r="AJ116" s="137" t="s">
        <v>193</v>
      </c>
      <c r="AK116" s="137" t="s">
        <v>193</v>
      </c>
      <c r="AL116" s="137" t="s">
        <v>193</v>
      </c>
      <c r="AM116" s="137" t="s">
        <v>193</v>
      </c>
      <c r="AN116" s="137" t="s">
        <v>193</v>
      </c>
      <c r="AO116" s="137" t="s">
        <v>193</v>
      </c>
      <c r="AQ116" s="12">
        <f t="shared" si="10"/>
        <v>0</v>
      </c>
      <c r="AR116" s="12">
        <f t="shared" si="9"/>
        <v>0</v>
      </c>
      <c r="AT116" s="12">
        <f t="shared" si="11"/>
        <v>0</v>
      </c>
      <c r="AU116" s="12">
        <f t="shared" si="12"/>
        <v>0</v>
      </c>
      <c r="AV116" s="13" t="str">
        <f t="shared" si="13"/>
        <v/>
      </c>
      <c r="AY116" s="12">
        <f t="shared" si="14"/>
        <v>0</v>
      </c>
      <c r="AZ116" s="12">
        <f t="shared" si="15"/>
        <v>0</v>
      </c>
      <c r="BA116" s="12">
        <f t="shared" si="15"/>
        <v>0</v>
      </c>
      <c r="BB116" s="12">
        <f t="shared" si="15"/>
        <v>0</v>
      </c>
      <c r="BC116" s="12">
        <f t="shared" si="15"/>
        <v>0</v>
      </c>
      <c r="BD116" s="12">
        <f t="shared" si="16"/>
        <v>0</v>
      </c>
    </row>
    <row r="117" spans="1:56" ht="15" customHeight="1" x14ac:dyDescent="0.25">
      <c r="A117" s="137" t="s">
        <v>348</v>
      </c>
      <c r="B117" s="137" t="s">
        <v>352</v>
      </c>
      <c r="C117" s="137">
        <v>2018</v>
      </c>
      <c r="D117" s="137">
        <v>30.7</v>
      </c>
      <c r="E117" s="137">
        <v>5.36</v>
      </c>
      <c r="F117" s="137" t="s">
        <v>193</v>
      </c>
      <c r="G117" s="137" t="s">
        <v>193</v>
      </c>
      <c r="H117" s="137" t="s">
        <v>193</v>
      </c>
      <c r="I117" s="137">
        <v>46.3</v>
      </c>
      <c r="J117" s="137" t="s">
        <v>193</v>
      </c>
      <c r="K117" s="137" t="s">
        <v>193</v>
      </c>
      <c r="L117" s="137" t="s">
        <v>193</v>
      </c>
      <c r="M117" s="137" t="s">
        <v>193</v>
      </c>
      <c r="N117" s="137" t="s">
        <v>193</v>
      </c>
      <c r="O117" s="137" t="s">
        <v>193</v>
      </c>
      <c r="P117" s="137" t="s">
        <v>193</v>
      </c>
      <c r="Q117" s="137">
        <v>8.5</v>
      </c>
      <c r="R117" s="137">
        <v>8.4</v>
      </c>
      <c r="S117" s="137">
        <v>8.4</v>
      </c>
      <c r="T117" s="137">
        <v>8.5</v>
      </c>
      <c r="U117" s="137">
        <v>0</v>
      </c>
      <c r="V117" s="137">
        <v>8.5</v>
      </c>
      <c r="W117" s="137" t="s">
        <v>193</v>
      </c>
      <c r="X117" s="137" t="s">
        <v>193</v>
      </c>
      <c r="Y117" s="137" t="s">
        <v>193</v>
      </c>
      <c r="Z117" s="137" t="s">
        <v>193</v>
      </c>
      <c r="AA117" s="137" t="s">
        <v>193</v>
      </c>
      <c r="AB117" s="137" t="s">
        <v>193</v>
      </c>
      <c r="AC117" s="137" t="s">
        <v>193</v>
      </c>
      <c r="AD117" s="137" t="s">
        <v>193</v>
      </c>
      <c r="AE117" s="137" t="s">
        <v>193</v>
      </c>
      <c r="AF117" s="137" t="s">
        <v>193</v>
      </c>
      <c r="AG117" s="137" t="s">
        <v>193</v>
      </c>
      <c r="AH117" s="137" t="s">
        <v>53</v>
      </c>
      <c r="AI117" s="137" t="s">
        <v>193</v>
      </c>
      <c r="AJ117" s="137" t="s">
        <v>193</v>
      </c>
      <c r="AK117" s="137">
        <v>4</v>
      </c>
      <c r="AL117" s="137">
        <v>100</v>
      </c>
      <c r="AM117" s="137" t="s">
        <v>193</v>
      </c>
      <c r="AN117" s="137" t="s">
        <v>193</v>
      </c>
      <c r="AO117" s="137" t="s">
        <v>193</v>
      </c>
      <c r="AQ117" s="12">
        <f t="shared" si="10"/>
        <v>42.3</v>
      </c>
      <c r="AR117" s="12">
        <f t="shared" si="9"/>
        <v>46.3</v>
      </c>
      <c r="AT117" s="12">
        <f t="shared" si="11"/>
        <v>30.7</v>
      </c>
      <c r="AU117" s="12">
        <f t="shared" si="12"/>
        <v>5.36</v>
      </c>
      <c r="AV117" s="13">
        <f t="shared" si="13"/>
        <v>0.77883369330453578</v>
      </c>
      <c r="AY117" s="12">
        <f t="shared" si="14"/>
        <v>4</v>
      </c>
      <c r="AZ117" s="12">
        <f t="shared" si="15"/>
        <v>4</v>
      </c>
      <c r="BA117" s="12">
        <f t="shared" si="15"/>
        <v>0</v>
      </c>
      <c r="BB117" s="12">
        <f t="shared" si="15"/>
        <v>0</v>
      </c>
      <c r="BC117" s="12">
        <f t="shared" si="15"/>
        <v>0</v>
      </c>
      <c r="BD117" s="12">
        <f t="shared" si="16"/>
        <v>0</v>
      </c>
    </row>
    <row r="118" spans="1:56" ht="15" customHeight="1" x14ac:dyDescent="0.25">
      <c r="A118" s="137" t="s">
        <v>353</v>
      </c>
      <c r="B118" s="137" t="s">
        <v>78</v>
      </c>
      <c r="C118" s="137">
        <v>2018</v>
      </c>
      <c r="D118" s="137" t="s">
        <v>193</v>
      </c>
      <c r="E118" s="137" t="s">
        <v>193</v>
      </c>
      <c r="F118" s="137" t="s">
        <v>193</v>
      </c>
      <c r="G118" s="137" t="s">
        <v>193</v>
      </c>
      <c r="H118" s="137" t="s">
        <v>193</v>
      </c>
      <c r="I118" s="137" t="s">
        <v>193</v>
      </c>
      <c r="J118" s="137" t="s">
        <v>193</v>
      </c>
      <c r="K118" s="137" t="s">
        <v>193</v>
      </c>
      <c r="L118" s="137" t="s">
        <v>193</v>
      </c>
      <c r="M118" s="137" t="s">
        <v>193</v>
      </c>
      <c r="N118" s="137" t="s">
        <v>193</v>
      </c>
      <c r="O118" s="137" t="s">
        <v>193</v>
      </c>
      <c r="P118" s="137" t="s">
        <v>193</v>
      </c>
      <c r="Q118" s="137" t="s">
        <v>193</v>
      </c>
      <c r="R118" s="137" t="s">
        <v>193</v>
      </c>
      <c r="S118" s="137" t="s">
        <v>193</v>
      </c>
      <c r="T118" s="137" t="s">
        <v>193</v>
      </c>
      <c r="U118" s="137" t="s">
        <v>193</v>
      </c>
      <c r="V118" s="137" t="s">
        <v>193</v>
      </c>
      <c r="W118" s="137" t="s">
        <v>193</v>
      </c>
      <c r="X118" s="137" t="s">
        <v>193</v>
      </c>
      <c r="Y118" s="137" t="s">
        <v>193</v>
      </c>
      <c r="Z118" s="137" t="s">
        <v>193</v>
      </c>
      <c r="AA118" s="137" t="s">
        <v>193</v>
      </c>
      <c r="AB118" s="137" t="s">
        <v>193</v>
      </c>
      <c r="AC118" s="137" t="s">
        <v>193</v>
      </c>
      <c r="AD118" s="137" t="s">
        <v>193</v>
      </c>
      <c r="AE118" s="137" t="s">
        <v>193</v>
      </c>
      <c r="AF118" s="137" t="s">
        <v>193</v>
      </c>
      <c r="AG118" s="137" t="s">
        <v>193</v>
      </c>
      <c r="AH118" s="137" t="s">
        <v>199</v>
      </c>
      <c r="AI118" s="137" t="s">
        <v>193</v>
      </c>
      <c r="AJ118" s="137" t="s">
        <v>193</v>
      </c>
      <c r="AK118" s="137" t="s">
        <v>193</v>
      </c>
      <c r="AL118" s="137" t="s">
        <v>193</v>
      </c>
      <c r="AM118" s="137" t="s">
        <v>193</v>
      </c>
      <c r="AN118" s="137" t="s">
        <v>193</v>
      </c>
      <c r="AO118" s="137" t="s">
        <v>193</v>
      </c>
      <c r="AQ118" s="12">
        <f t="shared" si="10"/>
        <v>0</v>
      </c>
      <c r="AR118" s="12">
        <f t="shared" si="9"/>
        <v>0</v>
      </c>
      <c r="AT118" s="12">
        <f t="shared" si="11"/>
        <v>0</v>
      </c>
      <c r="AU118" s="12">
        <f t="shared" si="12"/>
        <v>0</v>
      </c>
      <c r="AV118" s="13" t="str">
        <f t="shared" si="13"/>
        <v/>
      </c>
      <c r="AY118" s="12">
        <f t="shared" si="14"/>
        <v>0</v>
      </c>
      <c r="AZ118" s="12">
        <f t="shared" si="15"/>
        <v>0</v>
      </c>
      <c r="BA118" s="12">
        <f t="shared" si="15"/>
        <v>0</v>
      </c>
      <c r="BB118" s="12">
        <f t="shared" si="15"/>
        <v>0</v>
      </c>
      <c r="BC118" s="12">
        <f t="shared" si="15"/>
        <v>0</v>
      </c>
      <c r="BD118" s="12">
        <f t="shared" si="16"/>
        <v>0</v>
      </c>
    </row>
    <row r="119" spans="1:56" ht="15" customHeight="1" x14ac:dyDescent="0.25">
      <c r="A119" s="137" t="s">
        <v>354</v>
      </c>
      <c r="B119" s="137" t="s">
        <v>355</v>
      </c>
      <c r="C119" s="137">
        <v>2018</v>
      </c>
      <c r="D119" s="137" t="s">
        <v>193</v>
      </c>
      <c r="E119" s="137" t="s">
        <v>193</v>
      </c>
      <c r="F119" s="137" t="s">
        <v>193</v>
      </c>
      <c r="G119" s="137" t="s">
        <v>193</v>
      </c>
      <c r="H119" s="137" t="s">
        <v>193</v>
      </c>
      <c r="I119" s="137" t="s">
        <v>193</v>
      </c>
      <c r="J119" s="137" t="s">
        <v>193</v>
      </c>
      <c r="K119" s="137" t="s">
        <v>193</v>
      </c>
      <c r="L119" s="137" t="s">
        <v>193</v>
      </c>
      <c r="M119" s="137" t="s">
        <v>193</v>
      </c>
      <c r="N119" s="137" t="s">
        <v>193</v>
      </c>
      <c r="O119" s="137" t="s">
        <v>193</v>
      </c>
      <c r="P119" s="137" t="s">
        <v>193</v>
      </c>
      <c r="Q119" s="137" t="s">
        <v>193</v>
      </c>
      <c r="R119" s="137" t="s">
        <v>193</v>
      </c>
      <c r="S119" s="137" t="s">
        <v>193</v>
      </c>
      <c r="T119" s="137" t="s">
        <v>193</v>
      </c>
      <c r="U119" s="137" t="s">
        <v>193</v>
      </c>
      <c r="V119" s="137" t="s">
        <v>193</v>
      </c>
      <c r="W119" s="137" t="s">
        <v>193</v>
      </c>
      <c r="X119" s="137" t="s">
        <v>193</v>
      </c>
      <c r="Y119" s="137" t="s">
        <v>193</v>
      </c>
      <c r="Z119" s="137" t="s">
        <v>193</v>
      </c>
      <c r="AA119" s="137" t="s">
        <v>193</v>
      </c>
      <c r="AB119" s="137" t="s">
        <v>193</v>
      </c>
      <c r="AC119" s="137" t="s">
        <v>193</v>
      </c>
      <c r="AD119" s="137" t="s">
        <v>193</v>
      </c>
      <c r="AE119" s="137" t="s">
        <v>193</v>
      </c>
      <c r="AF119" s="137" t="s">
        <v>193</v>
      </c>
      <c r="AG119" s="137" t="s">
        <v>193</v>
      </c>
      <c r="AH119" s="137" t="s">
        <v>53</v>
      </c>
      <c r="AI119" s="137" t="s">
        <v>193</v>
      </c>
      <c r="AJ119" s="137" t="s">
        <v>193</v>
      </c>
      <c r="AK119" s="137" t="s">
        <v>193</v>
      </c>
      <c r="AL119" s="137" t="s">
        <v>193</v>
      </c>
      <c r="AM119" s="137" t="s">
        <v>193</v>
      </c>
      <c r="AN119" s="137" t="s">
        <v>193</v>
      </c>
      <c r="AO119" s="137" t="s">
        <v>193</v>
      </c>
      <c r="AQ119" s="12">
        <f t="shared" si="10"/>
        <v>0</v>
      </c>
      <c r="AR119" s="12">
        <f t="shared" si="9"/>
        <v>0</v>
      </c>
      <c r="AT119" s="12">
        <f t="shared" si="11"/>
        <v>0</v>
      </c>
      <c r="AU119" s="12">
        <f t="shared" si="12"/>
        <v>0</v>
      </c>
      <c r="AV119" s="13" t="str">
        <f t="shared" si="13"/>
        <v/>
      </c>
      <c r="AY119" s="12">
        <f t="shared" si="14"/>
        <v>0</v>
      </c>
      <c r="AZ119" s="12">
        <f t="shared" si="15"/>
        <v>0</v>
      </c>
      <c r="BA119" s="12">
        <f t="shared" si="15"/>
        <v>0</v>
      </c>
      <c r="BB119" s="12">
        <f t="shared" si="15"/>
        <v>0</v>
      </c>
      <c r="BC119" s="12">
        <f t="shared" si="15"/>
        <v>0</v>
      </c>
      <c r="BD119" s="12">
        <f t="shared" si="16"/>
        <v>0</v>
      </c>
    </row>
    <row r="120" spans="1:56" ht="15" customHeight="1" x14ac:dyDescent="0.25">
      <c r="A120" s="137" t="s">
        <v>356</v>
      </c>
      <c r="B120" s="137" t="s">
        <v>357</v>
      </c>
      <c r="C120" s="137">
        <v>2018</v>
      </c>
      <c r="D120" s="137">
        <v>107.2</v>
      </c>
      <c r="E120" s="137">
        <v>30.2</v>
      </c>
      <c r="F120" s="137" t="s">
        <v>193</v>
      </c>
      <c r="G120" s="137" t="s">
        <v>193</v>
      </c>
      <c r="H120" s="137" t="s">
        <v>193</v>
      </c>
      <c r="I120" s="137">
        <v>185.8</v>
      </c>
      <c r="J120" s="137" t="s">
        <v>193</v>
      </c>
      <c r="K120" s="137" t="s">
        <v>193</v>
      </c>
      <c r="L120" s="137">
        <v>0</v>
      </c>
      <c r="M120" s="137" t="s">
        <v>193</v>
      </c>
      <c r="N120" s="137" t="s">
        <v>193</v>
      </c>
      <c r="O120" s="137" t="s">
        <v>193</v>
      </c>
      <c r="P120" s="137" t="s">
        <v>193</v>
      </c>
      <c r="Q120" s="137">
        <v>18.2</v>
      </c>
      <c r="R120" s="137">
        <v>48.6</v>
      </c>
      <c r="S120" s="137">
        <v>55.9</v>
      </c>
      <c r="T120" s="137">
        <v>2.5</v>
      </c>
      <c r="U120" s="137" t="s">
        <v>193</v>
      </c>
      <c r="V120" s="137">
        <v>0</v>
      </c>
      <c r="W120" s="137" t="s">
        <v>194</v>
      </c>
      <c r="X120" s="137" t="s">
        <v>193</v>
      </c>
      <c r="Y120" s="137" t="s">
        <v>193</v>
      </c>
      <c r="Z120" s="137" t="s">
        <v>193</v>
      </c>
      <c r="AA120" s="137" t="s">
        <v>193</v>
      </c>
      <c r="AB120" s="137" t="s">
        <v>193</v>
      </c>
      <c r="AC120" s="137" t="s">
        <v>193</v>
      </c>
      <c r="AD120" s="137" t="s">
        <v>193</v>
      </c>
      <c r="AE120" s="137">
        <v>29.1</v>
      </c>
      <c r="AF120" s="137" t="s">
        <v>193</v>
      </c>
      <c r="AG120" s="137" t="s">
        <v>193</v>
      </c>
      <c r="AH120" s="137" t="s">
        <v>199</v>
      </c>
      <c r="AI120" s="137" t="s">
        <v>193</v>
      </c>
      <c r="AJ120" s="137" t="s">
        <v>193</v>
      </c>
      <c r="AK120" s="137">
        <v>31.5</v>
      </c>
      <c r="AL120" s="137">
        <v>81</v>
      </c>
      <c r="AM120" s="137" t="s">
        <v>193</v>
      </c>
      <c r="AN120" s="137" t="s">
        <v>193</v>
      </c>
      <c r="AO120" s="137">
        <v>19</v>
      </c>
      <c r="AQ120" s="12">
        <f t="shared" si="10"/>
        <v>154.29999999999998</v>
      </c>
      <c r="AR120" s="12">
        <f t="shared" si="9"/>
        <v>185.79999999999998</v>
      </c>
      <c r="AT120" s="12">
        <f t="shared" si="11"/>
        <v>107.2</v>
      </c>
      <c r="AU120" s="12">
        <f t="shared" si="12"/>
        <v>30.2</v>
      </c>
      <c r="AV120" s="13">
        <f t="shared" si="13"/>
        <v>0.73950484391819171</v>
      </c>
      <c r="AY120" s="12">
        <f t="shared" si="14"/>
        <v>31.5</v>
      </c>
      <c r="AZ120" s="12">
        <f t="shared" si="15"/>
        <v>25.515000000000001</v>
      </c>
      <c r="BA120" s="12">
        <f t="shared" si="15"/>
        <v>0</v>
      </c>
      <c r="BB120" s="12">
        <f t="shared" si="15"/>
        <v>0</v>
      </c>
      <c r="BC120" s="12">
        <f t="shared" si="15"/>
        <v>5.9850000000000003</v>
      </c>
      <c r="BD120" s="12">
        <f t="shared" si="16"/>
        <v>0</v>
      </c>
    </row>
    <row r="121" spans="1:56" ht="15" customHeight="1" x14ac:dyDescent="0.25">
      <c r="A121" s="137" t="s">
        <v>358</v>
      </c>
      <c r="B121" s="137" t="s">
        <v>359</v>
      </c>
      <c r="C121" s="137">
        <v>2018</v>
      </c>
      <c r="D121" s="137">
        <v>115.6</v>
      </c>
      <c r="E121" s="137">
        <v>11.1</v>
      </c>
      <c r="F121" s="137" t="s">
        <v>193</v>
      </c>
      <c r="G121" s="137" t="s">
        <v>747</v>
      </c>
      <c r="H121" s="137">
        <v>14</v>
      </c>
      <c r="I121" s="137">
        <v>156.5</v>
      </c>
      <c r="J121" s="137" t="s">
        <v>193</v>
      </c>
      <c r="K121" s="137">
        <v>0.45</v>
      </c>
      <c r="L121" s="137" t="s">
        <v>193</v>
      </c>
      <c r="M121" s="137" t="s">
        <v>193</v>
      </c>
      <c r="N121" s="137" t="s">
        <v>193</v>
      </c>
      <c r="O121" s="137" t="s">
        <v>193</v>
      </c>
      <c r="P121" s="137" t="s">
        <v>193</v>
      </c>
      <c r="Q121" s="137" t="s">
        <v>193</v>
      </c>
      <c r="R121" s="137" t="s">
        <v>193</v>
      </c>
      <c r="S121" s="137" t="s">
        <v>193</v>
      </c>
      <c r="T121" s="137" t="s">
        <v>193</v>
      </c>
      <c r="U121" s="137" t="s">
        <v>193</v>
      </c>
      <c r="V121" s="137" t="s">
        <v>193</v>
      </c>
      <c r="W121" s="137" t="s">
        <v>193</v>
      </c>
      <c r="X121" s="137" t="s">
        <v>193</v>
      </c>
      <c r="Y121" s="137" t="s">
        <v>193</v>
      </c>
      <c r="Z121" s="137" t="s">
        <v>193</v>
      </c>
      <c r="AA121" s="137" t="s">
        <v>193</v>
      </c>
      <c r="AB121" s="137" t="s">
        <v>193</v>
      </c>
      <c r="AC121" s="137">
        <v>0.45</v>
      </c>
      <c r="AD121" s="137" t="s">
        <v>193</v>
      </c>
      <c r="AE121" s="137" t="s">
        <v>193</v>
      </c>
      <c r="AF121" s="137">
        <v>155.6</v>
      </c>
      <c r="AG121" s="137">
        <v>0.45</v>
      </c>
      <c r="AH121" s="137" t="s">
        <v>195</v>
      </c>
      <c r="AI121" s="137">
        <v>40.5</v>
      </c>
      <c r="AJ121" s="137" t="s">
        <v>193</v>
      </c>
      <c r="AK121" s="137" t="s">
        <v>193</v>
      </c>
      <c r="AL121" s="137" t="s">
        <v>193</v>
      </c>
      <c r="AM121" s="137" t="s">
        <v>193</v>
      </c>
      <c r="AN121" s="137" t="s">
        <v>193</v>
      </c>
      <c r="AO121" s="137" t="s">
        <v>193</v>
      </c>
      <c r="AQ121" s="12">
        <f t="shared" si="10"/>
        <v>156.5</v>
      </c>
      <c r="AR121" s="12">
        <f t="shared" si="9"/>
        <v>156.5</v>
      </c>
      <c r="AT121" s="12">
        <f t="shared" si="11"/>
        <v>115.6</v>
      </c>
      <c r="AU121" s="12">
        <f t="shared" si="12"/>
        <v>11.1</v>
      </c>
      <c r="AV121" s="13">
        <f t="shared" si="13"/>
        <v>0.80958466453674116</v>
      </c>
      <c r="AY121" s="12">
        <f t="shared" si="14"/>
        <v>0</v>
      </c>
      <c r="AZ121" s="12">
        <f t="shared" si="15"/>
        <v>0</v>
      </c>
      <c r="BA121" s="12">
        <f t="shared" si="15"/>
        <v>0</v>
      </c>
      <c r="BB121" s="12">
        <f t="shared" si="15"/>
        <v>0</v>
      </c>
      <c r="BC121" s="12">
        <f t="shared" si="15"/>
        <v>0</v>
      </c>
      <c r="BD121" s="12">
        <f t="shared" si="16"/>
        <v>0</v>
      </c>
    </row>
    <row r="122" spans="1:56" ht="15" customHeight="1" x14ac:dyDescent="0.25">
      <c r="A122" s="137" t="s">
        <v>358</v>
      </c>
      <c r="B122" s="137" t="s">
        <v>360</v>
      </c>
      <c r="C122" s="137">
        <v>2018</v>
      </c>
      <c r="D122" s="137" t="s">
        <v>193</v>
      </c>
      <c r="E122" s="137" t="s">
        <v>193</v>
      </c>
      <c r="F122" s="137" t="s">
        <v>193</v>
      </c>
      <c r="G122" s="137" t="s">
        <v>193</v>
      </c>
      <c r="H122" s="137" t="s">
        <v>193</v>
      </c>
      <c r="I122" s="137" t="s">
        <v>193</v>
      </c>
      <c r="J122" s="137" t="s">
        <v>193</v>
      </c>
      <c r="K122" s="137" t="s">
        <v>193</v>
      </c>
      <c r="L122" s="137" t="s">
        <v>193</v>
      </c>
      <c r="M122" s="137" t="s">
        <v>193</v>
      </c>
      <c r="N122" s="137" t="s">
        <v>193</v>
      </c>
      <c r="O122" s="137" t="s">
        <v>193</v>
      </c>
      <c r="P122" s="137" t="s">
        <v>193</v>
      </c>
      <c r="Q122" s="137" t="s">
        <v>193</v>
      </c>
      <c r="R122" s="137" t="s">
        <v>193</v>
      </c>
      <c r="S122" s="137" t="s">
        <v>193</v>
      </c>
      <c r="T122" s="137" t="s">
        <v>193</v>
      </c>
      <c r="U122" s="137" t="s">
        <v>193</v>
      </c>
      <c r="V122" s="137" t="s">
        <v>193</v>
      </c>
      <c r="W122" s="137" t="s">
        <v>193</v>
      </c>
      <c r="X122" s="137" t="s">
        <v>193</v>
      </c>
      <c r="Y122" s="137" t="s">
        <v>193</v>
      </c>
      <c r="Z122" s="137" t="s">
        <v>193</v>
      </c>
      <c r="AA122" s="137" t="s">
        <v>193</v>
      </c>
      <c r="AB122" s="137" t="s">
        <v>193</v>
      </c>
      <c r="AC122" s="137" t="s">
        <v>193</v>
      </c>
      <c r="AD122" s="137" t="s">
        <v>193</v>
      </c>
      <c r="AE122" s="137" t="s">
        <v>193</v>
      </c>
      <c r="AF122" s="137" t="s">
        <v>193</v>
      </c>
      <c r="AG122" s="137" t="s">
        <v>193</v>
      </c>
      <c r="AH122" s="137" t="s">
        <v>199</v>
      </c>
      <c r="AI122" s="137" t="s">
        <v>193</v>
      </c>
      <c r="AJ122" s="137" t="s">
        <v>193</v>
      </c>
      <c r="AK122" s="137" t="s">
        <v>193</v>
      </c>
      <c r="AL122" s="137" t="s">
        <v>193</v>
      </c>
      <c r="AM122" s="137" t="s">
        <v>193</v>
      </c>
      <c r="AN122" s="137" t="s">
        <v>193</v>
      </c>
      <c r="AO122" s="137" t="s">
        <v>193</v>
      </c>
      <c r="AQ122" s="12">
        <f t="shared" si="10"/>
        <v>0</v>
      </c>
      <c r="AR122" s="12">
        <f t="shared" si="9"/>
        <v>0</v>
      </c>
      <c r="AT122" s="12">
        <f t="shared" si="11"/>
        <v>0</v>
      </c>
      <c r="AU122" s="12">
        <f t="shared" si="12"/>
        <v>0</v>
      </c>
      <c r="AV122" s="13" t="str">
        <f t="shared" si="13"/>
        <v/>
      </c>
      <c r="AY122" s="12">
        <f t="shared" si="14"/>
        <v>0</v>
      </c>
      <c r="AZ122" s="12">
        <f t="shared" si="15"/>
        <v>0</v>
      </c>
      <c r="BA122" s="12">
        <f t="shared" si="15"/>
        <v>0</v>
      </c>
      <c r="BB122" s="12">
        <f t="shared" si="15"/>
        <v>0</v>
      </c>
      <c r="BC122" s="12">
        <f t="shared" si="15"/>
        <v>0</v>
      </c>
      <c r="BD122" s="12">
        <f t="shared" si="16"/>
        <v>0</v>
      </c>
    </row>
    <row r="123" spans="1:56" ht="15" customHeight="1" x14ac:dyDescent="0.25">
      <c r="A123" s="137" t="s">
        <v>362</v>
      </c>
      <c r="B123" s="137" t="s">
        <v>363</v>
      </c>
      <c r="C123" s="137">
        <v>2018</v>
      </c>
      <c r="D123" s="137" t="s">
        <v>193</v>
      </c>
      <c r="E123" s="137" t="s">
        <v>193</v>
      </c>
      <c r="F123" s="137" t="s">
        <v>193</v>
      </c>
      <c r="G123" s="137" t="s">
        <v>193</v>
      </c>
      <c r="H123" s="137" t="s">
        <v>193</v>
      </c>
      <c r="I123" s="137" t="s">
        <v>193</v>
      </c>
      <c r="J123" s="137" t="s">
        <v>193</v>
      </c>
      <c r="K123" s="137" t="s">
        <v>193</v>
      </c>
      <c r="L123" s="137" t="s">
        <v>193</v>
      </c>
      <c r="M123" s="137" t="s">
        <v>193</v>
      </c>
      <c r="N123" s="137" t="s">
        <v>193</v>
      </c>
      <c r="O123" s="137" t="s">
        <v>193</v>
      </c>
      <c r="P123" s="137" t="s">
        <v>193</v>
      </c>
      <c r="Q123" s="137" t="s">
        <v>193</v>
      </c>
      <c r="R123" s="137" t="s">
        <v>193</v>
      </c>
      <c r="S123" s="137" t="s">
        <v>193</v>
      </c>
      <c r="T123" s="137" t="s">
        <v>193</v>
      </c>
      <c r="U123" s="137" t="s">
        <v>193</v>
      </c>
      <c r="V123" s="137" t="s">
        <v>193</v>
      </c>
      <c r="W123" s="137" t="s">
        <v>193</v>
      </c>
      <c r="X123" s="137" t="s">
        <v>193</v>
      </c>
      <c r="Y123" s="137" t="s">
        <v>193</v>
      </c>
      <c r="Z123" s="137" t="s">
        <v>193</v>
      </c>
      <c r="AA123" s="137" t="s">
        <v>193</v>
      </c>
      <c r="AB123" s="137" t="s">
        <v>193</v>
      </c>
      <c r="AC123" s="137" t="s">
        <v>193</v>
      </c>
      <c r="AD123" s="137" t="s">
        <v>193</v>
      </c>
      <c r="AE123" s="137" t="s">
        <v>193</v>
      </c>
      <c r="AF123" s="137" t="s">
        <v>193</v>
      </c>
      <c r="AG123" s="137" t="s">
        <v>193</v>
      </c>
      <c r="AH123" s="137" t="s">
        <v>199</v>
      </c>
      <c r="AI123" s="137" t="s">
        <v>193</v>
      </c>
      <c r="AJ123" s="137" t="s">
        <v>193</v>
      </c>
      <c r="AK123" s="137" t="s">
        <v>193</v>
      </c>
      <c r="AL123" s="137" t="s">
        <v>193</v>
      </c>
      <c r="AM123" s="137" t="s">
        <v>193</v>
      </c>
      <c r="AN123" s="137" t="s">
        <v>193</v>
      </c>
      <c r="AO123" s="137" t="s">
        <v>193</v>
      </c>
      <c r="AQ123" s="12">
        <f t="shared" si="10"/>
        <v>0</v>
      </c>
      <c r="AR123" s="12">
        <f t="shared" si="9"/>
        <v>0</v>
      </c>
      <c r="AT123" s="12">
        <f t="shared" si="11"/>
        <v>0</v>
      </c>
      <c r="AU123" s="12">
        <f t="shared" si="12"/>
        <v>0</v>
      </c>
      <c r="AV123" s="13" t="str">
        <f t="shared" si="13"/>
        <v/>
      </c>
      <c r="AY123" s="12">
        <f t="shared" si="14"/>
        <v>0</v>
      </c>
      <c r="AZ123" s="12">
        <f t="shared" si="15"/>
        <v>0</v>
      </c>
      <c r="BA123" s="12">
        <f t="shared" si="15"/>
        <v>0</v>
      </c>
      <c r="BB123" s="12">
        <f t="shared" si="15"/>
        <v>0</v>
      </c>
      <c r="BC123" s="12">
        <f t="shared" si="15"/>
        <v>0</v>
      </c>
      <c r="BD123" s="12">
        <f t="shared" si="16"/>
        <v>0</v>
      </c>
    </row>
    <row r="124" spans="1:56" ht="15" customHeight="1" x14ac:dyDescent="0.25">
      <c r="A124" s="137" t="s">
        <v>364</v>
      </c>
      <c r="B124" s="137" t="s">
        <v>365</v>
      </c>
      <c r="C124" s="137">
        <v>2018</v>
      </c>
      <c r="D124" s="137" t="s">
        <v>193</v>
      </c>
      <c r="E124" s="137" t="s">
        <v>193</v>
      </c>
      <c r="F124" s="137" t="s">
        <v>193</v>
      </c>
      <c r="G124" s="137" t="s">
        <v>193</v>
      </c>
      <c r="H124" s="137" t="s">
        <v>193</v>
      </c>
      <c r="I124" s="137" t="s">
        <v>193</v>
      </c>
      <c r="J124" s="137" t="s">
        <v>193</v>
      </c>
      <c r="K124" s="137" t="s">
        <v>193</v>
      </c>
      <c r="L124" s="137" t="s">
        <v>193</v>
      </c>
      <c r="M124" s="137" t="s">
        <v>193</v>
      </c>
      <c r="N124" s="137" t="s">
        <v>193</v>
      </c>
      <c r="O124" s="137" t="s">
        <v>193</v>
      </c>
      <c r="P124" s="137" t="s">
        <v>193</v>
      </c>
      <c r="Q124" s="137" t="s">
        <v>193</v>
      </c>
      <c r="R124" s="137" t="s">
        <v>193</v>
      </c>
      <c r="S124" s="137" t="s">
        <v>193</v>
      </c>
      <c r="T124" s="137" t="s">
        <v>193</v>
      </c>
      <c r="U124" s="137" t="s">
        <v>193</v>
      </c>
      <c r="V124" s="137" t="s">
        <v>193</v>
      </c>
      <c r="W124" s="137" t="s">
        <v>193</v>
      </c>
      <c r="X124" s="137" t="s">
        <v>193</v>
      </c>
      <c r="Y124" s="137" t="s">
        <v>193</v>
      </c>
      <c r="Z124" s="137" t="s">
        <v>193</v>
      </c>
      <c r="AA124" s="137" t="s">
        <v>193</v>
      </c>
      <c r="AB124" s="137" t="s">
        <v>193</v>
      </c>
      <c r="AC124" s="137" t="s">
        <v>193</v>
      </c>
      <c r="AD124" s="137" t="s">
        <v>193</v>
      </c>
      <c r="AE124" s="137" t="s">
        <v>193</v>
      </c>
      <c r="AF124" s="137" t="s">
        <v>193</v>
      </c>
      <c r="AG124" s="137" t="s">
        <v>193</v>
      </c>
      <c r="AH124" s="137" t="s">
        <v>53</v>
      </c>
      <c r="AI124" s="137" t="s">
        <v>193</v>
      </c>
      <c r="AJ124" s="137" t="s">
        <v>193</v>
      </c>
      <c r="AK124" s="137" t="s">
        <v>193</v>
      </c>
      <c r="AL124" s="137" t="s">
        <v>193</v>
      </c>
      <c r="AM124" s="137" t="s">
        <v>193</v>
      </c>
      <c r="AN124" s="137" t="s">
        <v>193</v>
      </c>
      <c r="AO124" s="137" t="s">
        <v>193</v>
      </c>
      <c r="AQ124" s="12">
        <f t="shared" si="10"/>
        <v>0</v>
      </c>
      <c r="AR124" s="12">
        <f t="shared" si="9"/>
        <v>0</v>
      </c>
      <c r="AT124" s="12">
        <f t="shared" si="11"/>
        <v>0</v>
      </c>
      <c r="AU124" s="12">
        <f t="shared" si="12"/>
        <v>0</v>
      </c>
      <c r="AV124" s="13" t="str">
        <f t="shared" si="13"/>
        <v/>
      </c>
      <c r="AY124" s="12">
        <f t="shared" si="14"/>
        <v>0</v>
      </c>
      <c r="AZ124" s="12">
        <f t="shared" si="15"/>
        <v>0</v>
      </c>
      <c r="BA124" s="12">
        <f t="shared" si="15"/>
        <v>0</v>
      </c>
      <c r="BB124" s="12">
        <f t="shared" si="15"/>
        <v>0</v>
      </c>
      <c r="BC124" s="12">
        <f t="shared" si="15"/>
        <v>0</v>
      </c>
      <c r="BD124" s="12">
        <f t="shared" si="16"/>
        <v>0</v>
      </c>
    </row>
    <row r="125" spans="1:56" ht="15" customHeight="1" x14ac:dyDescent="0.25">
      <c r="A125" s="137" t="s">
        <v>366</v>
      </c>
      <c r="B125" s="137" t="s">
        <v>367</v>
      </c>
      <c r="C125" s="137">
        <v>2018</v>
      </c>
      <c r="D125" s="137" t="s">
        <v>193</v>
      </c>
      <c r="E125" s="137" t="s">
        <v>193</v>
      </c>
      <c r="F125" s="137" t="s">
        <v>193</v>
      </c>
      <c r="G125" s="137" t="s">
        <v>193</v>
      </c>
      <c r="H125" s="137" t="s">
        <v>193</v>
      </c>
      <c r="I125" s="137" t="s">
        <v>193</v>
      </c>
      <c r="J125" s="137" t="s">
        <v>193</v>
      </c>
      <c r="K125" s="137" t="s">
        <v>193</v>
      </c>
      <c r="L125" s="137" t="s">
        <v>193</v>
      </c>
      <c r="M125" s="137" t="s">
        <v>193</v>
      </c>
      <c r="N125" s="137" t="s">
        <v>193</v>
      </c>
      <c r="O125" s="137" t="s">
        <v>193</v>
      </c>
      <c r="P125" s="137" t="s">
        <v>193</v>
      </c>
      <c r="Q125" s="137" t="s">
        <v>193</v>
      </c>
      <c r="R125" s="137" t="s">
        <v>193</v>
      </c>
      <c r="S125" s="137" t="s">
        <v>193</v>
      </c>
      <c r="T125" s="137" t="s">
        <v>193</v>
      </c>
      <c r="U125" s="137" t="s">
        <v>193</v>
      </c>
      <c r="V125" s="137" t="s">
        <v>193</v>
      </c>
      <c r="W125" s="137" t="s">
        <v>193</v>
      </c>
      <c r="X125" s="137" t="s">
        <v>193</v>
      </c>
      <c r="Y125" s="137" t="s">
        <v>193</v>
      </c>
      <c r="Z125" s="137" t="s">
        <v>193</v>
      </c>
      <c r="AA125" s="137" t="s">
        <v>193</v>
      </c>
      <c r="AB125" s="137" t="s">
        <v>193</v>
      </c>
      <c r="AC125" s="137" t="s">
        <v>193</v>
      </c>
      <c r="AD125" s="137" t="s">
        <v>193</v>
      </c>
      <c r="AE125" s="137" t="s">
        <v>193</v>
      </c>
      <c r="AF125" s="137" t="s">
        <v>193</v>
      </c>
      <c r="AG125" s="137" t="s">
        <v>193</v>
      </c>
      <c r="AH125" s="137" t="s">
        <v>199</v>
      </c>
      <c r="AI125" s="137" t="s">
        <v>193</v>
      </c>
      <c r="AJ125" s="137" t="s">
        <v>193</v>
      </c>
      <c r="AK125" s="137" t="s">
        <v>193</v>
      </c>
      <c r="AL125" s="137" t="s">
        <v>193</v>
      </c>
      <c r="AM125" s="137" t="s">
        <v>193</v>
      </c>
      <c r="AN125" s="137" t="s">
        <v>193</v>
      </c>
      <c r="AO125" s="137" t="s">
        <v>193</v>
      </c>
      <c r="AQ125" s="12">
        <f t="shared" si="10"/>
        <v>0</v>
      </c>
      <c r="AR125" s="12">
        <f t="shared" si="9"/>
        <v>0</v>
      </c>
      <c r="AT125" s="12">
        <f t="shared" si="11"/>
        <v>0</v>
      </c>
      <c r="AU125" s="12">
        <f t="shared" si="12"/>
        <v>0</v>
      </c>
      <c r="AV125" s="13" t="str">
        <f t="shared" si="13"/>
        <v/>
      </c>
      <c r="AY125" s="12">
        <f t="shared" si="14"/>
        <v>0</v>
      </c>
      <c r="AZ125" s="12">
        <f t="shared" si="15"/>
        <v>0</v>
      </c>
      <c r="BA125" s="12">
        <f t="shared" si="15"/>
        <v>0</v>
      </c>
      <c r="BB125" s="12">
        <f t="shared" si="15"/>
        <v>0</v>
      </c>
      <c r="BC125" s="12">
        <f t="shared" si="15"/>
        <v>0</v>
      </c>
      <c r="BD125" s="12">
        <f t="shared" si="16"/>
        <v>0</v>
      </c>
    </row>
    <row r="126" spans="1:56" ht="15" customHeight="1" x14ac:dyDescent="0.25">
      <c r="A126" s="137" t="s">
        <v>366</v>
      </c>
      <c r="B126" s="137" t="s">
        <v>368</v>
      </c>
      <c r="C126" s="137">
        <v>2018</v>
      </c>
      <c r="D126" s="137" t="s">
        <v>193</v>
      </c>
      <c r="E126" s="137" t="s">
        <v>193</v>
      </c>
      <c r="F126" s="137" t="s">
        <v>193</v>
      </c>
      <c r="G126" s="137" t="s">
        <v>193</v>
      </c>
      <c r="H126" s="137" t="s">
        <v>193</v>
      </c>
      <c r="I126" s="137" t="s">
        <v>193</v>
      </c>
      <c r="J126" s="137" t="s">
        <v>193</v>
      </c>
      <c r="K126" s="137" t="s">
        <v>193</v>
      </c>
      <c r="L126" s="137" t="s">
        <v>193</v>
      </c>
      <c r="M126" s="137" t="s">
        <v>193</v>
      </c>
      <c r="N126" s="137" t="s">
        <v>193</v>
      </c>
      <c r="O126" s="137" t="s">
        <v>193</v>
      </c>
      <c r="P126" s="137" t="s">
        <v>193</v>
      </c>
      <c r="Q126" s="137" t="s">
        <v>193</v>
      </c>
      <c r="R126" s="137" t="s">
        <v>193</v>
      </c>
      <c r="S126" s="137" t="s">
        <v>193</v>
      </c>
      <c r="T126" s="137" t="s">
        <v>193</v>
      </c>
      <c r="U126" s="137" t="s">
        <v>193</v>
      </c>
      <c r="V126" s="137" t="s">
        <v>193</v>
      </c>
      <c r="W126" s="137" t="s">
        <v>193</v>
      </c>
      <c r="X126" s="137" t="s">
        <v>193</v>
      </c>
      <c r="Y126" s="137" t="s">
        <v>193</v>
      </c>
      <c r="Z126" s="137" t="s">
        <v>193</v>
      </c>
      <c r="AA126" s="137" t="s">
        <v>193</v>
      </c>
      <c r="AB126" s="137" t="s">
        <v>193</v>
      </c>
      <c r="AC126" s="137" t="s">
        <v>193</v>
      </c>
      <c r="AD126" s="137" t="s">
        <v>193</v>
      </c>
      <c r="AE126" s="137" t="s">
        <v>193</v>
      </c>
      <c r="AF126" s="137" t="s">
        <v>193</v>
      </c>
      <c r="AG126" s="137" t="s">
        <v>193</v>
      </c>
      <c r="AH126" s="137" t="s">
        <v>199</v>
      </c>
      <c r="AI126" s="137" t="s">
        <v>193</v>
      </c>
      <c r="AJ126" s="137" t="s">
        <v>193</v>
      </c>
      <c r="AK126" s="137" t="s">
        <v>193</v>
      </c>
      <c r="AL126" s="137" t="s">
        <v>193</v>
      </c>
      <c r="AM126" s="137" t="s">
        <v>193</v>
      </c>
      <c r="AN126" s="137" t="s">
        <v>193</v>
      </c>
      <c r="AO126" s="137" t="s">
        <v>193</v>
      </c>
      <c r="AQ126" s="12">
        <f t="shared" si="10"/>
        <v>0</v>
      </c>
      <c r="AR126" s="12">
        <f t="shared" si="9"/>
        <v>0</v>
      </c>
      <c r="AT126" s="12">
        <f t="shared" si="11"/>
        <v>0</v>
      </c>
      <c r="AU126" s="12">
        <f t="shared" si="12"/>
        <v>0</v>
      </c>
      <c r="AV126" s="13" t="str">
        <f t="shared" si="13"/>
        <v/>
      </c>
      <c r="AY126" s="12">
        <f t="shared" si="14"/>
        <v>0</v>
      </c>
      <c r="AZ126" s="12">
        <f t="shared" si="15"/>
        <v>0</v>
      </c>
      <c r="BA126" s="12">
        <f t="shared" si="15"/>
        <v>0</v>
      </c>
      <c r="BB126" s="12">
        <f t="shared" si="15"/>
        <v>0</v>
      </c>
      <c r="BC126" s="12">
        <f t="shared" si="15"/>
        <v>0</v>
      </c>
      <c r="BD126" s="12">
        <f t="shared" si="16"/>
        <v>0</v>
      </c>
    </row>
    <row r="127" spans="1:56" ht="15" customHeight="1" x14ac:dyDescent="0.25">
      <c r="A127" s="137" t="s">
        <v>366</v>
      </c>
      <c r="B127" s="137" t="s">
        <v>369</v>
      </c>
      <c r="C127" s="137">
        <v>2018</v>
      </c>
      <c r="D127" s="137" t="s">
        <v>193</v>
      </c>
      <c r="E127" s="137" t="s">
        <v>193</v>
      </c>
      <c r="F127" s="137" t="s">
        <v>193</v>
      </c>
      <c r="G127" s="137" t="s">
        <v>193</v>
      </c>
      <c r="H127" s="137" t="s">
        <v>193</v>
      </c>
      <c r="I127" s="137" t="s">
        <v>193</v>
      </c>
      <c r="J127" s="137" t="s">
        <v>193</v>
      </c>
      <c r="K127" s="137" t="s">
        <v>193</v>
      </c>
      <c r="L127" s="137" t="s">
        <v>193</v>
      </c>
      <c r="M127" s="137" t="s">
        <v>193</v>
      </c>
      <c r="N127" s="137" t="s">
        <v>193</v>
      </c>
      <c r="O127" s="137" t="s">
        <v>193</v>
      </c>
      <c r="P127" s="137" t="s">
        <v>193</v>
      </c>
      <c r="Q127" s="137" t="s">
        <v>193</v>
      </c>
      <c r="R127" s="137" t="s">
        <v>193</v>
      </c>
      <c r="S127" s="137" t="s">
        <v>193</v>
      </c>
      <c r="T127" s="137" t="s">
        <v>193</v>
      </c>
      <c r="U127" s="137" t="s">
        <v>193</v>
      </c>
      <c r="V127" s="137" t="s">
        <v>193</v>
      </c>
      <c r="W127" s="137" t="s">
        <v>193</v>
      </c>
      <c r="X127" s="137" t="s">
        <v>193</v>
      </c>
      <c r="Y127" s="137" t="s">
        <v>193</v>
      </c>
      <c r="Z127" s="137" t="s">
        <v>193</v>
      </c>
      <c r="AA127" s="137" t="s">
        <v>193</v>
      </c>
      <c r="AB127" s="137" t="s">
        <v>193</v>
      </c>
      <c r="AC127" s="137" t="s">
        <v>193</v>
      </c>
      <c r="AD127" s="137" t="s">
        <v>193</v>
      </c>
      <c r="AE127" s="137" t="s">
        <v>193</v>
      </c>
      <c r="AF127" s="137" t="s">
        <v>193</v>
      </c>
      <c r="AG127" s="137" t="s">
        <v>193</v>
      </c>
      <c r="AH127" s="137" t="s">
        <v>199</v>
      </c>
      <c r="AI127" s="137" t="s">
        <v>193</v>
      </c>
      <c r="AJ127" s="137" t="s">
        <v>193</v>
      </c>
      <c r="AK127" s="137" t="s">
        <v>193</v>
      </c>
      <c r="AL127" s="137" t="s">
        <v>193</v>
      </c>
      <c r="AM127" s="137" t="s">
        <v>193</v>
      </c>
      <c r="AN127" s="137" t="s">
        <v>193</v>
      </c>
      <c r="AO127" s="137" t="s">
        <v>193</v>
      </c>
      <c r="AQ127" s="12">
        <f t="shared" si="10"/>
        <v>0</v>
      </c>
      <c r="AR127" s="12">
        <f t="shared" si="9"/>
        <v>0</v>
      </c>
      <c r="AT127" s="12">
        <f t="shared" si="11"/>
        <v>0</v>
      </c>
      <c r="AU127" s="12">
        <f t="shared" si="12"/>
        <v>0</v>
      </c>
      <c r="AV127" s="13" t="str">
        <f t="shared" si="13"/>
        <v/>
      </c>
      <c r="AY127" s="12">
        <f t="shared" si="14"/>
        <v>0</v>
      </c>
      <c r="AZ127" s="12">
        <f t="shared" si="15"/>
        <v>0</v>
      </c>
      <c r="BA127" s="12">
        <f t="shared" si="15"/>
        <v>0</v>
      </c>
      <c r="BB127" s="12">
        <f t="shared" si="15"/>
        <v>0</v>
      </c>
      <c r="BC127" s="12">
        <f t="shared" si="15"/>
        <v>0</v>
      </c>
      <c r="BD127" s="12">
        <f t="shared" si="16"/>
        <v>0</v>
      </c>
    </row>
    <row r="128" spans="1:56" ht="15" customHeight="1" x14ac:dyDescent="0.25">
      <c r="A128" s="137" t="s">
        <v>366</v>
      </c>
      <c r="B128" s="137" t="s">
        <v>370</v>
      </c>
      <c r="C128" s="137">
        <v>2018</v>
      </c>
      <c r="D128" s="137">
        <v>375</v>
      </c>
      <c r="E128" s="137">
        <v>189</v>
      </c>
      <c r="F128" s="137" t="s">
        <v>193</v>
      </c>
      <c r="G128" s="137" t="s">
        <v>193</v>
      </c>
      <c r="H128" s="137" t="s">
        <v>193</v>
      </c>
      <c r="I128" s="137">
        <v>788.7</v>
      </c>
      <c r="J128" s="137" t="s">
        <v>193</v>
      </c>
      <c r="K128" s="137" t="s">
        <v>193</v>
      </c>
      <c r="L128" s="137" t="s">
        <v>193</v>
      </c>
      <c r="M128" s="137" t="s">
        <v>193</v>
      </c>
      <c r="N128" s="137" t="s">
        <v>193</v>
      </c>
      <c r="O128" s="137" t="s">
        <v>193</v>
      </c>
      <c r="P128" s="137" t="s">
        <v>193</v>
      </c>
      <c r="Q128" s="137">
        <v>25.9</v>
      </c>
      <c r="R128" s="137">
        <v>112.4</v>
      </c>
      <c r="S128" s="137">
        <v>227.3</v>
      </c>
      <c r="T128" s="137">
        <v>109.4</v>
      </c>
      <c r="U128" s="137" t="s">
        <v>193</v>
      </c>
      <c r="V128" s="137" t="s">
        <v>193</v>
      </c>
      <c r="W128" s="137" t="s">
        <v>193</v>
      </c>
      <c r="X128" s="137">
        <v>0</v>
      </c>
      <c r="Y128" s="137">
        <v>0</v>
      </c>
      <c r="Z128" s="137" t="s">
        <v>193</v>
      </c>
      <c r="AA128" s="137">
        <v>153.4</v>
      </c>
      <c r="AB128" s="137" t="s">
        <v>193</v>
      </c>
      <c r="AC128" s="137" t="s">
        <v>193</v>
      </c>
      <c r="AD128" s="137" t="s">
        <v>193</v>
      </c>
      <c r="AE128" s="137">
        <v>54.2</v>
      </c>
      <c r="AF128" s="137" t="s">
        <v>193</v>
      </c>
      <c r="AG128" s="137" t="s">
        <v>193</v>
      </c>
      <c r="AH128" s="137" t="s">
        <v>199</v>
      </c>
      <c r="AI128" s="137" t="s">
        <v>193</v>
      </c>
      <c r="AJ128" s="137" t="s">
        <v>193</v>
      </c>
      <c r="AK128" s="137">
        <v>106.1</v>
      </c>
      <c r="AL128" s="137">
        <v>92</v>
      </c>
      <c r="AM128" s="137" t="s">
        <v>193</v>
      </c>
      <c r="AN128" s="137" t="s">
        <v>193</v>
      </c>
      <c r="AO128" s="137">
        <v>8</v>
      </c>
      <c r="AQ128" s="12">
        <f t="shared" si="10"/>
        <v>682.6</v>
      </c>
      <c r="AR128" s="12">
        <f t="shared" si="9"/>
        <v>788.7</v>
      </c>
      <c r="AT128" s="12">
        <f t="shared" si="11"/>
        <v>375</v>
      </c>
      <c r="AU128" s="12">
        <f t="shared" si="12"/>
        <v>189</v>
      </c>
      <c r="AV128" s="13">
        <f t="shared" si="13"/>
        <v>0.71510079878280708</v>
      </c>
      <c r="AY128" s="12">
        <f t="shared" si="14"/>
        <v>106.1</v>
      </c>
      <c r="AZ128" s="12">
        <f t="shared" si="15"/>
        <v>97.611999999999995</v>
      </c>
      <c r="BA128" s="12">
        <f t="shared" si="15"/>
        <v>0</v>
      </c>
      <c r="BB128" s="12">
        <f t="shared" si="15"/>
        <v>0</v>
      </c>
      <c r="BC128" s="12">
        <f t="shared" si="15"/>
        <v>8.4879999999999995</v>
      </c>
      <c r="BD128" s="12">
        <f t="shared" si="16"/>
        <v>0</v>
      </c>
    </row>
    <row r="129" spans="1:56" ht="15" customHeight="1" x14ac:dyDescent="0.25">
      <c r="A129" s="137" t="s">
        <v>371</v>
      </c>
      <c r="B129" s="137" t="s">
        <v>81</v>
      </c>
      <c r="C129" s="137">
        <v>2018</v>
      </c>
      <c r="D129" s="137" t="s">
        <v>193</v>
      </c>
      <c r="E129" s="137" t="s">
        <v>193</v>
      </c>
      <c r="F129" s="137" t="s">
        <v>193</v>
      </c>
      <c r="G129" s="137" t="s">
        <v>193</v>
      </c>
      <c r="H129" s="137" t="s">
        <v>193</v>
      </c>
      <c r="I129" s="137" t="s">
        <v>193</v>
      </c>
      <c r="J129" s="137" t="s">
        <v>193</v>
      </c>
      <c r="K129" s="137" t="s">
        <v>193</v>
      </c>
      <c r="L129" s="137" t="s">
        <v>193</v>
      </c>
      <c r="M129" s="137" t="s">
        <v>193</v>
      </c>
      <c r="N129" s="137" t="s">
        <v>193</v>
      </c>
      <c r="O129" s="137" t="s">
        <v>193</v>
      </c>
      <c r="P129" s="137" t="s">
        <v>193</v>
      </c>
      <c r="Q129" s="137" t="s">
        <v>193</v>
      </c>
      <c r="R129" s="137" t="s">
        <v>193</v>
      </c>
      <c r="S129" s="137" t="s">
        <v>193</v>
      </c>
      <c r="T129" s="137" t="s">
        <v>193</v>
      </c>
      <c r="U129" s="137" t="s">
        <v>193</v>
      </c>
      <c r="V129" s="137" t="s">
        <v>193</v>
      </c>
      <c r="W129" s="137" t="s">
        <v>193</v>
      </c>
      <c r="X129" s="137" t="s">
        <v>193</v>
      </c>
      <c r="Y129" s="137" t="s">
        <v>193</v>
      </c>
      <c r="Z129" s="137" t="s">
        <v>193</v>
      </c>
      <c r="AA129" s="137" t="s">
        <v>193</v>
      </c>
      <c r="AB129" s="137" t="s">
        <v>193</v>
      </c>
      <c r="AC129" s="137" t="s">
        <v>193</v>
      </c>
      <c r="AD129" s="137" t="s">
        <v>193</v>
      </c>
      <c r="AE129" s="137" t="s">
        <v>193</v>
      </c>
      <c r="AF129" s="137" t="s">
        <v>193</v>
      </c>
      <c r="AG129" s="137" t="s">
        <v>193</v>
      </c>
      <c r="AH129" s="137" t="s">
        <v>53</v>
      </c>
      <c r="AI129" s="137" t="s">
        <v>193</v>
      </c>
      <c r="AJ129" s="137" t="s">
        <v>193</v>
      </c>
      <c r="AK129" s="137" t="s">
        <v>193</v>
      </c>
      <c r="AL129" s="137" t="s">
        <v>193</v>
      </c>
      <c r="AM129" s="137" t="s">
        <v>193</v>
      </c>
      <c r="AN129" s="137" t="s">
        <v>193</v>
      </c>
      <c r="AO129" s="137" t="s">
        <v>193</v>
      </c>
      <c r="AQ129" s="12">
        <f t="shared" si="10"/>
        <v>0</v>
      </c>
      <c r="AR129" s="12">
        <f t="shared" ref="AR129:AR192" si="17">SUMPRODUCT(J129:AF129)+SUMPRODUCT(AJ129:AK129)</f>
        <v>0</v>
      </c>
      <c r="AT129" s="12">
        <f t="shared" si="11"/>
        <v>0</v>
      </c>
      <c r="AU129" s="12">
        <f t="shared" si="12"/>
        <v>0</v>
      </c>
      <c r="AV129" s="13" t="str">
        <f t="shared" si="13"/>
        <v/>
      </c>
      <c r="AY129" s="12">
        <f t="shared" si="14"/>
        <v>0</v>
      </c>
      <c r="AZ129" s="12">
        <f t="shared" si="15"/>
        <v>0</v>
      </c>
      <c r="BA129" s="12">
        <f t="shared" si="15"/>
        <v>0</v>
      </c>
      <c r="BB129" s="12">
        <f t="shared" si="15"/>
        <v>0</v>
      </c>
      <c r="BC129" s="12">
        <f t="shared" ref="BC129:BC192" si="18">IFERROR(AO129/100,0)*$AY129</f>
        <v>0</v>
      </c>
      <c r="BD129" s="12">
        <f t="shared" si="16"/>
        <v>0</v>
      </c>
    </row>
    <row r="130" spans="1:56" ht="15" customHeight="1" x14ac:dyDescent="0.25">
      <c r="A130" s="137" t="s">
        <v>372</v>
      </c>
      <c r="B130" s="137" t="s">
        <v>373</v>
      </c>
      <c r="C130" s="137">
        <v>2018</v>
      </c>
      <c r="D130" s="137" t="s">
        <v>193</v>
      </c>
      <c r="E130" s="137" t="s">
        <v>193</v>
      </c>
      <c r="F130" s="137" t="s">
        <v>193</v>
      </c>
      <c r="G130" s="137" t="s">
        <v>193</v>
      </c>
      <c r="H130" s="137" t="s">
        <v>193</v>
      </c>
      <c r="I130" s="137" t="s">
        <v>193</v>
      </c>
      <c r="J130" s="137" t="s">
        <v>193</v>
      </c>
      <c r="K130" s="137" t="s">
        <v>193</v>
      </c>
      <c r="L130" s="137" t="s">
        <v>193</v>
      </c>
      <c r="M130" s="137" t="s">
        <v>193</v>
      </c>
      <c r="N130" s="137" t="s">
        <v>193</v>
      </c>
      <c r="O130" s="137" t="s">
        <v>193</v>
      </c>
      <c r="P130" s="137" t="s">
        <v>193</v>
      </c>
      <c r="Q130" s="137" t="s">
        <v>193</v>
      </c>
      <c r="R130" s="137" t="s">
        <v>193</v>
      </c>
      <c r="S130" s="137" t="s">
        <v>193</v>
      </c>
      <c r="T130" s="137" t="s">
        <v>193</v>
      </c>
      <c r="U130" s="137" t="s">
        <v>193</v>
      </c>
      <c r="V130" s="137" t="s">
        <v>193</v>
      </c>
      <c r="W130" s="137" t="s">
        <v>193</v>
      </c>
      <c r="X130" s="137" t="s">
        <v>193</v>
      </c>
      <c r="Y130" s="137" t="s">
        <v>193</v>
      </c>
      <c r="Z130" s="137" t="s">
        <v>193</v>
      </c>
      <c r="AA130" s="137" t="s">
        <v>193</v>
      </c>
      <c r="AB130" s="137" t="s">
        <v>193</v>
      </c>
      <c r="AC130" s="137" t="s">
        <v>193</v>
      </c>
      <c r="AD130" s="137" t="s">
        <v>193</v>
      </c>
      <c r="AE130" s="137" t="s">
        <v>193</v>
      </c>
      <c r="AF130" s="137" t="s">
        <v>193</v>
      </c>
      <c r="AG130" s="137" t="s">
        <v>193</v>
      </c>
      <c r="AH130" s="137" t="s">
        <v>53</v>
      </c>
      <c r="AI130" s="137" t="s">
        <v>193</v>
      </c>
      <c r="AJ130" s="137" t="s">
        <v>193</v>
      </c>
      <c r="AK130" s="137" t="s">
        <v>193</v>
      </c>
      <c r="AL130" s="137" t="s">
        <v>193</v>
      </c>
      <c r="AM130" s="137" t="s">
        <v>193</v>
      </c>
      <c r="AN130" s="137" t="s">
        <v>193</v>
      </c>
      <c r="AO130" s="137" t="s">
        <v>193</v>
      </c>
      <c r="AQ130" s="12">
        <f t="shared" ref="AQ130:AQ193" si="19">SUMPRODUCT(J130:AF130)+IFERROR(AJ130/1,0)</f>
        <v>0</v>
      </c>
      <c r="AR130" s="12">
        <f t="shared" si="17"/>
        <v>0</v>
      </c>
      <c r="AT130" s="12">
        <f t="shared" ref="AT130:AT193" si="20">IFERROR(D130/1,0)</f>
        <v>0</v>
      </c>
      <c r="AU130" s="12">
        <f t="shared" ref="AU130:AU193" si="21">IFERROR(E130/1,0)</f>
        <v>0</v>
      </c>
      <c r="AV130" s="13" t="str">
        <f t="shared" ref="AV130:AV193" si="22">IFERROR((AT130+AU130)/AR130,"")</f>
        <v/>
      </c>
      <c r="AY130" s="12">
        <f t="shared" ref="AY130:AY193" si="23">IFERROR(AK130/1,0)</f>
        <v>0</v>
      </c>
      <c r="AZ130" s="12">
        <f t="shared" ref="AZ130:BC193" si="24">IFERROR(AL130/100,0)*$AY130</f>
        <v>0</v>
      </c>
      <c r="BA130" s="12">
        <f t="shared" si="24"/>
        <v>0</v>
      </c>
      <c r="BB130" s="12">
        <f t="shared" si="24"/>
        <v>0</v>
      </c>
      <c r="BC130" s="12">
        <f t="shared" si="18"/>
        <v>0</v>
      </c>
      <c r="BD130" s="12">
        <f t="shared" ref="BD130:BD193" si="25">MAX(AY130-SUM(AZ130:BC130),0)</f>
        <v>0</v>
      </c>
    </row>
    <row r="131" spans="1:56" ht="15" customHeight="1" x14ac:dyDescent="0.25">
      <c r="A131" s="137" t="s">
        <v>372</v>
      </c>
      <c r="B131" s="137" t="s">
        <v>374</v>
      </c>
      <c r="C131" s="137">
        <v>2018</v>
      </c>
      <c r="D131" s="137">
        <v>655</v>
      </c>
      <c r="E131" s="137">
        <v>231.4</v>
      </c>
      <c r="F131" s="137">
        <v>0</v>
      </c>
      <c r="G131" s="137" t="s">
        <v>747</v>
      </c>
      <c r="H131" s="137">
        <v>0</v>
      </c>
      <c r="I131" s="137">
        <v>1140.75</v>
      </c>
      <c r="J131" s="137" t="s">
        <v>193</v>
      </c>
      <c r="K131" s="137">
        <v>2.08</v>
      </c>
      <c r="L131" s="137" t="s">
        <v>193</v>
      </c>
      <c r="M131" s="137">
        <v>0</v>
      </c>
      <c r="N131" s="137" t="s">
        <v>193</v>
      </c>
      <c r="O131" s="137" t="s">
        <v>193</v>
      </c>
      <c r="P131" s="137" t="s">
        <v>193</v>
      </c>
      <c r="Q131" s="137">
        <v>255.47</v>
      </c>
      <c r="R131" s="137">
        <v>93.23</v>
      </c>
      <c r="S131" s="137">
        <v>35.200000000000003</v>
      </c>
      <c r="T131" s="137">
        <v>24.13</v>
      </c>
      <c r="U131" s="137">
        <v>0</v>
      </c>
      <c r="V131" s="137">
        <v>68.459999999999994</v>
      </c>
      <c r="W131" s="137" t="s">
        <v>194</v>
      </c>
      <c r="X131" s="137">
        <v>0</v>
      </c>
      <c r="Y131" s="137">
        <v>0</v>
      </c>
      <c r="Z131" s="137">
        <v>0</v>
      </c>
      <c r="AA131" s="137">
        <v>1.59</v>
      </c>
      <c r="AB131" s="137" t="s">
        <v>193</v>
      </c>
      <c r="AC131" s="137">
        <v>0</v>
      </c>
      <c r="AD131" s="137" t="s">
        <v>193</v>
      </c>
      <c r="AE131" s="137">
        <v>9.18</v>
      </c>
      <c r="AF131" s="137">
        <v>526.91</v>
      </c>
      <c r="AG131" s="137">
        <v>1.3</v>
      </c>
      <c r="AH131" s="137" t="s">
        <v>195</v>
      </c>
      <c r="AI131" s="137">
        <v>40.5</v>
      </c>
      <c r="AJ131" s="137">
        <v>0</v>
      </c>
      <c r="AK131" s="137">
        <v>124.5</v>
      </c>
      <c r="AL131" s="137">
        <v>55.4</v>
      </c>
      <c r="AM131" s="137">
        <v>43.6</v>
      </c>
      <c r="AN131" s="137">
        <v>0</v>
      </c>
      <c r="AO131" s="137">
        <v>1</v>
      </c>
      <c r="AQ131" s="12">
        <f t="shared" si="19"/>
        <v>1016.25</v>
      </c>
      <c r="AR131" s="12">
        <f t="shared" si="17"/>
        <v>1140.75</v>
      </c>
      <c r="AT131" s="12">
        <f t="shared" si="20"/>
        <v>655</v>
      </c>
      <c r="AU131" s="12">
        <f t="shared" si="21"/>
        <v>231.4</v>
      </c>
      <c r="AV131" s="13">
        <f t="shared" si="22"/>
        <v>0.77703265395573085</v>
      </c>
      <c r="AY131" s="12">
        <f t="shared" si="23"/>
        <v>124.5</v>
      </c>
      <c r="AZ131" s="12">
        <f t="shared" si="24"/>
        <v>68.972999999999999</v>
      </c>
      <c r="BA131" s="12">
        <f t="shared" si="24"/>
        <v>54.281999999999996</v>
      </c>
      <c r="BB131" s="12">
        <f t="shared" si="24"/>
        <v>0</v>
      </c>
      <c r="BC131" s="12">
        <f t="shared" si="18"/>
        <v>1.2450000000000001</v>
      </c>
      <c r="BD131" s="12">
        <f t="shared" si="25"/>
        <v>0</v>
      </c>
    </row>
    <row r="132" spans="1:56" ht="15" customHeight="1" x14ac:dyDescent="0.25">
      <c r="A132" s="137" t="s">
        <v>372</v>
      </c>
      <c r="B132" s="137" t="s">
        <v>375</v>
      </c>
      <c r="C132" s="137">
        <v>2018</v>
      </c>
      <c r="D132" s="137" t="s">
        <v>193</v>
      </c>
      <c r="E132" s="137" t="s">
        <v>193</v>
      </c>
      <c r="F132" s="137" t="s">
        <v>193</v>
      </c>
      <c r="G132" s="137" t="s">
        <v>193</v>
      </c>
      <c r="H132" s="137" t="s">
        <v>193</v>
      </c>
      <c r="I132" s="137" t="s">
        <v>193</v>
      </c>
      <c r="J132" s="137" t="s">
        <v>193</v>
      </c>
      <c r="K132" s="137" t="s">
        <v>193</v>
      </c>
      <c r="L132" s="137" t="s">
        <v>193</v>
      </c>
      <c r="M132" s="137" t="s">
        <v>193</v>
      </c>
      <c r="N132" s="137" t="s">
        <v>193</v>
      </c>
      <c r="O132" s="137" t="s">
        <v>193</v>
      </c>
      <c r="P132" s="137" t="s">
        <v>193</v>
      </c>
      <c r="Q132" s="137" t="s">
        <v>193</v>
      </c>
      <c r="R132" s="137" t="s">
        <v>193</v>
      </c>
      <c r="S132" s="137" t="s">
        <v>193</v>
      </c>
      <c r="T132" s="137" t="s">
        <v>193</v>
      </c>
      <c r="U132" s="137" t="s">
        <v>193</v>
      </c>
      <c r="V132" s="137" t="s">
        <v>193</v>
      </c>
      <c r="W132" s="137" t="s">
        <v>193</v>
      </c>
      <c r="X132" s="137" t="s">
        <v>193</v>
      </c>
      <c r="Y132" s="137" t="s">
        <v>193</v>
      </c>
      <c r="Z132" s="137" t="s">
        <v>193</v>
      </c>
      <c r="AA132" s="137" t="s">
        <v>193</v>
      </c>
      <c r="AB132" s="137" t="s">
        <v>193</v>
      </c>
      <c r="AC132" s="137" t="s">
        <v>193</v>
      </c>
      <c r="AD132" s="137" t="s">
        <v>193</v>
      </c>
      <c r="AE132" s="137" t="s">
        <v>193</v>
      </c>
      <c r="AF132" s="137" t="s">
        <v>193</v>
      </c>
      <c r="AG132" s="137" t="s">
        <v>193</v>
      </c>
      <c r="AH132" s="137" t="s">
        <v>53</v>
      </c>
      <c r="AI132" s="137" t="s">
        <v>193</v>
      </c>
      <c r="AJ132" s="137" t="s">
        <v>193</v>
      </c>
      <c r="AK132" s="137" t="s">
        <v>193</v>
      </c>
      <c r="AL132" s="137" t="s">
        <v>193</v>
      </c>
      <c r="AM132" s="137" t="s">
        <v>193</v>
      </c>
      <c r="AN132" s="137" t="s">
        <v>193</v>
      </c>
      <c r="AO132" s="137" t="s">
        <v>193</v>
      </c>
      <c r="AQ132" s="12">
        <f t="shared" si="19"/>
        <v>0</v>
      </c>
      <c r="AR132" s="12">
        <f t="shared" si="17"/>
        <v>0</v>
      </c>
      <c r="AT132" s="12">
        <f t="shared" si="20"/>
        <v>0</v>
      </c>
      <c r="AU132" s="12">
        <f t="shared" si="21"/>
        <v>0</v>
      </c>
      <c r="AV132" s="13" t="str">
        <f t="shared" si="22"/>
        <v/>
      </c>
      <c r="AY132" s="12">
        <f t="shared" si="23"/>
        <v>0</v>
      </c>
      <c r="AZ132" s="12">
        <f t="shared" si="24"/>
        <v>0</v>
      </c>
      <c r="BA132" s="12">
        <f t="shared" si="24"/>
        <v>0</v>
      </c>
      <c r="BB132" s="12">
        <f t="shared" si="24"/>
        <v>0</v>
      </c>
      <c r="BC132" s="12">
        <f t="shared" si="18"/>
        <v>0</v>
      </c>
      <c r="BD132" s="12">
        <f t="shared" si="25"/>
        <v>0</v>
      </c>
    </row>
    <row r="133" spans="1:56" ht="15" customHeight="1" x14ac:dyDescent="0.25">
      <c r="A133" s="137" t="s">
        <v>376</v>
      </c>
      <c r="B133" s="137" t="s">
        <v>377</v>
      </c>
      <c r="C133" s="137">
        <v>2018</v>
      </c>
      <c r="D133" s="137">
        <v>273.89999999999998</v>
      </c>
      <c r="E133" s="137">
        <v>123.65</v>
      </c>
      <c r="F133" s="137" t="s">
        <v>193</v>
      </c>
      <c r="G133" s="137" t="s">
        <v>193</v>
      </c>
      <c r="H133" s="137" t="s">
        <v>193</v>
      </c>
      <c r="I133" s="137">
        <v>556.20000000000005</v>
      </c>
      <c r="J133" s="137" t="s">
        <v>193</v>
      </c>
      <c r="K133" s="137" t="s">
        <v>193</v>
      </c>
      <c r="L133" s="137" t="s">
        <v>193</v>
      </c>
      <c r="M133" s="137" t="s">
        <v>193</v>
      </c>
      <c r="N133" s="137" t="s">
        <v>193</v>
      </c>
      <c r="O133" s="137" t="s">
        <v>193</v>
      </c>
      <c r="P133" s="137" t="s">
        <v>193</v>
      </c>
      <c r="Q133" s="137">
        <v>268.39999999999998</v>
      </c>
      <c r="R133" s="137">
        <v>142.6</v>
      </c>
      <c r="S133" s="137">
        <v>0</v>
      </c>
      <c r="T133" s="137">
        <v>55.9</v>
      </c>
      <c r="U133" s="137">
        <v>0</v>
      </c>
      <c r="V133" s="137">
        <v>0</v>
      </c>
      <c r="W133" s="137" t="s">
        <v>194</v>
      </c>
      <c r="X133" s="137" t="s">
        <v>193</v>
      </c>
      <c r="Y133" s="137" t="s">
        <v>193</v>
      </c>
      <c r="Z133" s="137" t="s">
        <v>193</v>
      </c>
      <c r="AA133" s="137" t="s">
        <v>193</v>
      </c>
      <c r="AB133" s="137" t="s">
        <v>193</v>
      </c>
      <c r="AC133" s="137" t="s">
        <v>193</v>
      </c>
      <c r="AD133" s="137" t="s">
        <v>193</v>
      </c>
      <c r="AE133" s="137" t="s">
        <v>193</v>
      </c>
      <c r="AF133" s="137" t="s">
        <v>193</v>
      </c>
      <c r="AG133" s="137" t="s">
        <v>193</v>
      </c>
      <c r="AH133" s="137" t="s">
        <v>53</v>
      </c>
      <c r="AI133" s="137" t="s">
        <v>193</v>
      </c>
      <c r="AJ133" s="137" t="s">
        <v>193</v>
      </c>
      <c r="AK133" s="137">
        <v>89.3</v>
      </c>
      <c r="AL133" s="137">
        <v>100</v>
      </c>
      <c r="AM133" s="137" t="s">
        <v>193</v>
      </c>
      <c r="AN133" s="137" t="s">
        <v>193</v>
      </c>
      <c r="AO133" s="137" t="s">
        <v>193</v>
      </c>
      <c r="AQ133" s="12">
        <f t="shared" si="19"/>
        <v>466.9</v>
      </c>
      <c r="AR133" s="12">
        <f t="shared" si="17"/>
        <v>556.19999999999993</v>
      </c>
      <c r="AT133" s="12">
        <f t="shared" si="20"/>
        <v>273.89999999999998</v>
      </c>
      <c r="AU133" s="12">
        <f t="shared" si="21"/>
        <v>123.65</v>
      </c>
      <c r="AV133" s="13">
        <f t="shared" si="22"/>
        <v>0.71476087738223659</v>
      </c>
      <c r="AY133" s="12">
        <f t="shared" si="23"/>
        <v>89.3</v>
      </c>
      <c r="AZ133" s="12">
        <f t="shared" si="24"/>
        <v>89.3</v>
      </c>
      <c r="BA133" s="12">
        <f t="shared" si="24"/>
        <v>0</v>
      </c>
      <c r="BB133" s="12">
        <f t="shared" si="24"/>
        <v>0</v>
      </c>
      <c r="BC133" s="12">
        <f t="shared" si="18"/>
        <v>0</v>
      </c>
      <c r="BD133" s="12">
        <f t="shared" si="25"/>
        <v>0</v>
      </c>
    </row>
    <row r="134" spans="1:56" ht="15" customHeight="1" x14ac:dyDescent="0.25">
      <c r="A134" s="137" t="s">
        <v>378</v>
      </c>
      <c r="B134" s="137" t="s">
        <v>84</v>
      </c>
      <c r="C134" s="137">
        <v>2018</v>
      </c>
      <c r="D134" s="137" t="s">
        <v>193</v>
      </c>
      <c r="E134" s="137" t="s">
        <v>193</v>
      </c>
      <c r="F134" s="137" t="s">
        <v>193</v>
      </c>
      <c r="G134" s="137" t="s">
        <v>193</v>
      </c>
      <c r="H134" s="137" t="s">
        <v>193</v>
      </c>
      <c r="I134" s="137" t="s">
        <v>193</v>
      </c>
      <c r="J134" s="137" t="s">
        <v>193</v>
      </c>
      <c r="K134" s="137" t="s">
        <v>193</v>
      </c>
      <c r="L134" s="137" t="s">
        <v>193</v>
      </c>
      <c r="M134" s="137" t="s">
        <v>193</v>
      </c>
      <c r="N134" s="137" t="s">
        <v>193</v>
      </c>
      <c r="O134" s="137" t="s">
        <v>193</v>
      </c>
      <c r="P134" s="137" t="s">
        <v>193</v>
      </c>
      <c r="Q134" s="137" t="s">
        <v>193</v>
      </c>
      <c r="R134" s="137" t="s">
        <v>193</v>
      </c>
      <c r="S134" s="137" t="s">
        <v>193</v>
      </c>
      <c r="T134" s="137" t="s">
        <v>193</v>
      </c>
      <c r="U134" s="137" t="s">
        <v>193</v>
      </c>
      <c r="V134" s="137" t="s">
        <v>193</v>
      </c>
      <c r="W134" s="137" t="s">
        <v>193</v>
      </c>
      <c r="X134" s="137" t="s">
        <v>193</v>
      </c>
      <c r="Y134" s="137" t="s">
        <v>193</v>
      </c>
      <c r="Z134" s="137" t="s">
        <v>193</v>
      </c>
      <c r="AA134" s="137" t="s">
        <v>193</v>
      </c>
      <c r="AB134" s="137" t="s">
        <v>193</v>
      </c>
      <c r="AC134" s="137" t="s">
        <v>193</v>
      </c>
      <c r="AD134" s="137" t="s">
        <v>193</v>
      </c>
      <c r="AE134" s="137" t="s">
        <v>193</v>
      </c>
      <c r="AF134" s="137" t="s">
        <v>193</v>
      </c>
      <c r="AG134" s="137" t="s">
        <v>193</v>
      </c>
      <c r="AH134" s="137" t="s">
        <v>199</v>
      </c>
      <c r="AI134" s="137" t="s">
        <v>193</v>
      </c>
      <c r="AJ134" s="137" t="s">
        <v>193</v>
      </c>
      <c r="AK134" s="137" t="s">
        <v>193</v>
      </c>
      <c r="AL134" s="137" t="s">
        <v>193</v>
      </c>
      <c r="AM134" s="137" t="s">
        <v>193</v>
      </c>
      <c r="AN134" s="137" t="s">
        <v>193</v>
      </c>
      <c r="AO134" s="137" t="s">
        <v>193</v>
      </c>
      <c r="AQ134" s="12">
        <f t="shared" si="19"/>
        <v>0</v>
      </c>
      <c r="AR134" s="12">
        <f t="shared" si="17"/>
        <v>0</v>
      </c>
      <c r="AT134" s="12">
        <f t="shared" si="20"/>
        <v>0</v>
      </c>
      <c r="AU134" s="12">
        <f t="shared" si="21"/>
        <v>0</v>
      </c>
      <c r="AV134" s="13" t="str">
        <f t="shared" si="22"/>
        <v/>
      </c>
      <c r="AY134" s="12">
        <f t="shared" si="23"/>
        <v>0</v>
      </c>
      <c r="AZ134" s="12">
        <f t="shared" si="24"/>
        <v>0</v>
      </c>
      <c r="BA134" s="12">
        <f t="shared" si="24"/>
        <v>0</v>
      </c>
      <c r="BB134" s="12">
        <f t="shared" si="24"/>
        <v>0</v>
      </c>
      <c r="BC134" s="12">
        <f t="shared" si="18"/>
        <v>0</v>
      </c>
      <c r="BD134" s="12">
        <f t="shared" si="25"/>
        <v>0</v>
      </c>
    </row>
    <row r="135" spans="1:56" ht="15" customHeight="1" x14ac:dyDescent="0.25">
      <c r="A135" s="137" t="s">
        <v>380</v>
      </c>
      <c r="B135" s="137" t="s">
        <v>381</v>
      </c>
      <c r="C135" s="137">
        <v>2018</v>
      </c>
      <c r="D135" s="137" t="s">
        <v>193</v>
      </c>
      <c r="E135" s="137" t="s">
        <v>193</v>
      </c>
      <c r="F135" s="137" t="s">
        <v>193</v>
      </c>
      <c r="G135" s="137" t="s">
        <v>193</v>
      </c>
      <c r="H135" s="137" t="s">
        <v>193</v>
      </c>
      <c r="I135" s="137" t="s">
        <v>193</v>
      </c>
      <c r="J135" s="137" t="s">
        <v>193</v>
      </c>
      <c r="K135" s="137" t="s">
        <v>193</v>
      </c>
      <c r="L135" s="137" t="s">
        <v>193</v>
      </c>
      <c r="M135" s="137" t="s">
        <v>193</v>
      </c>
      <c r="N135" s="137" t="s">
        <v>193</v>
      </c>
      <c r="O135" s="137" t="s">
        <v>193</v>
      </c>
      <c r="P135" s="137" t="s">
        <v>193</v>
      </c>
      <c r="Q135" s="137" t="s">
        <v>193</v>
      </c>
      <c r="R135" s="137" t="s">
        <v>193</v>
      </c>
      <c r="S135" s="137" t="s">
        <v>193</v>
      </c>
      <c r="T135" s="137" t="s">
        <v>193</v>
      </c>
      <c r="U135" s="137" t="s">
        <v>193</v>
      </c>
      <c r="V135" s="137" t="s">
        <v>193</v>
      </c>
      <c r="W135" s="137" t="s">
        <v>193</v>
      </c>
      <c r="X135" s="137" t="s">
        <v>193</v>
      </c>
      <c r="Y135" s="137" t="s">
        <v>193</v>
      </c>
      <c r="Z135" s="137" t="s">
        <v>193</v>
      </c>
      <c r="AA135" s="137" t="s">
        <v>193</v>
      </c>
      <c r="AB135" s="137" t="s">
        <v>193</v>
      </c>
      <c r="AC135" s="137" t="s">
        <v>193</v>
      </c>
      <c r="AD135" s="137" t="s">
        <v>193</v>
      </c>
      <c r="AE135" s="137" t="s">
        <v>193</v>
      </c>
      <c r="AF135" s="137" t="s">
        <v>193</v>
      </c>
      <c r="AG135" s="137" t="s">
        <v>193</v>
      </c>
      <c r="AH135" s="137" t="s">
        <v>53</v>
      </c>
      <c r="AI135" s="137" t="s">
        <v>193</v>
      </c>
      <c r="AJ135" s="137" t="s">
        <v>193</v>
      </c>
      <c r="AK135" s="137" t="s">
        <v>193</v>
      </c>
      <c r="AL135" s="137" t="s">
        <v>193</v>
      </c>
      <c r="AM135" s="137" t="s">
        <v>193</v>
      </c>
      <c r="AN135" s="137" t="s">
        <v>193</v>
      </c>
      <c r="AO135" s="137" t="s">
        <v>193</v>
      </c>
      <c r="AQ135" s="12">
        <f t="shared" si="19"/>
        <v>0</v>
      </c>
      <c r="AR135" s="12">
        <f t="shared" si="17"/>
        <v>0</v>
      </c>
      <c r="AT135" s="12">
        <f t="shared" si="20"/>
        <v>0</v>
      </c>
      <c r="AU135" s="12">
        <f t="shared" si="21"/>
        <v>0</v>
      </c>
      <c r="AV135" s="13" t="str">
        <f t="shared" si="22"/>
        <v/>
      </c>
      <c r="AY135" s="12">
        <f t="shared" si="23"/>
        <v>0</v>
      </c>
      <c r="AZ135" s="12">
        <f t="shared" si="24"/>
        <v>0</v>
      </c>
      <c r="BA135" s="12">
        <f t="shared" si="24"/>
        <v>0</v>
      </c>
      <c r="BB135" s="12">
        <f t="shared" si="24"/>
        <v>0</v>
      </c>
      <c r="BC135" s="12">
        <f t="shared" si="18"/>
        <v>0</v>
      </c>
      <c r="BD135" s="12">
        <f t="shared" si="25"/>
        <v>0</v>
      </c>
    </row>
    <row r="136" spans="1:56" ht="15" customHeight="1" x14ac:dyDescent="0.25">
      <c r="A136" s="137" t="s">
        <v>382</v>
      </c>
      <c r="B136" s="137" t="s">
        <v>87</v>
      </c>
      <c r="C136" s="137">
        <v>2018</v>
      </c>
      <c r="D136" s="137">
        <v>295.39999999999998</v>
      </c>
      <c r="E136" s="137">
        <v>20.9</v>
      </c>
      <c r="F136" s="137" t="s">
        <v>193</v>
      </c>
      <c r="G136" s="137" t="s">
        <v>193</v>
      </c>
      <c r="H136" s="137" t="s">
        <v>193</v>
      </c>
      <c r="I136" s="137">
        <v>377.7</v>
      </c>
      <c r="J136" s="137" t="s">
        <v>193</v>
      </c>
      <c r="K136" s="137">
        <v>8.6</v>
      </c>
      <c r="L136" s="137" t="s">
        <v>193</v>
      </c>
      <c r="M136" s="137" t="s">
        <v>193</v>
      </c>
      <c r="N136" s="137" t="s">
        <v>193</v>
      </c>
      <c r="O136" s="137" t="s">
        <v>193</v>
      </c>
      <c r="P136" s="137" t="s">
        <v>193</v>
      </c>
      <c r="Q136" s="137" t="s">
        <v>193</v>
      </c>
      <c r="R136" s="137" t="s">
        <v>193</v>
      </c>
      <c r="S136" s="137" t="s">
        <v>193</v>
      </c>
      <c r="T136" s="137" t="s">
        <v>193</v>
      </c>
      <c r="U136" s="137" t="s">
        <v>193</v>
      </c>
      <c r="V136" s="137" t="s">
        <v>193</v>
      </c>
      <c r="W136" s="137" t="s">
        <v>194</v>
      </c>
      <c r="X136" s="137" t="s">
        <v>193</v>
      </c>
      <c r="Y136" s="137" t="s">
        <v>193</v>
      </c>
      <c r="Z136" s="137" t="s">
        <v>193</v>
      </c>
      <c r="AA136" s="137">
        <v>192.5</v>
      </c>
      <c r="AB136" s="137" t="s">
        <v>193</v>
      </c>
      <c r="AC136" s="137">
        <v>14.5</v>
      </c>
      <c r="AD136" s="137">
        <v>7.4</v>
      </c>
      <c r="AE136" s="137">
        <v>60.1</v>
      </c>
      <c r="AF136" s="137">
        <v>72.2</v>
      </c>
      <c r="AG136" s="137">
        <v>10.6</v>
      </c>
      <c r="AH136" s="137" t="s">
        <v>195</v>
      </c>
      <c r="AI136" s="137">
        <v>40.5</v>
      </c>
      <c r="AJ136" s="137">
        <v>0</v>
      </c>
      <c r="AK136" s="137">
        <v>22.4</v>
      </c>
      <c r="AL136" s="137">
        <v>70</v>
      </c>
      <c r="AM136" s="137">
        <v>0</v>
      </c>
      <c r="AN136" s="137">
        <v>0</v>
      </c>
      <c r="AO136" s="137">
        <v>30</v>
      </c>
      <c r="AQ136" s="12">
        <f t="shared" si="19"/>
        <v>355.3</v>
      </c>
      <c r="AR136" s="12">
        <f t="shared" si="17"/>
        <v>377.7</v>
      </c>
      <c r="AT136" s="12">
        <f t="shared" si="20"/>
        <v>295.39999999999998</v>
      </c>
      <c r="AU136" s="12">
        <f t="shared" si="21"/>
        <v>20.9</v>
      </c>
      <c r="AV136" s="13">
        <f t="shared" si="22"/>
        <v>0.83743711940693666</v>
      </c>
      <c r="AY136" s="12">
        <f t="shared" si="23"/>
        <v>22.4</v>
      </c>
      <c r="AZ136" s="12">
        <f t="shared" si="24"/>
        <v>15.679999999999998</v>
      </c>
      <c r="BA136" s="12">
        <f t="shared" si="24"/>
        <v>0</v>
      </c>
      <c r="BB136" s="12">
        <f t="shared" si="24"/>
        <v>0</v>
      </c>
      <c r="BC136" s="12">
        <f t="shared" si="18"/>
        <v>6.72</v>
      </c>
      <c r="BD136" s="12">
        <f t="shared" si="25"/>
        <v>0</v>
      </c>
    </row>
    <row r="137" spans="1:56" ht="15" customHeight="1" x14ac:dyDescent="0.25">
      <c r="A137" s="137" t="s">
        <v>383</v>
      </c>
      <c r="B137" s="137" t="s">
        <v>384</v>
      </c>
      <c r="C137" s="137">
        <v>2018</v>
      </c>
      <c r="D137" s="137">
        <v>483.125</v>
      </c>
      <c r="E137" s="137">
        <v>122.148</v>
      </c>
      <c r="F137" s="137">
        <v>0</v>
      </c>
      <c r="G137" s="137" t="s">
        <v>193</v>
      </c>
      <c r="H137" s="137" t="s">
        <v>193</v>
      </c>
      <c r="I137" s="137">
        <v>693.81799999999998</v>
      </c>
      <c r="J137" s="137" t="s">
        <v>193</v>
      </c>
      <c r="K137" s="137">
        <v>4.2960000000000003</v>
      </c>
      <c r="L137" s="137" t="s">
        <v>193</v>
      </c>
      <c r="M137" s="137" t="s">
        <v>193</v>
      </c>
      <c r="N137" s="137" t="s">
        <v>193</v>
      </c>
      <c r="O137" s="137" t="s">
        <v>193</v>
      </c>
      <c r="P137" s="137" t="s">
        <v>193</v>
      </c>
      <c r="Q137" s="137" t="s">
        <v>193</v>
      </c>
      <c r="R137" s="137" t="s">
        <v>193</v>
      </c>
      <c r="S137" s="137" t="s">
        <v>193</v>
      </c>
      <c r="T137" s="137" t="s">
        <v>193</v>
      </c>
      <c r="U137" s="137" t="s">
        <v>193</v>
      </c>
      <c r="V137" s="137">
        <v>551.93700000000001</v>
      </c>
      <c r="W137" s="137" t="s">
        <v>193</v>
      </c>
      <c r="X137" s="137" t="s">
        <v>193</v>
      </c>
      <c r="Y137" s="137" t="s">
        <v>193</v>
      </c>
      <c r="Z137" s="137" t="s">
        <v>193</v>
      </c>
      <c r="AA137" s="137" t="s">
        <v>193</v>
      </c>
      <c r="AB137" s="137" t="s">
        <v>193</v>
      </c>
      <c r="AC137" s="137" t="s">
        <v>193</v>
      </c>
      <c r="AD137" s="137" t="s">
        <v>193</v>
      </c>
      <c r="AE137" s="137" t="s">
        <v>193</v>
      </c>
      <c r="AF137" s="137" t="s">
        <v>193</v>
      </c>
      <c r="AG137" s="137" t="s">
        <v>193</v>
      </c>
      <c r="AH137" s="137" t="s">
        <v>53</v>
      </c>
      <c r="AI137" s="137" t="s">
        <v>193</v>
      </c>
      <c r="AJ137" s="137" t="s">
        <v>193</v>
      </c>
      <c r="AK137" s="137">
        <v>137.58500000000001</v>
      </c>
      <c r="AL137" s="137">
        <v>100</v>
      </c>
      <c r="AM137" s="137" t="s">
        <v>193</v>
      </c>
      <c r="AN137" s="137" t="s">
        <v>193</v>
      </c>
      <c r="AO137" s="137" t="s">
        <v>193</v>
      </c>
      <c r="AQ137" s="12">
        <f t="shared" si="19"/>
        <v>556.23300000000006</v>
      </c>
      <c r="AR137" s="12">
        <f t="shared" si="17"/>
        <v>693.8180000000001</v>
      </c>
      <c r="AT137" s="12">
        <f t="shared" si="20"/>
        <v>483.125</v>
      </c>
      <c r="AU137" s="12">
        <f t="shared" si="21"/>
        <v>122.148</v>
      </c>
      <c r="AV137" s="13">
        <f t="shared" si="22"/>
        <v>0.87238007661951689</v>
      </c>
      <c r="AY137" s="12">
        <f t="shared" si="23"/>
        <v>137.58500000000001</v>
      </c>
      <c r="AZ137" s="12">
        <f t="shared" si="24"/>
        <v>137.58500000000001</v>
      </c>
      <c r="BA137" s="12">
        <f t="shared" si="24"/>
        <v>0</v>
      </c>
      <c r="BB137" s="12">
        <f t="shared" si="24"/>
        <v>0</v>
      </c>
      <c r="BC137" s="12">
        <f t="shared" si="18"/>
        <v>0</v>
      </c>
      <c r="BD137" s="12">
        <f t="shared" si="25"/>
        <v>0</v>
      </c>
    </row>
    <row r="138" spans="1:56" ht="15" customHeight="1" x14ac:dyDescent="0.25">
      <c r="A138" s="137" t="s">
        <v>385</v>
      </c>
      <c r="B138" s="137" t="s">
        <v>386</v>
      </c>
      <c r="C138" s="137">
        <v>2018</v>
      </c>
      <c r="D138" s="137" t="s">
        <v>193</v>
      </c>
      <c r="E138" s="137" t="s">
        <v>193</v>
      </c>
      <c r="F138" s="137" t="s">
        <v>193</v>
      </c>
      <c r="G138" s="137" t="s">
        <v>193</v>
      </c>
      <c r="H138" s="137" t="s">
        <v>193</v>
      </c>
      <c r="I138" s="137" t="s">
        <v>193</v>
      </c>
      <c r="J138" s="137" t="s">
        <v>193</v>
      </c>
      <c r="K138" s="137" t="s">
        <v>193</v>
      </c>
      <c r="L138" s="137" t="s">
        <v>193</v>
      </c>
      <c r="M138" s="137" t="s">
        <v>193</v>
      </c>
      <c r="N138" s="137" t="s">
        <v>193</v>
      </c>
      <c r="O138" s="137" t="s">
        <v>193</v>
      </c>
      <c r="P138" s="137" t="s">
        <v>193</v>
      </c>
      <c r="Q138" s="137" t="s">
        <v>193</v>
      </c>
      <c r="R138" s="137" t="s">
        <v>193</v>
      </c>
      <c r="S138" s="137" t="s">
        <v>193</v>
      </c>
      <c r="T138" s="137" t="s">
        <v>193</v>
      </c>
      <c r="U138" s="137" t="s">
        <v>193</v>
      </c>
      <c r="V138" s="137" t="s">
        <v>193</v>
      </c>
      <c r="W138" s="137" t="s">
        <v>193</v>
      </c>
      <c r="X138" s="137" t="s">
        <v>193</v>
      </c>
      <c r="Y138" s="137" t="s">
        <v>193</v>
      </c>
      <c r="Z138" s="137" t="s">
        <v>193</v>
      </c>
      <c r="AA138" s="137" t="s">
        <v>193</v>
      </c>
      <c r="AB138" s="137" t="s">
        <v>193</v>
      </c>
      <c r="AC138" s="137" t="s">
        <v>193</v>
      </c>
      <c r="AD138" s="137" t="s">
        <v>193</v>
      </c>
      <c r="AE138" s="137" t="s">
        <v>193</v>
      </c>
      <c r="AF138" s="137" t="s">
        <v>193</v>
      </c>
      <c r="AG138" s="137" t="s">
        <v>193</v>
      </c>
      <c r="AH138" s="137" t="s">
        <v>199</v>
      </c>
      <c r="AI138" s="137" t="s">
        <v>193</v>
      </c>
      <c r="AJ138" s="137" t="s">
        <v>193</v>
      </c>
      <c r="AK138" s="137" t="s">
        <v>193</v>
      </c>
      <c r="AL138" s="137" t="s">
        <v>193</v>
      </c>
      <c r="AM138" s="137" t="s">
        <v>193</v>
      </c>
      <c r="AN138" s="137" t="s">
        <v>193</v>
      </c>
      <c r="AO138" s="137" t="s">
        <v>193</v>
      </c>
      <c r="AQ138" s="12">
        <f t="shared" si="19"/>
        <v>0</v>
      </c>
      <c r="AR138" s="12">
        <f t="shared" si="17"/>
        <v>0</v>
      </c>
      <c r="AT138" s="12">
        <f t="shared" si="20"/>
        <v>0</v>
      </c>
      <c r="AU138" s="12">
        <f t="shared" si="21"/>
        <v>0</v>
      </c>
      <c r="AV138" s="13" t="str">
        <f t="shared" si="22"/>
        <v/>
      </c>
      <c r="AY138" s="12">
        <f t="shared" si="23"/>
        <v>0</v>
      </c>
      <c r="AZ138" s="12">
        <f t="shared" si="24"/>
        <v>0</v>
      </c>
      <c r="BA138" s="12">
        <f t="shared" si="24"/>
        <v>0</v>
      </c>
      <c r="BB138" s="12">
        <f t="shared" si="24"/>
        <v>0</v>
      </c>
      <c r="BC138" s="12">
        <f t="shared" si="18"/>
        <v>0</v>
      </c>
      <c r="BD138" s="12">
        <f t="shared" si="25"/>
        <v>0</v>
      </c>
    </row>
    <row r="139" spans="1:56" ht="15" customHeight="1" x14ac:dyDescent="0.25">
      <c r="A139" s="137" t="s">
        <v>387</v>
      </c>
      <c r="B139" s="137" t="s">
        <v>388</v>
      </c>
      <c r="C139" s="137">
        <v>2018</v>
      </c>
      <c r="D139" s="137">
        <v>148.69800000000001</v>
      </c>
      <c r="E139" s="137">
        <v>19.315000000000001</v>
      </c>
      <c r="F139" s="137" t="s">
        <v>193</v>
      </c>
      <c r="G139" s="137" t="s">
        <v>193</v>
      </c>
      <c r="H139" s="137" t="s">
        <v>193</v>
      </c>
      <c r="I139" s="137">
        <v>210.08500000000001</v>
      </c>
      <c r="J139" s="137" t="s">
        <v>193</v>
      </c>
      <c r="K139" s="137" t="s">
        <v>193</v>
      </c>
      <c r="L139" s="137" t="s">
        <v>193</v>
      </c>
      <c r="M139" s="137" t="s">
        <v>193</v>
      </c>
      <c r="N139" s="137" t="s">
        <v>193</v>
      </c>
      <c r="O139" s="137" t="s">
        <v>193</v>
      </c>
      <c r="P139" s="137" t="s">
        <v>193</v>
      </c>
      <c r="Q139" s="137" t="s">
        <v>193</v>
      </c>
      <c r="R139" s="137" t="s">
        <v>193</v>
      </c>
      <c r="S139" s="137">
        <v>0.998</v>
      </c>
      <c r="T139" s="137" t="s">
        <v>193</v>
      </c>
      <c r="U139" s="137" t="s">
        <v>193</v>
      </c>
      <c r="V139" s="137" t="s">
        <v>193</v>
      </c>
      <c r="W139" s="137" t="s">
        <v>194</v>
      </c>
      <c r="X139" s="137" t="s">
        <v>193</v>
      </c>
      <c r="Y139" s="137" t="s">
        <v>193</v>
      </c>
      <c r="Z139" s="137" t="s">
        <v>193</v>
      </c>
      <c r="AA139" s="137">
        <v>10.664999999999999</v>
      </c>
      <c r="AB139" s="137" t="s">
        <v>193</v>
      </c>
      <c r="AC139" s="137" t="s">
        <v>193</v>
      </c>
      <c r="AD139" s="137" t="s">
        <v>193</v>
      </c>
      <c r="AE139" s="137" t="s">
        <v>193</v>
      </c>
      <c r="AF139" s="137">
        <v>181.11600000000001</v>
      </c>
      <c r="AG139" s="137" t="s">
        <v>312</v>
      </c>
      <c r="AH139" s="137" t="s">
        <v>195</v>
      </c>
      <c r="AI139" s="137">
        <v>40.5</v>
      </c>
      <c r="AJ139" s="137" t="s">
        <v>193</v>
      </c>
      <c r="AK139" s="137">
        <v>17.306000000000001</v>
      </c>
      <c r="AL139" s="137">
        <v>5</v>
      </c>
      <c r="AM139" s="137">
        <v>95</v>
      </c>
      <c r="AN139" s="137" t="s">
        <v>193</v>
      </c>
      <c r="AO139" s="137" t="s">
        <v>193</v>
      </c>
      <c r="AQ139" s="12">
        <f t="shared" si="19"/>
        <v>192.77900000000002</v>
      </c>
      <c r="AR139" s="12">
        <f t="shared" si="17"/>
        <v>210.08500000000004</v>
      </c>
      <c r="AT139" s="12">
        <f t="shared" si="20"/>
        <v>148.69800000000001</v>
      </c>
      <c r="AU139" s="12">
        <f t="shared" si="21"/>
        <v>19.315000000000001</v>
      </c>
      <c r="AV139" s="13">
        <f t="shared" si="22"/>
        <v>0.7997382012042743</v>
      </c>
      <c r="AY139" s="12">
        <f t="shared" si="23"/>
        <v>17.306000000000001</v>
      </c>
      <c r="AZ139" s="12">
        <f t="shared" si="24"/>
        <v>0.86530000000000007</v>
      </c>
      <c r="BA139" s="12">
        <f t="shared" si="24"/>
        <v>16.4407</v>
      </c>
      <c r="BB139" s="12">
        <f t="shared" si="24"/>
        <v>0</v>
      </c>
      <c r="BC139" s="12">
        <f t="shared" si="18"/>
        <v>0</v>
      </c>
      <c r="BD139" s="12">
        <f t="shared" si="25"/>
        <v>0</v>
      </c>
    </row>
    <row r="140" spans="1:56" ht="15" customHeight="1" x14ac:dyDescent="0.25">
      <c r="A140" s="137" t="s">
        <v>387</v>
      </c>
      <c r="B140" s="137" t="s">
        <v>389</v>
      </c>
      <c r="C140" s="137">
        <v>2018</v>
      </c>
      <c r="D140" s="137" t="s">
        <v>193</v>
      </c>
      <c r="E140" s="137" t="s">
        <v>193</v>
      </c>
      <c r="F140" s="137" t="s">
        <v>193</v>
      </c>
      <c r="G140" s="137" t="s">
        <v>193</v>
      </c>
      <c r="H140" s="137" t="s">
        <v>193</v>
      </c>
      <c r="I140" s="137" t="s">
        <v>193</v>
      </c>
      <c r="J140" s="137" t="s">
        <v>193</v>
      </c>
      <c r="K140" s="137" t="s">
        <v>193</v>
      </c>
      <c r="L140" s="137" t="s">
        <v>193</v>
      </c>
      <c r="M140" s="137" t="s">
        <v>193</v>
      </c>
      <c r="N140" s="137" t="s">
        <v>193</v>
      </c>
      <c r="O140" s="137" t="s">
        <v>193</v>
      </c>
      <c r="P140" s="137" t="s">
        <v>193</v>
      </c>
      <c r="Q140" s="137" t="s">
        <v>193</v>
      </c>
      <c r="R140" s="137" t="s">
        <v>193</v>
      </c>
      <c r="S140" s="137" t="s">
        <v>193</v>
      </c>
      <c r="T140" s="137" t="s">
        <v>193</v>
      </c>
      <c r="U140" s="137" t="s">
        <v>193</v>
      </c>
      <c r="V140" s="137" t="s">
        <v>193</v>
      </c>
      <c r="W140" s="137" t="s">
        <v>193</v>
      </c>
      <c r="X140" s="137" t="s">
        <v>193</v>
      </c>
      <c r="Y140" s="137" t="s">
        <v>193</v>
      </c>
      <c r="Z140" s="137" t="s">
        <v>193</v>
      </c>
      <c r="AA140" s="137" t="s">
        <v>193</v>
      </c>
      <c r="AB140" s="137" t="s">
        <v>193</v>
      </c>
      <c r="AC140" s="137" t="s">
        <v>193</v>
      </c>
      <c r="AD140" s="137" t="s">
        <v>193</v>
      </c>
      <c r="AE140" s="137" t="s">
        <v>193</v>
      </c>
      <c r="AF140" s="137" t="s">
        <v>193</v>
      </c>
      <c r="AG140" s="137" t="s">
        <v>193</v>
      </c>
      <c r="AH140" s="137" t="s">
        <v>53</v>
      </c>
      <c r="AI140" s="137" t="s">
        <v>193</v>
      </c>
      <c r="AJ140" s="137" t="s">
        <v>193</v>
      </c>
      <c r="AK140" s="137" t="s">
        <v>193</v>
      </c>
      <c r="AL140" s="137" t="s">
        <v>193</v>
      </c>
      <c r="AM140" s="137" t="s">
        <v>193</v>
      </c>
      <c r="AN140" s="137" t="s">
        <v>193</v>
      </c>
      <c r="AO140" s="137" t="s">
        <v>193</v>
      </c>
      <c r="AQ140" s="12">
        <f t="shared" si="19"/>
        <v>0</v>
      </c>
      <c r="AR140" s="12">
        <f t="shared" si="17"/>
        <v>0</v>
      </c>
      <c r="AT140" s="12">
        <f t="shared" si="20"/>
        <v>0</v>
      </c>
      <c r="AU140" s="12">
        <f t="shared" si="21"/>
        <v>0</v>
      </c>
      <c r="AV140" s="13" t="str">
        <f t="shared" si="22"/>
        <v/>
      </c>
      <c r="AY140" s="12">
        <f t="shared" si="23"/>
        <v>0</v>
      </c>
      <c r="AZ140" s="12">
        <f t="shared" si="24"/>
        <v>0</v>
      </c>
      <c r="BA140" s="12">
        <f t="shared" si="24"/>
        <v>0</v>
      </c>
      <c r="BB140" s="12">
        <f t="shared" si="24"/>
        <v>0</v>
      </c>
      <c r="BC140" s="12">
        <f t="shared" si="18"/>
        <v>0</v>
      </c>
      <c r="BD140" s="12">
        <f t="shared" si="25"/>
        <v>0</v>
      </c>
    </row>
    <row r="141" spans="1:56" ht="15" customHeight="1" x14ac:dyDescent="0.25">
      <c r="A141" s="137" t="s">
        <v>390</v>
      </c>
      <c r="B141" s="137" t="s">
        <v>391</v>
      </c>
      <c r="C141" s="137">
        <v>2018</v>
      </c>
      <c r="D141" s="137">
        <v>541.63599999999997</v>
      </c>
      <c r="E141" s="137">
        <v>150.666</v>
      </c>
      <c r="F141" s="137" t="s">
        <v>193</v>
      </c>
      <c r="G141" s="137" t="s">
        <v>193</v>
      </c>
      <c r="H141" s="137" t="s">
        <v>193</v>
      </c>
      <c r="I141" s="137">
        <v>780.15300000000002</v>
      </c>
      <c r="J141" s="137" t="s">
        <v>193</v>
      </c>
      <c r="K141" s="137" t="s">
        <v>193</v>
      </c>
      <c r="L141" s="137" t="s">
        <v>193</v>
      </c>
      <c r="M141" s="137" t="s">
        <v>193</v>
      </c>
      <c r="N141" s="137" t="s">
        <v>193</v>
      </c>
      <c r="O141" s="137" t="s">
        <v>193</v>
      </c>
      <c r="P141" s="137" t="s">
        <v>193</v>
      </c>
      <c r="Q141" s="137" t="s">
        <v>193</v>
      </c>
      <c r="R141" s="137" t="s">
        <v>193</v>
      </c>
      <c r="S141" s="137">
        <v>381.15699999999998</v>
      </c>
      <c r="T141" s="137" t="s">
        <v>193</v>
      </c>
      <c r="U141" s="137" t="s">
        <v>193</v>
      </c>
      <c r="V141" s="137" t="s">
        <v>193</v>
      </c>
      <c r="W141" s="137" t="s">
        <v>193</v>
      </c>
      <c r="X141" s="137" t="s">
        <v>193</v>
      </c>
      <c r="Y141" s="137" t="s">
        <v>193</v>
      </c>
      <c r="Z141" s="137" t="s">
        <v>193</v>
      </c>
      <c r="AA141" s="137">
        <v>297.54300000000001</v>
      </c>
      <c r="AB141" s="137" t="s">
        <v>193</v>
      </c>
      <c r="AC141" s="137" t="s">
        <v>193</v>
      </c>
      <c r="AD141" s="137" t="s">
        <v>193</v>
      </c>
      <c r="AE141" s="137">
        <v>17.152000000000001</v>
      </c>
      <c r="AF141" s="137" t="s">
        <v>193</v>
      </c>
      <c r="AG141" s="137" t="s">
        <v>193</v>
      </c>
      <c r="AH141" s="137" t="s">
        <v>195</v>
      </c>
      <c r="AI141" s="137">
        <v>40.5</v>
      </c>
      <c r="AJ141" s="137" t="s">
        <v>193</v>
      </c>
      <c r="AK141" s="137">
        <v>84.301000000000002</v>
      </c>
      <c r="AL141" s="137">
        <v>97.3</v>
      </c>
      <c r="AM141" s="137">
        <v>0</v>
      </c>
      <c r="AN141" s="137">
        <v>0</v>
      </c>
      <c r="AO141" s="137">
        <v>2.7</v>
      </c>
      <c r="AQ141" s="12">
        <f t="shared" si="19"/>
        <v>695.85200000000009</v>
      </c>
      <c r="AR141" s="12">
        <f t="shared" si="17"/>
        <v>780.15300000000013</v>
      </c>
      <c r="AT141" s="12">
        <f t="shared" si="20"/>
        <v>541.63599999999997</v>
      </c>
      <c r="AU141" s="12">
        <f t="shared" si="21"/>
        <v>150.666</v>
      </c>
      <c r="AV141" s="13">
        <f t="shared" si="22"/>
        <v>0.8873926011948936</v>
      </c>
      <c r="AY141" s="12">
        <f t="shared" si="23"/>
        <v>84.301000000000002</v>
      </c>
      <c r="AZ141" s="12">
        <f t="shared" si="24"/>
        <v>82.024872999999999</v>
      </c>
      <c r="BA141" s="12">
        <f t="shared" si="24"/>
        <v>0</v>
      </c>
      <c r="BB141" s="12">
        <f t="shared" si="24"/>
        <v>0</v>
      </c>
      <c r="BC141" s="12">
        <f t="shared" si="18"/>
        <v>2.2761270000000002</v>
      </c>
      <c r="BD141" s="12">
        <f t="shared" si="25"/>
        <v>0</v>
      </c>
    </row>
    <row r="142" spans="1:56" ht="15" customHeight="1" x14ac:dyDescent="0.25">
      <c r="A142" s="137" t="s">
        <v>390</v>
      </c>
      <c r="B142" s="137" t="s">
        <v>393</v>
      </c>
      <c r="C142" s="137">
        <v>2018</v>
      </c>
      <c r="D142" s="137" t="s">
        <v>193</v>
      </c>
      <c r="E142" s="137" t="s">
        <v>193</v>
      </c>
      <c r="F142" s="137" t="s">
        <v>193</v>
      </c>
      <c r="G142" s="137" t="s">
        <v>193</v>
      </c>
      <c r="H142" s="137" t="s">
        <v>193</v>
      </c>
      <c r="I142" s="137" t="s">
        <v>193</v>
      </c>
      <c r="J142" s="137" t="s">
        <v>193</v>
      </c>
      <c r="K142" s="137" t="s">
        <v>193</v>
      </c>
      <c r="L142" s="137" t="s">
        <v>193</v>
      </c>
      <c r="M142" s="137" t="s">
        <v>193</v>
      </c>
      <c r="N142" s="137" t="s">
        <v>193</v>
      </c>
      <c r="O142" s="137" t="s">
        <v>193</v>
      </c>
      <c r="P142" s="137" t="s">
        <v>193</v>
      </c>
      <c r="Q142" s="137" t="s">
        <v>193</v>
      </c>
      <c r="R142" s="137" t="s">
        <v>193</v>
      </c>
      <c r="S142" s="137" t="s">
        <v>193</v>
      </c>
      <c r="T142" s="137" t="s">
        <v>193</v>
      </c>
      <c r="U142" s="137" t="s">
        <v>193</v>
      </c>
      <c r="V142" s="137" t="s">
        <v>193</v>
      </c>
      <c r="W142" s="137" t="s">
        <v>193</v>
      </c>
      <c r="X142" s="137" t="s">
        <v>193</v>
      </c>
      <c r="Y142" s="137" t="s">
        <v>193</v>
      </c>
      <c r="Z142" s="137" t="s">
        <v>193</v>
      </c>
      <c r="AA142" s="137" t="s">
        <v>193</v>
      </c>
      <c r="AB142" s="137" t="s">
        <v>193</v>
      </c>
      <c r="AC142" s="137" t="s">
        <v>193</v>
      </c>
      <c r="AD142" s="137" t="s">
        <v>193</v>
      </c>
      <c r="AE142" s="137" t="s">
        <v>193</v>
      </c>
      <c r="AF142" s="137" t="s">
        <v>193</v>
      </c>
      <c r="AG142" s="137" t="s">
        <v>193</v>
      </c>
      <c r="AH142" s="137" t="s">
        <v>53</v>
      </c>
      <c r="AI142" s="137" t="s">
        <v>193</v>
      </c>
      <c r="AJ142" s="137" t="s">
        <v>193</v>
      </c>
      <c r="AK142" s="137" t="s">
        <v>193</v>
      </c>
      <c r="AL142" s="137" t="s">
        <v>193</v>
      </c>
      <c r="AM142" s="137" t="s">
        <v>193</v>
      </c>
      <c r="AN142" s="137" t="s">
        <v>193</v>
      </c>
      <c r="AO142" s="137" t="s">
        <v>193</v>
      </c>
      <c r="AQ142" s="12">
        <f t="shared" si="19"/>
        <v>0</v>
      </c>
      <c r="AR142" s="12">
        <f t="shared" si="17"/>
        <v>0</v>
      </c>
      <c r="AT142" s="12">
        <f t="shared" si="20"/>
        <v>0</v>
      </c>
      <c r="AU142" s="12">
        <f t="shared" si="21"/>
        <v>0</v>
      </c>
      <c r="AV142" s="13" t="str">
        <f t="shared" si="22"/>
        <v/>
      </c>
      <c r="AY142" s="12">
        <f t="shared" si="23"/>
        <v>0</v>
      </c>
      <c r="AZ142" s="12">
        <f t="shared" si="24"/>
        <v>0</v>
      </c>
      <c r="BA142" s="12">
        <f t="shared" si="24"/>
        <v>0</v>
      </c>
      <c r="BB142" s="12">
        <f t="shared" si="24"/>
        <v>0</v>
      </c>
      <c r="BC142" s="12">
        <f t="shared" si="18"/>
        <v>0</v>
      </c>
      <c r="BD142" s="12">
        <f t="shared" si="25"/>
        <v>0</v>
      </c>
    </row>
    <row r="143" spans="1:56" ht="15" customHeight="1" x14ac:dyDescent="0.25">
      <c r="A143" s="137" t="s">
        <v>394</v>
      </c>
      <c r="B143" s="137" t="s">
        <v>395</v>
      </c>
      <c r="C143" s="137">
        <v>2018</v>
      </c>
      <c r="D143" s="137" t="s">
        <v>193</v>
      </c>
      <c r="E143" s="137" t="s">
        <v>193</v>
      </c>
      <c r="F143" s="137" t="s">
        <v>193</v>
      </c>
      <c r="G143" s="137" t="s">
        <v>193</v>
      </c>
      <c r="H143" s="137" t="s">
        <v>193</v>
      </c>
      <c r="I143" s="137" t="s">
        <v>193</v>
      </c>
      <c r="J143" s="137" t="s">
        <v>193</v>
      </c>
      <c r="K143" s="137" t="s">
        <v>193</v>
      </c>
      <c r="L143" s="137" t="s">
        <v>193</v>
      </c>
      <c r="M143" s="137" t="s">
        <v>193</v>
      </c>
      <c r="N143" s="137" t="s">
        <v>193</v>
      </c>
      <c r="O143" s="137" t="s">
        <v>193</v>
      </c>
      <c r="P143" s="137" t="s">
        <v>193</v>
      </c>
      <c r="Q143" s="137" t="s">
        <v>193</v>
      </c>
      <c r="R143" s="137" t="s">
        <v>193</v>
      </c>
      <c r="S143" s="137" t="s">
        <v>193</v>
      </c>
      <c r="T143" s="137" t="s">
        <v>193</v>
      </c>
      <c r="U143" s="137" t="s">
        <v>193</v>
      </c>
      <c r="V143" s="137" t="s">
        <v>193</v>
      </c>
      <c r="W143" s="137" t="s">
        <v>193</v>
      </c>
      <c r="X143" s="137" t="s">
        <v>193</v>
      </c>
      <c r="Y143" s="137" t="s">
        <v>193</v>
      </c>
      <c r="Z143" s="137" t="s">
        <v>193</v>
      </c>
      <c r="AA143" s="137" t="s">
        <v>193</v>
      </c>
      <c r="AB143" s="137" t="s">
        <v>193</v>
      </c>
      <c r="AC143" s="137" t="s">
        <v>193</v>
      </c>
      <c r="AD143" s="137" t="s">
        <v>193</v>
      </c>
      <c r="AE143" s="137" t="s">
        <v>193</v>
      </c>
      <c r="AF143" s="137" t="s">
        <v>193</v>
      </c>
      <c r="AG143" s="137" t="s">
        <v>193</v>
      </c>
      <c r="AH143" s="137" t="s">
        <v>199</v>
      </c>
      <c r="AI143" s="137" t="s">
        <v>193</v>
      </c>
      <c r="AJ143" s="137" t="s">
        <v>193</v>
      </c>
      <c r="AK143" s="137" t="s">
        <v>193</v>
      </c>
      <c r="AL143" s="137" t="s">
        <v>193</v>
      </c>
      <c r="AM143" s="137" t="s">
        <v>193</v>
      </c>
      <c r="AN143" s="137" t="s">
        <v>193</v>
      </c>
      <c r="AO143" s="137" t="s">
        <v>193</v>
      </c>
      <c r="AQ143" s="12">
        <f t="shared" si="19"/>
        <v>0</v>
      </c>
      <c r="AR143" s="12">
        <f t="shared" si="17"/>
        <v>0</v>
      </c>
      <c r="AT143" s="12">
        <f t="shared" si="20"/>
        <v>0</v>
      </c>
      <c r="AU143" s="12">
        <f t="shared" si="21"/>
        <v>0</v>
      </c>
      <c r="AV143" s="13" t="str">
        <f t="shared" si="22"/>
        <v/>
      </c>
      <c r="AY143" s="12">
        <f t="shared" si="23"/>
        <v>0</v>
      </c>
      <c r="AZ143" s="12">
        <f t="shared" si="24"/>
        <v>0</v>
      </c>
      <c r="BA143" s="12">
        <f t="shared" si="24"/>
        <v>0</v>
      </c>
      <c r="BB143" s="12">
        <f t="shared" si="24"/>
        <v>0</v>
      </c>
      <c r="BC143" s="12">
        <f t="shared" si="18"/>
        <v>0</v>
      </c>
      <c r="BD143" s="12">
        <f t="shared" si="25"/>
        <v>0</v>
      </c>
    </row>
    <row r="144" spans="1:56" ht="15" customHeight="1" x14ac:dyDescent="0.25">
      <c r="A144" s="137" t="s">
        <v>394</v>
      </c>
      <c r="B144" s="137" t="s">
        <v>396</v>
      </c>
      <c r="C144" s="137">
        <v>2018</v>
      </c>
      <c r="D144" s="137" t="s">
        <v>193</v>
      </c>
      <c r="E144" s="137" t="s">
        <v>193</v>
      </c>
      <c r="F144" s="137" t="s">
        <v>193</v>
      </c>
      <c r="G144" s="137" t="s">
        <v>193</v>
      </c>
      <c r="H144" s="137" t="s">
        <v>193</v>
      </c>
      <c r="I144" s="137" t="s">
        <v>193</v>
      </c>
      <c r="J144" s="137" t="s">
        <v>193</v>
      </c>
      <c r="K144" s="137" t="s">
        <v>193</v>
      </c>
      <c r="L144" s="137" t="s">
        <v>193</v>
      </c>
      <c r="M144" s="137" t="s">
        <v>193</v>
      </c>
      <c r="N144" s="137" t="s">
        <v>193</v>
      </c>
      <c r="O144" s="137" t="s">
        <v>193</v>
      </c>
      <c r="P144" s="137" t="s">
        <v>193</v>
      </c>
      <c r="Q144" s="137" t="s">
        <v>193</v>
      </c>
      <c r="R144" s="137" t="s">
        <v>193</v>
      </c>
      <c r="S144" s="137" t="s">
        <v>193</v>
      </c>
      <c r="T144" s="137" t="s">
        <v>193</v>
      </c>
      <c r="U144" s="137" t="s">
        <v>193</v>
      </c>
      <c r="V144" s="137" t="s">
        <v>193</v>
      </c>
      <c r="W144" s="137" t="s">
        <v>193</v>
      </c>
      <c r="X144" s="137" t="s">
        <v>193</v>
      </c>
      <c r="Y144" s="137" t="s">
        <v>193</v>
      </c>
      <c r="Z144" s="137" t="s">
        <v>193</v>
      </c>
      <c r="AA144" s="137" t="s">
        <v>193</v>
      </c>
      <c r="AB144" s="137" t="s">
        <v>193</v>
      </c>
      <c r="AC144" s="137" t="s">
        <v>193</v>
      </c>
      <c r="AD144" s="137" t="s">
        <v>193</v>
      </c>
      <c r="AE144" s="137" t="s">
        <v>193</v>
      </c>
      <c r="AF144" s="137" t="s">
        <v>193</v>
      </c>
      <c r="AG144" s="137" t="s">
        <v>193</v>
      </c>
      <c r="AH144" s="137" t="s">
        <v>199</v>
      </c>
      <c r="AI144" s="137" t="s">
        <v>193</v>
      </c>
      <c r="AJ144" s="137" t="s">
        <v>193</v>
      </c>
      <c r="AK144" s="137" t="s">
        <v>193</v>
      </c>
      <c r="AL144" s="137" t="s">
        <v>193</v>
      </c>
      <c r="AM144" s="137" t="s">
        <v>193</v>
      </c>
      <c r="AN144" s="137" t="s">
        <v>193</v>
      </c>
      <c r="AO144" s="137" t="s">
        <v>193</v>
      </c>
      <c r="AQ144" s="12">
        <f t="shared" si="19"/>
        <v>0</v>
      </c>
      <c r="AR144" s="12">
        <f t="shared" si="17"/>
        <v>0</v>
      </c>
      <c r="AT144" s="12">
        <f t="shared" si="20"/>
        <v>0</v>
      </c>
      <c r="AU144" s="12">
        <f t="shared" si="21"/>
        <v>0</v>
      </c>
      <c r="AV144" s="13" t="str">
        <f t="shared" si="22"/>
        <v/>
      </c>
      <c r="AY144" s="12">
        <f t="shared" si="23"/>
        <v>0</v>
      </c>
      <c r="AZ144" s="12">
        <f t="shared" si="24"/>
        <v>0</v>
      </c>
      <c r="BA144" s="12">
        <f t="shared" si="24"/>
        <v>0</v>
      </c>
      <c r="BB144" s="12">
        <f t="shared" si="24"/>
        <v>0</v>
      </c>
      <c r="BC144" s="12">
        <f t="shared" si="18"/>
        <v>0</v>
      </c>
      <c r="BD144" s="12">
        <f t="shared" si="25"/>
        <v>0</v>
      </c>
    </row>
    <row r="145" spans="1:56" ht="15" customHeight="1" x14ac:dyDescent="0.25">
      <c r="A145" s="137" t="s">
        <v>394</v>
      </c>
      <c r="B145" s="137" t="s">
        <v>397</v>
      </c>
      <c r="C145" s="137">
        <v>2018</v>
      </c>
      <c r="D145" s="137" t="s">
        <v>193</v>
      </c>
      <c r="E145" s="137" t="s">
        <v>193</v>
      </c>
      <c r="F145" s="137" t="s">
        <v>193</v>
      </c>
      <c r="G145" s="137" t="s">
        <v>193</v>
      </c>
      <c r="H145" s="137" t="s">
        <v>193</v>
      </c>
      <c r="I145" s="137" t="s">
        <v>193</v>
      </c>
      <c r="J145" s="137" t="s">
        <v>193</v>
      </c>
      <c r="K145" s="137" t="s">
        <v>193</v>
      </c>
      <c r="L145" s="137" t="s">
        <v>193</v>
      </c>
      <c r="M145" s="137" t="s">
        <v>193</v>
      </c>
      <c r="N145" s="137" t="s">
        <v>193</v>
      </c>
      <c r="O145" s="137" t="s">
        <v>193</v>
      </c>
      <c r="P145" s="137" t="s">
        <v>193</v>
      </c>
      <c r="Q145" s="137" t="s">
        <v>193</v>
      </c>
      <c r="R145" s="137" t="s">
        <v>193</v>
      </c>
      <c r="S145" s="137" t="s">
        <v>193</v>
      </c>
      <c r="T145" s="137" t="s">
        <v>193</v>
      </c>
      <c r="U145" s="137" t="s">
        <v>193</v>
      </c>
      <c r="V145" s="137" t="s">
        <v>193</v>
      </c>
      <c r="W145" s="137" t="s">
        <v>193</v>
      </c>
      <c r="X145" s="137" t="s">
        <v>193</v>
      </c>
      <c r="Y145" s="137" t="s">
        <v>193</v>
      </c>
      <c r="Z145" s="137" t="s">
        <v>193</v>
      </c>
      <c r="AA145" s="137" t="s">
        <v>193</v>
      </c>
      <c r="AB145" s="137" t="s">
        <v>193</v>
      </c>
      <c r="AC145" s="137" t="s">
        <v>193</v>
      </c>
      <c r="AD145" s="137" t="s">
        <v>193</v>
      </c>
      <c r="AE145" s="137" t="s">
        <v>193</v>
      </c>
      <c r="AF145" s="137" t="s">
        <v>193</v>
      </c>
      <c r="AG145" s="137" t="s">
        <v>193</v>
      </c>
      <c r="AH145" s="137" t="s">
        <v>199</v>
      </c>
      <c r="AI145" s="137" t="s">
        <v>193</v>
      </c>
      <c r="AJ145" s="137" t="s">
        <v>193</v>
      </c>
      <c r="AK145" s="137" t="s">
        <v>193</v>
      </c>
      <c r="AL145" s="137" t="s">
        <v>193</v>
      </c>
      <c r="AM145" s="137" t="s">
        <v>193</v>
      </c>
      <c r="AN145" s="137" t="s">
        <v>193</v>
      </c>
      <c r="AO145" s="137" t="s">
        <v>193</v>
      </c>
      <c r="AQ145" s="12">
        <f t="shared" si="19"/>
        <v>0</v>
      </c>
      <c r="AR145" s="12">
        <f t="shared" si="17"/>
        <v>0</v>
      </c>
      <c r="AT145" s="12">
        <f t="shared" si="20"/>
        <v>0</v>
      </c>
      <c r="AU145" s="12">
        <f t="shared" si="21"/>
        <v>0</v>
      </c>
      <c r="AV145" s="13" t="str">
        <f t="shared" si="22"/>
        <v/>
      </c>
      <c r="AY145" s="12">
        <f t="shared" si="23"/>
        <v>0</v>
      </c>
      <c r="AZ145" s="12">
        <f t="shared" si="24"/>
        <v>0</v>
      </c>
      <c r="BA145" s="12">
        <f t="shared" si="24"/>
        <v>0</v>
      </c>
      <c r="BB145" s="12">
        <f t="shared" si="24"/>
        <v>0</v>
      </c>
      <c r="BC145" s="12">
        <f t="shared" si="18"/>
        <v>0</v>
      </c>
      <c r="BD145" s="12">
        <f t="shared" si="25"/>
        <v>0</v>
      </c>
    </row>
    <row r="146" spans="1:56" ht="15" customHeight="1" x14ac:dyDescent="0.25">
      <c r="A146" s="137" t="s">
        <v>394</v>
      </c>
      <c r="B146" s="137" t="s">
        <v>398</v>
      </c>
      <c r="C146" s="137">
        <v>2018</v>
      </c>
      <c r="D146" s="137">
        <v>74.5</v>
      </c>
      <c r="E146" s="137">
        <v>8.8000000000000007</v>
      </c>
      <c r="F146" s="137" t="s">
        <v>193</v>
      </c>
      <c r="G146" s="137" t="s">
        <v>193</v>
      </c>
      <c r="H146" s="137" t="s">
        <v>193</v>
      </c>
      <c r="I146" s="137">
        <v>126.6</v>
      </c>
      <c r="J146" s="137" t="s">
        <v>193</v>
      </c>
      <c r="K146" s="137" t="s">
        <v>193</v>
      </c>
      <c r="L146" s="137" t="s">
        <v>193</v>
      </c>
      <c r="M146" s="137" t="s">
        <v>193</v>
      </c>
      <c r="N146" s="137" t="s">
        <v>193</v>
      </c>
      <c r="O146" s="137" t="s">
        <v>193</v>
      </c>
      <c r="P146" s="137" t="s">
        <v>193</v>
      </c>
      <c r="Q146" s="137">
        <v>49.9</v>
      </c>
      <c r="R146" s="137">
        <v>29.9</v>
      </c>
      <c r="S146" s="137">
        <v>20</v>
      </c>
      <c r="T146" s="137" t="s">
        <v>193</v>
      </c>
      <c r="U146" s="137" t="s">
        <v>193</v>
      </c>
      <c r="V146" s="137" t="s">
        <v>193</v>
      </c>
      <c r="W146" s="137" t="s">
        <v>193</v>
      </c>
      <c r="X146" s="137" t="s">
        <v>193</v>
      </c>
      <c r="Y146" s="137" t="s">
        <v>193</v>
      </c>
      <c r="Z146" s="137" t="s">
        <v>193</v>
      </c>
      <c r="AA146" s="137" t="s">
        <v>193</v>
      </c>
      <c r="AB146" s="137" t="s">
        <v>193</v>
      </c>
      <c r="AC146" s="137" t="s">
        <v>193</v>
      </c>
      <c r="AD146" s="137" t="s">
        <v>193</v>
      </c>
      <c r="AE146" s="137" t="s">
        <v>193</v>
      </c>
      <c r="AF146" s="137" t="s">
        <v>193</v>
      </c>
      <c r="AG146" s="137" t="s">
        <v>193</v>
      </c>
      <c r="AH146" s="137" t="s">
        <v>199</v>
      </c>
      <c r="AI146" s="137" t="s">
        <v>193</v>
      </c>
      <c r="AJ146" s="137" t="s">
        <v>193</v>
      </c>
      <c r="AK146" s="137">
        <v>26.8</v>
      </c>
      <c r="AL146" s="137">
        <v>100</v>
      </c>
      <c r="AM146" s="137" t="s">
        <v>193</v>
      </c>
      <c r="AN146" s="137" t="s">
        <v>193</v>
      </c>
      <c r="AO146" s="137" t="s">
        <v>193</v>
      </c>
      <c r="AQ146" s="12">
        <f t="shared" si="19"/>
        <v>99.8</v>
      </c>
      <c r="AR146" s="12">
        <f t="shared" si="17"/>
        <v>126.6</v>
      </c>
      <c r="AT146" s="12">
        <f t="shared" si="20"/>
        <v>74.5</v>
      </c>
      <c r="AU146" s="12">
        <f t="shared" si="21"/>
        <v>8.8000000000000007</v>
      </c>
      <c r="AV146" s="13">
        <f t="shared" si="22"/>
        <v>0.65797788309636651</v>
      </c>
      <c r="AY146" s="12">
        <f t="shared" si="23"/>
        <v>26.8</v>
      </c>
      <c r="AZ146" s="12">
        <f t="shared" si="24"/>
        <v>26.8</v>
      </c>
      <c r="BA146" s="12">
        <f t="shared" si="24"/>
        <v>0</v>
      </c>
      <c r="BB146" s="12">
        <f t="shared" si="24"/>
        <v>0</v>
      </c>
      <c r="BC146" s="12">
        <f t="shared" si="18"/>
        <v>0</v>
      </c>
      <c r="BD146" s="12">
        <f t="shared" si="25"/>
        <v>0</v>
      </c>
    </row>
    <row r="147" spans="1:56" ht="15" customHeight="1" x14ac:dyDescent="0.25">
      <c r="A147" s="137" t="s">
        <v>45</v>
      </c>
      <c r="B147" s="141" t="s">
        <v>46</v>
      </c>
      <c r="C147" s="137">
        <v>2018</v>
      </c>
      <c r="D147" s="137" t="s">
        <v>53</v>
      </c>
      <c r="E147" s="137" t="s">
        <v>53</v>
      </c>
      <c r="F147" s="137" t="s">
        <v>53</v>
      </c>
      <c r="G147" s="137" t="s">
        <v>53</v>
      </c>
      <c r="H147" s="137" t="s">
        <v>53</v>
      </c>
      <c r="I147" s="137" t="s">
        <v>53</v>
      </c>
      <c r="J147" s="137" t="s">
        <v>53</v>
      </c>
      <c r="K147" s="137" t="s">
        <v>53</v>
      </c>
      <c r="L147" s="137" t="s">
        <v>53</v>
      </c>
      <c r="M147" s="137" t="s">
        <v>53</v>
      </c>
      <c r="N147" s="137" t="s">
        <v>53</v>
      </c>
      <c r="O147" s="137" t="s">
        <v>53</v>
      </c>
      <c r="P147" s="137" t="s">
        <v>53</v>
      </c>
      <c r="Q147" s="137" t="s">
        <v>53</v>
      </c>
      <c r="R147" s="137" t="s">
        <v>53</v>
      </c>
      <c r="S147" s="137" t="s">
        <v>53</v>
      </c>
      <c r="T147" s="137" t="s">
        <v>53</v>
      </c>
      <c r="U147" s="137" t="s">
        <v>53</v>
      </c>
      <c r="V147" s="137" t="s">
        <v>53</v>
      </c>
      <c r="W147" s="137" t="s">
        <v>53</v>
      </c>
      <c r="X147" s="137" t="s">
        <v>53</v>
      </c>
      <c r="Y147" s="137" t="s">
        <v>53</v>
      </c>
      <c r="Z147" s="137" t="s">
        <v>53</v>
      </c>
      <c r="AA147" s="137" t="s">
        <v>53</v>
      </c>
      <c r="AB147" s="137" t="s">
        <v>53</v>
      </c>
      <c r="AC147" s="137" t="s">
        <v>53</v>
      </c>
      <c r="AD147" s="137" t="s">
        <v>53</v>
      </c>
      <c r="AE147" s="137" t="s">
        <v>53</v>
      </c>
      <c r="AF147" s="137" t="s">
        <v>53</v>
      </c>
      <c r="AG147" s="137" t="s">
        <v>53</v>
      </c>
      <c r="AH147" s="137" t="s">
        <v>53</v>
      </c>
      <c r="AI147" s="137" t="s">
        <v>53</v>
      </c>
      <c r="AJ147" s="137" t="s">
        <v>53</v>
      </c>
      <c r="AK147" s="137" t="s">
        <v>53</v>
      </c>
      <c r="AL147" s="137" t="s">
        <v>53</v>
      </c>
      <c r="AM147" s="137" t="s">
        <v>53</v>
      </c>
      <c r="AN147" s="137" t="s">
        <v>53</v>
      </c>
      <c r="AO147" s="137" t="s">
        <v>53</v>
      </c>
      <c r="AQ147" s="12">
        <f t="shared" si="19"/>
        <v>0</v>
      </c>
      <c r="AR147" s="12">
        <f t="shared" si="17"/>
        <v>0</v>
      </c>
      <c r="AT147" s="12">
        <f t="shared" si="20"/>
        <v>0</v>
      </c>
      <c r="AU147" s="12">
        <f t="shared" si="21"/>
        <v>0</v>
      </c>
      <c r="AV147" s="13" t="str">
        <f t="shared" si="22"/>
        <v/>
      </c>
      <c r="AY147" s="12">
        <f t="shared" si="23"/>
        <v>0</v>
      </c>
      <c r="AZ147" s="12">
        <f t="shared" si="24"/>
        <v>0</v>
      </c>
      <c r="BA147" s="12">
        <f t="shared" si="24"/>
        <v>0</v>
      </c>
      <c r="BB147" s="12">
        <f t="shared" si="24"/>
        <v>0</v>
      </c>
      <c r="BC147" s="12">
        <f t="shared" si="18"/>
        <v>0</v>
      </c>
      <c r="BD147" s="12">
        <f t="shared" si="25"/>
        <v>0</v>
      </c>
    </row>
    <row r="148" spans="1:56" ht="15" customHeight="1" x14ac:dyDescent="0.25">
      <c r="A148" s="137" t="s">
        <v>399</v>
      </c>
      <c r="B148" s="137" t="s">
        <v>400</v>
      </c>
      <c r="C148" s="137">
        <v>2018</v>
      </c>
      <c r="D148" s="137">
        <v>169.63</v>
      </c>
      <c r="E148" s="137">
        <v>34.753</v>
      </c>
      <c r="F148" s="137" t="s">
        <v>193</v>
      </c>
      <c r="G148" s="137" t="s">
        <v>193</v>
      </c>
      <c r="H148" s="137" t="s">
        <v>193</v>
      </c>
      <c r="I148" s="137">
        <v>244.00899999999999</v>
      </c>
      <c r="J148" s="137" t="s">
        <v>193</v>
      </c>
      <c r="K148" s="137">
        <v>1.6719999999999999</v>
      </c>
      <c r="L148" s="137" t="s">
        <v>193</v>
      </c>
      <c r="M148" s="137" t="s">
        <v>193</v>
      </c>
      <c r="N148" s="137" t="s">
        <v>193</v>
      </c>
      <c r="O148" s="137" t="s">
        <v>193</v>
      </c>
      <c r="P148" s="137" t="s">
        <v>193</v>
      </c>
      <c r="Q148" s="137" t="s">
        <v>193</v>
      </c>
      <c r="R148" s="137" t="s">
        <v>193</v>
      </c>
      <c r="S148" s="137" t="s">
        <v>193</v>
      </c>
      <c r="T148" s="137" t="s">
        <v>193</v>
      </c>
      <c r="U148" s="137" t="s">
        <v>193</v>
      </c>
      <c r="V148" s="137" t="s">
        <v>193</v>
      </c>
      <c r="W148" s="137" t="s">
        <v>194</v>
      </c>
      <c r="X148" s="137" t="s">
        <v>193</v>
      </c>
      <c r="Y148" s="137" t="s">
        <v>193</v>
      </c>
      <c r="Z148" s="137" t="s">
        <v>193</v>
      </c>
      <c r="AA148" s="137">
        <v>4.0990000000000002</v>
      </c>
      <c r="AB148" s="137" t="s">
        <v>193</v>
      </c>
      <c r="AC148" s="137" t="s">
        <v>193</v>
      </c>
      <c r="AD148" s="137" t="s">
        <v>193</v>
      </c>
      <c r="AE148" s="137" t="s">
        <v>193</v>
      </c>
      <c r="AF148" s="137">
        <v>225.441</v>
      </c>
      <c r="AG148" s="137" t="s">
        <v>193</v>
      </c>
      <c r="AH148" s="137" t="s">
        <v>199</v>
      </c>
      <c r="AI148" s="137" t="s">
        <v>193</v>
      </c>
      <c r="AJ148" s="137" t="s">
        <v>193</v>
      </c>
      <c r="AK148" s="137">
        <v>12.797000000000001</v>
      </c>
      <c r="AL148" s="137" t="s">
        <v>193</v>
      </c>
      <c r="AM148" s="137">
        <v>100</v>
      </c>
      <c r="AN148" s="137" t="s">
        <v>193</v>
      </c>
      <c r="AO148" s="137" t="s">
        <v>193</v>
      </c>
      <c r="AQ148" s="12">
        <f t="shared" si="19"/>
        <v>231.21199999999999</v>
      </c>
      <c r="AR148" s="12">
        <f t="shared" si="17"/>
        <v>244.00899999999999</v>
      </c>
      <c r="AT148" s="12">
        <f t="shared" si="20"/>
        <v>169.63</v>
      </c>
      <c r="AU148" s="12">
        <f t="shared" si="21"/>
        <v>34.753</v>
      </c>
      <c r="AV148" s="13">
        <f t="shared" si="22"/>
        <v>0.83760435065919692</v>
      </c>
      <c r="AY148" s="12">
        <f t="shared" si="23"/>
        <v>12.797000000000001</v>
      </c>
      <c r="AZ148" s="12">
        <f t="shared" si="24"/>
        <v>0</v>
      </c>
      <c r="BA148" s="12">
        <f t="shared" si="24"/>
        <v>12.797000000000001</v>
      </c>
      <c r="BB148" s="12">
        <f t="shared" si="24"/>
        <v>0</v>
      </c>
      <c r="BC148" s="12">
        <f t="shared" si="18"/>
        <v>0</v>
      </c>
      <c r="BD148" s="12">
        <f t="shared" si="25"/>
        <v>0</v>
      </c>
    </row>
    <row r="149" spans="1:56" ht="15" customHeight="1" x14ac:dyDescent="0.25">
      <c r="A149" s="137" t="s">
        <v>401</v>
      </c>
      <c r="B149" s="137" t="s">
        <v>402</v>
      </c>
      <c r="C149" s="137">
        <v>2018</v>
      </c>
      <c r="D149" s="137" t="s">
        <v>193</v>
      </c>
      <c r="E149" s="137" t="s">
        <v>193</v>
      </c>
      <c r="F149" s="137" t="s">
        <v>193</v>
      </c>
      <c r="G149" s="137" t="s">
        <v>193</v>
      </c>
      <c r="H149" s="137" t="s">
        <v>193</v>
      </c>
      <c r="I149" s="137" t="s">
        <v>193</v>
      </c>
      <c r="J149" s="137" t="s">
        <v>193</v>
      </c>
      <c r="K149" s="137" t="s">
        <v>193</v>
      </c>
      <c r="L149" s="137" t="s">
        <v>193</v>
      </c>
      <c r="M149" s="137" t="s">
        <v>193</v>
      </c>
      <c r="N149" s="137" t="s">
        <v>193</v>
      </c>
      <c r="O149" s="137" t="s">
        <v>193</v>
      </c>
      <c r="P149" s="137" t="s">
        <v>193</v>
      </c>
      <c r="Q149" s="137" t="s">
        <v>193</v>
      </c>
      <c r="R149" s="137" t="s">
        <v>193</v>
      </c>
      <c r="S149" s="137" t="s">
        <v>193</v>
      </c>
      <c r="T149" s="137" t="s">
        <v>193</v>
      </c>
      <c r="U149" s="137" t="s">
        <v>193</v>
      </c>
      <c r="V149" s="137" t="s">
        <v>193</v>
      </c>
      <c r="W149" s="137" t="s">
        <v>193</v>
      </c>
      <c r="X149" s="137" t="s">
        <v>193</v>
      </c>
      <c r="Y149" s="137" t="s">
        <v>193</v>
      </c>
      <c r="Z149" s="137" t="s">
        <v>193</v>
      </c>
      <c r="AA149" s="137" t="s">
        <v>193</v>
      </c>
      <c r="AB149" s="137" t="s">
        <v>193</v>
      </c>
      <c r="AC149" s="137" t="s">
        <v>193</v>
      </c>
      <c r="AD149" s="137" t="s">
        <v>193</v>
      </c>
      <c r="AE149" s="137" t="s">
        <v>193</v>
      </c>
      <c r="AF149" s="137" t="s">
        <v>193</v>
      </c>
      <c r="AG149" s="137" t="s">
        <v>193</v>
      </c>
      <c r="AH149" s="137" t="s">
        <v>199</v>
      </c>
      <c r="AI149" s="137" t="s">
        <v>193</v>
      </c>
      <c r="AJ149" s="137" t="s">
        <v>193</v>
      </c>
      <c r="AK149" s="137" t="s">
        <v>193</v>
      </c>
      <c r="AL149" s="137" t="s">
        <v>193</v>
      </c>
      <c r="AM149" s="137" t="s">
        <v>193</v>
      </c>
      <c r="AN149" s="137" t="s">
        <v>193</v>
      </c>
      <c r="AO149" s="137" t="s">
        <v>193</v>
      </c>
      <c r="AQ149" s="12">
        <f t="shared" si="19"/>
        <v>0</v>
      </c>
      <c r="AR149" s="12">
        <f t="shared" si="17"/>
        <v>0</v>
      </c>
      <c r="AT149" s="12">
        <f t="shared" si="20"/>
        <v>0</v>
      </c>
      <c r="AU149" s="12">
        <f t="shared" si="21"/>
        <v>0</v>
      </c>
      <c r="AV149" s="13" t="str">
        <f t="shared" si="22"/>
        <v/>
      </c>
      <c r="AY149" s="12">
        <f t="shared" si="23"/>
        <v>0</v>
      </c>
      <c r="AZ149" s="12">
        <f t="shared" si="24"/>
        <v>0</v>
      </c>
      <c r="BA149" s="12">
        <f t="shared" si="24"/>
        <v>0</v>
      </c>
      <c r="BB149" s="12">
        <f t="shared" si="24"/>
        <v>0</v>
      </c>
      <c r="BC149" s="12">
        <f t="shared" si="18"/>
        <v>0</v>
      </c>
      <c r="BD149" s="12">
        <f t="shared" si="25"/>
        <v>0</v>
      </c>
    </row>
    <row r="150" spans="1:56" ht="15" customHeight="1" x14ac:dyDescent="0.25">
      <c r="A150" s="137" t="s">
        <v>401</v>
      </c>
      <c r="B150" s="137" t="s">
        <v>403</v>
      </c>
      <c r="C150" s="137">
        <v>2018</v>
      </c>
      <c r="D150" s="137" t="s">
        <v>193</v>
      </c>
      <c r="E150" s="137" t="s">
        <v>193</v>
      </c>
      <c r="F150" s="137" t="s">
        <v>193</v>
      </c>
      <c r="G150" s="137" t="s">
        <v>193</v>
      </c>
      <c r="H150" s="137" t="s">
        <v>193</v>
      </c>
      <c r="I150" s="137" t="s">
        <v>193</v>
      </c>
      <c r="J150" s="137" t="s">
        <v>193</v>
      </c>
      <c r="K150" s="137" t="s">
        <v>193</v>
      </c>
      <c r="L150" s="137" t="s">
        <v>193</v>
      </c>
      <c r="M150" s="137" t="s">
        <v>193</v>
      </c>
      <c r="N150" s="137" t="s">
        <v>193</v>
      </c>
      <c r="O150" s="137" t="s">
        <v>193</v>
      </c>
      <c r="P150" s="137" t="s">
        <v>193</v>
      </c>
      <c r="Q150" s="137" t="s">
        <v>193</v>
      </c>
      <c r="R150" s="137" t="s">
        <v>193</v>
      </c>
      <c r="S150" s="137" t="s">
        <v>193</v>
      </c>
      <c r="T150" s="137" t="s">
        <v>193</v>
      </c>
      <c r="U150" s="137" t="s">
        <v>193</v>
      </c>
      <c r="V150" s="137" t="s">
        <v>193</v>
      </c>
      <c r="W150" s="137" t="s">
        <v>193</v>
      </c>
      <c r="X150" s="137" t="s">
        <v>193</v>
      </c>
      <c r="Y150" s="137" t="s">
        <v>193</v>
      </c>
      <c r="Z150" s="137" t="s">
        <v>193</v>
      </c>
      <c r="AA150" s="137" t="s">
        <v>193</v>
      </c>
      <c r="AB150" s="137" t="s">
        <v>193</v>
      </c>
      <c r="AC150" s="137" t="s">
        <v>193</v>
      </c>
      <c r="AD150" s="137" t="s">
        <v>193</v>
      </c>
      <c r="AE150" s="137" t="s">
        <v>193</v>
      </c>
      <c r="AF150" s="137" t="s">
        <v>193</v>
      </c>
      <c r="AG150" s="137" t="s">
        <v>193</v>
      </c>
      <c r="AH150" s="137" t="s">
        <v>199</v>
      </c>
      <c r="AI150" s="137" t="s">
        <v>193</v>
      </c>
      <c r="AJ150" s="137" t="s">
        <v>193</v>
      </c>
      <c r="AK150" s="137" t="s">
        <v>193</v>
      </c>
      <c r="AL150" s="137" t="s">
        <v>193</v>
      </c>
      <c r="AM150" s="137" t="s">
        <v>193</v>
      </c>
      <c r="AN150" s="137" t="s">
        <v>193</v>
      </c>
      <c r="AO150" s="137" t="s">
        <v>193</v>
      </c>
      <c r="AQ150" s="12">
        <f t="shared" si="19"/>
        <v>0</v>
      </c>
      <c r="AR150" s="12">
        <f t="shared" si="17"/>
        <v>0</v>
      </c>
      <c r="AT150" s="12">
        <f t="shared" si="20"/>
        <v>0</v>
      </c>
      <c r="AU150" s="12">
        <f t="shared" si="21"/>
        <v>0</v>
      </c>
      <c r="AV150" s="13" t="str">
        <f t="shared" si="22"/>
        <v/>
      </c>
      <c r="AY150" s="12">
        <f t="shared" si="23"/>
        <v>0</v>
      </c>
      <c r="AZ150" s="12">
        <f t="shared" si="24"/>
        <v>0</v>
      </c>
      <c r="BA150" s="12">
        <f t="shared" si="24"/>
        <v>0</v>
      </c>
      <c r="BB150" s="12">
        <f t="shared" si="24"/>
        <v>0</v>
      </c>
      <c r="BC150" s="12">
        <f t="shared" si="18"/>
        <v>0</v>
      </c>
      <c r="BD150" s="12">
        <f t="shared" si="25"/>
        <v>0</v>
      </c>
    </row>
    <row r="151" spans="1:56" ht="15" customHeight="1" x14ac:dyDescent="0.25">
      <c r="A151" s="137" t="s">
        <v>401</v>
      </c>
      <c r="B151" s="137" t="s">
        <v>404</v>
      </c>
      <c r="C151" s="137">
        <v>2018</v>
      </c>
      <c r="D151" s="137" t="s">
        <v>193</v>
      </c>
      <c r="E151" s="137" t="s">
        <v>193</v>
      </c>
      <c r="F151" s="137" t="s">
        <v>193</v>
      </c>
      <c r="G151" s="137" t="s">
        <v>193</v>
      </c>
      <c r="H151" s="137" t="s">
        <v>193</v>
      </c>
      <c r="I151" s="137" t="s">
        <v>193</v>
      </c>
      <c r="J151" s="137" t="s">
        <v>193</v>
      </c>
      <c r="K151" s="137" t="s">
        <v>193</v>
      </c>
      <c r="L151" s="137" t="s">
        <v>193</v>
      </c>
      <c r="M151" s="137" t="s">
        <v>193</v>
      </c>
      <c r="N151" s="137" t="s">
        <v>193</v>
      </c>
      <c r="O151" s="137" t="s">
        <v>193</v>
      </c>
      <c r="P151" s="137" t="s">
        <v>193</v>
      </c>
      <c r="Q151" s="137" t="s">
        <v>193</v>
      </c>
      <c r="R151" s="137" t="s">
        <v>193</v>
      </c>
      <c r="S151" s="137" t="s">
        <v>193</v>
      </c>
      <c r="T151" s="137" t="s">
        <v>193</v>
      </c>
      <c r="U151" s="137" t="s">
        <v>193</v>
      </c>
      <c r="V151" s="137" t="s">
        <v>193</v>
      </c>
      <c r="W151" s="137" t="s">
        <v>193</v>
      </c>
      <c r="X151" s="137" t="s">
        <v>193</v>
      </c>
      <c r="Y151" s="137" t="s">
        <v>193</v>
      </c>
      <c r="Z151" s="137" t="s">
        <v>193</v>
      </c>
      <c r="AA151" s="137" t="s">
        <v>193</v>
      </c>
      <c r="AB151" s="137" t="s">
        <v>193</v>
      </c>
      <c r="AC151" s="137" t="s">
        <v>193</v>
      </c>
      <c r="AD151" s="137" t="s">
        <v>193</v>
      </c>
      <c r="AE151" s="137" t="s">
        <v>193</v>
      </c>
      <c r="AF151" s="137" t="s">
        <v>193</v>
      </c>
      <c r="AG151" s="137" t="s">
        <v>193</v>
      </c>
      <c r="AH151" s="137" t="s">
        <v>199</v>
      </c>
      <c r="AI151" s="137" t="s">
        <v>193</v>
      </c>
      <c r="AJ151" s="137" t="s">
        <v>193</v>
      </c>
      <c r="AK151" s="137" t="s">
        <v>193</v>
      </c>
      <c r="AL151" s="137" t="s">
        <v>193</v>
      </c>
      <c r="AM151" s="137" t="s">
        <v>193</v>
      </c>
      <c r="AN151" s="137" t="s">
        <v>193</v>
      </c>
      <c r="AO151" s="137" t="s">
        <v>193</v>
      </c>
      <c r="AQ151" s="12">
        <f t="shared" si="19"/>
        <v>0</v>
      </c>
      <c r="AR151" s="12">
        <f t="shared" si="17"/>
        <v>0</v>
      </c>
      <c r="AT151" s="12">
        <f t="shared" si="20"/>
        <v>0</v>
      </c>
      <c r="AU151" s="12">
        <f t="shared" si="21"/>
        <v>0</v>
      </c>
      <c r="AV151" s="13" t="str">
        <f t="shared" si="22"/>
        <v/>
      </c>
      <c r="AY151" s="12">
        <f t="shared" si="23"/>
        <v>0</v>
      </c>
      <c r="AZ151" s="12">
        <f t="shared" si="24"/>
        <v>0</v>
      </c>
      <c r="BA151" s="12">
        <f t="shared" si="24"/>
        <v>0</v>
      </c>
      <c r="BB151" s="12">
        <f t="shared" si="24"/>
        <v>0</v>
      </c>
      <c r="BC151" s="12">
        <f t="shared" si="18"/>
        <v>0</v>
      </c>
      <c r="BD151" s="12">
        <f t="shared" si="25"/>
        <v>0</v>
      </c>
    </row>
    <row r="152" spans="1:56" ht="15" customHeight="1" x14ac:dyDescent="0.25">
      <c r="A152" s="137" t="s">
        <v>401</v>
      </c>
      <c r="B152" s="137" t="s">
        <v>405</v>
      </c>
      <c r="C152" s="137">
        <v>2018</v>
      </c>
      <c r="D152" s="137" t="s">
        <v>193</v>
      </c>
      <c r="E152" s="137" t="s">
        <v>193</v>
      </c>
      <c r="F152" s="137" t="s">
        <v>193</v>
      </c>
      <c r="G152" s="137" t="s">
        <v>193</v>
      </c>
      <c r="H152" s="137" t="s">
        <v>193</v>
      </c>
      <c r="I152" s="137" t="s">
        <v>193</v>
      </c>
      <c r="J152" s="137" t="s">
        <v>193</v>
      </c>
      <c r="K152" s="137" t="s">
        <v>193</v>
      </c>
      <c r="L152" s="137" t="s">
        <v>193</v>
      </c>
      <c r="M152" s="137" t="s">
        <v>193</v>
      </c>
      <c r="N152" s="137" t="s">
        <v>193</v>
      </c>
      <c r="O152" s="137" t="s">
        <v>193</v>
      </c>
      <c r="P152" s="137" t="s">
        <v>193</v>
      </c>
      <c r="Q152" s="137" t="s">
        <v>193</v>
      </c>
      <c r="R152" s="137" t="s">
        <v>193</v>
      </c>
      <c r="S152" s="137" t="s">
        <v>193</v>
      </c>
      <c r="T152" s="137" t="s">
        <v>193</v>
      </c>
      <c r="U152" s="137" t="s">
        <v>193</v>
      </c>
      <c r="V152" s="137" t="s">
        <v>193</v>
      </c>
      <c r="W152" s="137" t="s">
        <v>193</v>
      </c>
      <c r="X152" s="137" t="s">
        <v>193</v>
      </c>
      <c r="Y152" s="137" t="s">
        <v>193</v>
      </c>
      <c r="Z152" s="137" t="s">
        <v>193</v>
      </c>
      <c r="AA152" s="137" t="s">
        <v>193</v>
      </c>
      <c r="AB152" s="137" t="s">
        <v>193</v>
      </c>
      <c r="AC152" s="137" t="s">
        <v>193</v>
      </c>
      <c r="AD152" s="137" t="s">
        <v>193</v>
      </c>
      <c r="AE152" s="137" t="s">
        <v>193</v>
      </c>
      <c r="AF152" s="137" t="s">
        <v>193</v>
      </c>
      <c r="AG152" s="137" t="s">
        <v>193</v>
      </c>
      <c r="AH152" s="137" t="s">
        <v>199</v>
      </c>
      <c r="AI152" s="137" t="s">
        <v>193</v>
      </c>
      <c r="AJ152" s="137" t="s">
        <v>193</v>
      </c>
      <c r="AK152" s="137" t="s">
        <v>193</v>
      </c>
      <c r="AL152" s="137" t="s">
        <v>193</v>
      </c>
      <c r="AM152" s="137" t="s">
        <v>193</v>
      </c>
      <c r="AN152" s="137" t="s">
        <v>193</v>
      </c>
      <c r="AO152" s="137" t="s">
        <v>193</v>
      </c>
      <c r="AQ152" s="12">
        <f t="shared" si="19"/>
        <v>0</v>
      </c>
      <c r="AR152" s="12">
        <f t="shared" si="17"/>
        <v>0</v>
      </c>
      <c r="AT152" s="12">
        <f t="shared" si="20"/>
        <v>0</v>
      </c>
      <c r="AU152" s="12">
        <f t="shared" si="21"/>
        <v>0</v>
      </c>
      <c r="AV152" s="13" t="str">
        <f t="shared" si="22"/>
        <v/>
      </c>
      <c r="AY152" s="12">
        <f t="shared" si="23"/>
        <v>0</v>
      </c>
      <c r="AZ152" s="12">
        <f t="shared" si="24"/>
        <v>0</v>
      </c>
      <c r="BA152" s="12">
        <f t="shared" si="24"/>
        <v>0</v>
      </c>
      <c r="BB152" s="12">
        <f t="shared" si="24"/>
        <v>0</v>
      </c>
      <c r="BC152" s="12">
        <f t="shared" si="18"/>
        <v>0</v>
      </c>
      <c r="BD152" s="12">
        <f t="shared" si="25"/>
        <v>0</v>
      </c>
    </row>
    <row r="153" spans="1:56" ht="15" customHeight="1" x14ac:dyDescent="0.25">
      <c r="A153" s="137" t="s">
        <v>401</v>
      </c>
      <c r="B153" s="137" t="s">
        <v>406</v>
      </c>
      <c r="C153" s="137">
        <v>2018</v>
      </c>
      <c r="D153" s="137" t="s">
        <v>193</v>
      </c>
      <c r="E153" s="137" t="s">
        <v>193</v>
      </c>
      <c r="F153" s="137" t="s">
        <v>193</v>
      </c>
      <c r="G153" s="137" t="s">
        <v>193</v>
      </c>
      <c r="H153" s="137" t="s">
        <v>193</v>
      </c>
      <c r="I153" s="137" t="s">
        <v>193</v>
      </c>
      <c r="J153" s="137" t="s">
        <v>193</v>
      </c>
      <c r="K153" s="137" t="s">
        <v>193</v>
      </c>
      <c r="L153" s="137" t="s">
        <v>193</v>
      </c>
      <c r="M153" s="137" t="s">
        <v>193</v>
      </c>
      <c r="N153" s="137" t="s">
        <v>193</v>
      </c>
      <c r="O153" s="137" t="s">
        <v>193</v>
      </c>
      <c r="P153" s="137" t="s">
        <v>193</v>
      </c>
      <c r="Q153" s="137" t="s">
        <v>193</v>
      </c>
      <c r="R153" s="137" t="s">
        <v>193</v>
      </c>
      <c r="S153" s="137" t="s">
        <v>193</v>
      </c>
      <c r="T153" s="137" t="s">
        <v>193</v>
      </c>
      <c r="U153" s="137" t="s">
        <v>193</v>
      </c>
      <c r="V153" s="137" t="s">
        <v>193</v>
      </c>
      <c r="W153" s="137" t="s">
        <v>193</v>
      </c>
      <c r="X153" s="137" t="s">
        <v>193</v>
      </c>
      <c r="Y153" s="137" t="s">
        <v>193</v>
      </c>
      <c r="Z153" s="137" t="s">
        <v>193</v>
      </c>
      <c r="AA153" s="137" t="s">
        <v>193</v>
      </c>
      <c r="AB153" s="137" t="s">
        <v>193</v>
      </c>
      <c r="AC153" s="137" t="s">
        <v>193</v>
      </c>
      <c r="AD153" s="137" t="s">
        <v>193</v>
      </c>
      <c r="AE153" s="137" t="s">
        <v>193</v>
      </c>
      <c r="AF153" s="137" t="s">
        <v>193</v>
      </c>
      <c r="AG153" s="137" t="s">
        <v>193</v>
      </c>
      <c r="AH153" s="137" t="s">
        <v>199</v>
      </c>
      <c r="AI153" s="137" t="s">
        <v>193</v>
      </c>
      <c r="AJ153" s="137" t="s">
        <v>193</v>
      </c>
      <c r="AK153" s="137" t="s">
        <v>193</v>
      </c>
      <c r="AL153" s="137" t="s">
        <v>193</v>
      </c>
      <c r="AM153" s="137" t="s">
        <v>193</v>
      </c>
      <c r="AN153" s="137" t="s">
        <v>193</v>
      </c>
      <c r="AO153" s="137" t="s">
        <v>193</v>
      </c>
      <c r="AQ153" s="12">
        <f t="shared" si="19"/>
        <v>0</v>
      </c>
      <c r="AR153" s="12">
        <f t="shared" si="17"/>
        <v>0</v>
      </c>
      <c r="AT153" s="12">
        <f t="shared" si="20"/>
        <v>0</v>
      </c>
      <c r="AU153" s="12">
        <f t="shared" si="21"/>
        <v>0</v>
      </c>
      <c r="AV153" s="13" t="str">
        <f t="shared" si="22"/>
        <v/>
      </c>
      <c r="AY153" s="12">
        <f t="shared" si="23"/>
        <v>0</v>
      </c>
      <c r="AZ153" s="12">
        <f t="shared" si="24"/>
        <v>0</v>
      </c>
      <c r="BA153" s="12">
        <f t="shared" si="24"/>
        <v>0</v>
      </c>
      <c r="BB153" s="12">
        <f t="shared" si="24"/>
        <v>0</v>
      </c>
      <c r="BC153" s="12">
        <f t="shared" si="18"/>
        <v>0</v>
      </c>
      <c r="BD153" s="12">
        <f t="shared" si="25"/>
        <v>0</v>
      </c>
    </row>
    <row r="154" spans="1:56" ht="15" customHeight="1" x14ac:dyDescent="0.25">
      <c r="A154" s="137" t="s">
        <v>401</v>
      </c>
      <c r="B154" s="137" t="s">
        <v>407</v>
      </c>
      <c r="C154" s="137">
        <v>2018</v>
      </c>
      <c r="D154" s="137" t="s">
        <v>193</v>
      </c>
      <c r="E154" s="137" t="s">
        <v>193</v>
      </c>
      <c r="F154" s="137" t="s">
        <v>193</v>
      </c>
      <c r="G154" s="137" t="s">
        <v>193</v>
      </c>
      <c r="H154" s="137" t="s">
        <v>193</v>
      </c>
      <c r="I154" s="137" t="s">
        <v>193</v>
      </c>
      <c r="J154" s="137" t="s">
        <v>193</v>
      </c>
      <c r="K154" s="137" t="s">
        <v>193</v>
      </c>
      <c r="L154" s="137" t="s">
        <v>193</v>
      </c>
      <c r="M154" s="137" t="s">
        <v>193</v>
      </c>
      <c r="N154" s="137" t="s">
        <v>193</v>
      </c>
      <c r="O154" s="137" t="s">
        <v>193</v>
      </c>
      <c r="P154" s="137" t="s">
        <v>193</v>
      </c>
      <c r="Q154" s="137" t="s">
        <v>193</v>
      </c>
      <c r="R154" s="137" t="s">
        <v>193</v>
      </c>
      <c r="S154" s="137" t="s">
        <v>193</v>
      </c>
      <c r="T154" s="137" t="s">
        <v>193</v>
      </c>
      <c r="U154" s="137" t="s">
        <v>193</v>
      </c>
      <c r="V154" s="137" t="s">
        <v>193</v>
      </c>
      <c r="W154" s="137" t="s">
        <v>193</v>
      </c>
      <c r="X154" s="137" t="s">
        <v>193</v>
      </c>
      <c r="Y154" s="137" t="s">
        <v>193</v>
      </c>
      <c r="Z154" s="137" t="s">
        <v>193</v>
      </c>
      <c r="AA154" s="137" t="s">
        <v>193</v>
      </c>
      <c r="AB154" s="137" t="s">
        <v>193</v>
      </c>
      <c r="AC154" s="137" t="s">
        <v>193</v>
      </c>
      <c r="AD154" s="137" t="s">
        <v>193</v>
      </c>
      <c r="AE154" s="137" t="s">
        <v>193</v>
      </c>
      <c r="AF154" s="137" t="s">
        <v>193</v>
      </c>
      <c r="AG154" s="137" t="s">
        <v>193</v>
      </c>
      <c r="AH154" s="137" t="s">
        <v>199</v>
      </c>
      <c r="AI154" s="137" t="s">
        <v>193</v>
      </c>
      <c r="AJ154" s="137" t="s">
        <v>193</v>
      </c>
      <c r="AK154" s="137" t="s">
        <v>193</v>
      </c>
      <c r="AL154" s="137" t="s">
        <v>193</v>
      </c>
      <c r="AM154" s="137" t="s">
        <v>193</v>
      </c>
      <c r="AN154" s="137" t="s">
        <v>193</v>
      </c>
      <c r="AO154" s="137" t="s">
        <v>193</v>
      </c>
      <c r="AQ154" s="12">
        <f t="shared" si="19"/>
        <v>0</v>
      </c>
      <c r="AR154" s="12">
        <f t="shared" si="17"/>
        <v>0</v>
      </c>
      <c r="AT154" s="12">
        <f t="shared" si="20"/>
        <v>0</v>
      </c>
      <c r="AU154" s="12">
        <f t="shared" si="21"/>
        <v>0</v>
      </c>
      <c r="AV154" s="13" t="str">
        <f t="shared" si="22"/>
        <v/>
      </c>
      <c r="AY154" s="12">
        <f t="shared" si="23"/>
        <v>0</v>
      </c>
      <c r="AZ154" s="12">
        <f t="shared" si="24"/>
        <v>0</v>
      </c>
      <c r="BA154" s="12">
        <f t="shared" si="24"/>
        <v>0</v>
      </c>
      <c r="BB154" s="12">
        <f t="shared" si="24"/>
        <v>0</v>
      </c>
      <c r="BC154" s="12">
        <f t="shared" si="18"/>
        <v>0</v>
      </c>
      <c r="BD154" s="12">
        <f t="shared" si="25"/>
        <v>0</v>
      </c>
    </row>
    <row r="155" spans="1:56" ht="15" customHeight="1" x14ac:dyDescent="0.25">
      <c r="A155" s="137" t="s">
        <v>401</v>
      </c>
      <c r="B155" s="137" t="s">
        <v>408</v>
      </c>
      <c r="C155" s="137">
        <v>2018</v>
      </c>
      <c r="D155" s="137" t="s">
        <v>193</v>
      </c>
      <c r="E155" s="137" t="s">
        <v>193</v>
      </c>
      <c r="F155" s="137" t="s">
        <v>193</v>
      </c>
      <c r="G155" s="137" t="s">
        <v>193</v>
      </c>
      <c r="H155" s="137" t="s">
        <v>193</v>
      </c>
      <c r="I155" s="137" t="s">
        <v>193</v>
      </c>
      <c r="J155" s="137" t="s">
        <v>193</v>
      </c>
      <c r="K155" s="137" t="s">
        <v>193</v>
      </c>
      <c r="L155" s="137" t="s">
        <v>193</v>
      </c>
      <c r="M155" s="137" t="s">
        <v>193</v>
      </c>
      <c r="N155" s="137" t="s">
        <v>193</v>
      </c>
      <c r="O155" s="137" t="s">
        <v>193</v>
      </c>
      <c r="P155" s="137" t="s">
        <v>193</v>
      </c>
      <c r="Q155" s="137" t="s">
        <v>193</v>
      </c>
      <c r="R155" s="137" t="s">
        <v>193</v>
      </c>
      <c r="S155" s="137" t="s">
        <v>193</v>
      </c>
      <c r="T155" s="137" t="s">
        <v>193</v>
      </c>
      <c r="U155" s="137" t="s">
        <v>193</v>
      </c>
      <c r="V155" s="137" t="s">
        <v>193</v>
      </c>
      <c r="W155" s="137" t="s">
        <v>193</v>
      </c>
      <c r="X155" s="137" t="s">
        <v>193</v>
      </c>
      <c r="Y155" s="137" t="s">
        <v>193</v>
      </c>
      <c r="Z155" s="137" t="s">
        <v>193</v>
      </c>
      <c r="AA155" s="137" t="s">
        <v>193</v>
      </c>
      <c r="AB155" s="137" t="s">
        <v>193</v>
      </c>
      <c r="AC155" s="137" t="s">
        <v>193</v>
      </c>
      <c r="AD155" s="137" t="s">
        <v>193</v>
      </c>
      <c r="AE155" s="137" t="s">
        <v>193</v>
      </c>
      <c r="AF155" s="137" t="s">
        <v>193</v>
      </c>
      <c r="AG155" s="137" t="s">
        <v>193</v>
      </c>
      <c r="AH155" s="137" t="s">
        <v>199</v>
      </c>
      <c r="AI155" s="137" t="s">
        <v>193</v>
      </c>
      <c r="AJ155" s="137" t="s">
        <v>193</v>
      </c>
      <c r="AK155" s="137" t="s">
        <v>193</v>
      </c>
      <c r="AL155" s="137" t="s">
        <v>193</v>
      </c>
      <c r="AM155" s="137" t="s">
        <v>193</v>
      </c>
      <c r="AN155" s="137" t="s">
        <v>193</v>
      </c>
      <c r="AO155" s="137" t="s">
        <v>193</v>
      </c>
      <c r="AQ155" s="12">
        <f t="shared" si="19"/>
        <v>0</v>
      </c>
      <c r="AR155" s="12">
        <f t="shared" si="17"/>
        <v>0</v>
      </c>
      <c r="AT155" s="12">
        <f t="shared" si="20"/>
        <v>0</v>
      </c>
      <c r="AU155" s="12">
        <f t="shared" si="21"/>
        <v>0</v>
      </c>
      <c r="AV155" s="13" t="str">
        <f t="shared" si="22"/>
        <v/>
      </c>
      <c r="AY155" s="12">
        <f t="shared" si="23"/>
        <v>0</v>
      </c>
      <c r="AZ155" s="12">
        <f t="shared" si="24"/>
        <v>0</v>
      </c>
      <c r="BA155" s="12">
        <f t="shared" si="24"/>
        <v>0</v>
      </c>
      <c r="BB155" s="12">
        <f t="shared" si="24"/>
        <v>0</v>
      </c>
      <c r="BC155" s="12">
        <f t="shared" si="18"/>
        <v>0</v>
      </c>
      <c r="BD155" s="12">
        <f t="shared" si="25"/>
        <v>0</v>
      </c>
    </row>
    <row r="156" spans="1:56" ht="15" customHeight="1" x14ac:dyDescent="0.25">
      <c r="A156" s="137" t="s">
        <v>401</v>
      </c>
      <c r="B156" s="137" t="s">
        <v>409</v>
      </c>
      <c r="C156" s="137">
        <v>2018</v>
      </c>
      <c r="D156" s="137" t="s">
        <v>193</v>
      </c>
      <c r="E156" s="137" t="s">
        <v>193</v>
      </c>
      <c r="F156" s="137" t="s">
        <v>193</v>
      </c>
      <c r="G156" s="137" t="s">
        <v>193</v>
      </c>
      <c r="H156" s="137" t="s">
        <v>193</v>
      </c>
      <c r="I156" s="137" t="s">
        <v>193</v>
      </c>
      <c r="J156" s="137" t="s">
        <v>193</v>
      </c>
      <c r="K156" s="137" t="s">
        <v>193</v>
      </c>
      <c r="L156" s="137" t="s">
        <v>193</v>
      </c>
      <c r="M156" s="137" t="s">
        <v>193</v>
      </c>
      <c r="N156" s="137" t="s">
        <v>193</v>
      </c>
      <c r="O156" s="137" t="s">
        <v>193</v>
      </c>
      <c r="P156" s="137" t="s">
        <v>193</v>
      </c>
      <c r="Q156" s="137" t="s">
        <v>193</v>
      </c>
      <c r="R156" s="137" t="s">
        <v>193</v>
      </c>
      <c r="S156" s="137" t="s">
        <v>193</v>
      </c>
      <c r="T156" s="137" t="s">
        <v>193</v>
      </c>
      <c r="U156" s="137" t="s">
        <v>193</v>
      </c>
      <c r="V156" s="137" t="s">
        <v>193</v>
      </c>
      <c r="W156" s="137" t="s">
        <v>193</v>
      </c>
      <c r="X156" s="137" t="s">
        <v>193</v>
      </c>
      <c r="Y156" s="137" t="s">
        <v>193</v>
      </c>
      <c r="Z156" s="137" t="s">
        <v>193</v>
      </c>
      <c r="AA156" s="137" t="s">
        <v>193</v>
      </c>
      <c r="AB156" s="137" t="s">
        <v>193</v>
      </c>
      <c r="AC156" s="137" t="s">
        <v>193</v>
      </c>
      <c r="AD156" s="137" t="s">
        <v>193</v>
      </c>
      <c r="AE156" s="137" t="s">
        <v>193</v>
      </c>
      <c r="AF156" s="137" t="s">
        <v>193</v>
      </c>
      <c r="AG156" s="137" t="s">
        <v>193</v>
      </c>
      <c r="AH156" s="137" t="s">
        <v>199</v>
      </c>
      <c r="AI156" s="137" t="s">
        <v>193</v>
      </c>
      <c r="AJ156" s="137" t="s">
        <v>193</v>
      </c>
      <c r="AK156" s="137" t="s">
        <v>193</v>
      </c>
      <c r="AL156" s="137" t="s">
        <v>193</v>
      </c>
      <c r="AM156" s="137" t="s">
        <v>193</v>
      </c>
      <c r="AN156" s="137" t="s">
        <v>193</v>
      </c>
      <c r="AO156" s="137" t="s">
        <v>193</v>
      </c>
      <c r="AQ156" s="12">
        <f t="shared" si="19"/>
        <v>0</v>
      </c>
      <c r="AR156" s="12">
        <f t="shared" si="17"/>
        <v>0</v>
      </c>
      <c r="AT156" s="12">
        <f t="shared" si="20"/>
        <v>0</v>
      </c>
      <c r="AU156" s="12">
        <f t="shared" si="21"/>
        <v>0</v>
      </c>
      <c r="AV156" s="13" t="str">
        <f t="shared" si="22"/>
        <v/>
      </c>
      <c r="AY156" s="12">
        <f t="shared" si="23"/>
        <v>0</v>
      </c>
      <c r="AZ156" s="12">
        <f t="shared" si="24"/>
        <v>0</v>
      </c>
      <c r="BA156" s="12">
        <f t="shared" si="24"/>
        <v>0</v>
      </c>
      <c r="BB156" s="12">
        <f t="shared" si="24"/>
        <v>0</v>
      </c>
      <c r="BC156" s="12">
        <f t="shared" si="18"/>
        <v>0</v>
      </c>
      <c r="BD156" s="12">
        <f t="shared" si="25"/>
        <v>0</v>
      </c>
    </row>
    <row r="157" spans="1:56" ht="15" customHeight="1" x14ac:dyDescent="0.25">
      <c r="A157" s="137" t="s">
        <v>401</v>
      </c>
      <c r="B157" s="137" t="s">
        <v>410</v>
      </c>
      <c r="C157" s="137">
        <v>2018</v>
      </c>
      <c r="D157" s="137" t="s">
        <v>193</v>
      </c>
      <c r="E157" s="137" t="s">
        <v>193</v>
      </c>
      <c r="F157" s="137" t="s">
        <v>193</v>
      </c>
      <c r="G157" s="137" t="s">
        <v>193</v>
      </c>
      <c r="H157" s="137" t="s">
        <v>193</v>
      </c>
      <c r="I157" s="137" t="s">
        <v>193</v>
      </c>
      <c r="J157" s="137" t="s">
        <v>193</v>
      </c>
      <c r="K157" s="137" t="s">
        <v>193</v>
      </c>
      <c r="L157" s="137" t="s">
        <v>193</v>
      </c>
      <c r="M157" s="137" t="s">
        <v>193</v>
      </c>
      <c r="N157" s="137" t="s">
        <v>193</v>
      </c>
      <c r="O157" s="137" t="s">
        <v>193</v>
      </c>
      <c r="P157" s="137" t="s">
        <v>193</v>
      </c>
      <c r="Q157" s="137" t="s">
        <v>193</v>
      </c>
      <c r="R157" s="137" t="s">
        <v>193</v>
      </c>
      <c r="S157" s="137" t="s">
        <v>193</v>
      </c>
      <c r="T157" s="137" t="s">
        <v>193</v>
      </c>
      <c r="U157" s="137" t="s">
        <v>193</v>
      </c>
      <c r="V157" s="137" t="s">
        <v>193</v>
      </c>
      <c r="W157" s="137" t="s">
        <v>193</v>
      </c>
      <c r="X157" s="137" t="s">
        <v>193</v>
      </c>
      <c r="Y157" s="137" t="s">
        <v>193</v>
      </c>
      <c r="Z157" s="137" t="s">
        <v>193</v>
      </c>
      <c r="AA157" s="137" t="s">
        <v>193</v>
      </c>
      <c r="AB157" s="137" t="s">
        <v>193</v>
      </c>
      <c r="AC157" s="137" t="s">
        <v>193</v>
      </c>
      <c r="AD157" s="137" t="s">
        <v>193</v>
      </c>
      <c r="AE157" s="137" t="s">
        <v>193</v>
      </c>
      <c r="AF157" s="137" t="s">
        <v>193</v>
      </c>
      <c r="AG157" s="137" t="s">
        <v>193</v>
      </c>
      <c r="AH157" s="137" t="s">
        <v>199</v>
      </c>
      <c r="AI157" s="137" t="s">
        <v>193</v>
      </c>
      <c r="AJ157" s="137" t="s">
        <v>193</v>
      </c>
      <c r="AK157" s="137" t="s">
        <v>193</v>
      </c>
      <c r="AL157" s="137" t="s">
        <v>193</v>
      </c>
      <c r="AM157" s="137" t="s">
        <v>193</v>
      </c>
      <c r="AN157" s="137" t="s">
        <v>193</v>
      </c>
      <c r="AO157" s="137" t="s">
        <v>193</v>
      </c>
      <c r="AQ157" s="12">
        <f t="shared" si="19"/>
        <v>0</v>
      </c>
      <c r="AR157" s="12">
        <f t="shared" si="17"/>
        <v>0</v>
      </c>
      <c r="AT157" s="12">
        <f t="shared" si="20"/>
        <v>0</v>
      </c>
      <c r="AU157" s="12">
        <f t="shared" si="21"/>
        <v>0</v>
      </c>
      <c r="AV157" s="13" t="str">
        <f t="shared" si="22"/>
        <v/>
      </c>
      <c r="AY157" s="12">
        <f t="shared" si="23"/>
        <v>0</v>
      </c>
      <c r="AZ157" s="12">
        <f t="shared" si="24"/>
        <v>0</v>
      </c>
      <c r="BA157" s="12">
        <f t="shared" si="24"/>
        <v>0</v>
      </c>
      <c r="BB157" s="12">
        <f t="shared" si="24"/>
        <v>0</v>
      </c>
      <c r="BC157" s="12">
        <f t="shared" si="18"/>
        <v>0</v>
      </c>
      <c r="BD157" s="12">
        <f t="shared" si="25"/>
        <v>0</v>
      </c>
    </row>
    <row r="158" spans="1:56" ht="15" customHeight="1" x14ac:dyDescent="0.25">
      <c r="A158" s="137" t="s">
        <v>411</v>
      </c>
      <c r="B158" s="137" t="s">
        <v>412</v>
      </c>
      <c r="C158" s="137">
        <v>2018</v>
      </c>
      <c r="D158" s="137" t="s">
        <v>193</v>
      </c>
      <c r="E158" s="137" t="s">
        <v>193</v>
      </c>
      <c r="F158" s="137" t="s">
        <v>193</v>
      </c>
      <c r="G158" s="137" t="s">
        <v>193</v>
      </c>
      <c r="H158" s="137" t="s">
        <v>193</v>
      </c>
      <c r="I158" s="137" t="s">
        <v>193</v>
      </c>
      <c r="J158" s="137" t="s">
        <v>193</v>
      </c>
      <c r="K158" s="137" t="s">
        <v>193</v>
      </c>
      <c r="L158" s="137" t="s">
        <v>193</v>
      </c>
      <c r="M158" s="137" t="s">
        <v>193</v>
      </c>
      <c r="N158" s="137" t="s">
        <v>193</v>
      </c>
      <c r="O158" s="137" t="s">
        <v>193</v>
      </c>
      <c r="P158" s="137" t="s">
        <v>193</v>
      </c>
      <c r="Q158" s="137" t="s">
        <v>193</v>
      </c>
      <c r="R158" s="137" t="s">
        <v>193</v>
      </c>
      <c r="S158" s="137" t="s">
        <v>193</v>
      </c>
      <c r="T158" s="137" t="s">
        <v>193</v>
      </c>
      <c r="U158" s="137" t="s">
        <v>193</v>
      </c>
      <c r="V158" s="137" t="s">
        <v>193</v>
      </c>
      <c r="W158" s="137" t="s">
        <v>193</v>
      </c>
      <c r="X158" s="137" t="s">
        <v>193</v>
      </c>
      <c r="Y158" s="137" t="s">
        <v>193</v>
      </c>
      <c r="Z158" s="137" t="s">
        <v>193</v>
      </c>
      <c r="AA158" s="137" t="s">
        <v>193</v>
      </c>
      <c r="AB158" s="137" t="s">
        <v>193</v>
      </c>
      <c r="AC158" s="137" t="s">
        <v>193</v>
      </c>
      <c r="AD158" s="137" t="s">
        <v>193</v>
      </c>
      <c r="AE158" s="137" t="s">
        <v>193</v>
      </c>
      <c r="AF158" s="137" t="s">
        <v>193</v>
      </c>
      <c r="AG158" s="137" t="s">
        <v>193</v>
      </c>
      <c r="AH158" s="137" t="s">
        <v>199</v>
      </c>
      <c r="AI158" s="137" t="s">
        <v>193</v>
      </c>
      <c r="AJ158" s="137" t="s">
        <v>193</v>
      </c>
      <c r="AK158" s="137" t="s">
        <v>193</v>
      </c>
      <c r="AL158" s="137" t="s">
        <v>193</v>
      </c>
      <c r="AM158" s="137" t="s">
        <v>193</v>
      </c>
      <c r="AN158" s="137" t="s">
        <v>193</v>
      </c>
      <c r="AO158" s="137" t="s">
        <v>193</v>
      </c>
      <c r="AQ158" s="12">
        <f t="shared" si="19"/>
        <v>0</v>
      </c>
      <c r="AR158" s="12">
        <f t="shared" si="17"/>
        <v>0</v>
      </c>
      <c r="AT158" s="12">
        <f t="shared" si="20"/>
        <v>0</v>
      </c>
      <c r="AU158" s="12">
        <f t="shared" si="21"/>
        <v>0</v>
      </c>
      <c r="AV158" s="13" t="str">
        <f t="shared" si="22"/>
        <v/>
      </c>
      <c r="AY158" s="12">
        <f t="shared" si="23"/>
        <v>0</v>
      </c>
      <c r="AZ158" s="12">
        <f t="shared" si="24"/>
        <v>0</v>
      </c>
      <c r="BA158" s="12">
        <f t="shared" si="24"/>
        <v>0</v>
      </c>
      <c r="BB158" s="12">
        <f t="shared" si="24"/>
        <v>0</v>
      </c>
      <c r="BC158" s="12">
        <f t="shared" si="18"/>
        <v>0</v>
      </c>
      <c r="BD158" s="12">
        <f t="shared" si="25"/>
        <v>0</v>
      </c>
    </row>
    <row r="159" spans="1:56" ht="15" customHeight="1" x14ac:dyDescent="0.25">
      <c r="A159" s="137" t="s">
        <v>413</v>
      </c>
      <c r="B159" s="137" t="s">
        <v>93</v>
      </c>
      <c r="C159" s="137">
        <v>2018</v>
      </c>
      <c r="D159" s="137" t="s">
        <v>53</v>
      </c>
      <c r="E159" s="137" t="s">
        <v>53</v>
      </c>
      <c r="F159" s="137" t="s">
        <v>53</v>
      </c>
      <c r="G159" s="137" t="s">
        <v>53</v>
      </c>
      <c r="H159" s="137" t="s">
        <v>53</v>
      </c>
      <c r="I159" s="137" t="s">
        <v>53</v>
      </c>
      <c r="J159" s="137" t="s">
        <v>53</v>
      </c>
      <c r="K159" s="137" t="s">
        <v>53</v>
      </c>
      <c r="L159" s="137" t="s">
        <v>53</v>
      </c>
      <c r="M159" s="137" t="s">
        <v>53</v>
      </c>
      <c r="N159" s="137" t="s">
        <v>53</v>
      </c>
      <c r="O159" s="137" t="s">
        <v>53</v>
      </c>
      <c r="P159" s="137" t="s">
        <v>53</v>
      </c>
      <c r="Q159" s="137" t="s">
        <v>53</v>
      </c>
      <c r="R159" s="137" t="s">
        <v>53</v>
      </c>
      <c r="S159" s="137" t="s">
        <v>53</v>
      </c>
      <c r="T159" s="137" t="s">
        <v>53</v>
      </c>
      <c r="U159" s="137" t="s">
        <v>53</v>
      </c>
      <c r="V159" s="137" t="s">
        <v>53</v>
      </c>
      <c r="W159" s="137" t="s">
        <v>53</v>
      </c>
      <c r="X159" s="137" t="s">
        <v>53</v>
      </c>
      <c r="Y159" s="137" t="s">
        <v>53</v>
      </c>
      <c r="Z159" s="137" t="s">
        <v>53</v>
      </c>
      <c r="AA159" s="137" t="s">
        <v>53</v>
      </c>
      <c r="AB159" s="137" t="s">
        <v>53</v>
      </c>
      <c r="AC159" s="137" t="s">
        <v>53</v>
      </c>
      <c r="AD159" s="137" t="s">
        <v>53</v>
      </c>
      <c r="AE159" s="137" t="s">
        <v>53</v>
      </c>
      <c r="AF159" s="137" t="s">
        <v>53</v>
      </c>
      <c r="AG159" s="137" t="s">
        <v>53</v>
      </c>
      <c r="AH159" s="137" t="s">
        <v>53</v>
      </c>
      <c r="AI159" s="137" t="s">
        <v>53</v>
      </c>
      <c r="AJ159" s="137" t="s">
        <v>53</v>
      </c>
      <c r="AK159" s="137" t="s">
        <v>53</v>
      </c>
      <c r="AL159" s="137" t="s">
        <v>53</v>
      </c>
      <c r="AM159" s="137" t="s">
        <v>53</v>
      </c>
      <c r="AN159" s="137" t="s">
        <v>53</v>
      </c>
      <c r="AO159" s="137" t="s">
        <v>53</v>
      </c>
      <c r="AQ159" s="12">
        <f t="shared" si="19"/>
        <v>0</v>
      </c>
      <c r="AR159" s="12">
        <f t="shared" si="17"/>
        <v>0</v>
      </c>
      <c r="AT159" s="12">
        <f t="shared" si="20"/>
        <v>0</v>
      </c>
      <c r="AU159" s="12">
        <f t="shared" si="21"/>
        <v>0</v>
      </c>
      <c r="AV159" s="13" t="str">
        <f t="shared" si="22"/>
        <v/>
      </c>
      <c r="AY159" s="12">
        <f t="shared" si="23"/>
        <v>0</v>
      </c>
      <c r="AZ159" s="12">
        <f t="shared" si="24"/>
        <v>0</v>
      </c>
      <c r="BA159" s="12">
        <f t="shared" si="24"/>
        <v>0</v>
      </c>
      <c r="BB159" s="12">
        <f t="shared" si="24"/>
        <v>0</v>
      </c>
      <c r="BC159" s="12">
        <f t="shared" si="18"/>
        <v>0</v>
      </c>
      <c r="BD159" s="12">
        <f t="shared" si="25"/>
        <v>0</v>
      </c>
    </row>
    <row r="160" spans="1:56" ht="15" customHeight="1" x14ac:dyDescent="0.25">
      <c r="A160" s="137" t="s">
        <v>414</v>
      </c>
      <c r="B160" s="137" t="s">
        <v>415</v>
      </c>
      <c r="C160" s="137">
        <v>2018</v>
      </c>
      <c r="D160" s="137" t="s">
        <v>193</v>
      </c>
      <c r="E160" s="137" t="s">
        <v>193</v>
      </c>
      <c r="F160" s="137" t="s">
        <v>193</v>
      </c>
      <c r="G160" s="137" t="s">
        <v>193</v>
      </c>
      <c r="H160" s="137" t="s">
        <v>193</v>
      </c>
      <c r="I160" s="137" t="s">
        <v>193</v>
      </c>
      <c r="J160" s="137" t="s">
        <v>193</v>
      </c>
      <c r="K160" s="137" t="s">
        <v>193</v>
      </c>
      <c r="L160" s="137" t="s">
        <v>193</v>
      </c>
      <c r="M160" s="137" t="s">
        <v>193</v>
      </c>
      <c r="N160" s="137" t="s">
        <v>193</v>
      </c>
      <c r="O160" s="137" t="s">
        <v>193</v>
      </c>
      <c r="P160" s="137" t="s">
        <v>193</v>
      </c>
      <c r="Q160" s="137" t="s">
        <v>193</v>
      </c>
      <c r="R160" s="137" t="s">
        <v>193</v>
      </c>
      <c r="S160" s="137" t="s">
        <v>193</v>
      </c>
      <c r="T160" s="137" t="s">
        <v>193</v>
      </c>
      <c r="U160" s="137" t="s">
        <v>193</v>
      </c>
      <c r="V160" s="137" t="s">
        <v>193</v>
      </c>
      <c r="W160" s="137" t="s">
        <v>193</v>
      </c>
      <c r="X160" s="137" t="s">
        <v>193</v>
      </c>
      <c r="Y160" s="137" t="s">
        <v>193</v>
      </c>
      <c r="Z160" s="137" t="s">
        <v>193</v>
      </c>
      <c r="AA160" s="137" t="s">
        <v>193</v>
      </c>
      <c r="AB160" s="137" t="s">
        <v>193</v>
      </c>
      <c r="AC160" s="137" t="s">
        <v>193</v>
      </c>
      <c r="AD160" s="137" t="s">
        <v>193</v>
      </c>
      <c r="AE160" s="137" t="s">
        <v>193</v>
      </c>
      <c r="AF160" s="137" t="s">
        <v>193</v>
      </c>
      <c r="AG160" s="137" t="s">
        <v>193</v>
      </c>
      <c r="AH160" s="137" t="s">
        <v>53</v>
      </c>
      <c r="AI160" s="137" t="s">
        <v>193</v>
      </c>
      <c r="AJ160" s="137" t="s">
        <v>193</v>
      </c>
      <c r="AK160" s="137" t="s">
        <v>193</v>
      </c>
      <c r="AL160" s="137" t="s">
        <v>193</v>
      </c>
      <c r="AM160" s="137" t="s">
        <v>193</v>
      </c>
      <c r="AN160" s="137" t="s">
        <v>193</v>
      </c>
      <c r="AO160" s="137" t="s">
        <v>193</v>
      </c>
      <c r="AQ160" s="12">
        <f t="shared" si="19"/>
        <v>0</v>
      </c>
      <c r="AR160" s="12">
        <f t="shared" si="17"/>
        <v>0</v>
      </c>
      <c r="AT160" s="12">
        <f t="shared" si="20"/>
        <v>0</v>
      </c>
      <c r="AU160" s="12">
        <f t="shared" si="21"/>
        <v>0</v>
      </c>
      <c r="AV160" s="13" t="str">
        <f t="shared" si="22"/>
        <v/>
      </c>
      <c r="AY160" s="12">
        <f t="shared" si="23"/>
        <v>0</v>
      </c>
      <c r="AZ160" s="12">
        <f t="shared" si="24"/>
        <v>0</v>
      </c>
      <c r="BA160" s="12">
        <f t="shared" si="24"/>
        <v>0</v>
      </c>
      <c r="BB160" s="12">
        <f t="shared" si="24"/>
        <v>0</v>
      </c>
      <c r="BC160" s="12">
        <f t="shared" si="18"/>
        <v>0</v>
      </c>
      <c r="BD160" s="12">
        <f t="shared" si="25"/>
        <v>0</v>
      </c>
    </row>
    <row r="161" spans="1:56" ht="15" customHeight="1" x14ac:dyDescent="0.25">
      <c r="A161" s="137" t="s">
        <v>414</v>
      </c>
      <c r="B161" s="137" t="s">
        <v>416</v>
      </c>
      <c r="C161" s="137">
        <v>2018</v>
      </c>
      <c r="D161" s="137" t="s">
        <v>193</v>
      </c>
      <c r="E161" s="137" t="s">
        <v>193</v>
      </c>
      <c r="F161" s="137" t="s">
        <v>193</v>
      </c>
      <c r="G161" s="137" t="s">
        <v>193</v>
      </c>
      <c r="H161" s="137" t="s">
        <v>193</v>
      </c>
      <c r="I161" s="137" t="s">
        <v>193</v>
      </c>
      <c r="J161" s="137" t="s">
        <v>193</v>
      </c>
      <c r="K161" s="137" t="s">
        <v>193</v>
      </c>
      <c r="L161" s="137" t="s">
        <v>193</v>
      </c>
      <c r="M161" s="137" t="s">
        <v>193</v>
      </c>
      <c r="N161" s="137" t="s">
        <v>193</v>
      </c>
      <c r="O161" s="137" t="s">
        <v>193</v>
      </c>
      <c r="P161" s="137" t="s">
        <v>193</v>
      </c>
      <c r="Q161" s="137" t="s">
        <v>193</v>
      </c>
      <c r="R161" s="137" t="s">
        <v>193</v>
      </c>
      <c r="S161" s="137" t="s">
        <v>193</v>
      </c>
      <c r="T161" s="137" t="s">
        <v>193</v>
      </c>
      <c r="U161" s="137" t="s">
        <v>193</v>
      </c>
      <c r="V161" s="137" t="s">
        <v>193</v>
      </c>
      <c r="W161" s="137" t="s">
        <v>193</v>
      </c>
      <c r="X161" s="137" t="s">
        <v>193</v>
      </c>
      <c r="Y161" s="137" t="s">
        <v>193</v>
      </c>
      <c r="Z161" s="137" t="s">
        <v>193</v>
      </c>
      <c r="AA161" s="137" t="s">
        <v>193</v>
      </c>
      <c r="AB161" s="137" t="s">
        <v>193</v>
      </c>
      <c r="AC161" s="137" t="s">
        <v>193</v>
      </c>
      <c r="AD161" s="137" t="s">
        <v>193</v>
      </c>
      <c r="AE161" s="137" t="s">
        <v>193</v>
      </c>
      <c r="AF161" s="137" t="s">
        <v>193</v>
      </c>
      <c r="AG161" s="137" t="s">
        <v>193</v>
      </c>
      <c r="AH161" s="137" t="s">
        <v>53</v>
      </c>
      <c r="AI161" s="137" t="s">
        <v>193</v>
      </c>
      <c r="AJ161" s="137" t="s">
        <v>193</v>
      </c>
      <c r="AK161" s="137" t="s">
        <v>193</v>
      </c>
      <c r="AL161" s="137" t="s">
        <v>193</v>
      </c>
      <c r="AM161" s="137" t="s">
        <v>193</v>
      </c>
      <c r="AN161" s="137" t="s">
        <v>193</v>
      </c>
      <c r="AO161" s="137" t="s">
        <v>193</v>
      </c>
      <c r="AQ161" s="12">
        <f t="shared" si="19"/>
        <v>0</v>
      </c>
      <c r="AR161" s="12">
        <f t="shared" si="17"/>
        <v>0</v>
      </c>
      <c r="AT161" s="12">
        <f t="shared" si="20"/>
        <v>0</v>
      </c>
      <c r="AU161" s="12">
        <f t="shared" si="21"/>
        <v>0</v>
      </c>
      <c r="AV161" s="13" t="str">
        <f t="shared" si="22"/>
        <v/>
      </c>
      <c r="AY161" s="12">
        <f t="shared" si="23"/>
        <v>0</v>
      </c>
      <c r="AZ161" s="12">
        <f t="shared" si="24"/>
        <v>0</v>
      </c>
      <c r="BA161" s="12">
        <f t="shared" si="24"/>
        <v>0</v>
      </c>
      <c r="BB161" s="12">
        <f t="shared" si="24"/>
        <v>0</v>
      </c>
      <c r="BC161" s="12">
        <f t="shared" si="18"/>
        <v>0</v>
      </c>
      <c r="BD161" s="12">
        <f t="shared" si="25"/>
        <v>0</v>
      </c>
    </row>
    <row r="162" spans="1:56" ht="15" customHeight="1" x14ac:dyDescent="0.25">
      <c r="A162" s="137" t="s">
        <v>414</v>
      </c>
      <c r="B162" s="137" t="s">
        <v>417</v>
      </c>
      <c r="C162" s="137">
        <v>2018</v>
      </c>
      <c r="D162" s="137" t="s">
        <v>193</v>
      </c>
      <c r="E162" s="137" t="s">
        <v>193</v>
      </c>
      <c r="F162" s="137" t="s">
        <v>193</v>
      </c>
      <c r="G162" s="137" t="s">
        <v>193</v>
      </c>
      <c r="H162" s="137" t="s">
        <v>193</v>
      </c>
      <c r="I162" s="137" t="s">
        <v>193</v>
      </c>
      <c r="J162" s="137" t="s">
        <v>193</v>
      </c>
      <c r="K162" s="137" t="s">
        <v>193</v>
      </c>
      <c r="L162" s="137" t="s">
        <v>193</v>
      </c>
      <c r="M162" s="137" t="s">
        <v>193</v>
      </c>
      <c r="N162" s="137" t="s">
        <v>193</v>
      </c>
      <c r="O162" s="137" t="s">
        <v>193</v>
      </c>
      <c r="P162" s="137" t="s">
        <v>193</v>
      </c>
      <c r="Q162" s="137" t="s">
        <v>193</v>
      </c>
      <c r="R162" s="137" t="s">
        <v>193</v>
      </c>
      <c r="S162" s="137" t="s">
        <v>193</v>
      </c>
      <c r="T162" s="137" t="s">
        <v>193</v>
      </c>
      <c r="U162" s="137" t="s">
        <v>193</v>
      </c>
      <c r="V162" s="137" t="s">
        <v>193</v>
      </c>
      <c r="W162" s="137" t="s">
        <v>193</v>
      </c>
      <c r="X162" s="137" t="s">
        <v>193</v>
      </c>
      <c r="Y162" s="137" t="s">
        <v>193</v>
      </c>
      <c r="Z162" s="137" t="s">
        <v>193</v>
      </c>
      <c r="AA162" s="137" t="s">
        <v>193</v>
      </c>
      <c r="AB162" s="137" t="s">
        <v>193</v>
      </c>
      <c r="AC162" s="137" t="s">
        <v>193</v>
      </c>
      <c r="AD162" s="137" t="s">
        <v>193</v>
      </c>
      <c r="AE162" s="137" t="s">
        <v>193</v>
      </c>
      <c r="AF162" s="137" t="s">
        <v>193</v>
      </c>
      <c r="AG162" s="137" t="s">
        <v>193</v>
      </c>
      <c r="AH162" s="137" t="s">
        <v>53</v>
      </c>
      <c r="AI162" s="137" t="s">
        <v>193</v>
      </c>
      <c r="AJ162" s="137" t="s">
        <v>193</v>
      </c>
      <c r="AK162" s="137" t="s">
        <v>193</v>
      </c>
      <c r="AL162" s="137" t="s">
        <v>193</v>
      </c>
      <c r="AM162" s="137" t="s">
        <v>193</v>
      </c>
      <c r="AN162" s="137" t="s">
        <v>193</v>
      </c>
      <c r="AO162" s="137" t="s">
        <v>193</v>
      </c>
      <c r="AQ162" s="12">
        <f t="shared" si="19"/>
        <v>0</v>
      </c>
      <c r="AR162" s="12">
        <f t="shared" si="17"/>
        <v>0</v>
      </c>
      <c r="AT162" s="12">
        <f t="shared" si="20"/>
        <v>0</v>
      </c>
      <c r="AU162" s="12">
        <f t="shared" si="21"/>
        <v>0</v>
      </c>
      <c r="AV162" s="13" t="str">
        <f t="shared" si="22"/>
        <v/>
      </c>
      <c r="AY162" s="12">
        <f t="shared" si="23"/>
        <v>0</v>
      </c>
      <c r="AZ162" s="12">
        <f t="shared" si="24"/>
        <v>0</v>
      </c>
      <c r="BA162" s="12">
        <f t="shared" si="24"/>
        <v>0</v>
      </c>
      <c r="BB162" s="12">
        <f t="shared" si="24"/>
        <v>0</v>
      </c>
      <c r="BC162" s="12">
        <f t="shared" si="18"/>
        <v>0</v>
      </c>
      <c r="BD162" s="12">
        <f t="shared" si="25"/>
        <v>0</v>
      </c>
    </row>
    <row r="163" spans="1:56" ht="15" customHeight="1" x14ac:dyDescent="0.25">
      <c r="A163" s="137" t="s">
        <v>414</v>
      </c>
      <c r="B163" s="137" t="s">
        <v>418</v>
      </c>
      <c r="C163" s="137">
        <v>2018</v>
      </c>
      <c r="D163" s="137" t="s">
        <v>193</v>
      </c>
      <c r="E163" s="137" t="s">
        <v>193</v>
      </c>
      <c r="F163" s="137" t="s">
        <v>193</v>
      </c>
      <c r="G163" s="137" t="s">
        <v>193</v>
      </c>
      <c r="H163" s="137" t="s">
        <v>193</v>
      </c>
      <c r="I163" s="137" t="s">
        <v>193</v>
      </c>
      <c r="J163" s="137" t="s">
        <v>193</v>
      </c>
      <c r="K163" s="137" t="s">
        <v>193</v>
      </c>
      <c r="L163" s="137" t="s">
        <v>193</v>
      </c>
      <c r="M163" s="137" t="s">
        <v>193</v>
      </c>
      <c r="N163" s="137" t="s">
        <v>193</v>
      </c>
      <c r="O163" s="137" t="s">
        <v>193</v>
      </c>
      <c r="P163" s="137" t="s">
        <v>193</v>
      </c>
      <c r="Q163" s="137" t="s">
        <v>193</v>
      </c>
      <c r="R163" s="137" t="s">
        <v>193</v>
      </c>
      <c r="S163" s="137" t="s">
        <v>193</v>
      </c>
      <c r="T163" s="137" t="s">
        <v>193</v>
      </c>
      <c r="U163" s="137" t="s">
        <v>193</v>
      </c>
      <c r="V163" s="137" t="s">
        <v>193</v>
      </c>
      <c r="W163" s="137" t="s">
        <v>193</v>
      </c>
      <c r="X163" s="137" t="s">
        <v>193</v>
      </c>
      <c r="Y163" s="137" t="s">
        <v>193</v>
      </c>
      <c r="Z163" s="137" t="s">
        <v>193</v>
      </c>
      <c r="AA163" s="137" t="s">
        <v>193</v>
      </c>
      <c r="AB163" s="137" t="s">
        <v>193</v>
      </c>
      <c r="AC163" s="137" t="s">
        <v>193</v>
      </c>
      <c r="AD163" s="137" t="s">
        <v>193</v>
      </c>
      <c r="AE163" s="137" t="s">
        <v>193</v>
      </c>
      <c r="AF163" s="137" t="s">
        <v>193</v>
      </c>
      <c r="AG163" s="137" t="s">
        <v>193</v>
      </c>
      <c r="AH163" s="137" t="s">
        <v>53</v>
      </c>
      <c r="AI163" s="137" t="s">
        <v>193</v>
      </c>
      <c r="AJ163" s="137" t="s">
        <v>193</v>
      </c>
      <c r="AK163" s="137" t="s">
        <v>193</v>
      </c>
      <c r="AL163" s="137" t="s">
        <v>193</v>
      </c>
      <c r="AM163" s="137" t="s">
        <v>193</v>
      </c>
      <c r="AN163" s="137" t="s">
        <v>193</v>
      </c>
      <c r="AO163" s="137" t="s">
        <v>193</v>
      </c>
      <c r="AQ163" s="12">
        <f t="shared" si="19"/>
        <v>0</v>
      </c>
      <c r="AR163" s="12">
        <f t="shared" si="17"/>
        <v>0</v>
      </c>
      <c r="AT163" s="12">
        <f t="shared" si="20"/>
        <v>0</v>
      </c>
      <c r="AU163" s="12">
        <f t="shared" si="21"/>
        <v>0</v>
      </c>
      <c r="AV163" s="13" t="str">
        <f t="shared" si="22"/>
        <v/>
      </c>
      <c r="AY163" s="12">
        <f t="shared" si="23"/>
        <v>0</v>
      </c>
      <c r="AZ163" s="12">
        <f t="shared" si="24"/>
        <v>0</v>
      </c>
      <c r="BA163" s="12">
        <f t="shared" si="24"/>
        <v>0</v>
      </c>
      <c r="BB163" s="12">
        <f t="shared" si="24"/>
        <v>0</v>
      </c>
      <c r="BC163" s="12">
        <f t="shared" si="18"/>
        <v>0</v>
      </c>
      <c r="BD163" s="12">
        <f t="shared" si="25"/>
        <v>0</v>
      </c>
    </row>
    <row r="164" spans="1:56" ht="15" customHeight="1" x14ac:dyDescent="0.25">
      <c r="A164" s="137" t="s">
        <v>419</v>
      </c>
      <c r="B164" s="137" t="s">
        <v>420</v>
      </c>
      <c r="C164" s="137">
        <v>2018</v>
      </c>
      <c r="D164" s="137" t="s">
        <v>193</v>
      </c>
      <c r="E164" s="137" t="s">
        <v>193</v>
      </c>
      <c r="F164" s="137" t="s">
        <v>193</v>
      </c>
      <c r="G164" s="137" t="s">
        <v>193</v>
      </c>
      <c r="H164" s="137" t="s">
        <v>193</v>
      </c>
      <c r="I164" s="137" t="s">
        <v>193</v>
      </c>
      <c r="J164" s="137" t="s">
        <v>193</v>
      </c>
      <c r="K164" s="137" t="s">
        <v>193</v>
      </c>
      <c r="L164" s="137" t="s">
        <v>193</v>
      </c>
      <c r="M164" s="137" t="s">
        <v>193</v>
      </c>
      <c r="N164" s="137" t="s">
        <v>193</v>
      </c>
      <c r="O164" s="137" t="s">
        <v>193</v>
      </c>
      <c r="P164" s="137" t="s">
        <v>193</v>
      </c>
      <c r="Q164" s="137" t="s">
        <v>193</v>
      </c>
      <c r="R164" s="137" t="s">
        <v>193</v>
      </c>
      <c r="S164" s="137" t="s">
        <v>193</v>
      </c>
      <c r="T164" s="137" t="s">
        <v>193</v>
      </c>
      <c r="U164" s="137" t="s">
        <v>193</v>
      </c>
      <c r="V164" s="137" t="s">
        <v>193</v>
      </c>
      <c r="W164" s="137" t="s">
        <v>193</v>
      </c>
      <c r="X164" s="137" t="s">
        <v>193</v>
      </c>
      <c r="Y164" s="137" t="s">
        <v>193</v>
      </c>
      <c r="Z164" s="137" t="s">
        <v>193</v>
      </c>
      <c r="AA164" s="137" t="s">
        <v>193</v>
      </c>
      <c r="AB164" s="137" t="s">
        <v>193</v>
      </c>
      <c r="AC164" s="137" t="s">
        <v>193</v>
      </c>
      <c r="AD164" s="137" t="s">
        <v>193</v>
      </c>
      <c r="AE164" s="137" t="s">
        <v>193</v>
      </c>
      <c r="AF164" s="137" t="s">
        <v>193</v>
      </c>
      <c r="AG164" s="137" t="s">
        <v>193</v>
      </c>
      <c r="AH164" s="137" t="s">
        <v>53</v>
      </c>
      <c r="AI164" s="137" t="s">
        <v>193</v>
      </c>
      <c r="AJ164" s="137" t="s">
        <v>193</v>
      </c>
      <c r="AK164" s="137" t="s">
        <v>193</v>
      </c>
      <c r="AL164" s="137" t="s">
        <v>193</v>
      </c>
      <c r="AM164" s="137" t="s">
        <v>193</v>
      </c>
      <c r="AN164" s="137" t="s">
        <v>193</v>
      </c>
      <c r="AO164" s="137" t="s">
        <v>193</v>
      </c>
      <c r="AQ164" s="12">
        <f t="shared" si="19"/>
        <v>0</v>
      </c>
      <c r="AR164" s="12">
        <f t="shared" si="17"/>
        <v>0</v>
      </c>
      <c r="AT164" s="12">
        <f t="shared" si="20"/>
        <v>0</v>
      </c>
      <c r="AU164" s="12">
        <f t="shared" si="21"/>
        <v>0</v>
      </c>
      <c r="AV164" s="13" t="str">
        <f t="shared" si="22"/>
        <v/>
      </c>
      <c r="AY164" s="12">
        <f t="shared" si="23"/>
        <v>0</v>
      </c>
      <c r="AZ164" s="12">
        <f t="shared" si="24"/>
        <v>0</v>
      </c>
      <c r="BA164" s="12">
        <f t="shared" si="24"/>
        <v>0</v>
      </c>
      <c r="BB164" s="12">
        <f t="shared" si="24"/>
        <v>0</v>
      </c>
      <c r="BC164" s="12">
        <f t="shared" si="18"/>
        <v>0</v>
      </c>
      <c r="BD164" s="12">
        <f t="shared" si="25"/>
        <v>0</v>
      </c>
    </row>
    <row r="165" spans="1:56" ht="15" customHeight="1" x14ac:dyDescent="0.25">
      <c r="A165" s="137" t="s">
        <v>421</v>
      </c>
      <c r="B165" s="137" t="s">
        <v>422</v>
      </c>
      <c r="C165" s="137">
        <v>2018</v>
      </c>
      <c r="D165" s="137">
        <v>63.744</v>
      </c>
      <c r="E165" s="137" t="s">
        <v>193</v>
      </c>
      <c r="F165" s="137" t="s">
        <v>193</v>
      </c>
      <c r="G165" s="137" t="s">
        <v>193</v>
      </c>
      <c r="H165" s="137" t="s">
        <v>193</v>
      </c>
      <c r="I165" s="137">
        <v>55.46</v>
      </c>
      <c r="J165" s="137" t="s">
        <v>193</v>
      </c>
      <c r="K165" s="137" t="s">
        <v>193</v>
      </c>
      <c r="L165" s="137" t="s">
        <v>193</v>
      </c>
      <c r="M165" s="137" t="s">
        <v>193</v>
      </c>
      <c r="N165" s="137" t="s">
        <v>193</v>
      </c>
      <c r="O165" s="137" t="s">
        <v>193</v>
      </c>
      <c r="P165" s="137" t="s">
        <v>193</v>
      </c>
      <c r="Q165" s="137" t="s">
        <v>193</v>
      </c>
      <c r="R165" s="137" t="s">
        <v>193</v>
      </c>
      <c r="S165" s="137" t="s">
        <v>193</v>
      </c>
      <c r="T165" s="137" t="s">
        <v>193</v>
      </c>
      <c r="U165" s="137" t="s">
        <v>193</v>
      </c>
      <c r="V165" s="137" t="s">
        <v>193</v>
      </c>
      <c r="W165" s="137" t="s">
        <v>193</v>
      </c>
      <c r="X165" s="137" t="s">
        <v>193</v>
      </c>
      <c r="Y165" s="137" t="s">
        <v>193</v>
      </c>
      <c r="Z165" s="137" t="s">
        <v>193</v>
      </c>
      <c r="AA165" s="137" t="s">
        <v>193</v>
      </c>
      <c r="AB165" s="137" t="s">
        <v>193</v>
      </c>
      <c r="AC165" s="137" t="s">
        <v>193</v>
      </c>
      <c r="AD165" s="137" t="s">
        <v>193</v>
      </c>
      <c r="AE165" s="137" t="s">
        <v>193</v>
      </c>
      <c r="AF165" s="137">
        <v>55.46</v>
      </c>
      <c r="AG165" s="137" t="s">
        <v>193</v>
      </c>
      <c r="AH165" s="137" t="s">
        <v>199</v>
      </c>
      <c r="AI165" s="137" t="s">
        <v>193</v>
      </c>
      <c r="AJ165" s="137" t="s">
        <v>193</v>
      </c>
      <c r="AK165" s="137" t="s">
        <v>193</v>
      </c>
      <c r="AL165" s="137" t="s">
        <v>193</v>
      </c>
      <c r="AM165" s="137" t="s">
        <v>193</v>
      </c>
      <c r="AN165" s="137" t="s">
        <v>193</v>
      </c>
      <c r="AO165" s="137" t="s">
        <v>193</v>
      </c>
      <c r="AQ165" s="12">
        <f t="shared" si="19"/>
        <v>55.46</v>
      </c>
      <c r="AR165" s="12">
        <f t="shared" si="17"/>
        <v>55.46</v>
      </c>
      <c r="AT165" s="12">
        <f t="shared" si="20"/>
        <v>63.744</v>
      </c>
      <c r="AU165" s="12">
        <f t="shared" si="21"/>
        <v>0</v>
      </c>
      <c r="AV165" s="13">
        <f t="shared" si="22"/>
        <v>1.1493689145329968</v>
      </c>
      <c r="AY165" s="12">
        <f t="shared" si="23"/>
        <v>0</v>
      </c>
      <c r="AZ165" s="12">
        <f t="shared" si="24"/>
        <v>0</v>
      </c>
      <c r="BA165" s="12">
        <f t="shared" si="24"/>
        <v>0</v>
      </c>
      <c r="BB165" s="12">
        <f t="shared" si="24"/>
        <v>0</v>
      </c>
      <c r="BC165" s="12">
        <f t="shared" si="18"/>
        <v>0</v>
      </c>
      <c r="BD165" s="12">
        <f t="shared" si="25"/>
        <v>0</v>
      </c>
    </row>
    <row r="166" spans="1:56" ht="15" customHeight="1" x14ac:dyDescent="0.25">
      <c r="A166" s="137" t="s">
        <v>421</v>
      </c>
      <c r="B166" s="137" t="s">
        <v>423</v>
      </c>
      <c r="C166" s="137">
        <v>2018</v>
      </c>
      <c r="D166" s="137">
        <v>103.191</v>
      </c>
      <c r="E166" s="137">
        <v>22.69</v>
      </c>
      <c r="F166" s="137">
        <v>3.556</v>
      </c>
      <c r="G166" s="137" t="s">
        <v>747</v>
      </c>
      <c r="H166" s="137">
        <v>20.92</v>
      </c>
      <c r="I166" s="137">
        <v>109.636</v>
      </c>
      <c r="J166" s="137" t="s">
        <v>193</v>
      </c>
      <c r="K166" s="137" t="s">
        <v>193</v>
      </c>
      <c r="L166" s="137" t="s">
        <v>193</v>
      </c>
      <c r="M166" s="137" t="s">
        <v>193</v>
      </c>
      <c r="N166" s="137" t="s">
        <v>193</v>
      </c>
      <c r="O166" s="137" t="s">
        <v>193</v>
      </c>
      <c r="P166" s="137" t="s">
        <v>193</v>
      </c>
      <c r="Q166" s="137" t="s">
        <v>193</v>
      </c>
      <c r="R166" s="137" t="s">
        <v>193</v>
      </c>
      <c r="S166" s="137" t="s">
        <v>193</v>
      </c>
      <c r="T166" s="137" t="s">
        <v>193</v>
      </c>
      <c r="U166" s="137" t="s">
        <v>193</v>
      </c>
      <c r="V166" s="137" t="s">
        <v>193</v>
      </c>
      <c r="W166" s="137" t="s">
        <v>193</v>
      </c>
      <c r="X166" s="137" t="s">
        <v>193</v>
      </c>
      <c r="Y166" s="137" t="s">
        <v>193</v>
      </c>
      <c r="Z166" s="137" t="s">
        <v>193</v>
      </c>
      <c r="AA166" s="137" t="s">
        <v>193</v>
      </c>
      <c r="AB166" s="137" t="s">
        <v>193</v>
      </c>
      <c r="AC166" s="137" t="s">
        <v>193</v>
      </c>
      <c r="AD166" s="137" t="s">
        <v>193</v>
      </c>
      <c r="AE166" s="137" t="s">
        <v>193</v>
      </c>
      <c r="AF166" s="137">
        <v>103.191</v>
      </c>
      <c r="AG166" s="137" t="s">
        <v>193</v>
      </c>
      <c r="AH166" s="137" t="s">
        <v>199</v>
      </c>
      <c r="AI166" s="137" t="s">
        <v>193</v>
      </c>
      <c r="AJ166" s="137" t="s">
        <v>193</v>
      </c>
      <c r="AK166" s="137">
        <v>6.4450000000000003</v>
      </c>
      <c r="AL166" s="137" t="s">
        <v>193</v>
      </c>
      <c r="AM166" s="137">
        <v>100</v>
      </c>
      <c r="AN166" s="137" t="s">
        <v>193</v>
      </c>
      <c r="AO166" s="137" t="s">
        <v>193</v>
      </c>
      <c r="AQ166" s="12">
        <f t="shared" si="19"/>
        <v>103.191</v>
      </c>
      <c r="AR166" s="12">
        <f t="shared" si="17"/>
        <v>109.636</v>
      </c>
      <c r="AT166" s="12">
        <f t="shared" si="20"/>
        <v>103.191</v>
      </c>
      <c r="AU166" s="12">
        <f t="shared" si="21"/>
        <v>22.69</v>
      </c>
      <c r="AV166" s="13">
        <f t="shared" si="22"/>
        <v>1.1481721332409063</v>
      </c>
      <c r="AY166" s="12">
        <f t="shared" si="23"/>
        <v>6.4450000000000003</v>
      </c>
      <c r="AZ166" s="12">
        <f t="shared" si="24"/>
        <v>0</v>
      </c>
      <c r="BA166" s="12">
        <f t="shared" si="24"/>
        <v>6.4450000000000003</v>
      </c>
      <c r="BB166" s="12">
        <f t="shared" si="24"/>
        <v>0</v>
      </c>
      <c r="BC166" s="12">
        <f t="shared" si="18"/>
        <v>0</v>
      </c>
      <c r="BD166" s="12">
        <f t="shared" si="25"/>
        <v>0</v>
      </c>
    </row>
    <row r="167" spans="1:56" ht="15" customHeight="1" x14ac:dyDescent="0.25">
      <c r="A167" s="137" t="s">
        <v>424</v>
      </c>
      <c r="B167" s="137" t="s">
        <v>425</v>
      </c>
      <c r="C167" s="137">
        <v>2018</v>
      </c>
      <c r="D167" s="137" t="s">
        <v>193</v>
      </c>
      <c r="E167" s="137" t="s">
        <v>193</v>
      </c>
      <c r="F167" s="137" t="s">
        <v>193</v>
      </c>
      <c r="G167" s="137" t="s">
        <v>193</v>
      </c>
      <c r="H167" s="137" t="s">
        <v>193</v>
      </c>
      <c r="I167" s="137" t="s">
        <v>193</v>
      </c>
      <c r="J167" s="137" t="s">
        <v>193</v>
      </c>
      <c r="K167" s="137" t="s">
        <v>193</v>
      </c>
      <c r="L167" s="137" t="s">
        <v>193</v>
      </c>
      <c r="M167" s="137" t="s">
        <v>193</v>
      </c>
      <c r="N167" s="137" t="s">
        <v>193</v>
      </c>
      <c r="O167" s="137" t="s">
        <v>193</v>
      </c>
      <c r="P167" s="137" t="s">
        <v>193</v>
      </c>
      <c r="Q167" s="137" t="s">
        <v>193</v>
      </c>
      <c r="R167" s="137" t="s">
        <v>193</v>
      </c>
      <c r="S167" s="137" t="s">
        <v>193</v>
      </c>
      <c r="T167" s="137" t="s">
        <v>193</v>
      </c>
      <c r="U167" s="137" t="s">
        <v>193</v>
      </c>
      <c r="V167" s="137" t="s">
        <v>193</v>
      </c>
      <c r="W167" s="137" t="s">
        <v>193</v>
      </c>
      <c r="X167" s="137" t="s">
        <v>193</v>
      </c>
      <c r="Y167" s="137" t="s">
        <v>193</v>
      </c>
      <c r="Z167" s="137" t="s">
        <v>193</v>
      </c>
      <c r="AA167" s="137" t="s">
        <v>193</v>
      </c>
      <c r="AB167" s="137" t="s">
        <v>193</v>
      </c>
      <c r="AC167" s="137" t="s">
        <v>193</v>
      </c>
      <c r="AD167" s="137" t="s">
        <v>193</v>
      </c>
      <c r="AE167" s="137" t="s">
        <v>193</v>
      </c>
      <c r="AF167" s="137" t="s">
        <v>193</v>
      </c>
      <c r="AG167" s="137" t="s">
        <v>193</v>
      </c>
      <c r="AH167" s="137" t="s">
        <v>199</v>
      </c>
      <c r="AI167" s="137" t="s">
        <v>193</v>
      </c>
      <c r="AJ167" s="137" t="s">
        <v>193</v>
      </c>
      <c r="AK167" s="137" t="s">
        <v>193</v>
      </c>
      <c r="AL167" s="137" t="s">
        <v>193</v>
      </c>
      <c r="AM167" s="137" t="s">
        <v>193</v>
      </c>
      <c r="AN167" s="137" t="s">
        <v>193</v>
      </c>
      <c r="AO167" s="137" t="s">
        <v>193</v>
      </c>
      <c r="AQ167" s="12">
        <f t="shared" si="19"/>
        <v>0</v>
      </c>
      <c r="AR167" s="12">
        <f t="shared" si="17"/>
        <v>0</v>
      </c>
      <c r="AT167" s="12">
        <f t="shared" si="20"/>
        <v>0</v>
      </c>
      <c r="AU167" s="12">
        <f t="shared" si="21"/>
        <v>0</v>
      </c>
      <c r="AV167" s="13" t="str">
        <f t="shared" si="22"/>
        <v/>
      </c>
      <c r="AY167" s="12">
        <f t="shared" si="23"/>
        <v>0</v>
      </c>
      <c r="AZ167" s="12">
        <f t="shared" si="24"/>
        <v>0</v>
      </c>
      <c r="BA167" s="12">
        <f t="shared" si="24"/>
        <v>0</v>
      </c>
      <c r="BB167" s="12">
        <f t="shared" si="24"/>
        <v>0</v>
      </c>
      <c r="BC167" s="12">
        <f t="shared" si="18"/>
        <v>0</v>
      </c>
      <c r="BD167" s="12">
        <f t="shared" si="25"/>
        <v>0</v>
      </c>
    </row>
    <row r="168" spans="1:56" ht="15" customHeight="1" x14ac:dyDescent="0.25">
      <c r="A168" s="137" t="s">
        <v>426</v>
      </c>
      <c r="B168" s="137" t="s">
        <v>427</v>
      </c>
      <c r="C168" s="137">
        <v>2018</v>
      </c>
      <c r="D168" s="137" t="s">
        <v>193</v>
      </c>
      <c r="E168" s="137" t="s">
        <v>193</v>
      </c>
      <c r="F168" s="137" t="s">
        <v>193</v>
      </c>
      <c r="G168" s="137" t="s">
        <v>193</v>
      </c>
      <c r="H168" s="137" t="s">
        <v>193</v>
      </c>
      <c r="I168" s="137" t="s">
        <v>193</v>
      </c>
      <c r="J168" s="137" t="s">
        <v>193</v>
      </c>
      <c r="K168" s="137" t="s">
        <v>193</v>
      </c>
      <c r="L168" s="137" t="s">
        <v>193</v>
      </c>
      <c r="M168" s="137" t="s">
        <v>193</v>
      </c>
      <c r="N168" s="137" t="s">
        <v>193</v>
      </c>
      <c r="O168" s="137" t="s">
        <v>193</v>
      </c>
      <c r="P168" s="137" t="s">
        <v>193</v>
      </c>
      <c r="Q168" s="137" t="s">
        <v>193</v>
      </c>
      <c r="R168" s="137" t="s">
        <v>193</v>
      </c>
      <c r="S168" s="137" t="s">
        <v>193</v>
      </c>
      <c r="T168" s="137" t="s">
        <v>193</v>
      </c>
      <c r="U168" s="137" t="s">
        <v>193</v>
      </c>
      <c r="V168" s="137" t="s">
        <v>193</v>
      </c>
      <c r="W168" s="137" t="s">
        <v>193</v>
      </c>
      <c r="X168" s="137" t="s">
        <v>193</v>
      </c>
      <c r="Y168" s="137" t="s">
        <v>193</v>
      </c>
      <c r="Z168" s="137" t="s">
        <v>193</v>
      </c>
      <c r="AA168" s="137" t="s">
        <v>193</v>
      </c>
      <c r="AB168" s="137" t="s">
        <v>193</v>
      </c>
      <c r="AC168" s="137" t="s">
        <v>193</v>
      </c>
      <c r="AD168" s="137" t="s">
        <v>193</v>
      </c>
      <c r="AE168" s="137" t="s">
        <v>193</v>
      </c>
      <c r="AF168" s="137" t="s">
        <v>193</v>
      </c>
      <c r="AG168" s="137" t="s">
        <v>193</v>
      </c>
      <c r="AH168" s="137" t="s">
        <v>53</v>
      </c>
      <c r="AI168" s="137" t="s">
        <v>193</v>
      </c>
      <c r="AJ168" s="137" t="s">
        <v>193</v>
      </c>
      <c r="AK168" s="137" t="s">
        <v>193</v>
      </c>
      <c r="AL168" s="137" t="s">
        <v>193</v>
      </c>
      <c r="AM168" s="137" t="s">
        <v>193</v>
      </c>
      <c r="AN168" s="137" t="s">
        <v>193</v>
      </c>
      <c r="AO168" s="137" t="s">
        <v>193</v>
      </c>
      <c r="AQ168" s="12">
        <f t="shared" si="19"/>
        <v>0</v>
      </c>
      <c r="AR168" s="12">
        <f t="shared" si="17"/>
        <v>0</v>
      </c>
      <c r="AT168" s="12">
        <f t="shared" si="20"/>
        <v>0</v>
      </c>
      <c r="AU168" s="12">
        <f t="shared" si="21"/>
        <v>0</v>
      </c>
      <c r="AV168" s="13" t="str">
        <f t="shared" si="22"/>
        <v/>
      </c>
      <c r="AY168" s="12">
        <f t="shared" si="23"/>
        <v>0</v>
      </c>
      <c r="AZ168" s="12">
        <f t="shared" si="24"/>
        <v>0</v>
      </c>
      <c r="BA168" s="12">
        <f t="shared" si="24"/>
        <v>0</v>
      </c>
      <c r="BB168" s="12">
        <f t="shared" si="24"/>
        <v>0</v>
      </c>
      <c r="BC168" s="12">
        <f t="shared" si="18"/>
        <v>0</v>
      </c>
      <c r="BD168" s="12">
        <f t="shared" si="25"/>
        <v>0</v>
      </c>
    </row>
    <row r="169" spans="1:56" ht="15" customHeight="1" x14ac:dyDescent="0.25">
      <c r="A169" s="137" t="s">
        <v>426</v>
      </c>
      <c r="B169" s="137" t="s">
        <v>428</v>
      </c>
      <c r="C169" s="137">
        <v>2018</v>
      </c>
      <c r="D169" s="137" t="s">
        <v>193</v>
      </c>
      <c r="E169" s="137" t="s">
        <v>193</v>
      </c>
      <c r="F169" s="137" t="s">
        <v>193</v>
      </c>
      <c r="G169" s="137" t="s">
        <v>193</v>
      </c>
      <c r="H169" s="137" t="s">
        <v>193</v>
      </c>
      <c r="I169" s="137" t="s">
        <v>193</v>
      </c>
      <c r="J169" s="137" t="s">
        <v>193</v>
      </c>
      <c r="K169" s="137" t="s">
        <v>193</v>
      </c>
      <c r="L169" s="137" t="s">
        <v>193</v>
      </c>
      <c r="M169" s="137" t="s">
        <v>193</v>
      </c>
      <c r="N169" s="137" t="s">
        <v>193</v>
      </c>
      <c r="O169" s="137" t="s">
        <v>193</v>
      </c>
      <c r="P169" s="137" t="s">
        <v>193</v>
      </c>
      <c r="Q169" s="137" t="s">
        <v>193</v>
      </c>
      <c r="R169" s="137" t="s">
        <v>193</v>
      </c>
      <c r="S169" s="137" t="s">
        <v>193</v>
      </c>
      <c r="T169" s="137" t="s">
        <v>193</v>
      </c>
      <c r="U169" s="137" t="s">
        <v>193</v>
      </c>
      <c r="V169" s="137" t="s">
        <v>193</v>
      </c>
      <c r="W169" s="137" t="s">
        <v>193</v>
      </c>
      <c r="X169" s="137" t="s">
        <v>193</v>
      </c>
      <c r="Y169" s="137" t="s">
        <v>193</v>
      </c>
      <c r="Z169" s="137" t="s">
        <v>193</v>
      </c>
      <c r="AA169" s="137" t="s">
        <v>193</v>
      </c>
      <c r="AB169" s="137" t="s">
        <v>193</v>
      </c>
      <c r="AC169" s="137" t="s">
        <v>193</v>
      </c>
      <c r="AD169" s="137" t="s">
        <v>193</v>
      </c>
      <c r="AE169" s="137" t="s">
        <v>193</v>
      </c>
      <c r="AF169" s="137" t="s">
        <v>193</v>
      </c>
      <c r="AG169" s="137" t="s">
        <v>193</v>
      </c>
      <c r="AH169" s="137" t="s">
        <v>53</v>
      </c>
      <c r="AI169" s="137" t="s">
        <v>193</v>
      </c>
      <c r="AJ169" s="137" t="s">
        <v>193</v>
      </c>
      <c r="AK169" s="137" t="s">
        <v>193</v>
      </c>
      <c r="AL169" s="137" t="s">
        <v>193</v>
      </c>
      <c r="AM169" s="137" t="s">
        <v>193</v>
      </c>
      <c r="AN169" s="137" t="s">
        <v>193</v>
      </c>
      <c r="AO169" s="137" t="s">
        <v>193</v>
      </c>
      <c r="AQ169" s="12">
        <f t="shared" si="19"/>
        <v>0</v>
      </c>
      <c r="AR169" s="12">
        <f t="shared" si="17"/>
        <v>0</v>
      </c>
      <c r="AT169" s="12">
        <f t="shared" si="20"/>
        <v>0</v>
      </c>
      <c r="AU169" s="12">
        <f t="shared" si="21"/>
        <v>0</v>
      </c>
      <c r="AV169" s="13" t="str">
        <f t="shared" si="22"/>
        <v/>
      </c>
      <c r="AY169" s="12">
        <f t="shared" si="23"/>
        <v>0</v>
      </c>
      <c r="AZ169" s="12">
        <f t="shared" si="24"/>
        <v>0</v>
      </c>
      <c r="BA169" s="12">
        <f t="shared" si="24"/>
        <v>0</v>
      </c>
      <c r="BB169" s="12">
        <f t="shared" si="24"/>
        <v>0</v>
      </c>
      <c r="BC169" s="12">
        <f t="shared" si="18"/>
        <v>0</v>
      </c>
      <c r="BD169" s="12">
        <f t="shared" si="25"/>
        <v>0</v>
      </c>
    </row>
    <row r="170" spans="1:56" ht="15" customHeight="1" x14ac:dyDescent="0.25">
      <c r="A170" s="137" t="s">
        <v>426</v>
      </c>
      <c r="B170" s="137" t="s">
        <v>429</v>
      </c>
      <c r="C170" s="137">
        <v>2018</v>
      </c>
      <c r="D170" s="137" t="s">
        <v>193</v>
      </c>
      <c r="E170" s="137" t="s">
        <v>193</v>
      </c>
      <c r="F170" s="137" t="s">
        <v>193</v>
      </c>
      <c r="G170" s="137" t="s">
        <v>193</v>
      </c>
      <c r="H170" s="137" t="s">
        <v>193</v>
      </c>
      <c r="I170" s="137" t="s">
        <v>193</v>
      </c>
      <c r="J170" s="137" t="s">
        <v>193</v>
      </c>
      <c r="K170" s="137" t="s">
        <v>193</v>
      </c>
      <c r="L170" s="137" t="s">
        <v>193</v>
      </c>
      <c r="M170" s="137" t="s">
        <v>193</v>
      </c>
      <c r="N170" s="137" t="s">
        <v>193</v>
      </c>
      <c r="O170" s="137" t="s">
        <v>193</v>
      </c>
      <c r="P170" s="137" t="s">
        <v>193</v>
      </c>
      <c r="Q170" s="137" t="s">
        <v>193</v>
      </c>
      <c r="R170" s="137" t="s">
        <v>193</v>
      </c>
      <c r="S170" s="137" t="s">
        <v>193</v>
      </c>
      <c r="T170" s="137" t="s">
        <v>193</v>
      </c>
      <c r="U170" s="137" t="s">
        <v>193</v>
      </c>
      <c r="V170" s="137" t="s">
        <v>193</v>
      </c>
      <c r="W170" s="137" t="s">
        <v>193</v>
      </c>
      <c r="X170" s="137" t="s">
        <v>193</v>
      </c>
      <c r="Y170" s="137" t="s">
        <v>193</v>
      </c>
      <c r="Z170" s="137" t="s">
        <v>193</v>
      </c>
      <c r="AA170" s="137" t="s">
        <v>193</v>
      </c>
      <c r="AB170" s="137" t="s">
        <v>193</v>
      </c>
      <c r="AC170" s="137" t="s">
        <v>193</v>
      </c>
      <c r="AD170" s="137" t="s">
        <v>193</v>
      </c>
      <c r="AE170" s="137" t="s">
        <v>193</v>
      </c>
      <c r="AF170" s="137" t="s">
        <v>193</v>
      </c>
      <c r="AG170" s="137" t="s">
        <v>193</v>
      </c>
      <c r="AH170" s="137" t="s">
        <v>53</v>
      </c>
      <c r="AI170" s="137" t="s">
        <v>193</v>
      </c>
      <c r="AJ170" s="137" t="s">
        <v>193</v>
      </c>
      <c r="AK170" s="137" t="s">
        <v>193</v>
      </c>
      <c r="AL170" s="137" t="s">
        <v>193</v>
      </c>
      <c r="AM170" s="137" t="s">
        <v>193</v>
      </c>
      <c r="AN170" s="137" t="s">
        <v>193</v>
      </c>
      <c r="AO170" s="137" t="s">
        <v>193</v>
      </c>
      <c r="AQ170" s="12">
        <f t="shared" si="19"/>
        <v>0</v>
      </c>
      <c r="AR170" s="12">
        <f t="shared" si="17"/>
        <v>0</v>
      </c>
      <c r="AT170" s="12">
        <f t="shared" si="20"/>
        <v>0</v>
      </c>
      <c r="AU170" s="12">
        <f t="shared" si="21"/>
        <v>0</v>
      </c>
      <c r="AV170" s="13" t="str">
        <f t="shared" si="22"/>
        <v/>
      </c>
      <c r="AY170" s="12">
        <f t="shared" si="23"/>
        <v>0</v>
      </c>
      <c r="AZ170" s="12">
        <f t="shared" si="24"/>
        <v>0</v>
      </c>
      <c r="BA170" s="12">
        <f t="shared" si="24"/>
        <v>0</v>
      </c>
      <c r="BB170" s="12">
        <f t="shared" si="24"/>
        <v>0</v>
      </c>
      <c r="BC170" s="12">
        <f t="shared" si="18"/>
        <v>0</v>
      </c>
      <c r="BD170" s="12">
        <f t="shared" si="25"/>
        <v>0</v>
      </c>
    </row>
    <row r="171" spans="1:56" ht="15" customHeight="1" x14ac:dyDescent="0.25">
      <c r="A171" s="137" t="s">
        <v>426</v>
      </c>
      <c r="B171" s="137" t="s">
        <v>430</v>
      </c>
      <c r="C171" s="137">
        <v>2018</v>
      </c>
      <c r="D171" s="137" t="s">
        <v>193</v>
      </c>
      <c r="E171" s="137" t="s">
        <v>193</v>
      </c>
      <c r="F171" s="137" t="s">
        <v>193</v>
      </c>
      <c r="G171" s="137" t="s">
        <v>193</v>
      </c>
      <c r="H171" s="137" t="s">
        <v>193</v>
      </c>
      <c r="I171" s="137" t="s">
        <v>193</v>
      </c>
      <c r="J171" s="137" t="s">
        <v>193</v>
      </c>
      <c r="K171" s="137" t="s">
        <v>193</v>
      </c>
      <c r="L171" s="137" t="s">
        <v>193</v>
      </c>
      <c r="M171" s="137" t="s">
        <v>193</v>
      </c>
      <c r="N171" s="137" t="s">
        <v>193</v>
      </c>
      <c r="O171" s="137" t="s">
        <v>193</v>
      </c>
      <c r="P171" s="137" t="s">
        <v>193</v>
      </c>
      <c r="Q171" s="137" t="s">
        <v>193</v>
      </c>
      <c r="R171" s="137" t="s">
        <v>193</v>
      </c>
      <c r="S171" s="137" t="s">
        <v>193</v>
      </c>
      <c r="T171" s="137" t="s">
        <v>193</v>
      </c>
      <c r="U171" s="137" t="s">
        <v>193</v>
      </c>
      <c r="V171" s="137" t="s">
        <v>193</v>
      </c>
      <c r="W171" s="137" t="s">
        <v>193</v>
      </c>
      <c r="X171" s="137" t="s">
        <v>193</v>
      </c>
      <c r="Y171" s="137" t="s">
        <v>193</v>
      </c>
      <c r="Z171" s="137" t="s">
        <v>193</v>
      </c>
      <c r="AA171" s="137" t="s">
        <v>193</v>
      </c>
      <c r="AB171" s="137" t="s">
        <v>193</v>
      </c>
      <c r="AC171" s="137" t="s">
        <v>193</v>
      </c>
      <c r="AD171" s="137" t="s">
        <v>193</v>
      </c>
      <c r="AE171" s="137" t="s">
        <v>193</v>
      </c>
      <c r="AF171" s="137" t="s">
        <v>193</v>
      </c>
      <c r="AG171" s="137" t="s">
        <v>193</v>
      </c>
      <c r="AH171" s="137" t="s">
        <v>53</v>
      </c>
      <c r="AI171" s="137" t="s">
        <v>193</v>
      </c>
      <c r="AJ171" s="137" t="s">
        <v>193</v>
      </c>
      <c r="AK171" s="137" t="s">
        <v>193</v>
      </c>
      <c r="AL171" s="137" t="s">
        <v>193</v>
      </c>
      <c r="AM171" s="137" t="s">
        <v>193</v>
      </c>
      <c r="AN171" s="137" t="s">
        <v>193</v>
      </c>
      <c r="AO171" s="137" t="s">
        <v>193</v>
      </c>
      <c r="AQ171" s="12">
        <f t="shared" si="19"/>
        <v>0</v>
      </c>
      <c r="AR171" s="12">
        <f t="shared" si="17"/>
        <v>0</v>
      </c>
      <c r="AT171" s="12">
        <f t="shared" si="20"/>
        <v>0</v>
      </c>
      <c r="AU171" s="12">
        <f t="shared" si="21"/>
        <v>0</v>
      </c>
      <c r="AV171" s="13" t="str">
        <f t="shared" si="22"/>
        <v/>
      </c>
      <c r="AY171" s="12">
        <f t="shared" si="23"/>
        <v>0</v>
      </c>
      <c r="AZ171" s="12">
        <f t="shared" si="24"/>
        <v>0</v>
      </c>
      <c r="BA171" s="12">
        <f t="shared" si="24"/>
        <v>0</v>
      </c>
      <c r="BB171" s="12">
        <f t="shared" si="24"/>
        <v>0</v>
      </c>
      <c r="BC171" s="12">
        <f t="shared" si="18"/>
        <v>0</v>
      </c>
      <c r="BD171" s="12">
        <f t="shared" si="25"/>
        <v>0</v>
      </c>
    </row>
    <row r="172" spans="1:56" ht="15" customHeight="1" x14ac:dyDescent="0.25">
      <c r="A172" s="137" t="s">
        <v>426</v>
      </c>
      <c r="B172" s="137" t="s">
        <v>431</v>
      </c>
      <c r="C172" s="137">
        <v>2018</v>
      </c>
      <c r="D172" s="137" t="s">
        <v>193</v>
      </c>
      <c r="E172" s="137" t="s">
        <v>193</v>
      </c>
      <c r="F172" s="137" t="s">
        <v>193</v>
      </c>
      <c r="G172" s="137" t="s">
        <v>193</v>
      </c>
      <c r="H172" s="137" t="s">
        <v>193</v>
      </c>
      <c r="I172" s="137" t="s">
        <v>193</v>
      </c>
      <c r="J172" s="137" t="s">
        <v>193</v>
      </c>
      <c r="K172" s="137" t="s">
        <v>193</v>
      </c>
      <c r="L172" s="137" t="s">
        <v>193</v>
      </c>
      <c r="M172" s="137" t="s">
        <v>193</v>
      </c>
      <c r="N172" s="137" t="s">
        <v>193</v>
      </c>
      <c r="O172" s="137" t="s">
        <v>193</v>
      </c>
      <c r="P172" s="137" t="s">
        <v>193</v>
      </c>
      <c r="Q172" s="137" t="s">
        <v>193</v>
      </c>
      <c r="R172" s="137" t="s">
        <v>193</v>
      </c>
      <c r="S172" s="137" t="s">
        <v>193</v>
      </c>
      <c r="T172" s="137" t="s">
        <v>193</v>
      </c>
      <c r="U172" s="137" t="s">
        <v>193</v>
      </c>
      <c r="V172" s="137" t="s">
        <v>193</v>
      </c>
      <c r="W172" s="137" t="s">
        <v>193</v>
      </c>
      <c r="X172" s="137" t="s">
        <v>193</v>
      </c>
      <c r="Y172" s="137" t="s">
        <v>193</v>
      </c>
      <c r="Z172" s="137" t="s">
        <v>193</v>
      </c>
      <c r="AA172" s="137" t="s">
        <v>193</v>
      </c>
      <c r="AB172" s="137" t="s">
        <v>193</v>
      </c>
      <c r="AC172" s="137" t="s">
        <v>193</v>
      </c>
      <c r="AD172" s="137" t="s">
        <v>193</v>
      </c>
      <c r="AE172" s="137" t="s">
        <v>193</v>
      </c>
      <c r="AF172" s="137" t="s">
        <v>193</v>
      </c>
      <c r="AG172" s="137" t="s">
        <v>193</v>
      </c>
      <c r="AH172" s="137" t="s">
        <v>53</v>
      </c>
      <c r="AI172" s="137" t="s">
        <v>193</v>
      </c>
      <c r="AJ172" s="137" t="s">
        <v>193</v>
      </c>
      <c r="AK172" s="137" t="s">
        <v>193</v>
      </c>
      <c r="AL172" s="137" t="s">
        <v>193</v>
      </c>
      <c r="AM172" s="137" t="s">
        <v>193</v>
      </c>
      <c r="AN172" s="137" t="s">
        <v>193</v>
      </c>
      <c r="AO172" s="137" t="s">
        <v>193</v>
      </c>
      <c r="AQ172" s="12">
        <f t="shared" si="19"/>
        <v>0</v>
      </c>
      <c r="AR172" s="12">
        <f t="shared" si="17"/>
        <v>0</v>
      </c>
      <c r="AT172" s="12">
        <f t="shared" si="20"/>
        <v>0</v>
      </c>
      <c r="AU172" s="12">
        <f t="shared" si="21"/>
        <v>0</v>
      </c>
      <c r="AV172" s="13" t="str">
        <f t="shared" si="22"/>
        <v/>
      </c>
      <c r="AY172" s="12">
        <f t="shared" si="23"/>
        <v>0</v>
      </c>
      <c r="AZ172" s="12">
        <f t="shared" si="24"/>
        <v>0</v>
      </c>
      <c r="BA172" s="12">
        <f t="shared" si="24"/>
        <v>0</v>
      </c>
      <c r="BB172" s="12">
        <f t="shared" si="24"/>
        <v>0</v>
      </c>
      <c r="BC172" s="12">
        <f t="shared" si="18"/>
        <v>0</v>
      </c>
      <c r="BD172" s="12">
        <f t="shared" si="25"/>
        <v>0</v>
      </c>
    </row>
    <row r="173" spans="1:56" ht="15" customHeight="1" x14ac:dyDescent="0.25">
      <c r="A173" s="137" t="s">
        <v>432</v>
      </c>
      <c r="B173" s="137" t="s">
        <v>433</v>
      </c>
      <c r="C173" s="137">
        <v>2018</v>
      </c>
      <c r="D173" s="137">
        <v>189</v>
      </c>
      <c r="E173" s="137">
        <v>20.32</v>
      </c>
      <c r="F173" s="137" t="s">
        <v>193</v>
      </c>
      <c r="G173" s="137" t="s">
        <v>193</v>
      </c>
      <c r="H173" s="137" t="s">
        <v>193</v>
      </c>
      <c r="I173" s="137">
        <v>214.35</v>
      </c>
      <c r="J173" s="137" t="s">
        <v>193</v>
      </c>
      <c r="K173" s="137">
        <v>0</v>
      </c>
      <c r="L173" s="137" t="s">
        <v>193</v>
      </c>
      <c r="M173" s="137" t="s">
        <v>193</v>
      </c>
      <c r="N173" s="137" t="s">
        <v>193</v>
      </c>
      <c r="O173" s="137" t="s">
        <v>193</v>
      </c>
      <c r="P173" s="137" t="s">
        <v>193</v>
      </c>
      <c r="Q173" s="137">
        <v>33.71</v>
      </c>
      <c r="R173" s="137" t="s">
        <v>193</v>
      </c>
      <c r="S173" s="137" t="s">
        <v>193</v>
      </c>
      <c r="T173" s="137" t="s">
        <v>193</v>
      </c>
      <c r="U173" s="137" t="s">
        <v>193</v>
      </c>
      <c r="V173" s="137" t="s">
        <v>193</v>
      </c>
      <c r="W173" s="137" t="s">
        <v>194</v>
      </c>
      <c r="X173" s="137" t="s">
        <v>193</v>
      </c>
      <c r="Y173" s="137" t="s">
        <v>193</v>
      </c>
      <c r="Z173" s="137" t="s">
        <v>193</v>
      </c>
      <c r="AA173" s="137">
        <v>24.4</v>
      </c>
      <c r="AB173" s="137" t="s">
        <v>193</v>
      </c>
      <c r="AC173" s="137" t="s">
        <v>193</v>
      </c>
      <c r="AD173" s="137" t="s">
        <v>193</v>
      </c>
      <c r="AE173" s="137">
        <v>5.24</v>
      </c>
      <c r="AF173" s="137">
        <v>151</v>
      </c>
      <c r="AG173" s="137">
        <v>0.15</v>
      </c>
      <c r="AH173" s="137" t="s">
        <v>195</v>
      </c>
      <c r="AI173" s="137">
        <v>40.5</v>
      </c>
      <c r="AJ173" s="137" t="s">
        <v>193</v>
      </c>
      <c r="AK173" s="137" t="s">
        <v>193</v>
      </c>
      <c r="AL173" s="137" t="s">
        <v>193</v>
      </c>
      <c r="AM173" s="137" t="s">
        <v>193</v>
      </c>
      <c r="AN173" s="137" t="s">
        <v>193</v>
      </c>
      <c r="AO173" s="137" t="s">
        <v>193</v>
      </c>
      <c r="AQ173" s="12">
        <f t="shared" si="19"/>
        <v>214.35</v>
      </c>
      <c r="AR173" s="12">
        <f t="shared" si="17"/>
        <v>214.35</v>
      </c>
      <c r="AT173" s="12">
        <f t="shared" si="20"/>
        <v>189</v>
      </c>
      <c r="AU173" s="12">
        <f t="shared" si="21"/>
        <v>20.32</v>
      </c>
      <c r="AV173" s="13">
        <f t="shared" si="22"/>
        <v>0.97653370655470029</v>
      </c>
      <c r="AY173" s="12">
        <f t="shared" si="23"/>
        <v>0</v>
      </c>
      <c r="AZ173" s="12">
        <f t="shared" si="24"/>
        <v>0</v>
      </c>
      <c r="BA173" s="12">
        <f t="shared" si="24"/>
        <v>0</v>
      </c>
      <c r="BB173" s="12">
        <f t="shared" si="24"/>
        <v>0</v>
      </c>
      <c r="BC173" s="12">
        <f t="shared" si="18"/>
        <v>0</v>
      </c>
      <c r="BD173" s="12">
        <f t="shared" si="25"/>
        <v>0</v>
      </c>
    </row>
    <row r="174" spans="1:56" ht="15" customHeight="1" x14ac:dyDescent="0.25">
      <c r="A174" s="137" t="s">
        <v>434</v>
      </c>
      <c r="B174" s="137" t="s">
        <v>435</v>
      </c>
      <c r="C174" s="137">
        <v>2018</v>
      </c>
      <c r="D174" s="137" t="s">
        <v>193</v>
      </c>
      <c r="E174" s="137" t="s">
        <v>193</v>
      </c>
      <c r="F174" s="137" t="s">
        <v>193</v>
      </c>
      <c r="G174" s="137" t="s">
        <v>193</v>
      </c>
      <c r="H174" s="137" t="s">
        <v>193</v>
      </c>
      <c r="I174" s="137" t="s">
        <v>193</v>
      </c>
      <c r="J174" s="137" t="s">
        <v>193</v>
      </c>
      <c r="K174" s="137" t="s">
        <v>193</v>
      </c>
      <c r="L174" s="137" t="s">
        <v>193</v>
      </c>
      <c r="M174" s="137" t="s">
        <v>193</v>
      </c>
      <c r="N174" s="137" t="s">
        <v>193</v>
      </c>
      <c r="O174" s="137" t="s">
        <v>193</v>
      </c>
      <c r="P174" s="137" t="s">
        <v>193</v>
      </c>
      <c r="Q174" s="137" t="s">
        <v>193</v>
      </c>
      <c r="R174" s="137" t="s">
        <v>193</v>
      </c>
      <c r="S174" s="137" t="s">
        <v>193</v>
      </c>
      <c r="T174" s="137" t="s">
        <v>193</v>
      </c>
      <c r="U174" s="137" t="s">
        <v>193</v>
      </c>
      <c r="V174" s="137" t="s">
        <v>193</v>
      </c>
      <c r="W174" s="137" t="s">
        <v>193</v>
      </c>
      <c r="X174" s="137" t="s">
        <v>193</v>
      </c>
      <c r="Y174" s="137" t="s">
        <v>193</v>
      </c>
      <c r="Z174" s="137" t="s">
        <v>193</v>
      </c>
      <c r="AA174" s="137" t="s">
        <v>193</v>
      </c>
      <c r="AB174" s="137" t="s">
        <v>193</v>
      </c>
      <c r="AC174" s="137" t="s">
        <v>193</v>
      </c>
      <c r="AD174" s="137" t="s">
        <v>193</v>
      </c>
      <c r="AE174" s="137" t="s">
        <v>193</v>
      </c>
      <c r="AF174" s="137" t="s">
        <v>193</v>
      </c>
      <c r="AG174" s="137" t="s">
        <v>193</v>
      </c>
      <c r="AH174" s="137" t="s">
        <v>53</v>
      </c>
      <c r="AI174" s="137" t="s">
        <v>193</v>
      </c>
      <c r="AJ174" s="137" t="s">
        <v>193</v>
      </c>
      <c r="AK174" s="137" t="s">
        <v>193</v>
      </c>
      <c r="AL174" s="137" t="s">
        <v>193</v>
      </c>
      <c r="AM174" s="137" t="s">
        <v>193</v>
      </c>
      <c r="AN174" s="137" t="s">
        <v>193</v>
      </c>
      <c r="AO174" s="137" t="s">
        <v>193</v>
      </c>
      <c r="AQ174" s="12">
        <f t="shared" si="19"/>
        <v>0</v>
      </c>
      <c r="AR174" s="12">
        <f t="shared" si="17"/>
        <v>0</v>
      </c>
      <c r="AT174" s="12">
        <f t="shared" si="20"/>
        <v>0</v>
      </c>
      <c r="AU174" s="12">
        <f t="shared" si="21"/>
        <v>0</v>
      </c>
      <c r="AV174" s="13" t="str">
        <f t="shared" si="22"/>
        <v/>
      </c>
      <c r="AY174" s="12">
        <f t="shared" si="23"/>
        <v>0</v>
      </c>
      <c r="AZ174" s="12">
        <f t="shared" si="24"/>
        <v>0</v>
      </c>
      <c r="BA174" s="12">
        <f t="shared" si="24"/>
        <v>0</v>
      </c>
      <c r="BB174" s="12">
        <f t="shared" si="24"/>
        <v>0</v>
      </c>
      <c r="BC174" s="12">
        <f t="shared" si="18"/>
        <v>0</v>
      </c>
      <c r="BD174" s="12">
        <f t="shared" si="25"/>
        <v>0</v>
      </c>
    </row>
    <row r="175" spans="1:56" ht="15" customHeight="1" x14ac:dyDescent="0.25">
      <c r="A175" s="137" t="s">
        <v>434</v>
      </c>
      <c r="B175" s="137" t="s">
        <v>436</v>
      </c>
      <c r="C175" s="137">
        <v>2018</v>
      </c>
      <c r="D175" s="137" t="s">
        <v>193</v>
      </c>
      <c r="E175" s="137" t="s">
        <v>193</v>
      </c>
      <c r="F175" s="137" t="s">
        <v>193</v>
      </c>
      <c r="G175" s="137" t="s">
        <v>193</v>
      </c>
      <c r="H175" s="137" t="s">
        <v>193</v>
      </c>
      <c r="I175" s="137" t="s">
        <v>193</v>
      </c>
      <c r="J175" s="137" t="s">
        <v>193</v>
      </c>
      <c r="K175" s="137" t="s">
        <v>193</v>
      </c>
      <c r="L175" s="137" t="s">
        <v>193</v>
      </c>
      <c r="M175" s="137" t="s">
        <v>193</v>
      </c>
      <c r="N175" s="137" t="s">
        <v>193</v>
      </c>
      <c r="O175" s="137" t="s">
        <v>193</v>
      </c>
      <c r="P175" s="137" t="s">
        <v>193</v>
      </c>
      <c r="Q175" s="137" t="s">
        <v>193</v>
      </c>
      <c r="R175" s="137" t="s">
        <v>193</v>
      </c>
      <c r="S175" s="137" t="s">
        <v>193</v>
      </c>
      <c r="T175" s="137" t="s">
        <v>193</v>
      </c>
      <c r="U175" s="137" t="s">
        <v>193</v>
      </c>
      <c r="V175" s="137" t="s">
        <v>193</v>
      </c>
      <c r="W175" s="137" t="s">
        <v>193</v>
      </c>
      <c r="X175" s="137" t="s">
        <v>193</v>
      </c>
      <c r="Y175" s="137" t="s">
        <v>193</v>
      </c>
      <c r="Z175" s="137" t="s">
        <v>193</v>
      </c>
      <c r="AA175" s="137" t="s">
        <v>193</v>
      </c>
      <c r="AB175" s="137" t="s">
        <v>193</v>
      </c>
      <c r="AC175" s="137" t="s">
        <v>193</v>
      </c>
      <c r="AD175" s="137" t="s">
        <v>193</v>
      </c>
      <c r="AE175" s="137" t="s">
        <v>193</v>
      </c>
      <c r="AF175" s="137" t="s">
        <v>193</v>
      </c>
      <c r="AG175" s="137" t="s">
        <v>193</v>
      </c>
      <c r="AH175" s="137" t="s">
        <v>53</v>
      </c>
      <c r="AI175" s="137" t="s">
        <v>193</v>
      </c>
      <c r="AJ175" s="137" t="s">
        <v>193</v>
      </c>
      <c r="AK175" s="137" t="s">
        <v>193</v>
      </c>
      <c r="AL175" s="137" t="s">
        <v>193</v>
      </c>
      <c r="AM175" s="137" t="s">
        <v>193</v>
      </c>
      <c r="AN175" s="137" t="s">
        <v>193</v>
      </c>
      <c r="AO175" s="137" t="s">
        <v>193</v>
      </c>
      <c r="AQ175" s="12">
        <f t="shared" si="19"/>
        <v>0</v>
      </c>
      <c r="AR175" s="12">
        <f t="shared" si="17"/>
        <v>0</v>
      </c>
      <c r="AT175" s="12">
        <f t="shared" si="20"/>
        <v>0</v>
      </c>
      <c r="AU175" s="12">
        <f t="shared" si="21"/>
        <v>0</v>
      </c>
      <c r="AV175" s="13" t="str">
        <f t="shared" si="22"/>
        <v/>
      </c>
      <c r="AY175" s="12">
        <f t="shared" si="23"/>
        <v>0</v>
      </c>
      <c r="AZ175" s="12">
        <f t="shared" si="24"/>
        <v>0</v>
      </c>
      <c r="BA175" s="12">
        <f t="shared" si="24"/>
        <v>0</v>
      </c>
      <c r="BB175" s="12">
        <f t="shared" si="24"/>
        <v>0</v>
      </c>
      <c r="BC175" s="12">
        <f t="shared" si="18"/>
        <v>0</v>
      </c>
      <c r="BD175" s="12">
        <f t="shared" si="25"/>
        <v>0</v>
      </c>
    </row>
    <row r="176" spans="1:56" ht="15" customHeight="1" x14ac:dyDescent="0.25">
      <c r="A176" s="137" t="s">
        <v>434</v>
      </c>
      <c r="B176" s="137" t="s">
        <v>437</v>
      </c>
      <c r="C176" s="137">
        <v>2018</v>
      </c>
      <c r="D176" s="137" t="s">
        <v>193</v>
      </c>
      <c r="E176" s="137" t="s">
        <v>193</v>
      </c>
      <c r="F176" s="137" t="s">
        <v>193</v>
      </c>
      <c r="G176" s="137" t="s">
        <v>193</v>
      </c>
      <c r="H176" s="137" t="s">
        <v>193</v>
      </c>
      <c r="I176" s="137" t="s">
        <v>193</v>
      </c>
      <c r="J176" s="137" t="s">
        <v>193</v>
      </c>
      <c r="K176" s="137" t="s">
        <v>193</v>
      </c>
      <c r="L176" s="137" t="s">
        <v>193</v>
      </c>
      <c r="M176" s="137" t="s">
        <v>193</v>
      </c>
      <c r="N176" s="137" t="s">
        <v>193</v>
      </c>
      <c r="O176" s="137" t="s">
        <v>193</v>
      </c>
      <c r="P176" s="137" t="s">
        <v>193</v>
      </c>
      <c r="Q176" s="137" t="s">
        <v>193</v>
      </c>
      <c r="R176" s="137" t="s">
        <v>193</v>
      </c>
      <c r="S176" s="137" t="s">
        <v>193</v>
      </c>
      <c r="T176" s="137" t="s">
        <v>193</v>
      </c>
      <c r="U176" s="137" t="s">
        <v>193</v>
      </c>
      <c r="V176" s="137" t="s">
        <v>193</v>
      </c>
      <c r="W176" s="137" t="s">
        <v>193</v>
      </c>
      <c r="X176" s="137" t="s">
        <v>193</v>
      </c>
      <c r="Y176" s="137" t="s">
        <v>193</v>
      </c>
      <c r="Z176" s="137" t="s">
        <v>193</v>
      </c>
      <c r="AA176" s="137" t="s">
        <v>193</v>
      </c>
      <c r="AB176" s="137" t="s">
        <v>193</v>
      </c>
      <c r="AC176" s="137" t="s">
        <v>193</v>
      </c>
      <c r="AD176" s="137" t="s">
        <v>193</v>
      </c>
      <c r="AE176" s="137" t="s">
        <v>193</v>
      </c>
      <c r="AF176" s="137" t="s">
        <v>193</v>
      </c>
      <c r="AG176" s="137" t="s">
        <v>193</v>
      </c>
      <c r="AH176" s="137" t="s">
        <v>53</v>
      </c>
      <c r="AI176" s="137" t="s">
        <v>193</v>
      </c>
      <c r="AJ176" s="137" t="s">
        <v>193</v>
      </c>
      <c r="AK176" s="137" t="s">
        <v>193</v>
      </c>
      <c r="AL176" s="137" t="s">
        <v>193</v>
      </c>
      <c r="AM176" s="137" t="s">
        <v>193</v>
      </c>
      <c r="AN176" s="137" t="s">
        <v>193</v>
      </c>
      <c r="AO176" s="137" t="s">
        <v>193</v>
      </c>
      <c r="AQ176" s="12">
        <f t="shared" si="19"/>
        <v>0</v>
      </c>
      <c r="AR176" s="12">
        <f t="shared" si="17"/>
        <v>0</v>
      </c>
      <c r="AT176" s="12">
        <f t="shared" si="20"/>
        <v>0</v>
      </c>
      <c r="AU176" s="12">
        <f t="shared" si="21"/>
        <v>0</v>
      </c>
      <c r="AV176" s="13" t="str">
        <f t="shared" si="22"/>
        <v/>
      </c>
      <c r="AY176" s="12">
        <f t="shared" si="23"/>
        <v>0</v>
      </c>
      <c r="AZ176" s="12">
        <f t="shared" si="24"/>
        <v>0</v>
      </c>
      <c r="BA176" s="12">
        <f t="shared" si="24"/>
        <v>0</v>
      </c>
      <c r="BB176" s="12">
        <f t="shared" si="24"/>
        <v>0</v>
      </c>
      <c r="BC176" s="12">
        <f t="shared" si="18"/>
        <v>0</v>
      </c>
      <c r="BD176" s="12">
        <f t="shared" si="25"/>
        <v>0</v>
      </c>
    </row>
    <row r="177" spans="1:56" ht="15" customHeight="1" x14ac:dyDescent="0.25">
      <c r="A177" s="137" t="s">
        <v>438</v>
      </c>
      <c r="B177" s="137" t="s">
        <v>439</v>
      </c>
      <c r="C177" s="137">
        <v>2018</v>
      </c>
      <c r="D177" s="137" t="s">
        <v>193</v>
      </c>
      <c r="E177" s="137" t="s">
        <v>193</v>
      </c>
      <c r="F177" s="137" t="s">
        <v>193</v>
      </c>
      <c r="G177" s="137" t="s">
        <v>193</v>
      </c>
      <c r="H177" s="137" t="s">
        <v>193</v>
      </c>
      <c r="I177" s="137" t="s">
        <v>193</v>
      </c>
      <c r="J177" s="137" t="s">
        <v>193</v>
      </c>
      <c r="K177" s="137" t="s">
        <v>193</v>
      </c>
      <c r="L177" s="137" t="s">
        <v>193</v>
      </c>
      <c r="M177" s="137" t="s">
        <v>193</v>
      </c>
      <c r="N177" s="137" t="s">
        <v>193</v>
      </c>
      <c r="O177" s="137" t="s">
        <v>193</v>
      </c>
      <c r="P177" s="137" t="s">
        <v>193</v>
      </c>
      <c r="Q177" s="137" t="s">
        <v>193</v>
      </c>
      <c r="R177" s="137" t="s">
        <v>193</v>
      </c>
      <c r="S177" s="137" t="s">
        <v>193</v>
      </c>
      <c r="T177" s="137" t="s">
        <v>193</v>
      </c>
      <c r="U177" s="137" t="s">
        <v>193</v>
      </c>
      <c r="V177" s="137" t="s">
        <v>193</v>
      </c>
      <c r="W177" s="137" t="s">
        <v>193</v>
      </c>
      <c r="X177" s="137" t="s">
        <v>193</v>
      </c>
      <c r="Y177" s="137" t="s">
        <v>193</v>
      </c>
      <c r="Z177" s="137" t="s">
        <v>193</v>
      </c>
      <c r="AA177" s="137" t="s">
        <v>193</v>
      </c>
      <c r="AB177" s="137" t="s">
        <v>193</v>
      </c>
      <c r="AC177" s="137" t="s">
        <v>193</v>
      </c>
      <c r="AD177" s="137" t="s">
        <v>193</v>
      </c>
      <c r="AE177" s="137" t="s">
        <v>193</v>
      </c>
      <c r="AF177" s="137" t="s">
        <v>193</v>
      </c>
      <c r="AG177" s="137" t="s">
        <v>193</v>
      </c>
      <c r="AH177" s="137" t="s">
        <v>53</v>
      </c>
      <c r="AI177" s="137" t="s">
        <v>193</v>
      </c>
      <c r="AJ177" s="137" t="s">
        <v>193</v>
      </c>
      <c r="AK177" s="137" t="s">
        <v>193</v>
      </c>
      <c r="AL177" s="137" t="s">
        <v>193</v>
      </c>
      <c r="AM177" s="137" t="s">
        <v>193</v>
      </c>
      <c r="AN177" s="137" t="s">
        <v>193</v>
      </c>
      <c r="AO177" s="137" t="s">
        <v>193</v>
      </c>
      <c r="AQ177" s="12">
        <f t="shared" si="19"/>
        <v>0</v>
      </c>
      <c r="AR177" s="12">
        <f t="shared" si="17"/>
        <v>0</v>
      </c>
      <c r="AT177" s="12">
        <f t="shared" si="20"/>
        <v>0</v>
      </c>
      <c r="AU177" s="12">
        <f t="shared" si="21"/>
        <v>0</v>
      </c>
      <c r="AV177" s="13" t="str">
        <f t="shared" si="22"/>
        <v/>
      </c>
      <c r="AY177" s="12">
        <f t="shared" si="23"/>
        <v>0</v>
      </c>
      <c r="AZ177" s="12">
        <f t="shared" si="24"/>
        <v>0</v>
      </c>
      <c r="BA177" s="12">
        <f t="shared" si="24"/>
        <v>0</v>
      </c>
      <c r="BB177" s="12">
        <f t="shared" si="24"/>
        <v>0</v>
      </c>
      <c r="BC177" s="12">
        <f t="shared" si="18"/>
        <v>0</v>
      </c>
      <c r="BD177" s="12">
        <f t="shared" si="25"/>
        <v>0</v>
      </c>
    </row>
    <row r="178" spans="1:56" ht="15" customHeight="1" x14ac:dyDescent="0.25">
      <c r="A178" s="137" t="s">
        <v>438</v>
      </c>
      <c r="B178" s="137" t="s">
        <v>440</v>
      </c>
      <c r="C178" s="137">
        <v>2018</v>
      </c>
      <c r="D178" s="137" t="s">
        <v>193</v>
      </c>
      <c r="E178" s="137" t="s">
        <v>193</v>
      </c>
      <c r="F178" s="137" t="s">
        <v>193</v>
      </c>
      <c r="G178" s="137" t="s">
        <v>193</v>
      </c>
      <c r="H178" s="137" t="s">
        <v>193</v>
      </c>
      <c r="I178" s="137" t="s">
        <v>193</v>
      </c>
      <c r="J178" s="137" t="s">
        <v>193</v>
      </c>
      <c r="K178" s="137" t="s">
        <v>193</v>
      </c>
      <c r="L178" s="137" t="s">
        <v>193</v>
      </c>
      <c r="M178" s="137" t="s">
        <v>193</v>
      </c>
      <c r="N178" s="137" t="s">
        <v>193</v>
      </c>
      <c r="O178" s="137" t="s">
        <v>193</v>
      </c>
      <c r="P178" s="137" t="s">
        <v>193</v>
      </c>
      <c r="Q178" s="137" t="s">
        <v>193</v>
      </c>
      <c r="R178" s="137" t="s">
        <v>193</v>
      </c>
      <c r="S178" s="137" t="s">
        <v>193</v>
      </c>
      <c r="T178" s="137" t="s">
        <v>193</v>
      </c>
      <c r="U178" s="137" t="s">
        <v>193</v>
      </c>
      <c r="V178" s="137" t="s">
        <v>193</v>
      </c>
      <c r="W178" s="137" t="s">
        <v>193</v>
      </c>
      <c r="X178" s="137" t="s">
        <v>193</v>
      </c>
      <c r="Y178" s="137" t="s">
        <v>193</v>
      </c>
      <c r="Z178" s="137" t="s">
        <v>193</v>
      </c>
      <c r="AA178" s="137" t="s">
        <v>193</v>
      </c>
      <c r="AB178" s="137" t="s">
        <v>193</v>
      </c>
      <c r="AC178" s="137" t="s">
        <v>193</v>
      </c>
      <c r="AD178" s="137" t="s">
        <v>193</v>
      </c>
      <c r="AE178" s="137" t="s">
        <v>193</v>
      </c>
      <c r="AF178" s="137" t="s">
        <v>193</v>
      </c>
      <c r="AG178" s="137" t="s">
        <v>193</v>
      </c>
      <c r="AH178" s="137" t="s">
        <v>53</v>
      </c>
      <c r="AI178" s="137" t="s">
        <v>193</v>
      </c>
      <c r="AJ178" s="137" t="s">
        <v>193</v>
      </c>
      <c r="AK178" s="137" t="s">
        <v>193</v>
      </c>
      <c r="AL178" s="137" t="s">
        <v>193</v>
      </c>
      <c r="AM178" s="137" t="s">
        <v>193</v>
      </c>
      <c r="AN178" s="137" t="s">
        <v>193</v>
      </c>
      <c r="AO178" s="137" t="s">
        <v>193</v>
      </c>
      <c r="AQ178" s="12">
        <f t="shared" si="19"/>
        <v>0</v>
      </c>
      <c r="AR178" s="12">
        <f t="shared" si="17"/>
        <v>0</v>
      </c>
      <c r="AT178" s="12">
        <f t="shared" si="20"/>
        <v>0</v>
      </c>
      <c r="AU178" s="12">
        <f t="shared" si="21"/>
        <v>0</v>
      </c>
      <c r="AV178" s="13" t="str">
        <f t="shared" si="22"/>
        <v/>
      </c>
      <c r="AY178" s="12">
        <f t="shared" si="23"/>
        <v>0</v>
      </c>
      <c r="AZ178" s="12">
        <f t="shared" si="24"/>
        <v>0</v>
      </c>
      <c r="BA178" s="12">
        <f t="shared" si="24"/>
        <v>0</v>
      </c>
      <c r="BB178" s="12">
        <f t="shared" si="24"/>
        <v>0</v>
      </c>
      <c r="BC178" s="12">
        <f t="shared" si="18"/>
        <v>0</v>
      </c>
      <c r="BD178" s="12">
        <f t="shared" si="25"/>
        <v>0</v>
      </c>
    </row>
    <row r="179" spans="1:56" ht="15" customHeight="1" x14ac:dyDescent="0.25">
      <c r="A179" s="137" t="s">
        <v>438</v>
      </c>
      <c r="B179" s="137" t="s">
        <v>441</v>
      </c>
      <c r="C179" s="137">
        <v>2018</v>
      </c>
      <c r="D179" s="137" t="s">
        <v>193</v>
      </c>
      <c r="E179" s="137" t="s">
        <v>193</v>
      </c>
      <c r="F179" s="137" t="s">
        <v>193</v>
      </c>
      <c r="G179" s="137" t="s">
        <v>193</v>
      </c>
      <c r="H179" s="137" t="s">
        <v>193</v>
      </c>
      <c r="I179" s="137" t="s">
        <v>193</v>
      </c>
      <c r="J179" s="137" t="s">
        <v>193</v>
      </c>
      <c r="K179" s="137" t="s">
        <v>193</v>
      </c>
      <c r="L179" s="137" t="s">
        <v>193</v>
      </c>
      <c r="M179" s="137" t="s">
        <v>193</v>
      </c>
      <c r="N179" s="137" t="s">
        <v>193</v>
      </c>
      <c r="O179" s="137" t="s">
        <v>193</v>
      </c>
      <c r="P179" s="137" t="s">
        <v>193</v>
      </c>
      <c r="Q179" s="137" t="s">
        <v>193</v>
      </c>
      <c r="R179" s="137" t="s">
        <v>193</v>
      </c>
      <c r="S179" s="137" t="s">
        <v>193</v>
      </c>
      <c r="T179" s="137" t="s">
        <v>193</v>
      </c>
      <c r="U179" s="137" t="s">
        <v>193</v>
      </c>
      <c r="V179" s="137" t="s">
        <v>193</v>
      </c>
      <c r="W179" s="137" t="s">
        <v>193</v>
      </c>
      <c r="X179" s="137" t="s">
        <v>193</v>
      </c>
      <c r="Y179" s="137" t="s">
        <v>193</v>
      </c>
      <c r="Z179" s="137" t="s">
        <v>193</v>
      </c>
      <c r="AA179" s="137" t="s">
        <v>193</v>
      </c>
      <c r="AB179" s="137" t="s">
        <v>193</v>
      </c>
      <c r="AC179" s="137" t="s">
        <v>193</v>
      </c>
      <c r="AD179" s="137" t="s">
        <v>193</v>
      </c>
      <c r="AE179" s="137" t="s">
        <v>193</v>
      </c>
      <c r="AF179" s="137" t="s">
        <v>193</v>
      </c>
      <c r="AG179" s="137" t="s">
        <v>193</v>
      </c>
      <c r="AH179" s="137" t="s">
        <v>53</v>
      </c>
      <c r="AI179" s="137" t="s">
        <v>193</v>
      </c>
      <c r="AJ179" s="137" t="s">
        <v>193</v>
      </c>
      <c r="AK179" s="137" t="s">
        <v>193</v>
      </c>
      <c r="AL179" s="137" t="s">
        <v>193</v>
      </c>
      <c r="AM179" s="137" t="s">
        <v>193</v>
      </c>
      <c r="AN179" s="137" t="s">
        <v>193</v>
      </c>
      <c r="AO179" s="137" t="s">
        <v>193</v>
      </c>
      <c r="AQ179" s="12">
        <f t="shared" si="19"/>
        <v>0</v>
      </c>
      <c r="AR179" s="12">
        <f t="shared" si="17"/>
        <v>0</v>
      </c>
      <c r="AT179" s="12">
        <f t="shared" si="20"/>
        <v>0</v>
      </c>
      <c r="AU179" s="12">
        <f t="shared" si="21"/>
        <v>0</v>
      </c>
      <c r="AV179" s="13" t="str">
        <f t="shared" si="22"/>
        <v/>
      </c>
      <c r="AY179" s="12">
        <f t="shared" si="23"/>
        <v>0</v>
      </c>
      <c r="AZ179" s="12">
        <f t="shared" si="24"/>
        <v>0</v>
      </c>
      <c r="BA179" s="12">
        <f t="shared" si="24"/>
        <v>0</v>
      </c>
      <c r="BB179" s="12">
        <f t="shared" si="24"/>
        <v>0</v>
      </c>
      <c r="BC179" s="12">
        <f t="shared" si="18"/>
        <v>0</v>
      </c>
      <c r="BD179" s="12">
        <f t="shared" si="25"/>
        <v>0</v>
      </c>
    </row>
    <row r="180" spans="1:56" ht="15" customHeight="1" x14ac:dyDescent="0.25">
      <c r="A180" s="137" t="s">
        <v>442</v>
      </c>
      <c r="B180" s="137" t="s">
        <v>443</v>
      </c>
      <c r="C180" s="137">
        <v>2018</v>
      </c>
      <c r="D180" s="137" t="s">
        <v>193</v>
      </c>
      <c r="E180" s="137" t="s">
        <v>193</v>
      </c>
      <c r="F180" s="137" t="s">
        <v>193</v>
      </c>
      <c r="G180" s="137" t="s">
        <v>193</v>
      </c>
      <c r="H180" s="137" t="s">
        <v>193</v>
      </c>
      <c r="I180" s="137" t="s">
        <v>193</v>
      </c>
      <c r="J180" s="137" t="s">
        <v>193</v>
      </c>
      <c r="K180" s="137" t="s">
        <v>193</v>
      </c>
      <c r="L180" s="137" t="s">
        <v>193</v>
      </c>
      <c r="M180" s="137" t="s">
        <v>193</v>
      </c>
      <c r="N180" s="137" t="s">
        <v>193</v>
      </c>
      <c r="O180" s="137" t="s">
        <v>193</v>
      </c>
      <c r="P180" s="137" t="s">
        <v>193</v>
      </c>
      <c r="Q180" s="137" t="s">
        <v>193</v>
      </c>
      <c r="R180" s="137" t="s">
        <v>193</v>
      </c>
      <c r="S180" s="137" t="s">
        <v>193</v>
      </c>
      <c r="T180" s="137" t="s">
        <v>193</v>
      </c>
      <c r="U180" s="137" t="s">
        <v>193</v>
      </c>
      <c r="V180" s="137" t="s">
        <v>193</v>
      </c>
      <c r="W180" s="137" t="s">
        <v>193</v>
      </c>
      <c r="X180" s="137" t="s">
        <v>193</v>
      </c>
      <c r="Y180" s="137" t="s">
        <v>193</v>
      </c>
      <c r="Z180" s="137" t="s">
        <v>193</v>
      </c>
      <c r="AA180" s="137" t="s">
        <v>193</v>
      </c>
      <c r="AB180" s="137" t="s">
        <v>193</v>
      </c>
      <c r="AC180" s="137" t="s">
        <v>193</v>
      </c>
      <c r="AD180" s="137" t="s">
        <v>193</v>
      </c>
      <c r="AE180" s="137" t="s">
        <v>193</v>
      </c>
      <c r="AF180" s="137" t="s">
        <v>193</v>
      </c>
      <c r="AG180" s="137" t="s">
        <v>193</v>
      </c>
      <c r="AH180" s="137" t="s">
        <v>53</v>
      </c>
      <c r="AI180" s="137" t="s">
        <v>193</v>
      </c>
      <c r="AJ180" s="137" t="s">
        <v>193</v>
      </c>
      <c r="AK180" s="137" t="s">
        <v>193</v>
      </c>
      <c r="AL180" s="137" t="s">
        <v>193</v>
      </c>
      <c r="AM180" s="137" t="s">
        <v>193</v>
      </c>
      <c r="AN180" s="137" t="s">
        <v>193</v>
      </c>
      <c r="AO180" s="137" t="s">
        <v>193</v>
      </c>
      <c r="AQ180" s="12">
        <f t="shared" si="19"/>
        <v>0</v>
      </c>
      <c r="AR180" s="12">
        <f t="shared" si="17"/>
        <v>0</v>
      </c>
      <c r="AT180" s="12">
        <f t="shared" si="20"/>
        <v>0</v>
      </c>
      <c r="AU180" s="12">
        <f t="shared" si="21"/>
        <v>0</v>
      </c>
      <c r="AV180" s="13" t="str">
        <f t="shared" si="22"/>
        <v/>
      </c>
      <c r="AY180" s="12">
        <f t="shared" si="23"/>
        <v>0</v>
      </c>
      <c r="AZ180" s="12">
        <f t="shared" si="24"/>
        <v>0</v>
      </c>
      <c r="BA180" s="12">
        <f t="shared" si="24"/>
        <v>0</v>
      </c>
      <c r="BB180" s="12">
        <f t="shared" si="24"/>
        <v>0</v>
      </c>
      <c r="BC180" s="12">
        <f t="shared" si="18"/>
        <v>0</v>
      </c>
      <c r="BD180" s="12">
        <f t="shared" si="25"/>
        <v>0</v>
      </c>
    </row>
    <row r="181" spans="1:56" ht="15" customHeight="1" x14ac:dyDescent="0.25">
      <c r="A181" s="137" t="s">
        <v>444</v>
      </c>
      <c r="B181" s="137" t="s">
        <v>445</v>
      </c>
      <c r="C181" s="137">
        <v>2018</v>
      </c>
      <c r="D181" s="137">
        <v>70.099999999999994</v>
      </c>
      <c r="E181" s="137">
        <v>10.8</v>
      </c>
      <c r="F181" s="137" t="s">
        <v>193</v>
      </c>
      <c r="G181" s="137" t="s">
        <v>193</v>
      </c>
      <c r="H181" s="137" t="s">
        <v>193</v>
      </c>
      <c r="I181" s="137">
        <v>105.74</v>
      </c>
      <c r="J181" s="137" t="s">
        <v>193</v>
      </c>
      <c r="K181" s="137" t="s">
        <v>193</v>
      </c>
      <c r="L181" s="137" t="s">
        <v>193</v>
      </c>
      <c r="M181" s="137" t="s">
        <v>193</v>
      </c>
      <c r="N181" s="137" t="s">
        <v>193</v>
      </c>
      <c r="O181" s="137" t="s">
        <v>193</v>
      </c>
      <c r="P181" s="137" t="s">
        <v>193</v>
      </c>
      <c r="Q181" s="137">
        <v>50.44</v>
      </c>
      <c r="R181" s="137">
        <v>4.7699999999999996</v>
      </c>
      <c r="S181" s="137">
        <v>38.53</v>
      </c>
      <c r="T181" s="137" t="s">
        <v>193</v>
      </c>
      <c r="U181" s="137" t="s">
        <v>193</v>
      </c>
      <c r="V181" s="137" t="s">
        <v>193</v>
      </c>
      <c r="W181" s="137" t="s">
        <v>194</v>
      </c>
      <c r="X181" s="137" t="s">
        <v>193</v>
      </c>
      <c r="Y181" s="137" t="s">
        <v>193</v>
      </c>
      <c r="Z181" s="137" t="s">
        <v>193</v>
      </c>
      <c r="AA181" s="137" t="s">
        <v>193</v>
      </c>
      <c r="AB181" s="137" t="s">
        <v>193</v>
      </c>
      <c r="AC181" s="137" t="s">
        <v>193</v>
      </c>
      <c r="AD181" s="137" t="s">
        <v>193</v>
      </c>
      <c r="AE181" s="137" t="s">
        <v>193</v>
      </c>
      <c r="AF181" s="137" t="s">
        <v>193</v>
      </c>
      <c r="AG181" s="137" t="s">
        <v>193</v>
      </c>
      <c r="AH181" s="137" t="s">
        <v>199</v>
      </c>
      <c r="AI181" s="137" t="s">
        <v>193</v>
      </c>
      <c r="AJ181" s="137" t="s">
        <v>193</v>
      </c>
      <c r="AK181" s="137">
        <v>12</v>
      </c>
      <c r="AL181" s="137">
        <v>100</v>
      </c>
      <c r="AM181" s="137">
        <v>0</v>
      </c>
      <c r="AN181" s="137">
        <v>0</v>
      </c>
      <c r="AO181" s="137">
        <v>0</v>
      </c>
      <c r="AQ181" s="12">
        <f t="shared" si="19"/>
        <v>93.74</v>
      </c>
      <c r="AR181" s="12">
        <f t="shared" si="17"/>
        <v>105.74</v>
      </c>
      <c r="AT181" s="12">
        <f t="shared" si="20"/>
        <v>70.099999999999994</v>
      </c>
      <c r="AU181" s="12">
        <f t="shared" si="21"/>
        <v>10.8</v>
      </c>
      <c r="AV181" s="13">
        <f t="shared" si="22"/>
        <v>0.76508416871571772</v>
      </c>
      <c r="AY181" s="12">
        <f t="shared" si="23"/>
        <v>12</v>
      </c>
      <c r="AZ181" s="12">
        <f t="shared" si="24"/>
        <v>12</v>
      </c>
      <c r="BA181" s="12">
        <f t="shared" si="24"/>
        <v>0</v>
      </c>
      <c r="BB181" s="12">
        <f t="shared" si="24"/>
        <v>0</v>
      </c>
      <c r="BC181" s="12">
        <f t="shared" si="18"/>
        <v>0</v>
      </c>
      <c r="BD181" s="12">
        <f t="shared" si="25"/>
        <v>0</v>
      </c>
    </row>
    <row r="182" spans="1:56" ht="15" customHeight="1" x14ac:dyDescent="0.25">
      <c r="A182" s="137" t="s">
        <v>444</v>
      </c>
      <c r="B182" s="137" t="s">
        <v>446</v>
      </c>
      <c r="C182" s="137">
        <v>2018</v>
      </c>
      <c r="D182" s="137" t="s">
        <v>193</v>
      </c>
      <c r="E182" s="137" t="s">
        <v>193</v>
      </c>
      <c r="F182" s="137" t="s">
        <v>193</v>
      </c>
      <c r="G182" s="137" t="s">
        <v>193</v>
      </c>
      <c r="H182" s="137" t="s">
        <v>193</v>
      </c>
      <c r="I182" s="137" t="s">
        <v>193</v>
      </c>
      <c r="J182" s="137" t="s">
        <v>193</v>
      </c>
      <c r="K182" s="137" t="s">
        <v>193</v>
      </c>
      <c r="L182" s="137" t="s">
        <v>193</v>
      </c>
      <c r="M182" s="137" t="s">
        <v>193</v>
      </c>
      <c r="N182" s="137" t="s">
        <v>193</v>
      </c>
      <c r="O182" s="137" t="s">
        <v>193</v>
      </c>
      <c r="P182" s="137" t="s">
        <v>193</v>
      </c>
      <c r="Q182" s="137" t="s">
        <v>193</v>
      </c>
      <c r="R182" s="137" t="s">
        <v>193</v>
      </c>
      <c r="S182" s="137" t="s">
        <v>193</v>
      </c>
      <c r="T182" s="137" t="s">
        <v>193</v>
      </c>
      <c r="U182" s="137" t="s">
        <v>193</v>
      </c>
      <c r="V182" s="137" t="s">
        <v>193</v>
      </c>
      <c r="W182" s="137" t="s">
        <v>194</v>
      </c>
      <c r="X182" s="137" t="s">
        <v>193</v>
      </c>
      <c r="Y182" s="137" t="s">
        <v>193</v>
      </c>
      <c r="Z182" s="137" t="s">
        <v>193</v>
      </c>
      <c r="AA182" s="137" t="s">
        <v>193</v>
      </c>
      <c r="AB182" s="137" t="s">
        <v>193</v>
      </c>
      <c r="AC182" s="137" t="s">
        <v>193</v>
      </c>
      <c r="AD182" s="137" t="s">
        <v>193</v>
      </c>
      <c r="AE182" s="137" t="s">
        <v>193</v>
      </c>
      <c r="AF182" s="137" t="s">
        <v>193</v>
      </c>
      <c r="AG182" s="137" t="s">
        <v>193</v>
      </c>
      <c r="AH182" s="137" t="s">
        <v>199</v>
      </c>
      <c r="AI182" s="137" t="s">
        <v>193</v>
      </c>
      <c r="AJ182" s="137" t="s">
        <v>193</v>
      </c>
      <c r="AK182" s="137" t="s">
        <v>193</v>
      </c>
      <c r="AL182" s="137" t="s">
        <v>193</v>
      </c>
      <c r="AM182" s="137" t="s">
        <v>193</v>
      </c>
      <c r="AN182" s="137" t="s">
        <v>193</v>
      </c>
      <c r="AO182" s="137" t="s">
        <v>193</v>
      </c>
      <c r="AQ182" s="12">
        <f t="shared" si="19"/>
        <v>0</v>
      </c>
      <c r="AR182" s="12">
        <f t="shared" si="17"/>
        <v>0</v>
      </c>
      <c r="AT182" s="12">
        <f t="shared" si="20"/>
        <v>0</v>
      </c>
      <c r="AU182" s="12">
        <f t="shared" si="21"/>
        <v>0</v>
      </c>
      <c r="AV182" s="13" t="str">
        <f t="shared" si="22"/>
        <v/>
      </c>
      <c r="AY182" s="12">
        <f t="shared" si="23"/>
        <v>0</v>
      </c>
      <c r="AZ182" s="12">
        <f t="shared" si="24"/>
        <v>0</v>
      </c>
      <c r="BA182" s="12">
        <f t="shared" si="24"/>
        <v>0</v>
      </c>
      <c r="BB182" s="12">
        <f t="shared" si="24"/>
        <v>0</v>
      </c>
      <c r="BC182" s="12">
        <f t="shared" si="18"/>
        <v>0</v>
      </c>
      <c r="BD182" s="12">
        <f t="shared" si="25"/>
        <v>0</v>
      </c>
    </row>
    <row r="183" spans="1:56" ht="15" customHeight="1" x14ac:dyDescent="0.25">
      <c r="A183" s="137" t="s">
        <v>447</v>
      </c>
      <c r="B183" s="137" t="s">
        <v>448</v>
      </c>
      <c r="C183" s="137">
        <v>2018</v>
      </c>
      <c r="D183" s="137">
        <v>96.5</v>
      </c>
      <c r="E183" s="137">
        <v>33.4</v>
      </c>
      <c r="F183" s="137" t="s">
        <v>193</v>
      </c>
      <c r="G183" s="137" t="s">
        <v>193</v>
      </c>
      <c r="H183" s="137" t="s">
        <v>193</v>
      </c>
      <c r="I183" s="137">
        <v>161.80000000000001</v>
      </c>
      <c r="J183" s="137" t="s">
        <v>193</v>
      </c>
      <c r="K183" s="137">
        <v>0.1</v>
      </c>
      <c r="L183" s="137" t="s">
        <v>193</v>
      </c>
      <c r="M183" s="137" t="s">
        <v>193</v>
      </c>
      <c r="N183" s="137" t="s">
        <v>193</v>
      </c>
      <c r="O183" s="137" t="s">
        <v>193</v>
      </c>
      <c r="P183" s="137" t="s">
        <v>193</v>
      </c>
      <c r="Q183" s="137">
        <v>146.19999999999999</v>
      </c>
      <c r="R183" s="137" t="s">
        <v>193</v>
      </c>
      <c r="S183" s="137">
        <v>15.5</v>
      </c>
      <c r="T183" s="137" t="s">
        <v>193</v>
      </c>
      <c r="U183" s="137" t="s">
        <v>193</v>
      </c>
      <c r="V183" s="137" t="s">
        <v>193</v>
      </c>
      <c r="W183" s="137" t="s">
        <v>194</v>
      </c>
      <c r="X183" s="137" t="s">
        <v>193</v>
      </c>
      <c r="Y183" s="137" t="s">
        <v>193</v>
      </c>
      <c r="Z183" s="137" t="s">
        <v>193</v>
      </c>
      <c r="AA183" s="137" t="s">
        <v>193</v>
      </c>
      <c r="AB183" s="137" t="s">
        <v>193</v>
      </c>
      <c r="AC183" s="137" t="s">
        <v>193</v>
      </c>
      <c r="AD183" s="137" t="s">
        <v>193</v>
      </c>
      <c r="AE183" s="137" t="s">
        <v>193</v>
      </c>
      <c r="AF183" s="137" t="s">
        <v>193</v>
      </c>
      <c r="AG183" s="137" t="s">
        <v>193</v>
      </c>
      <c r="AH183" s="137" t="s">
        <v>53</v>
      </c>
      <c r="AI183" s="137" t="s">
        <v>193</v>
      </c>
      <c r="AJ183" s="137" t="s">
        <v>193</v>
      </c>
      <c r="AK183" s="137" t="s">
        <v>193</v>
      </c>
      <c r="AL183" s="137" t="s">
        <v>193</v>
      </c>
      <c r="AM183" s="137" t="s">
        <v>193</v>
      </c>
      <c r="AN183" s="137" t="s">
        <v>193</v>
      </c>
      <c r="AO183" s="137" t="s">
        <v>193</v>
      </c>
      <c r="AQ183" s="12">
        <f t="shared" si="19"/>
        <v>161.79999999999998</v>
      </c>
      <c r="AR183" s="12">
        <f t="shared" si="17"/>
        <v>161.79999999999998</v>
      </c>
      <c r="AT183" s="12">
        <f t="shared" si="20"/>
        <v>96.5</v>
      </c>
      <c r="AU183" s="12">
        <f t="shared" si="21"/>
        <v>33.4</v>
      </c>
      <c r="AV183" s="13">
        <f t="shared" si="22"/>
        <v>0.80284301606922137</v>
      </c>
      <c r="AY183" s="12">
        <f t="shared" si="23"/>
        <v>0</v>
      </c>
      <c r="AZ183" s="12">
        <f t="shared" si="24"/>
        <v>0</v>
      </c>
      <c r="BA183" s="12">
        <f t="shared" si="24"/>
        <v>0</v>
      </c>
      <c r="BB183" s="12">
        <f t="shared" si="24"/>
        <v>0</v>
      </c>
      <c r="BC183" s="12">
        <f t="shared" si="18"/>
        <v>0</v>
      </c>
      <c r="BD183" s="12">
        <f t="shared" si="25"/>
        <v>0</v>
      </c>
    </row>
    <row r="184" spans="1:56" ht="15" customHeight="1" x14ac:dyDescent="0.25">
      <c r="A184" s="137" t="s">
        <v>449</v>
      </c>
      <c r="B184" s="137" t="s">
        <v>450</v>
      </c>
      <c r="C184" s="137">
        <v>2018</v>
      </c>
      <c r="D184" s="137" t="s">
        <v>193</v>
      </c>
      <c r="E184" s="137" t="s">
        <v>193</v>
      </c>
      <c r="F184" s="137" t="s">
        <v>193</v>
      </c>
      <c r="G184" s="137" t="s">
        <v>193</v>
      </c>
      <c r="H184" s="137" t="s">
        <v>193</v>
      </c>
      <c r="I184" s="137" t="s">
        <v>193</v>
      </c>
      <c r="J184" s="137" t="s">
        <v>193</v>
      </c>
      <c r="K184" s="137" t="s">
        <v>193</v>
      </c>
      <c r="L184" s="137" t="s">
        <v>193</v>
      </c>
      <c r="M184" s="137" t="s">
        <v>193</v>
      </c>
      <c r="N184" s="137" t="s">
        <v>193</v>
      </c>
      <c r="O184" s="137" t="s">
        <v>193</v>
      </c>
      <c r="P184" s="137" t="s">
        <v>193</v>
      </c>
      <c r="Q184" s="137" t="s">
        <v>193</v>
      </c>
      <c r="R184" s="137" t="s">
        <v>193</v>
      </c>
      <c r="S184" s="137" t="s">
        <v>193</v>
      </c>
      <c r="T184" s="137" t="s">
        <v>193</v>
      </c>
      <c r="U184" s="137" t="s">
        <v>193</v>
      </c>
      <c r="V184" s="137" t="s">
        <v>193</v>
      </c>
      <c r="W184" s="137" t="s">
        <v>193</v>
      </c>
      <c r="X184" s="137" t="s">
        <v>193</v>
      </c>
      <c r="Y184" s="137" t="s">
        <v>193</v>
      </c>
      <c r="Z184" s="137" t="s">
        <v>193</v>
      </c>
      <c r="AA184" s="137" t="s">
        <v>193</v>
      </c>
      <c r="AB184" s="137" t="s">
        <v>193</v>
      </c>
      <c r="AC184" s="137" t="s">
        <v>193</v>
      </c>
      <c r="AD184" s="137" t="s">
        <v>193</v>
      </c>
      <c r="AE184" s="137" t="s">
        <v>193</v>
      </c>
      <c r="AF184" s="137" t="s">
        <v>193</v>
      </c>
      <c r="AG184" s="137" t="s">
        <v>193</v>
      </c>
      <c r="AH184" s="137" t="s">
        <v>199</v>
      </c>
      <c r="AI184" s="137" t="s">
        <v>193</v>
      </c>
      <c r="AJ184" s="137" t="s">
        <v>193</v>
      </c>
      <c r="AK184" s="137" t="s">
        <v>193</v>
      </c>
      <c r="AL184" s="137" t="s">
        <v>193</v>
      </c>
      <c r="AM184" s="137" t="s">
        <v>193</v>
      </c>
      <c r="AN184" s="137" t="s">
        <v>193</v>
      </c>
      <c r="AO184" s="137" t="s">
        <v>193</v>
      </c>
      <c r="AQ184" s="12">
        <f t="shared" si="19"/>
        <v>0</v>
      </c>
      <c r="AR184" s="12">
        <f t="shared" si="17"/>
        <v>0</v>
      </c>
      <c r="AT184" s="12">
        <f t="shared" si="20"/>
        <v>0</v>
      </c>
      <c r="AU184" s="12">
        <f t="shared" si="21"/>
        <v>0</v>
      </c>
      <c r="AV184" s="13" t="str">
        <f t="shared" si="22"/>
        <v/>
      </c>
      <c r="AY184" s="12">
        <f t="shared" si="23"/>
        <v>0</v>
      </c>
      <c r="AZ184" s="12">
        <f t="shared" si="24"/>
        <v>0</v>
      </c>
      <c r="BA184" s="12">
        <f t="shared" si="24"/>
        <v>0</v>
      </c>
      <c r="BB184" s="12">
        <f t="shared" si="24"/>
        <v>0</v>
      </c>
      <c r="BC184" s="12">
        <f t="shared" si="18"/>
        <v>0</v>
      </c>
      <c r="BD184" s="12">
        <f t="shared" si="25"/>
        <v>0</v>
      </c>
    </row>
    <row r="185" spans="1:56" ht="15" customHeight="1" x14ac:dyDescent="0.25">
      <c r="A185" s="137" t="s">
        <v>451</v>
      </c>
      <c r="B185" s="137" t="s">
        <v>452</v>
      </c>
      <c r="C185" s="137">
        <v>2018</v>
      </c>
      <c r="D185" s="137" t="s">
        <v>53</v>
      </c>
      <c r="E185" s="137" t="s">
        <v>53</v>
      </c>
      <c r="F185" s="137" t="s">
        <v>53</v>
      </c>
      <c r="G185" s="137" t="s">
        <v>53</v>
      </c>
      <c r="H185" s="137" t="s">
        <v>53</v>
      </c>
      <c r="I185" s="137" t="s">
        <v>53</v>
      </c>
      <c r="J185" s="137" t="s">
        <v>53</v>
      </c>
      <c r="K185" s="137" t="s">
        <v>53</v>
      </c>
      <c r="L185" s="137" t="s">
        <v>53</v>
      </c>
      <c r="M185" s="137" t="s">
        <v>53</v>
      </c>
      <c r="N185" s="137" t="s">
        <v>53</v>
      </c>
      <c r="O185" s="137" t="s">
        <v>53</v>
      </c>
      <c r="P185" s="137" t="s">
        <v>53</v>
      </c>
      <c r="Q185" s="137" t="s">
        <v>53</v>
      </c>
      <c r="R185" s="137" t="s">
        <v>53</v>
      </c>
      <c r="S185" s="137" t="s">
        <v>53</v>
      </c>
      <c r="T185" s="137" t="s">
        <v>53</v>
      </c>
      <c r="U185" s="137" t="s">
        <v>53</v>
      </c>
      <c r="V185" s="137" t="s">
        <v>53</v>
      </c>
      <c r="W185" s="137" t="s">
        <v>53</v>
      </c>
      <c r="X185" s="137" t="s">
        <v>53</v>
      </c>
      <c r="Y185" s="137" t="s">
        <v>53</v>
      </c>
      <c r="Z185" s="137" t="s">
        <v>53</v>
      </c>
      <c r="AA185" s="137" t="s">
        <v>53</v>
      </c>
      <c r="AB185" s="137" t="s">
        <v>53</v>
      </c>
      <c r="AC185" s="137" t="s">
        <v>53</v>
      </c>
      <c r="AD185" s="137" t="s">
        <v>53</v>
      </c>
      <c r="AE185" s="137" t="s">
        <v>53</v>
      </c>
      <c r="AF185" s="137" t="s">
        <v>53</v>
      </c>
      <c r="AG185" s="137" t="s">
        <v>53</v>
      </c>
      <c r="AH185" s="137" t="s">
        <v>53</v>
      </c>
      <c r="AI185" s="137" t="s">
        <v>53</v>
      </c>
      <c r="AJ185" s="137" t="s">
        <v>53</v>
      </c>
      <c r="AK185" s="137" t="s">
        <v>53</v>
      </c>
      <c r="AL185" s="137" t="s">
        <v>53</v>
      </c>
      <c r="AM185" s="137" t="s">
        <v>53</v>
      </c>
      <c r="AN185" s="137" t="s">
        <v>53</v>
      </c>
      <c r="AO185" s="137" t="s">
        <v>53</v>
      </c>
      <c r="AQ185" s="12">
        <f t="shared" si="19"/>
        <v>0</v>
      </c>
      <c r="AR185" s="12">
        <f t="shared" si="17"/>
        <v>0</v>
      </c>
      <c r="AT185" s="12">
        <f t="shared" si="20"/>
        <v>0</v>
      </c>
      <c r="AU185" s="12">
        <f t="shared" si="21"/>
        <v>0</v>
      </c>
      <c r="AV185" s="13" t="str">
        <f t="shared" si="22"/>
        <v/>
      </c>
      <c r="AY185" s="12">
        <f t="shared" si="23"/>
        <v>0</v>
      </c>
      <c r="AZ185" s="12">
        <f t="shared" si="24"/>
        <v>0</v>
      </c>
      <c r="BA185" s="12">
        <f t="shared" si="24"/>
        <v>0</v>
      </c>
      <c r="BB185" s="12">
        <f t="shared" si="24"/>
        <v>0</v>
      </c>
      <c r="BC185" s="12">
        <f t="shared" si="18"/>
        <v>0</v>
      </c>
      <c r="BD185" s="12">
        <f t="shared" si="25"/>
        <v>0</v>
      </c>
    </row>
    <row r="186" spans="1:56" ht="15" customHeight="1" x14ac:dyDescent="0.25">
      <c r="A186" s="137" t="s">
        <v>453</v>
      </c>
      <c r="B186" s="137" t="s">
        <v>454</v>
      </c>
      <c r="C186" s="137">
        <v>2018</v>
      </c>
      <c r="D186" s="137" t="s">
        <v>193</v>
      </c>
      <c r="E186" s="137" t="s">
        <v>193</v>
      </c>
      <c r="F186" s="137" t="s">
        <v>193</v>
      </c>
      <c r="G186" s="137" t="s">
        <v>193</v>
      </c>
      <c r="H186" s="137" t="s">
        <v>193</v>
      </c>
      <c r="I186" s="137" t="s">
        <v>193</v>
      </c>
      <c r="J186" s="137" t="s">
        <v>193</v>
      </c>
      <c r="K186" s="137" t="s">
        <v>193</v>
      </c>
      <c r="L186" s="137" t="s">
        <v>193</v>
      </c>
      <c r="M186" s="137" t="s">
        <v>193</v>
      </c>
      <c r="N186" s="137" t="s">
        <v>193</v>
      </c>
      <c r="O186" s="137" t="s">
        <v>193</v>
      </c>
      <c r="P186" s="137" t="s">
        <v>193</v>
      </c>
      <c r="Q186" s="137" t="s">
        <v>193</v>
      </c>
      <c r="R186" s="137" t="s">
        <v>193</v>
      </c>
      <c r="S186" s="137" t="s">
        <v>193</v>
      </c>
      <c r="T186" s="137" t="s">
        <v>193</v>
      </c>
      <c r="U186" s="137" t="s">
        <v>193</v>
      </c>
      <c r="V186" s="137" t="s">
        <v>193</v>
      </c>
      <c r="W186" s="137" t="s">
        <v>193</v>
      </c>
      <c r="X186" s="137" t="s">
        <v>193</v>
      </c>
      <c r="Y186" s="137" t="s">
        <v>193</v>
      </c>
      <c r="Z186" s="137" t="s">
        <v>193</v>
      </c>
      <c r="AA186" s="137" t="s">
        <v>193</v>
      </c>
      <c r="AB186" s="137" t="s">
        <v>193</v>
      </c>
      <c r="AC186" s="137" t="s">
        <v>193</v>
      </c>
      <c r="AD186" s="137" t="s">
        <v>193</v>
      </c>
      <c r="AE186" s="137" t="s">
        <v>193</v>
      </c>
      <c r="AF186" s="137" t="s">
        <v>193</v>
      </c>
      <c r="AG186" s="137" t="s">
        <v>193</v>
      </c>
      <c r="AH186" s="137" t="s">
        <v>199</v>
      </c>
      <c r="AI186" s="137" t="s">
        <v>193</v>
      </c>
      <c r="AJ186" s="137" t="s">
        <v>193</v>
      </c>
      <c r="AK186" s="137" t="s">
        <v>193</v>
      </c>
      <c r="AL186" s="137" t="s">
        <v>193</v>
      </c>
      <c r="AM186" s="137" t="s">
        <v>193</v>
      </c>
      <c r="AN186" s="137" t="s">
        <v>193</v>
      </c>
      <c r="AO186" s="137" t="s">
        <v>193</v>
      </c>
      <c r="AQ186" s="12">
        <f t="shared" si="19"/>
        <v>0</v>
      </c>
      <c r="AR186" s="12">
        <f t="shared" si="17"/>
        <v>0</v>
      </c>
      <c r="AT186" s="12">
        <f t="shared" si="20"/>
        <v>0</v>
      </c>
      <c r="AU186" s="12">
        <f t="shared" si="21"/>
        <v>0</v>
      </c>
      <c r="AV186" s="13" t="str">
        <f t="shared" si="22"/>
        <v/>
      </c>
      <c r="AY186" s="12">
        <f t="shared" si="23"/>
        <v>0</v>
      </c>
      <c r="AZ186" s="12">
        <f t="shared" si="24"/>
        <v>0</v>
      </c>
      <c r="BA186" s="12">
        <f t="shared" si="24"/>
        <v>0</v>
      </c>
      <c r="BB186" s="12">
        <f t="shared" si="24"/>
        <v>0</v>
      </c>
      <c r="BC186" s="12">
        <f t="shared" si="18"/>
        <v>0</v>
      </c>
      <c r="BD186" s="12">
        <f t="shared" si="25"/>
        <v>0</v>
      </c>
    </row>
    <row r="187" spans="1:56" ht="15" customHeight="1" x14ac:dyDescent="0.25">
      <c r="A187" s="137" t="s">
        <v>453</v>
      </c>
      <c r="B187" s="137" t="s">
        <v>126</v>
      </c>
      <c r="C187" s="137">
        <v>2018</v>
      </c>
      <c r="D187" s="137" t="s">
        <v>193</v>
      </c>
      <c r="E187" s="137" t="s">
        <v>193</v>
      </c>
      <c r="F187" s="137" t="s">
        <v>193</v>
      </c>
      <c r="G187" s="137" t="s">
        <v>193</v>
      </c>
      <c r="H187" s="137" t="s">
        <v>193</v>
      </c>
      <c r="I187" s="137" t="s">
        <v>193</v>
      </c>
      <c r="J187" s="137" t="s">
        <v>193</v>
      </c>
      <c r="K187" s="137" t="s">
        <v>193</v>
      </c>
      <c r="L187" s="137" t="s">
        <v>193</v>
      </c>
      <c r="M187" s="137" t="s">
        <v>193</v>
      </c>
      <c r="N187" s="137" t="s">
        <v>193</v>
      </c>
      <c r="O187" s="137" t="s">
        <v>193</v>
      </c>
      <c r="P187" s="137" t="s">
        <v>193</v>
      </c>
      <c r="Q187" s="137" t="s">
        <v>193</v>
      </c>
      <c r="R187" s="137" t="s">
        <v>193</v>
      </c>
      <c r="S187" s="137" t="s">
        <v>193</v>
      </c>
      <c r="T187" s="137" t="s">
        <v>193</v>
      </c>
      <c r="U187" s="137" t="s">
        <v>193</v>
      </c>
      <c r="V187" s="137" t="s">
        <v>193</v>
      </c>
      <c r="W187" s="137" t="s">
        <v>193</v>
      </c>
      <c r="X187" s="137" t="s">
        <v>193</v>
      </c>
      <c r="Y187" s="137" t="s">
        <v>193</v>
      </c>
      <c r="Z187" s="137" t="s">
        <v>193</v>
      </c>
      <c r="AA187" s="137" t="s">
        <v>193</v>
      </c>
      <c r="AB187" s="137" t="s">
        <v>193</v>
      </c>
      <c r="AC187" s="137" t="s">
        <v>193</v>
      </c>
      <c r="AD187" s="137" t="s">
        <v>193</v>
      </c>
      <c r="AE187" s="137" t="s">
        <v>193</v>
      </c>
      <c r="AF187" s="137" t="s">
        <v>193</v>
      </c>
      <c r="AG187" s="137" t="s">
        <v>193</v>
      </c>
      <c r="AH187" s="137" t="s">
        <v>199</v>
      </c>
      <c r="AI187" s="137" t="s">
        <v>193</v>
      </c>
      <c r="AJ187" s="137" t="s">
        <v>193</v>
      </c>
      <c r="AK187" s="137" t="s">
        <v>193</v>
      </c>
      <c r="AL187" s="137" t="s">
        <v>193</v>
      </c>
      <c r="AM187" s="137" t="s">
        <v>193</v>
      </c>
      <c r="AN187" s="137" t="s">
        <v>193</v>
      </c>
      <c r="AO187" s="137" t="s">
        <v>193</v>
      </c>
      <c r="AQ187" s="12">
        <f t="shared" si="19"/>
        <v>0</v>
      </c>
      <c r="AR187" s="12">
        <f t="shared" si="17"/>
        <v>0</v>
      </c>
      <c r="AT187" s="12">
        <f t="shared" si="20"/>
        <v>0</v>
      </c>
      <c r="AU187" s="12">
        <f t="shared" si="21"/>
        <v>0</v>
      </c>
      <c r="AV187" s="13" t="str">
        <f t="shared" si="22"/>
        <v/>
      </c>
      <c r="AY187" s="12">
        <f t="shared" si="23"/>
        <v>0</v>
      </c>
      <c r="AZ187" s="12">
        <f t="shared" si="24"/>
        <v>0</v>
      </c>
      <c r="BA187" s="12">
        <f t="shared" si="24"/>
        <v>0</v>
      </c>
      <c r="BB187" s="12">
        <f t="shared" si="24"/>
        <v>0</v>
      </c>
      <c r="BC187" s="12">
        <f t="shared" si="18"/>
        <v>0</v>
      </c>
      <c r="BD187" s="12">
        <f t="shared" si="25"/>
        <v>0</v>
      </c>
    </row>
    <row r="188" spans="1:56" ht="15" customHeight="1" x14ac:dyDescent="0.25">
      <c r="A188" s="137" t="s">
        <v>453</v>
      </c>
      <c r="B188" s="137" t="s">
        <v>455</v>
      </c>
      <c r="C188" s="137">
        <v>2018</v>
      </c>
      <c r="D188" s="137">
        <v>860.88</v>
      </c>
      <c r="E188" s="137">
        <v>341.96</v>
      </c>
      <c r="F188" s="137">
        <v>17.7</v>
      </c>
      <c r="G188" s="137" t="s">
        <v>747</v>
      </c>
      <c r="H188" s="137">
        <v>81.84</v>
      </c>
      <c r="I188" s="137">
        <v>1274.9000000000001</v>
      </c>
      <c r="J188" s="137">
        <v>159.38</v>
      </c>
      <c r="K188" s="137">
        <v>4.8600000000000003</v>
      </c>
      <c r="L188" s="137" t="s">
        <v>193</v>
      </c>
      <c r="M188" s="137">
        <v>0</v>
      </c>
      <c r="N188" s="137" t="s">
        <v>193</v>
      </c>
      <c r="O188" s="137" t="s">
        <v>193</v>
      </c>
      <c r="P188" s="137" t="s">
        <v>193</v>
      </c>
      <c r="Q188" s="137">
        <v>12.7</v>
      </c>
      <c r="R188" s="137">
        <v>7.06</v>
      </c>
      <c r="S188" s="137">
        <v>18.32</v>
      </c>
      <c r="T188" s="137">
        <v>12.72</v>
      </c>
      <c r="U188" s="137">
        <v>0.59</v>
      </c>
      <c r="V188" s="137" t="s">
        <v>193</v>
      </c>
      <c r="W188" s="137" t="s">
        <v>379</v>
      </c>
      <c r="X188" s="137" t="s">
        <v>193</v>
      </c>
      <c r="Y188" s="137" t="s">
        <v>193</v>
      </c>
      <c r="Z188" s="137" t="s">
        <v>193</v>
      </c>
      <c r="AA188" s="137">
        <v>54.77</v>
      </c>
      <c r="AB188" s="137">
        <v>2.93</v>
      </c>
      <c r="AC188" s="137" t="s">
        <v>193</v>
      </c>
      <c r="AD188" s="137" t="s">
        <v>193</v>
      </c>
      <c r="AE188" s="137">
        <v>22.46</v>
      </c>
      <c r="AF188" s="137">
        <v>979.11</v>
      </c>
      <c r="AG188" s="137" t="s">
        <v>193</v>
      </c>
      <c r="AH188" s="137" t="s">
        <v>327</v>
      </c>
      <c r="AI188" s="137">
        <v>41.6</v>
      </c>
      <c r="AJ188" s="137" t="s">
        <v>193</v>
      </c>
      <c r="AK188" s="137" t="s">
        <v>193</v>
      </c>
      <c r="AL188" s="137" t="s">
        <v>193</v>
      </c>
      <c r="AM188" s="137" t="s">
        <v>193</v>
      </c>
      <c r="AN188" s="137" t="s">
        <v>193</v>
      </c>
      <c r="AO188" s="137" t="s">
        <v>193</v>
      </c>
      <c r="AQ188" s="12">
        <f t="shared" si="19"/>
        <v>1274.9000000000001</v>
      </c>
      <c r="AR188" s="12">
        <f t="shared" si="17"/>
        <v>1274.9000000000001</v>
      </c>
      <c r="AT188" s="12">
        <f t="shared" si="20"/>
        <v>860.88</v>
      </c>
      <c r="AU188" s="12">
        <f t="shared" si="21"/>
        <v>341.96</v>
      </c>
      <c r="AV188" s="13">
        <f t="shared" si="22"/>
        <v>0.94347791983684981</v>
      </c>
      <c r="AY188" s="12">
        <f t="shared" si="23"/>
        <v>0</v>
      </c>
      <c r="AZ188" s="12">
        <f t="shared" si="24"/>
        <v>0</v>
      </c>
      <c r="BA188" s="12">
        <f t="shared" si="24"/>
        <v>0</v>
      </c>
      <c r="BB188" s="12">
        <f t="shared" si="24"/>
        <v>0</v>
      </c>
      <c r="BC188" s="12">
        <f t="shared" si="18"/>
        <v>0</v>
      </c>
      <c r="BD188" s="12">
        <f t="shared" si="25"/>
        <v>0</v>
      </c>
    </row>
    <row r="189" spans="1:56" ht="15" customHeight="1" x14ac:dyDescent="0.25">
      <c r="A189" s="137" t="s">
        <v>453</v>
      </c>
      <c r="B189" s="137" t="s">
        <v>456</v>
      </c>
      <c r="C189" s="137">
        <v>2018</v>
      </c>
      <c r="D189" s="137">
        <v>38.5565</v>
      </c>
      <c r="E189" s="137">
        <v>15.3155</v>
      </c>
      <c r="F189" s="137" t="s">
        <v>193</v>
      </c>
      <c r="G189" s="137" t="s">
        <v>193</v>
      </c>
      <c r="H189" s="137" t="s">
        <v>193</v>
      </c>
      <c r="I189" s="137">
        <v>68.651120000000006</v>
      </c>
      <c r="J189" s="137">
        <v>1.0118100000000001</v>
      </c>
      <c r="K189" s="137">
        <v>5.8619999999999998E-2</v>
      </c>
      <c r="L189" s="137" t="s">
        <v>193</v>
      </c>
      <c r="M189" s="137" t="s">
        <v>193</v>
      </c>
      <c r="N189" s="137" t="s">
        <v>193</v>
      </c>
      <c r="O189" s="137" t="s">
        <v>193</v>
      </c>
      <c r="P189" s="137" t="s">
        <v>193</v>
      </c>
      <c r="Q189" s="137">
        <v>7.6070099999999998</v>
      </c>
      <c r="R189" s="137">
        <v>4.2251799999999999</v>
      </c>
      <c r="S189" s="137">
        <v>10.970739999999999</v>
      </c>
      <c r="T189" s="137">
        <v>7.6143799999999997</v>
      </c>
      <c r="U189" s="137">
        <v>0.35391</v>
      </c>
      <c r="V189" s="137" t="s">
        <v>193</v>
      </c>
      <c r="W189" s="137" t="s">
        <v>379</v>
      </c>
      <c r="X189" s="137" t="s">
        <v>193</v>
      </c>
      <c r="Y189" s="137" t="s">
        <v>193</v>
      </c>
      <c r="Z189" s="137" t="s">
        <v>193</v>
      </c>
      <c r="AA189" s="137">
        <v>12.076029999999999</v>
      </c>
      <c r="AB189" s="137">
        <v>0.69364999999999999</v>
      </c>
      <c r="AC189" s="137" t="s">
        <v>193</v>
      </c>
      <c r="AD189" s="137" t="s">
        <v>193</v>
      </c>
      <c r="AE189" s="137">
        <v>0.69364999999999999</v>
      </c>
      <c r="AF189" s="137">
        <v>23.346139999999998</v>
      </c>
      <c r="AG189" s="137" t="s">
        <v>193</v>
      </c>
      <c r="AH189" s="137" t="s">
        <v>327</v>
      </c>
      <c r="AI189" s="137">
        <v>41.6</v>
      </c>
      <c r="AJ189" s="137" t="s">
        <v>193</v>
      </c>
      <c r="AK189" s="137" t="s">
        <v>193</v>
      </c>
      <c r="AL189" s="137" t="s">
        <v>193</v>
      </c>
      <c r="AM189" s="137" t="s">
        <v>193</v>
      </c>
      <c r="AN189" s="137" t="s">
        <v>193</v>
      </c>
      <c r="AO189" s="137" t="s">
        <v>193</v>
      </c>
      <c r="AQ189" s="12">
        <f t="shared" si="19"/>
        <v>68.651119999999992</v>
      </c>
      <c r="AR189" s="12">
        <f t="shared" si="17"/>
        <v>68.651119999999992</v>
      </c>
      <c r="AT189" s="12">
        <f t="shared" si="20"/>
        <v>38.5565</v>
      </c>
      <c r="AU189" s="12">
        <f t="shared" si="21"/>
        <v>15.3155</v>
      </c>
      <c r="AV189" s="13">
        <f t="shared" si="22"/>
        <v>0.78472135633038476</v>
      </c>
      <c r="AY189" s="12">
        <f t="shared" si="23"/>
        <v>0</v>
      </c>
      <c r="AZ189" s="12">
        <f t="shared" si="24"/>
        <v>0</v>
      </c>
      <c r="BA189" s="12">
        <f t="shared" si="24"/>
        <v>0</v>
      </c>
      <c r="BB189" s="12">
        <f t="shared" si="24"/>
        <v>0</v>
      </c>
      <c r="BC189" s="12">
        <f t="shared" si="18"/>
        <v>0</v>
      </c>
      <c r="BD189" s="12">
        <f t="shared" si="25"/>
        <v>0</v>
      </c>
    </row>
    <row r="190" spans="1:56" ht="15" customHeight="1" x14ac:dyDescent="0.25">
      <c r="A190" s="137" t="s">
        <v>457</v>
      </c>
      <c r="B190" s="137" t="s">
        <v>458</v>
      </c>
      <c r="C190" s="137">
        <v>2018</v>
      </c>
      <c r="D190" s="137">
        <v>216.57400000000001</v>
      </c>
      <c r="E190" s="137">
        <v>97.036000000000001</v>
      </c>
      <c r="F190" s="137" t="s">
        <v>193</v>
      </c>
      <c r="G190" s="137" t="s">
        <v>193</v>
      </c>
      <c r="H190" s="137" t="s">
        <v>193</v>
      </c>
      <c r="I190" s="137">
        <v>479.48700000000002</v>
      </c>
      <c r="J190" s="137" t="s">
        <v>193</v>
      </c>
      <c r="K190" s="137">
        <v>0.31</v>
      </c>
      <c r="L190" s="137" t="s">
        <v>193</v>
      </c>
      <c r="M190" s="137" t="s">
        <v>193</v>
      </c>
      <c r="N190" s="137" t="s">
        <v>193</v>
      </c>
      <c r="O190" s="137" t="s">
        <v>193</v>
      </c>
      <c r="P190" s="137" t="s">
        <v>193</v>
      </c>
      <c r="Q190" s="137">
        <v>42.576999999999998</v>
      </c>
      <c r="R190" s="137">
        <v>183.08</v>
      </c>
      <c r="S190" s="137">
        <v>8.67</v>
      </c>
      <c r="T190" s="137" t="s">
        <v>193</v>
      </c>
      <c r="U190" s="137" t="s">
        <v>193</v>
      </c>
      <c r="V190" s="137" t="s">
        <v>193</v>
      </c>
      <c r="W190" s="137" t="s">
        <v>193</v>
      </c>
      <c r="X190" s="137" t="s">
        <v>193</v>
      </c>
      <c r="Y190" s="137" t="s">
        <v>193</v>
      </c>
      <c r="Z190" s="137" t="s">
        <v>193</v>
      </c>
      <c r="AA190" s="137">
        <v>149.72900000000001</v>
      </c>
      <c r="AB190" s="137" t="s">
        <v>193</v>
      </c>
      <c r="AC190" s="137" t="s">
        <v>193</v>
      </c>
      <c r="AD190" s="137" t="s">
        <v>193</v>
      </c>
      <c r="AE190" s="137">
        <v>0</v>
      </c>
      <c r="AF190" s="137" t="s">
        <v>193</v>
      </c>
      <c r="AG190" s="137" t="s">
        <v>193</v>
      </c>
      <c r="AH190" s="137" t="s">
        <v>53</v>
      </c>
      <c r="AI190" s="137" t="s">
        <v>193</v>
      </c>
      <c r="AJ190" s="137" t="s">
        <v>193</v>
      </c>
      <c r="AK190" s="137">
        <v>95.120999999999995</v>
      </c>
      <c r="AL190" s="137">
        <v>100</v>
      </c>
      <c r="AM190" s="137">
        <v>0</v>
      </c>
      <c r="AN190" s="137">
        <v>0</v>
      </c>
      <c r="AO190" s="137">
        <v>0</v>
      </c>
      <c r="AQ190" s="12">
        <f t="shared" si="19"/>
        <v>384.36599999999999</v>
      </c>
      <c r="AR190" s="12">
        <f t="shared" si="17"/>
        <v>479.48699999999997</v>
      </c>
      <c r="AT190" s="12">
        <f t="shared" si="20"/>
        <v>216.57400000000001</v>
      </c>
      <c r="AU190" s="12">
        <f t="shared" si="21"/>
        <v>97.036000000000001</v>
      </c>
      <c r="AV190" s="13">
        <f t="shared" si="22"/>
        <v>0.65405318600921414</v>
      </c>
      <c r="AY190" s="12">
        <f t="shared" si="23"/>
        <v>95.120999999999995</v>
      </c>
      <c r="AZ190" s="12">
        <f t="shared" si="24"/>
        <v>95.120999999999995</v>
      </c>
      <c r="BA190" s="12">
        <f t="shared" si="24"/>
        <v>0</v>
      </c>
      <c r="BB190" s="12">
        <f t="shared" si="24"/>
        <v>0</v>
      </c>
      <c r="BC190" s="12">
        <f t="shared" si="18"/>
        <v>0</v>
      </c>
      <c r="BD190" s="12">
        <f t="shared" si="25"/>
        <v>0</v>
      </c>
    </row>
    <row r="191" spans="1:56" ht="15" customHeight="1" x14ac:dyDescent="0.25">
      <c r="A191" s="137" t="s">
        <v>457</v>
      </c>
      <c r="B191" s="137" t="s">
        <v>459</v>
      </c>
      <c r="C191" s="137">
        <v>2018</v>
      </c>
      <c r="D191" s="137">
        <v>36.906999999999996</v>
      </c>
      <c r="E191" s="137">
        <v>16.536000000000001</v>
      </c>
      <c r="F191" s="137" t="s">
        <v>193</v>
      </c>
      <c r="G191" s="137" t="s">
        <v>193</v>
      </c>
      <c r="H191" s="137" t="s">
        <v>193</v>
      </c>
      <c r="I191" s="137">
        <v>81.710999999999999</v>
      </c>
      <c r="J191" s="137" t="s">
        <v>193</v>
      </c>
      <c r="K191" s="137" t="s">
        <v>193</v>
      </c>
      <c r="L191" s="137" t="s">
        <v>193</v>
      </c>
      <c r="M191" s="137" t="s">
        <v>193</v>
      </c>
      <c r="N191" s="137" t="s">
        <v>193</v>
      </c>
      <c r="O191" s="137" t="s">
        <v>193</v>
      </c>
      <c r="P191" s="137" t="s">
        <v>193</v>
      </c>
      <c r="Q191" s="137">
        <v>65.501000000000005</v>
      </c>
      <c r="R191" s="137" t="s">
        <v>193</v>
      </c>
      <c r="S191" s="137" t="s">
        <v>193</v>
      </c>
      <c r="T191" s="137" t="s">
        <v>193</v>
      </c>
      <c r="U191" s="137" t="s">
        <v>193</v>
      </c>
      <c r="V191" s="137" t="s">
        <v>193</v>
      </c>
      <c r="W191" s="137" t="s">
        <v>193</v>
      </c>
      <c r="X191" s="137" t="s">
        <v>193</v>
      </c>
      <c r="Y191" s="137" t="s">
        <v>193</v>
      </c>
      <c r="Z191" s="137" t="s">
        <v>193</v>
      </c>
      <c r="AA191" s="137" t="s">
        <v>193</v>
      </c>
      <c r="AB191" s="137" t="s">
        <v>193</v>
      </c>
      <c r="AC191" s="137" t="s">
        <v>193</v>
      </c>
      <c r="AD191" s="137" t="s">
        <v>193</v>
      </c>
      <c r="AE191" s="137" t="s">
        <v>193</v>
      </c>
      <c r="AF191" s="137" t="s">
        <v>193</v>
      </c>
      <c r="AG191" s="137" t="s">
        <v>193</v>
      </c>
      <c r="AH191" s="137" t="s">
        <v>53</v>
      </c>
      <c r="AI191" s="137" t="s">
        <v>193</v>
      </c>
      <c r="AJ191" s="137" t="s">
        <v>193</v>
      </c>
      <c r="AK191" s="137">
        <v>16.21</v>
      </c>
      <c r="AL191" s="137">
        <v>100</v>
      </c>
      <c r="AM191" s="137">
        <v>0</v>
      </c>
      <c r="AN191" s="137">
        <v>0</v>
      </c>
      <c r="AO191" s="137">
        <v>0</v>
      </c>
      <c r="AQ191" s="12">
        <f t="shared" si="19"/>
        <v>65.501000000000005</v>
      </c>
      <c r="AR191" s="12">
        <f t="shared" si="17"/>
        <v>81.711000000000013</v>
      </c>
      <c r="AT191" s="12">
        <f t="shared" si="20"/>
        <v>36.906999999999996</v>
      </c>
      <c r="AU191" s="12">
        <f t="shared" si="21"/>
        <v>16.536000000000001</v>
      </c>
      <c r="AV191" s="13">
        <f t="shared" si="22"/>
        <v>0.65404902644686747</v>
      </c>
      <c r="AY191" s="12">
        <f t="shared" si="23"/>
        <v>16.21</v>
      </c>
      <c r="AZ191" s="12">
        <f t="shared" si="24"/>
        <v>16.21</v>
      </c>
      <c r="BA191" s="12">
        <f t="shared" si="24"/>
        <v>0</v>
      </c>
      <c r="BB191" s="12">
        <f t="shared" si="24"/>
        <v>0</v>
      </c>
      <c r="BC191" s="12">
        <f t="shared" si="18"/>
        <v>0</v>
      </c>
      <c r="BD191" s="12">
        <f t="shared" si="25"/>
        <v>0</v>
      </c>
    </row>
    <row r="192" spans="1:56" ht="15" customHeight="1" x14ac:dyDescent="0.25">
      <c r="A192" s="137" t="s">
        <v>457</v>
      </c>
      <c r="B192" s="137" t="s">
        <v>460</v>
      </c>
      <c r="C192" s="137">
        <v>2018</v>
      </c>
      <c r="D192" s="137">
        <v>8.3510000000000009</v>
      </c>
      <c r="E192" s="137">
        <v>3.742</v>
      </c>
      <c r="F192" s="137" t="s">
        <v>193</v>
      </c>
      <c r="G192" s="137" t="s">
        <v>193</v>
      </c>
      <c r="H192" s="137" t="s">
        <v>193</v>
      </c>
      <c r="I192" s="137">
        <v>18.489000000000001</v>
      </c>
      <c r="J192" s="137" t="s">
        <v>193</v>
      </c>
      <c r="K192" s="137" t="s">
        <v>193</v>
      </c>
      <c r="L192" s="137" t="s">
        <v>193</v>
      </c>
      <c r="M192" s="137" t="s">
        <v>193</v>
      </c>
      <c r="N192" s="137" t="s">
        <v>193</v>
      </c>
      <c r="O192" s="137" t="s">
        <v>193</v>
      </c>
      <c r="P192" s="137" t="s">
        <v>193</v>
      </c>
      <c r="Q192" s="137">
        <v>8.875</v>
      </c>
      <c r="R192" s="137">
        <v>5.5060000000000002</v>
      </c>
      <c r="S192" s="137">
        <v>0.44</v>
      </c>
      <c r="T192" s="137" t="s">
        <v>193</v>
      </c>
      <c r="U192" s="137" t="s">
        <v>193</v>
      </c>
      <c r="V192" s="137" t="s">
        <v>193</v>
      </c>
      <c r="W192" s="137" t="s">
        <v>193</v>
      </c>
      <c r="X192" s="137" t="s">
        <v>193</v>
      </c>
      <c r="Y192" s="137" t="s">
        <v>193</v>
      </c>
      <c r="Z192" s="137" t="s">
        <v>193</v>
      </c>
      <c r="AA192" s="137" t="s">
        <v>193</v>
      </c>
      <c r="AB192" s="137" t="s">
        <v>193</v>
      </c>
      <c r="AC192" s="137" t="s">
        <v>193</v>
      </c>
      <c r="AD192" s="137" t="s">
        <v>193</v>
      </c>
      <c r="AE192" s="137" t="s">
        <v>193</v>
      </c>
      <c r="AF192" s="137" t="s">
        <v>193</v>
      </c>
      <c r="AG192" s="137" t="s">
        <v>193</v>
      </c>
      <c r="AH192" s="137" t="s">
        <v>53</v>
      </c>
      <c r="AI192" s="137" t="s">
        <v>193</v>
      </c>
      <c r="AJ192" s="137" t="s">
        <v>193</v>
      </c>
      <c r="AK192" s="137">
        <v>3.6680000000000001</v>
      </c>
      <c r="AL192" s="137">
        <v>100</v>
      </c>
      <c r="AM192" s="137">
        <v>0</v>
      </c>
      <c r="AN192" s="137">
        <v>0</v>
      </c>
      <c r="AO192" s="137">
        <v>0</v>
      </c>
      <c r="AQ192" s="12">
        <f t="shared" si="19"/>
        <v>14.821</v>
      </c>
      <c r="AR192" s="12">
        <f t="shared" si="17"/>
        <v>18.489000000000001</v>
      </c>
      <c r="AT192" s="12">
        <f t="shared" si="20"/>
        <v>8.3510000000000009</v>
      </c>
      <c r="AU192" s="12">
        <f t="shared" si="21"/>
        <v>3.742</v>
      </c>
      <c r="AV192" s="13">
        <f t="shared" si="22"/>
        <v>0.65406457893882841</v>
      </c>
      <c r="AY192" s="12">
        <f t="shared" si="23"/>
        <v>3.6680000000000001</v>
      </c>
      <c r="AZ192" s="12">
        <f t="shared" si="24"/>
        <v>3.6680000000000001</v>
      </c>
      <c r="BA192" s="12">
        <f t="shared" si="24"/>
        <v>0</v>
      </c>
      <c r="BB192" s="12">
        <f t="shared" si="24"/>
        <v>0</v>
      </c>
      <c r="BC192" s="12">
        <f t="shared" si="18"/>
        <v>0</v>
      </c>
      <c r="BD192" s="12">
        <f t="shared" si="25"/>
        <v>0</v>
      </c>
    </row>
    <row r="193" spans="1:56" ht="15" customHeight="1" x14ac:dyDescent="0.25">
      <c r="A193" s="137" t="s">
        <v>461</v>
      </c>
      <c r="B193" s="137" t="s">
        <v>462</v>
      </c>
      <c r="C193" s="137">
        <v>2018</v>
      </c>
      <c r="D193" s="137" t="s">
        <v>193</v>
      </c>
      <c r="E193" s="137" t="s">
        <v>193</v>
      </c>
      <c r="F193" s="137" t="s">
        <v>193</v>
      </c>
      <c r="G193" s="137" t="s">
        <v>193</v>
      </c>
      <c r="H193" s="137" t="s">
        <v>193</v>
      </c>
      <c r="I193" s="137" t="s">
        <v>193</v>
      </c>
      <c r="J193" s="137" t="s">
        <v>193</v>
      </c>
      <c r="K193" s="137" t="s">
        <v>193</v>
      </c>
      <c r="L193" s="137" t="s">
        <v>193</v>
      </c>
      <c r="M193" s="137" t="s">
        <v>193</v>
      </c>
      <c r="N193" s="137" t="s">
        <v>193</v>
      </c>
      <c r="O193" s="137" t="s">
        <v>193</v>
      </c>
      <c r="P193" s="137" t="s">
        <v>193</v>
      </c>
      <c r="Q193" s="137" t="s">
        <v>193</v>
      </c>
      <c r="R193" s="137" t="s">
        <v>193</v>
      </c>
      <c r="S193" s="137" t="s">
        <v>193</v>
      </c>
      <c r="T193" s="137" t="s">
        <v>193</v>
      </c>
      <c r="U193" s="137" t="s">
        <v>193</v>
      </c>
      <c r="V193" s="137" t="s">
        <v>193</v>
      </c>
      <c r="W193" s="137" t="s">
        <v>193</v>
      </c>
      <c r="X193" s="137" t="s">
        <v>193</v>
      </c>
      <c r="Y193" s="137" t="s">
        <v>193</v>
      </c>
      <c r="Z193" s="137" t="s">
        <v>193</v>
      </c>
      <c r="AA193" s="137" t="s">
        <v>193</v>
      </c>
      <c r="AB193" s="137" t="s">
        <v>193</v>
      </c>
      <c r="AC193" s="137" t="s">
        <v>193</v>
      </c>
      <c r="AD193" s="137" t="s">
        <v>193</v>
      </c>
      <c r="AE193" s="137" t="s">
        <v>193</v>
      </c>
      <c r="AF193" s="137" t="s">
        <v>193</v>
      </c>
      <c r="AG193" s="137" t="s">
        <v>193</v>
      </c>
      <c r="AH193" s="137" t="s">
        <v>199</v>
      </c>
      <c r="AI193" s="137" t="s">
        <v>193</v>
      </c>
      <c r="AJ193" s="137" t="s">
        <v>193</v>
      </c>
      <c r="AK193" s="137" t="s">
        <v>193</v>
      </c>
      <c r="AL193" s="137" t="s">
        <v>193</v>
      </c>
      <c r="AM193" s="137" t="s">
        <v>193</v>
      </c>
      <c r="AN193" s="137" t="s">
        <v>193</v>
      </c>
      <c r="AO193" s="137" t="s">
        <v>193</v>
      </c>
      <c r="AQ193" s="12">
        <f t="shared" si="19"/>
        <v>0</v>
      </c>
      <c r="AR193" s="12">
        <f t="shared" ref="AR193:AR256" si="26">SUMPRODUCT(J193:AF193)+SUMPRODUCT(AJ193:AK193)</f>
        <v>0</v>
      </c>
      <c r="AT193" s="12">
        <f t="shared" si="20"/>
        <v>0</v>
      </c>
      <c r="AU193" s="12">
        <f t="shared" si="21"/>
        <v>0</v>
      </c>
      <c r="AV193" s="13" t="str">
        <f t="shared" si="22"/>
        <v/>
      </c>
      <c r="AY193" s="12">
        <f t="shared" si="23"/>
        <v>0</v>
      </c>
      <c r="AZ193" s="12">
        <f t="shared" si="24"/>
        <v>0</v>
      </c>
      <c r="BA193" s="12">
        <f t="shared" si="24"/>
        <v>0</v>
      </c>
      <c r="BB193" s="12">
        <f t="shared" si="24"/>
        <v>0</v>
      </c>
      <c r="BC193" s="12">
        <f t="shared" si="24"/>
        <v>0</v>
      </c>
      <c r="BD193" s="12">
        <f t="shared" si="25"/>
        <v>0</v>
      </c>
    </row>
    <row r="194" spans="1:56" ht="15" customHeight="1" x14ac:dyDescent="0.25">
      <c r="A194" s="137" t="s">
        <v>461</v>
      </c>
      <c r="B194" s="137" t="s">
        <v>464</v>
      </c>
      <c r="C194" s="137">
        <v>2018</v>
      </c>
      <c r="D194" s="137" t="s">
        <v>193</v>
      </c>
      <c r="E194" s="137" t="s">
        <v>193</v>
      </c>
      <c r="F194" s="137" t="s">
        <v>193</v>
      </c>
      <c r="G194" s="137" t="s">
        <v>193</v>
      </c>
      <c r="H194" s="137" t="s">
        <v>193</v>
      </c>
      <c r="I194" s="137" t="s">
        <v>193</v>
      </c>
      <c r="J194" s="137" t="s">
        <v>193</v>
      </c>
      <c r="K194" s="137" t="s">
        <v>193</v>
      </c>
      <c r="L194" s="137" t="s">
        <v>193</v>
      </c>
      <c r="M194" s="137" t="s">
        <v>193</v>
      </c>
      <c r="N194" s="137" t="s">
        <v>193</v>
      </c>
      <c r="O194" s="137" t="s">
        <v>193</v>
      </c>
      <c r="P194" s="137" t="s">
        <v>193</v>
      </c>
      <c r="Q194" s="137" t="s">
        <v>193</v>
      </c>
      <c r="R194" s="137" t="s">
        <v>193</v>
      </c>
      <c r="S194" s="137" t="s">
        <v>193</v>
      </c>
      <c r="T194" s="137" t="s">
        <v>193</v>
      </c>
      <c r="U194" s="137" t="s">
        <v>193</v>
      </c>
      <c r="V194" s="137" t="s">
        <v>193</v>
      </c>
      <c r="W194" s="137" t="s">
        <v>193</v>
      </c>
      <c r="X194" s="137" t="s">
        <v>193</v>
      </c>
      <c r="Y194" s="137" t="s">
        <v>193</v>
      </c>
      <c r="Z194" s="137" t="s">
        <v>193</v>
      </c>
      <c r="AA194" s="137" t="s">
        <v>193</v>
      </c>
      <c r="AB194" s="137" t="s">
        <v>193</v>
      </c>
      <c r="AC194" s="137" t="s">
        <v>193</v>
      </c>
      <c r="AD194" s="137" t="s">
        <v>193</v>
      </c>
      <c r="AE194" s="137" t="s">
        <v>193</v>
      </c>
      <c r="AF194" s="137" t="s">
        <v>193</v>
      </c>
      <c r="AG194" s="137" t="s">
        <v>193</v>
      </c>
      <c r="AH194" s="137" t="s">
        <v>199</v>
      </c>
      <c r="AI194" s="137" t="s">
        <v>193</v>
      </c>
      <c r="AJ194" s="137" t="s">
        <v>193</v>
      </c>
      <c r="AK194" s="137" t="s">
        <v>193</v>
      </c>
      <c r="AL194" s="137" t="s">
        <v>193</v>
      </c>
      <c r="AM194" s="137" t="s">
        <v>193</v>
      </c>
      <c r="AN194" s="137" t="s">
        <v>193</v>
      </c>
      <c r="AO194" s="137" t="s">
        <v>193</v>
      </c>
      <c r="AQ194" s="12">
        <f t="shared" ref="AQ194:AQ257" si="27">SUMPRODUCT(J194:AF194)+IFERROR(AJ194/1,0)</f>
        <v>0</v>
      </c>
      <c r="AR194" s="12">
        <f t="shared" si="26"/>
        <v>0</v>
      </c>
      <c r="AT194" s="12">
        <f t="shared" ref="AT194:AT257" si="28">IFERROR(D194/1,0)</f>
        <v>0</v>
      </c>
      <c r="AU194" s="12">
        <f t="shared" ref="AU194:AU257" si="29">IFERROR(E194/1,0)</f>
        <v>0</v>
      </c>
      <c r="AV194" s="13" t="str">
        <f t="shared" ref="AV194:AV257" si="30">IFERROR((AT194+AU194)/AR194,"")</f>
        <v/>
      </c>
      <c r="AY194" s="12">
        <f t="shared" ref="AY194:AY257" si="31">IFERROR(AK194/1,0)</f>
        <v>0</v>
      </c>
      <c r="AZ194" s="12">
        <f t="shared" ref="AZ194:BC257" si="32">IFERROR(AL194/100,0)*$AY194</f>
        <v>0</v>
      </c>
      <c r="BA194" s="12">
        <f t="shared" si="32"/>
        <v>0</v>
      </c>
      <c r="BB194" s="12">
        <f t="shared" si="32"/>
        <v>0</v>
      </c>
      <c r="BC194" s="12">
        <f t="shared" si="32"/>
        <v>0</v>
      </c>
      <c r="BD194" s="12">
        <f t="shared" ref="BD194:BD257" si="33">MAX(AY194-SUM(AZ194:BC194),0)</f>
        <v>0</v>
      </c>
    </row>
    <row r="195" spans="1:56" ht="15" customHeight="1" x14ac:dyDescent="0.25">
      <c r="A195" s="137" t="s">
        <v>461</v>
      </c>
      <c r="B195" s="137" t="s">
        <v>465</v>
      </c>
      <c r="C195" s="137">
        <v>2018</v>
      </c>
      <c r="D195" s="137" t="s">
        <v>193</v>
      </c>
      <c r="E195" s="137" t="s">
        <v>193</v>
      </c>
      <c r="F195" s="137" t="s">
        <v>193</v>
      </c>
      <c r="G195" s="137" t="s">
        <v>193</v>
      </c>
      <c r="H195" s="137" t="s">
        <v>193</v>
      </c>
      <c r="I195" s="137" t="s">
        <v>193</v>
      </c>
      <c r="J195" s="137" t="s">
        <v>193</v>
      </c>
      <c r="K195" s="137" t="s">
        <v>193</v>
      </c>
      <c r="L195" s="137" t="s">
        <v>193</v>
      </c>
      <c r="M195" s="137" t="s">
        <v>193</v>
      </c>
      <c r="N195" s="137" t="s">
        <v>193</v>
      </c>
      <c r="O195" s="137" t="s">
        <v>193</v>
      </c>
      <c r="P195" s="137" t="s">
        <v>193</v>
      </c>
      <c r="Q195" s="137" t="s">
        <v>193</v>
      </c>
      <c r="R195" s="137" t="s">
        <v>193</v>
      </c>
      <c r="S195" s="137" t="s">
        <v>193</v>
      </c>
      <c r="T195" s="137" t="s">
        <v>193</v>
      </c>
      <c r="U195" s="137" t="s">
        <v>193</v>
      </c>
      <c r="V195" s="137" t="s">
        <v>193</v>
      </c>
      <c r="W195" s="137" t="s">
        <v>193</v>
      </c>
      <c r="X195" s="137" t="s">
        <v>193</v>
      </c>
      <c r="Y195" s="137" t="s">
        <v>193</v>
      </c>
      <c r="Z195" s="137" t="s">
        <v>193</v>
      </c>
      <c r="AA195" s="137" t="s">
        <v>193</v>
      </c>
      <c r="AB195" s="137" t="s">
        <v>193</v>
      </c>
      <c r="AC195" s="137" t="s">
        <v>193</v>
      </c>
      <c r="AD195" s="137" t="s">
        <v>193</v>
      </c>
      <c r="AE195" s="137" t="s">
        <v>193</v>
      </c>
      <c r="AF195" s="137" t="s">
        <v>193</v>
      </c>
      <c r="AG195" s="137" t="s">
        <v>193</v>
      </c>
      <c r="AH195" s="137" t="s">
        <v>199</v>
      </c>
      <c r="AI195" s="137" t="s">
        <v>193</v>
      </c>
      <c r="AJ195" s="137" t="s">
        <v>193</v>
      </c>
      <c r="AK195" s="137" t="s">
        <v>193</v>
      </c>
      <c r="AL195" s="137" t="s">
        <v>193</v>
      </c>
      <c r="AM195" s="137" t="s">
        <v>193</v>
      </c>
      <c r="AN195" s="137" t="s">
        <v>193</v>
      </c>
      <c r="AO195" s="137" t="s">
        <v>193</v>
      </c>
      <c r="AQ195" s="12">
        <f t="shared" si="27"/>
        <v>0</v>
      </c>
      <c r="AR195" s="12">
        <f t="shared" si="26"/>
        <v>0</v>
      </c>
      <c r="AT195" s="12">
        <f t="shared" si="28"/>
        <v>0</v>
      </c>
      <c r="AU195" s="12">
        <f t="shared" si="29"/>
        <v>0</v>
      </c>
      <c r="AV195" s="13" t="str">
        <f t="shared" si="30"/>
        <v/>
      </c>
      <c r="AY195" s="12">
        <f t="shared" si="31"/>
        <v>0</v>
      </c>
      <c r="AZ195" s="12">
        <f t="shared" si="32"/>
        <v>0</v>
      </c>
      <c r="BA195" s="12">
        <f t="shared" si="32"/>
        <v>0</v>
      </c>
      <c r="BB195" s="12">
        <f t="shared" si="32"/>
        <v>0</v>
      </c>
      <c r="BC195" s="12">
        <f t="shared" si="32"/>
        <v>0</v>
      </c>
      <c r="BD195" s="12">
        <f t="shared" si="33"/>
        <v>0</v>
      </c>
    </row>
    <row r="196" spans="1:56" ht="15" customHeight="1" x14ac:dyDescent="0.25">
      <c r="A196" s="137" t="s">
        <v>461</v>
      </c>
      <c r="B196" s="137" t="s">
        <v>101</v>
      </c>
      <c r="C196" s="137">
        <v>2018</v>
      </c>
      <c r="D196" s="137" t="s">
        <v>193</v>
      </c>
      <c r="E196" s="137" t="s">
        <v>193</v>
      </c>
      <c r="F196" s="137" t="s">
        <v>193</v>
      </c>
      <c r="G196" s="137" t="s">
        <v>193</v>
      </c>
      <c r="H196" s="137" t="s">
        <v>193</v>
      </c>
      <c r="I196" s="137" t="s">
        <v>193</v>
      </c>
      <c r="J196" s="137" t="s">
        <v>193</v>
      </c>
      <c r="K196" s="137" t="s">
        <v>193</v>
      </c>
      <c r="L196" s="137" t="s">
        <v>193</v>
      </c>
      <c r="M196" s="137" t="s">
        <v>193</v>
      </c>
      <c r="N196" s="137" t="s">
        <v>193</v>
      </c>
      <c r="O196" s="137" t="s">
        <v>193</v>
      </c>
      <c r="P196" s="137" t="s">
        <v>193</v>
      </c>
      <c r="Q196" s="137" t="s">
        <v>193</v>
      </c>
      <c r="R196" s="137" t="s">
        <v>193</v>
      </c>
      <c r="S196" s="137" t="s">
        <v>193</v>
      </c>
      <c r="T196" s="137" t="s">
        <v>193</v>
      </c>
      <c r="U196" s="137" t="s">
        <v>193</v>
      </c>
      <c r="V196" s="137" t="s">
        <v>193</v>
      </c>
      <c r="W196" s="137" t="s">
        <v>193</v>
      </c>
      <c r="X196" s="137" t="s">
        <v>193</v>
      </c>
      <c r="Y196" s="137" t="s">
        <v>193</v>
      </c>
      <c r="Z196" s="137" t="s">
        <v>193</v>
      </c>
      <c r="AA196" s="137" t="s">
        <v>193</v>
      </c>
      <c r="AB196" s="137" t="s">
        <v>193</v>
      </c>
      <c r="AC196" s="137" t="s">
        <v>193</v>
      </c>
      <c r="AD196" s="137" t="s">
        <v>193</v>
      </c>
      <c r="AE196" s="137" t="s">
        <v>193</v>
      </c>
      <c r="AF196" s="137" t="s">
        <v>193</v>
      </c>
      <c r="AG196" s="137" t="s">
        <v>193</v>
      </c>
      <c r="AH196" s="137" t="s">
        <v>199</v>
      </c>
      <c r="AI196" s="137" t="s">
        <v>193</v>
      </c>
      <c r="AJ196" s="137" t="s">
        <v>193</v>
      </c>
      <c r="AK196" s="137" t="s">
        <v>193</v>
      </c>
      <c r="AL196" s="137" t="s">
        <v>193</v>
      </c>
      <c r="AM196" s="137" t="s">
        <v>193</v>
      </c>
      <c r="AN196" s="137" t="s">
        <v>193</v>
      </c>
      <c r="AO196" s="137" t="s">
        <v>193</v>
      </c>
      <c r="AQ196" s="12">
        <f t="shared" si="27"/>
        <v>0</v>
      </c>
      <c r="AR196" s="12">
        <f t="shared" si="26"/>
        <v>0</v>
      </c>
      <c r="AT196" s="12">
        <f t="shared" si="28"/>
        <v>0</v>
      </c>
      <c r="AU196" s="12">
        <f t="shared" si="29"/>
        <v>0</v>
      </c>
      <c r="AV196" s="13" t="str">
        <f t="shared" si="30"/>
        <v/>
      </c>
      <c r="AY196" s="12">
        <f t="shared" si="31"/>
        <v>0</v>
      </c>
      <c r="AZ196" s="12">
        <f t="shared" si="32"/>
        <v>0</v>
      </c>
      <c r="BA196" s="12">
        <f t="shared" si="32"/>
        <v>0</v>
      </c>
      <c r="BB196" s="12">
        <f t="shared" si="32"/>
        <v>0</v>
      </c>
      <c r="BC196" s="12">
        <f t="shared" si="32"/>
        <v>0</v>
      </c>
      <c r="BD196" s="12">
        <f t="shared" si="33"/>
        <v>0</v>
      </c>
    </row>
    <row r="197" spans="1:56" ht="15" customHeight="1" x14ac:dyDescent="0.25">
      <c r="A197" s="137" t="s">
        <v>461</v>
      </c>
      <c r="B197" s="137" t="s">
        <v>103</v>
      </c>
      <c r="C197" s="137">
        <v>2018</v>
      </c>
      <c r="D197" s="137" t="s">
        <v>193</v>
      </c>
      <c r="E197" s="137" t="s">
        <v>193</v>
      </c>
      <c r="F197" s="137" t="s">
        <v>193</v>
      </c>
      <c r="G197" s="137" t="s">
        <v>193</v>
      </c>
      <c r="H197" s="137" t="s">
        <v>193</v>
      </c>
      <c r="I197" s="137" t="s">
        <v>193</v>
      </c>
      <c r="J197" s="137" t="s">
        <v>193</v>
      </c>
      <c r="K197" s="137" t="s">
        <v>193</v>
      </c>
      <c r="L197" s="137" t="s">
        <v>193</v>
      </c>
      <c r="M197" s="137" t="s">
        <v>193</v>
      </c>
      <c r="N197" s="137" t="s">
        <v>193</v>
      </c>
      <c r="O197" s="137" t="s">
        <v>193</v>
      </c>
      <c r="P197" s="137" t="s">
        <v>193</v>
      </c>
      <c r="Q197" s="137" t="s">
        <v>193</v>
      </c>
      <c r="R197" s="137" t="s">
        <v>193</v>
      </c>
      <c r="S197" s="137" t="s">
        <v>193</v>
      </c>
      <c r="T197" s="137" t="s">
        <v>193</v>
      </c>
      <c r="U197" s="137" t="s">
        <v>193</v>
      </c>
      <c r="V197" s="137" t="s">
        <v>193</v>
      </c>
      <c r="W197" s="137" t="s">
        <v>193</v>
      </c>
      <c r="X197" s="137" t="s">
        <v>193</v>
      </c>
      <c r="Y197" s="137" t="s">
        <v>193</v>
      </c>
      <c r="Z197" s="137" t="s">
        <v>193</v>
      </c>
      <c r="AA197" s="137" t="s">
        <v>193</v>
      </c>
      <c r="AB197" s="137" t="s">
        <v>193</v>
      </c>
      <c r="AC197" s="137" t="s">
        <v>193</v>
      </c>
      <c r="AD197" s="137" t="s">
        <v>193</v>
      </c>
      <c r="AE197" s="137" t="s">
        <v>193</v>
      </c>
      <c r="AF197" s="137" t="s">
        <v>193</v>
      </c>
      <c r="AG197" s="137" t="s">
        <v>193</v>
      </c>
      <c r="AH197" s="137" t="s">
        <v>199</v>
      </c>
      <c r="AI197" s="137" t="s">
        <v>193</v>
      </c>
      <c r="AJ197" s="137" t="s">
        <v>193</v>
      </c>
      <c r="AK197" s="137" t="s">
        <v>193</v>
      </c>
      <c r="AL197" s="137" t="s">
        <v>193</v>
      </c>
      <c r="AM197" s="137" t="s">
        <v>193</v>
      </c>
      <c r="AN197" s="137" t="s">
        <v>193</v>
      </c>
      <c r="AO197" s="137" t="s">
        <v>193</v>
      </c>
      <c r="AQ197" s="12">
        <f t="shared" si="27"/>
        <v>0</v>
      </c>
      <c r="AR197" s="12">
        <f t="shared" si="26"/>
        <v>0</v>
      </c>
      <c r="AT197" s="12">
        <f t="shared" si="28"/>
        <v>0</v>
      </c>
      <c r="AU197" s="12">
        <f t="shared" si="29"/>
        <v>0</v>
      </c>
      <c r="AV197" s="13" t="str">
        <f t="shared" si="30"/>
        <v/>
      </c>
      <c r="AY197" s="12">
        <f t="shared" si="31"/>
        <v>0</v>
      </c>
      <c r="AZ197" s="12">
        <f t="shared" si="32"/>
        <v>0</v>
      </c>
      <c r="BA197" s="12">
        <f t="shared" si="32"/>
        <v>0</v>
      </c>
      <c r="BB197" s="12">
        <f t="shared" si="32"/>
        <v>0</v>
      </c>
      <c r="BC197" s="12">
        <f t="shared" si="32"/>
        <v>0</v>
      </c>
      <c r="BD197" s="12">
        <f t="shared" si="33"/>
        <v>0</v>
      </c>
    </row>
    <row r="198" spans="1:56" ht="15" customHeight="1" x14ac:dyDescent="0.25">
      <c r="A198" s="137" t="s">
        <v>461</v>
      </c>
      <c r="B198" s="137" t="s">
        <v>468</v>
      </c>
      <c r="C198" s="137">
        <v>2018</v>
      </c>
      <c r="D198" s="137" t="s">
        <v>193</v>
      </c>
      <c r="E198" s="137" t="s">
        <v>193</v>
      </c>
      <c r="F198" s="137" t="s">
        <v>193</v>
      </c>
      <c r="G198" s="137" t="s">
        <v>193</v>
      </c>
      <c r="H198" s="137" t="s">
        <v>193</v>
      </c>
      <c r="I198" s="137" t="s">
        <v>193</v>
      </c>
      <c r="J198" s="137" t="s">
        <v>193</v>
      </c>
      <c r="K198" s="137" t="s">
        <v>193</v>
      </c>
      <c r="L198" s="137" t="s">
        <v>193</v>
      </c>
      <c r="M198" s="137" t="s">
        <v>193</v>
      </c>
      <c r="N198" s="137" t="s">
        <v>193</v>
      </c>
      <c r="O198" s="137" t="s">
        <v>193</v>
      </c>
      <c r="P198" s="137" t="s">
        <v>193</v>
      </c>
      <c r="Q198" s="137" t="s">
        <v>193</v>
      </c>
      <c r="R198" s="137" t="s">
        <v>193</v>
      </c>
      <c r="S198" s="137" t="s">
        <v>193</v>
      </c>
      <c r="T198" s="137" t="s">
        <v>193</v>
      </c>
      <c r="U198" s="137" t="s">
        <v>193</v>
      </c>
      <c r="V198" s="137" t="s">
        <v>193</v>
      </c>
      <c r="W198" s="137" t="s">
        <v>193</v>
      </c>
      <c r="X198" s="137" t="s">
        <v>193</v>
      </c>
      <c r="Y198" s="137" t="s">
        <v>193</v>
      </c>
      <c r="Z198" s="137" t="s">
        <v>193</v>
      </c>
      <c r="AA198" s="137" t="s">
        <v>193</v>
      </c>
      <c r="AB198" s="137" t="s">
        <v>193</v>
      </c>
      <c r="AC198" s="137" t="s">
        <v>193</v>
      </c>
      <c r="AD198" s="137" t="s">
        <v>193</v>
      </c>
      <c r="AE198" s="137" t="s">
        <v>193</v>
      </c>
      <c r="AF198" s="137" t="s">
        <v>193</v>
      </c>
      <c r="AG198" s="137" t="s">
        <v>193</v>
      </c>
      <c r="AH198" s="137" t="s">
        <v>199</v>
      </c>
      <c r="AI198" s="137" t="s">
        <v>193</v>
      </c>
      <c r="AJ198" s="137" t="s">
        <v>193</v>
      </c>
      <c r="AK198" s="137" t="s">
        <v>193</v>
      </c>
      <c r="AL198" s="137" t="s">
        <v>193</v>
      </c>
      <c r="AM198" s="137" t="s">
        <v>193</v>
      </c>
      <c r="AN198" s="137" t="s">
        <v>193</v>
      </c>
      <c r="AO198" s="137" t="s">
        <v>193</v>
      </c>
      <c r="AQ198" s="12">
        <f t="shared" si="27"/>
        <v>0</v>
      </c>
      <c r="AR198" s="12">
        <f t="shared" si="26"/>
        <v>0</v>
      </c>
      <c r="AT198" s="12">
        <f t="shared" si="28"/>
        <v>0</v>
      </c>
      <c r="AU198" s="12">
        <f t="shared" si="29"/>
        <v>0</v>
      </c>
      <c r="AV198" s="13" t="str">
        <f t="shared" si="30"/>
        <v/>
      </c>
      <c r="AY198" s="12">
        <f t="shared" si="31"/>
        <v>0</v>
      </c>
      <c r="AZ198" s="12">
        <f t="shared" si="32"/>
        <v>0</v>
      </c>
      <c r="BA198" s="12">
        <f t="shared" si="32"/>
        <v>0</v>
      </c>
      <c r="BB198" s="12">
        <f t="shared" si="32"/>
        <v>0</v>
      </c>
      <c r="BC198" s="12">
        <f t="shared" si="32"/>
        <v>0</v>
      </c>
      <c r="BD198" s="12">
        <f t="shared" si="33"/>
        <v>0</v>
      </c>
    </row>
    <row r="199" spans="1:56" ht="15" customHeight="1" x14ac:dyDescent="0.25">
      <c r="A199" s="137" t="s">
        <v>461</v>
      </c>
      <c r="B199" s="137" t="s">
        <v>105</v>
      </c>
      <c r="C199" s="137">
        <v>2018</v>
      </c>
      <c r="D199" s="137" t="s">
        <v>193</v>
      </c>
      <c r="E199" s="137" t="s">
        <v>193</v>
      </c>
      <c r="F199" s="137" t="s">
        <v>193</v>
      </c>
      <c r="G199" s="137" t="s">
        <v>193</v>
      </c>
      <c r="H199" s="137" t="s">
        <v>193</v>
      </c>
      <c r="I199" s="137" t="s">
        <v>193</v>
      </c>
      <c r="J199" s="137" t="s">
        <v>193</v>
      </c>
      <c r="K199" s="137" t="s">
        <v>193</v>
      </c>
      <c r="L199" s="137" t="s">
        <v>193</v>
      </c>
      <c r="M199" s="137" t="s">
        <v>193</v>
      </c>
      <c r="N199" s="137" t="s">
        <v>193</v>
      </c>
      <c r="O199" s="137" t="s">
        <v>193</v>
      </c>
      <c r="P199" s="137" t="s">
        <v>193</v>
      </c>
      <c r="Q199" s="137" t="s">
        <v>193</v>
      </c>
      <c r="R199" s="137" t="s">
        <v>193</v>
      </c>
      <c r="S199" s="137" t="s">
        <v>193</v>
      </c>
      <c r="T199" s="137" t="s">
        <v>193</v>
      </c>
      <c r="U199" s="137" t="s">
        <v>193</v>
      </c>
      <c r="V199" s="137" t="s">
        <v>193</v>
      </c>
      <c r="W199" s="137" t="s">
        <v>193</v>
      </c>
      <c r="X199" s="137" t="s">
        <v>193</v>
      </c>
      <c r="Y199" s="137" t="s">
        <v>193</v>
      </c>
      <c r="Z199" s="137" t="s">
        <v>193</v>
      </c>
      <c r="AA199" s="137" t="s">
        <v>193</v>
      </c>
      <c r="AB199" s="137" t="s">
        <v>193</v>
      </c>
      <c r="AC199" s="137" t="s">
        <v>193</v>
      </c>
      <c r="AD199" s="137" t="s">
        <v>193</v>
      </c>
      <c r="AE199" s="137" t="s">
        <v>193</v>
      </c>
      <c r="AF199" s="137" t="s">
        <v>193</v>
      </c>
      <c r="AG199" s="137" t="s">
        <v>193</v>
      </c>
      <c r="AH199" s="137" t="s">
        <v>199</v>
      </c>
      <c r="AI199" s="137" t="s">
        <v>193</v>
      </c>
      <c r="AJ199" s="137" t="s">
        <v>193</v>
      </c>
      <c r="AK199" s="137" t="s">
        <v>193</v>
      </c>
      <c r="AL199" s="137" t="s">
        <v>193</v>
      </c>
      <c r="AM199" s="137" t="s">
        <v>193</v>
      </c>
      <c r="AN199" s="137" t="s">
        <v>193</v>
      </c>
      <c r="AO199" s="137" t="s">
        <v>193</v>
      </c>
      <c r="AQ199" s="12">
        <f t="shared" si="27"/>
        <v>0</v>
      </c>
      <c r="AR199" s="12">
        <f t="shared" si="26"/>
        <v>0</v>
      </c>
      <c r="AT199" s="12">
        <f t="shared" si="28"/>
        <v>0</v>
      </c>
      <c r="AU199" s="12">
        <f t="shared" si="29"/>
        <v>0</v>
      </c>
      <c r="AV199" s="13" t="str">
        <f t="shared" si="30"/>
        <v/>
      </c>
      <c r="AY199" s="12">
        <f t="shared" si="31"/>
        <v>0</v>
      </c>
      <c r="AZ199" s="12">
        <f t="shared" si="32"/>
        <v>0</v>
      </c>
      <c r="BA199" s="12">
        <f t="shared" si="32"/>
        <v>0</v>
      </c>
      <c r="BB199" s="12">
        <f t="shared" si="32"/>
        <v>0</v>
      </c>
      <c r="BC199" s="12">
        <f t="shared" si="32"/>
        <v>0</v>
      </c>
      <c r="BD199" s="12">
        <f t="shared" si="33"/>
        <v>0</v>
      </c>
    </row>
    <row r="200" spans="1:56" ht="15" customHeight="1" x14ac:dyDescent="0.25">
      <c r="A200" s="137" t="s">
        <v>461</v>
      </c>
      <c r="B200" s="137" t="s">
        <v>107</v>
      </c>
      <c r="C200" s="137">
        <v>2018</v>
      </c>
      <c r="D200" s="137" t="s">
        <v>193</v>
      </c>
      <c r="E200" s="137" t="s">
        <v>193</v>
      </c>
      <c r="F200" s="137" t="s">
        <v>193</v>
      </c>
      <c r="G200" s="137" t="s">
        <v>193</v>
      </c>
      <c r="H200" s="137" t="s">
        <v>193</v>
      </c>
      <c r="I200" s="137" t="s">
        <v>193</v>
      </c>
      <c r="J200" s="137" t="s">
        <v>193</v>
      </c>
      <c r="K200" s="137" t="s">
        <v>193</v>
      </c>
      <c r="L200" s="137" t="s">
        <v>193</v>
      </c>
      <c r="M200" s="137" t="s">
        <v>193</v>
      </c>
      <c r="N200" s="137" t="s">
        <v>193</v>
      </c>
      <c r="O200" s="137" t="s">
        <v>193</v>
      </c>
      <c r="P200" s="137" t="s">
        <v>193</v>
      </c>
      <c r="Q200" s="137" t="s">
        <v>193</v>
      </c>
      <c r="R200" s="137" t="s">
        <v>193</v>
      </c>
      <c r="S200" s="137" t="s">
        <v>193</v>
      </c>
      <c r="T200" s="137" t="s">
        <v>193</v>
      </c>
      <c r="U200" s="137" t="s">
        <v>193</v>
      </c>
      <c r="V200" s="137" t="s">
        <v>193</v>
      </c>
      <c r="W200" s="137" t="s">
        <v>193</v>
      </c>
      <c r="X200" s="137" t="s">
        <v>193</v>
      </c>
      <c r="Y200" s="137" t="s">
        <v>193</v>
      </c>
      <c r="Z200" s="137" t="s">
        <v>193</v>
      </c>
      <c r="AA200" s="137" t="s">
        <v>193</v>
      </c>
      <c r="AB200" s="137" t="s">
        <v>193</v>
      </c>
      <c r="AC200" s="137" t="s">
        <v>193</v>
      </c>
      <c r="AD200" s="137" t="s">
        <v>193</v>
      </c>
      <c r="AE200" s="137" t="s">
        <v>193</v>
      </c>
      <c r="AF200" s="137" t="s">
        <v>193</v>
      </c>
      <c r="AG200" s="137" t="s">
        <v>193</v>
      </c>
      <c r="AH200" s="137" t="s">
        <v>199</v>
      </c>
      <c r="AI200" s="137" t="s">
        <v>193</v>
      </c>
      <c r="AJ200" s="137" t="s">
        <v>193</v>
      </c>
      <c r="AK200" s="137" t="s">
        <v>193</v>
      </c>
      <c r="AL200" s="137" t="s">
        <v>193</v>
      </c>
      <c r="AM200" s="137" t="s">
        <v>193</v>
      </c>
      <c r="AN200" s="137" t="s">
        <v>193</v>
      </c>
      <c r="AO200" s="137" t="s">
        <v>193</v>
      </c>
      <c r="AQ200" s="12">
        <f t="shared" si="27"/>
        <v>0</v>
      </c>
      <c r="AR200" s="12">
        <f t="shared" si="26"/>
        <v>0</v>
      </c>
      <c r="AT200" s="12">
        <f t="shared" si="28"/>
        <v>0</v>
      </c>
      <c r="AU200" s="12">
        <f t="shared" si="29"/>
        <v>0</v>
      </c>
      <c r="AV200" s="13" t="str">
        <f t="shared" si="30"/>
        <v/>
      </c>
      <c r="AY200" s="12">
        <f t="shared" si="31"/>
        <v>0</v>
      </c>
      <c r="AZ200" s="12">
        <f t="shared" si="32"/>
        <v>0</v>
      </c>
      <c r="BA200" s="12">
        <f t="shared" si="32"/>
        <v>0</v>
      </c>
      <c r="BB200" s="12">
        <f t="shared" si="32"/>
        <v>0</v>
      </c>
      <c r="BC200" s="12">
        <f t="shared" si="32"/>
        <v>0</v>
      </c>
      <c r="BD200" s="12">
        <f t="shared" si="33"/>
        <v>0</v>
      </c>
    </row>
    <row r="201" spans="1:56" ht="15" customHeight="1" x14ac:dyDescent="0.25">
      <c r="A201" s="137" t="s">
        <v>461</v>
      </c>
      <c r="B201" s="137" t="s">
        <v>109</v>
      </c>
      <c r="C201" s="137">
        <v>2018</v>
      </c>
      <c r="D201" s="137" t="s">
        <v>193</v>
      </c>
      <c r="E201" s="137" t="s">
        <v>193</v>
      </c>
      <c r="F201" s="137" t="s">
        <v>193</v>
      </c>
      <c r="G201" s="137" t="s">
        <v>193</v>
      </c>
      <c r="H201" s="137" t="s">
        <v>193</v>
      </c>
      <c r="I201" s="137" t="s">
        <v>193</v>
      </c>
      <c r="J201" s="137" t="s">
        <v>193</v>
      </c>
      <c r="K201" s="137" t="s">
        <v>193</v>
      </c>
      <c r="L201" s="137" t="s">
        <v>193</v>
      </c>
      <c r="M201" s="137" t="s">
        <v>193</v>
      </c>
      <c r="N201" s="137" t="s">
        <v>193</v>
      </c>
      <c r="O201" s="137" t="s">
        <v>193</v>
      </c>
      <c r="P201" s="137" t="s">
        <v>193</v>
      </c>
      <c r="Q201" s="137" t="s">
        <v>193</v>
      </c>
      <c r="R201" s="137" t="s">
        <v>193</v>
      </c>
      <c r="S201" s="137" t="s">
        <v>193</v>
      </c>
      <c r="T201" s="137" t="s">
        <v>193</v>
      </c>
      <c r="U201" s="137" t="s">
        <v>193</v>
      </c>
      <c r="V201" s="137" t="s">
        <v>193</v>
      </c>
      <c r="W201" s="137" t="s">
        <v>193</v>
      </c>
      <c r="X201" s="137" t="s">
        <v>193</v>
      </c>
      <c r="Y201" s="137" t="s">
        <v>193</v>
      </c>
      <c r="Z201" s="137" t="s">
        <v>193</v>
      </c>
      <c r="AA201" s="137" t="s">
        <v>193</v>
      </c>
      <c r="AB201" s="137" t="s">
        <v>193</v>
      </c>
      <c r="AC201" s="137" t="s">
        <v>193</v>
      </c>
      <c r="AD201" s="137" t="s">
        <v>193</v>
      </c>
      <c r="AE201" s="137" t="s">
        <v>193</v>
      </c>
      <c r="AF201" s="137" t="s">
        <v>193</v>
      </c>
      <c r="AG201" s="137" t="s">
        <v>193</v>
      </c>
      <c r="AH201" s="137" t="s">
        <v>199</v>
      </c>
      <c r="AI201" s="137" t="s">
        <v>193</v>
      </c>
      <c r="AJ201" s="137" t="s">
        <v>193</v>
      </c>
      <c r="AK201" s="137" t="s">
        <v>193</v>
      </c>
      <c r="AL201" s="137" t="s">
        <v>193</v>
      </c>
      <c r="AM201" s="137" t="s">
        <v>193</v>
      </c>
      <c r="AN201" s="137" t="s">
        <v>193</v>
      </c>
      <c r="AO201" s="137" t="s">
        <v>193</v>
      </c>
      <c r="AQ201" s="12">
        <f t="shared" si="27"/>
        <v>0</v>
      </c>
      <c r="AR201" s="12">
        <f t="shared" si="26"/>
        <v>0</v>
      </c>
      <c r="AT201" s="12">
        <f t="shared" si="28"/>
        <v>0</v>
      </c>
      <c r="AU201" s="12">
        <f t="shared" si="29"/>
        <v>0</v>
      </c>
      <c r="AV201" s="13" t="str">
        <f t="shared" si="30"/>
        <v/>
      </c>
      <c r="AY201" s="12">
        <f t="shared" si="31"/>
        <v>0</v>
      </c>
      <c r="AZ201" s="12">
        <f t="shared" si="32"/>
        <v>0</v>
      </c>
      <c r="BA201" s="12">
        <f t="shared" si="32"/>
        <v>0</v>
      </c>
      <c r="BB201" s="12">
        <f t="shared" si="32"/>
        <v>0</v>
      </c>
      <c r="BC201" s="12">
        <f t="shared" si="32"/>
        <v>0</v>
      </c>
      <c r="BD201" s="12">
        <f t="shared" si="33"/>
        <v>0</v>
      </c>
    </row>
    <row r="202" spans="1:56" ht="15" customHeight="1" x14ac:dyDescent="0.25">
      <c r="A202" s="137" t="s">
        <v>461</v>
      </c>
      <c r="B202" s="137" t="s">
        <v>111</v>
      </c>
      <c r="C202" s="137">
        <v>2018</v>
      </c>
      <c r="D202" s="137" t="s">
        <v>193</v>
      </c>
      <c r="E202" s="137" t="s">
        <v>193</v>
      </c>
      <c r="F202" s="137" t="s">
        <v>193</v>
      </c>
      <c r="G202" s="137" t="s">
        <v>193</v>
      </c>
      <c r="H202" s="137" t="s">
        <v>193</v>
      </c>
      <c r="I202" s="137" t="s">
        <v>193</v>
      </c>
      <c r="J202" s="137" t="s">
        <v>193</v>
      </c>
      <c r="K202" s="137" t="s">
        <v>193</v>
      </c>
      <c r="L202" s="137" t="s">
        <v>193</v>
      </c>
      <c r="M202" s="137" t="s">
        <v>193</v>
      </c>
      <c r="N202" s="137" t="s">
        <v>193</v>
      </c>
      <c r="O202" s="137" t="s">
        <v>193</v>
      </c>
      <c r="P202" s="137" t="s">
        <v>193</v>
      </c>
      <c r="Q202" s="137" t="s">
        <v>193</v>
      </c>
      <c r="R202" s="137" t="s">
        <v>193</v>
      </c>
      <c r="S202" s="137" t="s">
        <v>193</v>
      </c>
      <c r="T202" s="137" t="s">
        <v>193</v>
      </c>
      <c r="U202" s="137" t="s">
        <v>193</v>
      </c>
      <c r="V202" s="137" t="s">
        <v>193</v>
      </c>
      <c r="W202" s="137" t="s">
        <v>193</v>
      </c>
      <c r="X202" s="137" t="s">
        <v>193</v>
      </c>
      <c r="Y202" s="137" t="s">
        <v>193</v>
      </c>
      <c r="Z202" s="137" t="s">
        <v>193</v>
      </c>
      <c r="AA202" s="137" t="s">
        <v>193</v>
      </c>
      <c r="AB202" s="137" t="s">
        <v>193</v>
      </c>
      <c r="AC202" s="137" t="s">
        <v>193</v>
      </c>
      <c r="AD202" s="137" t="s">
        <v>193</v>
      </c>
      <c r="AE202" s="137" t="s">
        <v>193</v>
      </c>
      <c r="AF202" s="137" t="s">
        <v>193</v>
      </c>
      <c r="AG202" s="137" t="s">
        <v>193</v>
      </c>
      <c r="AH202" s="137" t="s">
        <v>199</v>
      </c>
      <c r="AI202" s="137" t="s">
        <v>193</v>
      </c>
      <c r="AJ202" s="137" t="s">
        <v>193</v>
      </c>
      <c r="AK202" s="137" t="s">
        <v>193</v>
      </c>
      <c r="AL202" s="137" t="s">
        <v>193</v>
      </c>
      <c r="AM202" s="137" t="s">
        <v>193</v>
      </c>
      <c r="AN202" s="137" t="s">
        <v>193</v>
      </c>
      <c r="AO202" s="137" t="s">
        <v>193</v>
      </c>
      <c r="AQ202" s="12">
        <f t="shared" si="27"/>
        <v>0</v>
      </c>
      <c r="AR202" s="12">
        <f t="shared" si="26"/>
        <v>0</v>
      </c>
      <c r="AT202" s="12">
        <f t="shared" si="28"/>
        <v>0</v>
      </c>
      <c r="AU202" s="12">
        <f t="shared" si="29"/>
        <v>0</v>
      </c>
      <c r="AV202" s="13" t="str">
        <f t="shared" si="30"/>
        <v/>
      </c>
      <c r="AY202" s="12">
        <f t="shared" si="31"/>
        <v>0</v>
      </c>
      <c r="AZ202" s="12">
        <f t="shared" si="32"/>
        <v>0</v>
      </c>
      <c r="BA202" s="12">
        <f t="shared" si="32"/>
        <v>0</v>
      </c>
      <c r="BB202" s="12">
        <f t="shared" si="32"/>
        <v>0</v>
      </c>
      <c r="BC202" s="12">
        <f t="shared" si="32"/>
        <v>0</v>
      </c>
      <c r="BD202" s="12">
        <f t="shared" si="33"/>
        <v>0</v>
      </c>
    </row>
    <row r="203" spans="1:56" ht="15" customHeight="1" x14ac:dyDescent="0.25">
      <c r="A203" s="137" t="s">
        <v>461</v>
      </c>
      <c r="B203" s="137" t="s">
        <v>469</v>
      </c>
      <c r="C203" s="137">
        <v>2018</v>
      </c>
      <c r="D203" s="137" t="s">
        <v>193</v>
      </c>
      <c r="E203" s="137" t="s">
        <v>193</v>
      </c>
      <c r="F203" s="137" t="s">
        <v>193</v>
      </c>
      <c r="G203" s="137" t="s">
        <v>193</v>
      </c>
      <c r="H203" s="137" t="s">
        <v>193</v>
      </c>
      <c r="I203" s="137" t="s">
        <v>193</v>
      </c>
      <c r="J203" s="137" t="s">
        <v>193</v>
      </c>
      <c r="K203" s="137" t="s">
        <v>193</v>
      </c>
      <c r="L203" s="137" t="s">
        <v>193</v>
      </c>
      <c r="M203" s="137" t="s">
        <v>193</v>
      </c>
      <c r="N203" s="137" t="s">
        <v>193</v>
      </c>
      <c r="O203" s="137" t="s">
        <v>193</v>
      </c>
      <c r="P203" s="137" t="s">
        <v>193</v>
      </c>
      <c r="Q203" s="137" t="s">
        <v>193</v>
      </c>
      <c r="R203" s="137" t="s">
        <v>193</v>
      </c>
      <c r="S203" s="137" t="s">
        <v>193</v>
      </c>
      <c r="T203" s="137" t="s">
        <v>193</v>
      </c>
      <c r="U203" s="137" t="s">
        <v>193</v>
      </c>
      <c r="V203" s="137" t="s">
        <v>193</v>
      </c>
      <c r="W203" s="137" t="s">
        <v>193</v>
      </c>
      <c r="X203" s="137" t="s">
        <v>193</v>
      </c>
      <c r="Y203" s="137" t="s">
        <v>193</v>
      </c>
      <c r="Z203" s="137" t="s">
        <v>193</v>
      </c>
      <c r="AA203" s="137" t="s">
        <v>193</v>
      </c>
      <c r="AB203" s="137" t="s">
        <v>193</v>
      </c>
      <c r="AC203" s="137" t="s">
        <v>193</v>
      </c>
      <c r="AD203" s="137" t="s">
        <v>193</v>
      </c>
      <c r="AE203" s="137" t="s">
        <v>193</v>
      </c>
      <c r="AF203" s="137" t="s">
        <v>193</v>
      </c>
      <c r="AG203" s="137" t="s">
        <v>193</v>
      </c>
      <c r="AH203" s="137" t="s">
        <v>199</v>
      </c>
      <c r="AI203" s="137" t="s">
        <v>193</v>
      </c>
      <c r="AJ203" s="137" t="s">
        <v>193</v>
      </c>
      <c r="AK203" s="137" t="s">
        <v>193</v>
      </c>
      <c r="AL203" s="137" t="s">
        <v>193</v>
      </c>
      <c r="AM203" s="137" t="s">
        <v>193</v>
      </c>
      <c r="AN203" s="137" t="s">
        <v>193</v>
      </c>
      <c r="AO203" s="137" t="s">
        <v>193</v>
      </c>
      <c r="AQ203" s="12">
        <f t="shared" si="27"/>
        <v>0</v>
      </c>
      <c r="AR203" s="12">
        <f t="shared" si="26"/>
        <v>0</v>
      </c>
      <c r="AT203" s="12">
        <f t="shared" si="28"/>
        <v>0</v>
      </c>
      <c r="AU203" s="12">
        <f t="shared" si="29"/>
        <v>0</v>
      </c>
      <c r="AV203" s="13" t="str">
        <f t="shared" si="30"/>
        <v/>
      </c>
      <c r="AY203" s="12">
        <f t="shared" si="31"/>
        <v>0</v>
      </c>
      <c r="AZ203" s="12">
        <f t="shared" si="32"/>
        <v>0</v>
      </c>
      <c r="BA203" s="12">
        <f t="shared" si="32"/>
        <v>0</v>
      </c>
      <c r="BB203" s="12">
        <f t="shared" si="32"/>
        <v>0</v>
      </c>
      <c r="BC203" s="12">
        <f t="shared" si="32"/>
        <v>0</v>
      </c>
      <c r="BD203" s="12">
        <f t="shared" si="33"/>
        <v>0</v>
      </c>
    </row>
    <row r="204" spans="1:56" ht="15" customHeight="1" x14ac:dyDescent="0.25">
      <c r="A204" s="137" t="s">
        <v>461</v>
      </c>
      <c r="B204" s="137" t="s">
        <v>470</v>
      </c>
      <c r="C204" s="137">
        <v>2018</v>
      </c>
      <c r="D204" s="137" t="s">
        <v>193</v>
      </c>
      <c r="E204" s="137" t="s">
        <v>193</v>
      </c>
      <c r="F204" s="137" t="s">
        <v>193</v>
      </c>
      <c r="G204" s="137" t="s">
        <v>193</v>
      </c>
      <c r="H204" s="137" t="s">
        <v>193</v>
      </c>
      <c r="I204" s="137" t="s">
        <v>193</v>
      </c>
      <c r="J204" s="137" t="s">
        <v>193</v>
      </c>
      <c r="K204" s="137" t="s">
        <v>193</v>
      </c>
      <c r="L204" s="137" t="s">
        <v>193</v>
      </c>
      <c r="M204" s="137" t="s">
        <v>193</v>
      </c>
      <c r="N204" s="137" t="s">
        <v>193</v>
      </c>
      <c r="O204" s="137" t="s">
        <v>193</v>
      </c>
      <c r="P204" s="137" t="s">
        <v>193</v>
      </c>
      <c r="Q204" s="137" t="s">
        <v>193</v>
      </c>
      <c r="R204" s="137" t="s">
        <v>193</v>
      </c>
      <c r="S204" s="137" t="s">
        <v>193</v>
      </c>
      <c r="T204" s="137" t="s">
        <v>193</v>
      </c>
      <c r="U204" s="137" t="s">
        <v>193</v>
      </c>
      <c r="V204" s="137" t="s">
        <v>193</v>
      </c>
      <c r="W204" s="137" t="s">
        <v>193</v>
      </c>
      <c r="X204" s="137" t="s">
        <v>193</v>
      </c>
      <c r="Y204" s="137" t="s">
        <v>193</v>
      </c>
      <c r="Z204" s="137" t="s">
        <v>193</v>
      </c>
      <c r="AA204" s="137" t="s">
        <v>193</v>
      </c>
      <c r="AB204" s="137" t="s">
        <v>193</v>
      </c>
      <c r="AC204" s="137" t="s">
        <v>193</v>
      </c>
      <c r="AD204" s="137" t="s">
        <v>193</v>
      </c>
      <c r="AE204" s="137" t="s">
        <v>193</v>
      </c>
      <c r="AF204" s="137" t="s">
        <v>193</v>
      </c>
      <c r="AG204" s="137" t="s">
        <v>193</v>
      </c>
      <c r="AH204" s="137" t="s">
        <v>199</v>
      </c>
      <c r="AI204" s="137" t="s">
        <v>193</v>
      </c>
      <c r="AJ204" s="137" t="s">
        <v>193</v>
      </c>
      <c r="AK204" s="137" t="s">
        <v>193</v>
      </c>
      <c r="AL204" s="137" t="s">
        <v>193</v>
      </c>
      <c r="AM204" s="137" t="s">
        <v>193</v>
      </c>
      <c r="AN204" s="137" t="s">
        <v>193</v>
      </c>
      <c r="AO204" s="137" t="s">
        <v>193</v>
      </c>
      <c r="AQ204" s="12">
        <f t="shared" si="27"/>
        <v>0</v>
      </c>
      <c r="AR204" s="12">
        <f t="shared" si="26"/>
        <v>0</v>
      </c>
      <c r="AT204" s="12">
        <f t="shared" si="28"/>
        <v>0</v>
      </c>
      <c r="AU204" s="12">
        <f t="shared" si="29"/>
        <v>0</v>
      </c>
      <c r="AV204" s="13" t="str">
        <f t="shared" si="30"/>
        <v/>
      </c>
      <c r="AY204" s="12">
        <f t="shared" si="31"/>
        <v>0</v>
      </c>
      <c r="AZ204" s="12">
        <f t="shared" si="32"/>
        <v>0</v>
      </c>
      <c r="BA204" s="12">
        <f t="shared" si="32"/>
        <v>0</v>
      </c>
      <c r="BB204" s="12">
        <f t="shared" si="32"/>
        <v>0</v>
      </c>
      <c r="BC204" s="12">
        <f t="shared" si="32"/>
        <v>0</v>
      </c>
      <c r="BD204" s="12">
        <f t="shared" si="33"/>
        <v>0</v>
      </c>
    </row>
    <row r="205" spans="1:56" ht="15" customHeight="1" x14ac:dyDescent="0.25">
      <c r="A205" s="137" t="s">
        <v>461</v>
      </c>
      <c r="B205" s="137" t="s">
        <v>113</v>
      </c>
      <c r="C205" s="137">
        <v>2018</v>
      </c>
      <c r="D205" s="137" t="s">
        <v>193</v>
      </c>
      <c r="E205" s="137" t="s">
        <v>193</v>
      </c>
      <c r="F205" s="137" t="s">
        <v>193</v>
      </c>
      <c r="G205" s="137" t="s">
        <v>193</v>
      </c>
      <c r="H205" s="137" t="s">
        <v>193</v>
      </c>
      <c r="I205" s="137" t="s">
        <v>193</v>
      </c>
      <c r="J205" s="137" t="s">
        <v>193</v>
      </c>
      <c r="K205" s="137" t="s">
        <v>193</v>
      </c>
      <c r="L205" s="137" t="s">
        <v>193</v>
      </c>
      <c r="M205" s="137" t="s">
        <v>193</v>
      </c>
      <c r="N205" s="137" t="s">
        <v>193</v>
      </c>
      <c r="O205" s="137" t="s">
        <v>193</v>
      </c>
      <c r="P205" s="137" t="s">
        <v>193</v>
      </c>
      <c r="Q205" s="137" t="s">
        <v>193</v>
      </c>
      <c r="R205" s="137" t="s">
        <v>193</v>
      </c>
      <c r="S205" s="137" t="s">
        <v>193</v>
      </c>
      <c r="T205" s="137" t="s">
        <v>193</v>
      </c>
      <c r="U205" s="137" t="s">
        <v>193</v>
      </c>
      <c r="V205" s="137" t="s">
        <v>193</v>
      </c>
      <c r="W205" s="137" t="s">
        <v>194</v>
      </c>
      <c r="X205" s="137" t="s">
        <v>193</v>
      </c>
      <c r="Y205" s="137" t="s">
        <v>193</v>
      </c>
      <c r="Z205" s="137" t="s">
        <v>193</v>
      </c>
      <c r="AA205" s="137" t="s">
        <v>193</v>
      </c>
      <c r="AB205" s="137" t="s">
        <v>193</v>
      </c>
      <c r="AC205" s="137" t="s">
        <v>193</v>
      </c>
      <c r="AD205" s="137" t="s">
        <v>193</v>
      </c>
      <c r="AE205" s="137" t="s">
        <v>193</v>
      </c>
      <c r="AF205" s="137" t="s">
        <v>193</v>
      </c>
      <c r="AG205" s="137" t="s">
        <v>193</v>
      </c>
      <c r="AH205" s="137" t="s">
        <v>199</v>
      </c>
      <c r="AI205" s="137" t="s">
        <v>193</v>
      </c>
      <c r="AJ205" s="137" t="s">
        <v>193</v>
      </c>
      <c r="AK205" s="137" t="s">
        <v>193</v>
      </c>
      <c r="AL205" s="137" t="s">
        <v>193</v>
      </c>
      <c r="AM205" s="137" t="s">
        <v>193</v>
      </c>
      <c r="AN205" s="137" t="s">
        <v>193</v>
      </c>
      <c r="AO205" s="137" t="s">
        <v>193</v>
      </c>
      <c r="AQ205" s="12">
        <f t="shared" si="27"/>
        <v>0</v>
      </c>
      <c r="AR205" s="12">
        <f t="shared" si="26"/>
        <v>0</v>
      </c>
      <c r="AT205" s="12">
        <f t="shared" si="28"/>
        <v>0</v>
      </c>
      <c r="AU205" s="12">
        <f t="shared" si="29"/>
        <v>0</v>
      </c>
      <c r="AV205" s="13" t="str">
        <f t="shared" si="30"/>
        <v/>
      </c>
      <c r="AY205" s="12">
        <f t="shared" si="31"/>
        <v>0</v>
      </c>
      <c r="AZ205" s="12">
        <f t="shared" si="32"/>
        <v>0</v>
      </c>
      <c r="BA205" s="12">
        <f t="shared" si="32"/>
        <v>0</v>
      </c>
      <c r="BB205" s="12">
        <f t="shared" si="32"/>
        <v>0</v>
      </c>
      <c r="BC205" s="12">
        <f t="shared" si="32"/>
        <v>0</v>
      </c>
      <c r="BD205" s="12">
        <f t="shared" si="33"/>
        <v>0</v>
      </c>
    </row>
    <row r="206" spans="1:56" ht="15" customHeight="1" x14ac:dyDescent="0.25">
      <c r="A206" s="137" t="s">
        <v>474</v>
      </c>
      <c r="B206" s="137" t="s">
        <v>475</v>
      </c>
      <c r="C206" s="137">
        <v>2018</v>
      </c>
      <c r="D206" s="137" t="s">
        <v>193</v>
      </c>
      <c r="E206" s="137" t="s">
        <v>193</v>
      </c>
      <c r="F206" s="137" t="s">
        <v>193</v>
      </c>
      <c r="G206" s="137" t="s">
        <v>193</v>
      </c>
      <c r="H206" s="137" t="s">
        <v>193</v>
      </c>
      <c r="I206" s="137" t="s">
        <v>193</v>
      </c>
      <c r="J206" s="137" t="s">
        <v>193</v>
      </c>
      <c r="K206" s="137" t="s">
        <v>193</v>
      </c>
      <c r="L206" s="137" t="s">
        <v>193</v>
      </c>
      <c r="M206" s="137" t="s">
        <v>193</v>
      </c>
      <c r="N206" s="137" t="s">
        <v>193</v>
      </c>
      <c r="O206" s="137" t="s">
        <v>193</v>
      </c>
      <c r="P206" s="137" t="s">
        <v>193</v>
      </c>
      <c r="Q206" s="137" t="s">
        <v>193</v>
      </c>
      <c r="R206" s="137" t="s">
        <v>193</v>
      </c>
      <c r="S206" s="137" t="s">
        <v>193</v>
      </c>
      <c r="T206" s="137" t="s">
        <v>193</v>
      </c>
      <c r="U206" s="137" t="s">
        <v>193</v>
      </c>
      <c r="V206" s="137" t="s">
        <v>193</v>
      </c>
      <c r="W206" s="137" t="s">
        <v>193</v>
      </c>
      <c r="X206" s="137" t="s">
        <v>193</v>
      </c>
      <c r="Y206" s="137" t="s">
        <v>193</v>
      </c>
      <c r="Z206" s="137" t="s">
        <v>193</v>
      </c>
      <c r="AA206" s="137" t="s">
        <v>193</v>
      </c>
      <c r="AB206" s="137" t="s">
        <v>193</v>
      </c>
      <c r="AC206" s="137" t="s">
        <v>193</v>
      </c>
      <c r="AD206" s="137" t="s">
        <v>193</v>
      </c>
      <c r="AE206" s="137" t="s">
        <v>193</v>
      </c>
      <c r="AF206" s="137" t="s">
        <v>193</v>
      </c>
      <c r="AG206" s="137" t="s">
        <v>193</v>
      </c>
      <c r="AH206" s="137" t="s">
        <v>199</v>
      </c>
      <c r="AI206" s="137" t="s">
        <v>193</v>
      </c>
      <c r="AJ206" s="137" t="s">
        <v>193</v>
      </c>
      <c r="AK206" s="137" t="s">
        <v>193</v>
      </c>
      <c r="AL206" s="137" t="s">
        <v>193</v>
      </c>
      <c r="AM206" s="137" t="s">
        <v>193</v>
      </c>
      <c r="AN206" s="137" t="s">
        <v>193</v>
      </c>
      <c r="AO206" s="137" t="s">
        <v>193</v>
      </c>
      <c r="AQ206" s="12">
        <f t="shared" si="27"/>
        <v>0</v>
      </c>
      <c r="AR206" s="12">
        <f t="shared" si="26"/>
        <v>0</v>
      </c>
      <c r="AT206" s="12">
        <f t="shared" si="28"/>
        <v>0</v>
      </c>
      <c r="AU206" s="12">
        <f t="shared" si="29"/>
        <v>0</v>
      </c>
      <c r="AV206" s="13" t="str">
        <f t="shared" si="30"/>
        <v/>
      </c>
      <c r="AY206" s="12">
        <f t="shared" si="31"/>
        <v>0</v>
      </c>
      <c r="AZ206" s="12">
        <f t="shared" si="32"/>
        <v>0</v>
      </c>
      <c r="BA206" s="12">
        <f t="shared" si="32"/>
        <v>0</v>
      </c>
      <c r="BB206" s="12">
        <f t="shared" si="32"/>
        <v>0</v>
      </c>
      <c r="BC206" s="12">
        <f t="shared" si="32"/>
        <v>0</v>
      </c>
      <c r="BD206" s="12">
        <f t="shared" si="33"/>
        <v>0</v>
      </c>
    </row>
    <row r="207" spans="1:56" ht="15" customHeight="1" x14ac:dyDescent="0.25">
      <c r="A207" s="137" t="s">
        <v>474</v>
      </c>
      <c r="B207" s="137" t="s">
        <v>476</v>
      </c>
      <c r="C207" s="137">
        <v>2018</v>
      </c>
      <c r="D207" s="137" t="s">
        <v>193</v>
      </c>
      <c r="E207" s="137" t="s">
        <v>193</v>
      </c>
      <c r="F207" s="137" t="s">
        <v>193</v>
      </c>
      <c r="G207" s="137" t="s">
        <v>193</v>
      </c>
      <c r="H207" s="137" t="s">
        <v>193</v>
      </c>
      <c r="I207" s="137" t="s">
        <v>193</v>
      </c>
      <c r="J207" s="137" t="s">
        <v>193</v>
      </c>
      <c r="K207" s="137" t="s">
        <v>193</v>
      </c>
      <c r="L207" s="137" t="s">
        <v>193</v>
      </c>
      <c r="M207" s="137" t="s">
        <v>193</v>
      </c>
      <c r="N207" s="137" t="s">
        <v>193</v>
      </c>
      <c r="O207" s="137" t="s">
        <v>193</v>
      </c>
      <c r="P207" s="137" t="s">
        <v>193</v>
      </c>
      <c r="Q207" s="137" t="s">
        <v>193</v>
      </c>
      <c r="R207" s="137" t="s">
        <v>193</v>
      </c>
      <c r="S207" s="137" t="s">
        <v>193</v>
      </c>
      <c r="T207" s="137" t="s">
        <v>193</v>
      </c>
      <c r="U207" s="137" t="s">
        <v>193</v>
      </c>
      <c r="V207" s="137" t="s">
        <v>193</v>
      </c>
      <c r="W207" s="137" t="s">
        <v>193</v>
      </c>
      <c r="X207" s="137" t="s">
        <v>193</v>
      </c>
      <c r="Y207" s="137" t="s">
        <v>193</v>
      </c>
      <c r="Z207" s="137" t="s">
        <v>193</v>
      </c>
      <c r="AA207" s="137" t="s">
        <v>193</v>
      </c>
      <c r="AB207" s="137" t="s">
        <v>193</v>
      </c>
      <c r="AC207" s="137" t="s">
        <v>193</v>
      </c>
      <c r="AD207" s="137" t="s">
        <v>193</v>
      </c>
      <c r="AE207" s="137" t="s">
        <v>193</v>
      </c>
      <c r="AF207" s="137" t="s">
        <v>193</v>
      </c>
      <c r="AG207" s="137" t="s">
        <v>193</v>
      </c>
      <c r="AH207" s="137" t="s">
        <v>199</v>
      </c>
      <c r="AI207" s="137" t="s">
        <v>193</v>
      </c>
      <c r="AJ207" s="137" t="s">
        <v>193</v>
      </c>
      <c r="AK207" s="137" t="s">
        <v>193</v>
      </c>
      <c r="AL207" s="137" t="s">
        <v>193</v>
      </c>
      <c r="AM207" s="137" t="s">
        <v>193</v>
      </c>
      <c r="AN207" s="137" t="s">
        <v>193</v>
      </c>
      <c r="AO207" s="137" t="s">
        <v>193</v>
      </c>
      <c r="AQ207" s="12">
        <f t="shared" si="27"/>
        <v>0</v>
      </c>
      <c r="AR207" s="12">
        <f t="shared" si="26"/>
        <v>0</v>
      </c>
      <c r="AT207" s="12">
        <f t="shared" si="28"/>
        <v>0</v>
      </c>
      <c r="AU207" s="12">
        <f t="shared" si="29"/>
        <v>0</v>
      </c>
      <c r="AV207" s="13" t="str">
        <f t="shared" si="30"/>
        <v/>
      </c>
      <c r="AY207" s="12">
        <f t="shared" si="31"/>
        <v>0</v>
      </c>
      <c r="AZ207" s="12">
        <f t="shared" si="32"/>
        <v>0</v>
      </c>
      <c r="BA207" s="12">
        <f t="shared" si="32"/>
        <v>0</v>
      </c>
      <c r="BB207" s="12">
        <f t="shared" si="32"/>
        <v>0</v>
      </c>
      <c r="BC207" s="12">
        <f t="shared" si="32"/>
        <v>0</v>
      </c>
      <c r="BD207" s="12">
        <f t="shared" si="33"/>
        <v>0</v>
      </c>
    </row>
    <row r="208" spans="1:56" ht="15" customHeight="1" x14ac:dyDescent="0.25">
      <c r="A208" s="137" t="s">
        <v>477</v>
      </c>
      <c r="B208" s="137" t="s">
        <v>478</v>
      </c>
      <c r="C208" s="137">
        <v>2018</v>
      </c>
      <c r="D208" s="137" t="s">
        <v>193</v>
      </c>
      <c r="E208" s="137" t="s">
        <v>193</v>
      </c>
      <c r="F208" s="137" t="s">
        <v>193</v>
      </c>
      <c r="G208" s="137" t="s">
        <v>193</v>
      </c>
      <c r="H208" s="137" t="s">
        <v>193</v>
      </c>
      <c r="I208" s="137" t="s">
        <v>193</v>
      </c>
      <c r="J208" s="137" t="s">
        <v>193</v>
      </c>
      <c r="K208" s="137" t="s">
        <v>193</v>
      </c>
      <c r="L208" s="137" t="s">
        <v>193</v>
      </c>
      <c r="M208" s="137" t="s">
        <v>193</v>
      </c>
      <c r="N208" s="137" t="s">
        <v>193</v>
      </c>
      <c r="O208" s="137" t="s">
        <v>193</v>
      </c>
      <c r="P208" s="137" t="s">
        <v>193</v>
      </c>
      <c r="Q208" s="137" t="s">
        <v>193</v>
      </c>
      <c r="R208" s="137" t="s">
        <v>193</v>
      </c>
      <c r="S208" s="137" t="s">
        <v>193</v>
      </c>
      <c r="T208" s="137" t="s">
        <v>193</v>
      </c>
      <c r="U208" s="137" t="s">
        <v>193</v>
      </c>
      <c r="V208" s="137" t="s">
        <v>193</v>
      </c>
      <c r="W208" s="137" t="s">
        <v>193</v>
      </c>
      <c r="X208" s="137" t="s">
        <v>193</v>
      </c>
      <c r="Y208" s="137" t="s">
        <v>193</v>
      </c>
      <c r="Z208" s="137" t="s">
        <v>193</v>
      </c>
      <c r="AA208" s="137" t="s">
        <v>193</v>
      </c>
      <c r="AB208" s="137" t="s">
        <v>193</v>
      </c>
      <c r="AC208" s="137" t="s">
        <v>193</v>
      </c>
      <c r="AD208" s="137" t="s">
        <v>193</v>
      </c>
      <c r="AE208" s="137" t="s">
        <v>193</v>
      </c>
      <c r="AF208" s="137" t="s">
        <v>193</v>
      </c>
      <c r="AG208" s="137" t="s">
        <v>193</v>
      </c>
      <c r="AH208" s="137" t="s">
        <v>199</v>
      </c>
      <c r="AI208" s="137" t="s">
        <v>193</v>
      </c>
      <c r="AJ208" s="137" t="s">
        <v>193</v>
      </c>
      <c r="AK208" s="137" t="s">
        <v>193</v>
      </c>
      <c r="AL208" s="137" t="s">
        <v>193</v>
      </c>
      <c r="AM208" s="137" t="s">
        <v>193</v>
      </c>
      <c r="AN208" s="137" t="s">
        <v>193</v>
      </c>
      <c r="AO208" s="137" t="s">
        <v>193</v>
      </c>
      <c r="AQ208" s="12">
        <f t="shared" si="27"/>
        <v>0</v>
      </c>
      <c r="AR208" s="12">
        <f t="shared" si="26"/>
        <v>0</v>
      </c>
      <c r="AT208" s="12">
        <f t="shared" si="28"/>
        <v>0</v>
      </c>
      <c r="AU208" s="12">
        <f t="shared" si="29"/>
        <v>0</v>
      </c>
      <c r="AV208" s="13" t="str">
        <f t="shared" si="30"/>
        <v/>
      </c>
      <c r="AY208" s="12">
        <f t="shared" si="31"/>
        <v>0</v>
      </c>
      <c r="AZ208" s="12">
        <f t="shared" si="32"/>
        <v>0</v>
      </c>
      <c r="BA208" s="12">
        <f t="shared" si="32"/>
        <v>0</v>
      </c>
      <c r="BB208" s="12">
        <f t="shared" si="32"/>
        <v>0</v>
      </c>
      <c r="BC208" s="12">
        <f t="shared" si="32"/>
        <v>0</v>
      </c>
      <c r="BD208" s="12">
        <f t="shared" si="33"/>
        <v>0</v>
      </c>
    </row>
    <row r="209" spans="1:56" ht="15" customHeight="1" x14ac:dyDescent="0.25">
      <c r="A209" s="137" t="s">
        <v>477</v>
      </c>
      <c r="B209" s="137" t="s">
        <v>479</v>
      </c>
      <c r="C209" s="137">
        <v>2018</v>
      </c>
      <c r="D209" s="137">
        <v>87.2</v>
      </c>
      <c r="E209" s="137">
        <v>9.9</v>
      </c>
      <c r="F209" s="137" t="s">
        <v>193</v>
      </c>
      <c r="G209" s="137" t="s">
        <v>193</v>
      </c>
      <c r="H209" s="137" t="s">
        <v>193</v>
      </c>
      <c r="I209" s="137">
        <v>121</v>
      </c>
      <c r="J209" s="137" t="s">
        <v>193</v>
      </c>
      <c r="K209" s="137">
        <v>0.3</v>
      </c>
      <c r="L209" s="137" t="s">
        <v>193</v>
      </c>
      <c r="M209" s="137" t="s">
        <v>193</v>
      </c>
      <c r="N209" s="137" t="s">
        <v>193</v>
      </c>
      <c r="O209" s="137" t="s">
        <v>193</v>
      </c>
      <c r="P209" s="137" t="s">
        <v>193</v>
      </c>
      <c r="Q209" s="137">
        <v>0.6</v>
      </c>
      <c r="R209" s="137">
        <v>0.6</v>
      </c>
      <c r="S209" s="137">
        <v>1.4</v>
      </c>
      <c r="T209" s="137" t="s">
        <v>193</v>
      </c>
      <c r="U209" s="137" t="s">
        <v>193</v>
      </c>
      <c r="V209" s="137" t="s">
        <v>193</v>
      </c>
      <c r="W209" s="137" t="s">
        <v>194</v>
      </c>
      <c r="X209" s="137" t="s">
        <v>193</v>
      </c>
      <c r="Y209" s="137" t="s">
        <v>193</v>
      </c>
      <c r="Z209" s="137" t="s">
        <v>193</v>
      </c>
      <c r="AA209" s="137">
        <v>104.3</v>
      </c>
      <c r="AB209" s="137" t="s">
        <v>193</v>
      </c>
      <c r="AC209" s="137" t="s">
        <v>193</v>
      </c>
      <c r="AD209" s="137" t="s">
        <v>193</v>
      </c>
      <c r="AE209" s="137" t="s">
        <v>193</v>
      </c>
      <c r="AF209" s="137" t="s">
        <v>193</v>
      </c>
      <c r="AG209" s="137" t="s">
        <v>193</v>
      </c>
      <c r="AH209" s="137" t="s">
        <v>199</v>
      </c>
      <c r="AI209" s="137" t="s">
        <v>193</v>
      </c>
      <c r="AJ209" s="137" t="s">
        <v>193</v>
      </c>
      <c r="AK209" s="137">
        <v>13.8</v>
      </c>
      <c r="AL209" s="137">
        <v>100</v>
      </c>
      <c r="AM209" s="137" t="s">
        <v>193</v>
      </c>
      <c r="AN209" s="137" t="s">
        <v>193</v>
      </c>
      <c r="AO209" s="137" t="s">
        <v>193</v>
      </c>
      <c r="AQ209" s="12">
        <f t="shared" si="27"/>
        <v>107.2</v>
      </c>
      <c r="AR209" s="12">
        <f t="shared" si="26"/>
        <v>121</v>
      </c>
      <c r="AT209" s="12">
        <f t="shared" si="28"/>
        <v>87.2</v>
      </c>
      <c r="AU209" s="12">
        <f t="shared" si="29"/>
        <v>9.9</v>
      </c>
      <c r="AV209" s="13">
        <f t="shared" si="30"/>
        <v>0.80247933884297529</v>
      </c>
      <c r="AY209" s="12">
        <f t="shared" si="31"/>
        <v>13.8</v>
      </c>
      <c r="AZ209" s="12">
        <f t="shared" si="32"/>
        <v>13.8</v>
      </c>
      <c r="BA209" s="12">
        <f t="shared" si="32"/>
        <v>0</v>
      </c>
      <c r="BB209" s="12">
        <f t="shared" si="32"/>
        <v>0</v>
      </c>
      <c r="BC209" s="12">
        <f t="shared" si="32"/>
        <v>0</v>
      </c>
      <c r="BD209" s="12">
        <f t="shared" si="33"/>
        <v>0</v>
      </c>
    </row>
    <row r="210" spans="1:56" ht="15" customHeight="1" x14ac:dyDescent="0.25">
      <c r="A210" s="137" t="s">
        <v>480</v>
      </c>
      <c r="B210" s="137" t="s">
        <v>481</v>
      </c>
      <c r="C210" s="137">
        <v>2018</v>
      </c>
      <c r="D210" s="137" t="s">
        <v>53</v>
      </c>
      <c r="E210" s="137" t="s">
        <v>53</v>
      </c>
      <c r="F210" s="137" t="s">
        <v>53</v>
      </c>
      <c r="G210" s="137" t="s">
        <v>53</v>
      </c>
      <c r="H210" s="137" t="s">
        <v>53</v>
      </c>
      <c r="I210" s="137" t="s">
        <v>53</v>
      </c>
      <c r="J210" s="137" t="s">
        <v>53</v>
      </c>
      <c r="K210" s="137" t="s">
        <v>53</v>
      </c>
      <c r="L210" s="137" t="s">
        <v>53</v>
      </c>
      <c r="M210" s="137" t="s">
        <v>53</v>
      </c>
      <c r="N210" s="137" t="s">
        <v>53</v>
      </c>
      <c r="O210" s="137" t="s">
        <v>53</v>
      </c>
      <c r="P210" s="137" t="s">
        <v>53</v>
      </c>
      <c r="Q210" s="137" t="s">
        <v>53</v>
      </c>
      <c r="R210" s="137" t="s">
        <v>53</v>
      </c>
      <c r="S210" s="137" t="s">
        <v>53</v>
      </c>
      <c r="T210" s="137" t="s">
        <v>53</v>
      </c>
      <c r="U210" s="137" t="s">
        <v>53</v>
      </c>
      <c r="V210" s="137" t="s">
        <v>53</v>
      </c>
      <c r="W210" s="137" t="s">
        <v>53</v>
      </c>
      <c r="X210" s="137" t="s">
        <v>53</v>
      </c>
      <c r="Y210" s="137" t="s">
        <v>53</v>
      </c>
      <c r="Z210" s="137" t="s">
        <v>53</v>
      </c>
      <c r="AA210" s="137" t="s">
        <v>53</v>
      </c>
      <c r="AB210" s="137" t="s">
        <v>53</v>
      </c>
      <c r="AC210" s="137" t="s">
        <v>53</v>
      </c>
      <c r="AD210" s="137" t="s">
        <v>53</v>
      </c>
      <c r="AE210" s="137" t="s">
        <v>53</v>
      </c>
      <c r="AF210" s="137" t="s">
        <v>53</v>
      </c>
      <c r="AG210" s="137" t="s">
        <v>53</v>
      </c>
      <c r="AH210" s="137" t="s">
        <v>53</v>
      </c>
      <c r="AI210" s="137" t="s">
        <v>53</v>
      </c>
      <c r="AJ210" s="137" t="s">
        <v>53</v>
      </c>
      <c r="AK210" s="137" t="s">
        <v>53</v>
      </c>
      <c r="AL210" s="137" t="s">
        <v>53</v>
      </c>
      <c r="AM210" s="137" t="s">
        <v>53</v>
      </c>
      <c r="AN210" s="137" t="s">
        <v>53</v>
      </c>
      <c r="AO210" s="137" t="s">
        <v>53</v>
      </c>
      <c r="AQ210" s="12">
        <f t="shared" si="27"/>
        <v>0</v>
      </c>
      <c r="AR210" s="12">
        <f t="shared" si="26"/>
        <v>0</v>
      </c>
      <c r="AT210" s="12">
        <f t="shared" si="28"/>
        <v>0</v>
      </c>
      <c r="AU210" s="12">
        <f t="shared" si="29"/>
        <v>0</v>
      </c>
      <c r="AV210" s="13" t="str">
        <f t="shared" si="30"/>
        <v/>
      </c>
      <c r="AY210" s="12">
        <f t="shared" si="31"/>
        <v>0</v>
      </c>
      <c r="AZ210" s="12">
        <f t="shared" si="32"/>
        <v>0</v>
      </c>
      <c r="BA210" s="12">
        <f t="shared" si="32"/>
        <v>0</v>
      </c>
      <c r="BB210" s="12">
        <f t="shared" si="32"/>
        <v>0</v>
      </c>
      <c r="BC210" s="12">
        <f t="shared" si="32"/>
        <v>0</v>
      </c>
      <c r="BD210" s="12">
        <f t="shared" si="33"/>
        <v>0</v>
      </c>
    </row>
    <row r="211" spans="1:56" ht="15" customHeight="1" x14ac:dyDescent="0.25">
      <c r="A211" s="137" t="s">
        <v>115</v>
      </c>
      <c r="B211" s="137" t="s">
        <v>482</v>
      </c>
      <c r="C211" s="137">
        <v>2018</v>
      </c>
      <c r="D211" s="137" t="s">
        <v>193</v>
      </c>
      <c r="E211" s="137" t="s">
        <v>193</v>
      </c>
      <c r="F211" s="137" t="s">
        <v>193</v>
      </c>
      <c r="G211" s="137" t="s">
        <v>193</v>
      </c>
      <c r="H211" s="137" t="s">
        <v>193</v>
      </c>
      <c r="I211" s="137" t="s">
        <v>193</v>
      </c>
      <c r="J211" s="137" t="s">
        <v>193</v>
      </c>
      <c r="K211" s="137" t="s">
        <v>193</v>
      </c>
      <c r="L211" s="137" t="s">
        <v>193</v>
      </c>
      <c r="M211" s="137" t="s">
        <v>193</v>
      </c>
      <c r="N211" s="137" t="s">
        <v>193</v>
      </c>
      <c r="O211" s="137" t="s">
        <v>193</v>
      </c>
      <c r="P211" s="137" t="s">
        <v>193</v>
      </c>
      <c r="Q211" s="137" t="s">
        <v>193</v>
      </c>
      <c r="R211" s="137" t="s">
        <v>193</v>
      </c>
      <c r="S211" s="137" t="s">
        <v>193</v>
      </c>
      <c r="T211" s="137" t="s">
        <v>193</v>
      </c>
      <c r="U211" s="137" t="s">
        <v>193</v>
      </c>
      <c r="V211" s="137" t="s">
        <v>193</v>
      </c>
      <c r="W211" s="137" t="s">
        <v>193</v>
      </c>
      <c r="X211" s="137" t="s">
        <v>193</v>
      </c>
      <c r="Y211" s="137" t="s">
        <v>193</v>
      </c>
      <c r="Z211" s="137" t="s">
        <v>193</v>
      </c>
      <c r="AA211" s="137" t="s">
        <v>193</v>
      </c>
      <c r="AB211" s="137" t="s">
        <v>193</v>
      </c>
      <c r="AC211" s="137" t="s">
        <v>193</v>
      </c>
      <c r="AD211" s="137" t="s">
        <v>193</v>
      </c>
      <c r="AE211" s="137" t="s">
        <v>193</v>
      </c>
      <c r="AF211" s="137" t="s">
        <v>193</v>
      </c>
      <c r="AG211" s="137" t="s">
        <v>193</v>
      </c>
      <c r="AH211" s="137" t="s">
        <v>53</v>
      </c>
      <c r="AI211" s="137" t="s">
        <v>193</v>
      </c>
      <c r="AJ211" s="137" t="s">
        <v>193</v>
      </c>
      <c r="AK211" s="137" t="s">
        <v>193</v>
      </c>
      <c r="AL211" s="137" t="s">
        <v>193</v>
      </c>
      <c r="AM211" s="137" t="s">
        <v>193</v>
      </c>
      <c r="AN211" s="137" t="s">
        <v>193</v>
      </c>
      <c r="AO211" s="137" t="s">
        <v>193</v>
      </c>
      <c r="AQ211" s="12">
        <f t="shared" si="27"/>
        <v>0</v>
      </c>
      <c r="AR211" s="12">
        <f t="shared" si="26"/>
        <v>0</v>
      </c>
      <c r="AT211" s="12">
        <f t="shared" si="28"/>
        <v>0</v>
      </c>
      <c r="AU211" s="12">
        <f t="shared" si="29"/>
        <v>0</v>
      </c>
      <c r="AV211" s="13" t="str">
        <f t="shared" si="30"/>
        <v/>
      </c>
      <c r="AY211" s="12">
        <f t="shared" si="31"/>
        <v>0</v>
      </c>
      <c r="AZ211" s="12">
        <f t="shared" si="32"/>
        <v>0</v>
      </c>
      <c r="BA211" s="12">
        <f t="shared" si="32"/>
        <v>0</v>
      </c>
      <c r="BB211" s="12">
        <f t="shared" si="32"/>
        <v>0</v>
      </c>
      <c r="BC211" s="12">
        <f t="shared" si="32"/>
        <v>0</v>
      </c>
      <c r="BD211" s="12">
        <f t="shared" si="33"/>
        <v>0</v>
      </c>
    </row>
    <row r="212" spans="1:56" ht="15" customHeight="1" x14ac:dyDescent="0.25">
      <c r="A212" s="137" t="s">
        <v>483</v>
      </c>
      <c r="B212" s="137" t="s">
        <v>484</v>
      </c>
      <c r="C212" s="137">
        <v>2018</v>
      </c>
      <c r="D212" s="137" t="s">
        <v>193</v>
      </c>
      <c r="E212" s="137" t="s">
        <v>193</v>
      </c>
      <c r="F212" s="137" t="s">
        <v>193</v>
      </c>
      <c r="G212" s="137" t="s">
        <v>193</v>
      </c>
      <c r="H212" s="137" t="s">
        <v>193</v>
      </c>
      <c r="I212" s="137" t="s">
        <v>193</v>
      </c>
      <c r="J212" s="137" t="s">
        <v>193</v>
      </c>
      <c r="K212" s="137" t="s">
        <v>193</v>
      </c>
      <c r="L212" s="137" t="s">
        <v>193</v>
      </c>
      <c r="M212" s="137" t="s">
        <v>193</v>
      </c>
      <c r="N212" s="137" t="s">
        <v>193</v>
      </c>
      <c r="O212" s="137" t="s">
        <v>193</v>
      </c>
      <c r="P212" s="137" t="s">
        <v>193</v>
      </c>
      <c r="Q212" s="137" t="s">
        <v>193</v>
      </c>
      <c r="R212" s="137" t="s">
        <v>193</v>
      </c>
      <c r="S212" s="137" t="s">
        <v>193</v>
      </c>
      <c r="T212" s="137" t="s">
        <v>193</v>
      </c>
      <c r="U212" s="137" t="s">
        <v>193</v>
      </c>
      <c r="V212" s="137" t="s">
        <v>193</v>
      </c>
      <c r="W212" s="137" t="s">
        <v>193</v>
      </c>
      <c r="X212" s="137" t="s">
        <v>193</v>
      </c>
      <c r="Y212" s="137" t="s">
        <v>193</v>
      </c>
      <c r="Z212" s="137" t="s">
        <v>193</v>
      </c>
      <c r="AA212" s="137" t="s">
        <v>193</v>
      </c>
      <c r="AB212" s="137" t="s">
        <v>193</v>
      </c>
      <c r="AC212" s="137" t="s">
        <v>193</v>
      </c>
      <c r="AD212" s="137" t="s">
        <v>193</v>
      </c>
      <c r="AE212" s="137" t="s">
        <v>193</v>
      </c>
      <c r="AF212" s="137" t="s">
        <v>193</v>
      </c>
      <c r="AG212" s="137" t="s">
        <v>193</v>
      </c>
      <c r="AH212" s="137" t="s">
        <v>199</v>
      </c>
      <c r="AI212" s="137" t="s">
        <v>193</v>
      </c>
      <c r="AJ212" s="137" t="s">
        <v>193</v>
      </c>
      <c r="AK212" s="137" t="s">
        <v>193</v>
      </c>
      <c r="AL212" s="137" t="s">
        <v>193</v>
      </c>
      <c r="AM212" s="137" t="s">
        <v>193</v>
      </c>
      <c r="AN212" s="137" t="s">
        <v>193</v>
      </c>
      <c r="AO212" s="137" t="s">
        <v>193</v>
      </c>
      <c r="AQ212" s="12">
        <f t="shared" si="27"/>
        <v>0</v>
      </c>
      <c r="AR212" s="12">
        <f t="shared" si="26"/>
        <v>0</v>
      </c>
      <c r="AT212" s="12">
        <f t="shared" si="28"/>
        <v>0</v>
      </c>
      <c r="AU212" s="12">
        <f t="shared" si="29"/>
        <v>0</v>
      </c>
      <c r="AV212" s="13" t="str">
        <f t="shared" si="30"/>
        <v/>
      </c>
      <c r="AY212" s="12">
        <f t="shared" si="31"/>
        <v>0</v>
      </c>
      <c r="AZ212" s="12">
        <f t="shared" si="32"/>
        <v>0</v>
      </c>
      <c r="BA212" s="12">
        <f t="shared" si="32"/>
        <v>0</v>
      </c>
      <c r="BB212" s="12">
        <f t="shared" si="32"/>
        <v>0</v>
      </c>
      <c r="BC212" s="12">
        <f t="shared" si="32"/>
        <v>0</v>
      </c>
      <c r="BD212" s="12">
        <f t="shared" si="33"/>
        <v>0</v>
      </c>
    </row>
    <row r="213" spans="1:56" ht="15" customHeight="1" x14ac:dyDescent="0.25">
      <c r="A213" s="137" t="s">
        <v>483</v>
      </c>
      <c r="B213" s="137" t="s">
        <v>485</v>
      </c>
      <c r="C213" s="137">
        <v>2018</v>
      </c>
      <c r="D213" s="137">
        <v>82.474000000000004</v>
      </c>
      <c r="E213" s="137">
        <v>18.88</v>
      </c>
      <c r="F213" s="137">
        <v>0</v>
      </c>
      <c r="G213" s="137" t="s">
        <v>193</v>
      </c>
      <c r="H213" s="137">
        <v>0</v>
      </c>
      <c r="I213" s="137">
        <v>162.197</v>
      </c>
      <c r="J213" s="137" t="s">
        <v>193</v>
      </c>
      <c r="K213" s="137" t="s">
        <v>193</v>
      </c>
      <c r="L213" s="137" t="s">
        <v>193</v>
      </c>
      <c r="M213" s="137" t="s">
        <v>193</v>
      </c>
      <c r="N213" s="137" t="s">
        <v>193</v>
      </c>
      <c r="O213" s="137" t="s">
        <v>193</v>
      </c>
      <c r="P213" s="137" t="s">
        <v>193</v>
      </c>
      <c r="Q213" s="137">
        <v>132.22</v>
      </c>
      <c r="R213" s="137">
        <v>0</v>
      </c>
      <c r="S213" s="137">
        <v>6.9189999999999996</v>
      </c>
      <c r="T213" s="137">
        <v>0</v>
      </c>
      <c r="U213" s="137">
        <v>0</v>
      </c>
      <c r="V213" s="137">
        <v>0</v>
      </c>
      <c r="W213" s="137" t="s">
        <v>194</v>
      </c>
      <c r="X213" s="137" t="s">
        <v>193</v>
      </c>
      <c r="Y213" s="137" t="s">
        <v>193</v>
      </c>
      <c r="Z213" s="137" t="s">
        <v>193</v>
      </c>
      <c r="AA213" s="137" t="s">
        <v>193</v>
      </c>
      <c r="AB213" s="137" t="s">
        <v>193</v>
      </c>
      <c r="AC213" s="137" t="s">
        <v>193</v>
      </c>
      <c r="AD213" s="137" t="s">
        <v>193</v>
      </c>
      <c r="AE213" s="137" t="s">
        <v>193</v>
      </c>
      <c r="AF213" s="137" t="s">
        <v>193</v>
      </c>
      <c r="AG213" s="137" t="s">
        <v>193</v>
      </c>
      <c r="AH213" s="137" t="s">
        <v>199</v>
      </c>
      <c r="AI213" s="137" t="s">
        <v>193</v>
      </c>
      <c r="AJ213" s="137" t="s">
        <v>193</v>
      </c>
      <c r="AK213" s="137">
        <v>23.058</v>
      </c>
      <c r="AL213" s="137">
        <v>100</v>
      </c>
      <c r="AM213" s="137">
        <v>0</v>
      </c>
      <c r="AN213" s="137">
        <v>0</v>
      </c>
      <c r="AO213" s="137">
        <v>0</v>
      </c>
      <c r="AQ213" s="12">
        <f t="shared" si="27"/>
        <v>139.13900000000001</v>
      </c>
      <c r="AR213" s="12">
        <f t="shared" si="26"/>
        <v>162.197</v>
      </c>
      <c r="AT213" s="12">
        <f t="shared" si="28"/>
        <v>82.474000000000004</v>
      </c>
      <c r="AU213" s="12">
        <f t="shared" si="29"/>
        <v>18.88</v>
      </c>
      <c r="AV213" s="13">
        <f t="shared" si="30"/>
        <v>0.62488208783146415</v>
      </c>
      <c r="AY213" s="12">
        <f t="shared" si="31"/>
        <v>23.058</v>
      </c>
      <c r="AZ213" s="12">
        <f t="shared" si="32"/>
        <v>23.058</v>
      </c>
      <c r="BA213" s="12">
        <f t="shared" si="32"/>
        <v>0</v>
      </c>
      <c r="BB213" s="12">
        <f t="shared" si="32"/>
        <v>0</v>
      </c>
      <c r="BC213" s="12">
        <f t="shared" si="32"/>
        <v>0</v>
      </c>
      <c r="BD213" s="12">
        <f t="shared" si="33"/>
        <v>0</v>
      </c>
    </row>
    <row r="214" spans="1:56" ht="15" customHeight="1" x14ac:dyDescent="0.25">
      <c r="A214" s="137" t="s">
        <v>483</v>
      </c>
      <c r="B214" s="137" t="s">
        <v>486</v>
      </c>
      <c r="C214" s="137">
        <v>2018</v>
      </c>
      <c r="D214" s="137" t="s">
        <v>193</v>
      </c>
      <c r="E214" s="137" t="s">
        <v>193</v>
      </c>
      <c r="F214" s="137" t="s">
        <v>193</v>
      </c>
      <c r="G214" s="137" t="s">
        <v>193</v>
      </c>
      <c r="H214" s="137" t="s">
        <v>193</v>
      </c>
      <c r="I214" s="137" t="s">
        <v>193</v>
      </c>
      <c r="J214" s="137" t="s">
        <v>193</v>
      </c>
      <c r="K214" s="137" t="s">
        <v>193</v>
      </c>
      <c r="L214" s="137" t="s">
        <v>193</v>
      </c>
      <c r="M214" s="137" t="s">
        <v>193</v>
      </c>
      <c r="N214" s="137" t="s">
        <v>193</v>
      </c>
      <c r="O214" s="137" t="s">
        <v>193</v>
      </c>
      <c r="P214" s="137" t="s">
        <v>193</v>
      </c>
      <c r="Q214" s="137" t="s">
        <v>193</v>
      </c>
      <c r="R214" s="137" t="s">
        <v>193</v>
      </c>
      <c r="S214" s="137" t="s">
        <v>193</v>
      </c>
      <c r="T214" s="137" t="s">
        <v>193</v>
      </c>
      <c r="U214" s="137" t="s">
        <v>193</v>
      </c>
      <c r="V214" s="137" t="s">
        <v>193</v>
      </c>
      <c r="W214" s="137" t="s">
        <v>193</v>
      </c>
      <c r="X214" s="137" t="s">
        <v>193</v>
      </c>
      <c r="Y214" s="137" t="s">
        <v>193</v>
      </c>
      <c r="Z214" s="137" t="s">
        <v>193</v>
      </c>
      <c r="AA214" s="137" t="s">
        <v>193</v>
      </c>
      <c r="AB214" s="137" t="s">
        <v>193</v>
      </c>
      <c r="AC214" s="137" t="s">
        <v>193</v>
      </c>
      <c r="AD214" s="137" t="s">
        <v>193</v>
      </c>
      <c r="AE214" s="137" t="s">
        <v>193</v>
      </c>
      <c r="AF214" s="137" t="s">
        <v>193</v>
      </c>
      <c r="AG214" s="137" t="s">
        <v>193</v>
      </c>
      <c r="AH214" s="137" t="s">
        <v>199</v>
      </c>
      <c r="AI214" s="137" t="s">
        <v>193</v>
      </c>
      <c r="AJ214" s="137" t="s">
        <v>193</v>
      </c>
      <c r="AK214" s="137" t="s">
        <v>193</v>
      </c>
      <c r="AL214" s="137" t="s">
        <v>193</v>
      </c>
      <c r="AM214" s="137" t="s">
        <v>193</v>
      </c>
      <c r="AN214" s="137" t="s">
        <v>193</v>
      </c>
      <c r="AO214" s="137" t="s">
        <v>193</v>
      </c>
      <c r="AQ214" s="12">
        <f t="shared" si="27"/>
        <v>0</v>
      </c>
      <c r="AR214" s="12">
        <f t="shared" si="26"/>
        <v>0</v>
      </c>
      <c r="AT214" s="12">
        <f t="shared" si="28"/>
        <v>0</v>
      </c>
      <c r="AU214" s="12">
        <f t="shared" si="29"/>
        <v>0</v>
      </c>
      <c r="AV214" s="13" t="str">
        <f t="shared" si="30"/>
        <v/>
      </c>
      <c r="AY214" s="12">
        <f t="shared" si="31"/>
        <v>0</v>
      </c>
      <c r="AZ214" s="12">
        <f t="shared" si="32"/>
        <v>0</v>
      </c>
      <c r="BA214" s="12">
        <f t="shared" si="32"/>
        <v>0</v>
      </c>
      <c r="BB214" s="12">
        <f t="shared" si="32"/>
        <v>0</v>
      </c>
      <c r="BC214" s="12">
        <f t="shared" si="32"/>
        <v>0</v>
      </c>
      <c r="BD214" s="12">
        <f t="shared" si="33"/>
        <v>0</v>
      </c>
    </row>
    <row r="215" spans="1:56" ht="15" customHeight="1" x14ac:dyDescent="0.25">
      <c r="A215" s="137" t="s">
        <v>487</v>
      </c>
      <c r="B215" s="137" t="s">
        <v>488</v>
      </c>
      <c r="C215" s="137">
        <v>2018</v>
      </c>
      <c r="D215" s="137" t="s">
        <v>193</v>
      </c>
      <c r="E215" s="137" t="s">
        <v>193</v>
      </c>
      <c r="F215" s="137" t="s">
        <v>193</v>
      </c>
      <c r="G215" s="137" t="s">
        <v>193</v>
      </c>
      <c r="H215" s="137" t="s">
        <v>193</v>
      </c>
      <c r="I215" s="137" t="s">
        <v>193</v>
      </c>
      <c r="J215" s="137" t="s">
        <v>193</v>
      </c>
      <c r="K215" s="137" t="s">
        <v>193</v>
      </c>
      <c r="L215" s="137" t="s">
        <v>193</v>
      </c>
      <c r="M215" s="137" t="s">
        <v>193</v>
      </c>
      <c r="N215" s="137" t="s">
        <v>193</v>
      </c>
      <c r="O215" s="137" t="s">
        <v>193</v>
      </c>
      <c r="P215" s="137" t="s">
        <v>193</v>
      </c>
      <c r="Q215" s="137" t="s">
        <v>193</v>
      </c>
      <c r="R215" s="137" t="s">
        <v>193</v>
      </c>
      <c r="S215" s="137" t="s">
        <v>193</v>
      </c>
      <c r="T215" s="137" t="s">
        <v>193</v>
      </c>
      <c r="U215" s="137" t="s">
        <v>193</v>
      </c>
      <c r="V215" s="137" t="s">
        <v>193</v>
      </c>
      <c r="W215" s="137" t="s">
        <v>193</v>
      </c>
      <c r="X215" s="137" t="s">
        <v>193</v>
      </c>
      <c r="Y215" s="137" t="s">
        <v>193</v>
      </c>
      <c r="Z215" s="137" t="s">
        <v>193</v>
      </c>
      <c r="AA215" s="137" t="s">
        <v>193</v>
      </c>
      <c r="AB215" s="137" t="s">
        <v>193</v>
      </c>
      <c r="AC215" s="137" t="s">
        <v>193</v>
      </c>
      <c r="AD215" s="137" t="s">
        <v>193</v>
      </c>
      <c r="AE215" s="137" t="s">
        <v>193</v>
      </c>
      <c r="AF215" s="137" t="s">
        <v>193</v>
      </c>
      <c r="AG215" s="137" t="s">
        <v>193</v>
      </c>
      <c r="AH215" s="137" t="s">
        <v>53</v>
      </c>
      <c r="AI215" s="137" t="s">
        <v>193</v>
      </c>
      <c r="AJ215" s="137" t="s">
        <v>193</v>
      </c>
      <c r="AK215" s="137" t="s">
        <v>193</v>
      </c>
      <c r="AL215" s="137" t="s">
        <v>193</v>
      </c>
      <c r="AM215" s="137" t="s">
        <v>193</v>
      </c>
      <c r="AN215" s="137" t="s">
        <v>193</v>
      </c>
      <c r="AO215" s="137" t="s">
        <v>193</v>
      </c>
      <c r="AQ215" s="12">
        <f t="shared" si="27"/>
        <v>0</v>
      </c>
      <c r="AR215" s="12">
        <f t="shared" si="26"/>
        <v>0</v>
      </c>
      <c r="AT215" s="12">
        <f t="shared" si="28"/>
        <v>0</v>
      </c>
      <c r="AU215" s="12">
        <f t="shared" si="29"/>
        <v>0</v>
      </c>
      <c r="AV215" s="13" t="str">
        <f t="shared" si="30"/>
        <v/>
      </c>
      <c r="AY215" s="12">
        <f t="shared" si="31"/>
        <v>0</v>
      </c>
      <c r="AZ215" s="12">
        <f t="shared" si="32"/>
        <v>0</v>
      </c>
      <c r="BA215" s="12">
        <f t="shared" si="32"/>
        <v>0</v>
      </c>
      <c r="BB215" s="12">
        <f t="shared" si="32"/>
        <v>0</v>
      </c>
      <c r="BC215" s="12">
        <f t="shared" si="32"/>
        <v>0</v>
      </c>
      <c r="BD215" s="12">
        <f t="shared" si="33"/>
        <v>0</v>
      </c>
    </row>
    <row r="216" spans="1:56" ht="15" customHeight="1" x14ac:dyDescent="0.25">
      <c r="A216" s="137" t="s">
        <v>489</v>
      </c>
      <c r="B216" s="137" t="s">
        <v>490</v>
      </c>
      <c r="C216" s="137">
        <v>2018</v>
      </c>
      <c r="D216" s="137">
        <v>159.6</v>
      </c>
      <c r="E216" s="137">
        <v>29.4</v>
      </c>
      <c r="F216" s="137" t="s">
        <v>193</v>
      </c>
      <c r="G216" s="137" t="s">
        <v>193</v>
      </c>
      <c r="H216" s="137" t="s">
        <v>193</v>
      </c>
      <c r="I216" s="137">
        <v>231.49</v>
      </c>
      <c r="J216" s="137" t="s">
        <v>193</v>
      </c>
      <c r="K216" s="137">
        <v>3.19</v>
      </c>
      <c r="L216" s="137" t="s">
        <v>193</v>
      </c>
      <c r="M216" s="137" t="s">
        <v>193</v>
      </c>
      <c r="N216" s="137" t="s">
        <v>193</v>
      </c>
      <c r="O216" s="137" t="s">
        <v>193</v>
      </c>
      <c r="P216" s="137" t="s">
        <v>193</v>
      </c>
      <c r="Q216" s="137">
        <v>0</v>
      </c>
      <c r="R216" s="137">
        <v>0</v>
      </c>
      <c r="S216" s="137">
        <v>0</v>
      </c>
      <c r="T216" s="137">
        <v>70</v>
      </c>
      <c r="U216" s="137">
        <v>0</v>
      </c>
      <c r="V216" s="137">
        <v>0</v>
      </c>
      <c r="W216" s="137" t="s">
        <v>194</v>
      </c>
      <c r="X216" s="137" t="s">
        <v>193</v>
      </c>
      <c r="Y216" s="137" t="s">
        <v>193</v>
      </c>
      <c r="Z216" s="137" t="s">
        <v>193</v>
      </c>
      <c r="AA216" s="137" t="s">
        <v>193</v>
      </c>
      <c r="AB216" s="137" t="s">
        <v>193</v>
      </c>
      <c r="AC216" s="137" t="s">
        <v>193</v>
      </c>
      <c r="AD216" s="137" t="s">
        <v>193</v>
      </c>
      <c r="AE216" s="137" t="s">
        <v>193</v>
      </c>
      <c r="AF216" s="137">
        <v>158.30000000000001</v>
      </c>
      <c r="AG216" s="137">
        <v>2.7</v>
      </c>
      <c r="AH216" s="137" t="s">
        <v>195</v>
      </c>
      <c r="AI216" s="137">
        <v>40.5</v>
      </c>
      <c r="AJ216" s="137" t="s">
        <v>193</v>
      </c>
      <c r="AK216" s="137" t="s">
        <v>193</v>
      </c>
      <c r="AL216" s="137" t="s">
        <v>193</v>
      </c>
      <c r="AM216" s="137" t="s">
        <v>193</v>
      </c>
      <c r="AN216" s="137" t="s">
        <v>193</v>
      </c>
      <c r="AO216" s="137" t="s">
        <v>193</v>
      </c>
      <c r="AQ216" s="12">
        <f t="shared" si="27"/>
        <v>231.49</v>
      </c>
      <c r="AR216" s="12">
        <f t="shared" si="26"/>
        <v>231.49</v>
      </c>
      <c r="AT216" s="12">
        <f t="shared" si="28"/>
        <v>159.6</v>
      </c>
      <c r="AU216" s="12">
        <f t="shared" si="29"/>
        <v>29.4</v>
      </c>
      <c r="AV216" s="13">
        <f t="shared" si="30"/>
        <v>0.81644995464166914</v>
      </c>
      <c r="AY216" s="12">
        <f t="shared" si="31"/>
        <v>0</v>
      </c>
      <c r="AZ216" s="12">
        <f t="shared" si="32"/>
        <v>0</v>
      </c>
      <c r="BA216" s="12">
        <f t="shared" si="32"/>
        <v>0</v>
      </c>
      <c r="BB216" s="12">
        <f t="shared" si="32"/>
        <v>0</v>
      </c>
      <c r="BC216" s="12">
        <f t="shared" si="32"/>
        <v>0</v>
      </c>
      <c r="BD216" s="12">
        <f t="shared" si="33"/>
        <v>0</v>
      </c>
    </row>
    <row r="217" spans="1:56" ht="15" customHeight="1" x14ac:dyDescent="0.25">
      <c r="A217" s="137" t="s">
        <v>491</v>
      </c>
      <c r="B217" s="137" t="s">
        <v>492</v>
      </c>
      <c r="C217" s="137">
        <v>2018</v>
      </c>
      <c r="D217" s="137" t="s">
        <v>193</v>
      </c>
      <c r="E217" s="137" t="s">
        <v>193</v>
      </c>
      <c r="F217" s="137" t="s">
        <v>193</v>
      </c>
      <c r="G217" s="137" t="s">
        <v>193</v>
      </c>
      <c r="H217" s="137" t="s">
        <v>193</v>
      </c>
      <c r="I217" s="137" t="s">
        <v>193</v>
      </c>
      <c r="J217" s="137" t="s">
        <v>193</v>
      </c>
      <c r="K217" s="137" t="s">
        <v>193</v>
      </c>
      <c r="L217" s="137" t="s">
        <v>193</v>
      </c>
      <c r="M217" s="137" t="s">
        <v>193</v>
      </c>
      <c r="N217" s="137" t="s">
        <v>193</v>
      </c>
      <c r="O217" s="137" t="s">
        <v>193</v>
      </c>
      <c r="P217" s="137" t="s">
        <v>193</v>
      </c>
      <c r="Q217" s="137" t="s">
        <v>193</v>
      </c>
      <c r="R217" s="137" t="s">
        <v>193</v>
      </c>
      <c r="S217" s="137" t="s">
        <v>193</v>
      </c>
      <c r="T217" s="137" t="s">
        <v>193</v>
      </c>
      <c r="U217" s="137" t="s">
        <v>193</v>
      </c>
      <c r="V217" s="137" t="s">
        <v>193</v>
      </c>
      <c r="W217" s="137" t="s">
        <v>193</v>
      </c>
      <c r="X217" s="137" t="s">
        <v>193</v>
      </c>
      <c r="Y217" s="137" t="s">
        <v>193</v>
      </c>
      <c r="Z217" s="137" t="s">
        <v>193</v>
      </c>
      <c r="AA217" s="137" t="s">
        <v>193</v>
      </c>
      <c r="AB217" s="137" t="s">
        <v>193</v>
      </c>
      <c r="AC217" s="137" t="s">
        <v>193</v>
      </c>
      <c r="AD217" s="137" t="s">
        <v>193</v>
      </c>
      <c r="AE217" s="137" t="s">
        <v>193</v>
      </c>
      <c r="AF217" s="137" t="s">
        <v>193</v>
      </c>
      <c r="AG217" s="137" t="s">
        <v>193</v>
      </c>
      <c r="AH217" s="137" t="s">
        <v>53</v>
      </c>
      <c r="AI217" s="137" t="s">
        <v>193</v>
      </c>
      <c r="AJ217" s="137" t="s">
        <v>193</v>
      </c>
      <c r="AK217" s="137" t="s">
        <v>193</v>
      </c>
      <c r="AL217" s="137" t="s">
        <v>193</v>
      </c>
      <c r="AM217" s="137" t="s">
        <v>193</v>
      </c>
      <c r="AN217" s="137" t="s">
        <v>193</v>
      </c>
      <c r="AO217" s="137" t="s">
        <v>193</v>
      </c>
      <c r="AQ217" s="12">
        <f t="shared" si="27"/>
        <v>0</v>
      </c>
      <c r="AR217" s="12">
        <f t="shared" si="26"/>
        <v>0</v>
      </c>
      <c r="AT217" s="12">
        <f t="shared" si="28"/>
        <v>0</v>
      </c>
      <c r="AU217" s="12">
        <f t="shared" si="29"/>
        <v>0</v>
      </c>
      <c r="AV217" s="13" t="str">
        <f t="shared" si="30"/>
        <v/>
      </c>
      <c r="AY217" s="12">
        <f t="shared" si="31"/>
        <v>0</v>
      </c>
      <c r="AZ217" s="12">
        <f t="shared" si="32"/>
        <v>0</v>
      </c>
      <c r="BA217" s="12">
        <f t="shared" si="32"/>
        <v>0</v>
      </c>
      <c r="BB217" s="12">
        <f t="shared" si="32"/>
        <v>0</v>
      </c>
      <c r="BC217" s="12">
        <f t="shared" si="32"/>
        <v>0</v>
      </c>
      <c r="BD217" s="12">
        <f t="shared" si="33"/>
        <v>0</v>
      </c>
    </row>
    <row r="218" spans="1:56" ht="15" customHeight="1" x14ac:dyDescent="0.25">
      <c r="A218" s="137" t="s">
        <v>491</v>
      </c>
      <c r="B218" s="137" t="s">
        <v>493</v>
      </c>
      <c r="C218" s="137">
        <v>2018</v>
      </c>
      <c r="D218" s="137" t="s">
        <v>193</v>
      </c>
      <c r="E218" s="137" t="s">
        <v>193</v>
      </c>
      <c r="F218" s="137" t="s">
        <v>193</v>
      </c>
      <c r="G218" s="137" t="s">
        <v>193</v>
      </c>
      <c r="H218" s="137" t="s">
        <v>193</v>
      </c>
      <c r="I218" s="137" t="s">
        <v>193</v>
      </c>
      <c r="J218" s="137" t="s">
        <v>193</v>
      </c>
      <c r="K218" s="137" t="s">
        <v>193</v>
      </c>
      <c r="L218" s="137" t="s">
        <v>193</v>
      </c>
      <c r="M218" s="137" t="s">
        <v>193</v>
      </c>
      <c r="N218" s="137" t="s">
        <v>193</v>
      </c>
      <c r="O218" s="137" t="s">
        <v>193</v>
      </c>
      <c r="P218" s="137" t="s">
        <v>193</v>
      </c>
      <c r="Q218" s="137" t="s">
        <v>193</v>
      </c>
      <c r="R218" s="137" t="s">
        <v>193</v>
      </c>
      <c r="S218" s="137" t="s">
        <v>193</v>
      </c>
      <c r="T218" s="137" t="s">
        <v>193</v>
      </c>
      <c r="U218" s="137" t="s">
        <v>193</v>
      </c>
      <c r="V218" s="137" t="s">
        <v>193</v>
      </c>
      <c r="W218" s="137" t="s">
        <v>193</v>
      </c>
      <c r="X218" s="137" t="s">
        <v>193</v>
      </c>
      <c r="Y218" s="137" t="s">
        <v>193</v>
      </c>
      <c r="Z218" s="137" t="s">
        <v>193</v>
      </c>
      <c r="AA218" s="137" t="s">
        <v>193</v>
      </c>
      <c r="AB218" s="137" t="s">
        <v>193</v>
      </c>
      <c r="AC218" s="137" t="s">
        <v>193</v>
      </c>
      <c r="AD218" s="137" t="s">
        <v>193</v>
      </c>
      <c r="AE218" s="137" t="s">
        <v>193</v>
      </c>
      <c r="AF218" s="137" t="s">
        <v>193</v>
      </c>
      <c r="AG218" s="137" t="s">
        <v>193</v>
      </c>
      <c r="AH218" s="137" t="s">
        <v>53</v>
      </c>
      <c r="AI218" s="137" t="s">
        <v>193</v>
      </c>
      <c r="AJ218" s="137" t="s">
        <v>193</v>
      </c>
      <c r="AK218" s="137" t="s">
        <v>193</v>
      </c>
      <c r="AL218" s="137" t="s">
        <v>193</v>
      </c>
      <c r="AM218" s="137" t="s">
        <v>193</v>
      </c>
      <c r="AN218" s="137" t="s">
        <v>193</v>
      </c>
      <c r="AO218" s="137" t="s">
        <v>193</v>
      </c>
      <c r="AQ218" s="12">
        <f t="shared" si="27"/>
        <v>0</v>
      </c>
      <c r="AR218" s="12">
        <f t="shared" si="26"/>
        <v>0</v>
      </c>
      <c r="AT218" s="12">
        <f t="shared" si="28"/>
        <v>0</v>
      </c>
      <c r="AU218" s="12">
        <f t="shared" si="29"/>
        <v>0</v>
      </c>
      <c r="AV218" s="13" t="str">
        <f t="shared" si="30"/>
        <v/>
      </c>
      <c r="AY218" s="12">
        <f t="shared" si="31"/>
        <v>0</v>
      </c>
      <c r="AZ218" s="12">
        <f t="shared" si="32"/>
        <v>0</v>
      </c>
      <c r="BA218" s="12">
        <f t="shared" si="32"/>
        <v>0</v>
      </c>
      <c r="BB218" s="12">
        <f t="shared" si="32"/>
        <v>0</v>
      </c>
      <c r="BC218" s="12">
        <f t="shared" si="32"/>
        <v>0</v>
      </c>
      <c r="BD218" s="12">
        <f t="shared" si="33"/>
        <v>0</v>
      </c>
    </row>
    <row r="219" spans="1:56" ht="15" customHeight="1" x14ac:dyDescent="0.25">
      <c r="A219" s="137" t="s">
        <v>491</v>
      </c>
      <c r="B219" s="137" t="s">
        <v>494</v>
      </c>
      <c r="C219" s="137">
        <v>2018</v>
      </c>
      <c r="D219" s="137">
        <v>93.77</v>
      </c>
      <c r="E219" s="137">
        <v>24.99</v>
      </c>
      <c r="F219" s="137" t="s">
        <v>193</v>
      </c>
      <c r="G219" s="137" t="s">
        <v>193</v>
      </c>
      <c r="H219" s="137" t="s">
        <v>193</v>
      </c>
      <c r="I219" s="137">
        <v>163.62700000000001</v>
      </c>
      <c r="J219" s="137" t="s">
        <v>193</v>
      </c>
      <c r="K219" s="137" t="s">
        <v>193</v>
      </c>
      <c r="L219" s="137" t="s">
        <v>193</v>
      </c>
      <c r="M219" s="137" t="s">
        <v>193</v>
      </c>
      <c r="N219" s="137" t="s">
        <v>193</v>
      </c>
      <c r="O219" s="137" t="s">
        <v>193</v>
      </c>
      <c r="P219" s="137" t="s">
        <v>193</v>
      </c>
      <c r="Q219" s="137">
        <v>142.42699999999999</v>
      </c>
      <c r="R219" s="137" t="s">
        <v>193</v>
      </c>
      <c r="S219" s="137" t="s">
        <v>193</v>
      </c>
      <c r="T219" s="137" t="s">
        <v>193</v>
      </c>
      <c r="U219" s="137" t="s">
        <v>193</v>
      </c>
      <c r="V219" s="137" t="s">
        <v>193</v>
      </c>
      <c r="W219" s="137" t="s">
        <v>193</v>
      </c>
      <c r="X219" s="137" t="s">
        <v>193</v>
      </c>
      <c r="Y219" s="137" t="s">
        <v>193</v>
      </c>
      <c r="Z219" s="137" t="s">
        <v>193</v>
      </c>
      <c r="AA219" s="137" t="s">
        <v>193</v>
      </c>
      <c r="AB219" s="137" t="s">
        <v>193</v>
      </c>
      <c r="AC219" s="137" t="s">
        <v>193</v>
      </c>
      <c r="AD219" s="137" t="s">
        <v>193</v>
      </c>
      <c r="AE219" s="137" t="s">
        <v>193</v>
      </c>
      <c r="AF219" s="137" t="s">
        <v>193</v>
      </c>
      <c r="AG219" s="137" t="s">
        <v>193</v>
      </c>
      <c r="AH219" s="137" t="s">
        <v>53</v>
      </c>
      <c r="AI219" s="137" t="s">
        <v>193</v>
      </c>
      <c r="AJ219" s="137" t="s">
        <v>193</v>
      </c>
      <c r="AK219" s="137">
        <v>21.2</v>
      </c>
      <c r="AL219" s="137" t="s">
        <v>193</v>
      </c>
      <c r="AM219" s="137" t="s">
        <v>193</v>
      </c>
      <c r="AN219" s="137" t="s">
        <v>193</v>
      </c>
      <c r="AO219" s="137" t="s">
        <v>193</v>
      </c>
      <c r="AQ219" s="12">
        <f t="shared" si="27"/>
        <v>142.42699999999999</v>
      </c>
      <c r="AR219" s="12">
        <f t="shared" si="26"/>
        <v>163.62699999999998</v>
      </c>
      <c r="AT219" s="12">
        <f t="shared" si="28"/>
        <v>93.77</v>
      </c>
      <c r="AU219" s="12">
        <f t="shared" si="29"/>
        <v>24.99</v>
      </c>
      <c r="AV219" s="13">
        <f t="shared" si="30"/>
        <v>0.72579708727777204</v>
      </c>
      <c r="AY219" s="12">
        <f t="shared" si="31"/>
        <v>21.2</v>
      </c>
      <c r="AZ219" s="12">
        <f t="shared" si="32"/>
        <v>0</v>
      </c>
      <c r="BA219" s="12">
        <f t="shared" si="32"/>
        <v>0</v>
      </c>
      <c r="BB219" s="12">
        <f t="shared" si="32"/>
        <v>0</v>
      </c>
      <c r="BC219" s="12">
        <f t="shared" si="32"/>
        <v>0</v>
      </c>
      <c r="BD219" s="12">
        <f t="shared" si="33"/>
        <v>21.2</v>
      </c>
    </row>
    <row r="220" spans="1:56" ht="15" customHeight="1" x14ac:dyDescent="0.25">
      <c r="A220" s="137" t="s">
        <v>495</v>
      </c>
      <c r="B220" s="137" t="s">
        <v>496</v>
      </c>
      <c r="C220" s="137">
        <v>2018</v>
      </c>
      <c r="D220" s="137" t="s">
        <v>193</v>
      </c>
      <c r="E220" s="137" t="s">
        <v>193</v>
      </c>
      <c r="F220" s="137" t="s">
        <v>193</v>
      </c>
      <c r="G220" s="137" t="s">
        <v>193</v>
      </c>
      <c r="H220" s="137" t="s">
        <v>193</v>
      </c>
      <c r="I220" s="137" t="s">
        <v>193</v>
      </c>
      <c r="J220" s="137" t="s">
        <v>193</v>
      </c>
      <c r="K220" s="137" t="s">
        <v>193</v>
      </c>
      <c r="L220" s="137" t="s">
        <v>193</v>
      </c>
      <c r="M220" s="137" t="s">
        <v>193</v>
      </c>
      <c r="N220" s="137" t="s">
        <v>193</v>
      </c>
      <c r="O220" s="137" t="s">
        <v>193</v>
      </c>
      <c r="P220" s="137" t="s">
        <v>193</v>
      </c>
      <c r="Q220" s="137" t="s">
        <v>193</v>
      </c>
      <c r="R220" s="137" t="s">
        <v>193</v>
      </c>
      <c r="S220" s="137" t="s">
        <v>193</v>
      </c>
      <c r="T220" s="137" t="s">
        <v>193</v>
      </c>
      <c r="U220" s="137" t="s">
        <v>193</v>
      </c>
      <c r="V220" s="137" t="s">
        <v>193</v>
      </c>
      <c r="W220" s="137" t="s">
        <v>193</v>
      </c>
      <c r="X220" s="137" t="s">
        <v>193</v>
      </c>
      <c r="Y220" s="137" t="s">
        <v>193</v>
      </c>
      <c r="Z220" s="137" t="s">
        <v>193</v>
      </c>
      <c r="AA220" s="137" t="s">
        <v>193</v>
      </c>
      <c r="AB220" s="137" t="s">
        <v>193</v>
      </c>
      <c r="AC220" s="137" t="s">
        <v>193</v>
      </c>
      <c r="AD220" s="137" t="s">
        <v>193</v>
      </c>
      <c r="AE220" s="137" t="s">
        <v>193</v>
      </c>
      <c r="AF220" s="137" t="s">
        <v>193</v>
      </c>
      <c r="AG220" s="137" t="s">
        <v>193</v>
      </c>
      <c r="AH220" s="137" t="s">
        <v>199</v>
      </c>
      <c r="AI220" s="137" t="s">
        <v>193</v>
      </c>
      <c r="AJ220" s="137" t="s">
        <v>193</v>
      </c>
      <c r="AK220" s="137" t="s">
        <v>193</v>
      </c>
      <c r="AL220" s="137" t="s">
        <v>193</v>
      </c>
      <c r="AM220" s="137" t="s">
        <v>193</v>
      </c>
      <c r="AN220" s="137" t="s">
        <v>193</v>
      </c>
      <c r="AO220" s="137" t="s">
        <v>193</v>
      </c>
      <c r="AQ220" s="12">
        <f t="shared" si="27"/>
        <v>0</v>
      </c>
      <c r="AR220" s="12">
        <f t="shared" si="26"/>
        <v>0</v>
      </c>
      <c r="AT220" s="12">
        <f t="shared" si="28"/>
        <v>0</v>
      </c>
      <c r="AU220" s="12">
        <f t="shared" si="29"/>
        <v>0</v>
      </c>
      <c r="AV220" s="13" t="str">
        <f t="shared" si="30"/>
        <v/>
      </c>
      <c r="AY220" s="12">
        <f t="shared" si="31"/>
        <v>0</v>
      </c>
      <c r="AZ220" s="12">
        <f t="shared" si="32"/>
        <v>0</v>
      </c>
      <c r="BA220" s="12">
        <f t="shared" si="32"/>
        <v>0</v>
      </c>
      <c r="BB220" s="12">
        <f t="shared" si="32"/>
        <v>0</v>
      </c>
      <c r="BC220" s="12">
        <f t="shared" si="32"/>
        <v>0</v>
      </c>
      <c r="BD220" s="12">
        <f t="shared" si="33"/>
        <v>0</v>
      </c>
    </row>
    <row r="221" spans="1:56" ht="15" customHeight="1" x14ac:dyDescent="0.25">
      <c r="A221" s="137" t="s">
        <v>498</v>
      </c>
      <c r="B221" s="137" t="s">
        <v>499</v>
      </c>
      <c r="C221" s="137">
        <v>2018</v>
      </c>
      <c r="D221" s="137" t="s">
        <v>53</v>
      </c>
      <c r="E221" s="137" t="s">
        <v>53</v>
      </c>
      <c r="F221" s="137" t="s">
        <v>53</v>
      </c>
      <c r="G221" s="137" t="s">
        <v>53</v>
      </c>
      <c r="H221" s="137" t="s">
        <v>53</v>
      </c>
      <c r="I221" s="137" t="s">
        <v>53</v>
      </c>
      <c r="J221" s="137" t="s">
        <v>53</v>
      </c>
      <c r="K221" s="137" t="s">
        <v>53</v>
      </c>
      <c r="L221" s="137" t="s">
        <v>53</v>
      </c>
      <c r="M221" s="137" t="s">
        <v>53</v>
      </c>
      <c r="N221" s="137" t="s">
        <v>53</v>
      </c>
      <c r="O221" s="137" t="s">
        <v>53</v>
      </c>
      <c r="P221" s="137" t="s">
        <v>53</v>
      </c>
      <c r="Q221" s="137" t="s">
        <v>53</v>
      </c>
      <c r="R221" s="137" t="s">
        <v>53</v>
      </c>
      <c r="S221" s="137" t="s">
        <v>53</v>
      </c>
      <c r="T221" s="137" t="s">
        <v>53</v>
      </c>
      <c r="U221" s="137" t="s">
        <v>53</v>
      </c>
      <c r="V221" s="137" t="s">
        <v>53</v>
      </c>
      <c r="W221" s="137" t="s">
        <v>53</v>
      </c>
      <c r="X221" s="137" t="s">
        <v>53</v>
      </c>
      <c r="Y221" s="137" t="s">
        <v>53</v>
      </c>
      <c r="Z221" s="137" t="s">
        <v>53</v>
      </c>
      <c r="AA221" s="137" t="s">
        <v>53</v>
      </c>
      <c r="AB221" s="137" t="s">
        <v>53</v>
      </c>
      <c r="AC221" s="137" t="s">
        <v>53</v>
      </c>
      <c r="AD221" s="137" t="s">
        <v>53</v>
      </c>
      <c r="AE221" s="137" t="s">
        <v>53</v>
      </c>
      <c r="AF221" s="137" t="s">
        <v>53</v>
      </c>
      <c r="AG221" s="137" t="s">
        <v>53</v>
      </c>
      <c r="AH221" s="137" t="s">
        <v>53</v>
      </c>
      <c r="AI221" s="137" t="s">
        <v>53</v>
      </c>
      <c r="AJ221" s="137" t="s">
        <v>53</v>
      </c>
      <c r="AK221" s="137" t="s">
        <v>53</v>
      </c>
      <c r="AL221" s="137" t="s">
        <v>53</v>
      </c>
      <c r="AM221" s="137" t="s">
        <v>53</v>
      </c>
      <c r="AN221" s="137" t="s">
        <v>53</v>
      </c>
      <c r="AO221" s="137" t="s">
        <v>53</v>
      </c>
      <c r="AQ221" s="12">
        <f t="shared" si="27"/>
        <v>0</v>
      </c>
      <c r="AR221" s="12">
        <f t="shared" si="26"/>
        <v>0</v>
      </c>
      <c r="AT221" s="12">
        <f t="shared" si="28"/>
        <v>0</v>
      </c>
      <c r="AU221" s="12">
        <f t="shared" si="29"/>
        <v>0</v>
      </c>
      <c r="AV221" s="13" t="str">
        <f t="shared" si="30"/>
        <v/>
      </c>
      <c r="AY221" s="12">
        <f t="shared" si="31"/>
        <v>0</v>
      </c>
      <c r="AZ221" s="12">
        <f t="shared" si="32"/>
        <v>0</v>
      </c>
      <c r="BA221" s="12">
        <f t="shared" si="32"/>
        <v>0</v>
      </c>
      <c r="BB221" s="12">
        <f t="shared" si="32"/>
        <v>0</v>
      </c>
      <c r="BC221" s="12">
        <f t="shared" si="32"/>
        <v>0</v>
      </c>
      <c r="BD221" s="12">
        <f t="shared" si="33"/>
        <v>0</v>
      </c>
    </row>
    <row r="222" spans="1:56" ht="15" customHeight="1" x14ac:dyDescent="0.25">
      <c r="A222" s="137" t="s">
        <v>498</v>
      </c>
      <c r="B222" s="137" t="s">
        <v>500</v>
      </c>
      <c r="C222" s="137">
        <v>2018</v>
      </c>
      <c r="D222" s="137" t="s">
        <v>53</v>
      </c>
      <c r="E222" s="137" t="s">
        <v>53</v>
      </c>
      <c r="F222" s="137" t="s">
        <v>53</v>
      </c>
      <c r="G222" s="137" t="s">
        <v>53</v>
      </c>
      <c r="H222" s="137" t="s">
        <v>53</v>
      </c>
      <c r="I222" s="137" t="s">
        <v>53</v>
      </c>
      <c r="J222" s="137" t="s">
        <v>53</v>
      </c>
      <c r="K222" s="137" t="s">
        <v>53</v>
      </c>
      <c r="L222" s="137" t="s">
        <v>53</v>
      </c>
      <c r="M222" s="137" t="s">
        <v>53</v>
      </c>
      <c r="N222" s="137" t="s">
        <v>53</v>
      </c>
      <c r="O222" s="137" t="s">
        <v>53</v>
      </c>
      <c r="P222" s="137" t="s">
        <v>53</v>
      </c>
      <c r="Q222" s="137" t="s">
        <v>53</v>
      </c>
      <c r="R222" s="137" t="s">
        <v>53</v>
      </c>
      <c r="S222" s="137" t="s">
        <v>53</v>
      </c>
      <c r="T222" s="137" t="s">
        <v>53</v>
      </c>
      <c r="U222" s="137" t="s">
        <v>53</v>
      </c>
      <c r="V222" s="137" t="s">
        <v>53</v>
      </c>
      <c r="W222" s="137" t="s">
        <v>53</v>
      </c>
      <c r="X222" s="137" t="s">
        <v>53</v>
      </c>
      <c r="Y222" s="137" t="s">
        <v>53</v>
      </c>
      <c r="Z222" s="137" t="s">
        <v>53</v>
      </c>
      <c r="AA222" s="137" t="s">
        <v>53</v>
      </c>
      <c r="AB222" s="137" t="s">
        <v>53</v>
      </c>
      <c r="AC222" s="137" t="s">
        <v>53</v>
      </c>
      <c r="AD222" s="137" t="s">
        <v>53</v>
      </c>
      <c r="AE222" s="137" t="s">
        <v>53</v>
      </c>
      <c r="AF222" s="137" t="s">
        <v>53</v>
      </c>
      <c r="AG222" s="137" t="s">
        <v>53</v>
      </c>
      <c r="AH222" s="137" t="s">
        <v>53</v>
      </c>
      <c r="AI222" s="137" t="s">
        <v>53</v>
      </c>
      <c r="AJ222" s="137" t="s">
        <v>53</v>
      </c>
      <c r="AK222" s="137" t="s">
        <v>53</v>
      </c>
      <c r="AL222" s="137" t="s">
        <v>53</v>
      </c>
      <c r="AM222" s="137" t="s">
        <v>53</v>
      </c>
      <c r="AN222" s="137" t="s">
        <v>53</v>
      </c>
      <c r="AO222" s="137" t="s">
        <v>53</v>
      </c>
      <c r="AQ222" s="12">
        <f t="shared" si="27"/>
        <v>0</v>
      </c>
      <c r="AR222" s="12">
        <f t="shared" si="26"/>
        <v>0</v>
      </c>
      <c r="AT222" s="12">
        <f t="shared" si="28"/>
        <v>0</v>
      </c>
      <c r="AU222" s="12">
        <f t="shared" si="29"/>
        <v>0</v>
      </c>
      <c r="AV222" s="13" t="str">
        <f t="shared" si="30"/>
        <v/>
      </c>
      <c r="AY222" s="12">
        <f t="shared" si="31"/>
        <v>0</v>
      </c>
      <c r="AZ222" s="12">
        <f t="shared" si="32"/>
        <v>0</v>
      </c>
      <c r="BA222" s="12">
        <f t="shared" si="32"/>
        <v>0</v>
      </c>
      <c r="BB222" s="12">
        <f t="shared" si="32"/>
        <v>0</v>
      </c>
      <c r="BC222" s="12">
        <f t="shared" si="32"/>
        <v>0</v>
      </c>
      <c r="BD222" s="12">
        <f t="shared" si="33"/>
        <v>0</v>
      </c>
    </row>
    <row r="223" spans="1:56" ht="15" customHeight="1" x14ac:dyDescent="0.25">
      <c r="A223" s="137" t="s">
        <v>501</v>
      </c>
      <c r="B223" s="137" t="s">
        <v>502</v>
      </c>
      <c r="C223" s="137">
        <v>2018</v>
      </c>
      <c r="D223" s="137">
        <v>99.8</v>
      </c>
      <c r="E223" s="137">
        <v>12.8</v>
      </c>
      <c r="F223" s="137" t="s">
        <v>193</v>
      </c>
      <c r="G223" s="137" t="s">
        <v>193</v>
      </c>
      <c r="H223" s="137" t="s">
        <v>193</v>
      </c>
      <c r="I223" s="137">
        <v>135.6</v>
      </c>
      <c r="J223" s="137" t="s">
        <v>193</v>
      </c>
      <c r="K223" s="137" t="s">
        <v>193</v>
      </c>
      <c r="L223" s="137" t="s">
        <v>193</v>
      </c>
      <c r="M223" s="137" t="s">
        <v>193</v>
      </c>
      <c r="N223" s="137" t="s">
        <v>193</v>
      </c>
      <c r="O223" s="137" t="s">
        <v>193</v>
      </c>
      <c r="P223" s="137" t="s">
        <v>193</v>
      </c>
      <c r="Q223" s="137">
        <v>43.7</v>
      </c>
      <c r="R223" s="137">
        <v>42</v>
      </c>
      <c r="S223" s="137">
        <v>21.5</v>
      </c>
      <c r="T223" s="137">
        <v>6.7</v>
      </c>
      <c r="U223" s="137" t="s">
        <v>193</v>
      </c>
      <c r="V223" s="137" t="s">
        <v>193</v>
      </c>
      <c r="W223" s="137" t="s">
        <v>194</v>
      </c>
      <c r="X223" s="137" t="s">
        <v>193</v>
      </c>
      <c r="Y223" s="137" t="s">
        <v>193</v>
      </c>
      <c r="Z223" s="137" t="s">
        <v>193</v>
      </c>
      <c r="AA223" s="137" t="s">
        <v>193</v>
      </c>
      <c r="AB223" s="137" t="s">
        <v>193</v>
      </c>
      <c r="AC223" s="137" t="s">
        <v>193</v>
      </c>
      <c r="AD223" s="137" t="s">
        <v>193</v>
      </c>
      <c r="AE223" s="137" t="s">
        <v>193</v>
      </c>
      <c r="AF223" s="137" t="s">
        <v>193</v>
      </c>
      <c r="AG223" s="137" t="s">
        <v>193</v>
      </c>
      <c r="AH223" s="137" t="s">
        <v>199</v>
      </c>
      <c r="AI223" s="137" t="s">
        <v>193</v>
      </c>
      <c r="AJ223" s="137" t="s">
        <v>193</v>
      </c>
      <c r="AK223" s="137">
        <v>21.7</v>
      </c>
      <c r="AL223" s="137">
        <v>100</v>
      </c>
      <c r="AM223" s="137">
        <v>0</v>
      </c>
      <c r="AN223" s="137">
        <v>0</v>
      </c>
      <c r="AO223" s="137">
        <v>0</v>
      </c>
      <c r="AQ223" s="12">
        <f t="shared" si="27"/>
        <v>113.9</v>
      </c>
      <c r="AR223" s="12">
        <f t="shared" si="26"/>
        <v>135.6</v>
      </c>
      <c r="AT223" s="12">
        <f t="shared" si="28"/>
        <v>99.8</v>
      </c>
      <c r="AU223" s="12">
        <f t="shared" si="29"/>
        <v>12.8</v>
      </c>
      <c r="AV223" s="13">
        <f t="shared" si="30"/>
        <v>0.8303834808259587</v>
      </c>
      <c r="AY223" s="12">
        <f t="shared" si="31"/>
        <v>21.7</v>
      </c>
      <c r="AZ223" s="12">
        <f t="shared" si="32"/>
        <v>21.7</v>
      </c>
      <c r="BA223" s="12">
        <f t="shared" si="32"/>
        <v>0</v>
      </c>
      <c r="BB223" s="12">
        <f t="shared" si="32"/>
        <v>0</v>
      </c>
      <c r="BC223" s="12">
        <f t="shared" si="32"/>
        <v>0</v>
      </c>
      <c r="BD223" s="12">
        <f t="shared" si="33"/>
        <v>0</v>
      </c>
    </row>
    <row r="224" spans="1:56" ht="15" customHeight="1" x14ac:dyDescent="0.25">
      <c r="A224" s="137" t="s">
        <v>503</v>
      </c>
      <c r="B224" s="137" t="s">
        <v>504</v>
      </c>
      <c r="C224" s="137">
        <v>2018</v>
      </c>
      <c r="D224" s="137" t="s">
        <v>193</v>
      </c>
      <c r="E224" s="137" t="s">
        <v>193</v>
      </c>
      <c r="F224" s="137" t="s">
        <v>193</v>
      </c>
      <c r="G224" s="137" t="s">
        <v>193</v>
      </c>
      <c r="H224" s="137" t="s">
        <v>193</v>
      </c>
      <c r="I224" s="137" t="s">
        <v>193</v>
      </c>
      <c r="J224" s="137" t="s">
        <v>193</v>
      </c>
      <c r="K224" s="137" t="s">
        <v>193</v>
      </c>
      <c r="L224" s="137" t="s">
        <v>193</v>
      </c>
      <c r="M224" s="137" t="s">
        <v>193</v>
      </c>
      <c r="N224" s="137" t="s">
        <v>193</v>
      </c>
      <c r="O224" s="137" t="s">
        <v>193</v>
      </c>
      <c r="P224" s="137" t="s">
        <v>193</v>
      </c>
      <c r="Q224" s="137" t="s">
        <v>193</v>
      </c>
      <c r="R224" s="137" t="s">
        <v>193</v>
      </c>
      <c r="S224" s="137" t="s">
        <v>193</v>
      </c>
      <c r="T224" s="137" t="s">
        <v>193</v>
      </c>
      <c r="U224" s="137" t="s">
        <v>193</v>
      </c>
      <c r="V224" s="137" t="s">
        <v>193</v>
      </c>
      <c r="W224" s="137" t="s">
        <v>193</v>
      </c>
      <c r="X224" s="137" t="s">
        <v>193</v>
      </c>
      <c r="Y224" s="137" t="s">
        <v>193</v>
      </c>
      <c r="Z224" s="137" t="s">
        <v>193</v>
      </c>
      <c r="AA224" s="137" t="s">
        <v>193</v>
      </c>
      <c r="AB224" s="137" t="s">
        <v>193</v>
      </c>
      <c r="AC224" s="137" t="s">
        <v>193</v>
      </c>
      <c r="AD224" s="137" t="s">
        <v>193</v>
      </c>
      <c r="AE224" s="137" t="s">
        <v>193</v>
      </c>
      <c r="AF224" s="137" t="s">
        <v>193</v>
      </c>
      <c r="AG224" s="137" t="s">
        <v>193</v>
      </c>
      <c r="AH224" s="137" t="s">
        <v>199</v>
      </c>
      <c r="AI224" s="137" t="s">
        <v>193</v>
      </c>
      <c r="AJ224" s="137" t="s">
        <v>193</v>
      </c>
      <c r="AK224" s="137" t="s">
        <v>193</v>
      </c>
      <c r="AL224" s="137" t="s">
        <v>193</v>
      </c>
      <c r="AM224" s="137" t="s">
        <v>193</v>
      </c>
      <c r="AN224" s="137" t="s">
        <v>193</v>
      </c>
      <c r="AO224" s="137" t="s">
        <v>193</v>
      </c>
      <c r="AQ224" s="12">
        <f t="shared" si="27"/>
        <v>0</v>
      </c>
      <c r="AR224" s="12">
        <f t="shared" si="26"/>
        <v>0</v>
      </c>
      <c r="AT224" s="12">
        <f t="shared" si="28"/>
        <v>0</v>
      </c>
      <c r="AU224" s="12">
        <f t="shared" si="29"/>
        <v>0</v>
      </c>
      <c r="AV224" s="13" t="str">
        <f t="shared" si="30"/>
        <v/>
      </c>
      <c r="AY224" s="12">
        <f t="shared" si="31"/>
        <v>0</v>
      </c>
      <c r="AZ224" s="12">
        <f t="shared" si="32"/>
        <v>0</v>
      </c>
      <c r="BA224" s="12">
        <f t="shared" si="32"/>
        <v>0</v>
      </c>
      <c r="BB224" s="12">
        <f t="shared" si="32"/>
        <v>0</v>
      </c>
      <c r="BC224" s="12">
        <f t="shared" si="32"/>
        <v>0</v>
      </c>
      <c r="BD224" s="12">
        <f t="shared" si="33"/>
        <v>0</v>
      </c>
    </row>
    <row r="225" spans="1:56" ht="15" customHeight="1" x14ac:dyDescent="0.25">
      <c r="A225" s="137" t="s">
        <v>505</v>
      </c>
      <c r="B225" s="137" t="s">
        <v>119</v>
      </c>
      <c r="C225" s="137">
        <v>2018</v>
      </c>
      <c r="D225" s="137" t="s">
        <v>53</v>
      </c>
      <c r="E225" s="137" t="s">
        <v>53</v>
      </c>
      <c r="F225" s="137" t="s">
        <v>53</v>
      </c>
      <c r="G225" s="137" t="s">
        <v>53</v>
      </c>
      <c r="H225" s="137" t="s">
        <v>53</v>
      </c>
      <c r="I225" s="137" t="s">
        <v>53</v>
      </c>
      <c r="J225" s="137" t="s">
        <v>53</v>
      </c>
      <c r="K225" s="137" t="s">
        <v>53</v>
      </c>
      <c r="L225" s="137" t="s">
        <v>53</v>
      </c>
      <c r="M225" s="137" t="s">
        <v>53</v>
      </c>
      <c r="N225" s="137" t="s">
        <v>53</v>
      </c>
      <c r="O225" s="137" t="s">
        <v>53</v>
      </c>
      <c r="P225" s="137" t="s">
        <v>53</v>
      </c>
      <c r="Q225" s="137" t="s">
        <v>53</v>
      </c>
      <c r="R225" s="137" t="s">
        <v>53</v>
      </c>
      <c r="S225" s="137" t="s">
        <v>53</v>
      </c>
      <c r="T225" s="137" t="s">
        <v>53</v>
      </c>
      <c r="U225" s="137" t="s">
        <v>53</v>
      </c>
      <c r="V225" s="137" t="s">
        <v>53</v>
      </c>
      <c r="W225" s="137" t="s">
        <v>53</v>
      </c>
      <c r="X225" s="137" t="s">
        <v>53</v>
      </c>
      <c r="Y225" s="137" t="s">
        <v>53</v>
      </c>
      <c r="Z225" s="137" t="s">
        <v>53</v>
      </c>
      <c r="AA225" s="137" t="s">
        <v>53</v>
      </c>
      <c r="AB225" s="137" t="s">
        <v>53</v>
      </c>
      <c r="AC225" s="137" t="s">
        <v>53</v>
      </c>
      <c r="AD225" s="137" t="s">
        <v>53</v>
      </c>
      <c r="AE225" s="137" t="s">
        <v>53</v>
      </c>
      <c r="AF225" s="137" t="s">
        <v>53</v>
      </c>
      <c r="AG225" s="137" t="s">
        <v>53</v>
      </c>
      <c r="AH225" s="137" t="s">
        <v>53</v>
      </c>
      <c r="AI225" s="137" t="s">
        <v>53</v>
      </c>
      <c r="AJ225" s="137" t="s">
        <v>53</v>
      </c>
      <c r="AK225" s="137" t="s">
        <v>53</v>
      </c>
      <c r="AL225" s="137" t="s">
        <v>53</v>
      </c>
      <c r="AM225" s="137" t="s">
        <v>53</v>
      </c>
      <c r="AN225" s="137" t="s">
        <v>53</v>
      </c>
      <c r="AO225" s="137" t="s">
        <v>53</v>
      </c>
      <c r="AQ225" s="12">
        <f t="shared" si="27"/>
        <v>0</v>
      </c>
      <c r="AR225" s="12">
        <f t="shared" si="26"/>
        <v>0</v>
      </c>
      <c r="AT225" s="12">
        <f t="shared" si="28"/>
        <v>0</v>
      </c>
      <c r="AU225" s="12">
        <f t="shared" si="29"/>
        <v>0</v>
      </c>
      <c r="AV225" s="13" t="str">
        <f t="shared" si="30"/>
        <v/>
      </c>
      <c r="AY225" s="12">
        <f t="shared" si="31"/>
        <v>0</v>
      </c>
      <c r="AZ225" s="12">
        <f t="shared" si="32"/>
        <v>0</v>
      </c>
      <c r="BA225" s="12">
        <f t="shared" si="32"/>
        <v>0</v>
      </c>
      <c r="BB225" s="12">
        <f t="shared" si="32"/>
        <v>0</v>
      </c>
      <c r="BC225" s="12">
        <f t="shared" si="32"/>
        <v>0</v>
      </c>
      <c r="BD225" s="12">
        <f t="shared" si="33"/>
        <v>0</v>
      </c>
    </row>
    <row r="226" spans="1:56" ht="15" customHeight="1" x14ac:dyDescent="0.25">
      <c r="A226" s="137" t="s">
        <v>506</v>
      </c>
      <c r="B226" s="137" t="s">
        <v>507</v>
      </c>
      <c r="C226" s="137">
        <v>2018</v>
      </c>
      <c r="D226" s="137" t="s">
        <v>193</v>
      </c>
      <c r="E226" s="137" t="s">
        <v>193</v>
      </c>
      <c r="F226" s="137" t="s">
        <v>193</v>
      </c>
      <c r="G226" s="137" t="s">
        <v>193</v>
      </c>
      <c r="H226" s="137" t="s">
        <v>193</v>
      </c>
      <c r="I226" s="137" t="s">
        <v>193</v>
      </c>
      <c r="J226" s="137" t="s">
        <v>193</v>
      </c>
      <c r="K226" s="137" t="s">
        <v>193</v>
      </c>
      <c r="L226" s="137" t="s">
        <v>193</v>
      </c>
      <c r="M226" s="137" t="s">
        <v>193</v>
      </c>
      <c r="N226" s="137" t="s">
        <v>193</v>
      </c>
      <c r="O226" s="137" t="s">
        <v>193</v>
      </c>
      <c r="P226" s="137" t="s">
        <v>193</v>
      </c>
      <c r="Q226" s="137" t="s">
        <v>193</v>
      </c>
      <c r="R226" s="137" t="s">
        <v>193</v>
      </c>
      <c r="S226" s="137" t="s">
        <v>193</v>
      </c>
      <c r="T226" s="137" t="s">
        <v>193</v>
      </c>
      <c r="U226" s="137" t="s">
        <v>193</v>
      </c>
      <c r="V226" s="137" t="s">
        <v>193</v>
      </c>
      <c r="W226" s="137" t="s">
        <v>193</v>
      </c>
      <c r="X226" s="137" t="s">
        <v>193</v>
      </c>
      <c r="Y226" s="137" t="s">
        <v>193</v>
      </c>
      <c r="Z226" s="137" t="s">
        <v>193</v>
      </c>
      <c r="AA226" s="137" t="s">
        <v>193</v>
      </c>
      <c r="AB226" s="137" t="s">
        <v>193</v>
      </c>
      <c r="AC226" s="137" t="s">
        <v>193</v>
      </c>
      <c r="AD226" s="137" t="s">
        <v>193</v>
      </c>
      <c r="AE226" s="137" t="s">
        <v>193</v>
      </c>
      <c r="AF226" s="137" t="s">
        <v>193</v>
      </c>
      <c r="AG226" s="137" t="s">
        <v>193</v>
      </c>
      <c r="AH226" s="137" t="s">
        <v>199</v>
      </c>
      <c r="AI226" s="137" t="s">
        <v>193</v>
      </c>
      <c r="AJ226" s="137" t="s">
        <v>193</v>
      </c>
      <c r="AK226" s="137" t="s">
        <v>193</v>
      </c>
      <c r="AL226" s="137" t="s">
        <v>193</v>
      </c>
      <c r="AM226" s="137" t="s">
        <v>193</v>
      </c>
      <c r="AN226" s="137" t="s">
        <v>193</v>
      </c>
      <c r="AO226" s="137" t="s">
        <v>193</v>
      </c>
      <c r="AQ226" s="12">
        <f t="shared" si="27"/>
        <v>0</v>
      </c>
      <c r="AR226" s="12">
        <f t="shared" si="26"/>
        <v>0</v>
      </c>
      <c r="AT226" s="12">
        <f t="shared" si="28"/>
        <v>0</v>
      </c>
      <c r="AU226" s="12">
        <f t="shared" si="29"/>
        <v>0</v>
      </c>
      <c r="AV226" s="13" t="str">
        <f t="shared" si="30"/>
        <v/>
      </c>
      <c r="AY226" s="12">
        <f t="shared" si="31"/>
        <v>0</v>
      </c>
      <c r="AZ226" s="12">
        <f t="shared" si="32"/>
        <v>0</v>
      </c>
      <c r="BA226" s="12">
        <f t="shared" si="32"/>
        <v>0</v>
      </c>
      <c r="BB226" s="12">
        <f t="shared" si="32"/>
        <v>0</v>
      </c>
      <c r="BC226" s="12">
        <f t="shared" si="32"/>
        <v>0</v>
      </c>
      <c r="BD226" s="12">
        <f t="shared" si="33"/>
        <v>0</v>
      </c>
    </row>
    <row r="227" spans="1:56" ht="15" customHeight="1" x14ac:dyDescent="0.25">
      <c r="A227" s="137" t="s">
        <v>38</v>
      </c>
      <c r="B227" s="141" t="s">
        <v>40</v>
      </c>
      <c r="C227" s="137">
        <v>2018</v>
      </c>
      <c r="D227" s="137" t="s">
        <v>53</v>
      </c>
      <c r="E227" s="137" t="s">
        <v>53</v>
      </c>
      <c r="F227" s="137" t="s">
        <v>53</v>
      </c>
      <c r="G227" s="137" t="s">
        <v>53</v>
      </c>
      <c r="H227" s="137" t="s">
        <v>53</v>
      </c>
      <c r="I227" s="137" t="s">
        <v>53</v>
      </c>
      <c r="J227" s="137" t="s">
        <v>53</v>
      </c>
      <c r="K227" s="137" t="s">
        <v>53</v>
      </c>
      <c r="L227" s="137" t="s">
        <v>53</v>
      </c>
      <c r="M227" s="137" t="s">
        <v>53</v>
      </c>
      <c r="N227" s="137" t="s">
        <v>53</v>
      </c>
      <c r="O227" s="137" t="s">
        <v>53</v>
      </c>
      <c r="P227" s="137" t="s">
        <v>53</v>
      </c>
      <c r="Q227" s="137" t="s">
        <v>53</v>
      </c>
      <c r="R227" s="137" t="s">
        <v>53</v>
      </c>
      <c r="S227" s="137" t="s">
        <v>53</v>
      </c>
      <c r="T227" s="137" t="s">
        <v>53</v>
      </c>
      <c r="U227" s="137" t="s">
        <v>53</v>
      </c>
      <c r="V227" s="137" t="s">
        <v>53</v>
      </c>
      <c r="W227" s="137" t="s">
        <v>53</v>
      </c>
      <c r="X227" s="137" t="s">
        <v>53</v>
      </c>
      <c r="Y227" s="137" t="s">
        <v>53</v>
      </c>
      <c r="Z227" s="137" t="s">
        <v>53</v>
      </c>
      <c r="AA227" s="137" t="s">
        <v>53</v>
      </c>
      <c r="AB227" s="137" t="s">
        <v>53</v>
      </c>
      <c r="AC227" s="137" t="s">
        <v>53</v>
      </c>
      <c r="AD227" s="137" t="s">
        <v>53</v>
      </c>
      <c r="AE227" s="137" t="s">
        <v>53</v>
      </c>
      <c r="AF227" s="137" t="s">
        <v>53</v>
      </c>
      <c r="AG227" s="137" t="s">
        <v>53</v>
      </c>
      <c r="AH227" s="137" t="s">
        <v>53</v>
      </c>
      <c r="AI227" s="137" t="s">
        <v>53</v>
      </c>
      <c r="AJ227" s="137" t="s">
        <v>53</v>
      </c>
      <c r="AK227" s="137" t="s">
        <v>53</v>
      </c>
      <c r="AL227" s="137" t="s">
        <v>53</v>
      </c>
      <c r="AM227" s="137" t="s">
        <v>53</v>
      </c>
      <c r="AN227" s="137" t="s">
        <v>53</v>
      </c>
      <c r="AO227" s="137" t="s">
        <v>53</v>
      </c>
      <c r="AQ227" s="12">
        <f t="shared" si="27"/>
        <v>0</v>
      </c>
      <c r="AR227" s="12">
        <f t="shared" si="26"/>
        <v>0</v>
      </c>
      <c r="AT227" s="12">
        <f t="shared" si="28"/>
        <v>0</v>
      </c>
      <c r="AU227" s="12">
        <f t="shared" si="29"/>
        <v>0</v>
      </c>
      <c r="AV227" s="13" t="str">
        <f t="shared" si="30"/>
        <v/>
      </c>
      <c r="AY227" s="12">
        <f t="shared" si="31"/>
        <v>0</v>
      </c>
      <c r="AZ227" s="12">
        <f t="shared" si="32"/>
        <v>0</v>
      </c>
      <c r="BA227" s="12">
        <f t="shared" si="32"/>
        <v>0</v>
      </c>
      <c r="BB227" s="12">
        <f t="shared" si="32"/>
        <v>0</v>
      </c>
      <c r="BC227" s="12">
        <f t="shared" si="32"/>
        <v>0</v>
      </c>
      <c r="BD227" s="12">
        <f t="shared" si="33"/>
        <v>0</v>
      </c>
    </row>
    <row r="228" spans="1:56" ht="15" customHeight="1" x14ac:dyDescent="0.25">
      <c r="A228" s="137" t="s">
        <v>4</v>
      </c>
      <c r="B228" s="137" t="s">
        <v>508</v>
      </c>
      <c r="C228" s="137">
        <v>2018</v>
      </c>
      <c r="D228" s="137" t="s">
        <v>53</v>
      </c>
      <c r="E228" s="137" t="s">
        <v>53</v>
      </c>
      <c r="F228" s="137" t="s">
        <v>53</v>
      </c>
      <c r="G228" s="137" t="s">
        <v>53</v>
      </c>
      <c r="H228" s="137" t="s">
        <v>53</v>
      </c>
      <c r="I228" s="137" t="s">
        <v>53</v>
      </c>
      <c r="J228" s="137" t="s">
        <v>53</v>
      </c>
      <c r="K228" s="137" t="s">
        <v>53</v>
      </c>
      <c r="L228" s="137" t="s">
        <v>53</v>
      </c>
      <c r="M228" s="137" t="s">
        <v>53</v>
      </c>
      <c r="N228" s="137" t="s">
        <v>53</v>
      </c>
      <c r="O228" s="137" t="s">
        <v>53</v>
      </c>
      <c r="P228" s="137" t="s">
        <v>53</v>
      </c>
      <c r="Q228" s="137" t="s">
        <v>53</v>
      </c>
      <c r="R228" s="137" t="s">
        <v>53</v>
      </c>
      <c r="S228" s="137" t="s">
        <v>53</v>
      </c>
      <c r="T228" s="137" t="s">
        <v>53</v>
      </c>
      <c r="U228" s="137" t="s">
        <v>53</v>
      </c>
      <c r="V228" s="137" t="s">
        <v>53</v>
      </c>
      <c r="W228" s="137" t="s">
        <v>53</v>
      </c>
      <c r="X228" s="137" t="s">
        <v>53</v>
      </c>
      <c r="Y228" s="137" t="s">
        <v>53</v>
      </c>
      <c r="Z228" s="137" t="s">
        <v>53</v>
      </c>
      <c r="AA228" s="137" t="s">
        <v>53</v>
      </c>
      <c r="AB228" s="137" t="s">
        <v>53</v>
      </c>
      <c r="AC228" s="137" t="s">
        <v>53</v>
      </c>
      <c r="AD228" s="137" t="s">
        <v>53</v>
      </c>
      <c r="AE228" s="137" t="s">
        <v>53</v>
      </c>
      <c r="AF228" s="137" t="s">
        <v>53</v>
      </c>
      <c r="AG228" s="137" t="s">
        <v>53</v>
      </c>
      <c r="AH228" s="137" t="s">
        <v>53</v>
      </c>
      <c r="AI228" s="137" t="s">
        <v>53</v>
      </c>
      <c r="AJ228" s="137" t="s">
        <v>53</v>
      </c>
      <c r="AK228" s="137" t="s">
        <v>53</v>
      </c>
      <c r="AL228" s="137" t="s">
        <v>53</v>
      </c>
      <c r="AM228" s="137" t="s">
        <v>53</v>
      </c>
      <c r="AN228" s="137" t="s">
        <v>53</v>
      </c>
      <c r="AO228" s="137" t="s">
        <v>53</v>
      </c>
      <c r="AQ228" s="12">
        <f t="shared" si="27"/>
        <v>0</v>
      </c>
      <c r="AR228" s="12">
        <f t="shared" si="26"/>
        <v>0</v>
      </c>
      <c r="AT228" s="12">
        <f t="shared" si="28"/>
        <v>0</v>
      </c>
      <c r="AU228" s="12">
        <f t="shared" si="29"/>
        <v>0</v>
      </c>
      <c r="AV228" s="13" t="str">
        <f t="shared" si="30"/>
        <v/>
      </c>
      <c r="AY228" s="12">
        <f t="shared" si="31"/>
        <v>0</v>
      </c>
      <c r="AZ228" s="12">
        <f t="shared" si="32"/>
        <v>0</v>
      </c>
      <c r="BA228" s="12">
        <f t="shared" si="32"/>
        <v>0</v>
      </c>
      <c r="BB228" s="12">
        <f t="shared" si="32"/>
        <v>0</v>
      </c>
      <c r="BC228" s="12">
        <f t="shared" si="32"/>
        <v>0</v>
      </c>
      <c r="BD228" s="12">
        <f t="shared" si="33"/>
        <v>0</v>
      </c>
    </row>
    <row r="229" spans="1:56" ht="15" customHeight="1" x14ac:dyDescent="0.25">
      <c r="A229" s="137" t="s">
        <v>4</v>
      </c>
      <c r="B229" s="137" t="s">
        <v>509</v>
      </c>
      <c r="C229" s="137">
        <v>2018</v>
      </c>
      <c r="D229" s="137" t="s">
        <v>53</v>
      </c>
      <c r="E229" s="137" t="s">
        <v>53</v>
      </c>
      <c r="F229" s="137" t="s">
        <v>53</v>
      </c>
      <c r="G229" s="137" t="s">
        <v>53</v>
      </c>
      <c r="H229" s="137" t="s">
        <v>53</v>
      </c>
      <c r="I229" s="137" t="s">
        <v>53</v>
      </c>
      <c r="J229" s="137" t="s">
        <v>53</v>
      </c>
      <c r="K229" s="137" t="s">
        <v>53</v>
      </c>
      <c r="L229" s="137" t="s">
        <v>53</v>
      </c>
      <c r="M229" s="137" t="s">
        <v>53</v>
      </c>
      <c r="N229" s="137" t="s">
        <v>53</v>
      </c>
      <c r="O229" s="137" t="s">
        <v>53</v>
      </c>
      <c r="P229" s="137" t="s">
        <v>53</v>
      </c>
      <c r="Q229" s="137" t="s">
        <v>53</v>
      </c>
      <c r="R229" s="137" t="s">
        <v>53</v>
      </c>
      <c r="S229" s="137" t="s">
        <v>53</v>
      </c>
      <c r="T229" s="137" t="s">
        <v>53</v>
      </c>
      <c r="U229" s="137" t="s">
        <v>53</v>
      </c>
      <c r="V229" s="137" t="s">
        <v>53</v>
      </c>
      <c r="W229" s="137" t="s">
        <v>53</v>
      </c>
      <c r="X229" s="137" t="s">
        <v>53</v>
      </c>
      <c r="Y229" s="137" t="s">
        <v>53</v>
      </c>
      <c r="Z229" s="137" t="s">
        <v>53</v>
      </c>
      <c r="AA229" s="137" t="s">
        <v>53</v>
      </c>
      <c r="AB229" s="137" t="s">
        <v>53</v>
      </c>
      <c r="AC229" s="137" t="s">
        <v>53</v>
      </c>
      <c r="AD229" s="137" t="s">
        <v>53</v>
      </c>
      <c r="AE229" s="137" t="s">
        <v>53</v>
      </c>
      <c r="AF229" s="137" t="s">
        <v>53</v>
      </c>
      <c r="AG229" s="137" t="s">
        <v>53</v>
      </c>
      <c r="AH229" s="137" t="s">
        <v>53</v>
      </c>
      <c r="AI229" s="137" t="s">
        <v>53</v>
      </c>
      <c r="AJ229" s="137" t="s">
        <v>53</v>
      </c>
      <c r="AK229" s="137" t="s">
        <v>53</v>
      </c>
      <c r="AL229" s="137" t="s">
        <v>53</v>
      </c>
      <c r="AM229" s="137" t="s">
        <v>53</v>
      </c>
      <c r="AN229" s="137" t="s">
        <v>53</v>
      </c>
      <c r="AO229" s="137" t="s">
        <v>53</v>
      </c>
      <c r="AQ229" s="12">
        <f t="shared" si="27"/>
        <v>0</v>
      </c>
      <c r="AR229" s="12">
        <f t="shared" si="26"/>
        <v>0</v>
      </c>
      <c r="AT229" s="12">
        <f t="shared" si="28"/>
        <v>0</v>
      </c>
      <c r="AU229" s="12">
        <f t="shared" si="29"/>
        <v>0</v>
      </c>
      <c r="AV229" s="13" t="str">
        <f t="shared" si="30"/>
        <v/>
      </c>
      <c r="AY229" s="12">
        <f t="shared" si="31"/>
        <v>0</v>
      </c>
      <c r="AZ229" s="12">
        <f t="shared" si="32"/>
        <v>0</v>
      </c>
      <c r="BA229" s="12">
        <f t="shared" si="32"/>
        <v>0</v>
      </c>
      <c r="BB229" s="12">
        <f t="shared" si="32"/>
        <v>0</v>
      </c>
      <c r="BC229" s="12">
        <f t="shared" si="32"/>
        <v>0</v>
      </c>
      <c r="BD229" s="12">
        <f t="shared" si="33"/>
        <v>0</v>
      </c>
    </row>
    <row r="230" spans="1:56" ht="15" customHeight="1" x14ac:dyDescent="0.25">
      <c r="A230" s="137" t="s">
        <v>4</v>
      </c>
      <c r="B230" s="137" t="s">
        <v>5</v>
      </c>
      <c r="C230" s="137">
        <v>2018</v>
      </c>
      <c r="D230" s="137" t="s">
        <v>53</v>
      </c>
      <c r="E230" s="137" t="s">
        <v>53</v>
      </c>
      <c r="F230" s="137" t="s">
        <v>53</v>
      </c>
      <c r="G230" s="137" t="s">
        <v>53</v>
      </c>
      <c r="H230" s="137" t="s">
        <v>53</v>
      </c>
      <c r="I230" s="137" t="s">
        <v>53</v>
      </c>
      <c r="J230" s="137" t="s">
        <v>53</v>
      </c>
      <c r="K230" s="137" t="s">
        <v>53</v>
      </c>
      <c r="L230" s="137" t="s">
        <v>53</v>
      </c>
      <c r="M230" s="137" t="s">
        <v>53</v>
      </c>
      <c r="N230" s="137" t="s">
        <v>53</v>
      </c>
      <c r="O230" s="137" t="s">
        <v>53</v>
      </c>
      <c r="P230" s="137" t="s">
        <v>53</v>
      </c>
      <c r="Q230" s="137" t="s">
        <v>53</v>
      </c>
      <c r="R230" s="137" t="s">
        <v>53</v>
      </c>
      <c r="S230" s="137" t="s">
        <v>53</v>
      </c>
      <c r="T230" s="137" t="s">
        <v>53</v>
      </c>
      <c r="U230" s="137" t="s">
        <v>53</v>
      </c>
      <c r="V230" s="137" t="s">
        <v>53</v>
      </c>
      <c r="W230" s="137" t="s">
        <v>53</v>
      </c>
      <c r="X230" s="137" t="s">
        <v>53</v>
      </c>
      <c r="Y230" s="137" t="s">
        <v>53</v>
      </c>
      <c r="Z230" s="137" t="s">
        <v>53</v>
      </c>
      <c r="AA230" s="137" t="s">
        <v>53</v>
      </c>
      <c r="AB230" s="137" t="s">
        <v>53</v>
      </c>
      <c r="AC230" s="137" t="s">
        <v>53</v>
      </c>
      <c r="AD230" s="137" t="s">
        <v>53</v>
      </c>
      <c r="AE230" s="137" t="s">
        <v>53</v>
      </c>
      <c r="AF230" s="137" t="s">
        <v>53</v>
      </c>
      <c r="AG230" s="137" t="s">
        <v>53</v>
      </c>
      <c r="AH230" s="137" t="s">
        <v>53</v>
      </c>
      <c r="AI230" s="137" t="s">
        <v>53</v>
      </c>
      <c r="AJ230" s="137" t="s">
        <v>53</v>
      </c>
      <c r="AK230" s="137" t="s">
        <v>53</v>
      </c>
      <c r="AL230" s="137" t="s">
        <v>53</v>
      </c>
      <c r="AM230" s="137" t="s">
        <v>53</v>
      </c>
      <c r="AN230" s="137" t="s">
        <v>53</v>
      </c>
      <c r="AO230" s="137" t="s">
        <v>53</v>
      </c>
      <c r="AQ230" s="12">
        <f t="shared" si="27"/>
        <v>0</v>
      </c>
      <c r="AR230" s="12">
        <f t="shared" si="26"/>
        <v>0</v>
      </c>
      <c r="AT230" s="12">
        <f t="shared" si="28"/>
        <v>0</v>
      </c>
      <c r="AU230" s="12">
        <f t="shared" si="29"/>
        <v>0</v>
      </c>
      <c r="AV230" s="13" t="str">
        <f t="shared" si="30"/>
        <v/>
      </c>
      <c r="AY230" s="12">
        <f t="shared" si="31"/>
        <v>0</v>
      </c>
      <c r="AZ230" s="12">
        <f t="shared" si="32"/>
        <v>0</v>
      </c>
      <c r="BA230" s="12">
        <f t="shared" si="32"/>
        <v>0</v>
      </c>
      <c r="BB230" s="12">
        <f t="shared" si="32"/>
        <v>0</v>
      </c>
      <c r="BC230" s="12">
        <f t="shared" si="32"/>
        <v>0</v>
      </c>
      <c r="BD230" s="12">
        <f t="shared" si="33"/>
        <v>0</v>
      </c>
    </row>
    <row r="231" spans="1:56" ht="15" customHeight="1" x14ac:dyDescent="0.25">
      <c r="A231" s="137" t="s">
        <v>510</v>
      </c>
      <c r="B231" s="137" t="s">
        <v>511</v>
      </c>
      <c r="C231" s="137">
        <v>2018</v>
      </c>
      <c r="D231" s="137" t="s">
        <v>193</v>
      </c>
      <c r="E231" s="137" t="s">
        <v>193</v>
      </c>
      <c r="F231" s="137" t="s">
        <v>193</v>
      </c>
      <c r="G231" s="137" t="s">
        <v>193</v>
      </c>
      <c r="H231" s="137" t="s">
        <v>193</v>
      </c>
      <c r="I231" s="137" t="s">
        <v>193</v>
      </c>
      <c r="J231" s="137" t="s">
        <v>193</v>
      </c>
      <c r="K231" s="137" t="s">
        <v>193</v>
      </c>
      <c r="L231" s="137" t="s">
        <v>193</v>
      </c>
      <c r="M231" s="137" t="s">
        <v>193</v>
      </c>
      <c r="N231" s="137" t="s">
        <v>193</v>
      </c>
      <c r="O231" s="137" t="s">
        <v>193</v>
      </c>
      <c r="P231" s="137" t="s">
        <v>193</v>
      </c>
      <c r="Q231" s="137" t="s">
        <v>193</v>
      </c>
      <c r="R231" s="137" t="s">
        <v>193</v>
      </c>
      <c r="S231" s="137" t="s">
        <v>193</v>
      </c>
      <c r="T231" s="137" t="s">
        <v>193</v>
      </c>
      <c r="U231" s="137" t="s">
        <v>193</v>
      </c>
      <c r="V231" s="137" t="s">
        <v>193</v>
      </c>
      <c r="W231" s="137" t="s">
        <v>193</v>
      </c>
      <c r="X231" s="137" t="s">
        <v>193</v>
      </c>
      <c r="Y231" s="137" t="s">
        <v>193</v>
      </c>
      <c r="Z231" s="137" t="s">
        <v>193</v>
      </c>
      <c r="AA231" s="137" t="s">
        <v>193</v>
      </c>
      <c r="AB231" s="137" t="s">
        <v>193</v>
      </c>
      <c r="AC231" s="137" t="s">
        <v>193</v>
      </c>
      <c r="AD231" s="137" t="s">
        <v>193</v>
      </c>
      <c r="AE231" s="137" t="s">
        <v>193</v>
      </c>
      <c r="AF231" s="137" t="s">
        <v>193</v>
      </c>
      <c r="AG231" s="137" t="s">
        <v>193</v>
      </c>
      <c r="AH231" s="137" t="s">
        <v>199</v>
      </c>
      <c r="AI231" s="137" t="s">
        <v>193</v>
      </c>
      <c r="AJ231" s="137" t="s">
        <v>193</v>
      </c>
      <c r="AK231" s="137" t="s">
        <v>193</v>
      </c>
      <c r="AL231" s="137">
        <v>100</v>
      </c>
      <c r="AM231" s="137">
        <v>0</v>
      </c>
      <c r="AN231" s="137">
        <v>0</v>
      </c>
      <c r="AO231" s="137">
        <v>0</v>
      </c>
      <c r="AQ231" s="12">
        <f t="shared" si="27"/>
        <v>0</v>
      </c>
      <c r="AR231" s="12">
        <f t="shared" si="26"/>
        <v>0</v>
      </c>
      <c r="AT231" s="12">
        <f t="shared" si="28"/>
        <v>0</v>
      </c>
      <c r="AU231" s="12">
        <f t="shared" si="29"/>
        <v>0</v>
      </c>
      <c r="AV231" s="13" t="str">
        <f t="shared" si="30"/>
        <v/>
      </c>
      <c r="AY231" s="12">
        <f t="shared" si="31"/>
        <v>0</v>
      </c>
      <c r="AZ231" s="12">
        <f t="shared" si="32"/>
        <v>0</v>
      </c>
      <c r="BA231" s="12">
        <f t="shared" si="32"/>
        <v>0</v>
      </c>
      <c r="BB231" s="12">
        <f t="shared" si="32"/>
        <v>0</v>
      </c>
      <c r="BC231" s="12">
        <f t="shared" si="32"/>
        <v>0</v>
      </c>
      <c r="BD231" s="12">
        <f t="shared" si="33"/>
        <v>0</v>
      </c>
    </row>
    <row r="232" spans="1:56" ht="15" customHeight="1" x14ac:dyDescent="0.25">
      <c r="A232" s="137" t="s">
        <v>513</v>
      </c>
      <c r="B232" s="137" t="s">
        <v>514</v>
      </c>
      <c r="C232" s="137">
        <v>2018</v>
      </c>
      <c r="D232" s="137" t="s">
        <v>193</v>
      </c>
      <c r="E232" s="137" t="s">
        <v>193</v>
      </c>
      <c r="F232" s="137" t="s">
        <v>193</v>
      </c>
      <c r="G232" s="137" t="s">
        <v>193</v>
      </c>
      <c r="H232" s="137" t="s">
        <v>193</v>
      </c>
      <c r="I232" s="137" t="s">
        <v>193</v>
      </c>
      <c r="J232" s="137" t="s">
        <v>193</v>
      </c>
      <c r="K232" s="137" t="s">
        <v>193</v>
      </c>
      <c r="L232" s="137" t="s">
        <v>193</v>
      </c>
      <c r="M232" s="137" t="s">
        <v>193</v>
      </c>
      <c r="N232" s="137" t="s">
        <v>193</v>
      </c>
      <c r="O232" s="137" t="s">
        <v>193</v>
      </c>
      <c r="P232" s="137" t="s">
        <v>193</v>
      </c>
      <c r="Q232" s="137" t="s">
        <v>193</v>
      </c>
      <c r="R232" s="137" t="s">
        <v>193</v>
      </c>
      <c r="S232" s="137" t="s">
        <v>193</v>
      </c>
      <c r="T232" s="137" t="s">
        <v>193</v>
      </c>
      <c r="U232" s="137" t="s">
        <v>193</v>
      </c>
      <c r="V232" s="137" t="s">
        <v>193</v>
      </c>
      <c r="W232" s="137" t="s">
        <v>193</v>
      </c>
      <c r="X232" s="137" t="s">
        <v>193</v>
      </c>
      <c r="Y232" s="137" t="s">
        <v>193</v>
      </c>
      <c r="Z232" s="137" t="s">
        <v>193</v>
      </c>
      <c r="AA232" s="137" t="s">
        <v>193</v>
      </c>
      <c r="AB232" s="137" t="s">
        <v>193</v>
      </c>
      <c r="AC232" s="137" t="s">
        <v>193</v>
      </c>
      <c r="AD232" s="137" t="s">
        <v>193</v>
      </c>
      <c r="AE232" s="137" t="s">
        <v>193</v>
      </c>
      <c r="AF232" s="137" t="s">
        <v>193</v>
      </c>
      <c r="AG232" s="137" t="s">
        <v>193</v>
      </c>
      <c r="AH232" s="137" t="s">
        <v>53</v>
      </c>
      <c r="AI232" s="137" t="s">
        <v>193</v>
      </c>
      <c r="AJ232" s="137" t="s">
        <v>193</v>
      </c>
      <c r="AK232" s="137" t="s">
        <v>193</v>
      </c>
      <c r="AL232" s="137" t="s">
        <v>193</v>
      </c>
      <c r="AM232" s="137" t="s">
        <v>193</v>
      </c>
      <c r="AN232" s="137" t="s">
        <v>193</v>
      </c>
      <c r="AO232" s="137" t="s">
        <v>193</v>
      </c>
      <c r="AQ232" s="12">
        <f t="shared" si="27"/>
        <v>0</v>
      </c>
      <c r="AR232" s="12">
        <f t="shared" si="26"/>
        <v>0</v>
      </c>
      <c r="AT232" s="12">
        <f t="shared" si="28"/>
        <v>0</v>
      </c>
      <c r="AU232" s="12">
        <f t="shared" si="29"/>
        <v>0</v>
      </c>
      <c r="AV232" s="13" t="str">
        <f t="shared" si="30"/>
        <v/>
      </c>
      <c r="AY232" s="12">
        <f t="shared" si="31"/>
        <v>0</v>
      </c>
      <c r="AZ232" s="12">
        <f t="shared" si="32"/>
        <v>0</v>
      </c>
      <c r="BA232" s="12">
        <f t="shared" si="32"/>
        <v>0</v>
      </c>
      <c r="BB232" s="12">
        <f t="shared" si="32"/>
        <v>0</v>
      </c>
      <c r="BC232" s="12">
        <f t="shared" si="32"/>
        <v>0</v>
      </c>
      <c r="BD232" s="12">
        <f t="shared" si="33"/>
        <v>0</v>
      </c>
    </row>
    <row r="233" spans="1:56" ht="15" customHeight="1" x14ac:dyDescent="0.25">
      <c r="A233" s="137" t="s">
        <v>513</v>
      </c>
      <c r="B233" s="137" t="s">
        <v>515</v>
      </c>
      <c r="C233" s="137">
        <v>2018</v>
      </c>
      <c r="D233" s="137" t="s">
        <v>193</v>
      </c>
      <c r="E233" s="137" t="s">
        <v>193</v>
      </c>
      <c r="F233" s="137" t="s">
        <v>193</v>
      </c>
      <c r="G233" s="137" t="s">
        <v>193</v>
      </c>
      <c r="H233" s="137" t="s">
        <v>193</v>
      </c>
      <c r="I233" s="137" t="s">
        <v>193</v>
      </c>
      <c r="J233" s="137" t="s">
        <v>193</v>
      </c>
      <c r="K233" s="137" t="s">
        <v>193</v>
      </c>
      <c r="L233" s="137" t="s">
        <v>193</v>
      </c>
      <c r="M233" s="137" t="s">
        <v>193</v>
      </c>
      <c r="N233" s="137" t="s">
        <v>193</v>
      </c>
      <c r="O233" s="137" t="s">
        <v>193</v>
      </c>
      <c r="P233" s="137" t="s">
        <v>193</v>
      </c>
      <c r="Q233" s="137" t="s">
        <v>193</v>
      </c>
      <c r="R233" s="137" t="s">
        <v>193</v>
      </c>
      <c r="S233" s="137" t="s">
        <v>193</v>
      </c>
      <c r="T233" s="137" t="s">
        <v>193</v>
      </c>
      <c r="U233" s="137" t="s">
        <v>193</v>
      </c>
      <c r="V233" s="137" t="s">
        <v>193</v>
      </c>
      <c r="W233" s="137" t="s">
        <v>193</v>
      </c>
      <c r="X233" s="137" t="s">
        <v>193</v>
      </c>
      <c r="Y233" s="137" t="s">
        <v>193</v>
      </c>
      <c r="Z233" s="137" t="s">
        <v>193</v>
      </c>
      <c r="AA233" s="137" t="s">
        <v>193</v>
      </c>
      <c r="AB233" s="137" t="s">
        <v>193</v>
      </c>
      <c r="AC233" s="137" t="s">
        <v>193</v>
      </c>
      <c r="AD233" s="137" t="s">
        <v>193</v>
      </c>
      <c r="AE233" s="137" t="s">
        <v>193</v>
      </c>
      <c r="AF233" s="137" t="s">
        <v>193</v>
      </c>
      <c r="AG233" s="137" t="s">
        <v>193</v>
      </c>
      <c r="AH233" s="137" t="s">
        <v>53</v>
      </c>
      <c r="AI233" s="137" t="s">
        <v>193</v>
      </c>
      <c r="AJ233" s="137" t="s">
        <v>193</v>
      </c>
      <c r="AK233" s="137" t="s">
        <v>193</v>
      </c>
      <c r="AL233" s="137" t="s">
        <v>193</v>
      </c>
      <c r="AM233" s="137" t="s">
        <v>193</v>
      </c>
      <c r="AN233" s="137" t="s">
        <v>193</v>
      </c>
      <c r="AO233" s="137" t="s">
        <v>193</v>
      </c>
      <c r="AQ233" s="12">
        <f t="shared" si="27"/>
        <v>0</v>
      </c>
      <c r="AR233" s="12">
        <f t="shared" si="26"/>
        <v>0</v>
      </c>
      <c r="AT233" s="12">
        <f t="shared" si="28"/>
        <v>0</v>
      </c>
      <c r="AU233" s="12">
        <f t="shared" si="29"/>
        <v>0</v>
      </c>
      <c r="AV233" s="13" t="str">
        <f t="shared" si="30"/>
        <v/>
      </c>
      <c r="AY233" s="12">
        <f t="shared" si="31"/>
        <v>0</v>
      </c>
      <c r="AZ233" s="12">
        <f t="shared" si="32"/>
        <v>0</v>
      </c>
      <c r="BA233" s="12">
        <f t="shared" si="32"/>
        <v>0</v>
      </c>
      <c r="BB233" s="12">
        <f t="shared" si="32"/>
        <v>0</v>
      </c>
      <c r="BC233" s="12">
        <f t="shared" si="32"/>
        <v>0</v>
      </c>
      <c r="BD233" s="12">
        <f t="shared" si="33"/>
        <v>0</v>
      </c>
    </row>
    <row r="234" spans="1:56" ht="15" customHeight="1" x14ac:dyDescent="0.25">
      <c r="A234" s="137" t="s">
        <v>513</v>
      </c>
      <c r="B234" s="137" t="s">
        <v>517</v>
      </c>
      <c r="C234" s="137">
        <v>2018</v>
      </c>
      <c r="D234" s="137" t="s">
        <v>193</v>
      </c>
      <c r="E234" s="137" t="s">
        <v>193</v>
      </c>
      <c r="F234" s="137" t="s">
        <v>193</v>
      </c>
      <c r="G234" s="137" t="s">
        <v>193</v>
      </c>
      <c r="H234" s="137" t="s">
        <v>193</v>
      </c>
      <c r="I234" s="137" t="s">
        <v>193</v>
      </c>
      <c r="J234" s="137" t="s">
        <v>193</v>
      </c>
      <c r="K234" s="137" t="s">
        <v>193</v>
      </c>
      <c r="L234" s="137" t="s">
        <v>193</v>
      </c>
      <c r="M234" s="137" t="s">
        <v>193</v>
      </c>
      <c r="N234" s="137" t="s">
        <v>193</v>
      </c>
      <c r="O234" s="137" t="s">
        <v>193</v>
      </c>
      <c r="P234" s="137" t="s">
        <v>193</v>
      </c>
      <c r="Q234" s="137" t="s">
        <v>193</v>
      </c>
      <c r="R234" s="137" t="s">
        <v>193</v>
      </c>
      <c r="S234" s="137" t="s">
        <v>193</v>
      </c>
      <c r="T234" s="137" t="s">
        <v>193</v>
      </c>
      <c r="U234" s="137" t="s">
        <v>193</v>
      </c>
      <c r="V234" s="137" t="s">
        <v>193</v>
      </c>
      <c r="W234" s="137" t="s">
        <v>193</v>
      </c>
      <c r="X234" s="137" t="s">
        <v>193</v>
      </c>
      <c r="Y234" s="137" t="s">
        <v>193</v>
      </c>
      <c r="Z234" s="137" t="s">
        <v>193</v>
      </c>
      <c r="AA234" s="137" t="s">
        <v>193</v>
      </c>
      <c r="AB234" s="137" t="s">
        <v>193</v>
      </c>
      <c r="AC234" s="137" t="s">
        <v>193</v>
      </c>
      <c r="AD234" s="137" t="s">
        <v>193</v>
      </c>
      <c r="AE234" s="137" t="s">
        <v>193</v>
      </c>
      <c r="AF234" s="137" t="s">
        <v>193</v>
      </c>
      <c r="AG234" s="137" t="s">
        <v>193</v>
      </c>
      <c r="AH234" s="137" t="s">
        <v>53</v>
      </c>
      <c r="AI234" s="137" t="s">
        <v>193</v>
      </c>
      <c r="AJ234" s="137" t="s">
        <v>193</v>
      </c>
      <c r="AK234" s="137" t="s">
        <v>193</v>
      </c>
      <c r="AL234" s="137" t="s">
        <v>193</v>
      </c>
      <c r="AM234" s="137" t="s">
        <v>193</v>
      </c>
      <c r="AN234" s="137" t="s">
        <v>193</v>
      </c>
      <c r="AO234" s="137" t="s">
        <v>193</v>
      </c>
      <c r="AQ234" s="12">
        <f t="shared" si="27"/>
        <v>0</v>
      </c>
      <c r="AR234" s="12">
        <f t="shared" si="26"/>
        <v>0</v>
      </c>
      <c r="AT234" s="12">
        <f t="shared" si="28"/>
        <v>0</v>
      </c>
      <c r="AU234" s="12">
        <f t="shared" si="29"/>
        <v>0</v>
      </c>
      <c r="AV234" s="13" t="str">
        <f t="shared" si="30"/>
        <v/>
      </c>
      <c r="AY234" s="12">
        <f t="shared" si="31"/>
        <v>0</v>
      </c>
      <c r="AZ234" s="12">
        <f t="shared" si="32"/>
        <v>0</v>
      </c>
      <c r="BA234" s="12">
        <f t="shared" si="32"/>
        <v>0</v>
      </c>
      <c r="BB234" s="12">
        <f t="shared" si="32"/>
        <v>0</v>
      </c>
      <c r="BC234" s="12">
        <f t="shared" si="32"/>
        <v>0</v>
      </c>
      <c r="BD234" s="12">
        <f t="shared" si="33"/>
        <v>0</v>
      </c>
    </row>
    <row r="235" spans="1:56" ht="15" customHeight="1" x14ac:dyDescent="0.25">
      <c r="A235" s="137" t="s">
        <v>513</v>
      </c>
      <c r="B235" s="137" t="s">
        <v>518</v>
      </c>
      <c r="C235" s="137">
        <v>2018</v>
      </c>
      <c r="D235" s="137" t="s">
        <v>193</v>
      </c>
      <c r="E235" s="137" t="s">
        <v>193</v>
      </c>
      <c r="F235" s="137" t="s">
        <v>193</v>
      </c>
      <c r="G235" s="137" t="s">
        <v>193</v>
      </c>
      <c r="H235" s="137" t="s">
        <v>193</v>
      </c>
      <c r="I235" s="137" t="s">
        <v>193</v>
      </c>
      <c r="J235" s="137" t="s">
        <v>193</v>
      </c>
      <c r="K235" s="137" t="s">
        <v>193</v>
      </c>
      <c r="L235" s="137" t="s">
        <v>193</v>
      </c>
      <c r="M235" s="137" t="s">
        <v>193</v>
      </c>
      <c r="N235" s="137" t="s">
        <v>193</v>
      </c>
      <c r="O235" s="137" t="s">
        <v>193</v>
      </c>
      <c r="P235" s="137" t="s">
        <v>193</v>
      </c>
      <c r="Q235" s="137" t="s">
        <v>193</v>
      </c>
      <c r="R235" s="137" t="s">
        <v>193</v>
      </c>
      <c r="S235" s="137" t="s">
        <v>193</v>
      </c>
      <c r="T235" s="137" t="s">
        <v>193</v>
      </c>
      <c r="U235" s="137" t="s">
        <v>193</v>
      </c>
      <c r="V235" s="137" t="s">
        <v>193</v>
      </c>
      <c r="W235" s="137" t="s">
        <v>193</v>
      </c>
      <c r="X235" s="137" t="s">
        <v>193</v>
      </c>
      <c r="Y235" s="137" t="s">
        <v>193</v>
      </c>
      <c r="Z235" s="137" t="s">
        <v>193</v>
      </c>
      <c r="AA235" s="137" t="s">
        <v>193</v>
      </c>
      <c r="AB235" s="137" t="s">
        <v>193</v>
      </c>
      <c r="AC235" s="137" t="s">
        <v>193</v>
      </c>
      <c r="AD235" s="137" t="s">
        <v>193</v>
      </c>
      <c r="AE235" s="137" t="s">
        <v>193</v>
      </c>
      <c r="AF235" s="137" t="s">
        <v>193</v>
      </c>
      <c r="AG235" s="137" t="s">
        <v>193</v>
      </c>
      <c r="AH235" s="137" t="s">
        <v>53</v>
      </c>
      <c r="AI235" s="137" t="s">
        <v>193</v>
      </c>
      <c r="AJ235" s="137" t="s">
        <v>193</v>
      </c>
      <c r="AK235" s="137" t="s">
        <v>193</v>
      </c>
      <c r="AL235" s="137" t="s">
        <v>193</v>
      </c>
      <c r="AM235" s="137" t="s">
        <v>193</v>
      </c>
      <c r="AN235" s="137" t="s">
        <v>193</v>
      </c>
      <c r="AO235" s="137" t="s">
        <v>193</v>
      </c>
      <c r="AQ235" s="12">
        <f t="shared" si="27"/>
        <v>0</v>
      </c>
      <c r="AR235" s="12">
        <f t="shared" si="26"/>
        <v>0</v>
      </c>
      <c r="AT235" s="12">
        <f t="shared" si="28"/>
        <v>0</v>
      </c>
      <c r="AU235" s="12">
        <f t="shared" si="29"/>
        <v>0</v>
      </c>
      <c r="AV235" s="13" t="str">
        <f t="shared" si="30"/>
        <v/>
      </c>
      <c r="AY235" s="12">
        <f t="shared" si="31"/>
        <v>0</v>
      </c>
      <c r="AZ235" s="12">
        <f t="shared" si="32"/>
        <v>0</v>
      </c>
      <c r="BA235" s="12">
        <f t="shared" si="32"/>
        <v>0</v>
      </c>
      <c r="BB235" s="12">
        <f t="shared" si="32"/>
        <v>0</v>
      </c>
      <c r="BC235" s="12">
        <f t="shared" si="32"/>
        <v>0</v>
      </c>
      <c r="BD235" s="12">
        <f t="shared" si="33"/>
        <v>0</v>
      </c>
    </row>
    <row r="236" spans="1:56" ht="15" customHeight="1" x14ac:dyDescent="0.25">
      <c r="A236" s="137" t="s">
        <v>519</v>
      </c>
      <c r="B236" s="137" t="s">
        <v>520</v>
      </c>
      <c r="C236" s="137">
        <v>2018</v>
      </c>
      <c r="D236" s="137" t="s">
        <v>53</v>
      </c>
      <c r="E236" s="137" t="s">
        <v>53</v>
      </c>
      <c r="F236" s="137" t="s">
        <v>53</v>
      </c>
      <c r="G236" s="137" t="s">
        <v>53</v>
      </c>
      <c r="H236" s="137" t="s">
        <v>53</v>
      </c>
      <c r="I236" s="137" t="s">
        <v>53</v>
      </c>
      <c r="J236" s="137" t="s">
        <v>53</v>
      </c>
      <c r="K236" s="137" t="s">
        <v>53</v>
      </c>
      <c r="L236" s="137" t="s">
        <v>53</v>
      </c>
      <c r="M236" s="137" t="s">
        <v>53</v>
      </c>
      <c r="N236" s="137" t="s">
        <v>53</v>
      </c>
      <c r="O236" s="137" t="s">
        <v>53</v>
      </c>
      <c r="P236" s="137" t="s">
        <v>53</v>
      </c>
      <c r="Q236" s="137" t="s">
        <v>53</v>
      </c>
      <c r="R236" s="137" t="s">
        <v>53</v>
      </c>
      <c r="S236" s="137" t="s">
        <v>53</v>
      </c>
      <c r="T236" s="137" t="s">
        <v>53</v>
      </c>
      <c r="U236" s="137" t="s">
        <v>53</v>
      </c>
      <c r="V236" s="137" t="s">
        <v>53</v>
      </c>
      <c r="W236" s="137" t="s">
        <v>53</v>
      </c>
      <c r="X236" s="137" t="s">
        <v>53</v>
      </c>
      <c r="Y236" s="137" t="s">
        <v>53</v>
      </c>
      <c r="Z236" s="137" t="s">
        <v>53</v>
      </c>
      <c r="AA236" s="137" t="s">
        <v>53</v>
      </c>
      <c r="AB236" s="137" t="s">
        <v>53</v>
      </c>
      <c r="AC236" s="137" t="s">
        <v>53</v>
      </c>
      <c r="AD236" s="137" t="s">
        <v>53</v>
      </c>
      <c r="AE236" s="137" t="s">
        <v>53</v>
      </c>
      <c r="AF236" s="137" t="s">
        <v>53</v>
      </c>
      <c r="AG236" s="137" t="s">
        <v>53</v>
      </c>
      <c r="AH236" s="137" t="s">
        <v>53</v>
      </c>
      <c r="AI236" s="137" t="s">
        <v>53</v>
      </c>
      <c r="AJ236" s="137" t="s">
        <v>53</v>
      </c>
      <c r="AK236" s="137" t="s">
        <v>53</v>
      </c>
      <c r="AL236" s="137" t="s">
        <v>53</v>
      </c>
      <c r="AM236" s="137" t="s">
        <v>53</v>
      </c>
      <c r="AN236" s="137" t="s">
        <v>53</v>
      </c>
      <c r="AO236" s="137" t="s">
        <v>53</v>
      </c>
      <c r="AQ236" s="12">
        <f t="shared" si="27"/>
        <v>0</v>
      </c>
      <c r="AR236" s="12">
        <f t="shared" si="26"/>
        <v>0</v>
      </c>
      <c r="AT236" s="12">
        <f t="shared" si="28"/>
        <v>0</v>
      </c>
      <c r="AU236" s="12">
        <f t="shared" si="29"/>
        <v>0</v>
      </c>
      <c r="AV236" s="13" t="str">
        <f t="shared" si="30"/>
        <v/>
      </c>
      <c r="AY236" s="12">
        <f t="shared" si="31"/>
        <v>0</v>
      </c>
      <c r="AZ236" s="12">
        <f t="shared" si="32"/>
        <v>0</v>
      </c>
      <c r="BA236" s="12">
        <f t="shared" si="32"/>
        <v>0</v>
      </c>
      <c r="BB236" s="12">
        <f t="shared" si="32"/>
        <v>0</v>
      </c>
      <c r="BC236" s="12">
        <f t="shared" si="32"/>
        <v>0</v>
      </c>
      <c r="BD236" s="12">
        <f t="shared" si="33"/>
        <v>0</v>
      </c>
    </row>
    <row r="237" spans="1:56" ht="15" customHeight="1" x14ac:dyDescent="0.25">
      <c r="A237" s="137" t="s">
        <v>521</v>
      </c>
      <c r="B237" s="137" t="s">
        <v>522</v>
      </c>
      <c r="C237" s="137">
        <v>2018</v>
      </c>
      <c r="D237" s="137">
        <v>5.3</v>
      </c>
      <c r="E237" s="137">
        <v>0.05</v>
      </c>
      <c r="F237" s="137">
        <v>0</v>
      </c>
      <c r="G237" s="137" t="s">
        <v>193</v>
      </c>
      <c r="H237" s="137">
        <v>0</v>
      </c>
      <c r="I237" s="137">
        <v>6.2</v>
      </c>
      <c r="J237" s="137" t="s">
        <v>193</v>
      </c>
      <c r="K237" s="137" t="s">
        <v>193</v>
      </c>
      <c r="L237" s="137" t="s">
        <v>193</v>
      </c>
      <c r="M237" s="137" t="s">
        <v>193</v>
      </c>
      <c r="N237" s="137" t="s">
        <v>193</v>
      </c>
      <c r="O237" s="137" t="s">
        <v>193</v>
      </c>
      <c r="P237" s="137" t="s">
        <v>193</v>
      </c>
      <c r="Q237" s="137">
        <v>1.9</v>
      </c>
      <c r="R237" s="137">
        <v>1.9</v>
      </c>
      <c r="S237" s="137">
        <v>1.9</v>
      </c>
      <c r="T237" s="137">
        <v>0.5</v>
      </c>
      <c r="U237" s="137" t="s">
        <v>193</v>
      </c>
      <c r="V237" s="137" t="s">
        <v>193</v>
      </c>
      <c r="W237" s="137" t="s">
        <v>193</v>
      </c>
      <c r="X237" s="137" t="s">
        <v>193</v>
      </c>
      <c r="Y237" s="137" t="s">
        <v>193</v>
      </c>
      <c r="Z237" s="137" t="s">
        <v>193</v>
      </c>
      <c r="AA237" s="137" t="s">
        <v>193</v>
      </c>
      <c r="AB237" s="137" t="s">
        <v>193</v>
      </c>
      <c r="AC237" s="137" t="s">
        <v>193</v>
      </c>
      <c r="AD237" s="137" t="s">
        <v>193</v>
      </c>
      <c r="AE237" s="137" t="s">
        <v>193</v>
      </c>
      <c r="AF237" s="137" t="s">
        <v>193</v>
      </c>
      <c r="AG237" s="137" t="s">
        <v>193</v>
      </c>
      <c r="AH237" s="137" t="s">
        <v>53</v>
      </c>
      <c r="AI237" s="137" t="s">
        <v>193</v>
      </c>
      <c r="AJ237" s="137" t="s">
        <v>193</v>
      </c>
      <c r="AK237" s="137" t="s">
        <v>193</v>
      </c>
      <c r="AL237" s="137" t="s">
        <v>193</v>
      </c>
      <c r="AM237" s="137" t="s">
        <v>193</v>
      </c>
      <c r="AN237" s="137" t="s">
        <v>193</v>
      </c>
      <c r="AO237" s="137" t="s">
        <v>193</v>
      </c>
      <c r="AQ237" s="12">
        <f t="shared" si="27"/>
        <v>6.1999999999999993</v>
      </c>
      <c r="AR237" s="12">
        <f t="shared" si="26"/>
        <v>6.1999999999999993</v>
      </c>
      <c r="AT237" s="12">
        <f t="shared" si="28"/>
        <v>5.3</v>
      </c>
      <c r="AU237" s="12">
        <f t="shared" si="29"/>
        <v>0.05</v>
      </c>
      <c r="AV237" s="13">
        <f t="shared" si="30"/>
        <v>0.86290322580645162</v>
      </c>
      <c r="AY237" s="12">
        <f t="shared" si="31"/>
        <v>0</v>
      </c>
      <c r="AZ237" s="12">
        <f t="shared" si="32"/>
        <v>0</v>
      </c>
      <c r="BA237" s="12">
        <f t="shared" si="32"/>
        <v>0</v>
      </c>
      <c r="BB237" s="12">
        <f t="shared" si="32"/>
        <v>0</v>
      </c>
      <c r="BC237" s="12">
        <f t="shared" si="32"/>
        <v>0</v>
      </c>
      <c r="BD237" s="12">
        <f t="shared" si="33"/>
        <v>0</v>
      </c>
    </row>
    <row r="238" spans="1:56" ht="15" customHeight="1" x14ac:dyDescent="0.25">
      <c r="A238" s="137" t="s">
        <v>521</v>
      </c>
      <c r="B238" s="137" t="s">
        <v>523</v>
      </c>
      <c r="C238" s="137">
        <v>2018</v>
      </c>
      <c r="D238" s="137">
        <v>9.8000000000000007</v>
      </c>
      <c r="E238" s="137">
        <v>0.56000000000000005</v>
      </c>
      <c r="F238" s="137">
        <v>0</v>
      </c>
      <c r="G238" s="137" t="s">
        <v>193</v>
      </c>
      <c r="H238" s="137" t="s">
        <v>193</v>
      </c>
      <c r="I238" s="137">
        <v>11.7</v>
      </c>
      <c r="J238" s="137" t="s">
        <v>193</v>
      </c>
      <c r="K238" s="137" t="s">
        <v>193</v>
      </c>
      <c r="L238" s="137" t="s">
        <v>193</v>
      </c>
      <c r="M238" s="137" t="s">
        <v>193</v>
      </c>
      <c r="N238" s="137" t="s">
        <v>193</v>
      </c>
      <c r="O238" s="137" t="s">
        <v>193</v>
      </c>
      <c r="P238" s="137" t="s">
        <v>193</v>
      </c>
      <c r="Q238" s="137">
        <v>3.5</v>
      </c>
      <c r="R238" s="137">
        <v>3.5</v>
      </c>
      <c r="S238" s="137">
        <v>3.5</v>
      </c>
      <c r="T238" s="137">
        <v>1.2</v>
      </c>
      <c r="U238" s="137" t="s">
        <v>193</v>
      </c>
      <c r="V238" s="137" t="s">
        <v>193</v>
      </c>
      <c r="W238" s="137" t="s">
        <v>193</v>
      </c>
      <c r="X238" s="137" t="s">
        <v>193</v>
      </c>
      <c r="Y238" s="137" t="s">
        <v>193</v>
      </c>
      <c r="Z238" s="137" t="s">
        <v>193</v>
      </c>
      <c r="AA238" s="137" t="s">
        <v>193</v>
      </c>
      <c r="AB238" s="137" t="s">
        <v>193</v>
      </c>
      <c r="AC238" s="137" t="s">
        <v>193</v>
      </c>
      <c r="AD238" s="137" t="s">
        <v>193</v>
      </c>
      <c r="AE238" s="137" t="s">
        <v>193</v>
      </c>
      <c r="AF238" s="137" t="s">
        <v>193</v>
      </c>
      <c r="AG238" s="137" t="s">
        <v>193</v>
      </c>
      <c r="AH238" s="137" t="s">
        <v>53</v>
      </c>
      <c r="AI238" s="137" t="s">
        <v>193</v>
      </c>
      <c r="AJ238" s="137" t="s">
        <v>193</v>
      </c>
      <c r="AK238" s="137" t="s">
        <v>193</v>
      </c>
      <c r="AL238" s="137" t="s">
        <v>193</v>
      </c>
      <c r="AM238" s="137" t="s">
        <v>193</v>
      </c>
      <c r="AN238" s="137" t="s">
        <v>193</v>
      </c>
      <c r="AO238" s="137" t="s">
        <v>193</v>
      </c>
      <c r="AQ238" s="12">
        <f t="shared" si="27"/>
        <v>11.7</v>
      </c>
      <c r="AR238" s="12">
        <f t="shared" si="26"/>
        <v>11.7</v>
      </c>
      <c r="AT238" s="12">
        <f t="shared" si="28"/>
        <v>9.8000000000000007</v>
      </c>
      <c r="AU238" s="12">
        <f t="shared" si="29"/>
        <v>0.56000000000000005</v>
      </c>
      <c r="AV238" s="13">
        <f t="shared" si="30"/>
        <v>0.88547008547008565</v>
      </c>
      <c r="AY238" s="12">
        <f t="shared" si="31"/>
        <v>0</v>
      </c>
      <c r="AZ238" s="12">
        <f t="shared" si="32"/>
        <v>0</v>
      </c>
      <c r="BA238" s="12">
        <f t="shared" si="32"/>
        <v>0</v>
      </c>
      <c r="BB238" s="12">
        <f t="shared" si="32"/>
        <v>0</v>
      </c>
      <c r="BC238" s="12">
        <f t="shared" si="32"/>
        <v>0</v>
      </c>
      <c r="BD238" s="12">
        <f t="shared" si="33"/>
        <v>0</v>
      </c>
    </row>
    <row r="239" spans="1:56" ht="15" customHeight="1" x14ac:dyDescent="0.25">
      <c r="A239" s="137" t="s">
        <v>524</v>
      </c>
      <c r="B239" s="137" t="s">
        <v>525</v>
      </c>
      <c r="C239" s="137">
        <v>2018</v>
      </c>
      <c r="D239" s="137">
        <v>88.704999999999998</v>
      </c>
      <c r="E239" s="137">
        <v>18.374967999999999</v>
      </c>
      <c r="F239" s="137" t="s">
        <v>193</v>
      </c>
      <c r="G239" s="137" t="s">
        <v>193</v>
      </c>
      <c r="H239" s="137" t="s">
        <v>193</v>
      </c>
      <c r="I239" s="137">
        <v>124.29</v>
      </c>
      <c r="J239" s="137" t="s">
        <v>193</v>
      </c>
      <c r="K239" s="137" t="s">
        <v>193</v>
      </c>
      <c r="L239" s="137" t="s">
        <v>193</v>
      </c>
      <c r="M239" s="137" t="s">
        <v>193</v>
      </c>
      <c r="N239" s="137" t="s">
        <v>193</v>
      </c>
      <c r="O239" s="137" t="s">
        <v>193</v>
      </c>
      <c r="P239" s="137" t="s">
        <v>193</v>
      </c>
      <c r="Q239" s="137">
        <v>45.05</v>
      </c>
      <c r="R239" s="137" t="s">
        <v>193</v>
      </c>
      <c r="S239" s="137">
        <v>65.290000000000006</v>
      </c>
      <c r="T239" s="137">
        <v>6.49</v>
      </c>
      <c r="U239" s="137" t="s">
        <v>193</v>
      </c>
      <c r="V239" s="137">
        <v>7.26</v>
      </c>
      <c r="W239" s="137" t="s">
        <v>194</v>
      </c>
      <c r="X239" s="137" t="s">
        <v>193</v>
      </c>
      <c r="Y239" s="137" t="s">
        <v>193</v>
      </c>
      <c r="Z239" s="137" t="s">
        <v>193</v>
      </c>
      <c r="AA239" s="137" t="s">
        <v>193</v>
      </c>
      <c r="AB239" s="137" t="s">
        <v>193</v>
      </c>
      <c r="AC239" s="137">
        <v>0.2</v>
      </c>
      <c r="AD239" s="137" t="s">
        <v>193</v>
      </c>
      <c r="AE239" s="137" t="s">
        <v>193</v>
      </c>
      <c r="AF239" s="137" t="s">
        <v>193</v>
      </c>
      <c r="AG239" s="137" t="s">
        <v>193</v>
      </c>
      <c r="AH239" s="137" t="s">
        <v>199</v>
      </c>
      <c r="AI239" s="137" t="s">
        <v>193</v>
      </c>
      <c r="AJ239" s="137" t="s">
        <v>193</v>
      </c>
      <c r="AK239" s="137" t="s">
        <v>193</v>
      </c>
      <c r="AL239" s="137" t="s">
        <v>193</v>
      </c>
      <c r="AM239" s="137" t="s">
        <v>193</v>
      </c>
      <c r="AN239" s="137" t="s">
        <v>193</v>
      </c>
      <c r="AO239" s="137" t="s">
        <v>193</v>
      </c>
      <c r="AQ239" s="12">
        <f t="shared" si="27"/>
        <v>124.29</v>
      </c>
      <c r="AR239" s="12">
        <f t="shared" si="26"/>
        <v>124.29</v>
      </c>
      <c r="AT239" s="12">
        <f t="shared" si="28"/>
        <v>88.704999999999998</v>
      </c>
      <c r="AU239" s="12">
        <f t="shared" si="29"/>
        <v>18.374967999999999</v>
      </c>
      <c r="AV239" s="13">
        <f t="shared" si="30"/>
        <v>0.86153325287633753</v>
      </c>
      <c r="AY239" s="12">
        <f t="shared" si="31"/>
        <v>0</v>
      </c>
      <c r="AZ239" s="12">
        <f t="shared" si="32"/>
        <v>0</v>
      </c>
      <c r="BA239" s="12">
        <f t="shared" si="32"/>
        <v>0</v>
      </c>
      <c r="BB239" s="12">
        <f t="shared" si="32"/>
        <v>0</v>
      </c>
      <c r="BC239" s="12">
        <f t="shared" si="32"/>
        <v>0</v>
      </c>
      <c r="BD239" s="12">
        <f t="shared" si="33"/>
        <v>0</v>
      </c>
    </row>
    <row r="240" spans="1:56" ht="15" customHeight="1" x14ac:dyDescent="0.25">
      <c r="A240" s="137" t="s">
        <v>526</v>
      </c>
      <c r="B240" s="137" t="s">
        <v>527</v>
      </c>
      <c r="C240" s="137">
        <v>2018</v>
      </c>
      <c r="D240" s="137" t="s">
        <v>193</v>
      </c>
      <c r="E240" s="137" t="s">
        <v>193</v>
      </c>
      <c r="F240" s="137" t="s">
        <v>193</v>
      </c>
      <c r="G240" s="137" t="s">
        <v>193</v>
      </c>
      <c r="H240" s="137" t="s">
        <v>193</v>
      </c>
      <c r="I240" s="137" t="s">
        <v>193</v>
      </c>
      <c r="J240" s="137" t="s">
        <v>193</v>
      </c>
      <c r="K240" s="137" t="s">
        <v>193</v>
      </c>
      <c r="L240" s="137" t="s">
        <v>193</v>
      </c>
      <c r="M240" s="137" t="s">
        <v>193</v>
      </c>
      <c r="N240" s="137" t="s">
        <v>193</v>
      </c>
      <c r="O240" s="137" t="s">
        <v>193</v>
      </c>
      <c r="P240" s="137" t="s">
        <v>193</v>
      </c>
      <c r="Q240" s="137" t="s">
        <v>193</v>
      </c>
      <c r="R240" s="137" t="s">
        <v>193</v>
      </c>
      <c r="S240" s="137" t="s">
        <v>193</v>
      </c>
      <c r="T240" s="137" t="s">
        <v>193</v>
      </c>
      <c r="U240" s="137" t="s">
        <v>193</v>
      </c>
      <c r="V240" s="137" t="s">
        <v>193</v>
      </c>
      <c r="W240" s="137" t="s">
        <v>193</v>
      </c>
      <c r="X240" s="137" t="s">
        <v>193</v>
      </c>
      <c r="Y240" s="137" t="s">
        <v>193</v>
      </c>
      <c r="Z240" s="137" t="s">
        <v>193</v>
      </c>
      <c r="AA240" s="137" t="s">
        <v>193</v>
      </c>
      <c r="AB240" s="137" t="s">
        <v>193</v>
      </c>
      <c r="AC240" s="137" t="s">
        <v>193</v>
      </c>
      <c r="AD240" s="137" t="s">
        <v>193</v>
      </c>
      <c r="AE240" s="137" t="s">
        <v>193</v>
      </c>
      <c r="AF240" s="137" t="s">
        <v>193</v>
      </c>
      <c r="AG240" s="137" t="s">
        <v>193</v>
      </c>
      <c r="AH240" s="137" t="s">
        <v>53</v>
      </c>
      <c r="AI240" s="137" t="s">
        <v>193</v>
      </c>
      <c r="AJ240" s="137" t="s">
        <v>193</v>
      </c>
      <c r="AK240" s="137" t="s">
        <v>193</v>
      </c>
      <c r="AL240" s="137" t="s">
        <v>193</v>
      </c>
      <c r="AM240" s="137" t="s">
        <v>193</v>
      </c>
      <c r="AN240" s="137" t="s">
        <v>193</v>
      </c>
      <c r="AO240" s="137" t="s">
        <v>193</v>
      </c>
      <c r="AQ240" s="12">
        <f t="shared" si="27"/>
        <v>0</v>
      </c>
      <c r="AR240" s="12">
        <f t="shared" si="26"/>
        <v>0</v>
      </c>
      <c r="AT240" s="12">
        <f t="shared" si="28"/>
        <v>0</v>
      </c>
      <c r="AU240" s="12">
        <f t="shared" si="29"/>
        <v>0</v>
      </c>
      <c r="AV240" s="13" t="str">
        <f t="shared" si="30"/>
        <v/>
      </c>
      <c r="AY240" s="12">
        <f t="shared" si="31"/>
        <v>0</v>
      </c>
      <c r="AZ240" s="12">
        <f t="shared" si="32"/>
        <v>0</v>
      </c>
      <c r="BA240" s="12">
        <f t="shared" si="32"/>
        <v>0</v>
      </c>
      <c r="BB240" s="12">
        <f t="shared" si="32"/>
        <v>0</v>
      </c>
      <c r="BC240" s="12">
        <f t="shared" si="32"/>
        <v>0</v>
      </c>
      <c r="BD240" s="12">
        <f t="shared" si="33"/>
        <v>0</v>
      </c>
    </row>
    <row r="241" spans="1:56" ht="15" customHeight="1" x14ac:dyDescent="0.25">
      <c r="A241" s="137" t="s">
        <v>528</v>
      </c>
      <c r="B241" s="137" t="s">
        <v>529</v>
      </c>
      <c r="C241" s="137">
        <v>2018</v>
      </c>
      <c r="D241" s="137">
        <v>130.25299999999999</v>
      </c>
      <c r="E241" s="137">
        <v>21.643000000000001</v>
      </c>
      <c r="F241" s="137" t="s">
        <v>193</v>
      </c>
      <c r="G241" s="137" t="s">
        <v>193</v>
      </c>
      <c r="H241" s="137" t="s">
        <v>193</v>
      </c>
      <c r="I241" s="137">
        <v>194.82</v>
      </c>
      <c r="J241" s="137" t="s">
        <v>193</v>
      </c>
      <c r="K241" s="137" t="s">
        <v>193</v>
      </c>
      <c r="L241" s="137" t="s">
        <v>193</v>
      </c>
      <c r="M241" s="137" t="s">
        <v>193</v>
      </c>
      <c r="N241" s="137" t="s">
        <v>193</v>
      </c>
      <c r="O241" s="137" t="s">
        <v>193</v>
      </c>
      <c r="P241" s="137" t="s">
        <v>193</v>
      </c>
      <c r="Q241" s="137">
        <v>2.3410000000000002</v>
      </c>
      <c r="R241" s="137">
        <v>9.3889999999999993</v>
      </c>
      <c r="S241" s="137" t="s">
        <v>193</v>
      </c>
      <c r="T241" s="137" t="s">
        <v>193</v>
      </c>
      <c r="U241" s="137" t="s">
        <v>193</v>
      </c>
      <c r="V241" s="137" t="s">
        <v>193</v>
      </c>
      <c r="W241" s="137" t="s">
        <v>193</v>
      </c>
      <c r="X241" s="137" t="s">
        <v>193</v>
      </c>
      <c r="Y241" s="137" t="s">
        <v>193</v>
      </c>
      <c r="Z241" s="137" t="s">
        <v>193</v>
      </c>
      <c r="AA241" s="137">
        <v>165.46</v>
      </c>
      <c r="AB241" s="137" t="s">
        <v>193</v>
      </c>
      <c r="AC241" s="137" t="s">
        <v>193</v>
      </c>
      <c r="AD241" s="137" t="s">
        <v>193</v>
      </c>
      <c r="AE241" s="137" t="s">
        <v>193</v>
      </c>
      <c r="AF241" s="137" t="s">
        <v>193</v>
      </c>
      <c r="AG241" s="137" t="s">
        <v>193</v>
      </c>
      <c r="AH241" s="137" t="s">
        <v>53</v>
      </c>
      <c r="AI241" s="137" t="s">
        <v>193</v>
      </c>
      <c r="AJ241" s="137" t="s">
        <v>193</v>
      </c>
      <c r="AK241" s="137">
        <v>17.63</v>
      </c>
      <c r="AL241" s="137">
        <v>100</v>
      </c>
      <c r="AM241" s="137">
        <v>0</v>
      </c>
      <c r="AN241" s="137">
        <v>0</v>
      </c>
      <c r="AO241" s="137">
        <v>0</v>
      </c>
      <c r="AQ241" s="12">
        <f t="shared" si="27"/>
        <v>177.19</v>
      </c>
      <c r="AR241" s="12">
        <f t="shared" si="26"/>
        <v>194.82</v>
      </c>
      <c r="AT241" s="12">
        <f t="shared" si="28"/>
        <v>130.25299999999999</v>
      </c>
      <c r="AU241" s="12">
        <f t="shared" si="29"/>
        <v>21.643000000000001</v>
      </c>
      <c r="AV241" s="13">
        <f t="shared" si="30"/>
        <v>0.77967354481059437</v>
      </c>
      <c r="AY241" s="12">
        <f t="shared" si="31"/>
        <v>17.63</v>
      </c>
      <c r="AZ241" s="12">
        <f t="shared" si="32"/>
        <v>17.63</v>
      </c>
      <c r="BA241" s="12">
        <f t="shared" si="32"/>
        <v>0</v>
      </c>
      <c r="BB241" s="12">
        <f t="shared" si="32"/>
        <v>0</v>
      </c>
      <c r="BC241" s="12">
        <f t="shared" si="32"/>
        <v>0</v>
      </c>
      <c r="BD241" s="12">
        <f t="shared" si="33"/>
        <v>0</v>
      </c>
    </row>
    <row r="242" spans="1:56" ht="15" customHeight="1" x14ac:dyDescent="0.25">
      <c r="A242" s="137" t="s">
        <v>530</v>
      </c>
      <c r="B242" s="137" t="s">
        <v>531</v>
      </c>
      <c r="C242" s="137">
        <v>2018</v>
      </c>
      <c r="D242" s="137" t="s">
        <v>193</v>
      </c>
      <c r="E242" s="137" t="s">
        <v>193</v>
      </c>
      <c r="F242" s="137" t="s">
        <v>193</v>
      </c>
      <c r="G242" s="137" t="s">
        <v>193</v>
      </c>
      <c r="H242" s="137" t="s">
        <v>193</v>
      </c>
      <c r="I242" s="137" t="s">
        <v>193</v>
      </c>
      <c r="J242" s="137" t="s">
        <v>193</v>
      </c>
      <c r="K242" s="137" t="s">
        <v>193</v>
      </c>
      <c r="L242" s="137" t="s">
        <v>193</v>
      </c>
      <c r="M242" s="137" t="s">
        <v>193</v>
      </c>
      <c r="N242" s="137" t="s">
        <v>193</v>
      </c>
      <c r="O242" s="137" t="s">
        <v>193</v>
      </c>
      <c r="P242" s="137" t="s">
        <v>193</v>
      </c>
      <c r="Q242" s="137" t="s">
        <v>193</v>
      </c>
      <c r="R242" s="137" t="s">
        <v>193</v>
      </c>
      <c r="S242" s="137" t="s">
        <v>193</v>
      </c>
      <c r="T242" s="137" t="s">
        <v>193</v>
      </c>
      <c r="U242" s="137" t="s">
        <v>193</v>
      </c>
      <c r="V242" s="137" t="s">
        <v>193</v>
      </c>
      <c r="W242" s="137" t="s">
        <v>193</v>
      </c>
      <c r="X242" s="137" t="s">
        <v>193</v>
      </c>
      <c r="Y242" s="137" t="s">
        <v>193</v>
      </c>
      <c r="Z242" s="137" t="s">
        <v>193</v>
      </c>
      <c r="AA242" s="137" t="s">
        <v>193</v>
      </c>
      <c r="AB242" s="137" t="s">
        <v>193</v>
      </c>
      <c r="AC242" s="137" t="s">
        <v>193</v>
      </c>
      <c r="AD242" s="137" t="s">
        <v>193</v>
      </c>
      <c r="AE242" s="137" t="s">
        <v>193</v>
      </c>
      <c r="AF242" s="137" t="s">
        <v>193</v>
      </c>
      <c r="AG242" s="137" t="s">
        <v>193</v>
      </c>
      <c r="AH242" s="137" t="s">
        <v>199</v>
      </c>
      <c r="AI242" s="137" t="s">
        <v>193</v>
      </c>
      <c r="AJ242" s="137" t="s">
        <v>193</v>
      </c>
      <c r="AK242" s="137" t="s">
        <v>193</v>
      </c>
      <c r="AL242" s="137" t="s">
        <v>193</v>
      </c>
      <c r="AM242" s="137" t="s">
        <v>193</v>
      </c>
      <c r="AN242" s="137" t="s">
        <v>193</v>
      </c>
      <c r="AO242" s="137" t="s">
        <v>193</v>
      </c>
      <c r="AQ242" s="12">
        <f t="shared" si="27"/>
        <v>0</v>
      </c>
      <c r="AR242" s="12">
        <f t="shared" si="26"/>
        <v>0</v>
      </c>
      <c r="AT242" s="12">
        <f t="shared" si="28"/>
        <v>0</v>
      </c>
      <c r="AU242" s="12">
        <f t="shared" si="29"/>
        <v>0</v>
      </c>
      <c r="AV242" s="13" t="str">
        <f t="shared" si="30"/>
        <v/>
      </c>
      <c r="AY242" s="12">
        <f t="shared" si="31"/>
        <v>0</v>
      </c>
      <c r="AZ242" s="12">
        <f t="shared" si="32"/>
        <v>0</v>
      </c>
      <c r="BA242" s="12">
        <f t="shared" si="32"/>
        <v>0</v>
      </c>
      <c r="BB242" s="12">
        <f t="shared" si="32"/>
        <v>0</v>
      </c>
      <c r="BC242" s="12">
        <f t="shared" si="32"/>
        <v>0</v>
      </c>
      <c r="BD242" s="12">
        <f t="shared" si="33"/>
        <v>0</v>
      </c>
    </row>
    <row r="243" spans="1:56" ht="15" customHeight="1" x14ac:dyDescent="0.25">
      <c r="A243" s="137" t="s">
        <v>532</v>
      </c>
      <c r="B243" s="137" t="s">
        <v>533</v>
      </c>
      <c r="C243" s="137">
        <v>2018</v>
      </c>
      <c r="D243" s="137" t="s">
        <v>193</v>
      </c>
      <c r="E243" s="137" t="s">
        <v>193</v>
      </c>
      <c r="F243" s="137" t="s">
        <v>193</v>
      </c>
      <c r="G243" s="137" t="s">
        <v>193</v>
      </c>
      <c r="H243" s="137" t="s">
        <v>193</v>
      </c>
      <c r="I243" s="137" t="s">
        <v>193</v>
      </c>
      <c r="J243" s="137" t="s">
        <v>193</v>
      </c>
      <c r="K243" s="137" t="s">
        <v>193</v>
      </c>
      <c r="L243" s="137" t="s">
        <v>193</v>
      </c>
      <c r="M243" s="137" t="s">
        <v>193</v>
      </c>
      <c r="N243" s="137" t="s">
        <v>193</v>
      </c>
      <c r="O243" s="137" t="s">
        <v>193</v>
      </c>
      <c r="P243" s="137" t="s">
        <v>193</v>
      </c>
      <c r="Q243" s="137" t="s">
        <v>193</v>
      </c>
      <c r="R243" s="137" t="s">
        <v>193</v>
      </c>
      <c r="S243" s="137" t="s">
        <v>193</v>
      </c>
      <c r="T243" s="137" t="s">
        <v>193</v>
      </c>
      <c r="U243" s="137" t="s">
        <v>193</v>
      </c>
      <c r="V243" s="137" t="s">
        <v>193</v>
      </c>
      <c r="W243" s="137" t="s">
        <v>193</v>
      </c>
      <c r="X243" s="137" t="s">
        <v>193</v>
      </c>
      <c r="Y243" s="137" t="s">
        <v>193</v>
      </c>
      <c r="Z243" s="137" t="s">
        <v>193</v>
      </c>
      <c r="AA243" s="137" t="s">
        <v>193</v>
      </c>
      <c r="AB243" s="137" t="s">
        <v>193</v>
      </c>
      <c r="AC243" s="137" t="s">
        <v>193</v>
      </c>
      <c r="AD243" s="137" t="s">
        <v>193</v>
      </c>
      <c r="AE243" s="137" t="s">
        <v>193</v>
      </c>
      <c r="AF243" s="137" t="s">
        <v>193</v>
      </c>
      <c r="AG243" s="137" t="s">
        <v>193</v>
      </c>
      <c r="AH243" s="137" t="s">
        <v>199</v>
      </c>
      <c r="AI243" s="137" t="s">
        <v>193</v>
      </c>
      <c r="AJ243" s="137" t="s">
        <v>193</v>
      </c>
      <c r="AK243" s="137" t="s">
        <v>193</v>
      </c>
      <c r="AL243" s="137" t="s">
        <v>193</v>
      </c>
      <c r="AM243" s="137" t="s">
        <v>193</v>
      </c>
      <c r="AN243" s="137" t="s">
        <v>193</v>
      </c>
      <c r="AO243" s="137" t="s">
        <v>193</v>
      </c>
      <c r="AQ243" s="12">
        <f t="shared" si="27"/>
        <v>0</v>
      </c>
      <c r="AR243" s="12">
        <f t="shared" si="26"/>
        <v>0</v>
      </c>
      <c r="AT243" s="12">
        <f t="shared" si="28"/>
        <v>0</v>
      </c>
      <c r="AU243" s="12">
        <f t="shared" si="29"/>
        <v>0</v>
      </c>
      <c r="AV243" s="13" t="str">
        <f t="shared" si="30"/>
        <v/>
      </c>
      <c r="AY243" s="12">
        <f t="shared" si="31"/>
        <v>0</v>
      </c>
      <c r="AZ243" s="12">
        <f t="shared" si="32"/>
        <v>0</v>
      </c>
      <c r="BA243" s="12">
        <f t="shared" si="32"/>
        <v>0</v>
      </c>
      <c r="BB243" s="12">
        <f t="shared" si="32"/>
        <v>0</v>
      </c>
      <c r="BC243" s="12">
        <f t="shared" si="32"/>
        <v>0</v>
      </c>
      <c r="BD243" s="12">
        <f t="shared" si="33"/>
        <v>0</v>
      </c>
    </row>
    <row r="244" spans="1:56" ht="15" customHeight="1" x14ac:dyDescent="0.25">
      <c r="A244" s="137" t="s">
        <v>532</v>
      </c>
      <c r="B244" s="137" t="s">
        <v>534</v>
      </c>
      <c r="C244" s="137">
        <v>2018</v>
      </c>
      <c r="D244" s="137" t="s">
        <v>193</v>
      </c>
      <c r="E244" s="137" t="s">
        <v>193</v>
      </c>
      <c r="F244" s="137" t="s">
        <v>193</v>
      </c>
      <c r="G244" s="137" t="s">
        <v>193</v>
      </c>
      <c r="H244" s="137" t="s">
        <v>193</v>
      </c>
      <c r="I244" s="137" t="s">
        <v>193</v>
      </c>
      <c r="J244" s="137" t="s">
        <v>193</v>
      </c>
      <c r="K244" s="137" t="s">
        <v>193</v>
      </c>
      <c r="L244" s="137" t="s">
        <v>193</v>
      </c>
      <c r="M244" s="137" t="s">
        <v>193</v>
      </c>
      <c r="N244" s="137" t="s">
        <v>193</v>
      </c>
      <c r="O244" s="137" t="s">
        <v>193</v>
      </c>
      <c r="P244" s="137" t="s">
        <v>193</v>
      </c>
      <c r="Q244" s="137" t="s">
        <v>193</v>
      </c>
      <c r="R244" s="137" t="s">
        <v>193</v>
      </c>
      <c r="S244" s="137" t="s">
        <v>193</v>
      </c>
      <c r="T244" s="137" t="s">
        <v>193</v>
      </c>
      <c r="U244" s="137" t="s">
        <v>193</v>
      </c>
      <c r="V244" s="137" t="s">
        <v>193</v>
      </c>
      <c r="W244" s="137" t="s">
        <v>193</v>
      </c>
      <c r="X244" s="137" t="s">
        <v>193</v>
      </c>
      <c r="Y244" s="137" t="s">
        <v>193</v>
      </c>
      <c r="Z244" s="137" t="s">
        <v>193</v>
      </c>
      <c r="AA244" s="137" t="s">
        <v>193</v>
      </c>
      <c r="AB244" s="137" t="s">
        <v>193</v>
      </c>
      <c r="AC244" s="137" t="s">
        <v>193</v>
      </c>
      <c r="AD244" s="137" t="s">
        <v>193</v>
      </c>
      <c r="AE244" s="137" t="s">
        <v>193</v>
      </c>
      <c r="AF244" s="137" t="s">
        <v>193</v>
      </c>
      <c r="AG244" s="137" t="s">
        <v>193</v>
      </c>
      <c r="AH244" s="137" t="s">
        <v>199</v>
      </c>
      <c r="AI244" s="137" t="s">
        <v>193</v>
      </c>
      <c r="AJ244" s="137" t="s">
        <v>193</v>
      </c>
      <c r="AK244" s="137" t="s">
        <v>193</v>
      </c>
      <c r="AL244" s="137" t="s">
        <v>193</v>
      </c>
      <c r="AM244" s="137" t="s">
        <v>193</v>
      </c>
      <c r="AN244" s="137" t="s">
        <v>193</v>
      </c>
      <c r="AO244" s="137" t="s">
        <v>193</v>
      </c>
      <c r="AQ244" s="12">
        <f t="shared" si="27"/>
        <v>0</v>
      </c>
      <c r="AR244" s="12">
        <f t="shared" si="26"/>
        <v>0</v>
      </c>
      <c r="AT244" s="12">
        <f t="shared" si="28"/>
        <v>0</v>
      </c>
      <c r="AU244" s="12">
        <f t="shared" si="29"/>
        <v>0</v>
      </c>
      <c r="AV244" s="13" t="str">
        <f t="shared" si="30"/>
        <v/>
      </c>
      <c r="AY244" s="12">
        <f t="shared" si="31"/>
        <v>0</v>
      </c>
      <c r="AZ244" s="12">
        <f t="shared" si="32"/>
        <v>0</v>
      </c>
      <c r="BA244" s="12">
        <f t="shared" si="32"/>
        <v>0</v>
      </c>
      <c r="BB244" s="12">
        <f t="shared" si="32"/>
        <v>0</v>
      </c>
      <c r="BC244" s="12">
        <f t="shared" si="32"/>
        <v>0</v>
      </c>
      <c r="BD244" s="12">
        <f t="shared" si="33"/>
        <v>0</v>
      </c>
    </row>
    <row r="245" spans="1:56" ht="15" customHeight="1" x14ac:dyDescent="0.25">
      <c r="A245" s="137" t="s">
        <v>532</v>
      </c>
      <c r="B245" s="137" t="s">
        <v>536</v>
      </c>
      <c r="C245" s="137">
        <v>2018</v>
      </c>
      <c r="D245" s="137" t="s">
        <v>193</v>
      </c>
      <c r="E245" s="137" t="s">
        <v>193</v>
      </c>
      <c r="F245" s="137" t="s">
        <v>193</v>
      </c>
      <c r="G245" s="137" t="s">
        <v>193</v>
      </c>
      <c r="H245" s="137" t="s">
        <v>193</v>
      </c>
      <c r="I245" s="137" t="s">
        <v>193</v>
      </c>
      <c r="J245" s="137" t="s">
        <v>193</v>
      </c>
      <c r="K245" s="137" t="s">
        <v>193</v>
      </c>
      <c r="L245" s="137" t="s">
        <v>193</v>
      </c>
      <c r="M245" s="137" t="s">
        <v>193</v>
      </c>
      <c r="N245" s="137" t="s">
        <v>193</v>
      </c>
      <c r="O245" s="137" t="s">
        <v>193</v>
      </c>
      <c r="P245" s="137" t="s">
        <v>193</v>
      </c>
      <c r="Q245" s="137" t="s">
        <v>193</v>
      </c>
      <c r="R245" s="137" t="s">
        <v>193</v>
      </c>
      <c r="S245" s="137" t="s">
        <v>193</v>
      </c>
      <c r="T245" s="137" t="s">
        <v>193</v>
      </c>
      <c r="U245" s="137" t="s">
        <v>193</v>
      </c>
      <c r="V245" s="137" t="s">
        <v>193</v>
      </c>
      <c r="W245" s="137" t="s">
        <v>193</v>
      </c>
      <c r="X245" s="137" t="s">
        <v>193</v>
      </c>
      <c r="Y245" s="137" t="s">
        <v>193</v>
      </c>
      <c r="Z245" s="137" t="s">
        <v>193</v>
      </c>
      <c r="AA245" s="137" t="s">
        <v>193</v>
      </c>
      <c r="AB245" s="137" t="s">
        <v>193</v>
      </c>
      <c r="AC245" s="137" t="s">
        <v>193</v>
      </c>
      <c r="AD245" s="137" t="s">
        <v>193</v>
      </c>
      <c r="AE245" s="137" t="s">
        <v>193</v>
      </c>
      <c r="AF245" s="137" t="s">
        <v>193</v>
      </c>
      <c r="AG245" s="137" t="s">
        <v>193</v>
      </c>
      <c r="AH245" s="137" t="s">
        <v>199</v>
      </c>
      <c r="AI245" s="137" t="s">
        <v>193</v>
      </c>
      <c r="AJ245" s="137" t="s">
        <v>193</v>
      </c>
      <c r="AK245" s="137" t="s">
        <v>193</v>
      </c>
      <c r="AL245" s="137" t="s">
        <v>193</v>
      </c>
      <c r="AM245" s="137" t="s">
        <v>193</v>
      </c>
      <c r="AN245" s="137" t="s">
        <v>193</v>
      </c>
      <c r="AO245" s="137" t="s">
        <v>193</v>
      </c>
      <c r="AQ245" s="12">
        <f t="shared" si="27"/>
        <v>0</v>
      </c>
      <c r="AR245" s="12">
        <f t="shared" si="26"/>
        <v>0</v>
      </c>
      <c r="AT245" s="12">
        <f t="shared" si="28"/>
        <v>0</v>
      </c>
      <c r="AU245" s="12">
        <f t="shared" si="29"/>
        <v>0</v>
      </c>
      <c r="AV245" s="13" t="str">
        <f t="shared" si="30"/>
        <v/>
      </c>
      <c r="AY245" s="12">
        <f t="shared" si="31"/>
        <v>0</v>
      </c>
      <c r="AZ245" s="12">
        <f t="shared" si="32"/>
        <v>0</v>
      </c>
      <c r="BA245" s="12">
        <f t="shared" si="32"/>
        <v>0</v>
      </c>
      <c r="BB245" s="12">
        <f t="shared" si="32"/>
        <v>0</v>
      </c>
      <c r="BC245" s="12">
        <f t="shared" si="32"/>
        <v>0</v>
      </c>
      <c r="BD245" s="12">
        <f t="shared" si="33"/>
        <v>0</v>
      </c>
    </row>
    <row r="246" spans="1:56" ht="15" customHeight="1" x14ac:dyDescent="0.25">
      <c r="A246" s="137" t="s">
        <v>532</v>
      </c>
      <c r="B246" s="137" t="s">
        <v>537</v>
      </c>
      <c r="C246" s="137">
        <v>2018</v>
      </c>
      <c r="D246" s="137" t="s">
        <v>193</v>
      </c>
      <c r="E246" s="137" t="s">
        <v>193</v>
      </c>
      <c r="F246" s="137" t="s">
        <v>193</v>
      </c>
      <c r="G246" s="137" t="s">
        <v>193</v>
      </c>
      <c r="H246" s="137" t="s">
        <v>193</v>
      </c>
      <c r="I246" s="137" t="s">
        <v>193</v>
      </c>
      <c r="J246" s="137" t="s">
        <v>193</v>
      </c>
      <c r="K246" s="137" t="s">
        <v>193</v>
      </c>
      <c r="L246" s="137" t="s">
        <v>193</v>
      </c>
      <c r="M246" s="137" t="s">
        <v>193</v>
      </c>
      <c r="N246" s="137" t="s">
        <v>193</v>
      </c>
      <c r="O246" s="137" t="s">
        <v>193</v>
      </c>
      <c r="P246" s="137" t="s">
        <v>193</v>
      </c>
      <c r="Q246" s="137" t="s">
        <v>193</v>
      </c>
      <c r="R246" s="137" t="s">
        <v>193</v>
      </c>
      <c r="S246" s="137" t="s">
        <v>193</v>
      </c>
      <c r="T246" s="137" t="s">
        <v>193</v>
      </c>
      <c r="U246" s="137" t="s">
        <v>193</v>
      </c>
      <c r="V246" s="137" t="s">
        <v>193</v>
      </c>
      <c r="W246" s="137" t="s">
        <v>193</v>
      </c>
      <c r="X246" s="137" t="s">
        <v>193</v>
      </c>
      <c r="Y246" s="137" t="s">
        <v>193</v>
      </c>
      <c r="Z246" s="137" t="s">
        <v>193</v>
      </c>
      <c r="AA246" s="137" t="s">
        <v>193</v>
      </c>
      <c r="AB246" s="137" t="s">
        <v>193</v>
      </c>
      <c r="AC246" s="137" t="s">
        <v>193</v>
      </c>
      <c r="AD246" s="137" t="s">
        <v>193</v>
      </c>
      <c r="AE246" s="137" t="s">
        <v>193</v>
      </c>
      <c r="AF246" s="137" t="s">
        <v>193</v>
      </c>
      <c r="AG246" s="137" t="s">
        <v>193</v>
      </c>
      <c r="AH246" s="137" t="s">
        <v>199</v>
      </c>
      <c r="AI246" s="137" t="s">
        <v>193</v>
      </c>
      <c r="AJ246" s="137" t="s">
        <v>193</v>
      </c>
      <c r="AK246" s="137" t="s">
        <v>193</v>
      </c>
      <c r="AL246" s="137" t="s">
        <v>193</v>
      </c>
      <c r="AM246" s="137" t="s">
        <v>193</v>
      </c>
      <c r="AN246" s="137" t="s">
        <v>193</v>
      </c>
      <c r="AO246" s="137" t="s">
        <v>193</v>
      </c>
      <c r="AQ246" s="12">
        <f t="shared" si="27"/>
        <v>0</v>
      </c>
      <c r="AR246" s="12">
        <f t="shared" si="26"/>
        <v>0</v>
      </c>
      <c r="AT246" s="12">
        <f t="shared" si="28"/>
        <v>0</v>
      </c>
      <c r="AU246" s="12">
        <f t="shared" si="29"/>
        <v>0</v>
      </c>
      <c r="AV246" s="13" t="str">
        <f t="shared" si="30"/>
        <v/>
      </c>
      <c r="AY246" s="12">
        <f t="shared" si="31"/>
        <v>0</v>
      </c>
      <c r="AZ246" s="12">
        <f t="shared" si="32"/>
        <v>0</v>
      </c>
      <c r="BA246" s="12">
        <f t="shared" si="32"/>
        <v>0</v>
      </c>
      <c r="BB246" s="12">
        <f t="shared" si="32"/>
        <v>0</v>
      </c>
      <c r="BC246" s="12">
        <f t="shared" si="32"/>
        <v>0</v>
      </c>
      <c r="BD246" s="12">
        <f t="shared" si="33"/>
        <v>0</v>
      </c>
    </row>
    <row r="247" spans="1:56" ht="15" customHeight="1" x14ac:dyDescent="0.25">
      <c r="A247" s="137" t="s">
        <v>532</v>
      </c>
      <c r="B247" s="137" t="s">
        <v>538</v>
      </c>
      <c r="C247" s="137">
        <v>2018</v>
      </c>
      <c r="D247" s="137" t="s">
        <v>193</v>
      </c>
      <c r="E247" s="137" t="s">
        <v>193</v>
      </c>
      <c r="F247" s="137" t="s">
        <v>193</v>
      </c>
      <c r="G247" s="137" t="s">
        <v>193</v>
      </c>
      <c r="H247" s="137" t="s">
        <v>193</v>
      </c>
      <c r="I247" s="137" t="s">
        <v>193</v>
      </c>
      <c r="J247" s="137" t="s">
        <v>193</v>
      </c>
      <c r="K247" s="137" t="s">
        <v>193</v>
      </c>
      <c r="L247" s="137" t="s">
        <v>193</v>
      </c>
      <c r="M247" s="137" t="s">
        <v>193</v>
      </c>
      <c r="N247" s="137" t="s">
        <v>193</v>
      </c>
      <c r="O247" s="137" t="s">
        <v>193</v>
      </c>
      <c r="P247" s="137" t="s">
        <v>193</v>
      </c>
      <c r="Q247" s="137" t="s">
        <v>193</v>
      </c>
      <c r="R247" s="137" t="s">
        <v>193</v>
      </c>
      <c r="S247" s="137" t="s">
        <v>193</v>
      </c>
      <c r="T247" s="137" t="s">
        <v>193</v>
      </c>
      <c r="U247" s="137" t="s">
        <v>193</v>
      </c>
      <c r="V247" s="137" t="s">
        <v>193</v>
      </c>
      <c r="W247" s="137" t="s">
        <v>193</v>
      </c>
      <c r="X247" s="137" t="s">
        <v>193</v>
      </c>
      <c r="Y247" s="137" t="s">
        <v>193</v>
      </c>
      <c r="Z247" s="137" t="s">
        <v>193</v>
      </c>
      <c r="AA247" s="137" t="s">
        <v>193</v>
      </c>
      <c r="AB247" s="137" t="s">
        <v>193</v>
      </c>
      <c r="AC247" s="137" t="s">
        <v>193</v>
      </c>
      <c r="AD247" s="137" t="s">
        <v>193</v>
      </c>
      <c r="AE247" s="137" t="s">
        <v>193</v>
      </c>
      <c r="AF247" s="137" t="s">
        <v>193</v>
      </c>
      <c r="AG247" s="137" t="s">
        <v>193</v>
      </c>
      <c r="AH247" s="137" t="s">
        <v>199</v>
      </c>
      <c r="AI247" s="137" t="s">
        <v>193</v>
      </c>
      <c r="AJ247" s="137" t="s">
        <v>193</v>
      </c>
      <c r="AK247" s="137" t="s">
        <v>193</v>
      </c>
      <c r="AL247" s="137" t="s">
        <v>193</v>
      </c>
      <c r="AM247" s="137" t="s">
        <v>193</v>
      </c>
      <c r="AN247" s="137" t="s">
        <v>193</v>
      </c>
      <c r="AO247" s="137" t="s">
        <v>193</v>
      </c>
      <c r="AQ247" s="12">
        <f t="shared" si="27"/>
        <v>0</v>
      </c>
      <c r="AR247" s="12">
        <f t="shared" si="26"/>
        <v>0</v>
      </c>
      <c r="AT247" s="12">
        <f t="shared" si="28"/>
        <v>0</v>
      </c>
      <c r="AU247" s="12">
        <f t="shared" si="29"/>
        <v>0</v>
      </c>
      <c r="AV247" s="13" t="str">
        <f t="shared" si="30"/>
        <v/>
      </c>
      <c r="AY247" s="12">
        <f t="shared" si="31"/>
        <v>0</v>
      </c>
      <c r="AZ247" s="12">
        <f t="shared" si="32"/>
        <v>0</v>
      </c>
      <c r="BA247" s="12">
        <f t="shared" si="32"/>
        <v>0</v>
      </c>
      <c r="BB247" s="12">
        <f t="shared" si="32"/>
        <v>0</v>
      </c>
      <c r="BC247" s="12">
        <f t="shared" si="32"/>
        <v>0</v>
      </c>
      <c r="BD247" s="12">
        <f t="shared" si="33"/>
        <v>0</v>
      </c>
    </row>
    <row r="248" spans="1:56" ht="15" customHeight="1" x14ac:dyDescent="0.25">
      <c r="A248" s="137" t="s">
        <v>532</v>
      </c>
      <c r="B248" s="137" t="s">
        <v>539</v>
      </c>
      <c r="C248" s="137">
        <v>2018</v>
      </c>
      <c r="D248" s="137" t="s">
        <v>193</v>
      </c>
      <c r="E248" s="137" t="s">
        <v>193</v>
      </c>
      <c r="F248" s="137" t="s">
        <v>193</v>
      </c>
      <c r="G248" s="137" t="s">
        <v>193</v>
      </c>
      <c r="H248" s="137" t="s">
        <v>193</v>
      </c>
      <c r="I248" s="137" t="s">
        <v>193</v>
      </c>
      <c r="J248" s="137" t="s">
        <v>193</v>
      </c>
      <c r="K248" s="137" t="s">
        <v>193</v>
      </c>
      <c r="L248" s="137" t="s">
        <v>193</v>
      </c>
      <c r="M248" s="137" t="s">
        <v>193</v>
      </c>
      <c r="N248" s="137" t="s">
        <v>193</v>
      </c>
      <c r="O248" s="137" t="s">
        <v>193</v>
      </c>
      <c r="P248" s="137" t="s">
        <v>193</v>
      </c>
      <c r="Q248" s="137" t="s">
        <v>193</v>
      </c>
      <c r="R248" s="137" t="s">
        <v>193</v>
      </c>
      <c r="S248" s="137" t="s">
        <v>193</v>
      </c>
      <c r="T248" s="137" t="s">
        <v>193</v>
      </c>
      <c r="U248" s="137" t="s">
        <v>193</v>
      </c>
      <c r="V248" s="137" t="s">
        <v>193</v>
      </c>
      <c r="W248" s="137" t="s">
        <v>193</v>
      </c>
      <c r="X248" s="137" t="s">
        <v>193</v>
      </c>
      <c r="Y248" s="137" t="s">
        <v>193</v>
      </c>
      <c r="Z248" s="137" t="s">
        <v>193</v>
      </c>
      <c r="AA248" s="137" t="s">
        <v>193</v>
      </c>
      <c r="AB248" s="137" t="s">
        <v>193</v>
      </c>
      <c r="AC248" s="137" t="s">
        <v>193</v>
      </c>
      <c r="AD248" s="137" t="s">
        <v>193</v>
      </c>
      <c r="AE248" s="137" t="s">
        <v>193</v>
      </c>
      <c r="AF248" s="137" t="s">
        <v>193</v>
      </c>
      <c r="AG248" s="137" t="s">
        <v>193</v>
      </c>
      <c r="AH248" s="137" t="s">
        <v>199</v>
      </c>
      <c r="AI248" s="137" t="s">
        <v>193</v>
      </c>
      <c r="AJ248" s="137" t="s">
        <v>193</v>
      </c>
      <c r="AK248" s="137" t="s">
        <v>193</v>
      </c>
      <c r="AL248" s="137" t="s">
        <v>193</v>
      </c>
      <c r="AM248" s="137" t="s">
        <v>193</v>
      </c>
      <c r="AN248" s="137" t="s">
        <v>193</v>
      </c>
      <c r="AO248" s="137" t="s">
        <v>193</v>
      </c>
      <c r="AQ248" s="12">
        <f t="shared" si="27"/>
        <v>0</v>
      </c>
      <c r="AR248" s="12">
        <f t="shared" si="26"/>
        <v>0</v>
      </c>
      <c r="AT248" s="12">
        <f t="shared" si="28"/>
        <v>0</v>
      </c>
      <c r="AU248" s="12">
        <f t="shared" si="29"/>
        <v>0</v>
      </c>
      <c r="AV248" s="13" t="str">
        <f t="shared" si="30"/>
        <v/>
      </c>
      <c r="AY248" s="12">
        <f t="shared" si="31"/>
        <v>0</v>
      </c>
      <c r="AZ248" s="12">
        <f t="shared" si="32"/>
        <v>0</v>
      </c>
      <c r="BA248" s="12">
        <f t="shared" si="32"/>
        <v>0</v>
      </c>
      <c r="BB248" s="12">
        <f t="shared" si="32"/>
        <v>0</v>
      </c>
      <c r="BC248" s="12">
        <f t="shared" si="32"/>
        <v>0</v>
      </c>
      <c r="BD248" s="12">
        <f t="shared" si="33"/>
        <v>0</v>
      </c>
    </row>
    <row r="249" spans="1:56" ht="15" customHeight="1" x14ac:dyDescent="0.25">
      <c r="A249" s="137" t="s">
        <v>532</v>
      </c>
      <c r="B249" s="137" t="s">
        <v>540</v>
      </c>
      <c r="C249" s="137">
        <v>2018</v>
      </c>
      <c r="D249" s="137" t="s">
        <v>193</v>
      </c>
      <c r="E249" s="137" t="s">
        <v>193</v>
      </c>
      <c r="F249" s="137" t="s">
        <v>193</v>
      </c>
      <c r="G249" s="137" t="s">
        <v>193</v>
      </c>
      <c r="H249" s="137" t="s">
        <v>193</v>
      </c>
      <c r="I249" s="137" t="s">
        <v>193</v>
      </c>
      <c r="J249" s="137" t="s">
        <v>193</v>
      </c>
      <c r="K249" s="137" t="s">
        <v>193</v>
      </c>
      <c r="L249" s="137" t="s">
        <v>193</v>
      </c>
      <c r="M249" s="137" t="s">
        <v>193</v>
      </c>
      <c r="N249" s="137" t="s">
        <v>193</v>
      </c>
      <c r="O249" s="137" t="s">
        <v>193</v>
      </c>
      <c r="P249" s="137" t="s">
        <v>193</v>
      </c>
      <c r="Q249" s="137" t="s">
        <v>193</v>
      </c>
      <c r="R249" s="137" t="s">
        <v>193</v>
      </c>
      <c r="S249" s="137" t="s">
        <v>193</v>
      </c>
      <c r="T249" s="137" t="s">
        <v>193</v>
      </c>
      <c r="U249" s="137" t="s">
        <v>193</v>
      </c>
      <c r="V249" s="137" t="s">
        <v>193</v>
      </c>
      <c r="W249" s="137" t="s">
        <v>193</v>
      </c>
      <c r="X249" s="137" t="s">
        <v>193</v>
      </c>
      <c r="Y249" s="137" t="s">
        <v>193</v>
      </c>
      <c r="Z249" s="137" t="s">
        <v>193</v>
      </c>
      <c r="AA249" s="137" t="s">
        <v>193</v>
      </c>
      <c r="AB249" s="137" t="s">
        <v>193</v>
      </c>
      <c r="AC249" s="137" t="s">
        <v>193</v>
      </c>
      <c r="AD249" s="137" t="s">
        <v>193</v>
      </c>
      <c r="AE249" s="137" t="s">
        <v>193</v>
      </c>
      <c r="AF249" s="137" t="s">
        <v>193</v>
      </c>
      <c r="AG249" s="137" t="s">
        <v>193</v>
      </c>
      <c r="AH249" s="137" t="s">
        <v>199</v>
      </c>
      <c r="AI249" s="137" t="s">
        <v>193</v>
      </c>
      <c r="AJ249" s="137" t="s">
        <v>193</v>
      </c>
      <c r="AK249" s="137" t="s">
        <v>193</v>
      </c>
      <c r="AL249" s="137" t="s">
        <v>193</v>
      </c>
      <c r="AM249" s="137" t="s">
        <v>193</v>
      </c>
      <c r="AN249" s="137" t="s">
        <v>193</v>
      </c>
      <c r="AO249" s="137" t="s">
        <v>193</v>
      </c>
      <c r="AQ249" s="12">
        <f t="shared" si="27"/>
        <v>0</v>
      </c>
      <c r="AR249" s="12">
        <f t="shared" si="26"/>
        <v>0</v>
      </c>
      <c r="AT249" s="12">
        <f t="shared" si="28"/>
        <v>0</v>
      </c>
      <c r="AU249" s="12">
        <f t="shared" si="29"/>
        <v>0</v>
      </c>
      <c r="AV249" s="13" t="str">
        <f t="shared" si="30"/>
        <v/>
      </c>
      <c r="AY249" s="12">
        <f t="shared" si="31"/>
        <v>0</v>
      </c>
      <c r="AZ249" s="12">
        <f t="shared" si="32"/>
        <v>0</v>
      </c>
      <c r="BA249" s="12">
        <f t="shared" si="32"/>
        <v>0</v>
      </c>
      <c r="BB249" s="12">
        <f t="shared" si="32"/>
        <v>0</v>
      </c>
      <c r="BC249" s="12">
        <f t="shared" si="32"/>
        <v>0</v>
      </c>
      <c r="BD249" s="12">
        <f t="shared" si="33"/>
        <v>0</v>
      </c>
    </row>
    <row r="250" spans="1:56" ht="15" customHeight="1" x14ac:dyDescent="0.25">
      <c r="A250" s="137" t="s">
        <v>532</v>
      </c>
      <c r="B250" s="137" t="s">
        <v>541</v>
      </c>
      <c r="C250" s="137">
        <v>2018</v>
      </c>
      <c r="D250" s="137" t="s">
        <v>193</v>
      </c>
      <c r="E250" s="137" t="s">
        <v>193</v>
      </c>
      <c r="F250" s="137" t="s">
        <v>193</v>
      </c>
      <c r="G250" s="137" t="s">
        <v>193</v>
      </c>
      <c r="H250" s="137" t="s">
        <v>193</v>
      </c>
      <c r="I250" s="137" t="s">
        <v>193</v>
      </c>
      <c r="J250" s="137" t="s">
        <v>193</v>
      </c>
      <c r="K250" s="137" t="s">
        <v>193</v>
      </c>
      <c r="L250" s="137" t="s">
        <v>193</v>
      </c>
      <c r="M250" s="137" t="s">
        <v>193</v>
      </c>
      <c r="N250" s="137" t="s">
        <v>193</v>
      </c>
      <c r="O250" s="137" t="s">
        <v>193</v>
      </c>
      <c r="P250" s="137" t="s">
        <v>193</v>
      </c>
      <c r="Q250" s="137" t="s">
        <v>193</v>
      </c>
      <c r="R250" s="137" t="s">
        <v>193</v>
      </c>
      <c r="S250" s="137" t="s">
        <v>193</v>
      </c>
      <c r="T250" s="137" t="s">
        <v>193</v>
      </c>
      <c r="U250" s="137" t="s">
        <v>193</v>
      </c>
      <c r="V250" s="137" t="s">
        <v>193</v>
      </c>
      <c r="W250" s="137" t="s">
        <v>193</v>
      </c>
      <c r="X250" s="137" t="s">
        <v>193</v>
      </c>
      <c r="Y250" s="137" t="s">
        <v>193</v>
      </c>
      <c r="Z250" s="137" t="s">
        <v>193</v>
      </c>
      <c r="AA250" s="137" t="s">
        <v>193</v>
      </c>
      <c r="AB250" s="137" t="s">
        <v>193</v>
      </c>
      <c r="AC250" s="137" t="s">
        <v>193</v>
      </c>
      <c r="AD250" s="137" t="s">
        <v>193</v>
      </c>
      <c r="AE250" s="137" t="s">
        <v>193</v>
      </c>
      <c r="AF250" s="137" t="s">
        <v>193</v>
      </c>
      <c r="AG250" s="137" t="s">
        <v>193</v>
      </c>
      <c r="AH250" s="137" t="s">
        <v>199</v>
      </c>
      <c r="AI250" s="137" t="s">
        <v>193</v>
      </c>
      <c r="AJ250" s="137" t="s">
        <v>193</v>
      </c>
      <c r="AK250" s="137" t="s">
        <v>193</v>
      </c>
      <c r="AL250" s="137" t="s">
        <v>193</v>
      </c>
      <c r="AM250" s="137" t="s">
        <v>193</v>
      </c>
      <c r="AN250" s="137" t="s">
        <v>193</v>
      </c>
      <c r="AO250" s="137" t="s">
        <v>193</v>
      </c>
      <c r="AQ250" s="12">
        <f t="shared" si="27"/>
        <v>0</v>
      </c>
      <c r="AR250" s="12">
        <f t="shared" si="26"/>
        <v>0</v>
      </c>
      <c r="AT250" s="12">
        <f t="shared" si="28"/>
        <v>0</v>
      </c>
      <c r="AU250" s="12">
        <f t="shared" si="29"/>
        <v>0</v>
      </c>
      <c r="AV250" s="13" t="str">
        <f t="shared" si="30"/>
        <v/>
      </c>
      <c r="AY250" s="12">
        <f t="shared" si="31"/>
        <v>0</v>
      </c>
      <c r="AZ250" s="12">
        <f t="shared" si="32"/>
        <v>0</v>
      </c>
      <c r="BA250" s="12">
        <f t="shared" si="32"/>
        <v>0</v>
      </c>
      <c r="BB250" s="12">
        <f t="shared" si="32"/>
        <v>0</v>
      </c>
      <c r="BC250" s="12">
        <f t="shared" si="32"/>
        <v>0</v>
      </c>
      <c r="BD250" s="12">
        <f t="shared" si="33"/>
        <v>0</v>
      </c>
    </row>
    <row r="251" spans="1:56" ht="15" customHeight="1" x14ac:dyDescent="0.25">
      <c r="A251" s="137" t="s">
        <v>532</v>
      </c>
      <c r="B251" s="137" t="s">
        <v>542</v>
      </c>
      <c r="C251" s="137">
        <v>2018</v>
      </c>
      <c r="D251" s="137">
        <v>119.69344599999999</v>
      </c>
      <c r="E251" s="137">
        <v>44.927909999999997</v>
      </c>
      <c r="F251" s="137" t="s">
        <v>193</v>
      </c>
      <c r="G251" s="137" t="s">
        <v>193</v>
      </c>
      <c r="H251" s="137" t="s">
        <v>193</v>
      </c>
      <c r="I251" s="137">
        <v>180.15511799999999</v>
      </c>
      <c r="J251" s="137" t="s">
        <v>193</v>
      </c>
      <c r="K251" s="137">
        <v>7.0100999999999997E-2</v>
      </c>
      <c r="L251" s="137" t="s">
        <v>193</v>
      </c>
      <c r="M251" s="137" t="s">
        <v>193</v>
      </c>
      <c r="N251" s="137" t="s">
        <v>193</v>
      </c>
      <c r="O251" s="137" t="s">
        <v>193</v>
      </c>
      <c r="P251" s="137" t="s">
        <v>193</v>
      </c>
      <c r="Q251" s="137">
        <v>20.690289369999999</v>
      </c>
      <c r="R251" s="137">
        <v>52.855913989999998</v>
      </c>
      <c r="S251" s="137">
        <v>0</v>
      </c>
      <c r="T251" s="137">
        <v>68.551073169999995</v>
      </c>
      <c r="U251" s="137">
        <v>0</v>
      </c>
      <c r="V251" s="137">
        <v>12.2221081</v>
      </c>
      <c r="W251" s="137" t="s">
        <v>194</v>
      </c>
      <c r="X251" s="137">
        <v>0.713335265</v>
      </c>
      <c r="Y251" s="137">
        <v>0.28533410599999998</v>
      </c>
      <c r="Z251" s="137" t="s">
        <v>193</v>
      </c>
      <c r="AA251" s="137" t="s">
        <v>193</v>
      </c>
      <c r="AB251" s="137" t="s">
        <v>193</v>
      </c>
      <c r="AC251" s="137" t="s">
        <v>193</v>
      </c>
      <c r="AD251" s="137" t="s">
        <v>193</v>
      </c>
      <c r="AE251" s="137">
        <v>24.766963000000001</v>
      </c>
      <c r="AF251" s="137" t="s">
        <v>193</v>
      </c>
      <c r="AG251" s="137" t="s">
        <v>193</v>
      </c>
      <c r="AH251" s="137" t="s">
        <v>199</v>
      </c>
      <c r="AI251" s="137" t="s">
        <v>193</v>
      </c>
      <c r="AJ251" s="137" t="s">
        <v>193</v>
      </c>
      <c r="AK251" s="137" t="s">
        <v>193</v>
      </c>
      <c r="AL251" s="137" t="s">
        <v>193</v>
      </c>
      <c r="AM251" s="137" t="s">
        <v>193</v>
      </c>
      <c r="AN251" s="137" t="s">
        <v>193</v>
      </c>
      <c r="AO251" s="137" t="s">
        <v>193</v>
      </c>
      <c r="AQ251" s="12">
        <f t="shared" si="27"/>
        <v>180.15511800100003</v>
      </c>
      <c r="AR251" s="12">
        <f t="shared" si="26"/>
        <v>180.15511800100003</v>
      </c>
      <c r="AT251" s="12">
        <f t="shared" si="28"/>
        <v>119.69344599999999</v>
      </c>
      <c r="AU251" s="12">
        <f t="shared" si="29"/>
        <v>44.927909999999997</v>
      </c>
      <c r="AV251" s="13">
        <f t="shared" si="30"/>
        <v>0.91377562750721397</v>
      </c>
      <c r="AY251" s="12">
        <f t="shared" si="31"/>
        <v>0</v>
      </c>
      <c r="AZ251" s="12">
        <f t="shared" si="32"/>
        <v>0</v>
      </c>
      <c r="BA251" s="12">
        <f t="shared" si="32"/>
        <v>0</v>
      </c>
      <c r="BB251" s="12">
        <f t="shared" si="32"/>
        <v>0</v>
      </c>
      <c r="BC251" s="12">
        <f t="shared" si="32"/>
        <v>0</v>
      </c>
      <c r="BD251" s="12">
        <f t="shared" si="33"/>
        <v>0</v>
      </c>
    </row>
    <row r="252" spans="1:56" ht="15" customHeight="1" x14ac:dyDescent="0.25">
      <c r="A252" s="137" t="s">
        <v>532</v>
      </c>
      <c r="B252" s="137" t="s">
        <v>543</v>
      </c>
      <c r="C252" s="137">
        <v>2018</v>
      </c>
      <c r="D252" s="137" t="s">
        <v>193</v>
      </c>
      <c r="E252" s="137" t="s">
        <v>193</v>
      </c>
      <c r="F252" s="137" t="s">
        <v>193</v>
      </c>
      <c r="G252" s="137" t="s">
        <v>193</v>
      </c>
      <c r="H252" s="137" t="s">
        <v>193</v>
      </c>
      <c r="I252" s="137" t="s">
        <v>193</v>
      </c>
      <c r="J252" s="137" t="s">
        <v>193</v>
      </c>
      <c r="K252" s="137" t="s">
        <v>193</v>
      </c>
      <c r="L252" s="137" t="s">
        <v>193</v>
      </c>
      <c r="M252" s="137" t="s">
        <v>193</v>
      </c>
      <c r="N252" s="137" t="s">
        <v>193</v>
      </c>
      <c r="O252" s="137" t="s">
        <v>193</v>
      </c>
      <c r="P252" s="137" t="s">
        <v>193</v>
      </c>
      <c r="Q252" s="137" t="s">
        <v>193</v>
      </c>
      <c r="R252" s="137" t="s">
        <v>193</v>
      </c>
      <c r="S252" s="137" t="s">
        <v>193</v>
      </c>
      <c r="T252" s="137" t="s">
        <v>193</v>
      </c>
      <c r="U252" s="137" t="s">
        <v>193</v>
      </c>
      <c r="V252" s="137" t="s">
        <v>193</v>
      </c>
      <c r="W252" s="137" t="s">
        <v>193</v>
      </c>
      <c r="X252" s="137" t="s">
        <v>193</v>
      </c>
      <c r="Y252" s="137" t="s">
        <v>193</v>
      </c>
      <c r="Z252" s="137" t="s">
        <v>193</v>
      </c>
      <c r="AA252" s="137" t="s">
        <v>193</v>
      </c>
      <c r="AB252" s="137" t="s">
        <v>193</v>
      </c>
      <c r="AC252" s="137" t="s">
        <v>193</v>
      </c>
      <c r="AD252" s="137" t="s">
        <v>193</v>
      </c>
      <c r="AE252" s="137" t="s">
        <v>193</v>
      </c>
      <c r="AF252" s="137" t="s">
        <v>193</v>
      </c>
      <c r="AG252" s="137" t="s">
        <v>193</v>
      </c>
      <c r="AH252" s="137" t="s">
        <v>199</v>
      </c>
      <c r="AI252" s="137" t="s">
        <v>193</v>
      </c>
      <c r="AJ252" s="137" t="s">
        <v>193</v>
      </c>
      <c r="AK252" s="137" t="s">
        <v>193</v>
      </c>
      <c r="AL252" s="137" t="s">
        <v>193</v>
      </c>
      <c r="AM252" s="137" t="s">
        <v>193</v>
      </c>
      <c r="AN252" s="137" t="s">
        <v>193</v>
      </c>
      <c r="AO252" s="137" t="s">
        <v>193</v>
      </c>
      <c r="AQ252" s="12">
        <f t="shared" si="27"/>
        <v>0</v>
      </c>
      <c r="AR252" s="12">
        <f t="shared" si="26"/>
        <v>0</v>
      </c>
      <c r="AT252" s="12">
        <f t="shared" si="28"/>
        <v>0</v>
      </c>
      <c r="AU252" s="12">
        <f t="shared" si="29"/>
        <v>0</v>
      </c>
      <c r="AV252" s="13" t="str">
        <f t="shared" si="30"/>
        <v/>
      </c>
      <c r="AY252" s="12">
        <f t="shared" si="31"/>
        <v>0</v>
      </c>
      <c r="AZ252" s="12">
        <f t="shared" si="32"/>
        <v>0</v>
      </c>
      <c r="BA252" s="12">
        <f t="shared" si="32"/>
        <v>0</v>
      </c>
      <c r="BB252" s="12">
        <f t="shared" si="32"/>
        <v>0</v>
      </c>
      <c r="BC252" s="12">
        <f t="shared" si="32"/>
        <v>0</v>
      </c>
      <c r="BD252" s="12">
        <f t="shared" si="33"/>
        <v>0</v>
      </c>
    </row>
    <row r="253" spans="1:56" ht="15" customHeight="1" x14ac:dyDescent="0.25">
      <c r="A253" s="137" t="s">
        <v>532</v>
      </c>
      <c r="B253" s="137" t="s">
        <v>544</v>
      </c>
      <c r="C253" s="137">
        <v>2018</v>
      </c>
      <c r="D253" s="137">
        <v>80.528341999999995</v>
      </c>
      <c r="E253" s="137">
        <v>17.979658000000001</v>
      </c>
      <c r="F253" s="137" t="s">
        <v>193</v>
      </c>
      <c r="G253" s="137" t="s">
        <v>193</v>
      </c>
      <c r="H253" s="137" t="s">
        <v>193</v>
      </c>
      <c r="I253" s="137">
        <v>107.41703800000001</v>
      </c>
      <c r="J253" s="137" t="s">
        <v>193</v>
      </c>
      <c r="K253" s="137">
        <v>0.19345000000000001</v>
      </c>
      <c r="L253" s="137" t="s">
        <v>193</v>
      </c>
      <c r="M253" s="137" t="s">
        <v>193</v>
      </c>
      <c r="N253" s="137" t="s">
        <v>193</v>
      </c>
      <c r="O253" s="137" t="s">
        <v>193</v>
      </c>
      <c r="P253" s="137" t="s">
        <v>193</v>
      </c>
      <c r="Q253" s="137" t="s">
        <v>193</v>
      </c>
      <c r="R253" s="137">
        <v>36.88675095</v>
      </c>
      <c r="S253" s="137" t="s">
        <v>193</v>
      </c>
      <c r="T253" s="137">
        <v>68.503966050000002</v>
      </c>
      <c r="U253" s="137" t="s">
        <v>193</v>
      </c>
      <c r="V253" s="137" t="s">
        <v>193</v>
      </c>
      <c r="W253" s="137" t="s">
        <v>193</v>
      </c>
      <c r="X253" s="137">
        <v>1.8328709999999999</v>
      </c>
      <c r="Y253" s="137" t="s">
        <v>193</v>
      </c>
      <c r="Z253" s="137" t="s">
        <v>193</v>
      </c>
      <c r="AA253" s="137" t="s">
        <v>193</v>
      </c>
      <c r="AB253" s="137" t="s">
        <v>193</v>
      </c>
      <c r="AC253" s="137" t="s">
        <v>193</v>
      </c>
      <c r="AD253" s="137" t="s">
        <v>193</v>
      </c>
      <c r="AE253" s="137" t="s">
        <v>193</v>
      </c>
      <c r="AF253" s="137" t="s">
        <v>193</v>
      </c>
      <c r="AG253" s="137" t="s">
        <v>193</v>
      </c>
      <c r="AH253" s="137" t="s">
        <v>199</v>
      </c>
      <c r="AI253" s="137" t="s">
        <v>193</v>
      </c>
      <c r="AJ253" s="137" t="s">
        <v>193</v>
      </c>
      <c r="AK253" s="137" t="s">
        <v>193</v>
      </c>
      <c r="AL253" s="137" t="s">
        <v>193</v>
      </c>
      <c r="AM253" s="137" t="s">
        <v>193</v>
      </c>
      <c r="AN253" s="137" t="s">
        <v>193</v>
      </c>
      <c r="AO253" s="137" t="s">
        <v>193</v>
      </c>
      <c r="AQ253" s="12">
        <f t="shared" si="27"/>
        <v>107.41703800000001</v>
      </c>
      <c r="AR253" s="12">
        <f t="shared" si="26"/>
        <v>107.41703800000001</v>
      </c>
      <c r="AT253" s="12">
        <f t="shared" si="28"/>
        <v>80.528341999999995</v>
      </c>
      <c r="AU253" s="12">
        <f t="shared" si="29"/>
        <v>17.979658000000001</v>
      </c>
      <c r="AV253" s="13">
        <f t="shared" si="30"/>
        <v>0.91706122077207153</v>
      </c>
      <c r="AY253" s="12">
        <f t="shared" si="31"/>
        <v>0</v>
      </c>
      <c r="AZ253" s="12">
        <f t="shared" si="32"/>
        <v>0</v>
      </c>
      <c r="BA253" s="12">
        <f t="shared" si="32"/>
        <v>0</v>
      </c>
      <c r="BB253" s="12">
        <f t="shared" si="32"/>
        <v>0</v>
      </c>
      <c r="BC253" s="12">
        <f t="shared" si="32"/>
        <v>0</v>
      </c>
      <c r="BD253" s="12">
        <f t="shared" si="33"/>
        <v>0</v>
      </c>
    </row>
    <row r="254" spans="1:56" ht="15" customHeight="1" x14ac:dyDescent="0.25">
      <c r="A254" s="137" t="s">
        <v>532</v>
      </c>
      <c r="B254" s="137" t="s">
        <v>545</v>
      </c>
      <c r="C254" s="137">
        <v>2018</v>
      </c>
      <c r="D254" s="137" t="s">
        <v>193</v>
      </c>
      <c r="E254" s="137" t="s">
        <v>193</v>
      </c>
      <c r="F254" s="137" t="s">
        <v>193</v>
      </c>
      <c r="G254" s="137" t="s">
        <v>193</v>
      </c>
      <c r="H254" s="137" t="s">
        <v>193</v>
      </c>
      <c r="I254" s="137" t="s">
        <v>193</v>
      </c>
      <c r="J254" s="137" t="s">
        <v>193</v>
      </c>
      <c r="K254" s="137" t="s">
        <v>193</v>
      </c>
      <c r="L254" s="137" t="s">
        <v>193</v>
      </c>
      <c r="M254" s="137" t="s">
        <v>193</v>
      </c>
      <c r="N254" s="137" t="s">
        <v>193</v>
      </c>
      <c r="O254" s="137" t="s">
        <v>193</v>
      </c>
      <c r="P254" s="137" t="s">
        <v>193</v>
      </c>
      <c r="Q254" s="137" t="s">
        <v>193</v>
      </c>
      <c r="R254" s="137" t="s">
        <v>193</v>
      </c>
      <c r="S254" s="137" t="s">
        <v>193</v>
      </c>
      <c r="T254" s="137" t="s">
        <v>193</v>
      </c>
      <c r="U254" s="137" t="s">
        <v>193</v>
      </c>
      <c r="V254" s="137" t="s">
        <v>193</v>
      </c>
      <c r="W254" s="137" t="s">
        <v>193</v>
      </c>
      <c r="X254" s="137" t="s">
        <v>193</v>
      </c>
      <c r="Y254" s="137" t="s">
        <v>193</v>
      </c>
      <c r="Z254" s="137" t="s">
        <v>193</v>
      </c>
      <c r="AA254" s="137" t="s">
        <v>193</v>
      </c>
      <c r="AB254" s="137" t="s">
        <v>193</v>
      </c>
      <c r="AC254" s="137" t="s">
        <v>193</v>
      </c>
      <c r="AD254" s="137" t="s">
        <v>193</v>
      </c>
      <c r="AE254" s="137" t="s">
        <v>193</v>
      </c>
      <c r="AF254" s="137" t="s">
        <v>193</v>
      </c>
      <c r="AG254" s="137" t="s">
        <v>193</v>
      </c>
      <c r="AH254" s="137" t="s">
        <v>199</v>
      </c>
      <c r="AI254" s="137" t="s">
        <v>193</v>
      </c>
      <c r="AJ254" s="137" t="s">
        <v>193</v>
      </c>
      <c r="AK254" s="137" t="s">
        <v>193</v>
      </c>
      <c r="AL254" s="137" t="s">
        <v>193</v>
      </c>
      <c r="AM254" s="137" t="s">
        <v>193</v>
      </c>
      <c r="AN254" s="137" t="s">
        <v>193</v>
      </c>
      <c r="AO254" s="137" t="s">
        <v>193</v>
      </c>
      <c r="AQ254" s="12">
        <f t="shared" si="27"/>
        <v>0</v>
      </c>
      <c r="AR254" s="12">
        <f t="shared" si="26"/>
        <v>0</v>
      </c>
      <c r="AT254" s="12">
        <f t="shared" si="28"/>
        <v>0</v>
      </c>
      <c r="AU254" s="12">
        <f t="shared" si="29"/>
        <v>0</v>
      </c>
      <c r="AV254" s="13" t="str">
        <f t="shared" si="30"/>
        <v/>
      </c>
      <c r="AY254" s="12">
        <f t="shared" si="31"/>
        <v>0</v>
      </c>
      <c r="AZ254" s="12">
        <f t="shared" si="32"/>
        <v>0</v>
      </c>
      <c r="BA254" s="12">
        <f t="shared" si="32"/>
        <v>0</v>
      </c>
      <c r="BB254" s="12">
        <f t="shared" si="32"/>
        <v>0</v>
      </c>
      <c r="BC254" s="12">
        <f t="shared" si="32"/>
        <v>0</v>
      </c>
      <c r="BD254" s="12">
        <f t="shared" si="33"/>
        <v>0</v>
      </c>
    </row>
    <row r="255" spans="1:56" ht="15" customHeight="1" x14ac:dyDescent="0.25">
      <c r="A255" s="137" t="s">
        <v>532</v>
      </c>
      <c r="B255" s="137" t="s">
        <v>546</v>
      </c>
      <c r="C255" s="137">
        <v>2018</v>
      </c>
      <c r="D255" s="137" t="s">
        <v>193</v>
      </c>
      <c r="E255" s="137" t="s">
        <v>193</v>
      </c>
      <c r="F255" s="137" t="s">
        <v>193</v>
      </c>
      <c r="G255" s="137" t="s">
        <v>193</v>
      </c>
      <c r="H255" s="137" t="s">
        <v>193</v>
      </c>
      <c r="I255" s="137" t="s">
        <v>193</v>
      </c>
      <c r="J255" s="137" t="s">
        <v>193</v>
      </c>
      <c r="K255" s="137" t="s">
        <v>193</v>
      </c>
      <c r="L255" s="137" t="s">
        <v>193</v>
      </c>
      <c r="M255" s="137" t="s">
        <v>193</v>
      </c>
      <c r="N255" s="137" t="s">
        <v>193</v>
      </c>
      <c r="O255" s="137" t="s">
        <v>193</v>
      </c>
      <c r="P255" s="137" t="s">
        <v>193</v>
      </c>
      <c r="Q255" s="137" t="s">
        <v>193</v>
      </c>
      <c r="R255" s="137" t="s">
        <v>193</v>
      </c>
      <c r="S255" s="137" t="s">
        <v>193</v>
      </c>
      <c r="T255" s="137" t="s">
        <v>193</v>
      </c>
      <c r="U255" s="137" t="s">
        <v>193</v>
      </c>
      <c r="V255" s="137" t="s">
        <v>193</v>
      </c>
      <c r="W255" s="137" t="s">
        <v>193</v>
      </c>
      <c r="X255" s="137" t="s">
        <v>193</v>
      </c>
      <c r="Y255" s="137" t="s">
        <v>193</v>
      </c>
      <c r="Z255" s="137" t="s">
        <v>193</v>
      </c>
      <c r="AA255" s="137" t="s">
        <v>193</v>
      </c>
      <c r="AB255" s="137" t="s">
        <v>193</v>
      </c>
      <c r="AC255" s="137" t="s">
        <v>193</v>
      </c>
      <c r="AD255" s="137" t="s">
        <v>193</v>
      </c>
      <c r="AE255" s="137" t="s">
        <v>193</v>
      </c>
      <c r="AF255" s="137" t="s">
        <v>193</v>
      </c>
      <c r="AG255" s="137" t="s">
        <v>193</v>
      </c>
      <c r="AH255" s="137" t="s">
        <v>199</v>
      </c>
      <c r="AI255" s="137" t="s">
        <v>193</v>
      </c>
      <c r="AJ255" s="137" t="s">
        <v>193</v>
      </c>
      <c r="AK255" s="137" t="s">
        <v>193</v>
      </c>
      <c r="AL255" s="137" t="s">
        <v>193</v>
      </c>
      <c r="AM255" s="137" t="s">
        <v>193</v>
      </c>
      <c r="AN255" s="137" t="s">
        <v>193</v>
      </c>
      <c r="AO255" s="137" t="s">
        <v>193</v>
      </c>
      <c r="AQ255" s="12">
        <f t="shared" si="27"/>
        <v>0</v>
      </c>
      <c r="AR255" s="12">
        <f t="shared" si="26"/>
        <v>0</v>
      </c>
      <c r="AT255" s="12">
        <f t="shared" si="28"/>
        <v>0</v>
      </c>
      <c r="AU255" s="12">
        <f t="shared" si="29"/>
        <v>0</v>
      </c>
      <c r="AV255" s="13" t="str">
        <f t="shared" si="30"/>
        <v/>
      </c>
      <c r="AY255" s="12">
        <f t="shared" si="31"/>
        <v>0</v>
      </c>
      <c r="AZ255" s="12">
        <f t="shared" si="32"/>
        <v>0</v>
      </c>
      <c r="BA255" s="12">
        <f t="shared" si="32"/>
        <v>0</v>
      </c>
      <c r="BB255" s="12">
        <f t="shared" si="32"/>
        <v>0</v>
      </c>
      <c r="BC255" s="12">
        <f t="shared" si="32"/>
        <v>0</v>
      </c>
      <c r="BD255" s="12">
        <f t="shared" si="33"/>
        <v>0</v>
      </c>
    </row>
    <row r="256" spans="1:56" ht="15" customHeight="1" x14ac:dyDescent="0.25">
      <c r="A256" s="137" t="s">
        <v>532</v>
      </c>
      <c r="B256" s="137" t="s">
        <v>547</v>
      </c>
      <c r="C256" s="137">
        <v>2018</v>
      </c>
      <c r="D256" s="137">
        <v>239.15712500000001</v>
      </c>
      <c r="E256" s="137">
        <v>103.43904000000001</v>
      </c>
      <c r="F256" s="137" t="s">
        <v>193</v>
      </c>
      <c r="G256" s="137" t="s">
        <v>193</v>
      </c>
      <c r="H256" s="137" t="s">
        <v>193</v>
      </c>
      <c r="I256" s="137">
        <v>493.54166999</v>
      </c>
      <c r="J256" s="137" t="s">
        <v>193</v>
      </c>
      <c r="K256" s="137">
        <v>0.69059999999999999</v>
      </c>
      <c r="L256" s="137" t="s">
        <v>193</v>
      </c>
      <c r="M256" s="137" t="s">
        <v>193</v>
      </c>
      <c r="N256" s="137" t="s">
        <v>193</v>
      </c>
      <c r="O256" s="137" t="s">
        <v>193</v>
      </c>
      <c r="P256" s="137" t="s">
        <v>193</v>
      </c>
      <c r="Q256" s="137">
        <v>70.837203099999996</v>
      </c>
      <c r="R256" s="137">
        <v>107.1862848</v>
      </c>
      <c r="S256" s="137">
        <v>22.746993310000001</v>
      </c>
      <c r="T256" s="137">
        <v>108.6543526</v>
      </c>
      <c r="U256" s="137">
        <v>0</v>
      </c>
      <c r="V256" s="137">
        <v>47.146211389999998</v>
      </c>
      <c r="W256" s="137" t="s">
        <v>194</v>
      </c>
      <c r="X256" s="137">
        <v>0</v>
      </c>
      <c r="Y256" s="137">
        <v>1.05687767</v>
      </c>
      <c r="Z256" s="137">
        <v>2.6362771180000002</v>
      </c>
      <c r="AA256" s="137" t="s">
        <v>193</v>
      </c>
      <c r="AB256" s="137" t="s">
        <v>193</v>
      </c>
      <c r="AC256" s="137" t="s">
        <v>193</v>
      </c>
      <c r="AD256" s="137" t="s">
        <v>193</v>
      </c>
      <c r="AE256" s="137">
        <v>65.435400000000001</v>
      </c>
      <c r="AF256" s="137" t="s">
        <v>193</v>
      </c>
      <c r="AG256" s="137" t="s">
        <v>193</v>
      </c>
      <c r="AH256" s="137" t="s">
        <v>199</v>
      </c>
      <c r="AI256" s="137" t="s">
        <v>193</v>
      </c>
      <c r="AJ256" s="137" t="s">
        <v>193</v>
      </c>
      <c r="AK256" s="137">
        <v>67.151470000000003</v>
      </c>
      <c r="AL256" s="137">
        <v>84.49166984</v>
      </c>
      <c r="AM256" s="137" t="s">
        <v>193</v>
      </c>
      <c r="AN256" s="137">
        <v>0.16196432299999999</v>
      </c>
      <c r="AO256" s="137">
        <v>15.346365840000001</v>
      </c>
      <c r="AQ256" s="12">
        <f t="shared" si="27"/>
        <v>426.39019998800001</v>
      </c>
      <c r="AR256" s="12">
        <f t="shared" si="26"/>
        <v>493.54166998800002</v>
      </c>
      <c r="AT256" s="12">
        <f t="shared" si="28"/>
        <v>239.15712500000001</v>
      </c>
      <c r="AU256" s="12">
        <f t="shared" si="29"/>
        <v>103.43904000000001</v>
      </c>
      <c r="AV256" s="13">
        <f t="shared" si="30"/>
        <v>0.69415853986215581</v>
      </c>
      <c r="AY256" s="12">
        <f t="shared" si="31"/>
        <v>67.151470000000003</v>
      </c>
      <c r="AZ256" s="12">
        <f t="shared" si="32"/>
        <v>56.737398325106653</v>
      </c>
      <c r="BA256" s="12">
        <f t="shared" si="32"/>
        <v>0</v>
      </c>
      <c r="BB256" s="12">
        <f t="shared" si="32"/>
        <v>0.1087614237700481</v>
      </c>
      <c r="BC256" s="12">
        <f t="shared" si="32"/>
        <v>10.305310253137849</v>
      </c>
      <c r="BD256" s="12">
        <f t="shared" si="33"/>
        <v>0</v>
      </c>
    </row>
    <row r="257" spans="1:56" ht="15" customHeight="1" x14ac:dyDescent="0.25">
      <c r="A257" s="137" t="s">
        <v>532</v>
      </c>
      <c r="B257" s="137" t="s">
        <v>548</v>
      </c>
      <c r="C257" s="137">
        <v>2018</v>
      </c>
      <c r="D257" s="137" t="s">
        <v>193</v>
      </c>
      <c r="E257" s="137" t="s">
        <v>193</v>
      </c>
      <c r="F257" s="137" t="s">
        <v>193</v>
      </c>
      <c r="G257" s="137" t="s">
        <v>193</v>
      </c>
      <c r="H257" s="137" t="s">
        <v>193</v>
      </c>
      <c r="I257" s="137" t="s">
        <v>193</v>
      </c>
      <c r="J257" s="137" t="s">
        <v>193</v>
      </c>
      <c r="K257" s="137" t="s">
        <v>193</v>
      </c>
      <c r="L257" s="137" t="s">
        <v>193</v>
      </c>
      <c r="M257" s="137" t="s">
        <v>193</v>
      </c>
      <c r="N257" s="137" t="s">
        <v>193</v>
      </c>
      <c r="O257" s="137" t="s">
        <v>193</v>
      </c>
      <c r="P257" s="137" t="s">
        <v>193</v>
      </c>
      <c r="Q257" s="137" t="s">
        <v>193</v>
      </c>
      <c r="R257" s="137" t="s">
        <v>193</v>
      </c>
      <c r="S257" s="137" t="s">
        <v>193</v>
      </c>
      <c r="T257" s="137" t="s">
        <v>193</v>
      </c>
      <c r="U257" s="137" t="s">
        <v>193</v>
      </c>
      <c r="V257" s="137" t="s">
        <v>193</v>
      </c>
      <c r="W257" s="137" t="s">
        <v>193</v>
      </c>
      <c r="X257" s="137" t="s">
        <v>193</v>
      </c>
      <c r="Y257" s="137" t="s">
        <v>193</v>
      </c>
      <c r="Z257" s="137" t="s">
        <v>193</v>
      </c>
      <c r="AA257" s="137" t="s">
        <v>193</v>
      </c>
      <c r="AB257" s="137" t="s">
        <v>193</v>
      </c>
      <c r="AC257" s="137" t="s">
        <v>193</v>
      </c>
      <c r="AD257" s="137" t="s">
        <v>193</v>
      </c>
      <c r="AE257" s="137" t="s">
        <v>193</v>
      </c>
      <c r="AF257" s="137" t="s">
        <v>193</v>
      </c>
      <c r="AG257" s="137" t="s">
        <v>193</v>
      </c>
      <c r="AH257" s="137" t="s">
        <v>199</v>
      </c>
      <c r="AI257" s="137" t="s">
        <v>193</v>
      </c>
      <c r="AJ257" s="137" t="s">
        <v>193</v>
      </c>
      <c r="AK257" s="137" t="s">
        <v>193</v>
      </c>
      <c r="AL257" s="137" t="s">
        <v>193</v>
      </c>
      <c r="AM257" s="137" t="s">
        <v>193</v>
      </c>
      <c r="AN257" s="137" t="s">
        <v>193</v>
      </c>
      <c r="AO257" s="137" t="s">
        <v>193</v>
      </c>
      <c r="AQ257" s="12">
        <f t="shared" si="27"/>
        <v>0</v>
      </c>
      <c r="AR257" s="12">
        <f t="shared" ref="AR257:AR320" si="34">SUMPRODUCT(J257:AF257)+SUMPRODUCT(AJ257:AK257)</f>
        <v>0</v>
      </c>
      <c r="AT257" s="12">
        <f t="shared" si="28"/>
        <v>0</v>
      </c>
      <c r="AU257" s="12">
        <f t="shared" si="29"/>
        <v>0</v>
      </c>
      <c r="AV257" s="13" t="str">
        <f t="shared" si="30"/>
        <v/>
      </c>
      <c r="AY257" s="12">
        <f t="shared" si="31"/>
        <v>0</v>
      </c>
      <c r="AZ257" s="12">
        <f t="shared" si="32"/>
        <v>0</v>
      </c>
      <c r="BA257" s="12">
        <f t="shared" si="32"/>
        <v>0</v>
      </c>
      <c r="BB257" s="12">
        <f t="shared" si="32"/>
        <v>0</v>
      </c>
      <c r="BC257" s="12">
        <f t="shared" ref="BC257:BC320" si="35">IFERROR(AO257/100,0)*$AY257</f>
        <v>0</v>
      </c>
      <c r="BD257" s="12">
        <f t="shared" si="33"/>
        <v>0</v>
      </c>
    </row>
    <row r="258" spans="1:56" ht="15" customHeight="1" x14ac:dyDescent="0.25">
      <c r="A258" s="137" t="s">
        <v>532</v>
      </c>
      <c r="B258" s="137" t="s">
        <v>549</v>
      </c>
      <c r="C258" s="137">
        <v>2018</v>
      </c>
      <c r="D258" s="137" t="s">
        <v>193</v>
      </c>
      <c r="E258" s="137" t="s">
        <v>193</v>
      </c>
      <c r="F258" s="137" t="s">
        <v>193</v>
      </c>
      <c r="G258" s="137" t="s">
        <v>193</v>
      </c>
      <c r="H258" s="137" t="s">
        <v>193</v>
      </c>
      <c r="I258" s="137" t="s">
        <v>193</v>
      </c>
      <c r="J258" s="137" t="s">
        <v>193</v>
      </c>
      <c r="K258" s="137" t="s">
        <v>193</v>
      </c>
      <c r="L258" s="137" t="s">
        <v>193</v>
      </c>
      <c r="M258" s="137" t="s">
        <v>193</v>
      </c>
      <c r="N258" s="137" t="s">
        <v>193</v>
      </c>
      <c r="O258" s="137" t="s">
        <v>193</v>
      </c>
      <c r="P258" s="137" t="s">
        <v>193</v>
      </c>
      <c r="Q258" s="137" t="s">
        <v>193</v>
      </c>
      <c r="R258" s="137" t="s">
        <v>193</v>
      </c>
      <c r="S258" s="137" t="s">
        <v>193</v>
      </c>
      <c r="T258" s="137" t="s">
        <v>193</v>
      </c>
      <c r="U258" s="137" t="s">
        <v>193</v>
      </c>
      <c r="V258" s="137" t="s">
        <v>193</v>
      </c>
      <c r="W258" s="137" t="s">
        <v>193</v>
      </c>
      <c r="X258" s="137" t="s">
        <v>193</v>
      </c>
      <c r="Y258" s="137" t="s">
        <v>193</v>
      </c>
      <c r="Z258" s="137" t="s">
        <v>193</v>
      </c>
      <c r="AA258" s="137" t="s">
        <v>193</v>
      </c>
      <c r="AB258" s="137" t="s">
        <v>193</v>
      </c>
      <c r="AC258" s="137" t="s">
        <v>193</v>
      </c>
      <c r="AD258" s="137" t="s">
        <v>193</v>
      </c>
      <c r="AE258" s="137" t="s">
        <v>193</v>
      </c>
      <c r="AF258" s="137" t="s">
        <v>193</v>
      </c>
      <c r="AG258" s="137" t="s">
        <v>193</v>
      </c>
      <c r="AH258" s="137" t="s">
        <v>199</v>
      </c>
      <c r="AI258" s="137" t="s">
        <v>193</v>
      </c>
      <c r="AJ258" s="137" t="s">
        <v>193</v>
      </c>
      <c r="AK258" s="137" t="s">
        <v>193</v>
      </c>
      <c r="AL258" s="137" t="s">
        <v>193</v>
      </c>
      <c r="AM258" s="137" t="s">
        <v>193</v>
      </c>
      <c r="AN258" s="137" t="s">
        <v>193</v>
      </c>
      <c r="AO258" s="137" t="s">
        <v>193</v>
      </c>
      <c r="AQ258" s="12">
        <f t="shared" ref="AQ258:AQ321" si="36">SUMPRODUCT(J258:AF258)+IFERROR(AJ258/1,0)</f>
        <v>0</v>
      </c>
      <c r="AR258" s="12">
        <f t="shared" si="34"/>
        <v>0</v>
      </c>
      <c r="AT258" s="12">
        <f t="shared" ref="AT258:AT321" si="37">IFERROR(D258/1,0)</f>
        <v>0</v>
      </c>
      <c r="AU258" s="12">
        <f t="shared" ref="AU258:AU321" si="38">IFERROR(E258/1,0)</f>
        <v>0</v>
      </c>
      <c r="AV258" s="13" t="str">
        <f t="shared" ref="AV258:AV321" si="39">IFERROR((AT258+AU258)/AR258,"")</f>
        <v/>
      </c>
      <c r="AY258" s="12">
        <f t="shared" ref="AY258:AY321" si="40">IFERROR(AK258/1,0)</f>
        <v>0</v>
      </c>
      <c r="AZ258" s="12">
        <f t="shared" ref="AZ258:BC321" si="41">IFERROR(AL258/100,0)*$AY258</f>
        <v>0</v>
      </c>
      <c r="BA258" s="12">
        <f t="shared" si="41"/>
        <v>0</v>
      </c>
      <c r="BB258" s="12">
        <f t="shared" si="41"/>
        <v>0</v>
      </c>
      <c r="BC258" s="12">
        <f t="shared" si="35"/>
        <v>0</v>
      </c>
      <c r="BD258" s="12">
        <f t="shared" ref="BD258:BD321" si="42">MAX(AY258-SUM(AZ258:BC258),0)</f>
        <v>0</v>
      </c>
    </row>
    <row r="259" spans="1:56" ht="15" customHeight="1" x14ac:dyDescent="0.25">
      <c r="A259" s="137" t="s">
        <v>532</v>
      </c>
      <c r="B259" s="137" t="s">
        <v>550</v>
      </c>
      <c r="C259" s="137">
        <v>2018</v>
      </c>
      <c r="D259" s="137" t="s">
        <v>193</v>
      </c>
      <c r="E259" s="137" t="s">
        <v>193</v>
      </c>
      <c r="F259" s="137" t="s">
        <v>193</v>
      </c>
      <c r="G259" s="137" t="s">
        <v>193</v>
      </c>
      <c r="H259" s="137" t="s">
        <v>193</v>
      </c>
      <c r="I259" s="137" t="s">
        <v>193</v>
      </c>
      <c r="J259" s="137" t="s">
        <v>193</v>
      </c>
      <c r="K259" s="137" t="s">
        <v>193</v>
      </c>
      <c r="L259" s="137" t="s">
        <v>193</v>
      </c>
      <c r="M259" s="137" t="s">
        <v>193</v>
      </c>
      <c r="N259" s="137" t="s">
        <v>193</v>
      </c>
      <c r="O259" s="137" t="s">
        <v>193</v>
      </c>
      <c r="P259" s="137" t="s">
        <v>193</v>
      </c>
      <c r="Q259" s="137" t="s">
        <v>193</v>
      </c>
      <c r="R259" s="137" t="s">
        <v>193</v>
      </c>
      <c r="S259" s="137" t="s">
        <v>193</v>
      </c>
      <c r="T259" s="137" t="s">
        <v>193</v>
      </c>
      <c r="U259" s="137" t="s">
        <v>193</v>
      </c>
      <c r="V259" s="137" t="s">
        <v>193</v>
      </c>
      <c r="W259" s="137" t="s">
        <v>193</v>
      </c>
      <c r="X259" s="137" t="s">
        <v>193</v>
      </c>
      <c r="Y259" s="137" t="s">
        <v>193</v>
      </c>
      <c r="Z259" s="137" t="s">
        <v>193</v>
      </c>
      <c r="AA259" s="137" t="s">
        <v>193</v>
      </c>
      <c r="AB259" s="137" t="s">
        <v>193</v>
      </c>
      <c r="AC259" s="137" t="s">
        <v>193</v>
      </c>
      <c r="AD259" s="137" t="s">
        <v>193</v>
      </c>
      <c r="AE259" s="137" t="s">
        <v>193</v>
      </c>
      <c r="AF259" s="137" t="s">
        <v>193</v>
      </c>
      <c r="AG259" s="137" t="s">
        <v>193</v>
      </c>
      <c r="AH259" s="137" t="s">
        <v>199</v>
      </c>
      <c r="AI259" s="137" t="s">
        <v>193</v>
      </c>
      <c r="AJ259" s="137" t="s">
        <v>193</v>
      </c>
      <c r="AK259" s="137" t="s">
        <v>193</v>
      </c>
      <c r="AL259" s="137" t="s">
        <v>193</v>
      </c>
      <c r="AM259" s="137" t="s">
        <v>193</v>
      </c>
      <c r="AN259" s="137" t="s">
        <v>193</v>
      </c>
      <c r="AO259" s="137" t="s">
        <v>193</v>
      </c>
      <c r="AQ259" s="12">
        <f t="shared" si="36"/>
        <v>0</v>
      </c>
      <c r="AR259" s="12">
        <f t="shared" si="34"/>
        <v>0</v>
      </c>
      <c r="AT259" s="12">
        <f t="shared" si="37"/>
        <v>0</v>
      </c>
      <c r="AU259" s="12">
        <f t="shared" si="38"/>
        <v>0</v>
      </c>
      <c r="AV259" s="13" t="str">
        <f t="shared" si="39"/>
        <v/>
      </c>
      <c r="AY259" s="12">
        <f t="shared" si="40"/>
        <v>0</v>
      </c>
      <c r="AZ259" s="12">
        <f t="shared" si="41"/>
        <v>0</v>
      </c>
      <c r="BA259" s="12">
        <f t="shared" si="41"/>
        <v>0</v>
      </c>
      <c r="BB259" s="12">
        <f t="shared" si="41"/>
        <v>0</v>
      </c>
      <c r="BC259" s="12">
        <f t="shared" si="35"/>
        <v>0</v>
      </c>
      <c r="BD259" s="12">
        <f t="shared" si="42"/>
        <v>0</v>
      </c>
    </row>
    <row r="260" spans="1:56" ht="15" customHeight="1" x14ac:dyDescent="0.25">
      <c r="A260" s="137" t="s">
        <v>532</v>
      </c>
      <c r="B260" s="137" t="s">
        <v>551</v>
      </c>
      <c r="C260" s="137">
        <v>2018</v>
      </c>
      <c r="D260" s="137" t="s">
        <v>193</v>
      </c>
      <c r="E260" s="137" t="s">
        <v>193</v>
      </c>
      <c r="F260" s="137" t="s">
        <v>193</v>
      </c>
      <c r="G260" s="137" t="s">
        <v>193</v>
      </c>
      <c r="H260" s="137" t="s">
        <v>193</v>
      </c>
      <c r="I260" s="137" t="s">
        <v>193</v>
      </c>
      <c r="J260" s="137" t="s">
        <v>193</v>
      </c>
      <c r="K260" s="137" t="s">
        <v>193</v>
      </c>
      <c r="L260" s="137" t="s">
        <v>193</v>
      </c>
      <c r="M260" s="137" t="s">
        <v>193</v>
      </c>
      <c r="N260" s="137" t="s">
        <v>193</v>
      </c>
      <c r="O260" s="137" t="s">
        <v>193</v>
      </c>
      <c r="P260" s="137" t="s">
        <v>193</v>
      </c>
      <c r="Q260" s="137" t="s">
        <v>193</v>
      </c>
      <c r="R260" s="137" t="s">
        <v>193</v>
      </c>
      <c r="S260" s="137" t="s">
        <v>193</v>
      </c>
      <c r="T260" s="137" t="s">
        <v>193</v>
      </c>
      <c r="U260" s="137" t="s">
        <v>193</v>
      </c>
      <c r="V260" s="137" t="s">
        <v>193</v>
      </c>
      <c r="W260" s="137" t="s">
        <v>193</v>
      </c>
      <c r="X260" s="137" t="s">
        <v>193</v>
      </c>
      <c r="Y260" s="137" t="s">
        <v>193</v>
      </c>
      <c r="Z260" s="137" t="s">
        <v>193</v>
      </c>
      <c r="AA260" s="137" t="s">
        <v>193</v>
      </c>
      <c r="AB260" s="137" t="s">
        <v>193</v>
      </c>
      <c r="AC260" s="137" t="s">
        <v>193</v>
      </c>
      <c r="AD260" s="137" t="s">
        <v>193</v>
      </c>
      <c r="AE260" s="137" t="s">
        <v>193</v>
      </c>
      <c r="AF260" s="137" t="s">
        <v>193</v>
      </c>
      <c r="AG260" s="137" t="s">
        <v>193</v>
      </c>
      <c r="AH260" s="137" t="s">
        <v>199</v>
      </c>
      <c r="AI260" s="137" t="s">
        <v>193</v>
      </c>
      <c r="AJ260" s="137" t="s">
        <v>193</v>
      </c>
      <c r="AK260" s="137" t="s">
        <v>193</v>
      </c>
      <c r="AL260" s="137" t="s">
        <v>193</v>
      </c>
      <c r="AM260" s="137" t="s">
        <v>193</v>
      </c>
      <c r="AN260" s="137" t="s">
        <v>193</v>
      </c>
      <c r="AO260" s="137" t="s">
        <v>193</v>
      </c>
      <c r="AQ260" s="12">
        <f t="shared" si="36"/>
        <v>0</v>
      </c>
      <c r="AR260" s="12">
        <f t="shared" si="34"/>
        <v>0</v>
      </c>
      <c r="AT260" s="12">
        <f t="shared" si="37"/>
        <v>0</v>
      </c>
      <c r="AU260" s="12">
        <f t="shared" si="38"/>
        <v>0</v>
      </c>
      <c r="AV260" s="13" t="str">
        <f t="shared" si="39"/>
        <v/>
      </c>
      <c r="AY260" s="12">
        <f t="shared" si="40"/>
        <v>0</v>
      </c>
      <c r="AZ260" s="12">
        <f t="shared" si="41"/>
        <v>0</v>
      </c>
      <c r="BA260" s="12">
        <f t="shared" si="41"/>
        <v>0</v>
      </c>
      <c r="BB260" s="12">
        <f t="shared" si="41"/>
        <v>0</v>
      </c>
      <c r="BC260" s="12">
        <f t="shared" si="35"/>
        <v>0</v>
      </c>
      <c r="BD260" s="12">
        <f t="shared" si="42"/>
        <v>0</v>
      </c>
    </row>
    <row r="261" spans="1:56" ht="15" customHeight="1" x14ac:dyDescent="0.25">
      <c r="A261" s="137" t="s">
        <v>552</v>
      </c>
      <c r="B261" s="137" t="s">
        <v>553</v>
      </c>
      <c r="C261" s="137">
        <v>2018</v>
      </c>
      <c r="D261" s="137" t="s">
        <v>193</v>
      </c>
      <c r="E261" s="137" t="s">
        <v>193</v>
      </c>
      <c r="F261" s="137" t="s">
        <v>193</v>
      </c>
      <c r="G261" s="137" t="s">
        <v>193</v>
      </c>
      <c r="H261" s="137" t="s">
        <v>193</v>
      </c>
      <c r="I261" s="137" t="s">
        <v>193</v>
      </c>
      <c r="J261" s="137" t="s">
        <v>193</v>
      </c>
      <c r="K261" s="137" t="s">
        <v>193</v>
      </c>
      <c r="L261" s="137" t="s">
        <v>193</v>
      </c>
      <c r="M261" s="137" t="s">
        <v>193</v>
      </c>
      <c r="N261" s="137" t="s">
        <v>193</v>
      </c>
      <c r="O261" s="137" t="s">
        <v>193</v>
      </c>
      <c r="P261" s="137" t="s">
        <v>193</v>
      </c>
      <c r="Q261" s="137" t="s">
        <v>193</v>
      </c>
      <c r="R261" s="137" t="s">
        <v>193</v>
      </c>
      <c r="S261" s="137" t="s">
        <v>193</v>
      </c>
      <c r="T261" s="137" t="s">
        <v>193</v>
      </c>
      <c r="U261" s="137" t="s">
        <v>193</v>
      </c>
      <c r="V261" s="137" t="s">
        <v>193</v>
      </c>
      <c r="W261" s="137" t="s">
        <v>193</v>
      </c>
      <c r="X261" s="137" t="s">
        <v>193</v>
      </c>
      <c r="Y261" s="137" t="s">
        <v>193</v>
      </c>
      <c r="Z261" s="137" t="s">
        <v>193</v>
      </c>
      <c r="AA261" s="137" t="s">
        <v>193</v>
      </c>
      <c r="AB261" s="137" t="s">
        <v>193</v>
      </c>
      <c r="AC261" s="137" t="s">
        <v>193</v>
      </c>
      <c r="AD261" s="137" t="s">
        <v>193</v>
      </c>
      <c r="AE261" s="137" t="s">
        <v>193</v>
      </c>
      <c r="AF261" s="137" t="s">
        <v>193</v>
      </c>
      <c r="AG261" s="137" t="s">
        <v>193</v>
      </c>
      <c r="AH261" s="137" t="s">
        <v>199</v>
      </c>
      <c r="AI261" s="137" t="s">
        <v>193</v>
      </c>
      <c r="AJ261" s="137" t="s">
        <v>193</v>
      </c>
      <c r="AK261" s="137" t="s">
        <v>193</v>
      </c>
      <c r="AL261" s="137" t="s">
        <v>193</v>
      </c>
      <c r="AM261" s="137" t="s">
        <v>193</v>
      </c>
      <c r="AN261" s="137" t="s">
        <v>193</v>
      </c>
      <c r="AO261" s="137" t="s">
        <v>193</v>
      </c>
      <c r="AQ261" s="12">
        <f t="shared" si="36"/>
        <v>0</v>
      </c>
      <c r="AR261" s="12">
        <f t="shared" si="34"/>
        <v>0</v>
      </c>
      <c r="AT261" s="12">
        <f t="shared" si="37"/>
        <v>0</v>
      </c>
      <c r="AU261" s="12">
        <f t="shared" si="38"/>
        <v>0</v>
      </c>
      <c r="AV261" s="13" t="str">
        <f t="shared" si="39"/>
        <v/>
      </c>
      <c r="AY261" s="12">
        <f t="shared" si="40"/>
        <v>0</v>
      </c>
      <c r="AZ261" s="12">
        <f t="shared" si="41"/>
        <v>0</v>
      </c>
      <c r="BA261" s="12">
        <f t="shared" si="41"/>
        <v>0</v>
      </c>
      <c r="BB261" s="12">
        <f t="shared" si="41"/>
        <v>0</v>
      </c>
      <c r="BC261" s="12">
        <f t="shared" si="35"/>
        <v>0</v>
      </c>
      <c r="BD261" s="12">
        <f t="shared" si="42"/>
        <v>0</v>
      </c>
    </row>
    <row r="262" spans="1:56" ht="15" customHeight="1" x14ac:dyDescent="0.25">
      <c r="A262" s="137" t="s">
        <v>552</v>
      </c>
      <c r="B262" s="137" t="s">
        <v>554</v>
      </c>
      <c r="C262" s="137">
        <v>2018</v>
      </c>
      <c r="D262" s="137">
        <v>315.77999999999997</v>
      </c>
      <c r="E262" s="137">
        <v>43.185000000000002</v>
      </c>
      <c r="F262" s="137" t="s">
        <v>193</v>
      </c>
      <c r="G262" s="137" t="s">
        <v>193</v>
      </c>
      <c r="H262" s="137" t="s">
        <v>193</v>
      </c>
      <c r="I262" s="137">
        <v>417.55599999999998</v>
      </c>
      <c r="J262" s="137" t="s">
        <v>193</v>
      </c>
      <c r="K262" s="137">
        <v>1.55</v>
      </c>
      <c r="L262" s="137" t="s">
        <v>193</v>
      </c>
      <c r="M262" s="137" t="s">
        <v>193</v>
      </c>
      <c r="N262" s="137" t="s">
        <v>193</v>
      </c>
      <c r="O262" s="137" t="s">
        <v>193</v>
      </c>
      <c r="P262" s="137" t="s">
        <v>193</v>
      </c>
      <c r="Q262" s="137">
        <v>182.03200000000001</v>
      </c>
      <c r="R262" s="137" t="s">
        <v>193</v>
      </c>
      <c r="S262" s="137" t="s">
        <v>193</v>
      </c>
      <c r="T262" s="137" t="s">
        <v>193</v>
      </c>
      <c r="U262" s="137" t="s">
        <v>193</v>
      </c>
      <c r="V262" s="137" t="s">
        <v>193</v>
      </c>
      <c r="W262" s="137" t="s">
        <v>193</v>
      </c>
      <c r="X262" s="137" t="s">
        <v>193</v>
      </c>
      <c r="Y262" s="137" t="s">
        <v>193</v>
      </c>
      <c r="Z262" s="137" t="s">
        <v>193</v>
      </c>
      <c r="AA262" s="137" t="s">
        <v>193</v>
      </c>
      <c r="AB262" s="137" t="s">
        <v>193</v>
      </c>
      <c r="AC262" s="137" t="s">
        <v>193</v>
      </c>
      <c r="AD262" s="137" t="s">
        <v>193</v>
      </c>
      <c r="AE262" s="137" t="s">
        <v>193</v>
      </c>
      <c r="AF262" s="137">
        <v>186.66900000000001</v>
      </c>
      <c r="AG262" s="137">
        <v>1.1499999999999999</v>
      </c>
      <c r="AH262" s="137" t="s">
        <v>195</v>
      </c>
      <c r="AI262" s="137">
        <v>40.5</v>
      </c>
      <c r="AJ262" s="137" t="s">
        <v>193</v>
      </c>
      <c r="AK262" s="137">
        <v>47.305</v>
      </c>
      <c r="AL262" s="137">
        <v>70</v>
      </c>
      <c r="AM262" s="137">
        <v>30</v>
      </c>
      <c r="AN262" s="137" t="s">
        <v>193</v>
      </c>
      <c r="AO262" s="137" t="s">
        <v>193</v>
      </c>
      <c r="AQ262" s="12">
        <f t="shared" si="36"/>
        <v>370.25100000000003</v>
      </c>
      <c r="AR262" s="12">
        <f t="shared" si="34"/>
        <v>417.55600000000004</v>
      </c>
      <c r="AT262" s="12">
        <f t="shared" si="37"/>
        <v>315.77999999999997</v>
      </c>
      <c r="AU262" s="12">
        <f t="shared" si="38"/>
        <v>43.185000000000002</v>
      </c>
      <c r="AV262" s="13">
        <f t="shared" si="39"/>
        <v>0.85968109666727321</v>
      </c>
      <c r="AY262" s="12">
        <f t="shared" si="40"/>
        <v>47.305</v>
      </c>
      <c r="AZ262" s="12">
        <f t="shared" si="41"/>
        <v>33.113499999999995</v>
      </c>
      <c r="BA262" s="12">
        <f t="shared" si="41"/>
        <v>14.1915</v>
      </c>
      <c r="BB262" s="12">
        <f t="shared" si="41"/>
        <v>0</v>
      </c>
      <c r="BC262" s="12">
        <f t="shared" si="35"/>
        <v>0</v>
      </c>
      <c r="BD262" s="12">
        <f t="shared" si="42"/>
        <v>7.1054273576010019E-15</v>
      </c>
    </row>
    <row r="263" spans="1:56" ht="15" customHeight="1" x14ac:dyDescent="0.25">
      <c r="A263" s="137" t="s">
        <v>552</v>
      </c>
      <c r="B263" s="137" t="s">
        <v>555</v>
      </c>
      <c r="C263" s="137">
        <v>2018</v>
      </c>
      <c r="D263" s="137" t="s">
        <v>193</v>
      </c>
      <c r="E263" s="137" t="s">
        <v>193</v>
      </c>
      <c r="F263" s="137" t="s">
        <v>193</v>
      </c>
      <c r="G263" s="137" t="s">
        <v>193</v>
      </c>
      <c r="H263" s="137" t="s">
        <v>193</v>
      </c>
      <c r="I263" s="137" t="s">
        <v>193</v>
      </c>
      <c r="J263" s="137" t="s">
        <v>193</v>
      </c>
      <c r="K263" s="137" t="s">
        <v>193</v>
      </c>
      <c r="L263" s="137" t="s">
        <v>193</v>
      </c>
      <c r="M263" s="137" t="s">
        <v>193</v>
      </c>
      <c r="N263" s="137" t="s">
        <v>193</v>
      </c>
      <c r="O263" s="137" t="s">
        <v>193</v>
      </c>
      <c r="P263" s="137" t="s">
        <v>193</v>
      </c>
      <c r="Q263" s="137" t="s">
        <v>193</v>
      </c>
      <c r="R263" s="137" t="s">
        <v>193</v>
      </c>
      <c r="S263" s="137" t="s">
        <v>193</v>
      </c>
      <c r="T263" s="137" t="s">
        <v>193</v>
      </c>
      <c r="U263" s="137" t="s">
        <v>193</v>
      </c>
      <c r="V263" s="137" t="s">
        <v>193</v>
      </c>
      <c r="W263" s="137" t="s">
        <v>193</v>
      </c>
      <c r="X263" s="137" t="s">
        <v>193</v>
      </c>
      <c r="Y263" s="137" t="s">
        <v>193</v>
      </c>
      <c r="Z263" s="137" t="s">
        <v>193</v>
      </c>
      <c r="AA263" s="137" t="s">
        <v>193</v>
      </c>
      <c r="AB263" s="137" t="s">
        <v>193</v>
      </c>
      <c r="AC263" s="137" t="s">
        <v>193</v>
      </c>
      <c r="AD263" s="137" t="s">
        <v>193</v>
      </c>
      <c r="AE263" s="137" t="s">
        <v>193</v>
      </c>
      <c r="AF263" s="137" t="s">
        <v>193</v>
      </c>
      <c r="AG263" s="137" t="s">
        <v>193</v>
      </c>
      <c r="AH263" s="137" t="s">
        <v>199</v>
      </c>
      <c r="AI263" s="137" t="s">
        <v>193</v>
      </c>
      <c r="AJ263" s="137" t="s">
        <v>193</v>
      </c>
      <c r="AK263" s="137" t="s">
        <v>193</v>
      </c>
      <c r="AL263" s="137" t="s">
        <v>193</v>
      </c>
      <c r="AM263" s="137" t="s">
        <v>193</v>
      </c>
      <c r="AN263" s="137" t="s">
        <v>193</v>
      </c>
      <c r="AO263" s="137" t="s">
        <v>193</v>
      </c>
      <c r="AQ263" s="12">
        <f t="shared" si="36"/>
        <v>0</v>
      </c>
      <c r="AR263" s="12">
        <f t="shared" si="34"/>
        <v>0</v>
      </c>
      <c r="AT263" s="12">
        <f t="shared" si="37"/>
        <v>0</v>
      </c>
      <c r="AU263" s="12">
        <f t="shared" si="38"/>
        <v>0</v>
      </c>
      <c r="AV263" s="13" t="str">
        <f t="shared" si="39"/>
        <v/>
      </c>
      <c r="AY263" s="12">
        <f t="shared" si="40"/>
        <v>0</v>
      </c>
      <c r="AZ263" s="12">
        <f t="shared" si="41"/>
        <v>0</v>
      </c>
      <c r="BA263" s="12">
        <f t="shared" si="41"/>
        <v>0</v>
      </c>
      <c r="BB263" s="12">
        <f t="shared" si="41"/>
        <v>0</v>
      </c>
      <c r="BC263" s="12">
        <f t="shared" si="35"/>
        <v>0</v>
      </c>
      <c r="BD263" s="12">
        <f t="shared" si="42"/>
        <v>0</v>
      </c>
    </row>
    <row r="264" spans="1:56" ht="15" customHeight="1" x14ac:dyDescent="0.25">
      <c r="A264" s="137" t="s">
        <v>552</v>
      </c>
      <c r="B264" s="137" t="s">
        <v>556</v>
      </c>
      <c r="C264" s="137">
        <v>2018</v>
      </c>
      <c r="D264" s="137" t="s">
        <v>193</v>
      </c>
      <c r="E264" s="137" t="s">
        <v>193</v>
      </c>
      <c r="F264" s="137" t="s">
        <v>193</v>
      </c>
      <c r="G264" s="137" t="s">
        <v>193</v>
      </c>
      <c r="H264" s="137" t="s">
        <v>193</v>
      </c>
      <c r="I264" s="137" t="s">
        <v>193</v>
      </c>
      <c r="J264" s="137" t="s">
        <v>193</v>
      </c>
      <c r="K264" s="137" t="s">
        <v>193</v>
      </c>
      <c r="L264" s="137" t="s">
        <v>193</v>
      </c>
      <c r="M264" s="137" t="s">
        <v>193</v>
      </c>
      <c r="N264" s="137" t="s">
        <v>193</v>
      </c>
      <c r="O264" s="137" t="s">
        <v>193</v>
      </c>
      <c r="P264" s="137" t="s">
        <v>193</v>
      </c>
      <c r="Q264" s="137" t="s">
        <v>193</v>
      </c>
      <c r="R264" s="137" t="s">
        <v>193</v>
      </c>
      <c r="S264" s="137" t="s">
        <v>193</v>
      </c>
      <c r="T264" s="137" t="s">
        <v>193</v>
      </c>
      <c r="U264" s="137" t="s">
        <v>193</v>
      </c>
      <c r="V264" s="137" t="s">
        <v>193</v>
      </c>
      <c r="W264" s="137" t="s">
        <v>193</v>
      </c>
      <c r="X264" s="137" t="s">
        <v>193</v>
      </c>
      <c r="Y264" s="137" t="s">
        <v>193</v>
      </c>
      <c r="Z264" s="137" t="s">
        <v>193</v>
      </c>
      <c r="AA264" s="137" t="s">
        <v>193</v>
      </c>
      <c r="AB264" s="137" t="s">
        <v>193</v>
      </c>
      <c r="AC264" s="137" t="s">
        <v>193</v>
      </c>
      <c r="AD264" s="137" t="s">
        <v>193</v>
      </c>
      <c r="AE264" s="137" t="s">
        <v>193</v>
      </c>
      <c r="AF264" s="137" t="s">
        <v>193</v>
      </c>
      <c r="AG264" s="137" t="s">
        <v>193</v>
      </c>
      <c r="AH264" s="137" t="s">
        <v>199</v>
      </c>
      <c r="AI264" s="137" t="s">
        <v>193</v>
      </c>
      <c r="AJ264" s="137" t="s">
        <v>193</v>
      </c>
      <c r="AK264" s="137" t="s">
        <v>193</v>
      </c>
      <c r="AL264" s="137" t="s">
        <v>193</v>
      </c>
      <c r="AM264" s="137" t="s">
        <v>193</v>
      </c>
      <c r="AN264" s="137" t="s">
        <v>193</v>
      </c>
      <c r="AO264" s="137" t="s">
        <v>193</v>
      </c>
      <c r="AQ264" s="12">
        <f t="shared" si="36"/>
        <v>0</v>
      </c>
      <c r="AR264" s="12">
        <f t="shared" si="34"/>
        <v>0</v>
      </c>
      <c r="AT264" s="12">
        <f t="shared" si="37"/>
        <v>0</v>
      </c>
      <c r="AU264" s="12">
        <f t="shared" si="38"/>
        <v>0</v>
      </c>
      <c r="AV264" s="13" t="str">
        <f t="shared" si="39"/>
        <v/>
      </c>
      <c r="AY264" s="12">
        <f t="shared" si="40"/>
        <v>0</v>
      </c>
      <c r="AZ264" s="12">
        <f t="shared" si="41"/>
        <v>0</v>
      </c>
      <c r="BA264" s="12">
        <f t="shared" si="41"/>
        <v>0</v>
      </c>
      <c r="BB264" s="12">
        <f t="shared" si="41"/>
        <v>0</v>
      </c>
      <c r="BC264" s="12">
        <f t="shared" si="35"/>
        <v>0</v>
      </c>
      <c r="BD264" s="12">
        <f t="shared" si="42"/>
        <v>0</v>
      </c>
    </row>
    <row r="265" spans="1:56" ht="15" customHeight="1" x14ac:dyDescent="0.25">
      <c r="A265" s="137" t="s">
        <v>552</v>
      </c>
      <c r="B265" s="137" t="s">
        <v>557</v>
      </c>
      <c r="C265" s="137">
        <v>2018</v>
      </c>
      <c r="D265" s="137" t="s">
        <v>193</v>
      </c>
      <c r="E265" s="137" t="s">
        <v>193</v>
      </c>
      <c r="F265" s="137" t="s">
        <v>193</v>
      </c>
      <c r="G265" s="137" t="s">
        <v>193</v>
      </c>
      <c r="H265" s="137" t="s">
        <v>193</v>
      </c>
      <c r="I265" s="137" t="s">
        <v>193</v>
      </c>
      <c r="J265" s="137" t="s">
        <v>193</v>
      </c>
      <c r="K265" s="137" t="s">
        <v>193</v>
      </c>
      <c r="L265" s="137" t="s">
        <v>193</v>
      </c>
      <c r="M265" s="137" t="s">
        <v>193</v>
      </c>
      <c r="N265" s="137" t="s">
        <v>193</v>
      </c>
      <c r="O265" s="137" t="s">
        <v>193</v>
      </c>
      <c r="P265" s="137" t="s">
        <v>193</v>
      </c>
      <c r="Q265" s="137" t="s">
        <v>193</v>
      </c>
      <c r="R265" s="137" t="s">
        <v>193</v>
      </c>
      <c r="S265" s="137" t="s">
        <v>193</v>
      </c>
      <c r="T265" s="137" t="s">
        <v>193</v>
      </c>
      <c r="U265" s="137" t="s">
        <v>193</v>
      </c>
      <c r="V265" s="137" t="s">
        <v>193</v>
      </c>
      <c r="W265" s="137" t="s">
        <v>193</v>
      </c>
      <c r="X265" s="137" t="s">
        <v>193</v>
      </c>
      <c r="Y265" s="137" t="s">
        <v>193</v>
      </c>
      <c r="Z265" s="137" t="s">
        <v>193</v>
      </c>
      <c r="AA265" s="137" t="s">
        <v>193</v>
      </c>
      <c r="AB265" s="137" t="s">
        <v>193</v>
      </c>
      <c r="AC265" s="137" t="s">
        <v>193</v>
      </c>
      <c r="AD265" s="137" t="s">
        <v>193</v>
      </c>
      <c r="AE265" s="137" t="s">
        <v>193</v>
      </c>
      <c r="AF265" s="137" t="s">
        <v>193</v>
      </c>
      <c r="AG265" s="137" t="s">
        <v>193</v>
      </c>
      <c r="AH265" s="137" t="s">
        <v>199</v>
      </c>
      <c r="AI265" s="137" t="s">
        <v>193</v>
      </c>
      <c r="AJ265" s="137" t="s">
        <v>193</v>
      </c>
      <c r="AK265" s="137" t="s">
        <v>193</v>
      </c>
      <c r="AL265" s="137" t="s">
        <v>193</v>
      </c>
      <c r="AM265" s="137" t="s">
        <v>193</v>
      </c>
      <c r="AN265" s="137" t="s">
        <v>193</v>
      </c>
      <c r="AO265" s="137" t="s">
        <v>193</v>
      </c>
      <c r="AQ265" s="12">
        <f t="shared" si="36"/>
        <v>0</v>
      </c>
      <c r="AR265" s="12">
        <f t="shared" si="34"/>
        <v>0</v>
      </c>
      <c r="AT265" s="12">
        <f t="shared" si="37"/>
        <v>0</v>
      </c>
      <c r="AU265" s="12">
        <f t="shared" si="38"/>
        <v>0</v>
      </c>
      <c r="AV265" s="13" t="str">
        <f t="shared" si="39"/>
        <v/>
      </c>
      <c r="AY265" s="12">
        <f t="shared" si="40"/>
        <v>0</v>
      </c>
      <c r="AZ265" s="12">
        <f t="shared" si="41"/>
        <v>0</v>
      </c>
      <c r="BA265" s="12">
        <f t="shared" si="41"/>
        <v>0</v>
      </c>
      <c r="BB265" s="12">
        <f t="shared" si="41"/>
        <v>0</v>
      </c>
      <c r="BC265" s="12">
        <f t="shared" si="35"/>
        <v>0</v>
      </c>
      <c r="BD265" s="12">
        <f t="shared" si="42"/>
        <v>0</v>
      </c>
    </row>
    <row r="266" spans="1:56" ht="15" customHeight="1" x14ac:dyDescent="0.25">
      <c r="A266" s="137" t="s">
        <v>558</v>
      </c>
      <c r="B266" s="137" t="s">
        <v>559</v>
      </c>
      <c r="C266" s="137">
        <v>2018</v>
      </c>
      <c r="D266" s="137" t="s">
        <v>193</v>
      </c>
      <c r="E266" s="137" t="s">
        <v>193</v>
      </c>
      <c r="F266" s="137" t="s">
        <v>193</v>
      </c>
      <c r="G266" s="137" t="s">
        <v>193</v>
      </c>
      <c r="H266" s="137" t="s">
        <v>193</v>
      </c>
      <c r="I266" s="137" t="s">
        <v>193</v>
      </c>
      <c r="J266" s="137" t="s">
        <v>193</v>
      </c>
      <c r="K266" s="137" t="s">
        <v>193</v>
      </c>
      <c r="L266" s="137" t="s">
        <v>193</v>
      </c>
      <c r="M266" s="137" t="s">
        <v>193</v>
      </c>
      <c r="N266" s="137" t="s">
        <v>193</v>
      </c>
      <c r="O266" s="137" t="s">
        <v>193</v>
      </c>
      <c r="P266" s="137" t="s">
        <v>193</v>
      </c>
      <c r="Q266" s="137" t="s">
        <v>193</v>
      </c>
      <c r="R266" s="137" t="s">
        <v>193</v>
      </c>
      <c r="S266" s="137" t="s">
        <v>193</v>
      </c>
      <c r="T266" s="137" t="s">
        <v>193</v>
      </c>
      <c r="U266" s="137" t="s">
        <v>193</v>
      </c>
      <c r="V266" s="137" t="s">
        <v>193</v>
      </c>
      <c r="W266" s="137" t="s">
        <v>193</v>
      </c>
      <c r="X266" s="137" t="s">
        <v>193</v>
      </c>
      <c r="Y266" s="137" t="s">
        <v>193</v>
      </c>
      <c r="Z266" s="137" t="s">
        <v>193</v>
      </c>
      <c r="AA266" s="137" t="s">
        <v>193</v>
      </c>
      <c r="AB266" s="137" t="s">
        <v>193</v>
      </c>
      <c r="AC266" s="137" t="s">
        <v>193</v>
      </c>
      <c r="AD266" s="137" t="s">
        <v>193</v>
      </c>
      <c r="AE266" s="137" t="s">
        <v>193</v>
      </c>
      <c r="AF266" s="137" t="s">
        <v>193</v>
      </c>
      <c r="AG266" s="137" t="s">
        <v>193</v>
      </c>
      <c r="AH266" s="137" t="s">
        <v>53</v>
      </c>
      <c r="AI266" s="137" t="s">
        <v>193</v>
      </c>
      <c r="AJ266" s="137" t="s">
        <v>193</v>
      </c>
      <c r="AK266" s="137" t="s">
        <v>193</v>
      </c>
      <c r="AL266" s="137" t="s">
        <v>193</v>
      </c>
      <c r="AM266" s="137" t="s">
        <v>193</v>
      </c>
      <c r="AN266" s="137" t="s">
        <v>193</v>
      </c>
      <c r="AO266" s="137" t="s">
        <v>193</v>
      </c>
      <c r="AQ266" s="12">
        <f t="shared" si="36"/>
        <v>0</v>
      </c>
      <c r="AR266" s="12">
        <f t="shared" si="34"/>
        <v>0</v>
      </c>
      <c r="AT266" s="12">
        <f t="shared" si="37"/>
        <v>0</v>
      </c>
      <c r="AU266" s="12">
        <f t="shared" si="38"/>
        <v>0</v>
      </c>
      <c r="AV266" s="13" t="str">
        <f t="shared" si="39"/>
        <v/>
      </c>
      <c r="AY266" s="12">
        <f t="shared" si="40"/>
        <v>0</v>
      </c>
      <c r="AZ266" s="12">
        <f t="shared" si="41"/>
        <v>0</v>
      </c>
      <c r="BA266" s="12">
        <f t="shared" si="41"/>
        <v>0</v>
      </c>
      <c r="BB266" s="12">
        <f t="shared" si="41"/>
        <v>0</v>
      </c>
      <c r="BC266" s="12">
        <f t="shared" si="35"/>
        <v>0</v>
      </c>
      <c r="BD266" s="12">
        <f t="shared" si="42"/>
        <v>0</v>
      </c>
    </row>
    <row r="267" spans="1:56" ht="15" customHeight="1" x14ac:dyDescent="0.25">
      <c r="A267" s="137" t="s">
        <v>558</v>
      </c>
      <c r="B267" s="137" t="s">
        <v>560</v>
      </c>
      <c r="C267" s="137">
        <v>2018</v>
      </c>
      <c r="D267" s="137" t="s">
        <v>193</v>
      </c>
      <c r="E267" s="137" t="s">
        <v>193</v>
      </c>
      <c r="F267" s="137" t="s">
        <v>193</v>
      </c>
      <c r="G267" s="137" t="s">
        <v>193</v>
      </c>
      <c r="H267" s="137" t="s">
        <v>193</v>
      </c>
      <c r="I267" s="137" t="s">
        <v>193</v>
      </c>
      <c r="J267" s="137" t="s">
        <v>193</v>
      </c>
      <c r="K267" s="137" t="s">
        <v>193</v>
      </c>
      <c r="L267" s="137" t="s">
        <v>193</v>
      </c>
      <c r="M267" s="137" t="s">
        <v>193</v>
      </c>
      <c r="N267" s="137" t="s">
        <v>193</v>
      </c>
      <c r="O267" s="137" t="s">
        <v>193</v>
      </c>
      <c r="P267" s="137" t="s">
        <v>193</v>
      </c>
      <c r="Q267" s="137" t="s">
        <v>193</v>
      </c>
      <c r="R267" s="137" t="s">
        <v>193</v>
      </c>
      <c r="S267" s="137" t="s">
        <v>193</v>
      </c>
      <c r="T267" s="137" t="s">
        <v>193</v>
      </c>
      <c r="U267" s="137" t="s">
        <v>193</v>
      </c>
      <c r="V267" s="137" t="s">
        <v>193</v>
      </c>
      <c r="W267" s="137" t="s">
        <v>193</v>
      </c>
      <c r="X267" s="137" t="s">
        <v>193</v>
      </c>
      <c r="Y267" s="137" t="s">
        <v>193</v>
      </c>
      <c r="Z267" s="137" t="s">
        <v>193</v>
      </c>
      <c r="AA267" s="137" t="s">
        <v>193</v>
      </c>
      <c r="AB267" s="137" t="s">
        <v>193</v>
      </c>
      <c r="AC267" s="137" t="s">
        <v>193</v>
      </c>
      <c r="AD267" s="137" t="s">
        <v>193</v>
      </c>
      <c r="AE267" s="137" t="s">
        <v>193</v>
      </c>
      <c r="AF267" s="137" t="s">
        <v>193</v>
      </c>
      <c r="AG267" s="137" t="s">
        <v>193</v>
      </c>
      <c r="AH267" s="137" t="s">
        <v>53</v>
      </c>
      <c r="AI267" s="137" t="s">
        <v>193</v>
      </c>
      <c r="AJ267" s="137" t="s">
        <v>193</v>
      </c>
      <c r="AK267" s="137" t="s">
        <v>193</v>
      </c>
      <c r="AL267" s="137" t="s">
        <v>193</v>
      </c>
      <c r="AM267" s="137" t="s">
        <v>193</v>
      </c>
      <c r="AN267" s="137" t="s">
        <v>193</v>
      </c>
      <c r="AO267" s="137" t="s">
        <v>193</v>
      </c>
      <c r="AQ267" s="12">
        <f t="shared" si="36"/>
        <v>0</v>
      </c>
      <c r="AR267" s="12">
        <f t="shared" si="34"/>
        <v>0</v>
      </c>
      <c r="AT267" s="12">
        <f t="shared" si="37"/>
        <v>0</v>
      </c>
      <c r="AU267" s="12">
        <f t="shared" si="38"/>
        <v>0</v>
      </c>
      <c r="AV267" s="13" t="str">
        <f t="shared" si="39"/>
        <v/>
      </c>
      <c r="AY267" s="12">
        <f t="shared" si="40"/>
        <v>0</v>
      </c>
      <c r="AZ267" s="12">
        <f t="shared" si="41"/>
        <v>0</v>
      </c>
      <c r="BA267" s="12">
        <f t="shared" si="41"/>
        <v>0</v>
      </c>
      <c r="BB267" s="12">
        <f t="shared" si="41"/>
        <v>0</v>
      </c>
      <c r="BC267" s="12">
        <f t="shared" si="35"/>
        <v>0</v>
      </c>
      <c r="BD267" s="12">
        <f t="shared" si="42"/>
        <v>0</v>
      </c>
    </row>
    <row r="268" spans="1:56" ht="15" customHeight="1" x14ac:dyDescent="0.25">
      <c r="A268" s="137" t="s">
        <v>561</v>
      </c>
      <c r="B268" s="137" t="s">
        <v>562</v>
      </c>
      <c r="C268" s="137">
        <v>2018</v>
      </c>
      <c r="D268" s="137" t="s">
        <v>193</v>
      </c>
      <c r="E268" s="137" t="s">
        <v>193</v>
      </c>
      <c r="F268" s="137" t="s">
        <v>193</v>
      </c>
      <c r="G268" s="137" t="s">
        <v>193</v>
      </c>
      <c r="H268" s="137" t="s">
        <v>193</v>
      </c>
      <c r="I268" s="137" t="s">
        <v>193</v>
      </c>
      <c r="J268" s="137" t="s">
        <v>193</v>
      </c>
      <c r="K268" s="137" t="s">
        <v>193</v>
      </c>
      <c r="L268" s="137" t="s">
        <v>193</v>
      </c>
      <c r="M268" s="137" t="s">
        <v>193</v>
      </c>
      <c r="N268" s="137" t="s">
        <v>193</v>
      </c>
      <c r="O268" s="137" t="s">
        <v>193</v>
      </c>
      <c r="P268" s="137" t="s">
        <v>193</v>
      </c>
      <c r="Q268" s="137" t="s">
        <v>193</v>
      </c>
      <c r="R268" s="137" t="s">
        <v>193</v>
      </c>
      <c r="S268" s="137" t="s">
        <v>193</v>
      </c>
      <c r="T268" s="137" t="s">
        <v>193</v>
      </c>
      <c r="U268" s="137" t="s">
        <v>193</v>
      </c>
      <c r="V268" s="137" t="s">
        <v>193</v>
      </c>
      <c r="W268" s="137" t="s">
        <v>193</v>
      </c>
      <c r="X268" s="137" t="s">
        <v>193</v>
      </c>
      <c r="Y268" s="137" t="s">
        <v>193</v>
      </c>
      <c r="Z268" s="137" t="s">
        <v>193</v>
      </c>
      <c r="AA268" s="137" t="s">
        <v>193</v>
      </c>
      <c r="AB268" s="137" t="s">
        <v>193</v>
      </c>
      <c r="AC268" s="137" t="s">
        <v>193</v>
      </c>
      <c r="AD268" s="137" t="s">
        <v>193</v>
      </c>
      <c r="AE268" s="137" t="s">
        <v>193</v>
      </c>
      <c r="AF268" s="137" t="s">
        <v>193</v>
      </c>
      <c r="AG268" s="137" t="s">
        <v>193</v>
      </c>
      <c r="AH268" s="137" t="s">
        <v>53</v>
      </c>
      <c r="AI268" s="137" t="s">
        <v>193</v>
      </c>
      <c r="AJ268" s="137" t="s">
        <v>193</v>
      </c>
      <c r="AK268" s="137" t="s">
        <v>193</v>
      </c>
      <c r="AL268" s="137" t="s">
        <v>193</v>
      </c>
      <c r="AM268" s="137" t="s">
        <v>193</v>
      </c>
      <c r="AN268" s="137" t="s">
        <v>193</v>
      </c>
      <c r="AO268" s="137" t="s">
        <v>193</v>
      </c>
      <c r="AQ268" s="12">
        <f t="shared" si="36"/>
        <v>0</v>
      </c>
      <c r="AR268" s="12">
        <f t="shared" si="34"/>
        <v>0</v>
      </c>
      <c r="AT268" s="12">
        <f t="shared" si="37"/>
        <v>0</v>
      </c>
      <c r="AU268" s="12">
        <f t="shared" si="38"/>
        <v>0</v>
      </c>
      <c r="AV268" s="13" t="str">
        <f t="shared" si="39"/>
        <v/>
      </c>
      <c r="AY268" s="12">
        <f t="shared" si="40"/>
        <v>0</v>
      </c>
      <c r="AZ268" s="12">
        <f t="shared" si="41"/>
        <v>0</v>
      </c>
      <c r="BA268" s="12">
        <f t="shared" si="41"/>
        <v>0</v>
      </c>
      <c r="BB268" s="12">
        <f t="shared" si="41"/>
        <v>0</v>
      </c>
      <c r="BC268" s="12">
        <f t="shared" si="35"/>
        <v>0</v>
      </c>
      <c r="BD268" s="12">
        <f t="shared" si="42"/>
        <v>0</v>
      </c>
    </row>
    <row r="269" spans="1:56" ht="15" customHeight="1" x14ac:dyDescent="0.25">
      <c r="A269" s="137" t="s">
        <v>563</v>
      </c>
      <c r="B269" s="137" t="s">
        <v>564</v>
      </c>
      <c r="C269" s="137">
        <v>2018</v>
      </c>
      <c r="D269" s="137" t="s">
        <v>53</v>
      </c>
      <c r="E269" s="137" t="s">
        <v>53</v>
      </c>
      <c r="F269" s="137" t="s">
        <v>53</v>
      </c>
      <c r="G269" s="137" t="s">
        <v>53</v>
      </c>
      <c r="H269" s="137" t="s">
        <v>53</v>
      </c>
      <c r="I269" s="137" t="s">
        <v>53</v>
      </c>
      <c r="J269" s="137" t="s">
        <v>53</v>
      </c>
      <c r="K269" s="137" t="s">
        <v>53</v>
      </c>
      <c r="L269" s="137" t="s">
        <v>53</v>
      </c>
      <c r="M269" s="137" t="s">
        <v>53</v>
      </c>
      <c r="N269" s="137" t="s">
        <v>53</v>
      </c>
      <c r="O269" s="137" t="s">
        <v>53</v>
      </c>
      <c r="P269" s="137" t="s">
        <v>53</v>
      </c>
      <c r="Q269" s="137" t="s">
        <v>53</v>
      </c>
      <c r="R269" s="137" t="s">
        <v>53</v>
      </c>
      <c r="S269" s="137" t="s">
        <v>53</v>
      </c>
      <c r="T269" s="137" t="s">
        <v>53</v>
      </c>
      <c r="U269" s="137" t="s">
        <v>53</v>
      </c>
      <c r="V269" s="137" t="s">
        <v>53</v>
      </c>
      <c r="W269" s="137" t="s">
        <v>53</v>
      </c>
      <c r="X269" s="137" t="s">
        <v>53</v>
      </c>
      <c r="Y269" s="137" t="s">
        <v>53</v>
      </c>
      <c r="Z269" s="137" t="s">
        <v>53</v>
      </c>
      <c r="AA269" s="137" t="s">
        <v>53</v>
      </c>
      <c r="AB269" s="137" t="s">
        <v>53</v>
      </c>
      <c r="AC269" s="137" t="s">
        <v>53</v>
      </c>
      <c r="AD269" s="137" t="s">
        <v>53</v>
      </c>
      <c r="AE269" s="137" t="s">
        <v>53</v>
      </c>
      <c r="AF269" s="137" t="s">
        <v>53</v>
      </c>
      <c r="AG269" s="137" t="s">
        <v>53</v>
      </c>
      <c r="AH269" s="137" t="s">
        <v>53</v>
      </c>
      <c r="AI269" s="137" t="s">
        <v>53</v>
      </c>
      <c r="AJ269" s="137" t="s">
        <v>53</v>
      </c>
      <c r="AK269" s="137" t="s">
        <v>53</v>
      </c>
      <c r="AL269" s="137" t="s">
        <v>53</v>
      </c>
      <c r="AM269" s="137" t="s">
        <v>53</v>
      </c>
      <c r="AN269" s="137" t="s">
        <v>53</v>
      </c>
      <c r="AO269" s="137" t="s">
        <v>53</v>
      </c>
      <c r="AQ269" s="12">
        <f t="shared" si="36"/>
        <v>0</v>
      </c>
      <c r="AR269" s="12">
        <f t="shared" si="34"/>
        <v>0</v>
      </c>
      <c r="AT269" s="12">
        <f t="shared" si="37"/>
        <v>0</v>
      </c>
      <c r="AU269" s="12">
        <f t="shared" si="38"/>
        <v>0</v>
      </c>
      <c r="AV269" s="13" t="str">
        <f t="shared" si="39"/>
        <v/>
      </c>
      <c r="AY269" s="12">
        <f t="shared" si="40"/>
        <v>0</v>
      </c>
      <c r="AZ269" s="12">
        <f t="shared" si="41"/>
        <v>0</v>
      </c>
      <c r="BA269" s="12">
        <f t="shared" si="41"/>
        <v>0</v>
      </c>
      <c r="BB269" s="12">
        <f t="shared" si="41"/>
        <v>0</v>
      </c>
      <c r="BC269" s="12">
        <f t="shared" si="35"/>
        <v>0</v>
      </c>
      <c r="BD269" s="12">
        <f t="shared" si="42"/>
        <v>0</v>
      </c>
    </row>
    <row r="270" spans="1:56" ht="15" customHeight="1" x14ac:dyDescent="0.25">
      <c r="A270" s="137" t="s">
        <v>565</v>
      </c>
      <c r="B270" s="137" t="s">
        <v>566</v>
      </c>
      <c r="C270" s="137">
        <v>2018</v>
      </c>
      <c r="D270" s="137" t="s">
        <v>193</v>
      </c>
      <c r="E270" s="137" t="s">
        <v>193</v>
      </c>
      <c r="F270" s="137" t="s">
        <v>193</v>
      </c>
      <c r="G270" s="137" t="s">
        <v>193</v>
      </c>
      <c r="H270" s="137" t="s">
        <v>193</v>
      </c>
      <c r="I270" s="137" t="s">
        <v>193</v>
      </c>
      <c r="J270" s="137" t="s">
        <v>193</v>
      </c>
      <c r="K270" s="137" t="s">
        <v>193</v>
      </c>
      <c r="L270" s="137" t="s">
        <v>193</v>
      </c>
      <c r="M270" s="137" t="s">
        <v>193</v>
      </c>
      <c r="N270" s="137" t="s">
        <v>193</v>
      </c>
      <c r="O270" s="137" t="s">
        <v>193</v>
      </c>
      <c r="P270" s="137" t="s">
        <v>193</v>
      </c>
      <c r="Q270" s="137" t="s">
        <v>193</v>
      </c>
      <c r="R270" s="137" t="s">
        <v>193</v>
      </c>
      <c r="S270" s="137" t="s">
        <v>193</v>
      </c>
      <c r="T270" s="137" t="s">
        <v>193</v>
      </c>
      <c r="U270" s="137" t="s">
        <v>193</v>
      </c>
      <c r="V270" s="137" t="s">
        <v>193</v>
      </c>
      <c r="W270" s="137" t="s">
        <v>193</v>
      </c>
      <c r="X270" s="137" t="s">
        <v>193</v>
      </c>
      <c r="Y270" s="137" t="s">
        <v>193</v>
      </c>
      <c r="Z270" s="137" t="s">
        <v>193</v>
      </c>
      <c r="AA270" s="137" t="s">
        <v>193</v>
      </c>
      <c r="AB270" s="137" t="s">
        <v>193</v>
      </c>
      <c r="AC270" s="137" t="s">
        <v>193</v>
      </c>
      <c r="AD270" s="137" t="s">
        <v>193</v>
      </c>
      <c r="AE270" s="137" t="s">
        <v>193</v>
      </c>
      <c r="AF270" s="137" t="s">
        <v>193</v>
      </c>
      <c r="AG270" s="137" t="s">
        <v>193</v>
      </c>
      <c r="AH270" s="137" t="s">
        <v>199</v>
      </c>
      <c r="AI270" s="137" t="s">
        <v>193</v>
      </c>
      <c r="AJ270" s="137" t="s">
        <v>193</v>
      </c>
      <c r="AK270" s="137" t="s">
        <v>193</v>
      </c>
      <c r="AL270" s="137" t="s">
        <v>193</v>
      </c>
      <c r="AM270" s="137" t="s">
        <v>193</v>
      </c>
      <c r="AN270" s="137" t="s">
        <v>193</v>
      </c>
      <c r="AO270" s="137" t="s">
        <v>193</v>
      </c>
      <c r="AQ270" s="12">
        <f t="shared" si="36"/>
        <v>0</v>
      </c>
      <c r="AR270" s="12">
        <f t="shared" si="34"/>
        <v>0</v>
      </c>
      <c r="AT270" s="12">
        <f t="shared" si="37"/>
        <v>0</v>
      </c>
      <c r="AU270" s="12">
        <f t="shared" si="38"/>
        <v>0</v>
      </c>
      <c r="AV270" s="13" t="str">
        <f t="shared" si="39"/>
        <v/>
      </c>
      <c r="AY270" s="12">
        <f t="shared" si="40"/>
        <v>0</v>
      </c>
      <c r="AZ270" s="12">
        <f t="shared" si="41"/>
        <v>0</v>
      </c>
      <c r="BA270" s="12">
        <f t="shared" si="41"/>
        <v>0</v>
      </c>
      <c r="BB270" s="12">
        <f t="shared" si="41"/>
        <v>0</v>
      </c>
      <c r="BC270" s="12">
        <f t="shared" si="35"/>
        <v>0</v>
      </c>
      <c r="BD270" s="12">
        <f t="shared" si="42"/>
        <v>0</v>
      </c>
    </row>
    <row r="271" spans="1:56" ht="15" customHeight="1" x14ac:dyDescent="0.25">
      <c r="A271" s="137" t="s">
        <v>565</v>
      </c>
      <c r="B271" s="137" t="s">
        <v>567</v>
      </c>
      <c r="C271" s="137">
        <v>2018</v>
      </c>
      <c r="D271" s="137" t="s">
        <v>193</v>
      </c>
      <c r="E271" s="137" t="s">
        <v>193</v>
      </c>
      <c r="F271" s="137" t="s">
        <v>193</v>
      </c>
      <c r="G271" s="137" t="s">
        <v>193</v>
      </c>
      <c r="H271" s="137" t="s">
        <v>193</v>
      </c>
      <c r="I271" s="137" t="s">
        <v>193</v>
      </c>
      <c r="J271" s="137" t="s">
        <v>193</v>
      </c>
      <c r="K271" s="137" t="s">
        <v>193</v>
      </c>
      <c r="L271" s="137" t="s">
        <v>193</v>
      </c>
      <c r="M271" s="137" t="s">
        <v>193</v>
      </c>
      <c r="N271" s="137" t="s">
        <v>193</v>
      </c>
      <c r="O271" s="137" t="s">
        <v>193</v>
      </c>
      <c r="P271" s="137" t="s">
        <v>193</v>
      </c>
      <c r="Q271" s="137" t="s">
        <v>193</v>
      </c>
      <c r="R271" s="137" t="s">
        <v>193</v>
      </c>
      <c r="S271" s="137" t="s">
        <v>193</v>
      </c>
      <c r="T271" s="137" t="s">
        <v>193</v>
      </c>
      <c r="U271" s="137" t="s">
        <v>193</v>
      </c>
      <c r="V271" s="137" t="s">
        <v>193</v>
      </c>
      <c r="W271" s="137" t="s">
        <v>193</v>
      </c>
      <c r="X271" s="137" t="s">
        <v>193</v>
      </c>
      <c r="Y271" s="137" t="s">
        <v>193</v>
      </c>
      <c r="Z271" s="137" t="s">
        <v>193</v>
      </c>
      <c r="AA271" s="137" t="s">
        <v>193</v>
      </c>
      <c r="AB271" s="137" t="s">
        <v>193</v>
      </c>
      <c r="AC271" s="137" t="s">
        <v>193</v>
      </c>
      <c r="AD271" s="137" t="s">
        <v>193</v>
      </c>
      <c r="AE271" s="137" t="s">
        <v>193</v>
      </c>
      <c r="AF271" s="137" t="s">
        <v>193</v>
      </c>
      <c r="AG271" s="137" t="s">
        <v>193</v>
      </c>
      <c r="AH271" s="137" t="s">
        <v>199</v>
      </c>
      <c r="AI271" s="137" t="s">
        <v>193</v>
      </c>
      <c r="AJ271" s="137" t="s">
        <v>193</v>
      </c>
      <c r="AK271" s="137" t="s">
        <v>193</v>
      </c>
      <c r="AL271" s="137" t="s">
        <v>193</v>
      </c>
      <c r="AM271" s="137" t="s">
        <v>193</v>
      </c>
      <c r="AN271" s="137" t="s">
        <v>193</v>
      </c>
      <c r="AO271" s="137" t="s">
        <v>193</v>
      </c>
      <c r="AQ271" s="12">
        <f t="shared" si="36"/>
        <v>0</v>
      </c>
      <c r="AR271" s="12">
        <f t="shared" si="34"/>
        <v>0</v>
      </c>
      <c r="AT271" s="12">
        <f t="shared" si="37"/>
        <v>0</v>
      </c>
      <c r="AU271" s="12">
        <f t="shared" si="38"/>
        <v>0</v>
      </c>
      <c r="AV271" s="13" t="str">
        <f t="shared" si="39"/>
        <v/>
      </c>
      <c r="AY271" s="12">
        <f t="shared" si="40"/>
        <v>0</v>
      </c>
      <c r="AZ271" s="12">
        <f t="shared" si="41"/>
        <v>0</v>
      </c>
      <c r="BA271" s="12">
        <f t="shared" si="41"/>
        <v>0</v>
      </c>
      <c r="BB271" s="12">
        <f t="shared" si="41"/>
        <v>0</v>
      </c>
      <c r="BC271" s="12">
        <f t="shared" si="35"/>
        <v>0</v>
      </c>
      <c r="BD271" s="12">
        <f t="shared" si="42"/>
        <v>0</v>
      </c>
    </row>
    <row r="272" spans="1:56" ht="15" customHeight="1" x14ac:dyDescent="0.25">
      <c r="A272" s="137" t="s">
        <v>565</v>
      </c>
      <c r="B272" s="137" t="s">
        <v>568</v>
      </c>
      <c r="C272" s="137">
        <v>2018</v>
      </c>
      <c r="D272" s="137" t="s">
        <v>193</v>
      </c>
      <c r="E272" s="137" t="s">
        <v>193</v>
      </c>
      <c r="F272" s="137" t="s">
        <v>193</v>
      </c>
      <c r="G272" s="137" t="s">
        <v>193</v>
      </c>
      <c r="H272" s="137" t="s">
        <v>193</v>
      </c>
      <c r="I272" s="137" t="s">
        <v>193</v>
      </c>
      <c r="J272" s="137" t="s">
        <v>193</v>
      </c>
      <c r="K272" s="137" t="s">
        <v>193</v>
      </c>
      <c r="L272" s="137" t="s">
        <v>193</v>
      </c>
      <c r="M272" s="137" t="s">
        <v>193</v>
      </c>
      <c r="N272" s="137" t="s">
        <v>193</v>
      </c>
      <c r="O272" s="137" t="s">
        <v>193</v>
      </c>
      <c r="P272" s="137" t="s">
        <v>193</v>
      </c>
      <c r="Q272" s="137" t="s">
        <v>193</v>
      </c>
      <c r="R272" s="137" t="s">
        <v>193</v>
      </c>
      <c r="S272" s="137" t="s">
        <v>193</v>
      </c>
      <c r="T272" s="137" t="s">
        <v>193</v>
      </c>
      <c r="U272" s="137" t="s">
        <v>193</v>
      </c>
      <c r="V272" s="137" t="s">
        <v>193</v>
      </c>
      <c r="W272" s="137" t="s">
        <v>193</v>
      </c>
      <c r="X272" s="137" t="s">
        <v>193</v>
      </c>
      <c r="Y272" s="137" t="s">
        <v>193</v>
      </c>
      <c r="Z272" s="137" t="s">
        <v>193</v>
      </c>
      <c r="AA272" s="137" t="s">
        <v>193</v>
      </c>
      <c r="AB272" s="137" t="s">
        <v>193</v>
      </c>
      <c r="AC272" s="137" t="s">
        <v>193</v>
      </c>
      <c r="AD272" s="137" t="s">
        <v>193</v>
      </c>
      <c r="AE272" s="137" t="s">
        <v>193</v>
      </c>
      <c r="AF272" s="137" t="s">
        <v>193</v>
      </c>
      <c r="AG272" s="137" t="s">
        <v>193</v>
      </c>
      <c r="AH272" s="137" t="s">
        <v>199</v>
      </c>
      <c r="AI272" s="137" t="s">
        <v>193</v>
      </c>
      <c r="AJ272" s="137" t="s">
        <v>193</v>
      </c>
      <c r="AK272" s="137" t="s">
        <v>193</v>
      </c>
      <c r="AL272" s="137" t="s">
        <v>193</v>
      </c>
      <c r="AM272" s="137" t="s">
        <v>193</v>
      </c>
      <c r="AN272" s="137" t="s">
        <v>193</v>
      </c>
      <c r="AO272" s="137" t="s">
        <v>193</v>
      </c>
      <c r="AQ272" s="12">
        <f t="shared" si="36"/>
        <v>0</v>
      </c>
      <c r="AR272" s="12">
        <f t="shared" si="34"/>
        <v>0</v>
      </c>
      <c r="AT272" s="12">
        <f t="shared" si="37"/>
        <v>0</v>
      </c>
      <c r="AU272" s="12">
        <f t="shared" si="38"/>
        <v>0</v>
      </c>
      <c r="AV272" s="13" t="str">
        <f t="shared" si="39"/>
        <v/>
      </c>
      <c r="AY272" s="12">
        <f t="shared" si="40"/>
        <v>0</v>
      </c>
      <c r="AZ272" s="12">
        <f t="shared" si="41"/>
        <v>0</v>
      </c>
      <c r="BA272" s="12">
        <f t="shared" si="41"/>
        <v>0</v>
      </c>
      <c r="BB272" s="12">
        <f t="shared" si="41"/>
        <v>0</v>
      </c>
      <c r="BC272" s="12">
        <f t="shared" si="35"/>
        <v>0</v>
      </c>
      <c r="BD272" s="12">
        <f t="shared" si="42"/>
        <v>0</v>
      </c>
    </row>
    <row r="273" spans="1:56" ht="15" customHeight="1" x14ac:dyDescent="0.25">
      <c r="A273" s="137" t="s">
        <v>565</v>
      </c>
      <c r="B273" s="137" t="s">
        <v>569</v>
      </c>
      <c r="C273" s="137">
        <v>2018</v>
      </c>
      <c r="D273" s="137" t="s">
        <v>193</v>
      </c>
      <c r="E273" s="137" t="s">
        <v>193</v>
      </c>
      <c r="F273" s="137" t="s">
        <v>193</v>
      </c>
      <c r="G273" s="137" t="s">
        <v>193</v>
      </c>
      <c r="H273" s="137" t="s">
        <v>193</v>
      </c>
      <c r="I273" s="137" t="s">
        <v>193</v>
      </c>
      <c r="J273" s="137" t="s">
        <v>193</v>
      </c>
      <c r="K273" s="137" t="s">
        <v>193</v>
      </c>
      <c r="L273" s="137" t="s">
        <v>193</v>
      </c>
      <c r="M273" s="137" t="s">
        <v>193</v>
      </c>
      <c r="N273" s="137" t="s">
        <v>193</v>
      </c>
      <c r="O273" s="137" t="s">
        <v>193</v>
      </c>
      <c r="P273" s="137" t="s">
        <v>193</v>
      </c>
      <c r="Q273" s="137" t="s">
        <v>193</v>
      </c>
      <c r="R273" s="137" t="s">
        <v>193</v>
      </c>
      <c r="S273" s="137" t="s">
        <v>193</v>
      </c>
      <c r="T273" s="137" t="s">
        <v>193</v>
      </c>
      <c r="U273" s="137" t="s">
        <v>193</v>
      </c>
      <c r="V273" s="137" t="s">
        <v>193</v>
      </c>
      <c r="W273" s="137" t="s">
        <v>193</v>
      </c>
      <c r="X273" s="137" t="s">
        <v>193</v>
      </c>
      <c r="Y273" s="137" t="s">
        <v>193</v>
      </c>
      <c r="Z273" s="137" t="s">
        <v>193</v>
      </c>
      <c r="AA273" s="137" t="s">
        <v>193</v>
      </c>
      <c r="AB273" s="137" t="s">
        <v>193</v>
      </c>
      <c r="AC273" s="137" t="s">
        <v>193</v>
      </c>
      <c r="AD273" s="137" t="s">
        <v>193</v>
      </c>
      <c r="AE273" s="137" t="s">
        <v>193</v>
      </c>
      <c r="AF273" s="137" t="s">
        <v>193</v>
      </c>
      <c r="AG273" s="137" t="s">
        <v>193</v>
      </c>
      <c r="AH273" s="137" t="s">
        <v>199</v>
      </c>
      <c r="AI273" s="137" t="s">
        <v>193</v>
      </c>
      <c r="AJ273" s="137" t="s">
        <v>193</v>
      </c>
      <c r="AK273" s="137" t="s">
        <v>193</v>
      </c>
      <c r="AL273" s="137" t="s">
        <v>193</v>
      </c>
      <c r="AM273" s="137" t="s">
        <v>193</v>
      </c>
      <c r="AN273" s="137" t="s">
        <v>193</v>
      </c>
      <c r="AO273" s="137" t="s">
        <v>193</v>
      </c>
      <c r="AQ273" s="12">
        <f t="shared" si="36"/>
        <v>0</v>
      </c>
      <c r="AR273" s="12">
        <f t="shared" si="34"/>
        <v>0</v>
      </c>
      <c r="AT273" s="12">
        <f t="shared" si="37"/>
        <v>0</v>
      </c>
      <c r="AU273" s="12">
        <f t="shared" si="38"/>
        <v>0</v>
      </c>
      <c r="AV273" s="13" t="str">
        <f t="shared" si="39"/>
        <v/>
      </c>
      <c r="AY273" s="12">
        <f t="shared" si="40"/>
        <v>0</v>
      </c>
      <c r="AZ273" s="12">
        <f t="shared" si="41"/>
        <v>0</v>
      </c>
      <c r="BA273" s="12">
        <f t="shared" si="41"/>
        <v>0</v>
      </c>
      <c r="BB273" s="12">
        <f t="shared" si="41"/>
        <v>0</v>
      </c>
      <c r="BC273" s="12">
        <f t="shared" si="35"/>
        <v>0</v>
      </c>
      <c r="BD273" s="12">
        <f t="shared" si="42"/>
        <v>0</v>
      </c>
    </row>
    <row r="274" spans="1:56" ht="15" customHeight="1" x14ac:dyDescent="0.25">
      <c r="A274" s="137" t="s">
        <v>570</v>
      </c>
      <c r="B274" s="137" t="s">
        <v>571</v>
      </c>
      <c r="C274" s="137">
        <v>2018</v>
      </c>
      <c r="D274" s="137" t="s">
        <v>193</v>
      </c>
      <c r="E274" s="137" t="s">
        <v>193</v>
      </c>
      <c r="F274" s="137" t="s">
        <v>193</v>
      </c>
      <c r="G274" s="137" t="s">
        <v>193</v>
      </c>
      <c r="H274" s="137" t="s">
        <v>193</v>
      </c>
      <c r="I274" s="137" t="s">
        <v>193</v>
      </c>
      <c r="J274" s="137" t="s">
        <v>193</v>
      </c>
      <c r="K274" s="137" t="s">
        <v>193</v>
      </c>
      <c r="L274" s="137" t="s">
        <v>193</v>
      </c>
      <c r="M274" s="137" t="s">
        <v>193</v>
      </c>
      <c r="N274" s="137" t="s">
        <v>193</v>
      </c>
      <c r="O274" s="137" t="s">
        <v>193</v>
      </c>
      <c r="P274" s="137" t="s">
        <v>193</v>
      </c>
      <c r="Q274" s="137" t="s">
        <v>193</v>
      </c>
      <c r="R274" s="137" t="s">
        <v>193</v>
      </c>
      <c r="S274" s="137" t="s">
        <v>193</v>
      </c>
      <c r="T274" s="137" t="s">
        <v>193</v>
      </c>
      <c r="U274" s="137" t="s">
        <v>193</v>
      </c>
      <c r="V274" s="137" t="s">
        <v>193</v>
      </c>
      <c r="W274" s="137" t="s">
        <v>193</v>
      </c>
      <c r="X274" s="137" t="s">
        <v>193</v>
      </c>
      <c r="Y274" s="137" t="s">
        <v>193</v>
      </c>
      <c r="Z274" s="137" t="s">
        <v>193</v>
      </c>
      <c r="AA274" s="137" t="s">
        <v>193</v>
      </c>
      <c r="AB274" s="137" t="s">
        <v>193</v>
      </c>
      <c r="AC274" s="137" t="s">
        <v>193</v>
      </c>
      <c r="AD274" s="137" t="s">
        <v>193</v>
      </c>
      <c r="AE274" s="137" t="s">
        <v>193</v>
      </c>
      <c r="AF274" s="137" t="s">
        <v>193</v>
      </c>
      <c r="AG274" s="137" t="s">
        <v>193</v>
      </c>
      <c r="AH274" s="137" t="s">
        <v>199</v>
      </c>
      <c r="AI274" s="137" t="s">
        <v>193</v>
      </c>
      <c r="AJ274" s="137" t="s">
        <v>193</v>
      </c>
      <c r="AK274" s="137" t="s">
        <v>193</v>
      </c>
      <c r="AL274" s="137" t="s">
        <v>193</v>
      </c>
      <c r="AM274" s="137" t="s">
        <v>193</v>
      </c>
      <c r="AN274" s="137" t="s">
        <v>193</v>
      </c>
      <c r="AO274" s="137" t="s">
        <v>193</v>
      </c>
      <c r="AQ274" s="12">
        <f t="shared" si="36"/>
        <v>0</v>
      </c>
      <c r="AR274" s="12">
        <f t="shared" si="34"/>
        <v>0</v>
      </c>
      <c r="AT274" s="12">
        <f t="shared" si="37"/>
        <v>0</v>
      </c>
      <c r="AU274" s="12">
        <f t="shared" si="38"/>
        <v>0</v>
      </c>
      <c r="AV274" s="13" t="str">
        <f t="shared" si="39"/>
        <v/>
      </c>
      <c r="AY274" s="12">
        <f t="shared" si="40"/>
        <v>0</v>
      </c>
      <c r="AZ274" s="12">
        <f t="shared" si="41"/>
        <v>0</v>
      </c>
      <c r="BA274" s="12">
        <f t="shared" si="41"/>
        <v>0</v>
      </c>
      <c r="BB274" s="12">
        <f t="shared" si="41"/>
        <v>0</v>
      </c>
      <c r="BC274" s="12">
        <f t="shared" si="35"/>
        <v>0</v>
      </c>
      <c r="BD274" s="12">
        <f t="shared" si="42"/>
        <v>0</v>
      </c>
    </row>
    <row r="275" spans="1:56" ht="15" customHeight="1" x14ac:dyDescent="0.25">
      <c r="A275" s="137" t="s">
        <v>570</v>
      </c>
      <c r="B275" s="137" t="s">
        <v>572</v>
      </c>
      <c r="C275" s="137">
        <v>2018</v>
      </c>
      <c r="D275" s="137" t="s">
        <v>193</v>
      </c>
      <c r="E275" s="137" t="s">
        <v>193</v>
      </c>
      <c r="F275" s="137" t="s">
        <v>193</v>
      </c>
      <c r="G275" s="137" t="s">
        <v>193</v>
      </c>
      <c r="H275" s="137" t="s">
        <v>193</v>
      </c>
      <c r="I275" s="137" t="s">
        <v>193</v>
      </c>
      <c r="J275" s="137" t="s">
        <v>193</v>
      </c>
      <c r="K275" s="137" t="s">
        <v>193</v>
      </c>
      <c r="L275" s="137" t="s">
        <v>193</v>
      </c>
      <c r="M275" s="137" t="s">
        <v>193</v>
      </c>
      <c r="N275" s="137" t="s">
        <v>193</v>
      </c>
      <c r="O275" s="137" t="s">
        <v>193</v>
      </c>
      <c r="P275" s="137" t="s">
        <v>193</v>
      </c>
      <c r="Q275" s="137" t="s">
        <v>193</v>
      </c>
      <c r="R275" s="137" t="s">
        <v>193</v>
      </c>
      <c r="S275" s="137" t="s">
        <v>193</v>
      </c>
      <c r="T275" s="137" t="s">
        <v>193</v>
      </c>
      <c r="U275" s="137" t="s">
        <v>193</v>
      </c>
      <c r="V275" s="137" t="s">
        <v>193</v>
      </c>
      <c r="W275" s="137" t="s">
        <v>193</v>
      </c>
      <c r="X275" s="137" t="s">
        <v>193</v>
      </c>
      <c r="Y275" s="137" t="s">
        <v>193</v>
      </c>
      <c r="Z275" s="137" t="s">
        <v>193</v>
      </c>
      <c r="AA275" s="137" t="s">
        <v>193</v>
      </c>
      <c r="AB275" s="137" t="s">
        <v>193</v>
      </c>
      <c r="AC275" s="137" t="s">
        <v>193</v>
      </c>
      <c r="AD275" s="137" t="s">
        <v>193</v>
      </c>
      <c r="AE275" s="137" t="s">
        <v>193</v>
      </c>
      <c r="AF275" s="137" t="s">
        <v>193</v>
      </c>
      <c r="AG275" s="137" t="s">
        <v>193</v>
      </c>
      <c r="AH275" s="137" t="s">
        <v>199</v>
      </c>
      <c r="AI275" s="137" t="s">
        <v>193</v>
      </c>
      <c r="AJ275" s="137" t="s">
        <v>193</v>
      </c>
      <c r="AK275" s="137" t="s">
        <v>193</v>
      </c>
      <c r="AL275" s="137" t="s">
        <v>193</v>
      </c>
      <c r="AM275" s="137" t="s">
        <v>193</v>
      </c>
      <c r="AN275" s="137" t="s">
        <v>193</v>
      </c>
      <c r="AO275" s="137" t="s">
        <v>193</v>
      </c>
      <c r="AQ275" s="12">
        <f t="shared" si="36"/>
        <v>0</v>
      </c>
      <c r="AR275" s="12">
        <f t="shared" si="34"/>
        <v>0</v>
      </c>
      <c r="AT275" s="12">
        <f t="shared" si="37"/>
        <v>0</v>
      </c>
      <c r="AU275" s="12">
        <f t="shared" si="38"/>
        <v>0</v>
      </c>
      <c r="AV275" s="13" t="str">
        <f t="shared" si="39"/>
        <v/>
      </c>
      <c r="AY275" s="12">
        <f t="shared" si="40"/>
        <v>0</v>
      </c>
      <c r="AZ275" s="12">
        <f t="shared" si="41"/>
        <v>0</v>
      </c>
      <c r="BA275" s="12">
        <f t="shared" si="41"/>
        <v>0</v>
      </c>
      <c r="BB275" s="12">
        <f t="shared" si="41"/>
        <v>0</v>
      </c>
      <c r="BC275" s="12">
        <f t="shared" si="35"/>
        <v>0</v>
      </c>
      <c r="BD275" s="12">
        <f t="shared" si="42"/>
        <v>0</v>
      </c>
    </row>
    <row r="276" spans="1:56" ht="15" customHeight="1" x14ac:dyDescent="0.25">
      <c r="A276" s="137" t="s">
        <v>573</v>
      </c>
      <c r="B276" s="137" t="s">
        <v>574</v>
      </c>
      <c r="C276" s="137">
        <v>2018</v>
      </c>
      <c r="D276" s="137" t="s">
        <v>53</v>
      </c>
      <c r="E276" s="137" t="s">
        <v>53</v>
      </c>
      <c r="F276" s="137" t="s">
        <v>53</v>
      </c>
      <c r="G276" s="137" t="s">
        <v>53</v>
      </c>
      <c r="H276" s="137" t="s">
        <v>53</v>
      </c>
      <c r="I276" s="137" t="s">
        <v>53</v>
      </c>
      <c r="J276" s="137" t="s">
        <v>53</v>
      </c>
      <c r="K276" s="137" t="s">
        <v>53</v>
      </c>
      <c r="L276" s="137" t="s">
        <v>53</v>
      </c>
      <c r="M276" s="137" t="s">
        <v>53</v>
      </c>
      <c r="N276" s="137" t="s">
        <v>53</v>
      </c>
      <c r="O276" s="137" t="s">
        <v>53</v>
      </c>
      <c r="P276" s="137" t="s">
        <v>53</v>
      </c>
      <c r="Q276" s="137" t="s">
        <v>53</v>
      </c>
      <c r="R276" s="137" t="s">
        <v>53</v>
      </c>
      <c r="S276" s="137" t="s">
        <v>53</v>
      </c>
      <c r="T276" s="137" t="s">
        <v>53</v>
      </c>
      <c r="U276" s="137" t="s">
        <v>53</v>
      </c>
      <c r="V276" s="137" t="s">
        <v>53</v>
      </c>
      <c r="W276" s="137" t="s">
        <v>53</v>
      </c>
      <c r="X276" s="137" t="s">
        <v>53</v>
      </c>
      <c r="Y276" s="137" t="s">
        <v>53</v>
      </c>
      <c r="Z276" s="137" t="s">
        <v>53</v>
      </c>
      <c r="AA276" s="137" t="s">
        <v>53</v>
      </c>
      <c r="AB276" s="137" t="s">
        <v>53</v>
      </c>
      <c r="AC276" s="137" t="s">
        <v>53</v>
      </c>
      <c r="AD276" s="137" t="s">
        <v>53</v>
      </c>
      <c r="AE276" s="137" t="s">
        <v>53</v>
      </c>
      <c r="AF276" s="137" t="s">
        <v>53</v>
      </c>
      <c r="AG276" s="137" t="s">
        <v>53</v>
      </c>
      <c r="AH276" s="137" t="s">
        <v>53</v>
      </c>
      <c r="AI276" s="137" t="s">
        <v>53</v>
      </c>
      <c r="AJ276" s="137" t="s">
        <v>53</v>
      </c>
      <c r="AK276" s="137" t="s">
        <v>53</v>
      </c>
      <c r="AL276" s="137" t="s">
        <v>53</v>
      </c>
      <c r="AM276" s="137" t="s">
        <v>53</v>
      </c>
      <c r="AN276" s="137" t="s">
        <v>53</v>
      </c>
      <c r="AO276" s="137" t="s">
        <v>53</v>
      </c>
      <c r="AQ276" s="12">
        <f t="shared" si="36"/>
        <v>0</v>
      </c>
      <c r="AR276" s="12">
        <f t="shared" si="34"/>
        <v>0</v>
      </c>
      <c r="AT276" s="12">
        <f t="shared" si="37"/>
        <v>0</v>
      </c>
      <c r="AU276" s="12">
        <f t="shared" si="38"/>
        <v>0</v>
      </c>
      <c r="AV276" s="13" t="str">
        <f t="shared" si="39"/>
        <v/>
      </c>
      <c r="AY276" s="12">
        <f t="shared" si="40"/>
        <v>0</v>
      </c>
      <c r="AZ276" s="12">
        <f t="shared" si="41"/>
        <v>0</v>
      </c>
      <c r="BA276" s="12">
        <f t="shared" si="41"/>
        <v>0</v>
      </c>
      <c r="BB276" s="12">
        <f t="shared" si="41"/>
        <v>0</v>
      </c>
      <c r="BC276" s="12">
        <f t="shared" si="35"/>
        <v>0</v>
      </c>
      <c r="BD276" s="12">
        <f t="shared" si="42"/>
        <v>0</v>
      </c>
    </row>
    <row r="277" spans="1:56" ht="15" customHeight="1" x14ac:dyDescent="0.25">
      <c r="A277" s="137" t="s">
        <v>573</v>
      </c>
      <c r="B277" s="137" t="s">
        <v>575</v>
      </c>
      <c r="C277" s="137">
        <v>2018</v>
      </c>
      <c r="D277" s="137" t="s">
        <v>53</v>
      </c>
      <c r="E277" s="137" t="s">
        <v>53</v>
      </c>
      <c r="F277" s="137" t="s">
        <v>53</v>
      </c>
      <c r="G277" s="137" t="s">
        <v>53</v>
      </c>
      <c r="H277" s="137" t="s">
        <v>53</v>
      </c>
      <c r="I277" s="137" t="s">
        <v>53</v>
      </c>
      <c r="J277" s="137" t="s">
        <v>53</v>
      </c>
      <c r="K277" s="137" t="s">
        <v>53</v>
      </c>
      <c r="L277" s="137" t="s">
        <v>53</v>
      </c>
      <c r="M277" s="137" t="s">
        <v>53</v>
      </c>
      <c r="N277" s="137" t="s">
        <v>53</v>
      </c>
      <c r="O277" s="137" t="s">
        <v>53</v>
      </c>
      <c r="P277" s="137" t="s">
        <v>53</v>
      </c>
      <c r="Q277" s="137" t="s">
        <v>53</v>
      </c>
      <c r="R277" s="137" t="s">
        <v>53</v>
      </c>
      <c r="S277" s="137" t="s">
        <v>53</v>
      </c>
      <c r="T277" s="137" t="s">
        <v>53</v>
      </c>
      <c r="U277" s="137" t="s">
        <v>53</v>
      </c>
      <c r="V277" s="137" t="s">
        <v>53</v>
      </c>
      <c r="W277" s="137" t="s">
        <v>53</v>
      </c>
      <c r="X277" s="137" t="s">
        <v>53</v>
      </c>
      <c r="Y277" s="137" t="s">
        <v>53</v>
      </c>
      <c r="Z277" s="137" t="s">
        <v>53</v>
      </c>
      <c r="AA277" s="137" t="s">
        <v>53</v>
      </c>
      <c r="AB277" s="137" t="s">
        <v>53</v>
      </c>
      <c r="AC277" s="137" t="s">
        <v>53</v>
      </c>
      <c r="AD277" s="137" t="s">
        <v>53</v>
      </c>
      <c r="AE277" s="137" t="s">
        <v>53</v>
      </c>
      <c r="AF277" s="137" t="s">
        <v>53</v>
      </c>
      <c r="AG277" s="137" t="s">
        <v>53</v>
      </c>
      <c r="AH277" s="137" t="s">
        <v>53</v>
      </c>
      <c r="AI277" s="137" t="s">
        <v>53</v>
      </c>
      <c r="AJ277" s="137" t="s">
        <v>53</v>
      </c>
      <c r="AK277" s="137" t="s">
        <v>53</v>
      </c>
      <c r="AL277" s="137" t="s">
        <v>53</v>
      </c>
      <c r="AM277" s="137" t="s">
        <v>53</v>
      </c>
      <c r="AN277" s="137" t="s">
        <v>53</v>
      </c>
      <c r="AO277" s="137" t="s">
        <v>53</v>
      </c>
      <c r="AQ277" s="12">
        <f t="shared" si="36"/>
        <v>0</v>
      </c>
      <c r="AR277" s="12">
        <f t="shared" si="34"/>
        <v>0</v>
      </c>
      <c r="AT277" s="12">
        <f t="shared" si="37"/>
        <v>0</v>
      </c>
      <c r="AU277" s="12">
        <f t="shared" si="38"/>
        <v>0</v>
      </c>
      <c r="AV277" s="13" t="str">
        <f t="shared" si="39"/>
        <v/>
      </c>
      <c r="AY277" s="12">
        <f t="shared" si="40"/>
        <v>0</v>
      </c>
      <c r="AZ277" s="12">
        <f t="shared" si="41"/>
        <v>0</v>
      </c>
      <c r="BA277" s="12">
        <f t="shared" si="41"/>
        <v>0</v>
      </c>
      <c r="BB277" s="12">
        <f t="shared" si="41"/>
        <v>0</v>
      </c>
      <c r="BC277" s="12">
        <f t="shared" si="35"/>
        <v>0</v>
      </c>
      <c r="BD277" s="12">
        <f t="shared" si="42"/>
        <v>0</v>
      </c>
    </row>
    <row r="278" spans="1:56" ht="15" customHeight="1" x14ac:dyDescent="0.25">
      <c r="A278" s="137" t="s">
        <v>573</v>
      </c>
      <c r="B278" s="137" t="s">
        <v>576</v>
      </c>
      <c r="C278" s="137">
        <v>2018</v>
      </c>
      <c r="D278" s="137" t="s">
        <v>53</v>
      </c>
      <c r="E278" s="137" t="s">
        <v>53</v>
      </c>
      <c r="F278" s="137" t="s">
        <v>53</v>
      </c>
      <c r="G278" s="137" t="s">
        <v>53</v>
      </c>
      <c r="H278" s="137" t="s">
        <v>53</v>
      </c>
      <c r="I278" s="137" t="s">
        <v>53</v>
      </c>
      <c r="J278" s="137" t="s">
        <v>53</v>
      </c>
      <c r="K278" s="137" t="s">
        <v>53</v>
      </c>
      <c r="L278" s="137" t="s">
        <v>53</v>
      </c>
      <c r="M278" s="137" t="s">
        <v>53</v>
      </c>
      <c r="N278" s="137" t="s">
        <v>53</v>
      </c>
      <c r="O278" s="137" t="s">
        <v>53</v>
      </c>
      <c r="P278" s="137" t="s">
        <v>53</v>
      </c>
      <c r="Q278" s="137" t="s">
        <v>53</v>
      </c>
      <c r="R278" s="137" t="s">
        <v>53</v>
      </c>
      <c r="S278" s="137" t="s">
        <v>53</v>
      </c>
      <c r="T278" s="137" t="s">
        <v>53</v>
      </c>
      <c r="U278" s="137" t="s">
        <v>53</v>
      </c>
      <c r="V278" s="137" t="s">
        <v>53</v>
      </c>
      <c r="W278" s="137" t="s">
        <v>53</v>
      </c>
      <c r="X278" s="137" t="s">
        <v>53</v>
      </c>
      <c r="Y278" s="137" t="s">
        <v>53</v>
      </c>
      <c r="Z278" s="137" t="s">
        <v>53</v>
      </c>
      <c r="AA278" s="137" t="s">
        <v>53</v>
      </c>
      <c r="AB278" s="137" t="s">
        <v>53</v>
      </c>
      <c r="AC278" s="137" t="s">
        <v>53</v>
      </c>
      <c r="AD278" s="137" t="s">
        <v>53</v>
      </c>
      <c r="AE278" s="137" t="s">
        <v>53</v>
      </c>
      <c r="AF278" s="137" t="s">
        <v>53</v>
      </c>
      <c r="AG278" s="137" t="s">
        <v>53</v>
      </c>
      <c r="AH278" s="137" t="s">
        <v>53</v>
      </c>
      <c r="AI278" s="137" t="s">
        <v>53</v>
      </c>
      <c r="AJ278" s="137" t="s">
        <v>53</v>
      </c>
      <c r="AK278" s="137" t="s">
        <v>53</v>
      </c>
      <c r="AL278" s="137" t="s">
        <v>53</v>
      </c>
      <c r="AM278" s="137" t="s">
        <v>53</v>
      </c>
      <c r="AN278" s="137" t="s">
        <v>53</v>
      </c>
      <c r="AO278" s="137" t="s">
        <v>53</v>
      </c>
      <c r="AQ278" s="12">
        <f t="shared" si="36"/>
        <v>0</v>
      </c>
      <c r="AR278" s="12">
        <f t="shared" si="34"/>
        <v>0</v>
      </c>
      <c r="AT278" s="12">
        <f t="shared" si="37"/>
        <v>0</v>
      </c>
      <c r="AU278" s="12">
        <f t="shared" si="38"/>
        <v>0</v>
      </c>
      <c r="AV278" s="13" t="str">
        <f t="shared" si="39"/>
        <v/>
      </c>
      <c r="AY278" s="12">
        <f t="shared" si="40"/>
        <v>0</v>
      </c>
      <c r="AZ278" s="12">
        <f t="shared" si="41"/>
        <v>0</v>
      </c>
      <c r="BA278" s="12">
        <f t="shared" si="41"/>
        <v>0</v>
      </c>
      <c r="BB278" s="12">
        <f t="shared" si="41"/>
        <v>0</v>
      </c>
      <c r="BC278" s="12">
        <f t="shared" si="35"/>
        <v>0</v>
      </c>
      <c r="BD278" s="12">
        <f t="shared" si="42"/>
        <v>0</v>
      </c>
    </row>
    <row r="279" spans="1:56" ht="15" customHeight="1" x14ac:dyDescent="0.25">
      <c r="A279" s="137" t="s">
        <v>573</v>
      </c>
      <c r="B279" s="137" t="s">
        <v>116</v>
      </c>
      <c r="C279" s="137">
        <v>2018</v>
      </c>
      <c r="D279" s="137">
        <v>3413.61</v>
      </c>
      <c r="E279" s="137">
        <v>1595.8779999999999</v>
      </c>
      <c r="F279" s="137">
        <v>1.587</v>
      </c>
      <c r="G279" s="137" t="s">
        <v>748</v>
      </c>
      <c r="H279" s="137">
        <v>2.5775000000000001</v>
      </c>
      <c r="I279" s="137">
        <v>6925.9784710900003</v>
      </c>
      <c r="J279" s="137">
        <v>1365.41981555556</v>
      </c>
      <c r="K279" s="137">
        <v>151.97835563550899</v>
      </c>
      <c r="L279" s="137">
        <v>0</v>
      </c>
      <c r="M279" s="137">
        <v>127.330552132883</v>
      </c>
      <c r="N279" s="137">
        <v>0</v>
      </c>
      <c r="O279" s="137">
        <v>0</v>
      </c>
      <c r="P279" s="137">
        <v>0</v>
      </c>
      <c r="Q279" s="137">
        <v>2176.0719519999998</v>
      </c>
      <c r="R279" s="137">
        <v>0</v>
      </c>
      <c r="S279" s="137">
        <v>0</v>
      </c>
      <c r="T279" s="137">
        <v>0</v>
      </c>
      <c r="U279" s="137">
        <v>0</v>
      </c>
      <c r="V279" s="137">
        <v>44.059574470000001</v>
      </c>
      <c r="W279" s="137" t="s">
        <v>193</v>
      </c>
      <c r="X279" s="137">
        <v>243.46222130000001</v>
      </c>
      <c r="Y279" s="137">
        <v>0</v>
      </c>
      <c r="Z279" s="137">
        <v>0</v>
      </c>
      <c r="AA279" s="137">
        <v>0</v>
      </c>
      <c r="AB279" s="137">
        <v>0</v>
      </c>
      <c r="AC279" s="137">
        <v>0</v>
      </c>
      <c r="AD279" s="137">
        <v>0</v>
      </c>
      <c r="AE279" s="137">
        <v>0</v>
      </c>
      <c r="AF279" s="137">
        <v>1803.729</v>
      </c>
      <c r="AG279" s="137" t="s">
        <v>193</v>
      </c>
      <c r="AH279" s="137" t="s">
        <v>327</v>
      </c>
      <c r="AI279" s="137" t="s">
        <v>193</v>
      </c>
      <c r="AJ279" s="137">
        <v>0</v>
      </c>
      <c r="AK279" s="137">
        <v>1013.927</v>
      </c>
      <c r="AL279" s="137">
        <v>49.09</v>
      </c>
      <c r="AM279" s="137">
        <v>35.49</v>
      </c>
      <c r="AN279" s="137">
        <v>15.42</v>
      </c>
      <c r="AO279" s="137" t="s">
        <v>193</v>
      </c>
      <c r="AQ279" s="12">
        <f t="shared" si="36"/>
        <v>5912.0514710939515</v>
      </c>
      <c r="AR279" s="12">
        <f t="shared" si="34"/>
        <v>6925.9784710939512</v>
      </c>
      <c r="AT279" s="12">
        <f t="shared" si="37"/>
        <v>3413.61</v>
      </c>
      <c r="AU279" s="12">
        <f t="shared" si="38"/>
        <v>1595.8779999999999</v>
      </c>
      <c r="AV279" s="13">
        <f t="shared" si="39"/>
        <v>0.72328957141686823</v>
      </c>
      <c r="AY279" s="12">
        <f t="shared" si="40"/>
        <v>1013.927</v>
      </c>
      <c r="AZ279" s="12">
        <f t="shared" si="41"/>
        <v>497.73676430000006</v>
      </c>
      <c r="BA279" s="12">
        <f t="shared" si="41"/>
        <v>359.84269230000001</v>
      </c>
      <c r="BB279" s="12">
        <f t="shared" si="41"/>
        <v>156.34754340000001</v>
      </c>
      <c r="BC279" s="12">
        <f t="shared" si="35"/>
        <v>0</v>
      </c>
      <c r="BD279" s="12">
        <f t="shared" si="42"/>
        <v>0</v>
      </c>
    </row>
    <row r="280" spans="1:56" ht="15" customHeight="1" x14ac:dyDescent="0.25">
      <c r="A280" s="137" t="s">
        <v>573</v>
      </c>
      <c r="B280" s="137" t="s">
        <v>577</v>
      </c>
      <c r="C280" s="137">
        <v>2018</v>
      </c>
      <c r="D280" s="137" t="s">
        <v>53</v>
      </c>
      <c r="E280" s="137" t="s">
        <v>53</v>
      </c>
      <c r="F280" s="137" t="s">
        <v>53</v>
      </c>
      <c r="G280" s="137" t="s">
        <v>53</v>
      </c>
      <c r="H280" s="137" t="s">
        <v>53</v>
      </c>
      <c r="I280" s="137" t="s">
        <v>53</v>
      </c>
      <c r="J280" s="137" t="s">
        <v>53</v>
      </c>
      <c r="K280" s="137" t="s">
        <v>53</v>
      </c>
      <c r="L280" s="137" t="s">
        <v>53</v>
      </c>
      <c r="M280" s="137" t="s">
        <v>53</v>
      </c>
      <c r="N280" s="137" t="s">
        <v>53</v>
      </c>
      <c r="O280" s="137" t="s">
        <v>53</v>
      </c>
      <c r="P280" s="137" t="s">
        <v>53</v>
      </c>
      <c r="Q280" s="137" t="s">
        <v>53</v>
      </c>
      <c r="R280" s="137" t="s">
        <v>53</v>
      </c>
      <c r="S280" s="137" t="s">
        <v>53</v>
      </c>
      <c r="T280" s="137" t="s">
        <v>53</v>
      </c>
      <c r="U280" s="137" t="s">
        <v>53</v>
      </c>
      <c r="V280" s="137" t="s">
        <v>53</v>
      </c>
      <c r="W280" s="137" t="s">
        <v>53</v>
      </c>
      <c r="X280" s="137" t="s">
        <v>53</v>
      </c>
      <c r="Y280" s="137" t="s">
        <v>53</v>
      </c>
      <c r="Z280" s="137" t="s">
        <v>53</v>
      </c>
      <c r="AA280" s="137" t="s">
        <v>53</v>
      </c>
      <c r="AB280" s="137" t="s">
        <v>53</v>
      </c>
      <c r="AC280" s="137" t="s">
        <v>53</v>
      </c>
      <c r="AD280" s="137" t="s">
        <v>53</v>
      </c>
      <c r="AE280" s="137" t="s">
        <v>53</v>
      </c>
      <c r="AF280" s="137" t="s">
        <v>53</v>
      </c>
      <c r="AG280" s="137" t="s">
        <v>53</v>
      </c>
      <c r="AH280" s="137" t="s">
        <v>53</v>
      </c>
      <c r="AI280" s="137" t="s">
        <v>53</v>
      </c>
      <c r="AJ280" s="137" t="s">
        <v>53</v>
      </c>
      <c r="AK280" s="137" t="s">
        <v>53</v>
      </c>
      <c r="AL280" s="137" t="s">
        <v>53</v>
      </c>
      <c r="AM280" s="137" t="s">
        <v>53</v>
      </c>
      <c r="AN280" s="137" t="s">
        <v>53</v>
      </c>
      <c r="AO280" s="137" t="s">
        <v>53</v>
      </c>
      <c r="AQ280" s="12">
        <f t="shared" si="36"/>
        <v>0</v>
      </c>
      <c r="AR280" s="12">
        <f t="shared" si="34"/>
        <v>0</v>
      </c>
      <c r="AT280" s="12">
        <f t="shared" si="37"/>
        <v>0</v>
      </c>
      <c r="AU280" s="12">
        <f t="shared" si="38"/>
        <v>0</v>
      </c>
      <c r="AV280" s="13" t="str">
        <f t="shared" si="39"/>
        <v/>
      </c>
      <c r="AY280" s="12">
        <f t="shared" si="40"/>
        <v>0</v>
      </c>
      <c r="AZ280" s="12">
        <f t="shared" si="41"/>
        <v>0</v>
      </c>
      <c r="BA280" s="12">
        <f t="shared" si="41"/>
        <v>0</v>
      </c>
      <c r="BB280" s="12">
        <f t="shared" si="41"/>
        <v>0</v>
      </c>
      <c r="BC280" s="12">
        <f t="shared" si="35"/>
        <v>0</v>
      </c>
      <c r="BD280" s="12">
        <f t="shared" si="42"/>
        <v>0</v>
      </c>
    </row>
    <row r="281" spans="1:56" ht="15" customHeight="1" x14ac:dyDescent="0.25">
      <c r="A281" s="137" t="s">
        <v>573</v>
      </c>
      <c r="B281" s="137" t="s">
        <v>578</v>
      </c>
      <c r="C281" s="137">
        <v>2018</v>
      </c>
      <c r="D281" s="137" t="s">
        <v>53</v>
      </c>
      <c r="E281" s="137" t="s">
        <v>53</v>
      </c>
      <c r="F281" s="137" t="s">
        <v>53</v>
      </c>
      <c r="G281" s="137" t="s">
        <v>53</v>
      </c>
      <c r="H281" s="137" t="s">
        <v>53</v>
      </c>
      <c r="I281" s="137" t="s">
        <v>53</v>
      </c>
      <c r="J281" s="137" t="s">
        <v>53</v>
      </c>
      <c r="K281" s="137" t="s">
        <v>53</v>
      </c>
      <c r="L281" s="137" t="s">
        <v>53</v>
      </c>
      <c r="M281" s="137" t="s">
        <v>53</v>
      </c>
      <c r="N281" s="137" t="s">
        <v>53</v>
      </c>
      <c r="O281" s="137" t="s">
        <v>53</v>
      </c>
      <c r="P281" s="137" t="s">
        <v>53</v>
      </c>
      <c r="Q281" s="137" t="s">
        <v>53</v>
      </c>
      <c r="R281" s="137" t="s">
        <v>53</v>
      </c>
      <c r="S281" s="137" t="s">
        <v>53</v>
      </c>
      <c r="T281" s="137" t="s">
        <v>53</v>
      </c>
      <c r="U281" s="137" t="s">
        <v>53</v>
      </c>
      <c r="V281" s="137" t="s">
        <v>53</v>
      </c>
      <c r="W281" s="137" t="s">
        <v>53</v>
      </c>
      <c r="X281" s="137" t="s">
        <v>53</v>
      </c>
      <c r="Y281" s="137" t="s">
        <v>53</v>
      </c>
      <c r="Z281" s="137" t="s">
        <v>53</v>
      </c>
      <c r="AA281" s="137" t="s">
        <v>53</v>
      </c>
      <c r="AB281" s="137" t="s">
        <v>53</v>
      </c>
      <c r="AC281" s="137" t="s">
        <v>53</v>
      </c>
      <c r="AD281" s="137" t="s">
        <v>53</v>
      </c>
      <c r="AE281" s="137" t="s">
        <v>53</v>
      </c>
      <c r="AF281" s="137" t="s">
        <v>53</v>
      </c>
      <c r="AG281" s="137" t="s">
        <v>53</v>
      </c>
      <c r="AH281" s="137" t="s">
        <v>53</v>
      </c>
      <c r="AI281" s="137" t="s">
        <v>53</v>
      </c>
      <c r="AJ281" s="137" t="s">
        <v>53</v>
      </c>
      <c r="AK281" s="137" t="s">
        <v>53</v>
      </c>
      <c r="AL281" s="137" t="s">
        <v>53</v>
      </c>
      <c r="AM281" s="137" t="s">
        <v>53</v>
      </c>
      <c r="AN281" s="137" t="s">
        <v>53</v>
      </c>
      <c r="AO281" s="137" t="s">
        <v>53</v>
      </c>
      <c r="AQ281" s="12">
        <f t="shared" si="36"/>
        <v>0</v>
      </c>
      <c r="AR281" s="12">
        <f t="shared" si="34"/>
        <v>0</v>
      </c>
      <c r="AT281" s="12">
        <f t="shared" si="37"/>
        <v>0</v>
      </c>
      <c r="AU281" s="12">
        <f t="shared" si="38"/>
        <v>0</v>
      </c>
      <c r="AV281" s="13" t="str">
        <f t="shared" si="39"/>
        <v/>
      </c>
      <c r="AY281" s="12">
        <f t="shared" si="40"/>
        <v>0</v>
      </c>
      <c r="AZ281" s="12">
        <f t="shared" si="41"/>
        <v>0</v>
      </c>
      <c r="BA281" s="12">
        <f t="shared" si="41"/>
        <v>0</v>
      </c>
      <c r="BB281" s="12">
        <f t="shared" si="41"/>
        <v>0</v>
      </c>
      <c r="BC281" s="12">
        <f t="shared" si="35"/>
        <v>0</v>
      </c>
      <c r="BD281" s="12">
        <f t="shared" si="42"/>
        <v>0</v>
      </c>
    </row>
    <row r="282" spans="1:56" ht="15" customHeight="1" x14ac:dyDescent="0.25">
      <c r="A282" s="137" t="s">
        <v>573</v>
      </c>
      <c r="B282" s="137" t="s">
        <v>579</v>
      </c>
      <c r="C282" s="137">
        <v>2018</v>
      </c>
      <c r="D282" s="137" t="s">
        <v>53</v>
      </c>
      <c r="E282" s="137" t="s">
        <v>53</v>
      </c>
      <c r="F282" s="137" t="s">
        <v>53</v>
      </c>
      <c r="G282" s="137" t="s">
        <v>53</v>
      </c>
      <c r="H282" s="137" t="s">
        <v>53</v>
      </c>
      <c r="I282" s="137" t="s">
        <v>53</v>
      </c>
      <c r="J282" s="137" t="s">
        <v>53</v>
      </c>
      <c r="K282" s="137" t="s">
        <v>53</v>
      </c>
      <c r="L282" s="137" t="s">
        <v>53</v>
      </c>
      <c r="M282" s="137" t="s">
        <v>53</v>
      </c>
      <c r="N282" s="137" t="s">
        <v>53</v>
      </c>
      <c r="O282" s="137" t="s">
        <v>53</v>
      </c>
      <c r="P282" s="137" t="s">
        <v>53</v>
      </c>
      <c r="Q282" s="137" t="s">
        <v>53</v>
      </c>
      <c r="R282" s="137" t="s">
        <v>53</v>
      </c>
      <c r="S282" s="137" t="s">
        <v>53</v>
      </c>
      <c r="T282" s="137" t="s">
        <v>53</v>
      </c>
      <c r="U282" s="137" t="s">
        <v>53</v>
      </c>
      <c r="V282" s="137" t="s">
        <v>53</v>
      </c>
      <c r="W282" s="137" t="s">
        <v>53</v>
      </c>
      <c r="X282" s="137" t="s">
        <v>53</v>
      </c>
      <c r="Y282" s="137" t="s">
        <v>53</v>
      </c>
      <c r="Z282" s="137" t="s">
        <v>53</v>
      </c>
      <c r="AA282" s="137" t="s">
        <v>53</v>
      </c>
      <c r="AB282" s="137" t="s">
        <v>53</v>
      </c>
      <c r="AC282" s="137" t="s">
        <v>53</v>
      </c>
      <c r="AD282" s="137" t="s">
        <v>53</v>
      </c>
      <c r="AE282" s="137" t="s">
        <v>53</v>
      </c>
      <c r="AF282" s="137" t="s">
        <v>53</v>
      </c>
      <c r="AG282" s="137" t="s">
        <v>53</v>
      </c>
      <c r="AH282" s="137" t="s">
        <v>53</v>
      </c>
      <c r="AI282" s="137" t="s">
        <v>53</v>
      </c>
      <c r="AJ282" s="137" t="s">
        <v>53</v>
      </c>
      <c r="AK282" s="137" t="s">
        <v>53</v>
      </c>
      <c r="AL282" s="137" t="s">
        <v>53</v>
      </c>
      <c r="AM282" s="137" t="s">
        <v>53</v>
      </c>
      <c r="AN282" s="137" t="s">
        <v>53</v>
      </c>
      <c r="AO282" s="137" t="s">
        <v>53</v>
      </c>
      <c r="AQ282" s="12">
        <f t="shared" si="36"/>
        <v>0</v>
      </c>
      <c r="AR282" s="12">
        <f t="shared" si="34"/>
        <v>0</v>
      </c>
      <c r="AT282" s="12">
        <f t="shared" si="37"/>
        <v>0</v>
      </c>
      <c r="AU282" s="12">
        <f t="shared" si="38"/>
        <v>0</v>
      </c>
      <c r="AV282" s="13" t="str">
        <f t="shared" si="39"/>
        <v/>
      </c>
      <c r="AY282" s="12">
        <f t="shared" si="40"/>
        <v>0</v>
      </c>
      <c r="AZ282" s="12">
        <f t="shared" si="41"/>
        <v>0</v>
      </c>
      <c r="BA282" s="12">
        <f t="shared" si="41"/>
        <v>0</v>
      </c>
      <c r="BB282" s="12">
        <f t="shared" si="41"/>
        <v>0</v>
      </c>
      <c r="BC282" s="12">
        <f t="shared" si="35"/>
        <v>0</v>
      </c>
      <c r="BD282" s="12">
        <f t="shared" si="42"/>
        <v>0</v>
      </c>
    </row>
    <row r="283" spans="1:56" ht="15" customHeight="1" x14ac:dyDescent="0.25">
      <c r="A283" s="137" t="s">
        <v>573</v>
      </c>
      <c r="B283" s="137" t="s">
        <v>580</v>
      </c>
      <c r="C283" s="137">
        <v>2018</v>
      </c>
      <c r="D283" s="137" t="s">
        <v>53</v>
      </c>
      <c r="E283" s="137" t="s">
        <v>53</v>
      </c>
      <c r="F283" s="137" t="s">
        <v>53</v>
      </c>
      <c r="G283" s="137" t="s">
        <v>53</v>
      </c>
      <c r="H283" s="137" t="s">
        <v>53</v>
      </c>
      <c r="I283" s="137" t="s">
        <v>53</v>
      </c>
      <c r="J283" s="137" t="s">
        <v>53</v>
      </c>
      <c r="K283" s="137" t="s">
        <v>53</v>
      </c>
      <c r="L283" s="137" t="s">
        <v>53</v>
      </c>
      <c r="M283" s="137" t="s">
        <v>53</v>
      </c>
      <c r="N283" s="137" t="s">
        <v>53</v>
      </c>
      <c r="O283" s="137" t="s">
        <v>53</v>
      </c>
      <c r="P283" s="137" t="s">
        <v>53</v>
      </c>
      <c r="Q283" s="137" t="s">
        <v>53</v>
      </c>
      <c r="R283" s="137" t="s">
        <v>53</v>
      </c>
      <c r="S283" s="137" t="s">
        <v>53</v>
      </c>
      <c r="T283" s="137" t="s">
        <v>53</v>
      </c>
      <c r="U283" s="137" t="s">
        <v>53</v>
      </c>
      <c r="V283" s="137" t="s">
        <v>53</v>
      </c>
      <c r="W283" s="137" t="s">
        <v>53</v>
      </c>
      <c r="X283" s="137" t="s">
        <v>53</v>
      </c>
      <c r="Y283" s="137" t="s">
        <v>53</v>
      </c>
      <c r="Z283" s="137" t="s">
        <v>53</v>
      </c>
      <c r="AA283" s="137" t="s">
        <v>53</v>
      </c>
      <c r="AB283" s="137" t="s">
        <v>53</v>
      </c>
      <c r="AC283" s="137" t="s">
        <v>53</v>
      </c>
      <c r="AD283" s="137" t="s">
        <v>53</v>
      </c>
      <c r="AE283" s="137" t="s">
        <v>53</v>
      </c>
      <c r="AF283" s="137" t="s">
        <v>53</v>
      </c>
      <c r="AG283" s="137" t="s">
        <v>53</v>
      </c>
      <c r="AH283" s="137" t="s">
        <v>53</v>
      </c>
      <c r="AI283" s="137" t="s">
        <v>53</v>
      </c>
      <c r="AJ283" s="137" t="s">
        <v>53</v>
      </c>
      <c r="AK283" s="137" t="s">
        <v>53</v>
      </c>
      <c r="AL283" s="137" t="s">
        <v>53</v>
      </c>
      <c r="AM283" s="137" t="s">
        <v>53</v>
      </c>
      <c r="AN283" s="137" t="s">
        <v>53</v>
      </c>
      <c r="AO283" s="137" t="s">
        <v>53</v>
      </c>
      <c r="AQ283" s="12">
        <f t="shared" si="36"/>
        <v>0</v>
      </c>
      <c r="AR283" s="12">
        <f t="shared" si="34"/>
        <v>0</v>
      </c>
      <c r="AT283" s="12">
        <f t="shared" si="37"/>
        <v>0</v>
      </c>
      <c r="AU283" s="12">
        <f t="shared" si="38"/>
        <v>0</v>
      </c>
      <c r="AV283" s="13" t="str">
        <f t="shared" si="39"/>
        <v/>
      </c>
      <c r="AY283" s="12">
        <f t="shared" si="40"/>
        <v>0</v>
      </c>
      <c r="AZ283" s="12">
        <f t="shared" si="41"/>
        <v>0</v>
      </c>
      <c r="BA283" s="12">
        <f t="shared" si="41"/>
        <v>0</v>
      </c>
      <c r="BB283" s="12">
        <f t="shared" si="41"/>
        <v>0</v>
      </c>
      <c r="BC283" s="12">
        <f t="shared" si="35"/>
        <v>0</v>
      </c>
      <c r="BD283" s="12">
        <f t="shared" si="42"/>
        <v>0</v>
      </c>
    </row>
    <row r="284" spans="1:56" ht="15" customHeight="1" x14ac:dyDescent="0.25">
      <c r="A284" s="137" t="s">
        <v>573</v>
      </c>
      <c r="B284" s="137" t="s">
        <v>581</v>
      </c>
      <c r="C284" s="137">
        <v>2018</v>
      </c>
      <c r="D284" s="137" t="s">
        <v>53</v>
      </c>
      <c r="E284" s="137" t="s">
        <v>53</v>
      </c>
      <c r="F284" s="137" t="s">
        <v>53</v>
      </c>
      <c r="G284" s="137" t="s">
        <v>53</v>
      </c>
      <c r="H284" s="137" t="s">
        <v>53</v>
      </c>
      <c r="I284" s="137" t="s">
        <v>53</v>
      </c>
      <c r="J284" s="137" t="s">
        <v>53</v>
      </c>
      <c r="K284" s="137" t="s">
        <v>53</v>
      </c>
      <c r="L284" s="137" t="s">
        <v>53</v>
      </c>
      <c r="M284" s="137" t="s">
        <v>53</v>
      </c>
      <c r="N284" s="137" t="s">
        <v>53</v>
      </c>
      <c r="O284" s="137" t="s">
        <v>53</v>
      </c>
      <c r="P284" s="137" t="s">
        <v>53</v>
      </c>
      <c r="Q284" s="137" t="s">
        <v>53</v>
      </c>
      <c r="R284" s="137" t="s">
        <v>53</v>
      </c>
      <c r="S284" s="137" t="s">
        <v>53</v>
      </c>
      <c r="T284" s="137" t="s">
        <v>53</v>
      </c>
      <c r="U284" s="137" t="s">
        <v>53</v>
      </c>
      <c r="V284" s="137" t="s">
        <v>53</v>
      </c>
      <c r="W284" s="137" t="s">
        <v>53</v>
      </c>
      <c r="X284" s="137" t="s">
        <v>53</v>
      </c>
      <c r="Y284" s="137" t="s">
        <v>53</v>
      </c>
      <c r="Z284" s="137" t="s">
        <v>53</v>
      </c>
      <c r="AA284" s="137" t="s">
        <v>53</v>
      </c>
      <c r="AB284" s="137" t="s">
        <v>53</v>
      </c>
      <c r="AC284" s="137" t="s">
        <v>53</v>
      </c>
      <c r="AD284" s="137" t="s">
        <v>53</v>
      </c>
      <c r="AE284" s="137" t="s">
        <v>53</v>
      </c>
      <c r="AF284" s="137" t="s">
        <v>53</v>
      </c>
      <c r="AG284" s="137" t="s">
        <v>53</v>
      </c>
      <c r="AH284" s="137" t="s">
        <v>53</v>
      </c>
      <c r="AI284" s="137" t="s">
        <v>53</v>
      </c>
      <c r="AJ284" s="137" t="s">
        <v>53</v>
      </c>
      <c r="AK284" s="137" t="s">
        <v>53</v>
      </c>
      <c r="AL284" s="137" t="s">
        <v>53</v>
      </c>
      <c r="AM284" s="137" t="s">
        <v>53</v>
      </c>
      <c r="AN284" s="137" t="s">
        <v>53</v>
      </c>
      <c r="AO284" s="137" t="s">
        <v>53</v>
      </c>
      <c r="AQ284" s="12">
        <f t="shared" si="36"/>
        <v>0</v>
      </c>
      <c r="AR284" s="12">
        <f t="shared" si="34"/>
        <v>0</v>
      </c>
      <c r="AT284" s="12">
        <f t="shared" si="37"/>
        <v>0</v>
      </c>
      <c r="AU284" s="12">
        <f t="shared" si="38"/>
        <v>0</v>
      </c>
      <c r="AV284" s="13" t="str">
        <f t="shared" si="39"/>
        <v/>
      </c>
      <c r="AY284" s="12">
        <f t="shared" si="40"/>
        <v>0</v>
      </c>
      <c r="AZ284" s="12">
        <f t="shared" si="41"/>
        <v>0</v>
      </c>
      <c r="BA284" s="12">
        <f t="shared" si="41"/>
        <v>0</v>
      </c>
      <c r="BB284" s="12">
        <f t="shared" si="41"/>
        <v>0</v>
      </c>
      <c r="BC284" s="12">
        <f t="shared" si="35"/>
        <v>0</v>
      </c>
      <c r="BD284" s="12">
        <f t="shared" si="42"/>
        <v>0</v>
      </c>
    </row>
    <row r="285" spans="1:56" ht="15" customHeight="1" x14ac:dyDescent="0.25">
      <c r="A285" s="137" t="s">
        <v>573</v>
      </c>
      <c r="B285" s="137" t="s">
        <v>582</v>
      </c>
      <c r="C285" s="137">
        <v>2018</v>
      </c>
      <c r="D285" s="137" t="s">
        <v>53</v>
      </c>
      <c r="E285" s="137" t="s">
        <v>53</v>
      </c>
      <c r="F285" s="137" t="s">
        <v>53</v>
      </c>
      <c r="G285" s="137" t="s">
        <v>53</v>
      </c>
      <c r="H285" s="137" t="s">
        <v>53</v>
      </c>
      <c r="I285" s="137" t="s">
        <v>53</v>
      </c>
      <c r="J285" s="137" t="s">
        <v>53</v>
      </c>
      <c r="K285" s="137" t="s">
        <v>53</v>
      </c>
      <c r="L285" s="137" t="s">
        <v>53</v>
      </c>
      <c r="M285" s="137" t="s">
        <v>53</v>
      </c>
      <c r="N285" s="137" t="s">
        <v>53</v>
      </c>
      <c r="O285" s="137" t="s">
        <v>53</v>
      </c>
      <c r="P285" s="137" t="s">
        <v>53</v>
      </c>
      <c r="Q285" s="137" t="s">
        <v>53</v>
      </c>
      <c r="R285" s="137" t="s">
        <v>53</v>
      </c>
      <c r="S285" s="137" t="s">
        <v>53</v>
      </c>
      <c r="T285" s="137" t="s">
        <v>53</v>
      </c>
      <c r="U285" s="137" t="s">
        <v>53</v>
      </c>
      <c r="V285" s="137" t="s">
        <v>53</v>
      </c>
      <c r="W285" s="137" t="s">
        <v>53</v>
      </c>
      <c r="X285" s="137" t="s">
        <v>53</v>
      </c>
      <c r="Y285" s="137" t="s">
        <v>53</v>
      </c>
      <c r="Z285" s="137" t="s">
        <v>53</v>
      </c>
      <c r="AA285" s="137" t="s">
        <v>53</v>
      </c>
      <c r="AB285" s="137" t="s">
        <v>53</v>
      </c>
      <c r="AC285" s="137" t="s">
        <v>53</v>
      </c>
      <c r="AD285" s="137" t="s">
        <v>53</v>
      </c>
      <c r="AE285" s="137" t="s">
        <v>53</v>
      </c>
      <c r="AF285" s="137" t="s">
        <v>53</v>
      </c>
      <c r="AG285" s="137" t="s">
        <v>53</v>
      </c>
      <c r="AH285" s="137" t="s">
        <v>53</v>
      </c>
      <c r="AI285" s="137" t="s">
        <v>53</v>
      </c>
      <c r="AJ285" s="137" t="s">
        <v>53</v>
      </c>
      <c r="AK285" s="137" t="s">
        <v>53</v>
      </c>
      <c r="AL285" s="137" t="s">
        <v>53</v>
      </c>
      <c r="AM285" s="137" t="s">
        <v>53</v>
      </c>
      <c r="AN285" s="137" t="s">
        <v>53</v>
      </c>
      <c r="AO285" s="137" t="s">
        <v>53</v>
      </c>
      <c r="AQ285" s="12">
        <f t="shared" si="36"/>
        <v>0</v>
      </c>
      <c r="AR285" s="12">
        <f t="shared" si="34"/>
        <v>0</v>
      </c>
      <c r="AT285" s="12">
        <f t="shared" si="37"/>
        <v>0</v>
      </c>
      <c r="AU285" s="12">
        <f t="shared" si="38"/>
        <v>0</v>
      </c>
      <c r="AV285" s="13" t="str">
        <f t="shared" si="39"/>
        <v/>
      </c>
      <c r="AY285" s="12">
        <f t="shared" si="40"/>
        <v>0</v>
      </c>
      <c r="AZ285" s="12">
        <f t="shared" si="41"/>
        <v>0</v>
      </c>
      <c r="BA285" s="12">
        <f t="shared" si="41"/>
        <v>0</v>
      </c>
      <c r="BB285" s="12">
        <f t="shared" si="41"/>
        <v>0</v>
      </c>
      <c r="BC285" s="12">
        <f t="shared" si="35"/>
        <v>0</v>
      </c>
      <c r="BD285" s="12">
        <f t="shared" si="42"/>
        <v>0</v>
      </c>
    </row>
    <row r="286" spans="1:56" ht="15" customHeight="1" x14ac:dyDescent="0.25">
      <c r="A286" s="137" t="s">
        <v>573</v>
      </c>
      <c r="B286" s="137" t="s">
        <v>583</v>
      </c>
      <c r="C286" s="137">
        <v>2018</v>
      </c>
      <c r="D286" s="137" t="s">
        <v>193</v>
      </c>
      <c r="E286" s="137" t="s">
        <v>193</v>
      </c>
      <c r="F286" s="137" t="s">
        <v>193</v>
      </c>
      <c r="G286" s="137" t="s">
        <v>193</v>
      </c>
      <c r="H286" s="137" t="s">
        <v>193</v>
      </c>
      <c r="I286" s="137" t="s">
        <v>193</v>
      </c>
      <c r="J286" s="137" t="s">
        <v>193</v>
      </c>
      <c r="K286" s="137" t="s">
        <v>193</v>
      </c>
      <c r="L286" s="137" t="s">
        <v>193</v>
      </c>
      <c r="M286" s="137" t="s">
        <v>193</v>
      </c>
      <c r="N286" s="137" t="s">
        <v>193</v>
      </c>
      <c r="O286" s="137" t="s">
        <v>193</v>
      </c>
      <c r="P286" s="137" t="s">
        <v>193</v>
      </c>
      <c r="Q286" s="137" t="s">
        <v>193</v>
      </c>
      <c r="R286" s="137" t="s">
        <v>193</v>
      </c>
      <c r="S286" s="137" t="s">
        <v>193</v>
      </c>
      <c r="T286" s="137" t="s">
        <v>193</v>
      </c>
      <c r="U286" s="137" t="s">
        <v>193</v>
      </c>
      <c r="V286" s="137" t="s">
        <v>193</v>
      </c>
      <c r="W286" s="137" t="s">
        <v>193</v>
      </c>
      <c r="X286" s="137" t="s">
        <v>193</v>
      </c>
      <c r="Y286" s="137" t="s">
        <v>193</v>
      </c>
      <c r="Z286" s="137" t="s">
        <v>193</v>
      </c>
      <c r="AA286" s="137" t="s">
        <v>193</v>
      </c>
      <c r="AB286" s="137" t="s">
        <v>193</v>
      </c>
      <c r="AC286" s="137" t="s">
        <v>193</v>
      </c>
      <c r="AD286" s="137" t="s">
        <v>193</v>
      </c>
      <c r="AE286" s="137" t="s">
        <v>193</v>
      </c>
      <c r="AF286" s="137" t="s">
        <v>193</v>
      </c>
      <c r="AG286" s="137" t="s">
        <v>193</v>
      </c>
      <c r="AH286" s="137" t="s">
        <v>53</v>
      </c>
      <c r="AI286" s="137" t="s">
        <v>193</v>
      </c>
      <c r="AJ286" s="137" t="s">
        <v>193</v>
      </c>
      <c r="AK286" s="137" t="s">
        <v>193</v>
      </c>
      <c r="AL286" s="137" t="s">
        <v>193</v>
      </c>
      <c r="AM286" s="137" t="s">
        <v>193</v>
      </c>
      <c r="AN286" s="137" t="s">
        <v>193</v>
      </c>
      <c r="AO286" s="137" t="s">
        <v>193</v>
      </c>
      <c r="AQ286" s="12">
        <f t="shared" si="36"/>
        <v>0</v>
      </c>
      <c r="AR286" s="12">
        <f t="shared" si="34"/>
        <v>0</v>
      </c>
      <c r="AT286" s="12">
        <f t="shared" si="37"/>
        <v>0</v>
      </c>
      <c r="AU286" s="12">
        <f t="shared" si="38"/>
        <v>0</v>
      </c>
      <c r="AV286" s="13" t="str">
        <f t="shared" si="39"/>
        <v/>
      </c>
      <c r="AY286" s="12">
        <f t="shared" si="40"/>
        <v>0</v>
      </c>
      <c r="AZ286" s="12">
        <f t="shared" si="41"/>
        <v>0</v>
      </c>
      <c r="BA286" s="12">
        <f t="shared" si="41"/>
        <v>0</v>
      </c>
      <c r="BB286" s="12">
        <f t="shared" si="41"/>
        <v>0</v>
      </c>
      <c r="BC286" s="12">
        <f t="shared" si="35"/>
        <v>0</v>
      </c>
      <c r="BD286" s="12">
        <f t="shared" si="42"/>
        <v>0</v>
      </c>
    </row>
    <row r="287" spans="1:56" ht="15" customHeight="1" x14ac:dyDescent="0.25">
      <c r="A287" s="137" t="s">
        <v>573</v>
      </c>
      <c r="B287" s="137" t="s">
        <v>584</v>
      </c>
      <c r="C287" s="137">
        <v>2018</v>
      </c>
      <c r="D287" s="137" t="s">
        <v>53</v>
      </c>
      <c r="E287" s="137" t="s">
        <v>53</v>
      </c>
      <c r="F287" s="137" t="s">
        <v>53</v>
      </c>
      <c r="G287" s="137" t="s">
        <v>53</v>
      </c>
      <c r="H287" s="137" t="s">
        <v>53</v>
      </c>
      <c r="I287" s="137" t="s">
        <v>53</v>
      </c>
      <c r="J287" s="137" t="s">
        <v>53</v>
      </c>
      <c r="K287" s="137" t="s">
        <v>53</v>
      </c>
      <c r="L287" s="137" t="s">
        <v>53</v>
      </c>
      <c r="M287" s="137" t="s">
        <v>53</v>
      </c>
      <c r="N287" s="137" t="s">
        <v>53</v>
      </c>
      <c r="O287" s="137" t="s">
        <v>53</v>
      </c>
      <c r="P287" s="137" t="s">
        <v>53</v>
      </c>
      <c r="Q287" s="137" t="s">
        <v>53</v>
      </c>
      <c r="R287" s="137" t="s">
        <v>53</v>
      </c>
      <c r="S287" s="137" t="s">
        <v>53</v>
      </c>
      <c r="T287" s="137" t="s">
        <v>53</v>
      </c>
      <c r="U287" s="137" t="s">
        <v>53</v>
      </c>
      <c r="V287" s="137" t="s">
        <v>53</v>
      </c>
      <c r="W287" s="137" t="s">
        <v>53</v>
      </c>
      <c r="X287" s="137" t="s">
        <v>53</v>
      </c>
      <c r="Y287" s="137" t="s">
        <v>53</v>
      </c>
      <c r="Z287" s="137" t="s">
        <v>53</v>
      </c>
      <c r="AA287" s="137" t="s">
        <v>53</v>
      </c>
      <c r="AB287" s="137" t="s">
        <v>53</v>
      </c>
      <c r="AC287" s="137" t="s">
        <v>53</v>
      </c>
      <c r="AD287" s="137" t="s">
        <v>53</v>
      </c>
      <c r="AE287" s="137" t="s">
        <v>53</v>
      </c>
      <c r="AF287" s="137" t="s">
        <v>53</v>
      </c>
      <c r="AG287" s="137" t="s">
        <v>53</v>
      </c>
      <c r="AH287" s="137" t="s">
        <v>53</v>
      </c>
      <c r="AI287" s="137" t="s">
        <v>53</v>
      </c>
      <c r="AJ287" s="137" t="s">
        <v>53</v>
      </c>
      <c r="AK287" s="137" t="s">
        <v>53</v>
      </c>
      <c r="AL287" s="137" t="s">
        <v>53</v>
      </c>
      <c r="AM287" s="137" t="s">
        <v>53</v>
      </c>
      <c r="AN287" s="137" t="s">
        <v>53</v>
      </c>
      <c r="AO287" s="137" t="s">
        <v>53</v>
      </c>
      <c r="AQ287" s="12">
        <f t="shared" si="36"/>
        <v>0</v>
      </c>
      <c r="AR287" s="12">
        <f t="shared" si="34"/>
        <v>0</v>
      </c>
      <c r="AT287" s="12">
        <f t="shared" si="37"/>
        <v>0</v>
      </c>
      <c r="AU287" s="12">
        <f t="shared" si="38"/>
        <v>0</v>
      </c>
      <c r="AV287" s="13" t="str">
        <f t="shared" si="39"/>
        <v/>
      </c>
      <c r="AY287" s="12">
        <f t="shared" si="40"/>
        <v>0</v>
      </c>
      <c r="AZ287" s="12">
        <f t="shared" si="41"/>
        <v>0</v>
      </c>
      <c r="BA287" s="12">
        <f t="shared" si="41"/>
        <v>0</v>
      </c>
      <c r="BB287" s="12">
        <f t="shared" si="41"/>
        <v>0</v>
      </c>
      <c r="BC287" s="12">
        <f t="shared" si="35"/>
        <v>0</v>
      </c>
      <c r="BD287" s="12">
        <f t="shared" si="42"/>
        <v>0</v>
      </c>
    </row>
    <row r="288" spans="1:56" ht="15" customHeight="1" x14ac:dyDescent="0.25">
      <c r="A288" s="137" t="s">
        <v>585</v>
      </c>
      <c r="B288" s="137" t="s">
        <v>586</v>
      </c>
      <c r="C288" s="137">
        <v>2018</v>
      </c>
      <c r="D288" s="137" t="s">
        <v>193</v>
      </c>
      <c r="E288" s="137" t="s">
        <v>193</v>
      </c>
      <c r="F288" s="137" t="s">
        <v>193</v>
      </c>
      <c r="G288" s="137" t="s">
        <v>193</v>
      </c>
      <c r="H288" s="137" t="s">
        <v>193</v>
      </c>
      <c r="I288" s="137" t="s">
        <v>193</v>
      </c>
      <c r="J288" s="137" t="s">
        <v>193</v>
      </c>
      <c r="K288" s="137" t="s">
        <v>193</v>
      </c>
      <c r="L288" s="137" t="s">
        <v>193</v>
      </c>
      <c r="M288" s="137" t="s">
        <v>193</v>
      </c>
      <c r="N288" s="137" t="s">
        <v>193</v>
      </c>
      <c r="O288" s="137" t="s">
        <v>193</v>
      </c>
      <c r="P288" s="137" t="s">
        <v>193</v>
      </c>
      <c r="Q288" s="137" t="s">
        <v>193</v>
      </c>
      <c r="R288" s="137" t="s">
        <v>193</v>
      </c>
      <c r="S288" s="137" t="s">
        <v>193</v>
      </c>
      <c r="T288" s="137" t="s">
        <v>193</v>
      </c>
      <c r="U288" s="137" t="s">
        <v>193</v>
      </c>
      <c r="V288" s="137" t="s">
        <v>193</v>
      </c>
      <c r="W288" s="137" t="s">
        <v>193</v>
      </c>
      <c r="X288" s="137" t="s">
        <v>193</v>
      </c>
      <c r="Y288" s="137" t="s">
        <v>193</v>
      </c>
      <c r="Z288" s="137" t="s">
        <v>193</v>
      </c>
      <c r="AA288" s="137" t="s">
        <v>193</v>
      </c>
      <c r="AB288" s="137" t="s">
        <v>193</v>
      </c>
      <c r="AC288" s="137" t="s">
        <v>193</v>
      </c>
      <c r="AD288" s="137" t="s">
        <v>193</v>
      </c>
      <c r="AE288" s="137" t="s">
        <v>193</v>
      </c>
      <c r="AF288" s="137" t="s">
        <v>193</v>
      </c>
      <c r="AG288" s="137" t="s">
        <v>193</v>
      </c>
      <c r="AH288" s="137" t="s">
        <v>199</v>
      </c>
      <c r="AI288" s="137" t="s">
        <v>193</v>
      </c>
      <c r="AJ288" s="137" t="s">
        <v>193</v>
      </c>
      <c r="AK288" s="137" t="s">
        <v>193</v>
      </c>
      <c r="AL288" s="137" t="s">
        <v>193</v>
      </c>
      <c r="AM288" s="137" t="s">
        <v>193</v>
      </c>
      <c r="AN288" s="137" t="s">
        <v>193</v>
      </c>
      <c r="AO288" s="137" t="s">
        <v>193</v>
      </c>
      <c r="AQ288" s="12">
        <f t="shared" si="36"/>
        <v>0</v>
      </c>
      <c r="AR288" s="12">
        <f t="shared" si="34"/>
        <v>0</v>
      </c>
      <c r="AT288" s="12">
        <f t="shared" si="37"/>
        <v>0</v>
      </c>
      <c r="AU288" s="12">
        <f t="shared" si="38"/>
        <v>0</v>
      </c>
      <c r="AV288" s="13" t="str">
        <f t="shared" si="39"/>
        <v/>
      </c>
      <c r="AY288" s="12">
        <f t="shared" si="40"/>
        <v>0</v>
      </c>
      <c r="AZ288" s="12">
        <f t="shared" si="41"/>
        <v>0</v>
      </c>
      <c r="BA288" s="12">
        <f t="shared" si="41"/>
        <v>0</v>
      </c>
      <c r="BB288" s="12">
        <f t="shared" si="41"/>
        <v>0</v>
      </c>
      <c r="BC288" s="12">
        <f t="shared" si="35"/>
        <v>0</v>
      </c>
      <c r="BD288" s="12">
        <f t="shared" si="42"/>
        <v>0</v>
      </c>
    </row>
    <row r="289" spans="1:56" ht="15" customHeight="1" x14ac:dyDescent="0.25">
      <c r="A289" s="137" t="s">
        <v>585</v>
      </c>
      <c r="B289" s="137" t="s">
        <v>587</v>
      </c>
      <c r="C289" s="137">
        <v>2018</v>
      </c>
      <c r="D289" s="137" t="s">
        <v>193</v>
      </c>
      <c r="E289" s="137" t="s">
        <v>193</v>
      </c>
      <c r="F289" s="137" t="s">
        <v>193</v>
      </c>
      <c r="G289" s="137" t="s">
        <v>193</v>
      </c>
      <c r="H289" s="137" t="s">
        <v>193</v>
      </c>
      <c r="I289" s="137" t="s">
        <v>193</v>
      </c>
      <c r="J289" s="137" t="s">
        <v>193</v>
      </c>
      <c r="K289" s="137" t="s">
        <v>193</v>
      </c>
      <c r="L289" s="137" t="s">
        <v>193</v>
      </c>
      <c r="M289" s="137" t="s">
        <v>193</v>
      </c>
      <c r="N289" s="137" t="s">
        <v>193</v>
      </c>
      <c r="O289" s="137" t="s">
        <v>193</v>
      </c>
      <c r="P289" s="137" t="s">
        <v>193</v>
      </c>
      <c r="Q289" s="137" t="s">
        <v>193</v>
      </c>
      <c r="R289" s="137" t="s">
        <v>193</v>
      </c>
      <c r="S289" s="137" t="s">
        <v>193</v>
      </c>
      <c r="T289" s="137" t="s">
        <v>193</v>
      </c>
      <c r="U289" s="137" t="s">
        <v>193</v>
      </c>
      <c r="V289" s="137" t="s">
        <v>193</v>
      </c>
      <c r="W289" s="137" t="s">
        <v>193</v>
      </c>
      <c r="X289" s="137" t="s">
        <v>193</v>
      </c>
      <c r="Y289" s="137" t="s">
        <v>193</v>
      </c>
      <c r="Z289" s="137" t="s">
        <v>193</v>
      </c>
      <c r="AA289" s="137" t="s">
        <v>193</v>
      </c>
      <c r="AB289" s="137" t="s">
        <v>193</v>
      </c>
      <c r="AC289" s="137" t="s">
        <v>193</v>
      </c>
      <c r="AD289" s="137" t="s">
        <v>193</v>
      </c>
      <c r="AE289" s="137" t="s">
        <v>193</v>
      </c>
      <c r="AF289" s="137" t="s">
        <v>193</v>
      </c>
      <c r="AG289" s="137" t="s">
        <v>193</v>
      </c>
      <c r="AH289" s="137" t="s">
        <v>199</v>
      </c>
      <c r="AI289" s="137" t="s">
        <v>193</v>
      </c>
      <c r="AJ289" s="137" t="s">
        <v>193</v>
      </c>
      <c r="AK289" s="137" t="s">
        <v>193</v>
      </c>
      <c r="AL289" s="137" t="s">
        <v>193</v>
      </c>
      <c r="AM289" s="137" t="s">
        <v>193</v>
      </c>
      <c r="AN289" s="137" t="s">
        <v>193</v>
      </c>
      <c r="AO289" s="137" t="s">
        <v>193</v>
      </c>
      <c r="AQ289" s="12">
        <f t="shared" si="36"/>
        <v>0</v>
      </c>
      <c r="AR289" s="12">
        <f t="shared" si="34"/>
        <v>0</v>
      </c>
      <c r="AT289" s="12">
        <f t="shared" si="37"/>
        <v>0</v>
      </c>
      <c r="AU289" s="12">
        <f t="shared" si="38"/>
        <v>0</v>
      </c>
      <c r="AV289" s="13" t="str">
        <f t="shared" si="39"/>
        <v/>
      </c>
      <c r="AY289" s="12">
        <f t="shared" si="40"/>
        <v>0</v>
      </c>
      <c r="AZ289" s="12">
        <f t="shared" si="41"/>
        <v>0</v>
      </c>
      <c r="BA289" s="12">
        <f t="shared" si="41"/>
        <v>0</v>
      </c>
      <c r="BB289" s="12">
        <f t="shared" si="41"/>
        <v>0</v>
      </c>
      <c r="BC289" s="12">
        <f t="shared" si="35"/>
        <v>0</v>
      </c>
      <c r="BD289" s="12">
        <f t="shared" si="42"/>
        <v>0</v>
      </c>
    </row>
    <row r="290" spans="1:56" ht="15" customHeight="1" x14ac:dyDescent="0.25">
      <c r="A290" s="137" t="s">
        <v>585</v>
      </c>
      <c r="B290" s="137" t="s">
        <v>588</v>
      </c>
      <c r="C290" s="137">
        <v>2018</v>
      </c>
      <c r="D290" s="137">
        <v>153.142</v>
      </c>
      <c r="E290" s="137">
        <v>40.319000000000003</v>
      </c>
      <c r="F290" s="137" t="s">
        <v>193</v>
      </c>
      <c r="G290" s="137" t="s">
        <v>193</v>
      </c>
      <c r="H290" s="137" t="s">
        <v>193</v>
      </c>
      <c r="I290" s="137">
        <v>279.07299999999998</v>
      </c>
      <c r="J290" s="137" t="s">
        <v>193</v>
      </c>
      <c r="K290" s="137">
        <v>0</v>
      </c>
      <c r="L290" s="137" t="s">
        <v>193</v>
      </c>
      <c r="M290" s="137" t="s">
        <v>193</v>
      </c>
      <c r="N290" s="137" t="s">
        <v>193</v>
      </c>
      <c r="O290" s="137" t="s">
        <v>193</v>
      </c>
      <c r="P290" s="137" t="s">
        <v>193</v>
      </c>
      <c r="Q290" s="137" t="s">
        <v>193</v>
      </c>
      <c r="R290" s="137" t="s">
        <v>193</v>
      </c>
      <c r="S290" s="137" t="s">
        <v>193</v>
      </c>
      <c r="T290" s="137" t="s">
        <v>193</v>
      </c>
      <c r="U290" s="137" t="s">
        <v>193</v>
      </c>
      <c r="V290" s="137">
        <v>1.9259999999999999</v>
      </c>
      <c r="W290" s="137" t="s">
        <v>193</v>
      </c>
      <c r="X290" s="137" t="s">
        <v>193</v>
      </c>
      <c r="Y290" s="137" t="s">
        <v>193</v>
      </c>
      <c r="Z290" s="137" t="s">
        <v>193</v>
      </c>
      <c r="AA290" s="137" t="s">
        <v>193</v>
      </c>
      <c r="AB290" s="137" t="s">
        <v>193</v>
      </c>
      <c r="AC290" s="137" t="s">
        <v>193</v>
      </c>
      <c r="AD290" s="137" t="s">
        <v>193</v>
      </c>
      <c r="AE290" s="137" t="s">
        <v>193</v>
      </c>
      <c r="AF290" s="137">
        <v>237.71799999999999</v>
      </c>
      <c r="AG290" s="137" t="s">
        <v>193</v>
      </c>
      <c r="AH290" s="137" t="s">
        <v>195</v>
      </c>
      <c r="AI290" s="137">
        <v>40.5</v>
      </c>
      <c r="AJ290" s="137" t="s">
        <v>193</v>
      </c>
      <c r="AK290" s="137">
        <v>39.429000000000002</v>
      </c>
      <c r="AL290" s="137">
        <v>3.2</v>
      </c>
      <c r="AM290" s="137">
        <v>96.8</v>
      </c>
      <c r="AN290" s="137" t="s">
        <v>193</v>
      </c>
      <c r="AO290" s="137" t="s">
        <v>193</v>
      </c>
      <c r="AQ290" s="12">
        <f t="shared" si="36"/>
        <v>239.64399999999998</v>
      </c>
      <c r="AR290" s="12">
        <f t="shared" si="34"/>
        <v>279.07299999999998</v>
      </c>
      <c r="AT290" s="12">
        <f t="shared" si="37"/>
        <v>153.142</v>
      </c>
      <c r="AU290" s="12">
        <f t="shared" si="38"/>
        <v>40.319000000000003</v>
      </c>
      <c r="AV290" s="13">
        <f t="shared" si="39"/>
        <v>0.69322722011803373</v>
      </c>
      <c r="AY290" s="12">
        <f t="shared" si="40"/>
        <v>39.429000000000002</v>
      </c>
      <c r="AZ290" s="12">
        <f t="shared" si="41"/>
        <v>1.2617280000000002</v>
      </c>
      <c r="BA290" s="12">
        <f t="shared" si="41"/>
        <v>38.167272000000004</v>
      </c>
      <c r="BB290" s="12">
        <f t="shared" si="41"/>
        <v>0</v>
      </c>
      <c r="BC290" s="12">
        <f t="shared" si="35"/>
        <v>0</v>
      </c>
      <c r="BD290" s="12">
        <f t="shared" si="42"/>
        <v>0</v>
      </c>
    </row>
    <row r="291" spans="1:56" ht="15" customHeight="1" x14ac:dyDescent="0.25">
      <c r="A291" s="137" t="s">
        <v>585</v>
      </c>
      <c r="B291" s="137" t="s">
        <v>589</v>
      </c>
      <c r="C291" s="137">
        <v>2018</v>
      </c>
      <c r="D291" s="137">
        <v>17.158999999999999</v>
      </c>
      <c r="E291" s="137">
        <v>4.0620000000000003</v>
      </c>
      <c r="F291" s="137" t="s">
        <v>193</v>
      </c>
      <c r="G291" s="137" t="s">
        <v>193</v>
      </c>
      <c r="H291" s="137" t="s">
        <v>193</v>
      </c>
      <c r="I291" s="137">
        <v>23.952000000000002</v>
      </c>
      <c r="J291" s="137" t="s">
        <v>193</v>
      </c>
      <c r="K291" s="137" t="s">
        <v>193</v>
      </c>
      <c r="L291" s="137" t="s">
        <v>193</v>
      </c>
      <c r="M291" s="137" t="s">
        <v>193</v>
      </c>
      <c r="N291" s="137" t="s">
        <v>193</v>
      </c>
      <c r="O291" s="137" t="s">
        <v>193</v>
      </c>
      <c r="P291" s="137" t="s">
        <v>193</v>
      </c>
      <c r="Q291" s="137" t="s">
        <v>193</v>
      </c>
      <c r="R291" s="137" t="s">
        <v>193</v>
      </c>
      <c r="S291" s="137" t="s">
        <v>193</v>
      </c>
      <c r="T291" s="137" t="s">
        <v>193</v>
      </c>
      <c r="U291" s="137" t="s">
        <v>193</v>
      </c>
      <c r="V291" s="137" t="s">
        <v>193</v>
      </c>
      <c r="W291" s="137" t="s">
        <v>193</v>
      </c>
      <c r="X291" s="137" t="s">
        <v>193</v>
      </c>
      <c r="Y291" s="137" t="s">
        <v>193</v>
      </c>
      <c r="Z291" s="137" t="s">
        <v>193</v>
      </c>
      <c r="AA291" s="137" t="s">
        <v>193</v>
      </c>
      <c r="AB291" s="137" t="s">
        <v>193</v>
      </c>
      <c r="AC291" s="137" t="s">
        <v>193</v>
      </c>
      <c r="AD291" s="137" t="s">
        <v>193</v>
      </c>
      <c r="AE291" s="137" t="s">
        <v>193</v>
      </c>
      <c r="AF291" s="137">
        <v>23.952000000000002</v>
      </c>
      <c r="AG291" s="137" t="s">
        <v>193</v>
      </c>
      <c r="AH291" s="137" t="s">
        <v>195</v>
      </c>
      <c r="AI291" s="137">
        <v>40.5</v>
      </c>
      <c r="AJ291" s="137" t="s">
        <v>193</v>
      </c>
      <c r="AK291" s="137" t="s">
        <v>193</v>
      </c>
      <c r="AL291" s="137" t="s">
        <v>193</v>
      </c>
      <c r="AM291" s="137" t="s">
        <v>193</v>
      </c>
      <c r="AN291" s="137" t="s">
        <v>193</v>
      </c>
      <c r="AO291" s="137" t="s">
        <v>193</v>
      </c>
      <c r="AQ291" s="12">
        <f t="shared" si="36"/>
        <v>23.952000000000002</v>
      </c>
      <c r="AR291" s="12">
        <f t="shared" si="34"/>
        <v>23.952000000000002</v>
      </c>
      <c r="AT291" s="12">
        <f t="shared" si="37"/>
        <v>17.158999999999999</v>
      </c>
      <c r="AU291" s="12">
        <f t="shared" si="38"/>
        <v>4.0620000000000003</v>
      </c>
      <c r="AV291" s="13">
        <f t="shared" si="39"/>
        <v>0.88598029392117561</v>
      </c>
      <c r="AY291" s="12">
        <f t="shared" si="40"/>
        <v>0</v>
      </c>
      <c r="AZ291" s="12">
        <f t="shared" si="41"/>
        <v>0</v>
      </c>
      <c r="BA291" s="12">
        <f t="shared" si="41"/>
        <v>0</v>
      </c>
      <c r="BB291" s="12">
        <f t="shared" si="41"/>
        <v>0</v>
      </c>
      <c r="BC291" s="12">
        <f t="shared" si="35"/>
        <v>0</v>
      </c>
      <c r="BD291" s="12">
        <f t="shared" si="42"/>
        <v>0</v>
      </c>
    </row>
    <row r="292" spans="1:56" ht="15" customHeight="1" x14ac:dyDescent="0.25">
      <c r="A292" s="137" t="s">
        <v>585</v>
      </c>
      <c r="B292" s="137" t="s">
        <v>590</v>
      </c>
      <c r="C292" s="137">
        <v>2018</v>
      </c>
      <c r="D292" s="137" t="s">
        <v>193</v>
      </c>
      <c r="E292" s="137" t="s">
        <v>193</v>
      </c>
      <c r="F292" s="137" t="s">
        <v>193</v>
      </c>
      <c r="G292" s="137" t="s">
        <v>193</v>
      </c>
      <c r="H292" s="137" t="s">
        <v>193</v>
      </c>
      <c r="I292" s="137" t="s">
        <v>193</v>
      </c>
      <c r="J292" s="137" t="s">
        <v>193</v>
      </c>
      <c r="K292" s="137" t="s">
        <v>193</v>
      </c>
      <c r="L292" s="137" t="s">
        <v>193</v>
      </c>
      <c r="M292" s="137" t="s">
        <v>193</v>
      </c>
      <c r="N292" s="137" t="s">
        <v>193</v>
      </c>
      <c r="O292" s="137" t="s">
        <v>193</v>
      </c>
      <c r="P292" s="137" t="s">
        <v>193</v>
      </c>
      <c r="Q292" s="137" t="s">
        <v>193</v>
      </c>
      <c r="R292" s="137" t="s">
        <v>193</v>
      </c>
      <c r="S292" s="137" t="s">
        <v>193</v>
      </c>
      <c r="T292" s="137" t="s">
        <v>193</v>
      </c>
      <c r="U292" s="137" t="s">
        <v>193</v>
      </c>
      <c r="V292" s="137" t="s">
        <v>193</v>
      </c>
      <c r="W292" s="137" t="s">
        <v>193</v>
      </c>
      <c r="X292" s="137" t="s">
        <v>193</v>
      </c>
      <c r="Y292" s="137" t="s">
        <v>193</v>
      </c>
      <c r="Z292" s="137" t="s">
        <v>193</v>
      </c>
      <c r="AA292" s="137" t="s">
        <v>193</v>
      </c>
      <c r="AB292" s="137" t="s">
        <v>193</v>
      </c>
      <c r="AC292" s="137" t="s">
        <v>193</v>
      </c>
      <c r="AD292" s="137" t="s">
        <v>193</v>
      </c>
      <c r="AE292" s="137" t="s">
        <v>193</v>
      </c>
      <c r="AF292" s="137" t="s">
        <v>193</v>
      </c>
      <c r="AG292" s="137" t="s">
        <v>193</v>
      </c>
      <c r="AH292" s="137" t="s">
        <v>195</v>
      </c>
      <c r="AI292" s="137">
        <v>40.5</v>
      </c>
      <c r="AJ292" s="137" t="s">
        <v>193</v>
      </c>
      <c r="AK292" s="137" t="s">
        <v>193</v>
      </c>
      <c r="AL292" s="137" t="s">
        <v>193</v>
      </c>
      <c r="AM292" s="137" t="s">
        <v>193</v>
      </c>
      <c r="AN292" s="137" t="s">
        <v>193</v>
      </c>
      <c r="AO292" s="137" t="s">
        <v>193</v>
      </c>
      <c r="AQ292" s="12">
        <f t="shared" si="36"/>
        <v>0</v>
      </c>
      <c r="AR292" s="12">
        <f t="shared" si="34"/>
        <v>0</v>
      </c>
      <c r="AT292" s="12">
        <f t="shared" si="37"/>
        <v>0</v>
      </c>
      <c r="AU292" s="12">
        <f t="shared" si="38"/>
        <v>0</v>
      </c>
      <c r="AV292" s="13" t="str">
        <f t="shared" si="39"/>
        <v/>
      </c>
      <c r="AY292" s="12">
        <f t="shared" si="40"/>
        <v>0</v>
      </c>
      <c r="AZ292" s="12">
        <f t="shared" si="41"/>
        <v>0</v>
      </c>
      <c r="BA292" s="12">
        <f t="shared" si="41"/>
        <v>0</v>
      </c>
      <c r="BB292" s="12">
        <f t="shared" si="41"/>
        <v>0</v>
      </c>
      <c r="BC292" s="12">
        <f t="shared" si="35"/>
        <v>0</v>
      </c>
      <c r="BD292" s="12">
        <f t="shared" si="42"/>
        <v>0</v>
      </c>
    </row>
    <row r="293" spans="1:56" ht="15" customHeight="1" x14ac:dyDescent="0.25">
      <c r="A293" s="137" t="s">
        <v>49</v>
      </c>
      <c r="B293" s="141" t="s">
        <v>50</v>
      </c>
      <c r="C293" s="137">
        <v>2018</v>
      </c>
      <c r="D293" s="137" t="s">
        <v>53</v>
      </c>
      <c r="E293" s="137" t="s">
        <v>53</v>
      </c>
      <c r="F293" s="137" t="s">
        <v>53</v>
      </c>
      <c r="G293" s="137" t="s">
        <v>53</v>
      </c>
      <c r="H293" s="137" t="s">
        <v>53</v>
      </c>
      <c r="I293" s="137" t="s">
        <v>53</v>
      </c>
      <c r="J293" s="137" t="s">
        <v>53</v>
      </c>
      <c r="K293" s="137" t="s">
        <v>53</v>
      </c>
      <c r="L293" s="137" t="s">
        <v>53</v>
      </c>
      <c r="M293" s="137" t="s">
        <v>53</v>
      </c>
      <c r="N293" s="137" t="s">
        <v>53</v>
      </c>
      <c r="O293" s="137" t="s">
        <v>53</v>
      </c>
      <c r="P293" s="137" t="s">
        <v>53</v>
      </c>
      <c r="Q293" s="137" t="s">
        <v>53</v>
      </c>
      <c r="R293" s="137" t="s">
        <v>53</v>
      </c>
      <c r="S293" s="137" t="s">
        <v>53</v>
      </c>
      <c r="T293" s="137" t="s">
        <v>53</v>
      </c>
      <c r="U293" s="137" t="s">
        <v>53</v>
      </c>
      <c r="V293" s="137" t="s">
        <v>53</v>
      </c>
      <c r="W293" s="137" t="s">
        <v>53</v>
      </c>
      <c r="X293" s="137" t="s">
        <v>53</v>
      </c>
      <c r="Y293" s="137" t="s">
        <v>53</v>
      </c>
      <c r="Z293" s="137" t="s">
        <v>53</v>
      </c>
      <c r="AA293" s="137" t="s">
        <v>53</v>
      </c>
      <c r="AB293" s="137" t="s">
        <v>53</v>
      </c>
      <c r="AC293" s="137" t="s">
        <v>53</v>
      </c>
      <c r="AD293" s="137" t="s">
        <v>53</v>
      </c>
      <c r="AE293" s="137" t="s">
        <v>53</v>
      </c>
      <c r="AF293" s="137" t="s">
        <v>53</v>
      </c>
      <c r="AG293" s="137" t="s">
        <v>53</v>
      </c>
      <c r="AH293" s="137" t="s">
        <v>53</v>
      </c>
      <c r="AI293" s="137" t="s">
        <v>53</v>
      </c>
      <c r="AJ293" s="137" t="s">
        <v>53</v>
      </c>
      <c r="AK293" s="137" t="s">
        <v>53</v>
      </c>
      <c r="AL293" s="137" t="s">
        <v>53</v>
      </c>
      <c r="AM293" s="137" t="s">
        <v>53</v>
      </c>
      <c r="AN293" s="137" t="s">
        <v>53</v>
      </c>
      <c r="AO293" s="137" t="s">
        <v>53</v>
      </c>
      <c r="AQ293" s="12">
        <f t="shared" si="36"/>
        <v>0</v>
      </c>
      <c r="AR293" s="12">
        <f t="shared" si="34"/>
        <v>0</v>
      </c>
      <c r="AT293" s="12">
        <f t="shared" si="37"/>
        <v>0</v>
      </c>
      <c r="AU293" s="12">
        <f t="shared" si="38"/>
        <v>0</v>
      </c>
      <c r="AV293" s="13" t="str">
        <f t="shared" si="39"/>
        <v/>
      </c>
      <c r="AY293" s="12">
        <f t="shared" si="40"/>
        <v>0</v>
      </c>
      <c r="AZ293" s="12">
        <f t="shared" si="41"/>
        <v>0</v>
      </c>
      <c r="BA293" s="12">
        <f t="shared" si="41"/>
        <v>0</v>
      </c>
      <c r="BB293" s="12">
        <f t="shared" si="41"/>
        <v>0</v>
      </c>
      <c r="BC293" s="12">
        <f t="shared" si="35"/>
        <v>0</v>
      </c>
      <c r="BD293" s="12">
        <f t="shared" si="42"/>
        <v>0</v>
      </c>
    </row>
    <row r="294" spans="1:56" ht="15" customHeight="1" x14ac:dyDescent="0.25">
      <c r="A294" s="137" t="s">
        <v>591</v>
      </c>
      <c r="B294" s="137" t="s">
        <v>592</v>
      </c>
      <c r="C294" s="137">
        <v>2018</v>
      </c>
      <c r="D294" s="137" t="s">
        <v>193</v>
      </c>
      <c r="E294" s="137" t="s">
        <v>193</v>
      </c>
      <c r="F294" s="137" t="s">
        <v>193</v>
      </c>
      <c r="G294" s="137" t="s">
        <v>193</v>
      </c>
      <c r="H294" s="137" t="s">
        <v>193</v>
      </c>
      <c r="I294" s="137" t="s">
        <v>193</v>
      </c>
      <c r="J294" s="137" t="s">
        <v>193</v>
      </c>
      <c r="K294" s="137" t="s">
        <v>193</v>
      </c>
      <c r="L294" s="137" t="s">
        <v>193</v>
      </c>
      <c r="M294" s="137" t="s">
        <v>193</v>
      </c>
      <c r="N294" s="137" t="s">
        <v>193</v>
      </c>
      <c r="O294" s="137" t="s">
        <v>193</v>
      </c>
      <c r="P294" s="137" t="s">
        <v>193</v>
      </c>
      <c r="Q294" s="137" t="s">
        <v>193</v>
      </c>
      <c r="R294" s="137" t="s">
        <v>193</v>
      </c>
      <c r="S294" s="137" t="s">
        <v>193</v>
      </c>
      <c r="T294" s="137" t="s">
        <v>193</v>
      </c>
      <c r="U294" s="137" t="s">
        <v>193</v>
      </c>
      <c r="V294" s="137" t="s">
        <v>193</v>
      </c>
      <c r="W294" s="137" t="s">
        <v>193</v>
      </c>
      <c r="X294" s="137" t="s">
        <v>193</v>
      </c>
      <c r="Y294" s="137" t="s">
        <v>193</v>
      </c>
      <c r="Z294" s="137" t="s">
        <v>193</v>
      </c>
      <c r="AA294" s="137" t="s">
        <v>193</v>
      </c>
      <c r="AB294" s="137" t="s">
        <v>193</v>
      </c>
      <c r="AC294" s="137" t="s">
        <v>193</v>
      </c>
      <c r="AD294" s="137" t="s">
        <v>193</v>
      </c>
      <c r="AE294" s="137" t="s">
        <v>193</v>
      </c>
      <c r="AF294" s="137" t="s">
        <v>193</v>
      </c>
      <c r="AG294" s="137" t="s">
        <v>193</v>
      </c>
      <c r="AH294" s="137" t="s">
        <v>53</v>
      </c>
      <c r="AI294" s="137" t="s">
        <v>193</v>
      </c>
      <c r="AJ294" s="137" t="s">
        <v>193</v>
      </c>
      <c r="AK294" s="137" t="s">
        <v>193</v>
      </c>
      <c r="AL294" s="137" t="s">
        <v>193</v>
      </c>
      <c r="AM294" s="137" t="s">
        <v>193</v>
      </c>
      <c r="AN294" s="137" t="s">
        <v>193</v>
      </c>
      <c r="AO294" s="137" t="s">
        <v>193</v>
      </c>
      <c r="AQ294" s="12">
        <f t="shared" si="36"/>
        <v>0</v>
      </c>
      <c r="AR294" s="12">
        <f t="shared" si="34"/>
        <v>0</v>
      </c>
      <c r="AT294" s="12">
        <f t="shared" si="37"/>
        <v>0</v>
      </c>
      <c r="AU294" s="12">
        <f t="shared" si="38"/>
        <v>0</v>
      </c>
      <c r="AV294" s="13" t="str">
        <f t="shared" si="39"/>
        <v/>
      </c>
      <c r="AY294" s="12">
        <f t="shared" si="40"/>
        <v>0</v>
      </c>
      <c r="AZ294" s="12">
        <f t="shared" si="41"/>
        <v>0</v>
      </c>
      <c r="BA294" s="12">
        <f t="shared" si="41"/>
        <v>0</v>
      </c>
      <c r="BB294" s="12">
        <f t="shared" si="41"/>
        <v>0</v>
      </c>
      <c r="BC294" s="12">
        <f t="shared" si="35"/>
        <v>0</v>
      </c>
      <c r="BD294" s="12">
        <f t="shared" si="42"/>
        <v>0</v>
      </c>
    </row>
    <row r="295" spans="1:56" ht="15" customHeight="1" x14ac:dyDescent="0.25">
      <c r="A295" s="137" t="s">
        <v>591</v>
      </c>
      <c r="B295" s="137" t="s">
        <v>594</v>
      </c>
      <c r="C295" s="137">
        <v>2018</v>
      </c>
      <c r="D295" s="137" t="s">
        <v>193</v>
      </c>
      <c r="E295" s="137" t="s">
        <v>193</v>
      </c>
      <c r="F295" s="137" t="s">
        <v>193</v>
      </c>
      <c r="G295" s="137" t="s">
        <v>193</v>
      </c>
      <c r="H295" s="137" t="s">
        <v>193</v>
      </c>
      <c r="I295" s="137" t="s">
        <v>193</v>
      </c>
      <c r="J295" s="137" t="s">
        <v>193</v>
      </c>
      <c r="K295" s="137" t="s">
        <v>193</v>
      </c>
      <c r="L295" s="137" t="s">
        <v>193</v>
      </c>
      <c r="M295" s="137" t="s">
        <v>193</v>
      </c>
      <c r="N295" s="137" t="s">
        <v>193</v>
      </c>
      <c r="O295" s="137" t="s">
        <v>193</v>
      </c>
      <c r="P295" s="137" t="s">
        <v>193</v>
      </c>
      <c r="Q295" s="137" t="s">
        <v>193</v>
      </c>
      <c r="R295" s="137" t="s">
        <v>193</v>
      </c>
      <c r="S295" s="137" t="s">
        <v>193</v>
      </c>
      <c r="T295" s="137" t="s">
        <v>193</v>
      </c>
      <c r="U295" s="137" t="s">
        <v>193</v>
      </c>
      <c r="V295" s="137" t="s">
        <v>193</v>
      </c>
      <c r="W295" s="137" t="s">
        <v>193</v>
      </c>
      <c r="X295" s="137" t="s">
        <v>193</v>
      </c>
      <c r="Y295" s="137" t="s">
        <v>193</v>
      </c>
      <c r="Z295" s="137" t="s">
        <v>193</v>
      </c>
      <c r="AA295" s="137" t="s">
        <v>193</v>
      </c>
      <c r="AB295" s="137" t="s">
        <v>193</v>
      </c>
      <c r="AC295" s="137" t="s">
        <v>193</v>
      </c>
      <c r="AD295" s="137" t="s">
        <v>193</v>
      </c>
      <c r="AE295" s="137" t="s">
        <v>193</v>
      </c>
      <c r="AF295" s="137" t="s">
        <v>193</v>
      </c>
      <c r="AG295" s="137" t="s">
        <v>193</v>
      </c>
      <c r="AH295" s="137" t="s">
        <v>53</v>
      </c>
      <c r="AI295" s="137" t="s">
        <v>193</v>
      </c>
      <c r="AJ295" s="137" t="s">
        <v>193</v>
      </c>
      <c r="AK295" s="137" t="s">
        <v>193</v>
      </c>
      <c r="AL295" s="137" t="s">
        <v>193</v>
      </c>
      <c r="AM295" s="137" t="s">
        <v>193</v>
      </c>
      <c r="AN295" s="137" t="s">
        <v>193</v>
      </c>
      <c r="AO295" s="137" t="s">
        <v>193</v>
      </c>
      <c r="AQ295" s="12">
        <f t="shared" si="36"/>
        <v>0</v>
      </c>
      <c r="AR295" s="12">
        <f t="shared" si="34"/>
        <v>0</v>
      </c>
      <c r="AT295" s="12">
        <f t="shared" si="37"/>
        <v>0</v>
      </c>
      <c r="AU295" s="12">
        <f t="shared" si="38"/>
        <v>0</v>
      </c>
      <c r="AV295" s="13" t="str">
        <f t="shared" si="39"/>
        <v/>
      </c>
      <c r="AY295" s="12">
        <f t="shared" si="40"/>
        <v>0</v>
      </c>
      <c r="AZ295" s="12">
        <f t="shared" si="41"/>
        <v>0</v>
      </c>
      <c r="BA295" s="12">
        <f t="shared" si="41"/>
        <v>0</v>
      </c>
      <c r="BB295" s="12">
        <f t="shared" si="41"/>
        <v>0</v>
      </c>
      <c r="BC295" s="12">
        <f t="shared" si="35"/>
        <v>0</v>
      </c>
      <c r="BD295" s="12">
        <f t="shared" si="42"/>
        <v>0</v>
      </c>
    </row>
    <row r="296" spans="1:56" ht="15" customHeight="1" x14ac:dyDescent="0.25">
      <c r="A296" s="137" t="s">
        <v>591</v>
      </c>
      <c r="B296" s="137" t="s">
        <v>595</v>
      </c>
      <c r="C296" s="137">
        <v>2018</v>
      </c>
      <c r="D296" s="137" t="s">
        <v>193</v>
      </c>
      <c r="E296" s="137" t="s">
        <v>193</v>
      </c>
      <c r="F296" s="137" t="s">
        <v>193</v>
      </c>
      <c r="G296" s="137" t="s">
        <v>193</v>
      </c>
      <c r="H296" s="137" t="s">
        <v>193</v>
      </c>
      <c r="I296" s="137" t="s">
        <v>193</v>
      </c>
      <c r="J296" s="137" t="s">
        <v>193</v>
      </c>
      <c r="K296" s="137" t="s">
        <v>193</v>
      </c>
      <c r="L296" s="137" t="s">
        <v>193</v>
      </c>
      <c r="M296" s="137" t="s">
        <v>193</v>
      </c>
      <c r="N296" s="137" t="s">
        <v>193</v>
      </c>
      <c r="O296" s="137" t="s">
        <v>193</v>
      </c>
      <c r="P296" s="137" t="s">
        <v>193</v>
      </c>
      <c r="Q296" s="137" t="s">
        <v>193</v>
      </c>
      <c r="R296" s="137" t="s">
        <v>193</v>
      </c>
      <c r="S296" s="137" t="s">
        <v>193</v>
      </c>
      <c r="T296" s="137" t="s">
        <v>193</v>
      </c>
      <c r="U296" s="137" t="s">
        <v>193</v>
      </c>
      <c r="V296" s="137" t="s">
        <v>193</v>
      </c>
      <c r="W296" s="137" t="s">
        <v>193</v>
      </c>
      <c r="X296" s="137" t="s">
        <v>193</v>
      </c>
      <c r="Y296" s="137" t="s">
        <v>193</v>
      </c>
      <c r="Z296" s="137" t="s">
        <v>193</v>
      </c>
      <c r="AA296" s="137" t="s">
        <v>193</v>
      </c>
      <c r="AB296" s="137" t="s">
        <v>193</v>
      </c>
      <c r="AC296" s="137" t="s">
        <v>193</v>
      </c>
      <c r="AD296" s="137" t="s">
        <v>193</v>
      </c>
      <c r="AE296" s="137" t="s">
        <v>193</v>
      </c>
      <c r="AF296" s="137" t="s">
        <v>193</v>
      </c>
      <c r="AG296" s="137" t="s">
        <v>193</v>
      </c>
      <c r="AH296" s="137" t="s">
        <v>53</v>
      </c>
      <c r="AI296" s="137" t="s">
        <v>193</v>
      </c>
      <c r="AJ296" s="137" t="s">
        <v>193</v>
      </c>
      <c r="AK296" s="137" t="s">
        <v>193</v>
      </c>
      <c r="AL296" s="137" t="s">
        <v>193</v>
      </c>
      <c r="AM296" s="137" t="s">
        <v>193</v>
      </c>
      <c r="AN296" s="137" t="s">
        <v>193</v>
      </c>
      <c r="AO296" s="137" t="s">
        <v>193</v>
      </c>
      <c r="AQ296" s="12">
        <f t="shared" si="36"/>
        <v>0</v>
      </c>
      <c r="AR296" s="12">
        <f t="shared" si="34"/>
        <v>0</v>
      </c>
      <c r="AT296" s="12">
        <f t="shared" si="37"/>
        <v>0</v>
      </c>
      <c r="AU296" s="12">
        <f t="shared" si="38"/>
        <v>0</v>
      </c>
      <c r="AV296" s="13" t="str">
        <f t="shared" si="39"/>
        <v/>
      </c>
      <c r="AY296" s="12">
        <f t="shared" si="40"/>
        <v>0</v>
      </c>
      <c r="AZ296" s="12">
        <f t="shared" si="41"/>
        <v>0</v>
      </c>
      <c r="BA296" s="12">
        <f t="shared" si="41"/>
        <v>0</v>
      </c>
      <c r="BB296" s="12">
        <f t="shared" si="41"/>
        <v>0</v>
      </c>
      <c r="BC296" s="12">
        <f t="shared" si="35"/>
        <v>0</v>
      </c>
      <c r="BD296" s="12">
        <f t="shared" si="42"/>
        <v>0</v>
      </c>
    </row>
    <row r="297" spans="1:56" ht="15" customHeight="1" x14ac:dyDescent="0.25">
      <c r="A297" s="137" t="s">
        <v>591</v>
      </c>
      <c r="B297" s="137" t="s">
        <v>597</v>
      </c>
      <c r="C297" s="137">
        <v>2018</v>
      </c>
      <c r="D297" s="137">
        <v>100.76600000000001</v>
      </c>
      <c r="E297" s="137">
        <v>36.1</v>
      </c>
      <c r="F297" s="137" t="s">
        <v>193</v>
      </c>
      <c r="G297" s="137" t="s">
        <v>193</v>
      </c>
      <c r="H297" s="137" t="s">
        <v>193</v>
      </c>
      <c r="I297" s="137">
        <v>196.61699999999999</v>
      </c>
      <c r="J297" s="137" t="s">
        <v>193</v>
      </c>
      <c r="K297" s="137">
        <v>0.22500000000000001</v>
      </c>
      <c r="L297" s="137" t="s">
        <v>193</v>
      </c>
      <c r="M297" s="137" t="s">
        <v>193</v>
      </c>
      <c r="N297" s="137" t="s">
        <v>193</v>
      </c>
      <c r="O297" s="137" t="s">
        <v>193</v>
      </c>
      <c r="P297" s="137" t="s">
        <v>193</v>
      </c>
      <c r="Q297" s="137">
        <v>67.912999999999997</v>
      </c>
      <c r="R297" s="137">
        <v>48.116999999999997</v>
      </c>
      <c r="S297" s="137">
        <v>27.050999999999998</v>
      </c>
      <c r="T297" s="137" t="s">
        <v>193</v>
      </c>
      <c r="U297" s="137" t="s">
        <v>193</v>
      </c>
      <c r="V297" s="137">
        <v>11.295</v>
      </c>
      <c r="W297" s="137" t="s">
        <v>194</v>
      </c>
      <c r="X297" s="137" t="s">
        <v>193</v>
      </c>
      <c r="Y297" s="137" t="s">
        <v>193</v>
      </c>
      <c r="Z297" s="137" t="s">
        <v>193</v>
      </c>
      <c r="AA297" s="137">
        <v>20.620999999999999</v>
      </c>
      <c r="AB297" s="137" t="s">
        <v>193</v>
      </c>
      <c r="AC297" s="137" t="s">
        <v>193</v>
      </c>
      <c r="AD297" s="137" t="s">
        <v>193</v>
      </c>
      <c r="AE297" s="137" t="s">
        <v>193</v>
      </c>
      <c r="AF297" s="137" t="s">
        <v>193</v>
      </c>
      <c r="AG297" s="137" t="s">
        <v>193</v>
      </c>
      <c r="AH297" s="137" t="s">
        <v>53</v>
      </c>
      <c r="AI297" s="137" t="s">
        <v>193</v>
      </c>
      <c r="AJ297" s="137" t="s">
        <v>193</v>
      </c>
      <c r="AK297" s="137">
        <v>21.395</v>
      </c>
      <c r="AL297" s="137">
        <v>100</v>
      </c>
      <c r="AM297" s="137">
        <v>0</v>
      </c>
      <c r="AN297" s="137">
        <v>0</v>
      </c>
      <c r="AO297" s="137">
        <v>0</v>
      </c>
      <c r="AQ297" s="12">
        <f t="shared" si="36"/>
        <v>175.22199999999998</v>
      </c>
      <c r="AR297" s="12">
        <f t="shared" si="34"/>
        <v>196.61699999999999</v>
      </c>
      <c r="AT297" s="12">
        <f t="shared" si="37"/>
        <v>100.76600000000001</v>
      </c>
      <c r="AU297" s="12">
        <f t="shared" si="38"/>
        <v>36.1</v>
      </c>
      <c r="AV297" s="13">
        <f t="shared" si="39"/>
        <v>0.69610460946917119</v>
      </c>
      <c r="AY297" s="12">
        <f t="shared" si="40"/>
        <v>21.395</v>
      </c>
      <c r="AZ297" s="12">
        <f t="shared" si="41"/>
        <v>21.395</v>
      </c>
      <c r="BA297" s="12">
        <f t="shared" si="41"/>
        <v>0</v>
      </c>
      <c r="BB297" s="12">
        <f t="shared" si="41"/>
        <v>0</v>
      </c>
      <c r="BC297" s="12">
        <f t="shared" si="35"/>
        <v>0</v>
      </c>
      <c r="BD297" s="12">
        <f t="shared" si="42"/>
        <v>0</v>
      </c>
    </row>
    <row r="298" spans="1:56" ht="15" customHeight="1" x14ac:dyDescent="0.25">
      <c r="A298" s="137" t="s">
        <v>598</v>
      </c>
      <c r="B298" s="137" t="s">
        <v>599</v>
      </c>
      <c r="C298" s="137">
        <v>2018</v>
      </c>
      <c r="D298" s="137">
        <v>532.70899999999995</v>
      </c>
      <c r="E298" s="137">
        <v>263.33600000000001</v>
      </c>
      <c r="F298" s="137" t="s">
        <v>193</v>
      </c>
      <c r="G298" s="137" t="s">
        <v>193</v>
      </c>
      <c r="H298" s="137" t="s">
        <v>193</v>
      </c>
      <c r="I298" s="137">
        <v>1055.261</v>
      </c>
      <c r="J298" s="137" t="s">
        <v>193</v>
      </c>
      <c r="K298" s="137">
        <v>2.2010000000000001</v>
      </c>
      <c r="L298" s="137" t="s">
        <v>193</v>
      </c>
      <c r="M298" s="137" t="s">
        <v>193</v>
      </c>
      <c r="N298" s="137" t="s">
        <v>193</v>
      </c>
      <c r="O298" s="137" t="s">
        <v>193</v>
      </c>
      <c r="P298" s="137" t="s">
        <v>193</v>
      </c>
      <c r="Q298" s="137">
        <v>80.84</v>
      </c>
      <c r="R298" s="137">
        <v>61.142000000000003</v>
      </c>
      <c r="S298" s="137">
        <v>32.768999999999998</v>
      </c>
      <c r="T298" s="137">
        <v>103.098</v>
      </c>
      <c r="U298" s="137">
        <v>0.16900000000000001</v>
      </c>
      <c r="V298" s="137" t="s">
        <v>193</v>
      </c>
      <c r="W298" s="137" t="s">
        <v>193</v>
      </c>
      <c r="X298" s="137" t="s">
        <v>193</v>
      </c>
      <c r="Y298" s="137" t="s">
        <v>193</v>
      </c>
      <c r="Z298" s="137" t="s">
        <v>193</v>
      </c>
      <c r="AA298" s="137">
        <v>631.00400000000002</v>
      </c>
      <c r="AB298" s="137" t="s">
        <v>193</v>
      </c>
      <c r="AC298" s="137" t="s">
        <v>193</v>
      </c>
      <c r="AD298" s="137" t="s">
        <v>193</v>
      </c>
      <c r="AE298" s="137" t="s">
        <v>193</v>
      </c>
      <c r="AF298" s="137">
        <v>2.5000000000000001E-2</v>
      </c>
      <c r="AG298" s="137" t="s">
        <v>193</v>
      </c>
      <c r="AH298" s="137" t="s">
        <v>195</v>
      </c>
      <c r="AI298" s="137">
        <v>40.5</v>
      </c>
      <c r="AJ298" s="137" t="s">
        <v>193</v>
      </c>
      <c r="AK298" s="137">
        <v>144.01300000000001</v>
      </c>
      <c r="AL298" s="137">
        <v>100</v>
      </c>
      <c r="AM298" s="137" t="s">
        <v>193</v>
      </c>
      <c r="AN298" s="137" t="s">
        <v>193</v>
      </c>
      <c r="AO298" s="137" t="s">
        <v>193</v>
      </c>
      <c r="AQ298" s="12">
        <f t="shared" si="36"/>
        <v>911.24799999999993</v>
      </c>
      <c r="AR298" s="12">
        <f t="shared" si="34"/>
        <v>1055.261</v>
      </c>
      <c r="AT298" s="12">
        <f t="shared" si="37"/>
        <v>532.70899999999995</v>
      </c>
      <c r="AU298" s="12">
        <f t="shared" si="38"/>
        <v>263.33600000000001</v>
      </c>
      <c r="AV298" s="13">
        <f t="shared" si="39"/>
        <v>0.75435840043363678</v>
      </c>
      <c r="AY298" s="12">
        <f t="shared" si="40"/>
        <v>144.01300000000001</v>
      </c>
      <c r="AZ298" s="12">
        <f t="shared" si="41"/>
        <v>144.01300000000001</v>
      </c>
      <c r="BA298" s="12">
        <f t="shared" si="41"/>
        <v>0</v>
      </c>
      <c r="BB298" s="12">
        <f t="shared" si="41"/>
        <v>0</v>
      </c>
      <c r="BC298" s="12">
        <f t="shared" si="35"/>
        <v>0</v>
      </c>
      <c r="BD298" s="12">
        <f t="shared" si="42"/>
        <v>0</v>
      </c>
    </row>
    <row r="299" spans="1:56" ht="15" customHeight="1" x14ac:dyDescent="0.25">
      <c r="A299" s="137" t="s">
        <v>600</v>
      </c>
      <c r="B299" s="137" t="s">
        <v>132</v>
      </c>
      <c r="C299" s="137">
        <v>2018</v>
      </c>
      <c r="D299" s="137" t="s">
        <v>53</v>
      </c>
      <c r="E299" s="137" t="s">
        <v>53</v>
      </c>
      <c r="F299" s="137" t="s">
        <v>53</v>
      </c>
      <c r="G299" s="137" t="s">
        <v>53</v>
      </c>
      <c r="H299" s="137" t="s">
        <v>53</v>
      </c>
      <c r="I299" s="137" t="s">
        <v>53</v>
      </c>
      <c r="J299" s="137" t="s">
        <v>53</v>
      </c>
      <c r="K299" s="137" t="s">
        <v>53</v>
      </c>
      <c r="L299" s="137" t="s">
        <v>53</v>
      </c>
      <c r="M299" s="137" t="s">
        <v>53</v>
      </c>
      <c r="N299" s="137" t="s">
        <v>53</v>
      </c>
      <c r="O299" s="137" t="s">
        <v>53</v>
      </c>
      <c r="P299" s="137" t="s">
        <v>53</v>
      </c>
      <c r="Q299" s="137" t="s">
        <v>53</v>
      </c>
      <c r="R299" s="137" t="s">
        <v>53</v>
      </c>
      <c r="S299" s="137" t="s">
        <v>53</v>
      </c>
      <c r="T299" s="137" t="s">
        <v>53</v>
      </c>
      <c r="U299" s="137" t="s">
        <v>53</v>
      </c>
      <c r="V299" s="137" t="s">
        <v>53</v>
      </c>
      <c r="W299" s="137" t="s">
        <v>53</v>
      </c>
      <c r="X299" s="137" t="s">
        <v>53</v>
      </c>
      <c r="Y299" s="137" t="s">
        <v>53</v>
      </c>
      <c r="Z299" s="137" t="s">
        <v>53</v>
      </c>
      <c r="AA299" s="137" t="s">
        <v>53</v>
      </c>
      <c r="AB299" s="137" t="s">
        <v>53</v>
      </c>
      <c r="AC299" s="137" t="s">
        <v>53</v>
      </c>
      <c r="AD299" s="137" t="s">
        <v>53</v>
      </c>
      <c r="AE299" s="137" t="s">
        <v>53</v>
      </c>
      <c r="AF299" s="137" t="s">
        <v>53</v>
      </c>
      <c r="AG299" s="137" t="s">
        <v>53</v>
      </c>
      <c r="AH299" s="137" t="s">
        <v>53</v>
      </c>
      <c r="AI299" s="137" t="s">
        <v>53</v>
      </c>
      <c r="AJ299" s="137" t="s">
        <v>53</v>
      </c>
      <c r="AK299" s="137" t="s">
        <v>53</v>
      </c>
      <c r="AL299" s="137" t="s">
        <v>53</v>
      </c>
      <c r="AM299" s="137" t="s">
        <v>53</v>
      </c>
      <c r="AN299" s="137" t="s">
        <v>53</v>
      </c>
      <c r="AO299" s="137" t="s">
        <v>53</v>
      </c>
      <c r="AQ299" s="12">
        <f t="shared" si="36"/>
        <v>0</v>
      </c>
      <c r="AR299" s="12">
        <f t="shared" si="34"/>
        <v>0</v>
      </c>
      <c r="AT299" s="12">
        <f t="shared" si="37"/>
        <v>0</v>
      </c>
      <c r="AU299" s="12">
        <f t="shared" si="38"/>
        <v>0</v>
      </c>
      <c r="AV299" s="13" t="str">
        <f t="shared" si="39"/>
        <v/>
      </c>
      <c r="AY299" s="12">
        <f t="shared" si="40"/>
        <v>0</v>
      </c>
      <c r="AZ299" s="12">
        <f t="shared" si="41"/>
        <v>0</v>
      </c>
      <c r="BA299" s="12">
        <f t="shared" si="41"/>
        <v>0</v>
      </c>
      <c r="BB299" s="12">
        <f t="shared" si="41"/>
        <v>0</v>
      </c>
      <c r="BC299" s="12">
        <f t="shared" si="35"/>
        <v>0</v>
      </c>
      <c r="BD299" s="12">
        <f t="shared" si="42"/>
        <v>0</v>
      </c>
    </row>
    <row r="300" spans="1:56" ht="15" customHeight="1" x14ac:dyDescent="0.25">
      <c r="A300" s="137" t="s">
        <v>601</v>
      </c>
      <c r="B300" s="137" t="s">
        <v>602</v>
      </c>
      <c r="C300" s="137">
        <v>2018</v>
      </c>
      <c r="D300" s="137" t="s">
        <v>193</v>
      </c>
      <c r="E300" s="137" t="s">
        <v>193</v>
      </c>
      <c r="F300" s="137" t="s">
        <v>193</v>
      </c>
      <c r="G300" s="137" t="s">
        <v>193</v>
      </c>
      <c r="H300" s="137" t="s">
        <v>193</v>
      </c>
      <c r="I300" s="137" t="s">
        <v>193</v>
      </c>
      <c r="J300" s="137" t="s">
        <v>193</v>
      </c>
      <c r="K300" s="137" t="s">
        <v>193</v>
      </c>
      <c r="L300" s="137" t="s">
        <v>193</v>
      </c>
      <c r="M300" s="137" t="s">
        <v>193</v>
      </c>
      <c r="N300" s="137" t="s">
        <v>193</v>
      </c>
      <c r="O300" s="137" t="s">
        <v>193</v>
      </c>
      <c r="P300" s="137" t="s">
        <v>193</v>
      </c>
      <c r="Q300" s="137" t="s">
        <v>193</v>
      </c>
      <c r="R300" s="137" t="s">
        <v>193</v>
      </c>
      <c r="S300" s="137" t="s">
        <v>193</v>
      </c>
      <c r="T300" s="137" t="s">
        <v>193</v>
      </c>
      <c r="U300" s="137" t="s">
        <v>193</v>
      </c>
      <c r="V300" s="137" t="s">
        <v>193</v>
      </c>
      <c r="W300" s="137" t="s">
        <v>193</v>
      </c>
      <c r="X300" s="137" t="s">
        <v>193</v>
      </c>
      <c r="Y300" s="137" t="s">
        <v>193</v>
      </c>
      <c r="Z300" s="137" t="s">
        <v>193</v>
      </c>
      <c r="AA300" s="137" t="s">
        <v>193</v>
      </c>
      <c r="AB300" s="137" t="s">
        <v>193</v>
      </c>
      <c r="AC300" s="137" t="s">
        <v>193</v>
      </c>
      <c r="AD300" s="137" t="s">
        <v>193</v>
      </c>
      <c r="AE300" s="137" t="s">
        <v>193</v>
      </c>
      <c r="AF300" s="137" t="s">
        <v>193</v>
      </c>
      <c r="AG300" s="137" t="s">
        <v>193</v>
      </c>
      <c r="AH300" s="137" t="s">
        <v>53</v>
      </c>
      <c r="AI300" s="137" t="s">
        <v>193</v>
      </c>
      <c r="AJ300" s="137" t="s">
        <v>193</v>
      </c>
      <c r="AK300" s="137" t="s">
        <v>193</v>
      </c>
      <c r="AL300" s="137" t="s">
        <v>193</v>
      </c>
      <c r="AM300" s="137" t="s">
        <v>193</v>
      </c>
      <c r="AN300" s="137" t="s">
        <v>193</v>
      </c>
      <c r="AO300" s="137" t="s">
        <v>193</v>
      </c>
      <c r="AQ300" s="12">
        <f t="shared" si="36"/>
        <v>0</v>
      </c>
      <c r="AR300" s="12">
        <f t="shared" si="34"/>
        <v>0</v>
      </c>
      <c r="AT300" s="12">
        <f t="shared" si="37"/>
        <v>0</v>
      </c>
      <c r="AU300" s="12">
        <f t="shared" si="38"/>
        <v>0</v>
      </c>
      <c r="AV300" s="13" t="str">
        <f t="shared" si="39"/>
        <v/>
      </c>
      <c r="AY300" s="12">
        <f t="shared" si="40"/>
        <v>0</v>
      </c>
      <c r="AZ300" s="12">
        <f t="shared" si="41"/>
        <v>0</v>
      </c>
      <c r="BA300" s="12">
        <f t="shared" si="41"/>
        <v>0</v>
      </c>
      <c r="BB300" s="12">
        <f t="shared" si="41"/>
        <v>0</v>
      </c>
      <c r="BC300" s="12">
        <f t="shared" si="35"/>
        <v>0</v>
      </c>
      <c r="BD300" s="12">
        <f t="shared" si="42"/>
        <v>0</v>
      </c>
    </row>
    <row r="301" spans="1:56" ht="15" customHeight="1" x14ac:dyDescent="0.25">
      <c r="A301" s="137" t="s">
        <v>601</v>
      </c>
      <c r="B301" s="137" t="s">
        <v>603</v>
      </c>
      <c r="C301" s="137">
        <v>2018</v>
      </c>
      <c r="D301" s="137">
        <v>102.9</v>
      </c>
      <c r="E301" s="137">
        <v>25.6</v>
      </c>
      <c r="F301" s="137" t="s">
        <v>193</v>
      </c>
      <c r="G301" s="137" t="s">
        <v>193</v>
      </c>
      <c r="H301" s="137" t="s">
        <v>193</v>
      </c>
      <c r="I301" s="137">
        <v>167.8</v>
      </c>
      <c r="J301" s="137" t="s">
        <v>193</v>
      </c>
      <c r="K301" s="137">
        <v>0</v>
      </c>
      <c r="L301" s="137" t="s">
        <v>193</v>
      </c>
      <c r="M301" s="137" t="s">
        <v>193</v>
      </c>
      <c r="N301" s="137" t="s">
        <v>193</v>
      </c>
      <c r="O301" s="137" t="s">
        <v>193</v>
      </c>
      <c r="P301" s="137" t="s">
        <v>193</v>
      </c>
      <c r="Q301" s="137">
        <v>9.1999999999999993</v>
      </c>
      <c r="R301" s="137" t="s">
        <v>193</v>
      </c>
      <c r="S301" s="137">
        <v>0.1</v>
      </c>
      <c r="T301" s="137" t="s">
        <v>193</v>
      </c>
      <c r="U301" s="137" t="s">
        <v>193</v>
      </c>
      <c r="V301" s="137" t="s">
        <v>193</v>
      </c>
      <c r="W301" s="137" t="s">
        <v>193</v>
      </c>
      <c r="X301" s="137" t="s">
        <v>193</v>
      </c>
      <c r="Y301" s="137" t="s">
        <v>193</v>
      </c>
      <c r="Z301" s="137" t="s">
        <v>193</v>
      </c>
      <c r="AA301" s="137">
        <v>158.4</v>
      </c>
      <c r="AB301" s="137" t="s">
        <v>193</v>
      </c>
      <c r="AC301" s="137">
        <v>0.1</v>
      </c>
      <c r="AD301" s="137" t="s">
        <v>193</v>
      </c>
      <c r="AE301" s="137" t="s">
        <v>193</v>
      </c>
      <c r="AF301" s="137" t="s">
        <v>193</v>
      </c>
      <c r="AG301" s="137" t="s">
        <v>193</v>
      </c>
      <c r="AH301" s="137" t="s">
        <v>53</v>
      </c>
      <c r="AI301" s="137" t="s">
        <v>193</v>
      </c>
      <c r="AJ301" s="137" t="s">
        <v>193</v>
      </c>
      <c r="AK301" s="137" t="s">
        <v>193</v>
      </c>
      <c r="AL301" s="137" t="s">
        <v>193</v>
      </c>
      <c r="AM301" s="137" t="s">
        <v>193</v>
      </c>
      <c r="AN301" s="137" t="s">
        <v>193</v>
      </c>
      <c r="AO301" s="137" t="s">
        <v>193</v>
      </c>
      <c r="AQ301" s="12">
        <f t="shared" si="36"/>
        <v>167.8</v>
      </c>
      <c r="AR301" s="12">
        <f t="shared" si="34"/>
        <v>167.8</v>
      </c>
      <c r="AT301" s="12">
        <f t="shared" si="37"/>
        <v>102.9</v>
      </c>
      <c r="AU301" s="12">
        <f t="shared" si="38"/>
        <v>25.6</v>
      </c>
      <c r="AV301" s="13">
        <f t="shared" si="39"/>
        <v>0.76579261025029788</v>
      </c>
      <c r="AY301" s="12">
        <f t="shared" si="40"/>
        <v>0</v>
      </c>
      <c r="AZ301" s="12">
        <f t="shared" si="41"/>
        <v>0</v>
      </c>
      <c r="BA301" s="12">
        <f t="shared" si="41"/>
        <v>0</v>
      </c>
      <c r="BB301" s="12">
        <f t="shared" si="41"/>
        <v>0</v>
      </c>
      <c r="BC301" s="12">
        <f t="shared" si="35"/>
        <v>0</v>
      </c>
      <c r="BD301" s="12">
        <f t="shared" si="42"/>
        <v>0</v>
      </c>
    </row>
    <row r="302" spans="1:56" ht="15" customHeight="1" x14ac:dyDescent="0.25">
      <c r="A302" s="137" t="s">
        <v>601</v>
      </c>
      <c r="B302" s="137" t="s">
        <v>604</v>
      </c>
      <c r="C302" s="137">
        <v>2018</v>
      </c>
      <c r="D302" s="137" t="s">
        <v>193</v>
      </c>
      <c r="E302" s="137" t="s">
        <v>193</v>
      </c>
      <c r="F302" s="137" t="s">
        <v>193</v>
      </c>
      <c r="G302" s="137" t="s">
        <v>193</v>
      </c>
      <c r="H302" s="137" t="s">
        <v>193</v>
      </c>
      <c r="I302" s="137" t="s">
        <v>193</v>
      </c>
      <c r="J302" s="137" t="s">
        <v>193</v>
      </c>
      <c r="K302" s="137" t="s">
        <v>193</v>
      </c>
      <c r="L302" s="137" t="s">
        <v>193</v>
      </c>
      <c r="M302" s="137" t="s">
        <v>193</v>
      </c>
      <c r="N302" s="137" t="s">
        <v>193</v>
      </c>
      <c r="O302" s="137" t="s">
        <v>193</v>
      </c>
      <c r="P302" s="137" t="s">
        <v>193</v>
      </c>
      <c r="Q302" s="137" t="s">
        <v>193</v>
      </c>
      <c r="R302" s="137" t="s">
        <v>193</v>
      </c>
      <c r="S302" s="137" t="s">
        <v>193</v>
      </c>
      <c r="T302" s="137" t="s">
        <v>193</v>
      </c>
      <c r="U302" s="137" t="s">
        <v>193</v>
      </c>
      <c r="V302" s="137" t="s">
        <v>193</v>
      </c>
      <c r="W302" s="137" t="s">
        <v>193</v>
      </c>
      <c r="X302" s="137" t="s">
        <v>193</v>
      </c>
      <c r="Y302" s="137" t="s">
        <v>193</v>
      </c>
      <c r="Z302" s="137" t="s">
        <v>193</v>
      </c>
      <c r="AA302" s="137" t="s">
        <v>193</v>
      </c>
      <c r="AB302" s="137" t="s">
        <v>193</v>
      </c>
      <c r="AC302" s="137" t="s">
        <v>193</v>
      </c>
      <c r="AD302" s="137" t="s">
        <v>193</v>
      </c>
      <c r="AE302" s="137" t="s">
        <v>193</v>
      </c>
      <c r="AF302" s="137" t="s">
        <v>193</v>
      </c>
      <c r="AG302" s="137" t="s">
        <v>193</v>
      </c>
      <c r="AH302" s="137" t="s">
        <v>53</v>
      </c>
      <c r="AI302" s="137" t="s">
        <v>193</v>
      </c>
      <c r="AJ302" s="137" t="s">
        <v>193</v>
      </c>
      <c r="AK302" s="137" t="s">
        <v>193</v>
      </c>
      <c r="AL302" s="137" t="s">
        <v>193</v>
      </c>
      <c r="AM302" s="137" t="s">
        <v>193</v>
      </c>
      <c r="AN302" s="137" t="s">
        <v>193</v>
      </c>
      <c r="AO302" s="137" t="s">
        <v>193</v>
      </c>
      <c r="AQ302" s="12">
        <f t="shared" si="36"/>
        <v>0</v>
      </c>
      <c r="AR302" s="12">
        <f t="shared" si="34"/>
        <v>0</v>
      </c>
      <c r="AT302" s="12">
        <f t="shared" si="37"/>
        <v>0</v>
      </c>
      <c r="AU302" s="12">
        <f t="shared" si="38"/>
        <v>0</v>
      </c>
      <c r="AV302" s="13" t="str">
        <f t="shared" si="39"/>
        <v/>
      </c>
      <c r="AY302" s="12">
        <f t="shared" si="40"/>
        <v>0</v>
      </c>
      <c r="AZ302" s="12">
        <f t="shared" si="41"/>
        <v>0</v>
      </c>
      <c r="BA302" s="12">
        <f t="shared" si="41"/>
        <v>0</v>
      </c>
      <c r="BB302" s="12">
        <f t="shared" si="41"/>
        <v>0</v>
      </c>
      <c r="BC302" s="12">
        <f t="shared" si="35"/>
        <v>0</v>
      </c>
      <c r="BD302" s="12">
        <f t="shared" si="42"/>
        <v>0</v>
      </c>
    </row>
    <row r="303" spans="1:56" ht="15" customHeight="1" x14ac:dyDescent="0.25">
      <c r="A303" s="137" t="s">
        <v>601</v>
      </c>
      <c r="B303" s="137" t="s">
        <v>605</v>
      </c>
      <c r="C303" s="137">
        <v>2018</v>
      </c>
      <c r="D303" s="137">
        <v>1207.2</v>
      </c>
      <c r="E303" s="137">
        <v>220</v>
      </c>
      <c r="F303" s="137">
        <v>37</v>
      </c>
      <c r="G303" s="137" t="s">
        <v>747</v>
      </c>
      <c r="H303" s="137">
        <v>41.5</v>
      </c>
      <c r="I303" s="137">
        <v>1612.7</v>
      </c>
      <c r="J303" s="137">
        <v>55.4</v>
      </c>
      <c r="K303" s="137">
        <v>12.1</v>
      </c>
      <c r="L303" s="137" t="s">
        <v>193</v>
      </c>
      <c r="M303" s="137">
        <v>25</v>
      </c>
      <c r="N303" s="137" t="s">
        <v>193</v>
      </c>
      <c r="O303" s="137" t="s">
        <v>193</v>
      </c>
      <c r="P303" s="137">
        <v>61</v>
      </c>
      <c r="Q303" s="137">
        <v>20</v>
      </c>
      <c r="R303" s="137">
        <v>2</v>
      </c>
      <c r="S303" s="137">
        <v>3.9</v>
      </c>
      <c r="T303" s="137" t="s">
        <v>193</v>
      </c>
      <c r="U303" s="137" t="s">
        <v>193</v>
      </c>
      <c r="V303" s="137">
        <v>32.1</v>
      </c>
      <c r="W303" s="137" t="s">
        <v>194</v>
      </c>
      <c r="X303" s="137" t="s">
        <v>193</v>
      </c>
      <c r="Y303" s="137" t="s">
        <v>193</v>
      </c>
      <c r="Z303" s="137" t="s">
        <v>193</v>
      </c>
      <c r="AA303" s="137">
        <v>156.6</v>
      </c>
      <c r="AB303" s="137">
        <v>0</v>
      </c>
      <c r="AC303" s="137">
        <v>0</v>
      </c>
      <c r="AD303" s="137" t="s">
        <v>193</v>
      </c>
      <c r="AE303" s="137" t="s">
        <v>193</v>
      </c>
      <c r="AF303" s="137">
        <v>1053.3</v>
      </c>
      <c r="AG303" s="137">
        <v>12.1</v>
      </c>
      <c r="AH303" s="137" t="s">
        <v>327</v>
      </c>
      <c r="AI303" s="137">
        <v>44</v>
      </c>
      <c r="AJ303" s="137" t="s">
        <v>193</v>
      </c>
      <c r="AK303" s="137">
        <v>191.3</v>
      </c>
      <c r="AL303" s="137">
        <v>21</v>
      </c>
      <c r="AM303" s="137">
        <v>79</v>
      </c>
      <c r="AN303" s="137">
        <v>0</v>
      </c>
      <c r="AO303" s="137">
        <v>0</v>
      </c>
      <c r="AQ303" s="12">
        <f t="shared" si="36"/>
        <v>1421.4</v>
      </c>
      <c r="AR303" s="12">
        <f t="shared" si="34"/>
        <v>1612.7</v>
      </c>
      <c r="AT303" s="12">
        <f t="shared" si="37"/>
        <v>1207.2</v>
      </c>
      <c r="AU303" s="12">
        <f t="shared" si="38"/>
        <v>220</v>
      </c>
      <c r="AV303" s="13">
        <f t="shared" si="39"/>
        <v>0.88497550691387117</v>
      </c>
      <c r="AY303" s="12">
        <f t="shared" si="40"/>
        <v>191.3</v>
      </c>
      <c r="AZ303" s="12">
        <f t="shared" si="41"/>
        <v>40.173000000000002</v>
      </c>
      <c r="BA303" s="12">
        <f t="shared" si="41"/>
        <v>151.12700000000001</v>
      </c>
      <c r="BB303" s="12">
        <f t="shared" si="41"/>
        <v>0</v>
      </c>
      <c r="BC303" s="12">
        <f t="shared" si="35"/>
        <v>0</v>
      </c>
      <c r="BD303" s="12">
        <f t="shared" si="42"/>
        <v>0</v>
      </c>
    </row>
    <row r="304" spans="1:56" ht="15" customHeight="1" x14ac:dyDescent="0.25">
      <c r="A304" s="137" t="s">
        <v>601</v>
      </c>
      <c r="B304" s="137" t="s">
        <v>606</v>
      </c>
      <c r="C304" s="137">
        <v>2018</v>
      </c>
      <c r="D304" s="137" t="s">
        <v>193</v>
      </c>
      <c r="E304" s="137" t="s">
        <v>193</v>
      </c>
      <c r="F304" s="137" t="s">
        <v>193</v>
      </c>
      <c r="G304" s="137" t="s">
        <v>193</v>
      </c>
      <c r="H304" s="137" t="s">
        <v>193</v>
      </c>
      <c r="I304" s="137" t="s">
        <v>193</v>
      </c>
      <c r="J304" s="137" t="s">
        <v>193</v>
      </c>
      <c r="K304" s="137" t="s">
        <v>193</v>
      </c>
      <c r="L304" s="137" t="s">
        <v>193</v>
      </c>
      <c r="M304" s="137" t="s">
        <v>193</v>
      </c>
      <c r="N304" s="137" t="s">
        <v>193</v>
      </c>
      <c r="O304" s="137" t="s">
        <v>193</v>
      </c>
      <c r="P304" s="137" t="s">
        <v>193</v>
      </c>
      <c r="Q304" s="137" t="s">
        <v>193</v>
      </c>
      <c r="R304" s="137" t="s">
        <v>193</v>
      </c>
      <c r="S304" s="137" t="s">
        <v>193</v>
      </c>
      <c r="T304" s="137" t="s">
        <v>193</v>
      </c>
      <c r="U304" s="137" t="s">
        <v>193</v>
      </c>
      <c r="V304" s="137" t="s">
        <v>193</v>
      </c>
      <c r="W304" s="137" t="s">
        <v>193</v>
      </c>
      <c r="X304" s="137" t="s">
        <v>193</v>
      </c>
      <c r="Y304" s="137" t="s">
        <v>193</v>
      </c>
      <c r="Z304" s="137" t="s">
        <v>193</v>
      </c>
      <c r="AA304" s="137" t="s">
        <v>193</v>
      </c>
      <c r="AB304" s="137" t="s">
        <v>193</v>
      </c>
      <c r="AC304" s="137" t="s">
        <v>193</v>
      </c>
      <c r="AD304" s="137" t="s">
        <v>193</v>
      </c>
      <c r="AE304" s="137" t="s">
        <v>193</v>
      </c>
      <c r="AF304" s="137" t="s">
        <v>193</v>
      </c>
      <c r="AG304" s="137" t="s">
        <v>193</v>
      </c>
      <c r="AH304" s="137" t="s">
        <v>53</v>
      </c>
      <c r="AI304" s="137" t="s">
        <v>193</v>
      </c>
      <c r="AJ304" s="137" t="s">
        <v>193</v>
      </c>
      <c r="AK304" s="137" t="s">
        <v>193</v>
      </c>
      <c r="AL304" s="137" t="s">
        <v>193</v>
      </c>
      <c r="AM304" s="137" t="s">
        <v>193</v>
      </c>
      <c r="AN304" s="137" t="s">
        <v>193</v>
      </c>
      <c r="AO304" s="137" t="s">
        <v>193</v>
      </c>
      <c r="AQ304" s="12">
        <f t="shared" si="36"/>
        <v>0</v>
      </c>
      <c r="AR304" s="12">
        <f t="shared" si="34"/>
        <v>0</v>
      </c>
      <c r="AT304" s="12">
        <f t="shared" si="37"/>
        <v>0</v>
      </c>
      <c r="AU304" s="12">
        <f t="shared" si="38"/>
        <v>0</v>
      </c>
      <c r="AV304" s="13" t="str">
        <f t="shared" si="39"/>
        <v/>
      </c>
      <c r="AY304" s="12">
        <f t="shared" si="40"/>
        <v>0</v>
      </c>
      <c r="AZ304" s="12">
        <f t="shared" si="41"/>
        <v>0</v>
      </c>
      <c r="BA304" s="12">
        <f t="shared" si="41"/>
        <v>0</v>
      </c>
      <c r="BB304" s="12">
        <f t="shared" si="41"/>
        <v>0</v>
      </c>
      <c r="BC304" s="12">
        <f t="shared" si="35"/>
        <v>0</v>
      </c>
      <c r="BD304" s="12">
        <f t="shared" si="42"/>
        <v>0</v>
      </c>
    </row>
    <row r="305" spans="1:56" ht="15" customHeight="1" x14ac:dyDescent="0.25">
      <c r="A305" s="137" t="s">
        <v>601</v>
      </c>
      <c r="B305" s="137" t="s">
        <v>607</v>
      </c>
      <c r="C305" s="137">
        <v>2018</v>
      </c>
      <c r="D305" s="137" t="s">
        <v>193</v>
      </c>
      <c r="E305" s="137" t="s">
        <v>193</v>
      </c>
      <c r="F305" s="137" t="s">
        <v>193</v>
      </c>
      <c r="G305" s="137" t="s">
        <v>193</v>
      </c>
      <c r="H305" s="137" t="s">
        <v>193</v>
      </c>
      <c r="I305" s="137" t="s">
        <v>193</v>
      </c>
      <c r="J305" s="137" t="s">
        <v>193</v>
      </c>
      <c r="K305" s="137" t="s">
        <v>193</v>
      </c>
      <c r="L305" s="137" t="s">
        <v>193</v>
      </c>
      <c r="M305" s="137" t="s">
        <v>193</v>
      </c>
      <c r="N305" s="137" t="s">
        <v>193</v>
      </c>
      <c r="O305" s="137" t="s">
        <v>193</v>
      </c>
      <c r="P305" s="137" t="s">
        <v>193</v>
      </c>
      <c r="Q305" s="137" t="s">
        <v>193</v>
      </c>
      <c r="R305" s="137" t="s">
        <v>193</v>
      </c>
      <c r="S305" s="137" t="s">
        <v>193</v>
      </c>
      <c r="T305" s="137" t="s">
        <v>193</v>
      </c>
      <c r="U305" s="137" t="s">
        <v>193</v>
      </c>
      <c r="V305" s="137" t="s">
        <v>193</v>
      </c>
      <c r="W305" s="137" t="s">
        <v>193</v>
      </c>
      <c r="X305" s="137" t="s">
        <v>193</v>
      </c>
      <c r="Y305" s="137" t="s">
        <v>193</v>
      </c>
      <c r="Z305" s="137" t="s">
        <v>193</v>
      </c>
      <c r="AA305" s="137" t="s">
        <v>193</v>
      </c>
      <c r="AB305" s="137" t="s">
        <v>193</v>
      </c>
      <c r="AC305" s="137" t="s">
        <v>193</v>
      </c>
      <c r="AD305" s="137" t="s">
        <v>193</v>
      </c>
      <c r="AE305" s="137" t="s">
        <v>193</v>
      </c>
      <c r="AF305" s="137" t="s">
        <v>193</v>
      </c>
      <c r="AG305" s="137" t="s">
        <v>193</v>
      </c>
      <c r="AH305" s="137" t="s">
        <v>53</v>
      </c>
      <c r="AI305" s="137" t="s">
        <v>193</v>
      </c>
      <c r="AJ305" s="137" t="s">
        <v>193</v>
      </c>
      <c r="AK305" s="137" t="s">
        <v>193</v>
      </c>
      <c r="AL305" s="137" t="s">
        <v>193</v>
      </c>
      <c r="AM305" s="137" t="s">
        <v>193</v>
      </c>
      <c r="AN305" s="137" t="s">
        <v>193</v>
      </c>
      <c r="AO305" s="137" t="s">
        <v>193</v>
      </c>
      <c r="AQ305" s="12">
        <f t="shared" si="36"/>
        <v>0</v>
      </c>
      <c r="AR305" s="12">
        <f t="shared" si="34"/>
        <v>0</v>
      </c>
      <c r="AT305" s="12">
        <f t="shared" si="37"/>
        <v>0</v>
      </c>
      <c r="AU305" s="12">
        <f t="shared" si="38"/>
        <v>0</v>
      </c>
      <c r="AV305" s="13" t="str">
        <f t="shared" si="39"/>
        <v/>
      </c>
      <c r="AY305" s="12">
        <f t="shared" si="40"/>
        <v>0</v>
      </c>
      <c r="AZ305" s="12">
        <f t="shared" si="41"/>
        <v>0</v>
      </c>
      <c r="BA305" s="12">
        <f t="shared" si="41"/>
        <v>0</v>
      </c>
      <c r="BB305" s="12">
        <f t="shared" si="41"/>
        <v>0</v>
      </c>
      <c r="BC305" s="12">
        <f t="shared" si="35"/>
        <v>0</v>
      </c>
      <c r="BD305" s="12">
        <f t="shared" si="42"/>
        <v>0</v>
      </c>
    </row>
    <row r="306" spans="1:56" ht="15" customHeight="1" x14ac:dyDescent="0.25">
      <c r="A306" s="137" t="s">
        <v>608</v>
      </c>
      <c r="B306" s="137" t="s">
        <v>609</v>
      </c>
      <c r="C306" s="137">
        <v>2018</v>
      </c>
      <c r="D306" s="137" t="s">
        <v>193</v>
      </c>
      <c r="E306" s="137" t="s">
        <v>193</v>
      </c>
      <c r="F306" s="137" t="s">
        <v>193</v>
      </c>
      <c r="G306" s="137" t="s">
        <v>193</v>
      </c>
      <c r="H306" s="137" t="s">
        <v>193</v>
      </c>
      <c r="I306" s="137" t="s">
        <v>193</v>
      </c>
      <c r="J306" s="137" t="s">
        <v>193</v>
      </c>
      <c r="K306" s="137" t="s">
        <v>193</v>
      </c>
      <c r="L306" s="137" t="s">
        <v>193</v>
      </c>
      <c r="M306" s="137" t="s">
        <v>193</v>
      </c>
      <c r="N306" s="137" t="s">
        <v>193</v>
      </c>
      <c r="O306" s="137" t="s">
        <v>193</v>
      </c>
      <c r="P306" s="137" t="s">
        <v>193</v>
      </c>
      <c r="Q306" s="137" t="s">
        <v>193</v>
      </c>
      <c r="R306" s="137" t="s">
        <v>193</v>
      </c>
      <c r="S306" s="137" t="s">
        <v>193</v>
      </c>
      <c r="T306" s="137" t="s">
        <v>193</v>
      </c>
      <c r="U306" s="137" t="s">
        <v>193</v>
      </c>
      <c r="V306" s="137" t="s">
        <v>193</v>
      </c>
      <c r="W306" s="137" t="s">
        <v>193</v>
      </c>
      <c r="X306" s="137" t="s">
        <v>193</v>
      </c>
      <c r="Y306" s="137" t="s">
        <v>193</v>
      </c>
      <c r="Z306" s="137" t="s">
        <v>193</v>
      </c>
      <c r="AA306" s="137" t="s">
        <v>193</v>
      </c>
      <c r="AB306" s="137" t="s">
        <v>193</v>
      </c>
      <c r="AC306" s="137" t="s">
        <v>193</v>
      </c>
      <c r="AD306" s="137" t="s">
        <v>193</v>
      </c>
      <c r="AE306" s="137" t="s">
        <v>193</v>
      </c>
      <c r="AF306" s="137" t="s">
        <v>193</v>
      </c>
      <c r="AG306" s="137" t="s">
        <v>193</v>
      </c>
      <c r="AH306" s="137" t="s">
        <v>53</v>
      </c>
      <c r="AI306" s="137" t="s">
        <v>193</v>
      </c>
      <c r="AJ306" s="137" t="s">
        <v>193</v>
      </c>
      <c r="AK306" s="137" t="s">
        <v>193</v>
      </c>
      <c r="AL306" s="137" t="s">
        <v>193</v>
      </c>
      <c r="AM306" s="137" t="s">
        <v>193</v>
      </c>
      <c r="AN306" s="137" t="s">
        <v>193</v>
      </c>
      <c r="AO306" s="137" t="s">
        <v>193</v>
      </c>
      <c r="AQ306" s="12">
        <f t="shared" si="36"/>
        <v>0</v>
      </c>
      <c r="AR306" s="12">
        <f t="shared" si="34"/>
        <v>0</v>
      </c>
      <c r="AT306" s="12">
        <f t="shared" si="37"/>
        <v>0</v>
      </c>
      <c r="AU306" s="12">
        <f t="shared" si="38"/>
        <v>0</v>
      </c>
      <c r="AV306" s="13" t="str">
        <f t="shared" si="39"/>
        <v/>
      </c>
      <c r="AY306" s="12">
        <f t="shared" si="40"/>
        <v>0</v>
      </c>
      <c r="AZ306" s="12">
        <f t="shared" si="41"/>
        <v>0</v>
      </c>
      <c r="BA306" s="12">
        <f t="shared" si="41"/>
        <v>0</v>
      </c>
      <c r="BB306" s="12">
        <f t="shared" si="41"/>
        <v>0</v>
      </c>
      <c r="BC306" s="12">
        <f t="shared" si="35"/>
        <v>0</v>
      </c>
      <c r="BD306" s="12">
        <f t="shared" si="42"/>
        <v>0</v>
      </c>
    </row>
    <row r="307" spans="1:56" ht="15" customHeight="1" x14ac:dyDescent="0.25">
      <c r="A307" s="137" t="s">
        <v>608</v>
      </c>
      <c r="B307" s="137" t="s">
        <v>610</v>
      </c>
      <c r="C307" s="137">
        <v>2018</v>
      </c>
      <c r="D307" s="137">
        <v>448</v>
      </c>
      <c r="E307" s="137">
        <v>221</v>
      </c>
      <c r="F307" s="137" t="s">
        <v>193</v>
      </c>
      <c r="G307" s="137" t="s">
        <v>193</v>
      </c>
      <c r="H307" s="137" t="s">
        <v>193</v>
      </c>
      <c r="I307" s="137">
        <v>884.23800000000006</v>
      </c>
      <c r="J307" s="137" t="s">
        <v>193</v>
      </c>
      <c r="K307" s="137">
        <v>1.95</v>
      </c>
      <c r="L307" s="137" t="s">
        <v>193</v>
      </c>
      <c r="M307" s="137" t="s">
        <v>193</v>
      </c>
      <c r="N307" s="137" t="s">
        <v>193</v>
      </c>
      <c r="O307" s="137" t="s">
        <v>193</v>
      </c>
      <c r="P307" s="137" t="s">
        <v>193</v>
      </c>
      <c r="Q307" s="137">
        <v>67.92</v>
      </c>
      <c r="R307" s="137">
        <v>51.37</v>
      </c>
      <c r="S307" s="137">
        <v>27.518000000000001</v>
      </c>
      <c r="T307" s="137">
        <v>86.62</v>
      </c>
      <c r="U307" s="137">
        <v>0.14000000000000001</v>
      </c>
      <c r="V307" s="137" t="s">
        <v>193</v>
      </c>
      <c r="W307" s="137" t="s">
        <v>193</v>
      </c>
      <c r="X307" s="137" t="s">
        <v>193</v>
      </c>
      <c r="Y307" s="137" t="s">
        <v>193</v>
      </c>
      <c r="Z307" s="137" t="s">
        <v>193</v>
      </c>
      <c r="AA307" s="137">
        <v>529.86</v>
      </c>
      <c r="AB307" s="137" t="s">
        <v>193</v>
      </c>
      <c r="AC307" s="137" t="s">
        <v>193</v>
      </c>
      <c r="AD307" s="137" t="s">
        <v>193</v>
      </c>
      <c r="AE307" s="137" t="s">
        <v>193</v>
      </c>
      <c r="AF307" s="137">
        <v>0.02</v>
      </c>
      <c r="AG307" s="137" t="s">
        <v>193</v>
      </c>
      <c r="AH307" s="137" t="s">
        <v>195</v>
      </c>
      <c r="AI307" s="137">
        <v>40.5</v>
      </c>
      <c r="AJ307" s="137" t="s">
        <v>193</v>
      </c>
      <c r="AK307" s="137">
        <v>118.84</v>
      </c>
      <c r="AL307" s="137">
        <v>100</v>
      </c>
      <c r="AM307" s="137">
        <v>0</v>
      </c>
      <c r="AN307" s="137">
        <v>0</v>
      </c>
      <c r="AO307" s="137">
        <v>0</v>
      </c>
      <c r="AQ307" s="12">
        <f t="shared" si="36"/>
        <v>765.39800000000002</v>
      </c>
      <c r="AR307" s="12">
        <f t="shared" si="34"/>
        <v>884.23800000000006</v>
      </c>
      <c r="AT307" s="12">
        <f t="shared" si="37"/>
        <v>448</v>
      </c>
      <c r="AU307" s="12">
        <f t="shared" si="38"/>
        <v>221</v>
      </c>
      <c r="AV307" s="13">
        <f t="shared" si="39"/>
        <v>0.75658363472277823</v>
      </c>
      <c r="AY307" s="12">
        <f t="shared" si="40"/>
        <v>118.84</v>
      </c>
      <c r="AZ307" s="12">
        <f t="shared" si="41"/>
        <v>118.84</v>
      </c>
      <c r="BA307" s="12">
        <f t="shared" si="41"/>
        <v>0</v>
      </c>
      <c r="BB307" s="12">
        <f t="shared" si="41"/>
        <v>0</v>
      </c>
      <c r="BC307" s="12">
        <f t="shared" si="35"/>
        <v>0</v>
      </c>
      <c r="BD307" s="12">
        <f t="shared" si="42"/>
        <v>0</v>
      </c>
    </row>
    <row r="308" spans="1:56" ht="15" customHeight="1" x14ac:dyDescent="0.25">
      <c r="A308" s="137" t="s">
        <v>611</v>
      </c>
      <c r="B308" s="137" t="s">
        <v>612</v>
      </c>
      <c r="C308" s="137">
        <v>2018</v>
      </c>
      <c r="D308" s="137">
        <v>46.058999999999997</v>
      </c>
      <c r="E308" s="137">
        <v>6.2850000000000001</v>
      </c>
      <c r="F308" s="137" t="s">
        <v>193</v>
      </c>
      <c r="G308" s="137" t="s">
        <v>193</v>
      </c>
      <c r="H308" s="137" t="s">
        <v>193</v>
      </c>
      <c r="I308" s="137">
        <v>61.963999999999999</v>
      </c>
      <c r="J308" s="137" t="s">
        <v>193</v>
      </c>
      <c r="K308" s="137">
        <v>0.03</v>
      </c>
      <c r="L308" s="137" t="s">
        <v>193</v>
      </c>
      <c r="M308" s="137" t="s">
        <v>193</v>
      </c>
      <c r="N308" s="137" t="s">
        <v>193</v>
      </c>
      <c r="O308" s="137" t="s">
        <v>193</v>
      </c>
      <c r="P308" s="137" t="s">
        <v>193</v>
      </c>
      <c r="Q308" s="137">
        <v>1.3</v>
      </c>
      <c r="R308" s="137" t="s">
        <v>193</v>
      </c>
      <c r="S308" s="137" t="s">
        <v>193</v>
      </c>
      <c r="T308" s="137" t="s">
        <v>193</v>
      </c>
      <c r="U308" s="137" t="s">
        <v>193</v>
      </c>
      <c r="V308" s="137" t="s">
        <v>193</v>
      </c>
      <c r="W308" s="137" t="s">
        <v>194</v>
      </c>
      <c r="X308" s="137" t="s">
        <v>193</v>
      </c>
      <c r="Y308" s="137" t="s">
        <v>193</v>
      </c>
      <c r="Z308" s="137" t="s">
        <v>193</v>
      </c>
      <c r="AA308" s="137">
        <v>60.347000000000001</v>
      </c>
      <c r="AB308" s="137" t="s">
        <v>193</v>
      </c>
      <c r="AC308" s="137" t="s">
        <v>193</v>
      </c>
      <c r="AD308" s="137">
        <v>0.25800000000000001</v>
      </c>
      <c r="AE308" s="137">
        <v>0</v>
      </c>
      <c r="AF308" s="137">
        <v>2.9000000000000001E-2</v>
      </c>
      <c r="AG308" s="137" t="s">
        <v>193</v>
      </c>
      <c r="AH308" s="137" t="s">
        <v>195</v>
      </c>
      <c r="AI308" s="137">
        <v>40.5</v>
      </c>
      <c r="AJ308" s="137" t="s">
        <v>193</v>
      </c>
      <c r="AK308" s="137" t="s">
        <v>193</v>
      </c>
      <c r="AL308" s="137" t="s">
        <v>193</v>
      </c>
      <c r="AM308" s="137" t="s">
        <v>193</v>
      </c>
      <c r="AN308" s="137" t="s">
        <v>193</v>
      </c>
      <c r="AO308" s="137" t="s">
        <v>193</v>
      </c>
      <c r="AQ308" s="12">
        <f t="shared" si="36"/>
        <v>61.964000000000006</v>
      </c>
      <c r="AR308" s="12">
        <f t="shared" si="34"/>
        <v>61.964000000000006</v>
      </c>
      <c r="AT308" s="12">
        <f t="shared" si="37"/>
        <v>46.058999999999997</v>
      </c>
      <c r="AU308" s="12">
        <f t="shared" si="38"/>
        <v>6.2850000000000001</v>
      </c>
      <c r="AV308" s="13">
        <f t="shared" si="39"/>
        <v>0.8447485636821378</v>
      </c>
      <c r="AY308" s="12">
        <f t="shared" si="40"/>
        <v>0</v>
      </c>
      <c r="AZ308" s="12">
        <f t="shared" si="41"/>
        <v>0</v>
      </c>
      <c r="BA308" s="12">
        <f t="shared" si="41"/>
        <v>0</v>
      </c>
      <c r="BB308" s="12">
        <f t="shared" si="41"/>
        <v>0</v>
      </c>
      <c r="BC308" s="12">
        <f t="shared" si="35"/>
        <v>0</v>
      </c>
      <c r="BD308" s="12">
        <f t="shared" si="42"/>
        <v>0</v>
      </c>
    </row>
    <row r="309" spans="1:56" ht="15" customHeight="1" x14ac:dyDescent="0.25">
      <c r="A309" s="137" t="s">
        <v>613</v>
      </c>
      <c r="B309" s="137" t="s">
        <v>614</v>
      </c>
      <c r="C309" s="137">
        <v>2018</v>
      </c>
      <c r="D309" s="137" t="s">
        <v>193</v>
      </c>
      <c r="E309" s="137" t="s">
        <v>193</v>
      </c>
      <c r="F309" s="137" t="s">
        <v>193</v>
      </c>
      <c r="G309" s="137" t="s">
        <v>193</v>
      </c>
      <c r="H309" s="137" t="s">
        <v>193</v>
      </c>
      <c r="I309" s="137" t="s">
        <v>193</v>
      </c>
      <c r="J309" s="137" t="s">
        <v>193</v>
      </c>
      <c r="K309" s="137" t="s">
        <v>193</v>
      </c>
      <c r="L309" s="137" t="s">
        <v>193</v>
      </c>
      <c r="M309" s="137" t="s">
        <v>193</v>
      </c>
      <c r="N309" s="137" t="s">
        <v>193</v>
      </c>
      <c r="O309" s="137" t="s">
        <v>193</v>
      </c>
      <c r="P309" s="137" t="s">
        <v>193</v>
      </c>
      <c r="Q309" s="137" t="s">
        <v>193</v>
      </c>
      <c r="R309" s="137" t="s">
        <v>193</v>
      </c>
      <c r="S309" s="137" t="s">
        <v>193</v>
      </c>
      <c r="T309" s="137" t="s">
        <v>193</v>
      </c>
      <c r="U309" s="137" t="s">
        <v>193</v>
      </c>
      <c r="V309" s="137" t="s">
        <v>193</v>
      </c>
      <c r="W309" s="137" t="s">
        <v>193</v>
      </c>
      <c r="X309" s="137" t="s">
        <v>193</v>
      </c>
      <c r="Y309" s="137" t="s">
        <v>193</v>
      </c>
      <c r="Z309" s="137" t="s">
        <v>193</v>
      </c>
      <c r="AA309" s="137" t="s">
        <v>193</v>
      </c>
      <c r="AB309" s="137" t="s">
        <v>193</v>
      </c>
      <c r="AC309" s="137" t="s">
        <v>193</v>
      </c>
      <c r="AD309" s="137" t="s">
        <v>193</v>
      </c>
      <c r="AE309" s="137" t="s">
        <v>193</v>
      </c>
      <c r="AF309" s="137" t="s">
        <v>193</v>
      </c>
      <c r="AG309" s="137" t="s">
        <v>193</v>
      </c>
      <c r="AH309" s="137" t="s">
        <v>199</v>
      </c>
      <c r="AI309" s="137" t="s">
        <v>193</v>
      </c>
      <c r="AJ309" s="137" t="s">
        <v>193</v>
      </c>
      <c r="AK309" s="137" t="s">
        <v>193</v>
      </c>
      <c r="AL309" s="137" t="s">
        <v>193</v>
      </c>
      <c r="AM309" s="137" t="s">
        <v>193</v>
      </c>
      <c r="AN309" s="137" t="s">
        <v>193</v>
      </c>
      <c r="AO309" s="137" t="s">
        <v>193</v>
      </c>
      <c r="AQ309" s="12">
        <f t="shared" si="36"/>
        <v>0</v>
      </c>
      <c r="AR309" s="12">
        <f t="shared" si="34"/>
        <v>0</v>
      </c>
      <c r="AT309" s="12">
        <f t="shared" si="37"/>
        <v>0</v>
      </c>
      <c r="AU309" s="12">
        <f t="shared" si="38"/>
        <v>0</v>
      </c>
      <c r="AV309" s="13" t="str">
        <f t="shared" si="39"/>
        <v/>
      </c>
      <c r="AY309" s="12">
        <f t="shared" si="40"/>
        <v>0</v>
      </c>
      <c r="AZ309" s="12">
        <f t="shared" si="41"/>
        <v>0</v>
      </c>
      <c r="BA309" s="12">
        <f t="shared" si="41"/>
        <v>0</v>
      </c>
      <c r="BB309" s="12">
        <f t="shared" si="41"/>
        <v>0</v>
      </c>
      <c r="BC309" s="12">
        <f t="shared" si="35"/>
        <v>0</v>
      </c>
      <c r="BD309" s="12">
        <f t="shared" si="42"/>
        <v>0</v>
      </c>
    </row>
    <row r="310" spans="1:56" ht="15" customHeight="1" x14ac:dyDescent="0.25">
      <c r="A310" s="137" t="s">
        <v>613</v>
      </c>
      <c r="B310" s="137" t="s">
        <v>615</v>
      </c>
      <c r="C310" s="137">
        <v>2018</v>
      </c>
      <c r="D310" s="137" t="s">
        <v>193</v>
      </c>
      <c r="E310" s="137" t="s">
        <v>193</v>
      </c>
      <c r="F310" s="137" t="s">
        <v>193</v>
      </c>
      <c r="G310" s="137" t="s">
        <v>193</v>
      </c>
      <c r="H310" s="137" t="s">
        <v>193</v>
      </c>
      <c r="I310" s="137" t="s">
        <v>193</v>
      </c>
      <c r="J310" s="137" t="s">
        <v>193</v>
      </c>
      <c r="K310" s="137" t="s">
        <v>193</v>
      </c>
      <c r="L310" s="137" t="s">
        <v>193</v>
      </c>
      <c r="M310" s="137" t="s">
        <v>193</v>
      </c>
      <c r="N310" s="137" t="s">
        <v>193</v>
      </c>
      <c r="O310" s="137" t="s">
        <v>193</v>
      </c>
      <c r="P310" s="137" t="s">
        <v>193</v>
      </c>
      <c r="Q310" s="137" t="s">
        <v>193</v>
      </c>
      <c r="R310" s="137" t="s">
        <v>193</v>
      </c>
      <c r="S310" s="137" t="s">
        <v>193</v>
      </c>
      <c r="T310" s="137" t="s">
        <v>193</v>
      </c>
      <c r="U310" s="137" t="s">
        <v>193</v>
      </c>
      <c r="V310" s="137" t="s">
        <v>193</v>
      </c>
      <c r="W310" s="137" t="s">
        <v>193</v>
      </c>
      <c r="X310" s="137" t="s">
        <v>193</v>
      </c>
      <c r="Y310" s="137" t="s">
        <v>193</v>
      </c>
      <c r="Z310" s="137" t="s">
        <v>193</v>
      </c>
      <c r="AA310" s="137" t="s">
        <v>193</v>
      </c>
      <c r="AB310" s="137" t="s">
        <v>193</v>
      </c>
      <c r="AC310" s="137" t="s">
        <v>193</v>
      </c>
      <c r="AD310" s="137" t="s">
        <v>193</v>
      </c>
      <c r="AE310" s="137" t="s">
        <v>193</v>
      </c>
      <c r="AF310" s="137" t="s">
        <v>193</v>
      </c>
      <c r="AG310" s="137" t="s">
        <v>193</v>
      </c>
      <c r="AH310" s="137" t="s">
        <v>199</v>
      </c>
      <c r="AI310" s="137" t="s">
        <v>193</v>
      </c>
      <c r="AJ310" s="137" t="s">
        <v>193</v>
      </c>
      <c r="AK310" s="137" t="s">
        <v>193</v>
      </c>
      <c r="AL310" s="137" t="s">
        <v>193</v>
      </c>
      <c r="AM310" s="137" t="s">
        <v>193</v>
      </c>
      <c r="AN310" s="137" t="s">
        <v>193</v>
      </c>
      <c r="AO310" s="137" t="s">
        <v>193</v>
      </c>
      <c r="AQ310" s="12">
        <f t="shared" si="36"/>
        <v>0</v>
      </c>
      <c r="AR310" s="12">
        <f t="shared" si="34"/>
        <v>0</v>
      </c>
      <c r="AT310" s="12">
        <f t="shared" si="37"/>
        <v>0</v>
      </c>
      <c r="AU310" s="12">
        <f t="shared" si="38"/>
        <v>0</v>
      </c>
      <c r="AV310" s="13" t="str">
        <f t="shared" si="39"/>
        <v/>
      </c>
      <c r="AY310" s="12">
        <f t="shared" si="40"/>
        <v>0</v>
      </c>
      <c r="AZ310" s="12">
        <f t="shared" si="41"/>
        <v>0</v>
      </c>
      <c r="BA310" s="12">
        <f t="shared" si="41"/>
        <v>0</v>
      </c>
      <c r="BB310" s="12">
        <f t="shared" si="41"/>
        <v>0</v>
      </c>
      <c r="BC310" s="12">
        <f t="shared" si="35"/>
        <v>0</v>
      </c>
      <c r="BD310" s="12">
        <f t="shared" si="42"/>
        <v>0</v>
      </c>
    </row>
    <row r="311" spans="1:56" ht="15" customHeight="1" x14ac:dyDescent="0.25">
      <c r="A311" s="137" t="s">
        <v>616</v>
      </c>
      <c r="B311" s="137" t="s">
        <v>616</v>
      </c>
      <c r="C311" s="137">
        <v>2018</v>
      </c>
      <c r="D311" s="137" t="s">
        <v>193</v>
      </c>
      <c r="E311" s="137" t="s">
        <v>193</v>
      </c>
      <c r="F311" s="137" t="s">
        <v>193</v>
      </c>
      <c r="G311" s="137" t="s">
        <v>193</v>
      </c>
      <c r="H311" s="137" t="s">
        <v>193</v>
      </c>
      <c r="I311" s="137" t="s">
        <v>193</v>
      </c>
      <c r="J311" s="137" t="s">
        <v>193</v>
      </c>
      <c r="K311" s="137" t="s">
        <v>193</v>
      </c>
      <c r="L311" s="137" t="s">
        <v>193</v>
      </c>
      <c r="M311" s="137" t="s">
        <v>193</v>
      </c>
      <c r="N311" s="137" t="s">
        <v>193</v>
      </c>
      <c r="O311" s="137" t="s">
        <v>193</v>
      </c>
      <c r="P311" s="137" t="s">
        <v>193</v>
      </c>
      <c r="Q311" s="137" t="s">
        <v>193</v>
      </c>
      <c r="R311" s="137" t="s">
        <v>193</v>
      </c>
      <c r="S311" s="137" t="s">
        <v>193</v>
      </c>
      <c r="T311" s="137" t="s">
        <v>193</v>
      </c>
      <c r="U311" s="137" t="s">
        <v>193</v>
      </c>
      <c r="V311" s="137" t="s">
        <v>193</v>
      </c>
      <c r="W311" s="137" t="s">
        <v>193</v>
      </c>
      <c r="X311" s="137" t="s">
        <v>193</v>
      </c>
      <c r="Y311" s="137" t="s">
        <v>193</v>
      </c>
      <c r="Z311" s="137" t="s">
        <v>193</v>
      </c>
      <c r="AA311" s="137" t="s">
        <v>193</v>
      </c>
      <c r="AB311" s="137" t="s">
        <v>193</v>
      </c>
      <c r="AC311" s="137" t="s">
        <v>193</v>
      </c>
      <c r="AD311" s="137" t="s">
        <v>193</v>
      </c>
      <c r="AE311" s="137" t="s">
        <v>193</v>
      </c>
      <c r="AF311" s="137" t="s">
        <v>193</v>
      </c>
      <c r="AG311" s="137" t="s">
        <v>193</v>
      </c>
      <c r="AH311" s="137" t="s">
        <v>199</v>
      </c>
      <c r="AI311" s="137" t="s">
        <v>193</v>
      </c>
      <c r="AJ311" s="137" t="s">
        <v>193</v>
      </c>
      <c r="AK311" s="137" t="s">
        <v>193</v>
      </c>
      <c r="AL311" s="137" t="s">
        <v>193</v>
      </c>
      <c r="AM311" s="137" t="s">
        <v>193</v>
      </c>
      <c r="AN311" s="137" t="s">
        <v>193</v>
      </c>
      <c r="AO311" s="137" t="s">
        <v>193</v>
      </c>
      <c r="AQ311" s="12">
        <f t="shared" si="36"/>
        <v>0</v>
      </c>
      <c r="AR311" s="12">
        <f t="shared" si="34"/>
        <v>0</v>
      </c>
      <c r="AT311" s="12">
        <f t="shared" si="37"/>
        <v>0</v>
      </c>
      <c r="AU311" s="12">
        <f t="shared" si="38"/>
        <v>0</v>
      </c>
      <c r="AV311" s="13" t="str">
        <f t="shared" si="39"/>
        <v/>
      </c>
      <c r="AY311" s="12">
        <f t="shared" si="40"/>
        <v>0</v>
      </c>
      <c r="AZ311" s="12">
        <f t="shared" si="41"/>
        <v>0</v>
      </c>
      <c r="BA311" s="12">
        <f t="shared" si="41"/>
        <v>0</v>
      </c>
      <c r="BB311" s="12">
        <f t="shared" si="41"/>
        <v>0</v>
      </c>
      <c r="BC311" s="12">
        <f t="shared" si="35"/>
        <v>0</v>
      </c>
      <c r="BD311" s="12">
        <f t="shared" si="42"/>
        <v>0</v>
      </c>
    </row>
    <row r="312" spans="1:56" ht="15" customHeight="1" x14ac:dyDescent="0.25">
      <c r="A312" s="137" t="s">
        <v>617</v>
      </c>
      <c r="B312" s="137" t="s">
        <v>135</v>
      </c>
      <c r="C312" s="137">
        <v>2018</v>
      </c>
      <c r="D312" s="137" t="s">
        <v>193</v>
      </c>
      <c r="E312" s="137" t="s">
        <v>193</v>
      </c>
      <c r="F312" s="137" t="s">
        <v>193</v>
      </c>
      <c r="G312" s="137" t="s">
        <v>193</v>
      </c>
      <c r="H312" s="137" t="s">
        <v>193</v>
      </c>
      <c r="I312" s="137" t="s">
        <v>193</v>
      </c>
      <c r="J312" s="137" t="s">
        <v>193</v>
      </c>
      <c r="K312" s="137" t="s">
        <v>193</v>
      </c>
      <c r="L312" s="137" t="s">
        <v>193</v>
      </c>
      <c r="M312" s="137" t="s">
        <v>193</v>
      </c>
      <c r="N312" s="137" t="s">
        <v>193</v>
      </c>
      <c r="O312" s="137" t="s">
        <v>193</v>
      </c>
      <c r="P312" s="137" t="s">
        <v>193</v>
      </c>
      <c r="Q312" s="137" t="s">
        <v>193</v>
      </c>
      <c r="R312" s="137" t="s">
        <v>193</v>
      </c>
      <c r="S312" s="137" t="s">
        <v>193</v>
      </c>
      <c r="T312" s="137" t="s">
        <v>193</v>
      </c>
      <c r="U312" s="137" t="s">
        <v>193</v>
      </c>
      <c r="V312" s="137" t="s">
        <v>193</v>
      </c>
      <c r="W312" s="137" t="s">
        <v>193</v>
      </c>
      <c r="X312" s="137" t="s">
        <v>193</v>
      </c>
      <c r="Y312" s="137" t="s">
        <v>193</v>
      </c>
      <c r="Z312" s="137" t="s">
        <v>193</v>
      </c>
      <c r="AA312" s="137" t="s">
        <v>193</v>
      </c>
      <c r="AB312" s="137" t="s">
        <v>193</v>
      </c>
      <c r="AC312" s="137" t="s">
        <v>193</v>
      </c>
      <c r="AD312" s="137" t="s">
        <v>193</v>
      </c>
      <c r="AE312" s="137" t="s">
        <v>193</v>
      </c>
      <c r="AF312" s="137" t="s">
        <v>193</v>
      </c>
      <c r="AG312" s="137" t="s">
        <v>193</v>
      </c>
      <c r="AH312" s="137" t="s">
        <v>53</v>
      </c>
      <c r="AI312" s="137" t="s">
        <v>193</v>
      </c>
      <c r="AJ312" s="137" t="s">
        <v>193</v>
      </c>
      <c r="AK312" s="137" t="s">
        <v>193</v>
      </c>
      <c r="AL312" s="137" t="s">
        <v>193</v>
      </c>
      <c r="AM312" s="137" t="s">
        <v>193</v>
      </c>
      <c r="AN312" s="137" t="s">
        <v>193</v>
      </c>
      <c r="AO312" s="137" t="s">
        <v>193</v>
      </c>
      <c r="AQ312" s="12">
        <f t="shared" si="36"/>
        <v>0</v>
      </c>
      <c r="AR312" s="12">
        <f t="shared" si="34"/>
        <v>0</v>
      </c>
      <c r="AT312" s="12">
        <f t="shared" si="37"/>
        <v>0</v>
      </c>
      <c r="AU312" s="12">
        <f t="shared" si="38"/>
        <v>0</v>
      </c>
      <c r="AV312" s="13" t="str">
        <f t="shared" si="39"/>
        <v/>
      </c>
      <c r="AY312" s="12">
        <f t="shared" si="40"/>
        <v>0</v>
      </c>
      <c r="AZ312" s="12">
        <f t="shared" si="41"/>
        <v>0</v>
      </c>
      <c r="BA312" s="12">
        <f t="shared" si="41"/>
        <v>0</v>
      </c>
      <c r="BB312" s="12">
        <f t="shared" si="41"/>
        <v>0</v>
      </c>
      <c r="BC312" s="12">
        <f t="shared" si="35"/>
        <v>0</v>
      </c>
      <c r="BD312" s="12">
        <f t="shared" si="42"/>
        <v>0</v>
      </c>
    </row>
    <row r="313" spans="1:56" ht="15" customHeight="1" x14ac:dyDescent="0.25">
      <c r="A313" s="137" t="s">
        <v>618</v>
      </c>
      <c r="B313" s="137" t="s">
        <v>619</v>
      </c>
      <c r="C313" s="137">
        <v>2018</v>
      </c>
      <c r="D313" s="137">
        <v>125.4</v>
      </c>
      <c r="E313" s="137">
        <v>25.8</v>
      </c>
      <c r="F313" s="137" t="s">
        <v>193</v>
      </c>
      <c r="G313" s="137" t="s">
        <v>193</v>
      </c>
      <c r="H313" s="137" t="s">
        <v>193</v>
      </c>
      <c r="I313" s="137">
        <v>193.52</v>
      </c>
      <c r="J313" s="137" t="s">
        <v>193</v>
      </c>
      <c r="K313" s="137" t="s">
        <v>193</v>
      </c>
      <c r="L313" s="137" t="s">
        <v>193</v>
      </c>
      <c r="M313" s="137" t="s">
        <v>193</v>
      </c>
      <c r="N313" s="137" t="s">
        <v>193</v>
      </c>
      <c r="O313" s="137" t="s">
        <v>193</v>
      </c>
      <c r="P313" s="137" t="s">
        <v>193</v>
      </c>
      <c r="Q313" s="137">
        <v>109.74</v>
      </c>
      <c r="R313" s="137">
        <v>39.29</v>
      </c>
      <c r="S313" s="137" t="s">
        <v>193</v>
      </c>
      <c r="T313" s="137">
        <v>15.89</v>
      </c>
      <c r="U313" s="137" t="s">
        <v>193</v>
      </c>
      <c r="V313" s="137" t="s">
        <v>193</v>
      </c>
      <c r="W313" s="137" t="s">
        <v>194</v>
      </c>
      <c r="X313" s="137" t="s">
        <v>193</v>
      </c>
      <c r="Y313" s="137" t="s">
        <v>193</v>
      </c>
      <c r="Z313" s="137" t="s">
        <v>193</v>
      </c>
      <c r="AA313" s="137" t="s">
        <v>193</v>
      </c>
      <c r="AB313" s="137" t="s">
        <v>193</v>
      </c>
      <c r="AC313" s="137" t="s">
        <v>193</v>
      </c>
      <c r="AD313" s="137" t="s">
        <v>193</v>
      </c>
      <c r="AE313" s="137" t="s">
        <v>193</v>
      </c>
      <c r="AF313" s="137" t="s">
        <v>193</v>
      </c>
      <c r="AG313" s="137" t="s">
        <v>193</v>
      </c>
      <c r="AH313" s="137" t="s">
        <v>199</v>
      </c>
      <c r="AI313" s="137" t="s">
        <v>193</v>
      </c>
      <c r="AJ313" s="137" t="s">
        <v>193</v>
      </c>
      <c r="AK313" s="137">
        <v>28.6</v>
      </c>
      <c r="AL313" s="137">
        <v>100</v>
      </c>
      <c r="AM313" s="137" t="s">
        <v>193</v>
      </c>
      <c r="AN313" s="137" t="s">
        <v>193</v>
      </c>
      <c r="AO313" s="137" t="s">
        <v>193</v>
      </c>
      <c r="AQ313" s="12">
        <f t="shared" si="36"/>
        <v>164.92000000000002</v>
      </c>
      <c r="AR313" s="12">
        <f t="shared" si="34"/>
        <v>193.52</v>
      </c>
      <c r="AT313" s="12">
        <f t="shared" si="37"/>
        <v>125.4</v>
      </c>
      <c r="AU313" s="12">
        <f t="shared" si="38"/>
        <v>25.8</v>
      </c>
      <c r="AV313" s="13">
        <f t="shared" si="39"/>
        <v>0.78131459280694504</v>
      </c>
      <c r="AY313" s="12">
        <f t="shared" si="40"/>
        <v>28.6</v>
      </c>
      <c r="AZ313" s="12">
        <f t="shared" si="41"/>
        <v>28.6</v>
      </c>
      <c r="BA313" s="12">
        <f t="shared" si="41"/>
        <v>0</v>
      </c>
      <c r="BB313" s="12">
        <f t="shared" si="41"/>
        <v>0</v>
      </c>
      <c r="BC313" s="12">
        <f t="shared" si="35"/>
        <v>0</v>
      </c>
      <c r="BD313" s="12">
        <f t="shared" si="42"/>
        <v>0</v>
      </c>
    </row>
    <row r="314" spans="1:56" ht="15" customHeight="1" x14ac:dyDescent="0.25">
      <c r="A314" s="137" t="s">
        <v>621</v>
      </c>
      <c r="B314" s="137" t="s">
        <v>622</v>
      </c>
      <c r="C314" s="137">
        <v>2018</v>
      </c>
      <c r="D314" s="137" t="s">
        <v>193</v>
      </c>
      <c r="E314" s="137" t="s">
        <v>193</v>
      </c>
      <c r="F314" s="137" t="s">
        <v>193</v>
      </c>
      <c r="G314" s="137" t="s">
        <v>193</v>
      </c>
      <c r="H314" s="137" t="s">
        <v>193</v>
      </c>
      <c r="I314" s="137" t="s">
        <v>193</v>
      </c>
      <c r="J314" s="137" t="s">
        <v>193</v>
      </c>
      <c r="K314" s="137" t="s">
        <v>193</v>
      </c>
      <c r="L314" s="137" t="s">
        <v>193</v>
      </c>
      <c r="M314" s="137" t="s">
        <v>193</v>
      </c>
      <c r="N314" s="137" t="s">
        <v>193</v>
      </c>
      <c r="O314" s="137" t="s">
        <v>193</v>
      </c>
      <c r="P314" s="137" t="s">
        <v>193</v>
      </c>
      <c r="Q314" s="137" t="s">
        <v>193</v>
      </c>
      <c r="R314" s="137" t="s">
        <v>193</v>
      </c>
      <c r="S314" s="137" t="s">
        <v>193</v>
      </c>
      <c r="T314" s="137" t="s">
        <v>193</v>
      </c>
      <c r="U314" s="137" t="s">
        <v>193</v>
      </c>
      <c r="V314" s="137" t="s">
        <v>193</v>
      </c>
      <c r="W314" s="137" t="s">
        <v>193</v>
      </c>
      <c r="X314" s="137" t="s">
        <v>193</v>
      </c>
      <c r="Y314" s="137" t="s">
        <v>193</v>
      </c>
      <c r="Z314" s="137" t="s">
        <v>193</v>
      </c>
      <c r="AA314" s="137" t="s">
        <v>193</v>
      </c>
      <c r="AB314" s="137" t="s">
        <v>193</v>
      </c>
      <c r="AC314" s="137" t="s">
        <v>193</v>
      </c>
      <c r="AD314" s="137" t="s">
        <v>193</v>
      </c>
      <c r="AE314" s="137" t="s">
        <v>193</v>
      </c>
      <c r="AF314" s="137" t="s">
        <v>193</v>
      </c>
      <c r="AG314" s="137" t="s">
        <v>193</v>
      </c>
      <c r="AH314" s="137" t="s">
        <v>53</v>
      </c>
      <c r="AI314" s="137" t="s">
        <v>193</v>
      </c>
      <c r="AJ314" s="137" t="s">
        <v>193</v>
      </c>
      <c r="AK314" s="137" t="s">
        <v>193</v>
      </c>
      <c r="AL314" s="137" t="s">
        <v>193</v>
      </c>
      <c r="AM314" s="137" t="s">
        <v>193</v>
      </c>
      <c r="AN314" s="137" t="s">
        <v>193</v>
      </c>
      <c r="AO314" s="137" t="s">
        <v>193</v>
      </c>
      <c r="AQ314" s="12">
        <f t="shared" si="36"/>
        <v>0</v>
      </c>
      <c r="AR314" s="12">
        <f t="shared" si="34"/>
        <v>0</v>
      </c>
      <c r="AT314" s="12">
        <f t="shared" si="37"/>
        <v>0</v>
      </c>
      <c r="AU314" s="12">
        <f t="shared" si="38"/>
        <v>0</v>
      </c>
      <c r="AV314" s="13" t="str">
        <f t="shared" si="39"/>
        <v/>
      </c>
      <c r="AY314" s="12">
        <f t="shared" si="40"/>
        <v>0</v>
      </c>
      <c r="AZ314" s="12">
        <f t="shared" si="41"/>
        <v>0</v>
      </c>
      <c r="BA314" s="12">
        <f t="shared" si="41"/>
        <v>0</v>
      </c>
      <c r="BB314" s="12">
        <f t="shared" si="41"/>
        <v>0</v>
      </c>
      <c r="BC314" s="12">
        <f t="shared" si="35"/>
        <v>0</v>
      </c>
      <c r="BD314" s="12">
        <f t="shared" si="42"/>
        <v>0</v>
      </c>
    </row>
    <row r="315" spans="1:56" ht="15" customHeight="1" x14ac:dyDescent="0.25">
      <c r="A315" s="137" t="s">
        <v>623</v>
      </c>
      <c r="B315" s="137" t="s">
        <v>624</v>
      </c>
      <c r="C315" s="137">
        <v>2018</v>
      </c>
      <c r="D315" s="137">
        <v>77.900000000000006</v>
      </c>
      <c r="E315" s="137">
        <v>9</v>
      </c>
      <c r="F315" s="137" t="s">
        <v>193</v>
      </c>
      <c r="G315" s="137" t="s">
        <v>193</v>
      </c>
      <c r="H315" s="137" t="s">
        <v>193</v>
      </c>
      <c r="I315" s="137">
        <v>110.4</v>
      </c>
      <c r="J315" s="137" t="s">
        <v>193</v>
      </c>
      <c r="K315" s="137" t="s">
        <v>193</v>
      </c>
      <c r="L315" s="137" t="s">
        <v>193</v>
      </c>
      <c r="M315" s="137" t="s">
        <v>193</v>
      </c>
      <c r="N315" s="137" t="s">
        <v>193</v>
      </c>
      <c r="O315" s="137" t="s">
        <v>193</v>
      </c>
      <c r="P315" s="137" t="s">
        <v>193</v>
      </c>
      <c r="Q315" s="137">
        <v>92.3</v>
      </c>
      <c r="R315" s="137" t="s">
        <v>193</v>
      </c>
      <c r="S315" s="137" t="s">
        <v>193</v>
      </c>
      <c r="T315" s="137" t="s">
        <v>193</v>
      </c>
      <c r="U315" s="137" t="s">
        <v>193</v>
      </c>
      <c r="V315" s="137" t="s">
        <v>193</v>
      </c>
      <c r="W315" s="137" t="s">
        <v>194</v>
      </c>
      <c r="X315" s="137" t="s">
        <v>193</v>
      </c>
      <c r="Y315" s="137" t="s">
        <v>193</v>
      </c>
      <c r="Z315" s="137" t="s">
        <v>193</v>
      </c>
      <c r="AA315" s="137" t="s">
        <v>193</v>
      </c>
      <c r="AB315" s="137" t="s">
        <v>193</v>
      </c>
      <c r="AC315" s="137" t="s">
        <v>193</v>
      </c>
      <c r="AD315" s="137" t="s">
        <v>193</v>
      </c>
      <c r="AE315" s="137" t="s">
        <v>193</v>
      </c>
      <c r="AF315" s="137" t="s">
        <v>193</v>
      </c>
      <c r="AG315" s="137" t="s">
        <v>193</v>
      </c>
      <c r="AH315" s="137" t="s">
        <v>199</v>
      </c>
      <c r="AI315" s="137" t="s">
        <v>193</v>
      </c>
      <c r="AJ315" s="137" t="s">
        <v>193</v>
      </c>
      <c r="AK315" s="137">
        <v>18.100000000000001</v>
      </c>
      <c r="AL315" s="137">
        <v>100</v>
      </c>
      <c r="AM315" s="137">
        <v>0</v>
      </c>
      <c r="AN315" s="137">
        <v>0</v>
      </c>
      <c r="AO315" s="137">
        <v>0</v>
      </c>
      <c r="AQ315" s="12">
        <f t="shared" si="36"/>
        <v>92.3</v>
      </c>
      <c r="AR315" s="12">
        <f t="shared" si="34"/>
        <v>110.4</v>
      </c>
      <c r="AT315" s="12">
        <f t="shared" si="37"/>
        <v>77.900000000000006</v>
      </c>
      <c r="AU315" s="12">
        <f t="shared" si="38"/>
        <v>9</v>
      </c>
      <c r="AV315" s="13">
        <f t="shared" si="39"/>
        <v>0.78713768115942029</v>
      </c>
      <c r="AY315" s="12">
        <f t="shared" si="40"/>
        <v>18.100000000000001</v>
      </c>
      <c r="AZ315" s="12">
        <f t="shared" si="41"/>
        <v>18.100000000000001</v>
      </c>
      <c r="BA315" s="12">
        <f t="shared" si="41"/>
        <v>0</v>
      </c>
      <c r="BB315" s="12">
        <f t="shared" si="41"/>
        <v>0</v>
      </c>
      <c r="BC315" s="12">
        <f t="shared" si="35"/>
        <v>0</v>
      </c>
      <c r="BD315" s="12">
        <f t="shared" si="42"/>
        <v>0</v>
      </c>
    </row>
    <row r="316" spans="1:56" ht="15" customHeight="1" x14ac:dyDescent="0.25">
      <c r="A316" s="137" t="s">
        <v>43</v>
      </c>
      <c r="B316" s="141" t="s">
        <v>51</v>
      </c>
      <c r="C316" s="137">
        <v>2018</v>
      </c>
      <c r="D316" s="137" t="s">
        <v>53</v>
      </c>
      <c r="E316" s="137" t="s">
        <v>53</v>
      </c>
      <c r="F316" s="137" t="s">
        <v>53</v>
      </c>
      <c r="G316" s="137" t="s">
        <v>53</v>
      </c>
      <c r="H316" s="137" t="s">
        <v>53</v>
      </c>
      <c r="I316" s="137" t="s">
        <v>53</v>
      </c>
      <c r="J316" s="137" t="s">
        <v>53</v>
      </c>
      <c r="K316" s="137" t="s">
        <v>53</v>
      </c>
      <c r="L316" s="137" t="s">
        <v>53</v>
      </c>
      <c r="M316" s="137" t="s">
        <v>53</v>
      </c>
      <c r="N316" s="137" t="s">
        <v>53</v>
      </c>
      <c r="O316" s="137" t="s">
        <v>53</v>
      </c>
      <c r="P316" s="137" t="s">
        <v>53</v>
      </c>
      <c r="Q316" s="137" t="s">
        <v>53</v>
      </c>
      <c r="R316" s="137" t="s">
        <v>53</v>
      </c>
      <c r="S316" s="137" t="s">
        <v>53</v>
      </c>
      <c r="T316" s="137" t="s">
        <v>53</v>
      </c>
      <c r="U316" s="137" t="s">
        <v>53</v>
      </c>
      <c r="V316" s="137" t="s">
        <v>53</v>
      </c>
      <c r="W316" s="137" t="s">
        <v>53</v>
      </c>
      <c r="X316" s="137" t="s">
        <v>53</v>
      </c>
      <c r="Y316" s="137" t="s">
        <v>53</v>
      </c>
      <c r="Z316" s="137" t="s">
        <v>53</v>
      </c>
      <c r="AA316" s="137" t="s">
        <v>53</v>
      </c>
      <c r="AB316" s="137" t="s">
        <v>53</v>
      </c>
      <c r="AC316" s="137" t="s">
        <v>53</v>
      </c>
      <c r="AD316" s="137" t="s">
        <v>53</v>
      </c>
      <c r="AE316" s="137" t="s">
        <v>53</v>
      </c>
      <c r="AF316" s="137" t="s">
        <v>53</v>
      </c>
      <c r="AG316" s="137" t="s">
        <v>53</v>
      </c>
      <c r="AH316" s="137" t="s">
        <v>53</v>
      </c>
      <c r="AI316" s="137" t="s">
        <v>53</v>
      </c>
      <c r="AJ316" s="137" t="s">
        <v>53</v>
      </c>
      <c r="AK316" s="137" t="s">
        <v>53</v>
      </c>
      <c r="AL316" s="137" t="s">
        <v>53</v>
      </c>
      <c r="AM316" s="137" t="s">
        <v>53</v>
      </c>
      <c r="AN316" s="137" t="s">
        <v>53</v>
      </c>
      <c r="AO316" s="137" t="s">
        <v>53</v>
      </c>
      <c r="AQ316" s="12">
        <f t="shared" si="36"/>
        <v>0</v>
      </c>
      <c r="AR316" s="12">
        <f t="shared" si="34"/>
        <v>0</v>
      </c>
      <c r="AT316" s="12">
        <f t="shared" si="37"/>
        <v>0</v>
      </c>
      <c r="AU316" s="12">
        <f t="shared" si="38"/>
        <v>0</v>
      </c>
      <c r="AV316" s="13" t="str">
        <f t="shared" si="39"/>
        <v/>
      </c>
      <c r="AY316" s="12">
        <f t="shared" si="40"/>
        <v>0</v>
      </c>
      <c r="AZ316" s="12">
        <f t="shared" si="41"/>
        <v>0</v>
      </c>
      <c r="BA316" s="12">
        <f t="shared" si="41"/>
        <v>0</v>
      </c>
      <c r="BB316" s="12">
        <f t="shared" si="41"/>
        <v>0</v>
      </c>
      <c r="BC316" s="12">
        <f t="shared" si="35"/>
        <v>0</v>
      </c>
      <c r="BD316" s="12">
        <f t="shared" si="42"/>
        <v>0</v>
      </c>
    </row>
    <row r="317" spans="1:56" ht="15" customHeight="1" x14ac:dyDescent="0.25">
      <c r="A317" s="137" t="s">
        <v>625</v>
      </c>
      <c r="B317" s="137" t="s">
        <v>626</v>
      </c>
      <c r="C317" s="137">
        <v>2018</v>
      </c>
      <c r="D317" s="137" t="s">
        <v>193</v>
      </c>
      <c r="E317" s="137" t="s">
        <v>193</v>
      </c>
      <c r="F317" s="137" t="s">
        <v>193</v>
      </c>
      <c r="G317" s="137" t="s">
        <v>193</v>
      </c>
      <c r="H317" s="137" t="s">
        <v>193</v>
      </c>
      <c r="I317" s="137" t="s">
        <v>193</v>
      </c>
      <c r="J317" s="137" t="s">
        <v>193</v>
      </c>
      <c r="K317" s="137" t="s">
        <v>193</v>
      </c>
      <c r="L317" s="137" t="s">
        <v>193</v>
      </c>
      <c r="M317" s="137" t="s">
        <v>193</v>
      </c>
      <c r="N317" s="137" t="s">
        <v>193</v>
      </c>
      <c r="O317" s="137" t="s">
        <v>193</v>
      </c>
      <c r="P317" s="137" t="s">
        <v>193</v>
      </c>
      <c r="Q317" s="137" t="s">
        <v>193</v>
      </c>
      <c r="R317" s="137" t="s">
        <v>193</v>
      </c>
      <c r="S317" s="137" t="s">
        <v>193</v>
      </c>
      <c r="T317" s="137" t="s">
        <v>193</v>
      </c>
      <c r="U317" s="137" t="s">
        <v>193</v>
      </c>
      <c r="V317" s="137" t="s">
        <v>193</v>
      </c>
      <c r="W317" s="137" t="s">
        <v>193</v>
      </c>
      <c r="X317" s="137" t="s">
        <v>193</v>
      </c>
      <c r="Y317" s="137" t="s">
        <v>193</v>
      </c>
      <c r="Z317" s="137" t="s">
        <v>193</v>
      </c>
      <c r="AA317" s="137" t="s">
        <v>193</v>
      </c>
      <c r="AB317" s="137" t="s">
        <v>193</v>
      </c>
      <c r="AC317" s="137" t="s">
        <v>193</v>
      </c>
      <c r="AD317" s="137" t="s">
        <v>193</v>
      </c>
      <c r="AE317" s="137" t="s">
        <v>193</v>
      </c>
      <c r="AF317" s="137" t="s">
        <v>193</v>
      </c>
      <c r="AG317" s="137" t="s">
        <v>193</v>
      </c>
      <c r="AH317" s="137" t="s">
        <v>199</v>
      </c>
      <c r="AI317" s="137" t="s">
        <v>193</v>
      </c>
      <c r="AJ317" s="137" t="s">
        <v>193</v>
      </c>
      <c r="AK317" s="137" t="s">
        <v>193</v>
      </c>
      <c r="AL317" s="137" t="s">
        <v>193</v>
      </c>
      <c r="AM317" s="137" t="s">
        <v>193</v>
      </c>
      <c r="AN317" s="137" t="s">
        <v>193</v>
      </c>
      <c r="AO317" s="137" t="s">
        <v>193</v>
      </c>
      <c r="AQ317" s="12">
        <f t="shared" si="36"/>
        <v>0</v>
      </c>
      <c r="AR317" s="12">
        <f t="shared" si="34"/>
        <v>0</v>
      </c>
      <c r="AT317" s="12">
        <f t="shared" si="37"/>
        <v>0</v>
      </c>
      <c r="AU317" s="12">
        <f t="shared" si="38"/>
        <v>0</v>
      </c>
      <c r="AV317" s="13" t="str">
        <f t="shared" si="39"/>
        <v/>
      </c>
      <c r="AY317" s="12">
        <f t="shared" si="40"/>
        <v>0</v>
      </c>
      <c r="AZ317" s="12">
        <f t="shared" si="41"/>
        <v>0</v>
      </c>
      <c r="BA317" s="12">
        <f t="shared" si="41"/>
        <v>0</v>
      </c>
      <c r="BB317" s="12">
        <f t="shared" si="41"/>
        <v>0</v>
      </c>
      <c r="BC317" s="12">
        <f t="shared" si="35"/>
        <v>0</v>
      </c>
      <c r="BD317" s="12">
        <f t="shared" si="42"/>
        <v>0</v>
      </c>
    </row>
    <row r="318" spans="1:56" ht="15" customHeight="1" x14ac:dyDescent="0.25">
      <c r="A318" s="137" t="s">
        <v>625</v>
      </c>
      <c r="B318" s="137" t="s">
        <v>627</v>
      </c>
      <c r="C318" s="137">
        <v>2018</v>
      </c>
      <c r="D318" s="137" t="s">
        <v>193</v>
      </c>
      <c r="E318" s="137" t="s">
        <v>193</v>
      </c>
      <c r="F318" s="137" t="s">
        <v>193</v>
      </c>
      <c r="G318" s="137" t="s">
        <v>193</v>
      </c>
      <c r="H318" s="137" t="s">
        <v>193</v>
      </c>
      <c r="I318" s="137" t="s">
        <v>193</v>
      </c>
      <c r="J318" s="137" t="s">
        <v>193</v>
      </c>
      <c r="K318" s="137" t="s">
        <v>193</v>
      </c>
      <c r="L318" s="137" t="s">
        <v>193</v>
      </c>
      <c r="M318" s="137" t="s">
        <v>193</v>
      </c>
      <c r="N318" s="137" t="s">
        <v>193</v>
      </c>
      <c r="O318" s="137" t="s">
        <v>193</v>
      </c>
      <c r="P318" s="137" t="s">
        <v>193</v>
      </c>
      <c r="Q318" s="137" t="s">
        <v>193</v>
      </c>
      <c r="R318" s="137" t="s">
        <v>193</v>
      </c>
      <c r="S318" s="137" t="s">
        <v>193</v>
      </c>
      <c r="T318" s="137" t="s">
        <v>193</v>
      </c>
      <c r="U318" s="137" t="s">
        <v>193</v>
      </c>
      <c r="V318" s="137" t="s">
        <v>193</v>
      </c>
      <c r="W318" s="137" t="s">
        <v>193</v>
      </c>
      <c r="X318" s="137" t="s">
        <v>193</v>
      </c>
      <c r="Y318" s="137" t="s">
        <v>193</v>
      </c>
      <c r="Z318" s="137" t="s">
        <v>193</v>
      </c>
      <c r="AA318" s="137" t="s">
        <v>193</v>
      </c>
      <c r="AB318" s="137" t="s">
        <v>193</v>
      </c>
      <c r="AC318" s="137" t="s">
        <v>193</v>
      </c>
      <c r="AD318" s="137" t="s">
        <v>193</v>
      </c>
      <c r="AE318" s="137" t="s">
        <v>193</v>
      </c>
      <c r="AF318" s="137" t="s">
        <v>193</v>
      </c>
      <c r="AG318" s="137" t="s">
        <v>193</v>
      </c>
      <c r="AH318" s="137" t="s">
        <v>199</v>
      </c>
      <c r="AI318" s="137" t="s">
        <v>193</v>
      </c>
      <c r="AJ318" s="137" t="s">
        <v>193</v>
      </c>
      <c r="AK318" s="137" t="s">
        <v>193</v>
      </c>
      <c r="AL318" s="137" t="s">
        <v>193</v>
      </c>
      <c r="AM318" s="137" t="s">
        <v>193</v>
      </c>
      <c r="AN318" s="137" t="s">
        <v>193</v>
      </c>
      <c r="AO318" s="137" t="s">
        <v>193</v>
      </c>
      <c r="AQ318" s="12">
        <f t="shared" si="36"/>
        <v>0</v>
      </c>
      <c r="AR318" s="12">
        <f t="shared" si="34"/>
        <v>0</v>
      </c>
      <c r="AT318" s="12">
        <f t="shared" si="37"/>
        <v>0</v>
      </c>
      <c r="AU318" s="12">
        <f t="shared" si="38"/>
        <v>0</v>
      </c>
      <c r="AV318" s="13" t="str">
        <f t="shared" si="39"/>
        <v/>
      </c>
      <c r="AY318" s="12">
        <f t="shared" si="40"/>
        <v>0</v>
      </c>
      <c r="AZ318" s="12">
        <f t="shared" si="41"/>
        <v>0</v>
      </c>
      <c r="BA318" s="12">
        <f t="shared" si="41"/>
        <v>0</v>
      </c>
      <c r="BB318" s="12">
        <f t="shared" si="41"/>
        <v>0</v>
      </c>
      <c r="BC318" s="12">
        <f t="shared" si="35"/>
        <v>0</v>
      </c>
      <c r="BD318" s="12">
        <f t="shared" si="42"/>
        <v>0</v>
      </c>
    </row>
    <row r="319" spans="1:56" ht="15" customHeight="1" x14ac:dyDescent="0.25">
      <c r="A319" s="137" t="s">
        <v>625</v>
      </c>
      <c r="B319" s="137" t="s">
        <v>628</v>
      </c>
      <c r="C319" s="137">
        <v>2018</v>
      </c>
      <c r="D319" s="137">
        <v>226.65899999999999</v>
      </c>
      <c r="E319" s="137">
        <v>69.616</v>
      </c>
      <c r="F319" s="137" t="s">
        <v>193</v>
      </c>
      <c r="G319" s="137" t="s">
        <v>193</v>
      </c>
      <c r="H319" s="137" t="s">
        <v>193</v>
      </c>
      <c r="I319" s="137">
        <v>385.31799999999998</v>
      </c>
      <c r="J319" s="137" t="s">
        <v>193</v>
      </c>
      <c r="K319" s="137">
        <v>0.6</v>
      </c>
      <c r="L319" s="137" t="s">
        <v>193</v>
      </c>
      <c r="M319" s="137" t="s">
        <v>193</v>
      </c>
      <c r="N319" s="137" t="s">
        <v>193</v>
      </c>
      <c r="O319" s="137" t="s">
        <v>193</v>
      </c>
      <c r="P319" s="137" t="s">
        <v>193</v>
      </c>
      <c r="Q319" s="137" t="s">
        <v>193</v>
      </c>
      <c r="R319" s="137" t="s">
        <v>193</v>
      </c>
      <c r="S319" s="137" t="s">
        <v>193</v>
      </c>
      <c r="T319" s="137" t="s">
        <v>193</v>
      </c>
      <c r="U319" s="137" t="s">
        <v>193</v>
      </c>
      <c r="V319" s="137" t="s">
        <v>193</v>
      </c>
      <c r="W319" s="137" t="s">
        <v>193</v>
      </c>
      <c r="X319" s="137" t="s">
        <v>193</v>
      </c>
      <c r="Y319" s="137" t="s">
        <v>193</v>
      </c>
      <c r="Z319" s="137" t="s">
        <v>193</v>
      </c>
      <c r="AA319" s="137">
        <v>4.82</v>
      </c>
      <c r="AB319" s="137" t="s">
        <v>193</v>
      </c>
      <c r="AC319" s="137" t="s">
        <v>193</v>
      </c>
      <c r="AD319" s="137">
        <v>1.758</v>
      </c>
      <c r="AE319" s="137" t="s">
        <v>193</v>
      </c>
      <c r="AF319" s="137">
        <v>337.43700000000001</v>
      </c>
      <c r="AG319" s="137">
        <v>0.6</v>
      </c>
      <c r="AH319" s="137" t="s">
        <v>195</v>
      </c>
      <c r="AI319" s="137">
        <v>40.5</v>
      </c>
      <c r="AJ319" s="137" t="s">
        <v>193</v>
      </c>
      <c r="AK319" s="137">
        <v>40.703000000000003</v>
      </c>
      <c r="AL319" s="137">
        <v>0</v>
      </c>
      <c r="AM319" s="137">
        <v>100</v>
      </c>
      <c r="AN319" s="137">
        <v>0</v>
      </c>
      <c r="AO319" s="137" t="s">
        <v>193</v>
      </c>
      <c r="AQ319" s="12">
        <f t="shared" si="36"/>
        <v>344.61500000000001</v>
      </c>
      <c r="AR319" s="12">
        <f t="shared" si="34"/>
        <v>385.31799999999998</v>
      </c>
      <c r="AT319" s="12">
        <f t="shared" si="37"/>
        <v>226.65899999999999</v>
      </c>
      <c r="AU319" s="12">
        <f t="shared" si="38"/>
        <v>69.616</v>
      </c>
      <c r="AV319" s="13">
        <f t="shared" si="39"/>
        <v>0.76891035456428192</v>
      </c>
      <c r="AY319" s="12">
        <f t="shared" si="40"/>
        <v>40.703000000000003</v>
      </c>
      <c r="AZ319" s="12">
        <f t="shared" si="41"/>
        <v>0</v>
      </c>
      <c r="BA319" s="12">
        <f t="shared" si="41"/>
        <v>40.703000000000003</v>
      </c>
      <c r="BB319" s="12">
        <f t="shared" si="41"/>
        <v>0</v>
      </c>
      <c r="BC319" s="12">
        <f t="shared" si="35"/>
        <v>0</v>
      </c>
      <c r="BD319" s="12">
        <f t="shared" si="42"/>
        <v>0</v>
      </c>
    </row>
    <row r="320" spans="1:56" ht="15" customHeight="1" x14ac:dyDescent="0.25">
      <c r="A320" s="137" t="s">
        <v>629</v>
      </c>
      <c r="B320" s="137" t="s">
        <v>630</v>
      </c>
      <c r="C320" s="137">
        <v>2018</v>
      </c>
      <c r="D320" s="137" t="s">
        <v>193</v>
      </c>
      <c r="E320" s="137" t="s">
        <v>193</v>
      </c>
      <c r="F320" s="137" t="s">
        <v>193</v>
      </c>
      <c r="G320" s="137" t="s">
        <v>193</v>
      </c>
      <c r="H320" s="137" t="s">
        <v>193</v>
      </c>
      <c r="I320" s="137" t="s">
        <v>193</v>
      </c>
      <c r="J320" s="137" t="s">
        <v>193</v>
      </c>
      <c r="K320" s="137" t="s">
        <v>193</v>
      </c>
      <c r="L320" s="137" t="s">
        <v>193</v>
      </c>
      <c r="M320" s="137" t="s">
        <v>193</v>
      </c>
      <c r="N320" s="137" t="s">
        <v>193</v>
      </c>
      <c r="O320" s="137" t="s">
        <v>193</v>
      </c>
      <c r="P320" s="137" t="s">
        <v>193</v>
      </c>
      <c r="Q320" s="137" t="s">
        <v>193</v>
      </c>
      <c r="R320" s="137" t="s">
        <v>193</v>
      </c>
      <c r="S320" s="137" t="s">
        <v>193</v>
      </c>
      <c r="T320" s="137" t="s">
        <v>193</v>
      </c>
      <c r="U320" s="137" t="s">
        <v>193</v>
      </c>
      <c r="V320" s="137" t="s">
        <v>193</v>
      </c>
      <c r="W320" s="137" t="s">
        <v>193</v>
      </c>
      <c r="X320" s="137" t="s">
        <v>193</v>
      </c>
      <c r="Y320" s="137" t="s">
        <v>193</v>
      </c>
      <c r="Z320" s="137" t="s">
        <v>193</v>
      </c>
      <c r="AA320" s="137" t="s">
        <v>193</v>
      </c>
      <c r="AB320" s="137" t="s">
        <v>193</v>
      </c>
      <c r="AC320" s="137" t="s">
        <v>193</v>
      </c>
      <c r="AD320" s="137" t="s">
        <v>193</v>
      </c>
      <c r="AE320" s="137" t="s">
        <v>193</v>
      </c>
      <c r="AF320" s="137" t="s">
        <v>193</v>
      </c>
      <c r="AG320" s="137" t="s">
        <v>193</v>
      </c>
      <c r="AH320" s="137" t="s">
        <v>53</v>
      </c>
      <c r="AI320" s="137" t="s">
        <v>193</v>
      </c>
      <c r="AJ320" s="137" t="s">
        <v>193</v>
      </c>
      <c r="AK320" s="137" t="s">
        <v>193</v>
      </c>
      <c r="AL320" s="137" t="s">
        <v>193</v>
      </c>
      <c r="AM320" s="137" t="s">
        <v>193</v>
      </c>
      <c r="AN320" s="137" t="s">
        <v>193</v>
      </c>
      <c r="AO320" s="137" t="s">
        <v>193</v>
      </c>
      <c r="AQ320" s="12">
        <f t="shared" si="36"/>
        <v>0</v>
      </c>
      <c r="AR320" s="12">
        <f t="shared" si="34"/>
        <v>0</v>
      </c>
      <c r="AT320" s="12">
        <f t="shared" si="37"/>
        <v>0</v>
      </c>
      <c r="AU320" s="12">
        <f t="shared" si="38"/>
        <v>0</v>
      </c>
      <c r="AV320" s="13" t="str">
        <f t="shared" si="39"/>
        <v/>
      </c>
      <c r="AY320" s="12">
        <f t="shared" si="40"/>
        <v>0</v>
      </c>
      <c r="AZ320" s="12">
        <f t="shared" si="41"/>
        <v>0</v>
      </c>
      <c r="BA320" s="12">
        <f t="shared" si="41"/>
        <v>0</v>
      </c>
      <c r="BB320" s="12">
        <f t="shared" si="41"/>
        <v>0</v>
      </c>
      <c r="BC320" s="12">
        <f t="shared" si="35"/>
        <v>0</v>
      </c>
      <c r="BD320" s="12">
        <f t="shared" si="42"/>
        <v>0</v>
      </c>
    </row>
    <row r="321" spans="1:56" ht="15" customHeight="1" x14ac:dyDescent="0.25">
      <c r="A321" s="137" t="s">
        <v>629</v>
      </c>
      <c r="B321" s="137" t="s">
        <v>631</v>
      </c>
      <c r="C321" s="137">
        <v>2018</v>
      </c>
      <c r="D321" s="137" t="s">
        <v>193</v>
      </c>
      <c r="E321" s="137" t="s">
        <v>193</v>
      </c>
      <c r="F321" s="137" t="s">
        <v>193</v>
      </c>
      <c r="G321" s="137" t="s">
        <v>193</v>
      </c>
      <c r="H321" s="137" t="s">
        <v>193</v>
      </c>
      <c r="I321" s="137" t="s">
        <v>193</v>
      </c>
      <c r="J321" s="137" t="s">
        <v>193</v>
      </c>
      <c r="K321" s="137" t="s">
        <v>193</v>
      </c>
      <c r="L321" s="137" t="s">
        <v>193</v>
      </c>
      <c r="M321" s="137" t="s">
        <v>193</v>
      </c>
      <c r="N321" s="137" t="s">
        <v>193</v>
      </c>
      <c r="O321" s="137" t="s">
        <v>193</v>
      </c>
      <c r="P321" s="137" t="s">
        <v>193</v>
      </c>
      <c r="Q321" s="137" t="s">
        <v>193</v>
      </c>
      <c r="R321" s="137" t="s">
        <v>193</v>
      </c>
      <c r="S321" s="137" t="s">
        <v>193</v>
      </c>
      <c r="T321" s="137" t="s">
        <v>193</v>
      </c>
      <c r="U321" s="137" t="s">
        <v>193</v>
      </c>
      <c r="V321" s="137" t="s">
        <v>193</v>
      </c>
      <c r="W321" s="137" t="s">
        <v>193</v>
      </c>
      <c r="X321" s="137" t="s">
        <v>193</v>
      </c>
      <c r="Y321" s="137" t="s">
        <v>193</v>
      </c>
      <c r="Z321" s="137" t="s">
        <v>193</v>
      </c>
      <c r="AA321" s="137" t="s">
        <v>193</v>
      </c>
      <c r="AB321" s="137" t="s">
        <v>193</v>
      </c>
      <c r="AC321" s="137" t="s">
        <v>193</v>
      </c>
      <c r="AD321" s="137" t="s">
        <v>193</v>
      </c>
      <c r="AE321" s="137" t="s">
        <v>193</v>
      </c>
      <c r="AF321" s="137" t="s">
        <v>193</v>
      </c>
      <c r="AG321" s="137" t="s">
        <v>193</v>
      </c>
      <c r="AH321" s="137" t="s">
        <v>53</v>
      </c>
      <c r="AI321" s="137" t="s">
        <v>193</v>
      </c>
      <c r="AJ321" s="137" t="s">
        <v>193</v>
      </c>
      <c r="AK321" s="137" t="s">
        <v>193</v>
      </c>
      <c r="AL321" s="137" t="s">
        <v>193</v>
      </c>
      <c r="AM321" s="137" t="s">
        <v>193</v>
      </c>
      <c r="AN321" s="137" t="s">
        <v>193</v>
      </c>
      <c r="AO321" s="137" t="s">
        <v>193</v>
      </c>
      <c r="AQ321" s="12">
        <f t="shared" si="36"/>
        <v>0</v>
      </c>
      <c r="AR321" s="12">
        <f t="shared" ref="AR321:AR384" si="43">SUMPRODUCT(J321:AF321)+SUMPRODUCT(AJ321:AK321)</f>
        <v>0</v>
      </c>
      <c r="AT321" s="12">
        <f t="shared" si="37"/>
        <v>0</v>
      </c>
      <c r="AU321" s="12">
        <f t="shared" si="38"/>
        <v>0</v>
      </c>
      <c r="AV321" s="13" t="str">
        <f t="shared" si="39"/>
        <v/>
      </c>
      <c r="AY321" s="12">
        <f t="shared" si="40"/>
        <v>0</v>
      </c>
      <c r="AZ321" s="12">
        <f t="shared" si="41"/>
        <v>0</v>
      </c>
      <c r="BA321" s="12">
        <f t="shared" si="41"/>
        <v>0</v>
      </c>
      <c r="BB321" s="12">
        <f t="shared" si="41"/>
        <v>0</v>
      </c>
      <c r="BC321" s="12">
        <f t="shared" si="41"/>
        <v>0</v>
      </c>
      <c r="BD321" s="12">
        <f t="shared" si="42"/>
        <v>0</v>
      </c>
    </row>
    <row r="322" spans="1:56" ht="15" customHeight="1" x14ac:dyDescent="0.25">
      <c r="A322" s="137" t="s">
        <v>629</v>
      </c>
      <c r="B322" s="137" t="s">
        <v>632</v>
      </c>
      <c r="C322" s="137">
        <v>2018</v>
      </c>
      <c r="D322" s="137" t="s">
        <v>193</v>
      </c>
      <c r="E322" s="137" t="s">
        <v>193</v>
      </c>
      <c r="F322" s="137" t="s">
        <v>193</v>
      </c>
      <c r="G322" s="137" t="s">
        <v>193</v>
      </c>
      <c r="H322" s="137" t="s">
        <v>193</v>
      </c>
      <c r="I322" s="137" t="s">
        <v>193</v>
      </c>
      <c r="J322" s="137" t="s">
        <v>193</v>
      </c>
      <c r="K322" s="137" t="s">
        <v>193</v>
      </c>
      <c r="L322" s="137" t="s">
        <v>193</v>
      </c>
      <c r="M322" s="137" t="s">
        <v>193</v>
      </c>
      <c r="N322" s="137" t="s">
        <v>193</v>
      </c>
      <c r="O322" s="137" t="s">
        <v>193</v>
      </c>
      <c r="P322" s="137" t="s">
        <v>193</v>
      </c>
      <c r="Q322" s="137" t="s">
        <v>193</v>
      </c>
      <c r="R322" s="137" t="s">
        <v>193</v>
      </c>
      <c r="S322" s="137" t="s">
        <v>193</v>
      </c>
      <c r="T322" s="137" t="s">
        <v>193</v>
      </c>
      <c r="U322" s="137" t="s">
        <v>193</v>
      </c>
      <c r="V322" s="137" t="s">
        <v>193</v>
      </c>
      <c r="W322" s="137" t="s">
        <v>193</v>
      </c>
      <c r="X322" s="137" t="s">
        <v>193</v>
      </c>
      <c r="Y322" s="137" t="s">
        <v>193</v>
      </c>
      <c r="Z322" s="137" t="s">
        <v>193</v>
      </c>
      <c r="AA322" s="137" t="s">
        <v>193</v>
      </c>
      <c r="AB322" s="137" t="s">
        <v>193</v>
      </c>
      <c r="AC322" s="137" t="s">
        <v>193</v>
      </c>
      <c r="AD322" s="137" t="s">
        <v>193</v>
      </c>
      <c r="AE322" s="137" t="s">
        <v>193</v>
      </c>
      <c r="AF322" s="137" t="s">
        <v>193</v>
      </c>
      <c r="AG322" s="137" t="s">
        <v>193</v>
      </c>
      <c r="AH322" s="137" t="s">
        <v>53</v>
      </c>
      <c r="AI322" s="137" t="s">
        <v>193</v>
      </c>
      <c r="AJ322" s="137" t="s">
        <v>193</v>
      </c>
      <c r="AK322" s="137" t="s">
        <v>193</v>
      </c>
      <c r="AL322" s="137" t="s">
        <v>193</v>
      </c>
      <c r="AM322" s="137" t="s">
        <v>193</v>
      </c>
      <c r="AN322" s="137" t="s">
        <v>193</v>
      </c>
      <c r="AO322" s="137" t="s">
        <v>193</v>
      </c>
      <c r="AQ322" s="12">
        <f t="shared" ref="AQ322:AQ385" si="44">SUMPRODUCT(J322:AF322)+IFERROR(AJ322/1,0)</f>
        <v>0</v>
      </c>
      <c r="AR322" s="12">
        <f t="shared" si="43"/>
        <v>0</v>
      </c>
      <c r="AT322" s="12">
        <f t="shared" ref="AT322:AT385" si="45">IFERROR(D322/1,0)</f>
        <v>0</v>
      </c>
      <c r="AU322" s="12">
        <f t="shared" ref="AU322:AU385" si="46">IFERROR(E322/1,0)</f>
        <v>0</v>
      </c>
      <c r="AV322" s="13" t="str">
        <f t="shared" ref="AV322:AV385" si="47">IFERROR((AT322+AU322)/AR322,"")</f>
        <v/>
      </c>
      <c r="AY322" s="12">
        <f t="shared" ref="AY322:AY385" si="48">IFERROR(AK322/1,0)</f>
        <v>0</v>
      </c>
      <c r="AZ322" s="12">
        <f t="shared" ref="AZ322:BC385" si="49">IFERROR(AL322/100,0)*$AY322</f>
        <v>0</v>
      </c>
      <c r="BA322" s="12">
        <f t="shared" si="49"/>
        <v>0</v>
      </c>
      <c r="BB322" s="12">
        <f t="shared" si="49"/>
        <v>0</v>
      </c>
      <c r="BC322" s="12">
        <f t="shared" si="49"/>
        <v>0</v>
      </c>
      <c r="BD322" s="12">
        <f t="shared" ref="BD322:BD385" si="50">MAX(AY322-SUM(AZ322:BC322),0)</f>
        <v>0</v>
      </c>
    </row>
    <row r="323" spans="1:56" ht="15" customHeight="1" x14ac:dyDescent="0.25">
      <c r="A323" s="137" t="s">
        <v>633</v>
      </c>
      <c r="B323" s="137" t="s">
        <v>634</v>
      </c>
      <c r="C323" s="137">
        <v>2018</v>
      </c>
      <c r="D323" s="137" t="s">
        <v>193</v>
      </c>
      <c r="E323" s="137" t="s">
        <v>193</v>
      </c>
      <c r="F323" s="137" t="s">
        <v>193</v>
      </c>
      <c r="G323" s="137" t="s">
        <v>193</v>
      </c>
      <c r="H323" s="137" t="s">
        <v>193</v>
      </c>
      <c r="I323" s="137" t="s">
        <v>193</v>
      </c>
      <c r="J323" s="137" t="s">
        <v>193</v>
      </c>
      <c r="K323" s="137" t="s">
        <v>193</v>
      </c>
      <c r="L323" s="137" t="s">
        <v>193</v>
      </c>
      <c r="M323" s="137" t="s">
        <v>193</v>
      </c>
      <c r="N323" s="137" t="s">
        <v>193</v>
      </c>
      <c r="O323" s="137" t="s">
        <v>193</v>
      </c>
      <c r="P323" s="137" t="s">
        <v>193</v>
      </c>
      <c r="Q323" s="137" t="s">
        <v>193</v>
      </c>
      <c r="R323" s="137" t="s">
        <v>193</v>
      </c>
      <c r="S323" s="137" t="s">
        <v>193</v>
      </c>
      <c r="T323" s="137" t="s">
        <v>193</v>
      </c>
      <c r="U323" s="137" t="s">
        <v>193</v>
      </c>
      <c r="V323" s="137" t="s">
        <v>193</v>
      </c>
      <c r="W323" s="137" t="s">
        <v>193</v>
      </c>
      <c r="X323" s="137" t="s">
        <v>193</v>
      </c>
      <c r="Y323" s="137" t="s">
        <v>193</v>
      </c>
      <c r="Z323" s="137" t="s">
        <v>193</v>
      </c>
      <c r="AA323" s="137" t="s">
        <v>193</v>
      </c>
      <c r="AB323" s="137" t="s">
        <v>193</v>
      </c>
      <c r="AC323" s="137" t="s">
        <v>193</v>
      </c>
      <c r="AD323" s="137" t="s">
        <v>193</v>
      </c>
      <c r="AE323" s="137" t="s">
        <v>193</v>
      </c>
      <c r="AF323" s="137" t="s">
        <v>193</v>
      </c>
      <c r="AG323" s="137" t="s">
        <v>193</v>
      </c>
      <c r="AH323" s="137" t="s">
        <v>199</v>
      </c>
      <c r="AI323" s="137" t="s">
        <v>193</v>
      </c>
      <c r="AJ323" s="137" t="s">
        <v>193</v>
      </c>
      <c r="AK323" s="137" t="s">
        <v>193</v>
      </c>
      <c r="AL323" s="137" t="s">
        <v>193</v>
      </c>
      <c r="AM323" s="137" t="s">
        <v>193</v>
      </c>
      <c r="AN323" s="137" t="s">
        <v>193</v>
      </c>
      <c r="AO323" s="137" t="s">
        <v>193</v>
      </c>
      <c r="AQ323" s="12">
        <f t="shared" si="44"/>
        <v>0</v>
      </c>
      <c r="AR323" s="12">
        <f t="shared" si="43"/>
        <v>0</v>
      </c>
      <c r="AT323" s="12">
        <f t="shared" si="45"/>
        <v>0</v>
      </c>
      <c r="AU323" s="12">
        <f t="shared" si="46"/>
        <v>0</v>
      </c>
      <c r="AV323" s="13" t="str">
        <f t="shared" si="47"/>
        <v/>
      </c>
      <c r="AY323" s="12">
        <f t="shared" si="48"/>
        <v>0</v>
      </c>
      <c r="AZ323" s="12">
        <f t="shared" si="49"/>
        <v>0</v>
      </c>
      <c r="BA323" s="12">
        <f t="shared" si="49"/>
        <v>0</v>
      </c>
      <c r="BB323" s="12">
        <f t="shared" si="49"/>
        <v>0</v>
      </c>
      <c r="BC323" s="12">
        <f t="shared" si="49"/>
        <v>0</v>
      </c>
      <c r="BD323" s="12">
        <f t="shared" si="50"/>
        <v>0</v>
      </c>
    </row>
    <row r="324" spans="1:56" ht="15" customHeight="1" x14ac:dyDescent="0.25">
      <c r="A324" s="137" t="s">
        <v>633</v>
      </c>
      <c r="B324" s="137" t="s">
        <v>635</v>
      </c>
      <c r="C324" s="137">
        <v>2018</v>
      </c>
      <c r="D324" s="137" t="s">
        <v>193</v>
      </c>
      <c r="E324" s="137" t="s">
        <v>193</v>
      </c>
      <c r="F324" s="137" t="s">
        <v>193</v>
      </c>
      <c r="G324" s="137" t="s">
        <v>193</v>
      </c>
      <c r="H324" s="137" t="s">
        <v>193</v>
      </c>
      <c r="I324" s="137" t="s">
        <v>193</v>
      </c>
      <c r="J324" s="137" t="s">
        <v>193</v>
      </c>
      <c r="K324" s="137" t="s">
        <v>193</v>
      </c>
      <c r="L324" s="137" t="s">
        <v>193</v>
      </c>
      <c r="M324" s="137" t="s">
        <v>193</v>
      </c>
      <c r="N324" s="137" t="s">
        <v>193</v>
      </c>
      <c r="O324" s="137" t="s">
        <v>193</v>
      </c>
      <c r="P324" s="137" t="s">
        <v>193</v>
      </c>
      <c r="Q324" s="137" t="s">
        <v>193</v>
      </c>
      <c r="R324" s="137" t="s">
        <v>193</v>
      </c>
      <c r="S324" s="137" t="s">
        <v>193</v>
      </c>
      <c r="T324" s="137" t="s">
        <v>193</v>
      </c>
      <c r="U324" s="137" t="s">
        <v>193</v>
      </c>
      <c r="V324" s="137" t="s">
        <v>193</v>
      </c>
      <c r="W324" s="137" t="s">
        <v>193</v>
      </c>
      <c r="X324" s="137" t="s">
        <v>193</v>
      </c>
      <c r="Y324" s="137" t="s">
        <v>193</v>
      </c>
      <c r="Z324" s="137" t="s">
        <v>193</v>
      </c>
      <c r="AA324" s="137" t="s">
        <v>193</v>
      </c>
      <c r="AB324" s="137" t="s">
        <v>193</v>
      </c>
      <c r="AC324" s="137" t="s">
        <v>193</v>
      </c>
      <c r="AD324" s="137" t="s">
        <v>193</v>
      </c>
      <c r="AE324" s="137" t="s">
        <v>193</v>
      </c>
      <c r="AF324" s="137" t="s">
        <v>193</v>
      </c>
      <c r="AG324" s="137" t="s">
        <v>193</v>
      </c>
      <c r="AH324" s="137" t="s">
        <v>199</v>
      </c>
      <c r="AI324" s="137" t="s">
        <v>193</v>
      </c>
      <c r="AJ324" s="137" t="s">
        <v>193</v>
      </c>
      <c r="AK324" s="137" t="s">
        <v>193</v>
      </c>
      <c r="AL324" s="137" t="s">
        <v>193</v>
      </c>
      <c r="AM324" s="137" t="s">
        <v>193</v>
      </c>
      <c r="AN324" s="137" t="s">
        <v>193</v>
      </c>
      <c r="AO324" s="137" t="s">
        <v>193</v>
      </c>
      <c r="AQ324" s="12">
        <f t="shared" si="44"/>
        <v>0</v>
      </c>
      <c r="AR324" s="12">
        <f t="shared" si="43"/>
        <v>0</v>
      </c>
      <c r="AT324" s="12">
        <f t="shared" si="45"/>
        <v>0</v>
      </c>
      <c r="AU324" s="12">
        <f t="shared" si="46"/>
        <v>0</v>
      </c>
      <c r="AV324" s="13" t="str">
        <f t="shared" si="47"/>
        <v/>
      </c>
      <c r="AY324" s="12">
        <f t="shared" si="48"/>
        <v>0</v>
      </c>
      <c r="AZ324" s="12">
        <f t="shared" si="49"/>
        <v>0</v>
      </c>
      <c r="BA324" s="12">
        <f t="shared" si="49"/>
        <v>0</v>
      </c>
      <c r="BB324" s="12">
        <f t="shared" si="49"/>
        <v>0</v>
      </c>
      <c r="BC324" s="12">
        <f t="shared" si="49"/>
        <v>0</v>
      </c>
      <c r="BD324" s="12">
        <f t="shared" si="50"/>
        <v>0</v>
      </c>
    </row>
    <row r="325" spans="1:56" ht="15" customHeight="1" x14ac:dyDescent="0.25">
      <c r="A325" s="137" t="s">
        <v>633</v>
      </c>
      <c r="B325" s="137" t="s">
        <v>636</v>
      </c>
      <c r="C325" s="137">
        <v>2018</v>
      </c>
      <c r="D325" s="137" t="s">
        <v>193</v>
      </c>
      <c r="E325" s="137" t="s">
        <v>193</v>
      </c>
      <c r="F325" s="137" t="s">
        <v>193</v>
      </c>
      <c r="G325" s="137" t="s">
        <v>193</v>
      </c>
      <c r="H325" s="137" t="s">
        <v>193</v>
      </c>
      <c r="I325" s="137" t="s">
        <v>193</v>
      </c>
      <c r="J325" s="137" t="s">
        <v>193</v>
      </c>
      <c r="K325" s="137" t="s">
        <v>193</v>
      </c>
      <c r="L325" s="137" t="s">
        <v>193</v>
      </c>
      <c r="M325" s="137" t="s">
        <v>193</v>
      </c>
      <c r="N325" s="137" t="s">
        <v>193</v>
      </c>
      <c r="O325" s="137" t="s">
        <v>193</v>
      </c>
      <c r="P325" s="137" t="s">
        <v>193</v>
      </c>
      <c r="Q325" s="137" t="s">
        <v>193</v>
      </c>
      <c r="R325" s="137" t="s">
        <v>193</v>
      </c>
      <c r="S325" s="137" t="s">
        <v>193</v>
      </c>
      <c r="T325" s="137" t="s">
        <v>193</v>
      </c>
      <c r="U325" s="137" t="s">
        <v>193</v>
      </c>
      <c r="V325" s="137" t="s">
        <v>193</v>
      </c>
      <c r="W325" s="137" t="s">
        <v>193</v>
      </c>
      <c r="X325" s="137" t="s">
        <v>193</v>
      </c>
      <c r="Y325" s="137" t="s">
        <v>193</v>
      </c>
      <c r="Z325" s="137" t="s">
        <v>193</v>
      </c>
      <c r="AA325" s="137" t="s">
        <v>193</v>
      </c>
      <c r="AB325" s="137" t="s">
        <v>193</v>
      </c>
      <c r="AC325" s="137" t="s">
        <v>193</v>
      </c>
      <c r="AD325" s="137" t="s">
        <v>193</v>
      </c>
      <c r="AE325" s="137" t="s">
        <v>193</v>
      </c>
      <c r="AF325" s="137" t="s">
        <v>193</v>
      </c>
      <c r="AG325" s="137" t="s">
        <v>193</v>
      </c>
      <c r="AH325" s="137" t="s">
        <v>199</v>
      </c>
      <c r="AI325" s="137" t="s">
        <v>193</v>
      </c>
      <c r="AJ325" s="137" t="s">
        <v>193</v>
      </c>
      <c r="AK325" s="137" t="s">
        <v>193</v>
      </c>
      <c r="AL325" s="137" t="s">
        <v>193</v>
      </c>
      <c r="AM325" s="137" t="s">
        <v>193</v>
      </c>
      <c r="AN325" s="137" t="s">
        <v>193</v>
      </c>
      <c r="AO325" s="137" t="s">
        <v>193</v>
      </c>
      <c r="AQ325" s="12">
        <f t="shared" si="44"/>
        <v>0</v>
      </c>
      <c r="AR325" s="12">
        <f t="shared" si="43"/>
        <v>0</v>
      </c>
      <c r="AT325" s="12">
        <f t="shared" si="45"/>
        <v>0</v>
      </c>
      <c r="AU325" s="12">
        <f t="shared" si="46"/>
        <v>0</v>
      </c>
      <c r="AV325" s="13" t="str">
        <f t="shared" si="47"/>
        <v/>
      </c>
      <c r="AY325" s="12">
        <f t="shared" si="48"/>
        <v>0</v>
      </c>
      <c r="AZ325" s="12">
        <f t="shared" si="49"/>
        <v>0</v>
      </c>
      <c r="BA325" s="12">
        <f t="shared" si="49"/>
        <v>0</v>
      </c>
      <c r="BB325" s="12">
        <f t="shared" si="49"/>
        <v>0</v>
      </c>
      <c r="BC325" s="12">
        <f t="shared" si="49"/>
        <v>0</v>
      </c>
      <c r="BD325" s="12">
        <f t="shared" si="50"/>
        <v>0</v>
      </c>
    </row>
    <row r="326" spans="1:56" ht="15" customHeight="1" x14ac:dyDescent="0.25">
      <c r="A326" s="137" t="s">
        <v>633</v>
      </c>
      <c r="B326" s="137" t="s">
        <v>637</v>
      </c>
      <c r="C326" s="137">
        <v>2018</v>
      </c>
      <c r="D326" s="137">
        <v>611.5</v>
      </c>
      <c r="E326" s="137">
        <v>191.1</v>
      </c>
      <c r="F326" s="137" t="s">
        <v>193</v>
      </c>
      <c r="G326" s="137" t="s">
        <v>193</v>
      </c>
      <c r="H326" s="137" t="s">
        <v>193</v>
      </c>
      <c r="I326" s="137">
        <v>1134.0999999999999</v>
      </c>
      <c r="J326" s="137" t="s">
        <v>193</v>
      </c>
      <c r="K326" s="137">
        <v>12.7</v>
      </c>
      <c r="L326" s="137" t="s">
        <v>193</v>
      </c>
      <c r="M326" s="137" t="s">
        <v>193</v>
      </c>
      <c r="N326" s="137" t="s">
        <v>193</v>
      </c>
      <c r="O326" s="137" t="s">
        <v>193</v>
      </c>
      <c r="P326" s="137" t="s">
        <v>193</v>
      </c>
      <c r="Q326" s="137">
        <v>3.8</v>
      </c>
      <c r="R326" s="137">
        <v>199.9</v>
      </c>
      <c r="S326" s="137">
        <v>59.9</v>
      </c>
      <c r="T326" s="137">
        <v>95</v>
      </c>
      <c r="U326" s="137" t="s">
        <v>193</v>
      </c>
      <c r="V326" s="137">
        <v>54.3</v>
      </c>
      <c r="W326" s="137" t="s">
        <v>194</v>
      </c>
      <c r="X326" s="137">
        <v>1.6</v>
      </c>
      <c r="Y326" s="137" t="s">
        <v>193</v>
      </c>
      <c r="Z326" s="137" t="s">
        <v>193</v>
      </c>
      <c r="AA326" s="137" t="s">
        <v>193</v>
      </c>
      <c r="AB326" s="137" t="s">
        <v>193</v>
      </c>
      <c r="AC326" s="137" t="s">
        <v>193</v>
      </c>
      <c r="AD326" s="137" t="s">
        <v>193</v>
      </c>
      <c r="AE326" s="137">
        <v>71.3</v>
      </c>
      <c r="AF326" s="137">
        <v>467.4</v>
      </c>
      <c r="AG326" s="137">
        <v>8.9</v>
      </c>
      <c r="AH326" s="137" t="s">
        <v>327</v>
      </c>
      <c r="AI326" s="137">
        <v>39.799999999999997</v>
      </c>
      <c r="AJ326" s="137" t="s">
        <v>193</v>
      </c>
      <c r="AK326" s="137">
        <v>168.2</v>
      </c>
      <c r="AL326" s="137">
        <v>55.5</v>
      </c>
      <c r="AM326" s="137">
        <v>35</v>
      </c>
      <c r="AN326" s="137">
        <v>0.5</v>
      </c>
      <c r="AO326" s="137">
        <v>9.5</v>
      </c>
      <c r="AQ326" s="12">
        <f t="shared" si="44"/>
        <v>965.90000000000009</v>
      </c>
      <c r="AR326" s="12">
        <f t="shared" si="43"/>
        <v>1134.1000000000001</v>
      </c>
      <c r="AT326" s="12">
        <f t="shared" si="45"/>
        <v>611.5</v>
      </c>
      <c r="AU326" s="12">
        <f t="shared" si="46"/>
        <v>191.1</v>
      </c>
      <c r="AV326" s="13">
        <f t="shared" si="47"/>
        <v>0.70769773388590063</v>
      </c>
      <c r="AY326" s="12">
        <f t="shared" si="48"/>
        <v>168.2</v>
      </c>
      <c r="AZ326" s="12">
        <f t="shared" si="49"/>
        <v>93.350999999999999</v>
      </c>
      <c r="BA326" s="12">
        <f t="shared" si="49"/>
        <v>58.86999999999999</v>
      </c>
      <c r="BB326" s="12">
        <f t="shared" si="49"/>
        <v>0.84099999999999997</v>
      </c>
      <c r="BC326" s="12">
        <f t="shared" si="49"/>
        <v>15.978999999999999</v>
      </c>
      <c r="BD326" s="12">
        <f t="shared" si="50"/>
        <v>0</v>
      </c>
    </row>
    <row r="327" spans="1:56" ht="15" customHeight="1" x14ac:dyDescent="0.25">
      <c r="A327" s="137" t="s">
        <v>638</v>
      </c>
      <c r="B327" s="137" t="s">
        <v>639</v>
      </c>
      <c r="C327" s="137">
        <v>2018</v>
      </c>
      <c r="D327" s="137" t="s">
        <v>193</v>
      </c>
      <c r="E327" s="137" t="s">
        <v>193</v>
      </c>
      <c r="F327" s="137" t="s">
        <v>193</v>
      </c>
      <c r="G327" s="137" t="s">
        <v>193</v>
      </c>
      <c r="H327" s="137" t="s">
        <v>193</v>
      </c>
      <c r="I327" s="137" t="s">
        <v>193</v>
      </c>
      <c r="J327" s="137" t="s">
        <v>193</v>
      </c>
      <c r="K327" s="137" t="s">
        <v>193</v>
      </c>
      <c r="L327" s="137" t="s">
        <v>193</v>
      </c>
      <c r="M327" s="137" t="s">
        <v>193</v>
      </c>
      <c r="N327" s="137" t="s">
        <v>193</v>
      </c>
      <c r="O327" s="137" t="s">
        <v>193</v>
      </c>
      <c r="P327" s="137" t="s">
        <v>193</v>
      </c>
      <c r="Q327" s="137" t="s">
        <v>193</v>
      </c>
      <c r="R327" s="137" t="s">
        <v>193</v>
      </c>
      <c r="S327" s="137" t="s">
        <v>193</v>
      </c>
      <c r="T327" s="137" t="s">
        <v>193</v>
      </c>
      <c r="U327" s="137" t="s">
        <v>193</v>
      </c>
      <c r="V327" s="137" t="s">
        <v>193</v>
      </c>
      <c r="W327" s="137" t="s">
        <v>193</v>
      </c>
      <c r="X327" s="137" t="s">
        <v>193</v>
      </c>
      <c r="Y327" s="137" t="s">
        <v>193</v>
      </c>
      <c r="Z327" s="137" t="s">
        <v>193</v>
      </c>
      <c r="AA327" s="137" t="s">
        <v>193</v>
      </c>
      <c r="AB327" s="137" t="s">
        <v>193</v>
      </c>
      <c r="AC327" s="137" t="s">
        <v>193</v>
      </c>
      <c r="AD327" s="137" t="s">
        <v>193</v>
      </c>
      <c r="AE327" s="137" t="s">
        <v>193</v>
      </c>
      <c r="AF327" s="137" t="s">
        <v>193</v>
      </c>
      <c r="AG327" s="137" t="s">
        <v>193</v>
      </c>
      <c r="AH327" s="137" t="s">
        <v>199</v>
      </c>
      <c r="AI327" s="137" t="s">
        <v>193</v>
      </c>
      <c r="AJ327" s="137" t="s">
        <v>193</v>
      </c>
      <c r="AK327" s="137" t="s">
        <v>193</v>
      </c>
      <c r="AL327" s="137" t="s">
        <v>193</v>
      </c>
      <c r="AM327" s="137" t="s">
        <v>193</v>
      </c>
      <c r="AN327" s="137" t="s">
        <v>193</v>
      </c>
      <c r="AO327" s="137" t="s">
        <v>193</v>
      </c>
      <c r="AQ327" s="12">
        <f t="shared" si="44"/>
        <v>0</v>
      </c>
      <c r="AR327" s="12">
        <f t="shared" si="43"/>
        <v>0</v>
      </c>
      <c r="AT327" s="12">
        <f t="shared" si="45"/>
        <v>0</v>
      </c>
      <c r="AU327" s="12">
        <f t="shared" si="46"/>
        <v>0</v>
      </c>
      <c r="AV327" s="13" t="str">
        <f t="shared" si="47"/>
        <v/>
      </c>
      <c r="AY327" s="12">
        <f t="shared" si="48"/>
        <v>0</v>
      </c>
      <c r="AZ327" s="12">
        <f t="shared" si="49"/>
        <v>0</v>
      </c>
      <c r="BA327" s="12">
        <f t="shared" si="49"/>
        <v>0</v>
      </c>
      <c r="BB327" s="12">
        <f t="shared" si="49"/>
        <v>0</v>
      </c>
      <c r="BC327" s="12">
        <f t="shared" si="49"/>
        <v>0</v>
      </c>
      <c r="BD327" s="12">
        <f t="shared" si="50"/>
        <v>0</v>
      </c>
    </row>
    <row r="328" spans="1:56" ht="15" customHeight="1" x14ac:dyDescent="0.25">
      <c r="A328" s="137" t="s">
        <v>638</v>
      </c>
      <c r="B328" s="137" t="s">
        <v>641</v>
      </c>
      <c r="C328" s="137">
        <v>2018</v>
      </c>
      <c r="D328" s="137" t="s">
        <v>193</v>
      </c>
      <c r="E328" s="137" t="s">
        <v>193</v>
      </c>
      <c r="F328" s="137" t="s">
        <v>193</v>
      </c>
      <c r="G328" s="137" t="s">
        <v>193</v>
      </c>
      <c r="H328" s="137" t="s">
        <v>193</v>
      </c>
      <c r="I328" s="137" t="s">
        <v>193</v>
      </c>
      <c r="J328" s="137" t="s">
        <v>193</v>
      </c>
      <c r="K328" s="137" t="s">
        <v>193</v>
      </c>
      <c r="L328" s="137" t="s">
        <v>193</v>
      </c>
      <c r="M328" s="137" t="s">
        <v>193</v>
      </c>
      <c r="N328" s="137" t="s">
        <v>193</v>
      </c>
      <c r="O328" s="137" t="s">
        <v>193</v>
      </c>
      <c r="P328" s="137" t="s">
        <v>193</v>
      </c>
      <c r="Q328" s="137" t="s">
        <v>193</v>
      </c>
      <c r="R328" s="137" t="s">
        <v>193</v>
      </c>
      <c r="S328" s="137" t="s">
        <v>193</v>
      </c>
      <c r="T328" s="137" t="s">
        <v>193</v>
      </c>
      <c r="U328" s="137" t="s">
        <v>193</v>
      </c>
      <c r="V328" s="137" t="s">
        <v>193</v>
      </c>
      <c r="W328" s="137" t="s">
        <v>193</v>
      </c>
      <c r="X328" s="137" t="s">
        <v>193</v>
      </c>
      <c r="Y328" s="137" t="s">
        <v>193</v>
      </c>
      <c r="Z328" s="137" t="s">
        <v>193</v>
      </c>
      <c r="AA328" s="137" t="s">
        <v>193</v>
      </c>
      <c r="AB328" s="137" t="s">
        <v>193</v>
      </c>
      <c r="AC328" s="137" t="s">
        <v>193</v>
      </c>
      <c r="AD328" s="137" t="s">
        <v>193</v>
      </c>
      <c r="AE328" s="137" t="s">
        <v>193</v>
      </c>
      <c r="AF328" s="137" t="s">
        <v>193</v>
      </c>
      <c r="AG328" s="137" t="s">
        <v>193</v>
      </c>
      <c r="AH328" s="137" t="s">
        <v>199</v>
      </c>
      <c r="AI328" s="137" t="s">
        <v>193</v>
      </c>
      <c r="AJ328" s="137" t="s">
        <v>193</v>
      </c>
      <c r="AK328" s="137" t="s">
        <v>193</v>
      </c>
      <c r="AL328" s="137" t="s">
        <v>193</v>
      </c>
      <c r="AM328" s="137" t="s">
        <v>193</v>
      </c>
      <c r="AN328" s="137" t="s">
        <v>193</v>
      </c>
      <c r="AO328" s="137" t="s">
        <v>193</v>
      </c>
      <c r="AQ328" s="12">
        <f t="shared" si="44"/>
        <v>0</v>
      </c>
      <c r="AR328" s="12">
        <f t="shared" si="43"/>
        <v>0</v>
      </c>
      <c r="AT328" s="12">
        <f t="shared" si="45"/>
        <v>0</v>
      </c>
      <c r="AU328" s="12">
        <f t="shared" si="46"/>
        <v>0</v>
      </c>
      <c r="AV328" s="13" t="str">
        <f t="shared" si="47"/>
        <v/>
      </c>
      <c r="AY328" s="12">
        <f t="shared" si="48"/>
        <v>0</v>
      </c>
      <c r="AZ328" s="12">
        <f t="shared" si="49"/>
        <v>0</v>
      </c>
      <c r="BA328" s="12">
        <f t="shared" si="49"/>
        <v>0</v>
      </c>
      <c r="BB328" s="12">
        <f t="shared" si="49"/>
        <v>0</v>
      </c>
      <c r="BC328" s="12">
        <f t="shared" si="49"/>
        <v>0</v>
      </c>
      <c r="BD328" s="12">
        <f t="shared" si="50"/>
        <v>0</v>
      </c>
    </row>
    <row r="329" spans="1:56" ht="15" customHeight="1" x14ac:dyDescent="0.25">
      <c r="A329" s="137" t="s">
        <v>643</v>
      </c>
      <c r="B329" s="137" t="s">
        <v>644</v>
      </c>
      <c r="C329" s="137">
        <v>2018</v>
      </c>
      <c r="D329" s="137" t="s">
        <v>193</v>
      </c>
      <c r="E329" s="137" t="s">
        <v>193</v>
      </c>
      <c r="F329" s="137" t="s">
        <v>193</v>
      </c>
      <c r="G329" s="137" t="s">
        <v>193</v>
      </c>
      <c r="H329" s="137" t="s">
        <v>193</v>
      </c>
      <c r="I329" s="137" t="s">
        <v>193</v>
      </c>
      <c r="J329" s="137" t="s">
        <v>193</v>
      </c>
      <c r="K329" s="137" t="s">
        <v>193</v>
      </c>
      <c r="L329" s="137" t="s">
        <v>193</v>
      </c>
      <c r="M329" s="137" t="s">
        <v>193</v>
      </c>
      <c r="N329" s="137" t="s">
        <v>193</v>
      </c>
      <c r="O329" s="137" t="s">
        <v>193</v>
      </c>
      <c r="P329" s="137" t="s">
        <v>193</v>
      </c>
      <c r="Q329" s="137" t="s">
        <v>193</v>
      </c>
      <c r="R329" s="137" t="s">
        <v>193</v>
      </c>
      <c r="S329" s="137" t="s">
        <v>193</v>
      </c>
      <c r="T329" s="137" t="s">
        <v>193</v>
      </c>
      <c r="U329" s="137" t="s">
        <v>193</v>
      </c>
      <c r="V329" s="137" t="s">
        <v>193</v>
      </c>
      <c r="W329" s="137" t="s">
        <v>193</v>
      </c>
      <c r="X329" s="137" t="s">
        <v>193</v>
      </c>
      <c r="Y329" s="137" t="s">
        <v>193</v>
      </c>
      <c r="Z329" s="137" t="s">
        <v>193</v>
      </c>
      <c r="AA329" s="137" t="s">
        <v>193</v>
      </c>
      <c r="AB329" s="137" t="s">
        <v>193</v>
      </c>
      <c r="AC329" s="137" t="s">
        <v>193</v>
      </c>
      <c r="AD329" s="137" t="s">
        <v>193</v>
      </c>
      <c r="AE329" s="137" t="s">
        <v>193</v>
      </c>
      <c r="AF329" s="137" t="s">
        <v>193</v>
      </c>
      <c r="AG329" s="137" t="s">
        <v>193</v>
      </c>
      <c r="AH329" s="137" t="s">
        <v>53</v>
      </c>
      <c r="AI329" s="137" t="s">
        <v>193</v>
      </c>
      <c r="AJ329" s="137" t="s">
        <v>193</v>
      </c>
      <c r="AK329" s="137" t="s">
        <v>193</v>
      </c>
      <c r="AL329" s="137" t="s">
        <v>193</v>
      </c>
      <c r="AM329" s="137" t="s">
        <v>193</v>
      </c>
      <c r="AN329" s="137" t="s">
        <v>193</v>
      </c>
      <c r="AO329" s="137" t="s">
        <v>193</v>
      </c>
      <c r="AQ329" s="12">
        <f t="shared" si="44"/>
        <v>0</v>
      </c>
      <c r="AR329" s="12">
        <f t="shared" si="43"/>
        <v>0</v>
      </c>
      <c r="AT329" s="12">
        <f t="shared" si="45"/>
        <v>0</v>
      </c>
      <c r="AU329" s="12">
        <f t="shared" si="46"/>
        <v>0</v>
      </c>
      <c r="AV329" s="13" t="str">
        <f t="shared" si="47"/>
        <v/>
      </c>
      <c r="AY329" s="12">
        <f t="shared" si="48"/>
        <v>0</v>
      </c>
      <c r="AZ329" s="12">
        <f t="shared" si="49"/>
        <v>0</v>
      </c>
      <c r="BA329" s="12">
        <f t="shared" si="49"/>
        <v>0</v>
      </c>
      <c r="BB329" s="12">
        <f t="shared" si="49"/>
        <v>0</v>
      </c>
      <c r="BC329" s="12">
        <f t="shared" si="49"/>
        <v>0</v>
      </c>
      <c r="BD329" s="12">
        <f t="shared" si="50"/>
        <v>0</v>
      </c>
    </row>
    <row r="330" spans="1:56" ht="15" customHeight="1" x14ac:dyDescent="0.25">
      <c r="A330" s="137" t="s">
        <v>645</v>
      </c>
      <c r="B330" s="137" t="s">
        <v>646</v>
      </c>
      <c r="C330" s="137">
        <v>2018</v>
      </c>
      <c r="D330" s="137" t="s">
        <v>193</v>
      </c>
      <c r="E330" s="137" t="s">
        <v>193</v>
      </c>
      <c r="F330" s="137" t="s">
        <v>193</v>
      </c>
      <c r="G330" s="137" t="s">
        <v>193</v>
      </c>
      <c r="H330" s="137" t="s">
        <v>193</v>
      </c>
      <c r="I330" s="137" t="s">
        <v>193</v>
      </c>
      <c r="J330" s="137" t="s">
        <v>193</v>
      </c>
      <c r="K330" s="137" t="s">
        <v>193</v>
      </c>
      <c r="L330" s="137" t="s">
        <v>193</v>
      </c>
      <c r="M330" s="137" t="s">
        <v>193</v>
      </c>
      <c r="N330" s="137" t="s">
        <v>193</v>
      </c>
      <c r="O330" s="137" t="s">
        <v>193</v>
      </c>
      <c r="P330" s="137" t="s">
        <v>193</v>
      </c>
      <c r="Q330" s="137" t="s">
        <v>193</v>
      </c>
      <c r="R330" s="137" t="s">
        <v>193</v>
      </c>
      <c r="S330" s="137" t="s">
        <v>193</v>
      </c>
      <c r="T330" s="137" t="s">
        <v>193</v>
      </c>
      <c r="U330" s="137" t="s">
        <v>193</v>
      </c>
      <c r="V330" s="137" t="s">
        <v>193</v>
      </c>
      <c r="W330" s="137" t="s">
        <v>193</v>
      </c>
      <c r="X330" s="137" t="s">
        <v>193</v>
      </c>
      <c r="Y330" s="137" t="s">
        <v>193</v>
      </c>
      <c r="Z330" s="137" t="s">
        <v>193</v>
      </c>
      <c r="AA330" s="137" t="s">
        <v>193</v>
      </c>
      <c r="AB330" s="137" t="s">
        <v>193</v>
      </c>
      <c r="AC330" s="137" t="s">
        <v>193</v>
      </c>
      <c r="AD330" s="137" t="s">
        <v>193</v>
      </c>
      <c r="AE330" s="137" t="s">
        <v>193</v>
      </c>
      <c r="AF330" s="137" t="s">
        <v>193</v>
      </c>
      <c r="AG330" s="137" t="s">
        <v>193</v>
      </c>
      <c r="AH330" s="137" t="s">
        <v>199</v>
      </c>
      <c r="AI330" s="137" t="s">
        <v>193</v>
      </c>
      <c r="AJ330" s="137" t="s">
        <v>193</v>
      </c>
      <c r="AK330" s="137" t="s">
        <v>193</v>
      </c>
      <c r="AL330" s="137" t="s">
        <v>193</v>
      </c>
      <c r="AM330" s="137" t="s">
        <v>193</v>
      </c>
      <c r="AN330" s="137" t="s">
        <v>193</v>
      </c>
      <c r="AO330" s="137" t="s">
        <v>193</v>
      </c>
      <c r="AQ330" s="12">
        <f t="shared" si="44"/>
        <v>0</v>
      </c>
      <c r="AR330" s="12">
        <f t="shared" si="43"/>
        <v>0</v>
      </c>
      <c r="AT330" s="12">
        <f t="shared" si="45"/>
        <v>0</v>
      </c>
      <c r="AU330" s="12">
        <f t="shared" si="46"/>
        <v>0</v>
      </c>
      <c r="AV330" s="13" t="str">
        <f t="shared" si="47"/>
        <v/>
      </c>
      <c r="AY330" s="12">
        <f t="shared" si="48"/>
        <v>0</v>
      </c>
      <c r="AZ330" s="12">
        <f t="shared" si="49"/>
        <v>0</v>
      </c>
      <c r="BA330" s="12">
        <f t="shared" si="49"/>
        <v>0</v>
      </c>
      <c r="BB330" s="12">
        <f t="shared" si="49"/>
        <v>0</v>
      </c>
      <c r="BC330" s="12">
        <f t="shared" si="49"/>
        <v>0</v>
      </c>
      <c r="BD330" s="12">
        <f t="shared" si="50"/>
        <v>0</v>
      </c>
    </row>
    <row r="331" spans="1:56" ht="15" customHeight="1" x14ac:dyDescent="0.25">
      <c r="A331" s="137" t="s">
        <v>645</v>
      </c>
      <c r="B331" s="137" t="s">
        <v>647</v>
      </c>
      <c r="C331" s="137">
        <v>2018</v>
      </c>
      <c r="D331" s="137" t="s">
        <v>193</v>
      </c>
      <c r="E331" s="137" t="s">
        <v>193</v>
      </c>
      <c r="F331" s="137" t="s">
        <v>193</v>
      </c>
      <c r="G331" s="137" t="s">
        <v>193</v>
      </c>
      <c r="H331" s="137" t="s">
        <v>193</v>
      </c>
      <c r="I331" s="137" t="s">
        <v>193</v>
      </c>
      <c r="J331" s="137" t="s">
        <v>193</v>
      </c>
      <c r="K331" s="137" t="s">
        <v>193</v>
      </c>
      <c r="L331" s="137" t="s">
        <v>193</v>
      </c>
      <c r="M331" s="137" t="s">
        <v>193</v>
      </c>
      <c r="N331" s="137" t="s">
        <v>193</v>
      </c>
      <c r="O331" s="137" t="s">
        <v>193</v>
      </c>
      <c r="P331" s="137" t="s">
        <v>193</v>
      </c>
      <c r="Q331" s="137" t="s">
        <v>193</v>
      </c>
      <c r="R331" s="137" t="s">
        <v>193</v>
      </c>
      <c r="S331" s="137" t="s">
        <v>193</v>
      </c>
      <c r="T331" s="137" t="s">
        <v>193</v>
      </c>
      <c r="U331" s="137" t="s">
        <v>193</v>
      </c>
      <c r="V331" s="137" t="s">
        <v>193</v>
      </c>
      <c r="W331" s="137" t="s">
        <v>193</v>
      </c>
      <c r="X331" s="137" t="s">
        <v>193</v>
      </c>
      <c r="Y331" s="137" t="s">
        <v>193</v>
      </c>
      <c r="Z331" s="137" t="s">
        <v>193</v>
      </c>
      <c r="AA331" s="137" t="s">
        <v>193</v>
      </c>
      <c r="AB331" s="137" t="s">
        <v>193</v>
      </c>
      <c r="AC331" s="137" t="s">
        <v>193</v>
      </c>
      <c r="AD331" s="137" t="s">
        <v>193</v>
      </c>
      <c r="AE331" s="137" t="s">
        <v>193</v>
      </c>
      <c r="AF331" s="137" t="s">
        <v>193</v>
      </c>
      <c r="AG331" s="137" t="s">
        <v>193</v>
      </c>
      <c r="AH331" s="137" t="s">
        <v>199</v>
      </c>
      <c r="AI331" s="137" t="s">
        <v>193</v>
      </c>
      <c r="AJ331" s="137" t="s">
        <v>193</v>
      </c>
      <c r="AK331" s="137" t="s">
        <v>193</v>
      </c>
      <c r="AL331" s="137" t="s">
        <v>193</v>
      </c>
      <c r="AM331" s="137" t="s">
        <v>193</v>
      </c>
      <c r="AN331" s="137" t="s">
        <v>193</v>
      </c>
      <c r="AO331" s="137" t="s">
        <v>193</v>
      </c>
      <c r="AQ331" s="12">
        <f t="shared" si="44"/>
        <v>0</v>
      </c>
      <c r="AR331" s="12">
        <f t="shared" si="43"/>
        <v>0</v>
      </c>
      <c r="AT331" s="12">
        <f t="shared" si="45"/>
        <v>0</v>
      </c>
      <c r="AU331" s="12">
        <f t="shared" si="46"/>
        <v>0</v>
      </c>
      <c r="AV331" s="13" t="str">
        <f t="shared" si="47"/>
        <v/>
      </c>
      <c r="AY331" s="12">
        <f t="shared" si="48"/>
        <v>0</v>
      </c>
      <c r="AZ331" s="12">
        <f t="shared" si="49"/>
        <v>0</v>
      </c>
      <c r="BA331" s="12">
        <f t="shared" si="49"/>
        <v>0</v>
      </c>
      <c r="BB331" s="12">
        <f t="shared" si="49"/>
        <v>0</v>
      </c>
      <c r="BC331" s="12">
        <f t="shared" si="49"/>
        <v>0</v>
      </c>
      <c r="BD331" s="12">
        <f t="shared" si="50"/>
        <v>0</v>
      </c>
    </row>
    <row r="332" spans="1:56" ht="15" customHeight="1" x14ac:dyDescent="0.25">
      <c r="A332" s="137" t="s">
        <v>645</v>
      </c>
      <c r="B332" s="137" t="s">
        <v>648</v>
      </c>
      <c r="C332" s="137">
        <v>2018</v>
      </c>
      <c r="D332" s="137" t="s">
        <v>193</v>
      </c>
      <c r="E332" s="137" t="s">
        <v>193</v>
      </c>
      <c r="F332" s="137" t="s">
        <v>193</v>
      </c>
      <c r="G332" s="137" t="s">
        <v>193</v>
      </c>
      <c r="H332" s="137" t="s">
        <v>193</v>
      </c>
      <c r="I332" s="137" t="s">
        <v>193</v>
      </c>
      <c r="J332" s="137" t="s">
        <v>193</v>
      </c>
      <c r="K332" s="137" t="s">
        <v>193</v>
      </c>
      <c r="L332" s="137" t="s">
        <v>193</v>
      </c>
      <c r="M332" s="137" t="s">
        <v>193</v>
      </c>
      <c r="N332" s="137" t="s">
        <v>193</v>
      </c>
      <c r="O332" s="137" t="s">
        <v>193</v>
      </c>
      <c r="P332" s="137" t="s">
        <v>193</v>
      </c>
      <c r="Q332" s="137" t="s">
        <v>193</v>
      </c>
      <c r="R332" s="137" t="s">
        <v>193</v>
      </c>
      <c r="S332" s="137" t="s">
        <v>193</v>
      </c>
      <c r="T332" s="137" t="s">
        <v>193</v>
      </c>
      <c r="U332" s="137" t="s">
        <v>193</v>
      </c>
      <c r="V332" s="137" t="s">
        <v>193</v>
      </c>
      <c r="W332" s="137" t="s">
        <v>193</v>
      </c>
      <c r="X332" s="137" t="s">
        <v>193</v>
      </c>
      <c r="Y332" s="137" t="s">
        <v>193</v>
      </c>
      <c r="Z332" s="137" t="s">
        <v>193</v>
      </c>
      <c r="AA332" s="137" t="s">
        <v>193</v>
      </c>
      <c r="AB332" s="137" t="s">
        <v>193</v>
      </c>
      <c r="AC332" s="137" t="s">
        <v>193</v>
      </c>
      <c r="AD332" s="137" t="s">
        <v>193</v>
      </c>
      <c r="AE332" s="137" t="s">
        <v>193</v>
      </c>
      <c r="AF332" s="137" t="s">
        <v>193</v>
      </c>
      <c r="AG332" s="137" t="s">
        <v>193</v>
      </c>
      <c r="AH332" s="137" t="s">
        <v>199</v>
      </c>
      <c r="AI332" s="137" t="s">
        <v>193</v>
      </c>
      <c r="AJ332" s="137" t="s">
        <v>193</v>
      </c>
      <c r="AK332" s="137" t="s">
        <v>193</v>
      </c>
      <c r="AL332" s="137" t="s">
        <v>193</v>
      </c>
      <c r="AM332" s="137" t="s">
        <v>193</v>
      </c>
      <c r="AN332" s="137" t="s">
        <v>193</v>
      </c>
      <c r="AO332" s="137" t="s">
        <v>193</v>
      </c>
      <c r="AQ332" s="12">
        <f t="shared" si="44"/>
        <v>0</v>
      </c>
      <c r="AR332" s="12">
        <f t="shared" si="43"/>
        <v>0</v>
      </c>
      <c r="AT332" s="12">
        <f t="shared" si="45"/>
        <v>0</v>
      </c>
      <c r="AU332" s="12">
        <f t="shared" si="46"/>
        <v>0</v>
      </c>
      <c r="AV332" s="13" t="str">
        <f t="shared" si="47"/>
        <v/>
      </c>
      <c r="AY332" s="12">
        <f t="shared" si="48"/>
        <v>0</v>
      </c>
      <c r="AZ332" s="12">
        <f t="shared" si="49"/>
        <v>0</v>
      </c>
      <c r="BA332" s="12">
        <f t="shared" si="49"/>
        <v>0</v>
      </c>
      <c r="BB332" s="12">
        <f t="shared" si="49"/>
        <v>0</v>
      </c>
      <c r="BC332" s="12">
        <f t="shared" si="49"/>
        <v>0</v>
      </c>
      <c r="BD332" s="12">
        <f t="shared" si="50"/>
        <v>0</v>
      </c>
    </row>
    <row r="333" spans="1:56" ht="15" customHeight="1" x14ac:dyDescent="0.25">
      <c r="A333" s="137" t="s">
        <v>649</v>
      </c>
      <c r="B333" s="137" t="s">
        <v>650</v>
      </c>
      <c r="C333" s="137">
        <v>2018</v>
      </c>
      <c r="D333" s="137" t="s">
        <v>193</v>
      </c>
      <c r="E333" s="137" t="s">
        <v>193</v>
      </c>
      <c r="F333" s="137" t="s">
        <v>193</v>
      </c>
      <c r="G333" s="137" t="s">
        <v>193</v>
      </c>
      <c r="H333" s="137" t="s">
        <v>193</v>
      </c>
      <c r="I333" s="137" t="s">
        <v>193</v>
      </c>
      <c r="J333" s="137" t="s">
        <v>193</v>
      </c>
      <c r="K333" s="137" t="s">
        <v>193</v>
      </c>
      <c r="L333" s="137" t="s">
        <v>193</v>
      </c>
      <c r="M333" s="137" t="s">
        <v>193</v>
      </c>
      <c r="N333" s="137" t="s">
        <v>193</v>
      </c>
      <c r="O333" s="137" t="s">
        <v>193</v>
      </c>
      <c r="P333" s="137" t="s">
        <v>193</v>
      </c>
      <c r="Q333" s="137" t="s">
        <v>193</v>
      </c>
      <c r="R333" s="137" t="s">
        <v>193</v>
      </c>
      <c r="S333" s="137" t="s">
        <v>193</v>
      </c>
      <c r="T333" s="137" t="s">
        <v>193</v>
      </c>
      <c r="U333" s="137" t="s">
        <v>193</v>
      </c>
      <c r="V333" s="137" t="s">
        <v>193</v>
      </c>
      <c r="W333" s="137" t="s">
        <v>193</v>
      </c>
      <c r="X333" s="137" t="s">
        <v>193</v>
      </c>
      <c r="Y333" s="137" t="s">
        <v>193</v>
      </c>
      <c r="Z333" s="137" t="s">
        <v>193</v>
      </c>
      <c r="AA333" s="137" t="s">
        <v>193</v>
      </c>
      <c r="AB333" s="137" t="s">
        <v>193</v>
      </c>
      <c r="AC333" s="137" t="s">
        <v>193</v>
      </c>
      <c r="AD333" s="137" t="s">
        <v>193</v>
      </c>
      <c r="AE333" s="137" t="s">
        <v>193</v>
      </c>
      <c r="AF333" s="137" t="s">
        <v>193</v>
      </c>
      <c r="AG333" s="137" t="s">
        <v>193</v>
      </c>
      <c r="AH333" s="137" t="s">
        <v>199</v>
      </c>
      <c r="AI333" s="137" t="s">
        <v>193</v>
      </c>
      <c r="AJ333" s="137" t="s">
        <v>193</v>
      </c>
      <c r="AK333" s="137" t="s">
        <v>193</v>
      </c>
      <c r="AL333" s="137" t="s">
        <v>193</v>
      </c>
      <c r="AM333" s="137" t="s">
        <v>193</v>
      </c>
      <c r="AN333" s="137" t="s">
        <v>193</v>
      </c>
      <c r="AO333" s="137" t="s">
        <v>193</v>
      </c>
      <c r="AQ333" s="12">
        <f t="shared" si="44"/>
        <v>0</v>
      </c>
      <c r="AR333" s="12">
        <f t="shared" si="43"/>
        <v>0</v>
      </c>
      <c r="AT333" s="12">
        <f t="shared" si="45"/>
        <v>0</v>
      </c>
      <c r="AU333" s="12">
        <f t="shared" si="46"/>
        <v>0</v>
      </c>
      <c r="AV333" s="13" t="str">
        <f t="shared" si="47"/>
        <v/>
      </c>
      <c r="AY333" s="12">
        <f t="shared" si="48"/>
        <v>0</v>
      </c>
      <c r="AZ333" s="12">
        <f t="shared" si="49"/>
        <v>0</v>
      </c>
      <c r="BA333" s="12">
        <f t="shared" si="49"/>
        <v>0</v>
      </c>
      <c r="BB333" s="12">
        <f t="shared" si="49"/>
        <v>0</v>
      </c>
      <c r="BC333" s="12">
        <f t="shared" si="49"/>
        <v>0</v>
      </c>
      <c r="BD333" s="12">
        <f t="shared" si="50"/>
        <v>0</v>
      </c>
    </row>
    <row r="334" spans="1:56" ht="15" customHeight="1" x14ac:dyDescent="0.25">
      <c r="A334" s="137" t="s">
        <v>649</v>
      </c>
      <c r="B334" s="137" t="s">
        <v>651</v>
      </c>
      <c r="C334" s="137">
        <v>2018</v>
      </c>
      <c r="D334" s="137" t="s">
        <v>193</v>
      </c>
      <c r="E334" s="137" t="s">
        <v>193</v>
      </c>
      <c r="F334" s="137" t="s">
        <v>193</v>
      </c>
      <c r="G334" s="137" t="s">
        <v>193</v>
      </c>
      <c r="H334" s="137" t="s">
        <v>193</v>
      </c>
      <c r="I334" s="137" t="s">
        <v>193</v>
      </c>
      <c r="J334" s="137" t="s">
        <v>193</v>
      </c>
      <c r="K334" s="137" t="s">
        <v>193</v>
      </c>
      <c r="L334" s="137" t="s">
        <v>193</v>
      </c>
      <c r="M334" s="137" t="s">
        <v>193</v>
      </c>
      <c r="N334" s="137" t="s">
        <v>193</v>
      </c>
      <c r="O334" s="137" t="s">
        <v>193</v>
      </c>
      <c r="P334" s="137" t="s">
        <v>193</v>
      </c>
      <c r="Q334" s="137" t="s">
        <v>193</v>
      </c>
      <c r="R334" s="137" t="s">
        <v>193</v>
      </c>
      <c r="S334" s="137" t="s">
        <v>193</v>
      </c>
      <c r="T334" s="137" t="s">
        <v>193</v>
      </c>
      <c r="U334" s="137" t="s">
        <v>193</v>
      </c>
      <c r="V334" s="137" t="s">
        <v>193</v>
      </c>
      <c r="W334" s="137" t="s">
        <v>193</v>
      </c>
      <c r="X334" s="137" t="s">
        <v>193</v>
      </c>
      <c r="Y334" s="137" t="s">
        <v>193</v>
      </c>
      <c r="Z334" s="137" t="s">
        <v>193</v>
      </c>
      <c r="AA334" s="137" t="s">
        <v>193</v>
      </c>
      <c r="AB334" s="137" t="s">
        <v>193</v>
      </c>
      <c r="AC334" s="137" t="s">
        <v>193</v>
      </c>
      <c r="AD334" s="137" t="s">
        <v>193</v>
      </c>
      <c r="AE334" s="137" t="s">
        <v>193</v>
      </c>
      <c r="AF334" s="137" t="s">
        <v>193</v>
      </c>
      <c r="AG334" s="137" t="s">
        <v>193</v>
      </c>
      <c r="AH334" s="137" t="s">
        <v>199</v>
      </c>
      <c r="AI334" s="137" t="s">
        <v>193</v>
      </c>
      <c r="AJ334" s="137" t="s">
        <v>193</v>
      </c>
      <c r="AK334" s="137" t="s">
        <v>193</v>
      </c>
      <c r="AL334" s="137" t="s">
        <v>193</v>
      </c>
      <c r="AM334" s="137" t="s">
        <v>193</v>
      </c>
      <c r="AN334" s="137" t="s">
        <v>193</v>
      </c>
      <c r="AO334" s="137" t="s">
        <v>193</v>
      </c>
      <c r="AQ334" s="12">
        <f t="shared" si="44"/>
        <v>0</v>
      </c>
      <c r="AR334" s="12">
        <f t="shared" si="43"/>
        <v>0</v>
      </c>
      <c r="AT334" s="12">
        <f t="shared" si="45"/>
        <v>0</v>
      </c>
      <c r="AU334" s="12">
        <f t="shared" si="46"/>
        <v>0</v>
      </c>
      <c r="AV334" s="13" t="str">
        <f t="shared" si="47"/>
        <v/>
      </c>
      <c r="AY334" s="12">
        <f t="shared" si="48"/>
        <v>0</v>
      </c>
      <c r="AZ334" s="12">
        <f t="shared" si="49"/>
        <v>0</v>
      </c>
      <c r="BA334" s="12">
        <f t="shared" si="49"/>
        <v>0</v>
      </c>
      <c r="BB334" s="12">
        <f t="shared" si="49"/>
        <v>0</v>
      </c>
      <c r="BC334" s="12">
        <f t="shared" si="49"/>
        <v>0</v>
      </c>
      <c r="BD334" s="12">
        <f t="shared" si="50"/>
        <v>0</v>
      </c>
    </row>
    <row r="335" spans="1:56" ht="15" customHeight="1" x14ac:dyDescent="0.25">
      <c r="A335" s="137" t="s">
        <v>649</v>
      </c>
      <c r="B335" s="137" t="s">
        <v>652</v>
      </c>
      <c r="C335" s="137">
        <v>2018</v>
      </c>
      <c r="D335" s="137" t="s">
        <v>193</v>
      </c>
      <c r="E335" s="137" t="s">
        <v>193</v>
      </c>
      <c r="F335" s="137" t="s">
        <v>193</v>
      </c>
      <c r="G335" s="137" t="s">
        <v>193</v>
      </c>
      <c r="H335" s="137" t="s">
        <v>193</v>
      </c>
      <c r="I335" s="137" t="s">
        <v>193</v>
      </c>
      <c r="J335" s="137" t="s">
        <v>193</v>
      </c>
      <c r="K335" s="137" t="s">
        <v>193</v>
      </c>
      <c r="L335" s="137" t="s">
        <v>193</v>
      </c>
      <c r="M335" s="137" t="s">
        <v>193</v>
      </c>
      <c r="N335" s="137" t="s">
        <v>193</v>
      </c>
      <c r="O335" s="137" t="s">
        <v>193</v>
      </c>
      <c r="P335" s="137" t="s">
        <v>193</v>
      </c>
      <c r="Q335" s="137" t="s">
        <v>193</v>
      </c>
      <c r="R335" s="137" t="s">
        <v>193</v>
      </c>
      <c r="S335" s="137" t="s">
        <v>193</v>
      </c>
      <c r="T335" s="137" t="s">
        <v>193</v>
      </c>
      <c r="U335" s="137" t="s">
        <v>193</v>
      </c>
      <c r="V335" s="137" t="s">
        <v>193</v>
      </c>
      <c r="W335" s="137" t="s">
        <v>193</v>
      </c>
      <c r="X335" s="137" t="s">
        <v>193</v>
      </c>
      <c r="Y335" s="137" t="s">
        <v>193</v>
      </c>
      <c r="Z335" s="137" t="s">
        <v>193</v>
      </c>
      <c r="AA335" s="137" t="s">
        <v>193</v>
      </c>
      <c r="AB335" s="137" t="s">
        <v>193</v>
      </c>
      <c r="AC335" s="137" t="s">
        <v>193</v>
      </c>
      <c r="AD335" s="137" t="s">
        <v>193</v>
      </c>
      <c r="AE335" s="137" t="s">
        <v>193</v>
      </c>
      <c r="AF335" s="137" t="s">
        <v>193</v>
      </c>
      <c r="AG335" s="137" t="s">
        <v>193</v>
      </c>
      <c r="AH335" s="137" t="s">
        <v>199</v>
      </c>
      <c r="AI335" s="137" t="s">
        <v>193</v>
      </c>
      <c r="AJ335" s="137" t="s">
        <v>193</v>
      </c>
      <c r="AK335" s="137" t="s">
        <v>193</v>
      </c>
      <c r="AL335" s="137" t="s">
        <v>193</v>
      </c>
      <c r="AM335" s="137" t="s">
        <v>193</v>
      </c>
      <c r="AN335" s="137" t="s">
        <v>193</v>
      </c>
      <c r="AO335" s="137" t="s">
        <v>193</v>
      </c>
      <c r="AQ335" s="12">
        <f t="shared" si="44"/>
        <v>0</v>
      </c>
      <c r="AR335" s="12">
        <f t="shared" si="43"/>
        <v>0</v>
      </c>
      <c r="AT335" s="12">
        <f t="shared" si="45"/>
        <v>0</v>
      </c>
      <c r="AU335" s="12">
        <f t="shared" si="46"/>
        <v>0</v>
      </c>
      <c r="AV335" s="13" t="str">
        <f t="shared" si="47"/>
        <v/>
      </c>
      <c r="AY335" s="12">
        <f t="shared" si="48"/>
        <v>0</v>
      </c>
      <c r="AZ335" s="12">
        <f t="shared" si="49"/>
        <v>0</v>
      </c>
      <c r="BA335" s="12">
        <f t="shared" si="49"/>
        <v>0</v>
      </c>
      <c r="BB335" s="12">
        <f t="shared" si="49"/>
        <v>0</v>
      </c>
      <c r="BC335" s="12">
        <f t="shared" si="49"/>
        <v>0</v>
      </c>
      <c r="BD335" s="12">
        <f t="shared" si="50"/>
        <v>0</v>
      </c>
    </row>
    <row r="336" spans="1:56" ht="15" customHeight="1" x14ac:dyDescent="0.25">
      <c r="A336" s="137" t="s">
        <v>649</v>
      </c>
      <c r="B336" s="137" t="s">
        <v>653</v>
      </c>
      <c r="C336" s="137">
        <v>2018</v>
      </c>
      <c r="D336" s="137" t="s">
        <v>193</v>
      </c>
      <c r="E336" s="137" t="s">
        <v>193</v>
      </c>
      <c r="F336" s="137" t="s">
        <v>193</v>
      </c>
      <c r="G336" s="137" t="s">
        <v>193</v>
      </c>
      <c r="H336" s="137" t="s">
        <v>193</v>
      </c>
      <c r="I336" s="137" t="s">
        <v>193</v>
      </c>
      <c r="J336" s="137" t="s">
        <v>193</v>
      </c>
      <c r="K336" s="137" t="s">
        <v>193</v>
      </c>
      <c r="L336" s="137" t="s">
        <v>193</v>
      </c>
      <c r="M336" s="137" t="s">
        <v>193</v>
      </c>
      <c r="N336" s="137" t="s">
        <v>193</v>
      </c>
      <c r="O336" s="137" t="s">
        <v>193</v>
      </c>
      <c r="P336" s="137" t="s">
        <v>193</v>
      </c>
      <c r="Q336" s="137" t="s">
        <v>193</v>
      </c>
      <c r="R336" s="137" t="s">
        <v>193</v>
      </c>
      <c r="S336" s="137" t="s">
        <v>193</v>
      </c>
      <c r="T336" s="137" t="s">
        <v>193</v>
      </c>
      <c r="U336" s="137" t="s">
        <v>193</v>
      </c>
      <c r="V336" s="137" t="s">
        <v>193</v>
      </c>
      <c r="W336" s="137" t="s">
        <v>193</v>
      </c>
      <c r="X336" s="137" t="s">
        <v>193</v>
      </c>
      <c r="Y336" s="137" t="s">
        <v>193</v>
      </c>
      <c r="Z336" s="137" t="s">
        <v>193</v>
      </c>
      <c r="AA336" s="137" t="s">
        <v>193</v>
      </c>
      <c r="AB336" s="137" t="s">
        <v>193</v>
      </c>
      <c r="AC336" s="137" t="s">
        <v>193</v>
      </c>
      <c r="AD336" s="137" t="s">
        <v>193</v>
      </c>
      <c r="AE336" s="137" t="s">
        <v>193</v>
      </c>
      <c r="AF336" s="137" t="s">
        <v>193</v>
      </c>
      <c r="AG336" s="137" t="s">
        <v>193</v>
      </c>
      <c r="AH336" s="137" t="s">
        <v>199</v>
      </c>
      <c r="AI336" s="137" t="s">
        <v>193</v>
      </c>
      <c r="AJ336" s="137" t="s">
        <v>193</v>
      </c>
      <c r="AK336" s="137" t="s">
        <v>193</v>
      </c>
      <c r="AL336" s="137" t="s">
        <v>193</v>
      </c>
      <c r="AM336" s="137" t="s">
        <v>193</v>
      </c>
      <c r="AN336" s="137" t="s">
        <v>193</v>
      </c>
      <c r="AO336" s="137" t="s">
        <v>193</v>
      </c>
      <c r="AQ336" s="12">
        <f t="shared" si="44"/>
        <v>0</v>
      </c>
      <c r="AR336" s="12">
        <f t="shared" si="43"/>
        <v>0</v>
      </c>
      <c r="AT336" s="12">
        <f t="shared" si="45"/>
        <v>0</v>
      </c>
      <c r="AU336" s="12">
        <f t="shared" si="46"/>
        <v>0</v>
      </c>
      <c r="AV336" s="13" t="str">
        <f t="shared" si="47"/>
        <v/>
      </c>
      <c r="AY336" s="12">
        <f t="shared" si="48"/>
        <v>0</v>
      </c>
      <c r="AZ336" s="12">
        <f t="shared" si="49"/>
        <v>0</v>
      </c>
      <c r="BA336" s="12">
        <f t="shared" si="49"/>
        <v>0</v>
      </c>
      <c r="BB336" s="12">
        <f t="shared" si="49"/>
        <v>0</v>
      </c>
      <c r="BC336" s="12">
        <f t="shared" si="49"/>
        <v>0</v>
      </c>
      <c r="BD336" s="12">
        <f t="shared" si="50"/>
        <v>0</v>
      </c>
    </row>
    <row r="337" spans="1:56" ht="15" customHeight="1" x14ac:dyDescent="0.25">
      <c r="A337" s="137" t="s">
        <v>649</v>
      </c>
      <c r="B337" s="137" t="s">
        <v>138</v>
      </c>
      <c r="C337" s="137">
        <v>2018</v>
      </c>
      <c r="D337" s="137" t="s">
        <v>193</v>
      </c>
      <c r="E337" s="137" t="s">
        <v>193</v>
      </c>
      <c r="F337" s="137" t="s">
        <v>193</v>
      </c>
      <c r="G337" s="137" t="s">
        <v>193</v>
      </c>
      <c r="H337" s="137" t="s">
        <v>193</v>
      </c>
      <c r="I337" s="137" t="s">
        <v>193</v>
      </c>
      <c r="J337" s="137" t="s">
        <v>193</v>
      </c>
      <c r="K337" s="137" t="s">
        <v>193</v>
      </c>
      <c r="L337" s="137" t="s">
        <v>193</v>
      </c>
      <c r="M337" s="137" t="s">
        <v>193</v>
      </c>
      <c r="N337" s="137" t="s">
        <v>193</v>
      </c>
      <c r="O337" s="137" t="s">
        <v>193</v>
      </c>
      <c r="P337" s="137" t="s">
        <v>193</v>
      </c>
      <c r="Q337" s="137" t="s">
        <v>193</v>
      </c>
      <c r="R337" s="137" t="s">
        <v>193</v>
      </c>
      <c r="S337" s="137" t="s">
        <v>193</v>
      </c>
      <c r="T337" s="137" t="s">
        <v>193</v>
      </c>
      <c r="U337" s="137" t="s">
        <v>193</v>
      </c>
      <c r="V337" s="137" t="s">
        <v>193</v>
      </c>
      <c r="W337" s="137" t="s">
        <v>193</v>
      </c>
      <c r="X337" s="137" t="s">
        <v>193</v>
      </c>
      <c r="Y337" s="137" t="s">
        <v>193</v>
      </c>
      <c r="Z337" s="137" t="s">
        <v>193</v>
      </c>
      <c r="AA337" s="137" t="s">
        <v>193</v>
      </c>
      <c r="AB337" s="137" t="s">
        <v>193</v>
      </c>
      <c r="AC337" s="137" t="s">
        <v>193</v>
      </c>
      <c r="AD337" s="137" t="s">
        <v>193</v>
      </c>
      <c r="AE337" s="137" t="s">
        <v>193</v>
      </c>
      <c r="AF337" s="137" t="s">
        <v>193</v>
      </c>
      <c r="AG337" s="137" t="s">
        <v>193</v>
      </c>
      <c r="AH337" s="137" t="s">
        <v>199</v>
      </c>
      <c r="AI337" s="137" t="s">
        <v>193</v>
      </c>
      <c r="AJ337" s="137" t="s">
        <v>193</v>
      </c>
      <c r="AK337" s="137" t="s">
        <v>193</v>
      </c>
      <c r="AL337" s="137" t="s">
        <v>193</v>
      </c>
      <c r="AM337" s="137" t="s">
        <v>193</v>
      </c>
      <c r="AN337" s="137" t="s">
        <v>193</v>
      </c>
      <c r="AO337" s="137" t="s">
        <v>193</v>
      </c>
      <c r="AQ337" s="12">
        <f t="shared" si="44"/>
        <v>0</v>
      </c>
      <c r="AR337" s="12">
        <f t="shared" si="43"/>
        <v>0</v>
      </c>
      <c r="AT337" s="12">
        <f t="shared" si="45"/>
        <v>0</v>
      </c>
      <c r="AU337" s="12">
        <f t="shared" si="46"/>
        <v>0</v>
      </c>
      <c r="AV337" s="13" t="str">
        <f t="shared" si="47"/>
        <v/>
      </c>
      <c r="AY337" s="12">
        <f t="shared" si="48"/>
        <v>0</v>
      </c>
      <c r="AZ337" s="12">
        <f t="shared" si="49"/>
        <v>0</v>
      </c>
      <c r="BA337" s="12">
        <f t="shared" si="49"/>
        <v>0</v>
      </c>
      <c r="BB337" s="12">
        <f t="shared" si="49"/>
        <v>0</v>
      </c>
      <c r="BC337" s="12">
        <f t="shared" si="49"/>
        <v>0</v>
      </c>
      <c r="BD337" s="12">
        <f t="shared" si="50"/>
        <v>0</v>
      </c>
    </row>
    <row r="338" spans="1:56" ht="15" customHeight="1" x14ac:dyDescent="0.25">
      <c r="A338" s="137" t="s">
        <v>654</v>
      </c>
      <c r="B338" s="137" t="s">
        <v>655</v>
      </c>
      <c r="C338" s="137">
        <v>2018</v>
      </c>
      <c r="D338" s="137" t="s">
        <v>193</v>
      </c>
      <c r="E338" s="137" t="s">
        <v>193</v>
      </c>
      <c r="F338" s="137" t="s">
        <v>193</v>
      </c>
      <c r="G338" s="137" t="s">
        <v>193</v>
      </c>
      <c r="H338" s="137" t="s">
        <v>193</v>
      </c>
      <c r="I338" s="137" t="s">
        <v>193</v>
      </c>
      <c r="J338" s="137" t="s">
        <v>193</v>
      </c>
      <c r="K338" s="137" t="s">
        <v>193</v>
      </c>
      <c r="L338" s="137" t="s">
        <v>193</v>
      </c>
      <c r="M338" s="137" t="s">
        <v>193</v>
      </c>
      <c r="N338" s="137" t="s">
        <v>193</v>
      </c>
      <c r="O338" s="137" t="s">
        <v>193</v>
      </c>
      <c r="P338" s="137" t="s">
        <v>193</v>
      </c>
      <c r="Q338" s="137" t="s">
        <v>193</v>
      </c>
      <c r="R338" s="137" t="s">
        <v>193</v>
      </c>
      <c r="S338" s="137" t="s">
        <v>193</v>
      </c>
      <c r="T338" s="137" t="s">
        <v>193</v>
      </c>
      <c r="U338" s="137" t="s">
        <v>193</v>
      </c>
      <c r="V338" s="137" t="s">
        <v>193</v>
      </c>
      <c r="W338" s="137" t="s">
        <v>193</v>
      </c>
      <c r="X338" s="137" t="s">
        <v>193</v>
      </c>
      <c r="Y338" s="137" t="s">
        <v>193</v>
      </c>
      <c r="Z338" s="137" t="s">
        <v>193</v>
      </c>
      <c r="AA338" s="137" t="s">
        <v>193</v>
      </c>
      <c r="AB338" s="137" t="s">
        <v>193</v>
      </c>
      <c r="AC338" s="137" t="s">
        <v>193</v>
      </c>
      <c r="AD338" s="137" t="s">
        <v>193</v>
      </c>
      <c r="AE338" s="137" t="s">
        <v>193</v>
      </c>
      <c r="AF338" s="137" t="s">
        <v>193</v>
      </c>
      <c r="AG338" s="137" t="s">
        <v>193</v>
      </c>
      <c r="AH338" s="137" t="s">
        <v>53</v>
      </c>
      <c r="AI338" s="137" t="s">
        <v>193</v>
      </c>
      <c r="AJ338" s="137" t="s">
        <v>193</v>
      </c>
      <c r="AK338" s="137" t="s">
        <v>193</v>
      </c>
      <c r="AL338" s="137" t="s">
        <v>193</v>
      </c>
      <c r="AM338" s="137" t="s">
        <v>193</v>
      </c>
      <c r="AN338" s="137" t="s">
        <v>193</v>
      </c>
      <c r="AO338" s="137" t="s">
        <v>193</v>
      </c>
      <c r="AQ338" s="12">
        <f t="shared" si="44"/>
        <v>0</v>
      </c>
      <c r="AR338" s="12">
        <f t="shared" si="43"/>
        <v>0</v>
      </c>
      <c r="AT338" s="12">
        <f t="shared" si="45"/>
        <v>0</v>
      </c>
      <c r="AU338" s="12">
        <f t="shared" si="46"/>
        <v>0</v>
      </c>
      <c r="AV338" s="13" t="str">
        <f t="shared" si="47"/>
        <v/>
      </c>
      <c r="AY338" s="12">
        <f t="shared" si="48"/>
        <v>0</v>
      </c>
      <c r="AZ338" s="12">
        <f t="shared" si="49"/>
        <v>0</v>
      </c>
      <c r="BA338" s="12">
        <f t="shared" si="49"/>
        <v>0</v>
      </c>
      <c r="BB338" s="12">
        <f t="shared" si="49"/>
        <v>0</v>
      </c>
      <c r="BC338" s="12">
        <f t="shared" si="49"/>
        <v>0</v>
      </c>
      <c r="BD338" s="12">
        <f t="shared" si="50"/>
        <v>0</v>
      </c>
    </row>
    <row r="339" spans="1:56" ht="15" customHeight="1" x14ac:dyDescent="0.25">
      <c r="A339" s="137" t="s">
        <v>654</v>
      </c>
      <c r="B339" s="137" t="s">
        <v>656</v>
      </c>
      <c r="C339" s="137">
        <v>2018</v>
      </c>
      <c r="D339" s="137">
        <v>312.10000000000002</v>
      </c>
      <c r="E339" s="137">
        <v>12.91</v>
      </c>
      <c r="F339" s="137" t="s">
        <v>193</v>
      </c>
      <c r="G339" s="137" t="s">
        <v>193</v>
      </c>
      <c r="H339" s="137" t="s">
        <v>193</v>
      </c>
      <c r="I339" s="137">
        <v>427.13</v>
      </c>
      <c r="J339" s="137" t="s">
        <v>193</v>
      </c>
      <c r="K339" s="137" t="s">
        <v>193</v>
      </c>
      <c r="L339" s="137" t="s">
        <v>193</v>
      </c>
      <c r="M339" s="137" t="s">
        <v>193</v>
      </c>
      <c r="N339" s="137" t="s">
        <v>193</v>
      </c>
      <c r="O339" s="137" t="s">
        <v>193</v>
      </c>
      <c r="P339" s="137" t="s">
        <v>193</v>
      </c>
      <c r="Q339" s="137" t="s">
        <v>193</v>
      </c>
      <c r="R339" s="137" t="s">
        <v>193</v>
      </c>
      <c r="S339" s="137">
        <v>4.6500000000000004</v>
      </c>
      <c r="T339" s="137" t="s">
        <v>193</v>
      </c>
      <c r="U339" s="137" t="s">
        <v>193</v>
      </c>
      <c r="V339" s="137" t="s">
        <v>193</v>
      </c>
      <c r="W339" s="137" t="s">
        <v>193</v>
      </c>
      <c r="X339" s="137" t="s">
        <v>193</v>
      </c>
      <c r="Y339" s="137" t="s">
        <v>193</v>
      </c>
      <c r="Z339" s="137" t="s">
        <v>193</v>
      </c>
      <c r="AA339" s="137">
        <v>369.98</v>
      </c>
      <c r="AB339" s="137" t="s">
        <v>193</v>
      </c>
      <c r="AC339" s="137">
        <v>3.1</v>
      </c>
      <c r="AD339" s="137" t="s">
        <v>193</v>
      </c>
      <c r="AE339" s="137" t="s">
        <v>193</v>
      </c>
      <c r="AF339" s="137" t="s">
        <v>193</v>
      </c>
      <c r="AG339" s="137" t="s">
        <v>193</v>
      </c>
      <c r="AH339" s="137" t="s">
        <v>199</v>
      </c>
      <c r="AI339" s="137" t="s">
        <v>193</v>
      </c>
      <c r="AJ339" s="137" t="s">
        <v>193</v>
      </c>
      <c r="AK339" s="137">
        <v>49.4</v>
      </c>
      <c r="AL339" s="137">
        <v>100</v>
      </c>
      <c r="AM339" s="137">
        <v>0</v>
      </c>
      <c r="AN339" s="137">
        <v>0</v>
      </c>
      <c r="AO339" s="137" t="s">
        <v>193</v>
      </c>
      <c r="AQ339" s="12">
        <f t="shared" si="44"/>
        <v>377.73</v>
      </c>
      <c r="AR339" s="12">
        <f t="shared" si="43"/>
        <v>427.13</v>
      </c>
      <c r="AT339" s="12">
        <f t="shared" si="45"/>
        <v>312.10000000000002</v>
      </c>
      <c r="AU339" s="12">
        <f t="shared" si="46"/>
        <v>12.91</v>
      </c>
      <c r="AV339" s="13">
        <f t="shared" si="47"/>
        <v>0.76091588041111613</v>
      </c>
      <c r="AY339" s="12">
        <f t="shared" si="48"/>
        <v>49.4</v>
      </c>
      <c r="AZ339" s="12">
        <f t="shared" si="49"/>
        <v>49.4</v>
      </c>
      <c r="BA339" s="12">
        <f t="shared" si="49"/>
        <v>0</v>
      </c>
      <c r="BB339" s="12">
        <f t="shared" si="49"/>
        <v>0</v>
      </c>
      <c r="BC339" s="12">
        <f t="shared" si="49"/>
        <v>0</v>
      </c>
      <c r="BD339" s="12">
        <f t="shared" si="50"/>
        <v>0</v>
      </c>
    </row>
    <row r="340" spans="1:56" ht="15" customHeight="1" x14ac:dyDescent="0.25">
      <c r="A340" s="137" t="s">
        <v>654</v>
      </c>
      <c r="B340" s="137" t="s">
        <v>657</v>
      </c>
      <c r="C340" s="137">
        <v>2018</v>
      </c>
      <c r="D340" s="137" t="s">
        <v>193</v>
      </c>
      <c r="E340" s="137" t="s">
        <v>193</v>
      </c>
      <c r="F340" s="137" t="s">
        <v>193</v>
      </c>
      <c r="G340" s="137" t="s">
        <v>193</v>
      </c>
      <c r="H340" s="137" t="s">
        <v>193</v>
      </c>
      <c r="I340" s="137" t="s">
        <v>193</v>
      </c>
      <c r="J340" s="137" t="s">
        <v>193</v>
      </c>
      <c r="K340" s="137" t="s">
        <v>193</v>
      </c>
      <c r="L340" s="137" t="s">
        <v>193</v>
      </c>
      <c r="M340" s="137" t="s">
        <v>193</v>
      </c>
      <c r="N340" s="137" t="s">
        <v>193</v>
      </c>
      <c r="O340" s="137" t="s">
        <v>193</v>
      </c>
      <c r="P340" s="137" t="s">
        <v>193</v>
      </c>
      <c r="Q340" s="137" t="s">
        <v>193</v>
      </c>
      <c r="R340" s="137" t="s">
        <v>193</v>
      </c>
      <c r="S340" s="137" t="s">
        <v>193</v>
      </c>
      <c r="T340" s="137" t="s">
        <v>193</v>
      </c>
      <c r="U340" s="137" t="s">
        <v>193</v>
      </c>
      <c r="V340" s="137" t="s">
        <v>193</v>
      </c>
      <c r="W340" s="137" t="s">
        <v>193</v>
      </c>
      <c r="X340" s="137" t="s">
        <v>193</v>
      </c>
      <c r="Y340" s="137" t="s">
        <v>193</v>
      </c>
      <c r="Z340" s="137" t="s">
        <v>193</v>
      </c>
      <c r="AA340" s="137" t="s">
        <v>193</v>
      </c>
      <c r="AB340" s="137" t="s">
        <v>193</v>
      </c>
      <c r="AC340" s="137" t="s">
        <v>193</v>
      </c>
      <c r="AD340" s="137" t="s">
        <v>193</v>
      </c>
      <c r="AE340" s="137" t="s">
        <v>193</v>
      </c>
      <c r="AF340" s="137" t="s">
        <v>193</v>
      </c>
      <c r="AG340" s="137" t="s">
        <v>193</v>
      </c>
      <c r="AH340" s="137" t="s">
        <v>199</v>
      </c>
      <c r="AI340" s="137" t="s">
        <v>193</v>
      </c>
      <c r="AJ340" s="137" t="s">
        <v>193</v>
      </c>
      <c r="AK340" s="137" t="s">
        <v>193</v>
      </c>
      <c r="AL340" s="137" t="s">
        <v>193</v>
      </c>
      <c r="AM340" s="137" t="s">
        <v>193</v>
      </c>
      <c r="AN340" s="137" t="s">
        <v>193</v>
      </c>
      <c r="AO340" s="137" t="s">
        <v>193</v>
      </c>
      <c r="AQ340" s="12">
        <f t="shared" si="44"/>
        <v>0</v>
      </c>
      <c r="AR340" s="12">
        <f t="shared" si="43"/>
        <v>0</v>
      </c>
      <c r="AT340" s="12">
        <f t="shared" si="45"/>
        <v>0</v>
      </c>
      <c r="AU340" s="12">
        <f t="shared" si="46"/>
        <v>0</v>
      </c>
      <c r="AV340" s="13" t="str">
        <f t="shared" si="47"/>
        <v/>
      </c>
      <c r="AY340" s="12">
        <f t="shared" si="48"/>
        <v>0</v>
      </c>
      <c r="AZ340" s="12">
        <f t="shared" si="49"/>
        <v>0</v>
      </c>
      <c r="BA340" s="12">
        <f t="shared" si="49"/>
        <v>0</v>
      </c>
      <c r="BB340" s="12">
        <f t="shared" si="49"/>
        <v>0</v>
      </c>
      <c r="BC340" s="12">
        <f t="shared" si="49"/>
        <v>0</v>
      </c>
      <c r="BD340" s="12">
        <f t="shared" si="50"/>
        <v>0</v>
      </c>
    </row>
    <row r="341" spans="1:56" ht="15" customHeight="1" x14ac:dyDescent="0.25">
      <c r="A341" s="137" t="s">
        <v>654</v>
      </c>
      <c r="B341" s="141" t="s">
        <v>11</v>
      </c>
      <c r="C341" s="137">
        <v>2018</v>
      </c>
      <c r="D341" s="137" t="s">
        <v>193</v>
      </c>
      <c r="E341" s="137" t="s">
        <v>193</v>
      </c>
      <c r="F341" s="137" t="s">
        <v>193</v>
      </c>
      <c r="G341" s="137" t="s">
        <v>193</v>
      </c>
      <c r="H341" s="137" t="s">
        <v>193</v>
      </c>
      <c r="I341" s="137" t="s">
        <v>193</v>
      </c>
      <c r="J341" s="137" t="s">
        <v>193</v>
      </c>
      <c r="K341" s="137" t="s">
        <v>193</v>
      </c>
      <c r="L341" s="137" t="s">
        <v>193</v>
      </c>
      <c r="M341" s="137" t="s">
        <v>193</v>
      </c>
      <c r="N341" s="137" t="s">
        <v>193</v>
      </c>
      <c r="O341" s="137" t="s">
        <v>193</v>
      </c>
      <c r="P341" s="137" t="s">
        <v>193</v>
      </c>
      <c r="Q341" s="137" t="s">
        <v>193</v>
      </c>
      <c r="R341" s="137" t="s">
        <v>193</v>
      </c>
      <c r="S341" s="137" t="s">
        <v>193</v>
      </c>
      <c r="T341" s="137" t="s">
        <v>193</v>
      </c>
      <c r="U341" s="137" t="s">
        <v>193</v>
      </c>
      <c r="V341" s="137" t="s">
        <v>193</v>
      </c>
      <c r="W341" s="137" t="s">
        <v>193</v>
      </c>
      <c r="X341" s="137" t="s">
        <v>193</v>
      </c>
      <c r="Y341" s="137" t="s">
        <v>193</v>
      </c>
      <c r="Z341" s="137" t="s">
        <v>193</v>
      </c>
      <c r="AA341" s="137" t="s">
        <v>193</v>
      </c>
      <c r="AB341" s="137" t="s">
        <v>193</v>
      </c>
      <c r="AC341" s="137" t="s">
        <v>193</v>
      </c>
      <c r="AD341" s="137" t="s">
        <v>193</v>
      </c>
      <c r="AE341" s="137" t="s">
        <v>193</v>
      </c>
      <c r="AF341" s="137" t="s">
        <v>193</v>
      </c>
      <c r="AG341" s="137" t="s">
        <v>193</v>
      </c>
      <c r="AH341" s="137" t="s">
        <v>53</v>
      </c>
      <c r="AI341" s="137" t="s">
        <v>193</v>
      </c>
      <c r="AJ341" s="137" t="s">
        <v>193</v>
      </c>
      <c r="AK341" s="137" t="s">
        <v>193</v>
      </c>
      <c r="AL341" s="137" t="s">
        <v>193</v>
      </c>
      <c r="AM341" s="137" t="s">
        <v>193</v>
      </c>
      <c r="AN341" s="137" t="s">
        <v>193</v>
      </c>
      <c r="AO341" s="137" t="s">
        <v>193</v>
      </c>
      <c r="AQ341" s="12">
        <f t="shared" si="44"/>
        <v>0</v>
      </c>
      <c r="AR341" s="12">
        <f t="shared" si="43"/>
        <v>0</v>
      </c>
      <c r="AT341" s="12">
        <f t="shared" si="45"/>
        <v>0</v>
      </c>
      <c r="AU341" s="12">
        <f t="shared" si="46"/>
        <v>0</v>
      </c>
      <c r="AV341" s="13" t="str">
        <f t="shared" si="47"/>
        <v/>
      </c>
      <c r="AY341" s="12">
        <f t="shared" si="48"/>
        <v>0</v>
      </c>
      <c r="AZ341" s="12">
        <f t="shared" si="49"/>
        <v>0</v>
      </c>
      <c r="BA341" s="12">
        <f t="shared" si="49"/>
        <v>0</v>
      </c>
      <c r="BB341" s="12">
        <f t="shared" si="49"/>
        <v>0</v>
      </c>
      <c r="BC341" s="12">
        <f t="shared" si="49"/>
        <v>0</v>
      </c>
      <c r="BD341" s="12">
        <f t="shared" si="50"/>
        <v>0</v>
      </c>
    </row>
    <row r="342" spans="1:56" ht="15" customHeight="1" x14ac:dyDescent="0.25">
      <c r="A342" s="137" t="s">
        <v>654</v>
      </c>
      <c r="B342" s="137" t="s">
        <v>658</v>
      </c>
      <c r="C342" s="137">
        <v>2018</v>
      </c>
      <c r="D342" s="137">
        <v>75.290000000000006</v>
      </c>
      <c r="E342" s="137">
        <v>18.11</v>
      </c>
      <c r="F342" s="137" t="s">
        <v>193</v>
      </c>
      <c r="G342" s="137" t="s">
        <v>193</v>
      </c>
      <c r="H342" s="137" t="s">
        <v>193</v>
      </c>
      <c r="I342" s="137">
        <v>101.81</v>
      </c>
      <c r="J342" s="137" t="s">
        <v>193</v>
      </c>
      <c r="K342" s="137" t="s">
        <v>193</v>
      </c>
      <c r="L342" s="137" t="s">
        <v>193</v>
      </c>
      <c r="M342" s="137" t="s">
        <v>193</v>
      </c>
      <c r="N342" s="137" t="s">
        <v>193</v>
      </c>
      <c r="O342" s="137" t="s">
        <v>193</v>
      </c>
      <c r="P342" s="137" t="s">
        <v>193</v>
      </c>
      <c r="Q342" s="137">
        <v>45.57</v>
      </c>
      <c r="R342" s="137">
        <v>20.399999999999999</v>
      </c>
      <c r="S342" s="137">
        <v>1.51</v>
      </c>
      <c r="T342" s="137">
        <v>12.28</v>
      </c>
      <c r="U342" s="137" t="s">
        <v>193</v>
      </c>
      <c r="V342" s="137" t="s">
        <v>193</v>
      </c>
      <c r="W342" s="137" t="s">
        <v>194</v>
      </c>
      <c r="X342" s="137" t="s">
        <v>193</v>
      </c>
      <c r="Y342" s="137" t="s">
        <v>193</v>
      </c>
      <c r="Z342" s="137" t="s">
        <v>193</v>
      </c>
      <c r="AA342" s="137" t="s">
        <v>193</v>
      </c>
      <c r="AB342" s="137" t="s">
        <v>193</v>
      </c>
      <c r="AC342" s="137" t="s">
        <v>193</v>
      </c>
      <c r="AD342" s="137" t="s">
        <v>193</v>
      </c>
      <c r="AE342" s="137" t="s">
        <v>193</v>
      </c>
      <c r="AF342" s="137" t="s">
        <v>193</v>
      </c>
      <c r="AG342" s="137" t="s">
        <v>193</v>
      </c>
      <c r="AH342" s="137" t="s">
        <v>53</v>
      </c>
      <c r="AI342" s="137" t="s">
        <v>193</v>
      </c>
      <c r="AJ342" s="137" t="s">
        <v>193</v>
      </c>
      <c r="AK342" s="137">
        <v>22.05</v>
      </c>
      <c r="AL342" s="137">
        <v>100</v>
      </c>
      <c r="AM342" s="137" t="s">
        <v>193</v>
      </c>
      <c r="AN342" s="137" t="s">
        <v>193</v>
      </c>
      <c r="AO342" s="137" t="s">
        <v>193</v>
      </c>
      <c r="AQ342" s="12">
        <f t="shared" si="44"/>
        <v>79.760000000000005</v>
      </c>
      <c r="AR342" s="12">
        <f t="shared" si="43"/>
        <v>101.81</v>
      </c>
      <c r="AT342" s="12">
        <f t="shared" si="45"/>
        <v>75.290000000000006</v>
      </c>
      <c r="AU342" s="12">
        <f t="shared" si="46"/>
        <v>18.11</v>
      </c>
      <c r="AV342" s="13">
        <f t="shared" si="47"/>
        <v>0.91739514782437881</v>
      </c>
      <c r="AY342" s="12">
        <f t="shared" si="48"/>
        <v>22.05</v>
      </c>
      <c r="AZ342" s="12">
        <f t="shared" si="49"/>
        <v>22.05</v>
      </c>
      <c r="BA342" s="12">
        <f t="shared" si="49"/>
        <v>0</v>
      </c>
      <c r="BB342" s="12">
        <f t="shared" si="49"/>
        <v>0</v>
      </c>
      <c r="BC342" s="12">
        <f t="shared" si="49"/>
        <v>0</v>
      </c>
      <c r="BD342" s="12">
        <f t="shared" si="50"/>
        <v>0</v>
      </c>
    </row>
    <row r="343" spans="1:56" ht="15" customHeight="1" x14ac:dyDescent="0.25">
      <c r="A343" s="137" t="s">
        <v>654</v>
      </c>
      <c r="B343" s="137" t="s">
        <v>659</v>
      </c>
      <c r="C343" s="137">
        <v>2018</v>
      </c>
      <c r="D343" s="137">
        <v>229.953</v>
      </c>
      <c r="E343" s="137">
        <v>99.760999999999996</v>
      </c>
      <c r="F343" s="137" t="s">
        <v>193</v>
      </c>
      <c r="G343" s="137" t="s">
        <v>193</v>
      </c>
      <c r="H343" s="137" t="s">
        <v>193</v>
      </c>
      <c r="I343" s="137">
        <v>495.82499999999999</v>
      </c>
      <c r="J343" s="137">
        <v>0</v>
      </c>
      <c r="K343" s="137">
        <v>0</v>
      </c>
      <c r="L343" s="137">
        <v>4.149</v>
      </c>
      <c r="M343" s="137" t="s">
        <v>193</v>
      </c>
      <c r="N343" s="137" t="s">
        <v>193</v>
      </c>
      <c r="O343" s="137" t="s">
        <v>193</v>
      </c>
      <c r="P343" s="137" t="s">
        <v>193</v>
      </c>
      <c r="Q343" s="137">
        <v>27.797999999999998</v>
      </c>
      <c r="R343" s="137">
        <v>0</v>
      </c>
      <c r="S343" s="137">
        <v>0</v>
      </c>
      <c r="T343" s="137">
        <v>0</v>
      </c>
      <c r="U343" s="137">
        <v>0</v>
      </c>
      <c r="V343" s="137">
        <v>0</v>
      </c>
      <c r="W343" s="137" t="s">
        <v>193</v>
      </c>
      <c r="X343" s="137" t="s">
        <v>193</v>
      </c>
      <c r="Y343" s="137" t="s">
        <v>193</v>
      </c>
      <c r="Z343" s="137" t="s">
        <v>193</v>
      </c>
      <c r="AA343" s="137">
        <v>408.14600000000002</v>
      </c>
      <c r="AB343" s="137" t="s">
        <v>193</v>
      </c>
      <c r="AC343" s="137" t="s">
        <v>193</v>
      </c>
      <c r="AD343" s="137" t="s">
        <v>193</v>
      </c>
      <c r="AE343" s="137" t="s">
        <v>193</v>
      </c>
      <c r="AF343" s="137">
        <v>2.6360000000000001</v>
      </c>
      <c r="AG343" s="137" t="s">
        <v>193</v>
      </c>
      <c r="AH343" s="137" t="s">
        <v>199</v>
      </c>
      <c r="AI343" s="137" t="s">
        <v>193</v>
      </c>
      <c r="AJ343" s="137">
        <v>1.4570000000000001</v>
      </c>
      <c r="AK343" s="137">
        <v>51.639000000000003</v>
      </c>
      <c r="AL343" s="137">
        <v>98.5</v>
      </c>
      <c r="AM343" s="137">
        <v>0.6</v>
      </c>
      <c r="AN343" s="137">
        <v>0.9</v>
      </c>
      <c r="AO343" s="137">
        <v>0</v>
      </c>
      <c r="AQ343" s="12">
        <f t="shared" si="44"/>
        <v>444.18600000000004</v>
      </c>
      <c r="AR343" s="12">
        <f t="shared" si="43"/>
        <v>495.82500000000005</v>
      </c>
      <c r="AT343" s="12">
        <f t="shared" si="45"/>
        <v>229.953</v>
      </c>
      <c r="AU343" s="12">
        <f t="shared" si="46"/>
        <v>99.760999999999996</v>
      </c>
      <c r="AV343" s="13">
        <f t="shared" si="47"/>
        <v>0.66498058790904047</v>
      </c>
      <c r="AY343" s="12">
        <f t="shared" si="48"/>
        <v>51.639000000000003</v>
      </c>
      <c r="AZ343" s="12">
        <f t="shared" si="49"/>
        <v>50.864415000000001</v>
      </c>
      <c r="BA343" s="12">
        <f t="shared" si="49"/>
        <v>0.309834</v>
      </c>
      <c r="BB343" s="12">
        <f t="shared" si="49"/>
        <v>0.46475100000000008</v>
      </c>
      <c r="BC343" s="12">
        <f t="shared" si="49"/>
        <v>0</v>
      </c>
      <c r="BD343" s="12">
        <f t="shared" si="50"/>
        <v>0</v>
      </c>
    </row>
    <row r="344" spans="1:56" ht="15" customHeight="1" x14ac:dyDescent="0.25">
      <c r="A344" s="137" t="s">
        <v>654</v>
      </c>
      <c r="B344" s="137" t="s">
        <v>660</v>
      </c>
      <c r="C344" s="137">
        <v>2018</v>
      </c>
      <c r="D344" s="137" t="s">
        <v>193</v>
      </c>
      <c r="E344" s="137" t="s">
        <v>193</v>
      </c>
      <c r="F344" s="137" t="s">
        <v>193</v>
      </c>
      <c r="G344" s="137" t="s">
        <v>193</v>
      </c>
      <c r="H344" s="137" t="s">
        <v>193</v>
      </c>
      <c r="I344" s="137" t="s">
        <v>193</v>
      </c>
      <c r="J344" s="137" t="s">
        <v>193</v>
      </c>
      <c r="K344" s="137" t="s">
        <v>193</v>
      </c>
      <c r="L344" s="137" t="s">
        <v>193</v>
      </c>
      <c r="M344" s="137" t="s">
        <v>193</v>
      </c>
      <c r="N344" s="137" t="s">
        <v>193</v>
      </c>
      <c r="O344" s="137" t="s">
        <v>193</v>
      </c>
      <c r="P344" s="137" t="s">
        <v>193</v>
      </c>
      <c r="Q344" s="137" t="s">
        <v>193</v>
      </c>
      <c r="R344" s="137" t="s">
        <v>193</v>
      </c>
      <c r="S344" s="137" t="s">
        <v>193</v>
      </c>
      <c r="T344" s="137" t="s">
        <v>193</v>
      </c>
      <c r="U344" s="137" t="s">
        <v>193</v>
      </c>
      <c r="V344" s="137" t="s">
        <v>193</v>
      </c>
      <c r="W344" s="137" t="s">
        <v>193</v>
      </c>
      <c r="X344" s="137" t="s">
        <v>193</v>
      </c>
      <c r="Y344" s="137" t="s">
        <v>193</v>
      </c>
      <c r="Z344" s="137" t="s">
        <v>193</v>
      </c>
      <c r="AA344" s="137" t="s">
        <v>193</v>
      </c>
      <c r="AB344" s="137" t="s">
        <v>193</v>
      </c>
      <c r="AC344" s="137" t="s">
        <v>193</v>
      </c>
      <c r="AD344" s="137" t="s">
        <v>193</v>
      </c>
      <c r="AE344" s="137" t="s">
        <v>193</v>
      </c>
      <c r="AF344" s="137" t="s">
        <v>193</v>
      </c>
      <c r="AG344" s="137" t="s">
        <v>193</v>
      </c>
      <c r="AH344" s="137" t="s">
        <v>199</v>
      </c>
      <c r="AI344" s="137" t="s">
        <v>193</v>
      </c>
      <c r="AJ344" s="137" t="s">
        <v>193</v>
      </c>
      <c r="AK344" s="137" t="s">
        <v>193</v>
      </c>
      <c r="AL344" s="137" t="s">
        <v>193</v>
      </c>
      <c r="AM344" s="137" t="s">
        <v>193</v>
      </c>
      <c r="AN344" s="137" t="s">
        <v>193</v>
      </c>
      <c r="AO344" s="137" t="s">
        <v>193</v>
      </c>
      <c r="AQ344" s="12">
        <f t="shared" si="44"/>
        <v>0</v>
      </c>
      <c r="AR344" s="12">
        <f t="shared" si="43"/>
        <v>0</v>
      </c>
      <c r="AT344" s="12">
        <f t="shared" si="45"/>
        <v>0</v>
      </c>
      <c r="AU344" s="12">
        <f t="shared" si="46"/>
        <v>0</v>
      </c>
      <c r="AV344" s="13" t="str">
        <f t="shared" si="47"/>
        <v/>
      </c>
      <c r="AY344" s="12">
        <f t="shared" si="48"/>
        <v>0</v>
      </c>
      <c r="AZ344" s="12">
        <f t="shared" si="49"/>
        <v>0</v>
      </c>
      <c r="BA344" s="12">
        <f t="shared" si="49"/>
        <v>0</v>
      </c>
      <c r="BB344" s="12">
        <f t="shared" si="49"/>
        <v>0</v>
      </c>
      <c r="BC344" s="12">
        <f t="shared" si="49"/>
        <v>0</v>
      </c>
      <c r="BD344" s="12">
        <f t="shared" si="50"/>
        <v>0</v>
      </c>
    </row>
    <row r="345" spans="1:56" ht="15" customHeight="1" x14ac:dyDescent="0.25">
      <c r="A345" s="137" t="s">
        <v>654</v>
      </c>
      <c r="B345" s="137" t="s">
        <v>661</v>
      </c>
      <c r="C345" s="137">
        <v>2018</v>
      </c>
      <c r="D345" s="137" t="s">
        <v>193</v>
      </c>
      <c r="E345" s="137" t="s">
        <v>193</v>
      </c>
      <c r="F345" s="137" t="s">
        <v>193</v>
      </c>
      <c r="G345" s="137" t="s">
        <v>193</v>
      </c>
      <c r="H345" s="137" t="s">
        <v>193</v>
      </c>
      <c r="I345" s="137" t="s">
        <v>193</v>
      </c>
      <c r="J345" s="137" t="s">
        <v>193</v>
      </c>
      <c r="K345" s="137" t="s">
        <v>193</v>
      </c>
      <c r="L345" s="137" t="s">
        <v>193</v>
      </c>
      <c r="M345" s="137" t="s">
        <v>193</v>
      </c>
      <c r="N345" s="137" t="s">
        <v>193</v>
      </c>
      <c r="O345" s="137" t="s">
        <v>193</v>
      </c>
      <c r="P345" s="137" t="s">
        <v>193</v>
      </c>
      <c r="Q345" s="137" t="s">
        <v>193</v>
      </c>
      <c r="R345" s="137" t="s">
        <v>193</v>
      </c>
      <c r="S345" s="137" t="s">
        <v>193</v>
      </c>
      <c r="T345" s="137" t="s">
        <v>193</v>
      </c>
      <c r="U345" s="137" t="s">
        <v>193</v>
      </c>
      <c r="V345" s="137" t="s">
        <v>193</v>
      </c>
      <c r="W345" s="137" t="s">
        <v>193</v>
      </c>
      <c r="X345" s="137" t="s">
        <v>193</v>
      </c>
      <c r="Y345" s="137" t="s">
        <v>193</v>
      </c>
      <c r="Z345" s="137" t="s">
        <v>193</v>
      </c>
      <c r="AA345" s="137" t="s">
        <v>193</v>
      </c>
      <c r="AB345" s="137" t="s">
        <v>193</v>
      </c>
      <c r="AC345" s="137" t="s">
        <v>193</v>
      </c>
      <c r="AD345" s="137" t="s">
        <v>193</v>
      </c>
      <c r="AE345" s="137" t="s">
        <v>193</v>
      </c>
      <c r="AF345" s="137" t="s">
        <v>193</v>
      </c>
      <c r="AG345" s="137" t="s">
        <v>193</v>
      </c>
      <c r="AH345" s="137" t="s">
        <v>53</v>
      </c>
      <c r="AI345" s="137" t="s">
        <v>193</v>
      </c>
      <c r="AJ345" s="137" t="s">
        <v>193</v>
      </c>
      <c r="AK345" s="137" t="s">
        <v>193</v>
      </c>
      <c r="AL345" s="137" t="s">
        <v>193</v>
      </c>
      <c r="AM345" s="137" t="s">
        <v>193</v>
      </c>
      <c r="AN345" s="137" t="s">
        <v>193</v>
      </c>
      <c r="AO345" s="137" t="s">
        <v>193</v>
      </c>
      <c r="AQ345" s="12">
        <f t="shared" si="44"/>
        <v>0</v>
      </c>
      <c r="AR345" s="12">
        <f t="shared" si="43"/>
        <v>0</v>
      </c>
      <c r="AT345" s="12">
        <f t="shared" si="45"/>
        <v>0</v>
      </c>
      <c r="AU345" s="12">
        <f t="shared" si="46"/>
        <v>0</v>
      </c>
      <c r="AV345" s="13" t="str">
        <f t="shared" si="47"/>
        <v/>
      </c>
      <c r="AY345" s="12">
        <f t="shared" si="48"/>
        <v>0</v>
      </c>
      <c r="AZ345" s="12">
        <f t="shared" si="49"/>
        <v>0</v>
      </c>
      <c r="BA345" s="12">
        <f t="shared" si="49"/>
        <v>0</v>
      </c>
      <c r="BB345" s="12">
        <f t="shared" si="49"/>
        <v>0</v>
      </c>
      <c r="BC345" s="12">
        <f t="shared" si="49"/>
        <v>0</v>
      </c>
      <c r="BD345" s="12">
        <f t="shared" si="50"/>
        <v>0</v>
      </c>
    </row>
    <row r="346" spans="1:56" ht="15" customHeight="1" x14ac:dyDescent="0.25">
      <c r="A346" s="137" t="s">
        <v>654</v>
      </c>
      <c r="B346" s="137" t="s">
        <v>662</v>
      </c>
      <c r="C346" s="137">
        <v>2018</v>
      </c>
      <c r="D346" s="137">
        <v>516.9</v>
      </c>
      <c r="E346" s="137">
        <v>190.8</v>
      </c>
      <c r="F346" s="137" t="s">
        <v>193</v>
      </c>
      <c r="G346" s="137" t="s">
        <v>193</v>
      </c>
      <c r="H346" s="137" t="s">
        <v>193</v>
      </c>
      <c r="I346" s="137">
        <v>827.37400000000002</v>
      </c>
      <c r="J346" s="137" t="s">
        <v>193</v>
      </c>
      <c r="K346" s="137">
        <v>12.1</v>
      </c>
      <c r="L346" s="137" t="s">
        <v>193</v>
      </c>
      <c r="M346" s="137">
        <v>7.85</v>
      </c>
      <c r="N346" s="137" t="s">
        <v>193</v>
      </c>
      <c r="O346" s="137" t="s">
        <v>193</v>
      </c>
      <c r="P346" s="137" t="s">
        <v>193</v>
      </c>
      <c r="Q346" s="137" t="s">
        <v>193</v>
      </c>
      <c r="R346" s="137" t="s">
        <v>193</v>
      </c>
      <c r="S346" s="137" t="s">
        <v>193</v>
      </c>
      <c r="T346" s="137" t="s">
        <v>193</v>
      </c>
      <c r="U346" s="137" t="s">
        <v>193</v>
      </c>
      <c r="V346" s="137">
        <v>2.4E-2</v>
      </c>
      <c r="W346" s="137" t="s">
        <v>194</v>
      </c>
      <c r="X346" s="137">
        <v>76.099999999999994</v>
      </c>
      <c r="Y346" s="137" t="s">
        <v>193</v>
      </c>
      <c r="Z346" s="137" t="s">
        <v>193</v>
      </c>
      <c r="AA346" s="137" t="s">
        <v>193</v>
      </c>
      <c r="AB346" s="137" t="s">
        <v>193</v>
      </c>
      <c r="AC346" s="137" t="s">
        <v>193</v>
      </c>
      <c r="AD346" s="137" t="s">
        <v>193</v>
      </c>
      <c r="AE346" s="137">
        <v>489.9</v>
      </c>
      <c r="AF346" s="137">
        <v>241.4</v>
      </c>
      <c r="AG346" s="137">
        <v>0</v>
      </c>
      <c r="AH346" s="137" t="s">
        <v>327</v>
      </c>
      <c r="AI346" s="137">
        <v>40.1</v>
      </c>
      <c r="AJ346" s="137" t="s">
        <v>193</v>
      </c>
      <c r="AK346" s="137" t="s">
        <v>193</v>
      </c>
      <c r="AL346" s="137" t="s">
        <v>193</v>
      </c>
      <c r="AM346" s="137" t="s">
        <v>193</v>
      </c>
      <c r="AN346" s="137" t="s">
        <v>193</v>
      </c>
      <c r="AO346" s="137" t="s">
        <v>193</v>
      </c>
      <c r="AQ346" s="12">
        <f t="shared" si="44"/>
        <v>827.37399999999991</v>
      </c>
      <c r="AR346" s="12">
        <f t="shared" si="43"/>
        <v>827.37399999999991</v>
      </c>
      <c r="AT346" s="12">
        <f t="shared" si="45"/>
        <v>516.9</v>
      </c>
      <c r="AU346" s="12">
        <f t="shared" si="46"/>
        <v>190.8</v>
      </c>
      <c r="AV346" s="13">
        <f t="shared" si="47"/>
        <v>0.85535682774658151</v>
      </c>
      <c r="AY346" s="12">
        <f t="shared" si="48"/>
        <v>0</v>
      </c>
      <c r="AZ346" s="12">
        <f t="shared" si="49"/>
        <v>0</v>
      </c>
      <c r="BA346" s="12">
        <f t="shared" si="49"/>
        <v>0</v>
      </c>
      <c r="BB346" s="12">
        <f t="shared" si="49"/>
        <v>0</v>
      </c>
      <c r="BC346" s="12">
        <f t="shared" si="49"/>
        <v>0</v>
      </c>
      <c r="BD346" s="12">
        <f t="shared" si="50"/>
        <v>0</v>
      </c>
    </row>
    <row r="347" spans="1:56" ht="15" customHeight="1" x14ac:dyDescent="0.25">
      <c r="A347" s="137" t="s">
        <v>654</v>
      </c>
      <c r="B347" s="137" t="s">
        <v>663</v>
      </c>
      <c r="C347" s="137">
        <v>2018</v>
      </c>
      <c r="D347" s="137" t="s">
        <v>193</v>
      </c>
      <c r="E347" s="137" t="s">
        <v>193</v>
      </c>
      <c r="F347" s="137" t="s">
        <v>193</v>
      </c>
      <c r="G347" s="137" t="s">
        <v>193</v>
      </c>
      <c r="H347" s="137" t="s">
        <v>193</v>
      </c>
      <c r="I347" s="137" t="s">
        <v>193</v>
      </c>
      <c r="J347" s="137" t="s">
        <v>193</v>
      </c>
      <c r="K347" s="137" t="s">
        <v>193</v>
      </c>
      <c r="L347" s="137" t="s">
        <v>193</v>
      </c>
      <c r="M347" s="137" t="s">
        <v>193</v>
      </c>
      <c r="N347" s="137" t="s">
        <v>193</v>
      </c>
      <c r="O347" s="137" t="s">
        <v>193</v>
      </c>
      <c r="P347" s="137" t="s">
        <v>193</v>
      </c>
      <c r="Q347" s="137" t="s">
        <v>193</v>
      </c>
      <c r="R347" s="137" t="s">
        <v>193</v>
      </c>
      <c r="S347" s="137" t="s">
        <v>193</v>
      </c>
      <c r="T347" s="137" t="s">
        <v>193</v>
      </c>
      <c r="U347" s="137" t="s">
        <v>193</v>
      </c>
      <c r="V347" s="137" t="s">
        <v>193</v>
      </c>
      <c r="W347" s="137" t="s">
        <v>193</v>
      </c>
      <c r="X347" s="137" t="s">
        <v>193</v>
      </c>
      <c r="Y347" s="137" t="s">
        <v>193</v>
      </c>
      <c r="Z347" s="137" t="s">
        <v>193</v>
      </c>
      <c r="AA347" s="137" t="s">
        <v>193</v>
      </c>
      <c r="AB347" s="137" t="s">
        <v>193</v>
      </c>
      <c r="AC347" s="137" t="s">
        <v>193</v>
      </c>
      <c r="AD347" s="137" t="s">
        <v>193</v>
      </c>
      <c r="AE347" s="137" t="s">
        <v>193</v>
      </c>
      <c r="AF347" s="137" t="s">
        <v>193</v>
      </c>
      <c r="AG347" s="137" t="s">
        <v>193</v>
      </c>
      <c r="AH347" s="137" t="s">
        <v>53</v>
      </c>
      <c r="AI347" s="137" t="s">
        <v>193</v>
      </c>
      <c r="AJ347" s="137" t="s">
        <v>193</v>
      </c>
      <c r="AK347" s="137" t="s">
        <v>193</v>
      </c>
      <c r="AL347" s="137" t="s">
        <v>193</v>
      </c>
      <c r="AM347" s="137" t="s">
        <v>193</v>
      </c>
      <c r="AN347" s="137" t="s">
        <v>193</v>
      </c>
      <c r="AO347" s="137" t="s">
        <v>193</v>
      </c>
      <c r="AQ347" s="12">
        <f t="shared" si="44"/>
        <v>0</v>
      </c>
      <c r="AR347" s="12">
        <f t="shared" si="43"/>
        <v>0</v>
      </c>
      <c r="AT347" s="12">
        <f t="shared" si="45"/>
        <v>0</v>
      </c>
      <c r="AU347" s="12">
        <f t="shared" si="46"/>
        <v>0</v>
      </c>
      <c r="AV347" s="13" t="str">
        <f t="shared" si="47"/>
        <v/>
      </c>
      <c r="AY347" s="12">
        <f t="shared" si="48"/>
        <v>0</v>
      </c>
      <c r="AZ347" s="12">
        <f t="shared" si="49"/>
        <v>0</v>
      </c>
      <c r="BA347" s="12">
        <f t="shared" si="49"/>
        <v>0</v>
      </c>
      <c r="BB347" s="12">
        <f t="shared" si="49"/>
        <v>0</v>
      </c>
      <c r="BC347" s="12">
        <f t="shared" si="49"/>
        <v>0</v>
      </c>
      <c r="BD347" s="12">
        <f t="shared" si="50"/>
        <v>0</v>
      </c>
    </row>
    <row r="348" spans="1:56" ht="15" customHeight="1" x14ac:dyDescent="0.25">
      <c r="A348" s="137" t="s">
        <v>7</v>
      </c>
      <c r="B348" s="137" t="s">
        <v>664</v>
      </c>
      <c r="C348" s="137">
        <v>2018</v>
      </c>
      <c r="D348" s="137" t="s">
        <v>193</v>
      </c>
      <c r="E348" s="137" t="s">
        <v>193</v>
      </c>
      <c r="F348" s="137" t="s">
        <v>193</v>
      </c>
      <c r="G348" s="137" t="s">
        <v>193</v>
      </c>
      <c r="H348" s="137" t="s">
        <v>193</v>
      </c>
      <c r="I348" s="137" t="s">
        <v>193</v>
      </c>
      <c r="J348" s="137" t="s">
        <v>193</v>
      </c>
      <c r="K348" s="137" t="s">
        <v>193</v>
      </c>
      <c r="L348" s="137" t="s">
        <v>193</v>
      </c>
      <c r="M348" s="137" t="s">
        <v>193</v>
      </c>
      <c r="N348" s="137" t="s">
        <v>193</v>
      </c>
      <c r="O348" s="137" t="s">
        <v>193</v>
      </c>
      <c r="P348" s="137" t="s">
        <v>193</v>
      </c>
      <c r="Q348" s="137" t="s">
        <v>193</v>
      </c>
      <c r="R348" s="137" t="s">
        <v>193</v>
      </c>
      <c r="S348" s="137" t="s">
        <v>193</v>
      </c>
      <c r="T348" s="137" t="s">
        <v>193</v>
      </c>
      <c r="U348" s="137" t="s">
        <v>193</v>
      </c>
      <c r="V348" s="137" t="s">
        <v>193</v>
      </c>
      <c r="W348" s="137" t="s">
        <v>193</v>
      </c>
      <c r="X348" s="137" t="s">
        <v>193</v>
      </c>
      <c r="Y348" s="137" t="s">
        <v>193</v>
      </c>
      <c r="Z348" s="137" t="s">
        <v>193</v>
      </c>
      <c r="AA348" s="137" t="s">
        <v>193</v>
      </c>
      <c r="AB348" s="137" t="s">
        <v>193</v>
      </c>
      <c r="AC348" s="137" t="s">
        <v>193</v>
      </c>
      <c r="AD348" s="137" t="s">
        <v>193</v>
      </c>
      <c r="AE348" s="137" t="s">
        <v>193</v>
      </c>
      <c r="AF348" s="137" t="s">
        <v>193</v>
      </c>
      <c r="AG348" s="137" t="s">
        <v>193</v>
      </c>
      <c r="AH348" s="137" t="s">
        <v>199</v>
      </c>
      <c r="AI348" s="137" t="s">
        <v>193</v>
      </c>
      <c r="AJ348" s="137" t="s">
        <v>193</v>
      </c>
      <c r="AK348" s="137" t="s">
        <v>193</v>
      </c>
      <c r="AL348" s="137" t="s">
        <v>193</v>
      </c>
      <c r="AM348" s="137" t="s">
        <v>193</v>
      </c>
      <c r="AN348" s="137" t="s">
        <v>193</v>
      </c>
      <c r="AO348" s="137" t="s">
        <v>193</v>
      </c>
      <c r="AQ348" s="12">
        <f t="shared" si="44"/>
        <v>0</v>
      </c>
      <c r="AR348" s="12">
        <f t="shared" si="43"/>
        <v>0</v>
      </c>
      <c r="AT348" s="12">
        <f t="shared" si="45"/>
        <v>0</v>
      </c>
      <c r="AU348" s="12">
        <f t="shared" si="46"/>
        <v>0</v>
      </c>
      <c r="AV348" s="13" t="str">
        <f t="shared" si="47"/>
        <v/>
      </c>
      <c r="AY348" s="12">
        <f t="shared" si="48"/>
        <v>0</v>
      </c>
      <c r="AZ348" s="12">
        <f t="shared" si="49"/>
        <v>0</v>
      </c>
      <c r="BA348" s="12">
        <f t="shared" si="49"/>
        <v>0</v>
      </c>
      <c r="BB348" s="12">
        <f t="shared" si="49"/>
        <v>0</v>
      </c>
      <c r="BC348" s="12">
        <f t="shared" si="49"/>
        <v>0</v>
      </c>
      <c r="BD348" s="12">
        <f t="shared" si="50"/>
        <v>0</v>
      </c>
    </row>
    <row r="349" spans="1:56" ht="15" customHeight="1" x14ac:dyDescent="0.25">
      <c r="A349" s="137" t="s">
        <v>7</v>
      </c>
      <c r="B349" s="137" t="s">
        <v>8</v>
      </c>
      <c r="C349" s="137">
        <v>2018</v>
      </c>
      <c r="D349" s="137" t="s">
        <v>193</v>
      </c>
      <c r="E349" s="137" t="s">
        <v>193</v>
      </c>
      <c r="F349" s="137" t="s">
        <v>193</v>
      </c>
      <c r="G349" s="137" t="s">
        <v>193</v>
      </c>
      <c r="H349" s="137" t="s">
        <v>193</v>
      </c>
      <c r="I349" s="137" t="s">
        <v>193</v>
      </c>
      <c r="J349" s="137" t="s">
        <v>193</v>
      </c>
      <c r="K349" s="137" t="s">
        <v>193</v>
      </c>
      <c r="L349" s="137" t="s">
        <v>193</v>
      </c>
      <c r="M349" s="137" t="s">
        <v>193</v>
      </c>
      <c r="N349" s="137" t="s">
        <v>193</v>
      </c>
      <c r="O349" s="137" t="s">
        <v>193</v>
      </c>
      <c r="P349" s="137" t="s">
        <v>193</v>
      </c>
      <c r="Q349" s="137" t="s">
        <v>193</v>
      </c>
      <c r="R349" s="137" t="s">
        <v>193</v>
      </c>
      <c r="S349" s="137" t="s">
        <v>193</v>
      </c>
      <c r="T349" s="137" t="s">
        <v>193</v>
      </c>
      <c r="U349" s="137" t="s">
        <v>193</v>
      </c>
      <c r="V349" s="137" t="s">
        <v>193</v>
      </c>
      <c r="W349" s="137" t="s">
        <v>193</v>
      </c>
      <c r="X349" s="137" t="s">
        <v>193</v>
      </c>
      <c r="Y349" s="137" t="s">
        <v>193</v>
      </c>
      <c r="Z349" s="137" t="s">
        <v>193</v>
      </c>
      <c r="AA349" s="137" t="s">
        <v>193</v>
      </c>
      <c r="AB349" s="137" t="s">
        <v>193</v>
      </c>
      <c r="AC349" s="137" t="s">
        <v>193</v>
      </c>
      <c r="AD349" s="137" t="s">
        <v>193</v>
      </c>
      <c r="AE349" s="137" t="s">
        <v>193</v>
      </c>
      <c r="AF349" s="137" t="s">
        <v>193</v>
      </c>
      <c r="AG349" s="137" t="s">
        <v>193</v>
      </c>
      <c r="AH349" s="137" t="s">
        <v>199</v>
      </c>
      <c r="AI349" s="137" t="s">
        <v>193</v>
      </c>
      <c r="AJ349" s="137" t="s">
        <v>193</v>
      </c>
      <c r="AK349" s="137" t="s">
        <v>193</v>
      </c>
      <c r="AL349" s="137" t="s">
        <v>193</v>
      </c>
      <c r="AM349" s="137" t="s">
        <v>193</v>
      </c>
      <c r="AN349" s="137" t="s">
        <v>193</v>
      </c>
      <c r="AO349" s="137" t="s">
        <v>193</v>
      </c>
      <c r="AQ349" s="12">
        <f t="shared" si="44"/>
        <v>0</v>
      </c>
      <c r="AR349" s="12">
        <f t="shared" si="43"/>
        <v>0</v>
      </c>
      <c r="AT349" s="12">
        <f t="shared" si="45"/>
        <v>0</v>
      </c>
      <c r="AU349" s="12">
        <f t="shared" si="46"/>
        <v>0</v>
      </c>
      <c r="AV349" s="13" t="str">
        <f t="shared" si="47"/>
        <v/>
      </c>
      <c r="AY349" s="12">
        <f t="shared" si="48"/>
        <v>0</v>
      </c>
      <c r="AZ349" s="12">
        <f t="shared" si="49"/>
        <v>0</v>
      </c>
      <c r="BA349" s="12">
        <f t="shared" si="49"/>
        <v>0</v>
      </c>
      <c r="BB349" s="12">
        <f t="shared" si="49"/>
        <v>0</v>
      </c>
      <c r="BC349" s="12">
        <f t="shared" si="49"/>
        <v>0</v>
      </c>
      <c r="BD349" s="12">
        <f t="shared" si="50"/>
        <v>0</v>
      </c>
    </row>
    <row r="350" spans="1:56" ht="15" customHeight="1" x14ac:dyDescent="0.25">
      <c r="A350" s="137" t="s">
        <v>665</v>
      </c>
      <c r="B350" s="137" t="s">
        <v>666</v>
      </c>
      <c r="C350" s="137">
        <v>2018</v>
      </c>
      <c r="D350" s="137" t="s">
        <v>193</v>
      </c>
      <c r="E350" s="137" t="s">
        <v>193</v>
      </c>
      <c r="F350" s="137" t="s">
        <v>193</v>
      </c>
      <c r="G350" s="137" t="s">
        <v>193</v>
      </c>
      <c r="H350" s="137" t="s">
        <v>193</v>
      </c>
      <c r="I350" s="137" t="s">
        <v>193</v>
      </c>
      <c r="J350" s="137" t="s">
        <v>193</v>
      </c>
      <c r="K350" s="137" t="s">
        <v>193</v>
      </c>
      <c r="L350" s="137" t="s">
        <v>193</v>
      </c>
      <c r="M350" s="137" t="s">
        <v>193</v>
      </c>
      <c r="N350" s="137" t="s">
        <v>193</v>
      </c>
      <c r="O350" s="137" t="s">
        <v>193</v>
      </c>
      <c r="P350" s="137" t="s">
        <v>193</v>
      </c>
      <c r="Q350" s="137" t="s">
        <v>193</v>
      </c>
      <c r="R350" s="137" t="s">
        <v>193</v>
      </c>
      <c r="S350" s="137" t="s">
        <v>193</v>
      </c>
      <c r="T350" s="137" t="s">
        <v>193</v>
      </c>
      <c r="U350" s="137" t="s">
        <v>193</v>
      </c>
      <c r="V350" s="137" t="s">
        <v>193</v>
      </c>
      <c r="W350" s="137" t="s">
        <v>193</v>
      </c>
      <c r="X350" s="137" t="s">
        <v>193</v>
      </c>
      <c r="Y350" s="137" t="s">
        <v>193</v>
      </c>
      <c r="Z350" s="137" t="s">
        <v>193</v>
      </c>
      <c r="AA350" s="137" t="s">
        <v>193</v>
      </c>
      <c r="AB350" s="137" t="s">
        <v>193</v>
      </c>
      <c r="AC350" s="137" t="s">
        <v>193</v>
      </c>
      <c r="AD350" s="137" t="s">
        <v>193</v>
      </c>
      <c r="AE350" s="137" t="s">
        <v>193</v>
      </c>
      <c r="AF350" s="137" t="s">
        <v>193</v>
      </c>
      <c r="AG350" s="137" t="s">
        <v>193</v>
      </c>
      <c r="AH350" s="137" t="s">
        <v>199</v>
      </c>
      <c r="AI350" s="137" t="s">
        <v>193</v>
      </c>
      <c r="AJ350" s="137" t="s">
        <v>193</v>
      </c>
      <c r="AK350" s="137" t="s">
        <v>193</v>
      </c>
      <c r="AL350" s="137" t="s">
        <v>193</v>
      </c>
      <c r="AM350" s="137" t="s">
        <v>193</v>
      </c>
      <c r="AN350" s="137" t="s">
        <v>193</v>
      </c>
      <c r="AO350" s="137" t="s">
        <v>193</v>
      </c>
      <c r="AQ350" s="12">
        <f t="shared" si="44"/>
        <v>0</v>
      </c>
      <c r="AR350" s="12">
        <f t="shared" si="43"/>
        <v>0</v>
      </c>
      <c r="AT350" s="12">
        <f t="shared" si="45"/>
        <v>0</v>
      </c>
      <c r="AU350" s="12">
        <f t="shared" si="46"/>
        <v>0</v>
      </c>
      <c r="AV350" s="13" t="str">
        <f t="shared" si="47"/>
        <v/>
      </c>
      <c r="AY350" s="12">
        <f t="shared" si="48"/>
        <v>0</v>
      </c>
      <c r="AZ350" s="12">
        <f t="shared" si="49"/>
        <v>0</v>
      </c>
      <c r="BA350" s="12">
        <f t="shared" si="49"/>
        <v>0</v>
      </c>
      <c r="BB350" s="12">
        <f t="shared" si="49"/>
        <v>0</v>
      </c>
      <c r="BC350" s="12">
        <f t="shared" si="49"/>
        <v>0</v>
      </c>
      <c r="BD350" s="12">
        <f t="shared" si="50"/>
        <v>0</v>
      </c>
    </row>
    <row r="351" spans="1:56" ht="15" customHeight="1" x14ac:dyDescent="0.25">
      <c r="A351" s="137" t="s">
        <v>665</v>
      </c>
      <c r="B351" s="137" t="s">
        <v>667</v>
      </c>
      <c r="C351" s="137">
        <v>2018</v>
      </c>
      <c r="D351" s="137" t="s">
        <v>193</v>
      </c>
      <c r="E351" s="137" t="s">
        <v>193</v>
      </c>
      <c r="F351" s="137" t="s">
        <v>193</v>
      </c>
      <c r="G351" s="137" t="s">
        <v>193</v>
      </c>
      <c r="H351" s="137" t="s">
        <v>193</v>
      </c>
      <c r="I351" s="137" t="s">
        <v>193</v>
      </c>
      <c r="J351" s="137" t="s">
        <v>193</v>
      </c>
      <c r="K351" s="137" t="s">
        <v>193</v>
      </c>
      <c r="L351" s="137" t="s">
        <v>193</v>
      </c>
      <c r="M351" s="137" t="s">
        <v>193</v>
      </c>
      <c r="N351" s="137" t="s">
        <v>193</v>
      </c>
      <c r="O351" s="137" t="s">
        <v>193</v>
      </c>
      <c r="P351" s="137" t="s">
        <v>193</v>
      </c>
      <c r="Q351" s="137" t="s">
        <v>193</v>
      </c>
      <c r="R351" s="137" t="s">
        <v>193</v>
      </c>
      <c r="S351" s="137" t="s">
        <v>193</v>
      </c>
      <c r="T351" s="137" t="s">
        <v>193</v>
      </c>
      <c r="U351" s="137" t="s">
        <v>193</v>
      </c>
      <c r="V351" s="137" t="s">
        <v>193</v>
      </c>
      <c r="W351" s="137" t="s">
        <v>193</v>
      </c>
      <c r="X351" s="137" t="s">
        <v>193</v>
      </c>
      <c r="Y351" s="137" t="s">
        <v>193</v>
      </c>
      <c r="Z351" s="137" t="s">
        <v>193</v>
      </c>
      <c r="AA351" s="137" t="s">
        <v>193</v>
      </c>
      <c r="AB351" s="137" t="s">
        <v>193</v>
      </c>
      <c r="AC351" s="137" t="s">
        <v>193</v>
      </c>
      <c r="AD351" s="137" t="s">
        <v>193</v>
      </c>
      <c r="AE351" s="137" t="s">
        <v>193</v>
      </c>
      <c r="AF351" s="137" t="s">
        <v>193</v>
      </c>
      <c r="AG351" s="137" t="s">
        <v>193</v>
      </c>
      <c r="AH351" s="137" t="s">
        <v>199</v>
      </c>
      <c r="AI351" s="137" t="s">
        <v>193</v>
      </c>
      <c r="AJ351" s="137" t="s">
        <v>193</v>
      </c>
      <c r="AK351" s="137" t="s">
        <v>193</v>
      </c>
      <c r="AL351" s="137" t="s">
        <v>193</v>
      </c>
      <c r="AM351" s="137" t="s">
        <v>193</v>
      </c>
      <c r="AN351" s="137" t="s">
        <v>193</v>
      </c>
      <c r="AO351" s="137" t="s">
        <v>193</v>
      </c>
      <c r="AQ351" s="12">
        <f t="shared" si="44"/>
        <v>0</v>
      </c>
      <c r="AR351" s="12">
        <f t="shared" si="43"/>
        <v>0</v>
      </c>
      <c r="AT351" s="12">
        <f t="shared" si="45"/>
        <v>0</v>
      </c>
      <c r="AU351" s="12">
        <f t="shared" si="46"/>
        <v>0</v>
      </c>
      <c r="AV351" s="13" t="str">
        <f t="shared" si="47"/>
        <v/>
      </c>
      <c r="AY351" s="12">
        <f t="shared" si="48"/>
        <v>0</v>
      </c>
      <c r="AZ351" s="12">
        <f t="shared" si="49"/>
        <v>0</v>
      </c>
      <c r="BA351" s="12">
        <f t="shared" si="49"/>
        <v>0</v>
      </c>
      <c r="BB351" s="12">
        <f t="shared" si="49"/>
        <v>0</v>
      </c>
      <c r="BC351" s="12">
        <f t="shared" si="49"/>
        <v>0</v>
      </c>
      <c r="BD351" s="12">
        <f t="shared" si="50"/>
        <v>0</v>
      </c>
    </row>
    <row r="352" spans="1:56" ht="15" customHeight="1" x14ac:dyDescent="0.25">
      <c r="A352" s="137" t="s">
        <v>665</v>
      </c>
      <c r="B352" s="137" t="s">
        <v>668</v>
      </c>
      <c r="C352" s="137">
        <v>2018</v>
      </c>
      <c r="D352" s="137" t="s">
        <v>193</v>
      </c>
      <c r="E352" s="137" t="s">
        <v>193</v>
      </c>
      <c r="F352" s="137" t="s">
        <v>193</v>
      </c>
      <c r="G352" s="137" t="s">
        <v>193</v>
      </c>
      <c r="H352" s="137" t="s">
        <v>193</v>
      </c>
      <c r="I352" s="137" t="s">
        <v>193</v>
      </c>
      <c r="J352" s="137" t="s">
        <v>193</v>
      </c>
      <c r="K352" s="137" t="s">
        <v>193</v>
      </c>
      <c r="L352" s="137" t="s">
        <v>193</v>
      </c>
      <c r="M352" s="137" t="s">
        <v>193</v>
      </c>
      <c r="N352" s="137" t="s">
        <v>193</v>
      </c>
      <c r="O352" s="137" t="s">
        <v>193</v>
      </c>
      <c r="P352" s="137" t="s">
        <v>193</v>
      </c>
      <c r="Q352" s="137" t="s">
        <v>193</v>
      </c>
      <c r="R352" s="137" t="s">
        <v>193</v>
      </c>
      <c r="S352" s="137" t="s">
        <v>193</v>
      </c>
      <c r="T352" s="137" t="s">
        <v>193</v>
      </c>
      <c r="U352" s="137" t="s">
        <v>193</v>
      </c>
      <c r="V352" s="137" t="s">
        <v>193</v>
      </c>
      <c r="W352" s="137" t="s">
        <v>193</v>
      </c>
      <c r="X352" s="137" t="s">
        <v>193</v>
      </c>
      <c r="Y352" s="137" t="s">
        <v>193</v>
      </c>
      <c r="Z352" s="137" t="s">
        <v>193</v>
      </c>
      <c r="AA352" s="137" t="s">
        <v>193</v>
      </c>
      <c r="AB352" s="137" t="s">
        <v>193</v>
      </c>
      <c r="AC352" s="137" t="s">
        <v>193</v>
      </c>
      <c r="AD352" s="137" t="s">
        <v>193</v>
      </c>
      <c r="AE352" s="137" t="s">
        <v>193</v>
      </c>
      <c r="AF352" s="137" t="s">
        <v>193</v>
      </c>
      <c r="AG352" s="137" t="s">
        <v>193</v>
      </c>
      <c r="AH352" s="137" t="s">
        <v>199</v>
      </c>
      <c r="AI352" s="137" t="s">
        <v>193</v>
      </c>
      <c r="AJ352" s="137" t="s">
        <v>193</v>
      </c>
      <c r="AK352" s="137" t="s">
        <v>193</v>
      </c>
      <c r="AL352" s="137" t="s">
        <v>193</v>
      </c>
      <c r="AM352" s="137" t="s">
        <v>193</v>
      </c>
      <c r="AN352" s="137" t="s">
        <v>193</v>
      </c>
      <c r="AO352" s="137" t="s">
        <v>193</v>
      </c>
      <c r="AQ352" s="12">
        <f t="shared" si="44"/>
        <v>0</v>
      </c>
      <c r="AR352" s="12">
        <f t="shared" si="43"/>
        <v>0</v>
      </c>
      <c r="AT352" s="12">
        <f t="shared" si="45"/>
        <v>0</v>
      </c>
      <c r="AU352" s="12">
        <f t="shared" si="46"/>
        <v>0</v>
      </c>
      <c r="AV352" s="13" t="str">
        <f t="shared" si="47"/>
        <v/>
      </c>
      <c r="AY352" s="12">
        <f t="shared" si="48"/>
        <v>0</v>
      </c>
      <c r="AZ352" s="12">
        <f t="shared" si="49"/>
        <v>0</v>
      </c>
      <c r="BA352" s="12">
        <f t="shared" si="49"/>
        <v>0</v>
      </c>
      <c r="BB352" s="12">
        <f t="shared" si="49"/>
        <v>0</v>
      </c>
      <c r="BC352" s="12">
        <f t="shared" si="49"/>
        <v>0</v>
      </c>
      <c r="BD352" s="12">
        <f t="shared" si="50"/>
        <v>0</v>
      </c>
    </row>
    <row r="353" spans="1:56" ht="15" customHeight="1" x14ac:dyDescent="0.25">
      <c r="A353" s="137" t="s">
        <v>665</v>
      </c>
      <c r="B353" s="137" t="s">
        <v>669</v>
      </c>
      <c r="C353" s="137">
        <v>2018</v>
      </c>
      <c r="D353" s="137" t="s">
        <v>193</v>
      </c>
      <c r="E353" s="137" t="s">
        <v>193</v>
      </c>
      <c r="F353" s="137" t="s">
        <v>193</v>
      </c>
      <c r="G353" s="137" t="s">
        <v>193</v>
      </c>
      <c r="H353" s="137" t="s">
        <v>193</v>
      </c>
      <c r="I353" s="137" t="s">
        <v>193</v>
      </c>
      <c r="J353" s="137" t="s">
        <v>193</v>
      </c>
      <c r="K353" s="137" t="s">
        <v>193</v>
      </c>
      <c r="L353" s="137" t="s">
        <v>193</v>
      </c>
      <c r="M353" s="137" t="s">
        <v>193</v>
      </c>
      <c r="N353" s="137" t="s">
        <v>193</v>
      </c>
      <c r="O353" s="137" t="s">
        <v>193</v>
      </c>
      <c r="P353" s="137" t="s">
        <v>193</v>
      </c>
      <c r="Q353" s="137" t="s">
        <v>193</v>
      </c>
      <c r="R353" s="137" t="s">
        <v>193</v>
      </c>
      <c r="S353" s="137" t="s">
        <v>193</v>
      </c>
      <c r="T353" s="137" t="s">
        <v>193</v>
      </c>
      <c r="U353" s="137" t="s">
        <v>193</v>
      </c>
      <c r="V353" s="137" t="s">
        <v>193</v>
      </c>
      <c r="W353" s="137" t="s">
        <v>193</v>
      </c>
      <c r="X353" s="137" t="s">
        <v>193</v>
      </c>
      <c r="Y353" s="137" t="s">
        <v>193</v>
      </c>
      <c r="Z353" s="137" t="s">
        <v>193</v>
      </c>
      <c r="AA353" s="137" t="s">
        <v>193</v>
      </c>
      <c r="AB353" s="137" t="s">
        <v>193</v>
      </c>
      <c r="AC353" s="137" t="s">
        <v>193</v>
      </c>
      <c r="AD353" s="137" t="s">
        <v>193</v>
      </c>
      <c r="AE353" s="137" t="s">
        <v>193</v>
      </c>
      <c r="AF353" s="137" t="s">
        <v>193</v>
      </c>
      <c r="AG353" s="137" t="s">
        <v>193</v>
      </c>
      <c r="AH353" s="137" t="s">
        <v>199</v>
      </c>
      <c r="AI353" s="137" t="s">
        <v>193</v>
      </c>
      <c r="AJ353" s="137" t="s">
        <v>193</v>
      </c>
      <c r="AK353" s="137" t="s">
        <v>193</v>
      </c>
      <c r="AL353" s="137" t="s">
        <v>193</v>
      </c>
      <c r="AM353" s="137" t="s">
        <v>193</v>
      </c>
      <c r="AN353" s="137" t="s">
        <v>193</v>
      </c>
      <c r="AO353" s="137" t="s">
        <v>193</v>
      </c>
      <c r="AQ353" s="12">
        <f t="shared" si="44"/>
        <v>0</v>
      </c>
      <c r="AR353" s="12">
        <f t="shared" si="43"/>
        <v>0</v>
      </c>
      <c r="AT353" s="12">
        <f t="shared" si="45"/>
        <v>0</v>
      </c>
      <c r="AU353" s="12">
        <f t="shared" si="46"/>
        <v>0</v>
      </c>
      <c r="AV353" s="13" t="str">
        <f t="shared" si="47"/>
        <v/>
      </c>
      <c r="AY353" s="12">
        <f t="shared" si="48"/>
        <v>0</v>
      </c>
      <c r="AZ353" s="12">
        <f t="shared" si="49"/>
        <v>0</v>
      </c>
      <c r="BA353" s="12">
        <f t="shared" si="49"/>
        <v>0</v>
      </c>
      <c r="BB353" s="12">
        <f t="shared" si="49"/>
        <v>0</v>
      </c>
      <c r="BC353" s="12">
        <f t="shared" si="49"/>
        <v>0</v>
      </c>
      <c r="BD353" s="12">
        <f t="shared" si="50"/>
        <v>0</v>
      </c>
    </row>
    <row r="354" spans="1:56" ht="15" customHeight="1" x14ac:dyDescent="0.25">
      <c r="A354" s="137" t="s">
        <v>665</v>
      </c>
      <c r="B354" s="137" t="s">
        <v>670</v>
      </c>
      <c r="C354" s="137">
        <v>2018</v>
      </c>
      <c r="D354" s="137">
        <v>94.37</v>
      </c>
      <c r="E354" s="137">
        <v>22.93</v>
      </c>
      <c r="F354" s="137" t="s">
        <v>193</v>
      </c>
      <c r="G354" s="137" t="s">
        <v>193</v>
      </c>
      <c r="H354" s="137" t="s">
        <v>193</v>
      </c>
      <c r="I354" s="137">
        <v>154.38300000000001</v>
      </c>
      <c r="J354" s="137" t="s">
        <v>193</v>
      </c>
      <c r="K354" s="137" t="s">
        <v>193</v>
      </c>
      <c r="L354" s="137" t="s">
        <v>193</v>
      </c>
      <c r="M354" s="137" t="s">
        <v>193</v>
      </c>
      <c r="N354" s="137" t="s">
        <v>193</v>
      </c>
      <c r="O354" s="137" t="s">
        <v>193</v>
      </c>
      <c r="P354" s="137" t="s">
        <v>193</v>
      </c>
      <c r="Q354" s="137">
        <v>81.11</v>
      </c>
      <c r="R354" s="137">
        <v>57.03</v>
      </c>
      <c r="S354" s="137" t="s">
        <v>193</v>
      </c>
      <c r="T354" s="137" t="s">
        <v>193</v>
      </c>
      <c r="U354" s="137" t="s">
        <v>193</v>
      </c>
      <c r="V354" s="137">
        <v>9.2999999999999999E-2</v>
      </c>
      <c r="W354" s="137" t="s">
        <v>194</v>
      </c>
      <c r="X354" s="137" t="s">
        <v>193</v>
      </c>
      <c r="Y354" s="137" t="s">
        <v>193</v>
      </c>
      <c r="Z354" s="137" t="s">
        <v>193</v>
      </c>
      <c r="AA354" s="137" t="s">
        <v>193</v>
      </c>
      <c r="AB354" s="137" t="s">
        <v>193</v>
      </c>
      <c r="AC354" s="137" t="s">
        <v>193</v>
      </c>
      <c r="AD354" s="137" t="s">
        <v>193</v>
      </c>
      <c r="AE354" s="137" t="s">
        <v>193</v>
      </c>
      <c r="AF354" s="137" t="s">
        <v>193</v>
      </c>
      <c r="AG354" s="137" t="s">
        <v>193</v>
      </c>
      <c r="AH354" s="137" t="s">
        <v>199</v>
      </c>
      <c r="AI354" s="137" t="s">
        <v>193</v>
      </c>
      <c r="AJ354" s="137" t="s">
        <v>193</v>
      </c>
      <c r="AK354" s="137">
        <v>16.149999999999999</v>
      </c>
      <c r="AL354" s="137">
        <v>100</v>
      </c>
      <c r="AM354" s="137" t="s">
        <v>193</v>
      </c>
      <c r="AN354" s="137" t="s">
        <v>193</v>
      </c>
      <c r="AO354" s="137" t="s">
        <v>193</v>
      </c>
      <c r="AQ354" s="12">
        <f t="shared" si="44"/>
        <v>138.23299999999998</v>
      </c>
      <c r="AR354" s="12">
        <f t="shared" si="43"/>
        <v>154.38299999999998</v>
      </c>
      <c r="AT354" s="12">
        <f t="shared" si="45"/>
        <v>94.37</v>
      </c>
      <c r="AU354" s="12">
        <f t="shared" si="46"/>
        <v>22.93</v>
      </c>
      <c r="AV354" s="13">
        <f t="shared" si="47"/>
        <v>0.75979868249742544</v>
      </c>
      <c r="AY354" s="12">
        <f t="shared" si="48"/>
        <v>16.149999999999999</v>
      </c>
      <c r="AZ354" s="12">
        <f t="shared" si="49"/>
        <v>16.149999999999999</v>
      </c>
      <c r="BA354" s="12">
        <f t="shared" si="49"/>
        <v>0</v>
      </c>
      <c r="BB354" s="12">
        <f t="shared" si="49"/>
        <v>0</v>
      </c>
      <c r="BC354" s="12">
        <f t="shared" si="49"/>
        <v>0</v>
      </c>
      <c r="BD354" s="12">
        <f t="shared" si="50"/>
        <v>0</v>
      </c>
    </row>
    <row r="355" spans="1:56" ht="15" customHeight="1" x14ac:dyDescent="0.25">
      <c r="A355" s="137" t="s">
        <v>671</v>
      </c>
      <c r="B355" s="137" t="s">
        <v>672</v>
      </c>
      <c r="C355" s="137">
        <v>2018</v>
      </c>
      <c r="D355" s="137" t="s">
        <v>193</v>
      </c>
      <c r="E355" s="137" t="s">
        <v>193</v>
      </c>
      <c r="F355" s="137" t="s">
        <v>193</v>
      </c>
      <c r="G355" s="137" t="s">
        <v>193</v>
      </c>
      <c r="H355" s="137" t="s">
        <v>193</v>
      </c>
      <c r="I355" s="137" t="s">
        <v>193</v>
      </c>
      <c r="J355" s="137" t="s">
        <v>193</v>
      </c>
      <c r="K355" s="137" t="s">
        <v>193</v>
      </c>
      <c r="L355" s="137" t="s">
        <v>193</v>
      </c>
      <c r="M355" s="137" t="s">
        <v>193</v>
      </c>
      <c r="N355" s="137" t="s">
        <v>193</v>
      </c>
      <c r="O355" s="137" t="s">
        <v>193</v>
      </c>
      <c r="P355" s="137" t="s">
        <v>193</v>
      </c>
      <c r="Q355" s="137" t="s">
        <v>193</v>
      </c>
      <c r="R355" s="137" t="s">
        <v>193</v>
      </c>
      <c r="S355" s="137" t="s">
        <v>193</v>
      </c>
      <c r="T355" s="137" t="s">
        <v>193</v>
      </c>
      <c r="U355" s="137" t="s">
        <v>193</v>
      </c>
      <c r="V355" s="137" t="s">
        <v>193</v>
      </c>
      <c r="W355" s="137" t="s">
        <v>193</v>
      </c>
      <c r="X355" s="137" t="s">
        <v>193</v>
      </c>
      <c r="Y355" s="137" t="s">
        <v>193</v>
      </c>
      <c r="Z355" s="137" t="s">
        <v>193</v>
      </c>
      <c r="AA355" s="137" t="s">
        <v>193</v>
      </c>
      <c r="AB355" s="137" t="s">
        <v>193</v>
      </c>
      <c r="AC355" s="137" t="s">
        <v>193</v>
      </c>
      <c r="AD355" s="137" t="s">
        <v>193</v>
      </c>
      <c r="AE355" s="137" t="s">
        <v>193</v>
      </c>
      <c r="AF355" s="137" t="s">
        <v>193</v>
      </c>
      <c r="AG355" s="137" t="s">
        <v>193</v>
      </c>
      <c r="AH355" s="137" t="s">
        <v>53</v>
      </c>
      <c r="AI355" s="137" t="s">
        <v>193</v>
      </c>
      <c r="AJ355" s="137" t="s">
        <v>193</v>
      </c>
      <c r="AK355" s="137" t="s">
        <v>193</v>
      </c>
      <c r="AL355" s="137" t="s">
        <v>193</v>
      </c>
      <c r="AM355" s="137" t="s">
        <v>193</v>
      </c>
      <c r="AN355" s="137" t="s">
        <v>193</v>
      </c>
      <c r="AO355" s="137" t="s">
        <v>193</v>
      </c>
      <c r="AQ355" s="12">
        <f t="shared" si="44"/>
        <v>0</v>
      </c>
      <c r="AR355" s="12">
        <f t="shared" si="43"/>
        <v>0</v>
      </c>
      <c r="AT355" s="12">
        <f t="shared" si="45"/>
        <v>0</v>
      </c>
      <c r="AU355" s="12">
        <f t="shared" si="46"/>
        <v>0</v>
      </c>
      <c r="AV355" s="13" t="str">
        <f t="shared" si="47"/>
        <v/>
      </c>
      <c r="AY355" s="12">
        <f t="shared" si="48"/>
        <v>0</v>
      </c>
      <c r="AZ355" s="12">
        <f t="shared" si="49"/>
        <v>0</v>
      </c>
      <c r="BA355" s="12">
        <f t="shared" si="49"/>
        <v>0</v>
      </c>
      <c r="BB355" s="12">
        <f t="shared" si="49"/>
        <v>0</v>
      </c>
      <c r="BC355" s="12">
        <f t="shared" si="49"/>
        <v>0</v>
      </c>
      <c r="BD355" s="12">
        <f t="shared" si="50"/>
        <v>0</v>
      </c>
    </row>
    <row r="356" spans="1:56" ht="15" customHeight="1" x14ac:dyDescent="0.25">
      <c r="A356" s="137" t="s">
        <v>671</v>
      </c>
      <c r="B356" s="137" t="s">
        <v>673</v>
      </c>
      <c r="C356" s="137">
        <v>2018</v>
      </c>
      <c r="D356" s="137">
        <v>143</v>
      </c>
      <c r="E356" s="137">
        <v>23</v>
      </c>
      <c r="F356" s="137" t="s">
        <v>193</v>
      </c>
      <c r="G356" s="137" t="s">
        <v>193</v>
      </c>
      <c r="H356" s="137" t="s">
        <v>193</v>
      </c>
      <c r="I356" s="137">
        <v>180</v>
      </c>
      <c r="J356" s="137" t="s">
        <v>193</v>
      </c>
      <c r="K356" s="137">
        <v>5</v>
      </c>
      <c r="L356" s="137" t="s">
        <v>193</v>
      </c>
      <c r="M356" s="137" t="s">
        <v>193</v>
      </c>
      <c r="N356" s="137" t="s">
        <v>193</v>
      </c>
      <c r="O356" s="137" t="s">
        <v>193</v>
      </c>
      <c r="P356" s="137" t="s">
        <v>193</v>
      </c>
      <c r="Q356" s="137" t="s">
        <v>193</v>
      </c>
      <c r="R356" s="137" t="s">
        <v>193</v>
      </c>
      <c r="S356" s="137" t="s">
        <v>193</v>
      </c>
      <c r="T356" s="137" t="s">
        <v>193</v>
      </c>
      <c r="U356" s="137" t="s">
        <v>193</v>
      </c>
      <c r="V356" s="137" t="s">
        <v>193</v>
      </c>
      <c r="W356" s="137" t="s">
        <v>193</v>
      </c>
      <c r="X356" s="137" t="s">
        <v>193</v>
      </c>
      <c r="Y356" s="137" t="s">
        <v>193</v>
      </c>
      <c r="Z356" s="137" t="s">
        <v>193</v>
      </c>
      <c r="AA356" s="137">
        <v>147</v>
      </c>
      <c r="AB356" s="137" t="s">
        <v>193</v>
      </c>
      <c r="AC356" s="137" t="s">
        <v>193</v>
      </c>
      <c r="AD356" s="137" t="s">
        <v>193</v>
      </c>
      <c r="AE356" s="137" t="s">
        <v>193</v>
      </c>
      <c r="AF356" s="137" t="s">
        <v>193</v>
      </c>
      <c r="AG356" s="137" t="s">
        <v>193</v>
      </c>
      <c r="AH356" s="137" t="s">
        <v>53</v>
      </c>
      <c r="AI356" s="137" t="s">
        <v>193</v>
      </c>
      <c r="AJ356" s="137" t="s">
        <v>193</v>
      </c>
      <c r="AK356" s="137">
        <v>28</v>
      </c>
      <c r="AL356" s="137">
        <v>100</v>
      </c>
      <c r="AM356" s="137" t="s">
        <v>193</v>
      </c>
      <c r="AN356" s="137" t="s">
        <v>193</v>
      </c>
      <c r="AO356" s="137" t="s">
        <v>193</v>
      </c>
      <c r="AQ356" s="12">
        <f t="shared" si="44"/>
        <v>152</v>
      </c>
      <c r="AR356" s="12">
        <f t="shared" si="43"/>
        <v>180</v>
      </c>
      <c r="AT356" s="12">
        <f t="shared" si="45"/>
        <v>143</v>
      </c>
      <c r="AU356" s="12">
        <f t="shared" si="46"/>
        <v>23</v>
      </c>
      <c r="AV356" s="13">
        <f t="shared" si="47"/>
        <v>0.92222222222222228</v>
      </c>
      <c r="AY356" s="12">
        <f t="shared" si="48"/>
        <v>28</v>
      </c>
      <c r="AZ356" s="12">
        <f t="shared" si="49"/>
        <v>28</v>
      </c>
      <c r="BA356" s="12">
        <f t="shared" si="49"/>
        <v>0</v>
      </c>
      <c r="BB356" s="12">
        <f t="shared" si="49"/>
        <v>0</v>
      </c>
      <c r="BC356" s="12">
        <f t="shared" si="49"/>
        <v>0</v>
      </c>
      <c r="BD356" s="12">
        <f t="shared" si="50"/>
        <v>0</v>
      </c>
    </row>
    <row r="357" spans="1:56" ht="15" customHeight="1" x14ac:dyDescent="0.25">
      <c r="A357" s="137" t="s">
        <v>671</v>
      </c>
      <c r="B357" s="137" t="s">
        <v>674</v>
      </c>
      <c r="C357" s="137">
        <v>2018</v>
      </c>
      <c r="D357" s="137" t="s">
        <v>193</v>
      </c>
      <c r="E357" s="137" t="s">
        <v>193</v>
      </c>
      <c r="F357" s="137" t="s">
        <v>193</v>
      </c>
      <c r="G357" s="137" t="s">
        <v>193</v>
      </c>
      <c r="H357" s="137" t="s">
        <v>193</v>
      </c>
      <c r="I357" s="137" t="s">
        <v>193</v>
      </c>
      <c r="J357" s="137" t="s">
        <v>193</v>
      </c>
      <c r="K357" s="137" t="s">
        <v>193</v>
      </c>
      <c r="L357" s="137" t="s">
        <v>193</v>
      </c>
      <c r="M357" s="137" t="s">
        <v>193</v>
      </c>
      <c r="N357" s="137" t="s">
        <v>193</v>
      </c>
      <c r="O357" s="137" t="s">
        <v>193</v>
      </c>
      <c r="P357" s="137" t="s">
        <v>193</v>
      </c>
      <c r="Q357" s="137" t="s">
        <v>193</v>
      </c>
      <c r="R357" s="137" t="s">
        <v>193</v>
      </c>
      <c r="S357" s="137" t="s">
        <v>193</v>
      </c>
      <c r="T357" s="137" t="s">
        <v>193</v>
      </c>
      <c r="U357" s="137" t="s">
        <v>193</v>
      </c>
      <c r="V357" s="137" t="s">
        <v>193</v>
      </c>
      <c r="W357" s="137" t="s">
        <v>193</v>
      </c>
      <c r="X357" s="137" t="s">
        <v>193</v>
      </c>
      <c r="Y357" s="137" t="s">
        <v>193</v>
      </c>
      <c r="Z357" s="137" t="s">
        <v>193</v>
      </c>
      <c r="AA357" s="137" t="s">
        <v>193</v>
      </c>
      <c r="AB357" s="137" t="s">
        <v>193</v>
      </c>
      <c r="AC357" s="137" t="s">
        <v>193</v>
      </c>
      <c r="AD357" s="137" t="s">
        <v>193</v>
      </c>
      <c r="AE357" s="137" t="s">
        <v>193</v>
      </c>
      <c r="AF357" s="137" t="s">
        <v>193</v>
      </c>
      <c r="AG357" s="137" t="s">
        <v>193</v>
      </c>
      <c r="AH357" s="137" t="s">
        <v>53</v>
      </c>
      <c r="AI357" s="137" t="s">
        <v>193</v>
      </c>
      <c r="AJ357" s="137" t="s">
        <v>193</v>
      </c>
      <c r="AK357" s="137" t="s">
        <v>193</v>
      </c>
      <c r="AL357" s="137" t="s">
        <v>193</v>
      </c>
      <c r="AM357" s="137" t="s">
        <v>193</v>
      </c>
      <c r="AN357" s="137" t="s">
        <v>193</v>
      </c>
      <c r="AO357" s="137" t="s">
        <v>193</v>
      </c>
      <c r="AQ357" s="12">
        <f t="shared" si="44"/>
        <v>0</v>
      </c>
      <c r="AR357" s="12">
        <f t="shared" si="43"/>
        <v>0</v>
      </c>
      <c r="AT357" s="12">
        <f t="shared" si="45"/>
        <v>0</v>
      </c>
      <c r="AU357" s="12">
        <f t="shared" si="46"/>
        <v>0</v>
      </c>
      <c r="AV357" s="13" t="str">
        <f t="shared" si="47"/>
        <v/>
      </c>
      <c r="AY357" s="12">
        <f t="shared" si="48"/>
        <v>0</v>
      </c>
      <c r="AZ357" s="12">
        <f t="shared" si="49"/>
        <v>0</v>
      </c>
      <c r="BA357" s="12">
        <f t="shared" si="49"/>
        <v>0</v>
      </c>
      <c r="BB357" s="12">
        <f t="shared" si="49"/>
        <v>0</v>
      </c>
      <c r="BC357" s="12">
        <f t="shared" si="49"/>
        <v>0</v>
      </c>
      <c r="BD357" s="12">
        <f t="shared" si="50"/>
        <v>0</v>
      </c>
    </row>
    <row r="358" spans="1:56" ht="15" customHeight="1" x14ac:dyDescent="0.25">
      <c r="A358" s="137" t="s">
        <v>52</v>
      </c>
      <c r="B358" s="137" t="s">
        <v>675</v>
      </c>
      <c r="C358" s="137">
        <v>2018</v>
      </c>
      <c r="D358" s="137" t="s">
        <v>193</v>
      </c>
      <c r="E358" s="137" t="s">
        <v>193</v>
      </c>
      <c r="F358" s="137" t="s">
        <v>193</v>
      </c>
      <c r="G358" s="137" t="s">
        <v>193</v>
      </c>
      <c r="H358" s="137" t="s">
        <v>193</v>
      </c>
      <c r="I358" s="137" t="s">
        <v>193</v>
      </c>
      <c r="J358" s="137" t="s">
        <v>193</v>
      </c>
      <c r="K358" s="137" t="s">
        <v>193</v>
      </c>
      <c r="L358" s="137" t="s">
        <v>193</v>
      </c>
      <c r="M358" s="137" t="s">
        <v>193</v>
      </c>
      <c r="N358" s="137" t="s">
        <v>193</v>
      </c>
      <c r="O358" s="137" t="s">
        <v>193</v>
      </c>
      <c r="P358" s="137" t="s">
        <v>193</v>
      </c>
      <c r="Q358" s="137" t="s">
        <v>193</v>
      </c>
      <c r="R358" s="137" t="s">
        <v>193</v>
      </c>
      <c r="S358" s="137" t="s">
        <v>193</v>
      </c>
      <c r="T358" s="137" t="s">
        <v>193</v>
      </c>
      <c r="U358" s="137" t="s">
        <v>193</v>
      </c>
      <c r="V358" s="137" t="s">
        <v>193</v>
      </c>
      <c r="W358" s="137" t="s">
        <v>193</v>
      </c>
      <c r="X358" s="137" t="s">
        <v>193</v>
      </c>
      <c r="Y358" s="137" t="s">
        <v>193</v>
      </c>
      <c r="Z358" s="137" t="s">
        <v>193</v>
      </c>
      <c r="AA358" s="137" t="s">
        <v>193</v>
      </c>
      <c r="AB358" s="137" t="s">
        <v>193</v>
      </c>
      <c r="AC358" s="137" t="s">
        <v>193</v>
      </c>
      <c r="AD358" s="137" t="s">
        <v>193</v>
      </c>
      <c r="AE358" s="137" t="s">
        <v>193</v>
      </c>
      <c r="AF358" s="137" t="s">
        <v>193</v>
      </c>
      <c r="AG358" s="137" t="s">
        <v>193</v>
      </c>
      <c r="AH358" s="137" t="s">
        <v>199</v>
      </c>
      <c r="AI358" s="137" t="s">
        <v>193</v>
      </c>
      <c r="AJ358" s="137" t="s">
        <v>193</v>
      </c>
      <c r="AK358" s="137" t="s">
        <v>193</v>
      </c>
      <c r="AL358" s="137" t="s">
        <v>193</v>
      </c>
      <c r="AM358" s="137" t="s">
        <v>193</v>
      </c>
      <c r="AN358" s="137" t="s">
        <v>193</v>
      </c>
      <c r="AO358" s="137" t="s">
        <v>193</v>
      </c>
      <c r="AQ358" s="12">
        <f t="shared" si="44"/>
        <v>0</v>
      </c>
      <c r="AR358" s="12">
        <f t="shared" si="43"/>
        <v>0</v>
      </c>
      <c r="AT358" s="12">
        <f t="shared" si="45"/>
        <v>0</v>
      </c>
      <c r="AU358" s="12">
        <f t="shared" si="46"/>
        <v>0</v>
      </c>
      <c r="AV358" s="13" t="str">
        <f t="shared" si="47"/>
        <v/>
      </c>
      <c r="AY358" s="12">
        <f t="shared" si="48"/>
        <v>0</v>
      </c>
      <c r="AZ358" s="12">
        <f t="shared" si="49"/>
        <v>0</v>
      </c>
      <c r="BA358" s="12">
        <f t="shared" si="49"/>
        <v>0</v>
      </c>
      <c r="BB358" s="12">
        <f t="shared" si="49"/>
        <v>0</v>
      </c>
      <c r="BC358" s="12">
        <f t="shared" si="49"/>
        <v>0</v>
      </c>
      <c r="BD358" s="12">
        <f t="shared" si="50"/>
        <v>0</v>
      </c>
    </row>
    <row r="359" spans="1:56" ht="15" customHeight="1" x14ac:dyDescent="0.25">
      <c r="A359" s="137" t="s">
        <v>52</v>
      </c>
      <c r="B359" s="137" t="s">
        <v>676</v>
      </c>
      <c r="C359" s="137">
        <v>2018</v>
      </c>
      <c r="D359" s="137" t="s">
        <v>193</v>
      </c>
      <c r="E359" s="137" t="s">
        <v>193</v>
      </c>
      <c r="F359" s="137" t="s">
        <v>193</v>
      </c>
      <c r="G359" s="137" t="s">
        <v>193</v>
      </c>
      <c r="H359" s="137" t="s">
        <v>193</v>
      </c>
      <c r="I359" s="137" t="s">
        <v>193</v>
      </c>
      <c r="J359" s="137" t="s">
        <v>193</v>
      </c>
      <c r="K359" s="137" t="s">
        <v>193</v>
      </c>
      <c r="L359" s="137" t="s">
        <v>193</v>
      </c>
      <c r="M359" s="137" t="s">
        <v>193</v>
      </c>
      <c r="N359" s="137" t="s">
        <v>193</v>
      </c>
      <c r="O359" s="137" t="s">
        <v>193</v>
      </c>
      <c r="P359" s="137" t="s">
        <v>193</v>
      </c>
      <c r="Q359" s="137" t="s">
        <v>193</v>
      </c>
      <c r="R359" s="137" t="s">
        <v>193</v>
      </c>
      <c r="S359" s="137" t="s">
        <v>193</v>
      </c>
      <c r="T359" s="137" t="s">
        <v>193</v>
      </c>
      <c r="U359" s="137" t="s">
        <v>193</v>
      </c>
      <c r="V359" s="137" t="s">
        <v>193</v>
      </c>
      <c r="W359" s="137" t="s">
        <v>193</v>
      </c>
      <c r="X359" s="137" t="s">
        <v>193</v>
      </c>
      <c r="Y359" s="137" t="s">
        <v>193</v>
      </c>
      <c r="Z359" s="137" t="s">
        <v>193</v>
      </c>
      <c r="AA359" s="137" t="s">
        <v>193</v>
      </c>
      <c r="AB359" s="137" t="s">
        <v>193</v>
      </c>
      <c r="AC359" s="137" t="s">
        <v>193</v>
      </c>
      <c r="AD359" s="137" t="s">
        <v>193</v>
      </c>
      <c r="AE359" s="137" t="s">
        <v>193</v>
      </c>
      <c r="AF359" s="137" t="s">
        <v>193</v>
      </c>
      <c r="AG359" s="137" t="s">
        <v>193</v>
      </c>
      <c r="AH359" s="137" t="s">
        <v>199</v>
      </c>
      <c r="AI359" s="137" t="s">
        <v>193</v>
      </c>
      <c r="AJ359" s="137" t="s">
        <v>193</v>
      </c>
      <c r="AK359" s="137" t="s">
        <v>193</v>
      </c>
      <c r="AL359" s="137" t="s">
        <v>193</v>
      </c>
      <c r="AM359" s="137" t="s">
        <v>193</v>
      </c>
      <c r="AN359" s="137" t="s">
        <v>193</v>
      </c>
      <c r="AO359" s="137" t="s">
        <v>193</v>
      </c>
      <c r="AQ359" s="12">
        <f t="shared" si="44"/>
        <v>0</v>
      </c>
      <c r="AR359" s="12">
        <f t="shared" si="43"/>
        <v>0</v>
      </c>
      <c r="AT359" s="12">
        <f t="shared" si="45"/>
        <v>0</v>
      </c>
      <c r="AU359" s="12">
        <f t="shared" si="46"/>
        <v>0</v>
      </c>
      <c r="AV359" s="13" t="str">
        <f t="shared" si="47"/>
        <v/>
      </c>
      <c r="AY359" s="12">
        <f t="shared" si="48"/>
        <v>0</v>
      </c>
      <c r="AZ359" s="12">
        <f t="shared" si="49"/>
        <v>0</v>
      </c>
      <c r="BA359" s="12">
        <f t="shared" si="49"/>
        <v>0</v>
      </c>
      <c r="BB359" s="12">
        <f t="shared" si="49"/>
        <v>0</v>
      </c>
      <c r="BC359" s="12">
        <f t="shared" si="49"/>
        <v>0</v>
      </c>
      <c r="BD359" s="12">
        <f t="shared" si="50"/>
        <v>0</v>
      </c>
    </row>
    <row r="360" spans="1:56" ht="15" customHeight="1" x14ac:dyDescent="0.25">
      <c r="A360" s="137" t="s">
        <v>52</v>
      </c>
      <c r="B360" s="137" t="s">
        <v>677</v>
      </c>
      <c r="C360" s="137">
        <v>2018</v>
      </c>
      <c r="D360" s="137" t="s">
        <v>193</v>
      </c>
      <c r="E360" s="137" t="s">
        <v>193</v>
      </c>
      <c r="F360" s="137" t="s">
        <v>193</v>
      </c>
      <c r="G360" s="137" t="s">
        <v>193</v>
      </c>
      <c r="H360" s="137" t="s">
        <v>193</v>
      </c>
      <c r="I360" s="137" t="s">
        <v>193</v>
      </c>
      <c r="J360" s="137" t="s">
        <v>193</v>
      </c>
      <c r="K360" s="137" t="s">
        <v>193</v>
      </c>
      <c r="L360" s="137" t="s">
        <v>193</v>
      </c>
      <c r="M360" s="137" t="s">
        <v>193</v>
      </c>
      <c r="N360" s="137" t="s">
        <v>193</v>
      </c>
      <c r="O360" s="137" t="s">
        <v>193</v>
      </c>
      <c r="P360" s="137" t="s">
        <v>193</v>
      </c>
      <c r="Q360" s="137" t="s">
        <v>193</v>
      </c>
      <c r="R360" s="137" t="s">
        <v>193</v>
      </c>
      <c r="S360" s="137" t="s">
        <v>193</v>
      </c>
      <c r="T360" s="137" t="s">
        <v>193</v>
      </c>
      <c r="U360" s="137" t="s">
        <v>193</v>
      </c>
      <c r="V360" s="137" t="s">
        <v>193</v>
      </c>
      <c r="W360" s="137" t="s">
        <v>193</v>
      </c>
      <c r="X360" s="137" t="s">
        <v>193</v>
      </c>
      <c r="Y360" s="137" t="s">
        <v>193</v>
      </c>
      <c r="Z360" s="137" t="s">
        <v>193</v>
      </c>
      <c r="AA360" s="137" t="s">
        <v>193</v>
      </c>
      <c r="AB360" s="137" t="s">
        <v>193</v>
      </c>
      <c r="AC360" s="137" t="s">
        <v>193</v>
      </c>
      <c r="AD360" s="137" t="s">
        <v>193</v>
      </c>
      <c r="AE360" s="137" t="s">
        <v>193</v>
      </c>
      <c r="AF360" s="137" t="s">
        <v>193</v>
      </c>
      <c r="AG360" s="137" t="s">
        <v>193</v>
      </c>
      <c r="AH360" s="137" t="s">
        <v>199</v>
      </c>
      <c r="AI360" s="137" t="s">
        <v>193</v>
      </c>
      <c r="AJ360" s="137" t="s">
        <v>193</v>
      </c>
      <c r="AK360" s="137" t="s">
        <v>193</v>
      </c>
      <c r="AL360" s="137" t="s">
        <v>193</v>
      </c>
      <c r="AM360" s="137" t="s">
        <v>193</v>
      </c>
      <c r="AN360" s="137" t="s">
        <v>193</v>
      </c>
      <c r="AO360" s="137" t="s">
        <v>193</v>
      </c>
      <c r="AQ360" s="12">
        <f t="shared" si="44"/>
        <v>0</v>
      </c>
      <c r="AR360" s="12">
        <f t="shared" si="43"/>
        <v>0</v>
      </c>
      <c r="AT360" s="12">
        <f t="shared" si="45"/>
        <v>0</v>
      </c>
      <c r="AU360" s="12">
        <f t="shared" si="46"/>
        <v>0</v>
      </c>
      <c r="AV360" s="13" t="str">
        <f t="shared" si="47"/>
        <v/>
      </c>
      <c r="AY360" s="12">
        <f t="shared" si="48"/>
        <v>0</v>
      </c>
      <c r="AZ360" s="12">
        <f t="shared" si="49"/>
        <v>0</v>
      </c>
      <c r="BA360" s="12">
        <f t="shared" si="49"/>
        <v>0</v>
      </c>
      <c r="BB360" s="12">
        <f t="shared" si="49"/>
        <v>0</v>
      </c>
      <c r="BC360" s="12">
        <f t="shared" si="49"/>
        <v>0</v>
      </c>
      <c r="BD360" s="12">
        <f t="shared" si="50"/>
        <v>0</v>
      </c>
    </row>
    <row r="361" spans="1:56" ht="15" customHeight="1" x14ac:dyDescent="0.25">
      <c r="A361" s="137" t="s">
        <v>52</v>
      </c>
      <c r="B361" s="137" t="s">
        <v>678</v>
      </c>
      <c r="C361" s="137">
        <v>2018</v>
      </c>
      <c r="D361" s="137" t="s">
        <v>193</v>
      </c>
      <c r="E361" s="137" t="s">
        <v>193</v>
      </c>
      <c r="F361" s="137" t="s">
        <v>193</v>
      </c>
      <c r="G361" s="137" t="s">
        <v>193</v>
      </c>
      <c r="H361" s="137" t="s">
        <v>193</v>
      </c>
      <c r="I361" s="137" t="s">
        <v>193</v>
      </c>
      <c r="J361" s="137" t="s">
        <v>193</v>
      </c>
      <c r="K361" s="137" t="s">
        <v>193</v>
      </c>
      <c r="L361" s="137" t="s">
        <v>193</v>
      </c>
      <c r="M361" s="137" t="s">
        <v>193</v>
      </c>
      <c r="N361" s="137" t="s">
        <v>193</v>
      </c>
      <c r="O361" s="137" t="s">
        <v>193</v>
      </c>
      <c r="P361" s="137" t="s">
        <v>193</v>
      </c>
      <c r="Q361" s="137" t="s">
        <v>193</v>
      </c>
      <c r="R361" s="137" t="s">
        <v>193</v>
      </c>
      <c r="S361" s="137" t="s">
        <v>193</v>
      </c>
      <c r="T361" s="137" t="s">
        <v>193</v>
      </c>
      <c r="U361" s="137" t="s">
        <v>193</v>
      </c>
      <c r="V361" s="137" t="s">
        <v>193</v>
      </c>
      <c r="W361" s="137" t="s">
        <v>193</v>
      </c>
      <c r="X361" s="137" t="s">
        <v>193</v>
      </c>
      <c r="Y361" s="137" t="s">
        <v>193</v>
      </c>
      <c r="Z361" s="137" t="s">
        <v>193</v>
      </c>
      <c r="AA361" s="137" t="s">
        <v>193</v>
      </c>
      <c r="AB361" s="137" t="s">
        <v>193</v>
      </c>
      <c r="AC361" s="137" t="s">
        <v>193</v>
      </c>
      <c r="AD361" s="137" t="s">
        <v>193</v>
      </c>
      <c r="AE361" s="137" t="s">
        <v>193</v>
      </c>
      <c r="AF361" s="137" t="s">
        <v>193</v>
      </c>
      <c r="AG361" s="137" t="s">
        <v>193</v>
      </c>
      <c r="AH361" s="137" t="s">
        <v>199</v>
      </c>
      <c r="AI361" s="137" t="s">
        <v>193</v>
      </c>
      <c r="AJ361" s="137" t="s">
        <v>193</v>
      </c>
      <c r="AK361" s="137" t="s">
        <v>193</v>
      </c>
      <c r="AL361" s="137" t="s">
        <v>193</v>
      </c>
      <c r="AM361" s="137" t="s">
        <v>193</v>
      </c>
      <c r="AN361" s="137" t="s">
        <v>193</v>
      </c>
      <c r="AO361" s="137" t="s">
        <v>193</v>
      </c>
      <c r="AQ361" s="12">
        <f t="shared" si="44"/>
        <v>0</v>
      </c>
      <c r="AR361" s="12">
        <f t="shared" si="43"/>
        <v>0</v>
      </c>
      <c r="AT361" s="12">
        <f t="shared" si="45"/>
        <v>0</v>
      </c>
      <c r="AU361" s="12">
        <f t="shared" si="46"/>
        <v>0</v>
      </c>
      <c r="AV361" s="13" t="str">
        <f t="shared" si="47"/>
        <v/>
      </c>
      <c r="AY361" s="12">
        <f t="shared" si="48"/>
        <v>0</v>
      </c>
      <c r="AZ361" s="12">
        <f t="shared" si="49"/>
        <v>0</v>
      </c>
      <c r="BA361" s="12">
        <f t="shared" si="49"/>
        <v>0</v>
      </c>
      <c r="BB361" s="12">
        <f t="shared" si="49"/>
        <v>0</v>
      </c>
      <c r="BC361" s="12">
        <f t="shared" si="49"/>
        <v>0</v>
      </c>
      <c r="BD361" s="12">
        <f t="shared" si="50"/>
        <v>0</v>
      </c>
    </row>
    <row r="362" spans="1:56" ht="15" customHeight="1" x14ac:dyDescent="0.25">
      <c r="A362" s="137" t="s">
        <v>52</v>
      </c>
      <c r="B362" s="137" t="s">
        <v>679</v>
      </c>
      <c r="C362" s="137">
        <v>2018</v>
      </c>
      <c r="D362" s="137">
        <v>45.48</v>
      </c>
      <c r="E362" s="137">
        <v>1.0049999999999999</v>
      </c>
      <c r="F362" s="137" t="s">
        <v>193</v>
      </c>
      <c r="G362" s="137" t="s">
        <v>193</v>
      </c>
      <c r="H362" s="137" t="s">
        <v>193</v>
      </c>
      <c r="I362" s="137">
        <v>46.863999999999997</v>
      </c>
      <c r="J362" s="137" t="s">
        <v>193</v>
      </c>
      <c r="K362" s="137" t="s">
        <v>193</v>
      </c>
      <c r="L362" s="137" t="s">
        <v>193</v>
      </c>
      <c r="M362" s="137">
        <v>3.16</v>
      </c>
      <c r="N362" s="137" t="s">
        <v>193</v>
      </c>
      <c r="O362" s="137" t="s">
        <v>193</v>
      </c>
      <c r="P362" s="137" t="s">
        <v>193</v>
      </c>
      <c r="Q362" s="137" t="s">
        <v>193</v>
      </c>
      <c r="R362" s="137" t="s">
        <v>193</v>
      </c>
      <c r="S362" s="137">
        <v>10.574</v>
      </c>
      <c r="T362" s="137">
        <v>25.748999999999999</v>
      </c>
      <c r="U362" s="137" t="s">
        <v>193</v>
      </c>
      <c r="V362" s="137">
        <v>7.3810000000000002</v>
      </c>
      <c r="W362" s="137" t="s">
        <v>194</v>
      </c>
      <c r="X362" s="137" t="s">
        <v>193</v>
      </c>
      <c r="Y362" s="137" t="s">
        <v>193</v>
      </c>
      <c r="Z362" s="137" t="s">
        <v>193</v>
      </c>
      <c r="AA362" s="137" t="s">
        <v>193</v>
      </c>
      <c r="AB362" s="137" t="s">
        <v>193</v>
      </c>
      <c r="AC362" s="137" t="s">
        <v>193</v>
      </c>
      <c r="AD362" s="137" t="s">
        <v>193</v>
      </c>
      <c r="AE362" s="137" t="s">
        <v>193</v>
      </c>
      <c r="AF362" s="137" t="s">
        <v>193</v>
      </c>
      <c r="AG362" s="137" t="s">
        <v>193</v>
      </c>
      <c r="AH362" s="137" t="s">
        <v>199</v>
      </c>
      <c r="AI362" s="137" t="s">
        <v>193</v>
      </c>
      <c r="AJ362" s="137" t="s">
        <v>193</v>
      </c>
      <c r="AK362" s="137" t="s">
        <v>193</v>
      </c>
      <c r="AL362" s="137" t="s">
        <v>193</v>
      </c>
      <c r="AM362" s="137" t="s">
        <v>193</v>
      </c>
      <c r="AN362" s="137" t="s">
        <v>193</v>
      </c>
      <c r="AO362" s="137" t="s">
        <v>193</v>
      </c>
      <c r="AQ362" s="12">
        <f t="shared" si="44"/>
        <v>46.863999999999997</v>
      </c>
      <c r="AR362" s="12">
        <f t="shared" si="43"/>
        <v>46.863999999999997</v>
      </c>
      <c r="AT362" s="12">
        <f t="shared" si="45"/>
        <v>45.48</v>
      </c>
      <c r="AU362" s="12">
        <f t="shared" si="46"/>
        <v>1.0049999999999999</v>
      </c>
      <c r="AV362" s="13">
        <f t="shared" si="47"/>
        <v>0.99191276886309321</v>
      </c>
      <c r="AY362" s="12">
        <f t="shared" si="48"/>
        <v>0</v>
      </c>
      <c r="AZ362" s="12">
        <f t="shared" si="49"/>
        <v>0</v>
      </c>
      <c r="BA362" s="12">
        <f t="shared" si="49"/>
        <v>0</v>
      </c>
      <c r="BB362" s="12">
        <f t="shared" si="49"/>
        <v>0</v>
      </c>
      <c r="BC362" s="12">
        <f t="shared" si="49"/>
        <v>0</v>
      </c>
      <c r="BD362" s="12">
        <f t="shared" si="50"/>
        <v>0</v>
      </c>
    </row>
    <row r="363" spans="1:56" ht="15" customHeight="1" x14ac:dyDescent="0.25">
      <c r="A363" s="137" t="s">
        <v>52</v>
      </c>
      <c r="B363" s="137" t="s">
        <v>680</v>
      </c>
      <c r="C363" s="137">
        <v>2018</v>
      </c>
      <c r="D363" s="137">
        <v>107.117</v>
      </c>
      <c r="E363" s="137">
        <v>28.547999999999998</v>
      </c>
      <c r="F363" s="137" t="s">
        <v>193</v>
      </c>
      <c r="G363" s="137" t="s">
        <v>193</v>
      </c>
      <c r="H363" s="137" t="s">
        <v>193</v>
      </c>
      <c r="I363" s="137">
        <v>171.589</v>
      </c>
      <c r="J363" s="137" t="s">
        <v>193</v>
      </c>
      <c r="K363" s="137" t="s">
        <v>193</v>
      </c>
      <c r="L363" s="137" t="s">
        <v>193</v>
      </c>
      <c r="M363" s="137" t="s">
        <v>193</v>
      </c>
      <c r="N363" s="137" t="s">
        <v>193</v>
      </c>
      <c r="O363" s="137" t="s">
        <v>193</v>
      </c>
      <c r="P363" s="137" t="s">
        <v>193</v>
      </c>
      <c r="Q363" s="137">
        <v>0.79800000000000004</v>
      </c>
      <c r="R363" s="137">
        <v>99.41</v>
      </c>
      <c r="S363" s="137">
        <v>5.6000000000000001E-2</v>
      </c>
      <c r="T363" s="137">
        <v>49.9</v>
      </c>
      <c r="U363" s="137" t="s">
        <v>193</v>
      </c>
      <c r="V363" s="137">
        <v>17.398</v>
      </c>
      <c r="W363" s="137" t="s">
        <v>194</v>
      </c>
      <c r="X363" s="137" t="s">
        <v>193</v>
      </c>
      <c r="Y363" s="137" t="s">
        <v>193</v>
      </c>
      <c r="Z363" s="137" t="s">
        <v>193</v>
      </c>
      <c r="AA363" s="137">
        <v>1.105</v>
      </c>
      <c r="AB363" s="137" t="s">
        <v>193</v>
      </c>
      <c r="AC363" s="137" t="s">
        <v>193</v>
      </c>
      <c r="AD363" s="137" t="s">
        <v>193</v>
      </c>
      <c r="AE363" s="137" t="s">
        <v>193</v>
      </c>
      <c r="AF363" s="137" t="s">
        <v>193</v>
      </c>
      <c r="AG363" s="137" t="s">
        <v>193</v>
      </c>
      <c r="AH363" s="137" t="s">
        <v>199</v>
      </c>
      <c r="AI363" s="137" t="s">
        <v>193</v>
      </c>
      <c r="AJ363" s="137">
        <v>2.9220000000000002</v>
      </c>
      <c r="AK363" s="137" t="s">
        <v>193</v>
      </c>
      <c r="AL363" s="137">
        <v>100</v>
      </c>
      <c r="AM363" s="137" t="s">
        <v>193</v>
      </c>
      <c r="AN363" s="137" t="s">
        <v>193</v>
      </c>
      <c r="AO363" s="137" t="s">
        <v>193</v>
      </c>
      <c r="AQ363" s="12">
        <f t="shared" si="44"/>
        <v>171.58899999999997</v>
      </c>
      <c r="AR363" s="12">
        <f t="shared" si="43"/>
        <v>171.58899999999997</v>
      </c>
      <c r="AT363" s="12">
        <f t="shared" si="45"/>
        <v>107.117</v>
      </c>
      <c r="AU363" s="12">
        <f t="shared" si="46"/>
        <v>28.547999999999998</v>
      </c>
      <c r="AV363" s="13">
        <f t="shared" si="47"/>
        <v>0.79063926009243024</v>
      </c>
      <c r="AY363" s="12">
        <f t="shared" si="48"/>
        <v>0</v>
      </c>
      <c r="AZ363" s="12">
        <f t="shared" si="49"/>
        <v>0</v>
      </c>
      <c r="BA363" s="12">
        <f t="shared" si="49"/>
        <v>0</v>
      </c>
      <c r="BB363" s="12">
        <f t="shared" si="49"/>
        <v>0</v>
      </c>
      <c r="BC363" s="12">
        <f t="shared" si="49"/>
        <v>0</v>
      </c>
      <c r="BD363" s="12">
        <f t="shared" si="50"/>
        <v>0</v>
      </c>
    </row>
    <row r="364" spans="1:56" ht="15" customHeight="1" x14ac:dyDescent="0.25">
      <c r="A364" s="137" t="s">
        <v>52</v>
      </c>
      <c r="B364" s="137" t="s">
        <v>681</v>
      </c>
      <c r="C364" s="137">
        <v>2018</v>
      </c>
      <c r="D364" s="137" t="s">
        <v>193</v>
      </c>
      <c r="E364" s="137" t="s">
        <v>193</v>
      </c>
      <c r="F364" s="137" t="s">
        <v>193</v>
      </c>
      <c r="G364" s="137" t="s">
        <v>193</v>
      </c>
      <c r="H364" s="137" t="s">
        <v>193</v>
      </c>
      <c r="I364" s="137" t="s">
        <v>193</v>
      </c>
      <c r="J364" s="137" t="s">
        <v>193</v>
      </c>
      <c r="K364" s="137" t="s">
        <v>193</v>
      </c>
      <c r="L364" s="137" t="s">
        <v>193</v>
      </c>
      <c r="M364" s="137" t="s">
        <v>193</v>
      </c>
      <c r="N364" s="137" t="s">
        <v>193</v>
      </c>
      <c r="O364" s="137" t="s">
        <v>193</v>
      </c>
      <c r="P364" s="137" t="s">
        <v>193</v>
      </c>
      <c r="Q364" s="137" t="s">
        <v>193</v>
      </c>
      <c r="R364" s="137" t="s">
        <v>193</v>
      </c>
      <c r="S364" s="137" t="s">
        <v>193</v>
      </c>
      <c r="T364" s="137" t="s">
        <v>193</v>
      </c>
      <c r="U364" s="137" t="s">
        <v>193</v>
      </c>
      <c r="V364" s="137" t="s">
        <v>193</v>
      </c>
      <c r="W364" s="137" t="s">
        <v>193</v>
      </c>
      <c r="X364" s="137" t="s">
        <v>193</v>
      </c>
      <c r="Y364" s="137" t="s">
        <v>193</v>
      </c>
      <c r="Z364" s="137" t="s">
        <v>193</v>
      </c>
      <c r="AA364" s="137" t="s">
        <v>193</v>
      </c>
      <c r="AB364" s="137" t="s">
        <v>193</v>
      </c>
      <c r="AC364" s="137" t="s">
        <v>193</v>
      </c>
      <c r="AD364" s="137" t="s">
        <v>193</v>
      </c>
      <c r="AE364" s="137" t="s">
        <v>193</v>
      </c>
      <c r="AF364" s="137" t="s">
        <v>193</v>
      </c>
      <c r="AG364" s="137" t="s">
        <v>193</v>
      </c>
      <c r="AH364" s="137" t="s">
        <v>199</v>
      </c>
      <c r="AI364" s="137" t="s">
        <v>193</v>
      </c>
      <c r="AJ364" s="137" t="s">
        <v>193</v>
      </c>
      <c r="AK364" s="137" t="s">
        <v>193</v>
      </c>
      <c r="AL364" s="137" t="s">
        <v>193</v>
      </c>
      <c r="AM364" s="137" t="s">
        <v>193</v>
      </c>
      <c r="AN364" s="137" t="s">
        <v>193</v>
      </c>
      <c r="AO364" s="137" t="s">
        <v>193</v>
      </c>
      <c r="AQ364" s="12">
        <f t="shared" si="44"/>
        <v>0</v>
      </c>
      <c r="AR364" s="12">
        <f t="shared" si="43"/>
        <v>0</v>
      </c>
      <c r="AT364" s="12">
        <f t="shared" si="45"/>
        <v>0</v>
      </c>
      <c r="AU364" s="12">
        <f t="shared" si="46"/>
        <v>0</v>
      </c>
      <c r="AV364" s="13" t="str">
        <f t="shared" si="47"/>
        <v/>
      </c>
      <c r="AY364" s="12">
        <f t="shared" si="48"/>
        <v>0</v>
      </c>
      <c r="AZ364" s="12">
        <f t="shared" si="49"/>
        <v>0</v>
      </c>
      <c r="BA364" s="12">
        <f t="shared" si="49"/>
        <v>0</v>
      </c>
      <c r="BB364" s="12">
        <f t="shared" si="49"/>
        <v>0</v>
      </c>
      <c r="BC364" s="12">
        <f t="shared" si="49"/>
        <v>0</v>
      </c>
      <c r="BD364" s="12">
        <f t="shared" si="50"/>
        <v>0</v>
      </c>
    </row>
    <row r="365" spans="1:56" ht="15" customHeight="1" x14ac:dyDescent="0.25">
      <c r="A365" s="137" t="s">
        <v>52</v>
      </c>
      <c r="B365" s="137" t="s">
        <v>682</v>
      </c>
      <c r="C365" s="137">
        <v>2018</v>
      </c>
      <c r="D365" s="137" t="s">
        <v>193</v>
      </c>
      <c r="E365" s="137" t="s">
        <v>193</v>
      </c>
      <c r="F365" s="137" t="s">
        <v>193</v>
      </c>
      <c r="G365" s="137" t="s">
        <v>193</v>
      </c>
      <c r="H365" s="137" t="s">
        <v>193</v>
      </c>
      <c r="I365" s="137" t="s">
        <v>193</v>
      </c>
      <c r="J365" s="137" t="s">
        <v>193</v>
      </c>
      <c r="K365" s="137" t="s">
        <v>193</v>
      </c>
      <c r="L365" s="137" t="s">
        <v>193</v>
      </c>
      <c r="M365" s="137" t="s">
        <v>193</v>
      </c>
      <c r="N365" s="137" t="s">
        <v>193</v>
      </c>
      <c r="O365" s="137" t="s">
        <v>193</v>
      </c>
      <c r="P365" s="137" t="s">
        <v>193</v>
      </c>
      <c r="Q365" s="137" t="s">
        <v>193</v>
      </c>
      <c r="R365" s="137" t="s">
        <v>193</v>
      </c>
      <c r="S365" s="137" t="s">
        <v>193</v>
      </c>
      <c r="T365" s="137" t="s">
        <v>193</v>
      </c>
      <c r="U365" s="137" t="s">
        <v>193</v>
      </c>
      <c r="V365" s="137" t="s">
        <v>193</v>
      </c>
      <c r="W365" s="137" t="s">
        <v>193</v>
      </c>
      <c r="X365" s="137" t="s">
        <v>193</v>
      </c>
      <c r="Y365" s="137" t="s">
        <v>193</v>
      </c>
      <c r="Z365" s="137" t="s">
        <v>193</v>
      </c>
      <c r="AA365" s="137" t="s">
        <v>193</v>
      </c>
      <c r="AB365" s="137" t="s">
        <v>193</v>
      </c>
      <c r="AC365" s="137" t="s">
        <v>193</v>
      </c>
      <c r="AD365" s="137" t="s">
        <v>193</v>
      </c>
      <c r="AE365" s="137" t="s">
        <v>193</v>
      </c>
      <c r="AF365" s="137" t="s">
        <v>193</v>
      </c>
      <c r="AG365" s="137" t="s">
        <v>193</v>
      </c>
      <c r="AH365" s="137" t="s">
        <v>199</v>
      </c>
      <c r="AI365" s="137" t="s">
        <v>193</v>
      </c>
      <c r="AJ365" s="137" t="s">
        <v>193</v>
      </c>
      <c r="AK365" s="137" t="s">
        <v>193</v>
      </c>
      <c r="AL365" s="137" t="s">
        <v>193</v>
      </c>
      <c r="AM365" s="137" t="s">
        <v>193</v>
      </c>
      <c r="AN365" s="137" t="s">
        <v>193</v>
      </c>
      <c r="AO365" s="137" t="s">
        <v>193</v>
      </c>
      <c r="AQ365" s="12">
        <f t="shared" si="44"/>
        <v>0</v>
      </c>
      <c r="AR365" s="12">
        <f t="shared" si="43"/>
        <v>0</v>
      </c>
      <c r="AT365" s="12">
        <f t="shared" si="45"/>
        <v>0</v>
      </c>
      <c r="AU365" s="12">
        <f t="shared" si="46"/>
        <v>0</v>
      </c>
      <c r="AV365" s="13" t="str">
        <f t="shared" si="47"/>
        <v/>
      </c>
      <c r="AY365" s="12">
        <f t="shared" si="48"/>
        <v>0</v>
      </c>
      <c r="AZ365" s="12">
        <f t="shared" si="49"/>
        <v>0</v>
      </c>
      <c r="BA365" s="12">
        <f t="shared" si="49"/>
        <v>0</v>
      </c>
      <c r="BB365" s="12">
        <f t="shared" si="49"/>
        <v>0</v>
      </c>
      <c r="BC365" s="12">
        <f t="shared" si="49"/>
        <v>0</v>
      </c>
      <c r="BD365" s="12">
        <f t="shared" si="50"/>
        <v>0</v>
      </c>
    </row>
    <row r="366" spans="1:56" ht="15" customHeight="1" x14ac:dyDescent="0.25">
      <c r="A366" s="137" t="s">
        <v>52</v>
      </c>
      <c r="B366" s="137" t="s">
        <v>683</v>
      </c>
      <c r="C366" s="137">
        <v>2018</v>
      </c>
      <c r="D366" s="137" t="s">
        <v>193</v>
      </c>
      <c r="E366" s="137" t="s">
        <v>193</v>
      </c>
      <c r="F366" s="137" t="s">
        <v>193</v>
      </c>
      <c r="G366" s="137" t="s">
        <v>193</v>
      </c>
      <c r="H366" s="137" t="s">
        <v>193</v>
      </c>
      <c r="I366" s="137" t="s">
        <v>193</v>
      </c>
      <c r="J366" s="137" t="s">
        <v>193</v>
      </c>
      <c r="K366" s="137" t="s">
        <v>193</v>
      </c>
      <c r="L366" s="137" t="s">
        <v>193</v>
      </c>
      <c r="M366" s="137" t="s">
        <v>193</v>
      </c>
      <c r="N366" s="137" t="s">
        <v>193</v>
      </c>
      <c r="O366" s="137" t="s">
        <v>193</v>
      </c>
      <c r="P366" s="137" t="s">
        <v>193</v>
      </c>
      <c r="Q366" s="137" t="s">
        <v>193</v>
      </c>
      <c r="R366" s="137" t="s">
        <v>193</v>
      </c>
      <c r="S366" s="137" t="s">
        <v>193</v>
      </c>
      <c r="T366" s="137" t="s">
        <v>193</v>
      </c>
      <c r="U366" s="137" t="s">
        <v>193</v>
      </c>
      <c r="V366" s="137" t="s">
        <v>193</v>
      </c>
      <c r="W366" s="137" t="s">
        <v>193</v>
      </c>
      <c r="X366" s="137" t="s">
        <v>193</v>
      </c>
      <c r="Y366" s="137" t="s">
        <v>193</v>
      </c>
      <c r="Z366" s="137" t="s">
        <v>193</v>
      </c>
      <c r="AA366" s="137" t="s">
        <v>193</v>
      </c>
      <c r="AB366" s="137" t="s">
        <v>193</v>
      </c>
      <c r="AC366" s="137" t="s">
        <v>193</v>
      </c>
      <c r="AD366" s="137" t="s">
        <v>193</v>
      </c>
      <c r="AE366" s="137" t="s">
        <v>193</v>
      </c>
      <c r="AF366" s="137" t="s">
        <v>193</v>
      </c>
      <c r="AG366" s="137" t="s">
        <v>193</v>
      </c>
      <c r="AH366" s="137" t="s">
        <v>199</v>
      </c>
      <c r="AI366" s="137" t="s">
        <v>193</v>
      </c>
      <c r="AJ366" s="137" t="s">
        <v>193</v>
      </c>
      <c r="AK366" s="137" t="s">
        <v>193</v>
      </c>
      <c r="AL366" s="137" t="s">
        <v>193</v>
      </c>
      <c r="AM366" s="137" t="s">
        <v>193</v>
      </c>
      <c r="AN366" s="137" t="s">
        <v>193</v>
      </c>
      <c r="AO366" s="137" t="s">
        <v>193</v>
      </c>
      <c r="AQ366" s="12">
        <f t="shared" si="44"/>
        <v>0</v>
      </c>
      <c r="AR366" s="12">
        <f t="shared" si="43"/>
        <v>0</v>
      </c>
      <c r="AT366" s="12">
        <f t="shared" si="45"/>
        <v>0</v>
      </c>
      <c r="AU366" s="12">
        <f t="shared" si="46"/>
        <v>0</v>
      </c>
      <c r="AV366" s="13" t="str">
        <f t="shared" si="47"/>
        <v/>
      </c>
      <c r="AY366" s="12">
        <f t="shared" si="48"/>
        <v>0</v>
      </c>
      <c r="AZ366" s="12">
        <f t="shared" si="49"/>
        <v>0</v>
      </c>
      <c r="BA366" s="12">
        <f t="shared" si="49"/>
        <v>0</v>
      </c>
      <c r="BB366" s="12">
        <f t="shared" si="49"/>
        <v>0</v>
      </c>
      <c r="BC366" s="12">
        <f t="shared" si="49"/>
        <v>0</v>
      </c>
      <c r="BD366" s="12">
        <f t="shared" si="50"/>
        <v>0</v>
      </c>
    </row>
    <row r="367" spans="1:56" ht="15" customHeight="1" x14ac:dyDescent="0.25">
      <c r="A367" s="137" t="s">
        <v>52</v>
      </c>
      <c r="B367" s="137" t="s">
        <v>684</v>
      </c>
      <c r="C367" s="137">
        <v>2018</v>
      </c>
      <c r="D367" s="137" t="s">
        <v>193</v>
      </c>
      <c r="E367" s="137" t="s">
        <v>193</v>
      </c>
      <c r="F367" s="137" t="s">
        <v>193</v>
      </c>
      <c r="G367" s="137" t="s">
        <v>193</v>
      </c>
      <c r="H367" s="137" t="s">
        <v>193</v>
      </c>
      <c r="I367" s="137" t="s">
        <v>193</v>
      </c>
      <c r="J367" s="137" t="s">
        <v>193</v>
      </c>
      <c r="K367" s="137" t="s">
        <v>193</v>
      </c>
      <c r="L367" s="137" t="s">
        <v>193</v>
      </c>
      <c r="M367" s="137" t="s">
        <v>193</v>
      </c>
      <c r="N367" s="137" t="s">
        <v>193</v>
      </c>
      <c r="O367" s="137" t="s">
        <v>193</v>
      </c>
      <c r="P367" s="137" t="s">
        <v>193</v>
      </c>
      <c r="Q367" s="137" t="s">
        <v>193</v>
      </c>
      <c r="R367" s="137" t="s">
        <v>193</v>
      </c>
      <c r="S367" s="137" t="s">
        <v>193</v>
      </c>
      <c r="T367" s="137" t="s">
        <v>193</v>
      </c>
      <c r="U367" s="137" t="s">
        <v>193</v>
      </c>
      <c r="V367" s="137" t="s">
        <v>193</v>
      </c>
      <c r="W367" s="137" t="s">
        <v>193</v>
      </c>
      <c r="X367" s="137" t="s">
        <v>193</v>
      </c>
      <c r="Y367" s="137" t="s">
        <v>193</v>
      </c>
      <c r="Z367" s="137" t="s">
        <v>193</v>
      </c>
      <c r="AA367" s="137" t="s">
        <v>193</v>
      </c>
      <c r="AB367" s="137" t="s">
        <v>193</v>
      </c>
      <c r="AC367" s="137" t="s">
        <v>193</v>
      </c>
      <c r="AD367" s="137" t="s">
        <v>193</v>
      </c>
      <c r="AE367" s="137" t="s">
        <v>193</v>
      </c>
      <c r="AF367" s="137" t="s">
        <v>193</v>
      </c>
      <c r="AG367" s="137" t="s">
        <v>193</v>
      </c>
      <c r="AH367" s="137" t="s">
        <v>199</v>
      </c>
      <c r="AI367" s="137" t="s">
        <v>193</v>
      </c>
      <c r="AJ367" s="137" t="s">
        <v>193</v>
      </c>
      <c r="AK367" s="137" t="s">
        <v>193</v>
      </c>
      <c r="AL367" s="137" t="s">
        <v>193</v>
      </c>
      <c r="AM367" s="137" t="s">
        <v>193</v>
      </c>
      <c r="AN367" s="137" t="s">
        <v>193</v>
      </c>
      <c r="AO367" s="137" t="s">
        <v>193</v>
      </c>
      <c r="AQ367" s="12">
        <f t="shared" si="44"/>
        <v>0</v>
      </c>
      <c r="AR367" s="12">
        <f t="shared" si="43"/>
        <v>0</v>
      </c>
      <c r="AT367" s="12">
        <f t="shared" si="45"/>
        <v>0</v>
      </c>
      <c r="AU367" s="12">
        <f t="shared" si="46"/>
        <v>0</v>
      </c>
      <c r="AV367" s="13" t="str">
        <f t="shared" si="47"/>
        <v/>
      </c>
      <c r="AY367" s="12">
        <f t="shared" si="48"/>
        <v>0</v>
      </c>
      <c r="AZ367" s="12">
        <f t="shared" si="49"/>
        <v>0</v>
      </c>
      <c r="BA367" s="12">
        <f t="shared" si="49"/>
        <v>0</v>
      </c>
      <c r="BB367" s="12">
        <f t="shared" si="49"/>
        <v>0</v>
      </c>
      <c r="BC367" s="12">
        <f t="shared" si="49"/>
        <v>0</v>
      </c>
      <c r="BD367" s="12">
        <f t="shared" si="50"/>
        <v>0</v>
      </c>
    </row>
    <row r="368" spans="1:56" ht="15" customHeight="1" x14ac:dyDescent="0.25">
      <c r="A368" s="137" t="s">
        <v>52</v>
      </c>
      <c r="B368" s="137" t="s">
        <v>685</v>
      </c>
      <c r="C368" s="137">
        <v>2018</v>
      </c>
      <c r="D368" s="137">
        <v>10.739000000000001</v>
      </c>
      <c r="E368" s="137">
        <v>2.5920000000000001</v>
      </c>
      <c r="F368" s="137" t="s">
        <v>193</v>
      </c>
      <c r="G368" s="137" t="s">
        <v>193</v>
      </c>
      <c r="H368" s="137" t="s">
        <v>193</v>
      </c>
      <c r="I368" s="137">
        <v>12.500999999999999</v>
      </c>
      <c r="J368" s="137" t="s">
        <v>193</v>
      </c>
      <c r="K368" s="137">
        <v>7.0999999999999994E-2</v>
      </c>
      <c r="L368" s="137" t="s">
        <v>193</v>
      </c>
      <c r="M368" s="137">
        <v>8.7999999999999995E-2</v>
      </c>
      <c r="N368" s="137" t="s">
        <v>193</v>
      </c>
      <c r="O368" s="137" t="s">
        <v>193</v>
      </c>
      <c r="P368" s="137" t="s">
        <v>193</v>
      </c>
      <c r="Q368" s="137">
        <v>0.56699999999999995</v>
      </c>
      <c r="R368" s="137" t="s">
        <v>193</v>
      </c>
      <c r="S368" s="137">
        <v>0.79400000000000004</v>
      </c>
      <c r="T368" s="137" t="s">
        <v>193</v>
      </c>
      <c r="U368" s="137" t="s">
        <v>193</v>
      </c>
      <c r="V368" s="137" t="s">
        <v>193</v>
      </c>
      <c r="W368" s="137" t="s">
        <v>194</v>
      </c>
      <c r="X368" s="137" t="s">
        <v>193</v>
      </c>
      <c r="Y368" s="137" t="s">
        <v>193</v>
      </c>
      <c r="Z368" s="137" t="s">
        <v>193</v>
      </c>
      <c r="AA368" s="137">
        <v>10.079000000000001</v>
      </c>
      <c r="AB368" s="137" t="s">
        <v>193</v>
      </c>
      <c r="AC368" s="137" t="s">
        <v>193</v>
      </c>
      <c r="AD368" s="137" t="s">
        <v>193</v>
      </c>
      <c r="AE368" s="137" t="s">
        <v>193</v>
      </c>
      <c r="AF368" s="137">
        <v>0.90200000000000002</v>
      </c>
      <c r="AG368" s="137" t="s">
        <v>193</v>
      </c>
      <c r="AH368" s="137" t="s">
        <v>199</v>
      </c>
      <c r="AI368" s="137" t="s">
        <v>193</v>
      </c>
      <c r="AJ368" s="137" t="s">
        <v>193</v>
      </c>
      <c r="AK368" s="137" t="s">
        <v>193</v>
      </c>
      <c r="AL368" s="137" t="s">
        <v>193</v>
      </c>
      <c r="AM368" s="137" t="s">
        <v>193</v>
      </c>
      <c r="AN368" s="137" t="s">
        <v>193</v>
      </c>
      <c r="AO368" s="137" t="s">
        <v>193</v>
      </c>
      <c r="AQ368" s="12">
        <f t="shared" si="44"/>
        <v>12.500999999999999</v>
      </c>
      <c r="AR368" s="12">
        <f t="shared" si="43"/>
        <v>12.500999999999999</v>
      </c>
      <c r="AT368" s="12">
        <f t="shared" si="45"/>
        <v>10.739000000000001</v>
      </c>
      <c r="AU368" s="12">
        <f t="shared" si="46"/>
        <v>2.5920000000000001</v>
      </c>
      <c r="AV368" s="13">
        <f t="shared" si="47"/>
        <v>1.0663946884249262</v>
      </c>
      <c r="AY368" s="12">
        <f t="shared" si="48"/>
        <v>0</v>
      </c>
      <c r="AZ368" s="12">
        <f t="shared" si="49"/>
        <v>0</v>
      </c>
      <c r="BA368" s="12">
        <f t="shared" si="49"/>
        <v>0</v>
      </c>
      <c r="BB368" s="12">
        <f t="shared" si="49"/>
        <v>0</v>
      </c>
      <c r="BC368" s="12">
        <f t="shared" si="49"/>
        <v>0</v>
      </c>
      <c r="BD368" s="12">
        <f t="shared" si="50"/>
        <v>0</v>
      </c>
    </row>
    <row r="369" spans="1:56" ht="15" customHeight="1" x14ac:dyDescent="0.25">
      <c r="A369" s="137" t="s">
        <v>52</v>
      </c>
      <c r="B369" s="137" t="s">
        <v>686</v>
      </c>
      <c r="C369" s="137">
        <v>2018</v>
      </c>
      <c r="D369" s="137" t="s">
        <v>193</v>
      </c>
      <c r="E369" s="137" t="s">
        <v>193</v>
      </c>
      <c r="F369" s="137" t="s">
        <v>193</v>
      </c>
      <c r="G369" s="137" t="s">
        <v>193</v>
      </c>
      <c r="H369" s="137" t="s">
        <v>193</v>
      </c>
      <c r="I369" s="137" t="s">
        <v>193</v>
      </c>
      <c r="J369" s="137" t="s">
        <v>193</v>
      </c>
      <c r="K369" s="137" t="s">
        <v>193</v>
      </c>
      <c r="L369" s="137" t="s">
        <v>193</v>
      </c>
      <c r="M369" s="137" t="s">
        <v>193</v>
      </c>
      <c r="N369" s="137" t="s">
        <v>193</v>
      </c>
      <c r="O369" s="137" t="s">
        <v>193</v>
      </c>
      <c r="P369" s="137" t="s">
        <v>193</v>
      </c>
      <c r="Q369" s="137" t="s">
        <v>193</v>
      </c>
      <c r="R369" s="137" t="s">
        <v>193</v>
      </c>
      <c r="S369" s="137" t="s">
        <v>193</v>
      </c>
      <c r="T369" s="137" t="s">
        <v>193</v>
      </c>
      <c r="U369" s="137" t="s">
        <v>193</v>
      </c>
      <c r="V369" s="137" t="s">
        <v>193</v>
      </c>
      <c r="W369" s="137" t="s">
        <v>193</v>
      </c>
      <c r="X369" s="137" t="s">
        <v>193</v>
      </c>
      <c r="Y369" s="137" t="s">
        <v>193</v>
      </c>
      <c r="Z369" s="137" t="s">
        <v>193</v>
      </c>
      <c r="AA369" s="137" t="s">
        <v>193</v>
      </c>
      <c r="AB369" s="137" t="s">
        <v>193</v>
      </c>
      <c r="AC369" s="137" t="s">
        <v>193</v>
      </c>
      <c r="AD369" s="137" t="s">
        <v>193</v>
      </c>
      <c r="AE369" s="137" t="s">
        <v>193</v>
      </c>
      <c r="AF369" s="137" t="s">
        <v>193</v>
      </c>
      <c r="AG369" s="137" t="s">
        <v>193</v>
      </c>
      <c r="AH369" s="137" t="s">
        <v>199</v>
      </c>
      <c r="AI369" s="137" t="s">
        <v>193</v>
      </c>
      <c r="AJ369" s="137" t="s">
        <v>193</v>
      </c>
      <c r="AK369" s="137" t="s">
        <v>193</v>
      </c>
      <c r="AL369" s="137" t="s">
        <v>193</v>
      </c>
      <c r="AM369" s="137" t="s">
        <v>193</v>
      </c>
      <c r="AN369" s="137" t="s">
        <v>193</v>
      </c>
      <c r="AO369" s="137" t="s">
        <v>193</v>
      </c>
      <c r="AQ369" s="12">
        <f t="shared" si="44"/>
        <v>0</v>
      </c>
      <c r="AR369" s="12">
        <f t="shared" si="43"/>
        <v>0</v>
      </c>
      <c r="AT369" s="12">
        <f t="shared" si="45"/>
        <v>0</v>
      </c>
      <c r="AU369" s="12">
        <f t="shared" si="46"/>
        <v>0</v>
      </c>
      <c r="AV369" s="13" t="str">
        <f t="shared" si="47"/>
        <v/>
      </c>
      <c r="AY369" s="12">
        <f t="shared" si="48"/>
        <v>0</v>
      </c>
      <c r="AZ369" s="12">
        <f t="shared" si="49"/>
        <v>0</v>
      </c>
      <c r="BA369" s="12">
        <f t="shared" si="49"/>
        <v>0</v>
      </c>
      <c r="BB369" s="12">
        <f t="shared" si="49"/>
        <v>0</v>
      </c>
      <c r="BC369" s="12">
        <f t="shared" si="49"/>
        <v>0</v>
      </c>
      <c r="BD369" s="12">
        <f t="shared" si="50"/>
        <v>0</v>
      </c>
    </row>
    <row r="370" spans="1:56" ht="15" customHeight="1" x14ac:dyDescent="0.25">
      <c r="A370" s="137" t="s">
        <v>52</v>
      </c>
      <c r="B370" s="137" t="s">
        <v>687</v>
      </c>
      <c r="C370" s="137">
        <v>2018</v>
      </c>
      <c r="D370" s="137" t="s">
        <v>193</v>
      </c>
      <c r="E370" s="137" t="s">
        <v>193</v>
      </c>
      <c r="F370" s="137" t="s">
        <v>193</v>
      </c>
      <c r="G370" s="137" t="s">
        <v>193</v>
      </c>
      <c r="H370" s="137" t="s">
        <v>193</v>
      </c>
      <c r="I370" s="137" t="s">
        <v>193</v>
      </c>
      <c r="J370" s="137" t="s">
        <v>193</v>
      </c>
      <c r="K370" s="137" t="s">
        <v>193</v>
      </c>
      <c r="L370" s="137" t="s">
        <v>193</v>
      </c>
      <c r="M370" s="137" t="s">
        <v>193</v>
      </c>
      <c r="N370" s="137" t="s">
        <v>193</v>
      </c>
      <c r="O370" s="137" t="s">
        <v>193</v>
      </c>
      <c r="P370" s="137" t="s">
        <v>193</v>
      </c>
      <c r="Q370" s="137" t="s">
        <v>193</v>
      </c>
      <c r="R370" s="137" t="s">
        <v>193</v>
      </c>
      <c r="S370" s="137" t="s">
        <v>193</v>
      </c>
      <c r="T370" s="137" t="s">
        <v>193</v>
      </c>
      <c r="U370" s="137" t="s">
        <v>193</v>
      </c>
      <c r="V370" s="137" t="s">
        <v>193</v>
      </c>
      <c r="W370" s="137" t="s">
        <v>193</v>
      </c>
      <c r="X370" s="137" t="s">
        <v>193</v>
      </c>
      <c r="Y370" s="137" t="s">
        <v>193</v>
      </c>
      <c r="Z370" s="137" t="s">
        <v>193</v>
      </c>
      <c r="AA370" s="137" t="s">
        <v>193</v>
      </c>
      <c r="AB370" s="137" t="s">
        <v>193</v>
      </c>
      <c r="AC370" s="137" t="s">
        <v>193</v>
      </c>
      <c r="AD370" s="137" t="s">
        <v>193</v>
      </c>
      <c r="AE370" s="137" t="s">
        <v>193</v>
      </c>
      <c r="AF370" s="137" t="s">
        <v>193</v>
      </c>
      <c r="AG370" s="137" t="s">
        <v>193</v>
      </c>
      <c r="AH370" s="137" t="s">
        <v>199</v>
      </c>
      <c r="AI370" s="137" t="s">
        <v>193</v>
      </c>
      <c r="AJ370" s="137" t="s">
        <v>193</v>
      </c>
      <c r="AK370" s="137" t="s">
        <v>193</v>
      </c>
      <c r="AL370" s="137" t="s">
        <v>193</v>
      </c>
      <c r="AM370" s="137" t="s">
        <v>193</v>
      </c>
      <c r="AN370" s="137" t="s">
        <v>193</v>
      </c>
      <c r="AO370" s="137" t="s">
        <v>193</v>
      </c>
      <c r="AQ370" s="12">
        <f t="shared" si="44"/>
        <v>0</v>
      </c>
      <c r="AR370" s="12">
        <f t="shared" si="43"/>
        <v>0</v>
      </c>
      <c r="AT370" s="12">
        <f t="shared" si="45"/>
        <v>0</v>
      </c>
      <c r="AU370" s="12">
        <f t="shared" si="46"/>
        <v>0</v>
      </c>
      <c r="AV370" s="13" t="str">
        <f t="shared" si="47"/>
        <v/>
      </c>
      <c r="AY370" s="12">
        <f t="shared" si="48"/>
        <v>0</v>
      </c>
      <c r="AZ370" s="12">
        <f t="shared" si="49"/>
        <v>0</v>
      </c>
      <c r="BA370" s="12">
        <f t="shared" si="49"/>
        <v>0</v>
      </c>
      <c r="BB370" s="12">
        <f t="shared" si="49"/>
        <v>0</v>
      </c>
      <c r="BC370" s="12">
        <f t="shared" si="49"/>
        <v>0</v>
      </c>
      <c r="BD370" s="12">
        <f t="shared" si="50"/>
        <v>0</v>
      </c>
    </row>
    <row r="371" spans="1:56" ht="15" customHeight="1" x14ac:dyDescent="0.25">
      <c r="A371" s="137" t="s">
        <v>52</v>
      </c>
      <c r="B371" s="137" t="s">
        <v>688</v>
      </c>
      <c r="C371" s="137">
        <v>2018</v>
      </c>
      <c r="D371" s="137" t="s">
        <v>193</v>
      </c>
      <c r="E371" s="137" t="s">
        <v>193</v>
      </c>
      <c r="F371" s="137" t="s">
        <v>193</v>
      </c>
      <c r="G371" s="137" t="s">
        <v>193</v>
      </c>
      <c r="H371" s="137" t="s">
        <v>193</v>
      </c>
      <c r="I371" s="137" t="s">
        <v>193</v>
      </c>
      <c r="J371" s="137" t="s">
        <v>193</v>
      </c>
      <c r="K371" s="137" t="s">
        <v>193</v>
      </c>
      <c r="L371" s="137" t="s">
        <v>193</v>
      </c>
      <c r="M371" s="137" t="s">
        <v>193</v>
      </c>
      <c r="N371" s="137" t="s">
        <v>193</v>
      </c>
      <c r="O371" s="137" t="s">
        <v>193</v>
      </c>
      <c r="P371" s="137" t="s">
        <v>193</v>
      </c>
      <c r="Q371" s="137" t="s">
        <v>193</v>
      </c>
      <c r="R371" s="137" t="s">
        <v>193</v>
      </c>
      <c r="S371" s="137" t="s">
        <v>193</v>
      </c>
      <c r="T371" s="137" t="s">
        <v>193</v>
      </c>
      <c r="U371" s="137" t="s">
        <v>193</v>
      </c>
      <c r="V371" s="137" t="s">
        <v>193</v>
      </c>
      <c r="W371" s="137" t="s">
        <v>193</v>
      </c>
      <c r="X371" s="137" t="s">
        <v>193</v>
      </c>
      <c r="Y371" s="137" t="s">
        <v>193</v>
      </c>
      <c r="Z371" s="137" t="s">
        <v>193</v>
      </c>
      <c r="AA371" s="137" t="s">
        <v>193</v>
      </c>
      <c r="AB371" s="137" t="s">
        <v>193</v>
      </c>
      <c r="AC371" s="137" t="s">
        <v>193</v>
      </c>
      <c r="AD371" s="137" t="s">
        <v>193</v>
      </c>
      <c r="AE371" s="137" t="s">
        <v>193</v>
      </c>
      <c r="AF371" s="137" t="s">
        <v>193</v>
      </c>
      <c r="AG371" s="137" t="s">
        <v>193</v>
      </c>
      <c r="AH371" s="137" t="s">
        <v>199</v>
      </c>
      <c r="AI371" s="137" t="s">
        <v>193</v>
      </c>
      <c r="AJ371" s="137" t="s">
        <v>193</v>
      </c>
      <c r="AK371" s="137" t="s">
        <v>193</v>
      </c>
      <c r="AL371" s="137" t="s">
        <v>193</v>
      </c>
      <c r="AM371" s="137" t="s">
        <v>193</v>
      </c>
      <c r="AN371" s="137" t="s">
        <v>193</v>
      </c>
      <c r="AO371" s="137" t="s">
        <v>193</v>
      </c>
      <c r="AQ371" s="12">
        <f t="shared" si="44"/>
        <v>0</v>
      </c>
      <c r="AR371" s="12">
        <f t="shared" si="43"/>
        <v>0</v>
      </c>
      <c r="AT371" s="12">
        <f t="shared" si="45"/>
        <v>0</v>
      </c>
      <c r="AU371" s="12">
        <f t="shared" si="46"/>
        <v>0</v>
      </c>
      <c r="AV371" s="13" t="str">
        <f t="shared" si="47"/>
        <v/>
      </c>
      <c r="AY371" s="12">
        <f t="shared" si="48"/>
        <v>0</v>
      </c>
      <c r="AZ371" s="12">
        <f t="shared" si="49"/>
        <v>0</v>
      </c>
      <c r="BA371" s="12">
        <f t="shared" si="49"/>
        <v>0</v>
      </c>
      <c r="BB371" s="12">
        <f t="shared" si="49"/>
        <v>0</v>
      </c>
      <c r="BC371" s="12">
        <f t="shared" si="49"/>
        <v>0</v>
      </c>
      <c r="BD371" s="12">
        <f t="shared" si="50"/>
        <v>0</v>
      </c>
    </row>
    <row r="372" spans="1:56" ht="15" customHeight="1" x14ac:dyDescent="0.25">
      <c r="A372" s="137" t="s">
        <v>52</v>
      </c>
      <c r="B372" s="137" t="s">
        <v>689</v>
      </c>
      <c r="C372" s="137">
        <v>2018</v>
      </c>
      <c r="D372" s="137" t="s">
        <v>193</v>
      </c>
      <c r="E372" s="137" t="s">
        <v>193</v>
      </c>
      <c r="F372" s="137" t="s">
        <v>193</v>
      </c>
      <c r="G372" s="137" t="s">
        <v>193</v>
      </c>
      <c r="H372" s="137" t="s">
        <v>193</v>
      </c>
      <c r="I372" s="137" t="s">
        <v>193</v>
      </c>
      <c r="J372" s="137" t="s">
        <v>193</v>
      </c>
      <c r="K372" s="137" t="s">
        <v>193</v>
      </c>
      <c r="L372" s="137" t="s">
        <v>193</v>
      </c>
      <c r="M372" s="137" t="s">
        <v>193</v>
      </c>
      <c r="N372" s="137" t="s">
        <v>193</v>
      </c>
      <c r="O372" s="137" t="s">
        <v>193</v>
      </c>
      <c r="P372" s="137" t="s">
        <v>193</v>
      </c>
      <c r="Q372" s="137" t="s">
        <v>193</v>
      </c>
      <c r="R372" s="137" t="s">
        <v>193</v>
      </c>
      <c r="S372" s="137" t="s">
        <v>193</v>
      </c>
      <c r="T372" s="137" t="s">
        <v>193</v>
      </c>
      <c r="U372" s="137" t="s">
        <v>193</v>
      </c>
      <c r="V372" s="137" t="s">
        <v>193</v>
      </c>
      <c r="W372" s="137" t="s">
        <v>193</v>
      </c>
      <c r="X372" s="137" t="s">
        <v>193</v>
      </c>
      <c r="Y372" s="137" t="s">
        <v>193</v>
      </c>
      <c r="Z372" s="137" t="s">
        <v>193</v>
      </c>
      <c r="AA372" s="137" t="s">
        <v>193</v>
      </c>
      <c r="AB372" s="137" t="s">
        <v>193</v>
      </c>
      <c r="AC372" s="137" t="s">
        <v>193</v>
      </c>
      <c r="AD372" s="137" t="s">
        <v>193</v>
      </c>
      <c r="AE372" s="137" t="s">
        <v>193</v>
      </c>
      <c r="AF372" s="137" t="s">
        <v>193</v>
      </c>
      <c r="AG372" s="137" t="s">
        <v>193</v>
      </c>
      <c r="AH372" s="137" t="s">
        <v>199</v>
      </c>
      <c r="AI372" s="137" t="s">
        <v>193</v>
      </c>
      <c r="AJ372" s="137" t="s">
        <v>193</v>
      </c>
      <c r="AK372" s="137" t="s">
        <v>193</v>
      </c>
      <c r="AL372" s="137" t="s">
        <v>193</v>
      </c>
      <c r="AM372" s="137" t="s">
        <v>193</v>
      </c>
      <c r="AN372" s="137" t="s">
        <v>193</v>
      </c>
      <c r="AO372" s="137" t="s">
        <v>193</v>
      </c>
      <c r="AQ372" s="12">
        <f t="shared" si="44"/>
        <v>0</v>
      </c>
      <c r="AR372" s="12">
        <f t="shared" si="43"/>
        <v>0</v>
      </c>
      <c r="AT372" s="12">
        <f t="shared" si="45"/>
        <v>0</v>
      </c>
      <c r="AU372" s="12">
        <f t="shared" si="46"/>
        <v>0</v>
      </c>
      <c r="AV372" s="13" t="str">
        <f t="shared" si="47"/>
        <v/>
      </c>
      <c r="AY372" s="12">
        <f t="shared" si="48"/>
        <v>0</v>
      </c>
      <c r="AZ372" s="12">
        <f t="shared" si="49"/>
        <v>0</v>
      </c>
      <c r="BA372" s="12">
        <f t="shared" si="49"/>
        <v>0</v>
      </c>
      <c r="BB372" s="12">
        <f t="shared" si="49"/>
        <v>0</v>
      </c>
      <c r="BC372" s="12">
        <f t="shared" si="49"/>
        <v>0</v>
      </c>
      <c r="BD372" s="12">
        <f t="shared" si="50"/>
        <v>0</v>
      </c>
    </row>
    <row r="373" spans="1:56" ht="15" customHeight="1" x14ac:dyDescent="0.25">
      <c r="A373" s="137" t="s">
        <v>52</v>
      </c>
      <c r="B373" s="137" t="s">
        <v>690</v>
      </c>
      <c r="C373" s="137">
        <v>2018</v>
      </c>
      <c r="D373" s="137" t="s">
        <v>193</v>
      </c>
      <c r="E373" s="137" t="s">
        <v>193</v>
      </c>
      <c r="F373" s="137" t="s">
        <v>193</v>
      </c>
      <c r="G373" s="137" t="s">
        <v>193</v>
      </c>
      <c r="H373" s="137" t="s">
        <v>193</v>
      </c>
      <c r="I373" s="137" t="s">
        <v>193</v>
      </c>
      <c r="J373" s="137" t="s">
        <v>193</v>
      </c>
      <c r="K373" s="137" t="s">
        <v>193</v>
      </c>
      <c r="L373" s="137" t="s">
        <v>193</v>
      </c>
      <c r="M373" s="137" t="s">
        <v>193</v>
      </c>
      <c r="N373" s="137" t="s">
        <v>193</v>
      </c>
      <c r="O373" s="137" t="s">
        <v>193</v>
      </c>
      <c r="P373" s="137" t="s">
        <v>193</v>
      </c>
      <c r="Q373" s="137" t="s">
        <v>193</v>
      </c>
      <c r="R373" s="137" t="s">
        <v>193</v>
      </c>
      <c r="S373" s="137" t="s">
        <v>193</v>
      </c>
      <c r="T373" s="137" t="s">
        <v>193</v>
      </c>
      <c r="U373" s="137" t="s">
        <v>193</v>
      </c>
      <c r="V373" s="137" t="s">
        <v>193</v>
      </c>
      <c r="W373" s="137" t="s">
        <v>193</v>
      </c>
      <c r="X373" s="137" t="s">
        <v>193</v>
      </c>
      <c r="Y373" s="137" t="s">
        <v>193</v>
      </c>
      <c r="Z373" s="137" t="s">
        <v>193</v>
      </c>
      <c r="AA373" s="137" t="s">
        <v>193</v>
      </c>
      <c r="AB373" s="137" t="s">
        <v>193</v>
      </c>
      <c r="AC373" s="137" t="s">
        <v>193</v>
      </c>
      <c r="AD373" s="137" t="s">
        <v>193</v>
      </c>
      <c r="AE373" s="137" t="s">
        <v>193</v>
      </c>
      <c r="AF373" s="137" t="s">
        <v>193</v>
      </c>
      <c r="AG373" s="137" t="s">
        <v>193</v>
      </c>
      <c r="AH373" s="137" t="s">
        <v>199</v>
      </c>
      <c r="AI373" s="137" t="s">
        <v>193</v>
      </c>
      <c r="AJ373" s="137" t="s">
        <v>193</v>
      </c>
      <c r="AK373" s="137" t="s">
        <v>193</v>
      </c>
      <c r="AL373" s="137" t="s">
        <v>193</v>
      </c>
      <c r="AM373" s="137" t="s">
        <v>193</v>
      </c>
      <c r="AN373" s="137" t="s">
        <v>193</v>
      </c>
      <c r="AO373" s="137" t="s">
        <v>193</v>
      </c>
      <c r="AQ373" s="12">
        <f t="shared" si="44"/>
        <v>0</v>
      </c>
      <c r="AR373" s="12">
        <f t="shared" si="43"/>
        <v>0</v>
      </c>
      <c r="AT373" s="12">
        <f t="shared" si="45"/>
        <v>0</v>
      </c>
      <c r="AU373" s="12">
        <f t="shared" si="46"/>
        <v>0</v>
      </c>
      <c r="AV373" s="13" t="str">
        <f t="shared" si="47"/>
        <v/>
      </c>
      <c r="AY373" s="12">
        <f t="shared" si="48"/>
        <v>0</v>
      </c>
      <c r="AZ373" s="12">
        <f t="shared" si="49"/>
        <v>0</v>
      </c>
      <c r="BA373" s="12">
        <f t="shared" si="49"/>
        <v>0</v>
      </c>
      <c r="BB373" s="12">
        <f t="shared" si="49"/>
        <v>0</v>
      </c>
      <c r="BC373" s="12">
        <f t="shared" si="49"/>
        <v>0</v>
      </c>
      <c r="BD373" s="12">
        <f t="shared" si="50"/>
        <v>0</v>
      </c>
    </row>
    <row r="374" spans="1:56" ht="15" customHeight="1" x14ac:dyDescent="0.25">
      <c r="A374" s="137" t="s">
        <v>691</v>
      </c>
      <c r="B374" s="137" t="s">
        <v>692</v>
      </c>
      <c r="C374" s="137">
        <v>2018</v>
      </c>
      <c r="D374" s="137" t="s">
        <v>193</v>
      </c>
      <c r="E374" s="137" t="s">
        <v>193</v>
      </c>
      <c r="F374" s="137" t="s">
        <v>193</v>
      </c>
      <c r="G374" s="137" t="s">
        <v>193</v>
      </c>
      <c r="H374" s="137" t="s">
        <v>193</v>
      </c>
      <c r="I374" s="137" t="s">
        <v>193</v>
      </c>
      <c r="J374" s="137" t="s">
        <v>193</v>
      </c>
      <c r="K374" s="137" t="s">
        <v>193</v>
      </c>
      <c r="L374" s="137" t="s">
        <v>193</v>
      </c>
      <c r="M374" s="137" t="s">
        <v>193</v>
      </c>
      <c r="N374" s="137" t="s">
        <v>193</v>
      </c>
      <c r="O374" s="137" t="s">
        <v>193</v>
      </c>
      <c r="P374" s="137" t="s">
        <v>193</v>
      </c>
      <c r="Q374" s="137" t="s">
        <v>193</v>
      </c>
      <c r="R374" s="137" t="s">
        <v>193</v>
      </c>
      <c r="S374" s="137" t="s">
        <v>193</v>
      </c>
      <c r="T374" s="137" t="s">
        <v>193</v>
      </c>
      <c r="U374" s="137" t="s">
        <v>193</v>
      </c>
      <c r="V374" s="137" t="s">
        <v>193</v>
      </c>
      <c r="W374" s="137" t="s">
        <v>193</v>
      </c>
      <c r="X374" s="137" t="s">
        <v>193</v>
      </c>
      <c r="Y374" s="137" t="s">
        <v>193</v>
      </c>
      <c r="Z374" s="137" t="s">
        <v>193</v>
      </c>
      <c r="AA374" s="137" t="s">
        <v>193</v>
      </c>
      <c r="AB374" s="137" t="s">
        <v>193</v>
      </c>
      <c r="AC374" s="137" t="s">
        <v>193</v>
      </c>
      <c r="AD374" s="137" t="s">
        <v>193</v>
      </c>
      <c r="AE374" s="137" t="s">
        <v>193</v>
      </c>
      <c r="AF374" s="137" t="s">
        <v>193</v>
      </c>
      <c r="AG374" s="137" t="s">
        <v>193</v>
      </c>
      <c r="AH374" s="137" t="s">
        <v>199</v>
      </c>
      <c r="AI374" s="137" t="s">
        <v>193</v>
      </c>
      <c r="AJ374" s="137" t="s">
        <v>193</v>
      </c>
      <c r="AK374" s="137" t="s">
        <v>193</v>
      </c>
      <c r="AL374" s="137" t="s">
        <v>193</v>
      </c>
      <c r="AM374" s="137" t="s">
        <v>193</v>
      </c>
      <c r="AN374" s="137" t="s">
        <v>193</v>
      </c>
      <c r="AO374" s="137" t="s">
        <v>193</v>
      </c>
      <c r="AQ374" s="12">
        <f t="shared" si="44"/>
        <v>0</v>
      </c>
      <c r="AR374" s="12">
        <f t="shared" si="43"/>
        <v>0</v>
      </c>
      <c r="AT374" s="12">
        <f t="shared" si="45"/>
        <v>0</v>
      </c>
      <c r="AU374" s="12">
        <f t="shared" si="46"/>
        <v>0</v>
      </c>
      <c r="AV374" s="13" t="str">
        <f t="shared" si="47"/>
        <v/>
      </c>
      <c r="AY374" s="12">
        <f t="shared" si="48"/>
        <v>0</v>
      </c>
      <c r="AZ374" s="12">
        <f t="shared" si="49"/>
        <v>0</v>
      </c>
      <c r="BA374" s="12">
        <f t="shared" si="49"/>
        <v>0</v>
      </c>
      <c r="BB374" s="12">
        <f t="shared" si="49"/>
        <v>0</v>
      </c>
      <c r="BC374" s="12">
        <f t="shared" si="49"/>
        <v>0</v>
      </c>
      <c r="BD374" s="12">
        <f t="shared" si="50"/>
        <v>0</v>
      </c>
    </row>
    <row r="375" spans="1:56" ht="15" customHeight="1" x14ac:dyDescent="0.25">
      <c r="A375" s="137" t="s">
        <v>691</v>
      </c>
      <c r="B375" s="137" t="s">
        <v>693</v>
      </c>
      <c r="C375" s="137">
        <v>2018</v>
      </c>
      <c r="D375" s="137" t="s">
        <v>193</v>
      </c>
      <c r="E375" s="137" t="s">
        <v>193</v>
      </c>
      <c r="F375" s="137" t="s">
        <v>193</v>
      </c>
      <c r="G375" s="137" t="s">
        <v>193</v>
      </c>
      <c r="H375" s="137" t="s">
        <v>193</v>
      </c>
      <c r="I375" s="137" t="s">
        <v>193</v>
      </c>
      <c r="J375" s="137" t="s">
        <v>193</v>
      </c>
      <c r="K375" s="137" t="s">
        <v>193</v>
      </c>
      <c r="L375" s="137" t="s">
        <v>193</v>
      </c>
      <c r="M375" s="137" t="s">
        <v>193</v>
      </c>
      <c r="N375" s="137" t="s">
        <v>193</v>
      </c>
      <c r="O375" s="137" t="s">
        <v>193</v>
      </c>
      <c r="P375" s="137" t="s">
        <v>193</v>
      </c>
      <c r="Q375" s="137" t="s">
        <v>193</v>
      </c>
      <c r="R375" s="137" t="s">
        <v>193</v>
      </c>
      <c r="S375" s="137" t="s">
        <v>193</v>
      </c>
      <c r="T375" s="137" t="s">
        <v>193</v>
      </c>
      <c r="U375" s="137" t="s">
        <v>193</v>
      </c>
      <c r="V375" s="137" t="s">
        <v>193</v>
      </c>
      <c r="W375" s="137" t="s">
        <v>193</v>
      </c>
      <c r="X375" s="137" t="s">
        <v>193</v>
      </c>
      <c r="Y375" s="137" t="s">
        <v>193</v>
      </c>
      <c r="Z375" s="137" t="s">
        <v>193</v>
      </c>
      <c r="AA375" s="137" t="s">
        <v>193</v>
      </c>
      <c r="AB375" s="137" t="s">
        <v>193</v>
      </c>
      <c r="AC375" s="137" t="s">
        <v>193</v>
      </c>
      <c r="AD375" s="137" t="s">
        <v>193</v>
      </c>
      <c r="AE375" s="137" t="s">
        <v>193</v>
      </c>
      <c r="AF375" s="137" t="s">
        <v>193</v>
      </c>
      <c r="AG375" s="137" t="s">
        <v>193</v>
      </c>
      <c r="AH375" s="137" t="s">
        <v>199</v>
      </c>
      <c r="AI375" s="137" t="s">
        <v>193</v>
      </c>
      <c r="AJ375" s="137" t="s">
        <v>193</v>
      </c>
      <c r="AK375" s="137" t="s">
        <v>193</v>
      </c>
      <c r="AL375" s="137" t="s">
        <v>193</v>
      </c>
      <c r="AM375" s="137" t="s">
        <v>193</v>
      </c>
      <c r="AN375" s="137" t="s">
        <v>193</v>
      </c>
      <c r="AO375" s="137" t="s">
        <v>193</v>
      </c>
      <c r="AQ375" s="12">
        <f t="shared" si="44"/>
        <v>0</v>
      </c>
      <c r="AR375" s="12">
        <f t="shared" si="43"/>
        <v>0</v>
      </c>
      <c r="AT375" s="12">
        <f t="shared" si="45"/>
        <v>0</v>
      </c>
      <c r="AU375" s="12">
        <f t="shared" si="46"/>
        <v>0</v>
      </c>
      <c r="AV375" s="13" t="str">
        <f t="shared" si="47"/>
        <v/>
      </c>
      <c r="AY375" s="12">
        <f t="shared" si="48"/>
        <v>0</v>
      </c>
      <c r="AZ375" s="12">
        <f t="shared" si="49"/>
        <v>0</v>
      </c>
      <c r="BA375" s="12">
        <f t="shared" si="49"/>
        <v>0</v>
      </c>
      <c r="BB375" s="12">
        <f t="shared" si="49"/>
        <v>0</v>
      </c>
      <c r="BC375" s="12">
        <f t="shared" si="49"/>
        <v>0</v>
      </c>
      <c r="BD375" s="12">
        <f t="shared" si="50"/>
        <v>0</v>
      </c>
    </row>
    <row r="376" spans="1:56" ht="15" customHeight="1" x14ac:dyDescent="0.25">
      <c r="A376" s="137" t="s">
        <v>691</v>
      </c>
      <c r="B376" s="137" t="s">
        <v>694</v>
      </c>
      <c r="C376" s="137">
        <v>2018</v>
      </c>
      <c r="D376" s="137" t="s">
        <v>193</v>
      </c>
      <c r="E376" s="137" t="s">
        <v>193</v>
      </c>
      <c r="F376" s="137" t="s">
        <v>193</v>
      </c>
      <c r="G376" s="137" t="s">
        <v>193</v>
      </c>
      <c r="H376" s="137" t="s">
        <v>193</v>
      </c>
      <c r="I376" s="137" t="s">
        <v>193</v>
      </c>
      <c r="J376" s="137" t="s">
        <v>193</v>
      </c>
      <c r="K376" s="137" t="s">
        <v>193</v>
      </c>
      <c r="L376" s="137" t="s">
        <v>193</v>
      </c>
      <c r="M376" s="137" t="s">
        <v>193</v>
      </c>
      <c r="N376" s="137" t="s">
        <v>193</v>
      </c>
      <c r="O376" s="137" t="s">
        <v>193</v>
      </c>
      <c r="P376" s="137" t="s">
        <v>193</v>
      </c>
      <c r="Q376" s="137" t="s">
        <v>193</v>
      </c>
      <c r="R376" s="137" t="s">
        <v>193</v>
      </c>
      <c r="S376" s="137" t="s">
        <v>193</v>
      </c>
      <c r="T376" s="137" t="s">
        <v>193</v>
      </c>
      <c r="U376" s="137" t="s">
        <v>193</v>
      </c>
      <c r="V376" s="137" t="s">
        <v>193</v>
      </c>
      <c r="W376" s="137" t="s">
        <v>193</v>
      </c>
      <c r="X376" s="137" t="s">
        <v>193</v>
      </c>
      <c r="Y376" s="137" t="s">
        <v>193</v>
      </c>
      <c r="Z376" s="137" t="s">
        <v>193</v>
      </c>
      <c r="AA376" s="137" t="s">
        <v>193</v>
      </c>
      <c r="AB376" s="137" t="s">
        <v>193</v>
      </c>
      <c r="AC376" s="137" t="s">
        <v>193</v>
      </c>
      <c r="AD376" s="137" t="s">
        <v>193</v>
      </c>
      <c r="AE376" s="137" t="s">
        <v>193</v>
      </c>
      <c r="AF376" s="137" t="s">
        <v>193</v>
      </c>
      <c r="AG376" s="137" t="s">
        <v>193</v>
      </c>
      <c r="AH376" s="137" t="s">
        <v>199</v>
      </c>
      <c r="AI376" s="137" t="s">
        <v>193</v>
      </c>
      <c r="AJ376" s="137" t="s">
        <v>193</v>
      </c>
      <c r="AK376" s="137" t="s">
        <v>193</v>
      </c>
      <c r="AL376" s="137" t="s">
        <v>193</v>
      </c>
      <c r="AM376" s="137" t="s">
        <v>193</v>
      </c>
      <c r="AN376" s="137" t="s">
        <v>193</v>
      </c>
      <c r="AO376" s="137" t="s">
        <v>193</v>
      </c>
      <c r="AQ376" s="12">
        <f t="shared" si="44"/>
        <v>0</v>
      </c>
      <c r="AR376" s="12">
        <f t="shared" si="43"/>
        <v>0</v>
      </c>
      <c r="AT376" s="12">
        <f t="shared" si="45"/>
        <v>0</v>
      </c>
      <c r="AU376" s="12">
        <f t="shared" si="46"/>
        <v>0</v>
      </c>
      <c r="AV376" s="13" t="str">
        <f t="shared" si="47"/>
        <v/>
      </c>
      <c r="AY376" s="12">
        <f t="shared" si="48"/>
        <v>0</v>
      </c>
      <c r="AZ376" s="12">
        <f t="shared" si="49"/>
        <v>0</v>
      </c>
      <c r="BA376" s="12">
        <f t="shared" si="49"/>
        <v>0</v>
      </c>
      <c r="BB376" s="12">
        <f t="shared" si="49"/>
        <v>0</v>
      </c>
      <c r="BC376" s="12">
        <f t="shared" si="49"/>
        <v>0</v>
      </c>
      <c r="BD376" s="12">
        <f t="shared" si="50"/>
        <v>0</v>
      </c>
    </row>
    <row r="377" spans="1:56" ht="15" customHeight="1" x14ac:dyDescent="0.25">
      <c r="A377" s="137" t="s">
        <v>691</v>
      </c>
      <c r="B377" s="137" t="s">
        <v>695</v>
      </c>
      <c r="C377" s="137">
        <v>2018</v>
      </c>
      <c r="D377" s="137" t="s">
        <v>193</v>
      </c>
      <c r="E377" s="137" t="s">
        <v>193</v>
      </c>
      <c r="F377" s="137" t="s">
        <v>193</v>
      </c>
      <c r="G377" s="137" t="s">
        <v>193</v>
      </c>
      <c r="H377" s="137" t="s">
        <v>193</v>
      </c>
      <c r="I377" s="137" t="s">
        <v>193</v>
      </c>
      <c r="J377" s="137" t="s">
        <v>193</v>
      </c>
      <c r="K377" s="137" t="s">
        <v>193</v>
      </c>
      <c r="L377" s="137" t="s">
        <v>193</v>
      </c>
      <c r="M377" s="137" t="s">
        <v>193</v>
      </c>
      <c r="N377" s="137" t="s">
        <v>193</v>
      </c>
      <c r="O377" s="137" t="s">
        <v>193</v>
      </c>
      <c r="P377" s="137" t="s">
        <v>193</v>
      </c>
      <c r="Q377" s="137" t="s">
        <v>193</v>
      </c>
      <c r="R377" s="137" t="s">
        <v>193</v>
      </c>
      <c r="S377" s="137" t="s">
        <v>193</v>
      </c>
      <c r="T377" s="137" t="s">
        <v>193</v>
      </c>
      <c r="U377" s="137" t="s">
        <v>193</v>
      </c>
      <c r="V377" s="137" t="s">
        <v>193</v>
      </c>
      <c r="W377" s="137" t="s">
        <v>193</v>
      </c>
      <c r="X377" s="137" t="s">
        <v>193</v>
      </c>
      <c r="Y377" s="137" t="s">
        <v>193</v>
      </c>
      <c r="Z377" s="137" t="s">
        <v>193</v>
      </c>
      <c r="AA377" s="137" t="s">
        <v>193</v>
      </c>
      <c r="AB377" s="137" t="s">
        <v>193</v>
      </c>
      <c r="AC377" s="137" t="s">
        <v>193</v>
      </c>
      <c r="AD377" s="137" t="s">
        <v>193</v>
      </c>
      <c r="AE377" s="137" t="s">
        <v>193</v>
      </c>
      <c r="AF377" s="137" t="s">
        <v>193</v>
      </c>
      <c r="AG377" s="137" t="s">
        <v>193</v>
      </c>
      <c r="AH377" s="137" t="s">
        <v>199</v>
      </c>
      <c r="AI377" s="137" t="s">
        <v>193</v>
      </c>
      <c r="AJ377" s="137" t="s">
        <v>193</v>
      </c>
      <c r="AK377" s="137" t="s">
        <v>193</v>
      </c>
      <c r="AL377" s="137" t="s">
        <v>193</v>
      </c>
      <c r="AM377" s="137" t="s">
        <v>193</v>
      </c>
      <c r="AN377" s="137" t="s">
        <v>193</v>
      </c>
      <c r="AO377" s="137" t="s">
        <v>193</v>
      </c>
      <c r="AQ377" s="12">
        <f t="shared" si="44"/>
        <v>0</v>
      </c>
      <c r="AR377" s="12">
        <f t="shared" si="43"/>
        <v>0</v>
      </c>
      <c r="AT377" s="12">
        <f t="shared" si="45"/>
        <v>0</v>
      </c>
      <c r="AU377" s="12">
        <f t="shared" si="46"/>
        <v>0</v>
      </c>
      <c r="AV377" s="13" t="str">
        <f t="shared" si="47"/>
        <v/>
      </c>
      <c r="AY377" s="12">
        <f t="shared" si="48"/>
        <v>0</v>
      </c>
      <c r="AZ377" s="12">
        <f t="shared" si="49"/>
        <v>0</v>
      </c>
      <c r="BA377" s="12">
        <f t="shared" si="49"/>
        <v>0</v>
      </c>
      <c r="BB377" s="12">
        <f t="shared" si="49"/>
        <v>0</v>
      </c>
      <c r="BC377" s="12">
        <f t="shared" si="49"/>
        <v>0</v>
      </c>
      <c r="BD377" s="12">
        <f t="shared" si="50"/>
        <v>0</v>
      </c>
    </row>
    <row r="378" spans="1:56" ht="15" customHeight="1" x14ac:dyDescent="0.25">
      <c r="A378" s="137" t="s">
        <v>691</v>
      </c>
      <c r="B378" s="137" t="s">
        <v>696</v>
      </c>
      <c r="C378" s="137">
        <v>2018</v>
      </c>
      <c r="D378" s="137" t="s">
        <v>193</v>
      </c>
      <c r="E378" s="137" t="s">
        <v>193</v>
      </c>
      <c r="F378" s="137" t="s">
        <v>193</v>
      </c>
      <c r="G378" s="137" t="s">
        <v>193</v>
      </c>
      <c r="H378" s="137" t="s">
        <v>193</v>
      </c>
      <c r="I378" s="137" t="s">
        <v>193</v>
      </c>
      <c r="J378" s="137" t="s">
        <v>193</v>
      </c>
      <c r="K378" s="137" t="s">
        <v>193</v>
      </c>
      <c r="L378" s="137" t="s">
        <v>193</v>
      </c>
      <c r="M378" s="137" t="s">
        <v>193</v>
      </c>
      <c r="N378" s="137" t="s">
        <v>193</v>
      </c>
      <c r="O378" s="137" t="s">
        <v>193</v>
      </c>
      <c r="P378" s="137" t="s">
        <v>193</v>
      </c>
      <c r="Q378" s="137" t="s">
        <v>193</v>
      </c>
      <c r="R378" s="137" t="s">
        <v>193</v>
      </c>
      <c r="S378" s="137" t="s">
        <v>193</v>
      </c>
      <c r="T378" s="137" t="s">
        <v>193</v>
      </c>
      <c r="U378" s="137" t="s">
        <v>193</v>
      </c>
      <c r="V378" s="137" t="s">
        <v>193</v>
      </c>
      <c r="W378" s="137" t="s">
        <v>193</v>
      </c>
      <c r="X378" s="137" t="s">
        <v>193</v>
      </c>
      <c r="Y378" s="137" t="s">
        <v>193</v>
      </c>
      <c r="Z378" s="137" t="s">
        <v>193</v>
      </c>
      <c r="AA378" s="137" t="s">
        <v>193</v>
      </c>
      <c r="AB378" s="137" t="s">
        <v>193</v>
      </c>
      <c r="AC378" s="137" t="s">
        <v>193</v>
      </c>
      <c r="AD378" s="137" t="s">
        <v>193</v>
      </c>
      <c r="AE378" s="137" t="s">
        <v>193</v>
      </c>
      <c r="AF378" s="137" t="s">
        <v>193</v>
      </c>
      <c r="AG378" s="137" t="s">
        <v>193</v>
      </c>
      <c r="AH378" s="137" t="s">
        <v>199</v>
      </c>
      <c r="AI378" s="137" t="s">
        <v>193</v>
      </c>
      <c r="AJ378" s="137" t="s">
        <v>193</v>
      </c>
      <c r="AK378" s="137" t="s">
        <v>193</v>
      </c>
      <c r="AL378" s="137" t="s">
        <v>193</v>
      </c>
      <c r="AM378" s="137" t="s">
        <v>193</v>
      </c>
      <c r="AN378" s="137" t="s">
        <v>193</v>
      </c>
      <c r="AO378" s="137" t="s">
        <v>193</v>
      </c>
      <c r="AQ378" s="12">
        <f t="shared" si="44"/>
        <v>0</v>
      </c>
      <c r="AR378" s="12">
        <f t="shared" si="43"/>
        <v>0</v>
      </c>
      <c r="AT378" s="12">
        <f t="shared" si="45"/>
        <v>0</v>
      </c>
      <c r="AU378" s="12">
        <f t="shared" si="46"/>
        <v>0</v>
      </c>
      <c r="AV378" s="13" t="str">
        <f t="shared" si="47"/>
        <v/>
      </c>
      <c r="AY378" s="12">
        <f t="shared" si="48"/>
        <v>0</v>
      </c>
      <c r="AZ378" s="12">
        <f t="shared" si="49"/>
        <v>0</v>
      </c>
      <c r="BA378" s="12">
        <f t="shared" si="49"/>
        <v>0</v>
      </c>
      <c r="BB378" s="12">
        <f t="shared" si="49"/>
        <v>0</v>
      </c>
      <c r="BC378" s="12">
        <f t="shared" si="49"/>
        <v>0</v>
      </c>
      <c r="BD378" s="12">
        <f t="shared" si="50"/>
        <v>0</v>
      </c>
    </row>
    <row r="379" spans="1:56" ht="15" customHeight="1" x14ac:dyDescent="0.25">
      <c r="A379" s="137" t="s">
        <v>691</v>
      </c>
      <c r="B379" s="137" t="s">
        <v>697</v>
      </c>
      <c r="C379" s="137">
        <v>2018</v>
      </c>
      <c r="D379" s="137">
        <v>61.027000000000001</v>
      </c>
      <c r="E379" s="137">
        <v>15.096</v>
      </c>
      <c r="F379" s="137" t="s">
        <v>193</v>
      </c>
      <c r="G379" s="137" t="s">
        <v>749</v>
      </c>
      <c r="H379" s="137" t="s">
        <v>193</v>
      </c>
      <c r="I379" s="137">
        <v>110.327</v>
      </c>
      <c r="J379" s="137" t="s">
        <v>193</v>
      </c>
      <c r="K379" s="137" t="s">
        <v>193</v>
      </c>
      <c r="L379" s="137" t="s">
        <v>193</v>
      </c>
      <c r="M379" s="137" t="s">
        <v>193</v>
      </c>
      <c r="N379" s="137" t="s">
        <v>193</v>
      </c>
      <c r="O379" s="137" t="s">
        <v>193</v>
      </c>
      <c r="P379" s="137" t="s">
        <v>193</v>
      </c>
      <c r="Q379" s="137">
        <v>38.335000000000001</v>
      </c>
      <c r="R379" s="137">
        <v>38.945999999999998</v>
      </c>
      <c r="S379" s="137">
        <v>13.157999999999999</v>
      </c>
      <c r="T379" s="137" t="s">
        <v>193</v>
      </c>
      <c r="U379" s="137" t="s">
        <v>193</v>
      </c>
      <c r="V379" s="137" t="s">
        <v>193</v>
      </c>
      <c r="W379" s="137" t="s">
        <v>194</v>
      </c>
      <c r="X379" s="137" t="s">
        <v>193</v>
      </c>
      <c r="Y379" s="137" t="s">
        <v>193</v>
      </c>
      <c r="Z379" s="137" t="s">
        <v>193</v>
      </c>
      <c r="AA379" s="137" t="s">
        <v>193</v>
      </c>
      <c r="AB379" s="137" t="s">
        <v>193</v>
      </c>
      <c r="AC379" s="137" t="s">
        <v>193</v>
      </c>
      <c r="AD379" s="137" t="s">
        <v>193</v>
      </c>
      <c r="AE379" s="137">
        <v>0</v>
      </c>
      <c r="AF379" s="137" t="s">
        <v>193</v>
      </c>
      <c r="AG379" s="137" t="s">
        <v>193</v>
      </c>
      <c r="AH379" s="137" t="s">
        <v>199</v>
      </c>
      <c r="AI379" s="137" t="s">
        <v>193</v>
      </c>
      <c r="AJ379" s="137" t="s">
        <v>193</v>
      </c>
      <c r="AK379" s="137">
        <v>19.888000000000002</v>
      </c>
      <c r="AL379" s="137">
        <v>100</v>
      </c>
      <c r="AM379" s="137">
        <v>0</v>
      </c>
      <c r="AN379" s="137">
        <v>0</v>
      </c>
      <c r="AO379" s="137">
        <v>0</v>
      </c>
      <c r="AQ379" s="12">
        <f t="shared" si="44"/>
        <v>90.439000000000007</v>
      </c>
      <c r="AR379" s="12">
        <f t="shared" si="43"/>
        <v>110.32700000000001</v>
      </c>
      <c r="AT379" s="12">
        <f t="shared" si="45"/>
        <v>61.027000000000001</v>
      </c>
      <c r="AU379" s="12">
        <f t="shared" si="46"/>
        <v>15.096</v>
      </c>
      <c r="AV379" s="13">
        <f t="shared" si="47"/>
        <v>0.68997616177363652</v>
      </c>
      <c r="AY379" s="12">
        <f t="shared" si="48"/>
        <v>19.888000000000002</v>
      </c>
      <c r="AZ379" s="12">
        <f t="shared" si="49"/>
        <v>19.888000000000002</v>
      </c>
      <c r="BA379" s="12">
        <f t="shared" si="49"/>
        <v>0</v>
      </c>
      <c r="BB379" s="12">
        <f t="shared" si="49"/>
        <v>0</v>
      </c>
      <c r="BC379" s="12">
        <f t="shared" si="49"/>
        <v>0</v>
      </c>
      <c r="BD379" s="12">
        <f t="shared" si="50"/>
        <v>0</v>
      </c>
    </row>
    <row r="380" spans="1:56" ht="15" customHeight="1" x14ac:dyDescent="0.25">
      <c r="A380" s="137" t="s">
        <v>698</v>
      </c>
      <c r="B380" s="137" t="s">
        <v>699</v>
      </c>
      <c r="C380" s="137">
        <v>2018</v>
      </c>
      <c r="D380" s="137" t="s">
        <v>193</v>
      </c>
      <c r="E380" s="137" t="s">
        <v>193</v>
      </c>
      <c r="F380" s="137" t="s">
        <v>193</v>
      </c>
      <c r="G380" s="137" t="s">
        <v>193</v>
      </c>
      <c r="H380" s="137" t="s">
        <v>193</v>
      </c>
      <c r="I380" s="137" t="s">
        <v>193</v>
      </c>
      <c r="J380" s="137" t="s">
        <v>193</v>
      </c>
      <c r="K380" s="137" t="s">
        <v>193</v>
      </c>
      <c r="L380" s="137" t="s">
        <v>193</v>
      </c>
      <c r="M380" s="137" t="s">
        <v>193</v>
      </c>
      <c r="N380" s="137" t="s">
        <v>193</v>
      </c>
      <c r="O380" s="137" t="s">
        <v>193</v>
      </c>
      <c r="P380" s="137" t="s">
        <v>193</v>
      </c>
      <c r="Q380" s="137" t="s">
        <v>193</v>
      </c>
      <c r="R380" s="137" t="s">
        <v>193</v>
      </c>
      <c r="S380" s="137" t="s">
        <v>193</v>
      </c>
      <c r="T380" s="137" t="s">
        <v>193</v>
      </c>
      <c r="U380" s="137" t="s">
        <v>193</v>
      </c>
      <c r="V380" s="137" t="s">
        <v>193</v>
      </c>
      <c r="W380" s="137" t="s">
        <v>193</v>
      </c>
      <c r="X380" s="137" t="s">
        <v>193</v>
      </c>
      <c r="Y380" s="137" t="s">
        <v>193</v>
      </c>
      <c r="Z380" s="137" t="s">
        <v>193</v>
      </c>
      <c r="AA380" s="137" t="s">
        <v>193</v>
      </c>
      <c r="AB380" s="137" t="s">
        <v>193</v>
      </c>
      <c r="AC380" s="137" t="s">
        <v>193</v>
      </c>
      <c r="AD380" s="137" t="s">
        <v>193</v>
      </c>
      <c r="AE380" s="137" t="s">
        <v>193</v>
      </c>
      <c r="AF380" s="137" t="s">
        <v>193</v>
      </c>
      <c r="AG380" s="137" t="s">
        <v>193</v>
      </c>
      <c r="AH380" s="137" t="s">
        <v>199</v>
      </c>
      <c r="AI380" s="137" t="s">
        <v>193</v>
      </c>
      <c r="AJ380" s="137" t="s">
        <v>193</v>
      </c>
      <c r="AK380" s="137" t="s">
        <v>193</v>
      </c>
      <c r="AL380" s="137" t="s">
        <v>193</v>
      </c>
      <c r="AM380" s="137" t="s">
        <v>193</v>
      </c>
      <c r="AN380" s="137" t="s">
        <v>193</v>
      </c>
      <c r="AO380" s="137" t="s">
        <v>193</v>
      </c>
      <c r="AQ380" s="12">
        <f t="shared" si="44"/>
        <v>0</v>
      </c>
      <c r="AR380" s="12">
        <f t="shared" si="43"/>
        <v>0</v>
      </c>
      <c r="AT380" s="12">
        <f t="shared" si="45"/>
        <v>0</v>
      </c>
      <c r="AU380" s="12">
        <f t="shared" si="46"/>
        <v>0</v>
      </c>
      <c r="AV380" s="13" t="str">
        <f t="shared" si="47"/>
        <v/>
      </c>
      <c r="AY380" s="12">
        <f t="shared" si="48"/>
        <v>0</v>
      </c>
      <c r="AZ380" s="12">
        <f t="shared" si="49"/>
        <v>0</v>
      </c>
      <c r="BA380" s="12">
        <f t="shared" si="49"/>
        <v>0</v>
      </c>
      <c r="BB380" s="12">
        <f t="shared" si="49"/>
        <v>0</v>
      </c>
      <c r="BC380" s="12">
        <f t="shared" si="49"/>
        <v>0</v>
      </c>
      <c r="BD380" s="12">
        <f t="shared" si="50"/>
        <v>0</v>
      </c>
    </row>
    <row r="381" spans="1:56" ht="15" customHeight="1" x14ac:dyDescent="0.25">
      <c r="A381" s="137" t="s">
        <v>698</v>
      </c>
      <c r="B381" s="137" t="s">
        <v>700</v>
      </c>
      <c r="C381" s="137">
        <v>2018</v>
      </c>
      <c r="D381" s="137" t="s">
        <v>193</v>
      </c>
      <c r="E381" s="137" t="s">
        <v>193</v>
      </c>
      <c r="F381" s="137" t="s">
        <v>193</v>
      </c>
      <c r="G381" s="137" t="s">
        <v>193</v>
      </c>
      <c r="H381" s="137" t="s">
        <v>193</v>
      </c>
      <c r="I381" s="137" t="s">
        <v>193</v>
      </c>
      <c r="J381" s="137" t="s">
        <v>193</v>
      </c>
      <c r="K381" s="137" t="s">
        <v>193</v>
      </c>
      <c r="L381" s="137" t="s">
        <v>193</v>
      </c>
      <c r="M381" s="137" t="s">
        <v>193</v>
      </c>
      <c r="N381" s="137" t="s">
        <v>193</v>
      </c>
      <c r="O381" s="137" t="s">
        <v>193</v>
      </c>
      <c r="P381" s="137" t="s">
        <v>193</v>
      </c>
      <c r="Q381" s="137" t="s">
        <v>193</v>
      </c>
      <c r="R381" s="137" t="s">
        <v>193</v>
      </c>
      <c r="S381" s="137" t="s">
        <v>193</v>
      </c>
      <c r="T381" s="137" t="s">
        <v>193</v>
      </c>
      <c r="U381" s="137" t="s">
        <v>193</v>
      </c>
      <c r="V381" s="137" t="s">
        <v>193</v>
      </c>
      <c r="W381" s="137" t="s">
        <v>193</v>
      </c>
      <c r="X381" s="137" t="s">
        <v>193</v>
      </c>
      <c r="Y381" s="137" t="s">
        <v>193</v>
      </c>
      <c r="Z381" s="137" t="s">
        <v>193</v>
      </c>
      <c r="AA381" s="137" t="s">
        <v>193</v>
      </c>
      <c r="AB381" s="137" t="s">
        <v>193</v>
      </c>
      <c r="AC381" s="137" t="s">
        <v>193</v>
      </c>
      <c r="AD381" s="137" t="s">
        <v>193</v>
      </c>
      <c r="AE381" s="137" t="s">
        <v>193</v>
      </c>
      <c r="AF381" s="137" t="s">
        <v>193</v>
      </c>
      <c r="AG381" s="137" t="s">
        <v>193</v>
      </c>
      <c r="AH381" s="137" t="s">
        <v>199</v>
      </c>
      <c r="AI381" s="137" t="s">
        <v>193</v>
      </c>
      <c r="AJ381" s="137" t="s">
        <v>193</v>
      </c>
      <c r="AK381" s="137" t="s">
        <v>193</v>
      </c>
      <c r="AL381" s="137" t="s">
        <v>193</v>
      </c>
      <c r="AM381" s="137" t="s">
        <v>193</v>
      </c>
      <c r="AN381" s="137" t="s">
        <v>193</v>
      </c>
      <c r="AO381" s="137" t="s">
        <v>193</v>
      </c>
      <c r="AQ381" s="12">
        <f t="shared" si="44"/>
        <v>0</v>
      </c>
      <c r="AR381" s="12">
        <f t="shared" si="43"/>
        <v>0</v>
      </c>
      <c r="AT381" s="12">
        <f t="shared" si="45"/>
        <v>0</v>
      </c>
      <c r="AU381" s="12">
        <f t="shared" si="46"/>
        <v>0</v>
      </c>
      <c r="AV381" s="13" t="str">
        <f t="shared" si="47"/>
        <v/>
      </c>
      <c r="AY381" s="12">
        <f t="shared" si="48"/>
        <v>0</v>
      </c>
      <c r="AZ381" s="12">
        <f t="shared" si="49"/>
        <v>0</v>
      </c>
      <c r="BA381" s="12">
        <f t="shared" si="49"/>
        <v>0</v>
      </c>
      <c r="BB381" s="12">
        <f t="shared" si="49"/>
        <v>0</v>
      </c>
      <c r="BC381" s="12">
        <f t="shared" si="49"/>
        <v>0</v>
      </c>
      <c r="BD381" s="12">
        <f t="shared" si="50"/>
        <v>0</v>
      </c>
    </row>
    <row r="382" spans="1:56" ht="15" customHeight="1" x14ac:dyDescent="0.25">
      <c r="A382" s="137" t="s">
        <v>698</v>
      </c>
      <c r="B382" s="137" t="s">
        <v>701</v>
      </c>
      <c r="C382" s="137">
        <v>2018</v>
      </c>
      <c r="D382" s="137" t="s">
        <v>193</v>
      </c>
      <c r="E382" s="137" t="s">
        <v>193</v>
      </c>
      <c r="F382" s="137" t="s">
        <v>193</v>
      </c>
      <c r="G382" s="137" t="s">
        <v>193</v>
      </c>
      <c r="H382" s="137" t="s">
        <v>193</v>
      </c>
      <c r="I382" s="137" t="s">
        <v>193</v>
      </c>
      <c r="J382" s="137" t="s">
        <v>193</v>
      </c>
      <c r="K382" s="137" t="s">
        <v>193</v>
      </c>
      <c r="L382" s="137" t="s">
        <v>193</v>
      </c>
      <c r="M382" s="137" t="s">
        <v>193</v>
      </c>
      <c r="N382" s="137" t="s">
        <v>193</v>
      </c>
      <c r="O382" s="137" t="s">
        <v>193</v>
      </c>
      <c r="P382" s="137" t="s">
        <v>193</v>
      </c>
      <c r="Q382" s="137" t="s">
        <v>193</v>
      </c>
      <c r="R382" s="137" t="s">
        <v>193</v>
      </c>
      <c r="S382" s="137" t="s">
        <v>193</v>
      </c>
      <c r="T382" s="137" t="s">
        <v>193</v>
      </c>
      <c r="U382" s="137" t="s">
        <v>193</v>
      </c>
      <c r="V382" s="137" t="s">
        <v>193</v>
      </c>
      <c r="W382" s="137" t="s">
        <v>193</v>
      </c>
      <c r="X382" s="137" t="s">
        <v>193</v>
      </c>
      <c r="Y382" s="137" t="s">
        <v>193</v>
      </c>
      <c r="Z382" s="137" t="s">
        <v>193</v>
      </c>
      <c r="AA382" s="137" t="s">
        <v>193</v>
      </c>
      <c r="AB382" s="137" t="s">
        <v>193</v>
      </c>
      <c r="AC382" s="137" t="s">
        <v>193</v>
      </c>
      <c r="AD382" s="137" t="s">
        <v>193</v>
      </c>
      <c r="AE382" s="137" t="s">
        <v>193</v>
      </c>
      <c r="AF382" s="137" t="s">
        <v>193</v>
      </c>
      <c r="AG382" s="137" t="s">
        <v>193</v>
      </c>
      <c r="AH382" s="137" t="s">
        <v>199</v>
      </c>
      <c r="AI382" s="137" t="s">
        <v>193</v>
      </c>
      <c r="AJ382" s="137" t="s">
        <v>193</v>
      </c>
      <c r="AK382" s="137" t="s">
        <v>193</v>
      </c>
      <c r="AL382" s="137" t="s">
        <v>193</v>
      </c>
      <c r="AM382" s="137" t="s">
        <v>193</v>
      </c>
      <c r="AN382" s="137" t="s">
        <v>193</v>
      </c>
      <c r="AO382" s="137" t="s">
        <v>193</v>
      </c>
      <c r="AQ382" s="12">
        <f t="shared" si="44"/>
        <v>0</v>
      </c>
      <c r="AR382" s="12">
        <f t="shared" si="43"/>
        <v>0</v>
      </c>
      <c r="AT382" s="12">
        <f t="shared" si="45"/>
        <v>0</v>
      </c>
      <c r="AU382" s="12">
        <f t="shared" si="46"/>
        <v>0</v>
      </c>
      <c r="AV382" s="13" t="str">
        <f t="shared" si="47"/>
        <v/>
      </c>
      <c r="AY382" s="12">
        <f t="shared" si="48"/>
        <v>0</v>
      </c>
      <c r="AZ382" s="12">
        <f t="shared" si="49"/>
        <v>0</v>
      </c>
      <c r="BA382" s="12">
        <f t="shared" si="49"/>
        <v>0</v>
      </c>
      <c r="BB382" s="12">
        <f t="shared" si="49"/>
        <v>0</v>
      </c>
      <c r="BC382" s="12">
        <f t="shared" si="49"/>
        <v>0</v>
      </c>
      <c r="BD382" s="12">
        <f t="shared" si="50"/>
        <v>0</v>
      </c>
    </row>
    <row r="383" spans="1:56" ht="15" customHeight="1" x14ac:dyDescent="0.25">
      <c r="A383" s="137" t="s">
        <v>698</v>
      </c>
      <c r="B383" s="137" t="s">
        <v>702</v>
      </c>
      <c r="C383" s="137">
        <v>2018</v>
      </c>
      <c r="D383" s="137" t="s">
        <v>193</v>
      </c>
      <c r="E383" s="137" t="s">
        <v>193</v>
      </c>
      <c r="F383" s="137" t="s">
        <v>193</v>
      </c>
      <c r="G383" s="137" t="s">
        <v>193</v>
      </c>
      <c r="H383" s="137" t="s">
        <v>193</v>
      </c>
      <c r="I383" s="137" t="s">
        <v>193</v>
      </c>
      <c r="J383" s="137" t="s">
        <v>193</v>
      </c>
      <c r="K383" s="137" t="s">
        <v>193</v>
      </c>
      <c r="L383" s="137" t="s">
        <v>193</v>
      </c>
      <c r="M383" s="137" t="s">
        <v>193</v>
      </c>
      <c r="N383" s="137" t="s">
        <v>193</v>
      </c>
      <c r="O383" s="137" t="s">
        <v>193</v>
      </c>
      <c r="P383" s="137" t="s">
        <v>193</v>
      </c>
      <c r="Q383" s="137" t="s">
        <v>193</v>
      </c>
      <c r="R383" s="137" t="s">
        <v>193</v>
      </c>
      <c r="S383" s="137" t="s">
        <v>193</v>
      </c>
      <c r="T383" s="137" t="s">
        <v>193</v>
      </c>
      <c r="U383" s="137" t="s">
        <v>193</v>
      </c>
      <c r="V383" s="137" t="s">
        <v>193</v>
      </c>
      <c r="W383" s="137" t="s">
        <v>193</v>
      </c>
      <c r="X383" s="137" t="s">
        <v>193</v>
      </c>
      <c r="Y383" s="137" t="s">
        <v>193</v>
      </c>
      <c r="Z383" s="137" t="s">
        <v>193</v>
      </c>
      <c r="AA383" s="137" t="s">
        <v>193</v>
      </c>
      <c r="AB383" s="137" t="s">
        <v>193</v>
      </c>
      <c r="AC383" s="137" t="s">
        <v>193</v>
      </c>
      <c r="AD383" s="137" t="s">
        <v>193</v>
      </c>
      <c r="AE383" s="137" t="s">
        <v>193</v>
      </c>
      <c r="AF383" s="137" t="s">
        <v>193</v>
      </c>
      <c r="AG383" s="137" t="s">
        <v>193</v>
      </c>
      <c r="AH383" s="137" t="s">
        <v>199</v>
      </c>
      <c r="AI383" s="137" t="s">
        <v>193</v>
      </c>
      <c r="AJ383" s="137" t="s">
        <v>193</v>
      </c>
      <c r="AK383" s="137" t="s">
        <v>193</v>
      </c>
      <c r="AL383" s="137" t="s">
        <v>193</v>
      </c>
      <c r="AM383" s="137" t="s">
        <v>193</v>
      </c>
      <c r="AN383" s="137" t="s">
        <v>193</v>
      </c>
      <c r="AO383" s="137" t="s">
        <v>193</v>
      </c>
      <c r="AQ383" s="12">
        <f t="shared" si="44"/>
        <v>0</v>
      </c>
      <c r="AR383" s="12">
        <f t="shared" si="43"/>
        <v>0</v>
      </c>
      <c r="AT383" s="12">
        <f t="shared" si="45"/>
        <v>0</v>
      </c>
      <c r="AU383" s="12">
        <f t="shared" si="46"/>
        <v>0</v>
      </c>
      <c r="AV383" s="13" t="str">
        <f t="shared" si="47"/>
        <v/>
      </c>
      <c r="AY383" s="12">
        <f t="shared" si="48"/>
        <v>0</v>
      </c>
      <c r="AZ383" s="12">
        <f t="shared" si="49"/>
        <v>0</v>
      </c>
      <c r="BA383" s="12">
        <f t="shared" si="49"/>
        <v>0</v>
      </c>
      <c r="BB383" s="12">
        <f t="shared" si="49"/>
        <v>0</v>
      </c>
      <c r="BC383" s="12">
        <f t="shared" si="49"/>
        <v>0</v>
      </c>
      <c r="BD383" s="12">
        <f t="shared" si="50"/>
        <v>0</v>
      </c>
    </row>
    <row r="384" spans="1:56" ht="15" customHeight="1" x14ac:dyDescent="0.25">
      <c r="A384" s="137" t="s">
        <v>703</v>
      </c>
      <c r="B384" s="137" t="s">
        <v>704</v>
      </c>
      <c r="C384" s="137">
        <v>2018</v>
      </c>
      <c r="D384" s="137" t="s">
        <v>193</v>
      </c>
      <c r="E384" s="137" t="s">
        <v>193</v>
      </c>
      <c r="F384" s="137" t="s">
        <v>193</v>
      </c>
      <c r="G384" s="137" t="s">
        <v>193</v>
      </c>
      <c r="H384" s="137" t="s">
        <v>193</v>
      </c>
      <c r="I384" s="137" t="s">
        <v>193</v>
      </c>
      <c r="J384" s="137" t="s">
        <v>193</v>
      </c>
      <c r="K384" s="137" t="s">
        <v>193</v>
      </c>
      <c r="L384" s="137" t="s">
        <v>193</v>
      </c>
      <c r="M384" s="137" t="s">
        <v>193</v>
      </c>
      <c r="N384" s="137" t="s">
        <v>193</v>
      </c>
      <c r="O384" s="137" t="s">
        <v>193</v>
      </c>
      <c r="P384" s="137" t="s">
        <v>193</v>
      </c>
      <c r="Q384" s="137" t="s">
        <v>193</v>
      </c>
      <c r="R384" s="137" t="s">
        <v>193</v>
      </c>
      <c r="S384" s="137" t="s">
        <v>193</v>
      </c>
      <c r="T384" s="137" t="s">
        <v>193</v>
      </c>
      <c r="U384" s="137" t="s">
        <v>193</v>
      </c>
      <c r="V384" s="137" t="s">
        <v>193</v>
      </c>
      <c r="W384" s="137" t="s">
        <v>193</v>
      </c>
      <c r="X384" s="137" t="s">
        <v>193</v>
      </c>
      <c r="Y384" s="137" t="s">
        <v>193</v>
      </c>
      <c r="Z384" s="137" t="s">
        <v>193</v>
      </c>
      <c r="AA384" s="137" t="s">
        <v>193</v>
      </c>
      <c r="AB384" s="137" t="s">
        <v>193</v>
      </c>
      <c r="AC384" s="137" t="s">
        <v>193</v>
      </c>
      <c r="AD384" s="137" t="s">
        <v>193</v>
      </c>
      <c r="AE384" s="137" t="s">
        <v>193</v>
      </c>
      <c r="AF384" s="137" t="s">
        <v>193</v>
      </c>
      <c r="AG384" s="137" t="s">
        <v>193</v>
      </c>
      <c r="AH384" s="137" t="s">
        <v>53</v>
      </c>
      <c r="AI384" s="137" t="s">
        <v>193</v>
      </c>
      <c r="AJ384" s="137" t="s">
        <v>193</v>
      </c>
      <c r="AK384" s="137" t="s">
        <v>193</v>
      </c>
      <c r="AL384" s="137" t="s">
        <v>193</v>
      </c>
      <c r="AM384" s="137" t="s">
        <v>193</v>
      </c>
      <c r="AN384" s="137" t="s">
        <v>193</v>
      </c>
      <c r="AO384" s="137" t="s">
        <v>193</v>
      </c>
      <c r="AQ384" s="12">
        <f t="shared" si="44"/>
        <v>0</v>
      </c>
      <c r="AR384" s="12">
        <f t="shared" si="43"/>
        <v>0</v>
      </c>
      <c r="AT384" s="12">
        <f t="shared" si="45"/>
        <v>0</v>
      </c>
      <c r="AU384" s="12">
        <f t="shared" si="46"/>
        <v>0</v>
      </c>
      <c r="AV384" s="13" t="str">
        <f t="shared" si="47"/>
        <v/>
      </c>
      <c r="AY384" s="12">
        <f t="shared" si="48"/>
        <v>0</v>
      </c>
      <c r="AZ384" s="12">
        <f t="shared" si="49"/>
        <v>0</v>
      </c>
      <c r="BA384" s="12">
        <f t="shared" si="49"/>
        <v>0</v>
      </c>
      <c r="BB384" s="12">
        <f t="shared" si="49"/>
        <v>0</v>
      </c>
      <c r="BC384" s="12">
        <f t="shared" si="49"/>
        <v>0</v>
      </c>
      <c r="BD384" s="12">
        <f t="shared" si="50"/>
        <v>0</v>
      </c>
    </row>
    <row r="385" spans="1:56" ht="15" customHeight="1" x14ac:dyDescent="0.25">
      <c r="A385" s="137" t="s">
        <v>703</v>
      </c>
      <c r="B385" s="137" t="s">
        <v>705</v>
      </c>
      <c r="C385" s="137">
        <v>2018</v>
      </c>
      <c r="D385" s="137" t="s">
        <v>193</v>
      </c>
      <c r="E385" s="137" t="s">
        <v>193</v>
      </c>
      <c r="F385" s="137" t="s">
        <v>193</v>
      </c>
      <c r="G385" s="137" t="s">
        <v>193</v>
      </c>
      <c r="H385" s="137" t="s">
        <v>193</v>
      </c>
      <c r="I385" s="137" t="s">
        <v>193</v>
      </c>
      <c r="J385" s="137" t="s">
        <v>193</v>
      </c>
      <c r="K385" s="137" t="s">
        <v>193</v>
      </c>
      <c r="L385" s="137" t="s">
        <v>193</v>
      </c>
      <c r="M385" s="137" t="s">
        <v>193</v>
      </c>
      <c r="N385" s="137" t="s">
        <v>193</v>
      </c>
      <c r="O385" s="137" t="s">
        <v>193</v>
      </c>
      <c r="P385" s="137" t="s">
        <v>193</v>
      </c>
      <c r="Q385" s="137" t="s">
        <v>193</v>
      </c>
      <c r="R385" s="137" t="s">
        <v>193</v>
      </c>
      <c r="S385" s="137" t="s">
        <v>193</v>
      </c>
      <c r="T385" s="137" t="s">
        <v>193</v>
      </c>
      <c r="U385" s="137" t="s">
        <v>193</v>
      </c>
      <c r="V385" s="137" t="s">
        <v>193</v>
      </c>
      <c r="W385" s="137" t="s">
        <v>193</v>
      </c>
      <c r="X385" s="137" t="s">
        <v>193</v>
      </c>
      <c r="Y385" s="137" t="s">
        <v>193</v>
      </c>
      <c r="Z385" s="137" t="s">
        <v>193</v>
      </c>
      <c r="AA385" s="137" t="s">
        <v>193</v>
      </c>
      <c r="AB385" s="137" t="s">
        <v>193</v>
      </c>
      <c r="AC385" s="137" t="s">
        <v>193</v>
      </c>
      <c r="AD385" s="137" t="s">
        <v>193</v>
      </c>
      <c r="AE385" s="137" t="s">
        <v>193</v>
      </c>
      <c r="AF385" s="137" t="s">
        <v>193</v>
      </c>
      <c r="AG385" s="137" t="s">
        <v>193</v>
      </c>
      <c r="AH385" s="137" t="s">
        <v>53</v>
      </c>
      <c r="AI385" s="137" t="s">
        <v>193</v>
      </c>
      <c r="AJ385" s="137" t="s">
        <v>193</v>
      </c>
      <c r="AK385" s="137" t="s">
        <v>193</v>
      </c>
      <c r="AL385" s="137" t="s">
        <v>193</v>
      </c>
      <c r="AM385" s="137" t="s">
        <v>193</v>
      </c>
      <c r="AN385" s="137" t="s">
        <v>193</v>
      </c>
      <c r="AO385" s="137" t="s">
        <v>193</v>
      </c>
      <c r="AQ385" s="12">
        <f t="shared" si="44"/>
        <v>0</v>
      </c>
      <c r="AR385" s="12">
        <f t="shared" ref="AR385:AR414" si="51">SUMPRODUCT(J385:AF385)+SUMPRODUCT(AJ385:AK385)</f>
        <v>0</v>
      </c>
      <c r="AT385" s="12">
        <f t="shared" si="45"/>
        <v>0</v>
      </c>
      <c r="AU385" s="12">
        <f t="shared" si="46"/>
        <v>0</v>
      </c>
      <c r="AV385" s="13" t="str">
        <f t="shared" si="47"/>
        <v/>
      </c>
      <c r="AY385" s="12">
        <f t="shared" si="48"/>
        <v>0</v>
      </c>
      <c r="AZ385" s="12">
        <f t="shared" si="49"/>
        <v>0</v>
      </c>
      <c r="BA385" s="12">
        <f t="shared" si="49"/>
        <v>0</v>
      </c>
      <c r="BB385" s="12">
        <f t="shared" si="49"/>
        <v>0</v>
      </c>
      <c r="BC385" s="12">
        <f t="shared" ref="BC385:BC414" si="52">IFERROR(AO385/100,0)*$AY385</f>
        <v>0</v>
      </c>
      <c r="BD385" s="12">
        <f t="shared" si="50"/>
        <v>0</v>
      </c>
    </row>
    <row r="386" spans="1:56" ht="15" customHeight="1" x14ac:dyDescent="0.25">
      <c r="A386" s="137" t="s">
        <v>703</v>
      </c>
      <c r="B386" s="137" t="s">
        <v>706</v>
      </c>
      <c r="C386" s="137">
        <v>2018</v>
      </c>
      <c r="D386" s="137">
        <v>62.24</v>
      </c>
      <c r="E386" s="137">
        <v>12.212</v>
      </c>
      <c r="F386" s="137">
        <v>12.212</v>
      </c>
      <c r="G386" s="137" t="s">
        <v>747</v>
      </c>
      <c r="H386" s="137">
        <v>19.263000000000002</v>
      </c>
      <c r="I386" s="137">
        <v>120.845</v>
      </c>
      <c r="J386" s="137" t="s">
        <v>193</v>
      </c>
      <c r="K386" s="137">
        <v>1.1399999999999999</v>
      </c>
      <c r="L386" s="137" t="s">
        <v>193</v>
      </c>
      <c r="M386" s="137" t="s">
        <v>193</v>
      </c>
      <c r="N386" s="137" t="s">
        <v>193</v>
      </c>
      <c r="O386" s="137" t="s">
        <v>193</v>
      </c>
      <c r="P386" s="137" t="s">
        <v>193</v>
      </c>
      <c r="Q386" s="137" t="s">
        <v>193</v>
      </c>
      <c r="R386" s="137" t="s">
        <v>193</v>
      </c>
      <c r="S386" s="137" t="s">
        <v>193</v>
      </c>
      <c r="T386" s="137" t="s">
        <v>193</v>
      </c>
      <c r="U386" s="137" t="s">
        <v>193</v>
      </c>
      <c r="V386" s="137" t="s">
        <v>193</v>
      </c>
      <c r="W386" s="137" t="s">
        <v>193</v>
      </c>
      <c r="X386" s="137" t="s">
        <v>193</v>
      </c>
      <c r="Y386" s="137" t="s">
        <v>193</v>
      </c>
      <c r="Z386" s="137" t="s">
        <v>193</v>
      </c>
      <c r="AA386" s="137" t="s">
        <v>193</v>
      </c>
      <c r="AB386" s="137" t="s">
        <v>193</v>
      </c>
      <c r="AC386" s="137" t="s">
        <v>193</v>
      </c>
      <c r="AD386" s="137" t="s">
        <v>193</v>
      </c>
      <c r="AE386" s="137" t="s">
        <v>193</v>
      </c>
      <c r="AF386" s="137">
        <v>117.17700000000001</v>
      </c>
      <c r="AG386" s="137">
        <v>0</v>
      </c>
      <c r="AH386" s="137" t="s">
        <v>195</v>
      </c>
      <c r="AI386" s="137">
        <v>40.5</v>
      </c>
      <c r="AJ386" s="137" t="s">
        <v>193</v>
      </c>
      <c r="AK386" s="137">
        <v>2.528</v>
      </c>
      <c r="AL386" s="137">
        <v>0</v>
      </c>
      <c r="AM386" s="137">
        <v>100</v>
      </c>
      <c r="AN386" s="137" t="s">
        <v>193</v>
      </c>
      <c r="AO386" s="137" t="s">
        <v>193</v>
      </c>
      <c r="AQ386" s="12">
        <f t="shared" ref="AQ386:AQ413" si="53">SUMPRODUCT(J386:AF386)+IFERROR(AJ386/1,0)</f>
        <v>118.31700000000001</v>
      </c>
      <c r="AR386" s="12">
        <f t="shared" si="51"/>
        <v>120.84500000000001</v>
      </c>
      <c r="AT386" s="12">
        <f t="shared" ref="AT386:AT414" si="54">IFERROR(D386/1,0)</f>
        <v>62.24</v>
      </c>
      <c r="AU386" s="12">
        <f t="shared" ref="AU386:AU414" si="55">IFERROR(E386/1,0)</f>
        <v>12.212</v>
      </c>
      <c r="AV386" s="13">
        <f t="shared" ref="AV386:AV414" si="56">IFERROR((AT386+AU386)/AR386,"")</f>
        <v>0.61609499772435761</v>
      </c>
      <c r="AY386" s="12">
        <f t="shared" ref="AY386:AY414" si="57">IFERROR(AK386/1,0)</f>
        <v>2.528</v>
      </c>
      <c r="AZ386" s="12">
        <f t="shared" ref="AZ386:BB414" si="58">IFERROR(AL386/100,0)*$AY386</f>
        <v>0</v>
      </c>
      <c r="BA386" s="12">
        <f t="shared" si="58"/>
        <v>2.528</v>
      </c>
      <c r="BB386" s="12">
        <f t="shared" si="58"/>
        <v>0</v>
      </c>
      <c r="BC386" s="12">
        <f t="shared" si="52"/>
        <v>0</v>
      </c>
      <c r="BD386" s="12">
        <f t="shared" ref="BD386:BD414" si="59">MAX(AY386-SUM(AZ386:BC386),0)</f>
        <v>0</v>
      </c>
    </row>
    <row r="387" spans="1:56" ht="15" customHeight="1" x14ac:dyDescent="0.25">
      <c r="A387" s="137" t="s">
        <v>707</v>
      </c>
      <c r="B387" s="137" t="s">
        <v>708</v>
      </c>
      <c r="C387" s="137">
        <v>2018</v>
      </c>
      <c r="D387" s="137" t="s">
        <v>193</v>
      </c>
      <c r="E387" s="137" t="s">
        <v>193</v>
      </c>
      <c r="F387" s="137" t="s">
        <v>193</v>
      </c>
      <c r="G387" s="137" t="s">
        <v>193</v>
      </c>
      <c r="H387" s="137" t="s">
        <v>193</v>
      </c>
      <c r="I387" s="137" t="s">
        <v>193</v>
      </c>
      <c r="J387" s="137" t="s">
        <v>193</v>
      </c>
      <c r="K387" s="137" t="s">
        <v>193</v>
      </c>
      <c r="L387" s="137" t="s">
        <v>193</v>
      </c>
      <c r="M387" s="137" t="s">
        <v>193</v>
      </c>
      <c r="N387" s="137" t="s">
        <v>193</v>
      </c>
      <c r="O387" s="137" t="s">
        <v>193</v>
      </c>
      <c r="P387" s="137" t="s">
        <v>193</v>
      </c>
      <c r="Q387" s="137" t="s">
        <v>193</v>
      </c>
      <c r="R387" s="137" t="s">
        <v>193</v>
      </c>
      <c r="S387" s="137" t="s">
        <v>193</v>
      </c>
      <c r="T387" s="137" t="s">
        <v>193</v>
      </c>
      <c r="U387" s="137" t="s">
        <v>193</v>
      </c>
      <c r="V387" s="137" t="s">
        <v>193</v>
      </c>
      <c r="W387" s="137" t="s">
        <v>193</v>
      </c>
      <c r="X387" s="137" t="s">
        <v>193</v>
      </c>
      <c r="Y387" s="137" t="s">
        <v>193</v>
      </c>
      <c r="Z387" s="137" t="s">
        <v>193</v>
      </c>
      <c r="AA387" s="137" t="s">
        <v>193</v>
      </c>
      <c r="AB387" s="137" t="s">
        <v>193</v>
      </c>
      <c r="AC387" s="137" t="s">
        <v>193</v>
      </c>
      <c r="AD387" s="137" t="s">
        <v>193</v>
      </c>
      <c r="AE387" s="137" t="s">
        <v>193</v>
      </c>
      <c r="AF387" s="137" t="s">
        <v>193</v>
      </c>
      <c r="AG387" s="137" t="s">
        <v>193</v>
      </c>
      <c r="AH387" s="137" t="s">
        <v>53</v>
      </c>
      <c r="AI387" s="137" t="s">
        <v>193</v>
      </c>
      <c r="AJ387" s="137" t="s">
        <v>193</v>
      </c>
      <c r="AK387" s="137" t="s">
        <v>193</v>
      </c>
      <c r="AL387" s="137" t="s">
        <v>193</v>
      </c>
      <c r="AM387" s="137" t="s">
        <v>193</v>
      </c>
      <c r="AN387" s="137" t="s">
        <v>193</v>
      </c>
      <c r="AO387" s="137" t="s">
        <v>193</v>
      </c>
      <c r="AQ387" s="12">
        <f t="shared" si="53"/>
        <v>0</v>
      </c>
      <c r="AR387" s="12">
        <f t="shared" si="51"/>
        <v>0</v>
      </c>
      <c r="AT387" s="12">
        <f t="shared" si="54"/>
        <v>0</v>
      </c>
      <c r="AU387" s="12">
        <f t="shared" si="55"/>
        <v>0</v>
      </c>
      <c r="AV387" s="13" t="str">
        <f t="shared" si="56"/>
        <v/>
      </c>
      <c r="AY387" s="12">
        <f t="shared" si="57"/>
        <v>0</v>
      </c>
      <c r="AZ387" s="12">
        <f t="shared" si="58"/>
        <v>0</v>
      </c>
      <c r="BA387" s="12">
        <f t="shared" si="58"/>
        <v>0</v>
      </c>
      <c r="BB387" s="12">
        <f t="shared" si="58"/>
        <v>0</v>
      </c>
      <c r="BC387" s="12">
        <f t="shared" si="52"/>
        <v>0</v>
      </c>
      <c r="BD387" s="12">
        <f t="shared" si="59"/>
        <v>0</v>
      </c>
    </row>
    <row r="388" spans="1:56" ht="15" customHeight="1" x14ac:dyDescent="0.25">
      <c r="A388" s="137" t="s">
        <v>707</v>
      </c>
      <c r="B388" s="137" t="s">
        <v>709</v>
      </c>
      <c r="C388" s="137">
        <v>2018</v>
      </c>
      <c r="D388" s="137" t="s">
        <v>53</v>
      </c>
      <c r="E388" s="137" t="s">
        <v>53</v>
      </c>
      <c r="F388" s="137" t="s">
        <v>53</v>
      </c>
      <c r="G388" s="137" t="s">
        <v>53</v>
      </c>
      <c r="H388" s="137" t="s">
        <v>53</v>
      </c>
      <c r="I388" s="137" t="s">
        <v>53</v>
      </c>
      <c r="J388" s="137" t="s">
        <v>53</v>
      </c>
      <c r="K388" s="137" t="s">
        <v>53</v>
      </c>
      <c r="L388" s="137" t="s">
        <v>53</v>
      </c>
      <c r="M388" s="137" t="s">
        <v>53</v>
      </c>
      <c r="N388" s="137" t="s">
        <v>53</v>
      </c>
      <c r="O388" s="137" t="s">
        <v>53</v>
      </c>
      <c r="P388" s="137" t="s">
        <v>53</v>
      </c>
      <c r="Q388" s="137" t="s">
        <v>53</v>
      </c>
      <c r="R388" s="137" t="s">
        <v>53</v>
      </c>
      <c r="S388" s="137" t="s">
        <v>53</v>
      </c>
      <c r="T388" s="137" t="s">
        <v>53</v>
      </c>
      <c r="U388" s="137" t="s">
        <v>53</v>
      </c>
      <c r="V388" s="137" t="s">
        <v>53</v>
      </c>
      <c r="W388" s="137" t="s">
        <v>53</v>
      </c>
      <c r="X388" s="137" t="s">
        <v>53</v>
      </c>
      <c r="Y388" s="137" t="s">
        <v>53</v>
      </c>
      <c r="Z388" s="137" t="s">
        <v>53</v>
      </c>
      <c r="AA388" s="137" t="s">
        <v>53</v>
      </c>
      <c r="AB388" s="137" t="s">
        <v>53</v>
      </c>
      <c r="AC388" s="137" t="s">
        <v>53</v>
      </c>
      <c r="AD388" s="137" t="s">
        <v>53</v>
      </c>
      <c r="AE388" s="137" t="s">
        <v>53</v>
      </c>
      <c r="AF388" s="137" t="s">
        <v>53</v>
      </c>
      <c r="AG388" s="137" t="s">
        <v>53</v>
      </c>
      <c r="AH388" s="137" t="s">
        <v>53</v>
      </c>
      <c r="AI388" s="137" t="s">
        <v>53</v>
      </c>
      <c r="AJ388" s="137" t="s">
        <v>53</v>
      </c>
      <c r="AK388" s="137" t="s">
        <v>53</v>
      </c>
      <c r="AL388" s="137" t="s">
        <v>53</v>
      </c>
      <c r="AM388" s="137" t="s">
        <v>53</v>
      </c>
      <c r="AN388" s="137" t="s">
        <v>53</v>
      </c>
      <c r="AO388" s="137" t="s">
        <v>53</v>
      </c>
      <c r="AQ388" s="12">
        <f t="shared" si="53"/>
        <v>0</v>
      </c>
      <c r="AR388" s="12">
        <f t="shared" si="51"/>
        <v>0</v>
      </c>
      <c r="AT388" s="12">
        <f t="shared" si="54"/>
        <v>0</v>
      </c>
      <c r="AU388" s="12">
        <f t="shared" si="55"/>
        <v>0</v>
      </c>
      <c r="AV388" s="13" t="str">
        <f t="shared" si="56"/>
        <v/>
      </c>
      <c r="AY388" s="12">
        <f t="shared" si="57"/>
        <v>0</v>
      </c>
      <c r="AZ388" s="12">
        <f t="shared" si="58"/>
        <v>0</v>
      </c>
      <c r="BA388" s="12">
        <f t="shared" si="58"/>
        <v>0</v>
      </c>
      <c r="BB388" s="12">
        <f t="shared" si="58"/>
        <v>0</v>
      </c>
      <c r="BC388" s="12">
        <f t="shared" si="52"/>
        <v>0</v>
      </c>
      <c r="BD388" s="12">
        <f t="shared" si="59"/>
        <v>0</v>
      </c>
    </row>
    <row r="389" spans="1:56" ht="15" customHeight="1" x14ac:dyDescent="0.25">
      <c r="A389" s="137" t="s">
        <v>707</v>
      </c>
      <c r="B389" s="137" t="s">
        <v>710</v>
      </c>
      <c r="C389" s="137">
        <v>2018</v>
      </c>
      <c r="D389" s="137" t="s">
        <v>193</v>
      </c>
      <c r="E389" s="137" t="s">
        <v>193</v>
      </c>
      <c r="F389" s="137" t="s">
        <v>193</v>
      </c>
      <c r="G389" s="137" t="s">
        <v>193</v>
      </c>
      <c r="H389" s="137" t="s">
        <v>193</v>
      </c>
      <c r="I389" s="137" t="s">
        <v>193</v>
      </c>
      <c r="J389" s="137" t="s">
        <v>193</v>
      </c>
      <c r="K389" s="137" t="s">
        <v>193</v>
      </c>
      <c r="L389" s="137" t="s">
        <v>193</v>
      </c>
      <c r="M389" s="137" t="s">
        <v>193</v>
      </c>
      <c r="N389" s="137" t="s">
        <v>193</v>
      </c>
      <c r="O389" s="137" t="s">
        <v>193</v>
      </c>
      <c r="P389" s="137" t="s">
        <v>193</v>
      </c>
      <c r="Q389" s="137" t="s">
        <v>193</v>
      </c>
      <c r="R389" s="137" t="s">
        <v>193</v>
      </c>
      <c r="S389" s="137" t="s">
        <v>193</v>
      </c>
      <c r="T389" s="137" t="s">
        <v>193</v>
      </c>
      <c r="U389" s="137" t="s">
        <v>193</v>
      </c>
      <c r="V389" s="137" t="s">
        <v>193</v>
      </c>
      <c r="W389" s="137" t="s">
        <v>193</v>
      </c>
      <c r="X389" s="137" t="s">
        <v>193</v>
      </c>
      <c r="Y389" s="137" t="s">
        <v>193</v>
      </c>
      <c r="Z389" s="137" t="s">
        <v>193</v>
      </c>
      <c r="AA389" s="137" t="s">
        <v>193</v>
      </c>
      <c r="AB389" s="137" t="s">
        <v>193</v>
      </c>
      <c r="AC389" s="137" t="s">
        <v>193</v>
      </c>
      <c r="AD389" s="137" t="s">
        <v>193</v>
      </c>
      <c r="AE389" s="137" t="s">
        <v>193</v>
      </c>
      <c r="AF389" s="137" t="s">
        <v>193</v>
      </c>
      <c r="AG389" s="137" t="s">
        <v>193</v>
      </c>
      <c r="AH389" s="137" t="s">
        <v>53</v>
      </c>
      <c r="AI389" s="137" t="s">
        <v>193</v>
      </c>
      <c r="AJ389" s="137" t="s">
        <v>193</v>
      </c>
      <c r="AK389" s="137" t="s">
        <v>193</v>
      </c>
      <c r="AL389" s="137" t="s">
        <v>193</v>
      </c>
      <c r="AM389" s="137" t="s">
        <v>193</v>
      </c>
      <c r="AN389" s="137" t="s">
        <v>193</v>
      </c>
      <c r="AO389" s="137" t="s">
        <v>193</v>
      </c>
      <c r="AQ389" s="12">
        <f t="shared" si="53"/>
        <v>0</v>
      </c>
      <c r="AR389" s="12">
        <f t="shared" si="51"/>
        <v>0</v>
      </c>
      <c r="AT389" s="12">
        <f t="shared" si="54"/>
        <v>0</v>
      </c>
      <c r="AU389" s="12">
        <f t="shared" si="55"/>
        <v>0</v>
      </c>
      <c r="AV389" s="13" t="str">
        <f t="shared" si="56"/>
        <v/>
      </c>
      <c r="AY389" s="12">
        <f t="shared" si="57"/>
        <v>0</v>
      </c>
      <c r="AZ389" s="12">
        <f t="shared" si="58"/>
        <v>0</v>
      </c>
      <c r="BA389" s="12">
        <f t="shared" si="58"/>
        <v>0</v>
      </c>
      <c r="BB389" s="12">
        <f t="shared" si="58"/>
        <v>0</v>
      </c>
      <c r="BC389" s="12">
        <f t="shared" si="52"/>
        <v>0</v>
      </c>
      <c r="BD389" s="12">
        <f t="shared" si="59"/>
        <v>0</v>
      </c>
    </row>
    <row r="390" spans="1:56" ht="15" customHeight="1" x14ac:dyDescent="0.25">
      <c r="A390" s="137" t="s">
        <v>707</v>
      </c>
      <c r="B390" s="137" t="s">
        <v>711</v>
      </c>
      <c r="C390" s="137">
        <v>2018</v>
      </c>
      <c r="D390" s="137" t="s">
        <v>53</v>
      </c>
      <c r="E390" s="137" t="s">
        <v>53</v>
      </c>
      <c r="F390" s="137" t="s">
        <v>53</v>
      </c>
      <c r="G390" s="137" t="s">
        <v>53</v>
      </c>
      <c r="H390" s="137" t="s">
        <v>53</v>
      </c>
      <c r="I390" s="137" t="s">
        <v>53</v>
      </c>
      <c r="J390" s="137" t="s">
        <v>53</v>
      </c>
      <c r="K390" s="137" t="s">
        <v>53</v>
      </c>
      <c r="L390" s="137" t="s">
        <v>53</v>
      </c>
      <c r="M390" s="137" t="s">
        <v>53</v>
      </c>
      <c r="N390" s="137" t="s">
        <v>53</v>
      </c>
      <c r="O390" s="137" t="s">
        <v>53</v>
      </c>
      <c r="P390" s="137" t="s">
        <v>53</v>
      </c>
      <c r="Q390" s="137" t="s">
        <v>53</v>
      </c>
      <c r="R390" s="137" t="s">
        <v>53</v>
      </c>
      <c r="S390" s="137" t="s">
        <v>53</v>
      </c>
      <c r="T390" s="137" t="s">
        <v>53</v>
      </c>
      <c r="U390" s="137" t="s">
        <v>53</v>
      </c>
      <c r="V390" s="137" t="s">
        <v>53</v>
      </c>
      <c r="W390" s="137" t="s">
        <v>53</v>
      </c>
      <c r="X390" s="137" t="s">
        <v>53</v>
      </c>
      <c r="Y390" s="137" t="s">
        <v>53</v>
      </c>
      <c r="Z390" s="137" t="s">
        <v>53</v>
      </c>
      <c r="AA390" s="137" t="s">
        <v>53</v>
      </c>
      <c r="AB390" s="137" t="s">
        <v>53</v>
      </c>
      <c r="AC390" s="137" t="s">
        <v>53</v>
      </c>
      <c r="AD390" s="137" t="s">
        <v>53</v>
      </c>
      <c r="AE390" s="137" t="s">
        <v>53</v>
      </c>
      <c r="AF390" s="137" t="s">
        <v>53</v>
      </c>
      <c r="AG390" s="137" t="s">
        <v>53</v>
      </c>
      <c r="AH390" s="137" t="s">
        <v>53</v>
      </c>
      <c r="AI390" s="137" t="s">
        <v>53</v>
      </c>
      <c r="AJ390" s="137" t="s">
        <v>53</v>
      </c>
      <c r="AK390" s="137" t="s">
        <v>53</v>
      </c>
      <c r="AL390" s="137" t="s">
        <v>53</v>
      </c>
      <c r="AM390" s="137" t="s">
        <v>53</v>
      </c>
      <c r="AN390" s="137" t="s">
        <v>53</v>
      </c>
      <c r="AO390" s="137" t="s">
        <v>53</v>
      </c>
      <c r="AQ390" s="12">
        <f t="shared" si="53"/>
        <v>0</v>
      </c>
      <c r="AR390" s="12">
        <f t="shared" si="51"/>
        <v>0</v>
      </c>
      <c r="AT390" s="12">
        <f t="shared" si="54"/>
        <v>0</v>
      </c>
      <c r="AU390" s="12">
        <f t="shared" si="55"/>
        <v>0</v>
      </c>
      <c r="AV390" s="13" t="str">
        <f t="shared" si="56"/>
        <v/>
      </c>
      <c r="AY390" s="12">
        <f t="shared" si="57"/>
        <v>0</v>
      </c>
      <c r="AZ390" s="12">
        <f t="shared" si="58"/>
        <v>0</v>
      </c>
      <c r="BA390" s="12">
        <f t="shared" si="58"/>
        <v>0</v>
      </c>
      <c r="BB390" s="12">
        <f t="shared" si="58"/>
        <v>0</v>
      </c>
      <c r="BC390" s="12">
        <f t="shared" si="52"/>
        <v>0</v>
      </c>
      <c r="BD390" s="12">
        <f t="shared" si="59"/>
        <v>0</v>
      </c>
    </row>
    <row r="391" spans="1:56" ht="15" customHeight="1" x14ac:dyDescent="0.25">
      <c r="A391" s="137" t="s">
        <v>712</v>
      </c>
      <c r="B391" s="137" t="s">
        <v>713</v>
      </c>
      <c r="C391" s="137">
        <v>2018</v>
      </c>
      <c r="D391" s="137" t="s">
        <v>193</v>
      </c>
      <c r="E391" s="137" t="s">
        <v>193</v>
      </c>
      <c r="F391" s="137" t="s">
        <v>193</v>
      </c>
      <c r="G391" s="137" t="s">
        <v>193</v>
      </c>
      <c r="H391" s="137" t="s">
        <v>193</v>
      </c>
      <c r="I391" s="137" t="s">
        <v>193</v>
      </c>
      <c r="J391" s="137" t="s">
        <v>193</v>
      </c>
      <c r="K391" s="137" t="s">
        <v>193</v>
      </c>
      <c r="L391" s="137" t="s">
        <v>193</v>
      </c>
      <c r="M391" s="137" t="s">
        <v>193</v>
      </c>
      <c r="N391" s="137" t="s">
        <v>193</v>
      </c>
      <c r="O391" s="137" t="s">
        <v>193</v>
      </c>
      <c r="P391" s="137" t="s">
        <v>193</v>
      </c>
      <c r="Q391" s="137" t="s">
        <v>193</v>
      </c>
      <c r="R391" s="137" t="s">
        <v>193</v>
      </c>
      <c r="S391" s="137" t="s">
        <v>193</v>
      </c>
      <c r="T391" s="137" t="s">
        <v>193</v>
      </c>
      <c r="U391" s="137" t="s">
        <v>193</v>
      </c>
      <c r="V391" s="137" t="s">
        <v>193</v>
      </c>
      <c r="W391" s="137" t="s">
        <v>193</v>
      </c>
      <c r="X391" s="137" t="s">
        <v>193</v>
      </c>
      <c r="Y391" s="137" t="s">
        <v>193</v>
      </c>
      <c r="Z391" s="137" t="s">
        <v>193</v>
      </c>
      <c r="AA391" s="137" t="s">
        <v>193</v>
      </c>
      <c r="AB391" s="137" t="s">
        <v>193</v>
      </c>
      <c r="AC391" s="137" t="s">
        <v>193</v>
      </c>
      <c r="AD391" s="137" t="s">
        <v>193</v>
      </c>
      <c r="AE391" s="137" t="s">
        <v>193</v>
      </c>
      <c r="AF391" s="137" t="s">
        <v>193</v>
      </c>
      <c r="AG391" s="137" t="s">
        <v>193</v>
      </c>
      <c r="AH391" s="137" t="s">
        <v>53</v>
      </c>
      <c r="AI391" s="137" t="s">
        <v>193</v>
      </c>
      <c r="AJ391" s="137" t="s">
        <v>193</v>
      </c>
      <c r="AK391" s="137" t="s">
        <v>193</v>
      </c>
      <c r="AL391" s="137" t="s">
        <v>193</v>
      </c>
      <c r="AM391" s="137" t="s">
        <v>193</v>
      </c>
      <c r="AN391" s="137" t="s">
        <v>193</v>
      </c>
      <c r="AO391" s="137" t="s">
        <v>193</v>
      </c>
      <c r="AQ391" s="12">
        <f t="shared" si="53"/>
        <v>0</v>
      </c>
      <c r="AR391" s="12">
        <f t="shared" si="51"/>
        <v>0</v>
      </c>
      <c r="AT391" s="12">
        <f t="shared" si="54"/>
        <v>0</v>
      </c>
      <c r="AU391" s="12">
        <f t="shared" si="55"/>
        <v>0</v>
      </c>
      <c r="AV391" s="13" t="str">
        <f t="shared" si="56"/>
        <v/>
      </c>
      <c r="AY391" s="12">
        <f t="shared" si="57"/>
        <v>0</v>
      </c>
      <c r="AZ391" s="12">
        <f t="shared" si="58"/>
        <v>0</v>
      </c>
      <c r="BA391" s="12">
        <f t="shared" si="58"/>
        <v>0</v>
      </c>
      <c r="BB391" s="12">
        <f t="shared" si="58"/>
        <v>0</v>
      </c>
      <c r="BC391" s="12">
        <f t="shared" si="52"/>
        <v>0</v>
      </c>
      <c r="BD391" s="12">
        <f t="shared" si="59"/>
        <v>0</v>
      </c>
    </row>
    <row r="392" spans="1:56" ht="15" customHeight="1" x14ac:dyDescent="0.25">
      <c r="A392" s="137" t="s">
        <v>712</v>
      </c>
      <c r="B392" s="137" t="s">
        <v>714</v>
      </c>
      <c r="C392" s="137">
        <v>2018</v>
      </c>
      <c r="D392" s="137" t="s">
        <v>193</v>
      </c>
      <c r="E392" s="137" t="s">
        <v>193</v>
      </c>
      <c r="F392" s="137" t="s">
        <v>193</v>
      </c>
      <c r="G392" s="137" t="s">
        <v>193</v>
      </c>
      <c r="H392" s="137" t="s">
        <v>193</v>
      </c>
      <c r="I392" s="137" t="s">
        <v>193</v>
      </c>
      <c r="J392" s="137" t="s">
        <v>193</v>
      </c>
      <c r="K392" s="137" t="s">
        <v>193</v>
      </c>
      <c r="L392" s="137" t="s">
        <v>193</v>
      </c>
      <c r="M392" s="137" t="s">
        <v>193</v>
      </c>
      <c r="N392" s="137" t="s">
        <v>193</v>
      </c>
      <c r="O392" s="137" t="s">
        <v>193</v>
      </c>
      <c r="P392" s="137" t="s">
        <v>193</v>
      </c>
      <c r="Q392" s="137" t="s">
        <v>193</v>
      </c>
      <c r="R392" s="137" t="s">
        <v>193</v>
      </c>
      <c r="S392" s="137" t="s">
        <v>193</v>
      </c>
      <c r="T392" s="137" t="s">
        <v>193</v>
      </c>
      <c r="U392" s="137" t="s">
        <v>193</v>
      </c>
      <c r="V392" s="137" t="s">
        <v>193</v>
      </c>
      <c r="W392" s="137" t="s">
        <v>193</v>
      </c>
      <c r="X392" s="137" t="s">
        <v>193</v>
      </c>
      <c r="Y392" s="137" t="s">
        <v>193</v>
      </c>
      <c r="Z392" s="137" t="s">
        <v>193</v>
      </c>
      <c r="AA392" s="137" t="s">
        <v>193</v>
      </c>
      <c r="AB392" s="137" t="s">
        <v>193</v>
      </c>
      <c r="AC392" s="137" t="s">
        <v>193</v>
      </c>
      <c r="AD392" s="137" t="s">
        <v>193</v>
      </c>
      <c r="AE392" s="137" t="s">
        <v>193</v>
      </c>
      <c r="AF392" s="137" t="s">
        <v>193</v>
      </c>
      <c r="AG392" s="137" t="s">
        <v>193</v>
      </c>
      <c r="AH392" s="137" t="s">
        <v>53</v>
      </c>
      <c r="AI392" s="137" t="s">
        <v>193</v>
      </c>
      <c r="AJ392" s="137" t="s">
        <v>193</v>
      </c>
      <c r="AK392" s="137" t="s">
        <v>193</v>
      </c>
      <c r="AL392" s="137" t="s">
        <v>193</v>
      </c>
      <c r="AM392" s="137" t="s">
        <v>193</v>
      </c>
      <c r="AN392" s="137" t="s">
        <v>193</v>
      </c>
      <c r="AO392" s="137" t="s">
        <v>193</v>
      </c>
      <c r="AQ392" s="12">
        <f t="shared" si="53"/>
        <v>0</v>
      </c>
      <c r="AR392" s="12">
        <f t="shared" si="51"/>
        <v>0</v>
      </c>
      <c r="AT392" s="12">
        <f t="shared" si="54"/>
        <v>0</v>
      </c>
      <c r="AU392" s="12">
        <f t="shared" si="55"/>
        <v>0</v>
      </c>
      <c r="AV392" s="13" t="str">
        <f t="shared" si="56"/>
        <v/>
      </c>
      <c r="AY392" s="12">
        <f t="shared" si="57"/>
        <v>0</v>
      </c>
      <c r="AZ392" s="12">
        <f t="shared" si="58"/>
        <v>0</v>
      </c>
      <c r="BA392" s="12">
        <f t="shared" si="58"/>
        <v>0</v>
      </c>
      <c r="BB392" s="12">
        <f t="shared" si="58"/>
        <v>0</v>
      </c>
      <c r="BC392" s="12">
        <f t="shared" si="52"/>
        <v>0</v>
      </c>
      <c r="BD392" s="12">
        <f t="shared" si="59"/>
        <v>0</v>
      </c>
    </row>
    <row r="393" spans="1:56" ht="15" customHeight="1" x14ac:dyDescent="0.25">
      <c r="A393" s="137" t="s">
        <v>712</v>
      </c>
      <c r="B393" s="137" t="s">
        <v>715</v>
      </c>
      <c r="C393" s="137">
        <v>2018</v>
      </c>
      <c r="D393" s="137" t="s">
        <v>193</v>
      </c>
      <c r="E393" s="137" t="s">
        <v>193</v>
      </c>
      <c r="F393" s="137" t="s">
        <v>193</v>
      </c>
      <c r="G393" s="137" t="s">
        <v>193</v>
      </c>
      <c r="H393" s="137" t="s">
        <v>193</v>
      </c>
      <c r="I393" s="137" t="s">
        <v>193</v>
      </c>
      <c r="J393" s="137" t="s">
        <v>193</v>
      </c>
      <c r="K393" s="137" t="s">
        <v>193</v>
      </c>
      <c r="L393" s="137" t="s">
        <v>193</v>
      </c>
      <c r="M393" s="137" t="s">
        <v>193</v>
      </c>
      <c r="N393" s="137" t="s">
        <v>193</v>
      </c>
      <c r="O393" s="137" t="s">
        <v>193</v>
      </c>
      <c r="P393" s="137" t="s">
        <v>193</v>
      </c>
      <c r="Q393" s="137" t="s">
        <v>193</v>
      </c>
      <c r="R393" s="137" t="s">
        <v>193</v>
      </c>
      <c r="S393" s="137" t="s">
        <v>193</v>
      </c>
      <c r="T393" s="137" t="s">
        <v>193</v>
      </c>
      <c r="U393" s="137" t="s">
        <v>193</v>
      </c>
      <c r="V393" s="137" t="s">
        <v>193</v>
      </c>
      <c r="W393" s="137" t="s">
        <v>193</v>
      </c>
      <c r="X393" s="137" t="s">
        <v>193</v>
      </c>
      <c r="Y393" s="137" t="s">
        <v>193</v>
      </c>
      <c r="Z393" s="137" t="s">
        <v>193</v>
      </c>
      <c r="AA393" s="137" t="s">
        <v>193</v>
      </c>
      <c r="AB393" s="137" t="s">
        <v>193</v>
      </c>
      <c r="AC393" s="137" t="s">
        <v>193</v>
      </c>
      <c r="AD393" s="137" t="s">
        <v>193</v>
      </c>
      <c r="AE393" s="137" t="s">
        <v>193</v>
      </c>
      <c r="AF393" s="137" t="s">
        <v>193</v>
      </c>
      <c r="AG393" s="137" t="s">
        <v>193</v>
      </c>
      <c r="AH393" s="137" t="s">
        <v>53</v>
      </c>
      <c r="AI393" s="137" t="s">
        <v>193</v>
      </c>
      <c r="AJ393" s="137" t="s">
        <v>193</v>
      </c>
      <c r="AK393" s="137" t="s">
        <v>193</v>
      </c>
      <c r="AL393" s="137" t="s">
        <v>193</v>
      </c>
      <c r="AM393" s="137" t="s">
        <v>193</v>
      </c>
      <c r="AN393" s="137" t="s">
        <v>193</v>
      </c>
      <c r="AO393" s="137" t="s">
        <v>193</v>
      </c>
      <c r="AQ393" s="12">
        <f t="shared" si="53"/>
        <v>0</v>
      </c>
      <c r="AR393" s="12">
        <f t="shared" si="51"/>
        <v>0</v>
      </c>
      <c r="AT393" s="12">
        <f t="shared" si="54"/>
        <v>0</v>
      </c>
      <c r="AU393" s="12">
        <f t="shared" si="55"/>
        <v>0</v>
      </c>
      <c r="AV393" s="13" t="str">
        <f t="shared" si="56"/>
        <v/>
      </c>
      <c r="AY393" s="12">
        <f t="shared" si="57"/>
        <v>0</v>
      </c>
      <c r="AZ393" s="12">
        <f t="shared" si="58"/>
        <v>0</v>
      </c>
      <c r="BA393" s="12">
        <f t="shared" si="58"/>
        <v>0</v>
      </c>
      <c r="BB393" s="12">
        <f t="shared" si="58"/>
        <v>0</v>
      </c>
      <c r="BC393" s="12">
        <f t="shared" si="52"/>
        <v>0</v>
      </c>
      <c r="BD393" s="12">
        <f t="shared" si="59"/>
        <v>0</v>
      </c>
    </row>
    <row r="394" spans="1:56" ht="15" customHeight="1" x14ac:dyDescent="0.25">
      <c r="A394" s="137" t="s">
        <v>712</v>
      </c>
      <c r="B394" s="137" t="s">
        <v>716</v>
      </c>
      <c r="C394" s="137">
        <v>2018</v>
      </c>
      <c r="D394" s="137" t="s">
        <v>193</v>
      </c>
      <c r="E394" s="137" t="s">
        <v>193</v>
      </c>
      <c r="F394" s="137" t="s">
        <v>193</v>
      </c>
      <c r="G394" s="137" t="s">
        <v>193</v>
      </c>
      <c r="H394" s="137" t="s">
        <v>193</v>
      </c>
      <c r="I394" s="137" t="s">
        <v>193</v>
      </c>
      <c r="J394" s="137" t="s">
        <v>193</v>
      </c>
      <c r="K394" s="137" t="s">
        <v>193</v>
      </c>
      <c r="L394" s="137" t="s">
        <v>193</v>
      </c>
      <c r="M394" s="137" t="s">
        <v>193</v>
      </c>
      <c r="N394" s="137" t="s">
        <v>193</v>
      </c>
      <c r="O394" s="137" t="s">
        <v>193</v>
      </c>
      <c r="P394" s="137" t="s">
        <v>193</v>
      </c>
      <c r="Q394" s="137" t="s">
        <v>193</v>
      </c>
      <c r="R394" s="137" t="s">
        <v>193</v>
      </c>
      <c r="S394" s="137" t="s">
        <v>193</v>
      </c>
      <c r="T394" s="137" t="s">
        <v>193</v>
      </c>
      <c r="U394" s="137" t="s">
        <v>193</v>
      </c>
      <c r="V394" s="137" t="s">
        <v>193</v>
      </c>
      <c r="W394" s="137" t="s">
        <v>193</v>
      </c>
      <c r="X394" s="137" t="s">
        <v>193</v>
      </c>
      <c r="Y394" s="137" t="s">
        <v>193</v>
      </c>
      <c r="Z394" s="137" t="s">
        <v>193</v>
      </c>
      <c r="AA394" s="137" t="s">
        <v>193</v>
      </c>
      <c r="AB394" s="137" t="s">
        <v>193</v>
      </c>
      <c r="AC394" s="137" t="s">
        <v>193</v>
      </c>
      <c r="AD394" s="137" t="s">
        <v>193</v>
      </c>
      <c r="AE394" s="137" t="s">
        <v>193</v>
      </c>
      <c r="AF394" s="137" t="s">
        <v>193</v>
      </c>
      <c r="AG394" s="137" t="s">
        <v>193</v>
      </c>
      <c r="AH394" s="137" t="s">
        <v>53</v>
      </c>
      <c r="AI394" s="137" t="s">
        <v>193</v>
      </c>
      <c r="AJ394" s="137" t="s">
        <v>193</v>
      </c>
      <c r="AK394" s="137" t="s">
        <v>193</v>
      </c>
      <c r="AL394" s="137" t="s">
        <v>193</v>
      </c>
      <c r="AM394" s="137" t="s">
        <v>193</v>
      </c>
      <c r="AN394" s="137" t="s">
        <v>193</v>
      </c>
      <c r="AO394" s="137" t="s">
        <v>193</v>
      </c>
      <c r="AQ394" s="12">
        <f t="shared" si="53"/>
        <v>0</v>
      </c>
      <c r="AR394" s="12">
        <f t="shared" si="51"/>
        <v>0</v>
      </c>
      <c r="AT394" s="12">
        <f t="shared" si="54"/>
        <v>0</v>
      </c>
      <c r="AU394" s="12">
        <f t="shared" si="55"/>
        <v>0</v>
      </c>
      <c r="AV394" s="13" t="str">
        <f t="shared" si="56"/>
        <v/>
      </c>
      <c r="AY394" s="12">
        <f t="shared" si="57"/>
        <v>0</v>
      </c>
      <c r="AZ394" s="12">
        <f t="shared" si="58"/>
        <v>0</v>
      </c>
      <c r="BA394" s="12">
        <f t="shared" si="58"/>
        <v>0</v>
      </c>
      <c r="BB394" s="12">
        <f t="shared" si="58"/>
        <v>0</v>
      </c>
      <c r="BC394" s="12">
        <f t="shared" si="52"/>
        <v>0</v>
      </c>
      <c r="BD394" s="12">
        <f t="shared" si="59"/>
        <v>0</v>
      </c>
    </row>
    <row r="395" spans="1:56" ht="15" customHeight="1" x14ac:dyDescent="0.25">
      <c r="A395" s="137" t="s">
        <v>712</v>
      </c>
      <c r="B395" s="137" t="s">
        <v>717</v>
      </c>
      <c r="C395" s="137">
        <v>2018</v>
      </c>
      <c r="D395" s="137">
        <v>530.9</v>
      </c>
      <c r="E395" s="137">
        <v>223.7</v>
      </c>
      <c r="F395" s="137">
        <v>0</v>
      </c>
      <c r="G395" s="137" t="s">
        <v>193</v>
      </c>
      <c r="H395" s="137" t="s">
        <v>193</v>
      </c>
      <c r="I395" s="137">
        <v>928.3</v>
      </c>
      <c r="J395" s="137" t="s">
        <v>193</v>
      </c>
      <c r="K395" s="137">
        <v>2.5</v>
      </c>
      <c r="L395" s="137" t="s">
        <v>193</v>
      </c>
      <c r="M395" s="137" t="s">
        <v>193</v>
      </c>
      <c r="N395" s="137" t="s">
        <v>193</v>
      </c>
      <c r="O395" s="137" t="s">
        <v>193</v>
      </c>
      <c r="P395" s="137" t="s">
        <v>193</v>
      </c>
      <c r="Q395" s="137">
        <v>458.3</v>
      </c>
      <c r="R395" s="137">
        <v>105.5</v>
      </c>
      <c r="S395" s="137">
        <v>68</v>
      </c>
      <c r="T395" s="137">
        <v>114.9</v>
      </c>
      <c r="U395" s="137" t="s">
        <v>193</v>
      </c>
      <c r="V395" s="137" t="s">
        <v>193</v>
      </c>
      <c r="W395" s="137" t="s">
        <v>379</v>
      </c>
      <c r="X395" s="137" t="s">
        <v>193</v>
      </c>
      <c r="Y395" s="137" t="s">
        <v>193</v>
      </c>
      <c r="Z395" s="137" t="s">
        <v>193</v>
      </c>
      <c r="AA395" s="137">
        <v>57.2</v>
      </c>
      <c r="AB395" s="137" t="s">
        <v>193</v>
      </c>
      <c r="AC395" s="137" t="s">
        <v>193</v>
      </c>
      <c r="AD395" s="137" t="s">
        <v>193</v>
      </c>
      <c r="AE395" s="137">
        <v>58.4</v>
      </c>
      <c r="AF395" s="137" t="s">
        <v>193</v>
      </c>
      <c r="AG395" s="137" t="s">
        <v>193</v>
      </c>
      <c r="AH395" s="137" t="s">
        <v>199</v>
      </c>
      <c r="AI395" s="137" t="s">
        <v>193</v>
      </c>
      <c r="AJ395" s="137" t="s">
        <v>193</v>
      </c>
      <c r="AK395" s="137">
        <v>63.5</v>
      </c>
      <c r="AL395" s="137">
        <v>90</v>
      </c>
      <c r="AM395" s="137" t="s">
        <v>193</v>
      </c>
      <c r="AN395" s="137" t="s">
        <v>193</v>
      </c>
      <c r="AO395" s="137">
        <v>10</v>
      </c>
      <c r="AQ395" s="12">
        <f t="shared" si="53"/>
        <v>864.8</v>
      </c>
      <c r="AR395" s="12">
        <f t="shared" si="51"/>
        <v>928.3</v>
      </c>
      <c r="AT395" s="12">
        <f t="shared" si="54"/>
        <v>530.9</v>
      </c>
      <c r="AU395" s="12">
        <f t="shared" si="55"/>
        <v>223.7</v>
      </c>
      <c r="AV395" s="13">
        <f t="shared" si="56"/>
        <v>0.81288376602391466</v>
      </c>
      <c r="AY395" s="12">
        <f t="shared" si="57"/>
        <v>63.5</v>
      </c>
      <c r="AZ395" s="12">
        <f t="shared" si="58"/>
        <v>57.15</v>
      </c>
      <c r="BA395" s="12">
        <f t="shared" si="58"/>
        <v>0</v>
      </c>
      <c r="BB395" s="12">
        <f t="shared" si="58"/>
        <v>0</v>
      </c>
      <c r="BC395" s="12">
        <f t="shared" si="52"/>
        <v>6.3500000000000005</v>
      </c>
      <c r="BD395" s="12">
        <f t="shared" si="59"/>
        <v>0</v>
      </c>
    </row>
    <row r="396" spans="1:56" ht="15" customHeight="1" x14ac:dyDescent="0.25">
      <c r="A396" s="137" t="s">
        <v>712</v>
      </c>
      <c r="B396" s="137" t="s">
        <v>718</v>
      </c>
      <c r="C396" s="137">
        <v>2018</v>
      </c>
      <c r="D396" s="137" t="s">
        <v>53</v>
      </c>
      <c r="E396" s="137" t="s">
        <v>53</v>
      </c>
      <c r="F396" s="137" t="s">
        <v>53</v>
      </c>
      <c r="G396" s="137" t="s">
        <v>53</v>
      </c>
      <c r="H396" s="137" t="s">
        <v>53</v>
      </c>
      <c r="I396" s="137" t="s">
        <v>53</v>
      </c>
      <c r="J396" s="137" t="s">
        <v>53</v>
      </c>
      <c r="K396" s="137" t="s">
        <v>53</v>
      </c>
      <c r="L396" s="137" t="s">
        <v>53</v>
      </c>
      <c r="M396" s="137" t="s">
        <v>53</v>
      </c>
      <c r="N396" s="137" t="s">
        <v>53</v>
      </c>
      <c r="O396" s="137" t="s">
        <v>53</v>
      </c>
      <c r="P396" s="137" t="s">
        <v>53</v>
      </c>
      <c r="Q396" s="137" t="s">
        <v>53</v>
      </c>
      <c r="R396" s="137" t="s">
        <v>53</v>
      </c>
      <c r="S396" s="137" t="s">
        <v>53</v>
      </c>
      <c r="T396" s="137" t="s">
        <v>53</v>
      </c>
      <c r="U396" s="137" t="s">
        <v>53</v>
      </c>
      <c r="V396" s="137" t="s">
        <v>53</v>
      </c>
      <c r="W396" s="137" t="s">
        <v>53</v>
      </c>
      <c r="X396" s="137" t="s">
        <v>53</v>
      </c>
      <c r="Y396" s="137" t="s">
        <v>53</v>
      </c>
      <c r="Z396" s="137" t="s">
        <v>53</v>
      </c>
      <c r="AA396" s="137" t="s">
        <v>53</v>
      </c>
      <c r="AB396" s="137" t="s">
        <v>53</v>
      </c>
      <c r="AC396" s="137" t="s">
        <v>53</v>
      </c>
      <c r="AD396" s="137" t="s">
        <v>53</v>
      </c>
      <c r="AE396" s="137" t="s">
        <v>53</v>
      </c>
      <c r="AF396" s="137" t="s">
        <v>53</v>
      </c>
      <c r="AG396" s="137" t="s">
        <v>53</v>
      </c>
      <c r="AH396" s="137" t="s">
        <v>53</v>
      </c>
      <c r="AI396" s="137" t="s">
        <v>53</v>
      </c>
      <c r="AJ396" s="137" t="s">
        <v>53</v>
      </c>
      <c r="AK396" s="137" t="s">
        <v>53</v>
      </c>
      <c r="AL396" s="137" t="s">
        <v>53</v>
      </c>
      <c r="AM396" s="137" t="s">
        <v>53</v>
      </c>
      <c r="AN396" s="137" t="s">
        <v>53</v>
      </c>
      <c r="AO396" s="137" t="s">
        <v>53</v>
      </c>
      <c r="AQ396" s="12">
        <f t="shared" si="53"/>
        <v>0</v>
      </c>
      <c r="AR396" s="12">
        <f t="shared" si="51"/>
        <v>0</v>
      </c>
      <c r="AT396" s="12">
        <f t="shared" si="54"/>
        <v>0</v>
      </c>
      <c r="AU396" s="12">
        <f t="shared" si="55"/>
        <v>0</v>
      </c>
      <c r="AV396" s="13" t="str">
        <f t="shared" si="56"/>
        <v/>
      </c>
      <c r="AY396" s="12">
        <f t="shared" si="57"/>
        <v>0</v>
      </c>
      <c r="AZ396" s="12">
        <f t="shared" si="58"/>
        <v>0</v>
      </c>
      <c r="BA396" s="12">
        <f t="shared" si="58"/>
        <v>0</v>
      </c>
      <c r="BB396" s="12">
        <f t="shared" si="58"/>
        <v>0</v>
      </c>
      <c r="BC396" s="12">
        <f t="shared" si="52"/>
        <v>0</v>
      </c>
      <c r="BD396" s="12">
        <f t="shared" si="59"/>
        <v>0</v>
      </c>
    </row>
    <row r="397" spans="1:56" ht="15" customHeight="1" x14ac:dyDescent="0.25">
      <c r="A397" s="137" t="s">
        <v>719</v>
      </c>
      <c r="B397" s="137" t="s">
        <v>720</v>
      </c>
      <c r="C397" s="137">
        <v>2018</v>
      </c>
      <c r="D397" s="137" t="s">
        <v>193</v>
      </c>
      <c r="E397" s="137" t="s">
        <v>193</v>
      </c>
      <c r="F397" s="137" t="s">
        <v>193</v>
      </c>
      <c r="G397" s="137" t="s">
        <v>193</v>
      </c>
      <c r="H397" s="137" t="s">
        <v>193</v>
      </c>
      <c r="I397" s="137" t="s">
        <v>193</v>
      </c>
      <c r="J397" s="137" t="s">
        <v>193</v>
      </c>
      <c r="K397" s="137" t="s">
        <v>193</v>
      </c>
      <c r="L397" s="137" t="s">
        <v>193</v>
      </c>
      <c r="M397" s="137" t="s">
        <v>193</v>
      </c>
      <c r="N397" s="137" t="s">
        <v>193</v>
      </c>
      <c r="O397" s="137" t="s">
        <v>193</v>
      </c>
      <c r="P397" s="137" t="s">
        <v>193</v>
      </c>
      <c r="Q397" s="137" t="s">
        <v>193</v>
      </c>
      <c r="R397" s="137" t="s">
        <v>193</v>
      </c>
      <c r="S397" s="137" t="s">
        <v>193</v>
      </c>
      <c r="T397" s="137" t="s">
        <v>193</v>
      </c>
      <c r="U397" s="137" t="s">
        <v>193</v>
      </c>
      <c r="V397" s="137" t="s">
        <v>193</v>
      </c>
      <c r="W397" s="137" t="s">
        <v>193</v>
      </c>
      <c r="X397" s="137" t="s">
        <v>193</v>
      </c>
      <c r="Y397" s="137" t="s">
        <v>193</v>
      </c>
      <c r="Z397" s="137" t="s">
        <v>193</v>
      </c>
      <c r="AA397" s="137" t="s">
        <v>193</v>
      </c>
      <c r="AB397" s="137" t="s">
        <v>193</v>
      </c>
      <c r="AC397" s="137" t="s">
        <v>193</v>
      </c>
      <c r="AD397" s="137" t="s">
        <v>193</v>
      </c>
      <c r="AE397" s="137" t="s">
        <v>193</v>
      </c>
      <c r="AF397" s="137" t="s">
        <v>193</v>
      </c>
      <c r="AG397" s="137" t="s">
        <v>193</v>
      </c>
      <c r="AH397" s="137" t="s">
        <v>199</v>
      </c>
      <c r="AI397" s="137" t="s">
        <v>193</v>
      </c>
      <c r="AJ397" s="137" t="s">
        <v>193</v>
      </c>
      <c r="AK397" s="137" t="s">
        <v>193</v>
      </c>
      <c r="AL397" s="137" t="s">
        <v>193</v>
      </c>
      <c r="AM397" s="137" t="s">
        <v>193</v>
      </c>
      <c r="AN397" s="137" t="s">
        <v>193</v>
      </c>
      <c r="AO397" s="137" t="s">
        <v>193</v>
      </c>
      <c r="AQ397" s="12">
        <f t="shared" si="53"/>
        <v>0</v>
      </c>
      <c r="AR397" s="12">
        <f t="shared" si="51"/>
        <v>0</v>
      </c>
      <c r="AT397" s="12">
        <f t="shared" si="54"/>
        <v>0</v>
      </c>
      <c r="AU397" s="12">
        <f t="shared" si="55"/>
        <v>0</v>
      </c>
      <c r="AV397" s="13" t="str">
        <f t="shared" si="56"/>
        <v/>
      </c>
      <c r="AY397" s="12">
        <f t="shared" si="57"/>
        <v>0</v>
      </c>
      <c r="AZ397" s="12">
        <f t="shared" si="58"/>
        <v>0</v>
      </c>
      <c r="BA397" s="12">
        <f t="shared" si="58"/>
        <v>0</v>
      </c>
      <c r="BB397" s="12">
        <f t="shared" si="58"/>
        <v>0</v>
      </c>
      <c r="BC397" s="12">
        <f t="shared" si="52"/>
        <v>0</v>
      </c>
      <c r="BD397" s="12">
        <f t="shared" si="59"/>
        <v>0</v>
      </c>
    </row>
    <row r="398" spans="1:56" ht="15" customHeight="1" x14ac:dyDescent="0.25">
      <c r="A398" s="137" t="s">
        <v>721</v>
      </c>
      <c r="B398" s="137" t="s">
        <v>722</v>
      </c>
      <c r="C398" s="137">
        <v>2018</v>
      </c>
      <c r="D398" s="137" t="s">
        <v>193</v>
      </c>
      <c r="E398" s="137" t="s">
        <v>193</v>
      </c>
      <c r="F398" s="137" t="s">
        <v>193</v>
      </c>
      <c r="G398" s="137" t="s">
        <v>193</v>
      </c>
      <c r="H398" s="137" t="s">
        <v>193</v>
      </c>
      <c r="I398" s="137" t="s">
        <v>193</v>
      </c>
      <c r="J398" s="137" t="s">
        <v>193</v>
      </c>
      <c r="K398" s="137" t="s">
        <v>193</v>
      </c>
      <c r="L398" s="137" t="s">
        <v>193</v>
      </c>
      <c r="M398" s="137" t="s">
        <v>193</v>
      </c>
      <c r="N398" s="137" t="s">
        <v>193</v>
      </c>
      <c r="O398" s="137" t="s">
        <v>193</v>
      </c>
      <c r="P398" s="137" t="s">
        <v>193</v>
      </c>
      <c r="Q398" s="137" t="s">
        <v>193</v>
      </c>
      <c r="R398" s="137" t="s">
        <v>193</v>
      </c>
      <c r="S398" s="137" t="s">
        <v>193</v>
      </c>
      <c r="T398" s="137" t="s">
        <v>193</v>
      </c>
      <c r="U398" s="137" t="s">
        <v>193</v>
      </c>
      <c r="V398" s="137" t="s">
        <v>193</v>
      </c>
      <c r="W398" s="137" t="s">
        <v>193</v>
      </c>
      <c r="X398" s="137" t="s">
        <v>193</v>
      </c>
      <c r="Y398" s="137" t="s">
        <v>193</v>
      </c>
      <c r="Z398" s="137" t="s">
        <v>193</v>
      </c>
      <c r="AA398" s="137" t="s">
        <v>193</v>
      </c>
      <c r="AB398" s="137" t="s">
        <v>193</v>
      </c>
      <c r="AC398" s="137" t="s">
        <v>193</v>
      </c>
      <c r="AD398" s="137" t="s">
        <v>193</v>
      </c>
      <c r="AE398" s="137" t="s">
        <v>193</v>
      </c>
      <c r="AF398" s="137" t="s">
        <v>193</v>
      </c>
      <c r="AG398" s="137" t="s">
        <v>193</v>
      </c>
      <c r="AH398" s="137" t="s">
        <v>199</v>
      </c>
      <c r="AI398" s="137" t="s">
        <v>193</v>
      </c>
      <c r="AJ398" s="137" t="s">
        <v>193</v>
      </c>
      <c r="AK398" s="137" t="s">
        <v>193</v>
      </c>
      <c r="AL398" s="137" t="s">
        <v>193</v>
      </c>
      <c r="AM398" s="137" t="s">
        <v>193</v>
      </c>
      <c r="AN398" s="137" t="s">
        <v>193</v>
      </c>
      <c r="AO398" s="137" t="s">
        <v>193</v>
      </c>
      <c r="AQ398" s="12">
        <f t="shared" si="53"/>
        <v>0</v>
      </c>
      <c r="AR398" s="12">
        <f t="shared" si="51"/>
        <v>0</v>
      </c>
      <c r="AT398" s="12">
        <f t="shared" si="54"/>
        <v>0</v>
      </c>
      <c r="AU398" s="12">
        <f t="shared" si="55"/>
        <v>0</v>
      </c>
      <c r="AV398" s="13" t="str">
        <f t="shared" si="56"/>
        <v/>
      </c>
      <c r="AY398" s="12">
        <f t="shared" si="57"/>
        <v>0</v>
      </c>
      <c r="AZ398" s="12">
        <f t="shared" si="58"/>
        <v>0</v>
      </c>
      <c r="BA398" s="12">
        <f t="shared" si="58"/>
        <v>0</v>
      </c>
      <c r="BB398" s="12">
        <f t="shared" si="58"/>
        <v>0</v>
      </c>
      <c r="BC398" s="12">
        <f t="shared" si="52"/>
        <v>0</v>
      </c>
      <c r="BD398" s="12">
        <f t="shared" si="59"/>
        <v>0</v>
      </c>
    </row>
    <row r="399" spans="1:56" ht="15" customHeight="1" x14ac:dyDescent="0.25">
      <c r="A399" s="137" t="s">
        <v>721</v>
      </c>
      <c r="B399" s="137" t="s">
        <v>723</v>
      </c>
      <c r="C399" s="137">
        <v>2018</v>
      </c>
      <c r="D399" s="137" t="s">
        <v>193</v>
      </c>
      <c r="E399" s="137" t="s">
        <v>193</v>
      </c>
      <c r="F399" s="137" t="s">
        <v>193</v>
      </c>
      <c r="G399" s="137" t="s">
        <v>193</v>
      </c>
      <c r="H399" s="137" t="s">
        <v>193</v>
      </c>
      <c r="I399" s="137" t="s">
        <v>193</v>
      </c>
      <c r="J399" s="137" t="s">
        <v>193</v>
      </c>
      <c r="K399" s="137" t="s">
        <v>193</v>
      </c>
      <c r="L399" s="137" t="s">
        <v>193</v>
      </c>
      <c r="M399" s="137" t="s">
        <v>193</v>
      </c>
      <c r="N399" s="137" t="s">
        <v>193</v>
      </c>
      <c r="O399" s="137" t="s">
        <v>193</v>
      </c>
      <c r="P399" s="137" t="s">
        <v>193</v>
      </c>
      <c r="Q399" s="137" t="s">
        <v>193</v>
      </c>
      <c r="R399" s="137" t="s">
        <v>193</v>
      </c>
      <c r="S399" s="137" t="s">
        <v>193</v>
      </c>
      <c r="T399" s="137" t="s">
        <v>193</v>
      </c>
      <c r="U399" s="137" t="s">
        <v>193</v>
      </c>
      <c r="V399" s="137" t="s">
        <v>193</v>
      </c>
      <c r="W399" s="137" t="s">
        <v>193</v>
      </c>
      <c r="X399" s="137" t="s">
        <v>193</v>
      </c>
      <c r="Y399" s="137" t="s">
        <v>193</v>
      </c>
      <c r="Z399" s="137" t="s">
        <v>193</v>
      </c>
      <c r="AA399" s="137" t="s">
        <v>193</v>
      </c>
      <c r="AB399" s="137" t="s">
        <v>193</v>
      </c>
      <c r="AC399" s="137" t="s">
        <v>193</v>
      </c>
      <c r="AD399" s="137" t="s">
        <v>193</v>
      </c>
      <c r="AE399" s="137" t="s">
        <v>193</v>
      </c>
      <c r="AF399" s="137" t="s">
        <v>193</v>
      </c>
      <c r="AG399" s="137" t="s">
        <v>193</v>
      </c>
      <c r="AH399" s="137" t="s">
        <v>199</v>
      </c>
      <c r="AI399" s="137" t="s">
        <v>193</v>
      </c>
      <c r="AJ399" s="137" t="s">
        <v>193</v>
      </c>
      <c r="AK399" s="137" t="s">
        <v>193</v>
      </c>
      <c r="AL399" s="137" t="s">
        <v>193</v>
      </c>
      <c r="AM399" s="137" t="s">
        <v>193</v>
      </c>
      <c r="AN399" s="137" t="s">
        <v>193</v>
      </c>
      <c r="AO399" s="137" t="s">
        <v>193</v>
      </c>
      <c r="AQ399" s="12">
        <f t="shared" si="53"/>
        <v>0</v>
      </c>
      <c r="AR399" s="12">
        <f t="shared" si="51"/>
        <v>0</v>
      </c>
      <c r="AT399" s="12">
        <f t="shared" si="54"/>
        <v>0</v>
      </c>
      <c r="AU399" s="12">
        <f t="shared" si="55"/>
        <v>0</v>
      </c>
      <c r="AV399" s="13" t="str">
        <f t="shared" si="56"/>
        <v/>
      </c>
      <c r="AY399" s="12">
        <f t="shared" si="57"/>
        <v>0</v>
      </c>
      <c r="AZ399" s="12">
        <f t="shared" si="58"/>
        <v>0</v>
      </c>
      <c r="BA399" s="12">
        <f t="shared" si="58"/>
        <v>0</v>
      </c>
      <c r="BB399" s="12">
        <f t="shared" si="58"/>
        <v>0</v>
      </c>
      <c r="BC399" s="12">
        <f t="shared" si="52"/>
        <v>0</v>
      </c>
      <c r="BD399" s="12">
        <f t="shared" si="59"/>
        <v>0</v>
      </c>
    </row>
    <row r="400" spans="1:56" ht="15" customHeight="1" x14ac:dyDescent="0.25">
      <c r="A400" s="137" t="s">
        <v>724</v>
      </c>
      <c r="B400" s="137" t="s">
        <v>141</v>
      </c>
      <c r="C400" s="137">
        <v>2018</v>
      </c>
      <c r="D400" s="137" t="s">
        <v>53</v>
      </c>
      <c r="E400" s="137" t="s">
        <v>53</v>
      </c>
      <c r="F400" s="137" t="s">
        <v>53</v>
      </c>
      <c r="G400" s="137" t="s">
        <v>53</v>
      </c>
      <c r="H400" s="137" t="s">
        <v>53</v>
      </c>
      <c r="I400" s="137" t="s">
        <v>53</v>
      </c>
      <c r="J400" s="137" t="s">
        <v>53</v>
      </c>
      <c r="K400" s="137" t="s">
        <v>53</v>
      </c>
      <c r="L400" s="137" t="s">
        <v>53</v>
      </c>
      <c r="M400" s="137" t="s">
        <v>53</v>
      </c>
      <c r="N400" s="137" t="s">
        <v>53</v>
      </c>
      <c r="O400" s="137" t="s">
        <v>53</v>
      </c>
      <c r="P400" s="137" t="s">
        <v>53</v>
      </c>
      <c r="Q400" s="137" t="s">
        <v>53</v>
      </c>
      <c r="R400" s="137" t="s">
        <v>53</v>
      </c>
      <c r="S400" s="137" t="s">
        <v>53</v>
      </c>
      <c r="T400" s="137" t="s">
        <v>53</v>
      </c>
      <c r="U400" s="137" t="s">
        <v>53</v>
      </c>
      <c r="V400" s="137" t="s">
        <v>53</v>
      </c>
      <c r="W400" s="137" t="s">
        <v>53</v>
      </c>
      <c r="X400" s="137" t="s">
        <v>53</v>
      </c>
      <c r="Y400" s="137" t="s">
        <v>53</v>
      </c>
      <c r="Z400" s="137" t="s">
        <v>53</v>
      </c>
      <c r="AA400" s="137" t="s">
        <v>53</v>
      </c>
      <c r="AB400" s="137" t="s">
        <v>53</v>
      </c>
      <c r="AC400" s="137" t="s">
        <v>53</v>
      </c>
      <c r="AD400" s="137" t="s">
        <v>53</v>
      </c>
      <c r="AE400" s="137" t="s">
        <v>53</v>
      </c>
      <c r="AF400" s="137" t="s">
        <v>53</v>
      </c>
      <c r="AG400" s="137" t="s">
        <v>53</v>
      </c>
      <c r="AH400" s="137" t="s">
        <v>53</v>
      </c>
      <c r="AI400" s="137" t="s">
        <v>53</v>
      </c>
      <c r="AJ400" s="137" t="s">
        <v>53</v>
      </c>
      <c r="AK400" s="137" t="s">
        <v>53</v>
      </c>
      <c r="AL400" s="137" t="s">
        <v>53</v>
      </c>
      <c r="AM400" s="137" t="s">
        <v>53</v>
      </c>
      <c r="AN400" s="137" t="s">
        <v>53</v>
      </c>
      <c r="AO400" s="137" t="s">
        <v>53</v>
      </c>
      <c r="AQ400" s="12">
        <f t="shared" si="53"/>
        <v>0</v>
      </c>
      <c r="AR400" s="12">
        <f t="shared" si="51"/>
        <v>0</v>
      </c>
      <c r="AT400" s="12">
        <f t="shared" si="54"/>
        <v>0</v>
      </c>
      <c r="AU400" s="12">
        <f t="shared" si="55"/>
        <v>0</v>
      </c>
      <c r="AV400" s="13" t="str">
        <f t="shared" si="56"/>
        <v/>
      </c>
      <c r="AY400" s="12">
        <f t="shared" si="57"/>
        <v>0</v>
      </c>
      <c r="AZ400" s="12">
        <f t="shared" si="58"/>
        <v>0</v>
      </c>
      <c r="BA400" s="12">
        <f t="shared" si="58"/>
        <v>0</v>
      </c>
      <c r="BB400" s="12">
        <f t="shared" si="58"/>
        <v>0</v>
      </c>
      <c r="BC400" s="12">
        <f t="shared" si="52"/>
        <v>0</v>
      </c>
      <c r="BD400" s="12">
        <f t="shared" si="59"/>
        <v>0</v>
      </c>
    </row>
    <row r="401" spans="1:56" ht="15" customHeight="1" x14ac:dyDescent="0.25">
      <c r="A401" s="137" t="s">
        <v>725</v>
      </c>
      <c r="B401" s="137" t="s">
        <v>726</v>
      </c>
      <c r="C401" s="137">
        <v>2018</v>
      </c>
      <c r="D401" s="137">
        <v>650</v>
      </c>
      <c r="E401" s="137">
        <v>240.8</v>
      </c>
      <c r="F401" s="137" t="s">
        <v>193</v>
      </c>
      <c r="G401" s="137" t="s">
        <v>193</v>
      </c>
      <c r="H401" s="137" t="s">
        <v>193</v>
      </c>
      <c r="I401" s="137">
        <v>1183.144</v>
      </c>
      <c r="J401" s="137" t="s">
        <v>193</v>
      </c>
      <c r="K401" s="137">
        <v>1.7</v>
      </c>
      <c r="L401" s="137" t="s">
        <v>193</v>
      </c>
      <c r="M401" s="137">
        <v>1.944</v>
      </c>
      <c r="N401" s="137" t="s">
        <v>193</v>
      </c>
      <c r="O401" s="137" t="s">
        <v>193</v>
      </c>
      <c r="P401" s="137" t="s">
        <v>193</v>
      </c>
      <c r="Q401" s="137" t="s">
        <v>193</v>
      </c>
      <c r="R401" s="137" t="s">
        <v>193</v>
      </c>
      <c r="S401" s="137" t="s">
        <v>193</v>
      </c>
      <c r="T401" s="137" t="s">
        <v>193</v>
      </c>
      <c r="U401" s="137" t="s">
        <v>193</v>
      </c>
      <c r="V401" s="137" t="s">
        <v>193</v>
      </c>
      <c r="W401" s="137" t="s">
        <v>193</v>
      </c>
      <c r="X401" s="137">
        <v>470.4</v>
      </c>
      <c r="Y401" s="137" t="s">
        <v>193</v>
      </c>
      <c r="Z401" s="137" t="s">
        <v>193</v>
      </c>
      <c r="AA401" s="137" t="s">
        <v>193</v>
      </c>
      <c r="AB401" s="137" t="s">
        <v>193</v>
      </c>
      <c r="AC401" s="137">
        <v>1.1000000000000001</v>
      </c>
      <c r="AD401" s="137" t="s">
        <v>193</v>
      </c>
      <c r="AE401" s="137" t="s">
        <v>193</v>
      </c>
      <c r="AF401" s="137">
        <v>599.9</v>
      </c>
      <c r="AG401" s="137" t="s">
        <v>193</v>
      </c>
      <c r="AH401" s="137" t="s">
        <v>195</v>
      </c>
      <c r="AI401" s="137">
        <v>40.5</v>
      </c>
      <c r="AJ401" s="137" t="s">
        <v>193</v>
      </c>
      <c r="AK401" s="137">
        <v>108.1</v>
      </c>
      <c r="AL401" s="137" t="s">
        <v>193</v>
      </c>
      <c r="AM401" s="137">
        <v>100</v>
      </c>
      <c r="AN401" s="137" t="s">
        <v>193</v>
      </c>
      <c r="AO401" s="137" t="s">
        <v>193</v>
      </c>
      <c r="AQ401" s="12">
        <f t="shared" si="53"/>
        <v>1075.0439999999999</v>
      </c>
      <c r="AR401" s="12">
        <f t="shared" si="51"/>
        <v>1183.1439999999998</v>
      </c>
      <c r="AT401" s="12">
        <f t="shared" si="54"/>
        <v>650</v>
      </c>
      <c r="AU401" s="12">
        <f t="shared" si="55"/>
        <v>240.8</v>
      </c>
      <c r="AV401" s="13">
        <f t="shared" si="56"/>
        <v>0.75290919786602484</v>
      </c>
      <c r="AY401" s="12">
        <f t="shared" si="57"/>
        <v>108.1</v>
      </c>
      <c r="AZ401" s="12">
        <f t="shared" si="58"/>
        <v>0</v>
      </c>
      <c r="BA401" s="12">
        <f t="shared" si="58"/>
        <v>108.1</v>
      </c>
      <c r="BB401" s="12">
        <f t="shared" si="58"/>
        <v>0</v>
      </c>
      <c r="BC401" s="12">
        <f t="shared" si="52"/>
        <v>0</v>
      </c>
      <c r="BD401" s="12">
        <f t="shared" si="59"/>
        <v>0</v>
      </c>
    </row>
    <row r="402" spans="1:56" ht="15" customHeight="1" x14ac:dyDescent="0.25">
      <c r="A402" s="137" t="s">
        <v>725</v>
      </c>
      <c r="B402" s="137" t="s">
        <v>727</v>
      </c>
      <c r="C402" s="137">
        <v>2018</v>
      </c>
      <c r="D402" s="137" t="s">
        <v>193</v>
      </c>
      <c r="E402" s="137" t="s">
        <v>193</v>
      </c>
      <c r="F402" s="137" t="s">
        <v>193</v>
      </c>
      <c r="G402" s="137" t="s">
        <v>193</v>
      </c>
      <c r="H402" s="137" t="s">
        <v>193</v>
      </c>
      <c r="I402" s="137" t="s">
        <v>193</v>
      </c>
      <c r="J402" s="137" t="s">
        <v>193</v>
      </c>
      <c r="K402" s="137" t="s">
        <v>193</v>
      </c>
      <c r="L402" s="137" t="s">
        <v>193</v>
      </c>
      <c r="M402" s="137" t="s">
        <v>193</v>
      </c>
      <c r="N402" s="137" t="s">
        <v>193</v>
      </c>
      <c r="O402" s="137" t="s">
        <v>193</v>
      </c>
      <c r="P402" s="137" t="s">
        <v>193</v>
      </c>
      <c r="Q402" s="137" t="s">
        <v>193</v>
      </c>
      <c r="R402" s="137" t="s">
        <v>193</v>
      </c>
      <c r="S402" s="137" t="s">
        <v>193</v>
      </c>
      <c r="T402" s="137" t="s">
        <v>193</v>
      </c>
      <c r="U402" s="137" t="s">
        <v>193</v>
      </c>
      <c r="V402" s="137" t="s">
        <v>193</v>
      </c>
      <c r="W402" s="137" t="s">
        <v>193</v>
      </c>
      <c r="X402" s="137" t="s">
        <v>193</v>
      </c>
      <c r="Y402" s="137" t="s">
        <v>193</v>
      </c>
      <c r="Z402" s="137" t="s">
        <v>193</v>
      </c>
      <c r="AA402" s="137" t="s">
        <v>193</v>
      </c>
      <c r="AB402" s="137" t="s">
        <v>193</v>
      </c>
      <c r="AC402" s="137" t="s">
        <v>193</v>
      </c>
      <c r="AD402" s="137" t="s">
        <v>193</v>
      </c>
      <c r="AE402" s="137" t="s">
        <v>193</v>
      </c>
      <c r="AF402" s="137" t="s">
        <v>193</v>
      </c>
      <c r="AG402" s="137" t="s">
        <v>193</v>
      </c>
      <c r="AH402" s="137" t="s">
        <v>53</v>
      </c>
      <c r="AI402" s="137" t="s">
        <v>193</v>
      </c>
      <c r="AJ402" s="137" t="s">
        <v>193</v>
      </c>
      <c r="AK402" s="137" t="s">
        <v>193</v>
      </c>
      <c r="AL402" s="137" t="s">
        <v>193</v>
      </c>
      <c r="AM402" s="137" t="s">
        <v>193</v>
      </c>
      <c r="AN402" s="137" t="s">
        <v>193</v>
      </c>
      <c r="AO402" s="137" t="s">
        <v>193</v>
      </c>
      <c r="AQ402" s="12">
        <f t="shared" si="53"/>
        <v>0</v>
      </c>
      <c r="AR402" s="12">
        <f t="shared" si="51"/>
        <v>0</v>
      </c>
      <c r="AT402" s="12">
        <f t="shared" si="54"/>
        <v>0</v>
      </c>
      <c r="AU402" s="12">
        <f t="shared" si="55"/>
        <v>0</v>
      </c>
      <c r="AV402" s="13" t="str">
        <f t="shared" si="56"/>
        <v/>
      </c>
      <c r="AY402" s="12">
        <f t="shared" si="57"/>
        <v>0</v>
      </c>
      <c r="AZ402" s="12">
        <f t="shared" si="58"/>
        <v>0</v>
      </c>
      <c r="BA402" s="12">
        <f t="shared" si="58"/>
        <v>0</v>
      </c>
      <c r="BB402" s="12">
        <f t="shared" si="58"/>
        <v>0</v>
      </c>
      <c r="BC402" s="12">
        <f t="shared" si="52"/>
        <v>0</v>
      </c>
      <c r="BD402" s="12">
        <f t="shared" si="59"/>
        <v>0</v>
      </c>
    </row>
    <row r="403" spans="1:56" ht="15" customHeight="1" x14ac:dyDescent="0.25">
      <c r="A403" s="137" t="s">
        <v>725</v>
      </c>
      <c r="B403" s="137" t="s">
        <v>728</v>
      </c>
      <c r="C403" s="137">
        <v>2018</v>
      </c>
      <c r="D403" s="137" t="s">
        <v>193</v>
      </c>
      <c r="E403" s="137" t="s">
        <v>193</v>
      </c>
      <c r="F403" s="137" t="s">
        <v>193</v>
      </c>
      <c r="G403" s="137" t="s">
        <v>193</v>
      </c>
      <c r="H403" s="137" t="s">
        <v>193</v>
      </c>
      <c r="I403" s="137" t="s">
        <v>193</v>
      </c>
      <c r="J403" s="137" t="s">
        <v>193</v>
      </c>
      <c r="K403" s="137" t="s">
        <v>193</v>
      </c>
      <c r="L403" s="137" t="s">
        <v>193</v>
      </c>
      <c r="M403" s="137" t="s">
        <v>193</v>
      </c>
      <c r="N403" s="137" t="s">
        <v>193</v>
      </c>
      <c r="O403" s="137" t="s">
        <v>193</v>
      </c>
      <c r="P403" s="137" t="s">
        <v>193</v>
      </c>
      <c r="Q403" s="137" t="s">
        <v>193</v>
      </c>
      <c r="R403" s="137" t="s">
        <v>193</v>
      </c>
      <c r="S403" s="137" t="s">
        <v>193</v>
      </c>
      <c r="T403" s="137" t="s">
        <v>193</v>
      </c>
      <c r="U403" s="137" t="s">
        <v>193</v>
      </c>
      <c r="V403" s="137" t="s">
        <v>193</v>
      </c>
      <c r="W403" s="137" t="s">
        <v>193</v>
      </c>
      <c r="X403" s="137" t="s">
        <v>193</v>
      </c>
      <c r="Y403" s="137" t="s">
        <v>193</v>
      </c>
      <c r="Z403" s="137" t="s">
        <v>193</v>
      </c>
      <c r="AA403" s="137" t="s">
        <v>193</v>
      </c>
      <c r="AB403" s="137" t="s">
        <v>193</v>
      </c>
      <c r="AC403" s="137" t="s">
        <v>193</v>
      </c>
      <c r="AD403" s="137" t="s">
        <v>193</v>
      </c>
      <c r="AE403" s="137" t="s">
        <v>193</v>
      </c>
      <c r="AF403" s="137" t="s">
        <v>193</v>
      </c>
      <c r="AG403" s="137" t="s">
        <v>193</v>
      </c>
      <c r="AH403" s="137" t="s">
        <v>53</v>
      </c>
      <c r="AI403" s="137" t="s">
        <v>193</v>
      </c>
      <c r="AJ403" s="137" t="s">
        <v>193</v>
      </c>
      <c r="AK403" s="137" t="s">
        <v>193</v>
      </c>
      <c r="AL403" s="137" t="s">
        <v>193</v>
      </c>
      <c r="AM403" s="137" t="s">
        <v>193</v>
      </c>
      <c r="AN403" s="137" t="s">
        <v>193</v>
      </c>
      <c r="AO403" s="137" t="s">
        <v>193</v>
      </c>
      <c r="AQ403" s="12">
        <f t="shared" si="53"/>
        <v>0</v>
      </c>
      <c r="AR403" s="12">
        <f t="shared" si="51"/>
        <v>0</v>
      </c>
      <c r="AT403" s="12">
        <f t="shared" si="54"/>
        <v>0</v>
      </c>
      <c r="AU403" s="12">
        <f t="shared" si="55"/>
        <v>0</v>
      </c>
      <c r="AV403" s="13" t="str">
        <f t="shared" si="56"/>
        <v/>
      </c>
      <c r="AY403" s="12">
        <f t="shared" si="57"/>
        <v>0</v>
      </c>
      <c r="AZ403" s="12">
        <f t="shared" si="58"/>
        <v>0</v>
      </c>
      <c r="BA403" s="12">
        <f t="shared" si="58"/>
        <v>0</v>
      </c>
      <c r="BB403" s="12">
        <f t="shared" si="58"/>
        <v>0</v>
      </c>
      <c r="BC403" s="12">
        <f t="shared" si="52"/>
        <v>0</v>
      </c>
      <c r="BD403" s="12">
        <f t="shared" si="59"/>
        <v>0</v>
      </c>
    </row>
    <row r="404" spans="1:56" ht="15" customHeight="1" x14ac:dyDescent="0.25">
      <c r="A404" s="137" t="s">
        <v>725</v>
      </c>
      <c r="B404" s="137" t="s">
        <v>729</v>
      </c>
      <c r="C404" s="137">
        <v>2018</v>
      </c>
      <c r="D404" s="137" t="s">
        <v>193</v>
      </c>
      <c r="E404" s="137" t="s">
        <v>193</v>
      </c>
      <c r="F404" s="137" t="s">
        <v>193</v>
      </c>
      <c r="G404" s="137" t="s">
        <v>193</v>
      </c>
      <c r="H404" s="137" t="s">
        <v>193</v>
      </c>
      <c r="I404" s="137" t="s">
        <v>193</v>
      </c>
      <c r="J404" s="137" t="s">
        <v>193</v>
      </c>
      <c r="K404" s="137" t="s">
        <v>193</v>
      </c>
      <c r="L404" s="137" t="s">
        <v>193</v>
      </c>
      <c r="M404" s="137" t="s">
        <v>193</v>
      </c>
      <c r="N404" s="137" t="s">
        <v>193</v>
      </c>
      <c r="O404" s="137" t="s">
        <v>193</v>
      </c>
      <c r="P404" s="137" t="s">
        <v>193</v>
      </c>
      <c r="Q404" s="137" t="s">
        <v>193</v>
      </c>
      <c r="R404" s="137" t="s">
        <v>193</v>
      </c>
      <c r="S404" s="137" t="s">
        <v>193</v>
      </c>
      <c r="T404" s="137" t="s">
        <v>193</v>
      </c>
      <c r="U404" s="137" t="s">
        <v>193</v>
      </c>
      <c r="V404" s="137" t="s">
        <v>193</v>
      </c>
      <c r="W404" s="137" t="s">
        <v>193</v>
      </c>
      <c r="X404" s="137" t="s">
        <v>193</v>
      </c>
      <c r="Y404" s="137" t="s">
        <v>193</v>
      </c>
      <c r="Z404" s="137" t="s">
        <v>193</v>
      </c>
      <c r="AA404" s="137" t="s">
        <v>193</v>
      </c>
      <c r="AB404" s="137" t="s">
        <v>193</v>
      </c>
      <c r="AC404" s="137" t="s">
        <v>193</v>
      </c>
      <c r="AD404" s="137" t="s">
        <v>193</v>
      </c>
      <c r="AE404" s="137" t="s">
        <v>193</v>
      </c>
      <c r="AF404" s="137" t="s">
        <v>193</v>
      </c>
      <c r="AG404" s="137" t="s">
        <v>193</v>
      </c>
      <c r="AH404" s="137" t="s">
        <v>53</v>
      </c>
      <c r="AI404" s="137" t="s">
        <v>193</v>
      </c>
      <c r="AJ404" s="137" t="s">
        <v>193</v>
      </c>
      <c r="AK404" s="137" t="s">
        <v>193</v>
      </c>
      <c r="AL404" s="137" t="s">
        <v>193</v>
      </c>
      <c r="AM404" s="137" t="s">
        <v>193</v>
      </c>
      <c r="AN404" s="137" t="s">
        <v>193</v>
      </c>
      <c r="AO404" s="137" t="s">
        <v>193</v>
      </c>
      <c r="AQ404" s="12">
        <f t="shared" si="53"/>
        <v>0</v>
      </c>
      <c r="AR404" s="12">
        <f t="shared" si="51"/>
        <v>0</v>
      </c>
      <c r="AT404" s="12">
        <f t="shared" si="54"/>
        <v>0</v>
      </c>
      <c r="AU404" s="12">
        <f t="shared" si="55"/>
        <v>0</v>
      </c>
      <c r="AV404" s="13" t="str">
        <f t="shared" si="56"/>
        <v/>
      </c>
      <c r="AY404" s="12">
        <f t="shared" si="57"/>
        <v>0</v>
      </c>
      <c r="AZ404" s="12">
        <f t="shared" si="58"/>
        <v>0</v>
      </c>
      <c r="BA404" s="12">
        <f t="shared" si="58"/>
        <v>0</v>
      </c>
      <c r="BB404" s="12">
        <f t="shared" si="58"/>
        <v>0</v>
      </c>
      <c r="BC404" s="12">
        <f t="shared" si="52"/>
        <v>0</v>
      </c>
      <c r="BD404" s="12">
        <f t="shared" si="59"/>
        <v>0</v>
      </c>
    </row>
    <row r="405" spans="1:56" ht="15" customHeight="1" x14ac:dyDescent="0.25">
      <c r="A405" s="137" t="s">
        <v>730</v>
      </c>
      <c r="B405" s="137" t="s">
        <v>731</v>
      </c>
      <c r="C405" s="137">
        <v>2018</v>
      </c>
      <c r="D405" s="137" t="s">
        <v>193</v>
      </c>
      <c r="E405" s="137" t="s">
        <v>193</v>
      </c>
      <c r="F405" s="137" t="s">
        <v>193</v>
      </c>
      <c r="G405" s="137" t="s">
        <v>193</v>
      </c>
      <c r="H405" s="137" t="s">
        <v>193</v>
      </c>
      <c r="I405" s="137" t="s">
        <v>193</v>
      </c>
      <c r="J405" s="137" t="s">
        <v>193</v>
      </c>
      <c r="K405" s="137" t="s">
        <v>193</v>
      </c>
      <c r="L405" s="137" t="s">
        <v>193</v>
      </c>
      <c r="M405" s="137" t="s">
        <v>193</v>
      </c>
      <c r="N405" s="137" t="s">
        <v>193</v>
      </c>
      <c r="O405" s="137" t="s">
        <v>193</v>
      </c>
      <c r="P405" s="137" t="s">
        <v>193</v>
      </c>
      <c r="Q405" s="137" t="s">
        <v>193</v>
      </c>
      <c r="R405" s="137" t="s">
        <v>193</v>
      </c>
      <c r="S405" s="137" t="s">
        <v>193</v>
      </c>
      <c r="T405" s="137" t="s">
        <v>193</v>
      </c>
      <c r="U405" s="137" t="s">
        <v>193</v>
      </c>
      <c r="V405" s="137" t="s">
        <v>193</v>
      </c>
      <c r="W405" s="137" t="s">
        <v>193</v>
      </c>
      <c r="X405" s="137" t="s">
        <v>193</v>
      </c>
      <c r="Y405" s="137" t="s">
        <v>193</v>
      </c>
      <c r="Z405" s="137" t="s">
        <v>193</v>
      </c>
      <c r="AA405" s="137" t="s">
        <v>193</v>
      </c>
      <c r="AB405" s="137" t="s">
        <v>193</v>
      </c>
      <c r="AC405" s="137" t="s">
        <v>193</v>
      </c>
      <c r="AD405" s="137" t="s">
        <v>193</v>
      </c>
      <c r="AE405" s="137" t="s">
        <v>193</v>
      </c>
      <c r="AF405" s="137" t="s">
        <v>193</v>
      </c>
      <c r="AG405" s="137" t="s">
        <v>193</v>
      </c>
      <c r="AH405" s="137" t="s">
        <v>53</v>
      </c>
      <c r="AI405" s="137" t="s">
        <v>193</v>
      </c>
      <c r="AJ405" s="137" t="s">
        <v>193</v>
      </c>
      <c r="AK405" s="137" t="s">
        <v>193</v>
      </c>
      <c r="AL405" s="137" t="s">
        <v>193</v>
      </c>
      <c r="AM405" s="137" t="s">
        <v>193</v>
      </c>
      <c r="AN405" s="137" t="s">
        <v>193</v>
      </c>
      <c r="AO405" s="137" t="s">
        <v>193</v>
      </c>
      <c r="AQ405" s="12">
        <f t="shared" si="53"/>
        <v>0</v>
      </c>
      <c r="AR405" s="12">
        <f t="shared" si="51"/>
        <v>0</v>
      </c>
      <c r="AT405" s="12">
        <f t="shared" si="54"/>
        <v>0</v>
      </c>
      <c r="AU405" s="12">
        <f t="shared" si="55"/>
        <v>0</v>
      </c>
      <c r="AV405" s="13" t="str">
        <f t="shared" si="56"/>
        <v/>
      </c>
      <c r="AY405" s="12">
        <f t="shared" si="57"/>
        <v>0</v>
      </c>
      <c r="AZ405" s="12">
        <f t="shared" si="58"/>
        <v>0</v>
      </c>
      <c r="BA405" s="12">
        <f t="shared" si="58"/>
        <v>0</v>
      </c>
      <c r="BB405" s="12">
        <f t="shared" si="58"/>
        <v>0</v>
      </c>
      <c r="BC405" s="12">
        <f t="shared" si="52"/>
        <v>0</v>
      </c>
      <c r="BD405" s="12">
        <f t="shared" si="59"/>
        <v>0</v>
      </c>
    </row>
    <row r="406" spans="1:56" ht="15" customHeight="1" x14ac:dyDescent="0.25">
      <c r="A406" s="137" t="s">
        <v>732</v>
      </c>
      <c r="B406" s="137" t="s">
        <v>733</v>
      </c>
      <c r="C406" s="137">
        <v>2018</v>
      </c>
      <c r="D406" s="137" t="s">
        <v>193</v>
      </c>
      <c r="E406" s="137" t="s">
        <v>193</v>
      </c>
      <c r="F406" s="137" t="s">
        <v>193</v>
      </c>
      <c r="G406" s="137" t="s">
        <v>193</v>
      </c>
      <c r="H406" s="137" t="s">
        <v>193</v>
      </c>
      <c r="I406" s="137" t="s">
        <v>193</v>
      </c>
      <c r="J406" s="137" t="s">
        <v>193</v>
      </c>
      <c r="K406" s="137" t="s">
        <v>193</v>
      </c>
      <c r="L406" s="137" t="s">
        <v>193</v>
      </c>
      <c r="M406" s="137" t="s">
        <v>193</v>
      </c>
      <c r="N406" s="137" t="s">
        <v>193</v>
      </c>
      <c r="O406" s="137" t="s">
        <v>193</v>
      </c>
      <c r="P406" s="137" t="s">
        <v>193</v>
      </c>
      <c r="Q406" s="137" t="s">
        <v>193</v>
      </c>
      <c r="R406" s="137" t="s">
        <v>193</v>
      </c>
      <c r="S406" s="137" t="s">
        <v>193</v>
      </c>
      <c r="T406" s="137" t="s">
        <v>193</v>
      </c>
      <c r="U406" s="137" t="s">
        <v>193</v>
      </c>
      <c r="V406" s="137" t="s">
        <v>193</v>
      </c>
      <c r="W406" s="137" t="s">
        <v>193</v>
      </c>
      <c r="X406" s="137" t="s">
        <v>193</v>
      </c>
      <c r="Y406" s="137" t="s">
        <v>193</v>
      </c>
      <c r="Z406" s="137" t="s">
        <v>193</v>
      </c>
      <c r="AA406" s="137" t="s">
        <v>193</v>
      </c>
      <c r="AB406" s="137" t="s">
        <v>193</v>
      </c>
      <c r="AC406" s="137" t="s">
        <v>193</v>
      </c>
      <c r="AD406" s="137" t="s">
        <v>193</v>
      </c>
      <c r="AE406" s="137" t="s">
        <v>193</v>
      </c>
      <c r="AF406" s="137" t="s">
        <v>193</v>
      </c>
      <c r="AG406" s="137" t="s">
        <v>193</v>
      </c>
      <c r="AH406" s="137" t="s">
        <v>199</v>
      </c>
      <c r="AI406" s="137" t="s">
        <v>193</v>
      </c>
      <c r="AJ406" s="137" t="s">
        <v>193</v>
      </c>
      <c r="AK406" s="137" t="s">
        <v>193</v>
      </c>
      <c r="AL406" s="137" t="s">
        <v>193</v>
      </c>
      <c r="AM406" s="137" t="s">
        <v>193</v>
      </c>
      <c r="AN406" s="137" t="s">
        <v>193</v>
      </c>
      <c r="AO406" s="137" t="s">
        <v>193</v>
      </c>
      <c r="AQ406" s="12">
        <f t="shared" si="53"/>
        <v>0</v>
      </c>
      <c r="AR406" s="12">
        <f t="shared" si="51"/>
        <v>0</v>
      </c>
      <c r="AT406" s="12">
        <f t="shared" si="54"/>
        <v>0</v>
      </c>
      <c r="AU406" s="12">
        <f t="shared" si="55"/>
        <v>0</v>
      </c>
      <c r="AV406" s="13" t="str">
        <f t="shared" si="56"/>
        <v/>
      </c>
      <c r="AY406" s="12">
        <f t="shared" si="57"/>
        <v>0</v>
      </c>
      <c r="AZ406" s="12">
        <f t="shared" si="58"/>
        <v>0</v>
      </c>
      <c r="BA406" s="12">
        <f t="shared" si="58"/>
        <v>0</v>
      </c>
      <c r="BB406" s="12">
        <f t="shared" si="58"/>
        <v>0</v>
      </c>
      <c r="BC406" s="12">
        <f t="shared" si="52"/>
        <v>0</v>
      </c>
      <c r="BD406" s="12">
        <f t="shared" si="59"/>
        <v>0</v>
      </c>
    </row>
    <row r="407" spans="1:56" ht="15" customHeight="1" x14ac:dyDescent="0.25">
      <c r="A407" s="137" t="s">
        <v>149</v>
      </c>
      <c r="B407" s="137" t="s">
        <v>13</v>
      </c>
      <c r="C407" s="137">
        <v>2018</v>
      </c>
      <c r="D407" s="137" t="s">
        <v>53</v>
      </c>
      <c r="E407" s="137" t="s">
        <v>53</v>
      </c>
      <c r="F407" s="137" t="s">
        <v>53</v>
      </c>
      <c r="G407" s="137" t="s">
        <v>53</v>
      </c>
      <c r="H407" s="137" t="s">
        <v>53</v>
      </c>
      <c r="I407" s="137" t="s">
        <v>53</v>
      </c>
      <c r="J407" s="137" t="s">
        <v>53</v>
      </c>
      <c r="K407" s="137" t="s">
        <v>53</v>
      </c>
      <c r="L407" s="137" t="s">
        <v>53</v>
      </c>
      <c r="M407" s="137" t="s">
        <v>53</v>
      </c>
      <c r="N407" s="137" t="s">
        <v>53</v>
      </c>
      <c r="O407" s="137" t="s">
        <v>53</v>
      </c>
      <c r="P407" s="137" t="s">
        <v>53</v>
      </c>
      <c r="Q407" s="137" t="s">
        <v>53</v>
      </c>
      <c r="R407" s="137" t="s">
        <v>53</v>
      </c>
      <c r="S407" s="137" t="s">
        <v>53</v>
      </c>
      <c r="T407" s="137" t="s">
        <v>53</v>
      </c>
      <c r="U407" s="137" t="s">
        <v>53</v>
      </c>
      <c r="V407" s="137" t="s">
        <v>53</v>
      </c>
      <c r="W407" s="137" t="s">
        <v>53</v>
      </c>
      <c r="X407" s="137" t="s">
        <v>53</v>
      </c>
      <c r="Y407" s="137" t="s">
        <v>53</v>
      </c>
      <c r="Z407" s="137" t="s">
        <v>53</v>
      </c>
      <c r="AA407" s="137" t="s">
        <v>53</v>
      </c>
      <c r="AB407" s="137" t="s">
        <v>53</v>
      </c>
      <c r="AC407" s="137" t="s">
        <v>53</v>
      </c>
      <c r="AD407" s="137" t="s">
        <v>53</v>
      </c>
      <c r="AE407" s="137" t="s">
        <v>53</v>
      </c>
      <c r="AF407" s="137" t="s">
        <v>53</v>
      </c>
      <c r="AG407" s="137" t="s">
        <v>53</v>
      </c>
      <c r="AH407" s="137" t="s">
        <v>53</v>
      </c>
      <c r="AI407" s="137" t="s">
        <v>53</v>
      </c>
      <c r="AJ407" s="137" t="s">
        <v>53</v>
      </c>
      <c r="AK407" s="137" t="s">
        <v>53</v>
      </c>
      <c r="AL407" s="137" t="s">
        <v>53</v>
      </c>
      <c r="AM407" s="137" t="s">
        <v>53</v>
      </c>
      <c r="AN407" s="137" t="s">
        <v>53</v>
      </c>
      <c r="AO407" s="137" t="s">
        <v>53</v>
      </c>
      <c r="AQ407" s="12">
        <f t="shared" si="53"/>
        <v>0</v>
      </c>
      <c r="AR407" s="12">
        <f t="shared" si="51"/>
        <v>0</v>
      </c>
      <c r="AT407" s="12">
        <f t="shared" si="54"/>
        <v>0</v>
      </c>
      <c r="AU407" s="12">
        <f t="shared" si="55"/>
        <v>0</v>
      </c>
      <c r="AV407" s="13" t="str">
        <f t="shared" si="56"/>
        <v/>
      </c>
      <c r="AY407" s="12">
        <f t="shared" si="57"/>
        <v>0</v>
      </c>
      <c r="AZ407" s="12">
        <f t="shared" si="58"/>
        <v>0</v>
      </c>
      <c r="BA407" s="12">
        <f t="shared" si="58"/>
        <v>0</v>
      </c>
      <c r="BB407" s="12">
        <f t="shared" si="58"/>
        <v>0</v>
      </c>
      <c r="BC407" s="12">
        <f t="shared" si="52"/>
        <v>0</v>
      </c>
      <c r="BD407" s="12">
        <f t="shared" si="59"/>
        <v>0</v>
      </c>
    </row>
    <row r="408" spans="1:56" ht="15" customHeight="1" x14ac:dyDescent="0.25">
      <c r="A408" s="137" t="s">
        <v>12</v>
      </c>
      <c r="B408" s="141" t="s">
        <v>14</v>
      </c>
      <c r="C408" s="137">
        <v>2018</v>
      </c>
      <c r="D408" s="137" t="s">
        <v>53</v>
      </c>
      <c r="E408" s="137" t="s">
        <v>53</v>
      </c>
      <c r="F408" s="137" t="s">
        <v>53</v>
      </c>
      <c r="G408" s="137" t="s">
        <v>53</v>
      </c>
      <c r="H408" s="137" t="s">
        <v>53</v>
      </c>
      <c r="I408" s="137" t="s">
        <v>53</v>
      </c>
      <c r="J408" s="137" t="s">
        <v>53</v>
      </c>
      <c r="K408" s="137" t="s">
        <v>53</v>
      </c>
      <c r="L408" s="137" t="s">
        <v>53</v>
      </c>
      <c r="M408" s="137" t="s">
        <v>53</v>
      </c>
      <c r="N408" s="137" t="s">
        <v>53</v>
      </c>
      <c r="O408" s="137" t="s">
        <v>53</v>
      </c>
      <c r="P408" s="137" t="s">
        <v>53</v>
      </c>
      <c r="Q408" s="137" t="s">
        <v>53</v>
      </c>
      <c r="R408" s="137" t="s">
        <v>53</v>
      </c>
      <c r="S408" s="137" t="s">
        <v>53</v>
      </c>
      <c r="T408" s="137" t="s">
        <v>53</v>
      </c>
      <c r="U408" s="137" t="s">
        <v>53</v>
      </c>
      <c r="V408" s="137" t="s">
        <v>53</v>
      </c>
      <c r="W408" s="137" t="s">
        <v>53</v>
      </c>
      <c r="X408" s="137" t="s">
        <v>53</v>
      </c>
      <c r="Y408" s="137" t="s">
        <v>53</v>
      </c>
      <c r="Z408" s="137" t="s">
        <v>53</v>
      </c>
      <c r="AA408" s="137" t="s">
        <v>53</v>
      </c>
      <c r="AB408" s="137" t="s">
        <v>53</v>
      </c>
      <c r="AC408" s="137" t="s">
        <v>53</v>
      </c>
      <c r="AD408" s="137" t="s">
        <v>53</v>
      </c>
      <c r="AE408" s="137" t="s">
        <v>53</v>
      </c>
      <c r="AF408" s="137" t="s">
        <v>53</v>
      </c>
      <c r="AG408" s="137" t="s">
        <v>53</v>
      </c>
      <c r="AH408" s="137" t="s">
        <v>53</v>
      </c>
      <c r="AI408" s="137" t="s">
        <v>53</v>
      </c>
      <c r="AJ408" s="137" t="s">
        <v>53</v>
      </c>
      <c r="AK408" s="137" t="s">
        <v>53</v>
      </c>
      <c r="AL408" s="137" t="s">
        <v>53</v>
      </c>
      <c r="AM408" s="137" t="s">
        <v>53</v>
      </c>
      <c r="AN408" s="137" t="s">
        <v>53</v>
      </c>
      <c r="AO408" s="137" t="s">
        <v>53</v>
      </c>
      <c r="AQ408" s="12">
        <f t="shared" si="53"/>
        <v>0</v>
      </c>
      <c r="AR408" s="12">
        <f t="shared" si="51"/>
        <v>0</v>
      </c>
      <c r="AT408" s="12">
        <f t="shared" si="54"/>
        <v>0</v>
      </c>
      <c r="AU408" s="12">
        <f t="shared" si="55"/>
        <v>0</v>
      </c>
      <c r="AV408" s="13" t="str">
        <f t="shared" si="56"/>
        <v/>
      </c>
      <c r="AY408" s="12">
        <f t="shared" si="57"/>
        <v>0</v>
      </c>
      <c r="AZ408" s="12">
        <f t="shared" si="58"/>
        <v>0</v>
      </c>
      <c r="BA408" s="12">
        <f t="shared" si="58"/>
        <v>0</v>
      </c>
      <c r="BB408" s="12">
        <f t="shared" si="58"/>
        <v>0</v>
      </c>
      <c r="BC408" s="12">
        <f t="shared" si="52"/>
        <v>0</v>
      </c>
      <c r="BD408" s="12">
        <f t="shared" si="59"/>
        <v>0</v>
      </c>
    </row>
    <row r="409" spans="1:56" ht="15" customHeight="1" x14ac:dyDescent="0.25">
      <c r="A409" s="137" t="s">
        <v>734</v>
      </c>
      <c r="B409" s="137" t="s">
        <v>735</v>
      </c>
      <c r="C409" s="137">
        <v>2018</v>
      </c>
      <c r="D409" s="137" t="s">
        <v>193</v>
      </c>
      <c r="E409" s="137" t="s">
        <v>193</v>
      </c>
      <c r="F409" s="137" t="s">
        <v>193</v>
      </c>
      <c r="G409" s="137" t="s">
        <v>193</v>
      </c>
      <c r="H409" s="137" t="s">
        <v>193</v>
      </c>
      <c r="I409" s="137" t="s">
        <v>193</v>
      </c>
      <c r="J409" s="137" t="s">
        <v>193</v>
      </c>
      <c r="K409" s="137" t="s">
        <v>193</v>
      </c>
      <c r="L409" s="137" t="s">
        <v>193</v>
      </c>
      <c r="M409" s="137" t="s">
        <v>193</v>
      </c>
      <c r="N409" s="137" t="s">
        <v>193</v>
      </c>
      <c r="O409" s="137" t="s">
        <v>193</v>
      </c>
      <c r="P409" s="137" t="s">
        <v>193</v>
      </c>
      <c r="Q409" s="137" t="s">
        <v>193</v>
      </c>
      <c r="R409" s="137" t="s">
        <v>193</v>
      </c>
      <c r="S409" s="137" t="s">
        <v>193</v>
      </c>
      <c r="T409" s="137" t="s">
        <v>193</v>
      </c>
      <c r="U409" s="137" t="s">
        <v>193</v>
      </c>
      <c r="V409" s="137" t="s">
        <v>193</v>
      </c>
      <c r="W409" s="137" t="s">
        <v>193</v>
      </c>
      <c r="X409" s="137" t="s">
        <v>193</v>
      </c>
      <c r="Y409" s="137" t="s">
        <v>193</v>
      </c>
      <c r="Z409" s="137" t="s">
        <v>193</v>
      </c>
      <c r="AA409" s="137" t="s">
        <v>193</v>
      </c>
      <c r="AB409" s="137" t="s">
        <v>193</v>
      </c>
      <c r="AC409" s="137" t="s">
        <v>193</v>
      </c>
      <c r="AD409" s="137" t="s">
        <v>193</v>
      </c>
      <c r="AE409" s="137" t="s">
        <v>193</v>
      </c>
      <c r="AF409" s="137" t="s">
        <v>193</v>
      </c>
      <c r="AG409" s="137" t="s">
        <v>193</v>
      </c>
      <c r="AH409" s="137" t="s">
        <v>199</v>
      </c>
      <c r="AI409" s="137" t="s">
        <v>193</v>
      </c>
      <c r="AJ409" s="137" t="s">
        <v>193</v>
      </c>
      <c r="AK409" s="137" t="s">
        <v>193</v>
      </c>
      <c r="AL409" s="137" t="s">
        <v>193</v>
      </c>
      <c r="AM409" s="137" t="s">
        <v>193</v>
      </c>
      <c r="AN409" s="137" t="s">
        <v>193</v>
      </c>
      <c r="AO409" s="137" t="s">
        <v>193</v>
      </c>
      <c r="AQ409" s="12">
        <f t="shared" si="53"/>
        <v>0</v>
      </c>
      <c r="AR409" s="12">
        <f t="shared" si="51"/>
        <v>0</v>
      </c>
      <c r="AT409" s="12">
        <f t="shared" si="54"/>
        <v>0</v>
      </c>
      <c r="AU409" s="12">
        <f t="shared" si="55"/>
        <v>0</v>
      </c>
      <c r="AV409" s="13" t="str">
        <f t="shared" si="56"/>
        <v/>
      </c>
      <c r="AY409" s="12">
        <f t="shared" si="57"/>
        <v>0</v>
      </c>
      <c r="AZ409" s="12">
        <f t="shared" si="58"/>
        <v>0</v>
      </c>
      <c r="BA409" s="12">
        <f t="shared" si="58"/>
        <v>0</v>
      </c>
      <c r="BB409" s="12">
        <f t="shared" si="58"/>
        <v>0</v>
      </c>
      <c r="BC409" s="12">
        <f t="shared" si="52"/>
        <v>0</v>
      </c>
      <c r="BD409" s="12">
        <f t="shared" si="59"/>
        <v>0</v>
      </c>
    </row>
    <row r="410" spans="1:56" ht="15" customHeight="1" x14ac:dyDescent="0.25">
      <c r="A410" s="137" t="s">
        <v>734</v>
      </c>
      <c r="B410" s="137" t="s">
        <v>736</v>
      </c>
      <c r="C410" s="137">
        <v>2018</v>
      </c>
      <c r="D410" s="137" t="s">
        <v>193</v>
      </c>
      <c r="E410" s="137" t="s">
        <v>193</v>
      </c>
      <c r="F410" s="137" t="s">
        <v>193</v>
      </c>
      <c r="G410" s="137" t="s">
        <v>193</v>
      </c>
      <c r="H410" s="137" t="s">
        <v>193</v>
      </c>
      <c r="I410" s="137" t="s">
        <v>193</v>
      </c>
      <c r="J410" s="137" t="s">
        <v>193</v>
      </c>
      <c r="K410" s="137" t="s">
        <v>193</v>
      </c>
      <c r="L410" s="137" t="s">
        <v>193</v>
      </c>
      <c r="M410" s="137" t="s">
        <v>193</v>
      </c>
      <c r="N410" s="137" t="s">
        <v>193</v>
      </c>
      <c r="O410" s="137" t="s">
        <v>193</v>
      </c>
      <c r="P410" s="137" t="s">
        <v>193</v>
      </c>
      <c r="Q410" s="137" t="s">
        <v>193</v>
      </c>
      <c r="R410" s="137" t="s">
        <v>193</v>
      </c>
      <c r="S410" s="137" t="s">
        <v>193</v>
      </c>
      <c r="T410" s="137" t="s">
        <v>193</v>
      </c>
      <c r="U410" s="137" t="s">
        <v>193</v>
      </c>
      <c r="V410" s="137" t="s">
        <v>193</v>
      </c>
      <c r="W410" s="137" t="s">
        <v>193</v>
      </c>
      <c r="X410" s="137" t="s">
        <v>193</v>
      </c>
      <c r="Y410" s="137" t="s">
        <v>193</v>
      </c>
      <c r="Z410" s="137" t="s">
        <v>193</v>
      </c>
      <c r="AA410" s="137" t="s">
        <v>193</v>
      </c>
      <c r="AB410" s="137" t="s">
        <v>193</v>
      </c>
      <c r="AC410" s="137" t="s">
        <v>193</v>
      </c>
      <c r="AD410" s="137" t="s">
        <v>193</v>
      </c>
      <c r="AE410" s="137" t="s">
        <v>193</v>
      </c>
      <c r="AF410" s="137" t="s">
        <v>193</v>
      </c>
      <c r="AG410" s="137" t="s">
        <v>193</v>
      </c>
      <c r="AH410" s="137" t="s">
        <v>199</v>
      </c>
      <c r="AI410" s="137" t="s">
        <v>193</v>
      </c>
      <c r="AJ410" s="137" t="s">
        <v>193</v>
      </c>
      <c r="AK410" s="137" t="s">
        <v>193</v>
      </c>
      <c r="AL410" s="137" t="s">
        <v>193</v>
      </c>
      <c r="AM410" s="137" t="s">
        <v>193</v>
      </c>
      <c r="AN410" s="137" t="s">
        <v>193</v>
      </c>
      <c r="AO410" s="137" t="s">
        <v>193</v>
      </c>
      <c r="AQ410" s="12">
        <f t="shared" si="53"/>
        <v>0</v>
      </c>
      <c r="AR410" s="12">
        <f t="shared" si="51"/>
        <v>0</v>
      </c>
      <c r="AT410" s="12">
        <f t="shared" si="54"/>
        <v>0</v>
      </c>
      <c r="AU410" s="12">
        <f t="shared" si="55"/>
        <v>0</v>
      </c>
      <c r="AV410" s="13" t="str">
        <f t="shared" si="56"/>
        <v/>
      </c>
      <c r="AY410" s="12">
        <f t="shared" si="57"/>
        <v>0</v>
      </c>
      <c r="AZ410" s="12">
        <f t="shared" si="58"/>
        <v>0</v>
      </c>
      <c r="BA410" s="12">
        <f t="shared" si="58"/>
        <v>0</v>
      </c>
      <c r="BB410" s="12">
        <f t="shared" si="58"/>
        <v>0</v>
      </c>
      <c r="BC410" s="12">
        <f t="shared" si="52"/>
        <v>0</v>
      </c>
      <c r="BD410" s="12">
        <f t="shared" si="59"/>
        <v>0</v>
      </c>
    </row>
    <row r="411" spans="1:56" ht="15" customHeight="1" x14ac:dyDescent="0.25">
      <c r="A411" s="137" t="s">
        <v>734</v>
      </c>
      <c r="B411" s="137" t="s">
        <v>737</v>
      </c>
      <c r="C411" s="137">
        <v>2018</v>
      </c>
      <c r="D411" s="137" t="s">
        <v>193</v>
      </c>
      <c r="E411" s="137" t="s">
        <v>193</v>
      </c>
      <c r="F411" s="137" t="s">
        <v>193</v>
      </c>
      <c r="G411" s="137" t="s">
        <v>193</v>
      </c>
      <c r="H411" s="137" t="s">
        <v>193</v>
      </c>
      <c r="I411" s="137" t="s">
        <v>193</v>
      </c>
      <c r="J411" s="137" t="s">
        <v>193</v>
      </c>
      <c r="K411" s="137" t="s">
        <v>193</v>
      </c>
      <c r="L411" s="137" t="s">
        <v>193</v>
      </c>
      <c r="M411" s="137" t="s">
        <v>193</v>
      </c>
      <c r="N411" s="137" t="s">
        <v>193</v>
      </c>
      <c r="O411" s="137" t="s">
        <v>193</v>
      </c>
      <c r="P411" s="137" t="s">
        <v>193</v>
      </c>
      <c r="Q411" s="137" t="s">
        <v>193</v>
      </c>
      <c r="R411" s="137" t="s">
        <v>193</v>
      </c>
      <c r="S411" s="137" t="s">
        <v>193</v>
      </c>
      <c r="T411" s="137" t="s">
        <v>193</v>
      </c>
      <c r="U411" s="137" t="s">
        <v>193</v>
      </c>
      <c r="V411" s="137" t="s">
        <v>193</v>
      </c>
      <c r="W411" s="137" t="s">
        <v>193</v>
      </c>
      <c r="X411" s="137" t="s">
        <v>193</v>
      </c>
      <c r="Y411" s="137" t="s">
        <v>193</v>
      </c>
      <c r="Z411" s="137" t="s">
        <v>193</v>
      </c>
      <c r="AA411" s="137" t="s">
        <v>193</v>
      </c>
      <c r="AB411" s="137" t="s">
        <v>193</v>
      </c>
      <c r="AC411" s="137" t="s">
        <v>193</v>
      </c>
      <c r="AD411" s="137" t="s">
        <v>193</v>
      </c>
      <c r="AE411" s="137" t="s">
        <v>193</v>
      </c>
      <c r="AF411" s="137" t="s">
        <v>193</v>
      </c>
      <c r="AG411" s="137" t="s">
        <v>193</v>
      </c>
      <c r="AH411" s="137" t="s">
        <v>199</v>
      </c>
      <c r="AI411" s="137" t="s">
        <v>193</v>
      </c>
      <c r="AJ411" s="137" t="s">
        <v>193</v>
      </c>
      <c r="AK411" s="137" t="s">
        <v>193</v>
      </c>
      <c r="AL411" s="137" t="s">
        <v>193</v>
      </c>
      <c r="AM411" s="137" t="s">
        <v>193</v>
      </c>
      <c r="AN411" s="137" t="s">
        <v>193</v>
      </c>
      <c r="AO411" s="137" t="s">
        <v>193</v>
      </c>
      <c r="AQ411" s="12">
        <f t="shared" si="53"/>
        <v>0</v>
      </c>
      <c r="AR411" s="12">
        <f t="shared" si="51"/>
        <v>0</v>
      </c>
      <c r="AT411" s="12">
        <f t="shared" si="54"/>
        <v>0</v>
      </c>
      <c r="AU411" s="12">
        <f t="shared" si="55"/>
        <v>0</v>
      </c>
      <c r="AV411" s="13" t="str">
        <f t="shared" si="56"/>
        <v/>
      </c>
      <c r="AY411" s="12">
        <f t="shared" si="57"/>
        <v>0</v>
      </c>
      <c r="AZ411" s="12">
        <f t="shared" si="58"/>
        <v>0</v>
      </c>
      <c r="BA411" s="12">
        <f t="shared" si="58"/>
        <v>0</v>
      </c>
      <c r="BB411" s="12">
        <f t="shared" si="58"/>
        <v>0</v>
      </c>
      <c r="BC411" s="12">
        <f t="shared" si="52"/>
        <v>0</v>
      </c>
      <c r="BD411" s="12">
        <f t="shared" si="59"/>
        <v>0</v>
      </c>
    </row>
    <row r="412" spans="1:56" ht="15" customHeight="1" x14ac:dyDescent="0.25">
      <c r="A412" s="137" t="s">
        <v>734</v>
      </c>
      <c r="B412" s="137" t="s">
        <v>738</v>
      </c>
      <c r="C412" s="137">
        <v>2018</v>
      </c>
      <c r="D412" s="137" t="s">
        <v>193</v>
      </c>
      <c r="E412" s="137" t="s">
        <v>193</v>
      </c>
      <c r="F412" s="137" t="s">
        <v>193</v>
      </c>
      <c r="G412" s="137" t="s">
        <v>193</v>
      </c>
      <c r="H412" s="137" t="s">
        <v>193</v>
      </c>
      <c r="I412" s="137" t="s">
        <v>193</v>
      </c>
      <c r="J412" s="137" t="s">
        <v>193</v>
      </c>
      <c r="K412" s="137" t="s">
        <v>193</v>
      </c>
      <c r="L412" s="137" t="s">
        <v>193</v>
      </c>
      <c r="M412" s="137" t="s">
        <v>193</v>
      </c>
      <c r="N412" s="137" t="s">
        <v>193</v>
      </c>
      <c r="O412" s="137" t="s">
        <v>193</v>
      </c>
      <c r="P412" s="137" t="s">
        <v>193</v>
      </c>
      <c r="Q412" s="137" t="s">
        <v>193</v>
      </c>
      <c r="R412" s="137" t="s">
        <v>193</v>
      </c>
      <c r="S412" s="137" t="s">
        <v>193</v>
      </c>
      <c r="T412" s="137" t="s">
        <v>193</v>
      </c>
      <c r="U412" s="137" t="s">
        <v>193</v>
      </c>
      <c r="V412" s="137" t="s">
        <v>193</v>
      </c>
      <c r="W412" s="137" t="s">
        <v>193</v>
      </c>
      <c r="X412" s="137" t="s">
        <v>193</v>
      </c>
      <c r="Y412" s="137" t="s">
        <v>193</v>
      </c>
      <c r="Z412" s="137" t="s">
        <v>193</v>
      </c>
      <c r="AA412" s="137" t="s">
        <v>193</v>
      </c>
      <c r="AB412" s="137" t="s">
        <v>193</v>
      </c>
      <c r="AC412" s="137" t="s">
        <v>193</v>
      </c>
      <c r="AD412" s="137" t="s">
        <v>193</v>
      </c>
      <c r="AE412" s="137" t="s">
        <v>193</v>
      </c>
      <c r="AF412" s="137" t="s">
        <v>193</v>
      </c>
      <c r="AG412" s="137" t="s">
        <v>193</v>
      </c>
      <c r="AH412" s="137" t="s">
        <v>199</v>
      </c>
      <c r="AI412" s="137" t="s">
        <v>193</v>
      </c>
      <c r="AJ412" s="137" t="s">
        <v>193</v>
      </c>
      <c r="AK412" s="137" t="s">
        <v>193</v>
      </c>
      <c r="AL412" s="137" t="s">
        <v>193</v>
      </c>
      <c r="AM412" s="137" t="s">
        <v>193</v>
      </c>
      <c r="AN412" s="137" t="s">
        <v>193</v>
      </c>
      <c r="AO412" s="137" t="s">
        <v>193</v>
      </c>
      <c r="AQ412" s="12">
        <f t="shared" si="53"/>
        <v>0</v>
      </c>
      <c r="AR412" s="12">
        <f t="shared" si="51"/>
        <v>0</v>
      </c>
      <c r="AT412" s="12">
        <f t="shared" si="54"/>
        <v>0</v>
      </c>
      <c r="AU412" s="12">
        <f t="shared" si="55"/>
        <v>0</v>
      </c>
      <c r="AV412" s="13" t="str">
        <f t="shared" si="56"/>
        <v/>
      </c>
      <c r="AY412" s="12">
        <f t="shared" si="57"/>
        <v>0</v>
      </c>
      <c r="AZ412" s="12">
        <f t="shared" si="58"/>
        <v>0</v>
      </c>
      <c r="BA412" s="12">
        <f t="shared" si="58"/>
        <v>0</v>
      </c>
      <c r="BB412" s="12">
        <f t="shared" si="58"/>
        <v>0</v>
      </c>
      <c r="BC412" s="12">
        <f t="shared" si="52"/>
        <v>0</v>
      </c>
      <c r="BD412" s="12">
        <f t="shared" si="59"/>
        <v>0</v>
      </c>
    </row>
    <row r="413" spans="1:56" ht="15" customHeight="1" x14ac:dyDescent="0.25">
      <c r="A413" s="137" t="s">
        <v>734</v>
      </c>
      <c r="B413" s="137" t="s">
        <v>739</v>
      </c>
      <c r="C413" s="137">
        <v>2018</v>
      </c>
      <c r="D413" s="137">
        <v>277.00900000000001</v>
      </c>
      <c r="E413" s="137">
        <v>102.431</v>
      </c>
      <c r="F413" s="137" t="s">
        <v>193</v>
      </c>
      <c r="G413" s="137" t="s">
        <v>193</v>
      </c>
      <c r="H413" s="137" t="s">
        <v>193</v>
      </c>
      <c r="I413" s="137">
        <v>503.23899999999998</v>
      </c>
      <c r="J413" s="137" t="s">
        <v>193</v>
      </c>
      <c r="K413" s="137">
        <v>16.794</v>
      </c>
      <c r="L413" s="137" t="s">
        <v>193</v>
      </c>
      <c r="M413" s="137">
        <v>7.9960000000000004</v>
      </c>
      <c r="N413" s="137" t="s">
        <v>193</v>
      </c>
      <c r="O413" s="137" t="s">
        <v>193</v>
      </c>
      <c r="P413" s="137" t="s">
        <v>193</v>
      </c>
      <c r="Q413" s="137">
        <v>18.474</v>
      </c>
      <c r="R413" s="137">
        <v>226.09700000000001</v>
      </c>
      <c r="S413" s="137">
        <v>64.28</v>
      </c>
      <c r="T413" s="137">
        <v>89.977000000000004</v>
      </c>
      <c r="U413" s="137" t="s">
        <v>193</v>
      </c>
      <c r="V413" s="137" t="s">
        <v>193</v>
      </c>
      <c r="W413" s="137" t="s">
        <v>194</v>
      </c>
      <c r="X413" s="137" t="s">
        <v>193</v>
      </c>
      <c r="Y413" s="137" t="s">
        <v>193</v>
      </c>
      <c r="Z413" s="137" t="s">
        <v>193</v>
      </c>
      <c r="AA413" s="137" t="s">
        <v>193</v>
      </c>
      <c r="AB413" s="137" t="s">
        <v>193</v>
      </c>
      <c r="AC413" s="137" t="s">
        <v>193</v>
      </c>
      <c r="AD413" s="137" t="s">
        <v>193</v>
      </c>
      <c r="AE413" s="137">
        <v>71.456999999999994</v>
      </c>
      <c r="AF413" s="137" t="s">
        <v>193</v>
      </c>
      <c r="AG413" s="137" t="s">
        <v>193</v>
      </c>
      <c r="AH413" s="137" t="s">
        <v>199</v>
      </c>
      <c r="AI413" s="137" t="s">
        <v>193</v>
      </c>
      <c r="AJ413" s="137">
        <v>8.1639999999999997</v>
      </c>
      <c r="AK413" s="137" t="s">
        <v>193</v>
      </c>
      <c r="AL413" s="137" t="s">
        <v>193</v>
      </c>
      <c r="AM413" s="137" t="s">
        <v>193</v>
      </c>
      <c r="AN413" s="137" t="s">
        <v>193</v>
      </c>
      <c r="AO413" s="137" t="s">
        <v>193</v>
      </c>
      <c r="AQ413" s="12">
        <f t="shared" si="53"/>
        <v>503.23899999999992</v>
      </c>
      <c r="AR413" s="12">
        <f t="shared" si="51"/>
        <v>503.23899999999992</v>
      </c>
      <c r="AT413" s="12">
        <f t="shared" si="54"/>
        <v>277.00900000000001</v>
      </c>
      <c r="AU413" s="12">
        <f t="shared" si="55"/>
        <v>102.431</v>
      </c>
      <c r="AV413" s="13">
        <f t="shared" si="56"/>
        <v>0.75399561639698043</v>
      </c>
      <c r="AY413" s="12">
        <f t="shared" si="57"/>
        <v>0</v>
      </c>
      <c r="AZ413" s="12">
        <f t="shared" si="58"/>
        <v>0</v>
      </c>
      <c r="BA413" s="12">
        <f t="shared" si="58"/>
        <v>0</v>
      </c>
      <c r="BB413" s="12">
        <f t="shared" si="58"/>
        <v>0</v>
      </c>
      <c r="BC413" s="12">
        <f t="shared" si="52"/>
        <v>0</v>
      </c>
      <c r="BD413" s="12">
        <f t="shared" si="59"/>
        <v>0</v>
      </c>
    </row>
    <row r="414" spans="1:56" ht="15" customHeight="1" x14ac:dyDescent="0.25">
      <c r="A414" s="137" t="s">
        <v>734</v>
      </c>
      <c r="B414" s="137" t="s">
        <v>740</v>
      </c>
      <c r="C414" s="137">
        <v>2018</v>
      </c>
      <c r="D414" s="137">
        <v>185.27</v>
      </c>
      <c r="E414" s="137">
        <v>105.07899999999999</v>
      </c>
      <c r="F414" s="137">
        <v>18.798999999999999</v>
      </c>
      <c r="G414" s="137" t="s">
        <v>749</v>
      </c>
      <c r="H414" s="137">
        <v>21.15</v>
      </c>
      <c r="I414" s="137">
        <v>388.39100000000002</v>
      </c>
      <c r="J414" s="137" t="s">
        <v>193</v>
      </c>
      <c r="K414" s="137" t="s">
        <v>193</v>
      </c>
      <c r="L414" s="137" t="s">
        <v>193</v>
      </c>
      <c r="M414" s="137">
        <v>0.219</v>
      </c>
      <c r="N414" s="137" t="s">
        <v>193</v>
      </c>
      <c r="O414" s="137" t="s">
        <v>193</v>
      </c>
      <c r="P414" s="137" t="s">
        <v>193</v>
      </c>
      <c r="Q414" s="137">
        <v>9.7940000000000005</v>
      </c>
      <c r="R414" s="137">
        <v>141.96199999999999</v>
      </c>
      <c r="S414" s="137">
        <v>45.415999999999997</v>
      </c>
      <c r="T414" s="137">
        <v>59.411000000000001</v>
      </c>
      <c r="U414" s="137" t="s">
        <v>193</v>
      </c>
      <c r="V414" s="137" t="s">
        <v>193</v>
      </c>
      <c r="W414" s="137" t="s">
        <v>194</v>
      </c>
      <c r="X414" s="137" t="s">
        <v>193</v>
      </c>
      <c r="Y414" s="137" t="s">
        <v>193</v>
      </c>
      <c r="Z414" s="137" t="s">
        <v>193</v>
      </c>
      <c r="AA414" s="137" t="s">
        <v>193</v>
      </c>
      <c r="AB414" s="137" t="s">
        <v>193</v>
      </c>
      <c r="AC414" s="137" t="s">
        <v>193</v>
      </c>
      <c r="AD414" s="137" t="s">
        <v>193</v>
      </c>
      <c r="AE414" s="137">
        <v>49.872</v>
      </c>
      <c r="AF414" s="137" t="s">
        <v>193</v>
      </c>
      <c r="AG414" s="137" t="s">
        <v>193</v>
      </c>
      <c r="AH414" s="137" t="s">
        <v>199</v>
      </c>
      <c r="AI414" s="137" t="s">
        <v>193</v>
      </c>
      <c r="AJ414" s="137">
        <v>6.1459999999999999</v>
      </c>
      <c r="AK414" s="137">
        <v>75.570999999999998</v>
      </c>
      <c r="AL414" s="137">
        <v>85</v>
      </c>
      <c r="AM414" s="137" t="s">
        <v>193</v>
      </c>
      <c r="AN414" s="137" t="s">
        <v>193</v>
      </c>
      <c r="AO414" s="137">
        <v>15</v>
      </c>
      <c r="AQ414" s="12">
        <f>SUMPRODUCT(J414:AF414)+IFERROR(AJ414/1,0)</f>
        <v>312.82000000000005</v>
      </c>
      <c r="AR414" s="12">
        <f t="shared" si="51"/>
        <v>388.39100000000002</v>
      </c>
      <c r="AT414" s="12">
        <f t="shared" si="54"/>
        <v>185.27</v>
      </c>
      <c r="AU414" s="12">
        <f t="shared" si="55"/>
        <v>105.07899999999999</v>
      </c>
      <c r="AV414" s="13">
        <f t="shared" si="56"/>
        <v>0.74756881596123492</v>
      </c>
      <c r="AY414" s="12">
        <f t="shared" si="57"/>
        <v>75.570999999999998</v>
      </c>
      <c r="AZ414" s="12">
        <f t="shared" si="58"/>
        <v>64.235349999999997</v>
      </c>
      <c r="BA414" s="12">
        <f t="shared" si="58"/>
        <v>0</v>
      </c>
      <c r="BB414" s="12">
        <f t="shared" si="58"/>
        <v>0</v>
      </c>
      <c r="BC414" s="12">
        <f t="shared" si="52"/>
        <v>11.335649999999999</v>
      </c>
      <c r="BD414" s="12">
        <f t="shared" si="59"/>
        <v>0</v>
      </c>
    </row>
    <row r="417" spans="50:56" ht="15" customHeight="1" x14ac:dyDescent="0.25">
      <c r="AX417" s="12" t="s">
        <v>1316</v>
      </c>
      <c r="AY417" s="1">
        <f>SUM(AY2:AY414)</f>
        <v>4169.2834700000003</v>
      </c>
      <c r="AZ417" s="1">
        <f t="shared" ref="AZ417:BD417" si="60">SUM(AZ2:AZ414)</f>
        <v>2723.3066986251069</v>
      </c>
      <c r="BA417" s="1">
        <f t="shared" si="60"/>
        <v>965.10545830000012</v>
      </c>
      <c r="BB417" s="1">
        <f t="shared" si="60"/>
        <v>195.79382582377008</v>
      </c>
      <c r="BC417" s="1">
        <f t="shared" si="60"/>
        <v>80.218487253137852</v>
      </c>
      <c r="BD417" s="1">
        <f t="shared" si="60"/>
        <v>205.7</v>
      </c>
    </row>
    <row r="419" spans="50:56" ht="15" customHeight="1" x14ac:dyDescent="0.25">
      <c r="AY419" s="13">
        <f>AZ417/$AY$417</f>
        <v>0.65318338707852519</v>
      </c>
      <c r="AZ419" s="13">
        <f t="shared" ref="AZ419:BD419" si="61">BA417/$AY$417</f>
        <v>0.23147993300153324</v>
      </c>
      <c r="BA419" s="13">
        <f t="shared" si="61"/>
        <v>4.6961025133599288E-2</v>
      </c>
      <c r="BB419" s="13">
        <f t="shared" si="61"/>
        <v>1.9240353367754544E-2</v>
      </c>
      <c r="BC419" s="13">
        <f t="shared" si="61"/>
        <v>4.9337014736491394E-2</v>
      </c>
      <c r="BD419" s="13">
        <f t="shared" si="61"/>
        <v>0</v>
      </c>
    </row>
  </sheetData>
  <autoFilter ref="A1:BE1"/>
  <conditionalFormatting sqref="B32:B70 B1:B30 B72:B146 B148:B226 B228:B292 B294:B315 B317:B340 B342:B407 B409:B1048576">
    <cfRule type="duplicateValues" dxfId="21" priority="1"/>
  </conditionalFormatting>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BA514"/>
  <sheetViews>
    <sheetView workbookViewId="0">
      <selection activeCell="E23" sqref="E23"/>
    </sheetView>
  </sheetViews>
  <sheetFormatPr defaultRowHeight="15" x14ac:dyDescent="0.25"/>
  <cols>
    <col min="1" max="1" width="36.140625" style="1" bestFit="1" customWidth="1"/>
    <col min="2" max="2" width="25.85546875" style="1" customWidth="1"/>
    <col min="48" max="48" width="11.5703125" customWidth="1"/>
    <col min="50" max="50" width="9.28515625" customWidth="1"/>
    <col min="53" max="53" width="9.42578125" customWidth="1"/>
  </cols>
  <sheetData>
    <row r="1" spans="1:53" ht="180.75" thickBot="1" x14ac:dyDescent="0.3">
      <c r="A1" s="132" t="s">
        <v>151</v>
      </c>
      <c r="B1" s="132" t="s">
        <v>2</v>
      </c>
      <c r="C1" s="132" t="s">
        <v>152</v>
      </c>
      <c r="D1" s="132" t="s">
        <v>741</v>
      </c>
      <c r="E1" s="132" t="s">
        <v>742</v>
      </c>
      <c r="F1" s="132" t="s">
        <v>743</v>
      </c>
      <c r="G1" s="132" t="s">
        <v>744</v>
      </c>
      <c r="H1" s="132" t="s">
        <v>745</v>
      </c>
      <c r="I1" s="132" t="s">
        <v>154</v>
      </c>
      <c r="J1" s="132" t="s">
        <v>155</v>
      </c>
      <c r="K1" s="132" t="s">
        <v>156</v>
      </c>
      <c r="L1" s="132" t="s">
        <v>157</v>
      </c>
      <c r="M1" s="132" t="s">
        <v>158</v>
      </c>
      <c r="N1" s="132" t="s">
        <v>159</v>
      </c>
      <c r="O1" s="132" t="s">
        <v>161</v>
      </c>
      <c r="P1" s="132" t="s">
        <v>163</v>
      </c>
      <c r="Q1" s="132" t="s">
        <v>164</v>
      </c>
      <c r="R1" s="132" t="s">
        <v>165</v>
      </c>
      <c r="S1" s="132" t="s">
        <v>166</v>
      </c>
      <c r="T1" s="132" t="s">
        <v>167</v>
      </c>
      <c r="U1" s="132" t="s">
        <v>168</v>
      </c>
      <c r="V1" s="132" t="s">
        <v>169</v>
      </c>
      <c r="W1" s="132" t="s">
        <v>170</v>
      </c>
      <c r="X1" s="132" t="s">
        <v>171</v>
      </c>
      <c r="Y1" s="132" t="s">
        <v>172</v>
      </c>
      <c r="Z1" s="132" t="s">
        <v>173</v>
      </c>
      <c r="AA1" s="132" t="s">
        <v>174</v>
      </c>
      <c r="AB1" s="132" t="s">
        <v>175</v>
      </c>
      <c r="AC1" s="132" t="s">
        <v>176</v>
      </c>
      <c r="AD1" s="132" t="s">
        <v>177</v>
      </c>
      <c r="AE1" s="132" t="s">
        <v>178</v>
      </c>
      <c r="AF1" s="132" t="s">
        <v>182</v>
      </c>
      <c r="AG1" s="132" t="s">
        <v>160</v>
      </c>
      <c r="AH1" s="132" t="s">
        <v>746</v>
      </c>
      <c r="AI1" s="163" t="s">
        <v>1229</v>
      </c>
      <c r="AL1" s="14" t="s">
        <v>1230</v>
      </c>
      <c r="AM1" s="14" t="s">
        <v>1231</v>
      </c>
      <c r="AN1" s="15" t="s">
        <v>1232</v>
      </c>
      <c r="AO1" s="16"/>
      <c r="AP1" s="3" t="s">
        <v>1207</v>
      </c>
      <c r="AQ1" s="3" t="s">
        <v>1208</v>
      </c>
      <c r="AR1" s="16" t="s">
        <v>1233</v>
      </c>
      <c r="AS1" s="16"/>
      <c r="AT1" s="16" t="s">
        <v>1234</v>
      </c>
      <c r="AU1" s="14"/>
      <c r="AV1" s="14" t="s">
        <v>1235</v>
      </c>
      <c r="AX1" s="14" t="s">
        <v>1236</v>
      </c>
      <c r="BA1" s="14" t="s">
        <v>1237</v>
      </c>
    </row>
    <row r="2" spans="1:53" x14ac:dyDescent="0.25">
      <c r="A2" s="137" t="s">
        <v>15</v>
      </c>
      <c r="B2" s="137" t="s">
        <v>16</v>
      </c>
      <c r="C2" s="121"/>
      <c r="D2" s="121"/>
      <c r="E2" s="121"/>
      <c r="F2" s="121"/>
      <c r="G2" s="121"/>
      <c r="H2" s="121"/>
      <c r="I2" s="121"/>
      <c r="J2" s="121">
        <v>0</v>
      </c>
      <c r="K2" s="121">
        <v>0</v>
      </c>
      <c r="L2" s="121">
        <v>0</v>
      </c>
      <c r="M2" s="121">
        <v>0</v>
      </c>
      <c r="N2" s="121">
        <v>0</v>
      </c>
      <c r="O2" s="121">
        <v>0</v>
      </c>
      <c r="P2" s="121">
        <v>0</v>
      </c>
      <c r="Q2" s="121">
        <v>0</v>
      </c>
      <c r="R2" s="121">
        <v>0</v>
      </c>
      <c r="S2" s="121">
        <v>0</v>
      </c>
      <c r="T2" s="121">
        <v>0</v>
      </c>
      <c r="U2" s="121">
        <v>0</v>
      </c>
      <c r="V2" s="121" t="s">
        <v>1119</v>
      </c>
      <c r="W2" s="121">
        <v>0</v>
      </c>
      <c r="X2" s="121">
        <v>0</v>
      </c>
      <c r="Y2" s="121">
        <v>0</v>
      </c>
      <c r="Z2" s="121">
        <v>0</v>
      </c>
      <c r="AA2" s="121">
        <v>0</v>
      </c>
      <c r="AB2" s="121">
        <v>0</v>
      </c>
      <c r="AC2" s="121">
        <v>0</v>
      </c>
      <c r="AD2" s="121">
        <v>0</v>
      </c>
      <c r="AE2" s="121">
        <v>0</v>
      </c>
      <c r="AF2" s="121">
        <v>0</v>
      </c>
      <c r="AG2" s="121">
        <v>0</v>
      </c>
      <c r="AH2" s="121">
        <v>0</v>
      </c>
      <c r="AI2" s="121">
        <v>0</v>
      </c>
      <c r="AL2" s="14">
        <f>SUM(J2:U2,W2:AI2)</f>
        <v>0</v>
      </c>
      <c r="AM2">
        <f>AL2-IFERROR(AI2/1,0)</f>
        <v>0</v>
      </c>
      <c r="AN2">
        <f>AM2-IFERROR(AH2/1,0)</f>
        <v>0</v>
      </c>
      <c r="AP2">
        <f>VLOOKUP($B2,Kraftvärmeprod!$B$1:$BX$549,MATCH(AP$1,Kraftvärmeprod!$B$1:$BX$1,0),FALSE)</f>
        <v>0</v>
      </c>
      <c r="AQ2">
        <f>VLOOKUP($B2,Kraftvärmeprod!$B$1:$BX$549,MATCH(AQ$1,Kraftvärmeprod!$B$1:$BX$1,0),FALSE)</f>
        <v>0</v>
      </c>
      <c r="AR2">
        <f>VLOOKUP($B2,Kraftvärmeprod!$B$1:$BX$549,MATCH("Summa tillförd energi exklusive rökgaskondensering",Kraftvärmeprod!$B$1:$BX$1,0),FALSE)</f>
        <v>0</v>
      </c>
      <c r="AT2" s="17" t="str">
        <f>IF(AN2=0,"",AN2/AR2)</f>
        <v/>
      </c>
      <c r="AV2">
        <f>Q2+R2+S2+T2+U2+P2+X2+Y2+Z2+AA2+AB2+AC2+W2</f>
        <v>0</v>
      </c>
      <c r="BA2" s="17" t="str">
        <f>IFERROR(AP2/(AN2+AI2),"")</f>
        <v/>
      </c>
    </row>
    <row r="3" spans="1:53" x14ac:dyDescent="0.25">
      <c r="A3" s="137" t="s">
        <v>15</v>
      </c>
      <c r="B3" s="137" t="s">
        <v>18</v>
      </c>
      <c r="C3" s="121"/>
      <c r="D3" s="121"/>
      <c r="E3" s="121"/>
      <c r="F3" s="121"/>
      <c r="G3" s="121"/>
      <c r="H3" s="121"/>
      <c r="I3" s="121"/>
      <c r="J3" s="121">
        <v>0</v>
      </c>
      <c r="K3" s="121">
        <v>0</v>
      </c>
      <c r="L3" s="121">
        <v>0</v>
      </c>
      <c r="M3" s="121">
        <v>0</v>
      </c>
      <c r="N3" s="121">
        <v>0</v>
      </c>
      <c r="O3" s="121">
        <v>0</v>
      </c>
      <c r="P3" s="121">
        <v>0</v>
      </c>
      <c r="Q3" s="121">
        <v>0</v>
      </c>
      <c r="R3" s="121">
        <v>0</v>
      </c>
      <c r="S3" s="121">
        <v>0</v>
      </c>
      <c r="T3" s="121">
        <v>0</v>
      </c>
      <c r="U3" s="121">
        <v>0</v>
      </c>
      <c r="V3" s="121" t="s">
        <v>1119</v>
      </c>
      <c r="W3" s="121">
        <v>0</v>
      </c>
      <c r="X3" s="121">
        <v>0</v>
      </c>
      <c r="Y3" s="121">
        <v>0</v>
      </c>
      <c r="Z3" s="121">
        <v>0</v>
      </c>
      <c r="AA3" s="121">
        <v>0</v>
      </c>
      <c r="AB3" s="121">
        <v>0</v>
      </c>
      <c r="AC3" s="121">
        <v>0</v>
      </c>
      <c r="AD3" s="121">
        <v>0</v>
      </c>
      <c r="AE3" s="121">
        <v>0</v>
      </c>
      <c r="AF3" s="121">
        <v>0</v>
      </c>
      <c r="AG3" s="121">
        <v>0</v>
      </c>
      <c r="AH3" s="121">
        <v>0</v>
      </c>
      <c r="AI3" s="121">
        <v>0</v>
      </c>
      <c r="AL3" s="14">
        <f t="shared" ref="AL3:AL65" si="0">SUM(J3:U3,W3:AI3)</f>
        <v>0</v>
      </c>
      <c r="AM3">
        <f t="shared" ref="AM3:AM65" si="1">AL3-IFERROR(AI3/1,0)</f>
        <v>0</v>
      </c>
      <c r="AN3">
        <f t="shared" ref="AN3:AN65" si="2">AM3-IFERROR(AH3/1,0)</f>
        <v>0</v>
      </c>
      <c r="AP3">
        <f>VLOOKUP($B3,Kraftvärmeprod!$B$1:$BX$549,MATCH(AP$1,Kraftvärmeprod!$B$1:$BX$1,0),FALSE)</f>
        <v>0</v>
      </c>
      <c r="AQ3">
        <f>VLOOKUP($B3,Kraftvärmeprod!$B$1:$BX$549,MATCH(AQ$1,Kraftvärmeprod!$B$1:$BX$1,0),FALSE)</f>
        <v>0</v>
      </c>
      <c r="AR3">
        <f>VLOOKUP($B3,Kraftvärmeprod!$B$1:$BX$549,MATCH("Summa tillförd energi exklusive rökgaskondensering",Kraftvärmeprod!$B$1:$BX$1,0),FALSE)</f>
        <v>0</v>
      </c>
      <c r="AT3" s="17" t="str">
        <f t="shared" ref="AT3:AT65" si="3">IF(AN3=0,"",AN3/AR3)</f>
        <v/>
      </c>
      <c r="AV3">
        <f t="shared" ref="AV3:AV65" si="4">Q3+R3+S3+T3+U3+P3+X3+Y3+Z3+AA3+AB3+AC3+W3</f>
        <v>0</v>
      </c>
      <c r="BA3" s="17" t="str">
        <f t="shared" ref="BA3:BA65" si="5">IFERROR(AP3/(AN3+AI3),"")</f>
        <v/>
      </c>
    </row>
    <row r="4" spans="1:53" x14ac:dyDescent="0.25">
      <c r="A4" s="137" t="s">
        <v>15</v>
      </c>
      <c r="B4" s="137" t="s">
        <v>20</v>
      </c>
      <c r="C4" s="121"/>
      <c r="D4" s="121"/>
      <c r="E4" s="121"/>
      <c r="F4" s="121"/>
      <c r="G4" s="121"/>
      <c r="H4" s="121"/>
      <c r="I4" s="121"/>
      <c r="J4" s="121">
        <v>0</v>
      </c>
      <c r="K4" s="121">
        <v>0</v>
      </c>
      <c r="L4" s="121">
        <v>0</v>
      </c>
      <c r="M4" s="121">
        <v>0</v>
      </c>
      <c r="N4" s="121">
        <v>0</v>
      </c>
      <c r="O4" s="121">
        <v>0</v>
      </c>
      <c r="P4" s="121">
        <v>0</v>
      </c>
      <c r="Q4" s="121">
        <v>0</v>
      </c>
      <c r="R4" s="121">
        <v>0</v>
      </c>
      <c r="S4" s="121">
        <v>0</v>
      </c>
      <c r="T4" s="121">
        <v>0</v>
      </c>
      <c r="U4" s="121">
        <v>0</v>
      </c>
      <c r="V4" s="121" t="s">
        <v>1119</v>
      </c>
      <c r="W4" s="121">
        <v>0</v>
      </c>
      <c r="X4" s="121">
        <v>0</v>
      </c>
      <c r="Y4" s="121">
        <v>0</v>
      </c>
      <c r="Z4" s="121">
        <v>0</v>
      </c>
      <c r="AA4" s="121">
        <v>0</v>
      </c>
      <c r="AB4" s="121">
        <v>0</v>
      </c>
      <c r="AC4" s="121">
        <v>0</v>
      </c>
      <c r="AD4" s="121">
        <v>0</v>
      </c>
      <c r="AE4" s="121">
        <v>0</v>
      </c>
      <c r="AF4" s="121">
        <v>0</v>
      </c>
      <c r="AG4" s="121">
        <v>0</v>
      </c>
      <c r="AH4" s="121">
        <v>0</v>
      </c>
      <c r="AI4" s="121">
        <v>0</v>
      </c>
      <c r="AL4" s="14">
        <f t="shared" si="0"/>
        <v>0</v>
      </c>
      <c r="AM4">
        <f t="shared" si="1"/>
        <v>0</v>
      </c>
      <c r="AN4">
        <f t="shared" si="2"/>
        <v>0</v>
      </c>
      <c r="AP4">
        <f>VLOOKUP($B4,Kraftvärmeprod!$B$1:$BX$549,MATCH(AP$1,Kraftvärmeprod!$B$1:$BX$1,0),FALSE)</f>
        <v>0</v>
      </c>
      <c r="AQ4">
        <f>VLOOKUP($B4,Kraftvärmeprod!$B$1:$BX$549,MATCH(AQ$1,Kraftvärmeprod!$B$1:$BX$1,0),FALSE)</f>
        <v>0</v>
      </c>
      <c r="AR4">
        <f>VLOOKUP($B4,Kraftvärmeprod!$B$1:$BX$549,MATCH("Summa tillförd energi exklusive rökgaskondensering",Kraftvärmeprod!$B$1:$BX$1,0),FALSE)</f>
        <v>0</v>
      </c>
      <c r="AT4" s="17" t="str">
        <f t="shared" si="3"/>
        <v/>
      </c>
      <c r="AV4">
        <f t="shared" si="4"/>
        <v>0</v>
      </c>
      <c r="BA4" s="17" t="str">
        <f t="shared" si="5"/>
        <v/>
      </c>
    </row>
    <row r="5" spans="1:53" x14ac:dyDescent="0.25">
      <c r="A5" s="137" t="s">
        <v>15</v>
      </c>
      <c r="B5" s="137" t="s">
        <v>22</v>
      </c>
      <c r="C5" s="121"/>
      <c r="D5" s="121"/>
      <c r="E5" s="121"/>
      <c r="F5" s="121"/>
      <c r="G5" s="121"/>
      <c r="H5" s="121"/>
      <c r="I5" s="121"/>
      <c r="J5" s="121">
        <v>0</v>
      </c>
      <c r="K5" s="121">
        <v>0</v>
      </c>
      <c r="L5" s="121">
        <v>0</v>
      </c>
      <c r="M5" s="121">
        <v>0</v>
      </c>
      <c r="N5" s="121">
        <v>0</v>
      </c>
      <c r="O5" s="121">
        <v>0</v>
      </c>
      <c r="P5" s="121">
        <v>0</v>
      </c>
      <c r="Q5" s="121">
        <v>0</v>
      </c>
      <c r="R5" s="121">
        <v>0</v>
      </c>
      <c r="S5" s="121">
        <v>0</v>
      </c>
      <c r="T5" s="121">
        <v>0</v>
      </c>
      <c r="U5" s="121">
        <v>0</v>
      </c>
      <c r="V5" s="121" t="s">
        <v>1119</v>
      </c>
      <c r="W5" s="121">
        <v>0</v>
      </c>
      <c r="X5" s="121">
        <v>0</v>
      </c>
      <c r="Y5" s="121">
        <v>0</v>
      </c>
      <c r="Z5" s="121">
        <v>0</v>
      </c>
      <c r="AA5" s="121">
        <v>0</v>
      </c>
      <c r="AB5" s="121">
        <v>0</v>
      </c>
      <c r="AC5" s="121">
        <v>0</v>
      </c>
      <c r="AD5" s="121">
        <v>0</v>
      </c>
      <c r="AE5" s="121">
        <v>0</v>
      </c>
      <c r="AF5" s="121">
        <v>0</v>
      </c>
      <c r="AG5" s="121">
        <v>0</v>
      </c>
      <c r="AH5" s="121">
        <v>0</v>
      </c>
      <c r="AI5" s="121">
        <v>0</v>
      </c>
      <c r="AL5" s="14">
        <f t="shared" si="0"/>
        <v>0</v>
      </c>
      <c r="AM5">
        <f t="shared" si="1"/>
        <v>0</v>
      </c>
      <c r="AN5">
        <f t="shared" si="2"/>
        <v>0</v>
      </c>
      <c r="AP5">
        <f>VLOOKUP($B5,Kraftvärmeprod!$B$1:$BX$549,MATCH(AP$1,Kraftvärmeprod!$B$1:$BX$1,0),FALSE)</f>
        <v>0</v>
      </c>
      <c r="AQ5">
        <f>VLOOKUP($B5,Kraftvärmeprod!$B$1:$BX$549,MATCH(AQ$1,Kraftvärmeprod!$B$1:$BX$1,0),FALSE)</f>
        <v>0</v>
      </c>
      <c r="AR5">
        <f>VLOOKUP($B5,Kraftvärmeprod!$B$1:$BX$549,MATCH("Summa tillförd energi exklusive rökgaskondensering",Kraftvärmeprod!$B$1:$BX$1,0),FALSE)</f>
        <v>0</v>
      </c>
      <c r="AT5" s="17" t="str">
        <f t="shared" si="3"/>
        <v/>
      </c>
      <c r="AV5">
        <f t="shared" si="4"/>
        <v>0</v>
      </c>
      <c r="BA5" s="17" t="str">
        <f t="shared" si="5"/>
        <v/>
      </c>
    </row>
    <row r="6" spans="1:53" x14ac:dyDescent="0.25">
      <c r="A6" s="137" t="s">
        <v>15</v>
      </c>
      <c r="B6" s="137" t="s">
        <v>24</v>
      </c>
      <c r="C6" s="121"/>
      <c r="D6" s="121"/>
      <c r="E6" s="121"/>
      <c r="F6" s="121"/>
      <c r="G6" s="121"/>
      <c r="H6" s="121"/>
      <c r="I6" s="121"/>
      <c r="J6" s="121">
        <v>0</v>
      </c>
      <c r="K6" s="121">
        <v>0</v>
      </c>
      <c r="L6" s="121">
        <v>0</v>
      </c>
      <c r="M6" s="121">
        <v>0</v>
      </c>
      <c r="N6" s="121">
        <v>0</v>
      </c>
      <c r="O6" s="121">
        <v>0</v>
      </c>
      <c r="P6" s="121">
        <v>0</v>
      </c>
      <c r="Q6" s="121">
        <v>0</v>
      </c>
      <c r="R6" s="121">
        <v>0</v>
      </c>
      <c r="S6" s="121">
        <v>0</v>
      </c>
      <c r="T6" s="121">
        <v>0</v>
      </c>
      <c r="U6" s="121">
        <v>0</v>
      </c>
      <c r="V6" s="121" t="s">
        <v>1119</v>
      </c>
      <c r="W6" s="121">
        <v>0</v>
      </c>
      <c r="X6" s="121">
        <v>0</v>
      </c>
      <c r="Y6" s="121">
        <v>0</v>
      </c>
      <c r="Z6" s="121">
        <v>0</v>
      </c>
      <c r="AA6" s="121">
        <v>0</v>
      </c>
      <c r="AB6" s="121">
        <v>0</v>
      </c>
      <c r="AC6" s="121">
        <v>0</v>
      </c>
      <c r="AD6" s="121">
        <v>0</v>
      </c>
      <c r="AE6" s="121">
        <v>0</v>
      </c>
      <c r="AF6" s="121">
        <v>0</v>
      </c>
      <c r="AG6" s="121">
        <v>0</v>
      </c>
      <c r="AH6" s="121">
        <v>0</v>
      </c>
      <c r="AI6" s="121">
        <v>0</v>
      </c>
      <c r="AL6" s="14">
        <f t="shared" si="0"/>
        <v>0</v>
      </c>
      <c r="AM6">
        <f t="shared" si="1"/>
        <v>0</v>
      </c>
      <c r="AN6">
        <f t="shared" si="2"/>
        <v>0</v>
      </c>
      <c r="AP6">
        <f>VLOOKUP($B6,Kraftvärmeprod!$B$1:$BX$549,MATCH(AP$1,Kraftvärmeprod!$B$1:$BX$1,0),FALSE)</f>
        <v>0</v>
      </c>
      <c r="AQ6">
        <f>VLOOKUP($B6,Kraftvärmeprod!$B$1:$BX$549,MATCH(AQ$1,Kraftvärmeprod!$B$1:$BX$1,0),FALSE)</f>
        <v>0</v>
      </c>
      <c r="AR6">
        <f>VLOOKUP($B6,Kraftvärmeprod!$B$1:$BX$549,MATCH("Summa tillförd energi exklusive rökgaskondensering",Kraftvärmeprod!$B$1:$BX$1,0),FALSE)</f>
        <v>0</v>
      </c>
      <c r="AT6" s="17" t="str">
        <f t="shared" si="3"/>
        <v/>
      </c>
      <c r="AV6">
        <f t="shared" si="4"/>
        <v>0</v>
      </c>
      <c r="BA6" s="17" t="str">
        <f t="shared" si="5"/>
        <v/>
      </c>
    </row>
    <row r="7" spans="1:53" x14ac:dyDescent="0.25">
      <c r="A7" s="137" t="s">
        <v>15</v>
      </c>
      <c r="B7" s="137" t="s">
        <v>26</v>
      </c>
      <c r="C7" s="121"/>
      <c r="D7" s="121"/>
      <c r="E7" s="121"/>
      <c r="F7" s="121"/>
      <c r="G7" s="121"/>
      <c r="H7" s="121"/>
      <c r="I7" s="121"/>
      <c r="J7" s="121">
        <v>0</v>
      </c>
      <c r="K7" s="121">
        <v>0</v>
      </c>
      <c r="L7" s="121">
        <v>0</v>
      </c>
      <c r="M7" s="121">
        <v>0</v>
      </c>
      <c r="N7" s="121">
        <v>0</v>
      </c>
      <c r="O7" s="121">
        <v>0</v>
      </c>
      <c r="P7" s="121">
        <v>0</v>
      </c>
      <c r="Q7" s="121">
        <v>0</v>
      </c>
      <c r="R7" s="121">
        <v>0</v>
      </c>
      <c r="S7" s="121">
        <v>0</v>
      </c>
      <c r="T7" s="121">
        <v>0</v>
      </c>
      <c r="U7" s="121">
        <v>0</v>
      </c>
      <c r="V7" s="121" t="s">
        <v>1119</v>
      </c>
      <c r="W7" s="121">
        <v>0</v>
      </c>
      <c r="X7" s="121">
        <v>0</v>
      </c>
      <c r="Y7" s="121">
        <v>0</v>
      </c>
      <c r="Z7" s="121">
        <v>0</v>
      </c>
      <c r="AA7" s="121">
        <v>0</v>
      </c>
      <c r="AB7" s="121">
        <v>0</v>
      </c>
      <c r="AC7" s="121">
        <v>0</v>
      </c>
      <c r="AD7" s="121">
        <v>0</v>
      </c>
      <c r="AE7" s="121">
        <v>0</v>
      </c>
      <c r="AF7" s="121">
        <v>0</v>
      </c>
      <c r="AG7" s="121">
        <v>0</v>
      </c>
      <c r="AH7" s="121">
        <v>0</v>
      </c>
      <c r="AI7" s="121">
        <v>0</v>
      </c>
      <c r="AL7" s="14">
        <f t="shared" si="0"/>
        <v>0</v>
      </c>
      <c r="AM7">
        <f t="shared" si="1"/>
        <v>0</v>
      </c>
      <c r="AN7">
        <f t="shared" si="2"/>
        <v>0</v>
      </c>
      <c r="AP7">
        <f>VLOOKUP($B7,Kraftvärmeprod!$B$1:$BX$549,MATCH(AP$1,Kraftvärmeprod!$B$1:$BX$1,0),FALSE)</f>
        <v>0</v>
      </c>
      <c r="AQ7">
        <f>VLOOKUP($B7,Kraftvärmeprod!$B$1:$BX$549,MATCH(AQ$1,Kraftvärmeprod!$B$1:$BX$1,0),FALSE)</f>
        <v>0</v>
      </c>
      <c r="AR7">
        <f>VLOOKUP($B7,Kraftvärmeprod!$B$1:$BX$549,MATCH("Summa tillförd energi exklusive rökgaskondensering",Kraftvärmeprod!$B$1:$BX$1,0),FALSE)</f>
        <v>0</v>
      </c>
      <c r="AT7" s="17" t="str">
        <f t="shared" si="3"/>
        <v/>
      </c>
      <c r="AV7">
        <f t="shared" si="4"/>
        <v>0</v>
      </c>
      <c r="BA7" s="17" t="str">
        <f t="shared" si="5"/>
        <v/>
      </c>
    </row>
    <row r="8" spans="1:53" x14ac:dyDescent="0.25">
      <c r="A8" s="137" t="s">
        <v>15</v>
      </c>
      <c r="B8" s="137" t="s">
        <v>28</v>
      </c>
      <c r="C8" s="121"/>
      <c r="D8" s="121"/>
      <c r="E8" s="121"/>
      <c r="F8" s="121"/>
      <c r="G8" s="121"/>
      <c r="H8" s="121"/>
      <c r="I8" s="121"/>
      <c r="J8" s="121">
        <v>0</v>
      </c>
      <c r="K8" s="121">
        <v>0</v>
      </c>
      <c r="L8" s="121">
        <v>0</v>
      </c>
      <c r="M8" s="121">
        <v>0</v>
      </c>
      <c r="N8" s="121">
        <v>0</v>
      </c>
      <c r="O8" s="121">
        <v>0</v>
      </c>
      <c r="P8" s="121">
        <v>0</v>
      </c>
      <c r="Q8" s="121">
        <v>0</v>
      </c>
      <c r="R8" s="121">
        <v>0</v>
      </c>
      <c r="S8" s="121">
        <v>0</v>
      </c>
      <c r="T8" s="121">
        <v>0</v>
      </c>
      <c r="U8" s="121">
        <v>0</v>
      </c>
      <c r="V8" s="121" t="s">
        <v>1119</v>
      </c>
      <c r="W8" s="121">
        <v>0</v>
      </c>
      <c r="X8" s="121">
        <v>0</v>
      </c>
      <c r="Y8" s="121">
        <v>0</v>
      </c>
      <c r="Z8" s="121">
        <v>0</v>
      </c>
      <c r="AA8" s="121">
        <v>0</v>
      </c>
      <c r="AB8" s="121">
        <v>0</v>
      </c>
      <c r="AC8" s="121">
        <v>0</v>
      </c>
      <c r="AD8" s="121">
        <v>0</v>
      </c>
      <c r="AE8" s="121">
        <v>0</v>
      </c>
      <c r="AF8" s="121">
        <v>0</v>
      </c>
      <c r="AG8" s="121">
        <v>0</v>
      </c>
      <c r="AH8" s="121">
        <v>0</v>
      </c>
      <c r="AI8" s="121">
        <v>0</v>
      </c>
      <c r="AL8" s="14">
        <f t="shared" si="0"/>
        <v>0</v>
      </c>
      <c r="AM8">
        <f t="shared" si="1"/>
        <v>0</v>
      </c>
      <c r="AN8">
        <f t="shared" si="2"/>
        <v>0</v>
      </c>
      <c r="AP8">
        <f>VLOOKUP($B8,Kraftvärmeprod!$B$1:$BX$549,MATCH(AP$1,Kraftvärmeprod!$B$1:$BX$1,0),FALSE)</f>
        <v>0</v>
      </c>
      <c r="AQ8">
        <f>VLOOKUP($B8,Kraftvärmeprod!$B$1:$BX$549,MATCH(AQ$1,Kraftvärmeprod!$B$1:$BX$1,0),FALSE)</f>
        <v>0</v>
      </c>
      <c r="AR8">
        <f>VLOOKUP($B8,Kraftvärmeprod!$B$1:$BX$549,MATCH("Summa tillförd energi exklusive rökgaskondensering",Kraftvärmeprod!$B$1:$BX$1,0),FALSE)</f>
        <v>0</v>
      </c>
      <c r="AT8" s="17" t="str">
        <f t="shared" si="3"/>
        <v/>
      </c>
      <c r="AV8">
        <f t="shared" si="4"/>
        <v>0</v>
      </c>
      <c r="BA8" s="17" t="str">
        <f t="shared" si="5"/>
        <v/>
      </c>
    </row>
    <row r="9" spans="1:53" x14ac:dyDescent="0.25">
      <c r="A9" s="137" t="s">
        <v>15</v>
      </c>
      <c r="B9" s="137" t="s">
        <v>30</v>
      </c>
      <c r="C9" s="121"/>
      <c r="D9" s="121"/>
      <c r="E9" s="121"/>
      <c r="F9" s="121"/>
      <c r="G9" s="121"/>
      <c r="H9" s="121"/>
      <c r="I9" s="121"/>
      <c r="J9" s="121">
        <v>0</v>
      </c>
      <c r="K9" s="121">
        <v>0</v>
      </c>
      <c r="L9" s="121">
        <v>0</v>
      </c>
      <c r="M9" s="121">
        <v>0</v>
      </c>
      <c r="N9" s="121">
        <v>0</v>
      </c>
      <c r="O9" s="121">
        <v>0</v>
      </c>
      <c r="P9" s="121">
        <v>0</v>
      </c>
      <c r="Q9" s="121">
        <v>0</v>
      </c>
      <c r="R9" s="121">
        <v>0</v>
      </c>
      <c r="S9" s="121">
        <v>0</v>
      </c>
      <c r="T9" s="121">
        <v>0</v>
      </c>
      <c r="U9" s="121">
        <v>0</v>
      </c>
      <c r="V9" s="121" t="s">
        <v>1119</v>
      </c>
      <c r="W9" s="121">
        <v>0</v>
      </c>
      <c r="X9" s="121">
        <v>0</v>
      </c>
      <c r="Y9" s="121">
        <v>0</v>
      </c>
      <c r="Z9" s="121">
        <v>0</v>
      </c>
      <c r="AA9" s="121">
        <v>0</v>
      </c>
      <c r="AB9" s="121">
        <v>0</v>
      </c>
      <c r="AC9" s="121">
        <v>0</v>
      </c>
      <c r="AD9" s="121">
        <v>0</v>
      </c>
      <c r="AE9" s="121">
        <v>0</v>
      </c>
      <c r="AF9" s="121">
        <v>0</v>
      </c>
      <c r="AG9" s="121">
        <v>0</v>
      </c>
      <c r="AH9" s="121">
        <v>0</v>
      </c>
      <c r="AI9" s="121">
        <v>0</v>
      </c>
      <c r="AL9" s="14">
        <f t="shared" si="0"/>
        <v>0</v>
      </c>
      <c r="AM9">
        <f t="shared" si="1"/>
        <v>0</v>
      </c>
      <c r="AN9">
        <f t="shared" si="2"/>
        <v>0</v>
      </c>
      <c r="AP9">
        <f>VLOOKUP($B9,Kraftvärmeprod!$B$1:$BX$549,MATCH(AP$1,Kraftvärmeprod!$B$1:$BX$1,0),FALSE)</f>
        <v>0</v>
      </c>
      <c r="AQ9">
        <f>VLOOKUP($B9,Kraftvärmeprod!$B$1:$BX$549,MATCH(AQ$1,Kraftvärmeprod!$B$1:$BX$1,0),FALSE)</f>
        <v>0</v>
      </c>
      <c r="AR9">
        <f>VLOOKUP($B9,Kraftvärmeprod!$B$1:$BX$549,MATCH("Summa tillförd energi exklusive rökgaskondensering",Kraftvärmeprod!$B$1:$BX$1,0),FALSE)</f>
        <v>0</v>
      </c>
      <c r="AT9" s="17" t="str">
        <f t="shared" si="3"/>
        <v/>
      </c>
      <c r="AV9">
        <f t="shared" si="4"/>
        <v>0</v>
      </c>
      <c r="BA9" s="17" t="str">
        <f t="shared" si="5"/>
        <v/>
      </c>
    </row>
    <row r="10" spans="1:53" x14ac:dyDescent="0.25">
      <c r="A10" s="137" t="s">
        <v>15</v>
      </c>
      <c r="B10" s="137" t="s">
        <v>32</v>
      </c>
      <c r="C10" s="121"/>
      <c r="D10" s="121"/>
      <c r="E10" s="121"/>
      <c r="F10" s="121"/>
      <c r="G10" s="121"/>
      <c r="H10" s="121"/>
      <c r="I10" s="121"/>
      <c r="J10" s="121">
        <v>0</v>
      </c>
      <c r="K10" s="121">
        <v>0</v>
      </c>
      <c r="L10" s="121">
        <v>0</v>
      </c>
      <c r="M10" s="121">
        <v>0</v>
      </c>
      <c r="N10" s="121">
        <v>0</v>
      </c>
      <c r="O10" s="121">
        <v>0</v>
      </c>
      <c r="P10" s="121">
        <v>0</v>
      </c>
      <c r="Q10" s="121">
        <v>0</v>
      </c>
      <c r="R10" s="121">
        <v>0</v>
      </c>
      <c r="S10" s="121">
        <v>0</v>
      </c>
      <c r="T10" s="121">
        <v>0</v>
      </c>
      <c r="U10" s="121">
        <v>0</v>
      </c>
      <c r="V10" s="121" t="s">
        <v>1119</v>
      </c>
      <c r="W10" s="121">
        <v>0</v>
      </c>
      <c r="X10" s="121">
        <v>0</v>
      </c>
      <c r="Y10" s="121">
        <v>0</v>
      </c>
      <c r="Z10" s="121">
        <v>0</v>
      </c>
      <c r="AA10" s="121">
        <v>0</v>
      </c>
      <c r="AB10" s="121">
        <v>0</v>
      </c>
      <c r="AC10" s="121">
        <v>0</v>
      </c>
      <c r="AD10" s="121">
        <v>0</v>
      </c>
      <c r="AE10" s="121">
        <v>0</v>
      </c>
      <c r="AF10" s="121">
        <v>0</v>
      </c>
      <c r="AG10" s="121">
        <v>0</v>
      </c>
      <c r="AH10" s="121">
        <v>0</v>
      </c>
      <c r="AI10" s="121">
        <v>0</v>
      </c>
      <c r="AL10" s="14">
        <f t="shared" si="0"/>
        <v>0</v>
      </c>
      <c r="AM10">
        <f t="shared" si="1"/>
        <v>0</v>
      </c>
      <c r="AN10">
        <f t="shared" si="2"/>
        <v>0</v>
      </c>
      <c r="AP10">
        <f>VLOOKUP($B10,Kraftvärmeprod!$B$1:$BX$549,MATCH(AP$1,Kraftvärmeprod!$B$1:$BX$1,0),FALSE)</f>
        <v>0</v>
      </c>
      <c r="AQ10">
        <f>VLOOKUP($B10,Kraftvärmeprod!$B$1:$BX$549,MATCH(AQ$1,Kraftvärmeprod!$B$1:$BX$1,0),FALSE)</f>
        <v>0</v>
      </c>
      <c r="AR10">
        <f>VLOOKUP($B10,Kraftvärmeprod!$B$1:$BX$549,MATCH("Summa tillförd energi exklusive rökgaskondensering",Kraftvärmeprod!$B$1:$BX$1,0),FALSE)</f>
        <v>0</v>
      </c>
      <c r="AT10" s="17" t="str">
        <f t="shared" si="3"/>
        <v/>
      </c>
      <c r="AV10">
        <f t="shared" si="4"/>
        <v>0</v>
      </c>
      <c r="BA10" s="17" t="str">
        <f t="shared" si="5"/>
        <v/>
      </c>
    </row>
    <row r="11" spans="1:53" x14ac:dyDescent="0.25">
      <c r="A11" s="137" t="s">
        <v>200</v>
      </c>
      <c r="B11" s="137" t="s">
        <v>201</v>
      </c>
      <c r="C11" s="121"/>
      <c r="D11" s="121"/>
      <c r="E11" s="121"/>
      <c r="F11" s="121"/>
      <c r="G11" s="121"/>
      <c r="H11" s="121"/>
      <c r="I11" s="121"/>
      <c r="J11" s="121">
        <v>0</v>
      </c>
      <c r="K11" s="121">
        <v>0</v>
      </c>
      <c r="L11" s="121">
        <v>0</v>
      </c>
      <c r="M11" s="121">
        <v>0</v>
      </c>
      <c r="N11" s="121">
        <v>0</v>
      </c>
      <c r="O11" s="121">
        <v>0</v>
      </c>
      <c r="P11" s="121">
        <v>0</v>
      </c>
      <c r="Q11" s="121">
        <v>0</v>
      </c>
      <c r="R11" s="121">
        <v>0</v>
      </c>
      <c r="S11" s="121">
        <v>0</v>
      </c>
      <c r="T11" s="121">
        <v>0</v>
      </c>
      <c r="U11" s="121">
        <v>0</v>
      </c>
      <c r="V11" s="121" t="s">
        <v>1119</v>
      </c>
      <c r="W11" s="121">
        <v>0</v>
      </c>
      <c r="X11" s="121">
        <v>0</v>
      </c>
      <c r="Y11" s="121">
        <v>0</v>
      </c>
      <c r="Z11" s="121">
        <v>0</v>
      </c>
      <c r="AA11" s="121">
        <v>0</v>
      </c>
      <c r="AB11" s="121">
        <v>0</v>
      </c>
      <c r="AC11" s="121">
        <v>0</v>
      </c>
      <c r="AD11" s="121">
        <v>0</v>
      </c>
      <c r="AE11" s="121">
        <v>0</v>
      </c>
      <c r="AF11" s="121">
        <v>0</v>
      </c>
      <c r="AG11" s="121">
        <v>0</v>
      </c>
      <c r="AH11" s="121">
        <v>0</v>
      </c>
      <c r="AI11" s="121">
        <v>0</v>
      </c>
      <c r="AL11" s="14">
        <f t="shared" si="0"/>
        <v>0</v>
      </c>
      <c r="AM11">
        <f t="shared" si="1"/>
        <v>0</v>
      </c>
      <c r="AN11">
        <f t="shared" si="2"/>
        <v>0</v>
      </c>
      <c r="AP11">
        <f>VLOOKUP($B11,Kraftvärmeprod!$B$1:$BX$549,MATCH(AP$1,Kraftvärmeprod!$B$1:$BX$1,0),FALSE)</f>
        <v>0</v>
      </c>
      <c r="AQ11">
        <f>VLOOKUP($B11,Kraftvärmeprod!$B$1:$BX$549,MATCH(AQ$1,Kraftvärmeprod!$B$1:$BX$1,0),FALSE)</f>
        <v>0</v>
      </c>
      <c r="AR11">
        <f>VLOOKUP($B11,Kraftvärmeprod!$B$1:$BX$549,MATCH("Summa tillförd energi exklusive rökgaskondensering",Kraftvärmeprod!$B$1:$BX$1,0),FALSE)</f>
        <v>0</v>
      </c>
      <c r="AT11" s="17" t="str">
        <f t="shared" si="3"/>
        <v/>
      </c>
      <c r="AV11">
        <f t="shared" si="4"/>
        <v>0</v>
      </c>
      <c r="BA11" s="17" t="str">
        <f t="shared" si="5"/>
        <v/>
      </c>
    </row>
    <row r="12" spans="1:53" x14ac:dyDescent="0.25">
      <c r="A12" s="137" t="s">
        <v>200</v>
      </c>
      <c r="B12" s="137" t="s">
        <v>202</v>
      </c>
      <c r="C12" s="121"/>
      <c r="D12" s="121"/>
      <c r="E12" s="121"/>
      <c r="F12" s="121"/>
      <c r="G12" s="121"/>
      <c r="H12" s="121"/>
      <c r="I12" s="121"/>
      <c r="J12" s="121">
        <v>0</v>
      </c>
      <c r="K12" s="121">
        <v>0</v>
      </c>
      <c r="L12" s="121">
        <v>0</v>
      </c>
      <c r="M12" s="121">
        <v>0</v>
      </c>
      <c r="N12" s="121">
        <v>0</v>
      </c>
      <c r="O12" s="121">
        <v>0</v>
      </c>
      <c r="P12" s="121">
        <v>0</v>
      </c>
      <c r="Q12" s="121">
        <v>0</v>
      </c>
      <c r="R12" s="121">
        <v>0</v>
      </c>
      <c r="S12" s="121">
        <v>0</v>
      </c>
      <c r="T12" s="121">
        <v>0</v>
      </c>
      <c r="U12" s="121">
        <v>0</v>
      </c>
      <c r="V12" s="121" t="s">
        <v>1119</v>
      </c>
      <c r="W12" s="121">
        <v>0</v>
      </c>
      <c r="X12" s="121">
        <v>0</v>
      </c>
      <c r="Y12" s="121">
        <v>0</v>
      </c>
      <c r="Z12" s="121">
        <v>0</v>
      </c>
      <c r="AA12" s="121">
        <v>0</v>
      </c>
      <c r="AB12" s="121">
        <v>0</v>
      </c>
      <c r="AC12" s="121">
        <v>0</v>
      </c>
      <c r="AD12" s="121">
        <v>0</v>
      </c>
      <c r="AE12" s="121">
        <v>0</v>
      </c>
      <c r="AF12" s="121">
        <v>0</v>
      </c>
      <c r="AG12" s="121">
        <v>0</v>
      </c>
      <c r="AH12" s="121">
        <v>0</v>
      </c>
      <c r="AI12" s="121">
        <v>0</v>
      </c>
      <c r="AL12" s="14">
        <f t="shared" si="0"/>
        <v>0</v>
      </c>
      <c r="AM12">
        <f t="shared" si="1"/>
        <v>0</v>
      </c>
      <c r="AN12">
        <f t="shared" si="2"/>
        <v>0</v>
      </c>
      <c r="AP12">
        <f>VLOOKUP($B12,Kraftvärmeprod!$B$1:$BX$549,MATCH(AP$1,Kraftvärmeprod!$B$1:$BX$1,0),FALSE)</f>
        <v>0</v>
      </c>
      <c r="AQ12">
        <f>VLOOKUP($B12,Kraftvärmeprod!$B$1:$BX$549,MATCH(AQ$1,Kraftvärmeprod!$B$1:$BX$1,0),FALSE)</f>
        <v>0</v>
      </c>
      <c r="AR12">
        <f>VLOOKUP($B12,Kraftvärmeprod!$B$1:$BX$549,MATCH("Summa tillförd energi exklusive rökgaskondensering",Kraftvärmeprod!$B$1:$BX$1,0),FALSE)</f>
        <v>0</v>
      </c>
      <c r="AT12" s="17" t="str">
        <f t="shared" si="3"/>
        <v/>
      </c>
      <c r="AV12">
        <f t="shared" si="4"/>
        <v>0</v>
      </c>
      <c r="BA12" s="17" t="str">
        <f t="shared" si="5"/>
        <v/>
      </c>
    </row>
    <row r="13" spans="1:53" x14ac:dyDescent="0.25">
      <c r="A13" s="137" t="s">
        <v>200</v>
      </c>
      <c r="B13" s="137" t="s">
        <v>203</v>
      </c>
      <c r="C13" s="121"/>
      <c r="D13" s="121"/>
      <c r="E13" s="121"/>
      <c r="F13" s="121"/>
      <c r="G13" s="121"/>
      <c r="H13" s="121"/>
      <c r="I13" s="121"/>
      <c r="J13" s="121">
        <v>0</v>
      </c>
      <c r="K13" s="121">
        <v>0</v>
      </c>
      <c r="L13" s="121">
        <v>0</v>
      </c>
      <c r="M13" s="121">
        <v>0</v>
      </c>
      <c r="N13" s="121">
        <v>0</v>
      </c>
      <c r="O13" s="121">
        <v>0</v>
      </c>
      <c r="P13" s="121">
        <v>0</v>
      </c>
      <c r="Q13" s="121">
        <v>0</v>
      </c>
      <c r="R13" s="121">
        <v>0</v>
      </c>
      <c r="S13" s="121">
        <v>0</v>
      </c>
      <c r="T13" s="121">
        <v>0</v>
      </c>
      <c r="U13" s="121">
        <v>0</v>
      </c>
      <c r="V13" s="121" t="s">
        <v>1119</v>
      </c>
      <c r="W13" s="121">
        <v>0</v>
      </c>
      <c r="X13" s="121">
        <v>0</v>
      </c>
      <c r="Y13" s="121">
        <v>0</v>
      </c>
      <c r="Z13" s="121">
        <v>0</v>
      </c>
      <c r="AA13" s="121">
        <v>0</v>
      </c>
      <c r="AB13" s="121">
        <v>0</v>
      </c>
      <c r="AC13" s="121">
        <v>0</v>
      </c>
      <c r="AD13" s="121">
        <v>0</v>
      </c>
      <c r="AE13" s="121">
        <v>0</v>
      </c>
      <c r="AF13" s="121">
        <v>0</v>
      </c>
      <c r="AG13" s="121">
        <v>0</v>
      </c>
      <c r="AH13" s="121">
        <v>0</v>
      </c>
      <c r="AI13" s="121">
        <v>0</v>
      </c>
      <c r="AL13" s="14">
        <f t="shared" si="0"/>
        <v>0</v>
      </c>
      <c r="AM13">
        <f t="shared" si="1"/>
        <v>0</v>
      </c>
      <c r="AN13">
        <f t="shared" si="2"/>
        <v>0</v>
      </c>
      <c r="AP13">
        <f>VLOOKUP($B13,Kraftvärmeprod!$B$1:$BX$549,MATCH(AP$1,Kraftvärmeprod!$B$1:$BX$1,0),FALSE)</f>
        <v>0</v>
      </c>
      <c r="AQ13">
        <f>VLOOKUP($B13,Kraftvärmeprod!$B$1:$BX$549,MATCH(AQ$1,Kraftvärmeprod!$B$1:$BX$1,0),FALSE)</f>
        <v>0</v>
      </c>
      <c r="AR13">
        <f>VLOOKUP($B13,Kraftvärmeprod!$B$1:$BX$549,MATCH("Summa tillförd energi exklusive rökgaskondensering",Kraftvärmeprod!$B$1:$BX$1,0),FALSE)</f>
        <v>0</v>
      </c>
      <c r="AT13" s="17" t="str">
        <f t="shared" si="3"/>
        <v/>
      </c>
      <c r="AV13">
        <f t="shared" si="4"/>
        <v>0</v>
      </c>
      <c r="BA13" s="17" t="str">
        <f t="shared" si="5"/>
        <v/>
      </c>
    </row>
    <row r="14" spans="1:53" x14ac:dyDescent="0.25">
      <c r="A14" s="137" t="s">
        <v>200</v>
      </c>
      <c r="B14" s="137" t="s">
        <v>204</v>
      </c>
      <c r="C14" s="121"/>
      <c r="D14" s="121"/>
      <c r="E14" s="121"/>
      <c r="F14" s="121"/>
      <c r="G14" s="121"/>
      <c r="H14" s="121"/>
      <c r="I14" s="121"/>
      <c r="J14" s="121">
        <v>0</v>
      </c>
      <c r="K14" s="121">
        <v>0</v>
      </c>
      <c r="L14" s="121">
        <v>0</v>
      </c>
      <c r="M14" s="121">
        <v>0</v>
      </c>
      <c r="N14" s="121">
        <v>0</v>
      </c>
      <c r="O14" s="121">
        <v>0</v>
      </c>
      <c r="P14" s="121">
        <v>0</v>
      </c>
      <c r="Q14" s="121">
        <v>0</v>
      </c>
      <c r="R14" s="121">
        <v>0</v>
      </c>
      <c r="S14" s="121">
        <v>0</v>
      </c>
      <c r="T14" s="121">
        <v>0</v>
      </c>
      <c r="U14" s="121">
        <v>0</v>
      </c>
      <c r="V14" s="121" t="s">
        <v>1119</v>
      </c>
      <c r="W14" s="121">
        <v>0</v>
      </c>
      <c r="X14" s="121">
        <v>0</v>
      </c>
      <c r="Y14" s="121">
        <v>0</v>
      </c>
      <c r="Z14" s="121">
        <v>0</v>
      </c>
      <c r="AA14" s="121">
        <v>0</v>
      </c>
      <c r="AB14" s="121">
        <v>0</v>
      </c>
      <c r="AC14" s="121">
        <v>0</v>
      </c>
      <c r="AD14" s="121">
        <v>0</v>
      </c>
      <c r="AE14" s="121">
        <v>0</v>
      </c>
      <c r="AF14" s="121">
        <v>0</v>
      </c>
      <c r="AG14" s="121">
        <v>0</v>
      </c>
      <c r="AH14" s="121">
        <v>0</v>
      </c>
      <c r="AI14" s="121">
        <v>0</v>
      </c>
      <c r="AL14" s="14">
        <f t="shared" si="0"/>
        <v>0</v>
      </c>
      <c r="AM14">
        <f t="shared" si="1"/>
        <v>0</v>
      </c>
      <c r="AN14">
        <f t="shared" si="2"/>
        <v>0</v>
      </c>
      <c r="AP14">
        <f>VLOOKUP($B14,Kraftvärmeprod!$B$1:$BX$549,MATCH(AP$1,Kraftvärmeprod!$B$1:$BX$1,0),FALSE)</f>
        <v>0</v>
      </c>
      <c r="AQ14">
        <f>VLOOKUP($B14,Kraftvärmeprod!$B$1:$BX$549,MATCH(AQ$1,Kraftvärmeprod!$B$1:$BX$1,0),FALSE)</f>
        <v>0</v>
      </c>
      <c r="AR14">
        <f>VLOOKUP($B14,Kraftvärmeprod!$B$1:$BX$549,MATCH("Summa tillförd energi exklusive rökgaskondensering",Kraftvärmeprod!$B$1:$BX$1,0),FALSE)</f>
        <v>0</v>
      </c>
      <c r="AT14" s="17" t="str">
        <f t="shared" si="3"/>
        <v/>
      </c>
      <c r="AV14">
        <f t="shared" si="4"/>
        <v>0</v>
      </c>
      <c r="BA14" s="17" t="str">
        <f t="shared" si="5"/>
        <v/>
      </c>
    </row>
    <row r="15" spans="1:53" x14ac:dyDescent="0.25">
      <c r="A15" s="137" t="s">
        <v>200</v>
      </c>
      <c r="B15" s="137" t="s">
        <v>205</v>
      </c>
      <c r="C15" s="121"/>
      <c r="D15" s="121"/>
      <c r="E15" s="121"/>
      <c r="F15" s="121"/>
      <c r="G15" s="121"/>
      <c r="H15" s="121"/>
      <c r="I15" s="121"/>
      <c r="J15" s="121">
        <v>0</v>
      </c>
      <c r="K15" s="121">
        <v>0</v>
      </c>
      <c r="L15" s="121">
        <v>0</v>
      </c>
      <c r="M15" s="121">
        <v>0</v>
      </c>
      <c r="N15" s="121">
        <v>0</v>
      </c>
      <c r="O15" s="121">
        <v>0</v>
      </c>
      <c r="P15" s="121">
        <v>0</v>
      </c>
      <c r="Q15" s="121">
        <v>0</v>
      </c>
      <c r="R15" s="121">
        <v>0</v>
      </c>
      <c r="S15" s="121">
        <v>0</v>
      </c>
      <c r="T15" s="121">
        <v>0</v>
      </c>
      <c r="U15" s="121">
        <v>0</v>
      </c>
      <c r="V15" s="121" t="s">
        <v>1119</v>
      </c>
      <c r="W15" s="121">
        <v>0</v>
      </c>
      <c r="X15" s="121">
        <v>0</v>
      </c>
      <c r="Y15" s="121">
        <v>0</v>
      </c>
      <c r="Z15" s="121">
        <v>0</v>
      </c>
      <c r="AA15" s="121">
        <v>0</v>
      </c>
      <c r="AB15" s="121">
        <v>0</v>
      </c>
      <c r="AC15" s="121">
        <v>0</v>
      </c>
      <c r="AD15" s="121">
        <v>0</v>
      </c>
      <c r="AE15" s="121">
        <v>0</v>
      </c>
      <c r="AF15" s="121">
        <v>0</v>
      </c>
      <c r="AG15" s="121">
        <v>0</v>
      </c>
      <c r="AH15" s="121">
        <v>0</v>
      </c>
      <c r="AI15" s="121">
        <v>0</v>
      </c>
      <c r="AL15" s="14">
        <f t="shared" si="0"/>
        <v>0</v>
      </c>
      <c r="AM15">
        <f t="shared" si="1"/>
        <v>0</v>
      </c>
      <c r="AN15">
        <f t="shared" si="2"/>
        <v>0</v>
      </c>
      <c r="AP15">
        <f>VLOOKUP($B15,Kraftvärmeprod!$B$1:$BX$549,MATCH(AP$1,Kraftvärmeprod!$B$1:$BX$1,0),FALSE)</f>
        <v>0</v>
      </c>
      <c r="AQ15">
        <f>VLOOKUP($B15,Kraftvärmeprod!$B$1:$BX$549,MATCH(AQ$1,Kraftvärmeprod!$B$1:$BX$1,0),FALSE)</f>
        <v>0</v>
      </c>
      <c r="AR15">
        <f>VLOOKUP($B15,Kraftvärmeprod!$B$1:$BX$549,MATCH("Summa tillförd energi exklusive rökgaskondensering",Kraftvärmeprod!$B$1:$BX$1,0),FALSE)</f>
        <v>0</v>
      </c>
      <c r="AT15" s="17" t="str">
        <f t="shared" si="3"/>
        <v/>
      </c>
      <c r="AV15">
        <f t="shared" si="4"/>
        <v>0</v>
      </c>
      <c r="BA15" s="17" t="str">
        <f t="shared" si="5"/>
        <v/>
      </c>
    </row>
    <row r="16" spans="1:53" x14ac:dyDescent="0.25">
      <c r="A16" s="137" t="s">
        <v>200</v>
      </c>
      <c r="B16" s="137" t="s">
        <v>206</v>
      </c>
      <c r="C16" s="121"/>
      <c r="D16" s="121"/>
      <c r="E16" s="121"/>
      <c r="F16" s="121"/>
      <c r="G16" s="121"/>
      <c r="H16" s="121"/>
      <c r="I16" s="121"/>
      <c r="J16" s="121">
        <v>0</v>
      </c>
      <c r="K16" s="121">
        <v>0</v>
      </c>
      <c r="L16" s="121">
        <v>0</v>
      </c>
      <c r="M16" s="121">
        <v>0</v>
      </c>
      <c r="N16" s="121">
        <v>0</v>
      </c>
      <c r="O16" s="121">
        <v>0</v>
      </c>
      <c r="P16" s="121">
        <v>0</v>
      </c>
      <c r="Q16" s="121">
        <v>0</v>
      </c>
      <c r="R16" s="121">
        <v>0</v>
      </c>
      <c r="S16" s="121">
        <v>0</v>
      </c>
      <c r="T16" s="121">
        <v>0</v>
      </c>
      <c r="U16" s="121">
        <v>0</v>
      </c>
      <c r="V16" s="121" t="s">
        <v>1119</v>
      </c>
      <c r="W16" s="121">
        <v>0</v>
      </c>
      <c r="X16" s="121">
        <v>0</v>
      </c>
      <c r="Y16" s="121">
        <v>0</v>
      </c>
      <c r="Z16" s="121">
        <v>0</v>
      </c>
      <c r="AA16" s="121">
        <v>0</v>
      </c>
      <c r="AB16" s="121">
        <v>0</v>
      </c>
      <c r="AC16" s="121">
        <v>0</v>
      </c>
      <c r="AD16" s="121">
        <v>0</v>
      </c>
      <c r="AE16" s="121">
        <v>0</v>
      </c>
      <c r="AF16" s="121">
        <v>0</v>
      </c>
      <c r="AG16" s="121">
        <v>0</v>
      </c>
      <c r="AH16" s="121">
        <v>0</v>
      </c>
      <c r="AI16" s="121">
        <v>0</v>
      </c>
      <c r="AL16" s="14">
        <f t="shared" si="0"/>
        <v>0</v>
      </c>
      <c r="AM16">
        <f t="shared" si="1"/>
        <v>0</v>
      </c>
      <c r="AN16">
        <f t="shared" si="2"/>
        <v>0</v>
      </c>
      <c r="AP16">
        <f>VLOOKUP($B16,Kraftvärmeprod!$B$1:$BX$549,MATCH(AP$1,Kraftvärmeprod!$B$1:$BX$1,0),FALSE)</f>
        <v>0</v>
      </c>
      <c r="AQ16">
        <f>VLOOKUP($B16,Kraftvärmeprod!$B$1:$BX$549,MATCH(AQ$1,Kraftvärmeprod!$B$1:$BX$1,0),FALSE)</f>
        <v>0</v>
      </c>
      <c r="AR16">
        <f>VLOOKUP($B16,Kraftvärmeprod!$B$1:$BX$549,MATCH("Summa tillförd energi exklusive rökgaskondensering",Kraftvärmeprod!$B$1:$BX$1,0),FALSE)</f>
        <v>0</v>
      </c>
      <c r="AT16" s="17" t="str">
        <f t="shared" si="3"/>
        <v/>
      </c>
      <c r="AV16">
        <f t="shared" si="4"/>
        <v>0</v>
      </c>
      <c r="BA16" s="17" t="str">
        <f t="shared" si="5"/>
        <v/>
      </c>
    </row>
    <row r="17" spans="1:53" x14ac:dyDescent="0.25">
      <c r="A17" s="137" t="s">
        <v>200</v>
      </c>
      <c r="B17" s="137" t="s">
        <v>207</v>
      </c>
      <c r="C17" s="121"/>
      <c r="D17" s="121"/>
      <c r="E17" s="121"/>
      <c r="F17" s="121"/>
      <c r="G17" s="121"/>
      <c r="H17" s="121"/>
      <c r="I17" s="121"/>
      <c r="J17" s="121">
        <v>0</v>
      </c>
      <c r="K17" s="121">
        <v>0</v>
      </c>
      <c r="L17" s="121">
        <v>0</v>
      </c>
      <c r="M17" s="121">
        <v>0</v>
      </c>
      <c r="N17" s="121">
        <v>0</v>
      </c>
      <c r="O17" s="121">
        <v>0</v>
      </c>
      <c r="P17" s="121">
        <v>0</v>
      </c>
      <c r="Q17" s="121">
        <v>0</v>
      </c>
      <c r="R17" s="121">
        <v>0</v>
      </c>
      <c r="S17" s="121">
        <v>0</v>
      </c>
      <c r="T17" s="121">
        <v>0</v>
      </c>
      <c r="U17" s="121">
        <v>0</v>
      </c>
      <c r="V17" s="121" t="s">
        <v>1119</v>
      </c>
      <c r="W17" s="121">
        <v>0</v>
      </c>
      <c r="X17" s="121">
        <v>0</v>
      </c>
      <c r="Y17" s="121">
        <v>0</v>
      </c>
      <c r="Z17" s="121">
        <v>0</v>
      </c>
      <c r="AA17" s="121">
        <v>0</v>
      </c>
      <c r="AB17" s="121">
        <v>0</v>
      </c>
      <c r="AC17" s="121">
        <v>0</v>
      </c>
      <c r="AD17" s="121">
        <v>0</v>
      </c>
      <c r="AE17" s="121">
        <v>0</v>
      </c>
      <c r="AF17" s="121">
        <v>0</v>
      </c>
      <c r="AG17" s="121">
        <v>0</v>
      </c>
      <c r="AH17" s="121">
        <v>0</v>
      </c>
      <c r="AI17" s="121">
        <v>0</v>
      </c>
      <c r="AL17" s="14">
        <f t="shared" si="0"/>
        <v>0</v>
      </c>
      <c r="AM17">
        <f t="shared" si="1"/>
        <v>0</v>
      </c>
      <c r="AN17">
        <f t="shared" si="2"/>
        <v>0</v>
      </c>
      <c r="AP17">
        <f>VLOOKUP($B17,Kraftvärmeprod!$B$1:$BX$549,MATCH(AP$1,Kraftvärmeprod!$B$1:$BX$1,0),FALSE)</f>
        <v>0</v>
      </c>
      <c r="AQ17">
        <f>VLOOKUP($B17,Kraftvärmeprod!$B$1:$BX$549,MATCH(AQ$1,Kraftvärmeprod!$B$1:$BX$1,0),FALSE)</f>
        <v>0</v>
      </c>
      <c r="AR17">
        <f>VLOOKUP($B17,Kraftvärmeprod!$B$1:$BX$549,MATCH("Summa tillförd energi exklusive rökgaskondensering",Kraftvärmeprod!$B$1:$BX$1,0),FALSE)</f>
        <v>0</v>
      </c>
      <c r="AT17" s="17" t="str">
        <f t="shared" si="3"/>
        <v/>
      </c>
      <c r="AV17">
        <f t="shared" si="4"/>
        <v>0</v>
      </c>
      <c r="BA17" s="17" t="str">
        <f t="shared" si="5"/>
        <v/>
      </c>
    </row>
    <row r="18" spans="1:53" x14ac:dyDescent="0.25">
      <c r="A18" s="137" t="s">
        <v>200</v>
      </c>
      <c r="B18" s="137" t="s">
        <v>208</v>
      </c>
      <c r="C18" s="121"/>
      <c r="D18" s="121"/>
      <c r="E18" s="121"/>
      <c r="F18" s="121"/>
      <c r="G18" s="121"/>
      <c r="H18" s="121"/>
      <c r="I18" s="121"/>
      <c r="J18" s="121">
        <v>0</v>
      </c>
      <c r="K18" s="121">
        <v>0</v>
      </c>
      <c r="L18" s="121">
        <v>0</v>
      </c>
      <c r="M18" s="121">
        <v>0</v>
      </c>
      <c r="N18" s="121">
        <v>0</v>
      </c>
      <c r="O18" s="121">
        <v>0</v>
      </c>
      <c r="P18" s="121">
        <v>0</v>
      </c>
      <c r="Q18" s="121">
        <v>0</v>
      </c>
      <c r="R18" s="121">
        <v>0</v>
      </c>
      <c r="S18" s="121">
        <v>0</v>
      </c>
      <c r="T18" s="121">
        <v>0</v>
      </c>
      <c r="U18" s="121">
        <v>0</v>
      </c>
      <c r="V18" s="121" t="s">
        <v>1119</v>
      </c>
      <c r="W18" s="121">
        <v>0</v>
      </c>
      <c r="X18" s="121">
        <v>0</v>
      </c>
      <c r="Y18" s="121">
        <v>0</v>
      </c>
      <c r="Z18" s="121">
        <v>0</v>
      </c>
      <c r="AA18" s="121">
        <v>0</v>
      </c>
      <c r="AB18" s="121">
        <v>0</v>
      </c>
      <c r="AC18" s="121">
        <v>0</v>
      </c>
      <c r="AD18" s="121">
        <v>0</v>
      </c>
      <c r="AE18" s="121">
        <v>0</v>
      </c>
      <c r="AF18" s="121">
        <v>0</v>
      </c>
      <c r="AG18" s="121">
        <v>0</v>
      </c>
      <c r="AH18" s="121">
        <v>0</v>
      </c>
      <c r="AI18" s="121">
        <v>0</v>
      </c>
      <c r="AL18" s="14">
        <f t="shared" si="0"/>
        <v>0</v>
      </c>
      <c r="AM18">
        <f t="shared" si="1"/>
        <v>0</v>
      </c>
      <c r="AN18">
        <f t="shared" si="2"/>
        <v>0</v>
      </c>
      <c r="AP18">
        <f>VLOOKUP($B18,Kraftvärmeprod!$B$1:$BX$549,MATCH(AP$1,Kraftvärmeprod!$B$1:$BX$1,0),FALSE)</f>
        <v>0</v>
      </c>
      <c r="AQ18">
        <f>VLOOKUP($B18,Kraftvärmeprod!$B$1:$BX$549,MATCH(AQ$1,Kraftvärmeprod!$B$1:$BX$1,0),FALSE)</f>
        <v>0</v>
      </c>
      <c r="AR18">
        <f>VLOOKUP($B18,Kraftvärmeprod!$B$1:$BX$549,MATCH("Summa tillförd energi exklusive rökgaskondensering",Kraftvärmeprod!$B$1:$BX$1,0),FALSE)</f>
        <v>0</v>
      </c>
      <c r="AT18" s="17" t="str">
        <f t="shared" si="3"/>
        <v/>
      </c>
      <c r="AV18">
        <f t="shared" si="4"/>
        <v>0</v>
      </c>
      <c r="BA18" s="17" t="str">
        <f t="shared" si="5"/>
        <v/>
      </c>
    </row>
    <row r="19" spans="1:53" x14ac:dyDescent="0.25">
      <c r="A19" s="137" t="s">
        <v>200</v>
      </c>
      <c r="B19" s="137" t="s">
        <v>209</v>
      </c>
      <c r="C19" s="121"/>
      <c r="D19" s="121"/>
      <c r="E19" s="121"/>
      <c r="F19" s="121"/>
      <c r="G19" s="121"/>
      <c r="H19" s="121"/>
      <c r="I19" s="121"/>
      <c r="J19" s="121">
        <v>0</v>
      </c>
      <c r="K19" s="121">
        <v>0</v>
      </c>
      <c r="L19" s="121">
        <v>0</v>
      </c>
      <c r="M19" s="121">
        <v>0</v>
      </c>
      <c r="N19" s="121">
        <v>0</v>
      </c>
      <c r="O19" s="121">
        <v>0</v>
      </c>
      <c r="P19" s="121">
        <v>0</v>
      </c>
      <c r="Q19" s="121">
        <v>0</v>
      </c>
      <c r="R19" s="121">
        <v>0</v>
      </c>
      <c r="S19" s="121">
        <v>0</v>
      </c>
      <c r="T19" s="121">
        <v>0</v>
      </c>
      <c r="U19" s="121">
        <v>0</v>
      </c>
      <c r="V19" s="121" t="s">
        <v>1119</v>
      </c>
      <c r="W19" s="121">
        <v>0</v>
      </c>
      <c r="X19" s="121">
        <v>0</v>
      </c>
      <c r="Y19" s="121">
        <v>0</v>
      </c>
      <c r="Z19" s="121">
        <v>0</v>
      </c>
      <c r="AA19" s="121">
        <v>0</v>
      </c>
      <c r="AB19" s="121">
        <v>0</v>
      </c>
      <c r="AC19" s="121">
        <v>0</v>
      </c>
      <c r="AD19" s="121">
        <v>0</v>
      </c>
      <c r="AE19" s="121">
        <v>0</v>
      </c>
      <c r="AF19" s="121">
        <v>0</v>
      </c>
      <c r="AG19" s="121">
        <v>0</v>
      </c>
      <c r="AH19" s="121">
        <v>0</v>
      </c>
      <c r="AI19" s="121">
        <v>0</v>
      </c>
      <c r="AL19" s="14">
        <f t="shared" si="0"/>
        <v>0</v>
      </c>
      <c r="AM19">
        <f t="shared" si="1"/>
        <v>0</v>
      </c>
      <c r="AN19">
        <f t="shared" si="2"/>
        <v>0</v>
      </c>
      <c r="AP19">
        <f>VLOOKUP($B19,Kraftvärmeprod!$B$1:$BX$549,MATCH(AP$1,Kraftvärmeprod!$B$1:$BX$1,0),FALSE)</f>
        <v>0</v>
      </c>
      <c r="AQ19">
        <f>VLOOKUP($B19,Kraftvärmeprod!$B$1:$BX$549,MATCH(AQ$1,Kraftvärmeprod!$B$1:$BX$1,0),FALSE)</f>
        <v>0</v>
      </c>
      <c r="AR19">
        <f>VLOOKUP($B19,Kraftvärmeprod!$B$1:$BX$549,MATCH("Summa tillförd energi exklusive rökgaskondensering",Kraftvärmeprod!$B$1:$BX$1,0),FALSE)</f>
        <v>0</v>
      </c>
      <c r="AT19" s="17" t="str">
        <f t="shared" si="3"/>
        <v/>
      </c>
      <c r="AV19">
        <f t="shared" si="4"/>
        <v>0</v>
      </c>
      <c r="BA19" s="17" t="str">
        <f t="shared" si="5"/>
        <v/>
      </c>
    </row>
    <row r="20" spans="1:53" x14ac:dyDescent="0.25">
      <c r="A20" s="137" t="s">
        <v>200</v>
      </c>
      <c r="B20" s="137" t="s">
        <v>210</v>
      </c>
      <c r="C20" s="121"/>
      <c r="D20" s="121"/>
      <c r="E20" s="121"/>
      <c r="F20" s="121"/>
      <c r="G20" s="121"/>
      <c r="H20" s="121"/>
      <c r="I20" s="121"/>
      <c r="J20" s="121">
        <v>0</v>
      </c>
      <c r="K20" s="121">
        <v>0</v>
      </c>
      <c r="L20" s="121">
        <v>0</v>
      </c>
      <c r="M20" s="121">
        <v>0</v>
      </c>
      <c r="N20" s="121">
        <v>0</v>
      </c>
      <c r="O20" s="121">
        <v>0</v>
      </c>
      <c r="P20" s="121">
        <v>0</v>
      </c>
      <c r="Q20" s="121">
        <v>0</v>
      </c>
      <c r="R20" s="121">
        <v>0</v>
      </c>
      <c r="S20" s="121">
        <v>0</v>
      </c>
      <c r="T20" s="121">
        <v>0</v>
      </c>
      <c r="U20" s="121">
        <v>0</v>
      </c>
      <c r="V20" s="121" t="s">
        <v>1119</v>
      </c>
      <c r="W20" s="121">
        <v>0</v>
      </c>
      <c r="X20" s="121">
        <v>0</v>
      </c>
      <c r="Y20" s="121">
        <v>0</v>
      </c>
      <c r="Z20" s="121">
        <v>0</v>
      </c>
      <c r="AA20" s="121">
        <v>0</v>
      </c>
      <c r="AB20" s="121">
        <v>0</v>
      </c>
      <c r="AC20" s="121">
        <v>0</v>
      </c>
      <c r="AD20" s="121">
        <v>0</v>
      </c>
      <c r="AE20" s="121">
        <v>0</v>
      </c>
      <c r="AF20" s="121">
        <v>0</v>
      </c>
      <c r="AG20" s="121">
        <v>0</v>
      </c>
      <c r="AH20" s="121">
        <v>0</v>
      </c>
      <c r="AI20" s="121">
        <v>0</v>
      </c>
      <c r="AL20" s="14">
        <f t="shared" si="0"/>
        <v>0</v>
      </c>
      <c r="AM20">
        <f t="shared" si="1"/>
        <v>0</v>
      </c>
      <c r="AN20">
        <f t="shared" si="2"/>
        <v>0</v>
      </c>
      <c r="AP20">
        <f>VLOOKUP($B20,Kraftvärmeprod!$B$1:$BX$549,MATCH(AP$1,Kraftvärmeprod!$B$1:$BX$1,0),FALSE)</f>
        <v>0</v>
      </c>
      <c r="AQ20">
        <f>VLOOKUP($B20,Kraftvärmeprod!$B$1:$BX$549,MATCH(AQ$1,Kraftvärmeprod!$B$1:$BX$1,0),FALSE)</f>
        <v>0</v>
      </c>
      <c r="AR20">
        <f>VLOOKUP($B20,Kraftvärmeprod!$B$1:$BX$549,MATCH("Summa tillförd energi exklusive rökgaskondensering",Kraftvärmeprod!$B$1:$BX$1,0),FALSE)</f>
        <v>0</v>
      </c>
      <c r="AT20" s="17" t="str">
        <f t="shared" si="3"/>
        <v/>
      </c>
      <c r="AV20">
        <f t="shared" si="4"/>
        <v>0</v>
      </c>
      <c r="BA20" s="17" t="str">
        <f t="shared" si="5"/>
        <v/>
      </c>
    </row>
    <row r="21" spans="1:53" x14ac:dyDescent="0.25">
      <c r="A21" s="137" t="s">
        <v>211</v>
      </c>
      <c r="B21" s="137" t="s">
        <v>212</v>
      </c>
      <c r="C21" s="121"/>
      <c r="D21" s="121"/>
      <c r="E21" s="121"/>
      <c r="F21" s="121"/>
      <c r="G21" s="121"/>
      <c r="H21" s="121"/>
      <c r="I21" s="121"/>
      <c r="J21" s="121">
        <v>0</v>
      </c>
      <c r="K21" s="121">
        <v>0</v>
      </c>
      <c r="L21" s="121">
        <v>0</v>
      </c>
      <c r="M21" s="121">
        <v>0</v>
      </c>
      <c r="N21" s="121">
        <v>0</v>
      </c>
      <c r="O21" s="121">
        <v>0</v>
      </c>
      <c r="P21" s="121">
        <v>0</v>
      </c>
      <c r="Q21" s="121">
        <v>0</v>
      </c>
      <c r="R21" s="121">
        <v>0</v>
      </c>
      <c r="S21" s="121">
        <v>0</v>
      </c>
      <c r="T21" s="121">
        <v>0</v>
      </c>
      <c r="U21" s="121">
        <v>0</v>
      </c>
      <c r="V21" s="121" t="s">
        <v>1119</v>
      </c>
      <c r="W21" s="121">
        <v>0</v>
      </c>
      <c r="X21" s="121">
        <v>0</v>
      </c>
      <c r="Y21" s="121">
        <v>0</v>
      </c>
      <c r="Z21" s="121">
        <v>0</v>
      </c>
      <c r="AA21" s="121">
        <v>0</v>
      </c>
      <c r="AB21" s="121">
        <v>0</v>
      </c>
      <c r="AC21" s="121">
        <v>0</v>
      </c>
      <c r="AD21" s="121">
        <v>0</v>
      </c>
      <c r="AE21" s="121">
        <v>0</v>
      </c>
      <c r="AF21" s="121">
        <v>0</v>
      </c>
      <c r="AG21" s="121">
        <v>0</v>
      </c>
      <c r="AH21" s="121">
        <v>0</v>
      </c>
      <c r="AI21" s="121">
        <v>0</v>
      </c>
      <c r="AL21" s="14">
        <f t="shared" si="0"/>
        <v>0</v>
      </c>
      <c r="AM21">
        <f t="shared" si="1"/>
        <v>0</v>
      </c>
      <c r="AN21">
        <f t="shared" si="2"/>
        <v>0</v>
      </c>
      <c r="AP21">
        <f>VLOOKUP($B21,Kraftvärmeprod!$B$1:$BX$549,MATCH(AP$1,Kraftvärmeprod!$B$1:$BX$1,0),FALSE)</f>
        <v>0</v>
      </c>
      <c r="AQ21">
        <f>VLOOKUP($B21,Kraftvärmeprod!$B$1:$BX$549,MATCH(AQ$1,Kraftvärmeprod!$B$1:$BX$1,0),FALSE)</f>
        <v>0</v>
      </c>
      <c r="AR21">
        <f>VLOOKUP($B21,Kraftvärmeprod!$B$1:$BX$549,MATCH("Summa tillförd energi exklusive rökgaskondensering",Kraftvärmeprod!$B$1:$BX$1,0),FALSE)</f>
        <v>0</v>
      </c>
      <c r="AT21" s="17" t="str">
        <f t="shared" si="3"/>
        <v/>
      </c>
      <c r="AV21">
        <f t="shared" si="4"/>
        <v>0</v>
      </c>
      <c r="BA21" s="17" t="str">
        <f t="shared" si="5"/>
        <v/>
      </c>
    </row>
    <row r="22" spans="1:53" x14ac:dyDescent="0.25">
      <c r="A22" s="137" t="s">
        <v>211</v>
      </c>
      <c r="B22" s="137" t="s">
        <v>213</v>
      </c>
      <c r="C22" s="121"/>
      <c r="D22" s="121"/>
      <c r="E22" s="121"/>
      <c r="F22" s="121"/>
      <c r="G22" s="121"/>
      <c r="H22" s="121"/>
      <c r="I22" s="121"/>
      <c r="J22" s="121">
        <v>0</v>
      </c>
      <c r="K22" s="121">
        <v>0</v>
      </c>
      <c r="L22" s="121">
        <v>0</v>
      </c>
      <c r="M22" s="121">
        <v>0</v>
      </c>
      <c r="N22" s="121">
        <v>0</v>
      </c>
      <c r="O22" s="121">
        <v>0</v>
      </c>
      <c r="P22" s="121">
        <v>0</v>
      </c>
      <c r="Q22" s="121">
        <v>0</v>
      </c>
      <c r="R22" s="121">
        <v>0</v>
      </c>
      <c r="S22" s="121">
        <v>0</v>
      </c>
      <c r="T22" s="121">
        <v>0</v>
      </c>
      <c r="U22" s="121">
        <v>0</v>
      </c>
      <c r="V22" s="121" t="s">
        <v>1119</v>
      </c>
      <c r="W22" s="121">
        <v>0</v>
      </c>
      <c r="X22" s="121">
        <v>0</v>
      </c>
      <c r="Y22" s="121">
        <v>0</v>
      </c>
      <c r="Z22" s="121">
        <v>0</v>
      </c>
      <c r="AA22" s="121">
        <v>0</v>
      </c>
      <c r="AB22" s="121">
        <v>0</v>
      </c>
      <c r="AC22" s="121">
        <v>0</v>
      </c>
      <c r="AD22" s="121">
        <v>0</v>
      </c>
      <c r="AE22" s="121">
        <v>0</v>
      </c>
      <c r="AF22" s="121">
        <v>0</v>
      </c>
      <c r="AG22" s="121">
        <v>0</v>
      </c>
      <c r="AH22" s="121">
        <v>0</v>
      </c>
      <c r="AI22" s="121">
        <v>0</v>
      </c>
      <c r="AL22" s="14">
        <f t="shared" si="0"/>
        <v>0</v>
      </c>
      <c r="AM22">
        <f t="shared" si="1"/>
        <v>0</v>
      </c>
      <c r="AN22">
        <f t="shared" si="2"/>
        <v>0</v>
      </c>
      <c r="AP22">
        <f>VLOOKUP($B22,Kraftvärmeprod!$B$1:$BX$549,MATCH(AP$1,Kraftvärmeprod!$B$1:$BX$1,0),FALSE)</f>
        <v>0</v>
      </c>
      <c r="AQ22">
        <f>VLOOKUP($B22,Kraftvärmeprod!$B$1:$BX$549,MATCH(AQ$1,Kraftvärmeprod!$B$1:$BX$1,0),FALSE)</f>
        <v>0</v>
      </c>
      <c r="AR22">
        <f>VLOOKUP($B22,Kraftvärmeprod!$B$1:$BX$549,MATCH("Summa tillförd energi exklusive rökgaskondensering",Kraftvärmeprod!$B$1:$BX$1,0),FALSE)</f>
        <v>0</v>
      </c>
      <c r="AT22" s="17" t="str">
        <f t="shared" si="3"/>
        <v/>
      </c>
      <c r="AV22">
        <f t="shared" si="4"/>
        <v>0</v>
      </c>
      <c r="BA22" s="17" t="str">
        <f t="shared" si="5"/>
        <v/>
      </c>
    </row>
    <row r="23" spans="1:53" x14ac:dyDescent="0.25">
      <c r="A23" s="137" t="s">
        <v>211</v>
      </c>
      <c r="B23" s="137" t="s">
        <v>214</v>
      </c>
      <c r="C23" s="121"/>
      <c r="D23" s="121"/>
      <c r="E23" s="121"/>
      <c r="F23" s="121"/>
      <c r="G23" s="121"/>
      <c r="H23" s="121"/>
      <c r="I23" s="121"/>
      <c r="J23" s="121">
        <v>0</v>
      </c>
      <c r="K23" s="121">
        <v>0.18656400000000001</v>
      </c>
      <c r="L23" s="121">
        <v>0</v>
      </c>
      <c r="M23" s="121">
        <v>0</v>
      </c>
      <c r="N23" s="121">
        <v>0</v>
      </c>
      <c r="O23" s="121">
        <v>0</v>
      </c>
      <c r="P23" s="121">
        <v>81.293099999999995</v>
      </c>
      <c r="Q23" s="121">
        <v>10.4329</v>
      </c>
      <c r="R23" s="121">
        <v>10.9314</v>
      </c>
      <c r="S23" s="121">
        <v>20.040099999999999</v>
      </c>
      <c r="T23" s="121">
        <v>0</v>
      </c>
      <c r="U23" s="121">
        <v>6.2052800000000001</v>
      </c>
      <c r="V23" s="121" t="s">
        <v>1119</v>
      </c>
      <c r="W23" s="121">
        <v>0</v>
      </c>
      <c r="X23" s="121">
        <v>0</v>
      </c>
      <c r="Y23" s="121">
        <v>0</v>
      </c>
      <c r="Z23" s="121">
        <v>23.331099999999999</v>
      </c>
      <c r="AA23" s="121">
        <v>0</v>
      </c>
      <c r="AB23" s="121">
        <v>0</v>
      </c>
      <c r="AC23" s="121">
        <v>0</v>
      </c>
      <c r="AD23" s="121">
        <v>9.2766400000000004</v>
      </c>
      <c r="AE23" s="121">
        <v>0</v>
      </c>
      <c r="AF23" s="121">
        <v>0</v>
      </c>
      <c r="AG23" s="121">
        <v>0</v>
      </c>
      <c r="AH23" s="121">
        <v>45.887999999999998</v>
      </c>
      <c r="AI23" s="121">
        <v>7.0655799999999997</v>
      </c>
      <c r="AL23" s="14">
        <f t="shared" si="0"/>
        <v>214.65066399999998</v>
      </c>
      <c r="AM23">
        <f t="shared" si="1"/>
        <v>207.58508399999997</v>
      </c>
      <c r="AN23">
        <f t="shared" si="2"/>
        <v>161.69708399999996</v>
      </c>
      <c r="AP23">
        <f>VLOOKUP($B23,Kraftvärmeprod!$B$1:$BX$549,MATCH(AP$1,Kraftvärmeprod!$B$1:$BX$1,0),FALSE)</f>
        <v>232.97800000000001</v>
      </c>
      <c r="AQ23">
        <f>VLOOKUP($B23,Kraftvärmeprod!$B$1:$BX$549,MATCH(AQ$1,Kraftvärmeprod!$B$1:$BX$1,0),FALSE)</f>
        <v>58.92</v>
      </c>
      <c r="AR23">
        <f>VLOOKUP($B23,Kraftvärmeprod!$B$1:$BX$549,MATCH("Summa tillförd energi exklusive rökgaskondensering",Kraftvärmeprod!$B$1:$BX$1,0),FALSE)</f>
        <v>267.29899999999998</v>
      </c>
      <c r="AT23" s="17">
        <f t="shared" si="3"/>
        <v>0.60492962562523611</v>
      </c>
      <c r="AV23">
        <f t="shared" si="4"/>
        <v>152.23388</v>
      </c>
      <c r="BA23" s="17">
        <f t="shared" si="5"/>
        <v>1.3805067689616468</v>
      </c>
    </row>
    <row r="24" spans="1:53" x14ac:dyDescent="0.25">
      <c r="A24" s="137" t="s">
        <v>211</v>
      </c>
      <c r="B24" s="137" t="s">
        <v>215</v>
      </c>
      <c r="C24" s="121"/>
      <c r="D24" s="121"/>
      <c r="E24" s="121"/>
      <c r="F24" s="121"/>
      <c r="G24" s="121"/>
      <c r="H24" s="121"/>
      <c r="I24" s="121"/>
      <c r="J24" s="121">
        <v>0</v>
      </c>
      <c r="K24" s="121">
        <v>0</v>
      </c>
      <c r="L24" s="121">
        <v>0</v>
      </c>
      <c r="M24" s="121">
        <v>0</v>
      </c>
      <c r="N24" s="121">
        <v>0</v>
      </c>
      <c r="O24" s="121">
        <v>0</v>
      </c>
      <c r="P24" s="121">
        <v>0</v>
      </c>
      <c r="Q24" s="121">
        <v>0</v>
      </c>
      <c r="R24" s="121">
        <v>0</v>
      </c>
      <c r="S24" s="121">
        <v>0</v>
      </c>
      <c r="T24" s="121">
        <v>0</v>
      </c>
      <c r="U24" s="121">
        <v>0</v>
      </c>
      <c r="V24" s="121" t="s">
        <v>1119</v>
      </c>
      <c r="W24" s="121">
        <v>0</v>
      </c>
      <c r="X24" s="121">
        <v>0</v>
      </c>
      <c r="Y24" s="121">
        <v>0</v>
      </c>
      <c r="Z24" s="121">
        <v>0</v>
      </c>
      <c r="AA24" s="121">
        <v>0</v>
      </c>
      <c r="AB24" s="121">
        <v>0</v>
      </c>
      <c r="AC24" s="121">
        <v>0</v>
      </c>
      <c r="AD24" s="121">
        <v>0</v>
      </c>
      <c r="AE24" s="121">
        <v>0</v>
      </c>
      <c r="AF24" s="121">
        <v>0</v>
      </c>
      <c r="AG24" s="121">
        <v>0</v>
      </c>
      <c r="AH24" s="121">
        <v>0</v>
      </c>
      <c r="AI24" s="121">
        <v>0</v>
      </c>
      <c r="AL24" s="14">
        <f t="shared" si="0"/>
        <v>0</v>
      </c>
      <c r="AM24">
        <f t="shared" si="1"/>
        <v>0</v>
      </c>
      <c r="AN24">
        <f t="shared" si="2"/>
        <v>0</v>
      </c>
      <c r="AP24">
        <f>VLOOKUP($B24,Kraftvärmeprod!$B$1:$BX$549,MATCH(AP$1,Kraftvärmeprod!$B$1:$BX$1,0),FALSE)</f>
        <v>0</v>
      </c>
      <c r="AQ24">
        <f>VLOOKUP($B24,Kraftvärmeprod!$B$1:$BX$549,MATCH(AQ$1,Kraftvärmeprod!$B$1:$BX$1,0),FALSE)</f>
        <v>0</v>
      </c>
      <c r="AR24">
        <f>VLOOKUP($B24,Kraftvärmeprod!$B$1:$BX$549,MATCH("Summa tillförd energi exklusive rökgaskondensering",Kraftvärmeprod!$B$1:$BX$1,0),FALSE)</f>
        <v>0</v>
      </c>
      <c r="AT24" s="17" t="str">
        <f t="shared" si="3"/>
        <v/>
      </c>
      <c r="AV24">
        <f t="shared" si="4"/>
        <v>0</v>
      </c>
      <c r="BA24" s="17" t="str">
        <f t="shared" si="5"/>
        <v/>
      </c>
    </row>
    <row r="25" spans="1:53" x14ac:dyDescent="0.25">
      <c r="A25" s="137" t="s">
        <v>211</v>
      </c>
      <c r="B25" s="137" t="s">
        <v>216</v>
      </c>
      <c r="C25" s="121"/>
      <c r="D25" s="121"/>
      <c r="E25" s="121"/>
      <c r="F25" s="121"/>
      <c r="G25" s="121"/>
      <c r="H25" s="121"/>
      <c r="I25" s="121"/>
      <c r="J25" s="121">
        <v>0</v>
      </c>
      <c r="K25" s="121">
        <v>0</v>
      </c>
      <c r="L25" s="121">
        <v>0</v>
      </c>
      <c r="M25" s="121">
        <v>0</v>
      </c>
      <c r="N25" s="121">
        <v>0</v>
      </c>
      <c r="O25" s="121">
        <v>0</v>
      </c>
      <c r="P25" s="121">
        <v>0</v>
      </c>
      <c r="Q25" s="121">
        <v>0</v>
      </c>
      <c r="R25" s="121">
        <v>0</v>
      </c>
      <c r="S25" s="121">
        <v>0</v>
      </c>
      <c r="T25" s="121">
        <v>0</v>
      </c>
      <c r="U25" s="121">
        <v>0</v>
      </c>
      <c r="V25" s="121" t="s">
        <v>1119</v>
      </c>
      <c r="W25" s="121">
        <v>0</v>
      </c>
      <c r="X25" s="121">
        <v>0</v>
      </c>
      <c r="Y25" s="121">
        <v>0</v>
      </c>
      <c r="Z25" s="121">
        <v>0</v>
      </c>
      <c r="AA25" s="121">
        <v>0</v>
      </c>
      <c r="AB25" s="121">
        <v>0</v>
      </c>
      <c r="AC25" s="121">
        <v>0</v>
      </c>
      <c r="AD25" s="121">
        <v>0</v>
      </c>
      <c r="AE25" s="121">
        <v>0</v>
      </c>
      <c r="AF25" s="121">
        <v>0</v>
      </c>
      <c r="AG25" s="121">
        <v>0</v>
      </c>
      <c r="AH25" s="121">
        <v>0</v>
      </c>
      <c r="AI25" s="121">
        <v>0</v>
      </c>
      <c r="AL25" s="14">
        <f t="shared" si="0"/>
        <v>0</v>
      </c>
      <c r="AM25">
        <f t="shared" si="1"/>
        <v>0</v>
      </c>
      <c r="AN25">
        <f t="shared" si="2"/>
        <v>0</v>
      </c>
      <c r="AP25">
        <f>VLOOKUP($B25,Kraftvärmeprod!$B$1:$BX$549,MATCH(AP$1,Kraftvärmeprod!$B$1:$BX$1,0),FALSE)</f>
        <v>0</v>
      </c>
      <c r="AQ25">
        <f>VLOOKUP($B25,Kraftvärmeprod!$B$1:$BX$549,MATCH(AQ$1,Kraftvärmeprod!$B$1:$BX$1,0),FALSE)</f>
        <v>0</v>
      </c>
      <c r="AR25">
        <f>VLOOKUP($B25,Kraftvärmeprod!$B$1:$BX$549,MATCH("Summa tillförd energi exklusive rökgaskondensering",Kraftvärmeprod!$B$1:$BX$1,0),FALSE)</f>
        <v>0</v>
      </c>
      <c r="AT25" s="17" t="str">
        <f t="shared" si="3"/>
        <v/>
      </c>
      <c r="AV25">
        <f t="shared" si="4"/>
        <v>0</v>
      </c>
      <c r="BA25" s="17" t="str">
        <f t="shared" si="5"/>
        <v/>
      </c>
    </row>
    <row r="26" spans="1:53" x14ac:dyDescent="0.25">
      <c r="A26" s="137" t="s">
        <v>217</v>
      </c>
      <c r="B26" s="137" t="s">
        <v>218</v>
      </c>
      <c r="C26" s="121"/>
      <c r="D26" s="121"/>
      <c r="E26" s="121"/>
      <c r="F26" s="121"/>
      <c r="G26" s="121"/>
      <c r="H26" s="121"/>
      <c r="I26" s="121"/>
      <c r="J26" s="121">
        <v>0</v>
      </c>
      <c r="K26" s="121">
        <v>0</v>
      </c>
      <c r="L26" s="121">
        <v>0</v>
      </c>
      <c r="M26" s="121">
        <v>0</v>
      </c>
      <c r="N26" s="121">
        <v>0</v>
      </c>
      <c r="O26" s="121">
        <v>0</v>
      </c>
      <c r="P26" s="121">
        <v>0</v>
      </c>
      <c r="Q26" s="121">
        <v>0</v>
      </c>
      <c r="R26" s="121">
        <v>0</v>
      </c>
      <c r="S26" s="121">
        <v>0</v>
      </c>
      <c r="T26" s="121">
        <v>0</v>
      </c>
      <c r="U26" s="121">
        <v>0</v>
      </c>
      <c r="V26" s="121" t="s">
        <v>1119</v>
      </c>
      <c r="W26" s="121">
        <v>0</v>
      </c>
      <c r="X26" s="121">
        <v>0</v>
      </c>
      <c r="Y26" s="121">
        <v>0</v>
      </c>
      <c r="Z26" s="121">
        <v>0</v>
      </c>
      <c r="AA26" s="121">
        <v>0</v>
      </c>
      <c r="AB26" s="121">
        <v>0</v>
      </c>
      <c r="AC26" s="121">
        <v>0</v>
      </c>
      <c r="AD26" s="121">
        <v>0</v>
      </c>
      <c r="AE26" s="121">
        <v>0</v>
      </c>
      <c r="AF26" s="121">
        <v>0</v>
      </c>
      <c r="AG26" s="121">
        <v>0</v>
      </c>
      <c r="AH26" s="121">
        <v>0</v>
      </c>
      <c r="AI26" s="121">
        <v>0</v>
      </c>
      <c r="AL26" s="14">
        <f t="shared" si="0"/>
        <v>0</v>
      </c>
      <c r="AM26">
        <f t="shared" si="1"/>
        <v>0</v>
      </c>
      <c r="AN26">
        <f t="shared" si="2"/>
        <v>0</v>
      </c>
      <c r="AP26">
        <f>VLOOKUP($B26,Kraftvärmeprod!$B$1:$BX$549,MATCH(AP$1,Kraftvärmeprod!$B$1:$BX$1,0),FALSE)</f>
        <v>0</v>
      </c>
      <c r="AQ26">
        <f>VLOOKUP($B26,Kraftvärmeprod!$B$1:$BX$549,MATCH(AQ$1,Kraftvärmeprod!$B$1:$BX$1,0),FALSE)</f>
        <v>0</v>
      </c>
      <c r="AR26">
        <f>VLOOKUP($B26,Kraftvärmeprod!$B$1:$BX$549,MATCH("Summa tillförd energi exklusive rökgaskondensering",Kraftvärmeprod!$B$1:$BX$1,0),FALSE)</f>
        <v>0</v>
      </c>
      <c r="AT26" s="17" t="str">
        <f t="shared" si="3"/>
        <v/>
      </c>
      <c r="AV26">
        <f t="shared" si="4"/>
        <v>0</v>
      </c>
      <c r="BA26" s="17" t="str">
        <f t="shared" si="5"/>
        <v/>
      </c>
    </row>
    <row r="27" spans="1:53" x14ac:dyDescent="0.25">
      <c r="A27" s="137" t="s">
        <v>220</v>
      </c>
      <c r="B27" s="137" t="s">
        <v>221</v>
      </c>
      <c r="C27" s="121"/>
      <c r="D27" s="121"/>
      <c r="E27" s="121"/>
      <c r="F27" s="121"/>
      <c r="G27" s="121"/>
      <c r="H27" s="121"/>
      <c r="I27" s="121"/>
      <c r="J27" s="121">
        <v>0</v>
      </c>
      <c r="K27" s="121">
        <v>0</v>
      </c>
      <c r="L27" s="121">
        <v>0</v>
      </c>
      <c r="M27" s="121">
        <v>0</v>
      </c>
      <c r="N27" s="121">
        <v>0</v>
      </c>
      <c r="O27" s="121">
        <v>0</v>
      </c>
      <c r="P27" s="121">
        <v>0</v>
      </c>
      <c r="Q27" s="121">
        <v>0</v>
      </c>
      <c r="R27" s="121">
        <v>0</v>
      </c>
      <c r="S27" s="121">
        <v>0</v>
      </c>
      <c r="T27" s="121">
        <v>0</v>
      </c>
      <c r="U27" s="121">
        <v>0</v>
      </c>
      <c r="V27" s="121" t="s">
        <v>1119</v>
      </c>
      <c r="W27" s="121">
        <v>0</v>
      </c>
      <c r="X27" s="121">
        <v>0</v>
      </c>
      <c r="Y27" s="121">
        <v>0</v>
      </c>
      <c r="Z27" s="121">
        <v>0</v>
      </c>
      <c r="AA27" s="121">
        <v>0</v>
      </c>
      <c r="AB27" s="121">
        <v>0</v>
      </c>
      <c r="AC27" s="121">
        <v>0</v>
      </c>
      <c r="AD27" s="121">
        <v>0</v>
      </c>
      <c r="AE27" s="121">
        <v>0</v>
      </c>
      <c r="AF27" s="121">
        <v>0</v>
      </c>
      <c r="AG27" s="121">
        <v>0</v>
      </c>
      <c r="AH27" s="121">
        <v>0</v>
      </c>
      <c r="AI27" s="121">
        <v>0</v>
      </c>
      <c r="AL27" s="14">
        <f t="shared" si="0"/>
        <v>0</v>
      </c>
      <c r="AM27">
        <f t="shared" si="1"/>
        <v>0</v>
      </c>
      <c r="AN27">
        <f t="shared" si="2"/>
        <v>0</v>
      </c>
      <c r="AP27">
        <f>VLOOKUP($B27,Kraftvärmeprod!$B$1:$BX$549,MATCH(AP$1,Kraftvärmeprod!$B$1:$BX$1,0),FALSE)</f>
        <v>0</v>
      </c>
      <c r="AQ27">
        <f>VLOOKUP($B27,Kraftvärmeprod!$B$1:$BX$549,MATCH(AQ$1,Kraftvärmeprod!$B$1:$BX$1,0),FALSE)</f>
        <v>0</v>
      </c>
      <c r="AR27">
        <f>VLOOKUP($B27,Kraftvärmeprod!$B$1:$BX$549,MATCH("Summa tillförd energi exklusive rökgaskondensering",Kraftvärmeprod!$B$1:$BX$1,0),FALSE)</f>
        <v>0</v>
      </c>
      <c r="AT27" s="17" t="str">
        <f t="shared" si="3"/>
        <v/>
      </c>
      <c r="AV27">
        <f t="shared" si="4"/>
        <v>0</v>
      </c>
      <c r="BA27" s="17" t="str">
        <f t="shared" si="5"/>
        <v/>
      </c>
    </row>
    <row r="28" spans="1:53" x14ac:dyDescent="0.25">
      <c r="A28" s="137" t="s">
        <v>220</v>
      </c>
      <c r="B28" s="137" t="s">
        <v>222</v>
      </c>
      <c r="C28" s="121"/>
      <c r="D28" s="121"/>
      <c r="E28" s="121"/>
      <c r="F28" s="121"/>
      <c r="G28" s="121"/>
      <c r="H28" s="121"/>
      <c r="I28" s="121"/>
      <c r="J28" s="121">
        <v>0</v>
      </c>
      <c r="K28" s="121">
        <v>0</v>
      </c>
      <c r="L28" s="121">
        <v>0</v>
      </c>
      <c r="M28" s="121">
        <v>0</v>
      </c>
      <c r="N28" s="121">
        <v>0</v>
      </c>
      <c r="O28" s="121">
        <v>0</v>
      </c>
      <c r="P28" s="121">
        <v>0</v>
      </c>
      <c r="Q28" s="121">
        <v>0</v>
      </c>
      <c r="R28" s="121">
        <v>0</v>
      </c>
      <c r="S28" s="121">
        <v>0</v>
      </c>
      <c r="T28" s="121">
        <v>0</v>
      </c>
      <c r="U28" s="121">
        <v>0</v>
      </c>
      <c r="V28" s="121" t="s">
        <v>1119</v>
      </c>
      <c r="W28" s="121">
        <v>0</v>
      </c>
      <c r="X28" s="121">
        <v>0</v>
      </c>
      <c r="Y28" s="121">
        <v>0</v>
      </c>
      <c r="Z28" s="121">
        <v>0</v>
      </c>
      <c r="AA28" s="121">
        <v>0</v>
      </c>
      <c r="AB28" s="121">
        <v>0</v>
      </c>
      <c r="AC28" s="121">
        <v>0</v>
      </c>
      <c r="AD28" s="121">
        <v>0</v>
      </c>
      <c r="AE28" s="121">
        <v>0</v>
      </c>
      <c r="AF28" s="121">
        <v>0</v>
      </c>
      <c r="AG28" s="121">
        <v>0</v>
      </c>
      <c r="AH28" s="121">
        <v>0</v>
      </c>
      <c r="AI28" s="121">
        <v>0</v>
      </c>
      <c r="AL28" s="14">
        <f t="shared" si="0"/>
        <v>0</v>
      </c>
      <c r="AM28">
        <f t="shared" si="1"/>
        <v>0</v>
      </c>
      <c r="AN28">
        <f t="shared" si="2"/>
        <v>0</v>
      </c>
      <c r="AP28">
        <f>VLOOKUP($B28,Kraftvärmeprod!$B$1:$BX$549,MATCH(AP$1,Kraftvärmeprod!$B$1:$BX$1,0),FALSE)</f>
        <v>0</v>
      </c>
      <c r="AQ28">
        <f>VLOOKUP($B28,Kraftvärmeprod!$B$1:$BX$549,MATCH(AQ$1,Kraftvärmeprod!$B$1:$BX$1,0),FALSE)</f>
        <v>0</v>
      </c>
      <c r="AR28">
        <f>VLOOKUP($B28,Kraftvärmeprod!$B$1:$BX$549,MATCH("Summa tillförd energi exklusive rökgaskondensering",Kraftvärmeprod!$B$1:$BX$1,0),FALSE)</f>
        <v>0</v>
      </c>
      <c r="AT28" s="17" t="str">
        <f t="shared" si="3"/>
        <v/>
      </c>
      <c r="AV28">
        <f t="shared" si="4"/>
        <v>0</v>
      </c>
      <c r="BA28" s="17" t="str">
        <f t="shared" si="5"/>
        <v/>
      </c>
    </row>
    <row r="29" spans="1:53" x14ac:dyDescent="0.25">
      <c r="A29" s="137" t="s">
        <v>220</v>
      </c>
      <c r="B29" s="137" t="s">
        <v>223</v>
      </c>
      <c r="C29" s="121"/>
      <c r="D29" s="121"/>
      <c r="E29" s="121"/>
      <c r="F29" s="121"/>
      <c r="G29" s="121"/>
      <c r="H29" s="121"/>
      <c r="I29" s="121"/>
      <c r="J29" s="121">
        <v>0</v>
      </c>
      <c r="K29" s="121">
        <v>0</v>
      </c>
      <c r="L29" s="121">
        <v>0</v>
      </c>
      <c r="M29" s="121">
        <v>0</v>
      </c>
      <c r="N29" s="121">
        <v>0</v>
      </c>
      <c r="O29" s="121">
        <v>0</v>
      </c>
      <c r="P29" s="121">
        <v>0</v>
      </c>
      <c r="Q29" s="121">
        <v>0</v>
      </c>
      <c r="R29" s="121">
        <v>0</v>
      </c>
      <c r="S29" s="121">
        <v>0</v>
      </c>
      <c r="T29" s="121">
        <v>0</v>
      </c>
      <c r="U29" s="121">
        <v>0</v>
      </c>
      <c r="V29" s="121" t="s">
        <v>1119</v>
      </c>
      <c r="W29" s="121">
        <v>0</v>
      </c>
      <c r="X29" s="121">
        <v>0</v>
      </c>
      <c r="Y29" s="121">
        <v>0</v>
      </c>
      <c r="Z29" s="121">
        <v>0</v>
      </c>
      <c r="AA29" s="121">
        <v>0</v>
      </c>
      <c r="AB29" s="121">
        <v>0</v>
      </c>
      <c r="AC29" s="121">
        <v>0</v>
      </c>
      <c r="AD29" s="121">
        <v>0</v>
      </c>
      <c r="AE29" s="121">
        <v>0</v>
      </c>
      <c r="AF29" s="121">
        <v>0</v>
      </c>
      <c r="AG29" s="121">
        <v>0</v>
      </c>
      <c r="AH29" s="121">
        <v>0</v>
      </c>
      <c r="AI29" s="121">
        <v>0</v>
      </c>
      <c r="AL29" s="14">
        <f t="shared" si="0"/>
        <v>0</v>
      </c>
      <c r="AM29">
        <f t="shared" si="1"/>
        <v>0</v>
      </c>
      <c r="AN29">
        <f t="shared" si="2"/>
        <v>0</v>
      </c>
      <c r="AP29">
        <f>VLOOKUP($B29,Kraftvärmeprod!$B$1:$BX$549,MATCH(AP$1,Kraftvärmeprod!$B$1:$BX$1,0),FALSE)</f>
        <v>0</v>
      </c>
      <c r="AQ29">
        <f>VLOOKUP($B29,Kraftvärmeprod!$B$1:$BX$549,MATCH(AQ$1,Kraftvärmeprod!$B$1:$BX$1,0),FALSE)</f>
        <v>0</v>
      </c>
      <c r="AR29">
        <f>VLOOKUP($B29,Kraftvärmeprod!$B$1:$BX$549,MATCH("Summa tillförd energi exklusive rökgaskondensering",Kraftvärmeprod!$B$1:$BX$1,0),FALSE)</f>
        <v>0</v>
      </c>
      <c r="AT29" s="17" t="str">
        <f t="shared" si="3"/>
        <v/>
      </c>
      <c r="AV29">
        <f t="shared" si="4"/>
        <v>0</v>
      </c>
      <c r="BA29" s="17" t="str">
        <f t="shared" si="5"/>
        <v/>
      </c>
    </row>
    <row r="30" spans="1:53" x14ac:dyDescent="0.25">
      <c r="A30" s="137" t="s">
        <v>224</v>
      </c>
      <c r="B30" s="137" t="s">
        <v>225</v>
      </c>
      <c r="C30" s="121"/>
      <c r="D30" s="121"/>
      <c r="E30" s="121"/>
      <c r="F30" s="121"/>
      <c r="G30" s="121"/>
      <c r="H30" s="121"/>
      <c r="I30" s="121"/>
      <c r="J30" s="121">
        <v>0</v>
      </c>
      <c r="K30" s="121">
        <v>0</v>
      </c>
      <c r="L30" s="121">
        <v>0</v>
      </c>
      <c r="M30" s="121">
        <v>0</v>
      </c>
      <c r="N30" s="121">
        <v>0</v>
      </c>
      <c r="O30" s="121">
        <v>0</v>
      </c>
      <c r="P30" s="121">
        <v>0</v>
      </c>
      <c r="Q30" s="121">
        <v>0</v>
      </c>
      <c r="R30" s="121">
        <v>0</v>
      </c>
      <c r="S30" s="121">
        <v>0</v>
      </c>
      <c r="T30" s="121">
        <v>0</v>
      </c>
      <c r="U30" s="121">
        <v>0</v>
      </c>
      <c r="V30" s="121" t="s">
        <v>1119</v>
      </c>
      <c r="W30" s="121">
        <v>0</v>
      </c>
      <c r="X30" s="121">
        <v>0</v>
      </c>
      <c r="Y30" s="121">
        <v>0</v>
      </c>
      <c r="Z30" s="121">
        <v>0</v>
      </c>
      <c r="AA30" s="121">
        <v>0</v>
      </c>
      <c r="AB30" s="121">
        <v>0</v>
      </c>
      <c r="AC30" s="121">
        <v>0</v>
      </c>
      <c r="AD30" s="121">
        <v>0</v>
      </c>
      <c r="AE30" s="121">
        <v>0</v>
      </c>
      <c r="AF30" s="121">
        <v>0</v>
      </c>
      <c r="AG30" s="121">
        <v>0</v>
      </c>
      <c r="AH30" s="121">
        <v>0</v>
      </c>
      <c r="AI30" s="121">
        <v>0</v>
      </c>
      <c r="AL30" s="14">
        <f t="shared" si="0"/>
        <v>0</v>
      </c>
      <c r="AM30">
        <f t="shared" si="1"/>
        <v>0</v>
      </c>
      <c r="AN30">
        <f t="shared" si="2"/>
        <v>0</v>
      </c>
      <c r="AP30">
        <f>VLOOKUP($B30,Kraftvärmeprod!$B$1:$BX$549,MATCH(AP$1,Kraftvärmeprod!$B$1:$BX$1,0),FALSE)</f>
        <v>0</v>
      </c>
      <c r="AQ30">
        <f>VLOOKUP($B30,Kraftvärmeprod!$B$1:$BX$549,MATCH(AQ$1,Kraftvärmeprod!$B$1:$BX$1,0),FALSE)</f>
        <v>0</v>
      </c>
      <c r="AR30">
        <f>VLOOKUP($B30,Kraftvärmeprod!$B$1:$BX$549,MATCH("Summa tillförd energi exklusive rökgaskondensering",Kraftvärmeprod!$B$1:$BX$1,0),FALSE)</f>
        <v>0</v>
      </c>
      <c r="AT30" s="17" t="str">
        <f t="shared" si="3"/>
        <v/>
      </c>
      <c r="AV30">
        <f t="shared" si="4"/>
        <v>0</v>
      </c>
      <c r="BA30" s="17" t="str">
        <f t="shared" si="5"/>
        <v/>
      </c>
    </row>
    <row r="31" spans="1:53" x14ac:dyDescent="0.25">
      <c r="A31" s="137" t="s">
        <v>36</v>
      </c>
      <c r="B31" s="141" t="s">
        <v>37</v>
      </c>
      <c r="C31" s="121"/>
      <c r="D31" s="121"/>
      <c r="E31" s="121"/>
      <c r="F31" s="121"/>
      <c r="G31" s="121"/>
      <c r="H31" s="121"/>
      <c r="I31" s="121"/>
      <c r="J31" s="121" t="s">
        <v>1119</v>
      </c>
      <c r="K31" s="121" t="s">
        <v>1119</v>
      </c>
      <c r="L31" s="121" t="s">
        <v>1119</v>
      </c>
      <c r="M31" s="121" t="s">
        <v>1119</v>
      </c>
      <c r="N31" s="121" t="s">
        <v>1119</v>
      </c>
      <c r="O31" s="121" t="s">
        <v>1119</v>
      </c>
      <c r="P31" s="121" t="s">
        <v>1119</v>
      </c>
      <c r="Q31" s="121" t="s">
        <v>1119</v>
      </c>
      <c r="R31" s="121" t="s">
        <v>1119</v>
      </c>
      <c r="S31" s="121" t="s">
        <v>1119</v>
      </c>
      <c r="T31" s="121" t="s">
        <v>1119</v>
      </c>
      <c r="U31" s="121" t="s">
        <v>1119</v>
      </c>
      <c r="V31" s="121" t="s">
        <v>1119</v>
      </c>
      <c r="W31" s="121" t="s">
        <v>1119</v>
      </c>
      <c r="X31" s="121" t="s">
        <v>1119</v>
      </c>
      <c r="Y31" s="121" t="s">
        <v>1119</v>
      </c>
      <c r="Z31" s="121" t="s">
        <v>1119</v>
      </c>
      <c r="AA31" s="121" t="s">
        <v>1119</v>
      </c>
      <c r="AB31" s="121" t="s">
        <v>1119</v>
      </c>
      <c r="AC31" s="121" t="s">
        <v>1119</v>
      </c>
      <c r="AD31" s="121" t="s">
        <v>1119</v>
      </c>
      <c r="AE31" s="121" t="s">
        <v>1119</v>
      </c>
      <c r="AF31" s="121" t="s">
        <v>1119</v>
      </c>
      <c r="AG31" s="121" t="s">
        <v>1119</v>
      </c>
      <c r="AH31" s="121" t="s">
        <v>1119</v>
      </c>
      <c r="AI31" s="121" t="s">
        <v>1119</v>
      </c>
      <c r="AL31" s="14">
        <f t="shared" si="0"/>
        <v>0</v>
      </c>
      <c r="AM31">
        <f t="shared" si="1"/>
        <v>0</v>
      </c>
      <c r="AN31">
        <f t="shared" si="2"/>
        <v>0</v>
      </c>
      <c r="AP31">
        <f>VLOOKUP($B31,Kraftvärmeprod!$B$1:$BX$549,MATCH(AP$1,Kraftvärmeprod!$B$1:$BX$1,0),FALSE)</f>
        <v>0</v>
      </c>
      <c r="AQ31">
        <f>VLOOKUP($B31,Kraftvärmeprod!$B$1:$BX$549,MATCH(AQ$1,Kraftvärmeprod!$B$1:$BX$1,0),FALSE)</f>
        <v>0</v>
      </c>
      <c r="AR31">
        <f>VLOOKUP($B31,Kraftvärmeprod!$B$1:$BX$549,MATCH("Summa tillförd energi exklusive rökgaskondensering",Kraftvärmeprod!$B$1:$BX$1,0),FALSE)</f>
        <v>0</v>
      </c>
      <c r="AT31" s="17" t="str">
        <f t="shared" si="3"/>
        <v/>
      </c>
      <c r="AV31" t="e">
        <f t="shared" si="4"/>
        <v>#VALUE!</v>
      </c>
      <c r="BA31" s="17" t="str">
        <f t="shared" si="5"/>
        <v/>
      </c>
    </row>
    <row r="32" spans="1:53" x14ac:dyDescent="0.25">
      <c r="A32" s="137" t="s">
        <v>226</v>
      </c>
      <c r="B32" s="137" t="s">
        <v>227</v>
      </c>
      <c r="C32" s="121"/>
      <c r="D32" s="121"/>
      <c r="E32" s="121"/>
      <c r="F32" s="121"/>
      <c r="G32" s="121"/>
      <c r="H32" s="121"/>
      <c r="I32" s="121"/>
      <c r="J32" s="121">
        <v>0</v>
      </c>
      <c r="K32" s="121">
        <v>0</v>
      </c>
      <c r="L32" s="121">
        <v>0</v>
      </c>
      <c r="M32" s="121">
        <v>0</v>
      </c>
      <c r="N32" s="121">
        <v>0</v>
      </c>
      <c r="O32" s="121">
        <v>0</v>
      </c>
      <c r="P32" s="121">
        <v>0</v>
      </c>
      <c r="Q32" s="121">
        <v>0</v>
      </c>
      <c r="R32" s="121">
        <v>0</v>
      </c>
      <c r="S32" s="121">
        <v>0</v>
      </c>
      <c r="T32" s="121">
        <v>0</v>
      </c>
      <c r="U32" s="121">
        <v>0</v>
      </c>
      <c r="V32" s="121" t="s">
        <v>1119</v>
      </c>
      <c r="W32" s="121">
        <v>0</v>
      </c>
      <c r="X32" s="121">
        <v>0</v>
      </c>
      <c r="Y32" s="121">
        <v>0</v>
      </c>
      <c r="Z32" s="121">
        <v>0</v>
      </c>
      <c r="AA32" s="121">
        <v>0</v>
      </c>
      <c r="AB32" s="121">
        <v>0</v>
      </c>
      <c r="AC32" s="121">
        <v>0</v>
      </c>
      <c r="AD32" s="121">
        <v>0</v>
      </c>
      <c r="AE32" s="121">
        <v>0</v>
      </c>
      <c r="AF32" s="121">
        <v>0</v>
      </c>
      <c r="AG32" s="121">
        <v>0</v>
      </c>
      <c r="AH32" s="121">
        <v>0</v>
      </c>
      <c r="AI32" s="121">
        <v>0</v>
      </c>
      <c r="AL32" s="14">
        <f t="shared" si="0"/>
        <v>0</v>
      </c>
      <c r="AM32">
        <f t="shared" si="1"/>
        <v>0</v>
      </c>
      <c r="AN32">
        <f t="shared" si="2"/>
        <v>0</v>
      </c>
      <c r="AP32">
        <f>VLOOKUP($B32,Kraftvärmeprod!$B$1:$BX$549,MATCH(AP$1,Kraftvärmeprod!$B$1:$BX$1,0),FALSE)</f>
        <v>0</v>
      </c>
      <c r="AQ32">
        <f>VLOOKUP($B32,Kraftvärmeprod!$B$1:$BX$549,MATCH(AQ$1,Kraftvärmeprod!$B$1:$BX$1,0),FALSE)</f>
        <v>0</v>
      </c>
      <c r="AR32">
        <f>VLOOKUP($B32,Kraftvärmeprod!$B$1:$BX$549,MATCH("Summa tillförd energi exklusive rökgaskondensering",Kraftvärmeprod!$B$1:$BX$1,0),FALSE)</f>
        <v>0</v>
      </c>
      <c r="AT32" s="17" t="str">
        <f t="shared" si="3"/>
        <v/>
      </c>
      <c r="AV32">
        <f t="shared" si="4"/>
        <v>0</v>
      </c>
      <c r="BA32" s="17" t="str">
        <f t="shared" si="5"/>
        <v/>
      </c>
    </row>
    <row r="33" spans="1:53" x14ac:dyDescent="0.25">
      <c r="A33" s="137" t="s">
        <v>228</v>
      </c>
      <c r="B33" s="137" t="s">
        <v>229</v>
      </c>
      <c r="C33" s="121"/>
      <c r="D33" s="121"/>
      <c r="E33" s="121"/>
      <c r="F33" s="121"/>
      <c r="G33" s="121"/>
      <c r="H33" s="121"/>
      <c r="I33" s="121"/>
      <c r="J33" s="121">
        <v>0</v>
      </c>
      <c r="K33" s="121">
        <v>0</v>
      </c>
      <c r="L33" s="121">
        <v>0</v>
      </c>
      <c r="M33" s="121">
        <v>0</v>
      </c>
      <c r="N33" s="121">
        <v>0</v>
      </c>
      <c r="O33" s="121">
        <v>0</v>
      </c>
      <c r="P33" s="121">
        <v>0</v>
      </c>
      <c r="Q33" s="121">
        <v>0</v>
      </c>
      <c r="R33" s="121">
        <v>0</v>
      </c>
      <c r="S33" s="121">
        <v>0</v>
      </c>
      <c r="T33" s="121">
        <v>0</v>
      </c>
      <c r="U33" s="121">
        <v>0</v>
      </c>
      <c r="V33" s="121" t="s">
        <v>1119</v>
      </c>
      <c r="W33" s="121">
        <v>0</v>
      </c>
      <c r="X33" s="121">
        <v>0</v>
      </c>
      <c r="Y33" s="121">
        <v>0</v>
      </c>
      <c r="Z33" s="121">
        <v>0</v>
      </c>
      <c r="AA33" s="121">
        <v>0</v>
      </c>
      <c r="AB33" s="121">
        <v>0</v>
      </c>
      <c r="AC33" s="121">
        <v>0</v>
      </c>
      <c r="AD33" s="121">
        <v>0</v>
      </c>
      <c r="AE33" s="121">
        <v>0</v>
      </c>
      <c r="AF33" s="121">
        <v>0</v>
      </c>
      <c r="AG33" s="121">
        <v>0</v>
      </c>
      <c r="AH33" s="121">
        <v>0</v>
      </c>
      <c r="AI33" s="121">
        <v>0</v>
      </c>
      <c r="AL33" s="14">
        <f t="shared" si="0"/>
        <v>0</v>
      </c>
      <c r="AM33">
        <f t="shared" si="1"/>
        <v>0</v>
      </c>
      <c r="AN33">
        <f t="shared" si="2"/>
        <v>0</v>
      </c>
      <c r="AP33">
        <f>VLOOKUP($B33,Kraftvärmeprod!$B$1:$BX$549,MATCH(AP$1,Kraftvärmeprod!$B$1:$BX$1,0),FALSE)</f>
        <v>0</v>
      </c>
      <c r="AQ33">
        <f>VLOOKUP($B33,Kraftvärmeprod!$B$1:$BX$549,MATCH(AQ$1,Kraftvärmeprod!$B$1:$BX$1,0),FALSE)</f>
        <v>0</v>
      </c>
      <c r="AR33">
        <f>VLOOKUP($B33,Kraftvärmeprod!$B$1:$BX$549,MATCH("Summa tillförd energi exklusive rökgaskondensering",Kraftvärmeprod!$B$1:$BX$1,0),FALSE)</f>
        <v>0</v>
      </c>
      <c r="AT33" s="17" t="str">
        <f t="shared" si="3"/>
        <v/>
      </c>
      <c r="AV33">
        <f t="shared" si="4"/>
        <v>0</v>
      </c>
      <c r="BA33" s="17" t="str">
        <f t="shared" si="5"/>
        <v/>
      </c>
    </row>
    <row r="34" spans="1:53" x14ac:dyDescent="0.25">
      <c r="A34" s="137" t="s">
        <v>230</v>
      </c>
      <c r="B34" s="137" t="s">
        <v>66</v>
      </c>
      <c r="C34" s="121"/>
      <c r="D34" s="121"/>
      <c r="E34" s="121"/>
      <c r="F34" s="121"/>
      <c r="G34" s="121"/>
      <c r="H34" s="121"/>
      <c r="I34" s="121"/>
      <c r="J34" s="121">
        <v>0</v>
      </c>
      <c r="K34" s="121">
        <v>0</v>
      </c>
      <c r="L34" s="121">
        <v>0</v>
      </c>
      <c r="M34" s="121">
        <v>0</v>
      </c>
      <c r="N34" s="121">
        <v>0</v>
      </c>
      <c r="O34" s="121">
        <v>0</v>
      </c>
      <c r="P34" s="121">
        <v>0</v>
      </c>
      <c r="Q34" s="121">
        <v>0</v>
      </c>
      <c r="R34" s="121">
        <v>0</v>
      </c>
      <c r="S34" s="121">
        <v>0</v>
      </c>
      <c r="T34" s="121">
        <v>0</v>
      </c>
      <c r="U34" s="121">
        <v>0</v>
      </c>
      <c r="V34" s="121" t="s">
        <v>1119</v>
      </c>
      <c r="W34" s="121">
        <v>0</v>
      </c>
      <c r="X34" s="121">
        <v>0</v>
      </c>
      <c r="Y34" s="121">
        <v>0</v>
      </c>
      <c r="Z34" s="121">
        <v>5.3930800000000003</v>
      </c>
      <c r="AA34" s="121">
        <v>0</v>
      </c>
      <c r="AB34" s="121">
        <v>0</v>
      </c>
      <c r="AC34" s="121">
        <v>0</v>
      </c>
      <c r="AD34" s="121">
        <v>0</v>
      </c>
      <c r="AE34" s="121">
        <v>103.54300000000001</v>
      </c>
      <c r="AF34" s="121">
        <v>0</v>
      </c>
      <c r="AG34" s="121">
        <v>0</v>
      </c>
      <c r="AH34" s="121">
        <v>16</v>
      </c>
      <c r="AI34" s="121">
        <v>3.0225</v>
      </c>
      <c r="AL34" s="14">
        <f t="shared" si="0"/>
        <v>127.95858</v>
      </c>
      <c r="AM34">
        <f t="shared" si="1"/>
        <v>124.93608</v>
      </c>
      <c r="AN34">
        <f t="shared" si="2"/>
        <v>108.93608</v>
      </c>
      <c r="AP34">
        <f>VLOOKUP($B34,Kraftvärmeprod!$B$1:$BX$549,MATCH(AP$1,Kraftvärmeprod!$B$1:$BX$1,0),FALSE)</f>
        <v>124</v>
      </c>
      <c r="AQ34">
        <f>VLOOKUP($B34,Kraftvärmeprod!$B$1:$BX$549,MATCH(AQ$1,Kraftvärmeprod!$B$1:$BX$1,0),FALSE)</f>
        <v>23</v>
      </c>
      <c r="AR34">
        <f>VLOOKUP($B34,Kraftvärmeprod!$B$1:$BX$549,MATCH("Summa tillförd energi exklusive rökgaskondensering",Kraftvärmeprod!$B$1:$BX$1,0),FALSE)</f>
        <v>173</v>
      </c>
      <c r="AT34" s="17">
        <f t="shared" si="3"/>
        <v>0.62968832369942196</v>
      </c>
      <c r="AV34">
        <f t="shared" si="4"/>
        <v>5.3930800000000003</v>
      </c>
      <c r="BA34" s="17">
        <f t="shared" si="5"/>
        <v>1.1075524537735295</v>
      </c>
    </row>
    <row r="35" spans="1:53" x14ac:dyDescent="0.25">
      <c r="A35" s="137" t="s">
        <v>231</v>
      </c>
      <c r="B35" s="137" t="s">
        <v>232</v>
      </c>
      <c r="C35" s="121"/>
      <c r="D35" s="121"/>
      <c r="E35" s="121"/>
      <c r="F35" s="121"/>
      <c r="G35" s="121"/>
      <c r="H35" s="121"/>
      <c r="I35" s="121"/>
      <c r="J35" s="121">
        <v>0</v>
      </c>
      <c r="K35" s="121">
        <v>0</v>
      </c>
      <c r="L35" s="121">
        <v>0</v>
      </c>
      <c r="M35" s="121">
        <v>0</v>
      </c>
      <c r="N35" s="121">
        <v>0</v>
      </c>
      <c r="O35" s="121">
        <v>0</v>
      </c>
      <c r="P35" s="121">
        <v>0</v>
      </c>
      <c r="Q35" s="121">
        <v>0</v>
      </c>
      <c r="R35" s="121">
        <v>0</v>
      </c>
      <c r="S35" s="121">
        <v>0</v>
      </c>
      <c r="T35" s="121">
        <v>0</v>
      </c>
      <c r="U35" s="121">
        <v>0</v>
      </c>
      <c r="V35" s="121" t="s">
        <v>1119</v>
      </c>
      <c r="W35" s="121">
        <v>0</v>
      </c>
      <c r="X35" s="121">
        <v>0</v>
      </c>
      <c r="Y35" s="121">
        <v>0</v>
      </c>
      <c r="Z35" s="121">
        <v>0</v>
      </c>
      <c r="AA35" s="121">
        <v>0</v>
      </c>
      <c r="AB35" s="121">
        <v>0</v>
      </c>
      <c r="AC35" s="121">
        <v>0</v>
      </c>
      <c r="AD35" s="121">
        <v>0</v>
      </c>
      <c r="AE35" s="121">
        <v>0</v>
      </c>
      <c r="AF35" s="121">
        <v>0</v>
      </c>
      <c r="AG35" s="121">
        <v>0</v>
      </c>
      <c r="AH35" s="121">
        <v>0</v>
      </c>
      <c r="AI35" s="121">
        <v>0</v>
      </c>
      <c r="AL35" s="14">
        <f t="shared" si="0"/>
        <v>0</v>
      </c>
      <c r="AM35">
        <f t="shared" si="1"/>
        <v>0</v>
      </c>
      <c r="AN35">
        <f t="shared" si="2"/>
        <v>0</v>
      </c>
      <c r="AP35">
        <f>VLOOKUP($B35,Kraftvärmeprod!$B$1:$BX$549,MATCH(AP$1,Kraftvärmeprod!$B$1:$BX$1,0),FALSE)</f>
        <v>0</v>
      </c>
      <c r="AQ35">
        <f>VLOOKUP($B35,Kraftvärmeprod!$B$1:$BX$549,MATCH(AQ$1,Kraftvärmeprod!$B$1:$BX$1,0),FALSE)</f>
        <v>0</v>
      </c>
      <c r="AR35">
        <f>VLOOKUP($B35,Kraftvärmeprod!$B$1:$BX$549,MATCH("Summa tillförd energi exklusive rökgaskondensering",Kraftvärmeprod!$B$1:$BX$1,0),FALSE)</f>
        <v>0</v>
      </c>
      <c r="AT35" s="17" t="str">
        <f t="shared" si="3"/>
        <v/>
      </c>
      <c r="AV35">
        <f t="shared" si="4"/>
        <v>0</v>
      </c>
      <c r="BA35" s="17" t="str">
        <f t="shared" si="5"/>
        <v/>
      </c>
    </row>
    <row r="36" spans="1:53" x14ac:dyDescent="0.25">
      <c r="A36" s="137" t="s">
        <v>231</v>
      </c>
      <c r="B36" s="137" t="s">
        <v>233</v>
      </c>
      <c r="C36" s="121"/>
      <c r="D36" s="121"/>
      <c r="E36" s="121"/>
      <c r="F36" s="121"/>
      <c r="G36" s="121"/>
      <c r="H36" s="121"/>
      <c r="I36" s="121"/>
      <c r="J36" s="121">
        <v>0</v>
      </c>
      <c r="K36" s="121">
        <v>0.87800199999999995</v>
      </c>
      <c r="L36" s="121">
        <v>0</v>
      </c>
      <c r="M36" s="121">
        <v>0</v>
      </c>
      <c r="N36" s="121">
        <v>0</v>
      </c>
      <c r="O36" s="121">
        <v>0</v>
      </c>
      <c r="P36" s="121">
        <v>0</v>
      </c>
      <c r="Q36" s="121">
        <v>0.153006</v>
      </c>
      <c r="R36" s="121">
        <v>0</v>
      </c>
      <c r="S36" s="121">
        <v>0</v>
      </c>
      <c r="T36" s="121">
        <v>0</v>
      </c>
      <c r="U36" s="121">
        <v>0</v>
      </c>
      <c r="V36" s="121" t="s">
        <v>1119</v>
      </c>
      <c r="W36" s="121">
        <v>0</v>
      </c>
      <c r="X36" s="121">
        <v>0</v>
      </c>
      <c r="Y36" s="121">
        <v>0</v>
      </c>
      <c r="Z36" s="121">
        <v>0.23257</v>
      </c>
      <c r="AA36" s="121">
        <v>0</v>
      </c>
      <c r="AB36" s="121">
        <v>0</v>
      </c>
      <c r="AC36" s="121">
        <v>0</v>
      </c>
      <c r="AD36" s="121">
        <v>0</v>
      </c>
      <c r="AE36" s="121">
        <v>85.470399999999998</v>
      </c>
      <c r="AF36" s="121">
        <v>0</v>
      </c>
      <c r="AG36" s="121">
        <v>0</v>
      </c>
      <c r="AH36" s="121">
        <v>10.59</v>
      </c>
      <c r="AI36" s="121">
        <v>4.0904800000000003</v>
      </c>
      <c r="AL36" s="14">
        <f t="shared" si="0"/>
        <v>101.414458</v>
      </c>
      <c r="AM36">
        <f t="shared" si="1"/>
        <v>97.323977999999997</v>
      </c>
      <c r="AN36">
        <f t="shared" si="2"/>
        <v>86.733977999999993</v>
      </c>
      <c r="AP36">
        <f>VLOOKUP($B36,Kraftvärmeprod!$B$1:$BX$549,MATCH(AP$1,Kraftvärmeprod!$B$1:$BX$1,0),FALSE)</f>
        <v>119.96</v>
      </c>
      <c r="AQ36">
        <f>VLOOKUP($B36,Kraftvärmeprod!$B$1:$BX$549,MATCH(AQ$1,Kraftvärmeprod!$B$1:$BX$1,0),FALSE)</f>
        <v>29.18</v>
      </c>
      <c r="AR36">
        <f>VLOOKUP($B36,Kraftvärmeprod!$B$1:$BX$549,MATCH("Summa tillförd energi exklusive rökgaskondensering",Kraftvärmeprod!$B$1:$BX$1,0),FALSE)</f>
        <v>153.94</v>
      </c>
      <c r="AT36" s="17">
        <f t="shared" si="3"/>
        <v>0.56342716642847857</v>
      </c>
      <c r="AV36">
        <f t="shared" si="4"/>
        <v>0.38557600000000003</v>
      </c>
      <c r="BA36" s="17">
        <f t="shared" si="5"/>
        <v>1.320789604932187</v>
      </c>
    </row>
    <row r="37" spans="1:53" x14ac:dyDescent="0.25">
      <c r="A37" s="137" t="s">
        <v>231</v>
      </c>
      <c r="B37" s="137" t="s">
        <v>234</v>
      </c>
      <c r="C37" s="121"/>
      <c r="D37" s="121"/>
      <c r="E37" s="121"/>
      <c r="F37" s="121"/>
      <c r="G37" s="121"/>
      <c r="H37" s="121"/>
      <c r="I37" s="121"/>
      <c r="J37" s="121">
        <v>0</v>
      </c>
      <c r="K37" s="121">
        <v>0</v>
      </c>
      <c r="L37" s="121">
        <v>0</v>
      </c>
      <c r="M37" s="121">
        <v>0</v>
      </c>
      <c r="N37" s="121">
        <v>0</v>
      </c>
      <c r="O37" s="121">
        <v>0</v>
      </c>
      <c r="P37" s="121">
        <v>0</v>
      </c>
      <c r="Q37" s="121">
        <v>0</v>
      </c>
      <c r="R37" s="121">
        <v>0</v>
      </c>
      <c r="S37" s="121">
        <v>0</v>
      </c>
      <c r="T37" s="121">
        <v>0</v>
      </c>
      <c r="U37" s="121">
        <v>0</v>
      </c>
      <c r="V37" s="121" t="s">
        <v>1119</v>
      </c>
      <c r="W37" s="121">
        <v>0</v>
      </c>
      <c r="X37" s="121">
        <v>0</v>
      </c>
      <c r="Y37" s="121">
        <v>0</v>
      </c>
      <c r="Z37" s="121">
        <v>0</v>
      </c>
      <c r="AA37" s="121">
        <v>0</v>
      </c>
      <c r="AB37" s="121">
        <v>0</v>
      </c>
      <c r="AC37" s="121">
        <v>0</v>
      </c>
      <c r="AD37" s="121">
        <v>0</v>
      </c>
      <c r="AE37" s="121">
        <v>0</v>
      </c>
      <c r="AF37" s="121">
        <v>0</v>
      </c>
      <c r="AG37" s="121">
        <v>0</v>
      </c>
      <c r="AH37" s="121">
        <v>0</v>
      </c>
      <c r="AI37" s="121">
        <v>0</v>
      </c>
      <c r="AL37" s="14">
        <f t="shared" si="0"/>
        <v>0</v>
      </c>
      <c r="AM37">
        <f t="shared" si="1"/>
        <v>0</v>
      </c>
      <c r="AN37">
        <f t="shared" si="2"/>
        <v>0</v>
      </c>
      <c r="AP37">
        <f>VLOOKUP($B37,Kraftvärmeprod!$B$1:$BX$549,MATCH(AP$1,Kraftvärmeprod!$B$1:$BX$1,0),FALSE)</f>
        <v>0</v>
      </c>
      <c r="AQ37">
        <f>VLOOKUP($B37,Kraftvärmeprod!$B$1:$BX$549,MATCH(AQ$1,Kraftvärmeprod!$B$1:$BX$1,0),FALSE)</f>
        <v>0</v>
      </c>
      <c r="AR37">
        <f>VLOOKUP($B37,Kraftvärmeprod!$B$1:$BX$549,MATCH("Summa tillförd energi exklusive rökgaskondensering",Kraftvärmeprod!$B$1:$BX$1,0),FALSE)</f>
        <v>0</v>
      </c>
      <c r="AT37" s="17" t="str">
        <f t="shared" si="3"/>
        <v/>
      </c>
      <c r="AV37">
        <f t="shared" si="4"/>
        <v>0</v>
      </c>
      <c r="BA37" s="17" t="str">
        <f t="shared" si="5"/>
        <v/>
      </c>
    </row>
    <row r="38" spans="1:53" x14ac:dyDescent="0.25">
      <c r="A38" s="137" t="s">
        <v>235</v>
      </c>
      <c r="B38" s="137" t="s">
        <v>236</v>
      </c>
      <c r="C38" s="121"/>
      <c r="D38" s="121"/>
      <c r="E38" s="121"/>
      <c r="F38" s="121"/>
      <c r="G38" s="121"/>
      <c r="H38" s="121"/>
      <c r="I38" s="121"/>
      <c r="J38" s="121">
        <v>0</v>
      </c>
      <c r="K38" s="121">
        <v>0</v>
      </c>
      <c r="L38" s="121">
        <v>0</v>
      </c>
      <c r="M38" s="121">
        <v>0</v>
      </c>
      <c r="N38" s="121">
        <v>0</v>
      </c>
      <c r="O38" s="121">
        <v>0</v>
      </c>
      <c r="P38" s="121">
        <v>0</v>
      </c>
      <c r="Q38" s="121">
        <v>0</v>
      </c>
      <c r="R38" s="121">
        <v>0</v>
      </c>
      <c r="S38" s="121">
        <v>0</v>
      </c>
      <c r="T38" s="121">
        <v>0</v>
      </c>
      <c r="U38" s="121">
        <v>0</v>
      </c>
      <c r="V38" s="121" t="s">
        <v>1119</v>
      </c>
      <c r="W38" s="121">
        <v>0</v>
      </c>
      <c r="X38" s="121">
        <v>0</v>
      </c>
      <c r="Y38" s="121">
        <v>0</v>
      </c>
      <c r="Z38" s="121">
        <v>0</v>
      </c>
      <c r="AA38" s="121">
        <v>0</v>
      </c>
      <c r="AB38" s="121">
        <v>0</v>
      </c>
      <c r="AC38" s="121">
        <v>0</v>
      </c>
      <c r="AD38" s="121">
        <v>0</v>
      </c>
      <c r="AE38" s="121">
        <v>0</v>
      </c>
      <c r="AF38" s="121">
        <v>0</v>
      </c>
      <c r="AG38" s="121">
        <v>0</v>
      </c>
      <c r="AH38" s="121">
        <v>0</v>
      </c>
      <c r="AI38" s="121">
        <v>0</v>
      </c>
      <c r="AL38" s="14">
        <f t="shared" si="0"/>
        <v>0</v>
      </c>
      <c r="AM38">
        <f t="shared" si="1"/>
        <v>0</v>
      </c>
      <c r="AN38">
        <f t="shared" si="2"/>
        <v>0</v>
      </c>
      <c r="AP38">
        <f>VLOOKUP($B38,Kraftvärmeprod!$B$1:$BX$549,MATCH(AP$1,Kraftvärmeprod!$B$1:$BX$1,0),FALSE)</f>
        <v>0</v>
      </c>
      <c r="AQ38">
        <f>VLOOKUP($B38,Kraftvärmeprod!$B$1:$BX$549,MATCH(AQ$1,Kraftvärmeprod!$B$1:$BX$1,0),FALSE)</f>
        <v>0</v>
      </c>
      <c r="AR38">
        <f>VLOOKUP($B38,Kraftvärmeprod!$B$1:$BX$549,MATCH("Summa tillförd energi exklusive rökgaskondensering",Kraftvärmeprod!$B$1:$BX$1,0),FALSE)</f>
        <v>0</v>
      </c>
      <c r="AT38" s="17" t="str">
        <f t="shared" si="3"/>
        <v/>
      </c>
      <c r="AV38">
        <f t="shared" si="4"/>
        <v>0</v>
      </c>
      <c r="BA38" s="17" t="str">
        <f t="shared" si="5"/>
        <v/>
      </c>
    </row>
    <row r="39" spans="1:53" x14ac:dyDescent="0.25">
      <c r="A39" s="137" t="s">
        <v>235</v>
      </c>
      <c r="B39" s="137" t="s">
        <v>237</v>
      </c>
      <c r="C39" s="121"/>
      <c r="D39" s="121"/>
      <c r="E39" s="121"/>
      <c r="F39" s="121"/>
      <c r="G39" s="121"/>
      <c r="H39" s="121"/>
      <c r="I39" s="121"/>
      <c r="J39" s="121">
        <v>0</v>
      </c>
      <c r="K39" s="121">
        <v>0</v>
      </c>
      <c r="L39" s="121">
        <v>0</v>
      </c>
      <c r="M39" s="121">
        <v>0</v>
      </c>
      <c r="N39" s="121">
        <v>0</v>
      </c>
      <c r="O39" s="121">
        <v>0</v>
      </c>
      <c r="P39" s="121">
        <v>0</v>
      </c>
      <c r="Q39" s="121">
        <v>0</v>
      </c>
      <c r="R39" s="121">
        <v>0</v>
      </c>
      <c r="S39" s="121">
        <v>0</v>
      </c>
      <c r="T39" s="121">
        <v>0</v>
      </c>
      <c r="U39" s="121">
        <v>0</v>
      </c>
      <c r="V39" s="121" t="s">
        <v>1119</v>
      </c>
      <c r="W39" s="121">
        <v>0</v>
      </c>
      <c r="X39" s="121">
        <v>0</v>
      </c>
      <c r="Y39" s="121">
        <v>0</v>
      </c>
      <c r="Z39" s="121">
        <v>0</v>
      </c>
      <c r="AA39" s="121">
        <v>0</v>
      </c>
      <c r="AB39" s="121">
        <v>0</v>
      </c>
      <c r="AC39" s="121">
        <v>0</v>
      </c>
      <c r="AD39" s="121">
        <v>0</v>
      </c>
      <c r="AE39" s="121">
        <v>0</v>
      </c>
      <c r="AF39" s="121">
        <v>0</v>
      </c>
      <c r="AG39" s="121">
        <v>0</v>
      </c>
      <c r="AH39" s="121">
        <v>0</v>
      </c>
      <c r="AI39" s="121">
        <v>0</v>
      </c>
      <c r="AL39" s="14">
        <f t="shared" si="0"/>
        <v>0</v>
      </c>
      <c r="AM39">
        <f t="shared" si="1"/>
        <v>0</v>
      </c>
      <c r="AN39">
        <f t="shared" si="2"/>
        <v>0</v>
      </c>
      <c r="AP39">
        <f>VLOOKUP($B39,Kraftvärmeprod!$B$1:$BX$549,MATCH(AP$1,Kraftvärmeprod!$B$1:$BX$1,0),FALSE)</f>
        <v>0</v>
      </c>
      <c r="AQ39">
        <f>VLOOKUP($B39,Kraftvärmeprod!$B$1:$BX$549,MATCH(AQ$1,Kraftvärmeprod!$B$1:$BX$1,0),FALSE)</f>
        <v>0</v>
      </c>
      <c r="AR39">
        <f>VLOOKUP($B39,Kraftvärmeprod!$B$1:$BX$549,MATCH("Summa tillförd energi exklusive rökgaskondensering",Kraftvärmeprod!$B$1:$BX$1,0),FALSE)</f>
        <v>0</v>
      </c>
      <c r="AT39" s="17" t="str">
        <f t="shared" si="3"/>
        <v/>
      </c>
      <c r="AV39">
        <f t="shared" si="4"/>
        <v>0</v>
      </c>
      <c r="BA39" s="17" t="str">
        <f t="shared" si="5"/>
        <v/>
      </c>
    </row>
    <row r="40" spans="1:53" x14ac:dyDescent="0.25">
      <c r="A40" s="137" t="s">
        <v>238</v>
      </c>
      <c r="B40" s="137" t="s">
        <v>239</v>
      </c>
      <c r="C40" s="121"/>
      <c r="D40" s="121"/>
      <c r="E40" s="121"/>
      <c r="F40" s="121"/>
      <c r="G40" s="121"/>
      <c r="H40" s="121"/>
      <c r="I40" s="121"/>
      <c r="J40" s="121">
        <v>0</v>
      </c>
      <c r="K40" s="121">
        <v>0</v>
      </c>
      <c r="L40" s="121">
        <v>0</v>
      </c>
      <c r="M40" s="121">
        <v>0</v>
      </c>
      <c r="N40" s="121">
        <v>0</v>
      </c>
      <c r="O40" s="121">
        <v>0</v>
      </c>
      <c r="P40" s="121">
        <v>0</v>
      </c>
      <c r="Q40" s="121">
        <v>0</v>
      </c>
      <c r="R40" s="121">
        <v>0</v>
      </c>
      <c r="S40" s="121">
        <v>0</v>
      </c>
      <c r="T40" s="121">
        <v>0</v>
      </c>
      <c r="U40" s="121">
        <v>0</v>
      </c>
      <c r="V40" s="121" t="s">
        <v>1119</v>
      </c>
      <c r="W40" s="121">
        <v>0</v>
      </c>
      <c r="X40" s="121">
        <v>0</v>
      </c>
      <c r="Y40" s="121">
        <v>0</v>
      </c>
      <c r="Z40" s="121">
        <v>2.6515</v>
      </c>
      <c r="AA40" s="121">
        <v>0</v>
      </c>
      <c r="AB40" s="121">
        <v>0.133161</v>
      </c>
      <c r="AC40" s="121">
        <v>0</v>
      </c>
      <c r="AD40" s="121">
        <v>0</v>
      </c>
      <c r="AE40" s="121">
        <v>147.262</v>
      </c>
      <c r="AF40" s="121">
        <v>0</v>
      </c>
      <c r="AG40" s="121">
        <v>0</v>
      </c>
      <c r="AH40" s="121">
        <v>0</v>
      </c>
      <c r="AI40" s="121">
        <v>5.2460199999999997</v>
      </c>
      <c r="AL40" s="14">
        <f t="shared" si="0"/>
        <v>155.29268099999999</v>
      </c>
      <c r="AM40">
        <f t="shared" si="1"/>
        <v>150.046661</v>
      </c>
      <c r="AN40">
        <f t="shared" si="2"/>
        <v>150.046661</v>
      </c>
      <c r="AP40">
        <f>VLOOKUP($B40,Kraftvärmeprod!$B$1:$BX$549,MATCH(AP$1,Kraftvärmeprod!$B$1:$BX$1,0),FALSE)</f>
        <v>185.47800000000001</v>
      </c>
      <c r="AQ40">
        <f>VLOOKUP($B40,Kraftvärmeprod!$B$1:$BX$549,MATCH(AQ$1,Kraftvärmeprod!$B$1:$BX$1,0),FALSE)</f>
        <v>40.518000000000001</v>
      </c>
      <c r="AR40">
        <f>VLOOKUP($B40,Kraftvärmeprod!$B$1:$BX$549,MATCH("Summa tillförd energi exklusive rökgaskondensering",Kraftvärmeprod!$B$1:$BX$1,0),FALSE)</f>
        <v>254.55800000000002</v>
      </c>
      <c r="AT40" s="17">
        <f t="shared" si="3"/>
        <v>0.5894399743869766</v>
      </c>
      <c r="AV40">
        <f t="shared" si="4"/>
        <v>2.7846609999999998</v>
      </c>
      <c r="BA40" s="17">
        <f t="shared" si="5"/>
        <v>1.1943769584350212</v>
      </c>
    </row>
    <row r="41" spans="1:53" x14ac:dyDescent="0.25">
      <c r="A41" s="137" t="s">
        <v>238</v>
      </c>
      <c r="B41" s="137" t="s">
        <v>241</v>
      </c>
      <c r="C41" s="121"/>
      <c r="D41" s="121"/>
      <c r="E41" s="121"/>
      <c r="F41" s="121"/>
      <c r="G41" s="121"/>
      <c r="H41" s="121"/>
      <c r="I41" s="121"/>
      <c r="J41" s="121">
        <v>0</v>
      </c>
      <c r="K41" s="121">
        <v>0</v>
      </c>
      <c r="L41" s="121">
        <v>0</v>
      </c>
      <c r="M41" s="121">
        <v>0</v>
      </c>
      <c r="N41" s="121">
        <v>0</v>
      </c>
      <c r="O41" s="121">
        <v>0</v>
      </c>
      <c r="P41" s="121">
        <v>0</v>
      </c>
      <c r="Q41" s="121">
        <v>0</v>
      </c>
      <c r="R41" s="121">
        <v>0</v>
      </c>
      <c r="S41" s="121">
        <v>0</v>
      </c>
      <c r="T41" s="121">
        <v>0</v>
      </c>
      <c r="U41" s="121">
        <v>0</v>
      </c>
      <c r="V41" s="121" t="s">
        <v>1119</v>
      </c>
      <c r="W41" s="121">
        <v>0</v>
      </c>
      <c r="X41" s="121">
        <v>0</v>
      </c>
      <c r="Y41" s="121">
        <v>0</v>
      </c>
      <c r="Z41" s="121">
        <v>0</v>
      </c>
      <c r="AA41" s="121">
        <v>0</v>
      </c>
      <c r="AB41" s="121">
        <v>0</v>
      </c>
      <c r="AC41" s="121">
        <v>0</v>
      </c>
      <c r="AD41" s="121">
        <v>0</v>
      </c>
      <c r="AE41" s="121">
        <v>0</v>
      </c>
      <c r="AF41" s="121">
        <v>0</v>
      </c>
      <c r="AG41" s="121">
        <v>0</v>
      </c>
      <c r="AH41" s="121">
        <v>0</v>
      </c>
      <c r="AI41" s="121">
        <v>0</v>
      </c>
      <c r="AL41" s="14">
        <f t="shared" si="0"/>
        <v>0</v>
      </c>
      <c r="AM41">
        <f t="shared" si="1"/>
        <v>0</v>
      </c>
      <c r="AN41">
        <f t="shared" si="2"/>
        <v>0</v>
      </c>
      <c r="AP41">
        <f>VLOOKUP($B41,Kraftvärmeprod!$B$1:$BX$549,MATCH(AP$1,Kraftvärmeprod!$B$1:$BX$1,0),FALSE)</f>
        <v>0</v>
      </c>
      <c r="AQ41">
        <f>VLOOKUP($B41,Kraftvärmeprod!$B$1:$BX$549,MATCH(AQ$1,Kraftvärmeprod!$B$1:$BX$1,0),FALSE)</f>
        <v>0</v>
      </c>
      <c r="AR41">
        <f>VLOOKUP($B41,Kraftvärmeprod!$B$1:$BX$549,MATCH("Summa tillförd energi exklusive rökgaskondensering",Kraftvärmeprod!$B$1:$BX$1,0),FALSE)</f>
        <v>0</v>
      </c>
      <c r="AT41" s="17" t="str">
        <f t="shared" si="3"/>
        <v/>
      </c>
      <c r="AV41">
        <f t="shared" si="4"/>
        <v>0</v>
      </c>
      <c r="BA41" s="17" t="str">
        <f t="shared" si="5"/>
        <v/>
      </c>
    </row>
    <row r="42" spans="1:53" x14ac:dyDescent="0.25">
      <c r="A42" s="137" t="s">
        <v>238</v>
      </c>
      <c r="B42" s="137" t="s">
        <v>242</v>
      </c>
      <c r="C42" s="121"/>
      <c r="D42" s="121"/>
      <c r="E42" s="121"/>
      <c r="F42" s="121"/>
      <c r="G42" s="121"/>
      <c r="H42" s="121"/>
      <c r="I42" s="121"/>
      <c r="J42" s="121">
        <v>0</v>
      </c>
      <c r="K42" s="121">
        <v>0</v>
      </c>
      <c r="L42" s="121">
        <v>0</v>
      </c>
      <c r="M42" s="121">
        <v>0</v>
      </c>
      <c r="N42" s="121">
        <v>0</v>
      </c>
      <c r="O42" s="121">
        <v>0</v>
      </c>
      <c r="P42" s="121">
        <v>0</v>
      </c>
      <c r="Q42" s="121">
        <v>0</v>
      </c>
      <c r="R42" s="121">
        <v>0</v>
      </c>
      <c r="S42" s="121">
        <v>0</v>
      </c>
      <c r="T42" s="121">
        <v>0</v>
      </c>
      <c r="U42" s="121">
        <v>0</v>
      </c>
      <c r="V42" s="121" t="s">
        <v>1119</v>
      </c>
      <c r="W42" s="121">
        <v>0</v>
      </c>
      <c r="X42" s="121">
        <v>0</v>
      </c>
      <c r="Y42" s="121">
        <v>0</v>
      </c>
      <c r="Z42" s="121">
        <v>0</v>
      </c>
      <c r="AA42" s="121">
        <v>0</v>
      </c>
      <c r="AB42" s="121">
        <v>0</v>
      </c>
      <c r="AC42" s="121">
        <v>0</v>
      </c>
      <c r="AD42" s="121">
        <v>0</v>
      </c>
      <c r="AE42" s="121">
        <v>0</v>
      </c>
      <c r="AF42" s="121">
        <v>0</v>
      </c>
      <c r="AG42" s="121">
        <v>0</v>
      </c>
      <c r="AH42" s="121">
        <v>0</v>
      </c>
      <c r="AI42" s="121">
        <v>0</v>
      </c>
      <c r="AL42" s="14">
        <f t="shared" si="0"/>
        <v>0</v>
      </c>
      <c r="AM42">
        <f t="shared" si="1"/>
        <v>0</v>
      </c>
      <c r="AN42">
        <f t="shared" si="2"/>
        <v>0</v>
      </c>
      <c r="AP42">
        <f>VLOOKUP($B42,Kraftvärmeprod!$B$1:$BX$549,MATCH(AP$1,Kraftvärmeprod!$B$1:$BX$1,0),FALSE)</f>
        <v>0</v>
      </c>
      <c r="AQ42">
        <f>VLOOKUP($B42,Kraftvärmeprod!$B$1:$BX$549,MATCH(AQ$1,Kraftvärmeprod!$B$1:$BX$1,0),FALSE)</f>
        <v>0</v>
      </c>
      <c r="AR42">
        <f>VLOOKUP($B42,Kraftvärmeprod!$B$1:$BX$549,MATCH("Summa tillförd energi exklusive rökgaskondensering",Kraftvärmeprod!$B$1:$BX$1,0),FALSE)</f>
        <v>0</v>
      </c>
      <c r="AT42" s="17" t="str">
        <f t="shared" si="3"/>
        <v/>
      </c>
      <c r="AV42">
        <f t="shared" si="4"/>
        <v>0</v>
      </c>
      <c r="BA42" s="17" t="str">
        <f t="shared" si="5"/>
        <v/>
      </c>
    </row>
    <row r="43" spans="1:53" x14ac:dyDescent="0.25">
      <c r="A43" s="137" t="s">
        <v>243</v>
      </c>
      <c r="B43" s="137" t="s">
        <v>244</v>
      </c>
      <c r="C43" s="121"/>
      <c r="D43" s="121"/>
      <c r="E43" s="121"/>
      <c r="F43" s="121"/>
      <c r="G43" s="121"/>
      <c r="H43" s="121"/>
      <c r="I43" s="121"/>
      <c r="J43" s="121">
        <v>0</v>
      </c>
      <c r="K43" s="121">
        <v>0</v>
      </c>
      <c r="L43" s="121">
        <v>0</v>
      </c>
      <c r="M43" s="121">
        <v>0</v>
      </c>
      <c r="N43" s="121">
        <v>0</v>
      </c>
      <c r="O43" s="121">
        <v>0</v>
      </c>
      <c r="P43" s="121">
        <v>206.52500000000001</v>
      </c>
      <c r="Q43" s="121">
        <v>39.6877</v>
      </c>
      <c r="R43" s="121">
        <v>0</v>
      </c>
      <c r="S43" s="121">
        <v>1.8671599999999999</v>
      </c>
      <c r="T43" s="121">
        <v>0</v>
      </c>
      <c r="U43" s="121">
        <v>58.366399999999999</v>
      </c>
      <c r="V43" s="121" t="s">
        <v>1119</v>
      </c>
      <c r="W43" s="121">
        <v>0</v>
      </c>
      <c r="X43" s="121">
        <v>2.6814100000000001</v>
      </c>
      <c r="Y43" s="121">
        <v>0</v>
      </c>
      <c r="Z43" s="121">
        <v>0</v>
      </c>
      <c r="AA43" s="121">
        <v>0</v>
      </c>
      <c r="AB43" s="121">
        <v>0</v>
      </c>
      <c r="AC43" s="121">
        <v>42.509500000000003</v>
      </c>
      <c r="AD43" s="121">
        <v>0</v>
      </c>
      <c r="AE43" s="121">
        <v>195.91900000000001</v>
      </c>
      <c r="AF43" s="121">
        <v>0</v>
      </c>
      <c r="AG43" s="121">
        <v>0</v>
      </c>
      <c r="AH43" s="121">
        <v>39.450000000000003</v>
      </c>
      <c r="AI43" s="121">
        <v>21.280100000000001</v>
      </c>
      <c r="AL43" s="14">
        <f t="shared" si="0"/>
        <v>608.28627000000006</v>
      </c>
      <c r="AM43">
        <f t="shared" si="1"/>
        <v>587.00617000000011</v>
      </c>
      <c r="AN43">
        <f t="shared" si="2"/>
        <v>547.55617000000007</v>
      </c>
      <c r="AP43">
        <f>VLOOKUP($B43,Kraftvärmeprod!$B$1:$BX$549,MATCH(AP$1,Kraftvärmeprod!$B$1:$BX$1,0),FALSE)</f>
        <v>555.30999999999995</v>
      </c>
      <c r="AQ43">
        <f>VLOOKUP($B43,Kraftvärmeprod!$B$1:$BX$549,MATCH(AQ$1,Kraftvärmeprod!$B$1:$BX$1,0),FALSE)</f>
        <v>90.48</v>
      </c>
      <c r="AR43">
        <f>VLOOKUP($B43,Kraftvärmeprod!$B$1:$BX$549,MATCH("Summa tillförd energi exklusive rökgaskondensering",Kraftvärmeprod!$B$1:$BX$1,0),FALSE)</f>
        <v>799.02</v>
      </c>
      <c r="AT43" s="17">
        <f t="shared" si="3"/>
        <v>0.68528468624064487</v>
      </c>
      <c r="AV43">
        <f t="shared" si="4"/>
        <v>351.63717000000003</v>
      </c>
      <c r="BA43" s="17">
        <f t="shared" si="5"/>
        <v>0.9762211541117094</v>
      </c>
    </row>
    <row r="44" spans="1:53" x14ac:dyDescent="0.25">
      <c r="A44" s="137" t="s">
        <v>243</v>
      </c>
      <c r="B44" s="137" t="s">
        <v>245</v>
      </c>
      <c r="C44" s="121"/>
      <c r="D44" s="121"/>
      <c r="E44" s="121"/>
      <c r="F44" s="121"/>
      <c r="G44" s="121"/>
      <c r="H44" s="121"/>
      <c r="I44" s="121"/>
      <c r="J44" s="121">
        <v>0</v>
      </c>
      <c r="K44" s="121">
        <v>0</v>
      </c>
      <c r="L44" s="121">
        <v>0</v>
      </c>
      <c r="M44" s="121">
        <v>0</v>
      </c>
      <c r="N44" s="121">
        <v>0</v>
      </c>
      <c r="O44" s="121">
        <v>0</v>
      </c>
      <c r="P44" s="121">
        <v>0</v>
      </c>
      <c r="Q44" s="121">
        <v>0</v>
      </c>
      <c r="R44" s="121">
        <v>0</v>
      </c>
      <c r="S44" s="121">
        <v>0</v>
      </c>
      <c r="T44" s="121">
        <v>0</v>
      </c>
      <c r="U44" s="121">
        <v>0</v>
      </c>
      <c r="V44" s="121" t="s">
        <v>1119</v>
      </c>
      <c r="W44" s="121">
        <v>0</v>
      </c>
      <c r="X44" s="121">
        <v>0</v>
      </c>
      <c r="Y44" s="121">
        <v>0</v>
      </c>
      <c r="Z44" s="121">
        <v>0</v>
      </c>
      <c r="AA44" s="121">
        <v>0</v>
      </c>
      <c r="AB44" s="121">
        <v>0</v>
      </c>
      <c r="AC44" s="121">
        <v>0</v>
      </c>
      <c r="AD44" s="121">
        <v>0</v>
      </c>
      <c r="AE44" s="121">
        <v>0</v>
      </c>
      <c r="AF44" s="121">
        <v>0</v>
      </c>
      <c r="AG44" s="121">
        <v>0</v>
      </c>
      <c r="AH44" s="121">
        <v>0</v>
      </c>
      <c r="AI44" s="121">
        <v>0</v>
      </c>
      <c r="AL44" s="14">
        <f t="shared" si="0"/>
        <v>0</v>
      </c>
      <c r="AM44">
        <f t="shared" si="1"/>
        <v>0</v>
      </c>
      <c r="AN44">
        <f t="shared" si="2"/>
        <v>0</v>
      </c>
      <c r="AP44">
        <f>VLOOKUP($B44,Kraftvärmeprod!$B$1:$BX$549,MATCH(AP$1,Kraftvärmeprod!$B$1:$BX$1,0),FALSE)</f>
        <v>0</v>
      </c>
      <c r="AQ44">
        <f>VLOOKUP($B44,Kraftvärmeprod!$B$1:$BX$549,MATCH(AQ$1,Kraftvärmeprod!$B$1:$BX$1,0),FALSE)</f>
        <v>0</v>
      </c>
      <c r="AR44">
        <f>VLOOKUP($B44,Kraftvärmeprod!$B$1:$BX$549,MATCH("Summa tillförd energi exklusive rökgaskondensering",Kraftvärmeprod!$B$1:$BX$1,0),FALSE)</f>
        <v>0</v>
      </c>
      <c r="AT44" s="17" t="str">
        <f t="shared" si="3"/>
        <v/>
      </c>
      <c r="AV44">
        <f t="shared" si="4"/>
        <v>0</v>
      </c>
      <c r="BA44" s="17" t="str">
        <f t="shared" si="5"/>
        <v/>
      </c>
    </row>
    <row r="45" spans="1:53" x14ac:dyDescent="0.25">
      <c r="A45" s="137" t="s">
        <v>246</v>
      </c>
      <c r="B45" s="137" t="s">
        <v>247</v>
      </c>
      <c r="C45" s="121"/>
      <c r="D45" s="121"/>
      <c r="E45" s="121"/>
      <c r="F45" s="121"/>
      <c r="G45" s="121"/>
      <c r="H45" s="121"/>
      <c r="I45" s="121"/>
      <c r="J45" s="121">
        <v>0</v>
      </c>
      <c r="K45" s="121">
        <v>0</v>
      </c>
      <c r="L45" s="121">
        <v>0</v>
      </c>
      <c r="M45" s="121">
        <v>0</v>
      </c>
      <c r="N45" s="121">
        <v>0</v>
      </c>
      <c r="O45" s="121">
        <v>0</v>
      </c>
      <c r="P45" s="121">
        <v>0</v>
      </c>
      <c r="Q45" s="121">
        <v>0</v>
      </c>
      <c r="R45" s="121">
        <v>0</v>
      </c>
      <c r="S45" s="121">
        <v>0</v>
      </c>
      <c r="T45" s="121">
        <v>0</v>
      </c>
      <c r="U45" s="121">
        <v>0</v>
      </c>
      <c r="V45" s="121" t="s">
        <v>1119</v>
      </c>
      <c r="W45" s="121">
        <v>0</v>
      </c>
      <c r="X45" s="121">
        <v>0</v>
      </c>
      <c r="Y45" s="121">
        <v>0</v>
      </c>
      <c r="Z45" s="121">
        <v>0</v>
      </c>
      <c r="AA45" s="121">
        <v>0</v>
      </c>
      <c r="AB45" s="121">
        <v>0</v>
      </c>
      <c r="AC45" s="121">
        <v>0</v>
      </c>
      <c r="AD45" s="121">
        <v>0</v>
      </c>
      <c r="AE45" s="121">
        <v>0</v>
      </c>
      <c r="AF45" s="121">
        <v>0</v>
      </c>
      <c r="AG45" s="121">
        <v>0</v>
      </c>
      <c r="AH45" s="121">
        <v>0</v>
      </c>
      <c r="AI45" s="121">
        <v>0</v>
      </c>
      <c r="AL45" s="14">
        <f t="shared" si="0"/>
        <v>0</v>
      </c>
      <c r="AM45">
        <f t="shared" si="1"/>
        <v>0</v>
      </c>
      <c r="AN45">
        <f t="shared" si="2"/>
        <v>0</v>
      </c>
      <c r="AP45">
        <f>VLOOKUP($B45,Kraftvärmeprod!$B$1:$BX$549,MATCH(AP$1,Kraftvärmeprod!$B$1:$BX$1,0),FALSE)</f>
        <v>0</v>
      </c>
      <c r="AQ45">
        <f>VLOOKUP($B45,Kraftvärmeprod!$B$1:$BX$549,MATCH(AQ$1,Kraftvärmeprod!$B$1:$BX$1,0),FALSE)</f>
        <v>0</v>
      </c>
      <c r="AR45">
        <f>VLOOKUP($B45,Kraftvärmeprod!$B$1:$BX$549,MATCH("Summa tillförd energi exklusive rökgaskondensering",Kraftvärmeprod!$B$1:$BX$1,0),FALSE)</f>
        <v>0</v>
      </c>
      <c r="AT45" s="17" t="str">
        <f t="shared" si="3"/>
        <v/>
      </c>
      <c r="AV45">
        <f t="shared" si="4"/>
        <v>0</v>
      </c>
      <c r="BA45" s="17" t="str">
        <f t="shared" si="5"/>
        <v/>
      </c>
    </row>
    <row r="46" spans="1:53" x14ac:dyDescent="0.25">
      <c r="A46" s="137" t="s">
        <v>248</v>
      </c>
      <c r="B46" s="137" t="s">
        <v>69</v>
      </c>
      <c r="C46" s="121"/>
      <c r="D46" s="121"/>
      <c r="E46" s="121"/>
      <c r="F46" s="121"/>
      <c r="G46" s="121"/>
      <c r="H46" s="121"/>
      <c r="I46" s="121"/>
      <c r="J46" s="121">
        <v>0</v>
      </c>
      <c r="K46" s="121">
        <v>0</v>
      </c>
      <c r="L46" s="121">
        <v>0</v>
      </c>
      <c r="M46" s="121">
        <v>0</v>
      </c>
      <c r="N46" s="121">
        <v>0</v>
      </c>
      <c r="O46" s="121">
        <v>0</v>
      </c>
      <c r="P46" s="121">
        <v>0</v>
      </c>
      <c r="Q46" s="121">
        <v>0</v>
      </c>
      <c r="R46" s="121">
        <v>0</v>
      </c>
      <c r="S46" s="121">
        <v>0</v>
      </c>
      <c r="T46" s="121">
        <v>0</v>
      </c>
      <c r="U46" s="121">
        <v>0</v>
      </c>
      <c r="V46" s="121" t="s">
        <v>1119</v>
      </c>
      <c r="W46" s="121">
        <v>0</v>
      </c>
      <c r="X46" s="121">
        <v>0</v>
      </c>
      <c r="Y46" s="121">
        <v>0</v>
      </c>
      <c r="Z46" s="121">
        <v>0</v>
      </c>
      <c r="AA46" s="121">
        <v>0</v>
      </c>
      <c r="AB46" s="121">
        <v>0</v>
      </c>
      <c r="AC46" s="121">
        <v>0</v>
      </c>
      <c r="AD46" s="121">
        <v>0</v>
      </c>
      <c r="AE46" s="121">
        <v>0</v>
      </c>
      <c r="AF46" s="121">
        <v>0</v>
      </c>
      <c r="AG46" s="121">
        <v>0</v>
      </c>
      <c r="AH46" s="121">
        <v>0</v>
      </c>
      <c r="AI46" s="121">
        <v>0</v>
      </c>
      <c r="AL46" s="14">
        <f t="shared" si="0"/>
        <v>0</v>
      </c>
      <c r="AM46">
        <f t="shared" si="1"/>
        <v>0</v>
      </c>
      <c r="AN46">
        <f t="shared" si="2"/>
        <v>0</v>
      </c>
      <c r="AP46">
        <f>VLOOKUP($B46,Kraftvärmeprod!$B$1:$BX$549,MATCH(AP$1,Kraftvärmeprod!$B$1:$BX$1,0),FALSE)</f>
        <v>0</v>
      </c>
      <c r="AQ46">
        <f>VLOOKUP($B46,Kraftvärmeprod!$B$1:$BX$549,MATCH(AQ$1,Kraftvärmeprod!$B$1:$BX$1,0),FALSE)</f>
        <v>0</v>
      </c>
      <c r="AR46">
        <f>VLOOKUP($B46,Kraftvärmeprod!$B$1:$BX$549,MATCH("Summa tillförd energi exklusive rökgaskondensering",Kraftvärmeprod!$B$1:$BX$1,0),FALSE)</f>
        <v>0</v>
      </c>
      <c r="AT46" s="17" t="str">
        <f t="shared" si="3"/>
        <v/>
      </c>
      <c r="AV46">
        <f t="shared" si="4"/>
        <v>0</v>
      </c>
      <c r="BA46" s="17" t="str">
        <f t="shared" si="5"/>
        <v/>
      </c>
    </row>
    <row r="47" spans="1:53" x14ac:dyDescent="0.25">
      <c r="A47" s="137" t="s">
        <v>249</v>
      </c>
      <c r="B47" s="137" t="s">
        <v>250</v>
      </c>
      <c r="C47" s="121"/>
      <c r="D47" s="121"/>
      <c r="E47" s="121"/>
      <c r="F47" s="121"/>
      <c r="G47" s="121"/>
      <c r="H47" s="121"/>
      <c r="I47" s="121"/>
      <c r="J47" s="121">
        <v>0</v>
      </c>
      <c r="K47" s="121">
        <v>0</v>
      </c>
      <c r="L47" s="121">
        <v>0</v>
      </c>
      <c r="M47" s="121">
        <v>0</v>
      </c>
      <c r="N47" s="121">
        <v>0</v>
      </c>
      <c r="O47" s="121">
        <v>0</v>
      </c>
      <c r="P47" s="121">
        <v>0</v>
      </c>
      <c r="Q47" s="121">
        <v>0</v>
      </c>
      <c r="R47" s="121">
        <v>0</v>
      </c>
      <c r="S47" s="121">
        <v>0</v>
      </c>
      <c r="T47" s="121">
        <v>0</v>
      </c>
      <c r="U47" s="121">
        <v>0</v>
      </c>
      <c r="V47" s="121" t="s">
        <v>1119</v>
      </c>
      <c r="W47" s="121">
        <v>0</v>
      </c>
      <c r="X47" s="121">
        <v>0</v>
      </c>
      <c r="Y47" s="121">
        <v>0</v>
      </c>
      <c r="Z47" s="121">
        <v>0</v>
      </c>
      <c r="AA47" s="121">
        <v>0</v>
      </c>
      <c r="AB47" s="121">
        <v>0</v>
      </c>
      <c r="AC47" s="121">
        <v>0</v>
      </c>
      <c r="AD47" s="121">
        <v>0</v>
      </c>
      <c r="AE47" s="121">
        <v>0</v>
      </c>
      <c r="AF47" s="121">
        <v>0</v>
      </c>
      <c r="AG47" s="121">
        <v>0</v>
      </c>
      <c r="AH47" s="121">
        <v>0</v>
      </c>
      <c r="AI47" s="121">
        <v>0</v>
      </c>
      <c r="AL47" s="14">
        <f t="shared" si="0"/>
        <v>0</v>
      </c>
      <c r="AM47">
        <f t="shared" si="1"/>
        <v>0</v>
      </c>
      <c r="AN47">
        <f t="shared" si="2"/>
        <v>0</v>
      </c>
      <c r="AP47">
        <f>VLOOKUP($B47,Kraftvärmeprod!$B$1:$BX$549,MATCH(AP$1,Kraftvärmeprod!$B$1:$BX$1,0),FALSE)</f>
        <v>0</v>
      </c>
      <c r="AQ47">
        <f>VLOOKUP($B47,Kraftvärmeprod!$B$1:$BX$549,MATCH(AQ$1,Kraftvärmeprod!$B$1:$BX$1,0),FALSE)</f>
        <v>0</v>
      </c>
      <c r="AR47">
        <f>VLOOKUP($B47,Kraftvärmeprod!$B$1:$BX$549,MATCH("Summa tillförd energi exklusive rökgaskondensering",Kraftvärmeprod!$B$1:$BX$1,0),FALSE)</f>
        <v>0</v>
      </c>
      <c r="AT47" s="17" t="str">
        <f t="shared" si="3"/>
        <v/>
      </c>
      <c r="AV47">
        <f t="shared" si="4"/>
        <v>0</v>
      </c>
      <c r="BA47" s="17" t="str">
        <f t="shared" si="5"/>
        <v/>
      </c>
    </row>
    <row r="48" spans="1:53" x14ac:dyDescent="0.25">
      <c r="A48" s="137" t="s">
        <v>249</v>
      </c>
      <c r="B48" s="137" t="s">
        <v>251</v>
      </c>
      <c r="C48" s="121"/>
      <c r="D48" s="121"/>
      <c r="E48" s="121"/>
      <c r="F48" s="121"/>
      <c r="G48" s="121"/>
      <c r="H48" s="121"/>
      <c r="I48" s="121"/>
      <c r="J48" s="121">
        <v>0</v>
      </c>
      <c r="K48" s="121">
        <v>0.140517</v>
      </c>
      <c r="L48" s="121">
        <v>0</v>
      </c>
      <c r="M48" s="121">
        <v>0</v>
      </c>
      <c r="N48" s="121">
        <v>0</v>
      </c>
      <c r="O48" s="121">
        <v>0</v>
      </c>
      <c r="P48" s="121">
        <v>210.05099999999999</v>
      </c>
      <c r="Q48" s="121">
        <v>15.453099999999999</v>
      </c>
      <c r="R48" s="121">
        <v>42.548900000000003</v>
      </c>
      <c r="S48" s="121">
        <v>0</v>
      </c>
      <c r="T48" s="121">
        <v>0</v>
      </c>
      <c r="U48" s="121">
        <v>2.0725899999999999</v>
      </c>
      <c r="V48" s="121" t="s">
        <v>1119</v>
      </c>
      <c r="W48" s="121">
        <v>0</v>
      </c>
      <c r="X48" s="121">
        <v>0</v>
      </c>
      <c r="Y48" s="121">
        <v>0</v>
      </c>
      <c r="Z48" s="121">
        <v>0</v>
      </c>
      <c r="AA48" s="121">
        <v>0</v>
      </c>
      <c r="AB48" s="121">
        <v>0</v>
      </c>
      <c r="AC48" s="121">
        <v>0</v>
      </c>
      <c r="AD48" s="121">
        <v>0</v>
      </c>
      <c r="AE48" s="121">
        <v>0</v>
      </c>
      <c r="AF48" s="121">
        <v>12.0146</v>
      </c>
      <c r="AG48" s="121">
        <v>0</v>
      </c>
      <c r="AH48" s="121">
        <v>75.911000000000001</v>
      </c>
      <c r="AI48" s="121">
        <v>10.9948</v>
      </c>
      <c r="AL48" s="14">
        <f t="shared" si="0"/>
        <v>369.18650699999995</v>
      </c>
      <c r="AM48">
        <f t="shared" si="1"/>
        <v>358.19170699999995</v>
      </c>
      <c r="AN48">
        <f t="shared" si="2"/>
        <v>282.28070699999995</v>
      </c>
      <c r="AP48">
        <f>VLOOKUP($B48,Kraftvärmeprod!$B$1:$BX$549,MATCH(AP$1,Kraftvärmeprod!$B$1:$BX$1,0),FALSE)</f>
        <v>326.42399999999998</v>
      </c>
      <c r="AQ48">
        <f>VLOOKUP($B48,Kraftvärmeprod!$B$1:$BX$549,MATCH(AQ$1,Kraftvärmeprod!$B$1:$BX$1,0),FALSE)</f>
        <v>79.798000000000002</v>
      </c>
      <c r="AR48">
        <f>VLOOKUP($B48,Kraftvärmeprod!$B$1:$BX$549,MATCH("Summa tillförd energi exklusive rökgaskondensering",Kraftvärmeprod!$B$1:$BX$1,0),FALSE)</f>
        <v>461.15499999999997</v>
      </c>
      <c r="AT48" s="17">
        <f t="shared" si="3"/>
        <v>0.61211676551268002</v>
      </c>
      <c r="AV48">
        <f t="shared" si="4"/>
        <v>270.12558999999999</v>
      </c>
      <c r="BA48" s="17">
        <f t="shared" si="5"/>
        <v>1.1130285080369839</v>
      </c>
    </row>
    <row r="49" spans="1:53" x14ac:dyDescent="0.25">
      <c r="A49" s="137" t="s">
        <v>253</v>
      </c>
      <c r="B49" s="137" t="s">
        <v>254</v>
      </c>
      <c r="C49" s="121"/>
      <c r="D49" s="121"/>
      <c r="E49" s="121"/>
      <c r="F49" s="121"/>
      <c r="G49" s="121"/>
      <c r="H49" s="121"/>
      <c r="I49" s="121"/>
      <c r="J49" s="121">
        <v>0</v>
      </c>
      <c r="K49" s="121">
        <v>0</v>
      </c>
      <c r="L49" s="121">
        <v>0</v>
      </c>
      <c r="M49" s="121">
        <v>0</v>
      </c>
      <c r="N49" s="121">
        <v>0</v>
      </c>
      <c r="O49" s="121">
        <v>0</v>
      </c>
      <c r="P49" s="121">
        <v>0</v>
      </c>
      <c r="Q49" s="121">
        <v>0</v>
      </c>
      <c r="R49" s="121">
        <v>0</v>
      </c>
      <c r="S49" s="121">
        <v>0</v>
      </c>
      <c r="T49" s="121">
        <v>0</v>
      </c>
      <c r="U49" s="121">
        <v>0</v>
      </c>
      <c r="V49" s="121" t="s">
        <v>1119</v>
      </c>
      <c r="W49" s="121">
        <v>0</v>
      </c>
      <c r="X49" s="121">
        <v>0</v>
      </c>
      <c r="Y49" s="121">
        <v>0</v>
      </c>
      <c r="Z49" s="121">
        <v>0</v>
      </c>
      <c r="AA49" s="121">
        <v>0</v>
      </c>
      <c r="AB49" s="121">
        <v>0</v>
      </c>
      <c r="AC49" s="121">
        <v>0</v>
      </c>
      <c r="AD49" s="121">
        <v>0</v>
      </c>
      <c r="AE49" s="121">
        <v>0</v>
      </c>
      <c r="AF49" s="121">
        <v>0</v>
      </c>
      <c r="AG49" s="121">
        <v>0</v>
      </c>
      <c r="AH49" s="121">
        <v>0</v>
      </c>
      <c r="AI49" s="121">
        <v>0</v>
      </c>
      <c r="AL49" s="14">
        <f t="shared" si="0"/>
        <v>0</v>
      </c>
      <c r="AM49">
        <f t="shared" si="1"/>
        <v>0</v>
      </c>
      <c r="AN49">
        <f t="shared" si="2"/>
        <v>0</v>
      </c>
      <c r="AP49">
        <f>VLOOKUP($B49,Kraftvärmeprod!$B$1:$BX$549,MATCH(AP$1,Kraftvärmeprod!$B$1:$BX$1,0),FALSE)</f>
        <v>0</v>
      </c>
      <c r="AQ49">
        <f>VLOOKUP($B49,Kraftvärmeprod!$B$1:$BX$549,MATCH(AQ$1,Kraftvärmeprod!$B$1:$BX$1,0),FALSE)</f>
        <v>0</v>
      </c>
      <c r="AR49">
        <f>VLOOKUP($B49,Kraftvärmeprod!$B$1:$BX$549,MATCH("Summa tillförd energi exklusive rökgaskondensering",Kraftvärmeprod!$B$1:$BX$1,0),FALSE)</f>
        <v>0</v>
      </c>
      <c r="AT49" s="17" t="str">
        <f t="shared" si="3"/>
        <v/>
      </c>
      <c r="AV49">
        <f t="shared" si="4"/>
        <v>0</v>
      </c>
      <c r="BA49" s="17" t="str">
        <f t="shared" si="5"/>
        <v/>
      </c>
    </row>
    <row r="50" spans="1:53" x14ac:dyDescent="0.25">
      <c r="A50" s="137" t="s">
        <v>253</v>
      </c>
      <c r="B50" s="137" t="s">
        <v>256</v>
      </c>
      <c r="C50" s="121"/>
      <c r="D50" s="121"/>
      <c r="E50" s="121"/>
      <c r="F50" s="121"/>
      <c r="G50" s="121"/>
      <c r="H50" s="121"/>
      <c r="I50" s="121"/>
      <c r="J50" s="121">
        <v>0</v>
      </c>
      <c r="K50" s="121">
        <v>0</v>
      </c>
      <c r="L50" s="121">
        <v>0</v>
      </c>
      <c r="M50" s="121">
        <v>0</v>
      </c>
      <c r="N50" s="121">
        <v>0</v>
      </c>
      <c r="O50" s="121">
        <v>0</v>
      </c>
      <c r="P50" s="121">
        <v>0</v>
      </c>
      <c r="Q50" s="121">
        <v>0</v>
      </c>
      <c r="R50" s="121">
        <v>0</v>
      </c>
      <c r="S50" s="121">
        <v>0</v>
      </c>
      <c r="T50" s="121">
        <v>0</v>
      </c>
      <c r="U50" s="121">
        <v>0</v>
      </c>
      <c r="V50" s="121" t="s">
        <v>1119</v>
      </c>
      <c r="W50" s="121">
        <v>0</v>
      </c>
      <c r="X50" s="121">
        <v>0</v>
      </c>
      <c r="Y50" s="121">
        <v>0</v>
      </c>
      <c r="Z50" s="121">
        <v>0</v>
      </c>
      <c r="AA50" s="121">
        <v>0</v>
      </c>
      <c r="AB50" s="121">
        <v>0</v>
      </c>
      <c r="AC50" s="121">
        <v>0</v>
      </c>
      <c r="AD50" s="121">
        <v>0</v>
      </c>
      <c r="AE50" s="121">
        <v>0</v>
      </c>
      <c r="AF50" s="121">
        <v>0</v>
      </c>
      <c r="AG50" s="121">
        <v>0</v>
      </c>
      <c r="AH50" s="121">
        <v>0</v>
      </c>
      <c r="AI50" s="121">
        <v>0</v>
      </c>
      <c r="AL50" s="14">
        <f t="shared" si="0"/>
        <v>0</v>
      </c>
      <c r="AM50">
        <f t="shared" si="1"/>
        <v>0</v>
      </c>
      <c r="AN50">
        <f t="shared" si="2"/>
        <v>0</v>
      </c>
      <c r="AP50">
        <f>VLOOKUP($B50,Kraftvärmeprod!$B$1:$BX$549,MATCH(AP$1,Kraftvärmeprod!$B$1:$BX$1,0),FALSE)</f>
        <v>0</v>
      </c>
      <c r="AQ50">
        <f>VLOOKUP($B50,Kraftvärmeprod!$B$1:$BX$549,MATCH(AQ$1,Kraftvärmeprod!$B$1:$BX$1,0),FALSE)</f>
        <v>0</v>
      </c>
      <c r="AR50">
        <f>VLOOKUP($B50,Kraftvärmeprod!$B$1:$BX$549,MATCH("Summa tillförd energi exklusive rökgaskondensering",Kraftvärmeprod!$B$1:$BX$1,0),FALSE)</f>
        <v>0</v>
      </c>
      <c r="AT50" s="17" t="str">
        <f t="shared" si="3"/>
        <v/>
      </c>
      <c r="AV50">
        <f t="shared" si="4"/>
        <v>0</v>
      </c>
      <c r="BA50" s="17" t="str">
        <f t="shared" si="5"/>
        <v/>
      </c>
    </row>
    <row r="51" spans="1:53" x14ac:dyDescent="0.25">
      <c r="A51" s="137" t="s">
        <v>258</v>
      </c>
      <c r="B51" s="137" t="s">
        <v>259</v>
      </c>
      <c r="C51" s="121"/>
      <c r="D51" s="121"/>
      <c r="E51" s="121"/>
      <c r="F51" s="121"/>
      <c r="G51" s="121"/>
      <c r="H51" s="121"/>
      <c r="I51" s="121"/>
      <c r="J51" s="121">
        <v>0</v>
      </c>
      <c r="K51" s="121">
        <v>0</v>
      </c>
      <c r="L51" s="121">
        <v>0</v>
      </c>
      <c r="M51" s="121">
        <v>0</v>
      </c>
      <c r="N51" s="121">
        <v>0</v>
      </c>
      <c r="O51" s="121">
        <v>0</v>
      </c>
      <c r="P51" s="121">
        <v>0</v>
      </c>
      <c r="Q51" s="121">
        <v>0</v>
      </c>
      <c r="R51" s="121">
        <v>0</v>
      </c>
      <c r="S51" s="121">
        <v>0</v>
      </c>
      <c r="T51" s="121">
        <v>0</v>
      </c>
      <c r="U51" s="121">
        <v>0</v>
      </c>
      <c r="V51" s="121" t="s">
        <v>1119</v>
      </c>
      <c r="W51" s="121">
        <v>0</v>
      </c>
      <c r="X51" s="121">
        <v>0</v>
      </c>
      <c r="Y51" s="121">
        <v>0</v>
      </c>
      <c r="Z51" s="121">
        <v>0</v>
      </c>
      <c r="AA51" s="121">
        <v>0</v>
      </c>
      <c r="AB51" s="121">
        <v>0</v>
      </c>
      <c r="AC51" s="121">
        <v>0</v>
      </c>
      <c r="AD51" s="121">
        <v>0</v>
      </c>
      <c r="AE51" s="121">
        <v>0</v>
      </c>
      <c r="AF51" s="121">
        <v>0</v>
      </c>
      <c r="AG51" s="121">
        <v>0</v>
      </c>
      <c r="AH51" s="121">
        <v>0</v>
      </c>
      <c r="AI51" s="121">
        <v>0</v>
      </c>
      <c r="AL51" s="14">
        <f t="shared" si="0"/>
        <v>0</v>
      </c>
      <c r="AM51">
        <f t="shared" si="1"/>
        <v>0</v>
      </c>
      <c r="AN51">
        <f t="shared" si="2"/>
        <v>0</v>
      </c>
      <c r="AP51">
        <f>VLOOKUP($B51,Kraftvärmeprod!$B$1:$BX$549,MATCH(AP$1,Kraftvärmeprod!$B$1:$BX$1,0),FALSE)</f>
        <v>0</v>
      </c>
      <c r="AQ51">
        <f>VLOOKUP($B51,Kraftvärmeprod!$B$1:$BX$549,MATCH(AQ$1,Kraftvärmeprod!$B$1:$BX$1,0),FALSE)</f>
        <v>0</v>
      </c>
      <c r="AR51">
        <f>VLOOKUP($B51,Kraftvärmeprod!$B$1:$BX$549,MATCH("Summa tillförd energi exklusive rökgaskondensering",Kraftvärmeprod!$B$1:$BX$1,0),FALSE)</f>
        <v>0</v>
      </c>
      <c r="AT51" s="17" t="str">
        <f t="shared" si="3"/>
        <v/>
      </c>
      <c r="AV51">
        <f t="shared" si="4"/>
        <v>0</v>
      </c>
      <c r="BA51" s="17" t="str">
        <f t="shared" si="5"/>
        <v/>
      </c>
    </row>
    <row r="52" spans="1:53" x14ac:dyDescent="0.25">
      <c r="A52" s="137" t="s">
        <v>258</v>
      </c>
      <c r="B52" s="137" t="s">
        <v>260</v>
      </c>
      <c r="C52" s="121"/>
      <c r="D52" s="121"/>
      <c r="E52" s="121"/>
      <c r="F52" s="121"/>
      <c r="G52" s="121"/>
      <c r="H52" s="121"/>
      <c r="I52" s="121"/>
      <c r="J52" s="121">
        <v>0</v>
      </c>
      <c r="K52" s="121">
        <v>0</v>
      </c>
      <c r="L52" s="121">
        <v>0</v>
      </c>
      <c r="M52" s="121">
        <v>0</v>
      </c>
      <c r="N52" s="121">
        <v>0</v>
      </c>
      <c r="O52" s="121">
        <v>0</v>
      </c>
      <c r="P52" s="121">
        <v>0</v>
      </c>
      <c r="Q52" s="121">
        <v>0</v>
      </c>
      <c r="R52" s="121">
        <v>0</v>
      </c>
      <c r="S52" s="121">
        <v>0</v>
      </c>
      <c r="T52" s="121">
        <v>0</v>
      </c>
      <c r="U52" s="121">
        <v>0</v>
      </c>
      <c r="V52" s="121" t="s">
        <v>1119</v>
      </c>
      <c r="W52" s="121">
        <v>0</v>
      </c>
      <c r="X52" s="121">
        <v>0</v>
      </c>
      <c r="Y52" s="121">
        <v>0</v>
      </c>
      <c r="Z52" s="121">
        <v>0</v>
      </c>
      <c r="AA52" s="121">
        <v>0</v>
      </c>
      <c r="AB52" s="121">
        <v>0</v>
      </c>
      <c r="AC52" s="121">
        <v>0</v>
      </c>
      <c r="AD52" s="121">
        <v>0</v>
      </c>
      <c r="AE52" s="121">
        <v>0</v>
      </c>
      <c r="AF52" s="121">
        <v>0</v>
      </c>
      <c r="AG52" s="121">
        <v>0</v>
      </c>
      <c r="AH52" s="121">
        <v>0</v>
      </c>
      <c r="AI52" s="121">
        <v>0</v>
      </c>
      <c r="AL52" s="14">
        <f t="shared" si="0"/>
        <v>0</v>
      </c>
      <c r="AM52">
        <f t="shared" si="1"/>
        <v>0</v>
      </c>
      <c r="AN52">
        <f t="shared" si="2"/>
        <v>0</v>
      </c>
      <c r="AP52">
        <f>VLOOKUP($B52,Kraftvärmeprod!$B$1:$BX$549,MATCH(AP$1,Kraftvärmeprod!$B$1:$BX$1,0),FALSE)</f>
        <v>0</v>
      </c>
      <c r="AQ52">
        <f>VLOOKUP($B52,Kraftvärmeprod!$B$1:$BX$549,MATCH(AQ$1,Kraftvärmeprod!$B$1:$BX$1,0),FALSE)</f>
        <v>0</v>
      </c>
      <c r="AR52">
        <f>VLOOKUP($B52,Kraftvärmeprod!$B$1:$BX$549,MATCH("Summa tillförd energi exklusive rökgaskondensering",Kraftvärmeprod!$B$1:$BX$1,0),FALSE)</f>
        <v>0</v>
      </c>
      <c r="AT52" s="17" t="str">
        <f t="shared" si="3"/>
        <v/>
      </c>
      <c r="AV52">
        <f t="shared" si="4"/>
        <v>0</v>
      </c>
      <c r="BA52" s="17" t="str">
        <f t="shared" si="5"/>
        <v/>
      </c>
    </row>
    <row r="53" spans="1:53" x14ac:dyDescent="0.25">
      <c r="A53" s="137" t="s">
        <v>258</v>
      </c>
      <c r="B53" s="137" t="s">
        <v>261</v>
      </c>
      <c r="C53" s="121"/>
      <c r="D53" s="121"/>
      <c r="E53" s="121"/>
      <c r="F53" s="121"/>
      <c r="G53" s="121"/>
      <c r="H53" s="121"/>
      <c r="I53" s="121"/>
      <c r="J53" s="121">
        <v>0</v>
      </c>
      <c r="K53" s="121">
        <v>0</v>
      </c>
      <c r="L53" s="121">
        <v>0</v>
      </c>
      <c r="M53" s="121">
        <v>0</v>
      </c>
      <c r="N53" s="121">
        <v>0</v>
      </c>
      <c r="O53" s="121">
        <v>0</v>
      </c>
      <c r="P53" s="121">
        <v>0</v>
      </c>
      <c r="Q53" s="121">
        <v>0</v>
      </c>
      <c r="R53" s="121">
        <v>0</v>
      </c>
      <c r="S53" s="121">
        <v>0</v>
      </c>
      <c r="T53" s="121">
        <v>0</v>
      </c>
      <c r="U53" s="121">
        <v>0</v>
      </c>
      <c r="V53" s="121" t="s">
        <v>1119</v>
      </c>
      <c r="W53" s="121">
        <v>0</v>
      </c>
      <c r="X53" s="121">
        <v>0</v>
      </c>
      <c r="Y53" s="121">
        <v>0</v>
      </c>
      <c r="Z53" s="121">
        <v>0</v>
      </c>
      <c r="AA53" s="121">
        <v>0</v>
      </c>
      <c r="AB53" s="121">
        <v>0</v>
      </c>
      <c r="AC53" s="121">
        <v>0</v>
      </c>
      <c r="AD53" s="121">
        <v>0</v>
      </c>
      <c r="AE53" s="121">
        <v>0</v>
      </c>
      <c r="AF53" s="121">
        <v>0</v>
      </c>
      <c r="AG53" s="121">
        <v>0</v>
      </c>
      <c r="AH53" s="121">
        <v>0</v>
      </c>
      <c r="AI53" s="121">
        <v>0</v>
      </c>
      <c r="AL53" s="14">
        <f t="shared" si="0"/>
        <v>0</v>
      </c>
      <c r="AM53">
        <f t="shared" si="1"/>
        <v>0</v>
      </c>
      <c r="AN53">
        <f t="shared" si="2"/>
        <v>0</v>
      </c>
      <c r="AP53">
        <f>VLOOKUP($B53,Kraftvärmeprod!$B$1:$BX$549,MATCH(AP$1,Kraftvärmeprod!$B$1:$BX$1,0),FALSE)</f>
        <v>0</v>
      </c>
      <c r="AQ53">
        <f>VLOOKUP($B53,Kraftvärmeprod!$B$1:$BX$549,MATCH(AQ$1,Kraftvärmeprod!$B$1:$BX$1,0),FALSE)</f>
        <v>0</v>
      </c>
      <c r="AR53">
        <f>VLOOKUP($B53,Kraftvärmeprod!$B$1:$BX$549,MATCH("Summa tillförd energi exklusive rökgaskondensering",Kraftvärmeprod!$B$1:$BX$1,0),FALSE)</f>
        <v>0</v>
      </c>
      <c r="AT53" s="17" t="str">
        <f t="shared" si="3"/>
        <v/>
      </c>
      <c r="AV53">
        <f t="shared" si="4"/>
        <v>0</v>
      </c>
      <c r="BA53" s="17" t="str">
        <f t="shared" si="5"/>
        <v/>
      </c>
    </row>
    <row r="54" spans="1:53" x14ac:dyDescent="0.25">
      <c r="A54" s="137" t="s">
        <v>258</v>
      </c>
      <c r="B54" s="137" t="s">
        <v>262</v>
      </c>
      <c r="C54" s="121"/>
      <c r="D54" s="121"/>
      <c r="E54" s="121"/>
      <c r="F54" s="121"/>
      <c r="G54" s="121"/>
      <c r="H54" s="121"/>
      <c r="I54" s="121"/>
      <c r="J54" s="121">
        <v>0</v>
      </c>
      <c r="K54" s="121">
        <v>0</v>
      </c>
      <c r="L54" s="121">
        <v>0</v>
      </c>
      <c r="M54" s="121">
        <v>0</v>
      </c>
      <c r="N54" s="121">
        <v>0</v>
      </c>
      <c r="O54" s="121">
        <v>0</v>
      </c>
      <c r="P54" s="121">
        <v>0</v>
      </c>
      <c r="Q54" s="121">
        <v>0</v>
      </c>
      <c r="R54" s="121">
        <v>0</v>
      </c>
      <c r="S54" s="121">
        <v>0</v>
      </c>
      <c r="T54" s="121">
        <v>0</v>
      </c>
      <c r="U54" s="121">
        <v>0</v>
      </c>
      <c r="V54" s="121" t="s">
        <v>1119</v>
      </c>
      <c r="W54" s="121">
        <v>0</v>
      </c>
      <c r="X54" s="121">
        <v>0</v>
      </c>
      <c r="Y54" s="121">
        <v>0</v>
      </c>
      <c r="Z54" s="121">
        <v>0</v>
      </c>
      <c r="AA54" s="121">
        <v>0</v>
      </c>
      <c r="AB54" s="121">
        <v>0</v>
      </c>
      <c r="AC54" s="121">
        <v>0</v>
      </c>
      <c r="AD54" s="121">
        <v>0</v>
      </c>
      <c r="AE54" s="121">
        <v>0</v>
      </c>
      <c r="AF54" s="121">
        <v>0</v>
      </c>
      <c r="AG54" s="121">
        <v>0</v>
      </c>
      <c r="AH54" s="121">
        <v>0</v>
      </c>
      <c r="AI54" s="121">
        <v>0</v>
      </c>
      <c r="AL54" s="14">
        <f t="shared" si="0"/>
        <v>0</v>
      </c>
      <c r="AM54">
        <f t="shared" si="1"/>
        <v>0</v>
      </c>
      <c r="AN54">
        <f t="shared" si="2"/>
        <v>0</v>
      </c>
      <c r="AP54">
        <f>VLOOKUP($B54,Kraftvärmeprod!$B$1:$BX$549,MATCH(AP$1,Kraftvärmeprod!$B$1:$BX$1,0),FALSE)</f>
        <v>0</v>
      </c>
      <c r="AQ54">
        <f>VLOOKUP($B54,Kraftvärmeprod!$B$1:$BX$549,MATCH(AQ$1,Kraftvärmeprod!$B$1:$BX$1,0),FALSE)</f>
        <v>0</v>
      </c>
      <c r="AR54">
        <f>VLOOKUP($B54,Kraftvärmeprod!$B$1:$BX$549,MATCH("Summa tillförd energi exklusive rökgaskondensering",Kraftvärmeprod!$B$1:$BX$1,0),FALSE)</f>
        <v>0</v>
      </c>
      <c r="AT54" s="17" t="str">
        <f t="shared" si="3"/>
        <v/>
      </c>
      <c r="AV54">
        <f t="shared" si="4"/>
        <v>0</v>
      </c>
      <c r="BA54" s="17" t="str">
        <f t="shared" si="5"/>
        <v/>
      </c>
    </row>
    <row r="55" spans="1:53" x14ac:dyDescent="0.25">
      <c r="A55" s="137" t="s">
        <v>263</v>
      </c>
      <c r="B55" s="137" t="s">
        <v>264</v>
      </c>
      <c r="C55" s="121"/>
      <c r="D55" s="121"/>
      <c r="E55" s="121"/>
      <c r="F55" s="121"/>
      <c r="G55" s="121"/>
      <c r="H55" s="121"/>
      <c r="I55" s="121"/>
      <c r="J55" s="121">
        <v>0</v>
      </c>
      <c r="K55" s="121">
        <v>0</v>
      </c>
      <c r="L55" s="121">
        <v>0</v>
      </c>
      <c r="M55" s="121">
        <v>0</v>
      </c>
      <c r="N55" s="121">
        <v>0</v>
      </c>
      <c r="O55" s="121">
        <v>0</v>
      </c>
      <c r="P55" s="121">
        <v>0</v>
      </c>
      <c r="Q55" s="121">
        <v>0</v>
      </c>
      <c r="R55" s="121">
        <v>0</v>
      </c>
      <c r="S55" s="121">
        <v>0</v>
      </c>
      <c r="T55" s="121">
        <v>0</v>
      </c>
      <c r="U55" s="121">
        <v>0</v>
      </c>
      <c r="V55" s="121" t="s">
        <v>1119</v>
      </c>
      <c r="W55" s="121">
        <v>0</v>
      </c>
      <c r="X55" s="121">
        <v>0</v>
      </c>
      <c r="Y55" s="121">
        <v>0</v>
      </c>
      <c r="Z55" s="121">
        <v>0</v>
      </c>
      <c r="AA55" s="121">
        <v>0</v>
      </c>
      <c r="AB55" s="121">
        <v>0</v>
      </c>
      <c r="AC55" s="121">
        <v>0</v>
      </c>
      <c r="AD55" s="121">
        <v>0</v>
      </c>
      <c r="AE55" s="121">
        <v>0</v>
      </c>
      <c r="AF55" s="121">
        <v>0</v>
      </c>
      <c r="AG55" s="121">
        <v>0</v>
      </c>
      <c r="AH55" s="121">
        <v>0</v>
      </c>
      <c r="AI55" s="121">
        <v>0</v>
      </c>
      <c r="AL55" s="14">
        <f t="shared" si="0"/>
        <v>0</v>
      </c>
      <c r="AM55">
        <f t="shared" si="1"/>
        <v>0</v>
      </c>
      <c r="AN55">
        <f t="shared" si="2"/>
        <v>0</v>
      </c>
      <c r="AP55">
        <f>VLOOKUP($B55,Kraftvärmeprod!$B$1:$BX$549,MATCH(AP$1,Kraftvärmeprod!$B$1:$BX$1,0),FALSE)</f>
        <v>0</v>
      </c>
      <c r="AQ55">
        <f>VLOOKUP($B55,Kraftvärmeprod!$B$1:$BX$549,MATCH(AQ$1,Kraftvärmeprod!$B$1:$BX$1,0),FALSE)</f>
        <v>0</v>
      </c>
      <c r="AR55">
        <f>VLOOKUP($B55,Kraftvärmeprod!$B$1:$BX$549,MATCH("Summa tillförd energi exklusive rökgaskondensering",Kraftvärmeprod!$B$1:$BX$1,0),FALSE)</f>
        <v>0</v>
      </c>
      <c r="AT55" s="17" t="str">
        <f t="shared" si="3"/>
        <v/>
      </c>
      <c r="AV55">
        <f t="shared" si="4"/>
        <v>0</v>
      </c>
      <c r="BA55" s="17" t="str">
        <f t="shared" si="5"/>
        <v/>
      </c>
    </row>
    <row r="56" spans="1:53" x14ac:dyDescent="0.25">
      <c r="A56" s="137" t="s">
        <v>263</v>
      </c>
      <c r="B56" s="137" t="s">
        <v>265</v>
      </c>
      <c r="C56" s="121"/>
      <c r="D56" s="121"/>
      <c r="E56" s="121"/>
      <c r="F56" s="121"/>
      <c r="G56" s="121"/>
      <c r="H56" s="121"/>
      <c r="I56" s="121"/>
      <c r="J56" s="121">
        <v>0</v>
      </c>
      <c r="K56" s="121">
        <v>0</v>
      </c>
      <c r="L56" s="121">
        <v>0</v>
      </c>
      <c r="M56" s="121">
        <v>0</v>
      </c>
      <c r="N56" s="121">
        <v>0</v>
      </c>
      <c r="O56" s="121">
        <v>0</v>
      </c>
      <c r="P56" s="121">
        <v>0</v>
      </c>
      <c r="Q56" s="121">
        <v>0</v>
      </c>
      <c r="R56" s="121">
        <v>0</v>
      </c>
      <c r="S56" s="121">
        <v>0</v>
      </c>
      <c r="T56" s="121">
        <v>0</v>
      </c>
      <c r="U56" s="121">
        <v>0</v>
      </c>
      <c r="V56" s="121" t="s">
        <v>1119</v>
      </c>
      <c r="W56" s="121">
        <v>0</v>
      </c>
      <c r="X56" s="121">
        <v>0</v>
      </c>
      <c r="Y56" s="121">
        <v>0</v>
      </c>
      <c r="Z56" s="121">
        <v>0</v>
      </c>
      <c r="AA56" s="121">
        <v>0</v>
      </c>
      <c r="AB56" s="121">
        <v>0</v>
      </c>
      <c r="AC56" s="121">
        <v>0</v>
      </c>
      <c r="AD56" s="121">
        <v>0</v>
      </c>
      <c r="AE56" s="121">
        <v>0</v>
      </c>
      <c r="AF56" s="121">
        <v>0</v>
      </c>
      <c r="AG56" s="121">
        <v>0</v>
      </c>
      <c r="AH56" s="121">
        <v>0</v>
      </c>
      <c r="AI56" s="121">
        <v>0</v>
      </c>
      <c r="AL56" s="14">
        <f t="shared" si="0"/>
        <v>0</v>
      </c>
      <c r="AM56">
        <f t="shared" si="1"/>
        <v>0</v>
      </c>
      <c r="AN56">
        <f t="shared" si="2"/>
        <v>0</v>
      </c>
      <c r="AP56">
        <f>VLOOKUP($B56,Kraftvärmeprod!$B$1:$BX$549,MATCH(AP$1,Kraftvärmeprod!$B$1:$BX$1,0),FALSE)</f>
        <v>0</v>
      </c>
      <c r="AQ56">
        <f>VLOOKUP($B56,Kraftvärmeprod!$B$1:$BX$549,MATCH(AQ$1,Kraftvärmeprod!$B$1:$BX$1,0),FALSE)</f>
        <v>0</v>
      </c>
      <c r="AR56">
        <f>VLOOKUP($B56,Kraftvärmeprod!$B$1:$BX$549,MATCH("Summa tillförd energi exklusive rökgaskondensering",Kraftvärmeprod!$B$1:$BX$1,0),FALSE)</f>
        <v>0</v>
      </c>
      <c r="AT56" s="17" t="str">
        <f t="shared" si="3"/>
        <v/>
      </c>
      <c r="AV56">
        <f t="shared" si="4"/>
        <v>0</v>
      </c>
      <c r="BA56" s="17" t="str">
        <f t="shared" si="5"/>
        <v/>
      </c>
    </row>
    <row r="57" spans="1:53" x14ac:dyDescent="0.25">
      <c r="A57" s="137" t="s">
        <v>263</v>
      </c>
      <c r="B57" s="137" t="s">
        <v>266</v>
      </c>
      <c r="C57" s="121"/>
      <c r="D57" s="121"/>
      <c r="E57" s="121"/>
      <c r="F57" s="121"/>
      <c r="G57" s="121"/>
      <c r="H57" s="121"/>
      <c r="I57" s="121"/>
      <c r="J57" s="121">
        <v>0</v>
      </c>
      <c r="K57" s="121">
        <v>0</v>
      </c>
      <c r="L57" s="121">
        <v>0</v>
      </c>
      <c r="M57" s="121">
        <v>0</v>
      </c>
      <c r="N57" s="121">
        <v>0</v>
      </c>
      <c r="O57" s="121">
        <v>0</v>
      </c>
      <c r="P57" s="121">
        <v>0</v>
      </c>
      <c r="Q57" s="121">
        <v>0</v>
      </c>
      <c r="R57" s="121">
        <v>0</v>
      </c>
      <c r="S57" s="121">
        <v>0</v>
      </c>
      <c r="T57" s="121">
        <v>0</v>
      </c>
      <c r="U57" s="121">
        <v>0</v>
      </c>
      <c r="V57" s="121" t="s">
        <v>1119</v>
      </c>
      <c r="W57" s="121">
        <v>0</v>
      </c>
      <c r="X57" s="121">
        <v>0</v>
      </c>
      <c r="Y57" s="121">
        <v>0</v>
      </c>
      <c r="Z57" s="121">
        <v>0</v>
      </c>
      <c r="AA57" s="121">
        <v>0</v>
      </c>
      <c r="AB57" s="121">
        <v>0</v>
      </c>
      <c r="AC57" s="121">
        <v>0</v>
      </c>
      <c r="AD57" s="121">
        <v>0</v>
      </c>
      <c r="AE57" s="121">
        <v>0</v>
      </c>
      <c r="AF57" s="121">
        <v>0</v>
      </c>
      <c r="AG57" s="121">
        <v>0</v>
      </c>
      <c r="AH57" s="121">
        <v>0</v>
      </c>
      <c r="AI57" s="121">
        <v>0</v>
      </c>
      <c r="AL57" s="14">
        <f t="shared" si="0"/>
        <v>0</v>
      </c>
      <c r="AM57">
        <f t="shared" si="1"/>
        <v>0</v>
      </c>
      <c r="AN57">
        <f t="shared" si="2"/>
        <v>0</v>
      </c>
      <c r="AP57">
        <f>VLOOKUP($B57,Kraftvärmeprod!$B$1:$BX$549,MATCH(AP$1,Kraftvärmeprod!$B$1:$BX$1,0),FALSE)</f>
        <v>0</v>
      </c>
      <c r="AQ57">
        <f>VLOOKUP($B57,Kraftvärmeprod!$B$1:$BX$549,MATCH(AQ$1,Kraftvärmeprod!$B$1:$BX$1,0),FALSE)</f>
        <v>0</v>
      </c>
      <c r="AR57">
        <f>VLOOKUP($B57,Kraftvärmeprod!$B$1:$BX$549,MATCH("Summa tillförd energi exklusive rökgaskondensering",Kraftvärmeprod!$B$1:$BX$1,0),FALSE)</f>
        <v>0</v>
      </c>
      <c r="AT57" s="17" t="str">
        <f t="shared" si="3"/>
        <v/>
      </c>
      <c r="AV57">
        <f t="shared" si="4"/>
        <v>0</v>
      </c>
      <c r="BA57" s="17" t="str">
        <f t="shared" si="5"/>
        <v/>
      </c>
    </row>
    <row r="58" spans="1:53" x14ac:dyDescent="0.25">
      <c r="A58" s="137" t="s">
        <v>263</v>
      </c>
      <c r="B58" s="137" t="s">
        <v>267</v>
      </c>
      <c r="C58" s="121"/>
      <c r="D58" s="121"/>
      <c r="E58" s="121"/>
      <c r="F58" s="121"/>
      <c r="G58" s="121"/>
      <c r="H58" s="121"/>
      <c r="I58" s="121"/>
      <c r="J58" s="121">
        <v>5.0120100000000001</v>
      </c>
      <c r="K58" s="121">
        <v>0.58691199999999999</v>
      </c>
      <c r="L58" s="121">
        <v>0</v>
      </c>
      <c r="M58" s="121">
        <v>12.912100000000001</v>
      </c>
      <c r="N58" s="121">
        <v>0</v>
      </c>
      <c r="O58" s="121">
        <v>0</v>
      </c>
      <c r="P58" s="121">
        <v>108.55800000000001</v>
      </c>
      <c r="Q58" s="121">
        <v>49.821399999999997</v>
      </c>
      <c r="R58" s="121">
        <v>122.194</v>
      </c>
      <c r="S58" s="121">
        <v>109.083</v>
      </c>
      <c r="T58" s="121">
        <v>12.7751</v>
      </c>
      <c r="U58" s="121">
        <v>71.847700000000003</v>
      </c>
      <c r="V58" s="121" t="s">
        <v>1119</v>
      </c>
      <c r="W58" s="121">
        <v>0</v>
      </c>
      <c r="X58" s="121">
        <v>0</v>
      </c>
      <c r="Y58" s="121">
        <v>0</v>
      </c>
      <c r="Z58" s="121">
        <v>0</v>
      </c>
      <c r="AA58" s="121">
        <v>0</v>
      </c>
      <c r="AB58" s="121">
        <v>0</v>
      </c>
      <c r="AC58" s="121">
        <v>0</v>
      </c>
      <c r="AD58" s="121">
        <v>88.270200000000003</v>
      </c>
      <c r="AE58" s="121">
        <v>0</v>
      </c>
      <c r="AF58" s="121">
        <v>0</v>
      </c>
      <c r="AG58" s="121">
        <v>0</v>
      </c>
      <c r="AH58" s="121">
        <v>173</v>
      </c>
      <c r="AI58" s="121">
        <v>37.215499999999999</v>
      </c>
      <c r="AL58" s="14">
        <f t="shared" si="0"/>
        <v>791.27592200000004</v>
      </c>
      <c r="AM58">
        <f t="shared" si="1"/>
        <v>754.06042200000002</v>
      </c>
      <c r="AN58">
        <f t="shared" si="2"/>
        <v>581.06042200000002</v>
      </c>
      <c r="AP58">
        <f>VLOOKUP($B58,Kraftvärmeprod!$B$1:$BX$549,MATCH(AP$1,Kraftvärmeprod!$B$1:$BX$1,0),FALSE)</f>
        <v>638</v>
      </c>
      <c r="AQ58">
        <f>VLOOKUP($B58,Kraftvärmeprod!$B$1:$BX$549,MATCH(AQ$1,Kraftvärmeprod!$B$1:$BX$1,0),FALSE)</f>
        <v>222</v>
      </c>
      <c r="AR58">
        <f>VLOOKUP($B58,Kraftvärmeprod!$B$1:$BX$549,MATCH("Summa tillförd energi exklusive rökgaskondensering",Kraftvärmeprod!$B$1:$BX$1,0),FALSE)</f>
        <v>1094.5</v>
      </c>
      <c r="AT58" s="17">
        <f t="shared" si="3"/>
        <v>0.53089120328917316</v>
      </c>
      <c r="AV58">
        <f t="shared" si="4"/>
        <v>474.27919999999995</v>
      </c>
      <c r="BA58" s="17">
        <f t="shared" si="5"/>
        <v>1.0319017404659663</v>
      </c>
    </row>
    <row r="59" spans="1:53" x14ac:dyDescent="0.25">
      <c r="A59" s="137" t="s">
        <v>263</v>
      </c>
      <c r="B59" s="137" t="s">
        <v>269</v>
      </c>
      <c r="C59" s="121"/>
      <c r="D59" s="121"/>
      <c r="E59" s="121"/>
      <c r="F59" s="121"/>
      <c r="G59" s="121"/>
      <c r="H59" s="121"/>
      <c r="I59" s="121"/>
      <c r="J59" s="121">
        <v>0</v>
      </c>
      <c r="K59" s="121">
        <v>0</v>
      </c>
      <c r="L59" s="121">
        <v>0</v>
      </c>
      <c r="M59" s="121">
        <v>0</v>
      </c>
      <c r="N59" s="121">
        <v>0</v>
      </c>
      <c r="O59" s="121">
        <v>0</v>
      </c>
      <c r="P59" s="121">
        <v>0</v>
      </c>
      <c r="Q59" s="121">
        <v>0</v>
      </c>
      <c r="R59" s="121">
        <v>0</v>
      </c>
      <c r="S59" s="121">
        <v>0</v>
      </c>
      <c r="T59" s="121">
        <v>0</v>
      </c>
      <c r="U59" s="121">
        <v>0</v>
      </c>
      <c r="V59" s="121" t="s">
        <v>1119</v>
      </c>
      <c r="W59" s="121">
        <v>0</v>
      </c>
      <c r="X59" s="121">
        <v>0</v>
      </c>
      <c r="Y59" s="121">
        <v>0</v>
      </c>
      <c r="Z59" s="121">
        <v>0</v>
      </c>
      <c r="AA59" s="121">
        <v>0</v>
      </c>
      <c r="AB59" s="121">
        <v>0</v>
      </c>
      <c r="AC59" s="121">
        <v>0</v>
      </c>
      <c r="AD59" s="121">
        <v>0</v>
      </c>
      <c r="AE59" s="121">
        <v>0</v>
      </c>
      <c r="AF59" s="121">
        <v>0</v>
      </c>
      <c r="AG59" s="121">
        <v>0</v>
      </c>
      <c r="AH59" s="121">
        <v>0</v>
      </c>
      <c r="AI59" s="121">
        <v>0</v>
      </c>
      <c r="AL59" s="14">
        <f t="shared" si="0"/>
        <v>0</v>
      </c>
      <c r="AM59">
        <f t="shared" si="1"/>
        <v>0</v>
      </c>
      <c r="AN59">
        <f t="shared" si="2"/>
        <v>0</v>
      </c>
      <c r="AP59">
        <f>VLOOKUP($B59,Kraftvärmeprod!$B$1:$BX$549,MATCH(AP$1,Kraftvärmeprod!$B$1:$BX$1,0),FALSE)</f>
        <v>0</v>
      </c>
      <c r="AQ59">
        <f>VLOOKUP($B59,Kraftvärmeprod!$B$1:$BX$549,MATCH(AQ$1,Kraftvärmeprod!$B$1:$BX$1,0),FALSE)</f>
        <v>0</v>
      </c>
      <c r="AR59">
        <f>VLOOKUP($B59,Kraftvärmeprod!$B$1:$BX$549,MATCH("Summa tillförd energi exklusive rökgaskondensering",Kraftvärmeprod!$B$1:$BX$1,0),FALSE)</f>
        <v>0</v>
      </c>
      <c r="AT59" s="17" t="str">
        <f t="shared" si="3"/>
        <v/>
      </c>
      <c r="AV59">
        <f t="shared" si="4"/>
        <v>0</v>
      </c>
      <c r="BA59" s="17" t="str">
        <f t="shared" si="5"/>
        <v/>
      </c>
    </row>
    <row r="60" spans="1:53" x14ac:dyDescent="0.25">
      <c r="A60" s="137" t="s">
        <v>263</v>
      </c>
      <c r="B60" s="137" t="s">
        <v>270</v>
      </c>
      <c r="C60" s="121"/>
      <c r="D60" s="121"/>
      <c r="E60" s="121"/>
      <c r="F60" s="121"/>
      <c r="G60" s="121"/>
      <c r="H60" s="121"/>
      <c r="I60" s="121"/>
      <c r="J60" s="121">
        <v>0</v>
      </c>
      <c r="K60" s="121">
        <v>0</v>
      </c>
      <c r="L60" s="121">
        <v>0</v>
      </c>
      <c r="M60" s="121">
        <v>0</v>
      </c>
      <c r="N60" s="121">
        <v>0</v>
      </c>
      <c r="O60" s="121">
        <v>0</v>
      </c>
      <c r="P60" s="121">
        <v>0</v>
      </c>
      <c r="Q60" s="121">
        <v>0</v>
      </c>
      <c r="R60" s="121">
        <v>0</v>
      </c>
      <c r="S60" s="121">
        <v>0</v>
      </c>
      <c r="T60" s="121">
        <v>0</v>
      </c>
      <c r="U60" s="121">
        <v>0</v>
      </c>
      <c r="V60" s="121" t="s">
        <v>1119</v>
      </c>
      <c r="W60" s="121">
        <v>0</v>
      </c>
      <c r="X60" s="121">
        <v>0</v>
      </c>
      <c r="Y60" s="121">
        <v>0</v>
      </c>
      <c r="Z60" s="121">
        <v>0</v>
      </c>
      <c r="AA60" s="121">
        <v>0</v>
      </c>
      <c r="AB60" s="121">
        <v>0</v>
      </c>
      <c r="AC60" s="121">
        <v>0</v>
      </c>
      <c r="AD60" s="121">
        <v>0</v>
      </c>
      <c r="AE60" s="121">
        <v>0</v>
      </c>
      <c r="AF60" s="121">
        <v>0</v>
      </c>
      <c r="AG60" s="121">
        <v>0</v>
      </c>
      <c r="AH60" s="121">
        <v>0</v>
      </c>
      <c r="AI60" s="121">
        <v>0</v>
      </c>
      <c r="AL60" s="14">
        <f t="shared" si="0"/>
        <v>0</v>
      </c>
      <c r="AM60">
        <f t="shared" si="1"/>
        <v>0</v>
      </c>
      <c r="AN60">
        <f t="shared" si="2"/>
        <v>0</v>
      </c>
      <c r="AP60">
        <f>VLOOKUP($B60,Kraftvärmeprod!$B$1:$BX$549,MATCH(AP$1,Kraftvärmeprod!$B$1:$BX$1,0),FALSE)</f>
        <v>0</v>
      </c>
      <c r="AQ60">
        <f>VLOOKUP($B60,Kraftvärmeprod!$B$1:$BX$549,MATCH(AQ$1,Kraftvärmeprod!$B$1:$BX$1,0),FALSE)</f>
        <v>0</v>
      </c>
      <c r="AR60">
        <f>VLOOKUP($B60,Kraftvärmeprod!$B$1:$BX$549,MATCH("Summa tillförd energi exklusive rökgaskondensering",Kraftvärmeprod!$B$1:$BX$1,0),FALSE)</f>
        <v>0</v>
      </c>
      <c r="AT60" s="17" t="str">
        <f t="shared" si="3"/>
        <v/>
      </c>
      <c r="AV60">
        <f t="shared" si="4"/>
        <v>0</v>
      </c>
      <c r="BA60" s="17" t="str">
        <f t="shared" si="5"/>
        <v/>
      </c>
    </row>
    <row r="61" spans="1:53" x14ac:dyDescent="0.25">
      <c r="A61" s="137" t="s">
        <v>263</v>
      </c>
      <c r="B61" s="137" t="s">
        <v>272</v>
      </c>
      <c r="C61" s="121"/>
      <c r="D61" s="121"/>
      <c r="E61" s="121"/>
      <c r="F61" s="121"/>
      <c r="G61" s="121"/>
      <c r="H61" s="121"/>
      <c r="I61" s="121"/>
      <c r="J61" s="121">
        <v>0</v>
      </c>
      <c r="K61" s="121">
        <v>0.20644599999999999</v>
      </c>
      <c r="L61" s="121">
        <v>0</v>
      </c>
      <c r="M61" s="121">
        <v>0.27526099999999998</v>
      </c>
      <c r="N61" s="121">
        <v>496.21800000000002</v>
      </c>
      <c r="O61" s="121">
        <v>0</v>
      </c>
      <c r="P61" s="121">
        <v>0</v>
      </c>
      <c r="Q61" s="121">
        <v>0</v>
      </c>
      <c r="R61" s="121">
        <v>0</v>
      </c>
      <c r="S61" s="121">
        <v>0</v>
      </c>
      <c r="T61" s="121">
        <v>0</v>
      </c>
      <c r="U61" s="121">
        <v>0</v>
      </c>
      <c r="V61" s="121" t="s">
        <v>1119</v>
      </c>
      <c r="W61" s="121">
        <v>0</v>
      </c>
      <c r="X61" s="121">
        <v>0</v>
      </c>
      <c r="Y61" s="121">
        <v>0</v>
      </c>
      <c r="Z61" s="121">
        <v>0</v>
      </c>
      <c r="AA61" s="121">
        <v>0</v>
      </c>
      <c r="AB61" s="121">
        <v>0</v>
      </c>
      <c r="AC61" s="121">
        <v>0</v>
      </c>
      <c r="AD61" s="121">
        <v>0</v>
      </c>
      <c r="AE61" s="121">
        <v>1019.27</v>
      </c>
      <c r="AF61" s="121">
        <v>0</v>
      </c>
      <c r="AG61" s="121">
        <v>0</v>
      </c>
      <c r="AH61" s="121">
        <v>38</v>
      </c>
      <c r="AI61" s="121">
        <v>14.9375</v>
      </c>
      <c r="AL61" s="14">
        <f t="shared" si="0"/>
        <v>1568.907207</v>
      </c>
      <c r="AM61">
        <f t="shared" si="1"/>
        <v>1553.969707</v>
      </c>
      <c r="AN61">
        <f t="shared" si="2"/>
        <v>1515.969707</v>
      </c>
      <c r="AP61">
        <f>VLOOKUP($B61,Kraftvärmeprod!$B$1:$BX$549,MATCH(AP$1,Kraftvärmeprod!$B$1:$BX$1,0),FALSE)</f>
        <v>1897</v>
      </c>
      <c r="AQ61">
        <f>VLOOKUP($B61,Kraftvärmeprod!$B$1:$BX$549,MATCH(AQ$1,Kraftvärmeprod!$B$1:$BX$1,0),FALSE)</f>
        <v>425</v>
      </c>
      <c r="AR61">
        <f>VLOOKUP($B61,Kraftvärmeprod!$B$1:$BX$549,MATCH("Summa tillförd energi exklusive rökgaskondensering",Kraftvärmeprod!$B$1:$BX$1,0),FALSE)</f>
        <v>2435.6999999999998</v>
      </c>
      <c r="AT61" s="17">
        <f t="shared" si="3"/>
        <v>0.62239590548918178</v>
      </c>
      <c r="AV61">
        <f t="shared" si="4"/>
        <v>0</v>
      </c>
      <c r="BA61" s="17">
        <f t="shared" si="5"/>
        <v>1.2391345414836761</v>
      </c>
    </row>
    <row r="62" spans="1:53" x14ac:dyDescent="0.25">
      <c r="A62" s="137" t="s">
        <v>263</v>
      </c>
      <c r="B62" s="137" t="s">
        <v>273</v>
      </c>
      <c r="C62" s="121"/>
      <c r="D62" s="121"/>
      <c r="E62" s="121"/>
      <c r="F62" s="121"/>
      <c r="G62" s="121"/>
      <c r="H62" s="121"/>
      <c r="I62" s="121"/>
      <c r="J62" s="121">
        <v>62.707999999999998</v>
      </c>
      <c r="K62" s="121">
        <v>0.92719300000000004</v>
      </c>
      <c r="L62" s="121">
        <v>0</v>
      </c>
      <c r="M62" s="121">
        <v>0</v>
      </c>
      <c r="N62" s="121">
        <v>0</v>
      </c>
      <c r="O62" s="121">
        <v>0</v>
      </c>
      <c r="P62" s="121">
        <v>38.451500000000003</v>
      </c>
      <c r="Q62" s="121">
        <v>0</v>
      </c>
      <c r="R62" s="121">
        <v>0</v>
      </c>
      <c r="S62" s="121">
        <v>0</v>
      </c>
      <c r="T62" s="121">
        <v>0</v>
      </c>
      <c r="U62" s="121">
        <v>0</v>
      </c>
      <c r="V62" s="121" t="s">
        <v>1119</v>
      </c>
      <c r="W62" s="121">
        <v>0</v>
      </c>
      <c r="X62" s="121">
        <v>0</v>
      </c>
      <c r="Y62" s="121">
        <v>0</v>
      </c>
      <c r="Z62" s="121">
        <v>50.700200000000002</v>
      </c>
      <c r="AA62" s="121">
        <v>0</v>
      </c>
      <c r="AB62" s="121">
        <v>0</v>
      </c>
      <c r="AC62" s="121">
        <v>0</v>
      </c>
      <c r="AD62" s="121">
        <v>0</v>
      </c>
      <c r="AE62" s="121">
        <v>569.55899999999997</v>
      </c>
      <c r="AF62" s="121">
        <v>0</v>
      </c>
      <c r="AG62" s="121">
        <v>0</v>
      </c>
      <c r="AH62" s="121">
        <v>71.2</v>
      </c>
      <c r="AI62" s="121">
        <v>37.3842</v>
      </c>
      <c r="AL62" s="14">
        <f t="shared" si="0"/>
        <v>830.93009299999994</v>
      </c>
      <c r="AM62">
        <f t="shared" si="1"/>
        <v>793.54589299999998</v>
      </c>
      <c r="AN62">
        <f t="shared" si="2"/>
        <v>722.34589299999993</v>
      </c>
      <c r="AP62">
        <f>VLOOKUP($B62,Kraftvärmeprod!$B$1:$BX$549,MATCH(AP$1,Kraftvärmeprod!$B$1:$BX$1,0),FALSE)</f>
        <v>973.4</v>
      </c>
      <c r="AQ62">
        <f>VLOOKUP($B62,Kraftvärmeprod!$B$1:$BX$549,MATCH(AQ$1,Kraftvärmeprod!$B$1:$BX$1,0),FALSE)</f>
        <v>349.2</v>
      </c>
      <c r="AR62">
        <f>VLOOKUP($B62,Kraftvärmeprod!$B$1:$BX$549,MATCH("Summa tillförd energi exklusive rökgaskondensering",Kraftvärmeprod!$B$1:$BX$1,0),FALSE)</f>
        <v>1505.2</v>
      </c>
      <c r="AT62" s="17">
        <f t="shared" si="3"/>
        <v>0.47990027438214183</v>
      </c>
      <c r="AV62">
        <f t="shared" si="4"/>
        <v>89.151700000000005</v>
      </c>
      <c r="BA62" s="17">
        <f t="shared" si="5"/>
        <v>1.2812444958659814</v>
      </c>
    </row>
    <row r="63" spans="1:53" x14ac:dyDescent="0.25">
      <c r="A63" s="137" t="s">
        <v>263</v>
      </c>
      <c r="B63" s="137" t="s">
        <v>274</v>
      </c>
      <c r="C63" s="121"/>
      <c r="D63" s="121"/>
      <c r="E63" s="121"/>
      <c r="F63" s="121"/>
      <c r="G63" s="121"/>
      <c r="H63" s="121"/>
      <c r="I63" s="121"/>
      <c r="J63" s="121">
        <v>0</v>
      </c>
      <c r="K63" s="121">
        <v>0</v>
      </c>
      <c r="L63" s="121">
        <v>0</v>
      </c>
      <c r="M63" s="121">
        <v>0</v>
      </c>
      <c r="N63" s="121">
        <v>0</v>
      </c>
      <c r="O63" s="121">
        <v>0</v>
      </c>
      <c r="P63" s="121">
        <v>0</v>
      </c>
      <c r="Q63" s="121">
        <v>0</v>
      </c>
      <c r="R63" s="121">
        <v>0</v>
      </c>
      <c r="S63" s="121">
        <v>0</v>
      </c>
      <c r="T63" s="121">
        <v>0</v>
      </c>
      <c r="U63" s="121">
        <v>0</v>
      </c>
      <c r="V63" s="121" t="s">
        <v>1119</v>
      </c>
      <c r="W63" s="121">
        <v>0</v>
      </c>
      <c r="X63" s="121">
        <v>0</v>
      </c>
      <c r="Y63" s="121">
        <v>0</v>
      </c>
      <c r="Z63" s="121">
        <v>0</v>
      </c>
      <c r="AA63" s="121">
        <v>0</v>
      </c>
      <c r="AB63" s="121">
        <v>0</v>
      </c>
      <c r="AC63" s="121">
        <v>0</v>
      </c>
      <c r="AD63" s="121">
        <v>0</v>
      </c>
      <c r="AE63" s="121">
        <v>0</v>
      </c>
      <c r="AF63" s="121">
        <v>0</v>
      </c>
      <c r="AG63" s="121">
        <v>0</v>
      </c>
      <c r="AH63" s="121">
        <v>0</v>
      </c>
      <c r="AI63" s="121">
        <v>0</v>
      </c>
      <c r="AL63" s="14">
        <f t="shared" si="0"/>
        <v>0</v>
      </c>
      <c r="AM63">
        <f t="shared" si="1"/>
        <v>0</v>
      </c>
      <c r="AN63">
        <f t="shared" si="2"/>
        <v>0</v>
      </c>
      <c r="AP63">
        <f>VLOOKUP($B63,Kraftvärmeprod!$B$1:$BX$549,MATCH(AP$1,Kraftvärmeprod!$B$1:$BX$1,0),FALSE)</f>
        <v>0</v>
      </c>
      <c r="AQ63">
        <f>VLOOKUP($B63,Kraftvärmeprod!$B$1:$BX$549,MATCH(AQ$1,Kraftvärmeprod!$B$1:$BX$1,0),FALSE)</f>
        <v>0</v>
      </c>
      <c r="AR63">
        <f>VLOOKUP($B63,Kraftvärmeprod!$B$1:$BX$549,MATCH("Summa tillförd energi exklusive rökgaskondensering",Kraftvärmeprod!$B$1:$BX$1,0),FALSE)</f>
        <v>0</v>
      </c>
      <c r="AT63" s="17" t="str">
        <f t="shared" si="3"/>
        <v/>
      </c>
      <c r="AV63">
        <f t="shared" si="4"/>
        <v>0</v>
      </c>
      <c r="BA63" s="17" t="str">
        <f t="shared" si="5"/>
        <v/>
      </c>
    </row>
    <row r="64" spans="1:53" x14ac:dyDescent="0.25">
      <c r="A64" s="137" t="s">
        <v>263</v>
      </c>
      <c r="B64" s="137" t="s">
        <v>275</v>
      </c>
      <c r="C64" s="121"/>
      <c r="D64" s="121"/>
      <c r="E64" s="121"/>
      <c r="F64" s="121"/>
      <c r="G64" s="121"/>
      <c r="H64" s="121"/>
      <c r="I64" s="121"/>
      <c r="J64" s="121">
        <v>0</v>
      </c>
      <c r="K64" s="121">
        <v>0</v>
      </c>
      <c r="L64" s="121">
        <v>0</v>
      </c>
      <c r="M64" s="121">
        <v>0</v>
      </c>
      <c r="N64" s="121">
        <v>0</v>
      </c>
      <c r="O64" s="121">
        <v>0</v>
      </c>
      <c r="P64" s="121">
        <v>0</v>
      </c>
      <c r="Q64" s="121">
        <v>0</v>
      </c>
      <c r="R64" s="121">
        <v>0</v>
      </c>
      <c r="S64" s="121">
        <v>0</v>
      </c>
      <c r="T64" s="121">
        <v>0</v>
      </c>
      <c r="U64" s="121">
        <v>0</v>
      </c>
      <c r="V64" s="121" t="s">
        <v>1119</v>
      </c>
      <c r="W64" s="121">
        <v>0</v>
      </c>
      <c r="X64" s="121">
        <v>0</v>
      </c>
      <c r="Y64" s="121">
        <v>0</v>
      </c>
      <c r="Z64" s="121">
        <v>0</v>
      </c>
      <c r="AA64" s="121">
        <v>0</v>
      </c>
      <c r="AB64" s="121">
        <v>0</v>
      </c>
      <c r="AC64" s="121">
        <v>0</v>
      </c>
      <c r="AD64" s="121">
        <v>0</v>
      </c>
      <c r="AE64" s="121">
        <v>0</v>
      </c>
      <c r="AF64" s="121">
        <v>0</v>
      </c>
      <c r="AG64" s="121">
        <v>0</v>
      </c>
      <c r="AH64" s="121">
        <v>0</v>
      </c>
      <c r="AI64" s="121">
        <v>0</v>
      </c>
      <c r="AL64" s="14">
        <f t="shared" si="0"/>
        <v>0</v>
      </c>
      <c r="AM64">
        <f t="shared" si="1"/>
        <v>0</v>
      </c>
      <c r="AN64">
        <f t="shared" si="2"/>
        <v>0</v>
      </c>
      <c r="AP64">
        <f>VLOOKUP($B64,Kraftvärmeprod!$B$1:$BX$549,MATCH(AP$1,Kraftvärmeprod!$B$1:$BX$1,0),FALSE)</f>
        <v>0</v>
      </c>
      <c r="AQ64">
        <f>VLOOKUP($B64,Kraftvärmeprod!$B$1:$BX$549,MATCH(AQ$1,Kraftvärmeprod!$B$1:$BX$1,0),FALSE)</f>
        <v>0</v>
      </c>
      <c r="AR64">
        <f>VLOOKUP($B64,Kraftvärmeprod!$B$1:$BX$549,MATCH("Summa tillförd energi exklusive rökgaskondensering",Kraftvärmeprod!$B$1:$BX$1,0),FALSE)</f>
        <v>0</v>
      </c>
      <c r="AT64" s="17" t="str">
        <f t="shared" si="3"/>
        <v/>
      </c>
      <c r="AV64">
        <f t="shared" si="4"/>
        <v>0</v>
      </c>
      <c r="BA64" s="17" t="str">
        <f t="shared" si="5"/>
        <v/>
      </c>
    </row>
    <row r="65" spans="1:53" x14ac:dyDescent="0.25">
      <c r="A65" s="137" t="s">
        <v>263</v>
      </c>
      <c r="B65" s="137" t="s">
        <v>276</v>
      </c>
      <c r="C65" s="121"/>
      <c r="D65" s="121"/>
      <c r="E65" s="121"/>
      <c r="F65" s="121"/>
      <c r="G65" s="121"/>
      <c r="H65" s="121"/>
      <c r="I65" s="121"/>
      <c r="J65" s="121">
        <v>0</v>
      </c>
      <c r="K65" s="121">
        <v>0</v>
      </c>
      <c r="L65" s="121">
        <v>0</v>
      </c>
      <c r="M65" s="121">
        <v>0</v>
      </c>
      <c r="N65" s="121">
        <v>0</v>
      </c>
      <c r="O65" s="121">
        <v>0</v>
      </c>
      <c r="P65" s="121">
        <v>0</v>
      </c>
      <c r="Q65" s="121">
        <v>0</v>
      </c>
      <c r="R65" s="121">
        <v>0</v>
      </c>
      <c r="S65" s="121">
        <v>0</v>
      </c>
      <c r="T65" s="121">
        <v>0</v>
      </c>
      <c r="U65" s="121">
        <v>0</v>
      </c>
      <c r="V65" s="121" t="s">
        <v>1119</v>
      </c>
      <c r="W65" s="121">
        <v>0</v>
      </c>
      <c r="X65" s="121">
        <v>0</v>
      </c>
      <c r="Y65" s="121">
        <v>0</v>
      </c>
      <c r="Z65" s="121">
        <v>0</v>
      </c>
      <c r="AA65" s="121">
        <v>0</v>
      </c>
      <c r="AB65" s="121">
        <v>0</v>
      </c>
      <c r="AC65" s="121">
        <v>0</v>
      </c>
      <c r="AD65" s="121">
        <v>0</v>
      </c>
      <c r="AE65" s="121">
        <v>0</v>
      </c>
      <c r="AF65" s="121">
        <v>0</v>
      </c>
      <c r="AG65" s="121">
        <v>0</v>
      </c>
      <c r="AH65" s="121">
        <v>0</v>
      </c>
      <c r="AI65" s="121">
        <v>0</v>
      </c>
      <c r="AL65" s="14">
        <f t="shared" si="0"/>
        <v>0</v>
      </c>
      <c r="AM65">
        <f t="shared" si="1"/>
        <v>0</v>
      </c>
      <c r="AN65">
        <f t="shared" si="2"/>
        <v>0</v>
      </c>
      <c r="AP65">
        <f>VLOOKUP($B65,Kraftvärmeprod!$B$1:$BX$549,MATCH(AP$1,Kraftvärmeprod!$B$1:$BX$1,0),FALSE)</f>
        <v>0</v>
      </c>
      <c r="AQ65">
        <f>VLOOKUP($B65,Kraftvärmeprod!$B$1:$BX$549,MATCH(AQ$1,Kraftvärmeprod!$B$1:$BX$1,0),FALSE)</f>
        <v>0</v>
      </c>
      <c r="AR65">
        <f>VLOOKUP($B65,Kraftvärmeprod!$B$1:$BX$549,MATCH("Summa tillförd energi exklusive rökgaskondensering",Kraftvärmeprod!$B$1:$BX$1,0),FALSE)</f>
        <v>0</v>
      </c>
      <c r="AT65" s="17" t="str">
        <f t="shared" si="3"/>
        <v/>
      </c>
      <c r="AV65">
        <f t="shared" si="4"/>
        <v>0</v>
      </c>
      <c r="BA65" s="17" t="str">
        <f t="shared" si="5"/>
        <v/>
      </c>
    </row>
    <row r="66" spans="1:53" x14ac:dyDescent="0.25">
      <c r="A66" s="137" t="s">
        <v>277</v>
      </c>
      <c r="B66" s="137" t="s">
        <v>277</v>
      </c>
      <c r="C66" s="121"/>
      <c r="D66" s="121"/>
      <c r="E66" s="121"/>
      <c r="F66" s="121"/>
      <c r="G66" s="121"/>
      <c r="H66" s="121"/>
      <c r="I66" s="121"/>
      <c r="J66" s="121">
        <v>0</v>
      </c>
      <c r="K66" s="121">
        <v>0</v>
      </c>
      <c r="L66" s="121">
        <v>0</v>
      </c>
      <c r="M66" s="121">
        <v>0</v>
      </c>
      <c r="N66" s="121">
        <v>0</v>
      </c>
      <c r="O66" s="121">
        <v>0</v>
      </c>
      <c r="P66" s="121">
        <v>0</v>
      </c>
      <c r="Q66" s="121">
        <v>0</v>
      </c>
      <c r="R66" s="121">
        <v>0</v>
      </c>
      <c r="S66" s="121">
        <v>0</v>
      </c>
      <c r="T66" s="121">
        <v>0</v>
      </c>
      <c r="U66" s="121">
        <v>0</v>
      </c>
      <c r="V66" s="121" t="s">
        <v>1119</v>
      </c>
      <c r="W66" s="121">
        <v>0</v>
      </c>
      <c r="X66" s="121">
        <v>0</v>
      </c>
      <c r="Y66" s="121">
        <v>0</v>
      </c>
      <c r="Z66" s="121">
        <v>0</v>
      </c>
      <c r="AA66" s="121">
        <v>0</v>
      </c>
      <c r="AB66" s="121">
        <v>0</v>
      </c>
      <c r="AC66" s="121">
        <v>0</v>
      </c>
      <c r="AD66" s="121">
        <v>0</v>
      </c>
      <c r="AE66" s="121">
        <v>0</v>
      </c>
      <c r="AF66" s="121">
        <v>0</v>
      </c>
      <c r="AG66" s="121">
        <v>0</v>
      </c>
      <c r="AH66" s="121">
        <v>0</v>
      </c>
      <c r="AI66" s="121">
        <v>0</v>
      </c>
      <c r="AL66" s="14">
        <f t="shared" ref="AL66:AL129" si="6">SUM(J66:U66,W66:AI66)</f>
        <v>0</v>
      </c>
      <c r="AM66">
        <f t="shared" ref="AM66:AM129" si="7">AL66-IFERROR(AI66/1,0)</f>
        <v>0</v>
      </c>
      <c r="AN66">
        <f t="shared" ref="AN66:AN129" si="8">AM66-IFERROR(AH66/1,0)</f>
        <v>0</v>
      </c>
      <c r="AP66">
        <f>VLOOKUP($B66,Kraftvärmeprod!$B$1:$BX$549,MATCH(AP$1,Kraftvärmeprod!$B$1:$BX$1,0),FALSE)</f>
        <v>0</v>
      </c>
      <c r="AQ66">
        <f>VLOOKUP($B66,Kraftvärmeprod!$B$1:$BX$549,MATCH(AQ$1,Kraftvärmeprod!$B$1:$BX$1,0),FALSE)</f>
        <v>0</v>
      </c>
      <c r="AR66">
        <f>VLOOKUP($B66,Kraftvärmeprod!$B$1:$BX$549,MATCH("Summa tillförd energi exklusive rökgaskondensering",Kraftvärmeprod!$B$1:$BX$1,0),FALSE)</f>
        <v>0</v>
      </c>
      <c r="AT66" s="17" t="str">
        <f t="shared" ref="AT66:AT129" si="9">IF(AN66=0,"",AN66/AR66)</f>
        <v/>
      </c>
      <c r="AV66">
        <f t="shared" ref="AV66:AV129" si="10">Q66+R66+S66+T66+U66+P66+X66+Y66+Z66+AA66+AB66+AC66+W66</f>
        <v>0</v>
      </c>
      <c r="BA66" s="17" t="str">
        <f t="shared" ref="BA66:BA129" si="11">IFERROR(AP66/(AN66+AI66),"")</f>
        <v/>
      </c>
    </row>
    <row r="67" spans="1:53" x14ac:dyDescent="0.25">
      <c r="A67" s="137" t="s">
        <v>277</v>
      </c>
      <c r="B67" s="137" t="s">
        <v>278</v>
      </c>
      <c r="C67" s="121"/>
      <c r="D67" s="121"/>
      <c r="E67" s="121"/>
      <c r="F67" s="121"/>
      <c r="G67" s="121"/>
      <c r="H67" s="121"/>
      <c r="I67" s="121"/>
      <c r="J67" s="121">
        <v>0</v>
      </c>
      <c r="K67" s="121">
        <v>0</v>
      </c>
      <c r="L67" s="121">
        <v>0</v>
      </c>
      <c r="M67" s="121">
        <v>0</v>
      </c>
      <c r="N67" s="121">
        <v>0</v>
      </c>
      <c r="O67" s="121">
        <v>0</v>
      </c>
      <c r="P67" s="121">
        <v>0</v>
      </c>
      <c r="Q67" s="121">
        <v>0</v>
      </c>
      <c r="R67" s="121">
        <v>0</v>
      </c>
      <c r="S67" s="121">
        <v>0</v>
      </c>
      <c r="T67" s="121">
        <v>0</v>
      </c>
      <c r="U67" s="121">
        <v>0</v>
      </c>
      <c r="V67" s="121" t="s">
        <v>1119</v>
      </c>
      <c r="W67" s="121">
        <v>0</v>
      </c>
      <c r="X67" s="121">
        <v>0</v>
      </c>
      <c r="Y67" s="121">
        <v>0</v>
      </c>
      <c r="Z67" s="121">
        <v>0</v>
      </c>
      <c r="AA67" s="121">
        <v>0</v>
      </c>
      <c r="AB67" s="121">
        <v>0</v>
      </c>
      <c r="AC67" s="121">
        <v>0</v>
      </c>
      <c r="AD67" s="121">
        <v>0</v>
      </c>
      <c r="AE67" s="121">
        <v>0</v>
      </c>
      <c r="AF67" s="121">
        <v>0</v>
      </c>
      <c r="AG67" s="121">
        <v>0</v>
      </c>
      <c r="AH67" s="121">
        <v>0</v>
      </c>
      <c r="AI67" s="121">
        <v>0</v>
      </c>
      <c r="AL67" s="14">
        <f t="shared" si="6"/>
        <v>0</v>
      </c>
      <c r="AM67">
        <f t="shared" si="7"/>
        <v>0</v>
      </c>
      <c r="AN67">
        <f t="shared" si="8"/>
        <v>0</v>
      </c>
      <c r="AP67">
        <f>VLOOKUP($B67,Kraftvärmeprod!$B$1:$BX$549,MATCH(AP$1,Kraftvärmeprod!$B$1:$BX$1,0),FALSE)</f>
        <v>0</v>
      </c>
      <c r="AQ67">
        <f>VLOOKUP($B67,Kraftvärmeprod!$B$1:$BX$549,MATCH(AQ$1,Kraftvärmeprod!$B$1:$BX$1,0),FALSE)</f>
        <v>0</v>
      </c>
      <c r="AR67">
        <f>VLOOKUP($B67,Kraftvärmeprod!$B$1:$BX$549,MATCH("Summa tillförd energi exklusive rökgaskondensering",Kraftvärmeprod!$B$1:$BX$1,0),FALSE)</f>
        <v>0</v>
      </c>
      <c r="AT67" s="17" t="str">
        <f t="shared" si="9"/>
        <v/>
      </c>
      <c r="AV67">
        <f t="shared" si="10"/>
        <v>0</v>
      </c>
      <c r="BA67" s="17" t="str">
        <f t="shared" si="11"/>
        <v/>
      </c>
    </row>
    <row r="68" spans="1:53" x14ac:dyDescent="0.25">
      <c r="A68" s="137" t="s">
        <v>279</v>
      </c>
      <c r="B68" s="137" t="s">
        <v>280</v>
      </c>
      <c r="C68" s="121"/>
      <c r="D68" s="121"/>
      <c r="E68" s="121"/>
      <c r="F68" s="121"/>
      <c r="G68" s="121"/>
      <c r="H68" s="121"/>
      <c r="I68" s="121"/>
      <c r="J68" s="121">
        <v>0</v>
      </c>
      <c r="K68" s="121">
        <v>0</v>
      </c>
      <c r="L68" s="121">
        <v>0</v>
      </c>
      <c r="M68" s="121">
        <v>0</v>
      </c>
      <c r="N68" s="121">
        <v>0</v>
      </c>
      <c r="O68" s="121">
        <v>0</v>
      </c>
      <c r="P68" s="121">
        <v>0</v>
      </c>
      <c r="Q68" s="121">
        <v>0</v>
      </c>
      <c r="R68" s="121">
        <v>0</v>
      </c>
      <c r="S68" s="121">
        <v>0</v>
      </c>
      <c r="T68" s="121">
        <v>0</v>
      </c>
      <c r="U68" s="121">
        <v>0</v>
      </c>
      <c r="V68" s="121" t="s">
        <v>1119</v>
      </c>
      <c r="W68" s="121">
        <v>0</v>
      </c>
      <c r="X68" s="121">
        <v>0</v>
      </c>
      <c r="Y68" s="121">
        <v>0</v>
      </c>
      <c r="Z68" s="121">
        <v>0</v>
      </c>
      <c r="AA68" s="121">
        <v>0</v>
      </c>
      <c r="AB68" s="121">
        <v>0.25594499999999998</v>
      </c>
      <c r="AC68" s="121">
        <v>0</v>
      </c>
      <c r="AD68" s="121">
        <v>0</v>
      </c>
      <c r="AE68" s="121">
        <v>113.18300000000001</v>
      </c>
      <c r="AF68" s="121">
        <v>0</v>
      </c>
      <c r="AG68" s="121">
        <v>0</v>
      </c>
      <c r="AH68" s="121">
        <v>11.5</v>
      </c>
      <c r="AI68" s="121">
        <v>3.9359899999999999</v>
      </c>
      <c r="AL68" s="14">
        <f t="shared" si="6"/>
        <v>128.87493499999999</v>
      </c>
      <c r="AM68">
        <f t="shared" si="7"/>
        <v>124.93894499999999</v>
      </c>
      <c r="AN68">
        <f t="shared" si="8"/>
        <v>113.43894499999999</v>
      </c>
      <c r="AP68">
        <f>VLOOKUP($B68,Kraftvärmeprod!$B$1:$BX$549,MATCH(AP$1,Kraftvärmeprod!$B$1:$BX$1,0),FALSE)</f>
        <v>136</v>
      </c>
      <c r="AQ68">
        <f>VLOOKUP($B68,Kraftvärmeprod!$B$1:$BX$549,MATCH(AQ$1,Kraftvärmeprod!$B$1:$BX$1,0),FALSE)</f>
        <v>14.2</v>
      </c>
      <c r="AR68">
        <f>VLOOKUP($B68,Kraftvärmeprod!$B$1:$BX$549,MATCH("Summa tillförd energi exklusive rökgaskondensering",Kraftvärmeprod!$B$1:$BX$1,0),FALSE)</f>
        <v>151.31</v>
      </c>
      <c r="AT68" s="17">
        <f t="shared" si="9"/>
        <v>0.7497121472473729</v>
      </c>
      <c r="AV68">
        <f t="shared" si="10"/>
        <v>0.25594499999999998</v>
      </c>
      <c r="BA68" s="17">
        <f t="shared" si="11"/>
        <v>1.1586800878739572</v>
      </c>
    </row>
    <row r="69" spans="1:53" x14ac:dyDescent="0.25">
      <c r="A69" s="137" t="s">
        <v>279</v>
      </c>
      <c r="B69" s="137" t="s">
        <v>281</v>
      </c>
      <c r="C69" s="121"/>
      <c r="D69" s="121"/>
      <c r="E69" s="121"/>
      <c r="F69" s="121"/>
      <c r="G69" s="121"/>
      <c r="H69" s="121"/>
      <c r="I69" s="121"/>
      <c r="J69" s="121">
        <v>0</v>
      </c>
      <c r="K69" s="121">
        <v>0</v>
      </c>
      <c r="L69" s="121">
        <v>0</v>
      </c>
      <c r="M69" s="121">
        <v>0</v>
      </c>
      <c r="N69" s="121">
        <v>0</v>
      </c>
      <c r="O69" s="121">
        <v>0</v>
      </c>
      <c r="P69" s="121">
        <v>0</v>
      </c>
      <c r="Q69" s="121">
        <v>0</v>
      </c>
      <c r="R69" s="121">
        <v>0</v>
      </c>
      <c r="S69" s="121">
        <v>0</v>
      </c>
      <c r="T69" s="121">
        <v>0</v>
      </c>
      <c r="U69" s="121">
        <v>0</v>
      </c>
      <c r="V69" s="121" t="s">
        <v>1119</v>
      </c>
      <c r="W69" s="121">
        <v>0</v>
      </c>
      <c r="X69" s="121">
        <v>0</v>
      </c>
      <c r="Y69" s="121">
        <v>0</v>
      </c>
      <c r="Z69" s="121">
        <v>0</v>
      </c>
      <c r="AA69" s="121">
        <v>0</v>
      </c>
      <c r="AB69" s="121">
        <v>0</v>
      </c>
      <c r="AC69" s="121">
        <v>0</v>
      </c>
      <c r="AD69" s="121">
        <v>0</v>
      </c>
      <c r="AE69" s="121">
        <v>0</v>
      </c>
      <c r="AF69" s="121">
        <v>0</v>
      </c>
      <c r="AG69" s="121">
        <v>0</v>
      </c>
      <c r="AH69" s="121">
        <v>0</v>
      </c>
      <c r="AI69" s="121">
        <v>0</v>
      </c>
      <c r="AL69" s="14">
        <f t="shared" si="6"/>
        <v>0</v>
      </c>
      <c r="AM69">
        <f t="shared" si="7"/>
        <v>0</v>
      </c>
      <c r="AN69">
        <f t="shared" si="8"/>
        <v>0</v>
      </c>
      <c r="AP69">
        <f>VLOOKUP($B69,Kraftvärmeprod!$B$1:$BX$549,MATCH(AP$1,Kraftvärmeprod!$B$1:$BX$1,0),FALSE)</f>
        <v>0</v>
      </c>
      <c r="AQ69">
        <f>VLOOKUP($B69,Kraftvärmeprod!$B$1:$BX$549,MATCH(AQ$1,Kraftvärmeprod!$B$1:$BX$1,0),FALSE)</f>
        <v>0</v>
      </c>
      <c r="AR69">
        <f>VLOOKUP($B69,Kraftvärmeprod!$B$1:$BX$549,MATCH("Summa tillförd energi exklusive rökgaskondensering",Kraftvärmeprod!$B$1:$BX$1,0),FALSE)</f>
        <v>0</v>
      </c>
      <c r="AT69" s="17" t="str">
        <f t="shared" si="9"/>
        <v/>
      </c>
      <c r="AV69">
        <f t="shared" si="10"/>
        <v>0</v>
      </c>
      <c r="BA69" s="17" t="str">
        <f t="shared" si="11"/>
        <v/>
      </c>
    </row>
    <row r="70" spans="1:53" x14ac:dyDescent="0.25">
      <c r="A70" s="137" t="s">
        <v>279</v>
      </c>
      <c r="B70" s="137" t="s">
        <v>282</v>
      </c>
      <c r="C70" s="121"/>
      <c r="D70" s="121"/>
      <c r="E70" s="121"/>
      <c r="F70" s="121"/>
      <c r="G70" s="121"/>
      <c r="H70" s="121"/>
      <c r="I70" s="121"/>
      <c r="J70" s="121">
        <v>0</v>
      </c>
      <c r="K70" s="121">
        <v>0</v>
      </c>
      <c r="L70" s="121">
        <v>0</v>
      </c>
      <c r="M70" s="121">
        <v>0</v>
      </c>
      <c r="N70" s="121">
        <v>0</v>
      </c>
      <c r="O70" s="121">
        <v>0</v>
      </c>
      <c r="P70" s="121">
        <v>0</v>
      </c>
      <c r="Q70" s="121">
        <v>0</v>
      </c>
      <c r="R70" s="121">
        <v>0</v>
      </c>
      <c r="S70" s="121">
        <v>0</v>
      </c>
      <c r="T70" s="121">
        <v>0</v>
      </c>
      <c r="U70" s="121">
        <v>0</v>
      </c>
      <c r="V70" s="121" t="s">
        <v>1119</v>
      </c>
      <c r="W70" s="121">
        <v>0</v>
      </c>
      <c r="X70" s="121">
        <v>0</v>
      </c>
      <c r="Y70" s="121">
        <v>0</v>
      </c>
      <c r="Z70" s="121">
        <v>0</v>
      </c>
      <c r="AA70" s="121">
        <v>0</v>
      </c>
      <c r="AB70" s="121">
        <v>0</v>
      </c>
      <c r="AC70" s="121">
        <v>0</v>
      </c>
      <c r="AD70" s="121">
        <v>0</v>
      </c>
      <c r="AE70" s="121">
        <v>0</v>
      </c>
      <c r="AF70" s="121">
        <v>0</v>
      </c>
      <c r="AG70" s="121">
        <v>0</v>
      </c>
      <c r="AH70" s="121">
        <v>0</v>
      </c>
      <c r="AI70" s="121">
        <v>0</v>
      </c>
      <c r="AL70" s="14">
        <f t="shared" si="6"/>
        <v>0</v>
      </c>
      <c r="AM70">
        <f t="shared" si="7"/>
        <v>0</v>
      </c>
      <c r="AN70">
        <f t="shared" si="8"/>
        <v>0</v>
      </c>
      <c r="AP70">
        <f>VLOOKUP($B70,Kraftvärmeprod!$B$1:$BX$549,MATCH(AP$1,Kraftvärmeprod!$B$1:$BX$1,0),FALSE)</f>
        <v>0</v>
      </c>
      <c r="AQ70">
        <f>VLOOKUP($B70,Kraftvärmeprod!$B$1:$BX$549,MATCH(AQ$1,Kraftvärmeprod!$B$1:$BX$1,0),FALSE)</f>
        <v>0</v>
      </c>
      <c r="AR70">
        <f>VLOOKUP($B70,Kraftvärmeprod!$B$1:$BX$549,MATCH("Summa tillförd energi exklusive rökgaskondensering",Kraftvärmeprod!$B$1:$BX$1,0),FALSE)</f>
        <v>0</v>
      </c>
      <c r="AT70" s="17" t="str">
        <f t="shared" si="9"/>
        <v/>
      </c>
      <c r="AV70">
        <f t="shared" si="10"/>
        <v>0</v>
      </c>
      <c r="BA70" s="17" t="str">
        <f t="shared" si="11"/>
        <v/>
      </c>
    </row>
    <row r="71" spans="1:53" x14ac:dyDescent="0.25">
      <c r="A71" s="137" t="s">
        <v>47</v>
      </c>
      <c r="B71" s="141" t="s">
        <v>48</v>
      </c>
      <c r="C71" s="121"/>
      <c r="D71" s="121"/>
      <c r="E71" s="121"/>
      <c r="F71" s="121"/>
      <c r="G71" s="121"/>
      <c r="H71" s="121"/>
      <c r="I71" s="121"/>
      <c r="J71" s="121" t="s">
        <v>1119</v>
      </c>
      <c r="K71" s="121" t="s">
        <v>1119</v>
      </c>
      <c r="L71" s="121" t="s">
        <v>1119</v>
      </c>
      <c r="M71" s="121" t="s">
        <v>1119</v>
      </c>
      <c r="N71" s="121" t="s">
        <v>1119</v>
      </c>
      <c r="O71" s="121" t="s">
        <v>1119</v>
      </c>
      <c r="P71" s="121" t="s">
        <v>1119</v>
      </c>
      <c r="Q71" s="121" t="s">
        <v>1119</v>
      </c>
      <c r="R71" s="121" t="s">
        <v>1119</v>
      </c>
      <c r="S71" s="121" t="s">
        <v>1119</v>
      </c>
      <c r="T71" s="121" t="s">
        <v>1119</v>
      </c>
      <c r="U71" s="121" t="s">
        <v>1119</v>
      </c>
      <c r="V71" s="121" t="s">
        <v>1119</v>
      </c>
      <c r="W71" s="121" t="s">
        <v>1119</v>
      </c>
      <c r="X71" s="121" t="s">
        <v>1119</v>
      </c>
      <c r="Y71" s="121" t="s">
        <v>1119</v>
      </c>
      <c r="Z71" s="121" t="s">
        <v>1119</v>
      </c>
      <c r="AA71" s="121" t="s">
        <v>1119</v>
      </c>
      <c r="AB71" s="121" t="s">
        <v>1119</v>
      </c>
      <c r="AC71" s="121" t="s">
        <v>1119</v>
      </c>
      <c r="AD71" s="121" t="s">
        <v>1119</v>
      </c>
      <c r="AE71" s="121" t="s">
        <v>1119</v>
      </c>
      <c r="AF71" s="121" t="s">
        <v>1119</v>
      </c>
      <c r="AG71" s="121" t="s">
        <v>1119</v>
      </c>
      <c r="AH71" s="121" t="s">
        <v>1119</v>
      </c>
      <c r="AI71" s="121" t="s">
        <v>1119</v>
      </c>
      <c r="AL71" s="14">
        <f t="shared" si="6"/>
        <v>0</v>
      </c>
      <c r="AM71">
        <f t="shared" si="7"/>
        <v>0</v>
      </c>
      <c r="AN71">
        <f t="shared" si="8"/>
        <v>0</v>
      </c>
      <c r="AP71">
        <f>VLOOKUP($B71,Kraftvärmeprod!$B$1:$BX$549,MATCH(AP$1,Kraftvärmeprod!$B$1:$BX$1,0),FALSE)</f>
        <v>0</v>
      </c>
      <c r="AQ71">
        <f>VLOOKUP($B71,Kraftvärmeprod!$B$1:$BX$549,MATCH(AQ$1,Kraftvärmeprod!$B$1:$BX$1,0),FALSE)</f>
        <v>0</v>
      </c>
      <c r="AR71">
        <f>VLOOKUP($B71,Kraftvärmeprod!$B$1:$BX$549,MATCH("Summa tillförd energi exklusive rökgaskondensering",Kraftvärmeprod!$B$1:$BX$1,0),FALSE)</f>
        <v>0</v>
      </c>
      <c r="AT71" s="17" t="str">
        <f t="shared" si="9"/>
        <v/>
      </c>
      <c r="AV71" t="e">
        <f t="shared" si="10"/>
        <v>#VALUE!</v>
      </c>
      <c r="BA71" s="17" t="str">
        <f t="shared" si="11"/>
        <v/>
      </c>
    </row>
    <row r="72" spans="1:53" x14ac:dyDescent="0.25">
      <c r="A72" s="137" t="s">
        <v>283</v>
      </c>
      <c r="B72" s="137" t="s">
        <v>284</v>
      </c>
      <c r="C72" s="121"/>
      <c r="D72" s="121"/>
      <c r="E72" s="121"/>
      <c r="F72" s="121"/>
      <c r="G72" s="121"/>
      <c r="H72" s="121"/>
      <c r="I72" s="121"/>
      <c r="J72" s="121">
        <v>0</v>
      </c>
      <c r="K72" s="121">
        <v>0</v>
      </c>
      <c r="L72" s="121">
        <v>0</v>
      </c>
      <c r="M72" s="121">
        <v>0</v>
      </c>
      <c r="N72" s="121">
        <v>0</v>
      </c>
      <c r="O72" s="121">
        <v>0</v>
      </c>
      <c r="P72" s="121">
        <v>0</v>
      </c>
      <c r="Q72" s="121">
        <v>0</v>
      </c>
      <c r="R72" s="121">
        <v>0</v>
      </c>
      <c r="S72" s="121">
        <v>0</v>
      </c>
      <c r="T72" s="121">
        <v>0</v>
      </c>
      <c r="U72" s="121">
        <v>0</v>
      </c>
      <c r="V72" s="121" t="s">
        <v>1119</v>
      </c>
      <c r="W72" s="121">
        <v>0</v>
      </c>
      <c r="X72" s="121">
        <v>0</v>
      </c>
      <c r="Y72" s="121">
        <v>0</v>
      </c>
      <c r="Z72" s="121">
        <v>0</v>
      </c>
      <c r="AA72" s="121">
        <v>0</v>
      </c>
      <c r="AB72" s="121">
        <v>0</v>
      </c>
      <c r="AC72" s="121">
        <v>0</v>
      </c>
      <c r="AD72" s="121">
        <v>0</v>
      </c>
      <c r="AE72" s="121">
        <v>0</v>
      </c>
      <c r="AF72" s="121">
        <v>0</v>
      </c>
      <c r="AG72" s="121">
        <v>0</v>
      </c>
      <c r="AH72" s="121">
        <v>0</v>
      </c>
      <c r="AI72" s="121">
        <v>0</v>
      </c>
      <c r="AL72" s="14">
        <f t="shared" si="6"/>
        <v>0</v>
      </c>
      <c r="AM72">
        <f t="shared" si="7"/>
        <v>0</v>
      </c>
      <c r="AN72">
        <f t="shared" si="8"/>
        <v>0</v>
      </c>
      <c r="AP72">
        <f>VLOOKUP($B72,Kraftvärmeprod!$B$1:$BX$549,MATCH(AP$1,Kraftvärmeprod!$B$1:$BX$1,0),FALSE)</f>
        <v>0</v>
      </c>
      <c r="AQ72">
        <f>VLOOKUP($B72,Kraftvärmeprod!$B$1:$BX$549,MATCH(AQ$1,Kraftvärmeprod!$B$1:$BX$1,0),FALSE)</f>
        <v>0</v>
      </c>
      <c r="AR72">
        <f>VLOOKUP($B72,Kraftvärmeprod!$B$1:$BX$549,MATCH("Summa tillförd energi exklusive rökgaskondensering",Kraftvärmeprod!$B$1:$BX$1,0),FALSE)</f>
        <v>0</v>
      </c>
      <c r="AT72" s="17" t="str">
        <f t="shared" si="9"/>
        <v/>
      </c>
      <c r="AV72">
        <f t="shared" si="10"/>
        <v>0</v>
      </c>
      <c r="BA72" s="17" t="str">
        <f t="shared" si="11"/>
        <v/>
      </c>
    </row>
    <row r="73" spans="1:53" x14ac:dyDescent="0.25">
      <c r="A73" s="137" t="s">
        <v>285</v>
      </c>
      <c r="B73" s="137" t="s">
        <v>286</v>
      </c>
      <c r="C73" s="121"/>
      <c r="D73" s="121"/>
      <c r="E73" s="121"/>
      <c r="F73" s="121"/>
      <c r="G73" s="121"/>
      <c r="H73" s="121"/>
      <c r="I73" s="121"/>
      <c r="J73" s="121">
        <v>0</v>
      </c>
      <c r="K73" s="121">
        <v>1.0649900000000001</v>
      </c>
      <c r="L73" s="121">
        <v>0</v>
      </c>
      <c r="M73" s="121">
        <v>0</v>
      </c>
      <c r="N73" s="121">
        <v>0</v>
      </c>
      <c r="O73" s="121">
        <v>0</v>
      </c>
      <c r="P73" s="121">
        <v>21.702300000000001</v>
      </c>
      <c r="Q73" s="121">
        <v>0</v>
      </c>
      <c r="R73" s="121">
        <v>6.3518999999999997</v>
      </c>
      <c r="S73" s="121">
        <v>0</v>
      </c>
      <c r="T73" s="121">
        <v>0</v>
      </c>
      <c r="U73" s="121">
        <v>0</v>
      </c>
      <c r="V73" s="121" t="s">
        <v>1119</v>
      </c>
      <c r="W73" s="121">
        <v>0</v>
      </c>
      <c r="X73" s="121">
        <v>0</v>
      </c>
      <c r="Y73" s="121">
        <v>0</v>
      </c>
      <c r="Z73" s="121">
        <v>155.62200000000001</v>
      </c>
      <c r="AA73" s="121">
        <v>0</v>
      </c>
      <c r="AB73" s="121">
        <v>0</v>
      </c>
      <c r="AC73" s="121">
        <v>0</v>
      </c>
      <c r="AD73" s="121">
        <v>0</v>
      </c>
      <c r="AE73" s="121">
        <v>0</v>
      </c>
      <c r="AF73" s="121">
        <v>0</v>
      </c>
      <c r="AG73" s="121">
        <v>0</v>
      </c>
      <c r="AH73" s="121">
        <v>22.6</v>
      </c>
      <c r="AI73" s="121">
        <v>5.0846200000000001</v>
      </c>
      <c r="AL73" s="14">
        <f t="shared" si="6"/>
        <v>212.42581000000001</v>
      </c>
      <c r="AM73">
        <f t="shared" si="7"/>
        <v>207.34119000000001</v>
      </c>
      <c r="AN73">
        <f t="shared" si="8"/>
        <v>184.74119000000002</v>
      </c>
      <c r="AP73">
        <f>VLOOKUP($B73,Kraftvärmeprod!$B$1:$BX$549,MATCH(AP$1,Kraftvärmeprod!$B$1:$BX$1,0),FALSE)</f>
        <v>216</v>
      </c>
      <c r="AQ73">
        <f>VLOOKUP($B73,Kraftvärmeprod!$B$1:$BX$549,MATCH(AQ$1,Kraftvärmeprod!$B$1:$BX$1,0),FALSE)</f>
        <v>73.7</v>
      </c>
      <c r="AR73">
        <f>VLOOKUP($B73,Kraftvärmeprod!$B$1:$BX$549,MATCH("Summa tillförd energi exklusive rökgaskondensering",Kraftvärmeprod!$B$1:$BX$1,0),FALSE)</f>
        <v>348.8</v>
      </c>
      <c r="AT73" s="17">
        <f t="shared" si="9"/>
        <v>0.5296479071100918</v>
      </c>
      <c r="AV73">
        <f t="shared" si="10"/>
        <v>183.67620000000002</v>
      </c>
      <c r="BA73" s="17">
        <f t="shared" si="11"/>
        <v>1.1378853065344485</v>
      </c>
    </row>
    <row r="74" spans="1:53" x14ac:dyDescent="0.25">
      <c r="A74" s="137" t="s">
        <v>289</v>
      </c>
      <c r="B74" s="137" t="s">
        <v>290</v>
      </c>
      <c r="C74" s="121"/>
      <c r="D74" s="121"/>
      <c r="E74" s="121"/>
      <c r="F74" s="121"/>
      <c r="G74" s="121"/>
      <c r="H74" s="121"/>
      <c r="I74" s="121"/>
      <c r="J74" s="121">
        <v>0</v>
      </c>
      <c r="K74" s="121">
        <v>0.40564600000000001</v>
      </c>
      <c r="L74" s="121">
        <v>0</v>
      </c>
      <c r="M74" s="121">
        <v>0</v>
      </c>
      <c r="N74" s="121">
        <v>0</v>
      </c>
      <c r="O74" s="121">
        <v>0</v>
      </c>
      <c r="P74" s="121">
        <v>265.82400000000001</v>
      </c>
      <c r="Q74" s="121">
        <v>109.048</v>
      </c>
      <c r="R74" s="121">
        <v>0</v>
      </c>
      <c r="S74" s="121">
        <v>0</v>
      </c>
      <c r="T74" s="121">
        <v>0</v>
      </c>
      <c r="U74" s="121">
        <v>0</v>
      </c>
      <c r="V74" s="121" t="s">
        <v>1119</v>
      </c>
      <c r="W74" s="121">
        <v>0</v>
      </c>
      <c r="X74" s="121">
        <v>0</v>
      </c>
      <c r="Y74" s="121">
        <v>0</v>
      </c>
      <c r="Z74" s="121">
        <v>0</v>
      </c>
      <c r="AA74" s="121">
        <v>0</v>
      </c>
      <c r="AB74" s="121">
        <v>0</v>
      </c>
      <c r="AC74" s="121">
        <v>0</v>
      </c>
      <c r="AD74" s="121">
        <v>0</v>
      </c>
      <c r="AE74" s="121">
        <v>0</v>
      </c>
      <c r="AF74" s="121">
        <v>0</v>
      </c>
      <c r="AG74" s="121">
        <v>0</v>
      </c>
      <c r="AH74" s="121">
        <v>113.758</v>
      </c>
      <c r="AI74" s="121">
        <v>11.830500000000001</v>
      </c>
      <c r="AL74" s="14">
        <f t="shared" si="6"/>
        <v>500.86614599999996</v>
      </c>
      <c r="AM74">
        <f t="shared" si="7"/>
        <v>489.03564599999993</v>
      </c>
      <c r="AN74">
        <f t="shared" si="8"/>
        <v>375.27764599999995</v>
      </c>
      <c r="AP74">
        <f>VLOOKUP($B74,Kraftvärmeprod!$B$1:$BX$549,MATCH(AP$1,Kraftvärmeprod!$B$1:$BX$1,0),FALSE)</f>
        <v>546.64099999999996</v>
      </c>
      <c r="AQ74">
        <f>VLOOKUP($B74,Kraftvärmeprod!$B$1:$BX$549,MATCH(AQ$1,Kraftvärmeprod!$B$1:$BX$1,0),FALSE)</f>
        <v>162.79400000000001</v>
      </c>
      <c r="AR74">
        <f>VLOOKUP($B74,Kraftvärmeprod!$B$1:$BX$549,MATCH("Summa tillförd energi exklusive rökgaskondensering",Kraftvärmeprod!$B$1:$BX$1,0),FALSE)</f>
        <v>666.46199999999999</v>
      </c>
      <c r="AT74" s="17">
        <f t="shared" si="9"/>
        <v>0.56308933742658984</v>
      </c>
      <c r="AV74">
        <f t="shared" si="10"/>
        <v>374.87200000000001</v>
      </c>
      <c r="BA74" s="17">
        <f t="shared" si="11"/>
        <v>1.4121144327456236</v>
      </c>
    </row>
    <row r="75" spans="1:53" x14ac:dyDescent="0.25">
      <c r="A75" s="137" t="s">
        <v>289</v>
      </c>
      <c r="B75" s="137" t="s">
        <v>291</v>
      </c>
      <c r="C75" s="121"/>
      <c r="D75" s="121"/>
      <c r="E75" s="121"/>
      <c r="F75" s="121"/>
      <c r="G75" s="121"/>
      <c r="H75" s="121"/>
      <c r="I75" s="121"/>
      <c r="J75" s="121">
        <v>0</v>
      </c>
      <c r="K75" s="121">
        <v>0</v>
      </c>
      <c r="L75" s="121">
        <v>0</v>
      </c>
      <c r="M75" s="121">
        <v>0</v>
      </c>
      <c r="N75" s="121">
        <v>0</v>
      </c>
      <c r="O75" s="121">
        <v>0</v>
      </c>
      <c r="P75" s="121">
        <v>0</v>
      </c>
      <c r="Q75" s="121">
        <v>0</v>
      </c>
      <c r="R75" s="121">
        <v>0</v>
      </c>
      <c r="S75" s="121">
        <v>0</v>
      </c>
      <c r="T75" s="121">
        <v>0</v>
      </c>
      <c r="U75" s="121">
        <v>0</v>
      </c>
      <c r="V75" s="121" t="s">
        <v>1119</v>
      </c>
      <c r="W75" s="121">
        <v>0</v>
      </c>
      <c r="X75" s="121">
        <v>0</v>
      </c>
      <c r="Y75" s="121">
        <v>0</v>
      </c>
      <c r="Z75" s="121">
        <v>0</v>
      </c>
      <c r="AA75" s="121">
        <v>0</v>
      </c>
      <c r="AB75" s="121">
        <v>0</v>
      </c>
      <c r="AC75" s="121">
        <v>0</v>
      </c>
      <c r="AD75" s="121">
        <v>0</v>
      </c>
      <c r="AE75" s="121">
        <v>0</v>
      </c>
      <c r="AF75" s="121">
        <v>0</v>
      </c>
      <c r="AG75" s="121">
        <v>0</v>
      </c>
      <c r="AH75" s="121">
        <v>0</v>
      </c>
      <c r="AI75" s="121">
        <v>0</v>
      </c>
      <c r="AL75" s="14">
        <f t="shared" si="6"/>
        <v>0</v>
      </c>
      <c r="AM75">
        <f t="shared" si="7"/>
        <v>0</v>
      </c>
      <c r="AN75">
        <f t="shared" si="8"/>
        <v>0</v>
      </c>
      <c r="AP75">
        <f>VLOOKUP($B75,Kraftvärmeprod!$B$1:$BX$549,MATCH(AP$1,Kraftvärmeprod!$B$1:$BX$1,0),FALSE)</f>
        <v>0</v>
      </c>
      <c r="AQ75">
        <f>VLOOKUP($B75,Kraftvärmeprod!$B$1:$BX$549,MATCH(AQ$1,Kraftvärmeprod!$B$1:$BX$1,0),FALSE)</f>
        <v>0</v>
      </c>
      <c r="AR75">
        <f>VLOOKUP($B75,Kraftvärmeprod!$B$1:$BX$549,MATCH("Summa tillförd energi exklusive rökgaskondensering",Kraftvärmeprod!$B$1:$BX$1,0),FALSE)</f>
        <v>0</v>
      </c>
      <c r="AT75" s="17" t="str">
        <f t="shared" si="9"/>
        <v/>
      </c>
      <c r="AV75">
        <f t="shared" si="10"/>
        <v>0</v>
      </c>
      <c r="BA75" s="17" t="str">
        <f t="shared" si="11"/>
        <v/>
      </c>
    </row>
    <row r="76" spans="1:53" x14ac:dyDescent="0.25">
      <c r="A76" s="137" t="s">
        <v>289</v>
      </c>
      <c r="B76" s="137" t="s">
        <v>292</v>
      </c>
      <c r="C76" s="121"/>
      <c r="D76" s="121"/>
      <c r="E76" s="121"/>
      <c r="F76" s="121"/>
      <c r="G76" s="121"/>
      <c r="H76" s="121"/>
      <c r="I76" s="121"/>
      <c r="J76" s="121">
        <v>0</v>
      </c>
      <c r="K76" s="121">
        <v>0</v>
      </c>
      <c r="L76" s="121">
        <v>0</v>
      </c>
      <c r="M76" s="121">
        <v>0</v>
      </c>
      <c r="N76" s="121">
        <v>0</v>
      </c>
      <c r="O76" s="121">
        <v>0</v>
      </c>
      <c r="P76" s="121">
        <v>0</v>
      </c>
      <c r="Q76" s="121">
        <v>0</v>
      </c>
      <c r="R76" s="121">
        <v>0</v>
      </c>
      <c r="S76" s="121">
        <v>0</v>
      </c>
      <c r="T76" s="121">
        <v>0</v>
      </c>
      <c r="U76" s="121">
        <v>0</v>
      </c>
      <c r="V76" s="121" t="s">
        <v>1119</v>
      </c>
      <c r="W76" s="121">
        <v>0</v>
      </c>
      <c r="X76" s="121">
        <v>0</v>
      </c>
      <c r="Y76" s="121">
        <v>0</v>
      </c>
      <c r="Z76" s="121">
        <v>0</v>
      </c>
      <c r="AA76" s="121">
        <v>0</v>
      </c>
      <c r="AB76" s="121">
        <v>0</v>
      </c>
      <c r="AC76" s="121">
        <v>0</v>
      </c>
      <c r="AD76" s="121">
        <v>0</v>
      </c>
      <c r="AE76" s="121">
        <v>0</v>
      </c>
      <c r="AF76" s="121">
        <v>0</v>
      </c>
      <c r="AG76" s="121">
        <v>0</v>
      </c>
      <c r="AH76" s="121">
        <v>0</v>
      </c>
      <c r="AI76" s="121">
        <v>0</v>
      </c>
      <c r="AL76" s="14">
        <f t="shared" si="6"/>
        <v>0</v>
      </c>
      <c r="AM76">
        <f t="shared" si="7"/>
        <v>0</v>
      </c>
      <c r="AN76">
        <f t="shared" si="8"/>
        <v>0</v>
      </c>
      <c r="AP76">
        <f>VLOOKUP($B76,Kraftvärmeprod!$B$1:$BX$549,MATCH(AP$1,Kraftvärmeprod!$B$1:$BX$1,0),FALSE)</f>
        <v>0</v>
      </c>
      <c r="AQ76">
        <f>VLOOKUP($B76,Kraftvärmeprod!$B$1:$BX$549,MATCH(AQ$1,Kraftvärmeprod!$B$1:$BX$1,0),FALSE)</f>
        <v>0</v>
      </c>
      <c r="AR76">
        <f>VLOOKUP($B76,Kraftvärmeprod!$B$1:$BX$549,MATCH("Summa tillförd energi exklusive rökgaskondensering",Kraftvärmeprod!$B$1:$BX$1,0),FALSE)</f>
        <v>0</v>
      </c>
      <c r="AT76" s="17" t="str">
        <f t="shared" si="9"/>
        <v/>
      </c>
      <c r="AV76">
        <f t="shared" si="10"/>
        <v>0</v>
      </c>
      <c r="BA76" s="17" t="str">
        <f t="shared" si="11"/>
        <v/>
      </c>
    </row>
    <row r="77" spans="1:53" x14ac:dyDescent="0.25">
      <c r="A77" s="137" t="s">
        <v>293</v>
      </c>
      <c r="B77" s="137" t="s">
        <v>294</v>
      </c>
      <c r="C77" s="121"/>
      <c r="D77" s="121"/>
      <c r="E77" s="121"/>
      <c r="F77" s="121"/>
      <c r="G77" s="121"/>
      <c r="H77" s="121"/>
      <c r="I77" s="121"/>
      <c r="J77" s="121">
        <v>0</v>
      </c>
      <c r="K77" s="121">
        <v>0</v>
      </c>
      <c r="L77" s="121">
        <v>0</v>
      </c>
      <c r="M77" s="121">
        <v>0</v>
      </c>
      <c r="N77" s="121">
        <v>0</v>
      </c>
      <c r="O77" s="121">
        <v>0</v>
      </c>
      <c r="P77" s="121">
        <v>57.925899999999999</v>
      </c>
      <c r="Q77" s="121">
        <v>6.8791900000000004</v>
      </c>
      <c r="R77" s="121">
        <v>24.233499999999999</v>
      </c>
      <c r="S77" s="121">
        <v>0</v>
      </c>
      <c r="T77" s="121">
        <v>0</v>
      </c>
      <c r="U77" s="121">
        <v>12.585800000000001</v>
      </c>
      <c r="V77" s="121" t="s">
        <v>1119</v>
      </c>
      <c r="W77" s="121">
        <v>0</v>
      </c>
      <c r="X77" s="121">
        <v>0</v>
      </c>
      <c r="Y77" s="121">
        <v>0</v>
      </c>
      <c r="Z77" s="121">
        <v>0</v>
      </c>
      <c r="AA77" s="121">
        <v>0</v>
      </c>
      <c r="AB77" s="121">
        <v>0.24656400000000001</v>
      </c>
      <c r="AC77" s="121">
        <v>0</v>
      </c>
      <c r="AD77" s="121">
        <v>0</v>
      </c>
      <c r="AE77" s="121">
        <v>0</v>
      </c>
      <c r="AF77" s="121">
        <v>0</v>
      </c>
      <c r="AG77" s="121">
        <v>0</v>
      </c>
      <c r="AH77" s="121">
        <v>24.3</v>
      </c>
      <c r="AI77" s="121">
        <v>0.64109099999999997</v>
      </c>
      <c r="AL77" s="14">
        <f t="shared" si="6"/>
        <v>126.81204500000001</v>
      </c>
      <c r="AM77">
        <f t="shared" si="7"/>
        <v>126.17095400000001</v>
      </c>
      <c r="AN77">
        <f t="shared" si="8"/>
        <v>101.87095400000001</v>
      </c>
      <c r="AP77">
        <f>VLOOKUP($B77,Kraftvärmeprod!$B$1:$BX$549,MATCH(AP$1,Kraftvärmeprod!$B$1:$BX$1,0),FALSE)</f>
        <v>86.8</v>
      </c>
      <c r="AQ77">
        <f>VLOOKUP($B77,Kraftvärmeprod!$B$1:$BX$549,MATCH(AQ$1,Kraftvärmeprod!$B$1:$BX$1,0),FALSE)</f>
        <v>9.3000000000000007</v>
      </c>
      <c r="AR77">
        <f>VLOOKUP($B77,Kraftvärmeprod!$B$1:$BX$549,MATCH("Summa tillförd energi exklusive rökgaskondensering",Kraftvärmeprod!$B$1:$BX$1,0),FALSE)</f>
        <v>130.30000000000001</v>
      </c>
      <c r="AT77" s="17">
        <f t="shared" si="9"/>
        <v>0.78181852647735994</v>
      </c>
      <c r="AV77">
        <f t="shared" si="10"/>
        <v>101.87095400000001</v>
      </c>
      <c r="BA77" s="17">
        <f t="shared" si="11"/>
        <v>0.84672976721906179</v>
      </c>
    </row>
    <row r="78" spans="1:53" x14ac:dyDescent="0.25">
      <c r="A78" s="137" t="s">
        <v>293</v>
      </c>
      <c r="B78" s="137" t="s">
        <v>295</v>
      </c>
      <c r="C78" s="121"/>
      <c r="D78" s="121"/>
      <c r="E78" s="121"/>
      <c r="F78" s="121"/>
      <c r="G78" s="121"/>
      <c r="H78" s="121"/>
      <c r="I78" s="121"/>
      <c r="J78" s="121">
        <v>0</v>
      </c>
      <c r="K78" s="121">
        <v>0</v>
      </c>
      <c r="L78" s="121">
        <v>0</v>
      </c>
      <c r="M78" s="121">
        <v>0</v>
      </c>
      <c r="N78" s="121">
        <v>0</v>
      </c>
      <c r="O78" s="121">
        <v>0</v>
      </c>
      <c r="P78" s="121">
        <v>0</v>
      </c>
      <c r="Q78" s="121">
        <v>0</v>
      </c>
      <c r="R78" s="121">
        <v>0</v>
      </c>
      <c r="S78" s="121">
        <v>0</v>
      </c>
      <c r="T78" s="121">
        <v>0</v>
      </c>
      <c r="U78" s="121">
        <v>0</v>
      </c>
      <c r="V78" s="121" t="s">
        <v>1119</v>
      </c>
      <c r="W78" s="121">
        <v>0</v>
      </c>
      <c r="X78" s="121">
        <v>0</v>
      </c>
      <c r="Y78" s="121">
        <v>0</v>
      </c>
      <c r="Z78" s="121">
        <v>0</v>
      </c>
      <c r="AA78" s="121">
        <v>0</v>
      </c>
      <c r="AB78" s="121">
        <v>0</v>
      </c>
      <c r="AC78" s="121">
        <v>0</v>
      </c>
      <c r="AD78" s="121">
        <v>0</v>
      </c>
      <c r="AE78" s="121">
        <v>0</v>
      </c>
      <c r="AF78" s="121">
        <v>0</v>
      </c>
      <c r="AG78" s="121">
        <v>0</v>
      </c>
      <c r="AH78" s="121">
        <v>0</v>
      </c>
      <c r="AI78" s="121">
        <v>0</v>
      </c>
      <c r="AL78" s="14">
        <f t="shared" si="6"/>
        <v>0</v>
      </c>
      <c r="AM78">
        <f t="shared" si="7"/>
        <v>0</v>
      </c>
      <c r="AN78">
        <f t="shared" si="8"/>
        <v>0</v>
      </c>
      <c r="AP78">
        <f>VLOOKUP($B78,Kraftvärmeprod!$B$1:$BX$549,MATCH(AP$1,Kraftvärmeprod!$B$1:$BX$1,0),FALSE)</f>
        <v>0</v>
      </c>
      <c r="AQ78">
        <f>VLOOKUP($B78,Kraftvärmeprod!$B$1:$BX$549,MATCH(AQ$1,Kraftvärmeprod!$B$1:$BX$1,0),FALSE)</f>
        <v>0</v>
      </c>
      <c r="AR78">
        <f>VLOOKUP($B78,Kraftvärmeprod!$B$1:$BX$549,MATCH("Summa tillförd energi exklusive rökgaskondensering",Kraftvärmeprod!$B$1:$BX$1,0),FALSE)</f>
        <v>0</v>
      </c>
      <c r="AT78" s="17" t="str">
        <f t="shared" si="9"/>
        <v/>
      </c>
      <c r="AV78">
        <f t="shared" si="10"/>
        <v>0</v>
      </c>
      <c r="BA78" s="17" t="str">
        <f t="shared" si="11"/>
        <v/>
      </c>
    </row>
    <row r="79" spans="1:53" x14ac:dyDescent="0.25">
      <c r="A79" s="137" t="s">
        <v>293</v>
      </c>
      <c r="B79" s="137" t="s">
        <v>296</v>
      </c>
      <c r="C79" s="121"/>
      <c r="D79" s="121"/>
      <c r="E79" s="121"/>
      <c r="F79" s="121"/>
      <c r="G79" s="121"/>
      <c r="H79" s="121"/>
      <c r="I79" s="121"/>
      <c r="J79" s="121">
        <v>0</v>
      </c>
      <c r="K79" s="121">
        <v>0</v>
      </c>
      <c r="L79" s="121">
        <v>0</v>
      </c>
      <c r="M79" s="121">
        <v>0</v>
      </c>
      <c r="N79" s="121">
        <v>0</v>
      </c>
      <c r="O79" s="121">
        <v>0</v>
      </c>
      <c r="P79" s="121">
        <v>0</v>
      </c>
      <c r="Q79" s="121">
        <v>0</v>
      </c>
      <c r="R79" s="121">
        <v>0</v>
      </c>
      <c r="S79" s="121">
        <v>0</v>
      </c>
      <c r="T79" s="121">
        <v>0</v>
      </c>
      <c r="U79" s="121">
        <v>0</v>
      </c>
      <c r="V79" s="121" t="s">
        <v>1119</v>
      </c>
      <c r="W79" s="121">
        <v>0</v>
      </c>
      <c r="X79" s="121">
        <v>0</v>
      </c>
      <c r="Y79" s="121">
        <v>0</v>
      </c>
      <c r="Z79" s="121">
        <v>0</v>
      </c>
      <c r="AA79" s="121">
        <v>0</v>
      </c>
      <c r="AB79" s="121">
        <v>0</v>
      </c>
      <c r="AC79" s="121">
        <v>0</v>
      </c>
      <c r="AD79" s="121">
        <v>0</v>
      </c>
      <c r="AE79" s="121">
        <v>0</v>
      </c>
      <c r="AF79" s="121">
        <v>0</v>
      </c>
      <c r="AG79" s="121">
        <v>0</v>
      </c>
      <c r="AH79" s="121">
        <v>0</v>
      </c>
      <c r="AI79" s="121">
        <v>0</v>
      </c>
      <c r="AL79" s="14">
        <f t="shared" si="6"/>
        <v>0</v>
      </c>
      <c r="AM79">
        <f t="shared" si="7"/>
        <v>0</v>
      </c>
      <c r="AN79">
        <f t="shared" si="8"/>
        <v>0</v>
      </c>
      <c r="AP79">
        <f>VLOOKUP($B79,Kraftvärmeprod!$B$1:$BX$549,MATCH(AP$1,Kraftvärmeprod!$B$1:$BX$1,0),FALSE)</f>
        <v>0</v>
      </c>
      <c r="AQ79">
        <f>VLOOKUP($B79,Kraftvärmeprod!$B$1:$BX$549,MATCH(AQ$1,Kraftvärmeprod!$B$1:$BX$1,0),FALSE)</f>
        <v>0</v>
      </c>
      <c r="AR79">
        <f>VLOOKUP($B79,Kraftvärmeprod!$B$1:$BX$549,MATCH("Summa tillförd energi exklusive rökgaskondensering",Kraftvärmeprod!$B$1:$BX$1,0),FALSE)</f>
        <v>0</v>
      </c>
      <c r="AT79" s="17" t="str">
        <f t="shared" si="9"/>
        <v/>
      </c>
      <c r="AV79">
        <f t="shared" si="10"/>
        <v>0</v>
      </c>
      <c r="BA79" s="17" t="str">
        <f t="shared" si="11"/>
        <v/>
      </c>
    </row>
    <row r="80" spans="1:53" x14ac:dyDescent="0.25">
      <c r="A80" s="137" t="s">
        <v>297</v>
      </c>
      <c r="B80" s="137" t="s">
        <v>298</v>
      </c>
      <c r="C80" s="121"/>
      <c r="D80" s="121"/>
      <c r="E80" s="121"/>
      <c r="F80" s="121"/>
      <c r="G80" s="121"/>
      <c r="H80" s="121"/>
      <c r="I80" s="121"/>
      <c r="J80" s="121">
        <v>0</v>
      </c>
      <c r="K80" s="121">
        <v>0</v>
      </c>
      <c r="L80" s="121">
        <v>0</v>
      </c>
      <c r="M80" s="121">
        <v>0</v>
      </c>
      <c r="N80" s="121">
        <v>0</v>
      </c>
      <c r="O80" s="121">
        <v>0</v>
      </c>
      <c r="P80" s="121">
        <v>0</v>
      </c>
      <c r="Q80" s="121">
        <v>0</v>
      </c>
      <c r="R80" s="121">
        <v>0</v>
      </c>
      <c r="S80" s="121">
        <v>0</v>
      </c>
      <c r="T80" s="121">
        <v>0</v>
      </c>
      <c r="U80" s="121">
        <v>0</v>
      </c>
      <c r="V80" s="121" t="s">
        <v>1119</v>
      </c>
      <c r="W80" s="121">
        <v>0</v>
      </c>
      <c r="X80" s="121">
        <v>0</v>
      </c>
      <c r="Y80" s="121">
        <v>0</v>
      </c>
      <c r="Z80" s="121">
        <v>0</v>
      </c>
      <c r="AA80" s="121">
        <v>0</v>
      </c>
      <c r="AB80" s="121">
        <v>0</v>
      </c>
      <c r="AC80" s="121">
        <v>0</v>
      </c>
      <c r="AD80" s="121">
        <v>0</v>
      </c>
      <c r="AE80" s="121">
        <v>0</v>
      </c>
      <c r="AF80" s="121">
        <v>0</v>
      </c>
      <c r="AG80" s="121">
        <v>0</v>
      </c>
      <c r="AH80" s="121">
        <v>0</v>
      </c>
      <c r="AI80" s="121">
        <v>0</v>
      </c>
      <c r="AL80" s="14">
        <f t="shared" si="6"/>
        <v>0</v>
      </c>
      <c r="AM80">
        <f t="shared" si="7"/>
        <v>0</v>
      </c>
      <c r="AN80">
        <f t="shared" si="8"/>
        <v>0</v>
      </c>
      <c r="AP80">
        <f>VLOOKUP($B80,Kraftvärmeprod!$B$1:$BX$549,MATCH(AP$1,Kraftvärmeprod!$B$1:$BX$1,0),FALSE)</f>
        <v>0</v>
      </c>
      <c r="AQ80">
        <f>VLOOKUP($B80,Kraftvärmeprod!$B$1:$BX$549,MATCH(AQ$1,Kraftvärmeprod!$B$1:$BX$1,0),FALSE)</f>
        <v>0</v>
      </c>
      <c r="AR80">
        <f>VLOOKUP($B80,Kraftvärmeprod!$B$1:$BX$549,MATCH("Summa tillförd energi exklusive rökgaskondensering",Kraftvärmeprod!$B$1:$BX$1,0),FALSE)</f>
        <v>0</v>
      </c>
      <c r="AT80" s="17" t="str">
        <f t="shared" si="9"/>
        <v/>
      </c>
      <c r="AV80">
        <f t="shared" si="10"/>
        <v>0</v>
      </c>
      <c r="BA80" s="17" t="str">
        <f t="shared" si="11"/>
        <v/>
      </c>
    </row>
    <row r="81" spans="1:53" x14ac:dyDescent="0.25">
      <c r="A81" s="137" t="s">
        <v>297</v>
      </c>
      <c r="B81" s="137" t="s">
        <v>299</v>
      </c>
      <c r="C81" s="121"/>
      <c r="D81" s="121"/>
      <c r="E81" s="121"/>
      <c r="F81" s="121"/>
      <c r="G81" s="121"/>
      <c r="H81" s="121"/>
      <c r="I81" s="121"/>
      <c r="J81" s="121">
        <v>0</v>
      </c>
      <c r="K81" s="121">
        <v>0</v>
      </c>
      <c r="L81" s="121">
        <v>0</v>
      </c>
      <c r="M81" s="121">
        <v>0</v>
      </c>
      <c r="N81" s="121">
        <v>0</v>
      </c>
      <c r="O81" s="121">
        <v>0</v>
      </c>
      <c r="P81" s="121">
        <v>0</v>
      </c>
      <c r="Q81" s="121">
        <v>0</v>
      </c>
      <c r="R81" s="121">
        <v>0</v>
      </c>
      <c r="S81" s="121">
        <v>0</v>
      </c>
      <c r="T81" s="121">
        <v>0</v>
      </c>
      <c r="U81" s="121">
        <v>0</v>
      </c>
      <c r="V81" s="121" t="s">
        <v>1119</v>
      </c>
      <c r="W81" s="121">
        <v>0</v>
      </c>
      <c r="X81" s="121">
        <v>0</v>
      </c>
      <c r="Y81" s="121">
        <v>0</v>
      </c>
      <c r="Z81" s="121">
        <v>0</v>
      </c>
      <c r="AA81" s="121">
        <v>0</v>
      </c>
      <c r="AB81" s="121">
        <v>0</v>
      </c>
      <c r="AC81" s="121">
        <v>0</v>
      </c>
      <c r="AD81" s="121">
        <v>0</v>
      </c>
      <c r="AE81" s="121">
        <v>0</v>
      </c>
      <c r="AF81" s="121">
        <v>0</v>
      </c>
      <c r="AG81" s="121">
        <v>0</v>
      </c>
      <c r="AH81" s="121">
        <v>0</v>
      </c>
      <c r="AI81" s="121">
        <v>0</v>
      </c>
      <c r="AL81" s="14">
        <f t="shared" si="6"/>
        <v>0</v>
      </c>
      <c r="AM81">
        <f t="shared" si="7"/>
        <v>0</v>
      </c>
      <c r="AN81">
        <f t="shared" si="8"/>
        <v>0</v>
      </c>
      <c r="AP81">
        <f>VLOOKUP($B81,Kraftvärmeprod!$B$1:$BX$549,MATCH(AP$1,Kraftvärmeprod!$B$1:$BX$1,0),FALSE)</f>
        <v>0</v>
      </c>
      <c r="AQ81">
        <f>VLOOKUP($B81,Kraftvärmeprod!$B$1:$BX$549,MATCH(AQ$1,Kraftvärmeprod!$B$1:$BX$1,0),FALSE)</f>
        <v>0</v>
      </c>
      <c r="AR81">
        <f>VLOOKUP($B81,Kraftvärmeprod!$B$1:$BX$549,MATCH("Summa tillförd energi exklusive rökgaskondensering",Kraftvärmeprod!$B$1:$BX$1,0),FALSE)</f>
        <v>0</v>
      </c>
      <c r="AT81" s="17" t="str">
        <f t="shared" si="9"/>
        <v/>
      </c>
      <c r="AV81">
        <f t="shared" si="10"/>
        <v>0</v>
      </c>
      <c r="BA81" s="17" t="str">
        <f t="shared" si="11"/>
        <v/>
      </c>
    </row>
    <row r="82" spans="1:53" x14ac:dyDescent="0.25">
      <c r="A82" s="137" t="s">
        <v>297</v>
      </c>
      <c r="B82" s="137" t="s">
        <v>300</v>
      </c>
      <c r="C82" s="121"/>
      <c r="D82" s="121"/>
      <c r="E82" s="121"/>
      <c r="F82" s="121"/>
      <c r="G82" s="121"/>
      <c r="H82" s="121"/>
      <c r="I82" s="121"/>
      <c r="J82" s="121">
        <v>0</v>
      </c>
      <c r="K82" s="121">
        <v>0</v>
      </c>
      <c r="L82" s="121">
        <v>0</v>
      </c>
      <c r="M82" s="121">
        <v>0</v>
      </c>
      <c r="N82" s="121">
        <v>0</v>
      </c>
      <c r="O82" s="121">
        <v>0</v>
      </c>
      <c r="P82" s="121">
        <v>0</v>
      </c>
      <c r="Q82" s="121">
        <v>0</v>
      </c>
      <c r="R82" s="121">
        <v>0</v>
      </c>
      <c r="S82" s="121">
        <v>0</v>
      </c>
      <c r="T82" s="121">
        <v>0</v>
      </c>
      <c r="U82" s="121">
        <v>0</v>
      </c>
      <c r="V82" s="121" t="s">
        <v>1119</v>
      </c>
      <c r="W82" s="121">
        <v>0</v>
      </c>
      <c r="X82" s="121">
        <v>0</v>
      </c>
      <c r="Y82" s="121">
        <v>0</v>
      </c>
      <c r="Z82" s="121">
        <v>0</v>
      </c>
      <c r="AA82" s="121">
        <v>0</v>
      </c>
      <c r="AB82" s="121">
        <v>0</v>
      </c>
      <c r="AC82" s="121">
        <v>0</v>
      </c>
      <c r="AD82" s="121">
        <v>0</v>
      </c>
      <c r="AE82" s="121">
        <v>0</v>
      </c>
      <c r="AF82" s="121">
        <v>0</v>
      </c>
      <c r="AG82" s="121">
        <v>0</v>
      </c>
      <c r="AH82" s="121">
        <v>0</v>
      </c>
      <c r="AI82" s="121">
        <v>0</v>
      </c>
      <c r="AL82" s="14">
        <f t="shared" si="6"/>
        <v>0</v>
      </c>
      <c r="AM82">
        <f t="shared" si="7"/>
        <v>0</v>
      </c>
      <c r="AN82">
        <f t="shared" si="8"/>
        <v>0</v>
      </c>
      <c r="AP82">
        <f>VLOOKUP($B82,Kraftvärmeprod!$B$1:$BX$549,MATCH(AP$1,Kraftvärmeprod!$B$1:$BX$1,0),FALSE)</f>
        <v>0</v>
      </c>
      <c r="AQ82">
        <f>VLOOKUP($B82,Kraftvärmeprod!$B$1:$BX$549,MATCH(AQ$1,Kraftvärmeprod!$B$1:$BX$1,0),FALSE)</f>
        <v>0</v>
      </c>
      <c r="AR82">
        <f>VLOOKUP($B82,Kraftvärmeprod!$B$1:$BX$549,MATCH("Summa tillförd energi exklusive rökgaskondensering",Kraftvärmeprod!$B$1:$BX$1,0),FALSE)</f>
        <v>0</v>
      </c>
      <c r="AT82" s="17" t="str">
        <f t="shared" si="9"/>
        <v/>
      </c>
      <c r="AV82">
        <f t="shared" si="10"/>
        <v>0</v>
      </c>
      <c r="BA82" s="17" t="str">
        <f t="shared" si="11"/>
        <v/>
      </c>
    </row>
    <row r="83" spans="1:53" x14ac:dyDescent="0.25">
      <c r="A83" s="137" t="s">
        <v>301</v>
      </c>
      <c r="B83" s="137" t="s">
        <v>302</v>
      </c>
      <c r="C83" s="121"/>
      <c r="D83" s="121"/>
      <c r="E83" s="121"/>
      <c r="F83" s="121"/>
      <c r="G83" s="121"/>
      <c r="H83" s="121"/>
      <c r="I83" s="121"/>
      <c r="J83" s="121">
        <v>0</v>
      </c>
      <c r="K83" s="121">
        <v>0</v>
      </c>
      <c r="L83" s="121">
        <v>0</v>
      </c>
      <c r="M83" s="121">
        <v>0</v>
      </c>
      <c r="N83" s="121">
        <v>0</v>
      </c>
      <c r="O83" s="121">
        <v>0</v>
      </c>
      <c r="P83" s="121">
        <v>0</v>
      </c>
      <c r="Q83" s="121">
        <v>0</v>
      </c>
      <c r="R83" s="121">
        <v>0</v>
      </c>
      <c r="S83" s="121">
        <v>0</v>
      </c>
      <c r="T83" s="121">
        <v>0</v>
      </c>
      <c r="U83" s="121">
        <v>0</v>
      </c>
      <c r="V83" s="121" t="s">
        <v>1119</v>
      </c>
      <c r="W83" s="121">
        <v>0</v>
      </c>
      <c r="X83" s="121">
        <v>0</v>
      </c>
      <c r="Y83" s="121">
        <v>0</v>
      </c>
      <c r="Z83" s="121">
        <v>0</v>
      </c>
      <c r="AA83" s="121">
        <v>0</v>
      </c>
      <c r="AB83" s="121">
        <v>0</v>
      </c>
      <c r="AC83" s="121">
        <v>0</v>
      </c>
      <c r="AD83" s="121">
        <v>0</v>
      </c>
      <c r="AE83" s="121">
        <v>0</v>
      </c>
      <c r="AF83" s="121">
        <v>0</v>
      </c>
      <c r="AG83" s="121">
        <v>0</v>
      </c>
      <c r="AH83" s="121">
        <v>0</v>
      </c>
      <c r="AI83" s="121">
        <v>0</v>
      </c>
      <c r="AL83" s="14">
        <f t="shared" si="6"/>
        <v>0</v>
      </c>
      <c r="AM83">
        <f t="shared" si="7"/>
        <v>0</v>
      </c>
      <c r="AN83">
        <f t="shared" si="8"/>
        <v>0</v>
      </c>
      <c r="AP83">
        <f>VLOOKUP($B83,Kraftvärmeprod!$B$1:$BX$549,MATCH(AP$1,Kraftvärmeprod!$B$1:$BX$1,0),FALSE)</f>
        <v>0</v>
      </c>
      <c r="AQ83">
        <f>VLOOKUP($B83,Kraftvärmeprod!$B$1:$BX$549,MATCH(AQ$1,Kraftvärmeprod!$B$1:$BX$1,0),FALSE)</f>
        <v>0</v>
      </c>
      <c r="AR83">
        <f>VLOOKUP($B83,Kraftvärmeprod!$B$1:$BX$549,MATCH("Summa tillförd energi exklusive rökgaskondensering",Kraftvärmeprod!$B$1:$BX$1,0),FALSE)</f>
        <v>0</v>
      </c>
      <c r="AT83" s="17" t="str">
        <f t="shared" si="9"/>
        <v/>
      </c>
      <c r="AV83">
        <f t="shared" si="10"/>
        <v>0</v>
      </c>
      <c r="BA83" s="17" t="str">
        <f t="shared" si="11"/>
        <v/>
      </c>
    </row>
    <row r="84" spans="1:53" x14ac:dyDescent="0.25">
      <c r="A84" s="137" t="s">
        <v>301</v>
      </c>
      <c r="B84" s="137" t="s">
        <v>303</v>
      </c>
      <c r="C84" s="121"/>
      <c r="D84" s="121"/>
      <c r="E84" s="121"/>
      <c r="F84" s="121"/>
      <c r="G84" s="121"/>
      <c r="H84" s="121"/>
      <c r="I84" s="121"/>
      <c r="J84" s="121">
        <v>0</v>
      </c>
      <c r="K84" s="121">
        <v>1.75</v>
      </c>
      <c r="L84" s="121">
        <v>0</v>
      </c>
      <c r="M84" s="121">
        <v>0</v>
      </c>
      <c r="N84" s="121">
        <v>0</v>
      </c>
      <c r="O84" s="121">
        <v>0</v>
      </c>
      <c r="P84" s="121">
        <v>33.812600000000003</v>
      </c>
      <c r="Q84" s="121">
        <v>83.492900000000006</v>
      </c>
      <c r="R84" s="121">
        <v>30.292899999999999</v>
      </c>
      <c r="S84" s="121">
        <v>2.30803</v>
      </c>
      <c r="T84" s="121">
        <v>0</v>
      </c>
      <c r="U84" s="121">
        <v>20.887599999999999</v>
      </c>
      <c r="V84" s="121" t="s">
        <v>1119</v>
      </c>
      <c r="W84" s="121">
        <v>0</v>
      </c>
      <c r="X84" s="121">
        <v>0</v>
      </c>
      <c r="Y84" s="121">
        <v>0</v>
      </c>
      <c r="Z84" s="121">
        <v>43.390900000000002</v>
      </c>
      <c r="AA84" s="121">
        <v>0</v>
      </c>
      <c r="AB84" s="121">
        <v>0</v>
      </c>
      <c r="AC84" s="121">
        <v>0</v>
      </c>
      <c r="AD84" s="121">
        <v>0</v>
      </c>
      <c r="AE84" s="121">
        <v>0</v>
      </c>
      <c r="AF84" s="121">
        <v>0</v>
      </c>
      <c r="AG84" s="121">
        <v>0</v>
      </c>
      <c r="AH84" s="121">
        <v>61.44</v>
      </c>
      <c r="AI84" s="121">
        <v>8.8585700000000003</v>
      </c>
      <c r="AL84" s="14">
        <f t="shared" si="6"/>
        <v>286.23349999999999</v>
      </c>
      <c r="AM84">
        <f t="shared" si="7"/>
        <v>277.37493000000001</v>
      </c>
      <c r="AN84">
        <f t="shared" si="8"/>
        <v>215.93493000000001</v>
      </c>
      <c r="AP84">
        <f>VLOOKUP($B84,Kraftvärmeprod!$B$1:$BX$549,MATCH(AP$1,Kraftvärmeprod!$B$1:$BX$1,0),FALSE)</f>
        <v>255.6</v>
      </c>
      <c r="AQ84">
        <f>VLOOKUP($B84,Kraftvärmeprod!$B$1:$BX$549,MATCH(AQ$1,Kraftvärmeprod!$B$1:$BX$1,0),FALSE)</f>
        <v>71.900000000000006</v>
      </c>
      <c r="AR84">
        <f>VLOOKUP($B84,Kraftvärmeprod!$B$1:$BX$549,MATCH("Summa tillförd energi exklusive rökgaskondensering",Kraftvärmeprod!$B$1:$BX$1,0),FALSE)</f>
        <v>372.94999999999993</v>
      </c>
      <c r="AT84" s="17">
        <f t="shared" si="9"/>
        <v>0.57899163426732814</v>
      </c>
      <c r="AV84">
        <f t="shared" si="10"/>
        <v>214.18493000000001</v>
      </c>
      <c r="BA84" s="17">
        <f t="shared" si="11"/>
        <v>1.1370435533055894</v>
      </c>
    </row>
    <row r="85" spans="1:53" x14ac:dyDescent="0.25">
      <c r="A85" s="137" t="s">
        <v>301</v>
      </c>
      <c r="B85" s="137" t="s">
        <v>305</v>
      </c>
      <c r="C85" s="121"/>
      <c r="D85" s="121"/>
      <c r="E85" s="121"/>
      <c r="F85" s="121"/>
      <c r="G85" s="121"/>
      <c r="H85" s="121"/>
      <c r="I85" s="121"/>
      <c r="J85" s="121">
        <v>0</v>
      </c>
      <c r="K85" s="121">
        <v>0</v>
      </c>
      <c r="L85" s="121">
        <v>0</v>
      </c>
      <c r="M85" s="121">
        <v>0</v>
      </c>
      <c r="N85" s="121">
        <v>0</v>
      </c>
      <c r="O85" s="121">
        <v>0</v>
      </c>
      <c r="P85" s="121">
        <v>0</v>
      </c>
      <c r="Q85" s="121">
        <v>0</v>
      </c>
      <c r="R85" s="121">
        <v>0</v>
      </c>
      <c r="S85" s="121">
        <v>0</v>
      </c>
      <c r="T85" s="121">
        <v>0</v>
      </c>
      <c r="U85" s="121">
        <v>0</v>
      </c>
      <c r="V85" s="121" t="s">
        <v>1119</v>
      </c>
      <c r="W85" s="121">
        <v>0</v>
      </c>
      <c r="X85" s="121">
        <v>0</v>
      </c>
      <c r="Y85" s="121">
        <v>0</v>
      </c>
      <c r="Z85" s="121">
        <v>0</v>
      </c>
      <c r="AA85" s="121">
        <v>0</v>
      </c>
      <c r="AB85" s="121">
        <v>0</v>
      </c>
      <c r="AC85" s="121">
        <v>0</v>
      </c>
      <c r="AD85" s="121">
        <v>0</v>
      </c>
      <c r="AE85" s="121">
        <v>0</v>
      </c>
      <c r="AF85" s="121">
        <v>0</v>
      </c>
      <c r="AG85" s="121">
        <v>0</v>
      </c>
      <c r="AH85" s="121">
        <v>0</v>
      </c>
      <c r="AI85" s="121">
        <v>0</v>
      </c>
      <c r="AL85" s="14">
        <f t="shared" si="6"/>
        <v>0</v>
      </c>
      <c r="AM85">
        <f t="shared" si="7"/>
        <v>0</v>
      </c>
      <c r="AN85">
        <f t="shared" si="8"/>
        <v>0</v>
      </c>
      <c r="AP85">
        <f>VLOOKUP($B85,Kraftvärmeprod!$B$1:$BX$549,MATCH(AP$1,Kraftvärmeprod!$B$1:$BX$1,0),FALSE)</f>
        <v>0</v>
      </c>
      <c r="AQ85">
        <f>VLOOKUP($B85,Kraftvärmeprod!$B$1:$BX$549,MATCH(AQ$1,Kraftvärmeprod!$B$1:$BX$1,0),FALSE)</f>
        <v>0</v>
      </c>
      <c r="AR85">
        <f>VLOOKUP($B85,Kraftvärmeprod!$B$1:$BX$549,MATCH("Summa tillförd energi exklusive rökgaskondensering",Kraftvärmeprod!$B$1:$BX$1,0),FALSE)</f>
        <v>0</v>
      </c>
      <c r="AT85" s="17" t="str">
        <f t="shared" si="9"/>
        <v/>
      </c>
      <c r="AV85">
        <f t="shared" si="10"/>
        <v>0</v>
      </c>
      <c r="BA85" s="17" t="str">
        <f t="shared" si="11"/>
        <v/>
      </c>
    </row>
    <row r="86" spans="1:53" x14ac:dyDescent="0.25">
      <c r="A86" s="137" t="s">
        <v>301</v>
      </c>
      <c r="B86" s="137" t="s">
        <v>306</v>
      </c>
      <c r="C86" s="121"/>
      <c r="D86" s="121"/>
      <c r="E86" s="121"/>
      <c r="F86" s="121"/>
      <c r="G86" s="121"/>
      <c r="H86" s="121"/>
      <c r="I86" s="121"/>
      <c r="J86" s="121">
        <v>0</v>
      </c>
      <c r="K86" s="121">
        <v>0</v>
      </c>
      <c r="L86" s="121">
        <v>0</v>
      </c>
      <c r="M86" s="121">
        <v>0</v>
      </c>
      <c r="N86" s="121">
        <v>0</v>
      </c>
      <c r="O86" s="121">
        <v>0</v>
      </c>
      <c r="P86" s="121">
        <v>0</v>
      </c>
      <c r="Q86" s="121">
        <v>0</v>
      </c>
      <c r="R86" s="121">
        <v>0</v>
      </c>
      <c r="S86" s="121">
        <v>0</v>
      </c>
      <c r="T86" s="121">
        <v>0</v>
      </c>
      <c r="U86" s="121">
        <v>0</v>
      </c>
      <c r="V86" s="121" t="s">
        <v>1119</v>
      </c>
      <c r="W86" s="121">
        <v>0</v>
      </c>
      <c r="X86" s="121">
        <v>0</v>
      </c>
      <c r="Y86" s="121">
        <v>0</v>
      </c>
      <c r="Z86" s="121">
        <v>0</v>
      </c>
      <c r="AA86" s="121">
        <v>0</v>
      </c>
      <c r="AB86" s="121">
        <v>0</v>
      </c>
      <c r="AC86" s="121">
        <v>0</v>
      </c>
      <c r="AD86" s="121">
        <v>0</v>
      </c>
      <c r="AE86" s="121">
        <v>0</v>
      </c>
      <c r="AF86" s="121">
        <v>0</v>
      </c>
      <c r="AG86" s="121">
        <v>0</v>
      </c>
      <c r="AH86" s="121">
        <v>0</v>
      </c>
      <c r="AI86" s="121">
        <v>0</v>
      </c>
      <c r="AL86" s="14">
        <f t="shared" si="6"/>
        <v>0</v>
      </c>
      <c r="AM86">
        <f t="shared" si="7"/>
        <v>0</v>
      </c>
      <c r="AN86">
        <f t="shared" si="8"/>
        <v>0</v>
      </c>
      <c r="AP86">
        <f>VLOOKUP($B86,Kraftvärmeprod!$B$1:$BX$549,MATCH(AP$1,Kraftvärmeprod!$B$1:$BX$1,0),FALSE)</f>
        <v>0</v>
      </c>
      <c r="AQ86">
        <f>VLOOKUP($B86,Kraftvärmeprod!$B$1:$BX$549,MATCH(AQ$1,Kraftvärmeprod!$B$1:$BX$1,0),FALSE)</f>
        <v>0</v>
      </c>
      <c r="AR86">
        <f>VLOOKUP($B86,Kraftvärmeprod!$B$1:$BX$549,MATCH("Summa tillförd energi exklusive rökgaskondensering",Kraftvärmeprod!$B$1:$BX$1,0),FALSE)</f>
        <v>0</v>
      </c>
      <c r="AT86" s="17" t="str">
        <f t="shared" si="9"/>
        <v/>
      </c>
      <c r="AV86">
        <f t="shared" si="10"/>
        <v>0</v>
      </c>
      <c r="BA86" s="17" t="str">
        <f t="shared" si="11"/>
        <v/>
      </c>
    </row>
    <row r="87" spans="1:53" x14ac:dyDescent="0.25">
      <c r="A87" s="137" t="s">
        <v>307</v>
      </c>
      <c r="B87" s="137" t="s">
        <v>308</v>
      </c>
      <c r="C87" s="121"/>
      <c r="D87" s="121"/>
      <c r="E87" s="121"/>
      <c r="F87" s="121"/>
      <c r="G87" s="121"/>
      <c r="H87" s="121"/>
      <c r="I87" s="121"/>
      <c r="J87" s="121">
        <v>0</v>
      </c>
      <c r="K87" s="121">
        <v>0</v>
      </c>
      <c r="L87" s="121">
        <v>0</v>
      </c>
      <c r="M87" s="121">
        <v>0</v>
      </c>
      <c r="N87" s="121">
        <v>0</v>
      </c>
      <c r="O87" s="121">
        <v>0</v>
      </c>
      <c r="P87" s="121">
        <v>0</v>
      </c>
      <c r="Q87" s="121">
        <v>0</v>
      </c>
      <c r="R87" s="121">
        <v>0</v>
      </c>
      <c r="S87" s="121">
        <v>0</v>
      </c>
      <c r="T87" s="121">
        <v>0</v>
      </c>
      <c r="U87" s="121">
        <v>0</v>
      </c>
      <c r="V87" s="121" t="s">
        <v>1119</v>
      </c>
      <c r="W87" s="121">
        <v>0</v>
      </c>
      <c r="X87" s="121">
        <v>0</v>
      </c>
      <c r="Y87" s="121">
        <v>0</v>
      </c>
      <c r="Z87" s="121">
        <v>0</v>
      </c>
      <c r="AA87" s="121">
        <v>0</v>
      </c>
      <c r="AB87" s="121">
        <v>0</v>
      </c>
      <c r="AC87" s="121">
        <v>0</v>
      </c>
      <c r="AD87" s="121">
        <v>0</v>
      </c>
      <c r="AE87" s="121">
        <v>0</v>
      </c>
      <c r="AF87" s="121">
        <v>0</v>
      </c>
      <c r="AG87" s="121">
        <v>0</v>
      </c>
      <c r="AH87" s="121">
        <v>0</v>
      </c>
      <c r="AI87" s="121">
        <v>0</v>
      </c>
      <c r="AL87" s="14">
        <f t="shared" si="6"/>
        <v>0</v>
      </c>
      <c r="AM87">
        <f t="shared" si="7"/>
        <v>0</v>
      </c>
      <c r="AN87">
        <f t="shared" si="8"/>
        <v>0</v>
      </c>
      <c r="AP87">
        <f>VLOOKUP($B87,Kraftvärmeprod!$B$1:$BX$549,MATCH(AP$1,Kraftvärmeprod!$B$1:$BX$1,0),FALSE)</f>
        <v>0</v>
      </c>
      <c r="AQ87">
        <f>VLOOKUP($B87,Kraftvärmeprod!$B$1:$BX$549,MATCH(AQ$1,Kraftvärmeprod!$B$1:$BX$1,0),FALSE)</f>
        <v>0</v>
      </c>
      <c r="AR87">
        <f>VLOOKUP($B87,Kraftvärmeprod!$B$1:$BX$549,MATCH("Summa tillförd energi exklusive rökgaskondensering",Kraftvärmeprod!$B$1:$BX$1,0),FALSE)</f>
        <v>0</v>
      </c>
      <c r="AT87" s="17" t="str">
        <f t="shared" si="9"/>
        <v/>
      </c>
      <c r="AV87">
        <f t="shared" si="10"/>
        <v>0</v>
      </c>
      <c r="BA87" s="17" t="str">
        <f t="shared" si="11"/>
        <v/>
      </c>
    </row>
    <row r="88" spans="1:53" x14ac:dyDescent="0.25">
      <c r="A88" s="137" t="s">
        <v>309</v>
      </c>
      <c r="B88" s="137" t="s">
        <v>310</v>
      </c>
      <c r="C88" s="121"/>
      <c r="D88" s="121"/>
      <c r="E88" s="121"/>
      <c r="F88" s="121"/>
      <c r="G88" s="121"/>
      <c r="H88" s="121"/>
      <c r="I88" s="121"/>
      <c r="J88" s="121">
        <v>0</v>
      </c>
      <c r="K88" s="121">
        <v>0</v>
      </c>
      <c r="L88" s="121">
        <v>0</v>
      </c>
      <c r="M88" s="121">
        <v>0</v>
      </c>
      <c r="N88" s="121">
        <v>0</v>
      </c>
      <c r="O88" s="121">
        <v>0</v>
      </c>
      <c r="P88" s="121">
        <v>0</v>
      </c>
      <c r="Q88" s="121">
        <v>0</v>
      </c>
      <c r="R88" s="121">
        <v>0</v>
      </c>
      <c r="S88" s="121">
        <v>0</v>
      </c>
      <c r="T88" s="121">
        <v>0</v>
      </c>
      <c r="U88" s="121">
        <v>0</v>
      </c>
      <c r="V88" s="121" t="s">
        <v>1119</v>
      </c>
      <c r="W88" s="121">
        <v>0</v>
      </c>
      <c r="X88" s="121">
        <v>0</v>
      </c>
      <c r="Y88" s="121">
        <v>0</v>
      </c>
      <c r="Z88" s="121">
        <v>0</v>
      </c>
      <c r="AA88" s="121">
        <v>0</v>
      </c>
      <c r="AB88" s="121">
        <v>0</v>
      </c>
      <c r="AC88" s="121">
        <v>0</v>
      </c>
      <c r="AD88" s="121">
        <v>0</v>
      </c>
      <c r="AE88" s="121">
        <v>0</v>
      </c>
      <c r="AF88" s="121">
        <v>0</v>
      </c>
      <c r="AG88" s="121">
        <v>0</v>
      </c>
      <c r="AH88" s="121">
        <v>0</v>
      </c>
      <c r="AI88" s="121">
        <v>0</v>
      </c>
      <c r="AL88" s="14">
        <f t="shared" si="6"/>
        <v>0</v>
      </c>
      <c r="AM88">
        <f t="shared" si="7"/>
        <v>0</v>
      </c>
      <c r="AN88">
        <f t="shared" si="8"/>
        <v>0</v>
      </c>
      <c r="AP88">
        <f>VLOOKUP($B88,Kraftvärmeprod!$B$1:$BX$549,MATCH(AP$1,Kraftvärmeprod!$B$1:$BX$1,0),FALSE)</f>
        <v>0</v>
      </c>
      <c r="AQ88">
        <f>VLOOKUP($B88,Kraftvärmeprod!$B$1:$BX$549,MATCH(AQ$1,Kraftvärmeprod!$B$1:$BX$1,0),FALSE)</f>
        <v>0</v>
      </c>
      <c r="AR88">
        <f>VLOOKUP($B88,Kraftvärmeprod!$B$1:$BX$549,MATCH("Summa tillförd energi exklusive rökgaskondensering",Kraftvärmeprod!$B$1:$BX$1,0),FALSE)</f>
        <v>0</v>
      </c>
      <c r="AT88" s="17" t="str">
        <f t="shared" si="9"/>
        <v/>
      </c>
      <c r="AV88">
        <f t="shared" si="10"/>
        <v>0</v>
      </c>
      <c r="BA88" s="17" t="str">
        <f t="shared" si="11"/>
        <v/>
      </c>
    </row>
    <row r="89" spans="1:53" x14ac:dyDescent="0.25">
      <c r="A89" s="137" t="s">
        <v>309</v>
      </c>
      <c r="B89" s="137" t="s">
        <v>311</v>
      </c>
      <c r="C89" s="121"/>
      <c r="D89" s="121"/>
      <c r="E89" s="121"/>
      <c r="F89" s="121"/>
      <c r="G89" s="121"/>
      <c r="H89" s="121"/>
      <c r="I89" s="121"/>
      <c r="J89" s="121">
        <v>0</v>
      </c>
      <c r="K89" s="121">
        <v>0</v>
      </c>
      <c r="L89" s="121">
        <v>0</v>
      </c>
      <c r="M89" s="121">
        <v>0</v>
      </c>
      <c r="N89" s="121">
        <v>0</v>
      </c>
      <c r="O89" s="121">
        <v>0</v>
      </c>
      <c r="P89" s="121">
        <v>0</v>
      </c>
      <c r="Q89" s="121">
        <v>0</v>
      </c>
      <c r="R89" s="121">
        <v>0</v>
      </c>
      <c r="S89" s="121">
        <v>0</v>
      </c>
      <c r="T89" s="121">
        <v>0</v>
      </c>
      <c r="U89" s="121">
        <v>0</v>
      </c>
      <c r="V89" s="121" t="s">
        <v>1119</v>
      </c>
      <c r="W89" s="121">
        <v>0</v>
      </c>
      <c r="X89" s="121">
        <v>0</v>
      </c>
      <c r="Y89" s="121">
        <v>0</v>
      </c>
      <c r="Z89" s="121">
        <v>0</v>
      </c>
      <c r="AA89" s="121">
        <v>0</v>
      </c>
      <c r="AB89" s="121">
        <v>0</v>
      </c>
      <c r="AC89" s="121">
        <v>0</v>
      </c>
      <c r="AD89" s="121">
        <v>0</v>
      </c>
      <c r="AE89" s="121">
        <v>0</v>
      </c>
      <c r="AF89" s="121">
        <v>0</v>
      </c>
      <c r="AG89" s="121">
        <v>0</v>
      </c>
      <c r="AH89" s="121">
        <v>0</v>
      </c>
      <c r="AI89" s="121">
        <v>0</v>
      </c>
      <c r="AL89" s="14">
        <f t="shared" si="6"/>
        <v>0</v>
      </c>
      <c r="AM89">
        <f t="shared" si="7"/>
        <v>0</v>
      </c>
      <c r="AN89">
        <f t="shared" si="8"/>
        <v>0</v>
      </c>
      <c r="AP89">
        <f>VLOOKUP($B89,Kraftvärmeprod!$B$1:$BX$549,MATCH(AP$1,Kraftvärmeprod!$B$1:$BX$1,0),FALSE)</f>
        <v>0</v>
      </c>
      <c r="AQ89">
        <f>VLOOKUP($B89,Kraftvärmeprod!$B$1:$BX$549,MATCH(AQ$1,Kraftvärmeprod!$B$1:$BX$1,0),FALSE)</f>
        <v>0</v>
      </c>
      <c r="AR89">
        <f>VLOOKUP($B89,Kraftvärmeprod!$B$1:$BX$549,MATCH("Summa tillförd energi exklusive rökgaskondensering",Kraftvärmeprod!$B$1:$BX$1,0),FALSE)</f>
        <v>0</v>
      </c>
      <c r="AT89" s="17" t="str">
        <f t="shared" si="9"/>
        <v/>
      </c>
      <c r="AV89">
        <f t="shared" si="10"/>
        <v>0</v>
      </c>
      <c r="BA89" s="17" t="str">
        <f t="shared" si="11"/>
        <v/>
      </c>
    </row>
    <row r="90" spans="1:53" x14ac:dyDescent="0.25">
      <c r="A90" s="137" t="s">
        <v>309</v>
      </c>
      <c r="B90" s="137" t="s">
        <v>313</v>
      </c>
      <c r="C90" s="121"/>
      <c r="D90" s="121"/>
      <c r="E90" s="121"/>
      <c r="F90" s="121"/>
      <c r="G90" s="121"/>
      <c r="H90" s="121"/>
      <c r="I90" s="121"/>
      <c r="J90" s="121">
        <v>0</v>
      </c>
      <c r="K90" s="121">
        <v>0</v>
      </c>
      <c r="L90" s="121">
        <v>0</v>
      </c>
      <c r="M90" s="121">
        <v>0</v>
      </c>
      <c r="N90" s="121">
        <v>0</v>
      </c>
      <c r="O90" s="121">
        <v>0</v>
      </c>
      <c r="P90" s="121">
        <v>0</v>
      </c>
      <c r="Q90" s="121">
        <v>0</v>
      </c>
      <c r="R90" s="121">
        <v>0</v>
      </c>
      <c r="S90" s="121">
        <v>0</v>
      </c>
      <c r="T90" s="121">
        <v>0</v>
      </c>
      <c r="U90" s="121">
        <v>0</v>
      </c>
      <c r="V90" s="121" t="s">
        <v>1119</v>
      </c>
      <c r="W90" s="121">
        <v>0</v>
      </c>
      <c r="X90" s="121">
        <v>0</v>
      </c>
      <c r="Y90" s="121">
        <v>0</v>
      </c>
      <c r="Z90" s="121">
        <v>0</v>
      </c>
      <c r="AA90" s="121">
        <v>0</v>
      </c>
      <c r="AB90" s="121">
        <v>0</v>
      </c>
      <c r="AC90" s="121">
        <v>0</v>
      </c>
      <c r="AD90" s="121">
        <v>0</v>
      </c>
      <c r="AE90" s="121">
        <v>0</v>
      </c>
      <c r="AF90" s="121">
        <v>0</v>
      </c>
      <c r="AG90" s="121">
        <v>0</v>
      </c>
      <c r="AH90" s="121">
        <v>0</v>
      </c>
      <c r="AI90" s="121">
        <v>0</v>
      </c>
      <c r="AL90" s="14">
        <f t="shared" si="6"/>
        <v>0</v>
      </c>
      <c r="AM90">
        <f t="shared" si="7"/>
        <v>0</v>
      </c>
      <c r="AN90">
        <f t="shared" si="8"/>
        <v>0</v>
      </c>
      <c r="AP90">
        <f>VLOOKUP($B90,Kraftvärmeprod!$B$1:$BX$549,MATCH(AP$1,Kraftvärmeprod!$B$1:$BX$1,0),FALSE)</f>
        <v>0</v>
      </c>
      <c r="AQ90">
        <f>VLOOKUP($B90,Kraftvärmeprod!$B$1:$BX$549,MATCH(AQ$1,Kraftvärmeprod!$B$1:$BX$1,0),FALSE)</f>
        <v>0</v>
      </c>
      <c r="AR90">
        <f>VLOOKUP($B90,Kraftvärmeprod!$B$1:$BX$549,MATCH("Summa tillförd energi exklusive rökgaskondensering",Kraftvärmeprod!$B$1:$BX$1,0),FALSE)</f>
        <v>0</v>
      </c>
      <c r="AT90" s="17" t="str">
        <f t="shared" si="9"/>
        <v/>
      </c>
      <c r="AV90">
        <f t="shared" si="10"/>
        <v>0</v>
      </c>
      <c r="BA90" s="17" t="str">
        <f t="shared" si="11"/>
        <v/>
      </c>
    </row>
    <row r="91" spans="1:53" x14ac:dyDescent="0.25">
      <c r="A91" s="137" t="s">
        <v>315</v>
      </c>
      <c r="B91" s="137" t="s">
        <v>316</v>
      </c>
      <c r="C91" s="121"/>
      <c r="D91" s="121"/>
      <c r="E91" s="121"/>
      <c r="F91" s="121"/>
      <c r="G91" s="121"/>
      <c r="H91" s="121"/>
      <c r="I91" s="121"/>
      <c r="J91" s="121">
        <v>0</v>
      </c>
      <c r="K91" s="121">
        <v>0</v>
      </c>
      <c r="L91" s="121">
        <v>0</v>
      </c>
      <c r="M91" s="121">
        <v>0</v>
      </c>
      <c r="N91" s="121">
        <v>0</v>
      </c>
      <c r="O91" s="121">
        <v>0</v>
      </c>
      <c r="P91" s="121">
        <v>0</v>
      </c>
      <c r="Q91" s="121">
        <v>0</v>
      </c>
      <c r="R91" s="121">
        <v>0</v>
      </c>
      <c r="S91" s="121">
        <v>0</v>
      </c>
      <c r="T91" s="121">
        <v>0</v>
      </c>
      <c r="U91" s="121">
        <v>0</v>
      </c>
      <c r="V91" s="121" t="s">
        <v>1119</v>
      </c>
      <c r="W91" s="121">
        <v>0</v>
      </c>
      <c r="X91" s="121">
        <v>0</v>
      </c>
      <c r="Y91" s="121">
        <v>0</v>
      </c>
      <c r="Z91" s="121">
        <v>0</v>
      </c>
      <c r="AA91" s="121">
        <v>0</v>
      </c>
      <c r="AB91" s="121">
        <v>0</v>
      </c>
      <c r="AC91" s="121">
        <v>0</v>
      </c>
      <c r="AD91" s="121">
        <v>0</v>
      </c>
      <c r="AE91" s="121">
        <v>0</v>
      </c>
      <c r="AF91" s="121">
        <v>0</v>
      </c>
      <c r="AG91" s="121">
        <v>0</v>
      </c>
      <c r="AH91" s="121">
        <v>0</v>
      </c>
      <c r="AI91" s="121">
        <v>0</v>
      </c>
      <c r="AL91" s="14">
        <f t="shared" si="6"/>
        <v>0</v>
      </c>
      <c r="AM91">
        <f t="shared" si="7"/>
        <v>0</v>
      </c>
      <c r="AN91">
        <f t="shared" si="8"/>
        <v>0</v>
      </c>
      <c r="AP91">
        <f>VLOOKUP($B91,Kraftvärmeprod!$B$1:$BX$549,MATCH(AP$1,Kraftvärmeprod!$B$1:$BX$1,0),FALSE)</f>
        <v>0</v>
      </c>
      <c r="AQ91">
        <f>VLOOKUP($B91,Kraftvärmeprod!$B$1:$BX$549,MATCH(AQ$1,Kraftvärmeprod!$B$1:$BX$1,0),FALSE)</f>
        <v>0</v>
      </c>
      <c r="AR91">
        <f>VLOOKUP($B91,Kraftvärmeprod!$B$1:$BX$549,MATCH("Summa tillförd energi exklusive rökgaskondensering",Kraftvärmeprod!$B$1:$BX$1,0),FALSE)</f>
        <v>0</v>
      </c>
      <c r="AT91" s="17" t="str">
        <f t="shared" si="9"/>
        <v/>
      </c>
      <c r="AV91">
        <f t="shared" si="10"/>
        <v>0</v>
      </c>
      <c r="BA91" s="17" t="str">
        <f t="shared" si="11"/>
        <v/>
      </c>
    </row>
    <row r="92" spans="1:53" x14ac:dyDescent="0.25">
      <c r="A92" s="137" t="s">
        <v>315</v>
      </c>
      <c r="B92" s="137" t="s">
        <v>317</v>
      </c>
      <c r="C92" s="121"/>
      <c r="D92" s="121"/>
      <c r="E92" s="121"/>
      <c r="F92" s="121"/>
      <c r="G92" s="121"/>
      <c r="H92" s="121"/>
      <c r="I92" s="121"/>
      <c r="J92" s="121">
        <v>0</v>
      </c>
      <c r="K92" s="121">
        <v>0</v>
      </c>
      <c r="L92" s="121">
        <v>0</v>
      </c>
      <c r="M92" s="121">
        <v>0</v>
      </c>
      <c r="N92" s="121">
        <v>0</v>
      </c>
      <c r="O92" s="121">
        <v>0</v>
      </c>
      <c r="P92" s="121">
        <v>0</v>
      </c>
      <c r="Q92" s="121">
        <v>0</v>
      </c>
      <c r="R92" s="121">
        <v>0</v>
      </c>
      <c r="S92" s="121">
        <v>0</v>
      </c>
      <c r="T92" s="121">
        <v>0</v>
      </c>
      <c r="U92" s="121">
        <v>0</v>
      </c>
      <c r="V92" s="121" t="s">
        <v>1119</v>
      </c>
      <c r="W92" s="121">
        <v>0</v>
      </c>
      <c r="X92" s="121">
        <v>0</v>
      </c>
      <c r="Y92" s="121">
        <v>0</v>
      </c>
      <c r="Z92" s="121">
        <v>0</v>
      </c>
      <c r="AA92" s="121">
        <v>0</v>
      </c>
      <c r="AB92" s="121">
        <v>0</v>
      </c>
      <c r="AC92" s="121">
        <v>0</v>
      </c>
      <c r="AD92" s="121">
        <v>0</v>
      </c>
      <c r="AE92" s="121">
        <v>0</v>
      </c>
      <c r="AF92" s="121">
        <v>0</v>
      </c>
      <c r="AG92" s="121">
        <v>0</v>
      </c>
      <c r="AH92" s="121">
        <v>0</v>
      </c>
      <c r="AI92" s="121">
        <v>0</v>
      </c>
      <c r="AL92" s="14">
        <f t="shared" si="6"/>
        <v>0</v>
      </c>
      <c r="AM92">
        <f t="shared" si="7"/>
        <v>0</v>
      </c>
      <c r="AN92">
        <f t="shared" si="8"/>
        <v>0</v>
      </c>
      <c r="AP92">
        <f>VLOOKUP($B92,Kraftvärmeprod!$B$1:$BX$549,MATCH(AP$1,Kraftvärmeprod!$B$1:$BX$1,0),FALSE)</f>
        <v>0</v>
      </c>
      <c r="AQ92">
        <f>VLOOKUP($B92,Kraftvärmeprod!$B$1:$BX$549,MATCH(AQ$1,Kraftvärmeprod!$B$1:$BX$1,0),FALSE)</f>
        <v>0</v>
      </c>
      <c r="AR92">
        <f>VLOOKUP($B92,Kraftvärmeprod!$B$1:$BX$549,MATCH("Summa tillförd energi exklusive rökgaskondensering",Kraftvärmeprod!$B$1:$BX$1,0),FALSE)</f>
        <v>0</v>
      </c>
      <c r="AT92" s="17" t="str">
        <f t="shared" si="9"/>
        <v/>
      </c>
      <c r="AV92">
        <f t="shared" si="10"/>
        <v>0</v>
      </c>
      <c r="BA92" s="17" t="str">
        <f t="shared" si="11"/>
        <v/>
      </c>
    </row>
    <row r="93" spans="1:53" x14ac:dyDescent="0.25">
      <c r="A93" s="137" t="s">
        <v>315</v>
      </c>
      <c r="B93" s="137" t="s">
        <v>318</v>
      </c>
      <c r="C93" s="121"/>
      <c r="D93" s="121"/>
      <c r="E93" s="121"/>
      <c r="F93" s="121"/>
      <c r="G93" s="121"/>
      <c r="H93" s="121"/>
      <c r="I93" s="121"/>
      <c r="J93" s="121">
        <v>0</v>
      </c>
      <c r="K93" s="121">
        <v>0</v>
      </c>
      <c r="L93" s="121">
        <v>0</v>
      </c>
      <c r="M93" s="121">
        <v>0</v>
      </c>
      <c r="N93" s="121">
        <v>0</v>
      </c>
      <c r="O93" s="121">
        <v>0</v>
      </c>
      <c r="P93" s="121">
        <v>0</v>
      </c>
      <c r="Q93" s="121">
        <v>0</v>
      </c>
      <c r="R93" s="121">
        <v>0</v>
      </c>
      <c r="S93" s="121">
        <v>0</v>
      </c>
      <c r="T93" s="121">
        <v>0</v>
      </c>
      <c r="U93" s="121">
        <v>0</v>
      </c>
      <c r="V93" s="121" t="s">
        <v>1119</v>
      </c>
      <c r="W93" s="121">
        <v>0</v>
      </c>
      <c r="X93" s="121">
        <v>0</v>
      </c>
      <c r="Y93" s="121">
        <v>0</v>
      </c>
      <c r="Z93" s="121">
        <v>0</v>
      </c>
      <c r="AA93" s="121">
        <v>0</v>
      </c>
      <c r="AB93" s="121">
        <v>0</v>
      </c>
      <c r="AC93" s="121">
        <v>0</v>
      </c>
      <c r="AD93" s="121">
        <v>0</v>
      </c>
      <c r="AE93" s="121">
        <v>0</v>
      </c>
      <c r="AF93" s="121">
        <v>0</v>
      </c>
      <c r="AG93" s="121">
        <v>0</v>
      </c>
      <c r="AH93" s="121">
        <v>0</v>
      </c>
      <c r="AI93" s="121">
        <v>0</v>
      </c>
      <c r="AL93" s="14">
        <f t="shared" si="6"/>
        <v>0</v>
      </c>
      <c r="AM93">
        <f t="shared" si="7"/>
        <v>0</v>
      </c>
      <c r="AN93">
        <f t="shared" si="8"/>
        <v>0</v>
      </c>
      <c r="AP93">
        <f>VLOOKUP($B93,Kraftvärmeprod!$B$1:$BX$549,MATCH(AP$1,Kraftvärmeprod!$B$1:$BX$1,0),FALSE)</f>
        <v>0</v>
      </c>
      <c r="AQ93">
        <f>VLOOKUP($B93,Kraftvärmeprod!$B$1:$BX$549,MATCH(AQ$1,Kraftvärmeprod!$B$1:$BX$1,0),FALSE)</f>
        <v>0</v>
      </c>
      <c r="AR93">
        <f>VLOOKUP($B93,Kraftvärmeprod!$B$1:$BX$549,MATCH("Summa tillförd energi exklusive rökgaskondensering",Kraftvärmeprod!$B$1:$BX$1,0),FALSE)</f>
        <v>0</v>
      </c>
      <c r="AT93" s="17" t="str">
        <f t="shared" si="9"/>
        <v/>
      </c>
      <c r="AV93">
        <f t="shared" si="10"/>
        <v>0</v>
      </c>
      <c r="BA93" s="17" t="str">
        <f t="shared" si="11"/>
        <v/>
      </c>
    </row>
    <row r="94" spans="1:53" x14ac:dyDescent="0.25">
      <c r="A94" s="137" t="s">
        <v>315</v>
      </c>
      <c r="B94" s="137" t="s">
        <v>319</v>
      </c>
      <c r="C94" s="121"/>
      <c r="D94" s="121"/>
      <c r="E94" s="121"/>
      <c r="F94" s="121"/>
      <c r="G94" s="121"/>
      <c r="H94" s="121"/>
      <c r="I94" s="121"/>
      <c r="J94" s="121">
        <v>0</v>
      </c>
      <c r="K94" s="121">
        <v>0</v>
      </c>
      <c r="L94" s="121">
        <v>0</v>
      </c>
      <c r="M94" s="121">
        <v>0</v>
      </c>
      <c r="N94" s="121">
        <v>0</v>
      </c>
      <c r="O94" s="121">
        <v>0</v>
      </c>
      <c r="P94" s="121">
        <v>0</v>
      </c>
      <c r="Q94" s="121">
        <v>0</v>
      </c>
      <c r="R94" s="121">
        <v>0</v>
      </c>
      <c r="S94" s="121">
        <v>0</v>
      </c>
      <c r="T94" s="121">
        <v>0</v>
      </c>
      <c r="U94" s="121">
        <v>0</v>
      </c>
      <c r="V94" s="121" t="s">
        <v>1119</v>
      </c>
      <c r="W94" s="121">
        <v>0</v>
      </c>
      <c r="X94" s="121">
        <v>0</v>
      </c>
      <c r="Y94" s="121">
        <v>0</v>
      </c>
      <c r="Z94" s="121">
        <v>0</v>
      </c>
      <c r="AA94" s="121">
        <v>0</v>
      </c>
      <c r="AB94" s="121">
        <v>0</v>
      </c>
      <c r="AC94" s="121">
        <v>0</v>
      </c>
      <c r="AD94" s="121">
        <v>0</v>
      </c>
      <c r="AE94" s="121">
        <v>0</v>
      </c>
      <c r="AF94" s="121">
        <v>0</v>
      </c>
      <c r="AG94" s="121">
        <v>0</v>
      </c>
      <c r="AH94" s="121">
        <v>0</v>
      </c>
      <c r="AI94" s="121">
        <v>0</v>
      </c>
      <c r="AL94" s="14">
        <f t="shared" si="6"/>
        <v>0</v>
      </c>
      <c r="AM94">
        <f t="shared" si="7"/>
        <v>0</v>
      </c>
      <c r="AN94">
        <f t="shared" si="8"/>
        <v>0</v>
      </c>
      <c r="AP94">
        <f>VLOOKUP($B94,Kraftvärmeprod!$B$1:$BX$549,MATCH(AP$1,Kraftvärmeprod!$B$1:$BX$1,0),FALSE)</f>
        <v>0</v>
      </c>
      <c r="AQ94">
        <f>VLOOKUP($B94,Kraftvärmeprod!$B$1:$BX$549,MATCH(AQ$1,Kraftvärmeprod!$B$1:$BX$1,0),FALSE)</f>
        <v>0</v>
      </c>
      <c r="AR94">
        <f>VLOOKUP($B94,Kraftvärmeprod!$B$1:$BX$549,MATCH("Summa tillförd energi exklusive rökgaskondensering",Kraftvärmeprod!$B$1:$BX$1,0),FALSE)</f>
        <v>0</v>
      </c>
      <c r="AT94" s="17" t="str">
        <f t="shared" si="9"/>
        <v/>
      </c>
      <c r="AV94">
        <f t="shared" si="10"/>
        <v>0</v>
      </c>
      <c r="BA94" s="17" t="str">
        <f t="shared" si="11"/>
        <v/>
      </c>
    </row>
    <row r="95" spans="1:53" x14ac:dyDescent="0.25">
      <c r="A95" s="137" t="s">
        <v>320</v>
      </c>
      <c r="B95" s="137" t="s">
        <v>321</v>
      </c>
      <c r="C95" s="121"/>
      <c r="D95" s="121"/>
      <c r="E95" s="121"/>
      <c r="F95" s="121"/>
      <c r="G95" s="121"/>
      <c r="H95" s="121"/>
      <c r="I95" s="121"/>
      <c r="J95" s="121">
        <v>0</v>
      </c>
      <c r="K95" s="121">
        <v>0</v>
      </c>
      <c r="L95" s="121">
        <v>0</v>
      </c>
      <c r="M95" s="121">
        <v>0</v>
      </c>
      <c r="N95" s="121">
        <v>0</v>
      </c>
      <c r="O95" s="121">
        <v>0</v>
      </c>
      <c r="P95" s="121">
        <v>2.3623799999999999</v>
      </c>
      <c r="Q95" s="121">
        <v>6.0747</v>
      </c>
      <c r="R95" s="121">
        <v>21.5989</v>
      </c>
      <c r="S95" s="121">
        <v>51.297499999999999</v>
      </c>
      <c r="T95" s="121">
        <v>0</v>
      </c>
      <c r="U95" s="121">
        <v>0</v>
      </c>
      <c r="V95" s="121" t="s">
        <v>1119</v>
      </c>
      <c r="W95" s="121">
        <v>0</v>
      </c>
      <c r="X95" s="121">
        <v>0</v>
      </c>
      <c r="Y95" s="121">
        <v>0</v>
      </c>
      <c r="Z95" s="121">
        <v>0</v>
      </c>
      <c r="AA95" s="121">
        <v>0</v>
      </c>
      <c r="AB95" s="121">
        <v>0</v>
      </c>
      <c r="AC95" s="121">
        <v>0</v>
      </c>
      <c r="AD95" s="121">
        <v>86.680400000000006</v>
      </c>
      <c r="AE95" s="121">
        <v>0</v>
      </c>
      <c r="AF95" s="121">
        <v>0</v>
      </c>
      <c r="AG95" s="121">
        <v>0</v>
      </c>
      <c r="AH95" s="121">
        <v>22</v>
      </c>
      <c r="AI95" s="121">
        <v>5.1270199999999999</v>
      </c>
      <c r="AL95" s="14">
        <f t="shared" si="6"/>
        <v>195.14090000000002</v>
      </c>
      <c r="AM95">
        <f t="shared" si="7"/>
        <v>190.01388000000003</v>
      </c>
      <c r="AN95">
        <f t="shared" si="8"/>
        <v>168.01388000000003</v>
      </c>
      <c r="AP95">
        <f>VLOOKUP($B95,Kraftvärmeprod!$B$1:$BX$549,MATCH(AP$1,Kraftvärmeprod!$B$1:$BX$1,0),FALSE)</f>
        <v>184</v>
      </c>
      <c r="AQ95">
        <f>VLOOKUP($B95,Kraftvärmeprod!$B$1:$BX$549,MATCH(AQ$1,Kraftvärmeprod!$B$1:$BX$1,0),FALSE)</f>
        <v>34</v>
      </c>
      <c r="AR95">
        <f>VLOOKUP($B95,Kraftvärmeprod!$B$1:$BX$549,MATCH("Summa tillförd energi exklusive rökgaskondensering",Kraftvärmeprod!$B$1:$BX$1,0),FALSE)</f>
        <v>242.5</v>
      </c>
      <c r="AT95" s="17">
        <f t="shared" si="9"/>
        <v>0.69284074226804138</v>
      </c>
      <c r="AV95">
        <f t="shared" si="10"/>
        <v>81.333480000000009</v>
      </c>
      <c r="BA95" s="17">
        <f t="shared" si="11"/>
        <v>1.0627182832017159</v>
      </c>
    </row>
    <row r="96" spans="1:53" x14ac:dyDescent="0.25">
      <c r="A96" s="137" t="s">
        <v>322</v>
      </c>
      <c r="B96" s="137" t="s">
        <v>323</v>
      </c>
      <c r="C96" s="121"/>
      <c r="D96" s="121"/>
      <c r="E96" s="121"/>
      <c r="F96" s="121"/>
      <c r="G96" s="121"/>
      <c r="H96" s="121"/>
      <c r="I96" s="121"/>
      <c r="J96" s="121">
        <v>0</v>
      </c>
      <c r="K96" s="121">
        <v>0</v>
      </c>
      <c r="L96" s="121">
        <v>0</v>
      </c>
      <c r="M96" s="121">
        <v>0</v>
      </c>
      <c r="N96" s="121">
        <v>0</v>
      </c>
      <c r="O96" s="121">
        <v>0</v>
      </c>
      <c r="P96" s="121">
        <v>13.781000000000001</v>
      </c>
      <c r="Q96" s="121">
        <v>93.888999999999996</v>
      </c>
      <c r="R96" s="121">
        <v>7.8771100000000001</v>
      </c>
      <c r="S96" s="121">
        <v>0</v>
      </c>
      <c r="T96" s="121">
        <v>0</v>
      </c>
      <c r="U96" s="121">
        <v>0</v>
      </c>
      <c r="V96" s="121" t="s">
        <v>1119</v>
      </c>
      <c r="W96" s="121">
        <v>0</v>
      </c>
      <c r="X96" s="121">
        <v>0</v>
      </c>
      <c r="Y96" s="121">
        <v>0</v>
      </c>
      <c r="Z96" s="121">
        <v>74.868300000000005</v>
      </c>
      <c r="AA96" s="121">
        <v>0</v>
      </c>
      <c r="AB96" s="121">
        <v>7.7607700000000002E-2</v>
      </c>
      <c r="AC96" s="121">
        <v>0</v>
      </c>
      <c r="AD96" s="121">
        <v>0</v>
      </c>
      <c r="AE96" s="121">
        <v>0</v>
      </c>
      <c r="AF96" s="121">
        <v>0</v>
      </c>
      <c r="AG96" s="121">
        <v>0</v>
      </c>
      <c r="AH96" s="121">
        <v>84.256</v>
      </c>
      <c r="AI96" s="121">
        <v>9.4466400000000004</v>
      </c>
      <c r="AL96" s="14">
        <f t="shared" si="6"/>
        <v>284.19565769999997</v>
      </c>
      <c r="AM96">
        <f t="shared" si="7"/>
        <v>274.74901769999997</v>
      </c>
      <c r="AN96">
        <f t="shared" si="8"/>
        <v>190.49301769999997</v>
      </c>
      <c r="AP96">
        <f>VLOOKUP($B96,Kraftvärmeprod!$B$1:$BX$549,MATCH(AP$1,Kraftvärmeprod!$B$1:$BX$1,0),FALSE)</f>
        <v>232.85599999999999</v>
      </c>
      <c r="AQ96">
        <f>VLOOKUP($B96,Kraftvärmeprod!$B$1:$BX$549,MATCH(AQ$1,Kraftvärmeprod!$B$1:$BX$1,0),FALSE)</f>
        <v>80.683000000000007</v>
      </c>
      <c r="AR96">
        <f>VLOOKUP($B96,Kraftvärmeprod!$B$1:$BX$549,MATCH("Summa tillförd energi exklusive rökgaskondensering",Kraftvärmeprod!$B$1:$BX$1,0),FALSE)</f>
        <v>362.48900000000003</v>
      </c>
      <c r="AT96" s="17">
        <f t="shared" si="9"/>
        <v>0.52551392649156237</v>
      </c>
      <c r="AV96">
        <f t="shared" si="10"/>
        <v>190.4930177</v>
      </c>
      <c r="BA96" s="17">
        <f t="shared" si="11"/>
        <v>1.1646313826814161</v>
      </c>
    </row>
    <row r="97" spans="1:53" x14ac:dyDescent="0.25">
      <c r="A97" s="137" t="s">
        <v>324</v>
      </c>
      <c r="B97" s="137" t="s">
        <v>325</v>
      </c>
      <c r="C97" s="121"/>
      <c r="D97" s="121"/>
      <c r="E97" s="121"/>
      <c r="F97" s="121"/>
      <c r="G97" s="121"/>
      <c r="H97" s="121"/>
      <c r="I97" s="121"/>
      <c r="J97" s="121">
        <v>0</v>
      </c>
      <c r="K97" s="121">
        <v>0</v>
      </c>
      <c r="L97" s="121">
        <v>0</v>
      </c>
      <c r="M97" s="121">
        <v>0</v>
      </c>
      <c r="N97" s="121">
        <v>0</v>
      </c>
      <c r="O97" s="121">
        <v>0</v>
      </c>
      <c r="P97" s="121">
        <v>0</v>
      </c>
      <c r="Q97" s="121">
        <v>0</v>
      </c>
      <c r="R97" s="121">
        <v>0</v>
      </c>
      <c r="S97" s="121">
        <v>0</v>
      </c>
      <c r="T97" s="121">
        <v>0</v>
      </c>
      <c r="U97" s="121">
        <v>0</v>
      </c>
      <c r="V97" s="121" t="s">
        <v>1119</v>
      </c>
      <c r="W97" s="121">
        <v>0</v>
      </c>
      <c r="X97" s="121">
        <v>0</v>
      </c>
      <c r="Y97" s="121">
        <v>0</v>
      </c>
      <c r="Z97" s="121">
        <v>0</v>
      </c>
      <c r="AA97" s="121">
        <v>0</v>
      </c>
      <c r="AB97" s="121">
        <v>0</v>
      </c>
      <c r="AC97" s="121">
        <v>0</v>
      </c>
      <c r="AD97" s="121">
        <v>0</v>
      </c>
      <c r="AE97" s="121">
        <v>0</v>
      </c>
      <c r="AF97" s="121">
        <v>0</v>
      </c>
      <c r="AG97" s="121">
        <v>0</v>
      </c>
      <c r="AH97" s="121">
        <v>0</v>
      </c>
      <c r="AI97" s="121">
        <v>0</v>
      </c>
      <c r="AL97" s="14">
        <f t="shared" si="6"/>
        <v>0</v>
      </c>
      <c r="AM97">
        <f t="shared" si="7"/>
        <v>0</v>
      </c>
      <c r="AN97">
        <f t="shared" si="8"/>
        <v>0</v>
      </c>
      <c r="AP97">
        <f>VLOOKUP($B97,Kraftvärmeprod!$B$1:$BX$549,MATCH(AP$1,Kraftvärmeprod!$B$1:$BX$1,0),FALSE)</f>
        <v>0</v>
      </c>
      <c r="AQ97">
        <f>VLOOKUP($B97,Kraftvärmeprod!$B$1:$BX$549,MATCH(AQ$1,Kraftvärmeprod!$B$1:$BX$1,0),FALSE)</f>
        <v>0</v>
      </c>
      <c r="AR97">
        <f>VLOOKUP($B97,Kraftvärmeprod!$B$1:$BX$549,MATCH("Summa tillförd energi exklusive rökgaskondensering",Kraftvärmeprod!$B$1:$BX$1,0),FALSE)</f>
        <v>0</v>
      </c>
      <c r="AT97" s="17" t="str">
        <f t="shared" si="9"/>
        <v/>
      </c>
      <c r="AV97">
        <f t="shared" si="10"/>
        <v>0</v>
      </c>
      <c r="BA97" s="17" t="str">
        <f t="shared" si="11"/>
        <v/>
      </c>
    </row>
    <row r="98" spans="1:53" x14ac:dyDescent="0.25">
      <c r="A98" s="137" t="s">
        <v>324</v>
      </c>
      <c r="B98" s="137" t="s">
        <v>326</v>
      </c>
      <c r="C98" s="121"/>
      <c r="D98" s="121"/>
      <c r="E98" s="121"/>
      <c r="F98" s="121"/>
      <c r="G98" s="121"/>
      <c r="H98" s="121"/>
      <c r="I98" s="121"/>
      <c r="J98" s="121">
        <v>0</v>
      </c>
      <c r="K98" s="121">
        <v>0.182</v>
      </c>
      <c r="L98" s="121">
        <v>0</v>
      </c>
      <c r="M98" s="121">
        <v>0</v>
      </c>
      <c r="N98" s="121">
        <v>433.72</v>
      </c>
      <c r="O98" s="121">
        <v>0</v>
      </c>
      <c r="P98" s="121">
        <v>56.429000000000002</v>
      </c>
      <c r="Q98" s="121">
        <v>28.841000000000001</v>
      </c>
      <c r="R98" s="121">
        <v>22.571000000000002</v>
      </c>
      <c r="S98" s="121">
        <v>0</v>
      </c>
      <c r="T98" s="121">
        <v>0</v>
      </c>
      <c r="U98" s="121">
        <v>17.556000000000001</v>
      </c>
      <c r="V98" s="121" t="s">
        <v>1119</v>
      </c>
      <c r="W98" s="121">
        <v>0</v>
      </c>
      <c r="X98" s="121">
        <v>0</v>
      </c>
      <c r="Y98" s="121">
        <v>0</v>
      </c>
      <c r="Z98" s="121">
        <v>0</v>
      </c>
      <c r="AA98" s="121">
        <v>0</v>
      </c>
      <c r="AB98" s="121">
        <v>0.497</v>
      </c>
      <c r="AC98" s="121">
        <v>0</v>
      </c>
      <c r="AD98" s="121">
        <v>0</v>
      </c>
      <c r="AE98" s="121">
        <v>0</v>
      </c>
      <c r="AF98" s="121">
        <v>0</v>
      </c>
      <c r="AG98" s="121">
        <v>0</v>
      </c>
      <c r="AH98" s="121">
        <v>37.561999999999998</v>
      </c>
      <c r="AI98" s="121">
        <v>7.6689999999999996</v>
      </c>
      <c r="AL98" s="14">
        <f t="shared" si="6"/>
        <v>605.02700000000004</v>
      </c>
      <c r="AM98">
        <f t="shared" si="7"/>
        <v>597.35800000000006</v>
      </c>
      <c r="AN98">
        <f t="shared" si="8"/>
        <v>559.79600000000005</v>
      </c>
      <c r="AP98">
        <f>VLOOKUP($B98,Kraftvärmeprod!$B$1:$BX$549,MATCH(AP$1,Kraftvärmeprod!$B$1:$BX$1,0),FALSE)</f>
        <v>636.01499999999999</v>
      </c>
      <c r="AQ98">
        <f>VLOOKUP($B98,Kraftvärmeprod!$B$1:$BX$549,MATCH(AQ$1,Kraftvärmeprod!$B$1:$BX$1,0),FALSE)</f>
        <v>430.66699999999997</v>
      </c>
      <c r="AR98">
        <f>VLOOKUP($B98,Kraftvärmeprod!$B$1:$BX$549,MATCH("Summa tillförd energi exklusive rökgaskondensering",Kraftvärmeprod!$B$1:$BX$1,0),FALSE)</f>
        <v>1203.8509999999999</v>
      </c>
      <c r="AT98" s="17">
        <f t="shared" si="9"/>
        <v>0.46500439007817423</v>
      </c>
      <c r="AV98">
        <f t="shared" si="10"/>
        <v>125.89400000000001</v>
      </c>
      <c r="BA98" s="17">
        <f t="shared" si="11"/>
        <v>1.1208004017868942</v>
      </c>
    </row>
    <row r="99" spans="1:53" x14ac:dyDescent="0.25">
      <c r="A99" s="137" t="s">
        <v>324</v>
      </c>
      <c r="B99" s="137" t="s">
        <v>328</v>
      </c>
      <c r="C99" s="121"/>
      <c r="D99" s="121"/>
      <c r="E99" s="121"/>
      <c r="F99" s="121"/>
      <c r="G99" s="121"/>
      <c r="H99" s="121"/>
      <c r="I99" s="121"/>
      <c r="J99" s="121">
        <v>0</v>
      </c>
      <c r="K99" s="121">
        <v>0</v>
      </c>
      <c r="L99" s="121">
        <v>0</v>
      </c>
      <c r="M99" s="121">
        <v>0</v>
      </c>
      <c r="N99" s="121">
        <v>0</v>
      </c>
      <c r="O99" s="121">
        <v>0</v>
      </c>
      <c r="P99" s="121">
        <v>62.521999999999998</v>
      </c>
      <c r="Q99" s="121">
        <v>31.954999999999998</v>
      </c>
      <c r="R99" s="121">
        <v>25.009</v>
      </c>
      <c r="S99" s="121">
        <v>0</v>
      </c>
      <c r="T99" s="121">
        <v>0</v>
      </c>
      <c r="U99" s="121">
        <v>19.451000000000001</v>
      </c>
      <c r="V99" s="121" t="s">
        <v>1119</v>
      </c>
      <c r="W99" s="121">
        <v>0</v>
      </c>
      <c r="X99" s="121">
        <v>0</v>
      </c>
      <c r="Y99" s="121">
        <v>0</v>
      </c>
      <c r="Z99" s="121">
        <v>0</v>
      </c>
      <c r="AA99" s="121">
        <v>0</v>
      </c>
      <c r="AB99" s="121">
        <v>0.550315</v>
      </c>
      <c r="AC99" s="121">
        <v>0</v>
      </c>
      <c r="AD99" s="121">
        <v>0</v>
      </c>
      <c r="AE99" s="121">
        <v>0</v>
      </c>
      <c r="AF99" s="121">
        <v>0</v>
      </c>
      <c r="AG99" s="121">
        <v>0</v>
      </c>
      <c r="AH99" s="121">
        <v>41.618000000000002</v>
      </c>
      <c r="AI99" s="121">
        <v>5.569</v>
      </c>
      <c r="AL99" s="14">
        <f t="shared" si="6"/>
        <v>186.67431500000001</v>
      </c>
      <c r="AM99">
        <f t="shared" si="7"/>
        <v>181.10531500000002</v>
      </c>
      <c r="AN99">
        <f t="shared" si="8"/>
        <v>139.48731500000002</v>
      </c>
      <c r="AP99">
        <f>VLOOKUP($B99,Kraftvärmeprod!$B$1:$BX$549,MATCH(AP$1,Kraftvärmeprod!$B$1:$BX$1,0),FALSE)</f>
        <v>142.43</v>
      </c>
      <c r="AQ99">
        <f>VLOOKUP($B99,Kraftvärmeprod!$B$1:$BX$549,MATCH(AQ$1,Kraftvärmeprod!$B$1:$BX$1,0),FALSE)</f>
        <v>18.640999999999998</v>
      </c>
      <c r="AR99">
        <f>VLOOKUP($B99,Kraftvärmeprod!$B$1:$BX$549,MATCH("Summa tillförd energi exklusive rökgaskondensering",Kraftvärmeprod!$B$1:$BX$1,0),FALSE)</f>
        <v>187.02200000000002</v>
      </c>
      <c r="AT99" s="17">
        <f t="shared" si="9"/>
        <v>0.74583372544406545</v>
      </c>
      <c r="AV99">
        <f t="shared" si="10"/>
        <v>139.487315</v>
      </c>
      <c r="BA99" s="17">
        <f t="shared" si="11"/>
        <v>0.98189451455457144</v>
      </c>
    </row>
    <row r="100" spans="1:53" x14ac:dyDescent="0.25">
      <c r="A100" s="137" t="s">
        <v>324</v>
      </c>
      <c r="B100" s="137" t="s">
        <v>324</v>
      </c>
      <c r="C100" s="121"/>
      <c r="D100" s="121"/>
      <c r="E100" s="121"/>
      <c r="F100" s="121"/>
      <c r="G100" s="121"/>
      <c r="H100" s="121"/>
      <c r="I100" s="121"/>
      <c r="J100" s="121">
        <v>0</v>
      </c>
      <c r="K100" s="121">
        <v>0</v>
      </c>
      <c r="L100" s="121">
        <v>0</v>
      </c>
      <c r="M100" s="121">
        <v>0</v>
      </c>
      <c r="N100" s="121">
        <v>0</v>
      </c>
      <c r="O100" s="121">
        <v>0</v>
      </c>
      <c r="P100" s="121">
        <v>0</v>
      </c>
      <c r="Q100" s="121">
        <v>0</v>
      </c>
      <c r="R100" s="121">
        <v>0</v>
      </c>
      <c r="S100" s="121">
        <v>0</v>
      </c>
      <c r="T100" s="121">
        <v>0</v>
      </c>
      <c r="U100" s="121">
        <v>0</v>
      </c>
      <c r="V100" s="121" t="s">
        <v>1119</v>
      </c>
      <c r="W100" s="121">
        <v>0</v>
      </c>
      <c r="X100" s="121">
        <v>0</v>
      </c>
      <c r="Y100" s="121">
        <v>0</v>
      </c>
      <c r="Z100" s="121">
        <v>0</v>
      </c>
      <c r="AA100" s="121">
        <v>0</v>
      </c>
      <c r="AB100" s="121">
        <v>0</v>
      </c>
      <c r="AC100" s="121">
        <v>0</v>
      </c>
      <c r="AD100" s="121">
        <v>0</v>
      </c>
      <c r="AE100" s="121">
        <v>0</v>
      </c>
      <c r="AF100" s="121">
        <v>0</v>
      </c>
      <c r="AG100" s="121">
        <v>0</v>
      </c>
      <c r="AH100" s="121">
        <v>0</v>
      </c>
      <c r="AI100" s="121">
        <v>0</v>
      </c>
      <c r="AL100" s="14">
        <f t="shared" si="6"/>
        <v>0</v>
      </c>
      <c r="AM100">
        <f t="shared" si="7"/>
        <v>0</v>
      </c>
      <c r="AN100">
        <f t="shared" si="8"/>
        <v>0</v>
      </c>
      <c r="AP100">
        <f>VLOOKUP($B100,Kraftvärmeprod!$B$1:$BX$549,MATCH(AP$1,Kraftvärmeprod!$B$1:$BX$1,0),FALSE)</f>
        <v>0</v>
      </c>
      <c r="AQ100">
        <f>VLOOKUP($B100,Kraftvärmeprod!$B$1:$BX$549,MATCH(AQ$1,Kraftvärmeprod!$B$1:$BX$1,0),FALSE)</f>
        <v>0</v>
      </c>
      <c r="AR100">
        <f>VLOOKUP($B100,Kraftvärmeprod!$B$1:$BX$549,MATCH("Summa tillförd energi exklusive rökgaskondensering",Kraftvärmeprod!$B$1:$BX$1,0),FALSE)</f>
        <v>0</v>
      </c>
      <c r="AT100" s="17" t="str">
        <f t="shared" si="9"/>
        <v/>
      </c>
      <c r="AV100">
        <f t="shared" si="10"/>
        <v>0</v>
      </c>
      <c r="BA100" s="17" t="str">
        <f t="shared" si="11"/>
        <v/>
      </c>
    </row>
    <row r="101" spans="1:53" x14ac:dyDescent="0.25">
      <c r="A101" s="137" t="s">
        <v>324</v>
      </c>
      <c r="B101" s="137" t="s">
        <v>329</v>
      </c>
      <c r="C101" s="121"/>
      <c r="D101" s="121"/>
      <c r="E101" s="121"/>
      <c r="F101" s="121"/>
      <c r="G101" s="121"/>
      <c r="H101" s="121"/>
      <c r="I101" s="121"/>
      <c r="J101" s="121">
        <v>0</v>
      </c>
      <c r="K101" s="121">
        <v>0</v>
      </c>
      <c r="L101" s="121">
        <v>0</v>
      </c>
      <c r="M101" s="121">
        <v>0</v>
      </c>
      <c r="N101" s="121">
        <v>0</v>
      </c>
      <c r="O101" s="121">
        <v>0</v>
      </c>
      <c r="P101" s="121">
        <v>0</v>
      </c>
      <c r="Q101" s="121">
        <v>0</v>
      </c>
      <c r="R101" s="121">
        <v>0</v>
      </c>
      <c r="S101" s="121">
        <v>0</v>
      </c>
      <c r="T101" s="121">
        <v>0</v>
      </c>
      <c r="U101" s="121">
        <v>0</v>
      </c>
      <c r="V101" s="121" t="s">
        <v>1119</v>
      </c>
      <c r="W101" s="121">
        <v>0</v>
      </c>
      <c r="X101" s="121">
        <v>0</v>
      </c>
      <c r="Y101" s="121">
        <v>0</v>
      </c>
      <c r="Z101" s="121">
        <v>0</v>
      </c>
      <c r="AA101" s="121">
        <v>0</v>
      </c>
      <c r="AB101" s="121">
        <v>0</v>
      </c>
      <c r="AC101" s="121">
        <v>0</v>
      </c>
      <c r="AD101" s="121">
        <v>0</v>
      </c>
      <c r="AE101" s="121">
        <v>0</v>
      </c>
      <c r="AF101" s="121">
        <v>0</v>
      </c>
      <c r="AG101" s="121">
        <v>0</v>
      </c>
      <c r="AH101" s="121">
        <v>0</v>
      </c>
      <c r="AI101" s="121">
        <v>0</v>
      </c>
      <c r="AL101" s="14">
        <f t="shared" si="6"/>
        <v>0</v>
      </c>
      <c r="AM101">
        <f t="shared" si="7"/>
        <v>0</v>
      </c>
      <c r="AN101">
        <f t="shared" si="8"/>
        <v>0</v>
      </c>
      <c r="AP101">
        <f>VLOOKUP($B101,Kraftvärmeprod!$B$1:$BX$549,MATCH(AP$1,Kraftvärmeprod!$B$1:$BX$1,0),FALSE)</f>
        <v>0</v>
      </c>
      <c r="AQ101">
        <f>VLOOKUP($B101,Kraftvärmeprod!$B$1:$BX$549,MATCH(AQ$1,Kraftvärmeprod!$B$1:$BX$1,0),FALSE)</f>
        <v>0</v>
      </c>
      <c r="AR101">
        <f>VLOOKUP($B101,Kraftvärmeprod!$B$1:$BX$549,MATCH("Summa tillförd energi exklusive rökgaskondensering",Kraftvärmeprod!$B$1:$BX$1,0),FALSE)</f>
        <v>0</v>
      </c>
      <c r="AT101" s="17" t="str">
        <f t="shared" si="9"/>
        <v/>
      </c>
      <c r="AV101">
        <f t="shared" si="10"/>
        <v>0</v>
      </c>
      <c r="BA101" s="17" t="str">
        <f t="shared" si="11"/>
        <v/>
      </c>
    </row>
    <row r="102" spans="1:53" x14ac:dyDescent="0.25">
      <c r="A102" s="137" t="s">
        <v>324</v>
      </c>
      <c r="B102" s="137" t="s">
        <v>330</v>
      </c>
      <c r="C102" s="121"/>
      <c r="D102" s="121"/>
      <c r="E102" s="121"/>
      <c r="F102" s="121"/>
      <c r="G102" s="121"/>
      <c r="H102" s="121"/>
      <c r="I102" s="121"/>
      <c r="J102" s="121">
        <v>0</v>
      </c>
      <c r="K102" s="121">
        <v>0</v>
      </c>
      <c r="L102" s="121">
        <v>0</v>
      </c>
      <c r="M102" s="121">
        <v>0</v>
      </c>
      <c r="N102" s="121">
        <v>0</v>
      </c>
      <c r="O102" s="121">
        <v>0</v>
      </c>
      <c r="P102" s="121">
        <v>0</v>
      </c>
      <c r="Q102" s="121">
        <v>0</v>
      </c>
      <c r="R102" s="121">
        <v>0</v>
      </c>
      <c r="S102" s="121">
        <v>0</v>
      </c>
      <c r="T102" s="121">
        <v>0</v>
      </c>
      <c r="U102" s="121">
        <v>0</v>
      </c>
      <c r="V102" s="121" t="s">
        <v>1119</v>
      </c>
      <c r="W102" s="121">
        <v>0</v>
      </c>
      <c r="X102" s="121">
        <v>0</v>
      </c>
      <c r="Y102" s="121">
        <v>0</v>
      </c>
      <c r="Z102" s="121">
        <v>0</v>
      </c>
      <c r="AA102" s="121">
        <v>0</v>
      </c>
      <c r="AB102" s="121">
        <v>0</v>
      </c>
      <c r="AC102" s="121">
        <v>0</v>
      </c>
      <c r="AD102" s="121">
        <v>0</v>
      </c>
      <c r="AE102" s="121">
        <v>0</v>
      </c>
      <c r="AF102" s="121">
        <v>0</v>
      </c>
      <c r="AG102" s="121">
        <v>0</v>
      </c>
      <c r="AH102" s="121">
        <v>0</v>
      </c>
      <c r="AI102" s="121">
        <v>0</v>
      </c>
      <c r="AL102" s="14">
        <f t="shared" si="6"/>
        <v>0</v>
      </c>
      <c r="AM102">
        <f t="shared" si="7"/>
        <v>0</v>
      </c>
      <c r="AN102">
        <f t="shared" si="8"/>
        <v>0</v>
      </c>
      <c r="AP102">
        <f>VLOOKUP($B102,Kraftvärmeprod!$B$1:$BX$549,MATCH(AP$1,Kraftvärmeprod!$B$1:$BX$1,0),FALSE)</f>
        <v>0</v>
      </c>
      <c r="AQ102">
        <f>VLOOKUP($B102,Kraftvärmeprod!$B$1:$BX$549,MATCH(AQ$1,Kraftvärmeprod!$B$1:$BX$1,0),FALSE)</f>
        <v>0</v>
      </c>
      <c r="AR102">
        <f>VLOOKUP($B102,Kraftvärmeprod!$B$1:$BX$549,MATCH("Summa tillförd energi exklusive rökgaskondensering",Kraftvärmeprod!$B$1:$BX$1,0),FALSE)</f>
        <v>0</v>
      </c>
      <c r="AT102" s="17" t="str">
        <f t="shared" si="9"/>
        <v/>
      </c>
      <c r="AV102">
        <f t="shared" si="10"/>
        <v>0</v>
      </c>
      <c r="BA102" s="17" t="str">
        <f t="shared" si="11"/>
        <v/>
      </c>
    </row>
    <row r="103" spans="1:53" x14ac:dyDescent="0.25">
      <c r="A103" s="137" t="s">
        <v>324</v>
      </c>
      <c r="B103" s="137" t="s">
        <v>331</v>
      </c>
      <c r="C103" s="121"/>
      <c r="D103" s="121"/>
      <c r="E103" s="121"/>
      <c r="F103" s="121"/>
      <c r="G103" s="121"/>
      <c r="H103" s="121"/>
      <c r="I103" s="121"/>
      <c r="J103" s="121">
        <v>0</v>
      </c>
      <c r="K103" s="121">
        <v>0</v>
      </c>
      <c r="L103" s="121">
        <v>0</v>
      </c>
      <c r="M103" s="121">
        <v>0</v>
      </c>
      <c r="N103" s="121">
        <v>0</v>
      </c>
      <c r="O103" s="121">
        <v>0</v>
      </c>
      <c r="P103" s="121">
        <v>0</v>
      </c>
      <c r="Q103" s="121">
        <v>0</v>
      </c>
      <c r="R103" s="121">
        <v>0</v>
      </c>
      <c r="S103" s="121">
        <v>0</v>
      </c>
      <c r="T103" s="121">
        <v>0</v>
      </c>
      <c r="U103" s="121">
        <v>0</v>
      </c>
      <c r="V103" s="121" t="s">
        <v>1119</v>
      </c>
      <c r="W103" s="121">
        <v>0</v>
      </c>
      <c r="X103" s="121">
        <v>0</v>
      </c>
      <c r="Y103" s="121">
        <v>0</v>
      </c>
      <c r="Z103" s="121">
        <v>0</v>
      </c>
      <c r="AA103" s="121">
        <v>0</v>
      </c>
      <c r="AB103" s="121">
        <v>0</v>
      </c>
      <c r="AC103" s="121">
        <v>0</v>
      </c>
      <c r="AD103" s="121">
        <v>0</v>
      </c>
      <c r="AE103" s="121">
        <v>0</v>
      </c>
      <c r="AF103" s="121">
        <v>0</v>
      </c>
      <c r="AG103" s="121">
        <v>0</v>
      </c>
      <c r="AH103" s="121">
        <v>0</v>
      </c>
      <c r="AI103" s="121">
        <v>0</v>
      </c>
      <c r="AL103" s="14">
        <f t="shared" si="6"/>
        <v>0</v>
      </c>
      <c r="AM103">
        <f t="shared" si="7"/>
        <v>0</v>
      </c>
      <c r="AN103">
        <f t="shared" si="8"/>
        <v>0</v>
      </c>
      <c r="AP103">
        <f>VLOOKUP($B103,Kraftvärmeprod!$B$1:$BX$549,MATCH(AP$1,Kraftvärmeprod!$B$1:$BX$1,0),FALSE)</f>
        <v>0</v>
      </c>
      <c r="AQ103">
        <f>VLOOKUP($B103,Kraftvärmeprod!$B$1:$BX$549,MATCH(AQ$1,Kraftvärmeprod!$B$1:$BX$1,0),FALSE)</f>
        <v>0</v>
      </c>
      <c r="AR103">
        <f>VLOOKUP($B103,Kraftvärmeprod!$B$1:$BX$549,MATCH("Summa tillförd energi exklusive rökgaskondensering",Kraftvärmeprod!$B$1:$BX$1,0),FALSE)</f>
        <v>0</v>
      </c>
      <c r="AT103" s="17" t="str">
        <f t="shared" si="9"/>
        <v/>
      </c>
      <c r="AV103">
        <f t="shared" si="10"/>
        <v>0</v>
      </c>
      <c r="BA103" s="17" t="str">
        <f t="shared" si="11"/>
        <v/>
      </c>
    </row>
    <row r="104" spans="1:53" x14ac:dyDescent="0.25">
      <c r="A104" s="137" t="s">
        <v>332</v>
      </c>
      <c r="B104" s="137" t="s">
        <v>333</v>
      </c>
      <c r="C104" s="121"/>
      <c r="D104" s="121"/>
      <c r="E104" s="121"/>
      <c r="F104" s="121"/>
      <c r="G104" s="121"/>
      <c r="H104" s="121"/>
      <c r="I104" s="121"/>
      <c r="J104" s="121">
        <v>0</v>
      </c>
      <c r="K104" s="121">
        <v>0</v>
      </c>
      <c r="L104" s="121">
        <v>0</v>
      </c>
      <c r="M104" s="121">
        <v>0</v>
      </c>
      <c r="N104" s="121">
        <v>0</v>
      </c>
      <c r="O104" s="121">
        <v>0</v>
      </c>
      <c r="P104" s="121">
        <v>0</v>
      </c>
      <c r="Q104" s="121">
        <v>0</v>
      </c>
      <c r="R104" s="121">
        <v>0</v>
      </c>
      <c r="S104" s="121">
        <v>0</v>
      </c>
      <c r="T104" s="121">
        <v>0</v>
      </c>
      <c r="U104" s="121">
        <v>0</v>
      </c>
      <c r="V104" s="121" t="s">
        <v>1119</v>
      </c>
      <c r="W104" s="121">
        <v>0</v>
      </c>
      <c r="X104" s="121">
        <v>0</v>
      </c>
      <c r="Y104" s="121">
        <v>0</v>
      </c>
      <c r="Z104" s="121">
        <v>0</v>
      </c>
      <c r="AA104" s="121">
        <v>0</v>
      </c>
      <c r="AB104" s="121">
        <v>0</v>
      </c>
      <c r="AC104" s="121">
        <v>0</v>
      </c>
      <c r="AD104" s="121">
        <v>0</v>
      </c>
      <c r="AE104" s="121">
        <v>0</v>
      </c>
      <c r="AF104" s="121">
        <v>0</v>
      </c>
      <c r="AG104" s="121">
        <v>0</v>
      </c>
      <c r="AH104" s="121">
        <v>0</v>
      </c>
      <c r="AI104" s="121">
        <v>0</v>
      </c>
      <c r="AL104" s="14">
        <f t="shared" si="6"/>
        <v>0</v>
      </c>
      <c r="AM104">
        <f t="shared" si="7"/>
        <v>0</v>
      </c>
      <c r="AN104">
        <f t="shared" si="8"/>
        <v>0</v>
      </c>
      <c r="AP104">
        <f>VLOOKUP($B104,Kraftvärmeprod!$B$1:$BX$549,MATCH(AP$1,Kraftvärmeprod!$B$1:$BX$1,0),FALSE)</f>
        <v>0</v>
      </c>
      <c r="AQ104">
        <f>VLOOKUP($B104,Kraftvärmeprod!$B$1:$BX$549,MATCH(AQ$1,Kraftvärmeprod!$B$1:$BX$1,0),FALSE)</f>
        <v>0</v>
      </c>
      <c r="AR104">
        <f>VLOOKUP($B104,Kraftvärmeprod!$B$1:$BX$549,MATCH("Summa tillförd energi exklusive rökgaskondensering",Kraftvärmeprod!$B$1:$BX$1,0),FALSE)</f>
        <v>0</v>
      </c>
      <c r="AT104" s="17" t="str">
        <f t="shared" si="9"/>
        <v/>
      </c>
      <c r="AV104">
        <f t="shared" si="10"/>
        <v>0</v>
      </c>
      <c r="BA104" s="17" t="str">
        <f t="shared" si="11"/>
        <v/>
      </c>
    </row>
    <row r="105" spans="1:53" x14ac:dyDescent="0.25">
      <c r="A105" s="137" t="s">
        <v>332</v>
      </c>
      <c r="B105" s="137" t="s">
        <v>334</v>
      </c>
      <c r="C105" s="121"/>
      <c r="D105" s="121"/>
      <c r="E105" s="121"/>
      <c r="F105" s="121"/>
      <c r="G105" s="121"/>
      <c r="H105" s="121"/>
      <c r="I105" s="121"/>
      <c r="J105" s="121">
        <v>0</v>
      </c>
      <c r="K105" s="121">
        <v>0</v>
      </c>
      <c r="L105" s="121">
        <v>0</v>
      </c>
      <c r="M105" s="121">
        <v>0</v>
      </c>
      <c r="N105" s="121">
        <v>0</v>
      </c>
      <c r="O105" s="121">
        <v>0</v>
      </c>
      <c r="P105" s="121">
        <v>0</v>
      </c>
      <c r="Q105" s="121">
        <v>0</v>
      </c>
      <c r="R105" s="121">
        <v>0</v>
      </c>
      <c r="S105" s="121">
        <v>0</v>
      </c>
      <c r="T105" s="121">
        <v>0</v>
      </c>
      <c r="U105" s="121">
        <v>0</v>
      </c>
      <c r="V105" s="121" t="s">
        <v>1119</v>
      </c>
      <c r="W105" s="121">
        <v>0</v>
      </c>
      <c r="X105" s="121">
        <v>0</v>
      </c>
      <c r="Y105" s="121">
        <v>0</v>
      </c>
      <c r="Z105" s="121">
        <v>0</v>
      </c>
      <c r="AA105" s="121">
        <v>0</v>
      </c>
      <c r="AB105" s="121">
        <v>0</v>
      </c>
      <c r="AC105" s="121">
        <v>0</v>
      </c>
      <c r="AD105" s="121">
        <v>0</v>
      </c>
      <c r="AE105" s="121">
        <v>0</v>
      </c>
      <c r="AF105" s="121">
        <v>0</v>
      </c>
      <c r="AG105" s="121">
        <v>0</v>
      </c>
      <c r="AH105" s="121">
        <v>0</v>
      </c>
      <c r="AI105" s="121">
        <v>0</v>
      </c>
      <c r="AL105" s="14">
        <f t="shared" si="6"/>
        <v>0</v>
      </c>
      <c r="AM105">
        <f t="shared" si="7"/>
        <v>0</v>
      </c>
      <c r="AN105">
        <f t="shared" si="8"/>
        <v>0</v>
      </c>
      <c r="AP105">
        <f>VLOOKUP($B105,Kraftvärmeprod!$B$1:$BX$549,MATCH(AP$1,Kraftvärmeprod!$B$1:$BX$1,0),FALSE)</f>
        <v>0</v>
      </c>
      <c r="AQ105">
        <f>VLOOKUP($B105,Kraftvärmeprod!$B$1:$BX$549,MATCH(AQ$1,Kraftvärmeprod!$B$1:$BX$1,0),FALSE)</f>
        <v>0</v>
      </c>
      <c r="AR105">
        <f>VLOOKUP($B105,Kraftvärmeprod!$B$1:$BX$549,MATCH("Summa tillförd energi exklusive rökgaskondensering",Kraftvärmeprod!$B$1:$BX$1,0),FALSE)</f>
        <v>0</v>
      </c>
      <c r="AT105" s="17" t="str">
        <f t="shared" si="9"/>
        <v/>
      </c>
      <c r="AV105">
        <f t="shared" si="10"/>
        <v>0</v>
      </c>
      <c r="BA105" s="17" t="str">
        <f t="shared" si="11"/>
        <v/>
      </c>
    </row>
    <row r="106" spans="1:53" x14ac:dyDescent="0.25">
      <c r="A106" s="137" t="s">
        <v>335</v>
      </c>
      <c r="B106" s="137" t="s">
        <v>336</v>
      </c>
      <c r="C106" s="121"/>
      <c r="D106" s="121"/>
      <c r="E106" s="121"/>
      <c r="F106" s="121"/>
      <c r="G106" s="121"/>
      <c r="H106" s="121"/>
      <c r="I106" s="121"/>
      <c r="J106" s="121">
        <v>0</v>
      </c>
      <c r="K106" s="121">
        <v>0</v>
      </c>
      <c r="L106" s="121">
        <v>0</v>
      </c>
      <c r="M106" s="121">
        <v>0</v>
      </c>
      <c r="N106" s="121">
        <v>0</v>
      </c>
      <c r="O106" s="121">
        <v>0</v>
      </c>
      <c r="P106" s="121">
        <v>0</v>
      </c>
      <c r="Q106" s="121">
        <v>0</v>
      </c>
      <c r="R106" s="121">
        <v>0</v>
      </c>
      <c r="S106" s="121">
        <v>0</v>
      </c>
      <c r="T106" s="121">
        <v>0</v>
      </c>
      <c r="U106" s="121">
        <v>0</v>
      </c>
      <c r="V106" s="121" t="s">
        <v>1119</v>
      </c>
      <c r="W106" s="121">
        <v>0</v>
      </c>
      <c r="X106" s="121">
        <v>0</v>
      </c>
      <c r="Y106" s="121">
        <v>0</v>
      </c>
      <c r="Z106" s="121">
        <v>0</v>
      </c>
      <c r="AA106" s="121">
        <v>0</v>
      </c>
      <c r="AB106" s="121">
        <v>0</v>
      </c>
      <c r="AC106" s="121">
        <v>0</v>
      </c>
      <c r="AD106" s="121">
        <v>0</v>
      </c>
      <c r="AE106" s="121">
        <v>0</v>
      </c>
      <c r="AF106" s="121">
        <v>0</v>
      </c>
      <c r="AG106" s="121">
        <v>0</v>
      </c>
      <c r="AH106" s="121">
        <v>0</v>
      </c>
      <c r="AI106" s="121">
        <v>0</v>
      </c>
      <c r="AL106" s="14">
        <f t="shared" si="6"/>
        <v>0</v>
      </c>
      <c r="AM106">
        <f t="shared" si="7"/>
        <v>0</v>
      </c>
      <c r="AN106">
        <f t="shared" si="8"/>
        <v>0</v>
      </c>
      <c r="AP106">
        <f>VLOOKUP($B106,Kraftvärmeprod!$B$1:$BX$549,MATCH(AP$1,Kraftvärmeprod!$B$1:$BX$1,0),FALSE)</f>
        <v>0</v>
      </c>
      <c r="AQ106">
        <f>VLOOKUP($B106,Kraftvärmeprod!$B$1:$BX$549,MATCH(AQ$1,Kraftvärmeprod!$B$1:$BX$1,0),FALSE)</f>
        <v>0</v>
      </c>
      <c r="AR106">
        <f>VLOOKUP($B106,Kraftvärmeprod!$B$1:$BX$549,MATCH("Summa tillförd energi exklusive rökgaskondensering",Kraftvärmeprod!$B$1:$BX$1,0),FALSE)</f>
        <v>0</v>
      </c>
      <c r="AT106" s="17" t="str">
        <f t="shared" si="9"/>
        <v/>
      </c>
      <c r="AV106">
        <f t="shared" si="10"/>
        <v>0</v>
      </c>
      <c r="BA106" s="17" t="str">
        <f t="shared" si="11"/>
        <v/>
      </c>
    </row>
    <row r="107" spans="1:53" x14ac:dyDescent="0.25">
      <c r="A107" s="137" t="s">
        <v>337</v>
      </c>
      <c r="B107" s="137" t="s">
        <v>338</v>
      </c>
      <c r="C107" s="121"/>
      <c r="D107" s="121"/>
      <c r="E107" s="121"/>
      <c r="F107" s="121"/>
      <c r="G107" s="121"/>
      <c r="H107" s="121"/>
      <c r="I107" s="121"/>
      <c r="J107" s="121">
        <v>0</v>
      </c>
      <c r="K107" s="121">
        <v>0</v>
      </c>
      <c r="L107" s="121">
        <v>0</v>
      </c>
      <c r="M107" s="121">
        <v>0</v>
      </c>
      <c r="N107" s="121">
        <v>0</v>
      </c>
      <c r="O107" s="121">
        <v>0</v>
      </c>
      <c r="P107" s="121">
        <v>0</v>
      </c>
      <c r="Q107" s="121">
        <v>0</v>
      </c>
      <c r="R107" s="121">
        <v>0</v>
      </c>
      <c r="S107" s="121">
        <v>0</v>
      </c>
      <c r="T107" s="121">
        <v>0</v>
      </c>
      <c r="U107" s="121">
        <v>0</v>
      </c>
      <c r="V107" s="121" t="s">
        <v>1119</v>
      </c>
      <c r="W107" s="121">
        <v>0</v>
      </c>
      <c r="X107" s="121">
        <v>0</v>
      </c>
      <c r="Y107" s="121">
        <v>0</v>
      </c>
      <c r="Z107" s="121">
        <v>0</v>
      </c>
      <c r="AA107" s="121">
        <v>0</v>
      </c>
      <c r="AB107" s="121">
        <v>0</v>
      </c>
      <c r="AC107" s="121">
        <v>0</v>
      </c>
      <c r="AD107" s="121">
        <v>0</v>
      </c>
      <c r="AE107" s="121">
        <v>0</v>
      </c>
      <c r="AF107" s="121">
        <v>0</v>
      </c>
      <c r="AG107" s="121">
        <v>0</v>
      </c>
      <c r="AH107" s="121">
        <v>0</v>
      </c>
      <c r="AI107" s="121">
        <v>0</v>
      </c>
      <c r="AL107" s="14">
        <f t="shared" si="6"/>
        <v>0</v>
      </c>
      <c r="AM107">
        <f t="shared" si="7"/>
        <v>0</v>
      </c>
      <c r="AN107">
        <f t="shared" si="8"/>
        <v>0</v>
      </c>
      <c r="AP107">
        <f>VLOOKUP($B107,Kraftvärmeprod!$B$1:$BX$549,MATCH(AP$1,Kraftvärmeprod!$B$1:$BX$1,0),FALSE)</f>
        <v>0</v>
      </c>
      <c r="AQ107">
        <f>VLOOKUP($B107,Kraftvärmeprod!$B$1:$BX$549,MATCH(AQ$1,Kraftvärmeprod!$B$1:$BX$1,0),FALSE)</f>
        <v>0</v>
      </c>
      <c r="AR107">
        <f>VLOOKUP($B107,Kraftvärmeprod!$B$1:$BX$549,MATCH("Summa tillförd energi exklusive rökgaskondensering",Kraftvärmeprod!$B$1:$BX$1,0),FALSE)</f>
        <v>0</v>
      </c>
      <c r="AT107" s="17" t="str">
        <f t="shared" si="9"/>
        <v/>
      </c>
      <c r="AV107">
        <f t="shared" si="10"/>
        <v>0</v>
      </c>
      <c r="BA107" s="17" t="str">
        <f t="shared" si="11"/>
        <v/>
      </c>
    </row>
    <row r="108" spans="1:53" x14ac:dyDescent="0.25">
      <c r="A108" s="137" t="s">
        <v>337</v>
      </c>
      <c r="B108" s="137" t="s">
        <v>339</v>
      </c>
      <c r="C108" s="121"/>
      <c r="D108" s="121"/>
      <c r="E108" s="121"/>
      <c r="F108" s="121"/>
      <c r="G108" s="121"/>
      <c r="H108" s="121"/>
      <c r="I108" s="121"/>
      <c r="J108" s="121">
        <v>0</v>
      </c>
      <c r="K108" s="121">
        <v>0</v>
      </c>
      <c r="L108" s="121">
        <v>0</v>
      </c>
      <c r="M108" s="121">
        <v>0</v>
      </c>
      <c r="N108" s="121">
        <v>0</v>
      </c>
      <c r="O108" s="121">
        <v>0</v>
      </c>
      <c r="P108" s="121">
        <v>0</v>
      </c>
      <c r="Q108" s="121">
        <v>0</v>
      </c>
      <c r="R108" s="121">
        <v>0</v>
      </c>
      <c r="S108" s="121">
        <v>0</v>
      </c>
      <c r="T108" s="121">
        <v>0</v>
      </c>
      <c r="U108" s="121">
        <v>0</v>
      </c>
      <c r="V108" s="121" t="s">
        <v>1119</v>
      </c>
      <c r="W108" s="121">
        <v>0</v>
      </c>
      <c r="X108" s="121">
        <v>0</v>
      </c>
      <c r="Y108" s="121">
        <v>0</v>
      </c>
      <c r="Z108" s="121">
        <v>0</v>
      </c>
      <c r="AA108" s="121">
        <v>0</v>
      </c>
      <c r="AB108" s="121">
        <v>0</v>
      </c>
      <c r="AC108" s="121">
        <v>0</v>
      </c>
      <c r="AD108" s="121">
        <v>0</v>
      </c>
      <c r="AE108" s="121">
        <v>0</v>
      </c>
      <c r="AF108" s="121">
        <v>0</v>
      </c>
      <c r="AG108" s="121">
        <v>0</v>
      </c>
      <c r="AH108" s="121">
        <v>0</v>
      </c>
      <c r="AI108" s="121">
        <v>0</v>
      </c>
      <c r="AL108" s="14">
        <f t="shared" si="6"/>
        <v>0</v>
      </c>
      <c r="AM108">
        <f t="shared" si="7"/>
        <v>0</v>
      </c>
      <c r="AN108">
        <f t="shared" si="8"/>
        <v>0</v>
      </c>
      <c r="AP108">
        <f>VLOOKUP($B108,Kraftvärmeprod!$B$1:$BX$549,MATCH(AP$1,Kraftvärmeprod!$B$1:$BX$1,0),FALSE)</f>
        <v>0</v>
      </c>
      <c r="AQ108">
        <f>VLOOKUP($B108,Kraftvärmeprod!$B$1:$BX$549,MATCH(AQ$1,Kraftvärmeprod!$B$1:$BX$1,0),FALSE)</f>
        <v>0</v>
      </c>
      <c r="AR108">
        <f>VLOOKUP($B108,Kraftvärmeprod!$B$1:$BX$549,MATCH("Summa tillförd energi exklusive rökgaskondensering",Kraftvärmeprod!$B$1:$BX$1,0),FALSE)</f>
        <v>0</v>
      </c>
      <c r="AT108" s="17" t="str">
        <f t="shared" si="9"/>
        <v/>
      </c>
      <c r="AV108">
        <f t="shared" si="10"/>
        <v>0</v>
      </c>
      <c r="BA108" s="17" t="str">
        <f t="shared" si="11"/>
        <v/>
      </c>
    </row>
    <row r="109" spans="1:53" x14ac:dyDescent="0.25">
      <c r="A109" s="137" t="s">
        <v>337</v>
      </c>
      <c r="B109" s="137" t="s">
        <v>340</v>
      </c>
      <c r="C109" s="121"/>
      <c r="D109" s="121"/>
      <c r="E109" s="121"/>
      <c r="F109" s="121"/>
      <c r="G109" s="121"/>
      <c r="H109" s="121"/>
      <c r="I109" s="121"/>
      <c r="J109" s="121">
        <v>0</v>
      </c>
      <c r="K109" s="121">
        <v>0</v>
      </c>
      <c r="L109" s="121">
        <v>0</v>
      </c>
      <c r="M109" s="121">
        <v>0</v>
      </c>
      <c r="N109" s="121">
        <v>0</v>
      </c>
      <c r="O109" s="121">
        <v>0</v>
      </c>
      <c r="P109" s="121">
        <v>0</v>
      </c>
      <c r="Q109" s="121">
        <v>0</v>
      </c>
      <c r="R109" s="121">
        <v>0</v>
      </c>
      <c r="S109" s="121">
        <v>0</v>
      </c>
      <c r="T109" s="121">
        <v>0</v>
      </c>
      <c r="U109" s="121">
        <v>0</v>
      </c>
      <c r="V109" s="121" t="s">
        <v>1119</v>
      </c>
      <c r="W109" s="121">
        <v>0</v>
      </c>
      <c r="X109" s="121">
        <v>0</v>
      </c>
      <c r="Y109" s="121">
        <v>0</v>
      </c>
      <c r="Z109" s="121">
        <v>0</v>
      </c>
      <c r="AA109" s="121">
        <v>0</v>
      </c>
      <c r="AB109" s="121">
        <v>0</v>
      </c>
      <c r="AC109" s="121">
        <v>0</v>
      </c>
      <c r="AD109" s="121">
        <v>0</v>
      </c>
      <c r="AE109" s="121">
        <v>0</v>
      </c>
      <c r="AF109" s="121">
        <v>0</v>
      </c>
      <c r="AG109" s="121">
        <v>0</v>
      </c>
      <c r="AH109" s="121">
        <v>0</v>
      </c>
      <c r="AI109" s="121">
        <v>0</v>
      </c>
      <c r="AL109" s="14">
        <f t="shared" si="6"/>
        <v>0</v>
      </c>
      <c r="AM109">
        <f t="shared" si="7"/>
        <v>0</v>
      </c>
      <c r="AN109">
        <f t="shared" si="8"/>
        <v>0</v>
      </c>
      <c r="AP109">
        <f>VLOOKUP($B109,Kraftvärmeprod!$B$1:$BX$549,MATCH(AP$1,Kraftvärmeprod!$B$1:$BX$1,0),FALSE)</f>
        <v>0</v>
      </c>
      <c r="AQ109">
        <f>VLOOKUP($B109,Kraftvärmeprod!$B$1:$BX$549,MATCH(AQ$1,Kraftvärmeprod!$B$1:$BX$1,0),FALSE)</f>
        <v>0</v>
      </c>
      <c r="AR109">
        <f>VLOOKUP($B109,Kraftvärmeprod!$B$1:$BX$549,MATCH("Summa tillförd energi exklusive rökgaskondensering",Kraftvärmeprod!$B$1:$BX$1,0),FALSE)</f>
        <v>0</v>
      </c>
      <c r="AT109" s="17" t="str">
        <f t="shared" si="9"/>
        <v/>
      </c>
      <c r="AV109">
        <f t="shared" si="10"/>
        <v>0</v>
      </c>
      <c r="BA109" s="17" t="str">
        <f t="shared" si="11"/>
        <v/>
      </c>
    </row>
    <row r="110" spans="1:53" x14ac:dyDescent="0.25">
      <c r="A110" s="137" t="s">
        <v>341</v>
      </c>
      <c r="B110" s="137" t="s">
        <v>342</v>
      </c>
      <c r="C110" s="121"/>
      <c r="D110" s="121"/>
      <c r="E110" s="121"/>
      <c r="F110" s="121"/>
      <c r="G110" s="121"/>
      <c r="H110" s="121"/>
      <c r="I110" s="121"/>
      <c r="J110" s="121">
        <v>0</v>
      </c>
      <c r="K110" s="121">
        <v>0</v>
      </c>
      <c r="L110" s="121">
        <v>0</v>
      </c>
      <c r="M110" s="121">
        <v>0</v>
      </c>
      <c r="N110" s="121">
        <v>0</v>
      </c>
      <c r="O110" s="121">
        <v>0</v>
      </c>
      <c r="P110" s="121">
        <v>67.086100000000002</v>
      </c>
      <c r="Q110" s="121">
        <v>0</v>
      </c>
      <c r="R110" s="121">
        <v>0</v>
      </c>
      <c r="S110" s="121">
        <v>0</v>
      </c>
      <c r="T110" s="121">
        <v>0</v>
      </c>
      <c r="U110" s="121">
        <v>0</v>
      </c>
      <c r="V110" s="121" t="s">
        <v>1119</v>
      </c>
      <c r="W110" s="121">
        <v>0</v>
      </c>
      <c r="X110" s="121">
        <v>0</v>
      </c>
      <c r="Y110" s="121">
        <v>0</v>
      </c>
      <c r="Z110" s="121">
        <v>0</v>
      </c>
      <c r="AA110" s="121">
        <v>0</v>
      </c>
      <c r="AB110" s="121">
        <v>0</v>
      </c>
      <c r="AC110" s="121">
        <v>0</v>
      </c>
      <c r="AD110" s="121">
        <v>0</v>
      </c>
      <c r="AE110" s="121">
        <v>196.429</v>
      </c>
      <c r="AF110" s="121">
        <v>0</v>
      </c>
      <c r="AG110" s="121">
        <v>0</v>
      </c>
      <c r="AH110" s="121">
        <v>50.3</v>
      </c>
      <c r="AI110" s="121">
        <v>11.4992</v>
      </c>
      <c r="AL110" s="14">
        <f t="shared" si="6"/>
        <v>325.3143</v>
      </c>
      <c r="AM110">
        <f t="shared" si="7"/>
        <v>313.81510000000003</v>
      </c>
      <c r="AN110">
        <f t="shared" si="8"/>
        <v>263.51510000000002</v>
      </c>
      <c r="AP110">
        <f>VLOOKUP($B110,Kraftvärmeprod!$B$1:$BX$549,MATCH(AP$1,Kraftvärmeprod!$B$1:$BX$1,0),FALSE)</f>
        <v>337.54399999999998</v>
      </c>
      <c r="AQ110">
        <f>VLOOKUP($B110,Kraftvärmeprod!$B$1:$BX$549,MATCH(AQ$1,Kraftvärmeprod!$B$1:$BX$1,0),FALSE)</f>
        <v>73.2</v>
      </c>
      <c r="AR110">
        <f>VLOOKUP($B110,Kraftvärmeprod!$B$1:$BX$549,MATCH("Summa tillförd energi exklusive rökgaskondensering",Kraftvärmeprod!$B$1:$BX$1,0),FALSE)</f>
        <v>437.74099999999999</v>
      </c>
      <c r="AT110" s="17">
        <f t="shared" si="9"/>
        <v>0.60198861884082144</v>
      </c>
      <c r="AV110">
        <f t="shared" si="10"/>
        <v>67.086100000000002</v>
      </c>
      <c r="BA110" s="17">
        <f t="shared" si="11"/>
        <v>1.2273689040897147</v>
      </c>
    </row>
    <row r="111" spans="1:53" x14ac:dyDescent="0.25">
      <c r="A111" s="137" t="s">
        <v>343</v>
      </c>
      <c r="B111" s="137" t="s">
        <v>344</v>
      </c>
      <c r="C111" s="121"/>
      <c r="D111" s="121"/>
      <c r="E111" s="121"/>
      <c r="F111" s="121"/>
      <c r="G111" s="121"/>
      <c r="H111" s="121"/>
      <c r="I111" s="121"/>
      <c r="J111" s="121">
        <v>0</v>
      </c>
      <c r="K111" s="121">
        <v>0</v>
      </c>
      <c r="L111" s="121">
        <v>0</v>
      </c>
      <c r="M111" s="121">
        <v>0</v>
      </c>
      <c r="N111" s="121">
        <v>0</v>
      </c>
      <c r="O111" s="121">
        <v>0</v>
      </c>
      <c r="P111" s="121">
        <v>0</v>
      </c>
      <c r="Q111" s="121">
        <v>0</v>
      </c>
      <c r="R111" s="121">
        <v>0</v>
      </c>
      <c r="S111" s="121">
        <v>0</v>
      </c>
      <c r="T111" s="121">
        <v>0</v>
      </c>
      <c r="U111" s="121">
        <v>0</v>
      </c>
      <c r="V111" s="121" t="s">
        <v>1119</v>
      </c>
      <c r="W111" s="121">
        <v>0</v>
      </c>
      <c r="X111" s="121">
        <v>0</v>
      </c>
      <c r="Y111" s="121">
        <v>0</v>
      </c>
      <c r="Z111" s="121">
        <v>0</v>
      </c>
      <c r="AA111" s="121">
        <v>0</v>
      </c>
      <c r="AB111" s="121">
        <v>0</v>
      </c>
      <c r="AC111" s="121">
        <v>0</v>
      </c>
      <c r="AD111" s="121">
        <v>0</v>
      </c>
      <c r="AE111" s="121">
        <v>0</v>
      </c>
      <c r="AF111" s="121">
        <v>0</v>
      </c>
      <c r="AG111" s="121">
        <v>0</v>
      </c>
      <c r="AH111" s="121">
        <v>0</v>
      </c>
      <c r="AI111" s="121">
        <v>0</v>
      </c>
      <c r="AL111" s="14">
        <f t="shared" si="6"/>
        <v>0</v>
      </c>
      <c r="AM111">
        <f t="shared" si="7"/>
        <v>0</v>
      </c>
      <c r="AN111">
        <f t="shared" si="8"/>
        <v>0</v>
      </c>
      <c r="AP111">
        <f>VLOOKUP($B111,Kraftvärmeprod!$B$1:$BX$549,MATCH(AP$1,Kraftvärmeprod!$B$1:$BX$1,0),FALSE)</f>
        <v>0</v>
      </c>
      <c r="AQ111">
        <f>VLOOKUP($B111,Kraftvärmeprod!$B$1:$BX$549,MATCH(AQ$1,Kraftvärmeprod!$B$1:$BX$1,0),FALSE)</f>
        <v>0</v>
      </c>
      <c r="AR111">
        <f>VLOOKUP($B111,Kraftvärmeprod!$B$1:$BX$549,MATCH("Summa tillförd energi exklusive rökgaskondensering",Kraftvärmeprod!$B$1:$BX$1,0),FALSE)</f>
        <v>0</v>
      </c>
      <c r="AT111" s="17" t="str">
        <f t="shared" si="9"/>
        <v/>
      </c>
      <c r="AV111">
        <f t="shared" si="10"/>
        <v>0</v>
      </c>
      <c r="BA111" s="17" t="str">
        <f t="shared" si="11"/>
        <v/>
      </c>
    </row>
    <row r="112" spans="1:53" x14ac:dyDescent="0.25">
      <c r="A112" s="137" t="s">
        <v>345</v>
      </c>
      <c r="B112" s="137" t="s">
        <v>346</v>
      </c>
      <c r="C112" s="121"/>
      <c r="D112" s="121"/>
      <c r="E112" s="121"/>
      <c r="F112" s="121"/>
      <c r="G112" s="121"/>
      <c r="H112" s="121"/>
      <c r="I112" s="121"/>
      <c r="J112" s="121">
        <v>0</v>
      </c>
      <c r="K112" s="121">
        <v>0</v>
      </c>
      <c r="L112" s="121">
        <v>0</v>
      </c>
      <c r="M112" s="121">
        <v>0</v>
      </c>
      <c r="N112" s="121">
        <v>0</v>
      </c>
      <c r="O112" s="121">
        <v>0</v>
      </c>
      <c r="P112" s="121">
        <v>0</v>
      </c>
      <c r="Q112" s="121">
        <v>0</v>
      </c>
      <c r="R112" s="121">
        <v>0</v>
      </c>
      <c r="S112" s="121">
        <v>0</v>
      </c>
      <c r="T112" s="121">
        <v>0</v>
      </c>
      <c r="U112" s="121">
        <v>0</v>
      </c>
      <c r="V112" s="121" t="s">
        <v>1119</v>
      </c>
      <c r="W112" s="121">
        <v>0</v>
      </c>
      <c r="X112" s="121">
        <v>0</v>
      </c>
      <c r="Y112" s="121">
        <v>0</v>
      </c>
      <c r="Z112" s="121">
        <v>0</v>
      </c>
      <c r="AA112" s="121">
        <v>0</v>
      </c>
      <c r="AB112" s="121">
        <v>0</v>
      </c>
      <c r="AC112" s="121">
        <v>0</v>
      </c>
      <c r="AD112" s="121">
        <v>0</v>
      </c>
      <c r="AE112" s="121">
        <v>0</v>
      </c>
      <c r="AF112" s="121">
        <v>0</v>
      </c>
      <c r="AG112" s="121">
        <v>0</v>
      </c>
      <c r="AH112" s="121">
        <v>0</v>
      </c>
      <c r="AI112" s="121">
        <v>0</v>
      </c>
      <c r="AL112" s="14">
        <f t="shared" si="6"/>
        <v>0</v>
      </c>
      <c r="AM112">
        <f t="shared" si="7"/>
        <v>0</v>
      </c>
      <c r="AN112">
        <f t="shared" si="8"/>
        <v>0</v>
      </c>
      <c r="AP112">
        <f>VLOOKUP($B112,Kraftvärmeprod!$B$1:$BX$549,MATCH(AP$1,Kraftvärmeprod!$B$1:$BX$1,0),FALSE)</f>
        <v>0</v>
      </c>
      <c r="AQ112">
        <f>VLOOKUP($B112,Kraftvärmeprod!$B$1:$BX$549,MATCH(AQ$1,Kraftvärmeprod!$B$1:$BX$1,0),FALSE)</f>
        <v>0</v>
      </c>
      <c r="AR112">
        <f>VLOOKUP($B112,Kraftvärmeprod!$B$1:$BX$549,MATCH("Summa tillförd energi exklusive rökgaskondensering",Kraftvärmeprod!$B$1:$BX$1,0),FALSE)</f>
        <v>0</v>
      </c>
      <c r="AT112" s="17" t="str">
        <f t="shared" si="9"/>
        <v/>
      </c>
      <c r="AV112">
        <f t="shared" si="10"/>
        <v>0</v>
      </c>
      <c r="BA112" s="17" t="str">
        <f t="shared" si="11"/>
        <v/>
      </c>
    </row>
    <row r="113" spans="1:53" x14ac:dyDescent="0.25">
      <c r="A113" s="137" t="s">
        <v>345</v>
      </c>
      <c r="B113" s="137" t="s">
        <v>347</v>
      </c>
      <c r="C113" s="121"/>
      <c r="D113" s="121"/>
      <c r="E113" s="121"/>
      <c r="F113" s="121"/>
      <c r="G113" s="121"/>
      <c r="H113" s="121"/>
      <c r="I113" s="121"/>
      <c r="J113" s="121">
        <v>0</v>
      </c>
      <c r="K113" s="121">
        <v>0</v>
      </c>
      <c r="L113" s="121">
        <v>0</v>
      </c>
      <c r="M113" s="121">
        <v>0</v>
      </c>
      <c r="N113" s="121">
        <v>0</v>
      </c>
      <c r="O113" s="121">
        <v>0</v>
      </c>
      <c r="P113" s="121">
        <v>0</v>
      </c>
      <c r="Q113" s="121">
        <v>0</v>
      </c>
      <c r="R113" s="121">
        <v>0</v>
      </c>
      <c r="S113" s="121">
        <v>0</v>
      </c>
      <c r="T113" s="121">
        <v>0</v>
      </c>
      <c r="U113" s="121">
        <v>0</v>
      </c>
      <c r="V113" s="121" t="s">
        <v>1119</v>
      </c>
      <c r="W113" s="121">
        <v>0</v>
      </c>
      <c r="X113" s="121">
        <v>0</v>
      </c>
      <c r="Y113" s="121">
        <v>0</v>
      </c>
      <c r="Z113" s="121">
        <v>0</v>
      </c>
      <c r="AA113" s="121">
        <v>0</v>
      </c>
      <c r="AB113" s="121">
        <v>0</v>
      </c>
      <c r="AC113" s="121">
        <v>0</v>
      </c>
      <c r="AD113" s="121">
        <v>0</v>
      </c>
      <c r="AE113" s="121">
        <v>0</v>
      </c>
      <c r="AF113" s="121">
        <v>0</v>
      </c>
      <c r="AG113" s="121">
        <v>0</v>
      </c>
      <c r="AH113" s="121">
        <v>0</v>
      </c>
      <c r="AI113" s="121">
        <v>0</v>
      </c>
      <c r="AL113" s="14">
        <f t="shared" si="6"/>
        <v>0</v>
      </c>
      <c r="AM113">
        <f t="shared" si="7"/>
        <v>0</v>
      </c>
      <c r="AN113">
        <f t="shared" si="8"/>
        <v>0</v>
      </c>
      <c r="AP113">
        <f>VLOOKUP($B113,Kraftvärmeprod!$B$1:$BX$549,MATCH(AP$1,Kraftvärmeprod!$B$1:$BX$1,0),FALSE)</f>
        <v>0</v>
      </c>
      <c r="AQ113">
        <f>VLOOKUP($B113,Kraftvärmeprod!$B$1:$BX$549,MATCH(AQ$1,Kraftvärmeprod!$B$1:$BX$1,0),FALSE)</f>
        <v>0</v>
      </c>
      <c r="AR113">
        <f>VLOOKUP($B113,Kraftvärmeprod!$B$1:$BX$549,MATCH("Summa tillförd energi exklusive rökgaskondensering",Kraftvärmeprod!$B$1:$BX$1,0),FALSE)</f>
        <v>0</v>
      </c>
      <c r="AT113" s="17" t="str">
        <f t="shared" si="9"/>
        <v/>
      </c>
      <c r="AV113">
        <f t="shared" si="10"/>
        <v>0</v>
      </c>
      <c r="BA113" s="17" t="str">
        <f t="shared" si="11"/>
        <v/>
      </c>
    </row>
    <row r="114" spans="1:53" x14ac:dyDescent="0.25">
      <c r="A114" s="137" t="s">
        <v>348</v>
      </c>
      <c r="B114" s="137" t="s">
        <v>349</v>
      </c>
      <c r="C114" s="121"/>
      <c r="D114" s="121"/>
      <c r="E114" s="121"/>
      <c r="F114" s="121"/>
      <c r="G114" s="121"/>
      <c r="H114" s="121"/>
      <c r="I114" s="121"/>
      <c r="J114" s="121">
        <v>0</v>
      </c>
      <c r="K114" s="121">
        <v>0</v>
      </c>
      <c r="L114" s="121">
        <v>0</v>
      </c>
      <c r="M114" s="121">
        <v>0</v>
      </c>
      <c r="N114" s="121">
        <v>0</v>
      </c>
      <c r="O114" s="121">
        <v>0</v>
      </c>
      <c r="P114" s="121">
        <v>7.40008</v>
      </c>
      <c r="Q114" s="121">
        <v>7.40008</v>
      </c>
      <c r="R114" s="121">
        <v>7.40008</v>
      </c>
      <c r="S114" s="121">
        <v>7.40008</v>
      </c>
      <c r="T114" s="121">
        <v>0</v>
      </c>
      <c r="U114" s="121">
        <v>7.40008</v>
      </c>
      <c r="V114" s="121" t="s">
        <v>1119</v>
      </c>
      <c r="W114" s="121">
        <v>0</v>
      </c>
      <c r="X114" s="121">
        <v>0</v>
      </c>
      <c r="Y114" s="121">
        <v>0</v>
      </c>
      <c r="Z114" s="121">
        <v>0</v>
      </c>
      <c r="AA114" s="121">
        <v>0</v>
      </c>
      <c r="AB114" s="121">
        <v>0</v>
      </c>
      <c r="AC114" s="121">
        <v>0</v>
      </c>
      <c r="AD114" s="121">
        <v>0</v>
      </c>
      <c r="AE114" s="121">
        <v>0</v>
      </c>
      <c r="AF114" s="121">
        <v>0</v>
      </c>
      <c r="AG114" s="121">
        <v>0</v>
      </c>
      <c r="AH114" s="121">
        <v>6.7</v>
      </c>
      <c r="AI114" s="121">
        <v>1.19597</v>
      </c>
      <c r="AL114" s="14">
        <f t="shared" si="6"/>
        <v>44.896370000000005</v>
      </c>
      <c r="AM114">
        <f t="shared" si="7"/>
        <v>43.700400000000002</v>
      </c>
      <c r="AN114">
        <f t="shared" si="8"/>
        <v>37.000399999999999</v>
      </c>
      <c r="AP114">
        <f>VLOOKUP($B114,Kraftvärmeprod!$B$1:$BX$549,MATCH(AP$1,Kraftvärmeprod!$B$1:$BX$1,0),FALSE)</f>
        <v>43.2</v>
      </c>
      <c r="AQ114">
        <f>VLOOKUP($B114,Kraftvärmeprod!$B$1:$BX$549,MATCH(AQ$1,Kraftvärmeprod!$B$1:$BX$1,0),FALSE)</f>
        <v>5.6</v>
      </c>
      <c r="AR114">
        <f>VLOOKUP($B114,Kraftvärmeprod!$B$1:$BX$549,MATCH("Summa tillförd energi exklusive rökgaskondensering",Kraftvärmeprod!$B$1:$BX$1,0),FALSE)</f>
        <v>49.5</v>
      </c>
      <c r="AT114" s="17">
        <f t="shared" si="9"/>
        <v>0.7474828282828283</v>
      </c>
      <c r="AV114">
        <f t="shared" si="10"/>
        <v>37.000399999999999</v>
      </c>
      <c r="BA114" s="17">
        <f t="shared" si="11"/>
        <v>1.1309975267283252</v>
      </c>
    </row>
    <row r="115" spans="1:53" x14ac:dyDescent="0.25">
      <c r="A115" s="137" t="s">
        <v>348</v>
      </c>
      <c r="B115" s="137" t="s">
        <v>350</v>
      </c>
      <c r="C115" s="121"/>
      <c r="D115" s="121"/>
      <c r="E115" s="121"/>
      <c r="F115" s="121"/>
      <c r="G115" s="121"/>
      <c r="H115" s="121"/>
      <c r="I115" s="121"/>
      <c r="J115" s="121">
        <v>0</v>
      </c>
      <c r="K115" s="121">
        <v>0</v>
      </c>
      <c r="L115" s="121">
        <v>0</v>
      </c>
      <c r="M115" s="121">
        <v>0</v>
      </c>
      <c r="N115" s="121">
        <v>0</v>
      </c>
      <c r="O115" s="121">
        <v>0</v>
      </c>
      <c r="P115" s="121">
        <v>0</v>
      </c>
      <c r="Q115" s="121">
        <v>0</v>
      </c>
      <c r="R115" s="121">
        <v>0</v>
      </c>
      <c r="S115" s="121">
        <v>0</v>
      </c>
      <c r="T115" s="121">
        <v>0</v>
      </c>
      <c r="U115" s="121">
        <v>0</v>
      </c>
      <c r="V115" s="121" t="s">
        <v>1119</v>
      </c>
      <c r="W115" s="121">
        <v>0</v>
      </c>
      <c r="X115" s="121">
        <v>0</v>
      </c>
      <c r="Y115" s="121">
        <v>0</v>
      </c>
      <c r="Z115" s="121">
        <v>0</v>
      </c>
      <c r="AA115" s="121">
        <v>0</v>
      </c>
      <c r="AB115" s="121">
        <v>0</v>
      </c>
      <c r="AC115" s="121">
        <v>0</v>
      </c>
      <c r="AD115" s="121">
        <v>0</v>
      </c>
      <c r="AE115" s="121">
        <v>0</v>
      </c>
      <c r="AF115" s="121">
        <v>0</v>
      </c>
      <c r="AG115" s="121">
        <v>0</v>
      </c>
      <c r="AH115" s="121">
        <v>0</v>
      </c>
      <c r="AI115" s="121">
        <v>0</v>
      </c>
      <c r="AL115" s="14">
        <f t="shared" si="6"/>
        <v>0</v>
      </c>
      <c r="AM115">
        <f t="shared" si="7"/>
        <v>0</v>
      </c>
      <c r="AN115">
        <f t="shared" si="8"/>
        <v>0</v>
      </c>
      <c r="AP115">
        <f>VLOOKUP($B115,Kraftvärmeprod!$B$1:$BX$549,MATCH(AP$1,Kraftvärmeprod!$B$1:$BX$1,0),FALSE)</f>
        <v>0</v>
      </c>
      <c r="AQ115">
        <f>VLOOKUP($B115,Kraftvärmeprod!$B$1:$BX$549,MATCH(AQ$1,Kraftvärmeprod!$B$1:$BX$1,0),FALSE)</f>
        <v>0</v>
      </c>
      <c r="AR115">
        <f>VLOOKUP($B115,Kraftvärmeprod!$B$1:$BX$549,MATCH("Summa tillförd energi exklusive rökgaskondensering",Kraftvärmeprod!$B$1:$BX$1,0),FALSE)</f>
        <v>0</v>
      </c>
      <c r="AT115" s="17" t="str">
        <f t="shared" si="9"/>
        <v/>
      </c>
      <c r="AV115">
        <f t="shared" si="10"/>
        <v>0</v>
      </c>
      <c r="BA115" s="17" t="str">
        <f t="shared" si="11"/>
        <v/>
      </c>
    </row>
    <row r="116" spans="1:53" x14ac:dyDescent="0.25">
      <c r="A116" s="137" t="s">
        <v>348</v>
      </c>
      <c r="B116" s="137" t="s">
        <v>351</v>
      </c>
      <c r="C116" s="121"/>
      <c r="D116" s="121"/>
      <c r="E116" s="121"/>
      <c r="F116" s="121"/>
      <c r="G116" s="121"/>
      <c r="H116" s="121"/>
      <c r="I116" s="121"/>
      <c r="J116" s="121">
        <v>0</v>
      </c>
      <c r="K116" s="121">
        <v>0</v>
      </c>
      <c r="L116" s="121">
        <v>0</v>
      </c>
      <c r="M116" s="121">
        <v>0</v>
      </c>
      <c r="N116" s="121">
        <v>0</v>
      </c>
      <c r="O116" s="121">
        <v>0</v>
      </c>
      <c r="P116" s="121">
        <v>0</v>
      </c>
      <c r="Q116" s="121">
        <v>0</v>
      </c>
      <c r="R116" s="121">
        <v>0</v>
      </c>
      <c r="S116" s="121">
        <v>0</v>
      </c>
      <c r="T116" s="121">
        <v>0</v>
      </c>
      <c r="U116" s="121">
        <v>0</v>
      </c>
      <c r="V116" s="121" t="s">
        <v>1119</v>
      </c>
      <c r="W116" s="121">
        <v>0</v>
      </c>
      <c r="X116" s="121">
        <v>0</v>
      </c>
      <c r="Y116" s="121">
        <v>0</v>
      </c>
      <c r="Z116" s="121">
        <v>0</v>
      </c>
      <c r="AA116" s="121">
        <v>0</v>
      </c>
      <c r="AB116" s="121">
        <v>0</v>
      </c>
      <c r="AC116" s="121">
        <v>0</v>
      </c>
      <c r="AD116" s="121">
        <v>0</v>
      </c>
      <c r="AE116" s="121">
        <v>0</v>
      </c>
      <c r="AF116" s="121">
        <v>0</v>
      </c>
      <c r="AG116" s="121">
        <v>0</v>
      </c>
      <c r="AH116" s="121">
        <v>0</v>
      </c>
      <c r="AI116" s="121">
        <v>0</v>
      </c>
      <c r="AL116" s="14">
        <f t="shared" si="6"/>
        <v>0</v>
      </c>
      <c r="AM116">
        <f t="shared" si="7"/>
        <v>0</v>
      </c>
      <c r="AN116">
        <f t="shared" si="8"/>
        <v>0</v>
      </c>
      <c r="AP116">
        <f>VLOOKUP($B116,Kraftvärmeprod!$B$1:$BX$549,MATCH(AP$1,Kraftvärmeprod!$B$1:$BX$1,0),FALSE)</f>
        <v>0</v>
      </c>
      <c r="AQ116">
        <f>VLOOKUP($B116,Kraftvärmeprod!$B$1:$BX$549,MATCH(AQ$1,Kraftvärmeprod!$B$1:$BX$1,0),FALSE)</f>
        <v>0</v>
      </c>
      <c r="AR116">
        <f>VLOOKUP($B116,Kraftvärmeprod!$B$1:$BX$549,MATCH("Summa tillförd energi exklusive rökgaskondensering",Kraftvärmeprod!$B$1:$BX$1,0),FALSE)</f>
        <v>0</v>
      </c>
      <c r="AT116" s="17" t="str">
        <f t="shared" si="9"/>
        <v/>
      </c>
      <c r="AV116">
        <f t="shared" si="10"/>
        <v>0</v>
      </c>
      <c r="BA116" s="17" t="str">
        <f t="shared" si="11"/>
        <v/>
      </c>
    </row>
    <row r="117" spans="1:53" x14ac:dyDescent="0.25">
      <c r="A117" s="137" t="s">
        <v>348</v>
      </c>
      <c r="B117" s="137" t="s">
        <v>352</v>
      </c>
      <c r="C117" s="121"/>
      <c r="D117" s="121"/>
      <c r="E117" s="121"/>
      <c r="F117" s="121"/>
      <c r="G117" s="121"/>
      <c r="H117" s="121"/>
      <c r="I117" s="121"/>
      <c r="J117" s="121">
        <v>0</v>
      </c>
      <c r="K117" s="121">
        <v>0</v>
      </c>
      <c r="L117" s="121">
        <v>0</v>
      </c>
      <c r="M117" s="121">
        <v>0</v>
      </c>
      <c r="N117" s="121">
        <v>0</v>
      </c>
      <c r="O117" s="121">
        <v>0</v>
      </c>
      <c r="P117" s="121">
        <v>5.8419299999999996</v>
      </c>
      <c r="Q117" s="121">
        <v>5.7732000000000001</v>
      </c>
      <c r="R117" s="121">
        <v>5.7732000000000001</v>
      </c>
      <c r="S117" s="121">
        <v>5.8419299999999996</v>
      </c>
      <c r="T117" s="121">
        <v>0</v>
      </c>
      <c r="U117" s="121">
        <v>5.8419299999999996</v>
      </c>
      <c r="V117" s="121" t="s">
        <v>1119</v>
      </c>
      <c r="W117" s="121">
        <v>0</v>
      </c>
      <c r="X117" s="121">
        <v>0</v>
      </c>
      <c r="Y117" s="121">
        <v>0</v>
      </c>
      <c r="Z117" s="121">
        <v>0</v>
      </c>
      <c r="AA117" s="121">
        <v>0</v>
      </c>
      <c r="AB117" s="121">
        <v>0</v>
      </c>
      <c r="AC117" s="121">
        <v>0</v>
      </c>
      <c r="AD117" s="121">
        <v>0</v>
      </c>
      <c r="AE117" s="121">
        <v>0</v>
      </c>
      <c r="AF117" s="121">
        <v>0</v>
      </c>
      <c r="AG117" s="121">
        <v>0</v>
      </c>
      <c r="AH117" s="121">
        <v>4</v>
      </c>
      <c r="AI117" s="121">
        <v>0.96220000000000006</v>
      </c>
      <c r="AL117" s="14">
        <f t="shared" si="6"/>
        <v>34.034390000000002</v>
      </c>
      <c r="AM117">
        <f t="shared" si="7"/>
        <v>33.072189999999999</v>
      </c>
      <c r="AN117">
        <f t="shared" si="8"/>
        <v>29.072189999999999</v>
      </c>
      <c r="AP117">
        <f>VLOOKUP($B117,Kraftvärmeprod!$B$1:$BX$549,MATCH(AP$1,Kraftvärmeprod!$B$1:$BX$1,0),FALSE)</f>
        <v>30.7</v>
      </c>
      <c r="AQ117">
        <f>VLOOKUP($B117,Kraftvärmeprod!$B$1:$BX$549,MATCH(AQ$1,Kraftvärmeprod!$B$1:$BX$1,0),FALSE)</f>
        <v>5.36</v>
      </c>
      <c r="AR117">
        <f>VLOOKUP($B117,Kraftvärmeprod!$B$1:$BX$549,MATCH("Summa tillförd energi exklusive rökgaskondensering",Kraftvärmeprod!$B$1:$BX$1,0),FALSE)</f>
        <v>42.3</v>
      </c>
      <c r="AT117" s="17">
        <f t="shared" si="9"/>
        <v>0.68728581560283686</v>
      </c>
      <c r="AV117">
        <f t="shared" si="10"/>
        <v>29.072189999999999</v>
      </c>
      <c r="BA117" s="17">
        <f t="shared" si="11"/>
        <v>1.0221615954244452</v>
      </c>
    </row>
    <row r="118" spans="1:53" x14ac:dyDescent="0.25">
      <c r="A118" s="137" t="s">
        <v>353</v>
      </c>
      <c r="B118" s="137" t="s">
        <v>78</v>
      </c>
      <c r="C118" s="121"/>
      <c r="D118" s="121"/>
      <c r="E118" s="121"/>
      <c r="F118" s="121"/>
      <c r="G118" s="121"/>
      <c r="H118" s="121"/>
      <c r="I118" s="121"/>
      <c r="J118" s="121">
        <v>0</v>
      </c>
      <c r="K118" s="121">
        <v>0</v>
      </c>
      <c r="L118" s="121">
        <v>0</v>
      </c>
      <c r="M118" s="121">
        <v>0</v>
      </c>
      <c r="N118" s="121">
        <v>0</v>
      </c>
      <c r="O118" s="121">
        <v>0</v>
      </c>
      <c r="P118" s="121">
        <v>0</v>
      </c>
      <c r="Q118" s="121">
        <v>0</v>
      </c>
      <c r="R118" s="121">
        <v>0</v>
      </c>
      <c r="S118" s="121">
        <v>0</v>
      </c>
      <c r="T118" s="121">
        <v>0</v>
      </c>
      <c r="U118" s="121">
        <v>0</v>
      </c>
      <c r="V118" s="121" t="s">
        <v>1119</v>
      </c>
      <c r="W118" s="121">
        <v>0</v>
      </c>
      <c r="X118" s="121">
        <v>0</v>
      </c>
      <c r="Y118" s="121">
        <v>0</v>
      </c>
      <c r="Z118" s="121">
        <v>0</v>
      </c>
      <c r="AA118" s="121">
        <v>0</v>
      </c>
      <c r="AB118" s="121">
        <v>0</v>
      </c>
      <c r="AC118" s="121">
        <v>0</v>
      </c>
      <c r="AD118" s="121">
        <v>0</v>
      </c>
      <c r="AE118" s="121">
        <v>0</v>
      </c>
      <c r="AF118" s="121">
        <v>0</v>
      </c>
      <c r="AG118" s="121">
        <v>0</v>
      </c>
      <c r="AH118" s="121">
        <v>0</v>
      </c>
      <c r="AI118" s="121">
        <v>0</v>
      </c>
      <c r="AL118" s="14">
        <f t="shared" si="6"/>
        <v>0</v>
      </c>
      <c r="AM118">
        <f t="shared" si="7"/>
        <v>0</v>
      </c>
      <c r="AN118">
        <f t="shared" si="8"/>
        <v>0</v>
      </c>
      <c r="AP118">
        <f>VLOOKUP($B118,Kraftvärmeprod!$B$1:$BX$549,MATCH(AP$1,Kraftvärmeprod!$B$1:$BX$1,0),FALSE)</f>
        <v>0</v>
      </c>
      <c r="AQ118">
        <f>VLOOKUP($B118,Kraftvärmeprod!$B$1:$BX$549,MATCH(AQ$1,Kraftvärmeprod!$B$1:$BX$1,0),FALSE)</f>
        <v>0</v>
      </c>
      <c r="AR118">
        <f>VLOOKUP($B118,Kraftvärmeprod!$B$1:$BX$549,MATCH("Summa tillförd energi exklusive rökgaskondensering",Kraftvärmeprod!$B$1:$BX$1,0),FALSE)</f>
        <v>0</v>
      </c>
      <c r="AT118" s="17" t="str">
        <f t="shared" si="9"/>
        <v/>
      </c>
      <c r="AV118">
        <f t="shared" si="10"/>
        <v>0</v>
      </c>
      <c r="BA118" s="17" t="str">
        <f t="shared" si="11"/>
        <v/>
      </c>
    </row>
    <row r="119" spans="1:53" x14ac:dyDescent="0.25">
      <c r="A119" s="137" t="s">
        <v>354</v>
      </c>
      <c r="B119" s="137" t="s">
        <v>355</v>
      </c>
      <c r="C119" s="121"/>
      <c r="D119" s="121"/>
      <c r="E119" s="121"/>
      <c r="F119" s="121"/>
      <c r="G119" s="121"/>
      <c r="H119" s="121"/>
      <c r="I119" s="121"/>
      <c r="J119" s="121">
        <v>0</v>
      </c>
      <c r="K119" s="121">
        <v>0</v>
      </c>
      <c r="L119" s="121">
        <v>0</v>
      </c>
      <c r="M119" s="121">
        <v>0</v>
      </c>
      <c r="N119" s="121">
        <v>0</v>
      </c>
      <c r="O119" s="121">
        <v>0</v>
      </c>
      <c r="P119" s="121">
        <v>0</v>
      </c>
      <c r="Q119" s="121">
        <v>0</v>
      </c>
      <c r="R119" s="121">
        <v>0</v>
      </c>
      <c r="S119" s="121">
        <v>0</v>
      </c>
      <c r="T119" s="121">
        <v>0</v>
      </c>
      <c r="U119" s="121">
        <v>0</v>
      </c>
      <c r="V119" s="121" t="s">
        <v>1119</v>
      </c>
      <c r="W119" s="121">
        <v>0</v>
      </c>
      <c r="X119" s="121">
        <v>0</v>
      </c>
      <c r="Y119" s="121">
        <v>0</v>
      </c>
      <c r="Z119" s="121">
        <v>0</v>
      </c>
      <c r="AA119" s="121">
        <v>0</v>
      </c>
      <c r="AB119" s="121">
        <v>0</v>
      </c>
      <c r="AC119" s="121">
        <v>0</v>
      </c>
      <c r="AD119" s="121">
        <v>0</v>
      </c>
      <c r="AE119" s="121">
        <v>0</v>
      </c>
      <c r="AF119" s="121">
        <v>0</v>
      </c>
      <c r="AG119" s="121">
        <v>0</v>
      </c>
      <c r="AH119" s="121">
        <v>0</v>
      </c>
      <c r="AI119" s="121">
        <v>0</v>
      </c>
      <c r="AL119" s="14">
        <f t="shared" si="6"/>
        <v>0</v>
      </c>
      <c r="AM119">
        <f t="shared" si="7"/>
        <v>0</v>
      </c>
      <c r="AN119">
        <f t="shared" si="8"/>
        <v>0</v>
      </c>
      <c r="AP119">
        <f>VLOOKUP($B119,Kraftvärmeprod!$B$1:$BX$549,MATCH(AP$1,Kraftvärmeprod!$B$1:$BX$1,0),FALSE)</f>
        <v>0</v>
      </c>
      <c r="AQ119">
        <f>VLOOKUP($B119,Kraftvärmeprod!$B$1:$BX$549,MATCH(AQ$1,Kraftvärmeprod!$B$1:$BX$1,0),FALSE)</f>
        <v>0</v>
      </c>
      <c r="AR119">
        <f>VLOOKUP($B119,Kraftvärmeprod!$B$1:$BX$549,MATCH("Summa tillförd energi exklusive rökgaskondensering",Kraftvärmeprod!$B$1:$BX$1,0),FALSE)</f>
        <v>0</v>
      </c>
      <c r="AT119" s="17" t="str">
        <f t="shared" si="9"/>
        <v/>
      </c>
      <c r="AV119">
        <f t="shared" si="10"/>
        <v>0</v>
      </c>
      <c r="BA119" s="17" t="str">
        <f t="shared" si="11"/>
        <v/>
      </c>
    </row>
    <row r="120" spans="1:53" x14ac:dyDescent="0.25">
      <c r="A120" s="137" t="s">
        <v>356</v>
      </c>
      <c r="B120" s="137" t="s">
        <v>357</v>
      </c>
      <c r="C120" s="121"/>
      <c r="D120" s="121"/>
      <c r="E120" s="121"/>
      <c r="F120" s="121"/>
      <c r="G120" s="121"/>
      <c r="H120" s="121"/>
      <c r="I120" s="121"/>
      <c r="J120" s="121">
        <v>0</v>
      </c>
      <c r="K120" s="121">
        <v>0</v>
      </c>
      <c r="L120" s="121">
        <v>0</v>
      </c>
      <c r="M120" s="121">
        <v>0</v>
      </c>
      <c r="N120" s="121">
        <v>0</v>
      </c>
      <c r="O120" s="121">
        <v>0</v>
      </c>
      <c r="P120" s="121">
        <v>10.494899999999999</v>
      </c>
      <c r="Q120" s="121">
        <v>28.024899999999999</v>
      </c>
      <c r="R120" s="121">
        <v>32.234400000000001</v>
      </c>
      <c r="S120" s="121">
        <v>1.4416100000000001</v>
      </c>
      <c r="T120" s="121">
        <v>0</v>
      </c>
      <c r="U120" s="121">
        <v>0</v>
      </c>
      <c r="V120" s="121" t="s">
        <v>1119</v>
      </c>
      <c r="W120" s="121">
        <v>0</v>
      </c>
      <c r="X120" s="121">
        <v>0</v>
      </c>
      <c r="Y120" s="121">
        <v>0</v>
      </c>
      <c r="Z120" s="121">
        <v>0</v>
      </c>
      <c r="AA120" s="121">
        <v>0</v>
      </c>
      <c r="AB120" s="121">
        <v>0</v>
      </c>
      <c r="AC120" s="121">
        <v>0</v>
      </c>
      <c r="AD120" s="121">
        <v>17.949400000000001</v>
      </c>
      <c r="AE120" s="121">
        <v>0</v>
      </c>
      <c r="AF120" s="121">
        <v>0</v>
      </c>
      <c r="AG120" s="121">
        <v>0</v>
      </c>
      <c r="AH120" s="121">
        <v>31.5</v>
      </c>
      <c r="AI120" s="121">
        <v>3.1547900000000002</v>
      </c>
      <c r="AL120" s="14">
        <f t="shared" si="6"/>
        <v>124.8</v>
      </c>
      <c r="AM120">
        <f t="shared" si="7"/>
        <v>121.64520999999999</v>
      </c>
      <c r="AN120">
        <f t="shared" si="8"/>
        <v>90.145209999999992</v>
      </c>
      <c r="AP120">
        <f>VLOOKUP($B120,Kraftvärmeprod!$B$1:$BX$549,MATCH(AP$1,Kraftvärmeprod!$B$1:$BX$1,0),FALSE)</f>
        <v>107.2</v>
      </c>
      <c r="AQ120">
        <f>VLOOKUP($B120,Kraftvärmeprod!$B$1:$BX$549,MATCH(AQ$1,Kraftvärmeprod!$B$1:$BX$1,0),FALSE)</f>
        <v>30.2</v>
      </c>
      <c r="AR120">
        <f>VLOOKUP($B120,Kraftvärmeprod!$B$1:$BX$549,MATCH("Summa tillförd energi exklusive rökgaskondensering",Kraftvärmeprod!$B$1:$BX$1,0),FALSE)</f>
        <v>154.29999999999998</v>
      </c>
      <c r="AT120" s="17">
        <f t="shared" si="9"/>
        <v>0.58422041477640962</v>
      </c>
      <c r="AV120">
        <f t="shared" si="10"/>
        <v>72.195809999999994</v>
      </c>
      <c r="BA120" s="17">
        <f t="shared" si="11"/>
        <v>1.1489817792068597</v>
      </c>
    </row>
    <row r="121" spans="1:53" x14ac:dyDescent="0.25">
      <c r="A121" s="137" t="s">
        <v>358</v>
      </c>
      <c r="B121" s="137" t="s">
        <v>359</v>
      </c>
      <c r="C121" s="121"/>
      <c r="D121" s="121"/>
      <c r="E121" s="121"/>
      <c r="F121" s="121"/>
      <c r="G121" s="121"/>
      <c r="H121" s="121"/>
      <c r="I121" s="121"/>
      <c r="J121" s="121">
        <v>0</v>
      </c>
      <c r="K121" s="121">
        <v>0.37681399999999998</v>
      </c>
      <c r="L121" s="121">
        <v>0</v>
      </c>
      <c r="M121" s="121">
        <v>0</v>
      </c>
      <c r="N121" s="121">
        <v>0</v>
      </c>
      <c r="O121" s="121">
        <v>0</v>
      </c>
      <c r="P121" s="121">
        <v>0</v>
      </c>
      <c r="Q121" s="121">
        <v>0</v>
      </c>
      <c r="R121" s="121">
        <v>0</v>
      </c>
      <c r="S121" s="121">
        <v>0</v>
      </c>
      <c r="T121" s="121">
        <v>0</v>
      </c>
      <c r="U121" s="121">
        <v>0</v>
      </c>
      <c r="V121" s="121" t="s">
        <v>1119</v>
      </c>
      <c r="W121" s="121">
        <v>0</v>
      </c>
      <c r="X121" s="121">
        <v>0</v>
      </c>
      <c r="Y121" s="121">
        <v>0</v>
      </c>
      <c r="Z121" s="121">
        <v>0</v>
      </c>
      <c r="AA121" s="121">
        <v>0</v>
      </c>
      <c r="AB121" s="121">
        <v>0.37681399999999998</v>
      </c>
      <c r="AC121" s="121">
        <v>0</v>
      </c>
      <c r="AD121" s="121">
        <v>0</v>
      </c>
      <c r="AE121" s="121">
        <v>119.027</v>
      </c>
      <c r="AF121" s="121">
        <v>0</v>
      </c>
      <c r="AG121" s="121">
        <v>0</v>
      </c>
      <c r="AH121" s="121">
        <v>0</v>
      </c>
      <c r="AI121" s="121">
        <v>0</v>
      </c>
      <c r="AL121" s="14">
        <f t="shared" si="6"/>
        <v>119.78062800000001</v>
      </c>
      <c r="AM121">
        <f t="shared" si="7"/>
        <v>119.78062800000001</v>
      </c>
      <c r="AN121">
        <f t="shared" si="8"/>
        <v>119.78062800000001</v>
      </c>
      <c r="AP121">
        <f>VLOOKUP($B121,Kraftvärmeprod!$B$1:$BX$549,MATCH(AP$1,Kraftvärmeprod!$B$1:$BX$1,0),FALSE)</f>
        <v>115.6</v>
      </c>
      <c r="AQ121">
        <f>VLOOKUP($B121,Kraftvärmeprod!$B$1:$BX$549,MATCH(AQ$1,Kraftvärmeprod!$B$1:$BX$1,0),FALSE)</f>
        <v>11.1</v>
      </c>
      <c r="AR121">
        <f>VLOOKUP($B121,Kraftvärmeprod!$B$1:$BX$549,MATCH("Summa tillförd energi exklusive rökgaskondensering",Kraftvärmeprod!$B$1:$BX$1,0),FALSE)</f>
        <v>156.5</v>
      </c>
      <c r="AT121" s="17">
        <f t="shared" si="9"/>
        <v>0.76537142492012789</v>
      </c>
      <c r="AV121">
        <f t="shared" si="10"/>
        <v>0.37681399999999998</v>
      </c>
      <c r="BA121" s="17">
        <f t="shared" si="11"/>
        <v>0.96509762830764245</v>
      </c>
    </row>
    <row r="122" spans="1:53" x14ac:dyDescent="0.25">
      <c r="A122" s="137" t="s">
        <v>358</v>
      </c>
      <c r="B122" s="137" t="s">
        <v>360</v>
      </c>
      <c r="C122" s="121"/>
      <c r="D122" s="121"/>
      <c r="E122" s="121"/>
      <c r="F122" s="121"/>
      <c r="G122" s="121"/>
      <c r="H122" s="121"/>
      <c r="I122" s="121"/>
      <c r="J122" s="121">
        <v>0</v>
      </c>
      <c r="K122" s="121">
        <v>0</v>
      </c>
      <c r="L122" s="121">
        <v>0</v>
      </c>
      <c r="M122" s="121">
        <v>0</v>
      </c>
      <c r="N122" s="121">
        <v>0</v>
      </c>
      <c r="O122" s="121">
        <v>0</v>
      </c>
      <c r="P122" s="121">
        <v>0</v>
      </c>
      <c r="Q122" s="121">
        <v>0</v>
      </c>
      <c r="R122" s="121">
        <v>0</v>
      </c>
      <c r="S122" s="121">
        <v>0</v>
      </c>
      <c r="T122" s="121">
        <v>0</v>
      </c>
      <c r="U122" s="121">
        <v>0</v>
      </c>
      <c r="V122" s="121" t="s">
        <v>1119</v>
      </c>
      <c r="W122" s="121">
        <v>0</v>
      </c>
      <c r="X122" s="121">
        <v>0</v>
      </c>
      <c r="Y122" s="121">
        <v>0</v>
      </c>
      <c r="Z122" s="121">
        <v>0</v>
      </c>
      <c r="AA122" s="121">
        <v>0</v>
      </c>
      <c r="AB122" s="121">
        <v>0</v>
      </c>
      <c r="AC122" s="121">
        <v>0</v>
      </c>
      <c r="AD122" s="121">
        <v>0</v>
      </c>
      <c r="AE122" s="121">
        <v>0</v>
      </c>
      <c r="AF122" s="121">
        <v>0</v>
      </c>
      <c r="AG122" s="121">
        <v>0</v>
      </c>
      <c r="AH122" s="121">
        <v>0</v>
      </c>
      <c r="AI122" s="121">
        <v>0</v>
      </c>
      <c r="AL122" s="14">
        <f t="shared" si="6"/>
        <v>0</v>
      </c>
      <c r="AM122">
        <f t="shared" si="7"/>
        <v>0</v>
      </c>
      <c r="AN122">
        <f t="shared" si="8"/>
        <v>0</v>
      </c>
      <c r="AP122">
        <f>VLOOKUP($B122,Kraftvärmeprod!$B$1:$BX$549,MATCH(AP$1,Kraftvärmeprod!$B$1:$BX$1,0),FALSE)</f>
        <v>0</v>
      </c>
      <c r="AQ122">
        <f>VLOOKUP($B122,Kraftvärmeprod!$B$1:$BX$549,MATCH(AQ$1,Kraftvärmeprod!$B$1:$BX$1,0),FALSE)</f>
        <v>0</v>
      </c>
      <c r="AR122">
        <f>VLOOKUP($B122,Kraftvärmeprod!$B$1:$BX$549,MATCH("Summa tillförd energi exklusive rökgaskondensering",Kraftvärmeprod!$B$1:$BX$1,0),FALSE)</f>
        <v>0</v>
      </c>
      <c r="AT122" s="17" t="str">
        <f t="shared" si="9"/>
        <v/>
      </c>
      <c r="AV122">
        <f t="shared" si="10"/>
        <v>0</v>
      </c>
      <c r="BA122" s="17" t="str">
        <f t="shared" si="11"/>
        <v/>
      </c>
    </row>
    <row r="123" spans="1:53" x14ac:dyDescent="0.25">
      <c r="A123" s="137" t="s">
        <v>362</v>
      </c>
      <c r="B123" s="137" t="s">
        <v>363</v>
      </c>
      <c r="C123" s="121"/>
      <c r="D123" s="121"/>
      <c r="E123" s="121"/>
      <c r="F123" s="121"/>
      <c r="G123" s="121"/>
      <c r="H123" s="121"/>
      <c r="I123" s="121"/>
      <c r="J123" s="121">
        <v>0</v>
      </c>
      <c r="K123" s="121">
        <v>0</v>
      </c>
      <c r="L123" s="121">
        <v>0</v>
      </c>
      <c r="M123" s="121">
        <v>0</v>
      </c>
      <c r="N123" s="121">
        <v>0</v>
      </c>
      <c r="O123" s="121">
        <v>0</v>
      </c>
      <c r="P123" s="121">
        <v>0</v>
      </c>
      <c r="Q123" s="121">
        <v>0</v>
      </c>
      <c r="R123" s="121">
        <v>0</v>
      </c>
      <c r="S123" s="121">
        <v>0</v>
      </c>
      <c r="T123" s="121">
        <v>0</v>
      </c>
      <c r="U123" s="121">
        <v>0</v>
      </c>
      <c r="V123" s="121" t="s">
        <v>1119</v>
      </c>
      <c r="W123" s="121">
        <v>0</v>
      </c>
      <c r="X123" s="121">
        <v>0</v>
      </c>
      <c r="Y123" s="121">
        <v>0</v>
      </c>
      <c r="Z123" s="121">
        <v>0</v>
      </c>
      <c r="AA123" s="121">
        <v>0</v>
      </c>
      <c r="AB123" s="121">
        <v>0</v>
      </c>
      <c r="AC123" s="121">
        <v>0</v>
      </c>
      <c r="AD123" s="121">
        <v>0</v>
      </c>
      <c r="AE123" s="121">
        <v>0</v>
      </c>
      <c r="AF123" s="121">
        <v>0</v>
      </c>
      <c r="AG123" s="121">
        <v>0</v>
      </c>
      <c r="AH123" s="121">
        <v>0</v>
      </c>
      <c r="AI123" s="121">
        <v>0</v>
      </c>
      <c r="AL123" s="14">
        <f t="shared" si="6"/>
        <v>0</v>
      </c>
      <c r="AM123">
        <f t="shared" si="7"/>
        <v>0</v>
      </c>
      <c r="AN123">
        <f t="shared" si="8"/>
        <v>0</v>
      </c>
      <c r="AP123">
        <f>VLOOKUP($B123,Kraftvärmeprod!$B$1:$BX$549,MATCH(AP$1,Kraftvärmeprod!$B$1:$BX$1,0),FALSE)</f>
        <v>0</v>
      </c>
      <c r="AQ123">
        <f>VLOOKUP($B123,Kraftvärmeprod!$B$1:$BX$549,MATCH(AQ$1,Kraftvärmeprod!$B$1:$BX$1,0),FALSE)</f>
        <v>0</v>
      </c>
      <c r="AR123">
        <f>VLOOKUP($B123,Kraftvärmeprod!$B$1:$BX$549,MATCH("Summa tillförd energi exklusive rökgaskondensering",Kraftvärmeprod!$B$1:$BX$1,0),FALSE)</f>
        <v>0</v>
      </c>
      <c r="AT123" s="17" t="str">
        <f t="shared" si="9"/>
        <v/>
      </c>
      <c r="AV123">
        <f t="shared" si="10"/>
        <v>0</v>
      </c>
      <c r="BA123" s="17" t="str">
        <f t="shared" si="11"/>
        <v/>
      </c>
    </row>
    <row r="124" spans="1:53" x14ac:dyDescent="0.25">
      <c r="A124" s="137" t="s">
        <v>364</v>
      </c>
      <c r="B124" s="137" t="s">
        <v>365</v>
      </c>
      <c r="C124" s="121"/>
      <c r="D124" s="121"/>
      <c r="E124" s="121"/>
      <c r="F124" s="121"/>
      <c r="G124" s="121"/>
      <c r="H124" s="121"/>
      <c r="I124" s="121"/>
      <c r="J124" s="121">
        <v>0</v>
      </c>
      <c r="K124" s="121">
        <v>0</v>
      </c>
      <c r="L124" s="121">
        <v>0</v>
      </c>
      <c r="M124" s="121">
        <v>0</v>
      </c>
      <c r="N124" s="121">
        <v>0</v>
      </c>
      <c r="O124" s="121">
        <v>0</v>
      </c>
      <c r="P124" s="121">
        <v>0</v>
      </c>
      <c r="Q124" s="121">
        <v>0</v>
      </c>
      <c r="R124" s="121">
        <v>0</v>
      </c>
      <c r="S124" s="121">
        <v>0</v>
      </c>
      <c r="T124" s="121">
        <v>0</v>
      </c>
      <c r="U124" s="121">
        <v>0</v>
      </c>
      <c r="V124" s="121" t="s">
        <v>1119</v>
      </c>
      <c r="W124" s="121">
        <v>0</v>
      </c>
      <c r="X124" s="121">
        <v>0</v>
      </c>
      <c r="Y124" s="121">
        <v>0</v>
      </c>
      <c r="Z124" s="121">
        <v>0</v>
      </c>
      <c r="AA124" s="121">
        <v>0</v>
      </c>
      <c r="AB124" s="121">
        <v>0</v>
      </c>
      <c r="AC124" s="121">
        <v>0</v>
      </c>
      <c r="AD124" s="121">
        <v>0</v>
      </c>
      <c r="AE124" s="121">
        <v>0</v>
      </c>
      <c r="AF124" s="121">
        <v>0</v>
      </c>
      <c r="AG124" s="121">
        <v>0</v>
      </c>
      <c r="AH124" s="121">
        <v>0</v>
      </c>
      <c r="AI124" s="121">
        <v>0</v>
      </c>
      <c r="AL124" s="14">
        <f t="shared" si="6"/>
        <v>0</v>
      </c>
      <c r="AM124">
        <f t="shared" si="7"/>
        <v>0</v>
      </c>
      <c r="AN124">
        <f t="shared" si="8"/>
        <v>0</v>
      </c>
      <c r="AP124">
        <f>VLOOKUP($B124,Kraftvärmeprod!$B$1:$BX$549,MATCH(AP$1,Kraftvärmeprod!$B$1:$BX$1,0),FALSE)</f>
        <v>0</v>
      </c>
      <c r="AQ124">
        <f>VLOOKUP($B124,Kraftvärmeprod!$B$1:$BX$549,MATCH(AQ$1,Kraftvärmeprod!$B$1:$BX$1,0),FALSE)</f>
        <v>0</v>
      </c>
      <c r="AR124">
        <f>VLOOKUP($B124,Kraftvärmeprod!$B$1:$BX$549,MATCH("Summa tillförd energi exklusive rökgaskondensering",Kraftvärmeprod!$B$1:$BX$1,0),FALSE)</f>
        <v>0</v>
      </c>
      <c r="AT124" s="17" t="str">
        <f t="shared" si="9"/>
        <v/>
      </c>
      <c r="AV124">
        <f t="shared" si="10"/>
        <v>0</v>
      </c>
      <c r="BA124" s="17" t="str">
        <f t="shared" si="11"/>
        <v/>
      </c>
    </row>
    <row r="125" spans="1:53" x14ac:dyDescent="0.25">
      <c r="A125" s="137" t="s">
        <v>366</v>
      </c>
      <c r="B125" s="137" t="s">
        <v>367</v>
      </c>
      <c r="C125" s="121"/>
      <c r="D125" s="121"/>
      <c r="E125" s="121"/>
      <c r="F125" s="121"/>
      <c r="G125" s="121"/>
      <c r="H125" s="121"/>
      <c r="I125" s="121"/>
      <c r="J125" s="121">
        <v>0</v>
      </c>
      <c r="K125" s="121">
        <v>0</v>
      </c>
      <c r="L125" s="121">
        <v>0</v>
      </c>
      <c r="M125" s="121">
        <v>0</v>
      </c>
      <c r="N125" s="121">
        <v>0</v>
      </c>
      <c r="O125" s="121">
        <v>0</v>
      </c>
      <c r="P125" s="121">
        <v>0</v>
      </c>
      <c r="Q125" s="121">
        <v>0</v>
      </c>
      <c r="R125" s="121">
        <v>0</v>
      </c>
      <c r="S125" s="121">
        <v>0</v>
      </c>
      <c r="T125" s="121">
        <v>0</v>
      </c>
      <c r="U125" s="121">
        <v>0</v>
      </c>
      <c r="V125" s="121" t="s">
        <v>1119</v>
      </c>
      <c r="W125" s="121">
        <v>0</v>
      </c>
      <c r="X125" s="121">
        <v>0</v>
      </c>
      <c r="Y125" s="121">
        <v>0</v>
      </c>
      <c r="Z125" s="121">
        <v>0</v>
      </c>
      <c r="AA125" s="121">
        <v>0</v>
      </c>
      <c r="AB125" s="121">
        <v>0</v>
      </c>
      <c r="AC125" s="121">
        <v>0</v>
      </c>
      <c r="AD125" s="121">
        <v>0</v>
      </c>
      <c r="AE125" s="121">
        <v>0</v>
      </c>
      <c r="AF125" s="121">
        <v>0</v>
      </c>
      <c r="AG125" s="121">
        <v>0</v>
      </c>
      <c r="AH125" s="121">
        <v>0</v>
      </c>
      <c r="AI125" s="121">
        <v>0</v>
      </c>
      <c r="AL125" s="14">
        <f t="shared" si="6"/>
        <v>0</v>
      </c>
      <c r="AM125">
        <f t="shared" si="7"/>
        <v>0</v>
      </c>
      <c r="AN125">
        <f t="shared" si="8"/>
        <v>0</v>
      </c>
      <c r="AP125">
        <f>VLOOKUP($B125,Kraftvärmeprod!$B$1:$BX$549,MATCH(AP$1,Kraftvärmeprod!$B$1:$BX$1,0),FALSE)</f>
        <v>0</v>
      </c>
      <c r="AQ125">
        <f>VLOOKUP($B125,Kraftvärmeprod!$B$1:$BX$549,MATCH(AQ$1,Kraftvärmeprod!$B$1:$BX$1,0),FALSE)</f>
        <v>0</v>
      </c>
      <c r="AR125">
        <f>VLOOKUP($B125,Kraftvärmeprod!$B$1:$BX$549,MATCH("Summa tillförd energi exklusive rökgaskondensering",Kraftvärmeprod!$B$1:$BX$1,0),FALSE)</f>
        <v>0</v>
      </c>
      <c r="AT125" s="17" t="str">
        <f t="shared" si="9"/>
        <v/>
      </c>
      <c r="AV125">
        <f t="shared" si="10"/>
        <v>0</v>
      </c>
      <c r="BA125" s="17" t="str">
        <f t="shared" si="11"/>
        <v/>
      </c>
    </row>
    <row r="126" spans="1:53" x14ac:dyDescent="0.25">
      <c r="A126" s="137" t="s">
        <v>366</v>
      </c>
      <c r="B126" s="137" t="s">
        <v>368</v>
      </c>
      <c r="C126" s="121"/>
      <c r="D126" s="121"/>
      <c r="E126" s="121"/>
      <c r="F126" s="121"/>
      <c r="G126" s="121"/>
      <c r="H126" s="121"/>
      <c r="I126" s="121"/>
      <c r="J126" s="121">
        <v>0</v>
      </c>
      <c r="K126" s="121">
        <v>0</v>
      </c>
      <c r="L126" s="121">
        <v>0</v>
      </c>
      <c r="M126" s="121">
        <v>0</v>
      </c>
      <c r="N126" s="121">
        <v>0</v>
      </c>
      <c r="O126" s="121">
        <v>0</v>
      </c>
      <c r="P126" s="121">
        <v>0</v>
      </c>
      <c r="Q126" s="121">
        <v>0</v>
      </c>
      <c r="R126" s="121">
        <v>0</v>
      </c>
      <c r="S126" s="121">
        <v>0</v>
      </c>
      <c r="T126" s="121">
        <v>0</v>
      </c>
      <c r="U126" s="121">
        <v>0</v>
      </c>
      <c r="V126" s="121" t="s">
        <v>1119</v>
      </c>
      <c r="W126" s="121">
        <v>0</v>
      </c>
      <c r="X126" s="121">
        <v>0</v>
      </c>
      <c r="Y126" s="121">
        <v>0</v>
      </c>
      <c r="Z126" s="121">
        <v>0</v>
      </c>
      <c r="AA126" s="121">
        <v>0</v>
      </c>
      <c r="AB126" s="121">
        <v>0</v>
      </c>
      <c r="AC126" s="121">
        <v>0</v>
      </c>
      <c r="AD126" s="121">
        <v>0</v>
      </c>
      <c r="AE126" s="121">
        <v>0</v>
      </c>
      <c r="AF126" s="121">
        <v>0</v>
      </c>
      <c r="AG126" s="121">
        <v>0</v>
      </c>
      <c r="AH126" s="121">
        <v>0</v>
      </c>
      <c r="AI126" s="121">
        <v>0</v>
      </c>
      <c r="AL126" s="14">
        <f t="shared" si="6"/>
        <v>0</v>
      </c>
      <c r="AM126">
        <f t="shared" si="7"/>
        <v>0</v>
      </c>
      <c r="AN126">
        <f t="shared" si="8"/>
        <v>0</v>
      </c>
      <c r="AP126">
        <f>VLOOKUP($B126,Kraftvärmeprod!$B$1:$BX$549,MATCH(AP$1,Kraftvärmeprod!$B$1:$BX$1,0),FALSE)</f>
        <v>0</v>
      </c>
      <c r="AQ126">
        <f>VLOOKUP($B126,Kraftvärmeprod!$B$1:$BX$549,MATCH(AQ$1,Kraftvärmeprod!$B$1:$BX$1,0),FALSE)</f>
        <v>0</v>
      </c>
      <c r="AR126">
        <f>VLOOKUP($B126,Kraftvärmeprod!$B$1:$BX$549,MATCH("Summa tillförd energi exklusive rökgaskondensering",Kraftvärmeprod!$B$1:$BX$1,0),FALSE)</f>
        <v>0</v>
      </c>
      <c r="AT126" s="17" t="str">
        <f t="shared" si="9"/>
        <v/>
      </c>
      <c r="AV126">
        <f t="shared" si="10"/>
        <v>0</v>
      </c>
      <c r="BA126" s="17" t="str">
        <f t="shared" si="11"/>
        <v/>
      </c>
    </row>
    <row r="127" spans="1:53" x14ac:dyDescent="0.25">
      <c r="A127" s="137" t="s">
        <v>366</v>
      </c>
      <c r="B127" s="137" t="s">
        <v>369</v>
      </c>
      <c r="C127" s="121"/>
      <c r="D127" s="121"/>
      <c r="E127" s="121"/>
      <c r="F127" s="121"/>
      <c r="G127" s="121"/>
      <c r="H127" s="121"/>
      <c r="I127" s="121"/>
      <c r="J127" s="121">
        <v>0</v>
      </c>
      <c r="K127" s="121">
        <v>0</v>
      </c>
      <c r="L127" s="121">
        <v>0</v>
      </c>
      <c r="M127" s="121">
        <v>0</v>
      </c>
      <c r="N127" s="121">
        <v>0</v>
      </c>
      <c r="O127" s="121">
        <v>0</v>
      </c>
      <c r="P127" s="121">
        <v>0</v>
      </c>
      <c r="Q127" s="121">
        <v>0</v>
      </c>
      <c r="R127" s="121">
        <v>0</v>
      </c>
      <c r="S127" s="121">
        <v>0</v>
      </c>
      <c r="T127" s="121">
        <v>0</v>
      </c>
      <c r="U127" s="121">
        <v>0</v>
      </c>
      <c r="V127" s="121" t="s">
        <v>1119</v>
      </c>
      <c r="W127" s="121">
        <v>0</v>
      </c>
      <c r="X127" s="121">
        <v>0</v>
      </c>
      <c r="Y127" s="121">
        <v>0</v>
      </c>
      <c r="Z127" s="121">
        <v>0</v>
      </c>
      <c r="AA127" s="121">
        <v>0</v>
      </c>
      <c r="AB127" s="121">
        <v>0</v>
      </c>
      <c r="AC127" s="121">
        <v>0</v>
      </c>
      <c r="AD127" s="121">
        <v>0</v>
      </c>
      <c r="AE127" s="121">
        <v>0</v>
      </c>
      <c r="AF127" s="121">
        <v>0</v>
      </c>
      <c r="AG127" s="121">
        <v>0</v>
      </c>
      <c r="AH127" s="121">
        <v>0</v>
      </c>
      <c r="AI127" s="121">
        <v>0</v>
      </c>
      <c r="AL127" s="14">
        <f t="shared" si="6"/>
        <v>0</v>
      </c>
      <c r="AM127">
        <f t="shared" si="7"/>
        <v>0</v>
      </c>
      <c r="AN127">
        <f t="shared" si="8"/>
        <v>0</v>
      </c>
      <c r="AP127">
        <f>VLOOKUP($B127,Kraftvärmeprod!$B$1:$BX$549,MATCH(AP$1,Kraftvärmeprod!$B$1:$BX$1,0),FALSE)</f>
        <v>0</v>
      </c>
      <c r="AQ127">
        <f>VLOOKUP($B127,Kraftvärmeprod!$B$1:$BX$549,MATCH(AQ$1,Kraftvärmeprod!$B$1:$BX$1,0),FALSE)</f>
        <v>0</v>
      </c>
      <c r="AR127">
        <f>VLOOKUP($B127,Kraftvärmeprod!$B$1:$BX$549,MATCH("Summa tillförd energi exklusive rökgaskondensering",Kraftvärmeprod!$B$1:$BX$1,0),FALSE)</f>
        <v>0</v>
      </c>
      <c r="AT127" s="17" t="str">
        <f t="shared" si="9"/>
        <v/>
      </c>
      <c r="AV127">
        <f t="shared" si="10"/>
        <v>0</v>
      </c>
      <c r="BA127" s="17" t="str">
        <f t="shared" si="11"/>
        <v/>
      </c>
    </row>
    <row r="128" spans="1:53" x14ac:dyDescent="0.25">
      <c r="A128" s="137" t="s">
        <v>366</v>
      </c>
      <c r="B128" s="137" t="s">
        <v>370</v>
      </c>
      <c r="C128" s="121"/>
      <c r="D128" s="121"/>
      <c r="E128" s="121"/>
      <c r="F128" s="121"/>
      <c r="G128" s="121"/>
      <c r="H128" s="121"/>
      <c r="I128" s="121"/>
      <c r="J128" s="121">
        <v>0</v>
      </c>
      <c r="K128" s="121">
        <v>0</v>
      </c>
      <c r="L128" s="121">
        <v>0</v>
      </c>
      <c r="M128" s="121">
        <v>0</v>
      </c>
      <c r="N128" s="121">
        <v>0</v>
      </c>
      <c r="O128" s="121">
        <v>0</v>
      </c>
      <c r="P128" s="121">
        <v>11.195399999999999</v>
      </c>
      <c r="Q128" s="121">
        <v>48.5854</v>
      </c>
      <c r="R128" s="121">
        <v>98.251300000000001</v>
      </c>
      <c r="S128" s="121">
        <v>47.288600000000002</v>
      </c>
      <c r="T128" s="121">
        <v>0</v>
      </c>
      <c r="U128" s="121">
        <v>0</v>
      </c>
      <c r="V128" s="121" t="s">
        <v>1119</v>
      </c>
      <c r="W128" s="121">
        <v>0</v>
      </c>
      <c r="X128" s="121">
        <v>0</v>
      </c>
      <c r="Y128" s="121">
        <v>0</v>
      </c>
      <c r="Z128" s="121">
        <v>66.3078</v>
      </c>
      <c r="AA128" s="121">
        <v>0</v>
      </c>
      <c r="AB128" s="121">
        <v>0</v>
      </c>
      <c r="AC128" s="121">
        <v>0</v>
      </c>
      <c r="AD128" s="121">
        <v>25.670400000000001</v>
      </c>
      <c r="AE128" s="121">
        <v>0</v>
      </c>
      <c r="AF128" s="121">
        <v>0</v>
      </c>
      <c r="AG128" s="121">
        <v>0</v>
      </c>
      <c r="AH128" s="121">
        <v>106.1</v>
      </c>
      <c r="AI128" s="121">
        <v>0</v>
      </c>
      <c r="AL128" s="14">
        <f t="shared" si="6"/>
        <v>403.39890000000003</v>
      </c>
      <c r="AM128">
        <f t="shared" si="7"/>
        <v>403.39890000000003</v>
      </c>
      <c r="AN128">
        <f t="shared" si="8"/>
        <v>297.2989</v>
      </c>
      <c r="AP128">
        <f>VLOOKUP($B128,Kraftvärmeprod!$B$1:$BX$549,MATCH(AP$1,Kraftvärmeprod!$B$1:$BX$1,0),FALSE)</f>
        <v>375</v>
      </c>
      <c r="AQ128">
        <f>VLOOKUP($B128,Kraftvärmeprod!$B$1:$BX$549,MATCH(AQ$1,Kraftvärmeprod!$B$1:$BX$1,0),FALSE)</f>
        <v>189</v>
      </c>
      <c r="AR128">
        <f>VLOOKUP($B128,Kraftvärmeprod!$B$1:$BX$549,MATCH("Summa tillförd energi exklusive rökgaskondensering",Kraftvärmeprod!$B$1:$BX$1,0),FALSE)</f>
        <v>682.6</v>
      </c>
      <c r="AT128" s="17">
        <f t="shared" si="9"/>
        <v>0.43553896864928215</v>
      </c>
      <c r="AV128">
        <f t="shared" si="10"/>
        <v>271.62850000000003</v>
      </c>
      <c r="BA128" s="17">
        <f t="shared" si="11"/>
        <v>1.2613568365035996</v>
      </c>
    </row>
    <row r="129" spans="1:53" x14ac:dyDescent="0.25">
      <c r="A129" s="137" t="s">
        <v>371</v>
      </c>
      <c r="B129" s="137" t="s">
        <v>81</v>
      </c>
      <c r="C129" s="121"/>
      <c r="D129" s="121"/>
      <c r="E129" s="121"/>
      <c r="F129" s="121"/>
      <c r="G129" s="121"/>
      <c r="H129" s="121"/>
      <c r="I129" s="121"/>
      <c r="J129" s="121">
        <v>0</v>
      </c>
      <c r="K129" s="121">
        <v>0</v>
      </c>
      <c r="L129" s="121">
        <v>0</v>
      </c>
      <c r="M129" s="121">
        <v>0</v>
      </c>
      <c r="N129" s="121">
        <v>0</v>
      </c>
      <c r="O129" s="121">
        <v>0</v>
      </c>
      <c r="P129" s="121">
        <v>0</v>
      </c>
      <c r="Q129" s="121">
        <v>0</v>
      </c>
      <c r="R129" s="121">
        <v>0</v>
      </c>
      <c r="S129" s="121">
        <v>0</v>
      </c>
      <c r="T129" s="121">
        <v>0</v>
      </c>
      <c r="U129" s="121">
        <v>0</v>
      </c>
      <c r="V129" s="121" t="s">
        <v>1119</v>
      </c>
      <c r="W129" s="121">
        <v>0</v>
      </c>
      <c r="X129" s="121">
        <v>0</v>
      </c>
      <c r="Y129" s="121">
        <v>0</v>
      </c>
      <c r="Z129" s="121">
        <v>0</v>
      </c>
      <c r="AA129" s="121">
        <v>0</v>
      </c>
      <c r="AB129" s="121">
        <v>0</v>
      </c>
      <c r="AC129" s="121">
        <v>0</v>
      </c>
      <c r="AD129" s="121">
        <v>0</v>
      </c>
      <c r="AE129" s="121">
        <v>0</v>
      </c>
      <c r="AF129" s="121">
        <v>0</v>
      </c>
      <c r="AG129" s="121">
        <v>0</v>
      </c>
      <c r="AH129" s="121">
        <v>0</v>
      </c>
      <c r="AI129" s="121">
        <v>0</v>
      </c>
      <c r="AL129" s="14">
        <f t="shared" si="6"/>
        <v>0</v>
      </c>
      <c r="AM129">
        <f t="shared" si="7"/>
        <v>0</v>
      </c>
      <c r="AN129">
        <f t="shared" si="8"/>
        <v>0</v>
      </c>
      <c r="AP129">
        <f>VLOOKUP($B129,Kraftvärmeprod!$B$1:$BX$549,MATCH(AP$1,Kraftvärmeprod!$B$1:$BX$1,0),FALSE)</f>
        <v>0</v>
      </c>
      <c r="AQ129">
        <f>VLOOKUP($B129,Kraftvärmeprod!$B$1:$BX$549,MATCH(AQ$1,Kraftvärmeprod!$B$1:$BX$1,0),FALSE)</f>
        <v>0</v>
      </c>
      <c r="AR129">
        <f>VLOOKUP($B129,Kraftvärmeprod!$B$1:$BX$549,MATCH("Summa tillförd energi exklusive rökgaskondensering",Kraftvärmeprod!$B$1:$BX$1,0),FALSE)</f>
        <v>0</v>
      </c>
      <c r="AT129" s="17" t="str">
        <f t="shared" si="9"/>
        <v/>
      </c>
      <c r="AV129">
        <f t="shared" si="10"/>
        <v>0</v>
      </c>
      <c r="BA129" s="17" t="str">
        <f t="shared" si="11"/>
        <v/>
      </c>
    </row>
    <row r="130" spans="1:53" x14ac:dyDescent="0.25">
      <c r="A130" s="137" t="s">
        <v>372</v>
      </c>
      <c r="B130" s="137" t="s">
        <v>373</v>
      </c>
      <c r="C130" s="121"/>
      <c r="D130" s="121"/>
      <c r="E130" s="121"/>
      <c r="F130" s="121"/>
      <c r="G130" s="121"/>
      <c r="H130" s="121"/>
      <c r="I130" s="121"/>
      <c r="J130" s="121">
        <v>0</v>
      </c>
      <c r="K130" s="121">
        <v>0</v>
      </c>
      <c r="L130" s="121">
        <v>0</v>
      </c>
      <c r="M130" s="121">
        <v>0</v>
      </c>
      <c r="N130" s="121">
        <v>0</v>
      </c>
      <c r="O130" s="121">
        <v>0</v>
      </c>
      <c r="P130" s="121">
        <v>0</v>
      </c>
      <c r="Q130" s="121">
        <v>0</v>
      </c>
      <c r="R130" s="121">
        <v>0</v>
      </c>
      <c r="S130" s="121">
        <v>0</v>
      </c>
      <c r="T130" s="121">
        <v>0</v>
      </c>
      <c r="U130" s="121">
        <v>0</v>
      </c>
      <c r="V130" s="121" t="s">
        <v>1119</v>
      </c>
      <c r="W130" s="121">
        <v>0</v>
      </c>
      <c r="X130" s="121">
        <v>0</v>
      </c>
      <c r="Y130" s="121">
        <v>0</v>
      </c>
      <c r="Z130" s="121">
        <v>0</v>
      </c>
      <c r="AA130" s="121">
        <v>0</v>
      </c>
      <c r="AB130" s="121">
        <v>0</v>
      </c>
      <c r="AC130" s="121">
        <v>0</v>
      </c>
      <c r="AD130" s="121">
        <v>0</v>
      </c>
      <c r="AE130" s="121">
        <v>0</v>
      </c>
      <c r="AF130" s="121">
        <v>0</v>
      </c>
      <c r="AG130" s="121">
        <v>0</v>
      </c>
      <c r="AH130" s="121">
        <v>0</v>
      </c>
      <c r="AI130" s="121">
        <v>0</v>
      </c>
      <c r="AL130" s="14">
        <f t="shared" ref="AL130:AL193" si="12">SUM(J130:U130,W130:AI130)</f>
        <v>0</v>
      </c>
      <c r="AM130">
        <f t="shared" ref="AM130:AM193" si="13">AL130-IFERROR(AI130/1,0)</f>
        <v>0</v>
      </c>
      <c r="AN130">
        <f t="shared" ref="AN130:AN193" si="14">AM130-IFERROR(AH130/1,0)</f>
        <v>0</v>
      </c>
      <c r="AP130">
        <f>VLOOKUP($B130,Kraftvärmeprod!$B$1:$BX$549,MATCH(AP$1,Kraftvärmeprod!$B$1:$BX$1,0),FALSE)</f>
        <v>0</v>
      </c>
      <c r="AQ130">
        <f>VLOOKUP($B130,Kraftvärmeprod!$B$1:$BX$549,MATCH(AQ$1,Kraftvärmeprod!$B$1:$BX$1,0),FALSE)</f>
        <v>0</v>
      </c>
      <c r="AR130">
        <f>VLOOKUP($B130,Kraftvärmeprod!$B$1:$BX$549,MATCH("Summa tillförd energi exklusive rökgaskondensering",Kraftvärmeprod!$B$1:$BX$1,0),FALSE)</f>
        <v>0</v>
      </c>
      <c r="AT130" s="17" t="str">
        <f t="shared" ref="AT130:AT193" si="15">IF(AN130=0,"",AN130/AR130)</f>
        <v/>
      </c>
      <c r="AV130">
        <f t="shared" ref="AV130:AV193" si="16">Q130+R130+S130+T130+U130+P130+X130+Y130+Z130+AA130+AB130+AC130+W130</f>
        <v>0</v>
      </c>
      <c r="BA130" s="17" t="str">
        <f t="shared" ref="BA130:BA193" si="17">IFERROR(AP130/(AN130+AI130),"")</f>
        <v/>
      </c>
    </row>
    <row r="131" spans="1:53" x14ac:dyDescent="0.25">
      <c r="A131" s="137" t="s">
        <v>372</v>
      </c>
      <c r="B131" s="137" t="s">
        <v>374</v>
      </c>
      <c r="C131" s="121"/>
      <c r="D131" s="121"/>
      <c r="E131" s="121"/>
      <c r="F131" s="121"/>
      <c r="G131" s="121"/>
      <c r="H131" s="121"/>
      <c r="I131" s="121"/>
      <c r="J131" s="121">
        <v>0</v>
      </c>
      <c r="K131" s="121">
        <v>1.21312</v>
      </c>
      <c r="L131" s="121">
        <v>0</v>
      </c>
      <c r="M131" s="121">
        <v>0</v>
      </c>
      <c r="N131" s="121">
        <v>0</v>
      </c>
      <c r="O131" s="121">
        <v>0</v>
      </c>
      <c r="P131" s="121">
        <v>133.01</v>
      </c>
      <c r="Q131" s="121">
        <v>48.540199999999999</v>
      </c>
      <c r="R131" s="121">
        <v>18.326899999999998</v>
      </c>
      <c r="S131" s="121">
        <v>12.5633</v>
      </c>
      <c r="T131" s="121">
        <v>0</v>
      </c>
      <c r="U131" s="121">
        <v>35.643700000000003</v>
      </c>
      <c r="V131" s="121" t="s">
        <v>1119</v>
      </c>
      <c r="W131" s="121">
        <v>0</v>
      </c>
      <c r="X131" s="121">
        <v>0</v>
      </c>
      <c r="Y131" s="121">
        <v>0</v>
      </c>
      <c r="Z131" s="121">
        <v>0.82783399999999996</v>
      </c>
      <c r="AA131" s="121">
        <v>0</v>
      </c>
      <c r="AB131" s="121">
        <v>0</v>
      </c>
      <c r="AC131" s="121">
        <v>0</v>
      </c>
      <c r="AD131" s="121">
        <v>5.1601100000000004</v>
      </c>
      <c r="AE131" s="121">
        <v>247.31700000000001</v>
      </c>
      <c r="AF131" s="121">
        <v>0</v>
      </c>
      <c r="AG131" s="121">
        <v>0</v>
      </c>
      <c r="AH131" s="121">
        <v>124.5</v>
      </c>
      <c r="AI131" s="121">
        <v>16.6372</v>
      </c>
      <c r="AL131" s="14">
        <f t="shared" si="12"/>
        <v>643.73936400000002</v>
      </c>
      <c r="AM131">
        <f t="shared" si="13"/>
        <v>627.10216400000002</v>
      </c>
      <c r="AN131">
        <f t="shared" si="14"/>
        <v>502.60216400000002</v>
      </c>
      <c r="AP131">
        <f>VLOOKUP($B131,Kraftvärmeprod!$B$1:$BX$549,MATCH(AP$1,Kraftvärmeprod!$B$1:$BX$1,0),FALSE)</f>
        <v>655</v>
      </c>
      <c r="AQ131">
        <f>VLOOKUP($B131,Kraftvärmeprod!$B$1:$BX$549,MATCH(AQ$1,Kraftvärmeprod!$B$1:$BX$1,0),FALSE)</f>
        <v>231.4</v>
      </c>
      <c r="AR131">
        <f>VLOOKUP($B131,Kraftvärmeprod!$B$1:$BX$549,MATCH("Summa tillförd energi exklusive rökgaskondensering",Kraftvärmeprod!$B$1:$BX$1,0),FALSE)</f>
        <v>1016.25</v>
      </c>
      <c r="AT131" s="17">
        <f t="shared" si="15"/>
        <v>0.49456547503075032</v>
      </c>
      <c r="AV131">
        <f t="shared" si="16"/>
        <v>248.91193399999997</v>
      </c>
      <c r="BA131" s="17">
        <f t="shared" si="17"/>
        <v>1.261460600664321</v>
      </c>
    </row>
    <row r="132" spans="1:53" x14ac:dyDescent="0.25">
      <c r="A132" s="137" t="s">
        <v>372</v>
      </c>
      <c r="B132" s="137" t="s">
        <v>375</v>
      </c>
      <c r="C132" s="121"/>
      <c r="D132" s="121"/>
      <c r="E132" s="121"/>
      <c r="F132" s="121"/>
      <c r="G132" s="121"/>
      <c r="H132" s="121"/>
      <c r="I132" s="121"/>
      <c r="J132" s="121">
        <v>0</v>
      </c>
      <c r="K132" s="121">
        <v>0</v>
      </c>
      <c r="L132" s="121">
        <v>0</v>
      </c>
      <c r="M132" s="121">
        <v>0</v>
      </c>
      <c r="N132" s="121">
        <v>0</v>
      </c>
      <c r="O132" s="121">
        <v>0</v>
      </c>
      <c r="P132" s="121">
        <v>0</v>
      </c>
      <c r="Q132" s="121">
        <v>0</v>
      </c>
      <c r="R132" s="121">
        <v>0</v>
      </c>
      <c r="S132" s="121">
        <v>0</v>
      </c>
      <c r="T132" s="121">
        <v>0</v>
      </c>
      <c r="U132" s="121">
        <v>0</v>
      </c>
      <c r="V132" s="121" t="s">
        <v>1119</v>
      </c>
      <c r="W132" s="121">
        <v>0</v>
      </c>
      <c r="X132" s="121">
        <v>0</v>
      </c>
      <c r="Y132" s="121">
        <v>0</v>
      </c>
      <c r="Z132" s="121">
        <v>0</v>
      </c>
      <c r="AA132" s="121">
        <v>0</v>
      </c>
      <c r="AB132" s="121">
        <v>0</v>
      </c>
      <c r="AC132" s="121">
        <v>0</v>
      </c>
      <c r="AD132" s="121">
        <v>0</v>
      </c>
      <c r="AE132" s="121">
        <v>0</v>
      </c>
      <c r="AF132" s="121">
        <v>0</v>
      </c>
      <c r="AG132" s="121">
        <v>0</v>
      </c>
      <c r="AH132" s="121">
        <v>0</v>
      </c>
      <c r="AI132" s="121">
        <v>0</v>
      </c>
      <c r="AL132" s="14">
        <f t="shared" si="12"/>
        <v>0</v>
      </c>
      <c r="AM132">
        <f t="shared" si="13"/>
        <v>0</v>
      </c>
      <c r="AN132">
        <f t="shared" si="14"/>
        <v>0</v>
      </c>
      <c r="AP132">
        <f>VLOOKUP($B132,Kraftvärmeprod!$B$1:$BX$549,MATCH(AP$1,Kraftvärmeprod!$B$1:$BX$1,0),FALSE)</f>
        <v>0</v>
      </c>
      <c r="AQ132">
        <f>VLOOKUP($B132,Kraftvärmeprod!$B$1:$BX$549,MATCH(AQ$1,Kraftvärmeprod!$B$1:$BX$1,0),FALSE)</f>
        <v>0</v>
      </c>
      <c r="AR132">
        <f>VLOOKUP($B132,Kraftvärmeprod!$B$1:$BX$549,MATCH("Summa tillförd energi exklusive rökgaskondensering",Kraftvärmeprod!$B$1:$BX$1,0),FALSE)</f>
        <v>0</v>
      </c>
      <c r="AT132" s="17" t="str">
        <f t="shared" si="15"/>
        <v/>
      </c>
      <c r="AV132">
        <f t="shared" si="16"/>
        <v>0</v>
      </c>
      <c r="BA132" s="17" t="str">
        <f t="shared" si="17"/>
        <v/>
      </c>
    </row>
    <row r="133" spans="1:53" x14ac:dyDescent="0.25">
      <c r="A133" s="137" t="s">
        <v>376</v>
      </c>
      <c r="B133" s="137" t="s">
        <v>377</v>
      </c>
      <c r="C133" s="121"/>
      <c r="D133" s="121"/>
      <c r="E133" s="121"/>
      <c r="F133" s="121"/>
      <c r="G133" s="121"/>
      <c r="H133" s="121"/>
      <c r="I133" s="121"/>
      <c r="J133" s="121">
        <v>0</v>
      </c>
      <c r="K133" s="121">
        <v>0</v>
      </c>
      <c r="L133" s="121">
        <v>0</v>
      </c>
      <c r="M133" s="121">
        <v>0</v>
      </c>
      <c r="N133" s="121">
        <v>0</v>
      </c>
      <c r="O133" s="121">
        <v>0</v>
      </c>
      <c r="P133" s="121">
        <v>123.318</v>
      </c>
      <c r="Q133" s="121">
        <v>65.518500000000003</v>
      </c>
      <c r="R133" s="121">
        <v>0</v>
      </c>
      <c r="S133" s="121">
        <v>25.683599999999998</v>
      </c>
      <c r="T133" s="121">
        <v>0</v>
      </c>
      <c r="U133" s="121">
        <v>0</v>
      </c>
      <c r="V133" s="121" t="s">
        <v>1119</v>
      </c>
      <c r="W133" s="121">
        <v>0</v>
      </c>
      <c r="X133" s="121">
        <v>0</v>
      </c>
      <c r="Y133" s="121">
        <v>0</v>
      </c>
      <c r="Z133" s="121">
        <v>0</v>
      </c>
      <c r="AA133" s="121">
        <v>0</v>
      </c>
      <c r="AB133" s="121">
        <v>0</v>
      </c>
      <c r="AC133" s="121">
        <v>0</v>
      </c>
      <c r="AD133" s="121">
        <v>0</v>
      </c>
      <c r="AE133" s="121">
        <v>0</v>
      </c>
      <c r="AF133" s="121">
        <v>0</v>
      </c>
      <c r="AG133" s="121">
        <v>0</v>
      </c>
      <c r="AH133" s="121">
        <v>89.3</v>
      </c>
      <c r="AI133" s="121">
        <v>8.31616</v>
      </c>
      <c r="AL133" s="14">
        <f t="shared" si="12"/>
        <v>312.13626000000005</v>
      </c>
      <c r="AM133">
        <f t="shared" si="13"/>
        <v>303.82010000000002</v>
      </c>
      <c r="AN133">
        <f t="shared" si="14"/>
        <v>214.52010000000001</v>
      </c>
      <c r="AP133">
        <f>VLOOKUP($B133,Kraftvärmeprod!$B$1:$BX$549,MATCH(AP$1,Kraftvärmeprod!$B$1:$BX$1,0),FALSE)</f>
        <v>273.89999999999998</v>
      </c>
      <c r="AQ133">
        <f>VLOOKUP($B133,Kraftvärmeprod!$B$1:$BX$549,MATCH(AQ$1,Kraftvärmeprod!$B$1:$BX$1,0),FALSE)</f>
        <v>123.65</v>
      </c>
      <c r="AR133">
        <f>VLOOKUP($B133,Kraftvärmeprod!$B$1:$BX$549,MATCH("Summa tillförd energi exklusive rökgaskondensering",Kraftvärmeprod!$B$1:$BX$1,0),FALSE)</f>
        <v>466.9</v>
      </c>
      <c r="AT133" s="17">
        <f t="shared" si="15"/>
        <v>0.45945620047119301</v>
      </c>
      <c r="AV133">
        <f t="shared" si="16"/>
        <v>214.52010000000001</v>
      </c>
      <c r="BA133" s="17">
        <f t="shared" si="17"/>
        <v>1.2291536395378382</v>
      </c>
    </row>
    <row r="134" spans="1:53" x14ac:dyDescent="0.25">
      <c r="A134" s="137" t="s">
        <v>378</v>
      </c>
      <c r="B134" s="137" t="s">
        <v>84</v>
      </c>
      <c r="C134" s="121"/>
      <c r="D134" s="121"/>
      <c r="E134" s="121"/>
      <c r="F134" s="121"/>
      <c r="G134" s="121"/>
      <c r="H134" s="121"/>
      <c r="I134" s="121"/>
      <c r="J134" s="121">
        <v>0</v>
      </c>
      <c r="K134" s="121">
        <v>0</v>
      </c>
      <c r="L134" s="121">
        <v>0</v>
      </c>
      <c r="M134" s="121">
        <v>0</v>
      </c>
      <c r="N134" s="121">
        <v>0</v>
      </c>
      <c r="O134" s="121">
        <v>0</v>
      </c>
      <c r="P134" s="121">
        <v>0</v>
      </c>
      <c r="Q134" s="121">
        <v>0</v>
      </c>
      <c r="R134" s="121">
        <v>0</v>
      </c>
      <c r="S134" s="121">
        <v>0</v>
      </c>
      <c r="T134" s="121">
        <v>0</v>
      </c>
      <c r="U134" s="121">
        <v>0</v>
      </c>
      <c r="V134" s="121" t="s">
        <v>1119</v>
      </c>
      <c r="W134" s="121">
        <v>0</v>
      </c>
      <c r="X134" s="121">
        <v>0</v>
      </c>
      <c r="Y134" s="121">
        <v>0</v>
      </c>
      <c r="Z134" s="121">
        <v>0</v>
      </c>
      <c r="AA134" s="121">
        <v>0</v>
      </c>
      <c r="AB134" s="121">
        <v>0</v>
      </c>
      <c r="AC134" s="121">
        <v>0</v>
      </c>
      <c r="AD134" s="121">
        <v>0</v>
      </c>
      <c r="AE134" s="121">
        <v>0</v>
      </c>
      <c r="AF134" s="121">
        <v>0</v>
      </c>
      <c r="AG134" s="121">
        <v>0</v>
      </c>
      <c r="AH134" s="121">
        <v>0</v>
      </c>
      <c r="AI134" s="121">
        <v>0</v>
      </c>
      <c r="AL134" s="14">
        <f t="shared" si="12"/>
        <v>0</v>
      </c>
      <c r="AM134">
        <f t="shared" si="13"/>
        <v>0</v>
      </c>
      <c r="AN134">
        <f t="shared" si="14"/>
        <v>0</v>
      </c>
      <c r="AP134">
        <f>VLOOKUP($B134,Kraftvärmeprod!$B$1:$BX$549,MATCH(AP$1,Kraftvärmeprod!$B$1:$BX$1,0),FALSE)</f>
        <v>0</v>
      </c>
      <c r="AQ134">
        <f>VLOOKUP($B134,Kraftvärmeprod!$B$1:$BX$549,MATCH(AQ$1,Kraftvärmeprod!$B$1:$BX$1,0),FALSE)</f>
        <v>0</v>
      </c>
      <c r="AR134">
        <f>VLOOKUP($B134,Kraftvärmeprod!$B$1:$BX$549,MATCH("Summa tillförd energi exklusive rökgaskondensering",Kraftvärmeprod!$B$1:$BX$1,0),FALSE)</f>
        <v>0</v>
      </c>
      <c r="AT134" s="17" t="str">
        <f t="shared" si="15"/>
        <v/>
      </c>
      <c r="AV134">
        <f t="shared" si="16"/>
        <v>0</v>
      </c>
      <c r="BA134" s="17" t="str">
        <f t="shared" si="17"/>
        <v/>
      </c>
    </row>
    <row r="135" spans="1:53" x14ac:dyDescent="0.25">
      <c r="A135" s="137" t="s">
        <v>380</v>
      </c>
      <c r="B135" s="137" t="s">
        <v>381</v>
      </c>
      <c r="C135" s="121"/>
      <c r="D135" s="121"/>
      <c r="E135" s="121"/>
      <c r="F135" s="121"/>
      <c r="G135" s="121"/>
      <c r="H135" s="121"/>
      <c r="I135" s="121"/>
      <c r="J135" s="121">
        <v>0</v>
      </c>
      <c r="K135" s="121">
        <v>0</v>
      </c>
      <c r="L135" s="121">
        <v>0</v>
      </c>
      <c r="M135" s="121">
        <v>0</v>
      </c>
      <c r="N135" s="121">
        <v>0</v>
      </c>
      <c r="O135" s="121">
        <v>0</v>
      </c>
      <c r="P135" s="121">
        <v>0</v>
      </c>
      <c r="Q135" s="121">
        <v>0</v>
      </c>
      <c r="R135" s="121">
        <v>0</v>
      </c>
      <c r="S135" s="121">
        <v>0</v>
      </c>
      <c r="T135" s="121">
        <v>0</v>
      </c>
      <c r="U135" s="121">
        <v>0</v>
      </c>
      <c r="V135" s="121" t="s">
        <v>1119</v>
      </c>
      <c r="W135" s="121">
        <v>0</v>
      </c>
      <c r="X135" s="121">
        <v>0</v>
      </c>
      <c r="Y135" s="121">
        <v>0</v>
      </c>
      <c r="Z135" s="121">
        <v>0</v>
      </c>
      <c r="AA135" s="121">
        <v>0</v>
      </c>
      <c r="AB135" s="121">
        <v>0</v>
      </c>
      <c r="AC135" s="121">
        <v>0</v>
      </c>
      <c r="AD135" s="121">
        <v>0</v>
      </c>
      <c r="AE135" s="121">
        <v>0</v>
      </c>
      <c r="AF135" s="121">
        <v>0</v>
      </c>
      <c r="AG135" s="121">
        <v>0</v>
      </c>
      <c r="AH135" s="121">
        <v>0</v>
      </c>
      <c r="AI135" s="121">
        <v>0</v>
      </c>
      <c r="AL135" s="14">
        <f t="shared" si="12"/>
        <v>0</v>
      </c>
      <c r="AM135">
        <f t="shared" si="13"/>
        <v>0</v>
      </c>
      <c r="AN135">
        <f t="shared" si="14"/>
        <v>0</v>
      </c>
      <c r="AP135">
        <f>VLOOKUP($B135,Kraftvärmeprod!$B$1:$BX$549,MATCH(AP$1,Kraftvärmeprod!$B$1:$BX$1,0),FALSE)</f>
        <v>0</v>
      </c>
      <c r="AQ135">
        <f>VLOOKUP($B135,Kraftvärmeprod!$B$1:$BX$549,MATCH(AQ$1,Kraftvärmeprod!$B$1:$BX$1,0),FALSE)</f>
        <v>0</v>
      </c>
      <c r="AR135">
        <f>VLOOKUP($B135,Kraftvärmeprod!$B$1:$BX$549,MATCH("Summa tillförd energi exklusive rökgaskondensering",Kraftvärmeprod!$B$1:$BX$1,0),FALSE)</f>
        <v>0</v>
      </c>
      <c r="AT135" s="17" t="str">
        <f t="shared" si="15"/>
        <v/>
      </c>
      <c r="AV135">
        <f t="shared" si="16"/>
        <v>0</v>
      </c>
      <c r="BA135" s="17" t="str">
        <f t="shared" si="17"/>
        <v/>
      </c>
    </row>
    <row r="136" spans="1:53" x14ac:dyDescent="0.25">
      <c r="A136" s="137" t="s">
        <v>382</v>
      </c>
      <c r="B136" s="137" t="s">
        <v>87</v>
      </c>
      <c r="C136" s="121"/>
      <c r="D136" s="121"/>
      <c r="E136" s="121"/>
      <c r="F136" s="121"/>
      <c r="G136" s="121"/>
      <c r="H136" s="121"/>
      <c r="I136" s="121"/>
      <c r="J136" s="121">
        <v>0</v>
      </c>
      <c r="K136" s="121">
        <v>0</v>
      </c>
      <c r="L136" s="121">
        <v>0</v>
      </c>
      <c r="M136" s="121">
        <v>0</v>
      </c>
      <c r="N136" s="121">
        <v>0</v>
      </c>
      <c r="O136" s="121">
        <v>0</v>
      </c>
      <c r="P136" s="121">
        <v>0</v>
      </c>
      <c r="Q136" s="121">
        <v>0</v>
      </c>
      <c r="R136" s="121">
        <v>0</v>
      </c>
      <c r="S136" s="121">
        <v>0</v>
      </c>
      <c r="T136" s="121">
        <v>0</v>
      </c>
      <c r="U136" s="121">
        <v>0</v>
      </c>
      <c r="V136" s="121" t="s">
        <v>1119</v>
      </c>
      <c r="W136" s="121">
        <v>0</v>
      </c>
      <c r="X136" s="121">
        <v>0</v>
      </c>
      <c r="Y136" s="121">
        <v>0</v>
      </c>
      <c r="Z136" s="121">
        <v>0</v>
      </c>
      <c r="AA136" s="121">
        <v>0</v>
      </c>
      <c r="AB136" s="121">
        <v>0</v>
      </c>
      <c r="AC136" s="121">
        <v>0</v>
      </c>
      <c r="AD136" s="121">
        <v>0</v>
      </c>
      <c r="AE136" s="121">
        <v>0</v>
      </c>
      <c r="AF136" s="121">
        <v>0</v>
      </c>
      <c r="AG136" s="121">
        <v>0</v>
      </c>
      <c r="AH136" s="121">
        <v>0</v>
      </c>
      <c r="AI136" s="121">
        <v>0</v>
      </c>
      <c r="AL136" s="14">
        <f t="shared" si="12"/>
        <v>0</v>
      </c>
      <c r="AM136">
        <f t="shared" si="13"/>
        <v>0</v>
      </c>
      <c r="AN136">
        <f t="shared" si="14"/>
        <v>0</v>
      </c>
      <c r="AP136">
        <f>VLOOKUP($B136,Kraftvärmeprod!$B$1:$BX$549,MATCH(AP$1,Kraftvärmeprod!$B$1:$BX$1,0),FALSE)</f>
        <v>295.39999999999998</v>
      </c>
      <c r="AQ136">
        <f>VLOOKUP($B136,Kraftvärmeprod!$B$1:$BX$549,MATCH(AQ$1,Kraftvärmeprod!$B$1:$BX$1,0),FALSE)</f>
        <v>20.9</v>
      </c>
      <c r="AR136">
        <f>VLOOKUP($B136,Kraftvärmeprod!$B$1:$BX$549,MATCH("Summa tillförd energi exklusive rökgaskondensering",Kraftvärmeprod!$B$1:$BX$1,0),FALSE)</f>
        <v>355.3</v>
      </c>
      <c r="AT136" s="17" t="str">
        <f t="shared" si="15"/>
        <v/>
      </c>
      <c r="AV136">
        <f t="shared" si="16"/>
        <v>0</v>
      </c>
      <c r="BA136" s="17" t="str">
        <f t="shared" si="17"/>
        <v/>
      </c>
    </row>
    <row r="137" spans="1:53" x14ac:dyDescent="0.25">
      <c r="A137" s="137" t="s">
        <v>383</v>
      </c>
      <c r="B137" s="137" t="s">
        <v>384</v>
      </c>
      <c r="C137" s="121"/>
      <c r="D137" s="121"/>
      <c r="E137" s="121"/>
      <c r="F137" s="121"/>
      <c r="G137" s="121"/>
      <c r="H137" s="121"/>
      <c r="I137" s="121"/>
      <c r="J137" s="121">
        <v>0</v>
      </c>
      <c r="K137" s="121">
        <v>2.84239</v>
      </c>
      <c r="L137" s="121">
        <v>0</v>
      </c>
      <c r="M137" s="121">
        <v>0</v>
      </c>
      <c r="N137" s="121">
        <v>0</v>
      </c>
      <c r="O137" s="121">
        <v>0</v>
      </c>
      <c r="P137" s="121">
        <v>0</v>
      </c>
      <c r="Q137" s="121">
        <v>0</v>
      </c>
      <c r="R137" s="121">
        <v>0</v>
      </c>
      <c r="S137" s="121">
        <v>0</v>
      </c>
      <c r="T137" s="121">
        <v>0</v>
      </c>
      <c r="U137" s="121">
        <v>332.71499999999997</v>
      </c>
      <c r="V137" s="121" t="s">
        <v>1119</v>
      </c>
      <c r="W137" s="121">
        <v>0</v>
      </c>
      <c r="X137" s="121">
        <v>0</v>
      </c>
      <c r="Y137" s="121">
        <v>0</v>
      </c>
      <c r="Z137" s="121">
        <v>0</v>
      </c>
      <c r="AA137" s="121">
        <v>0</v>
      </c>
      <c r="AB137" s="121">
        <v>0</v>
      </c>
      <c r="AC137" s="121">
        <v>0</v>
      </c>
      <c r="AD137" s="121">
        <v>0</v>
      </c>
      <c r="AE137" s="121">
        <v>0</v>
      </c>
      <c r="AF137" s="121">
        <v>0</v>
      </c>
      <c r="AG137" s="121">
        <v>0</v>
      </c>
      <c r="AH137" s="121">
        <v>137.58500000000001</v>
      </c>
      <c r="AI137" s="121">
        <v>17.097200000000001</v>
      </c>
      <c r="AL137" s="14">
        <f t="shared" si="12"/>
        <v>490.23958999999996</v>
      </c>
      <c r="AM137">
        <f t="shared" si="13"/>
        <v>473.14238999999998</v>
      </c>
      <c r="AN137">
        <f t="shared" si="14"/>
        <v>335.55738999999994</v>
      </c>
      <c r="AP137">
        <f>VLOOKUP($B137,Kraftvärmeprod!$B$1:$BX$549,MATCH(AP$1,Kraftvärmeprod!$B$1:$BX$1,0),FALSE)</f>
        <v>483.125</v>
      </c>
      <c r="AQ137">
        <f>VLOOKUP($B137,Kraftvärmeprod!$B$1:$BX$549,MATCH(AQ$1,Kraftvärmeprod!$B$1:$BX$1,0),FALSE)</f>
        <v>122.148</v>
      </c>
      <c r="AR137">
        <f>VLOOKUP($B137,Kraftvärmeprod!$B$1:$BX$549,MATCH("Summa tillförd energi exklusive rökgaskondensering",Kraftvärmeprod!$B$1:$BX$1,0),FALSE)</f>
        <v>556.23300000000006</v>
      </c>
      <c r="AT137" s="17">
        <f t="shared" si="15"/>
        <v>0.60326767739418541</v>
      </c>
      <c r="AV137">
        <f t="shared" si="16"/>
        <v>332.71499999999997</v>
      </c>
      <c r="BA137" s="17">
        <f t="shared" si="17"/>
        <v>1.3699665726738453</v>
      </c>
    </row>
    <row r="138" spans="1:53" x14ac:dyDescent="0.25">
      <c r="A138" s="137" t="s">
        <v>385</v>
      </c>
      <c r="B138" s="137" t="s">
        <v>386</v>
      </c>
      <c r="C138" s="121"/>
      <c r="D138" s="121"/>
      <c r="E138" s="121"/>
      <c r="F138" s="121"/>
      <c r="G138" s="121"/>
      <c r="H138" s="121"/>
      <c r="I138" s="121"/>
      <c r="J138" s="121">
        <v>0</v>
      </c>
      <c r="K138" s="121">
        <v>0</v>
      </c>
      <c r="L138" s="121">
        <v>0</v>
      </c>
      <c r="M138" s="121">
        <v>0</v>
      </c>
      <c r="N138" s="121">
        <v>0</v>
      </c>
      <c r="O138" s="121">
        <v>0</v>
      </c>
      <c r="P138" s="121">
        <v>0</v>
      </c>
      <c r="Q138" s="121">
        <v>0</v>
      </c>
      <c r="R138" s="121">
        <v>0</v>
      </c>
      <c r="S138" s="121">
        <v>0</v>
      </c>
      <c r="T138" s="121">
        <v>0</v>
      </c>
      <c r="U138" s="121">
        <v>0</v>
      </c>
      <c r="V138" s="121" t="s">
        <v>1119</v>
      </c>
      <c r="W138" s="121">
        <v>0</v>
      </c>
      <c r="X138" s="121">
        <v>0</v>
      </c>
      <c r="Y138" s="121">
        <v>0</v>
      </c>
      <c r="Z138" s="121">
        <v>0</v>
      </c>
      <c r="AA138" s="121">
        <v>0</v>
      </c>
      <c r="AB138" s="121">
        <v>0</v>
      </c>
      <c r="AC138" s="121">
        <v>0</v>
      </c>
      <c r="AD138" s="121">
        <v>0</v>
      </c>
      <c r="AE138" s="121">
        <v>0</v>
      </c>
      <c r="AF138" s="121">
        <v>0</v>
      </c>
      <c r="AG138" s="121">
        <v>0</v>
      </c>
      <c r="AH138" s="121">
        <v>0</v>
      </c>
      <c r="AI138" s="121">
        <v>0</v>
      </c>
      <c r="AL138" s="14">
        <f t="shared" si="12"/>
        <v>0</v>
      </c>
      <c r="AM138">
        <f t="shared" si="13"/>
        <v>0</v>
      </c>
      <c r="AN138">
        <f t="shared" si="14"/>
        <v>0</v>
      </c>
      <c r="AP138">
        <f>VLOOKUP($B138,Kraftvärmeprod!$B$1:$BX$549,MATCH(AP$1,Kraftvärmeprod!$B$1:$BX$1,0),FALSE)</f>
        <v>0</v>
      </c>
      <c r="AQ138">
        <f>VLOOKUP($B138,Kraftvärmeprod!$B$1:$BX$549,MATCH(AQ$1,Kraftvärmeprod!$B$1:$BX$1,0),FALSE)</f>
        <v>0</v>
      </c>
      <c r="AR138">
        <f>VLOOKUP($B138,Kraftvärmeprod!$B$1:$BX$549,MATCH("Summa tillförd energi exklusive rökgaskondensering",Kraftvärmeprod!$B$1:$BX$1,0),FALSE)</f>
        <v>0</v>
      </c>
      <c r="AT138" s="17" t="str">
        <f t="shared" si="15"/>
        <v/>
      </c>
      <c r="AV138">
        <f t="shared" si="16"/>
        <v>0</v>
      </c>
      <c r="BA138" s="17" t="str">
        <f t="shared" si="17"/>
        <v/>
      </c>
    </row>
    <row r="139" spans="1:53" x14ac:dyDescent="0.25">
      <c r="A139" s="137" t="s">
        <v>387</v>
      </c>
      <c r="B139" s="137" t="s">
        <v>388</v>
      </c>
      <c r="C139" s="121"/>
      <c r="D139" s="121"/>
      <c r="E139" s="121"/>
      <c r="F139" s="121"/>
      <c r="G139" s="121"/>
      <c r="H139" s="121"/>
      <c r="I139" s="121"/>
      <c r="J139" s="121">
        <v>0</v>
      </c>
      <c r="K139" s="121">
        <v>0</v>
      </c>
      <c r="L139" s="121">
        <v>0</v>
      </c>
      <c r="M139" s="121">
        <v>0</v>
      </c>
      <c r="N139" s="121">
        <v>0</v>
      </c>
      <c r="O139" s="121">
        <v>0</v>
      </c>
      <c r="P139" s="121">
        <v>0</v>
      </c>
      <c r="Q139" s="121">
        <v>0</v>
      </c>
      <c r="R139" s="121">
        <v>0.74560400000000004</v>
      </c>
      <c r="S139" s="121">
        <v>0</v>
      </c>
      <c r="T139" s="121">
        <v>0</v>
      </c>
      <c r="U139" s="121">
        <v>0</v>
      </c>
      <c r="V139" s="121" t="s">
        <v>1119</v>
      </c>
      <c r="W139" s="121">
        <v>0</v>
      </c>
      <c r="X139" s="121">
        <v>0</v>
      </c>
      <c r="Y139" s="121">
        <v>0</v>
      </c>
      <c r="Z139" s="121">
        <v>7.9678000000000004</v>
      </c>
      <c r="AA139" s="121">
        <v>0</v>
      </c>
      <c r="AB139" s="121">
        <v>0</v>
      </c>
      <c r="AC139" s="121">
        <v>0</v>
      </c>
      <c r="AD139" s="121">
        <v>0</v>
      </c>
      <c r="AE139" s="121">
        <v>127.937</v>
      </c>
      <c r="AF139" s="121">
        <v>0</v>
      </c>
      <c r="AG139" s="121">
        <v>0</v>
      </c>
      <c r="AH139" s="121">
        <v>17.306000000000001</v>
      </c>
      <c r="AI139" s="121">
        <v>5.5644299999999998</v>
      </c>
      <c r="AL139" s="14">
        <f t="shared" si="12"/>
        <v>159.52083400000001</v>
      </c>
      <c r="AM139">
        <f t="shared" si="13"/>
        <v>153.95640400000002</v>
      </c>
      <c r="AN139">
        <f t="shared" si="14"/>
        <v>136.65040400000001</v>
      </c>
      <c r="AP139">
        <f>VLOOKUP($B139,Kraftvärmeprod!$B$1:$BX$549,MATCH(AP$1,Kraftvärmeprod!$B$1:$BX$1,0),FALSE)</f>
        <v>148.69800000000001</v>
      </c>
      <c r="AQ139">
        <f>VLOOKUP($B139,Kraftvärmeprod!$B$1:$BX$549,MATCH(AQ$1,Kraftvärmeprod!$B$1:$BX$1,0),FALSE)</f>
        <v>19.315000000000001</v>
      </c>
      <c r="AR139">
        <f>VLOOKUP($B139,Kraftvärmeprod!$B$1:$BX$549,MATCH("Summa tillförd energi exklusive rökgaskondensering",Kraftvärmeprod!$B$1:$BX$1,0),FALSE)</f>
        <v>192.77900000000002</v>
      </c>
      <c r="AT139" s="17">
        <f t="shared" si="15"/>
        <v>0.70884486380777989</v>
      </c>
      <c r="AV139">
        <f t="shared" si="16"/>
        <v>8.7134040000000006</v>
      </c>
      <c r="BA139" s="17">
        <f t="shared" si="17"/>
        <v>1.0455871291176277</v>
      </c>
    </row>
    <row r="140" spans="1:53" x14ac:dyDescent="0.25">
      <c r="A140" s="137" t="s">
        <v>387</v>
      </c>
      <c r="B140" s="137" t="s">
        <v>389</v>
      </c>
      <c r="C140" s="121"/>
      <c r="D140" s="121"/>
      <c r="E140" s="121"/>
      <c r="F140" s="121"/>
      <c r="G140" s="121"/>
      <c r="H140" s="121"/>
      <c r="I140" s="121"/>
      <c r="J140" s="121">
        <v>0</v>
      </c>
      <c r="K140" s="121">
        <v>0</v>
      </c>
      <c r="L140" s="121">
        <v>0</v>
      </c>
      <c r="M140" s="121">
        <v>0</v>
      </c>
      <c r="N140" s="121">
        <v>0</v>
      </c>
      <c r="O140" s="121">
        <v>0</v>
      </c>
      <c r="P140" s="121">
        <v>0</v>
      </c>
      <c r="Q140" s="121">
        <v>0</v>
      </c>
      <c r="R140" s="121">
        <v>0</v>
      </c>
      <c r="S140" s="121">
        <v>0</v>
      </c>
      <c r="T140" s="121">
        <v>0</v>
      </c>
      <c r="U140" s="121">
        <v>0</v>
      </c>
      <c r="V140" s="121" t="s">
        <v>1119</v>
      </c>
      <c r="W140" s="121">
        <v>0</v>
      </c>
      <c r="X140" s="121">
        <v>0</v>
      </c>
      <c r="Y140" s="121">
        <v>0</v>
      </c>
      <c r="Z140" s="121">
        <v>0</v>
      </c>
      <c r="AA140" s="121">
        <v>0</v>
      </c>
      <c r="AB140" s="121">
        <v>0</v>
      </c>
      <c r="AC140" s="121">
        <v>0</v>
      </c>
      <c r="AD140" s="121">
        <v>0</v>
      </c>
      <c r="AE140" s="121">
        <v>0</v>
      </c>
      <c r="AF140" s="121">
        <v>0</v>
      </c>
      <c r="AG140" s="121">
        <v>0</v>
      </c>
      <c r="AH140" s="121">
        <v>0</v>
      </c>
      <c r="AI140" s="121">
        <v>0</v>
      </c>
      <c r="AL140" s="14">
        <f t="shared" si="12"/>
        <v>0</v>
      </c>
      <c r="AM140">
        <f t="shared" si="13"/>
        <v>0</v>
      </c>
      <c r="AN140">
        <f t="shared" si="14"/>
        <v>0</v>
      </c>
      <c r="AP140">
        <f>VLOOKUP($B140,Kraftvärmeprod!$B$1:$BX$549,MATCH(AP$1,Kraftvärmeprod!$B$1:$BX$1,0),FALSE)</f>
        <v>0</v>
      </c>
      <c r="AQ140">
        <f>VLOOKUP($B140,Kraftvärmeprod!$B$1:$BX$549,MATCH(AQ$1,Kraftvärmeprod!$B$1:$BX$1,0),FALSE)</f>
        <v>0</v>
      </c>
      <c r="AR140">
        <f>VLOOKUP($B140,Kraftvärmeprod!$B$1:$BX$549,MATCH("Summa tillförd energi exklusive rökgaskondensering",Kraftvärmeprod!$B$1:$BX$1,0),FALSE)</f>
        <v>0</v>
      </c>
      <c r="AT140" s="17" t="str">
        <f t="shared" si="15"/>
        <v/>
      </c>
      <c r="AV140">
        <f t="shared" si="16"/>
        <v>0</v>
      </c>
      <c r="BA140" s="17" t="str">
        <f t="shared" si="17"/>
        <v/>
      </c>
    </row>
    <row r="141" spans="1:53" x14ac:dyDescent="0.25">
      <c r="A141" s="137" t="s">
        <v>390</v>
      </c>
      <c r="B141" s="137" t="s">
        <v>391</v>
      </c>
      <c r="C141" s="121"/>
      <c r="D141" s="121"/>
      <c r="E141" s="121"/>
      <c r="F141" s="121"/>
      <c r="G141" s="121"/>
      <c r="H141" s="121"/>
      <c r="I141" s="121"/>
      <c r="J141" s="121">
        <v>0</v>
      </c>
      <c r="K141" s="121">
        <v>0</v>
      </c>
      <c r="L141" s="121">
        <v>0</v>
      </c>
      <c r="M141" s="121">
        <v>0</v>
      </c>
      <c r="N141" s="121">
        <v>0</v>
      </c>
      <c r="O141" s="121">
        <v>0</v>
      </c>
      <c r="P141" s="121">
        <v>0</v>
      </c>
      <c r="Q141" s="121">
        <v>0</v>
      </c>
      <c r="R141" s="121">
        <v>198.958</v>
      </c>
      <c r="S141" s="121">
        <v>0</v>
      </c>
      <c r="T141" s="121">
        <v>0</v>
      </c>
      <c r="U141" s="121">
        <v>0</v>
      </c>
      <c r="V141" s="121" t="s">
        <v>1119</v>
      </c>
      <c r="W141" s="121">
        <v>0</v>
      </c>
      <c r="X141" s="121">
        <v>0</v>
      </c>
      <c r="Y141" s="121">
        <v>0</v>
      </c>
      <c r="Z141" s="121">
        <v>174.846</v>
      </c>
      <c r="AA141" s="121">
        <v>0</v>
      </c>
      <c r="AB141" s="121">
        <v>0</v>
      </c>
      <c r="AC141" s="121">
        <v>0</v>
      </c>
      <c r="AD141" s="121">
        <v>8.9529999999999994</v>
      </c>
      <c r="AE141" s="121">
        <v>0</v>
      </c>
      <c r="AF141" s="121">
        <v>0</v>
      </c>
      <c r="AG141" s="121">
        <v>0</v>
      </c>
      <c r="AH141" s="121">
        <v>84.301000000000002</v>
      </c>
      <c r="AI141" s="121">
        <v>0</v>
      </c>
      <c r="AL141" s="14">
        <f t="shared" si="12"/>
        <v>467.05799999999994</v>
      </c>
      <c r="AM141">
        <f t="shared" si="13"/>
        <v>467.05799999999994</v>
      </c>
      <c r="AN141">
        <f t="shared" si="14"/>
        <v>382.75699999999995</v>
      </c>
      <c r="AP141">
        <f>VLOOKUP($B141,Kraftvärmeprod!$B$1:$BX$549,MATCH(AP$1,Kraftvärmeprod!$B$1:$BX$1,0),FALSE)</f>
        <v>541.63599999999997</v>
      </c>
      <c r="AQ141">
        <f>VLOOKUP($B141,Kraftvärmeprod!$B$1:$BX$549,MATCH(AQ$1,Kraftvärmeprod!$B$1:$BX$1,0),FALSE)</f>
        <v>150.666</v>
      </c>
      <c r="AR141">
        <f>VLOOKUP($B141,Kraftvärmeprod!$B$1:$BX$549,MATCH("Summa tillförd energi exklusive rökgaskondensering",Kraftvärmeprod!$B$1:$BX$1,0),FALSE)</f>
        <v>695.85200000000009</v>
      </c>
      <c r="AT141" s="17">
        <f t="shared" si="15"/>
        <v>0.55005518414835319</v>
      </c>
      <c r="AV141">
        <f t="shared" si="16"/>
        <v>373.80399999999997</v>
      </c>
      <c r="BA141" s="17">
        <f t="shared" si="17"/>
        <v>1.415091036871958</v>
      </c>
    </row>
    <row r="142" spans="1:53" x14ac:dyDescent="0.25">
      <c r="A142" s="137" t="s">
        <v>390</v>
      </c>
      <c r="B142" s="137" t="s">
        <v>393</v>
      </c>
      <c r="C142" s="121"/>
      <c r="D142" s="121"/>
      <c r="E142" s="121"/>
      <c r="F142" s="121"/>
      <c r="G142" s="121"/>
      <c r="H142" s="121"/>
      <c r="I142" s="121"/>
      <c r="J142" s="121">
        <v>0</v>
      </c>
      <c r="K142" s="121">
        <v>0</v>
      </c>
      <c r="L142" s="121">
        <v>0</v>
      </c>
      <c r="M142" s="121">
        <v>0</v>
      </c>
      <c r="N142" s="121">
        <v>0</v>
      </c>
      <c r="O142" s="121">
        <v>0</v>
      </c>
      <c r="P142" s="121">
        <v>0</v>
      </c>
      <c r="Q142" s="121">
        <v>0</v>
      </c>
      <c r="R142" s="121">
        <v>0</v>
      </c>
      <c r="S142" s="121">
        <v>0</v>
      </c>
      <c r="T142" s="121">
        <v>0</v>
      </c>
      <c r="U142" s="121">
        <v>0</v>
      </c>
      <c r="V142" s="121" t="s">
        <v>1119</v>
      </c>
      <c r="W142" s="121">
        <v>0</v>
      </c>
      <c r="X142" s="121">
        <v>0</v>
      </c>
      <c r="Y142" s="121">
        <v>0</v>
      </c>
      <c r="Z142" s="121">
        <v>0</v>
      </c>
      <c r="AA142" s="121">
        <v>0</v>
      </c>
      <c r="AB142" s="121">
        <v>0</v>
      </c>
      <c r="AC142" s="121">
        <v>0</v>
      </c>
      <c r="AD142" s="121">
        <v>0</v>
      </c>
      <c r="AE142" s="121">
        <v>0</v>
      </c>
      <c r="AF142" s="121">
        <v>0</v>
      </c>
      <c r="AG142" s="121">
        <v>0</v>
      </c>
      <c r="AH142" s="121">
        <v>0</v>
      </c>
      <c r="AI142" s="121">
        <v>0</v>
      </c>
      <c r="AL142" s="14">
        <f t="shared" si="12"/>
        <v>0</v>
      </c>
      <c r="AM142">
        <f t="shared" si="13"/>
        <v>0</v>
      </c>
      <c r="AN142">
        <f t="shared" si="14"/>
        <v>0</v>
      </c>
      <c r="AP142">
        <f>VLOOKUP($B142,Kraftvärmeprod!$B$1:$BX$549,MATCH(AP$1,Kraftvärmeprod!$B$1:$BX$1,0),FALSE)</f>
        <v>0</v>
      </c>
      <c r="AQ142">
        <f>VLOOKUP($B142,Kraftvärmeprod!$B$1:$BX$549,MATCH(AQ$1,Kraftvärmeprod!$B$1:$BX$1,0),FALSE)</f>
        <v>0</v>
      </c>
      <c r="AR142">
        <f>VLOOKUP($B142,Kraftvärmeprod!$B$1:$BX$549,MATCH("Summa tillförd energi exklusive rökgaskondensering",Kraftvärmeprod!$B$1:$BX$1,0),FALSE)</f>
        <v>0</v>
      </c>
      <c r="AT142" s="17" t="str">
        <f t="shared" si="15"/>
        <v/>
      </c>
      <c r="AV142">
        <f t="shared" si="16"/>
        <v>0</v>
      </c>
      <c r="BA142" s="17" t="str">
        <f t="shared" si="17"/>
        <v/>
      </c>
    </row>
    <row r="143" spans="1:53" x14ac:dyDescent="0.25">
      <c r="A143" s="137" t="s">
        <v>394</v>
      </c>
      <c r="B143" s="137" t="s">
        <v>395</v>
      </c>
      <c r="C143" s="121"/>
      <c r="D143" s="121"/>
      <c r="E143" s="121"/>
      <c r="F143" s="121"/>
      <c r="G143" s="121"/>
      <c r="H143" s="121"/>
      <c r="I143" s="121"/>
      <c r="J143" s="121">
        <v>0</v>
      </c>
      <c r="K143" s="121">
        <v>0</v>
      </c>
      <c r="L143" s="121">
        <v>0</v>
      </c>
      <c r="M143" s="121">
        <v>0</v>
      </c>
      <c r="N143" s="121">
        <v>0</v>
      </c>
      <c r="O143" s="121">
        <v>0</v>
      </c>
      <c r="P143" s="121">
        <v>0</v>
      </c>
      <c r="Q143" s="121">
        <v>0</v>
      </c>
      <c r="R143" s="121">
        <v>0</v>
      </c>
      <c r="S143" s="121">
        <v>0</v>
      </c>
      <c r="T143" s="121">
        <v>0</v>
      </c>
      <c r="U143" s="121">
        <v>0</v>
      </c>
      <c r="V143" s="121" t="s">
        <v>1119</v>
      </c>
      <c r="W143" s="121">
        <v>0</v>
      </c>
      <c r="X143" s="121">
        <v>0</v>
      </c>
      <c r="Y143" s="121">
        <v>0</v>
      </c>
      <c r="Z143" s="121">
        <v>0</v>
      </c>
      <c r="AA143" s="121">
        <v>0</v>
      </c>
      <c r="AB143" s="121">
        <v>0</v>
      </c>
      <c r="AC143" s="121">
        <v>0</v>
      </c>
      <c r="AD143" s="121">
        <v>0</v>
      </c>
      <c r="AE143" s="121">
        <v>0</v>
      </c>
      <c r="AF143" s="121">
        <v>0</v>
      </c>
      <c r="AG143" s="121">
        <v>0</v>
      </c>
      <c r="AH143" s="121">
        <v>0</v>
      </c>
      <c r="AI143" s="121">
        <v>0</v>
      </c>
      <c r="AL143" s="14">
        <f t="shared" si="12"/>
        <v>0</v>
      </c>
      <c r="AM143">
        <f t="shared" si="13"/>
        <v>0</v>
      </c>
      <c r="AN143">
        <f t="shared" si="14"/>
        <v>0</v>
      </c>
      <c r="AP143">
        <f>VLOOKUP($B143,Kraftvärmeprod!$B$1:$BX$549,MATCH(AP$1,Kraftvärmeprod!$B$1:$BX$1,0),FALSE)</f>
        <v>0</v>
      </c>
      <c r="AQ143">
        <f>VLOOKUP($B143,Kraftvärmeprod!$B$1:$BX$549,MATCH(AQ$1,Kraftvärmeprod!$B$1:$BX$1,0),FALSE)</f>
        <v>0</v>
      </c>
      <c r="AR143">
        <f>VLOOKUP($B143,Kraftvärmeprod!$B$1:$BX$549,MATCH("Summa tillförd energi exklusive rökgaskondensering",Kraftvärmeprod!$B$1:$BX$1,0),FALSE)</f>
        <v>0</v>
      </c>
      <c r="AT143" s="17" t="str">
        <f t="shared" si="15"/>
        <v/>
      </c>
      <c r="AV143">
        <f t="shared" si="16"/>
        <v>0</v>
      </c>
      <c r="BA143" s="17" t="str">
        <f t="shared" si="17"/>
        <v/>
      </c>
    </row>
    <row r="144" spans="1:53" x14ac:dyDescent="0.25">
      <c r="A144" s="137" t="s">
        <v>394</v>
      </c>
      <c r="B144" s="137" t="s">
        <v>396</v>
      </c>
      <c r="C144" s="121"/>
      <c r="D144" s="121"/>
      <c r="E144" s="121"/>
      <c r="F144" s="121"/>
      <c r="G144" s="121"/>
      <c r="H144" s="121"/>
      <c r="I144" s="121"/>
      <c r="J144" s="121">
        <v>0</v>
      </c>
      <c r="K144" s="121">
        <v>0</v>
      </c>
      <c r="L144" s="121">
        <v>0</v>
      </c>
      <c r="M144" s="121">
        <v>0</v>
      </c>
      <c r="N144" s="121">
        <v>0</v>
      </c>
      <c r="O144" s="121">
        <v>0</v>
      </c>
      <c r="P144" s="121">
        <v>0</v>
      </c>
      <c r="Q144" s="121">
        <v>0</v>
      </c>
      <c r="R144" s="121">
        <v>0</v>
      </c>
      <c r="S144" s="121">
        <v>0</v>
      </c>
      <c r="T144" s="121">
        <v>0</v>
      </c>
      <c r="U144" s="121">
        <v>0</v>
      </c>
      <c r="V144" s="121" t="s">
        <v>1119</v>
      </c>
      <c r="W144" s="121">
        <v>0</v>
      </c>
      <c r="X144" s="121">
        <v>0</v>
      </c>
      <c r="Y144" s="121">
        <v>0</v>
      </c>
      <c r="Z144" s="121">
        <v>0</v>
      </c>
      <c r="AA144" s="121">
        <v>0</v>
      </c>
      <c r="AB144" s="121">
        <v>0</v>
      </c>
      <c r="AC144" s="121">
        <v>0</v>
      </c>
      <c r="AD144" s="121">
        <v>0</v>
      </c>
      <c r="AE144" s="121">
        <v>0</v>
      </c>
      <c r="AF144" s="121">
        <v>0</v>
      </c>
      <c r="AG144" s="121">
        <v>0</v>
      </c>
      <c r="AH144" s="121">
        <v>0</v>
      </c>
      <c r="AI144" s="121">
        <v>0</v>
      </c>
      <c r="AL144" s="14">
        <f t="shared" si="12"/>
        <v>0</v>
      </c>
      <c r="AM144">
        <f t="shared" si="13"/>
        <v>0</v>
      </c>
      <c r="AN144">
        <f t="shared" si="14"/>
        <v>0</v>
      </c>
      <c r="AP144">
        <f>VLOOKUP($B144,Kraftvärmeprod!$B$1:$BX$549,MATCH(AP$1,Kraftvärmeprod!$B$1:$BX$1,0),FALSE)</f>
        <v>0</v>
      </c>
      <c r="AQ144">
        <f>VLOOKUP($B144,Kraftvärmeprod!$B$1:$BX$549,MATCH(AQ$1,Kraftvärmeprod!$B$1:$BX$1,0),FALSE)</f>
        <v>0</v>
      </c>
      <c r="AR144">
        <f>VLOOKUP($B144,Kraftvärmeprod!$B$1:$BX$549,MATCH("Summa tillförd energi exklusive rökgaskondensering",Kraftvärmeprod!$B$1:$BX$1,0),FALSE)</f>
        <v>0</v>
      </c>
      <c r="AT144" s="17" t="str">
        <f t="shared" si="15"/>
        <v/>
      </c>
      <c r="AV144">
        <f t="shared" si="16"/>
        <v>0</v>
      </c>
      <c r="BA144" s="17" t="str">
        <f t="shared" si="17"/>
        <v/>
      </c>
    </row>
    <row r="145" spans="1:53" x14ac:dyDescent="0.25">
      <c r="A145" s="137" t="s">
        <v>394</v>
      </c>
      <c r="B145" s="137" t="s">
        <v>397</v>
      </c>
      <c r="C145" s="121"/>
      <c r="D145" s="121"/>
      <c r="E145" s="121"/>
      <c r="F145" s="121"/>
      <c r="G145" s="121"/>
      <c r="H145" s="121"/>
      <c r="I145" s="121"/>
      <c r="J145" s="121">
        <v>0</v>
      </c>
      <c r="K145" s="121">
        <v>0</v>
      </c>
      <c r="L145" s="121">
        <v>0</v>
      </c>
      <c r="M145" s="121">
        <v>0</v>
      </c>
      <c r="N145" s="121">
        <v>0</v>
      </c>
      <c r="O145" s="121">
        <v>0</v>
      </c>
      <c r="P145" s="121">
        <v>0</v>
      </c>
      <c r="Q145" s="121">
        <v>0</v>
      </c>
      <c r="R145" s="121">
        <v>0</v>
      </c>
      <c r="S145" s="121">
        <v>0</v>
      </c>
      <c r="T145" s="121">
        <v>0</v>
      </c>
      <c r="U145" s="121">
        <v>0</v>
      </c>
      <c r="V145" s="121" t="s">
        <v>1119</v>
      </c>
      <c r="W145" s="121">
        <v>0</v>
      </c>
      <c r="X145" s="121">
        <v>0</v>
      </c>
      <c r="Y145" s="121">
        <v>0</v>
      </c>
      <c r="Z145" s="121">
        <v>0</v>
      </c>
      <c r="AA145" s="121">
        <v>0</v>
      </c>
      <c r="AB145" s="121">
        <v>0</v>
      </c>
      <c r="AC145" s="121">
        <v>0</v>
      </c>
      <c r="AD145" s="121">
        <v>0</v>
      </c>
      <c r="AE145" s="121">
        <v>0</v>
      </c>
      <c r="AF145" s="121">
        <v>0</v>
      </c>
      <c r="AG145" s="121">
        <v>0</v>
      </c>
      <c r="AH145" s="121">
        <v>0</v>
      </c>
      <c r="AI145" s="121">
        <v>0</v>
      </c>
      <c r="AL145" s="14">
        <f t="shared" si="12"/>
        <v>0</v>
      </c>
      <c r="AM145">
        <f t="shared" si="13"/>
        <v>0</v>
      </c>
      <c r="AN145">
        <f t="shared" si="14"/>
        <v>0</v>
      </c>
      <c r="AP145">
        <f>VLOOKUP($B145,Kraftvärmeprod!$B$1:$BX$549,MATCH(AP$1,Kraftvärmeprod!$B$1:$BX$1,0),FALSE)</f>
        <v>0</v>
      </c>
      <c r="AQ145">
        <f>VLOOKUP($B145,Kraftvärmeprod!$B$1:$BX$549,MATCH(AQ$1,Kraftvärmeprod!$B$1:$BX$1,0),FALSE)</f>
        <v>0</v>
      </c>
      <c r="AR145">
        <f>VLOOKUP($B145,Kraftvärmeprod!$B$1:$BX$549,MATCH("Summa tillförd energi exklusive rökgaskondensering",Kraftvärmeprod!$B$1:$BX$1,0),FALSE)</f>
        <v>0</v>
      </c>
      <c r="AT145" s="17" t="str">
        <f t="shared" si="15"/>
        <v/>
      </c>
      <c r="AV145">
        <f t="shared" si="16"/>
        <v>0</v>
      </c>
      <c r="BA145" s="17" t="str">
        <f t="shared" si="17"/>
        <v/>
      </c>
    </row>
    <row r="146" spans="1:53" x14ac:dyDescent="0.25">
      <c r="A146" s="137" t="s">
        <v>394</v>
      </c>
      <c r="B146" s="137" t="s">
        <v>398</v>
      </c>
      <c r="C146" s="121"/>
      <c r="D146" s="121"/>
      <c r="E146" s="121"/>
      <c r="F146" s="121"/>
      <c r="G146" s="121"/>
      <c r="H146" s="121"/>
      <c r="I146" s="121"/>
      <c r="J146" s="121">
        <v>0</v>
      </c>
      <c r="K146" s="121">
        <v>0</v>
      </c>
      <c r="L146" s="121">
        <v>0</v>
      </c>
      <c r="M146" s="121">
        <v>0</v>
      </c>
      <c r="N146" s="121">
        <v>0</v>
      </c>
      <c r="O146" s="121">
        <v>0</v>
      </c>
      <c r="P146" s="121">
        <v>38.154800000000002</v>
      </c>
      <c r="Q146" s="121">
        <v>22.862300000000001</v>
      </c>
      <c r="R146" s="121">
        <v>15.2925</v>
      </c>
      <c r="S146" s="121">
        <v>0</v>
      </c>
      <c r="T146" s="121">
        <v>0</v>
      </c>
      <c r="U146" s="121">
        <v>0</v>
      </c>
      <c r="V146" s="121" t="s">
        <v>1119</v>
      </c>
      <c r="W146" s="121">
        <v>0</v>
      </c>
      <c r="X146" s="121">
        <v>0</v>
      </c>
      <c r="Y146" s="121">
        <v>0</v>
      </c>
      <c r="Z146" s="121">
        <v>0</v>
      </c>
      <c r="AA146" s="121">
        <v>0</v>
      </c>
      <c r="AB146" s="121">
        <v>0</v>
      </c>
      <c r="AC146" s="121">
        <v>0</v>
      </c>
      <c r="AD146" s="121">
        <v>0</v>
      </c>
      <c r="AE146" s="121">
        <v>0</v>
      </c>
      <c r="AF146" s="121">
        <v>0</v>
      </c>
      <c r="AG146" s="121">
        <v>0</v>
      </c>
      <c r="AH146" s="121">
        <v>26.8</v>
      </c>
      <c r="AI146" s="121">
        <v>3.0814400000000002</v>
      </c>
      <c r="AL146" s="14">
        <f t="shared" si="12"/>
        <v>106.19104</v>
      </c>
      <c r="AM146">
        <f t="shared" si="13"/>
        <v>103.1096</v>
      </c>
      <c r="AN146">
        <f t="shared" si="14"/>
        <v>76.309600000000003</v>
      </c>
      <c r="AP146">
        <f>VLOOKUP($B146,Kraftvärmeprod!$B$1:$BX$549,MATCH(AP$1,Kraftvärmeprod!$B$1:$BX$1,0),FALSE)</f>
        <v>74.5</v>
      </c>
      <c r="AQ146">
        <f>VLOOKUP($B146,Kraftvärmeprod!$B$1:$BX$549,MATCH(AQ$1,Kraftvärmeprod!$B$1:$BX$1,0),FALSE)</f>
        <v>8.8000000000000007</v>
      </c>
      <c r="AR146">
        <f>VLOOKUP($B146,Kraftvärmeprod!$B$1:$BX$549,MATCH("Summa tillförd energi exklusive rökgaskondensering",Kraftvärmeprod!$B$1:$BX$1,0),FALSE)</f>
        <v>99.8</v>
      </c>
      <c r="AT146" s="17">
        <f t="shared" si="15"/>
        <v>0.76462525050100205</v>
      </c>
      <c r="AV146">
        <f t="shared" si="16"/>
        <v>76.309600000000003</v>
      </c>
      <c r="BA146" s="17">
        <f t="shared" si="17"/>
        <v>0.93839304788046607</v>
      </c>
    </row>
    <row r="147" spans="1:53" x14ac:dyDescent="0.25">
      <c r="A147" s="137" t="s">
        <v>45</v>
      </c>
      <c r="B147" s="141" t="s">
        <v>46</v>
      </c>
      <c r="C147" s="121"/>
      <c r="D147" s="121"/>
      <c r="E147" s="121"/>
      <c r="F147" s="121"/>
      <c r="G147" s="121"/>
      <c r="H147" s="121"/>
      <c r="I147" s="121"/>
      <c r="J147" s="121" t="s">
        <v>1119</v>
      </c>
      <c r="K147" s="121" t="s">
        <v>1119</v>
      </c>
      <c r="L147" s="121" t="s">
        <v>1119</v>
      </c>
      <c r="M147" s="121" t="s">
        <v>1119</v>
      </c>
      <c r="N147" s="121" t="s">
        <v>1119</v>
      </c>
      <c r="O147" s="121" t="s">
        <v>1119</v>
      </c>
      <c r="P147" s="121" t="s">
        <v>1119</v>
      </c>
      <c r="Q147" s="121" t="s">
        <v>1119</v>
      </c>
      <c r="R147" s="121" t="s">
        <v>1119</v>
      </c>
      <c r="S147" s="121" t="s">
        <v>1119</v>
      </c>
      <c r="T147" s="121" t="s">
        <v>1119</v>
      </c>
      <c r="U147" s="121" t="s">
        <v>1119</v>
      </c>
      <c r="V147" s="121" t="s">
        <v>1119</v>
      </c>
      <c r="W147" s="121" t="s">
        <v>1119</v>
      </c>
      <c r="X147" s="121" t="s">
        <v>1119</v>
      </c>
      <c r="Y147" s="121" t="s">
        <v>1119</v>
      </c>
      <c r="Z147" s="121" t="s">
        <v>1119</v>
      </c>
      <c r="AA147" s="121" t="s">
        <v>1119</v>
      </c>
      <c r="AB147" s="121" t="s">
        <v>1119</v>
      </c>
      <c r="AC147" s="121" t="s">
        <v>1119</v>
      </c>
      <c r="AD147" s="121" t="s">
        <v>1119</v>
      </c>
      <c r="AE147" s="121" t="s">
        <v>1119</v>
      </c>
      <c r="AF147" s="121" t="s">
        <v>1119</v>
      </c>
      <c r="AG147" s="121" t="s">
        <v>1119</v>
      </c>
      <c r="AH147" s="121" t="s">
        <v>1119</v>
      </c>
      <c r="AI147" s="121" t="s">
        <v>1119</v>
      </c>
      <c r="AL147" s="14">
        <f t="shared" si="12"/>
        <v>0</v>
      </c>
      <c r="AM147">
        <f t="shared" si="13"/>
        <v>0</v>
      </c>
      <c r="AN147">
        <f t="shared" si="14"/>
        <v>0</v>
      </c>
      <c r="AP147">
        <f>VLOOKUP($B147,Kraftvärmeprod!$B$1:$BX$549,MATCH(AP$1,Kraftvärmeprod!$B$1:$BX$1,0),FALSE)</f>
        <v>0</v>
      </c>
      <c r="AQ147">
        <f>VLOOKUP($B147,Kraftvärmeprod!$B$1:$BX$549,MATCH(AQ$1,Kraftvärmeprod!$B$1:$BX$1,0),FALSE)</f>
        <v>0</v>
      </c>
      <c r="AR147">
        <f>VLOOKUP($B147,Kraftvärmeprod!$B$1:$BX$549,MATCH("Summa tillförd energi exklusive rökgaskondensering",Kraftvärmeprod!$B$1:$BX$1,0),FALSE)</f>
        <v>0</v>
      </c>
      <c r="AT147" s="17" t="str">
        <f t="shared" si="15"/>
        <v/>
      </c>
      <c r="AV147" t="e">
        <f t="shared" si="16"/>
        <v>#VALUE!</v>
      </c>
      <c r="BA147" s="17" t="str">
        <f t="shared" si="17"/>
        <v/>
      </c>
    </row>
    <row r="148" spans="1:53" x14ac:dyDescent="0.25">
      <c r="A148" s="137" t="s">
        <v>399</v>
      </c>
      <c r="B148" s="137" t="s">
        <v>400</v>
      </c>
      <c r="C148" s="121"/>
      <c r="D148" s="121"/>
      <c r="E148" s="121"/>
      <c r="F148" s="121"/>
      <c r="G148" s="121"/>
      <c r="H148" s="121"/>
      <c r="I148" s="121"/>
      <c r="J148" s="121">
        <v>0</v>
      </c>
      <c r="K148" s="121">
        <v>1.1821200000000001</v>
      </c>
      <c r="L148" s="121">
        <v>0</v>
      </c>
      <c r="M148" s="121">
        <v>0</v>
      </c>
      <c r="N148" s="121">
        <v>0</v>
      </c>
      <c r="O148" s="121">
        <v>0</v>
      </c>
      <c r="P148" s="121">
        <v>0</v>
      </c>
      <c r="Q148" s="121">
        <v>0</v>
      </c>
      <c r="R148" s="121">
        <v>0</v>
      </c>
      <c r="S148" s="121">
        <v>0</v>
      </c>
      <c r="T148" s="121">
        <v>0</v>
      </c>
      <c r="U148" s="121">
        <v>0</v>
      </c>
      <c r="V148" s="121" t="s">
        <v>1119</v>
      </c>
      <c r="W148" s="121">
        <v>0</v>
      </c>
      <c r="X148" s="121">
        <v>0</v>
      </c>
      <c r="Y148" s="121">
        <v>0</v>
      </c>
      <c r="Z148" s="121">
        <v>2.6722399999999999</v>
      </c>
      <c r="AA148" s="121">
        <v>0</v>
      </c>
      <c r="AB148" s="121">
        <v>0</v>
      </c>
      <c r="AC148" s="121">
        <v>0</v>
      </c>
      <c r="AD148" s="121">
        <v>0</v>
      </c>
      <c r="AE148" s="121">
        <v>136.16900000000001</v>
      </c>
      <c r="AF148" s="121">
        <v>0</v>
      </c>
      <c r="AG148" s="121">
        <v>0</v>
      </c>
      <c r="AH148" s="121">
        <v>12.797000000000001</v>
      </c>
      <c r="AI148" s="121">
        <v>4.4875400000000001</v>
      </c>
      <c r="AL148" s="14">
        <f t="shared" si="12"/>
        <v>157.30790000000002</v>
      </c>
      <c r="AM148">
        <f t="shared" si="13"/>
        <v>152.82036000000002</v>
      </c>
      <c r="AN148">
        <f t="shared" si="14"/>
        <v>140.02336000000003</v>
      </c>
      <c r="AP148">
        <f>VLOOKUP($B148,Kraftvärmeprod!$B$1:$BX$549,MATCH(AP$1,Kraftvärmeprod!$B$1:$BX$1,0),FALSE)</f>
        <v>169.63</v>
      </c>
      <c r="AQ148">
        <f>VLOOKUP($B148,Kraftvärmeprod!$B$1:$BX$549,MATCH(AQ$1,Kraftvärmeprod!$B$1:$BX$1,0),FALSE)</f>
        <v>34.753</v>
      </c>
      <c r="AR148">
        <f>VLOOKUP($B148,Kraftvärmeprod!$B$1:$BX$549,MATCH("Summa tillförd energi exklusive rökgaskondensering",Kraftvärmeprod!$B$1:$BX$1,0),FALSE)</f>
        <v>231.21199999999999</v>
      </c>
      <c r="AT148" s="17">
        <f t="shared" si="15"/>
        <v>0.6056059374080931</v>
      </c>
      <c r="AV148">
        <f t="shared" si="16"/>
        <v>2.6722399999999999</v>
      </c>
      <c r="BA148" s="17">
        <f t="shared" si="17"/>
        <v>1.1738214902820476</v>
      </c>
    </row>
    <row r="149" spans="1:53" x14ac:dyDescent="0.25">
      <c r="A149" s="137" t="s">
        <v>401</v>
      </c>
      <c r="B149" s="137" t="s">
        <v>402</v>
      </c>
      <c r="C149" s="121"/>
      <c r="D149" s="121"/>
      <c r="E149" s="121"/>
      <c r="F149" s="121"/>
      <c r="G149" s="121"/>
      <c r="H149" s="121"/>
      <c r="I149" s="121"/>
      <c r="J149" s="121">
        <v>0</v>
      </c>
      <c r="K149" s="121">
        <v>0</v>
      </c>
      <c r="L149" s="121">
        <v>0</v>
      </c>
      <c r="M149" s="121">
        <v>0</v>
      </c>
      <c r="N149" s="121">
        <v>0</v>
      </c>
      <c r="O149" s="121">
        <v>0</v>
      </c>
      <c r="P149" s="121">
        <v>0</v>
      </c>
      <c r="Q149" s="121">
        <v>0</v>
      </c>
      <c r="R149" s="121">
        <v>0</v>
      </c>
      <c r="S149" s="121">
        <v>0</v>
      </c>
      <c r="T149" s="121">
        <v>0</v>
      </c>
      <c r="U149" s="121">
        <v>0</v>
      </c>
      <c r="V149" s="121" t="s">
        <v>1119</v>
      </c>
      <c r="W149" s="121">
        <v>0</v>
      </c>
      <c r="X149" s="121">
        <v>0</v>
      </c>
      <c r="Y149" s="121">
        <v>0</v>
      </c>
      <c r="Z149" s="121">
        <v>0</v>
      </c>
      <c r="AA149" s="121">
        <v>0</v>
      </c>
      <c r="AB149" s="121">
        <v>0</v>
      </c>
      <c r="AC149" s="121">
        <v>0</v>
      </c>
      <c r="AD149" s="121">
        <v>0</v>
      </c>
      <c r="AE149" s="121">
        <v>0</v>
      </c>
      <c r="AF149" s="121">
        <v>0</v>
      </c>
      <c r="AG149" s="121">
        <v>0</v>
      </c>
      <c r="AH149" s="121">
        <v>0</v>
      </c>
      <c r="AI149" s="121">
        <v>0</v>
      </c>
      <c r="AL149" s="14">
        <f t="shared" si="12"/>
        <v>0</v>
      </c>
      <c r="AM149">
        <f t="shared" si="13"/>
        <v>0</v>
      </c>
      <c r="AN149">
        <f t="shared" si="14"/>
        <v>0</v>
      </c>
      <c r="AP149">
        <f>VLOOKUP($B149,Kraftvärmeprod!$B$1:$BX$549,MATCH(AP$1,Kraftvärmeprod!$B$1:$BX$1,0),FALSE)</f>
        <v>0</v>
      </c>
      <c r="AQ149">
        <f>VLOOKUP($B149,Kraftvärmeprod!$B$1:$BX$549,MATCH(AQ$1,Kraftvärmeprod!$B$1:$BX$1,0),FALSE)</f>
        <v>0</v>
      </c>
      <c r="AR149">
        <f>VLOOKUP($B149,Kraftvärmeprod!$B$1:$BX$549,MATCH("Summa tillförd energi exklusive rökgaskondensering",Kraftvärmeprod!$B$1:$BX$1,0),FALSE)</f>
        <v>0</v>
      </c>
      <c r="AT149" s="17" t="str">
        <f t="shared" si="15"/>
        <v/>
      </c>
      <c r="AV149">
        <f t="shared" si="16"/>
        <v>0</v>
      </c>
      <c r="BA149" s="17" t="str">
        <f t="shared" si="17"/>
        <v/>
      </c>
    </row>
    <row r="150" spans="1:53" x14ac:dyDescent="0.25">
      <c r="A150" s="137" t="s">
        <v>401</v>
      </c>
      <c r="B150" s="137" t="s">
        <v>403</v>
      </c>
      <c r="C150" s="121"/>
      <c r="D150" s="121"/>
      <c r="E150" s="121"/>
      <c r="F150" s="121"/>
      <c r="G150" s="121"/>
      <c r="H150" s="121"/>
      <c r="I150" s="121"/>
      <c r="J150" s="121">
        <v>0</v>
      </c>
      <c r="K150" s="121">
        <v>0</v>
      </c>
      <c r="L150" s="121">
        <v>0</v>
      </c>
      <c r="M150" s="121">
        <v>0</v>
      </c>
      <c r="N150" s="121">
        <v>0</v>
      </c>
      <c r="O150" s="121">
        <v>0</v>
      </c>
      <c r="P150" s="121">
        <v>0</v>
      </c>
      <c r="Q150" s="121">
        <v>0</v>
      </c>
      <c r="R150" s="121">
        <v>0</v>
      </c>
      <c r="S150" s="121">
        <v>0</v>
      </c>
      <c r="T150" s="121">
        <v>0</v>
      </c>
      <c r="U150" s="121">
        <v>0</v>
      </c>
      <c r="V150" s="121" t="s">
        <v>1119</v>
      </c>
      <c r="W150" s="121">
        <v>0</v>
      </c>
      <c r="X150" s="121">
        <v>0</v>
      </c>
      <c r="Y150" s="121">
        <v>0</v>
      </c>
      <c r="Z150" s="121">
        <v>0</v>
      </c>
      <c r="AA150" s="121">
        <v>0</v>
      </c>
      <c r="AB150" s="121">
        <v>0</v>
      </c>
      <c r="AC150" s="121">
        <v>0</v>
      </c>
      <c r="AD150" s="121">
        <v>0</v>
      </c>
      <c r="AE150" s="121">
        <v>0</v>
      </c>
      <c r="AF150" s="121">
        <v>0</v>
      </c>
      <c r="AG150" s="121">
        <v>0</v>
      </c>
      <c r="AH150" s="121">
        <v>0</v>
      </c>
      <c r="AI150" s="121">
        <v>0</v>
      </c>
      <c r="AL150" s="14">
        <f t="shared" si="12"/>
        <v>0</v>
      </c>
      <c r="AM150">
        <f t="shared" si="13"/>
        <v>0</v>
      </c>
      <c r="AN150">
        <f t="shared" si="14"/>
        <v>0</v>
      </c>
      <c r="AP150">
        <f>VLOOKUP($B150,Kraftvärmeprod!$B$1:$BX$549,MATCH(AP$1,Kraftvärmeprod!$B$1:$BX$1,0),FALSE)</f>
        <v>0</v>
      </c>
      <c r="AQ150">
        <f>VLOOKUP($B150,Kraftvärmeprod!$B$1:$BX$549,MATCH(AQ$1,Kraftvärmeprod!$B$1:$BX$1,0),FALSE)</f>
        <v>0</v>
      </c>
      <c r="AR150">
        <f>VLOOKUP($B150,Kraftvärmeprod!$B$1:$BX$549,MATCH("Summa tillförd energi exklusive rökgaskondensering",Kraftvärmeprod!$B$1:$BX$1,0),FALSE)</f>
        <v>0</v>
      </c>
      <c r="AT150" s="17" t="str">
        <f t="shared" si="15"/>
        <v/>
      </c>
      <c r="AV150">
        <f t="shared" si="16"/>
        <v>0</v>
      </c>
      <c r="BA150" s="17" t="str">
        <f t="shared" si="17"/>
        <v/>
      </c>
    </row>
    <row r="151" spans="1:53" x14ac:dyDescent="0.25">
      <c r="A151" s="137" t="s">
        <v>401</v>
      </c>
      <c r="B151" s="137" t="s">
        <v>404</v>
      </c>
      <c r="C151" s="121"/>
      <c r="D151" s="121"/>
      <c r="E151" s="121"/>
      <c r="F151" s="121"/>
      <c r="G151" s="121"/>
      <c r="H151" s="121"/>
      <c r="I151" s="121"/>
      <c r="J151" s="121">
        <v>0</v>
      </c>
      <c r="K151" s="121">
        <v>0</v>
      </c>
      <c r="L151" s="121">
        <v>0</v>
      </c>
      <c r="M151" s="121">
        <v>0</v>
      </c>
      <c r="N151" s="121">
        <v>0</v>
      </c>
      <c r="O151" s="121">
        <v>0</v>
      </c>
      <c r="P151" s="121">
        <v>0</v>
      </c>
      <c r="Q151" s="121">
        <v>0</v>
      </c>
      <c r="R151" s="121">
        <v>0</v>
      </c>
      <c r="S151" s="121">
        <v>0</v>
      </c>
      <c r="T151" s="121">
        <v>0</v>
      </c>
      <c r="U151" s="121">
        <v>0</v>
      </c>
      <c r="V151" s="121" t="s">
        <v>1119</v>
      </c>
      <c r="W151" s="121">
        <v>0</v>
      </c>
      <c r="X151" s="121">
        <v>0</v>
      </c>
      <c r="Y151" s="121">
        <v>0</v>
      </c>
      <c r="Z151" s="121">
        <v>0</v>
      </c>
      <c r="AA151" s="121">
        <v>0</v>
      </c>
      <c r="AB151" s="121">
        <v>0</v>
      </c>
      <c r="AC151" s="121">
        <v>0</v>
      </c>
      <c r="AD151" s="121">
        <v>0</v>
      </c>
      <c r="AE151" s="121">
        <v>0</v>
      </c>
      <c r="AF151" s="121">
        <v>0</v>
      </c>
      <c r="AG151" s="121">
        <v>0</v>
      </c>
      <c r="AH151" s="121">
        <v>0</v>
      </c>
      <c r="AI151" s="121">
        <v>0</v>
      </c>
      <c r="AL151" s="14">
        <f t="shared" si="12"/>
        <v>0</v>
      </c>
      <c r="AM151">
        <f t="shared" si="13"/>
        <v>0</v>
      </c>
      <c r="AN151">
        <f t="shared" si="14"/>
        <v>0</v>
      </c>
      <c r="AP151">
        <f>VLOOKUP($B151,Kraftvärmeprod!$B$1:$BX$549,MATCH(AP$1,Kraftvärmeprod!$B$1:$BX$1,0),FALSE)</f>
        <v>0</v>
      </c>
      <c r="AQ151">
        <f>VLOOKUP($B151,Kraftvärmeprod!$B$1:$BX$549,MATCH(AQ$1,Kraftvärmeprod!$B$1:$BX$1,0),FALSE)</f>
        <v>0</v>
      </c>
      <c r="AR151">
        <f>VLOOKUP($B151,Kraftvärmeprod!$B$1:$BX$549,MATCH("Summa tillförd energi exklusive rökgaskondensering",Kraftvärmeprod!$B$1:$BX$1,0),FALSE)</f>
        <v>0</v>
      </c>
      <c r="AT151" s="17" t="str">
        <f t="shared" si="15"/>
        <v/>
      </c>
      <c r="AV151">
        <f t="shared" si="16"/>
        <v>0</v>
      </c>
      <c r="BA151" s="17" t="str">
        <f t="shared" si="17"/>
        <v/>
      </c>
    </row>
    <row r="152" spans="1:53" x14ac:dyDescent="0.25">
      <c r="A152" s="137" t="s">
        <v>401</v>
      </c>
      <c r="B152" s="137" t="s">
        <v>405</v>
      </c>
      <c r="C152" s="121"/>
      <c r="D152" s="121"/>
      <c r="E152" s="121"/>
      <c r="F152" s="121"/>
      <c r="G152" s="121"/>
      <c r="H152" s="121"/>
      <c r="I152" s="121"/>
      <c r="J152" s="121">
        <v>0</v>
      </c>
      <c r="K152" s="121">
        <v>0</v>
      </c>
      <c r="L152" s="121">
        <v>0</v>
      </c>
      <c r="M152" s="121">
        <v>0</v>
      </c>
      <c r="N152" s="121">
        <v>0</v>
      </c>
      <c r="O152" s="121">
        <v>0</v>
      </c>
      <c r="P152" s="121">
        <v>0</v>
      </c>
      <c r="Q152" s="121">
        <v>0</v>
      </c>
      <c r="R152" s="121">
        <v>0</v>
      </c>
      <c r="S152" s="121">
        <v>0</v>
      </c>
      <c r="T152" s="121">
        <v>0</v>
      </c>
      <c r="U152" s="121">
        <v>0</v>
      </c>
      <c r="V152" s="121" t="s">
        <v>1119</v>
      </c>
      <c r="W152" s="121">
        <v>0</v>
      </c>
      <c r="X152" s="121">
        <v>0</v>
      </c>
      <c r="Y152" s="121">
        <v>0</v>
      </c>
      <c r="Z152" s="121">
        <v>0</v>
      </c>
      <c r="AA152" s="121">
        <v>0</v>
      </c>
      <c r="AB152" s="121">
        <v>0</v>
      </c>
      <c r="AC152" s="121">
        <v>0</v>
      </c>
      <c r="AD152" s="121">
        <v>0</v>
      </c>
      <c r="AE152" s="121">
        <v>0</v>
      </c>
      <c r="AF152" s="121">
        <v>0</v>
      </c>
      <c r="AG152" s="121">
        <v>0</v>
      </c>
      <c r="AH152" s="121">
        <v>0</v>
      </c>
      <c r="AI152" s="121">
        <v>0</v>
      </c>
      <c r="AL152" s="14">
        <f t="shared" si="12"/>
        <v>0</v>
      </c>
      <c r="AM152">
        <f t="shared" si="13"/>
        <v>0</v>
      </c>
      <c r="AN152">
        <f t="shared" si="14"/>
        <v>0</v>
      </c>
      <c r="AP152">
        <f>VLOOKUP($B152,Kraftvärmeprod!$B$1:$BX$549,MATCH(AP$1,Kraftvärmeprod!$B$1:$BX$1,0),FALSE)</f>
        <v>0</v>
      </c>
      <c r="AQ152">
        <f>VLOOKUP($B152,Kraftvärmeprod!$B$1:$BX$549,MATCH(AQ$1,Kraftvärmeprod!$B$1:$BX$1,0),FALSE)</f>
        <v>0</v>
      </c>
      <c r="AR152">
        <f>VLOOKUP($B152,Kraftvärmeprod!$B$1:$BX$549,MATCH("Summa tillförd energi exklusive rökgaskondensering",Kraftvärmeprod!$B$1:$BX$1,0),FALSE)</f>
        <v>0</v>
      </c>
      <c r="AT152" s="17" t="str">
        <f t="shared" si="15"/>
        <v/>
      </c>
      <c r="AV152">
        <f t="shared" si="16"/>
        <v>0</v>
      </c>
      <c r="BA152" s="17" t="str">
        <f t="shared" si="17"/>
        <v/>
      </c>
    </row>
    <row r="153" spans="1:53" x14ac:dyDescent="0.25">
      <c r="A153" s="137" t="s">
        <v>401</v>
      </c>
      <c r="B153" s="137" t="s">
        <v>406</v>
      </c>
      <c r="C153" s="121"/>
      <c r="D153" s="121"/>
      <c r="E153" s="121"/>
      <c r="F153" s="121"/>
      <c r="G153" s="121"/>
      <c r="H153" s="121"/>
      <c r="I153" s="121"/>
      <c r="J153" s="121">
        <v>0</v>
      </c>
      <c r="K153" s="121">
        <v>0</v>
      </c>
      <c r="L153" s="121">
        <v>0</v>
      </c>
      <c r="M153" s="121">
        <v>0</v>
      </c>
      <c r="N153" s="121">
        <v>0</v>
      </c>
      <c r="O153" s="121">
        <v>0</v>
      </c>
      <c r="P153" s="121">
        <v>0</v>
      </c>
      <c r="Q153" s="121">
        <v>0</v>
      </c>
      <c r="R153" s="121">
        <v>0</v>
      </c>
      <c r="S153" s="121">
        <v>0</v>
      </c>
      <c r="T153" s="121">
        <v>0</v>
      </c>
      <c r="U153" s="121">
        <v>0</v>
      </c>
      <c r="V153" s="121" t="s">
        <v>1119</v>
      </c>
      <c r="W153" s="121">
        <v>0</v>
      </c>
      <c r="X153" s="121">
        <v>0</v>
      </c>
      <c r="Y153" s="121">
        <v>0</v>
      </c>
      <c r="Z153" s="121">
        <v>0</v>
      </c>
      <c r="AA153" s="121">
        <v>0</v>
      </c>
      <c r="AB153" s="121">
        <v>0</v>
      </c>
      <c r="AC153" s="121">
        <v>0</v>
      </c>
      <c r="AD153" s="121">
        <v>0</v>
      </c>
      <c r="AE153" s="121">
        <v>0</v>
      </c>
      <c r="AF153" s="121">
        <v>0</v>
      </c>
      <c r="AG153" s="121">
        <v>0</v>
      </c>
      <c r="AH153" s="121">
        <v>0</v>
      </c>
      <c r="AI153" s="121">
        <v>0</v>
      </c>
      <c r="AL153" s="14">
        <f t="shared" si="12"/>
        <v>0</v>
      </c>
      <c r="AM153">
        <f t="shared" si="13"/>
        <v>0</v>
      </c>
      <c r="AN153">
        <f t="shared" si="14"/>
        <v>0</v>
      </c>
      <c r="AP153">
        <f>VLOOKUP($B153,Kraftvärmeprod!$B$1:$BX$549,MATCH(AP$1,Kraftvärmeprod!$B$1:$BX$1,0),FALSE)</f>
        <v>0</v>
      </c>
      <c r="AQ153">
        <f>VLOOKUP($B153,Kraftvärmeprod!$B$1:$BX$549,MATCH(AQ$1,Kraftvärmeprod!$B$1:$BX$1,0),FALSE)</f>
        <v>0</v>
      </c>
      <c r="AR153">
        <f>VLOOKUP($B153,Kraftvärmeprod!$B$1:$BX$549,MATCH("Summa tillförd energi exklusive rökgaskondensering",Kraftvärmeprod!$B$1:$BX$1,0),FALSE)</f>
        <v>0</v>
      </c>
      <c r="AT153" s="17" t="str">
        <f t="shared" si="15"/>
        <v/>
      </c>
      <c r="AV153">
        <f t="shared" si="16"/>
        <v>0</v>
      </c>
      <c r="BA153" s="17" t="str">
        <f t="shared" si="17"/>
        <v/>
      </c>
    </row>
    <row r="154" spans="1:53" x14ac:dyDescent="0.25">
      <c r="A154" s="137" t="s">
        <v>401</v>
      </c>
      <c r="B154" s="137" t="s">
        <v>407</v>
      </c>
      <c r="C154" s="121"/>
      <c r="D154" s="121"/>
      <c r="E154" s="121"/>
      <c r="F154" s="121"/>
      <c r="G154" s="121"/>
      <c r="H154" s="121"/>
      <c r="I154" s="121"/>
      <c r="J154" s="121">
        <v>0</v>
      </c>
      <c r="K154" s="121">
        <v>0</v>
      </c>
      <c r="L154" s="121">
        <v>0</v>
      </c>
      <c r="M154" s="121">
        <v>0</v>
      </c>
      <c r="N154" s="121">
        <v>0</v>
      </c>
      <c r="O154" s="121">
        <v>0</v>
      </c>
      <c r="P154" s="121">
        <v>0</v>
      </c>
      <c r="Q154" s="121">
        <v>0</v>
      </c>
      <c r="R154" s="121">
        <v>0</v>
      </c>
      <c r="S154" s="121">
        <v>0</v>
      </c>
      <c r="T154" s="121">
        <v>0</v>
      </c>
      <c r="U154" s="121">
        <v>0</v>
      </c>
      <c r="V154" s="121" t="s">
        <v>1119</v>
      </c>
      <c r="W154" s="121">
        <v>0</v>
      </c>
      <c r="X154" s="121">
        <v>0</v>
      </c>
      <c r="Y154" s="121">
        <v>0</v>
      </c>
      <c r="Z154" s="121">
        <v>0</v>
      </c>
      <c r="AA154" s="121">
        <v>0</v>
      </c>
      <c r="AB154" s="121">
        <v>0</v>
      </c>
      <c r="AC154" s="121">
        <v>0</v>
      </c>
      <c r="AD154" s="121">
        <v>0</v>
      </c>
      <c r="AE154" s="121">
        <v>0</v>
      </c>
      <c r="AF154" s="121">
        <v>0</v>
      </c>
      <c r="AG154" s="121">
        <v>0</v>
      </c>
      <c r="AH154" s="121">
        <v>0</v>
      </c>
      <c r="AI154" s="121">
        <v>0</v>
      </c>
      <c r="AL154" s="14">
        <f t="shared" si="12"/>
        <v>0</v>
      </c>
      <c r="AM154">
        <f t="shared" si="13"/>
        <v>0</v>
      </c>
      <c r="AN154">
        <f t="shared" si="14"/>
        <v>0</v>
      </c>
      <c r="AP154">
        <f>VLOOKUP($B154,Kraftvärmeprod!$B$1:$BX$549,MATCH(AP$1,Kraftvärmeprod!$B$1:$BX$1,0),FALSE)</f>
        <v>0</v>
      </c>
      <c r="AQ154">
        <f>VLOOKUP($B154,Kraftvärmeprod!$B$1:$BX$549,MATCH(AQ$1,Kraftvärmeprod!$B$1:$BX$1,0),FALSE)</f>
        <v>0</v>
      </c>
      <c r="AR154">
        <f>VLOOKUP($B154,Kraftvärmeprod!$B$1:$BX$549,MATCH("Summa tillförd energi exklusive rökgaskondensering",Kraftvärmeprod!$B$1:$BX$1,0),FALSE)</f>
        <v>0</v>
      </c>
      <c r="AT154" s="17" t="str">
        <f t="shared" si="15"/>
        <v/>
      </c>
      <c r="AV154">
        <f t="shared" si="16"/>
        <v>0</v>
      </c>
      <c r="BA154" s="17" t="str">
        <f t="shared" si="17"/>
        <v/>
      </c>
    </row>
    <row r="155" spans="1:53" x14ac:dyDescent="0.25">
      <c r="A155" s="137" t="s">
        <v>401</v>
      </c>
      <c r="B155" s="137" t="s">
        <v>408</v>
      </c>
      <c r="C155" s="121"/>
      <c r="D155" s="121"/>
      <c r="E155" s="121"/>
      <c r="F155" s="121"/>
      <c r="G155" s="121"/>
      <c r="H155" s="121"/>
      <c r="I155" s="121"/>
      <c r="J155" s="121">
        <v>0</v>
      </c>
      <c r="K155" s="121">
        <v>0</v>
      </c>
      <c r="L155" s="121">
        <v>0</v>
      </c>
      <c r="M155" s="121">
        <v>0</v>
      </c>
      <c r="N155" s="121">
        <v>0</v>
      </c>
      <c r="O155" s="121">
        <v>0</v>
      </c>
      <c r="P155" s="121">
        <v>0</v>
      </c>
      <c r="Q155" s="121">
        <v>0</v>
      </c>
      <c r="R155" s="121">
        <v>0</v>
      </c>
      <c r="S155" s="121">
        <v>0</v>
      </c>
      <c r="T155" s="121">
        <v>0</v>
      </c>
      <c r="U155" s="121">
        <v>0</v>
      </c>
      <c r="V155" s="121" t="s">
        <v>1119</v>
      </c>
      <c r="W155" s="121">
        <v>0</v>
      </c>
      <c r="X155" s="121">
        <v>0</v>
      </c>
      <c r="Y155" s="121">
        <v>0</v>
      </c>
      <c r="Z155" s="121">
        <v>0</v>
      </c>
      <c r="AA155" s="121">
        <v>0</v>
      </c>
      <c r="AB155" s="121">
        <v>0</v>
      </c>
      <c r="AC155" s="121">
        <v>0</v>
      </c>
      <c r="AD155" s="121">
        <v>0</v>
      </c>
      <c r="AE155" s="121">
        <v>0</v>
      </c>
      <c r="AF155" s="121">
        <v>0</v>
      </c>
      <c r="AG155" s="121">
        <v>0</v>
      </c>
      <c r="AH155" s="121">
        <v>0</v>
      </c>
      <c r="AI155" s="121">
        <v>0</v>
      </c>
      <c r="AL155" s="14">
        <f t="shared" si="12"/>
        <v>0</v>
      </c>
      <c r="AM155">
        <f t="shared" si="13"/>
        <v>0</v>
      </c>
      <c r="AN155">
        <f t="shared" si="14"/>
        <v>0</v>
      </c>
      <c r="AP155">
        <f>VLOOKUP($B155,Kraftvärmeprod!$B$1:$BX$549,MATCH(AP$1,Kraftvärmeprod!$B$1:$BX$1,0),FALSE)</f>
        <v>0</v>
      </c>
      <c r="AQ155">
        <f>VLOOKUP($B155,Kraftvärmeprod!$B$1:$BX$549,MATCH(AQ$1,Kraftvärmeprod!$B$1:$BX$1,0),FALSE)</f>
        <v>0</v>
      </c>
      <c r="AR155">
        <f>VLOOKUP($B155,Kraftvärmeprod!$B$1:$BX$549,MATCH("Summa tillförd energi exklusive rökgaskondensering",Kraftvärmeprod!$B$1:$BX$1,0),FALSE)</f>
        <v>0</v>
      </c>
      <c r="AT155" s="17" t="str">
        <f t="shared" si="15"/>
        <v/>
      </c>
      <c r="AV155">
        <f t="shared" si="16"/>
        <v>0</v>
      </c>
      <c r="BA155" s="17" t="str">
        <f t="shared" si="17"/>
        <v/>
      </c>
    </row>
    <row r="156" spans="1:53" x14ac:dyDescent="0.25">
      <c r="A156" s="137" t="s">
        <v>401</v>
      </c>
      <c r="B156" s="137" t="s">
        <v>409</v>
      </c>
      <c r="C156" s="121"/>
      <c r="D156" s="121"/>
      <c r="E156" s="121"/>
      <c r="F156" s="121"/>
      <c r="G156" s="121"/>
      <c r="H156" s="121"/>
      <c r="I156" s="121"/>
      <c r="J156" s="121">
        <v>0</v>
      </c>
      <c r="K156" s="121">
        <v>0</v>
      </c>
      <c r="L156" s="121">
        <v>0</v>
      </c>
      <c r="M156" s="121">
        <v>0</v>
      </c>
      <c r="N156" s="121">
        <v>0</v>
      </c>
      <c r="O156" s="121">
        <v>0</v>
      </c>
      <c r="P156" s="121">
        <v>0</v>
      </c>
      <c r="Q156" s="121">
        <v>0</v>
      </c>
      <c r="R156" s="121">
        <v>0</v>
      </c>
      <c r="S156" s="121">
        <v>0</v>
      </c>
      <c r="T156" s="121">
        <v>0</v>
      </c>
      <c r="U156" s="121">
        <v>0</v>
      </c>
      <c r="V156" s="121" t="s">
        <v>1119</v>
      </c>
      <c r="W156" s="121">
        <v>0</v>
      </c>
      <c r="X156" s="121">
        <v>0</v>
      </c>
      <c r="Y156" s="121">
        <v>0</v>
      </c>
      <c r="Z156" s="121">
        <v>0</v>
      </c>
      <c r="AA156" s="121">
        <v>0</v>
      </c>
      <c r="AB156" s="121">
        <v>0</v>
      </c>
      <c r="AC156" s="121">
        <v>0</v>
      </c>
      <c r="AD156" s="121">
        <v>0</v>
      </c>
      <c r="AE156" s="121">
        <v>0</v>
      </c>
      <c r="AF156" s="121">
        <v>0</v>
      </c>
      <c r="AG156" s="121">
        <v>0</v>
      </c>
      <c r="AH156" s="121">
        <v>0</v>
      </c>
      <c r="AI156" s="121">
        <v>0</v>
      </c>
      <c r="AL156" s="14">
        <f t="shared" si="12"/>
        <v>0</v>
      </c>
      <c r="AM156">
        <f t="shared" si="13"/>
        <v>0</v>
      </c>
      <c r="AN156">
        <f t="shared" si="14"/>
        <v>0</v>
      </c>
      <c r="AP156">
        <f>VLOOKUP($B156,Kraftvärmeprod!$B$1:$BX$549,MATCH(AP$1,Kraftvärmeprod!$B$1:$BX$1,0),FALSE)</f>
        <v>0</v>
      </c>
      <c r="AQ156">
        <f>VLOOKUP($B156,Kraftvärmeprod!$B$1:$BX$549,MATCH(AQ$1,Kraftvärmeprod!$B$1:$BX$1,0),FALSE)</f>
        <v>0</v>
      </c>
      <c r="AR156">
        <f>VLOOKUP($B156,Kraftvärmeprod!$B$1:$BX$549,MATCH("Summa tillförd energi exklusive rökgaskondensering",Kraftvärmeprod!$B$1:$BX$1,0),FALSE)</f>
        <v>0</v>
      </c>
      <c r="AT156" s="17" t="str">
        <f t="shared" si="15"/>
        <v/>
      </c>
      <c r="AV156">
        <f t="shared" si="16"/>
        <v>0</v>
      </c>
      <c r="BA156" s="17" t="str">
        <f t="shared" si="17"/>
        <v/>
      </c>
    </row>
    <row r="157" spans="1:53" x14ac:dyDescent="0.25">
      <c r="A157" s="137" t="s">
        <v>401</v>
      </c>
      <c r="B157" s="137" t="s">
        <v>410</v>
      </c>
      <c r="C157" s="121"/>
      <c r="D157" s="121"/>
      <c r="E157" s="121"/>
      <c r="F157" s="121"/>
      <c r="G157" s="121"/>
      <c r="H157" s="121"/>
      <c r="I157" s="121"/>
      <c r="J157" s="121">
        <v>0</v>
      </c>
      <c r="K157" s="121">
        <v>0</v>
      </c>
      <c r="L157" s="121">
        <v>0</v>
      </c>
      <c r="M157" s="121">
        <v>0</v>
      </c>
      <c r="N157" s="121">
        <v>0</v>
      </c>
      <c r="O157" s="121">
        <v>0</v>
      </c>
      <c r="P157" s="121">
        <v>0</v>
      </c>
      <c r="Q157" s="121">
        <v>0</v>
      </c>
      <c r="R157" s="121">
        <v>0</v>
      </c>
      <c r="S157" s="121">
        <v>0</v>
      </c>
      <c r="T157" s="121">
        <v>0</v>
      </c>
      <c r="U157" s="121">
        <v>0</v>
      </c>
      <c r="V157" s="121" t="s">
        <v>1119</v>
      </c>
      <c r="W157" s="121">
        <v>0</v>
      </c>
      <c r="X157" s="121">
        <v>0</v>
      </c>
      <c r="Y157" s="121">
        <v>0</v>
      </c>
      <c r="Z157" s="121">
        <v>0</v>
      </c>
      <c r="AA157" s="121">
        <v>0</v>
      </c>
      <c r="AB157" s="121">
        <v>0</v>
      </c>
      <c r="AC157" s="121">
        <v>0</v>
      </c>
      <c r="AD157" s="121">
        <v>0</v>
      </c>
      <c r="AE157" s="121">
        <v>0</v>
      </c>
      <c r="AF157" s="121">
        <v>0</v>
      </c>
      <c r="AG157" s="121">
        <v>0</v>
      </c>
      <c r="AH157" s="121">
        <v>0</v>
      </c>
      <c r="AI157" s="121">
        <v>0</v>
      </c>
      <c r="AL157" s="14">
        <f t="shared" si="12"/>
        <v>0</v>
      </c>
      <c r="AM157">
        <f t="shared" si="13"/>
        <v>0</v>
      </c>
      <c r="AN157">
        <f t="shared" si="14"/>
        <v>0</v>
      </c>
      <c r="AP157">
        <f>VLOOKUP($B157,Kraftvärmeprod!$B$1:$BX$549,MATCH(AP$1,Kraftvärmeprod!$B$1:$BX$1,0),FALSE)</f>
        <v>0</v>
      </c>
      <c r="AQ157">
        <f>VLOOKUP($B157,Kraftvärmeprod!$B$1:$BX$549,MATCH(AQ$1,Kraftvärmeprod!$B$1:$BX$1,0),FALSE)</f>
        <v>0</v>
      </c>
      <c r="AR157">
        <f>VLOOKUP($B157,Kraftvärmeprod!$B$1:$BX$549,MATCH("Summa tillförd energi exklusive rökgaskondensering",Kraftvärmeprod!$B$1:$BX$1,0),FALSE)</f>
        <v>0</v>
      </c>
      <c r="AT157" s="17" t="str">
        <f t="shared" si="15"/>
        <v/>
      </c>
      <c r="AV157">
        <f t="shared" si="16"/>
        <v>0</v>
      </c>
      <c r="BA157" s="17" t="str">
        <f t="shared" si="17"/>
        <v/>
      </c>
    </row>
    <row r="158" spans="1:53" x14ac:dyDescent="0.25">
      <c r="A158" s="137" t="s">
        <v>411</v>
      </c>
      <c r="B158" s="137" t="s">
        <v>412</v>
      </c>
      <c r="C158" s="121"/>
      <c r="D158" s="121"/>
      <c r="E158" s="121"/>
      <c r="F158" s="121"/>
      <c r="G158" s="121"/>
      <c r="H158" s="121"/>
      <c r="I158" s="121"/>
      <c r="J158" s="121">
        <v>0</v>
      </c>
      <c r="K158" s="121">
        <v>0</v>
      </c>
      <c r="L158" s="121">
        <v>0</v>
      </c>
      <c r="M158" s="121">
        <v>0</v>
      </c>
      <c r="N158" s="121">
        <v>0</v>
      </c>
      <c r="O158" s="121">
        <v>0</v>
      </c>
      <c r="P158" s="121">
        <v>0</v>
      </c>
      <c r="Q158" s="121">
        <v>0</v>
      </c>
      <c r="R158" s="121">
        <v>0</v>
      </c>
      <c r="S158" s="121">
        <v>0</v>
      </c>
      <c r="T158" s="121">
        <v>0</v>
      </c>
      <c r="U158" s="121">
        <v>0</v>
      </c>
      <c r="V158" s="121" t="s">
        <v>1119</v>
      </c>
      <c r="W158" s="121">
        <v>0</v>
      </c>
      <c r="X158" s="121">
        <v>0</v>
      </c>
      <c r="Y158" s="121">
        <v>0</v>
      </c>
      <c r="Z158" s="121">
        <v>0</v>
      </c>
      <c r="AA158" s="121">
        <v>0</v>
      </c>
      <c r="AB158" s="121">
        <v>0</v>
      </c>
      <c r="AC158" s="121">
        <v>0</v>
      </c>
      <c r="AD158" s="121">
        <v>0</v>
      </c>
      <c r="AE158" s="121">
        <v>0</v>
      </c>
      <c r="AF158" s="121">
        <v>0</v>
      </c>
      <c r="AG158" s="121">
        <v>0</v>
      </c>
      <c r="AH158" s="121">
        <v>0</v>
      </c>
      <c r="AI158" s="121">
        <v>0</v>
      </c>
      <c r="AL158" s="14">
        <f t="shared" si="12"/>
        <v>0</v>
      </c>
      <c r="AM158">
        <f t="shared" si="13"/>
        <v>0</v>
      </c>
      <c r="AN158">
        <f t="shared" si="14"/>
        <v>0</v>
      </c>
      <c r="AP158">
        <f>VLOOKUP($B158,Kraftvärmeprod!$B$1:$BX$549,MATCH(AP$1,Kraftvärmeprod!$B$1:$BX$1,0),FALSE)</f>
        <v>0</v>
      </c>
      <c r="AQ158">
        <f>VLOOKUP($B158,Kraftvärmeprod!$B$1:$BX$549,MATCH(AQ$1,Kraftvärmeprod!$B$1:$BX$1,0),FALSE)</f>
        <v>0</v>
      </c>
      <c r="AR158">
        <f>VLOOKUP($B158,Kraftvärmeprod!$B$1:$BX$549,MATCH("Summa tillförd energi exklusive rökgaskondensering",Kraftvärmeprod!$B$1:$BX$1,0),FALSE)</f>
        <v>0</v>
      </c>
      <c r="AT158" s="17" t="str">
        <f t="shared" si="15"/>
        <v/>
      </c>
      <c r="AV158">
        <f t="shared" si="16"/>
        <v>0</v>
      </c>
      <c r="BA158" s="17" t="str">
        <f t="shared" si="17"/>
        <v/>
      </c>
    </row>
    <row r="159" spans="1:53" x14ac:dyDescent="0.25">
      <c r="A159" s="137" t="s">
        <v>413</v>
      </c>
      <c r="B159" s="137" t="s">
        <v>93</v>
      </c>
      <c r="C159" s="121"/>
      <c r="D159" s="121"/>
      <c r="E159" s="121"/>
      <c r="F159" s="121"/>
      <c r="G159" s="121"/>
      <c r="H159" s="121"/>
      <c r="I159" s="121"/>
      <c r="J159" s="121">
        <v>0</v>
      </c>
      <c r="K159" s="121">
        <v>0</v>
      </c>
      <c r="L159" s="121">
        <v>0</v>
      </c>
      <c r="M159" s="121">
        <v>0</v>
      </c>
      <c r="N159" s="121">
        <v>0</v>
      </c>
      <c r="O159" s="121">
        <v>0</v>
      </c>
      <c r="P159" s="121">
        <v>0</v>
      </c>
      <c r="Q159" s="121">
        <v>0</v>
      </c>
      <c r="R159" s="121">
        <v>0</v>
      </c>
      <c r="S159" s="121">
        <v>0</v>
      </c>
      <c r="T159" s="121">
        <v>0</v>
      </c>
      <c r="U159" s="121">
        <v>0</v>
      </c>
      <c r="V159" s="121" t="s">
        <v>1119</v>
      </c>
      <c r="W159" s="121">
        <v>0</v>
      </c>
      <c r="X159" s="121">
        <v>0</v>
      </c>
      <c r="Y159" s="121">
        <v>0</v>
      </c>
      <c r="Z159" s="121">
        <v>0</v>
      </c>
      <c r="AA159" s="121">
        <v>0</v>
      </c>
      <c r="AB159" s="121">
        <v>0</v>
      </c>
      <c r="AC159" s="121">
        <v>0</v>
      </c>
      <c r="AD159" s="121">
        <v>0</v>
      </c>
      <c r="AE159" s="121">
        <v>0</v>
      </c>
      <c r="AF159" s="121">
        <v>0</v>
      </c>
      <c r="AG159" s="121">
        <v>0</v>
      </c>
      <c r="AH159" s="121">
        <v>0</v>
      </c>
      <c r="AI159" s="121">
        <v>0</v>
      </c>
      <c r="AL159" s="14">
        <f t="shared" si="12"/>
        <v>0</v>
      </c>
      <c r="AM159">
        <f t="shared" si="13"/>
        <v>0</v>
      </c>
      <c r="AN159">
        <f t="shared" si="14"/>
        <v>0</v>
      </c>
      <c r="AP159">
        <f>VLOOKUP($B159,Kraftvärmeprod!$B$1:$BX$549,MATCH(AP$1,Kraftvärmeprod!$B$1:$BX$1,0),FALSE)</f>
        <v>0</v>
      </c>
      <c r="AQ159">
        <f>VLOOKUP($B159,Kraftvärmeprod!$B$1:$BX$549,MATCH(AQ$1,Kraftvärmeprod!$B$1:$BX$1,0),FALSE)</f>
        <v>0</v>
      </c>
      <c r="AR159">
        <f>VLOOKUP($B159,Kraftvärmeprod!$B$1:$BX$549,MATCH("Summa tillförd energi exklusive rökgaskondensering",Kraftvärmeprod!$B$1:$BX$1,0),FALSE)</f>
        <v>0</v>
      </c>
      <c r="AT159" s="17" t="str">
        <f t="shared" si="15"/>
        <v/>
      </c>
      <c r="AV159">
        <f t="shared" si="16"/>
        <v>0</v>
      </c>
      <c r="BA159" s="17" t="str">
        <f t="shared" si="17"/>
        <v/>
      </c>
    </row>
    <row r="160" spans="1:53" x14ac:dyDescent="0.25">
      <c r="A160" s="137" t="s">
        <v>414</v>
      </c>
      <c r="B160" s="137" t="s">
        <v>415</v>
      </c>
      <c r="C160" s="121"/>
      <c r="D160" s="121"/>
      <c r="E160" s="121"/>
      <c r="F160" s="121"/>
      <c r="G160" s="121"/>
      <c r="H160" s="121"/>
      <c r="I160" s="121"/>
      <c r="J160" s="121">
        <v>0</v>
      </c>
      <c r="K160" s="121">
        <v>0</v>
      </c>
      <c r="L160" s="121">
        <v>0</v>
      </c>
      <c r="M160" s="121">
        <v>0</v>
      </c>
      <c r="N160" s="121">
        <v>0</v>
      </c>
      <c r="O160" s="121">
        <v>0</v>
      </c>
      <c r="P160" s="121">
        <v>0</v>
      </c>
      <c r="Q160" s="121">
        <v>0</v>
      </c>
      <c r="R160" s="121">
        <v>0</v>
      </c>
      <c r="S160" s="121">
        <v>0</v>
      </c>
      <c r="T160" s="121">
        <v>0</v>
      </c>
      <c r="U160" s="121">
        <v>0</v>
      </c>
      <c r="V160" s="121" t="s">
        <v>1119</v>
      </c>
      <c r="W160" s="121">
        <v>0</v>
      </c>
      <c r="X160" s="121">
        <v>0</v>
      </c>
      <c r="Y160" s="121">
        <v>0</v>
      </c>
      <c r="Z160" s="121">
        <v>0</v>
      </c>
      <c r="AA160" s="121">
        <v>0</v>
      </c>
      <c r="AB160" s="121">
        <v>0</v>
      </c>
      <c r="AC160" s="121">
        <v>0</v>
      </c>
      <c r="AD160" s="121">
        <v>0</v>
      </c>
      <c r="AE160" s="121">
        <v>0</v>
      </c>
      <c r="AF160" s="121">
        <v>0</v>
      </c>
      <c r="AG160" s="121">
        <v>0</v>
      </c>
      <c r="AH160" s="121">
        <v>0</v>
      </c>
      <c r="AI160" s="121">
        <v>0</v>
      </c>
      <c r="AL160" s="14">
        <f t="shared" si="12"/>
        <v>0</v>
      </c>
      <c r="AM160">
        <f t="shared" si="13"/>
        <v>0</v>
      </c>
      <c r="AN160">
        <f t="shared" si="14"/>
        <v>0</v>
      </c>
      <c r="AP160">
        <f>VLOOKUP($B160,Kraftvärmeprod!$B$1:$BX$549,MATCH(AP$1,Kraftvärmeprod!$B$1:$BX$1,0),FALSE)</f>
        <v>0</v>
      </c>
      <c r="AQ160">
        <f>VLOOKUP($B160,Kraftvärmeprod!$B$1:$BX$549,MATCH(AQ$1,Kraftvärmeprod!$B$1:$BX$1,0),FALSE)</f>
        <v>0</v>
      </c>
      <c r="AR160">
        <f>VLOOKUP($B160,Kraftvärmeprod!$B$1:$BX$549,MATCH("Summa tillförd energi exklusive rökgaskondensering",Kraftvärmeprod!$B$1:$BX$1,0),FALSE)</f>
        <v>0</v>
      </c>
      <c r="AT160" s="17" t="str">
        <f t="shared" si="15"/>
        <v/>
      </c>
      <c r="AV160">
        <f t="shared" si="16"/>
        <v>0</v>
      </c>
      <c r="BA160" s="17" t="str">
        <f t="shared" si="17"/>
        <v/>
      </c>
    </row>
    <row r="161" spans="1:53" x14ac:dyDescent="0.25">
      <c r="A161" s="137" t="s">
        <v>414</v>
      </c>
      <c r="B161" s="137" t="s">
        <v>416</v>
      </c>
      <c r="C161" s="121"/>
      <c r="D161" s="121"/>
      <c r="E161" s="121"/>
      <c r="F161" s="121"/>
      <c r="G161" s="121"/>
      <c r="H161" s="121"/>
      <c r="I161" s="121"/>
      <c r="J161" s="121">
        <v>0</v>
      </c>
      <c r="K161" s="121">
        <v>0</v>
      </c>
      <c r="L161" s="121">
        <v>0</v>
      </c>
      <c r="M161" s="121">
        <v>0</v>
      </c>
      <c r="N161" s="121">
        <v>0</v>
      </c>
      <c r="O161" s="121">
        <v>0</v>
      </c>
      <c r="P161" s="121">
        <v>0</v>
      </c>
      <c r="Q161" s="121">
        <v>0</v>
      </c>
      <c r="R161" s="121">
        <v>0</v>
      </c>
      <c r="S161" s="121">
        <v>0</v>
      </c>
      <c r="T161" s="121">
        <v>0</v>
      </c>
      <c r="U161" s="121">
        <v>0</v>
      </c>
      <c r="V161" s="121" t="s">
        <v>1119</v>
      </c>
      <c r="W161" s="121">
        <v>0</v>
      </c>
      <c r="X161" s="121">
        <v>0</v>
      </c>
      <c r="Y161" s="121">
        <v>0</v>
      </c>
      <c r="Z161" s="121">
        <v>0</v>
      </c>
      <c r="AA161" s="121">
        <v>0</v>
      </c>
      <c r="AB161" s="121">
        <v>0</v>
      </c>
      <c r="AC161" s="121">
        <v>0</v>
      </c>
      <c r="AD161" s="121">
        <v>0</v>
      </c>
      <c r="AE161" s="121">
        <v>0</v>
      </c>
      <c r="AF161" s="121">
        <v>0</v>
      </c>
      <c r="AG161" s="121">
        <v>0</v>
      </c>
      <c r="AH161" s="121">
        <v>0</v>
      </c>
      <c r="AI161" s="121">
        <v>0</v>
      </c>
      <c r="AL161" s="14">
        <f t="shared" si="12"/>
        <v>0</v>
      </c>
      <c r="AM161">
        <f t="shared" si="13"/>
        <v>0</v>
      </c>
      <c r="AN161">
        <f t="shared" si="14"/>
        <v>0</v>
      </c>
      <c r="AP161">
        <f>VLOOKUP($B161,Kraftvärmeprod!$B$1:$BX$549,MATCH(AP$1,Kraftvärmeprod!$B$1:$BX$1,0),FALSE)</f>
        <v>0</v>
      </c>
      <c r="AQ161">
        <f>VLOOKUP($B161,Kraftvärmeprod!$B$1:$BX$549,MATCH(AQ$1,Kraftvärmeprod!$B$1:$BX$1,0),FALSE)</f>
        <v>0</v>
      </c>
      <c r="AR161">
        <f>VLOOKUP($B161,Kraftvärmeprod!$B$1:$BX$549,MATCH("Summa tillförd energi exklusive rökgaskondensering",Kraftvärmeprod!$B$1:$BX$1,0),FALSE)</f>
        <v>0</v>
      </c>
      <c r="AT161" s="17" t="str">
        <f t="shared" si="15"/>
        <v/>
      </c>
      <c r="AV161">
        <f t="shared" si="16"/>
        <v>0</v>
      </c>
      <c r="BA161" s="17" t="str">
        <f t="shared" si="17"/>
        <v/>
      </c>
    </row>
    <row r="162" spans="1:53" x14ac:dyDescent="0.25">
      <c r="A162" s="137" t="s">
        <v>414</v>
      </c>
      <c r="B162" s="137" t="s">
        <v>417</v>
      </c>
      <c r="C162" s="121"/>
      <c r="D162" s="121"/>
      <c r="E162" s="121"/>
      <c r="F162" s="121"/>
      <c r="G162" s="121"/>
      <c r="H162" s="121"/>
      <c r="I162" s="121"/>
      <c r="J162" s="121">
        <v>0</v>
      </c>
      <c r="K162" s="121">
        <v>0</v>
      </c>
      <c r="L162" s="121">
        <v>0</v>
      </c>
      <c r="M162" s="121">
        <v>0</v>
      </c>
      <c r="N162" s="121">
        <v>0</v>
      </c>
      <c r="O162" s="121">
        <v>0</v>
      </c>
      <c r="P162" s="121">
        <v>0</v>
      </c>
      <c r="Q162" s="121">
        <v>0</v>
      </c>
      <c r="R162" s="121">
        <v>0</v>
      </c>
      <c r="S162" s="121">
        <v>0</v>
      </c>
      <c r="T162" s="121">
        <v>0</v>
      </c>
      <c r="U162" s="121">
        <v>0</v>
      </c>
      <c r="V162" s="121" t="s">
        <v>1119</v>
      </c>
      <c r="W162" s="121">
        <v>0</v>
      </c>
      <c r="X162" s="121">
        <v>0</v>
      </c>
      <c r="Y162" s="121">
        <v>0</v>
      </c>
      <c r="Z162" s="121">
        <v>0</v>
      </c>
      <c r="AA162" s="121">
        <v>0</v>
      </c>
      <c r="AB162" s="121">
        <v>0</v>
      </c>
      <c r="AC162" s="121">
        <v>0</v>
      </c>
      <c r="AD162" s="121">
        <v>0</v>
      </c>
      <c r="AE162" s="121">
        <v>0</v>
      </c>
      <c r="AF162" s="121">
        <v>0</v>
      </c>
      <c r="AG162" s="121">
        <v>0</v>
      </c>
      <c r="AH162" s="121">
        <v>0</v>
      </c>
      <c r="AI162" s="121">
        <v>0</v>
      </c>
      <c r="AL162" s="14">
        <f t="shared" si="12"/>
        <v>0</v>
      </c>
      <c r="AM162">
        <f t="shared" si="13"/>
        <v>0</v>
      </c>
      <c r="AN162">
        <f t="shared" si="14"/>
        <v>0</v>
      </c>
      <c r="AP162">
        <f>VLOOKUP($B162,Kraftvärmeprod!$B$1:$BX$549,MATCH(AP$1,Kraftvärmeprod!$B$1:$BX$1,0),FALSE)</f>
        <v>0</v>
      </c>
      <c r="AQ162">
        <f>VLOOKUP($B162,Kraftvärmeprod!$B$1:$BX$549,MATCH(AQ$1,Kraftvärmeprod!$B$1:$BX$1,0),FALSE)</f>
        <v>0</v>
      </c>
      <c r="AR162">
        <f>VLOOKUP($B162,Kraftvärmeprod!$B$1:$BX$549,MATCH("Summa tillförd energi exklusive rökgaskondensering",Kraftvärmeprod!$B$1:$BX$1,0),FALSE)</f>
        <v>0</v>
      </c>
      <c r="AT162" s="17" t="str">
        <f t="shared" si="15"/>
        <v/>
      </c>
      <c r="AV162">
        <f t="shared" si="16"/>
        <v>0</v>
      </c>
      <c r="BA162" s="17" t="str">
        <f t="shared" si="17"/>
        <v/>
      </c>
    </row>
    <row r="163" spans="1:53" x14ac:dyDescent="0.25">
      <c r="A163" s="137" t="s">
        <v>414</v>
      </c>
      <c r="B163" s="137" t="s">
        <v>418</v>
      </c>
      <c r="C163" s="121"/>
      <c r="D163" s="121"/>
      <c r="E163" s="121"/>
      <c r="F163" s="121"/>
      <c r="G163" s="121"/>
      <c r="H163" s="121"/>
      <c r="I163" s="121"/>
      <c r="J163" s="121">
        <v>0</v>
      </c>
      <c r="K163" s="121">
        <v>0</v>
      </c>
      <c r="L163" s="121">
        <v>0</v>
      </c>
      <c r="M163" s="121">
        <v>0</v>
      </c>
      <c r="N163" s="121">
        <v>0</v>
      </c>
      <c r="O163" s="121">
        <v>0</v>
      </c>
      <c r="P163" s="121">
        <v>0</v>
      </c>
      <c r="Q163" s="121">
        <v>0</v>
      </c>
      <c r="R163" s="121">
        <v>0</v>
      </c>
      <c r="S163" s="121">
        <v>0</v>
      </c>
      <c r="T163" s="121">
        <v>0</v>
      </c>
      <c r="U163" s="121">
        <v>0</v>
      </c>
      <c r="V163" s="121" t="s">
        <v>1119</v>
      </c>
      <c r="W163" s="121">
        <v>0</v>
      </c>
      <c r="X163" s="121">
        <v>0</v>
      </c>
      <c r="Y163" s="121">
        <v>0</v>
      </c>
      <c r="Z163" s="121">
        <v>0</v>
      </c>
      <c r="AA163" s="121">
        <v>0</v>
      </c>
      <c r="AB163" s="121">
        <v>0</v>
      </c>
      <c r="AC163" s="121">
        <v>0</v>
      </c>
      <c r="AD163" s="121">
        <v>0</v>
      </c>
      <c r="AE163" s="121">
        <v>0</v>
      </c>
      <c r="AF163" s="121">
        <v>0</v>
      </c>
      <c r="AG163" s="121">
        <v>0</v>
      </c>
      <c r="AH163" s="121">
        <v>0</v>
      </c>
      <c r="AI163" s="121">
        <v>0</v>
      </c>
      <c r="AL163" s="14">
        <f t="shared" si="12"/>
        <v>0</v>
      </c>
      <c r="AM163">
        <f t="shared" si="13"/>
        <v>0</v>
      </c>
      <c r="AN163">
        <f t="shared" si="14"/>
        <v>0</v>
      </c>
      <c r="AP163">
        <f>VLOOKUP($B163,Kraftvärmeprod!$B$1:$BX$549,MATCH(AP$1,Kraftvärmeprod!$B$1:$BX$1,0),FALSE)</f>
        <v>0</v>
      </c>
      <c r="AQ163">
        <f>VLOOKUP($B163,Kraftvärmeprod!$B$1:$BX$549,MATCH(AQ$1,Kraftvärmeprod!$B$1:$BX$1,0),FALSE)</f>
        <v>0</v>
      </c>
      <c r="AR163">
        <f>VLOOKUP($B163,Kraftvärmeprod!$B$1:$BX$549,MATCH("Summa tillförd energi exklusive rökgaskondensering",Kraftvärmeprod!$B$1:$BX$1,0),FALSE)</f>
        <v>0</v>
      </c>
      <c r="AT163" s="17" t="str">
        <f t="shared" si="15"/>
        <v/>
      </c>
      <c r="AV163">
        <f t="shared" si="16"/>
        <v>0</v>
      </c>
      <c r="BA163" s="17" t="str">
        <f t="shared" si="17"/>
        <v/>
      </c>
    </row>
    <row r="164" spans="1:53" x14ac:dyDescent="0.25">
      <c r="A164" s="137" t="s">
        <v>419</v>
      </c>
      <c r="B164" s="137" t="s">
        <v>420</v>
      </c>
      <c r="C164" s="121"/>
      <c r="D164" s="121"/>
      <c r="E164" s="121"/>
      <c r="F164" s="121"/>
      <c r="G164" s="121"/>
      <c r="H164" s="121"/>
      <c r="I164" s="121"/>
      <c r="J164" s="121">
        <v>0</v>
      </c>
      <c r="K164" s="121">
        <v>0</v>
      </c>
      <c r="L164" s="121">
        <v>0</v>
      </c>
      <c r="M164" s="121">
        <v>0</v>
      </c>
      <c r="N164" s="121">
        <v>0</v>
      </c>
      <c r="O164" s="121">
        <v>0</v>
      </c>
      <c r="P164" s="121">
        <v>0</v>
      </c>
      <c r="Q164" s="121">
        <v>0</v>
      </c>
      <c r="R164" s="121">
        <v>0</v>
      </c>
      <c r="S164" s="121">
        <v>0</v>
      </c>
      <c r="T164" s="121">
        <v>0</v>
      </c>
      <c r="U164" s="121">
        <v>0</v>
      </c>
      <c r="V164" s="121" t="s">
        <v>1119</v>
      </c>
      <c r="W164" s="121">
        <v>0</v>
      </c>
      <c r="X164" s="121">
        <v>0</v>
      </c>
      <c r="Y164" s="121">
        <v>0</v>
      </c>
      <c r="Z164" s="121">
        <v>0</v>
      </c>
      <c r="AA164" s="121">
        <v>0</v>
      </c>
      <c r="AB164" s="121">
        <v>0</v>
      </c>
      <c r="AC164" s="121">
        <v>0</v>
      </c>
      <c r="AD164" s="121">
        <v>0</v>
      </c>
      <c r="AE164" s="121">
        <v>0</v>
      </c>
      <c r="AF164" s="121">
        <v>0</v>
      </c>
      <c r="AG164" s="121">
        <v>0</v>
      </c>
      <c r="AH164" s="121">
        <v>0</v>
      </c>
      <c r="AI164" s="121">
        <v>0</v>
      </c>
      <c r="AL164" s="14">
        <f t="shared" si="12"/>
        <v>0</v>
      </c>
      <c r="AM164">
        <f t="shared" si="13"/>
        <v>0</v>
      </c>
      <c r="AN164">
        <f t="shared" si="14"/>
        <v>0</v>
      </c>
      <c r="AP164">
        <f>VLOOKUP($B164,Kraftvärmeprod!$B$1:$BX$549,MATCH(AP$1,Kraftvärmeprod!$B$1:$BX$1,0),FALSE)</f>
        <v>0</v>
      </c>
      <c r="AQ164">
        <f>VLOOKUP($B164,Kraftvärmeprod!$B$1:$BX$549,MATCH(AQ$1,Kraftvärmeprod!$B$1:$BX$1,0),FALSE)</f>
        <v>0</v>
      </c>
      <c r="AR164">
        <f>VLOOKUP($B164,Kraftvärmeprod!$B$1:$BX$549,MATCH("Summa tillförd energi exklusive rökgaskondensering",Kraftvärmeprod!$B$1:$BX$1,0),FALSE)</f>
        <v>0</v>
      </c>
      <c r="AT164" s="17" t="str">
        <f t="shared" si="15"/>
        <v/>
      </c>
      <c r="AV164">
        <f t="shared" si="16"/>
        <v>0</v>
      </c>
      <c r="BA164" s="17" t="str">
        <f t="shared" si="17"/>
        <v/>
      </c>
    </row>
    <row r="165" spans="1:53" x14ac:dyDescent="0.25">
      <c r="A165" s="137" t="s">
        <v>421</v>
      </c>
      <c r="B165" s="137" t="s">
        <v>422</v>
      </c>
      <c r="C165" s="121"/>
      <c r="D165" s="121"/>
      <c r="E165" s="121"/>
      <c r="F165" s="121"/>
      <c r="G165" s="121"/>
      <c r="H165" s="121"/>
      <c r="I165" s="121"/>
      <c r="J165" s="121">
        <v>0</v>
      </c>
      <c r="K165" s="121">
        <v>0</v>
      </c>
      <c r="L165" s="121">
        <v>0</v>
      </c>
      <c r="M165" s="121">
        <v>0</v>
      </c>
      <c r="N165" s="121">
        <v>0</v>
      </c>
      <c r="O165" s="121">
        <v>0</v>
      </c>
      <c r="P165" s="121">
        <v>0</v>
      </c>
      <c r="Q165" s="121">
        <v>0</v>
      </c>
      <c r="R165" s="121">
        <v>0</v>
      </c>
      <c r="S165" s="121">
        <v>0</v>
      </c>
      <c r="T165" s="121">
        <v>0</v>
      </c>
      <c r="U165" s="121">
        <v>0</v>
      </c>
      <c r="V165" s="121" t="s">
        <v>1119</v>
      </c>
      <c r="W165" s="121">
        <v>0</v>
      </c>
      <c r="X165" s="121">
        <v>0</v>
      </c>
      <c r="Y165" s="121">
        <v>0</v>
      </c>
      <c r="Z165" s="121">
        <v>0</v>
      </c>
      <c r="AA165" s="121">
        <v>0</v>
      </c>
      <c r="AB165" s="121">
        <v>0</v>
      </c>
      <c r="AC165" s="121">
        <v>0</v>
      </c>
      <c r="AD165" s="121">
        <v>0</v>
      </c>
      <c r="AE165" s="121">
        <v>55.46</v>
      </c>
      <c r="AF165" s="121">
        <v>0</v>
      </c>
      <c r="AG165" s="121">
        <v>0</v>
      </c>
      <c r="AH165" s="121">
        <v>0</v>
      </c>
      <c r="AI165" s="121">
        <v>11.974</v>
      </c>
      <c r="AL165" s="14">
        <f t="shared" si="12"/>
        <v>67.433999999999997</v>
      </c>
      <c r="AM165">
        <f t="shared" si="13"/>
        <v>55.459999999999994</v>
      </c>
      <c r="AN165">
        <f t="shared" si="14"/>
        <v>55.459999999999994</v>
      </c>
      <c r="AP165">
        <f>VLOOKUP($B165,Kraftvärmeprod!$B$1:$BX$549,MATCH(AP$1,Kraftvärmeprod!$B$1:$BX$1,0),FALSE)</f>
        <v>63.744</v>
      </c>
      <c r="AQ165">
        <f>VLOOKUP($B165,Kraftvärmeprod!$B$1:$BX$549,MATCH(AQ$1,Kraftvärmeprod!$B$1:$BX$1,0),FALSE)</f>
        <v>0</v>
      </c>
      <c r="AR165">
        <f>VLOOKUP($B165,Kraftvärmeprod!$B$1:$BX$549,MATCH("Summa tillförd energi exklusive rökgaskondensering",Kraftvärmeprod!$B$1:$BX$1,0),FALSE)</f>
        <v>55.46</v>
      </c>
      <c r="AT165" s="17">
        <f t="shared" si="15"/>
        <v>0.99999999999999989</v>
      </c>
      <c r="AV165">
        <f t="shared" si="16"/>
        <v>0</v>
      </c>
      <c r="BA165" s="17">
        <f t="shared" si="17"/>
        <v>0.94527982916629594</v>
      </c>
    </row>
    <row r="166" spans="1:53" x14ac:dyDescent="0.25">
      <c r="A166" s="137" t="s">
        <v>421</v>
      </c>
      <c r="B166" s="137" t="s">
        <v>423</v>
      </c>
      <c r="C166" s="121"/>
      <c r="D166" s="121"/>
      <c r="E166" s="121"/>
      <c r="F166" s="121"/>
      <c r="G166" s="121"/>
      <c r="H166" s="121"/>
      <c r="I166" s="121"/>
      <c r="J166" s="121">
        <v>0</v>
      </c>
      <c r="K166" s="121">
        <v>0</v>
      </c>
      <c r="L166" s="121">
        <v>0</v>
      </c>
      <c r="M166" s="121">
        <v>0</v>
      </c>
      <c r="N166" s="121">
        <v>0</v>
      </c>
      <c r="O166" s="121">
        <v>0</v>
      </c>
      <c r="P166" s="121">
        <v>0</v>
      </c>
      <c r="Q166" s="121">
        <v>0</v>
      </c>
      <c r="R166" s="121">
        <v>0</v>
      </c>
      <c r="S166" s="121">
        <v>0</v>
      </c>
      <c r="T166" s="121">
        <v>0</v>
      </c>
      <c r="U166" s="121">
        <v>0</v>
      </c>
      <c r="V166" s="121" t="s">
        <v>1119</v>
      </c>
      <c r="W166" s="121">
        <v>0</v>
      </c>
      <c r="X166" s="121">
        <v>0</v>
      </c>
      <c r="Y166" s="121">
        <v>0</v>
      </c>
      <c r="Z166" s="121">
        <v>0</v>
      </c>
      <c r="AA166" s="121">
        <v>0</v>
      </c>
      <c r="AB166" s="121">
        <v>0</v>
      </c>
      <c r="AC166" s="121">
        <v>0</v>
      </c>
      <c r="AD166" s="121">
        <v>0</v>
      </c>
      <c r="AE166" s="121">
        <v>60.571300000000001</v>
      </c>
      <c r="AF166" s="121">
        <v>0</v>
      </c>
      <c r="AG166" s="121">
        <v>0</v>
      </c>
      <c r="AH166" s="121">
        <v>6.4450000000000003</v>
      </c>
      <c r="AI166" s="121">
        <v>0</v>
      </c>
      <c r="AL166" s="14">
        <f t="shared" si="12"/>
        <v>67.016300000000001</v>
      </c>
      <c r="AM166">
        <f t="shared" si="13"/>
        <v>67.016300000000001</v>
      </c>
      <c r="AN166">
        <f t="shared" si="14"/>
        <v>60.571300000000001</v>
      </c>
      <c r="AP166">
        <f>VLOOKUP($B166,Kraftvärmeprod!$B$1:$BX$549,MATCH(AP$1,Kraftvärmeprod!$B$1:$BX$1,0),FALSE)</f>
        <v>103.191</v>
      </c>
      <c r="AQ166">
        <f>VLOOKUP($B166,Kraftvärmeprod!$B$1:$BX$549,MATCH(AQ$1,Kraftvärmeprod!$B$1:$BX$1,0),FALSE)</f>
        <v>22.69</v>
      </c>
      <c r="AR166">
        <f>VLOOKUP($B166,Kraftvärmeprod!$B$1:$BX$549,MATCH("Summa tillförd energi exklusive rökgaskondensering",Kraftvärmeprod!$B$1:$BX$1,0),FALSE)</f>
        <v>103.191</v>
      </c>
      <c r="AT166" s="17">
        <f t="shared" si="15"/>
        <v>0.58698239187526047</v>
      </c>
      <c r="AV166">
        <f t="shared" si="16"/>
        <v>0</v>
      </c>
      <c r="BA166" s="17">
        <f t="shared" si="17"/>
        <v>1.7036286161928174</v>
      </c>
    </row>
    <row r="167" spans="1:53" x14ac:dyDescent="0.25">
      <c r="A167" s="137" t="s">
        <v>424</v>
      </c>
      <c r="B167" s="137" t="s">
        <v>425</v>
      </c>
      <c r="C167" s="121"/>
      <c r="D167" s="121"/>
      <c r="E167" s="121"/>
      <c r="F167" s="121"/>
      <c r="G167" s="121"/>
      <c r="H167" s="121"/>
      <c r="I167" s="121"/>
      <c r="J167" s="121">
        <v>0</v>
      </c>
      <c r="K167" s="121">
        <v>0</v>
      </c>
      <c r="L167" s="121">
        <v>0</v>
      </c>
      <c r="M167" s="121">
        <v>0</v>
      </c>
      <c r="N167" s="121">
        <v>0</v>
      </c>
      <c r="O167" s="121">
        <v>0</v>
      </c>
      <c r="P167" s="121">
        <v>0</v>
      </c>
      <c r="Q167" s="121">
        <v>0</v>
      </c>
      <c r="R167" s="121">
        <v>0</v>
      </c>
      <c r="S167" s="121">
        <v>0</v>
      </c>
      <c r="T167" s="121">
        <v>0</v>
      </c>
      <c r="U167" s="121">
        <v>0</v>
      </c>
      <c r="V167" s="121" t="s">
        <v>1119</v>
      </c>
      <c r="W167" s="121">
        <v>0</v>
      </c>
      <c r="X167" s="121">
        <v>0</v>
      </c>
      <c r="Y167" s="121">
        <v>0</v>
      </c>
      <c r="Z167" s="121">
        <v>0</v>
      </c>
      <c r="AA167" s="121">
        <v>0</v>
      </c>
      <c r="AB167" s="121">
        <v>0</v>
      </c>
      <c r="AC167" s="121">
        <v>0</v>
      </c>
      <c r="AD167" s="121">
        <v>0</v>
      </c>
      <c r="AE167" s="121">
        <v>0</v>
      </c>
      <c r="AF167" s="121">
        <v>0</v>
      </c>
      <c r="AG167" s="121">
        <v>0</v>
      </c>
      <c r="AH167" s="121">
        <v>0</v>
      </c>
      <c r="AI167" s="121">
        <v>0</v>
      </c>
      <c r="AL167" s="14">
        <f t="shared" si="12"/>
        <v>0</v>
      </c>
      <c r="AM167">
        <f t="shared" si="13"/>
        <v>0</v>
      </c>
      <c r="AN167">
        <f t="shared" si="14"/>
        <v>0</v>
      </c>
      <c r="AP167">
        <f>VLOOKUP($B167,Kraftvärmeprod!$B$1:$BX$549,MATCH(AP$1,Kraftvärmeprod!$B$1:$BX$1,0),FALSE)</f>
        <v>0</v>
      </c>
      <c r="AQ167">
        <f>VLOOKUP($B167,Kraftvärmeprod!$B$1:$BX$549,MATCH(AQ$1,Kraftvärmeprod!$B$1:$BX$1,0),FALSE)</f>
        <v>0</v>
      </c>
      <c r="AR167">
        <f>VLOOKUP($B167,Kraftvärmeprod!$B$1:$BX$549,MATCH("Summa tillförd energi exklusive rökgaskondensering",Kraftvärmeprod!$B$1:$BX$1,0),FALSE)</f>
        <v>0</v>
      </c>
      <c r="AT167" s="17" t="str">
        <f t="shared" si="15"/>
        <v/>
      </c>
      <c r="AV167">
        <f t="shared" si="16"/>
        <v>0</v>
      </c>
      <c r="BA167" s="17" t="str">
        <f t="shared" si="17"/>
        <v/>
      </c>
    </row>
    <row r="168" spans="1:53" x14ac:dyDescent="0.25">
      <c r="A168" s="137" t="s">
        <v>426</v>
      </c>
      <c r="B168" s="137" t="s">
        <v>427</v>
      </c>
      <c r="C168" s="121"/>
      <c r="D168" s="121"/>
      <c r="E168" s="121"/>
      <c r="F168" s="121"/>
      <c r="G168" s="121"/>
      <c r="H168" s="121"/>
      <c r="I168" s="121"/>
      <c r="J168" s="121">
        <v>0</v>
      </c>
      <c r="K168" s="121">
        <v>0</v>
      </c>
      <c r="L168" s="121">
        <v>0</v>
      </c>
      <c r="M168" s="121">
        <v>0</v>
      </c>
      <c r="N168" s="121">
        <v>0</v>
      </c>
      <c r="O168" s="121">
        <v>0</v>
      </c>
      <c r="P168" s="121">
        <v>0</v>
      </c>
      <c r="Q168" s="121">
        <v>0</v>
      </c>
      <c r="R168" s="121">
        <v>0</v>
      </c>
      <c r="S168" s="121">
        <v>0</v>
      </c>
      <c r="T168" s="121">
        <v>0</v>
      </c>
      <c r="U168" s="121">
        <v>0</v>
      </c>
      <c r="V168" s="121" t="s">
        <v>1119</v>
      </c>
      <c r="W168" s="121">
        <v>0</v>
      </c>
      <c r="X168" s="121">
        <v>0</v>
      </c>
      <c r="Y168" s="121">
        <v>0</v>
      </c>
      <c r="Z168" s="121">
        <v>0</v>
      </c>
      <c r="AA168" s="121">
        <v>0</v>
      </c>
      <c r="AB168" s="121">
        <v>0</v>
      </c>
      <c r="AC168" s="121">
        <v>0</v>
      </c>
      <c r="AD168" s="121">
        <v>0</v>
      </c>
      <c r="AE168" s="121">
        <v>0</v>
      </c>
      <c r="AF168" s="121">
        <v>0</v>
      </c>
      <c r="AG168" s="121">
        <v>0</v>
      </c>
      <c r="AH168" s="121">
        <v>0</v>
      </c>
      <c r="AI168" s="121">
        <v>0</v>
      </c>
      <c r="AL168" s="14">
        <f t="shared" si="12"/>
        <v>0</v>
      </c>
      <c r="AM168">
        <f t="shared" si="13"/>
        <v>0</v>
      </c>
      <c r="AN168">
        <f t="shared" si="14"/>
        <v>0</v>
      </c>
      <c r="AP168">
        <f>VLOOKUP($B168,Kraftvärmeprod!$B$1:$BX$549,MATCH(AP$1,Kraftvärmeprod!$B$1:$BX$1,0),FALSE)</f>
        <v>0</v>
      </c>
      <c r="AQ168">
        <f>VLOOKUP($B168,Kraftvärmeprod!$B$1:$BX$549,MATCH(AQ$1,Kraftvärmeprod!$B$1:$BX$1,0),FALSE)</f>
        <v>0</v>
      </c>
      <c r="AR168">
        <f>VLOOKUP($B168,Kraftvärmeprod!$B$1:$BX$549,MATCH("Summa tillförd energi exklusive rökgaskondensering",Kraftvärmeprod!$B$1:$BX$1,0),FALSE)</f>
        <v>0</v>
      </c>
      <c r="AT168" s="17" t="str">
        <f t="shared" si="15"/>
        <v/>
      </c>
      <c r="AV168">
        <f t="shared" si="16"/>
        <v>0</v>
      </c>
      <c r="BA168" s="17" t="str">
        <f t="shared" si="17"/>
        <v/>
      </c>
    </row>
    <row r="169" spans="1:53" x14ac:dyDescent="0.25">
      <c r="A169" s="137" t="s">
        <v>426</v>
      </c>
      <c r="B169" s="137" t="s">
        <v>428</v>
      </c>
      <c r="C169" s="121"/>
      <c r="D169" s="121"/>
      <c r="E169" s="121"/>
      <c r="F169" s="121"/>
      <c r="G169" s="121"/>
      <c r="H169" s="121"/>
      <c r="I169" s="121"/>
      <c r="J169" s="121">
        <v>0</v>
      </c>
      <c r="K169" s="121">
        <v>0</v>
      </c>
      <c r="L169" s="121">
        <v>0</v>
      </c>
      <c r="M169" s="121">
        <v>0</v>
      </c>
      <c r="N169" s="121">
        <v>0</v>
      </c>
      <c r="O169" s="121">
        <v>0</v>
      </c>
      <c r="P169" s="121">
        <v>0</v>
      </c>
      <c r="Q169" s="121">
        <v>0</v>
      </c>
      <c r="R169" s="121">
        <v>0</v>
      </c>
      <c r="S169" s="121">
        <v>0</v>
      </c>
      <c r="T169" s="121">
        <v>0</v>
      </c>
      <c r="U169" s="121">
        <v>0</v>
      </c>
      <c r="V169" s="121" t="s">
        <v>1119</v>
      </c>
      <c r="W169" s="121">
        <v>0</v>
      </c>
      <c r="X169" s="121">
        <v>0</v>
      </c>
      <c r="Y169" s="121">
        <v>0</v>
      </c>
      <c r="Z169" s="121">
        <v>0</v>
      </c>
      <c r="AA169" s="121">
        <v>0</v>
      </c>
      <c r="AB169" s="121">
        <v>0</v>
      </c>
      <c r="AC169" s="121">
        <v>0</v>
      </c>
      <c r="AD169" s="121">
        <v>0</v>
      </c>
      <c r="AE169" s="121">
        <v>0</v>
      </c>
      <c r="AF169" s="121">
        <v>0</v>
      </c>
      <c r="AG169" s="121">
        <v>0</v>
      </c>
      <c r="AH169" s="121">
        <v>0</v>
      </c>
      <c r="AI169" s="121">
        <v>0</v>
      </c>
      <c r="AL169" s="14">
        <f t="shared" si="12"/>
        <v>0</v>
      </c>
      <c r="AM169">
        <f t="shared" si="13"/>
        <v>0</v>
      </c>
      <c r="AN169">
        <f t="shared" si="14"/>
        <v>0</v>
      </c>
      <c r="AP169">
        <f>VLOOKUP($B169,Kraftvärmeprod!$B$1:$BX$549,MATCH(AP$1,Kraftvärmeprod!$B$1:$BX$1,0),FALSE)</f>
        <v>0</v>
      </c>
      <c r="AQ169">
        <f>VLOOKUP($B169,Kraftvärmeprod!$B$1:$BX$549,MATCH(AQ$1,Kraftvärmeprod!$B$1:$BX$1,0),FALSE)</f>
        <v>0</v>
      </c>
      <c r="AR169">
        <f>VLOOKUP($B169,Kraftvärmeprod!$B$1:$BX$549,MATCH("Summa tillförd energi exklusive rökgaskondensering",Kraftvärmeprod!$B$1:$BX$1,0),FALSE)</f>
        <v>0</v>
      </c>
      <c r="AT169" s="17" t="str">
        <f t="shared" si="15"/>
        <v/>
      </c>
      <c r="AV169">
        <f t="shared" si="16"/>
        <v>0</v>
      </c>
      <c r="BA169" s="17" t="str">
        <f t="shared" si="17"/>
        <v/>
      </c>
    </row>
    <row r="170" spans="1:53" x14ac:dyDescent="0.25">
      <c r="A170" s="137" t="s">
        <v>426</v>
      </c>
      <c r="B170" s="137" t="s">
        <v>429</v>
      </c>
      <c r="C170" s="121"/>
      <c r="D170" s="121"/>
      <c r="E170" s="121"/>
      <c r="F170" s="121"/>
      <c r="G170" s="121"/>
      <c r="H170" s="121"/>
      <c r="I170" s="121"/>
      <c r="J170" s="121">
        <v>0</v>
      </c>
      <c r="K170" s="121">
        <v>0</v>
      </c>
      <c r="L170" s="121">
        <v>0</v>
      </c>
      <c r="M170" s="121">
        <v>0</v>
      </c>
      <c r="N170" s="121">
        <v>0</v>
      </c>
      <c r="O170" s="121">
        <v>0</v>
      </c>
      <c r="P170" s="121">
        <v>0</v>
      </c>
      <c r="Q170" s="121">
        <v>0</v>
      </c>
      <c r="R170" s="121">
        <v>0</v>
      </c>
      <c r="S170" s="121">
        <v>0</v>
      </c>
      <c r="T170" s="121">
        <v>0</v>
      </c>
      <c r="U170" s="121">
        <v>0</v>
      </c>
      <c r="V170" s="121" t="s">
        <v>1119</v>
      </c>
      <c r="W170" s="121">
        <v>0</v>
      </c>
      <c r="X170" s="121">
        <v>0</v>
      </c>
      <c r="Y170" s="121">
        <v>0</v>
      </c>
      <c r="Z170" s="121">
        <v>0</v>
      </c>
      <c r="AA170" s="121">
        <v>0</v>
      </c>
      <c r="AB170" s="121">
        <v>0</v>
      </c>
      <c r="AC170" s="121">
        <v>0</v>
      </c>
      <c r="AD170" s="121">
        <v>0</v>
      </c>
      <c r="AE170" s="121">
        <v>0</v>
      </c>
      <c r="AF170" s="121">
        <v>0</v>
      </c>
      <c r="AG170" s="121">
        <v>0</v>
      </c>
      <c r="AH170" s="121">
        <v>0</v>
      </c>
      <c r="AI170" s="121">
        <v>0</v>
      </c>
      <c r="AL170" s="14">
        <f t="shared" si="12"/>
        <v>0</v>
      </c>
      <c r="AM170">
        <f t="shared" si="13"/>
        <v>0</v>
      </c>
      <c r="AN170">
        <f t="shared" si="14"/>
        <v>0</v>
      </c>
      <c r="AP170">
        <f>VLOOKUP($B170,Kraftvärmeprod!$B$1:$BX$549,MATCH(AP$1,Kraftvärmeprod!$B$1:$BX$1,0),FALSE)</f>
        <v>0</v>
      </c>
      <c r="AQ170">
        <f>VLOOKUP($B170,Kraftvärmeprod!$B$1:$BX$549,MATCH(AQ$1,Kraftvärmeprod!$B$1:$BX$1,0),FALSE)</f>
        <v>0</v>
      </c>
      <c r="AR170">
        <f>VLOOKUP($B170,Kraftvärmeprod!$B$1:$BX$549,MATCH("Summa tillförd energi exklusive rökgaskondensering",Kraftvärmeprod!$B$1:$BX$1,0),FALSE)</f>
        <v>0</v>
      </c>
      <c r="AT170" s="17" t="str">
        <f t="shared" si="15"/>
        <v/>
      </c>
      <c r="AV170">
        <f t="shared" si="16"/>
        <v>0</v>
      </c>
      <c r="BA170" s="17" t="str">
        <f t="shared" si="17"/>
        <v/>
      </c>
    </row>
    <row r="171" spans="1:53" x14ac:dyDescent="0.25">
      <c r="A171" s="137" t="s">
        <v>426</v>
      </c>
      <c r="B171" s="137" t="s">
        <v>430</v>
      </c>
      <c r="C171" s="121"/>
      <c r="D171" s="121"/>
      <c r="E171" s="121"/>
      <c r="F171" s="121"/>
      <c r="G171" s="121"/>
      <c r="H171" s="121"/>
      <c r="I171" s="121"/>
      <c r="J171" s="121">
        <v>0</v>
      </c>
      <c r="K171" s="121">
        <v>0</v>
      </c>
      <c r="L171" s="121">
        <v>0</v>
      </c>
      <c r="M171" s="121">
        <v>0</v>
      </c>
      <c r="N171" s="121">
        <v>0</v>
      </c>
      <c r="O171" s="121">
        <v>0</v>
      </c>
      <c r="P171" s="121">
        <v>0</v>
      </c>
      <c r="Q171" s="121">
        <v>0</v>
      </c>
      <c r="R171" s="121">
        <v>0</v>
      </c>
      <c r="S171" s="121">
        <v>0</v>
      </c>
      <c r="T171" s="121">
        <v>0</v>
      </c>
      <c r="U171" s="121">
        <v>0</v>
      </c>
      <c r="V171" s="121" t="s">
        <v>1119</v>
      </c>
      <c r="W171" s="121">
        <v>0</v>
      </c>
      <c r="X171" s="121">
        <v>0</v>
      </c>
      <c r="Y171" s="121">
        <v>0</v>
      </c>
      <c r="Z171" s="121">
        <v>0</v>
      </c>
      <c r="AA171" s="121">
        <v>0</v>
      </c>
      <c r="AB171" s="121">
        <v>0</v>
      </c>
      <c r="AC171" s="121">
        <v>0</v>
      </c>
      <c r="AD171" s="121">
        <v>0</v>
      </c>
      <c r="AE171" s="121">
        <v>0</v>
      </c>
      <c r="AF171" s="121">
        <v>0</v>
      </c>
      <c r="AG171" s="121">
        <v>0</v>
      </c>
      <c r="AH171" s="121">
        <v>0</v>
      </c>
      <c r="AI171" s="121">
        <v>0</v>
      </c>
      <c r="AL171" s="14">
        <f t="shared" si="12"/>
        <v>0</v>
      </c>
      <c r="AM171">
        <f t="shared" si="13"/>
        <v>0</v>
      </c>
      <c r="AN171">
        <f t="shared" si="14"/>
        <v>0</v>
      </c>
      <c r="AP171">
        <f>VLOOKUP($B171,Kraftvärmeprod!$B$1:$BX$549,MATCH(AP$1,Kraftvärmeprod!$B$1:$BX$1,0),FALSE)</f>
        <v>0</v>
      </c>
      <c r="AQ171">
        <f>VLOOKUP($B171,Kraftvärmeprod!$B$1:$BX$549,MATCH(AQ$1,Kraftvärmeprod!$B$1:$BX$1,0),FALSE)</f>
        <v>0</v>
      </c>
      <c r="AR171">
        <f>VLOOKUP($B171,Kraftvärmeprod!$B$1:$BX$549,MATCH("Summa tillförd energi exklusive rökgaskondensering",Kraftvärmeprod!$B$1:$BX$1,0),FALSE)</f>
        <v>0</v>
      </c>
      <c r="AT171" s="17" t="str">
        <f t="shared" si="15"/>
        <v/>
      </c>
      <c r="AV171">
        <f t="shared" si="16"/>
        <v>0</v>
      </c>
      <c r="BA171" s="17" t="str">
        <f t="shared" si="17"/>
        <v/>
      </c>
    </row>
    <row r="172" spans="1:53" x14ac:dyDescent="0.25">
      <c r="A172" s="137" t="s">
        <v>426</v>
      </c>
      <c r="B172" s="137" t="s">
        <v>431</v>
      </c>
      <c r="C172" s="121"/>
      <c r="D172" s="121"/>
      <c r="E172" s="121"/>
      <c r="F172" s="121"/>
      <c r="G172" s="121"/>
      <c r="H172" s="121"/>
      <c r="I172" s="121"/>
      <c r="J172" s="121">
        <v>0</v>
      </c>
      <c r="K172" s="121">
        <v>0</v>
      </c>
      <c r="L172" s="121">
        <v>0</v>
      </c>
      <c r="M172" s="121">
        <v>0</v>
      </c>
      <c r="N172" s="121">
        <v>0</v>
      </c>
      <c r="O172" s="121">
        <v>0</v>
      </c>
      <c r="P172" s="121">
        <v>0</v>
      </c>
      <c r="Q172" s="121">
        <v>0</v>
      </c>
      <c r="R172" s="121">
        <v>0</v>
      </c>
      <c r="S172" s="121">
        <v>0</v>
      </c>
      <c r="T172" s="121">
        <v>0</v>
      </c>
      <c r="U172" s="121">
        <v>0</v>
      </c>
      <c r="V172" s="121" t="s">
        <v>1119</v>
      </c>
      <c r="W172" s="121">
        <v>0</v>
      </c>
      <c r="X172" s="121">
        <v>0</v>
      </c>
      <c r="Y172" s="121">
        <v>0</v>
      </c>
      <c r="Z172" s="121">
        <v>0</v>
      </c>
      <c r="AA172" s="121">
        <v>0</v>
      </c>
      <c r="AB172" s="121">
        <v>0</v>
      </c>
      <c r="AC172" s="121">
        <v>0</v>
      </c>
      <c r="AD172" s="121">
        <v>0</v>
      </c>
      <c r="AE172" s="121">
        <v>0</v>
      </c>
      <c r="AF172" s="121">
        <v>0</v>
      </c>
      <c r="AG172" s="121">
        <v>0</v>
      </c>
      <c r="AH172" s="121">
        <v>0</v>
      </c>
      <c r="AI172" s="121">
        <v>0</v>
      </c>
      <c r="AL172" s="14">
        <f t="shared" si="12"/>
        <v>0</v>
      </c>
      <c r="AM172">
        <f t="shared" si="13"/>
        <v>0</v>
      </c>
      <c r="AN172">
        <f t="shared" si="14"/>
        <v>0</v>
      </c>
      <c r="AP172">
        <f>VLOOKUP($B172,Kraftvärmeprod!$B$1:$BX$549,MATCH(AP$1,Kraftvärmeprod!$B$1:$BX$1,0),FALSE)</f>
        <v>0</v>
      </c>
      <c r="AQ172">
        <f>VLOOKUP($B172,Kraftvärmeprod!$B$1:$BX$549,MATCH(AQ$1,Kraftvärmeprod!$B$1:$BX$1,0),FALSE)</f>
        <v>0</v>
      </c>
      <c r="AR172">
        <f>VLOOKUP($B172,Kraftvärmeprod!$B$1:$BX$549,MATCH("Summa tillförd energi exklusive rökgaskondensering",Kraftvärmeprod!$B$1:$BX$1,0),FALSE)</f>
        <v>0</v>
      </c>
      <c r="AT172" s="17" t="str">
        <f t="shared" si="15"/>
        <v/>
      </c>
      <c r="AV172">
        <f t="shared" si="16"/>
        <v>0</v>
      </c>
      <c r="BA172" s="17" t="str">
        <f t="shared" si="17"/>
        <v/>
      </c>
    </row>
    <row r="173" spans="1:53" x14ac:dyDescent="0.25">
      <c r="A173" s="137" t="s">
        <v>432</v>
      </c>
      <c r="B173" s="137" t="s">
        <v>433</v>
      </c>
      <c r="C173" s="121"/>
      <c r="D173" s="121"/>
      <c r="E173" s="121"/>
      <c r="F173" s="121"/>
      <c r="G173" s="121"/>
      <c r="H173" s="121"/>
      <c r="I173" s="121"/>
      <c r="J173" s="121">
        <v>0</v>
      </c>
      <c r="K173" s="121">
        <v>0</v>
      </c>
      <c r="L173" s="121">
        <v>0</v>
      </c>
      <c r="M173" s="121">
        <v>0</v>
      </c>
      <c r="N173" s="121">
        <v>0</v>
      </c>
      <c r="O173" s="121">
        <v>0</v>
      </c>
      <c r="P173" s="121">
        <v>26.332100000000001</v>
      </c>
      <c r="Q173" s="121">
        <v>0</v>
      </c>
      <c r="R173" s="121">
        <v>0</v>
      </c>
      <c r="S173" s="121">
        <v>0</v>
      </c>
      <c r="T173" s="121">
        <v>0</v>
      </c>
      <c r="U173" s="121">
        <v>0</v>
      </c>
      <c r="V173" s="121" t="s">
        <v>1119</v>
      </c>
      <c r="W173" s="121">
        <v>0</v>
      </c>
      <c r="X173" s="121">
        <v>0</v>
      </c>
      <c r="Y173" s="121">
        <v>0</v>
      </c>
      <c r="Z173" s="121">
        <v>19.059699999999999</v>
      </c>
      <c r="AA173" s="121">
        <v>0</v>
      </c>
      <c r="AB173" s="121">
        <v>0</v>
      </c>
      <c r="AC173" s="121">
        <v>0</v>
      </c>
      <c r="AD173" s="121">
        <v>4.2357800000000001</v>
      </c>
      <c r="AE173" s="121">
        <v>112.348</v>
      </c>
      <c r="AF173" s="121">
        <v>0</v>
      </c>
      <c r="AG173" s="121">
        <v>0</v>
      </c>
      <c r="AH173" s="121">
        <v>0</v>
      </c>
      <c r="AI173" s="121">
        <v>0</v>
      </c>
      <c r="AL173" s="14">
        <f t="shared" si="12"/>
        <v>161.97558000000001</v>
      </c>
      <c r="AM173">
        <f t="shared" si="13"/>
        <v>161.97558000000001</v>
      </c>
      <c r="AN173">
        <f t="shared" si="14"/>
        <v>161.97558000000001</v>
      </c>
      <c r="AP173">
        <f>VLOOKUP($B173,Kraftvärmeprod!$B$1:$BX$549,MATCH(AP$1,Kraftvärmeprod!$B$1:$BX$1,0),FALSE)</f>
        <v>189</v>
      </c>
      <c r="AQ173">
        <f>VLOOKUP($B173,Kraftvärmeprod!$B$1:$BX$549,MATCH(AQ$1,Kraftvärmeprod!$B$1:$BX$1,0),FALSE)</f>
        <v>20.32</v>
      </c>
      <c r="AR173">
        <f>VLOOKUP($B173,Kraftvärmeprod!$B$1:$BX$549,MATCH("Summa tillförd energi exklusive rökgaskondensering",Kraftvärmeprod!$B$1:$BX$1,0),FALSE)</f>
        <v>214.35</v>
      </c>
      <c r="AT173" s="17">
        <f t="shared" si="15"/>
        <v>0.75565934219734088</v>
      </c>
      <c r="AV173">
        <f t="shared" si="16"/>
        <v>45.391800000000003</v>
      </c>
      <c r="BA173" s="17">
        <f t="shared" si="17"/>
        <v>1.1668425573780936</v>
      </c>
    </row>
    <row r="174" spans="1:53" x14ac:dyDescent="0.25">
      <c r="A174" s="137" t="s">
        <v>434</v>
      </c>
      <c r="B174" s="137" t="s">
        <v>435</v>
      </c>
      <c r="C174" s="121"/>
      <c r="D174" s="121"/>
      <c r="E174" s="121"/>
      <c r="F174" s="121"/>
      <c r="G174" s="121"/>
      <c r="H174" s="121"/>
      <c r="I174" s="121"/>
      <c r="J174" s="121">
        <v>0</v>
      </c>
      <c r="K174" s="121">
        <v>0</v>
      </c>
      <c r="L174" s="121">
        <v>0</v>
      </c>
      <c r="M174" s="121">
        <v>0</v>
      </c>
      <c r="N174" s="121">
        <v>0</v>
      </c>
      <c r="O174" s="121">
        <v>0</v>
      </c>
      <c r="P174" s="121">
        <v>0</v>
      </c>
      <c r="Q174" s="121">
        <v>0</v>
      </c>
      <c r="R174" s="121">
        <v>0</v>
      </c>
      <c r="S174" s="121">
        <v>0</v>
      </c>
      <c r="T174" s="121">
        <v>0</v>
      </c>
      <c r="U174" s="121">
        <v>0</v>
      </c>
      <c r="V174" s="121" t="s">
        <v>1119</v>
      </c>
      <c r="W174" s="121">
        <v>0</v>
      </c>
      <c r="X174" s="121">
        <v>0</v>
      </c>
      <c r="Y174" s="121">
        <v>0</v>
      </c>
      <c r="Z174" s="121">
        <v>0</v>
      </c>
      <c r="AA174" s="121">
        <v>0</v>
      </c>
      <c r="AB174" s="121">
        <v>0</v>
      </c>
      <c r="AC174" s="121">
        <v>0</v>
      </c>
      <c r="AD174" s="121">
        <v>0</v>
      </c>
      <c r="AE174" s="121">
        <v>0</v>
      </c>
      <c r="AF174" s="121">
        <v>0</v>
      </c>
      <c r="AG174" s="121">
        <v>0</v>
      </c>
      <c r="AH174" s="121">
        <v>0</v>
      </c>
      <c r="AI174" s="121">
        <v>0</v>
      </c>
      <c r="AL174" s="14">
        <f t="shared" si="12"/>
        <v>0</v>
      </c>
      <c r="AM174">
        <f t="shared" si="13"/>
        <v>0</v>
      </c>
      <c r="AN174">
        <f t="shared" si="14"/>
        <v>0</v>
      </c>
      <c r="AP174">
        <f>VLOOKUP($B174,Kraftvärmeprod!$B$1:$BX$549,MATCH(AP$1,Kraftvärmeprod!$B$1:$BX$1,0),FALSE)</f>
        <v>0</v>
      </c>
      <c r="AQ174">
        <f>VLOOKUP($B174,Kraftvärmeprod!$B$1:$BX$549,MATCH(AQ$1,Kraftvärmeprod!$B$1:$BX$1,0),FALSE)</f>
        <v>0</v>
      </c>
      <c r="AR174">
        <f>VLOOKUP($B174,Kraftvärmeprod!$B$1:$BX$549,MATCH("Summa tillförd energi exklusive rökgaskondensering",Kraftvärmeprod!$B$1:$BX$1,0),FALSE)</f>
        <v>0</v>
      </c>
      <c r="AT174" s="17" t="str">
        <f t="shared" si="15"/>
        <v/>
      </c>
      <c r="AV174">
        <f t="shared" si="16"/>
        <v>0</v>
      </c>
      <c r="BA174" s="17" t="str">
        <f t="shared" si="17"/>
        <v/>
      </c>
    </row>
    <row r="175" spans="1:53" x14ac:dyDescent="0.25">
      <c r="A175" s="137" t="s">
        <v>434</v>
      </c>
      <c r="B175" s="137" t="s">
        <v>436</v>
      </c>
      <c r="C175" s="121"/>
      <c r="D175" s="121"/>
      <c r="E175" s="121"/>
      <c r="F175" s="121"/>
      <c r="G175" s="121"/>
      <c r="H175" s="121"/>
      <c r="I175" s="121"/>
      <c r="J175" s="121">
        <v>0</v>
      </c>
      <c r="K175" s="121">
        <v>0</v>
      </c>
      <c r="L175" s="121">
        <v>0</v>
      </c>
      <c r="M175" s="121">
        <v>0</v>
      </c>
      <c r="N175" s="121">
        <v>0</v>
      </c>
      <c r="O175" s="121">
        <v>0</v>
      </c>
      <c r="P175" s="121">
        <v>0</v>
      </c>
      <c r="Q175" s="121">
        <v>0</v>
      </c>
      <c r="R175" s="121">
        <v>0</v>
      </c>
      <c r="S175" s="121">
        <v>0</v>
      </c>
      <c r="T175" s="121">
        <v>0</v>
      </c>
      <c r="U175" s="121">
        <v>0</v>
      </c>
      <c r="V175" s="121" t="s">
        <v>1119</v>
      </c>
      <c r="W175" s="121">
        <v>0</v>
      </c>
      <c r="X175" s="121">
        <v>0</v>
      </c>
      <c r="Y175" s="121">
        <v>0</v>
      </c>
      <c r="Z175" s="121">
        <v>0</v>
      </c>
      <c r="AA175" s="121">
        <v>0</v>
      </c>
      <c r="AB175" s="121">
        <v>0</v>
      </c>
      <c r="AC175" s="121">
        <v>0</v>
      </c>
      <c r="AD175" s="121">
        <v>0</v>
      </c>
      <c r="AE175" s="121">
        <v>0</v>
      </c>
      <c r="AF175" s="121">
        <v>0</v>
      </c>
      <c r="AG175" s="121">
        <v>0</v>
      </c>
      <c r="AH175" s="121">
        <v>0</v>
      </c>
      <c r="AI175" s="121">
        <v>0</v>
      </c>
      <c r="AL175" s="14">
        <f t="shared" si="12"/>
        <v>0</v>
      </c>
      <c r="AM175">
        <f t="shared" si="13"/>
        <v>0</v>
      </c>
      <c r="AN175">
        <f t="shared" si="14"/>
        <v>0</v>
      </c>
      <c r="AP175">
        <f>VLOOKUP($B175,Kraftvärmeprod!$B$1:$BX$549,MATCH(AP$1,Kraftvärmeprod!$B$1:$BX$1,0),FALSE)</f>
        <v>0</v>
      </c>
      <c r="AQ175">
        <f>VLOOKUP($B175,Kraftvärmeprod!$B$1:$BX$549,MATCH(AQ$1,Kraftvärmeprod!$B$1:$BX$1,0),FALSE)</f>
        <v>0</v>
      </c>
      <c r="AR175">
        <f>VLOOKUP($B175,Kraftvärmeprod!$B$1:$BX$549,MATCH("Summa tillförd energi exklusive rökgaskondensering",Kraftvärmeprod!$B$1:$BX$1,0),FALSE)</f>
        <v>0</v>
      </c>
      <c r="AT175" s="17" t="str">
        <f t="shared" si="15"/>
        <v/>
      </c>
      <c r="AV175">
        <f t="shared" si="16"/>
        <v>0</v>
      </c>
      <c r="BA175" s="17" t="str">
        <f t="shared" si="17"/>
        <v/>
      </c>
    </row>
    <row r="176" spans="1:53" x14ac:dyDescent="0.25">
      <c r="A176" s="137" t="s">
        <v>434</v>
      </c>
      <c r="B176" s="137" t="s">
        <v>437</v>
      </c>
      <c r="C176" s="121"/>
      <c r="D176" s="121"/>
      <c r="E176" s="121"/>
      <c r="F176" s="121"/>
      <c r="G176" s="121"/>
      <c r="H176" s="121"/>
      <c r="I176" s="121"/>
      <c r="J176" s="121">
        <v>0</v>
      </c>
      <c r="K176" s="121">
        <v>0</v>
      </c>
      <c r="L176" s="121">
        <v>0</v>
      </c>
      <c r="M176" s="121">
        <v>0</v>
      </c>
      <c r="N176" s="121">
        <v>0</v>
      </c>
      <c r="O176" s="121">
        <v>0</v>
      </c>
      <c r="P176" s="121">
        <v>0</v>
      </c>
      <c r="Q176" s="121">
        <v>0</v>
      </c>
      <c r="R176" s="121">
        <v>0</v>
      </c>
      <c r="S176" s="121">
        <v>0</v>
      </c>
      <c r="T176" s="121">
        <v>0</v>
      </c>
      <c r="U176" s="121">
        <v>0</v>
      </c>
      <c r="V176" s="121" t="s">
        <v>1119</v>
      </c>
      <c r="W176" s="121">
        <v>0</v>
      </c>
      <c r="X176" s="121">
        <v>0</v>
      </c>
      <c r="Y176" s="121">
        <v>0</v>
      </c>
      <c r="Z176" s="121">
        <v>0</v>
      </c>
      <c r="AA176" s="121">
        <v>0</v>
      </c>
      <c r="AB176" s="121">
        <v>0</v>
      </c>
      <c r="AC176" s="121">
        <v>0</v>
      </c>
      <c r="AD176" s="121">
        <v>0</v>
      </c>
      <c r="AE176" s="121">
        <v>0</v>
      </c>
      <c r="AF176" s="121">
        <v>0</v>
      </c>
      <c r="AG176" s="121">
        <v>0</v>
      </c>
      <c r="AH176" s="121">
        <v>0</v>
      </c>
      <c r="AI176" s="121">
        <v>0</v>
      </c>
      <c r="AL176" s="14">
        <f t="shared" si="12"/>
        <v>0</v>
      </c>
      <c r="AM176">
        <f t="shared" si="13"/>
        <v>0</v>
      </c>
      <c r="AN176">
        <f t="shared" si="14"/>
        <v>0</v>
      </c>
      <c r="AP176">
        <f>VLOOKUP($B176,Kraftvärmeprod!$B$1:$BX$549,MATCH(AP$1,Kraftvärmeprod!$B$1:$BX$1,0),FALSE)</f>
        <v>0</v>
      </c>
      <c r="AQ176">
        <f>VLOOKUP($B176,Kraftvärmeprod!$B$1:$BX$549,MATCH(AQ$1,Kraftvärmeprod!$B$1:$BX$1,0),FALSE)</f>
        <v>0</v>
      </c>
      <c r="AR176">
        <f>VLOOKUP($B176,Kraftvärmeprod!$B$1:$BX$549,MATCH("Summa tillförd energi exklusive rökgaskondensering",Kraftvärmeprod!$B$1:$BX$1,0),FALSE)</f>
        <v>0</v>
      </c>
      <c r="AT176" s="17" t="str">
        <f t="shared" si="15"/>
        <v/>
      </c>
      <c r="AV176">
        <f t="shared" si="16"/>
        <v>0</v>
      </c>
      <c r="BA176" s="17" t="str">
        <f t="shared" si="17"/>
        <v/>
      </c>
    </row>
    <row r="177" spans="1:53" x14ac:dyDescent="0.25">
      <c r="A177" s="137" t="s">
        <v>438</v>
      </c>
      <c r="B177" s="137" t="s">
        <v>439</v>
      </c>
      <c r="C177" s="121"/>
      <c r="D177" s="121"/>
      <c r="E177" s="121"/>
      <c r="F177" s="121"/>
      <c r="G177" s="121"/>
      <c r="H177" s="121"/>
      <c r="I177" s="121"/>
      <c r="J177" s="121">
        <v>0</v>
      </c>
      <c r="K177" s="121">
        <v>0</v>
      </c>
      <c r="L177" s="121">
        <v>0</v>
      </c>
      <c r="M177" s="121">
        <v>0</v>
      </c>
      <c r="N177" s="121">
        <v>0</v>
      </c>
      <c r="O177" s="121">
        <v>0</v>
      </c>
      <c r="P177" s="121">
        <v>0</v>
      </c>
      <c r="Q177" s="121">
        <v>0</v>
      </c>
      <c r="R177" s="121">
        <v>0</v>
      </c>
      <c r="S177" s="121">
        <v>0</v>
      </c>
      <c r="T177" s="121">
        <v>0</v>
      </c>
      <c r="U177" s="121">
        <v>0</v>
      </c>
      <c r="V177" s="121" t="s">
        <v>1119</v>
      </c>
      <c r="W177" s="121">
        <v>0</v>
      </c>
      <c r="X177" s="121">
        <v>0</v>
      </c>
      <c r="Y177" s="121">
        <v>0</v>
      </c>
      <c r="Z177" s="121">
        <v>0</v>
      </c>
      <c r="AA177" s="121">
        <v>0</v>
      </c>
      <c r="AB177" s="121">
        <v>0</v>
      </c>
      <c r="AC177" s="121">
        <v>0</v>
      </c>
      <c r="AD177" s="121">
        <v>0</v>
      </c>
      <c r="AE177" s="121">
        <v>0</v>
      </c>
      <c r="AF177" s="121">
        <v>0</v>
      </c>
      <c r="AG177" s="121">
        <v>0</v>
      </c>
      <c r="AH177" s="121">
        <v>0</v>
      </c>
      <c r="AI177" s="121">
        <v>0</v>
      </c>
      <c r="AL177" s="14">
        <f t="shared" si="12"/>
        <v>0</v>
      </c>
      <c r="AM177">
        <f t="shared" si="13"/>
        <v>0</v>
      </c>
      <c r="AN177">
        <f t="shared" si="14"/>
        <v>0</v>
      </c>
      <c r="AP177">
        <f>VLOOKUP($B177,Kraftvärmeprod!$B$1:$BX$549,MATCH(AP$1,Kraftvärmeprod!$B$1:$BX$1,0),FALSE)</f>
        <v>0</v>
      </c>
      <c r="AQ177">
        <f>VLOOKUP($B177,Kraftvärmeprod!$B$1:$BX$549,MATCH(AQ$1,Kraftvärmeprod!$B$1:$BX$1,0),FALSE)</f>
        <v>0</v>
      </c>
      <c r="AR177">
        <f>VLOOKUP($B177,Kraftvärmeprod!$B$1:$BX$549,MATCH("Summa tillförd energi exklusive rökgaskondensering",Kraftvärmeprod!$B$1:$BX$1,0),FALSE)</f>
        <v>0</v>
      </c>
      <c r="AT177" s="17" t="str">
        <f t="shared" si="15"/>
        <v/>
      </c>
      <c r="AV177">
        <f t="shared" si="16"/>
        <v>0</v>
      </c>
      <c r="BA177" s="17" t="str">
        <f t="shared" si="17"/>
        <v/>
      </c>
    </row>
    <row r="178" spans="1:53" x14ac:dyDescent="0.25">
      <c r="A178" s="137" t="s">
        <v>438</v>
      </c>
      <c r="B178" s="137" t="s">
        <v>440</v>
      </c>
      <c r="C178" s="121"/>
      <c r="D178" s="121"/>
      <c r="E178" s="121"/>
      <c r="F178" s="121"/>
      <c r="G178" s="121"/>
      <c r="H178" s="121"/>
      <c r="I178" s="121"/>
      <c r="J178" s="121">
        <v>0</v>
      </c>
      <c r="K178" s="121">
        <v>0</v>
      </c>
      <c r="L178" s="121">
        <v>0</v>
      </c>
      <c r="M178" s="121">
        <v>0</v>
      </c>
      <c r="N178" s="121">
        <v>0</v>
      </c>
      <c r="O178" s="121">
        <v>0</v>
      </c>
      <c r="P178" s="121">
        <v>0</v>
      </c>
      <c r="Q178" s="121">
        <v>0</v>
      </c>
      <c r="R178" s="121">
        <v>0</v>
      </c>
      <c r="S178" s="121">
        <v>0</v>
      </c>
      <c r="T178" s="121">
        <v>0</v>
      </c>
      <c r="U178" s="121">
        <v>0</v>
      </c>
      <c r="V178" s="121" t="s">
        <v>1119</v>
      </c>
      <c r="W178" s="121">
        <v>0</v>
      </c>
      <c r="X178" s="121">
        <v>0</v>
      </c>
      <c r="Y178" s="121">
        <v>0</v>
      </c>
      <c r="Z178" s="121">
        <v>0</v>
      </c>
      <c r="AA178" s="121">
        <v>0</v>
      </c>
      <c r="AB178" s="121">
        <v>0</v>
      </c>
      <c r="AC178" s="121">
        <v>0</v>
      </c>
      <c r="AD178" s="121">
        <v>0</v>
      </c>
      <c r="AE178" s="121">
        <v>0</v>
      </c>
      <c r="AF178" s="121">
        <v>0</v>
      </c>
      <c r="AG178" s="121">
        <v>0</v>
      </c>
      <c r="AH178" s="121">
        <v>0</v>
      </c>
      <c r="AI178" s="121">
        <v>0</v>
      </c>
      <c r="AL178" s="14">
        <f t="shared" si="12"/>
        <v>0</v>
      </c>
      <c r="AM178">
        <f t="shared" si="13"/>
        <v>0</v>
      </c>
      <c r="AN178">
        <f t="shared" si="14"/>
        <v>0</v>
      </c>
      <c r="AP178">
        <f>VLOOKUP($B178,Kraftvärmeprod!$B$1:$BX$549,MATCH(AP$1,Kraftvärmeprod!$B$1:$BX$1,0),FALSE)</f>
        <v>0</v>
      </c>
      <c r="AQ178">
        <f>VLOOKUP($B178,Kraftvärmeprod!$B$1:$BX$549,MATCH(AQ$1,Kraftvärmeprod!$B$1:$BX$1,0),FALSE)</f>
        <v>0</v>
      </c>
      <c r="AR178">
        <f>VLOOKUP($B178,Kraftvärmeprod!$B$1:$BX$549,MATCH("Summa tillförd energi exklusive rökgaskondensering",Kraftvärmeprod!$B$1:$BX$1,0),FALSE)</f>
        <v>0</v>
      </c>
      <c r="AT178" s="17" t="str">
        <f t="shared" si="15"/>
        <v/>
      </c>
      <c r="AV178">
        <f t="shared" si="16"/>
        <v>0</v>
      </c>
      <c r="BA178" s="17" t="str">
        <f t="shared" si="17"/>
        <v/>
      </c>
    </row>
    <row r="179" spans="1:53" x14ac:dyDescent="0.25">
      <c r="A179" s="137" t="s">
        <v>438</v>
      </c>
      <c r="B179" s="137" t="s">
        <v>441</v>
      </c>
      <c r="C179" s="121"/>
      <c r="D179" s="121"/>
      <c r="E179" s="121"/>
      <c r="F179" s="121"/>
      <c r="G179" s="121"/>
      <c r="H179" s="121"/>
      <c r="I179" s="121"/>
      <c r="J179" s="121">
        <v>0</v>
      </c>
      <c r="K179" s="121">
        <v>0</v>
      </c>
      <c r="L179" s="121">
        <v>0</v>
      </c>
      <c r="M179" s="121">
        <v>0</v>
      </c>
      <c r="N179" s="121">
        <v>0</v>
      </c>
      <c r="O179" s="121">
        <v>0</v>
      </c>
      <c r="P179" s="121">
        <v>0</v>
      </c>
      <c r="Q179" s="121">
        <v>0</v>
      </c>
      <c r="R179" s="121">
        <v>0</v>
      </c>
      <c r="S179" s="121">
        <v>0</v>
      </c>
      <c r="T179" s="121">
        <v>0</v>
      </c>
      <c r="U179" s="121">
        <v>0</v>
      </c>
      <c r="V179" s="121" t="s">
        <v>1119</v>
      </c>
      <c r="W179" s="121">
        <v>0</v>
      </c>
      <c r="X179" s="121">
        <v>0</v>
      </c>
      <c r="Y179" s="121">
        <v>0</v>
      </c>
      <c r="Z179" s="121">
        <v>0</v>
      </c>
      <c r="AA179" s="121">
        <v>0</v>
      </c>
      <c r="AB179" s="121">
        <v>0</v>
      </c>
      <c r="AC179" s="121">
        <v>0</v>
      </c>
      <c r="AD179" s="121">
        <v>0</v>
      </c>
      <c r="AE179" s="121">
        <v>0</v>
      </c>
      <c r="AF179" s="121">
        <v>0</v>
      </c>
      <c r="AG179" s="121">
        <v>0</v>
      </c>
      <c r="AH179" s="121">
        <v>0</v>
      </c>
      <c r="AI179" s="121">
        <v>0</v>
      </c>
      <c r="AL179" s="14">
        <f t="shared" si="12"/>
        <v>0</v>
      </c>
      <c r="AM179">
        <f t="shared" si="13"/>
        <v>0</v>
      </c>
      <c r="AN179">
        <f t="shared" si="14"/>
        <v>0</v>
      </c>
      <c r="AP179">
        <f>VLOOKUP($B179,Kraftvärmeprod!$B$1:$BX$549,MATCH(AP$1,Kraftvärmeprod!$B$1:$BX$1,0),FALSE)</f>
        <v>0</v>
      </c>
      <c r="AQ179">
        <f>VLOOKUP($B179,Kraftvärmeprod!$B$1:$BX$549,MATCH(AQ$1,Kraftvärmeprod!$B$1:$BX$1,0),FALSE)</f>
        <v>0</v>
      </c>
      <c r="AR179">
        <f>VLOOKUP($B179,Kraftvärmeprod!$B$1:$BX$549,MATCH("Summa tillförd energi exklusive rökgaskondensering",Kraftvärmeprod!$B$1:$BX$1,0),FALSE)</f>
        <v>0</v>
      </c>
      <c r="AT179" s="17" t="str">
        <f t="shared" si="15"/>
        <v/>
      </c>
      <c r="AV179">
        <f t="shared" si="16"/>
        <v>0</v>
      </c>
      <c r="BA179" s="17" t="str">
        <f t="shared" si="17"/>
        <v/>
      </c>
    </row>
    <row r="180" spans="1:53" x14ac:dyDescent="0.25">
      <c r="A180" s="137" t="s">
        <v>442</v>
      </c>
      <c r="B180" s="137" t="s">
        <v>443</v>
      </c>
      <c r="C180" s="121"/>
      <c r="D180" s="121"/>
      <c r="E180" s="121"/>
      <c r="F180" s="121"/>
      <c r="G180" s="121"/>
      <c r="H180" s="121"/>
      <c r="I180" s="121"/>
      <c r="J180" s="121">
        <v>0</v>
      </c>
      <c r="K180" s="121">
        <v>0</v>
      </c>
      <c r="L180" s="121">
        <v>0</v>
      </c>
      <c r="M180" s="121">
        <v>0</v>
      </c>
      <c r="N180" s="121">
        <v>0</v>
      </c>
      <c r="O180" s="121">
        <v>0</v>
      </c>
      <c r="P180" s="121">
        <v>0</v>
      </c>
      <c r="Q180" s="121">
        <v>0</v>
      </c>
      <c r="R180" s="121">
        <v>0</v>
      </c>
      <c r="S180" s="121">
        <v>0</v>
      </c>
      <c r="T180" s="121">
        <v>0</v>
      </c>
      <c r="U180" s="121">
        <v>0</v>
      </c>
      <c r="V180" s="121" t="s">
        <v>1119</v>
      </c>
      <c r="W180" s="121">
        <v>0</v>
      </c>
      <c r="X180" s="121">
        <v>0</v>
      </c>
      <c r="Y180" s="121">
        <v>0</v>
      </c>
      <c r="Z180" s="121">
        <v>0</v>
      </c>
      <c r="AA180" s="121">
        <v>0</v>
      </c>
      <c r="AB180" s="121">
        <v>0</v>
      </c>
      <c r="AC180" s="121">
        <v>0</v>
      </c>
      <c r="AD180" s="121">
        <v>0</v>
      </c>
      <c r="AE180" s="121">
        <v>0</v>
      </c>
      <c r="AF180" s="121">
        <v>0</v>
      </c>
      <c r="AG180" s="121">
        <v>0</v>
      </c>
      <c r="AH180" s="121">
        <v>0</v>
      </c>
      <c r="AI180" s="121">
        <v>0</v>
      </c>
      <c r="AL180" s="14">
        <f t="shared" si="12"/>
        <v>0</v>
      </c>
      <c r="AM180">
        <f t="shared" si="13"/>
        <v>0</v>
      </c>
      <c r="AN180">
        <f t="shared" si="14"/>
        <v>0</v>
      </c>
      <c r="AP180">
        <f>VLOOKUP($B180,Kraftvärmeprod!$B$1:$BX$549,MATCH(AP$1,Kraftvärmeprod!$B$1:$BX$1,0),FALSE)</f>
        <v>0</v>
      </c>
      <c r="AQ180">
        <f>VLOOKUP($B180,Kraftvärmeprod!$B$1:$BX$549,MATCH(AQ$1,Kraftvärmeprod!$B$1:$BX$1,0),FALSE)</f>
        <v>0</v>
      </c>
      <c r="AR180">
        <f>VLOOKUP($B180,Kraftvärmeprod!$B$1:$BX$549,MATCH("Summa tillförd energi exklusive rökgaskondensering",Kraftvärmeprod!$B$1:$BX$1,0),FALSE)</f>
        <v>0</v>
      </c>
      <c r="AT180" s="17" t="str">
        <f t="shared" si="15"/>
        <v/>
      </c>
      <c r="AV180">
        <f t="shared" si="16"/>
        <v>0</v>
      </c>
      <c r="BA180" s="17" t="str">
        <f t="shared" si="17"/>
        <v/>
      </c>
    </row>
    <row r="181" spans="1:53" x14ac:dyDescent="0.25">
      <c r="A181" s="137" t="s">
        <v>444</v>
      </c>
      <c r="B181" s="137" t="s">
        <v>445</v>
      </c>
      <c r="C181" s="121"/>
      <c r="D181" s="121"/>
      <c r="E181" s="121"/>
      <c r="F181" s="121"/>
      <c r="G181" s="121"/>
      <c r="H181" s="121"/>
      <c r="I181" s="121"/>
      <c r="J181" s="121">
        <v>0</v>
      </c>
      <c r="K181" s="121">
        <v>0</v>
      </c>
      <c r="L181" s="121">
        <v>0</v>
      </c>
      <c r="M181" s="121">
        <v>0</v>
      </c>
      <c r="N181" s="121">
        <v>0</v>
      </c>
      <c r="O181" s="121">
        <v>0</v>
      </c>
      <c r="P181" s="121">
        <v>35.989899999999999</v>
      </c>
      <c r="Q181" s="121">
        <v>3.4034900000000001</v>
      </c>
      <c r="R181" s="121">
        <v>27.491900000000001</v>
      </c>
      <c r="S181" s="121">
        <v>0</v>
      </c>
      <c r="T181" s="121">
        <v>0</v>
      </c>
      <c r="U181" s="121">
        <v>0</v>
      </c>
      <c r="V181" s="121" t="s">
        <v>1119</v>
      </c>
      <c r="W181" s="121">
        <v>0</v>
      </c>
      <c r="X181" s="121">
        <v>0</v>
      </c>
      <c r="Y181" s="121">
        <v>0</v>
      </c>
      <c r="Z181" s="121">
        <v>0</v>
      </c>
      <c r="AA181" s="121">
        <v>0</v>
      </c>
      <c r="AB181" s="121">
        <v>0</v>
      </c>
      <c r="AC181" s="121">
        <v>0</v>
      </c>
      <c r="AD181" s="121">
        <v>0</v>
      </c>
      <c r="AE181" s="121">
        <v>0</v>
      </c>
      <c r="AF181" s="121">
        <v>0</v>
      </c>
      <c r="AG181" s="121">
        <v>0</v>
      </c>
      <c r="AH181" s="121">
        <v>12</v>
      </c>
      <c r="AI181" s="121">
        <v>0.97038599999999997</v>
      </c>
      <c r="AL181" s="14">
        <f t="shared" si="12"/>
        <v>79.855676000000003</v>
      </c>
      <c r="AM181">
        <f t="shared" si="13"/>
        <v>78.885289999999998</v>
      </c>
      <c r="AN181">
        <f t="shared" si="14"/>
        <v>66.885289999999998</v>
      </c>
      <c r="AP181">
        <f>VLOOKUP($B181,Kraftvärmeprod!$B$1:$BX$549,MATCH(AP$1,Kraftvärmeprod!$B$1:$BX$1,0),FALSE)</f>
        <v>70.099999999999994</v>
      </c>
      <c r="AQ181">
        <f>VLOOKUP($B181,Kraftvärmeprod!$B$1:$BX$549,MATCH(AQ$1,Kraftvärmeprod!$B$1:$BX$1,0),FALSE)</f>
        <v>10.8</v>
      </c>
      <c r="AR181">
        <f>VLOOKUP($B181,Kraftvärmeprod!$B$1:$BX$549,MATCH("Summa tillförd energi exklusive rökgaskondensering",Kraftvärmeprod!$B$1:$BX$1,0),FALSE)</f>
        <v>93.74</v>
      </c>
      <c r="AT181" s="17">
        <f t="shared" si="15"/>
        <v>0.7135192020482185</v>
      </c>
      <c r="AV181">
        <f t="shared" si="16"/>
        <v>66.885289999999998</v>
      </c>
      <c r="BA181" s="17">
        <f t="shared" si="17"/>
        <v>1.033074963397314</v>
      </c>
    </row>
    <row r="182" spans="1:53" x14ac:dyDescent="0.25">
      <c r="A182" s="137" t="s">
        <v>444</v>
      </c>
      <c r="B182" s="137" t="s">
        <v>446</v>
      </c>
      <c r="C182" s="121"/>
      <c r="D182" s="121"/>
      <c r="E182" s="121"/>
      <c r="F182" s="121"/>
      <c r="G182" s="121"/>
      <c r="H182" s="121"/>
      <c r="I182" s="121"/>
      <c r="J182" s="121">
        <v>0</v>
      </c>
      <c r="K182" s="121">
        <v>0</v>
      </c>
      <c r="L182" s="121">
        <v>0</v>
      </c>
      <c r="M182" s="121">
        <v>0</v>
      </c>
      <c r="N182" s="121">
        <v>0</v>
      </c>
      <c r="O182" s="121">
        <v>0</v>
      </c>
      <c r="P182" s="121">
        <v>0</v>
      </c>
      <c r="Q182" s="121">
        <v>0</v>
      </c>
      <c r="R182" s="121">
        <v>0</v>
      </c>
      <c r="S182" s="121">
        <v>0</v>
      </c>
      <c r="T182" s="121">
        <v>0</v>
      </c>
      <c r="U182" s="121">
        <v>0</v>
      </c>
      <c r="V182" s="121" t="s">
        <v>1119</v>
      </c>
      <c r="W182" s="121">
        <v>0</v>
      </c>
      <c r="X182" s="121">
        <v>0</v>
      </c>
      <c r="Y182" s="121">
        <v>0</v>
      </c>
      <c r="Z182" s="121">
        <v>0</v>
      </c>
      <c r="AA182" s="121">
        <v>0</v>
      </c>
      <c r="AB182" s="121">
        <v>0</v>
      </c>
      <c r="AC182" s="121">
        <v>0</v>
      </c>
      <c r="AD182" s="121">
        <v>0</v>
      </c>
      <c r="AE182" s="121">
        <v>0</v>
      </c>
      <c r="AF182" s="121">
        <v>0</v>
      </c>
      <c r="AG182" s="121">
        <v>0</v>
      </c>
      <c r="AH182" s="121">
        <v>0</v>
      </c>
      <c r="AI182" s="121">
        <v>0</v>
      </c>
      <c r="AL182" s="14">
        <f t="shared" si="12"/>
        <v>0</v>
      </c>
      <c r="AM182">
        <f t="shared" si="13"/>
        <v>0</v>
      </c>
      <c r="AN182">
        <f t="shared" si="14"/>
        <v>0</v>
      </c>
      <c r="AP182">
        <f>VLOOKUP($B182,Kraftvärmeprod!$B$1:$BX$549,MATCH(AP$1,Kraftvärmeprod!$B$1:$BX$1,0),FALSE)</f>
        <v>0</v>
      </c>
      <c r="AQ182">
        <f>VLOOKUP($B182,Kraftvärmeprod!$B$1:$BX$549,MATCH(AQ$1,Kraftvärmeprod!$B$1:$BX$1,0),FALSE)</f>
        <v>0</v>
      </c>
      <c r="AR182">
        <f>VLOOKUP($B182,Kraftvärmeprod!$B$1:$BX$549,MATCH("Summa tillförd energi exklusive rökgaskondensering",Kraftvärmeprod!$B$1:$BX$1,0),FALSE)</f>
        <v>0</v>
      </c>
      <c r="AT182" s="17" t="str">
        <f t="shared" si="15"/>
        <v/>
      </c>
      <c r="AV182">
        <f t="shared" si="16"/>
        <v>0</v>
      </c>
      <c r="BA182" s="17" t="str">
        <f t="shared" si="17"/>
        <v/>
      </c>
    </row>
    <row r="183" spans="1:53" x14ac:dyDescent="0.25">
      <c r="A183" s="137" t="s">
        <v>447</v>
      </c>
      <c r="B183" s="137" t="s">
        <v>448</v>
      </c>
      <c r="C183" s="121"/>
      <c r="D183" s="121"/>
      <c r="E183" s="121"/>
      <c r="F183" s="121"/>
      <c r="G183" s="121"/>
      <c r="H183" s="121"/>
      <c r="I183" s="121"/>
      <c r="J183" s="121">
        <v>0</v>
      </c>
      <c r="K183" s="121">
        <v>5.8820299999999999E-2</v>
      </c>
      <c r="L183" s="121">
        <v>0</v>
      </c>
      <c r="M183" s="121">
        <v>0</v>
      </c>
      <c r="N183" s="121">
        <v>0</v>
      </c>
      <c r="O183" s="121">
        <v>0</v>
      </c>
      <c r="P183" s="121">
        <v>76.866699999999994</v>
      </c>
      <c r="Q183" s="121">
        <v>0</v>
      </c>
      <c r="R183" s="121">
        <v>8.1493400000000005</v>
      </c>
      <c r="S183" s="121">
        <v>0</v>
      </c>
      <c r="T183" s="121">
        <v>0</v>
      </c>
      <c r="U183" s="121">
        <v>0</v>
      </c>
      <c r="V183" s="121" t="s">
        <v>1119</v>
      </c>
      <c r="W183" s="121">
        <v>0</v>
      </c>
      <c r="X183" s="121">
        <v>0</v>
      </c>
      <c r="Y183" s="121">
        <v>0</v>
      </c>
      <c r="Z183" s="121">
        <v>0</v>
      </c>
      <c r="AA183" s="121">
        <v>0</v>
      </c>
      <c r="AB183" s="121">
        <v>0</v>
      </c>
      <c r="AC183" s="121">
        <v>0</v>
      </c>
      <c r="AD183" s="121">
        <v>0</v>
      </c>
      <c r="AE183" s="121">
        <v>0</v>
      </c>
      <c r="AF183" s="121">
        <v>0</v>
      </c>
      <c r="AG183" s="121">
        <v>0</v>
      </c>
      <c r="AH183" s="121">
        <v>0</v>
      </c>
      <c r="AI183" s="121">
        <v>2.7341700000000002</v>
      </c>
      <c r="AL183" s="14">
        <f t="shared" si="12"/>
        <v>87.809030299999989</v>
      </c>
      <c r="AM183">
        <f t="shared" si="13"/>
        <v>85.074860299999983</v>
      </c>
      <c r="AN183">
        <f t="shared" si="14"/>
        <v>85.074860299999983</v>
      </c>
      <c r="AP183">
        <f>VLOOKUP($B183,Kraftvärmeprod!$B$1:$BX$549,MATCH(AP$1,Kraftvärmeprod!$B$1:$BX$1,0),FALSE)</f>
        <v>96.5</v>
      </c>
      <c r="AQ183">
        <f>VLOOKUP($B183,Kraftvärmeprod!$B$1:$BX$549,MATCH(AQ$1,Kraftvärmeprod!$B$1:$BX$1,0),FALSE)</f>
        <v>33.4</v>
      </c>
      <c r="AR183">
        <f>VLOOKUP($B183,Kraftvärmeprod!$B$1:$BX$549,MATCH("Summa tillförd energi exklusive rökgaskondensering",Kraftvärmeprod!$B$1:$BX$1,0),FALSE)</f>
        <v>161.79999999999998</v>
      </c>
      <c r="AT183" s="17">
        <f t="shared" si="15"/>
        <v>0.52580259765142146</v>
      </c>
      <c r="AV183">
        <f t="shared" si="16"/>
        <v>85.01603999999999</v>
      </c>
      <c r="BA183" s="17">
        <f t="shared" si="17"/>
        <v>1.0989758077307912</v>
      </c>
    </row>
    <row r="184" spans="1:53" x14ac:dyDescent="0.25">
      <c r="A184" s="137" t="s">
        <v>449</v>
      </c>
      <c r="B184" s="137" t="s">
        <v>450</v>
      </c>
      <c r="C184" s="121"/>
      <c r="D184" s="121"/>
      <c r="E184" s="121"/>
      <c r="F184" s="121"/>
      <c r="G184" s="121"/>
      <c r="H184" s="121"/>
      <c r="I184" s="121"/>
      <c r="J184" s="121">
        <v>0</v>
      </c>
      <c r="K184" s="121">
        <v>0</v>
      </c>
      <c r="L184" s="121">
        <v>0</v>
      </c>
      <c r="M184" s="121">
        <v>0</v>
      </c>
      <c r="N184" s="121">
        <v>0</v>
      </c>
      <c r="O184" s="121">
        <v>0</v>
      </c>
      <c r="P184" s="121">
        <v>0</v>
      </c>
      <c r="Q184" s="121">
        <v>0</v>
      </c>
      <c r="R184" s="121">
        <v>0</v>
      </c>
      <c r="S184" s="121">
        <v>0</v>
      </c>
      <c r="T184" s="121">
        <v>0</v>
      </c>
      <c r="U184" s="121">
        <v>0</v>
      </c>
      <c r="V184" s="121" t="s">
        <v>1119</v>
      </c>
      <c r="W184" s="121">
        <v>0</v>
      </c>
      <c r="X184" s="121">
        <v>0</v>
      </c>
      <c r="Y184" s="121">
        <v>0</v>
      </c>
      <c r="Z184" s="121">
        <v>0</v>
      </c>
      <c r="AA184" s="121">
        <v>0</v>
      </c>
      <c r="AB184" s="121">
        <v>0</v>
      </c>
      <c r="AC184" s="121">
        <v>0</v>
      </c>
      <c r="AD184" s="121">
        <v>0</v>
      </c>
      <c r="AE184" s="121">
        <v>0</v>
      </c>
      <c r="AF184" s="121">
        <v>0</v>
      </c>
      <c r="AG184" s="121">
        <v>0</v>
      </c>
      <c r="AH184" s="121">
        <v>0</v>
      </c>
      <c r="AI184" s="121">
        <v>0</v>
      </c>
      <c r="AL184" s="14">
        <f t="shared" si="12"/>
        <v>0</v>
      </c>
      <c r="AM184">
        <f t="shared" si="13"/>
        <v>0</v>
      </c>
      <c r="AN184">
        <f t="shared" si="14"/>
        <v>0</v>
      </c>
      <c r="AP184">
        <f>VLOOKUP($B184,Kraftvärmeprod!$B$1:$BX$549,MATCH(AP$1,Kraftvärmeprod!$B$1:$BX$1,0),FALSE)</f>
        <v>0</v>
      </c>
      <c r="AQ184">
        <f>VLOOKUP($B184,Kraftvärmeprod!$B$1:$BX$549,MATCH(AQ$1,Kraftvärmeprod!$B$1:$BX$1,0),FALSE)</f>
        <v>0</v>
      </c>
      <c r="AR184">
        <f>VLOOKUP($B184,Kraftvärmeprod!$B$1:$BX$549,MATCH("Summa tillförd energi exklusive rökgaskondensering",Kraftvärmeprod!$B$1:$BX$1,0),FALSE)</f>
        <v>0</v>
      </c>
      <c r="AT184" s="17" t="str">
        <f t="shared" si="15"/>
        <v/>
      </c>
      <c r="AV184">
        <f t="shared" si="16"/>
        <v>0</v>
      </c>
      <c r="BA184" s="17" t="str">
        <f t="shared" si="17"/>
        <v/>
      </c>
    </row>
    <row r="185" spans="1:53" x14ac:dyDescent="0.25">
      <c r="A185" s="137" t="s">
        <v>451</v>
      </c>
      <c r="B185" s="137" t="s">
        <v>452</v>
      </c>
      <c r="C185" s="121"/>
      <c r="D185" s="121"/>
      <c r="E185" s="121"/>
      <c r="F185" s="121"/>
      <c r="G185" s="121"/>
      <c r="H185" s="121"/>
      <c r="I185" s="121"/>
      <c r="J185" s="121">
        <v>0</v>
      </c>
      <c r="K185" s="121">
        <v>0</v>
      </c>
      <c r="L185" s="121">
        <v>0</v>
      </c>
      <c r="M185" s="121">
        <v>0</v>
      </c>
      <c r="N185" s="121">
        <v>0</v>
      </c>
      <c r="O185" s="121">
        <v>0</v>
      </c>
      <c r="P185" s="121">
        <v>0</v>
      </c>
      <c r="Q185" s="121">
        <v>0</v>
      </c>
      <c r="R185" s="121">
        <v>0</v>
      </c>
      <c r="S185" s="121">
        <v>0</v>
      </c>
      <c r="T185" s="121">
        <v>0</v>
      </c>
      <c r="U185" s="121">
        <v>0</v>
      </c>
      <c r="V185" s="121" t="s">
        <v>1119</v>
      </c>
      <c r="W185" s="121">
        <v>0</v>
      </c>
      <c r="X185" s="121">
        <v>0</v>
      </c>
      <c r="Y185" s="121">
        <v>0</v>
      </c>
      <c r="Z185" s="121">
        <v>0</v>
      </c>
      <c r="AA185" s="121">
        <v>0</v>
      </c>
      <c r="AB185" s="121">
        <v>0</v>
      </c>
      <c r="AC185" s="121">
        <v>0</v>
      </c>
      <c r="AD185" s="121">
        <v>0</v>
      </c>
      <c r="AE185" s="121">
        <v>0</v>
      </c>
      <c r="AF185" s="121">
        <v>0</v>
      </c>
      <c r="AG185" s="121">
        <v>0</v>
      </c>
      <c r="AH185" s="121">
        <v>0</v>
      </c>
      <c r="AI185" s="121">
        <v>0</v>
      </c>
      <c r="AL185" s="14">
        <f t="shared" si="12"/>
        <v>0</v>
      </c>
      <c r="AM185">
        <f t="shared" si="13"/>
        <v>0</v>
      </c>
      <c r="AN185">
        <f t="shared" si="14"/>
        <v>0</v>
      </c>
      <c r="AP185">
        <f>VLOOKUP($B185,Kraftvärmeprod!$B$1:$BX$549,MATCH(AP$1,Kraftvärmeprod!$B$1:$BX$1,0),FALSE)</f>
        <v>0</v>
      </c>
      <c r="AQ185">
        <f>VLOOKUP($B185,Kraftvärmeprod!$B$1:$BX$549,MATCH(AQ$1,Kraftvärmeprod!$B$1:$BX$1,0),FALSE)</f>
        <v>0</v>
      </c>
      <c r="AR185">
        <f>VLOOKUP($B185,Kraftvärmeprod!$B$1:$BX$549,MATCH("Summa tillförd energi exklusive rökgaskondensering",Kraftvärmeprod!$B$1:$BX$1,0),FALSE)</f>
        <v>0</v>
      </c>
      <c r="AT185" s="17" t="str">
        <f t="shared" si="15"/>
        <v/>
      </c>
      <c r="AV185">
        <f t="shared" si="16"/>
        <v>0</v>
      </c>
      <c r="BA185" s="17" t="str">
        <f t="shared" si="17"/>
        <v/>
      </c>
    </row>
    <row r="186" spans="1:53" x14ac:dyDescent="0.25">
      <c r="A186" s="137" t="s">
        <v>453</v>
      </c>
      <c r="B186" s="137" t="s">
        <v>454</v>
      </c>
      <c r="C186" s="121"/>
      <c r="D186" s="121"/>
      <c r="E186" s="121"/>
      <c r="F186" s="121"/>
      <c r="G186" s="121"/>
      <c r="H186" s="121"/>
      <c r="I186" s="121"/>
      <c r="J186" s="121">
        <v>0</v>
      </c>
      <c r="K186" s="121">
        <v>0</v>
      </c>
      <c r="L186" s="121">
        <v>0</v>
      </c>
      <c r="M186" s="121">
        <v>0</v>
      </c>
      <c r="N186" s="121">
        <v>0</v>
      </c>
      <c r="O186" s="121">
        <v>0</v>
      </c>
      <c r="P186" s="121">
        <v>0</v>
      </c>
      <c r="Q186" s="121">
        <v>0</v>
      </c>
      <c r="R186" s="121">
        <v>0</v>
      </c>
      <c r="S186" s="121">
        <v>0</v>
      </c>
      <c r="T186" s="121">
        <v>0</v>
      </c>
      <c r="U186" s="121">
        <v>0</v>
      </c>
      <c r="V186" s="121" t="s">
        <v>1119</v>
      </c>
      <c r="W186" s="121">
        <v>0</v>
      </c>
      <c r="X186" s="121">
        <v>0</v>
      </c>
      <c r="Y186" s="121">
        <v>0</v>
      </c>
      <c r="Z186" s="121">
        <v>0</v>
      </c>
      <c r="AA186" s="121">
        <v>0</v>
      </c>
      <c r="AB186" s="121">
        <v>0</v>
      </c>
      <c r="AC186" s="121">
        <v>0</v>
      </c>
      <c r="AD186" s="121">
        <v>0</v>
      </c>
      <c r="AE186" s="121">
        <v>0</v>
      </c>
      <c r="AF186" s="121">
        <v>0</v>
      </c>
      <c r="AG186" s="121">
        <v>0</v>
      </c>
      <c r="AH186" s="121">
        <v>0</v>
      </c>
      <c r="AI186" s="121">
        <v>0</v>
      </c>
      <c r="AL186" s="14">
        <f t="shared" si="12"/>
        <v>0</v>
      </c>
      <c r="AM186">
        <f t="shared" si="13"/>
        <v>0</v>
      </c>
      <c r="AN186">
        <f t="shared" si="14"/>
        <v>0</v>
      </c>
      <c r="AP186">
        <f>VLOOKUP($B186,Kraftvärmeprod!$B$1:$BX$549,MATCH(AP$1,Kraftvärmeprod!$B$1:$BX$1,0),FALSE)</f>
        <v>0</v>
      </c>
      <c r="AQ186">
        <f>VLOOKUP($B186,Kraftvärmeprod!$B$1:$BX$549,MATCH(AQ$1,Kraftvärmeprod!$B$1:$BX$1,0),FALSE)</f>
        <v>0</v>
      </c>
      <c r="AR186">
        <f>VLOOKUP($B186,Kraftvärmeprod!$B$1:$BX$549,MATCH("Summa tillförd energi exklusive rökgaskondensering",Kraftvärmeprod!$B$1:$BX$1,0),FALSE)</f>
        <v>0</v>
      </c>
      <c r="AT186" s="17" t="str">
        <f t="shared" si="15"/>
        <v/>
      </c>
      <c r="AV186">
        <f t="shared" si="16"/>
        <v>0</v>
      </c>
      <c r="BA186" s="17" t="str">
        <f t="shared" si="17"/>
        <v/>
      </c>
    </row>
    <row r="187" spans="1:53" x14ac:dyDescent="0.25">
      <c r="A187" s="137" t="s">
        <v>453</v>
      </c>
      <c r="B187" s="137" t="s">
        <v>126</v>
      </c>
      <c r="C187" s="121"/>
      <c r="D187" s="121"/>
      <c r="E187" s="121"/>
      <c r="F187" s="121"/>
      <c r="G187" s="121"/>
      <c r="H187" s="121"/>
      <c r="I187" s="121"/>
      <c r="J187" s="121">
        <v>0</v>
      </c>
      <c r="K187" s="121">
        <v>0</v>
      </c>
      <c r="L187" s="121">
        <v>0</v>
      </c>
      <c r="M187" s="121">
        <v>0</v>
      </c>
      <c r="N187" s="121">
        <v>0</v>
      </c>
      <c r="O187" s="121">
        <v>0</v>
      </c>
      <c r="P187" s="121">
        <v>0</v>
      </c>
      <c r="Q187" s="121">
        <v>0</v>
      </c>
      <c r="R187" s="121">
        <v>0</v>
      </c>
      <c r="S187" s="121">
        <v>0</v>
      </c>
      <c r="T187" s="121">
        <v>0</v>
      </c>
      <c r="U187" s="121">
        <v>0</v>
      </c>
      <c r="V187" s="121" t="s">
        <v>1119</v>
      </c>
      <c r="W187" s="121">
        <v>0</v>
      </c>
      <c r="X187" s="121">
        <v>0</v>
      </c>
      <c r="Y187" s="121">
        <v>0</v>
      </c>
      <c r="Z187" s="121">
        <v>0</v>
      </c>
      <c r="AA187" s="121">
        <v>0</v>
      </c>
      <c r="AB187" s="121">
        <v>0</v>
      </c>
      <c r="AC187" s="121">
        <v>0</v>
      </c>
      <c r="AD187" s="121">
        <v>0</v>
      </c>
      <c r="AE187" s="121">
        <v>0</v>
      </c>
      <c r="AF187" s="121">
        <v>0</v>
      </c>
      <c r="AG187" s="121">
        <v>0</v>
      </c>
      <c r="AH187" s="121">
        <v>0</v>
      </c>
      <c r="AI187" s="121">
        <v>0</v>
      </c>
      <c r="AL187" s="14">
        <f t="shared" si="12"/>
        <v>0</v>
      </c>
      <c r="AM187">
        <f t="shared" si="13"/>
        <v>0</v>
      </c>
      <c r="AN187">
        <f t="shared" si="14"/>
        <v>0</v>
      </c>
      <c r="AP187">
        <f>VLOOKUP($B187,Kraftvärmeprod!$B$1:$BX$549,MATCH(AP$1,Kraftvärmeprod!$B$1:$BX$1,0),FALSE)</f>
        <v>0</v>
      </c>
      <c r="AQ187">
        <f>VLOOKUP($B187,Kraftvärmeprod!$B$1:$BX$549,MATCH(AQ$1,Kraftvärmeprod!$B$1:$BX$1,0),FALSE)</f>
        <v>0</v>
      </c>
      <c r="AR187">
        <f>VLOOKUP($B187,Kraftvärmeprod!$B$1:$BX$549,MATCH("Summa tillförd energi exklusive rökgaskondensering",Kraftvärmeprod!$B$1:$BX$1,0),FALSE)</f>
        <v>0</v>
      </c>
      <c r="AT187" s="17" t="str">
        <f t="shared" si="15"/>
        <v/>
      </c>
      <c r="AV187">
        <f t="shared" si="16"/>
        <v>0</v>
      </c>
      <c r="BA187" s="17" t="str">
        <f t="shared" si="17"/>
        <v/>
      </c>
    </row>
    <row r="188" spans="1:53" x14ac:dyDescent="0.25">
      <c r="A188" s="137" t="s">
        <v>453</v>
      </c>
      <c r="B188" s="137" t="s">
        <v>455</v>
      </c>
      <c r="C188" s="121"/>
      <c r="D188" s="121"/>
      <c r="E188" s="121"/>
      <c r="F188" s="121"/>
      <c r="G188" s="121"/>
      <c r="H188" s="121"/>
      <c r="I188" s="121"/>
      <c r="J188" s="121">
        <v>99.68</v>
      </c>
      <c r="K188" s="121">
        <v>2.6947999999999999</v>
      </c>
      <c r="L188" s="121">
        <v>0</v>
      </c>
      <c r="M188" s="121">
        <v>0</v>
      </c>
      <c r="N188" s="121">
        <v>0</v>
      </c>
      <c r="O188" s="121">
        <v>0</v>
      </c>
      <c r="P188" s="121">
        <v>6.2402199999999999</v>
      </c>
      <c r="Q188" s="121">
        <v>3.4689800000000002</v>
      </c>
      <c r="R188" s="121">
        <v>8.82</v>
      </c>
      <c r="S188" s="121">
        <v>6.2500499999999999</v>
      </c>
      <c r="T188" s="121">
        <v>0.25978499999999999</v>
      </c>
      <c r="U188" s="121">
        <v>0</v>
      </c>
      <c r="V188" s="121" t="s">
        <v>1119</v>
      </c>
      <c r="W188" s="121">
        <v>0</v>
      </c>
      <c r="X188" s="121">
        <v>0</v>
      </c>
      <c r="Y188" s="121">
        <v>0</v>
      </c>
      <c r="Z188" s="121">
        <v>18.07</v>
      </c>
      <c r="AA188" s="121">
        <v>1.88</v>
      </c>
      <c r="AB188" s="121">
        <v>0</v>
      </c>
      <c r="AC188" s="121">
        <v>0</v>
      </c>
      <c r="AD188" s="121">
        <v>11.972799999999999</v>
      </c>
      <c r="AE188" s="121">
        <v>422.54</v>
      </c>
      <c r="AF188" s="121">
        <v>0</v>
      </c>
      <c r="AG188" s="121">
        <v>0</v>
      </c>
      <c r="AH188" s="121">
        <v>0</v>
      </c>
      <c r="AI188" s="121">
        <v>39.205599999999997</v>
      </c>
      <c r="AL188" s="14">
        <f t="shared" si="12"/>
        <v>621.08223500000008</v>
      </c>
      <c r="AM188">
        <f t="shared" si="13"/>
        <v>581.87663500000008</v>
      </c>
      <c r="AN188">
        <f t="shared" si="14"/>
        <v>581.87663500000008</v>
      </c>
      <c r="AP188">
        <f>VLOOKUP($B188,Kraftvärmeprod!$B$1:$BX$549,MATCH(AP$1,Kraftvärmeprod!$B$1:$BX$1,0),FALSE)</f>
        <v>860.88</v>
      </c>
      <c r="AQ188">
        <f>VLOOKUP($B188,Kraftvärmeprod!$B$1:$BX$549,MATCH(AQ$1,Kraftvärmeprod!$B$1:$BX$1,0),FALSE)</f>
        <v>341.96</v>
      </c>
      <c r="AR188">
        <f>VLOOKUP($B188,Kraftvärmeprod!$B$1:$BX$549,MATCH("Summa tillförd energi exklusive rökgaskondensering",Kraftvärmeprod!$B$1:$BX$1,0),FALSE)</f>
        <v>1274.9000000000001</v>
      </c>
      <c r="AT188" s="17">
        <f t="shared" si="15"/>
        <v>0.45640962820613384</v>
      </c>
      <c r="AV188">
        <f t="shared" si="16"/>
        <v>44.989035000000008</v>
      </c>
      <c r="BA188" s="17">
        <f t="shared" si="17"/>
        <v>1.3860966414536069</v>
      </c>
    </row>
    <row r="189" spans="1:53" x14ac:dyDescent="0.25">
      <c r="A189" s="137" t="s">
        <v>453</v>
      </c>
      <c r="B189" s="137" t="s">
        <v>456</v>
      </c>
      <c r="C189" s="121"/>
      <c r="D189" s="121"/>
      <c r="E189" s="121"/>
      <c r="F189" s="121"/>
      <c r="G189" s="121"/>
      <c r="H189" s="121"/>
      <c r="I189" s="121"/>
      <c r="J189" s="121">
        <v>0.46</v>
      </c>
      <c r="K189" s="121">
        <v>3.2503999999999998E-2</v>
      </c>
      <c r="L189" s="121">
        <v>0</v>
      </c>
      <c r="M189" s="121">
        <v>0</v>
      </c>
      <c r="N189" s="121">
        <v>0</v>
      </c>
      <c r="O189" s="121">
        <v>0</v>
      </c>
      <c r="P189" s="121">
        <v>3.7377500000000001</v>
      </c>
      <c r="Q189" s="121">
        <v>2.0760700000000001</v>
      </c>
      <c r="R189" s="121">
        <v>5.3905399999999997</v>
      </c>
      <c r="S189" s="121">
        <v>3.7413699999999999</v>
      </c>
      <c r="T189" s="121">
        <v>0.155831</v>
      </c>
      <c r="U189" s="121">
        <v>0</v>
      </c>
      <c r="V189" s="121" t="s">
        <v>1119</v>
      </c>
      <c r="W189" s="121">
        <v>0</v>
      </c>
      <c r="X189" s="121">
        <v>0</v>
      </c>
      <c r="Y189" s="121">
        <v>0</v>
      </c>
      <c r="Z189" s="121">
        <v>5.51</v>
      </c>
      <c r="AA189" s="121">
        <v>0.38461899999999999</v>
      </c>
      <c r="AB189" s="121">
        <v>0</v>
      </c>
      <c r="AC189" s="121">
        <v>0</v>
      </c>
      <c r="AD189" s="121">
        <v>0.39</v>
      </c>
      <c r="AE189" s="121">
        <v>10.65</v>
      </c>
      <c r="AF189" s="121">
        <v>0</v>
      </c>
      <c r="AG189" s="121">
        <v>0</v>
      </c>
      <c r="AH189" s="121">
        <v>0</v>
      </c>
      <c r="AI189" s="121">
        <v>1.82</v>
      </c>
      <c r="AL189" s="14">
        <f t="shared" si="12"/>
        <v>34.348683999999999</v>
      </c>
      <c r="AM189">
        <f t="shared" si="13"/>
        <v>32.528683999999998</v>
      </c>
      <c r="AN189">
        <f t="shared" si="14"/>
        <v>32.528683999999998</v>
      </c>
      <c r="AP189">
        <f>VLOOKUP($B189,Kraftvärmeprod!$B$1:$BX$549,MATCH(AP$1,Kraftvärmeprod!$B$1:$BX$1,0),FALSE)</f>
        <v>38.5565</v>
      </c>
      <c r="AQ189">
        <f>VLOOKUP($B189,Kraftvärmeprod!$B$1:$BX$549,MATCH(AQ$1,Kraftvärmeprod!$B$1:$BX$1,0),FALSE)</f>
        <v>15.3155</v>
      </c>
      <c r="AR189">
        <f>VLOOKUP($B189,Kraftvärmeprod!$B$1:$BX$549,MATCH("Summa tillförd energi exklusive rökgaskondensering",Kraftvärmeprod!$B$1:$BX$1,0),FALSE)</f>
        <v>68.651119999999992</v>
      </c>
      <c r="AT189" s="17">
        <f t="shared" si="15"/>
        <v>0.47382597691050055</v>
      </c>
      <c r="AV189">
        <f t="shared" si="16"/>
        <v>20.996179999999999</v>
      </c>
      <c r="BA189" s="17">
        <f t="shared" si="17"/>
        <v>1.1225029756598535</v>
      </c>
    </row>
    <row r="190" spans="1:53" x14ac:dyDescent="0.25">
      <c r="A190" s="137" t="s">
        <v>457</v>
      </c>
      <c r="B190" s="137" t="s">
        <v>458</v>
      </c>
      <c r="C190" s="121"/>
      <c r="D190" s="121"/>
      <c r="E190" s="121"/>
      <c r="F190" s="121"/>
      <c r="G190" s="121"/>
      <c r="H190" s="121"/>
      <c r="I190" s="121"/>
      <c r="J190" s="121">
        <v>0</v>
      </c>
      <c r="K190" s="121">
        <v>0.16261999999999999</v>
      </c>
      <c r="L190" s="121">
        <v>0</v>
      </c>
      <c r="M190" s="121">
        <v>0</v>
      </c>
      <c r="N190" s="121">
        <v>0</v>
      </c>
      <c r="O190" s="121">
        <v>0</v>
      </c>
      <c r="P190" s="121">
        <v>19.641999999999999</v>
      </c>
      <c r="Q190" s="121">
        <v>84.460300000000004</v>
      </c>
      <c r="R190" s="121">
        <v>3.99973</v>
      </c>
      <c r="S190" s="121">
        <v>0</v>
      </c>
      <c r="T190" s="121">
        <v>0</v>
      </c>
      <c r="U190" s="121">
        <v>0</v>
      </c>
      <c r="V190" s="121" t="s">
        <v>1119</v>
      </c>
      <c r="W190" s="121">
        <v>0</v>
      </c>
      <c r="X190" s="121">
        <v>0</v>
      </c>
      <c r="Y190" s="121">
        <v>0</v>
      </c>
      <c r="Z190" s="121">
        <v>69.0745</v>
      </c>
      <c r="AA190" s="121">
        <v>0</v>
      </c>
      <c r="AB190" s="121">
        <v>0</v>
      </c>
      <c r="AC190" s="121">
        <v>0</v>
      </c>
      <c r="AD190" s="121">
        <v>0</v>
      </c>
      <c r="AE190" s="121">
        <v>0</v>
      </c>
      <c r="AF190" s="121">
        <v>0</v>
      </c>
      <c r="AG190" s="121">
        <v>0</v>
      </c>
      <c r="AH190" s="121">
        <v>95.120999999999995</v>
      </c>
      <c r="AI190" s="121">
        <v>7.2482899999999999</v>
      </c>
      <c r="AL190" s="14">
        <f t="shared" si="12"/>
        <v>279.70844</v>
      </c>
      <c r="AM190">
        <f t="shared" si="13"/>
        <v>272.46015</v>
      </c>
      <c r="AN190">
        <f t="shared" si="14"/>
        <v>177.33915000000002</v>
      </c>
      <c r="AP190">
        <f>VLOOKUP($B190,Kraftvärmeprod!$B$1:$BX$549,MATCH(AP$1,Kraftvärmeprod!$B$1:$BX$1,0),FALSE)</f>
        <v>216.57400000000001</v>
      </c>
      <c r="AQ190">
        <f>VLOOKUP($B190,Kraftvärmeprod!$B$1:$BX$549,MATCH(AQ$1,Kraftvärmeprod!$B$1:$BX$1,0),FALSE)</f>
        <v>97.036000000000001</v>
      </c>
      <c r="AR190">
        <f>VLOOKUP($B190,Kraftvärmeprod!$B$1:$BX$549,MATCH("Summa tillförd energi exklusive rökgaskondensering",Kraftvärmeprod!$B$1:$BX$1,0),FALSE)</f>
        <v>384.36599999999999</v>
      </c>
      <c r="AT190" s="17">
        <f t="shared" si="15"/>
        <v>0.46138094940759594</v>
      </c>
      <c r="AV190">
        <f t="shared" si="16"/>
        <v>177.17653000000001</v>
      </c>
      <c r="BA190" s="17">
        <f t="shared" si="17"/>
        <v>1.1732867631730524</v>
      </c>
    </row>
    <row r="191" spans="1:53" x14ac:dyDescent="0.25">
      <c r="A191" s="137" t="s">
        <v>457</v>
      </c>
      <c r="B191" s="137" t="s">
        <v>459</v>
      </c>
      <c r="C191" s="121"/>
      <c r="D191" s="121"/>
      <c r="E191" s="121"/>
      <c r="F191" s="121"/>
      <c r="G191" s="121"/>
      <c r="H191" s="121"/>
      <c r="I191" s="121"/>
      <c r="J191" s="121">
        <v>0</v>
      </c>
      <c r="K191" s="121">
        <v>0</v>
      </c>
      <c r="L191" s="121">
        <v>0</v>
      </c>
      <c r="M191" s="121">
        <v>0</v>
      </c>
      <c r="N191" s="121">
        <v>0</v>
      </c>
      <c r="O191" s="121">
        <v>0</v>
      </c>
      <c r="P191" s="121">
        <v>30.2178</v>
      </c>
      <c r="Q191" s="121">
        <v>0</v>
      </c>
      <c r="R191" s="121">
        <v>0</v>
      </c>
      <c r="S191" s="121">
        <v>0</v>
      </c>
      <c r="T191" s="121">
        <v>0</v>
      </c>
      <c r="U191" s="121">
        <v>0</v>
      </c>
      <c r="V191" s="121" t="s">
        <v>1119</v>
      </c>
      <c r="W191" s="121">
        <v>0</v>
      </c>
      <c r="X191" s="121">
        <v>0</v>
      </c>
      <c r="Y191" s="121">
        <v>0</v>
      </c>
      <c r="Z191" s="121">
        <v>0</v>
      </c>
      <c r="AA191" s="121">
        <v>0</v>
      </c>
      <c r="AB191" s="121">
        <v>0</v>
      </c>
      <c r="AC191" s="121">
        <v>0</v>
      </c>
      <c r="AD191" s="121">
        <v>0</v>
      </c>
      <c r="AE191" s="121">
        <v>0</v>
      </c>
      <c r="AF191" s="121">
        <v>0</v>
      </c>
      <c r="AG191" s="121">
        <v>0</v>
      </c>
      <c r="AH191" s="121">
        <v>16.21</v>
      </c>
      <c r="AI191" s="121">
        <v>1.2359100000000001</v>
      </c>
      <c r="AL191" s="14">
        <f t="shared" si="12"/>
        <v>47.663710000000002</v>
      </c>
      <c r="AM191">
        <f t="shared" si="13"/>
        <v>46.427800000000005</v>
      </c>
      <c r="AN191">
        <f t="shared" si="14"/>
        <v>30.217800000000004</v>
      </c>
      <c r="AP191">
        <f>VLOOKUP($B191,Kraftvärmeprod!$B$1:$BX$549,MATCH(AP$1,Kraftvärmeprod!$B$1:$BX$1,0),FALSE)</f>
        <v>36.906999999999996</v>
      </c>
      <c r="AQ191">
        <f>VLOOKUP($B191,Kraftvärmeprod!$B$1:$BX$549,MATCH(AQ$1,Kraftvärmeprod!$B$1:$BX$1,0),FALSE)</f>
        <v>16.536000000000001</v>
      </c>
      <c r="AR191">
        <f>VLOOKUP($B191,Kraftvärmeprod!$B$1:$BX$549,MATCH("Summa tillförd energi exklusive rökgaskondensering",Kraftvärmeprod!$B$1:$BX$1,0),FALSE)</f>
        <v>65.501000000000005</v>
      </c>
      <c r="AT191" s="17">
        <f t="shared" si="15"/>
        <v>0.46133341475702666</v>
      </c>
      <c r="AV191">
        <f t="shared" si="16"/>
        <v>30.2178</v>
      </c>
      <c r="BA191" s="17">
        <f t="shared" si="17"/>
        <v>1.1733750962922973</v>
      </c>
    </row>
    <row r="192" spans="1:53" x14ac:dyDescent="0.25">
      <c r="A192" s="137" t="s">
        <v>457</v>
      </c>
      <c r="B192" s="137" t="s">
        <v>460</v>
      </c>
      <c r="C192" s="121"/>
      <c r="D192" s="121"/>
      <c r="E192" s="121"/>
      <c r="F192" s="121"/>
      <c r="G192" s="121"/>
      <c r="H192" s="121"/>
      <c r="I192" s="121"/>
      <c r="J192" s="121">
        <v>0</v>
      </c>
      <c r="K192" s="121">
        <v>0</v>
      </c>
      <c r="L192" s="121">
        <v>0</v>
      </c>
      <c r="M192" s="121">
        <v>0</v>
      </c>
      <c r="N192" s="121">
        <v>0</v>
      </c>
      <c r="O192" s="121">
        <v>0</v>
      </c>
      <c r="P192" s="121">
        <v>4.0941099999999997</v>
      </c>
      <c r="Q192" s="121">
        <v>2.5399600000000002</v>
      </c>
      <c r="R192" s="121">
        <v>0.20297499999999999</v>
      </c>
      <c r="S192" s="121">
        <v>0</v>
      </c>
      <c r="T192" s="121">
        <v>0</v>
      </c>
      <c r="U192" s="121">
        <v>0</v>
      </c>
      <c r="V192" s="121" t="s">
        <v>1119</v>
      </c>
      <c r="W192" s="121">
        <v>0</v>
      </c>
      <c r="X192" s="121">
        <v>0</v>
      </c>
      <c r="Y192" s="121">
        <v>0</v>
      </c>
      <c r="Z192" s="121">
        <v>0</v>
      </c>
      <c r="AA192" s="121">
        <v>0</v>
      </c>
      <c r="AB192" s="121">
        <v>0</v>
      </c>
      <c r="AC192" s="121">
        <v>0</v>
      </c>
      <c r="AD192" s="121">
        <v>0</v>
      </c>
      <c r="AE192" s="121">
        <v>0</v>
      </c>
      <c r="AF192" s="121">
        <v>0</v>
      </c>
      <c r="AG192" s="121">
        <v>0</v>
      </c>
      <c r="AH192" s="121">
        <v>3.6680000000000001</v>
      </c>
      <c r="AI192" s="121">
        <v>0.279553</v>
      </c>
      <c r="AL192" s="14">
        <f t="shared" si="12"/>
        <v>10.784597999999999</v>
      </c>
      <c r="AM192">
        <f t="shared" si="13"/>
        <v>10.505044999999999</v>
      </c>
      <c r="AN192">
        <f t="shared" si="14"/>
        <v>6.8370449999999989</v>
      </c>
      <c r="AP192">
        <f>VLOOKUP($B192,Kraftvärmeprod!$B$1:$BX$549,MATCH(AP$1,Kraftvärmeprod!$B$1:$BX$1,0),FALSE)</f>
        <v>8.3510000000000009</v>
      </c>
      <c r="AQ192">
        <f>VLOOKUP($B192,Kraftvärmeprod!$B$1:$BX$549,MATCH(AQ$1,Kraftvärmeprod!$B$1:$BX$1,0),FALSE)</f>
        <v>3.742</v>
      </c>
      <c r="AR192">
        <f>VLOOKUP($B192,Kraftvärmeprod!$B$1:$BX$549,MATCH("Summa tillförd energi exklusive rökgaskondensering",Kraftvärmeprod!$B$1:$BX$1,0),FALSE)</f>
        <v>14.821</v>
      </c>
      <c r="AT192" s="17">
        <f t="shared" si="15"/>
        <v>0.46130794143445103</v>
      </c>
      <c r="AV192">
        <f t="shared" si="16"/>
        <v>6.8370449999999998</v>
      </c>
      <c r="BA192" s="17">
        <f t="shared" si="17"/>
        <v>1.1734539452699173</v>
      </c>
    </row>
    <row r="193" spans="1:53" x14ac:dyDescent="0.25">
      <c r="A193" s="137" t="s">
        <v>461</v>
      </c>
      <c r="B193" s="137" t="s">
        <v>462</v>
      </c>
      <c r="C193" s="121"/>
      <c r="D193" s="121"/>
      <c r="E193" s="121"/>
      <c r="F193" s="121"/>
      <c r="G193" s="121"/>
      <c r="H193" s="121"/>
      <c r="I193" s="121"/>
      <c r="J193" s="121">
        <v>0</v>
      </c>
      <c r="K193" s="121">
        <v>0</v>
      </c>
      <c r="L193" s="121">
        <v>0</v>
      </c>
      <c r="M193" s="121">
        <v>0</v>
      </c>
      <c r="N193" s="121">
        <v>0</v>
      </c>
      <c r="O193" s="121">
        <v>0</v>
      </c>
      <c r="P193" s="121">
        <v>0</v>
      </c>
      <c r="Q193" s="121">
        <v>0</v>
      </c>
      <c r="R193" s="121">
        <v>0</v>
      </c>
      <c r="S193" s="121">
        <v>0</v>
      </c>
      <c r="T193" s="121">
        <v>0</v>
      </c>
      <c r="U193" s="121">
        <v>0</v>
      </c>
      <c r="V193" s="121" t="s">
        <v>1119</v>
      </c>
      <c r="W193" s="121">
        <v>0</v>
      </c>
      <c r="X193" s="121">
        <v>0</v>
      </c>
      <c r="Y193" s="121">
        <v>0</v>
      </c>
      <c r="Z193" s="121">
        <v>0</v>
      </c>
      <c r="AA193" s="121">
        <v>0</v>
      </c>
      <c r="AB193" s="121">
        <v>0</v>
      </c>
      <c r="AC193" s="121">
        <v>0</v>
      </c>
      <c r="AD193" s="121">
        <v>0</v>
      </c>
      <c r="AE193" s="121">
        <v>0</v>
      </c>
      <c r="AF193" s="121">
        <v>0</v>
      </c>
      <c r="AG193" s="121">
        <v>0</v>
      </c>
      <c r="AH193" s="121">
        <v>0</v>
      </c>
      <c r="AI193" s="121">
        <v>0</v>
      </c>
      <c r="AL193" s="14">
        <f t="shared" si="12"/>
        <v>0</v>
      </c>
      <c r="AM193">
        <f t="shared" si="13"/>
        <v>0</v>
      </c>
      <c r="AN193">
        <f t="shared" si="14"/>
        <v>0</v>
      </c>
      <c r="AP193">
        <f>VLOOKUP($B193,Kraftvärmeprod!$B$1:$BX$549,MATCH(AP$1,Kraftvärmeprod!$B$1:$BX$1,0),FALSE)</f>
        <v>0</v>
      </c>
      <c r="AQ193">
        <f>VLOOKUP($B193,Kraftvärmeprod!$B$1:$BX$549,MATCH(AQ$1,Kraftvärmeprod!$B$1:$BX$1,0),FALSE)</f>
        <v>0</v>
      </c>
      <c r="AR193">
        <f>VLOOKUP($B193,Kraftvärmeprod!$B$1:$BX$549,MATCH("Summa tillförd energi exklusive rökgaskondensering",Kraftvärmeprod!$B$1:$BX$1,0),FALSE)</f>
        <v>0</v>
      </c>
      <c r="AT193" s="17" t="str">
        <f t="shared" si="15"/>
        <v/>
      </c>
      <c r="AV193">
        <f t="shared" si="16"/>
        <v>0</v>
      </c>
      <c r="BA193" s="17" t="str">
        <f t="shared" si="17"/>
        <v/>
      </c>
    </row>
    <row r="194" spans="1:53" x14ac:dyDescent="0.25">
      <c r="A194" s="137" t="s">
        <v>461</v>
      </c>
      <c r="B194" s="137" t="s">
        <v>464</v>
      </c>
      <c r="C194" s="121"/>
      <c r="D194" s="121"/>
      <c r="E194" s="121"/>
      <c r="F194" s="121"/>
      <c r="G194" s="121"/>
      <c r="H194" s="121"/>
      <c r="I194" s="121"/>
      <c r="J194" s="121">
        <v>0</v>
      </c>
      <c r="K194" s="121">
        <v>0</v>
      </c>
      <c r="L194" s="121">
        <v>0</v>
      </c>
      <c r="M194" s="121">
        <v>0</v>
      </c>
      <c r="N194" s="121">
        <v>0</v>
      </c>
      <c r="O194" s="121">
        <v>0</v>
      </c>
      <c r="P194" s="121">
        <v>0</v>
      </c>
      <c r="Q194" s="121">
        <v>0</v>
      </c>
      <c r="R194" s="121">
        <v>0</v>
      </c>
      <c r="S194" s="121">
        <v>0</v>
      </c>
      <c r="T194" s="121">
        <v>0</v>
      </c>
      <c r="U194" s="121">
        <v>0</v>
      </c>
      <c r="V194" s="121" t="s">
        <v>1119</v>
      </c>
      <c r="W194" s="121">
        <v>0</v>
      </c>
      <c r="X194" s="121">
        <v>0</v>
      </c>
      <c r="Y194" s="121">
        <v>0</v>
      </c>
      <c r="Z194" s="121">
        <v>0</v>
      </c>
      <c r="AA194" s="121">
        <v>0</v>
      </c>
      <c r="AB194" s="121">
        <v>0</v>
      </c>
      <c r="AC194" s="121">
        <v>0</v>
      </c>
      <c r="AD194" s="121">
        <v>0</v>
      </c>
      <c r="AE194" s="121">
        <v>0</v>
      </c>
      <c r="AF194" s="121">
        <v>0</v>
      </c>
      <c r="AG194" s="121">
        <v>0</v>
      </c>
      <c r="AH194" s="121">
        <v>0</v>
      </c>
      <c r="AI194" s="121">
        <v>0</v>
      </c>
      <c r="AL194" s="14">
        <f t="shared" ref="AL194:AL257" si="18">SUM(J194:U194,W194:AI194)</f>
        <v>0</v>
      </c>
      <c r="AM194">
        <f t="shared" ref="AM194:AM257" si="19">AL194-IFERROR(AI194/1,0)</f>
        <v>0</v>
      </c>
      <c r="AN194">
        <f t="shared" ref="AN194:AN257" si="20">AM194-IFERROR(AH194/1,0)</f>
        <v>0</v>
      </c>
      <c r="AP194">
        <f>VLOOKUP($B194,Kraftvärmeprod!$B$1:$BX$549,MATCH(AP$1,Kraftvärmeprod!$B$1:$BX$1,0),FALSE)</f>
        <v>0</v>
      </c>
      <c r="AQ194">
        <f>VLOOKUP($B194,Kraftvärmeprod!$B$1:$BX$549,MATCH(AQ$1,Kraftvärmeprod!$B$1:$BX$1,0),FALSE)</f>
        <v>0</v>
      </c>
      <c r="AR194">
        <f>VLOOKUP($B194,Kraftvärmeprod!$B$1:$BX$549,MATCH("Summa tillförd energi exklusive rökgaskondensering",Kraftvärmeprod!$B$1:$BX$1,0),FALSE)</f>
        <v>0</v>
      </c>
      <c r="AT194" s="17" t="str">
        <f t="shared" ref="AT194:AT257" si="21">IF(AN194=0,"",AN194/AR194)</f>
        <v/>
      </c>
      <c r="AV194">
        <f t="shared" ref="AV194:AV257" si="22">Q194+R194+S194+T194+U194+P194+X194+Y194+Z194+AA194+AB194+AC194+W194</f>
        <v>0</v>
      </c>
      <c r="BA194" s="17" t="str">
        <f t="shared" ref="BA194:BA257" si="23">IFERROR(AP194/(AN194+AI194),"")</f>
        <v/>
      </c>
    </row>
    <row r="195" spans="1:53" x14ac:dyDescent="0.25">
      <c r="A195" s="137" t="s">
        <v>461</v>
      </c>
      <c r="B195" s="137" t="s">
        <v>465</v>
      </c>
      <c r="C195" s="121"/>
      <c r="D195" s="121"/>
      <c r="E195" s="121"/>
      <c r="F195" s="121"/>
      <c r="G195" s="121"/>
      <c r="H195" s="121"/>
      <c r="I195" s="121"/>
      <c r="J195" s="121">
        <v>0</v>
      </c>
      <c r="K195" s="121">
        <v>0</v>
      </c>
      <c r="L195" s="121">
        <v>0</v>
      </c>
      <c r="M195" s="121">
        <v>0</v>
      </c>
      <c r="N195" s="121">
        <v>0</v>
      </c>
      <c r="O195" s="121">
        <v>0</v>
      </c>
      <c r="P195" s="121">
        <v>0</v>
      </c>
      <c r="Q195" s="121">
        <v>0</v>
      </c>
      <c r="R195" s="121">
        <v>0</v>
      </c>
      <c r="S195" s="121">
        <v>0</v>
      </c>
      <c r="T195" s="121">
        <v>0</v>
      </c>
      <c r="U195" s="121">
        <v>0</v>
      </c>
      <c r="V195" s="121" t="s">
        <v>1119</v>
      </c>
      <c r="W195" s="121">
        <v>0</v>
      </c>
      <c r="X195" s="121">
        <v>0</v>
      </c>
      <c r="Y195" s="121">
        <v>0</v>
      </c>
      <c r="Z195" s="121">
        <v>0</v>
      </c>
      <c r="AA195" s="121">
        <v>0</v>
      </c>
      <c r="AB195" s="121">
        <v>0</v>
      </c>
      <c r="AC195" s="121">
        <v>0</v>
      </c>
      <c r="AD195" s="121">
        <v>0</v>
      </c>
      <c r="AE195" s="121">
        <v>0</v>
      </c>
      <c r="AF195" s="121">
        <v>0</v>
      </c>
      <c r="AG195" s="121">
        <v>0</v>
      </c>
      <c r="AH195" s="121">
        <v>0</v>
      </c>
      <c r="AI195" s="121">
        <v>0</v>
      </c>
      <c r="AL195" s="14">
        <f t="shared" si="18"/>
        <v>0</v>
      </c>
      <c r="AM195">
        <f t="shared" si="19"/>
        <v>0</v>
      </c>
      <c r="AN195">
        <f t="shared" si="20"/>
        <v>0</v>
      </c>
      <c r="AP195">
        <f>VLOOKUP($B195,Kraftvärmeprod!$B$1:$BX$549,MATCH(AP$1,Kraftvärmeprod!$B$1:$BX$1,0),FALSE)</f>
        <v>0</v>
      </c>
      <c r="AQ195">
        <f>VLOOKUP($B195,Kraftvärmeprod!$B$1:$BX$549,MATCH(AQ$1,Kraftvärmeprod!$B$1:$BX$1,0),FALSE)</f>
        <v>0</v>
      </c>
      <c r="AR195">
        <f>VLOOKUP($B195,Kraftvärmeprod!$B$1:$BX$549,MATCH("Summa tillförd energi exklusive rökgaskondensering",Kraftvärmeprod!$B$1:$BX$1,0),FALSE)</f>
        <v>0</v>
      </c>
      <c r="AT195" s="17" t="str">
        <f t="shared" si="21"/>
        <v/>
      </c>
      <c r="AV195">
        <f t="shared" si="22"/>
        <v>0</v>
      </c>
      <c r="BA195" s="17" t="str">
        <f t="shared" si="23"/>
        <v/>
      </c>
    </row>
    <row r="196" spans="1:53" x14ac:dyDescent="0.25">
      <c r="A196" s="137" t="s">
        <v>461</v>
      </c>
      <c r="B196" s="137" t="s">
        <v>101</v>
      </c>
      <c r="C196" s="121"/>
      <c r="D196" s="121"/>
      <c r="E196" s="121"/>
      <c r="F196" s="121"/>
      <c r="G196" s="121"/>
      <c r="H196" s="121"/>
      <c r="I196" s="121"/>
      <c r="J196" s="121">
        <v>0</v>
      </c>
      <c r="K196" s="121">
        <v>0</v>
      </c>
      <c r="L196" s="121">
        <v>0</v>
      </c>
      <c r="M196" s="121">
        <v>0</v>
      </c>
      <c r="N196" s="121">
        <v>0</v>
      </c>
      <c r="O196" s="121">
        <v>0</v>
      </c>
      <c r="P196" s="121">
        <v>0</v>
      </c>
      <c r="Q196" s="121">
        <v>0</v>
      </c>
      <c r="R196" s="121">
        <v>0</v>
      </c>
      <c r="S196" s="121">
        <v>0</v>
      </c>
      <c r="T196" s="121">
        <v>0</v>
      </c>
      <c r="U196" s="121">
        <v>0</v>
      </c>
      <c r="V196" s="121" t="s">
        <v>1119</v>
      </c>
      <c r="W196" s="121">
        <v>0</v>
      </c>
      <c r="X196" s="121">
        <v>0</v>
      </c>
      <c r="Y196" s="121">
        <v>0</v>
      </c>
      <c r="Z196" s="121">
        <v>0</v>
      </c>
      <c r="AA196" s="121">
        <v>0</v>
      </c>
      <c r="AB196" s="121">
        <v>0</v>
      </c>
      <c r="AC196" s="121">
        <v>0</v>
      </c>
      <c r="AD196" s="121">
        <v>0</v>
      </c>
      <c r="AE196" s="121">
        <v>0</v>
      </c>
      <c r="AF196" s="121">
        <v>0</v>
      </c>
      <c r="AG196" s="121">
        <v>0</v>
      </c>
      <c r="AH196" s="121">
        <v>0</v>
      </c>
      <c r="AI196" s="121">
        <v>0</v>
      </c>
      <c r="AL196" s="14">
        <f t="shared" si="18"/>
        <v>0</v>
      </c>
      <c r="AM196">
        <f t="shared" si="19"/>
        <v>0</v>
      </c>
      <c r="AN196">
        <f t="shared" si="20"/>
        <v>0</v>
      </c>
      <c r="AP196">
        <f>VLOOKUP($B196,Kraftvärmeprod!$B$1:$BX$549,MATCH(AP$1,Kraftvärmeprod!$B$1:$BX$1,0),FALSE)</f>
        <v>0</v>
      </c>
      <c r="AQ196">
        <f>VLOOKUP($B196,Kraftvärmeprod!$B$1:$BX$549,MATCH(AQ$1,Kraftvärmeprod!$B$1:$BX$1,0),FALSE)</f>
        <v>0</v>
      </c>
      <c r="AR196">
        <f>VLOOKUP($B196,Kraftvärmeprod!$B$1:$BX$549,MATCH("Summa tillförd energi exklusive rökgaskondensering",Kraftvärmeprod!$B$1:$BX$1,0),FALSE)</f>
        <v>0</v>
      </c>
      <c r="AT196" s="17" t="str">
        <f t="shared" si="21"/>
        <v/>
      </c>
      <c r="AV196">
        <f t="shared" si="22"/>
        <v>0</v>
      </c>
      <c r="BA196" s="17" t="str">
        <f t="shared" si="23"/>
        <v/>
      </c>
    </row>
    <row r="197" spans="1:53" x14ac:dyDescent="0.25">
      <c r="A197" s="137" t="s">
        <v>461</v>
      </c>
      <c r="B197" s="137" t="s">
        <v>103</v>
      </c>
      <c r="C197" s="121"/>
      <c r="D197" s="121"/>
      <c r="E197" s="121"/>
      <c r="F197" s="121"/>
      <c r="G197" s="121"/>
      <c r="H197" s="121"/>
      <c r="I197" s="121"/>
      <c r="J197" s="121">
        <v>0</v>
      </c>
      <c r="K197" s="121">
        <v>0</v>
      </c>
      <c r="L197" s="121">
        <v>0</v>
      </c>
      <c r="M197" s="121">
        <v>0</v>
      </c>
      <c r="N197" s="121">
        <v>0</v>
      </c>
      <c r="O197" s="121">
        <v>0</v>
      </c>
      <c r="P197" s="121">
        <v>0</v>
      </c>
      <c r="Q197" s="121">
        <v>0</v>
      </c>
      <c r="R197" s="121">
        <v>0</v>
      </c>
      <c r="S197" s="121">
        <v>0</v>
      </c>
      <c r="T197" s="121">
        <v>0</v>
      </c>
      <c r="U197" s="121">
        <v>0</v>
      </c>
      <c r="V197" s="121" t="s">
        <v>1119</v>
      </c>
      <c r="W197" s="121">
        <v>0</v>
      </c>
      <c r="X197" s="121">
        <v>0</v>
      </c>
      <c r="Y197" s="121">
        <v>0</v>
      </c>
      <c r="Z197" s="121">
        <v>0</v>
      </c>
      <c r="AA197" s="121">
        <v>0</v>
      </c>
      <c r="AB197" s="121">
        <v>0</v>
      </c>
      <c r="AC197" s="121">
        <v>0</v>
      </c>
      <c r="AD197" s="121">
        <v>0</v>
      </c>
      <c r="AE197" s="121">
        <v>0</v>
      </c>
      <c r="AF197" s="121">
        <v>0</v>
      </c>
      <c r="AG197" s="121">
        <v>0</v>
      </c>
      <c r="AH197" s="121">
        <v>0</v>
      </c>
      <c r="AI197" s="121">
        <v>0</v>
      </c>
      <c r="AL197" s="14">
        <f t="shared" si="18"/>
        <v>0</v>
      </c>
      <c r="AM197">
        <f t="shared" si="19"/>
        <v>0</v>
      </c>
      <c r="AN197">
        <f t="shared" si="20"/>
        <v>0</v>
      </c>
      <c r="AP197">
        <f>VLOOKUP($B197,Kraftvärmeprod!$B$1:$BX$549,MATCH(AP$1,Kraftvärmeprod!$B$1:$BX$1,0),FALSE)</f>
        <v>0</v>
      </c>
      <c r="AQ197">
        <f>VLOOKUP($B197,Kraftvärmeprod!$B$1:$BX$549,MATCH(AQ$1,Kraftvärmeprod!$B$1:$BX$1,0),FALSE)</f>
        <v>0</v>
      </c>
      <c r="AR197">
        <f>VLOOKUP($B197,Kraftvärmeprod!$B$1:$BX$549,MATCH("Summa tillförd energi exklusive rökgaskondensering",Kraftvärmeprod!$B$1:$BX$1,0),FALSE)</f>
        <v>0</v>
      </c>
      <c r="AT197" s="17" t="str">
        <f t="shared" si="21"/>
        <v/>
      </c>
      <c r="AV197">
        <f t="shared" si="22"/>
        <v>0</v>
      </c>
      <c r="BA197" s="17" t="str">
        <f t="shared" si="23"/>
        <v/>
      </c>
    </row>
    <row r="198" spans="1:53" x14ac:dyDescent="0.25">
      <c r="A198" s="137" t="s">
        <v>461</v>
      </c>
      <c r="B198" s="137" t="s">
        <v>468</v>
      </c>
      <c r="C198" s="121"/>
      <c r="D198" s="121"/>
      <c r="E198" s="121"/>
      <c r="F198" s="121"/>
      <c r="G198" s="121"/>
      <c r="H198" s="121"/>
      <c r="I198" s="121"/>
      <c r="J198" s="121">
        <v>0</v>
      </c>
      <c r="K198" s="121">
        <v>0</v>
      </c>
      <c r="L198" s="121">
        <v>0</v>
      </c>
      <c r="M198" s="121">
        <v>0</v>
      </c>
      <c r="N198" s="121">
        <v>0</v>
      </c>
      <c r="O198" s="121">
        <v>0</v>
      </c>
      <c r="P198" s="121">
        <v>0</v>
      </c>
      <c r="Q198" s="121">
        <v>0</v>
      </c>
      <c r="R198" s="121">
        <v>0</v>
      </c>
      <c r="S198" s="121">
        <v>0</v>
      </c>
      <c r="T198" s="121">
        <v>0</v>
      </c>
      <c r="U198" s="121">
        <v>0</v>
      </c>
      <c r="V198" s="121" t="s">
        <v>1119</v>
      </c>
      <c r="W198" s="121">
        <v>0</v>
      </c>
      <c r="X198" s="121">
        <v>0</v>
      </c>
      <c r="Y198" s="121">
        <v>0</v>
      </c>
      <c r="Z198" s="121">
        <v>0</v>
      </c>
      <c r="AA198" s="121">
        <v>0</v>
      </c>
      <c r="AB198" s="121">
        <v>0</v>
      </c>
      <c r="AC198" s="121">
        <v>0</v>
      </c>
      <c r="AD198" s="121">
        <v>0</v>
      </c>
      <c r="AE198" s="121">
        <v>0</v>
      </c>
      <c r="AF198" s="121">
        <v>0</v>
      </c>
      <c r="AG198" s="121">
        <v>0</v>
      </c>
      <c r="AH198" s="121">
        <v>0</v>
      </c>
      <c r="AI198" s="121">
        <v>0</v>
      </c>
      <c r="AL198" s="14">
        <f t="shared" si="18"/>
        <v>0</v>
      </c>
      <c r="AM198">
        <f t="shared" si="19"/>
        <v>0</v>
      </c>
      <c r="AN198">
        <f t="shared" si="20"/>
        <v>0</v>
      </c>
      <c r="AP198">
        <f>VLOOKUP($B198,Kraftvärmeprod!$B$1:$BX$549,MATCH(AP$1,Kraftvärmeprod!$B$1:$BX$1,0),FALSE)</f>
        <v>0</v>
      </c>
      <c r="AQ198">
        <f>VLOOKUP($B198,Kraftvärmeprod!$B$1:$BX$549,MATCH(AQ$1,Kraftvärmeprod!$B$1:$BX$1,0),FALSE)</f>
        <v>0</v>
      </c>
      <c r="AR198">
        <f>VLOOKUP($B198,Kraftvärmeprod!$B$1:$BX$549,MATCH("Summa tillförd energi exklusive rökgaskondensering",Kraftvärmeprod!$B$1:$BX$1,0),FALSE)</f>
        <v>0</v>
      </c>
      <c r="AT198" s="17" t="str">
        <f t="shared" si="21"/>
        <v/>
      </c>
      <c r="AV198">
        <f t="shared" si="22"/>
        <v>0</v>
      </c>
      <c r="BA198" s="17" t="str">
        <f t="shared" si="23"/>
        <v/>
      </c>
    </row>
    <row r="199" spans="1:53" x14ac:dyDescent="0.25">
      <c r="A199" s="137" t="s">
        <v>461</v>
      </c>
      <c r="B199" s="137" t="s">
        <v>105</v>
      </c>
      <c r="C199" s="121"/>
      <c r="D199" s="121"/>
      <c r="E199" s="121"/>
      <c r="F199" s="121"/>
      <c r="G199" s="121"/>
      <c r="H199" s="121"/>
      <c r="I199" s="121"/>
      <c r="J199" s="121">
        <v>0</v>
      </c>
      <c r="K199" s="121">
        <v>0</v>
      </c>
      <c r="L199" s="121">
        <v>0</v>
      </c>
      <c r="M199" s="121">
        <v>0</v>
      </c>
      <c r="N199" s="121">
        <v>0</v>
      </c>
      <c r="O199" s="121">
        <v>0</v>
      </c>
      <c r="P199" s="121">
        <v>0</v>
      </c>
      <c r="Q199" s="121">
        <v>0</v>
      </c>
      <c r="R199" s="121">
        <v>0</v>
      </c>
      <c r="S199" s="121">
        <v>0</v>
      </c>
      <c r="T199" s="121">
        <v>0</v>
      </c>
      <c r="U199" s="121">
        <v>0</v>
      </c>
      <c r="V199" s="121" t="s">
        <v>1119</v>
      </c>
      <c r="W199" s="121">
        <v>0</v>
      </c>
      <c r="X199" s="121">
        <v>0</v>
      </c>
      <c r="Y199" s="121">
        <v>0</v>
      </c>
      <c r="Z199" s="121">
        <v>0</v>
      </c>
      <c r="AA199" s="121">
        <v>0</v>
      </c>
      <c r="AB199" s="121">
        <v>0</v>
      </c>
      <c r="AC199" s="121">
        <v>0</v>
      </c>
      <c r="AD199" s="121">
        <v>0</v>
      </c>
      <c r="AE199" s="121">
        <v>0</v>
      </c>
      <c r="AF199" s="121">
        <v>0</v>
      </c>
      <c r="AG199" s="121">
        <v>0</v>
      </c>
      <c r="AH199" s="121">
        <v>0</v>
      </c>
      <c r="AI199" s="121">
        <v>0</v>
      </c>
      <c r="AL199" s="14">
        <f t="shared" si="18"/>
        <v>0</v>
      </c>
      <c r="AM199">
        <f t="shared" si="19"/>
        <v>0</v>
      </c>
      <c r="AN199">
        <f t="shared" si="20"/>
        <v>0</v>
      </c>
      <c r="AP199">
        <f>VLOOKUP($B199,Kraftvärmeprod!$B$1:$BX$549,MATCH(AP$1,Kraftvärmeprod!$B$1:$BX$1,0),FALSE)</f>
        <v>0</v>
      </c>
      <c r="AQ199">
        <f>VLOOKUP($B199,Kraftvärmeprod!$B$1:$BX$549,MATCH(AQ$1,Kraftvärmeprod!$B$1:$BX$1,0),FALSE)</f>
        <v>0</v>
      </c>
      <c r="AR199">
        <f>VLOOKUP($B199,Kraftvärmeprod!$B$1:$BX$549,MATCH("Summa tillförd energi exklusive rökgaskondensering",Kraftvärmeprod!$B$1:$BX$1,0),FALSE)</f>
        <v>0</v>
      </c>
      <c r="AT199" s="17" t="str">
        <f t="shared" si="21"/>
        <v/>
      </c>
      <c r="AV199">
        <f t="shared" si="22"/>
        <v>0</v>
      </c>
      <c r="BA199" s="17" t="str">
        <f t="shared" si="23"/>
        <v/>
      </c>
    </row>
    <row r="200" spans="1:53" x14ac:dyDescent="0.25">
      <c r="A200" s="137" t="s">
        <v>461</v>
      </c>
      <c r="B200" s="137" t="s">
        <v>107</v>
      </c>
      <c r="C200" s="121"/>
      <c r="D200" s="121"/>
      <c r="E200" s="121"/>
      <c r="F200" s="121"/>
      <c r="G200" s="121"/>
      <c r="H200" s="121"/>
      <c r="I200" s="121"/>
      <c r="J200" s="121">
        <v>0</v>
      </c>
      <c r="K200" s="121">
        <v>0</v>
      </c>
      <c r="L200" s="121">
        <v>0</v>
      </c>
      <c r="M200" s="121">
        <v>0</v>
      </c>
      <c r="N200" s="121">
        <v>0</v>
      </c>
      <c r="O200" s="121">
        <v>0</v>
      </c>
      <c r="P200" s="121">
        <v>0</v>
      </c>
      <c r="Q200" s="121">
        <v>0</v>
      </c>
      <c r="R200" s="121">
        <v>0</v>
      </c>
      <c r="S200" s="121">
        <v>0</v>
      </c>
      <c r="T200" s="121">
        <v>0</v>
      </c>
      <c r="U200" s="121">
        <v>0</v>
      </c>
      <c r="V200" s="121" t="s">
        <v>1119</v>
      </c>
      <c r="W200" s="121">
        <v>0</v>
      </c>
      <c r="X200" s="121">
        <v>0</v>
      </c>
      <c r="Y200" s="121">
        <v>0</v>
      </c>
      <c r="Z200" s="121">
        <v>0</v>
      </c>
      <c r="AA200" s="121">
        <v>0</v>
      </c>
      <c r="AB200" s="121">
        <v>0</v>
      </c>
      <c r="AC200" s="121">
        <v>0</v>
      </c>
      <c r="AD200" s="121">
        <v>0</v>
      </c>
      <c r="AE200" s="121">
        <v>0</v>
      </c>
      <c r="AF200" s="121">
        <v>0</v>
      </c>
      <c r="AG200" s="121">
        <v>0</v>
      </c>
      <c r="AH200" s="121">
        <v>0</v>
      </c>
      <c r="AI200" s="121">
        <v>0</v>
      </c>
      <c r="AL200" s="14">
        <f t="shared" si="18"/>
        <v>0</v>
      </c>
      <c r="AM200">
        <f t="shared" si="19"/>
        <v>0</v>
      </c>
      <c r="AN200">
        <f t="shared" si="20"/>
        <v>0</v>
      </c>
      <c r="AP200">
        <f>VLOOKUP($B200,Kraftvärmeprod!$B$1:$BX$549,MATCH(AP$1,Kraftvärmeprod!$B$1:$BX$1,0),FALSE)</f>
        <v>0</v>
      </c>
      <c r="AQ200">
        <f>VLOOKUP($B200,Kraftvärmeprod!$B$1:$BX$549,MATCH(AQ$1,Kraftvärmeprod!$B$1:$BX$1,0),FALSE)</f>
        <v>0</v>
      </c>
      <c r="AR200">
        <f>VLOOKUP($B200,Kraftvärmeprod!$B$1:$BX$549,MATCH("Summa tillförd energi exklusive rökgaskondensering",Kraftvärmeprod!$B$1:$BX$1,0),FALSE)</f>
        <v>0</v>
      </c>
      <c r="AT200" s="17" t="str">
        <f t="shared" si="21"/>
        <v/>
      </c>
      <c r="AV200">
        <f t="shared" si="22"/>
        <v>0</v>
      </c>
      <c r="BA200" s="17" t="str">
        <f t="shared" si="23"/>
        <v/>
      </c>
    </row>
    <row r="201" spans="1:53" x14ac:dyDescent="0.25">
      <c r="A201" s="137" t="s">
        <v>461</v>
      </c>
      <c r="B201" s="137" t="s">
        <v>109</v>
      </c>
      <c r="C201" s="121"/>
      <c r="D201" s="121"/>
      <c r="E201" s="121"/>
      <c r="F201" s="121"/>
      <c r="G201" s="121"/>
      <c r="H201" s="121"/>
      <c r="I201" s="121"/>
      <c r="J201" s="121">
        <v>0</v>
      </c>
      <c r="K201" s="121">
        <v>0</v>
      </c>
      <c r="L201" s="121">
        <v>0</v>
      </c>
      <c r="M201" s="121">
        <v>0</v>
      </c>
      <c r="N201" s="121">
        <v>0</v>
      </c>
      <c r="O201" s="121">
        <v>0</v>
      </c>
      <c r="P201" s="121">
        <v>0</v>
      </c>
      <c r="Q201" s="121">
        <v>0</v>
      </c>
      <c r="R201" s="121">
        <v>0</v>
      </c>
      <c r="S201" s="121">
        <v>0</v>
      </c>
      <c r="T201" s="121">
        <v>0</v>
      </c>
      <c r="U201" s="121">
        <v>0</v>
      </c>
      <c r="V201" s="121" t="s">
        <v>1119</v>
      </c>
      <c r="W201" s="121">
        <v>0</v>
      </c>
      <c r="X201" s="121">
        <v>0</v>
      </c>
      <c r="Y201" s="121">
        <v>0</v>
      </c>
      <c r="Z201" s="121">
        <v>0</v>
      </c>
      <c r="AA201" s="121">
        <v>0</v>
      </c>
      <c r="AB201" s="121">
        <v>0</v>
      </c>
      <c r="AC201" s="121">
        <v>0</v>
      </c>
      <c r="AD201" s="121">
        <v>0</v>
      </c>
      <c r="AE201" s="121">
        <v>0</v>
      </c>
      <c r="AF201" s="121">
        <v>0</v>
      </c>
      <c r="AG201" s="121">
        <v>0</v>
      </c>
      <c r="AH201" s="121">
        <v>0</v>
      </c>
      <c r="AI201" s="121">
        <v>0</v>
      </c>
      <c r="AL201" s="14">
        <f t="shared" si="18"/>
        <v>0</v>
      </c>
      <c r="AM201">
        <f t="shared" si="19"/>
        <v>0</v>
      </c>
      <c r="AN201">
        <f t="shared" si="20"/>
        <v>0</v>
      </c>
      <c r="AP201">
        <f>VLOOKUP($B201,Kraftvärmeprod!$B$1:$BX$549,MATCH(AP$1,Kraftvärmeprod!$B$1:$BX$1,0),FALSE)</f>
        <v>0</v>
      </c>
      <c r="AQ201">
        <f>VLOOKUP($B201,Kraftvärmeprod!$B$1:$BX$549,MATCH(AQ$1,Kraftvärmeprod!$B$1:$BX$1,0),FALSE)</f>
        <v>0</v>
      </c>
      <c r="AR201">
        <f>VLOOKUP($B201,Kraftvärmeprod!$B$1:$BX$549,MATCH("Summa tillförd energi exklusive rökgaskondensering",Kraftvärmeprod!$B$1:$BX$1,0),FALSE)</f>
        <v>0</v>
      </c>
      <c r="AT201" s="17" t="str">
        <f t="shared" si="21"/>
        <v/>
      </c>
      <c r="AV201">
        <f t="shared" si="22"/>
        <v>0</v>
      </c>
      <c r="BA201" s="17" t="str">
        <f t="shared" si="23"/>
        <v/>
      </c>
    </row>
    <row r="202" spans="1:53" x14ac:dyDescent="0.25">
      <c r="A202" s="137" t="s">
        <v>461</v>
      </c>
      <c r="B202" s="137" t="s">
        <v>111</v>
      </c>
      <c r="C202" s="121"/>
      <c r="D202" s="121"/>
      <c r="E202" s="121"/>
      <c r="F202" s="121"/>
      <c r="G202" s="121"/>
      <c r="H202" s="121"/>
      <c r="I202" s="121"/>
      <c r="J202" s="121">
        <v>0</v>
      </c>
      <c r="K202" s="121">
        <v>0</v>
      </c>
      <c r="L202" s="121">
        <v>0</v>
      </c>
      <c r="M202" s="121">
        <v>0</v>
      </c>
      <c r="N202" s="121">
        <v>0</v>
      </c>
      <c r="O202" s="121">
        <v>0</v>
      </c>
      <c r="P202" s="121">
        <v>0</v>
      </c>
      <c r="Q202" s="121">
        <v>0</v>
      </c>
      <c r="R202" s="121">
        <v>0</v>
      </c>
      <c r="S202" s="121">
        <v>0</v>
      </c>
      <c r="T202" s="121">
        <v>0</v>
      </c>
      <c r="U202" s="121">
        <v>0</v>
      </c>
      <c r="V202" s="121" t="s">
        <v>1119</v>
      </c>
      <c r="W202" s="121">
        <v>0</v>
      </c>
      <c r="X202" s="121">
        <v>0</v>
      </c>
      <c r="Y202" s="121">
        <v>0</v>
      </c>
      <c r="Z202" s="121">
        <v>0</v>
      </c>
      <c r="AA202" s="121">
        <v>0</v>
      </c>
      <c r="AB202" s="121">
        <v>0</v>
      </c>
      <c r="AC202" s="121">
        <v>0</v>
      </c>
      <c r="AD202" s="121">
        <v>0</v>
      </c>
      <c r="AE202" s="121">
        <v>0</v>
      </c>
      <c r="AF202" s="121">
        <v>0</v>
      </c>
      <c r="AG202" s="121">
        <v>0</v>
      </c>
      <c r="AH202" s="121">
        <v>0</v>
      </c>
      <c r="AI202" s="121">
        <v>0</v>
      </c>
      <c r="AL202" s="14">
        <f t="shared" si="18"/>
        <v>0</v>
      </c>
      <c r="AM202">
        <f t="shared" si="19"/>
        <v>0</v>
      </c>
      <c r="AN202">
        <f t="shared" si="20"/>
        <v>0</v>
      </c>
      <c r="AP202">
        <f>VLOOKUP($B202,Kraftvärmeprod!$B$1:$BX$549,MATCH(AP$1,Kraftvärmeprod!$B$1:$BX$1,0),FALSE)</f>
        <v>0</v>
      </c>
      <c r="AQ202">
        <f>VLOOKUP($B202,Kraftvärmeprod!$B$1:$BX$549,MATCH(AQ$1,Kraftvärmeprod!$B$1:$BX$1,0),FALSE)</f>
        <v>0</v>
      </c>
      <c r="AR202">
        <f>VLOOKUP($B202,Kraftvärmeprod!$B$1:$BX$549,MATCH("Summa tillförd energi exklusive rökgaskondensering",Kraftvärmeprod!$B$1:$BX$1,0),FALSE)</f>
        <v>0</v>
      </c>
      <c r="AT202" s="17" t="str">
        <f t="shared" si="21"/>
        <v/>
      </c>
      <c r="AV202">
        <f t="shared" si="22"/>
        <v>0</v>
      </c>
      <c r="BA202" s="17" t="str">
        <f t="shared" si="23"/>
        <v/>
      </c>
    </row>
    <row r="203" spans="1:53" x14ac:dyDescent="0.25">
      <c r="A203" s="137" t="s">
        <v>461</v>
      </c>
      <c r="B203" s="137" t="s">
        <v>469</v>
      </c>
      <c r="C203" s="121"/>
      <c r="D203" s="121"/>
      <c r="E203" s="121"/>
      <c r="F203" s="121"/>
      <c r="G203" s="121"/>
      <c r="H203" s="121"/>
      <c r="I203" s="121"/>
      <c r="J203" s="121">
        <v>0</v>
      </c>
      <c r="K203" s="121">
        <v>0</v>
      </c>
      <c r="L203" s="121">
        <v>0</v>
      </c>
      <c r="M203" s="121">
        <v>0</v>
      </c>
      <c r="N203" s="121">
        <v>0</v>
      </c>
      <c r="O203" s="121">
        <v>0</v>
      </c>
      <c r="P203" s="121">
        <v>0</v>
      </c>
      <c r="Q203" s="121">
        <v>0</v>
      </c>
      <c r="R203" s="121">
        <v>0</v>
      </c>
      <c r="S203" s="121">
        <v>0</v>
      </c>
      <c r="T203" s="121">
        <v>0</v>
      </c>
      <c r="U203" s="121">
        <v>0</v>
      </c>
      <c r="V203" s="121" t="s">
        <v>1119</v>
      </c>
      <c r="W203" s="121">
        <v>0</v>
      </c>
      <c r="X203" s="121">
        <v>0</v>
      </c>
      <c r="Y203" s="121">
        <v>0</v>
      </c>
      <c r="Z203" s="121">
        <v>0</v>
      </c>
      <c r="AA203" s="121">
        <v>0</v>
      </c>
      <c r="AB203" s="121">
        <v>0</v>
      </c>
      <c r="AC203" s="121">
        <v>0</v>
      </c>
      <c r="AD203" s="121">
        <v>0</v>
      </c>
      <c r="AE203" s="121">
        <v>0</v>
      </c>
      <c r="AF203" s="121">
        <v>0</v>
      </c>
      <c r="AG203" s="121">
        <v>0</v>
      </c>
      <c r="AH203" s="121">
        <v>0</v>
      </c>
      <c r="AI203" s="121">
        <v>0</v>
      </c>
      <c r="AL203" s="14">
        <f t="shared" si="18"/>
        <v>0</v>
      </c>
      <c r="AM203">
        <f t="shared" si="19"/>
        <v>0</v>
      </c>
      <c r="AN203">
        <f t="shared" si="20"/>
        <v>0</v>
      </c>
      <c r="AP203">
        <f>VLOOKUP($B203,Kraftvärmeprod!$B$1:$BX$549,MATCH(AP$1,Kraftvärmeprod!$B$1:$BX$1,0),FALSE)</f>
        <v>0</v>
      </c>
      <c r="AQ203">
        <f>VLOOKUP($B203,Kraftvärmeprod!$B$1:$BX$549,MATCH(AQ$1,Kraftvärmeprod!$B$1:$BX$1,0),FALSE)</f>
        <v>0</v>
      </c>
      <c r="AR203">
        <f>VLOOKUP($B203,Kraftvärmeprod!$B$1:$BX$549,MATCH("Summa tillförd energi exklusive rökgaskondensering",Kraftvärmeprod!$B$1:$BX$1,0),FALSE)</f>
        <v>0</v>
      </c>
      <c r="AT203" s="17" t="str">
        <f t="shared" si="21"/>
        <v/>
      </c>
      <c r="AV203">
        <f t="shared" si="22"/>
        <v>0</v>
      </c>
      <c r="BA203" s="17" t="str">
        <f t="shared" si="23"/>
        <v/>
      </c>
    </row>
    <row r="204" spans="1:53" x14ac:dyDescent="0.25">
      <c r="A204" s="137" t="s">
        <v>461</v>
      </c>
      <c r="B204" s="137" t="s">
        <v>470</v>
      </c>
      <c r="C204" s="121"/>
      <c r="D204" s="121"/>
      <c r="E204" s="121"/>
      <c r="F204" s="121"/>
      <c r="G204" s="121"/>
      <c r="H204" s="121"/>
      <c r="I204" s="121"/>
      <c r="J204" s="121">
        <v>0</v>
      </c>
      <c r="K204" s="121">
        <v>0</v>
      </c>
      <c r="L204" s="121">
        <v>0</v>
      </c>
      <c r="M204" s="121">
        <v>0</v>
      </c>
      <c r="N204" s="121">
        <v>0</v>
      </c>
      <c r="O204" s="121">
        <v>0</v>
      </c>
      <c r="P204" s="121">
        <v>0</v>
      </c>
      <c r="Q204" s="121">
        <v>0</v>
      </c>
      <c r="R204" s="121">
        <v>0</v>
      </c>
      <c r="S204" s="121">
        <v>0</v>
      </c>
      <c r="T204" s="121">
        <v>0</v>
      </c>
      <c r="U204" s="121">
        <v>0</v>
      </c>
      <c r="V204" s="121" t="s">
        <v>1119</v>
      </c>
      <c r="W204" s="121">
        <v>0</v>
      </c>
      <c r="X204" s="121">
        <v>0</v>
      </c>
      <c r="Y204" s="121">
        <v>0</v>
      </c>
      <c r="Z204" s="121">
        <v>0</v>
      </c>
      <c r="AA204" s="121">
        <v>0</v>
      </c>
      <c r="AB204" s="121">
        <v>0</v>
      </c>
      <c r="AC204" s="121">
        <v>0</v>
      </c>
      <c r="AD204" s="121">
        <v>0</v>
      </c>
      <c r="AE204" s="121">
        <v>0</v>
      </c>
      <c r="AF204" s="121">
        <v>0</v>
      </c>
      <c r="AG204" s="121">
        <v>0</v>
      </c>
      <c r="AH204" s="121">
        <v>0</v>
      </c>
      <c r="AI204" s="121">
        <v>0</v>
      </c>
      <c r="AL204" s="14">
        <f t="shared" si="18"/>
        <v>0</v>
      </c>
      <c r="AM204">
        <f t="shared" si="19"/>
        <v>0</v>
      </c>
      <c r="AN204">
        <f t="shared" si="20"/>
        <v>0</v>
      </c>
      <c r="AP204">
        <f>VLOOKUP($B204,Kraftvärmeprod!$B$1:$BX$549,MATCH(AP$1,Kraftvärmeprod!$B$1:$BX$1,0),FALSE)</f>
        <v>0</v>
      </c>
      <c r="AQ204">
        <f>VLOOKUP($B204,Kraftvärmeprod!$B$1:$BX$549,MATCH(AQ$1,Kraftvärmeprod!$B$1:$BX$1,0),FALSE)</f>
        <v>0</v>
      </c>
      <c r="AR204">
        <f>VLOOKUP($B204,Kraftvärmeprod!$B$1:$BX$549,MATCH("Summa tillförd energi exklusive rökgaskondensering",Kraftvärmeprod!$B$1:$BX$1,0),FALSE)</f>
        <v>0</v>
      </c>
      <c r="AT204" s="17" t="str">
        <f t="shared" si="21"/>
        <v/>
      </c>
      <c r="AV204">
        <f t="shared" si="22"/>
        <v>0</v>
      </c>
      <c r="BA204" s="17" t="str">
        <f t="shared" si="23"/>
        <v/>
      </c>
    </row>
    <row r="205" spans="1:53" x14ac:dyDescent="0.25">
      <c r="A205" s="137" t="s">
        <v>461</v>
      </c>
      <c r="B205" s="137" t="s">
        <v>113</v>
      </c>
      <c r="C205" s="121"/>
      <c r="D205" s="121"/>
      <c r="E205" s="121"/>
      <c r="F205" s="121"/>
      <c r="G205" s="121"/>
      <c r="H205" s="121"/>
      <c r="I205" s="121"/>
      <c r="J205" s="121">
        <v>0</v>
      </c>
      <c r="K205" s="121">
        <v>0</v>
      </c>
      <c r="L205" s="121">
        <v>0</v>
      </c>
      <c r="M205" s="121">
        <v>0</v>
      </c>
      <c r="N205" s="121">
        <v>0</v>
      </c>
      <c r="O205" s="121">
        <v>0</v>
      </c>
      <c r="P205" s="121">
        <v>0</v>
      </c>
      <c r="Q205" s="121">
        <v>0</v>
      </c>
      <c r="R205" s="121">
        <v>0</v>
      </c>
      <c r="S205" s="121">
        <v>0</v>
      </c>
      <c r="T205" s="121">
        <v>0</v>
      </c>
      <c r="U205" s="121">
        <v>0</v>
      </c>
      <c r="V205" s="121" t="s">
        <v>1119</v>
      </c>
      <c r="W205" s="121">
        <v>0</v>
      </c>
      <c r="X205" s="121">
        <v>0</v>
      </c>
      <c r="Y205" s="121">
        <v>0</v>
      </c>
      <c r="Z205" s="121">
        <v>0</v>
      </c>
      <c r="AA205" s="121">
        <v>0</v>
      </c>
      <c r="AB205" s="121">
        <v>0</v>
      </c>
      <c r="AC205" s="121">
        <v>0</v>
      </c>
      <c r="AD205" s="121">
        <v>0</v>
      </c>
      <c r="AE205" s="121">
        <v>0</v>
      </c>
      <c r="AF205" s="121">
        <v>0</v>
      </c>
      <c r="AG205" s="121">
        <v>0</v>
      </c>
      <c r="AH205" s="121">
        <v>0</v>
      </c>
      <c r="AI205" s="121">
        <v>0</v>
      </c>
      <c r="AL205" s="14">
        <f t="shared" si="18"/>
        <v>0</v>
      </c>
      <c r="AM205">
        <f t="shared" si="19"/>
        <v>0</v>
      </c>
      <c r="AN205">
        <f t="shared" si="20"/>
        <v>0</v>
      </c>
      <c r="AP205">
        <f>VLOOKUP($B205,Kraftvärmeprod!$B$1:$BX$549,MATCH(AP$1,Kraftvärmeprod!$B$1:$BX$1,0),FALSE)</f>
        <v>0</v>
      </c>
      <c r="AQ205">
        <f>VLOOKUP($B205,Kraftvärmeprod!$B$1:$BX$549,MATCH(AQ$1,Kraftvärmeprod!$B$1:$BX$1,0),FALSE)</f>
        <v>0</v>
      </c>
      <c r="AR205">
        <f>VLOOKUP($B205,Kraftvärmeprod!$B$1:$BX$549,MATCH("Summa tillförd energi exklusive rökgaskondensering",Kraftvärmeprod!$B$1:$BX$1,0),FALSE)</f>
        <v>0</v>
      </c>
      <c r="AT205" s="17" t="str">
        <f t="shared" si="21"/>
        <v/>
      </c>
      <c r="AV205">
        <f t="shared" si="22"/>
        <v>0</v>
      </c>
      <c r="BA205" s="17" t="str">
        <f t="shared" si="23"/>
        <v/>
      </c>
    </row>
    <row r="206" spans="1:53" x14ac:dyDescent="0.25">
      <c r="A206" s="137" t="s">
        <v>474</v>
      </c>
      <c r="B206" s="137" t="s">
        <v>475</v>
      </c>
      <c r="C206" s="121"/>
      <c r="D206" s="121"/>
      <c r="E206" s="121"/>
      <c r="F206" s="121"/>
      <c r="G206" s="121"/>
      <c r="H206" s="121"/>
      <c r="I206" s="121"/>
      <c r="J206" s="121">
        <v>0</v>
      </c>
      <c r="K206" s="121">
        <v>0</v>
      </c>
      <c r="L206" s="121">
        <v>0</v>
      </c>
      <c r="M206" s="121">
        <v>0</v>
      </c>
      <c r="N206" s="121">
        <v>0</v>
      </c>
      <c r="O206" s="121">
        <v>0</v>
      </c>
      <c r="P206" s="121">
        <v>0</v>
      </c>
      <c r="Q206" s="121">
        <v>0</v>
      </c>
      <c r="R206" s="121">
        <v>0</v>
      </c>
      <c r="S206" s="121">
        <v>0</v>
      </c>
      <c r="T206" s="121">
        <v>0</v>
      </c>
      <c r="U206" s="121">
        <v>0</v>
      </c>
      <c r="V206" s="121" t="s">
        <v>1119</v>
      </c>
      <c r="W206" s="121">
        <v>0</v>
      </c>
      <c r="X206" s="121">
        <v>0</v>
      </c>
      <c r="Y206" s="121">
        <v>0</v>
      </c>
      <c r="Z206" s="121">
        <v>0</v>
      </c>
      <c r="AA206" s="121">
        <v>0</v>
      </c>
      <c r="AB206" s="121">
        <v>0</v>
      </c>
      <c r="AC206" s="121">
        <v>0</v>
      </c>
      <c r="AD206" s="121">
        <v>0</v>
      </c>
      <c r="AE206" s="121">
        <v>0</v>
      </c>
      <c r="AF206" s="121">
        <v>0</v>
      </c>
      <c r="AG206" s="121">
        <v>0</v>
      </c>
      <c r="AH206" s="121">
        <v>0</v>
      </c>
      <c r="AI206" s="121">
        <v>0</v>
      </c>
      <c r="AL206" s="14">
        <f t="shared" si="18"/>
        <v>0</v>
      </c>
      <c r="AM206">
        <f t="shared" si="19"/>
        <v>0</v>
      </c>
      <c r="AN206">
        <f t="shared" si="20"/>
        <v>0</v>
      </c>
      <c r="AP206">
        <f>VLOOKUP($B206,Kraftvärmeprod!$B$1:$BX$549,MATCH(AP$1,Kraftvärmeprod!$B$1:$BX$1,0),FALSE)</f>
        <v>0</v>
      </c>
      <c r="AQ206">
        <f>VLOOKUP($B206,Kraftvärmeprod!$B$1:$BX$549,MATCH(AQ$1,Kraftvärmeprod!$B$1:$BX$1,0),FALSE)</f>
        <v>0</v>
      </c>
      <c r="AR206">
        <f>VLOOKUP($B206,Kraftvärmeprod!$B$1:$BX$549,MATCH("Summa tillförd energi exklusive rökgaskondensering",Kraftvärmeprod!$B$1:$BX$1,0),FALSE)</f>
        <v>0</v>
      </c>
      <c r="AT206" s="17" t="str">
        <f t="shared" si="21"/>
        <v/>
      </c>
      <c r="AV206">
        <f t="shared" si="22"/>
        <v>0</v>
      </c>
      <c r="BA206" s="17" t="str">
        <f t="shared" si="23"/>
        <v/>
      </c>
    </row>
    <row r="207" spans="1:53" x14ac:dyDescent="0.25">
      <c r="A207" s="137" t="s">
        <v>474</v>
      </c>
      <c r="B207" s="137" t="s">
        <v>476</v>
      </c>
      <c r="C207" s="121"/>
      <c r="D207" s="121"/>
      <c r="E207" s="121"/>
      <c r="F207" s="121"/>
      <c r="G207" s="121"/>
      <c r="H207" s="121"/>
      <c r="I207" s="121"/>
      <c r="J207" s="121">
        <v>0</v>
      </c>
      <c r="K207" s="121">
        <v>0</v>
      </c>
      <c r="L207" s="121">
        <v>0</v>
      </c>
      <c r="M207" s="121">
        <v>0</v>
      </c>
      <c r="N207" s="121">
        <v>0</v>
      </c>
      <c r="O207" s="121">
        <v>0</v>
      </c>
      <c r="P207" s="121">
        <v>0</v>
      </c>
      <c r="Q207" s="121">
        <v>0</v>
      </c>
      <c r="R207" s="121">
        <v>0</v>
      </c>
      <c r="S207" s="121">
        <v>0</v>
      </c>
      <c r="T207" s="121">
        <v>0</v>
      </c>
      <c r="U207" s="121">
        <v>0</v>
      </c>
      <c r="V207" s="121" t="s">
        <v>1119</v>
      </c>
      <c r="W207" s="121">
        <v>0</v>
      </c>
      <c r="X207" s="121">
        <v>0</v>
      </c>
      <c r="Y207" s="121">
        <v>0</v>
      </c>
      <c r="Z207" s="121">
        <v>0</v>
      </c>
      <c r="AA207" s="121">
        <v>0</v>
      </c>
      <c r="AB207" s="121">
        <v>0</v>
      </c>
      <c r="AC207" s="121">
        <v>0</v>
      </c>
      <c r="AD207" s="121">
        <v>0</v>
      </c>
      <c r="AE207" s="121">
        <v>0</v>
      </c>
      <c r="AF207" s="121">
        <v>0</v>
      </c>
      <c r="AG207" s="121">
        <v>0</v>
      </c>
      <c r="AH207" s="121">
        <v>0</v>
      </c>
      <c r="AI207" s="121">
        <v>0</v>
      </c>
      <c r="AL207" s="14">
        <f t="shared" si="18"/>
        <v>0</v>
      </c>
      <c r="AM207">
        <f t="shared" si="19"/>
        <v>0</v>
      </c>
      <c r="AN207">
        <f t="shared" si="20"/>
        <v>0</v>
      </c>
      <c r="AP207">
        <f>VLOOKUP($B207,Kraftvärmeprod!$B$1:$BX$549,MATCH(AP$1,Kraftvärmeprod!$B$1:$BX$1,0),FALSE)</f>
        <v>0</v>
      </c>
      <c r="AQ207">
        <f>VLOOKUP($B207,Kraftvärmeprod!$B$1:$BX$549,MATCH(AQ$1,Kraftvärmeprod!$B$1:$BX$1,0),FALSE)</f>
        <v>0</v>
      </c>
      <c r="AR207">
        <f>VLOOKUP($B207,Kraftvärmeprod!$B$1:$BX$549,MATCH("Summa tillförd energi exklusive rökgaskondensering",Kraftvärmeprod!$B$1:$BX$1,0),FALSE)</f>
        <v>0</v>
      </c>
      <c r="AT207" s="17" t="str">
        <f t="shared" si="21"/>
        <v/>
      </c>
      <c r="AV207">
        <f t="shared" si="22"/>
        <v>0</v>
      </c>
      <c r="BA207" s="17" t="str">
        <f t="shared" si="23"/>
        <v/>
      </c>
    </row>
    <row r="208" spans="1:53" x14ac:dyDescent="0.25">
      <c r="A208" s="137" t="s">
        <v>477</v>
      </c>
      <c r="B208" s="137" t="s">
        <v>478</v>
      </c>
      <c r="C208" s="121"/>
      <c r="D208" s="121"/>
      <c r="E208" s="121"/>
      <c r="F208" s="121"/>
      <c r="G208" s="121"/>
      <c r="H208" s="121"/>
      <c r="I208" s="121"/>
      <c r="J208" s="121">
        <v>0</v>
      </c>
      <c r="K208" s="121">
        <v>0</v>
      </c>
      <c r="L208" s="121">
        <v>0</v>
      </c>
      <c r="M208" s="121">
        <v>0</v>
      </c>
      <c r="N208" s="121">
        <v>0</v>
      </c>
      <c r="O208" s="121">
        <v>0</v>
      </c>
      <c r="P208" s="121">
        <v>0</v>
      </c>
      <c r="Q208" s="121">
        <v>0</v>
      </c>
      <c r="R208" s="121">
        <v>0</v>
      </c>
      <c r="S208" s="121">
        <v>0</v>
      </c>
      <c r="T208" s="121">
        <v>0</v>
      </c>
      <c r="U208" s="121">
        <v>0</v>
      </c>
      <c r="V208" s="121" t="s">
        <v>1119</v>
      </c>
      <c r="W208" s="121">
        <v>0</v>
      </c>
      <c r="X208" s="121">
        <v>0</v>
      </c>
      <c r="Y208" s="121">
        <v>0</v>
      </c>
      <c r="Z208" s="121">
        <v>0</v>
      </c>
      <c r="AA208" s="121">
        <v>0</v>
      </c>
      <c r="AB208" s="121">
        <v>0</v>
      </c>
      <c r="AC208" s="121">
        <v>0</v>
      </c>
      <c r="AD208" s="121">
        <v>0</v>
      </c>
      <c r="AE208" s="121">
        <v>0</v>
      </c>
      <c r="AF208" s="121">
        <v>0</v>
      </c>
      <c r="AG208" s="121">
        <v>0</v>
      </c>
      <c r="AH208" s="121">
        <v>0</v>
      </c>
      <c r="AI208" s="121">
        <v>0</v>
      </c>
      <c r="AL208" s="14">
        <f t="shared" si="18"/>
        <v>0</v>
      </c>
      <c r="AM208">
        <f t="shared" si="19"/>
        <v>0</v>
      </c>
      <c r="AN208">
        <f t="shared" si="20"/>
        <v>0</v>
      </c>
      <c r="AP208">
        <f>VLOOKUP($B208,Kraftvärmeprod!$B$1:$BX$549,MATCH(AP$1,Kraftvärmeprod!$B$1:$BX$1,0),FALSE)</f>
        <v>0</v>
      </c>
      <c r="AQ208">
        <f>VLOOKUP($B208,Kraftvärmeprod!$B$1:$BX$549,MATCH(AQ$1,Kraftvärmeprod!$B$1:$BX$1,0),FALSE)</f>
        <v>0</v>
      </c>
      <c r="AR208">
        <f>VLOOKUP($B208,Kraftvärmeprod!$B$1:$BX$549,MATCH("Summa tillförd energi exklusive rökgaskondensering",Kraftvärmeprod!$B$1:$BX$1,0),FALSE)</f>
        <v>0</v>
      </c>
      <c r="AT208" s="17" t="str">
        <f t="shared" si="21"/>
        <v/>
      </c>
      <c r="AV208">
        <f t="shared" si="22"/>
        <v>0</v>
      </c>
      <c r="BA208" s="17" t="str">
        <f t="shared" si="23"/>
        <v/>
      </c>
    </row>
    <row r="209" spans="1:53" x14ac:dyDescent="0.25">
      <c r="A209" s="137" t="s">
        <v>477</v>
      </c>
      <c r="B209" s="137" t="s">
        <v>479</v>
      </c>
      <c r="C209" s="121"/>
      <c r="D209" s="121"/>
      <c r="E209" s="121"/>
      <c r="F209" s="121"/>
      <c r="G209" s="121"/>
      <c r="H209" s="121"/>
      <c r="I209" s="121"/>
      <c r="J209" s="121">
        <v>0</v>
      </c>
      <c r="K209" s="121">
        <v>0.243973</v>
      </c>
      <c r="L209" s="121">
        <v>0</v>
      </c>
      <c r="M209" s="121">
        <v>0</v>
      </c>
      <c r="N209" s="121">
        <v>0</v>
      </c>
      <c r="O209" s="121">
        <v>0</v>
      </c>
      <c r="P209" s="121">
        <v>0.463009</v>
      </c>
      <c r="Q209" s="121">
        <v>0.463009</v>
      </c>
      <c r="R209" s="121">
        <v>1.0803499999999999</v>
      </c>
      <c r="S209" s="121">
        <v>0</v>
      </c>
      <c r="T209" s="121">
        <v>0</v>
      </c>
      <c r="U209" s="121">
        <v>0</v>
      </c>
      <c r="V209" s="121" t="s">
        <v>1119</v>
      </c>
      <c r="W209" s="121">
        <v>0</v>
      </c>
      <c r="X209" s="121">
        <v>0</v>
      </c>
      <c r="Y209" s="121">
        <v>0</v>
      </c>
      <c r="Z209" s="121">
        <v>80.486400000000003</v>
      </c>
      <c r="AA209" s="121">
        <v>0</v>
      </c>
      <c r="AB209" s="121">
        <v>0</v>
      </c>
      <c r="AC209" s="121">
        <v>0</v>
      </c>
      <c r="AD209" s="121">
        <v>0</v>
      </c>
      <c r="AE209" s="121">
        <v>0</v>
      </c>
      <c r="AF209" s="121">
        <v>0</v>
      </c>
      <c r="AG209" s="121">
        <v>0</v>
      </c>
      <c r="AH209" s="121">
        <v>13.8</v>
      </c>
      <c r="AI209" s="121">
        <v>0</v>
      </c>
      <c r="AL209" s="14">
        <f t="shared" si="18"/>
        <v>96.536741000000006</v>
      </c>
      <c r="AM209">
        <f t="shared" si="19"/>
        <v>96.536741000000006</v>
      </c>
      <c r="AN209">
        <f t="shared" si="20"/>
        <v>82.736741000000009</v>
      </c>
      <c r="AP209">
        <f>VLOOKUP($B209,Kraftvärmeprod!$B$1:$BX$549,MATCH(AP$1,Kraftvärmeprod!$B$1:$BX$1,0),FALSE)</f>
        <v>87.2</v>
      </c>
      <c r="AQ209">
        <f>VLOOKUP($B209,Kraftvärmeprod!$B$1:$BX$549,MATCH(AQ$1,Kraftvärmeprod!$B$1:$BX$1,0),FALSE)</f>
        <v>9.9</v>
      </c>
      <c r="AR209">
        <f>VLOOKUP($B209,Kraftvärmeprod!$B$1:$BX$549,MATCH("Summa tillförd energi exklusive rökgaskondensering",Kraftvärmeprod!$B$1:$BX$1,0),FALSE)</f>
        <v>107.2</v>
      </c>
      <c r="AT209" s="17">
        <f t="shared" si="21"/>
        <v>0.77179795708955234</v>
      </c>
      <c r="AV209">
        <f t="shared" si="22"/>
        <v>82.492767999999998</v>
      </c>
      <c r="BA209" s="17">
        <f t="shared" si="23"/>
        <v>1.0539453082881278</v>
      </c>
    </row>
    <row r="210" spans="1:53" x14ac:dyDescent="0.25">
      <c r="A210" s="137" t="s">
        <v>480</v>
      </c>
      <c r="B210" s="137" t="s">
        <v>481</v>
      </c>
      <c r="C210" s="121"/>
      <c r="D210" s="121"/>
      <c r="E210" s="121"/>
      <c r="F210" s="121"/>
      <c r="G210" s="121"/>
      <c r="H210" s="121"/>
      <c r="I210" s="121"/>
      <c r="J210" s="121">
        <v>0</v>
      </c>
      <c r="K210" s="121">
        <v>0</v>
      </c>
      <c r="L210" s="121">
        <v>0</v>
      </c>
      <c r="M210" s="121">
        <v>0</v>
      </c>
      <c r="N210" s="121">
        <v>0</v>
      </c>
      <c r="O210" s="121">
        <v>0</v>
      </c>
      <c r="P210" s="121">
        <v>0</v>
      </c>
      <c r="Q210" s="121">
        <v>0</v>
      </c>
      <c r="R210" s="121">
        <v>0</v>
      </c>
      <c r="S210" s="121">
        <v>0</v>
      </c>
      <c r="T210" s="121">
        <v>0</v>
      </c>
      <c r="U210" s="121">
        <v>0</v>
      </c>
      <c r="V210" s="121" t="s">
        <v>1119</v>
      </c>
      <c r="W210" s="121">
        <v>0</v>
      </c>
      <c r="X210" s="121">
        <v>0</v>
      </c>
      <c r="Y210" s="121">
        <v>0</v>
      </c>
      <c r="Z210" s="121">
        <v>0</v>
      </c>
      <c r="AA210" s="121">
        <v>0</v>
      </c>
      <c r="AB210" s="121">
        <v>0</v>
      </c>
      <c r="AC210" s="121">
        <v>0</v>
      </c>
      <c r="AD210" s="121">
        <v>0</v>
      </c>
      <c r="AE210" s="121">
        <v>0</v>
      </c>
      <c r="AF210" s="121">
        <v>0</v>
      </c>
      <c r="AG210" s="121">
        <v>0</v>
      </c>
      <c r="AH210" s="121">
        <v>0</v>
      </c>
      <c r="AI210" s="121">
        <v>0</v>
      </c>
      <c r="AL210" s="14">
        <f t="shared" si="18"/>
        <v>0</v>
      </c>
      <c r="AM210">
        <f t="shared" si="19"/>
        <v>0</v>
      </c>
      <c r="AN210">
        <f t="shared" si="20"/>
        <v>0</v>
      </c>
      <c r="AP210">
        <f>VLOOKUP($B210,Kraftvärmeprod!$B$1:$BX$549,MATCH(AP$1,Kraftvärmeprod!$B$1:$BX$1,0),FALSE)</f>
        <v>0</v>
      </c>
      <c r="AQ210">
        <f>VLOOKUP($B210,Kraftvärmeprod!$B$1:$BX$549,MATCH(AQ$1,Kraftvärmeprod!$B$1:$BX$1,0),FALSE)</f>
        <v>0</v>
      </c>
      <c r="AR210">
        <f>VLOOKUP($B210,Kraftvärmeprod!$B$1:$BX$549,MATCH("Summa tillförd energi exklusive rökgaskondensering",Kraftvärmeprod!$B$1:$BX$1,0),FALSE)</f>
        <v>0</v>
      </c>
      <c r="AT210" s="17" t="str">
        <f t="shared" si="21"/>
        <v/>
      </c>
      <c r="AV210">
        <f t="shared" si="22"/>
        <v>0</v>
      </c>
      <c r="BA210" s="17" t="str">
        <f t="shared" si="23"/>
        <v/>
      </c>
    </row>
    <row r="211" spans="1:53" x14ac:dyDescent="0.25">
      <c r="A211" s="137" t="s">
        <v>115</v>
      </c>
      <c r="B211" s="137" t="s">
        <v>482</v>
      </c>
      <c r="C211" s="121"/>
      <c r="D211" s="121"/>
      <c r="E211" s="121"/>
      <c r="F211" s="121"/>
      <c r="G211" s="121"/>
      <c r="H211" s="121"/>
      <c r="I211" s="121"/>
      <c r="J211" s="121">
        <v>0</v>
      </c>
      <c r="K211" s="121">
        <v>0</v>
      </c>
      <c r="L211" s="121">
        <v>0</v>
      </c>
      <c r="M211" s="121">
        <v>0</v>
      </c>
      <c r="N211" s="121">
        <v>0</v>
      </c>
      <c r="O211" s="121">
        <v>0</v>
      </c>
      <c r="P211" s="121">
        <v>0</v>
      </c>
      <c r="Q211" s="121">
        <v>0</v>
      </c>
      <c r="R211" s="121">
        <v>0</v>
      </c>
      <c r="S211" s="121">
        <v>0</v>
      </c>
      <c r="T211" s="121">
        <v>0</v>
      </c>
      <c r="U211" s="121">
        <v>0</v>
      </c>
      <c r="V211" s="121" t="s">
        <v>1119</v>
      </c>
      <c r="W211" s="121">
        <v>0</v>
      </c>
      <c r="X211" s="121">
        <v>0</v>
      </c>
      <c r="Y211" s="121">
        <v>0</v>
      </c>
      <c r="Z211" s="121">
        <v>0</v>
      </c>
      <c r="AA211" s="121">
        <v>0</v>
      </c>
      <c r="AB211" s="121">
        <v>0</v>
      </c>
      <c r="AC211" s="121">
        <v>0</v>
      </c>
      <c r="AD211" s="121">
        <v>0</v>
      </c>
      <c r="AE211" s="121">
        <v>0</v>
      </c>
      <c r="AF211" s="121">
        <v>0</v>
      </c>
      <c r="AG211" s="121">
        <v>0</v>
      </c>
      <c r="AH211" s="121">
        <v>0</v>
      </c>
      <c r="AI211" s="121">
        <v>0</v>
      </c>
      <c r="AL211" s="14">
        <f t="shared" si="18"/>
        <v>0</v>
      </c>
      <c r="AM211">
        <f t="shared" si="19"/>
        <v>0</v>
      </c>
      <c r="AN211">
        <f t="shared" si="20"/>
        <v>0</v>
      </c>
      <c r="AP211">
        <f>VLOOKUP($B211,Kraftvärmeprod!$B$1:$BX$549,MATCH(AP$1,Kraftvärmeprod!$B$1:$BX$1,0),FALSE)</f>
        <v>0</v>
      </c>
      <c r="AQ211">
        <f>VLOOKUP($B211,Kraftvärmeprod!$B$1:$BX$549,MATCH(AQ$1,Kraftvärmeprod!$B$1:$BX$1,0),FALSE)</f>
        <v>0</v>
      </c>
      <c r="AR211">
        <f>VLOOKUP($B211,Kraftvärmeprod!$B$1:$BX$549,MATCH("Summa tillförd energi exklusive rökgaskondensering",Kraftvärmeprod!$B$1:$BX$1,0),FALSE)</f>
        <v>0</v>
      </c>
      <c r="AT211" s="17" t="str">
        <f t="shared" si="21"/>
        <v/>
      </c>
      <c r="AV211">
        <f t="shared" si="22"/>
        <v>0</v>
      </c>
      <c r="BA211" s="17" t="str">
        <f t="shared" si="23"/>
        <v/>
      </c>
    </row>
    <row r="212" spans="1:53" x14ac:dyDescent="0.25">
      <c r="A212" s="137" t="s">
        <v>483</v>
      </c>
      <c r="B212" s="137" t="s">
        <v>484</v>
      </c>
      <c r="C212" s="121"/>
      <c r="D212" s="121"/>
      <c r="E212" s="121"/>
      <c r="F212" s="121"/>
      <c r="G212" s="121"/>
      <c r="H212" s="121"/>
      <c r="I212" s="121"/>
      <c r="J212" s="121">
        <v>0</v>
      </c>
      <c r="K212" s="121">
        <v>0</v>
      </c>
      <c r="L212" s="121">
        <v>0</v>
      </c>
      <c r="M212" s="121">
        <v>0</v>
      </c>
      <c r="N212" s="121">
        <v>0</v>
      </c>
      <c r="O212" s="121">
        <v>0</v>
      </c>
      <c r="P212" s="121">
        <v>0</v>
      </c>
      <c r="Q212" s="121">
        <v>0</v>
      </c>
      <c r="R212" s="121">
        <v>0</v>
      </c>
      <c r="S212" s="121">
        <v>0</v>
      </c>
      <c r="T212" s="121">
        <v>0</v>
      </c>
      <c r="U212" s="121">
        <v>0</v>
      </c>
      <c r="V212" s="121" t="s">
        <v>1119</v>
      </c>
      <c r="W212" s="121">
        <v>0</v>
      </c>
      <c r="X212" s="121">
        <v>0</v>
      </c>
      <c r="Y212" s="121">
        <v>0</v>
      </c>
      <c r="Z212" s="121">
        <v>0</v>
      </c>
      <c r="AA212" s="121">
        <v>0</v>
      </c>
      <c r="AB212" s="121">
        <v>0</v>
      </c>
      <c r="AC212" s="121">
        <v>0</v>
      </c>
      <c r="AD212" s="121">
        <v>0</v>
      </c>
      <c r="AE212" s="121">
        <v>0</v>
      </c>
      <c r="AF212" s="121">
        <v>0</v>
      </c>
      <c r="AG212" s="121">
        <v>0</v>
      </c>
      <c r="AH212" s="121">
        <v>0</v>
      </c>
      <c r="AI212" s="121">
        <v>0</v>
      </c>
      <c r="AL212" s="14">
        <f t="shared" si="18"/>
        <v>0</v>
      </c>
      <c r="AM212">
        <f t="shared" si="19"/>
        <v>0</v>
      </c>
      <c r="AN212">
        <f t="shared" si="20"/>
        <v>0</v>
      </c>
      <c r="AP212">
        <f>VLOOKUP($B212,Kraftvärmeprod!$B$1:$BX$549,MATCH(AP$1,Kraftvärmeprod!$B$1:$BX$1,0),FALSE)</f>
        <v>0</v>
      </c>
      <c r="AQ212">
        <f>VLOOKUP($B212,Kraftvärmeprod!$B$1:$BX$549,MATCH(AQ$1,Kraftvärmeprod!$B$1:$BX$1,0),FALSE)</f>
        <v>0</v>
      </c>
      <c r="AR212">
        <f>VLOOKUP($B212,Kraftvärmeprod!$B$1:$BX$549,MATCH("Summa tillförd energi exklusive rökgaskondensering",Kraftvärmeprod!$B$1:$BX$1,0),FALSE)</f>
        <v>0</v>
      </c>
      <c r="AT212" s="17" t="str">
        <f t="shared" si="21"/>
        <v/>
      </c>
      <c r="AV212">
        <f t="shared" si="22"/>
        <v>0</v>
      </c>
      <c r="BA212" s="17" t="str">
        <f t="shared" si="23"/>
        <v/>
      </c>
    </row>
    <row r="213" spans="1:53" x14ac:dyDescent="0.25">
      <c r="A213" s="137" t="s">
        <v>483</v>
      </c>
      <c r="B213" s="137" t="s">
        <v>485</v>
      </c>
      <c r="C213" s="121"/>
      <c r="D213" s="121"/>
      <c r="E213" s="121"/>
      <c r="F213" s="121"/>
      <c r="G213" s="121"/>
      <c r="H213" s="121"/>
      <c r="I213" s="121"/>
      <c r="J213" s="121">
        <v>0</v>
      </c>
      <c r="K213" s="121">
        <v>0</v>
      </c>
      <c r="L213" s="121">
        <v>0</v>
      </c>
      <c r="M213" s="121">
        <v>0</v>
      </c>
      <c r="N213" s="121">
        <v>0</v>
      </c>
      <c r="O213" s="121">
        <v>0</v>
      </c>
      <c r="P213" s="121">
        <v>82.814499999999995</v>
      </c>
      <c r="Q213" s="121">
        <v>0</v>
      </c>
      <c r="R213" s="121">
        <v>4.3336399999999999</v>
      </c>
      <c r="S213" s="121">
        <v>0</v>
      </c>
      <c r="T213" s="121">
        <v>0</v>
      </c>
      <c r="U213" s="121">
        <v>0</v>
      </c>
      <c r="V213" s="121" t="s">
        <v>1119</v>
      </c>
      <c r="W213" s="121">
        <v>0</v>
      </c>
      <c r="X213" s="121">
        <v>0</v>
      </c>
      <c r="Y213" s="121">
        <v>0</v>
      </c>
      <c r="Z213" s="121">
        <v>0</v>
      </c>
      <c r="AA213" s="121">
        <v>0</v>
      </c>
      <c r="AB213" s="121">
        <v>0</v>
      </c>
      <c r="AC213" s="121">
        <v>0</v>
      </c>
      <c r="AD213" s="121">
        <v>0</v>
      </c>
      <c r="AE213" s="121">
        <v>0</v>
      </c>
      <c r="AF213" s="121">
        <v>0</v>
      </c>
      <c r="AG213" s="121">
        <v>0</v>
      </c>
      <c r="AH213" s="121">
        <v>23.058</v>
      </c>
      <c r="AI213" s="121">
        <v>0.845557</v>
      </c>
      <c r="AL213" s="14">
        <f t="shared" si="18"/>
        <v>111.051697</v>
      </c>
      <c r="AM213">
        <f t="shared" si="19"/>
        <v>110.20614</v>
      </c>
      <c r="AN213">
        <f t="shared" si="20"/>
        <v>87.148140000000012</v>
      </c>
      <c r="AP213">
        <f>VLOOKUP($B213,Kraftvärmeprod!$B$1:$BX$549,MATCH(AP$1,Kraftvärmeprod!$B$1:$BX$1,0),FALSE)</f>
        <v>82.474000000000004</v>
      </c>
      <c r="AQ213">
        <f>VLOOKUP($B213,Kraftvärmeprod!$B$1:$BX$549,MATCH(AQ$1,Kraftvärmeprod!$B$1:$BX$1,0),FALSE)</f>
        <v>18.88</v>
      </c>
      <c r="AR213">
        <f>VLOOKUP($B213,Kraftvärmeprod!$B$1:$BX$549,MATCH("Summa tillförd energi exklusive rökgaskondensering",Kraftvärmeprod!$B$1:$BX$1,0),FALSE)</f>
        <v>139.13900000000001</v>
      </c>
      <c r="AT213" s="17">
        <f t="shared" si="21"/>
        <v>0.62633869727394909</v>
      </c>
      <c r="AV213">
        <f t="shared" si="22"/>
        <v>87.148139999999998</v>
      </c>
      <c r="BA213" s="17">
        <f t="shared" si="23"/>
        <v>0.93727167753844909</v>
      </c>
    </row>
    <row r="214" spans="1:53" x14ac:dyDescent="0.25">
      <c r="A214" s="137" t="s">
        <v>483</v>
      </c>
      <c r="B214" s="137" t="s">
        <v>486</v>
      </c>
      <c r="C214" s="121"/>
      <c r="D214" s="121"/>
      <c r="E214" s="121"/>
      <c r="F214" s="121"/>
      <c r="G214" s="121"/>
      <c r="H214" s="121"/>
      <c r="I214" s="121"/>
      <c r="J214" s="121">
        <v>0</v>
      </c>
      <c r="K214" s="121">
        <v>0</v>
      </c>
      <c r="L214" s="121">
        <v>0</v>
      </c>
      <c r="M214" s="121">
        <v>0</v>
      </c>
      <c r="N214" s="121">
        <v>0</v>
      </c>
      <c r="O214" s="121">
        <v>0</v>
      </c>
      <c r="P214" s="121">
        <v>0</v>
      </c>
      <c r="Q214" s="121">
        <v>0</v>
      </c>
      <c r="R214" s="121">
        <v>0</v>
      </c>
      <c r="S214" s="121">
        <v>0</v>
      </c>
      <c r="T214" s="121">
        <v>0</v>
      </c>
      <c r="U214" s="121">
        <v>0</v>
      </c>
      <c r="V214" s="121" t="s">
        <v>1119</v>
      </c>
      <c r="W214" s="121">
        <v>0</v>
      </c>
      <c r="X214" s="121">
        <v>0</v>
      </c>
      <c r="Y214" s="121">
        <v>0</v>
      </c>
      <c r="Z214" s="121">
        <v>0</v>
      </c>
      <c r="AA214" s="121">
        <v>0</v>
      </c>
      <c r="AB214" s="121">
        <v>0</v>
      </c>
      <c r="AC214" s="121">
        <v>0</v>
      </c>
      <c r="AD214" s="121">
        <v>0</v>
      </c>
      <c r="AE214" s="121">
        <v>0</v>
      </c>
      <c r="AF214" s="121">
        <v>0</v>
      </c>
      <c r="AG214" s="121">
        <v>0</v>
      </c>
      <c r="AH214" s="121">
        <v>0</v>
      </c>
      <c r="AI214" s="121">
        <v>0</v>
      </c>
      <c r="AL214" s="14">
        <f t="shared" si="18"/>
        <v>0</v>
      </c>
      <c r="AM214">
        <f t="shared" si="19"/>
        <v>0</v>
      </c>
      <c r="AN214">
        <f t="shared" si="20"/>
        <v>0</v>
      </c>
      <c r="AP214">
        <f>VLOOKUP($B214,Kraftvärmeprod!$B$1:$BX$549,MATCH(AP$1,Kraftvärmeprod!$B$1:$BX$1,0),FALSE)</f>
        <v>0</v>
      </c>
      <c r="AQ214">
        <f>VLOOKUP($B214,Kraftvärmeprod!$B$1:$BX$549,MATCH(AQ$1,Kraftvärmeprod!$B$1:$BX$1,0),FALSE)</f>
        <v>0</v>
      </c>
      <c r="AR214">
        <f>VLOOKUP($B214,Kraftvärmeprod!$B$1:$BX$549,MATCH("Summa tillförd energi exklusive rökgaskondensering",Kraftvärmeprod!$B$1:$BX$1,0),FALSE)</f>
        <v>0</v>
      </c>
      <c r="AT214" s="17" t="str">
        <f t="shared" si="21"/>
        <v/>
      </c>
      <c r="AV214">
        <f t="shared" si="22"/>
        <v>0</v>
      </c>
      <c r="BA214" s="17" t="str">
        <f t="shared" si="23"/>
        <v/>
      </c>
    </row>
    <row r="215" spans="1:53" x14ac:dyDescent="0.25">
      <c r="A215" s="137" t="s">
        <v>487</v>
      </c>
      <c r="B215" s="137" t="s">
        <v>488</v>
      </c>
      <c r="C215" s="121"/>
      <c r="D215" s="121"/>
      <c r="E215" s="121"/>
      <c r="F215" s="121"/>
      <c r="G215" s="121"/>
      <c r="H215" s="121"/>
      <c r="I215" s="121"/>
      <c r="J215" s="121">
        <v>0</v>
      </c>
      <c r="K215" s="121">
        <v>0</v>
      </c>
      <c r="L215" s="121">
        <v>0</v>
      </c>
      <c r="M215" s="121">
        <v>0</v>
      </c>
      <c r="N215" s="121">
        <v>0</v>
      </c>
      <c r="O215" s="121">
        <v>0</v>
      </c>
      <c r="P215" s="121">
        <v>0</v>
      </c>
      <c r="Q215" s="121">
        <v>0</v>
      </c>
      <c r="R215" s="121">
        <v>0</v>
      </c>
      <c r="S215" s="121">
        <v>0</v>
      </c>
      <c r="T215" s="121">
        <v>0</v>
      </c>
      <c r="U215" s="121">
        <v>0</v>
      </c>
      <c r="V215" s="121" t="s">
        <v>1119</v>
      </c>
      <c r="W215" s="121">
        <v>0</v>
      </c>
      <c r="X215" s="121">
        <v>0</v>
      </c>
      <c r="Y215" s="121">
        <v>0</v>
      </c>
      <c r="Z215" s="121">
        <v>0</v>
      </c>
      <c r="AA215" s="121">
        <v>0</v>
      </c>
      <c r="AB215" s="121">
        <v>0</v>
      </c>
      <c r="AC215" s="121">
        <v>0</v>
      </c>
      <c r="AD215" s="121">
        <v>0</v>
      </c>
      <c r="AE215" s="121">
        <v>0</v>
      </c>
      <c r="AF215" s="121">
        <v>0</v>
      </c>
      <c r="AG215" s="121">
        <v>0</v>
      </c>
      <c r="AH215" s="121">
        <v>0</v>
      </c>
      <c r="AI215" s="121">
        <v>0</v>
      </c>
      <c r="AL215" s="14">
        <f t="shared" si="18"/>
        <v>0</v>
      </c>
      <c r="AM215">
        <f t="shared" si="19"/>
        <v>0</v>
      </c>
      <c r="AN215">
        <f t="shared" si="20"/>
        <v>0</v>
      </c>
      <c r="AP215">
        <f>VLOOKUP($B215,Kraftvärmeprod!$B$1:$BX$549,MATCH(AP$1,Kraftvärmeprod!$B$1:$BX$1,0),FALSE)</f>
        <v>0</v>
      </c>
      <c r="AQ215">
        <f>VLOOKUP($B215,Kraftvärmeprod!$B$1:$BX$549,MATCH(AQ$1,Kraftvärmeprod!$B$1:$BX$1,0),FALSE)</f>
        <v>0</v>
      </c>
      <c r="AR215">
        <f>VLOOKUP($B215,Kraftvärmeprod!$B$1:$BX$549,MATCH("Summa tillförd energi exklusive rökgaskondensering",Kraftvärmeprod!$B$1:$BX$1,0),FALSE)</f>
        <v>0</v>
      </c>
      <c r="AT215" s="17" t="str">
        <f t="shared" si="21"/>
        <v/>
      </c>
      <c r="AV215">
        <f t="shared" si="22"/>
        <v>0</v>
      </c>
      <c r="BA215" s="17" t="str">
        <f t="shared" si="23"/>
        <v/>
      </c>
    </row>
    <row r="216" spans="1:53" x14ac:dyDescent="0.25">
      <c r="A216" s="137" t="s">
        <v>489</v>
      </c>
      <c r="B216" s="137" t="s">
        <v>490</v>
      </c>
      <c r="C216" s="121"/>
      <c r="D216" s="121"/>
      <c r="E216" s="121"/>
      <c r="F216" s="121"/>
      <c r="G216" s="121"/>
      <c r="H216" s="121"/>
      <c r="I216" s="121"/>
      <c r="J216" s="121">
        <v>0</v>
      </c>
      <c r="K216" s="121">
        <v>2.3240400000000001</v>
      </c>
      <c r="L216" s="121">
        <v>0</v>
      </c>
      <c r="M216" s="121">
        <v>0</v>
      </c>
      <c r="N216" s="121">
        <v>0</v>
      </c>
      <c r="O216" s="121">
        <v>0</v>
      </c>
      <c r="P216" s="121">
        <v>0</v>
      </c>
      <c r="Q216" s="121">
        <v>0</v>
      </c>
      <c r="R216" s="121">
        <v>0</v>
      </c>
      <c r="S216" s="121">
        <v>47.295299999999997</v>
      </c>
      <c r="T216" s="121">
        <v>0</v>
      </c>
      <c r="U216" s="121">
        <v>0</v>
      </c>
      <c r="V216" s="121" t="s">
        <v>1119</v>
      </c>
      <c r="W216" s="121">
        <v>0</v>
      </c>
      <c r="X216" s="121">
        <v>0</v>
      </c>
      <c r="Y216" s="121">
        <v>0</v>
      </c>
      <c r="Z216" s="121">
        <v>0</v>
      </c>
      <c r="AA216" s="121">
        <v>0</v>
      </c>
      <c r="AB216" s="121">
        <v>0</v>
      </c>
      <c r="AC216" s="121">
        <v>0</v>
      </c>
      <c r="AD216" s="121">
        <v>0</v>
      </c>
      <c r="AE216" s="121">
        <v>99.592699999999994</v>
      </c>
      <c r="AF216" s="121">
        <v>0</v>
      </c>
      <c r="AG216" s="121">
        <v>0</v>
      </c>
      <c r="AH216" s="121">
        <v>0</v>
      </c>
      <c r="AI216" s="121">
        <v>5.8656100000000002</v>
      </c>
      <c r="AL216" s="14">
        <f t="shared" si="18"/>
        <v>155.07765000000001</v>
      </c>
      <c r="AM216">
        <f t="shared" si="19"/>
        <v>149.21204</v>
      </c>
      <c r="AN216">
        <f t="shared" si="20"/>
        <v>149.21204</v>
      </c>
      <c r="AP216">
        <f>VLOOKUP($B216,Kraftvärmeprod!$B$1:$BX$549,MATCH(AP$1,Kraftvärmeprod!$B$1:$BX$1,0),FALSE)</f>
        <v>159.6</v>
      </c>
      <c r="AQ216">
        <f>VLOOKUP($B216,Kraftvärmeprod!$B$1:$BX$549,MATCH(AQ$1,Kraftvärmeprod!$B$1:$BX$1,0),FALSE)</f>
        <v>29.4</v>
      </c>
      <c r="AR216">
        <f>VLOOKUP($B216,Kraftvärmeprod!$B$1:$BX$549,MATCH("Summa tillförd energi exklusive rökgaskondensering",Kraftvärmeprod!$B$1:$BX$1,0),FALSE)</f>
        <v>231.49</v>
      </c>
      <c r="AT216" s="17">
        <f t="shared" si="21"/>
        <v>0.64457229253963455</v>
      </c>
      <c r="AV216">
        <f t="shared" si="22"/>
        <v>47.295299999999997</v>
      </c>
      <c r="BA216" s="17">
        <f t="shared" si="23"/>
        <v>1.02916184247053</v>
      </c>
    </row>
    <row r="217" spans="1:53" x14ac:dyDescent="0.25">
      <c r="A217" s="137" t="s">
        <v>491</v>
      </c>
      <c r="B217" s="137" t="s">
        <v>492</v>
      </c>
      <c r="C217" s="121"/>
      <c r="D217" s="121"/>
      <c r="E217" s="121"/>
      <c r="F217" s="121"/>
      <c r="G217" s="121"/>
      <c r="H217" s="121"/>
      <c r="I217" s="121"/>
      <c r="J217" s="121">
        <v>0</v>
      </c>
      <c r="K217" s="121">
        <v>0</v>
      </c>
      <c r="L217" s="121">
        <v>0</v>
      </c>
      <c r="M217" s="121">
        <v>0</v>
      </c>
      <c r="N217" s="121">
        <v>0</v>
      </c>
      <c r="O217" s="121">
        <v>0</v>
      </c>
      <c r="P217" s="121">
        <v>0</v>
      </c>
      <c r="Q217" s="121">
        <v>0</v>
      </c>
      <c r="R217" s="121">
        <v>0</v>
      </c>
      <c r="S217" s="121">
        <v>0</v>
      </c>
      <c r="T217" s="121">
        <v>0</v>
      </c>
      <c r="U217" s="121">
        <v>0</v>
      </c>
      <c r="V217" s="121" t="s">
        <v>1119</v>
      </c>
      <c r="W217" s="121">
        <v>0</v>
      </c>
      <c r="X217" s="121">
        <v>0</v>
      </c>
      <c r="Y217" s="121">
        <v>0</v>
      </c>
      <c r="Z217" s="121">
        <v>0</v>
      </c>
      <c r="AA217" s="121">
        <v>0</v>
      </c>
      <c r="AB217" s="121">
        <v>0</v>
      </c>
      <c r="AC217" s="121">
        <v>0</v>
      </c>
      <c r="AD217" s="121">
        <v>0</v>
      </c>
      <c r="AE217" s="121">
        <v>0</v>
      </c>
      <c r="AF217" s="121">
        <v>0</v>
      </c>
      <c r="AG217" s="121">
        <v>0</v>
      </c>
      <c r="AH217" s="121">
        <v>0</v>
      </c>
      <c r="AI217" s="121">
        <v>0</v>
      </c>
      <c r="AL217" s="14">
        <f t="shared" si="18"/>
        <v>0</v>
      </c>
      <c r="AM217">
        <f t="shared" si="19"/>
        <v>0</v>
      </c>
      <c r="AN217">
        <f t="shared" si="20"/>
        <v>0</v>
      </c>
      <c r="AP217">
        <f>VLOOKUP($B217,Kraftvärmeprod!$B$1:$BX$549,MATCH(AP$1,Kraftvärmeprod!$B$1:$BX$1,0),FALSE)</f>
        <v>0</v>
      </c>
      <c r="AQ217">
        <f>VLOOKUP($B217,Kraftvärmeprod!$B$1:$BX$549,MATCH(AQ$1,Kraftvärmeprod!$B$1:$BX$1,0),FALSE)</f>
        <v>0</v>
      </c>
      <c r="AR217">
        <f>VLOOKUP($B217,Kraftvärmeprod!$B$1:$BX$549,MATCH("Summa tillförd energi exklusive rökgaskondensering",Kraftvärmeprod!$B$1:$BX$1,0),FALSE)</f>
        <v>0</v>
      </c>
      <c r="AT217" s="17" t="str">
        <f t="shared" si="21"/>
        <v/>
      </c>
      <c r="AV217">
        <f t="shared" si="22"/>
        <v>0</v>
      </c>
      <c r="BA217" s="17" t="str">
        <f t="shared" si="23"/>
        <v/>
      </c>
    </row>
    <row r="218" spans="1:53" x14ac:dyDescent="0.25">
      <c r="A218" s="137" t="s">
        <v>491</v>
      </c>
      <c r="B218" s="137" t="s">
        <v>493</v>
      </c>
      <c r="C218" s="121"/>
      <c r="D218" s="121"/>
      <c r="E218" s="121"/>
      <c r="F218" s="121"/>
      <c r="G218" s="121"/>
      <c r="H218" s="121"/>
      <c r="I218" s="121"/>
      <c r="J218" s="121">
        <v>0</v>
      </c>
      <c r="K218" s="121">
        <v>0</v>
      </c>
      <c r="L218" s="121">
        <v>0</v>
      </c>
      <c r="M218" s="121">
        <v>0</v>
      </c>
      <c r="N218" s="121">
        <v>0</v>
      </c>
      <c r="O218" s="121">
        <v>0</v>
      </c>
      <c r="P218" s="121">
        <v>0</v>
      </c>
      <c r="Q218" s="121">
        <v>0</v>
      </c>
      <c r="R218" s="121">
        <v>0</v>
      </c>
      <c r="S218" s="121">
        <v>0</v>
      </c>
      <c r="T218" s="121">
        <v>0</v>
      </c>
      <c r="U218" s="121">
        <v>0</v>
      </c>
      <c r="V218" s="121" t="s">
        <v>1119</v>
      </c>
      <c r="W218" s="121">
        <v>0</v>
      </c>
      <c r="X218" s="121">
        <v>0</v>
      </c>
      <c r="Y218" s="121">
        <v>0</v>
      </c>
      <c r="Z218" s="121">
        <v>0</v>
      </c>
      <c r="AA218" s="121">
        <v>0</v>
      </c>
      <c r="AB218" s="121">
        <v>0</v>
      </c>
      <c r="AC218" s="121">
        <v>0</v>
      </c>
      <c r="AD218" s="121">
        <v>0</v>
      </c>
      <c r="AE218" s="121">
        <v>0</v>
      </c>
      <c r="AF218" s="121">
        <v>0</v>
      </c>
      <c r="AG218" s="121">
        <v>0</v>
      </c>
      <c r="AH218" s="121">
        <v>0</v>
      </c>
      <c r="AI218" s="121">
        <v>0</v>
      </c>
      <c r="AL218" s="14">
        <f t="shared" si="18"/>
        <v>0</v>
      </c>
      <c r="AM218">
        <f t="shared" si="19"/>
        <v>0</v>
      </c>
      <c r="AN218">
        <f t="shared" si="20"/>
        <v>0</v>
      </c>
      <c r="AP218">
        <f>VLOOKUP($B218,Kraftvärmeprod!$B$1:$BX$549,MATCH(AP$1,Kraftvärmeprod!$B$1:$BX$1,0),FALSE)</f>
        <v>0</v>
      </c>
      <c r="AQ218">
        <f>VLOOKUP($B218,Kraftvärmeprod!$B$1:$BX$549,MATCH(AQ$1,Kraftvärmeprod!$B$1:$BX$1,0),FALSE)</f>
        <v>0</v>
      </c>
      <c r="AR218">
        <f>VLOOKUP($B218,Kraftvärmeprod!$B$1:$BX$549,MATCH("Summa tillförd energi exklusive rökgaskondensering",Kraftvärmeprod!$B$1:$BX$1,0),FALSE)</f>
        <v>0</v>
      </c>
      <c r="AT218" s="17" t="str">
        <f t="shared" si="21"/>
        <v/>
      </c>
      <c r="AV218">
        <f t="shared" si="22"/>
        <v>0</v>
      </c>
      <c r="BA218" s="17" t="str">
        <f t="shared" si="23"/>
        <v/>
      </c>
    </row>
    <row r="219" spans="1:53" x14ac:dyDescent="0.25">
      <c r="A219" s="137" t="s">
        <v>491</v>
      </c>
      <c r="B219" s="137" t="s">
        <v>494</v>
      </c>
      <c r="C219" s="121"/>
      <c r="D219" s="121"/>
      <c r="E219" s="121"/>
      <c r="F219" s="121"/>
      <c r="G219" s="121"/>
      <c r="H219" s="121"/>
      <c r="I219" s="121"/>
      <c r="J219" s="121">
        <v>0</v>
      </c>
      <c r="K219" s="121">
        <v>0</v>
      </c>
      <c r="L219" s="121">
        <v>0</v>
      </c>
      <c r="M219" s="121">
        <v>0</v>
      </c>
      <c r="N219" s="121">
        <v>0</v>
      </c>
      <c r="O219" s="121">
        <v>0</v>
      </c>
      <c r="P219" s="121">
        <v>84.051400000000001</v>
      </c>
      <c r="Q219" s="121">
        <v>0</v>
      </c>
      <c r="R219" s="121">
        <v>0</v>
      </c>
      <c r="S219" s="121">
        <v>0</v>
      </c>
      <c r="T219" s="121">
        <v>0</v>
      </c>
      <c r="U219" s="121">
        <v>0</v>
      </c>
      <c r="V219" s="121" t="s">
        <v>1119</v>
      </c>
      <c r="W219" s="121">
        <v>0</v>
      </c>
      <c r="X219" s="121">
        <v>0</v>
      </c>
      <c r="Y219" s="121">
        <v>0</v>
      </c>
      <c r="Z219" s="121">
        <v>0</v>
      </c>
      <c r="AA219" s="121">
        <v>0</v>
      </c>
      <c r="AB219" s="121">
        <v>0</v>
      </c>
      <c r="AC219" s="121">
        <v>0</v>
      </c>
      <c r="AD219" s="121">
        <v>0</v>
      </c>
      <c r="AE219" s="121">
        <v>0</v>
      </c>
      <c r="AF219" s="121">
        <v>0</v>
      </c>
      <c r="AG219" s="121">
        <v>0</v>
      </c>
      <c r="AH219" s="121">
        <v>21.2</v>
      </c>
      <c r="AI219" s="121">
        <v>1.8884399999999999</v>
      </c>
      <c r="AL219" s="14">
        <f t="shared" si="18"/>
        <v>107.13984000000001</v>
      </c>
      <c r="AM219">
        <f t="shared" si="19"/>
        <v>105.2514</v>
      </c>
      <c r="AN219">
        <f t="shared" si="20"/>
        <v>84.051400000000001</v>
      </c>
      <c r="AP219">
        <f>VLOOKUP($B219,Kraftvärmeprod!$B$1:$BX$549,MATCH(AP$1,Kraftvärmeprod!$B$1:$BX$1,0),FALSE)</f>
        <v>93.77</v>
      </c>
      <c r="AQ219">
        <f>VLOOKUP($B219,Kraftvärmeprod!$B$1:$BX$549,MATCH(AQ$1,Kraftvärmeprod!$B$1:$BX$1,0),FALSE)</f>
        <v>24.99</v>
      </c>
      <c r="AR219">
        <f>VLOOKUP($B219,Kraftvärmeprod!$B$1:$BX$549,MATCH("Summa tillförd energi exklusive rökgaskondensering",Kraftvärmeprod!$B$1:$BX$1,0),FALSE)</f>
        <v>142.42699999999999</v>
      </c>
      <c r="AT219" s="17">
        <f t="shared" si="21"/>
        <v>0.59013670160854337</v>
      </c>
      <c r="AV219">
        <f t="shared" si="22"/>
        <v>84.051400000000001</v>
      </c>
      <c r="BA219" s="17">
        <f t="shared" si="23"/>
        <v>1.0911121081910322</v>
      </c>
    </row>
    <row r="220" spans="1:53" x14ac:dyDescent="0.25">
      <c r="A220" s="137" t="s">
        <v>495</v>
      </c>
      <c r="B220" s="137" t="s">
        <v>496</v>
      </c>
      <c r="C220" s="121"/>
      <c r="D220" s="121"/>
      <c r="E220" s="121"/>
      <c r="F220" s="121"/>
      <c r="G220" s="121"/>
      <c r="H220" s="121"/>
      <c r="I220" s="121"/>
      <c r="J220" s="121">
        <v>0</v>
      </c>
      <c r="K220" s="121">
        <v>0</v>
      </c>
      <c r="L220" s="121">
        <v>0</v>
      </c>
      <c r="M220" s="121">
        <v>0</v>
      </c>
      <c r="N220" s="121">
        <v>0</v>
      </c>
      <c r="O220" s="121">
        <v>0</v>
      </c>
      <c r="P220" s="121">
        <v>0</v>
      </c>
      <c r="Q220" s="121">
        <v>0</v>
      </c>
      <c r="R220" s="121">
        <v>0</v>
      </c>
      <c r="S220" s="121">
        <v>0</v>
      </c>
      <c r="T220" s="121">
        <v>0</v>
      </c>
      <c r="U220" s="121">
        <v>0</v>
      </c>
      <c r="V220" s="121" t="s">
        <v>1119</v>
      </c>
      <c r="W220" s="121">
        <v>0</v>
      </c>
      <c r="X220" s="121">
        <v>0</v>
      </c>
      <c r="Y220" s="121">
        <v>0</v>
      </c>
      <c r="Z220" s="121">
        <v>0</v>
      </c>
      <c r="AA220" s="121">
        <v>0</v>
      </c>
      <c r="AB220" s="121">
        <v>0</v>
      </c>
      <c r="AC220" s="121">
        <v>0</v>
      </c>
      <c r="AD220" s="121">
        <v>0</v>
      </c>
      <c r="AE220" s="121">
        <v>0</v>
      </c>
      <c r="AF220" s="121">
        <v>0</v>
      </c>
      <c r="AG220" s="121">
        <v>0</v>
      </c>
      <c r="AH220" s="121">
        <v>0</v>
      </c>
      <c r="AI220" s="121">
        <v>0</v>
      </c>
      <c r="AL220" s="14">
        <f t="shared" si="18"/>
        <v>0</v>
      </c>
      <c r="AM220">
        <f t="shared" si="19"/>
        <v>0</v>
      </c>
      <c r="AN220">
        <f t="shared" si="20"/>
        <v>0</v>
      </c>
      <c r="AP220">
        <f>VLOOKUP($B220,Kraftvärmeprod!$B$1:$BX$549,MATCH(AP$1,Kraftvärmeprod!$B$1:$BX$1,0),FALSE)</f>
        <v>0</v>
      </c>
      <c r="AQ220">
        <f>VLOOKUP($B220,Kraftvärmeprod!$B$1:$BX$549,MATCH(AQ$1,Kraftvärmeprod!$B$1:$BX$1,0),FALSE)</f>
        <v>0</v>
      </c>
      <c r="AR220">
        <f>VLOOKUP($B220,Kraftvärmeprod!$B$1:$BX$549,MATCH("Summa tillförd energi exklusive rökgaskondensering",Kraftvärmeprod!$B$1:$BX$1,0),FALSE)</f>
        <v>0</v>
      </c>
      <c r="AT220" s="17" t="str">
        <f t="shared" si="21"/>
        <v/>
      </c>
      <c r="AV220">
        <f t="shared" si="22"/>
        <v>0</v>
      </c>
      <c r="BA220" s="17" t="str">
        <f t="shared" si="23"/>
        <v/>
      </c>
    </row>
    <row r="221" spans="1:53" x14ac:dyDescent="0.25">
      <c r="A221" s="137" t="s">
        <v>498</v>
      </c>
      <c r="B221" s="137" t="s">
        <v>499</v>
      </c>
      <c r="C221" s="121"/>
      <c r="D221" s="121"/>
      <c r="E221" s="121"/>
      <c r="F221" s="121"/>
      <c r="G221" s="121"/>
      <c r="H221" s="121"/>
      <c r="I221" s="121"/>
      <c r="J221" s="121">
        <v>0</v>
      </c>
      <c r="K221" s="121">
        <v>0</v>
      </c>
      <c r="L221" s="121">
        <v>0</v>
      </c>
      <c r="M221" s="121">
        <v>0</v>
      </c>
      <c r="N221" s="121">
        <v>0</v>
      </c>
      <c r="O221" s="121">
        <v>0</v>
      </c>
      <c r="P221" s="121">
        <v>0</v>
      </c>
      <c r="Q221" s="121">
        <v>0</v>
      </c>
      <c r="R221" s="121">
        <v>0</v>
      </c>
      <c r="S221" s="121">
        <v>0</v>
      </c>
      <c r="T221" s="121">
        <v>0</v>
      </c>
      <c r="U221" s="121">
        <v>0</v>
      </c>
      <c r="V221" s="121" t="s">
        <v>1119</v>
      </c>
      <c r="W221" s="121">
        <v>0</v>
      </c>
      <c r="X221" s="121">
        <v>0</v>
      </c>
      <c r="Y221" s="121">
        <v>0</v>
      </c>
      <c r="Z221" s="121">
        <v>0</v>
      </c>
      <c r="AA221" s="121">
        <v>0</v>
      </c>
      <c r="AB221" s="121">
        <v>0</v>
      </c>
      <c r="AC221" s="121">
        <v>0</v>
      </c>
      <c r="AD221" s="121">
        <v>0</v>
      </c>
      <c r="AE221" s="121">
        <v>0</v>
      </c>
      <c r="AF221" s="121">
        <v>0</v>
      </c>
      <c r="AG221" s="121">
        <v>0</v>
      </c>
      <c r="AH221" s="121">
        <v>0</v>
      </c>
      <c r="AI221" s="121">
        <v>0</v>
      </c>
      <c r="AL221" s="14">
        <f t="shared" si="18"/>
        <v>0</v>
      </c>
      <c r="AM221">
        <f t="shared" si="19"/>
        <v>0</v>
      </c>
      <c r="AN221">
        <f t="shared" si="20"/>
        <v>0</v>
      </c>
      <c r="AP221">
        <f>VLOOKUP($B221,Kraftvärmeprod!$B$1:$BX$549,MATCH(AP$1,Kraftvärmeprod!$B$1:$BX$1,0),FALSE)</f>
        <v>0</v>
      </c>
      <c r="AQ221">
        <f>VLOOKUP($B221,Kraftvärmeprod!$B$1:$BX$549,MATCH(AQ$1,Kraftvärmeprod!$B$1:$BX$1,0),FALSE)</f>
        <v>0</v>
      </c>
      <c r="AR221">
        <f>VLOOKUP($B221,Kraftvärmeprod!$B$1:$BX$549,MATCH("Summa tillförd energi exklusive rökgaskondensering",Kraftvärmeprod!$B$1:$BX$1,0),FALSE)</f>
        <v>0</v>
      </c>
      <c r="AT221" s="17" t="str">
        <f t="shared" si="21"/>
        <v/>
      </c>
      <c r="AV221">
        <f t="shared" si="22"/>
        <v>0</v>
      </c>
      <c r="BA221" s="17" t="str">
        <f t="shared" si="23"/>
        <v/>
      </c>
    </row>
    <row r="222" spans="1:53" x14ac:dyDescent="0.25">
      <c r="A222" s="137" t="s">
        <v>498</v>
      </c>
      <c r="B222" s="137" t="s">
        <v>500</v>
      </c>
      <c r="C222" s="121"/>
      <c r="D222" s="121"/>
      <c r="E222" s="121"/>
      <c r="F222" s="121"/>
      <c r="G222" s="121"/>
      <c r="H222" s="121"/>
      <c r="I222" s="121"/>
      <c r="J222" s="121">
        <v>0</v>
      </c>
      <c r="K222" s="121">
        <v>0</v>
      </c>
      <c r="L222" s="121">
        <v>0</v>
      </c>
      <c r="M222" s="121">
        <v>0</v>
      </c>
      <c r="N222" s="121">
        <v>0</v>
      </c>
      <c r="O222" s="121">
        <v>0</v>
      </c>
      <c r="P222" s="121">
        <v>0</v>
      </c>
      <c r="Q222" s="121">
        <v>0</v>
      </c>
      <c r="R222" s="121">
        <v>0</v>
      </c>
      <c r="S222" s="121">
        <v>0</v>
      </c>
      <c r="T222" s="121">
        <v>0</v>
      </c>
      <c r="U222" s="121">
        <v>0</v>
      </c>
      <c r="V222" s="121" t="s">
        <v>1119</v>
      </c>
      <c r="W222" s="121">
        <v>0</v>
      </c>
      <c r="X222" s="121">
        <v>0</v>
      </c>
      <c r="Y222" s="121">
        <v>0</v>
      </c>
      <c r="Z222" s="121">
        <v>0</v>
      </c>
      <c r="AA222" s="121">
        <v>0</v>
      </c>
      <c r="AB222" s="121">
        <v>0</v>
      </c>
      <c r="AC222" s="121">
        <v>0</v>
      </c>
      <c r="AD222" s="121">
        <v>0</v>
      </c>
      <c r="AE222" s="121">
        <v>0</v>
      </c>
      <c r="AF222" s="121">
        <v>0</v>
      </c>
      <c r="AG222" s="121">
        <v>0</v>
      </c>
      <c r="AH222" s="121">
        <v>0</v>
      </c>
      <c r="AI222" s="121">
        <v>0</v>
      </c>
      <c r="AL222" s="14">
        <f t="shared" si="18"/>
        <v>0</v>
      </c>
      <c r="AM222">
        <f t="shared" si="19"/>
        <v>0</v>
      </c>
      <c r="AN222">
        <f t="shared" si="20"/>
        <v>0</v>
      </c>
      <c r="AP222">
        <f>VLOOKUP($B222,Kraftvärmeprod!$B$1:$BX$549,MATCH(AP$1,Kraftvärmeprod!$B$1:$BX$1,0),FALSE)</f>
        <v>0</v>
      </c>
      <c r="AQ222">
        <f>VLOOKUP($B222,Kraftvärmeprod!$B$1:$BX$549,MATCH(AQ$1,Kraftvärmeprod!$B$1:$BX$1,0),FALSE)</f>
        <v>0</v>
      </c>
      <c r="AR222">
        <f>VLOOKUP($B222,Kraftvärmeprod!$B$1:$BX$549,MATCH("Summa tillförd energi exklusive rökgaskondensering",Kraftvärmeprod!$B$1:$BX$1,0),FALSE)</f>
        <v>0</v>
      </c>
      <c r="AT222" s="17" t="str">
        <f t="shared" si="21"/>
        <v/>
      </c>
      <c r="AV222">
        <f t="shared" si="22"/>
        <v>0</v>
      </c>
      <c r="BA222" s="17" t="str">
        <f t="shared" si="23"/>
        <v/>
      </c>
    </row>
    <row r="223" spans="1:53" x14ac:dyDescent="0.25">
      <c r="A223" s="137" t="s">
        <v>501</v>
      </c>
      <c r="B223" s="137" t="s">
        <v>502</v>
      </c>
      <c r="C223" s="121"/>
      <c r="D223" s="121"/>
      <c r="E223" s="121"/>
      <c r="F223" s="121"/>
      <c r="G223" s="121"/>
      <c r="H223" s="121"/>
      <c r="I223" s="121"/>
      <c r="J223" s="121">
        <v>0</v>
      </c>
      <c r="K223" s="121">
        <v>0</v>
      </c>
      <c r="L223" s="121">
        <v>0</v>
      </c>
      <c r="M223" s="121">
        <v>0</v>
      </c>
      <c r="N223" s="121">
        <v>0</v>
      </c>
      <c r="O223" s="121">
        <v>0</v>
      </c>
      <c r="P223" s="121">
        <v>32.752600000000001</v>
      </c>
      <c r="Q223" s="121">
        <v>31.4785</v>
      </c>
      <c r="R223" s="121">
        <v>16.114000000000001</v>
      </c>
      <c r="S223" s="121">
        <v>5.0215699999999996</v>
      </c>
      <c r="T223" s="121">
        <v>0</v>
      </c>
      <c r="U223" s="121">
        <v>0</v>
      </c>
      <c r="V223" s="121" t="s">
        <v>1119</v>
      </c>
      <c r="W223" s="121">
        <v>0</v>
      </c>
      <c r="X223" s="121">
        <v>0</v>
      </c>
      <c r="Y223" s="121">
        <v>0</v>
      </c>
      <c r="Z223" s="121">
        <v>0</v>
      </c>
      <c r="AA223" s="121">
        <v>0</v>
      </c>
      <c r="AB223" s="121">
        <v>0</v>
      </c>
      <c r="AC223" s="121">
        <v>0</v>
      </c>
      <c r="AD223" s="121">
        <v>0</v>
      </c>
      <c r="AE223" s="121">
        <v>0</v>
      </c>
      <c r="AF223" s="121">
        <v>0</v>
      </c>
      <c r="AG223" s="121">
        <v>0</v>
      </c>
      <c r="AH223" s="121">
        <v>21.7</v>
      </c>
      <c r="AI223" s="121">
        <v>2.09857</v>
      </c>
      <c r="AL223" s="14">
        <f t="shared" si="18"/>
        <v>109.16524</v>
      </c>
      <c r="AM223">
        <f t="shared" si="19"/>
        <v>107.06667</v>
      </c>
      <c r="AN223">
        <f t="shared" si="20"/>
        <v>85.366669999999999</v>
      </c>
      <c r="AP223">
        <f>VLOOKUP($B223,Kraftvärmeprod!$B$1:$BX$549,MATCH(AP$1,Kraftvärmeprod!$B$1:$BX$1,0),FALSE)</f>
        <v>99.8</v>
      </c>
      <c r="AQ223">
        <f>VLOOKUP($B223,Kraftvärmeprod!$B$1:$BX$549,MATCH(AQ$1,Kraftvärmeprod!$B$1:$BX$1,0),FALSE)</f>
        <v>12.8</v>
      </c>
      <c r="AR223">
        <f>VLOOKUP($B223,Kraftvärmeprod!$B$1:$BX$549,MATCH("Summa tillförd energi exklusive rökgaskondensering",Kraftvärmeprod!$B$1:$BX$1,0),FALSE)</f>
        <v>113.9</v>
      </c>
      <c r="AT223" s="17">
        <f t="shared" si="21"/>
        <v>0.74948788410886735</v>
      </c>
      <c r="AV223">
        <f t="shared" si="22"/>
        <v>85.366669999999999</v>
      </c>
      <c r="BA223" s="17">
        <f t="shared" si="23"/>
        <v>1.1410247087871708</v>
      </c>
    </row>
    <row r="224" spans="1:53" x14ac:dyDescent="0.25">
      <c r="A224" s="137" t="s">
        <v>503</v>
      </c>
      <c r="B224" s="137" t="s">
        <v>504</v>
      </c>
      <c r="C224" s="121"/>
      <c r="D224" s="121"/>
      <c r="E224" s="121"/>
      <c r="F224" s="121"/>
      <c r="G224" s="121"/>
      <c r="H224" s="121"/>
      <c r="I224" s="121"/>
      <c r="J224" s="121">
        <v>0</v>
      </c>
      <c r="K224" s="121">
        <v>0</v>
      </c>
      <c r="L224" s="121">
        <v>0</v>
      </c>
      <c r="M224" s="121">
        <v>0</v>
      </c>
      <c r="N224" s="121">
        <v>0</v>
      </c>
      <c r="O224" s="121">
        <v>0</v>
      </c>
      <c r="P224" s="121">
        <v>0</v>
      </c>
      <c r="Q224" s="121">
        <v>0</v>
      </c>
      <c r="R224" s="121">
        <v>0</v>
      </c>
      <c r="S224" s="121">
        <v>0</v>
      </c>
      <c r="T224" s="121">
        <v>0</v>
      </c>
      <c r="U224" s="121">
        <v>0</v>
      </c>
      <c r="V224" s="121" t="s">
        <v>1119</v>
      </c>
      <c r="W224" s="121">
        <v>0</v>
      </c>
      <c r="X224" s="121">
        <v>0</v>
      </c>
      <c r="Y224" s="121">
        <v>0</v>
      </c>
      <c r="Z224" s="121">
        <v>0</v>
      </c>
      <c r="AA224" s="121">
        <v>0</v>
      </c>
      <c r="AB224" s="121">
        <v>0</v>
      </c>
      <c r="AC224" s="121">
        <v>0</v>
      </c>
      <c r="AD224" s="121">
        <v>0</v>
      </c>
      <c r="AE224" s="121">
        <v>0</v>
      </c>
      <c r="AF224" s="121">
        <v>0</v>
      </c>
      <c r="AG224" s="121">
        <v>0</v>
      </c>
      <c r="AH224" s="121">
        <v>0</v>
      </c>
      <c r="AI224" s="121">
        <v>0</v>
      </c>
      <c r="AL224" s="14">
        <f t="shared" si="18"/>
        <v>0</v>
      </c>
      <c r="AM224">
        <f t="shared" si="19"/>
        <v>0</v>
      </c>
      <c r="AN224">
        <f t="shared" si="20"/>
        <v>0</v>
      </c>
      <c r="AP224">
        <f>VLOOKUP($B224,Kraftvärmeprod!$B$1:$BX$549,MATCH(AP$1,Kraftvärmeprod!$B$1:$BX$1,0),FALSE)</f>
        <v>0</v>
      </c>
      <c r="AQ224">
        <f>VLOOKUP($B224,Kraftvärmeprod!$B$1:$BX$549,MATCH(AQ$1,Kraftvärmeprod!$B$1:$BX$1,0),FALSE)</f>
        <v>0</v>
      </c>
      <c r="AR224">
        <f>VLOOKUP($B224,Kraftvärmeprod!$B$1:$BX$549,MATCH("Summa tillförd energi exklusive rökgaskondensering",Kraftvärmeprod!$B$1:$BX$1,0),FALSE)</f>
        <v>0</v>
      </c>
      <c r="AT224" s="17" t="str">
        <f t="shared" si="21"/>
        <v/>
      </c>
      <c r="AV224">
        <f t="shared" si="22"/>
        <v>0</v>
      </c>
      <c r="BA224" s="17" t="str">
        <f t="shared" si="23"/>
        <v/>
      </c>
    </row>
    <row r="225" spans="1:53" x14ac:dyDescent="0.25">
      <c r="A225" s="137" t="s">
        <v>505</v>
      </c>
      <c r="B225" s="137" t="s">
        <v>119</v>
      </c>
      <c r="C225" s="121"/>
      <c r="D225" s="121"/>
      <c r="E225" s="121"/>
      <c r="F225" s="121"/>
      <c r="G225" s="121"/>
      <c r="H225" s="121"/>
      <c r="I225" s="121"/>
      <c r="J225" s="121">
        <v>0</v>
      </c>
      <c r="K225" s="121">
        <v>0</v>
      </c>
      <c r="L225" s="121">
        <v>0</v>
      </c>
      <c r="M225" s="121">
        <v>0</v>
      </c>
      <c r="N225" s="121">
        <v>0</v>
      </c>
      <c r="O225" s="121">
        <v>0</v>
      </c>
      <c r="P225" s="121">
        <v>0</v>
      </c>
      <c r="Q225" s="121">
        <v>0</v>
      </c>
      <c r="R225" s="121">
        <v>0</v>
      </c>
      <c r="S225" s="121">
        <v>0</v>
      </c>
      <c r="T225" s="121">
        <v>0</v>
      </c>
      <c r="U225" s="121">
        <v>0</v>
      </c>
      <c r="V225" s="121" t="s">
        <v>1119</v>
      </c>
      <c r="W225" s="121">
        <v>0</v>
      </c>
      <c r="X225" s="121">
        <v>0</v>
      </c>
      <c r="Y225" s="121">
        <v>0</v>
      </c>
      <c r="Z225" s="121">
        <v>0</v>
      </c>
      <c r="AA225" s="121">
        <v>0</v>
      </c>
      <c r="AB225" s="121">
        <v>0</v>
      </c>
      <c r="AC225" s="121">
        <v>0</v>
      </c>
      <c r="AD225" s="121">
        <v>0</v>
      </c>
      <c r="AE225" s="121">
        <v>0</v>
      </c>
      <c r="AF225" s="121">
        <v>0</v>
      </c>
      <c r="AG225" s="121">
        <v>0</v>
      </c>
      <c r="AH225" s="121">
        <v>0</v>
      </c>
      <c r="AI225" s="121">
        <v>0</v>
      </c>
      <c r="AL225" s="14">
        <f t="shared" si="18"/>
        <v>0</v>
      </c>
      <c r="AM225">
        <f t="shared" si="19"/>
        <v>0</v>
      </c>
      <c r="AN225">
        <f t="shared" si="20"/>
        <v>0</v>
      </c>
      <c r="AP225">
        <f>VLOOKUP($B225,Kraftvärmeprod!$B$1:$BX$549,MATCH(AP$1,Kraftvärmeprod!$B$1:$BX$1,0),FALSE)</f>
        <v>0</v>
      </c>
      <c r="AQ225">
        <f>VLOOKUP($B225,Kraftvärmeprod!$B$1:$BX$549,MATCH(AQ$1,Kraftvärmeprod!$B$1:$BX$1,0),FALSE)</f>
        <v>0</v>
      </c>
      <c r="AR225">
        <f>VLOOKUP($B225,Kraftvärmeprod!$B$1:$BX$549,MATCH("Summa tillförd energi exklusive rökgaskondensering",Kraftvärmeprod!$B$1:$BX$1,0),FALSE)</f>
        <v>0</v>
      </c>
      <c r="AT225" s="17" t="str">
        <f t="shared" si="21"/>
        <v/>
      </c>
      <c r="AV225">
        <f t="shared" si="22"/>
        <v>0</v>
      </c>
      <c r="BA225" s="17" t="str">
        <f t="shared" si="23"/>
        <v/>
      </c>
    </row>
    <row r="226" spans="1:53" x14ac:dyDescent="0.25">
      <c r="A226" s="137" t="s">
        <v>506</v>
      </c>
      <c r="B226" s="137" t="s">
        <v>507</v>
      </c>
      <c r="C226" s="121"/>
      <c r="D226" s="121"/>
      <c r="E226" s="121"/>
      <c r="F226" s="121"/>
      <c r="G226" s="121"/>
      <c r="H226" s="121"/>
      <c r="I226" s="121"/>
      <c r="J226" s="121">
        <v>0</v>
      </c>
      <c r="K226" s="121">
        <v>0</v>
      </c>
      <c r="L226" s="121">
        <v>0</v>
      </c>
      <c r="M226" s="121">
        <v>0</v>
      </c>
      <c r="N226" s="121">
        <v>0</v>
      </c>
      <c r="O226" s="121">
        <v>0</v>
      </c>
      <c r="P226" s="121">
        <v>0</v>
      </c>
      <c r="Q226" s="121">
        <v>0</v>
      </c>
      <c r="R226" s="121">
        <v>0</v>
      </c>
      <c r="S226" s="121">
        <v>0</v>
      </c>
      <c r="T226" s="121">
        <v>0</v>
      </c>
      <c r="U226" s="121">
        <v>0</v>
      </c>
      <c r="V226" s="121" t="s">
        <v>1119</v>
      </c>
      <c r="W226" s="121">
        <v>0</v>
      </c>
      <c r="X226" s="121">
        <v>0</v>
      </c>
      <c r="Y226" s="121">
        <v>0</v>
      </c>
      <c r="Z226" s="121">
        <v>0</v>
      </c>
      <c r="AA226" s="121">
        <v>0</v>
      </c>
      <c r="AB226" s="121">
        <v>0</v>
      </c>
      <c r="AC226" s="121">
        <v>0</v>
      </c>
      <c r="AD226" s="121">
        <v>0</v>
      </c>
      <c r="AE226" s="121">
        <v>0</v>
      </c>
      <c r="AF226" s="121">
        <v>0</v>
      </c>
      <c r="AG226" s="121">
        <v>0</v>
      </c>
      <c r="AH226" s="121">
        <v>0</v>
      </c>
      <c r="AI226" s="121">
        <v>0</v>
      </c>
      <c r="AL226" s="14">
        <f t="shared" si="18"/>
        <v>0</v>
      </c>
      <c r="AM226">
        <f t="shared" si="19"/>
        <v>0</v>
      </c>
      <c r="AN226">
        <f t="shared" si="20"/>
        <v>0</v>
      </c>
      <c r="AP226">
        <f>VLOOKUP($B226,Kraftvärmeprod!$B$1:$BX$549,MATCH(AP$1,Kraftvärmeprod!$B$1:$BX$1,0),FALSE)</f>
        <v>0</v>
      </c>
      <c r="AQ226">
        <f>VLOOKUP($B226,Kraftvärmeprod!$B$1:$BX$549,MATCH(AQ$1,Kraftvärmeprod!$B$1:$BX$1,0),FALSE)</f>
        <v>0</v>
      </c>
      <c r="AR226">
        <f>VLOOKUP($B226,Kraftvärmeprod!$B$1:$BX$549,MATCH("Summa tillförd energi exklusive rökgaskondensering",Kraftvärmeprod!$B$1:$BX$1,0),FALSE)</f>
        <v>0</v>
      </c>
      <c r="AT226" s="17" t="str">
        <f t="shared" si="21"/>
        <v/>
      </c>
      <c r="AV226">
        <f t="shared" si="22"/>
        <v>0</v>
      </c>
      <c r="BA226" s="17" t="str">
        <f t="shared" si="23"/>
        <v/>
      </c>
    </row>
    <row r="227" spans="1:53" x14ac:dyDescent="0.25">
      <c r="A227" s="137" t="s">
        <v>38</v>
      </c>
      <c r="B227" s="141" t="s">
        <v>40</v>
      </c>
      <c r="C227" s="121"/>
      <c r="D227" s="121"/>
      <c r="E227" s="121"/>
      <c r="F227" s="121"/>
      <c r="G227" s="121"/>
      <c r="H227" s="121"/>
      <c r="I227" s="121"/>
      <c r="J227" s="121" t="s">
        <v>1119</v>
      </c>
      <c r="K227" s="121" t="s">
        <v>1119</v>
      </c>
      <c r="L227" s="121" t="s">
        <v>1119</v>
      </c>
      <c r="M227" s="121" t="s">
        <v>1119</v>
      </c>
      <c r="N227" s="121" t="s">
        <v>1119</v>
      </c>
      <c r="O227" s="121" t="s">
        <v>1119</v>
      </c>
      <c r="P227" s="121" t="s">
        <v>1119</v>
      </c>
      <c r="Q227" s="121" t="s">
        <v>1119</v>
      </c>
      <c r="R227" s="121" t="s">
        <v>1119</v>
      </c>
      <c r="S227" s="121" t="s">
        <v>1119</v>
      </c>
      <c r="T227" s="121" t="s">
        <v>1119</v>
      </c>
      <c r="U227" s="121" t="s">
        <v>1119</v>
      </c>
      <c r="V227" s="121" t="s">
        <v>1119</v>
      </c>
      <c r="W227" s="121" t="s">
        <v>1119</v>
      </c>
      <c r="X227" s="121" t="s">
        <v>1119</v>
      </c>
      <c r="Y227" s="121" t="s">
        <v>1119</v>
      </c>
      <c r="Z227" s="121" t="s">
        <v>1119</v>
      </c>
      <c r="AA227" s="121" t="s">
        <v>1119</v>
      </c>
      <c r="AB227" s="121" t="s">
        <v>1119</v>
      </c>
      <c r="AC227" s="121" t="s">
        <v>1119</v>
      </c>
      <c r="AD227" s="121" t="s">
        <v>1119</v>
      </c>
      <c r="AE227" s="121" t="s">
        <v>1119</v>
      </c>
      <c r="AF227" s="121" t="s">
        <v>1119</v>
      </c>
      <c r="AG227" s="121" t="s">
        <v>1119</v>
      </c>
      <c r="AH227" s="121" t="s">
        <v>1119</v>
      </c>
      <c r="AI227" s="121" t="s">
        <v>1119</v>
      </c>
      <c r="AL227" s="14">
        <f t="shared" si="18"/>
        <v>0</v>
      </c>
      <c r="AM227">
        <f t="shared" si="19"/>
        <v>0</v>
      </c>
      <c r="AN227">
        <f t="shared" si="20"/>
        <v>0</v>
      </c>
      <c r="AP227">
        <f>VLOOKUP($B227,Kraftvärmeprod!$B$1:$BX$549,MATCH(AP$1,Kraftvärmeprod!$B$1:$BX$1,0),FALSE)</f>
        <v>0</v>
      </c>
      <c r="AQ227">
        <f>VLOOKUP($B227,Kraftvärmeprod!$B$1:$BX$549,MATCH(AQ$1,Kraftvärmeprod!$B$1:$BX$1,0),FALSE)</f>
        <v>0</v>
      </c>
      <c r="AR227">
        <f>VLOOKUP($B227,Kraftvärmeprod!$B$1:$BX$549,MATCH("Summa tillförd energi exklusive rökgaskondensering",Kraftvärmeprod!$B$1:$BX$1,0),FALSE)</f>
        <v>0</v>
      </c>
      <c r="AT227" s="17" t="str">
        <f t="shared" si="21"/>
        <v/>
      </c>
      <c r="AV227" t="e">
        <f t="shared" si="22"/>
        <v>#VALUE!</v>
      </c>
      <c r="BA227" s="17" t="str">
        <f t="shared" si="23"/>
        <v/>
      </c>
    </row>
    <row r="228" spans="1:53" x14ac:dyDescent="0.25">
      <c r="A228" s="137" t="s">
        <v>4</v>
      </c>
      <c r="B228" s="137" t="s">
        <v>508</v>
      </c>
      <c r="C228" s="121"/>
      <c r="D228" s="121"/>
      <c r="E228" s="121"/>
      <c r="F228" s="121"/>
      <c r="G228" s="121"/>
      <c r="H228" s="121"/>
      <c r="I228" s="121"/>
      <c r="J228" s="121">
        <v>0</v>
      </c>
      <c r="K228" s="121">
        <v>0</v>
      </c>
      <c r="L228" s="121">
        <v>0</v>
      </c>
      <c r="M228" s="121">
        <v>0</v>
      </c>
      <c r="N228" s="121">
        <v>0</v>
      </c>
      <c r="O228" s="121">
        <v>0</v>
      </c>
      <c r="P228" s="121">
        <v>0</v>
      </c>
      <c r="Q228" s="121">
        <v>0</v>
      </c>
      <c r="R228" s="121">
        <v>0</v>
      </c>
      <c r="S228" s="121">
        <v>0</v>
      </c>
      <c r="T228" s="121">
        <v>0</v>
      </c>
      <c r="U228" s="121">
        <v>0</v>
      </c>
      <c r="V228" s="121" t="s">
        <v>1119</v>
      </c>
      <c r="W228" s="121">
        <v>0</v>
      </c>
      <c r="X228" s="121">
        <v>0</v>
      </c>
      <c r="Y228" s="121">
        <v>0</v>
      </c>
      <c r="Z228" s="121">
        <v>0</v>
      </c>
      <c r="AA228" s="121">
        <v>0</v>
      </c>
      <c r="AB228" s="121">
        <v>0</v>
      </c>
      <c r="AC228" s="121">
        <v>0</v>
      </c>
      <c r="AD228" s="121">
        <v>0</v>
      </c>
      <c r="AE228" s="121">
        <v>0</v>
      </c>
      <c r="AF228" s="121">
        <v>0</v>
      </c>
      <c r="AG228" s="121">
        <v>0</v>
      </c>
      <c r="AH228" s="121">
        <v>0</v>
      </c>
      <c r="AI228" s="121">
        <v>0</v>
      </c>
      <c r="AL228" s="14">
        <f t="shared" si="18"/>
        <v>0</v>
      </c>
      <c r="AM228">
        <f t="shared" si="19"/>
        <v>0</v>
      </c>
      <c r="AN228">
        <f t="shared" si="20"/>
        <v>0</v>
      </c>
      <c r="AP228">
        <f>VLOOKUP($B228,Kraftvärmeprod!$B$1:$BX$549,MATCH(AP$1,Kraftvärmeprod!$B$1:$BX$1,0),FALSE)</f>
        <v>0</v>
      </c>
      <c r="AQ228">
        <f>VLOOKUP($B228,Kraftvärmeprod!$B$1:$BX$549,MATCH(AQ$1,Kraftvärmeprod!$B$1:$BX$1,0),FALSE)</f>
        <v>0</v>
      </c>
      <c r="AR228">
        <f>VLOOKUP($B228,Kraftvärmeprod!$B$1:$BX$549,MATCH("Summa tillförd energi exklusive rökgaskondensering",Kraftvärmeprod!$B$1:$BX$1,0),FALSE)</f>
        <v>0</v>
      </c>
      <c r="AT228" s="17" t="str">
        <f t="shared" si="21"/>
        <v/>
      </c>
      <c r="AV228">
        <f t="shared" si="22"/>
        <v>0</v>
      </c>
      <c r="BA228" s="17" t="str">
        <f t="shared" si="23"/>
        <v/>
      </c>
    </row>
    <row r="229" spans="1:53" x14ac:dyDescent="0.25">
      <c r="A229" s="137" t="s">
        <v>4</v>
      </c>
      <c r="B229" s="137" t="s">
        <v>509</v>
      </c>
      <c r="C229" s="121"/>
      <c r="D229" s="121"/>
      <c r="E229" s="121"/>
      <c r="F229" s="121"/>
      <c r="G229" s="121"/>
      <c r="H229" s="121"/>
      <c r="I229" s="121"/>
      <c r="J229" s="121">
        <v>0</v>
      </c>
      <c r="K229" s="121">
        <v>0</v>
      </c>
      <c r="L229" s="121">
        <v>0</v>
      </c>
      <c r="M229" s="121">
        <v>0</v>
      </c>
      <c r="N229" s="121">
        <v>0</v>
      </c>
      <c r="O229" s="121">
        <v>0</v>
      </c>
      <c r="P229" s="121">
        <v>0</v>
      </c>
      <c r="Q229" s="121">
        <v>0</v>
      </c>
      <c r="R229" s="121">
        <v>0</v>
      </c>
      <c r="S229" s="121">
        <v>0</v>
      </c>
      <c r="T229" s="121">
        <v>0</v>
      </c>
      <c r="U229" s="121">
        <v>0</v>
      </c>
      <c r="V229" s="121" t="s">
        <v>1119</v>
      </c>
      <c r="W229" s="121">
        <v>0</v>
      </c>
      <c r="X229" s="121">
        <v>0</v>
      </c>
      <c r="Y229" s="121">
        <v>0</v>
      </c>
      <c r="Z229" s="121">
        <v>0</v>
      </c>
      <c r="AA229" s="121">
        <v>0</v>
      </c>
      <c r="AB229" s="121">
        <v>0</v>
      </c>
      <c r="AC229" s="121">
        <v>0</v>
      </c>
      <c r="AD229" s="121">
        <v>0</v>
      </c>
      <c r="AE229" s="121">
        <v>0</v>
      </c>
      <c r="AF229" s="121">
        <v>0</v>
      </c>
      <c r="AG229" s="121">
        <v>0</v>
      </c>
      <c r="AH229" s="121">
        <v>0</v>
      </c>
      <c r="AI229" s="121">
        <v>0</v>
      </c>
      <c r="AL229" s="14">
        <f t="shared" si="18"/>
        <v>0</v>
      </c>
      <c r="AM229">
        <f t="shared" si="19"/>
        <v>0</v>
      </c>
      <c r="AN229">
        <f t="shared" si="20"/>
        <v>0</v>
      </c>
      <c r="AP229">
        <f>VLOOKUP($B229,Kraftvärmeprod!$B$1:$BX$549,MATCH(AP$1,Kraftvärmeprod!$B$1:$BX$1,0),FALSE)</f>
        <v>0</v>
      </c>
      <c r="AQ229">
        <f>VLOOKUP($B229,Kraftvärmeprod!$B$1:$BX$549,MATCH(AQ$1,Kraftvärmeprod!$B$1:$BX$1,0),FALSE)</f>
        <v>0</v>
      </c>
      <c r="AR229">
        <f>VLOOKUP($B229,Kraftvärmeprod!$B$1:$BX$549,MATCH("Summa tillförd energi exklusive rökgaskondensering",Kraftvärmeprod!$B$1:$BX$1,0),FALSE)</f>
        <v>0</v>
      </c>
      <c r="AT229" s="17" t="str">
        <f t="shared" si="21"/>
        <v/>
      </c>
      <c r="AV229">
        <f t="shared" si="22"/>
        <v>0</v>
      </c>
      <c r="BA229" s="17" t="str">
        <f t="shared" si="23"/>
        <v/>
      </c>
    </row>
    <row r="230" spans="1:53" x14ac:dyDescent="0.25">
      <c r="A230" s="137" t="s">
        <v>4</v>
      </c>
      <c r="B230" s="137" t="s">
        <v>5</v>
      </c>
      <c r="C230" s="121"/>
      <c r="D230" s="121"/>
      <c r="E230" s="121"/>
      <c r="F230" s="121"/>
      <c r="G230" s="121"/>
      <c r="H230" s="121"/>
      <c r="I230" s="121"/>
      <c r="J230" s="121">
        <v>0</v>
      </c>
      <c r="K230" s="121">
        <v>0</v>
      </c>
      <c r="L230" s="121">
        <v>0</v>
      </c>
      <c r="M230" s="121">
        <v>0</v>
      </c>
      <c r="N230" s="121">
        <v>0</v>
      </c>
      <c r="O230" s="121">
        <v>0</v>
      </c>
      <c r="P230" s="121">
        <v>0</v>
      </c>
      <c r="Q230" s="121">
        <v>0</v>
      </c>
      <c r="R230" s="121">
        <v>0</v>
      </c>
      <c r="S230" s="121">
        <v>0</v>
      </c>
      <c r="T230" s="121">
        <v>0</v>
      </c>
      <c r="U230" s="121">
        <v>0</v>
      </c>
      <c r="V230" s="121" t="s">
        <v>1119</v>
      </c>
      <c r="W230" s="121">
        <v>0</v>
      </c>
      <c r="X230" s="121">
        <v>0</v>
      </c>
      <c r="Y230" s="121">
        <v>0</v>
      </c>
      <c r="Z230" s="121">
        <v>0</v>
      </c>
      <c r="AA230" s="121">
        <v>0</v>
      </c>
      <c r="AB230" s="121">
        <v>0</v>
      </c>
      <c r="AC230" s="121">
        <v>0</v>
      </c>
      <c r="AD230" s="121">
        <v>0</v>
      </c>
      <c r="AE230" s="121">
        <v>0</v>
      </c>
      <c r="AF230" s="121">
        <v>0</v>
      </c>
      <c r="AG230" s="121">
        <v>0</v>
      </c>
      <c r="AH230" s="121">
        <v>0</v>
      </c>
      <c r="AI230" s="121">
        <v>0</v>
      </c>
      <c r="AL230" s="14">
        <f t="shared" si="18"/>
        <v>0</v>
      </c>
      <c r="AM230">
        <f t="shared" si="19"/>
        <v>0</v>
      </c>
      <c r="AN230">
        <f t="shared" si="20"/>
        <v>0</v>
      </c>
      <c r="AP230">
        <f>VLOOKUP($B230,Kraftvärmeprod!$B$1:$BX$549,MATCH(AP$1,Kraftvärmeprod!$B$1:$BX$1,0),FALSE)</f>
        <v>0</v>
      </c>
      <c r="AQ230">
        <f>VLOOKUP($B230,Kraftvärmeprod!$B$1:$BX$549,MATCH(AQ$1,Kraftvärmeprod!$B$1:$BX$1,0),FALSE)</f>
        <v>0</v>
      </c>
      <c r="AR230">
        <f>VLOOKUP($B230,Kraftvärmeprod!$B$1:$BX$549,MATCH("Summa tillförd energi exklusive rökgaskondensering",Kraftvärmeprod!$B$1:$BX$1,0),FALSE)</f>
        <v>0</v>
      </c>
      <c r="AT230" s="17" t="str">
        <f t="shared" si="21"/>
        <v/>
      </c>
      <c r="AV230">
        <f t="shared" si="22"/>
        <v>0</v>
      </c>
      <c r="BA230" s="17" t="str">
        <f t="shared" si="23"/>
        <v/>
      </c>
    </row>
    <row r="231" spans="1:53" x14ac:dyDescent="0.25">
      <c r="A231" s="137" t="s">
        <v>510</v>
      </c>
      <c r="B231" s="137" t="s">
        <v>511</v>
      </c>
      <c r="C231" s="121"/>
      <c r="D231" s="121"/>
      <c r="E231" s="121"/>
      <c r="F231" s="121"/>
      <c r="G231" s="121"/>
      <c r="H231" s="121"/>
      <c r="I231" s="121"/>
      <c r="J231" s="121">
        <v>0</v>
      </c>
      <c r="K231" s="121">
        <v>0</v>
      </c>
      <c r="L231" s="121">
        <v>0</v>
      </c>
      <c r="M231" s="121">
        <v>0</v>
      </c>
      <c r="N231" s="121">
        <v>0</v>
      </c>
      <c r="O231" s="121">
        <v>0</v>
      </c>
      <c r="P231" s="121">
        <v>0</v>
      </c>
      <c r="Q231" s="121">
        <v>0</v>
      </c>
      <c r="R231" s="121">
        <v>0</v>
      </c>
      <c r="S231" s="121">
        <v>0</v>
      </c>
      <c r="T231" s="121">
        <v>0</v>
      </c>
      <c r="U231" s="121">
        <v>0</v>
      </c>
      <c r="V231" s="121" t="s">
        <v>1119</v>
      </c>
      <c r="W231" s="121">
        <v>0</v>
      </c>
      <c r="X231" s="121">
        <v>0</v>
      </c>
      <c r="Y231" s="121">
        <v>0</v>
      </c>
      <c r="Z231" s="121">
        <v>0</v>
      </c>
      <c r="AA231" s="121">
        <v>0</v>
      </c>
      <c r="AB231" s="121">
        <v>0</v>
      </c>
      <c r="AC231" s="121">
        <v>0</v>
      </c>
      <c r="AD231" s="121">
        <v>0</v>
      </c>
      <c r="AE231" s="121">
        <v>0</v>
      </c>
      <c r="AF231" s="121">
        <v>0</v>
      </c>
      <c r="AG231" s="121">
        <v>0</v>
      </c>
      <c r="AH231" s="121">
        <v>0</v>
      </c>
      <c r="AI231" s="121">
        <v>0</v>
      </c>
      <c r="AL231" s="14">
        <f t="shared" si="18"/>
        <v>0</v>
      </c>
      <c r="AM231">
        <f t="shared" si="19"/>
        <v>0</v>
      </c>
      <c r="AN231">
        <f t="shared" si="20"/>
        <v>0</v>
      </c>
      <c r="AP231">
        <f>VLOOKUP($B231,Kraftvärmeprod!$B$1:$BX$549,MATCH(AP$1,Kraftvärmeprod!$B$1:$BX$1,0),FALSE)</f>
        <v>0</v>
      </c>
      <c r="AQ231">
        <f>VLOOKUP($B231,Kraftvärmeprod!$B$1:$BX$549,MATCH(AQ$1,Kraftvärmeprod!$B$1:$BX$1,0),FALSE)</f>
        <v>0</v>
      </c>
      <c r="AR231">
        <f>VLOOKUP($B231,Kraftvärmeprod!$B$1:$BX$549,MATCH("Summa tillförd energi exklusive rökgaskondensering",Kraftvärmeprod!$B$1:$BX$1,0),FALSE)</f>
        <v>0</v>
      </c>
      <c r="AT231" s="17" t="str">
        <f t="shared" si="21"/>
        <v/>
      </c>
      <c r="AV231">
        <f t="shared" si="22"/>
        <v>0</v>
      </c>
      <c r="BA231" s="17" t="str">
        <f t="shared" si="23"/>
        <v/>
      </c>
    </row>
    <row r="232" spans="1:53" x14ac:dyDescent="0.25">
      <c r="A232" s="137" t="s">
        <v>513</v>
      </c>
      <c r="B232" s="137" t="s">
        <v>514</v>
      </c>
      <c r="C232" s="121"/>
      <c r="D232" s="121"/>
      <c r="E232" s="121"/>
      <c r="F232" s="121"/>
      <c r="G232" s="121"/>
      <c r="H232" s="121"/>
      <c r="I232" s="121"/>
      <c r="J232" s="121">
        <v>0</v>
      </c>
      <c r="K232" s="121">
        <v>0</v>
      </c>
      <c r="L232" s="121">
        <v>0</v>
      </c>
      <c r="M232" s="121">
        <v>0</v>
      </c>
      <c r="N232" s="121">
        <v>0</v>
      </c>
      <c r="O232" s="121">
        <v>0</v>
      </c>
      <c r="P232" s="121">
        <v>0</v>
      </c>
      <c r="Q232" s="121">
        <v>0</v>
      </c>
      <c r="R232" s="121">
        <v>0</v>
      </c>
      <c r="S232" s="121">
        <v>0</v>
      </c>
      <c r="T232" s="121">
        <v>0</v>
      </c>
      <c r="U232" s="121">
        <v>0</v>
      </c>
      <c r="V232" s="121" t="s">
        <v>1119</v>
      </c>
      <c r="W232" s="121">
        <v>0</v>
      </c>
      <c r="X232" s="121">
        <v>0</v>
      </c>
      <c r="Y232" s="121">
        <v>0</v>
      </c>
      <c r="Z232" s="121">
        <v>0</v>
      </c>
      <c r="AA232" s="121">
        <v>0</v>
      </c>
      <c r="AB232" s="121">
        <v>0</v>
      </c>
      <c r="AC232" s="121">
        <v>0</v>
      </c>
      <c r="AD232" s="121">
        <v>0</v>
      </c>
      <c r="AE232" s="121">
        <v>0</v>
      </c>
      <c r="AF232" s="121">
        <v>0</v>
      </c>
      <c r="AG232" s="121">
        <v>0</v>
      </c>
      <c r="AH232" s="121">
        <v>0</v>
      </c>
      <c r="AI232" s="121">
        <v>0</v>
      </c>
      <c r="AL232" s="14">
        <f t="shared" si="18"/>
        <v>0</v>
      </c>
      <c r="AM232">
        <f t="shared" si="19"/>
        <v>0</v>
      </c>
      <c r="AN232">
        <f t="shared" si="20"/>
        <v>0</v>
      </c>
      <c r="AP232">
        <f>VLOOKUP($B232,Kraftvärmeprod!$B$1:$BX$549,MATCH(AP$1,Kraftvärmeprod!$B$1:$BX$1,0),FALSE)</f>
        <v>0</v>
      </c>
      <c r="AQ232">
        <f>VLOOKUP($B232,Kraftvärmeprod!$B$1:$BX$549,MATCH(AQ$1,Kraftvärmeprod!$B$1:$BX$1,0),FALSE)</f>
        <v>0</v>
      </c>
      <c r="AR232">
        <f>VLOOKUP($B232,Kraftvärmeprod!$B$1:$BX$549,MATCH("Summa tillförd energi exklusive rökgaskondensering",Kraftvärmeprod!$B$1:$BX$1,0),FALSE)</f>
        <v>0</v>
      </c>
      <c r="AT232" s="17" t="str">
        <f t="shared" si="21"/>
        <v/>
      </c>
      <c r="AV232">
        <f t="shared" si="22"/>
        <v>0</v>
      </c>
      <c r="BA232" s="17" t="str">
        <f t="shared" si="23"/>
        <v/>
      </c>
    </row>
    <row r="233" spans="1:53" x14ac:dyDescent="0.25">
      <c r="A233" s="137" t="s">
        <v>513</v>
      </c>
      <c r="B233" s="137" t="s">
        <v>515</v>
      </c>
      <c r="C233" s="121"/>
      <c r="D233" s="121"/>
      <c r="E233" s="121"/>
      <c r="F233" s="121"/>
      <c r="G233" s="121"/>
      <c r="H233" s="121"/>
      <c r="I233" s="121"/>
      <c r="J233" s="121">
        <v>0</v>
      </c>
      <c r="K233" s="121">
        <v>0</v>
      </c>
      <c r="L233" s="121">
        <v>0</v>
      </c>
      <c r="M233" s="121">
        <v>0</v>
      </c>
      <c r="N233" s="121">
        <v>0</v>
      </c>
      <c r="O233" s="121">
        <v>0</v>
      </c>
      <c r="P233" s="121">
        <v>0</v>
      </c>
      <c r="Q233" s="121">
        <v>0</v>
      </c>
      <c r="R233" s="121">
        <v>0</v>
      </c>
      <c r="S233" s="121">
        <v>0</v>
      </c>
      <c r="T233" s="121">
        <v>0</v>
      </c>
      <c r="U233" s="121">
        <v>0</v>
      </c>
      <c r="V233" s="121" t="s">
        <v>1119</v>
      </c>
      <c r="W233" s="121">
        <v>0</v>
      </c>
      <c r="X233" s="121">
        <v>0</v>
      </c>
      <c r="Y233" s="121">
        <v>0</v>
      </c>
      <c r="Z233" s="121">
        <v>0</v>
      </c>
      <c r="AA233" s="121">
        <v>0</v>
      </c>
      <c r="AB233" s="121">
        <v>0</v>
      </c>
      <c r="AC233" s="121">
        <v>0</v>
      </c>
      <c r="AD233" s="121">
        <v>0</v>
      </c>
      <c r="AE233" s="121">
        <v>0</v>
      </c>
      <c r="AF233" s="121">
        <v>0</v>
      </c>
      <c r="AG233" s="121">
        <v>0</v>
      </c>
      <c r="AH233" s="121">
        <v>0</v>
      </c>
      <c r="AI233" s="121">
        <v>0</v>
      </c>
      <c r="AL233" s="14">
        <f t="shared" si="18"/>
        <v>0</v>
      </c>
      <c r="AM233">
        <f t="shared" si="19"/>
        <v>0</v>
      </c>
      <c r="AN233">
        <f t="shared" si="20"/>
        <v>0</v>
      </c>
      <c r="AP233">
        <f>VLOOKUP($B233,Kraftvärmeprod!$B$1:$BX$549,MATCH(AP$1,Kraftvärmeprod!$B$1:$BX$1,0),FALSE)</f>
        <v>0</v>
      </c>
      <c r="AQ233">
        <f>VLOOKUP($B233,Kraftvärmeprod!$B$1:$BX$549,MATCH(AQ$1,Kraftvärmeprod!$B$1:$BX$1,0),FALSE)</f>
        <v>0</v>
      </c>
      <c r="AR233">
        <f>VLOOKUP($B233,Kraftvärmeprod!$B$1:$BX$549,MATCH("Summa tillförd energi exklusive rökgaskondensering",Kraftvärmeprod!$B$1:$BX$1,0),FALSE)</f>
        <v>0</v>
      </c>
      <c r="AT233" s="17" t="str">
        <f t="shared" si="21"/>
        <v/>
      </c>
      <c r="AV233">
        <f t="shared" si="22"/>
        <v>0</v>
      </c>
      <c r="BA233" s="17" t="str">
        <f t="shared" si="23"/>
        <v/>
      </c>
    </row>
    <row r="234" spans="1:53" x14ac:dyDescent="0.25">
      <c r="A234" s="137" t="s">
        <v>513</v>
      </c>
      <c r="B234" s="137" t="s">
        <v>517</v>
      </c>
      <c r="C234" s="121"/>
      <c r="D234" s="121"/>
      <c r="E234" s="121"/>
      <c r="F234" s="121"/>
      <c r="G234" s="121"/>
      <c r="H234" s="121"/>
      <c r="I234" s="121"/>
      <c r="J234" s="121">
        <v>0</v>
      </c>
      <c r="K234" s="121">
        <v>0</v>
      </c>
      <c r="L234" s="121">
        <v>0</v>
      </c>
      <c r="M234" s="121">
        <v>0</v>
      </c>
      <c r="N234" s="121">
        <v>0</v>
      </c>
      <c r="O234" s="121">
        <v>0</v>
      </c>
      <c r="P234" s="121">
        <v>0</v>
      </c>
      <c r="Q234" s="121">
        <v>0</v>
      </c>
      <c r="R234" s="121">
        <v>0</v>
      </c>
      <c r="S234" s="121">
        <v>0</v>
      </c>
      <c r="T234" s="121">
        <v>0</v>
      </c>
      <c r="U234" s="121">
        <v>0</v>
      </c>
      <c r="V234" s="121" t="s">
        <v>1119</v>
      </c>
      <c r="W234" s="121">
        <v>0</v>
      </c>
      <c r="X234" s="121">
        <v>0</v>
      </c>
      <c r="Y234" s="121">
        <v>0</v>
      </c>
      <c r="Z234" s="121">
        <v>0</v>
      </c>
      <c r="AA234" s="121">
        <v>0</v>
      </c>
      <c r="AB234" s="121">
        <v>0</v>
      </c>
      <c r="AC234" s="121">
        <v>0</v>
      </c>
      <c r="AD234" s="121">
        <v>0</v>
      </c>
      <c r="AE234" s="121">
        <v>0</v>
      </c>
      <c r="AF234" s="121">
        <v>0</v>
      </c>
      <c r="AG234" s="121">
        <v>0</v>
      </c>
      <c r="AH234" s="121">
        <v>0</v>
      </c>
      <c r="AI234" s="121">
        <v>0</v>
      </c>
      <c r="AL234" s="14">
        <f t="shared" si="18"/>
        <v>0</v>
      </c>
      <c r="AM234">
        <f t="shared" si="19"/>
        <v>0</v>
      </c>
      <c r="AN234">
        <f t="shared" si="20"/>
        <v>0</v>
      </c>
      <c r="AP234">
        <f>VLOOKUP($B234,Kraftvärmeprod!$B$1:$BX$549,MATCH(AP$1,Kraftvärmeprod!$B$1:$BX$1,0),FALSE)</f>
        <v>0</v>
      </c>
      <c r="AQ234">
        <f>VLOOKUP($B234,Kraftvärmeprod!$B$1:$BX$549,MATCH(AQ$1,Kraftvärmeprod!$B$1:$BX$1,0),FALSE)</f>
        <v>0</v>
      </c>
      <c r="AR234">
        <f>VLOOKUP($B234,Kraftvärmeprod!$B$1:$BX$549,MATCH("Summa tillförd energi exklusive rökgaskondensering",Kraftvärmeprod!$B$1:$BX$1,0),FALSE)</f>
        <v>0</v>
      </c>
      <c r="AT234" s="17" t="str">
        <f t="shared" si="21"/>
        <v/>
      </c>
      <c r="AV234">
        <f t="shared" si="22"/>
        <v>0</v>
      </c>
      <c r="BA234" s="17" t="str">
        <f t="shared" si="23"/>
        <v/>
      </c>
    </row>
    <row r="235" spans="1:53" x14ac:dyDescent="0.25">
      <c r="A235" s="137" t="s">
        <v>513</v>
      </c>
      <c r="B235" s="137" t="s">
        <v>518</v>
      </c>
      <c r="C235" s="121"/>
      <c r="D235" s="121"/>
      <c r="E235" s="121"/>
      <c r="F235" s="121"/>
      <c r="G235" s="121"/>
      <c r="H235" s="121"/>
      <c r="I235" s="121"/>
      <c r="J235" s="121">
        <v>0</v>
      </c>
      <c r="K235" s="121">
        <v>0</v>
      </c>
      <c r="L235" s="121">
        <v>0</v>
      </c>
      <c r="M235" s="121">
        <v>0</v>
      </c>
      <c r="N235" s="121">
        <v>0</v>
      </c>
      <c r="O235" s="121">
        <v>0</v>
      </c>
      <c r="P235" s="121">
        <v>0</v>
      </c>
      <c r="Q235" s="121">
        <v>0</v>
      </c>
      <c r="R235" s="121">
        <v>0</v>
      </c>
      <c r="S235" s="121">
        <v>0</v>
      </c>
      <c r="T235" s="121">
        <v>0</v>
      </c>
      <c r="U235" s="121">
        <v>0</v>
      </c>
      <c r="V235" s="121" t="s">
        <v>1119</v>
      </c>
      <c r="W235" s="121">
        <v>0</v>
      </c>
      <c r="X235" s="121">
        <v>0</v>
      </c>
      <c r="Y235" s="121">
        <v>0</v>
      </c>
      <c r="Z235" s="121">
        <v>0</v>
      </c>
      <c r="AA235" s="121">
        <v>0</v>
      </c>
      <c r="AB235" s="121">
        <v>0</v>
      </c>
      <c r="AC235" s="121">
        <v>0</v>
      </c>
      <c r="AD235" s="121">
        <v>0</v>
      </c>
      <c r="AE235" s="121">
        <v>0</v>
      </c>
      <c r="AF235" s="121">
        <v>0</v>
      </c>
      <c r="AG235" s="121">
        <v>0</v>
      </c>
      <c r="AH235" s="121">
        <v>0</v>
      </c>
      <c r="AI235" s="121">
        <v>0</v>
      </c>
      <c r="AL235" s="14">
        <f t="shared" si="18"/>
        <v>0</v>
      </c>
      <c r="AM235">
        <f t="shared" si="19"/>
        <v>0</v>
      </c>
      <c r="AN235">
        <f t="shared" si="20"/>
        <v>0</v>
      </c>
      <c r="AP235">
        <f>VLOOKUP($B235,Kraftvärmeprod!$B$1:$BX$549,MATCH(AP$1,Kraftvärmeprod!$B$1:$BX$1,0),FALSE)</f>
        <v>0</v>
      </c>
      <c r="AQ235">
        <f>VLOOKUP($B235,Kraftvärmeprod!$B$1:$BX$549,MATCH(AQ$1,Kraftvärmeprod!$B$1:$BX$1,0),FALSE)</f>
        <v>0</v>
      </c>
      <c r="AR235">
        <f>VLOOKUP($B235,Kraftvärmeprod!$B$1:$BX$549,MATCH("Summa tillförd energi exklusive rökgaskondensering",Kraftvärmeprod!$B$1:$BX$1,0),FALSE)</f>
        <v>0</v>
      </c>
      <c r="AT235" s="17" t="str">
        <f t="shared" si="21"/>
        <v/>
      </c>
      <c r="AV235">
        <f t="shared" si="22"/>
        <v>0</v>
      </c>
      <c r="BA235" s="17" t="str">
        <f t="shared" si="23"/>
        <v/>
      </c>
    </row>
    <row r="236" spans="1:53" x14ac:dyDescent="0.25">
      <c r="A236" s="137" t="s">
        <v>519</v>
      </c>
      <c r="B236" s="137" t="s">
        <v>520</v>
      </c>
      <c r="C236" s="121"/>
      <c r="D236" s="121"/>
      <c r="E236" s="121"/>
      <c r="F236" s="121"/>
      <c r="G236" s="121"/>
      <c r="H236" s="121"/>
      <c r="I236" s="121"/>
      <c r="J236" s="121">
        <v>0</v>
      </c>
      <c r="K236" s="121">
        <v>0</v>
      </c>
      <c r="L236" s="121">
        <v>0</v>
      </c>
      <c r="M236" s="121">
        <v>0</v>
      </c>
      <c r="N236" s="121">
        <v>0</v>
      </c>
      <c r="O236" s="121">
        <v>0</v>
      </c>
      <c r="P236" s="121">
        <v>0</v>
      </c>
      <c r="Q236" s="121">
        <v>0</v>
      </c>
      <c r="R236" s="121">
        <v>0</v>
      </c>
      <c r="S236" s="121">
        <v>0</v>
      </c>
      <c r="T236" s="121">
        <v>0</v>
      </c>
      <c r="U236" s="121">
        <v>0</v>
      </c>
      <c r="V236" s="121" t="s">
        <v>1119</v>
      </c>
      <c r="W236" s="121">
        <v>0</v>
      </c>
      <c r="X236" s="121">
        <v>0</v>
      </c>
      <c r="Y236" s="121">
        <v>0</v>
      </c>
      <c r="Z236" s="121">
        <v>0</v>
      </c>
      <c r="AA236" s="121">
        <v>0</v>
      </c>
      <c r="AB236" s="121">
        <v>0</v>
      </c>
      <c r="AC236" s="121">
        <v>0</v>
      </c>
      <c r="AD236" s="121">
        <v>0</v>
      </c>
      <c r="AE236" s="121">
        <v>0</v>
      </c>
      <c r="AF236" s="121">
        <v>0</v>
      </c>
      <c r="AG236" s="121">
        <v>0</v>
      </c>
      <c r="AH236" s="121">
        <v>0</v>
      </c>
      <c r="AI236" s="121">
        <v>0</v>
      </c>
      <c r="AL236" s="14">
        <f t="shared" si="18"/>
        <v>0</v>
      </c>
      <c r="AM236">
        <f t="shared" si="19"/>
        <v>0</v>
      </c>
      <c r="AN236">
        <f t="shared" si="20"/>
        <v>0</v>
      </c>
      <c r="AP236">
        <f>VLOOKUP($B236,Kraftvärmeprod!$B$1:$BX$549,MATCH(AP$1,Kraftvärmeprod!$B$1:$BX$1,0),FALSE)</f>
        <v>0</v>
      </c>
      <c r="AQ236">
        <f>VLOOKUP($B236,Kraftvärmeprod!$B$1:$BX$549,MATCH(AQ$1,Kraftvärmeprod!$B$1:$BX$1,0),FALSE)</f>
        <v>0</v>
      </c>
      <c r="AR236">
        <f>VLOOKUP($B236,Kraftvärmeprod!$B$1:$BX$549,MATCH("Summa tillförd energi exklusive rökgaskondensering",Kraftvärmeprod!$B$1:$BX$1,0),FALSE)</f>
        <v>0</v>
      </c>
      <c r="AT236" s="17" t="str">
        <f t="shared" si="21"/>
        <v/>
      </c>
      <c r="AV236">
        <f t="shared" si="22"/>
        <v>0</v>
      </c>
      <c r="BA236" s="17" t="str">
        <f t="shared" si="23"/>
        <v/>
      </c>
    </row>
    <row r="237" spans="1:53" x14ac:dyDescent="0.25">
      <c r="A237" s="137" t="s">
        <v>521</v>
      </c>
      <c r="B237" s="137" t="s">
        <v>522</v>
      </c>
      <c r="C237" s="121"/>
      <c r="D237" s="121"/>
      <c r="E237" s="121"/>
      <c r="F237" s="121"/>
      <c r="G237" s="121"/>
      <c r="H237" s="121"/>
      <c r="I237" s="121"/>
      <c r="J237" s="121">
        <v>0</v>
      </c>
      <c r="K237" s="121">
        <v>0</v>
      </c>
      <c r="L237" s="121">
        <v>0</v>
      </c>
      <c r="M237" s="121">
        <v>0</v>
      </c>
      <c r="N237" s="121">
        <v>0</v>
      </c>
      <c r="O237" s="121">
        <v>0</v>
      </c>
      <c r="P237" s="121">
        <v>1.8544099999999999</v>
      </c>
      <c r="Q237" s="121">
        <v>1.8544099999999999</v>
      </c>
      <c r="R237" s="121">
        <v>1.8544099999999999</v>
      </c>
      <c r="S237" s="121">
        <v>0.48800199999999999</v>
      </c>
      <c r="T237" s="121">
        <v>0</v>
      </c>
      <c r="U237" s="121">
        <v>0</v>
      </c>
      <c r="V237" s="121" t="s">
        <v>1119</v>
      </c>
      <c r="W237" s="121">
        <v>0</v>
      </c>
      <c r="X237" s="121">
        <v>0</v>
      </c>
      <c r="Y237" s="121">
        <v>0</v>
      </c>
      <c r="Z237" s="121">
        <v>0</v>
      </c>
      <c r="AA237" s="121">
        <v>0</v>
      </c>
      <c r="AB237" s="121">
        <v>0</v>
      </c>
      <c r="AC237" s="121">
        <v>0</v>
      </c>
      <c r="AD237" s="121">
        <v>0</v>
      </c>
      <c r="AE237" s="121">
        <v>0</v>
      </c>
      <c r="AF237" s="121">
        <v>0</v>
      </c>
      <c r="AG237" s="121">
        <v>0</v>
      </c>
      <c r="AH237" s="121">
        <v>0</v>
      </c>
      <c r="AI237" s="121">
        <v>1.9520099999999999E-3</v>
      </c>
      <c r="AL237" s="14">
        <f t="shared" si="18"/>
        <v>6.0531840099999998</v>
      </c>
      <c r="AM237">
        <f t="shared" si="19"/>
        <v>6.0512319999999997</v>
      </c>
      <c r="AN237">
        <f t="shared" si="20"/>
        <v>6.0512319999999997</v>
      </c>
      <c r="AP237">
        <f>VLOOKUP($B237,Kraftvärmeprod!$B$1:$BX$549,MATCH(AP$1,Kraftvärmeprod!$B$1:$BX$1,0),FALSE)</f>
        <v>5.3</v>
      </c>
      <c r="AQ237">
        <f>VLOOKUP($B237,Kraftvärmeprod!$B$1:$BX$549,MATCH(AQ$1,Kraftvärmeprod!$B$1:$BX$1,0),FALSE)</f>
        <v>0.05</v>
      </c>
      <c r="AR237">
        <f>VLOOKUP($B237,Kraftvärmeprod!$B$1:$BX$549,MATCH("Summa tillförd energi exklusive rökgaskondensering",Kraftvärmeprod!$B$1:$BX$1,0),FALSE)</f>
        <v>6.1999999999999993</v>
      </c>
      <c r="AT237" s="17">
        <f t="shared" si="21"/>
        <v>0.97600516129032266</v>
      </c>
      <c r="AV237">
        <f t="shared" si="22"/>
        <v>6.0512319999999997</v>
      </c>
      <c r="BA237" s="17">
        <f t="shared" si="23"/>
        <v>0.87557225936701699</v>
      </c>
    </row>
    <row r="238" spans="1:53" x14ac:dyDescent="0.25">
      <c r="A238" s="137" t="s">
        <v>521</v>
      </c>
      <c r="B238" s="137" t="s">
        <v>523</v>
      </c>
      <c r="C238" s="121"/>
      <c r="D238" s="121"/>
      <c r="E238" s="121"/>
      <c r="F238" s="121"/>
      <c r="G238" s="121"/>
      <c r="H238" s="121"/>
      <c r="I238" s="121"/>
      <c r="J238" s="121">
        <v>0</v>
      </c>
      <c r="K238" s="121">
        <v>0</v>
      </c>
      <c r="L238" s="121">
        <v>0</v>
      </c>
      <c r="M238" s="121">
        <v>0</v>
      </c>
      <c r="N238" s="121">
        <v>0</v>
      </c>
      <c r="O238" s="121">
        <v>0</v>
      </c>
      <c r="P238" s="121">
        <v>3.0463499999999999</v>
      </c>
      <c r="Q238" s="121">
        <v>3.0463499999999999</v>
      </c>
      <c r="R238" s="121">
        <v>3.0463499999999999</v>
      </c>
      <c r="S238" s="121">
        <v>1.0444599999999999</v>
      </c>
      <c r="T238" s="121">
        <v>0</v>
      </c>
      <c r="U238" s="121">
        <v>0</v>
      </c>
      <c r="V238" s="121" t="s">
        <v>1119</v>
      </c>
      <c r="W238" s="121">
        <v>0</v>
      </c>
      <c r="X238" s="121">
        <v>0</v>
      </c>
      <c r="Y238" s="121">
        <v>0</v>
      </c>
      <c r="Z238" s="121">
        <v>0</v>
      </c>
      <c r="AA238" s="121">
        <v>0</v>
      </c>
      <c r="AB238" s="121">
        <v>0</v>
      </c>
      <c r="AC238" s="121">
        <v>0</v>
      </c>
      <c r="AD238" s="121">
        <v>0</v>
      </c>
      <c r="AE238" s="121">
        <v>0</v>
      </c>
      <c r="AF238" s="121">
        <v>0</v>
      </c>
      <c r="AG238" s="121">
        <v>0</v>
      </c>
      <c r="AH238" s="121">
        <v>0</v>
      </c>
      <c r="AI238" s="121">
        <v>3.0463500000000001E-2</v>
      </c>
      <c r="AL238" s="14">
        <f t="shared" si="18"/>
        <v>10.213973499999998</v>
      </c>
      <c r="AM238">
        <f t="shared" si="19"/>
        <v>10.183509999999998</v>
      </c>
      <c r="AN238">
        <f t="shared" si="20"/>
        <v>10.183509999999998</v>
      </c>
      <c r="AP238">
        <f>VLOOKUP($B238,Kraftvärmeprod!$B$1:$BX$549,MATCH(AP$1,Kraftvärmeprod!$B$1:$BX$1,0),FALSE)</f>
        <v>9.8000000000000007</v>
      </c>
      <c r="AQ238">
        <f>VLOOKUP($B238,Kraftvärmeprod!$B$1:$BX$549,MATCH(AQ$1,Kraftvärmeprod!$B$1:$BX$1,0),FALSE)</f>
        <v>0.56000000000000005</v>
      </c>
      <c r="AR238">
        <f>VLOOKUP($B238,Kraftvärmeprod!$B$1:$BX$549,MATCH("Summa tillförd energi exklusive rökgaskondensering",Kraftvärmeprod!$B$1:$BX$1,0),FALSE)</f>
        <v>11.7</v>
      </c>
      <c r="AT238" s="17">
        <f t="shared" si="21"/>
        <v>0.87038547008546996</v>
      </c>
      <c r="AV238">
        <f t="shared" si="22"/>
        <v>10.18351</v>
      </c>
      <c r="BA238" s="17">
        <f t="shared" si="23"/>
        <v>0.95946988701312008</v>
      </c>
    </row>
    <row r="239" spans="1:53" x14ac:dyDescent="0.25">
      <c r="A239" s="137" t="s">
        <v>524</v>
      </c>
      <c r="B239" s="137" t="s">
        <v>525</v>
      </c>
      <c r="C239" s="121"/>
      <c r="D239" s="121"/>
      <c r="E239" s="121"/>
      <c r="F239" s="121"/>
      <c r="G239" s="121"/>
      <c r="H239" s="121"/>
      <c r="I239" s="121"/>
      <c r="J239" s="121">
        <v>0</v>
      </c>
      <c r="K239" s="121">
        <v>0</v>
      </c>
      <c r="L239" s="121">
        <v>0</v>
      </c>
      <c r="M239" s="121">
        <v>0</v>
      </c>
      <c r="N239" s="121">
        <v>0</v>
      </c>
      <c r="O239" s="121">
        <v>0</v>
      </c>
      <c r="P239" s="121">
        <v>29.2563</v>
      </c>
      <c r="Q239" s="121">
        <v>0</v>
      </c>
      <c r="R239" s="121">
        <v>42.400599999999997</v>
      </c>
      <c r="S239" s="121">
        <v>4.2147300000000003</v>
      </c>
      <c r="T239" s="121">
        <v>0</v>
      </c>
      <c r="U239" s="121">
        <v>4.7147800000000002</v>
      </c>
      <c r="V239" s="121" t="s">
        <v>1119</v>
      </c>
      <c r="W239" s="121">
        <v>0</v>
      </c>
      <c r="X239" s="121">
        <v>0</v>
      </c>
      <c r="Y239" s="121">
        <v>0</v>
      </c>
      <c r="Z239" s="121">
        <v>0</v>
      </c>
      <c r="AA239" s="121">
        <v>0</v>
      </c>
      <c r="AB239" s="121">
        <v>0.14094400000000001</v>
      </c>
      <c r="AC239" s="121">
        <v>0</v>
      </c>
      <c r="AD239" s="121">
        <v>0</v>
      </c>
      <c r="AE239" s="121">
        <v>0</v>
      </c>
      <c r="AF239" s="121">
        <v>0</v>
      </c>
      <c r="AG239" s="121">
        <v>0</v>
      </c>
      <c r="AH239" s="121">
        <v>0</v>
      </c>
      <c r="AI239" s="121">
        <v>1.5107600000000001</v>
      </c>
      <c r="AL239" s="14">
        <f t="shared" si="18"/>
        <v>82.23811400000001</v>
      </c>
      <c r="AM239">
        <f t="shared" si="19"/>
        <v>80.727354000000005</v>
      </c>
      <c r="AN239">
        <f t="shared" si="20"/>
        <v>80.727354000000005</v>
      </c>
      <c r="AP239">
        <f>VLOOKUP($B239,Kraftvärmeprod!$B$1:$BX$549,MATCH(AP$1,Kraftvärmeprod!$B$1:$BX$1,0),FALSE)</f>
        <v>88.704999999999998</v>
      </c>
      <c r="AQ239">
        <f>VLOOKUP($B239,Kraftvärmeprod!$B$1:$BX$549,MATCH(AQ$1,Kraftvärmeprod!$B$1:$BX$1,0),FALSE)</f>
        <v>18.374967999999999</v>
      </c>
      <c r="AR239">
        <f>VLOOKUP($B239,Kraftvärmeprod!$B$1:$BX$549,MATCH("Summa tillförd energi exklusive rökgaskondensering",Kraftvärmeprod!$B$1:$BX$1,0),FALSE)</f>
        <v>124.29</v>
      </c>
      <c r="AT239" s="17">
        <f t="shared" si="21"/>
        <v>0.64950803765387399</v>
      </c>
      <c r="AV239">
        <f t="shared" si="22"/>
        <v>80.727354000000005</v>
      </c>
      <c r="BA239" s="17">
        <f t="shared" si="23"/>
        <v>1.078636117554933</v>
      </c>
    </row>
    <row r="240" spans="1:53" x14ac:dyDescent="0.25">
      <c r="A240" s="137" t="s">
        <v>526</v>
      </c>
      <c r="B240" s="137" t="s">
        <v>527</v>
      </c>
      <c r="C240" s="121"/>
      <c r="D240" s="121"/>
      <c r="E240" s="121"/>
      <c r="F240" s="121"/>
      <c r="G240" s="121"/>
      <c r="H240" s="121"/>
      <c r="I240" s="121"/>
      <c r="J240" s="121">
        <v>0</v>
      </c>
      <c r="K240" s="121">
        <v>0</v>
      </c>
      <c r="L240" s="121">
        <v>0</v>
      </c>
      <c r="M240" s="121">
        <v>0</v>
      </c>
      <c r="N240" s="121">
        <v>0</v>
      </c>
      <c r="O240" s="121">
        <v>0</v>
      </c>
      <c r="P240" s="121">
        <v>0</v>
      </c>
      <c r="Q240" s="121">
        <v>0</v>
      </c>
      <c r="R240" s="121">
        <v>0</v>
      </c>
      <c r="S240" s="121">
        <v>0</v>
      </c>
      <c r="T240" s="121">
        <v>0</v>
      </c>
      <c r="U240" s="121">
        <v>0</v>
      </c>
      <c r="V240" s="121" t="s">
        <v>1119</v>
      </c>
      <c r="W240" s="121">
        <v>0</v>
      </c>
      <c r="X240" s="121">
        <v>0</v>
      </c>
      <c r="Y240" s="121">
        <v>0</v>
      </c>
      <c r="Z240" s="121">
        <v>0</v>
      </c>
      <c r="AA240" s="121">
        <v>0</v>
      </c>
      <c r="AB240" s="121">
        <v>0</v>
      </c>
      <c r="AC240" s="121">
        <v>0</v>
      </c>
      <c r="AD240" s="121">
        <v>0</v>
      </c>
      <c r="AE240" s="121">
        <v>0</v>
      </c>
      <c r="AF240" s="121">
        <v>0</v>
      </c>
      <c r="AG240" s="121">
        <v>0</v>
      </c>
      <c r="AH240" s="121">
        <v>0</v>
      </c>
      <c r="AI240" s="121">
        <v>0</v>
      </c>
      <c r="AL240" s="14">
        <f t="shared" si="18"/>
        <v>0</v>
      </c>
      <c r="AM240">
        <f t="shared" si="19"/>
        <v>0</v>
      </c>
      <c r="AN240">
        <f t="shared" si="20"/>
        <v>0</v>
      </c>
      <c r="AP240">
        <f>VLOOKUP($B240,Kraftvärmeprod!$B$1:$BX$549,MATCH(AP$1,Kraftvärmeprod!$B$1:$BX$1,0),FALSE)</f>
        <v>0</v>
      </c>
      <c r="AQ240">
        <f>VLOOKUP($B240,Kraftvärmeprod!$B$1:$BX$549,MATCH(AQ$1,Kraftvärmeprod!$B$1:$BX$1,0),FALSE)</f>
        <v>0</v>
      </c>
      <c r="AR240">
        <f>VLOOKUP($B240,Kraftvärmeprod!$B$1:$BX$549,MATCH("Summa tillförd energi exklusive rökgaskondensering",Kraftvärmeprod!$B$1:$BX$1,0),FALSE)</f>
        <v>0</v>
      </c>
      <c r="AT240" s="17" t="str">
        <f t="shared" si="21"/>
        <v/>
      </c>
      <c r="AV240">
        <f t="shared" si="22"/>
        <v>0</v>
      </c>
      <c r="BA240" s="17" t="str">
        <f t="shared" si="23"/>
        <v/>
      </c>
    </row>
    <row r="241" spans="1:53" x14ac:dyDescent="0.25">
      <c r="A241" s="137" t="s">
        <v>528</v>
      </c>
      <c r="B241" s="137" t="s">
        <v>529</v>
      </c>
      <c r="C241" s="121"/>
      <c r="D241" s="121"/>
      <c r="E241" s="121"/>
      <c r="F241" s="121"/>
      <c r="G241" s="121"/>
      <c r="H241" s="121"/>
      <c r="I241" s="121"/>
      <c r="J241" s="121">
        <v>0</v>
      </c>
      <c r="K241" s="121">
        <v>0</v>
      </c>
      <c r="L241" s="121">
        <v>0</v>
      </c>
      <c r="M241" s="121">
        <v>0</v>
      </c>
      <c r="N241" s="121">
        <v>0</v>
      </c>
      <c r="O241" s="121">
        <v>0</v>
      </c>
      <c r="P241" s="121">
        <v>1.63361</v>
      </c>
      <c r="Q241" s="121">
        <v>6.5518700000000001</v>
      </c>
      <c r="R241" s="121">
        <v>0</v>
      </c>
      <c r="S241" s="121">
        <v>0</v>
      </c>
      <c r="T241" s="121">
        <v>0</v>
      </c>
      <c r="U241" s="121">
        <v>0</v>
      </c>
      <c r="V241" s="121" t="s">
        <v>1119</v>
      </c>
      <c r="W241" s="121">
        <v>0</v>
      </c>
      <c r="X241" s="121">
        <v>0</v>
      </c>
      <c r="Y241" s="121">
        <v>0</v>
      </c>
      <c r="Z241" s="121">
        <v>115.462</v>
      </c>
      <c r="AA241" s="121">
        <v>0</v>
      </c>
      <c r="AB241" s="121">
        <v>0</v>
      </c>
      <c r="AC241" s="121">
        <v>0</v>
      </c>
      <c r="AD241" s="121">
        <v>0</v>
      </c>
      <c r="AE241" s="121">
        <v>0</v>
      </c>
      <c r="AF241" s="121">
        <v>0</v>
      </c>
      <c r="AG241" s="121">
        <v>0</v>
      </c>
      <c r="AH241" s="121">
        <v>17.63</v>
      </c>
      <c r="AI241" s="121">
        <v>3.9447999999999999</v>
      </c>
      <c r="AL241" s="14">
        <f t="shared" si="18"/>
        <v>145.22227999999998</v>
      </c>
      <c r="AM241">
        <f t="shared" si="19"/>
        <v>141.27748</v>
      </c>
      <c r="AN241">
        <f t="shared" si="20"/>
        <v>123.64748</v>
      </c>
      <c r="AP241">
        <f>VLOOKUP($B241,Kraftvärmeprod!$B$1:$BX$549,MATCH(AP$1,Kraftvärmeprod!$B$1:$BX$1,0),FALSE)</f>
        <v>130.25299999999999</v>
      </c>
      <c r="AQ241">
        <f>VLOOKUP($B241,Kraftvärmeprod!$B$1:$BX$549,MATCH(AQ$1,Kraftvärmeprod!$B$1:$BX$1,0),FALSE)</f>
        <v>21.643000000000001</v>
      </c>
      <c r="AR241">
        <f>VLOOKUP($B241,Kraftvärmeprod!$B$1:$BX$549,MATCH("Summa tillförd energi exklusive rökgaskondensering",Kraftvärmeprod!$B$1:$BX$1,0),FALSE)</f>
        <v>177.19</v>
      </c>
      <c r="AT241" s="17">
        <f t="shared" si="21"/>
        <v>0.69782425644788082</v>
      </c>
      <c r="AV241">
        <f t="shared" si="22"/>
        <v>123.64748</v>
      </c>
      <c r="BA241" s="17">
        <f t="shared" si="23"/>
        <v>1.0208532992748462</v>
      </c>
    </row>
    <row r="242" spans="1:53" x14ac:dyDescent="0.25">
      <c r="A242" s="137" t="s">
        <v>530</v>
      </c>
      <c r="B242" s="137" t="s">
        <v>531</v>
      </c>
      <c r="C242" s="121"/>
      <c r="D242" s="121"/>
      <c r="E242" s="121"/>
      <c r="F242" s="121"/>
      <c r="G242" s="121"/>
      <c r="H242" s="121"/>
      <c r="I242" s="121"/>
      <c r="J242" s="121">
        <v>0</v>
      </c>
      <c r="K242" s="121">
        <v>0</v>
      </c>
      <c r="L242" s="121">
        <v>0</v>
      </c>
      <c r="M242" s="121">
        <v>0</v>
      </c>
      <c r="N242" s="121">
        <v>0</v>
      </c>
      <c r="O242" s="121">
        <v>0</v>
      </c>
      <c r="P242" s="121">
        <v>0</v>
      </c>
      <c r="Q242" s="121">
        <v>0</v>
      </c>
      <c r="R242" s="121">
        <v>0</v>
      </c>
      <c r="S242" s="121">
        <v>0</v>
      </c>
      <c r="T242" s="121">
        <v>0</v>
      </c>
      <c r="U242" s="121">
        <v>0</v>
      </c>
      <c r="V242" s="121" t="s">
        <v>1119</v>
      </c>
      <c r="W242" s="121">
        <v>0</v>
      </c>
      <c r="X242" s="121">
        <v>0</v>
      </c>
      <c r="Y242" s="121">
        <v>0</v>
      </c>
      <c r="Z242" s="121">
        <v>0</v>
      </c>
      <c r="AA242" s="121">
        <v>0</v>
      </c>
      <c r="AB242" s="121">
        <v>0</v>
      </c>
      <c r="AC242" s="121">
        <v>0</v>
      </c>
      <c r="AD242" s="121">
        <v>0</v>
      </c>
      <c r="AE242" s="121">
        <v>0</v>
      </c>
      <c r="AF242" s="121">
        <v>0</v>
      </c>
      <c r="AG242" s="121">
        <v>0</v>
      </c>
      <c r="AH242" s="121">
        <v>0</v>
      </c>
      <c r="AI242" s="121">
        <v>0</v>
      </c>
      <c r="AL242" s="14">
        <f t="shared" si="18"/>
        <v>0</v>
      </c>
      <c r="AM242">
        <f t="shared" si="19"/>
        <v>0</v>
      </c>
      <c r="AN242">
        <f t="shared" si="20"/>
        <v>0</v>
      </c>
      <c r="AP242">
        <f>VLOOKUP($B242,Kraftvärmeprod!$B$1:$BX$549,MATCH(AP$1,Kraftvärmeprod!$B$1:$BX$1,0),FALSE)</f>
        <v>0</v>
      </c>
      <c r="AQ242">
        <f>VLOOKUP($B242,Kraftvärmeprod!$B$1:$BX$549,MATCH(AQ$1,Kraftvärmeprod!$B$1:$BX$1,0),FALSE)</f>
        <v>0</v>
      </c>
      <c r="AR242">
        <f>VLOOKUP($B242,Kraftvärmeprod!$B$1:$BX$549,MATCH("Summa tillförd energi exklusive rökgaskondensering",Kraftvärmeprod!$B$1:$BX$1,0),FALSE)</f>
        <v>0</v>
      </c>
      <c r="AT242" s="17" t="str">
        <f t="shared" si="21"/>
        <v/>
      </c>
      <c r="AV242">
        <f t="shared" si="22"/>
        <v>0</v>
      </c>
      <c r="BA242" s="17" t="str">
        <f t="shared" si="23"/>
        <v/>
      </c>
    </row>
    <row r="243" spans="1:53" x14ac:dyDescent="0.25">
      <c r="A243" s="137" t="s">
        <v>532</v>
      </c>
      <c r="B243" s="137" t="s">
        <v>533</v>
      </c>
      <c r="C243" s="121"/>
      <c r="D243" s="121"/>
      <c r="E243" s="121"/>
      <c r="F243" s="121"/>
      <c r="G243" s="121"/>
      <c r="H243" s="121"/>
      <c r="I243" s="121"/>
      <c r="J243" s="121">
        <v>0</v>
      </c>
      <c r="K243" s="121">
        <v>0</v>
      </c>
      <c r="L243" s="121">
        <v>0</v>
      </c>
      <c r="M243" s="121">
        <v>0</v>
      </c>
      <c r="N243" s="121">
        <v>0</v>
      </c>
      <c r="O243" s="121">
        <v>0</v>
      </c>
      <c r="P243" s="121">
        <v>0</v>
      </c>
      <c r="Q243" s="121">
        <v>0</v>
      </c>
      <c r="R243" s="121">
        <v>0</v>
      </c>
      <c r="S243" s="121">
        <v>0</v>
      </c>
      <c r="T243" s="121">
        <v>0</v>
      </c>
      <c r="U243" s="121">
        <v>0</v>
      </c>
      <c r="V243" s="121" t="s">
        <v>1119</v>
      </c>
      <c r="W243" s="121">
        <v>0</v>
      </c>
      <c r="X243" s="121">
        <v>0</v>
      </c>
      <c r="Y243" s="121">
        <v>0</v>
      </c>
      <c r="Z243" s="121">
        <v>0</v>
      </c>
      <c r="AA243" s="121">
        <v>0</v>
      </c>
      <c r="AB243" s="121">
        <v>0</v>
      </c>
      <c r="AC243" s="121">
        <v>0</v>
      </c>
      <c r="AD243" s="121">
        <v>0</v>
      </c>
      <c r="AE243" s="121">
        <v>0</v>
      </c>
      <c r="AF243" s="121">
        <v>0</v>
      </c>
      <c r="AG243" s="121">
        <v>0</v>
      </c>
      <c r="AH243" s="121">
        <v>0</v>
      </c>
      <c r="AI243" s="121">
        <v>0</v>
      </c>
      <c r="AL243" s="14">
        <f t="shared" si="18"/>
        <v>0</v>
      </c>
      <c r="AM243">
        <f t="shared" si="19"/>
        <v>0</v>
      </c>
      <c r="AN243">
        <f t="shared" si="20"/>
        <v>0</v>
      </c>
      <c r="AP243">
        <f>VLOOKUP($B243,Kraftvärmeprod!$B$1:$BX$549,MATCH(AP$1,Kraftvärmeprod!$B$1:$BX$1,0),FALSE)</f>
        <v>0</v>
      </c>
      <c r="AQ243">
        <f>VLOOKUP($B243,Kraftvärmeprod!$B$1:$BX$549,MATCH(AQ$1,Kraftvärmeprod!$B$1:$BX$1,0),FALSE)</f>
        <v>0</v>
      </c>
      <c r="AR243">
        <f>VLOOKUP($B243,Kraftvärmeprod!$B$1:$BX$549,MATCH("Summa tillförd energi exklusive rökgaskondensering",Kraftvärmeprod!$B$1:$BX$1,0),FALSE)</f>
        <v>0</v>
      </c>
      <c r="AT243" s="17" t="str">
        <f t="shared" si="21"/>
        <v/>
      </c>
      <c r="AV243">
        <f t="shared" si="22"/>
        <v>0</v>
      </c>
      <c r="BA243" s="17" t="str">
        <f t="shared" si="23"/>
        <v/>
      </c>
    </row>
    <row r="244" spans="1:53" x14ac:dyDescent="0.25">
      <c r="A244" s="137" t="s">
        <v>532</v>
      </c>
      <c r="B244" s="137" t="s">
        <v>534</v>
      </c>
      <c r="C244" s="121"/>
      <c r="D244" s="121"/>
      <c r="E244" s="121"/>
      <c r="F244" s="121"/>
      <c r="G244" s="121"/>
      <c r="H244" s="121"/>
      <c r="I244" s="121"/>
      <c r="J244" s="121">
        <v>0</v>
      </c>
      <c r="K244" s="121">
        <v>0</v>
      </c>
      <c r="L244" s="121">
        <v>0</v>
      </c>
      <c r="M244" s="121">
        <v>0</v>
      </c>
      <c r="N244" s="121">
        <v>0</v>
      </c>
      <c r="O244" s="121">
        <v>0</v>
      </c>
      <c r="P244" s="121">
        <v>0</v>
      </c>
      <c r="Q244" s="121">
        <v>0</v>
      </c>
      <c r="R244" s="121">
        <v>0</v>
      </c>
      <c r="S244" s="121">
        <v>0</v>
      </c>
      <c r="T244" s="121">
        <v>0</v>
      </c>
      <c r="U244" s="121">
        <v>0</v>
      </c>
      <c r="V244" s="121" t="s">
        <v>1119</v>
      </c>
      <c r="W244" s="121">
        <v>0</v>
      </c>
      <c r="X244" s="121">
        <v>0</v>
      </c>
      <c r="Y244" s="121">
        <v>0</v>
      </c>
      <c r="Z244" s="121">
        <v>0</v>
      </c>
      <c r="AA244" s="121">
        <v>0</v>
      </c>
      <c r="AB244" s="121">
        <v>0</v>
      </c>
      <c r="AC244" s="121">
        <v>0</v>
      </c>
      <c r="AD244" s="121">
        <v>0</v>
      </c>
      <c r="AE244" s="121">
        <v>0</v>
      </c>
      <c r="AF244" s="121">
        <v>0</v>
      </c>
      <c r="AG244" s="121">
        <v>0</v>
      </c>
      <c r="AH244" s="121">
        <v>0</v>
      </c>
      <c r="AI244" s="121">
        <v>0</v>
      </c>
      <c r="AL244" s="14">
        <f t="shared" si="18"/>
        <v>0</v>
      </c>
      <c r="AM244">
        <f t="shared" si="19"/>
        <v>0</v>
      </c>
      <c r="AN244">
        <f t="shared" si="20"/>
        <v>0</v>
      </c>
      <c r="AP244">
        <f>VLOOKUP($B244,Kraftvärmeprod!$B$1:$BX$549,MATCH(AP$1,Kraftvärmeprod!$B$1:$BX$1,0),FALSE)</f>
        <v>0</v>
      </c>
      <c r="AQ244">
        <f>VLOOKUP($B244,Kraftvärmeprod!$B$1:$BX$549,MATCH(AQ$1,Kraftvärmeprod!$B$1:$BX$1,0),FALSE)</f>
        <v>0</v>
      </c>
      <c r="AR244">
        <f>VLOOKUP($B244,Kraftvärmeprod!$B$1:$BX$549,MATCH("Summa tillförd energi exklusive rökgaskondensering",Kraftvärmeprod!$B$1:$BX$1,0),FALSE)</f>
        <v>0</v>
      </c>
      <c r="AT244" s="17" t="str">
        <f t="shared" si="21"/>
        <v/>
      </c>
      <c r="AV244">
        <f t="shared" si="22"/>
        <v>0</v>
      </c>
      <c r="BA244" s="17" t="str">
        <f t="shared" si="23"/>
        <v/>
      </c>
    </row>
    <row r="245" spans="1:53" x14ac:dyDescent="0.25">
      <c r="A245" s="137" t="s">
        <v>532</v>
      </c>
      <c r="B245" s="137" t="s">
        <v>536</v>
      </c>
      <c r="C245" s="121"/>
      <c r="D245" s="121"/>
      <c r="E245" s="121"/>
      <c r="F245" s="121"/>
      <c r="G245" s="121"/>
      <c r="H245" s="121"/>
      <c r="I245" s="121"/>
      <c r="J245" s="121">
        <v>0</v>
      </c>
      <c r="K245" s="121">
        <v>0</v>
      </c>
      <c r="L245" s="121">
        <v>0</v>
      </c>
      <c r="M245" s="121">
        <v>0</v>
      </c>
      <c r="N245" s="121">
        <v>0</v>
      </c>
      <c r="O245" s="121">
        <v>0</v>
      </c>
      <c r="P245" s="121">
        <v>0</v>
      </c>
      <c r="Q245" s="121">
        <v>0</v>
      </c>
      <c r="R245" s="121">
        <v>0</v>
      </c>
      <c r="S245" s="121">
        <v>0</v>
      </c>
      <c r="T245" s="121">
        <v>0</v>
      </c>
      <c r="U245" s="121">
        <v>0</v>
      </c>
      <c r="V245" s="121" t="s">
        <v>1119</v>
      </c>
      <c r="W245" s="121">
        <v>0</v>
      </c>
      <c r="X245" s="121">
        <v>0</v>
      </c>
      <c r="Y245" s="121">
        <v>0</v>
      </c>
      <c r="Z245" s="121">
        <v>0</v>
      </c>
      <c r="AA245" s="121">
        <v>0</v>
      </c>
      <c r="AB245" s="121">
        <v>0</v>
      </c>
      <c r="AC245" s="121">
        <v>0</v>
      </c>
      <c r="AD245" s="121">
        <v>0</v>
      </c>
      <c r="AE245" s="121">
        <v>0</v>
      </c>
      <c r="AF245" s="121">
        <v>0</v>
      </c>
      <c r="AG245" s="121">
        <v>0</v>
      </c>
      <c r="AH245" s="121">
        <v>0</v>
      </c>
      <c r="AI245" s="121">
        <v>0</v>
      </c>
      <c r="AL245" s="14">
        <f t="shared" si="18"/>
        <v>0</v>
      </c>
      <c r="AM245">
        <f t="shared" si="19"/>
        <v>0</v>
      </c>
      <c r="AN245">
        <f t="shared" si="20"/>
        <v>0</v>
      </c>
      <c r="AP245">
        <f>VLOOKUP($B245,Kraftvärmeprod!$B$1:$BX$549,MATCH(AP$1,Kraftvärmeprod!$B$1:$BX$1,0),FALSE)</f>
        <v>0</v>
      </c>
      <c r="AQ245">
        <f>VLOOKUP($B245,Kraftvärmeprod!$B$1:$BX$549,MATCH(AQ$1,Kraftvärmeprod!$B$1:$BX$1,0),FALSE)</f>
        <v>0</v>
      </c>
      <c r="AR245">
        <f>VLOOKUP($B245,Kraftvärmeprod!$B$1:$BX$549,MATCH("Summa tillförd energi exklusive rökgaskondensering",Kraftvärmeprod!$B$1:$BX$1,0),FALSE)</f>
        <v>0</v>
      </c>
      <c r="AT245" s="17" t="str">
        <f t="shared" si="21"/>
        <v/>
      </c>
      <c r="AV245">
        <f t="shared" si="22"/>
        <v>0</v>
      </c>
      <c r="BA245" s="17" t="str">
        <f t="shared" si="23"/>
        <v/>
      </c>
    </row>
    <row r="246" spans="1:53" x14ac:dyDescent="0.25">
      <c r="A246" s="137" t="s">
        <v>532</v>
      </c>
      <c r="B246" s="137" t="s">
        <v>537</v>
      </c>
      <c r="C246" s="121"/>
      <c r="D246" s="121"/>
      <c r="E246" s="121"/>
      <c r="F246" s="121"/>
      <c r="G246" s="121"/>
      <c r="H246" s="121"/>
      <c r="I246" s="121"/>
      <c r="J246" s="121">
        <v>0</v>
      </c>
      <c r="K246" s="121">
        <v>0</v>
      </c>
      <c r="L246" s="121">
        <v>0</v>
      </c>
      <c r="M246" s="121">
        <v>0</v>
      </c>
      <c r="N246" s="121">
        <v>0</v>
      </c>
      <c r="O246" s="121">
        <v>0</v>
      </c>
      <c r="P246" s="121">
        <v>0</v>
      </c>
      <c r="Q246" s="121">
        <v>0</v>
      </c>
      <c r="R246" s="121">
        <v>0</v>
      </c>
      <c r="S246" s="121">
        <v>0</v>
      </c>
      <c r="T246" s="121">
        <v>0</v>
      </c>
      <c r="U246" s="121">
        <v>0</v>
      </c>
      <c r="V246" s="121" t="s">
        <v>1119</v>
      </c>
      <c r="W246" s="121">
        <v>0</v>
      </c>
      <c r="X246" s="121">
        <v>0</v>
      </c>
      <c r="Y246" s="121">
        <v>0</v>
      </c>
      <c r="Z246" s="121">
        <v>0</v>
      </c>
      <c r="AA246" s="121">
        <v>0</v>
      </c>
      <c r="AB246" s="121">
        <v>0</v>
      </c>
      <c r="AC246" s="121">
        <v>0</v>
      </c>
      <c r="AD246" s="121">
        <v>0</v>
      </c>
      <c r="AE246" s="121">
        <v>0</v>
      </c>
      <c r="AF246" s="121">
        <v>0</v>
      </c>
      <c r="AG246" s="121">
        <v>0</v>
      </c>
      <c r="AH246" s="121">
        <v>0</v>
      </c>
      <c r="AI246" s="121">
        <v>0</v>
      </c>
      <c r="AL246" s="14">
        <f t="shared" si="18"/>
        <v>0</v>
      </c>
      <c r="AM246">
        <f t="shared" si="19"/>
        <v>0</v>
      </c>
      <c r="AN246">
        <f t="shared" si="20"/>
        <v>0</v>
      </c>
      <c r="AP246">
        <f>VLOOKUP($B246,Kraftvärmeprod!$B$1:$BX$549,MATCH(AP$1,Kraftvärmeprod!$B$1:$BX$1,0),FALSE)</f>
        <v>0</v>
      </c>
      <c r="AQ246">
        <f>VLOOKUP($B246,Kraftvärmeprod!$B$1:$BX$549,MATCH(AQ$1,Kraftvärmeprod!$B$1:$BX$1,0),FALSE)</f>
        <v>0</v>
      </c>
      <c r="AR246">
        <f>VLOOKUP($B246,Kraftvärmeprod!$B$1:$BX$549,MATCH("Summa tillförd energi exklusive rökgaskondensering",Kraftvärmeprod!$B$1:$BX$1,0),FALSE)</f>
        <v>0</v>
      </c>
      <c r="AT246" s="17" t="str">
        <f t="shared" si="21"/>
        <v/>
      </c>
      <c r="AV246">
        <f t="shared" si="22"/>
        <v>0</v>
      </c>
      <c r="BA246" s="17" t="str">
        <f t="shared" si="23"/>
        <v/>
      </c>
    </row>
    <row r="247" spans="1:53" x14ac:dyDescent="0.25">
      <c r="A247" s="137" t="s">
        <v>532</v>
      </c>
      <c r="B247" s="137" t="s">
        <v>538</v>
      </c>
      <c r="C247" s="121"/>
      <c r="D247" s="121"/>
      <c r="E247" s="121"/>
      <c r="F247" s="121"/>
      <c r="G247" s="121"/>
      <c r="H247" s="121"/>
      <c r="I247" s="121"/>
      <c r="J247" s="121">
        <v>0</v>
      </c>
      <c r="K247" s="121">
        <v>0</v>
      </c>
      <c r="L247" s="121">
        <v>0</v>
      </c>
      <c r="M247" s="121">
        <v>0</v>
      </c>
      <c r="N247" s="121">
        <v>0</v>
      </c>
      <c r="O247" s="121">
        <v>0</v>
      </c>
      <c r="P247" s="121">
        <v>0</v>
      </c>
      <c r="Q247" s="121">
        <v>0</v>
      </c>
      <c r="R247" s="121">
        <v>0</v>
      </c>
      <c r="S247" s="121">
        <v>0</v>
      </c>
      <c r="T247" s="121">
        <v>0</v>
      </c>
      <c r="U247" s="121">
        <v>0</v>
      </c>
      <c r="V247" s="121" t="s">
        <v>1119</v>
      </c>
      <c r="W247" s="121">
        <v>0</v>
      </c>
      <c r="X247" s="121">
        <v>0</v>
      </c>
      <c r="Y247" s="121">
        <v>0</v>
      </c>
      <c r="Z247" s="121">
        <v>0</v>
      </c>
      <c r="AA247" s="121">
        <v>0</v>
      </c>
      <c r="AB247" s="121">
        <v>0</v>
      </c>
      <c r="AC247" s="121">
        <v>0</v>
      </c>
      <c r="AD247" s="121">
        <v>0</v>
      </c>
      <c r="AE247" s="121">
        <v>0</v>
      </c>
      <c r="AF247" s="121">
        <v>0</v>
      </c>
      <c r="AG247" s="121">
        <v>0</v>
      </c>
      <c r="AH247" s="121">
        <v>0</v>
      </c>
      <c r="AI247" s="121">
        <v>0</v>
      </c>
      <c r="AL247" s="14">
        <f t="shared" si="18"/>
        <v>0</v>
      </c>
      <c r="AM247">
        <f t="shared" si="19"/>
        <v>0</v>
      </c>
      <c r="AN247">
        <f t="shared" si="20"/>
        <v>0</v>
      </c>
      <c r="AP247">
        <f>VLOOKUP($B247,Kraftvärmeprod!$B$1:$BX$549,MATCH(AP$1,Kraftvärmeprod!$B$1:$BX$1,0),FALSE)</f>
        <v>0</v>
      </c>
      <c r="AQ247">
        <f>VLOOKUP($B247,Kraftvärmeprod!$B$1:$BX$549,MATCH(AQ$1,Kraftvärmeprod!$B$1:$BX$1,0),FALSE)</f>
        <v>0</v>
      </c>
      <c r="AR247">
        <f>VLOOKUP($B247,Kraftvärmeprod!$B$1:$BX$549,MATCH("Summa tillförd energi exklusive rökgaskondensering",Kraftvärmeprod!$B$1:$BX$1,0),FALSE)</f>
        <v>0</v>
      </c>
      <c r="AT247" s="17" t="str">
        <f t="shared" si="21"/>
        <v/>
      </c>
      <c r="AV247">
        <f t="shared" si="22"/>
        <v>0</v>
      </c>
      <c r="BA247" s="17" t="str">
        <f t="shared" si="23"/>
        <v/>
      </c>
    </row>
    <row r="248" spans="1:53" x14ac:dyDescent="0.25">
      <c r="A248" s="137" t="s">
        <v>532</v>
      </c>
      <c r="B248" s="137" t="s">
        <v>539</v>
      </c>
      <c r="C248" s="121"/>
      <c r="D248" s="121"/>
      <c r="E248" s="121"/>
      <c r="F248" s="121"/>
      <c r="G248" s="121"/>
      <c r="H248" s="121"/>
      <c r="I248" s="121"/>
      <c r="J248" s="121">
        <v>0</v>
      </c>
      <c r="K248" s="121">
        <v>0</v>
      </c>
      <c r="L248" s="121">
        <v>0</v>
      </c>
      <c r="M248" s="121">
        <v>0</v>
      </c>
      <c r="N248" s="121">
        <v>0</v>
      </c>
      <c r="O248" s="121">
        <v>0</v>
      </c>
      <c r="P248" s="121">
        <v>0</v>
      </c>
      <c r="Q248" s="121">
        <v>0</v>
      </c>
      <c r="R248" s="121">
        <v>0</v>
      </c>
      <c r="S248" s="121">
        <v>0</v>
      </c>
      <c r="T248" s="121">
        <v>0</v>
      </c>
      <c r="U248" s="121">
        <v>0</v>
      </c>
      <c r="V248" s="121" t="s">
        <v>1119</v>
      </c>
      <c r="W248" s="121">
        <v>0</v>
      </c>
      <c r="X248" s="121">
        <v>0</v>
      </c>
      <c r="Y248" s="121">
        <v>0</v>
      </c>
      <c r="Z248" s="121">
        <v>0</v>
      </c>
      <c r="AA248" s="121">
        <v>0</v>
      </c>
      <c r="AB248" s="121">
        <v>0</v>
      </c>
      <c r="AC248" s="121">
        <v>0</v>
      </c>
      <c r="AD248" s="121">
        <v>0</v>
      </c>
      <c r="AE248" s="121">
        <v>0</v>
      </c>
      <c r="AF248" s="121">
        <v>0</v>
      </c>
      <c r="AG248" s="121">
        <v>0</v>
      </c>
      <c r="AH248" s="121">
        <v>0</v>
      </c>
      <c r="AI248" s="121">
        <v>0</v>
      </c>
      <c r="AL248" s="14">
        <f t="shared" si="18"/>
        <v>0</v>
      </c>
      <c r="AM248">
        <f t="shared" si="19"/>
        <v>0</v>
      </c>
      <c r="AN248">
        <f t="shared" si="20"/>
        <v>0</v>
      </c>
      <c r="AP248">
        <f>VLOOKUP($B248,Kraftvärmeprod!$B$1:$BX$549,MATCH(AP$1,Kraftvärmeprod!$B$1:$BX$1,0),FALSE)</f>
        <v>0</v>
      </c>
      <c r="AQ248">
        <f>VLOOKUP($B248,Kraftvärmeprod!$B$1:$BX$549,MATCH(AQ$1,Kraftvärmeprod!$B$1:$BX$1,0),FALSE)</f>
        <v>0</v>
      </c>
      <c r="AR248">
        <f>VLOOKUP($B248,Kraftvärmeprod!$B$1:$BX$549,MATCH("Summa tillförd energi exklusive rökgaskondensering",Kraftvärmeprod!$B$1:$BX$1,0),FALSE)</f>
        <v>0</v>
      </c>
      <c r="AT248" s="17" t="str">
        <f t="shared" si="21"/>
        <v/>
      </c>
      <c r="AV248">
        <f t="shared" si="22"/>
        <v>0</v>
      </c>
      <c r="BA248" s="17" t="str">
        <f t="shared" si="23"/>
        <v/>
      </c>
    </row>
    <row r="249" spans="1:53" x14ac:dyDescent="0.25">
      <c r="A249" s="137" t="s">
        <v>532</v>
      </c>
      <c r="B249" s="137" t="s">
        <v>540</v>
      </c>
      <c r="C249" s="121"/>
      <c r="D249" s="121"/>
      <c r="E249" s="121"/>
      <c r="F249" s="121"/>
      <c r="G249" s="121"/>
      <c r="H249" s="121"/>
      <c r="I249" s="121"/>
      <c r="J249" s="121">
        <v>0</v>
      </c>
      <c r="K249" s="121">
        <v>0</v>
      </c>
      <c r="L249" s="121">
        <v>0</v>
      </c>
      <c r="M249" s="121">
        <v>0</v>
      </c>
      <c r="N249" s="121">
        <v>0</v>
      </c>
      <c r="O249" s="121">
        <v>0</v>
      </c>
      <c r="P249" s="121">
        <v>0</v>
      </c>
      <c r="Q249" s="121">
        <v>0</v>
      </c>
      <c r="R249" s="121">
        <v>0</v>
      </c>
      <c r="S249" s="121">
        <v>0</v>
      </c>
      <c r="T249" s="121">
        <v>0</v>
      </c>
      <c r="U249" s="121">
        <v>0</v>
      </c>
      <c r="V249" s="121" t="s">
        <v>1119</v>
      </c>
      <c r="W249" s="121">
        <v>0</v>
      </c>
      <c r="X249" s="121">
        <v>0</v>
      </c>
      <c r="Y249" s="121">
        <v>0</v>
      </c>
      <c r="Z249" s="121">
        <v>0</v>
      </c>
      <c r="AA249" s="121">
        <v>0</v>
      </c>
      <c r="AB249" s="121">
        <v>0</v>
      </c>
      <c r="AC249" s="121">
        <v>0</v>
      </c>
      <c r="AD249" s="121">
        <v>0</v>
      </c>
      <c r="AE249" s="121">
        <v>0</v>
      </c>
      <c r="AF249" s="121">
        <v>0</v>
      </c>
      <c r="AG249" s="121">
        <v>0</v>
      </c>
      <c r="AH249" s="121">
        <v>0</v>
      </c>
      <c r="AI249" s="121">
        <v>0</v>
      </c>
      <c r="AL249" s="14">
        <f t="shared" si="18"/>
        <v>0</v>
      </c>
      <c r="AM249">
        <f t="shared" si="19"/>
        <v>0</v>
      </c>
      <c r="AN249">
        <f t="shared" si="20"/>
        <v>0</v>
      </c>
      <c r="AP249">
        <f>VLOOKUP($B249,Kraftvärmeprod!$B$1:$BX$549,MATCH(AP$1,Kraftvärmeprod!$B$1:$BX$1,0),FALSE)</f>
        <v>0</v>
      </c>
      <c r="AQ249">
        <f>VLOOKUP($B249,Kraftvärmeprod!$B$1:$BX$549,MATCH(AQ$1,Kraftvärmeprod!$B$1:$BX$1,0),FALSE)</f>
        <v>0</v>
      </c>
      <c r="AR249">
        <f>VLOOKUP($B249,Kraftvärmeprod!$B$1:$BX$549,MATCH("Summa tillförd energi exklusive rökgaskondensering",Kraftvärmeprod!$B$1:$BX$1,0),FALSE)</f>
        <v>0</v>
      </c>
      <c r="AT249" s="17" t="str">
        <f t="shared" si="21"/>
        <v/>
      </c>
      <c r="AV249">
        <f t="shared" si="22"/>
        <v>0</v>
      </c>
      <c r="BA249" s="17" t="str">
        <f t="shared" si="23"/>
        <v/>
      </c>
    </row>
    <row r="250" spans="1:53" x14ac:dyDescent="0.25">
      <c r="A250" s="137" t="s">
        <v>532</v>
      </c>
      <c r="B250" s="137" t="s">
        <v>541</v>
      </c>
      <c r="C250" s="121"/>
      <c r="D250" s="121"/>
      <c r="E250" s="121"/>
      <c r="F250" s="121"/>
      <c r="G250" s="121"/>
      <c r="H250" s="121"/>
      <c r="I250" s="121"/>
      <c r="J250" s="121">
        <v>0</v>
      </c>
      <c r="K250" s="121">
        <v>0</v>
      </c>
      <c r="L250" s="121">
        <v>0</v>
      </c>
      <c r="M250" s="121">
        <v>0</v>
      </c>
      <c r="N250" s="121">
        <v>0</v>
      </c>
      <c r="O250" s="121">
        <v>0</v>
      </c>
      <c r="P250" s="121">
        <v>0</v>
      </c>
      <c r="Q250" s="121">
        <v>0</v>
      </c>
      <c r="R250" s="121">
        <v>0</v>
      </c>
      <c r="S250" s="121">
        <v>0</v>
      </c>
      <c r="T250" s="121">
        <v>0</v>
      </c>
      <c r="U250" s="121">
        <v>0</v>
      </c>
      <c r="V250" s="121" t="s">
        <v>1119</v>
      </c>
      <c r="W250" s="121">
        <v>0</v>
      </c>
      <c r="X250" s="121">
        <v>0</v>
      </c>
      <c r="Y250" s="121">
        <v>0</v>
      </c>
      <c r="Z250" s="121">
        <v>0</v>
      </c>
      <c r="AA250" s="121">
        <v>0</v>
      </c>
      <c r="AB250" s="121">
        <v>0</v>
      </c>
      <c r="AC250" s="121">
        <v>0</v>
      </c>
      <c r="AD250" s="121">
        <v>0</v>
      </c>
      <c r="AE250" s="121">
        <v>0</v>
      </c>
      <c r="AF250" s="121">
        <v>0</v>
      </c>
      <c r="AG250" s="121">
        <v>0</v>
      </c>
      <c r="AH250" s="121">
        <v>0</v>
      </c>
      <c r="AI250" s="121">
        <v>0</v>
      </c>
      <c r="AL250" s="14">
        <f t="shared" si="18"/>
        <v>0</v>
      </c>
      <c r="AM250">
        <f t="shared" si="19"/>
        <v>0</v>
      </c>
      <c r="AN250">
        <f t="shared" si="20"/>
        <v>0</v>
      </c>
      <c r="AP250">
        <f>VLOOKUP($B250,Kraftvärmeprod!$B$1:$BX$549,MATCH(AP$1,Kraftvärmeprod!$B$1:$BX$1,0),FALSE)</f>
        <v>0</v>
      </c>
      <c r="AQ250">
        <f>VLOOKUP($B250,Kraftvärmeprod!$B$1:$BX$549,MATCH(AQ$1,Kraftvärmeprod!$B$1:$BX$1,0),FALSE)</f>
        <v>0</v>
      </c>
      <c r="AR250">
        <f>VLOOKUP($B250,Kraftvärmeprod!$B$1:$BX$549,MATCH("Summa tillförd energi exklusive rökgaskondensering",Kraftvärmeprod!$B$1:$BX$1,0),FALSE)</f>
        <v>0</v>
      </c>
      <c r="AT250" s="17" t="str">
        <f t="shared" si="21"/>
        <v/>
      </c>
      <c r="AV250">
        <f t="shared" si="22"/>
        <v>0</v>
      </c>
      <c r="BA250" s="17" t="str">
        <f t="shared" si="23"/>
        <v/>
      </c>
    </row>
    <row r="251" spans="1:53" x14ac:dyDescent="0.25">
      <c r="A251" s="137" t="s">
        <v>532</v>
      </c>
      <c r="B251" s="137" t="s">
        <v>542</v>
      </c>
      <c r="C251" s="121"/>
      <c r="D251" s="121"/>
      <c r="E251" s="121"/>
      <c r="F251" s="121"/>
      <c r="G251" s="121"/>
      <c r="H251" s="121"/>
      <c r="I251" s="121"/>
      <c r="J251" s="121">
        <v>0</v>
      </c>
      <c r="K251" s="121">
        <v>3.9847199999999999E-2</v>
      </c>
      <c r="L251" s="121">
        <v>0</v>
      </c>
      <c r="M251" s="121">
        <v>0</v>
      </c>
      <c r="N251" s="121">
        <v>0</v>
      </c>
      <c r="O251" s="121">
        <v>0</v>
      </c>
      <c r="P251" s="121">
        <v>10.459099999999999</v>
      </c>
      <c r="Q251" s="121">
        <v>26.719100000000001</v>
      </c>
      <c r="R251" s="121">
        <v>0</v>
      </c>
      <c r="S251" s="121">
        <v>34.653199999999998</v>
      </c>
      <c r="T251" s="121">
        <v>0</v>
      </c>
      <c r="U251" s="121">
        <v>6.1783799999999998</v>
      </c>
      <c r="V251" s="121" t="s">
        <v>1119</v>
      </c>
      <c r="W251" s="121">
        <v>0.360597</v>
      </c>
      <c r="X251" s="121">
        <v>0.14423900000000001</v>
      </c>
      <c r="Y251" s="121">
        <v>0</v>
      </c>
      <c r="Z251" s="121">
        <v>0</v>
      </c>
      <c r="AA251" s="121">
        <v>0</v>
      </c>
      <c r="AB251" s="121">
        <v>0</v>
      </c>
      <c r="AC251" s="121">
        <v>0</v>
      </c>
      <c r="AD251" s="121">
        <v>13.550800000000001</v>
      </c>
      <c r="AE251" s="121">
        <v>0</v>
      </c>
      <c r="AF251" s="121">
        <v>0</v>
      </c>
      <c r="AG251" s="121">
        <v>0</v>
      </c>
      <c r="AH251" s="121">
        <v>0</v>
      </c>
      <c r="AI251" s="121">
        <v>3.36137</v>
      </c>
      <c r="AL251" s="14">
        <f t="shared" si="18"/>
        <v>95.46663319999999</v>
      </c>
      <c r="AM251">
        <f t="shared" si="19"/>
        <v>92.105263199999996</v>
      </c>
      <c r="AN251">
        <f t="shared" si="20"/>
        <v>92.105263199999996</v>
      </c>
      <c r="AP251">
        <f>VLOOKUP($B251,Kraftvärmeprod!$B$1:$BX$549,MATCH(AP$1,Kraftvärmeprod!$B$1:$BX$1,0),FALSE)</f>
        <v>119.69344599999999</v>
      </c>
      <c r="AQ251">
        <f>VLOOKUP($B251,Kraftvärmeprod!$B$1:$BX$549,MATCH(AQ$1,Kraftvärmeprod!$B$1:$BX$1,0),FALSE)</f>
        <v>44.927909999999997</v>
      </c>
      <c r="AR251">
        <f>VLOOKUP($B251,Kraftvärmeprod!$B$1:$BX$549,MATCH("Summa tillförd energi exklusive rökgaskondensering",Kraftvärmeprod!$B$1:$BX$1,0),FALSE)</f>
        <v>180.15511800100003</v>
      </c>
      <c r="AT251" s="17">
        <f t="shared" si="21"/>
        <v>0.51125532386756134</v>
      </c>
      <c r="AV251">
        <f t="shared" si="22"/>
        <v>78.514616000000004</v>
      </c>
      <c r="BA251" s="17">
        <f t="shared" si="23"/>
        <v>1.2537725694090991</v>
      </c>
    </row>
    <row r="252" spans="1:53" x14ac:dyDescent="0.25">
      <c r="A252" s="137" t="s">
        <v>532</v>
      </c>
      <c r="B252" s="137" t="s">
        <v>543</v>
      </c>
      <c r="C252" s="121"/>
      <c r="D252" s="121"/>
      <c r="E252" s="121"/>
      <c r="F252" s="121"/>
      <c r="G252" s="121"/>
      <c r="H252" s="121"/>
      <c r="I252" s="121"/>
      <c r="J252" s="121">
        <v>0</v>
      </c>
      <c r="K252" s="121">
        <v>0</v>
      </c>
      <c r="L252" s="121">
        <v>0</v>
      </c>
      <c r="M252" s="121">
        <v>0</v>
      </c>
      <c r="N252" s="121">
        <v>0</v>
      </c>
      <c r="O252" s="121">
        <v>0</v>
      </c>
      <c r="P252" s="121">
        <v>0</v>
      </c>
      <c r="Q252" s="121">
        <v>0</v>
      </c>
      <c r="R252" s="121">
        <v>0</v>
      </c>
      <c r="S252" s="121">
        <v>0</v>
      </c>
      <c r="T252" s="121">
        <v>0</v>
      </c>
      <c r="U252" s="121">
        <v>0</v>
      </c>
      <c r="V252" s="121" t="s">
        <v>1119</v>
      </c>
      <c r="W252" s="121">
        <v>0</v>
      </c>
      <c r="X252" s="121">
        <v>0</v>
      </c>
      <c r="Y252" s="121">
        <v>0</v>
      </c>
      <c r="Z252" s="121">
        <v>0</v>
      </c>
      <c r="AA252" s="121">
        <v>0</v>
      </c>
      <c r="AB252" s="121">
        <v>0</v>
      </c>
      <c r="AC252" s="121">
        <v>0</v>
      </c>
      <c r="AD252" s="121">
        <v>0</v>
      </c>
      <c r="AE252" s="121">
        <v>0</v>
      </c>
      <c r="AF252" s="121">
        <v>0</v>
      </c>
      <c r="AG252" s="121">
        <v>0</v>
      </c>
      <c r="AH252" s="121">
        <v>0</v>
      </c>
      <c r="AI252" s="121">
        <v>0</v>
      </c>
      <c r="AL252" s="14">
        <f t="shared" si="18"/>
        <v>0</v>
      </c>
      <c r="AM252">
        <f t="shared" si="19"/>
        <v>0</v>
      </c>
      <c r="AN252">
        <f t="shared" si="20"/>
        <v>0</v>
      </c>
      <c r="AP252">
        <f>VLOOKUP($B252,Kraftvärmeprod!$B$1:$BX$549,MATCH(AP$1,Kraftvärmeprod!$B$1:$BX$1,0),FALSE)</f>
        <v>0</v>
      </c>
      <c r="AQ252">
        <f>VLOOKUP($B252,Kraftvärmeprod!$B$1:$BX$549,MATCH(AQ$1,Kraftvärmeprod!$B$1:$BX$1,0),FALSE)</f>
        <v>0</v>
      </c>
      <c r="AR252">
        <f>VLOOKUP($B252,Kraftvärmeprod!$B$1:$BX$549,MATCH("Summa tillförd energi exklusive rökgaskondensering",Kraftvärmeprod!$B$1:$BX$1,0),FALSE)</f>
        <v>0</v>
      </c>
      <c r="AT252" s="17" t="str">
        <f t="shared" si="21"/>
        <v/>
      </c>
      <c r="AV252">
        <f t="shared" si="22"/>
        <v>0</v>
      </c>
      <c r="BA252" s="17" t="str">
        <f t="shared" si="23"/>
        <v/>
      </c>
    </row>
    <row r="253" spans="1:53" x14ac:dyDescent="0.25">
      <c r="A253" s="137" t="s">
        <v>532</v>
      </c>
      <c r="B253" s="137" t="s">
        <v>544</v>
      </c>
      <c r="C253" s="121"/>
      <c r="D253" s="121"/>
      <c r="E253" s="121"/>
      <c r="F253" s="121"/>
      <c r="G253" s="121"/>
      <c r="H253" s="121"/>
      <c r="I253" s="121"/>
      <c r="J253" s="121">
        <v>0</v>
      </c>
      <c r="K253" s="121">
        <v>0.13326499999999999</v>
      </c>
      <c r="L253" s="121">
        <v>0</v>
      </c>
      <c r="M253" s="121">
        <v>0</v>
      </c>
      <c r="N253" s="121">
        <v>0</v>
      </c>
      <c r="O253" s="121">
        <v>0</v>
      </c>
      <c r="P253" s="121">
        <v>0</v>
      </c>
      <c r="Q253" s="121">
        <v>23.3186</v>
      </c>
      <c r="R253" s="121">
        <v>0</v>
      </c>
      <c r="S253" s="121">
        <v>43.305999999999997</v>
      </c>
      <c r="T253" s="121">
        <v>0</v>
      </c>
      <c r="U253" s="121">
        <v>0</v>
      </c>
      <c r="V253" s="121" t="s">
        <v>1119</v>
      </c>
      <c r="W253" s="121">
        <v>1.1586799999999999</v>
      </c>
      <c r="X253" s="121">
        <v>0</v>
      </c>
      <c r="Y253" s="121">
        <v>0</v>
      </c>
      <c r="Z253" s="121">
        <v>0</v>
      </c>
      <c r="AA253" s="121">
        <v>0</v>
      </c>
      <c r="AB253" s="121">
        <v>0</v>
      </c>
      <c r="AC253" s="121">
        <v>0</v>
      </c>
      <c r="AD253" s="121">
        <v>0</v>
      </c>
      <c r="AE253" s="121">
        <v>0</v>
      </c>
      <c r="AF253" s="121">
        <v>0</v>
      </c>
      <c r="AG253" s="121">
        <v>0</v>
      </c>
      <c r="AH253" s="121">
        <v>0</v>
      </c>
      <c r="AI253" s="121">
        <v>2.8347600000000002</v>
      </c>
      <c r="AL253" s="14">
        <f t="shared" si="18"/>
        <v>70.751305000000002</v>
      </c>
      <c r="AM253">
        <f t="shared" si="19"/>
        <v>67.916544999999999</v>
      </c>
      <c r="AN253">
        <f t="shared" si="20"/>
        <v>67.916544999999999</v>
      </c>
      <c r="AP253">
        <f>VLOOKUP($B253,Kraftvärmeprod!$B$1:$BX$549,MATCH(AP$1,Kraftvärmeprod!$B$1:$BX$1,0),FALSE)</f>
        <v>80.528341999999995</v>
      </c>
      <c r="AQ253">
        <f>VLOOKUP($B253,Kraftvärmeprod!$B$1:$BX$549,MATCH(AQ$1,Kraftvärmeprod!$B$1:$BX$1,0),FALSE)</f>
        <v>17.979658000000001</v>
      </c>
      <c r="AR253">
        <f>VLOOKUP($B253,Kraftvärmeprod!$B$1:$BX$549,MATCH("Summa tillförd energi exklusive rökgaskondensering",Kraftvärmeprod!$B$1:$BX$1,0),FALSE)</f>
        <v>107.41703800000001</v>
      </c>
      <c r="AT253" s="17">
        <f t="shared" si="21"/>
        <v>0.63226976152516878</v>
      </c>
      <c r="AV253">
        <f t="shared" si="22"/>
        <v>67.783280000000005</v>
      </c>
      <c r="BA253" s="17">
        <f t="shared" si="23"/>
        <v>1.1381887867651346</v>
      </c>
    </row>
    <row r="254" spans="1:53" x14ac:dyDescent="0.25">
      <c r="A254" s="137" t="s">
        <v>532</v>
      </c>
      <c r="B254" s="137" t="s">
        <v>545</v>
      </c>
      <c r="C254" s="121"/>
      <c r="D254" s="121"/>
      <c r="E254" s="121"/>
      <c r="F254" s="121"/>
      <c r="G254" s="121"/>
      <c r="H254" s="121"/>
      <c r="I254" s="121"/>
      <c r="J254" s="121">
        <v>0</v>
      </c>
      <c r="K254" s="121">
        <v>0</v>
      </c>
      <c r="L254" s="121">
        <v>0</v>
      </c>
      <c r="M254" s="121">
        <v>0</v>
      </c>
      <c r="N254" s="121">
        <v>0</v>
      </c>
      <c r="O254" s="121">
        <v>0</v>
      </c>
      <c r="P254" s="121">
        <v>0</v>
      </c>
      <c r="Q254" s="121">
        <v>0</v>
      </c>
      <c r="R254" s="121">
        <v>0</v>
      </c>
      <c r="S254" s="121">
        <v>0</v>
      </c>
      <c r="T254" s="121">
        <v>0</v>
      </c>
      <c r="U254" s="121">
        <v>0</v>
      </c>
      <c r="V254" s="121" t="s">
        <v>1119</v>
      </c>
      <c r="W254" s="121">
        <v>0</v>
      </c>
      <c r="X254" s="121">
        <v>0</v>
      </c>
      <c r="Y254" s="121">
        <v>0</v>
      </c>
      <c r="Z254" s="121">
        <v>0</v>
      </c>
      <c r="AA254" s="121">
        <v>0</v>
      </c>
      <c r="AB254" s="121">
        <v>0</v>
      </c>
      <c r="AC254" s="121">
        <v>0</v>
      </c>
      <c r="AD254" s="121">
        <v>0</v>
      </c>
      <c r="AE254" s="121">
        <v>0</v>
      </c>
      <c r="AF254" s="121">
        <v>0</v>
      </c>
      <c r="AG254" s="121">
        <v>0</v>
      </c>
      <c r="AH254" s="121">
        <v>0</v>
      </c>
      <c r="AI254" s="121">
        <v>0</v>
      </c>
      <c r="AL254" s="14">
        <f t="shared" si="18"/>
        <v>0</v>
      </c>
      <c r="AM254">
        <f t="shared" si="19"/>
        <v>0</v>
      </c>
      <c r="AN254">
        <f t="shared" si="20"/>
        <v>0</v>
      </c>
      <c r="AP254">
        <f>VLOOKUP($B254,Kraftvärmeprod!$B$1:$BX$549,MATCH(AP$1,Kraftvärmeprod!$B$1:$BX$1,0),FALSE)</f>
        <v>0</v>
      </c>
      <c r="AQ254">
        <f>VLOOKUP($B254,Kraftvärmeprod!$B$1:$BX$549,MATCH(AQ$1,Kraftvärmeprod!$B$1:$BX$1,0),FALSE)</f>
        <v>0</v>
      </c>
      <c r="AR254">
        <f>VLOOKUP($B254,Kraftvärmeprod!$B$1:$BX$549,MATCH("Summa tillförd energi exklusive rökgaskondensering",Kraftvärmeprod!$B$1:$BX$1,0),FALSE)</f>
        <v>0</v>
      </c>
      <c r="AT254" s="17" t="str">
        <f t="shared" si="21"/>
        <v/>
      </c>
      <c r="AV254">
        <f t="shared" si="22"/>
        <v>0</v>
      </c>
      <c r="BA254" s="17" t="str">
        <f t="shared" si="23"/>
        <v/>
      </c>
    </row>
    <row r="255" spans="1:53" x14ac:dyDescent="0.25">
      <c r="A255" s="137" t="s">
        <v>532</v>
      </c>
      <c r="B255" s="137" t="s">
        <v>546</v>
      </c>
      <c r="C255" s="121"/>
      <c r="D255" s="121"/>
      <c r="E255" s="121"/>
      <c r="F255" s="121"/>
      <c r="G255" s="121"/>
      <c r="H255" s="121"/>
      <c r="I255" s="121"/>
      <c r="J255" s="121">
        <v>0</v>
      </c>
      <c r="K255" s="121">
        <v>0</v>
      </c>
      <c r="L255" s="121">
        <v>0</v>
      </c>
      <c r="M255" s="121">
        <v>0</v>
      </c>
      <c r="N255" s="121">
        <v>0</v>
      </c>
      <c r="O255" s="121">
        <v>0</v>
      </c>
      <c r="P255" s="121">
        <v>0</v>
      </c>
      <c r="Q255" s="121">
        <v>0</v>
      </c>
      <c r="R255" s="121">
        <v>0</v>
      </c>
      <c r="S255" s="121">
        <v>0</v>
      </c>
      <c r="T255" s="121">
        <v>0</v>
      </c>
      <c r="U255" s="121">
        <v>0</v>
      </c>
      <c r="V255" s="121" t="s">
        <v>1119</v>
      </c>
      <c r="W255" s="121">
        <v>0</v>
      </c>
      <c r="X255" s="121">
        <v>0</v>
      </c>
      <c r="Y255" s="121">
        <v>0</v>
      </c>
      <c r="Z255" s="121">
        <v>0</v>
      </c>
      <c r="AA255" s="121">
        <v>0</v>
      </c>
      <c r="AB255" s="121">
        <v>0</v>
      </c>
      <c r="AC255" s="121">
        <v>0</v>
      </c>
      <c r="AD255" s="121">
        <v>0</v>
      </c>
      <c r="AE255" s="121">
        <v>0</v>
      </c>
      <c r="AF255" s="121">
        <v>0</v>
      </c>
      <c r="AG255" s="121">
        <v>0</v>
      </c>
      <c r="AH255" s="121">
        <v>0</v>
      </c>
      <c r="AI255" s="121">
        <v>0</v>
      </c>
      <c r="AL255" s="14">
        <f t="shared" si="18"/>
        <v>0</v>
      </c>
      <c r="AM255">
        <f t="shared" si="19"/>
        <v>0</v>
      </c>
      <c r="AN255">
        <f t="shared" si="20"/>
        <v>0</v>
      </c>
      <c r="AP255">
        <f>VLOOKUP($B255,Kraftvärmeprod!$B$1:$BX$549,MATCH(AP$1,Kraftvärmeprod!$B$1:$BX$1,0),FALSE)</f>
        <v>0</v>
      </c>
      <c r="AQ255">
        <f>VLOOKUP($B255,Kraftvärmeprod!$B$1:$BX$549,MATCH(AQ$1,Kraftvärmeprod!$B$1:$BX$1,0),FALSE)</f>
        <v>0</v>
      </c>
      <c r="AR255">
        <f>VLOOKUP($B255,Kraftvärmeprod!$B$1:$BX$549,MATCH("Summa tillförd energi exklusive rökgaskondensering",Kraftvärmeprod!$B$1:$BX$1,0),FALSE)</f>
        <v>0</v>
      </c>
      <c r="AT255" s="17" t="str">
        <f t="shared" si="21"/>
        <v/>
      </c>
      <c r="AV255">
        <f t="shared" si="22"/>
        <v>0</v>
      </c>
      <c r="BA255" s="17" t="str">
        <f t="shared" si="23"/>
        <v/>
      </c>
    </row>
    <row r="256" spans="1:53" x14ac:dyDescent="0.25">
      <c r="A256" s="137" t="s">
        <v>532</v>
      </c>
      <c r="B256" s="137" t="s">
        <v>547</v>
      </c>
      <c r="C256" s="121"/>
      <c r="D256" s="121"/>
      <c r="E256" s="121"/>
      <c r="F256" s="121"/>
      <c r="G256" s="121"/>
      <c r="H256" s="121"/>
      <c r="I256" s="121"/>
      <c r="J256" s="121">
        <v>0</v>
      </c>
      <c r="K256" s="121">
        <v>0.36834800000000001</v>
      </c>
      <c r="L256" s="121">
        <v>0</v>
      </c>
      <c r="M256" s="121">
        <v>0</v>
      </c>
      <c r="N256" s="121">
        <v>0</v>
      </c>
      <c r="O256" s="121">
        <v>0</v>
      </c>
      <c r="P256" s="121">
        <v>33.301299999999998</v>
      </c>
      <c r="Q256" s="121">
        <v>50.389400000000002</v>
      </c>
      <c r="R256" s="121">
        <v>10.6936</v>
      </c>
      <c r="S256" s="121">
        <v>51.079500000000003</v>
      </c>
      <c r="T256" s="121">
        <v>0</v>
      </c>
      <c r="U256" s="121">
        <v>22.163900000000002</v>
      </c>
      <c r="V256" s="121" t="s">
        <v>1119</v>
      </c>
      <c r="W256" s="121">
        <v>0</v>
      </c>
      <c r="X256" s="121">
        <v>0.49684899999999999</v>
      </c>
      <c r="Y256" s="121">
        <v>1.2393400000000001</v>
      </c>
      <c r="Z256" s="121">
        <v>0</v>
      </c>
      <c r="AA256" s="121">
        <v>0</v>
      </c>
      <c r="AB256" s="121">
        <v>0</v>
      </c>
      <c r="AC256" s="121">
        <v>0</v>
      </c>
      <c r="AD256" s="121">
        <v>33.492199999999997</v>
      </c>
      <c r="AE256" s="121">
        <v>0</v>
      </c>
      <c r="AF256" s="121">
        <v>0</v>
      </c>
      <c r="AG256" s="121">
        <v>0</v>
      </c>
      <c r="AH256" s="121">
        <v>67.151499999999999</v>
      </c>
      <c r="AI256" s="121">
        <v>8.6825200000000002</v>
      </c>
      <c r="AL256" s="14">
        <f t="shared" si="18"/>
        <v>279.05845700000003</v>
      </c>
      <c r="AM256">
        <f t="shared" si="19"/>
        <v>270.37593700000002</v>
      </c>
      <c r="AN256">
        <f t="shared" si="20"/>
        <v>203.22443700000002</v>
      </c>
      <c r="AP256">
        <f>VLOOKUP($B256,Kraftvärmeprod!$B$1:$BX$549,MATCH(AP$1,Kraftvärmeprod!$B$1:$BX$1,0),FALSE)</f>
        <v>239.15712500000001</v>
      </c>
      <c r="AQ256">
        <f>VLOOKUP($B256,Kraftvärmeprod!$B$1:$BX$549,MATCH(AQ$1,Kraftvärmeprod!$B$1:$BX$1,0),FALSE)</f>
        <v>103.43904000000001</v>
      </c>
      <c r="AR256">
        <f>VLOOKUP($B256,Kraftvärmeprod!$B$1:$BX$549,MATCH("Summa tillförd energi exklusive rökgaskondensering",Kraftvärmeprod!$B$1:$BX$1,0),FALSE)</f>
        <v>426.39019998800001</v>
      </c>
      <c r="AT256" s="17">
        <f t="shared" si="21"/>
        <v>0.47661610657496212</v>
      </c>
      <c r="AV256">
        <f t="shared" si="22"/>
        <v>169.363889</v>
      </c>
      <c r="BA256" s="17">
        <f t="shared" si="23"/>
        <v>1.1285949663276038</v>
      </c>
    </row>
    <row r="257" spans="1:53" x14ac:dyDescent="0.25">
      <c r="A257" s="137" t="s">
        <v>532</v>
      </c>
      <c r="B257" s="137" t="s">
        <v>548</v>
      </c>
      <c r="C257" s="121"/>
      <c r="D257" s="121"/>
      <c r="E257" s="121"/>
      <c r="F257" s="121"/>
      <c r="G257" s="121"/>
      <c r="H257" s="121"/>
      <c r="I257" s="121"/>
      <c r="J257" s="121">
        <v>0</v>
      </c>
      <c r="K257" s="121">
        <v>0</v>
      </c>
      <c r="L257" s="121">
        <v>0</v>
      </c>
      <c r="M257" s="121">
        <v>0</v>
      </c>
      <c r="N257" s="121">
        <v>0</v>
      </c>
      <c r="O257" s="121">
        <v>0</v>
      </c>
      <c r="P257" s="121">
        <v>0</v>
      </c>
      <c r="Q257" s="121">
        <v>0</v>
      </c>
      <c r="R257" s="121">
        <v>0</v>
      </c>
      <c r="S257" s="121">
        <v>0</v>
      </c>
      <c r="T257" s="121">
        <v>0</v>
      </c>
      <c r="U257" s="121">
        <v>0</v>
      </c>
      <c r="V257" s="121" t="s">
        <v>1119</v>
      </c>
      <c r="W257" s="121">
        <v>0</v>
      </c>
      <c r="X257" s="121">
        <v>0</v>
      </c>
      <c r="Y257" s="121">
        <v>0</v>
      </c>
      <c r="Z257" s="121">
        <v>0</v>
      </c>
      <c r="AA257" s="121">
        <v>0</v>
      </c>
      <c r="AB257" s="121">
        <v>0</v>
      </c>
      <c r="AC257" s="121">
        <v>0</v>
      </c>
      <c r="AD257" s="121">
        <v>0</v>
      </c>
      <c r="AE257" s="121">
        <v>0</v>
      </c>
      <c r="AF257" s="121">
        <v>0</v>
      </c>
      <c r="AG257" s="121">
        <v>0</v>
      </c>
      <c r="AH257" s="121">
        <v>0</v>
      </c>
      <c r="AI257" s="121">
        <v>0</v>
      </c>
      <c r="AL257" s="14">
        <f t="shared" si="18"/>
        <v>0</v>
      </c>
      <c r="AM257">
        <f t="shared" si="19"/>
        <v>0</v>
      </c>
      <c r="AN257">
        <f t="shared" si="20"/>
        <v>0</v>
      </c>
      <c r="AP257">
        <f>VLOOKUP($B257,Kraftvärmeprod!$B$1:$BX$549,MATCH(AP$1,Kraftvärmeprod!$B$1:$BX$1,0),FALSE)</f>
        <v>0</v>
      </c>
      <c r="AQ257">
        <f>VLOOKUP($B257,Kraftvärmeprod!$B$1:$BX$549,MATCH(AQ$1,Kraftvärmeprod!$B$1:$BX$1,0),FALSE)</f>
        <v>0</v>
      </c>
      <c r="AR257">
        <f>VLOOKUP($B257,Kraftvärmeprod!$B$1:$BX$549,MATCH("Summa tillförd energi exklusive rökgaskondensering",Kraftvärmeprod!$B$1:$BX$1,0),FALSE)</f>
        <v>0</v>
      </c>
      <c r="AT257" s="17" t="str">
        <f t="shared" si="21"/>
        <v/>
      </c>
      <c r="AV257">
        <f t="shared" si="22"/>
        <v>0</v>
      </c>
      <c r="BA257" s="17" t="str">
        <f t="shared" si="23"/>
        <v/>
      </c>
    </row>
    <row r="258" spans="1:53" x14ac:dyDescent="0.25">
      <c r="A258" s="137" t="s">
        <v>532</v>
      </c>
      <c r="B258" s="137" t="s">
        <v>549</v>
      </c>
      <c r="C258" s="121"/>
      <c r="D258" s="121"/>
      <c r="E258" s="121"/>
      <c r="F258" s="121"/>
      <c r="G258" s="121"/>
      <c r="H258" s="121"/>
      <c r="I258" s="121"/>
      <c r="J258" s="121">
        <v>0</v>
      </c>
      <c r="K258" s="121">
        <v>0</v>
      </c>
      <c r="L258" s="121">
        <v>0</v>
      </c>
      <c r="M258" s="121">
        <v>0</v>
      </c>
      <c r="N258" s="121">
        <v>0</v>
      </c>
      <c r="O258" s="121">
        <v>0</v>
      </c>
      <c r="P258" s="121">
        <v>0</v>
      </c>
      <c r="Q258" s="121">
        <v>0</v>
      </c>
      <c r="R258" s="121">
        <v>0</v>
      </c>
      <c r="S258" s="121">
        <v>0</v>
      </c>
      <c r="T258" s="121">
        <v>0</v>
      </c>
      <c r="U258" s="121">
        <v>0</v>
      </c>
      <c r="V258" s="121" t="s">
        <v>1119</v>
      </c>
      <c r="W258" s="121">
        <v>0</v>
      </c>
      <c r="X258" s="121">
        <v>0</v>
      </c>
      <c r="Y258" s="121">
        <v>0</v>
      </c>
      <c r="Z258" s="121">
        <v>0</v>
      </c>
      <c r="AA258" s="121">
        <v>0</v>
      </c>
      <c r="AB258" s="121">
        <v>0</v>
      </c>
      <c r="AC258" s="121">
        <v>0</v>
      </c>
      <c r="AD258" s="121">
        <v>0</v>
      </c>
      <c r="AE258" s="121">
        <v>0</v>
      </c>
      <c r="AF258" s="121">
        <v>0</v>
      </c>
      <c r="AG258" s="121">
        <v>0</v>
      </c>
      <c r="AH258" s="121">
        <v>0</v>
      </c>
      <c r="AI258" s="121">
        <v>0</v>
      </c>
      <c r="AL258" s="14">
        <f t="shared" ref="AL258:AL321" si="24">SUM(J258:U258,W258:AI258)</f>
        <v>0</v>
      </c>
      <c r="AM258">
        <f t="shared" ref="AM258:AM321" si="25">AL258-IFERROR(AI258/1,0)</f>
        <v>0</v>
      </c>
      <c r="AN258">
        <f t="shared" ref="AN258:AN321" si="26">AM258-IFERROR(AH258/1,0)</f>
        <v>0</v>
      </c>
      <c r="AP258">
        <f>VLOOKUP($B258,Kraftvärmeprod!$B$1:$BX$549,MATCH(AP$1,Kraftvärmeprod!$B$1:$BX$1,0),FALSE)</f>
        <v>0</v>
      </c>
      <c r="AQ258">
        <f>VLOOKUP($B258,Kraftvärmeprod!$B$1:$BX$549,MATCH(AQ$1,Kraftvärmeprod!$B$1:$BX$1,0),FALSE)</f>
        <v>0</v>
      </c>
      <c r="AR258">
        <f>VLOOKUP($B258,Kraftvärmeprod!$B$1:$BX$549,MATCH("Summa tillförd energi exklusive rökgaskondensering",Kraftvärmeprod!$B$1:$BX$1,0),FALSE)</f>
        <v>0</v>
      </c>
      <c r="AT258" s="17" t="str">
        <f t="shared" ref="AT258:AT321" si="27">IF(AN258=0,"",AN258/AR258)</f>
        <v/>
      </c>
      <c r="AV258">
        <f t="shared" ref="AV258:AV321" si="28">Q258+R258+S258+T258+U258+P258+X258+Y258+Z258+AA258+AB258+AC258+W258</f>
        <v>0</v>
      </c>
      <c r="BA258" s="17" t="str">
        <f t="shared" ref="BA258:BA321" si="29">IFERROR(AP258/(AN258+AI258),"")</f>
        <v/>
      </c>
    </row>
    <row r="259" spans="1:53" x14ac:dyDescent="0.25">
      <c r="A259" s="137" t="s">
        <v>532</v>
      </c>
      <c r="B259" s="137" t="s">
        <v>550</v>
      </c>
      <c r="C259" s="121"/>
      <c r="D259" s="121"/>
      <c r="E259" s="121"/>
      <c r="F259" s="121"/>
      <c r="G259" s="121"/>
      <c r="H259" s="121"/>
      <c r="I259" s="121"/>
      <c r="J259" s="121">
        <v>0</v>
      </c>
      <c r="K259" s="121">
        <v>0</v>
      </c>
      <c r="L259" s="121">
        <v>0</v>
      </c>
      <c r="M259" s="121">
        <v>0</v>
      </c>
      <c r="N259" s="121">
        <v>0</v>
      </c>
      <c r="O259" s="121">
        <v>0</v>
      </c>
      <c r="P259" s="121">
        <v>0</v>
      </c>
      <c r="Q259" s="121">
        <v>0</v>
      </c>
      <c r="R259" s="121">
        <v>0</v>
      </c>
      <c r="S259" s="121">
        <v>0</v>
      </c>
      <c r="T259" s="121">
        <v>0</v>
      </c>
      <c r="U259" s="121">
        <v>0</v>
      </c>
      <c r="V259" s="121" t="s">
        <v>1119</v>
      </c>
      <c r="W259" s="121">
        <v>0</v>
      </c>
      <c r="X259" s="121">
        <v>0</v>
      </c>
      <c r="Y259" s="121">
        <v>0</v>
      </c>
      <c r="Z259" s="121">
        <v>0</v>
      </c>
      <c r="AA259" s="121">
        <v>0</v>
      </c>
      <c r="AB259" s="121">
        <v>0</v>
      </c>
      <c r="AC259" s="121">
        <v>0</v>
      </c>
      <c r="AD259" s="121">
        <v>0</v>
      </c>
      <c r="AE259" s="121">
        <v>0</v>
      </c>
      <c r="AF259" s="121">
        <v>0</v>
      </c>
      <c r="AG259" s="121">
        <v>0</v>
      </c>
      <c r="AH259" s="121">
        <v>0</v>
      </c>
      <c r="AI259" s="121">
        <v>0</v>
      </c>
      <c r="AL259" s="14">
        <f t="shared" si="24"/>
        <v>0</v>
      </c>
      <c r="AM259">
        <f t="shared" si="25"/>
        <v>0</v>
      </c>
      <c r="AN259">
        <f t="shared" si="26"/>
        <v>0</v>
      </c>
      <c r="AP259">
        <f>VLOOKUP($B259,Kraftvärmeprod!$B$1:$BX$549,MATCH(AP$1,Kraftvärmeprod!$B$1:$BX$1,0),FALSE)</f>
        <v>0</v>
      </c>
      <c r="AQ259">
        <f>VLOOKUP($B259,Kraftvärmeprod!$B$1:$BX$549,MATCH(AQ$1,Kraftvärmeprod!$B$1:$BX$1,0),FALSE)</f>
        <v>0</v>
      </c>
      <c r="AR259">
        <f>VLOOKUP($B259,Kraftvärmeprod!$B$1:$BX$549,MATCH("Summa tillförd energi exklusive rökgaskondensering",Kraftvärmeprod!$B$1:$BX$1,0),FALSE)</f>
        <v>0</v>
      </c>
      <c r="AT259" s="17" t="str">
        <f t="shared" si="27"/>
        <v/>
      </c>
      <c r="AV259">
        <f t="shared" si="28"/>
        <v>0</v>
      </c>
      <c r="BA259" s="17" t="str">
        <f t="shared" si="29"/>
        <v/>
      </c>
    </row>
    <row r="260" spans="1:53" x14ac:dyDescent="0.25">
      <c r="A260" s="137" t="s">
        <v>532</v>
      </c>
      <c r="B260" s="137" t="s">
        <v>551</v>
      </c>
      <c r="C260" s="121"/>
      <c r="D260" s="121"/>
      <c r="E260" s="121"/>
      <c r="F260" s="121"/>
      <c r="G260" s="121"/>
      <c r="H260" s="121"/>
      <c r="I260" s="121"/>
      <c r="J260" s="121">
        <v>0</v>
      </c>
      <c r="K260" s="121">
        <v>0</v>
      </c>
      <c r="L260" s="121">
        <v>0</v>
      </c>
      <c r="M260" s="121">
        <v>0</v>
      </c>
      <c r="N260" s="121">
        <v>0</v>
      </c>
      <c r="O260" s="121">
        <v>0</v>
      </c>
      <c r="P260" s="121">
        <v>0</v>
      </c>
      <c r="Q260" s="121">
        <v>0</v>
      </c>
      <c r="R260" s="121">
        <v>0</v>
      </c>
      <c r="S260" s="121">
        <v>0</v>
      </c>
      <c r="T260" s="121">
        <v>0</v>
      </c>
      <c r="U260" s="121">
        <v>0</v>
      </c>
      <c r="V260" s="121" t="s">
        <v>1119</v>
      </c>
      <c r="W260" s="121">
        <v>0</v>
      </c>
      <c r="X260" s="121">
        <v>0</v>
      </c>
      <c r="Y260" s="121">
        <v>0</v>
      </c>
      <c r="Z260" s="121">
        <v>0</v>
      </c>
      <c r="AA260" s="121">
        <v>0</v>
      </c>
      <c r="AB260" s="121">
        <v>0</v>
      </c>
      <c r="AC260" s="121">
        <v>0</v>
      </c>
      <c r="AD260" s="121">
        <v>0</v>
      </c>
      <c r="AE260" s="121">
        <v>0</v>
      </c>
      <c r="AF260" s="121">
        <v>0</v>
      </c>
      <c r="AG260" s="121">
        <v>0</v>
      </c>
      <c r="AH260" s="121">
        <v>0</v>
      </c>
      <c r="AI260" s="121">
        <v>0</v>
      </c>
      <c r="AL260" s="14">
        <f t="shared" si="24"/>
        <v>0</v>
      </c>
      <c r="AM260">
        <f t="shared" si="25"/>
        <v>0</v>
      </c>
      <c r="AN260">
        <f t="shared" si="26"/>
        <v>0</v>
      </c>
      <c r="AP260">
        <f>VLOOKUP($B260,Kraftvärmeprod!$B$1:$BX$549,MATCH(AP$1,Kraftvärmeprod!$B$1:$BX$1,0),FALSE)</f>
        <v>0</v>
      </c>
      <c r="AQ260">
        <f>VLOOKUP($B260,Kraftvärmeprod!$B$1:$BX$549,MATCH(AQ$1,Kraftvärmeprod!$B$1:$BX$1,0),FALSE)</f>
        <v>0</v>
      </c>
      <c r="AR260">
        <f>VLOOKUP($B260,Kraftvärmeprod!$B$1:$BX$549,MATCH("Summa tillförd energi exklusive rökgaskondensering",Kraftvärmeprod!$B$1:$BX$1,0),FALSE)</f>
        <v>0</v>
      </c>
      <c r="AT260" s="17" t="str">
        <f t="shared" si="27"/>
        <v/>
      </c>
      <c r="AV260">
        <f t="shared" si="28"/>
        <v>0</v>
      </c>
      <c r="BA260" s="17" t="str">
        <f t="shared" si="29"/>
        <v/>
      </c>
    </row>
    <row r="261" spans="1:53" x14ac:dyDescent="0.25">
      <c r="A261" s="137" t="s">
        <v>552</v>
      </c>
      <c r="B261" s="137" t="s">
        <v>553</v>
      </c>
      <c r="C261" s="121"/>
      <c r="D261" s="121"/>
      <c r="E261" s="121"/>
      <c r="F261" s="121"/>
      <c r="G261" s="121"/>
      <c r="H261" s="121"/>
      <c r="I261" s="121"/>
      <c r="J261" s="121">
        <v>0</v>
      </c>
      <c r="K261" s="121">
        <v>0</v>
      </c>
      <c r="L261" s="121">
        <v>0</v>
      </c>
      <c r="M261" s="121">
        <v>0</v>
      </c>
      <c r="N261" s="121">
        <v>0</v>
      </c>
      <c r="O261" s="121">
        <v>0</v>
      </c>
      <c r="P261" s="121">
        <v>0</v>
      </c>
      <c r="Q261" s="121">
        <v>0</v>
      </c>
      <c r="R261" s="121">
        <v>0</v>
      </c>
      <c r="S261" s="121">
        <v>0</v>
      </c>
      <c r="T261" s="121">
        <v>0</v>
      </c>
      <c r="U261" s="121">
        <v>0</v>
      </c>
      <c r="V261" s="121" t="s">
        <v>1119</v>
      </c>
      <c r="W261" s="121">
        <v>0</v>
      </c>
      <c r="X261" s="121">
        <v>0</v>
      </c>
      <c r="Y261" s="121">
        <v>0</v>
      </c>
      <c r="Z261" s="121">
        <v>0</v>
      </c>
      <c r="AA261" s="121">
        <v>0</v>
      </c>
      <c r="AB261" s="121">
        <v>0</v>
      </c>
      <c r="AC261" s="121">
        <v>0</v>
      </c>
      <c r="AD261" s="121">
        <v>0</v>
      </c>
      <c r="AE261" s="121">
        <v>0</v>
      </c>
      <c r="AF261" s="121">
        <v>0</v>
      </c>
      <c r="AG261" s="121">
        <v>0</v>
      </c>
      <c r="AH261" s="121">
        <v>0</v>
      </c>
      <c r="AI261" s="121">
        <v>0</v>
      </c>
      <c r="AL261" s="14">
        <f t="shared" si="24"/>
        <v>0</v>
      </c>
      <c r="AM261">
        <f t="shared" si="25"/>
        <v>0</v>
      </c>
      <c r="AN261">
        <f t="shared" si="26"/>
        <v>0</v>
      </c>
      <c r="AP261">
        <f>VLOOKUP($B261,Kraftvärmeprod!$B$1:$BX$549,MATCH(AP$1,Kraftvärmeprod!$B$1:$BX$1,0),FALSE)</f>
        <v>0</v>
      </c>
      <c r="AQ261">
        <f>VLOOKUP($B261,Kraftvärmeprod!$B$1:$BX$549,MATCH(AQ$1,Kraftvärmeprod!$B$1:$BX$1,0),FALSE)</f>
        <v>0</v>
      </c>
      <c r="AR261">
        <f>VLOOKUP($B261,Kraftvärmeprod!$B$1:$BX$549,MATCH("Summa tillförd energi exklusive rökgaskondensering",Kraftvärmeprod!$B$1:$BX$1,0),FALSE)</f>
        <v>0</v>
      </c>
      <c r="AT261" s="17" t="str">
        <f t="shared" si="27"/>
        <v/>
      </c>
      <c r="AV261">
        <f t="shared" si="28"/>
        <v>0</v>
      </c>
      <c r="BA261" s="17" t="str">
        <f t="shared" si="29"/>
        <v/>
      </c>
    </row>
    <row r="262" spans="1:53" x14ac:dyDescent="0.25">
      <c r="A262" s="137" t="s">
        <v>552</v>
      </c>
      <c r="B262" s="137" t="s">
        <v>554</v>
      </c>
      <c r="C262" s="121"/>
      <c r="D262" s="121"/>
      <c r="E262" s="121"/>
      <c r="F262" s="121"/>
      <c r="G262" s="121"/>
      <c r="H262" s="121"/>
      <c r="I262" s="121"/>
      <c r="J262" s="121">
        <v>0</v>
      </c>
      <c r="K262" s="121">
        <v>1.21414</v>
      </c>
      <c r="L262" s="121">
        <v>0</v>
      </c>
      <c r="M262" s="121">
        <v>0</v>
      </c>
      <c r="N262" s="121">
        <v>0</v>
      </c>
      <c r="O262" s="121">
        <v>0</v>
      </c>
      <c r="P262" s="121">
        <v>134.203</v>
      </c>
      <c r="Q262" s="121">
        <v>0</v>
      </c>
      <c r="R262" s="121">
        <v>0</v>
      </c>
      <c r="S262" s="121">
        <v>0</v>
      </c>
      <c r="T262" s="121">
        <v>0</v>
      </c>
      <c r="U262" s="121">
        <v>0</v>
      </c>
      <c r="V262" s="121" t="s">
        <v>1119</v>
      </c>
      <c r="W262" s="121">
        <v>0</v>
      </c>
      <c r="X262" s="121">
        <v>0</v>
      </c>
      <c r="Y262" s="121">
        <v>0</v>
      </c>
      <c r="Z262" s="121">
        <v>0</v>
      </c>
      <c r="AA262" s="121">
        <v>0</v>
      </c>
      <c r="AB262" s="121">
        <v>0</v>
      </c>
      <c r="AC262" s="121">
        <v>0</v>
      </c>
      <c r="AD262" s="121">
        <v>0</v>
      </c>
      <c r="AE262" s="121">
        <v>129.846</v>
      </c>
      <c r="AF262" s="121">
        <v>0</v>
      </c>
      <c r="AG262" s="121">
        <v>0</v>
      </c>
      <c r="AH262" s="121">
        <v>47.305</v>
      </c>
      <c r="AI262" s="121">
        <v>8.2390799999999995</v>
      </c>
      <c r="AL262" s="14">
        <f t="shared" si="24"/>
        <v>320.80722000000003</v>
      </c>
      <c r="AM262">
        <f t="shared" si="25"/>
        <v>312.56814000000003</v>
      </c>
      <c r="AN262">
        <f t="shared" si="26"/>
        <v>265.26314000000002</v>
      </c>
      <c r="AP262">
        <f>VLOOKUP($B262,Kraftvärmeprod!$B$1:$BX$549,MATCH(AP$1,Kraftvärmeprod!$B$1:$BX$1,0),FALSE)</f>
        <v>315.77999999999997</v>
      </c>
      <c r="AQ262">
        <f>VLOOKUP($B262,Kraftvärmeprod!$B$1:$BX$549,MATCH(AQ$1,Kraftvärmeprod!$B$1:$BX$1,0),FALSE)</f>
        <v>43.185000000000002</v>
      </c>
      <c r="AR262">
        <f>VLOOKUP($B262,Kraftvärmeprod!$B$1:$BX$549,MATCH("Summa tillförd energi exklusive rökgaskondensering",Kraftvärmeprod!$B$1:$BX$1,0),FALSE)</f>
        <v>370.25100000000003</v>
      </c>
      <c r="AT262" s="17">
        <f t="shared" si="27"/>
        <v>0.71644138705904914</v>
      </c>
      <c r="AV262">
        <f t="shared" si="28"/>
        <v>134.203</v>
      </c>
      <c r="BA262" s="17">
        <f t="shared" si="29"/>
        <v>1.1545792937256596</v>
      </c>
    </row>
    <row r="263" spans="1:53" x14ac:dyDescent="0.25">
      <c r="A263" s="137" t="s">
        <v>552</v>
      </c>
      <c r="B263" s="137" t="s">
        <v>555</v>
      </c>
      <c r="C263" s="121"/>
      <c r="D263" s="121"/>
      <c r="E263" s="121"/>
      <c r="F263" s="121"/>
      <c r="G263" s="121"/>
      <c r="H263" s="121"/>
      <c r="I263" s="121"/>
      <c r="J263" s="121">
        <v>0</v>
      </c>
      <c r="K263" s="121">
        <v>0</v>
      </c>
      <c r="L263" s="121">
        <v>0</v>
      </c>
      <c r="M263" s="121">
        <v>0</v>
      </c>
      <c r="N263" s="121">
        <v>0</v>
      </c>
      <c r="O263" s="121">
        <v>0</v>
      </c>
      <c r="P263" s="121">
        <v>0</v>
      </c>
      <c r="Q263" s="121">
        <v>0</v>
      </c>
      <c r="R263" s="121">
        <v>0</v>
      </c>
      <c r="S263" s="121">
        <v>0</v>
      </c>
      <c r="T263" s="121">
        <v>0</v>
      </c>
      <c r="U263" s="121">
        <v>0</v>
      </c>
      <c r="V263" s="121" t="s">
        <v>1119</v>
      </c>
      <c r="W263" s="121">
        <v>0</v>
      </c>
      <c r="X263" s="121">
        <v>0</v>
      </c>
      <c r="Y263" s="121">
        <v>0</v>
      </c>
      <c r="Z263" s="121">
        <v>0</v>
      </c>
      <c r="AA263" s="121">
        <v>0</v>
      </c>
      <c r="AB263" s="121">
        <v>0</v>
      </c>
      <c r="AC263" s="121">
        <v>0</v>
      </c>
      <c r="AD263" s="121">
        <v>0</v>
      </c>
      <c r="AE263" s="121">
        <v>0</v>
      </c>
      <c r="AF263" s="121">
        <v>0</v>
      </c>
      <c r="AG263" s="121">
        <v>0</v>
      </c>
      <c r="AH263" s="121">
        <v>0</v>
      </c>
      <c r="AI263" s="121">
        <v>0</v>
      </c>
      <c r="AL263" s="14">
        <f t="shared" si="24"/>
        <v>0</v>
      </c>
      <c r="AM263">
        <f t="shared" si="25"/>
        <v>0</v>
      </c>
      <c r="AN263">
        <f t="shared" si="26"/>
        <v>0</v>
      </c>
      <c r="AP263">
        <f>VLOOKUP($B263,Kraftvärmeprod!$B$1:$BX$549,MATCH(AP$1,Kraftvärmeprod!$B$1:$BX$1,0),FALSE)</f>
        <v>0</v>
      </c>
      <c r="AQ263">
        <f>VLOOKUP($B263,Kraftvärmeprod!$B$1:$BX$549,MATCH(AQ$1,Kraftvärmeprod!$B$1:$BX$1,0),FALSE)</f>
        <v>0</v>
      </c>
      <c r="AR263">
        <f>VLOOKUP($B263,Kraftvärmeprod!$B$1:$BX$549,MATCH("Summa tillförd energi exklusive rökgaskondensering",Kraftvärmeprod!$B$1:$BX$1,0),FALSE)</f>
        <v>0</v>
      </c>
      <c r="AT263" s="17" t="str">
        <f t="shared" si="27"/>
        <v/>
      </c>
      <c r="AV263">
        <f t="shared" si="28"/>
        <v>0</v>
      </c>
      <c r="BA263" s="17" t="str">
        <f t="shared" si="29"/>
        <v/>
      </c>
    </row>
    <row r="264" spans="1:53" x14ac:dyDescent="0.25">
      <c r="A264" s="137" t="s">
        <v>552</v>
      </c>
      <c r="B264" s="137" t="s">
        <v>556</v>
      </c>
      <c r="C264" s="121"/>
      <c r="D264" s="121"/>
      <c r="E264" s="121"/>
      <c r="F264" s="121"/>
      <c r="G264" s="121"/>
      <c r="H264" s="121"/>
      <c r="I264" s="121"/>
      <c r="J264" s="121">
        <v>0</v>
      </c>
      <c r="K264" s="121">
        <v>0</v>
      </c>
      <c r="L264" s="121">
        <v>0</v>
      </c>
      <c r="M264" s="121">
        <v>0</v>
      </c>
      <c r="N264" s="121">
        <v>0</v>
      </c>
      <c r="O264" s="121">
        <v>0</v>
      </c>
      <c r="P264" s="121">
        <v>0</v>
      </c>
      <c r="Q264" s="121">
        <v>0</v>
      </c>
      <c r="R264" s="121">
        <v>0</v>
      </c>
      <c r="S264" s="121">
        <v>0</v>
      </c>
      <c r="T264" s="121">
        <v>0</v>
      </c>
      <c r="U264" s="121">
        <v>0</v>
      </c>
      <c r="V264" s="121" t="s">
        <v>1119</v>
      </c>
      <c r="W264" s="121">
        <v>0</v>
      </c>
      <c r="X264" s="121">
        <v>0</v>
      </c>
      <c r="Y264" s="121">
        <v>0</v>
      </c>
      <c r="Z264" s="121">
        <v>0</v>
      </c>
      <c r="AA264" s="121">
        <v>0</v>
      </c>
      <c r="AB264" s="121">
        <v>0</v>
      </c>
      <c r="AC264" s="121">
        <v>0</v>
      </c>
      <c r="AD264" s="121">
        <v>0</v>
      </c>
      <c r="AE264" s="121">
        <v>0</v>
      </c>
      <c r="AF264" s="121">
        <v>0</v>
      </c>
      <c r="AG264" s="121">
        <v>0</v>
      </c>
      <c r="AH264" s="121">
        <v>0</v>
      </c>
      <c r="AI264" s="121">
        <v>0</v>
      </c>
      <c r="AL264" s="14">
        <f t="shared" si="24"/>
        <v>0</v>
      </c>
      <c r="AM264">
        <f t="shared" si="25"/>
        <v>0</v>
      </c>
      <c r="AN264">
        <f t="shared" si="26"/>
        <v>0</v>
      </c>
      <c r="AP264">
        <f>VLOOKUP($B264,Kraftvärmeprod!$B$1:$BX$549,MATCH(AP$1,Kraftvärmeprod!$B$1:$BX$1,0),FALSE)</f>
        <v>0</v>
      </c>
      <c r="AQ264">
        <f>VLOOKUP($B264,Kraftvärmeprod!$B$1:$BX$549,MATCH(AQ$1,Kraftvärmeprod!$B$1:$BX$1,0),FALSE)</f>
        <v>0</v>
      </c>
      <c r="AR264">
        <f>VLOOKUP($B264,Kraftvärmeprod!$B$1:$BX$549,MATCH("Summa tillförd energi exklusive rökgaskondensering",Kraftvärmeprod!$B$1:$BX$1,0),FALSE)</f>
        <v>0</v>
      </c>
      <c r="AT264" s="17" t="str">
        <f t="shared" si="27"/>
        <v/>
      </c>
      <c r="AV264">
        <f t="shared" si="28"/>
        <v>0</v>
      </c>
      <c r="BA264" s="17" t="str">
        <f t="shared" si="29"/>
        <v/>
      </c>
    </row>
    <row r="265" spans="1:53" x14ac:dyDescent="0.25">
      <c r="A265" s="137" t="s">
        <v>552</v>
      </c>
      <c r="B265" s="137" t="s">
        <v>557</v>
      </c>
      <c r="C265" s="121"/>
      <c r="D265" s="121"/>
      <c r="E265" s="121"/>
      <c r="F265" s="121"/>
      <c r="G265" s="121"/>
      <c r="H265" s="121"/>
      <c r="I265" s="121"/>
      <c r="J265" s="121">
        <v>0</v>
      </c>
      <c r="K265" s="121">
        <v>0</v>
      </c>
      <c r="L265" s="121">
        <v>0</v>
      </c>
      <c r="M265" s="121">
        <v>0</v>
      </c>
      <c r="N265" s="121">
        <v>0</v>
      </c>
      <c r="O265" s="121">
        <v>0</v>
      </c>
      <c r="P265" s="121">
        <v>0</v>
      </c>
      <c r="Q265" s="121">
        <v>0</v>
      </c>
      <c r="R265" s="121">
        <v>0</v>
      </c>
      <c r="S265" s="121">
        <v>0</v>
      </c>
      <c r="T265" s="121">
        <v>0</v>
      </c>
      <c r="U265" s="121">
        <v>0</v>
      </c>
      <c r="V265" s="121" t="s">
        <v>1119</v>
      </c>
      <c r="W265" s="121">
        <v>0</v>
      </c>
      <c r="X265" s="121">
        <v>0</v>
      </c>
      <c r="Y265" s="121">
        <v>0</v>
      </c>
      <c r="Z265" s="121">
        <v>0</v>
      </c>
      <c r="AA265" s="121">
        <v>0</v>
      </c>
      <c r="AB265" s="121">
        <v>0</v>
      </c>
      <c r="AC265" s="121">
        <v>0</v>
      </c>
      <c r="AD265" s="121">
        <v>0</v>
      </c>
      <c r="AE265" s="121">
        <v>0</v>
      </c>
      <c r="AF265" s="121">
        <v>0</v>
      </c>
      <c r="AG265" s="121">
        <v>0</v>
      </c>
      <c r="AH265" s="121">
        <v>0</v>
      </c>
      <c r="AI265" s="121">
        <v>0</v>
      </c>
      <c r="AL265" s="14">
        <f t="shared" si="24"/>
        <v>0</v>
      </c>
      <c r="AM265">
        <f t="shared" si="25"/>
        <v>0</v>
      </c>
      <c r="AN265">
        <f t="shared" si="26"/>
        <v>0</v>
      </c>
      <c r="AP265">
        <f>VLOOKUP($B265,Kraftvärmeprod!$B$1:$BX$549,MATCH(AP$1,Kraftvärmeprod!$B$1:$BX$1,0),FALSE)</f>
        <v>0</v>
      </c>
      <c r="AQ265">
        <f>VLOOKUP($B265,Kraftvärmeprod!$B$1:$BX$549,MATCH(AQ$1,Kraftvärmeprod!$B$1:$BX$1,0),FALSE)</f>
        <v>0</v>
      </c>
      <c r="AR265">
        <f>VLOOKUP($B265,Kraftvärmeprod!$B$1:$BX$549,MATCH("Summa tillförd energi exklusive rökgaskondensering",Kraftvärmeprod!$B$1:$BX$1,0),FALSE)</f>
        <v>0</v>
      </c>
      <c r="AT265" s="17" t="str">
        <f t="shared" si="27"/>
        <v/>
      </c>
      <c r="AV265">
        <f t="shared" si="28"/>
        <v>0</v>
      </c>
      <c r="BA265" s="17" t="str">
        <f t="shared" si="29"/>
        <v/>
      </c>
    </row>
    <row r="266" spans="1:53" x14ac:dyDescent="0.25">
      <c r="A266" s="137" t="s">
        <v>558</v>
      </c>
      <c r="B266" s="137" t="s">
        <v>559</v>
      </c>
      <c r="C266" s="121"/>
      <c r="D266" s="121"/>
      <c r="E266" s="121"/>
      <c r="F266" s="121"/>
      <c r="G266" s="121"/>
      <c r="H266" s="121"/>
      <c r="I266" s="121"/>
      <c r="J266" s="121">
        <v>0</v>
      </c>
      <c r="K266" s="121">
        <v>0</v>
      </c>
      <c r="L266" s="121">
        <v>0</v>
      </c>
      <c r="M266" s="121">
        <v>0</v>
      </c>
      <c r="N266" s="121">
        <v>0</v>
      </c>
      <c r="O266" s="121">
        <v>0</v>
      </c>
      <c r="P266" s="121">
        <v>0</v>
      </c>
      <c r="Q266" s="121">
        <v>0</v>
      </c>
      <c r="R266" s="121">
        <v>0</v>
      </c>
      <c r="S266" s="121">
        <v>0</v>
      </c>
      <c r="T266" s="121">
        <v>0</v>
      </c>
      <c r="U266" s="121">
        <v>0</v>
      </c>
      <c r="V266" s="121" t="s">
        <v>1119</v>
      </c>
      <c r="W266" s="121">
        <v>0</v>
      </c>
      <c r="X266" s="121">
        <v>0</v>
      </c>
      <c r="Y266" s="121">
        <v>0</v>
      </c>
      <c r="Z266" s="121">
        <v>0</v>
      </c>
      <c r="AA266" s="121">
        <v>0</v>
      </c>
      <c r="AB266" s="121">
        <v>0</v>
      </c>
      <c r="AC266" s="121">
        <v>0</v>
      </c>
      <c r="AD266" s="121">
        <v>0</v>
      </c>
      <c r="AE266" s="121">
        <v>0</v>
      </c>
      <c r="AF266" s="121">
        <v>0</v>
      </c>
      <c r="AG266" s="121">
        <v>0</v>
      </c>
      <c r="AH266" s="121">
        <v>0</v>
      </c>
      <c r="AI266" s="121">
        <v>0</v>
      </c>
      <c r="AL266" s="14">
        <f t="shared" si="24"/>
        <v>0</v>
      </c>
      <c r="AM266">
        <f t="shared" si="25"/>
        <v>0</v>
      </c>
      <c r="AN266">
        <f t="shared" si="26"/>
        <v>0</v>
      </c>
      <c r="AP266">
        <f>VLOOKUP($B266,Kraftvärmeprod!$B$1:$BX$549,MATCH(AP$1,Kraftvärmeprod!$B$1:$BX$1,0),FALSE)</f>
        <v>0</v>
      </c>
      <c r="AQ266">
        <f>VLOOKUP($B266,Kraftvärmeprod!$B$1:$BX$549,MATCH(AQ$1,Kraftvärmeprod!$B$1:$BX$1,0),FALSE)</f>
        <v>0</v>
      </c>
      <c r="AR266">
        <f>VLOOKUP($B266,Kraftvärmeprod!$B$1:$BX$549,MATCH("Summa tillförd energi exklusive rökgaskondensering",Kraftvärmeprod!$B$1:$BX$1,0),FALSE)</f>
        <v>0</v>
      </c>
      <c r="AT266" s="17" t="str">
        <f t="shared" si="27"/>
        <v/>
      </c>
      <c r="AV266">
        <f t="shared" si="28"/>
        <v>0</v>
      </c>
      <c r="BA266" s="17" t="str">
        <f t="shared" si="29"/>
        <v/>
      </c>
    </row>
    <row r="267" spans="1:53" x14ac:dyDescent="0.25">
      <c r="A267" s="137" t="s">
        <v>558</v>
      </c>
      <c r="B267" s="137" t="s">
        <v>560</v>
      </c>
      <c r="C267" s="121"/>
      <c r="D267" s="121"/>
      <c r="E267" s="121"/>
      <c r="F267" s="121"/>
      <c r="G267" s="121"/>
      <c r="H267" s="121"/>
      <c r="I267" s="121"/>
      <c r="J267" s="121">
        <v>0</v>
      </c>
      <c r="K267" s="121">
        <v>0</v>
      </c>
      <c r="L267" s="121">
        <v>0</v>
      </c>
      <c r="M267" s="121">
        <v>0</v>
      </c>
      <c r="N267" s="121">
        <v>0</v>
      </c>
      <c r="O267" s="121">
        <v>0</v>
      </c>
      <c r="P267" s="121">
        <v>0</v>
      </c>
      <c r="Q267" s="121">
        <v>0</v>
      </c>
      <c r="R267" s="121">
        <v>0</v>
      </c>
      <c r="S267" s="121">
        <v>0</v>
      </c>
      <c r="T267" s="121">
        <v>0</v>
      </c>
      <c r="U267" s="121">
        <v>0</v>
      </c>
      <c r="V267" s="121" t="s">
        <v>1119</v>
      </c>
      <c r="W267" s="121">
        <v>0</v>
      </c>
      <c r="X267" s="121">
        <v>0</v>
      </c>
      <c r="Y267" s="121">
        <v>0</v>
      </c>
      <c r="Z267" s="121">
        <v>0</v>
      </c>
      <c r="AA267" s="121">
        <v>0</v>
      </c>
      <c r="AB267" s="121">
        <v>0</v>
      </c>
      <c r="AC267" s="121">
        <v>0</v>
      </c>
      <c r="AD267" s="121">
        <v>0</v>
      </c>
      <c r="AE267" s="121">
        <v>0</v>
      </c>
      <c r="AF267" s="121">
        <v>0</v>
      </c>
      <c r="AG267" s="121">
        <v>0</v>
      </c>
      <c r="AH267" s="121">
        <v>0</v>
      </c>
      <c r="AI267" s="121">
        <v>0</v>
      </c>
      <c r="AL267" s="14">
        <f t="shared" si="24"/>
        <v>0</v>
      </c>
      <c r="AM267">
        <f t="shared" si="25"/>
        <v>0</v>
      </c>
      <c r="AN267">
        <f t="shared" si="26"/>
        <v>0</v>
      </c>
      <c r="AP267">
        <f>VLOOKUP($B267,Kraftvärmeprod!$B$1:$BX$549,MATCH(AP$1,Kraftvärmeprod!$B$1:$BX$1,0),FALSE)</f>
        <v>0</v>
      </c>
      <c r="AQ267">
        <f>VLOOKUP($B267,Kraftvärmeprod!$B$1:$BX$549,MATCH(AQ$1,Kraftvärmeprod!$B$1:$BX$1,0),FALSE)</f>
        <v>0</v>
      </c>
      <c r="AR267">
        <f>VLOOKUP($B267,Kraftvärmeprod!$B$1:$BX$549,MATCH("Summa tillförd energi exklusive rökgaskondensering",Kraftvärmeprod!$B$1:$BX$1,0),FALSE)</f>
        <v>0</v>
      </c>
      <c r="AT267" s="17" t="str">
        <f t="shared" si="27"/>
        <v/>
      </c>
      <c r="AV267">
        <f t="shared" si="28"/>
        <v>0</v>
      </c>
      <c r="BA267" s="17" t="str">
        <f t="shared" si="29"/>
        <v/>
      </c>
    </row>
    <row r="268" spans="1:53" x14ac:dyDescent="0.25">
      <c r="A268" s="137" t="s">
        <v>561</v>
      </c>
      <c r="B268" s="137" t="s">
        <v>562</v>
      </c>
      <c r="C268" s="121"/>
      <c r="D268" s="121"/>
      <c r="E268" s="121"/>
      <c r="F268" s="121"/>
      <c r="G268" s="121"/>
      <c r="H268" s="121"/>
      <c r="I268" s="121"/>
      <c r="J268" s="121">
        <v>0</v>
      </c>
      <c r="K268" s="121">
        <v>0</v>
      </c>
      <c r="L268" s="121">
        <v>0</v>
      </c>
      <c r="M268" s="121">
        <v>0</v>
      </c>
      <c r="N268" s="121">
        <v>0</v>
      </c>
      <c r="O268" s="121">
        <v>0</v>
      </c>
      <c r="P268" s="121">
        <v>0</v>
      </c>
      <c r="Q268" s="121">
        <v>0</v>
      </c>
      <c r="R268" s="121">
        <v>0</v>
      </c>
      <c r="S268" s="121">
        <v>0</v>
      </c>
      <c r="T268" s="121">
        <v>0</v>
      </c>
      <c r="U268" s="121">
        <v>0</v>
      </c>
      <c r="V268" s="121" t="s">
        <v>1119</v>
      </c>
      <c r="W268" s="121">
        <v>0</v>
      </c>
      <c r="X268" s="121">
        <v>0</v>
      </c>
      <c r="Y268" s="121">
        <v>0</v>
      </c>
      <c r="Z268" s="121">
        <v>0</v>
      </c>
      <c r="AA268" s="121">
        <v>0</v>
      </c>
      <c r="AB268" s="121">
        <v>0</v>
      </c>
      <c r="AC268" s="121">
        <v>0</v>
      </c>
      <c r="AD268" s="121">
        <v>0</v>
      </c>
      <c r="AE268" s="121">
        <v>0</v>
      </c>
      <c r="AF268" s="121">
        <v>0</v>
      </c>
      <c r="AG268" s="121">
        <v>0</v>
      </c>
      <c r="AH268" s="121">
        <v>0</v>
      </c>
      <c r="AI268" s="121">
        <v>0</v>
      </c>
      <c r="AL268" s="14">
        <f t="shared" si="24"/>
        <v>0</v>
      </c>
      <c r="AM268">
        <f t="shared" si="25"/>
        <v>0</v>
      </c>
      <c r="AN268">
        <f t="shared" si="26"/>
        <v>0</v>
      </c>
      <c r="AP268">
        <f>VLOOKUP($B268,Kraftvärmeprod!$B$1:$BX$549,MATCH(AP$1,Kraftvärmeprod!$B$1:$BX$1,0),FALSE)</f>
        <v>0</v>
      </c>
      <c r="AQ268">
        <f>VLOOKUP($B268,Kraftvärmeprod!$B$1:$BX$549,MATCH(AQ$1,Kraftvärmeprod!$B$1:$BX$1,0),FALSE)</f>
        <v>0</v>
      </c>
      <c r="AR268">
        <f>VLOOKUP($B268,Kraftvärmeprod!$B$1:$BX$549,MATCH("Summa tillförd energi exklusive rökgaskondensering",Kraftvärmeprod!$B$1:$BX$1,0),FALSE)</f>
        <v>0</v>
      </c>
      <c r="AT268" s="17" t="str">
        <f t="shared" si="27"/>
        <v/>
      </c>
      <c r="AV268">
        <f t="shared" si="28"/>
        <v>0</v>
      </c>
      <c r="BA268" s="17" t="str">
        <f t="shared" si="29"/>
        <v/>
      </c>
    </row>
    <row r="269" spans="1:53" x14ac:dyDescent="0.25">
      <c r="A269" s="137" t="s">
        <v>563</v>
      </c>
      <c r="B269" s="137" t="s">
        <v>564</v>
      </c>
      <c r="C269" s="121"/>
      <c r="D269" s="121"/>
      <c r="E269" s="121"/>
      <c r="F269" s="121"/>
      <c r="G269" s="121"/>
      <c r="H269" s="121"/>
      <c r="I269" s="121"/>
      <c r="J269" s="121">
        <v>0</v>
      </c>
      <c r="K269" s="121">
        <v>0</v>
      </c>
      <c r="L269" s="121">
        <v>0</v>
      </c>
      <c r="M269" s="121">
        <v>0</v>
      </c>
      <c r="N269" s="121">
        <v>0</v>
      </c>
      <c r="O269" s="121">
        <v>0</v>
      </c>
      <c r="P269" s="121">
        <v>0</v>
      </c>
      <c r="Q269" s="121">
        <v>0</v>
      </c>
      <c r="R269" s="121">
        <v>0</v>
      </c>
      <c r="S269" s="121">
        <v>0</v>
      </c>
      <c r="T269" s="121">
        <v>0</v>
      </c>
      <c r="U269" s="121">
        <v>0</v>
      </c>
      <c r="V269" s="121" t="s">
        <v>1119</v>
      </c>
      <c r="W269" s="121">
        <v>0</v>
      </c>
      <c r="X269" s="121">
        <v>0</v>
      </c>
      <c r="Y269" s="121">
        <v>0</v>
      </c>
      <c r="Z269" s="121">
        <v>0</v>
      </c>
      <c r="AA269" s="121">
        <v>0</v>
      </c>
      <c r="AB269" s="121">
        <v>0</v>
      </c>
      <c r="AC269" s="121">
        <v>0</v>
      </c>
      <c r="AD269" s="121">
        <v>0</v>
      </c>
      <c r="AE269" s="121">
        <v>0</v>
      </c>
      <c r="AF269" s="121">
        <v>0</v>
      </c>
      <c r="AG269" s="121">
        <v>0</v>
      </c>
      <c r="AH269" s="121">
        <v>0</v>
      </c>
      <c r="AI269" s="121">
        <v>0</v>
      </c>
      <c r="AL269" s="14">
        <f t="shared" si="24"/>
        <v>0</v>
      </c>
      <c r="AM269">
        <f t="shared" si="25"/>
        <v>0</v>
      </c>
      <c r="AN269">
        <f t="shared" si="26"/>
        <v>0</v>
      </c>
      <c r="AP269">
        <f>VLOOKUP($B269,Kraftvärmeprod!$B$1:$BX$549,MATCH(AP$1,Kraftvärmeprod!$B$1:$BX$1,0),FALSE)</f>
        <v>0</v>
      </c>
      <c r="AQ269">
        <f>VLOOKUP($B269,Kraftvärmeprod!$B$1:$BX$549,MATCH(AQ$1,Kraftvärmeprod!$B$1:$BX$1,0),FALSE)</f>
        <v>0</v>
      </c>
      <c r="AR269">
        <f>VLOOKUP($B269,Kraftvärmeprod!$B$1:$BX$549,MATCH("Summa tillförd energi exklusive rökgaskondensering",Kraftvärmeprod!$B$1:$BX$1,0),FALSE)</f>
        <v>0</v>
      </c>
      <c r="AT269" s="17" t="str">
        <f t="shared" si="27"/>
        <v/>
      </c>
      <c r="AV269">
        <f t="shared" si="28"/>
        <v>0</v>
      </c>
      <c r="BA269" s="17" t="str">
        <f t="shared" si="29"/>
        <v/>
      </c>
    </row>
    <row r="270" spans="1:53" x14ac:dyDescent="0.25">
      <c r="A270" s="137" t="s">
        <v>565</v>
      </c>
      <c r="B270" s="137" t="s">
        <v>566</v>
      </c>
      <c r="C270" s="121"/>
      <c r="D270" s="121"/>
      <c r="E270" s="121"/>
      <c r="F270" s="121"/>
      <c r="G270" s="121"/>
      <c r="H270" s="121"/>
      <c r="I270" s="121"/>
      <c r="J270" s="121">
        <v>0</v>
      </c>
      <c r="K270" s="121">
        <v>0</v>
      </c>
      <c r="L270" s="121">
        <v>0</v>
      </c>
      <c r="M270" s="121">
        <v>0</v>
      </c>
      <c r="N270" s="121">
        <v>0</v>
      </c>
      <c r="O270" s="121">
        <v>0</v>
      </c>
      <c r="P270" s="121">
        <v>0</v>
      </c>
      <c r="Q270" s="121">
        <v>0</v>
      </c>
      <c r="R270" s="121">
        <v>0</v>
      </c>
      <c r="S270" s="121">
        <v>0</v>
      </c>
      <c r="T270" s="121">
        <v>0</v>
      </c>
      <c r="U270" s="121">
        <v>0</v>
      </c>
      <c r="V270" s="121" t="s">
        <v>1119</v>
      </c>
      <c r="W270" s="121">
        <v>0</v>
      </c>
      <c r="X270" s="121">
        <v>0</v>
      </c>
      <c r="Y270" s="121">
        <v>0</v>
      </c>
      <c r="Z270" s="121">
        <v>0</v>
      </c>
      <c r="AA270" s="121">
        <v>0</v>
      </c>
      <c r="AB270" s="121">
        <v>0</v>
      </c>
      <c r="AC270" s="121">
        <v>0</v>
      </c>
      <c r="AD270" s="121">
        <v>0</v>
      </c>
      <c r="AE270" s="121">
        <v>0</v>
      </c>
      <c r="AF270" s="121">
        <v>0</v>
      </c>
      <c r="AG270" s="121">
        <v>0</v>
      </c>
      <c r="AH270" s="121">
        <v>0</v>
      </c>
      <c r="AI270" s="121">
        <v>0</v>
      </c>
      <c r="AL270" s="14">
        <f t="shared" si="24"/>
        <v>0</v>
      </c>
      <c r="AM270">
        <f t="shared" si="25"/>
        <v>0</v>
      </c>
      <c r="AN270">
        <f t="shared" si="26"/>
        <v>0</v>
      </c>
      <c r="AP270">
        <f>VLOOKUP($B270,Kraftvärmeprod!$B$1:$BX$549,MATCH(AP$1,Kraftvärmeprod!$B$1:$BX$1,0),FALSE)</f>
        <v>0</v>
      </c>
      <c r="AQ270">
        <f>VLOOKUP($B270,Kraftvärmeprod!$B$1:$BX$549,MATCH(AQ$1,Kraftvärmeprod!$B$1:$BX$1,0),FALSE)</f>
        <v>0</v>
      </c>
      <c r="AR270">
        <f>VLOOKUP($B270,Kraftvärmeprod!$B$1:$BX$549,MATCH("Summa tillförd energi exklusive rökgaskondensering",Kraftvärmeprod!$B$1:$BX$1,0),FALSE)</f>
        <v>0</v>
      </c>
      <c r="AT270" s="17" t="str">
        <f t="shared" si="27"/>
        <v/>
      </c>
      <c r="AV270">
        <f t="shared" si="28"/>
        <v>0</v>
      </c>
      <c r="BA270" s="17" t="str">
        <f t="shared" si="29"/>
        <v/>
      </c>
    </row>
    <row r="271" spans="1:53" x14ac:dyDescent="0.25">
      <c r="A271" s="137" t="s">
        <v>565</v>
      </c>
      <c r="B271" s="137" t="s">
        <v>567</v>
      </c>
      <c r="C271" s="121"/>
      <c r="D271" s="121"/>
      <c r="E271" s="121"/>
      <c r="F271" s="121"/>
      <c r="G271" s="121"/>
      <c r="H271" s="121"/>
      <c r="I271" s="121"/>
      <c r="J271" s="121">
        <v>0</v>
      </c>
      <c r="K271" s="121">
        <v>0</v>
      </c>
      <c r="L271" s="121">
        <v>0</v>
      </c>
      <c r="M271" s="121">
        <v>0</v>
      </c>
      <c r="N271" s="121">
        <v>0</v>
      </c>
      <c r="O271" s="121">
        <v>0</v>
      </c>
      <c r="P271" s="121">
        <v>0</v>
      </c>
      <c r="Q271" s="121">
        <v>0</v>
      </c>
      <c r="R271" s="121">
        <v>0</v>
      </c>
      <c r="S271" s="121">
        <v>0</v>
      </c>
      <c r="T271" s="121">
        <v>0</v>
      </c>
      <c r="U271" s="121">
        <v>0</v>
      </c>
      <c r="V271" s="121" t="s">
        <v>1119</v>
      </c>
      <c r="W271" s="121">
        <v>0</v>
      </c>
      <c r="X271" s="121">
        <v>0</v>
      </c>
      <c r="Y271" s="121">
        <v>0</v>
      </c>
      <c r="Z271" s="121">
        <v>0</v>
      </c>
      <c r="AA271" s="121">
        <v>0</v>
      </c>
      <c r="AB271" s="121">
        <v>0</v>
      </c>
      <c r="AC271" s="121">
        <v>0</v>
      </c>
      <c r="AD271" s="121">
        <v>0</v>
      </c>
      <c r="AE271" s="121">
        <v>0</v>
      </c>
      <c r="AF271" s="121">
        <v>0</v>
      </c>
      <c r="AG271" s="121">
        <v>0</v>
      </c>
      <c r="AH271" s="121">
        <v>0</v>
      </c>
      <c r="AI271" s="121">
        <v>0</v>
      </c>
      <c r="AL271" s="14">
        <f t="shared" si="24"/>
        <v>0</v>
      </c>
      <c r="AM271">
        <f t="shared" si="25"/>
        <v>0</v>
      </c>
      <c r="AN271">
        <f t="shared" si="26"/>
        <v>0</v>
      </c>
      <c r="AP271">
        <f>VLOOKUP($B271,Kraftvärmeprod!$B$1:$BX$549,MATCH(AP$1,Kraftvärmeprod!$B$1:$BX$1,0),FALSE)</f>
        <v>0</v>
      </c>
      <c r="AQ271">
        <f>VLOOKUP($B271,Kraftvärmeprod!$B$1:$BX$549,MATCH(AQ$1,Kraftvärmeprod!$B$1:$BX$1,0),FALSE)</f>
        <v>0</v>
      </c>
      <c r="AR271">
        <f>VLOOKUP($B271,Kraftvärmeprod!$B$1:$BX$549,MATCH("Summa tillförd energi exklusive rökgaskondensering",Kraftvärmeprod!$B$1:$BX$1,0),FALSE)</f>
        <v>0</v>
      </c>
      <c r="AT271" s="17" t="str">
        <f t="shared" si="27"/>
        <v/>
      </c>
      <c r="AV271">
        <f t="shared" si="28"/>
        <v>0</v>
      </c>
      <c r="BA271" s="17" t="str">
        <f t="shared" si="29"/>
        <v/>
      </c>
    </row>
    <row r="272" spans="1:53" x14ac:dyDescent="0.25">
      <c r="A272" s="137" t="s">
        <v>565</v>
      </c>
      <c r="B272" s="137" t="s">
        <v>568</v>
      </c>
      <c r="C272" s="121"/>
      <c r="D272" s="121"/>
      <c r="E272" s="121"/>
      <c r="F272" s="121"/>
      <c r="G272" s="121"/>
      <c r="H272" s="121"/>
      <c r="I272" s="121"/>
      <c r="J272" s="121">
        <v>0</v>
      </c>
      <c r="K272" s="121">
        <v>0</v>
      </c>
      <c r="L272" s="121">
        <v>0</v>
      </c>
      <c r="M272" s="121">
        <v>0</v>
      </c>
      <c r="N272" s="121">
        <v>0</v>
      </c>
      <c r="O272" s="121">
        <v>0</v>
      </c>
      <c r="P272" s="121">
        <v>0</v>
      </c>
      <c r="Q272" s="121">
        <v>0</v>
      </c>
      <c r="R272" s="121">
        <v>0</v>
      </c>
      <c r="S272" s="121">
        <v>0</v>
      </c>
      <c r="T272" s="121">
        <v>0</v>
      </c>
      <c r="U272" s="121">
        <v>0</v>
      </c>
      <c r="V272" s="121" t="s">
        <v>1119</v>
      </c>
      <c r="W272" s="121">
        <v>0</v>
      </c>
      <c r="X272" s="121">
        <v>0</v>
      </c>
      <c r="Y272" s="121">
        <v>0</v>
      </c>
      <c r="Z272" s="121">
        <v>0</v>
      </c>
      <c r="AA272" s="121">
        <v>0</v>
      </c>
      <c r="AB272" s="121">
        <v>0</v>
      </c>
      <c r="AC272" s="121">
        <v>0</v>
      </c>
      <c r="AD272" s="121">
        <v>0</v>
      </c>
      <c r="AE272" s="121">
        <v>0</v>
      </c>
      <c r="AF272" s="121">
        <v>0</v>
      </c>
      <c r="AG272" s="121">
        <v>0</v>
      </c>
      <c r="AH272" s="121">
        <v>0</v>
      </c>
      <c r="AI272" s="121">
        <v>0</v>
      </c>
      <c r="AL272" s="14">
        <f t="shared" si="24"/>
        <v>0</v>
      </c>
      <c r="AM272">
        <f t="shared" si="25"/>
        <v>0</v>
      </c>
      <c r="AN272">
        <f t="shared" si="26"/>
        <v>0</v>
      </c>
      <c r="AP272">
        <f>VLOOKUP($B272,Kraftvärmeprod!$B$1:$BX$549,MATCH(AP$1,Kraftvärmeprod!$B$1:$BX$1,0),FALSE)</f>
        <v>0</v>
      </c>
      <c r="AQ272">
        <f>VLOOKUP($B272,Kraftvärmeprod!$B$1:$BX$549,MATCH(AQ$1,Kraftvärmeprod!$B$1:$BX$1,0),FALSE)</f>
        <v>0</v>
      </c>
      <c r="AR272">
        <f>VLOOKUP($B272,Kraftvärmeprod!$B$1:$BX$549,MATCH("Summa tillförd energi exklusive rökgaskondensering",Kraftvärmeprod!$B$1:$BX$1,0),FALSE)</f>
        <v>0</v>
      </c>
      <c r="AT272" s="17" t="str">
        <f t="shared" si="27"/>
        <v/>
      </c>
      <c r="AV272">
        <f t="shared" si="28"/>
        <v>0</v>
      </c>
      <c r="BA272" s="17" t="str">
        <f t="shared" si="29"/>
        <v/>
      </c>
    </row>
    <row r="273" spans="1:53" x14ac:dyDescent="0.25">
      <c r="A273" s="137" t="s">
        <v>565</v>
      </c>
      <c r="B273" s="137" t="s">
        <v>569</v>
      </c>
      <c r="C273" s="121"/>
      <c r="D273" s="121"/>
      <c r="E273" s="121"/>
      <c r="F273" s="121"/>
      <c r="G273" s="121"/>
      <c r="H273" s="121"/>
      <c r="I273" s="121"/>
      <c r="J273" s="121">
        <v>0</v>
      </c>
      <c r="K273" s="121">
        <v>0</v>
      </c>
      <c r="L273" s="121">
        <v>0</v>
      </c>
      <c r="M273" s="121">
        <v>0</v>
      </c>
      <c r="N273" s="121">
        <v>0</v>
      </c>
      <c r="O273" s="121">
        <v>0</v>
      </c>
      <c r="P273" s="121">
        <v>0</v>
      </c>
      <c r="Q273" s="121">
        <v>0</v>
      </c>
      <c r="R273" s="121">
        <v>0</v>
      </c>
      <c r="S273" s="121">
        <v>0</v>
      </c>
      <c r="T273" s="121">
        <v>0</v>
      </c>
      <c r="U273" s="121">
        <v>0</v>
      </c>
      <c r="V273" s="121" t="s">
        <v>1119</v>
      </c>
      <c r="W273" s="121">
        <v>0</v>
      </c>
      <c r="X273" s="121">
        <v>0</v>
      </c>
      <c r="Y273" s="121">
        <v>0</v>
      </c>
      <c r="Z273" s="121">
        <v>0</v>
      </c>
      <c r="AA273" s="121">
        <v>0</v>
      </c>
      <c r="AB273" s="121">
        <v>0</v>
      </c>
      <c r="AC273" s="121">
        <v>0</v>
      </c>
      <c r="AD273" s="121">
        <v>0</v>
      </c>
      <c r="AE273" s="121">
        <v>0</v>
      </c>
      <c r="AF273" s="121">
        <v>0</v>
      </c>
      <c r="AG273" s="121">
        <v>0</v>
      </c>
      <c r="AH273" s="121">
        <v>0</v>
      </c>
      <c r="AI273" s="121">
        <v>0</v>
      </c>
      <c r="AL273" s="14">
        <f t="shared" si="24"/>
        <v>0</v>
      </c>
      <c r="AM273">
        <f t="shared" si="25"/>
        <v>0</v>
      </c>
      <c r="AN273">
        <f t="shared" si="26"/>
        <v>0</v>
      </c>
      <c r="AP273">
        <f>VLOOKUP($B273,Kraftvärmeprod!$B$1:$BX$549,MATCH(AP$1,Kraftvärmeprod!$B$1:$BX$1,0),FALSE)</f>
        <v>0</v>
      </c>
      <c r="AQ273">
        <f>VLOOKUP($B273,Kraftvärmeprod!$B$1:$BX$549,MATCH(AQ$1,Kraftvärmeprod!$B$1:$BX$1,0),FALSE)</f>
        <v>0</v>
      </c>
      <c r="AR273">
        <f>VLOOKUP($B273,Kraftvärmeprod!$B$1:$BX$549,MATCH("Summa tillförd energi exklusive rökgaskondensering",Kraftvärmeprod!$B$1:$BX$1,0),FALSE)</f>
        <v>0</v>
      </c>
      <c r="AT273" s="17" t="str">
        <f t="shared" si="27"/>
        <v/>
      </c>
      <c r="AV273">
        <f t="shared" si="28"/>
        <v>0</v>
      </c>
      <c r="BA273" s="17" t="str">
        <f t="shared" si="29"/>
        <v/>
      </c>
    </row>
    <row r="274" spans="1:53" x14ac:dyDescent="0.25">
      <c r="A274" s="137" t="s">
        <v>570</v>
      </c>
      <c r="B274" s="137" t="s">
        <v>571</v>
      </c>
      <c r="C274" s="121"/>
      <c r="D274" s="121"/>
      <c r="E274" s="121"/>
      <c r="F274" s="121"/>
      <c r="G274" s="121"/>
      <c r="H274" s="121"/>
      <c r="I274" s="121"/>
      <c r="J274" s="121">
        <v>0</v>
      </c>
      <c r="K274" s="121">
        <v>0</v>
      </c>
      <c r="L274" s="121">
        <v>0</v>
      </c>
      <c r="M274" s="121">
        <v>0</v>
      </c>
      <c r="N274" s="121">
        <v>0</v>
      </c>
      <c r="O274" s="121">
        <v>0</v>
      </c>
      <c r="P274" s="121">
        <v>0</v>
      </c>
      <c r="Q274" s="121">
        <v>0</v>
      </c>
      <c r="R274" s="121">
        <v>0</v>
      </c>
      <c r="S274" s="121">
        <v>0</v>
      </c>
      <c r="T274" s="121">
        <v>0</v>
      </c>
      <c r="U274" s="121">
        <v>0</v>
      </c>
      <c r="V274" s="121" t="s">
        <v>1119</v>
      </c>
      <c r="W274" s="121">
        <v>0</v>
      </c>
      <c r="X274" s="121">
        <v>0</v>
      </c>
      <c r="Y274" s="121">
        <v>0</v>
      </c>
      <c r="Z274" s="121">
        <v>0</v>
      </c>
      <c r="AA274" s="121">
        <v>0</v>
      </c>
      <c r="AB274" s="121">
        <v>0</v>
      </c>
      <c r="AC274" s="121">
        <v>0</v>
      </c>
      <c r="AD274" s="121">
        <v>0</v>
      </c>
      <c r="AE274" s="121">
        <v>0</v>
      </c>
      <c r="AF274" s="121">
        <v>0</v>
      </c>
      <c r="AG274" s="121">
        <v>0</v>
      </c>
      <c r="AH274" s="121">
        <v>0</v>
      </c>
      <c r="AI274" s="121">
        <v>0</v>
      </c>
      <c r="AL274" s="14">
        <f t="shared" si="24"/>
        <v>0</v>
      </c>
      <c r="AM274">
        <f t="shared" si="25"/>
        <v>0</v>
      </c>
      <c r="AN274">
        <f t="shared" si="26"/>
        <v>0</v>
      </c>
      <c r="AP274">
        <f>VLOOKUP($B274,Kraftvärmeprod!$B$1:$BX$549,MATCH(AP$1,Kraftvärmeprod!$B$1:$BX$1,0),FALSE)</f>
        <v>0</v>
      </c>
      <c r="AQ274">
        <f>VLOOKUP($B274,Kraftvärmeprod!$B$1:$BX$549,MATCH(AQ$1,Kraftvärmeprod!$B$1:$BX$1,0),FALSE)</f>
        <v>0</v>
      </c>
      <c r="AR274">
        <f>VLOOKUP($B274,Kraftvärmeprod!$B$1:$BX$549,MATCH("Summa tillförd energi exklusive rökgaskondensering",Kraftvärmeprod!$B$1:$BX$1,0),FALSE)</f>
        <v>0</v>
      </c>
      <c r="AT274" s="17" t="str">
        <f t="shared" si="27"/>
        <v/>
      </c>
      <c r="AV274">
        <f t="shared" si="28"/>
        <v>0</v>
      </c>
      <c r="BA274" s="17" t="str">
        <f t="shared" si="29"/>
        <v/>
      </c>
    </row>
    <row r="275" spans="1:53" x14ac:dyDescent="0.25">
      <c r="A275" s="137" t="s">
        <v>570</v>
      </c>
      <c r="B275" s="137" t="s">
        <v>572</v>
      </c>
      <c r="C275" s="121"/>
      <c r="D275" s="121"/>
      <c r="E275" s="121"/>
      <c r="F275" s="121"/>
      <c r="G275" s="121"/>
      <c r="H275" s="121"/>
      <c r="I275" s="121"/>
      <c r="J275" s="121">
        <v>0</v>
      </c>
      <c r="K275" s="121">
        <v>0</v>
      </c>
      <c r="L275" s="121">
        <v>0</v>
      </c>
      <c r="M275" s="121">
        <v>0</v>
      </c>
      <c r="N275" s="121">
        <v>0</v>
      </c>
      <c r="O275" s="121">
        <v>0</v>
      </c>
      <c r="P275" s="121">
        <v>0</v>
      </c>
      <c r="Q275" s="121">
        <v>0</v>
      </c>
      <c r="R275" s="121">
        <v>0</v>
      </c>
      <c r="S275" s="121">
        <v>0</v>
      </c>
      <c r="T275" s="121">
        <v>0</v>
      </c>
      <c r="U275" s="121">
        <v>0</v>
      </c>
      <c r="V275" s="121" t="s">
        <v>1119</v>
      </c>
      <c r="W275" s="121">
        <v>0</v>
      </c>
      <c r="X275" s="121">
        <v>0</v>
      </c>
      <c r="Y275" s="121">
        <v>0</v>
      </c>
      <c r="Z275" s="121">
        <v>0</v>
      </c>
      <c r="AA275" s="121">
        <v>0</v>
      </c>
      <c r="AB275" s="121">
        <v>0</v>
      </c>
      <c r="AC275" s="121">
        <v>0</v>
      </c>
      <c r="AD275" s="121">
        <v>0</v>
      </c>
      <c r="AE275" s="121">
        <v>0</v>
      </c>
      <c r="AF275" s="121">
        <v>0</v>
      </c>
      <c r="AG275" s="121">
        <v>0</v>
      </c>
      <c r="AH275" s="121">
        <v>0</v>
      </c>
      <c r="AI275" s="121">
        <v>0</v>
      </c>
      <c r="AL275" s="14">
        <f t="shared" si="24"/>
        <v>0</v>
      </c>
      <c r="AM275">
        <f t="shared" si="25"/>
        <v>0</v>
      </c>
      <c r="AN275">
        <f t="shared" si="26"/>
        <v>0</v>
      </c>
      <c r="AP275">
        <f>VLOOKUP($B275,Kraftvärmeprod!$B$1:$BX$549,MATCH(AP$1,Kraftvärmeprod!$B$1:$BX$1,0),FALSE)</f>
        <v>0</v>
      </c>
      <c r="AQ275">
        <f>VLOOKUP($B275,Kraftvärmeprod!$B$1:$BX$549,MATCH(AQ$1,Kraftvärmeprod!$B$1:$BX$1,0),FALSE)</f>
        <v>0</v>
      </c>
      <c r="AR275">
        <f>VLOOKUP($B275,Kraftvärmeprod!$B$1:$BX$549,MATCH("Summa tillförd energi exklusive rökgaskondensering",Kraftvärmeprod!$B$1:$BX$1,0),FALSE)</f>
        <v>0</v>
      </c>
      <c r="AT275" s="17" t="str">
        <f t="shared" si="27"/>
        <v/>
      </c>
      <c r="AV275">
        <f t="shared" si="28"/>
        <v>0</v>
      </c>
      <c r="BA275" s="17" t="str">
        <f t="shared" si="29"/>
        <v/>
      </c>
    </row>
    <row r="276" spans="1:53" x14ac:dyDescent="0.25">
      <c r="A276" s="137" t="s">
        <v>573</v>
      </c>
      <c r="B276" s="137" t="s">
        <v>574</v>
      </c>
      <c r="C276" s="121"/>
      <c r="D276" s="121"/>
      <c r="E276" s="121"/>
      <c r="F276" s="121"/>
      <c r="G276" s="121"/>
      <c r="H276" s="121"/>
      <c r="I276" s="121"/>
      <c r="J276" s="121">
        <v>0</v>
      </c>
      <c r="K276" s="121">
        <v>0</v>
      </c>
      <c r="L276" s="121">
        <v>0</v>
      </c>
      <c r="M276" s="121">
        <v>0</v>
      </c>
      <c r="N276" s="121">
        <v>0</v>
      </c>
      <c r="O276" s="121">
        <v>0</v>
      </c>
      <c r="P276" s="121">
        <v>0</v>
      </c>
      <c r="Q276" s="121">
        <v>0</v>
      </c>
      <c r="R276" s="121">
        <v>0</v>
      </c>
      <c r="S276" s="121">
        <v>0</v>
      </c>
      <c r="T276" s="121">
        <v>0</v>
      </c>
      <c r="U276" s="121">
        <v>0</v>
      </c>
      <c r="V276" s="121" t="s">
        <v>1119</v>
      </c>
      <c r="W276" s="121">
        <v>0</v>
      </c>
      <c r="X276" s="121">
        <v>0</v>
      </c>
      <c r="Y276" s="121">
        <v>0</v>
      </c>
      <c r="Z276" s="121">
        <v>0</v>
      </c>
      <c r="AA276" s="121">
        <v>0</v>
      </c>
      <c r="AB276" s="121">
        <v>0</v>
      </c>
      <c r="AC276" s="121">
        <v>0</v>
      </c>
      <c r="AD276" s="121">
        <v>0</v>
      </c>
      <c r="AE276" s="121">
        <v>0</v>
      </c>
      <c r="AF276" s="121">
        <v>0</v>
      </c>
      <c r="AG276" s="121">
        <v>0</v>
      </c>
      <c r="AH276" s="121">
        <v>0</v>
      </c>
      <c r="AI276" s="121">
        <v>0</v>
      </c>
      <c r="AL276" s="14">
        <f t="shared" si="24"/>
        <v>0</v>
      </c>
      <c r="AM276">
        <f t="shared" si="25"/>
        <v>0</v>
      </c>
      <c r="AN276">
        <f t="shared" si="26"/>
        <v>0</v>
      </c>
      <c r="AP276">
        <f>VLOOKUP($B276,Kraftvärmeprod!$B$1:$BX$549,MATCH(AP$1,Kraftvärmeprod!$B$1:$BX$1,0),FALSE)</f>
        <v>0</v>
      </c>
      <c r="AQ276">
        <f>VLOOKUP($B276,Kraftvärmeprod!$B$1:$BX$549,MATCH(AQ$1,Kraftvärmeprod!$B$1:$BX$1,0),FALSE)</f>
        <v>0</v>
      </c>
      <c r="AR276">
        <f>VLOOKUP($B276,Kraftvärmeprod!$B$1:$BX$549,MATCH("Summa tillförd energi exklusive rökgaskondensering",Kraftvärmeprod!$B$1:$BX$1,0),FALSE)</f>
        <v>0</v>
      </c>
      <c r="AT276" s="17" t="str">
        <f t="shared" si="27"/>
        <v/>
      </c>
      <c r="AV276">
        <f t="shared" si="28"/>
        <v>0</v>
      </c>
      <c r="BA276" s="17" t="str">
        <f t="shared" si="29"/>
        <v/>
      </c>
    </row>
    <row r="277" spans="1:53" x14ac:dyDescent="0.25">
      <c r="A277" s="137" t="s">
        <v>573</v>
      </c>
      <c r="B277" s="137" t="s">
        <v>575</v>
      </c>
      <c r="C277" s="121"/>
      <c r="D277" s="121"/>
      <c r="E277" s="121"/>
      <c r="F277" s="121"/>
      <c r="G277" s="121"/>
      <c r="H277" s="121"/>
      <c r="I277" s="121"/>
      <c r="J277" s="121">
        <v>0</v>
      </c>
      <c r="K277" s="121">
        <v>0</v>
      </c>
      <c r="L277" s="121">
        <v>0</v>
      </c>
      <c r="M277" s="121">
        <v>0</v>
      </c>
      <c r="N277" s="121">
        <v>0</v>
      </c>
      <c r="O277" s="121">
        <v>0</v>
      </c>
      <c r="P277" s="121">
        <v>0</v>
      </c>
      <c r="Q277" s="121">
        <v>0</v>
      </c>
      <c r="R277" s="121">
        <v>0</v>
      </c>
      <c r="S277" s="121">
        <v>0</v>
      </c>
      <c r="T277" s="121">
        <v>0</v>
      </c>
      <c r="U277" s="121">
        <v>0</v>
      </c>
      <c r="V277" s="121" t="s">
        <v>1119</v>
      </c>
      <c r="W277" s="121">
        <v>0</v>
      </c>
      <c r="X277" s="121">
        <v>0</v>
      </c>
      <c r="Y277" s="121">
        <v>0</v>
      </c>
      <c r="Z277" s="121">
        <v>0</v>
      </c>
      <c r="AA277" s="121">
        <v>0</v>
      </c>
      <c r="AB277" s="121">
        <v>0</v>
      </c>
      <c r="AC277" s="121">
        <v>0</v>
      </c>
      <c r="AD277" s="121">
        <v>0</v>
      </c>
      <c r="AE277" s="121">
        <v>0</v>
      </c>
      <c r="AF277" s="121">
        <v>0</v>
      </c>
      <c r="AG277" s="121">
        <v>0</v>
      </c>
      <c r="AH277" s="121">
        <v>0</v>
      </c>
      <c r="AI277" s="121">
        <v>0</v>
      </c>
      <c r="AL277" s="14">
        <f t="shared" si="24"/>
        <v>0</v>
      </c>
      <c r="AM277">
        <f t="shared" si="25"/>
        <v>0</v>
      </c>
      <c r="AN277">
        <f t="shared" si="26"/>
        <v>0</v>
      </c>
      <c r="AP277">
        <f>VLOOKUP($B277,Kraftvärmeprod!$B$1:$BX$549,MATCH(AP$1,Kraftvärmeprod!$B$1:$BX$1,0),FALSE)</f>
        <v>0</v>
      </c>
      <c r="AQ277">
        <f>VLOOKUP($B277,Kraftvärmeprod!$B$1:$BX$549,MATCH(AQ$1,Kraftvärmeprod!$B$1:$BX$1,0),FALSE)</f>
        <v>0</v>
      </c>
      <c r="AR277">
        <f>VLOOKUP($B277,Kraftvärmeprod!$B$1:$BX$549,MATCH("Summa tillförd energi exklusive rökgaskondensering",Kraftvärmeprod!$B$1:$BX$1,0),FALSE)</f>
        <v>0</v>
      </c>
      <c r="AT277" s="17" t="str">
        <f t="shared" si="27"/>
        <v/>
      </c>
      <c r="AV277">
        <f t="shared" si="28"/>
        <v>0</v>
      </c>
      <c r="BA277" s="17" t="str">
        <f t="shared" si="29"/>
        <v/>
      </c>
    </row>
    <row r="278" spans="1:53" x14ac:dyDescent="0.25">
      <c r="A278" s="137" t="s">
        <v>573</v>
      </c>
      <c r="B278" s="137" t="s">
        <v>576</v>
      </c>
      <c r="C278" s="121"/>
      <c r="D278" s="121"/>
      <c r="E278" s="121"/>
      <c r="F278" s="121"/>
      <c r="G278" s="121"/>
      <c r="H278" s="121"/>
      <c r="I278" s="121"/>
      <c r="J278" s="121">
        <v>0</v>
      </c>
      <c r="K278" s="121">
        <v>0</v>
      </c>
      <c r="L278" s="121">
        <v>0</v>
      </c>
      <c r="M278" s="121">
        <v>0</v>
      </c>
      <c r="N278" s="121">
        <v>0</v>
      </c>
      <c r="O278" s="121">
        <v>0</v>
      </c>
      <c r="P278" s="121">
        <v>0</v>
      </c>
      <c r="Q278" s="121">
        <v>0</v>
      </c>
      <c r="R278" s="121">
        <v>0</v>
      </c>
      <c r="S278" s="121">
        <v>0</v>
      </c>
      <c r="T278" s="121">
        <v>0</v>
      </c>
      <c r="U278" s="121">
        <v>0</v>
      </c>
      <c r="V278" s="121" t="s">
        <v>1119</v>
      </c>
      <c r="W278" s="121">
        <v>0</v>
      </c>
      <c r="X278" s="121">
        <v>0</v>
      </c>
      <c r="Y278" s="121">
        <v>0</v>
      </c>
      <c r="Z278" s="121">
        <v>0</v>
      </c>
      <c r="AA278" s="121">
        <v>0</v>
      </c>
      <c r="AB278" s="121">
        <v>0</v>
      </c>
      <c r="AC278" s="121">
        <v>0</v>
      </c>
      <c r="AD278" s="121">
        <v>0</v>
      </c>
      <c r="AE278" s="121">
        <v>0</v>
      </c>
      <c r="AF278" s="121">
        <v>0</v>
      </c>
      <c r="AG278" s="121">
        <v>0</v>
      </c>
      <c r="AH278" s="121">
        <v>0</v>
      </c>
      <c r="AI278" s="121">
        <v>0</v>
      </c>
      <c r="AL278" s="14">
        <f t="shared" si="24"/>
        <v>0</v>
      </c>
      <c r="AM278">
        <f t="shared" si="25"/>
        <v>0</v>
      </c>
      <c r="AN278">
        <f t="shared" si="26"/>
        <v>0</v>
      </c>
      <c r="AP278">
        <f>VLOOKUP($B278,Kraftvärmeprod!$B$1:$BX$549,MATCH(AP$1,Kraftvärmeprod!$B$1:$BX$1,0),FALSE)</f>
        <v>0</v>
      </c>
      <c r="AQ278">
        <f>VLOOKUP($B278,Kraftvärmeprod!$B$1:$BX$549,MATCH(AQ$1,Kraftvärmeprod!$B$1:$BX$1,0),FALSE)</f>
        <v>0</v>
      </c>
      <c r="AR278">
        <f>VLOOKUP($B278,Kraftvärmeprod!$B$1:$BX$549,MATCH("Summa tillförd energi exklusive rökgaskondensering",Kraftvärmeprod!$B$1:$BX$1,0),FALSE)</f>
        <v>0</v>
      </c>
      <c r="AT278" s="17" t="str">
        <f t="shared" si="27"/>
        <v/>
      </c>
      <c r="AV278">
        <f t="shared" si="28"/>
        <v>0</v>
      </c>
      <c r="BA278" s="17" t="str">
        <f t="shared" si="29"/>
        <v/>
      </c>
    </row>
    <row r="279" spans="1:53" x14ac:dyDescent="0.25">
      <c r="A279" s="137" t="s">
        <v>573</v>
      </c>
      <c r="B279" s="137" t="s">
        <v>116</v>
      </c>
      <c r="C279" s="121"/>
      <c r="D279" s="121"/>
      <c r="E279" s="121"/>
      <c r="F279" s="121"/>
      <c r="G279" s="121"/>
      <c r="H279" s="121"/>
      <c r="I279" s="121"/>
      <c r="J279" s="121">
        <v>635.125</v>
      </c>
      <c r="K279" s="121">
        <v>79.575999999999993</v>
      </c>
      <c r="L279" s="121">
        <v>0</v>
      </c>
      <c r="M279" s="121">
        <v>78.694000000000003</v>
      </c>
      <c r="N279" s="121">
        <v>0</v>
      </c>
      <c r="O279" s="121">
        <v>0</v>
      </c>
      <c r="P279" s="121">
        <v>887.60699999999997</v>
      </c>
      <c r="Q279" s="121">
        <v>0</v>
      </c>
      <c r="R279" s="121">
        <v>0</v>
      </c>
      <c r="S279" s="121">
        <v>0</v>
      </c>
      <c r="T279" s="121">
        <v>0</v>
      </c>
      <c r="U279" s="121">
        <v>17.628</v>
      </c>
      <c r="V279" s="121" t="s">
        <v>1119</v>
      </c>
      <c r="W279" s="121">
        <v>135.536</v>
      </c>
      <c r="X279" s="121">
        <v>0</v>
      </c>
      <c r="Y279" s="121">
        <v>0</v>
      </c>
      <c r="Z279" s="121">
        <v>0</v>
      </c>
      <c r="AA279" s="121">
        <v>0</v>
      </c>
      <c r="AB279" s="121">
        <v>0</v>
      </c>
      <c r="AC279" s="121">
        <v>0</v>
      </c>
      <c r="AD279" s="121">
        <v>0</v>
      </c>
      <c r="AE279" s="121">
        <v>886.84799999999996</v>
      </c>
      <c r="AF279" s="121">
        <v>0</v>
      </c>
      <c r="AG279" s="121">
        <v>0</v>
      </c>
      <c r="AH279" s="121">
        <v>1013.93</v>
      </c>
      <c r="AI279" s="121">
        <v>153.851</v>
      </c>
      <c r="AL279" s="14">
        <f t="shared" si="24"/>
        <v>3888.7950000000001</v>
      </c>
      <c r="AM279">
        <f t="shared" si="25"/>
        <v>3734.944</v>
      </c>
      <c r="AN279">
        <f t="shared" si="26"/>
        <v>2721.0140000000001</v>
      </c>
      <c r="AP279">
        <f>VLOOKUP($B279,Kraftvärmeprod!$B$1:$BX$549,MATCH(AP$1,Kraftvärmeprod!$B$1:$BX$1,0),FALSE)</f>
        <v>3413.61</v>
      </c>
      <c r="AQ279">
        <f>VLOOKUP($B279,Kraftvärmeprod!$B$1:$BX$549,MATCH(AQ$1,Kraftvärmeprod!$B$1:$BX$1,0),FALSE)</f>
        <v>1595.8779999999999</v>
      </c>
      <c r="AR279">
        <f>VLOOKUP($B279,Kraftvärmeprod!$B$1:$BX$549,MATCH("Summa tillförd energi exklusive rökgaskondensering",Kraftvärmeprod!$B$1:$BX$1,0),FALSE)</f>
        <v>5912.0514710939515</v>
      </c>
      <c r="AT279" s="17">
        <f t="shared" si="27"/>
        <v>0.46024869933964063</v>
      </c>
      <c r="AV279">
        <f t="shared" si="28"/>
        <v>1040.771</v>
      </c>
      <c r="BA279" s="17">
        <f t="shared" si="29"/>
        <v>1.1873983647927815</v>
      </c>
    </row>
    <row r="280" spans="1:53" x14ac:dyDescent="0.25">
      <c r="A280" s="137" t="s">
        <v>573</v>
      </c>
      <c r="B280" s="137" t="s">
        <v>577</v>
      </c>
      <c r="C280" s="121"/>
      <c r="D280" s="121"/>
      <c r="E280" s="121"/>
      <c r="F280" s="121"/>
      <c r="G280" s="121"/>
      <c r="H280" s="121"/>
      <c r="I280" s="121"/>
      <c r="J280" s="121">
        <v>0</v>
      </c>
      <c r="K280" s="121">
        <v>0</v>
      </c>
      <c r="L280" s="121">
        <v>0</v>
      </c>
      <c r="M280" s="121">
        <v>0</v>
      </c>
      <c r="N280" s="121">
        <v>0</v>
      </c>
      <c r="O280" s="121">
        <v>0</v>
      </c>
      <c r="P280" s="121">
        <v>0</v>
      </c>
      <c r="Q280" s="121">
        <v>0</v>
      </c>
      <c r="R280" s="121">
        <v>0</v>
      </c>
      <c r="S280" s="121">
        <v>0</v>
      </c>
      <c r="T280" s="121">
        <v>0</v>
      </c>
      <c r="U280" s="121">
        <v>0</v>
      </c>
      <c r="V280" s="121" t="s">
        <v>1119</v>
      </c>
      <c r="W280" s="121">
        <v>0</v>
      </c>
      <c r="X280" s="121">
        <v>0</v>
      </c>
      <c r="Y280" s="121">
        <v>0</v>
      </c>
      <c r="Z280" s="121">
        <v>0</v>
      </c>
      <c r="AA280" s="121">
        <v>0</v>
      </c>
      <c r="AB280" s="121">
        <v>0</v>
      </c>
      <c r="AC280" s="121">
        <v>0</v>
      </c>
      <c r="AD280" s="121">
        <v>0</v>
      </c>
      <c r="AE280" s="121">
        <v>0</v>
      </c>
      <c r="AF280" s="121">
        <v>0</v>
      </c>
      <c r="AG280" s="121">
        <v>0</v>
      </c>
      <c r="AH280" s="121">
        <v>0</v>
      </c>
      <c r="AI280" s="121">
        <v>0</v>
      </c>
      <c r="AL280" s="14">
        <f t="shared" si="24"/>
        <v>0</v>
      </c>
      <c r="AM280">
        <f t="shared" si="25"/>
        <v>0</v>
      </c>
      <c r="AN280">
        <f t="shared" si="26"/>
        <v>0</v>
      </c>
      <c r="AP280">
        <f>VLOOKUP($B280,Kraftvärmeprod!$B$1:$BX$549,MATCH(AP$1,Kraftvärmeprod!$B$1:$BX$1,0),FALSE)</f>
        <v>0</v>
      </c>
      <c r="AQ280">
        <f>VLOOKUP($B280,Kraftvärmeprod!$B$1:$BX$549,MATCH(AQ$1,Kraftvärmeprod!$B$1:$BX$1,0),FALSE)</f>
        <v>0</v>
      </c>
      <c r="AR280">
        <f>VLOOKUP($B280,Kraftvärmeprod!$B$1:$BX$549,MATCH("Summa tillförd energi exklusive rökgaskondensering",Kraftvärmeprod!$B$1:$BX$1,0),FALSE)</f>
        <v>0</v>
      </c>
      <c r="AT280" s="17" t="str">
        <f t="shared" si="27"/>
        <v/>
      </c>
      <c r="AV280">
        <f t="shared" si="28"/>
        <v>0</v>
      </c>
      <c r="BA280" s="17" t="str">
        <f t="shared" si="29"/>
        <v/>
      </c>
    </row>
    <row r="281" spans="1:53" x14ac:dyDescent="0.25">
      <c r="A281" s="137" t="s">
        <v>573</v>
      </c>
      <c r="B281" s="137" t="s">
        <v>578</v>
      </c>
      <c r="C281" s="121"/>
      <c r="D281" s="121"/>
      <c r="E281" s="121"/>
      <c r="F281" s="121"/>
      <c r="G281" s="121"/>
      <c r="H281" s="121"/>
      <c r="I281" s="121"/>
      <c r="J281" s="121">
        <v>0</v>
      </c>
      <c r="K281" s="121">
        <v>0</v>
      </c>
      <c r="L281" s="121">
        <v>0</v>
      </c>
      <c r="M281" s="121">
        <v>0</v>
      </c>
      <c r="N281" s="121">
        <v>0</v>
      </c>
      <c r="O281" s="121">
        <v>0</v>
      </c>
      <c r="P281" s="121">
        <v>0</v>
      </c>
      <c r="Q281" s="121">
        <v>0</v>
      </c>
      <c r="R281" s="121">
        <v>0</v>
      </c>
      <c r="S281" s="121">
        <v>0</v>
      </c>
      <c r="T281" s="121">
        <v>0</v>
      </c>
      <c r="U281" s="121">
        <v>0</v>
      </c>
      <c r="V281" s="121" t="s">
        <v>1119</v>
      </c>
      <c r="W281" s="121">
        <v>0</v>
      </c>
      <c r="X281" s="121">
        <v>0</v>
      </c>
      <c r="Y281" s="121">
        <v>0</v>
      </c>
      <c r="Z281" s="121">
        <v>0</v>
      </c>
      <c r="AA281" s="121">
        <v>0</v>
      </c>
      <c r="AB281" s="121">
        <v>0</v>
      </c>
      <c r="AC281" s="121">
        <v>0</v>
      </c>
      <c r="AD281" s="121">
        <v>0</v>
      </c>
      <c r="AE281" s="121">
        <v>0</v>
      </c>
      <c r="AF281" s="121">
        <v>0</v>
      </c>
      <c r="AG281" s="121">
        <v>0</v>
      </c>
      <c r="AH281" s="121">
        <v>0</v>
      </c>
      <c r="AI281" s="121">
        <v>0</v>
      </c>
      <c r="AL281" s="14">
        <f t="shared" si="24"/>
        <v>0</v>
      </c>
      <c r="AM281">
        <f t="shared" si="25"/>
        <v>0</v>
      </c>
      <c r="AN281">
        <f t="shared" si="26"/>
        <v>0</v>
      </c>
      <c r="AP281">
        <f>VLOOKUP($B281,Kraftvärmeprod!$B$1:$BX$549,MATCH(AP$1,Kraftvärmeprod!$B$1:$BX$1,0),FALSE)</f>
        <v>0</v>
      </c>
      <c r="AQ281">
        <f>VLOOKUP($B281,Kraftvärmeprod!$B$1:$BX$549,MATCH(AQ$1,Kraftvärmeprod!$B$1:$BX$1,0),FALSE)</f>
        <v>0</v>
      </c>
      <c r="AR281">
        <f>VLOOKUP($B281,Kraftvärmeprod!$B$1:$BX$549,MATCH("Summa tillförd energi exklusive rökgaskondensering",Kraftvärmeprod!$B$1:$BX$1,0),FALSE)</f>
        <v>0</v>
      </c>
      <c r="AT281" s="17" t="str">
        <f t="shared" si="27"/>
        <v/>
      </c>
      <c r="AV281">
        <f t="shared" si="28"/>
        <v>0</v>
      </c>
      <c r="BA281" s="17" t="str">
        <f t="shared" si="29"/>
        <v/>
      </c>
    </row>
    <row r="282" spans="1:53" x14ac:dyDescent="0.25">
      <c r="A282" s="137" t="s">
        <v>573</v>
      </c>
      <c r="B282" s="137" t="s">
        <v>579</v>
      </c>
      <c r="C282" s="121"/>
      <c r="D282" s="121"/>
      <c r="E282" s="121"/>
      <c r="F282" s="121"/>
      <c r="G282" s="121"/>
      <c r="H282" s="121"/>
      <c r="I282" s="121"/>
      <c r="J282" s="121">
        <v>0</v>
      </c>
      <c r="K282" s="121">
        <v>0</v>
      </c>
      <c r="L282" s="121">
        <v>0</v>
      </c>
      <c r="M282" s="121">
        <v>0</v>
      </c>
      <c r="N282" s="121">
        <v>0</v>
      </c>
      <c r="O282" s="121">
        <v>0</v>
      </c>
      <c r="P282" s="121">
        <v>0</v>
      </c>
      <c r="Q282" s="121">
        <v>0</v>
      </c>
      <c r="R282" s="121">
        <v>0</v>
      </c>
      <c r="S282" s="121">
        <v>0</v>
      </c>
      <c r="T282" s="121">
        <v>0</v>
      </c>
      <c r="U282" s="121">
        <v>0</v>
      </c>
      <c r="V282" s="121" t="s">
        <v>1119</v>
      </c>
      <c r="W282" s="121">
        <v>0</v>
      </c>
      <c r="X282" s="121">
        <v>0</v>
      </c>
      <c r="Y282" s="121">
        <v>0</v>
      </c>
      <c r="Z282" s="121">
        <v>0</v>
      </c>
      <c r="AA282" s="121">
        <v>0</v>
      </c>
      <c r="AB282" s="121">
        <v>0</v>
      </c>
      <c r="AC282" s="121">
        <v>0</v>
      </c>
      <c r="AD282" s="121">
        <v>0</v>
      </c>
      <c r="AE282" s="121">
        <v>0</v>
      </c>
      <c r="AF282" s="121">
        <v>0</v>
      </c>
      <c r="AG282" s="121">
        <v>0</v>
      </c>
      <c r="AH282" s="121">
        <v>0</v>
      </c>
      <c r="AI282" s="121">
        <v>0</v>
      </c>
      <c r="AL282" s="14">
        <f t="shared" si="24"/>
        <v>0</v>
      </c>
      <c r="AM282">
        <f t="shared" si="25"/>
        <v>0</v>
      </c>
      <c r="AN282">
        <f t="shared" si="26"/>
        <v>0</v>
      </c>
      <c r="AP282">
        <f>VLOOKUP($B282,Kraftvärmeprod!$B$1:$BX$549,MATCH(AP$1,Kraftvärmeprod!$B$1:$BX$1,0),FALSE)</f>
        <v>0</v>
      </c>
      <c r="AQ282">
        <f>VLOOKUP($B282,Kraftvärmeprod!$B$1:$BX$549,MATCH(AQ$1,Kraftvärmeprod!$B$1:$BX$1,0),FALSE)</f>
        <v>0</v>
      </c>
      <c r="AR282">
        <f>VLOOKUP($B282,Kraftvärmeprod!$B$1:$BX$549,MATCH("Summa tillförd energi exklusive rökgaskondensering",Kraftvärmeprod!$B$1:$BX$1,0),FALSE)</f>
        <v>0</v>
      </c>
      <c r="AT282" s="17" t="str">
        <f t="shared" si="27"/>
        <v/>
      </c>
      <c r="AV282">
        <f t="shared" si="28"/>
        <v>0</v>
      </c>
      <c r="BA282" s="17" t="str">
        <f t="shared" si="29"/>
        <v/>
      </c>
    </row>
    <row r="283" spans="1:53" x14ac:dyDescent="0.25">
      <c r="A283" s="137" t="s">
        <v>573</v>
      </c>
      <c r="B283" s="137" t="s">
        <v>580</v>
      </c>
      <c r="C283" s="121"/>
      <c r="D283" s="121"/>
      <c r="E283" s="121"/>
      <c r="F283" s="121"/>
      <c r="G283" s="121"/>
      <c r="H283" s="121"/>
      <c r="I283" s="121"/>
      <c r="J283" s="121">
        <v>0</v>
      </c>
      <c r="K283" s="121">
        <v>0</v>
      </c>
      <c r="L283" s="121">
        <v>0</v>
      </c>
      <c r="M283" s="121">
        <v>0</v>
      </c>
      <c r="N283" s="121">
        <v>0</v>
      </c>
      <c r="O283" s="121">
        <v>0</v>
      </c>
      <c r="P283" s="121">
        <v>0</v>
      </c>
      <c r="Q283" s="121">
        <v>0</v>
      </c>
      <c r="R283" s="121">
        <v>0</v>
      </c>
      <c r="S283" s="121">
        <v>0</v>
      </c>
      <c r="T283" s="121">
        <v>0</v>
      </c>
      <c r="U283" s="121">
        <v>0</v>
      </c>
      <c r="V283" s="121" t="s">
        <v>1119</v>
      </c>
      <c r="W283" s="121">
        <v>0</v>
      </c>
      <c r="X283" s="121">
        <v>0</v>
      </c>
      <c r="Y283" s="121">
        <v>0</v>
      </c>
      <c r="Z283" s="121">
        <v>0</v>
      </c>
      <c r="AA283" s="121">
        <v>0</v>
      </c>
      <c r="AB283" s="121">
        <v>0</v>
      </c>
      <c r="AC283" s="121">
        <v>0</v>
      </c>
      <c r="AD283" s="121">
        <v>0</v>
      </c>
      <c r="AE283" s="121">
        <v>0</v>
      </c>
      <c r="AF283" s="121">
        <v>0</v>
      </c>
      <c r="AG283" s="121">
        <v>0</v>
      </c>
      <c r="AH283" s="121">
        <v>0</v>
      </c>
      <c r="AI283" s="121">
        <v>0</v>
      </c>
      <c r="AL283" s="14">
        <f t="shared" si="24"/>
        <v>0</v>
      </c>
      <c r="AM283">
        <f t="shared" si="25"/>
        <v>0</v>
      </c>
      <c r="AN283">
        <f t="shared" si="26"/>
        <v>0</v>
      </c>
      <c r="AP283">
        <f>VLOOKUP($B283,Kraftvärmeprod!$B$1:$BX$549,MATCH(AP$1,Kraftvärmeprod!$B$1:$BX$1,0),FALSE)</f>
        <v>0</v>
      </c>
      <c r="AQ283">
        <f>VLOOKUP($B283,Kraftvärmeprod!$B$1:$BX$549,MATCH(AQ$1,Kraftvärmeprod!$B$1:$BX$1,0),FALSE)</f>
        <v>0</v>
      </c>
      <c r="AR283">
        <f>VLOOKUP($B283,Kraftvärmeprod!$B$1:$BX$549,MATCH("Summa tillförd energi exklusive rökgaskondensering",Kraftvärmeprod!$B$1:$BX$1,0),FALSE)</f>
        <v>0</v>
      </c>
      <c r="AT283" s="17" t="str">
        <f t="shared" si="27"/>
        <v/>
      </c>
      <c r="AV283">
        <f t="shared" si="28"/>
        <v>0</v>
      </c>
      <c r="BA283" s="17" t="str">
        <f t="shared" si="29"/>
        <v/>
      </c>
    </row>
    <row r="284" spans="1:53" x14ac:dyDescent="0.25">
      <c r="A284" s="137" t="s">
        <v>573</v>
      </c>
      <c r="B284" s="137" t="s">
        <v>581</v>
      </c>
      <c r="C284" s="121"/>
      <c r="D284" s="121"/>
      <c r="E284" s="121"/>
      <c r="F284" s="121"/>
      <c r="G284" s="121"/>
      <c r="H284" s="121"/>
      <c r="I284" s="121"/>
      <c r="J284" s="121">
        <v>0</v>
      </c>
      <c r="K284" s="121">
        <v>0</v>
      </c>
      <c r="L284" s="121">
        <v>0</v>
      </c>
      <c r="M284" s="121">
        <v>0</v>
      </c>
      <c r="N284" s="121">
        <v>0</v>
      </c>
      <c r="O284" s="121">
        <v>0</v>
      </c>
      <c r="P284" s="121">
        <v>0</v>
      </c>
      <c r="Q284" s="121">
        <v>0</v>
      </c>
      <c r="R284" s="121">
        <v>0</v>
      </c>
      <c r="S284" s="121">
        <v>0</v>
      </c>
      <c r="T284" s="121">
        <v>0</v>
      </c>
      <c r="U284" s="121">
        <v>0</v>
      </c>
      <c r="V284" s="121" t="s">
        <v>1119</v>
      </c>
      <c r="W284" s="121">
        <v>0</v>
      </c>
      <c r="X284" s="121">
        <v>0</v>
      </c>
      <c r="Y284" s="121">
        <v>0</v>
      </c>
      <c r="Z284" s="121">
        <v>0</v>
      </c>
      <c r="AA284" s="121">
        <v>0</v>
      </c>
      <c r="AB284" s="121">
        <v>0</v>
      </c>
      <c r="AC284" s="121">
        <v>0</v>
      </c>
      <c r="AD284" s="121">
        <v>0</v>
      </c>
      <c r="AE284" s="121">
        <v>0</v>
      </c>
      <c r="AF284" s="121">
        <v>0</v>
      </c>
      <c r="AG284" s="121">
        <v>0</v>
      </c>
      <c r="AH284" s="121">
        <v>0</v>
      </c>
      <c r="AI284" s="121">
        <v>0</v>
      </c>
      <c r="AL284" s="14">
        <f t="shared" si="24"/>
        <v>0</v>
      </c>
      <c r="AM284">
        <f t="shared" si="25"/>
        <v>0</v>
      </c>
      <c r="AN284">
        <f t="shared" si="26"/>
        <v>0</v>
      </c>
      <c r="AP284">
        <f>VLOOKUP($B284,Kraftvärmeprod!$B$1:$BX$549,MATCH(AP$1,Kraftvärmeprod!$B$1:$BX$1,0),FALSE)</f>
        <v>0</v>
      </c>
      <c r="AQ284">
        <f>VLOOKUP($B284,Kraftvärmeprod!$B$1:$BX$549,MATCH(AQ$1,Kraftvärmeprod!$B$1:$BX$1,0),FALSE)</f>
        <v>0</v>
      </c>
      <c r="AR284">
        <f>VLOOKUP($B284,Kraftvärmeprod!$B$1:$BX$549,MATCH("Summa tillförd energi exklusive rökgaskondensering",Kraftvärmeprod!$B$1:$BX$1,0),FALSE)</f>
        <v>0</v>
      </c>
      <c r="AT284" s="17" t="str">
        <f t="shared" si="27"/>
        <v/>
      </c>
      <c r="AV284">
        <f t="shared" si="28"/>
        <v>0</v>
      </c>
      <c r="BA284" s="17" t="str">
        <f t="shared" si="29"/>
        <v/>
      </c>
    </row>
    <row r="285" spans="1:53" x14ac:dyDescent="0.25">
      <c r="A285" s="137" t="s">
        <v>573</v>
      </c>
      <c r="B285" s="137" t="s">
        <v>582</v>
      </c>
      <c r="C285" s="121"/>
      <c r="D285" s="121"/>
      <c r="E285" s="121"/>
      <c r="F285" s="121"/>
      <c r="G285" s="121"/>
      <c r="H285" s="121"/>
      <c r="I285" s="121"/>
      <c r="J285" s="121">
        <v>0</v>
      </c>
      <c r="K285" s="121">
        <v>0</v>
      </c>
      <c r="L285" s="121">
        <v>0</v>
      </c>
      <c r="M285" s="121">
        <v>0</v>
      </c>
      <c r="N285" s="121">
        <v>0</v>
      </c>
      <c r="O285" s="121">
        <v>0</v>
      </c>
      <c r="P285" s="121">
        <v>0</v>
      </c>
      <c r="Q285" s="121">
        <v>0</v>
      </c>
      <c r="R285" s="121">
        <v>0</v>
      </c>
      <c r="S285" s="121">
        <v>0</v>
      </c>
      <c r="T285" s="121">
        <v>0</v>
      </c>
      <c r="U285" s="121">
        <v>0</v>
      </c>
      <c r="V285" s="121" t="s">
        <v>1119</v>
      </c>
      <c r="W285" s="121">
        <v>0</v>
      </c>
      <c r="X285" s="121">
        <v>0</v>
      </c>
      <c r="Y285" s="121">
        <v>0</v>
      </c>
      <c r="Z285" s="121">
        <v>0</v>
      </c>
      <c r="AA285" s="121">
        <v>0</v>
      </c>
      <c r="AB285" s="121">
        <v>0</v>
      </c>
      <c r="AC285" s="121">
        <v>0</v>
      </c>
      <c r="AD285" s="121">
        <v>0</v>
      </c>
      <c r="AE285" s="121">
        <v>0</v>
      </c>
      <c r="AF285" s="121">
        <v>0</v>
      </c>
      <c r="AG285" s="121">
        <v>0</v>
      </c>
      <c r="AH285" s="121">
        <v>0</v>
      </c>
      <c r="AI285" s="121">
        <v>0</v>
      </c>
      <c r="AL285" s="14">
        <f t="shared" si="24"/>
        <v>0</v>
      </c>
      <c r="AM285">
        <f t="shared" si="25"/>
        <v>0</v>
      </c>
      <c r="AN285">
        <f t="shared" si="26"/>
        <v>0</v>
      </c>
      <c r="AP285">
        <f>VLOOKUP($B285,Kraftvärmeprod!$B$1:$BX$549,MATCH(AP$1,Kraftvärmeprod!$B$1:$BX$1,0),FALSE)</f>
        <v>0</v>
      </c>
      <c r="AQ285">
        <f>VLOOKUP($B285,Kraftvärmeprod!$B$1:$BX$549,MATCH(AQ$1,Kraftvärmeprod!$B$1:$BX$1,0),FALSE)</f>
        <v>0</v>
      </c>
      <c r="AR285">
        <f>VLOOKUP($B285,Kraftvärmeprod!$B$1:$BX$549,MATCH("Summa tillförd energi exklusive rökgaskondensering",Kraftvärmeprod!$B$1:$BX$1,0),FALSE)</f>
        <v>0</v>
      </c>
      <c r="AT285" s="17" t="str">
        <f t="shared" si="27"/>
        <v/>
      </c>
      <c r="AV285">
        <f t="shared" si="28"/>
        <v>0</v>
      </c>
      <c r="BA285" s="17" t="str">
        <f t="shared" si="29"/>
        <v/>
      </c>
    </row>
    <row r="286" spans="1:53" x14ac:dyDescent="0.25">
      <c r="A286" s="137" t="s">
        <v>573</v>
      </c>
      <c r="B286" s="137" t="s">
        <v>583</v>
      </c>
      <c r="C286" s="121"/>
      <c r="D286" s="121"/>
      <c r="E286" s="121"/>
      <c r="F286" s="121"/>
      <c r="G286" s="121"/>
      <c r="H286" s="121"/>
      <c r="I286" s="121"/>
      <c r="J286" s="121">
        <v>0</v>
      </c>
      <c r="K286" s="121">
        <v>0</v>
      </c>
      <c r="L286" s="121">
        <v>0</v>
      </c>
      <c r="M286" s="121">
        <v>0</v>
      </c>
      <c r="N286" s="121">
        <v>0</v>
      </c>
      <c r="O286" s="121">
        <v>0</v>
      </c>
      <c r="P286" s="121">
        <v>0</v>
      </c>
      <c r="Q286" s="121">
        <v>0</v>
      </c>
      <c r="R286" s="121">
        <v>0</v>
      </c>
      <c r="S286" s="121">
        <v>0</v>
      </c>
      <c r="T286" s="121">
        <v>0</v>
      </c>
      <c r="U286" s="121">
        <v>0</v>
      </c>
      <c r="V286" s="121" t="s">
        <v>1119</v>
      </c>
      <c r="W286" s="121">
        <v>0</v>
      </c>
      <c r="X286" s="121">
        <v>0</v>
      </c>
      <c r="Y286" s="121">
        <v>0</v>
      </c>
      <c r="Z286" s="121">
        <v>0</v>
      </c>
      <c r="AA286" s="121">
        <v>0</v>
      </c>
      <c r="AB286" s="121">
        <v>0</v>
      </c>
      <c r="AC286" s="121">
        <v>0</v>
      </c>
      <c r="AD286" s="121">
        <v>0</v>
      </c>
      <c r="AE286" s="121">
        <v>0</v>
      </c>
      <c r="AF286" s="121">
        <v>0</v>
      </c>
      <c r="AG286" s="121">
        <v>0</v>
      </c>
      <c r="AH286" s="121">
        <v>0</v>
      </c>
      <c r="AI286" s="121">
        <v>0</v>
      </c>
      <c r="AL286" s="14">
        <f t="shared" si="24"/>
        <v>0</v>
      </c>
      <c r="AM286">
        <f t="shared" si="25"/>
        <v>0</v>
      </c>
      <c r="AN286">
        <f t="shared" si="26"/>
        <v>0</v>
      </c>
      <c r="AP286">
        <f>VLOOKUP($B286,Kraftvärmeprod!$B$1:$BX$549,MATCH(AP$1,Kraftvärmeprod!$B$1:$BX$1,0),FALSE)</f>
        <v>0</v>
      </c>
      <c r="AQ286">
        <f>VLOOKUP($B286,Kraftvärmeprod!$B$1:$BX$549,MATCH(AQ$1,Kraftvärmeprod!$B$1:$BX$1,0),FALSE)</f>
        <v>0</v>
      </c>
      <c r="AR286">
        <f>VLOOKUP($B286,Kraftvärmeprod!$B$1:$BX$549,MATCH("Summa tillförd energi exklusive rökgaskondensering",Kraftvärmeprod!$B$1:$BX$1,0),FALSE)</f>
        <v>0</v>
      </c>
      <c r="AT286" s="17" t="str">
        <f t="shared" si="27"/>
        <v/>
      </c>
      <c r="AV286">
        <f t="shared" si="28"/>
        <v>0</v>
      </c>
      <c r="BA286" s="17" t="str">
        <f t="shared" si="29"/>
        <v/>
      </c>
    </row>
    <row r="287" spans="1:53" x14ac:dyDescent="0.25">
      <c r="A287" s="137" t="s">
        <v>573</v>
      </c>
      <c r="B287" s="137" t="s">
        <v>584</v>
      </c>
      <c r="C287" s="121"/>
      <c r="D287" s="121"/>
      <c r="E287" s="121"/>
      <c r="F287" s="121"/>
      <c r="G287" s="121"/>
      <c r="H287" s="121"/>
      <c r="I287" s="121"/>
      <c r="J287" s="121">
        <v>0</v>
      </c>
      <c r="K287" s="121">
        <v>0</v>
      </c>
      <c r="L287" s="121">
        <v>0</v>
      </c>
      <c r="M287" s="121">
        <v>0</v>
      </c>
      <c r="N287" s="121">
        <v>0</v>
      </c>
      <c r="O287" s="121">
        <v>0</v>
      </c>
      <c r="P287" s="121">
        <v>0</v>
      </c>
      <c r="Q287" s="121">
        <v>0</v>
      </c>
      <c r="R287" s="121">
        <v>0</v>
      </c>
      <c r="S287" s="121">
        <v>0</v>
      </c>
      <c r="T287" s="121">
        <v>0</v>
      </c>
      <c r="U287" s="121">
        <v>0</v>
      </c>
      <c r="V287" s="121" t="s">
        <v>1119</v>
      </c>
      <c r="W287" s="121">
        <v>0</v>
      </c>
      <c r="X287" s="121">
        <v>0</v>
      </c>
      <c r="Y287" s="121">
        <v>0</v>
      </c>
      <c r="Z287" s="121">
        <v>0</v>
      </c>
      <c r="AA287" s="121">
        <v>0</v>
      </c>
      <c r="AB287" s="121">
        <v>0</v>
      </c>
      <c r="AC287" s="121">
        <v>0</v>
      </c>
      <c r="AD287" s="121">
        <v>0</v>
      </c>
      <c r="AE287" s="121">
        <v>0</v>
      </c>
      <c r="AF287" s="121">
        <v>0</v>
      </c>
      <c r="AG287" s="121">
        <v>0</v>
      </c>
      <c r="AH287" s="121">
        <v>0</v>
      </c>
      <c r="AI287" s="121">
        <v>0</v>
      </c>
      <c r="AL287" s="14">
        <f t="shared" si="24"/>
        <v>0</v>
      </c>
      <c r="AM287">
        <f t="shared" si="25"/>
        <v>0</v>
      </c>
      <c r="AN287">
        <f t="shared" si="26"/>
        <v>0</v>
      </c>
      <c r="AP287">
        <f>VLOOKUP($B287,Kraftvärmeprod!$B$1:$BX$549,MATCH(AP$1,Kraftvärmeprod!$B$1:$BX$1,0),FALSE)</f>
        <v>0</v>
      </c>
      <c r="AQ287">
        <f>VLOOKUP($B287,Kraftvärmeprod!$B$1:$BX$549,MATCH(AQ$1,Kraftvärmeprod!$B$1:$BX$1,0),FALSE)</f>
        <v>0</v>
      </c>
      <c r="AR287">
        <f>VLOOKUP($B287,Kraftvärmeprod!$B$1:$BX$549,MATCH("Summa tillförd energi exklusive rökgaskondensering",Kraftvärmeprod!$B$1:$BX$1,0),FALSE)</f>
        <v>0</v>
      </c>
      <c r="AT287" s="17" t="str">
        <f t="shared" si="27"/>
        <v/>
      </c>
      <c r="AV287">
        <f t="shared" si="28"/>
        <v>0</v>
      </c>
      <c r="BA287" s="17" t="str">
        <f t="shared" si="29"/>
        <v/>
      </c>
    </row>
    <row r="288" spans="1:53" x14ac:dyDescent="0.25">
      <c r="A288" s="137" t="s">
        <v>585</v>
      </c>
      <c r="B288" s="137" t="s">
        <v>586</v>
      </c>
      <c r="C288" s="121"/>
      <c r="D288" s="121"/>
      <c r="E288" s="121"/>
      <c r="F288" s="121"/>
      <c r="G288" s="121"/>
      <c r="H288" s="121"/>
      <c r="I288" s="121"/>
      <c r="J288" s="121">
        <v>0</v>
      </c>
      <c r="K288" s="121">
        <v>0</v>
      </c>
      <c r="L288" s="121">
        <v>0</v>
      </c>
      <c r="M288" s="121">
        <v>0</v>
      </c>
      <c r="N288" s="121">
        <v>0</v>
      </c>
      <c r="O288" s="121">
        <v>0</v>
      </c>
      <c r="P288" s="121">
        <v>0</v>
      </c>
      <c r="Q288" s="121">
        <v>0</v>
      </c>
      <c r="R288" s="121">
        <v>0</v>
      </c>
      <c r="S288" s="121">
        <v>0</v>
      </c>
      <c r="T288" s="121">
        <v>0</v>
      </c>
      <c r="U288" s="121">
        <v>0</v>
      </c>
      <c r="V288" s="121" t="s">
        <v>1119</v>
      </c>
      <c r="W288" s="121">
        <v>0</v>
      </c>
      <c r="X288" s="121">
        <v>0</v>
      </c>
      <c r="Y288" s="121">
        <v>0</v>
      </c>
      <c r="Z288" s="121">
        <v>0</v>
      </c>
      <c r="AA288" s="121">
        <v>0</v>
      </c>
      <c r="AB288" s="121">
        <v>0</v>
      </c>
      <c r="AC288" s="121">
        <v>0</v>
      </c>
      <c r="AD288" s="121">
        <v>0</v>
      </c>
      <c r="AE288" s="121">
        <v>0</v>
      </c>
      <c r="AF288" s="121">
        <v>0</v>
      </c>
      <c r="AG288" s="121">
        <v>0</v>
      </c>
      <c r="AH288" s="121">
        <v>0</v>
      </c>
      <c r="AI288" s="121">
        <v>0</v>
      </c>
      <c r="AL288" s="14">
        <f t="shared" si="24"/>
        <v>0</v>
      </c>
      <c r="AM288">
        <f t="shared" si="25"/>
        <v>0</v>
      </c>
      <c r="AN288">
        <f t="shared" si="26"/>
        <v>0</v>
      </c>
      <c r="AP288">
        <f>VLOOKUP($B288,Kraftvärmeprod!$B$1:$BX$549,MATCH(AP$1,Kraftvärmeprod!$B$1:$BX$1,0),FALSE)</f>
        <v>0</v>
      </c>
      <c r="AQ288">
        <f>VLOOKUP($B288,Kraftvärmeprod!$B$1:$BX$549,MATCH(AQ$1,Kraftvärmeprod!$B$1:$BX$1,0),FALSE)</f>
        <v>0</v>
      </c>
      <c r="AR288">
        <f>VLOOKUP($B288,Kraftvärmeprod!$B$1:$BX$549,MATCH("Summa tillförd energi exklusive rökgaskondensering",Kraftvärmeprod!$B$1:$BX$1,0),FALSE)</f>
        <v>0</v>
      </c>
      <c r="AT288" s="17" t="str">
        <f t="shared" si="27"/>
        <v/>
      </c>
      <c r="AV288">
        <f t="shared" si="28"/>
        <v>0</v>
      </c>
      <c r="BA288" s="17" t="str">
        <f t="shared" si="29"/>
        <v/>
      </c>
    </row>
    <row r="289" spans="1:53" x14ac:dyDescent="0.25">
      <c r="A289" s="137" t="s">
        <v>585</v>
      </c>
      <c r="B289" s="137" t="s">
        <v>587</v>
      </c>
      <c r="C289" s="121"/>
      <c r="D289" s="121"/>
      <c r="E289" s="121"/>
      <c r="F289" s="121"/>
      <c r="G289" s="121"/>
      <c r="H289" s="121"/>
      <c r="I289" s="121"/>
      <c r="J289" s="121">
        <v>0</v>
      </c>
      <c r="K289" s="121">
        <v>0</v>
      </c>
      <c r="L289" s="121">
        <v>0</v>
      </c>
      <c r="M289" s="121">
        <v>0</v>
      </c>
      <c r="N289" s="121">
        <v>0</v>
      </c>
      <c r="O289" s="121">
        <v>0</v>
      </c>
      <c r="P289" s="121">
        <v>0</v>
      </c>
      <c r="Q289" s="121">
        <v>0</v>
      </c>
      <c r="R289" s="121">
        <v>0</v>
      </c>
      <c r="S289" s="121">
        <v>0</v>
      </c>
      <c r="T289" s="121">
        <v>0</v>
      </c>
      <c r="U289" s="121">
        <v>0</v>
      </c>
      <c r="V289" s="121" t="s">
        <v>1119</v>
      </c>
      <c r="W289" s="121">
        <v>0</v>
      </c>
      <c r="X289" s="121">
        <v>0</v>
      </c>
      <c r="Y289" s="121">
        <v>0</v>
      </c>
      <c r="Z289" s="121">
        <v>0</v>
      </c>
      <c r="AA289" s="121">
        <v>0</v>
      </c>
      <c r="AB289" s="121">
        <v>0</v>
      </c>
      <c r="AC289" s="121">
        <v>0</v>
      </c>
      <c r="AD289" s="121">
        <v>0</v>
      </c>
      <c r="AE289" s="121">
        <v>0</v>
      </c>
      <c r="AF289" s="121">
        <v>0</v>
      </c>
      <c r="AG289" s="121">
        <v>0</v>
      </c>
      <c r="AH289" s="121">
        <v>0</v>
      </c>
      <c r="AI289" s="121">
        <v>0</v>
      </c>
      <c r="AL289" s="14">
        <f t="shared" si="24"/>
        <v>0</v>
      </c>
      <c r="AM289">
        <f t="shared" si="25"/>
        <v>0</v>
      </c>
      <c r="AN289">
        <f t="shared" si="26"/>
        <v>0</v>
      </c>
      <c r="AP289">
        <f>VLOOKUP($B289,Kraftvärmeprod!$B$1:$BX$549,MATCH(AP$1,Kraftvärmeprod!$B$1:$BX$1,0),FALSE)</f>
        <v>0</v>
      </c>
      <c r="AQ289">
        <f>VLOOKUP($B289,Kraftvärmeprod!$B$1:$BX$549,MATCH(AQ$1,Kraftvärmeprod!$B$1:$BX$1,0),FALSE)</f>
        <v>0</v>
      </c>
      <c r="AR289">
        <f>VLOOKUP($B289,Kraftvärmeprod!$B$1:$BX$549,MATCH("Summa tillförd energi exklusive rökgaskondensering",Kraftvärmeprod!$B$1:$BX$1,0),FALSE)</f>
        <v>0</v>
      </c>
      <c r="AT289" s="17" t="str">
        <f t="shared" si="27"/>
        <v/>
      </c>
      <c r="AV289">
        <f t="shared" si="28"/>
        <v>0</v>
      </c>
      <c r="BA289" s="17" t="str">
        <f t="shared" si="29"/>
        <v/>
      </c>
    </row>
    <row r="290" spans="1:53" x14ac:dyDescent="0.25">
      <c r="A290" s="137" t="s">
        <v>585</v>
      </c>
      <c r="B290" s="137" t="s">
        <v>588</v>
      </c>
      <c r="C290" s="121"/>
      <c r="D290" s="121"/>
      <c r="E290" s="121"/>
      <c r="F290" s="121"/>
      <c r="G290" s="121"/>
      <c r="H290" s="121"/>
      <c r="I290" s="121"/>
      <c r="J290" s="121">
        <v>0</v>
      </c>
      <c r="K290" s="121">
        <v>0</v>
      </c>
      <c r="L290" s="121">
        <v>0</v>
      </c>
      <c r="M290" s="121">
        <v>0</v>
      </c>
      <c r="N290" s="121">
        <v>0</v>
      </c>
      <c r="O290" s="121">
        <v>0</v>
      </c>
      <c r="P290" s="121">
        <v>0</v>
      </c>
      <c r="Q290" s="121">
        <v>0</v>
      </c>
      <c r="R290" s="121">
        <v>0</v>
      </c>
      <c r="S290" s="121">
        <v>0</v>
      </c>
      <c r="T290" s="121">
        <v>0</v>
      </c>
      <c r="U290" s="121">
        <v>1.1422699999999999</v>
      </c>
      <c r="V290" s="121" t="s">
        <v>1119</v>
      </c>
      <c r="W290" s="121">
        <v>0</v>
      </c>
      <c r="X290" s="121">
        <v>0</v>
      </c>
      <c r="Y290" s="121">
        <v>0</v>
      </c>
      <c r="Z290" s="121">
        <v>0</v>
      </c>
      <c r="AA290" s="121">
        <v>0</v>
      </c>
      <c r="AB290" s="121">
        <v>0</v>
      </c>
      <c r="AC290" s="121">
        <v>0</v>
      </c>
      <c r="AD290" s="121">
        <v>0</v>
      </c>
      <c r="AE290" s="121">
        <v>129.02000000000001</v>
      </c>
      <c r="AF290" s="121">
        <v>0</v>
      </c>
      <c r="AG290" s="121">
        <v>0</v>
      </c>
      <c r="AH290" s="121">
        <v>39.429000000000002</v>
      </c>
      <c r="AI290" s="121">
        <v>7.7702799999999996</v>
      </c>
      <c r="AL290" s="14">
        <f t="shared" si="24"/>
        <v>177.36155000000002</v>
      </c>
      <c r="AM290">
        <f t="shared" si="25"/>
        <v>169.59127000000001</v>
      </c>
      <c r="AN290">
        <f t="shared" si="26"/>
        <v>130.16227000000001</v>
      </c>
      <c r="AP290">
        <f>VLOOKUP($B290,Kraftvärmeprod!$B$1:$BX$549,MATCH(AP$1,Kraftvärmeprod!$B$1:$BX$1,0),FALSE)</f>
        <v>153.142</v>
      </c>
      <c r="AQ290">
        <f>VLOOKUP($B290,Kraftvärmeprod!$B$1:$BX$549,MATCH(AQ$1,Kraftvärmeprod!$B$1:$BX$1,0),FALSE)</f>
        <v>40.319000000000003</v>
      </c>
      <c r="AR290">
        <f>VLOOKUP($B290,Kraftvärmeprod!$B$1:$BX$549,MATCH("Summa tillförd energi exklusive rökgaskondensering",Kraftvärmeprod!$B$1:$BX$1,0),FALSE)</f>
        <v>239.64399999999998</v>
      </c>
      <c r="AT290" s="17">
        <f t="shared" si="27"/>
        <v>0.54314846188512966</v>
      </c>
      <c r="AV290">
        <f t="shared" si="28"/>
        <v>1.1422699999999999</v>
      </c>
      <c r="BA290" s="17">
        <f t="shared" si="29"/>
        <v>1.1102673009380311</v>
      </c>
    </row>
    <row r="291" spans="1:53" x14ac:dyDescent="0.25">
      <c r="A291" s="137" t="s">
        <v>585</v>
      </c>
      <c r="B291" s="137" t="s">
        <v>589</v>
      </c>
      <c r="C291" s="121"/>
      <c r="D291" s="121"/>
      <c r="E291" s="121"/>
      <c r="F291" s="121"/>
      <c r="G291" s="121"/>
      <c r="H291" s="121"/>
      <c r="I291" s="121"/>
      <c r="J291" s="121">
        <v>0</v>
      </c>
      <c r="K291" s="121">
        <v>0</v>
      </c>
      <c r="L291" s="121">
        <v>0</v>
      </c>
      <c r="M291" s="121">
        <v>0</v>
      </c>
      <c r="N291" s="121">
        <v>0</v>
      </c>
      <c r="O291" s="121">
        <v>0</v>
      </c>
      <c r="P291" s="121">
        <v>0</v>
      </c>
      <c r="Q291" s="121">
        <v>0</v>
      </c>
      <c r="R291" s="121">
        <v>0</v>
      </c>
      <c r="S291" s="121">
        <v>0</v>
      </c>
      <c r="T291" s="121">
        <v>0</v>
      </c>
      <c r="U291" s="121">
        <v>0</v>
      </c>
      <c r="V291" s="121" t="s">
        <v>1119</v>
      </c>
      <c r="W291" s="121">
        <v>0</v>
      </c>
      <c r="X291" s="121">
        <v>0</v>
      </c>
      <c r="Y291" s="121">
        <v>0</v>
      </c>
      <c r="Z291" s="121">
        <v>0</v>
      </c>
      <c r="AA291" s="121">
        <v>0</v>
      </c>
      <c r="AB291" s="121">
        <v>0</v>
      </c>
      <c r="AC291" s="121">
        <v>0</v>
      </c>
      <c r="AD291" s="121">
        <v>0</v>
      </c>
      <c r="AE291" s="121">
        <v>13.6282</v>
      </c>
      <c r="AF291" s="121">
        <v>0</v>
      </c>
      <c r="AG291" s="121">
        <v>0</v>
      </c>
      <c r="AH291" s="121">
        <v>0</v>
      </c>
      <c r="AI291" s="121">
        <v>0.28449000000000002</v>
      </c>
      <c r="AL291" s="14">
        <f t="shared" si="24"/>
        <v>13.91269</v>
      </c>
      <c r="AM291">
        <f t="shared" si="25"/>
        <v>13.6282</v>
      </c>
      <c r="AN291">
        <f t="shared" si="26"/>
        <v>13.6282</v>
      </c>
      <c r="AP291">
        <f>VLOOKUP($B291,Kraftvärmeprod!$B$1:$BX$549,MATCH(AP$1,Kraftvärmeprod!$B$1:$BX$1,0),FALSE)</f>
        <v>17.158999999999999</v>
      </c>
      <c r="AQ291">
        <f>VLOOKUP($B291,Kraftvärmeprod!$B$1:$BX$549,MATCH(AQ$1,Kraftvärmeprod!$B$1:$BX$1,0),FALSE)</f>
        <v>4.0620000000000003</v>
      </c>
      <c r="AR291">
        <f>VLOOKUP($B291,Kraftvärmeprod!$B$1:$BX$549,MATCH("Summa tillförd energi exklusive rökgaskondensering",Kraftvärmeprod!$B$1:$BX$1,0),FALSE)</f>
        <v>23.952000000000002</v>
      </c>
      <c r="AT291" s="17">
        <f t="shared" si="27"/>
        <v>0.5689796259185036</v>
      </c>
      <c r="AV291">
        <f t="shared" si="28"/>
        <v>0</v>
      </c>
      <c r="BA291" s="17">
        <f t="shared" si="29"/>
        <v>1.2333344594036091</v>
      </c>
    </row>
    <row r="292" spans="1:53" x14ac:dyDescent="0.25">
      <c r="A292" s="137" t="s">
        <v>585</v>
      </c>
      <c r="B292" s="137" t="s">
        <v>590</v>
      </c>
      <c r="C292" s="121"/>
      <c r="D292" s="121"/>
      <c r="E292" s="121"/>
      <c r="F292" s="121"/>
      <c r="G292" s="121"/>
      <c r="H292" s="121"/>
      <c r="I292" s="121"/>
      <c r="J292" s="121">
        <v>0</v>
      </c>
      <c r="K292" s="121">
        <v>0</v>
      </c>
      <c r="L292" s="121">
        <v>0</v>
      </c>
      <c r="M292" s="121">
        <v>0</v>
      </c>
      <c r="N292" s="121">
        <v>0</v>
      </c>
      <c r="O292" s="121">
        <v>0</v>
      </c>
      <c r="P292" s="121">
        <v>0</v>
      </c>
      <c r="Q292" s="121">
        <v>0</v>
      </c>
      <c r="R292" s="121">
        <v>0</v>
      </c>
      <c r="S292" s="121">
        <v>0</v>
      </c>
      <c r="T292" s="121">
        <v>0</v>
      </c>
      <c r="U292" s="121">
        <v>0</v>
      </c>
      <c r="V292" s="121" t="s">
        <v>1119</v>
      </c>
      <c r="W292" s="121">
        <v>0</v>
      </c>
      <c r="X292" s="121">
        <v>0</v>
      </c>
      <c r="Y292" s="121">
        <v>0</v>
      </c>
      <c r="Z292" s="121">
        <v>0</v>
      </c>
      <c r="AA292" s="121">
        <v>0</v>
      </c>
      <c r="AB292" s="121">
        <v>0</v>
      </c>
      <c r="AC292" s="121">
        <v>0</v>
      </c>
      <c r="AD292" s="121">
        <v>0</v>
      </c>
      <c r="AE292" s="121">
        <v>0</v>
      </c>
      <c r="AF292" s="121">
        <v>0</v>
      </c>
      <c r="AG292" s="121">
        <v>0</v>
      </c>
      <c r="AH292" s="121">
        <v>0</v>
      </c>
      <c r="AI292" s="121">
        <v>0</v>
      </c>
      <c r="AL292" s="14">
        <f t="shared" si="24"/>
        <v>0</v>
      </c>
      <c r="AM292">
        <f t="shared" si="25"/>
        <v>0</v>
      </c>
      <c r="AN292">
        <f t="shared" si="26"/>
        <v>0</v>
      </c>
      <c r="AP292">
        <f>VLOOKUP($B292,Kraftvärmeprod!$B$1:$BX$549,MATCH(AP$1,Kraftvärmeprod!$B$1:$BX$1,0),FALSE)</f>
        <v>0</v>
      </c>
      <c r="AQ292">
        <f>VLOOKUP($B292,Kraftvärmeprod!$B$1:$BX$549,MATCH(AQ$1,Kraftvärmeprod!$B$1:$BX$1,0),FALSE)</f>
        <v>0</v>
      </c>
      <c r="AR292">
        <f>VLOOKUP($B292,Kraftvärmeprod!$B$1:$BX$549,MATCH("Summa tillförd energi exklusive rökgaskondensering",Kraftvärmeprod!$B$1:$BX$1,0),FALSE)</f>
        <v>0</v>
      </c>
      <c r="AT292" s="17" t="str">
        <f t="shared" si="27"/>
        <v/>
      </c>
      <c r="AV292">
        <f t="shared" si="28"/>
        <v>0</v>
      </c>
      <c r="BA292" s="17" t="str">
        <f t="shared" si="29"/>
        <v/>
      </c>
    </row>
    <row r="293" spans="1:53" x14ac:dyDescent="0.25">
      <c r="A293" s="137" t="s">
        <v>49</v>
      </c>
      <c r="B293" s="141" t="s">
        <v>50</v>
      </c>
      <c r="C293" s="121"/>
      <c r="D293" s="121"/>
      <c r="E293" s="121"/>
      <c r="F293" s="121"/>
      <c r="G293" s="121"/>
      <c r="H293" s="121"/>
      <c r="I293" s="121"/>
      <c r="J293" s="121" t="s">
        <v>1119</v>
      </c>
      <c r="K293" s="121" t="s">
        <v>1119</v>
      </c>
      <c r="L293" s="121" t="s">
        <v>1119</v>
      </c>
      <c r="M293" s="121" t="s">
        <v>1119</v>
      </c>
      <c r="N293" s="121" t="s">
        <v>1119</v>
      </c>
      <c r="O293" s="121" t="s">
        <v>1119</v>
      </c>
      <c r="P293" s="121" t="s">
        <v>1119</v>
      </c>
      <c r="Q293" s="121" t="s">
        <v>1119</v>
      </c>
      <c r="R293" s="121" t="s">
        <v>1119</v>
      </c>
      <c r="S293" s="121" t="s">
        <v>1119</v>
      </c>
      <c r="T293" s="121" t="s">
        <v>1119</v>
      </c>
      <c r="U293" s="121" t="s">
        <v>1119</v>
      </c>
      <c r="V293" s="121" t="s">
        <v>1119</v>
      </c>
      <c r="W293" s="121" t="s">
        <v>1119</v>
      </c>
      <c r="X293" s="121" t="s">
        <v>1119</v>
      </c>
      <c r="Y293" s="121" t="s">
        <v>1119</v>
      </c>
      <c r="Z293" s="121" t="s">
        <v>1119</v>
      </c>
      <c r="AA293" s="121" t="s">
        <v>1119</v>
      </c>
      <c r="AB293" s="121" t="s">
        <v>1119</v>
      </c>
      <c r="AC293" s="121" t="s">
        <v>1119</v>
      </c>
      <c r="AD293" s="121" t="s">
        <v>1119</v>
      </c>
      <c r="AE293" s="121" t="s">
        <v>1119</v>
      </c>
      <c r="AF293" s="121" t="s">
        <v>1119</v>
      </c>
      <c r="AG293" s="121" t="s">
        <v>1119</v>
      </c>
      <c r="AH293" s="121" t="s">
        <v>1119</v>
      </c>
      <c r="AI293" s="121" t="s">
        <v>1119</v>
      </c>
      <c r="AL293" s="14">
        <f t="shared" si="24"/>
        <v>0</v>
      </c>
      <c r="AM293">
        <f t="shared" si="25"/>
        <v>0</v>
      </c>
      <c r="AN293">
        <f t="shared" si="26"/>
        <v>0</v>
      </c>
      <c r="AP293">
        <f>VLOOKUP($B293,Kraftvärmeprod!$B$1:$BX$549,MATCH(AP$1,Kraftvärmeprod!$B$1:$BX$1,0),FALSE)</f>
        <v>0</v>
      </c>
      <c r="AQ293">
        <f>VLOOKUP($B293,Kraftvärmeprod!$B$1:$BX$549,MATCH(AQ$1,Kraftvärmeprod!$B$1:$BX$1,0),FALSE)</f>
        <v>0</v>
      </c>
      <c r="AR293">
        <f>VLOOKUP($B293,Kraftvärmeprod!$B$1:$BX$549,MATCH("Summa tillförd energi exklusive rökgaskondensering",Kraftvärmeprod!$B$1:$BX$1,0),FALSE)</f>
        <v>0</v>
      </c>
      <c r="AT293" s="17" t="str">
        <f t="shared" si="27"/>
        <v/>
      </c>
      <c r="AV293" t="e">
        <f t="shared" si="28"/>
        <v>#VALUE!</v>
      </c>
      <c r="BA293" s="17" t="str">
        <f t="shared" si="29"/>
        <v/>
      </c>
    </row>
    <row r="294" spans="1:53" x14ac:dyDescent="0.25">
      <c r="A294" s="137" t="s">
        <v>591</v>
      </c>
      <c r="B294" s="137" t="s">
        <v>592</v>
      </c>
      <c r="C294" s="121"/>
      <c r="D294" s="121"/>
      <c r="E294" s="121"/>
      <c r="F294" s="121"/>
      <c r="G294" s="121"/>
      <c r="H294" s="121"/>
      <c r="I294" s="121"/>
      <c r="J294" s="121">
        <v>0</v>
      </c>
      <c r="K294" s="121">
        <v>0</v>
      </c>
      <c r="L294" s="121">
        <v>0</v>
      </c>
      <c r="M294" s="121">
        <v>0</v>
      </c>
      <c r="N294" s="121">
        <v>0</v>
      </c>
      <c r="O294" s="121">
        <v>0</v>
      </c>
      <c r="P294" s="121">
        <v>0</v>
      </c>
      <c r="Q294" s="121">
        <v>0</v>
      </c>
      <c r="R294" s="121">
        <v>0</v>
      </c>
      <c r="S294" s="121">
        <v>0</v>
      </c>
      <c r="T294" s="121">
        <v>0</v>
      </c>
      <c r="U294" s="121">
        <v>0</v>
      </c>
      <c r="V294" s="121" t="s">
        <v>1119</v>
      </c>
      <c r="W294" s="121">
        <v>0</v>
      </c>
      <c r="X294" s="121">
        <v>0</v>
      </c>
      <c r="Y294" s="121">
        <v>0</v>
      </c>
      <c r="Z294" s="121">
        <v>0</v>
      </c>
      <c r="AA294" s="121">
        <v>0</v>
      </c>
      <c r="AB294" s="121">
        <v>0</v>
      </c>
      <c r="AC294" s="121">
        <v>0</v>
      </c>
      <c r="AD294" s="121">
        <v>0</v>
      </c>
      <c r="AE294" s="121">
        <v>0</v>
      </c>
      <c r="AF294" s="121">
        <v>0</v>
      </c>
      <c r="AG294" s="121">
        <v>0</v>
      </c>
      <c r="AH294" s="121">
        <v>0</v>
      </c>
      <c r="AI294" s="121">
        <v>0</v>
      </c>
      <c r="AL294" s="14">
        <f t="shared" si="24"/>
        <v>0</v>
      </c>
      <c r="AM294">
        <f t="shared" si="25"/>
        <v>0</v>
      </c>
      <c r="AN294">
        <f t="shared" si="26"/>
        <v>0</v>
      </c>
      <c r="AP294">
        <f>VLOOKUP($B294,Kraftvärmeprod!$B$1:$BX$549,MATCH(AP$1,Kraftvärmeprod!$B$1:$BX$1,0),FALSE)</f>
        <v>0</v>
      </c>
      <c r="AQ294">
        <f>VLOOKUP($B294,Kraftvärmeprod!$B$1:$BX$549,MATCH(AQ$1,Kraftvärmeprod!$B$1:$BX$1,0),FALSE)</f>
        <v>0</v>
      </c>
      <c r="AR294">
        <f>VLOOKUP($B294,Kraftvärmeprod!$B$1:$BX$549,MATCH("Summa tillförd energi exklusive rökgaskondensering",Kraftvärmeprod!$B$1:$BX$1,0),FALSE)</f>
        <v>0</v>
      </c>
      <c r="AT294" s="17" t="str">
        <f t="shared" si="27"/>
        <v/>
      </c>
      <c r="AV294">
        <f t="shared" si="28"/>
        <v>0</v>
      </c>
      <c r="BA294" s="17" t="str">
        <f t="shared" si="29"/>
        <v/>
      </c>
    </row>
    <row r="295" spans="1:53" x14ac:dyDescent="0.25">
      <c r="A295" s="137" t="s">
        <v>591</v>
      </c>
      <c r="B295" s="137" t="s">
        <v>594</v>
      </c>
      <c r="C295" s="121"/>
      <c r="D295" s="121"/>
      <c r="E295" s="121"/>
      <c r="F295" s="121"/>
      <c r="G295" s="121"/>
      <c r="H295" s="121"/>
      <c r="I295" s="121"/>
      <c r="J295" s="121">
        <v>0</v>
      </c>
      <c r="K295" s="121">
        <v>0</v>
      </c>
      <c r="L295" s="121">
        <v>0</v>
      </c>
      <c r="M295" s="121">
        <v>0</v>
      </c>
      <c r="N295" s="121">
        <v>0</v>
      </c>
      <c r="O295" s="121">
        <v>0</v>
      </c>
      <c r="P295" s="121">
        <v>0</v>
      </c>
      <c r="Q295" s="121">
        <v>0</v>
      </c>
      <c r="R295" s="121">
        <v>0</v>
      </c>
      <c r="S295" s="121">
        <v>0</v>
      </c>
      <c r="T295" s="121">
        <v>0</v>
      </c>
      <c r="U295" s="121">
        <v>0</v>
      </c>
      <c r="V295" s="121" t="s">
        <v>1119</v>
      </c>
      <c r="W295" s="121">
        <v>0</v>
      </c>
      <c r="X295" s="121">
        <v>0</v>
      </c>
      <c r="Y295" s="121">
        <v>0</v>
      </c>
      <c r="Z295" s="121">
        <v>0</v>
      </c>
      <c r="AA295" s="121">
        <v>0</v>
      </c>
      <c r="AB295" s="121">
        <v>0</v>
      </c>
      <c r="AC295" s="121">
        <v>0</v>
      </c>
      <c r="AD295" s="121">
        <v>0</v>
      </c>
      <c r="AE295" s="121">
        <v>0</v>
      </c>
      <c r="AF295" s="121">
        <v>0</v>
      </c>
      <c r="AG295" s="121">
        <v>0</v>
      </c>
      <c r="AH295" s="121">
        <v>0</v>
      </c>
      <c r="AI295" s="121">
        <v>0</v>
      </c>
      <c r="AL295" s="14">
        <f t="shared" si="24"/>
        <v>0</v>
      </c>
      <c r="AM295">
        <f t="shared" si="25"/>
        <v>0</v>
      </c>
      <c r="AN295">
        <f t="shared" si="26"/>
        <v>0</v>
      </c>
      <c r="AP295">
        <f>VLOOKUP($B295,Kraftvärmeprod!$B$1:$BX$549,MATCH(AP$1,Kraftvärmeprod!$B$1:$BX$1,0),FALSE)</f>
        <v>0</v>
      </c>
      <c r="AQ295">
        <f>VLOOKUP($B295,Kraftvärmeprod!$B$1:$BX$549,MATCH(AQ$1,Kraftvärmeprod!$B$1:$BX$1,0),FALSE)</f>
        <v>0</v>
      </c>
      <c r="AR295">
        <f>VLOOKUP($B295,Kraftvärmeprod!$B$1:$BX$549,MATCH("Summa tillförd energi exklusive rökgaskondensering",Kraftvärmeprod!$B$1:$BX$1,0),FALSE)</f>
        <v>0</v>
      </c>
      <c r="AT295" s="17" t="str">
        <f t="shared" si="27"/>
        <v/>
      </c>
      <c r="AV295">
        <f t="shared" si="28"/>
        <v>0</v>
      </c>
      <c r="BA295" s="17" t="str">
        <f t="shared" si="29"/>
        <v/>
      </c>
    </row>
    <row r="296" spans="1:53" x14ac:dyDescent="0.25">
      <c r="A296" s="137" t="s">
        <v>591</v>
      </c>
      <c r="B296" s="137" t="s">
        <v>595</v>
      </c>
      <c r="C296" s="121"/>
      <c r="D296" s="121"/>
      <c r="E296" s="121"/>
      <c r="F296" s="121"/>
      <c r="G296" s="121"/>
      <c r="H296" s="121"/>
      <c r="I296" s="121"/>
      <c r="J296" s="121">
        <v>0</v>
      </c>
      <c r="K296" s="121">
        <v>0</v>
      </c>
      <c r="L296" s="121">
        <v>0</v>
      </c>
      <c r="M296" s="121">
        <v>0</v>
      </c>
      <c r="N296" s="121">
        <v>0</v>
      </c>
      <c r="O296" s="121">
        <v>0</v>
      </c>
      <c r="P296" s="121">
        <v>0</v>
      </c>
      <c r="Q296" s="121">
        <v>0</v>
      </c>
      <c r="R296" s="121">
        <v>0</v>
      </c>
      <c r="S296" s="121">
        <v>0</v>
      </c>
      <c r="T296" s="121">
        <v>0</v>
      </c>
      <c r="U296" s="121">
        <v>0</v>
      </c>
      <c r="V296" s="121" t="s">
        <v>1119</v>
      </c>
      <c r="W296" s="121">
        <v>0</v>
      </c>
      <c r="X296" s="121">
        <v>0</v>
      </c>
      <c r="Y296" s="121">
        <v>0</v>
      </c>
      <c r="Z296" s="121">
        <v>0</v>
      </c>
      <c r="AA296" s="121">
        <v>0</v>
      </c>
      <c r="AB296" s="121">
        <v>0</v>
      </c>
      <c r="AC296" s="121">
        <v>0</v>
      </c>
      <c r="AD296" s="121">
        <v>0</v>
      </c>
      <c r="AE296" s="121">
        <v>0</v>
      </c>
      <c r="AF296" s="121">
        <v>0</v>
      </c>
      <c r="AG296" s="121">
        <v>0</v>
      </c>
      <c r="AH296" s="121">
        <v>0</v>
      </c>
      <c r="AI296" s="121">
        <v>0</v>
      </c>
      <c r="AL296" s="14">
        <f t="shared" si="24"/>
        <v>0</v>
      </c>
      <c r="AM296">
        <f t="shared" si="25"/>
        <v>0</v>
      </c>
      <c r="AN296">
        <f t="shared" si="26"/>
        <v>0</v>
      </c>
      <c r="AP296">
        <f>VLOOKUP($B296,Kraftvärmeprod!$B$1:$BX$549,MATCH(AP$1,Kraftvärmeprod!$B$1:$BX$1,0),FALSE)</f>
        <v>0</v>
      </c>
      <c r="AQ296">
        <f>VLOOKUP($B296,Kraftvärmeprod!$B$1:$BX$549,MATCH(AQ$1,Kraftvärmeprod!$B$1:$BX$1,0),FALSE)</f>
        <v>0</v>
      </c>
      <c r="AR296">
        <f>VLOOKUP($B296,Kraftvärmeprod!$B$1:$BX$549,MATCH("Summa tillförd energi exklusive rökgaskondensering",Kraftvärmeprod!$B$1:$BX$1,0),FALSE)</f>
        <v>0</v>
      </c>
      <c r="AT296" s="17" t="str">
        <f t="shared" si="27"/>
        <v/>
      </c>
      <c r="AV296">
        <f t="shared" si="28"/>
        <v>0</v>
      </c>
      <c r="BA296" s="17" t="str">
        <f t="shared" si="29"/>
        <v/>
      </c>
    </row>
    <row r="297" spans="1:53" x14ac:dyDescent="0.25">
      <c r="A297" s="137" t="s">
        <v>591</v>
      </c>
      <c r="B297" s="137" t="s">
        <v>597</v>
      </c>
      <c r="C297" s="121"/>
      <c r="D297" s="121"/>
      <c r="E297" s="121"/>
      <c r="F297" s="121"/>
      <c r="G297" s="121"/>
      <c r="H297" s="121"/>
      <c r="I297" s="121"/>
      <c r="J297" s="121">
        <v>0</v>
      </c>
      <c r="K297" s="121">
        <v>0.13046099999999999</v>
      </c>
      <c r="L297" s="121">
        <v>0</v>
      </c>
      <c r="M297" s="121">
        <v>0</v>
      </c>
      <c r="N297" s="121">
        <v>0</v>
      </c>
      <c r="O297" s="121">
        <v>0</v>
      </c>
      <c r="P297" s="121">
        <v>35.121899999999997</v>
      </c>
      <c r="Q297" s="121">
        <v>24.8842</v>
      </c>
      <c r="R297" s="121">
        <v>13.989699999999999</v>
      </c>
      <c r="S297" s="121">
        <v>0</v>
      </c>
      <c r="T297" s="121">
        <v>0</v>
      </c>
      <c r="U297" s="121">
        <v>5.8413300000000001</v>
      </c>
      <c r="V297" s="121" t="s">
        <v>1119</v>
      </c>
      <c r="W297" s="121">
        <v>0</v>
      </c>
      <c r="X297" s="121">
        <v>0</v>
      </c>
      <c r="Y297" s="121">
        <v>0</v>
      </c>
      <c r="Z297" s="121">
        <v>10.664400000000001</v>
      </c>
      <c r="AA297" s="121">
        <v>0</v>
      </c>
      <c r="AB297" s="121">
        <v>0</v>
      </c>
      <c r="AC297" s="121">
        <v>0</v>
      </c>
      <c r="AD297" s="121">
        <v>0</v>
      </c>
      <c r="AE297" s="121">
        <v>0</v>
      </c>
      <c r="AF297" s="121">
        <v>0</v>
      </c>
      <c r="AG297" s="121">
        <v>0</v>
      </c>
      <c r="AH297" s="121">
        <v>21.395</v>
      </c>
      <c r="AI297" s="121">
        <v>2.5831</v>
      </c>
      <c r="AL297" s="14">
        <f t="shared" si="24"/>
        <v>114.610091</v>
      </c>
      <c r="AM297">
        <f t="shared" si="25"/>
        <v>112.026991</v>
      </c>
      <c r="AN297">
        <f t="shared" si="26"/>
        <v>90.631990999999999</v>
      </c>
      <c r="AP297">
        <f>VLOOKUP($B297,Kraftvärmeprod!$B$1:$BX$549,MATCH(AP$1,Kraftvärmeprod!$B$1:$BX$1,0),FALSE)</f>
        <v>100.76600000000001</v>
      </c>
      <c r="AQ297">
        <f>VLOOKUP($B297,Kraftvärmeprod!$B$1:$BX$549,MATCH(AQ$1,Kraftvärmeprod!$B$1:$BX$1,0),FALSE)</f>
        <v>36.1</v>
      </c>
      <c r="AR297">
        <f>VLOOKUP($B297,Kraftvärmeprod!$B$1:$BX$549,MATCH("Summa tillförd energi exklusive rökgaskondensering",Kraftvärmeprod!$B$1:$BX$1,0),FALSE)</f>
        <v>175.22199999999998</v>
      </c>
      <c r="AT297" s="17">
        <f t="shared" si="27"/>
        <v>0.51724093435755791</v>
      </c>
      <c r="AV297">
        <f t="shared" si="28"/>
        <v>90.501530000000002</v>
      </c>
      <c r="BA297" s="17">
        <f t="shared" si="29"/>
        <v>1.081005220495896</v>
      </c>
    </row>
    <row r="298" spans="1:53" x14ac:dyDescent="0.25">
      <c r="A298" s="137" t="s">
        <v>598</v>
      </c>
      <c r="B298" s="137" t="s">
        <v>599</v>
      </c>
      <c r="C298" s="121"/>
      <c r="D298" s="121"/>
      <c r="E298" s="121"/>
      <c r="F298" s="121"/>
      <c r="G298" s="121"/>
      <c r="H298" s="121"/>
      <c r="I298" s="121"/>
      <c r="J298" s="121">
        <v>0</v>
      </c>
      <c r="K298" s="121">
        <v>1.1005499999999999</v>
      </c>
      <c r="L298" s="121">
        <v>0</v>
      </c>
      <c r="M298" s="121">
        <v>0</v>
      </c>
      <c r="N298" s="121">
        <v>0</v>
      </c>
      <c r="O298" s="121">
        <v>0</v>
      </c>
      <c r="P298" s="121">
        <v>35.328099999999999</v>
      </c>
      <c r="Q298" s="121">
        <v>26.719799999999999</v>
      </c>
      <c r="R298" s="121">
        <v>14.320499999999999</v>
      </c>
      <c r="S298" s="121">
        <v>45.055100000000003</v>
      </c>
      <c r="T298" s="121">
        <v>6.5456500000000001E-2</v>
      </c>
      <c r="U298" s="121">
        <v>0</v>
      </c>
      <c r="V298" s="121" t="s">
        <v>1119</v>
      </c>
      <c r="W298" s="121">
        <v>0</v>
      </c>
      <c r="X298" s="121">
        <v>0</v>
      </c>
      <c r="Y298" s="121">
        <v>0</v>
      </c>
      <c r="Z298" s="121">
        <v>275.75700000000001</v>
      </c>
      <c r="AA298" s="121">
        <v>0</v>
      </c>
      <c r="AB298" s="121">
        <v>0</v>
      </c>
      <c r="AC298" s="121">
        <v>0</v>
      </c>
      <c r="AD298" s="121">
        <v>0</v>
      </c>
      <c r="AE298" s="121">
        <v>9.6829099999999994E-3</v>
      </c>
      <c r="AF298" s="121">
        <v>0</v>
      </c>
      <c r="AG298" s="121">
        <v>0</v>
      </c>
      <c r="AH298" s="121">
        <v>144.01300000000001</v>
      </c>
      <c r="AI298" s="121">
        <v>13.495799999999999</v>
      </c>
      <c r="AL298" s="14">
        <f t="shared" si="24"/>
        <v>555.86498941000002</v>
      </c>
      <c r="AM298">
        <f t="shared" si="25"/>
        <v>542.36918940999999</v>
      </c>
      <c r="AN298">
        <f t="shared" si="26"/>
        <v>398.35618940999996</v>
      </c>
      <c r="AP298">
        <f>VLOOKUP($B298,Kraftvärmeprod!$B$1:$BX$549,MATCH(AP$1,Kraftvärmeprod!$B$1:$BX$1,0),FALSE)</f>
        <v>532.70899999999995</v>
      </c>
      <c r="AQ298">
        <f>VLOOKUP($B298,Kraftvärmeprod!$B$1:$BX$549,MATCH(AQ$1,Kraftvärmeprod!$B$1:$BX$1,0),FALSE)</f>
        <v>263.33600000000001</v>
      </c>
      <c r="AR298">
        <f>VLOOKUP($B298,Kraftvärmeprod!$B$1:$BX$549,MATCH("Summa tillförd energi exklusive rökgaskondensering",Kraftvärmeprod!$B$1:$BX$1,0),FALSE)</f>
        <v>911.24799999999993</v>
      </c>
      <c r="AT298" s="17">
        <f t="shared" si="27"/>
        <v>0.43715452808675576</v>
      </c>
      <c r="AV298">
        <f t="shared" si="28"/>
        <v>397.24595650000003</v>
      </c>
      <c r="BA298" s="17">
        <f t="shared" si="29"/>
        <v>1.2934476795004297</v>
      </c>
    </row>
    <row r="299" spans="1:53" x14ac:dyDescent="0.25">
      <c r="A299" s="137" t="s">
        <v>600</v>
      </c>
      <c r="B299" s="137" t="s">
        <v>132</v>
      </c>
      <c r="C299" s="121"/>
      <c r="D299" s="121"/>
      <c r="E299" s="121"/>
      <c r="F299" s="121"/>
      <c r="G299" s="121"/>
      <c r="H299" s="121"/>
      <c r="I299" s="121"/>
      <c r="J299" s="121">
        <v>0</v>
      </c>
      <c r="K299" s="121">
        <v>0</v>
      </c>
      <c r="L299" s="121">
        <v>0</v>
      </c>
      <c r="M299" s="121">
        <v>0</v>
      </c>
      <c r="N299" s="121">
        <v>0</v>
      </c>
      <c r="O299" s="121">
        <v>0</v>
      </c>
      <c r="P299" s="121">
        <v>0</v>
      </c>
      <c r="Q299" s="121">
        <v>0</v>
      </c>
      <c r="R299" s="121">
        <v>0</v>
      </c>
      <c r="S299" s="121">
        <v>0</v>
      </c>
      <c r="T299" s="121">
        <v>0</v>
      </c>
      <c r="U299" s="121">
        <v>0</v>
      </c>
      <c r="V299" s="121" t="s">
        <v>1119</v>
      </c>
      <c r="W299" s="121">
        <v>0</v>
      </c>
      <c r="X299" s="121">
        <v>0</v>
      </c>
      <c r="Y299" s="121">
        <v>0</v>
      </c>
      <c r="Z299" s="121">
        <v>0</v>
      </c>
      <c r="AA299" s="121">
        <v>0</v>
      </c>
      <c r="AB299" s="121">
        <v>0</v>
      </c>
      <c r="AC299" s="121">
        <v>0</v>
      </c>
      <c r="AD299" s="121">
        <v>0</v>
      </c>
      <c r="AE299" s="121">
        <v>0</v>
      </c>
      <c r="AF299" s="121">
        <v>0</v>
      </c>
      <c r="AG299" s="121">
        <v>0</v>
      </c>
      <c r="AH299" s="121">
        <v>0</v>
      </c>
      <c r="AI299" s="121">
        <v>0</v>
      </c>
      <c r="AL299" s="14">
        <f t="shared" si="24"/>
        <v>0</v>
      </c>
      <c r="AM299">
        <f t="shared" si="25"/>
        <v>0</v>
      </c>
      <c r="AN299">
        <f t="shared" si="26"/>
        <v>0</v>
      </c>
      <c r="AP299">
        <f>VLOOKUP($B299,Kraftvärmeprod!$B$1:$BX$549,MATCH(AP$1,Kraftvärmeprod!$B$1:$BX$1,0),FALSE)</f>
        <v>0</v>
      </c>
      <c r="AQ299">
        <f>VLOOKUP($B299,Kraftvärmeprod!$B$1:$BX$549,MATCH(AQ$1,Kraftvärmeprod!$B$1:$BX$1,0),FALSE)</f>
        <v>0</v>
      </c>
      <c r="AR299">
        <f>VLOOKUP($B299,Kraftvärmeprod!$B$1:$BX$549,MATCH("Summa tillförd energi exklusive rökgaskondensering",Kraftvärmeprod!$B$1:$BX$1,0),FALSE)</f>
        <v>0</v>
      </c>
      <c r="AT299" s="17" t="str">
        <f t="shared" si="27"/>
        <v/>
      </c>
      <c r="AV299">
        <f t="shared" si="28"/>
        <v>0</v>
      </c>
      <c r="BA299" s="17" t="str">
        <f t="shared" si="29"/>
        <v/>
      </c>
    </row>
    <row r="300" spans="1:53" x14ac:dyDescent="0.25">
      <c r="A300" s="137" t="s">
        <v>601</v>
      </c>
      <c r="B300" s="137" t="s">
        <v>602</v>
      </c>
      <c r="C300" s="121"/>
      <c r="D300" s="121"/>
      <c r="E300" s="121"/>
      <c r="F300" s="121"/>
      <c r="G300" s="121"/>
      <c r="H300" s="121"/>
      <c r="I300" s="121"/>
      <c r="J300" s="121">
        <v>0</v>
      </c>
      <c r="K300" s="121">
        <v>0</v>
      </c>
      <c r="L300" s="121">
        <v>0</v>
      </c>
      <c r="M300" s="121">
        <v>0</v>
      </c>
      <c r="N300" s="121">
        <v>0</v>
      </c>
      <c r="O300" s="121">
        <v>0</v>
      </c>
      <c r="P300" s="121">
        <v>0</v>
      </c>
      <c r="Q300" s="121">
        <v>0</v>
      </c>
      <c r="R300" s="121">
        <v>0</v>
      </c>
      <c r="S300" s="121">
        <v>0</v>
      </c>
      <c r="T300" s="121">
        <v>0</v>
      </c>
      <c r="U300" s="121">
        <v>0</v>
      </c>
      <c r="V300" s="121" t="s">
        <v>1119</v>
      </c>
      <c r="W300" s="121">
        <v>0</v>
      </c>
      <c r="X300" s="121">
        <v>0</v>
      </c>
      <c r="Y300" s="121">
        <v>0</v>
      </c>
      <c r="Z300" s="121">
        <v>0</v>
      </c>
      <c r="AA300" s="121">
        <v>0</v>
      </c>
      <c r="AB300" s="121">
        <v>0</v>
      </c>
      <c r="AC300" s="121">
        <v>0</v>
      </c>
      <c r="AD300" s="121">
        <v>0</v>
      </c>
      <c r="AE300" s="121">
        <v>0</v>
      </c>
      <c r="AF300" s="121">
        <v>0</v>
      </c>
      <c r="AG300" s="121">
        <v>0</v>
      </c>
      <c r="AH300" s="121">
        <v>0</v>
      </c>
      <c r="AI300" s="121">
        <v>0</v>
      </c>
      <c r="AL300" s="14">
        <f t="shared" si="24"/>
        <v>0</v>
      </c>
      <c r="AM300">
        <f t="shared" si="25"/>
        <v>0</v>
      </c>
      <c r="AN300">
        <f t="shared" si="26"/>
        <v>0</v>
      </c>
      <c r="AP300">
        <f>VLOOKUP($B300,Kraftvärmeprod!$B$1:$BX$549,MATCH(AP$1,Kraftvärmeprod!$B$1:$BX$1,0),FALSE)</f>
        <v>0</v>
      </c>
      <c r="AQ300">
        <f>VLOOKUP($B300,Kraftvärmeprod!$B$1:$BX$549,MATCH(AQ$1,Kraftvärmeprod!$B$1:$BX$1,0),FALSE)</f>
        <v>0</v>
      </c>
      <c r="AR300">
        <f>VLOOKUP($B300,Kraftvärmeprod!$B$1:$BX$549,MATCH("Summa tillförd energi exklusive rökgaskondensering",Kraftvärmeprod!$B$1:$BX$1,0),FALSE)</f>
        <v>0</v>
      </c>
      <c r="AT300" s="17" t="str">
        <f t="shared" si="27"/>
        <v/>
      </c>
      <c r="AV300">
        <f t="shared" si="28"/>
        <v>0</v>
      </c>
      <c r="BA300" s="17" t="str">
        <f t="shared" si="29"/>
        <v/>
      </c>
    </row>
    <row r="301" spans="1:53" x14ac:dyDescent="0.25">
      <c r="A301" s="137" t="s">
        <v>601</v>
      </c>
      <c r="B301" s="137" t="s">
        <v>603</v>
      </c>
      <c r="C301" s="121"/>
      <c r="D301" s="121"/>
      <c r="E301" s="121"/>
      <c r="F301" s="121"/>
      <c r="G301" s="121"/>
      <c r="H301" s="121"/>
      <c r="I301" s="121"/>
      <c r="J301" s="121">
        <v>0</v>
      </c>
      <c r="K301" s="121">
        <v>0</v>
      </c>
      <c r="L301" s="121">
        <v>0</v>
      </c>
      <c r="M301" s="121">
        <v>0</v>
      </c>
      <c r="N301" s="121">
        <v>0</v>
      </c>
      <c r="O301" s="121">
        <v>0</v>
      </c>
      <c r="P301" s="121">
        <v>5.58134</v>
      </c>
      <c r="Q301" s="121">
        <v>0</v>
      </c>
      <c r="R301" s="121">
        <v>6.06668E-2</v>
      </c>
      <c r="S301" s="121">
        <v>0</v>
      </c>
      <c r="T301" s="121">
        <v>0</v>
      </c>
      <c r="U301" s="121">
        <v>0</v>
      </c>
      <c r="V301" s="121" t="s">
        <v>1119</v>
      </c>
      <c r="W301" s="121">
        <v>0</v>
      </c>
      <c r="X301" s="121">
        <v>0</v>
      </c>
      <c r="Y301" s="121">
        <v>0</v>
      </c>
      <c r="Z301" s="121">
        <v>96.096100000000007</v>
      </c>
      <c r="AA301" s="121">
        <v>0</v>
      </c>
      <c r="AB301" s="121">
        <v>6.6523700000000005E-2</v>
      </c>
      <c r="AC301" s="121">
        <v>0</v>
      </c>
      <c r="AD301" s="121">
        <v>0</v>
      </c>
      <c r="AE301" s="121">
        <v>0</v>
      </c>
      <c r="AF301" s="121">
        <v>0</v>
      </c>
      <c r="AG301" s="121">
        <v>0</v>
      </c>
      <c r="AH301" s="121">
        <v>0</v>
      </c>
      <c r="AI301" s="121">
        <v>1.7837000000000001</v>
      </c>
      <c r="AL301" s="14">
        <f t="shared" si="24"/>
        <v>103.58833050000001</v>
      </c>
      <c r="AM301">
        <f t="shared" si="25"/>
        <v>101.80463050000002</v>
      </c>
      <c r="AN301">
        <f t="shared" si="26"/>
        <v>101.80463050000002</v>
      </c>
      <c r="AP301">
        <f>VLOOKUP($B301,Kraftvärmeprod!$B$1:$BX$549,MATCH(AP$1,Kraftvärmeprod!$B$1:$BX$1,0),FALSE)</f>
        <v>102.9</v>
      </c>
      <c r="AQ301">
        <f>VLOOKUP($B301,Kraftvärmeprod!$B$1:$BX$549,MATCH(AQ$1,Kraftvärmeprod!$B$1:$BX$1,0),FALSE)</f>
        <v>25.6</v>
      </c>
      <c r="AR301">
        <f>VLOOKUP($B301,Kraftvärmeprod!$B$1:$BX$549,MATCH("Summa tillförd energi exklusive rökgaskondensering",Kraftvärmeprod!$B$1:$BX$1,0),FALSE)</f>
        <v>167.8</v>
      </c>
      <c r="AT301" s="17">
        <f t="shared" si="27"/>
        <v>0.60670220798569729</v>
      </c>
      <c r="AV301">
        <f t="shared" si="28"/>
        <v>101.80463050000002</v>
      </c>
      <c r="BA301" s="17">
        <f t="shared" si="29"/>
        <v>0.99335513472726533</v>
      </c>
    </row>
    <row r="302" spans="1:53" x14ac:dyDescent="0.25">
      <c r="A302" s="137" t="s">
        <v>601</v>
      </c>
      <c r="B302" s="137" t="s">
        <v>604</v>
      </c>
      <c r="C302" s="121"/>
      <c r="D302" s="121"/>
      <c r="E302" s="121"/>
      <c r="F302" s="121"/>
      <c r="G302" s="121"/>
      <c r="H302" s="121"/>
      <c r="I302" s="121"/>
      <c r="J302" s="121">
        <v>0</v>
      </c>
      <c r="K302" s="121">
        <v>0</v>
      </c>
      <c r="L302" s="121">
        <v>0</v>
      </c>
      <c r="M302" s="121">
        <v>0</v>
      </c>
      <c r="N302" s="121">
        <v>0</v>
      </c>
      <c r="O302" s="121">
        <v>0</v>
      </c>
      <c r="P302" s="121">
        <v>0</v>
      </c>
      <c r="Q302" s="121">
        <v>0</v>
      </c>
      <c r="R302" s="121">
        <v>0</v>
      </c>
      <c r="S302" s="121">
        <v>0</v>
      </c>
      <c r="T302" s="121">
        <v>0</v>
      </c>
      <c r="U302" s="121">
        <v>0</v>
      </c>
      <c r="V302" s="121" t="s">
        <v>1119</v>
      </c>
      <c r="W302" s="121">
        <v>0</v>
      </c>
      <c r="X302" s="121">
        <v>0</v>
      </c>
      <c r="Y302" s="121">
        <v>0</v>
      </c>
      <c r="Z302" s="121">
        <v>0</v>
      </c>
      <c r="AA302" s="121">
        <v>0</v>
      </c>
      <c r="AB302" s="121">
        <v>0</v>
      </c>
      <c r="AC302" s="121">
        <v>0</v>
      </c>
      <c r="AD302" s="121">
        <v>0</v>
      </c>
      <c r="AE302" s="121">
        <v>0</v>
      </c>
      <c r="AF302" s="121">
        <v>0</v>
      </c>
      <c r="AG302" s="121">
        <v>0</v>
      </c>
      <c r="AH302" s="121">
        <v>0</v>
      </c>
      <c r="AI302" s="121">
        <v>0</v>
      </c>
      <c r="AL302" s="14">
        <f t="shared" si="24"/>
        <v>0</v>
      </c>
      <c r="AM302">
        <f t="shared" si="25"/>
        <v>0</v>
      </c>
      <c r="AN302">
        <f t="shared" si="26"/>
        <v>0</v>
      </c>
      <c r="AP302">
        <f>VLOOKUP($B302,Kraftvärmeprod!$B$1:$BX$549,MATCH(AP$1,Kraftvärmeprod!$B$1:$BX$1,0),FALSE)</f>
        <v>0</v>
      </c>
      <c r="AQ302">
        <f>VLOOKUP($B302,Kraftvärmeprod!$B$1:$BX$549,MATCH(AQ$1,Kraftvärmeprod!$B$1:$BX$1,0),FALSE)</f>
        <v>0</v>
      </c>
      <c r="AR302">
        <f>VLOOKUP($B302,Kraftvärmeprod!$B$1:$BX$549,MATCH("Summa tillförd energi exklusive rökgaskondensering",Kraftvärmeprod!$B$1:$BX$1,0),FALSE)</f>
        <v>0</v>
      </c>
      <c r="AT302" s="17" t="str">
        <f t="shared" si="27"/>
        <v/>
      </c>
      <c r="AV302">
        <f t="shared" si="28"/>
        <v>0</v>
      </c>
      <c r="BA302" s="17" t="str">
        <f t="shared" si="29"/>
        <v/>
      </c>
    </row>
    <row r="303" spans="1:53" x14ac:dyDescent="0.25">
      <c r="A303" s="137" t="s">
        <v>601</v>
      </c>
      <c r="B303" s="137" t="s">
        <v>605</v>
      </c>
      <c r="C303" s="121"/>
      <c r="D303" s="121"/>
      <c r="E303" s="121"/>
      <c r="F303" s="121"/>
      <c r="G303" s="121"/>
      <c r="H303" s="121"/>
      <c r="I303" s="121"/>
      <c r="J303" s="121">
        <v>32</v>
      </c>
      <c r="K303" s="121">
        <v>8.5</v>
      </c>
      <c r="L303" s="121">
        <v>0</v>
      </c>
      <c r="M303" s="121">
        <v>16</v>
      </c>
      <c r="N303" s="121">
        <v>0</v>
      </c>
      <c r="O303" s="121">
        <v>28.9</v>
      </c>
      <c r="P303" s="121">
        <v>12</v>
      </c>
      <c r="Q303" s="121">
        <v>1.2</v>
      </c>
      <c r="R303" s="121">
        <v>2.4</v>
      </c>
      <c r="S303" s="121">
        <v>0</v>
      </c>
      <c r="T303" s="121">
        <v>0</v>
      </c>
      <c r="U303" s="121">
        <v>18.5</v>
      </c>
      <c r="V303" s="121" t="s">
        <v>1119</v>
      </c>
      <c r="W303" s="121">
        <v>0</v>
      </c>
      <c r="X303" s="121">
        <v>0</v>
      </c>
      <c r="Y303" s="121">
        <v>0</v>
      </c>
      <c r="Z303" s="121">
        <v>93.4</v>
      </c>
      <c r="AA303" s="121">
        <v>0</v>
      </c>
      <c r="AB303" s="121">
        <v>0</v>
      </c>
      <c r="AC303" s="121">
        <v>0</v>
      </c>
      <c r="AD303" s="121">
        <v>0</v>
      </c>
      <c r="AE303" s="121">
        <v>541.6</v>
      </c>
      <c r="AF303" s="121">
        <v>0</v>
      </c>
      <c r="AG303" s="121">
        <v>0</v>
      </c>
      <c r="AH303" s="121">
        <v>191.3</v>
      </c>
      <c r="AI303" s="121">
        <v>39.799999999999997</v>
      </c>
      <c r="AL303" s="14">
        <f t="shared" si="24"/>
        <v>985.59999999999991</v>
      </c>
      <c r="AM303">
        <f t="shared" si="25"/>
        <v>945.8</v>
      </c>
      <c r="AN303">
        <f t="shared" si="26"/>
        <v>754.5</v>
      </c>
      <c r="AP303">
        <f>VLOOKUP($B303,Kraftvärmeprod!$B$1:$BX$549,MATCH(AP$1,Kraftvärmeprod!$B$1:$BX$1,0),FALSE)</f>
        <v>1207.2</v>
      </c>
      <c r="AQ303">
        <f>VLOOKUP($B303,Kraftvärmeprod!$B$1:$BX$549,MATCH(AQ$1,Kraftvärmeprod!$B$1:$BX$1,0),FALSE)</f>
        <v>220</v>
      </c>
      <c r="AR303">
        <f>VLOOKUP($B303,Kraftvärmeprod!$B$1:$BX$549,MATCH("Summa tillförd energi exklusive rökgaskondensering",Kraftvärmeprod!$B$1:$BX$1,0),FALSE)</f>
        <v>1421.4</v>
      </c>
      <c r="AT303" s="17">
        <f t="shared" si="27"/>
        <v>0.53081468974250734</v>
      </c>
      <c r="AV303">
        <f t="shared" si="28"/>
        <v>127.5</v>
      </c>
      <c r="BA303" s="17">
        <f t="shared" si="29"/>
        <v>1.5198287800579127</v>
      </c>
    </row>
    <row r="304" spans="1:53" x14ac:dyDescent="0.25">
      <c r="A304" s="137" t="s">
        <v>601</v>
      </c>
      <c r="B304" s="137" t="s">
        <v>606</v>
      </c>
      <c r="C304" s="121"/>
      <c r="D304" s="121"/>
      <c r="E304" s="121"/>
      <c r="F304" s="121"/>
      <c r="G304" s="121"/>
      <c r="H304" s="121"/>
      <c r="I304" s="121"/>
      <c r="J304" s="121">
        <v>0</v>
      </c>
      <c r="K304" s="121">
        <v>0</v>
      </c>
      <c r="L304" s="121">
        <v>0</v>
      </c>
      <c r="M304" s="121">
        <v>0</v>
      </c>
      <c r="N304" s="121">
        <v>0</v>
      </c>
      <c r="O304" s="121">
        <v>0</v>
      </c>
      <c r="P304" s="121">
        <v>0</v>
      </c>
      <c r="Q304" s="121">
        <v>0</v>
      </c>
      <c r="R304" s="121">
        <v>0</v>
      </c>
      <c r="S304" s="121">
        <v>0</v>
      </c>
      <c r="T304" s="121">
        <v>0</v>
      </c>
      <c r="U304" s="121">
        <v>0</v>
      </c>
      <c r="V304" s="121" t="s">
        <v>1119</v>
      </c>
      <c r="W304" s="121">
        <v>0</v>
      </c>
      <c r="X304" s="121">
        <v>0</v>
      </c>
      <c r="Y304" s="121">
        <v>0</v>
      </c>
      <c r="Z304" s="121">
        <v>0</v>
      </c>
      <c r="AA304" s="121">
        <v>0</v>
      </c>
      <c r="AB304" s="121">
        <v>0</v>
      </c>
      <c r="AC304" s="121">
        <v>0</v>
      </c>
      <c r="AD304" s="121">
        <v>0</v>
      </c>
      <c r="AE304" s="121">
        <v>0</v>
      </c>
      <c r="AF304" s="121">
        <v>0</v>
      </c>
      <c r="AG304" s="121">
        <v>0</v>
      </c>
      <c r="AH304" s="121">
        <v>0</v>
      </c>
      <c r="AI304" s="121">
        <v>0</v>
      </c>
      <c r="AL304" s="14">
        <f t="shared" si="24"/>
        <v>0</v>
      </c>
      <c r="AM304">
        <f t="shared" si="25"/>
        <v>0</v>
      </c>
      <c r="AN304">
        <f t="shared" si="26"/>
        <v>0</v>
      </c>
      <c r="AP304">
        <f>VLOOKUP($B304,Kraftvärmeprod!$B$1:$BX$549,MATCH(AP$1,Kraftvärmeprod!$B$1:$BX$1,0),FALSE)</f>
        <v>0</v>
      </c>
      <c r="AQ304">
        <f>VLOOKUP($B304,Kraftvärmeprod!$B$1:$BX$549,MATCH(AQ$1,Kraftvärmeprod!$B$1:$BX$1,0),FALSE)</f>
        <v>0</v>
      </c>
      <c r="AR304">
        <f>VLOOKUP($B304,Kraftvärmeprod!$B$1:$BX$549,MATCH("Summa tillförd energi exklusive rökgaskondensering",Kraftvärmeprod!$B$1:$BX$1,0),FALSE)</f>
        <v>0</v>
      </c>
      <c r="AT304" s="17" t="str">
        <f t="shared" si="27"/>
        <v/>
      </c>
      <c r="AV304">
        <f t="shared" si="28"/>
        <v>0</v>
      </c>
      <c r="BA304" s="17" t="str">
        <f t="shared" si="29"/>
        <v/>
      </c>
    </row>
    <row r="305" spans="1:53" x14ac:dyDescent="0.25">
      <c r="A305" s="137" t="s">
        <v>601</v>
      </c>
      <c r="B305" s="137" t="s">
        <v>607</v>
      </c>
      <c r="C305" s="121"/>
      <c r="D305" s="121"/>
      <c r="E305" s="121"/>
      <c r="F305" s="121"/>
      <c r="G305" s="121"/>
      <c r="H305" s="121"/>
      <c r="I305" s="121"/>
      <c r="J305" s="121">
        <v>0</v>
      </c>
      <c r="K305" s="121">
        <v>0</v>
      </c>
      <c r="L305" s="121">
        <v>0</v>
      </c>
      <c r="M305" s="121">
        <v>0</v>
      </c>
      <c r="N305" s="121">
        <v>0</v>
      </c>
      <c r="O305" s="121">
        <v>0</v>
      </c>
      <c r="P305" s="121">
        <v>0</v>
      </c>
      <c r="Q305" s="121">
        <v>0</v>
      </c>
      <c r="R305" s="121">
        <v>0</v>
      </c>
      <c r="S305" s="121">
        <v>0</v>
      </c>
      <c r="T305" s="121">
        <v>0</v>
      </c>
      <c r="U305" s="121">
        <v>0</v>
      </c>
      <c r="V305" s="121" t="s">
        <v>1119</v>
      </c>
      <c r="W305" s="121">
        <v>0</v>
      </c>
      <c r="X305" s="121">
        <v>0</v>
      </c>
      <c r="Y305" s="121">
        <v>0</v>
      </c>
      <c r="Z305" s="121">
        <v>0</v>
      </c>
      <c r="AA305" s="121">
        <v>0</v>
      </c>
      <c r="AB305" s="121">
        <v>0</v>
      </c>
      <c r="AC305" s="121">
        <v>0</v>
      </c>
      <c r="AD305" s="121">
        <v>0</v>
      </c>
      <c r="AE305" s="121">
        <v>0</v>
      </c>
      <c r="AF305" s="121">
        <v>0</v>
      </c>
      <c r="AG305" s="121">
        <v>0</v>
      </c>
      <c r="AH305" s="121">
        <v>0</v>
      </c>
      <c r="AI305" s="121">
        <v>0</v>
      </c>
      <c r="AL305" s="14">
        <f t="shared" si="24"/>
        <v>0</v>
      </c>
      <c r="AM305">
        <f t="shared" si="25"/>
        <v>0</v>
      </c>
      <c r="AN305">
        <f t="shared" si="26"/>
        <v>0</v>
      </c>
      <c r="AP305">
        <f>VLOOKUP($B305,Kraftvärmeprod!$B$1:$BX$549,MATCH(AP$1,Kraftvärmeprod!$B$1:$BX$1,0),FALSE)</f>
        <v>0</v>
      </c>
      <c r="AQ305">
        <f>VLOOKUP($B305,Kraftvärmeprod!$B$1:$BX$549,MATCH(AQ$1,Kraftvärmeprod!$B$1:$BX$1,0),FALSE)</f>
        <v>0</v>
      </c>
      <c r="AR305">
        <f>VLOOKUP($B305,Kraftvärmeprod!$B$1:$BX$549,MATCH("Summa tillförd energi exklusive rökgaskondensering",Kraftvärmeprod!$B$1:$BX$1,0),FALSE)</f>
        <v>0</v>
      </c>
      <c r="AT305" s="17" t="str">
        <f t="shared" si="27"/>
        <v/>
      </c>
      <c r="AV305">
        <f t="shared" si="28"/>
        <v>0</v>
      </c>
      <c r="BA305" s="17" t="str">
        <f t="shared" si="29"/>
        <v/>
      </c>
    </row>
    <row r="306" spans="1:53" x14ac:dyDescent="0.25">
      <c r="A306" s="137" t="s">
        <v>608</v>
      </c>
      <c r="B306" s="137" t="s">
        <v>609</v>
      </c>
      <c r="C306" s="121"/>
      <c r="D306" s="121"/>
      <c r="E306" s="121"/>
      <c r="F306" s="121"/>
      <c r="G306" s="121"/>
      <c r="H306" s="121"/>
      <c r="I306" s="121"/>
      <c r="J306" s="121">
        <v>0</v>
      </c>
      <c r="K306" s="121">
        <v>0</v>
      </c>
      <c r="L306" s="121">
        <v>0</v>
      </c>
      <c r="M306" s="121">
        <v>0</v>
      </c>
      <c r="N306" s="121">
        <v>0</v>
      </c>
      <c r="O306" s="121">
        <v>0</v>
      </c>
      <c r="P306" s="121">
        <v>0</v>
      </c>
      <c r="Q306" s="121">
        <v>0</v>
      </c>
      <c r="R306" s="121">
        <v>0</v>
      </c>
      <c r="S306" s="121">
        <v>0</v>
      </c>
      <c r="T306" s="121">
        <v>0</v>
      </c>
      <c r="U306" s="121">
        <v>0</v>
      </c>
      <c r="V306" s="121" t="s">
        <v>1119</v>
      </c>
      <c r="W306" s="121">
        <v>0</v>
      </c>
      <c r="X306" s="121">
        <v>0</v>
      </c>
      <c r="Y306" s="121">
        <v>0</v>
      </c>
      <c r="Z306" s="121">
        <v>0</v>
      </c>
      <c r="AA306" s="121">
        <v>0</v>
      </c>
      <c r="AB306" s="121">
        <v>0</v>
      </c>
      <c r="AC306" s="121">
        <v>0</v>
      </c>
      <c r="AD306" s="121">
        <v>0</v>
      </c>
      <c r="AE306" s="121">
        <v>0</v>
      </c>
      <c r="AF306" s="121">
        <v>0</v>
      </c>
      <c r="AG306" s="121">
        <v>0</v>
      </c>
      <c r="AH306" s="121">
        <v>0</v>
      </c>
      <c r="AI306" s="121">
        <v>0</v>
      </c>
      <c r="AL306" s="14">
        <f t="shared" si="24"/>
        <v>0</v>
      </c>
      <c r="AM306">
        <f t="shared" si="25"/>
        <v>0</v>
      </c>
      <c r="AN306">
        <f t="shared" si="26"/>
        <v>0</v>
      </c>
      <c r="AP306">
        <f>VLOOKUP($B306,Kraftvärmeprod!$B$1:$BX$549,MATCH(AP$1,Kraftvärmeprod!$B$1:$BX$1,0),FALSE)</f>
        <v>0</v>
      </c>
      <c r="AQ306">
        <f>VLOOKUP($B306,Kraftvärmeprod!$B$1:$BX$549,MATCH(AQ$1,Kraftvärmeprod!$B$1:$BX$1,0),FALSE)</f>
        <v>0</v>
      </c>
      <c r="AR306">
        <f>VLOOKUP($B306,Kraftvärmeprod!$B$1:$BX$549,MATCH("Summa tillförd energi exklusive rökgaskondensering",Kraftvärmeprod!$B$1:$BX$1,0),FALSE)</f>
        <v>0</v>
      </c>
      <c r="AT306" s="17" t="str">
        <f t="shared" si="27"/>
        <v/>
      </c>
      <c r="AV306">
        <f t="shared" si="28"/>
        <v>0</v>
      </c>
      <c r="BA306" s="17" t="str">
        <f t="shared" si="29"/>
        <v/>
      </c>
    </row>
    <row r="307" spans="1:53" x14ac:dyDescent="0.25">
      <c r="A307" s="137" t="s">
        <v>608</v>
      </c>
      <c r="B307" s="137" t="s">
        <v>610</v>
      </c>
      <c r="C307" s="121"/>
      <c r="D307" s="121"/>
      <c r="E307" s="121"/>
      <c r="F307" s="121"/>
      <c r="G307" s="121"/>
      <c r="H307" s="121"/>
      <c r="I307" s="121"/>
      <c r="J307" s="121">
        <v>0</v>
      </c>
      <c r="K307" s="121">
        <v>0.97606499999999996</v>
      </c>
      <c r="L307" s="121">
        <v>0</v>
      </c>
      <c r="M307" s="121">
        <v>0</v>
      </c>
      <c r="N307" s="121">
        <v>0</v>
      </c>
      <c r="O307" s="121">
        <v>0</v>
      </c>
      <c r="P307" s="121">
        <v>29.716799999999999</v>
      </c>
      <c r="Q307" s="121">
        <v>22.4757</v>
      </c>
      <c r="R307" s="121">
        <v>12.0398</v>
      </c>
      <c r="S307" s="121">
        <v>37.898499999999999</v>
      </c>
      <c r="T307" s="121">
        <v>5.4293599999999997E-2</v>
      </c>
      <c r="U307" s="121">
        <v>0</v>
      </c>
      <c r="V307" s="121" t="s">
        <v>1119</v>
      </c>
      <c r="W307" s="121">
        <v>0</v>
      </c>
      <c r="X307" s="121">
        <v>0</v>
      </c>
      <c r="Y307" s="121">
        <v>0</v>
      </c>
      <c r="Z307" s="121">
        <v>231.827</v>
      </c>
      <c r="AA307" s="121">
        <v>0</v>
      </c>
      <c r="AB307" s="121">
        <v>0</v>
      </c>
      <c r="AC307" s="121">
        <v>0</v>
      </c>
      <c r="AD307" s="121">
        <v>0</v>
      </c>
      <c r="AE307" s="121">
        <v>7.7562300000000002E-3</v>
      </c>
      <c r="AF307" s="121">
        <v>0</v>
      </c>
      <c r="AG307" s="121">
        <v>0</v>
      </c>
      <c r="AH307" s="121">
        <v>118.84</v>
      </c>
      <c r="AI307" s="121">
        <v>11.327</v>
      </c>
      <c r="AL307" s="14">
        <f t="shared" si="24"/>
        <v>465.16291482999998</v>
      </c>
      <c r="AM307">
        <f t="shared" si="25"/>
        <v>453.83591482999998</v>
      </c>
      <c r="AN307">
        <f t="shared" si="26"/>
        <v>334.99591482999995</v>
      </c>
      <c r="AP307">
        <f>VLOOKUP($B307,Kraftvärmeprod!$B$1:$BX$549,MATCH(AP$1,Kraftvärmeprod!$B$1:$BX$1,0),FALSE)</f>
        <v>448</v>
      </c>
      <c r="AQ307">
        <f>VLOOKUP($B307,Kraftvärmeprod!$B$1:$BX$549,MATCH(AQ$1,Kraftvärmeprod!$B$1:$BX$1,0),FALSE)</f>
        <v>221</v>
      </c>
      <c r="AR307">
        <f>VLOOKUP($B307,Kraftvärmeprod!$B$1:$BX$549,MATCH("Summa tillförd energi exklusive rökgaskondensering",Kraftvärmeprod!$B$1:$BX$1,0),FALSE)</f>
        <v>765.39800000000002</v>
      </c>
      <c r="AT307" s="17">
        <f t="shared" si="27"/>
        <v>0.43767545098105815</v>
      </c>
      <c r="AV307">
        <f t="shared" si="28"/>
        <v>334.01209359999996</v>
      </c>
      <c r="BA307" s="17">
        <f t="shared" si="29"/>
        <v>1.2935904059941008</v>
      </c>
    </row>
    <row r="308" spans="1:53" x14ac:dyDescent="0.25">
      <c r="A308" s="137" t="s">
        <v>611</v>
      </c>
      <c r="B308" s="137" t="s">
        <v>612</v>
      </c>
      <c r="C308" s="121"/>
      <c r="D308" s="121"/>
      <c r="E308" s="121"/>
      <c r="F308" s="121"/>
      <c r="G308" s="121"/>
      <c r="H308" s="121"/>
      <c r="I308" s="121"/>
      <c r="J308" s="121">
        <v>0</v>
      </c>
      <c r="K308" s="121">
        <v>2.3510699999999999E-2</v>
      </c>
      <c r="L308" s="121">
        <v>0</v>
      </c>
      <c r="M308" s="121">
        <v>0</v>
      </c>
      <c r="N308" s="121">
        <v>0</v>
      </c>
      <c r="O308" s="121">
        <v>0</v>
      </c>
      <c r="P308" s="121">
        <v>0.95897699999999997</v>
      </c>
      <c r="Q308" s="121">
        <v>0</v>
      </c>
      <c r="R308" s="121">
        <v>0</v>
      </c>
      <c r="S308" s="121">
        <v>0</v>
      </c>
      <c r="T308" s="121">
        <v>0</v>
      </c>
      <c r="U308" s="121">
        <v>0</v>
      </c>
      <c r="V308" s="121" t="s">
        <v>1119</v>
      </c>
      <c r="W308" s="121">
        <v>0</v>
      </c>
      <c r="X308" s="121">
        <v>0</v>
      </c>
      <c r="Y308" s="121">
        <v>0</v>
      </c>
      <c r="Z308" s="121">
        <v>44.516500000000001</v>
      </c>
      <c r="AA308" s="121">
        <v>0</v>
      </c>
      <c r="AB308" s="121">
        <v>0</v>
      </c>
      <c r="AC308" s="121">
        <v>0.19031999999999999</v>
      </c>
      <c r="AD308" s="121">
        <v>0</v>
      </c>
      <c r="AE308" s="121">
        <v>2.0185700000000001E-2</v>
      </c>
      <c r="AF308" s="121">
        <v>0</v>
      </c>
      <c r="AG308" s="121">
        <v>0</v>
      </c>
      <c r="AH308" s="121">
        <v>0</v>
      </c>
      <c r="AI308" s="121">
        <v>1.53806</v>
      </c>
      <c r="AL308" s="14">
        <f t="shared" si="24"/>
        <v>47.247553400000001</v>
      </c>
      <c r="AM308">
        <f t="shared" si="25"/>
        <v>45.709493399999999</v>
      </c>
      <c r="AN308">
        <f t="shared" si="26"/>
        <v>45.709493399999999</v>
      </c>
      <c r="AP308">
        <f>VLOOKUP($B308,Kraftvärmeprod!$B$1:$BX$549,MATCH(AP$1,Kraftvärmeprod!$B$1:$BX$1,0),FALSE)</f>
        <v>46.058999999999997</v>
      </c>
      <c r="AQ308">
        <f>VLOOKUP($B308,Kraftvärmeprod!$B$1:$BX$549,MATCH(AQ$1,Kraftvärmeprod!$B$1:$BX$1,0),FALSE)</f>
        <v>6.2850000000000001</v>
      </c>
      <c r="AR308">
        <f>VLOOKUP($B308,Kraftvärmeprod!$B$1:$BX$549,MATCH("Summa tillförd energi exklusive rökgaskondensering",Kraftvärmeprod!$B$1:$BX$1,0),FALSE)</f>
        <v>61.964000000000006</v>
      </c>
      <c r="AT308" s="17">
        <f t="shared" si="27"/>
        <v>0.73767822283906781</v>
      </c>
      <c r="AV308">
        <f t="shared" si="28"/>
        <v>45.665796999999998</v>
      </c>
      <c r="BA308" s="17">
        <f t="shared" si="29"/>
        <v>0.97484412811944665</v>
      </c>
    </row>
    <row r="309" spans="1:53" x14ac:dyDescent="0.25">
      <c r="A309" s="137" t="s">
        <v>613</v>
      </c>
      <c r="B309" s="137" t="s">
        <v>614</v>
      </c>
      <c r="C309" s="121"/>
      <c r="D309" s="121"/>
      <c r="E309" s="121"/>
      <c r="F309" s="121"/>
      <c r="G309" s="121"/>
      <c r="H309" s="121"/>
      <c r="I309" s="121"/>
      <c r="J309" s="121">
        <v>0</v>
      </c>
      <c r="K309" s="121">
        <v>0</v>
      </c>
      <c r="L309" s="121">
        <v>0</v>
      </c>
      <c r="M309" s="121">
        <v>0</v>
      </c>
      <c r="N309" s="121">
        <v>0</v>
      </c>
      <c r="O309" s="121">
        <v>0</v>
      </c>
      <c r="P309" s="121">
        <v>0</v>
      </c>
      <c r="Q309" s="121">
        <v>0</v>
      </c>
      <c r="R309" s="121">
        <v>0</v>
      </c>
      <c r="S309" s="121">
        <v>0</v>
      </c>
      <c r="T309" s="121">
        <v>0</v>
      </c>
      <c r="U309" s="121">
        <v>0</v>
      </c>
      <c r="V309" s="121" t="s">
        <v>1119</v>
      </c>
      <c r="W309" s="121">
        <v>0</v>
      </c>
      <c r="X309" s="121">
        <v>0</v>
      </c>
      <c r="Y309" s="121">
        <v>0</v>
      </c>
      <c r="Z309" s="121">
        <v>0</v>
      </c>
      <c r="AA309" s="121">
        <v>0</v>
      </c>
      <c r="AB309" s="121">
        <v>0</v>
      </c>
      <c r="AC309" s="121">
        <v>0</v>
      </c>
      <c r="AD309" s="121">
        <v>0</v>
      </c>
      <c r="AE309" s="121">
        <v>0</v>
      </c>
      <c r="AF309" s="121">
        <v>0</v>
      </c>
      <c r="AG309" s="121">
        <v>0</v>
      </c>
      <c r="AH309" s="121">
        <v>0</v>
      </c>
      <c r="AI309" s="121">
        <v>0</v>
      </c>
      <c r="AL309" s="14">
        <f t="shared" si="24"/>
        <v>0</v>
      </c>
      <c r="AM309">
        <f t="shared" si="25"/>
        <v>0</v>
      </c>
      <c r="AN309">
        <f t="shared" si="26"/>
        <v>0</v>
      </c>
      <c r="AP309">
        <f>VLOOKUP($B309,Kraftvärmeprod!$B$1:$BX$549,MATCH(AP$1,Kraftvärmeprod!$B$1:$BX$1,0),FALSE)</f>
        <v>0</v>
      </c>
      <c r="AQ309">
        <f>VLOOKUP($B309,Kraftvärmeprod!$B$1:$BX$549,MATCH(AQ$1,Kraftvärmeprod!$B$1:$BX$1,0),FALSE)</f>
        <v>0</v>
      </c>
      <c r="AR309">
        <f>VLOOKUP($B309,Kraftvärmeprod!$B$1:$BX$549,MATCH("Summa tillförd energi exklusive rökgaskondensering",Kraftvärmeprod!$B$1:$BX$1,0),FALSE)</f>
        <v>0</v>
      </c>
      <c r="AT309" s="17" t="str">
        <f t="shared" si="27"/>
        <v/>
      </c>
      <c r="AV309">
        <f t="shared" si="28"/>
        <v>0</v>
      </c>
      <c r="BA309" s="17" t="str">
        <f t="shared" si="29"/>
        <v/>
      </c>
    </row>
    <row r="310" spans="1:53" x14ac:dyDescent="0.25">
      <c r="A310" s="137" t="s">
        <v>613</v>
      </c>
      <c r="B310" s="137" t="s">
        <v>615</v>
      </c>
      <c r="C310" s="121"/>
      <c r="D310" s="121"/>
      <c r="E310" s="121"/>
      <c r="F310" s="121"/>
      <c r="G310" s="121"/>
      <c r="H310" s="121"/>
      <c r="I310" s="121"/>
      <c r="J310" s="121">
        <v>0</v>
      </c>
      <c r="K310" s="121">
        <v>0</v>
      </c>
      <c r="L310" s="121">
        <v>0</v>
      </c>
      <c r="M310" s="121">
        <v>0</v>
      </c>
      <c r="N310" s="121">
        <v>0</v>
      </c>
      <c r="O310" s="121">
        <v>0</v>
      </c>
      <c r="P310" s="121">
        <v>0</v>
      </c>
      <c r="Q310" s="121">
        <v>0</v>
      </c>
      <c r="R310" s="121">
        <v>0</v>
      </c>
      <c r="S310" s="121">
        <v>0</v>
      </c>
      <c r="T310" s="121">
        <v>0</v>
      </c>
      <c r="U310" s="121">
        <v>0</v>
      </c>
      <c r="V310" s="121" t="s">
        <v>1119</v>
      </c>
      <c r="W310" s="121">
        <v>0</v>
      </c>
      <c r="X310" s="121">
        <v>0</v>
      </c>
      <c r="Y310" s="121">
        <v>0</v>
      </c>
      <c r="Z310" s="121">
        <v>0</v>
      </c>
      <c r="AA310" s="121">
        <v>0</v>
      </c>
      <c r="AB310" s="121">
        <v>0</v>
      </c>
      <c r="AC310" s="121">
        <v>0</v>
      </c>
      <c r="AD310" s="121">
        <v>0</v>
      </c>
      <c r="AE310" s="121">
        <v>0</v>
      </c>
      <c r="AF310" s="121">
        <v>0</v>
      </c>
      <c r="AG310" s="121">
        <v>0</v>
      </c>
      <c r="AH310" s="121">
        <v>0</v>
      </c>
      <c r="AI310" s="121">
        <v>0</v>
      </c>
      <c r="AL310" s="14">
        <f t="shared" si="24"/>
        <v>0</v>
      </c>
      <c r="AM310">
        <f t="shared" si="25"/>
        <v>0</v>
      </c>
      <c r="AN310">
        <f t="shared" si="26"/>
        <v>0</v>
      </c>
      <c r="AP310">
        <f>VLOOKUP($B310,Kraftvärmeprod!$B$1:$BX$549,MATCH(AP$1,Kraftvärmeprod!$B$1:$BX$1,0),FALSE)</f>
        <v>0</v>
      </c>
      <c r="AQ310">
        <f>VLOOKUP($B310,Kraftvärmeprod!$B$1:$BX$549,MATCH(AQ$1,Kraftvärmeprod!$B$1:$BX$1,0),FALSE)</f>
        <v>0</v>
      </c>
      <c r="AR310">
        <f>VLOOKUP($B310,Kraftvärmeprod!$B$1:$BX$549,MATCH("Summa tillförd energi exklusive rökgaskondensering",Kraftvärmeprod!$B$1:$BX$1,0),FALSE)</f>
        <v>0</v>
      </c>
      <c r="AT310" s="17" t="str">
        <f t="shared" si="27"/>
        <v/>
      </c>
      <c r="AV310">
        <f t="shared" si="28"/>
        <v>0</v>
      </c>
      <c r="BA310" s="17" t="str">
        <f t="shared" si="29"/>
        <v/>
      </c>
    </row>
    <row r="311" spans="1:53" x14ac:dyDescent="0.25">
      <c r="A311" s="137" t="s">
        <v>616</v>
      </c>
      <c r="B311" s="137" t="s">
        <v>616</v>
      </c>
      <c r="C311" s="121"/>
      <c r="D311" s="121"/>
      <c r="E311" s="121"/>
      <c r="F311" s="121"/>
      <c r="G311" s="121"/>
      <c r="H311" s="121"/>
      <c r="I311" s="121"/>
      <c r="J311" s="121">
        <v>0</v>
      </c>
      <c r="K311" s="121">
        <v>0</v>
      </c>
      <c r="L311" s="121">
        <v>0</v>
      </c>
      <c r="M311" s="121">
        <v>0</v>
      </c>
      <c r="N311" s="121">
        <v>0</v>
      </c>
      <c r="O311" s="121">
        <v>0</v>
      </c>
      <c r="P311" s="121">
        <v>0</v>
      </c>
      <c r="Q311" s="121">
        <v>0</v>
      </c>
      <c r="R311" s="121">
        <v>0</v>
      </c>
      <c r="S311" s="121">
        <v>0</v>
      </c>
      <c r="T311" s="121">
        <v>0</v>
      </c>
      <c r="U311" s="121">
        <v>0</v>
      </c>
      <c r="V311" s="121" t="s">
        <v>1119</v>
      </c>
      <c r="W311" s="121">
        <v>0</v>
      </c>
      <c r="X311" s="121">
        <v>0</v>
      </c>
      <c r="Y311" s="121">
        <v>0</v>
      </c>
      <c r="Z311" s="121">
        <v>0</v>
      </c>
      <c r="AA311" s="121">
        <v>0</v>
      </c>
      <c r="AB311" s="121">
        <v>0</v>
      </c>
      <c r="AC311" s="121">
        <v>0</v>
      </c>
      <c r="AD311" s="121">
        <v>0</v>
      </c>
      <c r="AE311" s="121">
        <v>0</v>
      </c>
      <c r="AF311" s="121">
        <v>0</v>
      </c>
      <c r="AG311" s="121">
        <v>0</v>
      </c>
      <c r="AH311" s="121">
        <v>0</v>
      </c>
      <c r="AI311" s="121">
        <v>0</v>
      </c>
      <c r="AL311" s="14">
        <f t="shared" si="24"/>
        <v>0</v>
      </c>
      <c r="AM311">
        <f t="shared" si="25"/>
        <v>0</v>
      </c>
      <c r="AN311">
        <f t="shared" si="26"/>
        <v>0</v>
      </c>
      <c r="AP311">
        <f>VLOOKUP($B311,Kraftvärmeprod!$B$1:$BX$549,MATCH(AP$1,Kraftvärmeprod!$B$1:$BX$1,0),FALSE)</f>
        <v>0</v>
      </c>
      <c r="AQ311">
        <f>VLOOKUP($B311,Kraftvärmeprod!$B$1:$BX$549,MATCH(AQ$1,Kraftvärmeprod!$B$1:$BX$1,0),FALSE)</f>
        <v>0</v>
      </c>
      <c r="AR311">
        <f>VLOOKUP($B311,Kraftvärmeprod!$B$1:$BX$549,MATCH("Summa tillförd energi exklusive rökgaskondensering",Kraftvärmeprod!$B$1:$BX$1,0),FALSE)</f>
        <v>0</v>
      </c>
      <c r="AT311" s="17" t="str">
        <f t="shared" si="27"/>
        <v/>
      </c>
      <c r="AV311">
        <f t="shared" si="28"/>
        <v>0</v>
      </c>
      <c r="BA311" s="17" t="str">
        <f t="shared" si="29"/>
        <v/>
      </c>
    </row>
    <row r="312" spans="1:53" x14ac:dyDescent="0.25">
      <c r="A312" s="137" t="s">
        <v>617</v>
      </c>
      <c r="B312" s="137" t="s">
        <v>135</v>
      </c>
      <c r="C312" s="121"/>
      <c r="D312" s="121"/>
      <c r="E312" s="121"/>
      <c r="F312" s="121"/>
      <c r="G312" s="121"/>
      <c r="H312" s="121"/>
      <c r="I312" s="121"/>
      <c r="J312" s="121">
        <v>0</v>
      </c>
      <c r="K312" s="121">
        <v>0</v>
      </c>
      <c r="L312" s="121">
        <v>0</v>
      </c>
      <c r="M312" s="121">
        <v>0</v>
      </c>
      <c r="N312" s="121">
        <v>0</v>
      </c>
      <c r="O312" s="121">
        <v>0</v>
      </c>
      <c r="P312" s="121">
        <v>0</v>
      </c>
      <c r="Q312" s="121">
        <v>0</v>
      </c>
      <c r="R312" s="121">
        <v>0</v>
      </c>
      <c r="S312" s="121">
        <v>0</v>
      </c>
      <c r="T312" s="121">
        <v>0</v>
      </c>
      <c r="U312" s="121">
        <v>0</v>
      </c>
      <c r="V312" s="121" t="s">
        <v>1119</v>
      </c>
      <c r="W312" s="121">
        <v>0</v>
      </c>
      <c r="X312" s="121">
        <v>0</v>
      </c>
      <c r="Y312" s="121">
        <v>0</v>
      </c>
      <c r="Z312" s="121">
        <v>0</v>
      </c>
      <c r="AA312" s="121">
        <v>0</v>
      </c>
      <c r="AB312" s="121">
        <v>0</v>
      </c>
      <c r="AC312" s="121">
        <v>0</v>
      </c>
      <c r="AD312" s="121">
        <v>0</v>
      </c>
      <c r="AE312" s="121">
        <v>0</v>
      </c>
      <c r="AF312" s="121">
        <v>0</v>
      </c>
      <c r="AG312" s="121">
        <v>0</v>
      </c>
      <c r="AH312" s="121">
        <v>0</v>
      </c>
      <c r="AI312" s="121">
        <v>0</v>
      </c>
      <c r="AL312" s="14">
        <f t="shared" si="24"/>
        <v>0</v>
      </c>
      <c r="AM312">
        <f t="shared" si="25"/>
        <v>0</v>
      </c>
      <c r="AN312">
        <f t="shared" si="26"/>
        <v>0</v>
      </c>
      <c r="AP312">
        <f>VLOOKUP($B312,Kraftvärmeprod!$B$1:$BX$549,MATCH(AP$1,Kraftvärmeprod!$B$1:$BX$1,0),FALSE)</f>
        <v>0</v>
      </c>
      <c r="AQ312">
        <f>VLOOKUP($B312,Kraftvärmeprod!$B$1:$BX$549,MATCH(AQ$1,Kraftvärmeprod!$B$1:$BX$1,0),FALSE)</f>
        <v>0</v>
      </c>
      <c r="AR312">
        <f>VLOOKUP($B312,Kraftvärmeprod!$B$1:$BX$549,MATCH("Summa tillförd energi exklusive rökgaskondensering",Kraftvärmeprod!$B$1:$BX$1,0),FALSE)</f>
        <v>0</v>
      </c>
      <c r="AT312" s="17" t="str">
        <f t="shared" si="27"/>
        <v/>
      </c>
      <c r="AV312">
        <f t="shared" si="28"/>
        <v>0</v>
      </c>
      <c r="BA312" s="17" t="str">
        <f t="shared" si="29"/>
        <v/>
      </c>
    </row>
    <row r="313" spans="1:53" x14ac:dyDescent="0.25">
      <c r="A313" s="137" t="s">
        <v>618</v>
      </c>
      <c r="B313" s="137" t="s">
        <v>619</v>
      </c>
      <c r="C313" s="121"/>
      <c r="D313" s="121"/>
      <c r="E313" s="121"/>
      <c r="F313" s="121"/>
      <c r="G313" s="121"/>
      <c r="H313" s="121"/>
      <c r="I313" s="121"/>
      <c r="J313" s="121">
        <v>0</v>
      </c>
      <c r="K313" s="121">
        <v>0</v>
      </c>
      <c r="L313" s="121">
        <v>0</v>
      </c>
      <c r="M313" s="121">
        <v>0</v>
      </c>
      <c r="N313" s="121">
        <v>0</v>
      </c>
      <c r="O313" s="121">
        <v>0</v>
      </c>
      <c r="P313" s="121">
        <v>71.437200000000004</v>
      </c>
      <c r="Q313" s="121">
        <v>25.576499999999999</v>
      </c>
      <c r="R313" s="121">
        <v>0</v>
      </c>
      <c r="S313" s="121">
        <v>10.3439</v>
      </c>
      <c r="T313" s="121">
        <v>0</v>
      </c>
      <c r="U313" s="121">
        <v>0</v>
      </c>
      <c r="V313" s="121" t="s">
        <v>1119</v>
      </c>
      <c r="W313" s="121">
        <v>0</v>
      </c>
      <c r="X313" s="121">
        <v>0</v>
      </c>
      <c r="Y313" s="121">
        <v>0</v>
      </c>
      <c r="Z313" s="121">
        <v>0</v>
      </c>
      <c r="AA313" s="121">
        <v>0</v>
      </c>
      <c r="AB313" s="121">
        <v>0</v>
      </c>
      <c r="AC313" s="121">
        <v>0</v>
      </c>
      <c r="AD313" s="121">
        <v>0</v>
      </c>
      <c r="AE313" s="121">
        <v>0</v>
      </c>
      <c r="AF313" s="121">
        <v>0</v>
      </c>
      <c r="AG313" s="121">
        <v>0</v>
      </c>
      <c r="AH313" s="121">
        <v>28.6</v>
      </c>
      <c r="AI313" s="121">
        <v>0</v>
      </c>
      <c r="AL313" s="14">
        <f t="shared" si="24"/>
        <v>135.95760000000001</v>
      </c>
      <c r="AM313">
        <f t="shared" si="25"/>
        <v>135.95760000000001</v>
      </c>
      <c r="AN313">
        <f t="shared" si="26"/>
        <v>107.35760000000002</v>
      </c>
      <c r="AP313">
        <f>VLOOKUP($B313,Kraftvärmeprod!$B$1:$BX$549,MATCH(AP$1,Kraftvärmeprod!$B$1:$BX$1,0),FALSE)</f>
        <v>125.4</v>
      </c>
      <c r="AQ313">
        <f>VLOOKUP($B313,Kraftvärmeprod!$B$1:$BX$549,MATCH(AQ$1,Kraftvärmeprod!$B$1:$BX$1,0),FALSE)</f>
        <v>25.8</v>
      </c>
      <c r="AR313">
        <f>VLOOKUP($B313,Kraftvärmeprod!$B$1:$BX$549,MATCH("Summa tillförd energi exklusive rökgaskondensering",Kraftvärmeprod!$B$1:$BX$1,0),FALSE)</f>
        <v>164.92000000000002</v>
      </c>
      <c r="AT313" s="17">
        <f t="shared" si="27"/>
        <v>0.6509677419354839</v>
      </c>
      <c r="AV313">
        <f t="shared" si="28"/>
        <v>107.35760000000001</v>
      </c>
      <c r="BA313" s="17">
        <f t="shared" si="29"/>
        <v>1.1680588984850628</v>
      </c>
    </row>
    <row r="314" spans="1:53" x14ac:dyDescent="0.25">
      <c r="A314" s="137" t="s">
        <v>621</v>
      </c>
      <c r="B314" s="137" t="s">
        <v>622</v>
      </c>
      <c r="C314" s="121"/>
      <c r="D314" s="121"/>
      <c r="E314" s="121"/>
      <c r="F314" s="121"/>
      <c r="G314" s="121"/>
      <c r="H314" s="121"/>
      <c r="I314" s="121"/>
      <c r="J314" s="121">
        <v>0</v>
      </c>
      <c r="K314" s="121">
        <v>0</v>
      </c>
      <c r="L314" s="121">
        <v>0</v>
      </c>
      <c r="M314" s="121">
        <v>0</v>
      </c>
      <c r="N314" s="121">
        <v>0</v>
      </c>
      <c r="O314" s="121">
        <v>0</v>
      </c>
      <c r="P314" s="121">
        <v>0</v>
      </c>
      <c r="Q314" s="121">
        <v>0</v>
      </c>
      <c r="R314" s="121">
        <v>0</v>
      </c>
      <c r="S314" s="121">
        <v>0</v>
      </c>
      <c r="T314" s="121">
        <v>0</v>
      </c>
      <c r="U314" s="121">
        <v>0</v>
      </c>
      <c r="V314" s="121" t="s">
        <v>1119</v>
      </c>
      <c r="W314" s="121">
        <v>0</v>
      </c>
      <c r="X314" s="121">
        <v>0</v>
      </c>
      <c r="Y314" s="121">
        <v>0</v>
      </c>
      <c r="Z314" s="121">
        <v>0</v>
      </c>
      <c r="AA314" s="121">
        <v>0</v>
      </c>
      <c r="AB314" s="121">
        <v>0</v>
      </c>
      <c r="AC314" s="121">
        <v>0</v>
      </c>
      <c r="AD314" s="121">
        <v>0</v>
      </c>
      <c r="AE314" s="121">
        <v>0</v>
      </c>
      <c r="AF314" s="121">
        <v>0</v>
      </c>
      <c r="AG314" s="121">
        <v>0</v>
      </c>
      <c r="AH314" s="121">
        <v>0</v>
      </c>
      <c r="AI314" s="121">
        <v>0</v>
      </c>
      <c r="AL314" s="14">
        <f t="shared" si="24"/>
        <v>0</v>
      </c>
      <c r="AM314">
        <f t="shared" si="25"/>
        <v>0</v>
      </c>
      <c r="AN314">
        <f t="shared" si="26"/>
        <v>0</v>
      </c>
      <c r="AP314">
        <f>VLOOKUP($B314,Kraftvärmeprod!$B$1:$BX$549,MATCH(AP$1,Kraftvärmeprod!$B$1:$BX$1,0),FALSE)</f>
        <v>0</v>
      </c>
      <c r="AQ314">
        <f>VLOOKUP($B314,Kraftvärmeprod!$B$1:$BX$549,MATCH(AQ$1,Kraftvärmeprod!$B$1:$BX$1,0),FALSE)</f>
        <v>0</v>
      </c>
      <c r="AR314">
        <f>VLOOKUP($B314,Kraftvärmeprod!$B$1:$BX$549,MATCH("Summa tillförd energi exklusive rökgaskondensering",Kraftvärmeprod!$B$1:$BX$1,0),FALSE)</f>
        <v>0</v>
      </c>
      <c r="AT314" s="17" t="str">
        <f t="shared" si="27"/>
        <v/>
      </c>
      <c r="AV314">
        <f t="shared" si="28"/>
        <v>0</v>
      </c>
      <c r="BA314" s="17" t="str">
        <f t="shared" si="29"/>
        <v/>
      </c>
    </row>
    <row r="315" spans="1:53" x14ac:dyDescent="0.25">
      <c r="A315" s="137" t="s">
        <v>623</v>
      </c>
      <c r="B315" s="137" t="s">
        <v>624</v>
      </c>
      <c r="C315" s="121"/>
      <c r="D315" s="121"/>
      <c r="E315" s="121"/>
      <c r="F315" s="121"/>
      <c r="G315" s="121"/>
      <c r="H315" s="121"/>
      <c r="I315" s="121"/>
      <c r="J315" s="121">
        <v>0</v>
      </c>
      <c r="K315" s="121">
        <v>0</v>
      </c>
      <c r="L315" s="121">
        <v>0</v>
      </c>
      <c r="M315" s="121">
        <v>0</v>
      </c>
      <c r="N315" s="121">
        <v>0</v>
      </c>
      <c r="O315" s="121">
        <v>0</v>
      </c>
      <c r="P315" s="121">
        <v>70.940799999999996</v>
      </c>
      <c r="Q315" s="121">
        <v>0</v>
      </c>
      <c r="R315" s="121">
        <v>0</v>
      </c>
      <c r="S315" s="121">
        <v>0</v>
      </c>
      <c r="T315" s="121">
        <v>0</v>
      </c>
      <c r="U315" s="121">
        <v>0</v>
      </c>
      <c r="V315" s="121" t="s">
        <v>1119</v>
      </c>
      <c r="W315" s="121">
        <v>0</v>
      </c>
      <c r="X315" s="121">
        <v>0</v>
      </c>
      <c r="Y315" s="121">
        <v>0</v>
      </c>
      <c r="Z315" s="121">
        <v>0</v>
      </c>
      <c r="AA315" s="121">
        <v>0</v>
      </c>
      <c r="AB315" s="121">
        <v>0</v>
      </c>
      <c r="AC315" s="121">
        <v>0</v>
      </c>
      <c r="AD315" s="121">
        <v>0</v>
      </c>
      <c r="AE315" s="121">
        <v>0</v>
      </c>
      <c r="AF315" s="121">
        <v>0</v>
      </c>
      <c r="AG315" s="121">
        <v>0</v>
      </c>
      <c r="AH315" s="121">
        <v>18.100000000000001</v>
      </c>
      <c r="AI315" s="121">
        <v>2.15205</v>
      </c>
      <c r="AL315" s="14">
        <f t="shared" si="24"/>
        <v>91.192849999999993</v>
      </c>
      <c r="AM315">
        <f t="shared" si="25"/>
        <v>89.04079999999999</v>
      </c>
      <c r="AN315">
        <f t="shared" si="26"/>
        <v>70.940799999999996</v>
      </c>
      <c r="AP315">
        <f>VLOOKUP($B315,Kraftvärmeprod!$B$1:$BX$549,MATCH(AP$1,Kraftvärmeprod!$B$1:$BX$1,0),FALSE)</f>
        <v>77.900000000000006</v>
      </c>
      <c r="AQ315">
        <f>VLOOKUP($B315,Kraftvärmeprod!$B$1:$BX$549,MATCH(AQ$1,Kraftvärmeprod!$B$1:$BX$1,0),FALSE)</f>
        <v>9</v>
      </c>
      <c r="AR315">
        <f>VLOOKUP($B315,Kraftvärmeprod!$B$1:$BX$549,MATCH("Summa tillförd energi exklusive rökgaskondensering",Kraftvärmeprod!$B$1:$BX$1,0),FALSE)</f>
        <v>92.3</v>
      </c>
      <c r="AT315" s="17">
        <f t="shared" si="27"/>
        <v>0.76858938244853736</v>
      </c>
      <c r="AV315">
        <f t="shared" si="28"/>
        <v>70.940799999999996</v>
      </c>
      <c r="BA315" s="17">
        <f t="shared" si="29"/>
        <v>1.0657677187303547</v>
      </c>
    </row>
    <row r="316" spans="1:53" x14ac:dyDescent="0.25">
      <c r="A316" s="137" t="s">
        <v>43</v>
      </c>
      <c r="B316" s="141" t="s">
        <v>51</v>
      </c>
      <c r="C316" s="121"/>
      <c r="D316" s="121"/>
      <c r="E316" s="121"/>
      <c r="F316" s="121"/>
      <c r="G316" s="121"/>
      <c r="H316" s="121"/>
      <c r="I316" s="121"/>
      <c r="J316" s="121" t="s">
        <v>1119</v>
      </c>
      <c r="K316" s="121" t="s">
        <v>1119</v>
      </c>
      <c r="L316" s="121" t="s">
        <v>1119</v>
      </c>
      <c r="M316" s="121" t="s">
        <v>1119</v>
      </c>
      <c r="N316" s="121" t="s">
        <v>1119</v>
      </c>
      <c r="O316" s="121" t="s">
        <v>1119</v>
      </c>
      <c r="P316" s="121" t="s">
        <v>1119</v>
      </c>
      <c r="Q316" s="121" t="s">
        <v>1119</v>
      </c>
      <c r="R316" s="121" t="s">
        <v>1119</v>
      </c>
      <c r="S316" s="121" t="s">
        <v>1119</v>
      </c>
      <c r="T316" s="121" t="s">
        <v>1119</v>
      </c>
      <c r="U316" s="121" t="s">
        <v>1119</v>
      </c>
      <c r="V316" s="121" t="s">
        <v>1119</v>
      </c>
      <c r="W316" s="121" t="s">
        <v>1119</v>
      </c>
      <c r="X316" s="121" t="s">
        <v>1119</v>
      </c>
      <c r="Y316" s="121" t="s">
        <v>1119</v>
      </c>
      <c r="Z316" s="121" t="s">
        <v>1119</v>
      </c>
      <c r="AA316" s="121" t="s">
        <v>1119</v>
      </c>
      <c r="AB316" s="121" t="s">
        <v>1119</v>
      </c>
      <c r="AC316" s="121" t="s">
        <v>1119</v>
      </c>
      <c r="AD316" s="121" t="s">
        <v>1119</v>
      </c>
      <c r="AE316" s="121" t="s">
        <v>1119</v>
      </c>
      <c r="AF316" s="121" t="s">
        <v>1119</v>
      </c>
      <c r="AG316" s="121" t="s">
        <v>1119</v>
      </c>
      <c r="AH316" s="121" t="s">
        <v>1119</v>
      </c>
      <c r="AI316" s="121" t="s">
        <v>1119</v>
      </c>
      <c r="AL316" s="14">
        <f t="shared" si="24"/>
        <v>0</v>
      </c>
      <c r="AM316">
        <f t="shared" si="25"/>
        <v>0</v>
      </c>
      <c r="AN316">
        <f t="shared" si="26"/>
        <v>0</v>
      </c>
      <c r="AP316">
        <f>VLOOKUP($B316,Kraftvärmeprod!$B$1:$BX$549,MATCH(AP$1,Kraftvärmeprod!$B$1:$BX$1,0),FALSE)</f>
        <v>0</v>
      </c>
      <c r="AQ316">
        <f>VLOOKUP($B316,Kraftvärmeprod!$B$1:$BX$549,MATCH(AQ$1,Kraftvärmeprod!$B$1:$BX$1,0),FALSE)</f>
        <v>0</v>
      </c>
      <c r="AR316">
        <f>VLOOKUP($B316,Kraftvärmeprod!$B$1:$BX$549,MATCH("Summa tillförd energi exklusive rökgaskondensering",Kraftvärmeprod!$B$1:$BX$1,0),FALSE)</f>
        <v>0</v>
      </c>
      <c r="AT316" s="17" t="str">
        <f t="shared" si="27"/>
        <v/>
      </c>
      <c r="AV316" t="e">
        <f t="shared" si="28"/>
        <v>#VALUE!</v>
      </c>
      <c r="BA316" s="17" t="str">
        <f t="shared" si="29"/>
        <v/>
      </c>
    </row>
    <row r="317" spans="1:53" x14ac:dyDescent="0.25">
      <c r="A317" s="137" t="s">
        <v>625</v>
      </c>
      <c r="B317" s="137" t="s">
        <v>626</v>
      </c>
      <c r="C317" s="121"/>
      <c r="D317" s="121"/>
      <c r="E317" s="121"/>
      <c r="F317" s="121"/>
      <c r="G317" s="121"/>
      <c r="H317" s="121"/>
      <c r="I317" s="121"/>
      <c r="J317" s="121">
        <v>0</v>
      </c>
      <c r="K317" s="121">
        <v>0</v>
      </c>
      <c r="L317" s="121">
        <v>0</v>
      </c>
      <c r="M317" s="121">
        <v>0</v>
      </c>
      <c r="N317" s="121">
        <v>0</v>
      </c>
      <c r="O317" s="121">
        <v>0</v>
      </c>
      <c r="P317" s="121">
        <v>0</v>
      </c>
      <c r="Q317" s="121">
        <v>0</v>
      </c>
      <c r="R317" s="121">
        <v>0</v>
      </c>
      <c r="S317" s="121">
        <v>0</v>
      </c>
      <c r="T317" s="121">
        <v>0</v>
      </c>
      <c r="U317" s="121">
        <v>0</v>
      </c>
      <c r="V317" s="121" t="s">
        <v>1119</v>
      </c>
      <c r="W317" s="121">
        <v>0</v>
      </c>
      <c r="X317" s="121">
        <v>0</v>
      </c>
      <c r="Y317" s="121">
        <v>0</v>
      </c>
      <c r="Z317" s="121">
        <v>0</v>
      </c>
      <c r="AA317" s="121">
        <v>0</v>
      </c>
      <c r="AB317" s="121">
        <v>0</v>
      </c>
      <c r="AC317" s="121">
        <v>0</v>
      </c>
      <c r="AD317" s="121">
        <v>0</v>
      </c>
      <c r="AE317" s="121">
        <v>0</v>
      </c>
      <c r="AF317" s="121">
        <v>0</v>
      </c>
      <c r="AG317" s="121">
        <v>0</v>
      </c>
      <c r="AH317" s="121">
        <v>0</v>
      </c>
      <c r="AI317" s="121">
        <v>0</v>
      </c>
      <c r="AL317" s="14">
        <f t="shared" si="24"/>
        <v>0</v>
      </c>
      <c r="AM317">
        <f t="shared" si="25"/>
        <v>0</v>
      </c>
      <c r="AN317">
        <f t="shared" si="26"/>
        <v>0</v>
      </c>
      <c r="AP317">
        <f>VLOOKUP($B317,Kraftvärmeprod!$B$1:$BX$549,MATCH(AP$1,Kraftvärmeprod!$B$1:$BX$1,0),FALSE)</f>
        <v>0</v>
      </c>
      <c r="AQ317">
        <f>VLOOKUP($B317,Kraftvärmeprod!$B$1:$BX$549,MATCH(AQ$1,Kraftvärmeprod!$B$1:$BX$1,0),FALSE)</f>
        <v>0</v>
      </c>
      <c r="AR317">
        <f>VLOOKUP($B317,Kraftvärmeprod!$B$1:$BX$549,MATCH("Summa tillförd energi exklusive rökgaskondensering",Kraftvärmeprod!$B$1:$BX$1,0),FALSE)</f>
        <v>0</v>
      </c>
      <c r="AT317" s="17" t="str">
        <f t="shared" si="27"/>
        <v/>
      </c>
      <c r="AV317">
        <f t="shared" si="28"/>
        <v>0</v>
      </c>
      <c r="BA317" s="17" t="str">
        <f t="shared" si="29"/>
        <v/>
      </c>
    </row>
    <row r="318" spans="1:53" x14ac:dyDescent="0.25">
      <c r="A318" s="137" t="s">
        <v>625</v>
      </c>
      <c r="B318" s="137" t="s">
        <v>627</v>
      </c>
      <c r="C318" s="121"/>
      <c r="D318" s="121"/>
      <c r="E318" s="121"/>
      <c r="F318" s="121"/>
      <c r="G318" s="121"/>
      <c r="H318" s="121"/>
      <c r="I318" s="121"/>
      <c r="J318" s="121">
        <v>0</v>
      </c>
      <c r="K318" s="121">
        <v>0</v>
      </c>
      <c r="L318" s="121">
        <v>0</v>
      </c>
      <c r="M318" s="121">
        <v>0</v>
      </c>
      <c r="N318" s="121">
        <v>0</v>
      </c>
      <c r="O318" s="121">
        <v>0</v>
      </c>
      <c r="P318" s="121">
        <v>0</v>
      </c>
      <c r="Q318" s="121">
        <v>0</v>
      </c>
      <c r="R318" s="121">
        <v>0</v>
      </c>
      <c r="S318" s="121">
        <v>0</v>
      </c>
      <c r="T318" s="121">
        <v>0</v>
      </c>
      <c r="U318" s="121">
        <v>0</v>
      </c>
      <c r="V318" s="121" t="s">
        <v>1119</v>
      </c>
      <c r="W318" s="121">
        <v>0</v>
      </c>
      <c r="X318" s="121">
        <v>0</v>
      </c>
      <c r="Y318" s="121">
        <v>0</v>
      </c>
      <c r="Z318" s="121">
        <v>0</v>
      </c>
      <c r="AA318" s="121">
        <v>0</v>
      </c>
      <c r="AB318" s="121">
        <v>0</v>
      </c>
      <c r="AC318" s="121">
        <v>0</v>
      </c>
      <c r="AD318" s="121">
        <v>0</v>
      </c>
      <c r="AE318" s="121">
        <v>0</v>
      </c>
      <c r="AF318" s="121">
        <v>0</v>
      </c>
      <c r="AG318" s="121">
        <v>0</v>
      </c>
      <c r="AH318" s="121">
        <v>0</v>
      </c>
      <c r="AI318" s="121">
        <v>0</v>
      </c>
      <c r="AL318" s="14">
        <f t="shared" si="24"/>
        <v>0</v>
      </c>
      <c r="AM318">
        <f t="shared" si="25"/>
        <v>0</v>
      </c>
      <c r="AN318">
        <f t="shared" si="26"/>
        <v>0</v>
      </c>
      <c r="AP318">
        <f>VLOOKUP($B318,Kraftvärmeprod!$B$1:$BX$549,MATCH(AP$1,Kraftvärmeprod!$B$1:$BX$1,0),FALSE)</f>
        <v>0</v>
      </c>
      <c r="AQ318">
        <f>VLOOKUP($B318,Kraftvärmeprod!$B$1:$BX$549,MATCH(AQ$1,Kraftvärmeprod!$B$1:$BX$1,0),FALSE)</f>
        <v>0</v>
      </c>
      <c r="AR318">
        <f>VLOOKUP($B318,Kraftvärmeprod!$B$1:$BX$549,MATCH("Summa tillförd energi exklusive rökgaskondensering",Kraftvärmeprod!$B$1:$BX$1,0),FALSE)</f>
        <v>0</v>
      </c>
      <c r="AT318" s="17" t="str">
        <f t="shared" si="27"/>
        <v/>
      </c>
      <c r="AV318">
        <f t="shared" si="28"/>
        <v>0</v>
      </c>
      <c r="BA318" s="17" t="str">
        <f t="shared" si="29"/>
        <v/>
      </c>
    </row>
    <row r="319" spans="1:53" x14ac:dyDescent="0.25">
      <c r="A319" s="137" t="s">
        <v>625</v>
      </c>
      <c r="B319" s="137" t="s">
        <v>628</v>
      </c>
      <c r="C319" s="121"/>
      <c r="D319" s="121"/>
      <c r="E319" s="121"/>
      <c r="F319" s="121"/>
      <c r="G319" s="121"/>
      <c r="H319" s="121"/>
      <c r="I319" s="121"/>
      <c r="J319" s="121">
        <v>0</v>
      </c>
      <c r="K319" s="121">
        <v>0.370083</v>
      </c>
      <c r="L319" s="121">
        <v>0</v>
      </c>
      <c r="M319" s="121">
        <v>0</v>
      </c>
      <c r="N319" s="121">
        <v>0</v>
      </c>
      <c r="O319" s="121">
        <v>0</v>
      </c>
      <c r="P319" s="121">
        <v>0</v>
      </c>
      <c r="Q319" s="121">
        <v>0</v>
      </c>
      <c r="R319" s="121">
        <v>0</v>
      </c>
      <c r="S319" s="121">
        <v>0</v>
      </c>
      <c r="T319" s="121">
        <v>0</v>
      </c>
      <c r="U319" s="121">
        <v>0</v>
      </c>
      <c r="V319" s="121" t="s">
        <v>1119</v>
      </c>
      <c r="W319" s="121">
        <v>0</v>
      </c>
      <c r="X319" s="121">
        <v>0</v>
      </c>
      <c r="Y319" s="121">
        <v>0</v>
      </c>
      <c r="Z319" s="121">
        <v>2.6771500000000001</v>
      </c>
      <c r="AA319" s="121">
        <v>0</v>
      </c>
      <c r="AB319" s="121">
        <v>0</v>
      </c>
      <c r="AC319" s="121">
        <v>0.97643599999999997</v>
      </c>
      <c r="AD319" s="121">
        <v>0</v>
      </c>
      <c r="AE319" s="121">
        <v>170.178</v>
      </c>
      <c r="AF319" s="121">
        <v>0</v>
      </c>
      <c r="AG319" s="121">
        <v>0</v>
      </c>
      <c r="AH319" s="121">
        <v>40.703000000000003</v>
      </c>
      <c r="AI319" s="121">
        <v>7.4307999999999996</v>
      </c>
      <c r="AL319" s="14">
        <f t="shared" si="24"/>
        <v>222.33546900000002</v>
      </c>
      <c r="AM319">
        <f t="shared" si="25"/>
        <v>214.90466900000001</v>
      </c>
      <c r="AN319">
        <f t="shared" si="26"/>
        <v>174.20166900000001</v>
      </c>
      <c r="AP319">
        <f>VLOOKUP($B319,Kraftvärmeprod!$B$1:$BX$549,MATCH(AP$1,Kraftvärmeprod!$B$1:$BX$1,0),FALSE)</f>
        <v>226.65899999999999</v>
      </c>
      <c r="AQ319">
        <f>VLOOKUP($B319,Kraftvärmeprod!$B$1:$BX$549,MATCH(AQ$1,Kraftvärmeprod!$B$1:$BX$1,0),FALSE)</f>
        <v>69.616</v>
      </c>
      <c r="AR319">
        <f>VLOOKUP($B319,Kraftvärmeprod!$B$1:$BX$549,MATCH("Summa tillförd energi exklusive rökgaskondensering",Kraftvärmeprod!$B$1:$BX$1,0),FALSE)</f>
        <v>344.61500000000001</v>
      </c>
      <c r="AT319" s="17">
        <f t="shared" si="27"/>
        <v>0.50549647867910563</v>
      </c>
      <c r="AV319">
        <f t="shared" si="28"/>
        <v>3.6535860000000002</v>
      </c>
      <c r="BA319" s="17">
        <f t="shared" si="29"/>
        <v>1.2478991297530617</v>
      </c>
    </row>
    <row r="320" spans="1:53" x14ac:dyDescent="0.25">
      <c r="A320" s="137" t="s">
        <v>629</v>
      </c>
      <c r="B320" s="137" t="s">
        <v>630</v>
      </c>
      <c r="C320" s="121"/>
      <c r="D320" s="121"/>
      <c r="E320" s="121"/>
      <c r="F320" s="121"/>
      <c r="G320" s="121"/>
      <c r="H320" s="121"/>
      <c r="I320" s="121"/>
      <c r="J320" s="121">
        <v>0</v>
      </c>
      <c r="K320" s="121">
        <v>0</v>
      </c>
      <c r="L320" s="121">
        <v>0</v>
      </c>
      <c r="M320" s="121">
        <v>0</v>
      </c>
      <c r="N320" s="121">
        <v>0</v>
      </c>
      <c r="O320" s="121">
        <v>0</v>
      </c>
      <c r="P320" s="121">
        <v>0</v>
      </c>
      <c r="Q320" s="121">
        <v>0</v>
      </c>
      <c r="R320" s="121">
        <v>0</v>
      </c>
      <c r="S320" s="121">
        <v>0</v>
      </c>
      <c r="T320" s="121">
        <v>0</v>
      </c>
      <c r="U320" s="121">
        <v>0</v>
      </c>
      <c r="V320" s="121" t="s">
        <v>1119</v>
      </c>
      <c r="W320" s="121">
        <v>0</v>
      </c>
      <c r="X320" s="121">
        <v>0</v>
      </c>
      <c r="Y320" s="121">
        <v>0</v>
      </c>
      <c r="Z320" s="121">
        <v>0</v>
      </c>
      <c r="AA320" s="121">
        <v>0</v>
      </c>
      <c r="AB320" s="121">
        <v>0</v>
      </c>
      <c r="AC320" s="121">
        <v>0</v>
      </c>
      <c r="AD320" s="121">
        <v>0</v>
      </c>
      <c r="AE320" s="121">
        <v>0</v>
      </c>
      <c r="AF320" s="121">
        <v>0</v>
      </c>
      <c r="AG320" s="121">
        <v>0</v>
      </c>
      <c r="AH320" s="121">
        <v>0</v>
      </c>
      <c r="AI320" s="121">
        <v>0</v>
      </c>
      <c r="AL320" s="14">
        <f t="shared" si="24"/>
        <v>0</v>
      </c>
      <c r="AM320">
        <f t="shared" si="25"/>
        <v>0</v>
      </c>
      <c r="AN320">
        <f t="shared" si="26"/>
        <v>0</v>
      </c>
      <c r="AP320">
        <f>VLOOKUP($B320,Kraftvärmeprod!$B$1:$BX$549,MATCH(AP$1,Kraftvärmeprod!$B$1:$BX$1,0),FALSE)</f>
        <v>0</v>
      </c>
      <c r="AQ320">
        <f>VLOOKUP($B320,Kraftvärmeprod!$B$1:$BX$549,MATCH(AQ$1,Kraftvärmeprod!$B$1:$BX$1,0),FALSE)</f>
        <v>0</v>
      </c>
      <c r="AR320">
        <f>VLOOKUP($B320,Kraftvärmeprod!$B$1:$BX$549,MATCH("Summa tillförd energi exklusive rökgaskondensering",Kraftvärmeprod!$B$1:$BX$1,0),FALSE)</f>
        <v>0</v>
      </c>
      <c r="AT320" s="17" t="str">
        <f t="shared" si="27"/>
        <v/>
      </c>
      <c r="AV320">
        <f t="shared" si="28"/>
        <v>0</v>
      </c>
      <c r="BA320" s="17" t="str">
        <f t="shared" si="29"/>
        <v/>
      </c>
    </row>
    <row r="321" spans="1:53" x14ac:dyDescent="0.25">
      <c r="A321" s="137" t="s">
        <v>629</v>
      </c>
      <c r="B321" s="137" t="s">
        <v>631</v>
      </c>
      <c r="C321" s="121"/>
      <c r="D321" s="121"/>
      <c r="E321" s="121"/>
      <c r="F321" s="121"/>
      <c r="G321" s="121"/>
      <c r="H321" s="121"/>
      <c r="I321" s="121"/>
      <c r="J321" s="121">
        <v>0</v>
      </c>
      <c r="K321" s="121">
        <v>0</v>
      </c>
      <c r="L321" s="121">
        <v>0</v>
      </c>
      <c r="M321" s="121">
        <v>0</v>
      </c>
      <c r="N321" s="121">
        <v>0</v>
      </c>
      <c r="O321" s="121">
        <v>0</v>
      </c>
      <c r="P321" s="121">
        <v>0</v>
      </c>
      <c r="Q321" s="121">
        <v>0</v>
      </c>
      <c r="R321" s="121">
        <v>0</v>
      </c>
      <c r="S321" s="121">
        <v>0</v>
      </c>
      <c r="T321" s="121">
        <v>0</v>
      </c>
      <c r="U321" s="121">
        <v>0</v>
      </c>
      <c r="V321" s="121" t="s">
        <v>1119</v>
      </c>
      <c r="W321" s="121">
        <v>0</v>
      </c>
      <c r="X321" s="121">
        <v>0</v>
      </c>
      <c r="Y321" s="121">
        <v>0</v>
      </c>
      <c r="Z321" s="121">
        <v>0</v>
      </c>
      <c r="AA321" s="121">
        <v>0</v>
      </c>
      <c r="AB321" s="121">
        <v>0</v>
      </c>
      <c r="AC321" s="121">
        <v>0</v>
      </c>
      <c r="AD321" s="121">
        <v>0</v>
      </c>
      <c r="AE321" s="121">
        <v>0</v>
      </c>
      <c r="AF321" s="121">
        <v>0</v>
      </c>
      <c r="AG321" s="121">
        <v>0</v>
      </c>
      <c r="AH321" s="121">
        <v>0</v>
      </c>
      <c r="AI321" s="121">
        <v>0</v>
      </c>
      <c r="AL321" s="14">
        <f t="shared" si="24"/>
        <v>0</v>
      </c>
      <c r="AM321">
        <f t="shared" si="25"/>
        <v>0</v>
      </c>
      <c r="AN321">
        <f t="shared" si="26"/>
        <v>0</v>
      </c>
      <c r="AP321">
        <f>VLOOKUP($B321,Kraftvärmeprod!$B$1:$BX$549,MATCH(AP$1,Kraftvärmeprod!$B$1:$BX$1,0),FALSE)</f>
        <v>0</v>
      </c>
      <c r="AQ321">
        <f>VLOOKUP($B321,Kraftvärmeprod!$B$1:$BX$549,MATCH(AQ$1,Kraftvärmeprod!$B$1:$BX$1,0),FALSE)</f>
        <v>0</v>
      </c>
      <c r="AR321">
        <f>VLOOKUP($B321,Kraftvärmeprod!$B$1:$BX$549,MATCH("Summa tillförd energi exklusive rökgaskondensering",Kraftvärmeprod!$B$1:$BX$1,0),FALSE)</f>
        <v>0</v>
      </c>
      <c r="AT321" s="17" t="str">
        <f t="shared" si="27"/>
        <v/>
      </c>
      <c r="AV321">
        <f t="shared" si="28"/>
        <v>0</v>
      </c>
      <c r="BA321" s="17" t="str">
        <f t="shared" si="29"/>
        <v/>
      </c>
    </row>
    <row r="322" spans="1:53" x14ac:dyDescent="0.25">
      <c r="A322" s="137" t="s">
        <v>629</v>
      </c>
      <c r="B322" s="137" t="s">
        <v>632</v>
      </c>
      <c r="C322" s="121"/>
      <c r="D322" s="121"/>
      <c r="E322" s="121"/>
      <c r="F322" s="121"/>
      <c r="G322" s="121"/>
      <c r="H322" s="121"/>
      <c r="I322" s="121"/>
      <c r="J322" s="121">
        <v>0</v>
      </c>
      <c r="K322" s="121">
        <v>0</v>
      </c>
      <c r="L322" s="121">
        <v>0</v>
      </c>
      <c r="M322" s="121">
        <v>0</v>
      </c>
      <c r="N322" s="121">
        <v>0</v>
      </c>
      <c r="O322" s="121">
        <v>0</v>
      </c>
      <c r="P322" s="121">
        <v>0</v>
      </c>
      <c r="Q322" s="121">
        <v>0</v>
      </c>
      <c r="R322" s="121">
        <v>0</v>
      </c>
      <c r="S322" s="121">
        <v>0</v>
      </c>
      <c r="T322" s="121">
        <v>0</v>
      </c>
      <c r="U322" s="121">
        <v>0</v>
      </c>
      <c r="V322" s="121" t="s">
        <v>1119</v>
      </c>
      <c r="W322" s="121">
        <v>0</v>
      </c>
      <c r="X322" s="121">
        <v>0</v>
      </c>
      <c r="Y322" s="121">
        <v>0</v>
      </c>
      <c r="Z322" s="121">
        <v>0</v>
      </c>
      <c r="AA322" s="121">
        <v>0</v>
      </c>
      <c r="AB322" s="121">
        <v>0</v>
      </c>
      <c r="AC322" s="121">
        <v>0</v>
      </c>
      <c r="AD322" s="121">
        <v>0</v>
      </c>
      <c r="AE322" s="121">
        <v>0</v>
      </c>
      <c r="AF322" s="121">
        <v>0</v>
      </c>
      <c r="AG322" s="121">
        <v>0</v>
      </c>
      <c r="AH322" s="121">
        <v>0</v>
      </c>
      <c r="AI322" s="121">
        <v>0</v>
      </c>
      <c r="AL322" s="14">
        <f t="shared" ref="AL322:AL385" si="30">SUM(J322:U322,W322:AI322)</f>
        <v>0</v>
      </c>
      <c r="AM322">
        <f t="shared" ref="AM322:AM385" si="31">AL322-IFERROR(AI322/1,0)</f>
        <v>0</v>
      </c>
      <c r="AN322">
        <f t="shared" ref="AN322:AN385" si="32">AM322-IFERROR(AH322/1,0)</f>
        <v>0</v>
      </c>
      <c r="AP322">
        <f>VLOOKUP($B322,Kraftvärmeprod!$B$1:$BX$549,MATCH(AP$1,Kraftvärmeprod!$B$1:$BX$1,0),FALSE)</f>
        <v>0</v>
      </c>
      <c r="AQ322">
        <f>VLOOKUP($B322,Kraftvärmeprod!$B$1:$BX$549,MATCH(AQ$1,Kraftvärmeprod!$B$1:$BX$1,0),FALSE)</f>
        <v>0</v>
      </c>
      <c r="AR322">
        <f>VLOOKUP($B322,Kraftvärmeprod!$B$1:$BX$549,MATCH("Summa tillförd energi exklusive rökgaskondensering",Kraftvärmeprod!$B$1:$BX$1,0),FALSE)</f>
        <v>0</v>
      </c>
      <c r="AT322" s="17" t="str">
        <f t="shared" ref="AT322:AT385" si="33">IF(AN322=0,"",AN322/AR322)</f>
        <v/>
      </c>
      <c r="AV322">
        <f t="shared" ref="AV322:AV385" si="34">Q322+R322+S322+T322+U322+P322+X322+Y322+Z322+AA322+AB322+AC322+W322</f>
        <v>0</v>
      </c>
      <c r="BA322" s="17" t="str">
        <f t="shared" ref="BA322:BA385" si="35">IFERROR(AP322/(AN322+AI322),"")</f>
        <v/>
      </c>
    </row>
    <row r="323" spans="1:53" x14ac:dyDescent="0.25">
      <c r="A323" s="137" t="s">
        <v>633</v>
      </c>
      <c r="B323" s="137" t="s">
        <v>634</v>
      </c>
      <c r="C323" s="121"/>
      <c r="D323" s="121"/>
      <c r="E323" s="121"/>
      <c r="F323" s="121"/>
      <c r="G323" s="121"/>
      <c r="H323" s="121"/>
      <c r="I323" s="121"/>
      <c r="J323" s="121">
        <v>0</v>
      </c>
      <c r="K323" s="121">
        <v>0</v>
      </c>
      <c r="L323" s="121">
        <v>0</v>
      </c>
      <c r="M323" s="121">
        <v>0</v>
      </c>
      <c r="N323" s="121">
        <v>0</v>
      </c>
      <c r="O323" s="121">
        <v>0</v>
      </c>
      <c r="P323" s="121">
        <v>0</v>
      </c>
      <c r="Q323" s="121">
        <v>0</v>
      </c>
      <c r="R323" s="121">
        <v>0</v>
      </c>
      <c r="S323" s="121">
        <v>0</v>
      </c>
      <c r="T323" s="121">
        <v>0</v>
      </c>
      <c r="U323" s="121">
        <v>0</v>
      </c>
      <c r="V323" s="121" t="s">
        <v>1119</v>
      </c>
      <c r="W323" s="121">
        <v>0</v>
      </c>
      <c r="X323" s="121">
        <v>0</v>
      </c>
      <c r="Y323" s="121">
        <v>0</v>
      </c>
      <c r="Z323" s="121">
        <v>0</v>
      </c>
      <c r="AA323" s="121">
        <v>0</v>
      </c>
      <c r="AB323" s="121">
        <v>0</v>
      </c>
      <c r="AC323" s="121">
        <v>0</v>
      </c>
      <c r="AD323" s="121">
        <v>0</v>
      </c>
      <c r="AE323" s="121">
        <v>0</v>
      </c>
      <c r="AF323" s="121">
        <v>0</v>
      </c>
      <c r="AG323" s="121">
        <v>0</v>
      </c>
      <c r="AH323" s="121">
        <v>0</v>
      </c>
      <c r="AI323" s="121">
        <v>0</v>
      </c>
      <c r="AL323" s="14">
        <f t="shared" si="30"/>
        <v>0</v>
      </c>
      <c r="AM323">
        <f t="shared" si="31"/>
        <v>0</v>
      </c>
      <c r="AN323">
        <f t="shared" si="32"/>
        <v>0</v>
      </c>
      <c r="AP323">
        <f>VLOOKUP($B323,Kraftvärmeprod!$B$1:$BX$549,MATCH(AP$1,Kraftvärmeprod!$B$1:$BX$1,0),FALSE)</f>
        <v>0</v>
      </c>
      <c r="AQ323">
        <f>VLOOKUP($B323,Kraftvärmeprod!$B$1:$BX$549,MATCH(AQ$1,Kraftvärmeprod!$B$1:$BX$1,0),FALSE)</f>
        <v>0</v>
      </c>
      <c r="AR323">
        <f>VLOOKUP($B323,Kraftvärmeprod!$B$1:$BX$549,MATCH("Summa tillförd energi exklusive rökgaskondensering",Kraftvärmeprod!$B$1:$BX$1,0),FALSE)</f>
        <v>0</v>
      </c>
      <c r="AT323" s="17" t="str">
        <f t="shared" si="33"/>
        <v/>
      </c>
      <c r="AV323">
        <f t="shared" si="34"/>
        <v>0</v>
      </c>
      <c r="BA323" s="17" t="str">
        <f t="shared" si="35"/>
        <v/>
      </c>
    </row>
    <row r="324" spans="1:53" x14ac:dyDescent="0.25">
      <c r="A324" s="137" t="s">
        <v>633</v>
      </c>
      <c r="B324" s="137" t="s">
        <v>635</v>
      </c>
      <c r="C324" s="121"/>
      <c r="D324" s="121"/>
      <c r="E324" s="121"/>
      <c r="F324" s="121"/>
      <c r="G324" s="121"/>
      <c r="H324" s="121"/>
      <c r="I324" s="121"/>
      <c r="J324" s="121">
        <v>0</v>
      </c>
      <c r="K324" s="121">
        <v>0</v>
      </c>
      <c r="L324" s="121">
        <v>0</v>
      </c>
      <c r="M324" s="121">
        <v>0</v>
      </c>
      <c r="N324" s="121">
        <v>0</v>
      </c>
      <c r="O324" s="121">
        <v>0</v>
      </c>
      <c r="P324" s="121">
        <v>0</v>
      </c>
      <c r="Q324" s="121">
        <v>0</v>
      </c>
      <c r="R324" s="121">
        <v>0</v>
      </c>
      <c r="S324" s="121">
        <v>0</v>
      </c>
      <c r="T324" s="121">
        <v>0</v>
      </c>
      <c r="U324" s="121">
        <v>0</v>
      </c>
      <c r="V324" s="121" t="s">
        <v>1119</v>
      </c>
      <c r="W324" s="121">
        <v>0</v>
      </c>
      <c r="X324" s="121">
        <v>0</v>
      </c>
      <c r="Y324" s="121">
        <v>0</v>
      </c>
      <c r="Z324" s="121">
        <v>0</v>
      </c>
      <c r="AA324" s="121">
        <v>0</v>
      </c>
      <c r="AB324" s="121">
        <v>0</v>
      </c>
      <c r="AC324" s="121">
        <v>0</v>
      </c>
      <c r="AD324" s="121">
        <v>0</v>
      </c>
      <c r="AE324" s="121">
        <v>0</v>
      </c>
      <c r="AF324" s="121">
        <v>0</v>
      </c>
      <c r="AG324" s="121">
        <v>0</v>
      </c>
      <c r="AH324" s="121">
        <v>0</v>
      </c>
      <c r="AI324" s="121">
        <v>0</v>
      </c>
      <c r="AL324" s="14">
        <f t="shared" si="30"/>
        <v>0</v>
      </c>
      <c r="AM324">
        <f t="shared" si="31"/>
        <v>0</v>
      </c>
      <c r="AN324">
        <f t="shared" si="32"/>
        <v>0</v>
      </c>
      <c r="AP324">
        <f>VLOOKUP($B324,Kraftvärmeprod!$B$1:$BX$549,MATCH(AP$1,Kraftvärmeprod!$B$1:$BX$1,0),FALSE)</f>
        <v>0</v>
      </c>
      <c r="AQ324">
        <f>VLOOKUP($B324,Kraftvärmeprod!$B$1:$BX$549,MATCH(AQ$1,Kraftvärmeprod!$B$1:$BX$1,0),FALSE)</f>
        <v>0</v>
      </c>
      <c r="AR324">
        <f>VLOOKUP($B324,Kraftvärmeprod!$B$1:$BX$549,MATCH("Summa tillförd energi exklusive rökgaskondensering",Kraftvärmeprod!$B$1:$BX$1,0),FALSE)</f>
        <v>0</v>
      </c>
      <c r="AT324" s="17" t="str">
        <f t="shared" si="33"/>
        <v/>
      </c>
      <c r="AV324">
        <f t="shared" si="34"/>
        <v>0</v>
      </c>
      <c r="BA324" s="17" t="str">
        <f t="shared" si="35"/>
        <v/>
      </c>
    </row>
    <row r="325" spans="1:53" x14ac:dyDescent="0.25">
      <c r="A325" s="137" t="s">
        <v>633</v>
      </c>
      <c r="B325" s="137" t="s">
        <v>636</v>
      </c>
      <c r="C325" s="121"/>
      <c r="D325" s="121"/>
      <c r="E325" s="121"/>
      <c r="F325" s="121"/>
      <c r="G325" s="121"/>
      <c r="H325" s="121"/>
      <c r="I325" s="121"/>
      <c r="J325" s="121">
        <v>0</v>
      </c>
      <c r="K325" s="121">
        <v>0</v>
      </c>
      <c r="L325" s="121">
        <v>0</v>
      </c>
      <c r="M325" s="121">
        <v>0</v>
      </c>
      <c r="N325" s="121">
        <v>0</v>
      </c>
      <c r="O325" s="121">
        <v>0</v>
      </c>
      <c r="P325" s="121">
        <v>0</v>
      </c>
      <c r="Q325" s="121">
        <v>0</v>
      </c>
      <c r="R325" s="121">
        <v>0</v>
      </c>
      <c r="S325" s="121">
        <v>0</v>
      </c>
      <c r="T325" s="121">
        <v>0</v>
      </c>
      <c r="U325" s="121">
        <v>0</v>
      </c>
      <c r="V325" s="121" t="s">
        <v>1119</v>
      </c>
      <c r="W325" s="121">
        <v>0</v>
      </c>
      <c r="X325" s="121">
        <v>0</v>
      </c>
      <c r="Y325" s="121">
        <v>0</v>
      </c>
      <c r="Z325" s="121">
        <v>0</v>
      </c>
      <c r="AA325" s="121">
        <v>0</v>
      </c>
      <c r="AB325" s="121">
        <v>0</v>
      </c>
      <c r="AC325" s="121">
        <v>0</v>
      </c>
      <c r="AD325" s="121">
        <v>0</v>
      </c>
      <c r="AE325" s="121">
        <v>0</v>
      </c>
      <c r="AF325" s="121">
        <v>0</v>
      </c>
      <c r="AG325" s="121">
        <v>0</v>
      </c>
      <c r="AH325" s="121">
        <v>0</v>
      </c>
      <c r="AI325" s="121">
        <v>0</v>
      </c>
      <c r="AL325" s="14">
        <f t="shared" si="30"/>
        <v>0</v>
      </c>
      <c r="AM325">
        <f t="shared" si="31"/>
        <v>0</v>
      </c>
      <c r="AN325">
        <f t="shared" si="32"/>
        <v>0</v>
      </c>
      <c r="AP325">
        <f>VLOOKUP($B325,Kraftvärmeprod!$B$1:$BX$549,MATCH(AP$1,Kraftvärmeprod!$B$1:$BX$1,0),FALSE)</f>
        <v>0</v>
      </c>
      <c r="AQ325">
        <f>VLOOKUP($B325,Kraftvärmeprod!$B$1:$BX$549,MATCH(AQ$1,Kraftvärmeprod!$B$1:$BX$1,0),FALSE)</f>
        <v>0</v>
      </c>
      <c r="AR325">
        <f>VLOOKUP($B325,Kraftvärmeprod!$B$1:$BX$549,MATCH("Summa tillförd energi exklusive rökgaskondensering",Kraftvärmeprod!$B$1:$BX$1,0),FALSE)</f>
        <v>0</v>
      </c>
      <c r="AT325" s="17" t="str">
        <f t="shared" si="33"/>
        <v/>
      </c>
      <c r="AV325">
        <f t="shared" si="34"/>
        <v>0</v>
      </c>
      <c r="BA325" s="17" t="str">
        <f t="shared" si="35"/>
        <v/>
      </c>
    </row>
    <row r="326" spans="1:53" x14ac:dyDescent="0.25">
      <c r="A326" s="137" t="s">
        <v>633</v>
      </c>
      <c r="B326" s="137" t="s">
        <v>637</v>
      </c>
      <c r="C326" s="121"/>
      <c r="D326" s="121"/>
      <c r="E326" s="121"/>
      <c r="F326" s="121"/>
      <c r="G326" s="121"/>
      <c r="H326" s="121"/>
      <c r="I326" s="121"/>
      <c r="J326" s="121">
        <v>0</v>
      </c>
      <c r="K326" s="121">
        <v>8.1</v>
      </c>
      <c r="L326" s="121">
        <v>0</v>
      </c>
      <c r="M326" s="121">
        <v>0</v>
      </c>
      <c r="N326" s="121">
        <v>0</v>
      </c>
      <c r="O326" s="121">
        <v>0</v>
      </c>
      <c r="P326" s="121">
        <v>1.9</v>
      </c>
      <c r="Q326" s="121">
        <v>102.6</v>
      </c>
      <c r="R326" s="121">
        <v>30.7</v>
      </c>
      <c r="S326" s="121">
        <v>48.7</v>
      </c>
      <c r="T326" s="121">
        <v>0</v>
      </c>
      <c r="U326" s="121">
        <v>27.9</v>
      </c>
      <c r="V326" s="121" t="s">
        <v>1119</v>
      </c>
      <c r="W326" s="121">
        <v>0.8</v>
      </c>
      <c r="X326" s="121">
        <v>0</v>
      </c>
      <c r="Y326" s="121">
        <v>0</v>
      </c>
      <c r="Z326" s="121">
        <v>0</v>
      </c>
      <c r="AA326" s="121">
        <v>0</v>
      </c>
      <c r="AB326" s="121">
        <v>0</v>
      </c>
      <c r="AC326" s="121">
        <v>0</v>
      </c>
      <c r="AD326" s="121">
        <v>39.5</v>
      </c>
      <c r="AE326" s="121">
        <v>254.3</v>
      </c>
      <c r="AF326" s="121">
        <v>0</v>
      </c>
      <c r="AG326" s="121">
        <v>0</v>
      </c>
      <c r="AH326" s="121">
        <v>168.2</v>
      </c>
      <c r="AI326" s="121">
        <v>21.732700000000001</v>
      </c>
      <c r="AL326" s="14">
        <f t="shared" si="30"/>
        <v>704.43270000000007</v>
      </c>
      <c r="AM326">
        <f t="shared" si="31"/>
        <v>682.7</v>
      </c>
      <c r="AN326">
        <f t="shared" si="32"/>
        <v>514.5</v>
      </c>
      <c r="AP326">
        <f>VLOOKUP($B326,Kraftvärmeprod!$B$1:$BX$549,MATCH(AP$1,Kraftvärmeprod!$B$1:$BX$1,0),FALSE)</f>
        <v>611.5</v>
      </c>
      <c r="AQ326">
        <f>VLOOKUP($B326,Kraftvärmeprod!$B$1:$BX$549,MATCH(AQ$1,Kraftvärmeprod!$B$1:$BX$1,0),FALSE)</f>
        <v>191.1</v>
      </c>
      <c r="AR326">
        <f>VLOOKUP($B326,Kraftvärmeprod!$B$1:$BX$549,MATCH("Summa tillförd energi exklusive rökgaskondensering",Kraftvärmeprod!$B$1:$BX$1,0),FALSE)</f>
        <v>965.90000000000009</v>
      </c>
      <c r="AT326" s="17">
        <f t="shared" si="33"/>
        <v>0.5326638368361114</v>
      </c>
      <c r="AV326">
        <f t="shared" si="34"/>
        <v>212.60000000000002</v>
      </c>
      <c r="BA326" s="17">
        <f t="shared" si="35"/>
        <v>1.1403631296636703</v>
      </c>
    </row>
    <row r="327" spans="1:53" x14ac:dyDescent="0.25">
      <c r="A327" s="137" t="s">
        <v>638</v>
      </c>
      <c r="B327" s="137" t="s">
        <v>639</v>
      </c>
      <c r="C327" s="121"/>
      <c r="D327" s="121"/>
      <c r="E327" s="121"/>
      <c r="F327" s="121"/>
      <c r="G327" s="121"/>
      <c r="H327" s="121"/>
      <c r="I327" s="121"/>
      <c r="J327" s="121">
        <v>0</v>
      </c>
      <c r="K327" s="121">
        <v>0</v>
      </c>
      <c r="L327" s="121">
        <v>0</v>
      </c>
      <c r="M327" s="121">
        <v>0</v>
      </c>
      <c r="N327" s="121">
        <v>0</v>
      </c>
      <c r="O327" s="121">
        <v>0</v>
      </c>
      <c r="P327" s="121">
        <v>0</v>
      </c>
      <c r="Q327" s="121">
        <v>0</v>
      </c>
      <c r="R327" s="121">
        <v>0</v>
      </c>
      <c r="S327" s="121">
        <v>0</v>
      </c>
      <c r="T327" s="121">
        <v>0</v>
      </c>
      <c r="U327" s="121">
        <v>0</v>
      </c>
      <c r="V327" s="121" t="s">
        <v>1119</v>
      </c>
      <c r="W327" s="121">
        <v>0</v>
      </c>
      <c r="X327" s="121">
        <v>0</v>
      </c>
      <c r="Y327" s="121">
        <v>0</v>
      </c>
      <c r="Z327" s="121">
        <v>0</v>
      </c>
      <c r="AA327" s="121">
        <v>0</v>
      </c>
      <c r="AB327" s="121">
        <v>0</v>
      </c>
      <c r="AC327" s="121">
        <v>0</v>
      </c>
      <c r="AD327" s="121">
        <v>0</v>
      </c>
      <c r="AE327" s="121">
        <v>0</v>
      </c>
      <c r="AF327" s="121">
        <v>0</v>
      </c>
      <c r="AG327" s="121">
        <v>0</v>
      </c>
      <c r="AH327" s="121">
        <v>0</v>
      </c>
      <c r="AI327" s="121">
        <v>0</v>
      </c>
      <c r="AL327" s="14">
        <f t="shared" si="30"/>
        <v>0</v>
      </c>
      <c r="AM327">
        <f t="shared" si="31"/>
        <v>0</v>
      </c>
      <c r="AN327">
        <f t="shared" si="32"/>
        <v>0</v>
      </c>
      <c r="AP327">
        <f>VLOOKUP($B327,Kraftvärmeprod!$B$1:$BX$549,MATCH(AP$1,Kraftvärmeprod!$B$1:$BX$1,0),FALSE)</f>
        <v>0</v>
      </c>
      <c r="AQ327">
        <f>VLOOKUP($B327,Kraftvärmeprod!$B$1:$BX$549,MATCH(AQ$1,Kraftvärmeprod!$B$1:$BX$1,0),FALSE)</f>
        <v>0</v>
      </c>
      <c r="AR327">
        <f>VLOOKUP($B327,Kraftvärmeprod!$B$1:$BX$549,MATCH("Summa tillförd energi exklusive rökgaskondensering",Kraftvärmeprod!$B$1:$BX$1,0),FALSE)</f>
        <v>0</v>
      </c>
      <c r="AT327" s="17" t="str">
        <f t="shared" si="33"/>
        <v/>
      </c>
      <c r="AV327">
        <f t="shared" si="34"/>
        <v>0</v>
      </c>
      <c r="BA327" s="17" t="str">
        <f t="shared" si="35"/>
        <v/>
      </c>
    </row>
    <row r="328" spans="1:53" x14ac:dyDescent="0.25">
      <c r="A328" s="137" t="s">
        <v>638</v>
      </c>
      <c r="B328" s="137" t="s">
        <v>641</v>
      </c>
      <c r="C328" s="121"/>
      <c r="D328" s="121"/>
      <c r="E328" s="121"/>
      <c r="F328" s="121"/>
      <c r="G328" s="121"/>
      <c r="H328" s="121"/>
      <c r="I328" s="121"/>
      <c r="J328" s="121">
        <v>0</v>
      </c>
      <c r="K328" s="121">
        <v>0</v>
      </c>
      <c r="L328" s="121">
        <v>0</v>
      </c>
      <c r="M328" s="121">
        <v>0</v>
      </c>
      <c r="N328" s="121">
        <v>0</v>
      </c>
      <c r="O328" s="121">
        <v>0</v>
      </c>
      <c r="P328" s="121">
        <v>0</v>
      </c>
      <c r="Q328" s="121">
        <v>0</v>
      </c>
      <c r="R328" s="121">
        <v>0</v>
      </c>
      <c r="S328" s="121">
        <v>0</v>
      </c>
      <c r="T328" s="121">
        <v>0</v>
      </c>
      <c r="U328" s="121">
        <v>0</v>
      </c>
      <c r="V328" s="121" t="s">
        <v>1119</v>
      </c>
      <c r="W328" s="121">
        <v>0</v>
      </c>
      <c r="X328" s="121">
        <v>0</v>
      </c>
      <c r="Y328" s="121">
        <v>0</v>
      </c>
      <c r="Z328" s="121">
        <v>0</v>
      </c>
      <c r="AA328" s="121">
        <v>0</v>
      </c>
      <c r="AB328" s="121">
        <v>0</v>
      </c>
      <c r="AC328" s="121">
        <v>0</v>
      </c>
      <c r="AD328" s="121">
        <v>0</v>
      </c>
      <c r="AE328" s="121">
        <v>0</v>
      </c>
      <c r="AF328" s="121">
        <v>0</v>
      </c>
      <c r="AG328" s="121">
        <v>0</v>
      </c>
      <c r="AH328" s="121">
        <v>0</v>
      </c>
      <c r="AI328" s="121">
        <v>0</v>
      </c>
      <c r="AL328" s="14">
        <f t="shared" si="30"/>
        <v>0</v>
      </c>
      <c r="AM328">
        <f t="shared" si="31"/>
        <v>0</v>
      </c>
      <c r="AN328">
        <f t="shared" si="32"/>
        <v>0</v>
      </c>
      <c r="AP328">
        <f>VLOOKUP($B328,Kraftvärmeprod!$B$1:$BX$549,MATCH(AP$1,Kraftvärmeprod!$B$1:$BX$1,0),FALSE)</f>
        <v>0</v>
      </c>
      <c r="AQ328">
        <f>VLOOKUP($B328,Kraftvärmeprod!$B$1:$BX$549,MATCH(AQ$1,Kraftvärmeprod!$B$1:$BX$1,0),FALSE)</f>
        <v>0</v>
      </c>
      <c r="AR328">
        <f>VLOOKUP($B328,Kraftvärmeprod!$B$1:$BX$549,MATCH("Summa tillförd energi exklusive rökgaskondensering",Kraftvärmeprod!$B$1:$BX$1,0),FALSE)</f>
        <v>0</v>
      </c>
      <c r="AT328" s="17" t="str">
        <f t="shared" si="33"/>
        <v/>
      </c>
      <c r="AV328">
        <f t="shared" si="34"/>
        <v>0</v>
      </c>
      <c r="BA328" s="17" t="str">
        <f t="shared" si="35"/>
        <v/>
      </c>
    </row>
    <row r="329" spans="1:53" x14ac:dyDescent="0.25">
      <c r="A329" s="137" t="s">
        <v>643</v>
      </c>
      <c r="B329" s="137" t="s">
        <v>644</v>
      </c>
      <c r="C329" s="121"/>
      <c r="D329" s="121"/>
      <c r="E329" s="121"/>
      <c r="F329" s="121"/>
      <c r="G329" s="121"/>
      <c r="H329" s="121"/>
      <c r="I329" s="121"/>
      <c r="J329" s="121">
        <v>0</v>
      </c>
      <c r="K329" s="121">
        <v>0</v>
      </c>
      <c r="L329" s="121">
        <v>0</v>
      </c>
      <c r="M329" s="121">
        <v>0</v>
      </c>
      <c r="N329" s="121">
        <v>0</v>
      </c>
      <c r="O329" s="121">
        <v>0</v>
      </c>
      <c r="P329" s="121">
        <v>0</v>
      </c>
      <c r="Q329" s="121">
        <v>0</v>
      </c>
      <c r="R329" s="121">
        <v>0</v>
      </c>
      <c r="S329" s="121">
        <v>0</v>
      </c>
      <c r="T329" s="121">
        <v>0</v>
      </c>
      <c r="U329" s="121">
        <v>0</v>
      </c>
      <c r="V329" s="121" t="s">
        <v>1119</v>
      </c>
      <c r="W329" s="121">
        <v>0</v>
      </c>
      <c r="X329" s="121">
        <v>0</v>
      </c>
      <c r="Y329" s="121">
        <v>0</v>
      </c>
      <c r="Z329" s="121">
        <v>0</v>
      </c>
      <c r="AA329" s="121">
        <v>0</v>
      </c>
      <c r="AB329" s="121">
        <v>0</v>
      </c>
      <c r="AC329" s="121">
        <v>0</v>
      </c>
      <c r="AD329" s="121">
        <v>0</v>
      </c>
      <c r="AE329" s="121">
        <v>0</v>
      </c>
      <c r="AF329" s="121">
        <v>0</v>
      </c>
      <c r="AG329" s="121">
        <v>0</v>
      </c>
      <c r="AH329" s="121">
        <v>0</v>
      </c>
      <c r="AI329" s="121">
        <v>0</v>
      </c>
      <c r="AL329" s="14">
        <f t="shared" si="30"/>
        <v>0</v>
      </c>
      <c r="AM329">
        <f t="shared" si="31"/>
        <v>0</v>
      </c>
      <c r="AN329">
        <f t="shared" si="32"/>
        <v>0</v>
      </c>
      <c r="AP329">
        <f>VLOOKUP($B329,Kraftvärmeprod!$B$1:$BX$549,MATCH(AP$1,Kraftvärmeprod!$B$1:$BX$1,0),FALSE)</f>
        <v>0</v>
      </c>
      <c r="AQ329">
        <f>VLOOKUP($B329,Kraftvärmeprod!$B$1:$BX$549,MATCH(AQ$1,Kraftvärmeprod!$B$1:$BX$1,0),FALSE)</f>
        <v>0</v>
      </c>
      <c r="AR329">
        <f>VLOOKUP($B329,Kraftvärmeprod!$B$1:$BX$549,MATCH("Summa tillförd energi exklusive rökgaskondensering",Kraftvärmeprod!$B$1:$BX$1,0),FALSE)</f>
        <v>0</v>
      </c>
      <c r="AT329" s="17" t="str">
        <f t="shared" si="33"/>
        <v/>
      </c>
      <c r="AV329">
        <f t="shared" si="34"/>
        <v>0</v>
      </c>
      <c r="BA329" s="17" t="str">
        <f t="shared" si="35"/>
        <v/>
      </c>
    </row>
    <row r="330" spans="1:53" x14ac:dyDescent="0.25">
      <c r="A330" s="137" t="s">
        <v>645</v>
      </c>
      <c r="B330" s="137" t="s">
        <v>646</v>
      </c>
      <c r="C330" s="121"/>
      <c r="D330" s="121"/>
      <c r="E330" s="121"/>
      <c r="F330" s="121"/>
      <c r="G330" s="121"/>
      <c r="H330" s="121"/>
      <c r="I330" s="121"/>
      <c r="J330" s="121">
        <v>0</v>
      </c>
      <c r="K330" s="121">
        <v>0</v>
      </c>
      <c r="L330" s="121">
        <v>0</v>
      </c>
      <c r="M330" s="121">
        <v>0</v>
      </c>
      <c r="N330" s="121">
        <v>0</v>
      </c>
      <c r="O330" s="121">
        <v>0</v>
      </c>
      <c r="P330" s="121">
        <v>0</v>
      </c>
      <c r="Q330" s="121">
        <v>0</v>
      </c>
      <c r="R330" s="121">
        <v>0</v>
      </c>
      <c r="S330" s="121">
        <v>0</v>
      </c>
      <c r="T330" s="121">
        <v>0</v>
      </c>
      <c r="U330" s="121">
        <v>0</v>
      </c>
      <c r="V330" s="121" t="s">
        <v>1119</v>
      </c>
      <c r="W330" s="121">
        <v>0</v>
      </c>
      <c r="X330" s="121">
        <v>0</v>
      </c>
      <c r="Y330" s="121">
        <v>0</v>
      </c>
      <c r="Z330" s="121">
        <v>0</v>
      </c>
      <c r="AA330" s="121">
        <v>0</v>
      </c>
      <c r="AB330" s="121">
        <v>0</v>
      </c>
      <c r="AC330" s="121">
        <v>0</v>
      </c>
      <c r="AD330" s="121">
        <v>0</v>
      </c>
      <c r="AE330" s="121">
        <v>0</v>
      </c>
      <c r="AF330" s="121">
        <v>0</v>
      </c>
      <c r="AG330" s="121">
        <v>0</v>
      </c>
      <c r="AH330" s="121">
        <v>0</v>
      </c>
      <c r="AI330" s="121">
        <v>0</v>
      </c>
      <c r="AL330" s="14">
        <f t="shared" si="30"/>
        <v>0</v>
      </c>
      <c r="AM330">
        <f t="shared" si="31"/>
        <v>0</v>
      </c>
      <c r="AN330">
        <f t="shared" si="32"/>
        <v>0</v>
      </c>
      <c r="AP330">
        <f>VLOOKUP($B330,Kraftvärmeprod!$B$1:$BX$549,MATCH(AP$1,Kraftvärmeprod!$B$1:$BX$1,0),FALSE)</f>
        <v>0</v>
      </c>
      <c r="AQ330">
        <f>VLOOKUP($B330,Kraftvärmeprod!$B$1:$BX$549,MATCH(AQ$1,Kraftvärmeprod!$B$1:$BX$1,0),FALSE)</f>
        <v>0</v>
      </c>
      <c r="AR330">
        <f>VLOOKUP($B330,Kraftvärmeprod!$B$1:$BX$549,MATCH("Summa tillförd energi exklusive rökgaskondensering",Kraftvärmeprod!$B$1:$BX$1,0),FALSE)</f>
        <v>0</v>
      </c>
      <c r="AT330" s="17" t="str">
        <f t="shared" si="33"/>
        <v/>
      </c>
      <c r="AV330">
        <f t="shared" si="34"/>
        <v>0</v>
      </c>
      <c r="BA330" s="17" t="str">
        <f t="shared" si="35"/>
        <v/>
      </c>
    </row>
    <row r="331" spans="1:53" x14ac:dyDescent="0.25">
      <c r="A331" s="137" t="s">
        <v>645</v>
      </c>
      <c r="B331" s="137" t="s">
        <v>647</v>
      </c>
      <c r="C331" s="121"/>
      <c r="D331" s="121"/>
      <c r="E331" s="121"/>
      <c r="F331" s="121"/>
      <c r="G331" s="121"/>
      <c r="H331" s="121"/>
      <c r="I331" s="121"/>
      <c r="J331" s="121">
        <v>0</v>
      </c>
      <c r="K331" s="121">
        <v>0</v>
      </c>
      <c r="L331" s="121">
        <v>0</v>
      </c>
      <c r="M331" s="121">
        <v>0</v>
      </c>
      <c r="N331" s="121">
        <v>0</v>
      </c>
      <c r="O331" s="121">
        <v>0</v>
      </c>
      <c r="P331" s="121">
        <v>0</v>
      </c>
      <c r="Q331" s="121">
        <v>0</v>
      </c>
      <c r="R331" s="121">
        <v>0</v>
      </c>
      <c r="S331" s="121">
        <v>0</v>
      </c>
      <c r="T331" s="121">
        <v>0</v>
      </c>
      <c r="U331" s="121">
        <v>0</v>
      </c>
      <c r="V331" s="121" t="s">
        <v>1119</v>
      </c>
      <c r="W331" s="121">
        <v>0</v>
      </c>
      <c r="X331" s="121">
        <v>0</v>
      </c>
      <c r="Y331" s="121">
        <v>0</v>
      </c>
      <c r="Z331" s="121">
        <v>0</v>
      </c>
      <c r="AA331" s="121">
        <v>0</v>
      </c>
      <c r="AB331" s="121">
        <v>0</v>
      </c>
      <c r="AC331" s="121">
        <v>0</v>
      </c>
      <c r="AD331" s="121">
        <v>0</v>
      </c>
      <c r="AE331" s="121">
        <v>0</v>
      </c>
      <c r="AF331" s="121">
        <v>0</v>
      </c>
      <c r="AG331" s="121">
        <v>0</v>
      </c>
      <c r="AH331" s="121">
        <v>0</v>
      </c>
      <c r="AI331" s="121">
        <v>0</v>
      </c>
      <c r="AL331" s="14">
        <f t="shared" si="30"/>
        <v>0</v>
      </c>
      <c r="AM331">
        <f t="shared" si="31"/>
        <v>0</v>
      </c>
      <c r="AN331">
        <f t="shared" si="32"/>
        <v>0</v>
      </c>
      <c r="AP331">
        <f>VLOOKUP($B331,Kraftvärmeprod!$B$1:$BX$549,MATCH(AP$1,Kraftvärmeprod!$B$1:$BX$1,0),FALSE)</f>
        <v>0</v>
      </c>
      <c r="AQ331">
        <f>VLOOKUP($B331,Kraftvärmeprod!$B$1:$BX$549,MATCH(AQ$1,Kraftvärmeprod!$B$1:$BX$1,0),FALSE)</f>
        <v>0</v>
      </c>
      <c r="AR331">
        <f>VLOOKUP($B331,Kraftvärmeprod!$B$1:$BX$549,MATCH("Summa tillförd energi exklusive rökgaskondensering",Kraftvärmeprod!$B$1:$BX$1,0),FALSE)</f>
        <v>0</v>
      </c>
      <c r="AT331" s="17" t="str">
        <f t="shared" si="33"/>
        <v/>
      </c>
      <c r="AV331">
        <f t="shared" si="34"/>
        <v>0</v>
      </c>
      <c r="BA331" s="17" t="str">
        <f t="shared" si="35"/>
        <v/>
      </c>
    </row>
    <row r="332" spans="1:53" x14ac:dyDescent="0.25">
      <c r="A332" s="137" t="s">
        <v>645</v>
      </c>
      <c r="B332" s="137" t="s">
        <v>648</v>
      </c>
      <c r="C332" s="121"/>
      <c r="D332" s="121"/>
      <c r="E332" s="121"/>
      <c r="F332" s="121"/>
      <c r="G332" s="121"/>
      <c r="H332" s="121"/>
      <c r="I332" s="121"/>
      <c r="J332" s="121">
        <v>0</v>
      </c>
      <c r="K332" s="121">
        <v>0</v>
      </c>
      <c r="L332" s="121">
        <v>0</v>
      </c>
      <c r="M332" s="121">
        <v>0</v>
      </c>
      <c r="N332" s="121">
        <v>0</v>
      </c>
      <c r="O332" s="121">
        <v>0</v>
      </c>
      <c r="P332" s="121">
        <v>0</v>
      </c>
      <c r="Q332" s="121">
        <v>0</v>
      </c>
      <c r="R332" s="121">
        <v>0</v>
      </c>
      <c r="S332" s="121">
        <v>0</v>
      </c>
      <c r="T332" s="121">
        <v>0</v>
      </c>
      <c r="U332" s="121">
        <v>0</v>
      </c>
      <c r="V332" s="121" t="s">
        <v>1119</v>
      </c>
      <c r="W332" s="121">
        <v>0</v>
      </c>
      <c r="X332" s="121">
        <v>0</v>
      </c>
      <c r="Y332" s="121">
        <v>0</v>
      </c>
      <c r="Z332" s="121">
        <v>0</v>
      </c>
      <c r="AA332" s="121">
        <v>0</v>
      </c>
      <c r="AB332" s="121">
        <v>0</v>
      </c>
      <c r="AC332" s="121">
        <v>0</v>
      </c>
      <c r="AD332" s="121">
        <v>0</v>
      </c>
      <c r="AE332" s="121">
        <v>0</v>
      </c>
      <c r="AF332" s="121">
        <v>0</v>
      </c>
      <c r="AG332" s="121">
        <v>0</v>
      </c>
      <c r="AH332" s="121">
        <v>0</v>
      </c>
      <c r="AI332" s="121">
        <v>0</v>
      </c>
      <c r="AL332" s="14">
        <f t="shared" si="30"/>
        <v>0</v>
      </c>
      <c r="AM332">
        <f t="shared" si="31"/>
        <v>0</v>
      </c>
      <c r="AN332">
        <f t="shared" si="32"/>
        <v>0</v>
      </c>
      <c r="AP332">
        <f>VLOOKUP($B332,Kraftvärmeprod!$B$1:$BX$549,MATCH(AP$1,Kraftvärmeprod!$B$1:$BX$1,0),FALSE)</f>
        <v>0</v>
      </c>
      <c r="AQ332">
        <f>VLOOKUP($B332,Kraftvärmeprod!$B$1:$BX$549,MATCH(AQ$1,Kraftvärmeprod!$B$1:$BX$1,0),FALSE)</f>
        <v>0</v>
      </c>
      <c r="AR332">
        <f>VLOOKUP($B332,Kraftvärmeprod!$B$1:$BX$549,MATCH("Summa tillförd energi exklusive rökgaskondensering",Kraftvärmeprod!$B$1:$BX$1,0),FALSE)</f>
        <v>0</v>
      </c>
      <c r="AT332" s="17" t="str">
        <f t="shared" si="33"/>
        <v/>
      </c>
      <c r="AV332">
        <f t="shared" si="34"/>
        <v>0</v>
      </c>
      <c r="BA332" s="17" t="str">
        <f t="shared" si="35"/>
        <v/>
      </c>
    </row>
    <row r="333" spans="1:53" x14ac:dyDescent="0.25">
      <c r="A333" s="137" t="s">
        <v>649</v>
      </c>
      <c r="B333" s="137" t="s">
        <v>650</v>
      </c>
      <c r="C333" s="121"/>
      <c r="D333" s="121"/>
      <c r="E333" s="121"/>
      <c r="F333" s="121"/>
      <c r="G333" s="121"/>
      <c r="H333" s="121"/>
      <c r="I333" s="121"/>
      <c r="J333" s="121">
        <v>0</v>
      </c>
      <c r="K333" s="121">
        <v>0</v>
      </c>
      <c r="L333" s="121">
        <v>0</v>
      </c>
      <c r="M333" s="121">
        <v>0</v>
      </c>
      <c r="N333" s="121">
        <v>0</v>
      </c>
      <c r="O333" s="121">
        <v>0</v>
      </c>
      <c r="P333" s="121">
        <v>0</v>
      </c>
      <c r="Q333" s="121">
        <v>0</v>
      </c>
      <c r="R333" s="121">
        <v>0</v>
      </c>
      <c r="S333" s="121">
        <v>0</v>
      </c>
      <c r="T333" s="121">
        <v>0</v>
      </c>
      <c r="U333" s="121">
        <v>0</v>
      </c>
      <c r="V333" s="121" t="s">
        <v>1119</v>
      </c>
      <c r="W333" s="121">
        <v>0</v>
      </c>
      <c r="X333" s="121">
        <v>0</v>
      </c>
      <c r="Y333" s="121">
        <v>0</v>
      </c>
      <c r="Z333" s="121">
        <v>0</v>
      </c>
      <c r="AA333" s="121">
        <v>0</v>
      </c>
      <c r="AB333" s="121">
        <v>0</v>
      </c>
      <c r="AC333" s="121">
        <v>0</v>
      </c>
      <c r="AD333" s="121">
        <v>0</v>
      </c>
      <c r="AE333" s="121">
        <v>0</v>
      </c>
      <c r="AF333" s="121">
        <v>0</v>
      </c>
      <c r="AG333" s="121">
        <v>0</v>
      </c>
      <c r="AH333" s="121">
        <v>0</v>
      </c>
      <c r="AI333" s="121">
        <v>0</v>
      </c>
      <c r="AL333" s="14">
        <f t="shared" si="30"/>
        <v>0</v>
      </c>
      <c r="AM333">
        <f t="shared" si="31"/>
        <v>0</v>
      </c>
      <c r="AN333">
        <f t="shared" si="32"/>
        <v>0</v>
      </c>
      <c r="AP333">
        <f>VLOOKUP($B333,Kraftvärmeprod!$B$1:$BX$549,MATCH(AP$1,Kraftvärmeprod!$B$1:$BX$1,0),FALSE)</f>
        <v>0</v>
      </c>
      <c r="AQ333">
        <f>VLOOKUP($B333,Kraftvärmeprod!$B$1:$BX$549,MATCH(AQ$1,Kraftvärmeprod!$B$1:$BX$1,0),FALSE)</f>
        <v>0</v>
      </c>
      <c r="AR333">
        <f>VLOOKUP($B333,Kraftvärmeprod!$B$1:$BX$549,MATCH("Summa tillförd energi exklusive rökgaskondensering",Kraftvärmeprod!$B$1:$BX$1,0),FALSE)</f>
        <v>0</v>
      </c>
      <c r="AT333" s="17" t="str">
        <f t="shared" si="33"/>
        <v/>
      </c>
      <c r="AV333">
        <f t="shared" si="34"/>
        <v>0</v>
      </c>
      <c r="BA333" s="17" t="str">
        <f t="shared" si="35"/>
        <v/>
      </c>
    </row>
    <row r="334" spans="1:53" x14ac:dyDescent="0.25">
      <c r="A334" s="137" t="s">
        <v>649</v>
      </c>
      <c r="B334" s="137" t="s">
        <v>651</v>
      </c>
      <c r="C334" s="121"/>
      <c r="D334" s="121"/>
      <c r="E334" s="121"/>
      <c r="F334" s="121"/>
      <c r="G334" s="121"/>
      <c r="H334" s="121"/>
      <c r="I334" s="121"/>
      <c r="J334" s="121">
        <v>0</v>
      </c>
      <c r="K334" s="121">
        <v>0</v>
      </c>
      <c r="L334" s="121">
        <v>0</v>
      </c>
      <c r="M334" s="121">
        <v>0</v>
      </c>
      <c r="N334" s="121">
        <v>0</v>
      </c>
      <c r="O334" s="121">
        <v>0</v>
      </c>
      <c r="P334" s="121">
        <v>0</v>
      </c>
      <c r="Q334" s="121">
        <v>0</v>
      </c>
      <c r="R334" s="121">
        <v>0</v>
      </c>
      <c r="S334" s="121">
        <v>0</v>
      </c>
      <c r="T334" s="121">
        <v>0</v>
      </c>
      <c r="U334" s="121">
        <v>0</v>
      </c>
      <c r="V334" s="121" t="s">
        <v>1119</v>
      </c>
      <c r="W334" s="121">
        <v>0</v>
      </c>
      <c r="X334" s="121">
        <v>0</v>
      </c>
      <c r="Y334" s="121">
        <v>0</v>
      </c>
      <c r="Z334" s="121">
        <v>0</v>
      </c>
      <c r="AA334" s="121">
        <v>0</v>
      </c>
      <c r="AB334" s="121">
        <v>0</v>
      </c>
      <c r="AC334" s="121">
        <v>0</v>
      </c>
      <c r="AD334" s="121">
        <v>0</v>
      </c>
      <c r="AE334" s="121">
        <v>0</v>
      </c>
      <c r="AF334" s="121">
        <v>0</v>
      </c>
      <c r="AG334" s="121">
        <v>0</v>
      </c>
      <c r="AH334" s="121">
        <v>0</v>
      </c>
      <c r="AI334" s="121">
        <v>0</v>
      </c>
      <c r="AL334" s="14">
        <f t="shared" si="30"/>
        <v>0</v>
      </c>
      <c r="AM334">
        <f t="shared" si="31"/>
        <v>0</v>
      </c>
      <c r="AN334">
        <f t="shared" si="32"/>
        <v>0</v>
      </c>
      <c r="AP334">
        <f>VLOOKUP($B334,Kraftvärmeprod!$B$1:$BX$549,MATCH(AP$1,Kraftvärmeprod!$B$1:$BX$1,0),FALSE)</f>
        <v>0</v>
      </c>
      <c r="AQ334">
        <f>VLOOKUP($B334,Kraftvärmeprod!$B$1:$BX$549,MATCH(AQ$1,Kraftvärmeprod!$B$1:$BX$1,0),FALSE)</f>
        <v>0</v>
      </c>
      <c r="AR334">
        <f>VLOOKUP($B334,Kraftvärmeprod!$B$1:$BX$549,MATCH("Summa tillförd energi exklusive rökgaskondensering",Kraftvärmeprod!$B$1:$BX$1,0),FALSE)</f>
        <v>0</v>
      </c>
      <c r="AT334" s="17" t="str">
        <f t="shared" si="33"/>
        <v/>
      </c>
      <c r="AV334">
        <f t="shared" si="34"/>
        <v>0</v>
      </c>
      <c r="BA334" s="17" t="str">
        <f t="shared" si="35"/>
        <v/>
      </c>
    </row>
    <row r="335" spans="1:53" x14ac:dyDescent="0.25">
      <c r="A335" s="137" t="s">
        <v>649</v>
      </c>
      <c r="B335" s="137" t="s">
        <v>652</v>
      </c>
      <c r="C335" s="121"/>
      <c r="D335" s="121"/>
      <c r="E335" s="121"/>
      <c r="F335" s="121"/>
      <c r="G335" s="121"/>
      <c r="H335" s="121"/>
      <c r="I335" s="121"/>
      <c r="J335" s="121">
        <v>0</v>
      </c>
      <c r="K335" s="121">
        <v>0</v>
      </c>
      <c r="L335" s="121">
        <v>0</v>
      </c>
      <c r="M335" s="121">
        <v>0</v>
      </c>
      <c r="N335" s="121">
        <v>0</v>
      </c>
      <c r="O335" s="121">
        <v>0</v>
      </c>
      <c r="P335" s="121">
        <v>0</v>
      </c>
      <c r="Q335" s="121">
        <v>0</v>
      </c>
      <c r="R335" s="121">
        <v>0</v>
      </c>
      <c r="S335" s="121">
        <v>0</v>
      </c>
      <c r="T335" s="121">
        <v>0</v>
      </c>
      <c r="U335" s="121">
        <v>0</v>
      </c>
      <c r="V335" s="121" t="s">
        <v>1119</v>
      </c>
      <c r="W335" s="121">
        <v>0</v>
      </c>
      <c r="X335" s="121">
        <v>0</v>
      </c>
      <c r="Y335" s="121">
        <v>0</v>
      </c>
      <c r="Z335" s="121">
        <v>0</v>
      </c>
      <c r="AA335" s="121">
        <v>0</v>
      </c>
      <c r="AB335" s="121">
        <v>0</v>
      </c>
      <c r="AC335" s="121">
        <v>0</v>
      </c>
      <c r="AD335" s="121">
        <v>0</v>
      </c>
      <c r="AE335" s="121">
        <v>0</v>
      </c>
      <c r="AF335" s="121">
        <v>0</v>
      </c>
      <c r="AG335" s="121">
        <v>0</v>
      </c>
      <c r="AH335" s="121">
        <v>0</v>
      </c>
      <c r="AI335" s="121">
        <v>0</v>
      </c>
      <c r="AL335" s="14">
        <f t="shared" si="30"/>
        <v>0</v>
      </c>
      <c r="AM335">
        <f t="shared" si="31"/>
        <v>0</v>
      </c>
      <c r="AN335">
        <f t="shared" si="32"/>
        <v>0</v>
      </c>
      <c r="AP335">
        <f>VLOOKUP($B335,Kraftvärmeprod!$B$1:$BX$549,MATCH(AP$1,Kraftvärmeprod!$B$1:$BX$1,0),FALSE)</f>
        <v>0</v>
      </c>
      <c r="AQ335">
        <f>VLOOKUP($B335,Kraftvärmeprod!$B$1:$BX$549,MATCH(AQ$1,Kraftvärmeprod!$B$1:$BX$1,0),FALSE)</f>
        <v>0</v>
      </c>
      <c r="AR335">
        <f>VLOOKUP($B335,Kraftvärmeprod!$B$1:$BX$549,MATCH("Summa tillförd energi exklusive rökgaskondensering",Kraftvärmeprod!$B$1:$BX$1,0),FALSE)</f>
        <v>0</v>
      </c>
      <c r="AT335" s="17" t="str">
        <f t="shared" si="33"/>
        <v/>
      </c>
      <c r="AV335">
        <f t="shared" si="34"/>
        <v>0</v>
      </c>
      <c r="BA335" s="17" t="str">
        <f t="shared" si="35"/>
        <v/>
      </c>
    </row>
    <row r="336" spans="1:53" x14ac:dyDescent="0.25">
      <c r="A336" s="137" t="s">
        <v>649</v>
      </c>
      <c r="B336" s="137" t="s">
        <v>653</v>
      </c>
      <c r="C336" s="121"/>
      <c r="D336" s="121"/>
      <c r="E336" s="121"/>
      <c r="F336" s="121"/>
      <c r="G336" s="121"/>
      <c r="H336" s="121"/>
      <c r="I336" s="121"/>
      <c r="J336" s="121">
        <v>0</v>
      </c>
      <c r="K336" s="121">
        <v>0</v>
      </c>
      <c r="L336" s="121">
        <v>0</v>
      </c>
      <c r="M336" s="121">
        <v>0</v>
      </c>
      <c r="N336" s="121">
        <v>0</v>
      </c>
      <c r="O336" s="121">
        <v>0</v>
      </c>
      <c r="P336" s="121">
        <v>0</v>
      </c>
      <c r="Q336" s="121">
        <v>0</v>
      </c>
      <c r="R336" s="121">
        <v>0</v>
      </c>
      <c r="S336" s="121">
        <v>0</v>
      </c>
      <c r="T336" s="121">
        <v>0</v>
      </c>
      <c r="U336" s="121">
        <v>0</v>
      </c>
      <c r="V336" s="121" t="s">
        <v>1119</v>
      </c>
      <c r="W336" s="121">
        <v>0</v>
      </c>
      <c r="X336" s="121">
        <v>0</v>
      </c>
      <c r="Y336" s="121">
        <v>0</v>
      </c>
      <c r="Z336" s="121">
        <v>0</v>
      </c>
      <c r="AA336" s="121">
        <v>0</v>
      </c>
      <c r="AB336" s="121">
        <v>0</v>
      </c>
      <c r="AC336" s="121">
        <v>0</v>
      </c>
      <c r="AD336" s="121">
        <v>0</v>
      </c>
      <c r="AE336" s="121">
        <v>0</v>
      </c>
      <c r="AF336" s="121">
        <v>0</v>
      </c>
      <c r="AG336" s="121">
        <v>0</v>
      </c>
      <c r="AH336" s="121">
        <v>0</v>
      </c>
      <c r="AI336" s="121">
        <v>0</v>
      </c>
      <c r="AL336" s="14">
        <f t="shared" si="30"/>
        <v>0</v>
      </c>
      <c r="AM336">
        <f t="shared" si="31"/>
        <v>0</v>
      </c>
      <c r="AN336">
        <f t="shared" si="32"/>
        <v>0</v>
      </c>
      <c r="AP336">
        <f>VLOOKUP($B336,Kraftvärmeprod!$B$1:$BX$549,MATCH(AP$1,Kraftvärmeprod!$B$1:$BX$1,0),FALSE)</f>
        <v>0</v>
      </c>
      <c r="AQ336">
        <f>VLOOKUP($B336,Kraftvärmeprod!$B$1:$BX$549,MATCH(AQ$1,Kraftvärmeprod!$B$1:$BX$1,0),FALSE)</f>
        <v>0</v>
      </c>
      <c r="AR336">
        <f>VLOOKUP($B336,Kraftvärmeprod!$B$1:$BX$549,MATCH("Summa tillförd energi exklusive rökgaskondensering",Kraftvärmeprod!$B$1:$BX$1,0),FALSE)</f>
        <v>0</v>
      </c>
      <c r="AT336" s="17" t="str">
        <f t="shared" si="33"/>
        <v/>
      </c>
      <c r="AV336">
        <f t="shared" si="34"/>
        <v>0</v>
      </c>
      <c r="BA336" s="17" t="str">
        <f t="shared" si="35"/>
        <v/>
      </c>
    </row>
    <row r="337" spans="1:53" x14ac:dyDescent="0.25">
      <c r="A337" s="137" t="s">
        <v>649</v>
      </c>
      <c r="B337" s="137" t="s">
        <v>138</v>
      </c>
      <c r="C337" s="121"/>
      <c r="D337" s="121"/>
      <c r="E337" s="121"/>
      <c r="F337" s="121"/>
      <c r="G337" s="121"/>
      <c r="H337" s="121"/>
      <c r="I337" s="121"/>
      <c r="J337" s="121">
        <v>0</v>
      </c>
      <c r="K337" s="121">
        <v>0</v>
      </c>
      <c r="L337" s="121">
        <v>0</v>
      </c>
      <c r="M337" s="121">
        <v>0</v>
      </c>
      <c r="N337" s="121">
        <v>0</v>
      </c>
      <c r="O337" s="121">
        <v>0</v>
      </c>
      <c r="P337" s="121">
        <v>0</v>
      </c>
      <c r="Q337" s="121">
        <v>0</v>
      </c>
      <c r="R337" s="121">
        <v>0</v>
      </c>
      <c r="S337" s="121">
        <v>0</v>
      </c>
      <c r="T337" s="121">
        <v>0</v>
      </c>
      <c r="U337" s="121">
        <v>0</v>
      </c>
      <c r="V337" s="121" t="s">
        <v>1119</v>
      </c>
      <c r="W337" s="121">
        <v>0</v>
      </c>
      <c r="X337" s="121">
        <v>0</v>
      </c>
      <c r="Y337" s="121">
        <v>0</v>
      </c>
      <c r="Z337" s="121">
        <v>0</v>
      </c>
      <c r="AA337" s="121">
        <v>0</v>
      </c>
      <c r="AB337" s="121">
        <v>0</v>
      </c>
      <c r="AC337" s="121">
        <v>0</v>
      </c>
      <c r="AD337" s="121">
        <v>0</v>
      </c>
      <c r="AE337" s="121">
        <v>0</v>
      </c>
      <c r="AF337" s="121">
        <v>0</v>
      </c>
      <c r="AG337" s="121">
        <v>0</v>
      </c>
      <c r="AH337" s="121">
        <v>0</v>
      </c>
      <c r="AI337" s="121">
        <v>0</v>
      </c>
      <c r="AL337" s="14">
        <f t="shared" si="30"/>
        <v>0</v>
      </c>
      <c r="AM337">
        <f t="shared" si="31"/>
        <v>0</v>
      </c>
      <c r="AN337">
        <f t="shared" si="32"/>
        <v>0</v>
      </c>
      <c r="AP337">
        <f>VLOOKUP($B337,Kraftvärmeprod!$B$1:$BX$549,MATCH(AP$1,Kraftvärmeprod!$B$1:$BX$1,0),FALSE)</f>
        <v>0</v>
      </c>
      <c r="AQ337">
        <f>VLOOKUP($B337,Kraftvärmeprod!$B$1:$BX$549,MATCH(AQ$1,Kraftvärmeprod!$B$1:$BX$1,0),FALSE)</f>
        <v>0</v>
      </c>
      <c r="AR337">
        <f>VLOOKUP($B337,Kraftvärmeprod!$B$1:$BX$549,MATCH("Summa tillförd energi exklusive rökgaskondensering",Kraftvärmeprod!$B$1:$BX$1,0),FALSE)</f>
        <v>0</v>
      </c>
      <c r="AT337" s="17" t="str">
        <f t="shared" si="33"/>
        <v/>
      </c>
      <c r="AV337">
        <f t="shared" si="34"/>
        <v>0</v>
      </c>
      <c r="BA337" s="17" t="str">
        <f t="shared" si="35"/>
        <v/>
      </c>
    </row>
    <row r="338" spans="1:53" x14ac:dyDescent="0.25">
      <c r="A338" s="137" t="s">
        <v>654</v>
      </c>
      <c r="B338" s="137" t="s">
        <v>655</v>
      </c>
      <c r="C338" s="121"/>
      <c r="D338" s="121"/>
      <c r="E338" s="121"/>
      <c r="F338" s="121"/>
      <c r="G338" s="121"/>
      <c r="H338" s="121"/>
      <c r="I338" s="121"/>
      <c r="J338" s="121">
        <v>0</v>
      </c>
      <c r="K338" s="121">
        <v>0</v>
      </c>
      <c r="L338" s="121">
        <v>0</v>
      </c>
      <c r="M338" s="121">
        <v>0</v>
      </c>
      <c r="N338" s="121">
        <v>0</v>
      </c>
      <c r="O338" s="121">
        <v>0</v>
      </c>
      <c r="P338" s="121">
        <v>0</v>
      </c>
      <c r="Q338" s="121">
        <v>0</v>
      </c>
      <c r="R338" s="121">
        <v>0</v>
      </c>
      <c r="S338" s="121">
        <v>0</v>
      </c>
      <c r="T338" s="121">
        <v>0</v>
      </c>
      <c r="U338" s="121">
        <v>0</v>
      </c>
      <c r="V338" s="121" t="s">
        <v>1119</v>
      </c>
      <c r="W338" s="121">
        <v>0</v>
      </c>
      <c r="X338" s="121">
        <v>0</v>
      </c>
      <c r="Y338" s="121">
        <v>0</v>
      </c>
      <c r="Z338" s="121">
        <v>0</v>
      </c>
      <c r="AA338" s="121">
        <v>0</v>
      </c>
      <c r="AB338" s="121">
        <v>0</v>
      </c>
      <c r="AC338" s="121">
        <v>0</v>
      </c>
      <c r="AD338" s="121">
        <v>0</v>
      </c>
      <c r="AE338" s="121">
        <v>0</v>
      </c>
      <c r="AF338" s="121">
        <v>0</v>
      </c>
      <c r="AG338" s="121">
        <v>0</v>
      </c>
      <c r="AH338" s="121">
        <v>0</v>
      </c>
      <c r="AI338" s="121">
        <v>0</v>
      </c>
      <c r="AL338" s="14">
        <f t="shared" si="30"/>
        <v>0</v>
      </c>
      <c r="AM338">
        <f t="shared" si="31"/>
        <v>0</v>
      </c>
      <c r="AN338">
        <f t="shared" si="32"/>
        <v>0</v>
      </c>
      <c r="AP338">
        <f>VLOOKUP($B338,Kraftvärmeprod!$B$1:$BX$549,MATCH(AP$1,Kraftvärmeprod!$B$1:$BX$1,0),FALSE)</f>
        <v>0</v>
      </c>
      <c r="AQ338">
        <f>VLOOKUP($B338,Kraftvärmeprod!$B$1:$BX$549,MATCH(AQ$1,Kraftvärmeprod!$B$1:$BX$1,0),FALSE)</f>
        <v>0</v>
      </c>
      <c r="AR338">
        <f>VLOOKUP($B338,Kraftvärmeprod!$B$1:$BX$549,MATCH("Summa tillförd energi exklusive rökgaskondensering",Kraftvärmeprod!$B$1:$BX$1,0),FALSE)</f>
        <v>0</v>
      </c>
      <c r="AT338" s="17" t="str">
        <f t="shared" si="33"/>
        <v/>
      </c>
      <c r="AV338">
        <f t="shared" si="34"/>
        <v>0</v>
      </c>
      <c r="BA338" s="17" t="str">
        <f t="shared" si="35"/>
        <v/>
      </c>
    </row>
    <row r="339" spans="1:53" x14ac:dyDescent="0.25">
      <c r="A339" s="137" t="s">
        <v>654</v>
      </c>
      <c r="B339" s="137" t="s">
        <v>656</v>
      </c>
      <c r="C339" s="121"/>
      <c r="D339" s="121"/>
      <c r="E339" s="121"/>
      <c r="F339" s="121"/>
      <c r="G339" s="121"/>
      <c r="H339" s="121"/>
      <c r="I339" s="121"/>
      <c r="J339" s="121">
        <v>0</v>
      </c>
      <c r="K339" s="121">
        <v>0</v>
      </c>
      <c r="L339" s="121">
        <v>0</v>
      </c>
      <c r="M339" s="121">
        <v>0</v>
      </c>
      <c r="N339" s="121">
        <v>0</v>
      </c>
      <c r="O339" s="121">
        <v>0</v>
      </c>
      <c r="P339" s="121">
        <v>0</v>
      </c>
      <c r="Q339" s="121">
        <v>0</v>
      </c>
      <c r="R339" s="121">
        <v>4.1975100000000003</v>
      </c>
      <c r="S339" s="121">
        <v>0</v>
      </c>
      <c r="T339" s="121">
        <v>0</v>
      </c>
      <c r="U339" s="121">
        <v>0</v>
      </c>
      <c r="V339" s="121" t="s">
        <v>1119</v>
      </c>
      <c r="W339" s="121">
        <v>0</v>
      </c>
      <c r="X339" s="121">
        <v>0</v>
      </c>
      <c r="Y339" s="121">
        <v>0</v>
      </c>
      <c r="Z339" s="121">
        <v>333.97699999999998</v>
      </c>
      <c r="AA339" s="121">
        <v>0</v>
      </c>
      <c r="AB339" s="121">
        <v>2.8606500000000001</v>
      </c>
      <c r="AC339" s="121">
        <v>0</v>
      </c>
      <c r="AD339" s="121">
        <v>0</v>
      </c>
      <c r="AE339" s="121">
        <v>0</v>
      </c>
      <c r="AF339" s="121">
        <v>0</v>
      </c>
      <c r="AG339" s="121">
        <v>0</v>
      </c>
      <c r="AH339" s="121">
        <v>49.4</v>
      </c>
      <c r="AI339" s="121">
        <v>12.820499999999999</v>
      </c>
      <c r="AL339" s="14">
        <f t="shared" si="30"/>
        <v>403.25565999999998</v>
      </c>
      <c r="AM339">
        <f t="shared" si="31"/>
        <v>390.43516</v>
      </c>
      <c r="AN339">
        <f t="shared" si="32"/>
        <v>341.03516000000002</v>
      </c>
      <c r="AP339">
        <f>VLOOKUP($B339,Kraftvärmeprod!$B$1:$BX$549,MATCH(AP$1,Kraftvärmeprod!$B$1:$BX$1,0),FALSE)</f>
        <v>312.10000000000002</v>
      </c>
      <c r="AQ339">
        <f>VLOOKUP($B339,Kraftvärmeprod!$B$1:$BX$549,MATCH(AQ$1,Kraftvärmeprod!$B$1:$BX$1,0),FALSE)</f>
        <v>12.91</v>
      </c>
      <c r="AR339">
        <f>VLOOKUP($B339,Kraftvärmeprod!$B$1:$BX$549,MATCH("Summa tillförd energi exklusive rökgaskondensering",Kraftvärmeprod!$B$1:$BX$1,0),FALSE)</f>
        <v>377.73</v>
      </c>
      <c r="AT339" s="17">
        <f t="shared" si="33"/>
        <v>0.90285431392793791</v>
      </c>
      <c r="AV339">
        <f t="shared" si="34"/>
        <v>341.03516000000002</v>
      </c>
      <c r="BA339" s="17">
        <f t="shared" si="35"/>
        <v>0.88199804406124238</v>
      </c>
    </row>
    <row r="340" spans="1:53" x14ac:dyDescent="0.25">
      <c r="A340" s="137" t="s">
        <v>654</v>
      </c>
      <c r="B340" s="137" t="s">
        <v>657</v>
      </c>
      <c r="C340" s="121"/>
      <c r="D340" s="121"/>
      <c r="E340" s="121"/>
      <c r="F340" s="121"/>
      <c r="G340" s="121"/>
      <c r="H340" s="121"/>
      <c r="I340" s="121"/>
      <c r="J340" s="121">
        <v>0</v>
      </c>
      <c r="K340" s="121">
        <v>0</v>
      </c>
      <c r="L340" s="121">
        <v>0</v>
      </c>
      <c r="M340" s="121">
        <v>0</v>
      </c>
      <c r="N340" s="121">
        <v>0</v>
      </c>
      <c r="O340" s="121">
        <v>0</v>
      </c>
      <c r="P340" s="121">
        <v>0</v>
      </c>
      <c r="Q340" s="121">
        <v>0</v>
      </c>
      <c r="R340" s="121">
        <v>0</v>
      </c>
      <c r="S340" s="121">
        <v>0</v>
      </c>
      <c r="T340" s="121">
        <v>0</v>
      </c>
      <c r="U340" s="121">
        <v>0</v>
      </c>
      <c r="V340" s="121" t="s">
        <v>1119</v>
      </c>
      <c r="W340" s="121">
        <v>0</v>
      </c>
      <c r="X340" s="121">
        <v>0</v>
      </c>
      <c r="Y340" s="121">
        <v>0</v>
      </c>
      <c r="Z340" s="121">
        <v>0</v>
      </c>
      <c r="AA340" s="121">
        <v>0</v>
      </c>
      <c r="AB340" s="121">
        <v>0</v>
      </c>
      <c r="AC340" s="121">
        <v>0</v>
      </c>
      <c r="AD340" s="121">
        <v>0</v>
      </c>
      <c r="AE340" s="121">
        <v>0</v>
      </c>
      <c r="AF340" s="121">
        <v>0</v>
      </c>
      <c r="AG340" s="121">
        <v>0</v>
      </c>
      <c r="AH340" s="121">
        <v>0</v>
      </c>
      <c r="AI340" s="121">
        <v>0</v>
      </c>
      <c r="AL340" s="14">
        <f t="shared" si="30"/>
        <v>0</v>
      </c>
      <c r="AM340">
        <f t="shared" si="31"/>
        <v>0</v>
      </c>
      <c r="AN340">
        <f t="shared" si="32"/>
        <v>0</v>
      </c>
      <c r="AP340">
        <f>VLOOKUP($B340,Kraftvärmeprod!$B$1:$BX$549,MATCH(AP$1,Kraftvärmeprod!$B$1:$BX$1,0),FALSE)</f>
        <v>0</v>
      </c>
      <c r="AQ340">
        <f>VLOOKUP($B340,Kraftvärmeprod!$B$1:$BX$549,MATCH(AQ$1,Kraftvärmeprod!$B$1:$BX$1,0),FALSE)</f>
        <v>0</v>
      </c>
      <c r="AR340">
        <f>VLOOKUP($B340,Kraftvärmeprod!$B$1:$BX$549,MATCH("Summa tillförd energi exklusive rökgaskondensering",Kraftvärmeprod!$B$1:$BX$1,0),FALSE)</f>
        <v>0</v>
      </c>
      <c r="AT340" s="17" t="str">
        <f t="shared" si="33"/>
        <v/>
      </c>
      <c r="AV340">
        <f t="shared" si="34"/>
        <v>0</v>
      </c>
      <c r="BA340" s="17" t="str">
        <f t="shared" si="35"/>
        <v/>
      </c>
    </row>
    <row r="341" spans="1:53" x14ac:dyDescent="0.25">
      <c r="A341" s="137" t="s">
        <v>654</v>
      </c>
      <c r="B341" s="141" t="s">
        <v>11</v>
      </c>
      <c r="C341" s="121"/>
      <c r="D341" s="121"/>
      <c r="E341" s="121"/>
      <c r="F341" s="121"/>
      <c r="G341" s="121"/>
      <c r="H341" s="121"/>
      <c r="I341" s="121"/>
      <c r="J341" s="121" t="s">
        <v>1119</v>
      </c>
      <c r="K341" s="121" t="s">
        <v>1119</v>
      </c>
      <c r="L341" s="121" t="s">
        <v>1119</v>
      </c>
      <c r="M341" s="121" t="s">
        <v>1119</v>
      </c>
      <c r="N341" s="121" t="s">
        <v>1119</v>
      </c>
      <c r="O341" s="121" t="s">
        <v>1119</v>
      </c>
      <c r="P341" s="121" t="s">
        <v>1119</v>
      </c>
      <c r="Q341" s="121" t="s">
        <v>1119</v>
      </c>
      <c r="R341" s="121" t="s">
        <v>1119</v>
      </c>
      <c r="S341" s="121" t="s">
        <v>1119</v>
      </c>
      <c r="T341" s="121" t="s">
        <v>1119</v>
      </c>
      <c r="U341" s="121" t="s">
        <v>1119</v>
      </c>
      <c r="V341" s="121" t="s">
        <v>1119</v>
      </c>
      <c r="W341" s="121" t="s">
        <v>1119</v>
      </c>
      <c r="X341" s="121" t="s">
        <v>1119</v>
      </c>
      <c r="Y341" s="121" t="s">
        <v>1119</v>
      </c>
      <c r="Z341" s="121" t="s">
        <v>1119</v>
      </c>
      <c r="AA341" s="121" t="s">
        <v>1119</v>
      </c>
      <c r="AB341" s="121" t="s">
        <v>1119</v>
      </c>
      <c r="AC341" s="121" t="s">
        <v>1119</v>
      </c>
      <c r="AD341" s="121" t="s">
        <v>1119</v>
      </c>
      <c r="AE341" s="121" t="s">
        <v>1119</v>
      </c>
      <c r="AF341" s="121" t="s">
        <v>1119</v>
      </c>
      <c r="AG341" s="121" t="s">
        <v>1119</v>
      </c>
      <c r="AH341" s="121" t="s">
        <v>1119</v>
      </c>
      <c r="AI341" s="121" t="s">
        <v>1119</v>
      </c>
      <c r="AL341" s="14">
        <f t="shared" si="30"/>
        <v>0</v>
      </c>
      <c r="AM341">
        <f t="shared" si="31"/>
        <v>0</v>
      </c>
      <c r="AN341">
        <f t="shared" si="32"/>
        <v>0</v>
      </c>
      <c r="AP341">
        <f>VLOOKUP($B341,Kraftvärmeprod!$B$1:$BX$549,MATCH(AP$1,Kraftvärmeprod!$B$1:$BX$1,0),FALSE)</f>
        <v>0</v>
      </c>
      <c r="AQ341">
        <f>VLOOKUP($B341,Kraftvärmeprod!$B$1:$BX$549,MATCH(AQ$1,Kraftvärmeprod!$B$1:$BX$1,0),FALSE)</f>
        <v>0</v>
      </c>
      <c r="AR341">
        <f>VLOOKUP($B341,Kraftvärmeprod!$B$1:$BX$549,MATCH("Summa tillförd energi exklusive rökgaskondensering",Kraftvärmeprod!$B$1:$BX$1,0),FALSE)</f>
        <v>0</v>
      </c>
      <c r="AT341" s="17" t="str">
        <f t="shared" si="33"/>
        <v/>
      </c>
      <c r="AV341" t="e">
        <f t="shared" si="34"/>
        <v>#VALUE!</v>
      </c>
      <c r="BA341" s="17" t="str">
        <f t="shared" si="35"/>
        <v/>
      </c>
    </row>
    <row r="342" spans="1:53" x14ac:dyDescent="0.25">
      <c r="A342" s="137" t="s">
        <v>654</v>
      </c>
      <c r="B342" s="137" t="s">
        <v>658</v>
      </c>
      <c r="C342" s="121"/>
      <c r="D342" s="121"/>
      <c r="E342" s="121"/>
      <c r="F342" s="121"/>
      <c r="G342" s="121"/>
      <c r="H342" s="121"/>
      <c r="I342" s="121"/>
      <c r="J342" s="121">
        <v>0</v>
      </c>
      <c r="K342" s="121">
        <v>0</v>
      </c>
      <c r="L342" s="121">
        <v>0</v>
      </c>
      <c r="M342" s="121">
        <v>0</v>
      </c>
      <c r="N342" s="121">
        <v>0</v>
      </c>
      <c r="O342" s="121">
        <v>0</v>
      </c>
      <c r="P342" s="121">
        <v>28.011099999999999</v>
      </c>
      <c r="Q342" s="121">
        <v>12.5395</v>
      </c>
      <c r="R342" s="121">
        <v>0.928172</v>
      </c>
      <c r="S342" s="121">
        <v>7.5483200000000004</v>
      </c>
      <c r="T342" s="121">
        <v>0</v>
      </c>
      <c r="U342" s="121">
        <v>0</v>
      </c>
      <c r="V342" s="121" t="s">
        <v>1119</v>
      </c>
      <c r="W342" s="121">
        <v>0</v>
      </c>
      <c r="X342" s="121">
        <v>0</v>
      </c>
      <c r="Y342" s="121">
        <v>0</v>
      </c>
      <c r="Z342" s="121">
        <v>0</v>
      </c>
      <c r="AA342" s="121">
        <v>0</v>
      </c>
      <c r="AB342" s="121">
        <v>0</v>
      </c>
      <c r="AC342" s="121">
        <v>0</v>
      </c>
      <c r="AD342" s="121">
        <v>0</v>
      </c>
      <c r="AE342" s="121">
        <v>0</v>
      </c>
      <c r="AF342" s="121">
        <v>0</v>
      </c>
      <c r="AG342" s="121">
        <v>0</v>
      </c>
      <c r="AH342" s="121">
        <v>22.05</v>
      </c>
      <c r="AI342" s="121">
        <v>1.41377</v>
      </c>
      <c r="AL342" s="14">
        <f t="shared" si="30"/>
        <v>72.490862000000007</v>
      </c>
      <c r="AM342">
        <f t="shared" si="31"/>
        <v>71.077092000000007</v>
      </c>
      <c r="AN342">
        <f t="shared" si="32"/>
        <v>49.02709200000001</v>
      </c>
      <c r="AP342">
        <f>VLOOKUP($B342,Kraftvärmeprod!$B$1:$BX$549,MATCH(AP$1,Kraftvärmeprod!$B$1:$BX$1,0),FALSE)</f>
        <v>75.290000000000006</v>
      </c>
      <c r="AQ342">
        <f>VLOOKUP($B342,Kraftvärmeprod!$B$1:$BX$549,MATCH(AQ$1,Kraftvärmeprod!$B$1:$BX$1,0),FALSE)</f>
        <v>18.11</v>
      </c>
      <c r="AR342">
        <f>VLOOKUP($B342,Kraftvärmeprod!$B$1:$BX$549,MATCH("Summa tillförd energi exklusive rökgaskondensering",Kraftvärmeprod!$B$1:$BX$1,0),FALSE)</f>
        <v>79.760000000000005</v>
      </c>
      <c r="AT342" s="17">
        <f t="shared" si="33"/>
        <v>0.61468269809428289</v>
      </c>
      <c r="AV342">
        <f t="shared" si="34"/>
        <v>49.027091999999996</v>
      </c>
      <c r="BA342" s="17">
        <f t="shared" si="35"/>
        <v>1.4926390433216623</v>
      </c>
    </row>
    <row r="343" spans="1:53" x14ac:dyDescent="0.25">
      <c r="A343" s="137" t="s">
        <v>654</v>
      </c>
      <c r="B343" s="137" t="s">
        <v>659</v>
      </c>
      <c r="C343" s="121"/>
      <c r="D343" s="121"/>
      <c r="E343" s="121"/>
      <c r="F343" s="121"/>
      <c r="G343" s="121"/>
      <c r="H343" s="121"/>
      <c r="I343" s="121"/>
      <c r="J343" s="121">
        <v>0</v>
      </c>
      <c r="K343" s="121">
        <v>0</v>
      </c>
      <c r="L343" s="121">
        <v>2.2098300000000002</v>
      </c>
      <c r="M343" s="121">
        <v>0</v>
      </c>
      <c r="N343" s="121">
        <v>0</v>
      </c>
      <c r="O343" s="121">
        <v>0</v>
      </c>
      <c r="P343" s="121">
        <v>13.0471</v>
      </c>
      <c r="Q343" s="121">
        <v>0</v>
      </c>
      <c r="R343" s="121">
        <v>0</v>
      </c>
      <c r="S343" s="121">
        <v>0</v>
      </c>
      <c r="T343" s="121">
        <v>0</v>
      </c>
      <c r="U343" s="121">
        <v>0</v>
      </c>
      <c r="V343" s="121" t="s">
        <v>1119</v>
      </c>
      <c r="W343" s="121">
        <v>0</v>
      </c>
      <c r="X343" s="121">
        <v>0</v>
      </c>
      <c r="Y343" s="121">
        <v>0</v>
      </c>
      <c r="Z343" s="121">
        <v>191.565</v>
      </c>
      <c r="AA343" s="121">
        <v>0</v>
      </c>
      <c r="AB343" s="121">
        <v>0</v>
      </c>
      <c r="AC343" s="121">
        <v>0</v>
      </c>
      <c r="AD343" s="121">
        <v>0</v>
      </c>
      <c r="AE343" s="121">
        <v>1.1037300000000001</v>
      </c>
      <c r="AF343" s="121">
        <v>0.73156699999999997</v>
      </c>
      <c r="AG343" s="121">
        <v>0</v>
      </c>
      <c r="AH343" s="121">
        <v>51.639000000000003</v>
      </c>
      <c r="AI343" s="121">
        <v>7.21868</v>
      </c>
      <c r="AL343" s="14">
        <f t="shared" si="30"/>
        <v>267.51490700000005</v>
      </c>
      <c r="AM343">
        <f t="shared" si="31"/>
        <v>260.29622700000004</v>
      </c>
      <c r="AN343">
        <f t="shared" si="32"/>
        <v>208.65722700000003</v>
      </c>
      <c r="AP343">
        <f>VLOOKUP($B343,Kraftvärmeprod!$B$1:$BX$549,MATCH(AP$1,Kraftvärmeprod!$B$1:$BX$1,0),FALSE)</f>
        <v>229.953</v>
      </c>
      <c r="AQ343">
        <f>VLOOKUP($B343,Kraftvärmeprod!$B$1:$BX$549,MATCH(AQ$1,Kraftvärmeprod!$B$1:$BX$1,0),FALSE)</f>
        <v>99.760999999999996</v>
      </c>
      <c r="AR343">
        <f>VLOOKUP($B343,Kraftvärmeprod!$B$1:$BX$549,MATCH("Summa tillförd energi exklusive rökgaskondensering",Kraftvärmeprod!$B$1:$BX$1,0),FALSE)</f>
        <v>444.18600000000004</v>
      </c>
      <c r="AT343" s="17">
        <f t="shared" si="33"/>
        <v>0.46975192149234785</v>
      </c>
      <c r="AV343">
        <f t="shared" si="34"/>
        <v>204.6121</v>
      </c>
      <c r="BA343" s="17">
        <f t="shared" si="35"/>
        <v>1.0652091898333054</v>
      </c>
    </row>
    <row r="344" spans="1:53" x14ac:dyDescent="0.25">
      <c r="A344" s="137" t="s">
        <v>654</v>
      </c>
      <c r="B344" s="137" t="s">
        <v>660</v>
      </c>
      <c r="C344" s="121"/>
      <c r="D344" s="121"/>
      <c r="E344" s="121"/>
      <c r="F344" s="121"/>
      <c r="G344" s="121"/>
      <c r="H344" s="121"/>
      <c r="I344" s="121"/>
      <c r="J344" s="121">
        <v>0</v>
      </c>
      <c r="K344" s="121">
        <v>0</v>
      </c>
      <c r="L344" s="121">
        <v>0</v>
      </c>
      <c r="M344" s="121">
        <v>0</v>
      </c>
      <c r="N344" s="121">
        <v>0</v>
      </c>
      <c r="O344" s="121">
        <v>0</v>
      </c>
      <c r="P344" s="121">
        <v>0</v>
      </c>
      <c r="Q344" s="121">
        <v>0</v>
      </c>
      <c r="R344" s="121">
        <v>0</v>
      </c>
      <c r="S344" s="121">
        <v>0</v>
      </c>
      <c r="T344" s="121">
        <v>0</v>
      </c>
      <c r="U344" s="121">
        <v>0</v>
      </c>
      <c r="V344" s="121" t="s">
        <v>1119</v>
      </c>
      <c r="W344" s="121">
        <v>0</v>
      </c>
      <c r="X344" s="121">
        <v>0</v>
      </c>
      <c r="Y344" s="121">
        <v>0</v>
      </c>
      <c r="Z344" s="121">
        <v>0</v>
      </c>
      <c r="AA344" s="121">
        <v>0</v>
      </c>
      <c r="AB344" s="121">
        <v>0</v>
      </c>
      <c r="AC344" s="121">
        <v>0</v>
      </c>
      <c r="AD344" s="121">
        <v>0</v>
      </c>
      <c r="AE344" s="121">
        <v>0</v>
      </c>
      <c r="AF344" s="121">
        <v>0</v>
      </c>
      <c r="AG344" s="121">
        <v>0</v>
      </c>
      <c r="AH344" s="121">
        <v>0</v>
      </c>
      <c r="AI344" s="121">
        <v>0</v>
      </c>
      <c r="AL344" s="14">
        <f t="shared" si="30"/>
        <v>0</v>
      </c>
      <c r="AM344">
        <f t="shared" si="31"/>
        <v>0</v>
      </c>
      <c r="AN344">
        <f t="shared" si="32"/>
        <v>0</v>
      </c>
      <c r="AP344">
        <f>VLOOKUP($B344,Kraftvärmeprod!$B$1:$BX$549,MATCH(AP$1,Kraftvärmeprod!$B$1:$BX$1,0),FALSE)</f>
        <v>0</v>
      </c>
      <c r="AQ344">
        <f>VLOOKUP($B344,Kraftvärmeprod!$B$1:$BX$549,MATCH(AQ$1,Kraftvärmeprod!$B$1:$BX$1,0),FALSE)</f>
        <v>0</v>
      </c>
      <c r="AR344">
        <f>VLOOKUP($B344,Kraftvärmeprod!$B$1:$BX$549,MATCH("Summa tillförd energi exklusive rökgaskondensering",Kraftvärmeprod!$B$1:$BX$1,0),FALSE)</f>
        <v>0</v>
      </c>
      <c r="AT344" s="17" t="str">
        <f t="shared" si="33"/>
        <v/>
      </c>
      <c r="AV344">
        <f t="shared" si="34"/>
        <v>0</v>
      </c>
      <c r="BA344" s="17" t="str">
        <f t="shared" si="35"/>
        <v/>
      </c>
    </row>
    <row r="345" spans="1:53" x14ac:dyDescent="0.25">
      <c r="A345" s="137" t="s">
        <v>654</v>
      </c>
      <c r="B345" s="137" t="s">
        <v>661</v>
      </c>
      <c r="C345" s="121"/>
      <c r="D345" s="121"/>
      <c r="E345" s="121"/>
      <c r="F345" s="121"/>
      <c r="G345" s="121"/>
      <c r="H345" s="121"/>
      <c r="I345" s="121"/>
      <c r="J345" s="121">
        <v>0</v>
      </c>
      <c r="K345" s="121">
        <v>0</v>
      </c>
      <c r="L345" s="121">
        <v>0</v>
      </c>
      <c r="M345" s="121">
        <v>0</v>
      </c>
      <c r="N345" s="121">
        <v>0</v>
      </c>
      <c r="O345" s="121">
        <v>0</v>
      </c>
      <c r="P345" s="121">
        <v>0</v>
      </c>
      <c r="Q345" s="121">
        <v>0</v>
      </c>
      <c r="R345" s="121">
        <v>0</v>
      </c>
      <c r="S345" s="121">
        <v>0</v>
      </c>
      <c r="T345" s="121">
        <v>0</v>
      </c>
      <c r="U345" s="121">
        <v>0</v>
      </c>
      <c r="V345" s="121" t="s">
        <v>1119</v>
      </c>
      <c r="W345" s="121">
        <v>0</v>
      </c>
      <c r="X345" s="121">
        <v>0</v>
      </c>
      <c r="Y345" s="121">
        <v>0</v>
      </c>
      <c r="Z345" s="121">
        <v>0</v>
      </c>
      <c r="AA345" s="121">
        <v>0</v>
      </c>
      <c r="AB345" s="121">
        <v>0</v>
      </c>
      <c r="AC345" s="121">
        <v>0</v>
      </c>
      <c r="AD345" s="121">
        <v>0</v>
      </c>
      <c r="AE345" s="121">
        <v>0</v>
      </c>
      <c r="AF345" s="121">
        <v>0</v>
      </c>
      <c r="AG345" s="121">
        <v>0</v>
      </c>
      <c r="AH345" s="121">
        <v>0</v>
      </c>
      <c r="AI345" s="121">
        <v>0</v>
      </c>
      <c r="AL345" s="14">
        <f t="shared" si="30"/>
        <v>0</v>
      </c>
      <c r="AM345">
        <f t="shared" si="31"/>
        <v>0</v>
      </c>
      <c r="AN345">
        <f t="shared" si="32"/>
        <v>0</v>
      </c>
      <c r="AP345">
        <f>VLOOKUP($B345,Kraftvärmeprod!$B$1:$BX$549,MATCH(AP$1,Kraftvärmeprod!$B$1:$BX$1,0),FALSE)</f>
        <v>0</v>
      </c>
      <c r="AQ345">
        <f>VLOOKUP($B345,Kraftvärmeprod!$B$1:$BX$549,MATCH(AQ$1,Kraftvärmeprod!$B$1:$BX$1,0),FALSE)</f>
        <v>0</v>
      </c>
      <c r="AR345">
        <f>VLOOKUP($B345,Kraftvärmeprod!$B$1:$BX$549,MATCH("Summa tillförd energi exklusive rökgaskondensering",Kraftvärmeprod!$B$1:$BX$1,0),FALSE)</f>
        <v>0</v>
      </c>
      <c r="AT345" s="17" t="str">
        <f t="shared" si="33"/>
        <v/>
      </c>
      <c r="AV345">
        <f t="shared" si="34"/>
        <v>0</v>
      </c>
      <c r="BA345" s="17" t="str">
        <f t="shared" si="35"/>
        <v/>
      </c>
    </row>
    <row r="346" spans="1:53" x14ac:dyDescent="0.25">
      <c r="A346" s="137" t="s">
        <v>654</v>
      </c>
      <c r="B346" s="137" t="s">
        <v>662</v>
      </c>
      <c r="C346" s="121"/>
      <c r="D346" s="121"/>
      <c r="E346" s="121"/>
      <c r="F346" s="121"/>
      <c r="G346" s="121"/>
      <c r="H346" s="121"/>
      <c r="I346" s="121"/>
      <c r="J346" s="121">
        <v>0</v>
      </c>
      <c r="K346" s="121">
        <v>6.9276</v>
      </c>
      <c r="L346" s="121">
        <v>0</v>
      </c>
      <c r="M346" s="121">
        <v>4.4943499999999998</v>
      </c>
      <c r="N346" s="121">
        <v>0</v>
      </c>
      <c r="O346" s="121">
        <v>0</v>
      </c>
      <c r="P346" s="121">
        <v>0</v>
      </c>
      <c r="Q346" s="121">
        <v>0</v>
      </c>
      <c r="R346" s="121">
        <v>0</v>
      </c>
      <c r="S346" s="121">
        <v>0</v>
      </c>
      <c r="T346" s="121">
        <v>0</v>
      </c>
      <c r="U346" s="121">
        <v>1.2232700000000001E-2</v>
      </c>
      <c r="V346" s="121" t="s">
        <v>1119</v>
      </c>
      <c r="W346" s="121">
        <v>38.787799999999997</v>
      </c>
      <c r="X346" s="121">
        <v>0</v>
      </c>
      <c r="Y346" s="121">
        <v>0</v>
      </c>
      <c r="Z346" s="121">
        <v>0</v>
      </c>
      <c r="AA346" s="121">
        <v>0</v>
      </c>
      <c r="AB346" s="121">
        <v>0</v>
      </c>
      <c r="AC346" s="121">
        <v>0</v>
      </c>
      <c r="AD346" s="121">
        <v>270.07100000000003</v>
      </c>
      <c r="AE346" s="121">
        <v>110.673</v>
      </c>
      <c r="AF346" s="121">
        <v>0</v>
      </c>
      <c r="AG346" s="121">
        <v>0</v>
      </c>
      <c r="AH346" s="121">
        <v>0</v>
      </c>
      <c r="AI346" s="121">
        <v>10.5739</v>
      </c>
      <c r="AL346" s="14">
        <f t="shared" si="30"/>
        <v>441.53988270000002</v>
      </c>
      <c r="AM346">
        <f t="shared" si="31"/>
        <v>430.96598270000004</v>
      </c>
      <c r="AN346">
        <f t="shared" si="32"/>
        <v>430.96598270000004</v>
      </c>
      <c r="AP346">
        <f>VLOOKUP($B346,Kraftvärmeprod!$B$1:$BX$549,MATCH(AP$1,Kraftvärmeprod!$B$1:$BX$1,0),FALSE)</f>
        <v>516.9</v>
      </c>
      <c r="AQ346">
        <f>VLOOKUP($B346,Kraftvärmeprod!$B$1:$BX$549,MATCH(AQ$1,Kraftvärmeprod!$B$1:$BX$1,0),FALSE)</f>
        <v>190.8</v>
      </c>
      <c r="AR346">
        <f>VLOOKUP($B346,Kraftvärmeprod!$B$1:$BX$549,MATCH("Summa tillförd energi exklusive rökgaskondensering",Kraftvärmeprod!$B$1:$BX$1,0),FALSE)</f>
        <v>827.37399999999991</v>
      </c>
      <c r="AT346" s="17">
        <f t="shared" si="33"/>
        <v>0.52088412580042409</v>
      </c>
      <c r="AV346">
        <f t="shared" si="34"/>
        <v>38.800032699999996</v>
      </c>
      <c r="BA346" s="17">
        <f t="shared" si="35"/>
        <v>1.1706756745034574</v>
      </c>
    </row>
    <row r="347" spans="1:53" x14ac:dyDescent="0.25">
      <c r="A347" s="137" t="s">
        <v>654</v>
      </c>
      <c r="B347" s="137" t="s">
        <v>663</v>
      </c>
      <c r="C347" s="121"/>
      <c r="D347" s="121"/>
      <c r="E347" s="121"/>
      <c r="F347" s="121"/>
      <c r="G347" s="121"/>
      <c r="H347" s="121"/>
      <c r="I347" s="121"/>
      <c r="J347" s="121">
        <v>0</v>
      </c>
      <c r="K347" s="121">
        <v>0</v>
      </c>
      <c r="L347" s="121">
        <v>0</v>
      </c>
      <c r="M347" s="121">
        <v>0</v>
      </c>
      <c r="N347" s="121">
        <v>0</v>
      </c>
      <c r="O347" s="121">
        <v>0</v>
      </c>
      <c r="P347" s="121">
        <v>0</v>
      </c>
      <c r="Q347" s="121">
        <v>0</v>
      </c>
      <c r="R347" s="121">
        <v>0</v>
      </c>
      <c r="S347" s="121">
        <v>0</v>
      </c>
      <c r="T347" s="121">
        <v>0</v>
      </c>
      <c r="U347" s="121">
        <v>0</v>
      </c>
      <c r="V347" s="121" t="s">
        <v>1119</v>
      </c>
      <c r="W347" s="121">
        <v>0</v>
      </c>
      <c r="X347" s="121">
        <v>0</v>
      </c>
      <c r="Y347" s="121">
        <v>0</v>
      </c>
      <c r="Z347" s="121">
        <v>0</v>
      </c>
      <c r="AA347" s="121">
        <v>0</v>
      </c>
      <c r="AB347" s="121">
        <v>0</v>
      </c>
      <c r="AC347" s="121">
        <v>0</v>
      </c>
      <c r="AD347" s="121">
        <v>0</v>
      </c>
      <c r="AE347" s="121">
        <v>0</v>
      </c>
      <c r="AF347" s="121">
        <v>0</v>
      </c>
      <c r="AG347" s="121">
        <v>0</v>
      </c>
      <c r="AH347" s="121">
        <v>0</v>
      </c>
      <c r="AI347" s="121">
        <v>0</v>
      </c>
      <c r="AL347" s="14">
        <f t="shared" si="30"/>
        <v>0</v>
      </c>
      <c r="AM347">
        <f t="shared" si="31"/>
        <v>0</v>
      </c>
      <c r="AN347">
        <f t="shared" si="32"/>
        <v>0</v>
      </c>
      <c r="AP347">
        <f>VLOOKUP($B347,Kraftvärmeprod!$B$1:$BX$549,MATCH(AP$1,Kraftvärmeprod!$B$1:$BX$1,0),FALSE)</f>
        <v>0</v>
      </c>
      <c r="AQ347">
        <f>VLOOKUP($B347,Kraftvärmeprod!$B$1:$BX$549,MATCH(AQ$1,Kraftvärmeprod!$B$1:$BX$1,0),FALSE)</f>
        <v>0</v>
      </c>
      <c r="AR347">
        <f>VLOOKUP($B347,Kraftvärmeprod!$B$1:$BX$549,MATCH("Summa tillförd energi exklusive rökgaskondensering",Kraftvärmeprod!$B$1:$BX$1,0),FALSE)</f>
        <v>0</v>
      </c>
      <c r="AT347" s="17" t="str">
        <f t="shared" si="33"/>
        <v/>
      </c>
      <c r="AV347">
        <f t="shared" si="34"/>
        <v>0</v>
      </c>
      <c r="BA347" s="17" t="str">
        <f t="shared" si="35"/>
        <v/>
      </c>
    </row>
    <row r="348" spans="1:53" x14ac:dyDescent="0.25">
      <c r="A348" s="137" t="s">
        <v>7</v>
      </c>
      <c r="B348" s="137" t="s">
        <v>664</v>
      </c>
      <c r="C348" s="121"/>
      <c r="D348" s="121"/>
      <c r="E348" s="121"/>
      <c r="F348" s="121"/>
      <c r="G348" s="121"/>
      <c r="H348" s="121"/>
      <c r="I348" s="121"/>
      <c r="J348" s="121">
        <v>0</v>
      </c>
      <c r="K348" s="121">
        <v>0</v>
      </c>
      <c r="L348" s="121">
        <v>0</v>
      </c>
      <c r="M348" s="121">
        <v>0</v>
      </c>
      <c r="N348" s="121">
        <v>0</v>
      </c>
      <c r="O348" s="121">
        <v>0</v>
      </c>
      <c r="P348" s="121">
        <v>0</v>
      </c>
      <c r="Q348" s="121">
        <v>0</v>
      </c>
      <c r="R348" s="121">
        <v>0</v>
      </c>
      <c r="S348" s="121">
        <v>0</v>
      </c>
      <c r="T348" s="121">
        <v>0</v>
      </c>
      <c r="U348" s="121">
        <v>0</v>
      </c>
      <c r="V348" s="121" t="s">
        <v>1119</v>
      </c>
      <c r="W348" s="121">
        <v>0</v>
      </c>
      <c r="X348" s="121">
        <v>0</v>
      </c>
      <c r="Y348" s="121">
        <v>0</v>
      </c>
      <c r="Z348" s="121">
        <v>0</v>
      </c>
      <c r="AA348" s="121">
        <v>0</v>
      </c>
      <c r="AB348" s="121">
        <v>0</v>
      </c>
      <c r="AC348" s="121">
        <v>0</v>
      </c>
      <c r="AD348" s="121">
        <v>0</v>
      </c>
      <c r="AE348" s="121">
        <v>0</v>
      </c>
      <c r="AF348" s="121">
        <v>0</v>
      </c>
      <c r="AG348" s="121">
        <v>0</v>
      </c>
      <c r="AH348" s="121">
        <v>0</v>
      </c>
      <c r="AI348" s="121">
        <v>0</v>
      </c>
      <c r="AL348" s="14">
        <f t="shared" si="30"/>
        <v>0</v>
      </c>
      <c r="AM348">
        <f t="shared" si="31"/>
        <v>0</v>
      </c>
      <c r="AN348">
        <f t="shared" si="32"/>
        <v>0</v>
      </c>
      <c r="AP348">
        <f>VLOOKUP($B348,Kraftvärmeprod!$B$1:$BX$549,MATCH(AP$1,Kraftvärmeprod!$B$1:$BX$1,0),FALSE)</f>
        <v>0</v>
      </c>
      <c r="AQ348">
        <f>VLOOKUP($B348,Kraftvärmeprod!$B$1:$BX$549,MATCH(AQ$1,Kraftvärmeprod!$B$1:$BX$1,0),FALSE)</f>
        <v>0</v>
      </c>
      <c r="AR348">
        <f>VLOOKUP($B348,Kraftvärmeprod!$B$1:$BX$549,MATCH("Summa tillförd energi exklusive rökgaskondensering",Kraftvärmeprod!$B$1:$BX$1,0),FALSE)</f>
        <v>0</v>
      </c>
      <c r="AT348" s="17" t="str">
        <f t="shared" si="33"/>
        <v/>
      </c>
      <c r="AV348">
        <f t="shared" si="34"/>
        <v>0</v>
      </c>
      <c r="BA348" s="17" t="str">
        <f t="shared" si="35"/>
        <v/>
      </c>
    </row>
    <row r="349" spans="1:53" x14ac:dyDescent="0.25">
      <c r="A349" s="137" t="s">
        <v>7</v>
      </c>
      <c r="B349" s="137" t="s">
        <v>8</v>
      </c>
      <c r="C349" s="121"/>
      <c r="D349" s="121"/>
      <c r="E349" s="121"/>
      <c r="F349" s="121"/>
      <c r="G349" s="121"/>
      <c r="H349" s="121"/>
      <c r="I349" s="121"/>
      <c r="J349" s="121">
        <v>0</v>
      </c>
      <c r="K349" s="121">
        <v>0</v>
      </c>
      <c r="L349" s="121">
        <v>0</v>
      </c>
      <c r="M349" s="121">
        <v>0</v>
      </c>
      <c r="N349" s="121">
        <v>0</v>
      </c>
      <c r="O349" s="121">
        <v>0</v>
      </c>
      <c r="P349" s="121">
        <v>0</v>
      </c>
      <c r="Q349" s="121">
        <v>0</v>
      </c>
      <c r="R349" s="121">
        <v>0</v>
      </c>
      <c r="S349" s="121">
        <v>0</v>
      </c>
      <c r="T349" s="121">
        <v>0</v>
      </c>
      <c r="U349" s="121">
        <v>0</v>
      </c>
      <c r="V349" s="121" t="s">
        <v>1119</v>
      </c>
      <c r="W349" s="121">
        <v>0</v>
      </c>
      <c r="X349" s="121">
        <v>0</v>
      </c>
      <c r="Y349" s="121">
        <v>0</v>
      </c>
      <c r="Z349" s="121">
        <v>0</v>
      </c>
      <c r="AA349" s="121">
        <v>0</v>
      </c>
      <c r="AB349" s="121">
        <v>0</v>
      </c>
      <c r="AC349" s="121">
        <v>0</v>
      </c>
      <c r="AD349" s="121">
        <v>0</v>
      </c>
      <c r="AE349" s="121">
        <v>0</v>
      </c>
      <c r="AF349" s="121">
        <v>0</v>
      </c>
      <c r="AG349" s="121">
        <v>0</v>
      </c>
      <c r="AH349" s="121">
        <v>0</v>
      </c>
      <c r="AI349" s="121">
        <v>0</v>
      </c>
      <c r="AL349" s="14">
        <f t="shared" si="30"/>
        <v>0</v>
      </c>
      <c r="AM349">
        <f t="shared" si="31"/>
        <v>0</v>
      </c>
      <c r="AN349">
        <f t="shared" si="32"/>
        <v>0</v>
      </c>
      <c r="AP349">
        <f>VLOOKUP($B349,Kraftvärmeprod!$B$1:$BX$549,MATCH(AP$1,Kraftvärmeprod!$B$1:$BX$1,0),FALSE)</f>
        <v>0</v>
      </c>
      <c r="AQ349">
        <f>VLOOKUP($B349,Kraftvärmeprod!$B$1:$BX$549,MATCH(AQ$1,Kraftvärmeprod!$B$1:$BX$1,0),FALSE)</f>
        <v>0</v>
      </c>
      <c r="AR349">
        <f>VLOOKUP($B349,Kraftvärmeprod!$B$1:$BX$549,MATCH("Summa tillförd energi exklusive rökgaskondensering",Kraftvärmeprod!$B$1:$BX$1,0),FALSE)</f>
        <v>0</v>
      </c>
      <c r="AT349" s="17" t="str">
        <f t="shared" si="33"/>
        <v/>
      </c>
      <c r="AV349">
        <f t="shared" si="34"/>
        <v>0</v>
      </c>
      <c r="BA349" s="17" t="str">
        <f t="shared" si="35"/>
        <v/>
      </c>
    </row>
    <row r="350" spans="1:53" x14ac:dyDescent="0.25">
      <c r="A350" s="137" t="s">
        <v>665</v>
      </c>
      <c r="B350" s="137" t="s">
        <v>666</v>
      </c>
      <c r="C350" s="121"/>
      <c r="D350" s="121"/>
      <c r="E350" s="121"/>
      <c r="F350" s="121"/>
      <c r="G350" s="121"/>
      <c r="H350" s="121"/>
      <c r="I350" s="121"/>
      <c r="J350" s="121">
        <v>0</v>
      </c>
      <c r="K350" s="121">
        <v>0</v>
      </c>
      <c r="L350" s="121">
        <v>0</v>
      </c>
      <c r="M350" s="121">
        <v>0</v>
      </c>
      <c r="N350" s="121">
        <v>0</v>
      </c>
      <c r="O350" s="121">
        <v>0</v>
      </c>
      <c r="P350" s="121">
        <v>0</v>
      </c>
      <c r="Q350" s="121">
        <v>0</v>
      </c>
      <c r="R350" s="121">
        <v>0</v>
      </c>
      <c r="S350" s="121">
        <v>0</v>
      </c>
      <c r="T350" s="121">
        <v>0</v>
      </c>
      <c r="U350" s="121">
        <v>0</v>
      </c>
      <c r="V350" s="121" t="s">
        <v>1119</v>
      </c>
      <c r="W350" s="121">
        <v>0</v>
      </c>
      <c r="X350" s="121">
        <v>0</v>
      </c>
      <c r="Y350" s="121">
        <v>0</v>
      </c>
      <c r="Z350" s="121">
        <v>0</v>
      </c>
      <c r="AA350" s="121">
        <v>0</v>
      </c>
      <c r="AB350" s="121">
        <v>0</v>
      </c>
      <c r="AC350" s="121">
        <v>0</v>
      </c>
      <c r="AD350" s="121">
        <v>0</v>
      </c>
      <c r="AE350" s="121">
        <v>0</v>
      </c>
      <c r="AF350" s="121">
        <v>0</v>
      </c>
      <c r="AG350" s="121">
        <v>0</v>
      </c>
      <c r="AH350" s="121">
        <v>0</v>
      </c>
      <c r="AI350" s="121">
        <v>0</v>
      </c>
      <c r="AL350" s="14">
        <f t="shared" si="30"/>
        <v>0</v>
      </c>
      <c r="AM350">
        <f t="shared" si="31"/>
        <v>0</v>
      </c>
      <c r="AN350">
        <f t="shared" si="32"/>
        <v>0</v>
      </c>
      <c r="AP350">
        <f>VLOOKUP($B350,Kraftvärmeprod!$B$1:$BX$549,MATCH(AP$1,Kraftvärmeprod!$B$1:$BX$1,0),FALSE)</f>
        <v>0</v>
      </c>
      <c r="AQ350">
        <f>VLOOKUP($B350,Kraftvärmeprod!$B$1:$BX$549,MATCH(AQ$1,Kraftvärmeprod!$B$1:$BX$1,0),FALSE)</f>
        <v>0</v>
      </c>
      <c r="AR350">
        <f>VLOOKUP($B350,Kraftvärmeprod!$B$1:$BX$549,MATCH("Summa tillförd energi exklusive rökgaskondensering",Kraftvärmeprod!$B$1:$BX$1,0),FALSE)</f>
        <v>0</v>
      </c>
      <c r="AT350" s="17" t="str">
        <f t="shared" si="33"/>
        <v/>
      </c>
      <c r="AV350">
        <f t="shared" si="34"/>
        <v>0</v>
      </c>
      <c r="BA350" s="17" t="str">
        <f t="shared" si="35"/>
        <v/>
      </c>
    </row>
    <row r="351" spans="1:53" x14ac:dyDescent="0.25">
      <c r="A351" s="137" t="s">
        <v>665</v>
      </c>
      <c r="B351" s="137" t="s">
        <v>667</v>
      </c>
      <c r="C351" s="121"/>
      <c r="D351" s="121"/>
      <c r="E351" s="121"/>
      <c r="F351" s="121"/>
      <c r="G351" s="121"/>
      <c r="H351" s="121"/>
      <c r="I351" s="121"/>
      <c r="J351" s="121">
        <v>0</v>
      </c>
      <c r="K351" s="121">
        <v>0</v>
      </c>
      <c r="L351" s="121">
        <v>0</v>
      </c>
      <c r="M351" s="121">
        <v>0</v>
      </c>
      <c r="N351" s="121">
        <v>0</v>
      </c>
      <c r="O351" s="121">
        <v>0</v>
      </c>
      <c r="P351" s="121">
        <v>0</v>
      </c>
      <c r="Q351" s="121">
        <v>0</v>
      </c>
      <c r="R351" s="121">
        <v>0</v>
      </c>
      <c r="S351" s="121">
        <v>0</v>
      </c>
      <c r="T351" s="121">
        <v>0</v>
      </c>
      <c r="U351" s="121">
        <v>0</v>
      </c>
      <c r="V351" s="121" t="s">
        <v>1119</v>
      </c>
      <c r="W351" s="121">
        <v>0</v>
      </c>
      <c r="X351" s="121">
        <v>0</v>
      </c>
      <c r="Y351" s="121">
        <v>0</v>
      </c>
      <c r="Z351" s="121">
        <v>0</v>
      </c>
      <c r="AA351" s="121">
        <v>0</v>
      </c>
      <c r="AB351" s="121">
        <v>0</v>
      </c>
      <c r="AC351" s="121">
        <v>0</v>
      </c>
      <c r="AD351" s="121">
        <v>0</v>
      </c>
      <c r="AE351" s="121">
        <v>0</v>
      </c>
      <c r="AF351" s="121">
        <v>0</v>
      </c>
      <c r="AG351" s="121">
        <v>0</v>
      </c>
      <c r="AH351" s="121">
        <v>0</v>
      </c>
      <c r="AI351" s="121">
        <v>0</v>
      </c>
      <c r="AL351" s="14">
        <f t="shared" si="30"/>
        <v>0</v>
      </c>
      <c r="AM351">
        <f t="shared" si="31"/>
        <v>0</v>
      </c>
      <c r="AN351">
        <f t="shared" si="32"/>
        <v>0</v>
      </c>
      <c r="AP351">
        <f>VLOOKUP($B351,Kraftvärmeprod!$B$1:$BX$549,MATCH(AP$1,Kraftvärmeprod!$B$1:$BX$1,0),FALSE)</f>
        <v>0</v>
      </c>
      <c r="AQ351">
        <f>VLOOKUP($B351,Kraftvärmeprod!$B$1:$BX$549,MATCH(AQ$1,Kraftvärmeprod!$B$1:$BX$1,0),FALSE)</f>
        <v>0</v>
      </c>
      <c r="AR351">
        <f>VLOOKUP($B351,Kraftvärmeprod!$B$1:$BX$549,MATCH("Summa tillförd energi exklusive rökgaskondensering",Kraftvärmeprod!$B$1:$BX$1,0),FALSE)</f>
        <v>0</v>
      </c>
      <c r="AT351" s="17" t="str">
        <f t="shared" si="33"/>
        <v/>
      </c>
      <c r="AV351">
        <f t="shared" si="34"/>
        <v>0</v>
      </c>
      <c r="BA351" s="17" t="str">
        <f t="shared" si="35"/>
        <v/>
      </c>
    </row>
    <row r="352" spans="1:53" x14ac:dyDescent="0.25">
      <c r="A352" s="137" t="s">
        <v>665</v>
      </c>
      <c r="B352" s="137" t="s">
        <v>668</v>
      </c>
      <c r="C352" s="121"/>
      <c r="D352" s="121"/>
      <c r="E352" s="121"/>
      <c r="F352" s="121"/>
      <c r="G352" s="121"/>
      <c r="H352" s="121"/>
      <c r="I352" s="121"/>
      <c r="J352" s="121">
        <v>0</v>
      </c>
      <c r="K352" s="121">
        <v>0</v>
      </c>
      <c r="L352" s="121">
        <v>0</v>
      </c>
      <c r="M352" s="121">
        <v>0</v>
      </c>
      <c r="N352" s="121">
        <v>0</v>
      </c>
      <c r="O352" s="121">
        <v>0</v>
      </c>
      <c r="P352" s="121">
        <v>0</v>
      </c>
      <c r="Q352" s="121">
        <v>0</v>
      </c>
      <c r="R352" s="121">
        <v>0</v>
      </c>
      <c r="S352" s="121">
        <v>0</v>
      </c>
      <c r="T352" s="121">
        <v>0</v>
      </c>
      <c r="U352" s="121">
        <v>0</v>
      </c>
      <c r="V352" s="121" t="s">
        <v>1119</v>
      </c>
      <c r="W352" s="121">
        <v>0</v>
      </c>
      <c r="X352" s="121">
        <v>0</v>
      </c>
      <c r="Y352" s="121">
        <v>0</v>
      </c>
      <c r="Z352" s="121">
        <v>0</v>
      </c>
      <c r="AA352" s="121">
        <v>0</v>
      </c>
      <c r="AB352" s="121">
        <v>0</v>
      </c>
      <c r="AC352" s="121">
        <v>0</v>
      </c>
      <c r="AD352" s="121">
        <v>0</v>
      </c>
      <c r="AE352" s="121">
        <v>0</v>
      </c>
      <c r="AF352" s="121">
        <v>0</v>
      </c>
      <c r="AG352" s="121">
        <v>0</v>
      </c>
      <c r="AH352" s="121">
        <v>0</v>
      </c>
      <c r="AI352" s="121">
        <v>0</v>
      </c>
      <c r="AL352" s="14">
        <f t="shared" si="30"/>
        <v>0</v>
      </c>
      <c r="AM352">
        <f t="shared" si="31"/>
        <v>0</v>
      </c>
      <c r="AN352">
        <f t="shared" si="32"/>
        <v>0</v>
      </c>
      <c r="AP352">
        <f>VLOOKUP($B352,Kraftvärmeprod!$B$1:$BX$549,MATCH(AP$1,Kraftvärmeprod!$B$1:$BX$1,0),FALSE)</f>
        <v>0</v>
      </c>
      <c r="AQ352">
        <f>VLOOKUP($B352,Kraftvärmeprod!$B$1:$BX$549,MATCH(AQ$1,Kraftvärmeprod!$B$1:$BX$1,0),FALSE)</f>
        <v>0</v>
      </c>
      <c r="AR352">
        <f>VLOOKUP($B352,Kraftvärmeprod!$B$1:$BX$549,MATCH("Summa tillförd energi exklusive rökgaskondensering",Kraftvärmeprod!$B$1:$BX$1,0),FALSE)</f>
        <v>0</v>
      </c>
      <c r="AT352" s="17" t="str">
        <f t="shared" si="33"/>
        <v/>
      </c>
      <c r="AV352">
        <f t="shared" si="34"/>
        <v>0</v>
      </c>
      <c r="BA352" s="17" t="str">
        <f t="shared" si="35"/>
        <v/>
      </c>
    </row>
    <row r="353" spans="1:53" x14ac:dyDescent="0.25">
      <c r="A353" s="137" t="s">
        <v>665</v>
      </c>
      <c r="B353" s="137" t="s">
        <v>669</v>
      </c>
      <c r="C353" s="121"/>
      <c r="D353" s="121"/>
      <c r="E353" s="121"/>
      <c r="F353" s="121"/>
      <c r="G353" s="121"/>
      <c r="H353" s="121"/>
      <c r="I353" s="121"/>
      <c r="J353" s="121">
        <v>0</v>
      </c>
      <c r="K353" s="121">
        <v>0</v>
      </c>
      <c r="L353" s="121">
        <v>0</v>
      </c>
      <c r="M353" s="121">
        <v>0</v>
      </c>
      <c r="N353" s="121">
        <v>0</v>
      </c>
      <c r="O353" s="121">
        <v>0</v>
      </c>
      <c r="P353" s="121">
        <v>0</v>
      </c>
      <c r="Q353" s="121">
        <v>0</v>
      </c>
      <c r="R353" s="121">
        <v>0</v>
      </c>
      <c r="S353" s="121">
        <v>0</v>
      </c>
      <c r="T353" s="121">
        <v>0</v>
      </c>
      <c r="U353" s="121">
        <v>0</v>
      </c>
      <c r="V353" s="121" t="s">
        <v>1119</v>
      </c>
      <c r="W353" s="121">
        <v>0</v>
      </c>
      <c r="X353" s="121">
        <v>0</v>
      </c>
      <c r="Y353" s="121">
        <v>0</v>
      </c>
      <c r="Z353" s="121">
        <v>0</v>
      </c>
      <c r="AA353" s="121">
        <v>0</v>
      </c>
      <c r="AB353" s="121">
        <v>0</v>
      </c>
      <c r="AC353" s="121">
        <v>0</v>
      </c>
      <c r="AD353" s="121">
        <v>0</v>
      </c>
      <c r="AE353" s="121">
        <v>0</v>
      </c>
      <c r="AF353" s="121">
        <v>0</v>
      </c>
      <c r="AG353" s="121">
        <v>0</v>
      </c>
      <c r="AH353" s="121">
        <v>0</v>
      </c>
      <c r="AI353" s="121">
        <v>0</v>
      </c>
      <c r="AL353" s="14">
        <f t="shared" si="30"/>
        <v>0</v>
      </c>
      <c r="AM353">
        <f t="shared" si="31"/>
        <v>0</v>
      </c>
      <c r="AN353">
        <f t="shared" si="32"/>
        <v>0</v>
      </c>
      <c r="AP353">
        <f>VLOOKUP($B353,Kraftvärmeprod!$B$1:$BX$549,MATCH(AP$1,Kraftvärmeprod!$B$1:$BX$1,0),FALSE)</f>
        <v>0</v>
      </c>
      <c r="AQ353">
        <f>VLOOKUP($B353,Kraftvärmeprod!$B$1:$BX$549,MATCH(AQ$1,Kraftvärmeprod!$B$1:$BX$1,0),FALSE)</f>
        <v>0</v>
      </c>
      <c r="AR353">
        <f>VLOOKUP($B353,Kraftvärmeprod!$B$1:$BX$549,MATCH("Summa tillförd energi exklusive rökgaskondensering",Kraftvärmeprod!$B$1:$BX$1,0),FALSE)</f>
        <v>0</v>
      </c>
      <c r="AT353" s="17" t="str">
        <f t="shared" si="33"/>
        <v/>
      </c>
      <c r="AV353">
        <f t="shared" si="34"/>
        <v>0</v>
      </c>
      <c r="BA353" s="17" t="str">
        <f t="shared" si="35"/>
        <v/>
      </c>
    </row>
    <row r="354" spans="1:53" x14ac:dyDescent="0.25">
      <c r="A354" s="137" t="s">
        <v>665</v>
      </c>
      <c r="B354" s="137" t="s">
        <v>670</v>
      </c>
      <c r="C354" s="121"/>
      <c r="D354" s="121"/>
      <c r="E354" s="121"/>
      <c r="F354" s="121"/>
      <c r="G354" s="121"/>
      <c r="H354" s="121"/>
      <c r="I354" s="121"/>
      <c r="J354" s="121">
        <v>0</v>
      </c>
      <c r="K354" s="121">
        <v>0</v>
      </c>
      <c r="L354" s="121">
        <v>0</v>
      </c>
      <c r="M354" s="121">
        <v>0</v>
      </c>
      <c r="N354" s="121">
        <v>0</v>
      </c>
      <c r="O354" s="121">
        <v>0</v>
      </c>
      <c r="P354" s="121">
        <v>49.662599999999998</v>
      </c>
      <c r="Q354" s="121">
        <v>34.918700000000001</v>
      </c>
      <c r="R354" s="121">
        <v>0</v>
      </c>
      <c r="S354" s="121">
        <v>0</v>
      </c>
      <c r="T354" s="121">
        <v>0</v>
      </c>
      <c r="U354" s="121">
        <v>5.6942699999999999E-2</v>
      </c>
      <c r="V354" s="121" t="s">
        <v>1119</v>
      </c>
      <c r="W354" s="121">
        <v>0</v>
      </c>
      <c r="X354" s="121">
        <v>0</v>
      </c>
      <c r="Y354" s="121">
        <v>0</v>
      </c>
      <c r="Z354" s="121">
        <v>0</v>
      </c>
      <c r="AA354" s="121">
        <v>0</v>
      </c>
      <c r="AB354" s="121">
        <v>0</v>
      </c>
      <c r="AC354" s="121">
        <v>0</v>
      </c>
      <c r="AD354" s="121">
        <v>0</v>
      </c>
      <c r="AE354" s="121">
        <v>0</v>
      </c>
      <c r="AF354" s="121">
        <v>0</v>
      </c>
      <c r="AG354" s="121">
        <v>0</v>
      </c>
      <c r="AH354" s="121">
        <v>16.149999999999999</v>
      </c>
      <c r="AI354" s="121">
        <v>0.45554099999999997</v>
      </c>
      <c r="AL354" s="14">
        <f t="shared" si="30"/>
        <v>101.24378369999998</v>
      </c>
      <c r="AM354">
        <f t="shared" si="31"/>
        <v>100.78824269999998</v>
      </c>
      <c r="AN354">
        <f t="shared" si="32"/>
        <v>84.638242699999978</v>
      </c>
      <c r="AP354">
        <f>VLOOKUP($B354,Kraftvärmeprod!$B$1:$BX$549,MATCH(AP$1,Kraftvärmeprod!$B$1:$BX$1,0),FALSE)</f>
        <v>94.37</v>
      </c>
      <c r="AQ354">
        <f>VLOOKUP($B354,Kraftvärmeprod!$B$1:$BX$549,MATCH(AQ$1,Kraftvärmeprod!$B$1:$BX$1,0),FALSE)</f>
        <v>22.93</v>
      </c>
      <c r="AR354">
        <f>VLOOKUP($B354,Kraftvärmeprod!$B$1:$BX$549,MATCH("Summa tillförd energi exklusive rökgaskondensering",Kraftvärmeprod!$B$1:$BX$1,0),FALSE)</f>
        <v>138.23299999999998</v>
      </c>
      <c r="AT354" s="17">
        <f t="shared" si="33"/>
        <v>0.61228681067473034</v>
      </c>
      <c r="AV354">
        <f t="shared" si="34"/>
        <v>84.638242700000006</v>
      </c>
      <c r="BA354" s="17">
        <f t="shared" si="35"/>
        <v>1.1090116797803178</v>
      </c>
    </row>
    <row r="355" spans="1:53" x14ac:dyDescent="0.25">
      <c r="A355" s="137" t="s">
        <v>671</v>
      </c>
      <c r="B355" s="137" t="s">
        <v>672</v>
      </c>
      <c r="C355" s="121"/>
      <c r="D355" s="121"/>
      <c r="E355" s="121"/>
      <c r="F355" s="121"/>
      <c r="G355" s="121"/>
      <c r="H355" s="121"/>
      <c r="I355" s="121"/>
      <c r="J355" s="121">
        <v>0</v>
      </c>
      <c r="K355" s="121">
        <v>0</v>
      </c>
      <c r="L355" s="121">
        <v>0</v>
      </c>
      <c r="M355" s="121">
        <v>0</v>
      </c>
      <c r="N355" s="121">
        <v>0</v>
      </c>
      <c r="O355" s="121">
        <v>0</v>
      </c>
      <c r="P355" s="121">
        <v>0</v>
      </c>
      <c r="Q355" s="121">
        <v>0</v>
      </c>
      <c r="R355" s="121">
        <v>0</v>
      </c>
      <c r="S355" s="121">
        <v>0</v>
      </c>
      <c r="T355" s="121">
        <v>0</v>
      </c>
      <c r="U355" s="121">
        <v>0</v>
      </c>
      <c r="V355" s="121" t="s">
        <v>1119</v>
      </c>
      <c r="W355" s="121">
        <v>0</v>
      </c>
      <c r="X355" s="121">
        <v>0</v>
      </c>
      <c r="Y355" s="121">
        <v>0</v>
      </c>
      <c r="Z355" s="121">
        <v>0</v>
      </c>
      <c r="AA355" s="121">
        <v>0</v>
      </c>
      <c r="AB355" s="121">
        <v>0</v>
      </c>
      <c r="AC355" s="121">
        <v>0</v>
      </c>
      <c r="AD355" s="121">
        <v>0</v>
      </c>
      <c r="AE355" s="121">
        <v>0</v>
      </c>
      <c r="AF355" s="121">
        <v>0</v>
      </c>
      <c r="AG355" s="121">
        <v>0</v>
      </c>
      <c r="AH355" s="121">
        <v>0</v>
      </c>
      <c r="AI355" s="121">
        <v>0</v>
      </c>
      <c r="AL355" s="14">
        <f t="shared" si="30"/>
        <v>0</v>
      </c>
      <c r="AM355">
        <f t="shared" si="31"/>
        <v>0</v>
      </c>
      <c r="AN355">
        <f t="shared" si="32"/>
        <v>0</v>
      </c>
      <c r="AP355">
        <f>VLOOKUP($B355,Kraftvärmeprod!$B$1:$BX$549,MATCH(AP$1,Kraftvärmeprod!$B$1:$BX$1,0),FALSE)</f>
        <v>0</v>
      </c>
      <c r="AQ355">
        <f>VLOOKUP($B355,Kraftvärmeprod!$B$1:$BX$549,MATCH(AQ$1,Kraftvärmeprod!$B$1:$BX$1,0),FALSE)</f>
        <v>0</v>
      </c>
      <c r="AR355">
        <f>VLOOKUP($B355,Kraftvärmeprod!$B$1:$BX$549,MATCH("Summa tillförd energi exklusive rökgaskondensering",Kraftvärmeprod!$B$1:$BX$1,0),FALSE)</f>
        <v>0</v>
      </c>
      <c r="AT355" s="17" t="str">
        <f t="shared" si="33"/>
        <v/>
      </c>
      <c r="AV355">
        <f t="shared" si="34"/>
        <v>0</v>
      </c>
      <c r="BA355" s="17" t="str">
        <f t="shared" si="35"/>
        <v/>
      </c>
    </row>
    <row r="356" spans="1:53" x14ac:dyDescent="0.25">
      <c r="A356" s="137" t="s">
        <v>671</v>
      </c>
      <c r="B356" s="137" t="s">
        <v>673</v>
      </c>
      <c r="C356" s="121"/>
      <c r="D356" s="121"/>
      <c r="E356" s="121"/>
      <c r="F356" s="121"/>
      <c r="G356" s="121"/>
      <c r="H356" s="121"/>
      <c r="I356" s="121"/>
      <c r="J356" s="121">
        <v>0</v>
      </c>
      <c r="K356" s="121">
        <v>3.7726299999999999</v>
      </c>
      <c r="L356" s="121">
        <v>0</v>
      </c>
      <c r="M356" s="121">
        <v>0</v>
      </c>
      <c r="N356" s="121">
        <v>0</v>
      </c>
      <c r="O356" s="121">
        <v>0</v>
      </c>
      <c r="P356" s="121">
        <v>0</v>
      </c>
      <c r="Q356" s="121">
        <v>0</v>
      </c>
      <c r="R356" s="121">
        <v>0</v>
      </c>
      <c r="S356" s="121">
        <v>0</v>
      </c>
      <c r="T356" s="121">
        <v>0</v>
      </c>
      <c r="U356" s="121">
        <v>0</v>
      </c>
      <c r="V356" s="121" t="s">
        <v>1119</v>
      </c>
      <c r="W356" s="121">
        <v>0</v>
      </c>
      <c r="X356" s="121">
        <v>0</v>
      </c>
      <c r="Y356" s="121">
        <v>0</v>
      </c>
      <c r="Z356" s="121">
        <v>103.583</v>
      </c>
      <c r="AA356" s="121">
        <v>0</v>
      </c>
      <c r="AB356" s="121">
        <v>0</v>
      </c>
      <c r="AC356" s="121">
        <v>0</v>
      </c>
      <c r="AD356" s="121">
        <v>0</v>
      </c>
      <c r="AE356" s="121">
        <v>0</v>
      </c>
      <c r="AF356" s="121">
        <v>0</v>
      </c>
      <c r="AG356" s="121">
        <v>0</v>
      </c>
      <c r="AH356" s="121">
        <v>28</v>
      </c>
      <c r="AI356" s="121">
        <v>2.2601200000000001</v>
      </c>
      <c r="AL356" s="14">
        <f t="shared" si="30"/>
        <v>137.61575000000002</v>
      </c>
      <c r="AM356">
        <f t="shared" si="31"/>
        <v>135.35563000000002</v>
      </c>
      <c r="AN356">
        <f t="shared" si="32"/>
        <v>107.35563000000002</v>
      </c>
      <c r="AP356">
        <f>VLOOKUP($B356,Kraftvärmeprod!$B$1:$BX$549,MATCH(AP$1,Kraftvärmeprod!$B$1:$BX$1,0),FALSE)</f>
        <v>143</v>
      </c>
      <c r="AQ356">
        <f>VLOOKUP($B356,Kraftvärmeprod!$B$1:$BX$549,MATCH(AQ$1,Kraftvärmeprod!$B$1:$BX$1,0),FALSE)</f>
        <v>23</v>
      </c>
      <c r="AR356">
        <f>VLOOKUP($B356,Kraftvärmeprod!$B$1:$BX$549,MATCH("Summa tillförd energi exklusive rökgaskondensering",Kraftvärmeprod!$B$1:$BX$1,0),FALSE)</f>
        <v>152</v>
      </c>
      <c r="AT356" s="17">
        <f t="shared" si="33"/>
        <v>0.70628703947368432</v>
      </c>
      <c r="AV356">
        <f t="shared" si="34"/>
        <v>103.583</v>
      </c>
      <c r="BA356" s="17">
        <f t="shared" si="35"/>
        <v>1.304557054985255</v>
      </c>
    </row>
    <row r="357" spans="1:53" x14ac:dyDescent="0.25">
      <c r="A357" s="137" t="s">
        <v>671</v>
      </c>
      <c r="B357" s="137" t="s">
        <v>674</v>
      </c>
      <c r="C357" s="121"/>
      <c r="D357" s="121"/>
      <c r="E357" s="121"/>
      <c r="F357" s="121"/>
      <c r="G357" s="121"/>
      <c r="H357" s="121"/>
      <c r="I357" s="121"/>
      <c r="J357" s="121">
        <v>0</v>
      </c>
      <c r="K357" s="121">
        <v>0</v>
      </c>
      <c r="L357" s="121">
        <v>0</v>
      </c>
      <c r="M357" s="121">
        <v>0</v>
      </c>
      <c r="N357" s="121">
        <v>0</v>
      </c>
      <c r="O357" s="121">
        <v>0</v>
      </c>
      <c r="P357" s="121">
        <v>0</v>
      </c>
      <c r="Q357" s="121">
        <v>0</v>
      </c>
      <c r="R357" s="121">
        <v>0</v>
      </c>
      <c r="S357" s="121">
        <v>0</v>
      </c>
      <c r="T357" s="121">
        <v>0</v>
      </c>
      <c r="U357" s="121">
        <v>0</v>
      </c>
      <c r="V357" s="121" t="s">
        <v>1119</v>
      </c>
      <c r="W357" s="121">
        <v>0</v>
      </c>
      <c r="X357" s="121">
        <v>0</v>
      </c>
      <c r="Y357" s="121">
        <v>0</v>
      </c>
      <c r="Z357" s="121">
        <v>0</v>
      </c>
      <c r="AA357" s="121">
        <v>0</v>
      </c>
      <c r="AB357" s="121">
        <v>0</v>
      </c>
      <c r="AC357" s="121">
        <v>0</v>
      </c>
      <c r="AD357" s="121">
        <v>0</v>
      </c>
      <c r="AE357" s="121">
        <v>0</v>
      </c>
      <c r="AF357" s="121">
        <v>0</v>
      </c>
      <c r="AG357" s="121">
        <v>0</v>
      </c>
      <c r="AH357" s="121">
        <v>0</v>
      </c>
      <c r="AI357" s="121">
        <v>0</v>
      </c>
      <c r="AL357" s="14">
        <f t="shared" si="30"/>
        <v>0</v>
      </c>
      <c r="AM357">
        <f t="shared" si="31"/>
        <v>0</v>
      </c>
      <c r="AN357">
        <f t="shared" si="32"/>
        <v>0</v>
      </c>
      <c r="AP357">
        <f>VLOOKUP($B357,Kraftvärmeprod!$B$1:$BX$549,MATCH(AP$1,Kraftvärmeprod!$B$1:$BX$1,0),FALSE)</f>
        <v>0</v>
      </c>
      <c r="AQ357">
        <f>VLOOKUP($B357,Kraftvärmeprod!$B$1:$BX$549,MATCH(AQ$1,Kraftvärmeprod!$B$1:$BX$1,0),FALSE)</f>
        <v>0</v>
      </c>
      <c r="AR357">
        <f>VLOOKUP($B357,Kraftvärmeprod!$B$1:$BX$549,MATCH("Summa tillförd energi exklusive rökgaskondensering",Kraftvärmeprod!$B$1:$BX$1,0),FALSE)</f>
        <v>0</v>
      </c>
      <c r="AT357" s="17" t="str">
        <f t="shared" si="33"/>
        <v/>
      </c>
      <c r="AV357">
        <f t="shared" si="34"/>
        <v>0</v>
      </c>
      <c r="BA357" s="17" t="str">
        <f t="shared" si="35"/>
        <v/>
      </c>
    </row>
    <row r="358" spans="1:53" x14ac:dyDescent="0.25">
      <c r="A358" s="137" t="s">
        <v>52</v>
      </c>
      <c r="B358" s="137" t="s">
        <v>675</v>
      </c>
      <c r="C358" s="121"/>
      <c r="D358" s="121"/>
      <c r="E358" s="121"/>
      <c r="F358" s="121"/>
      <c r="G358" s="121"/>
      <c r="H358" s="121"/>
      <c r="I358" s="121"/>
      <c r="J358" s="121">
        <v>0</v>
      </c>
      <c r="K358" s="121">
        <v>0</v>
      </c>
      <c r="L358" s="121">
        <v>0</v>
      </c>
      <c r="M358" s="121">
        <v>0</v>
      </c>
      <c r="N358" s="121">
        <v>0</v>
      </c>
      <c r="O358" s="121">
        <v>0</v>
      </c>
      <c r="P358" s="121">
        <v>0</v>
      </c>
      <c r="Q358" s="121">
        <v>0</v>
      </c>
      <c r="R358" s="121">
        <v>0</v>
      </c>
      <c r="S358" s="121">
        <v>0</v>
      </c>
      <c r="T358" s="121">
        <v>0</v>
      </c>
      <c r="U358" s="121">
        <v>0</v>
      </c>
      <c r="V358" s="121" t="s">
        <v>1119</v>
      </c>
      <c r="W358" s="121">
        <v>0</v>
      </c>
      <c r="X358" s="121">
        <v>0</v>
      </c>
      <c r="Y358" s="121">
        <v>0</v>
      </c>
      <c r="Z358" s="121">
        <v>0</v>
      </c>
      <c r="AA358" s="121">
        <v>0</v>
      </c>
      <c r="AB358" s="121">
        <v>0</v>
      </c>
      <c r="AC358" s="121">
        <v>0</v>
      </c>
      <c r="AD358" s="121">
        <v>0</v>
      </c>
      <c r="AE358" s="121">
        <v>0</v>
      </c>
      <c r="AF358" s="121">
        <v>0</v>
      </c>
      <c r="AG358" s="121">
        <v>0</v>
      </c>
      <c r="AH358" s="121">
        <v>0</v>
      </c>
      <c r="AI358" s="121">
        <v>0</v>
      </c>
      <c r="AL358" s="14">
        <f t="shared" si="30"/>
        <v>0</v>
      </c>
      <c r="AM358">
        <f t="shared" si="31"/>
        <v>0</v>
      </c>
      <c r="AN358">
        <f t="shared" si="32"/>
        <v>0</v>
      </c>
      <c r="AP358">
        <f>VLOOKUP($B358,Kraftvärmeprod!$B$1:$BX$549,MATCH(AP$1,Kraftvärmeprod!$B$1:$BX$1,0),FALSE)</f>
        <v>0</v>
      </c>
      <c r="AQ358">
        <f>VLOOKUP($B358,Kraftvärmeprod!$B$1:$BX$549,MATCH(AQ$1,Kraftvärmeprod!$B$1:$BX$1,0),FALSE)</f>
        <v>0</v>
      </c>
      <c r="AR358">
        <f>VLOOKUP($B358,Kraftvärmeprod!$B$1:$BX$549,MATCH("Summa tillförd energi exklusive rökgaskondensering",Kraftvärmeprod!$B$1:$BX$1,0),FALSE)</f>
        <v>0</v>
      </c>
      <c r="AT358" s="17" t="str">
        <f t="shared" si="33"/>
        <v/>
      </c>
      <c r="AV358">
        <f t="shared" si="34"/>
        <v>0</v>
      </c>
      <c r="BA358" s="17" t="str">
        <f t="shared" si="35"/>
        <v/>
      </c>
    </row>
    <row r="359" spans="1:53" x14ac:dyDescent="0.25">
      <c r="A359" s="137" t="s">
        <v>52</v>
      </c>
      <c r="B359" s="137" t="s">
        <v>676</v>
      </c>
      <c r="C359" s="121"/>
      <c r="D359" s="121"/>
      <c r="E359" s="121"/>
      <c r="F359" s="121"/>
      <c r="G359" s="121"/>
      <c r="H359" s="121"/>
      <c r="I359" s="121"/>
      <c r="J359" s="121">
        <v>0</v>
      </c>
      <c r="K359" s="121">
        <v>0</v>
      </c>
      <c r="L359" s="121">
        <v>0</v>
      </c>
      <c r="M359" s="121">
        <v>0</v>
      </c>
      <c r="N359" s="121">
        <v>0</v>
      </c>
      <c r="O359" s="121">
        <v>0</v>
      </c>
      <c r="P359" s="121">
        <v>0</v>
      </c>
      <c r="Q359" s="121">
        <v>0</v>
      </c>
      <c r="R359" s="121">
        <v>0</v>
      </c>
      <c r="S359" s="121">
        <v>0</v>
      </c>
      <c r="T359" s="121">
        <v>0</v>
      </c>
      <c r="U359" s="121">
        <v>0</v>
      </c>
      <c r="V359" s="121" t="s">
        <v>1119</v>
      </c>
      <c r="W359" s="121">
        <v>0</v>
      </c>
      <c r="X359" s="121">
        <v>0</v>
      </c>
      <c r="Y359" s="121">
        <v>0</v>
      </c>
      <c r="Z359" s="121">
        <v>0</v>
      </c>
      <c r="AA359" s="121">
        <v>0</v>
      </c>
      <c r="AB359" s="121">
        <v>0</v>
      </c>
      <c r="AC359" s="121">
        <v>0</v>
      </c>
      <c r="AD359" s="121">
        <v>0</v>
      </c>
      <c r="AE359" s="121">
        <v>0</v>
      </c>
      <c r="AF359" s="121">
        <v>0</v>
      </c>
      <c r="AG359" s="121">
        <v>0</v>
      </c>
      <c r="AH359" s="121">
        <v>0</v>
      </c>
      <c r="AI359" s="121">
        <v>0</v>
      </c>
      <c r="AL359" s="14">
        <f t="shared" si="30"/>
        <v>0</v>
      </c>
      <c r="AM359">
        <f t="shared" si="31"/>
        <v>0</v>
      </c>
      <c r="AN359">
        <f t="shared" si="32"/>
        <v>0</v>
      </c>
      <c r="AP359">
        <f>VLOOKUP($B359,Kraftvärmeprod!$B$1:$BX$549,MATCH(AP$1,Kraftvärmeprod!$B$1:$BX$1,0),FALSE)</f>
        <v>0</v>
      </c>
      <c r="AQ359">
        <f>VLOOKUP($B359,Kraftvärmeprod!$B$1:$BX$549,MATCH(AQ$1,Kraftvärmeprod!$B$1:$BX$1,0),FALSE)</f>
        <v>0</v>
      </c>
      <c r="AR359">
        <f>VLOOKUP($B359,Kraftvärmeprod!$B$1:$BX$549,MATCH("Summa tillförd energi exklusive rökgaskondensering",Kraftvärmeprod!$B$1:$BX$1,0),FALSE)</f>
        <v>0</v>
      </c>
      <c r="AT359" s="17" t="str">
        <f t="shared" si="33"/>
        <v/>
      </c>
      <c r="AV359">
        <f t="shared" si="34"/>
        <v>0</v>
      </c>
      <c r="BA359" s="17" t="str">
        <f t="shared" si="35"/>
        <v/>
      </c>
    </row>
    <row r="360" spans="1:53" x14ac:dyDescent="0.25">
      <c r="A360" s="137" t="s">
        <v>52</v>
      </c>
      <c r="B360" s="137" t="s">
        <v>677</v>
      </c>
      <c r="C360" s="121"/>
      <c r="D360" s="121"/>
      <c r="E360" s="121"/>
      <c r="F360" s="121"/>
      <c r="G360" s="121"/>
      <c r="H360" s="121"/>
      <c r="I360" s="121"/>
      <c r="J360" s="121">
        <v>0</v>
      </c>
      <c r="K360" s="121">
        <v>0</v>
      </c>
      <c r="L360" s="121">
        <v>0</v>
      </c>
      <c r="M360" s="121">
        <v>0</v>
      </c>
      <c r="N360" s="121">
        <v>0</v>
      </c>
      <c r="O360" s="121">
        <v>0</v>
      </c>
      <c r="P360" s="121">
        <v>0</v>
      </c>
      <c r="Q360" s="121">
        <v>0</v>
      </c>
      <c r="R360" s="121">
        <v>0</v>
      </c>
      <c r="S360" s="121">
        <v>0</v>
      </c>
      <c r="T360" s="121">
        <v>0</v>
      </c>
      <c r="U360" s="121">
        <v>0</v>
      </c>
      <c r="V360" s="121" t="s">
        <v>1119</v>
      </c>
      <c r="W360" s="121">
        <v>0</v>
      </c>
      <c r="X360" s="121">
        <v>0</v>
      </c>
      <c r="Y360" s="121">
        <v>0</v>
      </c>
      <c r="Z360" s="121">
        <v>0</v>
      </c>
      <c r="AA360" s="121">
        <v>0</v>
      </c>
      <c r="AB360" s="121">
        <v>0</v>
      </c>
      <c r="AC360" s="121">
        <v>0</v>
      </c>
      <c r="AD360" s="121">
        <v>0</v>
      </c>
      <c r="AE360" s="121">
        <v>0</v>
      </c>
      <c r="AF360" s="121">
        <v>0</v>
      </c>
      <c r="AG360" s="121">
        <v>0</v>
      </c>
      <c r="AH360" s="121">
        <v>0</v>
      </c>
      <c r="AI360" s="121">
        <v>0</v>
      </c>
      <c r="AL360" s="14">
        <f t="shared" si="30"/>
        <v>0</v>
      </c>
      <c r="AM360">
        <f t="shared" si="31"/>
        <v>0</v>
      </c>
      <c r="AN360">
        <f t="shared" si="32"/>
        <v>0</v>
      </c>
      <c r="AP360">
        <f>VLOOKUP($B360,Kraftvärmeprod!$B$1:$BX$549,MATCH(AP$1,Kraftvärmeprod!$B$1:$BX$1,0),FALSE)</f>
        <v>0</v>
      </c>
      <c r="AQ360">
        <f>VLOOKUP($B360,Kraftvärmeprod!$B$1:$BX$549,MATCH(AQ$1,Kraftvärmeprod!$B$1:$BX$1,0),FALSE)</f>
        <v>0</v>
      </c>
      <c r="AR360">
        <f>VLOOKUP($B360,Kraftvärmeprod!$B$1:$BX$549,MATCH("Summa tillförd energi exklusive rökgaskondensering",Kraftvärmeprod!$B$1:$BX$1,0),FALSE)</f>
        <v>0</v>
      </c>
      <c r="AT360" s="17" t="str">
        <f t="shared" si="33"/>
        <v/>
      </c>
      <c r="AV360">
        <f t="shared" si="34"/>
        <v>0</v>
      </c>
      <c r="BA360" s="17" t="str">
        <f t="shared" si="35"/>
        <v/>
      </c>
    </row>
    <row r="361" spans="1:53" x14ac:dyDescent="0.25">
      <c r="A361" s="137" t="s">
        <v>52</v>
      </c>
      <c r="B361" s="137" t="s">
        <v>678</v>
      </c>
      <c r="C361" s="121"/>
      <c r="D361" s="121"/>
      <c r="E361" s="121"/>
      <c r="F361" s="121"/>
      <c r="G361" s="121"/>
      <c r="H361" s="121"/>
      <c r="I361" s="121"/>
      <c r="J361" s="121">
        <v>0</v>
      </c>
      <c r="K361" s="121">
        <v>0</v>
      </c>
      <c r="L361" s="121">
        <v>0</v>
      </c>
      <c r="M361" s="121">
        <v>0</v>
      </c>
      <c r="N361" s="121">
        <v>0</v>
      </c>
      <c r="O361" s="121">
        <v>0</v>
      </c>
      <c r="P361" s="121">
        <v>0</v>
      </c>
      <c r="Q361" s="121">
        <v>0</v>
      </c>
      <c r="R361" s="121">
        <v>0</v>
      </c>
      <c r="S361" s="121">
        <v>0</v>
      </c>
      <c r="T361" s="121">
        <v>0</v>
      </c>
      <c r="U361" s="121">
        <v>0</v>
      </c>
      <c r="V361" s="121" t="s">
        <v>1119</v>
      </c>
      <c r="W361" s="121">
        <v>0</v>
      </c>
      <c r="X361" s="121">
        <v>0</v>
      </c>
      <c r="Y361" s="121">
        <v>0</v>
      </c>
      <c r="Z361" s="121">
        <v>0</v>
      </c>
      <c r="AA361" s="121">
        <v>0</v>
      </c>
      <c r="AB361" s="121">
        <v>0</v>
      </c>
      <c r="AC361" s="121">
        <v>0</v>
      </c>
      <c r="AD361" s="121">
        <v>0</v>
      </c>
      <c r="AE361" s="121">
        <v>0</v>
      </c>
      <c r="AF361" s="121">
        <v>0</v>
      </c>
      <c r="AG361" s="121">
        <v>0</v>
      </c>
      <c r="AH361" s="121">
        <v>0</v>
      </c>
      <c r="AI361" s="121">
        <v>0</v>
      </c>
      <c r="AL361" s="14">
        <f t="shared" si="30"/>
        <v>0</v>
      </c>
      <c r="AM361">
        <f t="shared" si="31"/>
        <v>0</v>
      </c>
      <c r="AN361">
        <f t="shared" si="32"/>
        <v>0</v>
      </c>
      <c r="AP361">
        <f>VLOOKUP($B361,Kraftvärmeprod!$B$1:$BX$549,MATCH(AP$1,Kraftvärmeprod!$B$1:$BX$1,0),FALSE)</f>
        <v>0</v>
      </c>
      <c r="AQ361">
        <f>VLOOKUP($B361,Kraftvärmeprod!$B$1:$BX$549,MATCH(AQ$1,Kraftvärmeprod!$B$1:$BX$1,0),FALSE)</f>
        <v>0</v>
      </c>
      <c r="AR361">
        <f>VLOOKUP($B361,Kraftvärmeprod!$B$1:$BX$549,MATCH("Summa tillförd energi exklusive rökgaskondensering",Kraftvärmeprod!$B$1:$BX$1,0),FALSE)</f>
        <v>0</v>
      </c>
      <c r="AT361" s="17" t="str">
        <f t="shared" si="33"/>
        <v/>
      </c>
      <c r="AV361">
        <f t="shared" si="34"/>
        <v>0</v>
      </c>
      <c r="BA361" s="17" t="str">
        <f t="shared" si="35"/>
        <v/>
      </c>
    </row>
    <row r="362" spans="1:53" x14ac:dyDescent="0.25">
      <c r="A362" s="137" t="s">
        <v>52</v>
      </c>
      <c r="B362" s="137" t="s">
        <v>679</v>
      </c>
      <c r="C362" s="121"/>
      <c r="D362" s="121"/>
      <c r="E362" s="121"/>
      <c r="F362" s="121"/>
      <c r="G362" s="121"/>
      <c r="H362" s="121"/>
      <c r="I362" s="121"/>
      <c r="J362" s="121">
        <v>0</v>
      </c>
      <c r="K362" s="121">
        <v>0</v>
      </c>
      <c r="L362" s="121">
        <v>0</v>
      </c>
      <c r="M362" s="121">
        <v>3.0247999999999999</v>
      </c>
      <c r="N362" s="121">
        <v>0</v>
      </c>
      <c r="O362" s="121">
        <v>0</v>
      </c>
      <c r="P362" s="121">
        <v>0</v>
      </c>
      <c r="Q362" s="121">
        <v>0</v>
      </c>
      <c r="R362" s="121">
        <v>9.9982199999999999</v>
      </c>
      <c r="S362" s="121">
        <v>24.346900000000002</v>
      </c>
      <c r="T362" s="121">
        <v>0</v>
      </c>
      <c r="U362" s="121">
        <v>6.9790900000000002</v>
      </c>
      <c r="V362" s="121" t="s">
        <v>1119</v>
      </c>
      <c r="W362" s="121">
        <v>0</v>
      </c>
      <c r="X362" s="121">
        <v>0</v>
      </c>
      <c r="Y362" s="121">
        <v>0</v>
      </c>
      <c r="Z362" s="121">
        <v>0</v>
      </c>
      <c r="AA362" s="121">
        <v>0</v>
      </c>
      <c r="AB362" s="121">
        <v>0</v>
      </c>
      <c r="AC362" s="121">
        <v>0</v>
      </c>
      <c r="AD362" s="121">
        <v>0</v>
      </c>
      <c r="AE362" s="121">
        <v>0</v>
      </c>
      <c r="AF362" s="121">
        <v>0</v>
      </c>
      <c r="AG362" s="121">
        <v>0</v>
      </c>
      <c r="AH362" s="121">
        <v>0</v>
      </c>
      <c r="AI362" s="121">
        <v>0.27349099999999998</v>
      </c>
      <c r="AL362" s="14">
        <f t="shared" si="30"/>
        <v>44.622501</v>
      </c>
      <c r="AM362">
        <f t="shared" si="31"/>
        <v>44.34901</v>
      </c>
      <c r="AN362">
        <f t="shared" si="32"/>
        <v>44.34901</v>
      </c>
      <c r="AP362">
        <f>VLOOKUP($B362,Kraftvärmeprod!$B$1:$BX$549,MATCH(AP$1,Kraftvärmeprod!$B$1:$BX$1,0),FALSE)</f>
        <v>45.48</v>
      </c>
      <c r="AQ362">
        <f>VLOOKUP($B362,Kraftvärmeprod!$B$1:$BX$549,MATCH(AQ$1,Kraftvärmeprod!$B$1:$BX$1,0),FALSE)</f>
        <v>1.0049999999999999</v>
      </c>
      <c r="AR362">
        <f>VLOOKUP($B362,Kraftvärmeprod!$B$1:$BX$549,MATCH("Summa tillförd energi exklusive rökgaskondensering",Kraftvärmeprod!$B$1:$BX$1,0),FALSE)</f>
        <v>46.863999999999997</v>
      </c>
      <c r="AT362" s="17">
        <f t="shared" si="33"/>
        <v>0.94633428644588602</v>
      </c>
      <c r="AV362">
        <f t="shared" si="34"/>
        <v>41.324210000000001</v>
      </c>
      <c r="BA362" s="17">
        <f t="shared" si="35"/>
        <v>1.0192167400029863</v>
      </c>
    </row>
    <row r="363" spans="1:53" x14ac:dyDescent="0.25">
      <c r="A363" s="137" t="s">
        <v>52</v>
      </c>
      <c r="B363" s="137" t="s">
        <v>680</v>
      </c>
      <c r="C363" s="121"/>
      <c r="D363" s="121"/>
      <c r="E363" s="121"/>
      <c r="F363" s="121"/>
      <c r="G363" s="121"/>
      <c r="H363" s="121"/>
      <c r="I363" s="121"/>
      <c r="J363" s="121">
        <v>0</v>
      </c>
      <c r="K363" s="121">
        <v>0</v>
      </c>
      <c r="L363" s="121">
        <v>0</v>
      </c>
      <c r="M363" s="121">
        <v>0</v>
      </c>
      <c r="N363" s="121">
        <v>0</v>
      </c>
      <c r="O363" s="121">
        <v>0</v>
      </c>
      <c r="P363" s="121">
        <v>0.47092200000000001</v>
      </c>
      <c r="Q363" s="121">
        <v>58.6646</v>
      </c>
      <c r="R363" s="121">
        <v>3.3047199999999999E-2</v>
      </c>
      <c r="S363" s="121">
        <v>29.447399999999998</v>
      </c>
      <c r="T363" s="121">
        <v>0</v>
      </c>
      <c r="U363" s="121">
        <v>10.266999999999999</v>
      </c>
      <c r="V363" s="121" t="s">
        <v>1119</v>
      </c>
      <c r="W363" s="121">
        <v>0</v>
      </c>
      <c r="X363" s="121">
        <v>0</v>
      </c>
      <c r="Y363" s="121">
        <v>0</v>
      </c>
      <c r="Z363" s="121">
        <v>0.652092</v>
      </c>
      <c r="AA363" s="121">
        <v>0</v>
      </c>
      <c r="AB363" s="121">
        <v>0</v>
      </c>
      <c r="AC363" s="121">
        <v>0</v>
      </c>
      <c r="AD363" s="121">
        <v>0</v>
      </c>
      <c r="AE363" s="121">
        <v>0</v>
      </c>
      <c r="AF363" s="121">
        <v>1.8158399999999999</v>
      </c>
      <c r="AG363" s="121">
        <v>0</v>
      </c>
      <c r="AH363" s="121">
        <v>0</v>
      </c>
      <c r="AI363" s="121">
        <v>3.4394200000000001</v>
      </c>
      <c r="AL363" s="14">
        <f t="shared" si="30"/>
        <v>104.79032119999998</v>
      </c>
      <c r="AM363">
        <f t="shared" si="31"/>
        <v>101.35090119999998</v>
      </c>
      <c r="AN363">
        <f t="shared" si="32"/>
        <v>101.35090119999998</v>
      </c>
      <c r="AP363">
        <f>VLOOKUP($B363,Kraftvärmeprod!$B$1:$BX$549,MATCH(AP$1,Kraftvärmeprod!$B$1:$BX$1,0),FALSE)</f>
        <v>107.117</v>
      </c>
      <c r="AQ363">
        <f>VLOOKUP($B363,Kraftvärmeprod!$B$1:$BX$549,MATCH(AQ$1,Kraftvärmeprod!$B$1:$BX$1,0),FALSE)</f>
        <v>28.547999999999998</v>
      </c>
      <c r="AR363">
        <f>VLOOKUP($B363,Kraftvärmeprod!$B$1:$BX$549,MATCH("Summa tillförd energi exklusive rökgaskondensering",Kraftvärmeprod!$B$1:$BX$1,0),FALSE)</f>
        <v>171.58899999999997</v>
      </c>
      <c r="AT363" s="17">
        <f t="shared" si="33"/>
        <v>0.59066083023970073</v>
      </c>
      <c r="AV363">
        <f t="shared" si="34"/>
        <v>99.535061199999987</v>
      </c>
      <c r="BA363" s="17">
        <f t="shared" si="35"/>
        <v>1.0222031841620123</v>
      </c>
    </row>
    <row r="364" spans="1:53" x14ac:dyDescent="0.25">
      <c r="A364" s="137" t="s">
        <v>52</v>
      </c>
      <c r="B364" s="137" t="s">
        <v>681</v>
      </c>
      <c r="C364" s="121"/>
      <c r="D364" s="121"/>
      <c r="E364" s="121"/>
      <c r="F364" s="121"/>
      <c r="G364" s="121"/>
      <c r="H364" s="121"/>
      <c r="I364" s="121"/>
      <c r="J364" s="121">
        <v>0</v>
      </c>
      <c r="K364" s="121">
        <v>0</v>
      </c>
      <c r="L364" s="121">
        <v>0</v>
      </c>
      <c r="M364" s="121">
        <v>0</v>
      </c>
      <c r="N364" s="121">
        <v>0</v>
      </c>
      <c r="O364" s="121">
        <v>0</v>
      </c>
      <c r="P364" s="121">
        <v>0</v>
      </c>
      <c r="Q364" s="121">
        <v>0</v>
      </c>
      <c r="R364" s="121">
        <v>0</v>
      </c>
      <c r="S364" s="121">
        <v>0</v>
      </c>
      <c r="T364" s="121">
        <v>0</v>
      </c>
      <c r="U364" s="121">
        <v>0</v>
      </c>
      <c r="V364" s="121" t="s">
        <v>1119</v>
      </c>
      <c r="W364" s="121">
        <v>0</v>
      </c>
      <c r="X364" s="121">
        <v>0</v>
      </c>
      <c r="Y364" s="121">
        <v>0</v>
      </c>
      <c r="Z364" s="121">
        <v>0</v>
      </c>
      <c r="AA364" s="121">
        <v>0</v>
      </c>
      <c r="AB364" s="121">
        <v>0</v>
      </c>
      <c r="AC364" s="121">
        <v>0</v>
      </c>
      <c r="AD364" s="121">
        <v>0</v>
      </c>
      <c r="AE364" s="121">
        <v>0</v>
      </c>
      <c r="AF364" s="121">
        <v>0</v>
      </c>
      <c r="AG364" s="121">
        <v>0</v>
      </c>
      <c r="AH364" s="121">
        <v>0</v>
      </c>
      <c r="AI364" s="121">
        <v>0</v>
      </c>
      <c r="AL364" s="14">
        <f t="shared" si="30"/>
        <v>0</v>
      </c>
      <c r="AM364">
        <f t="shared" si="31"/>
        <v>0</v>
      </c>
      <c r="AN364">
        <f t="shared" si="32"/>
        <v>0</v>
      </c>
      <c r="AP364">
        <f>VLOOKUP($B364,Kraftvärmeprod!$B$1:$BX$549,MATCH(AP$1,Kraftvärmeprod!$B$1:$BX$1,0),FALSE)</f>
        <v>0</v>
      </c>
      <c r="AQ364">
        <f>VLOOKUP($B364,Kraftvärmeprod!$B$1:$BX$549,MATCH(AQ$1,Kraftvärmeprod!$B$1:$BX$1,0),FALSE)</f>
        <v>0</v>
      </c>
      <c r="AR364">
        <f>VLOOKUP($B364,Kraftvärmeprod!$B$1:$BX$549,MATCH("Summa tillförd energi exklusive rökgaskondensering",Kraftvärmeprod!$B$1:$BX$1,0),FALSE)</f>
        <v>0</v>
      </c>
      <c r="AT364" s="17" t="str">
        <f t="shared" si="33"/>
        <v/>
      </c>
      <c r="AV364">
        <f t="shared" si="34"/>
        <v>0</v>
      </c>
      <c r="BA364" s="17" t="str">
        <f t="shared" si="35"/>
        <v/>
      </c>
    </row>
    <row r="365" spans="1:53" x14ac:dyDescent="0.25">
      <c r="A365" s="137" t="s">
        <v>52</v>
      </c>
      <c r="B365" s="137" t="s">
        <v>682</v>
      </c>
      <c r="C365" s="121"/>
      <c r="D365" s="121"/>
      <c r="E365" s="121"/>
      <c r="F365" s="121"/>
      <c r="G365" s="121"/>
      <c r="H365" s="121"/>
      <c r="I365" s="121"/>
      <c r="J365" s="121">
        <v>0</v>
      </c>
      <c r="K365" s="121">
        <v>0</v>
      </c>
      <c r="L365" s="121">
        <v>0</v>
      </c>
      <c r="M365" s="121">
        <v>0</v>
      </c>
      <c r="N365" s="121">
        <v>0</v>
      </c>
      <c r="O365" s="121">
        <v>0</v>
      </c>
      <c r="P365" s="121">
        <v>0</v>
      </c>
      <c r="Q365" s="121">
        <v>0</v>
      </c>
      <c r="R365" s="121">
        <v>0</v>
      </c>
      <c r="S365" s="121">
        <v>0</v>
      </c>
      <c r="T365" s="121">
        <v>0</v>
      </c>
      <c r="U365" s="121">
        <v>0</v>
      </c>
      <c r="V365" s="121" t="s">
        <v>1119</v>
      </c>
      <c r="W365" s="121">
        <v>0</v>
      </c>
      <c r="X365" s="121">
        <v>0</v>
      </c>
      <c r="Y365" s="121">
        <v>0</v>
      </c>
      <c r="Z365" s="121">
        <v>0</v>
      </c>
      <c r="AA365" s="121">
        <v>0</v>
      </c>
      <c r="AB365" s="121">
        <v>0</v>
      </c>
      <c r="AC365" s="121">
        <v>0</v>
      </c>
      <c r="AD365" s="121">
        <v>0</v>
      </c>
      <c r="AE365" s="121">
        <v>0</v>
      </c>
      <c r="AF365" s="121">
        <v>0</v>
      </c>
      <c r="AG365" s="121">
        <v>0</v>
      </c>
      <c r="AH365" s="121">
        <v>0</v>
      </c>
      <c r="AI365" s="121">
        <v>0</v>
      </c>
      <c r="AL365" s="14">
        <f t="shared" si="30"/>
        <v>0</v>
      </c>
      <c r="AM365">
        <f t="shared" si="31"/>
        <v>0</v>
      </c>
      <c r="AN365">
        <f t="shared" si="32"/>
        <v>0</v>
      </c>
      <c r="AP365">
        <f>VLOOKUP($B365,Kraftvärmeprod!$B$1:$BX$549,MATCH(AP$1,Kraftvärmeprod!$B$1:$BX$1,0),FALSE)</f>
        <v>0</v>
      </c>
      <c r="AQ365">
        <f>VLOOKUP($B365,Kraftvärmeprod!$B$1:$BX$549,MATCH(AQ$1,Kraftvärmeprod!$B$1:$BX$1,0),FALSE)</f>
        <v>0</v>
      </c>
      <c r="AR365">
        <f>VLOOKUP($B365,Kraftvärmeprod!$B$1:$BX$549,MATCH("Summa tillförd energi exklusive rökgaskondensering",Kraftvärmeprod!$B$1:$BX$1,0),FALSE)</f>
        <v>0</v>
      </c>
      <c r="AT365" s="17" t="str">
        <f t="shared" si="33"/>
        <v/>
      </c>
      <c r="AV365">
        <f t="shared" si="34"/>
        <v>0</v>
      </c>
      <c r="BA365" s="17" t="str">
        <f t="shared" si="35"/>
        <v/>
      </c>
    </row>
    <row r="366" spans="1:53" x14ac:dyDescent="0.25">
      <c r="A366" s="137" t="s">
        <v>52</v>
      </c>
      <c r="B366" s="137" t="s">
        <v>683</v>
      </c>
      <c r="C366" s="121"/>
      <c r="D366" s="121"/>
      <c r="E366" s="121"/>
      <c r="F366" s="121"/>
      <c r="G366" s="121"/>
      <c r="H366" s="121"/>
      <c r="I366" s="121"/>
      <c r="J366" s="121">
        <v>0</v>
      </c>
      <c r="K366" s="121">
        <v>0</v>
      </c>
      <c r="L366" s="121">
        <v>0</v>
      </c>
      <c r="M366" s="121">
        <v>0</v>
      </c>
      <c r="N366" s="121">
        <v>0</v>
      </c>
      <c r="O366" s="121">
        <v>0</v>
      </c>
      <c r="P366" s="121">
        <v>0</v>
      </c>
      <c r="Q366" s="121">
        <v>0</v>
      </c>
      <c r="R366" s="121">
        <v>0</v>
      </c>
      <c r="S366" s="121">
        <v>0</v>
      </c>
      <c r="T366" s="121">
        <v>0</v>
      </c>
      <c r="U366" s="121">
        <v>0</v>
      </c>
      <c r="V366" s="121" t="s">
        <v>1119</v>
      </c>
      <c r="W366" s="121">
        <v>0</v>
      </c>
      <c r="X366" s="121">
        <v>0</v>
      </c>
      <c r="Y366" s="121">
        <v>0</v>
      </c>
      <c r="Z366" s="121">
        <v>0</v>
      </c>
      <c r="AA366" s="121">
        <v>0</v>
      </c>
      <c r="AB366" s="121">
        <v>0</v>
      </c>
      <c r="AC366" s="121">
        <v>0</v>
      </c>
      <c r="AD366" s="121">
        <v>0</v>
      </c>
      <c r="AE366" s="121">
        <v>0</v>
      </c>
      <c r="AF366" s="121">
        <v>0</v>
      </c>
      <c r="AG366" s="121">
        <v>0</v>
      </c>
      <c r="AH366" s="121">
        <v>0</v>
      </c>
      <c r="AI366" s="121">
        <v>0</v>
      </c>
      <c r="AL366" s="14">
        <f t="shared" si="30"/>
        <v>0</v>
      </c>
      <c r="AM366">
        <f t="shared" si="31"/>
        <v>0</v>
      </c>
      <c r="AN366">
        <f t="shared" si="32"/>
        <v>0</v>
      </c>
      <c r="AP366">
        <f>VLOOKUP($B366,Kraftvärmeprod!$B$1:$BX$549,MATCH(AP$1,Kraftvärmeprod!$B$1:$BX$1,0),FALSE)</f>
        <v>0</v>
      </c>
      <c r="AQ366">
        <f>VLOOKUP($B366,Kraftvärmeprod!$B$1:$BX$549,MATCH(AQ$1,Kraftvärmeprod!$B$1:$BX$1,0),FALSE)</f>
        <v>0</v>
      </c>
      <c r="AR366">
        <f>VLOOKUP($B366,Kraftvärmeprod!$B$1:$BX$549,MATCH("Summa tillförd energi exklusive rökgaskondensering",Kraftvärmeprod!$B$1:$BX$1,0),FALSE)</f>
        <v>0</v>
      </c>
      <c r="AT366" s="17" t="str">
        <f t="shared" si="33"/>
        <v/>
      </c>
      <c r="AV366">
        <f t="shared" si="34"/>
        <v>0</v>
      </c>
      <c r="BA366" s="17" t="str">
        <f t="shared" si="35"/>
        <v/>
      </c>
    </row>
    <row r="367" spans="1:53" x14ac:dyDescent="0.25">
      <c r="A367" s="137" t="s">
        <v>52</v>
      </c>
      <c r="B367" s="137" t="s">
        <v>684</v>
      </c>
      <c r="C367" s="121"/>
      <c r="D367" s="121"/>
      <c r="E367" s="121"/>
      <c r="F367" s="121"/>
      <c r="G367" s="121"/>
      <c r="H367" s="121"/>
      <c r="I367" s="121"/>
      <c r="J367" s="121">
        <v>0</v>
      </c>
      <c r="K367" s="121">
        <v>0</v>
      </c>
      <c r="L367" s="121">
        <v>0</v>
      </c>
      <c r="M367" s="121">
        <v>0</v>
      </c>
      <c r="N367" s="121">
        <v>0</v>
      </c>
      <c r="O367" s="121">
        <v>0</v>
      </c>
      <c r="P367" s="121">
        <v>0</v>
      </c>
      <c r="Q367" s="121">
        <v>0</v>
      </c>
      <c r="R367" s="121">
        <v>0</v>
      </c>
      <c r="S367" s="121">
        <v>0</v>
      </c>
      <c r="T367" s="121">
        <v>0</v>
      </c>
      <c r="U367" s="121">
        <v>0</v>
      </c>
      <c r="V367" s="121" t="s">
        <v>1119</v>
      </c>
      <c r="W367" s="121">
        <v>0</v>
      </c>
      <c r="X367" s="121">
        <v>0</v>
      </c>
      <c r="Y367" s="121">
        <v>0</v>
      </c>
      <c r="Z367" s="121">
        <v>0</v>
      </c>
      <c r="AA367" s="121">
        <v>0</v>
      </c>
      <c r="AB367" s="121">
        <v>0</v>
      </c>
      <c r="AC367" s="121">
        <v>0</v>
      </c>
      <c r="AD367" s="121">
        <v>0</v>
      </c>
      <c r="AE367" s="121">
        <v>0</v>
      </c>
      <c r="AF367" s="121">
        <v>0</v>
      </c>
      <c r="AG367" s="121">
        <v>0</v>
      </c>
      <c r="AH367" s="121">
        <v>0</v>
      </c>
      <c r="AI367" s="121">
        <v>0</v>
      </c>
      <c r="AL367" s="14">
        <f t="shared" si="30"/>
        <v>0</v>
      </c>
      <c r="AM367">
        <f t="shared" si="31"/>
        <v>0</v>
      </c>
      <c r="AN367">
        <f t="shared" si="32"/>
        <v>0</v>
      </c>
      <c r="AP367">
        <f>VLOOKUP($B367,Kraftvärmeprod!$B$1:$BX$549,MATCH(AP$1,Kraftvärmeprod!$B$1:$BX$1,0),FALSE)</f>
        <v>0</v>
      </c>
      <c r="AQ367">
        <f>VLOOKUP($B367,Kraftvärmeprod!$B$1:$BX$549,MATCH(AQ$1,Kraftvärmeprod!$B$1:$BX$1,0),FALSE)</f>
        <v>0</v>
      </c>
      <c r="AR367">
        <f>VLOOKUP($B367,Kraftvärmeprod!$B$1:$BX$549,MATCH("Summa tillförd energi exklusive rökgaskondensering",Kraftvärmeprod!$B$1:$BX$1,0),FALSE)</f>
        <v>0</v>
      </c>
      <c r="AT367" s="17" t="str">
        <f t="shared" si="33"/>
        <v/>
      </c>
      <c r="AV367">
        <f t="shared" si="34"/>
        <v>0</v>
      </c>
      <c r="BA367" s="17" t="str">
        <f t="shared" si="35"/>
        <v/>
      </c>
    </row>
    <row r="368" spans="1:53" x14ac:dyDescent="0.25">
      <c r="A368" s="137" t="s">
        <v>52</v>
      </c>
      <c r="B368" s="137" t="s">
        <v>685</v>
      </c>
      <c r="C368" s="121"/>
      <c r="D368" s="121"/>
      <c r="E368" s="121"/>
      <c r="F368" s="121"/>
      <c r="G368" s="121"/>
      <c r="H368" s="121"/>
      <c r="I368" s="121"/>
      <c r="J368" s="121">
        <v>0</v>
      </c>
      <c r="K368" s="121">
        <v>4.7708300000000002E-2</v>
      </c>
      <c r="L368" s="121">
        <v>0</v>
      </c>
      <c r="M368" s="121">
        <v>5.9131400000000001E-2</v>
      </c>
      <c r="N368" s="121">
        <v>0</v>
      </c>
      <c r="O368" s="121">
        <v>0</v>
      </c>
      <c r="P368" s="121">
        <v>0.34806500000000001</v>
      </c>
      <c r="Q368" s="121">
        <v>0</v>
      </c>
      <c r="R368" s="121">
        <v>0.48741299999999999</v>
      </c>
      <c r="S368" s="121">
        <v>0</v>
      </c>
      <c r="T368" s="121">
        <v>0</v>
      </c>
      <c r="U368" s="121">
        <v>0</v>
      </c>
      <c r="V368" s="121" t="s">
        <v>1119</v>
      </c>
      <c r="W368" s="121">
        <v>0</v>
      </c>
      <c r="X368" s="121">
        <v>0</v>
      </c>
      <c r="Y368" s="121">
        <v>0</v>
      </c>
      <c r="Z368" s="121">
        <v>6.1871999999999998</v>
      </c>
      <c r="AA368" s="121">
        <v>0</v>
      </c>
      <c r="AB368" s="121">
        <v>0</v>
      </c>
      <c r="AC368" s="121">
        <v>0</v>
      </c>
      <c r="AD368" s="121">
        <v>0</v>
      </c>
      <c r="AE368" s="121">
        <v>0.50892499999999996</v>
      </c>
      <c r="AF368" s="121">
        <v>0</v>
      </c>
      <c r="AG368" s="121">
        <v>0</v>
      </c>
      <c r="AH368" s="121">
        <v>0</v>
      </c>
      <c r="AI368" s="121">
        <v>1.2177800000000001</v>
      </c>
      <c r="AL368" s="14">
        <f t="shared" si="30"/>
        <v>8.8562227</v>
      </c>
      <c r="AM368">
        <f t="shared" si="31"/>
        <v>7.6384426999999997</v>
      </c>
      <c r="AN368">
        <f t="shared" si="32"/>
        <v>7.6384426999999997</v>
      </c>
      <c r="AP368">
        <f>VLOOKUP($B368,Kraftvärmeprod!$B$1:$BX$549,MATCH(AP$1,Kraftvärmeprod!$B$1:$BX$1,0),FALSE)</f>
        <v>10.739000000000001</v>
      </c>
      <c r="AQ368">
        <f>VLOOKUP($B368,Kraftvärmeprod!$B$1:$BX$549,MATCH(AQ$1,Kraftvärmeprod!$B$1:$BX$1,0),FALSE)</f>
        <v>2.5920000000000001</v>
      </c>
      <c r="AR368">
        <f>VLOOKUP($B368,Kraftvärmeprod!$B$1:$BX$549,MATCH("Summa tillförd energi exklusive rökgaskondensering",Kraftvärmeprod!$B$1:$BX$1,0),FALSE)</f>
        <v>12.500999999999999</v>
      </c>
      <c r="AT368" s="17">
        <f t="shared" si="33"/>
        <v>0.61102653387728978</v>
      </c>
      <c r="AV368">
        <f t="shared" si="34"/>
        <v>7.022678</v>
      </c>
      <c r="BA368" s="17">
        <f t="shared" si="35"/>
        <v>1.2125937167320782</v>
      </c>
    </row>
    <row r="369" spans="1:53" x14ac:dyDescent="0.25">
      <c r="A369" s="137" t="s">
        <v>52</v>
      </c>
      <c r="B369" s="137" t="s">
        <v>686</v>
      </c>
      <c r="C369" s="121"/>
      <c r="D369" s="121"/>
      <c r="E369" s="121"/>
      <c r="F369" s="121"/>
      <c r="G369" s="121"/>
      <c r="H369" s="121"/>
      <c r="I369" s="121"/>
      <c r="J369" s="121">
        <v>0</v>
      </c>
      <c r="K369" s="121">
        <v>0</v>
      </c>
      <c r="L369" s="121">
        <v>0</v>
      </c>
      <c r="M369" s="121">
        <v>0</v>
      </c>
      <c r="N369" s="121">
        <v>0</v>
      </c>
      <c r="O369" s="121">
        <v>0</v>
      </c>
      <c r="P369" s="121">
        <v>0</v>
      </c>
      <c r="Q369" s="121">
        <v>0</v>
      </c>
      <c r="R369" s="121">
        <v>0</v>
      </c>
      <c r="S369" s="121">
        <v>0</v>
      </c>
      <c r="T369" s="121">
        <v>0</v>
      </c>
      <c r="U369" s="121">
        <v>0</v>
      </c>
      <c r="V369" s="121" t="s">
        <v>1119</v>
      </c>
      <c r="W369" s="121">
        <v>0</v>
      </c>
      <c r="X369" s="121">
        <v>0</v>
      </c>
      <c r="Y369" s="121">
        <v>0</v>
      </c>
      <c r="Z369" s="121">
        <v>0</v>
      </c>
      <c r="AA369" s="121">
        <v>0</v>
      </c>
      <c r="AB369" s="121">
        <v>0</v>
      </c>
      <c r="AC369" s="121">
        <v>0</v>
      </c>
      <c r="AD369" s="121">
        <v>0</v>
      </c>
      <c r="AE369" s="121">
        <v>0</v>
      </c>
      <c r="AF369" s="121">
        <v>0</v>
      </c>
      <c r="AG369" s="121">
        <v>0</v>
      </c>
      <c r="AH369" s="121">
        <v>0</v>
      </c>
      <c r="AI369" s="121">
        <v>0</v>
      </c>
      <c r="AL369" s="14">
        <f t="shared" si="30"/>
        <v>0</v>
      </c>
      <c r="AM369">
        <f t="shared" si="31"/>
        <v>0</v>
      </c>
      <c r="AN369">
        <f t="shared" si="32"/>
        <v>0</v>
      </c>
      <c r="AP369">
        <f>VLOOKUP($B369,Kraftvärmeprod!$B$1:$BX$549,MATCH(AP$1,Kraftvärmeprod!$B$1:$BX$1,0),FALSE)</f>
        <v>0</v>
      </c>
      <c r="AQ369">
        <f>VLOOKUP($B369,Kraftvärmeprod!$B$1:$BX$549,MATCH(AQ$1,Kraftvärmeprod!$B$1:$BX$1,0),FALSE)</f>
        <v>0</v>
      </c>
      <c r="AR369">
        <f>VLOOKUP($B369,Kraftvärmeprod!$B$1:$BX$549,MATCH("Summa tillförd energi exklusive rökgaskondensering",Kraftvärmeprod!$B$1:$BX$1,0),FALSE)</f>
        <v>0</v>
      </c>
      <c r="AT369" s="17" t="str">
        <f t="shared" si="33"/>
        <v/>
      </c>
      <c r="AV369">
        <f t="shared" si="34"/>
        <v>0</v>
      </c>
      <c r="BA369" s="17" t="str">
        <f t="shared" si="35"/>
        <v/>
      </c>
    </row>
    <row r="370" spans="1:53" x14ac:dyDescent="0.25">
      <c r="A370" s="137" t="s">
        <v>52</v>
      </c>
      <c r="B370" s="137" t="s">
        <v>687</v>
      </c>
      <c r="C370" s="121"/>
      <c r="D370" s="121"/>
      <c r="E370" s="121"/>
      <c r="F370" s="121"/>
      <c r="G370" s="121"/>
      <c r="H370" s="121"/>
      <c r="I370" s="121"/>
      <c r="J370" s="121">
        <v>0</v>
      </c>
      <c r="K370" s="121">
        <v>0</v>
      </c>
      <c r="L370" s="121">
        <v>0</v>
      </c>
      <c r="M370" s="121">
        <v>0</v>
      </c>
      <c r="N370" s="121">
        <v>0</v>
      </c>
      <c r="O370" s="121">
        <v>0</v>
      </c>
      <c r="P370" s="121">
        <v>0</v>
      </c>
      <c r="Q370" s="121">
        <v>0</v>
      </c>
      <c r="R370" s="121">
        <v>0</v>
      </c>
      <c r="S370" s="121">
        <v>0</v>
      </c>
      <c r="T370" s="121">
        <v>0</v>
      </c>
      <c r="U370" s="121">
        <v>0</v>
      </c>
      <c r="V370" s="121" t="s">
        <v>1119</v>
      </c>
      <c r="W370" s="121">
        <v>0</v>
      </c>
      <c r="X370" s="121">
        <v>0</v>
      </c>
      <c r="Y370" s="121">
        <v>0</v>
      </c>
      <c r="Z370" s="121">
        <v>0</v>
      </c>
      <c r="AA370" s="121">
        <v>0</v>
      </c>
      <c r="AB370" s="121">
        <v>0</v>
      </c>
      <c r="AC370" s="121">
        <v>0</v>
      </c>
      <c r="AD370" s="121">
        <v>0</v>
      </c>
      <c r="AE370" s="121">
        <v>0</v>
      </c>
      <c r="AF370" s="121">
        <v>0</v>
      </c>
      <c r="AG370" s="121">
        <v>0</v>
      </c>
      <c r="AH370" s="121">
        <v>0</v>
      </c>
      <c r="AI370" s="121">
        <v>0</v>
      </c>
      <c r="AL370" s="14">
        <f t="shared" si="30"/>
        <v>0</v>
      </c>
      <c r="AM370">
        <f t="shared" si="31"/>
        <v>0</v>
      </c>
      <c r="AN370">
        <f t="shared" si="32"/>
        <v>0</v>
      </c>
      <c r="AP370">
        <f>VLOOKUP($B370,Kraftvärmeprod!$B$1:$BX$549,MATCH(AP$1,Kraftvärmeprod!$B$1:$BX$1,0),FALSE)</f>
        <v>0</v>
      </c>
      <c r="AQ370">
        <f>VLOOKUP($B370,Kraftvärmeprod!$B$1:$BX$549,MATCH(AQ$1,Kraftvärmeprod!$B$1:$BX$1,0),FALSE)</f>
        <v>0</v>
      </c>
      <c r="AR370">
        <f>VLOOKUP($B370,Kraftvärmeprod!$B$1:$BX$549,MATCH("Summa tillförd energi exklusive rökgaskondensering",Kraftvärmeprod!$B$1:$BX$1,0),FALSE)</f>
        <v>0</v>
      </c>
      <c r="AT370" s="17" t="str">
        <f t="shared" si="33"/>
        <v/>
      </c>
      <c r="AV370">
        <f t="shared" si="34"/>
        <v>0</v>
      </c>
      <c r="BA370" s="17" t="str">
        <f t="shared" si="35"/>
        <v/>
      </c>
    </row>
    <row r="371" spans="1:53" x14ac:dyDescent="0.25">
      <c r="A371" s="137" t="s">
        <v>52</v>
      </c>
      <c r="B371" s="137" t="s">
        <v>688</v>
      </c>
      <c r="C371" s="121"/>
      <c r="D371" s="121"/>
      <c r="E371" s="121"/>
      <c r="F371" s="121"/>
      <c r="G371" s="121"/>
      <c r="H371" s="121"/>
      <c r="I371" s="121"/>
      <c r="J371" s="121">
        <v>0</v>
      </c>
      <c r="K371" s="121">
        <v>0</v>
      </c>
      <c r="L371" s="121">
        <v>0</v>
      </c>
      <c r="M371" s="121">
        <v>0</v>
      </c>
      <c r="N371" s="121">
        <v>0</v>
      </c>
      <c r="O371" s="121">
        <v>0</v>
      </c>
      <c r="P371" s="121">
        <v>0</v>
      </c>
      <c r="Q371" s="121">
        <v>0</v>
      </c>
      <c r="R371" s="121">
        <v>0</v>
      </c>
      <c r="S371" s="121">
        <v>0</v>
      </c>
      <c r="T371" s="121">
        <v>0</v>
      </c>
      <c r="U371" s="121">
        <v>0</v>
      </c>
      <c r="V371" s="121" t="s">
        <v>1119</v>
      </c>
      <c r="W371" s="121">
        <v>0</v>
      </c>
      <c r="X371" s="121">
        <v>0</v>
      </c>
      <c r="Y371" s="121">
        <v>0</v>
      </c>
      <c r="Z371" s="121">
        <v>0</v>
      </c>
      <c r="AA371" s="121">
        <v>0</v>
      </c>
      <c r="AB371" s="121">
        <v>0</v>
      </c>
      <c r="AC371" s="121">
        <v>0</v>
      </c>
      <c r="AD371" s="121">
        <v>0</v>
      </c>
      <c r="AE371" s="121">
        <v>0</v>
      </c>
      <c r="AF371" s="121">
        <v>0</v>
      </c>
      <c r="AG371" s="121">
        <v>0</v>
      </c>
      <c r="AH371" s="121">
        <v>0</v>
      </c>
      <c r="AI371" s="121">
        <v>0</v>
      </c>
      <c r="AL371" s="14">
        <f t="shared" si="30"/>
        <v>0</v>
      </c>
      <c r="AM371">
        <f t="shared" si="31"/>
        <v>0</v>
      </c>
      <c r="AN371">
        <f t="shared" si="32"/>
        <v>0</v>
      </c>
      <c r="AP371">
        <f>VLOOKUP($B371,Kraftvärmeprod!$B$1:$BX$549,MATCH(AP$1,Kraftvärmeprod!$B$1:$BX$1,0),FALSE)</f>
        <v>0</v>
      </c>
      <c r="AQ371">
        <f>VLOOKUP($B371,Kraftvärmeprod!$B$1:$BX$549,MATCH(AQ$1,Kraftvärmeprod!$B$1:$BX$1,0),FALSE)</f>
        <v>0</v>
      </c>
      <c r="AR371">
        <f>VLOOKUP($B371,Kraftvärmeprod!$B$1:$BX$549,MATCH("Summa tillförd energi exklusive rökgaskondensering",Kraftvärmeprod!$B$1:$BX$1,0),FALSE)</f>
        <v>0</v>
      </c>
      <c r="AT371" s="17" t="str">
        <f t="shared" si="33"/>
        <v/>
      </c>
      <c r="AV371">
        <f t="shared" si="34"/>
        <v>0</v>
      </c>
      <c r="BA371" s="17" t="str">
        <f t="shared" si="35"/>
        <v/>
      </c>
    </row>
    <row r="372" spans="1:53" x14ac:dyDescent="0.25">
      <c r="A372" s="137" t="s">
        <v>52</v>
      </c>
      <c r="B372" s="137" t="s">
        <v>689</v>
      </c>
      <c r="C372" s="121"/>
      <c r="D372" s="121"/>
      <c r="E372" s="121"/>
      <c r="F372" s="121"/>
      <c r="G372" s="121"/>
      <c r="H372" s="121"/>
      <c r="I372" s="121"/>
      <c r="J372" s="121">
        <v>0</v>
      </c>
      <c r="K372" s="121">
        <v>0</v>
      </c>
      <c r="L372" s="121">
        <v>0</v>
      </c>
      <c r="M372" s="121">
        <v>0</v>
      </c>
      <c r="N372" s="121">
        <v>0</v>
      </c>
      <c r="O372" s="121">
        <v>0</v>
      </c>
      <c r="P372" s="121">
        <v>0</v>
      </c>
      <c r="Q372" s="121">
        <v>0</v>
      </c>
      <c r="R372" s="121">
        <v>0</v>
      </c>
      <c r="S372" s="121">
        <v>0</v>
      </c>
      <c r="T372" s="121">
        <v>0</v>
      </c>
      <c r="U372" s="121">
        <v>0</v>
      </c>
      <c r="V372" s="121" t="s">
        <v>1119</v>
      </c>
      <c r="W372" s="121">
        <v>0</v>
      </c>
      <c r="X372" s="121">
        <v>0</v>
      </c>
      <c r="Y372" s="121">
        <v>0</v>
      </c>
      <c r="Z372" s="121">
        <v>0</v>
      </c>
      <c r="AA372" s="121">
        <v>0</v>
      </c>
      <c r="AB372" s="121">
        <v>0</v>
      </c>
      <c r="AC372" s="121">
        <v>0</v>
      </c>
      <c r="AD372" s="121">
        <v>0</v>
      </c>
      <c r="AE372" s="121">
        <v>0</v>
      </c>
      <c r="AF372" s="121">
        <v>0</v>
      </c>
      <c r="AG372" s="121">
        <v>0</v>
      </c>
      <c r="AH372" s="121">
        <v>0</v>
      </c>
      <c r="AI372" s="121">
        <v>0</v>
      </c>
      <c r="AL372" s="14">
        <f t="shared" si="30"/>
        <v>0</v>
      </c>
      <c r="AM372">
        <f t="shared" si="31"/>
        <v>0</v>
      </c>
      <c r="AN372">
        <f t="shared" si="32"/>
        <v>0</v>
      </c>
      <c r="AP372">
        <f>VLOOKUP($B372,Kraftvärmeprod!$B$1:$BX$549,MATCH(AP$1,Kraftvärmeprod!$B$1:$BX$1,0),FALSE)</f>
        <v>0</v>
      </c>
      <c r="AQ372">
        <f>VLOOKUP($B372,Kraftvärmeprod!$B$1:$BX$549,MATCH(AQ$1,Kraftvärmeprod!$B$1:$BX$1,0),FALSE)</f>
        <v>0</v>
      </c>
      <c r="AR372">
        <f>VLOOKUP($B372,Kraftvärmeprod!$B$1:$BX$549,MATCH("Summa tillförd energi exklusive rökgaskondensering",Kraftvärmeprod!$B$1:$BX$1,0),FALSE)</f>
        <v>0</v>
      </c>
      <c r="AT372" s="17" t="str">
        <f t="shared" si="33"/>
        <v/>
      </c>
      <c r="AV372">
        <f t="shared" si="34"/>
        <v>0</v>
      </c>
      <c r="BA372" s="17" t="str">
        <f t="shared" si="35"/>
        <v/>
      </c>
    </row>
    <row r="373" spans="1:53" x14ac:dyDescent="0.25">
      <c r="A373" s="137" t="s">
        <v>52</v>
      </c>
      <c r="B373" s="137" t="s">
        <v>690</v>
      </c>
      <c r="C373" s="121"/>
      <c r="D373" s="121"/>
      <c r="E373" s="121"/>
      <c r="F373" s="121"/>
      <c r="G373" s="121"/>
      <c r="H373" s="121"/>
      <c r="I373" s="121"/>
      <c r="J373" s="121">
        <v>0</v>
      </c>
      <c r="K373" s="121">
        <v>0</v>
      </c>
      <c r="L373" s="121">
        <v>0</v>
      </c>
      <c r="M373" s="121">
        <v>0</v>
      </c>
      <c r="N373" s="121">
        <v>0</v>
      </c>
      <c r="O373" s="121">
        <v>0</v>
      </c>
      <c r="P373" s="121">
        <v>0</v>
      </c>
      <c r="Q373" s="121">
        <v>0</v>
      </c>
      <c r="R373" s="121">
        <v>0</v>
      </c>
      <c r="S373" s="121">
        <v>0</v>
      </c>
      <c r="T373" s="121">
        <v>0</v>
      </c>
      <c r="U373" s="121">
        <v>0</v>
      </c>
      <c r="V373" s="121" t="s">
        <v>1119</v>
      </c>
      <c r="W373" s="121">
        <v>0</v>
      </c>
      <c r="X373" s="121">
        <v>0</v>
      </c>
      <c r="Y373" s="121">
        <v>0</v>
      </c>
      <c r="Z373" s="121">
        <v>0</v>
      </c>
      <c r="AA373" s="121">
        <v>0</v>
      </c>
      <c r="AB373" s="121">
        <v>0</v>
      </c>
      <c r="AC373" s="121">
        <v>0</v>
      </c>
      <c r="AD373" s="121">
        <v>0</v>
      </c>
      <c r="AE373" s="121">
        <v>0</v>
      </c>
      <c r="AF373" s="121">
        <v>0</v>
      </c>
      <c r="AG373" s="121">
        <v>0</v>
      </c>
      <c r="AH373" s="121">
        <v>0</v>
      </c>
      <c r="AI373" s="121">
        <v>0</v>
      </c>
      <c r="AL373" s="14">
        <f t="shared" si="30"/>
        <v>0</v>
      </c>
      <c r="AM373">
        <f t="shared" si="31"/>
        <v>0</v>
      </c>
      <c r="AN373">
        <f t="shared" si="32"/>
        <v>0</v>
      </c>
      <c r="AP373">
        <f>VLOOKUP($B373,Kraftvärmeprod!$B$1:$BX$549,MATCH(AP$1,Kraftvärmeprod!$B$1:$BX$1,0),FALSE)</f>
        <v>0</v>
      </c>
      <c r="AQ373">
        <f>VLOOKUP($B373,Kraftvärmeprod!$B$1:$BX$549,MATCH(AQ$1,Kraftvärmeprod!$B$1:$BX$1,0),FALSE)</f>
        <v>0</v>
      </c>
      <c r="AR373">
        <f>VLOOKUP($B373,Kraftvärmeprod!$B$1:$BX$549,MATCH("Summa tillförd energi exklusive rökgaskondensering",Kraftvärmeprod!$B$1:$BX$1,0),FALSE)</f>
        <v>0</v>
      </c>
      <c r="AT373" s="17" t="str">
        <f t="shared" si="33"/>
        <v/>
      </c>
      <c r="AV373">
        <f t="shared" si="34"/>
        <v>0</v>
      </c>
      <c r="BA373" s="17" t="str">
        <f t="shared" si="35"/>
        <v/>
      </c>
    </row>
    <row r="374" spans="1:53" x14ac:dyDescent="0.25">
      <c r="A374" s="137" t="s">
        <v>691</v>
      </c>
      <c r="B374" s="137" t="s">
        <v>692</v>
      </c>
      <c r="C374" s="121"/>
      <c r="D374" s="121"/>
      <c r="E374" s="121"/>
      <c r="F374" s="121"/>
      <c r="G374" s="121"/>
      <c r="H374" s="121"/>
      <c r="I374" s="121"/>
      <c r="J374" s="121">
        <v>0</v>
      </c>
      <c r="K374" s="121">
        <v>0</v>
      </c>
      <c r="L374" s="121">
        <v>0</v>
      </c>
      <c r="M374" s="121">
        <v>0</v>
      </c>
      <c r="N374" s="121">
        <v>0</v>
      </c>
      <c r="O374" s="121">
        <v>0</v>
      </c>
      <c r="P374" s="121">
        <v>0</v>
      </c>
      <c r="Q374" s="121">
        <v>0</v>
      </c>
      <c r="R374" s="121">
        <v>0</v>
      </c>
      <c r="S374" s="121">
        <v>0</v>
      </c>
      <c r="T374" s="121">
        <v>0</v>
      </c>
      <c r="U374" s="121">
        <v>0</v>
      </c>
      <c r="V374" s="121" t="s">
        <v>1119</v>
      </c>
      <c r="W374" s="121">
        <v>0</v>
      </c>
      <c r="X374" s="121">
        <v>0</v>
      </c>
      <c r="Y374" s="121">
        <v>0</v>
      </c>
      <c r="Z374" s="121">
        <v>0</v>
      </c>
      <c r="AA374" s="121">
        <v>0</v>
      </c>
      <c r="AB374" s="121">
        <v>0</v>
      </c>
      <c r="AC374" s="121">
        <v>0</v>
      </c>
      <c r="AD374" s="121">
        <v>0</v>
      </c>
      <c r="AE374" s="121">
        <v>0</v>
      </c>
      <c r="AF374" s="121">
        <v>0</v>
      </c>
      <c r="AG374" s="121">
        <v>0</v>
      </c>
      <c r="AH374" s="121">
        <v>0</v>
      </c>
      <c r="AI374" s="121">
        <v>0</v>
      </c>
      <c r="AL374" s="14">
        <f t="shared" si="30"/>
        <v>0</v>
      </c>
      <c r="AM374">
        <f t="shared" si="31"/>
        <v>0</v>
      </c>
      <c r="AN374">
        <f t="shared" si="32"/>
        <v>0</v>
      </c>
      <c r="AP374">
        <f>VLOOKUP($B374,Kraftvärmeprod!$B$1:$BX$549,MATCH(AP$1,Kraftvärmeprod!$B$1:$BX$1,0),FALSE)</f>
        <v>0</v>
      </c>
      <c r="AQ374">
        <f>VLOOKUP($B374,Kraftvärmeprod!$B$1:$BX$549,MATCH(AQ$1,Kraftvärmeprod!$B$1:$BX$1,0),FALSE)</f>
        <v>0</v>
      </c>
      <c r="AR374">
        <f>VLOOKUP($B374,Kraftvärmeprod!$B$1:$BX$549,MATCH("Summa tillförd energi exklusive rökgaskondensering",Kraftvärmeprod!$B$1:$BX$1,0),FALSE)</f>
        <v>0</v>
      </c>
      <c r="AT374" s="17" t="str">
        <f t="shared" si="33"/>
        <v/>
      </c>
      <c r="AV374">
        <f t="shared" si="34"/>
        <v>0</v>
      </c>
      <c r="BA374" s="17" t="str">
        <f t="shared" si="35"/>
        <v/>
      </c>
    </row>
    <row r="375" spans="1:53" x14ac:dyDescent="0.25">
      <c r="A375" s="137" t="s">
        <v>691</v>
      </c>
      <c r="B375" s="137" t="s">
        <v>693</v>
      </c>
      <c r="C375" s="121"/>
      <c r="D375" s="121"/>
      <c r="E375" s="121"/>
      <c r="F375" s="121"/>
      <c r="G375" s="121"/>
      <c r="H375" s="121"/>
      <c r="I375" s="121"/>
      <c r="J375" s="121">
        <v>0</v>
      </c>
      <c r="K375" s="121">
        <v>0</v>
      </c>
      <c r="L375" s="121">
        <v>0</v>
      </c>
      <c r="M375" s="121">
        <v>0</v>
      </c>
      <c r="N375" s="121">
        <v>0</v>
      </c>
      <c r="O375" s="121">
        <v>0</v>
      </c>
      <c r="P375" s="121">
        <v>0</v>
      </c>
      <c r="Q375" s="121">
        <v>0</v>
      </c>
      <c r="R375" s="121">
        <v>0</v>
      </c>
      <c r="S375" s="121">
        <v>0</v>
      </c>
      <c r="T375" s="121">
        <v>0</v>
      </c>
      <c r="U375" s="121">
        <v>0</v>
      </c>
      <c r="V375" s="121" t="s">
        <v>1119</v>
      </c>
      <c r="W375" s="121">
        <v>0</v>
      </c>
      <c r="X375" s="121">
        <v>0</v>
      </c>
      <c r="Y375" s="121">
        <v>0</v>
      </c>
      <c r="Z375" s="121">
        <v>0</v>
      </c>
      <c r="AA375" s="121">
        <v>0</v>
      </c>
      <c r="AB375" s="121">
        <v>0</v>
      </c>
      <c r="AC375" s="121">
        <v>0</v>
      </c>
      <c r="AD375" s="121">
        <v>0</v>
      </c>
      <c r="AE375" s="121">
        <v>0</v>
      </c>
      <c r="AF375" s="121">
        <v>0</v>
      </c>
      <c r="AG375" s="121">
        <v>0</v>
      </c>
      <c r="AH375" s="121">
        <v>0</v>
      </c>
      <c r="AI375" s="121">
        <v>0</v>
      </c>
      <c r="AL375" s="14">
        <f t="shared" si="30"/>
        <v>0</v>
      </c>
      <c r="AM375">
        <f t="shared" si="31"/>
        <v>0</v>
      </c>
      <c r="AN375">
        <f t="shared" si="32"/>
        <v>0</v>
      </c>
      <c r="AP375">
        <f>VLOOKUP($B375,Kraftvärmeprod!$B$1:$BX$549,MATCH(AP$1,Kraftvärmeprod!$B$1:$BX$1,0),FALSE)</f>
        <v>0</v>
      </c>
      <c r="AQ375">
        <f>VLOOKUP($B375,Kraftvärmeprod!$B$1:$BX$549,MATCH(AQ$1,Kraftvärmeprod!$B$1:$BX$1,0),FALSE)</f>
        <v>0</v>
      </c>
      <c r="AR375">
        <f>VLOOKUP($B375,Kraftvärmeprod!$B$1:$BX$549,MATCH("Summa tillförd energi exklusive rökgaskondensering",Kraftvärmeprod!$B$1:$BX$1,0),FALSE)</f>
        <v>0</v>
      </c>
      <c r="AT375" s="17" t="str">
        <f t="shared" si="33"/>
        <v/>
      </c>
      <c r="AV375">
        <f t="shared" si="34"/>
        <v>0</v>
      </c>
      <c r="BA375" s="17" t="str">
        <f t="shared" si="35"/>
        <v/>
      </c>
    </row>
    <row r="376" spans="1:53" x14ac:dyDescent="0.25">
      <c r="A376" s="137" t="s">
        <v>691</v>
      </c>
      <c r="B376" s="137" t="s">
        <v>694</v>
      </c>
      <c r="C376" s="121"/>
      <c r="D376" s="121"/>
      <c r="E376" s="121"/>
      <c r="F376" s="121"/>
      <c r="G376" s="121"/>
      <c r="H376" s="121"/>
      <c r="I376" s="121"/>
      <c r="J376" s="121">
        <v>0</v>
      </c>
      <c r="K376" s="121">
        <v>0</v>
      </c>
      <c r="L376" s="121">
        <v>0</v>
      </c>
      <c r="M376" s="121">
        <v>0</v>
      </c>
      <c r="N376" s="121">
        <v>0</v>
      </c>
      <c r="O376" s="121">
        <v>0</v>
      </c>
      <c r="P376" s="121">
        <v>0</v>
      </c>
      <c r="Q376" s="121">
        <v>0</v>
      </c>
      <c r="R376" s="121">
        <v>0</v>
      </c>
      <c r="S376" s="121">
        <v>0</v>
      </c>
      <c r="T376" s="121">
        <v>0</v>
      </c>
      <c r="U376" s="121">
        <v>0</v>
      </c>
      <c r="V376" s="121" t="s">
        <v>1119</v>
      </c>
      <c r="W376" s="121">
        <v>0</v>
      </c>
      <c r="X376" s="121">
        <v>0</v>
      </c>
      <c r="Y376" s="121">
        <v>0</v>
      </c>
      <c r="Z376" s="121">
        <v>0</v>
      </c>
      <c r="AA376" s="121">
        <v>0</v>
      </c>
      <c r="AB376" s="121">
        <v>0</v>
      </c>
      <c r="AC376" s="121">
        <v>0</v>
      </c>
      <c r="AD376" s="121">
        <v>0</v>
      </c>
      <c r="AE376" s="121">
        <v>0</v>
      </c>
      <c r="AF376" s="121">
        <v>0</v>
      </c>
      <c r="AG376" s="121">
        <v>0</v>
      </c>
      <c r="AH376" s="121">
        <v>0</v>
      </c>
      <c r="AI376" s="121">
        <v>0</v>
      </c>
      <c r="AL376" s="14">
        <f t="shared" si="30"/>
        <v>0</v>
      </c>
      <c r="AM376">
        <f t="shared" si="31"/>
        <v>0</v>
      </c>
      <c r="AN376">
        <f t="shared" si="32"/>
        <v>0</v>
      </c>
      <c r="AP376">
        <f>VLOOKUP($B376,Kraftvärmeprod!$B$1:$BX$549,MATCH(AP$1,Kraftvärmeprod!$B$1:$BX$1,0),FALSE)</f>
        <v>0</v>
      </c>
      <c r="AQ376">
        <f>VLOOKUP($B376,Kraftvärmeprod!$B$1:$BX$549,MATCH(AQ$1,Kraftvärmeprod!$B$1:$BX$1,0),FALSE)</f>
        <v>0</v>
      </c>
      <c r="AR376">
        <f>VLOOKUP($B376,Kraftvärmeprod!$B$1:$BX$549,MATCH("Summa tillförd energi exklusive rökgaskondensering",Kraftvärmeprod!$B$1:$BX$1,0),FALSE)</f>
        <v>0</v>
      </c>
      <c r="AT376" s="17" t="str">
        <f t="shared" si="33"/>
        <v/>
      </c>
      <c r="AV376">
        <f t="shared" si="34"/>
        <v>0</v>
      </c>
      <c r="BA376" s="17" t="str">
        <f t="shared" si="35"/>
        <v/>
      </c>
    </row>
    <row r="377" spans="1:53" x14ac:dyDescent="0.25">
      <c r="A377" s="137" t="s">
        <v>691</v>
      </c>
      <c r="B377" s="137" t="s">
        <v>695</v>
      </c>
      <c r="C377" s="121"/>
      <c r="D377" s="121"/>
      <c r="E377" s="121"/>
      <c r="F377" s="121"/>
      <c r="G377" s="121"/>
      <c r="H377" s="121"/>
      <c r="I377" s="121"/>
      <c r="J377" s="121">
        <v>0</v>
      </c>
      <c r="K377" s="121">
        <v>0</v>
      </c>
      <c r="L377" s="121">
        <v>0</v>
      </c>
      <c r="M377" s="121">
        <v>0</v>
      </c>
      <c r="N377" s="121">
        <v>0</v>
      </c>
      <c r="O377" s="121">
        <v>0</v>
      </c>
      <c r="P377" s="121">
        <v>0</v>
      </c>
      <c r="Q377" s="121">
        <v>0</v>
      </c>
      <c r="R377" s="121">
        <v>0</v>
      </c>
      <c r="S377" s="121">
        <v>0</v>
      </c>
      <c r="T377" s="121">
        <v>0</v>
      </c>
      <c r="U377" s="121">
        <v>0</v>
      </c>
      <c r="V377" s="121" t="s">
        <v>1119</v>
      </c>
      <c r="W377" s="121">
        <v>0</v>
      </c>
      <c r="X377" s="121">
        <v>0</v>
      </c>
      <c r="Y377" s="121">
        <v>0</v>
      </c>
      <c r="Z377" s="121">
        <v>0</v>
      </c>
      <c r="AA377" s="121">
        <v>0</v>
      </c>
      <c r="AB377" s="121">
        <v>0</v>
      </c>
      <c r="AC377" s="121">
        <v>0</v>
      </c>
      <c r="AD377" s="121">
        <v>0</v>
      </c>
      <c r="AE377" s="121">
        <v>0</v>
      </c>
      <c r="AF377" s="121">
        <v>0</v>
      </c>
      <c r="AG377" s="121">
        <v>0</v>
      </c>
      <c r="AH377" s="121">
        <v>0</v>
      </c>
      <c r="AI377" s="121">
        <v>0</v>
      </c>
      <c r="AL377" s="14">
        <f t="shared" si="30"/>
        <v>0</v>
      </c>
      <c r="AM377">
        <f t="shared" si="31"/>
        <v>0</v>
      </c>
      <c r="AN377">
        <f t="shared" si="32"/>
        <v>0</v>
      </c>
      <c r="AP377">
        <f>VLOOKUP($B377,Kraftvärmeprod!$B$1:$BX$549,MATCH(AP$1,Kraftvärmeprod!$B$1:$BX$1,0),FALSE)</f>
        <v>0</v>
      </c>
      <c r="AQ377">
        <f>VLOOKUP($B377,Kraftvärmeprod!$B$1:$BX$549,MATCH(AQ$1,Kraftvärmeprod!$B$1:$BX$1,0),FALSE)</f>
        <v>0</v>
      </c>
      <c r="AR377">
        <f>VLOOKUP($B377,Kraftvärmeprod!$B$1:$BX$549,MATCH("Summa tillförd energi exklusive rökgaskondensering",Kraftvärmeprod!$B$1:$BX$1,0),FALSE)</f>
        <v>0</v>
      </c>
      <c r="AT377" s="17" t="str">
        <f t="shared" si="33"/>
        <v/>
      </c>
      <c r="AV377">
        <f t="shared" si="34"/>
        <v>0</v>
      </c>
      <c r="BA377" s="17" t="str">
        <f t="shared" si="35"/>
        <v/>
      </c>
    </row>
    <row r="378" spans="1:53" x14ac:dyDescent="0.25">
      <c r="A378" s="137" t="s">
        <v>691</v>
      </c>
      <c r="B378" s="137" t="s">
        <v>696</v>
      </c>
      <c r="C378" s="121"/>
      <c r="D378" s="121"/>
      <c r="E378" s="121"/>
      <c r="F378" s="121"/>
      <c r="G378" s="121"/>
      <c r="H378" s="121"/>
      <c r="I378" s="121"/>
      <c r="J378" s="121">
        <v>0</v>
      </c>
      <c r="K378" s="121">
        <v>0</v>
      </c>
      <c r="L378" s="121">
        <v>0</v>
      </c>
      <c r="M378" s="121">
        <v>0</v>
      </c>
      <c r="N378" s="121">
        <v>0</v>
      </c>
      <c r="O378" s="121">
        <v>0</v>
      </c>
      <c r="P378" s="121">
        <v>0</v>
      </c>
      <c r="Q378" s="121">
        <v>0</v>
      </c>
      <c r="R378" s="121">
        <v>0</v>
      </c>
      <c r="S378" s="121">
        <v>0</v>
      </c>
      <c r="T378" s="121">
        <v>0</v>
      </c>
      <c r="U378" s="121">
        <v>0</v>
      </c>
      <c r="V378" s="121" t="s">
        <v>1119</v>
      </c>
      <c r="W378" s="121">
        <v>0</v>
      </c>
      <c r="X378" s="121">
        <v>0</v>
      </c>
      <c r="Y378" s="121">
        <v>0</v>
      </c>
      <c r="Z378" s="121">
        <v>0</v>
      </c>
      <c r="AA378" s="121">
        <v>0</v>
      </c>
      <c r="AB378" s="121">
        <v>0</v>
      </c>
      <c r="AC378" s="121">
        <v>0</v>
      </c>
      <c r="AD378" s="121">
        <v>0</v>
      </c>
      <c r="AE378" s="121">
        <v>0</v>
      </c>
      <c r="AF378" s="121">
        <v>0</v>
      </c>
      <c r="AG378" s="121">
        <v>0</v>
      </c>
      <c r="AH378" s="121">
        <v>0</v>
      </c>
      <c r="AI378" s="121">
        <v>0</v>
      </c>
      <c r="AL378" s="14">
        <f t="shared" si="30"/>
        <v>0</v>
      </c>
      <c r="AM378">
        <f t="shared" si="31"/>
        <v>0</v>
      </c>
      <c r="AN378">
        <f t="shared" si="32"/>
        <v>0</v>
      </c>
      <c r="AP378">
        <f>VLOOKUP($B378,Kraftvärmeprod!$B$1:$BX$549,MATCH(AP$1,Kraftvärmeprod!$B$1:$BX$1,0),FALSE)</f>
        <v>0</v>
      </c>
      <c r="AQ378">
        <f>VLOOKUP($B378,Kraftvärmeprod!$B$1:$BX$549,MATCH(AQ$1,Kraftvärmeprod!$B$1:$BX$1,0),FALSE)</f>
        <v>0</v>
      </c>
      <c r="AR378">
        <f>VLOOKUP($B378,Kraftvärmeprod!$B$1:$BX$549,MATCH("Summa tillförd energi exklusive rökgaskondensering",Kraftvärmeprod!$B$1:$BX$1,0),FALSE)</f>
        <v>0</v>
      </c>
      <c r="AT378" s="17" t="str">
        <f t="shared" si="33"/>
        <v/>
      </c>
      <c r="AV378">
        <f t="shared" si="34"/>
        <v>0</v>
      </c>
      <c r="BA378" s="17" t="str">
        <f t="shared" si="35"/>
        <v/>
      </c>
    </row>
    <row r="379" spans="1:53" x14ac:dyDescent="0.25">
      <c r="A379" s="137" t="s">
        <v>691</v>
      </c>
      <c r="B379" s="137" t="s">
        <v>697</v>
      </c>
      <c r="C379" s="121"/>
      <c r="D379" s="121"/>
      <c r="E379" s="121"/>
      <c r="F379" s="121"/>
      <c r="G379" s="121"/>
      <c r="H379" s="121"/>
      <c r="I379" s="121"/>
      <c r="J379" s="121">
        <v>0</v>
      </c>
      <c r="K379" s="121">
        <v>0</v>
      </c>
      <c r="L379" s="121">
        <v>0</v>
      </c>
      <c r="M379" s="121">
        <v>0</v>
      </c>
      <c r="N379" s="121">
        <v>0</v>
      </c>
      <c r="O379" s="121">
        <v>0</v>
      </c>
      <c r="P379" s="121">
        <v>23.308900000000001</v>
      </c>
      <c r="Q379" s="121">
        <v>23.680399999999999</v>
      </c>
      <c r="R379" s="121">
        <v>8.0004799999999996</v>
      </c>
      <c r="S379" s="121">
        <v>0</v>
      </c>
      <c r="T379" s="121">
        <v>0</v>
      </c>
      <c r="U379" s="121">
        <v>0</v>
      </c>
      <c r="V379" s="121" t="s">
        <v>1119</v>
      </c>
      <c r="W379" s="121">
        <v>0</v>
      </c>
      <c r="X379" s="121">
        <v>0</v>
      </c>
      <c r="Y379" s="121">
        <v>0</v>
      </c>
      <c r="Z379" s="121">
        <v>0</v>
      </c>
      <c r="AA379" s="121">
        <v>0</v>
      </c>
      <c r="AB379" s="121">
        <v>0</v>
      </c>
      <c r="AC379" s="121">
        <v>0</v>
      </c>
      <c r="AD379" s="121">
        <v>0</v>
      </c>
      <c r="AE379" s="121">
        <v>0</v>
      </c>
      <c r="AF379" s="121">
        <v>0</v>
      </c>
      <c r="AG379" s="121">
        <v>0</v>
      </c>
      <c r="AH379" s="121">
        <v>19.888000000000002</v>
      </c>
      <c r="AI379" s="121">
        <v>0</v>
      </c>
      <c r="AL379" s="14">
        <f t="shared" si="30"/>
        <v>74.877780000000001</v>
      </c>
      <c r="AM379">
        <f t="shared" si="31"/>
        <v>74.877780000000001</v>
      </c>
      <c r="AN379">
        <f t="shared" si="32"/>
        <v>54.989779999999996</v>
      </c>
      <c r="AP379">
        <f>VLOOKUP($B379,Kraftvärmeprod!$B$1:$BX$549,MATCH(AP$1,Kraftvärmeprod!$B$1:$BX$1,0),FALSE)</f>
        <v>61.027000000000001</v>
      </c>
      <c r="AQ379">
        <f>VLOOKUP($B379,Kraftvärmeprod!$B$1:$BX$549,MATCH(AQ$1,Kraftvärmeprod!$B$1:$BX$1,0),FALSE)</f>
        <v>15.096</v>
      </c>
      <c r="AR379">
        <f>VLOOKUP($B379,Kraftvärmeprod!$B$1:$BX$549,MATCH("Summa tillförd energi exklusive rökgaskondensering",Kraftvärmeprod!$B$1:$BX$1,0),FALSE)</f>
        <v>90.439000000000007</v>
      </c>
      <c r="AT379" s="17">
        <f t="shared" si="33"/>
        <v>0.60803171198266226</v>
      </c>
      <c r="AV379">
        <f t="shared" si="34"/>
        <v>54.989779999999996</v>
      </c>
      <c r="BA379" s="17">
        <f t="shared" si="35"/>
        <v>1.109788036977053</v>
      </c>
    </row>
    <row r="380" spans="1:53" x14ac:dyDescent="0.25">
      <c r="A380" s="137" t="s">
        <v>698</v>
      </c>
      <c r="B380" s="137" t="s">
        <v>699</v>
      </c>
      <c r="C380" s="121"/>
      <c r="D380" s="121"/>
      <c r="E380" s="121"/>
      <c r="F380" s="121"/>
      <c r="G380" s="121"/>
      <c r="H380" s="121"/>
      <c r="I380" s="121"/>
      <c r="J380" s="121">
        <v>0</v>
      </c>
      <c r="K380" s="121">
        <v>0</v>
      </c>
      <c r="L380" s="121">
        <v>0</v>
      </c>
      <c r="M380" s="121">
        <v>0</v>
      </c>
      <c r="N380" s="121">
        <v>0</v>
      </c>
      <c r="O380" s="121">
        <v>0</v>
      </c>
      <c r="P380" s="121">
        <v>0</v>
      </c>
      <c r="Q380" s="121">
        <v>0</v>
      </c>
      <c r="R380" s="121">
        <v>0</v>
      </c>
      <c r="S380" s="121">
        <v>0</v>
      </c>
      <c r="T380" s="121">
        <v>0</v>
      </c>
      <c r="U380" s="121">
        <v>0</v>
      </c>
      <c r="V380" s="121" t="s">
        <v>1119</v>
      </c>
      <c r="W380" s="121">
        <v>0</v>
      </c>
      <c r="X380" s="121">
        <v>0</v>
      </c>
      <c r="Y380" s="121">
        <v>0</v>
      </c>
      <c r="Z380" s="121">
        <v>0</v>
      </c>
      <c r="AA380" s="121">
        <v>0</v>
      </c>
      <c r="AB380" s="121">
        <v>0</v>
      </c>
      <c r="AC380" s="121">
        <v>0</v>
      </c>
      <c r="AD380" s="121">
        <v>0</v>
      </c>
      <c r="AE380" s="121">
        <v>0</v>
      </c>
      <c r="AF380" s="121">
        <v>0</v>
      </c>
      <c r="AG380" s="121">
        <v>0</v>
      </c>
      <c r="AH380" s="121">
        <v>0</v>
      </c>
      <c r="AI380" s="121">
        <v>0</v>
      </c>
      <c r="AL380" s="14">
        <f t="shared" si="30"/>
        <v>0</v>
      </c>
      <c r="AM380">
        <f t="shared" si="31"/>
        <v>0</v>
      </c>
      <c r="AN380">
        <f t="shared" si="32"/>
        <v>0</v>
      </c>
      <c r="AP380">
        <f>VLOOKUP($B380,Kraftvärmeprod!$B$1:$BX$549,MATCH(AP$1,Kraftvärmeprod!$B$1:$BX$1,0),FALSE)</f>
        <v>0</v>
      </c>
      <c r="AQ380">
        <f>VLOOKUP($B380,Kraftvärmeprod!$B$1:$BX$549,MATCH(AQ$1,Kraftvärmeprod!$B$1:$BX$1,0),FALSE)</f>
        <v>0</v>
      </c>
      <c r="AR380">
        <f>VLOOKUP($B380,Kraftvärmeprod!$B$1:$BX$549,MATCH("Summa tillförd energi exklusive rökgaskondensering",Kraftvärmeprod!$B$1:$BX$1,0),FALSE)</f>
        <v>0</v>
      </c>
      <c r="AT380" s="17" t="str">
        <f t="shared" si="33"/>
        <v/>
      </c>
      <c r="AV380">
        <f t="shared" si="34"/>
        <v>0</v>
      </c>
      <c r="BA380" s="17" t="str">
        <f t="shared" si="35"/>
        <v/>
      </c>
    </row>
    <row r="381" spans="1:53" x14ac:dyDescent="0.25">
      <c r="A381" s="137" t="s">
        <v>698</v>
      </c>
      <c r="B381" s="137" t="s">
        <v>700</v>
      </c>
      <c r="C381" s="121"/>
      <c r="D381" s="121"/>
      <c r="E381" s="121"/>
      <c r="F381" s="121"/>
      <c r="G381" s="121"/>
      <c r="H381" s="121"/>
      <c r="I381" s="121"/>
      <c r="J381" s="121">
        <v>0</v>
      </c>
      <c r="K381" s="121">
        <v>0</v>
      </c>
      <c r="L381" s="121">
        <v>0</v>
      </c>
      <c r="M381" s="121">
        <v>0</v>
      </c>
      <c r="N381" s="121">
        <v>0</v>
      </c>
      <c r="O381" s="121">
        <v>0</v>
      </c>
      <c r="P381" s="121">
        <v>0</v>
      </c>
      <c r="Q381" s="121">
        <v>0</v>
      </c>
      <c r="R381" s="121">
        <v>0</v>
      </c>
      <c r="S381" s="121">
        <v>0</v>
      </c>
      <c r="T381" s="121">
        <v>0</v>
      </c>
      <c r="U381" s="121">
        <v>0</v>
      </c>
      <c r="V381" s="121" t="s">
        <v>1119</v>
      </c>
      <c r="W381" s="121">
        <v>0</v>
      </c>
      <c r="X381" s="121">
        <v>0</v>
      </c>
      <c r="Y381" s="121">
        <v>0</v>
      </c>
      <c r="Z381" s="121">
        <v>0</v>
      </c>
      <c r="AA381" s="121">
        <v>0</v>
      </c>
      <c r="AB381" s="121">
        <v>0</v>
      </c>
      <c r="AC381" s="121">
        <v>0</v>
      </c>
      <c r="AD381" s="121">
        <v>0</v>
      </c>
      <c r="AE381" s="121">
        <v>0</v>
      </c>
      <c r="AF381" s="121">
        <v>0</v>
      </c>
      <c r="AG381" s="121">
        <v>0</v>
      </c>
      <c r="AH381" s="121">
        <v>0</v>
      </c>
      <c r="AI381" s="121">
        <v>0</v>
      </c>
      <c r="AL381" s="14">
        <f t="shared" si="30"/>
        <v>0</v>
      </c>
      <c r="AM381">
        <f t="shared" si="31"/>
        <v>0</v>
      </c>
      <c r="AN381">
        <f t="shared" si="32"/>
        <v>0</v>
      </c>
      <c r="AP381">
        <f>VLOOKUP($B381,Kraftvärmeprod!$B$1:$BX$549,MATCH(AP$1,Kraftvärmeprod!$B$1:$BX$1,0),FALSE)</f>
        <v>0</v>
      </c>
      <c r="AQ381">
        <f>VLOOKUP($B381,Kraftvärmeprod!$B$1:$BX$549,MATCH(AQ$1,Kraftvärmeprod!$B$1:$BX$1,0),FALSE)</f>
        <v>0</v>
      </c>
      <c r="AR381">
        <f>VLOOKUP($B381,Kraftvärmeprod!$B$1:$BX$549,MATCH("Summa tillförd energi exklusive rökgaskondensering",Kraftvärmeprod!$B$1:$BX$1,0),FALSE)</f>
        <v>0</v>
      </c>
      <c r="AT381" s="17" t="str">
        <f t="shared" si="33"/>
        <v/>
      </c>
      <c r="AV381">
        <f t="shared" si="34"/>
        <v>0</v>
      </c>
      <c r="BA381" s="17" t="str">
        <f t="shared" si="35"/>
        <v/>
      </c>
    </row>
    <row r="382" spans="1:53" x14ac:dyDescent="0.25">
      <c r="A382" s="137" t="s">
        <v>698</v>
      </c>
      <c r="B382" s="137" t="s">
        <v>701</v>
      </c>
      <c r="C382" s="121"/>
      <c r="D382" s="121"/>
      <c r="E382" s="121"/>
      <c r="F382" s="121"/>
      <c r="G382" s="121"/>
      <c r="H382" s="121"/>
      <c r="I382" s="121"/>
      <c r="J382" s="121">
        <v>0</v>
      </c>
      <c r="K382" s="121">
        <v>0</v>
      </c>
      <c r="L382" s="121">
        <v>0</v>
      </c>
      <c r="M382" s="121">
        <v>0</v>
      </c>
      <c r="N382" s="121">
        <v>0</v>
      </c>
      <c r="O382" s="121">
        <v>0</v>
      </c>
      <c r="P382" s="121">
        <v>0</v>
      </c>
      <c r="Q382" s="121">
        <v>0</v>
      </c>
      <c r="R382" s="121">
        <v>0</v>
      </c>
      <c r="S382" s="121">
        <v>0</v>
      </c>
      <c r="T382" s="121">
        <v>0</v>
      </c>
      <c r="U382" s="121">
        <v>0</v>
      </c>
      <c r="V382" s="121" t="s">
        <v>1119</v>
      </c>
      <c r="W382" s="121">
        <v>0</v>
      </c>
      <c r="X382" s="121">
        <v>0</v>
      </c>
      <c r="Y382" s="121">
        <v>0</v>
      </c>
      <c r="Z382" s="121">
        <v>0</v>
      </c>
      <c r="AA382" s="121">
        <v>0</v>
      </c>
      <c r="AB382" s="121">
        <v>0</v>
      </c>
      <c r="AC382" s="121">
        <v>0</v>
      </c>
      <c r="AD382" s="121">
        <v>0</v>
      </c>
      <c r="AE382" s="121">
        <v>0</v>
      </c>
      <c r="AF382" s="121">
        <v>0</v>
      </c>
      <c r="AG382" s="121">
        <v>0</v>
      </c>
      <c r="AH382" s="121">
        <v>0</v>
      </c>
      <c r="AI382" s="121">
        <v>0</v>
      </c>
      <c r="AL382" s="14">
        <f t="shared" si="30"/>
        <v>0</v>
      </c>
      <c r="AM382">
        <f t="shared" si="31"/>
        <v>0</v>
      </c>
      <c r="AN382">
        <f t="shared" si="32"/>
        <v>0</v>
      </c>
      <c r="AP382">
        <f>VLOOKUP($B382,Kraftvärmeprod!$B$1:$BX$549,MATCH(AP$1,Kraftvärmeprod!$B$1:$BX$1,0),FALSE)</f>
        <v>0</v>
      </c>
      <c r="AQ382">
        <f>VLOOKUP($B382,Kraftvärmeprod!$B$1:$BX$549,MATCH(AQ$1,Kraftvärmeprod!$B$1:$BX$1,0),FALSE)</f>
        <v>0</v>
      </c>
      <c r="AR382">
        <f>VLOOKUP($B382,Kraftvärmeprod!$B$1:$BX$549,MATCH("Summa tillförd energi exklusive rökgaskondensering",Kraftvärmeprod!$B$1:$BX$1,0),FALSE)</f>
        <v>0</v>
      </c>
      <c r="AT382" s="17" t="str">
        <f t="shared" si="33"/>
        <v/>
      </c>
      <c r="AV382">
        <f t="shared" si="34"/>
        <v>0</v>
      </c>
      <c r="BA382" s="17" t="str">
        <f t="shared" si="35"/>
        <v/>
      </c>
    </row>
    <row r="383" spans="1:53" x14ac:dyDescent="0.25">
      <c r="A383" s="137" t="s">
        <v>698</v>
      </c>
      <c r="B383" s="137" t="s">
        <v>702</v>
      </c>
      <c r="C383" s="121"/>
      <c r="D383" s="121"/>
      <c r="E383" s="121"/>
      <c r="F383" s="121"/>
      <c r="G383" s="121"/>
      <c r="H383" s="121"/>
      <c r="I383" s="121"/>
      <c r="J383" s="121">
        <v>0</v>
      </c>
      <c r="K383" s="121">
        <v>0</v>
      </c>
      <c r="L383" s="121">
        <v>0</v>
      </c>
      <c r="M383" s="121">
        <v>0</v>
      </c>
      <c r="N383" s="121">
        <v>0</v>
      </c>
      <c r="O383" s="121">
        <v>0</v>
      </c>
      <c r="P383" s="121">
        <v>0</v>
      </c>
      <c r="Q383" s="121">
        <v>0</v>
      </c>
      <c r="R383" s="121">
        <v>0</v>
      </c>
      <c r="S383" s="121">
        <v>0</v>
      </c>
      <c r="T383" s="121">
        <v>0</v>
      </c>
      <c r="U383" s="121">
        <v>0</v>
      </c>
      <c r="V383" s="121" t="s">
        <v>1119</v>
      </c>
      <c r="W383" s="121">
        <v>0</v>
      </c>
      <c r="X383" s="121">
        <v>0</v>
      </c>
      <c r="Y383" s="121">
        <v>0</v>
      </c>
      <c r="Z383" s="121">
        <v>0</v>
      </c>
      <c r="AA383" s="121">
        <v>0</v>
      </c>
      <c r="AB383" s="121">
        <v>0</v>
      </c>
      <c r="AC383" s="121">
        <v>0</v>
      </c>
      <c r="AD383" s="121">
        <v>0</v>
      </c>
      <c r="AE383" s="121">
        <v>0</v>
      </c>
      <c r="AF383" s="121">
        <v>0</v>
      </c>
      <c r="AG383" s="121">
        <v>0</v>
      </c>
      <c r="AH383" s="121">
        <v>0</v>
      </c>
      <c r="AI383" s="121">
        <v>0</v>
      </c>
      <c r="AL383" s="14">
        <f t="shared" si="30"/>
        <v>0</v>
      </c>
      <c r="AM383">
        <f t="shared" si="31"/>
        <v>0</v>
      </c>
      <c r="AN383">
        <f t="shared" si="32"/>
        <v>0</v>
      </c>
      <c r="AP383">
        <f>VLOOKUP($B383,Kraftvärmeprod!$B$1:$BX$549,MATCH(AP$1,Kraftvärmeprod!$B$1:$BX$1,0),FALSE)</f>
        <v>0</v>
      </c>
      <c r="AQ383">
        <f>VLOOKUP($B383,Kraftvärmeprod!$B$1:$BX$549,MATCH(AQ$1,Kraftvärmeprod!$B$1:$BX$1,0),FALSE)</f>
        <v>0</v>
      </c>
      <c r="AR383">
        <f>VLOOKUP($B383,Kraftvärmeprod!$B$1:$BX$549,MATCH("Summa tillförd energi exklusive rökgaskondensering",Kraftvärmeprod!$B$1:$BX$1,0),FALSE)</f>
        <v>0</v>
      </c>
      <c r="AT383" s="17" t="str">
        <f t="shared" si="33"/>
        <v/>
      </c>
      <c r="AV383">
        <f t="shared" si="34"/>
        <v>0</v>
      </c>
      <c r="BA383" s="17" t="str">
        <f t="shared" si="35"/>
        <v/>
      </c>
    </row>
    <row r="384" spans="1:53" x14ac:dyDescent="0.25">
      <c r="A384" s="137" t="s">
        <v>703</v>
      </c>
      <c r="B384" s="137" t="s">
        <v>704</v>
      </c>
      <c r="C384" s="121"/>
      <c r="D384" s="121"/>
      <c r="E384" s="121"/>
      <c r="F384" s="121"/>
      <c r="G384" s="121"/>
      <c r="H384" s="121"/>
      <c r="I384" s="121"/>
      <c r="J384" s="121">
        <v>0</v>
      </c>
      <c r="K384" s="121">
        <v>0</v>
      </c>
      <c r="L384" s="121">
        <v>0</v>
      </c>
      <c r="M384" s="121">
        <v>0</v>
      </c>
      <c r="N384" s="121">
        <v>0</v>
      </c>
      <c r="O384" s="121">
        <v>0</v>
      </c>
      <c r="P384" s="121">
        <v>0</v>
      </c>
      <c r="Q384" s="121">
        <v>0</v>
      </c>
      <c r="R384" s="121">
        <v>0</v>
      </c>
      <c r="S384" s="121">
        <v>0</v>
      </c>
      <c r="T384" s="121">
        <v>0</v>
      </c>
      <c r="U384" s="121">
        <v>0</v>
      </c>
      <c r="V384" s="121" t="s">
        <v>1119</v>
      </c>
      <c r="W384" s="121">
        <v>0</v>
      </c>
      <c r="X384" s="121">
        <v>0</v>
      </c>
      <c r="Y384" s="121">
        <v>0</v>
      </c>
      <c r="Z384" s="121">
        <v>0</v>
      </c>
      <c r="AA384" s="121">
        <v>0</v>
      </c>
      <c r="AB384" s="121">
        <v>0</v>
      </c>
      <c r="AC384" s="121">
        <v>0</v>
      </c>
      <c r="AD384" s="121">
        <v>0</v>
      </c>
      <c r="AE384" s="121">
        <v>0</v>
      </c>
      <c r="AF384" s="121">
        <v>0</v>
      </c>
      <c r="AG384" s="121">
        <v>0</v>
      </c>
      <c r="AH384" s="121">
        <v>0</v>
      </c>
      <c r="AI384" s="121">
        <v>0</v>
      </c>
      <c r="AL384" s="14">
        <f t="shared" si="30"/>
        <v>0</v>
      </c>
      <c r="AM384">
        <f t="shared" si="31"/>
        <v>0</v>
      </c>
      <c r="AN384">
        <f t="shared" si="32"/>
        <v>0</v>
      </c>
      <c r="AP384">
        <f>VLOOKUP($B384,Kraftvärmeprod!$B$1:$BX$549,MATCH(AP$1,Kraftvärmeprod!$B$1:$BX$1,0),FALSE)</f>
        <v>0</v>
      </c>
      <c r="AQ384">
        <f>VLOOKUP($B384,Kraftvärmeprod!$B$1:$BX$549,MATCH(AQ$1,Kraftvärmeprod!$B$1:$BX$1,0),FALSE)</f>
        <v>0</v>
      </c>
      <c r="AR384">
        <f>VLOOKUP($B384,Kraftvärmeprod!$B$1:$BX$549,MATCH("Summa tillförd energi exklusive rökgaskondensering",Kraftvärmeprod!$B$1:$BX$1,0),FALSE)</f>
        <v>0</v>
      </c>
      <c r="AT384" s="17" t="str">
        <f t="shared" si="33"/>
        <v/>
      </c>
      <c r="AV384">
        <f t="shared" si="34"/>
        <v>0</v>
      </c>
      <c r="BA384" s="17" t="str">
        <f t="shared" si="35"/>
        <v/>
      </c>
    </row>
    <row r="385" spans="1:53" x14ac:dyDescent="0.25">
      <c r="A385" s="137" t="s">
        <v>703</v>
      </c>
      <c r="B385" s="137" t="s">
        <v>705</v>
      </c>
      <c r="C385" s="121"/>
      <c r="D385" s="121"/>
      <c r="E385" s="121"/>
      <c r="F385" s="121"/>
      <c r="G385" s="121"/>
      <c r="H385" s="121"/>
      <c r="I385" s="121"/>
      <c r="J385" s="121">
        <v>0</v>
      </c>
      <c r="K385" s="121">
        <v>0</v>
      </c>
      <c r="L385" s="121">
        <v>0</v>
      </c>
      <c r="M385" s="121">
        <v>0</v>
      </c>
      <c r="N385" s="121">
        <v>0</v>
      </c>
      <c r="O385" s="121">
        <v>0</v>
      </c>
      <c r="P385" s="121">
        <v>0</v>
      </c>
      <c r="Q385" s="121">
        <v>0</v>
      </c>
      <c r="R385" s="121">
        <v>0</v>
      </c>
      <c r="S385" s="121">
        <v>0</v>
      </c>
      <c r="T385" s="121">
        <v>0</v>
      </c>
      <c r="U385" s="121">
        <v>0</v>
      </c>
      <c r="V385" s="121" t="s">
        <v>1119</v>
      </c>
      <c r="W385" s="121">
        <v>0</v>
      </c>
      <c r="X385" s="121">
        <v>0</v>
      </c>
      <c r="Y385" s="121">
        <v>0</v>
      </c>
      <c r="Z385" s="121">
        <v>0</v>
      </c>
      <c r="AA385" s="121">
        <v>0</v>
      </c>
      <c r="AB385" s="121">
        <v>0</v>
      </c>
      <c r="AC385" s="121">
        <v>0</v>
      </c>
      <c r="AD385" s="121">
        <v>0</v>
      </c>
      <c r="AE385" s="121">
        <v>0</v>
      </c>
      <c r="AF385" s="121">
        <v>0</v>
      </c>
      <c r="AG385" s="121">
        <v>0</v>
      </c>
      <c r="AH385" s="121">
        <v>0</v>
      </c>
      <c r="AI385" s="121">
        <v>0</v>
      </c>
      <c r="AL385" s="14">
        <f t="shared" si="30"/>
        <v>0</v>
      </c>
      <c r="AM385">
        <f t="shared" si="31"/>
        <v>0</v>
      </c>
      <c r="AN385">
        <f t="shared" si="32"/>
        <v>0</v>
      </c>
      <c r="AP385">
        <f>VLOOKUP($B385,Kraftvärmeprod!$B$1:$BX$549,MATCH(AP$1,Kraftvärmeprod!$B$1:$BX$1,0),FALSE)</f>
        <v>0</v>
      </c>
      <c r="AQ385">
        <f>VLOOKUP($B385,Kraftvärmeprod!$B$1:$BX$549,MATCH(AQ$1,Kraftvärmeprod!$B$1:$BX$1,0),FALSE)</f>
        <v>0</v>
      </c>
      <c r="AR385">
        <f>VLOOKUP($B385,Kraftvärmeprod!$B$1:$BX$549,MATCH("Summa tillförd energi exklusive rökgaskondensering",Kraftvärmeprod!$B$1:$BX$1,0),FALSE)</f>
        <v>0</v>
      </c>
      <c r="AT385" s="17" t="str">
        <f t="shared" si="33"/>
        <v/>
      </c>
      <c r="AV385">
        <f t="shared" si="34"/>
        <v>0</v>
      </c>
      <c r="BA385" s="17" t="str">
        <f t="shared" si="35"/>
        <v/>
      </c>
    </row>
    <row r="386" spans="1:53" x14ac:dyDescent="0.25">
      <c r="A386" s="137" t="s">
        <v>703</v>
      </c>
      <c r="B386" s="137" t="s">
        <v>706</v>
      </c>
      <c r="C386" s="121"/>
      <c r="D386" s="121"/>
      <c r="E386" s="121"/>
      <c r="F386" s="121"/>
      <c r="G386" s="121"/>
      <c r="H386" s="121"/>
      <c r="I386" s="121"/>
      <c r="J386" s="121">
        <v>0</v>
      </c>
      <c r="K386" s="121">
        <v>0.81610700000000003</v>
      </c>
      <c r="L386" s="121">
        <v>0</v>
      </c>
      <c r="M386" s="121">
        <v>0</v>
      </c>
      <c r="N386" s="121">
        <v>0</v>
      </c>
      <c r="O386" s="121">
        <v>0</v>
      </c>
      <c r="P386" s="121">
        <v>0</v>
      </c>
      <c r="Q386" s="121">
        <v>0</v>
      </c>
      <c r="R386" s="121">
        <v>0</v>
      </c>
      <c r="S386" s="121">
        <v>0</v>
      </c>
      <c r="T386" s="121">
        <v>0</v>
      </c>
      <c r="U386" s="121">
        <v>0</v>
      </c>
      <c r="V386" s="121" t="s">
        <v>1119</v>
      </c>
      <c r="W386" s="121">
        <v>0</v>
      </c>
      <c r="X386" s="121">
        <v>0</v>
      </c>
      <c r="Y386" s="121">
        <v>0</v>
      </c>
      <c r="Z386" s="121">
        <v>0</v>
      </c>
      <c r="AA386" s="121">
        <v>0</v>
      </c>
      <c r="AB386" s="121">
        <v>0</v>
      </c>
      <c r="AC386" s="121">
        <v>0</v>
      </c>
      <c r="AD386" s="121">
        <v>0</v>
      </c>
      <c r="AE386" s="121">
        <v>71.981999999999999</v>
      </c>
      <c r="AF386" s="121">
        <v>0</v>
      </c>
      <c r="AG386" s="121">
        <v>0</v>
      </c>
      <c r="AH386" s="121">
        <v>2.528</v>
      </c>
      <c r="AI386" s="121">
        <v>1.4877499999999999</v>
      </c>
      <c r="AL386" s="14">
        <f t="shared" ref="AL386:AL414" si="36">SUM(J386:U386,W386:AI386)</f>
        <v>76.813857000000013</v>
      </c>
      <c r="AM386">
        <f t="shared" ref="AM386:AM414" si="37">AL386-IFERROR(AI386/1,0)</f>
        <v>75.326107000000007</v>
      </c>
      <c r="AN386">
        <f t="shared" ref="AN386:AN414" si="38">AM386-IFERROR(AH386/1,0)</f>
        <v>72.798107000000002</v>
      </c>
      <c r="AP386">
        <f>VLOOKUP($B386,Kraftvärmeprod!$B$1:$BX$549,MATCH(AP$1,Kraftvärmeprod!$B$1:$BX$1,0),FALSE)</f>
        <v>62.24</v>
      </c>
      <c r="AQ386">
        <f>VLOOKUP($B386,Kraftvärmeprod!$B$1:$BX$549,MATCH(AQ$1,Kraftvärmeprod!$B$1:$BX$1,0),FALSE)</f>
        <v>12.212</v>
      </c>
      <c r="AR386">
        <f>VLOOKUP($B386,Kraftvärmeprod!$B$1:$BX$549,MATCH("Summa tillförd energi exklusive rökgaskondensering",Kraftvärmeprod!$B$1:$BX$1,0),FALSE)</f>
        <v>118.31700000000001</v>
      </c>
      <c r="AT386" s="17">
        <f t="shared" ref="AT386:AT414" si="39">IF(AN386=0,"",AN386/AR386)</f>
        <v>0.61528019642147791</v>
      </c>
      <c r="AV386">
        <f t="shared" ref="AV386:AV414" si="40">Q386+R386+S386+T386+U386+P386+X386+Y386+Z386+AA386+AB386+AC386+W386</f>
        <v>0</v>
      </c>
      <c r="BA386" s="17">
        <f t="shared" ref="BA386:BA414" si="41">IFERROR(AP386/(AN386+AI386),"")</f>
        <v>0.83784454421788523</v>
      </c>
    </row>
    <row r="387" spans="1:53" x14ac:dyDescent="0.25">
      <c r="A387" s="137" t="s">
        <v>707</v>
      </c>
      <c r="B387" s="137" t="s">
        <v>708</v>
      </c>
      <c r="C387" s="121"/>
      <c r="D387" s="121"/>
      <c r="E387" s="121"/>
      <c r="F387" s="121"/>
      <c r="G387" s="121"/>
      <c r="H387" s="121"/>
      <c r="I387" s="121"/>
      <c r="J387" s="121">
        <v>0</v>
      </c>
      <c r="K387" s="121">
        <v>0</v>
      </c>
      <c r="L387" s="121">
        <v>0</v>
      </c>
      <c r="M387" s="121">
        <v>0</v>
      </c>
      <c r="N387" s="121">
        <v>0</v>
      </c>
      <c r="O387" s="121">
        <v>0</v>
      </c>
      <c r="P387" s="121">
        <v>0</v>
      </c>
      <c r="Q387" s="121">
        <v>0</v>
      </c>
      <c r="R387" s="121">
        <v>0</v>
      </c>
      <c r="S387" s="121">
        <v>0</v>
      </c>
      <c r="T387" s="121">
        <v>0</v>
      </c>
      <c r="U387" s="121">
        <v>0</v>
      </c>
      <c r="V387" s="121" t="s">
        <v>1119</v>
      </c>
      <c r="W387" s="121">
        <v>0</v>
      </c>
      <c r="X387" s="121">
        <v>0</v>
      </c>
      <c r="Y387" s="121">
        <v>0</v>
      </c>
      <c r="Z387" s="121">
        <v>0</v>
      </c>
      <c r="AA387" s="121">
        <v>0</v>
      </c>
      <c r="AB387" s="121">
        <v>0</v>
      </c>
      <c r="AC387" s="121">
        <v>0</v>
      </c>
      <c r="AD387" s="121">
        <v>0</v>
      </c>
      <c r="AE387" s="121">
        <v>0</v>
      </c>
      <c r="AF387" s="121">
        <v>0</v>
      </c>
      <c r="AG387" s="121">
        <v>0</v>
      </c>
      <c r="AH387" s="121">
        <v>0</v>
      </c>
      <c r="AI387" s="121">
        <v>0</v>
      </c>
      <c r="AL387" s="14">
        <f t="shared" si="36"/>
        <v>0</v>
      </c>
      <c r="AM387">
        <f t="shared" si="37"/>
        <v>0</v>
      </c>
      <c r="AN387">
        <f t="shared" si="38"/>
        <v>0</v>
      </c>
      <c r="AP387">
        <f>VLOOKUP($B387,Kraftvärmeprod!$B$1:$BX$549,MATCH(AP$1,Kraftvärmeprod!$B$1:$BX$1,0),FALSE)</f>
        <v>0</v>
      </c>
      <c r="AQ387">
        <f>VLOOKUP($B387,Kraftvärmeprod!$B$1:$BX$549,MATCH(AQ$1,Kraftvärmeprod!$B$1:$BX$1,0),FALSE)</f>
        <v>0</v>
      </c>
      <c r="AR387">
        <f>VLOOKUP($B387,Kraftvärmeprod!$B$1:$BX$549,MATCH("Summa tillförd energi exklusive rökgaskondensering",Kraftvärmeprod!$B$1:$BX$1,0),FALSE)</f>
        <v>0</v>
      </c>
      <c r="AT387" s="17" t="str">
        <f t="shared" si="39"/>
        <v/>
      </c>
      <c r="AV387">
        <f t="shared" si="40"/>
        <v>0</v>
      </c>
      <c r="BA387" s="17" t="str">
        <f t="shared" si="41"/>
        <v/>
      </c>
    </row>
    <row r="388" spans="1:53" x14ac:dyDescent="0.25">
      <c r="A388" s="137" t="s">
        <v>707</v>
      </c>
      <c r="B388" s="137" t="s">
        <v>709</v>
      </c>
      <c r="C388" s="121"/>
      <c r="D388" s="121"/>
      <c r="E388" s="121"/>
      <c r="F388" s="121"/>
      <c r="G388" s="121"/>
      <c r="H388" s="121"/>
      <c r="I388" s="121"/>
      <c r="J388" s="121">
        <v>0</v>
      </c>
      <c r="K388" s="121">
        <v>0</v>
      </c>
      <c r="L388" s="121">
        <v>0</v>
      </c>
      <c r="M388" s="121">
        <v>0</v>
      </c>
      <c r="N388" s="121">
        <v>0</v>
      </c>
      <c r="O388" s="121">
        <v>0</v>
      </c>
      <c r="P388" s="121">
        <v>0</v>
      </c>
      <c r="Q388" s="121">
        <v>0</v>
      </c>
      <c r="R388" s="121">
        <v>0</v>
      </c>
      <c r="S388" s="121">
        <v>0</v>
      </c>
      <c r="T388" s="121">
        <v>0</v>
      </c>
      <c r="U388" s="121">
        <v>0</v>
      </c>
      <c r="V388" s="121" t="s">
        <v>1119</v>
      </c>
      <c r="W388" s="121">
        <v>0</v>
      </c>
      <c r="X388" s="121">
        <v>0</v>
      </c>
      <c r="Y388" s="121">
        <v>0</v>
      </c>
      <c r="Z388" s="121">
        <v>0</v>
      </c>
      <c r="AA388" s="121">
        <v>0</v>
      </c>
      <c r="AB388" s="121">
        <v>0</v>
      </c>
      <c r="AC388" s="121">
        <v>0</v>
      </c>
      <c r="AD388" s="121">
        <v>0</v>
      </c>
      <c r="AE388" s="121">
        <v>0</v>
      </c>
      <c r="AF388" s="121">
        <v>0</v>
      </c>
      <c r="AG388" s="121">
        <v>0</v>
      </c>
      <c r="AH388" s="121">
        <v>0</v>
      </c>
      <c r="AI388" s="121">
        <v>0</v>
      </c>
      <c r="AL388" s="14">
        <f t="shared" si="36"/>
        <v>0</v>
      </c>
      <c r="AM388">
        <f t="shared" si="37"/>
        <v>0</v>
      </c>
      <c r="AN388">
        <f t="shared" si="38"/>
        <v>0</v>
      </c>
      <c r="AP388">
        <f>VLOOKUP($B388,Kraftvärmeprod!$B$1:$BX$549,MATCH(AP$1,Kraftvärmeprod!$B$1:$BX$1,0),FALSE)</f>
        <v>0</v>
      </c>
      <c r="AQ388">
        <f>VLOOKUP($B388,Kraftvärmeprod!$B$1:$BX$549,MATCH(AQ$1,Kraftvärmeprod!$B$1:$BX$1,0),FALSE)</f>
        <v>0</v>
      </c>
      <c r="AR388">
        <f>VLOOKUP($B388,Kraftvärmeprod!$B$1:$BX$549,MATCH("Summa tillförd energi exklusive rökgaskondensering",Kraftvärmeprod!$B$1:$BX$1,0),FALSE)</f>
        <v>0</v>
      </c>
      <c r="AT388" s="17" t="str">
        <f t="shared" si="39"/>
        <v/>
      </c>
      <c r="AV388">
        <f t="shared" si="40"/>
        <v>0</v>
      </c>
      <c r="BA388" s="17" t="str">
        <f t="shared" si="41"/>
        <v/>
      </c>
    </row>
    <row r="389" spans="1:53" x14ac:dyDescent="0.25">
      <c r="A389" s="137" t="s">
        <v>707</v>
      </c>
      <c r="B389" s="137" t="s">
        <v>710</v>
      </c>
      <c r="C389" s="121"/>
      <c r="D389" s="121"/>
      <c r="E389" s="121"/>
      <c r="F389" s="121"/>
      <c r="G389" s="121"/>
      <c r="H389" s="121"/>
      <c r="I389" s="121"/>
      <c r="J389" s="121">
        <v>0</v>
      </c>
      <c r="K389" s="121">
        <v>0</v>
      </c>
      <c r="L389" s="121">
        <v>0</v>
      </c>
      <c r="M389" s="121">
        <v>0</v>
      </c>
      <c r="N389" s="121">
        <v>0</v>
      </c>
      <c r="O389" s="121">
        <v>0</v>
      </c>
      <c r="P389" s="121">
        <v>0</v>
      </c>
      <c r="Q389" s="121">
        <v>0</v>
      </c>
      <c r="R389" s="121">
        <v>0</v>
      </c>
      <c r="S389" s="121">
        <v>0</v>
      </c>
      <c r="T389" s="121">
        <v>0</v>
      </c>
      <c r="U389" s="121">
        <v>0</v>
      </c>
      <c r="V389" s="121" t="s">
        <v>1119</v>
      </c>
      <c r="W389" s="121">
        <v>0</v>
      </c>
      <c r="X389" s="121">
        <v>0</v>
      </c>
      <c r="Y389" s="121">
        <v>0</v>
      </c>
      <c r="Z389" s="121">
        <v>0</v>
      </c>
      <c r="AA389" s="121">
        <v>0</v>
      </c>
      <c r="AB389" s="121">
        <v>0</v>
      </c>
      <c r="AC389" s="121">
        <v>0</v>
      </c>
      <c r="AD389" s="121">
        <v>0</v>
      </c>
      <c r="AE389" s="121">
        <v>0</v>
      </c>
      <c r="AF389" s="121">
        <v>0</v>
      </c>
      <c r="AG389" s="121">
        <v>0</v>
      </c>
      <c r="AH389" s="121">
        <v>0</v>
      </c>
      <c r="AI389" s="121">
        <v>0</v>
      </c>
      <c r="AL389" s="14">
        <f t="shared" si="36"/>
        <v>0</v>
      </c>
      <c r="AM389">
        <f t="shared" si="37"/>
        <v>0</v>
      </c>
      <c r="AN389">
        <f t="shared" si="38"/>
        <v>0</v>
      </c>
      <c r="AP389">
        <f>VLOOKUP($B389,Kraftvärmeprod!$B$1:$BX$549,MATCH(AP$1,Kraftvärmeprod!$B$1:$BX$1,0),FALSE)</f>
        <v>0</v>
      </c>
      <c r="AQ389">
        <f>VLOOKUP($B389,Kraftvärmeprod!$B$1:$BX$549,MATCH(AQ$1,Kraftvärmeprod!$B$1:$BX$1,0),FALSE)</f>
        <v>0</v>
      </c>
      <c r="AR389">
        <f>VLOOKUP($B389,Kraftvärmeprod!$B$1:$BX$549,MATCH("Summa tillförd energi exklusive rökgaskondensering",Kraftvärmeprod!$B$1:$BX$1,0),FALSE)</f>
        <v>0</v>
      </c>
      <c r="AT389" s="17" t="str">
        <f t="shared" si="39"/>
        <v/>
      </c>
      <c r="AV389">
        <f t="shared" si="40"/>
        <v>0</v>
      </c>
      <c r="BA389" s="17" t="str">
        <f t="shared" si="41"/>
        <v/>
      </c>
    </row>
    <row r="390" spans="1:53" x14ac:dyDescent="0.25">
      <c r="A390" s="137" t="s">
        <v>707</v>
      </c>
      <c r="B390" s="137" t="s">
        <v>711</v>
      </c>
      <c r="C390" s="121"/>
      <c r="D390" s="121"/>
      <c r="E390" s="121"/>
      <c r="F390" s="121"/>
      <c r="G390" s="121"/>
      <c r="H390" s="121"/>
      <c r="I390" s="121"/>
      <c r="J390" s="121">
        <v>0</v>
      </c>
      <c r="K390" s="121">
        <v>0</v>
      </c>
      <c r="L390" s="121">
        <v>0</v>
      </c>
      <c r="M390" s="121">
        <v>0</v>
      </c>
      <c r="N390" s="121">
        <v>0</v>
      </c>
      <c r="O390" s="121">
        <v>0</v>
      </c>
      <c r="P390" s="121">
        <v>0</v>
      </c>
      <c r="Q390" s="121">
        <v>0</v>
      </c>
      <c r="R390" s="121">
        <v>0</v>
      </c>
      <c r="S390" s="121">
        <v>0</v>
      </c>
      <c r="T390" s="121">
        <v>0</v>
      </c>
      <c r="U390" s="121">
        <v>0</v>
      </c>
      <c r="V390" s="121" t="s">
        <v>1119</v>
      </c>
      <c r="W390" s="121">
        <v>0</v>
      </c>
      <c r="X390" s="121">
        <v>0</v>
      </c>
      <c r="Y390" s="121">
        <v>0</v>
      </c>
      <c r="Z390" s="121">
        <v>0</v>
      </c>
      <c r="AA390" s="121">
        <v>0</v>
      </c>
      <c r="AB390" s="121">
        <v>0</v>
      </c>
      <c r="AC390" s="121">
        <v>0</v>
      </c>
      <c r="AD390" s="121">
        <v>0</v>
      </c>
      <c r="AE390" s="121">
        <v>0</v>
      </c>
      <c r="AF390" s="121">
        <v>0</v>
      </c>
      <c r="AG390" s="121">
        <v>0</v>
      </c>
      <c r="AH390" s="121">
        <v>0</v>
      </c>
      <c r="AI390" s="121">
        <v>0</v>
      </c>
      <c r="AL390" s="14">
        <f t="shared" si="36"/>
        <v>0</v>
      </c>
      <c r="AM390">
        <f t="shared" si="37"/>
        <v>0</v>
      </c>
      <c r="AN390">
        <f t="shared" si="38"/>
        <v>0</v>
      </c>
      <c r="AP390">
        <f>VLOOKUP($B390,Kraftvärmeprod!$B$1:$BX$549,MATCH(AP$1,Kraftvärmeprod!$B$1:$BX$1,0),FALSE)</f>
        <v>0</v>
      </c>
      <c r="AQ390">
        <f>VLOOKUP($B390,Kraftvärmeprod!$B$1:$BX$549,MATCH(AQ$1,Kraftvärmeprod!$B$1:$BX$1,0),FALSE)</f>
        <v>0</v>
      </c>
      <c r="AR390">
        <f>VLOOKUP($B390,Kraftvärmeprod!$B$1:$BX$549,MATCH("Summa tillförd energi exklusive rökgaskondensering",Kraftvärmeprod!$B$1:$BX$1,0),FALSE)</f>
        <v>0</v>
      </c>
      <c r="AT390" s="17" t="str">
        <f t="shared" si="39"/>
        <v/>
      </c>
      <c r="AV390">
        <f t="shared" si="40"/>
        <v>0</v>
      </c>
      <c r="BA390" s="17" t="str">
        <f t="shared" si="41"/>
        <v/>
      </c>
    </row>
    <row r="391" spans="1:53" x14ac:dyDescent="0.25">
      <c r="A391" s="137" t="s">
        <v>712</v>
      </c>
      <c r="B391" s="137" t="s">
        <v>713</v>
      </c>
      <c r="C391" s="121"/>
      <c r="D391" s="121"/>
      <c r="E391" s="121"/>
      <c r="F391" s="121"/>
      <c r="G391" s="121"/>
      <c r="H391" s="121"/>
      <c r="I391" s="121"/>
      <c r="J391" s="121">
        <v>0</v>
      </c>
      <c r="K391" s="121">
        <v>0</v>
      </c>
      <c r="L391" s="121">
        <v>0</v>
      </c>
      <c r="M391" s="121">
        <v>0</v>
      </c>
      <c r="N391" s="121">
        <v>0</v>
      </c>
      <c r="O391" s="121">
        <v>0</v>
      </c>
      <c r="P391" s="121">
        <v>0</v>
      </c>
      <c r="Q391" s="121">
        <v>0</v>
      </c>
      <c r="R391" s="121">
        <v>0</v>
      </c>
      <c r="S391" s="121">
        <v>0</v>
      </c>
      <c r="T391" s="121">
        <v>0</v>
      </c>
      <c r="U391" s="121">
        <v>0</v>
      </c>
      <c r="V391" s="121" t="s">
        <v>1119</v>
      </c>
      <c r="W391" s="121">
        <v>0</v>
      </c>
      <c r="X391" s="121">
        <v>0</v>
      </c>
      <c r="Y391" s="121">
        <v>0</v>
      </c>
      <c r="Z391" s="121">
        <v>0</v>
      </c>
      <c r="AA391" s="121">
        <v>0</v>
      </c>
      <c r="AB391" s="121">
        <v>0</v>
      </c>
      <c r="AC391" s="121">
        <v>0</v>
      </c>
      <c r="AD391" s="121">
        <v>0</v>
      </c>
      <c r="AE391" s="121">
        <v>0</v>
      </c>
      <c r="AF391" s="121">
        <v>0</v>
      </c>
      <c r="AG391" s="121">
        <v>0</v>
      </c>
      <c r="AH391" s="121">
        <v>0</v>
      </c>
      <c r="AI391" s="121">
        <v>0</v>
      </c>
      <c r="AL391" s="14">
        <f t="shared" si="36"/>
        <v>0</v>
      </c>
      <c r="AM391">
        <f t="shared" si="37"/>
        <v>0</v>
      </c>
      <c r="AN391">
        <f t="shared" si="38"/>
        <v>0</v>
      </c>
      <c r="AP391">
        <f>VLOOKUP($B391,Kraftvärmeprod!$B$1:$BX$549,MATCH(AP$1,Kraftvärmeprod!$B$1:$BX$1,0),FALSE)</f>
        <v>0</v>
      </c>
      <c r="AQ391">
        <f>VLOOKUP($B391,Kraftvärmeprod!$B$1:$BX$549,MATCH(AQ$1,Kraftvärmeprod!$B$1:$BX$1,0),FALSE)</f>
        <v>0</v>
      </c>
      <c r="AR391">
        <f>VLOOKUP($B391,Kraftvärmeprod!$B$1:$BX$549,MATCH("Summa tillförd energi exklusive rökgaskondensering",Kraftvärmeprod!$B$1:$BX$1,0),FALSE)</f>
        <v>0</v>
      </c>
      <c r="AT391" s="17" t="str">
        <f t="shared" si="39"/>
        <v/>
      </c>
      <c r="AV391">
        <f t="shared" si="40"/>
        <v>0</v>
      </c>
      <c r="BA391" s="17" t="str">
        <f t="shared" si="41"/>
        <v/>
      </c>
    </row>
    <row r="392" spans="1:53" x14ac:dyDescent="0.25">
      <c r="A392" s="137" t="s">
        <v>712</v>
      </c>
      <c r="B392" s="137" t="s">
        <v>714</v>
      </c>
      <c r="C392" s="121"/>
      <c r="D392" s="121"/>
      <c r="E392" s="121"/>
      <c r="F392" s="121"/>
      <c r="G392" s="121"/>
      <c r="H392" s="121"/>
      <c r="I392" s="121"/>
      <c r="J392" s="121">
        <v>0</v>
      </c>
      <c r="K392" s="121">
        <v>0</v>
      </c>
      <c r="L392" s="121">
        <v>0</v>
      </c>
      <c r="M392" s="121">
        <v>0</v>
      </c>
      <c r="N392" s="121">
        <v>0</v>
      </c>
      <c r="O392" s="121">
        <v>0</v>
      </c>
      <c r="P392" s="121">
        <v>0</v>
      </c>
      <c r="Q392" s="121">
        <v>0</v>
      </c>
      <c r="R392" s="121">
        <v>0</v>
      </c>
      <c r="S392" s="121">
        <v>0</v>
      </c>
      <c r="T392" s="121">
        <v>0</v>
      </c>
      <c r="U392" s="121">
        <v>0</v>
      </c>
      <c r="V392" s="121" t="s">
        <v>1119</v>
      </c>
      <c r="W392" s="121">
        <v>0</v>
      </c>
      <c r="X392" s="121">
        <v>0</v>
      </c>
      <c r="Y392" s="121">
        <v>0</v>
      </c>
      <c r="Z392" s="121">
        <v>0</v>
      </c>
      <c r="AA392" s="121">
        <v>0</v>
      </c>
      <c r="AB392" s="121">
        <v>0</v>
      </c>
      <c r="AC392" s="121">
        <v>0</v>
      </c>
      <c r="AD392" s="121">
        <v>0</v>
      </c>
      <c r="AE392" s="121">
        <v>0</v>
      </c>
      <c r="AF392" s="121">
        <v>0</v>
      </c>
      <c r="AG392" s="121">
        <v>0</v>
      </c>
      <c r="AH392" s="121">
        <v>0</v>
      </c>
      <c r="AI392" s="121">
        <v>0</v>
      </c>
      <c r="AL392" s="14">
        <f t="shared" si="36"/>
        <v>0</v>
      </c>
      <c r="AM392">
        <f t="shared" si="37"/>
        <v>0</v>
      </c>
      <c r="AN392">
        <f t="shared" si="38"/>
        <v>0</v>
      </c>
      <c r="AP392">
        <f>VLOOKUP($B392,Kraftvärmeprod!$B$1:$BX$549,MATCH(AP$1,Kraftvärmeprod!$B$1:$BX$1,0),FALSE)</f>
        <v>0</v>
      </c>
      <c r="AQ392">
        <f>VLOOKUP($B392,Kraftvärmeprod!$B$1:$BX$549,MATCH(AQ$1,Kraftvärmeprod!$B$1:$BX$1,0),FALSE)</f>
        <v>0</v>
      </c>
      <c r="AR392">
        <f>VLOOKUP($B392,Kraftvärmeprod!$B$1:$BX$549,MATCH("Summa tillförd energi exklusive rökgaskondensering",Kraftvärmeprod!$B$1:$BX$1,0),FALSE)</f>
        <v>0</v>
      </c>
      <c r="AT392" s="17" t="str">
        <f t="shared" si="39"/>
        <v/>
      </c>
      <c r="AV392">
        <f t="shared" si="40"/>
        <v>0</v>
      </c>
      <c r="BA392" s="17" t="str">
        <f t="shared" si="41"/>
        <v/>
      </c>
    </row>
    <row r="393" spans="1:53" x14ac:dyDescent="0.25">
      <c r="A393" s="137" t="s">
        <v>712</v>
      </c>
      <c r="B393" s="137" t="s">
        <v>715</v>
      </c>
      <c r="C393" s="121"/>
      <c r="D393" s="121"/>
      <c r="E393" s="121"/>
      <c r="F393" s="121"/>
      <c r="G393" s="121"/>
      <c r="H393" s="121"/>
      <c r="I393" s="121"/>
      <c r="J393" s="121">
        <v>0</v>
      </c>
      <c r="K393" s="121">
        <v>0</v>
      </c>
      <c r="L393" s="121">
        <v>0</v>
      </c>
      <c r="M393" s="121">
        <v>0</v>
      </c>
      <c r="N393" s="121">
        <v>0</v>
      </c>
      <c r="O393" s="121">
        <v>0</v>
      </c>
      <c r="P393" s="121">
        <v>0</v>
      </c>
      <c r="Q393" s="121">
        <v>0</v>
      </c>
      <c r="R393" s="121">
        <v>0</v>
      </c>
      <c r="S393" s="121">
        <v>0</v>
      </c>
      <c r="T393" s="121">
        <v>0</v>
      </c>
      <c r="U393" s="121">
        <v>0</v>
      </c>
      <c r="V393" s="121" t="s">
        <v>1119</v>
      </c>
      <c r="W393" s="121">
        <v>0</v>
      </c>
      <c r="X393" s="121">
        <v>0</v>
      </c>
      <c r="Y393" s="121">
        <v>0</v>
      </c>
      <c r="Z393" s="121">
        <v>0</v>
      </c>
      <c r="AA393" s="121">
        <v>0</v>
      </c>
      <c r="AB393" s="121">
        <v>0</v>
      </c>
      <c r="AC393" s="121">
        <v>0</v>
      </c>
      <c r="AD393" s="121">
        <v>0</v>
      </c>
      <c r="AE393" s="121">
        <v>0</v>
      </c>
      <c r="AF393" s="121">
        <v>0</v>
      </c>
      <c r="AG393" s="121">
        <v>0</v>
      </c>
      <c r="AH393" s="121">
        <v>0</v>
      </c>
      <c r="AI393" s="121">
        <v>0</v>
      </c>
      <c r="AL393" s="14">
        <f t="shared" si="36"/>
        <v>0</v>
      </c>
      <c r="AM393">
        <f t="shared" si="37"/>
        <v>0</v>
      </c>
      <c r="AN393">
        <f t="shared" si="38"/>
        <v>0</v>
      </c>
      <c r="AP393">
        <f>VLOOKUP($B393,Kraftvärmeprod!$B$1:$BX$549,MATCH(AP$1,Kraftvärmeprod!$B$1:$BX$1,0),FALSE)</f>
        <v>0</v>
      </c>
      <c r="AQ393">
        <f>VLOOKUP($B393,Kraftvärmeprod!$B$1:$BX$549,MATCH(AQ$1,Kraftvärmeprod!$B$1:$BX$1,0),FALSE)</f>
        <v>0</v>
      </c>
      <c r="AR393">
        <f>VLOOKUP($B393,Kraftvärmeprod!$B$1:$BX$549,MATCH("Summa tillförd energi exklusive rökgaskondensering",Kraftvärmeprod!$B$1:$BX$1,0),FALSE)</f>
        <v>0</v>
      </c>
      <c r="AT393" s="17" t="str">
        <f t="shared" si="39"/>
        <v/>
      </c>
      <c r="AV393">
        <f t="shared" si="40"/>
        <v>0</v>
      </c>
      <c r="BA393" s="17" t="str">
        <f t="shared" si="41"/>
        <v/>
      </c>
    </row>
    <row r="394" spans="1:53" x14ac:dyDescent="0.25">
      <c r="A394" s="137" t="s">
        <v>712</v>
      </c>
      <c r="B394" s="137" t="s">
        <v>716</v>
      </c>
      <c r="C394" s="121"/>
      <c r="D394" s="121"/>
      <c r="E394" s="121"/>
      <c r="F394" s="121"/>
      <c r="G394" s="121"/>
      <c r="H394" s="121"/>
      <c r="I394" s="121"/>
      <c r="J394" s="121">
        <v>0</v>
      </c>
      <c r="K394" s="121">
        <v>0</v>
      </c>
      <c r="L394" s="121">
        <v>0</v>
      </c>
      <c r="M394" s="121">
        <v>0</v>
      </c>
      <c r="N394" s="121">
        <v>0</v>
      </c>
      <c r="O394" s="121">
        <v>0</v>
      </c>
      <c r="P394" s="121">
        <v>0</v>
      </c>
      <c r="Q394" s="121">
        <v>0</v>
      </c>
      <c r="R394" s="121">
        <v>0</v>
      </c>
      <c r="S394" s="121">
        <v>0</v>
      </c>
      <c r="T394" s="121">
        <v>0</v>
      </c>
      <c r="U394" s="121">
        <v>0</v>
      </c>
      <c r="V394" s="121" t="s">
        <v>1119</v>
      </c>
      <c r="W394" s="121">
        <v>0</v>
      </c>
      <c r="X394" s="121">
        <v>0</v>
      </c>
      <c r="Y394" s="121">
        <v>0</v>
      </c>
      <c r="Z394" s="121">
        <v>0</v>
      </c>
      <c r="AA394" s="121">
        <v>0</v>
      </c>
      <c r="AB394" s="121">
        <v>0</v>
      </c>
      <c r="AC394" s="121">
        <v>0</v>
      </c>
      <c r="AD394" s="121">
        <v>0</v>
      </c>
      <c r="AE394" s="121">
        <v>0</v>
      </c>
      <c r="AF394" s="121">
        <v>0</v>
      </c>
      <c r="AG394" s="121">
        <v>0</v>
      </c>
      <c r="AH394" s="121">
        <v>0</v>
      </c>
      <c r="AI394" s="121">
        <v>0</v>
      </c>
      <c r="AL394" s="14">
        <f t="shared" si="36"/>
        <v>0</v>
      </c>
      <c r="AM394">
        <f t="shared" si="37"/>
        <v>0</v>
      </c>
      <c r="AN394">
        <f t="shared" si="38"/>
        <v>0</v>
      </c>
      <c r="AP394">
        <f>VLOOKUP($B394,Kraftvärmeprod!$B$1:$BX$549,MATCH(AP$1,Kraftvärmeprod!$B$1:$BX$1,0),FALSE)</f>
        <v>0</v>
      </c>
      <c r="AQ394">
        <f>VLOOKUP($B394,Kraftvärmeprod!$B$1:$BX$549,MATCH(AQ$1,Kraftvärmeprod!$B$1:$BX$1,0),FALSE)</f>
        <v>0</v>
      </c>
      <c r="AR394">
        <f>VLOOKUP($B394,Kraftvärmeprod!$B$1:$BX$549,MATCH("Summa tillförd energi exklusive rökgaskondensering",Kraftvärmeprod!$B$1:$BX$1,0),FALSE)</f>
        <v>0</v>
      </c>
      <c r="AT394" s="17" t="str">
        <f t="shared" si="39"/>
        <v/>
      </c>
      <c r="AV394">
        <f t="shared" si="40"/>
        <v>0</v>
      </c>
      <c r="BA394" s="17" t="str">
        <f t="shared" si="41"/>
        <v/>
      </c>
    </row>
    <row r="395" spans="1:53" x14ac:dyDescent="0.25">
      <c r="A395" s="137" t="s">
        <v>712</v>
      </c>
      <c r="B395" s="137" t="s">
        <v>717</v>
      </c>
      <c r="C395" s="121"/>
      <c r="D395" s="121"/>
      <c r="E395" s="121"/>
      <c r="F395" s="121"/>
      <c r="G395" s="121"/>
      <c r="H395" s="121"/>
      <c r="I395" s="121"/>
      <c r="J395" s="121">
        <v>0</v>
      </c>
      <c r="K395" s="121">
        <v>1.34968</v>
      </c>
      <c r="L395" s="121">
        <v>0</v>
      </c>
      <c r="M395" s="121">
        <v>0</v>
      </c>
      <c r="N395" s="121">
        <v>0</v>
      </c>
      <c r="O395" s="121">
        <v>0</v>
      </c>
      <c r="P395" s="121">
        <v>218.43700000000001</v>
      </c>
      <c r="Q395" s="121">
        <v>50.283799999999999</v>
      </c>
      <c r="R395" s="121">
        <v>32.410400000000003</v>
      </c>
      <c r="S395" s="121">
        <v>54.764099999999999</v>
      </c>
      <c r="T395" s="121">
        <v>0</v>
      </c>
      <c r="U395" s="121">
        <v>0</v>
      </c>
      <c r="V395" s="121" t="s">
        <v>1119</v>
      </c>
      <c r="W395" s="121">
        <v>0</v>
      </c>
      <c r="X395" s="121">
        <v>0</v>
      </c>
      <c r="Y395" s="121">
        <v>0</v>
      </c>
      <c r="Z395" s="121">
        <v>27.262899999999998</v>
      </c>
      <c r="AA395" s="121">
        <v>0</v>
      </c>
      <c r="AB395" s="121">
        <v>0</v>
      </c>
      <c r="AC395" s="121">
        <v>0</v>
      </c>
      <c r="AD395" s="121">
        <v>30.272400000000001</v>
      </c>
      <c r="AE395" s="121">
        <v>0</v>
      </c>
      <c r="AF395" s="121">
        <v>0</v>
      </c>
      <c r="AG395" s="121">
        <v>0</v>
      </c>
      <c r="AH395" s="121">
        <v>63.5</v>
      </c>
      <c r="AI395" s="121">
        <v>14.244899999999999</v>
      </c>
      <c r="AL395" s="14">
        <f t="shared" si="36"/>
        <v>492.52517999999998</v>
      </c>
      <c r="AM395">
        <f t="shared" si="37"/>
        <v>478.28028</v>
      </c>
      <c r="AN395">
        <f t="shared" si="38"/>
        <v>414.78028</v>
      </c>
      <c r="AP395">
        <f>VLOOKUP($B395,Kraftvärmeprod!$B$1:$BX$549,MATCH(AP$1,Kraftvärmeprod!$B$1:$BX$1,0),FALSE)</f>
        <v>530.9</v>
      </c>
      <c r="AQ395">
        <f>VLOOKUP($B395,Kraftvärmeprod!$B$1:$BX$549,MATCH(AQ$1,Kraftvärmeprod!$B$1:$BX$1,0),FALSE)</f>
        <v>223.7</v>
      </c>
      <c r="AR395">
        <f>VLOOKUP($B395,Kraftvärmeprod!$B$1:$BX$549,MATCH("Summa tillförd energi exklusive rökgaskondensering",Kraftvärmeprod!$B$1:$BX$1,0),FALSE)</f>
        <v>864.8</v>
      </c>
      <c r="AT395" s="17">
        <f t="shared" si="39"/>
        <v>0.47962567067530065</v>
      </c>
      <c r="AV395">
        <f t="shared" si="40"/>
        <v>383.15820000000002</v>
      </c>
      <c r="BA395" s="17">
        <f t="shared" si="41"/>
        <v>1.2374565054666489</v>
      </c>
    </row>
    <row r="396" spans="1:53" x14ac:dyDescent="0.25">
      <c r="A396" s="137" t="s">
        <v>712</v>
      </c>
      <c r="B396" s="137" t="s">
        <v>718</v>
      </c>
      <c r="C396" s="121"/>
      <c r="D396" s="121"/>
      <c r="E396" s="121"/>
      <c r="F396" s="121"/>
      <c r="G396" s="121"/>
      <c r="H396" s="121"/>
      <c r="I396" s="121"/>
      <c r="J396" s="121">
        <v>0</v>
      </c>
      <c r="K396" s="121">
        <v>0</v>
      </c>
      <c r="L396" s="121">
        <v>0</v>
      </c>
      <c r="M396" s="121">
        <v>0</v>
      </c>
      <c r="N396" s="121">
        <v>0</v>
      </c>
      <c r="O396" s="121">
        <v>0</v>
      </c>
      <c r="P396" s="121">
        <v>0</v>
      </c>
      <c r="Q396" s="121">
        <v>0</v>
      </c>
      <c r="R396" s="121">
        <v>0</v>
      </c>
      <c r="S396" s="121">
        <v>0</v>
      </c>
      <c r="T396" s="121">
        <v>0</v>
      </c>
      <c r="U396" s="121">
        <v>0</v>
      </c>
      <c r="V396" s="121" t="s">
        <v>1119</v>
      </c>
      <c r="W396" s="121">
        <v>0</v>
      </c>
      <c r="X396" s="121">
        <v>0</v>
      </c>
      <c r="Y396" s="121">
        <v>0</v>
      </c>
      <c r="Z396" s="121">
        <v>0</v>
      </c>
      <c r="AA396" s="121">
        <v>0</v>
      </c>
      <c r="AB396" s="121">
        <v>0</v>
      </c>
      <c r="AC396" s="121">
        <v>0</v>
      </c>
      <c r="AD396" s="121">
        <v>0</v>
      </c>
      <c r="AE396" s="121">
        <v>0</v>
      </c>
      <c r="AF396" s="121">
        <v>0</v>
      </c>
      <c r="AG396" s="121">
        <v>0</v>
      </c>
      <c r="AH396" s="121">
        <v>0</v>
      </c>
      <c r="AI396" s="121">
        <v>0</v>
      </c>
      <c r="AL396" s="14">
        <f t="shared" si="36"/>
        <v>0</v>
      </c>
      <c r="AM396">
        <f t="shared" si="37"/>
        <v>0</v>
      </c>
      <c r="AN396">
        <f t="shared" si="38"/>
        <v>0</v>
      </c>
      <c r="AP396">
        <f>VLOOKUP($B396,Kraftvärmeprod!$B$1:$BX$549,MATCH(AP$1,Kraftvärmeprod!$B$1:$BX$1,0),FALSE)</f>
        <v>0</v>
      </c>
      <c r="AQ396">
        <f>VLOOKUP($B396,Kraftvärmeprod!$B$1:$BX$549,MATCH(AQ$1,Kraftvärmeprod!$B$1:$BX$1,0),FALSE)</f>
        <v>0</v>
      </c>
      <c r="AR396">
        <f>VLOOKUP($B396,Kraftvärmeprod!$B$1:$BX$549,MATCH("Summa tillförd energi exklusive rökgaskondensering",Kraftvärmeprod!$B$1:$BX$1,0),FALSE)</f>
        <v>0</v>
      </c>
      <c r="AT396" s="17" t="str">
        <f t="shared" si="39"/>
        <v/>
      </c>
      <c r="AV396">
        <f t="shared" si="40"/>
        <v>0</v>
      </c>
      <c r="BA396" s="17" t="str">
        <f t="shared" si="41"/>
        <v/>
      </c>
    </row>
    <row r="397" spans="1:53" x14ac:dyDescent="0.25">
      <c r="A397" s="137" t="s">
        <v>719</v>
      </c>
      <c r="B397" s="137" t="s">
        <v>720</v>
      </c>
      <c r="C397" s="121"/>
      <c r="D397" s="121"/>
      <c r="E397" s="121"/>
      <c r="F397" s="121"/>
      <c r="G397" s="121"/>
      <c r="H397" s="121"/>
      <c r="I397" s="121"/>
      <c r="J397" s="121">
        <v>0</v>
      </c>
      <c r="K397" s="121">
        <v>0</v>
      </c>
      <c r="L397" s="121">
        <v>0</v>
      </c>
      <c r="M397" s="121">
        <v>0</v>
      </c>
      <c r="N397" s="121">
        <v>0</v>
      </c>
      <c r="O397" s="121">
        <v>0</v>
      </c>
      <c r="P397" s="121">
        <v>0</v>
      </c>
      <c r="Q397" s="121">
        <v>0</v>
      </c>
      <c r="R397" s="121">
        <v>0</v>
      </c>
      <c r="S397" s="121">
        <v>0</v>
      </c>
      <c r="T397" s="121">
        <v>0</v>
      </c>
      <c r="U397" s="121">
        <v>0</v>
      </c>
      <c r="V397" s="121" t="s">
        <v>1119</v>
      </c>
      <c r="W397" s="121">
        <v>0</v>
      </c>
      <c r="X397" s="121">
        <v>0</v>
      </c>
      <c r="Y397" s="121">
        <v>0</v>
      </c>
      <c r="Z397" s="121">
        <v>0</v>
      </c>
      <c r="AA397" s="121">
        <v>0</v>
      </c>
      <c r="AB397" s="121">
        <v>0</v>
      </c>
      <c r="AC397" s="121">
        <v>0</v>
      </c>
      <c r="AD397" s="121">
        <v>0</v>
      </c>
      <c r="AE397" s="121">
        <v>0</v>
      </c>
      <c r="AF397" s="121">
        <v>0</v>
      </c>
      <c r="AG397" s="121">
        <v>0</v>
      </c>
      <c r="AH397" s="121">
        <v>0</v>
      </c>
      <c r="AI397" s="121">
        <v>0</v>
      </c>
      <c r="AL397" s="14">
        <f t="shared" si="36"/>
        <v>0</v>
      </c>
      <c r="AM397">
        <f t="shared" si="37"/>
        <v>0</v>
      </c>
      <c r="AN397">
        <f t="shared" si="38"/>
        <v>0</v>
      </c>
      <c r="AP397">
        <f>VLOOKUP($B397,Kraftvärmeprod!$B$1:$BX$549,MATCH(AP$1,Kraftvärmeprod!$B$1:$BX$1,0),FALSE)</f>
        <v>0</v>
      </c>
      <c r="AQ397">
        <f>VLOOKUP($B397,Kraftvärmeprod!$B$1:$BX$549,MATCH(AQ$1,Kraftvärmeprod!$B$1:$BX$1,0),FALSE)</f>
        <v>0</v>
      </c>
      <c r="AR397">
        <f>VLOOKUP($B397,Kraftvärmeprod!$B$1:$BX$549,MATCH("Summa tillförd energi exklusive rökgaskondensering",Kraftvärmeprod!$B$1:$BX$1,0),FALSE)</f>
        <v>0</v>
      </c>
      <c r="AT397" s="17" t="str">
        <f t="shared" si="39"/>
        <v/>
      </c>
      <c r="AV397">
        <f t="shared" si="40"/>
        <v>0</v>
      </c>
      <c r="BA397" s="17" t="str">
        <f t="shared" si="41"/>
        <v/>
      </c>
    </row>
    <row r="398" spans="1:53" x14ac:dyDescent="0.25">
      <c r="A398" s="137" t="s">
        <v>721</v>
      </c>
      <c r="B398" s="137" t="s">
        <v>722</v>
      </c>
      <c r="C398" s="121"/>
      <c r="D398" s="121"/>
      <c r="E398" s="121"/>
      <c r="F398" s="121"/>
      <c r="G398" s="121"/>
      <c r="H398" s="121"/>
      <c r="I398" s="121"/>
      <c r="J398" s="121">
        <v>0</v>
      </c>
      <c r="K398" s="121">
        <v>0</v>
      </c>
      <c r="L398" s="121">
        <v>0</v>
      </c>
      <c r="M398" s="121">
        <v>0</v>
      </c>
      <c r="N398" s="121">
        <v>0</v>
      </c>
      <c r="O398" s="121">
        <v>0</v>
      </c>
      <c r="P398" s="121">
        <v>0</v>
      </c>
      <c r="Q398" s="121">
        <v>0</v>
      </c>
      <c r="R398" s="121">
        <v>0</v>
      </c>
      <c r="S398" s="121">
        <v>0</v>
      </c>
      <c r="T398" s="121">
        <v>0</v>
      </c>
      <c r="U398" s="121">
        <v>0</v>
      </c>
      <c r="V398" s="121" t="s">
        <v>1119</v>
      </c>
      <c r="W398" s="121">
        <v>0</v>
      </c>
      <c r="X398" s="121">
        <v>0</v>
      </c>
      <c r="Y398" s="121">
        <v>0</v>
      </c>
      <c r="Z398" s="121">
        <v>0</v>
      </c>
      <c r="AA398" s="121">
        <v>0</v>
      </c>
      <c r="AB398" s="121">
        <v>0</v>
      </c>
      <c r="AC398" s="121">
        <v>0</v>
      </c>
      <c r="AD398" s="121">
        <v>0</v>
      </c>
      <c r="AE398" s="121">
        <v>0</v>
      </c>
      <c r="AF398" s="121">
        <v>0</v>
      </c>
      <c r="AG398" s="121">
        <v>0</v>
      </c>
      <c r="AH398" s="121">
        <v>0</v>
      </c>
      <c r="AI398" s="121">
        <v>0</v>
      </c>
      <c r="AL398" s="14">
        <f t="shared" si="36"/>
        <v>0</v>
      </c>
      <c r="AM398">
        <f t="shared" si="37"/>
        <v>0</v>
      </c>
      <c r="AN398">
        <f t="shared" si="38"/>
        <v>0</v>
      </c>
      <c r="AP398">
        <f>VLOOKUP($B398,Kraftvärmeprod!$B$1:$BX$549,MATCH(AP$1,Kraftvärmeprod!$B$1:$BX$1,0),FALSE)</f>
        <v>0</v>
      </c>
      <c r="AQ398">
        <f>VLOOKUP($B398,Kraftvärmeprod!$B$1:$BX$549,MATCH(AQ$1,Kraftvärmeprod!$B$1:$BX$1,0),FALSE)</f>
        <v>0</v>
      </c>
      <c r="AR398">
        <f>VLOOKUP($B398,Kraftvärmeprod!$B$1:$BX$549,MATCH("Summa tillförd energi exklusive rökgaskondensering",Kraftvärmeprod!$B$1:$BX$1,0),FALSE)</f>
        <v>0</v>
      </c>
      <c r="AT398" s="17" t="str">
        <f t="shared" si="39"/>
        <v/>
      </c>
      <c r="AV398">
        <f t="shared" si="40"/>
        <v>0</v>
      </c>
      <c r="BA398" s="17" t="str">
        <f t="shared" si="41"/>
        <v/>
      </c>
    </row>
    <row r="399" spans="1:53" x14ac:dyDescent="0.25">
      <c r="A399" s="137" t="s">
        <v>721</v>
      </c>
      <c r="B399" s="137" t="s">
        <v>723</v>
      </c>
      <c r="C399" s="121"/>
      <c r="D399" s="121"/>
      <c r="E399" s="121"/>
      <c r="F399" s="121"/>
      <c r="G399" s="121"/>
      <c r="H399" s="121"/>
      <c r="I399" s="121"/>
      <c r="J399" s="121">
        <v>0</v>
      </c>
      <c r="K399" s="121">
        <v>0</v>
      </c>
      <c r="L399" s="121">
        <v>0</v>
      </c>
      <c r="M399" s="121">
        <v>0</v>
      </c>
      <c r="N399" s="121">
        <v>0</v>
      </c>
      <c r="O399" s="121">
        <v>0</v>
      </c>
      <c r="P399" s="121">
        <v>0</v>
      </c>
      <c r="Q399" s="121">
        <v>0</v>
      </c>
      <c r="R399" s="121">
        <v>0</v>
      </c>
      <c r="S399" s="121">
        <v>0</v>
      </c>
      <c r="T399" s="121">
        <v>0</v>
      </c>
      <c r="U399" s="121">
        <v>0</v>
      </c>
      <c r="V399" s="121" t="s">
        <v>1119</v>
      </c>
      <c r="W399" s="121">
        <v>0</v>
      </c>
      <c r="X399" s="121">
        <v>0</v>
      </c>
      <c r="Y399" s="121">
        <v>0</v>
      </c>
      <c r="Z399" s="121">
        <v>0</v>
      </c>
      <c r="AA399" s="121">
        <v>0</v>
      </c>
      <c r="AB399" s="121">
        <v>0</v>
      </c>
      <c r="AC399" s="121">
        <v>0</v>
      </c>
      <c r="AD399" s="121">
        <v>0</v>
      </c>
      <c r="AE399" s="121">
        <v>0</v>
      </c>
      <c r="AF399" s="121">
        <v>0</v>
      </c>
      <c r="AG399" s="121">
        <v>0</v>
      </c>
      <c r="AH399" s="121">
        <v>0</v>
      </c>
      <c r="AI399" s="121">
        <v>0</v>
      </c>
      <c r="AL399" s="14">
        <f t="shared" si="36"/>
        <v>0</v>
      </c>
      <c r="AM399">
        <f t="shared" si="37"/>
        <v>0</v>
      </c>
      <c r="AN399">
        <f t="shared" si="38"/>
        <v>0</v>
      </c>
      <c r="AP399">
        <f>VLOOKUP($B399,Kraftvärmeprod!$B$1:$BX$549,MATCH(AP$1,Kraftvärmeprod!$B$1:$BX$1,0),FALSE)</f>
        <v>0</v>
      </c>
      <c r="AQ399">
        <f>VLOOKUP($B399,Kraftvärmeprod!$B$1:$BX$549,MATCH(AQ$1,Kraftvärmeprod!$B$1:$BX$1,0),FALSE)</f>
        <v>0</v>
      </c>
      <c r="AR399">
        <f>VLOOKUP($B399,Kraftvärmeprod!$B$1:$BX$549,MATCH("Summa tillförd energi exklusive rökgaskondensering",Kraftvärmeprod!$B$1:$BX$1,0),FALSE)</f>
        <v>0</v>
      </c>
      <c r="AT399" s="17" t="str">
        <f t="shared" si="39"/>
        <v/>
      </c>
      <c r="AV399">
        <f t="shared" si="40"/>
        <v>0</v>
      </c>
      <c r="BA399" s="17" t="str">
        <f t="shared" si="41"/>
        <v/>
      </c>
    </row>
    <row r="400" spans="1:53" x14ac:dyDescent="0.25">
      <c r="A400" s="137" t="s">
        <v>724</v>
      </c>
      <c r="B400" s="137" t="s">
        <v>141</v>
      </c>
      <c r="C400" s="121"/>
      <c r="D400" s="121"/>
      <c r="E400" s="121"/>
      <c r="F400" s="121"/>
      <c r="G400" s="121"/>
      <c r="H400" s="121"/>
      <c r="I400" s="121"/>
      <c r="J400" s="121">
        <v>0</v>
      </c>
      <c r="K400" s="121">
        <v>0</v>
      </c>
      <c r="L400" s="121">
        <v>0</v>
      </c>
      <c r="M400" s="121">
        <v>0</v>
      </c>
      <c r="N400" s="121">
        <v>0</v>
      </c>
      <c r="O400" s="121">
        <v>0</v>
      </c>
      <c r="P400" s="121">
        <v>0</v>
      </c>
      <c r="Q400" s="121">
        <v>0</v>
      </c>
      <c r="R400" s="121">
        <v>0</v>
      </c>
      <c r="S400" s="121">
        <v>0</v>
      </c>
      <c r="T400" s="121">
        <v>0</v>
      </c>
      <c r="U400" s="121">
        <v>0</v>
      </c>
      <c r="V400" s="121" t="s">
        <v>1119</v>
      </c>
      <c r="W400" s="121">
        <v>0</v>
      </c>
      <c r="X400" s="121">
        <v>0</v>
      </c>
      <c r="Y400" s="121">
        <v>0</v>
      </c>
      <c r="Z400" s="121">
        <v>0</v>
      </c>
      <c r="AA400" s="121">
        <v>0</v>
      </c>
      <c r="AB400" s="121">
        <v>0</v>
      </c>
      <c r="AC400" s="121">
        <v>0</v>
      </c>
      <c r="AD400" s="121">
        <v>0</v>
      </c>
      <c r="AE400" s="121">
        <v>0</v>
      </c>
      <c r="AF400" s="121">
        <v>0</v>
      </c>
      <c r="AG400" s="121">
        <v>0</v>
      </c>
      <c r="AH400" s="121">
        <v>0</v>
      </c>
      <c r="AI400" s="121">
        <v>0</v>
      </c>
      <c r="AL400" s="14">
        <f t="shared" si="36"/>
        <v>0</v>
      </c>
      <c r="AM400">
        <f t="shared" si="37"/>
        <v>0</v>
      </c>
      <c r="AN400">
        <f t="shared" si="38"/>
        <v>0</v>
      </c>
      <c r="AP400">
        <f>VLOOKUP($B400,Kraftvärmeprod!$B$1:$BX$549,MATCH(AP$1,Kraftvärmeprod!$B$1:$BX$1,0),FALSE)</f>
        <v>0</v>
      </c>
      <c r="AQ400">
        <f>VLOOKUP($B400,Kraftvärmeprod!$B$1:$BX$549,MATCH(AQ$1,Kraftvärmeprod!$B$1:$BX$1,0),FALSE)</f>
        <v>0</v>
      </c>
      <c r="AR400">
        <f>VLOOKUP($B400,Kraftvärmeprod!$B$1:$BX$549,MATCH("Summa tillförd energi exklusive rökgaskondensering",Kraftvärmeprod!$B$1:$BX$1,0),FALSE)</f>
        <v>0</v>
      </c>
      <c r="AT400" s="17" t="str">
        <f t="shared" si="39"/>
        <v/>
      </c>
      <c r="AV400">
        <f t="shared" si="40"/>
        <v>0</v>
      </c>
      <c r="BA400" s="17" t="str">
        <f t="shared" si="41"/>
        <v/>
      </c>
    </row>
    <row r="401" spans="1:53" x14ac:dyDescent="0.25">
      <c r="A401" s="137" t="s">
        <v>725</v>
      </c>
      <c r="B401" s="137" t="s">
        <v>726</v>
      </c>
      <c r="C401" s="121"/>
      <c r="D401" s="121"/>
      <c r="E401" s="121"/>
      <c r="F401" s="121"/>
      <c r="G401" s="121"/>
      <c r="H401" s="121"/>
      <c r="I401" s="121"/>
      <c r="J401" s="121">
        <v>0</v>
      </c>
      <c r="K401" s="121">
        <v>1.0069999999999999</v>
      </c>
      <c r="L401" s="121">
        <v>0</v>
      </c>
      <c r="M401" s="121">
        <v>1.0720000000000001</v>
      </c>
      <c r="N401" s="121">
        <v>0</v>
      </c>
      <c r="O401" s="121">
        <v>0</v>
      </c>
      <c r="P401" s="121">
        <v>0</v>
      </c>
      <c r="Q401" s="121">
        <v>0</v>
      </c>
      <c r="R401" s="121">
        <v>0</v>
      </c>
      <c r="S401" s="121">
        <v>0</v>
      </c>
      <c r="T401" s="121">
        <v>0</v>
      </c>
      <c r="U401" s="121">
        <v>0</v>
      </c>
      <c r="V401" s="121" t="s">
        <v>1119</v>
      </c>
      <c r="W401" s="121">
        <v>229.7</v>
      </c>
      <c r="X401" s="121">
        <v>0</v>
      </c>
      <c r="Y401" s="121">
        <v>0</v>
      </c>
      <c r="Z401" s="121">
        <v>0</v>
      </c>
      <c r="AA401" s="121">
        <v>0</v>
      </c>
      <c r="AB401" s="121">
        <v>0.62880800000000003</v>
      </c>
      <c r="AC401" s="121">
        <v>0</v>
      </c>
      <c r="AD401" s="121">
        <v>0</v>
      </c>
      <c r="AE401" s="121">
        <v>246.7</v>
      </c>
      <c r="AF401" s="121">
        <v>0</v>
      </c>
      <c r="AG401" s="121">
        <v>0</v>
      </c>
      <c r="AH401" s="121">
        <v>108.1</v>
      </c>
      <c r="AI401" s="121">
        <v>15.690899999999999</v>
      </c>
      <c r="AL401" s="14">
        <f t="shared" si="36"/>
        <v>602.89870799999994</v>
      </c>
      <c r="AM401">
        <f t="shared" si="37"/>
        <v>587.20780799999989</v>
      </c>
      <c r="AN401">
        <f t="shared" si="38"/>
        <v>479.10780799999986</v>
      </c>
      <c r="AP401">
        <f>VLOOKUP($B401,Kraftvärmeprod!$B$1:$BX$549,MATCH(AP$1,Kraftvärmeprod!$B$1:$BX$1,0),FALSE)</f>
        <v>650</v>
      </c>
      <c r="AQ401">
        <f>VLOOKUP($B401,Kraftvärmeprod!$B$1:$BX$549,MATCH(AQ$1,Kraftvärmeprod!$B$1:$BX$1,0),FALSE)</f>
        <v>240.8</v>
      </c>
      <c r="AR401">
        <f>VLOOKUP($B401,Kraftvärmeprod!$B$1:$BX$549,MATCH("Summa tillförd energi exklusive rökgaskondensering",Kraftvärmeprod!$B$1:$BX$1,0),FALSE)</f>
        <v>1075.0439999999999</v>
      </c>
      <c r="AT401" s="17">
        <f t="shared" si="39"/>
        <v>0.44566344075219239</v>
      </c>
      <c r="AV401">
        <f t="shared" si="40"/>
        <v>230.32880799999998</v>
      </c>
      <c r="BA401" s="17">
        <f t="shared" si="41"/>
        <v>1.3136655158768122</v>
      </c>
    </row>
    <row r="402" spans="1:53" x14ac:dyDescent="0.25">
      <c r="A402" s="137" t="s">
        <v>725</v>
      </c>
      <c r="B402" s="137" t="s">
        <v>727</v>
      </c>
      <c r="C402" s="121"/>
      <c r="D402" s="121"/>
      <c r="E402" s="121"/>
      <c r="F402" s="121"/>
      <c r="G402" s="121"/>
      <c r="H402" s="121"/>
      <c r="I402" s="121"/>
      <c r="J402" s="121">
        <v>0</v>
      </c>
      <c r="K402" s="121">
        <v>0</v>
      </c>
      <c r="L402" s="121">
        <v>0</v>
      </c>
      <c r="M402" s="121">
        <v>0</v>
      </c>
      <c r="N402" s="121">
        <v>0</v>
      </c>
      <c r="O402" s="121">
        <v>0</v>
      </c>
      <c r="P402" s="121">
        <v>0</v>
      </c>
      <c r="Q402" s="121">
        <v>0</v>
      </c>
      <c r="R402" s="121">
        <v>0</v>
      </c>
      <c r="S402" s="121">
        <v>0</v>
      </c>
      <c r="T402" s="121">
        <v>0</v>
      </c>
      <c r="U402" s="121">
        <v>0</v>
      </c>
      <c r="V402" s="121" t="s">
        <v>1119</v>
      </c>
      <c r="W402" s="121">
        <v>0</v>
      </c>
      <c r="X402" s="121">
        <v>0</v>
      </c>
      <c r="Y402" s="121">
        <v>0</v>
      </c>
      <c r="Z402" s="121">
        <v>0</v>
      </c>
      <c r="AA402" s="121">
        <v>0</v>
      </c>
      <c r="AB402" s="121">
        <v>0</v>
      </c>
      <c r="AC402" s="121">
        <v>0</v>
      </c>
      <c r="AD402" s="121">
        <v>0</v>
      </c>
      <c r="AE402" s="121">
        <v>0</v>
      </c>
      <c r="AF402" s="121">
        <v>0</v>
      </c>
      <c r="AG402" s="121">
        <v>0</v>
      </c>
      <c r="AH402" s="121">
        <v>0</v>
      </c>
      <c r="AI402" s="121">
        <v>0</v>
      </c>
      <c r="AL402" s="14">
        <f t="shared" si="36"/>
        <v>0</v>
      </c>
      <c r="AM402">
        <f t="shared" si="37"/>
        <v>0</v>
      </c>
      <c r="AN402">
        <f t="shared" si="38"/>
        <v>0</v>
      </c>
      <c r="AP402">
        <f>VLOOKUP($B402,Kraftvärmeprod!$B$1:$BX$549,MATCH(AP$1,Kraftvärmeprod!$B$1:$BX$1,0),FALSE)</f>
        <v>0</v>
      </c>
      <c r="AQ402">
        <f>VLOOKUP($B402,Kraftvärmeprod!$B$1:$BX$549,MATCH(AQ$1,Kraftvärmeprod!$B$1:$BX$1,0),FALSE)</f>
        <v>0</v>
      </c>
      <c r="AR402">
        <f>VLOOKUP($B402,Kraftvärmeprod!$B$1:$BX$549,MATCH("Summa tillförd energi exklusive rökgaskondensering",Kraftvärmeprod!$B$1:$BX$1,0),FALSE)</f>
        <v>0</v>
      </c>
      <c r="AT402" s="17" t="str">
        <f t="shared" si="39"/>
        <v/>
      </c>
      <c r="AV402">
        <f t="shared" si="40"/>
        <v>0</v>
      </c>
      <c r="BA402" s="17" t="str">
        <f t="shared" si="41"/>
        <v/>
      </c>
    </row>
    <row r="403" spans="1:53" x14ac:dyDescent="0.25">
      <c r="A403" s="137" t="s">
        <v>725</v>
      </c>
      <c r="B403" s="137" t="s">
        <v>728</v>
      </c>
      <c r="C403" s="121"/>
      <c r="D403" s="121"/>
      <c r="E403" s="121"/>
      <c r="F403" s="121"/>
      <c r="G403" s="121"/>
      <c r="H403" s="121"/>
      <c r="I403" s="121"/>
      <c r="J403" s="121">
        <v>0</v>
      </c>
      <c r="K403" s="121">
        <v>0</v>
      </c>
      <c r="L403" s="121">
        <v>0</v>
      </c>
      <c r="M403" s="121">
        <v>0</v>
      </c>
      <c r="N403" s="121">
        <v>0</v>
      </c>
      <c r="O403" s="121">
        <v>0</v>
      </c>
      <c r="P403" s="121">
        <v>0</v>
      </c>
      <c r="Q403" s="121">
        <v>0</v>
      </c>
      <c r="R403" s="121">
        <v>0</v>
      </c>
      <c r="S403" s="121">
        <v>0</v>
      </c>
      <c r="T403" s="121">
        <v>0</v>
      </c>
      <c r="U403" s="121">
        <v>0</v>
      </c>
      <c r="V403" s="121" t="s">
        <v>1119</v>
      </c>
      <c r="W403" s="121">
        <v>0</v>
      </c>
      <c r="X403" s="121">
        <v>0</v>
      </c>
      <c r="Y403" s="121">
        <v>0</v>
      </c>
      <c r="Z403" s="121">
        <v>0</v>
      </c>
      <c r="AA403" s="121">
        <v>0</v>
      </c>
      <c r="AB403" s="121">
        <v>0</v>
      </c>
      <c r="AC403" s="121">
        <v>0</v>
      </c>
      <c r="AD403" s="121">
        <v>0</v>
      </c>
      <c r="AE403" s="121">
        <v>0</v>
      </c>
      <c r="AF403" s="121">
        <v>0</v>
      </c>
      <c r="AG403" s="121">
        <v>0</v>
      </c>
      <c r="AH403" s="121">
        <v>0</v>
      </c>
      <c r="AI403" s="121">
        <v>0</v>
      </c>
      <c r="AL403" s="14">
        <f t="shared" si="36"/>
        <v>0</v>
      </c>
      <c r="AM403">
        <f t="shared" si="37"/>
        <v>0</v>
      </c>
      <c r="AN403">
        <f t="shared" si="38"/>
        <v>0</v>
      </c>
      <c r="AP403">
        <f>VLOOKUP($B403,Kraftvärmeprod!$B$1:$BX$549,MATCH(AP$1,Kraftvärmeprod!$B$1:$BX$1,0),FALSE)</f>
        <v>0</v>
      </c>
      <c r="AQ403">
        <f>VLOOKUP($B403,Kraftvärmeprod!$B$1:$BX$549,MATCH(AQ$1,Kraftvärmeprod!$B$1:$BX$1,0),FALSE)</f>
        <v>0</v>
      </c>
      <c r="AR403">
        <f>VLOOKUP($B403,Kraftvärmeprod!$B$1:$BX$549,MATCH("Summa tillförd energi exklusive rökgaskondensering",Kraftvärmeprod!$B$1:$BX$1,0),FALSE)</f>
        <v>0</v>
      </c>
      <c r="AT403" s="17" t="str">
        <f t="shared" si="39"/>
        <v/>
      </c>
      <c r="AV403">
        <f t="shared" si="40"/>
        <v>0</v>
      </c>
      <c r="BA403" s="17" t="str">
        <f t="shared" si="41"/>
        <v/>
      </c>
    </row>
    <row r="404" spans="1:53" x14ac:dyDescent="0.25">
      <c r="A404" s="137" t="s">
        <v>725</v>
      </c>
      <c r="B404" s="137" t="s">
        <v>729</v>
      </c>
      <c r="C404" s="121"/>
      <c r="D404" s="121"/>
      <c r="E404" s="121"/>
      <c r="F404" s="121"/>
      <c r="G404" s="121"/>
      <c r="H404" s="121"/>
      <c r="I404" s="121"/>
      <c r="J404" s="121">
        <v>0</v>
      </c>
      <c r="K404" s="121">
        <v>0</v>
      </c>
      <c r="L404" s="121">
        <v>0</v>
      </c>
      <c r="M404" s="121">
        <v>0</v>
      </c>
      <c r="N404" s="121">
        <v>0</v>
      </c>
      <c r="O404" s="121">
        <v>0</v>
      </c>
      <c r="P404" s="121">
        <v>0</v>
      </c>
      <c r="Q404" s="121">
        <v>0</v>
      </c>
      <c r="R404" s="121">
        <v>0</v>
      </c>
      <c r="S404" s="121">
        <v>0</v>
      </c>
      <c r="T404" s="121">
        <v>0</v>
      </c>
      <c r="U404" s="121">
        <v>0</v>
      </c>
      <c r="V404" s="121" t="s">
        <v>1119</v>
      </c>
      <c r="W404" s="121">
        <v>0</v>
      </c>
      <c r="X404" s="121">
        <v>0</v>
      </c>
      <c r="Y404" s="121">
        <v>0</v>
      </c>
      <c r="Z404" s="121">
        <v>0</v>
      </c>
      <c r="AA404" s="121">
        <v>0</v>
      </c>
      <c r="AB404" s="121">
        <v>0</v>
      </c>
      <c r="AC404" s="121">
        <v>0</v>
      </c>
      <c r="AD404" s="121">
        <v>0</v>
      </c>
      <c r="AE404" s="121">
        <v>0</v>
      </c>
      <c r="AF404" s="121">
        <v>0</v>
      </c>
      <c r="AG404" s="121">
        <v>0</v>
      </c>
      <c r="AH404" s="121">
        <v>0</v>
      </c>
      <c r="AI404" s="121">
        <v>0</v>
      </c>
      <c r="AL404" s="14">
        <f t="shared" si="36"/>
        <v>0</v>
      </c>
      <c r="AM404">
        <f t="shared" si="37"/>
        <v>0</v>
      </c>
      <c r="AN404">
        <f t="shared" si="38"/>
        <v>0</v>
      </c>
      <c r="AP404">
        <f>VLOOKUP($B404,Kraftvärmeprod!$B$1:$BX$549,MATCH(AP$1,Kraftvärmeprod!$B$1:$BX$1,0),FALSE)</f>
        <v>0</v>
      </c>
      <c r="AQ404">
        <f>VLOOKUP($B404,Kraftvärmeprod!$B$1:$BX$549,MATCH(AQ$1,Kraftvärmeprod!$B$1:$BX$1,0),FALSE)</f>
        <v>0</v>
      </c>
      <c r="AR404">
        <f>VLOOKUP($B404,Kraftvärmeprod!$B$1:$BX$549,MATCH("Summa tillförd energi exklusive rökgaskondensering",Kraftvärmeprod!$B$1:$BX$1,0),FALSE)</f>
        <v>0</v>
      </c>
      <c r="AT404" s="17" t="str">
        <f t="shared" si="39"/>
        <v/>
      </c>
      <c r="AV404">
        <f t="shared" si="40"/>
        <v>0</v>
      </c>
      <c r="BA404" s="17" t="str">
        <f t="shared" si="41"/>
        <v/>
      </c>
    </row>
    <row r="405" spans="1:53" x14ac:dyDescent="0.25">
      <c r="A405" s="137" t="s">
        <v>730</v>
      </c>
      <c r="B405" s="137" t="s">
        <v>731</v>
      </c>
      <c r="C405" s="121"/>
      <c r="D405" s="121"/>
      <c r="E405" s="121"/>
      <c r="F405" s="121"/>
      <c r="G405" s="121"/>
      <c r="H405" s="121"/>
      <c r="I405" s="121"/>
      <c r="J405" s="121">
        <v>0</v>
      </c>
      <c r="K405" s="121">
        <v>0</v>
      </c>
      <c r="L405" s="121">
        <v>0</v>
      </c>
      <c r="M405" s="121">
        <v>0</v>
      </c>
      <c r="N405" s="121">
        <v>0</v>
      </c>
      <c r="O405" s="121">
        <v>0</v>
      </c>
      <c r="P405" s="121">
        <v>0</v>
      </c>
      <c r="Q405" s="121">
        <v>0</v>
      </c>
      <c r="R405" s="121">
        <v>0</v>
      </c>
      <c r="S405" s="121">
        <v>0</v>
      </c>
      <c r="T405" s="121">
        <v>0</v>
      </c>
      <c r="U405" s="121">
        <v>0</v>
      </c>
      <c r="V405" s="121" t="s">
        <v>1119</v>
      </c>
      <c r="W405" s="121">
        <v>0</v>
      </c>
      <c r="X405" s="121">
        <v>0</v>
      </c>
      <c r="Y405" s="121">
        <v>0</v>
      </c>
      <c r="Z405" s="121">
        <v>0</v>
      </c>
      <c r="AA405" s="121">
        <v>0</v>
      </c>
      <c r="AB405" s="121">
        <v>0</v>
      </c>
      <c r="AC405" s="121">
        <v>0</v>
      </c>
      <c r="AD405" s="121">
        <v>0</v>
      </c>
      <c r="AE405" s="121">
        <v>0</v>
      </c>
      <c r="AF405" s="121">
        <v>0</v>
      </c>
      <c r="AG405" s="121">
        <v>0</v>
      </c>
      <c r="AH405" s="121">
        <v>0</v>
      </c>
      <c r="AI405" s="121">
        <v>0</v>
      </c>
      <c r="AL405" s="14">
        <f t="shared" si="36"/>
        <v>0</v>
      </c>
      <c r="AM405">
        <f t="shared" si="37"/>
        <v>0</v>
      </c>
      <c r="AN405">
        <f t="shared" si="38"/>
        <v>0</v>
      </c>
      <c r="AP405">
        <f>VLOOKUP($B405,Kraftvärmeprod!$B$1:$BX$549,MATCH(AP$1,Kraftvärmeprod!$B$1:$BX$1,0),FALSE)</f>
        <v>0</v>
      </c>
      <c r="AQ405">
        <f>VLOOKUP($B405,Kraftvärmeprod!$B$1:$BX$549,MATCH(AQ$1,Kraftvärmeprod!$B$1:$BX$1,0),FALSE)</f>
        <v>0</v>
      </c>
      <c r="AR405">
        <f>VLOOKUP($B405,Kraftvärmeprod!$B$1:$BX$549,MATCH("Summa tillförd energi exklusive rökgaskondensering",Kraftvärmeprod!$B$1:$BX$1,0),FALSE)</f>
        <v>0</v>
      </c>
      <c r="AT405" s="17" t="str">
        <f t="shared" si="39"/>
        <v/>
      </c>
      <c r="AV405">
        <f t="shared" si="40"/>
        <v>0</v>
      </c>
      <c r="BA405" s="17" t="str">
        <f t="shared" si="41"/>
        <v/>
      </c>
    </row>
    <row r="406" spans="1:53" x14ac:dyDescent="0.25">
      <c r="A406" s="137" t="s">
        <v>732</v>
      </c>
      <c r="B406" s="137" t="s">
        <v>733</v>
      </c>
      <c r="C406" s="121"/>
      <c r="D406" s="121"/>
      <c r="E406" s="121"/>
      <c r="F406" s="121"/>
      <c r="G406" s="121"/>
      <c r="H406" s="121"/>
      <c r="I406" s="121"/>
      <c r="J406" s="121">
        <v>0</v>
      </c>
      <c r="K406" s="121">
        <v>0</v>
      </c>
      <c r="L406" s="121">
        <v>0</v>
      </c>
      <c r="M406" s="121">
        <v>0</v>
      </c>
      <c r="N406" s="121">
        <v>0</v>
      </c>
      <c r="O406" s="121">
        <v>0</v>
      </c>
      <c r="P406" s="121">
        <v>0</v>
      </c>
      <c r="Q406" s="121">
        <v>0</v>
      </c>
      <c r="R406" s="121">
        <v>0</v>
      </c>
      <c r="S406" s="121">
        <v>0</v>
      </c>
      <c r="T406" s="121">
        <v>0</v>
      </c>
      <c r="U406" s="121">
        <v>0</v>
      </c>
      <c r="V406" s="121" t="s">
        <v>1119</v>
      </c>
      <c r="W406" s="121">
        <v>0</v>
      </c>
      <c r="X406" s="121">
        <v>0</v>
      </c>
      <c r="Y406" s="121">
        <v>0</v>
      </c>
      <c r="Z406" s="121">
        <v>0</v>
      </c>
      <c r="AA406" s="121">
        <v>0</v>
      </c>
      <c r="AB406" s="121">
        <v>0</v>
      </c>
      <c r="AC406" s="121">
        <v>0</v>
      </c>
      <c r="AD406" s="121">
        <v>0</v>
      </c>
      <c r="AE406" s="121">
        <v>0</v>
      </c>
      <c r="AF406" s="121">
        <v>0</v>
      </c>
      <c r="AG406" s="121">
        <v>0</v>
      </c>
      <c r="AH406" s="121">
        <v>0</v>
      </c>
      <c r="AI406" s="121">
        <v>0</v>
      </c>
      <c r="AL406" s="14">
        <f t="shared" si="36"/>
        <v>0</v>
      </c>
      <c r="AM406">
        <f t="shared" si="37"/>
        <v>0</v>
      </c>
      <c r="AN406">
        <f t="shared" si="38"/>
        <v>0</v>
      </c>
      <c r="AP406">
        <f>VLOOKUP($B406,Kraftvärmeprod!$B$1:$BX$549,MATCH(AP$1,Kraftvärmeprod!$B$1:$BX$1,0),FALSE)</f>
        <v>0</v>
      </c>
      <c r="AQ406">
        <f>VLOOKUP($B406,Kraftvärmeprod!$B$1:$BX$549,MATCH(AQ$1,Kraftvärmeprod!$B$1:$BX$1,0),FALSE)</f>
        <v>0</v>
      </c>
      <c r="AR406">
        <f>VLOOKUP($B406,Kraftvärmeprod!$B$1:$BX$549,MATCH("Summa tillförd energi exklusive rökgaskondensering",Kraftvärmeprod!$B$1:$BX$1,0),FALSE)</f>
        <v>0</v>
      </c>
      <c r="AT406" s="17" t="str">
        <f t="shared" si="39"/>
        <v/>
      </c>
      <c r="AV406">
        <f t="shared" si="40"/>
        <v>0</v>
      </c>
      <c r="BA406" s="17" t="str">
        <f t="shared" si="41"/>
        <v/>
      </c>
    </row>
    <row r="407" spans="1:53" x14ac:dyDescent="0.25">
      <c r="A407" s="137" t="s">
        <v>149</v>
      </c>
      <c r="B407" s="137" t="s">
        <v>13</v>
      </c>
      <c r="C407" s="121"/>
      <c r="D407" s="121"/>
      <c r="E407" s="121"/>
      <c r="F407" s="121"/>
      <c r="G407" s="121"/>
      <c r="H407" s="121"/>
      <c r="I407" s="121"/>
      <c r="J407" s="121">
        <v>0</v>
      </c>
      <c r="K407" s="121">
        <v>0</v>
      </c>
      <c r="L407" s="121">
        <v>0</v>
      </c>
      <c r="M407" s="121">
        <v>0</v>
      </c>
      <c r="N407" s="121">
        <v>0</v>
      </c>
      <c r="O407" s="121">
        <v>0</v>
      </c>
      <c r="P407" s="121">
        <v>0</v>
      </c>
      <c r="Q407" s="121">
        <v>0</v>
      </c>
      <c r="R407" s="121">
        <v>0</v>
      </c>
      <c r="S407" s="121">
        <v>0</v>
      </c>
      <c r="T407" s="121">
        <v>0</v>
      </c>
      <c r="U407" s="121">
        <v>0</v>
      </c>
      <c r="V407" s="121" t="s">
        <v>1119</v>
      </c>
      <c r="W407" s="121">
        <v>0</v>
      </c>
      <c r="X407" s="121">
        <v>0</v>
      </c>
      <c r="Y407" s="121">
        <v>0</v>
      </c>
      <c r="Z407" s="121">
        <v>0</v>
      </c>
      <c r="AA407" s="121">
        <v>0</v>
      </c>
      <c r="AB407" s="121">
        <v>0</v>
      </c>
      <c r="AC407" s="121">
        <v>0</v>
      </c>
      <c r="AD407" s="121">
        <v>0</v>
      </c>
      <c r="AE407" s="121">
        <v>0</v>
      </c>
      <c r="AF407" s="121">
        <v>0</v>
      </c>
      <c r="AG407" s="121">
        <v>0</v>
      </c>
      <c r="AH407" s="121">
        <v>0</v>
      </c>
      <c r="AI407" s="121">
        <v>0</v>
      </c>
      <c r="AL407" s="14">
        <f t="shared" si="36"/>
        <v>0</v>
      </c>
      <c r="AM407">
        <f t="shared" si="37"/>
        <v>0</v>
      </c>
      <c r="AN407">
        <f t="shared" si="38"/>
        <v>0</v>
      </c>
      <c r="AP407">
        <f>VLOOKUP($B407,Kraftvärmeprod!$B$1:$BX$549,MATCH(AP$1,Kraftvärmeprod!$B$1:$BX$1,0),FALSE)</f>
        <v>0</v>
      </c>
      <c r="AQ407">
        <f>VLOOKUP($B407,Kraftvärmeprod!$B$1:$BX$549,MATCH(AQ$1,Kraftvärmeprod!$B$1:$BX$1,0),FALSE)</f>
        <v>0</v>
      </c>
      <c r="AR407">
        <f>VLOOKUP($B407,Kraftvärmeprod!$B$1:$BX$549,MATCH("Summa tillförd energi exklusive rökgaskondensering",Kraftvärmeprod!$B$1:$BX$1,0),FALSE)</f>
        <v>0</v>
      </c>
      <c r="AT407" s="17" t="str">
        <f t="shared" si="39"/>
        <v/>
      </c>
      <c r="AV407">
        <f t="shared" si="40"/>
        <v>0</v>
      </c>
      <c r="BA407" s="17" t="str">
        <f t="shared" si="41"/>
        <v/>
      </c>
    </row>
    <row r="408" spans="1:53" x14ac:dyDescent="0.25">
      <c r="A408" s="137" t="s">
        <v>12</v>
      </c>
      <c r="B408" s="141" t="s">
        <v>14</v>
      </c>
      <c r="C408" s="121"/>
      <c r="D408" s="121"/>
      <c r="E408" s="121"/>
      <c r="F408" s="121"/>
      <c r="G408" s="121"/>
      <c r="H408" s="121"/>
      <c r="I408" s="121"/>
      <c r="J408" s="121" t="s">
        <v>1119</v>
      </c>
      <c r="K408" s="121" t="s">
        <v>1119</v>
      </c>
      <c r="L408" s="121" t="s">
        <v>1119</v>
      </c>
      <c r="M408" s="121" t="s">
        <v>1119</v>
      </c>
      <c r="N408" s="121" t="s">
        <v>1119</v>
      </c>
      <c r="O408" s="121" t="s">
        <v>1119</v>
      </c>
      <c r="P408" s="121" t="s">
        <v>1119</v>
      </c>
      <c r="Q408" s="121" t="s">
        <v>1119</v>
      </c>
      <c r="R408" s="121" t="s">
        <v>1119</v>
      </c>
      <c r="S408" s="121" t="s">
        <v>1119</v>
      </c>
      <c r="T408" s="121" t="s">
        <v>1119</v>
      </c>
      <c r="U408" s="121" t="s">
        <v>1119</v>
      </c>
      <c r="V408" s="121" t="s">
        <v>1119</v>
      </c>
      <c r="W408" s="121" t="s">
        <v>1119</v>
      </c>
      <c r="X408" s="121" t="s">
        <v>1119</v>
      </c>
      <c r="Y408" s="121" t="s">
        <v>1119</v>
      </c>
      <c r="Z408" s="121" t="s">
        <v>1119</v>
      </c>
      <c r="AA408" s="121" t="s">
        <v>1119</v>
      </c>
      <c r="AB408" s="121" t="s">
        <v>1119</v>
      </c>
      <c r="AC408" s="121" t="s">
        <v>1119</v>
      </c>
      <c r="AD408" s="121" t="s">
        <v>1119</v>
      </c>
      <c r="AE408" s="121" t="s">
        <v>1119</v>
      </c>
      <c r="AF408" s="121" t="s">
        <v>1119</v>
      </c>
      <c r="AG408" s="121" t="s">
        <v>1119</v>
      </c>
      <c r="AH408" s="121" t="s">
        <v>1119</v>
      </c>
      <c r="AI408" s="121" t="s">
        <v>1119</v>
      </c>
      <c r="AL408" s="14">
        <f t="shared" si="36"/>
        <v>0</v>
      </c>
      <c r="AM408">
        <f t="shared" si="37"/>
        <v>0</v>
      </c>
      <c r="AN408">
        <f t="shared" si="38"/>
        <v>0</v>
      </c>
      <c r="AP408">
        <f>VLOOKUP($B408,Kraftvärmeprod!$B$1:$BX$549,MATCH(AP$1,Kraftvärmeprod!$B$1:$BX$1,0),FALSE)</f>
        <v>0</v>
      </c>
      <c r="AQ408">
        <f>VLOOKUP($B408,Kraftvärmeprod!$B$1:$BX$549,MATCH(AQ$1,Kraftvärmeprod!$B$1:$BX$1,0),FALSE)</f>
        <v>0</v>
      </c>
      <c r="AR408">
        <f>VLOOKUP($B408,Kraftvärmeprod!$B$1:$BX$549,MATCH("Summa tillförd energi exklusive rökgaskondensering",Kraftvärmeprod!$B$1:$BX$1,0),FALSE)</f>
        <v>0</v>
      </c>
      <c r="AT408" s="17" t="str">
        <f t="shared" si="39"/>
        <v/>
      </c>
      <c r="AV408" t="e">
        <f t="shared" si="40"/>
        <v>#VALUE!</v>
      </c>
      <c r="BA408" s="17" t="str">
        <f t="shared" si="41"/>
        <v/>
      </c>
    </row>
    <row r="409" spans="1:53" x14ac:dyDescent="0.25">
      <c r="A409" s="137" t="s">
        <v>734</v>
      </c>
      <c r="B409" s="137" t="s">
        <v>735</v>
      </c>
      <c r="C409" s="121"/>
      <c r="D409" s="121"/>
      <c r="E409" s="121"/>
      <c r="F409" s="121"/>
      <c r="G409" s="121"/>
      <c r="H409" s="121"/>
      <c r="I409" s="121"/>
      <c r="J409" s="121">
        <v>0</v>
      </c>
      <c r="K409" s="121">
        <v>0</v>
      </c>
      <c r="L409" s="121">
        <v>0</v>
      </c>
      <c r="M409" s="121">
        <v>0</v>
      </c>
      <c r="N409" s="121">
        <v>0</v>
      </c>
      <c r="O409" s="121">
        <v>0</v>
      </c>
      <c r="P409" s="121">
        <v>0</v>
      </c>
      <c r="Q409" s="121">
        <v>0</v>
      </c>
      <c r="R409" s="121">
        <v>0</v>
      </c>
      <c r="S409" s="121">
        <v>0</v>
      </c>
      <c r="T409" s="121">
        <v>0</v>
      </c>
      <c r="U409" s="121">
        <v>0</v>
      </c>
      <c r="V409" s="121" t="s">
        <v>1119</v>
      </c>
      <c r="W409" s="121">
        <v>0</v>
      </c>
      <c r="X409" s="121">
        <v>0</v>
      </c>
      <c r="Y409" s="121">
        <v>0</v>
      </c>
      <c r="Z409" s="121">
        <v>0</v>
      </c>
      <c r="AA409" s="121">
        <v>0</v>
      </c>
      <c r="AB409" s="121">
        <v>0</v>
      </c>
      <c r="AC409" s="121">
        <v>0</v>
      </c>
      <c r="AD409" s="121">
        <v>0</v>
      </c>
      <c r="AE409" s="121">
        <v>0</v>
      </c>
      <c r="AF409" s="121">
        <v>0</v>
      </c>
      <c r="AG409" s="121">
        <v>0</v>
      </c>
      <c r="AH409" s="121">
        <v>0</v>
      </c>
      <c r="AI409" s="121">
        <v>0</v>
      </c>
      <c r="AL409" s="14">
        <f t="shared" si="36"/>
        <v>0</v>
      </c>
      <c r="AM409">
        <f t="shared" si="37"/>
        <v>0</v>
      </c>
      <c r="AN409">
        <f t="shared" si="38"/>
        <v>0</v>
      </c>
      <c r="AP409">
        <f>VLOOKUP($B409,Kraftvärmeprod!$B$1:$BX$549,MATCH(AP$1,Kraftvärmeprod!$B$1:$BX$1,0),FALSE)</f>
        <v>0</v>
      </c>
      <c r="AQ409">
        <f>VLOOKUP($B409,Kraftvärmeprod!$B$1:$BX$549,MATCH(AQ$1,Kraftvärmeprod!$B$1:$BX$1,0),FALSE)</f>
        <v>0</v>
      </c>
      <c r="AR409">
        <f>VLOOKUP($B409,Kraftvärmeprod!$B$1:$BX$549,MATCH("Summa tillförd energi exklusive rökgaskondensering",Kraftvärmeprod!$B$1:$BX$1,0),FALSE)</f>
        <v>0</v>
      </c>
      <c r="AT409" s="17" t="str">
        <f t="shared" si="39"/>
        <v/>
      </c>
      <c r="AV409">
        <f t="shared" si="40"/>
        <v>0</v>
      </c>
      <c r="BA409" s="17" t="str">
        <f t="shared" si="41"/>
        <v/>
      </c>
    </row>
    <row r="410" spans="1:53" x14ac:dyDescent="0.25">
      <c r="A410" s="137" t="s">
        <v>734</v>
      </c>
      <c r="B410" s="137" t="s">
        <v>736</v>
      </c>
      <c r="C410" s="121"/>
      <c r="D410" s="121"/>
      <c r="E410" s="121"/>
      <c r="F410" s="121"/>
      <c r="G410" s="121"/>
      <c r="H410" s="121"/>
      <c r="I410" s="121"/>
      <c r="J410" s="121">
        <v>0</v>
      </c>
      <c r="K410" s="121">
        <v>0</v>
      </c>
      <c r="L410" s="121">
        <v>0</v>
      </c>
      <c r="M410" s="121">
        <v>0</v>
      </c>
      <c r="N410" s="121">
        <v>0</v>
      </c>
      <c r="O410" s="121">
        <v>0</v>
      </c>
      <c r="P410" s="121">
        <v>0</v>
      </c>
      <c r="Q410" s="121">
        <v>0</v>
      </c>
      <c r="R410" s="121">
        <v>0</v>
      </c>
      <c r="S410" s="121">
        <v>0</v>
      </c>
      <c r="T410" s="121">
        <v>0</v>
      </c>
      <c r="U410" s="121">
        <v>0</v>
      </c>
      <c r="V410" s="121" t="s">
        <v>1119</v>
      </c>
      <c r="W410" s="121">
        <v>0</v>
      </c>
      <c r="X410" s="121">
        <v>0</v>
      </c>
      <c r="Y410" s="121">
        <v>0</v>
      </c>
      <c r="Z410" s="121">
        <v>0</v>
      </c>
      <c r="AA410" s="121">
        <v>0</v>
      </c>
      <c r="AB410" s="121">
        <v>0</v>
      </c>
      <c r="AC410" s="121">
        <v>0</v>
      </c>
      <c r="AD410" s="121">
        <v>0</v>
      </c>
      <c r="AE410" s="121">
        <v>0</v>
      </c>
      <c r="AF410" s="121">
        <v>0</v>
      </c>
      <c r="AG410" s="121">
        <v>0</v>
      </c>
      <c r="AH410" s="121">
        <v>0</v>
      </c>
      <c r="AI410" s="121">
        <v>0</v>
      </c>
      <c r="AL410" s="14">
        <f t="shared" si="36"/>
        <v>0</v>
      </c>
      <c r="AM410">
        <f t="shared" si="37"/>
        <v>0</v>
      </c>
      <c r="AN410">
        <f t="shared" si="38"/>
        <v>0</v>
      </c>
      <c r="AP410">
        <f>VLOOKUP($B410,Kraftvärmeprod!$B$1:$BX$549,MATCH(AP$1,Kraftvärmeprod!$B$1:$BX$1,0),FALSE)</f>
        <v>0</v>
      </c>
      <c r="AQ410">
        <f>VLOOKUP($B410,Kraftvärmeprod!$B$1:$BX$549,MATCH(AQ$1,Kraftvärmeprod!$B$1:$BX$1,0),FALSE)</f>
        <v>0</v>
      </c>
      <c r="AR410">
        <f>VLOOKUP($B410,Kraftvärmeprod!$B$1:$BX$549,MATCH("Summa tillförd energi exklusive rökgaskondensering",Kraftvärmeprod!$B$1:$BX$1,0),FALSE)</f>
        <v>0</v>
      </c>
      <c r="AT410" s="17" t="str">
        <f t="shared" si="39"/>
        <v/>
      </c>
      <c r="AV410">
        <f t="shared" si="40"/>
        <v>0</v>
      </c>
      <c r="BA410" s="17" t="str">
        <f t="shared" si="41"/>
        <v/>
      </c>
    </row>
    <row r="411" spans="1:53" x14ac:dyDescent="0.25">
      <c r="A411" s="137" t="s">
        <v>734</v>
      </c>
      <c r="B411" s="137" t="s">
        <v>737</v>
      </c>
      <c r="C411" s="121"/>
      <c r="D411" s="121"/>
      <c r="E411" s="121"/>
      <c r="F411" s="121"/>
      <c r="G411" s="121"/>
      <c r="H411" s="121"/>
      <c r="I411" s="121"/>
      <c r="J411" s="121">
        <v>0</v>
      </c>
      <c r="K411" s="121">
        <v>0</v>
      </c>
      <c r="L411" s="121">
        <v>0</v>
      </c>
      <c r="M411" s="121">
        <v>0</v>
      </c>
      <c r="N411" s="121">
        <v>0</v>
      </c>
      <c r="O411" s="121">
        <v>0</v>
      </c>
      <c r="P411" s="121">
        <v>0</v>
      </c>
      <c r="Q411" s="121">
        <v>0</v>
      </c>
      <c r="R411" s="121">
        <v>0</v>
      </c>
      <c r="S411" s="121">
        <v>0</v>
      </c>
      <c r="T411" s="121">
        <v>0</v>
      </c>
      <c r="U411" s="121">
        <v>0</v>
      </c>
      <c r="V411" s="121" t="s">
        <v>1119</v>
      </c>
      <c r="W411" s="121">
        <v>0</v>
      </c>
      <c r="X411" s="121">
        <v>0</v>
      </c>
      <c r="Y411" s="121">
        <v>0</v>
      </c>
      <c r="Z411" s="121">
        <v>0</v>
      </c>
      <c r="AA411" s="121">
        <v>0</v>
      </c>
      <c r="AB411" s="121">
        <v>0</v>
      </c>
      <c r="AC411" s="121">
        <v>0</v>
      </c>
      <c r="AD411" s="121">
        <v>0</v>
      </c>
      <c r="AE411" s="121">
        <v>0</v>
      </c>
      <c r="AF411" s="121">
        <v>0</v>
      </c>
      <c r="AG411" s="121">
        <v>0</v>
      </c>
      <c r="AH411" s="121">
        <v>0</v>
      </c>
      <c r="AI411" s="121">
        <v>0</v>
      </c>
      <c r="AL411" s="14">
        <f t="shared" si="36"/>
        <v>0</v>
      </c>
      <c r="AM411">
        <f t="shared" si="37"/>
        <v>0</v>
      </c>
      <c r="AN411">
        <f t="shared" si="38"/>
        <v>0</v>
      </c>
      <c r="AP411">
        <f>VLOOKUP($B411,Kraftvärmeprod!$B$1:$BX$549,MATCH(AP$1,Kraftvärmeprod!$B$1:$BX$1,0),FALSE)</f>
        <v>0</v>
      </c>
      <c r="AQ411">
        <f>VLOOKUP($B411,Kraftvärmeprod!$B$1:$BX$549,MATCH(AQ$1,Kraftvärmeprod!$B$1:$BX$1,0),FALSE)</f>
        <v>0</v>
      </c>
      <c r="AR411">
        <f>VLOOKUP($B411,Kraftvärmeprod!$B$1:$BX$549,MATCH("Summa tillförd energi exklusive rökgaskondensering",Kraftvärmeprod!$B$1:$BX$1,0),FALSE)</f>
        <v>0</v>
      </c>
      <c r="AT411" s="17" t="str">
        <f t="shared" si="39"/>
        <v/>
      </c>
      <c r="AV411">
        <f t="shared" si="40"/>
        <v>0</v>
      </c>
      <c r="BA411" s="17" t="str">
        <f t="shared" si="41"/>
        <v/>
      </c>
    </row>
    <row r="412" spans="1:53" x14ac:dyDescent="0.25">
      <c r="A412" s="137" t="s">
        <v>734</v>
      </c>
      <c r="B412" s="137" t="s">
        <v>738</v>
      </c>
      <c r="C412" s="121"/>
      <c r="D412" s="121"/>
      <c r="E412" s="121"/>
      <c r="F412" s="121"/>
      <c r="G412" s="121"/>
      <c r="H412" s="121"/>
      <c r="I412" s="121"/>
      <c r="J412" s="121">
        <v>0</v>
      </c>
      <c r="K412" s="121">
        <v>0</v>
      </c>
      <c r="L412" s="121">
        <v>0</v>
      </c>
      <c r="M412" s="121">
        <v>0</v>
      </c>
      <c r="N412" s="121">
        <v>0</v>
      </c>
      <c r="O412" s="121">
        <v>0</v>
      </c>
      <c r="P412" s="121">
        <v>0</v>
      </c>
      <c r="Q412" s="121">
        <v>0</v>
      </c>
      <c r="R412" s="121">
        <v>0</v>
      </c>
      <c r="S412" s="121">
        <v>0</v>
      </c>
      <c r="T412" s="121">
        <v>0</v>
      </c>
      <c r="U412" s="121">
        <v>0</v>
      </c>
      <c r="V412" s="121" t="s">
        <v>1119</v>
      </c>
      <c r="W412" s="121">
        <v>0</v>
      </c>
      <c r="X412" s="121">
        <v>0</v>
      </c>
      <c r="Y412" s="121">
        <v>0</v>
      </c>
      <c r="Z412" s="121">
        <v>0</v>
      </c>
      <c r="AA412" s="121">
        <v>0</v>
      </c>
      <c r="AB412" s="121">
        <v>0</v>
      </c>
      <c r="AC412" s="121">
        <v>0</v>
      </c>
      <c r="AD412" s="121">
        <v>0</v>
      </c>
      <c r="AE412" s="121">
        <v>0</v>
      </c>
      <c r="AF412" s="121">
        <v>0</v>
      </c>
      <c r="AG412" s="121">
        <v>0</v>
      </c>
      <c r="AH412" s="121">
        <v>0</v>
      </c>
      <c r="AI412" s="121">
        <v>0</v>
      </c>
      <c r="AL412" s="14">
        <f t="shared" si="36"/>
        <v>0</v>
      </c>
      <c r="AM412">
        <f t="shared" si="37"/>
        <v>0</v>
      </c>
      <c r="AN412">
        <f t="shared" si="38"/>
        <v>0</v>
      </c>
      <c r="AP412">
        <f>VLOOKUP($B412,Kraftvärmeprod!$B$1:$BX$549,MATCH(AP$1,Kraftvärmeprod!$B$1:$BX$1,0),FALSE)</f>
        <v>0</v>
      </c>
      <c r="AQ412">
        <f>VLOOKUP($B412,Kraftvärmeprod!$B$1:$BX$549,MATCH(AQ$1,Kraftvärmeprod!$B$1:$BX$1,0),FALSE)</f>
        <v>0</v>
      </c>
      <c r="AR412">
        <f>VLOOKUP($B412,Kraftvärmeprod!$B$1:$BX$549,MATCH("Summa tillförd energi exklusive rökgaskondensering",Kraftvärmeprod!$B$1:$BX$1,0),FALSE)</f>
        <v>0</v>
      </c>
      <c r="AT412" s="17" t="str">
        <f t="shared" si="39"/>
        <v/>
      </c>
      <c r="AV412">
        <f t="shared" si="40"/>
        <v>0</v>
      </c>
      <c r="BA412" s="17" t="str">
        <f t="shared" si="41"/>
        <v/>
      </c>
    </row>
    <row r="413" spans="1:53" x14ac:dyDescent="0.25">
      <c r="A413" s="137" t="s">
        <v>734</v>
      </c>
      <c r="B413" s="137" t="s">
        <v>739</v>
      </c>
      <c r="C413" s="121"/>
      <c r="D413" s="121"/>
      <c r="E413" s="121"/>
      <c r="F413" s="121"/>
      <c r="G413" s="121"/>
      <c r="H413" s="121"/>
      <c r="I413" s="121"/>
      <c r="J413" s="121">
        <v>0</v>
      </c>
      <c r="K413" s="121">
        <v>9.6077999999999992</v>
      </c>
      <c r="L413" s="121">
        <v>0</v>
      </c>
      <c r="M413" s="121">
        <v>4.5744899999999999</v>
      </c>
      <c r="N413" s="121">
        <v>0</v>
      </c>
      <c r="O413" s="121">
        <v>0</v>
      </c>
      <c r="P413" s="121">
        <v>9.4079599999999992</v>
      </c>
      <c r="Q413" s="121">
        <v>115.14100000000001</v>
      </c>
      <c r="R413" s="121">
        <v>32.734900000000003</v>
      </c>
      <c r="S413" s="121">
        <v>45.821199999999997</v>
      </c>
      <c r="T413" s="121">
        <v>0</v>
      </c>
      <c r="U413" s="121">
        <v>0</v>
      </c>
      <c r="V413" s="121" t="s">
        <v>1119</v>
      </c>
      <c r="W413" s="121">
        <v>0</v>
      </c>
      <c r="X413" s="121">
        <v>0</v>
      </c>
      <c r="Y413" s="121">
        <v>0</v>
      </c>
      <c r="Z413" s="121">
        <v>0</v>
      </c>
      <c r="AA413" s="121">
        <v>0</v>
      </c>
      <c r="AB413" s="121">
        <v>0</v>
      </c>
      <c r="AC413" s="121">
        <v>0</v>
      </c>
      <c r="AD413" s="121">
        <v>39.361499999999999</v>
      </c>
      <c r="AE413" s="121">
        <v>0</v>
      </c>
      <c r="AF413" s="121">
        <v>4.4244500000000002</v>
      </c>
      <c r="AG413" s="121">
        <v>0</v>
      </c>
      <c r="AH413" s="121">
        <v>0</v>
      </c>
      <c r="AI413" s="121">
        <v>9.2359500000000008</v>
      </c>
      <c r="AL413" s="14">
        <f t="shared" si="36"/>
        <v>270.30924999999996</v>
      </c>
      <c r="AM413">
        <f t="shared" si="37"/>
        <v>261.07329999999996</v>
      </c>
      <c r="AN413">
        <f t="shared" si="38"/>
        <v>261.07329999999996</v>
      </c>
      <c r="AP413">
        <f>VLOOKUP($B413,Kraftvärmeprod!$B$1:$BX$549,MATCH(AP$1,Kraftvärmeprod!$B$1:$BX$1,0),FALSE)</f>
        <v>277.00900000000001</v>
      </c>
      <c r="AQ413">
        <f>VLOOKUP($B413,Kraftvärmeprod!$B$1:$BX$549,MATCH(AQ$1,Kraftvärmeprod!$B$1:$BX$1,0),FALSE)</f>
        <v>102.431</v>
      </c>
      <c r="AR413">
        <f>VLOOKUP($B413,Kraftvärmeprod!$B$1:$BX$549,MATCH("Summa tillförd energi exklusive rökgaskondensering",Kraftvärmeprod!$B$1:$BX$1,0),FALSE)</f>
        <v>503.23899999999992</v>
      </c>
      <c r="AT413" s="17">
        <f t="shared" si="39"/>
        <v>0.51878590490800591</v>
      </c>
      <c r="AV413">
        <f t="shared" si="40"/>
        <v>203.10506000000001</v>
      </c>
      <c r="BA413" s="17">
        <f t="shared" si="41"/>
        <v>1.0247855003112178</v>
      </c>
    </row>
    <row r="414" spans="1:53" x14ac:dyDescent="0.25">
      <c r="A414" s="137" t="s">
        <v>734</v>
      </c>
      <c r="B414" s="137" t="s">
        <v>740</v>
      </c>
      <c r="C414" s="121"/>
      <c r="D414" s="121"/>
      <c r="E414" s="121"/>
      <c r="F414" s="121"/>
      <c r="G414" s="121"/>
      <c r="H414" s="121"/>
      <c r="I414" s="121"/>
      <c r="J414" s="121">
        <v>0</v>
      </c>
      <c r="K414" s="121">
        <v>0</v>
      </c>
      <c r="L414" s="121">
        <v>0</v>
      </c>
      <c r="M414" s="121">
        <v>0.101992</v>
      </c>
      <c r="N414" s="121">
        <v>0</v>
      </c>
      <c r="O414" s="121">
        <v>0</v>
      </c>
      <c r="P414" s="121">
        <v>3.9522699999999999</v>
      </c>
      <c r="Q414" s="121">
        <v>57.287300000000002</v>
      </c>
      <c r="R414" s="121">
        <v>18.327200000000001</v>
      </c>
      <c r="S414" s="121">
        <v>23.974699999999999</v>
      </c>
      <c r="T414" s="121">
        <v>0</v>
      </c>
      <c r="U414" s="121">
        <v>0</v>
      </c>
      <c r="V414" s="121" t="s">
        <v>1119</v>
      </c>
      <c r="W414" s="121">
        <v>0</v>
      </c>
      <c r="X414" s="121">
        <v>0</v>
      </c>
      <c r="Y414" s="121">
        <v>0</v>
      </c>
      <c r="Z414" s="121">
        <v>0</v>
      </c>
      <c r="AA414" s="121">
        <v>0</v>
      </c>
      <c r="AB414" s="121">
        <v>0</v>
      </c>
      <c r="AC414" s="121">
        <v>0</v>
      </c>
      <c r="AD414" s="121">
        <v>22.1587</v>
      </c>
      <c r="AE414" s="121">
        <v>0</v>
      </c>
      <c r="AF414" s="121">
        <v>2.67638</v>
      </c>
      <c r="AG414" s="121">
        <v>0</v>
      </c>
      <c r="AH414" s="121">
        <v>75.570999999999998</v>
      </c>
      <c r="AI414" s="121">
        <v>5.6135900000000003</v>
      </c>
      <c r="AL414" s="14">
        <f t="shared" si="36"/>
        <v>209.66313199999999</v>
      </c>
      <c r="AM414">
        <f t="shared" si="37"/>
        <v>204.049542</v>
      </c>
      <c r="AN414">
        <f t="shared" si="38"/>
        <v>128.478542</v>
      </c>
      <c r="AP414">
        <f>VLOOKUP($B414,Kraftvärmeprod!$B$1:$BX$549,MATCH(AP$1,Kraftvärmeprod!$B$1:$BX$1,0),FALSE)</f>
        <v>185.27</v>
      </c>
      <c r="AQ414">
        <f>VLOOKUP($B414,Kraftvärmeprod!$B$1:$BX$549,MATCH(AQ$1,Kraftvärmeprod!$B$1:$BX$1,0),FALSE)</f>
        <v>105.07899999999999</v>
      </c>
      <c r="AR414">
        <f>VLOOKUP($B414,Kraftvärmeprod!$B$1:$BX$549,MATCH("Summa tillförd energi exklusive rökgaskondensering",Kraftvärmeprod!$B$1:$BX$1,0),FALSE)</f>
        <v>312.82000000000005</v>
      </c>
      <c r="AT414" s="17">
        <f t="shared" si="39"/>
        <v>0.41071076657502714</v>
      </c>
      <c r="AV414">
        <f t="shared" si="40"/>
        <v>103.54147</v>
      </c>
      <c r="BA414" s="17">
        <f t="shared" si="41"/>
        <v>1.3816619755139699</v>
      </c>
    </row>
    <row r="415" spans="1:53" x14ac:dyDescent="0.25">
      <c r="A415" s="137"/>
      <c r="B415" s="137"/>
      <c r="C415" s="121"/>
      <c r="D415" s="121"/>
      <c r="E415" s="121"/>
      <c r="F415" s="121"/>
      <c r="G415" s="121"/>
      <c r="H415" s="121"/>
      <c r="I415" s="121"/>
      <c r="J415" s="121"/>
      <c r="K415" s="121"/>
      <c r="L415" s="121"/>
      <c r="M415" s="121"/>
      <c r="N415" s="121"/>
      <c r="O415" s="121"/>
      <c r="P415" s="121"/>
      <c r="Q415" s="121"/>
      <c r="R415" s="121"/>
      <c r="S415" s="121"/>
      <c r="T415" s="121"/>
      <c r="U415" s="121"/>
      <c r="V415" s="121"/>
      <c r="W415" s="121"/>
      <c r="X415" s="121">
        <v>0</v>
      </c>
      <c r="Y415" s="121"/>
      <c r="Z415" s="121"/>
      <c r="AA415" s="121"/>
      <c r="AB415" s="121"/>
      <c r="AC415" s="121"/>
      <c r="AD415" s="121"/>
      <c r="AE415" s="121"/>
      <c r="AF415" s="121"/>
      <c r="AG415" s="121"/>
      <c r="AH415" s="121"/>
      <c r="AI415" s="121"/>
    </row>
    <row r="416" spans="1:53" x14ac:dyDescent="0.25">
      <c r="A416" s="137"/>
      <c r="B416" s="137"/>
      <c r="C416" s="121"/>
      <c r="D416" s="121"/>
      <c r="E416" s="121"/>
      <c r="F416" s="121"/>
      <c r="G416" s="121"/>
      <c r="H416" s="121"/>
      <c r="I416" s="121"/>
      <c r="J416" s="121"/>
      <c r="K416" s="121"/>
      <c r="L416" s="121"/>
      <c r="M416" s="121"/>
      <c r="N416" s="121"/>
      <c r="O416" s="121"/>
      <c r="P416" s="121"/>
      <c r="Q416" s="121"/>
      <c r="R416" s="121"/>
      <c r="S416" s="121"/>
      <c r="T416" s="121"/>
      <c r="U416" s="121"/>
      <c r="V416" s="121"/>
      <c r="W416" s="121"/>
      <c r="X416" s="121">
        <v>0</v>
      </c>
      <c r="Y416" s="121"/>
      <c r="Z416" s="121"/>
      <c r="AA416" s="121"/>
      <c r="AB416" s="121"/>
      <c r="AC416" s="121"/>
      <c r="AD416" s="121"/>
      <c r="AE416" s="121"/>
      <c r="AF416" s="121"/>
      <c r="AG416" s="121"/>
      <c r="AH416" s="121"/>
      <c r="AI416" s="121"/>
    </row>
    <row r="417" spans="1:35" x14ac:dyDescent="0.25">
      <c r="A417" s="137"/>
      <c r="B417" s="137"/>
      <c r="C417" s="121"/>
      <c r="D417" s="121"/>
      <c r="E417" s="121"/>
      <c r="F417" s="121"/>
      <c r="G417" s="121"/>
      <c r="H417" s="121"/>
      <c r="I417" s="121"/>
      <c r="J417" s="121"/>
      <c r="K417" s="121"/>
      <c r="L417" s="121"/>
      <c r="M417" s="121"/>
      <c r="N417" s="121"/>
      <c r="O417" s="121"/>
      <c r="P417" s="121"/>
      <c r="Q417" s="121"/>
      <c r="R417" s="121"/>
      <c r="S417" s="121"/>
      <c r="T417" s="121"/>
      <c r="U417" s="121"/>
      <c r="V417" s="121"/>
      <c r="W417" s="121"/>
      <c r="X417" s="121">
        <v>0</v>
      </c>
      <c r="Y417" s="121"/>
      <c r="Z417" s="121"/>
      <c r="AA417" s="121"/>
      <c r="AB417" s="121"/>
      <c r="AC417" s="121"/>
      <c r="AD417" s="121"/>
      <c r="AE417" s="121"/>
      <c r="AF417" s="121"/>
      <c r="AG417" s="121"/>
      <c r="AH417" s="121"/>
      <c r="AI417" s="121"/>
    </row>
    <row r="418" spans="1:35" x14ac:dyDescent="0.25">
      <c r="A418" s="137"/>
      <c r="B418" s="137"/>
      <c r="C418" s="121"/>
      <c r="D418" s="121"/>
      <c r="E418" s="121"/>
      <c r="F418" s="121"/>
      <c r="G418" s="121"/>
      <c r="H418" s="121"/>
      <c r="I418" s="121"/>
      <c r="J418" s="121"/>
      <c r="K418" s="121"/>
      <c r="L418" s="121"/>
      <c r="M418" s="121"/>
      <c r="N418" s="121"/>
      <c r="O418" s="121"/>
      <c r="P418" s="121"/>
      <c r="Q418" s="121"/>
      <c r="R418" s="121"/>
      <c r="S418" s="121"/>
      <c r="T418" s="121"/>
      <c r="U418" s="121"/>
      <c r="V418" s="121"/>
      <c r="W418" s="121"/>
      <c r="X418" s="121">
        <v>0</v>
      </c>
      <c r="Y418" s="121"/>
      <c r="Z418" s="121"/>
      <c r="AA418" s="121"/>
      <c r="AB418" s="121"/>
      <c r="AC418" s="121"/>
      <c r="AD418" s="121"/>
      <c r="AE418" s="121"/>
      <c r="AF418" s="121"/>
      <c r="AG418" s="121"/>
      <c r="AH418" s="121"/>
      <c r="AI418" s="121"/>
    </row>
    <row r="419" spans="1:35" x14ac:dyDescent="0.25">
      <c r="A419" s="137"/>
      <c r="B419" s="137"/>
      <c r="C419" s="121"/>
      <c r="D419" s="121"/>
      <c r="E419" s="121"/>
      <c r="F419" s="121"/>
      <c r="G419" s="121"/>
      <c r="H419" s="121"/>
      <c r="I419" s="121"/>
      <c r="J419" s="121"/>
      <c r="K419" s="121"/>
      <c r="L419" s="121"/>
      <c r="M419" s="121"/>
      <c r="N419" s="121"/>
      <c r="O419" s="121"/>
      <c r="P419" s="121"/>
      <c r="Q419" s="121"/>
      <c r="R419" s="121"/>
      <c r="S419" s="121"/>
      <c r="T419" s="121"/>
      <c r="U419" s="121"/>
      <c r="V419" s="121"/>
      <c r="W419" s="121"/>
      <c r="X419" s="121">
        <v>0</v>
      </c>
      <c r="Y419" s="121"/>
      <c r="Z419" s="121"/>
      <c r="AA419" s="121"/>
      <c r="AB419" s="121"/>
      <c r="AC419" s="121"/>
      <c r="AD419" s="121"/>
      <c r="AE419" s="121"/>
      <c r="AF419" s="121"/>
      <c r="AG419" s="121"/>
      <c r="AH419" s="121"/>
      <c r="AI419" s="121"/>
    </row>
    <row r="420" spans="1:35" x14ac:dyDescent="0.25">
      <c r="A420" s="137"/>
      <c r="B420" s="137"/>
      <c r="C420" s="121"/>
      <c r="D420" s="121"/>
      <c r="E420" s="121"/>
      <c r="F420" s="121"/>
      <c r="G420" s="121"/>
      <c r="H420" s="121"/>
      <c r="I420" s="121"/>
      <c r="J420" s="121"/>
      <c r="K420" s="121"/>
      <c r="L420" s="121"/>
      <c r="M420" s="121"/>
      <c r="N420" s="121"/>
      <c r="O420" s="121"/>
      <c r="P420" s="121"/>
      <c r="Q420" s="121"/>
      <c r="R420" s="121"/>
      <c r="S420" s="121"/>
      <c r="T420" s="121"/>
      <c r="U420" s="121"/>
      <c r="V420" s="121"/>
      <c r="W420" s="121"/>
      <c r="X420" s="121">
        <v>0</v>
      </c>
      <c r="Y420" s="121"/>
      <c r="Z420" s="121"/>
      <c r="AA420" s="121"/>
      <c r="AB420" s="121"/>
      <c r="AC420" s="121"/>
      <c r="AD420" s="121"/>
      <c r="AE420" s="121"/>
      <c r="AF420" s="121"/>
      <c r="AG420" s="121"/>
      <c r="AH420" s="121"/>
      <c r="AI420" s="121"/>
    </row>
    <row r="421" spans="1:35" x14ac:dyDescent="0.25">
      <c r="A421" s="137"/>
      <c r="B421" s="137"/>
      <c r="C421" s="121"/>
      <c r="D421" s="121"/>
      <c r="E421" s="121"/>
      <c r="F421" s="121"/>
      <c r="G421" s="121"/>
      <c r="H421" s="121"/>
      <c r="I421" s="121"/>
      <c r="J421" s="121"/>
      <c r="K421" s="121"/>
      <c r="L421" s="121"/>
      <c r="M421" s="121"/>
      <c r="N421" s="121"/>
      <c r="O421" s="121"/>
      <c r="P421" s="121"/>
      <c r="Q421" s="121"/>
      <c r="R421" s="121"/>
      <c r="S421" s="121"/>
      <c r="T421" s="121"/>
      <c r="U421" s="121"/>
      <c r="V421" s="121"/>
      <c r="W421" s="121"/>
      <c r="X421" s="121">
        <v>0</v>
      </c>
      <c r="Y421" s="121"/>
      <c r="Z421" s="121"/>
      <c r="AA421" s="121"/>
      <c r="AB421" s="121"/>
      <c r="AC421" s="121"/>
      <c r="AD421" s="121"/>
      <c r="AE421" s="121"/>
      <c r="AF421" s="121"/>
      <c r="AG421" s="121"/>
      <c r="AH421" s="121"/>
      <c r="AI421" s="121"/>
    </row>
    <row r="422" spans="1:35" x14ac:dyDescent="0.25">
      <c r="A422" s="137"/>
      <c r="B422" s="137"/>
      <c r="C422" s="121"/>
      <c r="D422" s="121"/>
      <c r="E422" s="121"/>
      <c r="F422" s="121"/>
      <c r="G422" s="121"/>
      <c r="H422" s="121"/>
      <c r="I422" s="121"/>
      <c r="J422" s="121"/>
      <c r="K422" s="121"/>
      <c r="L422" s="121"/>
      <c r="M422" s="121"/>
      <c r="N422" s="121"/>
      <c r="O422" s="121"/>
      <c r="P422" s="121"/>
      <c r="Q422" s="121"/>
      <c r="R422" s="121"/>
      <c r="S422" s="121"/>
      <c r="T422" s="121"/>
      <c r="U422" s="121"/>
      <c r="V422" s="121"/>
      <c r="W422" s="121"/>
      <c r="X422" s="121">
        <v>0</v>
      </c>
      <c r="Y422" s="121"/>
      <c r="Z422" s="121"/>
      <c r="AA422" s="121"/>
      <c r="AB422" s="121"/>
      <c r="AC422" s="121"/>
      <c r="AD422" s="121"/>
      <c r="AE422" s="121"/>
      <c r="AF422" s="121"/>
      <c r="AG422" s="121"/>
      <c r="AH422" s="121"/>
      <c r="AI422" s="121"/>
    </row>
    <row r="423" spans="1:35" x14ac:dyDescent="0.25">
      <c r="A423" s="137"/>
      <c r="B423" s="137"/>
      <c r="C423" s="121"/>
      <c r="D423" s="121"/>
      <c r="E423" s="121"/>
      <c r="F423" s="121"/>
      <c r="G423" s="121"/>
      <c r="H423" s="121"/>
      <c r="I423" s="121"/>
      <c r="J423" s="121"/>
      <c r="K423" s="121"/>
      <c r="L423" s="121"/>
      <c r="M423" s="121"/>
      <c r="N423" s="121"/>
      <c r="O423" s="121"/>
      <c r="P423" s="121"/>
      <c r="Q423" s="121"/>
      <c r="R423" s="121"/>
      <c r="S423" s="121"/>
      <c r="T423" s="121"/>
      <c r="U423" s="121"/>
      <c r="V423" s="121"/>
      <c r="W423" s="121"/>
      <c r="X423" s="121">
        <v>0</v>
      </c>
      <c r="Y423" s="121"/>
      <c r="Z423" s="121"/>
      <c r="AA423" s="121"/>
      <c r="AB423" s="121"/>
      <c r="AC423" s="121"/>
      <c r="AD423" s="121"/>
      <c r="AE423" s="121"/>
      <c r="AF423" s="121"/>
      <c r="AG423" s="121"/>
      <c r="AH423" s="121"/>
      <c r="AI423" s="121"/>
    </row>
    <row r="424" spans="1:35" x14ac:dyDescent="0.25">
      <c r="A424" s="137"/>
      <c r="B424" s="137"/>
      <c r="C424" s="121"/>
      <c r="D424" s="121"/>
      <c r="E424" s="121"/>
      <c r="F424" s="121"/>
      <c r="G424" s="121"/>
      <c r="H424" s="121"/>
      <c r="I424" s="121"/>
      <c r="J424" s="121"/>
      <c r="K424" s="121"/>
      <c r="L424" s="121"/>
      <c r="M424" s="121"/>
      <c r="N424" s="121"/>
      <c r="O424" s="121"/>
      <c r="P424" s="121"/>
      <c r="Q424" s="121"/>
      <c r="R424" s="121"/>
      <c r="S424" s="121"/>
      <c r="T424" s="121"/>
      <c r="U424" s="121"/>
      <c r="V424" s="121"/>
      <c r="W424" s="121"/>
      <c r="X424" s="121">
        <v>0</v>
      </c>
      <c r="Y424" s="121"/>
      <c r="Z424" s="121"/>
      <c r="AA424" s="121"/>
      <c r="AB424" s="121"/>
      <c r="AC424" s="121"/>
      <c r="AD424" s="121"/>
      <c r="AE424" s="121"/>
      <c r="AF424" s="121"/>
      <c r="AG424" s="121"/>
      <c r="AH424" s="121"/>
      <c r="AI424" s="121"/>
    </row>
    <row r="425" spans="1:35" x14ac:dyDescent="0.25">
      <c r="A425" s="137"/>
      <c r="B425" s="137"/>
      <c r="C425" s="121"/>
      <c r="D425" s="121"/>
      <c r="E425" s="121"/>
      <c r="F425" s="121"/>
      <c r="G425" s="121"/>
      <c r="H425" s="121"/>
      <c r="I425" s="121"/>
      <c r="J425" s="121"/>
      <c r="K425" s="121"/>
      <c r="L425" s="121"/>
      <c r="M425" s="121"/>
      <c r="N425" s="121"/>
      <c r="O425" s="121"/>
      <c r="P425" s="121"/>
      <c r="Q425" s="121"/>
      <c r="R425" s="121"/>
      <c r="S425" s="121"/>
      <c r="T425" s="121"/>
      <c r="U425" s="121"/>
      <c r="V425" s="121"/>
      <c r="W425" s="121"/>
      <c r="X425" s="121">
        <v>0</v>
      </c>
      <c r="Y425" s="121"/>
      <c r="Z425" s="121"/>
      <c r="AA425" s="121"/>
      <c r="AB425" s="121"/>
      <c r="AC425" s="121"/>
      <c r="AD425" s="121"/>
      <c r="AE425" s="121"/>
      <c r="AF425" s="121"/>
      <c r="AG425" s="121"/>
      <c r="AH425" s="121"/>
      <c r="AI425" s="121"/>
    </row>
    <row r="426" spans="1:35" x14ac:dyDescent="0.25">
      <c r="A426" s="137"/>
      <c r="B426" s="137"/>
      <c r="C426" s="121"/>
      <c r="D426" s="121"/>
      <c r="E426" s="121"/>
      <c r="F426" s="121"/>
      <c r="G426" s="121"/>
      <c r="H426" s="121"/>
      <c r="I426" s="121"/>
      <c r="J426" s="121"/>
      <c r="K426" s="121"/>
      <c r="L426" s="121"/>
      <c r="M426" s="121"/>
      <c r="N426" s="121"/>
      <c r="O426" s="121"/>
      <c r="P426" s="121"/>
      <c r="Q426" s="121"/>
      <c r="R426" s="121"/>
      <c r="S426" s="121"/>
      <c r="T426" s="121"/>
      <c r="U426" s="121"/>
      <c r="V426" s="121"/>
      <c r="W426" s="121"/>
      <c r="X426" s="121">
        <v>0</v>
      </c>
      <c r="Y426" s="121"/>
      <c r="Z426" s="121"/>
      <c r="AA426" s="121"/>
      <c r="AB426" s="121"/>
      <c r="AC426" s="121"/>
      <c r="AD426" s="121"/>
      <c r="AE426" s="121"/>
      <c r="AF426" s="121"/>
      <c r="AG426" s="121"/>
      <c r="AH426" s="121"/>
      <c r="AI426" s="121"/>
    </row>
    <row r="427" spans="1:35" x14ac:dyDescent="0.25">
      <c r="A427" s="137"/>
      <c r="B427" s="137"/>
      <c r="C427" s="121"/>
      <c r="D427" s="121"/>
      <c r="E427" s="121"/>
      <c r="F427" s="121"/>
      <c r="G427" s="121"/>
      <c r="H427" s="121"/>
      <c r="I427" s="121"/>
      <c r="J427" s="121"/>
      <c r="K427" s="121"/>
      <c r="L427" s="121"/>
      <c r="M427" s="121"/>
      <c r="N427" s="121"/>
      <c r="O427" s="121"/>
      <c r="P427" s="121"/>
      <c r="Q427" s="121"/>
      <c r="R427" s="121"/>
      <c r="S427" s="121"/>
      <c r="T427" s="121"/>
      <c r="U427" s="121"/>
      <c r="V427" s="121"/>
      <c r="W427" s="121"/>
      <c r="X427" s="121">
        <v>0</v>
      </c>
      <c r="Y427" s="121"/>
      <c r="Z427" s="121"/>
      <c r="AA427" s="121"/>
      <c r="AB427" s="121"/>
      <c r="AC427" s="121"/>
      <c r="AD427" s="121"/>
      <c r="AE427" s="121"/>
      <c r="AF427" s="121"/>
      <c r="AG427" s="121"/>
      <c r="AH427" s="121"/>
      <c r="AI427" s="121"/>
    </row>
    <row r="428" spans="1:35" x14ac:dyDescent="0.25">
      <c r="A428" s="137"/>
      <c r="B428" s="137"/>
      <c r="C428" s="121"/>
      <c r="D428" s="121"/>
      <c r="E428" s="121"/>
      <c r="F428" s="121"/>
      <c r="G428" s="121"/>
      <c r="H428" s="121"/>
      <c r="I428" s="121"/>
      <c r="J428" s="121"/>
      <c r="K428" s="121"/>
      <c r="L428" s="121"/>
      <c r="M428" s="121"/>
      <c r="N428" s="121"/>
      <c r="O428" s="121"/>
      <c r="P428" s="121"/>
      <c r="Q428" s="121"/>
      <c r="R428" s="121"/>
      <c r="S428" s="121"/>
      <c r="T428" s="121"/>
      <c r="U428" s="121"/>
      <c r="V428" s="121"/>
      <c r="W428" s="121"/>
      <c r="X428" s="121">
        <v>0</v>
      </c>
      <c r="Y428" s="121"/>
      <c r="Z428" s="121"/>
      <c r="AA428" s="121"/>
      <c r="AB428" s="121"/>
      <c r="AC428" s="121"/>
      <c r="AD428" s="121"/>
      <c r="AE428" s="121"/>
      <c r="AF428" s="121"/>
      <c r="AG428" s="121"/>
      <c r="AH428" s="121"/>
      <c r="AI428" s="121"/>
    </row>
    <row r="429" spans="1:35" x14ac:dyDescent="0.25">
      <c r="A429" s="137"/>
      <c r="B429" s="137"/>
      <c r="C429" s="121"/>
      <c r="D429" s="121"/>
      <c r="E429" s="121"/>
      <c r="F429" s="121"/>
      <c r="G429" s="121"/>
      <c r="H429" s="121"/>
      <c r="I429" s="121"/>
      <c r="J429" s="121"/>
      <c r="K429" s="121"/>
      <c r="L429" s="121"/>
      <c r="M429" s="121"/>
      <c r="N429" s="121"/>
      <c r="O429" s="121"/>
      <c r="P429" s="121"/>
      <c r="Q429" s="121"/>
      <c r="R429" s="121"/>
      <c r="S429" s="121"/>
      <c r="T429" s="121"/>
      <c r="U429" s="121"/>
      <c r="V429" s="121"/>
      <c r="W429" s="121"/>
      <c r="X429" s="121">
        <v>0</v>
      </c>
      <c r="Y429" s="121"/>
      <c r="Z429" s="121"/>
      <c r="AA429" s="121"/>
      <c r="AB429" s="121"/>
      <c r="AC429" s="121"/>
      <c r="AD429" s="121"/>
      <c r="AE429" s="121"/>
      <c r="AF429" s="121"/>
      <c r="AG429" s="121"/>
      <c r="AH429" s="121"/>
      <c r="AI429" s="121"/>
    </row>
    <row r="430" spans="1:35" x14ac:dyDescent="0.25">
      <c r="A430" s="137"/>
      <c r="B430" s="137"/>
      <c r="C430" s="121"/>
      <c r="D430" s="121"/>
      <c r="E430" s="121"/>
      <c r="F430" s="121"/>
      <c r="G430" s="121"/>
      <c r="H430" s="121"/>
      <c r="I430" s="121"/>
      <c r="J430" s="121"/>
      <c r="K430" s="121"/>
      <c r="L430" s="121"/>
      <c r="M430" s="121"/>
      <c r="N430" s="121"/>
      <c r="O430" s="121"/>
      <c r="P430" s="121"/>
      <c r="Q430" s="121"/>
      <c r="R430" s="121"/>
      <c r="S430" s="121"/>
      <c r="T430" s="121"/>
      <c r="U430" s="121"/>
      <c r="V430" s="121"/>
      <c r="W430" s="121"/>
      <c r="X430" s="121">
        <v>0</v>
      </c>
      <c r="Y430" s="121"/>
      <c r="Z430" s="121"/>
      <c r="AA430" s="121"/>
      <c r="AB430" s="121"/>
      <c r="AC430" s="121"/>
      <c r="AD430" s="121"/>
      <c r="AE430" s="121"/>
      <c r="AF430" s="121"/>
      <c r="AG430" s="121"/>
      <c r="AH430" s="121"/>
      <c r="AI430" s="121"/>
    </row>
    <row r="431" spans="1:35" x14ac:dyDescent="0.25">
      <c r="A431" s="137"/>
      <c r="B431" s="137"/>
      <c r="C431" s="121"/>
      <c r="D431" s="121"/>
      <c r="E431" s="121"/>
      <c r="F431" s="121"/>
      <c r="G431" s="121"/>
      <c r="H431" s="121"/>
      <c r="I431" s="121"/>
      <c r="J431" s="121"/>
      <c r="K431" s="121"/>
      <c r="L431" s="121"/>
      <c r="M431" s="121"/>
      <c r="N431" s="121"/>
      <c r="O431" s="121"/>
      <c r="P431" s="121"/>
      <c r="Q431" s="121"/>
      <c r="R431" s="121"/>
      <c r="S431" s="121"/>
      <c r="T431" s="121"/>
      <c r="U431" s="121"/>
      <c r="V431" s="121"/>
      <c r="W431" s="121"/>
      <c r="X431" s="121">
        <v>0</v>
      </c>
      <c r="Y431" s="121"/>
      <c r="Z431" s="121"/>
      <c r="AA431" s="121"/>
      <c r="AB431" s="121"/>
      <c r="AC431" s="121"/>
      <c r="AD431" s="121"/>
      <c r="AE431" s="121"/>
      <c r="AF431" s="121"/>
      <c r="AG431" s="121"/>
      <c r="AH431" s="121"/>
      <c r="AI431" s="121"/>
    </row>
    <row r="432" spans="1:35" x14ac:dyDescent="0.25">
      <c r="A432" s="137"/>
      <c r="B432" s="137"/>
      <c r="C432" s="121"/>
      <c r="D432" s="121"/>
      <c r="E432" s="121"/>
      <c r="F432" s="121"/>
      <c r="G432" s="121"/>
      <c r="H432" s="121"/>
      <c r="I432" s="121"/>
      <c r="J432" s="121"/>
      <c r="K432" s="121"/>
      <c r="L432" s="121"/>
      <c r="M432" s="121"/>
      <c r="N432" s="121"/>
      <c r="O432" s="121"/>
      <c r="P432" s="121"/>
      <c r="Q432" s="121"/>
      <c r="R432" s="121"/>
      <c r="S432" s="121"/>
      <c r="T432" s="121"/>
      <c r="U432" s="121"/>
      <c r="V432" s="121"/>
      <c r="W432" s="121"/>
      <c r="X432" s="121">
        <v>0</v>
      </c>
      <c r="Y432" s="121"/>
      <c r="Z432" s="121"/>
      <c r="AA432" s="121"/>
      <c r="AB432" s="121"/>
      <c r="AC432" s="121"/>
      <c r="AD432" s="121"/>
      <c r="AE432" s="121"/>
      <c r="AF432" s="121"/>
      <c r="AG432" s="121"/>
      <c r="AH432" s="121"/>
      <c r="AI432" s="121"/>
    </row>
    <row r="433" spans="1:35" x14ac:dyDescent="0.25">
      <c r="A433" s="137"/>
      <c r="B433" s="137"/>
      <c r="C433" s="121"/>
      <c r="D433" s="121"/>
      <c r="E433" s="121"/>
      <c r="F433" s="121"/>
      <c r="G433" s="121"/>
      <c r="H433" s="121"/>
      <c r="I433" s="121"/>
      <c r="J433" s="121"/>
      <c r="K433" s="121"/>
      <c r="L433" s="121"/>
      <c r="M433" s="121"/>
      <c r="N433" s="121"/>
      <c r="O433" s="121"/>
      <c r="P433" s="121"/>
      <c r="Q433" s="121"/>
      <c r="R433" s="121"/>
      <c r="S433" s="121"/>
      <c r="T433" s="121"/>
      <c r="U433" s="121"/>
      <c r="V433" s="121"/>
      <c r="W433" s="121"/>
      <c r="X433" s="121">
        <v>0</v>
      </c>
      <c r="Y433" s="121"/>
      <c r="Z433" s="121"/>
      <c r="AA433" s="121"/>
      <c r="AB433" s="121"/>
      <c r="AC433" s="121"/>
      <c r="AD433" s="121"/>
      <c r="AE433" s="121"/>
      <c r="AF433" s="121"/>
      <c r="AG433" s="121"/>
      <c r="AH433" s="121"/>
      <c r="AI433" s="121"/>
    </row>
    <row r="434" spans="1:35" x14ac:dyDescent="0.25">
      <c r="A434" s="137"/>
      <c r="B434" s="137"/>
      <c r="C434" s="121"/>
      <c r="D434" s="121"/>
      <c r="E434" s="121"/>
      <c r="F434" s="121"/>
      <c r="G434" s="121"/>
      <c r="H434" s="121"/>
      <c r="I434" s="121"/>
      <c r="J434" s="121"/>
      <c r="K434" s="121"/>
      <c r="L434" s="121"/>
      <c r="M434" s="121"/>
      <c r="N434" s="121"/>
      <c r="O434" s="121"/>
      <c r="P434" s="121"/>
      <c r="Q434" s="121"/>
      <c r="R434" s="121"/>
      <c r="S434" s="121"/>
      <c r="T434" s="121"/>
      <c r="U434" s="121"/>
      <c r="V434" s="121"/>
      <c r="W434" s="121"/>
      <c r="X434" s="121">
        <v>0</v>
      </c>
      <c r="Y434" s="121"/>
      <c r="Z434" s="121"/>
      <c r="AA434" s="121"/>
      <c r="AB434" s="121"/>
      <c r="AC434" s="121"/>
      <c r="AD434" s="121"/>
      <c r="AE434" s="121"/>
      <c r="AF434" s="121"/>
      <c r="AG434" s="121"/>
      <c r="AH434" s="121"/>
      <c r="AI434" s="121"/>
    </row>
    <row r="435" spans="1:35" x14ac:dyDescent="0.25">
      <c r="A435" s="137"/>
      <c r="B435" s="137"/>
      <c r="C435" s="121"/>
      <c r="D435" s="121"/>
      <c r="E435" s="121"/>
      <c r="F435" s="121"/>
      <c r="G435" s="121"/>
      <c r="H435" s="121"/>
      <c r="I435" s="121"/>
      <c r="J435" s="121"/>
      <c r="K435" s="121"/>
      <c r="L435" s="121"/>
      <c r="M435" s="121"/>
      <c r="N435" s="121"/>
      <c r="O435" s="121"/>
      <c r="P435" s="121"/>
      <c r="Q435" s="121"/>
      <c r="R435" s="121"/>
      <c r="S435" s="121"/>
      <c r="T435" s="121"/>
      <c r="U435" s="121"/>
      <c r="V435" s="121"/>
      <c r="W435" s="121"/>
      <c r="X435" s="121">
        <v>0</v>
      </c>
      <c r="Y435" s="121"/>
      <c r="Z435" s="121"/>
      <c r="AA435" s="121"/>
      <c r="AB435" s="121"/>
      <c r="AC435" s="121"/>
      <c r="AD435" s="121"/>
      <c r="AE435" s="121"/>
      <c r="AF435" s="121"/>
      <c r="AG435" s="121"/>
      <c r="AH435" s="121"/>
      <c r="AI435" s="121"/>
    </row>
    <row r="436" spans="1:35" x14ac:dyDescent="0.25">
      <c r="A436" s="137"/>
      <c r="B436" s="137"/>
      <c r="C436" s="121"/>
      <c r="D436" s="121"/>
      <c r="E436" s="121"/>
      <c r="F436" s="121"/>
      <c r="G436" s="121"/>
      <c r="H436" s="121"/>
      <c r="I436" s="121"/>
      <c r="J436" s="121"/>
      <c r="K436" s="121"/>
      <c r="L436" s="121"/>
      <c r="M436" s="121"/>
      <c r="N436" s="121"/>
      <c r="O436" s="121"/>
      <c r="P436" s="121"/>
      <c r="Q436" s="121"/>
      <c r="R436" s="121"/>
      <c r="S436" s="121"/>
      <c r="T436" s="121"/>
      <c r="U436" s="121"/>
      <c r="V436" s="121"/>
      <c r="W436" s="121"/>
      <c r="X436" s="121">
        <v>0</v>
      </c>
      <c r="Y436" s="121"/>
      <c r="Z436" s="121"/>
      <c r="AA436" s="121"/>
      <c r="AB436" s="121"/>
      <c r="AC436" s="121"/>
      <c r="AD436" s="121"/>
      <c r="AE436" s="121"/>
      <c r="AF436" s="121"/>
      <c r="AG436" s="121"/>
      <c r="AH436" s="121"/>
      <c r="AI436" s="121"/>
    </row>
    <row r="437" spans="1:35" x14ac:dyDescent="0.25">
      <c r="A437" s="137"/>
      <c r="B437" s="137"/>
      <c r="C437" s="121"/>
      <c r="D437" s="121"/>
      <c r="E437" s="121"/>
      <c r="F437" s="121"/>
      <c r="G437" s="121"/>
      <c r="H437" s="121"/>
      <c r="I437" s="121"/>
      <c r="J437" s="121"/>
      <c r="K437" s="121"/>
      <c r="L437" s="121"/>
      <c r="M437" s="121"/>
      <c r="N437" s="121"/>
      <c r="O437" s="121"/>
      <c r="P437" s="121"/>
      <c r="Q437" s="121"/>
      <c r="R437" s="121"/>
      <c r="S437" s="121"/>
      <c r="T437" s="121"/>
      <c r="U437" s="121"/>
      <c r="V437" s="121"/>
      <c r="W437" s="121"/>
      <c r="X437" s="121">
        <v>0</v>
      </c>
      <c r="Y437" s="121"/>
      <c r="Z437" s="121"/>
      <c r="AA437" s="121"/>
      <c r="AB437" s="121"/>
      <c r="AC437" s="121"/>
      <c r="AD437" s="121"/>
      <c r="AE437" s="121"/>
      <c r="AF437" s="121"/>
      <c r="AG437" s="121"/>
      <c r="AH437" s="121"/>
      <c r="AI437" s="121"/>
    </row>
    <row r="438" spans="1:35" x14ac:dyDescent="0.25">
      <c r="A438" s="137"/>
      <c r="B438" s="137"/>
      <c r="C438" s="121"/>
      <c r="D438" s="121"/>
      <c r="E438" s="121"/>
      <c r="F438" s="121"/>
      <c r="G438" s="121"/>
      <c r="H438" s="121"/>
      <c r="I438" s="121"/>
      <c r="J438" s="121"/>
      <c r="K438" s="121"/>
      <c r="L438" s="121"/>
      <c r="M438" s="121"/>
      <c r="N438" s="121"/>
      <c r="O438" s="121"/>
      <c r="P438" s="121"/>
      <c r="Q438" s="121"/>
      <c r="R438" s="121"/>
      <c r="S438" s="121"/>
      <c r="T438" s="121"/>
      <c r="U438" s="121"/>
      <c r="V438" s="121"/>
      <c r="W438" s="121"/>
      <c r="X438" s="121">
        <v>0</v>
      </c>
      <c r="Y438" s="121"/>
      <c r="Z438" s="121"/>
      <c r="AA438" s="121"/>
      <c r="AB438" s="121"/>
      <c r="AC438" s="121"/>
      <c r="AD438" s="121"/>
      <c r="AE438" s="121"/>
      <c r="AF438" s="121"/>
      <c r="AG438" s="121"/>
      <c r="AH438" s="121"/>
      <c r="AI438" s="121"/>
    </row>
    <row r="439" spans="1:35" x14ac:dyDescent="0.25">
      <c r="A439" s="137"/>
      <c r="B439" s="137"/>
      <c r="C439" s="121"/>
      <c r="D439" s="121"/>
      <c r="E439" s="121"/>
      <c r="F439" s="121"/>
      <c r="G439" s="121"/>
      <c r="H439" s="121"/>
      <c r="I439" s="121"/>
      <c r="J439" s="121"/>
      <c r="K439" s="121"/>
      <c r="L439" s="121"/>
      <c r="M439" s="121"/>
      <c r="N439" s="121"/>
      <c r="O439" s="121"/>
      <c r="P439" s="121"/>
      <c r="Q439" s="121"/>
      <c r="R439" s="121"/>
      <c r="S439" s="121"/>
      <c r="T439" s="121"/>
      <c r="U439" s="121"/>
      <c r="V439" s="121"/>
      <c r="W439" s="121"/>
      <c r="X439" s="121">
        <v>0</v>
      </c>
      <c r="Y439" s="121"/>
      <c r="Z439" s="121"/>
      <c r="AA439" s="121"/>
      <c r="AB439" s="121"/>
      <c r="AC439" s="121"/>
      <c r="AD439" s="121"/>
      <c r="AE439" s="121"/>
      <c r="AF439" s="121"/>
      <c r="AG439" s="121"/>
      <c r="AH439" s="121"/>
      <c r="AI439" s="121"/>
    </row>
    <row r="440" spans="1:35" x14ac:dyDescent="0.25">
      <c r="A440" s="137"/>
      <c r="B440" s="137"/>
      <c r="C440" s="121"/>
      <c r="D440" s="121"/>
      <c r="E440" s="121"/>
      <c r="F440" s="121"/>
      <c r="G440" s="121"/>
      <c r="H440" s="121"/>
      <c r="I440" s="121"/>
      <c r="J440" s="121"/>
      <c r="K440" s="121"/>
      <c r="L440" s="121"/>
      <c r="M440" s="121"/>
      <c r="N440" s="121"/>
      <c r="O440" s="121"/>
      <c r="P440" s="121"/>
      <c r="Q440" s="121"/>
      <c r="R440" s="121"/>
      <c r="S440" s="121"/>
      <c r="T440" s="121"/>
      <c r="U440" s="121"/>
      <c r="V440" s="121"/>
      <c r="W440" s="121"/>
      <c r="X440" s="121">
        <v>0</v>
      </c>
      <c r="Y440" s="121"/>
      <c r="Z440" s="121"/>
      <c r="AA440" s="121"/>
      <c r="AB440" s="121"/>
      <c r="AC440" s="121"/>
      <c r="AD440" s="121"/>
      <c r="AE440" s="121"/>
      <c r="AF440" s="121"/>
      <c r="AG440" s="121"/>
      <c r="AH440" s="121"/>
      <c r="AI440" s="121"/>
    </row>
    <row r="441" spans="1:35" x14ac:dyDescent="0.25">
      <c r="A441" s="137"/>
      <c r="B441" s="137"/>
      <c r="C441" s="121"/>
      <c r="D441" s="121"/>
      <c r="E441" s="121"/>
      <c r="F441" s="121"/>
      <c r="G441" s="121"/>
      <c r="H441" s="121"/>
      <c r="I441" s="121"/>
      <c r="J441" s="121"/>
      <c r="K441" s="121"/>
      <c r="L441" s="121"/>
      <c r="M441" s="121"/>
      <c r="N441" s="121"/>
      <c r="O441" s="121"/>
      <c r="P441" s="121"/>
      <c r="Q441" s="121"/>
      <c r="R441" s="121"/>
      <c r="S441" s="121"/>
      <c r="T441" s="121"/>
      <c r="U441" s="121"/>
      <c r="V441" s="121"/>
      <c r="W441" s="121"/>
      <c r="X441" s="121">
        <v>0</v>
      </c>
      <c r="Y441" s="121"/>
      <c r="Z441" s="121"/>
      <c r="AA441" s="121"/>
      <c r="AB441" s="121"/>
      <c r="AC441" s="121"/>
      <c r="AD441" s="121"/>
      <c r="AE441" s="121"/>
      <c r="AF441" s="121"/>
      <c r="AG441" s="121"/>
      <c r="AH441" s="121"/>
      <c r="AI441" s="121"/>
    </row>
    <row r="442" spans="1:35" x14ac:dyDescent="0.25">
      <c r="A442" s="137"/>
      <c r="B442" s="137"/>
      <c r="C442" s="121"/>
      <c r="D442" s="121"/>
      <c r="E442" s="121"/>
      <c r="F442" s="121"/>
      <c r="G442" s="121"/>
      <c r="H442" s="121"/>
      <c r="I442" s="121"/>
      <c r="J442" s="121"/>
      <c r="K442" s="121"/>
      <c r="L442" s="121"/>
      <c r="M442" s="121"/>
      <c r="N442" s="121"/>
      <c r="O442" s="121"/>
      <c r="P442" s="121"/>
      <c r="Q442" s="121"/>
      <c r="R442" s="121"/>
      <c r="S442" s="121"/>
      <c r="T442" s="121"/>
      <c r="U442" s="121"/>
      <c r="V442" s="121"/>
      <c r="W442" s="121"/>
      <c r="X442" s="121">
        <v>0</v>
      </c>
      <c r="Y442" s="121"/>
      <c r="Z442" s="121"/>
      <c r="AA442" s="121"/>
      <c r="AB442" s="121"/>
      <c r="AC442" s="121"/>
      <c r="AD442" s="121"/>
      <c r="AE442" s="121"/>
      <c r="AF442" s="121"/>
      <c r="AG442" s="121"/>
      <c r="AH442" s="121"/>
      <c r="AI442" s="121"/>
    </row>
    <row r="443" spans="1:35" x14ac:dyDescent="0.25">
      <c r="A443" s="137"/>
      <c r="B443" s="137"/>
      <c r="C443" s="121"/>
      <c r="D443" s="121"/>
      <c r="E443" s="121"/>
      <c r="F443" s="121"/>
      <c r="G443" s="121"/>
      <c r="H443" s="121"/>
      <c r="I443" s="121"/>
      <c r="J443" s="121"/>
      <c r="K443" s="121"/>
      <c r="L443" s="121"/>
      <c r="M443" s="121"/>
      <c r="N443" s="121"/>
      <c r="O443" s="121"/>
      <c r="P443" s="121"/>
      <c r="Q443" s="121"/>
      <c r="R443" s="121"/>
      <c r="S443" s="121"/>
      <c r="T443" s="121"/>
      <c r="U443" s="121"/>
      <c r="V443" s="121"/>
      <c r="W443" s="121"/>
      <c r="X443" s="121">
        <v>0</v>
      </c>
      <c r="Y443" s="121"/>
      <c r="Z443" s="121"/>
      <c r="AA443" s="121"/>
      <c r="AB443" s="121"/>
      <c r="AC443" s="121"/>
      <c r="AD443" s="121"/>
      <c r="AE443" s="121"/>
      <c r="AF443" s="121"/>
      <c r="AG443" s="121"/>
      <c r="AH443" s="121"/>
      <c r="AI443" s="121"/>
    </row>
    <row r="444" spans="1:35" x14ac:dyDescent="0.25">
      <c r="A444" s="137"/>
      <c r="B444" s="137"/>
      <c r="C444" s="121"/>
      <c r="D444" s="121"/>
      <c r="E444" s="121"/>
      <c r="F444" s="121"/>
      <c r="G444" s="121"/>
      <c r="H444" s="121"/>
      <c r="I444" s="121"/>
      <c r="J444" s="121"/>
      <c r="K444" s="121"/>
      <c r="L444" s="121"/>
      <c r="M444" s="121"/>
      <c r="N444" s="121"/>
      <c r="O444" s="121"/>
      <c r="P444" s="121"/>
      <c r="Q444" s="121"/>
      <c r="R444" s="121"/>
      <c r="S444" s="121"/>
      <c r="T444" s="121"/>
      <c r="U444" s="121"/>
      <c r="V444" s="121"/>
      <c r="W444" s="121"/>
      <c r="X444" s="121">
        <v>0</v>
      </c>
      <c r="Y444" s="121"/>
      <c r="Z444" s="121"/>
      <c r="AA444" s="121"/>
      <c r="AB444" s="121"/>
      <c r="AC444" s="121"/>
      <c r="AD444" s="121"/>
      <c r="AE444" s="121"/>
      <c r="AF444" s="121"/>
      <c r="AG444" s="121"/>
      <c r="AH444" s="121"/>
      <c r="AI444" s="121"/>
    </row>
    <row r="445" spans="1:35" x14ac:dyDescent="0.25">
      <c r="A445" s="137"/>
      <c r="B445" s="137"/>
      <c r="C445" s="121"/>
      <c r="D445" s="121"/>
      <c r="E445" s="121"/>
      <c r="F445" s="121"/>
      <c r="G445" s="121"/>
      <c r="H445" s="121"/>
      <c r="I445" s="121"/>
      <c r="J445" s="121"/>
      <c r="K445" s="121"/>
      <c r="L445" s="121"/>
      <c r="M445" s="121"/>
      <c r="N445" s="121"/>
      <c r="O445" s="121"/>
      <c r="P445" s="121"/>
      <c r="Q445" s="121"/>
      <c r="R445" s="121"/>
      <c r="S445" s="121"/>
      <c r="T445" s="121"/>
      <c r="U445" s="121"/>
      <c r="V445" s="121"/>
      <c r="W445" s="121"/>
      <c r="X445" s="121">
        <v>0</v>
      </c>
      <c r="Y445" s="121"/>
      <c r="Z445" s="121"/>
      <c r="AA445" s="121"/>
      <c r="AB445" s="121"/>
      <c r="AC445" s="121"/>
      <c r="AD445" s="121"/>
      <c r="AE445" s="121"/>
      <c r="AF445" s="121"/>
      <c r="AG445" s="121"/>
      <c r="AH445" s="121"/>
      <c r="AI445" s="121"/>
    </row>
    <row r="446" spans="1:35" x14ac:dyDescent="0.25">
      <c r="A446" s="137"/>
      <c r="B446" s="137"/>
      <c r="C446" s="121"/>
      <c r="D446" s="121"/>
      <c r="E446" s="121"/>
      <c r="F446" s="121"/>
      <c r="G446" s="121"/>
      <c r="H446" s="121"/>
      <c r="I446" s="121"/>
      <c r="J446" s="121"/>
      <c r="K446" s="121"/>
      <c r="L446" s="121"/>
      <c r="M446" s="121"/>
      <c r="N446" s="121"/>
      <c r="O446" s="121"/>
      <c r="P446" s="121"/>
      <c r="Q446" s="121"/>
      <c r="R446" s="121"/>
      <c r="S446" s="121"/>
      <c r="T446" s="121"/>
      <c r="U446" s="121"/>
      <c r="V446" s="121"/>
      <c r="W446" s="121"/>
      <c r="X446" s="121">
        <v>0</v>
      </c>
      <c r="Y446" s="121"/>
      <c r="Z446" s="121"/>
      <c r="AA446" s="121"/>
      <c r="AB446" s="121"/>
      <c r="AC446" s="121"/>
      <c r="AD446" s="121"/>
      <c r="AE446" s="121"/>
      <c r="AF446" s="121"/>
      <c r="AG446" s="121"/>
      <c r="AH446" s="121"/>
      <c r="AI446" s="121"/>
    </row>
    <row r="447" spans="1:35" x14ac:dyDescent="0.25">
      <c r="A447" s="137"/>
      <c r="B447" s="137"/>
      <c r="C447" s="121"/>
      <c r="D447" s="121"/>
      <c r="E447" s="121"/>
      <c r="F447" s="121"/>
      <c r="G447" s="121"/>
      <c r="H447" s="121"/>
      <c r="I447" s="121"/>
      <c r="J447" s="121"/>
      <c r="K447" s="121"/>
      <c r="L447" s="121"/>
      <c r="M447" s="121"/>
      <c r="N447" s="121"/>
      <c r="O447" s="121"/>
      <c r="P447" s="121"/>
      <c r="Q447" s="121"/>
      <c r="R447" s="121"/>
      <c r="S447" s="121"/>
      <c r="T447" s="121"/>
      <c r="U447" s="121"/>
      <c r="V447" s="121"/>
      <c r="W447" s="121"/>
      <c r="X447" s="121">
        <v>0</v>
      </c>
      <c r="Y447" s="121"/>
      <c r="Z447" s="121"/>
      <c r="AA447" s="121"/>
      <c r="AB447" s="121"/>
      <c r="AC447" s="121"/>
      <c r="AD447" s="121"/>
      <c r="AE447" s="121"/>
      <c r="AF447" s="121"/>
      <c r="AG447" s="121"/>
      <c r="AH447" s="121"/>
      <c r="AI447" s="121"/>
    </row>
    <row r="448" spans="1:35" x14ac:dyDescent="0.25">
      <c r="A448" s="137"/>
      <c r="B448" s="137"/>
      <c r="C448" s="121"/>
      <c r="D448" s="121"/>
      <c r="E448" s="121"/>
      <c r="F448" s="121"/>
      <c r="G448" s="121"/>
      <c r="H448" s="121"/>
      <c r="I448" s="121"/>
      <c r="J448" s="121"/>
      <c r="K448" s="121"/>
      <c r="L448" s="121"/>
      <c r="M448" s="121"/>
      <c r="N448" s="121"/>
      <c r="O448" s="121"/>
      <c r="P448" s="121"/>
      <c r="Q448" s="121"/>
      <c r="R448" s="121"/>
      <c r="S448" s="121"/>
      <c r="T448" s="121"/>
      <c r="U448" s="121"/>
      <c r="V448" s="121"/>
      <c r="W448" s="121"/>
      <c r="X448" s="121">
        <v>0</v>
      </c>
      <c r="Y448" s="121"/>
      <c r="Z448" s="121"/>
      <c r="AA448" s="121"/>
      <c r="AB448" s="121"/>
      <c r="AC448" s="121"/>
      <c r="AD448" s="121"/>
      <c r="AE448" s="121"/>
      <c r="AF448" s="121"/>
      <c r="AG448" s="121"/>
      <c r="AH448" s="121"/>
      <c r="AI448" s="121"/>
    </row>
    <row r="449" spans="1:35" x14ac:dyDescent="0.25">
      <c r="A449" s="137"/>
      <c r="B449" s="137"/>
      <c r="C449" s="121"/>
      <c r="D449" s="121"/>
      <c r="E449" s="121"/>
      <c r="F449" s="121"/>
      <c r="G449" s="121"/>
      <c r="H449" s="121"/>
      <c r="I449" s="121"/>
      <c r="J449" s="121"/>
      <c r="K449" s="121"/>
      <c r="L449" s="121"/>
      <c r="M449" s="121"/>
      <c r="N449" s="121"/>
      <c r="O449" s="121"/>
      <c r="P449" s="121"/>
      <c r="Q449" s="121"/>
      <c r="R449" s="121"/>
      <c r="S449" s="121"/>
      <c r="T449" s="121"/>
      <c r="U449" s="121"/>
      <c r="V449" s="121"/>
      <c r="W449" s="121"/>
      <c r="X449" s="121">
        <v>0</v>
      </c>
      <c r="Y449" s="121"/>
      <c r="Z449" s="121"/>
      <c r="AA449" s="121"/>
      <c r="AB449" s="121"/>
      <c r="AC449" s="121"/>
      <c r="AD449" s="121"/>
      <c r="AE449" s="121"/>
      <c r="AF449" s="121"/>
      <c r="AG449" s="121"/>
      <c r="AH449" s="121"/>
      <c r="AI449" s="121"/>
    </row>
    <row r="450" spans="1:35" x14ac:dyDescent="0.25">
      <c r="A450" s="137"/>
      <c r="B450" s="137"/>
      <c r="C450" s="121"/>
      <c r="D450" s="121"/>
      <c r="E450" s="121"/>
      <c r="F450" s="121"/>
      <c r="G450" s="121"/>
      <c r="H450" s="121"/>
      <c r="I450" s="121"/>
      <c r="J450" s="121"/>
      <c r="K450" s="121"/>
      <c r="L450" s="121"/>
      <c r="M450" s="121"/>
      <c r="N450" s="121"/>
      <c r="O450" s="121"/>
      <c r="P450" s="121"/>
      <c r="Q450" s="121"/>
      <c r="R450" s="121"/>
      <c r="S450" s="121"/>
      <c r="T450" s="121"/>
      <c r="U450" s="121"/>
      <c r="V450" s="121"/>
      <c r="W450" s="121"/>
      <c r="X450" s="121">
        <v>0</v>
      </c>
      <c r="Y450" s="121"/>
      <c r="Z450" s="121"/>
      <c r="AA450" s="121"/>
      <c r="AB450" s="121"/>
      <c r="AC450" s="121"/>
      <c r="AD450" s="121"/>
      <c r="AE450" s="121"/>
      <c r="AF450" s="121"/>
      <c r="AG450" s="121"/>
      <c r="AH450" s="121"/>
      <c r="AI450" s="121"/>
    </row>
    <row r="451" spans="1:35" x14ac:dyDescent="0.25">
      <c r="A451" s="137"/>
      <c r="B451" s="137"/>
      <c r="C451" s="121"/>
      <c r="D451" s="121"/>
      <c r="E451" s="121"/>
      <c r="F451" s="121"/>
      <c r="G451" s="121"/>
      <c r="H451" s="121"/>
      <c r="I451" s="121"/>
      <c r="J451" s="121"/>
      <c r="K451" s="121"/>
      <c r="L451" s="121"/>
      <c r="M451" s="121"/>
      <c r="N451" s="121"/>
      <c r="O451" s="121"/>
      <c r="P451" s="121"/>
      <c r="Q451" s="121"/>
      <c r="R451" s="121"/>
      <c r="S451" s="121"/>
      <c r="T451" s="121"/>
      <c r="U451" s="121"/>
      <c r="V451" s="121"/>
      <c r="W451" s="121"/>
      <c r="X451" s="121">
        <v>0</v>
      </c>
      <c r="Y451" s="121"/>
      <c r="Z451" s="121"/>
      <c r="AA451" s="121"/>
      <c r="AB451" s="121"/>
      <c r="AC451" s="121"/>
      <c r="AD451" s="121"/>
      <c r="AE451" s="121"/>
      <c r="AF451" s="121"/>
      <c r="AG451" s="121"/>
      <c r="AH451" s="121"/>
      <c r="AI451" s="121"/>
    </row>
    <row r="452" spans="1:35" x14ac:dyDescent="0.25">
      <c r="A452" s="137"/>
      <c r="B452" s="137"/>
      <c r="C452" s="121"/>
      <c r="D452" s="121"/>
      <c r="E452" s="121"/>
      <c r="F452" s="121"/>
      <c r="G452" s="121"/>
      <c r="H452" s="121"/>
      <c r="I452" s="121"/>
      <c r="J452" s="121"/>
      <c r="K452" s="121"/>
      <c r="L452" s="121"/>
      <c r="M452" s="121"/>
      <c r="N452" s="121"/>
      <c r="O452" s="121"/>
      <c r="P452" s="121"/>
      <c r="Q452" s="121"/>
      <c r="R452" s="121"/>
      <c r="S452" s="121"/>
      <c r="T452" s="121"/>
      <c r="U452" s="121"/>
      <c r="V452" s="121"/>
      <c r="W452" s="121"/>
      <c r="X452" s="121">
        <v>0</v>
      </c>
      <c r="Y452" s="121"/>
      <c r="Z452" s="121"/>
      <c r="AA452" s="121"/>
      <c r="AB452" s="121"/>
      <c r="AC452" s="121"/>
      <c r="AD452" s="121"/>
      <c r="AE452" s="121"/>
      <c r="AF452" s="121"/>
      <c r="AG452" s="121"/>
      <c r="AH452" s="121"/>
      <c r="AI452" s="121"/>
    </row>
    <row r="453" spans="1:35" x14ac:dyDescent="0.25">
      <c r="A453" s="137"/>
      <c r="B453" s="137"/>
      <c r="C453" s="121"/>
      <c r="D453" s="121"/>
      <c r="E453" s="121"/>
      <c r="F453" s="121"/>
      <c r="G453" s="121"/>
      <c r="H453" s="121"/>
      <c r="I453" s="121"/>
      <c r="J453" s="121"/>
      <c r="K453" s="121"/>
      <c r="L453" s="121"/>
      <c r="M453" s="121"/>
      <c r="N453" s="121"/>
      <c r="O453" s="121"/>
      <c r="P453" s="121"/>
      <c r="Q453" s="121"/>
      <c r="R453" s="121"/>
      <c r="S453" s="121"/>
      <c r="T453" s="121"/>
      <c r="U453" s="121"/>
      <c r="V453" s="121"/>
      <c r="W453" s="121"/>
      <c r="X453" s="121">
        <v>0</v>
      </c>
      <c r="Y453" s="121"/>
      <c r="Z453" s="121"/>
      <c r="AA453" s="121"/>
      <c r="AB453" s="121"/>
      <c r="AC453" s="121"/>
      <c r="AD453" s="121"/>
      <c r="AE453" s="121"/>
      <c r="AF453" s="121"/>
      <c r="AG453" s="121"/>
      <c r="AH453" s="121"/>
      <c r="AI453" s="121"/>
    </row>
    <row r="454" spans="1:35" x14ac:dyDescent="0.25">
      <c r="A454" s="137"/>
      <c r="B454" s="137"/>
      <c r="C454" s="121"/>
      <c r="D454" s="121"/>
      <c r="E454" s="121"/>
      <c r="F454" s="121"/>
      <c r="G454" s="121"/>
      <c r="H454" s="121"/>
      <c r="I454" s="121"/>
      <c r="J454" s="121"/>
      <c r="K454" s="121"/>
      <c r="L454" s="121"/>
      <c r="M454" s="121"/>
      <c r="N454" s="121"/>
      <c r="O454" s="121"/>
      <c r="P454" s="121"/>
      <c r="Q454" s="121"/>
      <c r="R454" s="121"/>
      <c r="S454" s="121"/>
      <c r="T454" s="121"/>
      <c r="U454" s="121"/>
      <c r="V454" s="121"/>
      <c r="W454" s="121"/>
      <c r="X454" s="121">
        <v>0</v>
      </c>
      <c r="Y454" s="121"/>
      <c r="Z454" s="121"/>
      <c r="AA454" s="121"/>
      <c r="AB454" s="121"/>
      <c r="AC454" s="121"/>
      <c r="AD454" s="121"/>
      <c r="AE454" s="121"/>
      <c r="AF454" s="121"/>
      <c r="AG454" s="121"/>
      <c r="AH454" s="121"/>
      <c r="AI454" s="121"/>
    </row>
    <row r="455" spans="1:35" x14ac:dyDescent="0.25">
      <c r="A455" s="137"/>
      <c r="B455" s="137"/>
      <c r="C455" s="121"/>
      <c r="D455" s="121"/>
      <c r="E455" s="121"/>
      <c r="F455" s="121"/>
      <c r="G455" s="121"/>
      <c r="H455" s="121"/>
      <c r="I455" s="121"/>
      <c r="J455" s="121"/>
      <c r="K455" s="121"/>
      <c r="L455" s="121"/>
      <c r="M455" s="121"/>
      <c r="N455" s="121"/>
      <c r="O455" s="121"/>
      <c r="P455" s="121"/>
      <c r="Q455" s="121"/>
      <c r="R455" s="121"/>
      <c r="S455" s="121"/>
      <c r="T455" s="121"/>
      <c r="U455" s="121"/>
      <c r="V455" s="121"/>
      <c r="W455" s="121"/>
      <c r="X455" s="121">
        <v>0</v>
      </c>
      <c r="Y455" s="121"/>
      <c r="Z455" s="121"/>
      <c r="AA455" s="121"/>
      <c r="AB455" s="121"/>
      <c r="AC455" s="121"/>
      <c r="AD455" s="121"/>
      <c r="AE455" s="121"/>
      <c r="AF455" s="121"/>
      <c r="AG455" s="121"/>
      <c r="AH455" s="121"/>
      <c r="AI455" s="121"/>
    </row>
    <row r="456" spans="1:35" x14ac:dyDescent="0.25">
      <c r="A456" s="137"/>
      <c r="B456" s="137"/>
      <c r="C456" s="121"/>
      <c r="D456" s="121"/>
      <c r="E456" s="121"/>
      <c r="F456" s="121"/>
      <c r="G456" s="121"/>
      <c r="H456" s="121"/>
      <c r="I456" s="121"/>
      <c r="J456" s="121"/>
      <c r="K456" s="121"/>
      <c r="L456" s="121"/>
      <c r="M456" s="121"/>
      <c r="N456" s="121"/>
      <c r="O456" s="121"/>
      <c r="P456" s="121"/>
      <c r="Q456" s="121"/>
      <c r="R456" s="121"/>
      <c r="S456" s="121"/>
      <c r="T456" s="121"/>
      <c r="U456" s="121"/>
      <c r="V456" s="121"/>
      <c r="W456" s="121"/>
      <c r="X456" s="121">
        <v>0</v>
      </c>
      <c r="Y456" s="121"/>
      <c r="Z456" s="121"/>
      <c r="AA456" s="121"/>
      <c r="AB456" s="121"/>
      <c r="AC456" s="121"/>
      <c r="AD456" s="121"/>
      <c r="AE456" s="121"/>
      <c r="AF456" s="121"/>
      <c r="AG456" s="121"/>
      <c r="AH456" s="121"/>
      <c r="AI456" s="121"/>
    </row>
    <row r="457" spans="1:35" x14ac:dyDescent="0.25">
      <c r="A457" s="137"/>
      <c r="B457" s="137"/>
      <c r="C457" s="121"/>
      <c r="D457" s="121"/>
      <c r="E457" s="121"/>
      <c r="F457" s="121"/>
      <c r="G457" s="121"/>
      <c r="H457" s="121"/>
      <c r="I457" s="121"/>
      <c r="J457" s="121"/>
      <c r="K457" s="121"/>
      <c r="L457" s="121"/>
      <c r="M457" s="121"/>
      <c r="N457" s="121"/>
      <c r="O457" s="121"/>
      <c r="P457" s="121"/>
      <c r="Q457" s="121"/>
      <c r="R457" s="121"/>
      <c r="S457" s="121"/>
      <c r="T457" s="121"/>
      <c r="U457" s="121"/>
      <c r="V457" s="121"/>
      <c r="W457" s="121"/>
      <c r="X457" s="121">
        <v>0</v>
      </c>
      <c r="Y457" s="121"/>
      <c r="Z457" s="121"/>
      <c r="AA457" s="121"/>
      <c r="AB457" s="121"/>
      <c r="AC457" s="121"/>
      <c r="AD457" s="121"/>
      <c r="AE457" s="121"/>
      <c r="AF457" s="121"/>
      <c r="AG457" s="121"/>
      <c r="AH457" s="121"/>
      <c r="AI457" s="121"/>
    </row>
    <row r="458" spans="1:35" x14ac:dyDescent="0.25">
      <c r="A458" s="137"/>
      <c r="B458" s="137"/>
      <c r="C458" s="121"/>
      <c r="D458" s="121"/>
      <c r="E458" s="121"/>
      <c r="F458" s="121"/>
      <c r="G458" s="121"/>
      <c r="H458" s="121"/>
      <c r="I458" s="121"/>
      <c r="J458" s="121"/>
      <c r="K458" s="121"/>
      <c r="L458" s="121"/>
      <c r="M458" s="121"/>
      <c r="N458" s="121"/>
      <c r="O458" s="121"/>
      <c r="P458" s="121"/>
      <c r="Q458" s="121"/>
      <c r="R458" s="121"/>
      <c r="S458" s="121"/>
      <c r="T458" s="121"/>
      <c r="U458" s="121"/>
      <c r="V458" s="121"/>
      <c r="W458" s="121"/>
      <c r="X458" s="121">
        <v>0</v>
      </c>
      <c r="Y458" s="121"/>
      <c r="Z458" s="121"/>
      <c r="AA458" s="121"/>
      <c r="AB458" s="121"/>
      <c r="AC458" s="121"/>
      <c r="AD458" s="121"/>
      <c r="AE458" s="121"/>
      <c r="AF458" s="121"/>
      <c r="AG458" s="121"/>
      <c r="AH458" s="121"/>
      <c r="AI458" s="121"/>
    </row>
    <row r="459" spans="1:35" x14ac:dyDescent="0.25">
      <c r="A459" s="137"/>
      <c r="B459" s="137"/>
      <c r="C459" s="121"/>
      <c r="D459" s="121"/>
      <c r="E459" s="121"/>
      <c r="F459" s="121"/>
      <c r="G459" s="121"/>
      <c r="H459" s="121"/>
      <c r="I459" s="121"/>
      <c r="J459" s="121"/>
      <c r="K459" s="121"/>
      <c r="L459" s="121"/>
      <c r="M459" s="121"/>
      <c r="N459" s="121"/>
      <c r="O459" s="121"/>
      <c r="P459" s="121"/>
      <c r="Q459" s="121"/>
      <c r="R459" s="121"/>
      <c r="S459" s="121"/>
      <c r="T459" s="121"/>
      <c r="U459" s="121"/>
      <c r="V459" s="121"/>
      <c r="W459" s="121"/>
      <c r="X459" s="121">
        <v>0</v>
      </c>
      <c r="Y459" s="121"/>
      <c r="Z459" s="121"/>
      <c r="AA459" s="121"/>
      <c r="AB459" s="121"/>
      <c r="AC459" s="121"/>
      <c r="AD459" s="121"/>
      <c r="AE459" s="121"/>
      <c r="AF459" s="121"/>
      <c r="AG459" s="121"/>
      <c r="AH459" s="121"/>
      <c r="AI459" s="121"/>
    </row>
    <row r="460" spans="1:35" x14ac:dyDescent="0.25">
      <c r="A460" s="137"/>
      <c r="B460" s="137"/>
      <c r="C460" s="121"/>
      <c r="D460" s="121"/>
      <c r="E460" s="121"/>
      <c r="F460" s="121"/>
      <c r="G460" s="121"/>
      <c r="H460" s="121"/>
      <c r="I460" s="121"/>
      <c r="J460" s="121"/>
      <c r="K460" s="121"/>
      <c r="L460" s="121"/>
      <c r="M460" s="121"/>
      <c r="N460" s="121"/>
      <c r="O460" s="121"/>
      <c r="P460" s="121"/>
      <c r="Q460" s="121"/>
      <c r="R460" s="121"/>
      <c r="S460" s="121"/>
      <c r="T460" s="121"/>
      <c r="U460" s="121"/>
      <c r="V460" s="121"/>
      <c r="W460" s="121"/>
      <c r="X460" s="121">
        <v>0</v>
      </c>
      <c r="Y460" s="121"/>
      <c r="Z460" s="121"/>
      <c r="AA460" s="121"/>
      <c r="AB460" s="121"/>
      <c r="AC460" s="121"/>
      <c r="AD460" s="121"/>
      <c r="AE460" s="121"/>
      <c r="AF460" s="121"/>
      <c r="AG460" s="121"/>
      <c r="AH460" s="121"/>
      <c r="AI460" s="121"/>
    </row>
    <row r="461" spans="1:35" x14ac:dyDescent="0.25">
      <c r="A461" s="137"/>
      <c r="B461" s="137"/>
      <c r="C461" s="121"/>
      <c r="D461" s="121"/>
      <c r="E461" s="121"/>
      <c r="F461" s="121"/>
      <c r="G461" s="121"/>
      <c r="H461" s="121"/>
      <c r="I461" s="121"/>
      <c r="J461" s="121"/>
      <c r="K461" s="121"/>
      <c r="L461" s="121"/>
      <c r="M461" s="121"/>
      <c r="N461" s="121"/>
      <c r="O461" s="121"/>
      <c r="P461" s="121"/>
      <c r="Q461" s="121"/>
      <c r="R461" s="121"/>
      <c r="S461" s="121"/>
      <c r="T461" s="121"/>
      <c r="U461" s="121"/>
      <c r="V461" s="121"/>
      <c r="W461" s="121"/>
      <c r="X461" s="121">
        <v>0</v>
      </c>
      <c r="Y461" s="121"/>
      <c r="Z461" s="121"/>
      <c r="AA461" s="121"/>
      <c r="AB461" s="121"/>
      <c r="AC461" s="121"/>
      <c r="AD461" s="121"/>
      <c r="AE461" s="121"/>
      <c r="AF461" s="121"/>
      <c r="AG461" s="121"/>
      <c r="AH461" s="121"/>
      <c r="AI461" s="121"/>
    </row>
    <row r="462" spans="1:35" x14ac:dyDescent="0.25">
      <c r="A462" s="137"/>
      <c r="B462" s="137"/>
      <c r="C462" s="121"/>
      <c r="D462" s="121"/>
      <c r="E462" s="121"/>
      <c r="F462" s="121"/>
      <c r="G462" s="121"/>
      <c r="H462" s="121"/>
      <c r="I462" s="121"/>
      <c r="J462" s="121"/>
      <c r="K462" s="121"/>
      <c r="L462" s="121"/>
      <c r="M462" s="121"/>
      <c r="N462" s="121"/>
      <c r="O462" s="121"/>
      <c r="P462" s="121"/>
      <c r="Q462" s="121"/>
      <c r="R462" s="121"/>
      <c r="S462" s="121"/>
      <c r="T462" s="121"/>
      <c r="U462" s="121"/>
      <c r="V462" s="121"/>
      <c r="W462" s="121"/>
      <c r="X462" s="121">
        <v>0</v>
      </c>
      <c r="Y462" s="121"/>
      <c r="Z462" s="121"/>
      <c r="AA462" s="121"/>
      <c r="AB462" s="121"/>
      <c r="AC462" s="121"/>
      <c r="AD462" s="121"/>
      <c r="AE462" s="121"/>
      <c r="AF462" s="121"/>
      <c r="AG462" s="121"/>
      <c r="AH462" s="121"/>
      <c r="AI462" s="121"/>
    </row>
    <row r="463" spans="1:35" x14ac:dyDescent="0.25">
      <c r="A463" s="137"/>
      <c r="B463" s="137"/>
      <c r="C463" s="121"/>
      <c r="D463" s="121"/>
      <c r="E463" s="121"/>
      <c r="F463" s="121"/>
      <c r="G463" s="121"/>
      <c r="H463" s="121"/>
      <c r="I463" s="121"/>
      <c r="J463" s="121"/>
      <c r="K463" s="121"/>
      <c r="L463" s="121"/>
      <c r="M463" s="121"/>
      <c r="N463" s="121"/>
      <c r="O463" s="121"/>
      <c r="P463" s="121"/>
      <c r="Q463" s="121"/>
      <c r="R463" s="121"/>
      <c r="S463" s="121"/>
      <c r="T463" s="121"/>
      <c r="U463" s="121"/>
      <c r="V463" s="121"/>
      <c r="W463" s="121"/>
      <c r="X463" s="121">
        <v>0</v>
      </c>
      <c r="Y463" s="121"/>
      <c r="Z463" s="121"/>
      <c r="AA463" s="121"/>
      <c r="AB463" s="121"/>
      <c r="AC463" s="121"/>
      <c r="AD463" s="121"/>
      <c r="AE463" s="121"/>
      <c r="AF463" s="121"/>
      <c r="AG463" s="121"/>
      <c r="AH463" s="121"/>
      <c r="AI463" s="121"/>
    </row>
    <row r="464" spans="1:35" x14ac:dyDescent="0.25">
      <c r="A464" s="137"/>
      <c r="B464" s="137"/>
      <c r="C464" s="121"/>
      <c r="D464" s="121"/>
      <c r="E464" s="121"/>
      <c r="F464" s="121"/>
      <c r="G464" s="121"/>
      <c r="H464" s="121"/>
      <c r="I464" s="121"/>
      <c r="J464" s="121"/>
      <c r="K464" s="121"/>
      <c r="L464" s="121"/>
      <c r="M464" s="121"/>
      <c r="N464" s="121"/>
      <c r="O464" s="121"/>
      <c r="P464" s="121"/>
      <c r="Q464" s="121"/>
      <c r="R464" s="121"/>
      <c r="S464" s="121"/>
      <c r="T464" s="121"/>
      <c r="U464" s="121"/>
      <c r="V464" s="121"/>
      <c r="W464" s="121"/>
      <c r="X464" s="121" t="s">
        <v>1119</v>
      </c>
      <c r="Y464" s="121"/>
      <c r="Z464" s="121"/>
      <c r="AA464" s="121"/>
      <c r="AB464" s="121"/>
      <c r="AC464" s="121"/>
      <c r="AD464" s="121"/>
      <c r="AE464" s="121"/>
      <c r="AF464" s="121"/>
      <c r="AG464" s="121"/>
      <c r="AH464" s="121"/>
      <c r="AI464" s="121"/>
    </row>
    <row r="465" spans="1:35" x14ac:dyDescent="0.25">
      <c r="A465" s="137"/>
      <c r="B465" s="137"/>
      <c r="C465" s="121"/>
      <c r="D465" s="121"/>
      <c r="E465" s="121"/>
      <c r="F465" s="121"/>
      <c r="G465" s="121"/>
      <c r="H465" s="121"/>
      <c r="I465" s="121"/>
      <c r="J465" s="121"/>
      <c r="K465" s="121"/>
      <c r="L465" s="121"/>
      <c r="M465" s="121"/>
      <c r="N465" s="121"/>
      <c r="O465" s="121"/>
      <c r="P465" s="121"/>
      <c r="Q465" s="121"/>
      <c r="R465" s="121"/>
      <c r="S465" s="121"/>
      <c r="T465" s="121"/>
      <c r="U465" s="121"/>
      <c r="V465" s="121"/>
      <c r="W465" s="121"/>
      <c r="X465" s="121">
        <v>0</v>
      </c>
      <c r="Y465" s="121"/>
      <c r="Z465" s="121"/>
      <c r="AA465" s="121"/>
      <c r="AB465" s="121"/>
      <c r="AC465" s="121"/>
      <c r="AD465" s="121"/>
      <c r="AE465" s="121"/>
      <c r="AF465" s="121"/>
      <c r="AG465" s="121"/>
      <c r="AH465" s="121"/>
      <c r="AI465" s="121"/>
    </row>
    <row r="466" spans="1:35" x14ac:dyDescent="0.25">
      <c r="A466" s="137"/>
      <c r="B466" s="137"/>
      <c r="C466" s="121"/>
      <c r="D466" s="121"/>
      <c r="E466" s="121"/>
      <c r="F466" s="121"/>
      <c r="G466" s="121"/>
      <c r="H466" s="121"/>
      <c r="I466" s="121"/>
      <c r="J466" s="121"/>
      <c r="K466" s="121"/>
      <c r="L466" s="121"/>
      <c r="M466" s="121"/>
      <c r="N466" s="121"/>
      <c r="O466" s="121"/>
      <c r="P466" s="121"/>
      <c r="Q466" s="121"/>
      <c r="R466" s="121"/>
      <c r="S466" s="121"/>
      <c r="T466" s="121"/>
      <c r="U466" s="121"/>
      <c r="V466" s="121"/>
      <c r="W466" s="121"/>
      <c r="X466" s="121">
        <v>0</v>
      </c>
      <c r="Y466" s="121"/>
      <c r="Z466" s="121"/>
      <c r="AA466" s="121"/>
      <c r="AB466" s="121"/>
      <c r="AC466" s="121"/>
      <c r="AD466" s="121"/>
      <c r="AE466" s="121"/>
      <c r="AF466" s="121"/>
      <c r="AG466" s="121"/>
      <c r="AH466" s="121"/>
      <c r="AI466" s="121"/>
    </row>
    <row r="467" spans="1:35" x14ac:dyDescent="0.25">
      <c r="A467" s="137"/>
      <c r="B467" s="137"/>
      <c r="C467" s="121"/>
      <c r="D467" s="121"/>
      <c r="E467" s="121"/>
      <c r="F467" s="121"/>
      <c r="G467" s="121"/>
      <c r="H467" s="121"/>
      <c r="I467" s="121"/>
      <c r="J467" s="121"/>
      <c r="K467" s="121"/>
      <c r="L467" s="121"/>
      <c r="M467" s="121"/>
      <c r="N467" s="121"/>
      <c r="O467" s="121"/>
      <c r="P467" s="121"/>
      <c r="Q467" s="121"/>
      <c r="R467" s="121"/>
      <c r="S467" s="121"/>
      <c r="T467" s="121"/>
      <c r="U467" s="121"/>
      <c r="V467" s="121"/>
      <c r="W467" s="121"/>
      <c r="X467" s="121">
        <v>0</v>
      </c>
      <c r="Y467" s="121"/>
      <c r="Z467" s="121"/>
      <c r="AA467" s="121"/>
      <c r="AB467" s="121"/>
      <c r="AC467" s="121"/>
      <c r="AD467" s="121"/>
      <c r="AE467" s="121"/>
      <c r="AF467" s="121"/>
      <c r="AG467" s="121"/>
      <c r="AH467" s="121"/>
      <c r="AI467" s="121"/>
    </row>
    <row r="468" spans="1:35" x14ac:dyDescent="0.25">
      <c r="A468" s="137"/>
      <c r="B468" s="137"/>
      <c r="C468" s="121"/>
      <c r="D468" s="121"/>
      <c r="E468" s="121"/>
      <c r="F468" s="121"/>
      <c r="G468" s="121"/>
      <c r="H468" s="121"/>
      <c r="I468" s="121"/>
      <c r="J468" s="121"/>
      <c r="K468" s="121"/>
      <c r="L468" s="121"/>
      <c r="M468" s="121"/>
      <c r="N468" s="121"/>
      <c r="O468" s="121"/>
      <c r="P468" s="121"/>
      <c r="Q468" s="121"/>
      <c r="R468" s="121"/>
      <c r="S468" s="121"/>
      <c r="T468" s="121"/>
      <c r="U468" s="121"/>
      <c r="V468" s="121"/>
      <c r="W468" s="121"/>
      <c r="X468" s="121">
        <v>0</v>
      </c>
      <c r="Y468" s="121"/>
      <c r="Z468" s="121"/>
      <c r="AA468" s="121"/>
      <c r="AB468" s="121"/>
      <c r="AC468" s="121"/>
      <c r="AD468" s="121"/>
      <c r="AE468" s="121"/>
      <c r="AF468" s="121"/>
      <c r="AG468" s="121"/>
      <c r="AH468" s="121"/>
      <c r="AI468" s="121"/>
    </row>
    <row r="469" spans="1:35" x14ac:dyDescent="0.25">
      <c r="A469" s="137"/>
      <c r="B469" s="137"/>
      <c r="C469" s="121"/>
      <c r="D469" s="121"/>
      <c r="E469" s="121"/>
      <c r="F469" s="121"/>
      <c r="G469" s="121"/>
      <c r="H469" s="121"/>
      <c r="I469" s="121"/>
      <c r="J469" s="121"/>
      <c r="K469" s="121"/>
      <c r="L469" s="121"/>
      <c r="M469" s="121"/>
      <c r="N469" s="121"/>
      <c r="O469" s="121"/>
      <c r="P469" s="121"/>
      <c r="Q469" s="121"/>
      <c r="R469" s="121"/>
      <c r="S469" s="121"/>
      <c r="T469" s="121"/>
      <c r="U469" s="121"/>
      <c r="V469" s="121"/>
      <c r="W469" s="121"/>
      <c r="X469" s="121">
        <v>0</v>
      </c>
      <c r="Y469" s="121"/>
      <c r="Z469" s="121"/>
      <c r="AA469" s="121"/>
      <c r="AB469" s="121"/>
      <c r="AC469" s="121"/>
      <c r="AD469" s="121"/>
      <c r="AE469" s="121"/>
      <c r="AF469" s="121"/>
      <c r="AG469" s="121"/>
      <c r="AH469" s="121"/>
      <c r="AI469" s="121"/>
    </row>
    <row r="470" spans="1:35" x14ac:dyDescent="0.25">
      <c r="A470" s="137"/>
      <c r="B470" s="137"/>
      <c r="C470" s="121"/>
      <c r="D470" s="121"/>
      <c r="E470" s="121"/>
      <c r="F470" s="121"/>
      <c r="G470" s="121"/>
      <c r="H470" s="121"/>
      <c r="I470" s="121"/>
      <c r="J470" s="121"/>
      <c r="K470" s="121"/>
      <c r="L470" s="121"/>
      <c r="M470" s="121"/>
      <c r="N470" s="121"/>
      <c r="O470" s="121"/>
      <c r="P470" s="121"/>
      <c r="Q470" s="121"/>
      <c r="R470" s="121"/>
      <c r="S470" s="121"/>
      <c r="T470" s="121"/>
      <c r="U470" s="121"/>
      <c r="V470" s="121"/>
      <c r="W470" s="121"/>
      <c r="X470" s="121">
        <v>0</v>
      </c>
      <c r="Y470" s="121"/>
      <c r="Z470" s="121"/>
      <c r="AA470" s="121"/>
      <c r="AB470" s="121"/>
      <c r="AC470" s="121"/>
      <c r="AD470" s="121"/>
      <c r="AE470" s="121"/>
      <c r="AF470" s="121"/>
      <c r="AG470" s="121"/>
      <c r="AH470" s="121"/>
      <c r="AI470" s="121"/>
    </row>
    <row r="471" spans="1:35" x14ac:dyDescent="0.25">
      <c r="A471" s="137"/>
      <c r="B471" s="137"/>
      <c r="C471" s="121"/>
      <c r="D471" s="121"/>
      <c r="E471" s="121"/>
      <c r="F471" s="121"/>
      <c r="G471" s="121"/>
      <c r="H471" s="121"/>
      <c r="I471" s="121"/>
      <c r="J471" s="121"/>
      <c r="K471" s="121"/>
      <c r="L471" s="121"/>
      <c r="M471" s="121"/>
      <c r="N471" s="121"/>
      <c r="O471" s="121"/>
      <c r="P471" s="121"/>
      <c r="Q471" s="121"/>
      <c r="R471" s="121"/>
      <c r="S471" s="121"/>
      <c r="T471" s="121"/>
      <c r="U471" s="121"/>
      <c r="V471" s="121"/>
      <c r="W471" s="121"/>
      <c r="X471" s="121">
        <v>0</v>
      </c>
      <c r="Y471" s="121"/>
      <c r="Z471" s="121"/>
      <c r="AA471" s="121"/>
      <c r="AB471" s="121"/>
      <c r="AC471" s="121"/>
      <c r="AD471" s="121"/>
      <c r="AE471" s="121"/>
      <c r="AF471" s="121"/>
      <c r="AG471" s="121"/>
      <c r="AH471" s="121"/>
      <c r="AI471" s="121"/>
    </row>
    <row r="472" spans="1:35" x14ac:dyDescent="0.25">
      <c r="A472" s="137"/>
      <c r="B472" s="137"/>
      <c r="C472" s="121"/>
      <c r="D472" s="121"/>
      <c r="E472" s="121"/>
      <c r="F472" s="121"/>
      <c r="G472" s="121"/>
      <c r="H472" s="121"/>
      <c r="I472" s="121"/>
      <c r="J472" s="121"/>
      <c r="K472" s="121"/>
      <c r="L472" s="121"/>
      <c r="M472" s="121"/>
      <c r="N472" s="121"/>
      <c r="O472" s="121"/>
      <c r="P472" s="121"/>
      <c r="Q472" s="121"/>
      <c r="R472" s="121"/>
      <c r="S472" s="121"/>
      <c r="T472" s="121"/>
      <c r="U472" s="121"/>
      <c r="V472" s="121"/>
      <c r="W472" s="121"/>
      <c r="X472" s="121">
        <v>0</v>
      </c>
      <c r="Y472" s="121"/>
      <c r="Z472" s="121"/>
      <c r="AA472" s="121"/>
      <c r="AB472" s="121"/>
      <c r="AC472" s="121"/>
      <c r="AD472" s="121"/>
      <c r="AE472" s="121"/>
      <c r="AF472" s="121"/>
      <c r="AG472" s="121"/>
      <c r="AH472" s="121"/>
      <c r="AI472" s="121"/>
    </row>
    <row r="473" spans="1:35" x14ac:dyDescent="0.25">
      <c r="A473" s="137"/>
      <c r="B473" s="137"/>
      <c r="C473" s="121"/>
      <c r="D473" s="121"/>
      <c r="E473" s="121"/>
      <c r="F473" s="121"/>
      <c r="G473" s="121"/>
      <c r="H473" s="121"/>
      <c r="I473" s="121"/>
      <c r="J473" s="121"/>
      <c r="K473" s="121"/>
      <c r="L473" s="121"/>
      <c r="M473" s="121"/>
      <c r="N473" s="121"/>
      <c r="O473" s="121"/>
      <c r="P473" s="121"/>
      <c r="Q473" s="121"/>
      <c r="R473" s="121"/>
      <c r="S473" s="121"/>
      <c r="T473" s="121"/>
      <c r="U473" s="121"/>
      <c r="V473" s="121"/>
      <c r="W473" s="121"/>
      <c r="X473" s="121">
        <v>0</v>
      </c>
      <c r="Y473" s="121"/>
      <c r="Z473" s="121"/>
      <c r="AA473" s="121"/>
      <c r="AB473" s="121"/>
      <c r="AC473" s="121"/>
      <c r="AD473" s="121"/>
      <c r="AE473" s="121"/>
      <c r="AF473" s="121"/>
      <c r="AG473" s="121"/>
      <c r="AH473" s="121"/>
      <c r="AI473" s="121"/>
    </row>
    <row r="474" spans="1:35" x14ac:dyDescent="0.25">
      <c r="A474" s="137"/>
      <c r="B474" s="137"/>
      <c r="C474" s="121"/>
      <c r="D474" s="121"/>
      <c r="E474" s="121"/>
      <c r="F474" s="121"/>
      <c r="G474" s="121"/>
      <c r="H474" s="121"/>
      <c r="I474" s="121"/>
      <c r="J474" s="121"/>
      <c r="K474" s="121"/>
      <c r="L474" s="121"/>
      <c r="M474" s="121"/>
      <c r="N474" s="121"/>
      <c r="O474" s="121"/>
      <c r="P474" s="121"/>
      <c r="Q474" s="121"/>
      <c r="R474" s="121"/>
      <c r="S474" s="121"/>
      <c r="T474" s="121"/>
      <c r="U474" s="121"/>
      <c r="V474" s="121"/>
      <c r="W474" s="121"/>
      <c r="X474" s="121">
        <v>0</v>
      </c>
      <c r="Y474" s="121"/>
      <c r="Z474" s="121"/>
      <c r="AA474" s="121"/>
      <c r="AB474" s="121"/>
      <c r="AC474" s="121"/>
      <c r="AD474" s="121"/>
      <c r="AE474" s="121"/>
      <c r="AF474" s="121"/>
      <c r="AG474" s="121"/>
      <c r="AH474" s="121"/>
      <c r="AI474" s="121"/>
    </row>
    <row r="475" spans="1:35" x14ac:dyDescent="0.25">
      <c r="A475" s="137"/>
      <c r="B475" s="137"/>
      <c r="C475" s="121"/>
      <c r="D475" s="121"/>
      <c r="E475" s="121"/>
      <c r="F475" s="121"/>
      <c r="G475" s="121"/>
      <c r="H475" s="121"/>
      <c r="I475" s="121"/>
      <c r="J475" s="121"/>
      <c r="K475" s="121"/>
      <c r="L475" s="121"/>
      <c r="M475" s="121"/>
      <c r="N475" s="121"/>
      <c r="O475" s="121"/>
      <c r="P475" s="121"/>
      <c r="Q475" s="121"/>
      <c r="R475" s="121"/>
      <c r="S475" s="121"/>
      <c r="T475" s="121"/>
      <c r="U475" s="121"/>
      <c r="V475" s="121"/>
      <c r="W475" s="121"/>
      <c r="X475" s="121">
        <v>0</v>
      </c>
      <c r="Y475" s="121"/>
      <c r="Z475" s="121"/>
      <c r="AA475" s="121"/>
      <c r="AB475" s="121"/>
      <c r="AC475" s="121"/>
      <c r="AD475" s="121"/>
      <c r="AE475" s="121"/>
      <c r="AF475" s="121"/>
      <c r="AG475" s="121"/>
      <c r="AH475" s="121"/>
      <c r="AI475" s="121"/>
    </row>
    <row r="476" spans="1:35" x14ac:dyDescent="0.25">
      <c r="A476" s="137"/>
      <c r="B476" s="137"/>
      <c r="C476" s="121"/>
      <c r="D476" s="121"/>
      <c r="E476" s="121"/>
      <c r="F476" s="121"/>
      <c r="G476" s="121"/>
      <c r="H476" s="121"/>
      <c r="I476" s="121"/>
      <c r="J476" s="121"/>
      <c r="K476" s="121"/>
      <c r="L476" s="121"/>
      <c r="M476" s="121"/>
      <c r="N476" s="121"/>
      <c r="O476" s="121"/>
      <c r="P476" s="121"/>
      <c r="Q476" s="121"/>
      <c r="R476" s="121"/>
      <c r="S476" s="121"/>
      <c r="T476" s="121"/>
      <c r="U476" s="121"/>
      <c r="V476" s="121"/>
      <c r="W476" s="121"/>
      <c r="X476" s="121">
        <v>0</v>
      </c>
      <c r="Y476" s="121"/>
      <c r="Z476" s="121"/>
      <c r="AA476" s="121"/>
      <c r="AB476" s="121"/>
      <c r="AC476" s="121"/>
      <c r="AD476" s="121"/>
      <c r="AE476" s="121"/>
      <c r="AF476" s="121"/>
      <c r="AG476" s="121"/>
      <c r="AH476" s="121"/>
      <c r="AI476" s="121"/>
    </row>
    <row r="477" spans="1:35" x14ac:dyDescent="0.25">
      <c r="A477" s="137"/>
      <c r="B477" s="137"/>
      <c r="C477" s="121"/>
      <c r="D477" s="121"/>
      <c r="E477" s="121"/>
      <c r="F477" s="121"/>
      <c r="G477" s="121"/>
      <c r="H477" s="121"/>
      <c r="I477" s="121"/>
      <c r="J477" s="121"/>
      <c r="K477" s="121"/>
      <c r="L477" s="121"/>
      <c r="M477" s="121"/>
      <c r="N477" s="121"/>
      <c r="O477" s="121"/>
      <c r="P477" s="121"/>
      <c r="Q477" s="121"/>
      <c r="R477" s="121"/>
      <c r="S477" s="121"/>
      <c r="T477" s="121"/>
      <c r="U477" s="121"/>
      <c r="V477" s="121"/>
      <c r="W477" s="121"/>
      <c r="X477" s="121">
        <v>0</v>
      </c>
      <c r="Y477" s="121"/>
      <c r="Z477" s="121"/>
      <c r="AA477" s="121"/>
      <c r="AB477" s="121"/>
      <c r="AC477" s="121"/>
      <c r="AD477" s="121"/>
      <c r="AE477" s="121"/>
      <c r="AF477" s="121"/>
      <c r="AG477" s="121"/>
      <c r="AH477" s="121"/>
      <c r="AI477" s="121"/>
    </row>
    <row r="478" spans="1:35" x14ac:dyDescent="0.25">
      <c r="A478" s="137"/>
      <c r="B478" s="137"/>
      <c r="C478" s="121"/>
      <c r="D478" s="121"/>
      <c r="E478" s="121"/>
      <c r="F478" s="121"/>
      <c r="G478" s="121"/>
      <c r="H478" s="121"/>
      <c r="I478" s="121"/>
      <c r="J478" s="121"/>
      <c r="K478" s="121"/>
      <c r="L478" s="121"/>
      <c r="M478" s="121"/>
      <c r="N478" s="121"/>
      <c r="O478" s="121"/>
      <c r="P478" s="121"/>
      <c r="Q478" s="121"/>
      <c r="R478" s="121"/>
      <c r="S478" s="121"/>
      <c r="T478" s="121"/>
      <c r="U478" s="121"/>
      <c r="V478" s="121"/>
      <c r="W478" s="121"/>
      <c r="X478" s="121">
        <v>0</v>
      </c>
      <c r="Y478" s="121"/>
      <c r="Z478" s="121"/>
      <c r="AA478" s="121"/>
      <c r="AB478" s="121"/>
      <c r="AC478" s="121"/>
      <c r="AD478" s="121"/>
      <c r="AE478" s="121"/>
      <c r="AF478" s="121"/>
      <c r="AG478" s="121"/>
      <c r="AH478" s="121"/>
      <c r="AI478" s="121"/>
    </row>
    <row r="479" spans="1:35" x14ac:dyDescent="0.25">
      <c r="A479" s="137"/>
      <c r="B479" s="137"/>
      <c r="C479" s="121"/>
      <c r="D479" s="121"/>
      <c r="E479" s="121"/>
      <c r="F479" s="121"/>
      <c r="G479" s="121"/>
      <c r="H479" s="121"/>
      <c r="I479" s="121"/>
      <c r="J479" s="121"/>
      <c r="K479" s="121"/>
      <c r="L479" s="121"/>
      <c r="M479" s="121"/>
      <c r="N479" s="121"/>
      <c r="O479" s="121"/>
      <c r="P479" s="121"/>
      <c r="Q479" s="121"/>
      <c r="R479" s="121"/>
      <c r="S479" s="121"/>
      <c r="T479" s="121"/>
      <c r="U479" s="121"/>
      <c r="V479" s="121"/>
      <c r="W479" s="121"/>
      <c r="X479" s="121">
        <v>0</v>
      </c>
      <c r="Y479" s="121"/>
      <c r="Z479" s="121"/>
      <c r="AA479" s="121"/>
      <c r="AB479" s="121"/>
      <c r="AC479" s="121"/>
      <c r="AD479" s="121"/>
      <c r="AE479" s="121"/>
      <c r="AF479" s="121"/>
      <c r="AG479" s="121"/>
      <c r="AH479" s="121"/>
      <c r="AI479" s="121"/>
    </row>
    <row r="480" spans="1:35" x14ac:dyDescent="0.25">
      <c r="A480" s="137"/>
      <c r="B480" s="137"/>
      <c r="C480" s="121"/>
      <c r="D480" s="121"/>
      <c r="E480" s="121"/>
      <c r="F480" s="121"/>
      <c r="G480" s="121"/>
      <c r="H480" s="121"/>
      <c r="I480" s="121"/>
      <c r="J480" s="121"/>
      <c r="K480" s="121"/>
      <c r="L480" s="121"/>
      <c r="M480" s="121"/>
      <c r="N480" s="121"/>
      <c r="O480" s="121"/>
      <c r="P480" s="121"/>
      <c r="Q480" s="121"/>
      <c r="R480" s="121"/>
      <c r="S480" s="121"/>
      <c r="T480" s="121"/>
      <c r="U480" s="121"/>
      <c r="V480" s="121"/>
      <c r="W480" s="121"/>
      <c r="X480" s="121">
        <v>0</v>
      </c>
      <c r="Y480" s="121"/>
      <c r="Z480" s="121"/>
      <c r="AA480" s="121"/>
      <c r="AB480" s="121"/>
      <c r="AC480" s="121"/>
      <c r="AD480" s="121"/>
      <c r="AE480" s="121"/>
      <c r="AF480" s="121"/>
      <c r="AG480" s="121"/>
      <c r="AH480" s="121"/>
      <c r="AI480" s="121"/>
    </row>
    <row r="481" spans="1:35" x14ac:dyDescent="0.25">
      <c r="A481" s="137"/>
      <c r="B481" s="137"/>
      <c r="C481" s="121"/>
      <c r="D481" s="121"/>
      <c r="E481" s="121"/>
      <c r="F481" s="121"/>
      <c r="G481" s="121"/>
      <c r="H481" s="121"/>
      <c r="I481" s="121"/>
      <c r="J481" s="121"/>
      <c r="K481" s="121"/>
      <c r="L481" s="121"/>
      <c r="M481" s="121"/>
      <c r="N481" s="121"/>
      <c r="O481" s="121"/>
      <c r="P481" s="121"/>
      <c r="Q481" s="121"/>
      <c r="R481" s="121"/>
      <c r="S481" s="121"/>
      <c r="T481" s="121"/>
      <c r="U481" s="121"/>
      <c r="V481" s="121"/>
      <c r="W481" s="121"/>
      <c r="X481" s="121">
        <v>0</v>
      </c>
      <c r="Y481" s="121"/>
      <c r="Z481" s="121"/>
      <c r="AA481" s="121"/>
      <c r="AB481" s="121"/>
      <c r="AC481" s="121"/>
      <c r="AD481" s="121"/>
      <c r="AE481" s="121"/>
      <c r="AF481" s="121"/>
      <c r="AG481" s="121"/>
      <c r="AH481" s="121"/>
      <c r="AI481" s="121"/>
    </row>
    <row r="482" spans="1:35" x14ac:dyDescent="0.25">
      <c r="A482" s="137"/>
      <c r="B482" s="137"/>
      <c r="C482" s="121"/>
      <c r="D482" s="121"/>
      <c r="E482" s="121"/>
      <c r="F482" s="121"/>
      <c r="G482" s="121"/>
      <c r="H482" s="121"/>
      <c r="I482" s="121"/>
      <c r="J482" s="121"/>
      <c r="K482" s="121"/>
      <c r="L482" s="121"/>
      <c r="M482" s="121"/>
      <c r="N482" s="121"/>
      <c r="O482" s="121"/>
      <c r="P482" s="121"/>
      <c r="Q482" s="121"/>
      <c r="R482" s="121"/>
      <c r="S482" s="121"/>
      <c r="T482" s="121"/>
      <c r="U482" s="121"/>
      <c r="V482" s="121"/>
      <c r="W482" s="121"/>
      <c r="X482" s="121">
        <v>0</v>
      </c>
      <c r="Y482" s="121"/>
      <c r="Z482" s="121"/>
      <c r="AA482" s="121"/>
      <c r="AB482" s="121"/>
      <c r="AC482" s="121"/>
      <c r="AD482" s="121"/>
      <c r="AE482" s="121"/>
      <c r="AF482" s="121"/>
      <c r="AG482" s="121"/>
      <c r="AH482" s="121"/>
      <c r="AI482" s="121"/>
    </row>
    <row r="483" spans="1:35" x14ac:dyDescent="0.25">
      <c r="A483" s="137"/>
      <c r="B483" s="137"/>
      <c r="C483" s="121"/>
      <c r="D483" s="121"/>
      <c r="E483" s="121"/>
      <c r="F483" s="121"/>
      <c r="G483" s="121"/>
      <c r="H483" s="121"/>
      <c r="I483" s="121"/>
      <c r="J483" s="121"/>
      <c r="K483" s="121"/>
      <c r="L483" s="121"/>
      <c r="M483" s="121"/>
      <c r="N483" s="121"/>
      <c r="O483" s="121"/>
      <c r="P483" s="121"/>
      <c r="Q483" s="121"/>
      <c r="R483" s="121"/>
      <c r="S483" s="121"/>
      <c r="T483" s="121"/>
      <c r="U483" s="121"/>
      <c r="V483" s="121"/>
      <c r="W483" s="121"/>
      <c r="X483" s="121">
        <v>0</v>
      </c>
      <c r="Y483" s="121"/>
      <c r="Z483" s="121"/>
      <c r="AA483" s="121"/>
      <c r="AB483" s="121"/>
      <c r="AC483" s="121"/>
      <c r="AD483" s="121"/>
      <c r="AE483" s="121"/>
      <c r="AF483" s="121"/>
      <c r="AG483" s="121"/>
      <c r="AH483" s="121"/>
      <c r="AI483" s="121"/>
    </row>
    <row r="484" spans="1:35" x14ac:dyDescent="0.25">
      <c r="A484" s="137"/>
      <c r="B484" s="137"/>
      <c r="C484" s="121"/>
      <c r="D484" s="121"/>
      <c r="E484" s="121"/>
      <c r="F484" s="121"/>
      <c r="G484" s="121"/>
      <c r="H484" s="121"/>
      <c r="I484" s="121"/>
      <c r="J484" s="121"/>
      <c r="K484" s="121"/>
      <c r="L484" s="121"/>
      <c r="M484" s="121"/>
      <c r="N484" s="121"/>
      <c r="O484" s="121"/>
      <c r="P484" s="121"/>
      <c r="Q484" s="121"/>
      <c r="R484" s="121"/>
      <c r="S484" s="121"/>
      <c r="T484" s="121"/>
      <c r="U484" s="121"/>
      <c r="V484" s="121"/>
      <c r="W484" s="121"/>
      <c r="X484" s="121">
        <v>0</v>
      </c>
      <c r="Y484" s="121"/>
      <c r="Z484" s="121"/>
      <c r="AA484" s="121"/>
      <c r="AB484" s="121"/>
      <c r="AC484" s="121"/>
      <c r="AD484" s="121"/>
      <c r="AE484" s="121"/>
      <c r="AF484" s="121"/>
      <c r="AG484" s="121"/>
      <c r="AH484" s="121"/>
      <c r="AI484" s="121"/>
    </row>
    <row r="485" spans="1:35" x14ac:dyDescent="0.25">
      <c r="A485" s="137"/>
      <c r="B485" s="137"/>
      <c r="C485" s="121"/>
      <c r="D485" s="121"/>
      <c r="E485" s="121"/>
      <c r="F485" s="121"/>
      <c r="G485" s="121"/>
      <c r="H485" s="121"/>
      <c r="I485" s="121"/>
      <c r="J485" s="121"/>
      <c r="K485" s="121"/>
      <c r="L485" s="121"/>
      <c r="M485" s="121"/>
      <c r="N485" s="121"/>
      <c r="O485" s="121"/>
      <c r="P485" s="121"/>
      <c r="Q485" s="121"/>
      <c r="R485" s="121"/>
      <c r="S485" s="121"/>
      <c r="T485" s="121"/>
      <c r="U485" s="121"/>
      <c r="V485" s="121"/>
      <c r="W485" s="121"/>
      <c r="X485" s="121">
        <v>0</v>
      </c>
      <c r="Y485" s="121"/>
      <c r="Z485" s="121"/>
      <c r="AA485" s="121"/>
      <c r="AB485" s="121"/>
      <c r="AC485" s="121"/>
      <c r="AD485" s="121"/>
      <c r="AE485" s="121"/>
      <c r="AF485" s="121"/>
      <c r="AG485" s="121"/>
      <c r="AH485" s="121"/>
      <c r="AI485" s="121"/>
    </row>
    <row r="486" spans="1:35" x14ac:dyDescent="0.25">
      <c r="A486" s="137"/>
      <c r="B486" s="137"/>
      <c r="C486" s="121"/>
      <c r="D486" s="121"/>
      <c r="E486" s="121"/>
      <c r="F486" s="121"/>
      <c r="G486" s="121"/>
      <c r="H486" s="121"/>
      <c r="I486" s="121"/>
      <c r="J486" s="121"/>
      <c r="K486" s="121"/>
      <c r="L486" s="121"/>
      <c r="M486" s="121"/>
      <c r="N486" s="121"/>
      <c r="O486" s="121"/>
      <c r="P486" s="121"/>
      <c r="Q486" s="121"/>
      <c r="R486" s="121"/>
      <c r="S486" s="121"/>
      <c r="T486" s="121"/>
      <c r="U486" s="121"/>
      <c r="V486" s="121"/>
      <c r="W486" s="121"/>
      <c r="X486" s="121">
        <v>0</v>
      </c>
      <c r="Y486" s="121"/>
      <c r="Z486" s="121"/>
      <c r="AA486" s="121"/>
      <c r="AB486" s="121"/>
      <c r="AC486" s="121"/>
      <c r="AD486" s="121"/>
      <c r="AE486" s="121"/>
      <c r="AF486" s="121"/>
      <c r="AG486" s="121"/>
      <c r="AH486" s="121"/>
      <c r="AI486" s="121"/>
    </row>
    <row r="487" spans="1:35" x14ac:dyDescent="0.25">
      <c r="A487" s="137"/>
      <c r="B487" s="137"/>
      <c r="C487" s="121"/>
      <c r="D487" s="121"/>
      <c r="E487" s="121"/>
      <c r="F487" s="121"/>
      <c r="G487" s="121"/>
      <c r="H487" s="121"/>
      <c r="I487" s="121"/>
      <c r="J487" s="121"/>
      <c r="K487" s="121"/>
      <c r="L487" s="121"/>
      <c r="M487" s="121"/>
      <c r="N487" s="121"/>
      <c r="O487" s="121"/>
      <c r="P487" s="121"/>
      <c r="Q487" s="121"/>
      <c r="R487" s="121"/>
      <c r="S487" s="121"/>
      <c r="T487" s="121"/>
      <c r="U487" s="121"/>
      <c r="V487" s="121"/>
      <c r="W487" s="121"/>
      <c r="X487" s="121">
        <v>0</v>
      </c>
      <c r="Y487" s="121"/>
      <c r="Z487" s="121"/>
      <c r="AA487" s="121"/>
      <c r="AB487" s="121"/>
      <c r="AC487" s="121"/>
      <c r="AD487" s="121"/>
      <c r="AE487" s="121"/>
      <c r="AF487" s="121"/>
      <c r="AG487" s="121"/>
      <c r="AH487" s="121"/>
      <c r="AI487" s="121"/>
    </row>
    <row r="488" spans="1:35" x14ac:dyDescent="0.25">
      <c r="A488" s="137"/>
      <c r="B488" s="137"/>
      <c r="C488" s="121"/>
      <c r="D488" s="121"/>
      <c r="E488" s="121"/>
      <c r="F488" s="121"/>
      <c r="G488" s="121"/>
      <c r="H488" s="121"/>
      <c r="I488" s="121"/>
      <c r="J488" s="121"/>
      <c r="K488" s="121"/>
      <c r="L488" s="121"/>
      <c r="M488" s="121"/>
      <c r="N488" s="121"/>
      <c r="O488" s="121"/>
      <c r="P488" s="121"/>
      <c r="Q488" s="121"/>
      <c r="R488" s="121"/>
      <c r="S488" s="121"/>
      <c r="T488" s="121"/>
      <c r="U488" s="121"/>
      <c r="V488" s="121"/>
      <c r="W488" s="121"/>
      <c r="X488" s="121">
        <v>0</v>
      </c>
      <c r="Y488" s="121"/>
      <c r="Z488" s="121"/>
      <c r="AA488" s="121"/>
      <c r="AB488" s="121"/>
      <c r="AC488" s="121"/>
      <c r="AD488" s="121"/>
      <c r="AE488" s="121"/>
      <c r="AF488" s="121"/>
      <c r="AG488" s="121"/>
      <c r="AH488" s="121"/>
      <c r="AI488" s="121"/>
    </row>
    <row r="489" spans="1:35" x14ac:dyDescent="0.25">
      <c r="A489" s="137"/>
      <c r="B489" s="137"/>
      <c r="C489" s="121"/>
      <c r="D489" s="121"/>
      <c r="E489" s="121"/>
      <c r="F489" s="121"/>
      <c r="G489" s="121"/>
      <c r="H489" s="121"/>
      <c r="I489" s="121"/>
      <c r="J489" s="121"/>
      <c r="K489" s="121"/>
      <c r="L489" s="121"/>
      <c r="M489" s="121"/>
      <c r="N489" s="121"/>
      <c r="O489" s="121"/>
      <c r="P489" s="121"/>
      <c r="Q489" s="121"/>
      <c r="R489" s="121"/>
      <c r="S489" s="121"/>
      <c r="T489" s="121"/>
      <c r="U489" s="121"/>
      <c r="V489" s="121"/>
      <c r="W489" s="121"/>
      <c r="X489" s="121">
        <v>0</v>
      </c>
      <c r="Y489" s="121"/>
      <c r="Z489" s="121"/>
      <c r="AA489" s="121"/>
      <c r="AB489" s="121"/>
      <c r="AC489" s="121"/>
      <c r="AD489" s="121"/>
      <c r="AE489" s="121"/>
      <c r="AF489" s="121"/>
      <c r="AG489" s="121"/>
      <c r="AH489" s="121"/>
      <c r="AI489" s="121"/>
    </row>
    <row r="490" spans="1:35" x14ac:dyDescent="0.25">
      <c r="A490" s="137"/>
      <c r="B490" s="137"/>
      <c r="C490" s="121"/>
      <c r="D490" s="121"/>
      <c r="E490" s="121"/>
      <c r="F490" s="121"/>
      <c r="G490" s="121"/>
      <c r="H490" s="121"/>
      <c r="I490" s="121"/>
      <c r="J490" s="121"/>
      <c r="K490" s="121"/>
      <c r="L490" s="121"/>
      <c r="M490" s="121"/>
      <c r="N490" s="121"/>
      <c r="O490" s="121"/>
      <c r="P490" s="121"/>
      <c r="Q490" s="121"/>
      <c r="R490" s="121"/>
      <c r="S490" s="121"/>
      <c r="T490" s="121"/>
      <c r="U490" s="121"/>
      <c r="V490" s="121"/>
      <c r="W490" s="121"/>
      <c r="X490" s="121">
        <v>0</v>
      </c>
      <c r="Y490" s="121"/>
      <c r="Z490" s="121"/>
      <c r="AA490" s="121"/>
      <c r="AB490" s="121"/>
      <c r="AC490" s="121"/>
      <c r="AD490" s="121"/>
      <c r="AE490" s="121"/>
      <c r="AF490" s="121"/>
      <c r="AG490" s="121"/>
      <c r="AH490" s="121"/>
      <c r="AI490" s="121"/>
    </row>
    <row r="491" spans="1:35" x14ac:dyDescent="0.25">
      <c r="A491" s="137"/>
      <c r="B491" s="137"/>
      <c r="C491" s="121"/>
      <c r="D491" s="121"/>
      <c r="E491" s="121"/>
      <c r="F491" s="121"/>
      <c r="G491" s="121"/>
      <c r="H491" s="121"/>
      <c r="I491" s="121"/>
      <c r="J491" s="121"/>
      <c r="K491" s="121"/>
      <c r="L491" s="121"/>
      <c r="M491" s="121"/>
      <c r="N491" s="121"/>
      <c r="O491" s="121"/>
      <c r="P491" s="121"/>
      <c r="Q491" s="121"/>
      <c r="R491" s="121"/>
      <c r="S491" s="121"/>
      <c r="T491" s="121"/>
      <c r="U491" s="121"/>
      <c r="V491" s="121"/>
      <c r="W491" s="121"/>
      <c r="X491" s="121">
        <v>0</v>
      </c>
      <c r="Y491" s="121"/>
      <c r="Z491" s="121"/>
      <c r="AA491" s="121"/>
      <c r="AB491" s="121"/>
      <c r="AC491" s="121"/>
      <c r="AD491" s="121"/>
      <c r="AE491" s="121"/>
      <c r="AF491" s="121"/>
      <c r="AG491" s="121"/>
      <c r="AH491" s="121"/>
      <c r="AI491" s="121"/>
    </row>
    <row r="492" spans="1:35" x14ac:dyDescent="0.25">
      <c r="A492" s="137"/>
      <c r="B492" s="137"/>
      <c r="C492" s="121"/>
      <c r="D492" s="121"/>
      <c r="E492" s="121"/>
      <c r="F492" s="121"/>
      <c r="G492" s="121"/>
      <c r="H492" s="121"/>
      <c r="I492" s="121"/>
      <c r="J492" s="121"/>
      <c r="K492" s="121"/>
      <c r="L492" s="121"/>
      <c r="M492" s="121"/>
      <c r="N492" s="121"/>
      <c r="O492" s="121"/>
      <c r="P492" s="121"/>
      <c r="Q492" s="121"/>
      <c r="R492" s="121"/>
      <c r="S492" s="121"/>
      <c r="T492" s="121"/>
      <c r="U492" s="121"/>
      <c r="V492" s="121"/>
      <c r="W492" s="121"/>
      <c r="X492" s="121">
        <v>0</v>
      </c>
      <c r="Y492" s="121"/>
      <c r="Z492" s="121"/>
      <c r="AA492" s="121"/>
      <c r="AB492" s="121"/>
      <c r="AC492" s="121"/>
      <c r="AD492" s="121"/>
      <c r="AE492" s="121"/>
      <c r="AF492" s="121"/>
      <c r="AG492" s="121"/>
      <c r="AH492" s="121"/>
      <c r="AI492" s="121"/>
    </row>
    <row r="493" spans="1:35" x14ac:dyDescent="0.25">
      <c r="A493" s="137"/>
      <c r="B493" s="137"/>
      <c r="C493" s="121"/>
      <c r="D493" s="121"/>
      <c r="E493" s="121"/>
      <c r="F493" s="121"/>
      <c r="G493" s="121"/>
      <c r="H493" s="121"/>
      <c r="I493" s="121"/>
      <c r="J493" s="121"/>
      <c r="K493" s="121"/>
      <c r="L493" s="121"/>
      <c r="M493" s="121"/>
      <c r="N493" s="121"/>
      <c r="O493" s="121"/>
      <c r="P493" s="121"/>
      <c r="Q493" s="121"/>
      <c r="R493" s="121"/>
      <c r="S493" s="121"/>
      <c r="T493" s="121"/>
      <c r="U493" s="121"/>
      <c r="V493" s="121"/>
      <c r="W493" s="121"/>
      <c r="X493" s="121">
        <v>0</v>
      </c>
      <c r="Y493" s="121"/>
      <c r="Z493" s="121"/>
      <c r="AA493" s="121"/>
      <c r="AB493" s="121"/>
      <c r="AC493" s="121"/>
      <c r="AD493" s="121"/>
      <c r="AE493" s="121"/>
      <c r="AF493" s="121"/>
      <c r="AG493" s="121"/>
      <c r="AH493" s="121"/>
      <c r="AI493" s="121"/>
    </row>
    <row r="494" spans="1:35" x14ac:dyDescent="0.25">
      <c r="A494" s="137"/>
      <c r="B494" s="137"/>
      <c r="C494" s="121"/>
      <c r="D494" s="121"/>
      <c r="E494" s="121"/>
      <c r="F494" s="121"/>
      <c r="G494" s="121"/>
      <c r="H494" s="121"/>
      <c r="I494" s="121"/>
      <c r="J494" s="121"/>
      <c r="K494" s="121"/>
      <c r="L494" s="121"/>
      <c r="M494" s="121"/>
      <c r="N494" s="121"/>
      <c r="O494" s="121"/>
      <c r="P494" s="121"/>
      <c r="Q494" s="121"/>
      <c r="R494" s="121"/>
      <c r="S494" s="121"/>
      <c r="T494" s="121"/>
      <c r="U494" s="121"/>
      <c r="V494" s="121"/>
      <c r="W494" s="121"/>
      <c r="X494" s="121">
        <v>0</v>
      </c>
      <c r="Y494" s="121"/>
      <c r="Z494" s="121"/>
      <c r="AA494" s="121"/>
      <c r="AB494" s="121"/>
      <c r="AC494" s="121"/>
      <c r="AD494" s="121"/>
      <c r="AE494" s="121"/>
      <c r="AF494" s="121"/>
      <c r="AG494" s="121"/>
      <c r="AH494" s="121"/>
      <c r="AI494" s="121"/>
    </row>
    <row r="495" spans="1:35" x14ac:dyDescent="0.25">
      <c r="A495" s="137"/>
      <c r="B495" s="137"/>
      <c r="C495" s="121"/>
      <c r="D495" s="121"/>
      <c r="E495" s="121"/>
      <c r="F495" s="121"/>
      <c r="G495" s="121"/>
      <c r="H495" s="121"/>
      <c r="I495" s="121"/>
      <c r="J495" s="121"/>
      <c r="K495" s="121"/>
      <c r="L495" s="121"/>
      <c r="M495" s="121"/>
      <c r="N495" s="121"/>
      <c r="O495" s="121"/>
      <c r="P495" s="121"/>
      <c r="Q495" s="121"/>
      <c r="R495" s="121"/>
      <c r="S495" s="121"/>
      <c r="T495" s="121"/>
      <c r="U495" s="121"/>
      <c r="V495" s="121"/>
      <c r="W495" s="121"/>
      <c r="X495" s="121">
        <v>0</v>
      </c>
      <c r="Y495" s="121"/>
      <c r="Z495" s="121"/>
      <c r="AA495" s="121"/>
      <c r="AB495" s="121"/>
      <c r="AC495" s="121"/>
      <c r="AD495" s="121"/>
      <c r="AE495" s="121"/>
      <c r="AF495" s="121"/>
      <c r="AG495" s="121"/>
      <c r="AH495" s="121"/>
      <c r="AI495" s="121"/>
    </row>
    <row r="496" spans="1:35" x14ac:dyDescent="0.25">
      <c r="A496" s="137"/>
      <c r="B496" s="137"/>
      <c r="C496" s="121"/>
      <c r="D496" s="121"/>
      <c r="E496" s="121"/>
      <c r="F496" s="121"/>
      <c r="G496" s="121"/>
      <c r="H496" s="121"/>
      <c r="I496" s="121"/>
      <c r="J496" s="121"/>
      <c r="K496" s="121"/>
      <c r="L496" s="121"/>
      <c r="M496" s="121"/>
      <c r="N496" s="121"/>
      <c r="O496" s="121"/>
      <c r="P496" s="121"/>
      <c r="Q496" s="121"/>
      <c r="R496" s="121"/>
      <c r="S496" s="121"/>
      <c r="T496" s="121"/>
      <c r="U496" s="121"/>
      <c r="V496" s="121"/>
      <c r="W496" s="121"/>
      <c r="X496" s="121">
        <v>0</v>
      </c>
      <c r="Y496" s="121"/>
      <c r="Z496" s="121"/>
      <c r="AA496" s="121"/>
      <c r="AB496" s="121"/>
      <c r="AC496" s="121"/>
      <c r="AD496" s="121"/>
      <c r="AE496" s="121"/>
      <c r="AF496" s="121"/>
      <c r="AG496" s="121"/>
      <c r="AH496" s="121"/>
      <c r="AI496" s="121"/>
    </row>
    <row r="497" spans="1:35" x14ac:dyDescent="0.25">
      <c r="A497" s="137"/>
      <c r="B497" s="137"/>
      <c r="C497" s="121"/>
      <c r="D497" s="121"/>
      <c r="E497" s="121"/>
      <c r="F497" s="121"/>
      <c r="G497" s="121"/>
      <c r="H497" s="121"/>
      <c r="I497" s="121"/>
      <c r="J497" s="121"/>
      <c r="K497" s="121"/>
      <c r="L497" s="121"/>
      <c r="M497" s="121"/>
      <c r="N497" s="121"/>
      <c r="O497" s="121"/>
      <c r="P497" s="121"/>
      <c r="Q497" s="121"/>
      <c r="R497" s="121"/>
      <c r="S497" s="121"/>
      <c r="T497" s="121"/>
      <c r="U497" s="121"/>
      <c r="V497" s="121"/>
      <c r="W497" s="121"/>
      <c r="X497" s="121">
        <v>0</v>
      </c>
      <c r="Y497" s="121"/>
      <c r="Z497" s="121"/>
      <c r="AA497" s="121"/>
      <c r="AB497" s="121"/>
      <c r="AC497" s="121"/>
      <c r="AD497" s="121"/>
      <c r="AE497" s="121"/>
      <c r="AF497" s="121"/>
      <c r="AG497" s="121"/>
      <c r="AH497" s="121"/>
      <c r="AI497" s="121"/>
    </row>
    <row r="498" spans="1:35" x14ac:dyDescent="0.25">
      <c r="A498" s="137"/>
      <c r="B498" s="137"/>
      <c r="C498" s="121"/>
      <c r="D498" s="121"/>
      <c r="E498" s="121"/>
      <c r="F498" s="121"/>
      <c r="G498" s="121"/>
      <c r="H498" s="121"/>
      <c r="I498" s="121"/>
      <c r="J498" s="121"/>
      <c r="K498" s="121"/>
      <c r="L498" s="121"/>
      <c r="M498" s="121"/>
      <c r="N498" s="121"/>
      <c r="O498" s="121"/>
      <c r="P498" s="121"/>
      <c r="Q498" s="121"/>
      <c r="R498" s="121"/>
      <c r="S498" s="121"/>
      <c r="T498" s="121"/>
      <c r="U498" s="121"/>
      <c r="V498" s="121"/>
      <c r="W498" s="121"/>
      <c r="X498" s="121">
        <v>0</v>
      </c>
      <c r="Y498" s="121"/>
      <c r="Z498" s="121"/>
      <c r="AA498" s="121"/>
      <c r="AB498" s="121"/>
      <c r="AC498" s="121"/>
      <c r="AD498" s="121"/>
      <c r="AE498" s="121"/>
      <c r="AF498" s="121"/>
      <c r="AG498" s="121"/>
      <c r="AH498" s="121"/>
      <c r="AI498" s="121"/>
    </row>
    <row r="499" spans="1:35" x14ac:dyDescent="0.25">
      <c r="A499" s="137"/>
      <c r="B499" s="137"/>
      <c r="C499" s="121"/>
      <c r="D499" s="121"/>
      <c r="E499" s="121"/>
      <c r="F499" s="121"/>
      <c r="G499" s="121"/>
      <c r="H499" s="121"/>
      <c r="I499" s="121"/>
      <c r="J499" s="121"/>
      <c r="K499" s="121"/>
      <c r="L499" s="121"/>
      <c r="M499" s="121"/>
      <c r="N499" s="121"/>
      <c r="O499" s="121"/>
      <c r="P499" s="121"/>
      <c r="Q499" s="121"/>
      <c r="R499" s="121"/>
      <c r="S499" s="121"/>
      <c r="T499" s="121"/>
      <c r="U499" s="121"/>
      <c r="V499" s="121"/>
      <c r="W499" s="121"/>
      <c r="X499" s="121">
        <v>0</v>
      </c>
      <c r="Y499" s="121"/>
      <c r="Z499" s="121"/>
      <c r="AA499" s="121"/>
      <c r="AB499" s="121"/>
      <c r="AC499" s="121"/>
      <c r="AD499" s="121"/>
      <c r="AE499" s="121"/>
      <c r="AF499" s="121"/>
      <c r="AG499" s="121"/>
      <c r="AH499" s="121"/>
      <c r="AI499" s="121"/>
    </row>
    <row r="500" spans="1:35" x14ac:dyDescent="0.25">
      <c r="A500" s="137"/>
      <c r="B500" s="137"/>
      <c r="C500" s="121"/>
      <c r="D500" s="121"/>
      <c r="E500" s="121"/>
      <c r="F500" s="121"/>
      <c r="G500" s="121"/>
      <c r="H500" s="121"/>
      <c r="I500" s="121"/>
      <c r="J500" s="121"/>
      <c r="K500" s="121"/>
      <c r="L500" s="121"/>
      <c r="M500" s="121"/>
      <c r="N500" s="121"/>
      <c r="O500" s="121"/>
      <c r="P500" s="121"/>
      <c r="Q500" s="121"/>
      <c r="R500" s="121"/>
      <c r="S500" s="121"/>
      <c r="T500" s="121"/>
      <c r="U500" s="121"/>
      <c r="V500" s="121"/>
      <c r="W500" s="121"/>
      <c r="X500" s="121">
        <v>0</v>
      </c>
      <c r="Y500" s="121"/>
      <c r="Z500" s="121"/>
      <c r="AA500" s="121"/>
      <c r="AB500" s="121"/>
      <c r="AC500" s="121"/>
      <c r="AD500" s="121"/>
      <c r="AE500" s="121"/>
      <c r="AF500" s="121"/>
      <c r="AG500" s="121"/>
      <c r="AH500" s="121"/>
      <c r="AI500" s="121"/>
    </row>
    <row r="501" spans="1:35" x14ac:dyDescent="0.25">
      <c r="A501" s="137"/>
      <c r="B501" s="137"/>
      <c r="C501" s="121"/>
      <c r="D501" s="121"/>
      <c r="E501" s="121"/>
      <c r="F501" s="121"/>
      <c r="G501" s="121"/>
      <c r="H501" s="121"/>
      <c r="I501" s="121"/>
      <c r="J501" s="121"/>
      <c r="K501" s="121"/>
      <c r="L501" s="121"/>
      <c r="M501" s="121"/>
      <c r="N501" s="121"/>
      <c r="O501" s="121"/>
      <c r="P501" s="121"/>
      <c r="Q501" s="121"/>
      <c r="R501" s="121"/>
      <c r="S501" s="121"/>
      <c r="T501" s="121"/>
      <c r="U501" s="121"/>
      <c r="V501" s="121"/>
      <c r="W501" s="121"/>
      <c r="X501" s="121">
        <v>0</v>
      </c>
      <c r="Y501" s="121"/>
      <c r="Z501" s="121"/>
      <c r="AA501" s="121"/>
      <c r="AB501" s="121"/>
      <c r="AC501" s="121"/>
      <c r="AD501" s="121"/>
      <c r="AE501" s="121"/>
      <c r="AF501" s="121"/>
      <c r="AG501" s="121"/>
      <c r="AH501" s="121"/>
      <c r="AI501" s="121"/>
    </row>
    <row r="502" spans="1:35" x14ac:dyDescent="0.25">
      <c r="A502" s="137"/>
      <c r="B502" s="137"/>
      <c r="C502" s="121"/>
      <c r="D502" s="121"/>
      <c r="E502" s="121"/>
      <c r="F502" s="121"/>
      <c r="G502" s="121"/>
      <c r="H502" s="121"/>
      <c r="I502" s="121"/>
      <c r="J502" s="121"/>
      <c r="K502" s="121"/>
      <c r="L502" s="121"/>
      <c r="M502" s="121"/>
      <c r="N502" s="121"/>
      <c r="O502" s="121"/>
      <c r="P502" s="121"/>
      <c r="Q502" s="121"/>
      <c r="R502" s="121"/>
      <c r="S502" s="121"/>
      <c r="T502" s="121"/>
      <c r="U502" s="121"/>
      <c r="V502" s="121"/>
      <c r="W502" s="121"/>
      <c r="X502" s="121">
        <v>0</v>
      </c>
      <c r="Y502" s="121"/>
      <c r="Z502" s="121"/>
      <c r="AA502" s="121"/>
      <c r="AB502" s="121"/>
      <c r="AC502" s="121"/>
      <c r="AD502" s="121"/>
      <c r="AE502" s="121"/>
      <c r="AF502" s="121"/>
      <c r="AG502" s="121"/>
      <c r="AH502" s="121"/>
      <c r="AI502" s="121"/>
    </row>
    <row r="503" spans="1:35" x14ac:dyDescent="0.25">
      <c r="A503" s="137"/>
      <c r="B503" s="137"/>
      <c r="C503" s="121"/>
      <c r="D503" s="121"/>
      <c r="E503" s="121"/>
      <c r="F503" s="121"/>
      <c r="G503" s="121"/>
      <c r="H503" s="121"/>
      <c r="I503" s="121"/>
      <c r="J503" s="121"/>
      <c r="K503" s="121"/>
      <c r="L503" s="121"/>
      <c r="M503" s="121"/>
      <c r="N503" s="121"/>
      <c r="O503" s="121"/>
      <c r="P503" s="121"/>
      <c r="Q503" s="121"/>
      <c r="R503" s="121"/>
      <c r="S503" s="121"/>
      <c r="T503" s="121"/>
      <c r="U503" s="121"/>
      <c r="V503" s="121"/>
      <c r="W503" s="121"/>
      <c r="X503" s="121">
        <v>0</v>
      </c>
      <c r="Y503" s="121"/>
      <c r="Z503" s="121"/>
      <c r="AA503" s="121"/>
      <c r="AB503" s="121"/>
      <c r="AC503" s="121"/>
      <c r="AD503" s="121"/>
      <c r="AE503" s="121"/>
      <c r="AF503" s="121"/>
      <c r="AG503" s="121"/>
      <c r="AH503" s="121"/>
      <c r="AI503" s="121"/>
    </row>
    <row r="504" spans="1:35" x14ac:dyDescent="0.25">
      <c r="A504" s="137"/>
      <c r="B504" s="137"/>
      <c r="C504" s="121"/>
      <c r="D504" s="121"/>
      <c r="E504" s="121"/>
      <c r="F504" s="121"/>
      <c r="G504" s="121"/>
      <c r="H504" s="121"/>
      <c r="I504" s="121"/>
      <c r="J504" s="121"/>
      <c r="K504" s="121"/>
      <c r="L504" s="121"/>
      <c r="M504" s="121"/>
      <c r="N504" s="121"/>
      <c r="O504" s="121"/>
      <c r="P504" s="121"/>
      <c r="Q504" s="121"/>
      <c r="R504" s="121"/>
      <c r="S504" s="121"/>
      <c r="T504" s="121"/>
      <c r="U504" s="121"/>
      <c r="V504" s="121"/>
      <c r="W504" s="121"/>
      <c r="X504" s="121">
        <v>0</v>
      </c>
      <c r="Y504" s="121"/>
      <c r="Z504" s="121"/>
      <c r="AA504" s="121"/>
      <c r="AB504" s="121"/>
      <c r="AC504" s="121"/>
      <c r="AD504" s="121"/>
      <c r="AE504" s="121"/>
      <c r="AF504" s="121"/>
      <c r="AG504" s="121"/>
      <c r="AH504" s="121"/>
      <c r="AI504" s="121"/>
    </row>
    <row r="505" spans="1:35" x14ac:dyDescent="0.25">
      <c r="A505" s="137"/>
      <c r="B505" s="137"/>
      <c r="C505" s="121"/>
      <c r="D505" s="121"/>
      <c r="E505" s="121"/>
      <c r="F505" s="121"/>
      <c r="G505" s="121"/>
      <c r="H505" s="121"/>
      <c r="I505" s="121"/>
      <c r="J505" s="121"/>
      <c r="K505" s="121"/>
      <c r="L505" s="121"/>
      <c r="M505" s="121"/>
      <c r="N505" s="121"/>
      <c r="O505" s="121"/>
      <c r="P505" s="121"/>
      <c r="Q505" s="121"/>
      <c r="R505" s="121"/>
      <c r="S505" s="121"/>
      <c r="T505" s="121"/>
      <c r="U505" s="121"/>
      <c r="V505" s="121"/>
      <c r="W505" s="121"/>
      <c r="X505" s="121">
        <v>0</v>
      </c>
      <c r="Y505" s="121"/>
      <c r="Z505" s="121"/>
      <c r="AA505" s="121"/>
      <c r="AB505" s="121"/>
      <c r="AC505" s="121"/>
      <c r="AD505" s="121"/>
      <c r="AE505" s="121"/>
      <c r="AF505" s="121"/>
      <c r="AG505" s="121"/>
      <c r="AH505" s="121"/>
      <c r="AI505" s="121"/>
    </row>
    <row r="506" spans="1:35" x14ac:dyDescent="0.25">
      <c r="A506" s="137"/>
      <c r="B506" s="137"/>
      <c r="C506" s="121"/>
      <c r="D506" s="121"/>
      <c r="E506" s="121"/>
      <c r="F506" s="121"/>
      <c r="G506" s="121"/>
      <c r="H506" s="121"/>
      <c r="I506" s="121"/>
      <c r="J506" s="121"/>
      <c r="K506" s="121"/>
      <c r="L506" s="121"/>
      <c r="M506" s="121"/>
      <c r="N506" s="121"/>
      <c r="O506" s="121"/>
      <c r="P506" s="121"/>
      <c r="Q506" s="121"/>
      <c r="R506" s="121"/>
      <c r="S506" s="121"/>
      <c r="T506" s="121"/>
      <c r="U506" s="121"/>
      <c r="V506" s="121"/>
      <c r="W506" s="121"/>
      <c r="X506" s="121">
        <v>0</v>
      </c>
      <c r="Y506" s="121"/>
      <c r="Z506" s="121"/>
      <c r="AA506" s="121"/>
      <c r="AB506" s="121"/>
      <c r="AC506" s="121"/>
      <c r="AD506" s="121"/>
      <c r="AE506" s="121"/>
      <c r="AF506" s="121"/>
      <c r="AG506" s="121"/>
      <c r="AH506" s="121"/>
      <c r="AI506" s="121"/>
    </row>
    <row r="507" spans="1:35" x14ac:dyDescent="0.25">
      <c r="A507" s="137"/>
      <c r="B507" s="137"/>
      <c r="C507" s="121"/>
      <c r="D507" s="121"/>
      <c r="E507" s="121"/>
      <c r="F507" s="121"/>
      <c r="G507" s="121"/>
      <c r="H507" s="121"/>
      <c r="I507" s="121"/>
      <c r="J507" s="121"/>
      <c r="K507" s="121"/>
      <c r="L507" s="121"/>
      <c r="M507" s="121"/>
      <c r="N507" s="121"/>
      <c r="O507" s="121"/>
      <c r="P507" s="121"/>
      <c r="Q507" s="121"/>
      <c r="R507" s="121"/>
      <c r="S507" s="121"/>
      <c r="T507" s="121"/>
      <c r="U507" s="121"/>
      <c r="V507" s="121"/>
      <c r="W507" s="121"/>
      <c r="X507" s="121">
        <v>0</v>
      </c>
      <c r="Y507" s="121"/>
      <c r="Z507" s="121"/>
      <c r="AA507" s="121"/>
      <c r="AB507" s="121"/>
      <c r="AC507" s="121"/>
      <c r="AD507" s="121"/>
      <c r="AE507" s="121"/>
      <c r="AF507" s="121"/>
      <c r="AG507" s="121"/>
      <c r="AH507" s="121"/>
      <c r="AI507" s="121"/>
    </row>
    <row r="508" spans="1:35" x14ac:dyDescent="0.25">
      <c r="A508" s="137"/>
      <c r="B508" s="137"/>
      <c r="C508" s="121"/>
      <c r="D508" s="121"/>
      <c r="E508" s="121"/>
      <c r="F508" s="121"/>
      <c r="G508" s="121"/>
      <c r="H508" s="121"/>
      <c r="I508" s="121"/>
      <c r="J508" s="121"/>
      <c r="K508" s="121"/>
      <c r="L508" s="121"/>
      <c r="M508" s="121"/>
      <c r="N508" s="121"/>
      <c r="O508" s="121"/>
      <c r="P508" s="121"/>
      <c r="Q508" s="121"/>
      <c r="R508" s="121"/>
      <c r="S508" s="121"/>
      <c r="T508" s="121"/>
      <c r="U508" s="121"/>
      <c r="V508" s="121"/>
      <c r="W508" s="121"/>
      <c r="X508" s="121" t="s">
        <v>1119</v>
      </c>
      <c r="Y508" s="121"/>
      <c r="Z508" s="121"/>
      <c r="AA508" s="121"/>
      <c r="AB508" s="121"/>
      <c r="AC508" s="121"/>
      <c r="AD508" s="121"/>
      <c r="AE508" s="121"/>
      <c r="AF508" s="121"/>
      <c r="AG508" s="121"/>
      <c r="AH508" s="121"/>
      <c r="AI508" s="121"/>
    </row>
    <row r="509" spans="1:35" x14ac:dyDescent="0.25">
      <c r="A509" s="137"/>
      <c r="B509" s="137"/>
      <c r="C509" s="121"/>
      <c r="D509" s="121"/>
      <c r="E509" s="121"/>
      <c r="F509" s="121"/>
      <c r="G509" s="121"/>
      <c r="H509" s="121"/>
      <c r="I509" s="121"/>
      <c r="J509" s="121"/>
      <c r="K509" s="121"/>
      <c r="L509" s="121"/>
      <c r="M509" s="121"/>
      <c r="N509" s="121"/>
      <c r="O509" s="121"/>
      <c r="P509" s="121"/>
      <c r="Q509" s="121"/>
      <c r="R509" s="121"/>
      <c r="S509" s="121"/>
      <c r="T509" s="121"/>
      <c r="U509" s="121"/>
      <c r="V509" s="121"/>
      <c r="W509" s="121"/>
      <c r="X509" s="121">
        <v>0</v>
      </c>
      <c r="Y509" s="121"/>
      <c r="Z509" s="121"/>
      <c r="AA509" s="121"/>
      <c r="AB509" s="121"/>
      <c r="AC509" s="121"/>
      <c r="AD509" s="121"/>
      <c r="AE509" s="121"/>
      <c r="AF509" s="121"/>
      <c r="AG509" s="121"/>
      <c r="AH509" s="121"/>
      <c r="AI509" s="121"/>
    </row>
    <row r="510" spans="1:35" x14ac:dyDescent="0.25">
      <c r="A510" s="137"/>
      <c r="B510" s="137"/>
      <c r="C510" s="121"/>
      <c r="D510" s="121"/>
      <c r="E510" s="121"/>
      <c r="F510" s="121"/>
      <c r="G510" s="121"/>
      <c r="H510" s="121"/>
      <c r="I510" s="121"/>
      <c r="J510" s="121"/>
      <c r="K510" s="121"/>
      <c r="L510" s="121"/>
      <c r="M510" s="121"/>
      <c r="N510" s="121"/>
      <c r="O510" s="121"/>
      <c r="P510" s="121"/>
      <c r="Q510" s="121"/>
      <c r="R510" s="121"/>
      <c r="S510" s="121"/>
      <c r="T510" s="121"/>
      <c r="U510" s="121"/>
      <c r="V510" s="121"/>
      <c r="W510" s="121"/>
      <c r="X510" s="121">
        <v>0</v>
      </c>
      <c r="Y510" s="121"/>
      <c r="Z510" s="121"/>
      <c r="AA510" s="121"/>
      <c r="AB510" s="121"/>
      <c r="AC510" s="121"/>
      <c r="AD510" s="121"/>
      <c r="AE510" s="121"/>
      <c r="AF510" s="121"/>
      <c r="AG510" s="121"/>
      <c r="AH510" s="121"/>
      <c r="AI510" s="121"/>
    </row>
    <row r="511" spans="1:35" x14ac:dyDescent="0.25">
      <c r="A511" s="137"/>
      <c r="B511" s="137"/>
      <c r="C511" s="121"/>
      <c r="D511" s="121"/>
      <c r="E511" s="121"/>
      <c r="F511" s="121"/>
      <c r="G511" s="121"/>
      <c r="H511" s="121"/>
      <c r="I511" s="121"/>
      <c r="J511" s="121"/>
      <c r="K511" s="121"/>
      <c r="L511" s="121"/>
      <c r="M511" s="121"/>
      <c r="N511" s="121"/>
      <c r="O511" s="121"/>
      <c r="P511" s="121"/>
      <c r="Q511" s="121"/>
      <c r="R511" s="121"/>
      <c r="S511" s="121"/>
      <c r="T511" s="121"/>
      <c r="U511" s="121"/>
      <c r="V511" s="121"/>
      <c r="W511" s="121"/>
      <c r="X511" s="121">
        <v>0</v>
      </c>
      <c r="Y511" s="121"/>
      <c r="Z511" s="121"/>
      <c r="AA511" s="121"/>
      <c r="AB511" s="121"/>
      <c r="AC511" s="121"/>
      <c r="AD511" s="121"/>
      <c r="AE511" s="121"/>
      <c r="AF511" s="121"/>
      <c r="AG511" s="121"/>
      <c r="AH511" s="121"/>
      <c r="AI511" s="121"/>
    </row>
    <row r="512" spans="1:35" x14ac:dyDescent="0.25">
      <c r="A512" s="137"/>
      <c r="B512" s="137"/>
      <c r="C512" s="121"/>
      <c r="D512" s="121"/>
      <c r="E512" s="121"/>
      <c r="F512" s="121"/>
      <c r="G512" s="121"/>
      <c r="H512" s="121"/>
      <c r="I512" s="121"/>
      <c r="J512" s="121"/>
      <c r="K512" s="121"/>
      <c r="L512" s="121"/>
      <c r="M512" s="121"/>
      <c r="N512" s="121"/>
      <c r="O512" s="121"/>
      <c r="P512" s="121"/>
      <c r="Q512" s="121"/>
      <c r="R512" s="121"/>
      <c r="S512" s="121"/>
      <c r="T512" s="121"/>
      <c r="U512" s="121"/>
      <c r="V512" s="121"/>
      <c r="W512" s="121"/>
      <c r="X512" s="121">
        <v>0</v>
      </c>
      <c r="Y512" s="121"/>
      <c r="Z512" s="121"/>
      <c r="AA512" s="121"/>
      <c r="AB512" s="121"/>
      <c r="AC512" s="121"/>
      <c r="AD512" s="121"/>
      <c r="AE512" s="121"/>
      <c r="AF512" s="121"/>
      <c r="AG512" s="121"/>
      <c r="AH512" s="121"/>
      <c r="AI512" s="121"/>
    </row>
    <row r="513" spans="1:35" x14ac:dyDescent="0.25">
      <c r="A513" s="137"/>
      <c r="B513" s="137"/>
      <c r="C513" s="121"/>
      <c r="D513" s="121"/>
      <c r="E513" s="121"/>
      <c r="F513" s="121"/>
      <c r="G513" s="121"/>
      <c r="H513" s="121"/>
      <c r="I513" s="121"/>
      <c r="J513" s="121"/>
      <c r="K513" s="121"/>
      <c r="L513" s="121"/>
      <c r="M513" s="121"/>
      <c r="N513" s="121"/>
      <c r="O513" s="121"/>
      <c r="P513" s="121"/>
      <c r="Q513" s="121"/>
      <c r="R513" s="121"/>
      <c r="S513" s="121"/>
      <c r="T513" s="121"/>
      <c r="U513" s="121"/>
      <c r="V513" s="121"/>
      <c r="W513" s="121"/>
      <c r="X513" s="121">
        <v>0</v>
      </c>
      <c r="Y513" s="121"/>
      <c r="Z513" s="121"/>
      <c r="AA513" s="121"/>
      <c r="AB513" s="121"/>
      <c r="AC513" s="121"/>
      <c r="AD513" s="121"/>
      <c r="AE513" s="121"/>
      <c r="AF513" s="121"/>
      <c r="AG513" s="121"/>
      <c r="AH513" s="121"/>
      <c r="AI513" s="121"/>
    </row>
    <row r="514" spans="1:35" x14ac:dyDescent="0.25">
      <c r="A514" s="137"/>
      <c r="B514" s="137"/>
      <c r="C514" s="121"/>
      <c r="D514" s="121"/>
      <c r="E514" s="121"/>
      <c r="F514" s="121"/>
      <c r="G514" s="121"/>
      <c r="H514" s="121"/>
      <c r="I514" s="121"/>
      <c r="J514" s="121"/>
      <c r="K514" s="121"/>
      <c r="L514" s="121"/>
      <c r="M514" s="121"/>
      <c r="N514" s="121"/>
      <c r="O514" s="121"/>
      <c r="P514" s="121"/>
      <c r="Q514" s="121"/>
      <c r="R514" s="121"/>
      <c r="S514" s="121"/>
      <c r="T514" s="121"/>
      <c r="U514" s="121"/>
      <c r="V514" s="121"/>
      <c r="W514" s="121"/>
      <c r="X514" s="121">
        <v>0</v>
      </c>
      <c r="Y514" s="121"/>
      <c r="Z514" s="121"/>
      <c r="AA514" s="121"/>
      <c r="AB514" s="121"/>
      <c r="AC514" s="121"/>
      <c r="AD514" s="121"/>
      <c r="AE514" s="121"/>
      <c r="AF514" s="121"/>
      <c r="AG514" s="121"/>
      <c r="AH514" s="121"/>
      <c r="AI514" s="121"/>
    </row>
  </sheetData>
  <autoFilter ref="A1:BA514"/>
  <conditionalFormatting sqref="B415:B1048576">
    <cfRule type="duplicateValues" dxfId="20" priority="3"/>
  </conditionalFormatting>
  <conditionalFormatting sqref="B32:B70 B1:B30 B72:B146 B148:B226 B228:B292 B294:B315 B317:B340 B342:B407 B409:B414">
    <cfRule type="duplicateValues" dxfId="19" priority="2"/>
  </conditionalFormatting>
  <conditionalFormatting sqref="B1:B1048576">
    <cfRule type="duplicateValues" dxfId="18" priority="1"/>
  </conditionalFormatting>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AT389"/>
  <sheetViews>
    <sheetView topLeftCell="A349" workbookViewId="0">
      <selection activeCell="S375" sqref="A1:XFD1048576"/>
    </sheetView>
  </sheetViews>
  <sheetFormatPr defaultRowHeight="15" x14ac:dyDescent="0.25"/>
  <cols>
    <col min="1" max="1" width="36.140625" style="121" bestFit="1" customWidth="1"/>
    <col min="2" max="2" width="34.28515625" style="121" customWidth="1"/>
    <col min="3" max="41" width="9.140625" style="121"/>
    <col min="42" max="42" width="12.7109375" style="121" bestFit="1" customWidth="1"/>
    <col min="43" max="43" width="9.140625" style="121"/>
    <col min="44" max="44" width="11" style="121" customWidth="1"/>
    <col min="45" max="16384" width="9.140625" style="121"/>
  </cols>
  <sheetData>
    <row r="1" spans="1:46" ht="78" customHeight="1" x14ac:dyDescent="0.35">
      <c r="A1" s="391" t="s">
        <v>1246</v>
      </c>
      <c r="B1" s="391"/>
      <c r="F1" s="164" t="s">
        <v>1238</v>
      </c>
      <c r="G1" s="165"/>
      <c r="H1" s="165"/>
      <c r="I1" s="165"/>
      <c r="J1" s="165"/>
      <c r="AM1" s="166"/>
      <c r="AO1" s="166"/>
    </row>
    <row r="2" spans="1:46" ht="165.75" thickBot="1" x14ac:dyDescent="0.3">
      <c r="A2" s="132" t="s">
        <v>151</v>
      </c>
      <c r="B2" s="132" t="s">
        <v>2</v>
      </c>
      <c r="C2" s="132" t="s">
        <v>741</v>
      </c>
      <c r="D2" s="132" t="s">
        <v>742</v>
      </c>
      <c r="E2" s="132"/>
      <c r="F2" s="132" t="s">
        <v>155</v>
      </c>
      <c r="G2" s="132" t="s">
        <v>156</v>
      </c>
      <c r="H2" s="132" t="s">
        <v>157</v>
      </c>
      <c r="I2" s="132" t="s">
        <v>158</v>
      </c>
      <c r="J2" s="132" t="s">
        <v>159</v>
      </c>
      <c r="K2" s="132" t="s">
        <v>161</v>
      </c>
      <c r="L2" s="132" t="s">
        <v>163</v>
      </c>
      <c r="M2" s="132" t="s">
        <v>164</v>
      </c>
      <c r="N2" s="132" t="s">
        <v>165</v>
      </c>
      <c r="O2" s="132" t="s">
        <v>166</v>
      </c>
      <c r="P2" s="132" t="s">
        <v>167</v>
      </c>
      <c r="Q2" s="132" t="s">
        <v>168</v>
      </c>
      <c r="R2" s="132" t="s">
        <v>169</v>
      </c>
      <c r="S2" s="132" t="s">
        <v>170</v>
      </c>
      <c r="T2" s="132" t="s">
        <v>171</v>
      </c>
      <c r="U2" s="132" t="s">
        <v>172</v>
      </c>
      <c r="V2" s="132" t="s">
        <v>173</v>
      </c>
      <c r="W2" s="132" t="s">
        <v>174</v>
      </c>
      <c r="X2" s="132" t="s">
        <v>175</v>
      </c>
      <c r="Y2" s="132" t="s">
        <v>176</v>
      </c>
      <c r="Z2" s="132" t="s">
        <v>177</v>
      </c>
      <c r="AA2" s="132" t="s">
        <v>178</v>
      </c>
      <c r="AB2" s="132" t="s">
        <v>182</v>
      </c>
      <c r="AC2" s="132" t="s">
        <v>160</v>
      </c>
      <c r="AD2" s="132" t="s">
        <v>746</v>
      </c>
      <c r="AE2" s="163" t="s">
        <v>1229</v>
      </c>
      <c r="AI2" s="167" t="s">
        <v>1239</v>
      </c>
      <c r="AJ2" s="167"/>
      <c r="AK2" s="168" t="s">
        <v>1240</v>
      </c>
      <c r="AL2" s="167"/>
      <c r="AM2" s="169" t="s">
        <v>1241</v>
      </c>
      <c r="AO2" s="166" t="s">
        <v>1242</v>
      </c>
      <c r="AP2" s="121" t="s">
        <v>1243</v>
      </c>
      <c r="AR2" s="170" t="s">
        <v>1244</v>
      </c>
      <c r="AT2" s="121" t="s">
        <v>1245</v>
      </c>
    </row>
    <row r="3" spans="1:46" x14ac:dyDescent="0.25">
      <c r="A3" s="171" t="str">
        <f>'Miljövärden för publ företag'!B5</f>
        <v>Adven Energilösningar AB</v>
      </c>
      <c r="B3" s="171" t="str">
        <f>'Miljövärden för publ företag'!C5</f>
        <v>Bara</v>
      </c>
      <c r="C3" s="121" t="str">
        <f>IFERROR(VLOOKUP($B3,Kraftvärmeprod!$B$1:$AH$478,MATCH(C$2,Kraftvärmeprod!$B$1:$AG$1,0),FALSE)/1,"")</f>
        <v/>
      </c>
      <c r="D3" s="121" t="str">
        <f>IFERROR(VLOOKUP($B3,Kraftvärmeprod!$B$1:$AH$478,MATCH(D$2,Kraftvärmeprod!$B$1:$AG$1,0),FALSE)/1,"")</f>
        <v/>
      </c>
      <c r="F3" s="121" t="str">
        <f>IF($D3="","",IFERROR(VLOOKUP($B3,Kraftvärmeprod!$B$1:$BX$549,MATCH(F$2,Kraftvärmeprod!$B$1:$VX$1,0),FALSE)/1,0)-IFERROR(VLOOKUP($B3,'Slutlig allokering kvv'!$B$2:$BX$549,MATCH(F$2,'Slutlig allokering kvv'!$B$1:$BX$1,0),FALSE)/1,0))</f>
        <v/>
      </c>
      <c r="G3" s="121" t="str">
        <f>IF($D3="","",IFERROR(VLOOKUP($B3,Kraftvärmeprod!$B$1:$BX$549,MATCH(G$2,Kraftvärmeprod!$B$1:$VX$1,0),FALSE)/1,0)-IFERROR(VLOOKUP($B3,'Slutlig allokering kvv'!$B$2:$BX$549,MATCH(G$2,'Slutlig allokering kvv'!$B$1:$BX$1,0),FALSE)/1,0))</f>
        <v/>
      </c>
      <c r="H3" s="121" t="str">
        <f>IF($D3="","",IFERROR(VLOOKUP($B3,Kraftvärmeprod!$B$1:$BX$549,MATCH(H$2,Kraftvärmeprod!$B$1:$VX$1,0),FALSE)/1,0)-IFERROR(VLOOKUP($B3,'Slutlig allokering kvv'!$B$2:$BX$549,MATCH(H$2,'Slutlig allokering kvv'!$B$1:$BX$1,0),FALSE)/1,0))</f>
        <v/>
      </c>
      <c r="I3" s="121" t="str">
        <f>IF($D3="","",IFERROR(VLOOKUP($B3,Kraftvärmeprod!$B$1:$BX$549,MATCH(I$2,Kraftvärmeprod!$B$1:$VX$1,0),FALSE)/1,0)-IFERROR(VLOOKUP($B3,'Slutlig allokering kvv'!$B$2:$BX$549,MATCH(I$2,'Slutlig allokering kvv'!$B$1:$BX$1,0),FALSE)/1,0))</f>
        <v/>
      </c>
      <c r="J3" s="121" t="str">
        <f>IF($D3="","",IFERROR(VLOOKUP($B3,Kraftvärmeprod!$B$1:$BX$549,MATCH(J$2,Kraftvärmeprod!$B$1:$VX$1,0),FALSE)/1,0)-IFERROR(VLOOKUP($B3,'Slutlig allokering kvv'!$B$2:$BX$549,MATCH(J$2,'Slutlig allokering kvv'!$B$1:$BX$1,0),FALSE)/1,0))</f>
        <v/>
      </c>
      <c r="K3" s="121" t="str">
        <f>IF($D3="","",IFERROR(VLOOKUP($B3,Kraftvärmeprod!$B$1:$BX$549,MATCH(K$2,Kraftvärmeprod!$B$1:$VX$1,0),FALSE)/1,0)-IFERROR(VLOOKUP($B3,'Slutlig allokering kvv'!$B$2:$BX$549,MATCH(K$2,'Slutlig allokering kvv'!$B$1:$BX$1,0),FALSE)/1,0))</f>
        <v/>
      </c>
      <c r="L3" s="121" t="str">
        <f>IF($D3="","",IFERROR(VLOOKUP($B3,Kraftvärmeprod!$B$1:$BX$549,MATCH(L$2,Kraftvärmeprod!$B$1:$VX$1,0),FALSE)/1,0)-IFERROR(VLOOKUP($B3,'Slutlig allokering kvv'!$B$2:$BX$549,MATCH(L$2,'Slutlig allokering kvv'!$B$1:$BX$1,0),FALSE)/1,0))</f>
        <v/>
      </c>
      <c r="M3" s="121" t="str">
        <f>IF($D3="","",IFERROR(VLOOKUP($B3,Kraftvärmeprod!$B$1:$BX$549,MATCH(M$2,Kraftvärmeprod!$B$1:$VX$1,0),FALSE)/1,0)-IFERROR(VLOOKUP($B3,'Slutlig allokering kvv'!$B$2:$BX$549,MATCH(M$2,'Slutlig allokering kvv'!$B$1:$BX$1,0),FALSE)/1,0))</f>
        <v/>
      </c>
      <c r="N3" s="121" t="str">
        <f>IF($D3="","",IFERROR(VLOOKUP($B3,Kraftvärmeprod!$B$1:$BX$549,MATCH(N$2,Kraftvärmeprod!$B$1:$VX$1,0),FALSE)/1,0)-IFERROR(VLOOKUP($B3,'Slutlig allokering kvv'!$B$2:$BX$549,MATCH(N$2,'Slutlig allokering kvv'!$B$1:$BX$1,0),FALSE)/1,0))</f>
        <v/>
      </c>
      <c r="O3" s="121" t="str">
        <f>IF($D3="","",IFERROR(VLOOKUP($B3,Kraftvärmeprod!$B$1:$BX$549,MATCH(O$2,Kraftvärmeprod!$B$1:$VX$1,0),FALSE)/1,0)-IFERROR(VLOOKUP($B3,'Slutlig allokering kvv'!$B$2:$BX$549,MATCH(O$2,'Slutlig allokering kvv'!$B$1:$BX$1,0),FALSE)/1,0))</f>
        <v/>
      </c>
      <c r="P3" s="121" t="str">
        <f>IF($D3="","",IFERROR(VLOOKUP($B3,Kraftvärmeprod!$B$1:$BX$549,MATCH(P$2,Kraftvärmeprod!$B$1:$VX$1,0),FALSE)/1,0)-IFERROR(VLOOKUP($B3,'Slutlig allokering kvv'!$B$2:$BX$549,MATCH(P$2,'Slutlig allokering kvv'!$B$1:$BX$1,0),FALSE)/1,0))</f>
        <v/>
      </c>
      <c r="Q3" s="121" t="str">
        <f>IF($D3="","",IFERROR(VLOOKUP($B3,Kraftvärmeprod!$B$1:$BX$549,MATCH(Q$2,Kraftvärmeprod!$B$1:$VX$1,0),FALSE)/1,0)-IFERROR(VLOOKUP($B3,'Slutlig allokering kvv'!$B$2:$BX$549,MATCH(Q$2,'Slutlig allokering kvv'!$B$1:$BX$1,0),FALSE)/1,0))</f>
        <v/>
      </c>
      <c r="R3" s="121" t="str">
        <f>IF($D3="","",IFERROR(VLOOKUP($B3,Kraftvärmeprod!$B$1:$BX$549,MATCH(R$2,Kraftvärmeprod!$B$1:$VX$1,0),FALSE)/1,0)-IFERROR(VLOOKUP($B3,'Slutlig allokering kvv'!$B$2:$BX$549,MATCH(R$2,'Slutlig allokering kvv'!$B$1:$BX$1,0),FALSE)/1,0))</f>
        <v/>
      </c>
      <c r="S3" s="121" t="str">
        <f>IF($D3="","",IFERROR(VLOOKUP($B3,Kraftvärmeprod!$B$1:$BX$549,MATCH(S$2,Kraftvärmeprod!$B$1:$VX$1,0),FALSE)/1,0)-IFERROR(VLOOKUP($B3,'Slutlig allokering kvv'!$B$2:$BX$549,MATCH(S$2,'Slutlig allokering kvv'!$B$1:$BX$1,0),FALSE)/1,0))</f>
        <v/>
      </c>
      <c r="T3" s="121" t="str">
        <f>IF($D3="","",IFERROR(VLOOKUP($B3,Kraftvärmeprod!$B$1:$BX$549,MATCH(T$2,Kraftvärmeprod!$B$1:$VX$1,0),FALSE)/1,0)-IFERROR(VLOOKUP($B3,'Slutlig allokering kvv'!$B$2:$BX$549,MATCH(T$2,'Slutlig allokering kvv'!$B$1:$BX$1,0),FALSE)/1,0))</f>
        <v/>
      </c>
      <c r="U3" s="121" t="str">
        <f>IF($D3="","",IFERROR(VLOOKUP($B3,Kraftvärmeprod!$B$1:$BX$549,MATCH(U$2,Kraftvärmeprod!$B$1:$VX$1,0),FALSE)/1,0)-IFERROR(VLOOKUP($B3,'Slutlig allokering kvv'!$B$2:$BX$549,MATCH(U$2,'Slutlig allokering kvv'!$B$1:$BX$1,0),FALSE)/1,0))</f>
        <v/>
      </c>
      <c r="V3" s="121" t="str">
        <f>IF($D3="","",IFERROR(VLOOKUP($B3,Kraftvärmeprod!$B$1:$BX$549,MATCH(V$2,Kraftvärmeprod!$B$1:$VX$1,0),FALSE)/1,0)-IFERROR(VLOOKUP($B3,'Slutlig allokering kvv'!$B$2:$BX$549,MATCH(V$2,'Slutlig allokering kvv'!$B$1:$BX$1,0),FALSE)/1,0))</f>
        <v/>
      </c>
      <c r="W3" s="121" t="str">
        <f>IF($D3="","",IFERROR(VLOOKUP($B3,Kraftvärmeprod!$B$1:$BX$549,MATCH(W$2,Kraftvärmeprod!$B$1:$VX$1,0),FALSE)/1,0)-IFERROR(VLOOKUP($B3,'Slutlig allokering kvv'!$B$2:$BX$549,MATCH(W$2,'Slutlig allokering kvv'!$B$1:$BX$1,0),FALSE)/1,0))</f>
        <v/>
      </c>
      <c r="X3" s="121" t="str">
        <f>IF($D3="","",IFERROR(VLOOKUP($B3,Kraftvärmeprod!$B$1:$BX$549,MATCH(X$2,Kraftvärmeprod!$B$1:$VX$1,0),FALSE)/1,0)-IFERROR(VLOOKUP($B3,'Slutlig allokering kvv'!$B$2:$BX$549,MATCH(X$2,'Slutlig allokering kvv'!$B$1:$BX$1,0),FALSE)/1,0))</f>
        <v/>
      </c>
      <c r="Y3" s="121" t="str">
        <f>IF($D3="","",IFERROR(VLOOKUP($B3,Kraftvärmeprod!$B$1:$BX$549,MATCH(Y$2,Kraftvärmeprod!$B$1:$VX$1,0),FALSE)/1,0)-IFERROR(VLOOKUP($B3,'Slutlig allokering kvv'!$B$2:$BX$549,MATCH(Y$2,'Slutlig allokering kvv'!$B$1:$BX$1,0),FALSE)/1,0))</f>
        <v/>
      </c>
      <c r="Z3" s="121" t="str">
        <f>IF($D3="","",IFERROR(VLOOKUP($B3,Kraftvärmeprod!$B$1:$BX$549,MATCH(Z$2,Kraftvärmeprod!$B$1:$VX$1,0),FALSE)/1,0)-IFERROR(VLOOKUP($B3,'Slutlig allokering kvv'!$B$2:$BX$549,MATCH(Z$2,'Slutlig allokering kvv'!$B$1:$BX$1,0),FALSE)/1,0))</f>
        <v/>
      </c>
      <c r="AA3" s="121" t="str">
        <f>IF($D3="","",IFERROR(VLOOKUP($B3,Kraftvärmeprod!$B$1:$BX$549,MATCH(AA$2,Kraftvärmeprod!$B$1:$VX$1,0),FALSE)/1,0)-IFERROR(VLOOKUP($B3,'Slutlig allokering kvv'!$B$2:$BX$549,MATCH(AA$2,'Slutlig allokering kvv'!$B$1:$BX$1,0),FALSE)/1,0))</f>
        <v/>
      </c>
      <c r="AB3" s="121" t="str">
        <f>IF($D3="","",IFERROR(VLOOKUP($B3,Kraftvärmeprod!$B$1:$BX$549,MATCH(AB$2,Kraftvärmeprod!$B$1:$VX$1,0),FALSE)/1,0)-IFERROR(VLOOKUP($B3,'Slutlig allokering kvv'!$B$2:$BX$549,MATCH(AB$2,'Slutlig allokering kvv'!$B$1:$BX$1,0),FALSE)/1,0))</f>
        <v/>
      </c>
      <c r="AC3" s="121" t="str">
        <f>IF($D3="","",IFERROR(VLOOKUP($B3,Kraftvärmeprod!$B$1:$BX$549,MATCH(AC$2,Kraftvärmeprod!$B$1:$VX$1,0),FALSE)/1,0)-IFERROR(VLOOKUP($B3,'Slutlig allokering kvv'!$B$2:$BX$549,MATCH(AC$2,'Slutlig allokering kvv'!$B$1:$BX$1,0),FALSE)/1,0))</f>
        <v/>
      </c>
      <c r="AD3" s="121" t="str">
        <f>IF($D3="","",IFERROR(VLOOKUP($B3,Kraftvärmeprod!$B$1:$BX$549,MATCH(AD$2,Kraftvärmeprod!$B$1:$VX$1,0),FALSE)/1,0)-IFERROR(VLOOKUP($B3,'Slutlig allokering kvv'!$B$2:$BX$549,MATCH(AD$2,'Slutlig allokering kvv'!$B$1:$BX$1,0),FALSE)/1,0))</f>
        <v/>
      </c>
      <c r="AE3" s="121" t="str">
        <f>IF($D3="","",IFERROR(VLOOKUP($B3,Miljö!$B$1:$E$550,MATCH("Hjälpel kraftvärme (GWh)",Miljö!$B$1:$E$1,0),FALSE)/1,0)-IFERROR(VLOOKUP($B3,'Slutlig allokering kvv'!$B$2:$BX$549,MATCH(AE$2,'Slutlig allokering kvv'!$B$1:$BX$1,0),FALSE)/1,0))</f>
        <v/>
      </c>
      <c r="AI3" s="121">
        <f>SUM(F3:AC3)</f>
        <v>0</v>
      </c>
      <c r="AK3" s="121">
        <f>IFERROR(VLOOKUP($B3,'Slutlig allokering kvv'!$B$2:$AX$549,MATCH("Summa slutlig allokerad tillförd energi (utan hjälpel och rökgaskondensering):",'Slutlig allokering kvv'!$B$1:$AX$1,0),FALSE)/1,"")</f>
        <v>0</v>
      </c>
      <c r="AM3" s="172" t="str">
        <f>IFERROR(1-VLOOKUP($B3,'Slutlig allokering kvv'!$B$2:$AX$549,MATCH("Andel av bränsle i kvv som allokerats till värme, exklusive rökgaskondensering och hjälpel",'Slutlig allokering kvv'!$B$1:$AX$1,0),FALSE),"")</f>
        <v/>
      </c>
      <c r="AO3" s="172" t="str">
        <f>IFERROR(AI3/(AI3+AK3),"")</f>
        <v/>
      </c>
      <c r="AP3" s="173" t="str">
        <f>IFERROR(AM3-AO3,"")</f>
        <v/>
      </c>
      <c r="AR3" s="172" t="str">
        <f>IFERROR(D3/(AI3+AE3),"")</f>
        <v/>
      </c>
    </row>
    <row r="4" spans="1:46" x14ac:dyDescent="0.25">
      <c r="A4" s="171" t="str">
        <f>'Miljövärden för publ företag'!B6</f>
        <v>Adven Energilösningar AB</v>
      </c>
      <c r="B4" s="171" t="str">
        <f>'Miljövärden för publ företag'!C6</f>
        <v>Boxholm</v>
      </c>
      <c r="C4" s="121" t="str">
        <f>IFERROR(VLOOKUP($B4,Kraftvärmeprod!$B$1:$AH$478,MATCH(C$2,Kraftvärmeprod!$B$1:$AG$1,0),FALSE)/1,"")</f>
        <v/>
      </c>
      <c r="D4" s="121" t="str">
        <f>IFERROR(VLOOKUP($B4,Kraftvärmeprod!$B$1:$AH$478,MATCH(D$2,Kraftvärmeprod!$B$1:$AG$1,0),FALSE)/1,"")</f>
        <v/>
      </c>
      <c r="F4" s="121" t="str">
        <f>IF($D4="","",IFERROR(VLOOKUP($B4,Kraftvärmeprod!$B$1:$BX$549,MATCH(F$2,Kraftvärmeprod!$B$1:$VX$1,0),FALSE)/1,0)-IFERROR(VLOOKUP($B4,'Slutlig allokering kvv'!$B$2:$BX$549,MATCH(F$2,'Slutlig allokering kvv'!$B$1:$BX$1,0),FALSE)/1,0))</f>
        <v/>
      </c>
      <c r="G4" s="121" t="str">
        <f>IF($D4="","",IFERROR(VLOOKUP($B4,Kraftvärmeprod!$B$1:$BX$549,MATCH(G$2,Kraftvärmeprod!$B$1:$VX$1,0),FALSE)/1,0)-IFERROR(VLOOKUP($B4,'Slutlig allokering kvv'!$B$2:$BX$549,MATCH(G$2,'Slutlig allokering kvv'!$B$1:$BX$1,0),FALSE)/1,0))</f>
        <v/>
      </c>
      <c r="H4" s="121" t="str">
        <f>IF($D4="","",IFERROR(VLOOKUP($B4,Kraftvärmeprod!$B$1:$BX$549,MATCH(H$2,Kraftvärmeprod!$B$1:$VX$1,0),FALSE)/1,0)-IFERROR(VLOOKUP($B4,'Slutlig allokering kvv'!$B$2:$BX$549,MATCH(H$2,'Slutlig allokering kvv'!$B$1:$BX$1,0),FALSE)/1,0))</f>
        <v/>
      </c>
      <c r="I4" s="121" t="str">
        <f>IF($D4="","",IFERROR(VLOOKUP($B4,Kraftvärmeprod!$B$1:$BX$549,MATCH(I$2,Kraftvärmeprod!$B$1:$VX$1,0),FALSE)/1,0)-IFERROR(VLOOKUP($B4,'Slutlig allokering kvv'!$B$2:$BX$549,MATCH(I$2,'Slutlig allokering kvv'!$B$1:$BX$1,0),FALSE)/1,0))</f>
        <v/>
      </c>
      <c r="J4" s="121" t="str">
        <f>IF($D4="","",IFERROR(VLOOKUP($B4,Kraftvärmeprod!$B$1:$BX$549,MATCH(J$2,Kraftvärmeprod!$B$1:$VX$1,0),FALSE)/1,0)-IFERROR(VLOOKUP($B4,'Slutlig allokering kvv'!$B$2:$BX$549,MATCH(J$2,'Slutlig allokering kvv'!$B$1:$BX$1,0),FALSE)/1,0))</f>
        <v/>
      </c>
      <c r="K4" s="121" t="str">
        <f>IF($D4="","",IFERROR(VLOOKUP($B4,Kraftvärmeprod!$B$1:$BX$549,MATCH(K$2,Kraftvärmeprod!$B$1:$VX$1,0),FALSE)/1,0)-IFERROR(VLOOKUP($B4,'Slutlig allokering kvv'!$B$2:$BX$549,MATCH(K$2,'Slutlig allokering kvv'!$B$1:$BX$1,0),FALSE)/1,0))</f>
        <v/>
      </c>
      <c r="L4" s="121" t="str">
        <f>IF($D4="","",IFERROR(VLOOKUP($B4,Kraftvärmeprod!$B$1:$BX$549,MATCH(L$2,Kraftvärmeprod!$B$1:$VX$1,0),FALSE)/1,0)-IFERROR(VLOOKUP($B4,'Slutlig allokering kvv'!$B$2:$BX$549,MATCH(L$2,'Slutlig allokering kvv'!$B$1:$BX$1,0),FALSE)/1,0))</f>
        <v/>
      </c>
      <c r="M4" s="121" t="str">
        <f>IF($D4="","",IFERROR(VLOOKUP($B4,Kraftvärmeprod!$B$1:$BX$549,MATCH(M$2,Kraftvärmeprod!$B$1:$VX$1,0),FALSE)/1,0)-IFERROR(VLOOKUP($B4,'Slutlig allokering kvv'!$B$2:$BX$549,MATCH(M$2,'Slutlig allokering kvv'!$B$1:$BX$1,0),FALSE)/1,0))</f>
        <v/>
      </c>
      <c r="N4" s="121" t="str">
        <f>IF($D4="","",IFERROR(VLOOKUP($B4,Kraftvärmeprod!$B$1:$BX$549,MATCH(N$2,Kraftvärmeprod!$B$1:$VX$1,0),FALSE)/1,0)-IFERROR(VLOOKUP($B4,'Slutlig allokering kvv'!$B$2:$BX$549,MATCH(N$2,'Slutlig allokering kvv'!$B$1:$BX$1,0),FALSE)/1,0))</f>
        <v/>
      </c>
      <c r="O4" s="121" t="str">
        <f>IF($D4="","",IFERROR(VLOOKUP($B4,Kraftvärmeprod!$B$1:$BX$549,MATCH(O$2,Kraftvärmeprod!$B$1:$VX$1,0),FALSE)/1,0)-IFERROR(VLOOKUP($B4,'Slutlig allokering kvv'!$B$2:$BX$549,MATCH(O$2,'Slutlig allokering kvv'!$B$1:$BX$1,0),FALSE)/1,0))</f>
        <v/>
      </c>
      <c r="P4" s="121" t="str">
        <f>IF($D4="","",IFERROR(VLOOKUP($B4,Kraftvärmeprod!$B$1:$BX$549,MATCH(P$2,Kraftvärmeprod!$B$1:$VX$1,0),FALSE)/1,0)-IFERROR(VLOOKUP($B4,'Slutlig allokering kvv'!$B$2:$BX$549,MATCH(P$2,'Slutlig allokering kvv'!$B$1:$BX$1,0),FALSE)/1,0))</f>
        <v/>
      </c>
      <c r="Q4" s="121" t="str">
        <f>IF($D4="","",IFERROR(VLOOKUP($B4,Kraftvärmeprod!$B$1:$BX$549,MATCH(Q$2,Kraftvärmeprod!$B$1:$VX$1,0),FALSE)/1,0)-IFERROR(VLOOKUP($B4,'Slutlig allokering kvv'!$B$2:$BX$549,MATCH(Q$2,'Slutlig allokering kvv'!$B$1:$BX$1,0),FALSE)/1,0))</f>
        <v/>
      </c>
      <c r="R4" s="121" t="str">
        <f>IF($D4="","",IFERROR(VLOOKUP($B4,Kraftvärmeprod!$B$1:$BX$549,MATCH(R$2,Kraftvärmeprod!$B$1:$VX$1,0),FALSE)/1,0)-IFERROR(VLOOKUP($B4,'Slutlig allokering kvv'!$B$2:$BX$549,MATCH(R$2,'Slutlig allokering kvv'!$B$1:$BX$1,0),FALSE)/1,0))</f>
        <v/>
      </c>
      <c r="S4" s="121" t="str">
        <f>IF($D4="","",IFERROR(VLOOKUP($B4,Kraftvärmeprod!$B$1:$BX$549,MATCH(S$2,Kraftvärmeprod!$B$1:$VX$1,0),FALSE)/1,0)-IFERROR(VLOOKUP($B4,'Slutlig allokering kvv'!$B$2:$BX$549,MATCH(S$2,'Slutlig allokering kvv'!$B$1:$BX$1,0),FALSE)/1,0))</f>
        <v/>
      </c>
      <c r="T4" s="121" t="str">
        <f>IF($D4="","",IFERROR(VLOOKUP($B4,Kraftvärmeprod!$B$1:$BX$549,MATCH(T$2,Kraftvärmeprod!$B$1:$VX$1,0),FALSE)/1,0)-IFERROR(VLOOKUP($B4,'Slutlig allokering kvv'!$B$2:$BX$549,MATCH(T$2,'Slutlig allokering kvv'!$B$1:$BX$1,0),FALSE)/1,0))</f>
        <v/>
      </c>
      <c r="U4" s="121" t="str">
        <f>IF($D4="","",IFERROR(VLOOKUP($B4,Kraftvärmeprod!$B$1:$BX$549,MATCH(U$2,Kraftvärmeprod!$B$1:$VX$1,0),FALSE)/1,0)-IFERROR(VLOOKUP($B4,'Slutlig allokering kvv'!$B$2:$BX$549,MATCH(U$2,'Slutlig allokering kvv'!$B$1:$BX$1,0),FALSE)/1,0))</f>
        <v/>
      </c>
      <c r="V4" s="121" t="str">
        <f>IF($D4="","",IFERROR(VLOOKUP($B4,Kraftvärmeprod!$B$1:$BX$549,MATCH(V$2,Kraftvärmeprod!$B$1:$VX$1,0),FALSE)/1,0)-IFERROR(VLOOKUP($B4,'Slutlig allokering kvv'!$B$2:$BX$549,MATCH(V$2,'Slutlig allokering kvv'!$B$1:$BX$1,0),FALSE)/1,0))</f>
        <v/>
      </c>
      <c r="W4" s="121" t="str">
        <f>IF($D4="","",IFERROR(VLOOKUP($B4,Kraftvärmeprod!$B$1:$BX$549,MATCH(W$2,Kraftvärmeprod!$B$1:$VX$1,0),FALSE)/1,0)-IFERROR(VLOOKUP($B4,'Slutlig allokering kvv'!$B$2:$BX$549,MATCH(W$2,'Slutlig allokering kvv'!$B$1:$BX$1,0),FALSE)/1,0))</f>
        <v/>
      </c>
      <c r="X4" s="121" t="str">
        <f>IF($D4="","",IFERROR(VLOOKUP($B4,Kraftvärmeprod!$B$1:$BX$549,MATCH(X$2,Kraftvärmeprod!$B$1:$VX$1,0),FALSE)/1,0)-IFERROR(VLOOKUP($B4,'Slutlig allokering kvv'!$B$2:$BX$549,MATCH(X$2,'Slutlig allokering kvv'!$B$1:$BX$1,0),FALSE)/1,0))</f>
        <v/>
      </c>
      <c r="Y4" s="121" t="str">
        <f>IF($D4="","",IFERROR(VLOOKUP($B4,Kraftvärmeprod!$B$1:$BX$549,MATCH(Y$2,Kraftvärmeprod!$B$1:$VX$1,0),FALSE)/1,0)-IFERROR(VLOOKUP($B4,'Slutlig allokering kvv'!$B$2:$BX$549,MATCH(Y$2,'Slutlig allokering kvv'!$B$1:$BX$1,0),FALSE)/1,0))</f>
        <v/>
      </c>
      <c r="Z4" s="121" t="str">
        <f>IF($D4="","",IFERROR(VLOOKUP($B4,Kraftvärmeprod!$B$1:$BX$549,MATCH(Z$2,Kraftvärmeprod!$B$1:$VX$1,0),FALSE)/1,0)-IFERROR(VLOOKUP($B4,'Slutlig allokering kvv'!$B$2:$BX$549,MATCH(Z$2,'Slutlig allokering kvv'!$B$1:$BX$1,0),FALSE)/1,0))</f>
        <v/>
      </c>
      <c r="AA4" s="121" t="str">
        <f>IF($D4="","",IFERROR(VLOOKUP($B4,Kraftvärmeprod!$B$1:$BX$549,MATCH(AA$2,Kraftvärmeprod!$B$1:$VX$1,0),FALSE)/1,0)-IFERROR(VLOOKUP($B4,'Slutlig allokering kvv'!$B$2:$BX$549,MATCH(AA$2,'Slutlig allokering kvv'!$B$1:$BX$1,0),FALSE)/1,0))</f>
        <v/>
      </c>
      <c r="AB4" s="121" t="str">
        <f>IF($D4="","",IFERROR(VLOOKUP($B4,Kraftvärmeprod!$B$1:$BX$549,MATCH(AB$2,Kraftvärmeprod!$B$1:$VX$1,0),FALSE)/1,0)-IFERROR(VLOOKUP($B4,'Slutlig allokering kvv'!$B$2:$BX$549,MATCH(AB$2,'Slutlig allokering kvv'!$B$1:$BX$1,0),FALSE)/1,0))</f>
        <v/>
      </c>
      <c r="AC4" s="121" t="str">
        <f>IF($D4="","",IFERROR(VLOOKUP($B4,Kraftvärmeprod!$B$1:$BX$549,MATCH(AC$2,Kraftvärmeprod!$B$1:$VX$1,0),FALSE)/1,0)-IFERROR(VLOOKUP($B4,'Slutlig allokering kvv'!$B$2:$BX$549,MATCH(AC$2,'Slutlig allokering kvv'!$B$1:$BX$1,0),FALSE)/1,0))</f>
        <v/>
      </c>
      <c r="AD4" s="121" t="str">
        <f>IF($D4="","",IFERROR(VLOOKUP($B4,Kraftvärmeprod!$B$1:$BX$549,MATCH(AD$2,Kraftvärmeprod!$B$1:$VX$1,0),FALSE)/1,0)-IFERROR(VLOOKUP($B4,'Slutlig allokering kvv'!$B$2:$BX$549,MATCH(AD$2,'Slutlig allokering kvv'!$B$1:$BX$1,0),FALSE)/1,0))</f>
        <v/>
      </c>
      <c r="AE4" s="121" t="str">
        <f>IF($D4="","",IFERROR(VLOOKUP($B4,Miljö!$B$1:$E$550,MATCH("Hjälpel kraftvärme (GWh)",Miljö!$B$1:$E$1,0),FALSE)/1,0)-IFERROR(VLOOKUP($B4,'Slutlig allokering kvv'!$B$2:$BX$549,MATCH(AE$2,'Slutlig allokering kvv'!$B$1:$BX$1,0),FALSE)/1,0))</f>
        <v/>
      </c>
      <c r="AI4" s="121">
        <f t="shared" ref="AI4:AI67" si="0">SUM(F4:AC4)</f>
        <v>0</v>
      </c>
      <c r="AK4" s="121">
        <f>IFERROR(VLOOKUP($B4,'Slutlig allokering kvv'!$B$2:$AX$549,MATCH("Summa slutlig allokerad tillförd energi (utan hjälpel och rökgaskondensering):",'Slutlig allokering kvv'!$B$1:$AX$1,0),FALSE)/1,"")</f>
        <v>0</v>
      </c>
      <c r="AM4" s="172" t="str">
        <f>IFERROR(1-VLOOKUP($B4,'Slutlig allokering kvv'!$B$2:$AX$549,MATCH("Andel av bränsle i kvv som allokerats till värme, exklusive rökgaskondensering och hjälpel",'Slutlig allokering kvv'!$B$1:$AX$1,0),FALSE),"")</f>
        <v/>
      </c>
      <c r="AO4" s="172" t="str">
        <f t="shared" ref="AO4:AO67" si="1">IFERROR(AI4/(AI4+AK4),"")</f>
        <v/>
      </c>
      <c r="AP4" s="173" t="str">
        <f t="shared" ref="AP4:AP67" si="2">IFERROR(AM4-AO4,"")</f>
        <v/>
      </c>
      <c r="AR4" s="172" t="str">
        <f t="shared" ref="AR4:AR67" si="3">IFERROR(D4/(AI4+AE4),"")</f>
        <v/>
      </c>
    </row>
    <row r="5" spans="1:46" x14ac:dyDescent="0.25">
      <c r="A5" s="171" t="str">
        <f>'Miljövärden för publ företag'!B7</f>
        <v>Adven Energilösningar AB</v>
      </c>
      <c r="B5" s="171" t="str">
        <f>'Miljövärden för publ företag'!C7</f>
        <v>Mora</v>
      </c>
      <c r="C5" s="121" t="str">
        <f>IFERROR(VLOOKUP($B5,Kraftvärmeprod!$B$1:$AH$478,MATCH(C$2,Kraftvärmeprod!$B$1:$AG$1,0),FALSE)/1,"")</f>
        <v/>
      </c>
      <c r="D5" s="121" t="str">
        <f>IFERROR(VLOOKUP($B5,Kraftvärmeprod!$B$1:$AH$478,MATCH(D$2,Kraftvärmeprod!$B$1:$AG$1,0),FALSE)/1,"")</f>
        <v/>
      </c>
      <c r="F5" s="121" t="str">
        <f>IF($D5="","",IFERROR(VLOOKUP($B5,Kraftvärmeprod!$B$1:$BX$549,MATCH(F$2,Kraftvärmeprod!$B$1:$VX$1,0),FALSE)/1,0)-IFERROR(VLOOKUP($B5,'Slutlig allokering kvv'!$B$2:$BX$549,MATCH(F$2,'Slutlig allokering kvv'!$B$1:$BX$1,0),FALSE)/1,0))</f>
        <v/>
      </c>
      <c r="G5" s="121" t="str">
        <f>IF($D5="","",IFERROR(VLOOKUP($B5,Kraftvärmeprod!$B$1:$BX$549,MATCH(G$2,Kraftvärmeprod!$B$1:$VX$1,0),FALSE)/1,0)-IFERROR(VLOOKUP($B5,'Slutlig allokering kvv'!$B$2:$BX$549,MATCH(G$2,'Slutlig allokering kvv'!$B$1:$BX$1,0),FALSE)/1,0))</f>
        <v/>
      </c>
      <c r="H5" s="121" t="str">
        <f>IF($D5="","",IFERROR(VLOOKUP($B5,Kraftvärmeprod!$B$1:$BX$549,MATCH(H$2,Kraftvärmeprod!$B$1:$VX$1,0),FALSE)/1,0)-IFERROR(VLOOKUP($B5,'Slutlig allokering kvv'!$B$2:$BX$549,MATCH(H$2,'Slutlig allokering kvv'!$B$1:$BX$1,0),FALSE)/1,0))</f>
        <v/>
      </c>
      <c r="I5" s="121" t="str">
        <f>IF($D5="","",IFERROR(VLOOKUP($B5,Kraftvärmeprod!$B$1:$BX$549,MATCH(I$2,Kraftvärmeprod!$B$1:$VX$1,0),FALSE)/1,0)-IFERROR(VLOOKUP($B5,'Slutlig allokering kvv'!$B$2:$BX$549,MATCH(I$2,'Slutlig allokering kvv'!$B$1:$BX$1,0),FALSE)/1,0))</f>
        <v/>
      </c>
      <c r="J5" s="121" t="str">
        <f>IF($D5="","",IFERROR(VLOOKUP($B5,Kraftvärmeprod!$B$1:$BX$549,MATCH(J$2,Kraftvärmeprod!$B$1:$VX$1,0),FALSE)/1,0)-IFERROR(VLOOKUP($B5,'Slutlig allokering kvv'!$B$2:$BX$549,MATCH(J$2,'Slutlig allokering kvv'!$B$1:$BX$1,0),FALSE)/1,0))</f>
        <v/>
      </c>
      <c r="K5" s="121" t="str">
        <f>IF($D5="","",IFERROR(VLOOKUP($B5,Kraftvärmeprod!$B$1:$BX$549,MATCH(K$2,Kraftvärmeprod!$B$1:$VX$1,0),FALSE)/1,0)-IFERROR(VLOOKUP($B5,'Slutlig allokering kvv'!$B$2:$BX$549,MATCH(K$2,'Slutlig allokering kvv'!$B$1:$BX$1,0),FALSE)/1,0))</f>
        <v/>
      </c>
      <c r="L5" s="121" t="str">
        <f>IF($D5="","",IFERROR(VLOOKUP($B5,Kraftvärmeprod!$B$1:$BX$549,MATCH(L$2,Kraftvärmeprod!$B$1:$VX$1,0),FALSE)/1,0)-IFERROR(VLOOKUP($B5,'Slutlig allokering kvv'!$B$2:$BX$549,MATCH(L$2,'Slutlig allokering kvv'!$B$1:$BX$1,0),FALSE)/1,0))</f>
        <v/>
      </c>
      <c r="M5" s="121" t="str">
        <f>IF($D5="","",IFERROR(VLOOKUP($B5,Kraftvärmeprod!$B$1:$BX$549,MATCH(M$2,Kraftvärmeprod!$B$1:$VX$1,0),FALSE)/1,0)-IFERROR(VLOOKUP($B5,'Slutlig allokering kvv'!$B$2:$BX$549,MATCH(M$2,'Slutlig allokering kvv'!$B$1:$BX$1,0),FALSE)/1,0))</f>
        <v/>
      </c>
      <c r="N5" s="121" t="str">
        <f>IF($D5="","",IFERROR(VLOOKUP($B5,Kraftvärmeprod!$B$1:$BX$549,MATCH(N$2,Kraftvärmeprod!$B$1:$VX$1,0),FALSE)/1,0)-IFERROR(VLOOKUP($B5,'Slutlig allokering kvv'!$B$2:$BX$549,MATCH(N$2,'Slutlig allokering kvv'!$B$1:$BX$1,0),FALSE)/1,0))</f>
        <v/>
      </c>
      <c r="O5" s="121" t="str">
        <f>IF($D5="","",IFERROR(VLOOKUP($B5,Kraftvärmeprod!$B$1:$BX$549,MATCH(O$2,Kraftvärmeprod!$B$1:$VX$1,0),FALSE)/1,0)-IFERROR(VLOOKUP($B5,'Slutlig allokering kvv'!$B$2:$BX$549,MATCH(O$2,'Slutlig allokering kvv'!$B$1:$BX$1,0),FALSE)/1,0))</f>
        <v/>
      </c>
      <c r="P5" s="121" t="str">
        <f>IF($D5="","",IFERROR(VLOOKUP($B5,Kraftvärmeprod!$B$1:$BX$549,MATCH(P$2,Kraftvärmeprod!$B$1:$VX$1,0),FALSE)/1,0)-IFERROR(VLOOKUP($B5,'Slutlig allokering kvv'!$B$2:$BX$549,MATCH(P$2,'Slutlig allokering kvv'!$B$1:$BX$1,0),FALSE)/1,0))</f>
        <v/>
      </c>
      <c r="Q5" s="121" t="str">
        <f>IF($D5="","",IFERROR(VLOOKUP($B5,Kraftvärmeprod!$B$1:$BX$549,MATCH(Q$2,Kraftvärmeprod!$B$1:$VX$1,0),FALSE)/1,0)-IFERROR(VLOOKUP($B5,'Slutlig allokering kvv'!$B$2:$BX$549,MATCH(Q$2,'Slutlig allokering kvv'!$B$1:$BX$1,0),FALSE)/1,0))</f>
        <v/>
      </c>
      <c r="R5" s="121" t="str">
        <f>IF($D5="","",IFERROR(VLOOKUP($B5,Kraftvärmeprod!$B$1:$BX$549,MATCH(R$2,Kraftvärmeprod!$B$1:$VX$1,0),FALSE)/1,0)-IFERROR(VLOOKUP($B5,'Slutlig allokering kvv'!$B$2:$BX$549,MATCH(R$2,'Slutlig allokering kvv'!$B$1:$BX$1,0),FALSE)/1,0))</f>
        <v/>
      </c>
      <c r="S5" s="121" t="str">
        <f>IF($D5="","",IFERROR(VLOOKUP($B5,Kraftvärmeprod!$B$1:$BX$549,MATCH(S$2,Kraftvärmeprod!$B$1:$VX$1,0),FALSE)/1,0)-IFERROR(VLOOKUP($B5,'Slutlig allokering kvv'!$B$2:$BX$549,MATCH(S$2,'Slutlig allokering kvv'!$B$1:$BX$1,0),FALSE)/1,0))</f>
        <v/>
      </c>
      <c r="T5" s="121" t="str">
        <f>IF($D5="","",IFERROR(VLOOKUP($B5,Kraftvärmeprod!$B$1:$BX$549,MATCH(T$2,Kraftvärmeprod!$B$1:$VX$1,0),FALSE)/1,0)-IFERROR(VLOOKUP($B5,'Slutlig allokering kvv'!$B$2:$BX$549,MATCH(T$2,'Slutlig allokering kvv'!$B$1:$BX$1,0),FALSE)/1,0))</f>
        <v/>
      </c>
      <c r="U5" s="121" t="str">
        <f>IF($D5="","",IFERROR(VLOOKUP($B5,Kraftvärmeprod!$B$1:$BX$549,MATCH(U$2,Kraftvärmeprod!$B$1:$VX$1,0),FALSE)/1,0)-IFERROR(VLOOKUP($B5,'Slutlig allokering kvv'!$B$2:$BX$549,MATCH(U$2,'Slutlig allokering kvv'!$B$1:$BX$1,0),FALSE)/1,0))</f>
        <v/>
      </c>
      <c r="V5" s="121" t="str">
        <f>IF($D5="","",IFERROR(VLOOKUP($B5,Kraftvärmeprod!$B$1:$BX$549,MATCH(V$2,Kraftvärmeprod!$B$1:$VX$1,0),FALSE)/1,0)-IFERROR(VLOOKUP($B5,'Slutlig allokering kvv'!$B$2:$BX$549,MATCH(V$2,'Slutlig allokering kvv'!$B$1:$BX$1,0),FALSE)/1,0))</f>
        <v/>
      </c>
      <c r="W5" s="121" t="str">
        <f>IF($D5="","",IFERROR(VLOOKUP($B5,Kraftvärmeprod!$B$1:$BX$549,MATCH(W$2,Kraftvärmeprod!$B$1:$VX$1,0),FALSE)/1,0)-IFERROR(VLOOKUP($B5,'Slutlig allokering kvv'!$B$2:$BX$549,MATCH(W$2,'Slutlig allokering kvv'!$B$1:$BX$1,0),FALSE)/1,0))</f>
        <v/>
      </c>
      <c r="X5" s="121" t="str">
        <f>IF($D5="","",IFERROR(VLOOKUP($B5,Kraftvärmeprod!$B$1:$BX$549,MATCH(X$2,Kraftvärmeprod!$B$1:$VX$1,0),FALSE)/1,0)-IFERROR(VLOOKUP($B5,'Slutlig allokering kvv'!$B$2:$BX$549,MATCH(X$2,'Slutlig allokering kvv'!$B$1:$BX$1,0),FALSE)/1,0))</f>
        <v/>
      </c>
      <c r="Y5" s="121" t="str">
        <f>IF($D5="","",IFERROR(VLOOKUP($B5,Kraftvärmeprod!$B$1:$BX$549,MATCH(Y$2,Kraftvärmeprod!$B$1:$VX$1,0),FALSE)/1,0)-IFERROR(VLOOKUP($B5,'Slutlig allokering kvv'!$B$2:$BX$549,MATCH(Y$2,'Slutlig allokering kvv'!$B$1:$BX$1,0),FALSE)/1,0))</f>
        <v/>
      </c>
      <c r="Z5" s="121" t="str">
        <f>IF($D5="","",IFERROR(VLOOKUP($B5,Kraftvärmeprod!$B$1:$BX$549,MATCH(Z$2,Kraftvärmeprod!$B$1:$VX$1,0),FALSE)/1,0)-IFERROR(VLOOKUP($B5,'Slutlig allokering kvv'!$B$2:$BX$549,MATCH(Z$2,'Slutlig allokering kvv'!$B$1:$BX$1,0),FALSE)/1,0))</f>
        <v/>
      </c>
      <c r="AA5" s="121" t="str">
        <f>IF($D5="","",IFERROR(VLOOKUP($B5,Kraftvärmeprod!$B$1:$BX$549,MATCH(AA$2,Kraftvärmeprod!$B$1:$VX$1,0),FALSE)/1,0)-IFERROR(VLOOKUP($B5,'Slutlig allokering kvv'!$B$2:$BX$549,MATCH(AA$2,'Slutlig allokering kvv'!$B$1:$BX$1,0),FALSE)/1,0))</f>
        <v/>
      </c>
      <c r="AB5" s="121" t="str">
        <f>IF($D5="","",IFERROR(VLOOKUP($B5,Kraftvärmeprod!$B$1:$BX$549,MATCH(AB$2,Kraftvärmeprod!$B$1:$VX$1,0),FALSE)/1,0)-IFERROR(VLOOKUP($B5,'Slutlig allokering kvv'!$B$2:$BX$549,MATCH(AB$2,'Slutlig allokering kvv'!$B$1:$BX$1,0),FALSE)/1,0))</f>
        <v/>
      </c>
      <c r="AC5" s="121" t="str">
        <f>IF($D5="","",IFERROR(VLOOKUP($B5,Kraftvärmeprod!$B$1:$BX$549,MATCH(AC$2,Kraftvärmeprod!$B$1:$VX$1,0),FALSE)/1,0)-IFERROR(VLOOKUP($B5,'Slutlig allokering kvv'!$B$2:$BX$549,MATCH(AC$2,'Slutlig allokering kvv'!$B$1:$BX$1,0),FALSE)/1,0))</f>
        <v/>
      </c>
      <c r="AD5" s="121" t="str">
        <f>IF($D5="","",IFERROR(VLOOKUP($B5,Kraftvärmeprod!$B$1:$BX$549,MATCH(AD$2,Kraftvärmeprod!$B$1:$VX$1,0),FALSE)/1,0)-IFERROR(VLOOKUP($B5,'Slutlig allokering kvv'!$B$2:$BX$549,MATCH(AD$2,'Slutlig allokering kvv'!$B$1:$BX$1,0),FALSE)/1,0))</f>
        <v/>
      </c>
      <c r="AE5" s="121" t="str">
        <f>IF($D5="","",IFERROR(VLOOKUP($B5,Miljö!$B$1:$E$550,MATCH("Hjälpel kraftvärme (GWh)",Miljö!$B$1:$E$1,0),FALSE)/1,0)-IFERROR(VLOOKUP($B5,'Slutlig allokering kvv'!$B$2:$BX$549,MATCH(AE$2,'Slutlig allokering kvv'!$B$1:$BX$1,0),FALSE)/1,0))</f>
        <v/>
      </c>
      <c r="AI5" s="121">
        <f t="shared" si="0"/>
        <v>0</v>
      </c>
      <c r="AK5" s="121">
        <f>IFERROR(VLOOKUP($B5,'Slutlig allokering kvv'!$B$2:$AX$549,MATCH("Summa slutlig allokerad tillförd energi (utan hjälpel och rökgaskondensering):",'Slutlig allokering kvv'!$B$1:$AX$1,0),FALSE)/1,"")</f>
        <v>0</v>
      </c>
      <c r="AM5" s="172" t="str">
        <f>IFERROR(1-VLOOKUP($B5,'Slutlig allokering kvv'!$B$2:$AX$549,MATCH("Andel av bränsle i kvv som allokerats till värme, exklusive rökgaskondensering och hjälpel",'Slutlig allokering kvv'!$B$1:$AX$1,0),FALSE),"")</f>
        <v/>
      </c>
      <c r="AO5" s="172" t="str">
        <f t="shared" si="1"/>
        <v/>
      </c>
      <c r="AP5" s="173" t="str">
        <f t="shared" si="2"/>
        <v/>
      </c>
      <c r="AR5" s="172" t="str">
        <f t="shared" si="3"/>
        <v/>
      </c>
    </row>
    <row r="6" spans="1:46" x14ac:dyDescent="0.25">
      <c r="A6" s="171" t="str">
        <f>'Miljövärden för publ företag'!B8</f>
        <v>Adven Energilösningar AB</v>
      </c>
      <c r="B6" s="171" t="str">
        <f>'Miljövärden för publ företag'!C8</f>
        <v>Orsa</v>
      </c>
      <c r="C6" s="121" t="str">
        <f>IFERROR(VLOOKUP($B6,Kraftvärmeprod!$B$1:$AH$478,MATCH(C$2,Kraftvärmeprod!$B$1:$AG$1,0),FALSE)/1,"")</f>
        <v/>
      </c>
      <c r="D6" s="121" t="str">
        <f>IFERROR(VLOOKUP($B6,Kraftvärmeprod!$B$1:$AH$478,MATCH(D$2,Kraftvärmeprod!$B$1:$AG$1,0),FALSE)/1,"")</f>
        <v/>
      </c>
      <c r="F6" s="121" t="str">
        <f>IF($D6="","",IFERROR(VLOOKUP($B6,Kraftvärmeprod!$B$1:$BX$549,MATCH(F$2,Kraftvärmeprod!$B$1:$VX$1,0),FALSE)/1,0)-IFERROR(VLOOKUP($B6,'Slutlig allokering kvv'!$B$2:$BX$549,MATCH(F$2,'Slutlig allokering kvv'!$B$1:$BX$1,0),FALSE)/1,0))</f>
        <v/>
      </c>
      <c r="G6" s="121" t="str">
        <f>IF($D6="","",IFERROR(VLOOKUP($B6,Kraftvärmeprod!$B$1:$BX$549,MATCH(G$2,Kraftvärmeprod!$B$1:$VX$1,0),FALSE)/1,0)-IFERROR(VLOOKUP($B6,'Slutlig allokering kvv'!$B$2:$BX$549,MATCH(G$2,'Slutlig allokering kvv'!$B$1:$BX$1,0),FALSE)/1,0))</f>
        <v/>
      </c>
      <c r="H6" s="121" t="str">
        <f>IF($D6="","",IFERROR(VLOOKUP($B6,Kraftvärmeprod!$B$1:$BX$549,MATCH(H$2,Kraftvärmeprod!$B$1:$VX$1,0),FALSE)/1,0)-IFERROR(VLOOKUP($B6,'Slutlig allokering kvv'!$B$2:$BX$549,MATCH(H$2,'Slutlig allokering kvv'!$B$1:$BX$1,0),FALSE)/1,0))</f>
        <v/>
      </c>
      <c r="I6" s="121" t="str">
        <f>IF($D6="","",IFERROR(VLOOKUP($B6,Kraftvärmeprod!$B$1:$BX$549,MATCH(I$2,Kraftvärmeprod!$B$1:$VX$1,0),FALSE)/1,0)-IFERROR(VLOOKUP($B6,'Slutlig allokering kvv'!$B$2:$BX$549,MATCH(I$2,'Slutlig allokering kvv'!$B$1:$BX$1,0),FALSE)/1,0))</f>
        <v/>
      </c>
      <c r="J6" s="121" t="str">
        <f>IF($D6="","",IFERROR(VLOOKUP($B6,Kraftvärmeprod!$B$1:$BX$549,MATCH(J$2,Kraftvärmeprod!$B$1:$VX$1,0),FALSE)/1,0)-IFERROR(VLOOKUP($B6,'Slutlig allokering kvv'!$B$2:$BX$549,MATCH(J$2,'Slutlig allokering kvv'!$B$1:$BX$1,0),FALSE)/1,0))</f>
        <v/>
      </c>
      <c r="K6" s="121" t="str">
        <f>IF($D6="","",IFERROR(VLOOKUP($B6,Kraftvärmeprod!$B$1:$BX$549,MATCH(K$2,Kraftvärmeprod!$B$1:$VX$1,0),FALSE)/1,0)-IFERROR(VLOOKUP($B6,'Slutlig allokering kvv'!$B$2:$BX$549,MATCH(K$2,'Slutlig allokering kvv'!$B$1:$BX$1,0),FALSE)/1,0))</f>
        <v/>
      </c>
      <c r="L6" s="121" t="str">
        <f>IF($D6="","",IFERROR(VLOOKUP($B6,Kraftvärmeprod!$B$1:$BX$549,MATCH(L$2,Kraftvärmeprod!$B$1:$VX$1,0),FALSE)/1,0)-IFERROR(VLOOKUP($B6,'Slutlig allokering kvv'!$B$2:$BX$549,MATCH(L$2,'Slutlig allokering kvv'!$B$1:$BX$1,0),FALSE)/1,0))</f>
        <v/>
      </c>
      <c r="M6" s="121" t="str">
        <f>IF($D6="","",IFERROR(VLOOKUP($B6,Kraftvärmeprod!$B$1:$BX$549,MATCH(M$2,Kraftvärmeprod!$B$1:$VX$1,0),FALSE)/1,0)-IFERROR(VLOOKUP($B6,'Slutlig allokering kvv'!$B$2:$BX$549,MATCH(M$2,'Slutlig allokering kvv'!$B$1:$BX$1,0),FALSE)/1,0))</f>
        <v/>
      </c>
      <c r="N6" s="121" t="str">
        <f>IF($D6="","",IFERROR(VLOOKUP($B6,Kraftvärmeprod!$B$1:$BX$549,MATCH(N$2,Kraftvärmeprod!$B$1:$VX$1,0),FALSE)/1,0)-IFERROR(VLOOKUP($B6,'Slutlig allokering kvv'!$B$2:$BX$549,MATCH(N$2,'Slutlig allokering kvv'!$B$1:$BX$1,0),FALSE)/1,0))</f>
        <v/>
      </c>
      <c r="O6" s="121" t="str">
        <f>IF($D6="","",IFERROR(VLOOKUP($B6,Kraftvärmeprod!$B$1:$BX$549,MATCH(O$2,Kraftvärmeprod!$B$1:$VX$1,0),FALSE)/1,0)-IFERROR(VLOOKUP($B6,'Slutlig allokering kvv'!$B$2:$BX$549,MATCH(O$2,'Slutlig allokering kvv'!$B$1:$BX$1,0),FALSE)/1,0))</f>
        <v/>
      </c>
      <c r="P6" s="121" t="str">
        <f>IF($D6="","",IFERROR(VLOOKUP($B6,Kraftvärmeprod!$B$1:$BX$549,MATCH(P$2,Kraftvärmeprod!$B$1:$VX$1,0),FALSE)/1,0)-IFERROR(VLOOKUP($B6,'Slutlig allokering kvv'!$B$2:$BX$549,MATCH(P$2,'Slutlig allokering kvv'!$B$1:$BX$1,0),FALSE)/1,0))</f>
        <v/>
      </c>
      <c r="Q6" s="121" t="str">
        <f>IF($D6="","",IFERROR(VLOOKUP($B6,Kraftvärmeprod!$B$1:$BX$549,MATCH(Q$2,Kraftvärmeprod!$B$1:$VX$1,0),FALSE)/1,0)-IFERROR(VLOOKUP($B6,'Slutlig allokering kvv'!$B$2:$BX$549,MATCH(Q$2,'Slutlig allokering kvv'!$B$1:$BX$1,0),FALSE)/1,0))</f>
        <v/>
      </c>
      <c r="R6" s="121" t="str">
        <f>IF($D6="","",IFERROR(VLOOKUP($B6,Kraftvärmeprod!$B$1:$BX$549,MATCH(R$2,Kraftvärmeprod!$B$1:$VX$1,0),FALSE)/1,0)-IFERROR(VLOOKUP($B6,'Slutlig allokering kvv'!$B$2:$BX$549,MATCH(R$2,'Slutlig allokering kvv'!$B$1:$BX$1,0),FALSE)/1,0))</f>
        <v/>
      </c>
      <c r="S6" s="121" t="str">
        <f>IF($D6="","",IFERROR(VLOOKUP($B6,Kraftvärmeprod!$B$1:$BX$549,MATCH(S$2,Kraftvärmeprod!$B$1:$VX$1,0),FALSE)/1,0)-IFERROR(VLOOKUP($B6,'Slutlig allokering kvv'!$B$2:$BX$549,MATCH(S$2,'Slutlig allokering kvv'!$B$1:$BX$1,0),FALSE)/1,0))</f>
        <v/>
      </c>
      <c r="T6" s="121" t="str">
        <f>IF($D6="","",IFERROR(VLOOKUP($B6,Kraftvärmeprod!$B$1:$BX$549,MATCH(T$2,Kraftvärmeprod!$B$1:$VX$1,0),FALSE)/1,0)-IFERROR(VLOOKUP($B6,'Slutlig allokering kvv'!$B$2:$BX$549,MATCH(T$2,'Slutlig allokering kvv'!$B$1:$BX$1,0),FALSE)/1,0))</f>
        <v/>
      </c>
      <c r="U6" s="121" t="str">
        <f>IF($D6="","",IFERROR(VLOOKUP($B6,Kraftvärmeprod!$B$1:$BX$549,MATCH(U$2,Kraftvärmeprod!$B$1:$VX$1,0),FALSE)/1,0)-IFERROR(VLOOKUP($B6,'Slutlig allokering kvv'!$B$2:$BX$549,MATCH(U$2,'Slutlig allokering kvv'!$B$1:$BX$1,0),FALSE)/1,0))</f>
        <v/>
      </c>
      <c r="V6" s="121" t="str">
        <f>IF($D6="","",IFERROR(VLOOKUP($B6,Kraftvärmeprod!$B$1:$BX$549,MATCH(V$2,Kraftvärmeprod!$B$1:$VX$1,0),FALSE)/1,0)-IFERROR(VLOOKUP($B6,'Slutlig allokering kvv'!$B$2:$BX$549,MATCH(V$2,'Slutlig allokering kvv'!$B$1:$BX$1,0),FALSE)/1,0))</f>
        <v/>
      </c>
      <c r="W6" s="121" t="str">
        <f>IF($D6="","",IFERROR(VLOOKUP($B6,Kraftvärmeprod!$B$1:$BX$549,MATCH(W$2,Kraftvärmeprod!$B$1:$VX$1,0),FALSE)/1,0)-IFERROR(VLOOKUP($B6,'Slutlig allokering kvv'!$B$2:$BX$549,MATCH(W$2,'Slutlig allokering kvv'!$B$1:$BX$1,0),FALSE)/1,0))</f>
        <v/>
      </c>
      <c r="X6" s="121" t="str">
        <f>IF($D6="","",IFERROR(VLOOKUP($B6,Kraftvärmeprod!$B$1:$BX$549,MATCH(X$2,Kraftvärmeprod!$B$1:$VX$1,0),FALSE)/1,0)-IFERROR(VLOOKUP($B6,'Slutlig allokering kvv'!$B$2:$BX$549,MATCH(X$2,'Slutlig allokering kvv'!$B$1:$BX$1,0),FALSE)/1,0))</f>
        <v/>
      </c>
      <c r="Y6" s="121" t="str">
        <f>IF($D6="","",IFERROR(VLOOKUP($B6,Kraftvärmeprod!$B$1:$BX$549,MATCH(Y$2,Kraftvärmeprod!$B$1:$VX$1,0),FALSE)/1,0)-IFERROR(VLOOKUP($B6,'Slutlig allokering kvv'!$B$2:$BX$549,MATCH(Y$2,'Slutlig allokering kvv'!$B$1:$BX$1,0),FALSE)/1,0))</f>
        <v/>
      </c>
      <c r="Z6" s="121" t="str">
        <f>IF($D6="","",IFERROR(VLOOKUP($B6,Kraftvärmeprod!$B$1:$BX$549,MATCH(Z$2,Kraftvärmeprod!$B$1:$VX$1,0),FALSE)/1,0)-IFERROR(VLOOKUP($B6,'Slutlig allokering kvv'!$B$2:$BX$549,MATCH(Z$2,'Slutlig allokering kvv'!$B$1:$BX$1,0),FALSE)/1,0))</f>
        <v/>
      </c>
      <c r="AA6" s="121" t="str">
        <f>IF($D6="","",IFERROR(VLOOKUP($B6,Kraftvärmeprod!$B$1:$BX$549,MATCH(AA$2,Kraftvärmeprod!$B$1:$VX$1,0),FALSE)/1,0)-IFERROR(VLOOKUP($B6,'Slutlig allokering kvv'!$B$2:$BX$549,MATCH(AA$2,'Slutlig allokering kvv'!$B$1:$BX$1,0),FALSE)/1,0))</f>
        <v/>
      </c>
      <c r="AB6" s="121" t="str">
        <f>IF($D6="","",IFERROR(VLOOKUP($B6,Kraftvärmeprod!$B$1:$BX$549,MATCH(AB$2,Kraftvärmeprod!$B$1:$VX$1,0),FALSE)/1,0)-IFERROR(VLOOKUP($B6,'Slutlig allokering kvv'!$B$2:$BX$549,MATCH(AB$2,'Slutlig allokering kvv'!$B$1:$BX$1,0),FALSE)/1,0))</f>
        <v/>
      </c>
      <c r="AC6" s="121" t="str">
        <f>IF($D6="","",IFERROR(VLOOKUP($B6,Kraftvärmeprod!$B$1:$BX$549,MATCH(AC$2,Kraftvärmeprod!$B$1:$VX$1,0),FALSE)/1,0)-IFERROR(VLOOKUP($B6,'Slutlig allokering kvv'!$B$2:$BX$549,MATCH(AC$2,'Slutlig allokering kvv'!$B$1:$BX$1,0),FALSE)/1,0))</f>
        <v/>
      </c>
      <c r="AD6" s="121" t="str">
        <f>IF($D6="","",IFERROR(VLOOKUP($B6,Kraftvärmeprod!$B$1:$BX$549,MATCH(AD$2,Kraftvärmeprod!$B$1:$VX$1,0),FALSE)/1,0)-IFERROR(VLOOKUP($B6,'Slutlig allokering kvv'!$B$2:$BX$549,MATCH(AD$2,'Slutlig allokering kvv'!$B$1:$BX$1,0),FALSE)/1,0))</f>
        <v/>
      </c>
      <c r="AE6" s="121" t="str">
        <f>IF($D6="","",IFERROR(VLOOKUP($B6,Miljö!$B$1:$E$550,MATCH("Hjälpel kraftvärme (GWh)",Miljö!$B$1:$E$1,0),FALSE)/1,0)-IFERROR(VLOOKUP($B6,'Slutlig allokering kvv'!$B$2:$BX$549,MATCH(AE$2,'Slutlig allokering kvv'!$B$1:$BX$1,0),FALSE)/1,0))</f>
        <v/>
      </c>
      <c r="AI6" s="121">
        <f t="shared" si="0"/>
        <v>0</v>
      </c>
      <c r="AK6" s="121">
        <f>IFERROR(VLOOKUP($B6,'Slutlig allokering kvv'!$B$2:$AX$549,MATCH("Summa slutlig allokerad tillförd energi (utan hjälpel och rökgaskondensering):",'Slutlig allokering kvv'!$B$1:$AX$1,0),FALSE)/1,"")</f>
        <v>0</v>
      </c>
      <c r="AM6" s="172" t="str">
        <f>IFERROR(1-VLOOKUP($B6,'Slutlig allokering kvv'!$B$2:$AX$549,MATCH("Andel av bränsle i kvv som allokerats till värme, exklusive rökgaskondensering och hjälpel",'Slutlig allokering kvv'!$B$1:$AX$1,0),FALSE),"")</f>
        <v/>
      </c>
      <c r="AO6" s="172" t="str">
        <f t="shared" si="1"/>
        <v/>
      </c>
      <c r="AP6" s="173" t="str">
        <f t="shared" si="2"/>
        <v/>
      </c>
      <c r="AR6" s="172" t="str">
        <f t="shared" si="3"/>
        <v/>
      </c>
    </row>
    <row r="7" spans="1:46" x14ac:dyDescent="0.25">
      <c r="A7" s="171" t="str">
        <f>'Miljövärden för publ företag'!B9</f>
        <v>Adven Energilösningar AB</v>
      </c>
      <c r="B7" s="171" t="str">
        <f>'Miljövärden för publ företag'!C9</f>
        <v>Sollefteå</v>
      </c>
      <c r="C7" s="121" t="str">
        <f>IFERROR(VLOOKUP($B7,Kraftvärmeprod!$B$1:$AH$478,MATCH(C$2,Kraftvärmeprod!$B$1:$AG$1,0),FALSE)/1,"")</f>
        <v/>
      </c>
      <c r="D7" s="121" t="str">
        <f>IFERROR(VLOOKUP($B7,Kraftvärmeprod!$B$1:$AH$478,MATCH(D$2,Kraftvärmeprod!$B$1:$AG$1,0),FALSE)/1,"")</f>
        <v/>
      </c>
      <c r="F7" s="121" t="str">
        <f>IF($D7="","",IFERROR(VLOOKUP($B7,Kraftvärmeprod!$B$1:$BX$549,MATCH(F$2,Kraftvärmeprod!$B$1:$VX$1,0),FALSE)/1,0)-IFERROR(VLOOKUP($B7,'Slutlig allokering kvv'!$B$2:$BX$549,MATCH(F$2,'Slutlig allokering kvv'!$B$1:$BX$1,0),FALSE)/1,0))</f>
        <v/>
      </c>
      <c r="G7" s="121" t="str">
        <f>IF($D7="","",IFERROR(VLOOKUP($B7,Kraftvärmeprod!$B$1:$BX$549,MATCH(G$2,Kraftvärmeprod!$B$1:$VX$1,0),FALSE)/1,0)-IFERROR(VLOOKUP($B7,'Slutlig allokering kvv'!$B$2:$BX$549,MATCH(G$2,'Slutlig allokering kvv'!$B$1:$BX$1,0),FALSE)/1,0))</f>
        <v/>
      </c>
      <c r="H7" s="121" t="str">
        <f>IF($D7="","",IFERROR(VLOOKUP($B7,Kraftvärmeprod!$B$1:$BX$549,MATCH(H$2,Kraftvärmeprod!$B$1:$VX$1,0),FALSE)/1,0)-IFERROR(VLOOKUP($B7,'Slutlig allokering kvv'!$B$2:$BX$549,MATCH(H$2,'Slutlig allokering kvv'!$B$1:$BX$1,0),FALSE)/1,0))</f>
        <v/>
      </c>
      <c r="I7" s="121" t="str">
        <f>IF($D7="","",IFERROR(VLOOKUP($B7,Kraftvärmeprod!$B$1:$BX$549,MATCH(I$2,Kraftvärmeprod!$B$1:$VX$1,0),FALSE)/1,0)-IFERROR(VLOOKUP($B7,'Slutlig allokering kvv'!$B$2:$BX$549,MATCH(I$2,'Slutlig allokering kvv'!$B$1:$BX$1,0),FALSE)/1,0))</f>
        <v/>
      </c>
      <c r="J7" s="121" t="str">
        <f>IF($D7="","",IFERROR(VLOOKUP($B7,Kraftvärmeprod!$B$1:$BX$549,MATCH(J$2,Kraftvärmeprod!$B$1:$VX$1,0),FALSE)/1,0)-IFERROR(VLOOKUP($B7,'Slutlig allokering kvv'!$B$2:$BX$549,MATCH(J$2,'Slutlig allokering kvv'!$B$1:$BX$1,0),FALSE)/1,0))</f>
        <v/>
      </c>
      <c r="K7" s="121" t="str">
        <f>IF($D7="","",IFERROR(VLOOKUP($B7,Kraftvärmeprod!$B$1:$BX$549,MATCH(K$2,Kraftvärmeprod!$B$1:$VX$1,0),FALSE)/1,0)-IFERROR(VLOOKUP($B7,'Slutlig allokering kvv'!$B$2:$BX$549,MATCH(K$2,'Slutlig allokering kvv'!$B$1:$BX$1,0),FALSE)/1,0))</f>
        <v/>
      </c>
      <c r="L7" s="121" t="str">
        <f>IF($D7="","",IFERROR(VLOOKUP($B7,Kraftvärmeprod!$B$1:$BX$549,MATCH(L$2,Kraftvärmeprod!$B$1:$VX$1,0),FALSE)/1,0)-IFERROR(VLOOKUP($B7,'Slutlig allokering kvv'!$B$2:$BX$549,MATCH(L$2,'Slutlig allokering kvv'!$B$1:$BX$1,0),FALSE)/1,0))</f>
        <v/>
      </c>
      <c r="M7" s="121" t="str">
        <f>IF($D7="","",IFERROR(VLOOKUP($B7,Kraftvärmeprod!$B$1:$BX$549,MATCH(M$2,Kraftvärmeprod!$B$1:$VX$1,0),FALSE)/1,0)-IFERROR(VLOOKUP($B7,'Slutlig allokering kvv'!$B$2:$BX$549,MATCH(M$2,'Slutlig allokering kvv'!$B$1:$BX$1,0),FALSE)/1,0))</f>
        <v/>
      </c>
      <c r="N7" s="121" t="str">
        <f>IF($D7="","",IFERROR(VLOOKUP($B7,Kraftvärmeprod!$B$1:$BX$549,MATCH(N$2,Kraftvärmeprod!$B$1:$VX$1,0),FALSE)/1,0)-IFERROR(VLOOKUP($B7,'Slutlig allokering kvv'!$B$2:$BX$549,MATCH(N$2,'Slutlig allokering kvv'!$B$1:$BX$1,0),FALSE)/1,0))</f>
        <v/>
      </c>
      <c r="O7" s="121" t="str">
        <f>IF($D7="","",IFERROR(VLOOKUP($B7,Kraftvärmeprod!$B$1:$BX$549,MATCH(O$2,Kraftvärmeprod!$B$1:$VX$1,0),FALSE)/1,0)-IFERROR(VLOOKUP($B7,'Slutlig allokering kvv'!$B$2:$BX$549,MATCH(O$2,'Slutlig allokering kvv'!$B$1:$BX$1,0),FALSE)/1,0))</f>
        <v/>
      </c>
      <c r="P7" s="121" t="str">
        <f>IF($D7="","",IFERROR(VLOOKUP($B7,Kraftvärmeprod!$B$1:$BX$549,MATCH(P$2,Kraftvärmeprod!$B$1:$VX$1,0),FALSE)/1,0)-IFERROR(VLOOKUP($B7,'Slutlig allokering kvv'!$B$2:$BX$549,MATCH(P$2,'Slutlig allokering kvv'!$B$1:$BX$1,0),FALSE)/1,0))</f>
        <v/>
      </c>
      <c r="Q7" s="121" t="str">
        <f>IF($D7="","",IFERROR(VLOOKUP($B7,Kraftvärmeprod!$B$1:$BX$549,MATCH(Q$2,Kraftvärmeprod!$B$1:$VX$1,0),FALSE)/1,0)-IFERROR(VLOOKUP($B7,'Slutlig allokering kvv'!$B$2:$BX$549,MATCH(Q$2,'Slutlig allokering kvv'!$B$1:$BX$1,0),FALSE)/1,0))</f>
        <v/>
      </c>
      <c r="R7" s="121" t="str">
        <f>IF($D7="","",IFERROR(VLOOKUP($B7,Kraftvärmeprod!$B$1:$BX$549,MATCH(R$2,Kraftvärmeprod!$B$1:$VX$1,0),FALSE)/1,0)-IFERROR(VLOOKUP($B7,'Slutlig allokering kvv'!$B$2:$BX$549,MATCH(R$2,'Slutlig allokering kvv'!$B$1:$BX$1,0),FALSE)/1,0))</f>
        <v/>
      </c>
      <c r="S7" s="121" t="str">
        <f>IF($D7="","",IFERROR(VLOOKUP($B7,Kraftvärmeprod!$B$1:$BX$549,MATCH(S$2,Kraftvärmeprod!$B$1:$VX$1,0),FALSE)/1,0)-IFERROR(VLOOKUP($B7,'Slutlig allokering kvv'!$B$2:$BX$549,MATCH(S$2,'Slutlig allokering kvv'!$B$1:$BX$1,0),FALSE)/1,0))</f>
        <v/>
      </c>
      <c r="T7" s="121" t="str">
        <f>IF($D7="","",IFERROR(VLOOKUP($B7,Kraftvärmeprod!$B$1:$BX$549,MATCH(T$2,Kraftvärmeprod!$B$1:$VX$1,0),FALSE)/1,0)-IFERROR(VLOOKUP($B7,'Slutlig allokering kvv'!$B$2:$BX$549,MATCH(T$2,'Slutlig allokering kvv'!$B$1:$BX$1,0),FALSE)/1,0))</f>
        <v/>
      </c>
      <c r="U7" s="121" t="str">
        <f>IF($D7="","",IFERROR(VLOOKUP($B7,Kraftvärmeprod!$B$1:$BX$549,MATCH(U$2,Kraftvärmeprod!$B$1:$VX$1,0),FALSE)/1,0)-IFERROR(VLOOKUP($B7,'Slutlig allokering kvv'!$B$2:$BX$549,MATCH(U$2,'Slutlig allokering kvv'!$B$1:$BX$1,0),FALSE)/1,0))</f>
        <v/>
      </c>
      <c r="V7" s="121" t="str">
        <f>IF($D7="","",IFERROR(VLOOKUP($B7,Kraftvärmeprod!$B$1:$BX$549,MATCH(V$2,Kraftvärmeprod!$B$1:$VX$1,0),FALSE)/1,0)-IFERROR(VLOOKUP($B7,'Slutlig allokering kvv'!$B$2:$BX$549,MATCH(V$2,'Slutlig allokering kvv'!$B$1:$BX$1,0),FALSE)/1,0))</f>
        <v/>
      </c>
      <c r="W7" s="121" t="str">
        <f>IF($D7="","",IFERROR(VLOOKUP($B7,Kraftvärmeprod!$B$1:$BX$549,MATCH(W$2,Kraftvärmeprod!$B$1:$VX$1,0),FALSE)/1,0)-IFERROR(VLOOKUP($B7,'Slutlig allokering kvv'!$B$2:$BX$549,MATCH(W$2,'Slutlig allokering kvv'!$B$1:$BX$1,0),FALSE)/1,0))</f>
        <v/>
      </c>
      <c r="X7" s="121" t="str">
        <f>IF($D7="","",IFERROR(VLOOKUP($B7,Kraftvärmeprod!$B$1:$BX$549,MATCH(X$2,Kraftvärmeprod!$B$1:$VX$1,0),FALSE)/1,0)-IFERROR(VLOOKUP($B7,'Slutlig allokering kvv'!$B$2:$BX$549,MATCH(X$2,'Slutlig allokering kvv'!$B$1:$BX$1,0),FALSE)/1,0))</f>
        <v/>
      </c>
      <c r="Y7" s="121" t="str">
        <f>IF($D7="","",IFERROR(VLOOKUP($B7,Kraftvärmeprod!$B$1:$BX$549,MATCH(Y$2,Kraftvärmeprod!$B$1:$VX$1,0),FALSE)/1,0)-IFERROR(VLOOKUP($B7,'Slutlig allokering kvv'!$B$2:$BX$549,MATCH(Y$2,'Slutlig allokering kvv'!$B$1:$BX$1,0),FALSE)/1,0))</f>
        <v/>
      </c>
      <c r="Z7" s="121" t="str">
        <f>IF($D7="","",IFERROR(VLOOKUP($B7,Kraftvärmeprod!$B$1:$BX$549,MATCH(Z$2,Kraftvärmeprod!$B$1:$VX$1,0),FALSE)/1,0)-IFERROR(VLOOKUP($B7,'Slutlig allokering kvv'!$B$2:$BX$549,MATCH(Z$2,'Slutlig allokering kvv'!$B$1:$BX$1,0),FALSE)/1,0))</f>
        <v/>
      </c>
      <c r="AA7" s="121" t="str">
        <f>IF($D7="","",IFERROR(VLOOKUP($B7,Kraftvärmeprod!$B$1:$BX$549,MATCH(AA$2,Kraftvärmeprod!$B$1:$VX$1,0),FALSE)/1,0)-IFERROR(VLOOKUP($B7,'Slutlig allokering kvv'!$B$2:$BX$549,MATCH(AA$2,'Slutlig allokering kvv'!$B$1:$BX$1,0),FALSE)/1,0))</f>
        <v/>
      </c>
      <c r="AB7" s="121" t="str">
        <f>IF($D7="","",IFERROR(VLOOKUP($B7,Kraftvärmeprod!$B$1:$BX$549,MATCH(AB$2,Kraftvärmeprod!$B$1:$VX$1,0),FALSE)/1,0)-IFERROR(VLOOKUP($B7,'Slutlig allokering kvv'!$B$2:$BX$549,MATCH(AB$2,'Slutlig allokering kvv'!$B$1:$BX$1,0),FALSE)/1,0))</f>
        <v/>
      </c>
      <c r="AC7" s="121" t="str">
        <f>IF($D7="","",IFERROR(VLOOKUP($B7,Kraftvärmeprod!$B$1:$BX$549,MATCH(AC$2,Kraftvärmeprod!$B$1:$VX$1,0),FALSE)/1,0)-IFERROR(VLOOKUP($B7,'Slutlig allokering kvv'!$B$2:$BX$549,MATCH(AC$2,'Slutlig allokering kvv'!$B$1:$BX$1,0),FALSE)/1,0))</f>
        <v/>
      </c>
      <c r="AD7" s="121" t="str">
        <f>IF($D7="","",IFERROR(VLOOKUP($B7,Kraftvärmeprod!$B$1:$BX$549,MATCH(AD$2,Kraftvärmeprod!$B$1:$VX$1,0),FALSE)/1,0)-IFERROR(VLOOKUP($B7,'Slutlig allokering kvv'!$B$2:$BX$549,MATCH(AD$2,'Slutlig allokering kvv'!$B$1:$BX$1,0),FALSE)/1,0))</f>
        <v/>
      </c>
      <c r="AE7" s="121" t="str">
        <f>IF($D7="","",IFERROR(VLOOKUP($B7,Miljö!$B$1:$E$550,MATCH("Hjälpel kraftvärme (GWh)",Miljö!$B$1:$E$1,0),FALSE)/1,0)-IFERROR(VLOOKUP($B7,'Slutlig allokering kvv'!$B$2:$BX$549,MATCH(AE$2,'Slutlig allokering kvv'!$B$1:$BX$1,0),FALSE)/1,0))</f>
        <v/>
      </c>
      <c r="AI7" s="121">
        <f t="shared" si="0"/>
        <v>0</v>
      </c>
      <c r="AK7" s="121">
        <f>IFERROR(VLOOKUP($B7,'Slutlig allokering kvv'!$B$2:$AX$549,MATCH("Summa slutlig allokerad tillförd energi (utan hjälpel och rökgaskondensering):",'Slutlig allokering kvv'!$B$1:$AX$1,0),FALSE)/1,"")</f>
        <v>0</v>
      </c>
      <c r="AM7" s="172" t="str">
        <f>IFERROR(1-VLOOKUP($B7,'Slutlig allokering kvv'!$B$2:$AX$549,MATCH("Andel av bränsle i kvv som allokerats till värme, exklusive rökgaskondensering och hjälpel",'Slutlig allokering kvv'!$B$1:$AX$1,0),FALSE),"")</f>
        <v/>
      </c>
      <c r="AO7" s="172" t="str">
        <f t="shared" si="1"/>
        <v/>
      </c>
      <c r="AP7" s="173" t="str">
        <f t="shared" si="2"/>
        <v/>
      </c>
      <c r="AR7" s="172" t="str">
        <f t="shared" si="3"/>
        <v/>
      </c>
    </row>
    <row r="8" spans="1:46" x14ac:dyDescent="0.25">
      <c r="A8" s="171" t="str">
        <f>'Miljövärden för publ företag'!B10</f>
        <v>Adven Energilösningar AB</v>
      </c>
      <c r="B8" s="171" t="str">
        <f>'Miljövärden för publ företag'!C10</f>
        <v>Staffanstorp</v>
      </c>
      <c r="C8" s="121" t="str">
        <f>IFERROR(VLOOKUP($B8,Kraftvärmeprod!$B$1:$AH$478,MATCH(C$2,Kraftvärmeprod!$B$1:$AG$1,0),FALSE)/1,"")</f>
        <v/>
      </c>
      <c r="D8" s="121" t="str">
        <f>IFERROR(VLOOKUP($B8,Kraftvärmeprod!$B$1:$AH$478,MATCH(D$2,Kraftvärmeprod!$B$1:$AG$1,0),FALSE)/1,"")</f>
        <v/>
      </c>
      <c r="F8" s="121" t="str">
        <f>IF($D8="","",IFERROR(VLOOKUP($B8,Kraftvärmeprod!$B$1:$BX$549,MATCH(F$2,Kraftvärmeprod!$B$1:$VX$1,0),FALSE)/1,0)-IFERROR(VLOOKUP($B8,'Slutlig allokering kvv'!$B$2:$BX$549,MATCH(F$2,'Slutlig allokering kvv'!$B$1:$BX$1,0),FALSE)/1,0))</f>
        <v/>
      </c>
      <c r="G8" s="121" t="str">
        <f>IF($D8="","",IFERROR(VLOOKUP($B8,Kraftvärmeprod!$B$1:$BX$549,MATCH(G$2,Kraftvärmeprod!$B$1:$VX$1,0),FALSE)/1,0)-IFERROR(VLOOKUP($B8,'Slutlig allokering kvv'!$B$2:$BX$549,MATCH(G$2,'Slutlig allokering kvv'!$B$1:$BX$1,0),FALSE)/1,0))</f>
        <v/>
      </c>
      <c r="H8" s="121" t="str">
        <f>IF($D8="","",IFERROR(VLOOKUP($B8,Kraftvärmeprod!$B$1:$BX$549,MATCH(H$2,Kraftvärmeprod!$B$1:$VX$1,0),FALSE)/1,0)-IFERROR(VLOOKUP($B8,'Slutlig allokering kvv'!$B$2:$BX$549,MATCH(H$2,'Slutlig allokering kvv'!$B$1:$BX$1,0),FALSE)/1,0))</f>
        <v/>
      </c>
      <c r="I8" s="121" t="str">
        <f>IF($D8="","",IFERROR(VLOOKUP($B8,Kraftvärmeprod!$B$1:$BX$549,MATCH(I$2,Kraftvärmeprod!$B$1:$VX$1,0),FALSE)/1,0)-IFERROR(VLOOKUP($B8,'Slutlig allokering kvv'!$B$2:$BX$549,MATCH(I$2,'Slutlig allokering kvv'!$B$1:$BX$1,0),FALSE)/1,0))</f>
        <v/>
      </c>
      <c r="J8" s="121" t="str">
        <f>IF($D8="","",IFERROR(VLOOKUP($B8,Kraftvärmeprod!$B$1:$BX$549,MATCH(J$2,Kraftvärmeprod!$B$1:$VX$1,0),FALSE)/1,0)-IFERROR(VLOOKUP($B8,'Slutlig allokering kvv'!$B$2:$BX$549,MATCH(J$2,'Slutlig allokering kvv'!$B$1:$BX$1,0),FALSE)/1,0))</f>
        <v/>
      </c>
      <c r="K8" s="121" t="str">
        <f>IF($D8="","",IFERROR(VLOOKUP($B8,Kraftvärmeprod!$B$1:$BX$549,MATCH(K$2,Kraftvärmeprod!$B$1:$VX$1,0),FALSE)/1,0)-IFERROR(VLOOKUP($B8,'Slutlig allokering kvv'!$B$2:$BX$549,MATCH(K$2,'Slutlig allokering kvv'!$B$1:$BX$1,0),FALSE)/1,0))</f>
        <v/>
      </c>
      <c r="L8" s="121" t="str">
        <f>IF($D8="","",IFERROR(VLOOKUP($B8,Kraftvärmeprod!$B$1:$BX$549,MATCH(L$2,Kraftvärmeprod!$B$1:$VX$1,0),FALSE)/1,0)-IFERROR(VLOOKUP($B8,'Slutlig allokering kvv'!$B$2:$BX$549,MATCH(L$2,'Slutlig allokering kvv'!$B$1:$BX$1,0),FALSE)/1,0))</f>
        <v/>
      </c>
      <c r="M8" s="121" t="str">
        <f>IF($D8="","",IFERROR(VLOOKUP($B8,Kraftvärmeprod!$B$1:$BX$549,MATCH(M$2,Kraftvärmeprod!$B$1:$VX$1,0),FALSE)/1,0)-IFERROR(VLOOKUP($B8,'Slutlig allokering kvv'!$B$2:$BX$549,MATCH(M$2,'Slutlig allokering kvv'!$B$1:$BX$1,0),FALSE)/1,0))</f>
        <v/>
      </c>
      <c r="N8" s="121" t="str">
        <f>IF($D8="","",IFERROR(VLOOKUP($B8,Kraftvärmeprod!$B$1:$BX$549,MATCH(N$2,Kraftvärmeprod!$B$1:$VX$1,0),FALSE)/1,0)-IFERROR(VLOOKUP($B8,'Slutlig allokering kvv'!$B$2:$BX$549,MATCH(N$2,'Slutlig allokering kvv'!$B$1:$BX$1,0),FALSE)/1,0))</f>
        <v/>
      </c>
      <c r="O8" s="121" t="str">
        <f>IF($D8="","",IFERROR(VLOOKUP($B8,Kraftvärmeprod!$B$1:$BX$549,MATCH(O$2,Kraftvärmeprod!$B$1:$VX$1,0),FALSE)/1,0)-IFERROR(VLOOKUP($B8,'Slutlig allokering kvv'!$B$2:$BX$549,MATCH(O$2,'Slutlig allokering kvv'!$B$1:$BX$1,0),FALSE)/1,0))</f>
        <v/>
      </c>
      <c r="P8" s="121" t="str">
        <f>IF($D8="","",IFERROR(VLOOKUP($B8,Kraftvärmeprod!$B$1:$BX$549,MATCH(P$2,Kraftvärmeprod!$B$1:$VX$1,0),FALSE)/1,0)-IFERROR(VLOOKUP($B8,'Slutlig allokering kvv'!$B$2:$BX$549,MATCH(P$2,'Slutlig allokering kvv'!$B$1:$BX$1,0),FALSE)/1,0))</f>
        <v/>
      </c>
      <c r="Q8" s="121" t="str">
        <f>IF($D8="","",IFERROR(VLOOKUP($B8,Kraftvärmeprod!$B$1:$BX$549,MATCH(Q$2,Kraftvärmeprod!$B$1:$VX$1,0),FALSE)/1,0)-IFERROR(VLOOKUP($B8,'Slutlig allokering kvv'!$B$2:$BX$549,MATCH(Q$2,'Slutlig allokering kvv'!$B$1:$BX$1,0),FALSE)/1,0))</f>
        <v/>
      </c>
      <c r="R8" s="121" t="str">
        <f>IF($D8="","",IFERROR(VLOOKUP($B8,Kraftvärmeprod!$B$1:$BX$549,MATCH(R$2,Kraftvärmeprod!$B$1:$VX$1,0),FALSE)/1,0)-IFERROR(VLOOKUP($B8,'Slutlig allokering kvv'!$B$2:$BX$549,MATCH(R$2,'Slutlig allokering kvv'!$B$1:$BX$1,0),FALSE)/1,0))</f>
        <v/>
      </c>
      <c r="S8" s="121" t="str">
        <f>IF($D8="","",IFERROR(VLOOKUP($B8,Kraftvärmeprod!$B$1:$BX$549,MATCH(S$2,Kraftvärmeprod!$B$1:$VX$1,0),FALSE)/1,0)-IFERROR(VLOOKUP($B8,'Slutlig allokering kvv'!$B$2:$BX$549,MATCH(S$2,'Slutlig allokering kvv'!$B$1:$BX$1,0),FALSE)/1,0))</f>
        <v/>
      </c>
      <c r="T8" s="121" t="str">
        <f>IF($D8="","",IFERROR(VLOOKUP($B8,Kraftvärmeprod!$B$1:$BX$549,MATCH(T$2,Kraftvärmeprod!$B$1:$VX$1,0),FALSE)/1,0)-IFERROR(VLOOKUP($B8,'Slutlig allokering kvv'!$B$2:$BX$549,MATCH(T$2,'Slutlig allokering kvv'!$B$1:$BX$1,0),FALSE)/1,0))</f>
        <v/>
      </c>
      <c r="U8" s="121" t="str">
        <f>IF($D8="","",IFERROR(VLOOKUP($B8,Kraftvärmeprod!$B$1:$BX$549,MATCH(U$2,Kraftvärmeprod!$B$1:$VX$1,0),FALSE)/1,0)-IFERROR(VLOOKUP($B8,'Slutlig allokering kvv'!$B$2:$BX$549,MATCH(U$2,'Slutlig allokering kvv'!$B$1:$BX$1,0),FALSE)/1,0))</f>
        <v/>
      </c>
      <c r="V8" s="121" t="str">
        <f>IF($D8="","",IFERROR(VLOOKUP($B8,Kraftvärmeprod!$B$1:$BX$549,MATCH(V$2,Kraftvärmeprod!$B$1:$VX$1,0),FALSE)/1,0)-IFERROR(VLOOKUP($B8,'Slutlig allokering kvv'!$B$2:$BX$549,MATCH(V$2,'Slutlig allokering kvv'!$B$1:$BX$1,0),FALSE)/1,0))</f>
        <v/>
      </c>
      <c r="W8" s="121" t="str">
        <f>IF($D8="","",IFERROR(VLOOKUP($B8,Kraftvärmeprod!$B$1:$BX$549,MATCH(W$2,Kraftvärmeprod!$B$1:$VX$1,0),FALSE)/1,0)-IFERROR(VLOOKUP($B8,'Slutlig allokering kvv'!$B$2:$BX$549,MATCH(W$2,'Slutlig allokering kvv'!$B$1:$BX$1,0),FALSE)/1,0))</f>
        <v/>
      </c>
      <c r="X8" s="121" t="str">
        <f>IF($D8="","",IFERROR(VLOOKUP($B8,Kraftvärmeprod!$B$1:$BX$549,MATCH(X$2,Kraftvärmeprod!$B$1:$VX$1,0),FALSE)/1,0)-IFERROR(VLOOKUP($B8,'Slutlig allokering kvv'!$B$2:$BX$549,MATCH(X$2,'Slutlig allokering kvv'!$B$1:$BX$1,0),FALSE)/1,0))</f>
        <v/>
      </c>
      <c r="Y8" s="121" t="str">
        <f>IF($D8="","",IFERROR(VLOOKUP($B8,Kraftvärmeprod!$B$1:$BX$549,MATCH(Y$2,Kraftvärmeprod!$B$1:$VX$1,0),FALSE)/1,0)-IFERROR(VLOOKUP($B8,'Slutlig allokering kvv'!$B$2:$BX$549,MATCH(Y$2,'Slutlig allokering kvv'!$B$1:$BX$1,0),FALSE)/1,0))</f>
        <v/>
      </c>
      <c r="Z8" s="121" t="str">
        <f>IF($D8="","",IFERROR(VLOOKUP($B8,Kraftvärmeprod!$B$1:$BX$549,MATCH(Z$2,Kraftvärmeprod!$B$1:$VX$1,0),FALSE)/1,0)-IFERROR(VLOOKUP($B8,'Slutlig allokering kvv'!$B$2:$BX$549,MATCH(Z$2,'Slutlig allokering kvv'!$B$1:$BX$1,0),FALSE)/1,0))</f>
        <v/>
      </c>
      <c r="AA8" s="121" t="str">
        <f>IF($D8="","",IFERROR(VLOOKUP($B8,Kraftvärmeprod!$B$1:$BX$549,MATCH(AA$2,Kraftvärmeprod!$B$1:$VX$1,0),FALSE)/1,0)-IFERROR(VLOOKUP($B8,'Slutlig allokering kvv'!$B$2:$BX$549,MATCH(AA$2,'Slutlig allokering kvv'!$B$1:$BX$1,0),FALSE)/1,0))</f>
        <v/>
      </c>
      <c r="AB8" s="121" t="str">
        <f>IF($D8="","",IFERROR(VLOOKUP($B8,Kraftvärmeprod!$B$1:$BX$549,MATCH(AB$2,Kraftvärmeprod!$B$1:$VX$1,0),FALSE)/1,0)-IFERROR(VLOOKUP($B8,'Slutlig allokering kvv'!$B$2:$BX$549,MATCH(AB$2,'Slutlig allokering kvv'!$B$1:$BX$1,0),FALSE)/1,0))</f>
        <v/>
      </c>
      <c r="AC8" s="121" t="str">
        <f>IF($D8="","",IFERROR(VLOOKUP($B8,Kraftvärmeprod!$B$1:$BX$549,MATCH(AC$2,Kraftvärmeprod!$B$1:$VX$1,0),FALSE)/1,0)-IFERROR(VLOOKUP($B8,'Slutlig allokering kvv'!$B$2:$BX$549,MATCH(AC$2,'Slutlig allokering kvv'!$B$1:$BX$1,0),FALSE)/1,0))</f>
        <v/>
      </c>
      <c r="AD8" s="121" t="str">
        <f>IF($D8="","",IFERROR(VLOOKUP($B8,Kraftvärmeprod!$B$1:$BX$549,MATCH(AD$2,Kraftvärmeprod!$B$1:$VX$1,0),FALSE)/1,0)-IFERROR(VLOOKUP($B8,'Slutlig allokering kvv'!$B$2:$BX$549,MATCH(AD$2,'Slutlig allokering kvv'!$B$1:$BX$1,0),FALSE)/1,0))</f>
        <v/>
      </c>
      <c r="AE8" s="121" t="str">
        <f>IF($D8="","",IFERROR(VLOOKUP($B8,Miljö!$B$1:$E$550,MATCH("Hjälpel kraftvärme (GWh)",Miljö!$B$1:$E$1,0),FALSE)/1,0)-IFERROR(VLOOKUP($B8,'Slutlig allokering kvv'!$B$2:$BX$549,MATCH(AE$2,'Slutlig allokering kvv'!$B$1:$BX$1,0),FALSE)/1,0))</f>
        <v/>
      </c>
      <c r="AI8" s="121">
        <f t="shared" si="0"/>
        <v>0</v>
      </c>
      <c r="AK8" s="121">
        <f>IFERROR(VLOOKUP($B8,'Slutlig allokering kvv'!$B$2:$AX$549,MATCH("Summa slutlig allokerad tillförd energi (utan hjälpel och rökgaskondensering):",'Slutlig allokering kvv'!$B$1:$AX$1,0),FALSE)/1,"")</f>
        <v>0</v>
      </c>
      <c r="AM8" s="172" t="str">
        <f>IFERROR(1-VLOOKUP($B8,'Slutlig allokering kvv'!$B$2:$AX$549,MATCH("Andel av bränsle i kvv som allokerats till värme, exklusive rökgaskondensering och hjälpel",'Slutlig allokering kvv'!$B$1:$AX$1,0),FALSE),"")</f>
        <v/>
      </c>
      <c r="AO8" s="172" t="str">
        <f t="shared" si="1"/>
        <v/>
      </c>
      <c r="AP8" s="173" t="str">
        <f t="shared" si="2"/>
        <v/>
      </c>
      <c r="AR8" s="172" t="str">
        <f t="shared" si="3"/>
        <v/>
      </c>
    </row>
    <row r="9" spans="1:46" x14ac:dyDescent="0.25">
      <c r="A9" s="171" t="str">
        <f>'Miljövärden för publ företag'!B11</f>
        <v>Adven Energilösningar AB</v>
      </c>
      <c r="B9" s="171" t="str">
        <f>'Miljövärden för publ företag'!C11</f>
        <v>Testnät</v>
      </c>
      <c r="C9" s="121" t="str">
        <f>IFERROR(VLOOKUP($B9,Kraftvärmeprod!$B$1:$AH$478,MATCH(C$2,Kraftvärmeprod!$B$1:$AG$1,0),FALSE)/1,"")</f>
        <v/>
      </c>
      <c r="D9" s="121" t="str">
        <f>IFERROR(VLOOKUP($B9,Kraftvärmeprod!$B$1:$AH$478,MATCH(D$2,Kraftvärmeprod!$B$1:$AG$1,0),FALSE)/1,"")</f>
        <v/>
      </c>
      <c r="F9" s="121" t="str">
        <f>IF($D9="","",IFERROR(VLOOKUP($B9,Kraftvärmeprod!$B$1:$BX$549,MATCH(F$2,Kraftvärmeprod!$B$1:$VX$1,0),FALSE)/1,0)-IFERROR(VLOOKUP($B9,'Slutlig allokering kvv'!$B$2:$BX$549,MATCH(F$2,'Slutlig allokering kvv'!$B$1:$BX$1,0),FALSE)/1,0))</f>
        <v/>
      </c>
      <c r="G9" s="121" t="str">
        <f>IF($D9="","",IFERROR(VLOOKUP($B9,Kraftvärmeprod!$B$1:$BX$549,MATCH(G$2,Kraftvärmeprod!$B$1:$VX$1,0),FALSE)/1,0)-IFERROR(VLOOKUP($B9,'Slutlig allokering kvv'!$B$2:$BX$549,MATCH(G$2,'Slutlig allokering kvv'!$B$1:$BX$1,0),FALSE)/1,0))</f>
        <v/>
      </c>
      <c r="H9" s="121" t="str">
        <f>IF($D9="","",IFERROR(VLOOKUP($B9,Kraftvärmeprod!$B$1:$BX$549,MATCH(H$2,Kraftvärmeprod!$B$1:$VX$1,0),FALSE)/1,0)-IFERROR(VLOOKUP($B9,'Slutlig allokering kvv'!$B$2:$BX$549,MATCH(H$2,'Slutlig allokering kvv'!$B$1:$BX$1,0),FALSE)/1,0))</f>
        <v/>
      </c>
      <c r="I9" s="121" t="str">
        <f>IF($D9="","",IFERROR(VLOOKUP($B9,Kraftvärmeprod!$B$1:$BX$549,MATCH(I$2,Kraftvärmeprod!$B$1:$VX$1,0),FALSE)/1,0)-IFERROR(VLOOKUP($B9,'Slutlig allokering kvv'!$B$2:$BX$549,MATCH(I$2,'Slutlig allokering kvv'!$B$1:$BX$1,0),FALSE)/1,0))</f>
        <v/>
      </c>
      <c r="J9" s="121" t="str">
        <f>IF($D9="","",IFERROR(VLOOKUP($B9,Kraftvärmeprod!$B$1:$BX$549,MATCH(J$2,Kraftvärmeprod!$B$1:$VX$1,0),FALSE)/1,0)-IFERROR(VLOOKUP($B9,'Slutlig allokering kvv'!$B$2:$BX$549,MATCH(J$2,'Slutlig allokering kvv'!$B$1:$BX$1,0),FALSE)/1,0))</f>
        <v/>
      </c>
      <c r="K9" s="121" t="str">
        <f>IF($D9="","",IFERROR(VLOOKUP($B9,Kraftvärmeprod!$B$1:$BX$549,MATCH(K$2,Kraftvärmeprod!$B$1:$VX$1,0),FALSE)/1,0)-IFERROR(VLOOKUP($B9,'Slutlig allokering kvv'!$B$2:$BX$549,MATCH(K$2,'Slutlig allokering kvv'!$B$1:$BX$1,0),FALSE)/1,0))</f>
        <v/>
      </c>
      <c r="L9" s="121" t="str">
        <f>IF($D9="","",IFERROR(VLOOKUP($B9,Kraftvärmeprod!$B$1:$BX$549,MATCH(L$2,Kraftvärmeprod!$B$1:$VX$1,0),FALSE)/1,0)-IFERROR(VLOOKUP($B9,'Slutlig allokering kvv'!$B$2:$BX$549,MATCH(L$2,'Slutlig allokering kvv'!$B$1:$BX$1,0),FALSE)/1,0))</f>
        <v/>
      </c>
      <c r="M9" s="121" t="str">
        <f>IF($D9="","",IFERROR(VLOOKUP($B9,Kraftvärmeprod!$B$1:$BX$549,MATCH(M$2,Kraftvärmeprod!$B$1:$VX$1,0),FALSE)/1,0)-IFERROR(VLOOKUP($B9,'Slutlig allokering kvv'!$B$2:$BX$549,MATCH(M$2,'Slutlig allokering kvv'!$B$1:$BX$1,0),FALSE)/1,0))</f>
        <v/>
      </c>
      <c r="N9" s="121" t="str">
        <f>IF($D9="","",IFERROR(VLOOKUP($B9,Kraftvärmeprod!$B$1:$BX$549,MATCH(N$2,Kraftvärmeprod!$B$1:$VX$1,0),FALSE)/1,0)-IFERROR(VLOOKUP($B9,'Slutlig allokering kvv'!$B$2:$BX$549,MATCH(N$2,'Slutlig allokering kvv'!$B$1:$BX$1,0),FALSE)/1,0))</f>
        <v/>
      </c>
      <c r="O9" s="121" t="str">
        <f>IF($D9="","",IFERROR(VLOOKUP($B9,Kraftvärmeprod!$B$1:$BX$549,MATCH(O$2,Kraftvärmeprod!$B$1:$VX$1,0),FALSE)/1,0)-IFERROR(VLOOKUP($B9,'Slutlig allokering kvv'!$B$2:$BX$549,MATCH(O$2,'Slutlig allokering kvv'!$B$1:$BX$1,0),FALSE)/1,0))</f>
        <v/>
      </c>
      <c r="P9" s="121" t="str">
        <f>IF($D9="","",IFERROR(VLOOKUP($B9,Kraftvärmeprod!$B$1:$BX$549,MATCH(P$2,Kraftvärmeprod!$B$1:$VX$1,0),FALSE)/1,0)-IFERROR(VLOOKUP($B9,'Slutlig allokering kvv'!$B$2:$BX$549,MATCH(P$2,'Slutlig allokering kvv'!$B$1:$BX$1,0),FALSE)/1,0))</f>
        <v/>
      </c>
      <c r="Q9" s="121" t="str">
        <f>IF($D9="","",IFERROR(VLOOKUP($B9,Kraftvärmeprod!$B$1:$BX$549,MATCH(Q$2,Kraftvärmeprod!$B$1:$VX$1,0),FALSE)/1,0)-IFERROR(VLOOKUP($B9,'Slutlig allokering kvv'!$B$2:$BX$549,MATCH(Q$2,'Slutlig allokering kvv'!$B$1:$BX$1,0),FALSE)/1,0))</f>
        <v/>
      </c>
      <c r="R9" s="121" t="str">
        <f>IF($D9="","",IFERROR(VLOOKUP($B9,Kraftvärmeprod!$B$1:$BX$549,MATCH(R$2,Kraftvärmeprod!$B$1:$VX$1,0),FALSE)/1,0)-IFERROR(VLOOKUP($B9,'Slutlig allokering kvv'!$B$2:$BX$549,MATCH(R$2,'Slutlig allokering kvv'!$B$1:$BX$1,0),FALSE)/1,0))</f>
        <v/>
      </c>
      <c r="S9" s="121" t="str">
        <f>IF($D9="","",IFERROR(VLOOKUP($B9,Kraftvärmeprod!$B$1:$BX$549,MATCH(S$2,Kraftvärmeprod!$B$1:$VX$1,0),FALSE)/1,0)-IFERROR(VLOOKUP($B9,'Slutlig allokering kvv'!$B$2:$BX$549,MATCH(S$2,'Slutlig allokering kvv'!$B$1:$BX$1,0),FALSE)/1,0))</f>
        <v/>
      </c>
      <c r="T9" s="121" t="str">
        <f>IF($D9="","",IFERROR(VLOOKUP($B9,Kraftvärmeprod!$B$1:$BX$549,MATCH(T$2,Kraftvärmeprod!$B$1:$VX$1,0),FALSE)/1,0)-IFERROR(VLOOKUP($B9,'Slutlig allokering kvv'!$B$2:$BX$549,MATCH(T$2,'Slutlig allokering kvv'!$B$1:$BX$1,0),FALSE)/1,0))</f>
        <v/>
      </c>
      <c r="U9" s="121" t="str">
        <f>IF($D9="","",IFERROR(VLOOKUP($B9,Kraftvärmeprod!$B$1:$BX$549,MATCH(U$2,Kraftvärmeprod!$B$1:$VX$1,0),FALSE)/1,0)-IFERROR(VLOOKUP($B9,'Slutlig allokering kvv'!$B$2:$BX$549,MATCH(U$2,'Slutlig allokering kvv'!$B$1:$BX$1,0),FALSE)/1,0))</f>
        <v/>
      </c>
      <c r="V9" s="121" t="str">
        <f>IF($D9="","",IFERROR(VLOOKUP($B9,Kraftvärmeprod!$B$1:$BX$549,MATCH(V$2,Kraftvärmeprod!$B$1:$VX$1,0),FALSE)/1,0)-IFERROR(VLOOKUP($B9,'Slutlig allokering kvv'!$B$2:$BX$549,MATCH(V$2,'Slutlig allokering kvv'!$B$1:$BX$1,0),FALSE)/1,0))</f>
        <v/>
      </c>
      <c r="W9" s="121" t="str">
        <f>IF($D9="","",IFERROR(VLOOKUP($B9,Kraftvärmeprod!$B$1:$BX$549,MATCH(W$2,Kraftvärmeprod!$B$1:$VX$1,0),FALSE)/1,0)-IFERROR(VLOOKUP($B9,'Slutlig allokering kvv'!$B$2:$BX$549,MATCH(W$2,'Slutlig allokering kvv'!$B$1:$BX$1,0),FALSE)/1,0))</f>
        <v/>
      </c>
      <c r="X9" s="121" t="str">
        <f>IF($D9="","",IFERROR(VLOOKUP($B9,Kraftvärmeprod!$B$1:$BX$549,MATCH(X$2,Kraftvärmeprod!$B$1:$VX$1,0),FALSE)/1,0)-IFERROR(VLOOKUP($B9,'Slutlig allokering kvv'!$B$2:$BX$549,MATCH(X$2,'Slutlig allokering kvv'!$B$1:$BX$1,0),FALSE)/1,0))</f>
        <v/>
      </c>
      <c r="Y9" s="121" t="str">
        <f>IF($D9="","",IFERROR(VLOOKUP($B9,Kraftvärmeprod!$B$1:$BX$549,MATCH(Y$2,Kraftvärmeprod!$B$1:$VX$1,0),FALSE)/1,0)-IFERROR(VLOOKUP($B9,'Slutlig allokering kvv'!$B$2:$BX$549,MATCH(Y$2,'Slutlig allokering kvv'!$B$1:$BX$1,0),FALSE)/1,0))</f>
        <v/>
      </c>
      <c r="Z9" s="121" t="str">
        <f>IF($D9="","",IFERROR(VLOOKUP($B9,Kraftvärmeprod!$B$1:$BX$549,MATCH(Z$2,Kraftvärmeprod!$B$1:$VX$1,0),FALSE)/1,0)-IFERROR(VLOOKUP($B9,'Slutlig allokering kvv'!$B$2:$BX$549,MATCH(Z$2,'Slutlig allokering kvv'!$B$1:$BX$1,0),FALSE)/1,0))</f>
        <v/>
      </c>
      <c r="AA9" s="121" t="str">
        <f>IF($D9="","",IFERROR(VLOOKUP($B9,Kraftvärmeprod!$B$1:$BX$549,MATCH(AA$2,Kraftvärmeprod!$B$1:$VX$1,0),FALSE)/1,0)-IFERROR(VLOOKUP($B9,'Slutlig allokering kvv'!$B$2:$BX$549,MATCH(AA$2,'Slutlig allokering kvv'!$B$1:$BX$1,0),FALSE)/1,0))</f>
        <v/>
      </c>
      <c r="AB9" s="121" t="str">
        <f>IF($D9="","",IFERROR(VLOOKUP($B9,Kraftvärmeprod!$B$1:$BX$549,MATCH(AB$2,Kraftvärmeprod!$B$1:$VX$1,0),FALSE)/1,0)-IFERROR(VLOOKUP($B9,'Slutlig allokering kvv'!$B$2:$BX$549,MATCH(AB$2,'Slutlig allokering kvv'!$B$1:$BX$1,0),FALSE)/1,0))</f>
        <v/>
      </c>
      <c r="AC9" s="121" t="str">
        <f>IF($D9="","",IFERROR(VLOOKUP($B9,Kraftvärmeprod!$B$1:$BX$549,MATCH(AC$2,Kraftvärmeprod!$B$1:$VX$1,0),FALSE)/1,0)-IFERROR(VLOOKUP($B9,'Slutlig allokering kvv'!$B$2:$BX$549,MATCH(AC$2,'Slutlig allokering kvv'!$B$1:$BX$1,0),FALSE)/1,0))</f>
        <v/>
      </c>
      <c r="AD9" s="121" t="str">
        <f>IF($D9="","",IFERROR(VLOOKUP($B9,Kraftvärmeprod!$B$1:$BX$549,MATCH(AD$2,Kraftvärmeprod!$B$1:$VX$1,0),FALSE)/1,0)-IFERROR(VLOOKUP($B9,'Slutlig allokering kvv'!$B$2:$BX$549,MATCH(AD$2,'Slutlig allokering kvv'!$B$1:$BX$1,0),FALSE)/1,0))</f>
        <v/>
      </c>
      <c r="AE9" s="121" t="str">
        <f>IF($D9="","",IFERROR(VLOOKUP($B9,Miljö!$B$1:$E$550,MATCH("Hjälpel kraftvärme (GWh)",Miljö!$B$1:$E$1,0),FALSE)/1,0)-IFERROR(VLOOKUP($B9,'Slutlig allokering kvv'!$B$2:$BX$549,MATCH(AE$2,'Slutlig allokering kvv'!$B$1:$BX$1,0),FALSE)/1,0))</f>
        <v/>
      </c>
      <c r="AI9" s="121">
        <f t="shared" si="0"/>
        <v>0</v>
      </c>
      <c r="AK9" s="121" t="str">
        <f>IFERROR(VLOOKUP($B9,'Slutlig allokering kvv'!$B$2:$AX$549,MATCH("Summa slutlig allokerad tillförd energi (utan hjälpel och rökgaskondensering):",'Slutlig allokering kvv'!$B$1:$AX$1,0),FALSE)/1,"")</f>
        <v/>
      </c>
      <c r="AM9" s="172" t="str">
        <f>IFERROR(1-VLOOKUP($B9,'Slutlig allokering kvv'!$B$2:$AX$549,MATCH("Andel av bränsle i kvv som allokerats till värme, exklusive rökgaskondensering och hjälpel",'Slutlig allokering kvv'!$B$1:$AX$1,0),FALSE),"")</f>
        <v/>
      </c>
      <c r="AO9" s="172" t="str">
        <f t="shared" si="1"/>
        <v/>
      </c>
      <c r="AP9" s="173" t="str">
        <f t="shared" si="2"/>
        <v/>
      </c>
      <c r="AR9" s="172" t="str">
        <f t="shared" si="3"/>
        <v/>
      </c>
    </row>
    <row r="10" spans="1:46" x14ac:dyDescent="0.25">
      <c r="A10" s="171" t="str">
        <f>'Miljövärden för publ företag'!B12</f>
        <v>Adven Energilösningar AB</v>
      </c>
      <c r="B10" s="171" t="str">
        <f>'Miljövärden för publ företag'!C12</f>
        <v>Timrå</v>
      </c>
      <c r="C10" s="121" t="str">
        <f>IFERROR(VLOOKUP($B10,Kraftvärmeprod!$B$1:$AH$478,MATCH(C$2,Kraftvärmeprod!$B$1:$AG$1,0),FALSE)/1,"")</f>
        <v/>
      </c>
      <c r="D10" s="121" t="str">
        <f>IFERROR(VLOOKUP($B10,Kraftvärmeprod!$B$1:$AH$478,MATCH(D$2,Kraftvärmeprod!$B$1:$AG$1,0),FALSE)/1,"")</f>
        <v/>
      </c>
      <c r="F10" s="121" t="str">
        <f>IF($D10="","",IFERROR(VLOOKUP($B10,Kraftvärmeprod!$B$1:$BX$549,MATCH(F$2,Kraftvärmeprod!$B$1:$VX$1,0),FALSE)/1,0)-IFERROR(VLOOKUP($B10,'Slutlig allokering kvv'!$B$2:$BX$549,MATCH(F$2,'Slutlig allokering kvv'!$B$1:$BX$1,0),FALSE)/1,0))</f>
        <v/>
      </c>
      <c r="G10" s="121" t="str">
        <f>IF($D10="","",IFERROR(VLOOKUP($B10,Kraftvärmeprod!$B$1:$BX$549,MATCH(G$2,Kraftvärmeprod!$B$1:$VX$1,0),FALSE)/1,0)-IFERROR(VLOOKUP($B10,'Slutlig allokering kvv'!$B$2:$BX$549,MATCH(G$2,'Slutlig allokering kvv'!$B$1:$BX$1,0),FALSE)/1,0))</f>
        <v/>
      </c>
      <c r="H10" s="121" t="str">
        <f>IF($D10="","",IFERROR(VLOOKUP($B10,Kraftvärmeprod!$B$1:$BX$549,MATCH(H$2,Kraftvärmeprod!$B$1:$VX$1,0),FALSE)/1,0)-IFERROR(VLOOKUP($B10,'Slutlig allokering kvv'!$B$2:$BX$549,MATCH(H$2,'Slutlig allokering kvv'!$B$1:$BX$1,0),FALSE)/1,0))</f>
        <v/>
      </c>
      <c r="I10" s="121" t="str">
        <f>IF($D10="","",IFERROR(VLOOKUP($B10,Kraftvärmeprod!$B$1:$BX$549,MATCH(I$2,Kraftvärmeprod!$B$1:$VX$1,0),FALSE)/1,0)-IFERROR(VLOOKUP($B10,'Slutlig allokering kvv'!$B$2:$BX$549,MATCH(I$2,'Slutlig allokering kvv'!$B$1:$BX$1,0),FALSE)/1,0))</f>
        <v/>
      </c>
      <c r="J10" s="121" t="str">
        <f>IF($D10="","",IFERROR(VLOOKUP($B10,Kraftvärmeprod!$B$1:$BX$549,MATCH(J$2,Kraftvärmeprod!$B$1:$VX$1,0),FALSE)/1,0)-IFERROR(VLOOKUP($B10,'Slutlig allokering kvv'!$B$2:$BX$549,MATCH(J$2,'Slutlig allokering kvv'!$B$1:$BX$1,0),FALSE)/1,0))</f>
        <v/>
      </c>
      <c r="K10" s="121" t="str">
        <f>IF($D10="","",IFERROR(VLOOKUP($B10,Kraftvärmeprod!$B$1:$BX$549,MATCH(K$2,Kraftvärmeprod!$B$1:$VX$1,0),FALSE)/1,0)-IFERROR(VLOOKUP($B10,'Slutlig allokering kvv'!$B$2:$BX$549,MATCH(K$2,'Slutlig allokering kvv'!$B$1:$BX$1,0),FALSE)/1,0))</f>
        <v/>
      </c>
      <c r="L10" s="121" t="str">
        <f>IF($D10="","",IFERROR(VLOOKUP($B10,Kraftvärmeprod!$B$1:$BX$549,MATCH(L$2,Kraftvärmeprod!$B$1:$VX$1,0),FALSE)/1,0)-IFERROR(VLOOKUP($B10,'Slutlig allokering kvv'!$B$2:$BX$549,MATCH(L$2,'Slutlig allokering kvv'!$B$1:$BX$1,0),FALSE)/1,0))</f>
        <v/>
      </c>
      <c r="M10" s="121" t="str">
        <f>IF($D10="","",IFERROR(VLOOKUP($B10,Kraftvärmeprod!$B$1:$BX$549,MATCH(M$2,Kraftvärmeprod!$B$1:$VX$1,0),FALSE)/1,0)-IFERROR(VLOOKUP($B10,'Slutlig allokering kvv'!$B$2:$BX$549,MATCH(M$2,'Slutlig allokering kvv'!$B$1:$BX$1,0),FALSE)/1,0))</f>
        <v/>
      </c>
      <c r="N10" s="121" t="str">
        <f>IF($D10="","",IFERROR(VLOOKUP($B10,Kraftvärmeprod!$B$1:$BX$549,MATCH(N$2,Kraftvärmeprod!$B$1:$VX$1,0),FALSE)/1,0)-IFERROR(VLOOKUP($B10,'Slutlig allokering kvv'!$B$2:$BX$549,MATCH(N$2,'Slutlig allokering kvv'!$B$1:$BX$1,0),FALSE)/1,0))</f>
        <v/>
      </c>
      <c r="O10" s="121" t="str">
        <f>IF($D10="","",IFERROR(VLOOKUP($B10,Kraftvärmeprod!$B$1:$BX$549,MATCH(O$2,Kraftvärmeprod!$B$1:$VX$1,0),FALSE)/1,0)-IFERROR(VLOOKUP($B10,'Slutlig allokering kvv'!$B$2:$BX$549,MATCH(O$2,'Slutlig allokering kvv'!$B$1:$BX$1,0),FALSE)/1,0))</f>
        <v/>
      </c>
      <c r="P10" s="121" t="str">
        <f>IF($D10="","",IFERROR(VLOOKUP($B10,Kraftvärmeprod!$B$1:$BX$549,MATCH(P$2,Kraftvärmeprod!$B$1:$VX$1,0),FALSE)/1,0)-IFERROR(VLOOKUP($B10,'Slutlig allokering kvv'!$B$2:$BX$549,MATCH(P$2,'Slutlig allokering kvv'!$B$1:$BX$1,0),FALSE)/1,0))</f>
        <v/>
      </c>
      <c r="Q10" s="121" t="str">
        <f>IF($D10="","",IFERROR(VLOOKUP($B10,Kraftvärmeprod!$B$1:$BX$549,MATCH(Q$2,Kraftvärmeprod!$B$1:$VX$1,0),FALSE)/1,0)-IFERROR(VLOOKUP($B10,'Slutlig allokering kvv'!$B$2:$BX$549,MATCH(Q$2,'Slutlig allokering kvv'!$B$1:$BX$1,0),FALSE)/1,0))</f>
        <v/>
      </c>
      <c r="R10" s="121" t="str">
        <f>IF($D10="","",IFERROR(VLOOKUP($B10,Kraftvärmeprod!$B$1:$BX$549,MATCH(R$2,Kraftvärmeprod!$B$1:$VX$1,0),FALSE)/1,0)-IFERROR(VLOOKUP($B10,'Slutlig allokering kvv'!$B$2:$BX$549,MATCH(R$2,'Slutlig allokering kvv'!$B$1:$BX$1,0),FALSE)/1,0))</f>
        <v/>
      </c>
      <c r="S10" s="121" t="str">
        <f>IF($D10="","",IFERROR(VLOOKUP($B10,Kraftvärmeprod!$B$1:$BX$549,MATCH(S$2,Kraftvärmeprod!$B$1:$VX$1,0),FALSE)/1,0)-IFERROR(VLOOKUP($B10,'Slutlig allokering kvv'!$B$2:$BX$549,MATCH(S$2,'Slutlig allokering kvv'!$B$1:$BX$1,0),FALSE)/1,0))</f>
        <v/>
      </c>
      <c r="T10" s="121" t="str">
        <f>IF($D10="","",IFERROR(VLOOKUP($B10,Kraftvärmeprod!$B$1:$BX$549,MATCH(T$2,Kraftvärmeprod!$B$1:$VX$1,0),FALSE)/1,0)-IFERROR(VLOOKUP($B10,'Slutlig allokering kvv'!$B$2:$BX$549,MATCH(T$2,'Slutlig allokering kvv'!$B$1:$BX$1,0),FALSE)/1,0))</f>
        <v/>
      </c>
      <c r="U10" s="121" t="str">
        <f>IF($D10="","",IFERROR(VLOOKUP($B10,Kraftvärmeprod!$B$1:$BX$549,MATCH(U$2,Kraftvärmeprod!$B$1:$VX$1,0),FALSE)/1,0)-IFERROR(VLOOKUP($B10,'Slutlig allokering kvv'!$B$2:$BX$549,MATCH(U$2,'Slutlig allokering kvv'!$B$1:$BX$1,0),FALSE)/1,0))</f>
        <v/>
      </c>
      <c r="V10" s="121" t="str">
        <f>IF($D10="","",IFERROR(VLOOKUP($B10,Kraftvärmeprod!$B$1:$BX$549,MATCH(V$2,Kraftvärmeprod!$B$1:$VX$1,0),FALSE)/1,0)-IFERROR(VLOOKUP($B10,'Slutlig allokering kvv'!$B$2:$BX$549,MATCH(V$2,'Slutlig allokering kvv'!$B$1:$BX$1,0),FALSE)/1,0))</f>
        <v/>
      </c>
      <c r="W10" s="121" t="str">
        <f>IF($D10="","",IFERROR(VLOOKUP($B10,Kraftvärmeprod!$B$1:$BX$549,MATCH(W$2,Kraftvärmeprod!$B$1:$VX$1,0),FALSE)/1,0)-IFERROR(VLOOKUP($B10,'Slutlig allokering kvv'!$B$2:$BX$549,MATCH(W$2,'Slutlig allokering kvv'!$B$1:$BX$1,0),FALSE)/1,0))</f>
        <v/>
      </c>
      <c r="X10" s="121" t="str">
        <f>IF($D10="","",IFERROR(VLOOKUP($B10,Kraftvärmeprod!$B$1:$BX$549,MATCH(X$2,Kraftvärmeprod!$B$1:$VX$1,0),FALSE)/1,0)-IFERROR(VLOOKUP($B10,'Slutlig allokering kvv'!$B$2:$BX$549,MATCH(X$2,'Slutlig allokering kvv'!$B$1:$BX$1,0),FALSE)/1,0))</f>
        <v/>
      </c>
      <c r="Y10" s="121" t="str">
        <f>IF($D10="","",IFERROR(VLOOKUP($B10,Kraftvärmeprod!$B$1:$BX$549,MATCH(Y$2,Kraftvärmeprod!$B$1:$VX$1,0),FALSE)/1,0)-IFERROR(VLOOKUP($B10,'Slutlig allokering kvv'!$B$2:$BX$549,MATCH(Y$2,'Slutlig allokering kvv'!$B$1:$BX$1,0),FALSE)/1,0))</f>
        <v/>
      </c>
      <c r="Z10" s="121" t="str">
        <f>IF($D10="","",IFERROR(VLOOKUP($B10,Kraftvärmeprod!$B$1:$BX$549,MATCH(Z$2,Kraftvärmeprod!$B$1:$VX$1,0),FALSE)/1,0)-IFERROR(VLOOKUP($B10,'Slutlig allokering kvv'!$B$2:$BX$549,MATCH(Z$2,'Slutlig allokering kvv'!$B$1:$BX$1,0),FALSE)/1,0))</f>
        <v/>
      </c>
      <c r="AA10" s="121" t="str">
        <f>IF($D10="","",IFERROR(VLOOKUP($B10,Kraftvärmeprod!$B$1:$BX$549,MATCH(AA$2,Kraftvärmeprod!$B$1:$VX$1,0),FALSE)/1,0)-IFERROR(VLOOKUP($B10,'Slutlig allokering kvv'!$B$2:$BX$549,MATCH(AA$2,'Slutlig allokering kvv'!$B$1:$BX$1,0),FALSE)/1,0))</f>
        <v/>
      </c>
      <c r="AB10" s="121" t="str">
        <f>IF($D10="","",IFERROR(VLOOKUP($B10,Kraftvärmeprod!$B$1:$BX$549,MATCH(AB$2,Kraftvärmeprod!$B$1:$VX$1,0),FALSE)/1,0)-IFERROR(VLOOKUP($B10,'Slutlig allokering kvv'!$B$2:$BX$549,MATCH(AB$2,'Slutlig allokering kvv'!$B$1:$BX$1,0),FALSE)/1,0))</f>
        <v/>
      </c>
      <c r="AC10" s="121" t="str">
        <f>IF($D10="","",IFERROR(VLOOKUP($B10,Kraftvärmeprod!$B$1:$BX$549,MATCH(AC$2,Kraftvärmeprod!$B$1:$VX$1,0),FALSE)/1,0)-IFERROR(VLOOKUP($B10,'Slutlig allokering kvv'!$B$2:$BX$549,MATCH(AC$2,'Slutlig allokering kvv'!$B$1:$BX$1,0),FALSE)/1,0))</f>
        <v/>
      </c>
      <c r="AD10" s="121" t="str">
        <f>IF($D10="","",IFERROR(VLOOKUP($B10,Kraftvärmeprod!$B$1:$BX$549,MATCH(AD$2,Kraftvärmeprod!$B$1:$VX$1,0),FALSE)/1,0)-IFERROR(VLOOKUP($B10,'Slutlig allokering kvv'!$B$2:$BX$549,MATCH(AD$2,'Slutlig allokering kvv'!$B$1:$BX$1,0),FALSE)/1,0))</f>
        <v/>
      </c>
      <c r="AE10" s="121" t="str">
        <f>IF($D10="","",IFERROR(VLOOKUP($B10,Miljö!$B$1:$E$550,MATCH("Hjälpel kraftvärme (GWh)",Miljö!$B$1:$E$1,0),FALSE)/1,0)-IFERROR(VLOOKUP($B10,'Slutlig allokering kvv'!$B$2:$BX$549,MATCH(AE$2,'Slutlig allokering kvv'!$B$1:$BX$1,0),FALSE)/1,0))</f>
        <v/>
      </c>
      <c r="AI10" s="121">
        <f t="shared" si="0"/>
        <v>0</v>
      </c>
      <c r="AK10" s="121">
        <f>IFERROR(VLOOKUP($B10,'Slutlig allokering kvv'!$B$2:$AX$549,MATCH("Summa slutlig allokerad tillförd energi (utan hjälpel och rökgaskondensering):",'Slutlig allokering kvv'!$B$1:$AX$1,0),FALSE)/1,"")</f>
        <v>0</v>
      </c>
      <c r="AM10" s="172" t="str">
        <f>IFERROR(1-VLOOKUP($B10,'Slutlig allokering kvv'!$B$2:$AX$549,MATCH("Andel av bränsle i kvv som allokerats till värme, exklusive rökgaskondensering och hjälpel",'Slutlig allokering kvv'!$B$1:$AX$1,0),FALSE),"")</f>
        <v/>
      </c>
      <c r="AO10" s="172" t="str">
        <f t="shared" si="1"/>
        <v/>
      </c>
      <c r="AP10" s="173" t="str">
        <f t="shared" si="2"/>
        <v/>
      </c>
      <c r="AR10" s="172" t="str">
        <f t="shared" si="3"/>
        <v/>
      </c>
    </row>
    <row r="11" spans="1:46" x14ac:dyDescent="0.25">
      <c r="A11" s="171" t="str">
        <f>'Miljövärden för publ företag'!B13</f>
        <v>Adven Energilösningar AB</v>
      </c>
      <c r="B11" s="171" t="str">
        <f>'Miljövärden för publ företag'!C13</f>
        <v>Vaxholm</v>
      </c>
      <c r="C11" s="121" t="str">
        <f>IFERROR(VLOOKUP($B11,Kraftvärmeprod!$B$1:$AH$478,MATCH(C$2,Kraftvärmeprod!$B$1:$AG$1,0),FALSE)/1,"")</f>
        <v/>
      </c>
      <c r="D11" s="121" t="str">
        <f>IFERROR(VLOOKUP($B11,Kraftvärmeprod!$B$1:$AH$478,MATCH(D$2,Kraftvärmeprod!$B$1:$AG$1,0),FALSE)/1,"")</f>
        <v/>
      </c>
      <c r="F11" s="121" t="str">
        <f>IF($D11="","",IFERROR(VLOOKUP($B11,Kraftvärmeprod!$B$1:$BX$549,MATCH(F$2,Kraftvärmeprod!$B$1:$VX$1,0),FALSE)/1,0)-IFERROR(VLOOKUP($B11,'Slutlig allokering kvv'!$B$2:$BX$549,MATCH(F$2,'Slutlig allokering kvv'!$B$1:$BX$1,0),FALSE)/1,0))</f>
        <v/>
      </c>
      <c r="G11" s="121" t="str">
        <f>IF($D11="","",IFERROR(VLOOKUP($B11,Kraftvärmeprod!$B$1:$BX$549,MATCH(G$2,Kraftvärmeprod!$B$1:$VX$1,0),FALSE)/1,0)-IFERROR(VLOOKUP($B11,'Slutlig allokering kvv'!$B$2:$BX$549,MATCH(G$2,'Slutlig allokering kvv'!$B$1:$BX$1,0),FALSE)/1,0))</f>
        <v/>
      </c>
      <c r="H11" s="121" t="str">
        <f>IF($D11="","",IFERROR(VLOOKUP($B11,Kraftvärmeprod!$B$1:$BX$549,MATCH(H$2,Kraftvärmeprod!$B$1:$VX$1,0),FALSE)/1,0)-IFERROR(VLOOKUP($B11,'Slutlig allokering kvv'!$B$2:$BX$549,MATCH(H$2,'Slutlig allokering kvv'!$B$1:$BX$1,0),FALSE)/1,0))</f>
        <v/>
      </c>
      <c r="I11" s="121" t="str">
        <f>IF($D11="","",IFERROR(VLOOKUP($B11,Kraftvärmeprod!$B$1:$BX$549,MATCH(I$2,Kraftvärmeprod!$B$1:$VX$1,0),FALSE)/1,0)-IFERROR(VLOOKUP($B11,'Slutlig allokering kvv'!$B$2:$BX$549,MATCH(I$2,'Slutlig allokering kvv'!$B$1:$BX$1,0),FALSE)/1,0))</f>
        <v/>
      </c>
      <c r="J11" s="121" t="str">
        <f>IF($D11="","",IFERROR(VLOOKUP($B11,Kraftvärmeprod!$B$1:$BX$549,MATCH(J$2,Kraftvärmeprod!$B$1:$VX$1,0),FALSE)/1,0)-IFERROR(VLOOKUP($B11,'Slutlig allokering kvv'!$B$2:$BX$549,MATCH(J$2,'Slutlig allokering kvv'!$B$1:$BX$1,0),FALSE)/1,0))</f>
        <v/>
      </c>
      <c r="K11" s="121" t="str">
        <f>IF($D11="","",IFERROR(VLOOKUP($B11,Kraftvärmeprod!$B$1:$BX$549,MATCH(K$2,Kraftvärmeprod!$B$1:$VX$1,0),FALSE)/1,0)-IFERROR(VLOOKUP($B11,'Slutlig allokering kvv'!$B$2:$BX$549,MATCH(K$2,'Slutlig allokering kvv'!$B$1:$BX$1,0),FALSE)/1,0))</f>
        <v/>
      </c>
      <c r="L11" s="121" t="str">
        <f>IF($D11="","",IFERROR(VLOOKUP($B11,Kraftvärmeprod!$B$1:$BX$549,MATCH(L$2,Kraftvärmeprod!$B$1:$VX$1,0),FALSE)/1,0)-IFERROR(VLOOKUP($B11,'Slutlig allokering kvv'!$B$2:$BX$549,MATCH(L$2,'Slutlig allokering kvv'!$B$1:$BX$1,0),FALSE)/1,0))</f>
        <v/>
      </c>
      <c r="M11" s="121" t="str">
        <f>IF($D11="","",IFERROR(VLOOKUP($B11,Kraftvärmeprod!$B$1:$BX$549,MATCH(M$2,Kraftvärmeprod!$B$1:$VX$1,0),FALSE)/1,0)-IFERROR(VLOOKUP($B11,'Slutlig allokering kvv'!$B$2:$BX$549,MATCH(M$2,'Slutlig allokering kvv'!$B$1:$BX$1,0),FALSE)/1,0))</f>
        <v/>
      </c>
      <c r="N11" s="121" t="str">
        <f>IF($D11="","",IFERROR(VLOOKUP($B11,Kraftvärmeprod!$B$1:$BX$549,MATCH(N$2,Kraftvärmeprod!$B$1:$VX$1,0),FALSE)/1,0)-IFERROR(VLOOKUP($B11,'Slutlig allokering kvv'!$B$2:$BX$549,MATCH(N$2,'Slutlig allokering kvv'!$B$1:$BX$1,0),FALSE)/1,0))</f>
        <v/>
      </c>
      <c r="O11" s="121" t="str">
        <f>IF($D11="","",IFERROR(VLOOKUP($B11,Kraftvärmeprod!$B$1:$BX$549,MATCH(O$2,Kraftvärmeprod!$B$1:$VX$1,0),FALSE)/1,0)-IFERROR(VLOOKUP($B11,'Slutlig allokering kvv'!$B$2:$BX$549,MATCH(O$2,'Slutlig allokering kvv'!$B$1:$BX$1,0),FALSE)/1,0))</f>
        <v/>
      </c>
      <c r="P11" s="121" t="str">
        <f>IF($D11="","",IFERROR(VLOOKUP($B11,Kraftvärmeprod!$B$1:$BX$549,MATCH(P$2,Kraftvärmeprod!$B$1:$VX$1,0),FALSE)/1,0)-IFERROR(VLOOKUP($B11,'Slutlig allokering kvv'!$B$2:$BX$549,MATCH(P$2,'Slutlig allokering kvv'!$B$1:$BX$1,0),FALSE)/1,0))</f>
        <v/>
      </c>
      <c r="Q11" s="121" t="str">
        <f>IF($D11="","",IFERROR(VLOOKUP($B11,Kraftvärmeprod!$B$1:$BX$549,MATCH(Q$2,Kraftvärmeprod!$B$1:$VX$1,0),FALSE)/1,0)-IFERROR(VLOOKUP($B11,'Slutlig allokering kvv'!$B$2:$BX$549,MATCH(Q$2,'Slutlig allokering kvv'!$B$1:$BX$1,0),FALSE)/1,0))</f>
        <v/>
      </c>
      <c r="R11" s="121" t="str">
        <f>IF($D11="","",IFERROR(VLOOKUP($B11,Kraftvärmeprod!$B$1:$BX$549,MATCH(R$2,Kraftvärmeprod!$B$1:$VX$1,0),FALSE)/1,0)-IFERROR(VLOOKUP($B11,'Slutlig allokering kvv'!$B$2:$BX$549,MATCH(R$2,'Slutlig allokering kvv'!$B$1:$BX$1,0),FALSE)/1,0))</f>
        <v/>
      </c>
      <c r="S11" s="121" t="str">
        <f>IF($D11="","",IFERROR(VLOOKUP($B11,Kraftvärmeprod!$B$1:$BX$549,MATCH(S$2,Kraftvärmeprod!$B$1:$VX$1,0),FALSE)/1,0)-IFERROR(VLOOKUP($B11,'Slutlig allokering kvv'!$B$2:$BX$549,MATCH(S$2,'Slutlig allokering kvv'!$B$1:$BX$1,0),FALSE)/1,0))</f>
        <v/>
      </c>
      <c r="T11" s="121" t="str">
        <f>IF($D11="","",IFERROR(VLOOKUP($B11,Kraftvärmeprod!$B$1:$BX$549,MATCH(T$2,Kraftvärmeprod!$B$1:$VX$1,0),FALSE)/1,0)-IFERROR(VLOOKUP($B11,'Slutlig allokering kvv'!$B$2:$BX$549,MATCH(T$2,'Slutlig allokering kvv'!$B$1:$BX$1,0),FALSE)/1,0))</f>
        <v/>
      </c>
      <c r="U11" s="121" t="str">
        <f>IF($D11="","",IFERROR(VLOOKUP($B11,Kraftvärmeprod!$B$1:$BX$549,MATCH(U$2,Kraftvärmeprod!$B$1:$VX$1,0),FALSE)/1,0)-IFERROR(VLOOKUP($B11,'Slutlig allokering kvv'!$B$2:$BX$549,MATCH(U$2,'Slutlig allokering kvv'!$B$1:$BX$1,0),FALSE)/1,0))</f>
        <v/>
      </c>
      <c r="V11" s="121" t="str">
        <f>IF($D11="","",IFERROR(VLOOKUP($B11,Kraftvärmeprod!$B$1:$BX$549,MATCH(V$2,Kraftvärmeprod!$B$1:$VX$1,0),FALSE)/1,0)-IFERROR(VLOOKUP($B11,'Slutlig allokering kvv'!$B$2:$BX$549,MATCH(V$2,'Slutlig allokering kvv'!$B$1:$BX$1,0),FALSE)/1,0))</f>
        <v/>
      </c>
      <c r="W11" s="121" t="str">
        <f>IF($D11="","",IFERROR(VLOOKUP($B11,Kraftvärmeprod!$B$1:$BX$549,MATCH(W$2,Kraftvärmeprod!$B$1:$VX$1,0),FALSE)/1,0)-IFERROR(VLOOKUP($B11,'Slutlig allokering kvv'!$B$2:$BX$549,MATCH(W$2,'Slutlig allokering kvv'!$B$1:$BX$1,0),FALSE)/1,0))</f>
        <v/>
      </c>
      <c r="X11" s="121" t="str">
        <f>IF($D11="","",IFERROR(VLOOKUP($B11,Kraftvärmeprod!$B$1:$BX$549,MATCH(X$2,Kraftvärmeprod!$B$1:$VX$1,0),FALSE)/1,0)-IFERROR(VLOOKUP($B11,'Slutlig allokering kvv'!$B$2:$BX$549,MATCH(X$2,'Slutlig allokering kvv'!$B$1:$BX$1,0),FALSE)/1,0))</f>
        <v/>
      </c>
      <c r="Y11" s="121" t="str">
        <f>IF($D11="","",IFERROR(VLOOKUP($B11,Kraftvärmeprod!$B$1:$BX$549,MATCH(Y$2,Kraftvärmeprod!$B$1:$VX$1,0),FALSE)/1,0)-IFERROR(VLOOKUP($B11,'Slutlig allokering kvv'!$B$2:$BX$549,MATCH(Y$2,'Slutlig allokering kvv'!$B$1:$BX$1,0),FALSE)/1,0))</f>
        <v/>
      </c>
      <c r="Z11" s="121" t="str">
        <f>IF($D11="","",IFERROR(VLOOKUP($B11,Kraftvärmeprod!$B$1:$BX$549,MATCH(Z$2,Kraftvärmeprod!$B$1:$VX$1,0),FALSE)/1,0)-IFERROR(VLOOKUP($B11,'Slutlig allokering kvv'!$B$2:$BX$549,MATCH(Z$2,'Slutlig allokering kvv'!$B$1:$BX$1,0),FALSE)/1,0))</f>
        <v/>
      </c>
      <c r="AA11" s="121" t="str">
        <f>IF($D11="","",IFERROR(VLOOKUP($B11,Kraftvärmeprod!$B$1:$BX$549,MATCH(AA$2,Kraftvärmeprod!$B$1:$VX$1,0),FALSE)/1,0)-IFERROR(VLOOKUP($B11,'Slutlig allokering kvv'!$B$2:$BX$549,MATCH(AA$2,'Slutlig allokering kvv'!$B$1:$BX$1,0),FALSE)/1,0))</f>
        <v/>
      </c>
      <c r="AB11" s="121" t="str">
        <f>IF($D11="","",IFERROR(VLOOKUP($B11,Kraftvärmeprod!$B$1:$BX$549,MATCH(AB$2,Kraftvärmeprod!$B$1:$VX$1,0),FALSE)/1,0)-IFERROR(VLOOKUP($B11,'Slutlig allokering kvv'!$B$2:$BX$549,MATCH(AB$2,'Slutlig allokering kvv'!$B$1:$BX$1,0),FALSE)/1,0))</f>
        <v/>
      </c>
      <c r="AC11" s="121" t="str">
        <f>IF($D11="","",IFERROR(VLOOKUP($B11,Kraftvärmeprod!$B$1:$BX$549,MATCH(AC$2,Kraftvärmeprod!$B$1:$VX$1,0),FALSE)/1,0)-IFERROR(VLOOKUP($B11,'Slutlig allokering kvv'!$B$2:$BX$549,MATCH(AC$2,'Slutlig allokering kvv'!$B$1:$BX$1,0),FALSE)/1,0))</f>
        <v/>
      </c>
      <c r="AD11" s="121" t="str">
        <f>IF($D11="","",IFERROR(VLOOKUP($B11,Kraftvärmeprod!$B$1:$BX$549,MATCH(AD$2,Kraftvärmeprod!$B$1:$VX$1,0),FALSE)/1,0)-IFERROR(VLOOKUP($B11,'Slutlig allokering kvv'!$B$2:$BX$549,MATCH(AD$2,'Slutlig allokering kvv'!$B$1:$BX$1,0),FALSE)/1,0))</f>
        <v/>
      </c>
      <c r="AE11" s="121" t="str">
        <f>IF($D11="","",IFERROR(VLOOKUP($B11,Miljö!$B$1:$E$550,MATCH("Hjälpel kraftvärme (GWh)",Miljö!$B$1:$E$1,0),FALSE)/1,0)-IFERROR(VLOOKUP($B11,'Slutlig allokering kvv'!$B$2:$BX$549,MATCH(AE$2,'Slutlig allokering kvv'!$B$1:$BX$1,0),FALSE)/1,0))</f>
        <v/>
      </c>
      <c r="AI11" s="121">
        <f t="shared" si="0"/>
        <v>0</v>
      </c>
      <c r="AK11" s="121">
        <f>IFERROR(VLOOKUP($B11,'Slutlig allokering kvv'!$B$2:$AX$549,MATCH("Summa slutlig allokerad tillförd energi (utan hjälpel och rökgaskondensering):",'Slutlig allokering kvv'!$B$1:$AX$1,0),FALSE)/1,"")</f>
        <v>0</v>
      </c>
      <c r="AM11" s="172" t="str">
        <f>IFERROR(1-VLOOKUP($B11,'Slutlig allokering kvv'!$B$2:$AX$549,MATCH("Andel av bränsle i kvv som allokerats till värme, exklusive rökgaskondensering och hjälpel",'Slutlig allokering kvv'!$B$1:$AX$1,0),FALSE),"")</f>
        <v/>
      </c>
      <c r="AO11" s="172" t="str">
        <f t="shared" si="1"/>
        <v/>
      </c>
      <c r="AP11" s="173" t="str">
        <f t="shared" si="2"/>
        <v/>
      </c>
      <c r="AR11" s="172" t="str">
        <f t="shared" si="3"/>
        <v/>
      </c>
    </row>
    <row r="12" spans="1:46" x14ac:dyDescent="0.25">
      <c r="A12" s="171" t="str">
        <f>'Miljövärden för publ företag'!B14</f>
        <v>Adven Energilösningar AB</v>
      </c>
      <c r="B12" s="171" t="str">
        <f>'Miljövärden för publ företag'!C14</f>
        <v>Älmhult</v>
      </c>
      <c r="C12" s="121" t="str">
        <f>IFERROR(VLOOKUP($B12,Kraftvärmeprod!$B$1:$AH$478,MATCH(C$2,Kraftvärmeprod!$B$1:$AG$1,0),FALSE)/1,"")</f>
        <v/>
      </c>
      <c r="D12" s="121" t="str">
        <f>IFERROR(VLOOKUP($B12,Kraftvärmeprod!$B$1:$AH$478,MATCH(D$2,Kraftvärmeprod!$B$1:$AG$1,0),FALSE)/1,"")</f>
        <v/>
      </c>
      <c r="F12" s="121" t="str">
        <f>IF($D12="","",IFERROR(VLOOKUP($B12,Kraftvärmeprod!$B$1:$BX$549,MATCH(F$2,Kraftvärmeprod!$B$1:$VX$1,0),FALSE)/1,0)-IFERROR(VLOOKUP($B12,'Slutlig allokering kvv'!$B$2:$BX$549,MATCH(F$2,'Slutlig allokering kvv'!$B$1:$BX$1,0),FALSE)/1,0))</f>
        <v/>
      </c>
      <c r="G12" s="121" t="str">
        <f>IF($D12="","",IFERROR(VLOOKUP($B12,Kraftvärmeprod!$B$1:$BX$549,MATCH(G$2,Kraftvärmeprod!$B$1:$VX$1,0),FALSE)/1,0)-IFERROR(VLOOKUP($B12,'Slutlig allokering kvv'!$B$2:$BX$549,MATCH(G$2,'Slutlig allokering kvv'!$B$1:$BX$1,0),FALSE)/1,0))</f>
        <v/>
      </c>
      <c r="H12" s="121" t="str">
        <f>IF($D12="","",IFERROR(VLOOKUP($B12,Kraftvärmeprod!$B$1:$BX$549,MATCH(H$2,Kraftvärmeprod!$B$1:$VX$1,0),FALSE)/1,0)-IFERROR(VLOOKUP($B12,'Slutlig allokering kvv'!$B$2:$BX$549,MATCH(H$2,'Slutlig allokering kvv'!$B$1:$BX$1,0),FALSE)/1,0))</f>
        <v/>
      </c>
      <c r="I12" s="121" t="str">
        <f>IF($D12="","",IFERROR(VLOOKUP($B12,Kraftvärmeprod!$B$1:$BX$549,MATCH(I$2,Kraftvärmeprod!$B$1:$VX$1,0),FALSE)/1,0)-IFERROR(VLOOKUP($B12,'Slutlig allokering kvv'!$B$2:$BX$549,MATCH(I$2,'Slutlig allokering kvv'!$B$1:$BX$1,0),FALSE)/1,0))</f>
        <v/>
      </c>
      <c r="J12" s="121" t="str">
        <f>IF($D12="","",IFERROR(VLOOKUP($B12,Kraftvärmeprod!$B$1:$BX$549,MATCH(J$2,Kraftvärmeprod!$B$1:$VX$1,0),FALSE)/1,0)-IFERROR(VLOOKUP($B12,'Slutlig allokering kvv'!$B$2:$BX$549,MATCH(J$2,'Slutlig allokering kvv'!$B$1:$BX$1,0),FALSE)/1,0))</f>
        <v/>
      </c>
      <c r="K12" s="121" t="str">
        <f>IF($D12="","",IFERROR(VLOOKUP($B12,Kraftvärmeprod!$B$1:$BX$549,MATCH(K$2,Kraftvärmeprod!$B$1:$VX$1,0),FALSE)/1,0)-IFERROR(VLOOKUP($B12,'Slutlig allokering kvv'!$B$2:$BX$549,MATCH(K$2,'Slutlig allokering kvv'!$B$1:$BX$1,0),FALSE)/1,0))</f>
        <v/>
      </c>
      <c r="L12" s="121" t="str">
        <f>IF($D12="","",IFERROR(VLOOKUP($B12,Kraftvärmeprod!$B$1:$BX$549,MATCH(L$2,Kraftvärmeprod!$B$1:$VX$1,0),FALSE)/1,0)-IFERROR(VLOOKUP($B12,'Slutlig allokering kvv'!$B$2:$BX$549,MATCH(L$2,'Slutlig allokering kvv'!$B$1:$BX$1,0),FALSE)/1,0))</f>
        <v/>
      </c>
      <c r="M12" s="121" t="str">
        <f>IF($D12="","",IFERROR(VLOOKUP($B12,Kraftvärmeprod!$B$1:$BX$549,MATCH(M$2,Kraftvärmeprod!$B$1:$VX$1,0),FALSE)/1,0)-IFERROR(VLOOKUP($B12,'Slutlig allokering kvv'!$B$2:$BX$549,MATCH(M$2,'Slutlig allokering kvv'!$B$1:$BX$1,0),FALSE)/1,0))</f>
        <v/>
      </c>
      <c r="N12" s="121" t="str">
        <f>IF($D12="","",IFERROR(VLOOKUP($B12,Kraftvärmeprod!$B$1:$BX$549,MATCH(N$2,Kraftvärmeprod!$B$1:$VX$1,0),FALSE)/1,0)-IFERROR(VLOOKUP($B12,'Slutlig allokering kvv'!$B$2:$BX$549,MATCH(N$2,'Slutlig allokering kvv'!$B$1:$BX$1,0),FALSE)/1,0))</f>
        <v/>
      </c>
      <c r="O12" s="121" t="str">
        <f>IF($D12="","",IFERROR(VLOOKUP($B12,Kraftvärmeprod!$B$1:$BX$549,MATCH(O$2,Kraftvärmeprod!$B$1:$VX$1,0),FALSE)/1,0)-IFERROR(VLOOKUP($B12,'Slutlig allokering kvv'!$B$2:$BX$549,MATCH(O$2,'Slutlig allokering kvv'!$B$1:$BX$1,0),FALSE)/1,0))</f>
        <v/>
      </c>
      <c r="P12" s="121" t="str">
        <f>IF($D12="","",IFERROR(VLOOKUP($B12,Kraftvärmeprod!$B$1:$BX$549,MATCH(P$2,Kraftvärmeprod!$B$1:$VX$1,0),FALSE)/1,0)-IFERROR(VLOOKUP($B12,'Slutlig allokering kvv'!$B$2:$BX$549,MATCH(P$2,'Slutlig allokering kvv'!$B$1:$BX$1,0),FALSE)/1,0))</f>
        <v/>
      </c>
      <c r="Q12" s="121" t="str">
        <f>IF($D12="","",IFERROR(VLOOKUP($B12,Kraftvärmeprod!$B$1:$BX$549,MATCH(Q$2,Kraftvärmeprod!$B$1:$VX$1,0),FALSE)/1,0)-IFERROR(VLOOKUP($B12,'Slutlig allokering kvv'!$B$2:$BX$549,MATCH(Q$2,'Slutlig allokering kvv'!$B$1:$BX$1,0),FALSE)/1,0))</f>
        <v/>
      </c>
      <c r="R12" s="121" t="str">
        <f>IF($D12="","",IFERROR(VLOOKUP($B12,Kraftvärmeprod!$B$1:$BX$549,MATCH(R$2,Kraftvärmeprod!$B$1:$VX$1,0),FALSE)/1,0)-IFERROR(VLOOKUP($B12,'Slutlig allokering kvv'!$B$2:$BX$549,MATCH(R$2,'Slutlig allokering kvv'!$B$1:$BX$1,0),FALSE)/1,0))</f>
        <v/>
      </c>
      <c r="S12" s="121" t="str">
        <f>IF($D12="","",IFERROR(VLOOKUP($B12,Kraftvärmeprod!$B$1:$BX$549,MATCH(S$2,Kraftvärmeprod!$B$1:$VX$1,0),FALSE)/1,0)-IFERROR(VLOOKUP($B12,'Slutlig allokering kvv'!$B$2:$BX$549,MATCH(S$2,'Slutlig allokering kvv'!$B$1:$BX$1,0),FALSE)/1,0))</f>
        <v/>
      </c>
      <c r="T12" s="121" t="str">
        <f>IF($D12="","",IFERROR(VLOOKUP($B12,Kraftvärmeprod!$B$1:$BX$549,MATCH(T$2,Kraftvärmeprod!$B$1:$VX$1,0),FALSE)/1,0)-IFERROR(VLOOKUP($B12,'Slutlig allokering kvv'!$B$2:$BX$549,MATCH(T$2,'Slutlig allokering kvv'!$B$1:$BX$1,0),FALSE)/1,0))</f>
        <v/>
      </c>
      <c r="U12" s="121" t="str">
        <f>IF($D12="","",IFERROR(VLOOKUP($B12,Kraftvärmeprod!$B$1:$BX$549,MATCH(U$2,Kraftvärmeprod!$B$1:$VX$1,0),FALSE)/1,0)-IFERROR(VLOOKUP($B12,'Slutlig allokering kvv'!$B$2:$BX$549,MATCH(U$2,'Slutlig allokering kvv'!$B$1:$BX$1,0),FALSE)/1,0))</f>
        <v/>
      </c>
      <c r="V12" s="121" t="str">
        <f>IF($D12="","",IFERROR(VLOOKUP($B12,Kraftvärmeprod!$B$1:$BX$549,MATCH(V$2,Kraftvärmeprod!$B$1:$VX$1,0),FALSE)/1,0)-IFERROR(VLOOKUP($B12,'Slutlig allokering kvv'!$B$2:$BX$549,MATCH(V$2,'Slutlig allokering kvv'!$B$1:$BX$1,0),FALSE)/1,0))</f>
        <v/>
      </c>
      <c r="W12" s="121" t="str">
        <f>IF($D12="","",IFERROR(VLOOKUP($B12,Kraftvärmeprod!$B$1:$BX$549,MATCH(W$2,Kraftvärmeprod!$B$1:$VX$1,0),FALSE)/1,0)-IFERROR(VLOOKUP($B12,'Slutlig allokering kvv'!$B$2:$BX$549,MATCH(W$2,'Slutlig allokering kvv'!$B$1:$BX$1,0),FALSE)/1,0))</f>
        <v/>
      </c>
      <c r="X12" s="121" t="str">
        <f>IF($D12="","",IFERROR(VLOOKUP($B12,Kraftvärmeprod!$B$1:$BX$549,MATCH(X$2,Kraftvärmeprod!$B$1:$VX$1,0),FALSE)/1,0)-IFERROR(VLOOKUP($B12,'Slutlig allokering kvv'!$B$2:$BX$549,MATCH(X$2,'Slutlig allokering kvv'!$B$1:$BX$1,0),FALSE)/1,0))</f>
        <v/>
      </c>
      <c r="Y12" s="121" t="str">
        <f>IF($D12="","",IFERROR(VLOOKUP($B12,Kraftvärmeprod!$B$1:$BX$549,MATCH(Y$2,Kraftvärmeprod!$B$1:$VX$1,0),FALSE)/1,0)-IFERROR(VLOOKUP($B12,'Slutlig allokering kvv'!$B$2:$BX$549,MATCH(Y$2,'Slutlig allokering kvv'!$B$1:$BX$1,0),FALSE)/1,0))</f>
        <v/>
      </c>
      <c r="Z12" s="121" t="str">
        <f>IF($D12="","",IFERROR(VLOOKUP($B12,Kraftvärmeprod!$B$1:$BX$549,MATCH(Z$2,Kraftvärmeprod!$B$1:$VX$1,0),FALSE)/1,0)-IFERROR(VLOOKUP($B12,'Slutlig allokering kvv'!$B$2:$BX$549,MATCH(Z$2,'Slutlig allokering kvv'!$B$1:$BX$1,0),FALSE)/1,0))</f>
        <v/>
      </c>
      <c r="AA12" s="121" t="str">
        <f>IF($D12="","",IFERROR(VLOOKUP($B12,Kraftvärmeprod!$B$1:$BX$549,MATCH(AA$2,Kraftvärmeprod!$B$1:$VX$1,0),FALSE)/1,0)-IFERROR(VLOOKUP($B12,'Slutlig allokering kvv'!$B$2:$BX$549,MATCH(AA$2,'Slutlig allokering kvv'!$B$1:$BX$1,0),FALSE)/1,0))</f>
        <v/>
      </c>
      <c r="AB12" s="121" t="str">
        <f>IF($D12="","",IFERROR(VLOOKUP($B12,Kraftvärmeprod!$B$1:$BX$549,MATCH(AB$2,Kraftvärmeprod!$B$1:$VX$1,0),FALSE)/1,0)-IFERROR(VLOOKUP($B12,'Slutlig allokering kvv'!$B$2:$BX$549,MATCH(AB$2,'Slutlig allokering kvv'!$B$1:$BX$1,0),FALSE)/1,0))</f>
        <v/>
      </c>
      <c r="AC12" s="121" t="str">
        <f>IF($D12="","",IFERROR(VLOOKUP($B12,Kraftvärmeprod!$B$1:$BX$549,MATCH(AC$2,Kraftvärmeprod!$B$1:$VX$1,0),FALSE)/1,0)-IFERROR(VLOOKUP($B12,'Slutlig allokering kvv'!$B$2:$BX$549,MATCH(AC$2,'Slutlig allokering kvv'!$B$1:$BX$1,0),FALSE)/1,0))</f>
        <v/>
      </c>
      <c r="AD12" s="121" t="str">
        <f>IF($D12="","",IFERROR(VLOOKUP($B12,Kraftvärmeprod!$B$1:$BX$549,MATCH(AD$2,Kraftvärmeprod!$B$1:$VX$1,0),FALSE)/1,0)-IFERROR(VLOOKUP($B12,'Slutlig allokering kvv'!$B$2:$BX$549,MATCH(AD$2,'Slutlig allokering kvv'!$B$1:$BX$1,0),FALSE)/1,0))</f>
        <v/>
      </c>
      <c r="AE12" s="121" t="str">
        <f>IF($D12="","",IFERROR(VLOOKUP($B12,Miljö!$B$1:$E$550,MATCH("Hjälpel kraftvärme (GWh)",Miljö!$B$1:$E$1,0),FALSE)/1,0)-IFERROR(VLOOKUP($B12,'Slutlig allokering kvv'!$B$2:$BX$549,MATCH(AE$2,'Slutlig allokering kvv'!$B$1:$BX$1,0),FALSE)/1,0))</f>
        <v/>
      </c>
      <c r="AI12" s="121">
        <f t="shared" si="0"/>
        <v>0</v>
      </c>
      <c r="AK12" s="121">
        <f>IFERROR(VLOOKUP($B12,'Slutlig allokering kvv'!$B$2:$AX$549,MATCH("Summa slutlig allokerad tillförd energi (utan hjälpel och rökgaskondensering):",'Slutlig allokering kvv'!$B$1:$AX$1,0),FALSE)/1,"")</f>
        <v>0</v>
      </c>
      <c r="AM12" s="172" t="str">
        <f>IFERROR(1-VLOOKUP($B12,'Slutlig allokering kvv'!$B$2:$AX$549,MATCH("Andel av bränsle i kvv som allokerats till värme, exklusive rökgaskondensering och hjälpel",'Slutlig allokering kvv'!$B$1:$AX$1,0),FALSE),"")</f>
        <v/>
      </c>
      <c r="AO12" s="172" t="str">
        <f t="shared" si="1"/>
        <v/>
      </c>
      <c r="AP12" s="173" t="str">
        <f t="shared" si="2"/>
        <v/>
      </c>
      <c r="AR12" s="172" t="str">
        <f t="shared" si="3"/>
        <v/>
      </c>
    </row>
    <row r="13" spans="1:46" x14ac:dyDescent="0.25">
      <c r="A13" s="171" t="str">
        <f>'Miljövärden för publ företag'!B15</f>
        <v>Adven Värme AB.</v>
      </c>
      <c r="B13" s="171" t="str">
        <f>'Miljövärden för publ företag'!C15</f>
        <v>Bollstabruk</v>
      </c>
      <c r="C13" s="121" t="str">
        <f>IFERROR(VLOOKUP($B13,Kraftvärmeprod!$B$1:$AH$478,MATCH(C$2,Kraftvärmeprod!$B$1:$AG$1,0),FALSE)/1,"")</f>
        <v/>
      </c>
      <c r="D13" s="121" t="str">
        <f>IFERROR(VLOOKUP($B13,Kraftvärmeprod!$B$1:$AH$478,MATCH(D$2,Kraftvärmeprod!$B$1:$AG$1,0),FALSE)/1,"")</f>
        <v/>
      </c>
      <c r="F13" s="121" t="str">
        <f>IF($D13="","",IFERROR(VLOOKUP($B13,Kraftvärmeprod!$B$1:$BX$549,MATCH(F$2,Kraftvärmeprod!$B$1:$VX$1,0),FALSE)/1,0)-IFERROR(VLOOKUP($B13,'Slutlig allokering kvv'!$B$2:$BX$549,MATCH(F$2,'Slutlig allokering kvv'!$B$1:$BX$1,0),FALSE)/1,0))</f>
        <v/>
      </c>
      <c r="G13" s="121" t="str">
        <f>IF($D13="","",IFERROR(VLOOKUP($B13,Kraftvärmeprod!$B$1:$BX$549,MATCH(G$2,Kraftvärmeprod!$B$1:$VX$1,0),FALSE)/1,0)-IFERROR(VLOOKUP($B13,'Slutlig allokering kvv'!$B$2:$BX$549,MATCH(G$2,'Slutlig allokering kvv'!$B$1:$BX$1,0),FALSE)/1,0))</f>
        <v/>
      </c>
      <c r="H13" s="121" t="str">
        <f>IF($D13="","",IFERROR(VLOOKUP($B13,Kraftvärmeprod!$B$1:$BX$549,MATCH(H$2,Kraftvärmeprod!$B$1:$VX$1,0),FALSE)/1,0)-IFERROR(VLOOKUP($B13,'Slutlig allokering kvv'!$B$2:$BX$549,MATCH(H$2,'Slutlig allokering kvv'!$B$1:$BX$1,0),FALSE)/1,0))</f>
        <v/>
      </c>
      <c r="I13" s="121" t="str">
        <f>IF($D13="","",IFERROR(VLOOKUP($B13,Kraftvärmeprod!$B$1:$BX$549,MATCH(I$2,Kraftvärmeprod!$B$1:$VX$1,0),FALSE)/1,0)-IFERROR(VLOOKUP($B13,'Slutlig allokering kvv'!$B$2:$BX$549,MATCH(I$2,'Slutlig allokering kvv'!$B$1:$BX$1,0),FALSE)/1,0))</f>
        <v/>
      </c>
      <c r="J13" s="121" t="str">
        <f>IF($D13="","",IFERROR(VLOOKUP($B13,Kraftvärmeprod!$B$1:$BX$549,MATCH(J$2,Kraftvärmeprod!$B$1:$VX$1,0),FALSE)/1,0)-IFERROR(VLOOKUP($B13,'Slutlig allokering kvv'!$B$2:$BX$549,MATCH(J$2,'Slutlig allokering kvv'!$B$1:$BX$1,0),FALSE)/1,0))</f>
        <v/>
      </c>
      <c r="K13" s="121" t="str">
        <f>IF($D13="","",IFERROR(VLOOKUP($B13,Kraftvärmeprod!$B$1:$BX$549,MATCH(K$2,Kraftvärmeprod!$B$1:$VX$1,0),FALSE)/1,0)-IFERROR(VLOOKUP($B13,'Slutlig allokering kvv'!$B$2:$BX$549,MATCH(K$2,'Slutlig allokering kvv'!$B$1:$BX$1,0),FALSE)/1,0))</f>
        <v/>
      </c>
      <c r="L13" s="121" t="str">
        <f>IF($D13="","",IFERROR(VLOOKUP($B13,Kraftvärmeprod!$B$1:$BX$549,MATCH(L$2,Kraftvärmeprod!$B$1:$VX$1,0),FALSE)/1,0)-IFERROR(VLOOKUP($B13,'Slutlig allokering kvv'!$B$2:$BX$549,MATCH(L$2,'Slutlig allokering kvv'!$B$1:$BX$1,0),FALSE)/1,0))</f>
        <v/>
      </c>
      <c r="M13" s="121" t="str">
        <f>IF($D13="","",IFERROR(VLOOKUP($B13,Kraftvärmeprod!$B$1:$BX$549,MATCH(M$2,Kraftvärmeprod!$B$1:$VX$1,0),FALSE)/1,0)-IFERROR(VLOOKUP($B13,'Slutlig allokering kvv'!$B$2:$BX$549,MATCH(M$2,'Slutlig allokering kvv'!$B$1:$BX$1,0),FALSE)/1,0))</f>
        <v/>
      </c>
      <c r="N13" s="121" t="str">
        <f>IF($D13="","",IFERROR(VLOOKUP($B13,Kraftvärmeprod!$B$1:$BX$549,MATCH(N$2,Kraftvärmeprod!$B$1:$VX$1,0),FALSE)/1,0)-IFERROR(VLOOKUP($B13,'Slutlig allokering kvv'!$B$2:$BX$549,MATCH(N$2,'Slutlig allokering kvv'!$B$1:$BX$1,0),FALSE)/1,0))</f>
        <v/>
      </c>
      <c r="O13" s="121" t="str">
        <f>IF($D13="","",IFERROR(VLOOKUP($B13,Kraftvärmeprod!$B$1:$BX$549,MATCH(O$2,Kraftvärmeprod!$B$1:$VX$1,0),FALSE)/1,0)-IFERROR(VLOOKUP($B13,'Slutlig allokering kvv'!$B$2:$BX$549,MATCH(O$2,'Slutlig allokering kvv'!$B$1:$BX$1,0),FALSE)/1,0))</f>
        <v/>
      </c>
      <c r="P13" s="121" t="str">
        <f>IF($D13="","",IFERROR(VLOOKUP($B13,Kraftvärmeprod!$B$1:$BX$549,MATCH(P$2,Kraftvärmeprod!$B$1:$VX$1,0),FALSE)/1,0)-IFERROR(VLOOKUP($B13,'Slutlig allokering kvv'!$B$2:$BX$549,MATCH(P$2,'Slutlig allokering kvv'!$B$1:$BX$1,0),FALSE)/1,0))</f>
        <v/>
      </c>
      <c r="Q13" s="121" t="str">
        <f>IF($D13="","",IFERROR(VLOOKUP($B13,Kraftvärmeprod!$B$1:$BX$549,MATCH(Q$2,Kraftvärmeprod!$B$1:$VX$1,0),FALSE)/1,0)-IFERROR(VLOOKUP($B13,'Slutlig allokering kvv'!$B$2:$BX$549,MATCH(Q$2,'Slutlig allokering kvv'!$B$1:$BX$1,0),FALSE)/1,0))</f>
        <v/>
      </c>
      <c r="R13" s="121" t="str">
        <f>IF($D13="","",IFERROR(VLOOKUP($B13,Kraftvärmeprod!$B$1:$BX$549,MATCH(R$2,Kraftvärmeprod!$B$1:$VX$1,0),FALSE)/1,0)-IFERROR(VLOOKUP($B13,'Slutlig allokering kvv'!$B$2:$BX$549,MATCH(R$2,'Slutlig allokering kvv'!$B$1:$BX$1,0),FALSE)/1,0))</f>
        <v/>
      </c>
      <c r="S13" s="121" t="str">
        <f>IF($D13="","",IFERROR(VLOOKUP($B13,Kraftvärmeprod!$B$1:$BX$549,MATCH(S$2,Kraftvärmeprod!$B$1:$VX$1,0),FALSE)/1,0)-IFERROR(VLOOKUP($B13,'Slutlig allokering kvv'!$B$2:$BX$549,MATCH(S$2,'Slutlig allokering kvv'!$B$1:$BX$1,0),FALSE)/1,0))</f>
        <v/>
      </c>
      <c r="T13" s="121" t="str">
        <f>IF($D13="","",IFERROR(VLOOKUP($B13,Kraftvärmeprod!$B$1:$BX$549,MATCH(T$2,Kraftvärmeprod!$B$1:$VX$1,0),FALSE)/1,0)-IFERROR(VLOOKUP($B13,'Slutlig allokering kvv'!$B$2:$BX$549,MATCH(T$2,'Slutlig allokering kvv'!$B$1:$BX$1,0),FALSE)/1,0))</f>
        <v/>
      </c>
      <c r="U13" s="121" t="str">
        <f>IF($D13="","",IFERROR(VLOOKUP($B13,Kraftvärmeprod!$B$1:$BX$549,MATCH(U$2,Kraftvärmeprod!$B$1:$VX$1,0),FALSE)/1,0)-IFERROR(VLOOKUP($B13,'Slutlig allokering kvv'!$B$2:$BX$549,MATCH(U$2,'Slutlig allokering kvv'!$B$1:$BX$1,0),FALSE)/1,0))</f>
        <v/>
      </c>
      <c r="V13" s="121" t="str">
        <f>IF($D13="","",IFERROR(VLOOKUP($B13,Kraftvärmeprod!$B$1:$BX$549,MATCH(V$2,Kraftvärmeprod!$B$1:$VX$1,0),FALSE)/1,0)-IFERROR(VLOOKUP($B13,'Slutlig allokering kvv'!$B$2:$BX$549,MATCH(V$2,'Slutlig allokering kvv'!$B$1:$BX$1,0),FALSE)/1,0))</f>
        <v/>
      </c>
      <c r="W13" s="121" t="str">
        <f>IF($D13="","",IFERROR(VLOOKUP($B13,Kraftvärmeprod!$B$1:$BX$549,MATCH(W$2,Kraftvärmeprod!$B$1:$VX$1,0),FALSE)/1,0)-IFERROR(VLOOKUP($B13,'Slutlig allokering kvv'!$B$2:$BX$549,MATCH(W$2,'Slutlig allokering kvv'!$B$1:$BX$1,0),FALSE)/1,0))</f>
        <v/>
      </c>
      <c r="X13" s="121" t="str">
        <f>IF($D13="","",IFERROR(VLOOKUP($B13,Kraftvärmeprod!$B$1:$BX$549,MATCH(X$2,Kraftvärmeprod!$B$1:$VX$1,0),FALSE)/1,0)-IFERROR(VLOOKUP($B13,'Slutlig allokering kvv'!$B$2:$BX$549,MATCH(X$2,'Slutlig allokering kvv'!$B$1:$BX$1,0),FALSE)/1,0))</f>
        <v/>
      </c>
      <c r="Y13" s="121" t="str">
        <f>IF($D13="","",IFERROR(VLOOKUP($B13,Kraftvärmeprod!$B$1:$BX$549,MATCH(Y$2,Kraftvärmeprod!$B$1:$VX$1,0),FALSE)/1,0)-IFERROR(VLOOKUP($B13,'Slutlig allokering kvv'!$B$2:$BX$549,MATCH(Y$2,'Slutlig allokering kvv'!$B$1:$BX$1,0),FALSE)/1,0))</f>
        <v/>
      </c>
      <c r="Z13" s="121" t="str">
        <f>IF($D13="","",IFERROR(VLOOKUP($B13,Kraftvärmeprod!$B$1:$BX$549,MATCH(Z$2,Kraftvärmeprod!$B$1:$VX$1,0),FALSE)/1,0)-IFERROR(VLOOKUP($B13,'Slutlig allokering kvv'!$B$2:$BX$549,MATCH(Z$2,'Slutlig allokering kvv'!$B$1:$BX$1,0),FALSE)/1,0))</f>
        <v/>
      </c>
      <c r="AA13" s="121" t="str">
        <f>IF($D13="","",IFERROR(VLOOKUP($B13,Kraftvärmeprod!$B$1:$BX$549,MATCH(AA$2,Kraftvärmeprod!$B$1:$VX$1,0),FALSE)/1,0)-IFERROR(VLOOKUP($B13,'Slutlig allokering kvv'!$B$2:$BX$549,MATCH(AA$2,'Slutlig allokering kvv'!$B$1:$BX$1,0),FALSE)/1,0))</f>
        <v/>
      </c>
      <c r="AB13" s="121" t="str">
        <f>IF($D13="","",IFERROR(VLOOKUP($B13,Kraftvärmeprod!$B$1:$BX$549,MATCH(AB$2,Kraftvärmeprod!$B$1:$VX$1,0),FALSE)/1,0)-IFERROR(VLOOKUP($B13,'Slutlig allokering kvv'!$B$2:$BX$549,MATCH(AB$2,'Slutlig allokering kvv'!$B$1:$BX$1,0),FALSE)/1,0))</f>
        <v/>
      </c>
      <c r="AC13" s="121" t="str">
        <f>IF($D13="","",IFERROR(VLOOKUP($B13,Kraftvärmeprod!$B$1:$BX$549,MATCH(AC$2,Kraftvärmeprod!$B$1:$VX$1,0),FALSE)/1,0)-IFERROR(VLOOKUP($B13,'Slutlig allokering kvv'!$B$2:$BX$549,MATCH(AC$2,'Slutlig allokering kvv'!$B$1:$BX$1,0),FALSE)/1,0))</f>
        <v/>
      </c>
      <c r="AD13" s="121" t="str">
        <f>IF($D13="","",IFERROR(VLOOKUP($B13,Kraftvärmeprod!$B$1:$BX$549,MATCH(AD$2,Kraftvärmeprod!$B$1:$VX$1,0),FALSE)/1,0)-IFERROR(VLOOKUP($B13,'Slutlig allokering kvv'!$B$2:$BX$549,MATCH(AD$2,'Slutlig allokering kvv'!$B$1:$BX$1,0),FALSE)/1,0))</f>
        <v/>
      </c>
      <c r="AE13" s="121" t="str">
        <f>IF($D13="","",IFERROR(VLOOKUP($B13,Miljö!$B$1:$E$550,MATCH("Hjälpel kraftvärme (GWh)",Miljö!$B$1:$E$1,0),FALSE)/1,0)-IFERROR(VLOOKUP($B13,'Slutlig allokering kvv'!$B$2:$BX$549,MATCH(AE$2,'Slutlig allokering kvv'!$B$1:$BX$1,0),FALSE)/1,0))</f>
        <v/>
      </c>
      <c r="AI13" s="121">
        <f t="shared" si="0"/>
        <v>0</v>
      </c>
      <c r="AK13" s="121">
        <f>IFERROR(VLOOKUP($B13,'Slutlig allokering kvv'!$B$2:$AX$549,MATCH("Summa slutlig allokerad tillförd energi (utan hjälpel och rökgaskondensering):",'Slutlig allokering kvv'!$B$1:$AX$1,0),FALSE)/1,"")</f>
        <v>0</v>
      </c>
      <c r="AM13" s="172" t="str">
        <f>IFERROR(1-VLOOKUP($B13,'Slutlig allokering kvv'!$B$2:$AX$549,MATCH("Andel av bränsle i kvv som allokerats till värme, exklusive rökgaskondensering och hjälpel",'Slutlig allokering kvv'!$B$1:$AX$1,0),FALSE),"")</f>
        <v/>
      </c>
      <c r="AO13" s="172" t="str">
        <f t="shared" si="1"/>
        <v/>
      </c>
      <c r="AP13" s="173" t="str">
        <f t="shared" si="2"/>
        <v/>
      </c>
      <c r="AR13" s="172" t="str">
        <f t="shared" si="3"/>
        <v/>
      </c>
    </row>
    <row r="14" spans="1:46" x14ac:dyDescent="0.25">
      <c r="A14" s="171" t="str">
        <f>'Miljövärden för publ företag'!B16</f>
        <v>Adven Värme AB.</v>
      </c>
      <c r="B14" s="171" t="str">
        <f>'Miljövärden för publ företag'!C16</f>
        <v>Bräcke, Enycon</v>
      </c>
      <c r="C14" s="121" t="str">
        <f>IFERROR(VLOOKUP($B14,Kraftvärmeprod!$B$1:$AH$478,MATCH(C$2,Kraftvärmeprod!$B$1:$AG$1,0),FALSE)/1,"")</f>
        <v/>
      </c>
      <c r="D14" s="121" t="str">
        <f>IFERROR(VLOOKUP($B14,Kraftvärmeprod!$B$1:$AH$478,MATCH(D$2,Kraftvärmeprod!$B$1:$AG$1,0),FALSE)/1,"")</f>
        <v/>
      </c>
      <c r="F14" s="121" t="str">
        <f>IF($D14="","",IFERROR(VLOOKUP($B14,Kraftvärmeprod!$B$1:$BX$549,MATCH(F$2,Kraftvärmeprod!$B$1:$VX$1,0),FALSE)/1,0)-IFERROR(VLOOKUP($B14,'Slutlig allokering kvv'!$B$2:$BX$549,MATCH(F$2,'Slutlig allokering kvv'!$B$1:$BX$1,0),FALSE)/1,0))</f>
        <v/>
      </c>
      <c r="G14" s="121" t="str">
        <f>IF($D14="","",IFERROR(VLOOKUP($B14,Kraftvärmeprod!$B$1:$BX$549,MATCH(G$2,Kraftvärmeprod!$B$1:$VX$1,0),FALSE)/1,0)-IFERROR(VLOOKUP($B14,'Slutlig allokering kvv'!$B$2:$BX$549,MATCH(G$2,'Slutlig allokering kvv'!$B$1:$BX$1,0),FALSE)/1,0))</f>
        <v/>
      </c>
      <c r="H14" s="121" t="str">
        <f>IF($D14="","",IFERROR(VLOOKUP($B14,Kraftvärmeprod!$B$1:$BX$549,MATCH(H$2,Kraftvärmeprod!$B$1:$VX$1,0),FALSE)/1,0)-IFERROR(VLOOKUP($B14,'Slutlig allokering kvv'!$B$2:$BX$549,MATCH(H$2,'Slutlig allokering kvv'!$B$1:$BX$1,0),FALSE)/1,0))</f>
        <v/>
      </c>
      <c r="I14" s="121" t="str">
        <f>IF($D14="","",IFERROR(VLOOKUP($B14,Kraftvärmeprod!$B$1:$BX$549,MATCH(I$2,Kraftvärmeprod!$B$1:$VX$1,0),FALSE)/1,0)-IFERROR(VLOOKUP($B14,'Slutlig allokering kvv'!$B$2:$BX$549,MATCH(I$2,'Slutlig allokering kvv'!$B$1:$BX$1,0),FALSE)/1,0))</f>
        <v/>
      </c>
      <c r="J14" s="121" t="str">
        <f>IF($D14="","",IFERROR(VLOOKUP($B14,Kraftvärmeprod!$B$1:$BX$549,MATCH(J$2,Kraftvärmeprod!$B$1:$VX$1,0),FALSE)/1,0)-IFERROR(VLOOKUP($B14,'Slutlig allokering kvv'!$B$2:$BX$549,MATCH(J$2,'Slutlig allokering kvv'!$B$1:$BX$1,0),FALSE)/1,0))</f>
        <v/>
      </c>
      <c r="K14" s="121" t="str">
        <f>IF($D14="","",IFERROR(VLOOKUP($B14,Kraftvärmeprod!$B$1:$BX$549,MATCH(K$2,Kraftvärmeprod!$B$1:$VX$1,0),FALSE)/1,0)-IFERROR(VLOOKUP($B14,'Slutlig allokering kvv'!$B$2:$BX$549,MATCH(K$2,'Slutlig allokering kvv'!$B$1:$BX$1,0),FALSE)/1,0))</f>
        <v/>
      </c>
      <c r="L14" s="121" t="str">
        <f>IF($D14="","",IFERROR(VLOOKUP($B14,Kraftvärmeprod!$B$1:$BX$549,MATCH(L$2,Kraftvärmeprod!$B$1:$VX$1,0),FALSE)/1,0)-IFERROR(VLOOKUP($B14,'Slutlig allokering kvv'!$B$2:$BX$549,MATCH(L$2,'Slutlig allokering kvv'!$B$1:$BX$1,0),FALSE)/1,0))</f>
        <v/>
      </c>
      <c r="M14" s="121" t="str">
        <f>IF($D14="","",IFERROR(VLOOKUP($B14,Kraftvärmeprod!$B$1:$BX$549,MATCH(M$2,Kraftvärmeprod!$B$1:$VX$1,0),FALSE)/1,0)-IFERROR(VLOOKUP($B14,'Slutlig allokering kvv'!$B$2:$BX$549,MATCH(M$2,'Slutlig allokering kvv'!$B$1:$BX$1,0),FALSE)/1,0))</f>
        <v/>
      </c>
      <c r="N14" s="121" t="str">
        <f>IF($D14="","",IFERROR(VLOOKUP($B14,Kraftvärmeprod!$B$1:$BX$549,MATCH(N$2,Kraftvärmeprod!$B$1:$VX$1,0),FALSE)/1,0)-IFERROR(VLOOKUP($B14,'Slutlig allokering kvv'!$B$2:$BX$549,MATCH(N$2,'Slutlig allokering kvv'!$B$1:$BX$1,0),FALSE)/1,0))</f>
        <v/>
      </c>
      <c r="O14" s="121" t="str">
        <f>IF($D14="","",IFERROR(VLOOKUP($B14,Kraftvärmeprod!$B$1:$BX$549,MATCH(O$2,Kraftvärmeprod!$B$1:$VX$1,0),FALSE)/1,0)-IFERROR(VLOOKUP($B14,'Slutlig allokering kvv'!$B$2:$BX$549,MATCH(O$2,'Slutlig allokering kvv'!$B$1:$BX$1,0),FALSE)/1,0))</f>
        <v/>
      </c>
      <c r="P14" s="121" t="str">
        <f>IF($D14="","",IFERROR(VLOOKUP($B14,Kraftvärmeprod!$B$1:$BX$549,MATCH(P$2,Kraftvärmeprod!$B$1:$VX$1,0),FALSE)/1,0)-IFERROR(VLOOKUP($B14,'Slutlig allokering kvv'!$B$2:$BX$549,MATCH(P$2,'Slutlig allokering kvv'!$B$1:$BX$1,0),FALSE)/1,0))</f>
        <v/>
      </c>
      <c r="Q14" s="121" t="str">
        <f>IF($D14="","",IFERROR(VLOOKUP($B14,Kraftvärmeprod!$B$1:$BX$549,MATCH(Q$2,Kraftvärmeprod!$B$1:$VX$1,0),FALSE)/1,0)-IFERROR(VLOOKUP($B14,'Slutlig allokering kvv'!$B$2:$BX$549,MATCH(Q$2,'Slutlig allokering kvv'!$B$1:$BX$1,0),FALSE)/1,0))</f>
        <v/>
      </c>
      <c r="R14" s="121" t="str">
        <f>IF($D14="","",IFERROR(VLOOKUP($B14,Kraftvärmeprod!$B$1:$BX$549,MATCH(R$2,Kraftvärmeprod!$B$1:$VX$1,0),FALSE)/1,0)-IFERROR(VLOOKUP($B14,'Slutlig allokering kvv'!$B$2:$BX$549,MATCH(R$2,'Slutlig allokering kvv'!$B$1:$BX$1,0),FALSE)/1,0))</f>
        <v/>
      </c>
      <c r="S14" s="121" t="str">
        <f>IF($D14="","",IFERROR(VLOOKUP($B14,Kraftvärmeprod!$B$1:$BX$549,MATCH(S$2,Kraftvärmeprod!$B$1:$VX$1,0),FALSE)/1,0)-IFERROR(VLOOKUP($B14,'Slutlig allokering kvv'!$B$2:$BX$549,MATCH(S$2,'Slutlig allokering kvv'!$B$1:$BX$1,0),FALSE)/1,0))</f>
        <v/>
      </c>
      <c r="T14" s="121" t="str">
        <f>IF($D14="","",IFERROR(VLOOKUP($B14,Kraftvärmeprod!$B$1:$BX$549,MATCH(T$2,Kraftvärmeprod!$B$1:$VX$1,0),FALSE)/1,0)-IFERROR(VLOOKUP($B14,'Slutlig allokering kvv'!$B$2:$BX$549,MATCH(T$2,'Slutlig allokering kvv'!$B$1:$BX$1,0),FALSE)/1,0))</f>
        <v/>
      </c>
      <c r="U14" s="121" t="str">
        <f>IF($D14="","",IFERROR(VLOOKUP($B14,Kraftvärmeprod!$B$1:$BX$549,MATCH(U$2,Kraftvärmeprod!$B$1:$VX$1,0),FALSE)/1,0)-IFERROR(VLOOKUP($B14,'Slutlig allokering kvv'!$B$2:$BX$549,MATCH(U$2,'Slutlig allokering kvv'!$B$1:$BX$1,0),FALSE)/1,0))</f>
        <v/>
      </c>
      <c r="V14" s="121" t="str">
        <f>IF($D14="","",IFERROR(VLOOKUP($B14,Kraftvärmeprod!$B$1:$BX$549,MATCH(V$2,Kraftvärmeprod!$B$1:$VX$1,0),FALSE)/1,0)-IFERROR(VLOOKUP($B14,'Slutlig allokering kvv'!$B$2:$BX$549,MATCH(V$2,'Slutlig allokering kvv'!$B$1:$BX$1,0),FALSE)/1,0))</f>
        <v/>
      </c>
      <c r="W14" s="121" t="str">
        <f>IF($D14="","",IFERROR(VLOOKUP($B14,Kraftvärmeprod!$B$1:$BX$549,MATCH(W$2,Kraftvärmeprod!$B$1:$VX$1,0),FALSE)/1,0)-IFERROR(VLOOKUP($B14,'Slutlig allokering kvv'!$B$2:$BX$549,MATCH(W$2,'Slutlig allokering kvv'!$B$1:$BX$1,0),FALSE)/1,0))</f>
        <v/>
      </c>
      <c r="X14" s="121" t="str">
        <f>IF($D14="","",IFERROR(VLOOKUP($B14,Kraftvärmeprod!$B$1:$BX$549,MATCH(X$2,Kraftvärmeprod!$B$1:$VX$1,0),FALSE)/1,0)-IFERROR(VLOOKUP($B14,'Slutlig allokering kvv'!$B$2:$BX$549,MATCH(X$2,'Slutlig allokering kvv'!$B$1:$BX$1,0),FALSE)/1,0))</f>
        <v/>
      </c>
      <c r="Y14" s="121" t="str">
        <f>IF($D14="","",IFERROR(VLOOKUP($B14,Kraftvärmeprod!$B$1:$BX$549,MATCH(Y$2,Kraftvärmeprod!$B$1:$VX$1,0),FALSE)/1,0)-IFERROR(VLOOKUP($B14,'Slutlig allokering kvv'!$B$2:$BX$549,MATCH(Y$2,'Slutlig allokering kvv'!$B$1:$BX$1,0),FALSE)/1,0))</f>
        <v/>
      </c>
      <c r="Z14" s="121" t="str">
        <f>IF($D14="","",IFERROR(VLOOKUP($B14,Kraftvärmeprod!$B$1:$BX$549,MATCH(Z$2,Kraftvärmeprod!$B$1:$VX$1,0),FALSE)/1,0)-IFERROR(VLOOKUP($B14,'Slutlig allokering kvv'!$B$2:$BX$549,MATCH(Z$2,'Slutlig allokering kvv'!$B$1:$BX$1,0),FALSE)/1,0))</f>
        <v/>
      </c>
      <c r="AA14" s="121" t="str">
        <f>IF($D14="","",IFERROR(VLOOKUP($B14,Kraftvärmeprod!$B$1:$BX$549,MATCH(AA$2,Kraftvärmeprod!$B$1:$VX$1,0),FALSE)/1,0)-IFERROR(VLOOKUP($B14,'Slutlig allokering kvv'!$B$2:$BX$549,MATCH(AA$2,'Slutlig allokering kvv'!$B$1:$BX$1,0),FALSE)/1,0))</f>
        <v/>
      </c>
      <c r="AB14" s="121" t="str">
        <f>IF($D14="","",IFERROR(VLOOKUP($B14,Kraftvärmeprod!$B$1:$BX$549,MATCH(AB$2,Kraftvärmeprod!$B$1:$VX$1,0),FALSE)/1,0)-IFERROR(VLOOKUP($B14,'Slutlig allokering kvv'!$B$2:$BX$549,MATCH(AB$2,'Slutlig allokering kvv'!$B$1:$BX$1,0),FALSE)/1,0))</f>
        <v/>
      </c>
      <c r="AC14" s="121" t="str">
        <f>IF($D14="","",IFERROR(VLOOKUP($B14,Kraftvärmeprod!$B$1:$BX$549,MATCH(AC$2,Kraftvärmeprod!$B$1:$VX$1,0),FALSE)/1,0)-IFERROR(VLOOKUP($B14,'Slutlig allokering kvv'!$B$2:$BX$549,MATCH(AC$2,'Slutlig allokering kvv'!$B$1:$BX$1,0),FALSE)/1,0))</f>
        <v/>
      </c>
      <c r="AD14" s="121" t="str">
        <f>IF($D14="","",IFERROR(VLOOKUP($B14,Kraftvärmeprod!$B$1:$BX$549,MATCH(AD$2,Kraftvärmeprod!$B$1:$VX$1,0),FALSE)/1,0)-IFERROR(VLOOKUP($B14,'Slutlig allokering kvv'!$B$2:$BX$549,MATCH(AD$2,'Slutlig allokering kvv'!$B$1:$BX$1,0),FALSE)/1,0))</f>
        <v/>
      </c>
      <c r="AE14" s="121" t="str">
        <f>IF($D14="","",IFERROR(VLOOKUP($B14,Miljö!$B$1:$E$550,MATCH("Hjälpel kraftvärme (GWh)",Miljö!$B$1:$E$1,0),FALSE)/1,0)-IFERROR(VLOOKUP($B14,'Slutlig allokering kvv'!$B$2:$BX$549,MATCH(AE$2,'Slutlig allokering kvv'!$B$1:$BX$1,0),FALSE)/1,0))</f>
        <v/>
      </c>
      <c r="AI14" s="121">
        <f t="shared" si="0"/>
        <v>0</v>
      </c>
      <c r="AK14" s="121">
        <f>IFERROR(VLOOKUP($B14,'Slutlig allokering kvv'!$B$2:$AX$549,MATCH("Summa slutlig allokerad tillförd energi (utan hjälpel och rökgaskondensering):",'Slutlig allokering kvv'!$B$1:$AX$1,0),FALSE)/1,"")</f>
        <v>0</v>
      </c>
      <c r="AM14" s="172" t="str">
        <f>IFERROR(1-VLOOKUP($B14,'Slutlig allokering kvv'!$B$2:$AX$549,MATCH("Andel av bränsle i kvv som allokerats till värme, exklusive rökgaskondensering och hjälpel",'Slutlig allokering kvv'!$B$1:$AX$1,0),FALSE),"")</f>
        <v/>
      </c>
      <c r="AO14" s="172" t="str">
        <f t="shared" si="1"/>
        <v/>
      </c>
      <c r="AP14" s="173" t="str">
        <f t="shared" si="2"/>
        <v/>
      </c>
      <c r="AR14" s="172" t="str">
        <f t="shared" si="3"/>
        <v/>
      </c>
    </row>
    <row r="15" spans="1:46" x14ac:dyDescent="0.25">
      <c r="A15" s="171" t="str">
        <f>'Miljövärden för publ företag'!B17</f>
        <v>Adven Värme AB.</v>
      </c>
      <c r="B15" s="171" t="str">
        <f>'Miljövärden för publ företag'!C17</f>
        <v>Friggesund</v>
      </c>
      <c r="C15" s="121" t="str">
        <f>IFERROR(VLOOKUP($B15,Kraftvärmeprod!$B$1:$AH$478,MATCH(C$2,Kraftvärmeprod!$B$1:$AG$1,0),FALSE)/1,"")</f>
        <v/>
      </c>
      <c r="D15" s="121" t="str">
        <f>IFERROR(VLOOKUP($B15,Kraftvärmeprod!$B$1:$AH$478,MATCH(D$2,Kraftvärmeprod!$B$1:$AG$1,0),FALSE)/1,"")</f>
        <v/>
      </c>
      <c r="F15" s="121" t="str">
        <f>IF($D15="","",IFERROR(VLOOKUP($B15,Kraftvärmeprod!$B$1:$BX$549,MATCH(F$2,Kraftvärmeprod!$B$1:$VX$1,0),FALSE)/1,0)-IFERROR(VLOOKUP($B15,'Slutlig allokering kvv'!$B$2:$BX$549,MATCH(F$2,'Slutlig allokering kvv'!$B$1:$BX$1,0),FALSE)/1,0))</f>
        <v/>
      </c>
      <c r="G15" s="121" t="str">
        <f>IF($D15="","",IFERROR(VLOOKUP($B15,Kraftvärmeprod!$B$1:$BX$549,MATCH(G$2,Kraftvärmeprod!$B$1:$VX$1,0),FALSE)/1,0)-IFERROR(VLOOKUP($B15,'Slutlig allokering kvv'!$B$2:$BX$549,MATCH(G$2,'Slutlig allokering kvv'!$B$1:$BX$1,0),FALSE)/1,0))</f>
        <v/>
      </c>
      <c r="H15" s="121" t="str">
        <f>IF($D15="","",IFERROR(VLOOKUP($B15,Kraftvärmeprod!$B$1:$BX$549,MATCH(H$2,Kraftvärmeprod!$B$1:$VX$1,0),FALSE)/1,0)-IFERROR(VLOOKUP($B15,'Slutlig allokering kvv'!$B$2:$BX$549,MATCH(H$2,'Slutlig allokering kvv'!$B$1:$BX$1,0),FALSE)/1,0))</f>
        <v/>
      </c>
      <c r="I15" s="121" t="str">
        <f>IF($D15="","",IFERROR(VLOOKUP($B15,Kraftvärmeprod!$B$1:$BX$549,MATCH(I$2,Kraftvärmeprod!$B$1:$VX$1,0),FALSE)/1,0)-IFERROR(VLOOKUP($B15,'Slutlig allokering kvv'!$B$2:$BX$549,MATCH(I$2,'Slutlig allokering kvv'!$B$1:$BX$1,0),FALSE)/1,0))</f>
        <v/>
      </c>
      <c r="J15" s="121" t="str">
        <f>IF($D15="","",IFERROR(VLOOKUP($B15,Kraftvärmeprod!$B$1:$BX$549,MATCH(J$2,Kraftvärmeprod!$B$1:$VX$1,0),FALSE)/1,0)-IFERROR(VLOOKUP($B15,'Slutlig allokering kvv'!$B$2:$BX$549,MATCH(J$2,'Slutlig allokering kvv'!$B$1:$BX$1,0),FALSE)/1,0))</f>
        <v/>
      </c>
      <c r="K15" s="121" t="str">
        <f>IF($D15="","",IFERROR(VLOOKUP($B15,Kraftvärmeprod!$B$1:$BX$549,MATCH(K$2,Kraftvärmeprod!$B$1:$VX$1,0),FALSE)/1,0)-IFERROR(VLOOKUP($B15,'Slutlig allokering kvv'!$B$2:$BX$549,MATCH(K$2,'Slutlig allokering kvv'!$B$1:$BX$1,0),FALSE)/1,0))</f>
        <v/>
      </c>
      <c r="L15" s="121" t="str">
        <f>IF($D15="","",IFERROR(VLOOKUP($B15,Kraftvärmeprod!$B$1:$BX$549,MATCH(L$2,Kraftvärmeprod!$B$1:$VX$1,0),FALSE)/1,0)-IFERROR(VLOOKUP($B15,'Slutlig allokering kvv'!$B$2:$BX$549,MATCH(L$2,'Slutlig allokering kvv'!$B$1:$BX$1,0),FALSE)/1,0))</f>
        <v/>
      </c>
      <c r="M15" s="121" t="str">
        <f>IF($D15="","",IFERROR(VLOOKUP($B15,Kraftvärmeprod!$B$1:$BX$549,MATCH(M$2,Kraftvärmeprod!$B$1:$VX$1,0),FALSE)/1,0)-IFERROR(VLOOKUP($B15,'Slutlig allokering kvv'!$B$2:$BX$549,MATCH(M$2,'Slutlig allokering kvv'!$B$1:$BX$1,0),FALSE)/1,0))</f>
        <v/>
      </c>
      <c r="N15" s="121" t="str">
        <f>IF($D15="","",IFERROR(VLOOKUP($B15,Kraftvärmeprod!$B$1:$BX$549,MATCH(N$2,Kraftvärmeprod!$B$1:$VX$1,0),FALSE)/1,0)-IFERROR(VLOOKUP($B15,'Slutlig allokering kvv'!$B$2:$BX$549,MATCH(N$2,'Slutlig allokering kvv'!$B$1:$BX$1,0),FALSE)/1,0))</f>
        <v/>
      </c>
      <c r="O15" s="121" t="str">
        <f>IF($D15="","",IFERROR(VLOOKUP($B15,Kraftvärmeprod!$B$1:$BX$549,MATCH(O$2,Kraftvärmeprod!$B$1:$VX$1,0),FALSE)/1,0)-IFERROR(VLOOKUP($B15,'Slutlig allokering kvv'!$B$2:$BX$549,MATCH(O$2,'Slutlig allokering kvv'!$B$1:$BX$1,0),FALSE)/1,0))</f>
        <v/>
      </c>
      <c r="P15" s="121" t="str">
        <f>IF($D15="","",IFERROR(VLOOKUP($B15,Kraftvärmeprod!$B$1:$BX$549,MATCH(P$2,Kraftvärmeprod!$B$1:$VX$1,0),FALSE)/1,0)-IFERROR(VLOOKUP($B15,'Slutlig allokering kvv'!$B$2:$BX$549,MATCH(P$2,'Slutlig allokering kvv'!$B$1:$BX$1,0),FALSE)/1,0))</f>
        <v/>
      </c>
      <c r="Q15" s="121" t="str">
        <f>IF($D15="","",IFERROR(VLOOKUP($B15,Kraftvärmeprod!$B$1:$BX$549,MATCH(Q$2,Kraftvärmeprod!$B$1:$VX$1,0),FALSE)/1,0)-IFERROR(VLOOKUP($B15,'Slutlig allokering kvv'!$B$2:$BX$549,MATCH(Q$2,'Slutlig allokering kvv'!$B$1:$BX$1,0),FALSE)/1,0))</f>
        <v/>
      </c>
      <c r="R15" s="121" t="str">
        <f>IF($D15="","",IFERROR(VLOOKUP($B15,Kraftvärmeprod!$B$1:$BX$549,MATCH(R$2,Kraftvärmeprod!$B$1:$VX$1,0),FALSE)/1,0)-IFERROR(VLOOKUP($B15,'Slutlig allokering kvv'!$B$2:$BX$549,MATCH(R$2,'Slutlig allokering kvv'!$B$1:$BX$1,0),FALSE)/1,0))</f>
        <v/>
      </c>
      <c r="S15" s="121" t="str">
        <f>IF($D15="","",IFERROR(VLOOKUP($B15,Kraftvärmeprod!$B$1:$BX$549,MATCH(S$2,Kraftvärmeprod!$B$1:$VX$1,0),FALSE)/1,0)-IFERROR(VLOOKUP($B15,'Slutlig allokering kvv'!$B$2:$BX$549,MATCH(S$2,'Slutlig allokering kvv'!$B$1:$BX$1,0),FALSE)/1,0))</f>
        <v/>
      </c>
      <c r="T15" s="121" t="str">
        <f>IF($D15="","",IFERROR(VLOOKUP($B15,Kraftvärmeprod!$B$1:$BX$549,MATCH(T$2,Kraftvärmeprod!$B$1:$VX$1,0),FALSE)/1,0)-IFERROR(VLOOKUP($B15,'Slutlig allokering kvv'!$B$2:$BX$549,MATCH(T$2,'Slutlig allokering kvv'!$B$1:$BX$1,0),FALSE)/1,0))</f>
        <v/>
      </c>
      <c r="U15" s="121" t="str">
        <f>IF($D15="","",IFERROR(VLOOKUP($B15,Kraftvärmeprod!$B$1:$BX$549,MATCH(U$2,Kraftvärmeprod!$B$1:$VX$1,0),FALSE)/1,0)-IFERROR(VLOOKUP($B15,'Slutlig allokering kvv'!$B$2:$BX$549,MATCH(U$2,'Slutlig allokering kvv'!$B$1:$BX$1,0),FALSE)/1,0))</f>
        <v/>
      </c>
      <c r="V15" s="121" t="str">
        <f>IF($D15="","",IFERROR(VLOOKUP($B15,Kraftvärmeprod!$B$1:$BX$549,MATCH(V$2,Kraftvärmeprod!$B$1:$VX$1,0),FALSE)/1,0)-IFERROR(VLOOKUP($B15,'Slutlig allokering kvv'!$B$2:$BX$549,MATCH(V$2,'Slutlig allokering kvv'!$B$1:$BX$1,0),FALSE)/1,0))</f>
        <v/>
      </c>
      <c r="W15" s="121" t="str">
        <f>IF($D15="","",IFERROR(VLOOKUP($B15,Kraftvärmeprod!$B$1:$BX$549,MATCH(W$2,Kraftvärmeprod!$B$1:$VX$1,0),FALSE)/1,0)-IFERROR(VLOOKUP($B15,'Slutlig allokering kvv'!$B$2:$BX$549,MATCH(W$2,'Slutlig allokering kvv'!$B$1:$BX$1,0),FALSE)/1,0))</f>
        <v/>
      </c>
      <c r="X15" s="121" t="str">
        <f>IF($D15="","",IFERROR(VLOOKUP($B15,Kraftvärmeprod!$B$1:$BX$549,MATCH(X$2,Kraftvärmeprod!$B$1:$VX$1,0),FALSE)/1,0)-IFERROR(VLOOKUP($B15,'Slutlig allokering kvv'!$B$2:$BX$549,MATCH(X$2,'Slutlig allokering kvv'!$B$1:$BX$1,0),FALSE)/1,0))</f>
        <v/>
      </c>
      <c r="Y15" s="121" t="str">
        <f>IF($D15="","",IFERROR(VLOOKUP($B15,Kraftvärmeprod!$B$1:$BX$549,MATCH(Y$2,Kraftvärmeprod!$B$1:$VX$1,0),FALSE)/1,0)-IFERROR(VLOOKUP($B15,'Slutlig allokering kvv'!$B$2:$BX$549,MATCH(Y$2,'Slutlig allokering kvv'!$B$1:$BX$1,0),FALSE)/1,0))</f>
        <v/>
      </c>
      <c r="Z15" s="121" t="str">
        <f>IF($D15="","",IFERROR(VLOOKUP($B15,Kraftvärmeprod!$B$1:$BX$549,MATCH(Z$2,Kraftvärmeprod!$B$1:$VX$1,0),FALSE)/1,0)-IFERROR(VLOOKUP($B15,'Slutlig allokering kvv'!$B$2:$BX$549,MATCH(Z$2,'Slutlig allokering kvv'!$B$1:$BX$1,0),FALSE)/1,0))</f>
        <v/>
      </c>
      <c r="AA15" s="121" t="str">
        <f>IF($D15="","",IFERROR(VLOOKUP($B15,Kraftvärmeprod!$B$1:$BX$549,MATCH(AA$2,Kraftvärmeprod!$B$1:$VX$1,0),FALSE)/1,0)-IFERROR(VLOOKUP($B15,'Slutlig allokering kvv'!$B$2:$BX$549,MATCH(AA$2,'Slutlig allokering kvv'!$B$1:$BX$1,0),FALSE)/1,0))</f>
        <v/>
      </c>
      <c r="AB15" s="121" t="str">
        <f>IF($D15="","",IFERROR(VLOOKUP($B15,Kraftvärmeprod!$B$1:$BX$549,MATCH(AB$2,Kraftvärmeprod!$B$1:$VX$1,0),FALSE)/1,0)-IFERROR(VLOOKUP($B15,'Slutlig allokering kvv'!$B$2:$BX$549,MATCH(AB$2,'Slutlig allokering kvv'!$B$1:$BX$1,0),FALSE)/1,0))</f>
        <v/>
      </c>
      <c r="AC15" s="121" t="str">
        <f>IF($D15="","",IFERROR(VLOOKUP($B15,Kraftvärmeprod!$B$1:$BX$549,MATCH(AC$2,Kraftvärmeprod!$B$1:$VX$1,0),FALSE)/1,0)-IFERROR(VLOOKUP($B15,'Slutlig allokering kvv'!$B$2:$BX$549,MATCH(AC$2,'Slutlig allokering kvv'!$B$1:$BX$1,0),FALSE)/1,0))</f>
        <v/>
      </c>
      <c r="AD15" s="121" t="str">
        <f>IF($D15="","",IFERROR(VLOOKUP($B15,Kraftvärmeprod!$B$1:$BX$549,MATCH(AD$2,Kraftvärmeprod!$B$1:$VX$1,0),FALSE)/1,0)-IFERROR(VLOOKUP($B15,'Slutlig allokering kvv'!$B$2:$BX$549,MATCH(AD$2,'Slutlig allokering kvv'!$B$1:$BX$1,0),FALSE)/1,0))</f>
        <v/>
      </c>
      <c r="AE15" s="121" t="str">
        <f>IF($D15="","",IFERROR(VLOOKUP($B15,Miljö!$B$1:$E$550,MATCH("Hjälpel kraftvärme (GWh)",Miljö!$B$1:$E$1,0),FALSE)/1,0)-IFERROR(VLOOKUP($B15,'Slutlig allokering kvv'!$B$2:$BX$549,MATCH(AE$2,'Slutlig allokering kvv'!$B$1:$BX$1,0),FALSE)/1,0))</f>
        <v/>
      </c>
      <c r="AI15" s="121">
        <f t="shared" si="0"/>
        <v>0</v>
      </c>
      <c r="AK15" s="121">
        <f>IFERROR(VLOOKUP($B15,'Slutlig allokering kvv'!$B$2:$AX$549,MATCH("Summa slutlig allokerad tillförd energi (utan hjälpel och rökgaskondensering):",'Slutlig allokering kvv'!$B$1:$AX$1,0),FALSE)/1,"")</f>
        <v>0</v>
      </c>
      <c r="AM15" s="172" t="str">
        <f>IFERROR(1-VLOOKUP($B15,'Slutlig allokering kvv'!$B$2:$AX$549,MATCH("Andel av bränsle i kvv som allokerats till värme, exklusive rökgaskondensering och hjälpel",'Slutlig allokering kvv'!$B$1:$AX$1,0),FALSE),"")</f>
        <v/>
      </c>
      <c r="AO15" s="172" t="str">
        <f t="shared" si="1"/>
        <v/>
      </c>
      <c r="AP15" s="173" t="str">
        <f t="shared" si="2"/>
        <v/>
      </c>
      <c r="AR15" s="172" t="str">
        <f t="shared" si="3"/>
        <v/>
      </c>
    </row>
    <row r="16" spans="1:46" x14ac:dyDescent="0.25">
      <c r="A16" s="171" t="str">
        <f>'Miljövärden för publ företag'!B18</f>
        <v>Adven Värme AB.</v>
      </c>
      <c r="B16" s="171" t="str">
        <f>'Miljövärden för publ företag'!C18</f>
        <v>Funäsdalen</v>
      </c>
      <c r="C16" s="121" t="str">
        <f>IFERROR(VLOOKUP($B16,Kraftvärmeprod!$B$1:$AH$478,MATCH(C$2,Kraftvärmeprod!$B$1:$AG$1,0),FALSE)/1,"")</f>
        <v/>
      </c>
      <c r="D16" s="121" t="str">
        <f>IFERROR(VLOOKUP($B16,Kraftvärmeprod!$B$1:$AH$478,MATCH(D$2,Kraftvärmeprod!$B$1:$AG$1,0),FALSE)/1,"")</f>
        <v/>
      </c>
      <c r="F16" s="121" t="str">
        <f>IF($D16="","",IFERROR(VLOOKUP($B16,Kraftvärmeprod!$B$1:$BX$549,MATCH(F$2,Kraftvärmeprod!$B$1:$VX$1,0),FALSE)/1,0)-IFERROR(VLOOKUP($B16,'Slutlig allokering kvv'!$B$2:$BX$549,MATCH(F$2,'Slutlig allokering kvv'!$B$1:$BX$1,0),FALSE)/1,0))</f>
        <v/>
      </c>
      <c r="G16" s="121" t="str">
        <f>IF($D16="","",IFERROR(VLOOKUP($B16,Kraftvärmeprod!$B$1:$BX$549,MATCH(G$2,Kraftvärmeprod!$B$1:$VX$1,0),FALSE)/1,0)-IFERROR(VLOOKUP($B16,'Slutlig allokering kvv'!$B$2:$BX$549,MATCH(G$2,'Slutlig allokering kvv'!$B$1:$BX$1,0),FALSE)/1,0))</f>
        <v/>
      </c>
      <c r="H16" s="121" t="str">
        <f>IF($D16="","",IFERROR(VLOOKUP($B16,Kraftvärmeprod!$B$1:$BX$549,MATCH(H$2,Kraftvärmeprod!$B$1:$VX$1,0),FALSE)/1,0)-IFERROR(VLOOKUP($B16,'Slutlig allokering kvv'!$B$2:$BX$549,MATCH(H$2,'Slutlig allokering kvv'!$B$1:$BX$1,0),FALSE)/1,0))</f>
        <v/>
      </c>
      <c r="I16" s="121" t="str">
        <f>IF($D16="","",IFERROR(VLOOKUP($B16,Kraftvärmeprod!$B$1:$BX$549,MATCH(I$2,Kraftvärmeprod!$B$1:$VX$1,0),FALSE)/1,0)-IFERROR(VLOOKUP($B16,'Slutlig allokering kvv'!$B$2:$BX$549,MATCH(I$2,'Slutlig allokering kvv'!$B$1:$BX$1,0),FALSE)/1,0))</f>
        <v/>
      </c>
      <c r="J16" s="121" t="str">
        <f>IF($D16="","",IFERROR(VLOOKUP($B16,Kraftvärmeprod!$B$1:$BX$549,MATCH(J$2,Kraftvärmeprod!$B$1:$VX$1,0),FALSE)/1,0)-IFERROR(VLOOKUP($B16,'Slutlig allokering kvv'!$B$2:$BX$549,MATCH(J$2,'Slutlig allokering kvv'!$B$1:$BX$1,0),FALSE)/1,0))</f>
        <v/>
      </c>
      <c r="K16" s="121" t="str">
        <f>IF($D16="","",IFERROR(VLOOKUP($B16,Kraftvärmeprod!$B$1:$BX$549,MATCH(K$2,Kraftvärmeprod!$B$1:$VX$1,0),FALSE)/1,0)-IFERROR(VLOOKUP($B16,'Slutlig allokering kvv'!$B$2:$BX$549,MATCH(K$2,'Slutlig allokering kvv'!$B$1:$BX$1,0),FALSE)/1,0))</f>
        <v/>
      </c>
      <c r="L16" s="121" t="str">
        <f>IF($D16="","",IFERROR(VLOOKUP($B16,Kraftvärmeprod!$B$1:$BX$549,MATCH(L$2,Kraftvärmeprod!$B$1:$VX$1,0),FALSE)/1,0)-IFERROR(VLOOKUP($B16,'Slutlig allokering kvv'!$B$2:$BX$549,MATCH(L$2,'Slutlig allokering kvv'!$B$1:$BX$1,0),FALSE)/1,0))</f>
        <v/>
      </c>
      <c r="M16" s="121" t="str">
        <f>IF($D16="","",IFERROR(VLOOKUP($B16,Kraftvärmeprod!$B$1:$BX$549,MATCH(M$2,Kraftvärmeprod!$B$1:$VX$1,0),FALSE)/1,0)-IFERROR(VLOOKUP($B16,'Slutlig allokering kvv'!$B$2:$BX$549,MATCH(M$2,'Slutlig allokering kvv'!$B$1:$BX$1,0),FALSE)/1,0))</f>
        <v/>
      </c>
      <c r="N16" s="121" t="str">
        <f>IF($D16="","",IFERROR(VLOOKUP($B16,Kraftvärmeprod!$B$1:$BX$549,MATCH(N$2,Kraftvärmeprod!$B$1:$VX$1,0),FALSE)/1,0)-IFERROR(VLOOKUP($B16,'Slutlig allokering kvv'!$B$2:$BX$549,MATCH(N$2,'Slutlig allokering kvv'!$B$1:$BX$1,0),FALSE)/1,0))</f>
        <v/>
      </c>
      <c r="O16" s="121" t="str">
        <f>IF($D16="","",IFERROR(VLOOKUP($B16,Kraftvärmeprod!$B$1:$BX$549,MATCH(O$2,Kraftvärmeprod!$B$1:$VX$1,0),FALSE)/1,0)-IFERROR(VLOOKUP($B16,'Slutlig allokering kvv'!$B$2:$BX$549,MATCH(O$2,'Slutlig allokering kvv'!$B$1:$BX$1,0),FALSE)/1,0))</f>
        <v/>
      </c>
      <c r="P16" s="121" t="str">
        <f>IF($D16="","",IFERROR(VLOOKUP($B16,Kraftvärmeprod!$B$1:$BX$549,MATCH(P$2,Kraftvärmeprod!$B$1:$VX$1,0),FALSE)/1,0)-IFERROR(VLOOKUP($B16,'Slutlig allokering kvv'!$B$2:$BX$549,MATCH(P$2,'Slutlig allokering kvv'!$B$1:$BX$1,0),FALSE)/1,0))</f>
        <v/>
      </c>
      <c r="Q16" s="121" t="str">
        <f>IF($D16="","",IFERROR(VLOOKUP($B16,Kraftvärmeprod!$B$1:$BX$549,MATCH(Q$2,Kraftvärmeprod!$B$1:$VX$1,0),FALSE)/1,0)-IFERROR(VLOOKUP($B16,'Slutlig allokering kvv'!$B$2:$BX$549,MATCH(Q$2,'Slutlig allokering kvv'!$B$1:$BX$1,0),FALSE)/1,0))</f>
        <v/>
      </c>
      <c r="R16" s="121" t="str">
        <f>IF($D16="","",IFERROR(VLOOKUP($B16,Kraftvärmeprod!$B$1:$BX$549,MATCH(R$2,Kraftvärmeprod!$B$1:$VX$1,0),FALSE)/1,0)-IFERROR(VLOOKUP($B16,'Slutlig allokering kvv'!$B$2:$BX$549,MATCH(R$2,'Slutlig allokering kvv'!$B$1:$BX$1,0),FALSE)/1,0))</f>
        <v/>
      </c>
      <c r="S16" s="121" t="str">
        <f>IF($D16="","",IFERROR(VLOOKUP($B16,Kraftvärmeprod!$B$1:$BX$549,MATCH(S$2,Kraftvärmeprod!$B$1:$VX$1,0),FALSE)/1,0)-IFERROR(VLOOKUP($B16,'Slutlig allokering kvv'!$B$2:$BX$549,MATCH(S$2,'Slutlig allokering kvv'!$B$1:$BX$1,0),FALSE)/1,0))</f>
        <v/>
      </c>
      <c r="T16" s="121" t="str">
        <f>IF($D16="","",IFERROR(VLOOKUP($B16,Kraftvärmeprod!$B$1:$BX$549,MATCH(T$2,Kraftvärmeprod!$B$1:$VX$1,0),FALSE)/1,0)-IFERROR(VLOOKUP($B16,'Slutlig allokering kvv'!$B$2:$BX$549,MATCH(T$2,'Slutlig allokering kvv'!$B$1:$BX$1,0),FALSE)/1,0))</f>
        <v/>
      </c>
      <c r="U16" s="121" t="str">
        <f>IF($D16="","",IFERROR(VLOOKUP($B16,Kraftvärmeprod!$B$1:$BX$549,MATCH(U$2,Kraftvärmeprod!$B$1:$VX$1,0),FALSE)/1,0)-IFERROR(VLOOKUP($B16,'Slutlig allokering kvv'!$B$2:$BX$549,MATCH(U$2,'Slutlig allokering kvv'!$B$1:$BX$1,0),FALSE)/1,0))</f>
        <v/>
      </c>
      <c r="V16" s="121" t="str">
        <f>IF($D16="","",IFERROR(VLOOKUP($B16,Kraftvärmeprod!$B$1:$BX$549,MATCH(V$2,Kraftvärmeprod!$B$1:$VX$1,0),FALSE)/1,0)-IFERROR(VLOOKUP($B16,'Slutlig allokering kvv'!$B$2:$BX$549,MATCH(V$2,'Slutlig allokering kvv'!$B$1:$BX$1,0),FALSE)/1,0))</f>
        <v/>
      </c>
      <c r="W16" s="121" t="str">
        <f>IF($D16="","",IFERROR(VLOOKUP($B16,Kraftvärmeprod!$B$1:$BX$549,MATCH(W$2,Kraftvärmeprod!$B$1:$VX$1,0),FALSE)/1,0)-IFERROR(VLOOKUP($B16,'Slutlig allokering kvv'!$B$2:$BX$549,MATCH(W$2,'Slutlig allokering kvv'!$B$1:$BX$1,0),FALSE)/1,0))</f>
        <v/>
      </c>
      <c r="X16" s="121" t="str">
        <f>IF($D16="","",IFERROR(VLOOKUP($B16,Kraftvärmeprod!$B$1:$BX$549,MATCH(X$2,Kraftvärmeprod!$B$1:$VX$1,0),FALSE)/1,0)-IFERROR(VLOOKUP($B16,'Slutlig allokering kvv'!$B$2:$BX$549,MATCH(X$2,'Slutlig allokering kvv'!$B$1:$BX$1,0),FALSE)/1,0))</f>
        <v/>
      </c>
      <c r="Y16" s="121" t="str">
        <f>IF($D16="","",IFERROR(VLOOKUP($B16,Kraftvärmeprod!$B$1:$BX$549,MATCH(Y$2,Kraftvärmeprod!$B$1:$VX$1,0),FALSE)/1,0)-IFERROR(VLOOKUP($B16,'Slutlig allokering kvv'!$B$2:$BX$549,MATCH(Y$2,'Slutlig allokering kvv'!$B$1:$BX$1,0),FALSE)/1,0))</f>
        <v/>
      </c>
      <c r="Z16" s="121" t="str">
        <f>IF($D16="","",IFERROR(VLOOKUP($B16,Kraftvärmeprod!$B$1:$BX$549,MATCH(Z$2,Kraftvärmeprod!$B$1:$VX$1,0),FALSE)/1,0)-IFERROR(VLOOKUP($B16,'Slutlig allokering kvv'!$B$2:$BX$549,MATCH(Z$2,'Slutlig allokering kvv'!$B$1:$BX$1,0),FALSE)/1,0))</f>
        <v/>
      </c>
      <c r="AA16" s="121" t="str">
        <f>IF($D16="","",IFERROR(VLOOKUP($B16,Kraftvärmeprod!$B$1:$BX$549,MATCH(AA$2,Kraftvärmeprod!$B$1:$VX$1,0),FALSE)/1,0)-IFERROR(VLOOKUP($B16,'Slutlig allokering kvv'!$B$2:$BX$549,MATCH(AA$2,'Slutlig allokering kvv'!$B$1:$BX$1,0),FALSE)/1,0))</f>
        <v/>
      </c>
      <c r="AB16" s="121" t="str">
        <f>IF($D16="","",IFERROR(VLOOKUP($B16,Kraftvärmeprod!$B$1:$BX$549,MATCH(AB$2,Kraftvärmeprod!$B$1:$VX$1,0),FALSE)/1,0)-IFERROR(VLOOKUP($B16,'Slutlig allokering kvv'!$B$2:$BX$549,MATCH(AB$2,'Slutlig allokering kvv'!$B$1:$BX$1,0),FALSE)/1,0))</f>
        <v/>
      </c>
      <c r="AC16" s="121" t="str">
        <f>IF($D16="","",IFERROR(VLOOKUP($B16,Kraftvärmeprod!$B$1:$BX$549,MATCH(AC$2,Kraftvärmeprod!$B$1:$VX$1,0),FALSE)/1,0)-IFERROR(VLOOKUP($B16,'Slutlig allokering kvv'!$B$2:$BX$549,MATCH(AC$2,'Slutlig allokering kvv'!$B$1:$BX$1,0),FALSE)/1,0))</f>
        <v/>
      </c>
      <c r="AD16" s="121" t="str">
        <f>IF($D16="","",IFERROR(VLOOKUP($B16,Kraftvärmeprod!$B$1:$BX$549,MATCH(AD$2,Kraftvärmeprod!$B$1:$VX$1,0),FALSE)/1,0)-IFERROR(VLOOKUP($B16,'Slutlig allokering kvv'!$B$2:$BX$549,MATCH(AD$2,'Slutlig allokering kvv'!$B$1:$BX$1,0),FALSE)/1,0))</f>
        <v/>
      </c>
      <c r="AE16" s="121" t="str">
        <f>IF($D16="","",IFERROR(VLOOKUP($B16,Miljö!$B$1:$E$550,MATCH("Hjälpel kraftvärme (GWh)",Miljö!$B$1:$E$1,0),FALSE)/1,0)-IFERROR(VLOOKUP($B16,'Slutlig allokering kvv'!$B$2:$BX$549,MATCH(AE$2,'Slutlig allokering kvv'!$B$1:$BX$1,0),FALSE)/1,0))</f>
        <v/>
      </c>
      <c r="AI16" s="121">
        <f t="shared" si="0"/>
        <v>0</v>
      </c>
      <c r="AK16" s="121">
        <f>IFERROR(VLOOKUP($B16,'Slutlig allokering kvv'!$B$2:$AX$549,MATCH("Summa slutlig allokerad tillförd energi (utan hjälpel och rökgaskondensering):",'Slutlig allokering kvv'!$B$1:$AX$1,0),FALSE)/1,"")</f>
        <v>0</v>
      </c>
      <c r="AM16" s="172" t="str">
        <f>IFERROR(1-VLOOKUP($B16,'Slutlig allokering kvv'!$B$2:$AX$549,MATCH("Andel av bränsle i kvv som allokerats till värme, exklusive rökgaskondensering och hjälpel",'Slutlig allokering kvv'!$B$1:$AX$1,0),FALSE),"")</f>
        <v/>
      </c>
      <c r="AO16" s="172" t="str">
        <f t="shared" si="1"/>
        <v/>
      </c>
      <c r="AP16" s="173" t="str">
        <f t="shared" si="2"/>
        <v/>
      </c>
      <c r="AR16" s="172" t="str">
        <f t="shared" si="3"/>
        <v/>
      </c>
    </row>
    <row r="17" spans="1:44" x14ac:dyDescent="0.25">
      <c r="A17" s="171" t="str">
        <f>'Miljövärden för publ företag'!B19</f>
        <v>Adven Värme AB.</v>
      </c>
      <c r="B17" s="171" t="str">
        <f>'Miljövärden för publ företag'!C19</f>
        <v>Hede</v>
      </c>
      <c r="C17" s="121" t="str">
        <f>IFERROR(VLOOKUP($B17,Kraftvärmeprod!$B$1:$AH$478,MATCH(C$2,Kraftvärmeprod!$B$1:$AG$1,0),FALSE)/1,"")</f>
        <v/>
      </c>
      <c r="D17" s="121" t="str">
        <f>IFERROR(VLOOKUP($B17,Kraftvärmeprod!$B$1:$AH$478,MATCH(D$2,Kraftvärmeprod!$B$1:$AG$1,0),FALSE)/1,"")</f>
        <v/>
      </c>
      <c r="F17" s="121" t="str">
        <f>IF($D17="","",IFERROR(VLOOKUP($B17,Kraftvärmeprod!$B$1:$BX$549,MATCH(F$2,Kraftvärmeprod!$B$1:$VX$1,0),FALSE)/1,0)-IFERROR(VLOOKUP($B17,'Slutlig allokering kvv'!$B$2:$BX$549,MATCH(F$2,'Slutlig allokering kvv'!$B$1:$BX$1,0),FALSE)/1,0))</f>
        <v/>
      </c>
      <c r="G17" s="121" t="str">
        <f>IF($D17="","",IFERROR(VLOOKUP($B17,Kraftvärmeprod!$B$1:$BX$549,MATCH(G$2,Kraftvärmeprod!$B$1:$VX$1,0),FALSE)/1,0)-IFERROR(VLOOKUP($B17,'Slutlig allokering kvv'!$B$2:$BX$549,MATCH(G$2,'Slutlig allokering kvv'!$B$1:$BX$1,0),FALSE)/1,0))</f>
        <v/>
      </c>
      <c r="H17" s="121" t="str">
        <f>IF($D17="","",IFERROR(VLOOKUP($B17,Kraftvärmeprod!$B$1:$BX$549,MATCH(H$2,Kraftvärmeprod!$B$1:$VX$1,0),FALSE)/1,0)-IFERROR(VLOOKUP($B17,'Slutlig allokering kvv'!$B$2:$BX$549,MATCH(H$2,'Slutlig allokering kvv'!$B$1:$BX$1,0),FALSE)/1,0))</f>
        <v/>
      </c>
      <c r="I17" s="121" t="str">
        <f>IF($D17="","",IFERROR(VLOOKUP($B17,Kraftvärmeprod!$B$1:$BX$549,MATCH(I$2,Kraftvärmeprod!$B$1:$VX$1,0),FALSE)/1,0)-IFERROR(VLOOKUP($B17,'Slutlig allokering kvv'!$B$2:$BX$549,MATCH(I$2,'Slutlig allokering kvv'!$B$1:$BX$1,0),FALSE)/1,0))</f>
        <v/>
      </c>
      <c r="J17" s="121" t="str">
        <f>IF($D17="","",IFERROR(VLOOKUP($B17,Kraftvärmeprod!$B$1:$BX$549,MATCH(J$2,Kraftvärmeprod!$B$1:$VX$1,0),FALSE)/1,0)-IFERROR(VLOOKUP($B17,'Slutlig allokering kvv'!$B$2:$BX$549,MATCH(J$2,'Slutlig allokering kvv'!$B$1:$BX$1,0),FALSE)/1,0))</f>
        <v/>
      </c>
      <c r="K17" s="121" t="str">
        <f>IF($D17="","",IFERROR(VLOOKUP($B17,Kraftvärmeprod!$B$1:$BX$549,MATCH(K$2,Kraftvärmeprod!$B$1:$VX$1,0),FALSE)/1,0)-IFERROR(VLOOKUP($B17,'Slutlig allokering kvv'!$B$2:$BX$549,MATCH(K$2,'Slutlig allokering kvv'!$B$1:$BX$1,0),FALSE)/1,0))</f>
        <v/>
      </c>
      <c r="L17" s="121" t="str">
        <f>IF($D17="","",IFERROR(VLOOKUP($B17,Kraftvärmeprod!$B$1:$BX$549,MATCH(L$2,Kraftvärmeprod!$B$1:$VX$1,0),FALSE)/1,0)-IFERROR(VLOOKUP($B17,'Slutlig allokering kvv'!$B$2:$BX$549,MATCH(L$2,'Slutlig allokering kvv'!$B$1:$BX$1,0),FALSE)/1,0))</f>
        <v/>
      </c>
      <c r="M17" s="121" t="str">
        <f>IF($D17="","",IFERROR(VLOOKUP($B17,Kraftvärmeprod!$B$1:$BX$549,MATCH(M$2,Kraftvärmeprod!$B$1:$VX$1,0),FALSE)/1,0)-IFERROR(VLOOKUP($B17,'Slutlig allokering kvv'!$B$2:$BX$549,MATCH(M$2,'Slutlig allokering kvv'!$B$1:$BX$1,0),FALSE)/1,0))</f>
        <v/>
      </c>
      <c r="N17" s="121" t="str">
        <f>IF($D17="","",IFERROR(VLOOKUP($B17,Kraftvärmeprod!$B$1:$BX$549,MATCH(N$2,Kraftvärmeprod!$B$1:$VX$1,0),FALSE)/1,0)-IFERROR(VLOOKUP($B17,'Slutlig allokering kvv'!$B$2:$BX$549,MATCH(N$2,'Slutlig allokering kvv'!$B$1:$BX$1,0),FALSE)/1,0))</f>
        <v/>
      </c>
      <c r="O17" s="121" t="str">
        <f>IF($D17="","",IFERROR(VLOOKUP($B17,Kraftvärmeprod!$B$1:$BX$549,MATCH(O$2,Kraftvärmeprod!$B$1:$VX$1,0),FALSE)/1,0)-IFERROR(VLOOKUP($B17,'Slutlig allokering kvv'!$B$2:$BX$549,MATCH(O$2,'Slutlig allokering kvv'!$B$1:$BX$1,0),FALSE)/1,0))</f>
        <v/>
      </c>
      <c r="P17" s="121" t="str">
        <f>IF($D17="","",IFERROR(VLOOKUP($B17,Kraftvärmeprod!$B$1:$BX$549,MATCH(P$2,Kraftvärmeprod!$B$1:$VX$1,0),FALSE)/1,0)-IFERROR(VLOOKUP($B17,'Slutlig allokering kvv'!$B$2:$BX$549,MATCH(P$2,'Slutlig allokering kvv'!$B$1:$BX$1,0),FALSE)/1,0))</f>
        <v/>
      </c>
      <c r="Q17" s="121" t="str">
        <f>IF($D17="","",IFERROR(VLOOKUP($B17,Kraftvärmeprod!$B$1:$BX$549,MATCH(Q$2,Kraftvärmeprod!$B$1:$VX$1,0),FALSE)/1,0)-IFERROR(VLOOKUP($B17,'Slutlig allokering kvv'!$B$2:$BX$549,MATCH(Q$2,'Slutlig allokering kvv'!$B$1:$BX$1,0),FALSE)/1,0))</f>
        <v/>
      </c>
      <c r="R17" s="121" t="str">
        <f>IF($D17="","",IFERROR(VLOOKUP($B17,Kraftvärmeprod!$B$1:$BX$549,MATCH(R$2,Kraftvärmeprod!$B$1:$VX$1,0),FALSE)/1,0)-IFERROR(VLOOKUP($B17,'Slutlig allokering kvv'!$B$2:$BX$549,MATCH(R$2,'Slutlig allokering kvv'!$B$1:$BX$1,0),FALSE)/1,0))</f>
        <v/>
      </c>
      <c r="S17" s="121" t="str">
        <f>IF($D17="","",IFERROR(VLOOKUP($B17,Kraftvärmeprod!$B$1:$BX$549,MATCH(S$2,Kraftvärmeprod!$B$1:$VX$1,0),FALSE)/1,0)-IFERROR(VLOOKUP($B17,'Slutlig allokering kvv'!$B$2:$BX$549,MATCH(S$2,'Slutlig allokering kvv'!$B$1:$BX$1,0),FALSE)/1,0))</f>
        <v/>
      </c>
      <c r="T17" s="121" t="str">
        <f>IF($D17="","",IFERROR(VLOOKUP($B17,Kraftvärmeprod!$B$1:$BX$549,MATCH(T$2,Kraftvärmeprod!$B$1:$VX$1,0),FALSE)/1,0)-IFERROR(VLOOKUP($B17,'Slutlig allokering kvv'!$B$2:$BX$549,MATCH(T$2,'Slutlig allokering kvv'!$B$1:$BX$1,0),FALSE)/1,0))</f>
        <v/>
      </c>
      <c r="U17" s="121" t="str">
        <f>IF($D17="","",IFERROR(VLOOKUP($B17,Kraftvärmeprod!$B$1:$BX$549,MATCH(U$2,Kraftvärmeprod!$B$1:$VX$1,0),FALSE)/1,0)-IFERROR(VLOOKUP($B17,'Slutlig allokering kvv'!$B$2:$BX$549,MATCH(U$2,'Slutlig allokering kvv'!$B$1:$BX$1,0),FALSE)/1,0))</f>
        <v/>
      </c>
      <c r="V17" s="121" t="str">
        <f>IF($D17="","",IFERROR(VLOOKUP($B17,Kraftvärmeprod!$B$1:$BX$549,MATCH(V$2,Kraftvärmeprod!$B$1:$VX$1,0),FALSE)/1,0)-IFERROR(VLOOKUP($B17,'Slutlig allokering kvv'!$B$2:$BX$549,MATCH(V$2,'Slutlig allokering kvv'!$B$1:$BX$1,0),FALSE)/1,0))</f>
        <v/>
      </c>
      <c r="W17" s="121" t="str">
        <f>IF($D17="","",IFERROR(VLOOKUP($B17,Kraftvärmeprod!$B$1:$BX$549,MATCH(W$2,Kraftvärmeprod!$B$1:$VX$1,0),FALSE)/1,0)-IFERROR(VLOOKUP($B17,'Slutlig allokering kvv'!$B$2:$BX$549,MATCH(W$2,'Slutlig allokering kvv'!$B$1:$BX$1,0),FALSE)/1,0))</f>
        <v/>
      </c>
      <c r="X17" s="121" t="str">
        <f>IF($D17="","",IFERROR(VLOOKUP($B17,Kraftvärmeprod!$B$1:$BX$549,MATCH(X$2,Kraftvärmeprod!$B$1:$VX$1,0),FALSE)/1,0)-IFERROR(VLOOKUP($B17,'Slutlig allokering kvv'!$B$2:$BX$549,MATCH(X$2,'Slutlig allokering kvv'!$B$1:$BX$1,0),FALSE)/1,0))</f>
        <v/>
      </c>
      <c r="Y17" s="121" t="str">
        <f>IF($D17="","",IFERROR(VLOOKUP($B17,Kraftvärmeprod!$B$1:$BX$549,MATCH(Y$2,Kraftvärmeprod!$B$1:$VX$1,0),FALSE)/1,0)-IFERROR(VLOOKUP($B17,'Slutlig allokering kvv'!$B$2:$BX$549,MATCH(Y$2,'Slutlig allokering kvv'!$B$1:$BX$1,0),FALSE)/1,0))</f>
        <v/>
      </c>
      <c r="Z17" s="121" t="str">
        <f>IF($D17="","",IFERROR(VLOOKUP($B17,Kraftvärmeprod!$B$1:$BX$549,MATCH(Z$2,Kraftvärmeprod!$B$1:$VX$1,0),FALSE)/1,0)-IFERROR(VLOOKUP($B17,'Slutlig allokering kvv'!$B$2:$BX$549,MATCH(Z$2,'Slutlig allokering kvv'!$B$1:$BX$1,0),FALSE)/1,0))</f>
        <v/>
      </c>
      <c r="AA17" s="121" t="str">
        <f>IF($D17="","",IFERROR(VLOOKUP($B17,Kraftvärmeprod!$B$1:$BX$549,MATCH(AA$2,Kraftvärmeprod!$B$1:$VX$1,0),FALSE)/1,0)-IFERROR(VLOOKUP($B17,'Slutlig allokering kvv'!$B$2:$BX$549,MATCH(AA$2,'Slutlig allokering kvv'!$B$1:$BX$1,0),FALSE)/1,0))</f>
        <v/>
      </c>
      <c r="AB17" s="121" t="str">
        <f>IF($D17="","",IFERROR(VLOOKUP($B17,Kraftvärmeprod!$B$1:$BX$549,MATCH(AB$2,Kraftvärmeprod!$B$1:$VX$1,0),FALSE)/1,0)-IFERROR(VLOOKUP($B17,'Slutlig allokering kvv'!$B$2:$BX$549,MATCH(AB$2,'Slutlig allokering kvv'!$B$1:$BX$1,0),FALSE)/1,0))</f>
        <v/>
      </c>
      <c r="AC17" s="121" t="str">
        <f>IF($D17="","",IFERROR(VLOOKUP($B17,Kraftvärmeprod!$B$1:$BX$549,MATCH(AC$2,Kraftvärmeprod!$B$1:$VX$1,0),FALSE)/1,0)-IFERROR(VLOOKUP($B17,'Slutlig allokering kvv'!$B$2:$BX$549,MATCH(AC$2,'Slutlig allokering kvv'!$B$1:$BX$1,0),FALSE)/1,0))</f>
        <v/>
      </c>
      <c r="AD17" s="121" t="str">
        <f>IF($D17="","",IFERROR(VLOOKUP($B17,Kraftvärmeprod!$B$1:$BX$549,MATCH(AD$2,Kraftvärmeprod!$B$1:$VX$1,0),FALSE)/1,0)-IFERROR(VLOOKUP($B17,'Slutlig allokering kvv'!$B$2:$BX$549,MATCH(AD$2,'Slutlig allokering kvv'!$B$1:$BX$1,0),FALSE)/1,0))</f>
        <v/>
      </c>
      <c r="AE17" s="121" t="str">
        <f>IF($D17="","",IFERROR(VLOOKUP($B17,Miljö!$B$1:$E$550,MATCH("Hjälpel kraftvärme (GWh)",Miljö!$B$1:$E$1,0),FALSE)/1,0)-IFERROR(VLOOKUP($B17,'Slutlig allokering kvv'!$B$2:$BX$549,MATCH(AE$2,'Slutlig allokering kvv'!$B$1:$BX$1,0),FALSE)/1,0))</f>
        <v/>
      </c>
      <c r="AI17" s="121">
        <f t="shared" si="0"/>
        <v>0</v>
      </c>
      <c r="AK17" s="121">
        <f>IFERROR(VLOOKUP($B17,'Slutlig allokering kvv'!$B$2:$AX$549,MATCH("Summa slutlig allokerad tillförd energi (utan hjälpel och rökgaskondensering):",'Slutlig allokering kvv'!$B$1:$AX$1,0),FALSE)/1,"")</f>
        <v>0</v>
      </c>
      <c r="AM17" s="172" t="str">
        <f>IFERROR(1-VLOOKUP($B17,'Slutlig allokering kvv'!$B$2:$AX$549,MATCH("Andel av bränsle i kvv som allokerats till värme, exklusive rökgaskondensering och hjälpel",'Slutlig allokering kvv'!$B$1:$AX$1,0),FALSE),"")</f>
        <v/>
      </c>
      <c r="AO17" s="172" t="str">
        <f t="shared" si="1"/>
        <v/>
      </c>
      <c r="AP17" s="173" t="str">
        <f t="shared" si="2"/>
        <v/>
      </c>
      <c r="AR17" s="172" t="str">
        <f t="shared" si="3"/>
        <v/>
      </c>
    </row>
    <row r="18" spans="1:44" x14ac:dyDescent="0.25">
      <c r="A18" s="171" t="str">
        <f>'Miljövärden för publ företag'!B20</f>
        <v>Adven Värme AB.</v>
      </c>
      <c r="B18" s="171" t="str">
        <f>'Miljövärden för publ företag'!C20</f>
        <v>Lenhovda</v>
      </c>
      <c r="C18" s="121" t="str">
        <f>IFERROR(VLOOKUP($B18,Kraftvärmeprod!$B$1:$AH$478,MATCH(C$2,Kraftvärmeprod!$B$1:$AG$1,0),FALSE)/1,"")</f>
        <v/>
      </c>
      <c r="D18" s="121" t="str">
        <f>IFERROR(VLOOKUP($B18,Kraftvärmeprod!$B$1:$AH$478,MATCH(D$2,Kraftvärmeprod!$B$1:$AG$1,0),FALSE)/1,"")</f>
        <v/>
      </c>
      <c r="F18" s="121" t="str">
        <f>IF($D18="","",IFERROR(VLOOKUP($B18,Kraftvärmeprod!$B$1:$BX$549,MATCH(F$2,Kraftvärmeprod!$B$1:$VX$1,0),FALSE)/1,0)-IFERROR(VLOOKUP($B18,'Slutlig allokering kvv'!$B$2:$BX$549,MATCH(F$2,'Slutlig allokering kvv'!$B$1:$BX$1,0),FALSE)/1,0))</f>
        <v/>
      </c>
      <c r="G18" s="121" t="str">
        <f>IF($D18="","",IFERROR(VLOOKUP($B18,Kraftvärmeprod!$B$1:$BX$549,MATCH(G$2,Kraftvärmeprod!$B$1:$VX$1,0),FALSE)/1,0)-IFERROR(VLOOKUP($B18,'Slutlig allokering kvv'!$B$2:$BX$549,MATCH(G$2,'Slutlig allokering kvv'!$B$1:$BX$1,0),FALSE)/1,0))</f>
        <v/>
      </c>
      <c r="H18" s="121" t="str">
        <f>IF($D18="","",IFERROR(VLOOKUP($B18,Kraftvärmeprod!$B$1:$BX$549,MATCH(H$2,Kraftvärmeprod!$B$1:$VX$1,0),FALSE)/1,0)-IFERROR(VLOOKUP($B18,'Slutlig allokering kvv'!$B$2:$BX$549,MATCH(H$2,'Slutlig allokering kvv'!$B$1:$BX$1,0),FALSE)/1,0))</f>
        <v/>
      </c>
      <c r="I18" s="121" t="str">
        <f>IF($D18="","",IFERROR(VLOOKUP($B18,Kraftvärmeprod!$B$1:$BX$549,MATCH(I$2,Kraftvärmeprod!$B$1:$VX$1,0),FALSE)/1,0)-IFERROR(VLOOKUP($B18,'Slutlig allokering kvv'!$B$2:$BX$549,MATCH(I$2,'Slutlig allokering kvv'!$B$1:$BX$1,0),FALSE)/1,0))</f>
        <v/>
      </c>
      <c r="J18" s="121" t="str">
        <f>IF($D18="","",IFERROR(VLOOKUP($B18,Kraftvärmeprod!$B$1:$BX$549,MATCH(J$2,Kraftvärmeprod!$B$1:$VX$1,0),FALSE)/1,0)-IFERROR(VLOOKUP($B18,'Slutlig allokering kvv'!$B$2:$BX$549,MATCH(J$2,'Slutlig allokering kvv'!$B$1:$BX$1,0),FALSE)/1,0))</f>
        <v/>
      </c>
      <c r="K18" s="121" t="str">
        <f>IF($D18="","",IFERROR(VLOOKUP($B18,Kraftvärmeprod!$B$1:$BX$549,MATCH(K$2,Kraftvärmeprod!$B$1:$VX$1,0),FALSE)/1,0)-IFERROR(VLOOKUP($B18,'Slutlig allokering kvv'!$B$2:$BX$549,MATCH(K$2,'Slutlig allokering kvv'!$B$1:$BX$1,0),FALSE)/1,0))</f>
        <v/>
      </c>
      <c r="L18" s="121" t="str">
        <f>IF($D18="","",IFERROR(VLOOKUP($B18,Kraftvärmeprod!$B$1:$BX$549,MATCH(L$2,Kraftvärmeprod!$B$1:$VX$1,0),FALSE)/1,0)-IFERROR(VLOOKUP($B18,'Slutlig allokering kvv'!$B$2:$BX$549,MATCH(L$2,'Slutlig allokering kvv'!$B$1:$BX$1,0),FALSE)/1,0))</f>
        <v/>
      </c>
      <c r="M18" s="121" t="str">
        <f>IF($D18="","",IFERROR(VLOOKUP($B18,Kraftvärmeprod!$B$1:$BX$549,MATCH(M$2,Kraftvärmeprod!$B$1:$VX$1,0),FALSE)/1,0)-IFERROR(VLOOKUP($B18,'Slutlig allokering kvv'!$B$2:$BX$549,MATCH(M$2,'Slutlig allokering kvv'!$B$1:$BX$1,0),FALSE)/1,0))</f>
        <v/>
      </c>
      <c r="N18" s="121" t="str">
        <f>IF($D18="","",IFERROR(VLOOKUP($B18,Kraftvärmeprod!$B$1:$BX$549,MATCH(N$2,Kraftvärmeprod!$B$1:$VX$1,0),FALSE)/1,0)-IFERROR(VLOOKUP($B18,'Slutlig allokering kvv'!$B$2:$BX$549,MATCH(N$2,'Slutlig allokering kvv'!$B$1:$BX$1,0),FALSE)/1,0))</f>
        <v/>
      </c>
      <c r="O18" s="121" t="str">
        <f>IF($D18="","",IFERROR(VLOOKUP($B18,Kraftvärmeprod!$B$1:$BX$549,MATCH(O$2,Kraftvärmeprod!$B$1:$VX$1,0),FALSE)/1,0)-IFERROR(VLOOKUP($B18,'Slutlig allokering kvv'!$B$2:$BX$549,MATCH(O$2,'Slutlig allokering kvv'!$B$1:$BX$1,0),FALSE)/1,0))</f>
        <v/>
      </c>
      <c r="P18" s="121" t="str">
        <f>IF($D18="","",IFERROR(VLOOKUP($B18,Kraftvärmeprod!$B$1:$BX$549,MATCH(P$2,Kraftvärmeprod!$B$1:$VX$1,0),FALSE)/1,0)-IFERROR(VLOOKUP($B18,'Slutlig allokering kvv'!$B$2:$BX$549,MATCH(P$2,'Slutlig allokering kvv'!$B$1:$BX$1,0),FALSE)/1,0))</f>
        <v/>
      </c>
      <c r="Q18" s="121" t="str">
        <f>IF($D18="","",IFERROR(VLOOKUP($B18,Kraftvärmeprod!$B$1:$BX$549,MATCH(Q$2,Kraftvärmeprod!$B$1:$VX$1,0),FALSE)/1,0)-IFERROR(VLOOKUP($B18,'Slutlig allokering kvv'!$B$2:$BX$549,MATCH(Q$2,'Slutlig allokering kvv'!$B$1:$BX$1,0),FALSE)/1,0))</f>
        <v/>
      </c>
      <c r="R18" s="121" t="str">
        <f>IF($D18="","",IFERROR(VLOOKUP($B18,Kraftvärmeprod!$B$1:$BX$549,MATCH(R$2,Kraftvärmeprod!$B$1:$VX$1,0),FALSE)/1,0)-IFERROR(VLOOKUP($B18,'Slutlig allokering kvv'!$B$2:$BX$549,MATCH(R$2,'Slutlig allokering kvv'!$B$1:$BX$1,0),FALSE)/1,0))</f>
        <v/>
      </c>
      <c r="S18" s="121" t="str">
        <f>IF($D18="","",IFERROR(VLOOKUP($B18,Kraftvärmeprod!$B$1:$BX$549,MATCH(S$2,Kraftvärmeprod!$B$1:$VX$1,0),FALSE)/1,0)-IFERROR(VLOOKUP($B18,'Slutlig allokering kvv'!$B$2:$BX$549,MATCH(S$2,'Slutlig allokering kvv'!$B$1:$BX$1,0),FALSE)/1,0))</f>
        <v/>
      </c>
      <c r="T18" s="121" t="str">
        <f>IF($D18="","",IFERROR(VLOOKUP($B18,Kraftvärmeprod!$B$1:$BX$549,MATCH(T$2,Kraftvärmeprod!$B$1:$VX$1,0),FALSE)/1,0)-IFERROR(VLOOKUP($B18,'Slutlig allokering kvv'!$B$2:$BX$549,MATCH(T$2,'Slutlig allokering kvv'!$B$1:$BX$1,0),FALSE)/1,0))</f>
        <v/>
      </c>
      <c r="U18" s="121" t="str">
        <f>IF($D18="","",IFERROR(VLOOKUP($B18,Kraftvärmeprod!$B$1:$BX$549,MATCH(U$2,Kraftvärmeprod!$B$1:$VX$1,0),FALSE)/1,0)-IFERROR(VLOOKUP($B18,'Slutlig allokering kvv'!$B$2:$BX$549,MATCH(U$2,'Slutlig allokering kvv'!$B$1:$BX$1,0),FALSE)/1,0))</f>
        <v/>
      </c>
      <c r="V18" s="121" t="str">
        <f>IF($D18="","",IFERROR(VLOOKUP($B18,Kraftvärmeprod!$B$1:$BX$549,MATCH(V$2,Kraftvärmeprod!$B$1:$VX$1,0),FALSE)/1,0)-IFERROR(VLOOKUP($B18,'Slutlig allokering kvv'!$B$2:$BX$549,MATCH(V$2,'Slutlig allokering kvv'!$B$1:$BX$1,0),FALSE)/1,0))</f>
        <v/>
      </c>
      <c r="W18" s="121" t="str">
        <f>IF($D18="","",IFERROR(VLOOKUP($B18,Kraftvärmeprod!$B$1:$BX$549,MATCH(W$2,Kraftvärmeprod!$B$1:$VX$1,0),FALSE)/1,0)-IFERROR(VLOOKUP($B18,'Slutlig allokering kvv'!$B$2:$BX$549,MATCH(W$2,'Slutlig allokering kvv'!$B$1:$BX$1,0),FALSE)/1,0))</f>
        <v/>
      </c>
      <c r="X18" s="121" t="str">
        <f>IF($D18="","",IFERROR(VLOOKUP($B18,Kraftvärmeprod!$B$1:$BX$549,MATCH(X$2,Kraftvärmeprod!$B$1:$VX$1,0),FALSE)/1,0)-IFERROR(VLOOKUP($B18,'Slutlig allokering kvv'!$B$2:$BX$549,MATCH(X$2,'Slutlig allokering kvv'!$B$1:$BX$1,0),FALSE)/1,0))</f>
        <v/>
      </c>
      <c r="Y18" s="121" t="str">
        <f>IF($D18="","",IFERROR(VLOOKUP($B18,Kraftvärmeprod!$B$1:$BX$549,MATCH(Y$2,Kraftvärmeprod!$B$1:$VX$1,0),FALSE)/1,0)-IFERROR(VLOOKUP($B18,'Slutlig allokering kvv'!$B$2:$BX$549,MATCH(Y$2,'Slutlig allokering kvv'!$B$1:$BX$1,0),FALSE)/1,0))</f>
        <v/>
      </c>
      <c r="Z18" s="121" t="str">
        <f>IF($D18="","",IFERROR(VLOOKUP($B18,Kraftvärmeprod!$B$1:$BX$549,MATCH(Z$2,Kraftvärmeprod!$B$1:$VX$1,0),FALSE)/1,0)-IFERROR(VLOOKUP($B18,'Slutlig allokering kvv'!$B$2:$BX$549,MATCH(Z$2,'Slutlig allokering kvv'!$B$1:$BX$1,0),FALSE)/1,0))</f>
        <v/>
      </c>
      <c r="AA18" s="121" t="str">
        <f>IF($D18="","",IFERROR(VLOOKUP($B18,Kraftvärmeprod!$B$1:$BX$549,MATCH(AA$2,Kraftvärmeprod!$B$1:$VX$1,0),FALSE)/1,0)-IFERROR(VLOOKUP($B18,'Slutlig allokering kvv'!$B$2:$BX$549,MATCH(AA$2,'Slutlig allokering kvv'!$B$1:$BX$1,0),FALSE)/1,0))</f>
        <v/>
      </c>
      <c r="AB18" s="121" t="str">
        <f>IF($D18="","",IFERROR(VLOOKUP($B18,Kraftvärmeprod!$B$1:$BX$549,MATCH(AB$2,Kraftvärmeprod!$B$1:$VX$1,0),FALSE)/1,0)-IFERROR(VLOOKUP($B18,'Slutlig allokering kvv'!$B$2:$BX$549,MATCH(AB$2,'Slutlig allokering kvv'!$B$1:$BX$1,0),FALSE)/1,0))</f>
        <v/>
      </c>
      <c r="AC18" s="121" t="str">
        <f>IF($D18="","",IFERROR(VLOOKUP($B18,Kraftvärmeprod!$B$1:$BX$549,MATCH(AC$2,Kraftvärmeprod!$B$1:$VX$1,0),FALSE)/1,0)-IFERROR(VLOOKUP($B18,'Slutlig allokering kvv'!$B$2:$BX$549,MATCH(AC$2,'Slutlig allokering kvv'!$B$1:$BX$1,0),FALSE)/1,0))</f>
        <v/>
      </c>
      <c r="AD18" s="121" t="str">
        <f>IF($D18="","",IFERROR(VLOOKUP($B18,Kraftvärmeprod!$B$1:$BX$549,MATCH(AD$2,Kraftvärmeprod!$B$1:$VX$1,0),FALSE)/1,0)-IFERROR(VLOOKUP($B18,'Slutlig allokering kvv'!$B$2:$BX$549,MATCH(AD$2,'Slutlig allokering kvv'!$B$1:$BX$1,0),FALSE)/1,0))</f>
        <v/>
      </c>
      <c r="AE18" s="121" t="str">
        <f>IF($D18="","",IFERROR(VLOOKUP($B18,Miljö!$B$1:$E$550,MATCH("Hjälpel kraftvärme (GWh)",Miljö!$B$1:$E$1,0),FALSE)/1,0)-IFERROR(VLOOKUP($B18,'Slutlig allokering kvv'!$B$2:$BX$549,MATCH(AE$2,'Slutlig allokering kvv'!$B$1:$BX$1,0),FALSE)/1,0))</f>
        <v/>
      </c>
      <c r="AI18" s="121">
        <f t="shared" si="0"/>
        <v>0</v>
      </c>
      <c r="AK18" s="121">
        <f>IFERROR(VLOOKUP($B18,'Slutlig allokering kvv'!$B$2:$AX$549,MATCH("Summa slutlig allokerad tillförd energi (utan hjälpel och rökgaskondensering):",'Slutlig allokering kvv'!$B$1:$AX$1,0),FALSE)/1,"")</f>
        <v>0</v>
      </c>
      <c r="AM18" s="172" t="str">
        <f>IFERROR(1-VLOOKUP($B18,'Slutlig allokering kvv'!$B$2:$AX$549,MATCH("Andel av bränsle i kvv som allokerats till värme, exklusive rökgaskondensering och hjälpel",'Slutlig allokering kvv'!$B$1:$AX$1,0),FALSE),"")</f>
        <v/>
      </c>
      <c r="AO18" s="172" t="str">
        <f t="shared" si="1"/>
        <v/>
      </c>
      <c r="AP18" s="173" t="str">
        <f t="shared" si="2"/>
        <v/>
      </c>
      <c r="AR18" s="172" t="str">
        <f t="shared" si="3"/>
        <v/>
      </c>
    </row>
    <row r="19" spans="1:44" x14ac:dyDescent="0.25">
      <c r="A19" s="171" t="str">
        <f>'Miljövärden för publ företag'!B21</f>
        <v>Adven Värme AB.</v>
      </c>
      <c r="B19" s="171" t="str">
        <f>'Miljövärden för publ företag'!C21</f>
        <v>Långsele</v>
      </c>
      <c r="C19" s="121" t="str">
        <f>IFERROR(VLOOKUP($B19,Kraftvärmeprod!$B$1:$AH$478,MATCH(C$2,Kraftvärmeprod!$B$1:$AG$1,0),FALSE)/1,"")</f>
        <v/>
      </c>
      <c r="D19" s="121" t="str">
        <f>IFERROR(VLOOKUP($B19,Kraftvärmeprod!$B$1:$AH$478,MATCH(D$2,Kraftvärmeprod!$B$1:$AG$1,0),FALSE)/1,"")</f>
        <v/>
      </c>
      <c r="F19" s="121" t="str">
        <f>IF($D19="","",IFERROR(VLOOKUP($B19,Kraftvärmeprod!$B$1:$BX$549,MATCH(F$2,Kraftvärmeprod!$B$1:$VX$1,0),FALSE)/1,0)-IFERROR(VLOOKUP($B19,'Slutlig allokering kvv'!$B$2:$BX$549,MATCH(F$2,'Slutlig allokering kvv'!$B$1:$BX$1,0),FALSE)/1,0))</f>
        <v/>
      </c>
      <c r="G19" s="121" t="str">
        <f>IF($D19="","",IFERROR(VLOOKUP($B19,Kraftvärmeprod!$B$1:$BX$549,MATCH(G$2,Kraftvärmeprod!$B$1:$VX$1,0),FALSE)/1,0)-IFERROR(VLOOKUP($B19,'Slutlig allokering kvv'!$B$2:$BX$549,MATCH(G$2,'Slutlig allokering kvv'!$B$1:$BX$1,0),FALSE)/1,0))</f>
        <v/>
      </c>
      <c r="H19" s="121" t="str">
        <f>IF($D19="","",IFERROR(VLOOKUP($B19,Kraftvärmeprod!$B$1:$BX$549,MATCH(H$2,Kraftvärmeprod!$B$1:$VX$1,0),FALSE)/1,0)-IFERROR(VLOOKUP($B19,'Slutlig allokering kvv'!$B$2:$BX$549,MATCH(H$2,'Slutlig allokering kvv'!$B$1:$BX$1,0),FALSE)/1,0))</f>
        <v/>
      </c>
      <c r="I19" s="121" t="str">
        <f>IF($D19="","",IFERROR(VLOOKUP($B19,Kraftvärmeprod!$B$1:$BX$549,MATCH(I$2,Kraftvärmeprod!$B$1:$VX$1,0),FALSE)/1,0)-IFERROR(VLOOKUP($B19,'Slutlig allokering kvv'!$B$2:$BX$549,MATCH(I$2,'Slutlig allokering kvv'!$B$1:$BX$1,0),FALSE)/1,0))</f>
        <v/>
      </c>
      <c r="J19" s="121" t="str">
        <f>IF($D19="","",IFERROR(VLOOKUP($B19,Kraftvärmeprod!$B$1:$BX$549,MATCH(J$2,Kraftvärmeprod!$B$1:$VX$1,0),FALSE)/1,0)-IFERROR(VLOOKUP($B19,'Slutlig allokering kvv'!$B$2:$BX$549,MATCH(J$2,'Slutlig allokering kvv'!$B$1:$BX$1,0),FALSE)/1,0))</f>
        <v/>
      </c>
      <c r="K19" s="121" t="str">
        <f>IF($D19="","",IFERROR(VLOOKUP($B19,Kraftvärmeprod!$B$1:$BX$549,MATCH(K$2,Kraftvärmeprod!$B$1:$VX$1,0),FALSE)/1,0)-IFERROR(VLOOKUP($B19,'Slutlig allokering kvv'!$B$2:$BX$549,MATCH(K$2,'Slutlig allokering kvv'!$B$1:$BX$1,0),FALSE)/1,0))</f>
        <v/>
      </c>
      <c r="L19" s="121" t="str">
        <f>IF($D19="","",IFERROR(VLOOKUP($B19,Kraftvärmeprod!$B$1:$BX$549,MATCH(L$2,Kraftvärmeprod!$B$1:$VX$1,0),FALSE)/1,0)-IFERROR(VLOOKUP($B19,'Slutlig allokering kvv'!$B$2:$BX$549,MATCH(L$2,'Slutlig allokering kvv'!$B$1:$BX$1,0),FALSE)/1,0))</f>
        <v/>
      </c>
      <c r="M19" s="121" t="str">
        <f>IF($D19="","",IFERROR(VLOOKUP($B19,Kraftvärmeprod!$B$1:$BX$549,MATCH(M$2,Kraftvärmeprod!$B$1:$VX$1,0),FALSE)/1,0)-IFERROR(VLOOKUP($B19,'Slutlig allokering kvv'!$B$2:$BX$549,MATCH(M$2,'Slutlig allokering kvv'!$B$1:$BX$1,0),FALSE)/1,0))</f>
        <v/>
      </c>
      <c r="N19" s="121" t="str">
        <f>IF($D19="","",IFERROR(VLOOKUP($B19,Kraftvärmeprod!$B$1:$BX$549,MATCH(N$2,Kraftvärmeprod!$B$1:$VX$1,0),FALSE)/1,0)-IFERROR(VLOOKUP($B19,'Slutlig allokering kvv'!$B$2:$BX$549,MATCH(N$2,'Slutlig allokering kvv'!$B$1:$BX$1,0),FALSE)/1,0))</f>
        <v/>
      </c>
      <c r="O19" s="121" t="str">
        <f>IF($D19="","",IFERROR(VLOOKUP($B19,Kraftvärmeprod!$B$1:$BX$549,MATCH(O$2,Kraftvärmeprod!$B$1:$VX$1,0),FALSE)/1,0)-IFERROR(VLOOKUP($B19,'Slutlig allokering kvv'!$B$2:$BX$549,MATCH(O$2,'Slutlig allokering kvv'!$B$1:$BX$1,0),FALSE)/1,0))</f>
        <v/>
      </c>
      <c r="P19" s="121" t="str">
        <f>IF($D19="","",IFERROR(VLOOKUP($B19,Kraftvärmeprod!$B$1:$BX$549,MATCH(P$2,Kraftvärmeprod!$B$1:$VX$1,0),FALSE)/1,0)-IFERROR(VLOOKUP($B19,'Slutlig allokering kvv'!$B$2:$BX$549,MATCH(P$2,'Slutlig allokering kvv'!$B$1:$BX$1,0),FALSE)/1,0))</f>
        <v/>
      </c>
      <c r="Q19" s="121" t="str">
        <f>IF($D19="","",IFERROR(VLOOKUP($B19,Kraftvärmeprod!$B$1:$BX$549,MATCH(Q$2,Kraftvärmeprod!$B$1:$VX$1,0),FALSE)/1,0)-IFERROR(VLOOKUP($B19,'Slutlig allokering kvv'!$B$2:$BX$549,MATCH(Q$2,'Slutlig allokering kvv'!$B$1:$BX$1,0),FALSE)/1,0))</f>
        <v/>
      </c>
      <c r="R19" s="121" t="str">
        <f>IF($D19="","",IFERROR(VLOOKUP($B19,Kraftvärmeprod!$B$1:$BX$549,MATCH(R$2,Kraftvärmeprod!$B$1:$VX$1,0),FALSE)/1,0)-IFERROR(VLOOKUP($B19,'Slutlig allokering kvv'!$B$2:$BX$549,MATCH(R$2,'Slutlig allokering kvv'!$B$1:$BX$1,0),FALSE)/1,0))</f>
        <v/>
      </c>
      <c r="S19" s="121" t="str">
        <f>IF($D19="","",IFERROR(VLOOKUP($B19,Kraftvärmeprod!$B$1:$BX$549,MATCH(S$2,Kraftvärmeprod!$B$1:$VX$1,0),FALSE)/1,0)-IFERROR(VLOOKUP($B19,'Slutlig allokering kvv'!$B$2:$BX$549,MATCH(S$2,'Slutlig allokering kvv'!$B$1:$BX$1,0),FALSE)/1,0))</f>
        <v/>
      </c>
      <c r="T19" s="121" t="str">
        <f>IF($D19="","",IFERROR(VLOOKUP($B19,Kraftvärmeprod!$B$1:$BX$549,MATCH(T$2,Kraftvärmeprod!$B$1:$VX$1,0),FALSE)/1,0)-IFERROR(VLOOKUP($B19,'Slutlig allokering kvv'!$B$2:$BX$549,MATCH(T$2,'Slutlig allokering kvv'!$B$1:$BX$1,0),FALSE)/1,0))</f>
        <v/>
      </c>
      <c r="U19" s="121" t="str">
        <f>IF($D19="","",IFERROR(VLOOKUP($B19,Kraftvärmeprod!$B$1:$BX$549,MATCH(U$2,Kraftvärmeprod!$B$1:$VX$1,0),FALSE)/1,0)-IFERROR(VLOOKUP($B19,'Slutlig allokering kvv'!$B$2:$BX$549,MATCH(U$2,'Slutlig allokering kvv'!$B$1:$BX$1,0),FALSE)/1,0))</f>
        <v/>
      </c>
      <c r="V19" s="121" t="str">
        <f>IF($D19="","",IFERROR(VLOOKUP($B19,Kraftvärmeprod!$B$1:$BX$549,MATCH(V$2,Kraftvärmeprod!$B$1:$VX$1,0),FALSE)/1,0)-IFERROR(VLOOKUP($B19,'Slutlig allokering kvv'!$B$2:$BX$549,MATCH(V$2,'Slutlig allokering kvv'!$B$1:$BX$1,0),FALSE)/1,0))</f>
        <v/>
      </c>
      <c r="W19" s="121" t="str">
        <f>IF($D19="","",IFERROR(VLOOKUP($B19,Kraftvärmeprod!$B$1:$BX$549,MATCH(W$2,Kraftvärmeprod!$B$1:$VX$1,0),FALSE)/1,0)-IFERROR(VLOOKUP($B19,'Slutlig allokering kvv'!$B$2:$BX$549,MATCH(W$2,'Slutlig allokering kvv'!$B$1:$BX$1,0),FALSE)/1,0))</f>
        <v/>
      </c>
      <c r="X19" s="121" t="str">
        <f>IF($D19="","",IFERROR(VLOOKUP($B19,Kraftvärmeprod!$B$1:$BX$549,MATCH(X$2,Kraftvärmeprod!$B$1:$VX$1,0),FALSE)/1,0)-IFERROR(VLOOKUP($B19,'Slutlig allokering kvv'!$B$2:$BX$549,MATCH(X$2,'Slutlig allokering kvv'!$B$1:$BX$1,0),FALSE)/1,0))</f>
        <v/>
      </c>
      <c r="Y19" s="121" t="str">
        <f>IF($D19="","",IFERROR(VLOOKUP($B19,Kraftvärmeprod!$B$1:$BX$549,MATCH(Y$2,Kraftvärmeprod!$B$1:$VX$1,0),FALSE)/1,0)-IFERROR(VLOOKUP($B19,'Slutlig allokering kvv'!$B$2:$BX$549,MATCH(Y$2,'Slutlig allokering kvv'!$B$1:$BX$1,0),FALSE)/1,0))</f>
        <v/>
      </c>
      <c r="Z19" s="121" t="str">
        <f>IF($D19="","",IFERROR(VLOOKUP($B19,Kraftvärmeprod!$B$1:$BX$549,MATCH(Z$2,Kraftvärmeprod!$B$1:$VX$1,0),FALSE)/1,0)-IFERROR(VLOOKUP($B19,'Slutlig allokering kvv'!$B$2:$BX$549,MATCH(Z$2,'Slutlig allokering kvv'!$B$1:$BX$1,0),FALSE)/1,0))</f>
        <v/>
      </c>
      <c r="AA19" s="121" t="str">
        <f>IF($D19="","",IFERROR(VLOOKUP($B19,Kraftvärmeprod!$B$1:$BX$549,MATCH(AA$2,Kraftvärmeprod!$B$1:$VX$1,0),FALSE)/1,0)-IFERROR(VLOOKUP($B19,'Slutlig allokering kvv'!$B$2:$BX$549,MATCH(AA$2,'Slutlig allokering kvv'!$B$1:$BX$1,0),FALSE)/1,0))</f>
        <v/>
      </c>
      <c r="AB19" s="121" t="str">
        <f>IF($D19="","",IFERROR(VLOOKUP($B19,Kraftvärmeprod!$B$1:$BX$549,MATCH(AB$2,Kraftvärmeprod!$B$1:$VX$1,0),FALSE)/1,0)-IFERROR(VLOOKUP($B19,'Slutlig allokering kvv'!$B$2:$BX$549,MATCH(AB$2,'Slutlig allokering kvv'!$B$1:$BX$1,0),FALSE)/1,0))</f>
        <v/>
      </c>
      <c r="AC19" s="121" t="str">
        <f>IF($D19="","",IFERROR(VLOOKUP($B19,Kraftvärmeprod!$B$1:$BX$549,MATCH(AC$2,Kraftvärmeprod!$B$1:$VX$1,0),FALSE)/1,0)-IFERROR(VLOOKUP($B19,'Slutlig allokering kvv'!$B$2:$BX$549,MATCH(AC$2,'Slutlig allokering kvv'!$B$1:$BX$1,0),FALSE)/1,0))</f>
        <v/>
      </c>
      <c r="AD19" s="121" t="str">
        <f>IF($D19="","",IFERROR(VLOOKUP($B19,Kraftvärmeprod!$B$1:$BX$549,MATCH(AD$2,Kraftvärmeprod!$B$1:$VX$1,0),FALSE)/1,0)-IFERROR(VLOOKUP($B19,'Slutlig allokering kvv'!$B$2:$BX$549,MATCH(AD$2,'Slutlig allokering kvv'!$B$1:$BX$1,0),FALSE)/1,0))</f>
        <v/>
      </c>
      <c r="AE19" s="121" t="str">
        <f>IF($D19="","",IFERROR(VLOOKUP($B19,Miljö!$B$1:$E$550,MATCH("Hjälpel kraftvärme (GWh)",Miljö!$B$1:$E$1,0),FALSE)/1,0)-IFERROR(VLOOKUP($B19,'Slutlig allokering kvv'!$B$2:$BX$549,MATCH(AE$2,'Slutlig allokering kvv'!$B$1:$BX$1,0),FALSE)/1,0))</f>
        <v/>
      </c>
      <c r="AI19" s="121">
        <f t="shared" si="0"/>
        <v>0</v>
      </c>
      <c r="AK19" s="121">
        <f>IFERROR(VLOOKUP($B19,'Slutlig allokering kvv'!$B$2:$AX$549,MATCH("Summa slutlig allokerad tillförd energi (utan hjälpel och rökgaskondensering):",'Slutlig allokering kvv'!$B$1:$AX$1,0),FALSE)/1,"")</f>
        <v>0</v>
      </c>
      <c r="AM19" s="172" t="str">
        <f>IFERROR(1-VLOOKUP($B19,'Slutlig allokering kvv'!$B$2:$AX$549,MATCH("Andel av bränsle i kvv som allokerats till värme, exklusive rökgaskondensering och hjälpel",'Slutlig allokering kvv'!$B$1:$AX$1,0),FALSE),"")</f>
        <v/>
      </c>
      <c r="AO19" s="172" t="str">
        <f t="shared" si="1"/>
        <v/>
      </c>
      <c r="AP19" s="173" t="str">
        <f t="shared" si="2"/>
        <v/>
      </c>
      <c r="AR19" s="172" t="str">
        <f t="shared" si="3"/>
        <v/>
      </c>
    </row>
    <row r="20" spans="1:44" x14ac:dyDescent="0.25">
      <c r="A20" s="171" t="str">
        <f>'Miljövärden för publ företag'!B22</f>
        <v>Adven Värme AB.</v>
      </c>
      <c r="B20" s="171" t="str">
        <f>'Miljövärden för publ företag'!C22</f>
        <v>Näsåker</v>
      </c>
      <c r="C20" s="121" t="str">
        <f>IFERROR(VLOOKUP($B20,Kraftvärmeprod!$B$1:$AH$478,MATCH(C$2,Kraftvärmeprod!$B$1:$AG$1,0),FALSE)/1,"")</f>
        <v/>
      </c>
      <c r="D20" s="121" t="str">
        <f>IFERROR(VLOOKUP($B20,Kraftvärmeprod!$B$1:$AH$478,MATCH(D$2,Kraftvärmeprod!$B$1:$AG$1,0),FALSE)/1,"")</f>
        <v/>
      </c>
      <c r="F20" s="121" t="str">
        <f>IF($D20="","",IFERROR(VLOOKUP($B20,Kraftvärmeprod!$B$1:$BX$549,MATCH(F$2,Kraftvärmeprod!$B$1:$VX$1,0),FALSE)/1,0)-IFERROR(VLOOKUP($B20,'Slutlig allokering kvv'!$B$2:$BX$549,MATCH(F$2,'Slutlig allokering kvv'!$B$1:$BX$1,0),FALSE)/1,0))</f>
        <v/>
      </c>
      <c r="G20" s="121" t="str">
        <f>IF($D20="","",IFERROR(VLOOKUP($B20,Kraftvärmeprod!$B$1:$BX$549,MATCH(G$2,Kraftvärmeprod!$B$1:$VX$1,0),FALSE)/1,0)-IFERROR(VLOOKUP($B20,'Slutlig allokering kvv'!$B$2:$BX$549,MATCH(G$2,'Slutlig allokering kvv'!$B$1:$BX$1,0),FALSE)/1,0))</f>
        <v/>
      </c>
      <c r="H20" s="121" t="str">
        <f>IF($D20="","",IFERROR(VLOOKUP($B20,Kraftvärmeprod!$B$1:$BX$549,MATCH(H$2,Kraftvärmeprod!$B$1:$VX$1,0),FALSE)/1,0)-IFERROR(VLOOKUP($B20,'Slutlig allokering kvv'!$B$2:$BX$549,MATCH(H$2,'Slutlig allokering kvv'!$B$1:$BX$1,0),FALSE)/1,0))</f>
        <v/>
      </c>
      <c r="I20" s="121" t="str">
        <f>IF($D20="","",IFERROR(VLOOKUP($B20,Kraftvärmeprod!$B$1:$BX$549,MATCH(I$2,Kraftvärmeprod!$B$1:$VX$1,0),FALSE)/1,0)-IFERROR(VLOOKUP($B20,'Slutlig allokering kvv'!$B$2:$BX$549,MATCH(I$2,'Slutlig allokering kvv'!$B$1:$BX$1,0),FALSE)/1,0))</f>
        <v/>
      </c>
      <c r="J20" s="121" t="str">
        <f>IF($D20="","",IFERROR(VLOOKUP($B20,Kraftvärmeprod!$B$1:$BX$549,MATCH(J$2,Kraftvärmeprod!$B$1:$VX$1,0),FALSE)/1,0)-IFERROR(VLOOKUP($B20,'Slutlig allokering kvv'!$B$2:$BX$549,MATCH(J$2,'Slutlig allokering kvv'!$B$1:$BX$1,0),FALSE)/1,0))</f>
        <v/>
      </c>
      <c r="K20" s="121" t="str">
        <f>IF($D20="","",IFERROR(VLOOKUP($B20,Kraftvärmeprod!$B$1:$BX$549,MATCH(K$2,Kraftvärmeprod!$B$1:$VX$1,0),FALSE)/1,0)-IFERROR(VLOOKUP($B20,'Slutlig allokering kvv'!$B$2:$BX$549,MATCH(K$2,'Slutlig allokering kvv'!$B$1:$BX$1,0),FALSE)/1,0))</f>
        <v/>
      </c>
      <c r="L20" s="121" t="str">
        <f>IF($D20="","",IFERROR(VLOOKUP($B20,Kraftvärmeprod!$B$1:$BX$549,MATCH(L$2,Kraftvärmeprod!$B$1:$VX$1,0),FALSE)/1,0)-IFERROR(VLOOKUP($B20,'Slutlig allokering kvv'!$B$2:$BX$549,MATCH(L$2,'Slutlig allokering kvv'!$B$1:$BX$1,0),FALSE)/1,0))</f>
        <v/>
      </c>
      <c r="M20" s="121" t="str">
        <f>IF($D20="","",IFERROR(VLOOKUP($B20,Kraftvärmeprod!$B$1:$BX$549,MATCH(M$2,Kraftvärmeprod!$B$1:$VX$1,0),FALSE)/1,0)-IFERROR(VLOOKUP($B20,'Slutlig allokering kvv'!$B$2:$BX$549,MATCH(M$2,'Slutlig allokering kvv'!$B$1:$BX$1,0),FALSE)/1,0))</f>
        <v/>
      </c>
      <c r="N20" s="121" t="str">
        <f>IF($D20="","",IFERROR(VLOOKUP($B20,Kraftvärmeprod!$B$1:$BX$549,MATCH(N$2,Kraftvärmeprod!$B$1:$VX$1,0),FALSE)/1,0)-IFERROR(VLOOKUP($B20,'Slutlig allokering kvv'!$B$2:$BX$549,MATCH(N$2,'Slutlig allokering kvv'!$B$1:$BX$1,0),FALSE)/1,0))</f>
        <v/>
      </c>
      <c r="O20" s="121" t="str">
        <f>IF($D20="","",IFERROR(VLOOKUP($B20,Kraftvärmeprod!$B$1:$BX$549,MATCH(O$2,Kraftvärmeprod!$B$1:$VX$1,0),FALSE)/1,0)-IFERROR(VLOOKUP($B20,'Slutlig allokering kvv'!$B$2:$BX$549,MATCH(O$2,'Slutlig allokering kvv'!$B$1:$BX$1,0),FALSE)/1,0))</f>
        <v/>
      </c>
      <c r="P20" s="121" t="str">
        <f>IF($D20="","",IFERROR(VLOOKUP($B20,Kraftvärmeprod!$B$1:$BX$549,MATCH(P$2,Kraftvärmeprod!$B$1:$VX$1,0),FALSE)/1,0)-IFERROR(VLOOKUP($B20,'Slutlig allokering kvv'!$B$2:$BX$549,MATCH(P$2,'Slutlig allokering kvv'!$B$1:$BX$1,0),FALSE)/1,0))</f>
        <v/>
      </c>
      <c r="Q20" s="121" t="str">
        <f>IF($D20="","",IFERROR(VLOOKUP($B20,Kraftvärmeprod!$B$1:$BX$549,MATCH(Q$2,Kraftvärmeprod!$B$1:$VX$1,0),FALSE)/1,0)-IFERROR(VLOOKUP($B20,'Slutlig allokering kvv'!$B$2:$BX$549,MATCH(Q$2,'Slutlig allokering kvv'!$B$1:$BX$1,0),FALSE)/1,0))</f>
        <v/>
      </c>
      <c r="R20" s="121" t="str">
        <f>IF($D20="","",IFERROR(VLOOKUP($B20,Kraftvärmeprod!$B$1:$BX$549,MATCH(R$2,Kraftvärmeprod!$B$1:$VX$1,0),FALSE)/1,0)-IFERROR(VLOOKUP($B20,'Slutlig allokering kvv'!$B$2:$BX$549,MATCH(R$2,'Slutlig allokering kvv'!$B$1:$BX$1,0),FALSE)/1,0))</f>
        <v/>
      </c>
      <c r="S20" s="121" t="str">
        <f>IF($D20="","",IFERROR(VLOOKUP($B20,Kraftvärmeprod!$B$1:$BX$549,MATCH(S$2,Kraftvärmeprod!$B$1:$VX$1,0),FALSE)/1,0)-IFERROR(VLOOKUP($B20,'Slutlig allokering kvv'!$B$2:$BX$549,MATCH(S$2,'Slutlig allokering kvv'!$B$1:$BX$1,0),FALSE)/1,0))</f>
        <v/>
      </c>
      <c r="T20" s="121" t="str">
        <f>IF($D20="","",IFERROR(VLOOKUP($B20,Kraftvärmeprod!$B$1:$BX$549,MATCH(T$2,Kraftvärmeprod!$B$1:$VX$1,0),FALSE)/1,0)-IFERROR(VLOOKUP($B20,'Slutlig allokering kvv'!$B$2:$BX$549,MATCH(T$2,'Slutlig allokering kvv'!$B$1:$BX$1,0),FALSE)/1,0))</f>
        <v/>
      </c>
      <c r="U20" s="121" t="str">
        <f>IF($D20="","",IFERROR(VLOOKUP($B20,Kraftvärmeprod!$B$1:$BX$549,MATCH(U$2,Kraftvärmeprod!$B$1:$VX$1,0),FALSE)/1,0)-IFERROR(VLOOKUP($B20,'Slutlig allokering kvv'!$B$2:$BX$549,MATCH(U$2,'Slutlig allokering kvv'!$B$1:$BX$1,0),FALSE)/1,0))</f>
        <v/>
      </c>
      <c r="V20" s="121" t="str">
        <f>IF($D20="","",IFERROR(VLOOKUP($B20,Kraftvärmeprod!$B$1:$BX$549,MATCH(V$2,Kraftvärmeprod!$B$1:$VX$1,0),FALSE)/1,0)-IFERROR(VLOOKUP($B20,'Slutlig allokering kvv'!$B$2:$BX$549,MATCH(V$2,'Slutlig allokering kvv'!$B$1:$BX$1,0),FALSE)/1,0))</f>
        <v/>
      </c>
      <c r="W20" s="121" t="str">
        <f>IF($D20="","",IFERROR(VLOOKUP($B20,Kraftvärmeprod!$B$1:$BX$549,MATCH(W$2,Kraftvärmeprod!$B$1:$VX$1,0),FALSE)/1,0)-IFERROR(VLOOKUP($B20,'Slutlig allokering kvv'!$B$2:$BX$549,MATCH(W$2,'Slutlig allokering kvv'!$B$1:$BX$1,0),FALSE)/1,0))</f>
        <v/>
      </c>
      <c r="X20" s="121" t="str">
        <f>IF($D20="","",IFERROR(VLOOKUP($B20,Kraftvärmeprod!$B$1:$BX$549,MATCH(X$2,Kraftvärmeprod!$B$1:$VX$1,0),FALSE)/1,0)-IFERROR(VLOOKUP($B20,'Slutlig allokering kvv'!$B$2:$BX$549,MATCH(X$2,'Slutlig allokering kvv'!$B$1:$BX$1,0),FALSE)/1,0))</f>
        <v/>
      </c>
      <c r="Y20" s="121" t="str">
        <f>IF($D20="","",IFERROR(VLOOKUP($B20,Kraftvärmeprod!$B$1:$BX$549,MATCH(Y$2,Kraftvärmeprod!$B$1:$VX$1,0),FALSE)/1,0)-IFERROR(VLOOKUP($B20,'Slutlig allokering kvv'!$B$2:$BX$549,MATCH(Y$2,'Slutlig allokering kvv'!$B$1:$BX$1,0),FALSE)/1,0))</f>
        <v/>
      </c>
      <c r="Z20" s="121" t="str">
        <f>IF($D20="","",IFERROR(VLOOKUP($B20,Kraftvärmeprod!$B$1:$BX$549,MATCH(Z$2,Kraftvärmeprod!$B$1:$VX$1,0),FALSE)/1,0)-IFERROR(VLOOKUP($B20,'Slutlig allokering kvv'!$B$2:$BX$549,MATCH(Z$2,'Slutlig allokering kvv'!$B$1:$BX$1,0),FALSE)/1,0))</f>
        <v/>
      </c>
      <c r="AA20" s="121" t="str">
        <f>IF($D20="","",IFERROR(VLOOKUP($B20,Kraftvärmeprod!$B$1:$BX$549,MATCH(AA$2,Kraftvärmeprod!$B$1:$VX$1,0),FALSE)/1,0)-IFERROR(VLOOKUP($B20,'Slutlig allokering kvv'!$B$2:$BX$549,MATCH(AA$2,'Slutlig allokering kvv'!$B$1:$BX$1,0),FALSE)/1,0))</f>
        <v/>
      </c>
      <c r="AB20" s="121" t="str">
        <f>IF($D20="","",IFERROR(VLOOKUP($B20,Kraftvärmeprod!$B$1:$BX$549,MATCH(AB$2,Kraftvärmeprod!$B$1:$VX$1,0),FALSE)/1,0)-IFERROR(VLOOKUP($B20,'Slutlig allokering kvv'!$B$2:$BX$549,MATCH(AB$2,'Slutlig allokering kvv'!$B$1:$BX$1,0),FALSE)/1,0))</f>
        <v/>
      </c>
      <c r="AC20" s="121" t="str">
        <f>IF($D20="","",IFERROR(VLOOKUP($B20,Kraftvärmeprod!$B$1:$BX$549,MATCH(AC$2,Kraftvärmeprod!$B$1:$VX$1,0),FALSE)/1,0)-IFERROR(VLOOKUP($B20,'Slutlig allokering kvv'!$B$2:$BX$549,MATCH(AC$2,'Slutlig allokering kvv'!$B$1:$BX$1,0),FALSE)/1,0))</f>
        <v/>
      </c>
      <c r="AD20" s="121" t="str">
        <f>IF($D20="","",IFERROR(VLOOKUP($B20,Kraftvärmeprod!$B$1:$BX$549,MATCH(AD$2,Kraftvärmeprod!$B$1:$VX$1,0),FALSE)/1,0)-IFERROR(VLOOKUP($B20,'Slutlig allokering kvv'!$B$2:$BX$549,MATCH(AD$2,'Slutlig allokering kvv'!$B$1:$BX$1,0),FALSE)/1,0))</f>
        <v/>
      </c>
      <c r="AE20" s="121" t="str">
        <f>IF($D20="","",IFERROR(VLOOKUP($B20,Miljö!$B$1:$E$550,MATCH("Hjälpel kraftvärme (GWh)",Miljö!$B$1:$E$1,0),FALSE)/1,0)-IFERROR(VLOOKUP($B20,'Slutlig allokering kvv'!$B$2:$BX$549,MATCH(AE$2,'Slutlig allokering kvv'!$B$1:$BX$1,0),FALSE)/1,0))</f>
        <v/>
      </c>
      <c r="AI20" s="121">
        <f t="shared" si="0"/>
        <v>0</v>
      </c>
      <c r="AK20" s="121">
        <f>IFERROR(VLOOKUP($B20,'Slutlig allokering kvv'!$B$2:$AX$549,MATCH("Summa slutlig allokerad tillförd energi (utan hjälpel och rökgaskondensering):",'Slutlig allokering kvv'!$B$1:$AX$1,0),FALSE)/1,"")</f>
        <v>0</v>
      </c>
      <c r="AM20" s="172" t="str">
        <f>IFERROR(1-VLOOKUP($B20,'Slutlig allokering kvv'!$B$2:$AX$549,MATCH("Andel av bränsle i kvv som allokerats till värme, exklusive rökgaskondensering och hjälpel",'Slutlig allokering kvv'!$B$1:$AX$1,0),FALSE),"")</f>
        <v/>
      </c>
      <c r="AO20" s="172" t="str">
        <f t="shared" si="1"/>
        <v/>
      </c>
      <c r="AP20" s="173" t="str">
        <f t="shared" si="2"/>
        <v/>
      </c>
      <c r="AR20" s="172" t="str">
        <f t="shared" si="3"/>
        <v/>
      </c>
    </row>
    <row r="21" spans="1:44" x14ac:dyDescent="0.25">
      <c r="A21" s="171" t="str">
        <f>'Miljövärden för publ företag'!B23</f>
        <v>Adven Värme AB.</v>
      </c>
      <c r="B21" s="171" t="str">
        <f>'Miljövärden för publ företag'!C23</f>
        <v>Ramsele</v>
      </c>
      <c r="C21" s="121" t="str">
        <f>IFERROR(VLOOKUP($B21,Kraftvärmeprod!$B$1:$AH$478,MATCH(C$2,Kraftvärmeprod!$B$1:$AG$1,0),FALSE)/1,"")</f>
        <v/>
      </c>
      <c r="D21" s="121" t="str">
        <f>IFERROR(VLOOKUP($B21,Kraftvärmeprod!$B$1:$AH$478,MATCH(D$2,Kraftvärmeprod!$B$1:$AG$1,0),FALSE)/1,"")</f>
        <v/>
      </c>
      <c r="F21" s="121" t="str">
        <f>IF($D21="","",IFERROR(VLOOKUP($B21,Kraftvärmeprod!$B$1:$BX$549,MATCH(F$2,Kraftvärmeprod!$B$1:$VX$1,0),FALSE)/1,0)-IFERROR(VLOOKUP($B21,'Slutlig allokering kvv'!$B$2:$BX$549,MATCH(F$2,'Slutlig allokering kvv'!$B$1:$BX$1,0),FALSE)/1,0))</f>
        <v/>
      </c>
      <c r="G21" s="121" t="str">
        <f>IF($D21="","",IFERROR(VLOOKUP($B21,Kraftvärmeprod!$B$1:$BX$549,MATCH(G$2,Kraftvärmeprod!$B$1:$VX$1,0),FALSE)/1,0)-IFERROR(VLOOKUP($B21,'Slutlig allokering kvv'!$B$2:$BX$549,MATCH(G$2,'Slutlig allokering kvv'!$B$1:$BX$1,0),FALSE)/1,0))</f>
        <v/>
      </c>
      <c r="H21" s="121" t="str">
        <f>IF($D21="","",IFERROR(VLOOKUP($B21,Kraftvärmeprod!$B$1:$BX$549,MATCH(H$2,Kraftvärmeprod!$B$1:$VX$1,0),FALSE)/1,0)-IFERROR(VLOOKUP($B21,'Slutlig allokering kvv'!$B$2:$BX$549,MATCH(H$2,'Slutlig allokering kvv'!$B$1:$BX$1,0),FALSE)/1,0))</f>
        <v/>
      </c>
      <c r="I21" s="121" t="str">
        <f>IF($D21="","",IFERROR(VLOOKUP($B21,Kraftvärmeprod!$B$1:$BX$549,MATCH(I$2,Kraftvärmeprod!$B$1:$VX$1,0),FALSE)/1,0)-IFERROR(VLOOKUP($B21,'Slutlig allokering kvv'!$B$2:$BX$549,MATCH(I$2,'Slutlig allokering kvv'!$B$1:$BX$1,0),FALSE)/1,0))</f>
        <v/>
      </c>
      <c r="J21" s="121" t="str">
        <f>IF($D21="","",IFERROR(VLOOKUP($B21,Kraftvärmeprod!$B$1:$BX$549,MATCH(J$2,Kraftvärmeprod!$B$1:$VX$1,0),FALSE)/1,0)-IFERROR(VLOOKUP($B21,'Slutlig allokering kvv'!$B$2:$BX$549,MATCH(J$2,'Slutlig allokering kvv'!$B$1:$BX$1,0),FALSE)/1,0))</f>
        <v/>
      </c>
      <c r="K21" s="121" t="str">
        <f>IF($D21="","",IFERROR(VLOOKUP($B21,Kraftvärmeprod!$B$1:$BX$549,MATCH(K$2,Kraftvärmeprod!$B$1:$VX$1,0),FALSE)/1,0)-IFERROR(VLOOKUP($B21,'Slutlig allokering kvv'!$B$2:$BX$549,MATCH(K$2,'Slutlig allokering kvv'!$B$1:$BX$1,0),FALSE)/1,0))</f>
        <v/>
      </c>
      <c r="L21" s="121" t="str">
        <f>IF($D21="","",IFERROR(VLOOKUP($B21,Kraftvärmeprod!$B$1:$BX$549,MATCH(L$2,Kraftvärmeprod!$B$1:$VX$1,0),FALSE)/1,0)-IFERROR(VLOOKUP($B21,'Slutlig allokering kvv'!$B$2:$BX$549,MATCH(L$2,'Slutlig allokering kvv'!$B$1:$BX$1,0),FALSE)/1,0))</f>
        <v/>
      </c>
      <c r="M21" s="121" t="str">
        <f>IF($D21="","",IFERROR(VLOOKUP($B21,Kraftvärmeprod!$B$1:$BX$549,MATCH(M$2,Kraftvärmeprod!$B$1:$VX$1,0),FALSE)/1,0)-IFERROR(VLOOKUP($B21,'Slutlig allokering kvv'!$B$2:$BX$549,MATCH(M$2,'Slutlig allokering kvv'!$B$1:$BX$1,0),FALSE)/1,0))</f>
        <v/>
      </c>
      <c r="N21" s="121" t="str">
        <f>IF($D21="","",IFERROR(VLOOKUP($B21,Kraftvärmeprod!$B$1:$BX$549,MATCH(N$2,Kraftvärmeprod!$B$1:$VX$1,0),FALSE)/1,0)-IFERROR(VLOOKUP($B21,'Slutlig allokering kvv'!$B$2:$BX$549,MATCH(N$2,'Slutlig allokering kvv'!$B$1:$BX$1,0),FALSE)/1,0))</f>
        <v/>
      </c>
      <c r="O21" s="121" t="str">
        <f>IF($D21="","",IFERROR(VLOOKUP($B21,Kraftvärmeprod!$B$1:$BX$549,MATCH(O$2,Kraftvärmeprod!$B$1:$VX$1,0),FALSE)/1,0)-IFERROR(VLOOKUP($B21,'Slutlig allokering kvv'!$B$2:$BX$549,MATCH(O$2,'Slutlig allokering kvv'!$B$1:$BX$1,0),FALSE)/1,0))</f>
        <v/>
      </c>
      <c r="P21" s="121" t="str">
        <f>IF($D21="","",IFERROR(VLOOKUP($B21,Kraftvärmeprod!$B$1:$BX$549,MATCH(P$2,Kraftvärmeprod!$B$1:$VX$1,0),FALSE)/1,0)-IFERROR(VLOOKUP($B21,'Slutlig allokering kvv'!$B$2:$BX$549,MATCH(P$2,'Slutlig allokering kvv'!$B$1:$BX$1,0),FALSE)/1,0))</f>
        <v/>
      </c>
      <c r="Q21" s="121" t="str">
        <f>IF($D21="","",IFERROR(VLOOKUP($B21,Kraftvärmeprod!$B$1:$BX$549,MATCH(Q$2,Kraftvärmeprod!$B$1:$VX$1,0),FALSE)/1,0)-IFERROR(VLOOKUP($B21,'Slutlig allokering kvv'!$B$2:$BX$549,MATCH(Q$2,'Slutlig allokering kvv'!$B$1:$BX$1,0),FALSE)/1,0))</f>
        <v/>
      </c>
      <c r="R21" s="121" t="str">
        <f>IF($D21="","",IFERROR(VLOOKUP($B21,Kraftvärmeprod!$B$1:$BX$549,MATCH(R$2,Kraftvärmeprod!$B$1:$VX$1,0),FALSE)/1,0)-IFERROR(VLOOKUP($B21,'Slutlig allokering kvv'!$B$2:$BX$549,MATCH(R$2,'Slutlig allokering kvv'!$B$1:$BX$1,0),FALSE)/1,0))</f>
        <v/>
      </c>
      <c r="S21" s="121" t="str">
        <f>IF($D21="","",IFERROR(VLOOKUP($B21,Kraftvärmeprod!$B$1:$BX$549,MATCH(S$2,Kraftvärmeprod!$B$1:$VX$1,0),FALSE)/1,0)-IFERROR(VLOOKUP($B21,'Slutlig allokering kvv'!$B$2:$BX$549,MATCH(S$2,'Slutlig allokering kvv'!$B$1:$BX$1,0),FALSE)/1,0))</f>
        <v/>
      </c>
      <c r="T21" s="121" t="str">
        <f>IF($D21="","",IFERROR(VLOOKUP($B21,Kraftvärmeprod!$B$1:$BX$549,MATCH(T$2,Kraftvärmeprod!$B$1:$VX$1,0),FALSE)/1,0)-IFERROR(VLOOKUP($B21,'Slutlig allokering kvv'!$B$2:$BX$549,MATCH(T$2,'Slutlig allokering kvv'!$B$1:$BX$1,0),FALSE)/1,0))</f>
        <v/>
      </c>
      <c r="U21" s="121" t="str">
        <f>IF($D21="","",IFERROR(VLOOKUP($B21,Kraftvärmeprod!$B$1:$BX$549,MATCH(U$2,Kraftvärmeprod!$B$1:$VX$1,0),FALSE)/1,0)-IFERROR(VLOOKUP($B21,'Slutlig allokering kvv'!$B$2:$BX$549,MATCH(U$2,'Slutlig allokering kvv'!$B$1:$BX$1,0),FALSE)/1,0))</f>
        <v/>
      </c>
      <c r="V21" s="121" t="str">
        <f>IF($D21="","",IFERROR(VLOOKUP($B21,Kraftvärmeprod!$B$1:$BX$549,MATCH(V$2,Kraftvärmeprod!$B$1:$VX$1,0),FALSE)/1,0)-IFERROR(VLOOKUP($B21,'Slutlig allokering kvv'!$B$2:$BX$549,MATCH(V$2,'Slutlig allokering kvv'!$B$1:$BX$1,0),FALSE)/1,0))</f>
        <v/>
      </c>
      <c r="W21" s="121" t="str">
        <f>IF($D21="","",IFERROR(VLOOKUP($B21,Kraftvärmeprod!$B$1:$BX$549,MATCH(W$2,Kraftvärmeprod!$B$1:$VX$1,0),FALSE)/1,0)-IFERROR(VLOOKUP($B21,'Slutlig allokering kvv'!$B$2:$BX$549,MATCH(W$2,'Slutlig allokering kvv'!$B$1:$BX$1,0),FALSE)/1,0))</f>
        <v/>
      </c>
      <c r="X21" s="121" t="str">
        <f>IF($D21="","",IFERROR(VLOOKUP($B21,Kraftvärmeprod!$B$1:$BX$549,MATCH(X$2,Kraftvärmeprod!$B$1:$VX$1,0),FALSE)/1,0)-IFERROR(VLOOKUP($B21,'Slutlig allokering kvv'!$B$2:$BX$549,MATCH(X$2,'Slutlig allokering kvv'!$B$1:$BX$1,0),FALSE)/1,0))</f>
        <v/>
      </c>
      <c r="Y21" s="121" t="str">
        <f>IF($D21="","",IFERROR(VLOOKUP($B21,Kraftvärmeprod!$B$1:$BX$549,MATCH(Y$2,Kraftvärmeprod!$B$1:$VX$1,0),FALSE)/1,0)-IFERROR(VLOOKUP($B21,'Slutlig allokering kvv'!$B$2:$BX$549,MATCH(Y$2,'Slutlig allokering kvv'!$B$1:$BX$1,0),FALSE)/1,0))</f>
        <v/>
      </c>
      <c r="Z21" s="121" t="str">
        <f>IF($D21="","",IFERROR(VLOOKUP($B21,Kraftvärmeprod!$B$1:$BX$549,MATCH(Z$2,Kraftvärmeprod!$B$1:$VX$1,0),FALSE)/1,0)-IFERROR(VLOOKUP($B21,'Slutlig allokering kvv'!$B$2:$BX$549,MATCH(Z$2,'Slutlig allokering kvv'!$B$1:$BX$1,0),FALSE)/1,0))</f>
        <v/>
      </c>
      <c r="AA21" s="121" t="str">
        <f>IF($D21="","",IFERROR(VLOOKUP($B21,Kraftvärmeprod!$B$1:$BX$549,MATCH(AA$2,Kraftvärmeprod!$B$1:$VX$1,0),FALSE)/1,0)-IFERROR(VLOOKUP($B21,'Slutlig allokering kvv'!$B$2:$BX$549,MATCH(AA$2,'Slutlig allokering kvv'!$B$1:$BX$1,0),FALSE)/1,0))</f>
        <v/>
      </c>
      <c r="AB21" s="121" t="str">
        <f>IF($D21="","",IFERROR(VLOOKUP($B21,Kraftvärmeprod!$B$1:$BX$549,MATCH(AB$2,Kraftvärmeprod!$B$1:$VX$1,0),FALSE)/1,0)-IFERROR(VLOOKUP($B21,'Slutlig allokering kvv'!$B$2:$BX$549,MATCH(AB$2,'Slutlig allokering kvv'!$B$1:$BX$1,0),FALSE)/1,0))</f>
        <v/>
      </c>
      <c r="AC21" s="121" t="str">
        <f>IF($D21="","",IFERROR(VLOOKUP($B21,Kraftvärmeprod!$B$1:$BX$549,MATCH(AC$2,Kraftvärmeprod!$B$1:$VX$1,0),FALSE)/1,0)-IFERROR(VLOOKUP($B21,'Slutlig allokering kvv'!$B$2:$BX$549,MATCH(AC$2,'Slutlig allokering kvv'!$B$1:$BX$1,0),FALSE)/1,0))</f>
        <v/>
      </c>
      <c r="AD21" s="121" t="str">
        <f>IF($D21="","",IFERROR(VLOOKUP($B21,Kraftvärmeprod!$B$1:$BX$549,MATCH(AD$2,Kraftvärmeprod!$B$1:$VX$1,0),FALSE)/1,0)-IFERROR(VLOOKUP($B21,'Slutlig allokering kvv'!$B$2:$BX$549,MATCH(AD$2,'Slutlig allokering kvv'!$B$1:$BX$1,0),FALSE)/1,0))</f>
        <v/>
      </c>
      <c r="AE21" s="121" t="str">
        <f>IF($D21="","",IFERROR(VLOOKUP($B21,Miljö!$B$1:$E$550,MATCH("Hjälpel kraftvärme (GWh)",Miljö!$B$1:$E$1,0),FALSE)/1,0)-IFERROR(VLOOKUP($B21,'Slutlig allokering kvv'!$B$2:$BX$549,MATCH(AE$2,'Slutlig allokering kvv'!$B$1:$BX$1,0),FALSE)/1,0))</f>
        <v/>
      </c>
      <c r="AI21" s="121">
        <f t="shared" si="0"/>
        <v>0</v>
      </c>
      <c r="AK21" s="121">
        <f>IFERROR(VLOOKUP($B21,'Slutlig allokering kvv'!$B$2:$AX$549,MATCH("Summa slutlig allokerad tillförd energi (utan hjälpel och rökgaskondensering):",'Slutlig allokering kvv'!$B$1:$AX$1,0),FALSE)/1,"")</f>
        <v>0</v>
      </c>
      <c r="AM21" s="172" t="str">
        <f>IFERROR(1-VLOOKUP($B21,'Slutlig allokering kvv'!$B$2:$AX$549,MATCH("Andel av bränsle i kvv som allokerats till värme, exklusive rökgaskondensering och hjälpel",'Slutlig allokering kvv'!$B$1:$AX$1,0),FALSE),"")</f>
        <v/>
      </c>
      <c r="AO21" s="172" t="str">
        <f t="shared" si="1"/>
        <v/>
      </c>
      <c r="AP21" s="173" t="str">
        <f t="shared" si="2"/>
        <v/>
      </c>
      <c r="AR21" s="172" t="str">
        <f t="shared" si="3"/>
        <v/>
      </c>
    </row>
    <row r="22" spans="1:44" x14ac:dyDescent="0.25">
      <c r="A22" s="171" t="str">
        <f>'Miljövärden för publ företag'!B24</f>
        <v>Adven Värme AB.</v>
      </c>
      <c r="B22" s="171" t="str">
        <f>'Miljövärden för publ företag'!C24</f>
        <v>Sösdala</v>
      </c>
      <c r="C22" s="121" t="str">
        <f>IFERROR(VLOOKUP($B22,Kraftvärmeprod!$B$1:$AH$478,MATCH(C$2,Kraftvärmeprod!$B$1:$AG$1,0),FALSE)/1,"")</f>
        <v/>
      </c>
      <c r="D22" s="121" t="str">
        <f>IFERROR(VLOOKUP($B22,Kraftvärmeprod!$B$1:$AH$478,MATCH(D$2,Kraftvärmeprod!$B$1:$AG$1,0),FALSE)/1,"")</f>
        <v/>
      </c>
      <c r="F22" s="121" t="str">
        <f>IF($D22="","",IFERROR(VLOOKUP($B22,Kraftvärmeprod!$B$1:$BX$549,MATCH(F$2,Kraftvärmeprod!$B$1:$VX$1,0),FALSE)/1,0)-IFERROR(VLOOKUP($B22,'Slutlig allokering kvv'!$B$2:$BX$549,MATCH(F$2,'Slutlig allokering kvv'!$B$1:$BX$1,0),FALSE)/1,0))</f>
        <v/>
      </c>
      <c r="G22" s="121" t="str">
        <f>IF($D22="","",IFERROR(VLOOKUP($B22,Kraftvärmeprod!$B$1:$BX$549,MATCH(G$2,Kraftvärmeprod!$B$1:$VX$1,0),FALSE)/1,0)-IFERROR(VLOOKUP($B22,'Slutlig allokering kvv'!$B$2:$BX$549,MATCH(G$2,'Slutlig allokering kvv'!$B$1:$BX$1,0),FALSE)/1,0))</f>
        <v/>
      </c>
      <c r="H22" s="121" t="str">
        <f>IF($D22="","",IFERROR(VLOOKUP($B22,Kraftvärmeprod!$B$1:$BX$549,MATCH(H$2,Kraftvärmeprod!$B$1:$VX$1,0),FALSE)/1,0)-IFERROR(VLOOKUP($B22,'Slutlig allokering kvv'!$B$2:$BX$549,MATCH(H$2,'Slutlig allokering kvv'!$B$1:$BX$1,0),FALSE)/1,0))</f>
        <v/>
      </c>
      <c r="I22" s="121" t="str">
        <f>IF($D22="","",IFERROR(VLOOKUP($B22,Kraftvärmeprod!$B$1:$BX$549,MATCH(I$2,Kraftvärmeprod!$B$1:$VX$1,0),FALSE)/1,0)-IFERROR(VLOOKUP($B22,'Slutlig allokering kvv'!$B$2:$BX$549,MATCH(I$2,'Slutlig allokering kvv'!$B$1:$BX$1,0),FALSE)/1,0))</f>
        <v/>
      </c>
      <c r="J22" s="121" t="str">
        <f>IF($D22="","",IFERROR(VLOOKUP($B22,Kraftvärmeprod!$B$1:$BX$549,MATCH(J$2,Kraftvärmeprod!$B$1:$VX$1,0),FALSE)/1,0)-IFERROR(VLOOKUP($B22,'Slutlig allokering kvv'!$B$2:$BX$549,MATCH(J$2,'Slutlig allokering kvv'!$B$1:$BX$1,0),FALSE)/1,0))</f>
        <v/>
      </c>
      <c r="K22" s="121" t="str">
        <f>IF($D22="","",IFERROR(VLOOKUP($B22,Kraftvärmeprod!$B$1:$BX$549,MATCH(K$2,Kraftvärmeprod!$B$1:$VX$1,0),FALSE)/1,0)-IFERROR(VLOOKUP($B22,'Slutlig allokering kvv'!$B$2:$BX$549,MATCH(K$2,'Slutlig allokering kvv'!$B$1:$BX$1,0),FALSE)/1,0))</f>
        <v/>
      </c>
      <c r="L22" s="121" t="str">
        <f>IF($D22="","",IFERROR(VLOOKUP($B22,Kraftvärmeprod!$B$1:$BX$549,MATCH(L$2,Kraftvärmeprod!$B$1:$VX$1,0),FALSE)/1,0)-IFERROR(VLOOKUP($B22,'Slutlig allokering kvv'!$B$2:$BX$549,MATCH(L$2,'Slutlig allokering kvv'!$B$1:$BX$1,0),FALSE)/1,0))</f>
        <v/>
      </c>
      <c r="M22" s="121" t="str">
        <f>IF($D22="","",IFERROR(VLOOKUP($B22,Kraftvärmeprod!$B$1:$BX$549,MATCH(M$2,Kraftvärmeprod!$B$1:$VX$1,0),FALSE)/1,0)-IFERROR(VLOOKUP($B22,'Slutlig allokering kvv'!$B$2:$BX$549,MATCH(M$2,'Slutlig allokering kvv'!$B$1:$BX$1,0),FALSE)/1,0))</f>
        <v/>
      </c>
      <c r="N22" s="121" t="str">
        <f>IF($D22="","",IFERROR(VLOOKUP($B22,Kraftvärmeprod!$B$1:$BX$549,MATCH(N$2,Kraftvärmeprod!$B$1:$VX$1,0),FALSE)/1,0)-IFERROR(VLOOKUP($B22,'Slutlig allokering kvv'!$B$2:$BX$549,MATCH(N$2,'Slutlig allokering kvv'!$B$1:$BX$1,0),FALSE)/1,0))</f>
        <v/>
      </c>
      <c r="O22" s="121" t="str">
        <f>IF($D22="","",IFERROR(VLOOKUP($B22,Kraftvärmeprod!$B$1:$BX$549,MATCH(O$2,Kraftvärmeprod!$B$1:$VX$1,0),FALSE)/1,0)-IFERROR(VLOOKUP($B22,'Slutlig allokering kvv'!$B$2:$BX$549,MATCH(O$2,'Slutlig allokering kvv'!$B$1:$BX$1,0),FALSE)/1,0))</f>
        <v/>
      </c>
      <c r="P22" s="121" t="str">
        <f>IF($D22="","",IFERROR(VLOOKUP($B22,Kraftvärmeprod!$B$1:$BX$549,MATCH(P$2,Kraftvärmeprod!$B$1:$VX$1,0),FALSE)/1,0)-IFERROR(VLOOKUP($B22,'Slutlig allokering kvv'!$B$2:$BX$549,MATCH(P$2,'Slutlig allokering kvv'!$B$1:$BX$1,0),FALSE)/1,0))</f>
        <v/>
      </c>
      <c r="Q22" s="121" t="str">
        <f>IF($D22="","",IFERROR(VLOOKUP($B22,Kraftvärmeprod!$B$1:$BX$549,MATCH(Q$2,Kraftvärmeprod!$B$1:$VX$1,0),FALSE)/1,0)-IFERROR(VLOOKUP($B22,'Slutlig allokering kvv'!$B$2:$BX$549,MATCH(Q$2,'Slutlig allokering kvv'!$B$1:$BX$1,0),FALSE)/1,0))</f>
        <v/>
      </c>
      <c r="R22" s="121" t="str">
        <f>IF($D22="","",IFERROR(VLOOKUP($B22,Kraftvärmeprod!$B$1:$BX$549,MATCH(R$2,Kraftvärmeprod!$B$1:$VX$1,0),FALSE)/1,0)-IFERROR(VLOOKUP($B22,'Slutlig allokering kvv'!$B$2:$BX$549,MATCH(R$2,'Slutlig allokering kvv'!$B$1:$BX$1,0),FALSE)/1,0))</f>
        <v/>
      </c>
      <c r="S22" s="121" t="str">
        <f>IF($D22="","",IFERROR(VLOOKUP($B22,Kraftvärmeprod!$B$1:$BX$549,MATCH(S$2,Kraftvärmeprod!$B$1:$VX$1,0),FALSE)/1,0)-IFERROR(VLOOKUP($B22,'Slutlig allokering kvv'!$B$2:$BX$549,MATCH(S$2,'Slutlig allokering kvv'!$B$1:$BX$1,0),FALSE)/1,0))</f>
        <v/>
      </c>
      <c r="T22" s="121" t="str">
        <f>IF($D22="","",IFERROR(VLOOKUP($B22,Kraftvärmeprod!$B$1:$BX$549,MATCH(T$2,Kraftvärmeprod!$B$1:$VX$1,0),FALSE)/1,0)-IFERROR(VLOOKUP($B22,'Slutlig allokering kvv'!$B$2:$BX$549,MATCH(T$2,'Slutlig allokering kvv'!$B$1:$BX$1,0),FALSE)/1,0))</f>
        <v/>
      </c>
      <c r="U22" s="121" t="str">
        <f>IF($D22="","",IFERROR(VLOOKUP($B22,Kraftvärmeprod!$B$1:$BX$549,MATCH(U$2,Kraftvärmeprod!$B$1:$VX$1,0),FALSE)/1,0)-IFERROR(VLOOKUP($B22,'Slutlig allokering kvv'!$B$2:$BX$549,MATCH(U$2,'Slutlig allokering kvv'!$B$1:$BX$1,0),FALSE)/1,0))</f>
        <v/>
      </c>
      <c r="V22" s="121" t="str">
        <f>IF($D22="","",IFERROR(VLOOKUP($B22,Kraftvärmeprod!$B$1:$BX$549,MATCH(V$2,Kraftvärmeprod!$B$1:$VX$1,0),FALSE)/1,0)-IFERROR(VLOOKUP($B22,'Slutlig allokering kvv'!$B$2:$BX$549,MATCH(V$2,'Slutlig allokering kvv'!$B$1:$BX$1,0),FALSE)/1,0))</f>
        <v/>
      </c>
      <c r="W22" s="121" t="str">
        <f>IF($D22="","",IFERROR(VLOOKUP($B22,Kraftvärmeprod!$B$1:$BX$549,MATCH(W$2,Kraftvärmeprod!$B$1:$VX$1,0),FALSE)/1,0)-IFERROR(VLOOKUP($B22,'Slutlig allokering kvv'!$B$2:$BX$549,MATCH(W$2,'Slutlig allokering kvv'!$B$1:$BX$1,0),FALSE)/1,0))</f>
        <v/>
      </c>
      <c r="X22" s="121" t="str">
        <f>IF($D22="","",IFERROR(VLOOKUP($B22,Kraftvärmeprod!$B$1:$BX$549,MATCH(X$2,Kraftvärmeprod!$B$1:$VX$1,0),FALSE)/1,0)-IFERROR(VLOOKUP($B22,'Slutlig allokering kvv'!$B$2:$BX$549,MATCH(X$2,'Slutlig allokering kvv'!$B$1:$BX$1,0),FALSE)/1,0))</f>
        <v/>
      </c>
      <c r="Y22" s="121" t="str">
        <f>IF($D22="","",IFERROR(VLOOKUP($B22,Kraftvärmeprod!$B$1:$BX$549,MATCH(Y$2,Kraftvärmeprod!$B$1:$VX$1,0),FALSE)/1,0)-IFERROR(VLOOKUP($B22,'Slutlig allokering kvv'!$B$2:$BX$549,MATCH(Y$2,'Slutlig allokering kvv'!$B$1:$BX$1,0),FALSE)/1,0))</f>
        <v/>
      </c>
      <c r="Z22" s="121" t="str">
        <f>IF($D22="","",IFERROR(VLOOKUP($B22,Kraftvärmeprod!$B$1:$BX$549,MATCH(Z$2,Kraftvärmeprod!$B$1:$VX$1,0),FALSE)/1,0)-IFERROR(VLOOKUP($B22,'Slutlig allokering kvv'!$B$2:$BX$549,MATCH(Z$2,'Slutlig allokering kvv'!$B$1:$BX$1,0),FALSE)/1,0))</f>
        <v/>
      </c>
      <c r="AA22" s="121" t="str">
        <f>IF($D22="","",IFERROR(VLOOKUP($B22,Kraftvärmeprod!$B$1:$BX$549,MATCH(AA$2,Kraftvärmeprod!$B$1:$VX$1,0),FALSE)/1,0)-IFERROR(VLOOKUP($B22,'Slutlig allokering kvv'!$B$2:$BX$549,MATCH(AA$2,'Slutlig allokering kvv'!$B$1:$BX$1,0),FALSE)/1,0))</f>
        <v/>
      </c>
      <c r="AB22" s="121" t="str">
        <f>IF($D22="","",IFERROR(VLOOKUP($B22,Kraftvärmeprod!$B$1:$BX$549,MATCH(AB$2,Kraftvärmeprod!$B$1:$VX$1,0),FALSE)/1,0)-IFERROR(VLOOKUP($B22,'Slutlig allokering kvv'!$B$2:$BX$549,MATCH(AB$2,'Slutlig allokering kvv'!$B$1:$BX$1,0),FALSE)/1,0))</f>
        <v/>
      </c>
      <c r="AC22" s="121" t="str">
        <f>IF($D22="","",IFERROR(VLOOKUP($B22,Kraftvärmeprod!$B$1:$BX$549,MATCH(AC$2,Kraftvärmeprod!$B$1:$VX$1,0),FALSE)/1,0)-IFERROR(VLOOKUP($B22,'Slutlig allokering kvv'!$B$2:$BX$549,MATCH(AC$2,'Slutlig allokering kvv'!$B$1:$BX$1,0),FALSE)/1,0))</f>
        <v/>
      </c>
      <c r="AD22" s="121" t="str">
        <f>IF($D22="","",IFERROR(VLOOKUP($B22,Kraftvärmeprod!$B$1:$BX$549,MATCH(AD$2,Kraftvärmeprod!$B$1:$VX$1,0),FALSE)/1,0)-IFERROR(VLOOKUP($B22,'Slutlig allokering kvv'!$B$2:$BX$549,MATCH(AD$2,'Slutlig allokering kvv'!$B$1:$BX$1,0),FALSE)/1,0))</f>
        <v/>
      </c>
      <c r="AE22" s="121" t="str">
        <f>IF($D22="","",IFERROR(VLOOKUP($B22,Miljö!$B$1:$E$550,MATCH("Hjälpel kraftvärme (GWh)",Miljö!$B$1:$E$1,0),FALSE)/1,0)-IFERROR(VLOOKUP($B22,'Slutlig allokering kvv'!$B$2:$BX$549,MATCH(AE$2,'Slutlig allokering kvv'!$B$1:$BX$1,0),FALSE)/1,0))</f>
        <v/>
      </c>
      <c r="AI22" s="121">
        <f t="shared" si="0"/>
        <v>0</v>
      </c>
      <c r="AK22" s="121">
        <f>IFERROR(VLOOKUP($B22,'Slutlig allokering kvv'!$B$2:$AX$549,MATCH("Summa slutlig allokerad tillförd energi (utan hjälpel och rökgaskondensering):",'Slutlig allokering kvv'!$B$1:$AX$1,0),FALSE)/1,"")</f>
        <v>0</v>
      </c>
      <c r="AM22" s="172" t="str">
        <f>IFERROR(1-VLOOKUP($B22,'Slutlig allokering kvv'!$B$2:$AX$549,MATCH("Andel av bränsle i kvv som allokerats till värme, exklusive rökgaskondensering och hjälpel",'Slutlig allokering kvv'!$B$1:$AX$1,0),FALSE),"")</f>
        <v/>
      </c>
      <c r="AO22" s="172" t="str">
        <f t="shared" si="1"/>
        <v/>
      </c>
      <c r="AP22" s="173" t="str">
        <f t="shared" si="2"/>
        <v/>
      </c>
      <c r="AR22" s="172" t="str">
        <f t="shared" si="3"/>
        <v/>
      </c>
    </row>
    <row r="23" spans="1:44" x14ac:dyDescent="0.25">
      <c r="A23" s="171" t="str">
        <f>'Miljövärden för publ företag'!B25</f>
        <v>Affärsverken Karlskrona AB</v>
      </c>
      <c r="B23" s="171" t="str">
        <f>'Miljövärden för publ företag'!C25</f>
        <v>Fridlevstad</v>
      </c>
      <c r="C23" s="121" t="str">
        <f>IFERROR(VLOOKUP($B23,Kraftvärmeprod!$B$1:$AH$478,MATCH(C$2,Kraftvärmeprod!$B$1:$AG$1,0),FALSE)/1,"")</f>
        <v/>
      </c>
      <c r="D23" s="121" t="str">
        <f>IFERROR(VLOOKUP($B23,Kraftvärmeprod!$B$1:$AH$478,MATCH(D$2,Kraftvärmeprod!$B$1:$AG$1,0),FALSE)/1,"")</f>
        <v/>
      </c>
      <c r="F23" s="121" t="str">
        <f>IF($D23="","",IFERROR(VLOOKUP($B23,Kraftvärmeprod!$B$1:$BX$549,MATCH(F$2,Kraftvärmeprod!$B$1:$VX$1,0),FALSE)/1,0)-IFERROR(VLOOKUP($B23,'Slutlig allokering kvv'!$B$2:$BX$549,MATCH(F$2,'Slutlig allokering kvv'!$B$1:$BX$1,0),FALSE)/1,0))</f>
        <v/>
      </c>
      <c r="G23" s="121" t="str">
        <f>IF($D23="","",IFERROR(VLOOKUP($B23,Kraftvärmeprod!$B$1:$BX$549,MATCH(G$2,Kraftvärmeprod!$B$1:$VX$1,0),FALSE)/1,0)-IFERROR(VLOOKUP($B23,'Slutlig allokering kvv'!$B$2:$BX$549,MATCH(G$2,'Slutlig allokering kvv'!$B$1:$BX$1,0),FALSE)/1,0))</f>
        <v/>
      </c>
      <c r="H23" s="121" t="str">
        <f>IF($D23="","",IFERROR(VLOOKUP($B23,Kraftvärmeprod!$B$1:$BX$549,MATCH(H$2,Kraftvärmeprod!$B$1:$VX$1,0),FALSE)/1,0)-IFERROR(VLOOKUP($B23,'Slutlig allokering kvv'!$B$2:$BX$549,MATCH(H$2,'Slutlig allokering kvv'!$B$1:$BX$1,0),FALSE)/1,0))</f>
        <v/>
      </c>
      <c r="I23" s="121" t="str">
        <f>IF($D23="","",IFERROR(VLOOKUP($B23,Kraftvärmeprod!$B$1:$BX$549,MATCH(I$2,Kraftvärmeprod!$B$1:$VX$1,0),FALSE)/1,0)-IFERROR(VLOOKUP($B23,'Slutlig allokering kvv'!$B$2:$BX$549,MATCH(I$2,'Slutlig allokering kvv'!$B$1:$BX$1,0),FALSE)/1,0))</f>
        <v/>
      </c>
      <c r="J23" s="121" t="str">
        <f>IF($D23="","",IFERROR(VLOOKUP($B23,Kraftvärmeprod!$B$1:$BX$549,MATCH(J$2,Kraftvärmeprod!$B$1:$VX$1,0),FALSE)/1,0)-IFERROR(VLOOKUP($B23,'Slutlig allokering kvv'!$B$2:$BX$549,MATCH(J$2,'Slutlig allokering kvv'!$B$1:$BX$1,0),FALSE)/1,0))</f>
        <v/>
      </c>
      <c r="K23" s="121" t="str">
        <f>IF($D23="","",IFERROR(VLOOKUP($B23,Kraftvärmeprod!$B$1:$BX$549,MATCH(K$2,Kraftvärmeprod!$B$1:$VX$1,0),FALSE)/1,0)-IFERROR(VLOOKUP($B23,'Slutlig allokering kvv'!$B$2:$BX$549,MATCH(K$2,'Slutlig allokering kvv'!$B$1:$BX$1,0),FALSE)/1,0))</f>
        <v/>
      </c>
      <c r="L23" s="121" t="str">
        <f>IF($D23="","",IFERROR(VLOOKUP($B23,Kraftvärmeprod!$B$1:$BX$549,MATCH(L$2,Kraftvärmeprod!$B$1:$VX$1,0),FALSE)/1,0)-IFERROR(VLOOKUP($B23,'Slutlig allokering kvv'!$B$2:$BX$549,MATCH(L$2,'Slutlig allokering kvv'!$B$1:$BX$1,0),FALSE)/1,0))</f>
        <v/>
      </c>
      <c r="M23" s="121" t="str">
        <f>IF($D23="","",IFERROR(VLOOKUP($B23,Kraftvärmeprod!$B$1:$BX$549,MATCH(M$2,Kraftvärmeprod!$B$1:$VX$1,0),FALSE)/1,0)-IFERROR(VLOOKUP($B23,'Slutlig allokering kvv'!$B$2:$BX$549,MATCH(M$2,'Slutlig allokering kvv'!$B$1:$BX$1,0),FALSE)/1,0))</f>
        <v/>
      </c>
      <c r="N23" s="121" t="str">
        <f>IF($D23="","",IFERROR(VLOOKUP($B23,Kraftvärmeprod!$B$1:$BX$549,MATCH(N$2,Kraftvärmeprod!$B$1:$VX$1,0),FALSE)/1,0)-IFERROR(VLOOKUP($B23,'Slutlig allokering kvv'!$B$2:$BX$549,MATCH(N$2,'Slutlig allokering kvv'!$B$1:$BX$1,0),FALSE)/1,0))</f>
        <v/>
      </c>
      <c r="O23" s="121" t="str">
        <f>IF($D23="","",IFERROR(VLOOKUP($B23,Kraftvärmeprod!$B$1:$BX$549,MATCH(O$2,Kraftvärmeprod!$B$1:$VX$1,0),FALSE)/1,0)-IFERROR(VLOOKUP($B23,'Slutlig allokering kvv'!$B$2:$BX$549,MATCH(O$2,'Slutlig allokering kvv'!$B$1:$BX$1,0),FALSE)/1,0))</f>
        <v/>
      </c>
      <c r="P23" s="121" t="str">
        <f>IF($D23="","",IFERROR(VLOOKUP($B23,Kraftvärmeprod!$B$1:$BX$549,MATCH(P$2,Kraftvärmeprod!$B$1:$VX$1,0),FALSE)/1,0)-IFERROR(VLOOKUP($B23,'Slutlig allokering kvv'!$B$2:$BX$549,MATCH(P$2,'Slutlig allokering kvv'!$B$1:$BX$1,0),FALSE)/1,0))</f>
        <v/>
      </c>
      <c r="Q23" s="121" t="str">
        <f>IF($D23="","",IFERROR(VLOOKUP($B23,Kraftvärmeprod!$B$1:$BX$549,MATCH(Q$2,Kraftvärmeprod!$B$1:$VX$1,0),FALSE)/1,0)-IFERROR(VLOOKUP($B23,'Slutlig allokering kvv'!$B$2:$BX$549,MATCH(Q$2,'Slutlig allokering kvv'!$B$1:$BX$1,0),FALSE)/1,0))</f>
        <v/>
      </c>
      <c r="R23" s="121" t="str">
        <f>IF($D23="","",IFERROR(VLOOKUP($B23,Kraftvärmeprod!$B$1:$BX$549,MATCH(R$2,Kraftvärmeprod!$B$1:$VX$1,0),FALSE)/1,0)-IFERROR(VLOOKUP($B23,'Slutlig allokering kvv'!$B$2:$BX$549,MATCH(R$2,'Slutlig allokering kvv'!$B$1:$BX$1,0),FALSE)/1,0))</f>
        <v/>
      </c>
      <c r="S23" s="121" t="str">
        <f>IF($D23="","",IFERROR(VLOOKUP($B23,Kraftvärmeprod!$B$1:$BX$549,MATCH(S$2,Kraftvärmeprod!$B$1:$VX$1,0),FALSE)/1,0)-IFERROR(VLOOKUP($B23,'Slutlig allokering kvv'!$B$2:$BX$549,MATCH(S$2,'Slutlig allokering kvv'!$B$1:$BX$1,0),FALSE)/1,0))</f>
        <v/>
      </c>
      <c r="T23" s="121" t="str">
        <f>IF($D23="","",IFERROR(VLOOKUP($B23,Kraftvärmeprod!$B$1:$BX$549,MATCH(T$2,Kraftvärmeprod!$B$1:$VX$1,0),FALSE)/1,0)-IFERROR(VLOOKUP($B23,'Slutlig allokering kvv'!$B$2:$BX$549,MATCH(T$2,'Slutlig allokering kvv'!$B$1:$BX$1,0),FALSE)/1,0))</f>
        <v/>
      </c>
      <c r="U23" s="121" t="str">
        <f>IF($D23="","",IFERROR(VLOOKUP($B23,Kraftvärmeprod!$B$1:$BX$549,MATCH(U$2,Kraftvärmeprod!$B$1:$VX$1,0),FALSE)/1,0)-IFERROR(VLOOKUP($B23,'Slutlig allokering kvv'!$B$2:$BX$549,MATCH(U$2,'Slutlig allokering kvv'!$B$1:$BX$1,0),FALSE)/1,0))</f>
        <v/>
      </c>
      <c r="V23" s="121" t="str">
        <f>IF($D23="","",IFERROR(VLOOKUP($B23,Kraftvärmeprod!$B$1:$BX$549,MATCH(V$2,Kraftvärmeprod!$B$1:$VX$1,0),FALSE)/1,0)-IFERROR(VLOOKUP($B23,'Slutlig allokering kvv'!$B$2:$BX$549,MATCH(V$2,'Slutlig allokering kvv'!$B$1:$BX$1,0),FALSE)/1,0))</f>
        <v/>
      </c>
      <c r="W23" s="121" t="str">
        <f>IF($D23="","",IFERROR(VLOOKUP($B23,Kraftvärmeprod!$B$1:$BX$549,MATCH(W$2,Kraftvärmeprod!$B$1:$VX$1,0),FALSE)/1,0)-IFERROR(VLOOKUP($B23,'Slutlig allokering kvv'!$B$2:$BX$549,MATCH(W$2,'Slutlig allokering kvv'!$B$1:$BX$1,0),FALSE)/1,0))</f>
        <v/>
      </c>
      <c r="X23" s="121" t="str">
        <f>IF($D23="","",IFERROR(VLOOKUP($B23,Kraftvärmeprod!$B$1:$BX$549,MATCH(X$2,Kraftvärmeprod!$B$1:$VX$1,0),FALSE)/1,0)-IFERROR(VLOOKUP($B23,'Slutlig allokering kvv'!$B$2:$BX$549,MATCH(X$2,'Slutlig allokering kvv'!$B$1:$BX$1,0),FALSE)/1,0))</f>
        <v/>
      </c>
      <c r="Y23" s="121" t="str">
        <f>IF($D23="","",IFERROR(VLOOKUP($B23,Kraftvärmeprod!$B$1:$BX$549,MATCH(Y$2,Kraftvärmeprod!$B$1:$VX$1,0),FALSE)/1,0)-IFERROR(VLOOKUP($B23,'Slutlig allokering kvv'!$B$2:$BX$549,MATCH(Y$2,'Slutlig allokering kvv'!$B$1:$BX$1,0),FALSE)/1,0))</f>
        <v/>
      </c>
      <c r="Z23" s="121" t="str">
        <f>IF($D23="","",IFERROR(VLOOKUP($B23,Kraftvärmeprod!$B$1:$BX$549,MATCH(Z$2,Kraftvärmeprod!$B$1:$VX$1,0),FALSE)/1,0)-IFERROR(VLOOKUP($B23,'Slutlig allokering kvv'!$B$2:$BX$549,MATCH(Z$2,'Slutlig allokering kvv'!$B$1:$BX$1,0),FALSE)/1,0))</f>
        <v/>
      </c>
      <c r="AA23" s="121" t="str">
        <f>IF($D23="","",IFERROR(VLOOKUP($B23,Kraftvärmeprod!$B$1:$BX$549,MATCH(AA$2,Kraftvärmeprod!$B$1:$VX$1,0),FALSE)/1,0)-IFERROR(VLOOKUP($B23,'Slutlig allokering kvv'!$B$2:$BX$549,MATCH(AA$2,'Slutlig allokering kvv'!$B$1:$BX$1,0),FALSE)/1,0))</f>
        <v/>
      </c>
      <c r="AB23" s="121" t="str">
        <f>IF($D23="","",IFERROR(VLOOKUP($B23,Kraftvärmeprod!$B$1:$BX$549,MATCH(AB$2,Kraftvärmeprod!$B$1:$VX$1,0),FALSE)/1,0)-IFERROR(VLOOKUP($B23,'Slutlig allokering kvv'!$B$2:$BX$549,MATCH(AB$2,'Slutlig allokering kvv'!$B$1:$BX$1,0),FALSE)/1,0))</f>
        <v/>
      </c>
      <c r="AC23" s="121" t="str">
        <f>IF($D23="","",IFERROR(VLOOKUP($B23,Kraftvärmeprod!$B$1:$BX$549,MATCH(AC$2,Kraftvärmeprod!$B$1:$VX$1,0),FALSE)/1,0)-IFERROR(VLOOKUP($B23,'Slutlig allokering kvv'!$B$2:$BX$549,MATCH(AC$2,'Slutlig allokering kvv'!$B$1:$BX$1,0),FALSE)/1,0))</f>
        <v/>
      </c>
      <c r="AD23" s="121" t="str">
        <f>IF($D23="","",IFERROR(VLOOKUP($B23,Kraftvärmeprod!$B$1:$BX$549,MATCH(AD$2,Kraftvärmeprod!$B$1:$VX$1,0),FALSE)/1,0)-IFERROR(VLOOKUP($B23,'Slutlig allokering kvv'!$B$2:$BX$549,MATCH(AD$2,'Slutlig allokering kvv'!$B$1:$BX$1,0),FALSE)/1,0))</f>
        <v/>
      </c>
      <c r="AE23" s="121" t="str">
        <f>IF($D23="","",IFERROR(VLOOKUP($B23,Miljö!$B$1:$E$550,MATCH("Hjälpel kraftvärme (GWh)",Miljö!$B$1:$E$1,0),FALSE)/1,0)-IFERROR(VLOOKUP($B23,'Slutlig allokering kvv'!$B$2:$BX$549,MATCH(AE$2,'Slutlig allokering kvv'!$B$1:$BX$1,0),FALSE)/1,0))</f>
        <v/>
      </c>
      <c r="AI23" s="121">
        <f t="shared" si="0"/>
        <v>0</v>
      </c>
      <c r="AK23" s="121">
        <f>IFERROR(VLOOKUP($B23,'Slutlig allokering kvv'!$B$2:$AX$549,MATCH("Summa slutlig allokerad tillförd energi (utan hjälpel och rökgaskondensering):",'Slutlig allokering kvv'!$B$1:$AX$1,0),FALSE)/1,"")</f>
        <v>0</v>
      </c>
      <c r="AM23" s="172" t="str">
        <f>IFERROR(1-VLOOKUP($B23,'Slutlig allokering kvv'!$B$2:$AX$549,MATCH("Andel av bränsle i kvv som allokerats till värme, exklusive rökgaskondensering och hjälpel",'Slutlig allokering kvv'!$B$1:$AX$1,0),FALSE),"")</f>
        <v/>
      </c>
      <c r="AO23" s="172" t="str">
        <f t="shared" si="1"/>
        <v/>
      </c>
      <c r="AP23" s="173" t="str">
        <f t="shared" si="2"/>
        <v/>
      </c>
      <c r="AR23" s="172" t="str">
        <f t="shared" si="3"/>
        <v/>
      </c>
    </row>
    <row r="24" spans="1:44" x14ac:dyDescent="0.25">
      <c r="A24" s="171" t="str">
        <f>'Miljövärden för publ företag'!B26</f>
        <v>Affärsverken Karlskrona AB</v>
      </c>
      <c r="B24" s="171" t="str">
        <f>'Miljövärden för publ företag'!C26</f>
        <v>Jämjö</v>
      </c>
      <c r="C24" s="121" t="str">
        <f>IFERROR(VLOOKUP($B24,Kraftvärmeprod!$B$1:$AH$478,MATCH(C$2,Kraftvärmeprod!$B$1:$AG$1,0),FALSE)/1,"")</f>
        <v/>
      </c>
      <c r="D24" s="121" t="str">
        <f>IFERROR(VLOOKUP($B24,Kraftvärmeprod!$B$1:$AH$478,MATCH(D$2,Kraftvärmeprod!$B$1:$AG$1,0),FALSE)/1,"")</f>
        <v/>
      </c>
      <c r="F24" s="121" t="str">
        <f>IF($D24="","",IFERROR(VLOOKUP($B24,Kraftvärmeprod!$B$1:$BX$549,MATCH(F$2,Kraftvärmeprod!$B$1:$VX$1,0),FALSE)/1,0)-IFERROR(VLOOKUP($B24,'Slutlig allokering kvv'!$B$2:$BX$549,MATCH(F$2,'Slutlig allokering kvv'!$B$1:$BX$1,0),FALSE)/1,0))</f>
        <v/>
      </c>
      <c r="G24" s="121" t="str">
        <f>IF($D24="","",IFERROR(VLOOKUP($B24,Kraftvärmeprod!$B$1:$BX$549,MATCH(G$2,Kraftvärmeprod!$B$1:$VX$1,0),FALSE)/1,0)-IFERROR(VLOOKUP($B24,'Slutlig allokering kvv'!$B$2:$BX$549,MATCH(G$2,'Slutlig allokering kvv'!$B$1:$BX$1,0),FALSE)/1,0))</f>
        <v/>
      </c>
      <c r="H24" s="121" t="str">
        <f>IF($D24="","",IFERROR(VLOOKUP($B24,Kraftvärmeprod!$B$1:$BX$549,MATCH(H$2,Kraftvärmeprod!$B$1:$VX$1,0),FALSE)/1,0)-IFERROR(VLOOKUP($B24,'Slutlig allokering kvv'!$B$2:$BX$549,MATCH(H$2,'Slutlig allokering kvv'!$B$1:$BX$1,0),FALSE)/1,0))</f>
        <v/>
      </c>
      <c r="I24" s="121" t="str">
        <f>IF($D24="","",IFERROR(VLOOKUP($B24,Kraftvärmeprod!$B$1:$BX$549,MATCH(I$2,Kraftvärmeprod!$B$1:$VX$1,0),FALSE)/1,0)-IFERROR(VLOOKUP($B24,'Slutlig allokering kvv'!$B$2:$BX$549,MATCH(I$2,'Slutlig allokering kvv'!$B$1:$BX$1,0),FALSE)/1,0))</f>
        <v/>
      </c>
      <c r="J24" s="121" t="str">
        <f>IF($D24="","",IFERROR(VLOOKUP($B24,Kraftvärmeprod!$B$1:$BX$549,MATCH(J$2,Kraftvärmeprod!$B$1:$VX$1,0),FALSE)/1,0)-IFERROR(VLOOKUP($B24,'Slutlig allokering kvv'!$B$2:$BX$549,MATCH(J$2,'Slutlig allokering kvv'!$B$1:$BX$1,0),FALSE)/1,0))</f>
        <v/>
      </c>
      <c r="K24" s="121" t="str">
        <f>IF($D24="","",IFERROR(VLOOKUP($B24,Kraftvärmeprod!$B$1:$BX$549,MATCH(K$2,Kraftvärmeprod!$B$1:$VX$1,0),FALSE)/1,0)-IFERROR(VLOOKUP($B24,'Slutlig allokering kvv'!$B$2:$BX$549,MATCH(K$2,'Slutlig allokering kvv'!$B$1:$BX$1,0),FALSE)/1,0))</f>
        <v/>
      </c>
      <c r="L24" s="121" t="str">
        <f>IF($D24="","",IFERROR(VLOOKUP($B24,Kraftvärmeprod!$B$1:$BX$549,MATCH(L$2,Kraftvärmeprod!$B$1:$VX$1,0),FALSE)/1,0)-IFERROR(VLOOKUP($B24,'Slutlig allokering kvv'!$B$2:$BX$549,MATCH(L$2,'Slutlig allokering kvv'!$B$1:$BX$1,0),FALSE)/1,0))</f>
        <v/>
      </c>
      <c r="M24" s="121" t="str">
        <f>IF($D24="","",IFERROR(VLOOKUP($B24,Kraftvärmeprod!$B$1:$BX$549,MATCH(M$2,Kraftvärmeprod!$B$1:$VX$1,0),FALSE)/1,0)-IFERROR(VLOOKUP($B24,'Slutlig allokering kvv'!$B$2:$BX$549,MATCH(M$2,'Slutlig allokering kvv'!$B$1:$BX$1,0),FALSE)/1,0))</f>
        <v/>
      </c>
      <c r="N24" s="121" t="str">
        <f>IF($D24="","",IFERROR(VLOOKUP($B24,Kraftvärmeprod!$B$1:$BX$549,MATCH(N$2,Kraftvärmeprod!$B$1:$VX$1,0),FALSE)/1,0)-IFERROR(VLOOKUP($B24,'Slutlig allokering kvv'!$B$2:$BX$549,MATCH(N$2,'Slutlig allokering kvv'!$B$1:$BX$1,0),FALSE)/1,0))</f>
        <v/>
      </c>
      <c r="O24" s="121" t="str">
        <f>IF($D24="","",IFERROR(VLOOKUP($B24,Kraftvärmeprod!$B$1:$BX$549,MATCH(O$2,Kraftvärmeprod!$B$1:$VX$1,0),FALSE)/1,0)-IFERROR(VLOOKUP($B24,'Slutlig allokering kvv'!$B$2:$BX$549,MATCH(O$2,'Slutlig allokering kvv'!$B$1:$BX$1,0),FALSE)/1,0))</f>
        <v/>
      </c>
      <c r="P24" s="121" t="str">
        <f>IF($D24="","",IFERROR(VLOOKUP($B24,Kraftvärmeprod!$B$1:$BX$549,MATCH(P$2,Kraftvärmeprod!$B$1:$VX$1,0),FALSE)/1,0)-IFERROR(VLOOKUP($B24,'Slutlig allokering kvv'!$B$2:$BX$549,MATCH(P$2,'Slutlig allokering kvv'!$B$1:$BX$1,0),FALSE)/1,0))</f>
        <v/>
      </c>
      <c r="Q24" s="121" t="str">
        <f>IF($D24="","",IFERROR(VLOOKUP($B24,Kraftvärmeprod!$B$1:$BX$549,MATCH(Q$2,Kraftvärmeprod!$B$1:$VX$1,0),FALSE)/1,0)-IFERROR(VLOOKUP($B24,'Slutlig allokering kvv'!$B$2:$BX$549,MATCH(Q$2,'Slutlig allokering kvv'!$B$1:$BX$1,0),FALSE)/1,0))</f>
        <v/>
      </c>
      <c r="R24" s="121" t="str">
        <f>IF($D24="","",IFERROR(VLOOKUP($B24,Kraftvärmeprod!$B$1:$BX$549,MATCH(R$2,Kraftvärmeprod!$B$1:$VX$1,0),FALSE)/1,0)-IFERROR(VLOOKUP($B24,'Slutlig allokering kvv'!$B$2:$BX$549,MATCH(R$2,'Slutlig allokering kvv'!$B$1:$BX$1,0),FALSE)/1,0))</f>
        <v/>
      </c>
      <c r="S24" s="121" t="str">
        <f>IF($D24="","",IFERROR(VLOOKUP($B24,Kraftvärmeprod!$B$1:$BX$549,MATCH(S$2,Kraftvärmeprod!$B$1:$VX$1,0),FALSE)/1,0)-IFERROR(VLOOKUP($B24,'Slutlig allokering kvv'!$B$2:$BX$549,MATCH(S$2,'Slutlig allokering kvv'!$B$1:$BX$1,0),FALSE)/1,0))</f>
        <v/>
      </c>
      <c r="T24" s="121" t="str">
        <f>IF($D24="","",IFERROR(VLOOKUP($B24,Kraftvärmeprod!$B$1:$BX$549,MATCH(T$2,Kraftvärmeprod!$B$1:$VX$1,0),FALSE)/1,0)-IFERROR(VLOOKUP($B24,'Slutlig allokering kvv'!$B$2:$BX$549,MATCH(T$2,'Slutlig allokering kvv'!$B$1:$BX$1,0),FALSE)/1,0))</f>
        <v/>
      </c>
      <c r="U24" s="121" t="str">
        <f>IF($D24="","",IFERROR(VLOOKUP($B24,Kraftvärmeprod!$B$1:$BX$549,MATCH(U$2,Kraftvärmeprod!$B$1:$VX$1,0),FALSE)/1,0)-IFERROR(VLOOKUP($B24,'Slutlig allokering kvv'!$B$2:$BX$549,MATCH(U$2,'Slutlig allokering kvv'!$B$1:$BX$1,0),FALSE)/1,0))</f>
        <v/>
      </c>
      <c r="V24" s="121" t="str">
        <f>IF($D24="","",IFERROR(VLOOKUP($B24,Kraftvärmeprod!$B$1:$BX$549,MATCH(V$2,Kraftvärmeprod!$B$1:$VX$1,0),FALSE)/1,0)-IFERROR(VLOOKUP($B24,'Slutlig allokering kvv'!$B$2:$BX$549,MATCH(V$2,'Slutlig allokering kvv'!$B$1:$BX$1,0),FALSE)/1,0))</f>
        <v/>
      </c>
      <c r="W24" s="121" t="str">
        <f>IF($D24="","",IFERROR(VLOOKUP($B24,Kraftvärmeprod!$B$1:$BX$549,MATCH(W$2,Kraftvärmeprod!$B$1:$VX$1,0),FALSE)/1,0)-IFERROR(VLOOKUP($B24,'Slutlig allokering kvv'!$B$2:$BX$549,MATCH(W$2,'Slutlig allokering kvv'!$B$1:$BX$1,0),FALSE)/1,0))</f>
        <v/>
      </c>
      <c r="X24" s="121" t="str">
        <f>IF($D24="","",IFERROR(VLOOKUP($B24,Kraftvärmeprod!$B$1:$BX$549,MATCH(X$2,Kraftvärmeprod!$B$1:$VX$1,0),FALSE)/1,0)-IFERROR(VLOOKUP($B24,'Slutlig allokering kvv'!$B$2:$BX$549,MATCH(X$2,'Slutlig allokering kvv'!$B$1:$BX$1,0),FALSE)/1,0))</f>
        <v/>
      </c>
      <c r="Y24" s="121" t="str">
        <f>IF($D24="","",IFERROR(VLOOKUP($B24,Kraftvärmeprod!$B$1:$BX$549,MATCH(Y$2,Kraftvärmeprod!$B$1:$VX$1,0),FALSE)/1,0)-IFERROR(VLOOKUP($B24,'Slutlig allokering kvv'!$B$2:$BX$549,MATCH(Y$2,'Slutlig allokering kvv'!$B$1:$BX$1,0),FALSE)/1,0))</f>
        <v/>
      </c>
      <c r="Z24" s="121" t="str">
        <f>IF($D24="","",IFERROR(VLOOKUP($B24,Kraftvärmeprod!$B$1:$BX$549,MATCH(Z$2,Kraftvärmeprod!$B$1:$VX$1,0),FALSE)/1,0)-IFERROR(VLOOKUP($B24,'Slutlig allokering kvv'!$B$2:$BX$549,MATCH(Z$2,'Slutlig allokering kvv'!$B$1:$BX$1,0),FALSE)/1,0))</f>
        <v/>
      </c>
      <c r="AA24" s="121" t="str">
        <f>IF($D24="","",IFERROR(VLOOKUP($B24,Kraftvärmeprod!$B$1:$BX$549,MATCH(AA$2,Kraftvärmeprod!$B$1:$VX$1,0),FALSE)/1,0)-IFERROR(VLOOKUP($B24,'Slutlig allokering kvv'!$B$2:$BX$549,MATCH(AA$2,'Slutlig allokering kvv'!$B$1:$BX$1,0),FALSE)/1,0))</f>
        <v/>
      </c>
      <c r="AB24" s="121" t="str">
        <f>IF($D24="","",IFERROR(VLOOKUP($B24,Kraftvärmeprod!$B$1:$BX$549,MATCH(AB$2,Kraftvärmeprod!$B$1:$VX$1,0),FALSE)/1,0)-IFERROR(VLOOKUP($B24,'Slutlig allokering kvv'!$B$2:$BX$549,MATCH(AB$2,'Slutlig allokering kvv'!$B$1:$BX$1,0),FALSE)/1,0))</f>
        <v/>
      </c>
      <c r="AC24" s="121" t="str">
        <f>IF($D24="","",IFERROR(VLOOKUP($B24,Kraftvärmeprod!$B$1:$BX$549,MATCH(AC$2,Kraftvärmeprod!$B$1:$VX$1,0),FALSE)/1,0)-IFERROR(VLOOKUP($B24,'Slutlig allokering kvv'!$B$2:$BX$549,MATCH(AC$2,'Slutlig allokering kvv'!$B$1:$BX$1,0),FALSE)/1,0))</f>
        <v/>
      </c>
      <c r="AD24" s="121" t="str">
        <f>IF($D24="","",IFERROR(VLOOKUP($B24,Kraftvärmeprod!$B$1:$BX$549,MATCH(AD$2,Kraftvärmeprod!$B$1:$VX$1,0),FALSE)/1,0)-IFERROR(VLOOKUP($B24,'Slutlig allokering kvv'!$B$2:$BX$549,MATCH(AD$2,'Slutlig allokering kvv'!$B$1:$BX$1,0),FALSE)/1,0))</f>
        <v/>
      </c>
      <c r="AE24" s="121" t="str">
        <f>IF($D24="","",IFERROR(VLOOKUP($B24,Miljö!$B$1:$E$550,MATCH("Hjälpel kraftvärme (GWh)",Miljö!$B$1:$E$1,0),FALSE)/1,0)-IFERROR(VLOOKUP($B24,'Slutlig allokering kvv'!$B$2:$BX$549,MATCH(AE$2,'Slutlig allokering kvv'!$B$1:$BX$1,0),FALSE)/1,0))</f>
        <v/>
      </c>
      <c r="AI24" s="121">
        <f t="shared" si="0"/>
        <v>0</v>
      </c>
      <c r="AK24" s="121">
        <f>IFERROR(VLOOKUP($B24,'Slutlig allokering kvv'!$B$2:$AX$549,MATCH("Summa slutlig allokerad tillförd energi (utan hjälpel och rökgaskondensering):",'Slutlig allokering kvv'!$B$1:$AX$1,0),FALSE)/1,"")</f>
        <v>0</v>
      </c>
      <c r="AM24" s="172" t="str">
        <f>IFERROR(1-VLOOKUP($B24,'Slutlig allokering kvv'!$B$2:$AX$549,MATCH("Andel av bränsle i kvv som allokerats till värme, exklusive rökgaskondensering och hjälpel",'Slutlig allokering kvv'!$B$1:$AX$1,0),FALSE),"")</f>
        <v/>
      </c>
      <c r="AO24" s="172" t="str">
        <f t="shared" si="1"/>
        <v/>
      </c>
      <c r="AP24" s="173" t="str">
        <f t="shared" si="2"/>
        <v/>
      </c>
      <c r="AR24" s="172" t="str">
        <f t="shared" si="3"/>
        <v/>
      </c>
    </row>
    <row r="25" spans="1:44" x14ac:dyDescent="0.25">
      <c r="A25" s="171" t="str">
        <f>'Miljövärden för publ företag'!B27</f>
        <v>Affärsverken Karlskrona AB</v>
      </c>
      <c r="B25" s="171" t="str">
        <f>'Miljövärden för publ företag'!C27</f>
        <v>Karlskrona</v>
      </c>
      <c r="C25" s="121">
        <f>IFERROR(VLOOKUP($B25,Kraftvärmeprod!$B$1:$AH$478,MATCH(C$2,Kraftvärmeprod!$B$1:$AG$1,0),FALSE)/1,"")</f>
        <v>232.97800000000001</v>
      </c>
      <c r="D25" s="121">
        <f>IFERROR(VLOOKUP($B25,Kraftvärmeprod!$B$1:$AH$478,MATCH(D$2,Kraftvärmeprod!$B$1:$AG$1,0),FALSE)/1,"")</f>
        <v>58.92</v>
      </c>
      <c r="F25" s="121">
        <f>IF($D25="","",IFERROR(VLOOKUP($B25,Kraftvärmeprod!$B$1:$BX$549,MATCH(F$2,Kraftvärmeprod!$B$1:$VX$1,0),FALSE)/1,0)-IFERROR(VLOOKUP($B25,'Slutlig allokering kvv'!$B$2:$BX$549,MATCH(F$2,'Slutlig allokering kvv'!$B$1:$BX$1,0),FALSE)/1,0))</f>
        <v>0</v>
      </c>
      <c r="G25" s="121">
        <f>IF($D25="","",IFERROR(VLOOKUP($B25,Kraftvärmeprod!$B$1:$BX$549,MATCH(G$2,Kraftvärmeprod!$B$1:$VX$1,0),FALSE)/1,0)-IFERROR(VLOOKUP($B25,'Slutlig allokering kvv'!$B$2:$BX$549,MATCH(G$2,'Slutlig allokering kvv'!$B$1:$BX$1,0),FALSE)/1,0))</f>
        <v>9.5435999999999965E-2</v>
      </c>
      <c r="H25" s="121">
        <f>IF($D25="","",IFERROR(VLOOKUP($B25,Kraftvärmeprod!$B$1:$BX$549,MATCH(H$2,Kraftvärmeprod!$B$1:$VX$1,0),FALSE)/1,0)-IFERROR(VLOOKUP($B25,'Slutlig allokering kvv'!$B$2:$BX$549,MATCH(H$2,'Slutlig allokering kvv'!$B$1:$BX$1,0),FALSE)/1,0))</f>
        <v>0</v>
      </c>
      <c r="I25" s="121">
        <f>IF($D25="","",IFERROR(VLOOKUP($B25,Kraftvärmeprod!$B$1:$BX$549,MATCH(I$2,Kraftvärmeprod!$B$1:$VX$1,0),FALSE)/1,0)-IFERROR(VLOOKUP($B25,'Slutlig allokering kvv'!$B$2:$BX$549,MATCH(I$2,'Slutlig allokering kvv'!$B$1:$BX$1,0),FALSE)/1,0))</f>
        <v>0</v>
      </c>
      <c r="J25" s="121">
        <f>IF($D25="","",IFERROR(VLOOKUP($B25,Kraftvärmeprod!$B$1:$BX$549,MATCH(J$2,Kraftvärmeprod!$B$1:$VX$1,0),FALSE)/1,0)-IFERROR(VLOOKUP($B25,'Slutlig allokering kvv'!$B$2:$BX$549,MATCH(J$2,'Slutlig allokering kvv'!$B$1:$BX$1,0),FALSE)/1,0))</f>
        <v>0</v>
      </c>
      <c r="K25" s="121">
        <f>IF($D25="","",IFERROR(VLOOKUP($B25,Kraftvärmeprod!$B$1:$BX$549,MATCH(K$2,Kraftvärmeprod!$B$1:$VX$1,0),FALSE)/1,0)-IFERROR(VLOOKUP($B25,'Slutlig allokering kvv'!$B$2:$BX$549,MATCH(K$2,'Slutlig allokering kvv'!$B$1:$BX$1,0),FALSE)/1,0))</f>
        <v>0</v>
      </c>
      <c r="L25" s="121">
        <f>IF($D25="","",IFERROR(VLOOKUP($B25,Kraftvärmeprod!$B$1:$BX$549,MATCH(L$2,Kraftvärmeprod!$B$1:$VX$1,0),FALSE)/1,0)-IFERROR(VLOOKUP($B25,'Slutlig allokering kvv'!$B$2:$BX$549,MATCH(L$2,'Slutlig allokering kvv'!$B$1:$BX$1,0),FALSE)/1,0))</f>
        <v>53.577900000000014</v>
      </c>
      <c r="M25" s="121">
        <f>IF($D25="","",IFERROR(VLOOKUP($B25,Kraftvärmeprod!$B$1:$BX$549,MATCH(M$2,Kraftvärmeprod!$B$1:$VX$1,0),FALSE)/1,0)-IFERROR(VLOOKUP($B25,'Slutlig allokering kvv'!$B$2:$BX$549,MATCH(M$2,'Slutlig allokering kvv'!$B$1:$BX$1,0),FALSE)/1,0))</f>
        <v>6.876100000000001</v>
      </c>
      <c r="N25" s="121">
        <f>IF($D25="","",IFERROR(VLOOKUP($B25,Kraftvärmeprod!$B$1:$BX$549,MATCH(N$2,Kraftvärmeprod!$B$1:$VX$1,0),FALSE)/1,0)-IFERROR(VLOOKUP($B25,'Slutlig allokering kvv'!$B$2:$BX$549,MATCH(N$2,'Slutlig allokering kvv'!$B$1:$BX$1,0),FALSE)/1,0))</f>
        <v>7.2045999999999992</v>
      </c>
      <c r="O25" s="121">
        <f>IF($D25="","",IFERROR(VLOOKUP($B25,Kraftvärmeprod!$B$1:$BX$549,MATCH(O$2,Kraftvärmeprod!$B$1:$VX$1,0),FALSE)/1,0)-IFERROR(VLOOKUP($B25,'Slutlig allokering kvv'!$B$2:$BX$549,MATCH(O$2,'Slutlig allokering kvv'!$B$1:$BX$1,0),FALSE)/1,0))</f>
        <v>13.207899999999999</v>
      </c>
      <c r="P25" s="121">
        <f>IF($D25="","",IFERROR(VLOOKUP($B25,Kraftvärmeprod!$B$1:$BX$549,MATCH(P$2,Kraftvärmeprod!$B$1:$VX$1,0),FALSE)/1,0)-IFERROR(VLOOKUP($B25,'Slutlig allokering kvv'!$B$2:$BX$549,MATCH(P$2,'Slutlig allokering kvv'!$B$1:$BX$1,0),FALSE)/1,0))</f>
        <v>0</v>
      </c>
      <c r="Q25" s="121">
        <f>IF($D25="","",IFERROR(VLOOKUP($B25,Kraftvärmeprod!$B$1:$BX$549,MATCH(Q$2,Kraftvärmeprod!$B$1:$VX$1,0),FALSE)/1,0)-IFERROR(VLOOKUP($B25,'Slutlig allokering kvv'!$B$2:$BX$549,MATCH(Q$2,'Slutlig allokering kvv'!$B$1:$BX$1,0),FALSE)/1,0))</f>
        <v>4.0897199999999998</v>
      </c>
      <c r="R25" s="121">
        <f>IF($D25="","",IFERROR(VLOOKUP($B25,Kraftvärmeprod!$B$1:$BX$549,MATCH(R$2,Kraftvärmeprod!$B$1:$VX$1,0),FALSE)/1,0)-IFERROR(VLOOKUP($B25,'Slutlig allokering kvv'!$B$2:$BX$549,MATCH(R$2,'Slutlig allokering kvv'!$B$1:$BX$1,0),FALSE)/1,0))</f>
        <v>0</v>
      </c>
      <c r="S25" s="121">
        <f>IF($D25="","",IFERROR(VLOOKUP($B25,Kraftvärmeprod!$B$1:$BX$549,MATCH(S$2,Kraftvärmeprod!$B$1:$VX$1,0),FALSE)/1,0)-IFERROR(VLOOKUP($B25,'Slutlig allokering kvv'!$B$2:$BX$549,MATCH(S$2,'Slutlig allokering kvv'!$B$1:$BX$1,0),FALSE)/1,0))</f>
        <v>0</v>
      </c>
      <c r="T25" s="121">
        <f>IF($D25="","",IFERROR(VLOOKUP($B25,Kraftvärmeprod!$B$1:$BX$549,MATCH(T$2,Kraftvärmeprod!$B$1:$VX$1,0),FALSE)/1,0)-IFERROR(VLOOKUP($B25,'Slutlig allokering kvv'!$B$2:$BX$549,MATCH(T$2,'Slutlig allokering kvv'!$B$1:$BX$1,0),FALSE)/1,0))</f>
        <v>0</v>
      </c>
      <c r="U25" s="121">
        <f>IF($D25="","",IFERROR(VLOOKUP($B25,Kraftvärmeprod!$B$1:$BX$549,MATCH(U$2,Kraftvärmeprod!$B$1:$VX$1,0),FALSE)/1,0)-IFERROR(VLOOKUP($B25,'Slutlig allokering kvv'!$B$2:$BX$549,MATCH(U$2,'Slutlig allokering kvv'!$B$1:$BX$1,0),FALSE)/1,0))</f>
        <v>0</v>
      </c>
      <c r="V25" s="121">
        <f>IF($D25="","",IFERROR(VLOOKUP($B25,Kraftvärmeprod!$B$1:$BX$549,MATCH(V$2,Kraftvärmeprod!$B$1:$VX$1,0),FALSE)/1,0)-IFERROR(VLOOKUP($B25,'Slutlig allokering kvv'!$B$2:$BX$549,MATCH(V$2,'Slutlig allokering kvv'!$B$1:$BX$1,0),FALSE)/1,0))</f>
        <v>15.376899999999999</v>
      </c>
      <c r="W25" s="121">
        <f>IF($D25="","",IFERROR(VLOOKUP($B25,Kraftvärmeprod!$B$1:$BX$549,MATCH(W$2,Kraftvärmeprod!$B$1:$VX$1,0),FALSE)/1,0)-IFERROR(VLOOKUP($B25,'Slutlig allokering kvv'!$B$2:$BX$549,MATCH(W$2,'Slutlig allokering kvv'!$B$1:$BX$1,0),FALSE)/1,0))</f>
        <v>0</v>
      </c>
      <c r="X25" s="121">
        <f>IF($D25="","",IFERROR(VLOOKUP($B25,Kraftvärmeprod!$B$1:$BX$549,MATCH(X$2,Kraftvärmeprod!$B$1:$VX$1,0),FALSE)/1,0)-IFERROR(VLOOKUP($B25,'Slutlig allokering kvv'!$B$2:$BX$549,MATCH(X$2,'Slutlig allokering kvv'!$B$1:$BX$1,0),FALSE)/1,0))</f>
        <v>0</v>
      </c>
      <c r="Y25" s="121">
        <f>IF($D25="","",IFERROR(VLOOKUP($B25,Kraftvärmeprod!$B$1:$BX$549,MATCH(Y$2,Kraftvärmeprod!$B$1:$VX$1,0),FALSE)/1,0)-IFERROR(VLOOKUP($B25,'Slutlig allokering kvv'!$B$2:$BX$549,MATCH(Y$2,'Slutlig allokering kvv'!$B$1:$BX$1,0),FALSE)/1,0))</f>
        <v>0</v>
      </c>
      <c r="Z25" s="121">
        <f>IF($D25="","",IFERROR(VLOOKUP($B25,Kraftvärmeprod!$B$1:$BX$549,MATCH(Z$2,Kraftvärmeprod!$B$1:$VX$1,0),FALSE)/1,0)-IFERROR(VLOOKUP($B25,'Slutlig allokering kvv'!$B$2:$BX$549,MATCH(Z$2,'Slutlig allokering kvv'!$B$1:$BX$1,0),FALSE)/1,0))</f>
        <v>5.1733599999999988</v>
      </c>
      <c r="AA25" s="121">
        <f>IF($D25="","",IFERROR(VLOOKUP($B25,Kraftvärmeprod!$B$1:$BX$549,MATCH(AA$2,Kraftvärmeprod!$B$1:$VX$1,0),FALSE)/1,0)-IFERROR(VLOOKUP($B25,'Slutlig allokering kvv'!$B$2:$BX$549,MATCH(AA$2,'Slutlig allokering kvv'!$B$1:$BX$1,0),FALSE)/1,0))</f>
        <v>0</v>
      </c>
      <c r="AB25" s="121">
        <f>IF($D25="","",IFERROR(VLOOKUP($B25,Kraftvärmeprod!$B$1:$BX$549,MATCH(AB$2,Kraftvärmeprod!$B$1:$VX$1,0),FALSE)/1,0)-IFERROR(VLOOKUP($B25,'Slutlig allokering kvv'!$B$2:$BX$549,MATCH(AB$2,'Slutlig allokering kvv'!$B$1:$BX$1,0),FALSE)/1,0))</f>
        <v>0</v>
      </c>
      <c r="AC25" s="121">
        <f>IF($D25="","",IFERROR(VLOOKUP($B25,Kraftvärmeprod!$B$1:$BX$549,MATCH(AC$2,Kraftvärmeprod!$B$1:$VX$1,0),FALSE)/1,0)-IFERROR(VLOOKUP($B25,'Slutlig allokering kvv'!$B$2:$BX$549,MATCH(AC$2,'Slutlig allokering kvv'!$B$1:$BX$1,0),FALSE)/1,0))</f>
        <v>0</v>
      </c>
      <c r="AD25" s="121">
        <f>IF($D25="","",IFERROR(VLOOKUP($B25,Kraftvärmeprod!$B$1:$BX$549,MATCH(AD$2,Kraftvärmeprod!$B$1:$VX$1,0),FALSE)/1,0)-IFERROR(VLOOKUP($B25,'Slutlig allokering kvv'!$B$2:$BX$549,MATCH(AD$2,'Slutlig allokering kvv'!$B$1:$BX$1,0),FALSE)/1,0))</f>
        <v>0</v>
      </c>
      <c r="AE25" s="121">
        <f>IF($D25="","",IFERROR(VLOOKUP($B25,Miljö!$B$1:$E$550,MATCH("Hjälpel kraftvärme (GWh)",Miljö!$B$1:$E$1,0),FALSE)/1,0)-IFERROR(VLOOKUP($B25,'Slutlig allokering kvv'!$B$2:$BX$549,MATCH(AE$2,'Slutlig allokering kvv'!$B$1:$BX$1,0),FALSE)/1,0))</f>
        <v>4.61442</v>
      </c>
      <c r="AI25" s="121">
        <f t="shared" si="0"/>
        <v>105.60191600000002</v>
      </c>
      <c r="AK25" s="121">
        <f>IFERROR(VLOOKUP($B25,'Slutlig allokering kvv'!$B$2:$AX$549,MATCH("Summa slutlig allokerad tillförd energi (utan hjälpel och rökgaskondensering):",'Slutlig allokering kvv'!$B$1:$AX$1,0),FALSE)/1,"")</f>
        <v>161.69708399999996</v>
      </c>
      <c r="AM25" s="172">
        <f>IFERROR(1-VLOOKUP($B25,'Slutlig allokering kvv'!$B$2:$AX$549,MATCH("Andel av bränsle i kvv som allokerats till värme, exklusive rökgaskondensering och hjälpel",'Slutlig allokering kvv'!$B$1:$AX$1,0),FALSE),"")</f>
        <v>0.39507037437476389</v>
      </c>
      <c r="AO25" s="172">
        <f t="shared" si="1"/>
        <v>0.39507037437476394</v>
      </c>
      <c r="AP25" s="173">
        <f t="shared" si="2"/>
        <v>-5.5511151231257827E-17</v>
      </c>
      <c r="AR25" s="172">
        <f t="shared" si="3"/>
        <v>0.53458500017638033</v>
      </c>
    </row>
    <row r="26" spans="1:44" x14ac:dyDescent="0.25">
      <c r="A26" s="171" t="str">
        <f>'Miljövärden för publ företag'!B28</f>
        <v>Affärsverken Karlskrona AB</v>
      </c>
      <c r="B26" s="171" t="str">
        <f>'Miljövärden för publ företag'!C28</f>
        <v>Nättraby</v>
      </c>
      <c r="C26" s="121" t="str">
        <f>IFERROR(VLOOKUP($B26,Kraftvärmeprod!$B$1:$AH$478,MATCH(C$2,Kraftvärmeprod!$B$1:$AG$1,0),FALSE)/1,"")</f>
        <v/>
      </c>
      <c r="D26" s="121" t="str">
        <f>IFERROR(VLOOKUP($B26,Kraftvärmeprod!$B$1:$AH$478,MATCH(D$2,Kraftvärmeprod!$B$1:$AG$1,0),FALSE)/1,"")</f>
        <v/>
      </c>
      <c r="F26" s="121" t="str">
        <f>IF($D26="","",IFERROR(VLOOKUP($B26,Kraftvärmeprod!$B$1:$BX$549,MATCH(F$2,Kraftvärmeprod!$B$1:$VX$1,0),FALSE)/1,0)-IFERROR(VLOOKUP($B26,'Slutlig allokering kvv'!$B$2:$BX$549,MATCH(F$2,'Slutlig allokering kvv'!$B$1:$BX$1,0),FALSE)/1,0))</f>
        <v/>
      </c>
      <c r="G26" s="121" t="str">
        <f>IF($D26="","",IFERROR(VLOOKUP($B26,Kraftvärmeprod!$B$1:$BX$549,MATCH(G$2,Kraftvärmeprod!$B$1:$VX$1,0),FALSE)/1,0)-IFERROR(VLOOKUP($B26,'Slutlig allokering kvv'!$B$2:$BX$549,MATCH(G$2,'Slutlig allokering kvv'!$B$1:$BX$1,0),FALSE)/1,0))</f>
        <v/>
      </c>
      <c r="H26" s="121" t="str">
        <f>IF($D26="","",IFERROR(VLOOKUP($B26,Kraftvärmeprod!$B$1:$BX$549,MATCH(H$2,Kraftvärmeprod!$B$1:$VX$1,0),FALSE)/1,0)-IFERROR(VLOOKUP($B26,'Slutlig allokering kvv'!$B$2:$BX$549,MATCH(H$2,'Slutlig allokering kvv'!$B$1:$BX$1,0),FALSE)/1,0))</f>
        <v/>
      </c>
      <c r="I26" s="121" t="str">
        <f>IF($D26="","",IFERROR(VLOOKUP($B26,Kraftvärmeprod!$B$1:$BX$549,MATCH(I$2,Kraftvärmeprod!$B$1:$VX$1,0),FALSE)/1,0)-IFERROR(VLOOKUP($B26,'Slutlig allokering kvv'!$B$2:$BX$549,MATCH(I$2,'Slutlig allokering kvv'!$B$1:$BX$1,0),FALSE)/1,0))</f>
        <v/>
      </c>
      <c r="J26" s="121" t="str">
        <f>IF($D26="","",IFERROR(VLOOKUP($B26,Kraftvärmeprod!$B$1:$BX$549,MATCH(J$2,Kraftvärmeprod!$B$1:$VX$1,0),FALSE)/1,0)-IFERROR(VLOOKUP($B26,'Slutlig allokering kvv'!$B$2:$BX$549,MATCH(J$2,'Slutlig allokering kvv'!$B$1:$BX$1,0),FALSE)/1,0))</f>
        <v/>
      </c>
      <c r="K26" s="121" t="str">
        <f>IF($D26="","",IFERROR(VLOOKUP($B26,Kraftvärmeprod!$B$1:$BX$549,MATCH(K$2,Kraftvärmeprod!$B$1:$VX$1,0),FALSE)/1,0)-IFERROR(VLOOKUP($B26,'Slutlig allokering kvv'!$B$2:$BX$549,MATCH(K$2,'Slutlig allokering kvv'!$B$1:$BX$1,0),FALSE)/1,0))</f>
        <v/>
      </c>
      <c r="L26" s="121" t="str">
        <f>IF($D26="","",IFERROR(VLOOKUP($B26,Kraftvärmeprod!$B$1:$BX$549,MATCH(L$2,Kraftvärmeprod!$B$1:$VX$1,0),FALSE)/1,0)-IFERROR(VLOOKUP($B26,'Slutlig allokering kvv'!$B$2:$BX$549,MATCH(L$2,'Slutlig allokering kvv'!$B$1:$BX$1,0),FALSE)/1,0))</f>
        <v/>
      </c>
      <c r="M26" s="121" t="str">
        <f>IF($D26="","",IFERROR(VLOOKUP($B26,Kraftvärmeprod!$B$1:$BX$549,MATCH(M$2,Kraftvärmeprod!$B$1:$VX$1,0),FALSE)/1,0)-IFERROR(VLOOKUP($B26,'Slutlig allokering kvv'!$B$2:$BX$549,MATCH(M$2,'Slutlig allokering kvv'!$B$1:$BX$1,0),FALSE)/1,0))</f>
        <v/>
      </c>
      <c r="N26" s="121" t="str">
        <f>IF($D26="","",IFERROR(VLOOKUP($B26,Kraftvärmeprod!$B$1:$BX$549,MATCH(N$2,Kraftvärmeprod!$B$1:$VX$1,0),FALSE)/1,0)-IFERROR(VLOOKUP($B26,'Slutlig allokering kvv'!$B$2:$BX$549,MATCH(N$2,'Slutlig allokering kvv'!$B$1:$BX$1,0),FALSE)/1,0))</f>
        <v/>
      </c>
      <c r="O26" s="121" t="str">
        <f>IF($D26="","",IFERROR(VLOOKUP($B26,Kraftvärmeprod!$B$1:$BX$549,MATCH(O$2,Kraftvärmeprod!$B$1:$VX$1,0),FALSE)/1,0)-IFERROR(VLOOKUP($B26,'Slutlig allokering kvv'!$B$2:$BX$549,MATCH(O$2,'Slutlig allokering kvv'!$B$1:$BX$1,0),FALSE)/1,0))</f>
        <v/>
      </c>
      <c r="P26" s="121" t="str">
        <f>IF($D26="","",IFERROR(VLOOKUP($B26,Kraftvärmeprod!$B$1:$BX$549,MATCH(P$2,Kraftvärmeprod!$B$1:$VX$1,0),FALSE)/1,0)-IFERROR(VLOOKUP($B26,'Slutlig allokering kvv'!$B$2:$BX$549,MATCH(P$2,'Slutlig allokering kvv'!$B$1:$BX$1,0),FALSE)/1,0))</f>
        <v/>
      </c>
      <c r="Q26" s="121" t="str">
        <f>IF($D26="","",IFERROR(VLOOKUP($B26,Kraftvärmeprod!$B$1:$BX$549,MATCH(Q$2,Kraftvärmeprod!$B$1:$VX$1,0),FALSE)/1,0)-IFERROR(VLOOKUP($B26,'Slutlig allokering kvv'!$B$2:$BX$549,MATCH(Q$2,'Slutlig allokering kvv'!$B$1:$BX$1,0),FALSE)/1,0))</f>
        <v/>
      </c>
      <c r="R26" s="121" t="str">
        <f>IF($D26="","",IFERROR(VLOOKUP($B26,Kraftvärmeprod!$B$1:$BX$549,MATCH(R$2,Kraftvärmeprod!$B$1:$VX$1,0),FALSE)/1,0)-IFERROR(VLOOKUP($B26,'Slutlig allokering kvv'!$B$2:$BX$549,MATCH(R$2,'Slutlig allokering kvv'!$B$1:$BX$1,0),FALSE)/1,0))</f>
        <v/>
      </c>
      <c r="S26" s="121" t="str">
        <f>IF($D26="","",IFERROR(VLOOKUP($B26,Kraftvärmeprod!$B$1:$BX$549,MATCH(S$2,Kraftvärmeprod!$B$1:$VX$1,0),FALSE)/1,0)-IFERROR(VLOOKUP($B26,'Slutlig allokering kvv'!$B$2:$BX$549,MATCH(S$2,'Slutlig allokering kvv'!$B$1:$BX$1,0),FALSE)/1,0))</f>
        <v/>
      </c>
      <c r="T26" s="121" t="str">
        <f>IF($D26="","",IFERROR(VLOOKUP($B26,Kraftvärmeprod!$B$1:$BX$549,MATCH(T$2,Kraftvärmeprod!$B$1:$VX$1,0),FALSE)/1,0)-IFERROR(VLOOKUP($B26,'Slutlig allokering kvv'!$B$2:$BX$549,MATCH(T$2,'Slutlig allokering kvv'!$B$1:$BX$1,0),FALSE)/1,0))</f>
        <v/>
      </c>
      <c r="U26" s="121" t="str">
        <f>IF($D26="","",IFERROR(VLOOKUP($B26,Kraftvärmeprod!$B$1:$BX$549,MATCH(U$2,Kraftvärmeprod!$B$1:$VX$1,0),FALSE)/1,0)-IFERROR(VLOOKUP($B26,'Slutlig allokering kvv'!$B$2:$BX$549,MATCH(U$2,'Slutlig allokering kvv'!$B$1:$BX$1,0),FALSE)/1,0))</f>
        <v/>
      </c>
      <c r="V26" s="121" t="str">
        <f>IF($D26="","",IFERROR(VLOOKUP($B26,Kraftvärmeprod!$B$1:$BX$549,MATCH(V$2,Kraftvärmeprod!$B$1:$VX$1,0),FALSE)/1,0)-IFERROR(VLOOKUP($B26,'Slutlig allokering kvv'!$B$2:$BX$549,MATCH(V$2,'Slutlig allokering kvv'!$B$1:$BX$1,0),FALSE)/1,0))</f>
        <v/>
      </c>
      <c r="W26" s="121" t="str">
        <f>IF($D26="","",IFERROR(VLOOKUP($B26,Kraftvärmeprod!$B$1:$BX$549,MATCH(W$2,Kraftvärmeprod!$B$1:$VX$1,0),FALSE)/1,0)-IFERROR(VLOOKUP($B26,'Slutlig allokering kvv'!$B$2:$BX$549,MATCH(W$2,'Slutlig allokering kvv'!$B$1:$BX$1,0),FALSE)/1,0))</f>
        <v/>
      </c>
      <c r="X26" s="121" t="str">
        <f>IF($D26="","",IFERROR(VLOOKUP($B26,Kraftvärmeprod!$B$1:$BX$549,MATCH(X$2,Kraftvärmeprod!$B$1:$VX$1,0),FALSE)/1,0)-IFERROR(VLOOKUP($B26,'Slutlig allokering kvv'!$B$2:$BX$549,MATCH(X$2,'Slutlig allokering kvv'!$B$1:$BX$1,0),FALSE)/1,0))</f>
        <v/>
      </c>
      <c r="Y26" s="121" t="str">
        <f>IF($D26="","",IFERROR(VLOOKUP($B26,Kraftvärmeprod!$B$1:$BX$549,MATCH(Y$2,Kraftvärmeprod!$B$1:$VX$1,0),FALSE)/1,0)-IFERROR(VLOOKUP($B26,'Slutlig allokering kvv'!$B$2:$BX$549,MATCH(Y$2,'Slutlig allokering kvv'!$B$1:$BX$1,0),FALSE)/1,0))</f>
        <v/>
      </c>
      <c r="Z26" s="121" t="str">
        <f>IF($D26="","",IFERROR(VLOOKUP($B26,Kraftvärmeprod!$B$1:$BX$549,MATCH(Z$2,Kraftvärmeprod!$B$1:$VX$1,0),FALSE)/1,0)-IFERROR(VLOOKUP($B26,'Slutlig allokering kvv'!$B$2:$BX$549,MATCH(Z$2,'Slutlig allokering kvv'!$B$1:$BX$1,0),FALSE)/1,0))</f>
        <v/>
      </c>
      <c r="AA26" s="121" t="str">
        <f>IF($D26="","",IFERROR(VLOOKUP($B26,Kraftvärmeprod!$B$1:$BX$549,MATCH(AA$2,Kraftvärmeprod!$B$1:$VX$1,0),FALSE)/1,0)-IFERROR(VLOOKUP($B26,'Slutlig allokering kvv'!$B$2:$BX$549,MATCH(AA$2,'Slutlig allokering kvv'!$B$1:$BX$1,0),FALSE)/1,0))</f>
        <v/>
      </c>
      <c r="AB26" s="121" t="str">
        <f>IF($D26="","",IFERROR(VLOOKUP($B26,Kraftvärmeprod!$B$1:$BX$549,MATCH(AB$2,Kraftvärmeprod!$B$1:$VX$1,0),FALSE)/1,0)-IFERROR(VLOOKUP($B26,'Slutlig allokering kvv'!$B$2:$BX$549,MATCH(AB$2,'Slutlig allokering kvv'!$B$1:$BX$1,0),FALSE)/1,0))</f>
        <v/>
      </c>
      <c r="AC26" s="121" t="str">
        <f>IF($D26="","",IFERROR(VLOOKUP($B26,Kraftvärmeprod!$B$1:$BX$549,MATCH(AC$2,Kraftvärmeprod!$B$1:$VX$1,0),FALSE)/1,0)-IFERROR(VLOOKUP($B26,'Slutlig allokering kvv'!$B$2:$BX$549,MATCH(AC$2,'Slutlig allokering kvv'!$B$1:$BX$1,0),FALSE)/1,0))</f>
        <v/>
      </c>
      <c r="AD26" s="121" t="str">
        <f>IF($D26="","",IFERROR(VLOOKUP($B26,Kraftvärmeprod!$B$1:$BX$549,MATCH(AD$2,Kraftvärmeprod!$B$1:$VX$1,0),FALSE)/1,0)-IFERROR(VLOOKUP($B26,'Slutlig allokering kvv'!$B$2:$BX$549,MATCH(AD$2,'Slutlig allokering kvv'!$B$1:$BX$1,0),FALSE)/1,0))</f>
        <v/>
      </c>
      <c r="AE26" s="121" t="str">
        <f>IF($D26="","",IFERROR(VLOOKUP($B26,Miljö!$B$1:$E$550,MATCH("Hjälpel kraftvärme (GWh)",Miljö!$B$1:$E$1,0),FALSE)/1,0)-IFERROR(VLOOKUP($B26,'Slutlig allokering kvv'!$B$2:$BX$549,MATCH(AE$2,'Slutlig allokering kvv'!$B$1:$BX$1,0),FALSE)/1,0))</f>
        <v/>
      </c>
      <c r="AI26" s="121">
        <f t="shared" si="0"/>
        <v>0</v>
      </c>
      <c r="AK26" s="121">
        <f>IFERROR(VLOOKUP($B26,'Slutlig allokering kvv'!$B$2:$AX$549,MATCH("Summa slutlig allokerad tillförd energi (utan hjälpel och rökgaskondensering):",'Slutlig allokering kvv'!$B$1:$AX$1,0),FALSE)/1,"")</f>
        <v>0</v>
      </c>
      <c r="AM26" s="172" t="str">
        <f>IFERROR(1-VLOOKUP($B26,'Slutlig allokering kvv'!$B$2:$AX$549,MATCH("Andel av bränsle i kvv som allokerats till värme, exklusive rökgaskondensering och hjälpel",'Slutlig allokering kvv'!$B$1:$AX$1,0),FALSE),"")</f>
        <v/>
      </c>
      <c r="AO26" s="172" t="str">
        <f t="shared" si="1"/>
        <v/>
      </c>
      <c r="AP26" s="173" t="str">
        <f t="shared" si="2"/>
        <v/>
      </c>
      <c r="AR26" s="172" t="str">
        <f t="shared" si="3"/>
        <v/>
      </c>
    </row>
    <row r="27" spans="1:44" x14ac:dyDescent="0.25">
      <c r="A27" s="171" t="str">
        <f>'Miljövärden för publ företag'!B29</f>
        <v>Affärsverken Karlskrona AB</v>
      </c>
      <c r="B27" s="171" t="str">
        <f>'Miljövärden för publ företag'!C29</f>
        <v>Sturkö</v>
      </c>
      <c r="C27" s="121" t="str">
        <f>IFERROR(VLOOKUP($B27,Kraftvärmeprod!$B$1:$AH$478,MATCH(C$2,Kraftvärmeprod!$B$1:$AG$1,0),FALSE)/1,"")</f>
        <v/>
      </c>
      <c r="D27" s="121" t="str">
        <f>IFERROR(VLOOKUP($B27,Kraftvärmeprod!$B$1:$AH$478,MATCH(D$2,Kraftvärmeprod!$B$1:$AG$1,0),FALSE)/1,"")</f>
        <v/>
      </c>
      <c r="F27" s="121" t="str">
        <f>IF($D27="","",IFERROR(VLOOKUP($B27,Kraftvärmeprod!$B$1:$BX$549,MATCH(F$2,Kraftvärmeprod!$B$1:$VX$1,0),FALSE)/1,0)-IFERROR(VLOOKUP($B27,'Slutlig allokering kvv'!$B$2:$BX$549,MATCH(F$2,'Slutlig allokering kvv'!$B$1:$BX$1,0),FALSE)/1,0))</f>
        <v/>
      </c>
      <c r="G27" s="121" t="str">
        <f>IF($D27="","",IFERROR(VLOOKUP($B27,Kraftvärmeprod!$B$1:$BX$549,MATCH(G$2,Kraftvärmeprod!$B$1:$VX$1,0),FALSE)/1,0)-IFERROR(VLOOKUP($B27,'Slutlig allokering kvv'!$B$2:$BX$549,MATCH(G$2,'Slutlig allokering kvv'!$B$1:$BX$1,0),FALSE)/1,0))</f>
        <v/>
      </c>
      <c r="H27" s="121" t="str">
        <f>IF($D27="","",IFERROR(VLOOKUP($B27,Kraftvärmeprod!$B$1:$BX$549,MATCH(H$2,Kraftvärmeprod!$B$1:$VX$1,0),FALSE)/1,0)-IFERROR(VLOOKUP($B27,'Slutlig allokering kvv'!$B$2:$BX$549,MATCH(H$2,'Slutlig allokering kvv'!$B$1:$BX$1,0),FALSE)/1,0))</f>
        <v/>
      </c>
      <c r="I27" s="121" t="str">
        <f>IF($D27="","",IFERROR(VLOOKUP($B27,Kraftvärmeprod!$B$1:$BX$549,MATCH(I$2,Kraftvärmeprod!$B$1:$VX$1,0),FALSE)/1,0)-IFERROR(VLOOKUP($B27,'Slutlig allokering kvv'!$B$2:$BX$549,MATCH(I$2,'Slutlig allokering kvv'!$B$1:$BX$1,0),FALSE)/1,0))</f>
        <v/>
      </c>
      <c r="J27" s="121" t="str">
        <f>IF($D27="","",IFERROR(VLOOKUP($B27,Kraftvärmeprod!$B$1:$BX$549,MATCH(J$2,Kraftvärmeprod!$B$1:$VX$1,0),FALSE)/1,0)-IFERROR(VLOOKUP($B27,'Slutlig allokering kvv'!$B$2:$BX$549,MATCH(J$2,'Slutlig allokering kvv'!$B$1:$BX$1,0),FALSE)/1,0))</f>
        <v/>
      </c>
      <c r="K27" s="121" t="str">
        <f>IF($D27="","",IFERROR(VLOOKUP($B27,Kraftvärmeprod!$B$1:$BX$549,MATCH(K$2,Kraftvärmeprod!$B$1:$VX$1,0),FALSE)/1,0)-IFERROR(VLOOKUP($B27,'Slutlig allokering kvv'!$B$2:$BX$549,MATCH(K$2,'Slutlig allokering kvv'!$B$1:$BX$1,0),FALSE)/1,0))</f>
        <v/>
      </c>
      <c r="L27" s="121" t="str">
        <f>IF($D27="","",IFERROR(VLOOKUP($B27,Kraftvärmeprod!$B$1:$BX$549,MATCH(L$2,Kraftvärmeprod!$B$1:$VX$1,0),FALSE)/1,0)-IFERROR(VLOOKUP($B27,'Slutlig allokering kvv'!$B$2:$BX$549,MATCH(L$2,'Slutlig allokering kvv'!$B$1:$BX$1,0),FALSE)/1,0))</f>
        <v/>
      </c>
      <c r="M27" s="121" t="str">
        <f>IF($D27="","",IFERROR(VLOOKUP($B27,Kraftvärmeprod!$B$1:$BX$549,MATCH(M$2,Kraftvärmeprod!$B$1:$VX$1,0),FALSE)/1,0)-IFERROR(VLOOKUP($B27,'Slutlig allokering kvv'!$B$2:$BX$549,MATCH(M$2,'Slutlig allokering kvv'!$B$1:$BX$1,0),FALSE)/1,0))</f>
        <v/>
      </c>
      <c r="N27" s="121" t="str">
        <f>IF($D27="","",IFERROR(VLOOKUP($B27,Kraftvärmeprod!$B$1:$BX$549,MATCH(N$2,Kraftvärmeprod!$B$1:$VX$1,0),FALSE)/1,0)-IFERROR(VLOOKUP($B27,'Slutlig allokering kvv'!$B$2:$BX$549,MATCH(N$2,'Slutlig allokering kvv'!$B$1:$BX$1,0),FALSE)/1,0))</f>
        <v/>
      </c>
      <c r="O27" s="121" t="str">
        <f>IF($D27="","",IFERROR(VLOOKUP($B27,Kraftvärmeprod!$B$1:$BX$549,MATCH(O$2,Kraftvärmeprod!$B$1:$VX$1,0),FALSE)/1,0)-IFERROR(VLOOKUP($B27,'Slutlig allokering kvv'!$B$2:$BX$549,MATCH(O$2,'Slutlig allokering kvv'!$B$1:$BX$1,0),FALSE)/1,0))</f>
        <v/>
      </c>
      <c r="P27" s="121" t="str">
        <f>IF($D27="","",IFERROR(VLOOKUP($B27,Kraftvärmeprod!$B$1:$BX$549,MATCH(P$2,Kraftvärmeprod!$B$1:$VX$1,0),FALSE)/1,0)-IFERROR(VLOOKUP($B27,'Slutlig allokering kvv'!$B$2:$BX$549,MATCH(P$2,'Slutlig allokering kvv'!$B$1:$BX$1,0),FALSE)/1,0))</f>
        <v/>
      </c>
      <c r="Q27" s="121" t="str">
        <f>IF($D27="","",IFERROR(VLOOKUP($B27,Kraftvärmeprod!$B$1:$BX$549,MATCH(Q$2,Kraftvärmeprod!$B$1:$VX$1,0),FALSE)/1,0)-IFERROR(VLOOKUP($B27,'Slutlig allokering kvv'!$B$2:$BX$549,MATCH(Q$2,'Slutlig allokering kvv'!$B$1:$BX$1,0),FALSE)/1,0))</f>
        <v/>
      </c>
      <c r="R27" s="121" t="str">
        <f>IF($D27="","",IFERROR(VLOOKUP($B27,Kraftvärmeprod!$B$1:$BX$549,MATCH(R$2,Kraftvärmeprod!$B$1:$VX$1,0),FALSE)/1,0)-IFERROR(VLOOKUP($B27,'Slutlig allokering kvv'!$B$2:$BX$549,MATCH(R$2,'Slutlig allokering kvv'!$B$1:$BX$1,0),FALSE)/1,0))</f>
        <v/>
      </c>
      <c r="S27" s="121" t="str">
        <f>IF($D27="","",IFERROR(VLOOKUP($B27,Kraftvärmeprod!$B$1:$BX$549,MATCH(S$2,Kraftvärmeprod!$B$1:$VX$1,0),FALSE)/1,0)-IFERROR(VLOOKUP($B27,'Slutlig allokering kvv'!$B$2:$BX$549,MATCH(S$2,'Slutlig allokering kvv'!$B$1:$BX$1,0),FALSE)/1,0))</f>
        <v/>
      </c>
      <c r="T27" s="121" t="str">
        <f>IF($D27="","",IFERROR(VLOOKUP($B27,Kraftvärmeprod!$B$1:$BX$549,MATCH(T$2,Kraftvärmeprod!$B$1:$VX$1,0),FALSE)/1,0)-IFERROR(VLOOKUP($B27,'Slutlig allokering kvv'!$B$2:$BX$549,MATCH(T$2,'Slutlig allokering kvv'!$B$1:$BX$1,0),FALSE)/1,0))</f>
        <v/>
      </c>
      <c r="U27" s="121" t="str">
        <f>IF($D27="","",IFERROR(VLOOKUP($B27,Kraftvärmeprod!$B$1:$BX$549,MATCH(U$2,Kraftvärmeprod!$B$1:$VX$1,0),FALSE)/1,0)-IFERROR(VLOOKUP($B27,'Slutlig allokering kvv'!$B$2:$BX$549,MATCH(U$2,'Slutlig allokering kvv'!$B$1:$BX$1,0),FALSE)/1,0))</f>
        <v/>
      </c>
      <c r="V27" s="121" t="str">
        <f>IF($D27="","",IFERROR(VLOOKUP($B27,Kraftvärmeprod!$B$1:$BX$549,MATCH(V$2,Kraftvärmeprod!$B$1:$VX$1,0),FALSE)/1,0)-IFERROR(VLOOKUP($B27,'Slutlig allokering kvv'!$B$2:$BX$549,MATCH(V$2,'Slutlig allokering kvv'!$B$1:$BX$1,0),FALSE)/1,0))</f>
        <v/>
      </c>
      <c r="W27" s="121" t="str">
        <f>IF($D27="","",IFERROR(VLOOKUP($B27,Kraftvärmeprod!$B$1:$BX$549,MATCH(W$2,Kraftvärmeprod!$B$1:$VX$1,0),FALSE)/1,0)-IFERROR(VLOOKUP($B27,'Slutlig allokering kvv'!$B$2:$BX$549,MATCH(W$2,'Slutlig allokering kvv'!$B$1:$BX$1,0),FALSE)/1,0))</f>
        <v/>
      </c>
      <c r="X27" s="121" t="str">
        <f>IF($D27="","",IFERROR(VLOOKUP($B27,Kraftvärmeprod!$B$1:$BX$549,MATCH(X$2,Kraftvärmeprod!$B$1:$VX$1,0),FALSE)/1,0)-IFERROR(VLOOKUP($B27,'Slutlig allokering kvv'!$B$2:$BX$549,MATCH(X$2,'Slutlig allokering kvv'!$B$1:$BX$1,0),FALSE)/1,0))</f>
        <v/>
      </c>
      <c r="Y27" s="121" t="str">
        <f>IF($D27="","",IFERROR(VLOOKUP($B27,Kraftvärmeprod!$B$1:$BX$549,MATCH(Y$2,Kraftvärmeprod!$B$1:$VX$1,0),FALSE)/1,0)-IFERROR(VLOOKUP($B27,'Slutlig allokering kvv'!$B$2:$BX$549,MATCH(Y$2,'Slutlig allokering kvv'!$B$1:$BX$1,0),FALSE)/1,0))</f>
        <v/>
      </c>
      <c r="Z27" s="121" t="str">
        <f>IF($D27="","",IFERROR(VLOOKUP($B27,Kraftvärmeprod!$B$1:$BX$549,MATCH(Z$2,Kraftvärmeprod!$B$1:$VX$1,0),FALSE)/1,0)-IFERROR(VLOOKUP($B27,'Slutlig allokering kvv'!$B$2:$BX$549,MATCH(Z$2,'Slutlig allokering kvv'!$B$1:$BX$1,0),FALSE)/1,0))</f>
        <v/>
      </c>
      <c r="AA27" s="121" t="str">
        <f>IF($D27="","",IFERROR(VLOOKUP($B27,Kraftvärmeprod!$B$1:$BX$549,MATCH(AA$2,Kraftvärmeprod!$B$1:$VX$1,0),FALSE)/1,0)-IFERROR(VLOOKUP($B27,'Slutlig allokering kvv'!$B$2:$BX$549,MATCH(AA$2,'Slutlig allokering kvv'!$B$1:$BX$1,0),FALSE)/1,0))</f>
        <v/>
      </c>
      <c r="AB27" s="121" t="str">
        <f>IF($D27="","",IFERROR(VLOOKUP($B27,Kraftvärmeprod!$B$1:$BX$549,MATCH(AB$2,Kraftvärmeprod!$B$1:$VX$1,0),FALSE)/1,0)-IFERROR(VLOOKUP($B27,'Slutlig allokering kvv'!$B$2:$BX$549,MATCH(AB$2,'Slutlig allokering kvv'!$B$1:$BX$1,0),FALSE)/1,0))</f>
        <v/>
      </c>
      <c r="AC27" s="121" t="str">
        <f>IF($D27="","",IFERROR(VLOOKUP($B27,Kraftvärmeprod!$B$1:$BX$549,MATCH(AC$2,Kraftvärmeprod!$B$1:$VX$1,0),FALSE)/1,0)-IFERROR(VLOOKUP($B27,'Slutlig allokering kvv'!$B$2:$BX$549,MATCH(AC$2,'Slutlig allokering kvv'!$B$1:$BX$1,0),FALSE)/1,0))</f>
        <v/>
      </c>
      <c r="AD27" s="121" t="str">
        <f>IF($D27="","",IFERROR(VLOOKUP($B27,Kraftvärmeprod!$B$1:$BX$549,MATCH(AD$2,Kraftvärmeprod!$B$1:$VX$1,0),FALSE)/1,0)-IFERROR(VLOOKUP($B27,'Slutlig allokering kvv'!$B$2:$BX$549,MATCH(AD$2,'Slutlig allokering kvv'!$B$1:$BX$1,0),FALSE)/1,0))</f>
        <v/>
      </c>
      <c r="AE27" s="121" t="str">
        <f>IF($D27="","",IFERROR(VLOOKUP($B27,Miljö!$B$1:$E$550,MATCH("Hjälpel kraftvärme (GWh)",Miljö!$B$1:$E$1,0),FALSE)/1,0)-IFERROR(VLOOKUP($B27,'Slutlig allokering kvv'!$B$2:$BX$549,MATCH(AE$2,'Slutlig allokering kvv'!$B$1:$BX$1,0),FALSE)/1,0))</f>
        <v/>
      </c>
      <c r="AI27" s="121">
        <f t="shared" si="0"/>
        <v>0</v>
      </c>
      <c r="AK27" s="121">
        <f>IFERROR(VLOOKUP($B27,'Slutlig allokering kvv'!$B$2:$AX$549,MATCH("Summa slutlig allokerad tillförd energi (utan hjälpel och rökgaskondensering):",'Slutlig allokering kvv'!$B$1:$AX$1,0),FALSE)/1,"")</f>
        <v>0</v>
      </c>
      <c r="AM27" s="172" t="str">
        <f>IFERROR(1-VLOOKUP($B27,'Slutlig allokering kvv'!$B$2:$AX$549,MATCH("Andel av bränsle i kvv som allokerats till värme, exklusive rökgaskondensering och hjälpel",'Slutlig allokering kvv'!$B$1:$AX$1,0),FALSE),"")</f>
        <v/>
      </c>
      <c r="AO27" s="172" t="str">
        <f t="shared" si="1"/>
        <v/>
      </c>
      <c r="AP27" s="173" t="str">
        <f t="shared" si="2"/>
        <v/>
      </c>
      <c r="AR27" s="172" t="str">
        <f t="shared" si="3"/>
        <v/>
      </c>
    </row>
    <row r="28" spans="1:44" x14ac:dyDescent="0.25">
      <c r="A28" s="171" t="str">
        <f>'Miljövärden för publ företag'!B30</f>
        <v>Alingsås Energi Nät AB</v>
      </c>
      <c r="B28" s="171" t="str">
        <f>'Miljövärden för publ företag'!C30</f>
        <v>Alingsås</v>
      </c>
      <c r="C28" s="121" t="str">
        <f>IFERROR(VLOOKUP($B28,Kraftvärmeprod!$B$1:$AH$478,MATCH(C$2,Kraftvärmeprod!$B$1:$AG$1,0),FALSE)/1,"")</f>
        <v/>
      </c>
      <c r="D28" s="121" t="str">
        <f>IFERROR(VLOOKUP($B28,Kraftvärmeprod!$B$1:$AH$478,MATCH(D$2,Kraftvärmeprod!$B$1:$AG$1,0),FALSE)/1,"")</f>
        <v/>
      </c>
      <c r="F28" s="121" t="str">
        <f>IF($D28="","",IFERROR(VLOOKUP($B28,Kraftvärmeprod!$B$1:$BX$549,MATCH(F$2,Kraftvärmeprod!$B$1:$VX$1,0),FALSE)/1,0)-IFERROR(VLOOKUP($B28,'Slutlig allokering kvv'!$B$2:$BX$549,MATCH(F$2,'Slutlig allokering kvv'!$B$1:$BX$1,0),FALSE)/1,0))</f>
        <v/>
      </c>
      <c r="G28" s="121" t="str">
        <f>IF($D28="","",IFERROR(VLOOKUP($B28,Kraftvärmeprod!$B$1:$BX$549,MATCH(G$2,Kraftvärmeprod!$B$1:$VX$1,0),FALSE)/1,0)-IFERROR(VLOOKUP($B28,'Slutlig allokering kvv'!$B$2:$BX$549,MATCH(G$2,'Slutlig allokering kvv'!$B$1:$BX$1,0),FALSE)/1,0))</f>
        <v/>
      </c>
      <c r="H28" s="121" t="str">
        <f>IF($D28="","",IFERROR(VLOOKUP($B28,Kraftvärmeprod!$B$1:$BX$549,MATCH(H$2,Kraftvärmeprod!$B$1:$VX$1,0),FALSE)/1,0)-IFERROR(VLOOKUP($B28,'Slutlig allokering kvv'!$B$2:$BX$549,MATCH(H$2,'Slutlig allokering kvv'!$B$1:$BX$1,0),FALSE)/1,0))</f>
        <v/>
      </c>
      <c r="I28" s="121" t="str">
        <f>IF($D28="","",IFERROR(VLOOKUP($B28,Kraftvärmeprod!$B$1:$BX$549,MATCH(I$2,Kraftvärmeprod!$B$1:$VX$1,0),FALSE)/1,0)-IFERROR(VLOOKUP($B28,'Slutlig allokering kvv'!$B$2:$BX$549,MATCH(I$2,'Slutlig allokering kvv'!$B$1:$BX$1,0),FALSE)/1,0))</f>
        <v/>
      </c>
      <c r="J28" s="121" t="str">
        <f>IF($D28="","",IFERROR(VLOOKUP($B28,Kraftvärmeprod!$B$1:$BX$549,MATCH(J$2,Kraftvärmeprod!$B$1:$VX$1,0),FALSE)/1,0)-IFERROR(VLOOKUP($B28,'Slutlig allokering kvv'!$B$2:$BX$549,MATCH(J$2,'Slutlig allokering kvv'!$B$1:$BX$1,0),FALSE)/1,0))</f>
        <v/>
      </c>
      <c r="K28" s="121" t="str">
        <f>IF($D28="","",IFERROR(VLOOKUP($B28,Kraftvärmeprod!$B$1:$BX$549,MATCH(K$2,Kraftvärmeprod!$B$1:$VX$1,0),FALSE)/1,0)-IFERROR(VLOOKUP($B28,'Slutlig allokering kvv'!$B$2:$BX$549,MATCH(K$2,'Slutlig allokering kvv'!$B$1:$BX$1,0),FALSE)/1,0))</f>
        <v/>
      </c>
      <c r="L28" s="121" t="str">
        <f>IF($D28="","",IFERROR(VLOOKUP($B28,Kraftvärmeprod!$B$1:$BX$549,MATCH(L$2,Kraftvärmeprod!$B$1:$VX$1,0),FALSE)/1,0)-IFERROR(VLOOKUP($B28,'Slutlig allokering kvv'!$B$2:$BX$549,MATCH(L$2,'Slutlig allokering kvv'!$B$1:$BX$1,0),FALSE)/1,0))</f>
        <v/>
      </c>
      <c r="M28" s="121" t="str">
        <f>IF($D28="","",IFERROR(VLOOKUP($B28,Kraftvärmeprod!$B$1:$BX$549,MATCH(M$2,Kraftvärmeprod!$B$1:$VX$1,0),FALSE)/1,0)-IFERROR(VLOOKUP($B28,'Slutlig allokering kvv'!$B$2:$BX$549,MATCH(M$2,'Slutlig allokering kvv'!$B$1:$BX$1,0),FALSE)/1,0))</f>
        <v/>
      </c>
      <c r="N28" s="121" t="str">
        <f>IF($D28="","",IFERROR(VLOOKUP($B28,Kraftvärmeprod!$B$1:$BX$549,MATCH(N$2,Kraftvärmeprod!$B$1:$VX$1,0),FALSE)/1,0)-IFERROR(VLOOKUP($B28,'Slutlig allokering kvv'!$B$2:$BX$549,MATCH(N$2,'Slutlig allokering kvv'!$B$1:$BX$1,0),FALSE)/1,0))</f>
        <v/>
      </c>
      <c r="O28" s="121" t="str">
        <f>IF($D28="","",IFERROR(VLOOKUP($B28,Kraftvärmeprod!$B$1:$BX$549,MATCH(O$2,Kraftvärmeprod!$B$1:$VX$1,0),FALSE)/1,0)-IFERROR(VLOOKUP($B28,'Slutlig allokering kvv'!$B$2:$BX$549,MATCH(O$2,'Slutlig allokering kvv'!$B$1:$BX$1,0),FALSE)/1,0))</f>
        <v/>
      </c>
      <c r="P28" s="121" t="str">
        <f>IF($D28="","",IFERROR(VLOOKUP($B28,Kraftvärmeprod!$B$1:$BX$549,MATCH(P$2,Kraftvärmeprod!$B$1:$VX$1,0),FALSE)/1,0)-IFERROR(VLOOKUP($B28,'Slutlig allokering kvv'!$B$2:$BX$549,MATCH(P$2,'Slutlig allokering kvv'!$B$1:$BX$1,0),FALSE)/1,0))</f>
        <v/>
      </c>
      <c r="Q28" s="121" t="str">
        <f>IF($D28="","",IFERROR(VLOOKUP($B28,Kraftvärmeprod!$B$1:$BX$549,MATCH(Q$2,Kraftvärmeprod!$B$1:$VX$1,0),FALSE)/1,0)-IFERROR(VLOOKUP($B28,'Slutlig allokering kvv'!$B$2:$BX$549,MATCH(Q$2,'Slutlig allokering kvv'!$B$1:$BX$1,0),FALSE)/1,0))</f>
        <v/>
      </c>
      <c r="R28" s="121" t="str">
        <f>IF($D28="","",IFERROR(VLOOKUP($B28,Kraftvärmeprod!$B$1:$BX$549,MATCH(R$2,Kraftvärmeprod!$B$1:$VX$1,0),FALSE)/1,0)-IFERROR(VLOOKUP($B28,'Slutlig allokering kvv'!$B$2:$BX$549,MATCH(R$2,'Slutlig allokering kvv'!$B$1:$BX$1,0),FALSE)/1,0))</f>
        <v/>
      </c>
      <c r="S28" s="121" t="str">
        <f>IF($D28="","",IFERROR(VLOOKUP($B28,Kraftvärmeprod!$B$1:$BX$549,MATCH(S$2,Kraftvärmeprod!$B$1:$VX$1,0),FALSE)/1,0)-IFERROR(VLOOKUP($B28,'Slutlig allokering kvv'!$B$2:$BX$549,MATCH(S$2,'Slutlig allokering kvv'!$B$1:$BX$1,0),FALSE)/1,0))</f>
        <v/>
      </c>
      <c r="T28" s="121" t="str">
        <f>IF($D28="","",IFERROR(VLOOKUP($B28,Kraftvärmeprod!$B$1:$BX$549,MATCH(T$2,Kraftvärmeprod!$B$1:$VX$1,0),FALSE)/1,0)-IFERROR(VLOOKUP($B28,'Slutlig allokering kvv'!$B$2:$BX$549,MATCH(T$2,'Slutlig allokering kvv'!$B$1:$BX$1,0),FALSE)/1,0))</f>
        <v/>
      </c>
      <c r="U28" s="121" t="str">
        <f>IF($D28="","",IFERROR(VLOOKUP($B28,Kraftvärmeprod!$B$1:$BX$549,MATCH(U$2,Kraftvärmeprod!$B$1:$VX$1,0),FALSE)/1,0)-IFERROR(VLOOKUP($B28,'Slutlig allokering kvv'!$B$2:$BX$549,MATCH(U$2,'Slutlig allokering kvv'!$B$1:$BX$1,0),FALSE)/1,0))</f>
        <v/>
      </c>
      <c r="V28" s="121" t="str">
        <f>IF($D28="","",IFERROR(VLOOKUP($B28,Kraftvärmeprod!$B$1:$BX$549,MATCH(V$2,Kraftvärmeprod!$B$1:$VX$1,0),FALSE)/1,0)-IFERROR(VLOOKUP($B28,'Slutlig allokering kvv'!$B$2:$BX$549,MATCH(V$2,'Slutlig allokering kvv'!$B$1:$BX$1,0),FALSE)/1,0))</f>
        <v/>
      </c>
      <c r="W28" s="121" t="str">
        <f>IF($D28="","",IFERROR(VLOOKUP($B28,Kraftvärmeprod!$B$1:$BX$549,MATCH(W$2,Kraftvärmeprod!$B$1:$VX$1,0),FALSE)/1,0)-IFERROR(VLOOKUP($B28,'Slutlig allokering kvv'!$B$2:$BX$549,MATCH(W$2,'Slutlig allokering kvv'!$B$1:$BX$1,0),FALSE)/1,0))</f>
        <v/>
      </c>
      <c r="X28" s="121" t="str">
        <f>IF($D28="","",IFERROR(VLOOKUP($B28,Kraftvärmeprod!$B$1:$BX$549,MATCH(X$2,Kraftvärmeprod!$B$1:$VX$1,0),FALSE)/1,0)-IFERROR(VLOOKUP($B28,'Slutlig allokering kvv'!$B$2:$BX$549,MATCH(X$2,'Slutlig allokering kvv'!$B$1:$BX$1,0),FALSE)/1,0))</f>
        <v/>
      </c>
      <c r="Y28" s="121" t="str">
        <f>IF($D28="","",IFERROR(VLOOKUP($B28,Kraftvärmeprod!$B$1:$BX$549,MATCH(Y$2,Kraftvärmeprod!$B$1:$VX$1,0),FALSE)/1,0)-IFERROR(VLOOKUP($B28,'Slutlig allokering kvv'!$B$2:$BX$549,MATCH(Y$2,'Slutlig allokering kvv'!$B$1:$BX$1,0),FALSE)/1,0))</f>
        <v/>
      </c>
      <c r="Z28" s="121" t="str">
        <f>IF($D28="","",IFERROR(VLOOKUP($B28,Kraftvärmeprod!$B$1:$BX$549,MATCH(Z$2,Kraftvärmeprod!$B$1:$VX$1,0),FALSE)/1,0)-IFERROR(VLOOKUP($B28,'Slutlig allokering kvv'!$B$2:$BX$549,MATCH(Z$2,'Slutlig allokering kvv'!$B$1:$BX$1,0),FALSE)/1,0))</f>
        <v/>
      </c>
      <c r="AA28" s="121" t="str">
        <f>IF($D28="","",IFERROR(VLOOKUP($B28,Kraftvärmeprod!$B$1:$BX$549,MATCH(AA$2,Kraftvärmeprod!$B$1:$VX$1,0),FALSE)/1,0)-IFERROR(VLOOKUP($B28,'Slutlig allokering kvv'!$B$2:$BX$549,MATCH(AA$2,'Slutlig allokering kvv'!$B$1:$BX$1,0),FALSE)/1,0))</f>
        <v/>
      </c>
      <c r="AB28" s="121" t="str">
        <f>IF($D28="","",IFERROR(VLOOKUP($B28,Kraftvärmeprod!$B$1:$BX$549,MATCH(AB$2,Kraftvärmeprod!$B$1:$VX$1,0),FALSE)/1,0)-IFERROR(VLOOKUP($B28,'Slutlig allokering kvv'!$B$2:$BX$549,MATCH(AB$2,'Slutlig allokering kvv'!$B$1:$BX$1,0),FALSE)/1,0))</f>
        <v/>
      </c>
      <c r="AC28" s="121" t="str">
        <f>IF($D28="","",IFERROR(VLOOKUP($B28,Kraftvärmeprod!$B$1:$BX$549,MATCH(AC$2,Kraftvärmeprod!$B$1:$VX$1,0),FALSE)/1,0)-IFERROR(VLOOKUP($B28,'Slutlig allokering kvv'!$B$2:$BX$549,MATCH(AC$2,'Slutlig allokering kvv'!$B$1:$BX$1,0),FALSE)/1,0))</f>
        <v/>
      </c>
      <c r="AD28" s="121" t="str">
        <f>IF($D28="","",IFERROR(VLOOKUP($B28,Kraftvärmeprod!$B$1:$BX$549,MATCH(AD$2,Kraftvärmeprod!$B$1:$VX$1,0),FALSE)/1,0)-IFERROR(VLOOKUP($B28,'Slutlig allokering kvv'!$B$2:$BX$549,MATCH(AD$2,'Slutlig allokering kvv'!$B$1:$BX$1,0),FALSE)/1,0))</f>
        <v/>
      </c>
      <c r="AE28" s="121" t="str">
        <f>IF($D28="","",IFERROR(VLOOKUP($B28,Miljö!$B$1:$E$550,MATCH("Hjälpel kraftvärme (GWh)",Miljö!$B$1:$E$1,0),FALSE)/1,0)-IFERROR(VLOOKUP($B28,'Slutlig allokering kvv'!$B$2:$BX$549,MATCH(AE$2,'Slutlig allokering kvv'!$B$1:$BX$1,0),FALSE)/1,0))</f>
        <v/>
      </c>
      <c r="AI28" s="121">
        <f t="shared" si="0"/>
        <v>0</v>
      </c>
      <c r="AK28" s="121">
        <f>IFERROR(VLOOKUP($B28,'Slutlig allokering kvv'!$B$2:$AX$549,MATCH("Summa slutlig allokerad tillförd energi (utan hjälpel och rökgaskondensering):",'Slutlig allokering kvv'!$B$1:$AX$1,0),FALSE)/1,"")</f>
        <v>0</v>
      </c>
      <c r="AM28" s="172" t="str">
        <f>IFERROR(1-VLOOKUP($B28,'Slutlig allokering kvv'!$B$2:$AX$549,MATCH("Andel av bränsle i kvv som allokerats till värme, exklusive rökgaskondensering och hjälpel",'Slutlig allokering kvv'!$B$1:$AX$1,0),FALSE),"")</f>
        <v/>
      </c>
      <c r="AO28" s="172" t="str">
        <f t="shared" si="1"/>
        <v/>
      </c>
      <c r="AP28" s="173" t="str">
        <f t="shared" si="2"/>
        <v/>
      </c>
      <c r="AR28" s="172" t="str">
        <f t="shared" si="3"/>
        <v/>
      </c>
    </row>
    <row r="29" spans="1:44" x14ac:dyDescent="0.25">
      <c r="A29" s="171" t="str">
        <f>'Miljövärden för publ företag'!B31</f>
        <v>Alvesta Energi AB</v>
      </c>
      <c r="B29" s="171" t="str">
        <f>'Miljövärden för publ företag'!C31</f>
        <v>Alvesta</v>
      </c>
      <c r="C29" s="121" t="str">
        <f>IFERROR(VLOOKUP($B29,Kraftvärmeprod!$B$1:$AH$478,MATCH(C$2,Kraftvärmeprod!$B$1:$AG$1,0),FALSE)/1,"")</f>
        <v/>
      </c>
      <c r="D29" s="121" t="str">
        <f>IFERROR(VLOOKUP($B29,Kraftvärmeprod!$B$1:$AH$478,MATCH(D$2,Kraftvärmeprod!$B$1:$AG$1,0),FALSE)/1,"")</f>
        <v/>
      </c>
      <c r="F29" s="121" t="str">
        <f>IF($D29="","",IFERROR(VLOOKUP($B29,Kraftvärmeprod!$B$1:$BX$549,MATCH(F$2,Kraftvärmeprod!$B$1:$VX$1,0),FALSE)/1,0)-IFERROR(VLOOKUP($B29,'Slutlig allokering kvv'!$B$2:$BX$549,MATCH(F$2,'Slutlig allokering kvv'!$B$1:$BX$1,0),FALSE)/1,0))</f>
        <v/>
      </c>
      <c r="G29" s="121" t="str">
        <f>IF($D29="","",IFERROR(VLOOKUP($B29,Kraftvärmeprod!$B$1:$BX$549,MATCH(G$2,Kraftvärmeprod!$B$1:$VX$1,0),FALSE)/1,0)-IFERROR(VLOOKUP($B29,'Slutlig allokering kvv'!$B$2:$BX$549,MATCH(G$2,'Slutlig allokering kvv'!$B$1:$BX$1,0),FALSE)/1,0))</f>
        <v/>
      </c>
      <c r="H29" s="121" t="str">
        <f>IF($D29="","",IFERROR(VLOOKUP($B29,Kraftvärmeprod!$B$1:$BX$549,MATCH(H$2,Kraftvärmeprod!$B$1:$VX$1,0),FALSE)/1,0)-IFERROR(VLOOKUP($B29,'Slutlig allokering kvv'!$B$2:$BX$549,MATCH(H$2,'Slutlig allokering kvv'!$B$1:$BX$1,0),FALSE)/1,0))</f>
        <v/>
      </c>
      <c r="I29" s="121" t="str">
        <f>IF($D29="","",IFERROR(VLOOKUP($B29,Kraftvärmeprod!$B$1:$BX$549,MATCH(I$2,Kraftvärmeprod!$B$1:$VX$1,0),FALSE)/1,0)-IFERROR(VLOOKUP($B29,'Slutlig allokering kvv'!$B$2:$BX$549,MATCH(I$2,'Slutlig allokering kvv'!$B$1:$BX$1,0),FALSE)/1,0))</f>
        <v/>
      </c>
      <c r="J29" s="121" t="str">
        <f>IF($D29="","",IFERROR(VLOOKUP($B29,Kraftvärmeprod!$B$1:$BX$549,MATCH(J$2,Kraftvärmeprod!$B$1:$VX$1,0),FALSE)/1,0)-IFERROR(VLOOKUP($B29,'Slutlig allokering kvv'!$B$2:$BX$549,MATCH(J$2,'Slutlig allokering kvv'!$B$1:$BX$1,0),FALSE)/1,0))</f>
        <v/>
      </c>
      <c r="K29" s="121" t="str">
        <f>IF($D29="","",IFERROR(VLOOKUP($B29,Kraftvärmeprod!$B$1:$BX$549,MATCH(K$2,Kraftvärmeprod!$B$1:$VX$1,0),FALSE)/1,0)-IFERROR(VLOOKUP($B29,'Slutlig allokering kvv'!$B$2:$BX$549,MATCH(K$2,'Slutlig allokering kvv'!$B$1:$BX$1,0),FALSE)/1,0))</f>
        <v/>
      </c>
      <c r="L29" s="121" t="str">
        <f>IF($D29="","",IFERROR(VLOOKUP($B29,Kraftvärmeprod!$B$1:$BX$549,MATCH(L$2,Kraftvärmeprod!$B$1:$VX$1,0),FALSE)/1,0)-IFERROR(VLOOKUP($B29,'Slutlig allokering kvv'!$B$2:$BX$549,MATCH(L$2,'Slutlig allokering kvv'!$B$1:$BX$1,0),FALSE)/1,0))</f>
        <v/>
      </c>
      <c r="M29" s="121" t="str">
        <f>IF($D29="","",IFERROR(VLOOKUP($B29,Kraftvärmeprod!$B$1:$BX$549,MATCH(M$2,Kraftvärmeprod!$B$1:$VX$1,0),FALSE)/1,0)-IFERROR(VLOOKUP($B29,'Slutlig allokering kvv'!$B$2:$BX$549,MATCH(M$2,'Slutlig allokering kvv'!$B$1:$BX$1,0),FALSE)/1,0))</f>
        <v/>
      </c>
      <c r="N29" s="121" t="str">
        <f>IF($D29="","",IFERROR(VLOOKUP($B29,Kraftvärmeprod!$B$1:$BX$549,MATCH(N$2,Kraftvärmeprod!$B$1:$VX$1,0),FALSE)/1,0)-IFERROR(VLOOKUP($B29,'Slutlig allokering kvv'!$B$2:$BX$549,MATCH(N$2,'Slutlig allokering kvv'!$B$1:$BX$1,0),FALSE)/1,0))</f>
        <v/>
      </c>
      <c r="O29" s="121" t="str">
        <f>IF($D29="","",IFERROR(VLOOKUP($B29,Kraftvärmeprod!$B$1:$BX$549,MATCH(O$2,Kraftvärmeprod!$B$1:$VX$1,0),FALSE)/1,0)-IFERROR(VLOOKUP($B29,'Slutlig allokering kvv'!$B$2:$BX$549,MATCH(O$2,'Slutlig allokering kvv'!$B$1:$BX$1,0),FALSE)/1,0))</f>
        <v/>
      </c>
      <c r="P29" s="121" t="str">
        <f>IF($D29="","",IFERROR(VLOOKUP($B29,Kraftvärmeprod!$B$1:$BX$549,MATCH(P$2,Kraftvärmeprod!$B$1:$VX$1,0),FALSE)/1,0)-IFERROR(VLOOKUP($B29,'Slutlig allokering kvv'!$B$2:$BX$549,MATCH(P$2,'Slutlig allokering kvv'!$B$1:$BX$1,0),FALSE)/1,0))</f>
        <v/>
      </c>
      <c r="Q29" s="121" t="str">
        <f>IF($D29="","",IFERROR(VLOOKUP($B29,Kraftvärmeprod!$B$1:$BX$549,MATCH(Q$2,Kraftvärmeprod!$B$1:$VX$1,0),FALSE)/1,0)-IFERROR(VLOOKUP($B29,'Slutlig allokering kvv'!$B$2:$BX$549,MATCH(Q$2,'Slutlig allokering kvv'!$B$1:$BX$1,0),FALSE)/1,0))</f>
        <v/>
      </c>
      <c r="R29" s="121" t="str">
        <f>IF($D29="","",IFERROR(VLOOKUP($B29,Kraftvärmeprod!$B$1:$BX$549,MATCH(R$2,Kraftvärmeprod!$B$1:$VX$1,0),FALSE)/1,0)-IFERROR(VLOOKUP($B29,'Slutlig allokering kvv'!$B$2:$BX$549,MATCH(R$2,'Slutlig allokering kvv'!$B$1:$BX$1,0),FALSE)/1,0))</f>
        <v/>
      </c>
      <c r="S29" s="121" t="str">
        <f>IF($D29="","",IFERROR(VLOOKUP($B29,Kraftvärmeprod!$B$1:$BX$549,MATCH(S$2,Kraftvärmeprod!$B$1:$VX$1,0),FALSE)/1,0)-IFERROR(VLOOKUP($B29,'Slutlig allokering kvv'!$B$2:$BX$549,MATCH(S$2,'Slutlig allokering kvv'!$B$1:$BX$1,0),FALSE)/1,0))</f>
        <v/>
      </c>
      <c r="T29" s="121" t="str">
        <f>IF($D29="","",IFERROR(VLOOKUP($B29,Kraftvärmeprod!$B$1:$BX$549,MATCH(T$2,Kraftvärmeprod!$B$1:$VX$1,0),FALSE)/1,0)-IFERROR(VLOOKUP($B29,'Slutlig allokering kvv'!$B$2:$BX$549,MATCH(T$2,'Slutlig allokering kvv'!$B$1:$BX$1,0),FALSE)/1,0))</f>
        <v/>
      </c>
      <c r="U29" s="121" t="str">
        <f>IF($D29="","",IFERROR(VLOOKUP($B29,Kraftvärmeprod!$B$1:$BX$549,MATCH(U$2,Kraftvärmeprod!$B$1:$VX$1,0),FALSE)/1,0)-IFERROR(VLOOKUP($B29,'Slutlig allokering kvv'!$B$2:$BX$549,MATCH(U$2,'Slutlig allokering kvv'!$B$1:$BX$1,0),FALSE)/1,0))</f>
        <v/>
      </c>
      <c r="V29" s="121" t="str">
        <f>IF($D29="","",IFERROR(VLOOKUP($B29,Kraftvärmeprod!$B$1:$BX$549,MATCH(V$2,Kraftvärmeprod!$B$1:$VX$1,0),FALSE)/1,0)-IFERROR(VLOOKUP($B29,'Slutlig allokering kvv'!$B$2:$BX$549,MATCH(V$2,'Slutlig allokering kvv'!$B$1:$BX$1,0),FALSE)/1,0))</f>
        <v/>
      </c>
      <c r="W29" s="121" t="str">
        <f>IF($D29="","",IFERROR(VLOOKUP($B29,Kraftvärmeprod!$B$1:$BX$549,MATCH(W$2,Kraftvärmeprod!$B$1:$VX$1,0),FALSE)/1,0)-IFERROR(VLOOKUP($B29,'Slutlig allokering kvv'!$B$2:$BX$549,MATCH(W$2,'Slutlig allokering kvv'!$B$1:$BX$1,0),FALSE)/1,0))</f>
        <v/>
      </c>
      <c r="X29" s="121" t="str">
        <f>IF($D29="","",IFERROR(VLOOKUP($B29,Kraftvärmeprod!$B$1:$BX$549,MATCH(X$2,Kraftvärmeprod!$B$1:$VX$1,0),FALSE)/1,0)-IFERROR(VLOOKUP($B29,'Slutlig allokering kvv'!$B$2:$BX$549,MATCH(X$2,'Slutlig allokering kvv'!$B$1:$BX$1,0),FALSE)/1,0))</f>
        <v/>
      </c>
      <c r="Y29" s="121" t="str">
        <f>IF($D29="","",IFERROR(VLOOKUP($B29,Kraftvärmeprod!$B$1:$BX$549,MATCH(Y$2,Kraftvärmeprod!$B$1:$VX$1,0),FALSE)/1,0)-IFERROR(VLOOKUP($B29,'Slutlig allokering kvv'!$B$2:$BX$549,MATCH(Y$2,'Slutlig allokering kvv'!$B$1:$BX$1,0),FALSE)/1,0))</f>
        <v/>
      </c>
      <c r="Z29" s="121" t="str">
        <f>IF($D29="","",IFERROR(VLOOKUP($B29,Kraftvärmeprod!$B$1:$BX$549,MATCH(Z$2,Kraftvärmeprod!$B$1:$VX$1,0),FALSE)/1,0)-IFERROR(VLOOKUP($B29,'Slutlig allokering kvv'!$B$2:$BX$549,MATCH(Z$2,'Slutlig allokering kvv'!$B$1:$BX$1,0),FALSE)/1,0))</f>
        <v/>
      </c>
      <c r="AA29" s="121" t="str">
        <f>IF($D29="","",IFERROR(VLOOKUP($B29,Kraftvärmeprod!$B$1:$BX$549,MATCH(AA$2,Kraftvärmeprod!$B$1:$VX$1,0),FALSE)/1,0)-IFERROR(VLOOKUP($B29,'Slutlig allokering kvv'!$B$2:$BX$549,MATCH(AA$2,'Slutlig allokering kvv'!$B$1:$BX$1,0),FALSE)/1,0))</f>
        <v/>
      </c>
      <c r="AB29" s="121" t="str">
        <f>IF($D29="","",IFERROR(VLOOKUP($B29,Kraftvärmeprod!$B$1:$BX$549,MATCH(AB$2,Kraftvärmeprod!$B$1:$VX$1,0),FALSE)/1,0)-IFERROR(VLOOKUP($B29,'Slutlig allokering kvv'!$B$2:$BX$549,MATCH(AB$2,'Slutlig allokering kvv'!$B$1:$BX$1,0),FALSE)/1,0))</f>
        <v/>
      </c>
      <c r="AC29" s="121" t="str">
        <f>IF($D29="","",IFERROR(VLOOKUP($B29,Kraftvärmeprod!$B$1:$BX$549,MATCH(AC$2,Kraftvärmeprod!$B$1:$VX$1,0),FALSE)/1,0)-IFERROR(VLOOKUP($B29,'Slutlig allokering kvv'!$B$2:$BX$549,MATCH(AC$2,'Slutlig allokering kvv'!$B$1:$BX$1,0),FALSE)/1,0))</f>
        <v/>
      </c>
      <c r="AD29" s="121" t="str">
        <f>IF($D29="","",IFERROR(VLOOKUP($B29,Kraftvärmeprod!$B$1:$BX$549,MATCH(AD$2,Kraftvärmeprod!$B$1:$VX$1,0),FALSE)/1,0)-IFERROR(VLOOKUP($B29,'Slutlig allokering kvv'!$B$2:$BX$549,MATCH(AD$2,'Slutlig allokering kvv'!$B$1:$BX$1,0),FALSE)/1,0))</f>
        <v/>
      </c>
      <c r="AE29" s="121" t="str">
        <f>IF($D29="","",IFERROR(VLOOKUP($B29,Miljö!$B$1:$E$550,MATCH("Hjälpel kraftvärme (GWh)",Miljö!$B$1:$E$1,0),FALSE)/1,0)-IFERROR(VLOOKUP($B29,'Slutlig allokering kvv'!$B$2:$BX$549,MATCH(AE$2,'Slutlig allokering kvv'!$B$1:$BX$1,0),FALSE)/1,0))</f>
        <v/>
      </c>
      <c r="AI29" s="121">
        <f t="shared" si="0"/>
        <v>0</v>
      </c>
      <c r="AK29" s="121">
        <f>IFERROR(VLOOKUP($B29,'Slutlig allokering kvv'!$B$2:$AX$549,MATCH("Summa slutlig allokerad tillförd energi (utan hjälpel och rökgaskondensering):",'Slutlig allokering kvv'!$B$1:$AX$1,0),FALSE)/1,"")</f>
        <v>0</v>
      </c>
      <c r="AM29" s="172" t="str">
        <f>IFERROR(1-VLOOKUP($B29,'Slutlig allokering kvv'!$B$2:$AX$549,MATCH("Andel av bränsle i kvv som allokerats till värme, exklusive rökgaskondensering och hjälpel",'Slutlig allokering kvv'!$B$1:$AX$1,0),FALSE),"")</f>
        <v/>
      </c>
      <c r="AO29" s="172" t="str">
        <f t="shared" si="1"/>
        <v/>
      </c>
      <c r="AP29" s="173" t="str">
        <f t="shared" si="2"/>
        <v/>
      </c>
      <c r="AR29" s="172" t="str">
        <f t="shared" si="3"/>
        <v/>
      </c>
    </row>
    <row r="30" spans="1:44" x14ac:dyDescent="0.25">
      <c r="A30" s="171" t="str">
        <f>'Miljövärden för publ företag'!B32</f>
        <v>Alvesta Energi AB</v>
      </c>
      <c r="B30" s="171" t="str">
        <f>'Miljövärden för publ företag'!C32</f>
        <v>Moheda</v>
      </c>
      <c r="C30" s="121" t="str">
        <f>IFERROR(VLOOKUP($B30,Kraftvärmeprod!$B$1:$AH$478,MATCH(C$2,Kraftvärmeprod!$B$1:$AG$1,0),FALSE)/1,"")</f>
        <v/>
      </c>
      <c r="D30" s="121" t="str">
        <f>IFERROR(VLOOKUP($B30,Kraftvärmeprod!$B$1:$AH$478,MATCH(D$2,Kraftvärmeprod!$B$1:$AG$1,0),FALSE)/1,"")</f>
        <v/>
      </c>
      <c r="F30" s="121" t="str">
        <f>IF($D30="","",IFERROR(VLOOKUP($B30,Kraftvärmeprod!$B$1:$BX$549,MATCH(F$2,Kraftvärmeprod!$B$1:$VX$1,0),FALSE)/1,0)-IFERROR(VLOOKUP($B30,'Slutlig allokering kvv'!$B$2:$BX$549,MATCH(F$2,'Slutlig allokering kvv'!$B$1:$BX$1,0),FALSE)/1,0))</f>
        <v/>
      </c>
      <c r="G30" s="121" t="str">
        <f>IF($D30="","",IFERROR(VLOOKUP($B30,Kraftvärmeprod!$B$1:$BX$549,MATCH(G$2,Kraftvärmeprod!$B$1:$VX$1,0),FALSE)/1,0)-IFERROR(VLOOKUP($B30,'Slutlig allokering kvv'!$B$2:$BX$549,MATCH(G$2,'Slutlig allokering kvv'!$B$1:$BX$1,0),FALSE)/1,0))</f>
        <v/>
      </c>
      <c r="H30" s="121" t="str">
        <f>IF($D30="","",IFERROR(VLOOKUP($B30,Kraftvärmeprod!$B$1:$BX$549,MATCH(H$2,Kraftvärmeprod!$B$1:$VX$1,0),FALSE)/1,0)-IFERROR(VLOOKUP($B30,'Slutlig allokering kvv'!$B$2:$BX$549,MATCH(H$2,'Slutlig allokering kvv'!$B$1:$BX$1,0),FALSE)/1,0))</f>
        <v/>
      </c>
      <c r="I30" s="121" t="str">
        <f>IF($D30="","",IFERROR(VLOOKUP($B30,Kraftvärmeprod!$B$1:$BX$549,MATCH(I$2,Kraftvärmeprod!$B$1:$VX$1,0),FALSE)/1,0)-IFERROR(VLOOKUP($B30,'Slutlig allokering kvv'!$B$2:$BX$549,MATCH(I$2,'Slutlig allokering kvv'!$B$1:$BX$1,0),FALSE)/1,0))</f>
        <v/>
      </c>
      <c r="J30" s="121" t="str">
        <f>IF($D30="","",IFERROR(VLOOKUP($B30,Kraftvärmeprod!$B$1:$BX$549,MATCH(J$2,Kraftvärmeprod!$B$1:$VX$1,0),FALSE)/1,0)-IFERROR(VLOOKUP($B30,'Slutlig allokering kvv'!$B$2:$BX$549,MATCH(J$2,'Slutlig allokering kvv'!$B$1:$BX$1,0),FALSE)/1,0))</f>
        <v/>
      </c>
      <c r="K30" s="121" t="str">
        <f>IF($D30="","",IFERROR(VLOOKUP($B30,Kraftvärmeprod!$B$1:$BX$549,MATCH(K$2,Kraftvärmeprod!$B$1:$VX$1,0),FALSE)/1,0)-IFERROR(VLOOKUP($B30,'Slutlig allokering kvv'!$B$2:$BX$549,MATCH(K$2,'Slutlig allokering kvv'!$B$1:$BX$1,0),FALSE)/1,0))</f>
        <v/>
      </c>
      <c r="L30" s="121" t="str">
        <f>IF($D30="","",IFERROR(VLOOKUP($B30,Kraftvärmeprod!$B$1:$BX$549,MATCH(L$2,Kraftvärmeprod!$B$1:$VX$1,0),FALSE)/1,0)-IFERROR(VLOOKUP($B30,'Slutlig allokering kvv'!$B$2:$BX$549,MATCH(L$2,'Slutlig allokering kvv'!$B$1:$BX$1,0),FALSE)/1,0))</f>
        <v/>
      </c>
      <c r="M30" s="121" t="str">
        <f>IF($D30="","",IFERROR(VLOOKUP($B30,Kraftvärmeprod!$B$1:$BX$549,MATCH(M$2,Kraftvärmeprod!$B$1:$VX$1,0),FALSE)/1,0)-IFERROR(VLOOKUP($B30,'Slutlig allokering kvv'!$B$2:$BX$549,MATCH(M$2,'Slutlig allokering kvv'!$B$1:$BX$1,0),FALSE)/1,0))</f>
        <v/>
      </c>
      <c r="N30" s="121" t="str">
        <f>IF($D30="","",IFERROR(VLOOKUP($B30,Kraftvärmeprod!$B$1:$BX$549,MATCH(N$2,Kraftvärmeprod!$B$1:$VX$1,0),FALSE)/1,0)-IFERROR(VLOOKUP($B30,'Slutlig allokering kvv'!$B$2:$BX$549,MATCH(N$2,'Slutlig allokering kvv'!$B$1:$BX$1,0),FALSE)/1,0))</f>
        <v/>
      </c>
      <c r="O30" s="121" t="str">
        <f>IF($D30="","",IFERROR(VLOOKUP($B30,Kraftvärmeprod!$B$1:$BX$549,MATCH(O$2,Kraftvärmeprod!$B$1:$VX$1,0),FALSE)/1,0)-IFERROR(VLOOKUP($B30,'Slutlig allokering kvv'!$B$2:$BX$549,MATCH(O$2,'Slutlig allokering kvv'!$B$1:$BX$1,0),FALSE)/1,0))</f>
        <v/>
      </c>
      <c r="P30" s="121" t="str">
        <f>IF($D30="","",IFERROR(VLOOKUP($B30,Kraftvärmeprod!$B$1:$BX$549,MATCH(P$2,Kraftvärmeprod!$B$1:$VX$1,0),FALSE)/1,0)-IFERROR(VLOOKUP($B30,'Slutlig allokering kvv'!$B$2:$BX$549,MATCH(P$2,'Slutlig allokering kvv'!$B$1:$BX$1,0),FALSE)/1,0))</f>
        <v/>
      </c>
      <c r="Q30" s="121" t="str">
        <f>IF($D30="","",IFERROR(VLOOKUP($B30,Kraftvärmeprod!$B$1:$BX$549,MATCH(Q$2,Kraftvärmeprod!$B$1:$VX$1,0),FALSE)/1,0)-IFERROR(VLOOKUP($B30,'Slutlig allokering kvv'!$B$2:$BX$549,MATCH(Q$2,'Slutlig allokering kvv'!$B$1:$BX$1,0),FALSE)/1,0))</f>
        <v/>
      </c>
      <c r="R30" s="121" t="str">
        <f>IF($D30="","",IFERROR(VLOOKUP($B30,Kraftvärmeprod!$B$1:$BX$549,MATCH(R$2,Kraftvärmeprod!$B$1:$VX$1,0),FALSE)/1,0)-IFERROR(VLOOKUP($B30,'Slutlig allokering kvv'!$B$2:$BX$549,MATCH(R$2,'Slutlig allokering kvv'!$B$1:$BX$1,0),FALSE)/1,0))</f>
        <v/>
      </c>
      <c r="S30" s="121" t="str">
        <f>IF($D30="","",IFERROR(VLOOKUP($B30,Kraftvärmeprod!$B$1:$BX$549,MATCH(S$2,Kraftvärmeprod!$B$1:$VX$1,0),FALSE)/1,0)-IFERROR(VLOOKUP($B30,'Slutlig allokering kvv'!$B$2:$BX$549,MATCH(S$2,'Slutlig allokering kvv'!$B$1:$BX$1,0),FALSE)/1,0))</f>
        <v/>
      </c>
      <c r="T30" s="121" t="str">
        <f>IF($D30="","",IFERROR(VLOOKUP($B30,Kraftvärmeprod!$B$1:$BX$549,MATCH(T$2,Kraftvärmeprod!$B$1:$VX$1,0),FALSE)/1,0)-IFERROR(VLOOKUP($B30,'Slutlig allokering kvv'!$B$2:$BX$549,MATCH(T$2,'Slutlig allokering kvv'!$B$1:$BX$1,0),FALSE)/1,0))</f>
        <v/>
      </c>
      <c r="U30" s="121" t="str">
        <f>IF($D30="","",IFERROR(VLOOKUP($B30,Kraftvärmeprod!$B$1:$BX$549,MATCH(U$2,Kraftvärmeprod!$B$1:$VX$1,0),FALSE)/1,0)-IFERROR(VLOOKUP($B30,'Slutlig allokering kvv'!$B$2:$BX$549,MATCH(U$2,'Slutlig allokering kvv'!$B$1:$BX$1,0),FALSE)/1,0))</f>
        <v/>
      </c>
      <c r="V30" s="121" t="str">
        <f>IF($D30="","",IFERROR(VLOOKUP($B30,Kraftvärmeprod!$B$1:$BX$549,MATCH(V$2,Kraftvärmeprod!$B$1:$VX$1,0),FALSE)/1,0)-IFERROR(VLOOKUP($B30,'Slutlig allokering kvv'!$B$2:$BX$549,MATCH(V$2,'Slutlig allokering kvv'!$B$1:$BX$1,0),FALSE)/1,0))</f>
        <v/>
      </c>
      <c r="W30" s="121" t="str">
        <f>IF($D30="","",IFERROR(VLOOKUP($B30,Kraftvärmeprod!$B$1:$BX$549,MATCH(W$2,Kraftvärmeprod!$B$1:$VX$1,0),FALSE)/1,0)-IFERROR(VLOOKUP($B30,'Slutlig allokering kvv'!$B$2:$BX$549,MATCH(W$2,'Slutlig allokering kvv'!$B$1:$BX$1,0),FALSE)/1,0))</f>
        <v/>
      </c>
      <c r="X30" s="121" t="str">
        <f>IF($D30="","",IFERROR(VLOOKUP($B30,Kraftvärmeprod!$B$1:$BX$549,MATCH(X$2,Kraftvärmeprod!$B$1:$VX$1,0),FALSE)/1,0)-IFERROR(VLOOKUP($B30,'Slutlig allokering kvv'!$B$2:$BX$549,MATCH(X$2,'Slutlig allokering kvv'!$B$1:$BX$1,0),FALSE)/1,0))</f>
        <v/>
      </c>
      <c r="Y30" s="121" t="str">
        <f>IF($D30="","",IFERROR(VLOOKUP($B30,Kraftvärmeprod!$B$1:$BX$549,MATCH(Y$2,Kraftvärmeprod!$B$1:$VX$1,0),FALSE)/1,0)-IFERROR(VLOOKUP($B30,'Slutlig allokering kvv'!$B$2:$BX$549,MATCH(Y$2,'Slutlig allokering kvv'!$B$1:$BX$1,0),FALSE)/1,0))</f>
        <v/>
      </c>
      <c r="Z30" s="121" t="str">
        <f>IF($D30="","",IFERROR(VLOOKUP($B30,Kraftvärmeprod!$B$1:$BX$549,MATCH(Z$2,Kraftvärmeprod!$B$1:$VX$1,0),FALSE)/1,0)-IFERROR(VLOOKUP($B30,'Slutlig allokering kvv'!$B$2:$BX$549,MATCH(Z$2,'Slutlig allokering kvv'!$B$1:$BX$1,0),FALSE)/1,0))</f>
        <v/>
      </c>
      <c r="AA30" s="121" t="str">
        <f>IF($D30="","",IFERROR(VLOOKUP($B30,Kraftvärmeprod!$B$1:$BX$549,MATCH(AA$2,Kraftvärmeprod!$B$1:$VX$1,0),FALSE)/1,0)-IFERROR(VLOOKUP($B30,'Slutlig allokering kvv'!$B$2:$BX$549,MATCH(AA$2,'Slutlig allokering kvv'!$B$1:$BX$1,0),FALSE)/1,0))</f>
        <v/>
      </c>
      <c r="AB30" s="121" t="str">
        <f>IF($D30="","",IFERROR(VLOOKUP($B30,Kraftvärmeprod!$B$1:$BX$549,MATCH(AB$2,Kraftvärmeprod!$B$1:$VX$1,0),FALSE)/1,0)-IFERROR(VLOOKUP($B30,'Slutlig allokering kvv'!$B$2:$BX$549,MATCH(AB$2,'Slutlig allokering kvv'!$B$1:$BX$1,0),FALSE)/1,0))</f>
        <v/>
      </c>
      <c r="AC30" s="121" t="str">
        <f>IF($D30="","",IFERROR(VLOOKUP($B30,Kraftvärmeprod!$B$1:$BX$549,MATCH(AC$2,Kraftvärmeprod!$B$1:$VX$1,0),FALSE)/1,0)-IFERROR(VLOOKUP($B30,'Slutlig allokering kvv'!$B$2:$BX$549,MATCH(AC$2,'Slutlig allokering kvv'!$B$1:$BX$1,0),FALSE)/1,0))</f>
        <v/>
      </c>
      <c r="AD30" s="121" t="str">
        <f>IF($D30="","",IFERROR(VLOOKUP($B30,Kraftvärmeprod!$B$1:$BX$549,MATCH(AD$2,Kraftvärmeprod!$B$1:$VX$1,0),FALSE)/1,0)-IFERROR(VLOOKUP($B30,'Slutlig allokering kvv'!$B$2:$BX$549,MATCH(AD$2,'Slutlig allokering kvv'!$B$1:$BX$1,0),FALSE)/1,0))</f>
        <v/>
      </c>
      <c r="AE30" s="121" t="str">
        <f>IF($D30="","",IFERROR(VLOOKUP($B30,Miljö!$B$1:$E$550,MATCH("Hjälpel kraftvärme (GWh)",Miljö!$B$1:$E$1,0),FALSE)/1,0)-IFERROR(VLOOKUP($B30,'Slutlig allokering kvv'!$B$2:$BX$549,MATCH(AE$2,'Slutlig allokering kvv'!$B$1:$BX$1,0),FALSE)/1,0))</f>
        <v/>
      </c>
      <c r="AI30" s="121">
        <f t="shared" si="0"/>
        <v>0</v>
      </c>
      <c r="AK30" s="121">
        <f>IFERROR(VLOOKUP($B30,'Slutlig allokering kvv'!$B$2:$AX$549,MATCH("Summa slutlig allokerad tillförd energi (utan hjälpel och rökgaskondensering):",'Slutlig allokering kvv'!$B$1:$AX$1,0),FALSE)/1,"")</f>
        <v>0</v>
      </c>
      <c r="AM30" s="172" t="str">
        <f>IFERROR(1-VLOOKUP($B30,'Slutlig allokering kvv'!$B$2:$AX$549,MATCH("Andel av bränsle i kvv som allokerats till värme, exklusive rökgaskondensering och hjälpel",'Slutlig allokering kvv'!$B$1:$AX$1,0),FALSE),"")</f>
        <v/>
      </c>
      <c r="AO30" s="172" t="str">
        <f t="shared" si="1"/>
        <v/>
      </c>
      <c r="AP30" s="173" t="str">
        <f t="shared" si="2"/>
        <v/>
      </c>
      <c r="AR30" s="172" t="str">
        <f t="shared" si="3"/>
        <v/>
      </c>
    </row>
    <row r="31" spans="1:44" x14ac:dyDescent="0.25">
      <c r="A31" s="171" t="str">
        <f>'Miljövärden för publ företag'!B33</f>
        <v>Alvesta Energi AB</v>
      </c>
      <c r="B31" s="171" t="str">
        <f>'Miljövärden för publ företag'!C33</f>
        <v>Vislanda</v>
      </c>
      <c r="C31" s="121" t="str">
        <f>IFERROR(VLOOKUP($B31,Kraftvärmeprod!$B$1:$AH$478,MATCH(C$2,Kraftvärmeprod!$B$1:$AG$1,0),FALSE)/1,"")</f>
        <v/>
      </c>
      <c r="D31" s="121" t="str">
        <f>IFERROR(VLOOKUP($B31,Kraftvärmeprod!$B$1:$AH$478,MATCH(D$2,Kraftvärmeprod!$B$1:$AG$1,0),FALSE)/1,"")</f>
        <v/>
      </c>
      <c r="F31" s="121" t="str">
        <f>IF($D31="","",IFERROR(VLOOKUP($B31,Kraftvärmeprod!$B$1:$BX$549,MATCH(F$2,Kraftvärmeprod!$B$1:$VX$1,0),FALSE)/1,0)-IFERROR(VLOOKUP($B31,'Slutlig allokering kvv'!$B$2:$BX$549,MATCH(F$2,'Slutlig allokering kvv'!$B$1:$BX$1,0),FALSE)/1,0))</f>
        <v/>
      </c>
      <c r="G31" s="121" t="str">
        <f>IF($D31="","",IFERROR(VLOOKUP($B31,Kraftvärmeprod!$B$1:$BX$549,MATCH(G$2,Kraftvärmeprod!$B$1:$VX$1,0),FALSE)/1,0)-IFERROR(VLOOKUP($B31,'Slutlig allokering kvv'!$B$2:$BX$549,MATCH(G$2,'Slutlig allokering kvv'!$B$1:$BX$1,0),FALSE)/1,0))</f>
        <v/>
      </c>
      <c r="H31" s="121" t="str">
        <f>IF($D31="","",IFERROR(VLOOKUP($B31,Kraftvärmeprod!$B$1:$BX$549,MATCH(H$2,Kraftvärmeprod!$B$1:$VX$1,0),FALSE)/1,0)-IFERROR(VLOOKUP($B31,'Slutlig allokering kvv'!$B$2:$BX$549,MATCH(H$2,'Slutlig allokering kvv'!$B$1:$BX$1,0),FALSE)/1,0))</f>
        <v/>
      </c>
      <c r="I31" s="121" t="str">
        <f>IF($D31="","",IFERROR(VLOOKUP($B31,Kraftvärmeprod!$B$1:$BX$549,MATCH(I$2,Kraftvärmeprod!$B$1:$VX$1,0),FALSE)/1,0)-IFERROR(VLOOKUP($B31,'Slutlig allokering kvv'!$B$2:$BX$549,MATCH(I$2,'Slutlig allokering kvv'!$B$1:$BX$1,0),FALSE)/1,0))</f>
        <v/>
      </c>
      <c r="J31" s="121" t="str">
        <f>IF($D31="","",IFERROR(VLOOKUP($B31,Kraftvärmeprod!$B$1:$BX$549,MATCH(J$2,Kraftvärmeprod!$B$1:$VX$1,0),FALSE)/1,0)-IFERROR(VLOOKUP($B31,'Slutlig allokering kvv'!$B$2:$BX$549,MATCH(J$2,'Slutlig allokering kvv'!$B$1:$BX$1,0),FALSE)/1,0))</f>
        <v/>
      </c>
      <c r="K31" s="121" t="str">
        <f>IF($D31="","",IFERROR(VLOOKUP($B31,Kraftvärmeprod!$B$1:$BX$549,MATCH(K$2,Kraftvärmeprod!$B$1:$VX$1,0),FALSE)/1,0)-IFERROR(VLOOKUP($B31,'Slutlig allokering kvv'!$B$2:$BX$549,MATCH(K$2,'Slutlig allokering kvv'!$B$1:$BX$1,0),FALSE)/1,0))</f>
        <v/>
      </c>
      <c r="L31" s="121" t="str">
        <f>IF($D31="","",IFERROR(VLOOKUP($B31,Kraftvärmeprod!$B$1:$BX$549,MATCH(L$2,Kraftvärmeprod!$B$1:$VX$1,0),FALSE)/1,0)-IFERROR(VLOOKUP($B31,'Slutlig allokering kvv'!$B$2:$BX$549,MATCH(L$2,'Slutlig allokering kvv'!$B$1:$BX$1,0),FALSE)/1,0))</f>
        <v/>
      </c>
      <c r="M31" s="121" t="str">
        <f>IF($D31="","",IFERROR(VLOOKUP($B31,Kraftvärmeprod!$B$1:$BX$549,MATCH(M$2,Kraftvärmeprod!$B$1:$VX$1,0),FALSE)/1,0)-IFERROR(VLOOKUP($B31,'Slutlig allokering kvv'!$B$2:$BX$549,MATCH(M$2,'Slutlig allokering kvv'!$B$1:$BX$1,0),FALSE)/1,0))</f>
        <v/>
      </c>
      <c r="N31" s="121" t="str">
        <f>IF($D31="","",IFERROR(VLOOKUP($B31,Kraftvärmeprod!$B$1:$BX$549,MATCH(N$2,Kraftvärmeprod!$B$1:$VX$1,0),FALSE)/1,0)-IFERROR(VLOOKUP($B31,'Slutlig allokering kvv'!$B$2:$BX$549,MATCH(N$2,'Slutlig allokering kvv'!$B$1:$BX$1,0),FALSE)/1,0))</f>
        <v/>
      </c>
      <c r="O31" s="121" t="str">
        <f>IF($D31="","",IFERROR(VLOOKUP($B31,Kraftvärmeprod!$B$1:$BX$549,MATCH(O$2,Kraftvärmeprod!$B$1:$VX$1,0),FALSE)/1,0)-IFERROR(VLOOKUP($B31,'Slutlig allokering kvv'!$B$2:$BX$549,MATCH(O$2,'Slutlig allokering kvv'!$B$1:$BX$1,0),FALSE)/1,0))</f>
        <v/>
      </c>
      <c r="P31" s="121" t="str">
        <f>IF($D31="","",IFERROR(VLOOKUP($B31,Kraftvärmeprod!$B$1:$BX$549,MATCH(P$2,Kraftvärmeprod!$B$1:$VX$1,0),FALSE)/1,0)-IFERROR(VLOOKUP($B31,'Slutlig allokering kvv'!$B$2:$BX$549,MATCH(P$2,'Slutlig allokering kvv'!$B$1:$BX$1,0),FALSE)/1,0))</f>
        <v/>
      </c>
      <c r="Q31" s="121" t="str">
        <f>IF($D31="","",IFERROR(VLOOKUP($B31,Kraftvärmeprod!$B$1:$BX$549,MATCH(Q$2,Kraftvärmeprod!$B$1:$VX$1,0),FALSE)/1,0)-IFERROR(VLOOKUP($B31,'Slutlig allokering kvv'!$B$2:$BX$549,MATCH(Q$2,'Slutlig allokering kvv'!$B$1:$BX$1,0),FALSE)/1,0))</f>
        <v/>
      </c>
      <c r="R31" s="121" t="str">
        <f>IF($D31="","",IFERROR(VLOOKUP($B31,Kraftvärmeprod!$B$1:$BX$549,MATCH(R$2,Kraftvärmeprod!$B$1:$VX$1,0),FALSE)/1,0)-IFERROR(VLOOKUP($B31,'Slutlig allokering kvv'!$B$2:$BX$549,MATCH(R$2,'Slutlig allokering kvv'!$B$1:$BX$1,0),FALSE)/1,0))</f>
        <v/>
      </c>
      <c r="S31" s="121" t="str">
        <f>IF($D31="","",IFERROR(VLOOKUP($B31,Kraftvärmeprod!$B$1:$BX$549,MATCH(S$2,Kraftvärmeprod!$B$1:$VX$1,0),FALSE)/1,0)-IFERROR(VLOOKUP($B31,'Slutlig allokering kvv'!$B$2:$BX$549,MATCH(S$2,'Slutlig allokering kvv'!$B$1:$BX$1,0),FALSE)/1,0))</f>
        <v/>
      </c>
      <c r="T31" s="121" t="str">
        <f>IF($D31="","",IFERROR(VLOOKUP($B31,Kraftvärmeprod!$B$1:$BX$549,MATCH(T$2,Kraftvärmeprod!$B$1:$VX$1,0),FALSE)/1,0)-IFERROR(VLOOKUP($B31,'Slutlig allokering kvv'!$B$2:$BX$549,MATCH(T$2,'Slutlig allokering kvv'!$B$1:$BX$1,0),FALSE)/1,0))</f>
        <v/>
      </c>
      <c r="U31" s="121" t="str">
        <f>IF($D31="","",IFERROR(VLOOKUP($B31,Kraftvärmeprod!$B$1:$BX$549,MATCH(U$2,Kraftvärmeprod!$B$1:$VX$1,0),FALSE)/1,0)-IFERROR(VLOOKUP($B31,'Slutlig allokering kvv'!$B$2:$BX$549,MATCH(U$2,'Slutlig allokering kvv'!$B$1:$BX$1,0),FALSE)/1,0))</f>
        <v/>
      </c>
      <c r="V31" s="121" t="str">
        <f>IF($D31="","",IFERROR(VLOOKUP($B31,Kraftvärmeprod!$B$1:$BX$549,MATCH(V$2,Kraftvärmeprod!$B$1:$VX$1,0),FALSE)/1,0)-IFERROR(VLOOKUP($B31,'Slutlig allokering kvv'!$B$2:$BX$549,MATCH(V$2,'Slutlig allokering kvv'!$B$1:$BX$1,0),FALSE)/1,0))</f>
        <v/>
      </c>
      <c r="W31" s="121" t="str">
        <f>IF($D31="","",IFERROR(VLOOKUP($B31,Kraftvärmeprod!$B$1:$BX$549,MATCH(W$2,Kraftvärmeprod!$B$1:$VX$1,0),FALSE)/1,0)-IFERROR(VLOOKUP($B31,'Slutlig allokering kvv'!$B$2:$BX$549,MATCH(W$2,'Slutlig allokering kvv'!$B$1:$BX$1,0),FALSE)/1,0))</f>
        <v/>
      </c>
      <c r="X31" s="121" t="str">
        <f>IF($D31="","",IFERROR(VLOOKUP($B31,Kraftvärmeprod!$B$1:$BX$549,MATCH(X$2,Kraftvärmeprod!$B$1:$VX$1,0),FALSE)/1,0)-IFERROR(VLOOKUP($B31,'Slutlig allokering kvv'!$B$2:$BX$549,MATCH(X$2,'Slutlig allokering kvv'!$B$1:$BX$1,0),FALSE)/1,0))</f>
        <v/>
      </c>
      <c r="Y31" s="121" t="str">
        <f>IF($D31="","",IFERROR(VLOOKUP($B31,Kraftvärmeprod!$B$1:$BX$549,MATCH(Y$2,Kraftvärmeprod!$B$1:$VX$1,0),FALSE)/1,0)-IFERROR(VLOOKUP($B31,'Slutlig allokering kvv'!$B$2:$BX$549,MATCH(Y$2,'Slutlig allokering kvv'!$B$1:$BX$1,0),FALSE)/1,0))</f>
        <v/>
      </c>
      <c r="Z31" s="121" t="str">
        <f>IF($D31="","",IFERROR(VLOOKUP($B31,Kraftvärmeprod!$B$1:$BX$549,MATCH(Z$2,Kraftvärmeprod!$B$1:$VX$1,0),FALSE)/1,0)-IFERROR(VLOOKUP($B31,'Slutlig allokering kvv'!$B$2:$BX$549,MATCH(Z$2,'Slutlig allokering kvv'!$B$1:$BX$1,0),FALSE)/1,0))</f>
        <v/>
      </c>
      <c r="AA31" s="121" t="str">
        <f>IF($D31="","",IFERROR(VLOOKUP($B31,Kraftvärmeprod!$B$1:$BX$549,MATCH(AA$2,Kraftvärmeprod!$B$1:$VX$1,0),FALSE)/1,0)-IFERROR(VLOOKUP($B31,'Slutlig allokering kvv'!$B$2:$BX$549,MATCH(AA$2,'Slutlig allokering kvv'!$B$1:$BX$1,0),FALSE)/1,0))</f>
        <v/>
      </c>
      <c r="AB31" s="121" t="str">
        <f>IF($D31="","",IFERROR(VLOOKUP($B31,Kraftvärmeprod!$B$1:$BX$549,MATCH(AB$2,Kraftvärmeprod!$B$1:$VX$1,0),FALSE)/1,0)-IFERROR(VLOOKUP($B31,'Slutlig allokering kvv'!$B$2:$BX$549,MATCH(AB$2,'Slutlig allokering kvv'!$B$1:$BX$1,0),FALSE)/1,0))</f>
        <v/>
      </c>
      <c r="AC31" s="121" t="str">
        <f>IF($D31="","",IFERROR(VLOOKUP($B31,Kraftvärmeprod!$B$1:$BX$549,MATCH(AC$2,Kraftvärmeprod!$B$1:$VX$1,0),FALSE)/1,0)-IFERROR(VLOOKUP($B31,'Slutlig allokering kvv'!$B$2:$BX$549,MATCH(AC$2,'Slutlig allokering kvv'!$B$1:$BX$1,0),FALSE)/1,0))</f>
        <v/>
      </c>
      <c r="AD31" s="121" t="str">
        <f>IF($D31="","",IFERROR(VLOOKUP($B31,Kraftvärmeprod!$B$1:$BX$549,MATCH(AD$2,Kraftvärmeprod!$B$1:$VX$1,0),FALSE)/1,0)-IFERROR(VLOOKUP($B31,'Slutlig allokering kvv'!$B$2:$BX$549,MATCH(AD$2,'Slutlig allokering kvv'!$B$1:$BX$1,0),FALSE)/1,0))</f>
        <v/>
      </c>
      <c r="AE31" s="121" t="str">
        <f>IF($D31="","",IFERROR(VLOOKUP($B31,Miljö!$B$1:$E$550,MATCH("Hjälpel kraftvärme (GWh)",Miljö!$B$1:$E$1,0),FALSE)/1,0)-IFERROR(VLOOKUP($B31,'Slutlig allokering kvv'!$B$2:$BX$549,MATCH(AE$2,'Slutlig allokering kvv'!$B$1:$BX$1,0),FALSE)/1,0))</f>
        <v/>
      </c>
      <c r="AI31" s="121">
        <f t="shared" si="0"/>
        <v>0</v>
      </c>
      <c r="AK31" s="121">
        <f>IFERROR(VLOOKUP($B31,'Slutlig allokering kvv'!$B$2:$AX$549,MATCH("Summa slutlig allokerad tillförd energi (utan hjälpel och rökgaskondensering):",'Slutlig allokering kvv'!$B$1:$AX$1,0),FALSE)/1,"")</f>
        <v>0</v>
      </c>
      <c r="AM31" s="172" t="str">
        <f>IFERROR(1-VLOOKUP($B31,'Slutlig allokering kvv'!$B$2:$AX$549,MATCH("Andel av bränsle i kvv som allokerats till värme, exklusive rökgaskondensering och hjälpel",'Slutlig allokering kvv'!$B$1:$AX$1,0),FALSE),"")</f>
        <v/>
      </c>
      <c r="AO31" s="172" t="str">
        <f t="shared" si="1"/>
        <v/>
      </c>
      <c r="AP31" s="173" t="str">
        <f t="shared" si="2"/>
        <v/>
      </c>
      <c r="AR31" s="172" t="str">
        <f t="shared" si="3"/>
        <v/>
      </c>
    </row>
    <row r="32" spans="1:44" x14ac:dyDescent="0.25">
      <c r="A32" s="171" t="str">
        <f>'Miljövärden för publ företag'!B34</f>
        <v>Aneby Miljö &amp; Vatten AB</v>
      </c>
      <c r="B32" s="171" t="str">
        <f>'Miljövärden för publ företag'!C34</f>
        <v xml:space="preserve">Aneby </v>
      </c>
      <c r="C32" s="121" t="str">
        <f>IFERROR(VLOOKUP($B32,Kraftvärmeprod!$B$1:$AH$478,MATCH(C$2,Kraftvärmeprod!$B$1:$AG$1,0),FALSE)/1,"")</f>
        <v/>
      </c>
      <c r="D32" s="121" t="str">
        <f>IFERROR(VLOOKUP($B32,Kraftvärmeprod!$B$1:$AH$478,MATCH(D$2,Kraftvärmeprod!$B$1:$AG$1,0),FALSE)/1,"")</f>
        <v/>
      </c>
      <c r="F32" s="121" t="str">
        <f>IF($D32="","",IFERROR(VLOOKUP($B32,Kraftvärmeprod!$B$1:$BX$549,MATCH(F$2,Kraftvärmeprod!$B$1:$VX$1,0),FALSE)/1,0)-IFERROR(VLOOKUP($B32,'Slutlig allokering kvv'!$B$2:$BX$549,MATCH(F$2,'Slutlig allokering kvv'!$B$1:$BX$1,0),FALSE)/1,0))</f>
        <v/>
      </c>
      <c r="G32" s="121" t="str">
        <f>IF($D32="","",IFERROR(VLOOKUP($B32,Kraftvärmeprod!$B$1:$BX$549,MATCH(G$2,Kraftvärmeprod!$B$1:$VX$1,0),FALSE)/1,0)-IFERROR(VLOOKUP($B32,'Slutlig allokering kvv'!$B$2:$BX$549,MATCH(G$2,'Slutlig allokering kvv'!$B$1:$BX$1,0),FALSE)/1,0))</f>
        <v/>
      </c>
      <c r="H32" s="121" t="str">
        <f>IF($D32="","",IFERROR(VLOOKUP($B32,Kraftvärmeprod!$B$1:$BX$549,MATCH(H$2,Kraftvärmeprod!$B$1:$VX$1,0),FALSE)/1,0)-IFERROR(VLOOKUP($B32,'Slutlig allokering kvv'!$B$2:$BX$549,MATCH(H$2,'Slutlig allokering kvv'!$B$1:$BX$1,0),FALSE)/1,0))</f>
        <v/>
      </c>
      <c r="I32" s="121" t="str">
        <f>IF($D32="","",IFERROR(VLOOKUP($B32,Kraftvärmeprod!$B$1:$BX$549,MATCH(I$2,Kraftvärmeprod!$B$1:$VX$1,0),FALSE)/1,0)-IFERROR(VLOOKUP($B32,'Slutlig allokering kvv'!$B$2:$BX$549,MATCH(I$2,'Slutlig allokering kvv'!$B$1:$BX$1,0),FALSE)/1,0))</f>
        <v/>
      </c>
      <c r="J32" s="121" t="str">
        <f>IF($D32="","",IFERROR(VLOOKUP($B32,Kraftvärmeprod!$B$1:$BX$549,MATCH(J$2,Kraftvärmeprod!$B$1:$VX$1,0),FALSE)/1,0)-IFERROR(VLOOKUP($B32,'Slutlig allokering kvv'!$B$2:$BX$549,MATCH(J$2,'Slutlig allokering kvv'!$B$1:$BX$1,0),FALSE)/1,0))</f>
        <v/>
      </c>
      <c r="K32" s="121" t="str">
        <f>IF($D32="","",IFERROR(VLOOKUP($B32,Kraftvärmeprod!$B$1:$BX$549,MATCH(K$2,Kraftvärmeprod!$B$1:$VX$1,0),FALSE)/1,0)-IFERROR(VLOOKUP($B32,'Slutlig allokering kvv'!$B$2:$BX$549,MATCH(K$2,'Slutlig allokering kvv'!$B$1:$BX$1,0),FALSE)/1,0))</f>
        <v/>
      </c>
      <c r="L32" s="121" t="str">
        <f>IF($D32="","",IFERROR(VLOOKUP($B32,Kraftvärmeprod!$B$1:$BX$549,MATCH(L$2,Kraftvärmeprod!$B$1:$VX$1,0),FALSE)/1,0)-IFERROR(VLOOKUP($B32,'Slutlig allokering kvv'!$B$2:$BX$549,MATCH(L$2,'Slutlig allokering kvv'!$B$1:$BX$1,0),FALSE)/1,0))</f>
        <v/>
      </c>
      <c r="M32" s="121" t="str">
        <f>IF($D32="","",IFERROR(VLOOKUP($B32,Kraftvärmeprod!$B$1:$BX$549,MATCH(M$2,Kraftvärmeprod!$B$1:$VX$1,0),FALSE)/1,0)-IFERROR(VLOOKUP($B32,'Slutlig allokering kvv'!$B$2:$BX$549,MATCH(M$2,'Slutlig allokering kvv'!$B$1:$BX$1,0),FALSE)/1,0))</f>
        <v/>
      </c>
      <c r="N32" s="121" t="str">
        <f>IF($D32="","",IFERROR(VLOOKUP($B32,Kraftvärmeprod!$B$1:$BX$549,MATCH(N$2,Kraftvärmeprod!$B$1:$VX$1,0),FALSE)/1,0)-IFERROR(VLOOKUP($B32,'Slutlig allokering kvv'!$B$2:$BX$549,MATCH(N$2,'Slutlig allokering kvv'!$B$1:$BX$1,0),FALSE)/1,0))</f>
        <v/>
      </c>
      <c r="O32" s="121" t="str">
        <f>IF($D32="","",IFERROR(VLOOKUP($B32,Kraftvärmeprod!$B$1:$BX$549,MATCH(O$2,Kraftvärmeprod!$B$1:$VX$1,0),FALSE)/1,0)-IFERROR(VLOOKUP($B32,'Slutlig allokering kvv'!$B$2:$BX$549,MATCH(O$2,'Slutlig allokering kvv'!$B$1:$BX$1,0),FALSE)/1,0))</f>
        <v/>
      </c>
      <c r="P32" s="121" t="str">
        <f>IF($D32="","",IFERROR(VLOOKUP($B32,Kraftvärmeprod!$B$1:$BX$549,MATCH(P$2,Kraftvärmeprod!$B$1:$VX$1,0),FALSE)/1,0)-IFERROR(VLOOKUP($B32,'Slutlig allokering kvv'!$B$2:$BX$549,MATCH(P$2,'Slutlig allokering kvv'!$B$1:$BX$1,0),FALSE)/1,0))</f>
        <v/>
      </c>
      <c r="Q32" s="121" t="str">
        <f>IF($D32="","",IFERROR(VLOOKUP($B32,Kraftvärmeprod!$B$1:$BX$549,MATCH(Q$2,Kraftvärmeprod!$B$1:$VX$1,0),FALSE)/1,0)-IFERROR(VLOOKUP($B32,'Slutlig allokering kvv'!$B$2:$BX$549,MATCH(Q$2,'Slutlig allokering kvv'!$B$1:$BX$1,0),FALSE)/1,0))</f>
        <v/>
      </c>
      <c r="R32" s="121" t="str">
        <f>IF($D32="","",IFERROR(VLOOKUP($B32,Kraftvärmeprod!$B$1:$BX$549,MATCH(R$2,Kraftvärmeprod!$B$1:$VX$1,0),FALSE)/1,0)-IFERROR(VLOOKUP($B32,'Slutlig allokering kvv'!$B$2:$BX$549,MATCH(R$2,'Slutlig allokering kvv'!$B$1:$BX$1,0),FALSE)/1,0))</f>
        <v/>
      </c>
      <c r="S32" s="121" t="str">
        <f>IF($D32="","",IFERROR(VLOOKUP($B32,Kraftvärmeprod!$B$1:$BX$549,MATCH(S$2,Kraftvärmeprod!$B$1:$VX$1,0),FALSE)/1,0)-IFERROR(VLOOKUP($B32,'Slutlig allokering kvv'!$B$2:$BX$549,MATCH(S$2,'Slutlig allokering kvv'!$B$1:$BX$1,0),FALSE)/1,0))</f>
        <v/>
      </c>
      <c r="T32" s="121" t="str">
        <f>IF($D32="","",IFERROR(VLOOKUP($B32,Kraftvärmeprod!$B$1:$BX$549,MATCH(T$2,Kraftvärmeprod!$B$1:$VX$1,0),FALSE)/1,0)-IFERROR(VLOOKUP($B32,'Slutlig allokering kvv'!$B$2:$BX$549,MATCH(T$2,'Slutlig allokering kvv'!$B$1:$BX$1,0),FALSE)/1,0))</f>
        <v/>
      </c>
      <c r="U32" s="121" t="str">
        <f>IF($D32="","",IFERROR(VLOOKUP($B32,Kraftvärmeprod!$B$1:$BX$549,MATCH(U$2,Kraftvärmeprod!$B$1:$VX$1,0),FALSE)/1,0)-IFERROR(VLOOKUP($B32,'Slutlig allokering kvv'!$B$2:$BX$549,MATCH(U$2,'Slutlig allokering kvv'!$B$1:$BX$1,0),FALSE)/1,0))</f>
        <v/>
      </c>
      <c r="V32" s="121" t="str">
        <f>IF($D32="","",IFERROR(VLOOKUP($B32,Kraftvärmeprod!$B$1:$BX$549,MATCH(V$2,Kraftvärmeprod!$B$1:$VX$1,0),FALSE)/1,0)-IFERROR(VLOOKUP($B32,'Slutlig allokering kvv'!$B$2:$BX$549,MATCH(V$2,'Slutlig allokering kvv'!$B$1:$BX$1,0),FALSE)/1,0))</f>
        <v/>
      </c>
      <c r="W32" s="121" t="str">
        <f>IF($D32="","",IFERROR(VLOOKUP($B32,Kraftvärmeprod!$B$1:$BX$549,MATCH(W$2,Kraftvärmeprod!$B$1:$VX$1,0),FALSE)/1,0)-IFERROR(VLOOKUP($B32,'Slutlig allokering kvv'!$B$2:$BX$549,MATCH(W$2,'Slutlig allokering kvv'!$B$1:$BX$1,0),FALSE)/1,0))</f>
        <v/>
      </c>
      <c r="X32" s="121" t="str">
        <f>IF($D32="","",IFERROR(VLOOKUP($B32,Kraftvärmeprod!$B$1:$BX$549,MATCH(X$2,Kraftvärmeprod!$B$1:$VX$1,0),FALSE)/1,0)-IFERROR(VLOOKUP($B32,'Slutlig allokering kvv'!$B$2:$BX$549,MATCH(X$2,'Slutlig allokering kvv'!$B$1:$BX$1,0),FALSE)/1,0))</f>
        <v/>
      </c>
      <c r="Y32" s="121" t="str">
        <f>IF($D32="","",IFERROR(VLOOKUP($B32,Kraftvärmeprod!$B$1:$BX$549,MATCH(Y$2,Kraftvärmeprod!$B$1:$VX$1,0),FALSE)/1,0)-IFERROR(VLOOKUP($B32,'Slutlig allokering kvv'!$B$2:$BX$549,MATCH(Y$2,'Slutlig allokering kvv'!$B$1:$BX$1,0),FALSE)/1,0))</f>
        <v/>
      </c>
      <c r="Z32" s="121" t="str">
        <f>IF($D32="","",IFERROR(VLOOKUP($B32,Kraftvärmeprod!$B$1:$BX$549,MATCH(Z$2,Kraftvärmeprod!$B$1:$VX$1,0),FALSE)/1,0)-IFERROR(VLOOKUP($B32,'Slutlig allokering kvv'!$B$2:$BX$549,MATCH(Z$2,'Slutlig allokering kvv'!$B$1:$BX$1,0),FALSE)/1,0))</f>
        <v/>
      </c>
      <c r="AA32" s="121" t="str">
        <f>IF($D32="","",IFERROR(VLOOKUP($B32,Kraftvärmeprod!$B$1:$BX$549,MATCH(AA$2,Kraftvärmeprod!$B$1:$VX$1,0),FALSE)/1,0)-IFERROR(VLOOKUP($B32,'Slutlig allokering kvv'!$B$2:$BX$549,MATCH(AA$2,'Slutlig allokering kvv'!$B$1:$BX$1,0),FALSE)/1,0))</f>
        <v/>
      </c>
      <c r="AB32" s="121" t="str">
        <f>IF($D32="","",IFERROR(VLOOKUP($B32,Kraftvärmeprod!$B$1:$BX$549,MATCH(AB$2,Kraftvärmeprod!$B$1:$VX$1,0),FALSE)/1,0)-IFERROR(VLOOKUP($B32,'Slutlig allokering kvv'!$B$2:$BX$549,MATCH(AB$2,'Slutlig allokering kvv'!$B$1:$BX$1,0),FALSE)/1,0))</f>
        <v/>
      </c>
      <c r="AC32" s="121" t="str">
        <f>IF($D32="","",IFERROR(VLOOKUP($B32,Kraftvärmeprod!$B$1:$BX$549,MATCH(AC$2,Kraftvärmeprod!$B$1:$VX$1,0),FALSE)/1,0)-IFERROR(VLOOKUP($B32,'Slutlig allokering kvv'!$B$2:$BX$549,MATCH(AC$2,'Slutlig allokering kvv'!$B$1:$BX$1,0),FALSE)/1,0))</f>
        <v/>
      </c>
      <c r="AD32" s="121" t="str">
        <f>IF($D32="","",IFERROR(VLOOKUP($B32,Kraftvärmeprod!$B$1:$BX$549,MATCH(AD$2,Kraftvärmeprod!$B$1:$VX$1,0),FALSE)/1,0)-IFERROR(VLOOKUP($B32,'Slutlig allokering kvv'!$B$2:$BX$549,MATCH(AD$2,'Slutlig allokering kvv'!$B$1:$BX$1,0),FALSE)/1,0))</f>
        <v/>
      </c>
      <c r="AE32" s="121" t="str">
        <f>IF($D32="","",IFERROR(VLOOKUP($B32,Miljö!$B$1:$E$550,MATCH("Hjälpel kraftvärme (GWh)",Miljö!$B$1:$E$1,0),FALSE)/1,0)-IFERROR(VLOOKUP($B32,'Slutlig allokering kvv'!$B$2:$BX$549,MATCH(AE$2,'Slutlig allokering kvv'!$B$1:$BX$1,0),FALSE)/1,0))</f>
        <v/>
      </c>
      <c r="AI32" s="121">
        <f t="shared" si="0"/>
        <v>0</v>
      </c>
      <c r="AK32" s="121">
        <f>IFERROR(VLOOKUP($B32,'Slutlig allokering kvv'!$B$2:$AX$549,MATCH("Summa slutlig allokerad tillförd energi (utan hjälpel och rökgaskondensering):",'Slutlig allokering kvv'!$B$1:$AX$1,0),FALSE)/1,"")</f>
        <v>0</v>
      </c>
      <c r="AM32" s="172" t="str">
        <f>IFERROR(1-VLOOKUP($B32,'Slutlig allokering kvv'!$B$2:$AX$549,MATCH("Andel av bränsle i kvv som allokerats till värme, exklusive rökgaskondensering och hjälpel",'Slutlig allokering kvv'!$B$1:$AX$1,0),FALSE),"")</f>
        <v/>
      </c>
      <c r="AO32" s="172" t="str">
        <f t="shared" si="1"/>
        <v/>
      </c>
      <c r="AP32" s="173" t="str">
        <f t="shared" si="2"/>
        <v/>
      </c>
      <c r="AR32" s="172" t="str">
        <f t="shared" si="3"/>
        <v/>
      </c>
    </row>
    <row r="33" spans="1:44" x14ac:dyDescent="0.25">
      <c r="A33" s="171" t="str">
        <f>'Miljövärden för publ företag'!B35</f>
        <v>Arvika Fjärrvärme AB</v>
      </c>
      <c r="B33" s="171" t="str">
        <f>'Miljövärden för publ företag'!C35</f>
        <v>Arvika</v>
      </c>
      <c r="C33" s="121" t="str">
        <f>IFERROR(VLOOKUP($B33,Kraftvärmeprod!$B$1:$AH$478,MATCH(C$2,Kraftvärmeprod!$B$1:$AG$1,0),FALSE)/1,"")</f>
        <v/>
      </c>
      <c r="D33" s="121" t="str">
        <f>IFERROR(VLOOKUP($B33,Kraftvärmeprod!$B$1:$AH$478,MATCH(D$2,Kraftvärmeprod!$B$1:$AG$1,0),FALSE)/1,"")</f>
        <v/>
      </c>
      <c r="F33" s="121" t="str">
        <f>IF($D33="","",IFERROR(VLOOKUP($B33,Kraftvärmeprod!$B$1:$BX$549,MATCH(F$2,Kraftvärmeprod!$B$1:$VX$1,0),FALSE)/1,0)-IFERROR(VLOOKUP($B33,'Slutlig allokering kvv'!$B$2:$BX$549,MATCH(F$2,'Slutlig allokering kvv'!$B$1:$BX$1,0),FALSE)/1,0))</f>
        <v/>
      </c>
      <c r="G33" s="121" t="str">
        <f>IF($D33="","",IFERROR(VLOOKUP($B33,Kraftvärmeprod!$B$1:$BX$549,MATCH(G$2,Kraftvärmeprod!$B$1:$VX$1,0),FALSE)/1,0)-IFERROR(VLOOKUP($B33,'Slutlig allokering kvv'!$B$2:$BX$549,MATCH(G$2,'Slutlig allokering kvv'!$B$1:$BX$1,0),FALSE)/1,0))</f>
        <v/>
      </c>
      <c r="H33" s="121" t="str">
        <f>IF($D33="","",IFERROR(VLOOKUP($B33,Kraftvärmeprod!$B$1:$BX$549,MATCH(H$2,Kraftvärmeprod!$B$1:$VX$1,0),FALSE)/1,0)-IFERROR(VLOOKUP($B33,'Slutlig allokering kvv'!$B$2:$BX$549,MATCH(H$2,'Slutlig allokering kvv'!$B$1:$BX$1,0),FALSE)/1,0))</f>
        <v/>
      </c>
      <c r="I33" s="121" t="str">
        <f>IF($D33="","",IFERROR(VLOOKUP($B33,Kraftvärmeprod!$B$1:$BX$549,MATCH(I$2,Kraftvärmeprod!$B$1:$VX$1,0),FALSE)/1,0)-IFERROR(VLOOKUP($B33,'Slutlig allokering kvv'!$B$2:$BX$549,MATCH(I$2,'Slutlig allokering kvv'!$B$1:$BX$1,0),FALSE)/1,0))</f>
        <v/>
      </c>
      <c r="J33" s="121" t="str">
        <f>IF($D33="","",IFERROR(VLOOKUP($B33,Kraftvärmeprod!$B$1:$BX$549,MATCH(J$2,Kraftvärmeprod!$B$1:$VX$1,0),FALSE)/1,0)-IFERROR(VLOOKUP($B33,'Slutlig allokering kvv'!$B$2:$BX$549,MATCH(J$2,'Slutlig allokering kvv'!$B$1:$BX$1,0),FALSE)/1,0))</f>
        <v/>
      </c>
      <c r="K33" s="121" t="str">
        <f>IF($D33="","",IFERROR(VLOOKUP($B33,Kraftvärmeprod!$B$1:$BX$549,MATCH(K$2,Kraftvärmeprod!$B$1:$VX$1,0),FALSE)/1,0)-IFERROR(VLOOKUP($B33,'Slutlig allokering kvv'!$B$2:$BX$549,MATCH(K$2,'Slutlig allokering kvv'!$B$1:$BX$1,0),FALSE)/1,0))</f>
        <v/>
      </c>
      <c r="L33" s="121" t="str">
        <f>IF($D33="","",IFERROR(VLOOKUP($B33,Kraftvärmeprod!$B$1:$BX$549,MATCH(L$2,Kraftvärmeprod!$B$1:$VX$1,0),FALSE)/1,0)-IFERROR(VLOOKUP($B33,'Slutlig allokering kvv'!$B$2:$BX$549,MATCH(L$2,'Slutlig allokering kvv'!$B$1:$BX$1,0),FALSE)/1,0))</f>
        <v/>
      </c>
      <c r="M33" s="121" t="str">
        <f>IF($D33="","",IFERROR(VLOOKUP($B33,Kraftvärmeprod!$B$1:$BX$549,MATCH(M$2,Kraftvärmeprod!$B$1:$VX$1,0),FALSE)/1,0)-IFERROR(VLOOKUP($B33,'Slutlig allokering kvv'!$B$2:$BX$549,MATCH(M$2,'Slutlig allokering kvv'!$B$1:$BX$1,0),FALSE)/1,0))</f>
        <v/>
      </c>
      <c r="N33" s="121" t="str">
        <f>IF($D33="","",IFERROR(VLOOKUP($B33,Kraftvärmeprod!$B$1:$BX$549,MATCH(N$2,Kraftvärmeprod!$B$1:$VX$1,0),FALSE)/1,0)-IFERROR(VLOOKUP($B33,'Slutlig allokering kvv'!$B$2:$BX$549,MATCH(N$2,'Slutlig allokering kvv'!$B$1:$BX$1,0),FALSE)/1,0))</f>
        <v/>
      </c>
      <c r="O33" s="121" t="str">
        <f>IF($D33="","",IFERROR(VLOOKUP($B33,Kraftvärmeprod!$B$1:$BX$549,MATCH(O$2,Kraftvärmeprod!$B$1:$VX$1,0),FALSE)/1,0)-IFERROR(VLOOKUP($B33,'Slutlig allokering kvv'!$B$2:$BX$549,MATCH(O$2,'Slutlig allokering kvv'!$B$1:$BX$1,0),FALSE)/1,0))</f>
        <v/>
      </c>
      <c r="P33" s="121" t="str">
        <f>IF($D33="","",IFERROR(VLOOKUP($B33,Kraftvärmeprod!$B$1:$BX$549,MATCH(P$2,Kraftvärmeprod!$B$1:$VX$1,0),FALSE)/1,0)-IFERROR(VLOOKUP($B33,'Slutlig allokering kvv'!$B$2:$BX$549,MATCH(P$2,'Slutlig allokering kvv'!$B$1:$BX$1,0),FALSE)/1,0))</f>
        <v/>
      </c>
      <c r="Q33" s="121" t="str">
        <f>IF($D33="","",IFERROR(VLOOKUP($B33,Kraftvärmeprod!$B$1:$BX$549,MATCH(Q$2,Kraftvärmeprod!$B$1:$VX$1,0),FALSE)/1,0)-IFERROR(VLOOKUP($B33,'Slutlig allokering kvv'!$B$2:$BX$549,MATCH(Q$2,'Slutlig allokering kvv'!$B$1:$BX$1,0),FALSE)/1,0))</f>
        <v/>
      </c>
      <c r="R33" s="121" t="str">
        <f>IF($D33="","",IFERROR(VLOOKUP($B33,Kraftvärmeprod!$B$1:$BX$549,MATCH(R$2,Kraftvärmeprod!$B$1:$VX$1,0),FALSE)/1,0)-IFERROR(VLOOKUP($B33,'Slutlig allokering kvv'!$B$2:$BX$549,MATCH(R$2,'Slutlig allokering kvv'!$B$1:$BX$1,0),FALSE)/1,0))</f>
        <v/>
      </c>
      <c r="S33" s="121" t="str">
        <f>IF($D33="","",IFERROR(VLOOKUP($B33,Kraftvärmeprod!$B$1:$BX$549,MATCH(S$2,Kraftvärmeprod!$B$1:$VX$1,0),FALSE)/1,0)-IFERROR(VLOOKUP($B33,'Slutlig allokering kvv'!$B$2:$BX$549,MATCH(S$2,'Slutlig allokering kvv'!$B$1:$BX$1,0),FALSE)/1,0))</f>
        <v/>
      </c>
      <c r="T33" s="121" t="str">
        <f>IF($D33="","",IFERROR(VLOOKUP($B33,Kraftvärmeprod!$B$1:$BX$549,MATCH(T$2,Kraftvärmeprod!$B$1:$VX$1,0),FALSE)/1,0)-IFERROR(VLOOKUP($B33,'Slutlig allokering kvv'!$B$2:$BX$549,MATCH(T$2,'Slutlig allokering kvv'!$B$1:$BX$1,0),FALSE)/1,0))</f>
        <v/>
      </c>
      <c r="U33" s="121" t="str">
        <f>IF($D33="","",IFERROR(VLOOKUP($B33,Kraftvärmeprod!$B$1:$BX$549,MATCH(U$2,Kraftvärmeprod!$B$1:$VX$1,0),FALSE)/1,0)-IFERROR(VLOOKUP($B33,'Slutlig allokering kvv'!$B$2:$BX$549,MATCH(U$2,'Slutlig allokering kvv'!$B$1:$BX$1,0),FALSE)/1,0))</f>
        <v/>
      </c>
      <c r="V33" s="121" t="str">
        <f>IF($D33="","",IFERROR(VLOOKUP($B33,Kraftvärmeprod!$B$1:$BX$549,MATCH(V$2,Kraftvärmeprod!$B$1:$VX$1,0),FALSE)/1,0)-IFERROR(VLOOKUP($B33,'Slutlig allokering kvv'!$B$2:$BX$549,MATCH(V$2,'Slutlig allokering kvv'!$B$1:$BX$1,0),FALSE)/1,0))</f>
        <v/>
      </c>
      <c r="W33" s="121" t="str">
        <f>IF($D33="","",IFERROR(VLOOKUP($B33,Kraftvärmeprod!$B$1:$BX$549,MATCH(W$2,Kraftvärmeprod!$B$1:$VX$1,0),FALSE)/1,0)-IFERROR(VLOOKUP($B33,'Slutlig allokering kvv'!$B$2:$BX$549,MATCH(W$2,'Slutlig allokering kvv'!$B$1:$BX$1,0),FALSE)/1,0))</f>
        <v/>
      </c>
      <c r="X33" s="121" t="str">
        <f>IF($D33="","",IFERROR(VLOOKUP($B33,Kraftvärmeprod!$B$1:$BX$549,MATCH(X$2,Kraftvärmeprod!$B$1:$VX$1,0),FALSE)/1,0)-IFERROR(VLOOKUP($B33,'Slutlig allokering kvv'!$B$2:$BX$549,MATCH(X$2,'Slutlig allokering kvv'!$B$1:$BX$1,0),FALSE)/1,0))</f>
        <v/>
      </c>
      <c r="Y33" s="121" t="str">
        <f>IF($D33="","",IFERROR(VLOOKUP($B33,Kraftvärmeprod!$B$1:$BX$549,MATCH(Y$2,Kraftvärmeprod!$B$1:$VX$1,0),FALSE)/1,0)-IFERROR(VLOOKUP($B33,'Slutlig allokering kvv'!$B$2:$BX$549,MATCH(Y$2,'Slutlig allokering kvv'!$B$1:$BX$1,0),FALSE)/1,0))</f>
        <v/>
      </c>
      <c r="Z33" s="121" t="str">
        <f>IF($D33="","",IFERROR(VLOOKUP($B33,Kraftvärmeprod!$B$1:$BX$549,MATCH(Z$2,Kraftvärmeprod!$B$1:$VX$1,0),FALSE)/1,0)-IFERROR(VLOOKUP($B33,'Slutlig allokering kvv'!$B$2:$BX$549,MATCH(Z$2,'Slutlig allokering kvv'!$B$1:$BX$1,0),FALSE)/1,0))</f>
        <v/>
      </c>
      <c r="AA33" s="121" t="str">
        <f>IF($D33="","",IFERROR(VLOOKUP($B33,Kraftvärmeprod!$B$1:$BX$549,MATCH(AA$2,Kraftvärmeprod!$B$1:$VX$1,0),FALSE)/1,0)-IFERROR(VLOOKUP($B33,'Slutlig allokering kvv'!$B$2:$BX$549,MATCH(AA$2,'Slutlig allokering kvv'!$B$1:$BX$1,0),FALSE)/1,0))</f>
        <v/>
      </c>
      <c r="AB33" s="121" t="str">
        <f>IF($D33="","",IFERROR(VLOOKUP($B33,Kraftvärmeprod!$B$1:$BX$549,MATCH(AB$2,Kraftvärmeprod!$B$1:$VX$1,0),FALSE)/1,0)-IFERROR(VLOOKUP($B33,'Slutlig allokering kvv'!$B$2:$BX$549,MATCH(AB$2,'Slutlig allokering kvv'!$B$1:$BX$1,0),FALSE)/1,0))</f>
        <v/>
      </c>
      <c r="AC33" s="121" t="str">
        <f>IF($D33="","",IFERROR(VLOOKUP($B33,Kraftvärmeprod!$B$1:$BX$549,MATCH(AC$2,Kraftvärmeprod!$B$1:$VX$1,0),FALSE)/1,0)-IFERROR(VLOOKUP($B33,'Slutlig allokering kvv'!$B$2:$BX$549,MATCH(AC$2,'Slutlig allokering kvv'!$B$1:$BX$1,0),FALSE)/1,0))</f>
        <v/>
      </c>
      <c r="AD33" s="121" t="str">
        <f>IF($D33="","",IFERROR(VLOOKUP($B33,Kraftvärmeprod!$B$1:$BX$549,MATCH(AD$2,Kraftvärmeprod!$B$1:$VX$1,0),FALSE)/1,0)-IFERROR(VLOOKUP($B33,'Slutlig allokering kvv'!$B$2:$BX$549,MATCH(AD$2,'Slutlig allokering kvv'!$B$1:$BX$1,0),FALSE)/1,0))</f>
        <v/>
      </c>
      <c r="AE33" s="121" t="str">
        <f>IF($D33="","",IFERROR(VLOOKUP($B33,Miljö!$B$1:$E$550,MATCH("Hjälpel kraftvärme (GWh)",Miljö!$B$1:$E$1,0),FALSE)/1,0)-IFERROR(VLOOKUP($B33,'Slutlig allokering kvv'!$B$2:$BX$549,MATCH(AE$2,'Slutlig allokering kvv'!$B$1:$BX$1,0),FALSE)/1,0))</f>
        <v/>
      </c>
      <c r="AI33" s="121">
        <f t="shared" si="0"/>
        <v>0</v>
      </c>
      <c r="AK33" s="121">
        <f>IFERROR(VLOOKUP($B33,'Slutlig allokering kvv'!$B$2:$AX$549,MATCH("Summa slutlig allokerad tillförd energi (utan hjälpel och rökgaskondensering):",'Slutlig allokering kvv'!$B$1:$AX$1,0),FALSE)/1,"")</f>
        <v>0</v>
      </c>
      <c r="AM33" s="172" t="str">
        <f>IFERROR(1-VLOOKUP($B33,'Slutlig allokering kvv'!$B$2:$AX$549,MATCH("Andel av bränsle i kvv som allokerats till värme, exklusive rökgaskondensering och hjälpel",'Slutlig allokering kvv'!$B$1:$AX$1,0),FALSE),"")</f>
        <v/>
      </c>
      <c r="AO33" s="172" t="str">
        <f t="shared" si="1"/>
        <v/>
      </c>
      <c r="AP33" s="173" t="str">
        <f t="shared" si="2"/>
        <v/>
      </c>
      <c r="AR33" s="172" t="str">
        <f t="shared" si="3"/>
        <v/>
      </c>
    </row>
    <row r="34" spans="1:44" x14ac:dyDescent="0.25">
      <c r="A34" s="171" t="str">
        <f>'Miljövärden för publ företag'!B36</f>
        <v>Bengtsfors Energi</v>
      </c>
      <c r="B34" s="171" t="str">
        <f>'Miljövärden för publ företag'!C36</f>
        <v>Bengtsfors</v>
      </c>
      <c r="C34" s="121" t="str">
        <f>IFERROR(VLOOKUP($B34,Kraftvärmeprod!$B$1:$AH$478,MATCH(C$2,Kraftvärmeprod!$B$1:$AG$1,0),FALSE)/1,"")</f>
        <v/>
      </c>
      <c r="D34" s="121" t="str">
        <f>IFERROR(VLOOKUP($B34,Kraftvärmeprod!$B$1:$AH$478,MATCH(D$2,Kraftvärmeprod!$B$1:$AG$1,0),FALSE)/1,"")</f>
        <v/>
      </c>
      <c r="F34" s="121" t="str">
        <f>IF($D34="","",IFERROR(VLOOKUP($B34,Kraftvärmeprod!$B$1:$BX$549,MATCH(F$2,Kraftvärmeprod!$B$1:$VX$1,0),FALSE)/1,0)-IFERROR(VLOOKUP($B34,'Slutlig allokering kvv'!$B$2:$BX$549,MATCH(F$2,'Slutlig allokering kvv'!$B$1:$BX$1,0),FALSE)/1,0))</f>
        <v/>
      </c>
      <c r="G34" s="121" t="str">
        <f>IF($D34="","",IFERROR(VLOOKUP($B34,Kraftvärmeprod!$B$1:$BX$549,MATCH(G$2,Kraftvärmeprod!$B$1:$VX$1,0),FALSE)/1,0)-IFERROR(VLOOKUP($B34,'Slutlig allokering kvv'!$B$2:$BX$549,MATCH(G$2,'Slutlig allokering kvv'!$B$1:$BX$1,0),FALSE)/1,0))</f>
        <v/>
      </c>
      <c r="H34" s="121" t="str">
        <f>IF($D34="","",IFERROR(VLOOKUP($B34,Kraftvärmeprod!$B$1:$BX$549,MATCH(H$2,Kraftvärmeprod!$B$1:$VX$1,0),FALSE)/1,0)-IFERROR(VLOOKUP($B34,'Slutlig allokering kvv'!$B$2:$BX$549,MATCH(H$2,'Slutlig allokering kvv'!$B$1:$BX$1,0),FALSE)/1,0))</f>
        <v/>
      </c>
      <c r="I34" s="121" t="str">
        <f>IF($D34="","",IFERROR(VLOOKUP($B34,Kraftvärmeprod!$B$1:$BX$549,MATCH(I$2,Kraftvärmeprod!$B$1:$VX$1,0),FALSE)/1,0)-IFERROR(VLOOKUP($B34,'Slutlig allokering kvv'!$B$2:$BX$549,MATCH(I$2,'Slutlig allokering kvv'!$B$1:$BX$1,0),FALSE)/1,0))</f>
        <v/>
      </c>
      <c r="J34" s="121" t="str">
        <f>IF($D34="","",IFERROR(VLOOKUP($B34,Kraftvärmeprod!$B$1:$BX$549,MATCH(J$2,Kraftvärmeprod!$B$1:$VX$1,0),FALSE)/1,0)-IFERROR(VLOOKUP($B34,'Slutlig allokering kvv'!$B$2:$BX$549,MATCH(J$2,'Slutlig allokering kvv'!$B$1:$BX$1,0),FALSE)/1,0))</f>
        <v/>
      </c>
      <c r="K34" s="121" t="str">
        <f>IF($D34="","",IFERROR(VLOOKUP($B34,Kraftvärmeprod!$B$1:$BX$549,MATCH(K$2,Kraftvärmeprod!$B$1:$VX$1,0),FALSE)/1,0)-IFERROR(VLOOKUP($B34,'Slutlig allokering kvv'!$B$2:$BX$549,MATCH(K$2,'Slutlig allokering kvv'!$B$1:$BX$1,0),FALSE)/1,0))</f>
        <v/>
      </c>
      <c r="L34" s="121" t="str">
        <f>IF($D34="","",IFERROR(VLOOKUP($B34,Kraftvärmeprod!$B$1:$BX$549,MATCH(L$2,Kraftvärmeprod!$B$1:$VX$1,0),FALSE)/1,0)-IFERROR(VLOOKUP($B34,'Slutlig allokering kvv'!$B$2:$BX$549,MATCH(L$2,'Slutlig allokering kvv'!$B$1:$BX$1,0),FALSE)/1,0))</f>
        <v/>
      </c>
      <c r="M34" s="121" t="str">
        <f>IF($D34="","",IFERROR(VLOOKUP($B34,Kraftvärmeprod!$B$1:$BX$549,MATCH(M$2,Kraftvärmeprod!$B$1:$VX$1,0),FALSE)/1,0)-IFERROR(VLOOKUP($B34,'Slutlig allokering kvv'!$B$2:$BX$549,MATCH(M$2,'Slutlig allokering kvv'!$B$1:$BX$1,0),FALSE)/1,0))</f>
        <v/>
      </c>
      <c r="N34" s="121" t="str">
        <f>IF($D34="","",IFERROR(VLOOKUP($B34,Kraftvärmeprod!$B$1:$BX$549,MATCH(N$2,Kraftvärmeprod!$B$1:$VX$1,0),FALSE)/1,0)-IFERROR(VLOOKUP($B34,'Slutlig allokering kvv'!$B$2:$BX$549,MATCH(N$2,'Slutlig allokering kvv'!$B$1:$BX$1,0),FALSE)/1,0))</f>
        <v/>
      </c>
      <c r="O34" s="121" t="str">
        <f>IF($D34="","",IFERROR(VLOOKUP($B34,Kraftvärmeprod!$B$1:$BX$549,MATCH(O$2,Kraftvärmeprod!$B$1:$VX$1,0),FALSE)/1,0)-IFERROR(VLOOKUP($B34,'Slutlig allokering kvv'!$B$2:$BX$549,MATCH(O$2,'Slutlig allokering kvv'!$B$1:$BX$1,0),FALSE)/1,0))</f>
        <v/>
      </c>
      <c r="P34" s="121" t="str">
        <f>IF($D34="","",IFERROR(VLOOKUP($B34,Kraftvärmeprod!$B$1:$BX$549,MATCH(P$2,Kraftvärmeprod!$B$1:$VX$1,0),FALSE)/1,0)-IFERROR(VLOOKUP($B34,'Slutlig allokering kvv'!$B$2:$BX$549,MATCH(P$2,'Slutlig allokering kvv'!$B$1:$BX$1,0),FALSE)/1,0))</f>
        <v/>
      </c>
      <c r="Q34" s="121" t="str">
        <f>IF($D34="","",IFERROR(VLOOKUP($B34,Kraftvärmeprod!$B$1:$BX$549,MATCH(Q$2,Kraftvärmeprod!$B$1:$VX$1,0),FALSE)/1,0)-IFERROR(VLOOKUP($B34,'Slutlig allokering kvv'!$B$2:$BX$549,MATCH(Q$2,'Slutlig allokering kvv'!$B$1:$BX$1,0),FALSE)/1,0))</f>
        <v/>
      </c>
      <c r="R34" s="121" t="str">
        <f>IF($D34="","",IFERROR(VLOOKUP($B34,Kraftvärmeprod!$B$1:$BX$549,MATCH(R$2,Kraftvärmeprod!$B$1:$VX$1,0),FALSE)/1,0)-IFERROR(VLOOKUP($B34,'Slutlig allokering kvv'!$B$2:$BX$549,MATCH(R$2,'Slutlig allokering kvv'!$B$1:$BX$1,0),FALSE)/1,0))</f>
        <v/>
      </c>
      <c r="S34" s="121" t="str">
        <f>IF($D34="","",IFERROR(VLOOKUP($B34,Kraftvärmeprod!$B$1:$BX$549,MATCH(S$2,Kraftvärmeprod!$B$1:$VX$1,0),FALSE)/1,0)-IFERROR(VLOOKUP($B34,'Slutlig allokering kvv'!$B$2:$BX$549,MATCH(S$2,'Slutlig allokering kvv'!$B$1:$BX$1,0),FALSE)/1,0))</f>
        <v/>
      </c>
      <c r="T34" s="121" t="str">
        <f>IF($D34="","",IFERROR(VLOOKUP($B34,Kraftvärmeprod!$B$1:$BX$549,MATCH(T$2,Kraftvärmeprod!$B$1:$VX$1,0),FALSE)/1,0)-IFERROR(VLOOKUP($B34,'Slutlig allokering kvv'!$B$2:$BX$549,MATCH(T$2,'Slutlig allokering kvv'!$B$1:$BX$1,0),FALSE)/1,0))</f>
        <v/>
      </c>
      <c r="U34" s="121" t="str">
        <f>IF($D34="","",IFERROR(VLOOKUP($B34,Kraftvärmeprod!$B$1:$BX$549,MATCH(U$2,Kraftvärmeprod!$B$1:$VX$1,0),FALSE)/1,0)-IFERROR(VLOOKUP($B34,'Slutlig allokering kvv'!$B$2:$BX$549,MATCH(U$2,'Slutlig allokering kvv'!$B$1:$BX$1,0),FALSE)/1,0))</f>
        <v/>
      </c>
      <c r="V34" s="121" t="str">
        <f>IF($D34="","",IFERROR(VLOOKUP($B34,Kraftvärmeprod!$B$1:$BX$549,MATCH(V$2,Kraftvärmeprod!$B$1:$VX$1,0),FALSE)/1,0)-IFERROR(VLOOKUP($B34,'Slutlig allokering kvv'!$B$2:$BX$549,MATCH(V$2,'Slutlig allokering kvv'!$B$1:$BX$1,0),FALSE)/1,0))</f>
        <v/>
      </c>
      <c r="W34" s="121" t="str">
        <f>IF($D34="","",IFERROR(VLOOKUP($B34,Kraftvärmeprod!$B$1:$BX$549,MATCH(W$2,Kraftvärmeprod!$B$1:$VX$1,0),FALSE)/1,0)-IFERROR(VLOOKUP($B34,'Slutlig allokering kvv'!$B$2:$BX$549,MATCH(W$2,'Slutlig allokering kvv'!$B$1:$BX$1,0),FALSE)/1,0))</f>
        <v/>
      </c>
      <c r="X34" s="121" t="str">
        <f>IF($D34="","",IFERROR(VLOOKUP($B34,Kraftvärmeprod!$B$1:$BX$549,MATCH(X$2,Kraftvärmeprod!$B$1:$VX$1,0),FALSE)/1,0)-IFERROR(VLOOKUP($B34,'Slutlig allokering kvv'!$B$2:$BX$549,MATCH(X$2,'Slutlig allokering kvv'!$B$1:$BX$1,0),FALSE)/1,0))</f>
        <v/>
      </c>
      <c r="Y34" s="121" t="str">
        <f>IF($D34="","",IFERROR(VLOOKUP($B34,Kraftvärmeprod!$B$1:$BX$549,MATCH(Y$2,Kraftvärmeprod!$B$1:$VX$1,0),FALSE)/1,0)-IFERROR(VLOOKUP($B34,'Slutlig allokering kvv'!$B$2:$BX$549,MATCH(Y$2,'Slutlig allokering kvv'!$B$1:$BX$1,0),FALSE)/1,0))</f>
        <v/>
      </c>
      <c r="Z34" s="121" t="str">
        <f>IF($D34="","",IFERROR(VLOOKUP($B34,Kraftvärmeprod!$B$1:$BX$549,MATCH(Z$2,Kraftvärmeprod!$B$1:$VX$1,0),FALSE)/1,0)-IFERROR(VLOOKUP($B34,'Slutlig allokering kvv'!$B$2:$BX$549,MATCH(Z$2,'Slutlig allokering kvv'!$B$1:$BX$1,0),FALSE)/1,0))</f>
        <v/>
      </c>
      <c r="AA34" s="121" t="str">
        <f>IF($D34="","",IFERROR(VLOOKUP($B34,Kraftvärmeprod!$B$1:$BX$549,MATCH(AA$2,Kraftvärmeprod!$B$1:$VX$1,0),FALSE)/1,0)-IFERROR(VLOOKUP($B34,'Slutlig allokering kvv'!$B$2:$BX$549,MATCH(AA$2,'Slutlig allokering kvv'!$B$1:$BX$1,0),FALSE)/1,0))</f>
        <v/>
      </c>
      <c r="AB34" s="121" t="str">
        <f>IF($D34="","",IFERROR(VLOOKUP($B34,Kraftvärmeprod!$B$1:$BX$549,MATCH(AB$2,Kraftvärmeprod!$B$1:$VX$1,0),FALSE)/1,0)-IFERROR(VLOOKUP($B34,'Slutlig allokering kvv'!$B$2:$BX$549,MATCH(AB$2,'Slutlig allokering kvv'!$B$1:$BX$1,0),FALSE)/1,0))</f>
        <v/>
      </c>
      <c r="AC34" s="121" t="str">
        <f>IF($D34="","",IFERROR(VLOOKUP($B34,Kraftvärmeprod!$B$1:$BX$549,MATCH(AC$2,Kraftvärmeprod!$B$1:$VX$1,0),FALSE)/1,0)-IFERROR(VLOOKUP($B34,'Slutlig allokering kvv'!$B$2:$BX$549,MATCH(AC$2,'Slutlig allokering kvv'!$B$1:$BX$1,0),FALSE)/1,0))</f>
        <v/>
      </c>
      <c r="AD34" s="121" t="str">
        <f>IF($D34="","",IFERROR(VLOOKUP($B34,Kraftvärmeprod!$B$1:$BX$549,MATCH(AD$2,Kraftvärmeprod!$B$1:$VX$1,0),FALSE)/1,0)-IFERROR(VLOOKUP($B34,'Slutlig allokering kvv'!$B$2:$BX$549,MATCH(AD$2,'Slutlig allokering kvv'!$B$1:$BX$1,0),FALSE)/1,0))</f>
        <v/>
      </c>
      <c r="AE34" s="121" t="str">
        <f>IF($D34="","",IFERROR(VLOOKUP($B34,Miljö!$B$1:$E$550,MATCH("Hjälpel kraftvärme (GWh)",Miljö!$B$1:$E$1,0),FALSE)/1,0)-IFERROR(VLOOKUP($B34,'Slutlig allokering kvv'!$B$2:$BX$549,MATCH(AE$2,'Slutlig allokering kvv'!$B$1:$BX$1,0),FALSE)/1,0))</f>
        <v/>
      </c>
      <c r="AI34" s="121">
        <f t="shared" si="0"/>
        <v>0</v>
      </c>
      <c r="AK34" s="121">
        <f>IFERROR(VLOOKUP($B34,'Slutlig allokering kvv'!$B$2:$AX$549,MATCH("Summa slutlig allokerad tillförd energi (utan hjälpel och rökgaskondensering):",'Slutlig allokering kvv'!$B$1:$AX$1,0),FALSE)/1,"")</f>
        <v>0</v>
      </c>
      <c r="AM34" s="172" t="str">
        <f>IFERROR(1-VLOOKUP($B34,'Slutlig allokering kvv'!$B$2:$AX$549,MATCH("Andel av bränsle i kvv som allokerats till värme, exklusive rökgaskondensering och hjälpel",'Slutlig allokering kvv'!$B$1:$AX$1,0),FALSE),"")</f>
        <v/>
      </c>
      <c r="AO34" s="172" t="str">
        <f t="shared" si="1"/>
        <v/>
      </c>
      <c r="AP34" s="173" t="str">
        <f t="shared" si="2"/>
        <v/>
      </c>
      <c r="AR34" s="172" t="str">
        <f t="shared" si="3"/>
        <v/>
      </c>
    </row>
    <row r="35" spans="1:44" x14ac:dyDescent="0.25">
      <c r="A35" s="171" t="str">
        <f>'Miljövärden för publ företag'!B37</f>
        <v>Bodens Energi AB</v>
      </c>
      <c r="B35" s="171" t="str">
        <f>'Miljövärden för publ företag'!C37</f>
        <v>Boden</v>
      </c>
      <c r="C35" s="121">
        <f>IFERROR(VLOOKUP($B35,Kraftvärmeprod!$B$1:$AH$478,MATCH(C$2,Kraftvärmeprod!$B$1:$AG$1,0),FALSE)/1,"")</f>
        <v>124</v>
      </c>
      <c r="D35" s="121">
        <f>IFERROR(VLOOKUP($B35,Kraftvärmeprod!$B$1:$AH$478,MATCH(D$2,Kraftvärmeprod!$B$1:$AG$1,0),FALSE)/1,"")</f>
        <v>23</v>
      </c>
      <c r="F35" s="121">
        <f>IF($D35="","",IFERROR(VLOOKUP($B35,Kraftvärmeprod!$B$1:$BX$549,MATCH(F$2,Kraftvärmeprod!$B$1:$VX$1,0),FALSE)/1,0)-IFERROR(VLOOKUP($B35,'Slutlig allokering kvv'!$B$2:$BX$549,MATCH(F$2,'Slutlig allokering kvv'!$B$1:$BX$1,0),FALSE)/1,0))</f>
        <v>0</v>
      </c>
      <c r="G35" s="121">
        <f>IF($D35="","",IFERROR(VLOOKUP($B35,Kraftvärmeprod!$B$1:$BX$549,MATCH(G$2,Kraftvärmeprod!$B$1:$VX$1,0),FALSE)/1,0)-IFERROR(VLOOKUP($B35,'Slutlig allokering kvv'!$B$2:$BX$549,MATCH(G$2,'Slutlig allokering kvv'!$B$1:$BX$1,0),FALSE)/1,0))</f>
        <v>0</v>
      </c>
      <c r="H35" s="121">
        <f>IF($D35="","",IFERROR(VLOOKUP($B35,Kraftvärmeprod!$B$1:$BX$549,MATCH(H$2,Kraftvärmeprod!$B$1:$VX$1,0),FALSE)/1,0)-IFERROR(VLOOKUP($B35,'Slutlig allokering kvv'!$B$2:$BX$549,MATCH(H$2,'Slutlig allokering kvv'!$B$1:$BX$1,0),FALSE)/1,0))</f>
        <v>0</v>
      </c>
      <c r="I35" s="121">
        <f>IF($D35="","",IFERROR(VLOOKUP($B35,Kraftvärmeprod!$B$1:$BX$549,MATCH(I$2,Kraftvärmeprod!$B$1:$VX$1,0),FALSE)/1,0)-IFERROR(VLOOKUP($B35,'Slutlig allokering kvv'!$B$2:$BX$549,MATCH(I$2,'Slutlig allokering kvv'!$B$1:$BX$1,0),FALSE)/1,0))</f>
        <v>0</v>
      </c>
      <c r="J35" s="121">
        <f>IF($D35="","",IFERROR(VLOOKUP($B35,Kraftvärmeprod!$B$1:$BX$549,MATCH(J$2,Kraftvärmeprod!$B$1:$VX$1,0),FALSE)/1,0)-IFERROR(VLOOKUP($B35,'Slutlig allokering kvv'!$B$2:$BX$549,MATCH(J$2,'Slutlig allokering kvv'!$B$1:$BX$1,0),FALSE)/1,0))</f>
        <v>0</v>
      </c>
      <c r="K35" s="121">
        <f>IF($D35="","",IFERROR(VLOOKUP($B35,Kraftvärmeprod!$B$1:$BX$549,MATCH(K$2,Kraftvärmeprod!$B$1:$VX$1,0),FALSE)/1,0)-IFERROR(VLOOKUP($B35,'Slutlig allokering kvv'!$B$2:$BX$549,MATCH(K$2,'Slutlig allokering kvv'!$B$1:$BX$1,0),FALSE)/1,0))</f>
        <v>0</v>
      </c>
      <c r="L35" s="121">
        <f>IF($D35="","",IFERROR(VLOOKUP($B35,Kraftvärmeprod!$B$1:$BX$549,MATCH(L$2,Kraftvärmeprod!$B$1:$VX$1,0),FALSE)/1,0)-IFERROR(VLOOKUP($B35,'Slutlig allokering kvv'!$B$2:$BX$549,MATCH(L$2,'Slutlig allokering kvv'!$B$1:$BX$1,0),FALSE)/1,0))</f>
        <v>0</v>
      </c>
      <c r="M35" s="121">
        <f>IF($D35="","",IFERROR(VLOOKUP($B35,Kraftvärmeprod!$B$1:$BX$549,MATCH(M$2,Kraftvärmeprod!$B$1:$VX$1,0),FALSE)/1,0)-IFERROR(VLOOKUP($B35,'Slutlig allokering kvv'!$B$2:$BX$549,MATCH(M$2,'Slutlig allokering kvv'!$B$1:$BX$1,0),FALSE)/1,0))</f>
        <v>0</v>
      </c>
      <c r="N35" s="121">
        <f>IF($D35="","",IFERROR(VLOOKUP($B35,Kraftvärmeprod!$B$1:$BX$549,MATCH(N$2,Kraftvärmeprod!$B$1:$VX$1,0),FALSE)/1,0)-IFERROR(VLOOKUP($B35,'Slutlig allokering kvv'!$B$2:$BX$549,MATCH(N$2,'Slutlig allokering kvv'!$B$1:$BX$1,0),FALSE)/1,0))</f>
        <v>0</v>
      </c>
      <c r="O35" s="121">
        <f>IF($D35="","",IFERROR(VLOOKUP($B35,Kraftvärmeprod!$B$1:$BX$549,MATCH(O$2,Kraftvärmeprod!$B$1:$VX$1,0),FALSE)/1,0)-IFERROR(VLOOKUP($B35,'Slutlig allokering kvv'!$B$2:$BX$549,MATCH(O$2,'Slutlig allokering kvv'!$B$1:$BX$1,0),FALSE)/1,0))</f>
        <v>0</v>
      </c>
      <c r="P35" s="121">
        <f>IF($D35="","",IFERROR(VLOOKUP($B35,Kraftvärmeprod!$B$1:$BX$549,MATCH(P$2,Kraftvärmeprod!$B$1:$VX$1,0),FALSE)/1,0)-IFERROR(VLOOKUP($B35,'Slutlig allokering kvv'!$B$2:$BX$549,MATCH(P$2,'Slutlig allokering kvv'!$B$1:$BX$1,0),FALSE)/1,0))</f>
        <v>0</v>
      </c>
      <c r="Q35" s="121">
        <f>IF($D35="","",IFERROR(VLOOKUP($B35,Kraftvärmeprod!$B$1:$BX$549,MATCH(Q$2,Kraftvärmeprod!$B$1:$VX$1,0),FALSE)/1,0)-IFERROR(VLOOKUP($B35,'Slutlig allokering kvv'!$B$2:$BX$549,MATCH(Q$2,'Slutlig allokering kvv'!$B$1:$BX$1,0),FALSE)/1,0))</f>
        <v>0</v>
      </c>
      <c r="R35" s="121">
        <f>IF($D35="","",IFERROR(VLOOKUP($B35,Kraftvärmeprod!$B$1:$BX$549,MATCH(R$2,Kraftvärmeprod!$B$1:$VX$1,0),FALSE)/1,0)-IFERROR(VLOOKUP($B35,'Slutlig allokering kvv'!$B$2:$BX$549,MATCH(R$2,'Slutlig allokering kvv'!$B$1:$BX$1,0),FALSE)/1,0))</f>
        <v>0</v>
      </c>
      <c r="S35" s="121">
        <f>IF($D35="","",IFERROR(VLOOKUP($B35,Kraftvärmeprod!$B$1:$BX$549,MATCH(S$2,Kraftvärmeprod!$B$1:$VX$1,0),FALSE)/1,0)-IFERROR(VLOOKUP($B35,'Slutlig allokering kvv'!$B$2:$BX$549,MATCH(S$2,'Slutlig allokering kvv'!$B$1:$BX$1,0),FALSE)/1,0))</f>
        <v>0</v>
      </c>
      <c r="T35" s="121">
        <f>IF($D35="","",IFERROR(VLOOKUP($B35,Kraftvärmeprod!$B$1:$BX$549,MATCH(T$2,Kraftvärmeprod!$B$1:$VX$1,0),FALSE)/1,0)-IFERROR(VLOOKUP($B35,'Slutlig allokering kvv'!$B$2:$BX$549,MATCH(T$2,'Slutlig allokering kvv'!$B$1:$BX$1,0),FALSE)/1,0))</f>
        <v>0</v>
      </c>
      <c r="U35" s="121">
        <f>IF($D35="","",IFERROR(VLOOKUP($B35,Kraftvärmeprod!$B$1:$BX$549,MATCH(U$2,Kraftvärmeprod!$B$1:$VX$1,0),FALSE)/1,0)-IFERROR(VLOOKUP($B35,'Slutlig allokering kvv'!$B$2:$BX$549,MATCH(U$2,'Slutlig allokering kvv'!$B$1:$BX$1,0),FALSE)/1,0))</f>
        <v>0</v>
      </c>
      <c r="V35" s="121">
        <f>IF($D35="","",IFERROR(VLOOKUP($B35,Kraftvärmeprod!$B$1:$BX$549,MATCH(V$2,Kraftvärmeprod!$B$1:$VX$1,0),FALSE)/1,0)-IFERROR(VLOOKUP($B35,'Slutlig allokering kvv'!$B$2:$BX$549,MATCH(V$2,'Slutlig allokering kvv'!$B$1:$BX$1,0),FALSE)/1,0))</f>
        <v>2.6069199999999997</v>
      </c>
      <c r="W35" s="121">
        <f>IF($D35="","",IFERROR(VLOOKUP($B35,Kraftvärmeprod!$B$1:$BX$549,MATCH(W$2,Kraftvärmeprod!$B$1:$VX$1,0),FALSE)/1,0)-IFERROR(VLOOKUP($B35,'Slutlig allokering kvv'!$B$2:$BX$549,MATCH(W$2,'Slutlig allokering kvv'!$B$1:$BX$1,0),FALSE)/1,0))</f>
        <v>0</v>
      </c>
      <c r="X35" s="121">
        <f>IF($D35="","",IFERROR(VLOOKUP($B35,Kraftvärmeprod!$B$1:$BX$549,MATCH(X$2,Kraftvärmeprod!$B$1:$VX$1,0),FALSE)/1,0)-IFERROR(VLOOKUP($B35,'Slutlig allokering kvv'!$B$2:$BX$549,MATCH(X$2,'Slutlig allokering kvv'!$B$1:$BX$1,0),FALSE)/1,0))</f>
        <v>0</v>
      </c>
      <c r="Y35" s="121">
        <f>IF($D35="","",IFERROR(VLOOKUP($B35,Kraftvärmeprod!$B$1:$BX$549,MATCH(Y$2,Kraftvärmeprod!$B$1:$VX$1,0),FALSE)/1,0)-IFERROR(VLOOKUP($B35,'Slutlig allokering kvv'!$B$2:$BX$549,MATCH(Y$2,'Slutlig allokering kvv'!$B$1:$BX$1,0),FALSE)/1,0))</f>
        <v>0</v>
      </c>
      <c r="Z35" s="121">
        <f>IF($D35="","",IFERROR(VLOOKUP($B35,Kraftvärmeprod!$B$1:$BX$549,MATCH(Z$2,Kraftvärmeprod!$B$1:$VX$1,0),FALSE)/1,0)-IFERROR(VLOOKUP($B35,'Slutlig allokering kvv'!$B$2:$BX$549,MATCH(Z$2,'Slutlig allokering kvv'!$B$1:$BX$1,0),FALSE)/1,0))</f>
        <v>0</v>
      </c>
      <c r="AA35" s="121">
        <f>IF($D35="","",IFERROR(VLOOKUP($B35,Kraftvärmeprod!$B$1:$BX$549,MATCH(AA$2,Kraftvärmeprod!$B$1:$VX$1,0),FALSE)/1,0)-IFERROR(VLOOKUP($B35,'Slutlig allokering kvv'!$B$2:$BX$549,MATCH(AA$2,'Slutlig allokering kvv'!$B$1:$BX$1,0),FALSE)/1,0))</f>
        <v>61.456999999999994</v>
      </c>
      <c r="AB35" s="121">
        <f>IF($D35="","",IFERROR(VLOOKUP($B35,Kraftvärmeprod!$B$1:$BX$549,MATCH(AB$2,Kraftvärmeprod!$B$1:$VX$1,0),FALSE)/1,0)-IFERROR(VLOOKUP($B35,'Slutlig allokering kvv'!$B$2:$BX$549,MATCH(AB$2,'Slutlig allokering kvv'!$B$1:$BX$1,0),FALSE)/1,0))</f>
        <v>0</v>
      </c>
      <c r="AC35" s="121">
        <f>IF($D35="","",IFERROR(VLOOKUP($B35,Kraftvärmeprod!$B$1:$BX$549,MATCH(AC$2,Kraftvärmeprod!$B$1:$VX$1,0),FALSE)/1,0)-IFERROR(VLOOKUP($B35,'Slutlig allokering kvv'!$B$2:$BX$549,MATCH(AC$2,'Slutlig allokering kvv'!$B$1:$BX$1,0),FALSE)/1,0))</f>
        <v>0</v>
      </c>
      <c r="AD35" s="121">
        <f>IF($D35="","",IFERROR(VLOOKUP($B35,Kraftvärmeprod!$B$1:$BX$549,MATCH(AD$2,Kraftvärmeprod!$B$1:$VX$1,0),FALSE)/1,0)-IFERROR(VLOOKUP($B35,'Slutlig allokering kvv'!$B$2:$BX$549,MATCH(AD$2,'Slutlig allokering kvv'!$B$1:$BX$1,0),FALSE)/1,0))</f>
        <v>0</v>
      </c>
      <c r="AE35" s="121">
        <f>IF($D35="","",IFERROR(VLOOKUP($B35,Miljö!$B$1:$E$550,MATCH("Hjälpel kraftvärme (GWh)",Miljö!$B$1:$E$1,0),FALSE)/1,0)-IFERROR(VLOOKUP($B35,'Slutlig allokering kvv'!$B$2:$BX$549,MATCH(AE$2,'Slutlig allokering kvv'!$B$1:$BX$1,0),FALSE)/1,0))</f>
        <v>1.7774999999999999</v>
      </c>
      <c r="AI35" s="121">
        <f t="shared" si="0"/>
        <v>64.063919999999996</v>
      </c>
      <c r="AK35" s="121">
        <f>IFERROR(VLOOKUP($B35,'Slutlig allokering kvv'!$B$2:$AX$549,MATCH("Summa slutlig allokerad tillförd energi (utan hjälpel och rökgaskondensering):",'Slutlig allokering kvv'!$B$1:$AX$1,0),FALSE)/1,"")</f>
        <v>108.93608</v>
      </c>
      <c r="AM35" s="172">
        <f>IFERROR(1-VLOOKUP($B35,'Slutlig allokering kvv'!$B$2:$AX$549,MATCH("Andel av bränsle i kvv som allokerats till värme, exklusive rökgaskondensering och hjälpel",'Slutlig allokering kvv'!$B$1:$AX$1,0),FALSE),"")</f>
        <v>0.37031167630057804</v>
      </c>
      <c r="AO35" s="172">
        <f t="shared" si="1"/>
        <v>0.37031167630057799</v>
      </c>
      <c r="AP35" s="173">
        <f t="shared" si="2"/>
        <v>5.5511151231257827E-17</v>
      </c>
      <c r="AR35" s="172">
        <f t="shared" si="3"/>
        <v>0.34932417921727693</v>
      </c>
    </row>
    <row r="36" spans="1:44" x14ac:dyDescent="0.25">
      <c r="A36" s="171" t="str">
        <f>'Miljövärden för publ företag'!B38</f>
        <v>Bollnäs Energi AB</v>
      </c>
      <c r="B36" s="171" t="str">
        <f>'Miljövärden för publ företag'!C38</f>
        <v>Arbrå</v>
      </c>
      <c r="C36" s="121" t="str">
        <f>IFERROR(VLOOKUP($B36,Kraftvärmeprod!$B$1:$AH$478,MATCH(C$2,Kraftvärmeprod!$B$1:$AG$1,0),FALSE)/1,"")</f>
        <v/>
      </c>
      <c r="D36" s="121" t="str">
        <f>IFERROR(VLOOKUP($B36,Kraftvärmeprod!$B$1:$AH$478,MATCH(D$2,Kraftvärmeprod!$B$1:$AG$1,0),FALSE)/1,"")</f>
        <v/>
      </c>
      <c r="F36" s="121" t="str">
        <f>IF($D36="","",IFERROR(VLOOKUP($B36,Kraftvärmeprod!$B$1:$BX$549,MATCH(F$2,Kraftvärmeprod!$B$1:$VX$1,0),FALSE)/1,0)-IFERROR(VLOOKUP($B36,'Slutlig allokering kvv'!$B$2:$BX$549,MATCH(F$2,'Slutlig allokering kvv'!$B$1:$BX$1,0),FALSE)/1,0))</f>
        <v/>
      </c>
      <c r="G36" s="121" t="str">
        <f>IF($D36="","",IFERROR(VLOOKUP($B36,Kraftvärmeprod!$B$1:$BX$549,MATCH(G$2,Kraftvärmeprod!$B$1:$VX$1,0),FALSE)/1,0)-IFERROR(VLOOKUP($B36,'Slutlig allokering kvv'!$B$2:$BX$549,MATCH(G$2,'Slutlig allokering kvv'!$B$1:$BX$1,0),FALSE)/1,0))</f>
        <v/>
      </c>
      <c r="H36" s="121" t="str">
        <f>IF($D36="","",IFERROR(VLOOKUP($B36,Kraftvärmeprod!$B$1:$BX$549,MATCH(H$2,Kraftvärmeprod!$B$1:$VX$1,0),FALSE)/1,0)-IFERROR(VLOOKUP($B36,'Slutlig allokering kvv'!$B$2:$BX$549,MATCH(H$2,'Slutlig allokering kvv'!$B$1:$BX$1,0),FALSE)/1,0))</f>
        <v/>
      </c>
      <c r="I36" s="121" t="str">
        <f>IF($D36="","",IFERROR(VLOOKUP($B36,Kraftvärmeprod!$B$1:$BX$549,MATCH(I$2,Kraftvärmeprod!$B$1:$VX$1,0),FALSE)/1,0)-IFERROR(VLOOKUP($B36,'Slutlig allokering kvv'!$B$2:$BX$549,MATCH(I$2,'Slutlig allokering kvv'!$B$1:$BX$1,0),FALSE)/1,0))</f>
        <v/>
      </c>
      <c r="J36" s="121" t="str">
        <f>IF($D36="","",IFERROR(VLOOKUP($B36,Kraftvärmeprod!$B$1:$BX$549,MATCH(J$2,Kraftvärmeprod!$B$1:$VX$1,0),FALSE)/1,0)-IFERROR(VLOOKUP($B36,'Slutlig allokering kvv'!$B$2:$BX$549,MATCH(J$2,'Slutlig allokering kvv'!$B$1:$BX$1,0),FALSE)/1,0))</f>
        <v/>
      </c>
      <c r="K36" s="121" t="str">
        <f>IF($D36="","",IFERROR(VLOOKUP($B36,Kraftvärmeprod!$B$1:$BX$549,MATCH(K$2,Kraftvärmeprod!$B$1:$VX$1,0),FALSE)/1,0)-IFERROR(VLOOKUP($B36,'Slutlig allokering kvv'!$B$2:$BX$549,MATCH(K$2,'Slutlig allokering kvv'!$B$1:$BX$1,0),FALSE)/1,0))</f>
        <v/>
      </c>
      <c r="L36" s="121" t="str">
        <f>IF($D36="","",IFERROR(VLOOKUP($B36,Kraftvärmeprod!$B$1:$BX$549,MATCH(L$2,Kraftvärmeprod!$B$1:$VX$1,0),FALSE)/1,0)-IFERROR(VLOOKUP($B36,'Slutlig allokering kvv'!$B$2:$BX$549,MATCH(L$2,'Slutlig allokering kvv'!$B$1:$BX$1,0),FALSE)/1,0))</f>
        <v/>
      </c>
      <c r="M36" s="121" t="str">
        <f>IF($D36="","",IFERROR(VLOOKUP($B36,Kraftvärmeprod!$B$1:$BX$549,MATCH(M$2,Kraftvärmeprod!$B$1:$VX$1,0),FALSE)/1,0)-IFERROR(VLOOKUP($B36,'Slutlig allokering kvv'!$B$2:$BX$549,MATCH(M$2,'Slutlig allokering kvv'!$B$1:$BX$1,0),FALSE)/1,0))</f>
        <v/>
      </c>
      <c r="N36" s="121" t="str">
        <f>IF($D36="","",IFERROR(VLOOKUP($B36,Kraftvärmeprod!$B$1:$BX$549,MATCH(N$2,Kraftvärmeprod!$B$1:$VX$1,0),FALSE)/1,0)-IFERROR(VLOOKUP($B36,'Slutlig allokering kvv'!$B$2:$BX$549,MATCH(N$2,'Slutlig allokering kvv'!$B$1:$BX$1,0),FALSE)/1,0))</f>
        <v/>
      </c>
      <c r="O36" s="121" t="str">
        <f>IF($D36="","",IFERROR(VLOOKUP($B36,Kraftvärmeprod!$B$1:$BX$549,MATCH(O$2,Kraftvärmeprod!$B$1:$VX$1,0),FALSE)/1,0)-IFERROR(VLOOKUP($B36,'Slutlig allokering kvv'!$B$2:$BX$549,MATCH(O$2,'Slutlig allokering kvv'!$B$1:$BX$1,0),FALSE)/1,0))</f>
        <v/>
      </c>
      <c r="P36" s="121" t="str">
        <f>IF($D36="","",IFERROR(VLOOKUP($B36,Kraftvärmeprod!$B$1:$BX$549,MATCH(P$2,Kraftvärmeprod!$B$1:$VX$1,0),FALSE)/1,0)-IFERROR(VLOOKUP($B36,'Slutlig allokering kvv'!$B$2:$BX$549,MATCH(P$2,'Slutlig allokering kvv'!$B$1:$BX$1,0),FALSE)/1,0))</f>
        <v/>
      </c>
      <c r="Q36" s="121" t="str">
        <f>IF($D36="","",IFERROR(VLOOKUP($B36,Kraftvärmeprod!$B$1:$BX$549,MATCH(Q$2,Kraftvärmeprod!$B$1:$VX$1,0),FALSE)/1,0)-IFERROR(VLOOKUP($B36,'Slutlig allokering kvv'!$B$2:$BX$549,MATCH(Q$2,'Slutlig allokering kvv'!$B$1:$BX$1,0),FALSE)/1,0))</f>
        <v/>
      </c>
      <c r="R36" s="121" t="str">
        <f>IF($D36="","",IFERROR(VLOOKUP($B36,Kraftvärmeprod!$B$1:$BX$549,MATCH(R$2,Kraftvärmeprod!$B$1:$VX$1,0),FALSE)/1,0)-IFERROR(VLOOKUP($B36,'Slutlig allokering kvv'!$B$2:$BX$549,MATCH(R$2,'Slutlig allokering kvv'!$B$1:$BX$1,0),FALSE)/1,0))</f>
        <v/>
      </c>
      <c r="S36" s="121" t="str">
        <f>IF($D36="","",IFERROR(VLOOKUP($B36,Kraftvärmeprod!$B$1:$BX$549,MATCH(S$2,Kraftvärmeprod!$B$1:$VX$1,0),FALSE)/1,0)-IFERROR(VLOOKUP($B36,'Slutlig allokering kvv'!$B$2:$BX$549,MATCH(S$2,'Slutlig allokering kvv'!$B$1:$BX$1,0),FALSE)/1,0))</f>
        <v/>
      </c>
      <c r="T36" s="121" t="str">
        <f>IF($D36="","",IFERROR(VLOOKUP($B36,Kraftvärmeprod!$B$1:$BX$549,MATCH(T$2,Kraftvärmeprod!$B$1:$VX$1,0),FALSE)/1,0)-IFERROR(VLOOKUP($B36,'Slutlig allokering kvv'!$B$2:$BX$549,MATCH(T$2,'Slutlig allokering kvv'!$B$1:$BX$1,0),FALSE)/1,0))</f>
        <v/>
      </c>
      <c r="U36" s="121" t="str">
        <f>IF($D36="","",IFERROR(VLOOKUP($B36,Kraftvärmeprod!$B$1:$BX$549,MATCH(U$2,Kraftvärmeprod!$B$1:$VX$1,0),FALSE)/1,0)-IFERROR(VLOOKUP($B36,'Slutlig allokering kvv'!$B$2:$BX$549,MATCH(U$2,'Slutlig allokering kvv'!$B$1:$BX$1,0),FALSE)/1,0))</f>
        <v/>
      </c>
      <c r="V36" s="121" t="str">
        <f>IF($D36="","",IFERROR(VLOOKUP($B36,Kraftvärmeprod!$B$1:$BX$549,MATCH(V$2,Kraftvärmeprod!$B$1:$VX$1,0),FALSE)/1,0)-IFERROR(VLOOKUP($B36,'Slutlig allokering kvv'!$B$2:$BX$549,MATCH(V$2,'Slutlig allokering kvv'!$B$1:$BX$1,0),FALSE)/1,0))</f>
        <v/>
      </c>
      <c r="W36" s="121" t="str">
        <f>IF($D36="","",IFERROR(VLOOKUP($B36,Kraftvärmeprod!$B$1:$BX$549,MATCH(W$2,Kraftvärmeprod!$B$1:$VX$1,0),FALSE)/1,0)-IFERROR(VLOOKUP($B36,'Slutlig allokering kvv'!$B$2:$BX$549,MATCH(W$2,'Slutlig allokering kvv'!$B$1:$BX$1,0),FALSE)/1,0))</f>
        <v/>
      </c>
      <c r="X36" s="121" t="str">
        <f>IF($D36="","",IFERROR(VLOOKUP($B36,Kraftvärmeprod!$B$1:$BX$549,MATCH(X$2,Kraftvärmeprod!$B$1:$VX$1,0),FALSE)/1,0)-IFERROR(VLOOKUP($B36,'Slutlig allokering kvv'!$B$2:$BX$549,MATCH(X$2,'Slutlig allokering kvv'!$B$1:$BX$1,0),FALSE)/1,0))</f>
        <v/>
      </c>
      <c r="Y36" s="121" t="str">
        <f>IF($D36="","",IFERROR(VLOOKUP($B36,Kraftvärmeprod!$B$1:$BX$549,MATCH(Y$2,Kraftvärmeprod!$B$1:$VX$1,0),FALSE)/1,0)-IFERROR(VLOOKUP($B36,'Slutlig allokering kvv'!$B$2:$BX$549,MATCH(Y$2,'Slutlig allokering kvv'!$B$1:$BX$1,0),FALSE)/1,0))</f>
        <v/>
      </c>
      <c r="Z36" s="121" t="str">
        <f>IF($D36="","",IFERROR(VLOOKUP($B36,Kraftvärmeprod!$B$1:$BX$549,MATCH(Z$2,Kraftvärmeprod!$B$1:$VX$1,0),FALSE)/1,0)-IFERROR(VLOOKUP($B36,'Slutlig allokering kvv'!$B$2:$BX$549,MATCH(Z$2,'Slutlig allokering kvv'!$B$1:$BX$1,0),FALSE)/1,0))</f>
        <v/>
      </c>
      <c r="AA36" s="121" t="str">
        <f>IF($D36="","",IFERROR(VLOOKUP($B36,Kraftvärmeprod!$B$1:$BX$549,MATCH(AA$2,Kraftvärmeprod!$B$1:$VX$1,0),FALSE)/1,0)-IFERROR(VLOOKUP($B36,'Slutlig allokering kvv'!$B$2:$BX$549,MATCH(AA$2,'Slutlig allokering kvv'!$B$1:$BX$1,0),FALSE)/1,0))</f>
        <v/>
      </c>
      <c r="AB36" s="121" t="str">
        <f>IF($D36="","",IFERROR(VLOOKUP($B36,Kraftvärmeprod!$B$1:$BX$549,MATCH(AB$2,Kraftvärmeprod!$B$1:$VX$1,0),FALSE)/1,0)-IFERROR(VLOOKUP($B36,'Slutlig allokering kvv'!$B$2:$BX$549,MATCH(AB$2,'Slutlig allokering kvv'!$B$1:$BX$1,0),FALSE)/1,0))</f>
        <v/>
      </c>
      <c r="AC36" s="121" t="str">
        <f>IF($D36="","",IFERROR(VLOOKUP($B36,Kraftvärmeprod!$B$1:$BX$549,MATCH(AC$2,Kraftvärmeprod!$B$1:$VX$1,0),FALSE)/1,0)-IFERROR(VLOOKUP($B36,'Slutlig allokering kvv'!$B$2:$BX$549,MATCH(AC$2,'Slutlig allokering kvv'!$B$1:$BX$1,0),FALSE)/1,0))</f>
        <v/>
      </c>
      <c r="AD36" s="121" t="str">
        <f>IF($D36="","",IFERROR(VLOOKUP($B36,Kraftvärmeprod!$B$1:$BX$549,MATCH(AD$2,Kraftvärmeprod!$B$1:$VX$1,0),FALSE)/1,0)-IFERROR(VLOOKUP($B36,'Slutlig allokering kvv'!$B$2:$BX$549,MATCH(AD$2,'Slutlig allokering kvv'!$B$1:$BX$1,0),FALSE)/1,0))</f>
        <v/>
      </c>
      <c r="AE36" s="121" t="str">
        <f>IF($D36="","",IFERROR(VLOOKUP($B36,Miljö!$B$1:$E$550,MATCH("Hjälpel kraftvärme (GWh)",Miljö!$B$1:$E$1,0),FALSE)/1,0)-IFERROR(VLOOKUP($B36,'Slutlig allokering kvv'!$B$2:$BX$549,MATCH(AE$2,'Slutlig allokering kvv'!$B$1:$BX$1,0),FALSE)/1,0))</f>
        <v/>
      </c>
      <c r="AI36" s="121">
        <f t="shared" si="0"/>
        <v>0</v>
      </c>
      <c r="AK36" s="121">
        <f>IFERROR(VLOOKUP($B36,'Slutlig allokering kvv'!$B$2:$AX$549,MATCH("Summa slutlig allokerad tillförd energi (utan hjälpel och rökgaskondensering):",'Slutlig allokering kvv'!$B$1:$AX$1,0),FALSE)/1,"")</f>
        <v>0</v>
      </c>
      <c r="AM36" s="172" t="str">
        <f>IFERROR(1-VLOOKUP($B36,'Slutlig allokering kvv'!$B$2:$AX$549,MATCH("Andel av bränsle i kvv som allokerats till värme, exklusive rökgaskondensering och hjälpel",'Slutlig allokering kvv'!$B$1:$AX$1,0),FALSE),"")</f>
        <v/>
      </c>
      <c r="AO36" s="172" t="str">
        <f t="shared" si="1"/>
        <v/>
      </c>
      <c r="AP36" s="173" t="str">
        <f t="shared" si="2"/>
        <v/>
      </c>
      <c r="AR36" s="172" t="str">
        <f t="shared" si="3"/>
        <v/>
      </c>
    </row>
    <row r="37" spans="1:44" x14ac:dyDescent="0.25">
      <c r="A37" s="171" t="str">
        <f>'Miljövärden för publ företag'!B39</f>
        <v>Bollnäs Energi AB</v>
      </c>
      <c r="B37" s="171" t="str">
        <f>'Miljövärden för publ företag'!C39</f>
        <v>Bollnäs</v>
      </c>
      <c r="C37" s="121">
        <f>IFERROR(VLOOKUP($B37,Kraftvärmeprod!$B$1:$AH$478,MATCH(C$2,Kraftvärmeprod!$B$1:$AG$1,0),FALSE)/1,"")</f>
        <v>119.96</v>
      </c>
      <c r="D37" s="121">
        <f>IFERROR(VLOOKUP($B37,Kraftvärmeprod!$B$1:$AH$478,MATCH(D$2,Kraftvärmeprod!$B$1:$AG$1,0),FALSE)/1,"")</f>
        <v>29.18</v>
      </c>
      <c r="F37" s="121">
        <f>IF($D37="","",IFERROR(VLOOKUP($B37,Kraftvärmeprod!$B$1:$BX$549,MATCH(F$2,Kraftvärmeprod!$B$1:$VX$1,0),FALSE)/1,0)-IFERROR(VLOOKUP($B37,'Slutlig allokering kvv'!$B$2:$BX$549,MATCH(F$2,'Slutlig allokering kvv'!$B$1:$BX$1,0),FALSE)/1,0))</f>
        <v>0</v>
      </c>
      <c r="G37" s="121">
        <f>IF($D37="","",IFERROR(VLOOKUP($B37,Kraftvärmeprod!$B$1:$BX$549,MATCH(G$2,Kraftvärmeprod!$B$1:$VX$1,0),FALSE)/1,0)-IFERROR(VLOOKUP($B37,'Slutlig allokering kvv'!$B$2:$BX$549,MATCH(G$2,'Slutlig allokering kvv'!$B$1:$BX$1,0),FALSE)/1,0))</f>
        <v>0.4319980000000001</v>
      </c>
      <c r="H37" s="121">
        <f>IF($D37="","",IFERROR(VLOOKUP($B37,Kraftvärmeprod!$B$1:$BX$549,MATCH(H$2,Kraftvärmeprod!$B$1:$VX$1,0),FALSE)/1,0)-IFERROR(VLOOKUP($B37,'Slutlig allokering kvv'!$B$2:$BX$549,MATCH(H$2,'Slutlig allokering kvv'!$B$1:$BX$1,0),FALSE)/1,0))</f>
        <v>0</v>
      </c>
      <c r="I37" s="121">
        <f>IF($D37="","",IFERROR(VLOOKUP($B37,Kraftvärmeprod!$B$1:$BX$549,MATCH(I$2,Kraftvärmeprod!$B$1:$VX$1,0),FALSE)/1,0)-IFERROR(VLOOKUP($B37,'Slutlig allokering kvv'!$B$2:$BX$549,MATCH(I$2,'Slutlig allokering kvv'!$B$1:$BX$1,0),FALSE)/1,0))</f>
        <v>0</v>
      </c>
      <c r="J37" s="121">
        <f>IF($D37="","",IFERROR(VLOOKUP($B37,Kraftvärmeprod!$B$1:$BX$549,MATCH(J$2,Kraftvärmeprod!$B$1:$VX$1,0),FALSE)/1,0)-IFERROR(VLOOKUP($B37,'Slutlig allokering kvv'!$B$2:$BX$549,MATCH(J$2,'Slutlig allokering kvv'!$B$1:$BX$1,0),FALSE)/1,0))</f>
        <v>0</v>
      </c>
      <c r="K37" s="121">
        <f>IF($D37="","",IFERROR(VLOOKUP($B37,Kraftvärmeprod!$B$1:$BX$549,MATCH(K$2,Kraftvärmeprod!$B$1:$VX$1,0),FALSE)/1,0)-IFERROR(VLOOKUP($B37,'Slutlig allokering kvv'!$B$2:$BX$549,MATCH(K$2,'Slutlig allokering kvv'!$B$1:$BX$1,0),FALSE)/1,0))</f>
        <v>0</v>
      </c>
      <c r="L37" s="121">
        <f>IF($D37="","",IFERROR(VLOOKUP($B37,Kraftvärmeprod!$B$1:$BX$549,MATCH(L$2,Kraftvärmeprod!$B$1:$VX$1,0),FALSE)/1,0)-IFERROR(VLOOKUP($B37,'Slutlig allokering kvv'!$B$2:$BX$549,MATCH(L$2,'Slutlig allokering kvv'!$B$1:$BX$1,0),FALSE)/1,0))</f>
        <v>0</v>
      </c>
      <c r="M37" s="121">
        <f>IF($D37="","",IFERROR(VLOOKUP($B37,Kraftvärmeprod!$B$1:$BX$549,MATCH(M$2,Kraftvärmeprod!$B$1:$VX$1,0),FALSE)/1,0)-IFERROR(VLOOKUP($B37,'Slutlig allokering kvv'!$B$2:$BX$549,MATCH(M$2,'Slutlig allokering kvv'!$B$1:$BX$1,0),FALSE)/1,0))</f>
        <v>9.6993999999999997E-2</v>
      </c>
      <c r="N37" s="121">
        <f>IF($D37="","",IFERROR(VLOOKUP($B37,Kraftvärmeprod!$B$1:$BX$549,MATCH(N$2,Kraftvärmeprod!$B$1:$VX$1,0),FALSE)/1,0)-IFERROR(VLOOKUP($B37,'Slutlig allokering kvv'!$B$2:$BX$549,MATCH(N$2,'Slutlig allokering kvv'!$B$1:$BX$1,0),FALSE)/1,0))</f>
        <v>0</v>
      </c>
      <c r="O37" s="121">
        <f>IF($D37="","",IFERROR(VLOOKUP($B37,Kraftvärmeprod!$B$1:$BX$549,MATCH(O$2,Kraftvärmeprod!$B$1:$VX$1,0),FALSE)/1,0)-IFERROR(VLOOKUP($B37,'Slutlig allokering kvv'!$B$2:$BX$549,MATCH(O$2,'Slutlig allokering kvv'!$B$1:$BX$1,0),FALSE)/1,0))</f>
        <v>0</v>
      </c>
      <c r="P37" s="121">
        <f>IF($D37="","",IFERROR(VLOOKUP($B37,Kraftvärmeprod!$B$1:$BX$549,MATCH(P$2,Kraftvärmeprod!$B$1:$VX$1,0),FALSE)/1,0)-IFERROR(VLOOKUP($B37,'Slutlig allokering kvv'!$B$2:$BX$549,MATCH(P$2,'Slutlig allokering kvv'!$B$1:$BX$1,0),FALSE)/1,0))</f>
        <v>0</v>
      </c>
      <c r="Q37" s="121">
        <f>IF($D37="","",IFERROR(VLOOKUP($B37,Kraftvärmeprod!$B$1:$BX$549,MATCH(Q$2,Kraftvärmeprod!$B$1:$VX$1,0),FALSE)/1,0)-IFERROR(VLOOKUP($B37,'Slutlig allokering kvv'!$B$2:$BX$549,MATCH(Q$2,'Slutlig allokering kvv'!$B$1:$BX$1,0),FALSE)/1,0))</f>
        <v>0</v>
      </c>
      <c r="R37" s="121">
        <f>IF($D37="","",IFERROR(VLOOKUP($B37,Kraftvärmeprod!$B$1:$BX$549,MATCH(R$2,Kraftvärmeprod!$B$1:$VX$1,0),FALSE)/1,0)-IFERROR(VLOOKUP($B37,'Slutlig allokering kvv'!$B$2:$BX$549,MATCH(R$2,'Slutlig allokering kvv'!$B$1:$BX$1,0),FALSE)/1,0))</f>
        <v>0</v>
      </c>
      <c r="S37" s="121">
        <f>IF($D37="","",IFERROR(VLOOKUP($B37,Kraftvärmeprod!$B$1:$BX$549,MATCH(S$2,Kraftvärmeprod!$B$1:$VX$1,0),FALSE)/1,0)-IFERROR(VLOOKUP($B37,'Slutlig allokering kvv'!$B$2:$BX$549,MATCH(S$2,'Slutlig allokering kvv'!$B$1:$BX$1,0),FALSE)/1,0))</f>
        <v>0</v>
      </c>
      <c r="T37" s="121">
        <f>IF($D37="","",IFERROR(VLOOKUP($B37,Kraftvärmeprod!$B$1:$BX$549,MATCH(T$2,Kraftvärmeprod!$B$1:$VX$1,0),FALSE)/1,0)-IFERROR(VLOOKUP($B37,'Slutlig allokering kvv'!$B$2:$BX$549,MATCH(T$2,'Slutlig allokering kvv'!$B$1:$BX$1,0),FALSE)/1,0))</f>
        <v>0</v>
      </c>
      <c r="U37" s="121">
        <f>IF($D37="","",IFERROR(VLOOKUP($B37,Kraftvärmeprod!$B$1:$BX$549,MATCH(U$2,Kraftvärmeprod!$B$1:$VX$1,0),FALSE)/1,0)-IFERROR(VLOOKUP($B37,'Slutlig allokering kvv'!$B$2:$BX$549,MATCH(U$2,'Slutlig allokering kvv'!$B$1:$BX$1,0),FALSE)/1,0))</f>
        <v>0</v>
      </c>
      <c r="V37" s="121">
        <f>IF($D37="","",IFERROR(VLOOKUP($B37,Kraftvärmeprod!$B$1:$BX$549,MATCH(V$2,Kraftvärmeprod!$B$1:$VX$1,0),FALSE)/1,0)-IFERROR(VLOOKUP($B37,'Slutlig allokering kvv'!$B$2:$BX$549,MATCH(V$2,'Slutlig allokering kvv'!$B$1:$BX$1,0),FALSE)/1,0))</f>
        <v>0.14743000000000001</v>
      </c>
      <c r="W37" s="121">
        <f>IF($D37="","",IFERROR(VLOOKUP($B37,Kraftvärmeprod!$B$1:$BX$549,MATCH(W$2,Kraftvärmeprod!$B$1:$VX$1,0),FALSE)/1,0)-IFERROR(VLOOKUP($B37,'Slutlig allokering kvv'!$B$2:$BX$549,MATCH(W$2,'Slutlig allokering kvv'!$B$1:$BX$1,0),FALSE)/1,0))</f>
        <v>0</v>
      </c>
      <c r="X37" s="121">
        <f>IF($D37="","",IFERROR(VLOOKUP($B37,Kraftvärmeprod!$B$1:$BX$549,MATCH(X$2,Kraftvärmeprod!$B$1:$VX$1,0),FALSE)/1,0)-IFERROR(VLOOKUP($B37,'Slutlig allokering kvv'!$B$2:$BX$549,MATCH(X$2,'Slutlig allokering kvv'!$B$1:$BX$1,0),FALSE)/1,0))</f>
        <v>0</v>
      </c>
      <c r="Y37" s="121">
        <f>IF($D37="","",IFERROR(VLOOKUP($B37,Kraftvärmeprod!$B$1:$BX$549,MATCH(Y$2,Kraftvärmeprod!$B$1:$VX$1,0),FALSE)/1,0)-IFERROR(VLOOKUP($B37,'Slutlig allokering kvv'!$B$2:$BX$549,MATCH(Y$2,'Slutlig allokering kvv'!$B$1:$BX$1,0),FALSE)/1,0))</f>
        <v>0</v>
      </c>
      <c r="Z37" s="121">
        <f>IF($D37="","",IFERROR(VLOOKUP($B37,Kraftvärmeprod!$B$1:$BX$549,MATCH(Z$2,Kraftvärmeprod!$B$1:$VX$1,0),FALSE)/1,0)-IFERROR(VLOOKUP($B37,'Slutlig allokering kvv'!$B$2:$BX$549,MATCH(Z$2,'Slutlig allokering kvv'!$B$1:$BX$1,0),FALSE)/1,0))</f>
        <v>0</v>
      </c>
      <c r="AA37" s="121">
        <f>IF($D37="","",IFERROR(VLOOKUP($B37,Kraftvärmeprod!$B$1:$BX$549,MATCH(AA$2,Kraftvärmeprod!$B$1:$VX$1,0),FALSE)/1,0)-IFERROR(VLOOKUP($B37,'Slutlig allokering kvv'!$B$2:$BX$549,MATCH(AA$2,'Slutlig allokering kvv'!$B$1:$BX$1,0),FALSE)/1,0))</f>
        <v>66.529600000000002</v>
      </c>
      <c r="AB37" s="121">
        <f>IF($D37="","",IFERROR(VLOOKUP($B37,Kraftvärmeprod!$B$1:$BX$549,MATCH(AB$2,Kraftvärmeprod!$B$1:$VX$1,0),FALSE)/1,0)-IFERROR(VLOOKUP($B37,'Slutlig allokering kvv'!$B$2:$BX$549,MATCH(AB$2,'Slutlig allokering kvv'!$B$1:$BX$1,0),FALSE)/1,0))</f>
        <v>0</v>
      </c>
      <c r="AC37" s="121">
        <f>IF($D37="","",IFERROR(VLOOKUP($B37,Kraftvärmeprod!$B$1:$BX$549,MATCH(AC$2,Kraftvärmeprod!$B$1:$VX$1,0),FALSE)/1,0)-IFERROR(VLOOKUP($B37,'Slutlig allokering kvv'!$B$2:$BX$549,MATCH(AC$2,'Slutlig allokering kvv'!$B$1:$BX$1,0),FALSE)/1,0))</f>
        <v>0</v>
      </c>
      <c r="AD37" s="121">
        <f>IF($D37="","",IFERROR(VLOOKUP($B37,Kraftvärmeprod!$B$1:$BX$549,MATCH(AD$2,Kraftvärmeprod!$B$1:$VX$1,0),FALSE)/1,0)-IFERROR(VLOOKUP($B37,'Slutlig allokering kvv'!$B$2:$BX$549,MATCH(AD$2,'Slutlig allokering kvv'!$B$1:$BX$1,0),FALSE)/1,0))</f>
        <v>0</v>
      </c>
      <c r="AE37" s="121">
        <f>IF($D37="","",IFERROR(VLOOKUP($B37,Miljö!$B$1:$E$550,MATCH("Hjälpel kraftvärme (GWh)",Miljö!$B$1:$E$1,0),FALSE)/1,0)-IFERROR(VLOOKUP($B37,'Slutlig allokering kvv'!$B$2:$BX$549,MATCH(AE$2,'Slutlig allokering kvv'!$B$1:$BX$1,0),FALSE)/1,0))</f>
        <v>3.1695199999999994</v>
      </c>
      <c r="AI37" s="121">
        <f t="shared" si="0"/>
        <v>67.206022000000004</v>
      </c>
      <c r="AK37" s="121">
        <f>IFERROR(VLOOKUP($B37,'Slutlig allokering kvv'!$B$2:$AX$549,MATCH("Summa slutlig allokerad tillförd energi (utan hjälpel och rökgaskondensering):",'Slutlig allokering kvv'!$B$1:$AX$1,0),FALSE)/1,"")</f>
        <v>86.733977999999993</v>
      </c>
      <c r="AM37" s="172">
        <f>IFERROR(1-VLOOKUP($B37,'Slutlig allokering kvv'!$B$2:$AX$549,MATCH("Andel av bränsle i kvv som allokerats till värme, exklusive rökgaskondensering och hjälpel",'Slutlig allokering kvv'!$B$1:$AX$1,0),FALSE),"")</f>
        <v>0.43657283357152143</v>
      </c>
      <c r="AO37" s="172">
        <f t="shared" si="1"/>
        <v>0.43657283357152138</v>
      </c>
      <c r="AP37" s="173">
        <f t="shared" si="2"/>
        <v>5.5511151231257827E-17</v>
      </c>
      <c r="AR37" s="172">
        <f t="shared" si="3"/>
        <v>0.41463268588396796</v>
      </c>
    </row>
    <row r="38" spans="1:44" x14ac:dyDescent="0.25">
      <c r="A38" s="171" t="str">
        <f>'Miljövärden för publ företag'!B40</f>
        <v>Bollnäs Energi AB</v>
      </c>
      <c r="B38" s="171" t="str">
        <f>'Miljövärden för publ företag'!C40</f>
        <v>Kilafors</v>
      </c>
      <c r="C38" s="121" t="str">
        <f>IFERROR(VLOOKUP($B38,Kraftvärmeprod!$B$1:$AH$478,MATCH(C$2,Kraftvärmeprod!$B$1:$AG$1,0),FALSE)/1,"")</f>
        <v/>
      </c>
      <c r="D38" s="121" t="str">
        <f>IFERROR(VLOOKUP($B38,Kraftvärmeprod!$B$1:$AH$478,MATCH(D$2,Kraftvärmeprod!$B$1:$AG$1,0),FALSE)/1,"")</f>
        <v/>
      </c>
      <c r="F38" s="121" t="str">
        <f>IF($D38="","",IFERROR(VLOOKUP($B38,Kraftvärmeprod!$B$1:$BX$549,MATCH(F$2,Kraftvärmeprod!$B$1:$VX$1,0),FALSE)/1,0)-IFERROR(VLOOKUP($B38,'Slutlig allokering kvv'!$B$2:$BX$549,MATCH(F$2,'Slutlig allokering kvv'!$B$1:$BX$1,0),FALSE)/1,0))</f>
        <v/>
      </c>
      <c r="G38" s="121" t="str">
        <f>IF($D38="","",IFERROR(VLOOKUP($B38,Kraftvärmeprod!$B$1:$BX$549,MATCH(G$2,Kraftvärmeprod!$B$1:$VX$1,0),FALSE)/1,0)-IFERROR(VLOOKUP($B38,'Slutlig allokering kvv'!$B$2:$BX$549,MATCH(G$2,'Slutlig allokering kvv'!$B$1:$BX$1,0),FALSE)/1,0))</f>
        <v/>
      </c>
      <c r="H38" s="121" t="str">
        <f>IF($D38="","",IFERROR(VLOOKUP($B38,Kraftvärmeprod!$B$1:$BX$549,MATCH(H$2,Kraftvärmeprod!$B$1:$VX$1,0),FALSE)/1,0)-IFERROR(VLOOKUP($B38,'Slutlig allokering kvv'!$B$2:$BX$549,MATCH(H$2,'Slutlig allokering kvv'!$B$1:$BX$1,0),FALSE)/1,0))</f>
        <v/>
      </c>
      <c r="I38" s="121" t="str">
        <f>IF($D38="","",IFERROR(VLOOKUP($B38,Kraftvärmeprod!$B$1:$BX$549,MATCH(I$2,Kraftvärmeprod!$B$1:$VX$1,0),FALSE)/1,0)-IFERROR(VLOOKUP($B38,'Slutlig allokering kvv'!$B$2:$BX$549,MATCH(I$2,'Slutlig allokering kvv'!$B$1:$BX$1,0),FALSE)/1,0))</f>
        <v/>
      </c>
      <c r="J38" s="121" t="str">
        <f>IF($D38="","",IFERROR(VLOOKUP($B38,Kraftvärmeprod!$B$1:$BX$549,MATCH(J$2,Kraftvärmeprod!$B$1:$VX$1,0),FALSE)/1,0)-IFERROR(VLOOKUP($B38,'Slutlig allokering kvv'!$B$2:$BX$549,MATCH(J$2,'Slutlig allokering kvv'!$B$1:$BX$1,0),FALSE)/1,0))</f>
        <v/>
      </c>
      <c r="K38" s="121" t="str">
        <f>IF($D38="","",IFERROR(VLOOKUP($B38,Kraftvärmeprod!$B$1:$BX$549,MATCH(K$2,Kraftvärmeprod!$B$1:$VX$1,0),FALSE)/1,0)-IFERROR(VLOOKUP($B38,'Slutlig allokering kvv'!$B$2:$BX$549,MATCH(K$2,'Slutlig allokering kvv'!$B$1:$BX$1,0),FALSE)/1,0))</f>
        <v/>
      </c>
      <c r="L38" s="121" t="str">
        <f>IF($D38="","",IFERROR(VLOOKUP($B38,Kraftvärmeprod!$B$1:$BX$549,MATCH(L$2,Kraftvärmeprod!$B$1:$VX$1,0),FALSE)/1,0)-IFERROR(VLOOKUP($B38,'Slutlig allokering kvv'!$B$2:$BX$549,MATCH(L$2,'Slutlig allokering kvv'!$B$1:$BX$1,0),FALSE)/1,0))</f>
        <v/>
      </c>
      <c r="M38" s="121" t="str">
        <f>IF($D38="","",IFERROR(VLOOKUP($B38,Kraftvärmeprod!$B$1:$BX$549,MATCH(M$2,Kraftvärmeprod!$B$1:$VX$1,0),FALSE)/1,0)-IFERROR(VLOOKUP($B38,'Slutlig allokering kvv'!$B$2:$BX$549,MATCH(M$2,'Slutlig allokering kvv'!$B$1:$BX$1,0),FALSE)/1,0))</f>
        <v/>
      </c>
      <c r="N38" s="121" t="str">
        <f>IF($D38="","",IFERROR(VLOOKUP($B38,Kraftvärmeprod!$B$1:$BX$549,MATCH(N$2,Kraftvärmeprod!$B$1:$VX$1,0),FALSE)/1,0)-IFERROR(VLOOKUP($B38,'Slutlig allokering kvv'!$B$2:$BX$549,MATCH(N$2,'Slutlig allokering kvv'!$B$1:$BX$1,0),FALSE)/1,0))</f>
        <v/>
      </c>
      <c r="O38" s="121" t="str">
        <f>IF($D38="","",IFERROR(VLOOKUP($B38,Kraftvärmeprod!$B$1:$BX$549,MATCH(O$2,Kraftvärmeprod!$B$1:$VX$1,0),FALSE)/1,0)-IFERROR(VLOOKUP($B38,'Slutlig allokering kvv'!$B$2:$BX$549,MATCH(O$2,'Slutlig allokering kvv'!$B$1:$BX$1,0),FALSE)/1,0))</f>
        <v/>
      </c>
      <c r="P38" s="121" t="str">
        <f>IF($D38="","",IFERROR(VLOOKUP($B38,Kraftvärmeprod!$B$1:$BX$549,MATCH(P$2,Kraftvärmeprod!$B$1:$VX$1,0),FALSE)/1,0)-IFERROR(VLOOKUP($B38,'Slutlig allokering kvv'!$B$2:$BX$549,MATCH(P$2,'Slutlig allokering kvv'!$B$1:$BX$1,0),FALSE)/1,0))</f>
        <v/>
      </c>
      <c r="Q38" s="121" t="str">
        <f>IF($D38="","",IFERROR(VLOOKUP($B38,Kraftvärmeprod!$B$1:$BX$549,MATCH(Q$2,Kraftvärmeprod!$B$1:$VX$1,0),FALSE)/1,0)-IFERROR(VLOOKUP($B38,'Slutlig allokering kvv'!$B$2:$BX$549,MATCH(Q$2,'Slutlig allokering kvv'!$B$1:$BX$1,0),FALSE)/1,0))</f>
        <v/>
      </c>
      <c r="R38" s="121" t="str">
        <f>IF($D38="","",IFERROR(VLOOKUP($B38,Kraftvärmeprod!$B$1:$BX$549,MATCH(R$2,Kraftvärmeprod!$B$1:$VX$1,0),FALSE)/1,0)-IFERROR(VLOOKUP($B38,'Slutlig allokering kvv'!$B$2:$BX$549,MATCH(R$2,'Slutlig allokering kvv'!$B$1:$BX$1,0),FALSE)/1,0))</f>
        <v/>
      </c>
      <c r="S38" s="121" t="str">
        <f>IF($D38="","",IFERROR(VLOOKUP($B38,Kraftvärmeprod!$B$1:$BX$549,MATCH(S$2,Kraftvärmeprod!$B$1:$VX$1,0),FALSE)/1,0)-IFERROR(VLOOKUP($B38,'Slutlig allokering kvv'!$B$2:$BX$549,MATCH(S$2,'Slutlig allokering kvv'!$B$1:$BX$1,0),FALSE)/1,0))</f>
        <v/>
      </c>
      <c r="T38" s="121" t="str">
        <f>IF($D38="","",IFERROR(VLOOKUP($B38,Kraftvärmeprod!$B$1:$BX$549,MATCH(T$2,Kraftvärmeprod!$B$1:$VX$1,0),FALSE)/1,0)-IFERROR(VLOOKUP($B38,'Slutlig allokering kvv'!$B$2:$BX$549,MATCH(T$2,'Slutlig allokering kvv'!$B$1:$BX$1,0),FALSE)/1,0))</f>
        <v/>
      </c>
      <c r="U38" s="121" t="str">
        <f>IF($D38="","",IFERROR(VLOOKUP($B38,Kraftvärmeprod!$B$1:$BX$549,MATCH(U$2,Kraftvärmeprod!$B$1:$VX$1,0),FALSE)/1,0)-IFERROR(VLOOKUP($B38,'Slutlig allokering kvv'!$B$2:$BX$549,MATCH(U$2,'Slutlig allokering kvv'!$B$1:$BX$1,0),FALSE)/1,0))</f>
        <v/>
      </c>
      <c r="V38" s="121" t="str">
        <f>IF($D38="","",IFERROR(VLOOKUP($B38,Kraftvärmeprod!$B$1:$BX$549,MATCH(V$2,Kraftvärmeprod!$B$1:$VX$1,0),FALSE)/1,0)-IFERROR(VLOOKUP($B38,'Slutlig allokering kvv'!$B$2:$BX$549,MATCH(V$2,'Slutlig allokering kvv'!$B$1:$BX$1,0),FALSE)/1,0))</f>
        <v/>
      </c>
      <c r="W38" s="121" t="str">
        <f>IF($D38="","",IFERROR(VLOOKUP($B38,Kraftvärmeprod!$B$1:$BX$549,MATCH(W$2,Kraftvärmeprod!$B$1:$VX$1,0),FALSE)/1,0)-IFERROR(VLOOKUP($B38,'Slutlig allokering kvv'!$B$2:$BX$549,MATCH(W$2,'Slutlig allokering kvv'!$B$1:$BX$1,0),FALSE)/1,0))</f>
        <v/>
      </c>
      <c r="X38" s="121" t="str">
        <f>IF($D38="","",IFERROR(VLOOKUP($B38,Kraftvärmeprod!$B$1:$BX$549,MATCH(X$2,Kraftvärmeprod!$B$1:$VX$1,0),FALSE)/1,0)-IFERROR(VLOOKUP($B38,'Slutlig allokering kvv'!$B$2:$BX$549,MATCH(X$2,'Slutlig allokering kvv'!$B$1:$BX$1,0),FALSE)/1,0))</f>
        <v/>
      </c>
      <c r="Y38" s="121" t="str">
        <f>IF($D38="","",IFERROR(VLOOKUP($B38,Kraftvärmeprod!$B$1:$BX$549,MATCH(Y$2,Kraftvärmeprod!$B$1:$VX$1,0),FALSE)/1,0)-IFERROR(VLOOKUP($B38,'Slutlig allokering kvv'!$B$2:$BX$549,MATCH(Y$2,'Slutlig allokering kvv'!$B$1:$BX$1,0),FALSE)/1,0))</f>
        <v/>
      </c>
      <c r="Z38" s="121" t="str">
        <f>IF($D38="","",IFERROR(VLOOKUP($B38,Kraftvärmeprod!$B$1:$BX$549,MATCH(Z$2,Kraftvärmeprod!$B$1:$VX$1,0),FALSE)/1,0)-IFERROR(VLOOKUP($B38,'Slutlig allokering kvv'!$B$2:$BX$549,MATCH(Z$2,'Slutlig allokering kvv'!$B$1:$BX$1,0),FALSE)/1,0))</f>
        <v/>
      </c>
      <c r="AA38" s="121" t="str">
        <f>IF($D38="","",IFERROR(VLOOKUP($B38,Kraftvärmeprod!$B$1:$BX$549,MATCH(AA$2,Kraftvärmeprod!$B$1:$VX$1,0),FALSE)/1,0)-IFERROR(VLOOKUP($B38,'Slutlig allokering kvv'!$B$2:$BX$549,MATCH(AA$2,'Slutlig allokering kvv'!$B$1:$BX$1,0),FALSE)/1,0))</f>
        <v/>
      </c>
      <c r="AB38" s="121" t="str">
        <f>IF($D38="","",IFERROR(VLOOKUP($B38,Kraftvärmeprod!$B$1:$BX$549,MATCH(AB$2,Kraftvärmeprod!$B$1:$VX$1,0),FALSE)/1,0)-IFERROR(VLOOKUP($B38,'Slutlig allokering kvv'!$B$2:$BX$549,MATCH(AB$2,'Slutlig allokering kvv'!$B$1:$BX$1,0),FALSE)/1,0))</f>
        <v/>
      </c>
      <c r="AC38" s="121" t="str">
        <f>IF($D38="","",IFERROR(VLOOKUP($B38,Kraftvärmeprod!$B$1:$BX$549,MATCH(AC$2,Kraftvärmeprod!$B$1:$VX$1,0),FALSE)/1,0)-IFERROR(VLOOKUP($B38,'Slutlig allokering kvv'!$B$2:$BX$549,MATCH(AC$2,'Slutlig allokering kvv'!$B$1:$BX$1,0),FALSE)/1,0))</f>
        <v/>
      </c>
      <c r="AD38" s="121" t="str">
        <f>IF($D38="","",IFERROR(VLOOKUP($B38,Kraftvärmeprod!$B$1:$BX$549,MATCH(AD$2,Kraftvärmeprod!$B$1:$VX$1,0),FALSE)/1,0)-IFERROR(VLOOKUP($B38,'Slutlig allokering kvv'!$B$2:$BX$549,MATCH(AD$2,'Slutlig allokering kvv'!$B$1:$BX$1,0),FALSE)/1,0))</f>
        <v/>
      </c>
      <c r="AE38" s="121" t="str">
        <f>IF($D38="","",IFERROR(VLOOKUP($B38,Miljö!$B$1:$E$550,MATCH("Hjälpel kraftvärme (GWh)",Miljö!$B$1:$E$1,0),FALSE)/1,0)-IFERROR(VLOOKUP($B38,'Slutlig allokering kvv'!$B$2:$BX$549,MATCH(AE$2,'Slutlig allokering kvv'!$B$1:$BX$1,0),FALSE)/1,0))</f>
        <v/>
      </c>
      <c r="AI38" s="121">
        <f t="shared" si="0"/>
        <v>0</v>
      </c>
      <c r="AK38" s="121">
        <f>IFERROR(VLOOKUP($B38,'Slutlig allokering kvv'!$B$2:$AX$549,MATCH("Summa slutlig allokerad tillförd energi (utan hjälpel och rökgaskondensering):",'Slutlig allokering kvv'!$B$1:$AX$1,0),FALSE)/1,"")</f>
        <v>0</v>
      </c>
      <c r="AM38" s="172" t="str">
        <f>IFERROR(1-VLOOKUP($B38,'Slutlig allokering kvv'!$B$2:$AX$549,MATCH("Andel av bränsle i kvv som allokerats till värme, exklusive rökgaskondensering och hjälpel",'Slutlig allokering kvv'!$B$1:$AX$1,0),FALSE),"")</f>
        <v/>
      </c>
      <c r="AO38" s="172" t="str">
        <f t="shared" si="1"/>
        <v/>
      </c>
      <c r="AP38" s="173" t="str">
        <f t="shared" si="2"/>
        <v/>
      </c>
      <c r="AR38" s="172" t="str">
        <f t="shared" si="3"/>
        <v/>
      </c>
    </row>
    <row r="39" spans="1:44" x14ac:dyDescent="0.25">
      <c r="A39" s="171" t="str">
        <f>'Miljövärden för publ företag'!B41</f>
        <v>Borgholm Energi AB</v>
      </c>
      <c r="B39" s="171" t="str">
        <f>'Miljövärden för publ företag'!C41</f>
        <v>Borgholm</v>
      </c>
      <c r="C39" s="121" t="str">
        <f>IFERROR(VLOOKUP($B39,Kraftvärmeprod!$B$1:$AH$478,MATCH(C$2,Kraftvärmeprod!$B$1:$AG$1,0),FALSE)/1,"")</f>
        <v/>
      </c>
      <c r="D39" s="121" t="str">
        <f>IFERROR(VLOOKUP($B39,Kraftvärmeprod!$B$1:$AH$478,MATCH(D$2,Kraftvärmeprod!$B$1:$AG$1,0),FALSE)/1,"")</f>
        <v/>
      </c>
      <c r="F39" s="121" t="str">
        <f>IF($D39="","",IFERROR(VLOOKUP($B39,Kraftvärmeprod!$B$1:$BX$549,MATCH(F$2,Kraftvärmeprod!$B$1:$VX$1,0),FALSE)/1,0)-IFERROR(VLOOKUP($B39,'Slutlig allokering kvv'!$B$2:$BX$549,MATCH(F$2,'Slutlig allokering kvv'!$B$1:$BX$1,0),FALSE)/1,0))</f>
        <v/>
      </c>
      <c r="G39" s="121" t="str">
        <f>IF($D39="","",IFERROR(VLOOKUP($B39,Kraftvärmeprod!$B$1:$BX$549,MATCH(G$2,Kraftvärmeprod!$B$1:$VX$1,0),FALSE)/1,0)-IFERROR(VLOOKUP($B39,'Slutlig allokering kvv'!$B$2:$BX$549,MATCH(G$2,'Slutlig allokering kvv'!$B$1:$BX$1,0),FALSE)/1,0))</f>
        <v/>
      </c>
      <c r="H39" s="121" t="str">
        <f>IF($D39="","",IFERROR(VLOOKUP($B39,Kraftvärmeprod!$B$1:$BX$549,MATCH(H$2,Kraftvärmeprod!$B$1:$VX$1,0),FALSE)/1,0)-IFERROR(VLOOKUP($B39,'Slutlig allokering kvv'!$B$2:$BX$549,MATCH(H$2,'Slutlig allokering kvv'!$B$1:$BX$1,0),FALSE)/1,0))</f>
        <v/>
      </c>
      <c r="I39" s="121" t="str">
        <f>IF($D39="","",IFERROR(VLOOKUP($B39,Kraftvärmeprod!$B$1:$BX$549,MATCH(I$2,Kraftvärmeprod!$B$1:$VX$1,0),FALSE)/1,0)-IFERROR(VLOOKUP($B39,'Slutlig allokering kvv'!$B$2:$BX$549,MATCH(I$2,'Slutlig allokering kvv'!$B$1:$BX$1,0),FALSE)/1,0))</f>
        <v/>
      </c>
      <c r="J39" s="121" t="str">
        <f>IF($D39="","",IFERROR(VLOOKUP($B39,Kraftvärmeprod!$B$1:$BX$549,MATCH(J$2,Kraftvärmeprod!$B$1:$VX$1,0),FALSE)/1,0)-IFERROR(VLOOKUP($B39,'Slutlig allokering kvv'!$B$2:$BX$549,MATCH(J$2,'Slutlig allokering kvv'!$B$1:$BX$1,0),FALSE)/1,0))</f>
        <v/>
      </c>
      <c r="K39" s="121" t="str">
        <f>IF($D39="","",IFERROR(VLOOKUP($B39,Kraftvärmeprod!$B$1:$BX$549,MATCH(K$2,Kraftvärmeprod!$B$1:$VX$1,0),FALSE)/1,0)-IFERROR(VLOOKUP($B39,'Slutlig allokering kvv'!$B$2:$BX$549,MATCH(K$2,'Slutlig allokering kvv'!$B$1:$BX$1,0),FALSE)/1,0))</f>
        <v/>
      </c>
      <c r="L39" s="121" t="str">
        <f>IF($D39="","",IFERROR(VLOOKUP($B39,Kraftvärmeprod!$B$1:$BX$549,MATCH(L$2,Kraftvärmeprod!$B$1:$VX$1,0),FALSE)/1,0)-IFERROR(VLOOKUP($B39,'Slutlig allokering kvv'!$B$2:$BX$549,MATCH(L$2,'Slutlig allokering kvv'!$B$1:$BX$1,0),FALSE)/1,0))</f>
        <v/>
      </c>
      <c r="M39" s="121" t="str">
        <f>IF($D39="","",IFERROR(VLOOKUP($B39,Kraftvärmeprod!$B$1:$BX$549,MATCH(M$2,Kraftvärmeprod!$B$1:$VX$1,0),FALSE)/1,0)-IFERROR(VLOOKUP($B39,'Slutlig allokering kvv'!$B$2:$BX$549,MATCH(M$2,'Slutlig allokering kvv'!$B$1:$BX$1,0),FALSE)/1,0))</f>
        <v/>
      </c>
      <c r="N39" s="121" t="str">
        <f>IF($D39="","",IFERROR(VLOOKUP($B39,Kraftvärmeprod!$B$1:$BX$549,MATCH(N$2,Kraftvärmeprod!$B$1:$VX$1,0),FALSE)/1,0)-IFERROR(VLOOKUP($B39,'Slutlig allokering kvv'!$B$2:$BX$549,MATCH(N$2,'Slutlig allokering kvv'!$B$1:$BX$1,0),FALSE)/1,0))</f>
        <v/>
      </c>
      <c r="O39" s="121" t="str">
        <f>IF($D39="","",IFERROR(VLOOKUP($B39,Kraftvärmeprod!$B$1:$BX$549,MATCH(O$2,Kraftvärmeprod!$B$1:$VX$1,0),FALSE)/1,0)-IFERROR(VLOOKUP($B39,'Slutlig allokering kvv'!$B$2:$BX$549,MATCH(O$2,'Slutlig allokering kvv'!$B$1:$BX$1,0),FALSE)/1,0))</f>
        <v/>
      </c>
      <c r="P39" s="121" t="str">
        <f>IF($D39="","",IFERROR(VLOOKUP($B39,Kraftvärmeprod!$B$1:$BX$549,MATCH(P$2,Kraftvärmeprod!$B$1:$VX$1,0),FALSE)/1,0)-IFERROR(VLOOKUP($B39,'Slutlig allokering kvv'!$B$2:$BX$549,MATCH(P$2,'Slutlig allokering kvv'!$B$1:$BX$1,0),FALSE)/1,0))</f>
        <v/>
      </c>
      <c r="Q39" s="121" t="str">
        <f>IF($D39="","",IFERROR(VLOOKUP($B39,Kraftvärmeprod!$B$1:$BX$549,MATCH(Q$2,Kraftvärmeprod!$B$1:$VX$1,0),FALSE)/1,0)-IFERROR(VLOOKUP($B39,'Slutlig allokering kvv'!$B$2:$BX$549,MATCH(Q$2,'Slutlig allokering kvv'!$B$1:$BX$1,0),FALSE)/1,0))</f>
        <v/>
      </c>
      <c r="R39" s="121" t="str">
        <f>IF($D39="","",IFERROR(VLOOKUP($B39,Kraftvärmeprod!$B$1:$BX$549,MATCH(R$2,Kraftvärmeprod!$B$1:$VX$1,0),FALSE)/1,0)-IFERROR(VLOOKUP($B39,'Slutlig allokering kvv'!$B$2:$BX$549,MATCH(R$2,'Slutlig allokering kvv'!$B$1:$BX$1,0),FALSE)/1,0))</f>
        <v/>
      </c>
      <c r="S39" s="121" t="str">
        <f>IF($D39="","",IFERROR(VLOOKUP($B39,Kraftvärmeprod!$B$1:$BX$549,MATCH(S$2,Kraftvärmeprod!$B$1:$VX$1,0),FALSE)/1,0)-IFERROR(VLOOKUP($B39,'Slutlig allokering kvv'!$B$2:$BX$549,MATCH(S$2,'Slutlig allokering kvv'!$B$1:$BX$1,0),FALSE)/1,0))</f>
        <v/>
      </c>
      <c r="T39" s="121" t="str">
        <f>IF($D39="","",IFERROR(VLOOKUP($B39,Kraftvärmeprod!$B$1:$BX$549,MATCH(T$2,Kraftvärmeprod!$B$1:$VX$1,0),FALSE)/1,0)-IFERROR(VLOOKUP($B39,'Slutlig allokering kvv'!$B$2:$BX$549,MATCH(T$2,'Slutlig allokering kvv'!$B$1:$BX$1,0),FALSE)/1,0))</f>
        <v/>
      </c>
      <c r="U39" s="121" t="str">
        <f>IF($D39="","",IFERROR(VLOOKUP($B39,Kraftvärmeprod!$B$1:$BX$549,MATCH(U$2,Kraftvärmeprod!$B$1:$VX$1,0),FALSE)/1,0)-IFERROR(VLOOKUP($B39,'Slutlig allokering kvv'!$B$2:$BX$549,MATCH(U$2,'Slutlig allokering kvv'!$B$1:$BX$1,0),FALSE)/1,0))</f>
        <v/>
      </c>
      <c r="V39" s="121" t="str">
        <f>IF($D39="","",IFERROR(VLOOKUP($B39,Kraftvärmeprod!$B$1:$BX$549,MATCH(V$2,Kraftvärmeprod!$B$1:$VX$1,0),FALSE)/1,0)-IFERROR(VLOOKUP($B39,'Slutlig allokering kvv'!$B$2:$BX$549,MATCH(V$2,'Slutlig allokering kvv'!$B$1:$BX$1,0),FALSE)/1,0))</f>
        <v/>
      </c>
      <c r="W39" s="121" t="str">
        <f>IF($D39="","",IFERROR(VLOOKUP($B39,Kraftvärmeprod!$B$1:$BX$549,MATCH(W$2,Kraftvärmeprod!$B$1:$VX$1,0),FALSE)/1,0)-IFERROR(VLOOKUP($B39,'Slutlig allokering kvv'!$B$2:$BX$549,MATCH(W$2,'Slutlig allokering kvv'!$B$1:$BX$1,0),FALSE)/1,0))</f>
        <v/>
      </c>
      <c r="X39" s="121" t="str">
        <f>IF($D39="","",IFERROR(VLOOKUP($B39,Kraftvärmeprod!$B$1:$BX$549,MATCH(X$2,Kraftvärmeprod!$B$1:$VX$1,0),FALSE)/1,0)-IFERROR(VLOOKUP($B39,'Slutlig allokering kvv'!$B$2:$BX$549,MATCH(X$2,'Slutlig allokering kvv'!$B$1:$BX$1,0),FALSE)/1,0))</f>
        <v/>
      </c>
      <c r="Y39" s="121" t="str">
        <f>IF($D39="","",IFERROR(VLOOKUP($B39,Kraftvärmeprod!$B$1:$BX$549,MATCH(Y$2,Kraftvärmeprod!$B$1:$VX$1,0),FALSE)/1,0)-IFERROR(VLOOKUP($B39,'Slutlig allokering kvv'!$B$2:$BX$549,MATCH(Y$2,'Slutlig allokering kvv'!$B$1:$BX$1,0),FALSE)/1,0))</f>
        <v/>
      </c>
      <c r="Z39" s="121" t="str">
        <f>IF($D39="","",IFERROR(VLOOKUP($B39,Kraftvärmeprod!$B$1:$BX$549,MATCH(Z$2,Kraftvärmeprod!$B$1:$VX$1,0),FALSE)/1,0)-IFERROR(VLOOKUP($B39,'Slutlig allokering kvv'!$B$2:$BX$549,MATCH(Z$2,'Slutlig allokering kvv'!$B$1:$BX$1,0),FALSE)/1,0))</f>
        <v/>
      </c>
      <c r="AA39" s="121" t="str">
        <f>IF($D39="","",IFERROR(VLOOKUP($B39,Kraftvärmeprod!$B$1:$BX$549,MATCH(AA$2,Kraftvärmeprod!$B$1:$VX$1,0),FALSE)/1,0)-IFERROR(VLOOKUP($B39,'Slutlig allokering kvv'!$B$2:$BX$549,MATCH(AA$2,'Slutlig allokering kvv'!$B$1:$BX$1,0),FALSE)/1,0))</f>
        <v/>
      </c>
      <c r="AB39" s="121" t="str">
        <f>IF($D39="","",IFERROR(VLOOKUP($B39,Kraftvärmeprod!$B$1:$BX$549,MATCH(AB$2,Kraftvärmeprod!$B$1:$VX$1,0),FALSE)/1,0)-IFERROR(VLOOKUP($B39,'Slutlig allokering kvv'!$B$2:$BX$549,MATCH(AB$2,'Slutlig allokering kvv'!$B$1:$BX$1,0),FALSE)/1,0))</f>
        <v/>
      </c>
      <c r="AC39" s="121" t="str">
        <f>IF($D39="","",IFERROR(VLOOKUP($B39,Kraftvärmeprod!$B$1:$BX$549,MATCH(AC$2,Kraftvärmeprod!$B$1:$VX$1,0),FALSE)/1,0)-IFERROR(VLOOKUP($B39,'Slutlig allokering kvv'!$B$2:$BX$549,MATCH(AC$2,'Slutlig allokering kvv'!$B$1:$BX$1,0),FALSE)/1,0))</f>
        <v/>
      </c>
      <c r="AD39" s="121" t="str">
        <f>IF($D39="","",IFERROR(VLOOKUP($B39,Kraftvärmeprod!$B$1:$BX$549,MATCH(AD$2,Kraftvärmeprod!$B$1:$VX$1,0),FALSE)/1,0)-IFERROR(VLOOKUP($B39,'Slutlig allokering kvv'!$B$2:$BX$549,MATCH(AD$2,'Slutlig allokering kvv'!$B$1:$BX$1,0),FALSE)/1,0))</f>
        <v/>
      </c>
      <c r="AE39" s="121" t="str">
        <f>IF($D39="","",IFERROR(VLOOKUP($B39,Miljö!$B$1:$E$550,MATCH("Hjälpel kraftvärme (GWh)",Miljö!$B$1:$E$1,0),FALSE)/1,0)-IFERROR(VLOOKUP($B39,'Slutlig allokering kvv'!$B$2:$BX$549,MATCH(AE$2,'Slutlig allokering kvv'!$B$1:$BX$1,0),FALSE)/1,0))</f>
        <v/>
      </c>
      <c r="AI39" s="121">
        <f t="shared" si="0"/>
        <v>0</v>
      </c>
      <c r="AK39" s="121">
        <f>IFERROR(VLOOKUP($B39,'Slutlig allokering kvv'!$B$2:$AX$549,MATCH("Summa slutlig allokerad tillförd energi (utan hjälpel och rökgaskondensering):",'Slutlig allokering kvv'!$B$1:$AX$1,0),FALSE)/1,"")</f>
        <v>0</v>
      </c>
      <c r="AM39" s="172" t="str">
        <f>IFERROR(1-VLOOKUP($B39,'Slutlig allokering kvv'!$B$2:$AX$549,MATCH("Andel av bränsle i kvv som allokerats till värme, exklusive rökgaskondensering och hjälpel",'Slutlig allokering kvv'!$B$1:$AX$1,0),FALSE),"")</f>
        <v/>
      </c>
      <c r="AO39" s="172" t="str">
        <f t="shared" si="1"/>
        <v/>
      </c>
      <c r="AP39" s="173" t="str">
        <f t="shared" si="2"/>
        <v/>
      </c>
      <c r="AR39" s="172" t="str">
        <f t="shared" si="3"/>
        <v/>
      </c>
    </row>
    <row r="40" spans="1:44" x14ac:dyDescent="0.25">
      <c r="A40" s="171" t="str">
        <f>'Miljövärden för publ företag'!B42</f>
        <v>Borgholm Energi AB</v>
      </c>
      <c r="B40" s="171" t="str">
        <f>'Miljövärden för publ företag'!C42</f>
        <v>Löttorp</v>
      </c>
      <c r="C40" s="121" t="str">
        <f>IFERROR(VLOOKUP($B40,Kraftvärmeprod!$B$1:$AH$478,MATCH(C$2,Kraftvärmeprod!$B$1:$AG$1,0),FALSE)/1,"")</f>
        <v/>
      </c>
      <c r="D40" s="121" t="str">
        <f>IFERROR(VLOOKUP($B40,Kraftvärmeprod!$B$1:$AH$478,MATCH(D$2,Kraftvärmeprod!$B$1:$AG$1,0),FALSE)/1,"")</f>
        <v/>
      </c>
      <c r="F40" s="121" t="str">
        <f>IF($D40="","",IFERROR(VLOOKUP($B40,Kraftvärmeprod!$B$1:$BX$549,MATCH(F$2,Kraftvärmeprod!$B$1:$VX$1,0),FALSE)/1,0)-IFERROR(VLOOKUP($B40,'Slutlig allokering kvv'!$B$2:$BX$549,MATCH(F$2,'Slutlig allokering kvv'!$B$1:$BX$1,0),FALSE)/1,0))</f>
        <v/>
      </c>
      <c r="G40" s="121" t="str">
        <f>IF($D40="","",IFERROR(VLOOKUP($B40,Kraftvärmeprod!$B$1:$BX$549,MATCH(G$2,Kraftvärmeprod!$B$1:$VX$1,0),FALSE)/1,0)-IFERROR(VLOOKUP($B40,'Slutlig allokering kvv'!$B$2:$BX$549,MATCH(G$2,'Slutlig allokering kvv'!$B$1:$BX$1,0),FALSE)/1,0))</f>
        <v/>
      </c>
      <c r="H40" s="121" t="str">
        <f>IF($D40="","",IFERROR(VLOOKUP($B40,Kraftvärmeprod!$B$1:$BX$549,MATCH(H$2,Kraftvärmeprod!$B$1:$VX$1,0),FALSE)/1,0)-IFERROR(VLOOKUP($B40,'Slutlig allokering kvv'!$B$2:$BX$549,MATCH(H$2,'Slutlig allokering kvv'!$B$1:$BX$1,0),FALSE)/1,0))</f>
        <v/>
      </c>
      <c r="I40" s="121" t="str">
        <f>IF($D40="","",IFERROR(VLOOKUP($B40,Kraftvärmeprod!$B$1:$BX$549,MATCH(I$2,Kraftvärmeprod!$B$1:$VX$1,0),FALSE)/1,0)-IFERROR(VLOOKUP($B40,'Slutlig allokering kvv'!$B$2:$BX$549,MATCH(I$2,'Slutlig allokering kvv'!$B$1:$BX$1,0),FALSE)/1,0))</f>
        <v/>
      </c>
      <c r="J40" s="121" t="str">
        <f>IF($D40="","",IFERROR(VLOOKUP($B40,Kraftvärmeprod!$B$1:$BX$549,MATCH(J$2,Kraftvärmeprod!$B$1:$VX$1,0),FALSE)/1,0)-IFERROR(VLOOKUP($B40,'Slutlig allokering kvv'!$B$2:$BX$549,MATCH(J$2,'Slutlig allokering kvv'!$B$1:$BX$1,0),FALSE)/1,0))</f>
        <v/>
      </c>
      <c r="K40" s="121" t="str">
        <f>IF($D40="","",IFERROR(VLOOKUP($B40,Kraftvärmeprod!$B$1:$BX$549,MATCH(K$2,Kraftvärmeprod!$B$1:$VX$1,0),FALSE)/1,0)-IFERROR(VLOOKUP($B40,'Slutlig allokering kvv'!$B$2:$BX$549,MATCH(K$2,'Slutlig allokering kvv'!$B$1:$BX$1,0),FALSE)/1,0))</f>
        <v/>
      </c>
      <c r="L40" s="121" t="str">
        <f>IF($D40="","",IFERROR(VLOOKUP($B40,Kraftvärmeprod!$B$1:$BX$549,MATCH(L$2,Kraftvärmeprod!$B$1:$VX$1,0),FALSE)/1,0)-IFERROR(VLOOKUP($B40,'Slutlig allokering kvv'!$B$2:$BX$549,MATCH(L$2,'Slutlig allokering kvv'!$B$1:$BX$1,0),FALSE)/1,0))</f>
        <v/>
      </c>
      <c r="M40" s="121" t="str">
        <f>IF($D40="","",IFERROR(VLOOKUP($B40,Kraftvärmeprod!$B$1:$BX$549,MATCH(M$2,Kraftvärmeprod!$B$1:$VX$1,0),FALSE)/1,0)-IFERROR(VLOOKUP($B40,'Slutlig allokering kvv'!$B$2:$BX$549,MATCH(M$2,'Slutlig allokering kvv'!$B$1:$BX$1,0),FALSE)/1,0))</f>
        <v/>
      </c>
      <c r="N40" s="121" t="str">
        <f>IF($D40="","",IFERROR(VLOOKUP($B40,Kraftvärmeprod!$B$1:$BX$549,MATCH(N$2,Kraftvärmeprod!$B$1:$VX$1,0),FALSE)/1,0)-IFERROR(VLOOKUP($B40,'Slutlig allokering kvv'!$B$2:$BX$549,MATCH(N$2,'Slutlig allokering kvv'!$B$1:$BX$1,0),FALSE)/1,0))</f>
        <v/>
      </c>
      <c r="O40" s="121" t="str">
        <f>IF($D40="","",IFERROR(VLOOKUP($B40,Kraftvärmeprod!$B$1:$BX$549,MATCH(O$2,Kraftvärmeprod!$B$1:$VX$1,0),FALSE)/1,0)-IFERROR(VLOOKUP($B40,'Slutlig allokering kvv'!$B$2:$BX$549,MATCH(O$2,'Slutlig allokering kvv'!$B$1:$BX$1,0),FALSE)/1,0))</f>
        <v/>
      </c>
      <c r="P40" s="121" t="str">
        <f>IF($D40="","",IFERROR(VLOOKUP($B40,Kraftvärmeprod!$B$1:$BX$549,MATCH(P$2,Kraftvärmeprod!$B$1:$VX$1,0),FALSE)/1,0)-IFERROR(VLOOKUP($B40,'Slutlig allokering kvv'!$B$2:$BX$549,MATCH(P$2,'Slutlig allokering kvv'!$B$1:$BX$1,0),FALSE)/1,0))</f>
        <v/>
      </c>
      <c r="Q40" s="121" t="str">
        <f>IF($D40="","",IFERROR(VLOOKUP($B40,Kraftvärmeprod!$B$1:$BX$549,MATCH(Q$2,Kraftvärmeprod!$B$1:$VX$1,0),FALSE)/1,0)-IFERROR(VLOOKUP($B40,'Slutlig allokering kvv'!$B$2:$BX$549,MATCH(Q$2,'Slutlig allokering kvv'!$B$1:$BX$1,0),FALSE)/1,0))</f>
        <v/>
      </c>
      <c r="R40" s="121" t="str">
        <f>IF($D40="","",IFERROR(VLOOKUP($B40,Kraftvärmeprod!$B$1:$BX$549,MATCH(R$2,Kraftvärmeprod!$B$1:$VX$1,0),FALSE)/1,0)-IFERROR(VLOOKUP($B40,'Slutlig allokering kvv'!$B$2:$BX$549,MATCH(R$2,'Slutlig allokering kvv'!$B$1:$BX$1,0),FALSE)/1,0))</f>
        <v/>
      </c>
      <c r="S40" s="121" t="str">
        <f>IF($D40="","",IFERROR(VLOOKUP($B40,Kraftvärmeprod!$B$1:$BX$549,MATCH(S$2,Kraftvärmeprod!$B$1:$VX$1,0),FALSE)/1,0)-IFERROR(VLOOKUP($B40,'Slutlig allokering kvv'!$B$2:$BX$549,MATCH(S$2,'Slutlig allokering kvv'!$B$1:$BX$1,0),FALSE)/1,0))</f>
        <v/>
      </c>
      <c r="T40" s="121" t="str">
        <f>IF($D40="","",IFERROR(VLOOKUP($B40,Kraftvärmeprod!$B$1:$BX$549,MATCH(T$2,Kraftvärmeprod!$B$1:$VX$1,0),FALSE)/1,0)-IFERROR(VLOOKUP($B40,'Slutlig allokering kvv'!$B$2:$BX$549,MATCH(T$2,'Slutlig allokering kvv'!$B$1:$BX$1,0),FALSE)/1,0))</f>
        <v/>
      </c>
      <c r="U40" s="121" t="str">
        <f>IF($D40="","",IFERROR(VLOOKUP($B40,Kraftvärmeprod!$B$1:$BX$549,MATCH(U$2,Kraftvärmeprod!$B$1:$VX$1,0),FALSE)/1,0)-IFERROR(VLOOKUP($B40,'Slutlig allokering kvv'!$B$2:$BX$549,MATCH(U$2,'Slutlig allokering kvv'!$B$1:$BX$1,0),FALSE)/1,0))</f>
        <v/>
      </c>
      <c r="V40" s="121" t="str">
        <f>IF($D40="","",IFERROR(VLOOKUP($B40,Kraftvärmeprod!$B$1:$BX$549,MATCH(V$2,Kraftvärmeprod!$B$1:$VX$1,0),FALSE)/1,0)-IFERROR(VLOOKUP($B40,'Slutlig allokering kvv'!$B$2:$BX$549,MATCH(V$2,'Slutlig allokering kvv'!$B$1:$BX$1,0),FALSE)/1,0))</f>
        <v/>
      </c>
      <c r="W40" s="121" t="str">
        <f>IF($D40="","",IFERROR(VLOOKUP($B40,Kraftvärmeprod!$B$1:$BX$549,MATCH(W$2,Kraftvärmeprod!$B$1:$VX$1,0),FALSE)/1,0)-IFERROR(VLOOKUP($B40,'Slutlig allokering kvv'!$B$2:$BX$549,MATCH(W$2,'Slutlig allokering kvv'!$B$1:$BX$1,0),FALSE)/1,0))</f>
        <v/>
      </c>
      <c r="X40" s="121" t="str">
        <f>IF($D40="","",IFERROR(VLOOKUP($B40,Kraftvärmeprod!$B$1:$BX$549,MATCH(X$2,Kraftvärmeprod!$B$1:$VX$1,0),FALSE)/1,0)-IFERROR(VLOOKUP($B40,'Slutlig allokering kvv'!$B$2:$BX$549,MATCH(X$2,'Slutlig allokering kvv'!$B$1:$BX$1,0),FALSE)/1,0))</f>
        <v/>
      </c>
      <c r="Y40" s="121" t="str">
        <f>IF($D40="","",IFERROR(VLOOKUP($B40,Kraftvärmeprod!$B$1:$BX$549,MATCH(Y$2,Kraftvärmeprod!$B$1:$VX$1,0),FALSE)/1,0)-IFERROR(VLOOKUP($B40,'Slutlig allokering kvv'!$B$2:$BX$549,MATCH(Y$2,'Slutlig allokering kvv'!$B$1:$BX$1,0),FALSE)/1,0))</f>
        <v/>
      </c>
      <c r="Z40" s="121" t="str">
        <f>IF($D40="","",IFERROR(VLOOKUP($B40,Kraftvärmeprod!$B$1:$BX$549,MATCH(Z$2,Kraftvärmeprod!$B$1:$VX$1,0),FALSE)/1,0)-IFERROR(VLOOKUP($B40,'Slutlig allokering kvv'!$B$2:$BX$549,MATCH(Z$2,'Slutlig allokering kvv'!$B$1:$BX$1,0),FALSE)/1,0))</f>
        <v/>
      </c>
      <c r="AA40" s="121" t="str">
        <f>IF($D40="","",IFERROR(VLOOKUP($B40,Kraftvärmeprod!$B$1:$BX$549,MATCH(AA$2,Kraftvärmeprod!$B$1:$VX$1,0),FALSE)/1,0)-IFERROR(VLOOKUP($B40,'Slutlig allokering kvv'!$B$2:$BX$549,MATCH(AA$2,'Slutlig allokering kvv'!$B$1:$BX$1,0),FALSE)/1,0))</f>
        <v/>
      </c>
      <c r="AB40" s="121" t="str">
        <f>IF($D40="","",IFERROR(VLOOKUP($B40,Kraftvärmeprod!$B$1:$BX$549,MATCH(AB$2,Kraftvärmeprod!$B$1:$VX$1,0),FALSE)/1,0)-IFERROR(VLOOKUP($B40,'Slutlig allokering kvv'!$B$2:$BX$549,MATCH(AB$2,'Slutlig allokering kvv'!$B$1:$BX$1,0),FALSE)/1,0))</f>
        <v/>
      </c>
      <c r="AC40" s="121" t="str">
        <f>IF($D40="","",IFERROR(VLOOKUP($B40,Kraftvärmeprod!$B$1:$BX$549,MATCH(AC$2,Kraftvärmeprod!$B$1:$VX$1,0),FALSE)/1,0)-IFERROR(VLOOKUP($B40,'Slutlig allokering kvv'!$B$2:$BX$549,MATCH(AC$2,'Slutlig allokering kvv'!$B$1:$BX$1,0),FALSE)/1,0))</f>
        <v/>
      </c>
      <c r="AD40" s="121" t="str">
        <f>IF($D40="","",IFERROR(VLOOKUP($B40,Kraftvärmeprod!$B$1:$BX$549,MATCH(AD$2,Kraftvärmeprod!$B$1:$VX$1,0),FALSE)/1,0)-IFERROR(VLOOKUP($B40,'Slutlig allokering kvv'!$B$2:$BX$549,MATCH(AD$2,'Slutlig allokering kvv'!$B$1:$BX$1,0),FALSE)/1,0))</f>
        <v/>
      </c>
      <c r="AE40" s="121" t="str">
        <f>IF($D40="","",IFERROR(VLOOKUP($B40,Miljö!$B$1:$E$550,MATCH("Hjälpel kraftvärme (GWh)",Miljö!$B$1:$E$1,0),FALSE)/1,0)-IFERROR(VLOOKUP($B40,'Slutlig allokering kvv'!$B$2:$BX$549,MATCH(AE$2,'Slutlig allokering kvv'!$B$1:$BX$1,0),FALSE)/1,0))</f>
        <v/>
      </c>
      <c r="AI40" s="121">
        <f t="shared" si="0"/>
        <v>0</v>
      </c>
      <c r="AK40" s="121">
        <f>IFERROR(VLOOKUP($B40,'Slutlig allokering kvv'!$B$2:$AX$549,MATCH("Summa slutlig allokerad tillförd energi (utan hjälpel och rökgaskondensering):",'Slutlig allokering kvv'!$B$1:$AX$1,0),FALSE)/1,"")</f>
        <v>0</v>
      </c>
      <c r="AM40" s="172" t="str">
        <f>IFERROR(1-VLOOKUP($B40,'Slutlig allokering kvv'!$B$2:$AX$549,MATCH("Andel av bränsle i kvv som allokerats till värme, exklusive rökgaskondensering och hjälpel",'Slutlig allokering kvv'!$B$1:$AX$1,0),FALSE),"")</f>
        <v/>
      </c>
      <c r="AO40" s="172" t="str">
        <f t="shared" si="1"/>
        <v/>
      </c>
      <c r="AP40" s="173" t="str">
        <f t="shared" si="2"/>
        <v/>
      </c>
      <c r="AR40" s="172" t="str">
        <f t="shared" si="3"/>
        <v/>
      </c>
    </row>
    <row r="41" spans="1:44" x14ac:dyDescent="0.25">
      <c r="A41" s="171" t="str">
        <f>'Miljövärden för publ företag'!B43</f>
        <v>Borlänge Energi AB</v>
      </c>
      <c r="B41" s="171" t="str">
        <f>'Miljövärden för publ företag'!C43</f>
        <v>Borlänge</v>
      </c>
      <c r="C41" s="121">
        <f>IFERROR(VLOOKUP($B41,Kraftvärmeprod!$B$1:$AH$478,MATCH(C$2,Kraftvärmeprod!$B$1:$AG$1,0),FALSE)/1,"")</f>
        <v>185.47800000000001</v>
      </c>
      <c r="D41" s="121">
        <f>IFERROR(VLOOKUP($B41,Kraftvärmeprod!$B$1:$AH$478,MATCH(D$2,Kraftvärmeprod!$B$1:$AG$1,0),FALSE)/1,"")</f>
        <v>40.518000000000001</v>
      </c>
      <c r="F41" s="121">
        <f>IF($D41="","",IFERROR(VLOOKUP($B41,Kraftvärmeprod!$B$1:$BX$549,MATCH(F$2,Kraftvärmeprod!$B$1:$VX$1,0),FALSE)/1,0)-IFERROR(VLOOKUP($B41,'Slutlig allokering kvv'!$B$2:$BX$549,MATCH(F$2,'Slutlig allokering kvv'!$B$1:$BX$1,0),FALSE)/1,0))</f>
        <v>0</v>
      </c>
      <c r="G41" s="121">
        <f>IF($D41="","",IFERROR(VLOOKUP($B41,Kraftvärmeprod!$B$1:$BX$549,MATCH(G$2,Kraftvärmeprod!$B$1:$VX$1,0),FALSE)/1,0)-IFERROR(VLOOKUP($B41,'Slutlig allokering kvv'!$B$2:$BX$549,MATCH(G$2,'Slutlig allokering kvv'!$B$1:$BX$1,0),FALSE)/1,0))</f>
        <v>0</v>
      </c>
      <c r="H41" s="121">
        <f>IF($D41="","",IFERROR(VLOOKUP($B41,Kraftvärmeprod!$B$1:$BX$549,MATCH(H$2,Kraftvärmeprod!$B$1:$VX$1,0),FALSE)/1,0)-IFERROR(VLOOKUP($B41,'Slutlig allokering kvv'!$B$2:$BX$549,MATCH(H$2,'Slutlig allokering kvv'!$B$1:$BX$1,0),FALSE)/1,0))</f>
        <v>0</v>
      </c>
      <c r="I41" s="121">
        <f>IF($D41="","",IFERROR(VLOOKUP($B41,Kraftvärmeprod!$B$1:$BX$549,MATCH(I$2,Kraftvärmeprod!$B$1:$VX$1,0),FALSE)/1,0)-IFERROR(VLOOKUP($B41,'Slutlig allokering kvv'!$B$2:$BX$549,MATCH(I$2,'Slutlig allokering kvv'!$B$1:$BX$1,0),FALSE)/1,0))</f>
        <v>0</v>
      </c>
      <c r="J41" s="121">
        <f>IF($D41="","",IFERROR(VLOOKUP($B41,Kraftvärmeprod!$B$1:$BX$549,MATCH(J$2,Kraftvärmeprod!$B$1:$VX$1,0),FALSE)/1,0)-IFERROR(VLOOKUP($B41,'Slutlig allokering kvv'!$B$2:$BX$549,MATCH(J$2,'Slutlig allokering kvv'!$B$1:$BX$1,0),FALSE)/1,0))</f>
        <v>0</v>
      </c>
      <c r="K41" s="121">
        <f>IF($D41="","",IFERROR(VLOOKUP($B41,Kraftvärmeprod!$B$1:$BX$549,MATCH(K$2,Kraftvärmeprod!$B$1:$VX$1,0),FALSE)/1,0)-IFERROR(VLOOKUP($B41,'Slutlig allokering kvv'!$B$2:$BX$549,MATCH(K$2,'Slutlig allokering kvv'!$B$1:$BX$1,0),FALSE)/1,0))</f>
        <v>0</v>
      </c>
      <c r="L41" s="121">
        <f>IF($D41="","",IFERROR(VLOOKUP($B41,Kraftvärmeprod!$B$1:$BX$549,MATCH(L$2,Kraftvärmeprod!$B$1:$VX$1,0),FALSE)/1,0)-IFERROR(VLOOKUP($B41,'Slutlig allokering kvv'!$B$2:$BX$549,MATCH(L$2,'Slutlig allokering kvv'!$B$1:$BX$1,0),FALSE)/1,0))</f>
        <v>0</v>
      </c>
      <c r="M41" s="121">
        <f>IF($D41="","",IFERROR(VLOOKUP($B41,Kraftvärmeprod!$B$1:$BX$549,MATCH(M$2,Kraftvärmeprod!$B$1:$VX$1,0),FALSE)/1,0)-IFERROR(VLOOKUP($B41,'Slutlig allokering kvv'!$B$2:$BX$549,MATCH(M$2,'Slutlig allokering kvv'!$B$1:$BX$1,0),FALSE)/1,0))</f>
        <v>0</v>
      </c>
      <c r="N41" s="121">
        <f>IF($D41="","",IFERROR(VLOOKUP($B41,Kraftvärmeprod!$B$1:$BX$549,MATCH(N$2,Kraftvärmeprod!$B$1:$VX$1,0),FALSE)/1,0)-IFERROR(VLOOKUP($B41,'Slutlig allokering kvv'!$B$2:$BX$549,MATCH(N$2,'Slutlig allokering kvv'!$B$1:$BX$1,0),FALSE)/1,0))</f>
        <v>0</v>
      </c>
      <c r="O41" s="121">
        <f>IF($D41="","",IFERROR(VLOOKUP($B41,Kraftvärmeprod!$B$1:$BX$549,MATCH(O$2,Kraftvärmeprod!$B$1:$VX$1,0),FALSE)/1,0)-IFERROR(VLOOKUP($B41,'Slutlig allokering kvv'!$B$2:$BX$549,MATCH(O$2,'Slutlig allokering kvv'!$B$1:$BX$1,0),FALSE)/1,0))</f>
        <v>0</v>
      </c>
      <c r="P41" s="121">
        <f>IF($D41="","",IFERROR(VLOOKUP($B41,Kraftvärmeprod!$B$1:$BX$549,MATCH(P$2,Kraftvärmeprod!$B$1:$VX$1,0),FALSE)/1,0)-IFERROR(VLOOKUP($B41,'Slutlig allokering kvv'!$B$2:$BX$549,MATCH(P$2,'Slutlig allokering kvv'!$B$1:$BX$1,0),FALSE)/1,0))</f>
        <v>0</v>
      </c>
      <c r="Q41" s="121">
        <f>IF($D41="","",IFERROR(VLOOKUP($B41,Kraftvärmeprod!$B$1:$BX$549,MATCH(Q$2,Kraftvärmeprod!$B$1:$VX$1,0),FALSE)/1,0)-IFERROR(VLOOKUP($B41,'Slutlig allokering kvv'!$B$2:$BX$549,MATCH(Q$2,'Slutlig allokering kvv'!$B$1:$BX$1,0),FALSE)/1,0))</f>
        <v>0</v>
      </c>
      <c r="R41" s="121">
        <f>IF($D41="","",IFERROR(VLOOKUP($B41,Kraftvärmeprod!$B$1:$BX$549,MATCH(R$2,Kraftvärmeprod!$B$1:$VX$1,0),FALSE)/1,0)-IFERROR(VLOOKUP($B41,'Slutlig allokering kvv'!$B$2:$BX$549,MATCH(R$2,'Slutlig allokering kvv'!$B$1:$BX$1,0),FALSE)/1,0))</f>
        <v>0</v>
      </c>
      <c r="S41" s="121">
        <f>IF($D41="","",IFERROR(VLOOKUP($B41,Kraftvärmeprod!$B$1:$BX$549,MATCH(S$2,Kraftvärmeprod!$B$1:$VX$1,0),FALSE)/1,0)-IFERROR(VLOOKUP($B41,'Slutlig allokering kvv'!$B$2:$BX$549,MATCH(S$2,'Slutlig allokering kvv'!$B$1:$BX$1,0),FALSE)/1,0))</f>
        <v>0</v>
      </c>
      <c r="T41" s="121">
        <f>IF($D41="","",IFERROR(VLOOKUP($B41,Kraftvärmeprod!$B$1:$BX$549,MATCH(T$2,Kraftvärmeprod!$B$1:$VX$1,0),FALSE)/1,0)-IFERROR(VLOOKUP($B41,'Slutlig allokering kvv'!$B$2:$BX$549,MATCH(T$2,'Slutlig allokering kvv'!$B$1:$BX$1,0),FALSE)/1,0))</f>
        <v>0</v>
      </c>
      <c r="U41" s="121">
        <f>IF($D41="","",IFERROR(VLOOKUP($B41,Kraftvärmeprod!$B$1:$BX$549,MATCH(U$2,Kraftvärmeprod!$B$1:$VX$1,0),FALSE)/1,0)-IFERROR(VLOOKUP($B41,'Slutlig allokering kvv'!$B$2:$BX$549,MATCH(U$2,'Slutlig allokering kvv'!$B$1:$BX$1,0),FALSE)/1,0))</f>
        <v>0</v>
      </c>
      <c r="V41" s="121">
        <f>IF($D41="","",IFERROR(VLOOKUP($B41,Kraftvärmeprod!$B$1:$BX$549,MATCH(V$2,Kraftvärmeprod!$B$1:$VX$1,0),FALSE)/1,0)-IFERROR(VLOOKUP($B41,'Slutlig allokering kvv'!$B$2:$BX$549,MATCH(V$2,'Slutlig allokering kvv'!$B$1:$BX$1,0),FALSE)/1,0))</f>
        <v>1.5094999999999996</v>
      </c>
      <c r="W41" s="121">
        <f>IF($D41="","",IFERROR(VLOOKUP($B41,Kraftvärmeprod!$B$1:$BX$549,MATCH(W$2,Kraftvärmeprod!$B$1:$VX$1,0),FALSE)/1,0)-IFERROR(VLOOKUP($B41,'Slutlig allokering kvv'!$B$2:$BX$549,MATCH(W$2,'Slutlig allokering kvv'!$B$1:$BX$1,0),FALSE)/1,0))</f>
        <v>0</v>
      </c>
      <c r="X41" s="121">
        <f>IF($D41="","",IFERROR(VLOOKUP($B41,Kraftvärmeprod!$B$1:$BX$549,MATCH(X$2,Kraftvärmeprod!$B$1:$VX$1,0),FALSE)/1,0)-IFERROR(VLOOKUP($B41,'Slutlig allokering kvv'!$B$2:$BX$549,MATCH(X$2,'Slutlig allokering kvv'!$B$1:$BX$1,0),FALSE)/1,0))</f>
        <v>5.8839000000000002E-2</v>
      </c>
      <c r="Y41" s="121">
        <f>IF($D41="","",IFERROR(VLOOKUP($B41,Kraftvärmeprod!$B$1:$BX$549,MATCH(Y$2,Kraftvärmeprod!$B$1:$VX$1,0),FALSE)/1,0)-IFERROR(VLOOKUP($B41,'Slutlig allokering kvv'!$B$2:$BX$549,MATCH(Y$2,'Slutlig allokering kvv'!$B$1:$BX$1,0),FALSE)/1,0))</f>
        <v>0</v>
      </c>
      <c r="Z41" s="121">
        <f>IF($D41="","",IFERROR(VLOOKUP($B41,Kraftvärmeprod!$B$1:$BX$549,MATCH(Z$2,Kraftvärmeprod!$B$1:$VX$1,0),FALSE)/1,0)-IFERROR(VLOOKUP($B41,'Slutlig allokering kvv'!$B$2:$BX$549,MATCH(Z$2,'Slutlig allokering kvv'!$B$1:$BX$1,0),FALSE)/1,0))</f>
        <v>0</v>
      </c>
      <c r="AA41" s="121">
        <f>IF($D41="","",IFERROR(VLOOKUP($B41,Kraftvärmeprod!$B$1:$BX$549,MATCH(AA$2,Kraftvärmeprod!$B$1:$VX$1,0),FALSE)/1,0)-IFERROR(VLOOKUP($B41,'Slutlig allokering kvv'!$B$2:$BX$549,MATCH(AA$2,'Slutlig allokering kvv'!$B$1:$BX$1,0),FALSE)/1,0))</f>
        <v>102.94300000000001</v>
      </c>
      <c r="AB41" s="121">
        <f>IF($D41="","",IFERROR(VLOOKUP($B41,Kraftvärmeprod!$B$1:$BX$549,MATCH(AB$2,Kraftvärmeprod!$B$1:$VX$1,0),FALSE)/1,0)-IFERROR(VLOOKUP($B41,'Slutlig allokering kvv'!$B$2:$BX$549,MATCH(AB$2,'Slutlig allokering kvv'!$B$1:$BX$1,0),FALSE)/1,0))</f>
        <v>0</v>
      </c>
      <c r="AC41" s="121">
        <f>IF($D41="","",IFERROR(VLOOKUP($B41,Kraftvärmeprod!$B$1:$BX$549,MATCH(AC$2,Kraftvärmeprod!$B$1:$VX$1,0),FALSE)/1,0)-IFERROR(VLOOKUP($B41,'Slutlig allokering kvv'!$B$2:$BX$549,MATCH(AC$2,'Slutlig allokering kvv'!$B$1:$BX$1,0),FALSE)/1,0))</f>
        <v>0</v>
      </c>
      <c r="AD41" s="121">
        <f>IF($D41="","",IFERROR(VLOOKUP($B41,Kraftvärmeprod!$B$1:$BX$549,MATCH(AD$2,Kraftvärmeprod!$B$1:$VX$1,0),FALSE)/1,0)-IFERROR(VLOOKUP($B41,'Slutlig allokering kvv'!$B$2:$BX$549,MATCH(AD$2,'Slutlig allokering kvv'!$B$1:$BX$1,0),FALSE)/1,0))</f>
        <v>0</v>
      </c>
      <c r="AE41" s="121">
        <f>IF($D41="","",IFERROR(VLOOKUP($B41,Miljö!$B$1:$E$550,MATCH("Hjälpel kraftvärme (GWh)",Miljö!$B$1:$E$1,0),FALSE)/1,0)-IFERROR(VLOOKUP($B41,'Slutlig allokering kvv'!$B$2:$BX$549,MATCH(AE$2,'Slutlig allokering kvv'!$B$1:$BX$1,0),FALSE)/1,0))</f>
        <v>3.6539800000000007</v>
      </c>
      <c r="AI41" s="121">
        <f t="shared" si="0"/>
        <v>104.51133900000001</v>
      </c>
      <c r="AK41" s="121">
        <f>IFERROR(VLOOKUP($B41,'Slutlig allokering kvv'!$B$2:$AX$549,MATCH("Summa slutlig allokerad tillförd energi (utan hjälpel och rökgaskondensering):",'Slutlig allokering kvv'!$B$1:$AX$1,0),FALSE)/1,"")</f>
        <v>150.046661</v>
      </c>
      <c r="AM41" s="172">
        <f>IFERROR(1-VLOOKUP($B41,'Slutlig allokering kvv'!$B$2:$AX$549,MATCH("Andel av bränsle i kvv som allokerats till värme, exklusive rökgaskondensering och hjälpel",'Slutlig allokering kvv'!$B$1:$AX$1,0),FALSE),"")</f>
        <v>0.4105600256130234</v>
      </c>
      <c r="AO41" s="172">
        <f t="shared" si="1"/>
        <v>0.4105600256130234</v>
      </c>
      <c r="AP41" s="173">
        <f t="shared" si="2"/>
        <v>0</v>
      </c>
      <c r="AR41" s="172">
        <f t="shared" si="3"/>
        <v>0.37459326496323647</v>
      </c>
    </row>
    <row r="42" spans="1:44" x14ac:dyDescent="0.25">
      <c r="A42" s="171" t="str">
        <f>'Miljövärden för publ företag'!B44</f>
        <v>Borlänge Energi AB</v>
      </c>
      <c r="B42" s="171" t="str">
        <f>'Miljövärden för publ företag'!C44</f>
        <v>Ornäs</v>
      </c>
      <c r="C42" s="121" t="str">
        <f>IFERROR(VLOOKUP($B42,Kraftvärmeprod!$B$1:$AH$478,MATCH(C$2,Kraftvärmeprod!$B$1:$AG$1,0),FALSE)/1,"")</f>
        <v/>
      </c>
      <c r="D42" s="121" t="str">
        <f>IFERROR(VLOOKUP($B42,Kraftvärmeprod!$B$1:$AH$478,MATCH(D$2,Kraftvärmeprod!$B$1:$AG$1,0),FALSE)/1,"")</f>
        <v/>
      </c>
      <c r="F42" s="121" t="str">
        <f>IF($D42="","",IFERROR(VLOOKUP($B42,Kraftvärmeprod!$B$1:$BX$549,MATCH(F$2,Kraftvärmeprod!$B$1:$VX$1,0),FALSE)/1,0)-IFERROR(VLOOKUP($B42,'Slutlig allokering kvv'!$B$2:$BX$549,MATCH(F$2,'Slutlig allokering kvv'!$B$1:$BX$1,0),FALSE)/1,0))</f>
        <v/>
      </c>
      <c r="G42" s="121" t="str">
        <f>IF($D42="","",IFERROR(VLOOKUP($B42,Kraftvärmeprod!$B$1:$BX$549,MATCH(G$2,Kraftvärmeprod!$B$1:$VX$1,0),FALSE)/1,0)-IFERROR(VLOOKUP($B42,'Slutlig allokering kvv'!$B$2:$BX$549,MATCH(G$2,'Slutlig allokering kvv'!$B$1:$BX$1,0),FALSE)/1,0))</f>
        <v/>
      </c>
      <c r="H42" s="121" t="str">
        <f>IF($D42="","",IFERROR(VLOOKUP($B42,Kraftvärmeprod!$B$1:$BX$549,MATCH(H$2,Kraftvärmeprod!$B$1:$VX$1,0),FALSE)/1,0)-IFERROR(VLOOKUP($B42,'Slutlig allokering kvv'!$B$2:$BX$549,MATCH(H$2,'Slutlig allokering kvv'!$B$1:$BX$1,0),FALSE)/1,0))</f>
        <v/>
      </c>
      <c r="I42" s="121" t="str">
        <f>IF($D42="","",IFERROR(VLOOKUP($B42,Kraftvärmeprod!$B$1:$BX$549,MATCH(I$2,Kraftvärmeprod!$B$1:$VX$1,0),FALSE)/1,0)-IFERROR(VLOOKUP($B42,'Slutlig allokering kvv'!$B$2:$BX$549,MATCH(I$2,'Slutlig allokering kvv'!$B$1:$BX$1,0),FALSE)/1,0))</f>
        <v/>
      </c>
      <c r="J42" s="121" t="str">
        <f>IF($D42="","",IFERROR(VLOOKUP($B42,Kraftvärmeprod!$B$1:$BX$549,MATCH(J$2,Kraftvärmeprod!$B$1:$VX$1,0),FALSE)/1,0)-IFERROR(VLOOKUP($B42,'Slutlig allokering kvv'!$B$2:$BX$549,MATCH(J$2,'Slutlig allokering kvv'!$B$1:$BX$1,0),FALSE)/1,0))</f>
        <v/>
      </c>
      <c r="K42" s="121" t="str">
        <f>IF($D42="","",IFERROR(VLOOKUP($B42,Kraftvärmeprod!$B$1:$BX$549,MATCH(K$2,Kraftvärmeprod!$B$1:$VX$1,0),FALSE)/1,0)-IFERROR(VLOOKUP($B42,'Slutlig allokering kvv'!$B$2:$BX$549,MATCH(K$2,'Slutlig allokering kvv'!$B$1:$BX$1,0),FALSE)/1,0))</f>
        <v/>
      </c>
      <c r="L42" s="121" t="str">
        <f>IF($D42="","",IFERROR(VLOOKUP($B42,Kraftvärmeprod!$B$1:$BX$549,MATCH(L$2,Kraftvärmeprod!$B$1:$VX$1,0),FALSE)/1,0)-IFERROR(VLOOKUP($B42,'Slutlig allokering kvv'!$B$2:$BX$549,MATCH(L$2,'Slutlig allokering kvv'!$B$1:$BX$1,0),FALSE)/1,0))</f>
        <v/>
      </c>
      <c r="M42" s="121" t="str">
        <f>IF($D42="","",IFERROR(VLOOKUP($B42,Kraftvärmeprod!$B$1:$BX$549,MATCH(M$2,Kraftvärmeprod!$B$1:$VX$1,0),FALSE)/1,0)-IFERROR(VLOOKUP($B42,'Slutlig allokering kvv'!$B$2:$BX$549,MATCH(M$2,'Slutlig allokering kvv'!$B$1:$BX$1,0),FALSE)/1,0))</f>
        <v/>
      </c>
      <c r="N42" s="121" t="str">
        <f>IF($D42="","",IFERROR(VLOOKUP($B42,Kraftvärmeprod!$B$1:$BX$549,MATCH(N$2,Kraftvärmeprod!$B$1:$VX$1,0),FALSE)/1,0)-IFERROR(VLOOKUP($B42,'Slutlig allokering kvv'!$B$2:$BX$549,MATCH(N$2,'Slutlig allokering kvv'!$B$1:$BX$1,0),FALSE)/1,0))</f>
        <v/>
      </c>
      <c r="O42" s="121" t="str">
        <f>IF($D42="","",IFERROR(VLOOKUP($B42,Kraftvärmeprod!$B$1:$BX$549,MATCH(O$2,Kraftvärmeprod!$B$1:$VX$1,0),FALSE)/1,0)-IFERROR(VLOOKUP($B42,'Slutlig allokering kvv'!$B$2:$BX$549,MATCH(O$2,'Slutlig allokering kvv'!$B$1:$BX$1,0),FALSE)/1,0))</f>
        <v/>
      </c>
      <c r="P42" s="121" t="str">
        <f>IF($D42="","",IFERROR(VLOOKUP($B42,Kraftvärmeprod!$B$1:$BX$549,MATCH(P$2,Kraftvärmeprod!$B$1:$VX$1,0),FALSE)/1,0)-IFERROR(VLOOKUP($B42,'Slutlig allokering kvv'!$B$2:$BX$549,MATCH(P$2,'Slutlig allokering kvv'!$B$1:$BX$1,0),FALSE)/1,0))</f>
        <v/>
      </c>
      <c r="Q42" s="121" t="str">
        <f>IF($D42="","",IFERROR(VLOOKUP($B42,Kraftvärmeprod!$B$1:$BX$549,MATCH(Q$2,Kraftvärmeprod!$B$1:$VX$1,0),FALSE)/1,0)-IFERROR(VLOOKUP($B42,'Slutlig allokering kvv'!$B$2:$BX$549,MATCH(Q$2,'Slutlig allokering kvv'!$B$1:$BX$1,0),FALSE)/1,0))</f>
        <v/>
      </c>
      <c r="R42" s="121" t="str">
        <f>IF($D42="","",IFERROR(VLOOKUP($B42,Kraftvärmeprod!$B$1:$BX$549,MATCH(R$2,Kraftvärmeprod!$B$1:$VX$1,0),FALSE)/1,0)-IFERROR(VLOOKUP($B42,'Slutlig allokering kvv'!$B$2:$BX$549,MATCH(R$2,'Slutlig allokering kvv'!$B$1:$BX$1,0),FALSE)/1,0))</f>
        <v/>
      </c>
      <c r="S42" s="121" t="str">
        <f>IF($D42="","",IFERROR(VLOOKUP($B42,Kraftvärmeprod!$B$1:$BX$549,MATCH(S$2,Kraftvärmeprod!$B$1:$VX$1,0),FALSE)/1,0)-IFERROR(VLOOKUP($B42,'Slutlig allokering kvv'!$B$2:$BX$549,MATCH(S$2,'Slutlig allokering kvv'!$B$1:$BX$1,0),FALSE)/1,0))</f>
        <v/>
      </c>
      <c r="T42" s="121" t="str">
        <f>IF($D42="","",IFERROR(VLOOKUP($B42,Kraftvärmeprod!$B$1:$BX$549,MATCH(T$2,Kraftvärmeprod!$B$1:$VX$1,0),FALSE)/1,0)-IFERROR(VLOOKUP($B42,'Slutlig allokering kvv'!$B$2:$BX$549,MATCH(T$2,'Slutlig allokering kvv'!$B$1:$BX$1,0),FALSE)/1,0))</f>
        <v/>
      </c>
      <c r="U42" s="121" t="str">
        <f>IF($D42="","",IFERROR(VLOOKUP($B42,Kraftvärmeprod!$B$1:$BX$549,MATCH(U$2,Kraftvärmeprod!$B$1:$VX$1,0),FALSE)/1,0)-IFERROR(VLOOKUP($B42,'Slutlig allokering kvv'!$B$2:$BX$549,MATCH(U$2,'Slutlig allokering kvv'!$B$1:$BX$1,0),FALSE)/1,0))</f>
        <v/>
      </c>
      <c r="V42" s="121" t="str">
        <f>IF($D42="","",IFERROR(VLOOKUP($B42,Kraftvärmeprod!$B$1:$BX$549,MATCH(V$2,Kraftvärmeprod!$B$1:$VX$1,0),FALSE)/1,0)-IFERROR(VLOOKUP($B42,'Slutlig allokering kvv'!$B$2:$BX$549,MATCH(V$2,'Slutlig allokering kvv'!$B$1:$BX$1,0),FALSE)/1,0))</f>
        <v/>
      </c>
      <c r="W42" s="121" t="str">
        <f>IF($D42="","",IFERROR(VLOOKUP($B42,Kraftvärmeprod!$B$1:$BX$549,MATCH(W$2,Kraftvärmeprod!$B$1:$VX$1,0),FALSE)/1,0)-IFERROR(VLOOKUP($B42,'Slutlig allokering kvv'!$B$2:$BX$549,MATCH(W$2,'Slutlig allokering kvv'!$B$1:$BX$1,0),FALSE)/1,0))</f>
        <v/>
      </c>
      <c r="X42" s="121" t="str">
        <f>IF($D42="","",IFERROR(VLOOKUP($B42,Kraftvärmeprod!$B$1:$BX$549,MATCH(X$2,Kraftvärmeprod!$B$1:$VX$1,0),FALSE)/1,0)-IFERROR(VLOOKUP($B42,'Slutlig allokering kvv'!$B$2:$BX$549,MATCH(X$2,'Slutlig allokering kvv'!$B$1:$BX$1,0),FALSE)/1,0))</f>
        <v/>
      </c>
      <c r="Y42" s="121" t="str">
        <f>IF($D42="","",IFERROR(VLOOKUP($B42,Kraftvärmeprod!$B$1:$BX$549,MATCH(Y$2,Kraftvärmeprod!$B$1:$VX$1,0),FALSE)/1,0)-IFERROR(VLOOKUP($B42,'Slutlig allokering kvv'!$B$2:$BX$549,MATCH(Y$2,'Slutlig allokering kvv'!$B$1:$BX$1,0),FALSE)/1,0))</f>
        <v/>
      </c>
      <c r="Z42" s="121" t="str">
        <f>IF($D42="","",IFERROR(VLOOKUP($B42,Kraftvärmeprod!$B$1:$BX$549,MATCH(Z$2,Kraftvärmeprod!$B$1:$VX$1,0),FALSE)/1,0)-IFERROR(VLOOKUP($B42,'Slutlig allokering kvv'!$B$2:$BX$549,MATCH(Z$2,'Slutlig allokering kvv'!$B$1:$BX$1,0),FALSE)/1,0))</f>
        <v/>
      </c>
      <c r="AA42" s="121" t="str">
        <f>IF($D42="","",IFERROR(VLOOKUP($B42,Kraftvärmeprod!$B$1:$BX$549,MATCH(AA$2,Kraftvärmeprod!$B$1:$VX$1,0),FALSE)/1,0)-IFERROR(VLOOKUP($B42,'Slutlig allokering kvv'!$B$2:$BX$549,MATCH(AA$2,'Slutlig allokering kvv'!$B$1:$BX$1,0),FALSE)/1,0))</f>
        <v/>
      </c>
      <c r="AB42" s="121" t="str">
        <f>IF($D42="","",IFERROR(VLOOKUP($B42,Kraftvärmeprod!$B$1:$BX$549,MATCH(AB$2,Kraftvärmeprod!$B$1:$VX$1,0),FALSE)/1,0)-IFERROR(VLOOKUP($B42,'Slutlig allokering kvv'!$B$2:$BX$549,MATCH(AB$2,'Slutlig allokering kvv'!$B$1:$BX$1,0),FALSE)/1,0))</f>
        <v/>
      </c>
      <c r="AC42" s="121" t="str">
        <f>IF($D42="","",IFERROR(VLOOKUP($B42,Kraftvärmeprod!$B$1:$BX$549,MATCH(AC$2,Kraftvärmeprod!$B$1:$VX$1,0),FALSE)/1,0)-IFERROR(VLOOKUP($B42,'Slutlig allokering kvv'!$B$2:$BX$549,MATCH(AC$2,'Slutlig allokering kvv'!$B$1:$BX$1,0),FALSE)/1,0))</f>
        <v/>
      </c>
      <c r="AD42" s="121" t="str">
        <f>IF($D42="","",IFERROR(VLOOKUP($B42,Kraftvärmeprod!$B$1:$BX$549,MATCH(AD$2,Kraftvärmeprod!$B$1:$VX$1,0),FALSE)/1,0)-IFERROR(VLOOKUP($B42,'Slutlig allokering kvv'!$B$2:$BX$549,MATCH(AD$2,'Slutlig allokering kvv'!$B$1:$BX$1,0),FALSE)/1,0))</f>
        <v/>
      </c>
      <c r="AE42" s="121" t="str">
        <f>IF($D42="","",IFERROR(VLOOKUP($B42,Miljö!$B$1:$E$550,MATCH("Hjälpel kraftvärme (GWh)",Miljö!$B$1:$E$1,0),FALSE)/1,0)-IFERROR(VLOOKUP($B42,'Slutlig allokering kvv'!$B$2:$BX$549,MATCH(AE$2,'Slutlig allokering kvv'!$B$1:$BX$1,0),FALSE)/1,0))</f>
        <v/>
      </c>
      <c r="AI42" s="121">
        <f t="shared" si="0"/>
        <v>0</v>
      </c>
      <c r="AK42" s="121">
        <f>IFERROR(VLOOKUP($B42,'Slutlig allokering kvv'!$B$2:$AX$549,MATCH("Summa slutlig allokerad tillförd energi (utan hjälpel och rökgaskondensering):",'Slutlig allokering kvv'!$B$1:$AX$1,0),FALSE)/1,"")</f>
        <v>0</v>
      </c>
      <c r="AM42" s="172" t="str">
        <f>IFERROR(1-VLOOKUP($B42,'Slutlig allokering kvv'!$B$2:$AX$549,MATCH("Andel av bränsle i kvv som allokerats till värme, exklusive rökgaskondensering och hjälpel",'Slutlig allokering kvv'!$B$1:$AX$1,0),FALSE),"")</f>
        <v/>
      </c>
      <c r="AO42" s="172" t="str">
        <f t="shared" si="1"/>
        <v/>
      </c>
      <c r="AP42" s="173" t="str">
        <f t="shared" si="2"/>
        <v/>
      </c>
      <c r="AR42" s="172" t="str">
        <f t="shared" si="3"/>
        <v/>
      </c>
    </row>
    <row r="43" spans="1:44" x14ac:dyDescent="0.25">
      <c r="A43" s="171" t="str">
        <f>'Miljövärden för publ företag'!B45</f>
        <v>Borlänge Energi AB</v>
      </c>
      <c r="B43" s="171" t="str">
        <f>'Miljövärden för publ företag'!C45</f>
        <v>Torsång</v>
      </c>
      <c r="C43" s="121" t="str">
        <f>IFERROR(VLOOKUP($B43,Kraftvärmeprod!$B$1:$AH$478,MATCH(C$2,Kraftvärmeprod!$B$1:$AG$1,0),FALSE)/1,"")</f>
        <v/>
      </c>
      <c r="D43" s="121" t="str">
        <f>IFERROR(VLOOKUP($B43,Kraftvärmeprod!$B$1:$AH$478,MATCH(D$2,Kraftvärmeprod!$B$1:$AG$1,0),FALSE)/1,"")</f>
        <v/>
      </c>
      <c r="F43" s="121" t="str">
        <f>IF($D43="","",IFERROR(VLOOKUP($B43,Kraftvärmeprod!$B$1:$BX$549,MATCH(F$2,Kraftvärmeprod!$B$1:$VX$1,0),FALSE)/1,0)-IFERROR(VLOOKUP($B43,'Slutlig allokering kvv'!$B$2:$BX$549,MATCH(F$2,'Slutlig allokering kvv'!$B$1:$BX$1,0),FALSE)/1,0))</f>
        <v/>
      </c>
      <c r="G43" s="121" t="str">
        <f>IF($D43="","",IFERROR(VLOOKUP($B43,Kraftvärmeprod!$B$1:$BX$549,MATCH(G$2,Kraftvärmeprod!$B$1:$VX$1,0),FALSE)/1,0)-IFERROR(VLOOKUP($B43,'Slutlig allokering kvv'!$B$2:$BX$549,MATCH(G$2,'Slutlig allokering kvv'!$B$1:$BX$1,0),FALSE)/1,0))</f>
        <v/>
      </c>
      <c r="H43" s="121" t="str">
        <f>IF($D43="","",IFERROR(VLOOKUP($B43,Kraftvärmeprod!$B$1:$BX$549,MATCH(H$2,Kraftvärmeprod!$B$1:$VX$1,0),FALSE)/1,0)-IFERROR(VLOOKUP($B43,'Slutlig allokering kvv'!$B$2:$BX$549,MATCH(H$2,'Slutlig allokering kvv'!$B$1:$BX$1,0),FALSE)/1,0))</f>
        <v/>
      </c>
      <c r="I43" s="121" t="str">
        <f>IF($D43="","",IFERROR(VLOOKUP($B43,Kraftvärmeprod!$B$1:$BX$549,MATCH(I$2,Kraftvärmeprod!$B$1:$VX$1,0),FALSE)/1,0)-IFERROR(VLOOKUP($B43,'Slutlig allokering kvv'!$B$2:$BX$549,MATCH(I$2,'Slutlig allokering kvv'!$B$1:$BX$1,0),FALSE)/1,0))</f>
        <v/>
      </c>
      <c r="J43" s="121" t="str">
        <f>IF($D43="","",IFERROR(VLOOKUP($B43,Kraftvärmeprod!$B$1:$BX$549,MATCH(J$2,Kraftvärmeprod!$B$1:$VX$1,0),FALSE)/1,0)-IFERROR(VLOOKUP($B43,'Slutlig allokering kvv'!$B$2:$BX$549,MATCH(J$2,'Slutlig allokering kvv'!$B$1:$BX$1,0),FALSE)/1,0))</f>
        <v/>
      </c>
      <c r="K43" s="121" t="str">
        <f>IF($D43="","",IFERROR(VLOOKUP($B43,Kraftvärmeprod!$B$1:$BX$549,MATCH(K$2,Kraftvärmeprod!$B$1:$VX$1,0),FALSE)/1,0)-IFERROR(VLOOKUP($B43,'Slutlig allokering kvv'!$B$2:$BX$549,MATCH(K$2,'Slutlig allokering kvv'!$B$1:$BX$1,0),FALSE)/1,0))</f>
        <v/>
      </c>
      <c r="L43" s="121" t="str">
        <f>IF($D43="","",IFERROR(VLOOKUP($B43,Kraftvärmeprod!$B$1:$BX$549,MATCH(L$2,Kraftvärmeprod!$B$1:$VX$1,0),FALSE)/1,0)-IFERROR(VLOOKUP($B43,'Slutlig allokering kvv'!$B$2:$BX$549,MATCH(L$2,'Slutlig allokering kvv'!$B$1:$BX$1,0),FALSE)/1,0))</f>
        <v/>
      </c>
      <c r="M43" s="121" t="str">
        <f>IF($D43="","",IFERROR(VLOOKUP($B43,Kraftvärmeprod!$B$1:$BX$549,MATCH(M$2,Kraftvärmeprod!$B$1:$VX$1,0),FALSE)/1,0)-IFERROR(VLOOKUP($B43,'Slutlig allokering kvv'!$B$2:$BX$549,MATCH(M$2,'Slutlig allokering kvv'!$B$1:$BX$1,0),FALSE)/1,0))</f>
        <v/>
      </c>
      <c r="N43" s="121" t="str">
        <f>IF($D43="","",IFERROR(VLOOKUP($B43,Kraftvärmeprod!$B$1:$BX$549,MATCH(N$2,Kraftvärmeprod!$B$1:$VX$1,0),FALSE)/1,0)-IFERROR(VLOOKUP($B43,'Slutlig allokering kvv'!$B$2:$BX$549,MATCH(N$2,'Slutlig allokering kvv'!$B$1:$BX$1,0),FALSE)/1,0))</f>
        <v/>
      </c>
      <c r="O43" s="121" t="str">
        <f>IF($D43="","",IFERROR(VLOOKUP($B43,Kraftvärmeprod!$B$1:$BX$549,MATCH(O$2,Kraftvärmeprod!$B$1:$VX$1,0),FALSE)/1,0)-IFERROR(VLOOKUP($B43,'Slutlig allokering kvv'!$B$2:$BX$549,MATCH(O$2,'Slutlig allokering kvv'!$B$1:$BX$1,0),FALSE)/1,0))</f>
        <v/>
      </c>
      <c r="P43" s="121" t="str">
        <f>IF($D43="","",IFERROR(VLOOKUP($B43,Kraftvärmeprod!$B$1:$BX$549,MATCH(P$2,Kraftvärmeprod!$B$1:$VX$1,0),FALSE)/1,0)-IFERROR(VLOOKUP($B43,'Slutlig allokering kvv'!$B$2:$BX$549,MATCH(P$2,'Slutlig allokering kvv'!$B$1:$BX$1,0),FALSE)/1,0))</f>
        <v/>
      </c>
      <c r="Q43" s="121" t="str">
        <f>IF($D43="","",IFERROR(VLOOKUP($B43,Kraftvärmeprod!$B$1:$BX$549,MATCH(Q$2,Kraftvärmeprod!$B$1:$VX$1,0),FALSE)/1,0)-IFERROR(VLOOKUP($B43,'Slutlig allokering kvv'!$B$2:$BX$549,MATCH(Q$2,'Slutlig allokering kvv'!$B$1:$BX$1,0),FALSE)/1,0))</f>
        <v/>
      </c>
      <c r="R43" s="121" t="str">
        <f>IF($D43="","",IFERROR(VLOOKUP($B43,Kraftvärmeprod!$B$1:$BX$549,MATCH(R$2,Kraftvärmeprod!$B$1:$VX$1,0),FALSE)/1,0)-IFERROR(VLOOKUP($B43,'Slutlig allokering kvv'!$B$2:$BX$549,MATCH(R$2,'Slutlig allokering kvv'!$B$1:$BX$1,0),FALSE)/1,0))</f>
        <v/>
      </c>
      <c r="S43" s="121" t="str">
        <f>IF($D43="","",IFERROR(VLOOKUP($B43,Kraftvärmeprod!$B$1:$BX$549,MATCH(S$2,Kraftvärmeprod!$B$1:$VX$1,0),FALSE)/1,0)-IFERROR(VLOOKUP($B43,'Slutlig allokering kvv'!$B$2:$BX$549,MATCH(S$2,'Slutlig allokering kvv'!$B$1:$BX$1,0),FALSE)/1,0))</f>
        <v/>
      </c>
      <c r="T43" s="121" t="str">
        <f>IF($D43="","",IFERROR(VLOOKUP($B43,Kraftvärmeprod!$B$1:$BX$549,MATCH(T$2,Kraftvärmeprod!$B$1:$VX$1,0),FALSE)/1,0)-IFERROR(VLOOKUP($B43,'Slutlig allokering kvv'!$B$2:$BX$549,MATCH(T$2,'Slutlig allokering kvv'!$B$1:$BX$1,0),FALSE)/1,0))</f>
        <v/>
      </c>
      <c r="U43" s="121" t="str">
        <f>IF($D43="","",IFERROR(VLOOKUP($B43,Kraftvärmeprod!$B$1:$BX$549,MATCH(U$2,Kraftvärmeprod!$B$1:$VX$1,0),FALSE)/1,0)-IFERROR(VLOOKUP($B43,'Slutlig allokering kvv'!$B$2:$BX$549,MATCH(U$2,'Slutlig allokering kvv'!$B$1:$BX$1,0),FALSE)/1,0))</f>
        <v/>
      </c>
      <c r="V43" s="121" t="str">
        <f>IF($D43="","",IFERROR(VLOOKUP($B43,Kraftvärmeprod!$B$1:$BX$549,MATCH(V$2,Kraftvärmeprod!$B$1:$VX$1,0),FALSE)/1,0)-IFERROR(VLOOKUP($B43,'Slutlig allokering kvv'!$B$2:$BX$549,MATCH(V$2,'Slutlig allokering kvv'!$B$1:$BX$1,0),FALSE)/1,0))</f>
        <v/>
      </c>
      <c r="W43" s="121" t="str">
        <f>IF($D43="","",IFERROR(VLOOKUP($B43,Kraftvärmeprod!$B$1:$BX$549,MATCH(W$2,Kraftvärmeprod!$B$1:$VX$1,0),FALSE)/1,0)-IFERROR(VLOOKUP($B43,'Slutlig allokering kvv'!$B$2:$BX$549,MATCH(W$2,'Slutlig allokering kvv'!$B$1:$BX$1,0),FALSE)/1,0))</f>
        <v/>
      </c>
      <c r="X43" s="121" t="str">
        <f>IF($D43="","",IFERROR(VLOOKUP($B43,Kraftvärmeprod!$B$1:$BX$549,MATCH(X$2,Kraftvärmeprod!$B$1:$VX$1,0),FALSE)/1,0)-IFERROR(VLOOKUP($B43,'Slutlig allokering kvv'!$B$2:$BX$549,MATCH(X$2,'Slutlig allokering kvv'!$B$1:$BX$1,0),FALSE)/1,0))</f>
        <v/>
      </c>
      <c r="Y43" s="121" t="str">
        <f>IF($D43="","",IFERROR(VLOOKUP($B43,Kraftvärmeprod!$B$1:$BX$549,MATCH(Y$2,Kraftvärmeprod!$B$1:$VX$1,0),FALSE)/1,0)-IFERROR(VLOOKUP($B43,'Slutlig allokering kvv'!$B$2:$BX$549,MATCH(Y$2,'Slutlig allokering kvv'!$B$1:$BX$1,0),FALSE)/1,0))</f>
        <v/>
      </c>
      <c r="Z43" s="121" t="str">
        <f>IF($D43="","",IFERROR(VLOOKUP($B43,Kraftvärmeprod!$B$1:$BX$549,MATCH(Z$2,Kraftvärmeprod!$B$1:$VX$1,0),FALSE)/1,0)-IFERROR(VLOOKUP($B43,'Slutlig allokering kvv'!$B$2:$BX$549,MATCH(Z$2,'Slutlig allokering kvv'!$B$1:$BX$1,0),FALSE)/1,0))</f>
        <v/>
      </c>
      <c r="AA43" s="121" t="str">
        <f>IF($D43="","",IFERROR(VLOOKUP($B43,Kraftvärmeprod!$B$1:$BX$549,MATCH(AA$2,Kraftvärmeprod!$B$1:$VX$1,0),FALSE)/1,0)-IFERROR(VLOOKUP($B43,'Slutlig allokering kvv'!$B$2:$BX$549,MATCH(AA$2,'Slutlig allokering kvv'!$B$1:$BX$1,0),FALSE)/1,0))</f>
        <v/>
      </c>
      <c r="AB43" s="121" t="str">
        <f>IF($D43="","",IFERROR(VLOOKUP($B43,Kraftvärmeprod!$B$1:$BX$549,MATCH(AB$2,Kraftvärmeprod!$B$1:$VX$1,0),FALSE)/1,0)-IFERROR(VLOOKUP($B43,'Slutlig allokering kvv'!$B$2:$BX$549,MATCH(AB$2,'Slutlig allokering kvv'!$B$1:$BX$1,0),FALSE)/1,0))</f>
        <v/>
      </c>
      <c r="AC43" s="121" t="str">
        <f>IF($D43="","",IFERROR(VLOOKUP($B43,Kraftvärmeprod!$B$1:$BX$549,MATCH(AC$2,Kraftvärmeprod!$B$1:$VX$1,0),FALSE)/1,0)-IFERROR(VLOOKUP($B43,'Slutlig allokering kvv'!$B$2:$BX$549,MATCH(AC$2,'Slutlig allokering kvv'!$B$1:$BX$1,0),FALSE)/1,0))</f>
        <v/>
      </c>
      <c r="AD43" s="121" t="str">
        <f>IF($D43="","",IFERROR(VLOOKUP($B43,Kraftvärmeprod!$B$1:$BX$549,MATCH(AD$2,Kraftvärmeprod!$B$1:$VX$1,0),FALSE)/1,0)-IFERROR(VLOOKUP($B43,'Slutlig allokering kvv'!$B$2:$BX$549,MATCH(AD$2,'Slutlig allokering kvv'!$B$1:$BX$1,0),FALSE)/1,0))</f>
        <v/>
      </c>
      <c r="AE43" s="121" t="str">
        <f>IF($D43="","",IFERROR(VLOOKUP($B43,Miljö!$B$1:$E$550,MATCH("Hjälpel kraftvärme (GWh)",Miljö!$B$1:$E$1,0),FALSE)/1,0)-IFERROR(VLOOKUP($B43,'Slutlig allokering kvv'!$B$2:$BX$549,MATCH(AE$2,'Slutlig allokering kvv'!$B$1:$BX$1,0),FALSE)/1,0))</f>
        <v/>
      </c>
      <c r="AI43" s="121">
        <f t="shared" si="0"/>
        <v>0</v>
      </c>
      <c r="AK43" s="121">
        <f>IFERROR(VLOOKUP($B43,'Slutlig allokering kvv'!$B$2:$AX$549,MATCH("Summa slutlig allokerad tillförd energi (utan hjälpel och rökgaskondensering):",'Slutlig allokering kvv'!$B$1:$AX$1,0),FALSE)/1,"")</f>
        <v>0</v>
      </c>
      <c r="AM43" s="172" t="str">
        <f>IFERROR(1-VLOOKUP($B43,'Slutlig allokering kvv'!$B$2:$AX$549,MATCH("Andel av bränsle i kvv som allokerats till värme, exklusive rökgaskondensering och hjälpel",'Slutlig allokering kvv'!$B$1:$AX$1,0),FALSE),"")</f>
        <v/>
      </c>
      <c r="AO43" s="172" t="str">
        <f t="shared" si="1"/>
        <v/>
      </c>
      <c r="AP43" s="173" t="str">
        <f t="shared" si="2"/>
        <v/>
      </c>
      <c r="AR43" s="172" t="str">
        <f t="shared" si="3"/>
        <v/>
      </c>
    </row>
    <row r="44" spans="1:44" x14ac:dyDescent="0.25">
      <c r="A44" s="171" t="str">
        <f>'Miljövärden för publ företag'!B46</f>
        <v>Borås Energi &amp; Miljö AB</v>
      </c>
      <c r="B44" s="171" t="str">
        <f>'Miljövärden för publ företag'!C46</f>
        <v>Borås</v>
      </c>
      <c r="C44" s="121">
        <f>IFERROR(VLOOKUP($B44,Kraftvärmeprod!$B$1:$AH$478,MATCH(C$2,Kraftvärmeprod!$B$1:$AG$1,0),FALSE)/1,"")</f>
        <v>555.30999999999995</v>
      </c>
      <c r="D44" s="121">
        <f>IFERROR(VLOOKUP($B44,Kraftvärmeprod!$B$1:$AH$478,MATCH(D$2,Kraftvärmeprod!$B$1:$AG$1,0),FALSE)/1,"")</f>
        <v>90.48</v>
      </c>
      <c r="F44" s="121">
        <f>IF($D44="","",IFERROR(VLOOKUP($B44,Kraftvärmeprod!$B$1:$BX$549,MATCH(F$2,Kraftvärmeprod!$B$1:$VX$1,0),FALSE)/1,0)-IFERROR(VLOOKUP($B44,'Slutlig allokering kvv'!$B$2:$BX$549,MATCH(F$2,'Slutlig allokering kvv'!$B$1:$BX$1,0),FALSE)/1,0))</f>
        <v>0</v>
      </c>
      <c r="G44" s="121">
        <f>IF($D44="","",IFERROR(VLOOKUP($B44,Kraftvärmeprod!$B$1:$BX$549,MATCH(G$2,Kraftvärmeprod!$B$1:$VX$1,0),FALSE)/1,0)-IFERROR(VLOOKUP($B44,'Slutlig allokering kvv'!$B$2:$BX$549,MATCH(G$2,'Slutlig allokering kvv'!$B$1:$BX$1,0),FALSE)/1,0))</f>
        <v>0</v>
      </c>
      <c r="H44" s="121">
        <f>IF($D44="","",IFERROR(VLOOKUP($B44,Kraftvärmeprod!$B$1:$BX$549,MATCH(H$2,Kraftvärmeprod!$B$1:$VX$1,0),FALSE)/1,0)-IFERROR(VLOOKUP($B44,'Slutlig allokering kvv'!$B$2:$BX$549,MATCH(H$2,'Slutlig allokering kvv'!$B$1:$BX$1,0),FALSE)/1,0))</f>
        <v>0</v>
      </c>
      <c r="I44" s="121">
        <f>IF($D44="","",IFERROR(VLOOKUP($B44,Kraftvärmeprod!$B$1:$BX$549,MATCH(I$2,Kraftvärmeprod!$B$1:$VX$1,0),FALSE)/1,0)-IFERROR(VLOOKUP($B44,'Slutlig allokering kvv'!$B$2:$BX$549,MATCH(I$2,'Slutlig allokering kvv'!$B$1:$BX$1,0),FALSE)/1,0))</f>
        <v>0</v>
      </c>
      <c r="J44" s="121">
        <f>IF($D44="","",IFERROR(VLOOKUP($B44,Kraftvärmeprod!$B$1:$BX$549,MATCH(J$2,Kraftvärmeprod!$B$1:$VX$1,0),FALSE)/1,0)-IFERROR(VLOOKUP($B44,'Slutlig allokering kvv'!$B$2:$BX$549,MATCH(J$2,'Slutlig allokering kvv'!$B$1:$BX$1,0),FALSE)/1,0))</f>
        <v>0</v>
      </c>
      <c r="K44" s="121">
        <f>IF($D44="","",IFERROR(VLOOKUP($B44,Kraftvärmeprod!$B$1:$BX$549,MATCH(K$2,Kraftvärmeprod!$B$1:$VX$1,0),FALSE)/1,0)-IFERROR(VLOOKUP($B44,'Slutlig allokering kvv'!$B$2:$BX$549,MATCH(K$2,'Slutlig allokering kvv'!$B$1:$BX$1,0),FALSE)/1,0))</f>
        <v>0</v>
      </c>
      <c r="L44" s="121">
        <f>IF($D44="","",IFERROR(VLOOKUP($B44,Kraftvärmeprod!$B$1:$BX$549,MATCH(L$2,Kraftvärmeprod!$B$1:$VX$1,0),FALSE)/1,0)-IFERROR(VLOOKUP($B44,'Slutlig allokering kvv'!$B$2:$BX$549,MATCH(L$2,'Slutlig allokering kvv'!$B$1:$BX$1,0),FALSE)/1,0))</f>
        <v>87.695000000000022</v>
      </c>
      <c r="M44" s="121">
        <f>IF($D44="","",IFERROR(VLOOKUP($B44,Kraftvärmeprod!$B$1:$BX$549,MATCH(M$2,Kraftvärmeprod!$B$1:$VX$1,0),FALSE)/1,0)-IFERROR(VLOOKUP($B44,'Slutlig allokering kvv'!$B$2:$BX$549,MATCH(M$2,'Slutlig allokering kvv'!$B$1:$BX$1,0),FALSE)/1,0))</f>
        <v>16.8523</v>
      </c>
      <c r="N44" s="121">
        <f>IF($D44="","",IFERROR(VLOOKUP($B44,Kraftvärmeprod!$B$1:$BX$549,MATCH(N$2,Kraftvärmeprod!$B$1:$VX$1,0),FALSE)/1,0)-IFERROR(VLOOKUP($B44,'Slutlig allokering kvv'!$B$2:$BX$549,MATCH(N$2,'Slutlig allokering kvv'!$B$1:$BX$1,0),FALSE)/1,0))</f>
        <v>0</v>
      </c>
      <c r="O44" s="121">
        <f>IF($D44="","",IFERROR(VLOOKUP($B44,Kraftvärmeprod!$B$1:$BX$549,MATCH(O$2,Kraftvärmeprod!$B$1:$VX$1,0),FALSE)/1,0)-IFERROR(VLOOKUP($B44,'Slutlig allokering kvv'!$B$2:$BX$549,MATCH(O$2,'Slutlig allokering kvv'!$B$1:$BX$1,0),FALSE)/1,0))</f>
        <v>0.79284000000000021</v>
      </c>
      <c r="P44" s="121">
        <f>IF($D44="","",IFERROR(VLOOKUP($B44,Kraftvärmeprod!$B$1:$BX$549,MATCH(P$2,Kraftvärmeprod!$B$1:$VX$1,0),FALSE)/1,0)-IFERROR(VLOOKUP($B44,'Slutlig allokering kvv'!$B$2:$BX$549,MATCH(P$2,'Slutlig allokering kvv'!$B$1:$BX$1,0),FALSE)/1,0))</f>
        <v>0</v>
      </c>
      <c r="Q44" s="121">
        <f>IF($D44="","",IFERROR(VLOOKUP($B44,Kraftvärmeprod!$B$1:$BX$549,MATCH(Q$2,Kraftvärmeprod!$B$1:$VX$1,0),FALSE)/1,0)-IFERROR(VLOOKUP($B44,'Slutlig allokering kvv'!$B$2:$BX$549,MATCH(Q$2,'Slutlig allokering kvv'!$B$1:$BX$1,0),FALSE)/1,0))</f>
        <v>24.783600000000007</v>
      </c>
      <c r="R44" s="121">
        <f>IF($D44="","",IFERROR(VLOOKUP($B44,Kraftvärmeprod!$B$1:$BX$549,MATCH(R$2,Kraftvärmeprod!$B$1:$VX$1,0),FALSE)/1,0)-IFERROR(VLOOKUP($B44,'Slutlig allokering kvv'!$B$2:$BX$549,MATCH(R$2,'Slutlig allokering kvv'!$B$1:$BX$1,0),FALSE)/1,0))</f>
        <v>0</v>
      </c>
      <c r="S44" s="121">
        <f>IF($D44="","",IFERROR(VLOOKUP($B44,Kraftvärmeprod!$B$1:$BX$549,MATCH(S$2,Kraftvärmeprod!$B$1:$VX$1,0),FALSE)/1,0)-IFERROR(VLOOKUP($B44,'Slutlig allokering kvv'!$B$2:$BX$549,MATCH(S$2,'Slutlig allokering kvv'!$B$1:$BX$1,0),FALSE)/1,0))</f>
        <v>0</v>
      </c>
      <c r="T44" s="121">
        <f>IF($D44="","",IFERROR(VLOOKUP($B44,Kraftvärmeprod!$B$1:$BX$549,MATCH(T$2,Kraftvärmeprod!$B$1:$VX$1,0),FALSE)/1,0)-IFERROR(VLOOKUP($B44,'Slutlig allokering kvv'!$B$2:$BX$549,MATCH(T$2,'Slutlig allokering kvv'!$B$1:$BX$1,0),FALSE)/1,0))</f>
        <v>1.1385899999999998</v>
      </c>
      <c r="U44" s="121">
        <f>IF($D44="","",IFERROR(VLOOKUP($B44,Kraftvärmeprod!$B$1:$BX$549,MATCH(U$2,Kraftvärmeprod!$B$1:$VX$1,0),FALSE)/1,0)-IFERROR(VLOOKUP($B44,'Slutlig allokering kvv'!$B$2:$BX$549,MATCH(U$2,'Slutlig allokering kvv'!$B$1:$BX$1,0),FALSE)/1,0))</f>
        <v>0</v>
      </c>
      <c r="V44" s="121">
        <f>IF($D44="","",IFERROR(VLOOKUP($B44,Kraftvärmeprod!$B$1:$BX$549,MATCH(V$2,Kraftvärmeprod!$B$1:$VX$1,0),FALSE)/1,0)-IFERROR(VLOOKUP($B44,'Slutlig allokering kvv'!$B$2:$BX$549,MATCH(V$2,'Slutlig allokering kvv'!$B$1:$BX$1,0),FALSE)/1,0))</f>
        <v>0</v>
      </c>
      <c r="W44" s="121">
        <f>IF($D44="","",IFERROR(VLOOKUP($B44,Kraftvärmeprod!$B$1:$BX$549,MATCH(W$2,Kraftvärmeprod!$B$1:$VX$1,0),FALSE)/1,0)-IFERROR(VLOOKUP($B44,'Slutlig allokering kvv'!$B$2:$BX$549,MATCH(W$2,'Slutlig allokering kvv'!$B$1:$BX$1,0),FALSE)/1,0))</f>
        <v>0</v>
      </c>
      <c r="X44" s="121">
        <f>IF($D44="","",IFERROR(VLOOKUP($B44,Kraftvärmeprod!$B$1:$BX$549,MATCH(X$2,Kraftvärmeprod!$B$1:$VX$1,0),FALSE)/1,0)-IFERROR(VLOOKUP($B44,'Slutlig allokering kvv'!$B$2:$BX$549,MATCH(X$2,'Slutlig allokering kvv'!$B$1:$BX$1,0),FALSE)/1,0))</f>
        <v>0</v>
      </c>
      <c r="Y44" s="121">
        <f>IF($D44="","",IFERROR(VLOOKUP($B44,Kraftvärmeprod!$B$1:$BX$549,MATCH(Y$2,Kraftvärmeprod!$B$1:$VX$1,0),FALSE)/1,0)-IFERROR(VLOOKUP($B44,'Slutlig allokering kvv'!$B$2:$BX$549,MATCH(Y$2,'Slutlig allokering kvv'!$B$1:$BX$1,0),FALSE)/1,0))</f>
        <v>18.0505</v>
      </c>
      <c r="Z44" s="121">
        <f>IF($D44="","",IFERROR(VLOOKUP($B44,Kraftvärmeprod!$B$1:$BX$549,MATCH(Z$2,Kraftvärmeprod!$B$1:$VX$1,0),FALSE)/1,0)-IFERROR(VLOOKUP($B44,'Slutlig allokering kvv'!$B$2:$BX$549,MATCH(Z$2,'Slutlig allokering kvv'!$B$1:$BX$1,0),FALSE)/1,0))</f>
        <v>0</v>
      </c>
      <c r="AA44" s="121">
        <f>IF($D44="","",IFERROR(VLOOKUP($B44,Kraftvärmeprod!$B$1:$BX$549,MATCH(AA$2,Kraftvärmeprod!$B$1:$VX$1,0),FALSE)/1,0)-IFERROR(VLOOKUP($B44,'Slutlig allokering kvv'!$B$2:$BX$549,MATCH(AA$2,'Slutlig allokering kvv'!$B$1:$BX$1,0),FALSE)/1,0))</f>
        <v>102.15099999999998</v>
      </c>
      <c r="AB44" s="121">
        <f>IF($D44="","",IFERROR(VLOOKUP($B44,Kraftvärmeprod!$B$1:$BX$549,MATCH(AB$2,Kraftvärmeprod!$B$1:$VX$1,0),FALSE)/1,0)-IFERROR(VLOOKUP($B44,'Slutlig allokering kvv'!$B$2:$BX$549,MATCH(AB$2,'Slutlig allokering kvv'!$B$1:$BX$1,0),FALSE)/1,0))</f>
        <v>0</v>
      </c>
      <c r="AC44" s="121">
        <f>IF($D44="","",IFERROR(VLOOKUP($B44,Kraftvärmeprod!$B$1:$BX$549,MATCH(AC$2,Kraftvärmeprod!$B$1:$VX$1,0),FALSE)/1,0)-IFERROR(VLOOKUP($B44,'Slutlig allokering kvv'!$B$2:$BX$549,MATCH(AC$2,'Slutlig allokering kvv'!$B$1:$BX$1,0),FALSE)/1,0))</f>
        <v>0</v>
      </c>
      <c r="AD44" s="121">
        <f>IF($D44="","",IFERROR(VLOOKUP($B44,Kraftvärmeprod!$B$1:$BX$549,MATCH(AD$2,Kraftvärmeprod!$B$1:$VX$1,0),FALSE)/1,0)-IFERROR(VLOOKUP($B44,'Slutlig allokering kvv'!$B$2:$BX$549,MATCH(AD$2,'Slutlig allokering kvv'!$B$1:$BX$1,0),FALSE)/1,0))</f>
        <v>0</v>
      </c>
      <c r="AE44" s="121">
        <f>IF($D44="","",IFERROR(VLOOKUP($B44,Miljö!$B$1:$E$550,MATCH("Hjälpel kraftvärme (GWh)",Miljö!$B$1:$E$1,0),FALSE)/1,0)-IFERROR(VLOOKUP($B44,'Slutlig allokering kvv'!$B$2:$BX$549,MATCH(AE$2,'Slutlig allokering kvv'!$B$1:$BX$1,0),FALSE)/1,0))</f>
        <v>9.7728999999999999</v>
      </c>
      <c r="AI44" s="121">
        <f t="shared" si="0"/>
        <v>251.46383</v>
      </c>
      <c r="AK44" s="121">
        <f>IFERROR(VLOOKUP($B44,'Slutlig allokering kvv'!$B$2:$AX$549,MATCH("Summa slutlig allokerad tillförd energi (utan hjälpel och rökgaskondensering):",'Slutlig allokering kvv'!$B$1:$AX$1,0),FALSE)/1,"")</f>
        <v>547.55617000000007</v>
      </c>
      <c r="AM44" s="172">
        <f>IFERROR(1-VLOOKUP($B44,'Slutlig allokering kvv'!$B$2:$AX$549,MATCH("Andel av bränsle i kvv som allokerats till värme, exklusive rökgaskondensering och hjälpel",'Slutlig allokering kvv'!$B$1:$AX$1,0),FALSE),"")</f>
        <v>0.31471531375935513</v>
      </c>
      <c r="AO44" s="172">
        <f t="shared" si="1"/>
        <v>0.31471531375935519</v>
      </c>
      <c r="AP44" s="173">
        <f t="shared" si="2"/>
        <v>-5.5511151231257827E-17</v>
      </c>
      <c r="AR44" s="172">
        <f t="shared" si="3"/>
        <v>0.34635252094910235</v>
      </c>
    </row>
    <row r="45" spans="1:44" x14ac:dyDescent="0.25">
      <c r="A45" s="171" t="str">
        <f>'Miljövärden för publ företag'!B47</f>
        <v>Borås Energi &amp; Miljö AB</v>
      </c>
      <c r="B45" s="171" t="str">
        <f>'Miljövärden för publ företag'!C47</f>
        <v>Fristad</v>
      </c>
      <c r="C45" s="121" t="str">
        <f>IFERROR(VLOOKUP($B45,Kraftvärmeprod!$B$1:$AH$478,MATCH(C$2,Kraftvärmeprod!$B$1:$AG$1,0),FALSE)/1,"")</f>
        <v/>
      </c>
      <c r="D45" s="121" t="str">
        <f>IFERROR(VLOOKUP($B45,Kraftvärmeprod!$B$1:$AH$478,MATCH(D$2,Kraftvärmeprod!$B$1:$AG$1,0),FALSE)/1,"")</f>
        <v/>
      </c>
      <c r="F45" s="121" t="str">
        <f>IF($D45="","",IFERROR(VLOOKUP($B45,Kraftvärmeprod!$B$1:$BX$549,MATCH(F$2,Kraftvärmeprod!$B$1:$VX$1,0),FALSE)/1,0)-IFERROR(VLOOKUP($B45,'Slutlig allokering kvv'!$B$2:$BX$549,MATCH(F$2,'Slutlig allokering kvv'!$B$1:$BX$1,0),FALSE)/1,0))</f>
        <v/>
      </c>
      <c r="G45" s="121" t="str">
        <f>IF($D45="","",IFERROR(VLOOKUP($B45,Kraftvärmeprod!$B$1:$BX$549,MATCH(G$2,Kraftvärmeprod!$B$1:$VX$1,0),FALSE)/1,0)-IFERROR(VLOOKUP($B45,'Slutlig allokering kvv'!$B$2:$BX$549,MATCH(G$2,'Slutlig allokering kvv'!$B$1:$BX$1,0),FALSE)/1,0))</f>
        <v/>
      </c>
      <c r="H45" s="121" t="str">
        <f>IF($D45="","",IFERROR(VLOOKUP($B45,Kraftvärmeprod!$B$1:$BX$549,MATCH(H$2,Kraftvärmeprod!$B$1:$VX$1,0),FALSE)/1,0)-IFERROR(VLOOKUP($B45,'Slutlig allokering kvv'!$B$2:$BX$549,MATCH(H$2,'Slutlig allokering kvv'!$B$1:$BX$1,0),FALSE)/1,0))</f>
        <v/>
      </c>
      <c r="I45" s="121" t="str">
        <f>IF($D45="","",IFERROR(VLOOKUP($B45,Kraftvärmeprod!$B$1:$BX$549,MATCH(I$2,Kraftvärmeprod!$B$1:$VX$1,0),FALSE)/1,0)-IFERROR(VLOOKUP($B45,'Slutlig allokering kvv'!$B$2:$BX$549,MATCH(I$2,'Slutlig allokering kvv'!$B$1:$BX$1,0),FALSE)/1,0))</f>
        <v/>
      </c>
      <c r="J45" s="121" t="str">
        <f>IF($D45="","",IFERROR(VLOOKUP($B45,Kraftvärmeprod!$B$1:$BX$549,MATCH(J$2,Kraftvärmeprod!$B$1:$VX$1,0),FALSE)/1,0)-IFERROR(VLOOKUP($B45,'Slutlig allokering kvv'!$B$2:$BX$549,MATCH(J$2,'Slutlig allokering kvv'!$B$1:$BX$1,0),FALSE)/1,0))</f>
        <v/>
      </c>
      <c r="K45" s="121" t="str">
        <f>IF($D45="","",IFERROR(VLOOKUP($B45,Kraftvärmeprod!$B$1:$BX$549,MATCH(K$2,Kraftvärmeprod!$B$1:$VX$1,0),FALSE)/1,0)-IFERROR(VLOOKUP($B45,'Slutlig allokering kvv'!$B$2:$BX$549,MATCH(K$2,'Slutlig allokering kvv'!$B$1:$BX$1,0),FALSE)/1,0))</f>
        <v/>
      </c>
      <c r="L45" s="121" t="str">
        <f>IF($D45="","",IFERROR(VLOOKUP($B45,Kraftvärmeprod!$B$1:$BX$549,MATCH(L$2,Kraftvärmeprod!$B$1:$VX$1,0),FALSE)/1,0)-IFERROR(VLOOKUP($B45,'Slutlig allokering kvv'!$B$2:$BX$549,MATCH(L$2,'Slutlig allokering kvv'!$B$1:$BX$1,0),FALSE)/1,0))</f>
        <v/>
      </c>
      <c r="M45" s="121" t="str">
        <f>IF($D45="","",IFERROR(VLOOKUP($B45,Kraftvärmeprod!$B$1:$BX$549,MATCH(M$2,Kraftvärmeprod!$B$1:$VX$1,0),FALSE)/1,0)-IFERROR(VLOOKUP($B45,'Slutlig allokering kvv'!$B$2:$BX$549,MATCH(M$2,'Slutlig allokering kvv'!$B$1:$BX$1,0),FALSE)/1,0))</f>
        <v/>
      </c>
      <c r="N45" s="121" t="str">
        <f>IF($D45="","",IFERROR(VLOOKUP($B45,Kraftvärmeprod!$B$1:$BX$549,MATCH(N$2,Kraftvärmeprod!$B$1:$VX$1,0),FALSE)/1,0)-IFERROR(VLOOKUP($B45,'Slutlig allokering kvv'!$B$2:$BX$549,MATCH(N$2,'Slutlig allokering kvv'!$B$1:$BX$1,0),FALSE)/1,0))</f>
        <v/>
      </c>
      <c r="O45" s="121" t="str">
        <f>IF($D45="","",IFERROR(VLOOKUP($B45,Kraftvärmeprod!$B$1:$BX$549,MATCH(O$2,Kraftvärmeprod!$B$1:$VX$1,0),FALSE)/1,0)-IFERROR(VLOOKUP($B45,'Slutlig allokering kvv'!$B$2:$BX$549,MATCH(O$2,'Slutlig allokering kvv'!$B$1:$BX$1,0),FALSE)/1,0))</f>
        <v/>
      </c>
      <c r="P45" s="121" t="str">
        <f>IF($D45="","",IFERROR(VLOOKUP($B45,Kraftvärmeprod!$B$1:$BX$549,MATCH(P$2,Kraftvärmeprod!$B$1:$VX$1,0),FALSE)/1,0)-IFERROR(VLOOKUP($B45,'Slutlig allokering kvv'!$B$2:$BX$549,MATCH(P$2,'Slutlig allokering kvv'!$B$1:$BX$1,0),FALSE)/1,0))</f>
        <v/>
      </c>
      <c r="Q45" s="121" t="str">
        <f>IF($D45="","",IFERROR(VLOOKUP($B45,Kraftvärmeprod!$B$1:$BX$549,MATCH(Q$2,Kraftvärmeprod!$B$1:$VX$1,0),FALSE)/1,0)-IFERROR(VLOOKUP($B45,'Slutlig allokering kvv'!$B$2:$BX$549,MATCH(Q$2,'Slutlig allokering kvv'!$B$1:$BX$1,0),FALSE)/1,0))</f>
        <v/>
      </c>
      <c r="R45" s="121" t="str">
        <f>IF($D45="","",IFERROR(VLOOKUP($B45,Kraftvärmeprod!$B$1:$BX$549,MATCH(R$2,Kraftvärmeprod!$B$1:$VX$1,0),FALSE)/1,0)-IFERROR(VLOOKUP($B45,'Slutlig allokering kvv'!$B$2:$BX$549,MATCH(R$2,'Slutlig allokering kvv'!$B$1:$BX$1,0),FALSE)/1,0))</f>
        <v/>
      </c>
      <c r="S45" s="121" t="str">
        <f>IF($D45="","",IFERROR(VLOOKUP($B45,Kraftvärmeprod!$B$1:$BX$549,MATCH(S$2,Kraftvärmeprod!$B$1:$VX$1,0),FALSE)/1,0)-IFERROR(VLOOKUP($B45,'Slutlig allokering kvv'!$B$2:$BX$549,MATCH(S$2,'Slutlig allokering kvv'!$B$1:$BX$1,0),FALSE)/1,0))</f>
        <v/>
      </c>
      <c r="T45" s="121" t="str">
        <f>IF($D45="","",IFERROR(VLOOKUP($B45,Kraftvärmeprod!$B$1:$BX$549,MATCH(T$2,Kraftvärmeprod!$B$1:$VX$1,0),FALSE)/1,0)-IFERROR(VLOOKUP($B45,'Slutlig allokering kvv'!$B$2:$BX$549,MATCH(T$2,'Slutlig allokering kvv'!$B$1:$BX$1,0),FALSE)/1,0))</f>
        <v/>
      </c>
      <c r="U45" s="121" t="str">
        <f>IF($D45="","",IFERROR(VLOOKUP($B45,Kraftvärmeprod!$B$1:$BX$549,MATCH(U$2,Kraftvärmeprod!$B$1:$VX$1,0),FALSE)/1,0)-IFERROR(VLOOKUP($B45,'Slutlig allokering kvv'!$B$2:$BX$549,MATCH(U$2,'Slutlig allokering kvv'!$B$1:$BX$1,0),FALSE)/1,0))</f>
        <v/>
      </c>
      <c r="V45" s="121" t="str">
        <f>IF($D45="","",IFERROR(VLOOKUP($B45,Kraftvärmeprod!$B$1:$BX$549,MATCH(V$2,Kraftvärmeprod!$B$1:$VX$1,0),FALSE)/1,0)-IFERROR(VLOOKUP($B45,'Slutlig allokering kvv'!$B$2:$BX$549,MATCH(V$2,'Slutlig allokering kvv'!$B$1:$BX$1,0),FALSE)/1,0))</f>
        <v/>
      </c>
      <c r="W45" s="121" t="str">
        <f>IF($D45="","",IFERROR(VLOOKUP($B45,Kraftvärmeprod!$B$1:$BX$549,MATCH(W$2,Kraftvärmeprod!$B$1:$VX$1,0),FALSE)/1,0)-IFERROR(VLOOKUP($B45,'Slutlig allokering kvv'!$B$2:$BX$549,MATCH(W$2,'Slutlig allokering kvv'!$B$1:$BX$1,0),FALSE)/1,0))</f>
        <v/>
      </c>
      <c r="X45" s="121" t="str">
        <f>IF($D45="","",IFERROR(VLOOKUP($B45,Kraftvärmeprod!$B$1:$BX$549,MATCH(X$2,Kraftvärmeprod!$B$1:$VX$1,0),FALSE)/1,0)-IFERROR(VLOOKUP($B45,'Slutlig allokering kvv'!$B$2:$BX$549,MATCH(X$2,'Slutlig allokering kvv'!$B$1:$BX$1,0),FALSE)/1,0))</f>
        <v/>
      </c>
      <c r="Y45" s="121" t="str">
        <f>IF($D45="","",IFERROR(VLOOKUP($B45,Kraftvärmeprod!$B$1:$BX$549,MATCH(Y$2,Kraftvärmeprod!$B$1:$VX$1,0),FALSE)/1,0)-IFERROR(VLOOKUP($B45,'Slutlig allokering kvv'!$B$2:$BX$549,MATCH(Y$2,'Slutlig allokering kvv'!$B$1:$BX$1,0),FALSE)/1,0))</f>
        <v/>
      </c>
      <c r="Z45" s="121" t="str">
        <f>IF($D45="","",IFERROR(VLOOKUP($B45,Kraftvärmeprod!$B$1:$BX$549,MATCH(Z$2,Kraftvärmeprod!$B$1:$VX$1,0),FALSE)/1,0)-IFERROR(VLOOKUP($B45,'Slutlig allokering kvv'!$B$2:$BX$549,MATCH(Z$2,'Slutlig allokering kvv'!$B$1:$BX$1,0),FALSE)/1,0))</f>
        <v/>
      </c>
      <c r="AA45" s="121" t="str">
        <f>IF($D45="","",IFERROR(VLOOKUP($B45,Kraftvärmeprod!$B$1:$BX$549,MATCH(AA$2,Kraftvärmeprod!$B$1:$VX$1,0),FALSE)/1,0)-IFERROR(VLOOKUP($B45,'Slutlig allokering kvv'!$B$2:$BX$549,MATCH(AA$2,'Slutlig allokering kvv'!$B$1:$BX$1,0),FALSE)/1,0))</f>
        <v/>
      </c>
      <c r="AB45" s="121" t="str">
        <f>IF($D45="","",IFERROR(VLOOKUP($B45,Kraftvärmeprod!$B$1:$BX$549,MATCH(AB$2,Kraftvärmeprod!$B$1:$VX$1,0),FALSE)/1,0)-IFERROR(VLOOKUP($B45,'Slutlig allokering kvv'!$B$2:$BX$549,MATCH(AB$2,'Slutlig allokering kvv'!$B$1:$BX$1,0),FALSE)/1,0))</f>
        <v/>
      </c>
      <c r="AC45" s="121" t="str">
        <f>IF($D45="","",IFERROR(VLOOKUP($B45,Kraftvärmeprod!$B$1:$BX$549,MATCH(AC$2,Kraftvärmeprod!$B$1:$VX$1,0),FALSE)/1,0)-IFERROR(VLOOKUP($B45,'Slutlig allokering kvv'!$B$2:$BX$549,MATCH(AC$2,'Slutlig allokering kvv'!$B$1:$BX$1,0),FALSE)/1,0))</f>
        <v/>
      </c>
      <c r="AD45" s="121" t="str">
        <f>IF($D45="","",IFERROR(VLOOKUP($B45,Kraftvärmeprod!$B$1:$BX$549,MATCH(AD$2,Kraftvärmeprod!$B$1:$VX$1,0),FALSE)/1,0)-IFERROR(VLOOKUP($B45,'Slutlig allokering kvv'!$B$2:$BX$549,MATCH(AD$2,'Slutlig allokering kvv'!$B$1:$BX$1,0),FALSE)/1,0))</f>
        <v/>
      </c>
      <c r="AE45" s="121" t="str">
        <f>IF($D45="","",IFERROR(VLOOKUP($B45,Miljö!$B$1:$E$550,MATCH("Hjälpel kraftvärme (GWh)",Miljö!$B$1:$E$1,0),FALSE)/1,0)-IFERROR(VLOOKUP($B45,'Slutlig allokering kvv'!$B$2:$BX$549,MATCH(AE$2,'Slutlig allokering kvv'!$B$1:$BX$1,0),FALSE)/1,0))</f>
        <v/>
      </c>
      <c r="AI45" s="121">
        <f t="shared" si="0"/>
        <v>0</v>
      </c>
      <c r="AK45" s="121">
        <f>IFERROR(VLOOKUP($B45,'Slutlig allokering kvv'!$B$2:$AX$549,MATCH("Summa slutlig allokerad tillförd energi (utan hjälpel och rökgaskondensering):",'Slutlig allokering kvv'!$B$1:$AX$1,0),FALSE)/1,"")</f>
        <v>0</v>
      </c>
      <c r="AM45" s="172" t="str">
        <f>IFERROR(1-VLOOKUP($B45,'Slutlig allokering kvv'!$B$2:$AX$549,MATCH("Andel av bränsle i kvv som allokerats till värme, exklusive rökgaskondensering och hjälpel",'Slutlig allokering kvv'!$B$1:$AX$1,0),FALSE),"")</f>
        <v/>
      </c>
      <c r="AO45" s="172" t="str">
        <f t="shared" si="1"/>
        <v/>
      </c>
      <c r="AP45" s="173" t="str">
        <f t="shared" si="2"/>
        <v/>
      </c>
      <c r="AR45" s="172" t="str">
        <f t="shared" si="3"/>
        <v/>
      </c>
    </row>
    <row r="46" spans="1:44" x14ac:dyDescent="0.25">
      <c r="A46" s="171" t="str">
        <f>'Miljövärden för publ företag'!B48</f>
        <v>BTEA Energi AB</v>
      </c>
      <c r="B46" s="171" t="str">
        <f>'Miljövärden för publ företag'!C48</f>
        <v>Berg</v>
      </c>
      <c r="C46" s="121" t="str">
        <f>IFERROR(VLOOKUP($B46,Kraftvärmeprod!$B$1:$AH$478,MATCH(C$2,Kraftvärmeprod!$B$1:$AG$1,0),FALSE)/1,"")</f>
        <v/>
      </c>
      <c r="D46" s="121" t="str">
        <f>IFERROR(VLOOKUP($B46,Kraftvärmeprod!$B$1:$AH$478,MATCH(D$2,Kraftvärmeprod!$B$1:$AG$1,0),FALSE)/1,"")</f>
        <v/>
      </c>
      <c r="F46" s="121" t="str">
        <f>IF($D46="","",IFERROR(VLOOKUP($B46,Kraftvärmeprod!$B$1:$BX$549,MATCH(F$2,Kraftvärmeprod!$B$1:$VX$1,0),FALSE)/1,0)-IFERROR(VLOOKUP($B46,'Slutlig allokering kvv'!$B$2:$BX$549,MATCH(F$2,'Slutlig allokering kvv'!$B$1:$BX$1,0),FALSE)/1,0))</f>
        <v/>
      </c>
      <c r="G46" s="121" t="str">
        <f>IF($D46="","",IFERROR(VLOOKUP($B46,Kraftvärmeprod!$B$1:$BX$549,MATCH(G$2,Kraftvärmeprod!$B$1:$VX$1,0),FALSE)/1,0)-IFERROR(VLOOKUP($B46,'Slutlig allokering kvv'!$B$2:$BX$549,MATCH(G$2,'Slutlig allokering kvv'!$B$1:$BX$1,0),FALSE)/1,0))</f>
        <v/>
      </c>
      <c r="H46" s="121" t="str">
        <f>IF($D46="","",IFERROR(VLOOKUP($B46,Kraftvärmeprod!$B$1:$BX$549,MATCH(H$2,Kraftvärmeprod!$B$1:$VX$1,0),FALSE)/1,0)-IFERROR(VLOOKUP($B46,'Slutlig allokering kvv'!$B$2:$BX$549,MATCH(H$2,'Slutlig allokering kvv'!$B$1:$BX$1,0),FALSE)/1,0))</f>
        <v/>
      </c>
      <c r="I46" s="121" t="str">
        <f>IF($D46="","",IFERROR(VLOOKUP($B46,Kraftvärmeprod!$B$1:$BX$549,MATCH(I$2,Kraftvärmeprod!$B$1:$VX$1,0),FALSE)/1,0)-IFERROR(VLOOKUP($B46,'Slutlig allokering kvv'!$B$2:$BX$549,MATCH(I$2,'Slutlig allokering kvv'!$B$1:$BX$1,0),FALSE)/1,0))</f>
        <v/>
      </c>
      <c r="J46" s="121" t="str">
        <f>IF($D46="","",IFERROR(VLOOKUP($B46,Kraftvärmeprod!$B$1:$BX$549,MATCH(J$2,Kraftvärmeprod!$B$1:$VX$1,0),FALSE)/1,0)-IFERROR(VLOOKUP($B46,'Slutlig allokering kvv'!$B$2:$BX$549,MATCH(J$2,'Slutlig allokering kvv'!$B$1:$BX$1,0),FALSE)/1,0))</f>
        <v/>
      </c>
      <c r="K46" s="121" t="str">
        <f>IF($D46="","",IFERROR(VLOOKUP($B46,Kraftvärmeprod!$B$1:$BX$549,MATCH(K$2,Kraftvärmeprod!$B$1:$VX$1,0),FALSE)/1,0)-IFERROR(VLOOKUP($B46,'Slutlig allokering kvv'!$B$2:$BX$549,MATCH(K$2,'Slutlig allokering kvv'!$B$1:$BX$1,0),FALSE)/1,0))</f>
        <v/>
      </c>
      <c r="L46" s="121" t="str">
        <f>IF($D46="","",IFERROR(VLOOKUP($B46,Kraftvärmeprod!$B$1:$BX$549,MATCH(L$2,Kraftvärmeprod!$B$1:$VX$1,0),FALSE)/1,0)-IFERROR(VLOOKUP($B46,'Slutlig allokering kvv'!$B$2:$BX$549,MATCH(L$2,'Slutlig allokering kvv'!$B$1:$BX$1,0),FALSE)/1,0))</f>
        <v/>
      </c>
      <c r="M46" s="121" t="str">
        <f>IF($D46="","",IFERROR(VLOOKUP($B46,Kraftvärmeprod!$B$1:$BX$549,MATCH(M$2,Kraftvärmeprod!$B$1:$VX$1,0),FALSE)/1,0)-IFERROR(VLOOKUP($B46,'Slutlig allokering kvv'!$B$2:$BX$549,MATCH(M$2,'Slutlig allokering kvv'!$B$1:$BX$1,0),FALSE)/1,0))</f>
        <v/>
      </c>
      <c r="N46" s="121" t="str">
        <f>IF($D46="","",IFERROR(VLOOKUP($B46,Kraftvärmeprod!$B$1:$BX$549,MATCH(N$2,Kraftvärmeprod!$B$1:$VX$1,0),FALSE)/1,0)-IFERROR(VLOOKUP($B46,'Slutlig allokering kvv'!$B$2:$BX$549,MATCH(N$2,'Slutlig allokering kvv'!$B$1:$BX$1,0),FALSE)/1,0))</f>
        <v/>
      </c>
      <c r="O46" s="121" t="str">
        <f>IF($D46="","",IFERROR(VLOOKUP($B46,Kraftvärmeprod!$B$1:$BX$549,MATCH(O$2,Kraftvärmeprod!$B$1:$VX$1,0),FALSE)/1,0)-IFERROR(VLOOKUP($B46,'Slutlig allokering kvv'!$B$2:$BX$549,MATCH(O$2,'Slutlig allokering kvv'!$B$1:$BX$1,0),FALSE)/1,0))</f>
        <v/>
      </c>
      <c r="P46" s="121" t="str">
        <f>IF($D46="","",IFERROR(VLOOKUP($B46,Kraftvärmeprod!$B$1:$BX$549,MATCH(P$2,Kraftvärmeprod!$B$1:$VX$1,0),FALSE)/1,0)-IFERROR(VLOOKUP($B46,'Slutlig allokering kvv'!$B$2:$BX$549,MATCH(P$2,'Slutlig allokering kvv'!$B$1:$BX$1,0),FALSE)/1,0))</f>
        <v/>
      </c>
      <c r="Q46" s="121" t="str">
        <f>IF($D46="","",IFERROR(VLOOKUP($B46,Kraftvärmeprod!$B$1:$BX$549,MATCH(Q$2,Kraftvärmeprod!$B$1:$VX$1,0),FALSE)/1,0)-IFERROR(VLOOKUP($B46,'Slutlig allokering kvv'!$B$2:$BX$549,MATCH(Q$2,'Slutlig allokering kvv'!$B$1:$BX$1,0),FALSE)/1,0))</f>
        <v/>
      </c>
      <c r="R46" s="121" t="str">
        <f>IF($D46="","",IFERROR(VLOOKUP($B46,Kraftvärmeprod!$B$1:$BX$549,MATCH(R$2,Kraftvärmeprod!$B$1:$VX$1,0),FALSE)/1,0)-IFERROR(VLOOKUP($B46,'Slutlig allokering kvv'!$B$2:$BX$549,MATCH(R$2,'Slutlig allokering kvv'!$B$1:$BX$1,0),FALSE)/1,0))</f>
        <v/>
      </c>
      <c r="S46" s="121" t="str">
        <f>IF($D46="","",IFERROR(VLOOKUP($B46,Kraftvärmeprod!$B$1:$BX$549,MATCH(S$2,Kraftvärmeprod!$B$1:$VX$1,0),FALSE)/1,0)-IFERROR(VLOOKUP($B46,'Slutlig allokering kvv'!$B$2:$BX$549,MATCH(S$2,'Slutlig allokering kvv'!$B$1:$BX$1,0),FALSE)/1,0))</f>
        <v/>
      </c>
      <c r="T46" s="121" t="str">
        <f>IF($D46="","",IFERROR(VLOOKUP($B46,Kraftvärmeprod!$B$1:$BX$549,MATCH(T$2,Kraftvärmeprod!$B$1:$VX$1,0),FALSE)/1,0)-IFERROR(VLOOKUP($B46,'Slutlig allokering kvv'!$B$2:$BX$549,MATCH(T$2,'Slutlig allokering kvv'!$B$1:$BX$1,0),FALSE)/1,0))</f>
        <v/>
      </c>
      <c r="U46" s="121" t="str">
        <f>IF($D46="","",IFERROR(VLOOKUP($B46,Kraftvärmeprod!$B$1:$BX$549,MATCH(U$2,Kraftvärmeprod!$B$1:$VX$1,0),FALSE)/1,0)-IFERROR(VLOOKUP($B46,'Slutlig allokering kvv'!$B$2:$BX$549,MATCH(U$2,'Slutlig allokering kvv'!$B$1:$BX$1,0),FALSE)/1,0))</f>
        <v/>
      </c>
      <c r="V46" s="121" t="str">
        <f>IF($D46="","",IFERROR(VLOOKUP($B46,Kraftvärmeprod!$B$1:$BX$549,MATCH(V$2,Kraftvärmeprod!$B$1:$VX$1,0),FALSE)/1,0)-IFERROR(VLOOKUP($B46,'Slutlig allokering kvv'!$B$2:$BX$549,MATCH(V$2,'Slutlig allokering kvv'!$B$1:$BX$1,0),FALSE)/1,0))</f>
        <v/>
      </c>
      <c r="W46" s="121" t="str">
        <f>IF($D46="","",IFERROR(VLOOKUP($B46,Kraftvärmeprod!$B$1:$BX$549,MATCH(W$2,Kraftvärmeprod!$B$1:$VX$1,0),FALSE)/1,0)-IFERROR(VLOOKUP($B46,'Slutlig allokering kvv'!$B$2:$BX$549,MATCH(W$2,'Slutlig allokering kvv'!$B$1:$BX$1,0),FALSE)/1,0))</f>
        <v/>
      </c>
      <c r="X46" s="121" t="str">
        <f>IF($D46="","",IFERROR(VLOOKUP($B46,Kraftvärmeprod!$B$1:$BX$549,MATCH(X$2,Kraftvärmeprod!$B$1:$VX$1,0),FALSE)/1,0)-IFERROR(VLOOKUP($B46,'Slutlig allokering kvv'!$B$2:$BX$549,MATCH(X$2,'Slutlig allokering kvv'!$B$1:$BX$1,0),FALSE)/1,0))</f>
        <v/>
      </c>
      <c r="Y46" s="121" t="str">
        <f>IF($D46="","",IFERROR(VLOOKUP($B46,Kraftvärmeprod!$B$1:$BX$549,MATCH(Y$2,Kraftvärmeprod!$B$1:$VX$1,0),FALSE)/1,0)-IFERROR(VLOOKUP($B46,'Slutlig allokering kvv'!$B$2:$BX$549,MATCH(Y$2,'Slutlig allokering kvv'!$B$1:$BX$1,0),FALSE)/1,0))</f>
        <v/>
      </c>
      <c r="Z46" s="121" t="str">
        <f>IF($D46="","",IFERROR(VLOOKUP($B46,Kraftvärmeprod!$B$1:$BX$549,MATCH(Z$2,Kraftvärmeprod!$B$1:$VX$1,0),FALSE)/1,0)-IFERROR(VLOOKUP($B46,'Slutlig allokering kvv'!$B$2:$BX$549,MATCH(Z$2,'Slutlig allokering kvv'!$B$1:$BX$1,0),FALSE)/1,0))</f>
        <v/>
      </c>
      <c r="AA46" s="121" t="str">
        <f>IF($D46="","",IFERROR(VLOOKUP($B46,Kraftvärmeprod!$B$1:$BX$549,MATCH(AA$2,Kraftvärmeprod!$B$1:$VX$1,0),FALSE)/1,0)-IFERROR(VLOOKUP($B46,'Slutlig allokering kvv'!$B$2:$BX$549,MATCH(AA$2,'Slutlig allokering kvv'!$B$1:$BX$1,0),FALSE)/1,0))</f>
        <v/>
      </c>
      <c r="AB46" s="121" t="str">
        <f>IF($D46="","",IFERROR(VLOOKUP($B46,Kraftvärmeprod!$B$1:$BX$549,MATCH(AB$2,Kraftvärmeprod!$B$1:$VX$1,0),FALSE)/1,0)-IFERROR(VLOOKUP($B46,'Slutlig allokering kvv'!$B$2:$BX$549,MATCH(AB$2,'Slutlig allokering kvv'!$B$1:$BX$1,0),FALSE)/1,0))</f>
        <v/>
      </c>
      <c r="AC46" s="121" t="str">
        <f>IF($D46="","",IFERROR(VLOOKUP($B46,Kraftvärmeprod!$B$1:$BX$549,MATCH(AC$2,Kraftvärmeprod!$B$1:$VX$1,0),FALSE)/1,0)-IFERROR(VLOOKUP($B46,'Slutlig allokering kvv'!$B$2:$BX$549,MATCH(AC$2,'Slutlig allokering kvv'!$B$1:$BX$1,0),FALSE)/1,0))</f>
        <v/>
      </c>
      <c r="AD46" s="121" t="str">
        <f>IF($D46="","",IFERROR(VLOOKUP($B46,Kraftvärmeprod!$B$1:$BX$549,MATCH(AD$2,Kraftvärmeprod!$B$1:$VX$1,0),FALSE)/1,0)-IFERROR(VLOOKUP($B46,'Slutlig allokering kvv'!$B$2:$BX$549,MATCH(AD$2,'Slutlig allokering kvv'!$B$1:$BX$1,0),FALSE)/1,0))</f>
        <v/>
      </c>
      <c r="AE46" s="121" t="str">
        <f>IF($D46="","",IFERROR(VLOOKUP($B46,Miljö!$B$1:$E$550,MATCH("Hjälpel kraftvärme (GWh)",Miljö!$B$1:$E$1,0),FALSE)/1,0)-IFERROR(VLOOKUP($B46,'Slutlig allokering kvv'!$B$2:$BX$549,MATCH(AE$2,'Slutlig allokering kvv'!$B$1:$BX$1,0),FALSE)/1,0))</f>
        <v/>
      </c>
      <c r="AI46" s="121">
        <f t="shared" si="0"/>
        <v>0</v>
      </c>
      <c r="AK46" s="121">
        <f>IFERROR(VLOOKUP($B46,'Slutlig allokering kvv'!$B$2:$AX$549,MATCH("Summa slutlig allokerad tillförd energi (utan hjälpel och rökgaskondensering):",'Slutlig allokering kvv'!$B$1:$AX$1,0),FALSE)/1,"")</f>
        <v>0</v>
      </c>
      <c r="AM46" s="172" t="str">
        <f>IFERROR(1-VLOOKUP($B46,'Slutlig allokering kvv'!$B$2:$AX$549,MATCH("Andel av bränsle i kvv som allokerats till värme, exklusive rökgaskondensering och hjälpel",'Slutlig allokering kvv'!$B$1:$AX$1,0),FALSE),"")</f>
        <v/>
      </c>
      <c r="AO46" s="172" t="str">
        <f t="shared" si="1"/>
        <v/>
      </c>
      <c r="AP46" s="173" t="str">
        <f t="shared" si="2"/>
        <v/>
      </c>
      <c r="AR46" s="172" t="str">
        <f t="shared" si="3"/>
        <v/>
      </c>
    </row>
    <row r="47" spans="1:44" x14ac:dyDescent="0.25">
      <c r="A47" s="171" t="str">
        <f>'Miljövärden för publ företag'!B49</f>
        <v>C4 Energi AB</v>
      </c>
      <c r="B47" s="171" t="str">
        <f>'Miljövärden för publ företag'!C49</f>
        <v>Fjälkinge</v>
      </c>
      <c r="C47" s="121" t="str">
        <f>IFERROR(VLOOKUP($B47,Kraftvärmeprod!$B$1:$AH$478,MATCH(C$2,Kraftvärmeprod!$B$1:$AG$1,0),FALSE)/1,"")</f>
        <v/>
      </c>
      <c r="D47" s="121" t="str">
        <f>IFERROR(VLOOKUP($B47,Kraftvärmeprod!$B$1:$AH$478,MATCH(D$2,Kraftvärmeprod!$B$1:$AG$1,0),FALSE)/1,"")</f>
        <v/>
      </c>
      <c r="F47" s="121" t="str">
        <f>IF($D47="","",IFERROR(VLOOKUP($B47,Kraftvärmeprod!$B$1:$BX$549,MATCH(F$2,Kraftvärmeprod!$B$1:$VX$1,0),FALSE)/1,0)-IFERROR(VLOOKUP($B47,'Slutlig allokering kvv'!$B$2:$BX$549,MATCH(F$2,'Slutlig allokering kvv'!$B$1:$BX$1,0),FALSE)/1,0))</f>
        <v/>
      </c>
      <c r="G47" s="121" t="str">
        <f>IF($D47="","",IFERROR(VLOOKUP($B47,Kraftvärmeprod!$B$1:$BX$549,MATCH(G$2,Kraftvärmeprod!$B$1:$VX$1,0),FALSE)/1,0)-IFERROR(VLOOKUP($B47,'Slutlig allokering kvv'!$B$2:$BX$549,MATCH(G$2,'Slutlig allokering kvv'!$B$1:$BX$1,0),FALSE)/1,0))</f>
        <v/>
      </c>
      <c r="H47" s="121" t="str">
        <f>IF($D47="","",IFERROR(VLOOKUP($B47,Kraftvärmeprod!$B$1:$BX$549,MATCH(H$2,Kraftvärmeprod!$B$1:$VX$1,0),FALSE)/1,0)-IFERROR(VLOOKUP($B47,'Slutlig allokering kvv'!$B$2:$BX$549,MATCH(H$2,'Slutlig allokering kvv'!$B$1:$BX$1,0),FALSE)/1,0))</f>
        <v/>
      </c>
      <c r="I47" s="121" t="str">
        <f>IF($D47="","",IFERROR(VLOOKUP($B47,Kraftvärmeprod!$B$1:$BX$549,MATCH(I$2,Kraftvärmeprod!$B$1:$VX$1,0),FALSE)/1,0)-IFERROR(VLOOKUP($B47,'Slutlig allokering kvv'!$B$2:$BX$549,MATCH(I$2,'Slutlig allokering kvv'!$B$1:$BX$1,0),FALSE)/1,0))</f>
        <v/>
      </c>
      <c r="J47" s="121" t="str">
        <f>IF($D47="","",IFERROR(VLOOKUP($B47,Kraftvärmeprod!$B$1:$BX$549,MATCH(J$2,Kraftvärmeprod!$B$1:$VX$1,0),FALSE)/1,0)-IFERROR(VLOOKUP($B47,'Slutlig allokering kvv'!$B$2:$BX$549,MATCH(J$2,'Slutlig allokering kvv'!$B$1:$BX$1,0),FALSE)/1,0))</f>
        <v/>
      </c>
      <c r="K47" s="121" t="str">
        <f>IF($D47="","",IFERROR(VLOOKUP($B47,Kraftvärmeprod!$B$1:$BX$549,MATCH(K$2,Kraftvärmeprod!$B$1:$VX$1,0),FALSE)/1,0)-IFERROR(VLOOKUP($B47,'Slutlig allokering kvv'!$B$2:$BX$549,MATCH(K$2,'Slutlig allokering kvv'!$B$1:$BX$1,0),FALSE)/1,0))</f>
        <v/>
      </c>
      <c r="L47" s="121" t="str">
        <f>IF($D47="","",IFERROR(VLOOKUP($B47,Kraftvärmeprod!$B$1:$BX$549,MATCH(L$2,Kraftvärmeprod!$B$1:$VX$1,0),FALSE)/1,0)-IFERROR(VLOOKUP($B47,'Slutlig allokering kvv'!$B$2:$BX$549,MATCH(L$2,'Slutlig allokering kvv'!$B$1:$BX$1,0),FALSE)/1,0))</f>
        <v/>
      </c>
      <c r="M47" s="121" t="str">
        <f>IF($D47="","",IFERROR(VLOOKUP($B47,Kraftvärmeprod!$B$1:$BX$549,MATCH(M$2,Kraftvärmeprod!$B$1:$VX$1,0),FALSE)/1,0)-IFERROR(VLOOKUP($B47,'Slutlig allokering kvv'!$B$2:$BX$549,MATCH(M$2,'Slutlig allokering kvv'!$B$1:$BX$1,0),FALSE)/1,0))</f>
        <v/>
      </c>
      <c r="N47" s="121" t="str">
        <f>IF($D47="","",IFERROR(VLOOKUP($B47,Kraftvärmeprod!$B$1:$BX$549,MATCH(N$2,Kraftvärmeprod!$B$1:$VX$1,0),FALSE)/1,0)-IFERROR(VLOOKUP($B47,'Slutlig allokering kvv'!$B$2:$BX$549,MATCH(N$2,'Slutlig allokering kvv'!$B$1:$BX$1,0),FALSE)/1,0))</f>
        <v/>
      </c>
      <c r="O47" s="121" t="str">
        <f>IF($D47="","",IFERROR(VLOOKUP($B47,Kraftvärmeprod!$B$1:$BX$549,MATCH(O$2,Kraftvärmeprod!$B$1:$VX$1,0),FALSE)/1,0)-IFERROR(VLOOKUP($B47,'Slutlig allokering kvv'!$B$2:$BX$549,MATCH(O$2,'Slutlig allokering kvv'!$B$1:$BX$1,0),FALSE)/1,0))</f>
        <v/>
      </c>
      <c r="P47" s="121" t="str">
        <f>IF($D47="","",IFERROR(VLOOKUP($B47,Kraftvärmeprod!$B$1:$BX$549,MATCH(P$2,Kraftvärmeprod!$B$1:$VX$1,0),FALSE)/1,0)-IFERROR(VLOOKUP($B47,'Slutlig allokering kvv'!$B$2:$BX$549,MATCH(P$2,'Slutlig allokering kvv'!$B$1:$BX$1,0),FALSE)/1,0))</f>
        <v/>
      </c>
      <c r="Q47" s="121" t="str">
        <f>IF($D47="","",IFERROR(VLOOKUP($B47,Kraftvärmeprod!$B$1:$BX$549,MATCH(Q$2,Kraftvärmeprod!$B$1:$VX$1,0),FALSE)/1,0)-IFERROR(VLOOKUP($B47,'Slutlig allokering kvv'!$B$2:$BX$549,MATCH(Q$2,'Slutlig allokering kvv'!$B$1:$BX$1,0),FALSE)/1,0))</f>
        <v/>
      </c>
      <c r="R47" s="121" t="str">
        <f>IF($D47="","",IFERROR(VLOOKUP($B47,Kraftvärmeprod!$B$1:$BX$549,MATCH(R$2,Kraftvärmeprod!$B$1:$VX$1,0),FALSE)/1,0)-IFERROR(VLOOKUP($B47,'Slutlig allokering kvv'!$B$2:$BX$549,MATCH(R$2,'Slutlig allokering kvv'!$B$1:$BX$1,0),FALSE)/1,0))</f>
        <v/>
      </c>
      <c r="S47" s="121" t="str">
        <f>IF($D47="","",IFERROR(VLOOKUP($B47,Kraftvärmeprod!$B$1:$BX$549,MATCH(S$2,Kraftvärmeprod!$B$1:$VX$1,0),FALSE)/1,0)-IFERROR(VLOOKUP($B47,'Slutlig allokering kvv'!$B$2:$BX$549,MATCH(S$2,'Slutlig allokering kvv'!$B$1:$BX$1,0),FALSE)/1,0))</f>
        <v/>
      </c>
      <c r="T47" s="121" t="str">
        <f>IF($D47="","",IFERROR(VLOOKUP($B47,Kraftvärmeprod!$B$1:$BX$549,MATCH(T$2,Kraftvärmeprod!$B$1:$VX$1,0),FALSE)/1,0)-IFERROR(VLOOKUP($B47,'Slutlig allokering kvv'!$B$2:$BX$549,MATCH(T$2,'Slutlig allokering kvv'!$B$1:$BX$1,0),FALSE)/1,0))</f>
        <v/>
      </c>
      <c r="U47" s="121" t="str">
        <f>IF($D47="","",IFERROR(VLOOKUP($B47,Kraftvärmeprod!$B$1:$BX$549,MATCH(U$2,Kraftvärmeprod!$B$1:$VX$1,0),FALSE)/1,0)-IFERROR(VLOOKUP($B47,'Slutlig allokering kvv'!$B$2:$BX$549,MATCH(U$2,'Slutlig allokering kvv'!$B$1:$BX$1,0),FALSE)/1,0))</f>
        <v/>
      </c>
      <c r="V47" s="121" t="str">
        <f>IF($D47="","",IFERROR(VLOOKUP($B47,Kraftvärmeprod!$B$1:$BX$549,MATCH(V$2,Kraftvärmeprod!$B$1:$VX$1,0),FALSE)/1,0)-IFERROR(VLOOKUP($B47,'Slutlig allokering kvv'!$B$2:$BX$549,MATCH(V$2,'Slutlig allokering kvv'!$B$1:$BX$1,0),FALSE)/1,0))</f>
        <v/>
      </c>
      <c r="W47" s="121" t="str">
        <f>IF($D47="","",IFERROR(VLOOKUP($B47,Kraftvärmeprod!$B$1:$BX$549,MATCH(W$2,Kraftvärmeprod!$B$1:$VX$1,0),FALSE)/1,0)-IFERROR(VLOOKUP($B47,'Slutlig allokering kvv'!$B$2:$BX$549,MATCH(W$2,'Slutlig allokering kvv'!$B$1:$BX$1,0),FALSE)/1,0))</f>
        <v/>
      </c>
      <c r="X47" s="121" t="str">
        <f>IF($D47="","",IFERROR(VLOOKUP($B47,Kraftvärmeprod!$B$1:$BX$549,MATCH(X$2,Kraftvärmeprod!$B$1:$VX$1,0),FALSE)/1,0)-IFERROR(VLOOKUP($B47,'Slutlig allokering kvv'!$B$2:$BX$549,MATCH(X$2,'Slutlig allokering kvv'!$B$1:$BX$1,0),FALSE)/1,0))</f>
        <v/>
      </c>
      <c r="Y47" s="121" t="str">
        <f>IF($D47="","",IFERROR(VLOOKUP($B47,Kraftvärmeprod!$B$1:$BX$549,MATCH(Y$2,Kraftvärmeprod!$B$1:$VX$1,0),FALSE)/1,0)-IFERROR(VLOOKUP($B47,'Slutlig allokering kvv'!$B$2:$BX$549,MATCH(Y$2,'Slutlig allokering kvv'!$B$1:$BX$1,0),FALSE)/1,0))</f>
        <v/>
      </c>
      <c r="Z47" s="121" t="str">
        <f>IF($D47="","",IFERROR(VLOOKUP($B47,Kraftvärmeprod!$B$1:$BX$549,MATCH(Z$2,Kraftvärmeprod!$B$1:$VX$1,0),FALSE)/1,0)-IFERROR(VLOOKUP($B47,'Slutlig allokering kvv'!$B$2:$BX$549,MATCH(Z$2,'Slutlig allokering kvv'!$B$1:$BX$1,0),FALSE)/1,0))</f>
        <v/>
      </c>
      <c r="AA47" s="121" t="str">
        <f>IF($D47="","",IFERROR(VLOOKUP($B47,Kraftvärmeprod!$B$1:$BX$549,MATCH(AA$2,Kraftvärmeprod!$B$1:$VX$1,0),FALSE)/1,0)-IFERROR(VLOOKUP($B47,'Slutlig allokering kvv'!$B$2:$BX$549,MATCH(AA$2,'Slutlig allokering kvv'!$B$1:$BX$1,0),FALSE)/1,0))</f>
        <v/>
      </c>
      <c r="AB47" s="121" t="str">
        <f>IF($D47="","",IFERROR(VLOOKUP($B47,Kraftvärmeprod!$B$1:$BX$549,MATCH(AB$2,Kraftvärmeprod!$B$1:$VX$1,0),FALSE)/1,0)-IFERROR(VLOOKUP($B47,'Slutlig allokering kvv'!$B$2:$BX$549,MATCH(AB$2,'Slutlig allokering kvv'!$B$1:$BX$1,0),FALSE)/1,0))</f>
        <v/>
      </c>
      <c r="AC47" s="121" t="str">
        <f>IF($D47="","",IFERROR(VLOOKUP($B47,Kraftvärmeprod!$B$1:$BX$549,MATCH(AC$2,Kraftvärmeprod!$B$1:$VX$1,0),FALSE)/1,0)-IFERROR(VLOOKUP($B47,'Slutlig allokering kvv'!$B$2:$BX$549,MATCH(AC$2,'Slutlig allokering kvv'!$B$1:$BX$1,0),FALSE)/1,0))</f>
        <v/>
      </c>
      <c r="AD47" s="121" t="str">
        <f>IF($D47="","",IFERROR(VLOOKUP($B47,Kraftvärmeprod!$B$1:$BX$549,MATCH(AD$2,Kraftvärmeprod!$B$1:$VX$1,0),FALSE)/1,0)-IFERROR(VLOOKUP($B47,'Slutlig allokering kvv'!$B$2:$BX$549,MATCH(AD$2,'Slutlig allokering kvv'!$B$1:$BX$1,0),FALSE)/1,0))</f>
        <v/>
      </c>
      <c r="AE47" s="121" t="str">
        <f>IF($D47="","",IFERROR(VLOOKUP($B47,Miljö!$B$1:$E$550,MATCH("Hjälpel kraftvärme (GWh)",Miljö!$B$1:$E$1,0),FALSE)/1,0)-IFERROR(VLOOKUP($B47,'Slutlig allokering kvv'!$B$2:$BX$549,MATCH(AE$2,'Slutlig allokering kvv'!$B$1:$BX$1,0),FALSE)/1,0))</f>
        <v/>
      </c>
      <c r="AI47" s="121">
        <f t="shared" si="0"/>
        <v>0</v>
      </c>
      <c r="AK47" s="121">
        <f>IFERROR(VLOOKUP($B47,'Slutlig allokering kvv'!$B$2:$AX$549,MATCH("Summa slutlig allokerad tillförd energi (utan hjälpel och rökgaskondensering):",'Slutlig allokering kvv'!$B$1:$AX$1,0),FALSE)/1,"")</f>
        <v>0</v>
      </c>
      <c r="AM47" s="172" t="str">
        <f>IFERROR(1-VLOOKUP($B47,'Slutlig allokering kvv'!$B$2:$AX$549,MATCH("Andel av bränsle i kvv som allokerats till värme, exklusive rökgaskondensering och hjälpel",'Slutlig allokering kvv'!$B$1:$AX$1,0),FALSE),"")</f>
        <v/>
      </c>
      <c r="AO47" s="172" t="str">
        <f t="shared" si="1"/>
        <v/>
      </c>
      <c r="AP47" s="173" t="str">
        <f t="shared" si="2"/>
        <v/>
      </c>
      <c r="AR47" s="172" t="str">
        <f t="shared" si="3"/>
        <v/>
      </c>
    </row>
    <row r="48" spans="1:44" x14ac:dyDescent="0.25">
      <c r="A48" s="171" t="str">
        <f>'Miljövärden för publ företag'!B50</f>
        <v>C4 Energi AB</v>
      </c>
      <c r="B48" s="171" t="str">
        <f>'Miljövärden för publ företag'!C50</f>
        <v>Kristianstad</v>
      </c>
      <c r="C48" s="121">
        <f>IFERROR(VLOOKUP($B48,Kraftvärmeprod!$B$1:$AH$478,MATCH(C$2,Kraftvärmeprod!$B$1:$AG$1,0),FALSE)/1,"")</f>
        <v>326.42399999999998</v>
      </c>
      <c r="D48" s="121">
        <f>IFERROR(VLOOKUP($B48,Kraftvärmeprod!$B$1:$AH$478,MATCH(D$2,Kraftvärmeprod!$B$1:$AG$1,0),FALSE)/1,"")</f>
        <v>79.798000000000002</v>
      </c>
      <c r="F48" s="121">
        <f>IF($D48="","",IFERROR(VLOOKUP($B48,Kraftvärmeprod!$B$1:$BX$549,MATCH(F$2,Kraftvärmeprod!$B$1:$VX$1,0),FALSE)/1,0)-IFERROR(VLOOKUP($B48,'Slutlig allokering kvv'!$B$2:$BX$549,MATCH(F$2,'Slutlig allokering kvv'!$B$1:$BX$1,0),FALSE)/1,0))</f>
        <v>0</v>
      </c>
      <c r="G48" s="121">
        <f>IF($D48="","",IFERROR(VLOOKUP($B48,Kraftvärmeprod!$B$1:$BX$549,MATCH(G$2,Kraftvärmeprod!$B$1:$VX$1,0),FALSE)/1,0)-IFERROR(VLOOKUP($B48,'Slutlig allokering kvv'!$B$2:$BX$549,MATCH(G$2,'Slutlig allokering kvv'!$B$1:$BX$1,0),FALSE)/1,0))</f>
        <v>6.9482999999999989E-2</v>
      </c>
      <c r="H48" s="121">
        <f>IF($D48="","",IFERROR(VLOOKUP($B48,Kraftvärmeprod!$B$1:$BX$549,MATCH(H$2,Kraftvärmeprod!$B$1:$VX$1,0),FALSE)/1,0)-IFERROR(VLOOKUP($B48,'Slutlig allokering kvv'!$B$2:$BX$549,MATCH(H$2,'Slutlig allokering kvv'!$B$1:$BX$1,0),FALSE)/1,0))</f>
        <v>0</v>
      </c>
      <c r="I48" s="121">
        <f>IF($D48="","",IFERROR(VLOOKUP($B48,Kraftvärmeprod!$B$1:$BX$549,MATCH(I$2,Kraftvärmeprod!$B$1:$VX$1,0),FALSE)/1,0)-IFERROR(VLOOKUP($B48,'Slutlig allokering kvv'!$B$2:$BX$549,MATCH(I$2,'Slutlig allokering kvv'!$B$1:$BX$1,0),FALSE)/1,0))</f>
        <v>0</v>
      </c>
      <c r="J48" s="121">
        <f>IF($D48="","",IFERROR(VLOOKUP($B48,Kraftvärmeprod!$B$1:$BX$549,MATCH(J$2,Kraftvärmeprod!$B$1:$VX$1,0),FALSE)/1,0)-IFERROR(VLOOKUP($B48,'Slutlig allokering kvv'!$B$2:$BX$549,MATCH(J$2,'Slutlig allokering kvv'!$B$1:$BX$1,0),FALSE)/1,0))</f>
        <v>0</v>
      </c>
      <c r="K48" s="121">
        <f>IF($D48="","",IFERROR(VLOOKUP($B48,Kraftvärmeprod!$B$1:$BX$549,MATCH(K$2,Kraftvärmeprod!$B$1:$VX$1,0),FALSE)/1,0)-IFERROR(VLOOKUP($B48,'Slutlig allokering kvv'!$B$2:$BX$549,MATCH(K$2,'Slutlig allokering kvv'!$B$1:$BX$1,0),FALSE)/1,0))</f>
        <v>0</v>
      </c>
      <c r="L48" s="121">
        <f>IF($D48="","",IFERROR(VLOOKUP($B48,Kraftvärmeprod!$B$1:$BX$549,MATCH(L$2,Kraftvärmeprod!$B$1:$VX$1,0),FALSE)/1,0)-IFERROR(VLOOKUP($B48,'Slutlig allokering kvv'!$B$2:$BX$549,MATCH(L$2,'Slutlig allokering kvv'!$B$1:$BX$1,0),FALSE)/1,0))</f>
        <v>133.81900000000002</v>
      </c>
      <c r="M48" s="121">
        <f>IF($D48="","",IFERROR(VLOOKUP($B48,Kraftvärmeprod!$B$1:$BX$549,MATCH(M$2,Kraftvärmeprod!$B$1:$VX$1,0),FALSE)/1,0)-IFERROR(VLOOKUP($B48,'Slutlig allokering kvv'!$B$2:$BX$549,MATCH(M$2,'Slutlig allokering kvv'!$B$1:$BX$1,0),FALSE)/1,0))</f>
        <v>9.8448999999999991</v>
      </c>
      <c r="N48" s="121">
        <f>IF($D48="","",IFERROR(VLOOKUP($B48,Kraftvärmeprod!$B$1:$BX$549,MATCH(N$2,Kraftvärmeprod!$B$1:$VX$1,0),FALSE)/1,0)-IFERROR(VLOOKUP($B48,'Slutlig allokering kvv'!$B$2:$BX$549,MATCH(N$2,'Slutlig allokering kvv'!$B$1:$BX$1,0),FALSE)/1,0))</f>
        <v>27.107100000000003</v>
      </c>
      <c r="O48" s="121">
        <f>IF($D48="","",IFERROR(VLOOKUP($B48,Kraftvärmeprod!$B$1:$BX$549,MATCH(O$2,Kraftvärmeprod!$B$1:$VX$1,0),FALSE)/1,0)-IFERROR(VLOOKUP($B48,'Slutlig allokering kvv'!$B$2:$BX$549,MATCH(O$2,'Slutlig allokering kvv'!$B$1:$BX$1,0),FALSE)/1,0))</f>
        <v>0</v>
      </c>
      <c r="P48" s="121">
        <f>IF($D48="","",IFERROR(VLOOKUP($B48,Kraftvärmeprod!$B$1:$BX$549,MATCH(P$2,Kraftvärmeprod!$B$1:$VX$1,0),FALSE)/1,0)-IFERROR(VLOOKUP($B48,'Slutlig allokering kvv'!$B$2:$BX$549,MATCH(P$2,'Slutlig allokering kvv'!$B$1:$BX$1,0),FALSE)/1,0))</f>
        <v>0</v>
      </c>
      <c r="Q48" s="121">
        <f>IF($D48="","",IFERROR(VLOOKUP($B48,Kraftvärmeprod!$B$1:$BX$549,MATCH(Q$2,Kraftvärmeprod!$B$1:$VX$1,0),FALSE)/1,0)-IFERROR(VLOOKUP($B48,'Slutlig allokering kvv'!$B$2:$BX$549,MATCH(Q$2,'Slutlig allokering kvv'!$B$1:$BX$1,0),FALSE)/1,0))</f>
        <v>1.3204099999999999</v>
      </c>
      <c r="R48" s="121">
        <f>IF($D48="","",IFERROR(VLOOKUP($B48,Kraftvärmeprod!$B$1:$BX$549,MATCH(R$2,Kraftvärmeprod!$B$1:$VX$1,0),FALSE)/1,0)-IFERROR(VLOOKUP($B48,'Slutlig allokering kvv'!$B$2:$BX$549,MATCH(R$2,'Slutlig allokering kvv'!$B$1:$BX$1,0),FALSE)/1,0))</f>
        <v>0</v>
      </c>
      <c r="S48" s="121">
        <f>IF($D48="","",IFERROR(VLOOKUP($B48,Kraftvärmeprod!$B$1:$BX$549,MATCH(S$2,Kraftvärmeprod!$B$1:$VX$1,0),FALSE)/1,0)-IFERROR(VLOOKUP($B48,'Slutlig allokering kvv'!$B$2:$BX$549,MATCH(S$2,'Slutlig allokering kvv'!$B$1:$BX$1,0),FALSE)/1,0))</f>
        <v>0</v>
      </c>
      <c r="T48" s="121">
        <f>IF($D48="","",IFERROR(VLOOKUP($B48,Kraftvärmeprod!$B$1:$BX$549,MATCH(T$2,Kraftvärmeprod!$B$1:$VX$1,0),FALSE)/1,0)-IFERROR(VLOOKUP($B48,'Slutlig allokering kvv'!$B$2:$BX$549,MATCH(T$2,'Slutlig allokering kvv'!$B$1:$BX$1,0),FALSE)/1,0))</f>
        <v>0</v>
      </c>
      <c r="U48" s="121">
        <f>IF($D48="","",IFERROR(VLOOKUP($B48,Kraftvärmeprod!$B$1:$BX$549,MATCH(U$2,Kraftvärmeprod!$B$1:$VX$1,0),FALSE)/1,0)-IFERROR(VLOOKUP($B48,'Slutlig allokering kvv'!$B$2:$BX$549,MATCH(U$2,'Slutlig allokering kvv'!$B$1:$BX$1,0),FALSE)/1,0))</f>
        <v>0</v>
      </c>
      <c r="V48" s="121">
        <f>IF($D48="","",IFERROR(VLOOKUP($B48,Kraftvärmeprod!$B$1:$BX$549,MATCH(V$2,Kraftvärmeprod!$B$1:$VX$1,0),FALSE)/1,0)-IFERROR(VLOOKUP($B48,'Slutlig allokering kvv'!$B$2:$BX$549,MATCH(V$2,'Slutlig allokering kvv'!$B$1:$BX$1,0),FALSE)/1,0))</f>
        <v>0</v>
      </c>
      <c r="W48" s="121">
        <f>IF($D48="","",IFERROR(VLOOKUP($B48,Kraftvärmeprod!$B$1:$BX$549,MATCH(W$2,Kraftvärmeprod!$B$1:$VX$1,0),FALSE)/1,0)-IFERROR(VLOOKUP($B48,'Slutlig allokering kvv'!$B$2:$BX$549,MATCH(W$2,'Slutlig allokering kvv'!$B$1:$BX$1,0),FALSE)/1,0))</f>
        <v>0</v>
      </c>
      <c r="X48" s="121">
        <f>IF($D48="","",IFERROR(VLOOKUP($B48,Kraftvärmeprod!$B$1:$BX$549,MATCH(X$2,Kraftvärmeprod!$B$1:$VX$1,0),FALSE)/1,0)-IFERROR(VLOOKUP($B48,'Slutlig allokering kvv'!$B$2:$BX$549,MATCH(X$2,'Slutlig allokering kvv'!$B$1:$BX$1,0),FALSE)/1,0))</f>
        <v>0</v>
      </c>
      <c r="Y48" s="121">
        <f>IF($D48="","",IFERROR(VLOOKUP($B48,Kraftvärmeprod!$B$1:$BX$549,MATCH(Y$2,Kraftvärmeprod!$B$1:$VX$1,0),FALSE)/1,0)-IFERROR(VLOOKUP($B48,'Slutlig allokering kvv'!$B$2:$BX$549,MATCH(Y$2,'Slutlig allokering kvv'!$B$1:$BX$1,0),FALSE)/1,0))</f>
        <v>0</v>
      </c>
      <c r="Z48" s="121">
        <f>IF($D48="","",IFERROR(VLOOKUP($B48,Kraftvärmeprod!$B$1:$BX$549,MATCH(Z$2,Kraftvärmeprod!$B$1:$VX$1,0),FALSE)/1,0)-IFERROR(VLOOKUP($B48,'Slutlig allokering kvv'!$B$2:$BX$549,MATCH(Z$2,'Slutlig allokering kvv'!$B$1:$BX$1,0),FALSE)/1,0))</f>
        <v>0</v>
      </c>
      <c r="AA48" s="121">
        <f>IF($D48="","",IFERROR(VLOOKUP($B48,Kraftvärmeprod!$B$1:$BX$549,MATCH(AA$2,Kraftvärmeprod!$B$1:$VX$1,0),FALSE)/1,0)-IFERROR(VLOOKUP($B48,'Slutlig allokering kvv'!$B$2:$BX$549,MATCH(AA$2,'Slutlig allokering kvv'!$B$1:$BX$1,0),FALSE)/1,0))</f>
        <v>0</v>
      </c>
      <c r="AB48" s="121">
        <f>IF($D48="","",IFERROR(VLOOKUP($B48,Kraftvärmeprod!$B$1:$BX$549,MATCH(AB$2,Kraftvärmeprod!$B$1:$VX$1,0),FALSE)/1,0)-IFERROR(VLOOKUP($B48,'Slutlig allokering kvv'!$B$2:$BX$549,MATCH(AB$2,'Slutlig allokering kvv'!$B$1:$BX$1,0),FALSE)/1,0))</f>
        <v>6.7134000000000018</v>
      </c>
      <c r="AC48" s="121">
        <f>IF($D48="","",IFERROR(VLOOKUP($B48,Kraftvärmeprod!$B$1:$BX$549,MATCH(AC$2,Kraftvärmeprod!$B$1:$VX$1,0),FALSE)/1,0)-IFERROR(VLOOKUP($B48,'Slutlig allokering kvv'!$B$2:$BX$549,MATCH(AC$2,'Slutlig allokering kvv'!$B$1:$BX$1,0),FALSE)/1,0))</f>
        <v>0</v>
      </c>
      <c r="AD48" s="121">
        <f>IF($D48="","",IFERROR(VLOOKUP($B48,Kraftvärmeprod!$B$1:$BX$549,MATCH(AD$2,Kraftvärmeprod!$B$1:$VX$1,0),FALSE)/1,0)-IFERROR(VLOOKUP($B48,'Slutlig allokering kvv'!$B$2:$BX$549,MATCH(AD$2,'Slutlig allokering kvv'!$B$1:$BX$1,0),FALSE)/1,0))</f>
        <v>0</v>
      </c>
      <c r="AE48" s="121">
        <f>IF($D48="","",IFERROR(VLOOKUP($B48,Miljö!$B$1:$E$550,MATCH("Hjälpel kraftvärme (GWh)",Miljö!$B$1:$E$1,0),FALSE)/1,0)-IFERROR(VLOOKUP($B48,'Slutlig allokering kvv'!$B$2:$BX$549,MATCH(AE$2,'Slutlig allokering kvv'!$B$1:$BX$1,0),FALSE)/1,0))</f>
        <v>6.9672000000000001</v>
      </c>
      <c r="AI48" s="121">
        <f t="shared" si="0"/>
        <v>178.87429300000002</v>
      </c>
      <c r="AK48" s="121">
        <f>IFERROR(VLOOKUP($B48,'Slutlig allokering kvv'!$B$2:$AX$549,MATCH("Summa slutlig allokerad tillförd energi (utan hjälpel och rökgaskondensering):",'Slutlig allokering kvv'!$B$1:$AX$1,0),FALSE)/1,"")</f>
        <v>282.28070699999995</v>
      </c>
      <c r="AM48" s="172">
        <f>IFERROR(1-VLOOKUP($B48,'Slutlig allokering kvv'!$B$2:$AX$549,MATCH("Andel av bränsle i kvv som allokerats till värme, exklusive rökgaskondensering och hjälpel",'Slutlig allokering kvv'!$B$1:$AX$1,0),FALSE),"")</f>
        <v>0.38788323448731998</v>
      </c>
      <c r="AO48" s="172">
        <f t="shared" si="1"/>
        <v>0.38788323448731993</v>
      </c>
      <c r="AP48" s="173">
        <f t="shared" si="2"/>
        <v>5.5511151231257827E-17</v>
      </c>
      <c r="AR48" s="172">
        <f t="shared" si="3"/>
        <v>0.4293874242605229</v>
      </c>
    </row>
    <row r="49" spans="1:44" x14ac:dyDescent="0.25">
      <c r="A49" s="171" t="str">
        <f>'Miljövärden för publ företag'!B51</f>
        <v>Dala Energi Värme AB</v>
      </c>
      <c r="B49" s="171" t="str">
        <f>'Miljövärden för publ företag'!C51</f>
        <v>Insjön</v>
      </c>
      <c r="C49" s="121" t="str">
        <f>IFERROR(VLOOKUP($B49,Kraftvärmeprod!$B$1:$AH$478,MATCH(C$2,Kraftvärmeprod!$B$1:$AG$1,0),FALSE)/1,"")</f>
        <v/>
      </c>
      <c r="D49" s="121" t="str">
        <f>IFERROR(VLOOKUP($B49,Kraftvärmeprod!$B$1:$AH$478,MATCH(D$2,Kraftvärmeprod!$B$1:$AG$1,0),FALSE)/1,"")</f>
        <v/>
      </c>
      <c r="F49" s="121" t="str">
        <f>IF($D49="","",IFERROR(VLOOKUP($B49,Kraftvärmeprod!$B$1:$BX$549,MATCH(F$2,Kraftvärmeprod!$B$1:$VX$1,0),FALSE)/1,0)-IFERROR(VLOOKUP($B49,'Slutlig allokering kvv'!$B$2:$BX$549,MATCH(F$2,'Slutlig allokering kvv'!$B$1:$BX$1,0),FALSE)/1,0))</f>
        <v/>
      </c>
      <c r="G49" s="121" t="str">
        <f>IF($D49="","",IFERROR(VLOOKUP($B49,Kraftvärmeprod!$B$1:$BX$549,MATCH(G$2,Kraftvärmeprod!$B$1:$VX$1,0),FALSE)/1,0)-IFERROR(VLOOKUP($B49,'Slutlig allokering kvv'!$B$2:$BX$549,MATCH(G$2,'Slutlig allokering kvv'!$B$1:$BX$1,0),FALSE)/1,0))</f>
        <v/>
      </c>
      <c r="H49" s="121" t="str">
        <f>IF($D49="","",IFERROR(VLOOKUP($B49,Kraftvärmeprod!$B$1:$BX$549,MATCH(H$2,Kraftvärmeprod!$B$1:$VX$1,0),FALSE)/1,0)-IFERROR(VLOOKUP($B49,'Slutlig allokering kvv'!$B$2:$BX$549,MATCH(H$2,'Slutlig allokering kvv'!$B$1:$BX$1,0),FALSE)/1,0))</f>
        <v/>
      </c>
      <c r="I49" s="121" t="str">
        <f>IF($D49="","",IFERROR(VLOOKUP($B49,Kraftvärmeprod!$B$1:$BX$549,MATCH(I$2,Kraftvärmeprod!$B$1:$VX$1,0),FALSE)/1,0)-IFERROR(VLOOKUP($B49,'Slutlig allokering kvv'!$B$2:$BX$549,MATCH(I$2,'Slutlig allokering kvv'!$B$1:$BX$1,0),FALSE)/1,0))</f>
        <v/>
      </c>
      <c r="J49" s="121" t="str">
        <f>IF($D49="","",IFERROR(VLOOKUP($B49,Kraftvärmeprod!$B$1:$BX$549,MATCH(J$2,Kraftvärmeprod!$B$1:$VX$1,0),FALSE)/1,0)-IFERROR(VLOOKUP($B49,'Slutlig allokering kvv'!$B$2:$BX$549,MATCH(J$2,'Slutlig allokering kvv'!$B$1:$BX$1,0),FALSE)/1,0))</f>
        <v/>
      </c>
      <c r="K49" s="121" t="str">
        <f>IF($D49="","",IFERROR(VLOOKUP($B49,Kraftvärmeprod!$B$1:$BX$549,MATCH(K$2,Kraftvärmeprod!$B$1:$VX$1,0),FALSE)/1,0)-IFERROR(VLOOKUP($B49,'Slutlig allokering kvv'!$B$2:$BX$549,MATCH(K$2,'Slutlig allokering kvv'!$B$1:$BX$1,0),FALSE)/1,0))</f>
        <v/>
      </c>
      <c r="L49" s="121" t="str">
        <f>IF($D49="","",IFERROR(VLOOKUP($B49,Kraftvärmeprod!$B$1:$BX$549,MATCH(L$2,Kraftvärmeprod!$B$1:$VX$1,0),FALSE)/1,0)-IFERROR(VLOOKUP($B49,'Slutlig allokering kvv'!$B$2:$BX$549,MATCH(L$2,'Slutlig allokering kvv'!$B$1:$BX$1,0),FALSE)/1,0))</f>
        <v/>
      </c>
      <c r="M49" s="121" t="str">
        <f>IF($D49="","",IFERROR(VLOOKUP($B49,Kraftvärmeprod!$B$1:$BX$549,MATCH(M$2,Kraftvärmeprod!$B$1:$VX$1,0),FALSE)/1,0)-IFERROR(VLOOKUP($B49,'Slutlig allokering kvv'!$B$2:$BX$549,MATCH(M$2,'Slutlig allokering kvv'!$B$1:$BX$1,0),FALSE)/1,0))</f>
        <v/>
      </c>
      <c r="N49" s="121" t="str">
        <f>IF($D49="","",IFERROR(VLOOKUP($B49,Kraftvärmeprod!$B$1:$BX$549,MATCH(N$2,Kraftvärmeprod!$B$1:$VX$1,0),FALSE)/1,0)-IFERROR(VLOOKUP($B49,'Slutlig allokering kvv'!$B$2:$BX$549,MATCH(N$2,'Slutlig allokering kvv'!$B$1:$BX$1,0),FALSE)/1,0))</f>
        <v/>
      </c>
      <c r="O49" s="121" t="str">
        <f>IF($D49="","",IFERROR(VLOOKUP($B49,Kraftvärmeprod!$B$1:$BX$549,MATCH(O$2,Kraftvärmeprod!$B$1:$VX$1,0),FALSE)/1,0)-IFERROR(VLOOKUP($B49,'Slutlig allokering kvv'!$B$2:$BX$549,MATCH(O$2,'Slutlig allokering kvv'!$B$1:$BX$1,0),FALSE)/1,0))</f>
        <v/>
      </c>
      <c r="P49" s="121" t="str">
        <f>IF($D49="","",IFERROR(VLOOKUP($B49,Kraftvärmeprod!$B$1:$BX$549,MATCH(P$2,Kraftvärmeprod!$B$1:$VX$1,0),FALSE)/1,0)-IFERROR(VLOOKUP($B49,'Slutlig allokering kvv'!$B$2:$BX$549,MATCH(P$2,'Slutlig allokering kvv'!$B$1:$BX$1,0),FALSE)/1,0))</f>
        <v/>
      </c>
      <c r="Q49" s="121" t="str">
        <f>IF($D49="","",IFERROR(VLOOKUP($B49,Kraftvärmeprod!$B$1:$BX$549,MATCH(Q$2,Kraftvärmeprod!$B$1:$VX$1,0),FALSE)/1,0)-IFERROR(VLOOKUP($B49,'Slutlig allokering kvv'!$B$2:$BX$549,MATCH(Q$2,'Slutlig allokering kvv'!$B$1:$BX$1,0),FALSE)/1,0))</f>
        <v/>
      </c>
      <c r="R49" s="121" t="str">
        <f>IF($D49="","",IFERROR(VLOOKUP($B49,Kraftvärmeprod!$B$1:$BX$549,MATCH(R$2,Kraftvärmeprod!$B$1:$VX$1,0),FALSE)/1,0)-IFERROR(VLOOKUP($B49,'Slutlig allokering kvv'!$B$2:$BX$549,MATCH(R$2,'Slutlig allokering kvv'!$B$1:$BX$1,0),FALSE)/1,0))</f>
        <v/>
      </c>
      <c r="S49" s="121" t="str">
        <f>IF($D49="","",IFERROR(VLOOKUP($B49,Kraftvärmeprod!$B$1:$BX$549,MATCH(S$2,Kraftvärmeprod!$B$1:$VX$1,0),FALSE)/1,0)-IFERROR(VLOOKUP($B49,'Slutlig allokering kvv'!$B$2:$BX$549,MATCH(S$2,'Slutlig allokering kvv'!$B$1:$BX$1,0),FALSE)/1,0))</f>
        <v/>
      </c>
      <c r="T49" s="121" t="str">
        <f>IF($D49="","",IFERROR(VLOOKUP($B49,Kraftvärmeprod!$B$1:$BX$549,MATCH(T$2,Kraftvärmeprod!$B$1:$VX$1,0),FALSE)/1,0)-IFERROR(VLOOKUP($B49,'Slutlig allokering kvv'!$B$2:$BX$549,MATCH(T$2,'Slutlig allokering kvv'!$B$1:$BX$1,0),FALSE)/1,0))</f>
        <v/>
      </c>
      <c r="U49" s="121" t="str">
        <f>IF($D49="","",IFERROR(VLOOKUP($B49,Kraftvärmeprod!$B$1:$BX$549,MATCH(U$2,Kraftvärmeprod!$B$1:$VX$1,0),FALSE)/1,0)-IFERROR(VLOOKUP($B49,'Slutlig allokering kvv'!$B$2:$BX$549,MATCH(U$2,'Slutlig allokering kvv'!$B$1:$BX$1,0),FALSE)/1,0))</f>
        <v/>
      </c>
      <c r="V49" s="121" t="str">
        <f>IF($D49="","",IFERROR(VLOOKUP($B49,Kraftvärmeprod!$B$1:$BX$549,MATCH(V$2,Kraftvärmeprod!$B$1:$VX$1,0),FALSE)/1,0)-IFERROR(VLOOKUP($B49,'Slutlig allokering kvv'!$B$2:$BX$549,MATCH(V$2,'Slutlig allokering kvv'!$B$1:$BX$1,0),FALSE)/1,0))</f>
        <v/>
      </c>
      <c r="W49" s="121" t="str">
        <f>IF($D49="","",IFERROR(VLOOKUP($B49,Kraftvärmeprod!$B$1:$BX$549,MATCH(W$2,Kraftvärmeprod!$B$1:$VX$1,0),FALSE)/1,0)-IFERROR(VLOOKUP($B49,'Slutlig allokering kvv'!$B$2:$BX$549,MATCH(W$2,'Slutlig allokering kvv'!$B$1:$BX$1,0),FALSE)/1,0))</f>
        <v/>
      </c>
      <c r="X49" s="121" t="str">
        <f>IF($D49="","",IFERROR(VLOOKUP($B49,Kraftvärmeprod!$B$1:$BX$549,MATCH(X$2,Kraftvärmeprod!$B$1:$VX$1,0),FALSE)/1,0)-IFERROR(VLOOKUP($B49,'Slutlig allokering kvv'!$B$2:$BX$549,MATCH(X$2,'Slutlig allokering kvv'!$B$1:$BX$1,0),FALSE)/1,0))</f>
        <v/>
      </c>
      <c r="Y49" s="121" t="str">
        <f>IF($D49="","",IFERROR(VLOOKUP($B49,Kraftvärmeprod!$B$1:$BX$549,MATCH(Y$2,Kraftvärmeprod!$B$1:$VX$1,0),FALSE)/1,0)-IFERROR(VLOOKUP($B49,'Slutlig allokering kvv'!$B$2:$BX$549,MATCH(Y$2,'Slutlig allokering kvv'!$B$1:$BX$1,0),FALSE)/1,0))</f>
        <v/>
      </c>
      <c r="Z49" s="121" t="str">
        <f>IF($D49="","",IFERROR(VLOOKUP($B49,Kraftvärmeprod!$B$1:$BX$549,MATCH(Z$2,Kraftvärmeprod!$B$1:$VX$1,0),FALSE)/1,0)-IFERROR(VLOOKUP($B49,'Slutlig allokering kvv'!$B$2:$BX$549,MATCH(Z$2,'Slutlig allokering kvv'!$B$1:$BX$1,0),FALSE)/1,0))</f>
        <v/>
      </c>
      <c r="AA49" s="121" t="str">
        <f>IF($D49="","",IFERROR(VLOOKUP($B49,Kraftvärmeprod!$B$1:$BX$549,MATCH(AA$2,Kraftvärmeprod!$B$1:$VX$1,0),FALSE)/1,0)-IFERROR(VLOOKUP($B49,'Slutlig allokering kvv'!$B$2:$BX$549,MATCH(AA$2,'Slutlig allokering kvv'!$B$1:$BX$1,0),FALSE)/1,0))</f>
        <v/>
      </c>
      <c r="AB49" s="121" t="str">
        <f>IF($D49="","",IFERROR(VLOOKUP($B49,Kraftvärmeprod!$B$1:$BX$549,MATCH(AB$2,Kraftvärmeprod!$B$1:$VX$1,0),FALSE)/1,0)-IFERROR(VLOOKUP($B49,'Slutlig allokering kvv'!$B$2:$BX$549,MATCH(AB$2,'Slutlig allokering kvv'!$B$1:$BX$1,0),FALSE)/1,0))</f>
        <v/>
      </c>
      <c r="AC49" s="121" t="str">
        <f>IF($D49="","",IFERROR(VLOOKUP($B49,Kraftvärmeprod!$B$1:$BX$549,MATCH(AC$2,Kraftvärmeprod!$B$1:$VX$1,0),FALSE)/1,0)-IFERROR(VLOOKUP($B49,'Slutlig allokering kvv'!$B$2:$BX$549,MATCH(AC$2,'Slutlig allokering kvv'!$B$1:$BX$1,0),FALSE)/1,0))</f>
        <v/>
      </c>
      <c r="AD49" s="121" t="str">
        <f>IF($D49="","",IFERROR(VLOOKUP($B49,Kraftvärmeprod!$B$1:$BX$549,MATCH(AD$2,Kraftvärmeprod!$B$1:$VX$1,0),FALSE)/1,0)-IFERROR(VLOOKUP($B49,'Slutlig allokering kvv'!$B$2:$BX$549,MATCH(AD$2,'Slutlig allokering kvv'!$B$1:$BX$1,0),FALSE)/1,0))</f>
        <v/>
      </c>
      <c r="AE49" s="121" t="str">
        <f>IF($D49="","",IFERROR(VLOOKUP($B49,Miljö!$B$1:$E$550,MATCH("Hjälpel kraftvärme (GWh)",Miljö!$B$1:$E$1,0),FALSE)/1,0)-IFERROR(VLOOKUP($B49,'Slutlig allokering kvv'!$B$2:$BX$549,MATCH(AE$2,'Slutlig allokering kvv'!$B$1:$BX$1,0),FALSE)/1,0))</f>
        <v/>
      </c>
      <c r="AI49" s="121">
        <f t="shared" si="0"/>
        <v>0</v>
      </c>
      <c r="AK49" s="121">
        <f>IFERROR(VLOOKUP($B49,'Slutlig allokering kvv'!$B$2:$AX$549,MATCH("Summa slutlig allokerad tillförd energi (utan hjälpel och rökgaskondensering):",'Slutlig allokering kvv'!$B$1:$AX$1,0),FALSE)/1,"")</f>
        <v>0</v>
      </c>
      <c r="AM49" s="172" t="str">
        <f>IFERROR(1-VLOOKUP($B49,'Slutlig allokering kvv'!$B$2:$AX$549,MATCH("Andel av bränsle i kvv som allokerats till värme, exklusive rökgaskondensering och hjälpel",'Slutlig allokering kvv'!$B$1:$AX$1,0),FALSE),"")</f>
        <v/>
      </c>
      <c r="AO49" s="172" t="str">
        <f t="shared" si="1"/>
        <v/>
      </c>
      <c r="AP49" s="173" t="str">
        <f t="shared" si="2"/>
        <v/>
      </c>
      <c r="AR49" s="172" t="str">
        <f t="shared" si="3"/>
        <v/>
      </c>
    </row>
    <row r="50" spans="1:44" x14ac:dyDescent="0.25">
      <c r="A50" s="171" t="str">
        <f>'Miljövärden för publ företag'!B52</f>
        <v>Dala Energi Värme AB</v>
      </c>
      <c r="B50" s="171" t="str">
        <f>'Miljövärden för publ företag'!C52</f>
        <v>Leksand</v>
      </c>
      <c r="C50" s="121" t="str">
        <f>IFERROR(VLOOKUP($B50,Kraftvärmeprod!$B$1:$AH$478,MATCH(C$2,Kraftvärmeprod!$B$1:$AG$1,0),FALSE)/1,"")</f>
        <v/>
      </c>
      <c r="D50" s="121" t="str">
        <f>IFERROR(VLOOKUP($B50,Kraftvärmeprod!$B$1:$AH$478,MATCH(D$2,Kraftvärmeprod!$B$1:$AG$1,0),FALSE)/1,"")</f>
        <v/>
      </c>
      <c r="F50" s="121" t="str">
        <f>IF($D50="","",IFERROR(VLOOKUP($B50,Kraftvärmeprod!$B$1:$BX$549,MATCH(F$2,Kraftvärmeprod!$B$1:$VX$1,0),FALSE)/1,0)-IFERROR(VLOOKUP($B50,'Slutlig allokering kvv'!$B$2:$BX$549,MATCH(F$2,'Slutlig allokering kvv'!$B$1:$BX$1,0),FALSE)/1,0))</f>
        <v/>
      </c>
      <c r="G50" s="121" t="str">
        <f>IF($D50="","",IFERROR(VLOOKUP($B50,Kraftvärmeprod!$B$1:$BX$549,MATCH(G$2,Kraftvärmeprod!$B$1:$VX$1,0),FALSE)/1,0)-IFERROR(VLOOKUP($B50,'Slutlig allokering kvv'!$B$2:$BX$549,MATCH(G$2,'Slutlig allokering kvv'!$B$1:$BX$1,0),FALSE)/1,0))</f>
        <v/>
      </c>
      <c r="H50" s="121" t="str">
        <f>IF($D50="","",IFERROR(VLOOKUP($B50,Kraftvärmeprod!$B$1:$BX$549,MATCH(H$2,Kraftvärmeprod!$B$1:$VX$1,0),FALSE)/1,0)-IFERROR(VLOOKUP($B50,'Slutlig allokering kvv'!$B$2:$BX$549,MATCH(H$2,'Slutlig allokering kvv'!$B$1:$BX$1,0),FALSE)/1,0))</f>
        <v/>
      </c>
      <c r="I50" s="121" t="str">
        <f>IF($D50="","",IFERROR(VLOOKUP($B50,Kraftvärmeprod!$B$1:$BX$549,MATCH(I$2,Kraftvärmeprod!$B$1:$VX$1,0),FALSE)/1,0)-IFERROR(VLOOKUP($B50,'Slutlig allokering kvv'!$B$2:$BX$549,MATCH(I$2,'Slutlig allokering kvv'!$B$1:$BX$1,0),FALSE)/1,0))</f>
        <v/>
      </c>
      <c r="J50" s="121" t="str">
        <f>IF($D50="","",IFERROR(VLOOKUP($B50,Kraftvärmeprod!$B$1:$BX$549,MATCH(J$2,Kraftvärmeprod!$B$1:$VX$1,0),FALSE)/1,0)-IFERROR(VLOOKUP($B50,'Slutlig allokering kvv'!$B$2:$BX$549,MATCH(J$2,'Slutlig allokering kvv'!$B$1:$BX$1,0),FALSE)/1,0))</f>
        <v/>
      </c>
      <c r="K50" s="121" t="str">
        <f>IF($D50="","",IFERROR(VLOOKUP($B50,Kraftvärmeprod!$B$1:$BX$549,MATCH(K$2,Kraftvärmeprod!$B$1:$VX$1,0),FALSE)/1,0)-IFERROR(VLOOKUP($B50,'Slutlig allokering kvv'!$B$2:$BX$549,MATCH(K$2,'Slutlig allokering kvv'!$B$1:$BX$1,0),FALSE)/1,0))</f>
        <v/>
      </c>
      <c r="L50" s="121" t="str">
        <f>IF($D50="","",IFERROR(VLOOKUP($B50,Kraftvärmeprod!$B$1:$BX$549,MATCH(L$2,Kraftvärmeprod!$B$1:$VX$1,0),FALSE)/1,0)-IFERROR(VLOOKUP($B50,'Slutlig allokering kvv'!$B$2:$BX$549,MATCH(L$2,'Slutlig allokering kvv'!$B$1:$BX$1,0),FALSE)/1,0))</f>
        <v/>
      </c>
      <c r="M50" s="121" t="str">
        <f>IF($D50="","",IFERROR(VLOOKUP($B50,Kraftvärmeprod!$B$1:$BX$549,MATCH(M$2,Kraftvärmeprod!$B$1:$VX$1,0),FALSE)/1,0)-IFERROR(VLOOKUP($B50,'Slutlig allokering kvv'!$B$2:$BX$549,MATCH(M$2,'Slutlig allokering kvv'!$B$1:$BX$1,0),FALSE)/1,0))</f>
        <v/>
      </c>
      <c r="N50" s="121" t="str">
        <f>IF($D50="","",IFERROR(VLOOKUP($B50,Kraftvärmeprod!$B$1:$BX$549,MATCH(N$2,Kraftvärmeprod!$B$1:$VX$1,0),FALSE)/1,0)-IFERROR(VLOOKUP($B50,'Slutlig allokering kvv'!$B$2:$BX$549,MATCH(N$2,'Slutlig allokering kvv'!$B$1:$BX$1,0),FALSE)/1,0))</f>
        <v/>
      </c>
      <c r="O50" s="121" t="str">
        <f>IF($D50="","",IFERROR(VLOOKUP($B50,Kraftvärmeprod!$B$1:$BX$549,MATCH(O$2,Kraftvärmeprod!$B$1:$VX$1,0),FALSE)/1,0)-IFERROR(VLOOKUP($B50,'Slutlig allokering kvv'!$B$2:$BX$549,MATCH(O$2,'Slutlig allokering kvv'!$B$1:$BX$1,0),FALSE)/1,0))</f>
        <v/>
      </c>
      <c r="P50" s="121" t="str">
        <f>IF($D50="","",IFERROR(VLOOKUP($B50,Kraftvärmeprod!$B$1:$BX$549,MATCH(P$2,Kraftvärmeprod!$B$1:$VX$1,0),FALSE)/1,0)-IFERROR(VLOOKUP($B50,'Slutlig allokering kvv'!$B$2:$BX$549,MATCH(P$2,'Slutlig allokering kvv'!$B$1:$BX$1,0),FALSE)/1,0))</f>
        <v/>
      </c>
      <c r="Q50" s="121" t="str">
        <f>IF($D50="","",IFERROR(VLOOKUP($B50,Kraftvärmeprod!$B$1:$BX$549,MATCH(Q$2,Kraftvärmeprod!$B$1:$VX$1,0),FALSE)/1,0)-IFERROR(VLOOKUP($B50,'Slutlig allokering kvv'!$B$2:$BX$549,MATCH(Q$2,'Slutlig allokering kvv'!$B$1:$BX$1,0),FALSE)/1,0))</f>
        <v/>
      </c>
      <c r="R50" s="121" t="str">
        <f>IF($D50="","",IFERROR(VLOOKUP($B50,Kraftvärmeprod!$B$1:$BX$549,MATCH(R$2,Kraftvärmeprod!$B$1:$VX$1,0),FALSE)/1,0)-IFERROR(VLOOKUP($B50,'Slutlig allokering kvv'!$B$2:$BX$549,MATCH(R$2,'Slutlig allokering kvv'!$B$1:$BX$1,0),FALSE)/1,0))</f>
        <v/>
      </c>
      <c r="S50" s="121" t="str">
        <f>IF($D50="","",IFERROR(VLOOKUP($B50,Kraftvärmeprod!$B$1:$BX$549,MATCH(S$2,Kraftvärmeprod!$B$1:$VX$1,0),FALSE)/1,0)-IFERROR(VLOOKUP($B50,'Slutlig allokering kvv'!$B$2:$BX$549,MATCH(S$2,'Slutlig allokering kvv'!$B$1:$BX$1,0),FALSE)/1,0))</f>
        <v/>
      </c>
      <c r="T50" s="121" t="str">
        <f>IF($D50="","",IFERROR(VLOOKUP($B50,Kraftvärmeprod!$B$1:$BX$549,MATCH(T$2,Kraftvärmeprod!$B$1:$VX$1,0),FALSE)/1,0)-IFERROR(VLOOKUP($B50,'Slutlig allokering kvv'!$B$2:$BX$549,MATCH(T$2,'Slutlig allokering kvv'!$B$1:$BX$1,0),FALSE)/1,0))</f>
        <v/>
      </c>
      <c r="U50" s="121" t="str">
        <f>IF($D50="","",IFERROR(VLOOKUP($B50,Kraftvärmeprod!$B$1:$BX$549,MATCH(U$2,Kraftvärmeprod!$B$1:$VX$1,0),FALSE)/1,0)-IFERROR(VLOOKUP($B50,'Slutlig allokering kvv'!$B$2:$BX$549,MATCH(U$2,'Slutlig allokering kvv'!$B$1:$BX$1,0),FALSE)/1,0))</f>
        <v/>
      </c>
      <c r="V50" s="121" t="str">
        <f>IF($D50="","",IFERROR(VLOOKUP($B50,Kraftvärmeprod!$B$1:$BX$549,MATCH(V$2,Kraftvärmeprod!$B$1:$VX$1,0),FALSE)/1,0)-IFERROR(VLOOKUP($B50,'Slutlig allokering kvv'!$B$2:$BX$549,MATCH(V$2,'Slutlig allokering kvv'!$B$1:$BX$1,0),FALSE)/1,0))</f>
        <v/>
      </c>
      <c r="W50" s="121" t="str">
        <f>IF($D50="","",IFERROR(VLOOKUP($B50,Kraftvärmeprod!$B$1:$BX$549,MATCH(W$2,Kraftvärmeprod!$B$1:$VX$1,0),FALSE)/1,0)-IFERROR(VLOOKUP($B50,'Slutlig allokering kvv'!$B$2:$BX$549,MATCH(W$2,'Slutlig allokering kvv'!$B$1:$BX$1,0),FALSE)/1,0))</f>
        <v/>
      </c>
      <c r="X50" s="121" t="str">
        <f>IF($D50="","",IFERROR(VLOOKUP($B50,Kraftvärmeprod!$B$1:$BX$549,MATCH(X$2,Kraftvärmeprod!$B$1:$VX$1,0),FALSE)/1,0)-IFERROR(VLOOKUP($B50,'Slutlig allokering kvv'!$B$2:$BX$549,MATCH(X$2,'Slutlig allokering kvv'!$B$1:$BX$1,0),FALSE)/1,0))</f>
        <v/>
      </c>
      <c r="Y50" s="121" t="str">
        <f>IF($D50="","",IFERROR(VLOOKUP($B50,Kraftvärmeprod!$B$1:$BX$549,MATCH(Y$2,Kraftvärmeprod!$B$1:$VX$1,0),FALSE)/1,0)-IFERROR(VLOOKUP($B50,'Slutlig allokering kvv'!$B$2:$BX$549,MATCH(Y$2,'Slutlig allokering kvv'!$B$1:$BX$1,0),FALSE)/1,0))</f>
        <v/>
      </c>
      <c r="Z50" s="121" t="str">
        <f>IF($D50="","",IFERROR(VLOOKUP($B50,Kraftvärmeprod!$B$1:$BX$549,MATCH(Z$2,Kraftvärmeprod!$B$1:$VX$1,0),FALSE)/1,0)-IFERROR(VLOOKUP($B50,'Slutlig allokering kvv'!$B$2:$BX$549,MATCH(Z$2,'Slutlig allokering kvv'!$B$1:$BX$1,0),FALSE)/1,0))</f>
        <v/>
      </c>
      <c r="AA50" s="121" t="str">
        <f>IF($D50="","",IFERROR(VLOOKUP($B50,Kraftvärmeprod!$B$1:$BX$549,MATCH(AA$2,Kraftvärmeprod!$B$1:$VX$1,0),FALSE)/1,0)-IFERROR(VLOOKUP($B50,'Slutlig allokering kvv'!$B$2:$BX$549,MATCH(AA$2,'Slutlig allokering kvv'!$B$1:$BX$1,0),FALSE)/1,0))</f>
        <v/>
      </c>
      <c r="AB50" s="121" t="str">
        <f>IF($D50="","",IFERROR(VLOOKUP($B50,Kraftvärmeprod!$B$1:$BX$549,MATCH(AB$2,Kraftvärmeprod!$B$1:$VX$1,0),FALSE)/1,0)-IFERROR(VLOOKUP($B50,'Slutlig allokering kvv'!$B$2:$BX$549,MATCH(AB$2,'Slutlig allokering kvv'!$B$1:$BX$1,0),FALSE)/1,0))</f>
        <v/>
      </c>
      <c r="AC50" s="121" t="str">
        <f>IF($D50="","",IFERROR(VLOOKUP($B50,Kraftvärmeprod!$B$1:$BX$549,MATCH(AC$2,Kraftvärmeprod!$B$1:$VX$1,0),FALSE)/1,0)-IFERROR(VLOOKUP($B50,'Slutlig allokering kvv'!$B$2:$BX$549,MATCH(AC$2,'Slutlig allokering kvv'!$B$1:$BX$1,0),FALSE)/1,0))</f>
        <v/>
      </c>
      <c r="AD50" s="121" t="str">
        <f>IF($D50="","",IFERROR(VLOOKUP($B50,Kraftvärmeprod!$B$1:$BX$549,MATCH(AD$2,Kraftvärmeprod!$B$1:$VX$1,0),FALSE)/1,0)-IFERROR(VLOOKUP($B50,'Slutlig allokering kvv'!$B$2:$BX$549,MATCH(AD$2,'Slutlig allokering kvv'!$B$1:$BX$1,0),FALSE)/1,0))</f>
        <v/>
      </c>
      <c r="AE50" s="121" t="str">
        <f>IF($D50="","",IFERROR(VLOOKUP($B50,Miljö!$B$1:$E$550,MATCH("Hjälpel kraftvärme (GWh)",Miljö!$B$1:$E$1,0),FALSE)/1,0)-IFERROR(VLOOKUP($B50,'Slutlig allokering kvv'!$B$2:$BX$549,MATCH(AE$2,'Slutlig allokering kvv'!$B$1:$BX$1,0),FALSE)/1,0))</f>
        <v/>
      </c>
      <c r="AI50" s="121">
        <f t="shared" si="0"/>
        <v>0</v>
      </c>
      <c r="AK50" s="121">
        <f>IFERROR(VLOOKUP($B50,'Slutlig allokering kvv'!$B$2:$AX$549,MATCH("Summa slutlig allokerad tillförd energi (utan hjälpel och rökgaskondensering):",'Slutlig allokering kvv'!$B$1:$AX$1,0),FALSE)/1,"")</f>
        <v>0</v>
      </c>
      <c r="AM50" s="172" t="str">
        <f>IFERROR(1-VLOOKUP($B50,'Slutlig allokering kvv'!$B$2:$AX$549,MATCH("Andel av bränsle i kvv som allokerats till värme, exklusive rökgaskondensering och hjälpel",'Slutlig allokering kvv'!$B$1:$AX$1,0),FALSE),"")</f>
        <v/>
      </c>
      <c r="AO50" s="172" t="str">
        <f t="shared" si="1"/>
        <v/>
      </c>
      <c r="AP50" s="173" t="str">
        <f t="shared" si="2"/>
        <v/>
      </c>
      <c r="AR50" s="172" t="str">
        <f t="shared" si="3"/>
        <v/>
      </c>
    </row>
    <row r="51" spans="1:44" x14ac:dyDescent="0.25">
      <c r="A51" s="171" t="str">
        <f>'Miljövärden för publ företag'!B53</f>
        <v>Degerfors Energi AB</v>
      </c>
      <c r="B51" s="171" t="str">
        <f>'Miljövärden för publ företag'!C53</f>
        <v>HVC Degerfors</v>
      </c>
      <c r="C51" s="121" t="str">
        <f>IFERROR(VLOOKUP($B51,Kraftvärmeprod!$B$1:$AH$478,MATCH(C$2,Kraftvärmeprod!$B$1:$AG$1,0),FALSE)/1,"")</f>
        <v/>
      </c>
      <c r="D51" s="121" t="str">
        <f>IFERROR(VLOOKUP($B51,Kraftvärmeprod!$B$1:$AH$478,MATCH(D$2,Kraftvärmeprod!$B$1:$AG$1,0),FALSE)/1,"")</f>
        <v/>
      </c>
      <c r="F51" s="121" t="str">
        <f>IF($D51="","",IFERROR(VLOOKUP($B51,Kraftvärmeprod!$B$1:$BX$549,MATCH(F$2,Kraftvärmeprod!$B$1:$VX$1,0),FALSE)/1,0)-IFERROR(VLOOKUP($B51,'Slutlig allokering kvv'!$B$2:$BX$549,MATCH(F$2,'Slutlig allokering kvv'!$B$1:$BX$1,0),FALSE)/1,0))</f>
        <v/>
      </c>
      <c r="G51" s="121" t="str">
        <f>IF($D51="","",IFERROR(VLOOKUP($B51,Kraftvärmeprod!$B$1:$BX$549,MATCH(G$2,Kraftvärmeprod!$B$1:$VX$1,0),FALSE)/1,0)-IFERROR(VLOOKUP($B51,'Slutlig allokering kvv'!$B$2:$BX$549,MATCH(G$2,'Slutlig allokering kvv'!$B$1:$BX$1,0),FALSE)/1,0))</f>
        <v/>
      </c>
      <c r="H51" s="121" t="str">
        <f>IF($D51="","",IFERROR(VLOOKUP($B51,Kraftvärmeprod!$B$1:$BX$549,MATCH(H$2,Kraftvärmeprod!$B$1:$VX$1,0),FALSE)/1,0)-IFERROR(VLOOKUP($B51,'Slutlig allokering kvv'!$B$2:$BX$549,MATCH(H$2,'Slutlig allokering kvv'!$B$1:$BX$1,0),FALSE)/1,0))</f>
        <v/>
      </c>
      <c r="I51" s="121" t="str">
        <f>IF($D51="","",IFERROR(VLOOKUP($B51,Kraftvärmeprod!$B$1:$BX$549,MATCH(I$2,Kraftvärmeprod!$B$1:$VX$1,0),FALSE)/1,0)-IFERROR(VLOOKUP($B51,'Slutlig allokering kvv'!$B$2:$BX$549,MATCH(I$2,'Slutlig allokering kvv'!$B$1:$BX$1,0),FALSE)/1,0))</f>
        <v/>
      </c>
      <c r="J51" s="121" t="str">
        <f>IF($D51="","",IFERROR(VLOOKUP($B51,Kraftvärmeprod!$B$1:$BX$549,MATCH(J$2,Kraftvärmeprod!$B$1:$VX$1,0),FALSE)/1,0)-IFERROR(VLOOKUP($B51,'Slutlig allokering kvv'!$B$2:$BX$549,MATCH(J$2,'Slutlig allokering kvv'!$B$1:$BX$1,0),FALSE)/1,0))</f>
        <v/>
      </c>
      <c r="K51" s="121" t="str">
        <f>IF($D51="","",IFERROR(VLOOKUP($B51,Kraftvärmeprod!$B$1:$BX$549,MATCH(K$2,Kraftvärmeprod!$B$1:$VX$1,0),FALSE)/1,0)-IFERROR(VLOOKUP($B51,'Slutlig allokering kvv'!$B$2:$BX$549,MATCH(K$2,'Slutlig allokering kvv'!$B$1:$BX$1,0),FALSE)/1,0))</f>
        <v/>
      </c>
      <c r="L51" s="121" t="str">
        <f>IF($D51="","",IFERROR(VLOOKUP($B51,Kraftvärmeprod!$B$1:$BX$549,MATCH(L$2,Kraftvärmeprod!$B$1:$VX$1,0),FALSE)/1,0)-IFERROR(VLOOKUP($B51,'Slutlig allokering kvv'!$B$2:$BX$549,MATCH(L$2,'Slutlig allokering kvv'!$B$1:$BX$1,0),FALSE)/1,0))</f>
        <v/>
      </c>
      <c r="M51" s="121" t="str">
        <f>IF($D51="","",IFERROR(VLOOKUP($B51,Kraftvärmeprod!$B$1:$BX$549,MATCH(M$2,Kraftvärmeprod!$B$1:$VX$1,0),FALSE)/1,0)-IFERROR(VLOOKUP($B51,'Slutlig allokering kvv'!$B$2:$BX$549,MATCH(M$2,'Slutlig allokering kvv'!$B$1:$BX$1,0),FALSE)/1,0))</f>
        <v/>
      </c>
      <c r="N51" s="121" t="str">
        <f>IF($D51="","",IFERROR(VLOOKUP($B51,Kraftvärmeprod!$B$1:$BX$549,MATCH(N$2,Kraftvärmeprod!$B$1:$VX$1,0),FALSE)/1,0)-IFERROR(VLOOKUP($B51,'Slutlig allokering kvv'!$B$2:$BX$549,MATCH(N$2,'Slutlig allokering kvv'!$B$1:$BX$1,0),FALSE)/1,0))</f>
        <v/>
      </c>
      <c r="O51" s="121" t="str">
        <f>IF($D51="","",IFERROR(VLOOKUP($B51,Kraftvärmeprod!$B$1:$BX$549,MATCH(O$2,Kraftvärmeprod!$B$1:$VX$1,0),FALSE)/1,0)-IFERROR(VLOOKUP($B51,'Slutlig allokering kvv'!$B$2:$BX$549,MATCH(O$2,'Slutlig allokering kvv'!$B$1:$BX$1,0),FALSE)/1,0))</f>
        <v/>
      </c>
      <c r="P51" s="121" t="str">
        <f>IF($D51="","",IFERROR(VLOOKUP($B51,Kraftvärmeprod!$B$1:$BX$549,MATCH(P$2,Kraftvärmeprod!$B$1:$VX$1,0),FALSE)/1,0)-IFERROR(VLOOKUP($B51,'Slutlig allokering kvv'!$B$2:$BX$549,MATCH(P$2,'Slutlig allokering kvv'!$B$1:$BX$1,0),FALSE)/1,0))</f>
        <v/>
      </c>
      <c r="Q51" s="121" t="str">
        <f>IF($D51="","",IFERROR(VLOOKUP($B51,Kraftvärmeprod!$B$1:$BX$549,MATCH(Q$2,Kraftvärmeprod!$B$1:$VX$1,0),FALSE)/1,0)-IFERROR(VLOOKUP($B51,'Slutlig allokering kvv'!$B$2:$BX$549,MATCH(Q$2,'Slutlig allokering kvv'!$B$1:$BX$1,0),FALSE)/1,0))</f>
        <v/>
      </c>
      <c r="R51" s="121" t="str">
        <f>IF($D51="","",IFERROR(VLOOKUP($B51,Kraftvärmeprod!$B$1:$BX$549,MATCH(R$2,Kraftvärmeprod!$B$1:$VX$1,0),FALSE)/1,0)-IFERROR(VLOOKUP($B51,'Slutlig allokering kvv'!$B$2:$BX$549,MATCH(R$2,'Slutlig allokering kvv'!$B$1:$BX$1,0),FALSE)/1,0))</f>
        <v/>
      </c>
      <c r="S51" s="121" t="str">
        <f>IF($D51="","",IFERROR(VLOOKUP($B51,Kraftvärmeprod!$B$1:$BX$549,MATCH(S$2,Kraftvärmeprod!$B$1:$VX$1,0),FALSE)/1,0)-IFERROR(VLOOKUP($B51,'Slutlig allokering kvv'!$B$2:$BX$549,MATCH(S$2,'Slutlig allokering kvv'!$B$1:$BX$1,0),FALSE)/1,0))</f>
        <v/>
      </c>
      <c r="T51" s="121" t="str">
        <f>IF($D51="","",IFERROR(VLOOKUP($B51,Kraftvärmeprod!$B$1:$BX$549,MATCH(T$2,Kraftvärmeprod!$B$1:$VX$1,0),FALSE)/1,0)-IFERROR(VLOOKUP($B51,'Slutlig allokering kvv'!$B$2:$BX$549,MATCH(T$2,'Slutlig allokering kvv'!$B$1:$BX$1,0),FALSE)/1,0))</f>
        <v/>
      </c>
      <c r="U51" s="121" t="str">
        <f>IF($D51="","",IFERROR(VLOOKUP($B51,Kraftvärmeprod!$B$1:$BX$549,MATCH(U$2,Kraftvärmeprod!$B$1:$VX$1,0),FALSE)/1,0)-IFERROR(VLOOKUP($B51,'Slutlig allokering kvv'!$B$2:$BX$549,MATCH(U$2,'Slutlig allokering kvv'!$B$1:$BX$1,0),FALSE)/1,0))</f>
        <v/>
      </c>
      <c r="V51" s="121" t="str">
        <f>IF($D51="","",IFERROR(VLOOKUP($B51,Kraftvärmeprod!$B$1:$BX$549,MATCH(V$2,Kraftvärmeprod!$B$1:$VX$1,0),FALSE)/1,0)-IFERROR(VLOOKUP($B51,'Slutlig allokering kvv'!$B$2:$BX$549,MATCH(V$2,'Slutlig allokering kvv'!$B$1:$BX$1,0),FALSE)/1,0))</f>
        <v/>
      </c>
      <c r="W51" s="121" t="str">
        <f>IF($D51="","",IFERROR(VLOOKUP($B51,Kraftvärmeprod!$B$1:$BX$549,MATCH(W$2,Kraftvärmeprod!$B$1:$VX$1,0),FALSE)/1,0)-IFERROR(VLOOKUP($B51,'Slutlig allokering kvv'!$B$2:$BX$549,MATCH(W$2,'Slutlig allokering kvv'!$B$1:$BX$1,0),FALSE)/1,0))</f>
        <v/>
      </c>
      <c r="X51" s="121" t="str">
        <f>IF($D51="","",IFERROR(VLOOKUP($B51,Kraftvärmeprod!$B$1:$BX$549,MATCH(X$2,Kraftvärmeprod!$B$1:$VX$1,0),FALSE)/1,0)-IFERROR(VLOOKUP($B51,'Slutlig allokering kvv'!$B$2:$BX$549,MATCH(X$2,'Slutlig allokering kvv'!$B$1:$BX$1,0),FALSE)/1,0))</f>
        <v/>
      </c>
      <c r="Y51" s="121" t="str">
        <f>IF($D51="","",IFERROR(VLOOKUP($B51,Kraftvärmeprod!$B$1:$BX$549,MATCH(Y$2,Kraftvärmeprod!$B$1:$VX$1,0),FALSE)/1,0)-IFERROR(VLOOKUP($B51,'Slutlig allokering kvv'!$B$2:$BX$549,MATCH(Y$2,'Slutlig allokering kvv'!$B$1:$BX$1,0),FALSE)/1,0))</f>
        <v/>
      </c>
      <c r="Z51" s="121" t="str">
        <f>IF($D51="","",IFERROR(VLOOKUP($B51,Kraftvärmeprod!$B$1:$BX$549,MATCH(Z$2,Kraftvärmeprod!$B$1:$VX$1,0),FALSE)/1,0)-IFERROR(VLOOKUP($B51,'Slutlig allokering kvv'!$B$2:$BX$549,MATCH(Z$2,'Slutlig allokering kvv'!$B$1:$BX$1,0),FALSE)/1,0))</f>
        <v/>
      </c>
      <c r="AA51" s="121" t="str">
        <f>IF($D51="","",IFERROR(VLOOKUP($B51,Kraftvärmeprod!$B$1:$BX$549,MATCH(AA$2,Kraftvärmeprod!$B$1:$VX$1,0),FALSE)/1,0)-IFERROR(VLOOKUP($B51,'Slutlig allokering kvv'!$B$2:$BX$549,MATCH(AA$2,'Slutlig allokering kvv'!$B$1:$BX$1,0),FALSE)/1,0))</f>
        <v/>
      </c>
      <c r="AB51" s="121" t="str">
        <f>IF($D51="","",IFERROR(VLOOKUP($B51,Kraftvärmeprod!$B$1:$BX$549,MATCH(AB$2,Kraftvärmeprod!$B$1:$VX$1,0),FALSE)/1,0)-IFERROR(VLOOKUP($B51,'Slutlig allokering kvv'!$B$2:$BX$549,MATCH(AB$2,'Slutlig allokering kvv'!$B$1:$BX$1,0),FALSE)/1,0))</f>
        <v/>
      </c>
      <c r="AC51" s="121" t="str">
        <f>IF($D51="","",IFERROR(VLOOKUP($B51,Kraftvärmeprod!$B$1:$BX$549,MATCH(AC$2,Kraftvärmeprod!$B$1:$VX$1,0),FALSE)/1,0)-IFERROR(VLOOKUP($B51,'Slutlig allokering kvv'!$B$2:$BX$549,MATCH(AC$2,'Slutlig allokering kvv'!$B$1:$BX$1,0),FALSE)/1,0))</f>
        <v/>
      </c>
      <c r="AD51" s="121" t="str">
        <f>IF($D51="","",IFERROR(VLOOKUP($B51,Kraftvärmeprod!$B$1:$BX$549,MATCH(AD$2,Kraftvärmeprod!$B$1:$VX$1,0),FALSE)/1,0)-IFERROR(VLOOKUP($B51,'Slutlig allokering kvv'!$B$2:$BX$549,MATCH(AD$2,'Slutlig allokering kvv'!$B$1:$BX$1,0),FALSE)/1,0))</f>
        <v/>
      </c>
      <c r="AE51" s="121" t="str">
        <f>IF($D51="","",IFERROR(VLOOKUP($B51,Miljö!$B$1:$E$550,MATCH("Hjälpel kraftvärme (GWh)",Miljö!$B$1:$E$1,0),FALSE)/1,0)-IFERROR(VLOOKUP($B51,'Slutlig allokering kvv'!$B$2:$BX$549,MATCH(AE$2,'Slutlig allokering kvv'!$B$1:$BX$1,0),FALSE)/1,0))</f>
        <v/>
      </c>
      <c r="AI51" s="121">
        <f t="shared" si="0"/>
        <v>0</v>
      </c>
      <c r="AK51" s="121">
        <f>IFERROR(VLOOKUP($B51,'Slutlig allokering kvv'!$B$2:$AX$549,MATCH("Summa slutlig allokerad tillförd energi (utan hjälpel och rökgaskondensering):",'Slutlig allokering kvv'!$B$1:$AX$1,0),FALSE)/1,"")</f>
        <v>0</v>
      </c>
      <c r="AM51" s="172" t="str">
        <f>IFERROR(1-VLOOKUP($B51,'Slutlig allokering kvv'!$B$2:$AX$549,MATCH("Andel av bränsle i kvv som allokerats till värme, exklusive rökgaskondensering och hjälpel",'Slutlig allokering kvv'!$B$1:$AX$1,0),FALSE),"")</f>
        <v/>
      </c>
      <c r="AO51" s="172" t="str">
        <f t="shared" si="1"/>
        <v/>
      </c>
      <c r="AP51" s="173" t="str">
        <f t="shared" si="2"/>
        <v/>
      </c>
      <c r="AR51" s="172" t="str">
        <f t="shared" si="3"/>
        <v/>
      </c>
    </row>
    <row r="52" spans="1:44" x14ac:dyDescent="0.25">
      <c r="A52" s="171" t="str">
        <f>'Miljövärden för publ företag'!B54</f>
        <v>Degerfors Energi AB</v>
      </c>
      <c r="B52" s="171" t="str">
        <f>'Miljövärden för publ företag'!C54</f>
        <v>Svartå</v>
      </c>
      <c r="C52" s="121" t="str">
        <f>IFERROR(VLOOKUP($B52,Kraftvärmeprod!$B$1:$AH$478,MATCH(C$2,Kraftvärmeprod!$B$1:$AG$1,0),FALSE)/1,"")</f>
        <v/>
      </c>
      <c r="D52" s="121" t="str">
        <f>IFERROR(VLOOKUP($B52,Kraftvärmeprod!$B$1:$AH$478,MATCH(D$2,Kraftvärmeprod!$B$1:$AG$1,0),FALSE)/1,"")</f>
        <v/>
      </c>
      <c r="F52" s="121" t="str">
        <f>IF($D52="","",IFERROR(VLOOKUP($B52,Kraftvärmeprod!$B$1:$BX$549,MATCH(F$2,Kraftvärmeprod!$B$1:$VX$1,0),FALSE)/1,0)-IFERROR(VLOOKUP($B52,'Slutlig allokering kvv'!$B$2:$BX$549,MATCH(F$2,'Slutlig allokering kvv'!$B$1:$BX$1,0),FALSE)/1,0))</f>
        <v/>
      </c>
      <c r="G52" s="121" t="str">
        <f>IF($D52="","",IFERROR(VLOOKUP($B52,Kraftvärmeprod!$B$1:$BX$549,MATCH(G$2,Kraftvärmeprod!$B$1:$VX$1,0),FALSE)/1,0)-IFERROR(VLOOKUP($B52,'Slutlig allokering kvv'!$B$2:$BX$549,MATCH(G$2,'Slutlig allokering kvv'!$B$1:$BX$1,0),FALSE)/1,0))</f>
        <v/>
      </c>
      <c r="H52" s="121" t="str">
        <f>IF($D52="","",IFERROR(VLOOKUP($B52,Kraftvärmeprod!$B$1:$BX$549,MATCH(H$2,Kraftvärmeprod!$B$1:$VX$1,0),FALSE)/1,0)-IFERROR(VLOOKUP($B52,'Slutlig allokering kvv'!$B$2:$BX$549,MATCH(H$2,'Slutlig allokering kvv'!$B$1:$BX$1,0),FALSE)/1,0))</f>
        <v/>
      </c>
      <c r="I52" s="121" t="str">
        <f>IF($D52="","",IFERROR(VLOOKUP($B52,Kraftvärmeprod!$B$1:$BX$549,MATCH(I$2,Kraftvärmeprod!$B$1:$VX$1,0),FALSE)/1,0)-IFERROR(VLOOKUP($B52,'Slutlig allokering kvv'!$B$2:$BX$549,MATCH(I$2,'Slutlig allokering kvv'!$B$1:$BX$1,0),FALSE)/1,0))</f>
        <v/>
      </c>
      <c r="J52" s="121" t="str">
        <f>IF($D52="","",IFERROR(VLOOKUP($B52,Kraftvärmeprod!$B$1:$BX$549,MATCH(J$2,Kraftvärmeprod!$B$1:$VX$1,0),FALSE)/1,0)-IFERROR(VLOOKUP($B52,'Slutlig allokering kvv'!$B$2:$BX$549,MATCH(J$2,'Slutlig allokering kvv'!$B$1:$BX$1,0),FALSE)/1,0))</f>
        <v/>
      </c>
      <c r="K52" s="121" t="str">
        <f>IF($D52="","",IFERROR(VLOOKUP($B52,Kraftvärmeprod!$B$1:$BX$549,MATCH(K$2,Kraftvärmeprod!$B$1:$VX$1,0),FALSE)/1,0)-IFERROR(VLOOKUP($B52,'Slutlig allokering kvv'!$B$2:$BX$549,MATCH(K$2,'Slutlig allokering kvv'!$B$1:$BX$1,0),FALSE)/1,0))</f>
        <v/>
      </c>
      <c r="L52" s="121" t="str">
        <f>IF($D52="","",IFERROR(VLOOKUP($B52,Kraftvärmeprod!$B$1:$BX$549,MATCH(L$2,Kraftvärmeprod!$B$1:$VX$1,0),FALSE)/1,0)-IFERROR(VLOOKUP($B52,'Slutlig allokering kvv'!$B$2:$BX$549,MATCH(L$2,'Slutlig allokering kvv'!$B$1:$BX$1,0),FALSE)/1,0))</f>
        <v/>
      </c>
      <c r="M52" s="121" t="str">
        <f>IF($D52="","",IFERROR(VLOOKUP($B52,Kraftvärmeprod!$B$1:$BX$549,MATCH(M$2,Kraftvärmeprod!$B$1:$VX$1,0),FALSE)/1,0)-IFERROR(VLOOKUP($B52,'Slutlig allokering kvv'!$B$2:$BX$549,MATCH(M$2,'Slutlig allokering kvv'!$B$1:$BX$1,0),FALSE)/1,0))</f>
        <v/>
      </c>
      <c r="N52" s="121" t="str">
        <f>IF($D52="","",IFERROR(VLOOKUP($B52,Kraftvärmeprod!$B$1:$BX$549,MATCH(N$2,Kraftvärmeprod!$B$1:$VX$1,0),FALSE)/1,0)-IFERROR(VLOOKUP($B52,'Slutlig allokering kvv'!$B$2:$BX$549,MATCH(N$2,'Slutlig allokering kvv'!$B$1:$BX$1,0),FALSE)/1,0))</f>
        <v/>
      </c>
      <c r="O52" s="121" t="str">
        <f>IF($D52="","",IFERROR(VLOOKUP($B52,Kraftvärmeprod!$B$1:$BX$549,MATCH(O$2,Kraftvärmeprod!$B$1:$VX$1,0),FALSE)/1,0)-IFERROR(VLOOKUP($B52,'Slutlig allokering kvv'!$B$2:$BX$549,MATCH(O$2,'Slutlig allokering kvv'!$B$1:$BX$1,0),FALSE)/1,0))</f>
        <v/>
      </c>
      <c r="P52" s="121" t="str">
        <f>IF($D52="","",IFERROR(VLOOKUP($B52,Kraftvärmeprod!$B$1:$BX$549,MATCH(P$2,Kraftvärmeprod!$B$1:$VX$1,0),FALSE)/1,0)-IFERROR(VLOOKUP($B52,'Slutlig allokering kvv'!$B$2:$BX$549,MATCH(P$2,'Slutlig allokering kvv'!$B$1:$BX$1,0),FALSE)/1,0))</f>
        <v/>
      </c>
      <c r="Q52" s="121" t="str">
        <f>IF($D52="","",IFERROR(VLOOKUP($B52,Kraftvärmeprod!$B$1:$BX$549,MATCH(Q$2,Kraftvärmeprod!$B$1:$VX$1,0),FALSE)/1,0)-IFERROR(VLOOKUP($B52,'Slutlig allokering kvv'!$B$2:$BX$549,MATCH(Q$2,'Slutlig allokering kvv'!$B$1:$BX$1,0),FALSE)/1,0))</f>
        <v/>
      </c>
      <c r="R52" s="121" t="str">
        <f>IF($D52="","",IFERROR(VLOOKUP($B52,Kraftvärmeprod!$B$1:$BX$549,MATCH(R$2,Kraftvärmeprod!$B$1:$VX$1,0),FALSE)/1,0)-IFERROR(VLOOKUP($B52,'Slutlig allokering kvv'!$B$2:$BX$549,MATCH(R$2,'Slutlig allokering kvv'!$B$1:$BX$1,0),FALSE)/1,0))</f>
        <v/>
      </c>
      <c r="S52" s="121" t="str">
        <f>IF($D52="","",IFERROR(VLOOKUP($B52,Kraftvärmeprod!$B$1:$BX$549,MATCH(S$2,Kraftvärmeprod!$B$1:$VX$1,0),FALSE)/1,0)-IFERROR(VLOOKUP($B52,'Slutlig allokering kvv'!$B$2:$BX$549,MATCH(S$2,'Slutlig allokering kvv'!$B$1:$BX$1,0),FALSE)/1,0))</f>
        <v/>
      </c>
      <c r="T52" s="121" t="str">
        <f>IF($D52="","",IFERROR(VLOOKUP($B52,Kraftvärmeprod!$B$1:$BX$549,MATCH(T$2,Kraftvärmeprod!$B$1:$VX$1,0),FALSE)/1,0)-IFERROR(VLOOKUP($B52,'Slutlig allokering kvv'!$B$2:$BX$549,MATCH(T$2,'Slutlig allokering kvv'!$B$1:$BX$1,0),FALSE)/1,0))</f>
        <v/>
      </c>
      <c r="U52" s="121" t="str">
        <f>IF($D52="","",IFERROR(VLOOKUP($B52,Kraftvärmeprod!$B$1:$BX$549,MATCH(U$2,Kraftvärmeprod!$B$1:$VX$1,0),FALSE)/1,0)-IFERROR(VLOOKUP($B52,'Slutlig allokering kvv'!$B$2:$BX$549,MATCH(U$2,'Slutlig allokering kvv'!$B$1:$BX$1,0),FALSE)/1,0))</f>
        <v/>
      </c>
      <c r="V52" s="121" t="str">
        <f>IF($D52="","",IFERROR(VLOOKUP($B52,Kraftvärmeprod!$B$1:$BX$549,MATCH(V$2,Kraftvärmeprod!$B$1:$VX$1,0),FALSE)/1,0)-IFERROR(VLOOKUP($B52,'Slutlig allokering kvv'!$B$2:$BX$549,MATCH(V$2,'Slutlig allokering kvv'!$B$1:$BX$1,0),FALSE)/1,0))</f>
        <v/>
      </c>
      <c r="W52" s="121" t="str">
        <f>IF($D52="","",IFERROR(VLOOKUP($B52,Kraftvärmeprod!$B$1:$BX$549,MATCH(W$2,Kraftvärmeprod!$B$1:$VX$1,0),FALSE)/1,0)-IFERROR(VLOOKUP($B52,'Slutlig allokering kvv'!$B$2:$BX$549,MATCH(W$2,'Slutlig allokering kvv'!$B$1:$BX$1,0),FALSE)/1,0))</f>
        <v/>
      </c>
      <c r="X52" s="121" t="str">
        <f>IF($D52="","",IFERROR(VLOOKUP($B52,Kraftvärmeprod!$B$1:$BX$549,MATCH(X$2,Kraftvärmeprod!$B$1:$VX$1,0),FALSE)/1,0)-IFERROR(VLOOKUP($B52,'Slutlig allokering kvv'!$B$2:$BX$549,MATCH(X$2,'Slutlig allokering kvv'!$B$1:$BX$1,0),FALSE)/1,0))</f>
        <v/>
      </c>
      <c r="Y52" s="121" t="str">
        <f>IF($D52="","",IFERROR(VLOOKUP($B52,Kraftvärmeprod!$B$1:$BX$549,MATCH(Y$2,Kraftvärmeprod!$B$1:$VX$1,0),FALSE)/1,0)-IFERROR(VLOOKUP($B52,'Slutlig allokering kvv'!$B$2:$BX$549,MATCH(Y$2,'Slutlig allokering kvv'!$B$1:$BX$1,0),FALSE)/1,0))</f>
        <v/>
      </c>
      <c r="Z52" s="121" t="str">
        <f>IF($D52="","",IFERROR(VLOOKUP($B52,Kraftvärmeprod!$B$1:$BX$549,MATCH(Z$2,Kraftvärmeprod!$B$1:$VX$1,0),FALSE)/1,0)-IFERROR(VLOOKUP($B52,'Slutlig allokering kvv'!$B$2:$BX$549,MATCH(Z$2,'Slutlig allokering kvv'!$B$1:$BX$1,0),FALSE)/1,0))</f>
        <v/>
      </c>
      <c r="AA52" s="121" t="str">
        <f>IF($D52="","",IFERROR(VLOOKUP($B52,Kraftvärmeprod!$B$1:$BX$549,MATCH(AA$2,Kraftvärmeprod!$B$1:$VX$1,0),FALSE)/1,0)-IFERROR(VLOOKUP($B52,'Slutlig allokering kvv'!$B$2:$BX$549,MATCH(AA$2,'Slutlig allokering kvv'!$B$1:$BX$1,0),FALSE)/1,0))</f>
        <v/>
      </c>
      <c r="AB52" s="121" t="str">
        <f>IF($D52="","",IFERROR(VLOOKUP($B52,Kraftvärmeprod!$B$1:$BX$549,MATCH(AB$2,Kraftvärmeprod!$B$1:$VX$1,0),FALSE)/1,0)-IFERROR(VLOOKUP($B52,'Slutlig allokering kvv'!$B$2:$BX$549,MATCH(AB$2,'Slutlig allokering kvv'!$B$1:$BX$1,0),FALSE)/1,0))</f>
        <v/>
      </c>
      <c r="AC52" s="121" t="str">
        <f>IF($D52="","",IFERROR(VLOOKUP($B52,Kraftvärmeprod!$B$1:$BX$549,MATCH(AC$2,Kraftvärmeprod!$B$1:$VX$1,0),FALSE)/1,0)-IFERROR(VLOOKUP($B52,'Slutlig allokering kvv'!$B$2:$BX$549,MATCH(AC$2,'Slutlig allokering kvv'!$B$1:$BX$1,0),FALSE)/1,0))</f>
        <v/>
      </c>
      <c r="AD52" s="121" t="str">
        <f>IF($D52="","",IFERROR(VLOOKUP($B52,Kraftvärmeprod!$B$1:$BX$549,MATCH(AD$2,Kraftvärmeprod!$B$1:$VX$1,0),FALSE)/1,0)-IFERROR(VLOOKUP($B52,'Slutlig allokering kvv'!$B$2:$BX$549,MATCH(AD$2,'Slutlig allokering kvv'!$B$1:$BX$1,0),FALSE)/1,0))</f>
        <v/>
      </c>
      <c r="AE52" s="121" t="str">
        <f>IF($D52="","",IFERROR(VLOOKUP($B52,Miljö!$B$1:$E$550,MATCH("Hjälpel kraftvärme (GWh)",Miljö!$B$1:$E$1,0),FALSE)/1,0)-IFERROR(VLOOKUP($B52,'Slutlig allokering kvv'!$B$2:$BX$549,MATCH(AE$2,'Slutlig allokering kvv'!$B$1:$BX$1,0),FALSE)/1,0))</f>
        <v/>
      </c>
      <c r="AI52" s="121">
        <f t="shared" si="0"/>
        <v>0</v>
      </c>
      <c r="AK52" s="121">
        <f>IFERROR(VLOOKUP($B52,'Slutlig allokering kvv'!$B$2:$AX$549,MATCH("Summa slutlig allokerad tillförd energi (utan hjälpel och rökgaskondensering):",'Slutlig allokering kvv'!$B$1:$AX$1,0),FALSE)/1,"")</f>
        <v>0</v>
      </c>
      <c r="AM52" s="172" t="str">
        <f>IFERROR(1-VLOOKUP($B52,'Slutlig allokering kvv'!$B$2:$AX$549,MATCH("Andel av bränsle i kvv som allokerats till värme, exklusive rökgaskondensering och hjälpel",'Slutlig allokering kvv'!$B$1:$AX$1,0),FALSE),"")</f>
        <v/>
      </c>
      <c r="AO52" s="172" t="str">
        <f t="shared" si="1"/>
        <v/>
      </c>
      <c r="AP52" s="173" t="str">
        <f t="shared" si="2"/>
        <v/>
      </c>
      <c r="AR52" s="172" t="str">
        <f t="shared" si="3"/>
        <v/>
      </c>
    </row>
    <row r="53" spans="1:44" x14ac:dyDescent="0.25">
      <c r="A53" s="171" t="str">
        <f>'Miljövärden för publ företag'!B55</f>
        <v>Degerfors Energi AB</v>
      </c>
      <c r="B53" s="171" t="str">
        <f>'Miljövärden för publ företag'!C55</f>
        <v>Åtorp</v>
      </c>
      <c r="C53" s="121" t="str">
        <f>IFERROR(VLOOKUP($B53,Kraftvärmeprod!$B$1:$AH$478,MATCH(C$2,Kraftvärmeprod!$B$1:$AG$1,0),FALSE)/1,"")</f>
        <v/>
      </c>
      <c r="D53" s="121" t="str">
        <f>IFERROR(VLOOKUP($B53,Kraftvärmeprod!$B$1:$AH$478,MATCH(D$2,Kraftvärmeprod!$B$1:$AG$1,0),FALSE)/1,"")</f>
        <v/>
      </c>
      <c r="F53" s="121" t="str">
        <f>IF($D53="","",IFERROR(VLOOKUP($B53,Kraftvärmeprod!$B$1:$BX$549,MATCH(F$2,Kraftvärmeprod!$B$1:$VX$1,0),FALSE)/1,0)-IFERROR(VLOOKUP($B53,'Slutlig allokering kvv'!$B$2:$BX$549,MATCH(F$2,'Slutlig allokering kvv'!$B$1:$BX$1,0),FALSE)/1,0))</f>
        <v/>
      </c>
      <c r="G53" s="121" t="str">
        <f>IF($D53="","",IFERROR(VLOOKUP($B53,Kraftvärmeprod!$B$1:$BX$549,MATCH(G$2,Kraftvärmeprod!$B$1:$VX$1,0),FALSE)/1,0)-IFERROR(VLOOKUP($B53,'Slutlig allokering kvv'!$B$2:$BX$549,MATCH(G$2,'Slutlig allokering kvv'!$B$1:$BX$1,0),FALSE)/1,0))</f>
        <v/>
      </c>
      <c r="H53" s="121" t="str">
        <f>IF($D53="","",IFERROR(VLOOKUP($B53,Kraftvärmeprod!$B$1:$BX$549,MATCH(H$2,Kraftvärmeprod!$B$1:$VX$1,0),FALSE)/1,0)-IFERROR(VLOOKUP($B53,'Slutlig allokering kvv'!$B$2:$BX$549,MATCH(H$2,'Slutlig allokering kvv'!$B$1:$BX$1,0),FALSE)/1,0))</f>
        <v/>
      </c>
      <c r="I53" s="121" t="str">
        <f>IF($D53="","",IFERROR(VLOOKUP($B53,Kraftvärmeprod!$B$1:$BX$549,MATCH(I$2,Kraftvärmeprod!$B$1:$VX$1,0),FALSE)/1,0)-IFERROR(VLOOKUP($B53,'Slutlig allokering kvv'!$B$2:$BX$549,MATCH(I$2,'Slutlig allokering kvv'!$B$1:$BX$1,0),FALSE)/1,0))</f>
        <v/>
      </c>
      <c r="J53" s="121" t="str">
        <f>IF($D53="","",IFERROR(VLOOKUP($B53,Kraftvärmeprod!$B$1:$BX$549,MATCH(J$2,Kraftvärmeprod!$B$1:$VX$1,0),FALSE)/1,0)-IFERROR(VLOOKUP($B53,'Slutlig allokering kvv'!$B$2:$BX$549,MATCH(J$2,'Slutlig allokering kvv'!$B$1:$BX$1,0),FALSE)/1,0))</f>
        <v/>
      </c>
      <c r="K53" s="121" t="str">
        <f>IF($D53="","",IFERROR(VLOOKUP($B53,Kraftvärmeprod!$B$1:$BX$549,MATCH(K$2,Kraftvärmeprod!$B$1:$VX$1,0),FALSE)/1,0)-IFERROR(VLOOKUP($B53,'Slutlig allokering kvv'!$B$2:$BX$549,MATCH(K$2,'Slutlig allokering kvv'!$B$1:$BX$1,0),FALSE)/1,0))</f>
        <v/>
      </c>
      <c r="L53" s="121" t="str">
        <f>IF($D53="","",IFERROR(VLOOKUP($B53,Kraftvärmeprod!$B$1:$BX$549,MATCH(L$2,Kraftvärmeprod!$B$1:$VX$1,0),FALSE)/1,0)-IFERROR(VLOOKUP($B53,'Slutlig allokering kvv'!$B$2:$BX$549,MATCH(L$2,'Slutlig allokering kvv'!$B$1:$BX$1,0),FALSE)/1,0))</f>
        <v/>
      </c>
      <c r="M53" s="121" t="str">
        <f>IF($D53="","",IFERROR(VLOOKUP($B53,Kraftvärmeprod!$B$1:$BX$549,MATCH(M$2,Kraftvärmeprod!$B$1:$VX$1,0),FALSE)/1,0)-IFERROR(VLOOKUP($B53,'Slutlig allokering kvv'!$B$2:$BX$549,MATCH(M$2,'Slutlig allokering kvv'!$B$1:$BX$1,0),FALSE)/1,0))</f>
        <v/>
      </c>
      <c r="N53" s="121" t="str">
        <f>IF($D53="","",IFERROR(VLOOKUP($B53,Kraftvärmeprod!$B$1:$BX$549,MATCH(N$2,Kraftvärmeprod!$B$1:$VX$1,0),FALSE)/1,0)-IFERROR(VLOOKUP($B53,'Slutlig allokering kvv'!$B$2:$BX$549,MATCH(N$2,'Slutlig allokering kvv'!$B$1:$BX$1,0),FALSE)/1,0))</f>
        <v/>
      </c>
      <c r="O53" s="121" t="str">
        <f>IF($D53="","",IFERROR(VLOOKUP($B53,Kraftvärmeprod!$B$1:$BX$549,MATCH(O$2,Kraftvärmeprod!$B$1:$VX$1,0),FALSE)/1,0)-IFERROR(VLOOKUP($B53,'Slutlig allokering kvv'!$B$2:$BX$549,MATCH(O$2,'Slutlig allokering kvv'!$B$1:$BX$1,0),FALSE)/1,0))</f>
        <v/>
      </c>
      <c r="P53" s="121" t="str">
        <f>IF($D53="","",IFERROR(VLOOKUP($B53,Kraftvärmeprod!$B$1:$BX$549,MATCH(P$2,Kraftvärmeprod!$B$1:$VX$1,0),FALSE)/1,0)-IFERROR(VLOOKUP($B53,'Slutlig allokering kvv'!$B$2:$BX$549,MATCH(P$2,'Slutlig allokering kvv'!$B$1:$BX$1,0),FALSE)/1,0))</f>
        <v/>
      </c>
      <c r="Q53" s="121" t="str">
        <f>IF($D53="","",IFERROR(VLOOKUP($B53,Kraftvärmeprod!$B$1:$BX$549,MATCH(Q$2,Kraftvärmeprod!$B$1:$VX$1,0),FALSE)/1,0)-IFERROR(VLOOKUP($B53,'Slutlig allokering kvv'!$B$2:$BX$549,MATCH(Q$2,'Slutlig allokering kvv'!$B$1:$BX$1,0),FALSE)/1,0))</f>
        <v/>
      </c>
      <c r="R53" s="121" t="str">
        <f>IF($D53="","",IFERROR(VLOOKUP($B53,Kraftvärmeprod!$B$1:$BX$549,MATCH(R$2,Kraftvärmeprod!$B$1:$VX$1,0),FALSE)/1,0)-IFERROR(VLOOKUP($B53,'Slutlig allokering kvv'!$B$2:$BX$549,MATCH(R$2,'Slutlig allokering kvv'!$B$1:$BX$1,0),FALSE)/1,0))</f>
        <v/>
      </c>
      <c r="S53" s="121" t="str">
        <f>IF($D53="","",IFERROR(VLOOKUP($B53,Kraftvärmeprod!$B$1:$BX$549,MATCH(S$2,Kraftvärmeprod!$B$1:$VX$1,0),FALSE)/1,0)-IFERROR(VLOOKUP($B53,'Slutlig allokering kvv'!$B$2:$BX$549,MATCH(S$2,'Slutlig allokering kvv'!$B$1:$BX$1,0),FALSE)/1,0))</f>
        <v/>
      </c>
      <c r="T53" s="121" t="str">
        <f>IF($D53="","",IFERROR(VLOOKUP($B53,Kraftvärmeprod!$B$1:$BX$549,MATCH(T$2,Kraftvärmeprod!$B$1:$VX$1,0),FALSE)/1,0)-IFERROR(VLOOKUP($B53,'Slutlig allokering kvv'!$B$2:$BX$549,MATCH(T$2,'Slutlig allokering kvv'!$B$1:$BX$1,0),FALSE)/1,0))</f>
        <v/>
      </c>
      <c r="U53" s="121" t="str">
        <f>IF($D53="","",IFERROR(VLOOKUP($B53,Kraftvärmeprod!$B$1:$BX$549,MATCH(U$2,Kraftvärmeprod!$B$1:$VX$1,0),FALSE)/1,0)-IFERROR(VLOOKUP($B53,'Slutlig allokering kvv'!$B$2:$BX$549,MATCH(U$2,'Slutlig allokering kvv'!$B$1:$BX$1,0),FALSE)/1,0))</f>
        <v/>
      </c>
      <c r="V53" s="121" t="str">
        <f>IF($D53="","",IFERROR(VLOOKUP($B53,Kraftvärmeprod!$B$1:$BX$549,MATCH(V$2,Kraftvärmeprod!$B$1:$VX$1,0),FALSE)/1,0)-IFERROR(VLOOKUP($B53,'Slutlig allokering kvv'!$B$2:$BX$549,MATCH(V$2,'Slutlig allokering kvv'!$B$1:$BX$1,0),FALSE)/1,0))</f>
        <v/>
      </c>
      <c r="W53" s="121" t="str">
        <f>IF($D53="","",IFERROR(VLOOKUP($B53,Kraftvärmeprod!$B$1:$BX$549,MATCH(W$2,Kraftvärmeprod!$B$1:$VX$1,0),FALSE)/1,0)-IFERROR(VLOOKUP($B53,'Slutlig allokering kvv'!$B$2:$BX$549,MATCH(W$2,'Slutlig allokering kvv'!$B$1:$BX$1,0),FALSE)/1,0))</f>
        <v/>
      </c>
      <c r="X53" s="121" t="str">
        <f>IF($D53="","",IFERROR(VLOOKUP($B53,Kraftvärmeprod!$B$1:$BX$549,MATCH(X$2,Kraftvärmeprod!$B$1:$VX$1,0),FALSE)/1,0)-IFERROR(VLOOKUP($B53,'Slutlig allokering kvv'!$B$2:$BX$549,MATCH(X$2,'Slutlig allokering kvv'!$B$1:$BX$1,0),FALSE)/1,0))</f>
        <v/>
      </c>
      <c r="Y53" s="121" t="str">
        <f>IF($D53="","",IFERROR(VLOOKUP($B53,Kraftvärmeprod!$B$1:$BX$549,MATCH(Y$2,Kraftvärmeprod!$B$1:$VX$1,0),FALSE)/1,0)-IFERROR(VLOOKUP($B53,'Slutlig allokering kvv'!$B$2:$BX$549,MATCH(Y$2,'Slutlig allokering kvv'!$B$1:$BX$1,0),FALSE)/1,0))</f>
        <v/>
      </c>
      <c r="Z53" s="121" t="str">
        <f>IF($D53="","",IFERROR(VLOOKUP($B53,Kraftvärmeprod!$B$1:$BX$549,MATCH(Z$2,Kraftvärmeprod!$B$1:$VX$1,0),FALSE)/1,0)-IFERROR(VLOOKUP($B53,'Slutlig allokering kvv'!$B$2:$BX$549,MATCH(Z$2,'Slutlig allokering kvv'!$B$1:$BX$1,0),FALSE)/1,0))</f>
        <v/>
      </c>
      <c r="AA53" s="121" t="str">
        <f>IF($D53="","",IFERROR(VLOOKUP($B53,Kraftvärmeprod!$B$1:$BX$549,MATCH(AA$2,Kraftvärmeprod!$B$1:$VX$1,0),FALSE)/1,0)-IFERROR(VLOOKUP($B53,'Slutlig allokering kvv'!$B$2:$BX$549,MATCH(AA$2,'Slutlig allokering kvv'!$B$1:$BX$1,0),FALSE)/1,0))</f>
        <v/>
      </c>
      <c r="AB53" s="121" t="str">
        <f>IF($D53="","",IFERROR(VLOOKUP($B53,Kraftvärmeprod!$B$1:$BX$549,MATCH(AB$2,Kraftvärmeprod!$B$1:$VX$1,0),FALSE)/1,0)-IFERROR(VLOOKUP($B53,'Slutlig allokering kvv'!$B$2:$BX$549,MATCH(AB$2,'Slutlig allokering kvv'!$B$1:$BX$1,0),FALSE)/1,0))</f>
        <v/>
      </c>
      <c r="AC53" s="121" t="str">
        <f>IF($D53="","",IFERROR(VLOOKUP($B53,Kraftvärmeprod!$B$1:$BX$549,MATCH(AC$2,Kraftvärmeprod!$B$1:$VX$1,0),FALSE)/1,0)-IFERROR(VLOOKUP($B53,'Slutlig allokering kvv'!$B$2:$BX$549,MATCH(AC$2,'Slutlig allokering kvv'!$B$1:$BX$1,0),FALSE)/1,0))</f>
        <v/>
      </c>
      <c r="AD53" s="121" t="str">
        <f>IF($D53="","",IFERROR(VLOOKUP($B53,Kraftvärmeprod!$B$1:$BX$549,MATCH(AD$2,Kraftvärmeprod!$B$1:$VX$1,0),FALSE)/1,0)-IFERROR(VLOOKUP($B53,'Slutlig allokering kvv'!$B$2:$BX$549,MATCH(AD$2,'Slutlig allokering kvv'!$B$1:$BX$1,0),FALSE)/1,0))</f>
        <v/>
      </c>
      <c r="AE53" s="121" t="str">
        <f>IF($D53="","",IFERROR(VLOOKUP($B53,Miljö!$B$1:$E$550,MATCH("Hjälpel kraftvärme (GWh)",Miljö!$B$1:$E$1,0),FALSE)/1,0)-IFERROR(VLOOKUP($B53,'Slutlig allokering kvv'!$B$2:$BX$549,MATCH(AE$2,'Slutlig allokering kvv'!$B$1:$BX$1,0),FALSE)/1,0))</f>
        <v/>
      </c>
      <c r="AI53" s="121">
        <f t="shared" si="0"/>
        <v>0</v>
      </c>
      <c r="AK53" s="121">
        <f>IFERROR(VLOOKUP($B53,'Slutlig allokering kvv'!$B$2:$AX$549,MATCH("Summa slutlig allokerad tillförd energi (utan hjälpel och rökgaskondensering):",'Slutlig allokering kvv'!$B$1:$AX$1,0),FALSE)/1,"")</f>
        <v>0</v>
      </c>
      <c r="AM53" s="172" t="str">
        <f>IFERROR(1-VLOOKUP($B53,'Slutlig allokering kvv'!$B$2:$AX$549,MATCH("Andel av bränsle i kvv som allokerats till värme, exklusive rökgaskondensering och hjälpel",'Slutlig allokering kvv'!$B$1:$AX$1,0),FALSE),"")</f>
        <v/>
      </c>
      <c r="AO53" s="172" t="str">
        <f t="shared" si="1"/>
        <v/>
      </c>
      <c r="AP53" s="173" t="str">
        <f t="shared" si="2"/>
        <v/>
      </c>
      <c r="AR53" s="172" t="str">
        <f t="shared" si="3"/>
        <v/>
      </c>
    </row>
    <row r="54" spans="1:44" x14ac:dyDescent="0.25">
      <c r="A54" s="171" t="str">
        <f>'Miljövärden för publ företag'!B56</f>
        <v>E.ON Värme Sverige AB</v>
      </c>
      <c r="B54" s="171" t="str">
        <f>'Miljövärden för publ företag'!C56</f>
        <v>Bro</v>
      </c>
      <c r="C54" s="121" t="str">
        <f>IFERROR(VLOOKUP($B54,Kraftvärmeprod!$B$1:$AH$478,MATCH(C$2,Kraftvärmeprod!$B$1:$AG$1,0),FALSE)/1,"")</f>
        <v/>
      </c>
      <c r="D54" s="121" t="str">
        <f>IFERROR(VLOOKUP($B54,Kraftvärmeprod!$B$1:$AH$478,MATCH(D$2,Kraftvärmeprod!$B$1:$AG$1,0),FALSE)/1,"")</f>
        <v/>
      </c>
      <c r="F54" s="121" t="str">
        <f>IF($D54="","",IFERROR(VLOOKUP($B54,Kraftvärmeprod!$B$1:$BX$549,MATCH(F$2,Kraftvärmeprod!$B$1:$VX$1,0),FALSE)/1,0)-IFERROR(VLOOKUP($B54,'Slutlig allokering kvv'!$B$2:$BX$549,MATCH(F$2,'Slutlig allokering kvv'!$B$1:$BX$1,0),FALSE)/1,0))</f>
        <v/>
      </c>
      <c r="G54" s="121" t="str">
        <f>IF($D54="","",IFERROR(VLOOKUP($B54,Kraftvärmeprod!$B$1:$BX$549,MATCH(G$2,Kraftvärmeprod!$B$1:$VX$1,0),FALSE)/1,0)-IFERROR(VLOOKUP($B54,'Slutlig allokering kvv'!$B$2:$BX$549,MATCH(G$2,'Slutlig allokering kvv'!$B$1:$BX$1,0),FALSE)/1,0))</f>
        <v/>
      </c>
      <c r="H54" s="121" t="str">
        <f>IF($D54="","",IFERROR(VLOOKUP($B54,Kraftvärmeprod!$B$1:$BX$549,MATCH(H$2,Kraftvärmeprod!$B$1:$VX$1,0),FALSE)/1,0)-IFERROR(VLOOKUP($B54,'Slutlig allokering kvv'!$B$2:$BX$549,MATCH(H$2,'Slutlig allokering kvv'!$B$1:$BX$1,0),FALSE)/1,0))</f>
        <v/>
      </c>
      <c r="I54" s="121" t="str">
        <f>IF($D54="","",IFERROR(VLOOKUP($B54,Kraftvärmeprod!$B$1:$BX$549,MATCH(I$2,Kraftvärmeprod!$B$1:$VX$1,0),FALSE)/1,0)-IFERROR(VLOOKUP($B54,'Slutlig allokering kvv'!$B$2:$BX$549,MATCH(I$2,'Slutlig allokering kvv'!$B$1:$BX$1,0),FALSE)/1,0))</f>
        <v/>
      </c>
      <c r="J54" s="121" t="str">
        <f>IF($D54="","",IFERROR(VLOOKUP($B54,Kraftvärmeprod!$B$1:$BX$549,MATCH(J$2,Kraftvärmeprod!$B$1:$VX$1,0),FALSE)/1,0)-IFERROR(VLOOKUP($B54,'Slutlig allokering kvv'!$B$2:$BX$549,MATCH(J$2,'Slutlig allokering kvv'!$B$1:$BX$1,0),FALSE)/1,0))</f>
        <v/>
      </c>
      <c r="K54" s="121" t="str">
        <f>IF($D54="","",IFERROR(VLOOKUP($B54,Kraftvärmeprod!$B$1:$BX$549,MATCH(K$2,Kraftvärmeprod!$B$1:$VX$1,0),FALSE)/1,0)-IFERROR(VLOOKUP($B54,'Slutlig allokering kvv'!$B$2:$BX$549,MATCH(K$2,'Slutlig allokering kvv'!$B$1:$BX$1,0),FALSE)/1,0))</f>
        <v/>
      </c>
      <c r="L54" s="121" t="str">
        <f>IF($D54="","",IFERROR(VLOOKUP($B54,Kraftvärmeprod!$B$1:$BX$549,MATCH(L$2,Kraftvärmeprod!$B$1:$VX$1,0),FALSE)/1,0)-IFERROR(VLOOKUP($B54,'Slutlig allokering kvv'!$B$2:$BX$549,MATCH(L$2,'Slutlig allokering kvv'!$B$1:$BX$1,0),FALSE)/1,0))</f>
        <v/>
      </c>
      <c r="M54" s="121" t="str">
        <f>IF($D54="","",IFERROR(VLOOKUP($B54,Kraftvärmeprod!$B$1:$BX$549,MATCH(M$2,Kraftvärmeprod!$B$1:$VX$1,0),FALSE)/1,0)-IFERROR(VLOOKUP($B54,'Slutlig allokering kvv'!$B$2:$BX$549,MATCH(M$2,'Slutlig allokering kvv'!$B$1:$BX$1,0),FALSE)/1,0))</f>
        <v/>
      </c>
      <c r="N54" s="121" t="str">
        <f>IF($D54="","",IFERROR(VLOOKUP($B54,Kraftvärmeprod!$B$1:$BX$549,MATCH(N$2,Kraftvärmeprod!$B$1:$VX$1,0),FALSE)/1,0)-IFERROR(VLOOKUP($B54,'Slutlig allokering kvv'!$B$2:$BX$549,MATCH(N$2,'Slutlig allokering kvv'!$B$1:$BX$1,0),FALSE)/1,0))</f>
        <v/>
      </c>
      <c r="O54" s="121" t="str">
        <f>IF($D54="","",IFERROR(VLOOKUP($B54,Kraftvärmeprod!$B$1:$BX$549,MATCH(O$2,Kraftvärmeprod!$B$1:$VX$1,0),FALSE)/1,0)-IFERROR(VLOOKUP($B54,'Slutlig allokering kvv'!$B$2:$BX$549,MATCH(O$2,'Slutlig allokering kvv'!$B$1:$BX$1,0),FALSE)/1,0))</f>
        <v/>
      </c>
      <c r="P54" s="121" t="str">
        <f>IF($D54="","",IFERROR(VLOOKUP($B54,Kraftvärmeprod!$B$1:$BX$549,MATCH(P$2,Kraftvärmeprod!$B$1:$VX$1,0),FALSE)/1,0)-IFERROR(VLOOKUP($B54,'Slutlig allokering kvv'!$B$2:$BX$549,MATCH(P$2,'Slutlig allokering kvv'!$B$1:$BX$1,0),FALSE)/1,0))</f>
        <v/>
      </c>
      <c r="Q54" s="121" t="str">
        <f>IF($D54="","",IFERROR(VLOOKUP($B54,Kraftvärmeprod!$B$1:$BX$549,MATCH(Q$2,Kraftvärmeprod!$B$1:$VX$1,0),FALSE)/1,0)-IFERROR(VLOOKUP($B54,'Slutlig allokering kvv'!$B$2:$BX$549,MATCH(Q$2,'Slutlig allokering kvv'!$B$1:$BX$1,0),FALSE)/1,0))</f>
        <v/>
      </c>
      <c r="R54" s="121" t="str">
        <f>IF($D54="","",IFERROR(VLOOKUP($B54,Kraftvärmeprod!$B$1:$BX$549,MATCH(R$2,Kraftvärmeprod!$B$1:$VX$1,0),FALSE)/1,0)-IFERROR(VLOOKUP($B54,'Slutlig allokering kvv'!$B$2:$BX$549,MATCH(R$2,'Slutlig allokering kvv'!$B$1:$BX$1,0),FALSE)/1,0))</f>
        <v/>
      </c>
      <c r="S54" s="121" t="str">
        <f>IF($D54="","",IFERROR(VLOOKUP($B54,Kraftvärmeprod!$B$1:$BX$549,MATCH(S$2,Kraftvärmeprod!$B$1:$VX$1,0),FALSE)/1,0)-IFERROR(VLOOKUP($B54,'Slutlig allokering kvv'!$B$2:$BX$549,MATCH(S$2,'Slutlig allokering kvv'!$B$1:$BX$1,0),FALSE)/1,0))</f>
        <v/>
      </c>
      <c r="T54" s="121" t="str">
        <f>IF($D54="","",IFERROR(VLOOKUP($B54,Kraftvärmeprod!$B$1:$BX$549,MATCH(T$2,Kraftvärmeprod!$B$1:$VX$1,0),FALSE)/1,0)-IFERROR(VLOOKUP($B54,'Slutlig allokering kvv'!$B$2:$BX$549,MATCH(T$2,'Slutlig allokering kvv'!$B$1:$BX$1,0),FALSE)/1,0))</f>
        <v/>
      </c>
      <c r="U54" s="121" t="str">
        <f>IF($D54="","",IFERROR(VLOOKUP($B54,Kraftvärmeprod!$B$1:$BX$549,MATCH(U$2,Kraftvärmeprod!$B$1:$VX$1,0),FALSE)/1,0)-IFERROR(VLOOKUP($B54,'Slutlig allokering kvv'!$B$2:$BX$549,MATCH(U$2,'Slutlig allokering kvv'!$B$1:$BX$1,0),FALSE)/1,0))</f>
        <v/>
      </c>
      <c r="V54" s="121" t="str">
        <f>IF($D54="","",IFERROR(VLOOKUP($B54,Kraftvärmeprod!$B$1:$BX$549,MATCH(V$2,Kraftvärmeprod!$B$1:$VX$1,0),FALSE)/1,0)-IFERROR(VLOOKUP($B54,'Slutlig allokering kvv'!$B$2:$BX$549,MATCH(V$2,'Slutlig allokering kvv'!$B$1:$BX$1,0),FALSE)/1,0))</f>
        <v/>
      </c>
      <c r="W54" s="121" t="str">
        <f>IF($D54="","",IFERROR(VLOOKUP($B54,Kraftvärmeprod!$B$1:$BX$549,MATCH(W$2,Kraftvärmeprod!$B$1:$VX$1,0),FALSE)/1,0)-IFERROR(VLOOKUP($B54,'Slutlig allokering kvv'!$B$2:$BX$549,MATCH(W$2,'Slutlig allokering kvv'!$B$1:$BX$1,0),FALSE)/1,0))</f>
        <v/>
      </c>
      <c r="X54" s="121" t="str">
        <f>IF($D54="","",IFERROR(VLOOKUP($B54,Kraftvärmeprod!$B$1:$BX$549,MATCH(X$2,Kraftvärmeprod!$B$1:$VX$1,0),FALSE)/1,0)-IFERROR(VLOOKUP($B54,'Slutlig allokering kvv'!$B$2:$BX$549,MATCH(X$2,'Slutlig allokering kvv'!$B$1:$BX$1,0),FALSE)/1,0))</f>
        <v/>
      </c>
      <c r="Y54" s="121" t="str">
        <f>IF($D54="","",IFERROR(VLOOKUP($B54,Kraftvärmeprod!$B$1:$BX$549,MATCH(Y$2,Kraftvärmeprod!$B$1:$VX$1,0),FALSE)/1,0)-IFERROR(VLOOKUP($B54,'Slutlig allokering kvv'!$B$2:$BX$549,MATCH(Y$2,'Slutlig allokering kvv'!$B$1:$BX$1,0),FALSE)/1,0))</f>
        <v/>
      </c>
      <c r="Z54" s="121" t="str">
        <f>IF($D54="","",IFERROR(VLOOKUP($B54,Kraftvärmeprod!$B$1:$BX$549,MATCH(Z$2,Kraftvärmeprod!$B$1:$VX$1,0),FALSE)/1,0)-IFERROR(VLOOKUP($B54,'Slutlig allokering kvv'!$B$2:$BX$549,MATCH(Z$2,'Slutlig allokering kvv'!$B$1:$BX$1,0),FALSE)/1,0))</f>
        <v/>
      </c>
      <c r="AA54" s="121" t="str">
        <f>IF($D54="","",IFERROR(VLOOKUP($B54,Kraftvärmeprod!$B$1:$BX$549,MATCH(AA$2,Kraftvärmeprod!$B$1:$VX$1,0),FALSE)/1,0)-IFERROR(VLOOKUP($B54,'Slutlig allokering kvv'!$B$2:$BX$549,MATCH(AA$2,'Slutlig allokering kvv'!$B$1:$BX$1,0),FALSE)/1,0))</f>
        <v/>
      </c>
      <c r="AB54" s="121" t="str">
        <f>IF($D54="","",IFERROR(VLOOKUP($B54,Kraftvärmeprod!$B$1:$BX$549,MATCH(AB$2,Kraftvärmeprod!$B$1:$VX$1,0),FALSE)/1,0)-IFERROR(VLOOKUP($B54,'Slutlig allokering kvv'!$B$2:$BX$549,MATCH(AB$2,'Slutlig allokering kvv'!$B$1:$BX$1,0),FALSE)/1,0))</f>
        <v/>
      </c>
      <c r="AC54" s="121" t="str">
        <f>IF($D54="","",IFERROR(VLOOKUP($B54,Kraftvärmeprod!$B$1:$BX$549,MATCH(AC$2,Kraftvärmeprod!$B$1:$VX$1,0),FALSE)/1,0)-IFERROR(VLOOKUP($B54,'Slutlig allokering kvv'!$B$2:$BX$549,MATCH(AC$2,'Slutlig allokering kvv'!$B$1:$BX$1,0),FALSE)/1,0))</f>
        <v/>
      </c>
      <c r="AD54" s="121" t="str">
        <f>IF($D54="","",IFERROR(VLOOKUP($B54,Kraftvärmeprod!$B$1:$BX$549,MATCH(AD$2,Kraftvärmeprod!$B$1:$VX$1,0),FALSE)/1,0)-IFERROR(VLOOKUP($B54,'Slutlig allokering kvv'!$B$2:$BX$549,MATCH(AD$2,'Slutlig allokering kvv'!$B$1:$BX$1,0),FALSE)/1,0))</f>
        <v/>
      </c>
      <c r="AE54" s="121" t="str">
        <f>IF($D54="","",IFERROR(VLOOKUP($B54,Miljö!$B$1:$E$550,MATCH("Hjälpel kraftvärme (GWh)",Miljö!$B$1:$E$1,0),FALSE)/1,0)-IFERROR(VLOOKUP($B54,'Slutlig allokering kvv'!$B$2:$BX$549,MATCH(AE$2,'Slutlig allokering kvv'!$B$1:$BX$1,0),FALSE)/1,0))</f>
        <v/>
      </c>
      <c r="AI54" s="121">
        <f t="shared" si="0"/>
        <v>0</v>
      </c>
      <c r="AK54" s="121">
        <f>IFERROR(VLOOKUP($B54,'Slutlig allokering kvv'!$B$2:$AX$549,MATCH("Summa slutlig allokerad tillförd energi (utan hjälpel och rökgaskondensering):",'Slutlig allokering kvv'!$B$1:$AX$1,0),FALSE)/1,"")</f>
        <v>0</v>
      </c>
      <c r="AM54" s="172" t="str">
        <f>IFERROR(1-VLOOKUP($B54,'Slutlig allokering kvv'!$B$2:$AX$549,MATCH("Andel av bränsle i kvv som allokerats till värme, exklusive rökgaskondensering och hjälpel",'Slutlig allokering kvv'!$B$1:$AX$1,0),FALSE),"")</f>
        <v/>
      </c>
      <c r="AO54" s="172" t="str">
        <f t="shared" si="1"/>
        <v/>
      </c>
      <c r="AP54" s="173" t="str">
        <f t="shared" si="2"/>
        <v/>
      </c>
      <c r="AR54" s="172" t="str">
        <f t="shared" si="3"/>
        <v/>
      </c>
    </row>
    <row r="55" spans="1:44" x14ac:dyDescent="0.25">
      <c r="A55" s="171" t="str">
        <f>'Miljövärden för publ företag'!B57</f>
        <v>E.ON Värme Sverige AB</v>
      </c>
      <c r="B55" s="171" t="str">
        <f>'Miljövärden för publ företag'!C57</f>
        <v>Bålsta</v>
      </c>
      <c r="C55" s="121" t="str">
        <f>IFERROR(VLOOKUP($B55,Kraftvärmeprod!$B$1:$AH$478,MATCH(C$2,Kraftvärmeprod!$B$1:$AG$1,0),FALSE)/1,"")</f>
        <v/>
      </c>
      <c r="D55" s="121" t="str">
        <f>IFERROR(VLOOKUP($B55,Kraftvärmeprod!$B$1:$AH$478,MATCH(D$2,Kraftvärmeprod!$B$1:$AG$1,0),FALSE)/1,"")</f>
        <v/>
      </c>
      <c r="F55" s="121" t="str">
        <f>IF($D55="","",IFERROR(VLOOKUP($B55,Kraftvärmeprod!$B$1:$BX$549,MATCH(F$2,Kraftvärmeprod!$B$1:$VX$1,0),FALSE)/1,0)-IFERROR(VLOOKUP($B55,'Slutlig allokering kvv'!$B$2:$BX$549,MATCH(F$2,'Slutlig allokering kvv'!$B$1:$BX$1,0),FALSE)/1,0))</f>
        <v/>
      </c>
      <c r="G55" s="121" t="str">
        <f>IF($D55="","",IFERROR(VLOOKUP($B55,Kraftvärmeprod!$B$1:$BX$549,MATCH(G$2,Kraftvärmeprod!$B$1:$VX$1,0),FALSE)/1,0)-IFERROR(VLOOKUP($B55,'Slutlig allokering kvv'!$B$2:$BX$549,MATCH(G$2,'Slutlig allokering kvv'!$B$1:$BX$1,0),FALSE)/1,0))</f>
        <v/>
      </c>
      <c r="H55" s="121" t="str">
        <f>IF($D55="","",IFERROR(VLOOKUP($B55,Kraftvärmeprod!$B$1:$BX$549,MATCH(H$2,Kraftvärmeprod!$B$1:$VX$1,0),FALSE)/1,0)-IFERROR(VLOOKUP($B55,'Slutlig allokering kvv'!$B$2:$BX$549,MATCH(H$2,'Slutlig allokering kvv'!$B$1:$BX$1,0),FALSE)/1,0))</f>
        <v/>
      </c>
      <c r="I55" s="121" t="str">
        <f>IF($D55="","",IFERROR(VLOOKUP($B55,Kraftvärmeprod!$B$1:$BX$549,MATCH(I$2,Kraftvärmeprod!$B$1:$VX$1,0),FALSE)/1,0)-IFERROR(VLOOKUP($B55,'Slutlig allokering kvv'!$B$2:$BX$549,MATCH(I$2,'Slutlig allokering kvv'!$B$1:$BX$1,0),FALSE)/1,0))</f>
        <v/>
      </c>
      <c r="J55" s="121" t="str">
        <f>IF($D55="","",IFERROR(VLOOKUP($B55,Kraftvärmeprod!$B$1:$BX$549,MATCH(J$2,Kraftvärmeprod!$B$1:$VX$1,0),FALSE)/1,0)-IFERROR(VLOOKUP($B55,'Slutlig allokering kvv'!$B$2:$BX$549,MATCH(J$2,'Slutlig allokering kvv'!$B$1:$BX$1,0),FALSE)/1,0))</f>
        <v/>
      </c>
      <c r="K55" s="121" t="str">
        <f>IF($D55="","",IFERROR(VLOOKUP($B55,Kraftvärmeprod!$B$1:$BX$549,MATCH(K$2,Kraftvärmeprod!$B$1:$VX$1,0),FALSE)/1,0)-IFERROR(VLOOKUP($B55,'Slutlig allokering kvv'!$B$2:$BX$549,MATCH(K$2,'Slutlig allokering kvv'!$B$1:$BX$1,0),FALSE)/1,0))</f>
        <v/>
      </c>
      <c r="L55" s="121" t="str">
        <f>IF($D55="","",IFERROR(VLOOKUP($B55,Kraftvärmeprod!$B$1:$BX$549,MATCH(L$2,Kraftvärmeprod!$B$1:$VX$1,0),FALSE)/1,0)-IFERROR(VLOOKUP($B55,'Slutlig allokering kvv'!$B$2:$BX$549,MATCH(L$2,'Slutlig allokering kvv'!$B$1:$BX$1,0),FALSE)/1,0))</f>
        <v/>
      </c>
      <c r="M55" s="121" t="str">
        <f>IF($D55="","",IFERROR(VLOOKUP($B55,Kraftvärmeprod!$B$1:$BX$549,MATCH(M$2,Kraftvärmeprod!$B$1:$VX$1,0),FALSE)/1,0)-IFERROR(VLOOKUP($B55,'Slutlig allokering kvv'!$B$2:$BX$549,MATCH(M$2,'Slutlig allokering kvv'!$B$1:$BX$1,0),FALSE)/1,0))</f>
        <v/>
      </c>
      <c r="N55" s="121" t="str">
        <f>IF($D55="","",IFERROR(VLOOKUP($B55,Kraftvärmeprod!$B$1:$BX$549,MATCH(N$2,Kraftvärmeprod!$B$1:$VX$1,0),FALSE)/1,0)-IFERROR(VLOOKUP($B55,'Slutlig allokering kvv'!$B$2:$BX$549,MATCH(N$2,'Slutlig allokering kvv'!$B$1:$BX$1,0),FALSE)/1,0))</f>
        <v/>
      </c>
      <c r="O55" s="121" t="str">
        <f>IF($D55="","",IFERROR(VLOOKUP($B55,Kraftvärmeprod!$B$1:$BX$549,MATCH(O$2,Kraftvärmeprod!$B$1:$VX$1,0),FALSE)/1,0)-IFERROR(VLOOKUP($B55,'Slutlig allokering kvv'!$B$2:$BX$549,MATCH(O$2,'Slutlig allokering kvv'!$B$1:$BX$1,0),FALSE)/1,0))</f>
        <v/>
      </c>
      <c r="P55" s="121" t="str">
        <f>IF($D55="","",IFERROR(VLOOKUP($B55,Kraftvärmeprod!$B$1:$BX$549,MATCH(P$2,Kraftvärmeprod!$B$1:$VX$1,0),FALSE)/1,0)-IFERROR(VLOOKUP($B55,'Slutlig allokering kvv'!$B$2:$BX$549,MATCH(P$2,'Slutlig allokering kvv'!$B$1:$BX$1,0),FALSE)/1,0))</f>
        <v/>
      </c>
      <c r="Q55" s="121" t="str">
        <f>IF($D55="","",IFERROR(VLOOKUP($B55,Kraftvärmeprod!$B$1:$BX$549,MATCH(Q$2,Kraftvärmeprod!$B$1:$VX$1,0),FALSE)/1,0)-IFERROR(VLOOKUP($B55,'Slutlig allokering kvv'!$B$2:$BX$549,MATCH(Q$2,'Slutlig allokering kvv'!$B$1:$BX$1,0),FALSE)/1,0))</f>
        <v/>
      </c>
      <c r="R55" s="121" t="str">
        <f>IF($D55="","",IFERROR(VLOOKUP($B55,Kraftvärmeprod!$B$1:$BX$549,MATCH(R$2,Kraftvärmeprod!$B$1:$VX$1,0),FALSE)/1,0)-IFERROR(VLOOKUP($B55,'Slutlig allokering kvv'!$B$2:$BX$549,MATCH(R$2,'Slutlig allokering kvv'!$B$1:$BX$1,0),FALSE)/1,0))</f>
        <v/>
      </c>
      <c r="S55" s="121" t="str">
        <f>IF($D55="","",IFERROR(VLOOKUP($B55,Kraftvärmeprod!$B$1:$BX$549,MATCH(S$2,Kraftvärmeprod!$B$1:$VX$1,0),FALSE)/1,0)-IFERROR(VLOOKUP($B55,'Slutlig allokering kvv'!$B$2:$BX$549,MATCH(S$2,'Slutlig allokering kvv'!$B$1:$BX$1,0),FALSE)/1,0))</f>
        <v/>
      </c>
      <c r="T55" s="121" t="str">
        <f>IF($D55="","",IFERROR(VLOOKUP($B55,Kraftvärmeprod!$B$1:$BX$549,MATCH(T$2,Kraftvärmeprod!$B$1:$VX$1,0),FALSE)/1,0)-IFERROR(VLOOKUP($B55,'Slutlig allokering kvv'!$B$2:$BX$549,MATCH(T$2,'Slutlig allokering kvv'!$B$1:$BX$1,0),FALSE)/1,0))</f>
        <v/>
      </c>
      <c r="U55" s="121" t="str">
        <f>IF($D55="","",IFERROR(VLOOKUP($B55,Kraftvärmeprod!$B$1:$BX$549,MATCH(U$2,Kraftvärmeprod!$B$1:$VX$1,0),FALSE)/1,0)-IFERROR(VLOOKUP($B55,'Slutlig allokering kvv'!$B$2:$BX$549,MATCH(U$2,'Slutlig allokering kvv'!$B$1:$BX$1,0),FALSE)/1,0))</f>
        <v/>
      </c>
      <c r="V55" s="121" t="str">
        <f>IF($D55="","",IFERROR(VLOOKUP($B55,Kraftvärmeprod!$B$1:$BX$549,MATCH(V$2,Kraftvärmeprod!$B$1:$VX$1,0),FALSE)/1,0)-IFERROR(VLOOKUP($B55,'Slutlig allokering kvv'!$B$2:$BX$549,MATCH(V$2,'Slutlig allokering kvv'!$B$1:$BX$1,0),FALSE)/1,0))</f>
        <v/>
      </c>
      <c r="W55" s="121" t="str">
        <f>IF($D55="","",IFERROR(VLOOKUP($B55,Kraftvärmeprod!$B$1:$BX$549,MATCH(W$2,Kraftvärmeprod!$B$1:$VX$1,0),FALSE)/1,0)-IFERROR(VLOOKUP($B55,'Slutlig allokering kvv'!$B$2:$BX$549,MATCH(W$2,'Slutlig allokering kvv'!$B$1:$BX$1,0),FALSE)/1,0))</f>
        <v/>
      </c>
      <c r="X55" s="121" t="str">
        <f>IF($D55="","",IFERROR(VLOOKUP($B55,Kraftvärmeprod!$B$1:$BX$549,MATCH(X$2,Kraftvärmeprod!$B$1:$VX$1,0),FALSE)/1,0)-IFERROR(VLOOKUP($B55,'Slutlig allokering kvv'!$B$2:$BX$549,MATCH(X$2,'Slutlig allokering kvv'!$B$1:$BX$1,0),FALSE)/1,0))</f>
        <v/>
      </c>
      <c r="Y55" s="121" t="str">
        <f>IF($D55="","",IFERROR(VLOOKUP($B55,Kraftvärmeprod!$B$1:$BX$549,MATCH(Y$2,Kraftvärmeprod!$B$1:$VX$1,0),FALSE)/1,0)-IFERROR(VLOOKUP($B55,'Slutlig allokering kvv'!$B$2:$BX$549,MATCH(Y$2,'Slutlig allokering kvv'!$B$1:$BX$1,0),FALSE)/1,0))</f>
        <v/>
      </c>
      <c r="Z55" s="121" t="str">
        <f>IF($D55="","",IFERROR(VLOOKUP($B55,Kraftvärmeprod!$B$1:$BX$549,MATCH(Z$2,Kraftvärmeprod!$B$1:$VX$1,0),FALSE)/1,0)-IFERROR(VLOOKUP($B55,'Slutlig allokering kvv'!$B$2:$BX$549,MATCH(Z$2,'Slutlig allokering kvv'!$B$1:$BX$1,0),FALSE)/1,0))</f>
        <v/>
      </c>
      <c r="AA55" s="121" t="str">
        <f>IF($D55="","",IFERROR(VLOOKUP($B55,Kraftvärmeprod!$B$1:$BX$549,MATCH(AA$2,Kraftvärmeprod!$B$1:$VX$1,0),FALSE)/1,0)-IFERROR(VLOOKUP($B55,'Slutlig allokering kvv'!$B$2:$BX$549,MATCH(AA$2,'Slutlig allokering kvv'!$B$1:$BX$1,0),FALSE)/1,0))</f>
        <v/>
      </c>
      <c r="AB55" s="121" t="str">
        <f>IF($D55="","",IFERROR(VLOOKUP($B55,Kraftvärmeprod!$B$1:$BX$549,MATCH(AB$2,Kraftvärmeprod!$B$1:$VX$1,0),FALSE)/1,0)-IFERROR(VLOOKUP($B55,'Slutlig allokering kvv'!$B$2:$BX$549,MATCH(AB$2,'Slutlig allokering kvv'!$B$1:$BX$1,0),FALSE)/1,0))</f>
        <v/>
      </c>
      <c r="AC55" s="121" t="str">
        <f>IF($D55="","",IFERROR(VLOOKUP($B55,Kraftvärmeprod!$B$1:$BX$549,MATCH(AC$2,Kraftvärmeprod!$B$1:$VX$1,0),FALSE)/1,0)-IFERROR(VLOOKUP($B55,'Slutlig allokering kvv'!$B$2:$BX$549,MATCH(AC$2,'Slutlig allokering kvv'!$B$1:$BX$1,0),FALSE)/1,0))</f>
        <v/>
      </c>
      <c r="AD55" s="121" t="str">
        <f>IF($D55="","",IFERROR(VLOOKUP($B55,Kraftvärmeprod!$B$1:$BX$549,MATCH(AD$2,Kraftvärmeprod!$B$1:$VX$1,0),FALSE)/1,0)-IFERROR(VLOOKUP($B55,'Slutlig allokering kvv'!$B$2:$BX$549,MATCH(AD$2,'Slutlig allokering kvv'!$B$1:$BX$1,0),FALSE)/1,0))</f>
        <v/>
      </c>
      <c r="AE55" s="121" t="str">
        <f>IF($D55="","",IFERROR(VLOOKUP($B55,Miljö!$B$1:$E$550,MATCH("Hjälpel kraftvärme (GWh)",Miljö!$B$1:$E$1,0),FALSE)/1,0)-IFERROR(VLOOKUP($B55,'Slutlig allokering kvv'!$B$2:$BX$549,MATCH(AE$2,'Slutlig allokering kvv'!$B$1:$BX$1,0),FALSE)/1,0))</f>
        <v/>
      </c>
      <c r="AI55" s="121">
        <f t="shared" si="0"/>
        <v>0</v>
      </c>
      <c r="AK55" s="121">
        <f>IFERROR(VLOOKUP($B55,'Slutlig allokering kvv'!$B$2:$AX$549,MATCH("Summa slutlig allokerad tillförd energi (utan hjälpel och rökgaskondensering):",'Slutlig allokering kvv'!$B$1:$AX$1,0),FALSE)/1,"")</f>
        <v>0</v>
      </c>
      <c r="AM55" s="172" t="str">
        <f>IFERROR(1-VLOOKUP($B55,'Slutlig allokering kvv'!$B$2:$AX$549,MATCH("Andel av bränsle i kvv som allokerats till värme, exklusive rökgaskondensering och hjälpel",'Slutlig allokering kvv'!$B$1:$AX$1,0),FALSE),"")</f>
        <v/>
      </c>
      <c r="AO55" s="172" t="str">
        <f t="shared" si="1"/>
        <v/>
      </c>
      <c r="AP55" s="173" t="str">
        <f t="shared" si="2"/>
        <v/>
      </c>
      <c r="AR55" s="172" t="str">
        <f t="shared" si="3"/>
        <v/>
      </c>
    </row>
    <row r="56" spans="1:44" x14ac:dyDescent="0.25">
      <c r="A56" s="171" t="str">
        <f>'Miljövärden för publ företag'!B58</f>
        <v>E.ON Värme Sverige AB</v>
      </c>
      <c r="B56" s="171" t="str">
        <f>'Miljövärden för publ företag'!C58</f>
        <v>Coop</v>
      </c>
      <c r="C56" s="121" t="str">
        <f>IFERROR(VLOOKUP($B56,Kraftvärmeprod!$B$1:$AH$478,MATCH(C$2,Kraftvärmeprod!$B$1:$AG$1,0),FALSE)/1,"")</f>
        <v/>
      </c>
      <c r="D56" s="121" t="str">
        <f>IFERROR(VLOOKUP($B56,Kraftvärmeprod!$B$1:$AH$478,MATCH(D$2,Kraftvärmeprod!$B$1:$AG$1,0),FALSE)/1,"")</f>
        <v/>
      </c>
      <c r="F56" s="121" t="str">
        <f>IF($D56="","",IFERROR(VLOOKUP($B56,Kraftvärmeprod!$B$1:$BX$549,MATCH(F$2,Kraftvärmeprod!$B$1:$VX$1,0),FALSE)/1,0)-IFERROR(VLOOKUP($B56,'Slutlig allokering kvv'!$B$2:$BX$549,MATCH(F$2,'Slutlig allokering kvv'!$B$1:$BX$1,0),FALSE)/1,0))</f>
        <v/>
      </c>
      <c r="G56" s="121" t="str">
        <f>IF($D56="","",IFERROR(VLOOKUP($B56,Kraftvärmeprod!$B$1:$BX$549,MATCH(G$2,Kraftvärmeprod!$B$1:$VX$1,0),FALSE)/1,0)-IFERROR(VLOOKUP($B56,'Slutlig allokering kvv'!$B$2:$BX$549,MATCH(G$2,'Slutlig allokering kvv'!$B$1:$BX$1,0),FALSE)/1,0))</f>
        <v/>
      </c>
      <c r="H56" s="121" t="str">
        <f>IF($D56="","",IFERROR(VLOOKUP($B56,Kraftvärmeprod!$B$1:$BX$549,MATCH(H$2,Kraftvärmeprod!$B$1:$VX$1,0),FALSE)/1,0)-IFERROR(VLOOKUP($B56,'Slutlig allokering kvv'!$B$2:$BX$549,MATCH(H$2,'Slutlig allokering kvv'!$B$1:$BX$1,0),FALSE)/1,0))</f>
        <v/>
      </c>
      <c r="I56" s="121" t="str">
        <f>IF($D56="","",IFERROR(VLOOKUP($B56,Kraftvärmeprod!$B$1:$BX$549,MATCH(I$2,Kraftvärmeprod!$B$1:$VX$1,0),FALSE)/1,0)-IFERROR(VLOOKUP($B56,'Slutlig allokering kvv'!$B$2:$BX$549,MATCH(I$2,'Slutlig allokering kvv'!$B$1:$BX$1,0),FALSE)/1,0))</f>
        <v/>
      </c>
      <c r="J56" s="121" t="str">
        <f>IF($D56="","",IFERROR(VLOOKUP($B56,Kraftvärmeprod!$B$1:$BX$549,MATCH(J$2,Kraftvärmeprod!$B$1:$VX$1,0),FALSE)/1,0)-IFERROR(VLOOKUP($B56,'Slutlig allokering kvv'!$B$2:$BX$549,MATCH(J$2,'Slutlig allokering kvv'!$B$1:$BX$1,0),FALSE)/1,0))</f>
        <v/>
      </c>
      <c r="K56" s="121" t="str">
        <f>IF($D56="","",IFERROR(VLOOKUP($B56,Kraftvärmeprod!$B$1:$BX$549,MATCH(K$2,Kraftvärmeprod!$B$1:$VX$1,0),FALSE)/1,0)-IFERROR(VLOOKUP($B56,'Slutlig allokering kvv'!$B$2:$BX$549,MATCH(K$2,'Slutlig allokering kvv'!$B$1:$BX$1,0),FALSE)/1,0))</f>
        <v/>
      </c>
      <c r="L56" s="121" t="str">
        <f>IF($D56="","",IFERROR(VLOOKUP($B56,Kraftvärmeprod!$B$1:$BX$549,MATCH(L$2,Kraftvärmeprod!$B$1:$VX$1,0),FALSE)/1,0)-IFERROR(VLOOKUP($B56,'Slutlig allokering kvv'!$B$2:$BX$549,MATCH(L$2,'Slutlig allokering kvv'!$B$1:$BX$1,0),FALSE)/1,0))</f>
        <v/>
      </c>
      <c r="M56" s="121" t="str">
        <f>IF($D56="","",IFERROR(VLOOKUP($B56,Kraftvärmeprod!$B$1:$BX$549,MATCH(M$2,Kraftvärmeprod!$B$1:$VX$1,0),FALSE)/1,0)-IFERROR(VLOOKUP($B56,'Slutlig allokering kvv'!$B$2:$BX$549,MATCH(M$2,'Slutlig allokering kvv'!$B$1:$BX$1,0),FALSE)/1,0))</f>
        <v/>
      </c>
      <c r="N56" s="121" t="str">
        <f>IF($D56="","",IFERROR(VLOOKUP($B56,Kraftvärmeprod!$B$1:$BX$549,MATCH(N$2,Kraftvärmeprod!$B$1:$VX$1,0),FALSE)/1,0)-IFERROR(VLOOKUP($B56,'Slutlig allokering kvv'!$B$2:$BX$549,MATCH(N$2,'Slutlig allokering kvv'!$B$1:$BX$1,0),FALSE)/1,0))</f>
        <v/>
      </c>
      <c r="O56" s="121" t="str">
        <f>IF($D56="","",IFERROR(VLOOKUP($B56,Kraftvärmeprod!$B$1:$BX$549,MATCH(O$2,Kraftvärmeprod!$B$1:$VX$1,0),FALSE)/1,0)-IFERROR(VLOOKUP($B56,'Slutlig allokering kvv'!$B$2:$BX$549,MATCH(O$2,'Slutlig allokering kvv'!$B$1:$BX$1,0),FALSE)/1,0))</f>
        <v/>
      </c>
      <c r="P56" s="121" t="str">
        <f>IF($D56="","",IFERROR(VLOOKUP($B56,Kraftvärmeprod!$B$1:$BX$549,MATCH(P$2,Kraftvärmeprod!$B$1:$VX$1,0),FALSE)/1,0)-IFERROR(VLOOKUP($B56,'Slutlig allokering kvv'!$B$2:$BX$549,MATCH(P$2,'Slutlig allokering kvv'!$B$1:$BX$1,0),FALSE)/1,0))</f>
        <v/>
      </c>
      <c r="Q56" s="121" t="str">
        <f>IF($D56="","",IFERROR(VLOOKUP($B56,Kraftvärmeprod!$B$1:$BX$549,MATCH(Q$2,Kraftvärmeprod!$B$1:$VX$1,0),FALSE)/1,0)-IFERROR(VLOOKUP($B56,'Slutlig allokering kvv'!$B$2:$BX$549,MATCH(Q$2,'Slutlig allokering kvv'!$B$1:$BX$1,0),FALSE)/1,0))</f>
        <v/>
      </c>
      <c r="R56" s="121" t="str">
        <f>IF($D56="","",IFERROR(VLOOKUP($B56,Kraftvärmeprod!$B$1:$BX$549,MATCH(R$2,Kraftvärmeprod!$B$1:$VX$1,0),FALSE)/1,0)-IFERROR(VLOOKUP($B56,'Slutlig allokering kvv'!$B$2:$BX$549,MATCH(R$2,'Slutlig allokering kvv'!$B$1:$BX$1,0),FALSE)/1,0))</f>
        <v/>
      </c>
      <c r="S56" s="121" t="str">
        <f>IF($D56="","",IFERROR(VLOOKUP($B56,Kraftvärmeprod!$B$1:$BX$549,MATCH(S$2,Kraftvärmeprod!$B$1:$VX$1,0),FALSE)/1,0)-IFERROR(VLOOKUP($B56,'Slutlig allokering kvv'!$B$2:$BX$549,MATCH(S$2,'Slutlig allokering kvv'!$B$1:$BX$1,0),FALSE)/1,0))</f>
        <v/>
      </c>
      <c r="T56" s="121" t="str">
        <f>IF($D56="","",IFERROR(VLOOKUP($B56,Kraftvärmeprod!$B$1:$BX$549,MATCH(T$2,Kraftvärmeprod!$B$1:$VX$1,0),FALSE)/1,0)-IFERROR(VLOOKUP($B56,'Slutlig allokering kvv'!$B$2:$BX$549,MATCH(T$2,'Slutlig allokering kvv'!$B$1:$BX$1,0),FALSE)/1,0))</f>
        <v/>
      </c>
      <c r="U56" s="121" t="str">
        <f>IF($D56="","",IFERROR(VLOOKUP($B56,Kraftvärmeprod!$B$1:$BX$549,MATCH(U$2,Kraftvärmeprod!$B$1:$VX$1,0),FALSE)/1,0)-IFERROR(VLOOKUP($B56,'Slutlig allokering kvv'!$B$2:$BX$549,MATCH(U$2,'Slutlig allokering kvv'!$B$1:$BX$1,0),FALSE)/1,0))</f>
        <v/>
      </c>
      <c r="V56" s="121" t="str">
        <f>IF($D56="","",IFERROR(VLOOKUP($B56,Kraftvärmeprod!$B$1:$BX$549,MATCH(V$2,Kraftvärmeprod!$B$1:$VX$1,0),FALSE)/1,0)-IFERROR(VLOOKUP($B56,'Slutlig allokering kvv'!$B$2:$BX$549,MATCH(V$2,'Slutlig allokering kvv'!$B$1:$BX$1,0),FALSE)/1,0))</f>
        <v/>
      </c>
      <c r="W56" s="121" t="str">
        <f>IF($D56="","",IFERROR(VLOOKUP($B56,Kraftvärmeprod!$B$1:$BX$549,MATCH(W$2,Kraftvärmeprod!$B$1:$VX$1,0),FALSE)/1,0)-IFERROR(VLOOKUP($B56,'Slutlig allokering kvv'!$B$2:$BX$549,MATCH(W$2,'Slutlig allokering kvv'!$B$1:$BX$1,0),FALSE)/1,0))</f>
        <v/>
      </c>
      <c r="X56" s="121" t="str">
        <f>IF($D56="","",IFERROR(VLOOKUP($B56,Kraftvärmeprod!$B$1:$BX$549,MATCH(X$2,Kraftvärmeprod!$B$1:$VX$1,0),FALSE)/1,0)-IFERROR(VLOOKUP($B56,'Slutlig allokering kvv'!$B$2:$BX$549,MATCH(X$2,'Slutlig allokering kvv'!$B$1:$BX$1,0),FALSE)/1,0))</f>
        <v/>
      </c>
      <c r="Y56" s="121" t="str">
        <f>IF($D56="","",IFERROR(VLOOKUP($B56,Kraftvärmeprod!$B$1:$BX$549,MATCH(Y$2,Kraftvärmeprod!$B$1:$VX$1,0),FALSE)/1,0)-IFERROR(VLOOKUP($B56,'Slutlig allokering kvv'!$B$2:$BX$549,MATCH(Y$2,'Slutlig allokering kvv'!$B$1:$BX$1,0),FALSE)/1,0))</f>
        <v/>
      </c>
      <c r="Z56" s="121" t="str">
        <f>IF($D56="","",IFERROR(VLOOKUP($B56,Kraftvärmeprod!$B$1:$BX$549,MATCH(Z$2,Kraftvärmeprod!$B$1:$VX$1,0),FALSE)/1,0)-IFERROR(VLOOKUP($B56,'Slutlig allokering kvv'!$B$2:$BX$549,MATCH(Z$2,'Slutlig allokering kvv'!$B$1:$BX$1,0),FALSE)/1,0))</f>
        <v/>
      </c>
      <c r="AA56" s="121" t="str">
        <f>IF($D56="","",IFERROR(VLOOKUP($B56,Kraftvärmeprod!$B$1:$BX$549,MATCH(AA$2,Kraftvärmeprod!$B$1:$VX$1,0),FALSE)/1,0)-IFERROR(VLOOKUP($B56,'Slutlig allokering kvv'!$B$2:$BX$549,MATCH(AA$2,'Slutlig allokering kvv'!$B$1:$BX$1,0),FALSE)/1,0))</f>
        <v/>
      </c>
      <c r="AB56" s="121" t="str">
        <f>IF($D56="","",IFERROR(VLOOKUP($B56,Kraftvärmeprod!$B$1:$BX$549,MATCH(AB$2,Kraftvärmeprod!$B$1:$VX$1,0),FALSE)/1,0)-IFERROR(VLOOKUP($B56,'Slutlig allokering kvv'!$B$2:$BX$549,MATCH(AB$2,'Slutlig allokering kvv'!$B$1:$BX$1,0),FALSE)/1,0))</f>
        <v/>
      </c>
      <c r="AC56" s="121" t="str">
        <f>IF($D56="","",IFERROR(VLOOKUP($B56,Kraftvärmeprod!$B$1:$BX$549,MATCH(AC$2,Kraftvärmeprod!$B$1:$VX$1,0),FALSE)/1,0)-IFERROR(VLOOKUP($B56,'Slutlig allokering kvv'!$B$2:$BX$549,MATCH(AC$2,'Slutlig allokering kvv'!$B$1:$BX$1,0),FALSE)/1,0))</f>
        <v/>
      </c>
      <c r="AD56" s="121" t="str">
        <f>IF($D56="","",IFERROR(VLOOKUP($B56,Kraftvärmeprod!$B$1:$BX$549,MATCH(AD$2,Kraftvärmeprod!$B$1:$VX$1,0),FALSE)/1,0)-IFERROR(VLOOKUP($B56,'Slutlig allokering kvv'!$B$2:$BX$549,MATCH(AD$2,'Slutlig allokering kvv'!$B$1:$BX$1,0),FALSE)/1,0))</f>
        <v/>
      </c>
      <c r="AE56" s="121" t="str">
        <f>IF($D56="","",IFERROR(VLOOKUP($B56,Miljö!$B$1:$E$550,MATCH("Hjälpel kraftvärme (GWh)",Miljö!$B$1:$E$1,0),FALSE)/1,0)-IFERROR(VLOOKUP($B56,'Slutlig allokering kvv'!$B$2:$BX$549,MATCH(AE$2,'Slutlig allokering kvv'!$B$1:$BX$1,0),FALSE)/1,0))</f>
        <v/>
      </c>
      <c r="AI56" s="121">
        <f t="shared" si="0"/>
        <v>0</v>
      </c>
      <c r="AK56" s="121">
        <f>IFERROR(VLOOKUP($B56,'Slutlig allokering kvv'!$B$2:$AX$549,MATCH("Summa slutlig allokerad tillförd energi (utan hjälpel och rökgaskondensering):",'Slutlig allokering kvv'!$B$1:$AX$1,0),FALSE)/1,"")</f>
        <v>0</v>
      </c>
      <c r="AM56" s="172" t="str">
        <f>IFERROR(1-VLOOKUP($B56,'Slutlig allokering kvv'!$B$2:$AX$549,MATCH("Andel av bränsle i kvv som allokerats till värme, exklusive rökgaskondensering och hjälpel",'Slutlig allokering kvv'!$B$1:$AX$1,0),FALSE),"")</f>
        <v/>
      </c>
      <c r="AO56" s="172" t="str">
        <f t="shared" si="1"/>
        <v/>
      </c>
      <c r="AP56" s="173" t="str">
        <f t="shared" si="2"/>
        <v/>
      </c>
      <c r="AR56" s="172" t="str">
        <f t="shared" si="3"/>
        <v/>
      </c>
    </row>
    <row r="57" spans="1:44" x14ac:dyDescent="0.25">
      <c r="A57" s="171" t="str">
        <f>'Miljövärden för publ företag'!B59</f>
        <v>E.ON Värme Sverige AB</v>
      </c>
      <c r="B57" s="171" t="str">
        <f>'Miljövärden för publ företag'!C59</f>
        <v>HÖK</v>
      </c>
      <c r="C57" s="121">
        <f>IFERROR(VLOOKUP($B57,Kraftvärmeprod!$B$1:$AH$478,MATCH(C$2,Kraftvärmeprod!$B$1:$AG$1,0),FALSE)/1,"")</f>
        <v>638</v>
      </c>
      <c r="D57" s="121">
        <f>IFERROR(VLOOKUP($B57,Kraftvärmeprod!$B$1:$AH$478,MATCH(D$2,Kraftvärmeprod!$B$1:$AG$1,0),FALSE)/1,"")</f>
        <v>222</v>
      </c>
      <c r="F57" s="121">
        <f>IF($D57="","",IFERROR(VLOOKUP($B57,Kraftvärmeprod!$B$1:$BX$549,MATCH(F$2,Kraftvärmeprod!$B$1:$VX$1,0),FALSE)/1,0)-IFERROR(VLOOKUP($B57,'Slutlig allokering kvv'!$B$2:$BX$549,MATCH(F$2,'Slutlig allokering kvv'!$B$1:$BX$1,0),FALSE)/1,0))</f>
        <v>3.4879899999999999</v>
      </c>
      <c r="G57" s="121">
        <f>IF($D57="","",IFERROR(VLOOKUP($B57,Kraftvärmeprod!$B$1:$BX$549,MATCH(G$2,Kraftvärmeprod!$B$1:$VX$1,0),FALSE)/1,0)-IFERROR(VLOOKUP($B57,'Slutlig allokering kvv'!$B$2:$BX$549,MATCH(G$2,'Slutlig allokering kvv'!$B$1:$BX$1,0),FALSE)/1,0))</f>
        <v>0.41308800000000001</v>
      </c>
      <c r="H57" s="121">
        <f>IF($D57="","",IFERROR(VLOOKUP($B57,Kraftvärmeprod!$B$1:$BX$549,MATCH(H$2,Kraftvärmeprod!$B$1:$VX$1,0),FALSE)/1,0)-IFERROR(VLOOKUP($B57,'Slutlig allokering kvv'!$B$2:$BX$549,MATCH(H$2,'Slutlig allokering kvv'!$B$1:$BX$1,0),FALSE)/1,0))</f>
        <v>0</v>
      </c>
      <c r="I57" s="121">
        <f>IF($D57="","",IFERROR(VLOOKUP($B57,Kraftvärmeprod!$B$1:$BX$549,MATCH(I$2,Kraftvärmeprod!$B$1:$VX$1,0),FALSE)/1,0)-IFERROR(VLOOKUP($B57,'Slutlig allokering kvv'!$B$2:$BX$549,MATCH(I$2,'Slutlig allokering kvv'!$B$1:$BX$1,0),FALSE)/1,0))</f>
        <v>9.0878999999999994</v>
      </c>
      <c r="J57" s="121">
        <f>IF($D57="","",IFERROR(VLOOKUP($B57,Kraftvärmeprod!$B$1:$BX$549,MATCH(J$2,Kraftvärmeprod!$B$1:$VX$1,0),FALSE)/1,0)-IFERROR(VLOOKUP($B57,'Slutlig allokering kvv'!$B$2:$BX$549,MATCH(J$2,'Slutlig allokering kvv'!$B$1:$BX$1,0),FALSE)/1,0))</f>
        <v>0</v>
      </c>
      <c r="K57" s="121">
        <f>IF($D57="","",IFERROR(VLOOKUP($B57,Kraftvärmeprod!$B$1:$BX$549,MATCH(K$2,Kraftvärmeprod!$B$1:$VX$1,0),FALSE)/1,0)-IFERROR(VLOOKUP($B57,'Slutlig allokering kvv'!$B$2:$BX$549,MATCH(K$2,'Slutlig allokering kvv'!$B$1:$BX$1,0),FALSE)/1,0))</f>
        <v>0</v>
      </c>
      <c r="L57" s="121">
        <f>IF($D57="","",IFERROR(VLOOKUP($B57,Kraftvärmeprod!$B$1:$BX$549,MATCH(L$2,Kraftvärmeprod!$B$1:$VX$1,0),FALSE)/1,0)-IFERROR(VLOOKUP($B57,'Slutlig allokering kvv'!$B$2:$BX$549,MATCH(L$2,'Slutlig allokering kvv'!$B$1:$BX$1,0),FALSE)/1,0))</f>
        <v>98.441999999999993</v>
      </c>
      <c r="M57" s="121">
        <f>IF($D57="","",IFERROR(VLOOKUP($B57,Kraftvärmeprod!$B$1:$BX$549,MATCH(M$2,Kraftvärmeprod!$B$1:$VX$1,0),FALSE)/1,0)-IFERROR(VLOOKUP($B57,'Slutlig allokering kvv'!$B$2:$BX$549,MATCH(M$2,'Slutlig allokering kvv'!$B$1:$BX$1,0),FALSE)/1,0))</f>
        <v>45.178600000000003</v>
      </c>
      <c r="N57" s="121">
        <f>IF($D57="","",IFERROR(VLOOKUP($B57,Kraftvärmeprod!$B$1:$BX$549,MATCH(N$2,Kraftvärmeprod!$B$1:$VX$1,0),FALSE)/1,0)-IFERROR(VLOOKUP($B57,'Slutlig allokering kvv'!$B$2:$BX$549,MATCH(N$2,'Slutlig allokering kvv'!$B$1:$BX$1,0),FALSE)/1,0))</f>
        <v>110.806</v>
      </c>
      <c r="O57" s="121">
        <f>IF($D57="","",IFERROR(VLOOKUP($B57,Kraftvärmeprod!$B$1:$BX$549,MATCH(O$2,Kraftvärmeprod!$B$1:$VX$1,0),FALSE)/1,0)-IFERROR(VLOOKUP($B57,'Slutlig allokering kvv'!$B$2:$BX$549,MATCH(O$2,'Slutlig allokering kvv'!$B$1:$BX$1,0),FALSE)/1,0))</f>
        <v>98.917000000000002</v>
      </c>
      <c r="P57" s="121">
        <f>IF($D57="","",IFERROR(VLOOKUP($B57,Kraftvärmeprod!$B$1:$BX$549,MATCH(P$2,Kraftvärmeprod!$B$1:$VX$1,0),FALSE)/1,0)-IFERROR(VLOOKUP($B57,'Slutlig allokering kvv'!$B$2:$BX$549,MATCH(P$2,'Slutlig allokering kvv'!$B$1:$BX$1,0),FALSE)/1,0))</f>
        <v>14.2249</v>
      </c>
      <c r="Q57" s="121">
        <f>IF($D57="","",IFERROR(VLOOKUP($B57,Kraftvärmeprod!$B$1:$BX$549,MATCH(Q$2,Kraftvärmeprod!$B$1:$VX$1,0),FALSE)/1,0)-IFERROR(VLOOKUP($B57,'Slutlig allokering kvv'!$B$2:$BX$549,MATCH(Q$2,'Slutlig allokering kvv'!$B$1:$BX$1,0),FALSE)/1,0))</f>
        <v>65.152299999999997</v>
      </c>
      <c r="R57" s="121">
        <f>IF($D57="","",IFERROR(VLOOKUP($B57,Kraftvärmeprod!$B$1:$BX$549,MATCH(R$2,Kraftvärmeprod!$B$1:$VX$1,0),FALSE)/1,0)-IFERROR(VLOOKUP($B57,'Slutlig allokering kvv'!$B$2:$BX$549,MATCH(R$2,'Slutlig allokering kvv'!$B$1:$BX$1,0),FALSE)/1,0))</f>
        <v>0</v>
      </c>
      <c r="S57" s="121">
        <f>IF($D57="","",IFERROR(VLOOKUP($B57,Kraftvärmeprod!$B$1:$BX$549,MATCH(S$2,Kraftvärmeprod!$B$1:$VX$1,0),FALSE)/1,0)-IFERROR(VLOOKUP($B57,'Slutlig allokering kvv'!$B$2:$BX$549,MATCH(S$2,'Slutlig allokering kvv'!$B$1:$BX$1,0),FALSE)/1,0))</f>
        <v>0</v>
      </c>
      <c r="T57" s="121">
        <f>IF($D57="","",IFERROR(VLOOKUP($B57,Kraftvärmeprod!$B$1:$BX$549,MATCH(T$2,Kraftvärmeprod!$B$1:$VX$1,0),FALSE)/1,0)-IFERROR(VLOOKUP($B57,'Slutlig allokering kvv'!$B$2:$BX$549,MATCH(T$2,'Slutlig allokering kvv'!$B$1:$BX$1,0),FALSE)/1,0))</f>
        <v>0</v>
      </c>
      <c r="U57" s="121">
        <f>IF($D57="","",IFERROR(VLOOKUP($B57,Kraftvärmeprod!$B$1:$BX$549,MATCH(U$2,Kraftvärmeprod!$B$1:$VX$1,0),FALSE)/1,0)-IFERROR(VLOOKUP($B57,'Slutlig allokering kvv'!$B$2:$BX$549,MATCH(U$2,'Slutlig allokering kvv'!$B$1:$BX$1,0),FALSE)/1,0))</f>
        <v>0</v>
      </c>
      <c r="V57" s="121">
        <f>IF($D57="","",IFERROR(VLOOKUP($B57,Kraftvärmeprod!$B$1:$BX$549,MATCH(V$2,Kraftvärmeprod!$B$1:$VX$1,0),FALSE)/1,0)-IFERROR(VLOOKUP($B57,'Slutlig allokering kvv'!$B$2:$BX$549,MATCH(V$2,'Slutlig allokering kvv'!$B$1:$BX$1,0),FALSE)/1,0))</f>
        <v>0</v>
      </c>
      <c r="W57" s="121">
        <f>IF($D57="","",IFERROR(VLOOKUP($B57,Kraftvärmeprod!$B$1:$BX$549,MATCH(W$2,Kraftvärmeprod!$B$1:$VX$1,0),FALSE)/1,0)-IFERROR(VLOOKUP($B57,'Slutlig allokering kvv'!$B$2:$BX$549,MATCH(W$2,'Slutlig allokering kvv'!$B$1:$BX$1,0),FALSE)/1,0))</f>
        <v>0</v>
      </c>
      <c r="X57" s="121">
        <f>IF($D57="","",IFERROR(VLOOKUP($B57,Kraftvärmeprod!$B$1:$BX$549,MATCH(X$2,Kraftvärmeprod!$B$1:$VX$1,0),FALSE)/1,0)-IFERROR(VLOOKUP($B57,'Slutlig allokering kvv'!$B$2:$BX$549,MATCH(X$2,'Slutlig allokering kvv'!$B$1:$BX$1,0),FALSE)/1,0))</f>
        <v>0</v>
      </c>
      <c r="Y57" s="121">
        <f>IF($D57="","",IFERROR(VLOOKUP($B57,Kraftvärmeprod!$B$1:$BX$549,MATCH(Y$2,Kraftvärmeprod!$B$1:$VX$1,0),FALSE)/1,0)-IFERROR(VLOOKUP($B57,'Slutlig allokering kvv'!$B$2:$BX$549,MATCH(Y$2,'Slutlig allokering kvv'!$B$1:$BX$1,0),FALSE)/1,0))</f>
        <v>0</v>
      </c>
      <c r="Z57" s="121">
        <f>IF($D57="","",IFERROR(VLOOKUP($B57,Kraftvärmeprod!$B$1:$BX$549,MATCH(Z$2,Kraftvärmeprod!$B$1:$VX$1,0),FALSE)/1,0)-IFERROR(VLOOKUP($B57,'Slutlig allokering kvv'!$B$2:$BX$549,MATCH(Z$2,'Slutlig allokering kvv'!$B$1:$BX$1,0),FALSE)/1,0))</f>
        <v>67.729799999999997</v>
      </c>
      <c r="AA57" s="121">
        <f>IF($D57="","",IFERROR(VLOOKUP($B57,Kraftvärmeprod!$B$1:$BX$549,MATCH(AA$2,Kraftvärmeprod!$B$1:$VX$1,0),FALSE)/1,0)-IFERROR(VLOOKUP($B57,'Slutlig allokering kvv'!$B$2:$BX$549,MATCH(AA$2,'Slutlig allokering kvv'!$B$1:$BX$1,0),FALSE)/1,0))</f>
        <v>0</v>
      </c>
      <c r="AB57" s="121">
        <f>IF($D57="","",IFERROR(VLOOKUP($B57,Kraftvärmeprod!$B$1:$BX$549,MATCH(AB$2,Kraftvärmeprod!$B$1:$VX$1,0),FALSE)/1,0)-IFERROR(VLOOKUP($B57,'Slutlig allokering kvv'!$B$2:$BX$549,MATCH(AB$2,'Slutlig allokering kvv'!$B$1:$BX$1,0),FALSE)/1,0))</f>
        <v>0</v>
      </c>
      <c r="AC57" s="121">
        <f>IF($D57="","",IFERROR(VLOOKUP($B57,Kraftvärmeprod!$B$1:$BX$549,MATCH(AC$2,Kraftvärmeprod!$B$1:$VX$1,0),FALSE)/1,0)-IFERROR(VLOOKUP($B57,'Slutlig allokering kvv'!$B$2:$BX$549,MATCH(AC$2,'Slutlig allokering kvv'!$B$1:$BX$1,0),FALSE)/1,0))</f>
        <v>0</v>
      </c>
      <c r="AD57" s="121">
        <f>IF($D57="","",IFERROR(VLOOKUP($B57,Kraftvärmeprod!$B$1:$BX$549,MATCH(AD$2,Kraftvärmeprod!$B$1:$VX$1,0),FALSE)/1,0)-IFERROR(VLOOKUP($B57,'Slutlig allokering kvv'!$B$2:$BX$549,MATCH(AD$2,'Slutlig allokering kvv'!$B$1:$BX$1,0),FALSE)/1,0))</f>
        <v>0</v>
      </c>
      <c r="AE57" s="121">
        <f>IF($D57="","",IFERROR(VLOOKUP($B57,Miljö!$B$1:$E$550,MATCH("Hjälpel kraftvärme (GWh)",Miljö!$B$1:$E$1,0),FALSE)/1,0)-IFERROR(VLOOKUP($B57,'Slutlig allokering kvv'!$B$2:$BX$549,MATCH(AE$2,'Slutlig allokering kvv'!$B$1:$BX$1,0),FALSE)/1,0))</f>
        <v>32.884499999999996</v>
      </c>
      <c r="AI57" s="121">
        <f t="shared" si="0"/>
        <v>513.43957799999998</v>
      </c>
      <c r="AK57" s="121">
        <f>IFERROR(VLOOKUP($B57,'Slutlig allokering kvv'!$B$2:$AX$549,MATCH("Summa slutlig allokerad tillförd energi (utan hjälpel och rökgaskondensering):",'Slutlig allokering kvv'!$B$1:$AX$1,0),FALSE)/1,"")</f>
        <v>581.06042200000002</v>
      </c>
      <c r="AM57" s="172">
        <f>IFERROR(1-VLOOKUP($B57,'Slutlig allokering kvv'!$B$2:$AX$549,MATCH("Andel av bränsle i kvv som allokerats till värme, exklusive rökgaskondensering och hjälpel",'Slutlig allokering kvv'!$B$1:$AX$1,0),FALSE),"")</f>
        <v>0.46910879671082684</v>
      </c>
      <c r="AO57" s="172">
        <f t="shared" si="1"/>
        <v>0.46910879671082684</v>
      </c>
      <c r="AP57" s="173">
        <f t="shared" si="2"/>
        <v>0</v>
      </c>
      <c r="AR57" s="172">
        <f t="shared" si="3"/>
        <v>0.40635221645859804</v>
      </c>
    </row>
    <row r="58" spans="1:44" x14ac:dyDescent="0.25">
      <c r="A58" s="171" t="str">
        <f>'Miljövärden för publ företag'!B60</f>
        <v>E.ON Värme Sverige AB</v>
      </c>
      <c r="B58" s="171" t="str">
        <f>'Miljövärden för publ företag'!C60</f>
        <v>Kungsängen</v>
      </c>
      <c r="C58" s="121" t="str">
        <f>IFERROR(VLOOKUP($B58,Kraftvärmeprod!$B$1:$AH$478,MATCH(C$2,Kraftvärmeprod!$B$1:$AG$1,0),FALSE)/1,"")</f>
        <v/>
      </c>
      <c r="D58" s="121" t="str">
        <f>IFERROR(VLOOKUP($B58,Kraftvärmeprod!$B$1:$AH$478,MATCH(D$2,Kraftvärmeprod!$B$1:$AG$1,0),FALSE)/1,"")</f>
        <v/>
      </c>
      <c r="F58" s="121" t="str">
        <f>IF($D58="","",IFERROR(VLOOKUP($B58,Kraftvärmeprod!$B$1:$BX$549,MATCH(F$2,Kraftvärmeprod!$B$1:$VX$1,0),FALSE)/1,0)-IFERROR(VLOOKUP($B58,'Slutlig allokering kvv'!$B$2:$BX$549,MATCH(F$2,'Slutlig allokering kvv'!$B$1:$BX$1,0),FALSE)/1,0))</f>
        <v/>
      </c>
      <c r="G58" s="121" t="str">
        <f>IF($D58="","",IFERROR(VLOOKUP($B58,Kraftvärmeprod!$B$1:$BX$549,MATCH(G$2,Kraftvärmeprod!$B$1:$VX$1,0),FALSE)/1,0)-IFERROR(VLOOKUP($B58,'Slutlig allokering kvv'!$B$2:$BX$549,MATCH(G$2,'Slutlig allokering kvv'!$B$1:$BX$1,0),FALSE)/1,0))</f>
        <v/>
      </c>
      <c r="H58" s="121" t="str">
        <f>IF($D58="","",IFERROR(VLOOKUP($B58,Kraftvärmeprod!$B$1:$BX$549,MATCH(H$2,Kraftvärmeprod!$B$1:$VX$1,0),FALSE)/1,0)-IFERROR(VLOOKUP($B58,'Slutlig allokering kvv'!$B$2:$BX$549,MATCH(H$2,'Slutlig allokering kvv'!$B$1:$BX$1,0),FALSE)/1,0))</f>
        <v/>
      </c>
      <c r="I58" s="121" t="str">
        <f>IF($D58="","",IFERROR(VLOOKUP($B58,Kraftvärmeprod!$B$1:$BX$549,MATCH(I$2,Kraftvärmeprod!$B$1:$VX$1,0),FALSE)/1,0)-IFERROR(VLOOKUP($B58,'Slutlig allokering kvv'!$B$2:$BX$549,MATCH(I$2,'Slutlig allokering kvv'!$B$1:$BX$1,0),FALSE)/1,0))</f>
        <v/>
      </c>
      <c r="J58" s="121" t="str">
        <f>IF($D58="","",IFERROR(VLOOKUP($B58,Kraftvärmeprod!$B$1:$BX$549,MATCH(J$2,Kraftvärmeprod!$B$1:$VX$1,0),FALSE)/1,0)-IFERROR(VLOOKUP($B58,'Slutlig allokering kvv'!$B$2:$BX$549,MATCH(J$2,'Slutlig allokering kvv'!$B$1:$BX$1,0),FALSE)/1,0))</f>
        <v/>
      </c>
      <c r="K58" s="121" t="str">
        <f>IF($D58="","",IFERROR(VLOOKUP($B58,Kraftvärmeprod!$B$1:$BX$549,MATCH(K$2,Kraftvärmeprod!$B$1:$VX$1,0),FALSE)/1,0)-IFERROR(VLOOKUP($B58,'Slutlig allokering kvv'!$B$2:$BX$549,MATCH(K$2,'Slutlig allokering kvv'!$B$1:$BX$1,0),FALSE)/1,0))</f>
        <v/>
      </c>
      <c r="L58" s="121" t="str">
        <f>IF($D58="","",IFERROR(VLOOKUP($B58,Kraftvärmeprod!$B$1:$BX$549,MATCH(L$2,Kraftvärmeprod!$B$1:$VX$1,0),FALSE)/1,0)-IFERROR(VLOOKUP($B58,'Slutlig allokering kvv'!$B$2:$BX$549,MATCH(L$2,'Slutlig allokering kvv'!$B$1:$BX$1,0),FALSE)/1,0))</f>
        <v/>
      </c>
      <c r="M58" s="121" t="str">
        <f>IF($D58="","",IFERROR(VLOOKUP($B58,Kraftvärmeprod!$B$1:$BX$549,MATCH(M$2,Kraftvärmeprod!$B$1:$VX$1,0),FALSE)/1,0)-IFERROR(VLOOKUP($B58,'Slutlig allokering kvv'!$B$2:$BX$549,MATCH(M$2,'Slutlig allokering kvv'!$B$1:$BX$1,0),FALSE)/1,0))</f>
        <v/>
      </c>
      <c r="N58" s="121" t="str">
        <f>IF($D58="","",IFERROR(VLOOKUP($B58,Kraftvärmeprod!$B$1:$BX$549,MATCH(N$2,Kraftvärmeprod!$B$1:$VX$1,0),FALSE)/1,0)-IFERROR(VLOOKUP($B58,'Slutlig allokering kvv'!$B$2:$BX$549,MATCH(N$2,'Slutlig allokering kvv'!$B$1:$BX$1,0),FALSE)/1,0))</f>
        <v/>
      </c>
      <c r="O58" s="121" t="str">
        <f>IF($D58="","",IFERROR(VLOOKUP($B58,Kraftvärmeprod!$B$1:$BX$549,MATCH(O$2,Kraftvärmeprod!$B$1:$VX$1,0),FALSE)/1,0)-IFERROR(VLOOKUP($B58,'Slutlig allokering kvv'!$B$2:$BX$549,MATCH(O$2,'Slutlig allokering kvv'!$B$1:$BX$1,0),FALSE)/1,0))</f>
        <v/>
      </c>
      <c r="P58" s="121" t="str">
        <f>IF($D58="","",IFERROR(VLOOKUP($B58,Kraftvärmeprod!$B$1:$BX$549,MATCH(P$2,Kraftvärmeprod!$B$1:$VX$1,0),FALSE)/1,0)-IFERROR(VLOOKUP($B58,'Slutlig allokering kvv'!$B$2:$BX$549,MATCH(P$2,'Slutlig allokering kvv'!$B$1:$BX$1,0),FALSE)/1,0))</f>
        <v/>
      </c>
      <c r="Q58" s="121" t="str">
        <f>IF($D58="","",IFERROR(VLOOKUP($B58,Kraftvärmeprod!$B$1:$BX$549,MATCH(Q$2,Kraftvärmeprod!$B$1:$VX$1,0),FALSE)/1,0)-IFERROR(VLOOKUP($B58,'Slutlig allokering kvv'!$B$2:$BX$549,MATCH(Q$2,'Slutlig allokering kvv'!$B$1:$BX$1,0),FALSE)/1,0))</f>
        <v/>
      </c>
      <c r="R58" s="121" t="str">
        <f>IF($D58="","",IFERROR(VLOOKUP($B58,Kraftvärmeprod!$B$1:$BX$549,MATCH(R$2,Kraftvärmeprod!$B$1:$VX$1,0),FALSE)/1,0)-IFERROR(VLOOKUP($B58,'Slutlig allokering kvv'!$B$2:$BX$549,MATCH(R$2,'Slutlig allokering kvv'!$B$1:$BX$1,0),FALSE)/1,0))</f>
        <v/>
      </c>
      <c r="S58" s="121" t="str">
        <f>IF($D58="","",IFERROR(VLOOKUP($B58,Kraftvärmeprod!$B$1:$BX$549,MATCH(S$2,Kraftvärmeprod!$B$1:$VX$1,0),FALSE)/1,0)-IFERROR(VLOOKUP($B58,'Slutlig allokering kvv'!$B$2:$BX$549,MATCH(S$2,'Slutlig allokering kvv'!$B$1:$BX$1,0),FALSE)/1,0))</f>
        <v/>
      </c>
      <c r="T58" s="121" t="str">
        <f>IF($D58="","",IFERROR(VLOOKUP($B58,Kraftvärmeprod!$B$1:$BX$549,MATCH(T$2,Kraftvärmeprod!$B$1:$VX$1,0),FALSE)/1,0)-IFERROR(VLOOKUP($B58,'Slutlig allokering kvv'!$B$2:$BX$549,MATCH(T$2,'Slutlig allokering kvv'!$B$1:$BX$1,0),FALSE)/1,0))</f>
        <v/>
      </c>
      <c r="U58" s="121" t="str">
        <f>IF($D58="","",IFERROR(VLOOKUP($B58,Kraftvärmeprod!$B$1:$BX$549,MATCH(U$2,Kraftvärmeprod!$B$1:$VX$1,0),FALSE)/1,0)-IFERROR(VLOOKUP($B58,'Slutlig allokering kvv'!$B$2:$BX$549,MATCH(U$2,'Slutlig allokering kvv'!$B$1:$BX$1,0),FALSE)/1,0))</f>
        <v/>
      </c>
      <c r="V58" s="121" t="str">
        <f>IF($D58="","",IFERROR(VLOOKUP($B58,Kraftvärmeprod!$B$1:$BX$549,MATCH(V$2,Kraftvärmeprod!$B$1:$VX$1,0),FALSE)/1,0)-IFERROR(VLOOKUP($B58,'Slutlig allokering kvv'!$B$2:$BX$549,MATCH(V$2,'Slutlig allokering kvv'!$B$1:$BX$1,0),FALSE)/1,0))</f>
        <v/>
      </c>
      <c r="W58" s="121" t="str">
        <f>IF($D58="","",IFERROR(VLOOKUP($B58,Kraftvärmeprod!$B$1:$BX$549,MATCH(W$2,Kraftvärmeprod!$B$1:$VX$1,0),FALSE)/1,0)-IFERROR(VLOOKUP($B58,'Slutlig allokering kvv'!$B$2:$BX$549,MATCH(W$2,'Slutlig allokering kvv'!$B$1:$BX$1,0),FALSE)/1,0))</f>
        <v/>
      </c>
      <c r="X58" s="121" t="str">
        <f>IF($D58="","",IFERROR(VLOOKUP($B58,Kraftvärmeprod!$B$1:$BX$549,MATCH(X$2,Kraftvärmeprod!$B$1:$VX$1,0),FALSE)/1,0)-IFERROR(VLOOKUP($B58,'Slutlig allokering kvv'!$B$2:$BX$549,MATCH(X$2,'Slutlig allokering kvv'!$B$1:$BX$1,0),FALSE)/1,0))</f>
        <v/>
      </c>
      <c r="Y58" s="121" t="str">
        <f>IF($D58="","",IFERROR(VLOOKUP($B58,Kraftvärmeprod!$B$1:$BX$549,MATCH(Y$2,Kraftvärmeprod!$B$1:$VX$1,0),FALSE)/1,0)-IFERROR(VLOOKUP($B58,'Slutlig allokering kvv'!$B$2:$BX$549,MATCH(Y$2,'Slutlig allokering kvv'!$B$1:$BX$1,0),FALSE)/1,0))</f>
        <v/>
      </c>
      <c r="Z58" s="121" t="str">
        <f>IF($D58="","",IFERROR(VLOOKUP($B58,Kraftvärmeprod!$B$1:$BX$549,MATCH(Z$2,Kraftvärmeprod!$B$1:$VX$1,0),FALSE)/1,0)-IFERROR(VLOOKUP($B58,'Slutlig allokering kvv'!$B$2:$BX$549,MATCH(Z$2,'Slutlig allokering kvv'!$B$1:$BX$1,0),FALSE)/1,0))</f>
        <v/>
      </c>
      <c r="AA58" s="121" t="str">
        <f>IF($D58="","",IFERROR(VLOOKUP($B58,Kraftvärmeprod!$B$1:$BX$549,MATCH(AA$2,Kraftvärmeprod!$B$1:$VX$1,0),FALSE)/1,0)-IFERROR(VLOOKUP($B58,'Slutlig allokering kvv'!$B$2:$BX$549,MATCH(AA$2,'Slutlig allokering kvv'!$B$1:$BX$1,0),FALSE)/1,0))</f>
        <v/>
      </c>
      <c r="AB58" s="121" t="str">
        <f>IF($D58="","",IFERROR(VLOOKUP($B58,Kraftvärmeprod!$B$1:$BX$549,MATCH(AB$2,Kraftvärmeprod!$B$1:$VX$1,0),FALSE)/1,0)-IFERROR(VLOOKUP($B58,'Slutlig allokering kvv'!$B$2:$BX$549,MATCH(AB$2,'Slutlig allokering kvv'!$B$1:$BX$1,0),FALSE)/1,0))</f>
        <v/>
      </c>
      <c r="AC58" s="121" t="str">
        <f>IF($D58="","",IFERROR(VLOOKUP($B58,Kraftvärmeprod!$B$1:$BX$549,MATCH(AC$2,Kraftvärmeprod!$B$1:$VX$1,0),FALSE)/1,0)-IFERROR(VLOOKUP($B58,'Slutlig allokering kvv'!$B$2:$BX$549,MATCH(AC$2,'Slutlig allokering kvv'!$B$1:$BX$1,0),FALSE)/1,0))</f>
        <v/>
      </c>
      <c r="AD58" s="121" t="str">
        <f>IF($D58="","",IFERROR(VLOOKUP($B58,Kraftvärmeprod!$B$1:$BX$549,MATCH(AD$2,Kraftvärmeprod!$B$1:$VX$1,0),FALSE)/1,0)-IFERROR(VLOOKUP($B58,'Slutlig allokering kvv'!$B$2:$BX$549,MATCH(AD$2,'Slutlig allokering kvv'!$B$1:$BX$1,0),FALSE)/1,0))</f>
        <v/>
      </c>
      <c r="AE58" s="121" t="str">
        <f>IF($D58="","",IFERROR(VLOOKUP($B58,Miljö!$B$1:$E$550,MATCH("Hjälpel kraftvärme (GWh)",Miljö!$B$1:$E$1,0),FALSE)/1,0)-IFERROR(VLOOKUP($B58,'Slutlig allokering kvv'!$B$2:$BX$549,MATCH(AE$2,'Slutlig allokering kvv'!$B$1:$BX$1,0),FALSE)/1,0))</f>
        <v/>
      </c>
      <c r="AI58" s="121">
        <f t="shared" si="0"/>
        <v>0</v>
      </c>
      <c r="AK58" s="121">
        <f>IFERROR(VLOOKUP($B58,'Slutlig allokering kvv'!$B$2:$AX$549,MATCH("Summa slutlig allokerad tillförd energi (utan hjälpel och rökgaskondensering):",'Slutlig allokering kvv'!$B$1:$AX$1,0),FALSE)/1,"")</f>
        <v>0</v>
      </c>
      <c r="AM58" s="172" t="str">
        <f>IFERROR(1-VLOOKUP($B58,'Slutlig allokering kvv'!$B$2:$AX$549,MATCH("Andel av bränsle i kvv som allokerats till värme, exklusive rökgaskondensering och hjälpel",'Slutlig allokering kvv'!$B$1:$AX$1,0),FALSE),"")</f>
        <v/>
      </c>
      <c r="AO58" s="172" t="str">
        <f t="shared" si="1"/>
        <v/>
      </c>
      <c r="AP58" s="173" t="str">
        <f t="shared" si="2"/>
        <v/>
      </c>
      <c r="AR58" s="172" t="str">
        <f t="shared" si="3"/>
        <v/>
      </c>
    </row>
    <row r="59" spans="1:44" x14ac:dyDescent="0.25">
      <c r="A59" s="171" t="str">
        <f>'Miljövärden för publ företag'!B61</f>
        <v>E.ON Värme Sverige AB</v>
      </c>
      <c r="B59" s="171" t="str">
        <f>'Miljövärden för publ företag'!C61</f>
        <v>Malmö</v>
      </c>
      <c r="C59" s="121">
        <f>IFERROR(VLOOKUP($B59,Kraftvärmeprod!$B$1:$AH$478,MATCH(C$2,Kraftvärmeprod!$B$1:$AG$1,0),FALSE)/1,"")</f>
        <v>1897</v>
      </c>
      <c r="D59" s="121">
        <f>IFERROR(VLOOKUP($B59,Kraftvärmeprod!$B$1:$AH$478,MATCH(D$2,Kraftvärmeprod!$B$1:$AG$1,0),FALSE)/1,"")</f>
        <v>425</v>
      </c>
      <c r="F59" s="121">
        <f>IF($D59="","",IFERROR(VLOOKUP($B59,Kraftvärmeprod!$B$1:$BX$549,MATCH(F$2,Kraftvärmeprod!$B$1:$VX$1,0),FALSE)/1,0)-IFERROR(VLOOKUP($B59,'Slutlig allokering kvv'!$B$2:$BX$549,MATCH(F$2,'Slutlig allokering kvv'!$B$1:$BX$1,0),FALSE)/1,0))</f>
        <v>0</v>
      </c>
      <c r="G59" s="121">
        <f>IF($D59="","",IFERROR(VLOOKUP($B59,Kraftvärmeprod!$B$1:$BX$549,MATCH(G$2,Kraftvärmeprod!$B$1:$VX$1,0),FALSE)/1,0)-IFERROR(VLOOKUP($B59,'Slutlig allokering kvv'!$B$2:$BX$549,MATCH(G$2,'Slutlig allokering kvv'!$B$1:$BX$1,0),FALSE)/1,0))</f>
        <v>9.3553999999999998E-2</v>
      </c>
      <c r="H59" s="121">
        <f>IF($D59="","",IFERROR(VLOOKUP($B59,Kraftvärmeprod!$B$1:$BX$549,MATCH(H$2,Kraftvärmeprod!$B$1:$VX$1,0),FALSE)/1,0)-IFERROR(VLOOKUP($B59,'Slutlig allokering kvv'!$B$2:$BX$549,MATCH(H$2,'Slutlig allokering kvv'!$B$1:$BX$1,0),FALSE)/1,0))</f>
        <v>0</v>
      </c>
      <c r="I59" s="121">
        <f>IF($D59="","",IFERROR(VLOOKUP($B59,Kraftvärmeprod!$B$1:$BX$549,MATCH(I$2,Kraftvärmeprod!$B$1:$VX$1,0),FALSE)/1,0)-IFERROR(VLOOKUP($B59,'Slutlig allokering kvv'!$B$2:$BX$549,MATCH(I$2,'Slutlig allokering kvv'!$B$1:$BX$1,0),FALSE)/1,0))</f>
        <v>0.12473900000000004</v>
      </c>
      <c r="J59" s="121">
        <f>IF($D59="","",IFERROR(VLOOKUP($B59,Kraftvärmeprod!$B$1:$BX$549,MATCH(J$2,Kraftvärmeprod!$B$1:$VX$1,0),FALSE)/1,0)-IFERROR(VLOOKUP($B59,'Slutlig allokering kvv'!$B$2:$BX$549,MATCH(J$2,'Slutlig allokering kvv'!$B$1:$BX$1,0),FALSE)/1,0))</f>
        <v>188.78199999999998</v>
      </c>
      <c r="K59" s="121">
        <f>IF($D59="","",IFERROR(VLOOKUP($B59,Kraftvärmeprod!$B$1:$BX$549,MATCH(K$2,Kraftvärmeprod!$B$1:$VX$1,0),FALSE)/1,0)-IFERROR(VLOOKUP($B59,'Slutlig allokering kvv'!$B$2:$BX$549,MATCH(K$2,'Slutlig allokering kvv'!$B$1:$BX$1,0),FALSE)/1,0))</f>
        <v>0</v>
      </c>
      <c r="L59" s="121">
        <f>IF($D59="","",IFERROR(VLOOKUP($B59,Kraftvärmeprod!$B$1:$BX$549,MATCH(L$2,Kraftvärmeprod!$B$1:$VX$1,0),FALSE)/1,0)-IFERROR(VLOOKUP($B59,'Slutlig allokering kvv'!$B$2:$BX$549,MATCH(L$2,'Slutlig allokering kvv'!$B$1:$BX$1,0),FALSE)/1,0))</f>
        <v>0</v>
      </c>
      <c r="M59" s="121">
        <f>IF($D59="","",IFERROR(VLOOKUP($B59,Kraftvärmeprod!$B$1:$BX$549,MATCH(M$2,Kraftvärmeprod!$B$1:$VX$1,0),FALSE)/1,0)-IFERROR(VLOOKUP($B59,'Slutlig allokering kvv'!$B$2:$BX$549,MATCH(M$2,'Slutlig allokering kvv'!$B$1:$BX$1,0),FALSE)/1,0))</f>
        <v>0</v>
      </c>
      <c r="N59" s="121">
        <f>IF($D59="","",IFERROR(VLOOKUP($B59,Kraftvärmeprod!$B$1:$BX$549,MATCH(N$2,Kraftvärmeprod!$B$1:$VX$1,0),FALSE)/1,0)-IFERROR(VLOOKUP($B59,'Slutlig allokering kvv'!$B$2:$BX$549,MATCH(N$2,'Slutlig allokering kvv'!$B$1:$BX$1,0),FALSE)/1,0))</f>
        <v>0</v>
      </c>
      <c r="O59" s="121">
        <f>IF($D59="","",IFERROR(VLOOKUP($B59,Kraftvärmeprod!$B$1:$BX$549,MATCH(O$2,Kraftvärmeprod!$B$1:$VX$1,0),FALSE)/1,0)-IFERROR(VLOOKUP($B59,'Slutlig allokering kvv'!$B$2:$BX$549,MATCH(O$2,'Slutlig allokering kvv'!$B$1:$BX$1,0),FALSE)/1,0))</f>
        <v>0</v>
      </c>
      <c r="P59" s="121">
        <f>IF($D59="","",IFERROR(VLOOKUP($B59,Kraftvärmeprod!$B$1:$BX$549,MATCH(P$2,Kraftvärmeprod!$B$1:$VX$1,0),FALSE)/1,0)-IFERROR(VLOOKUP($B59,'Slutlig allokering kvv'!$B$2:$BX$549,MATCH(P$2,'Slutlig allokering kvv'!$B$1:$BX$1,0),FALSE)/1,0))</f>
        <v>0</v>
      </c>
      <c r="Q59" s="121">
        <f>IF($D59="","",IFERROR(VLOOKUP($B59,Kraftvärmeprod!$B$1:$BX$549,MATCH(Q$2,Kraftvärmeprod!$B$1:$VX$1,0),FALSE)/1,0)-IFERROR(VLOOKUP($B59,'Slutlig allokering kvv'!$B$2:$BX$549,MATCH(Q$2,'Slutlig allokering kvv'!$B$1:$BX$1,0),FALSE)/1,0))</f>
        <v>0</v>
      </c>
      <c r="R59" s="121">
        <f>IF($D59="","",IFERROR(VLOOKUP($B59,Kraftvärmeprod!$B$1:$BX$549,MATCH(R$2,Kraftvärmeprod!$B$1:$VX$1,0),FALSE)/1,0)-IFERROR(VLOOKUP($B59,'Slutlig allokering kvv'!$B$2:$BX$549,MATCH(R$2,'Slutlig allokering kvv'!$B$1:$BX$1,0),FALSE)/1,0))</f>
        <v>0</v>
      </c>
      <c r="S59" s="121">
        <f>IF($D59="","",IFERROR(VLOOKUP($B59,Kraftvärmeprod!$B$1:$BX$549,MATCH(S$2,Kraftvärmeprod!$B$1:$VX$1,0),FALSE)/1,0)-IFERROR(VLOOKUP($B59,'Slutlig allokering kvv'!$B$2:$BX$549,MATCH(S$2,'Slutlig allokering kvv'!$B$1:$BX$1,0),FALSE)/1,0))</f>
        <v>0</v>
      </c>
      <c r="T59" s="121">
        <f>IF($D59="","",IFERROR(VLOOKUP($B59,Kraftvärmeprod!$B$1:$BX$549,MATCH(T$2,Kraftvärmeprod!$B$1:$VX$1,0),FALSE)/1,0)-IFERROR(VLOOKUP($B59,'Slutlig allokering kvv'!$B$2:$BX$549,MATCH(T$2,'Slutlig allokering kvv'!$B$1:$BX$1,0),FALSE)/1,0))</f>
        <v>0</v>
      </c>
      <c r="U59" s="121">
        <f>IF($D59="","",IFERROR(VLOOKUP($B59,Kraftvärmeprod!$B$1:$BX$549,MATCH(U$2,Kraftvärmeprod!$B$1:$VX$1,0),FALSE)/1,0)-IFERROR(VLOOKUP($B59,'Slutlig allokering kvv'!$B$2:$BX$549,MATCH(U$2,'Slutlig allokering kvv'!$B$1:$BX$1,0),FALSE)/1,0))</f>
        <v>0</v>
      </c>
      <c r="V59" s="121">
        <f>IF($D59="","",IFERROR(VLOOKUP($B59,Kraftvärmeprod!$B$1:$BX$549,MATCH(V$2,Kraftvärmeprod!$B$1:$VX$1,0),FALSE)/1,0)-IFERROR(VLOOKUP($B59,'Slutlig allokering kvv'!$B$2:$BX$549,MATCH(V$2,'Slutlig allokering kvv'!$B$1:$BX$1,0),FALSE)/1,0))</f>
        <v>0</v>
      </c>
      <c r="W59" s="121">
        <f>IF($D59="","",IFERROR(VLOOKUP($B59,Kraftvärmeprod!$B$1:$BX$549,MATCH(W$2,Kraftvärmeprod!$B$1:$VX$1,0),FALSE)/1,0)-IFERROR(VLOOKUP($B59,'Slutlig allokering kvv'!$B$2:$BX$549,MATCH(W$2,'Slutlig allokering kvv'!$B$1:$BX$1,0),FALSE)/1,0))</f>
        <v>0</v>
      </c>
      <c r="X59" s="121">
        <f>IF($D59="","",IFERROR(VLOOKUP($B59,Kraftvärmeprod!$B$1:$BX$549,MATCH(X$2,Kraftvärmeprod!$B$1:$VX$1,0),FALSE)/1,0)-IFERROR(VLOOKUP($B59,'Slutlig allokering kvv'!$B$2:$BX$549,MATCH(X$2,'Slutlig allokering kvv'!$B$1:$BX$1,0),FALSE)/1,0))</f>
        <v>0</v>
      </c>
      <c r="Y59" s="121">
        <f>IF($D59="","",IFERROR(VLOOKUP($B59,Kraftvärmeprod!$B$1:$BX$549,MATCH(Y$2,Kraftvärmeprod!$B$1:$VX$1,0),FALSE)/1,0)-IFERROR(VLOOKUP($B59,'Slutlig allokering kvv'!$B$2:$BX$549,MATCH(Y$2,'Slutlig allokering kvv'!$B$1:$BX$1,0),FALSE)/1,0))</f>
        <v>0</v>
      </c>
      <c r="Z59" s="121">
        <f>IF($D59="","",IFERROR(VLOOKUP($B59,Kraftvärmeprod!$B$1:$BX$549,MATCH(Z$2,Kraftvärmeprod!$B$1:$VX$1,0),FALSE)/1,0)-IFERROR(VLOOKUP($B59,'Slutlig allokering kvv'!$B$2:$BX$549,MATCH(Z$2,'Slutlig allokering kvv'!$B$1:$BX$1,0),FALSE)/1,0))</f>
        <v>0</v>
      </c>
      <c r="AA59" s="121">
        <f>IF($D59="","",IFERROR(VLOOKUP($B59,Kraftvärmeprod!$B$1:$BX$549,MATCH(AA$2,Kraftvärmeprod!$B$1:$VX$1,0),FALSE)/1,0)-IFERROR(VLOOKUP($B59,'Slutlig allokering kvv'!$B$2:$BX$549,MATCH(AA$2,'Slutlig allokering kvv'!$B$1:$BX$1,0),FALSE)/1,0))</f>
        <v>730.73</v>
      </c>
      <c r="AB59" s="121">
        <f>IF($D59="","",IFERROR(VLOOKUP($B59,Kraftvärmeprod!$B$1:$BX$549,MATCH(AB$2,Kraftvärmeprod!$B$1:$VX$1,0),FALSE)/1,0)-IFERROR(VLOOKUP($B59,'Slutlig allokering kvv'!$B$2:$BX$549,MATCH(AB$2,'Slutlig allokering kvv'!$B$1:$BX$1,0),FALSE)/1,0))</f>
        <v>0</v>
      </c>
      <c r="AC59" s="121">
        <f>IF($D59="","",IFERROR(VLOOKUP($B59,Kraftvärmeprod!$B$1:$BX$549,MATCH(AC$2,Kraftvärmeprod!$B$1:$VX$1,0),FALSE)/1,0)-IFERROR(VLOOKUP($B59,'Slutlig allokering kvv'!$B$2:$BX$549,MATCH(AC$2,'Slutlig allokering kvv'!$B$1:$BX$1,0),FALSE)/1,0))</f>
        <v>0</v>
      </c>
      <c r="AD59" s="121">
        <f>IF($D59="","",IFERROR(VLOOKUP($B59,Kraftvärmeprod!$B$1:$BX$549,MATCH(AD$2,Kraftvärmeprod!$B$1:$VX$1,0),FALSE)/1,0)-IFERROR(VLOOKUP($B59,'Slutlig allokering kvv'!$B$2:$BX$549,MATCH(AD$2,'Slutlig allokering kvv'!$B$1:$BX$1,0),FALSE)/1,0))</f>
        <v>0</v>
      </c>
      <c r="AE59" s="121">
        <f>IF($D59="","",IFERROR(VLOOKUP($B59,Miljö!$B$1:$E$550,MATCH("Hjälpel kraftvärme (GWh)",Miljö!$B$1:$E$1,0),FALSE)/1,0)-IFERROR(VLOOKUP($B59,'Slutlig allokering kvv'!$B$2:$BX$549,MATCH(AE$2,'Slutlig allokering kvv'!$B$1:$BX$1,0),FALSE)/1,0))</f>
        <v>9.0625</v>
      </c>
      <c r="AI59" s="121">
        <f t="shared" si="0"/>
        <v>919.73029299999996</v>
      </c>
      <c r="AK59" s="121">
        <f>IFERROR(VLOOKUP($B59,'Slutlig allokering kvv'!$B$2:$AX$549,MATCH("Summa slutlig allokerad tillförd energi (utan hjälpel och rökgaskondensering):",'Slutlig allokering kvv'!$B$1:$AX$1,0),FALSE)/1,"")</f>
        <v>1515.969707</v>
      </c>
      <c r="AM59" s="172">
        <f>IFERROR(1-VLOOKUP($B59,'Slutlig allokering kvv'!$B$2:$AX$549,MATCH("Andel av bränsle i kvv som allokerats till värme, exklusive rökgaskondensering och hjälpel",'Slutlig allokering kvv'!$B$1:$AX$1,0),FALSE),"")</f>
        <v>0.37760409451081822</v>
      </c>
      <c r="AO59" s="172">
        <f t="shared" si="1"/>
        <v>0.37760409451081828</v>
      </c>
      <c r="AP59" s="173">
        <f t="shared" si="2"/>
        <v>-5.5511151231257827E-17</v>
      </c>
      <c r="AR59" s="172">
        <f t="shared" si="3"/>
        <v>0.45758322330134621</v>
      </c>
    </row>
    <row r="60" spans="1:44" x14ac:dyDescent="0.25">
      <c r="A60" s="171" t="str">
        <f>'Miljövärden för publ företag'!B62</f>
        <v>E.ON Värme Sverige AB</v>
      </c>
      <c r="B60" s="171" t="str">
        <f>'Miljövärden för publ företag'!C62</f>
        <v>Norrköping - Söderköping</v>
      </c>
      <c r="C60" s="121">
        <f>IFERROR(VLOOKUP($B60,Kraftvärmeprod!$B$1:$AH$478,MATCH(C$2,Kraftvärmeprod!$B$1:$AG$1,0),FALSE)/1,"")</f>
        <v>973.4</v>
      </c>
      <c r="D60" s="121">
        <f>IFERROR(VLOOKUP($B60,Kraftvärmeprod!$B$1:$AH$478,MATCH(D$2,Kraftvärmeprod!$B$1:$AG$1,0),FALSE)/1,"")</f>
        <v>349.2</v>
      </c>
      <c r="F60" s="121">
        <f>IF($D60="","",IFERROR(VLOOKUP($B60,Kraftvärmeprod!$B$1:$BX$549,MATCH(F$2,Kraftvärmeprod!$B$1:$VX$1,0),FALSE)/1,0)-IFERROR(VLOOKUP($B60,'Slutlig allokering kvv'!$B$2:$BX$549,MATCH(F$2,'Slutlig allokering kvv'!$B$1:$BX$1,0),FALSE)/1,0))</f>
        <v>44.992000000000004</v>
      </c>
      <c r="G60" s="121">
        <f>IF($D60="","",IFERROR(VLOOKUP($B60,Kraftvärmeprod!$B$1:$BX$549,MATCH(G$2,Kraftvärmeprod!$B$1:$VX$1,0),FALSE)/1,0)-IFERROR(VLOOKUP($B60,'Slutlig allokering kvv'!$B$2:$BX$549,MATCH(G$2,'Slutlig allokering kvv'!$B$1:$BX$1,0),FALSE)/1,0))</f>
        <v>0.67280700000000004</v>
      </c>
      <c r="H60" s="121">
        <f>IF($D60="","",IFERROR(VLOOKUP($B60,Kraftvärmeprod!$B$1:$BX$549,MATCH(H$2,Kraftvärmeprod!$B$1:$VX$1,0),FALSE)/1,0)-IFERROR(VLOOKUP($B60,'Slutlig allokering kvv'!$B$2:$BX$549,MATCH(H$2,'Slutlig allokering kvv'!$B$1:$BX$1,0),FALSE)/1,0))</f>
        <v>0</v>
      </c>
      <c r="I60" s="121">
        <f>IF($D60="","",IFERROR(VLOOKUP($B60,Kraftvärmeprod!$B$1:$BX$549,MATCH(I$2,Kraftvärmeprod!$B$1:$VX$1,0),FALSE)/1,0)-IFERROR(VLOOKUP($B60,'Slutlig allokering kvv'!$B$2:$BX$549,MATCH(I$2,'Slutlig allokering kvv'!$B$1:$BX$1,0),FALSE)/1,0))</f>
        <v>0</v>
      </c>
      <c r="J60" s="121">
        <f>IF($D60="","",IFERROR(VLOOKUP($B60,Kraftvärmeprod!$B$1:$BX$549,MATCH(J$2,Kraftvärmeprod!$B$1:$VX$1,0),FALSE)/1,0)-IFERROR(VLOOKUP($B60,'Slutlig allokering kvv'!$B$2:$BX$549,MATCH(J$2,'Slutlig allokering kvv'!$B$1:$BX$1,0),FALSE)/1,0))</f>
        <v>0</v>
      </c>
      <c r="K60" s="121">
        <f>IF($D60="","",IFERROR(VLOOKUP($B60,Kraftvärmeprod!$B$1:$BX$549,MATCH(K$2,Kraftvärmeprod!$B$1:$VX$1,0),FALSE)/1,0)-IFERROR(VLOOKUP($B60,'Slutlig allokering kvv'!$B$2:$BX$549,MATCH(K$2,'Slutlig allokering kvv'!$B$1:$BX$1,0),FALSE)/1,0))</f>
        <v>0</v>
      </c>
      <c r="L60" s="121">
        <f>IF($D60="","",IFERROR(VLOOKUP($B60,Kraftvärmeprod!$B$1:$BX$549,MATCH(L$2,Kraftvärmeprod!$B$1:$VX$1,0),FALSE)/1,0)-IFERROR(VLOOKUP($B60,'Slutlig allokering kvv'!$B$2:$BX$549,MATCH(L$2,'Slutlig allokering kvv'!$B$1:$BX$1,0),FALSE)/1,0))</f>
        <v>35.948500000000003</v>
      </c>
      <c r="M60" s="121">
        <f>IF($D60="","",IFERROR(VLOOKUP($B60,Kraftvärmeprod!$B$1:$BX$549,MATCH(M$2,Kraftvärmeprod!$B$1:$VX$1,0),FALSE)/1,0)-IFERROR(VLOOKUP($B60,'Slutlig allokering kvv'!$B$2:$BX$549,MATCH(M$2,'Slutlig allokering kvv'!$B$1:$BX$1,0),FALSE)/1,0))</f>
        <v>0</v>
      </c>
      <c r="N60" s="121">
        <f>IF($D60="","",IFERROR(VLOOKUP($B60,Kraftvärmeprod!$B$1:$BX$549,MATCH(N$2,Kraftvärmeprod!$B$1:$VX$1,0),FALSE)/1,0)-IFERROR(VLOOKUP($B60,'Slutlig allokering kvv'!$B$2:$BX$549,MATCH(N$2,'Slutlig allokering kvv'!$B$1:$BX$1,0),FALSE)/1,0))</f>
        <v>0</v>
      </c>
      <c r="O60" s="121">
        <f>IF($D60="","",IFERROR(VLOOKUP($B60,Kraftvärmeprod!$B$1:$BX$549,MATCH(O$2,Kraftvärmeprod!$B$1:$VX$1,0),FALSE)/1,0)-IFERROR(VLOOKUP($B60,'Slutlig allokering kvv'!$B$2:$BX$549,MATCH(O$2,'Slutlig allokering kvv'!$B$1:$BX$1,0),FALSE)/1,0))</f>
        <v>0</v>
      </c>
      <c r="P60" s="121">
        <f>IF($D60="","",IFERROR(VLOOKUP($B60,Kraftvärmeprod!$B$1:$BX$549,MATCH(P$2,Kraftvärmeprod!$B$1:$VX$1,0),FALSE)/1,0)-IFERROR(VLOOKUP($B60,'Slutlig allokering kvv'!$B$2:$BX$549,MATCH(P$2,'Slutlig allokering kvv'!$B$1:$BX$1,0),FALSE)/1,0))</f>
        <v>0</v>
      </c>
      <c r="Q60" s="121">
        <f>IF($D60="","",IFERROR(VLOOKUP($B60,Kraftvärmeprod!$B$1:$BX$549,MATCH(Q$2,Kraftvärmeprod!$B$1:$VX$1,0),FALSE)/1,0)-IFERROR(VLOOKUP($B60,'Slutlig allokering kvv'!$B$2:$BX$549,MATCH(Q$2,'Slutlig allokering kvv'!$B$1:$BX$1,0),FALSE)/1,0))</f>
        <v>0</v>
      </c>
      <c r="R60" s="121">
        <f>IF($D60="","",IFERROR(VLOOKUP($B60,Kraftvärmeprod!$B$1:$BX$549,MATCH(R$2,Kraftvärmeprod!$B$1:$VX$1,0),FALSE)/1,0)-IFERROR(VLOOKUP($B60,'Slutlig allokering kvv'!$B$2:$BX$549,MATCH(R$2,'Slutlig allokering kvv'!$B$1:$BX$1,0),FALSE)/1,0))</f>
        <v>0</v>
      </c>
      <c r="S60" s="121">
        <f>IF($D60="","",IFERROR(VLOOKUP($B60,Kraftvärmeprod!$B$1:$BX$549,MATCH(S$2,Kraftvärmeprod!$B$1:$VX$1,0),FALSE)/1,0)-IFERROR(VLOOKUP($B60,'Slutlig allokering kvv'!$B$2:$BX$549,MATCH(S$2,'Slutlig allokering kvv'!$B$1:$BX$1,0),FALSE)/1,0))</f>
        <v>0</v>
      </c>
      <c r="T60" s="121">
        <f>IF($D60="","",IFERROR(VLOOKUP($B60,Kraftvärmeprod!$B$1:$BX$549,MATCH(T$2,Kraftvärmeprod!$B$1:$VX$1,0),FALSE)/1,0)-IFERROR(VLOOKUP($B60,'Slutlig allokering kvv'!$B$2:$BX$549,MATCH(T$2,'Slutlig allokering kvv'!$B$1:$BX$1,0),FALSE)/1,0))</f>
        <v>0</v>
      </c>
      <c r="U60" s="121">
        <f>IF($D60="","",IFERROR(VLOOKUP($B60,Kraftvärmeprod!$B$1:$BX$549,MATCH(U$2,Kraftvärmeprod!$B$1:$VX$1,0),FALSE)/1,0)-IFERROR(VLOOKUP($B60,'Slutlig allokering kvv'!$B$2:$BX$549,MATCH(U$2,'Slutlig allokering kvv'!$B$1:$BX$1,0),FALSE)/1,0))</f>
        <v>0</v>
      </c>
      <c r="V60" s="121">
        <f>IF($D60="","",IFERROR(VLOOKUP($B60,Kraftvärmeprod!$B$1:$BX$549,MATCH(V$2,Kraftvärmeprod!$B$1:$VX$1,0),FALSE)/1,0)-IFERROR(VLOOKUP($B60,'Slutlig allokering kvv'!$B$2:$BX$549,MATCH(V$2,'Slutlig allokering kvv'!$B$1:$BX$1,0),FALSE)/1,0))</f>
        <v>47.399799999999992</v>
      </c>
      <c r="W60" s="121">
        <f>IF($D60="","",IFERROR(VLOOKUP($B60,Kraftvärmeprod!$B$1:$BX$549,MATCH(W$2,Kraftvärmeprod!$B$1:$VX$1,0),FALSE)/1,0)-IFERROR(VLOOKUP($B60,'Slutlig allokering kvv'!$B$2:$BX$549,MATCH(W$2,'Slutlig allokering kvv'!$B$1:$BX$1,0),FALSE)/1,0))</f>
        <v>0</v>
      </c>
      <c r="X60" s="121">
        <f>IF($D60="","",IFERROR(VLOOKUP($B60,Kraftvärmeprod!$B$1:$BX$549,MATCH(X$2,Kraftvärmeprod!$B$1:$VX$1,0),FALSE)/1,0)-IFERROR(VLOOKUP($B60,'Slutlig allokering kvv'!$B$2:$BX$549,MATCH(X$2,'Slutlig allokering kvv'!$B$1:$BX$1,0),FALSE)/1,0))</f>
        <v>0</v>
      </c>
      <c r="Y60" s="121">
        <f>IF($D60="","",IFERROR(VLOOKUP($B60,Kraftvärmeprod!$B$1:$BX$549,MATCH(Y$2,Kraftvärmeprod!$B$1:$VX$1,0),FALSE)/1,0)-IFERROR(VLOOKUP($B60,'Slutlig allokering kvv'!$B$2:$BX$549,MATCH(Y$2,'Slutlig allokering kvv'!$B$1:$BX$1,0),FALSE)/1,0))</f>
        <v>0</v>
      </c>
      <c r="Z60" s="121">
        <f>IF($D60="","",IFERROR(VLOOKUP($B60,Kraftvärmeprod!$B$1:$BX$549,MATCH(Z$2,Kraftvärmeprod!$B$1:$VX$1,0),FALSE)/1,0)-IFERROR(VLOOKUP($B60,'Slutlig allokering kvv'!$B$2:$BX$549,MATCH(Z$2,'Slutlig allokering kvv'!$B$1:$BX$1,0),FALSE)/1,0))</f>
        <v>0</v>
      </c>
      <c r="AA60" s="121">
        <f>IF($D60="","",IFERROR(VLOOKUP($B60,Kraftvärmeprod!$B$1:$BX$549,MATCH(AA$2,Kraftvärmeprod!$B$1:$VX$1,0),FALSE)/1,0)-IFERROR(VLOOKUP($B60,'Slutlig allokering kvv'!$B$2:$BX$549,MATCH(AA$2,'Slutlig allokering kvv'!$B$1:$BX$1,0),FALSE)/1,0))</f>
        <v>653.84100000000012</v>
      </c>
      <c r="AB60" s="121">
        <f>IF($D60="","",IFERROR(VLOOKUP($B60,Kraftvärmeprod!$B$1:$BX$549,MATCH(AB$2,Kraftvärmeprod!$B$1:$VX$1,0),FALSE)/1,0)-IFERROR(VLOOKUP($B60,'Slutlig allokering kvv'!$B$2:$BX$549,MATCH(AB$2,'Slutlig allokering kvv'!$B$1:$BX$1,0),FALSE)/1,0))</f>
        <v>0</v>
      </c>
      <c r="AC60" s="121">
        <f>IF($D60="","",IFERROR(VLOOKUP($B60,Kraftvärmeprod!$B$1:$BX$549,MATCH(AC$2,Kraftvärmeprod!$B$1:$VX$1,0),FALSE)/1,0)-IFERROR(VLOOKUP($B60,'Slutlig allokering kvv'!$B$2:$BX$549,MATCH(AC$2,'Slutlig allokering kvv'!$B$1:$BX$1,0),FALSE)/1,0))</f>
        <v>0</v>
      </c>
      <c r="AD60" s="121">
        <f>IF($D60="","",IFERROR(VLOOKUP($B60,Kraftvärmeprod!$B$1:$BX$549,MATCH(AD$2,Kraftvärmeprod!$B$1:$VX$1,0),FALSE)/1,0)-IFERROR(VLOOKUP($B60,'Slutlig allokering kvv'!$B$2:$BX$549,MATCH(AD$2,'Slutlig allokering kvv'!$B$1:$BX$1,0),FALSE)/1,0))</f>
        <v>0</v>
      </c>
      <c r="AE60" s="121">
        <f>IF($D60="","",IFERROR(VLOOKUP($B60,Miljö!$B$1:$E$550,MATCH("Hjälpel kraftvärme (GWh)",Miljö!$B$1:$E$1,0),FALSE)/1,0)-IFERROR(VLOOKUP($B60,'Slutlig allokering kvv'!$B$2:$BX$549,MATCH(AE$2,'Slutlig allokering kvv'!$B$1:$BX$1,0),FALSE)/1,0))</f>
        <v>40.515800000000006</v>
      </c>
      <c r="AI60" s="121">
        <f t="shared" si="0"/>
        <v>782.85410700000011</v>
      </c>
      <c r="AK60" s="121">
        <f>IFERROR(VLOOKUP($B60,'Slutlig allokering kvv'!$B$2:$AX$549,MATCH("Summa slutlig allokerad tillförd energi (utan hjälpel och rökgaskondensering):",'Slutlig allokering kvv'!$B$1:$AX$1,0),FALSE)/1,"")</f>
        <v>722.34589299999993</v>
      </c>
      <c r="AM60" s="172">
        <f>IFERROR(1-VLOOKUP($B60,'Slutlig allokering kvv'!$B$2:$AX$549,MATCH("Andel av bränsle i kvv som allokerats till värme, exklusive rökgaskondensering och hjälpel",'Slutlig allokering kvv'!$B$1:$AX$1,0),FALSE),"")</f>
        <v>0.52009972561785811</v>
      </c>
      <c r="AO60" s="172">
        <f t="shared" si="1"/>
        <v>0.52009972561785811</v>
      </c>
      <c r="AP60" s="173">
        <f t="shared" si="2"/>
        <v>0</v>
      </c>
      <c r="AR60" s="172">
        <f t="shared" si="3"/>
        <v>0.42411071503977121</v>
      </c>
    </row>
    <row r="61" spans="1:44" x14ac:dyDescent="0.25">
      <c r="A61" s="171" t="str">
        <f>'Miljövärden för publ företag'!B63</f>
        <v>E.ON Värme Sverige AB</v>
      </c>
      <c r="B61" s="171" t="str">
        <f>'Miljövärden för publ företag'!C63</f>
        <v>Täby E.ON.</v>
      </c>
      <c r="C61" s="121" t="str">
        <f>IFERROR(VLOOKUP($B61,Kraftvärmeprod!$B$1:$AH$478,MATCH(C$2,Kraftvärmeprod!$B$1:$AG$1,0),FALSE)/1,"")</f>
        <v/>
      </c>
      <c r="D61" s="121" t="str">
        <f>IFERROR(VLOOKUP($B61,Kraftvärmeprod!$B$1:$AH$478,MATCH(D$2,Kraftvärmeprod!$B$1:$AG$1,0),FALSE)/1,"")</f>
        <v/>
      </c>
      <c r="F61" s="121" t="str">
        <f>IF($D61="","",IFERROR(VLOOKUP($B61,Kraftvärmeprod!$B$1:$BX$549,MATCH(F$2,Kraftvärmeprod!$B$1:$VX$1,0),FALSE)/1,0)-IFERROR(VLOOKUP($B61,'Slutlig allokering kvv'!$B$2:$BX$549,MATCH(F$2,'Slutlig allokering kvv'!$B$1:$BX$1,0),FALSE)/1,0))</f>
        <v/>
      </c>
      <c r="G61" s="121" t="str">
        <f>IF($D61="","",IFERROR(VLOOKUP($B61,Kraftvärmeprod!$B$1:$BX$549,MATCH(G$2,Kraftvärmeprod!$B$1:$VX$1,0),FALSE)/1,0)-IFERROR(VLOOKUP($B61,'Slutlig allokering kvv'!$B$2:$BX$549,MATCH(G$2,'Slutlig allokering kvv'!$B$1:$BX$1,0),FALSE)/1,0))</f>
        <v/>
      </c>
      <c r="H61" s="121" t="str">
        <f>IF($D61="","",IFERROR(VLOOKUP($B61,Kraftvärmeprod!$B$1:$BX$549,MATCH(H$2,Kraftvärmeprod!$B$1:$VX$1,0),FALSE)/1,0)-IFERROR(VLOOKUP($B61,'Slutlig allokering kvv'!$B$2:$BX$549,MATCH(H$2,'Slutlig allokering kvv'!$B$1:$BX$1,0),FALSE)/1,0))</f>
        <v/>
      </c>
      <c r="I61" s="121" t="str">
        <f>IF($D61="","",IFERROR(VLOOKUP($B61,Kraftvärmeprod!$B$1:$BX$549,MATCH(I$2,Kraftvärmeprod!$B$1:$VX$1,0),FALSE)/1,0)-IFERROR(VLOOKUP($B61,'Slutlig allokering kvv'!$B$2:$BX$549,MATCH(I$2,'Slutlig allokering kvv'!$B$1:$BX$1,0),FALSE)/1,0))</f>
        <v/>
      </c>
      <c r="J61" s="121" t="str">
        <f>IF($D61="","",IFERROR(VLOOKUP($B61,Kraftvärmeprod!$B$1:$BX$549,MATCH(J$2,Kraftvärmeprod!$B$1:$VX$1,0),FALSE)/1,0)-IFERROR(VLOOKUP($B61,'Slutlig allokering kvv'!$B$2:$BX$549,MATCH(J$2,'Slutlig allokering kvv'!$B$1:$BX$1,0),FALSE)/1,0))</f>
        <v/>
      </c>
      <c r="K61" s="121" t="str">
        <f>IF($D61="","",IFERROR(VLOOKUP($B61,Kraftvärmeprod!$B$1:$BX$549,MATCH(K$2,Kraftvärmeprod!$B$1:$VX$1,0),FALSE)/1,0)-IFERROR(VLOOKUP($B61,'Slutlig allokering kvv'!$B$2:$BX$549,MATCH(K$2,'Slutlig allokering kvv'!$B$1:$BX$1,0),FALSE)/1,0))</f>
        <v/>
      </c>
      <c r="L61" s="121" t="str">
        <f>IF($D61="","",IFERROR(VLOOKUP($B61,Kraftvärmeprod!$B$1:$BX$549,MATCH(L$2,Kraftvärmeprod!$B$1:$VX$1,0),FALSE)/1,0)-IFERROR(VLOOKUP($B61,'Slutlig allokering kvv'!$B$2:$BX$549,MATCH(L$2,'Slutlig allokering kvv'!$B$1:$BX$1,0),FALSE)/1,0))</f>
        <v/>
      </c>
      <c r="M61" s="121" t="str">
        <f>IF($D61="","",IFERROR(VLOOKUP($B61,Kraftvärmeprod!$B$1:$BX$549,MATCH(M$2,Kraftvärmeprod!$B$1:$VX$1,0),FALSE)/1,0)-IFERROR(VLOOKUP($B61,'Slutlig allokering kvv'!$B$2:$BX$549,MATCH(M$2,'Slutlig allokering kvv'!$B$1:$BX$1,0),FALSE)/1,0))</f>
        <v/>
      </c>
      <c r="N61" s="121" t="str">
        <f>IF($D61="","",IFERROR(VLOOKUP($B61,Kraftvärmeprod!$B$1:$BX$549,MATCH(N$2,Kraftvärmeprod!$B$1:$VX$1,0),FALSE)/1,0)-IFERROR(VLOOKUP($B61,'Slutlig allokering kvv'!$B$2:$BX$549,MATCH(N$2,'Slutlig allokering kvv'!$B$1:$BX$1,0),FALSE)/1,0))</f>
        <v/>
      </c>
      <c r="O61" s="121" t="str">
        <f>IF($D61="","",IFERROR(VLOOKUP($B61,Kraftvärmeprod!$B$1:$BX$549,MATCH(O$2,Kraftvärmeprod!$B$1:$VX$1,0),FALSE)/1,0)-IFERROR(VLOOKUP($B61,'Slutlig allokering kvv'!$B$2:$BX$549,MATCH(O$2,'Slutlig allokering kvv'!$B$1:$BX$1,0),FALSE)/1,0))</f>
        <v/>
      </c>
      <c r="P61" s="121" t="str">
        <f>IF($D61="","",IFERROR(VLOOKUP($B61,Kraftvärmeprod!$B$1:$BX$549,MATCH(P$2,Kraftvärmeprod!$B$1:$VX$1,0),FALSE)/1,0)-IFERROR(VLOOKUP($B61,'Slutlig allokering kvv'!$B$2:$BX$549,MATCH(P$2,'Slutlig allokering kvv'!$B$1:$BX$1,0),FALSE)/1,0))</f>
        <v/>
      </c>
      <c r="Q61" s="121" t="str">
        <f>IF($D61="","",IFERROR(VLOOKUP($B61,Kraftvärmeprod!$B$1:$BX$549,MATCH(Q$2,Kraftvärmeprod!$B$1:$VX$1,0),FALSE)/1,0)-IFERROR(VLOOKUP($B61,'Slutlig allokering kvv'!$B$2:$BX$549,MATCH(Q$2,'Slutlig allokering kvv'!$B$1:$BX$1,0),FALSE)/1,0))</f>
        <v/>
      </c>
      <c r="R61" s="121" t="str">
        <f>IF($D61="","",IFERROR(VLOOKUP($B61,Kraftvärmeprod!$B$1:$BX$549,MATCH(R$2,Kraftvärmeprod!$B$1:$VX$1,0),FALSE)/1,0)-IFERROR(VLOOKUP($B61,'Slutlig allokering kvv'!$B$2:$BX$549,MATCH(R$2,'Slutlig allokering kvv'!$B$1:$BX$1,0),FALSE)/1,0))</f>
        <v/>
      </c>
      <c r="S61" s="121" t="str">
        <f>IF($D61="","",IFERROR(VLOOKUP($B61,Kraftvärmeprod!$B$1:$BX$549,MATCH(S$2,Kraftvärmeprod!$B$1:$VX$1,0),FALSE)/1,0)-IFERROR(VLOOKUP($B61,'Slutlig allokering kvv'!$B$2:$BX$549,MATCH(S$2,'Slutlig allokering kvv'!$B$1:$BX$1,0),FALSE)/1,0))</f>
        <v/>
      </c>
      <c r="T61" s="121" t="str">
        <f>IF($D61="","",IFERROR(VLOOKUP($B61,Kraftvärmeprod!$B$1:$BX$549,MATCH(T$2,Kraftvärmeprod!$B$1:$VX$1,0),FALSE)/1,0)-IFERROR(VLOOKUP($B61,'Slutlig allokering kvv'!$B$2:$BX$549,MATCH(T$2,'Slutlig allokering kvv'!$B$1:$BX$1,0),FALSE)/1,0))</f>
        <v/>
      </c>
      <c r="U61" s="121" t="str">
        <f>IF($D61="","",IFERROR(VLOOKUP($B61,Kraftvärmeprod!$B$1:$BX$549,MATCH(U$2,Kraftvärmeprod!$B$1:$VX$1,0),FALSE)/1,0)-IFERROR(VLOOKUP($B61,'Slutlig allokering kvv'!$B$2:$BX$549,MATCH(U$2,'Slutlig allokering kvv'!$B$1:$BX$1,0),FALSE)/1,0))</f>
        <v/>
      </c>
      <c r="V61" s="121" t="str">
        <f>IF($D61="","",IFERROR(VLOOKUP($B61,Kraftvärmeprod!$B$1:$BX$549,MATCH(V$2,Kraftvärmeprod!$B$1:$VX$1,0),FALSE)/1,0)-IFERROR(VLOOKUP($B61,'Slutlig allokering kvv'!$B$2:$BX$549,MATCH(V$2,'Slutlig allokering kvv'!$B$1:$BX$1,0),FALSE)/1,0))</f>
        <v/>
      </c>
      <c r="W61" s="121" t="str">
        <f>IF($D61="","",IFERROR(VLOOKUP($B61,Kraftvärmeprod!$B$1:$BX$549,MATCH(W$2,Kraftvärmeprod!$B$1:$VX$1,0),FALSE)/1,0)-IFERROR(VLOOKUP($B61,'Slutlig allokering kvv'!$B$2:$BX$549,MATCH(W$2,'Slutlig allokering kvv'!$B$1:$BX$1,0),FALSE)/1,0))</f>
        <v/>
      </c>
      <c r="X61" s="121" t="str">
        <f>IF($D61="","",IFERROR(VLOOKUP($B61,Kraftvärmeprod!$B$1:$BX$549,MATCH(X$2,Kraftvärmeprod!$B$1:$VX$1,0),FALSE)/1,0)-IFERROR(VLOOKUP($B61,'Slutlig allokering kvv'!$B$2:$BX$549,MATCH(X$2,'Slutlig allokering kvv'!$B$1:$BX$1,0),FALSE)/1,0))</f>
        <v/>
      </c>
      <c r="Y61" s="121" t="str">
        <f>IF($D61="","",IFERROR(VLOOKUP($B61,Kraftvärmeprod!$B$1:$BX$549,MATCH(Y$2,Kraftvärmeprod!$B$1:$VX$1,0),FALSE)/1,0)-IFERROR(VLOOKUP($B61,'Slutlig allokering kvv'!$B$2:$BX$549,MATCH(Y$2,'Slutlig allokering kvv'!$B$1:$BX$1,0),FALSE)/1,0))</f>
        <v/>
      </c>
      <c r="Z61" s="121" t="str">
        <f>IF($D61="","",IFERROR(VLOOKUP($B61,Kraftvärmeprod!$B$1:$BX$549,MATCH(Z$2,Kraftvärmeprod!$B$1:$VX$1,0),FALSE)/1,0)-IFERROR(VLOOKUP($B61,'Slutlig allokering kvv'!$B$2:$BX$549,MATCH(Z$2,'Slutlig allokering kvv'!$B$1:$BX$1,0),FALSE)/1,0))</f>
        <v/>
      </c>
      <c r="AA61" s="121" t="str">
        <f>IF($D61="","",IFERROR(VLOOKUP($B61,Kraftvärmeprod!$B$1:$BX$549,MATCH(AA$2,Kraftvärmeprod!$B$1:$VX$1,0),FALSE)/1,0)-IFERROR(VLOOKUP($B61,'Slutlig allokering kvv'!$B$2:$BX$549,MATCH(AA$2,'Slutlig allokering kvv'!$B$1:$BX$1,0),FALSE)/1,0))</f>
        <v/>
      </c>
      <c r="AB61" s="121" t="str">
        <f>IF($D61="","",IFERROR(VLOOKUP($B61,Kraftvärmeprod!$B$1:$BX$549,MATCH(AB$2,Kraftvärmeprod!$B$1:$VX$1,0),FALSE)/1,0)-IFERROR(VLOOKUP($B61,'Slutlig allokering kvv'!$B$2:$BX$549,MATCH(AB$2,'Slutlig allokering kvv'!$B$1:$BX$1,0),FALSE)/1,0))</f>
        <v/>
      </c>
      <c r="AC61" s="121" t="str">
        <f>IF($D61="","",IFERROR(VLOOKUP($B61,Kraftvärmeprod!$B$1:$BX$549,MATCH(AC$2,Kraftvärmeprod!$B$1:$VX$1,0),FALSE)/1,0)-IFERROR(VLOOKUP($B61,'Slutlig allokering kvv'!$B$2:$BX$549,MATCH(AC$2,'Slutlig allokering kvv'!$B$1:$BX$1,0),FALSE)/1,0))</f>
        <v/>
      </c>
      <c r="AD61" s="121" t="str">
        <f>IF($D61="","",IFERROR(VLOOKUP($B61,Kraftvärmeprod!$B$1:$BX$549,MATCH(AD$2,Kraftvärmeprod!$B$1:$VX$1,0),FALSE)/1,0)-IFERROR(VLOOKUP($B61,'Slutlig allokering kvv'!$B$2:$BX$549,MATCH(AD$2,'Slutlig allokering kvv'!$B$1:$BX$1,0),FALSE)/1,0))</f>
        <v/>
      </c>
      <c r="AE61" s="121" t="str">
        <f>IF($D61="","",IFERROR(VLOOKUP($B61,Miljö!$B$1:$E$550,MATCH("Hjälpel kraftvärme (GWh)",Miljö!$B$1:$E$1,0),FALSE)/1,0)-IFERROR(VLOOKUP($B61,'Slutlig allokering kvv'!$B$2:$BX$549,MATCH(AE$2,'Slutlig allokering kvv'!$B$1:$BX$1,0),FALSE)/1,0))</f>
        <v/>
      </c>
      <c r="AI61" s="121">
        <f t="shared" si="0"/>
        <v>0</v>
      </c>
      <c r="AK61" s="121">
        <f>IFERROR(VLOOKUP($B61,'Slutlig allokering kvv'!$B$2:$AX$549,MATCH("Summa slutlig allokerad tillförd energi (utan hjälpel och rökgaskondensering):",'Slutlig allokering kvv'!$B$1:$AX$1,0),FALSE)/1,"")</f>
        <v>0</v>
      </c>
      <c r="AM61" s="172" t="str">
        <f>IFERROR(1-VLOOKUP($B61,'Slutlig allokering kvv'!$B$2:$AX$549,MATCH("Andel av bränsle i kvv som allokerats till värme, exklusive rökgaskondensering och hjälpel",'Slutlig allokering kvv'!$B$1:$AX$1,0),FALSE),"")</f>
        <v/>
      </c>
      <c r="AO61" s="172" t="str">
        <f t="shared" si="1"/>
        <v/>
      </c>
      <c r="AP61" s="173" t="str">
        <f t="shared" si="2"/>
        <v/>
      </c>
      <c r="AR61" s="172" t="str">
        <f t="shared" si="3"/>
        <v/>
      </c>
    </row>
    <row r="62" spans="1:44" x14ac:dyDescent="0.25">
      <c r="A62" s="171" t="str">
        <f>'Miljövärden för publ företag'!B64</f>
        <v>E.ON Värme Sverige AB</v>
      </c>
      <c r="B62" s="171" t="str">
        <f>'Miljövärden för publ företag'!C64</f>
        <v>Vallentuna</v>
      </c>
      <c r="C62" s="121" t="str">
        <f>IFERROR(VLOOKUP($B62,Kraftvärmeprod!$B$1:$AH$478,MATCH(C$2,Kraftvärmeprod!$B$1:$AG$1,0),FALSE)/1,"")</f>
        <v/>
      </c>
      <c r="D62" s="121" t="str">
        <f>IFERROR(VLOOKUP($B62,Kraftvärmeprod!$B$1:$AH$478,MATCH(D$2,Kraftvärmeprod!$B$1:$AG$1,0),FALSE)/1,"")</f>
        <v/>
      </c>
      <c r="F62" s="121" t="str">
        <f>IF($D62="","",IFERROR(VLOOKUP($B62,Kraftvärmeprod!$B$1:$BX$549,MATCH(F$2,Kraftvärmeprod!$B$1:$VX$1,0),FALSE)/1,0)-IFERROR(VLOOKUP($B62,'Slutlig allokering kvv'!$B$2:$BX$549,MATCH(F$2,'Slutlig allokering kvv'!$B$1:$BX$1,0),FALSE)/1,0))</f>
        <v/>
      </c>
      <c r="G62" s="121" t="str">
        <f>IF($D62="","",IFERROR(VLOOKUP($B62,Kraftvärmeprod!$B$1:$BX$549,MATCH(G$2,Kraftvärmeprod!$B$1:$VX$1,0),FALSE)/1,0)-IFERROR(VLOOKUP($B62,'Slutlig allokering kvv'!$B$2:$BX$549,MATCH(G$2,'Slutlig allokering kvv'!$B$1:$BX$1,0),FALSE)/1,0))</f>
        <v/>
      </c>
      <c r="H62" s="121" t="str">
        <f>IF($D62="","",IFERROR(VLOOKUP($B62,Kraftvärmeprod!$B$1:$BX$549,MATCH(H$2,Kraftvärmeprod!$B$1:$VX$1,0),FALSE)/1,0)-IFERROR(VLOOKUP($B62,'Slutlig allokering kvv'!$B$2:$BX$549,MATCH(H$2,'Slutlig allokering kvv'!$B$1:$BX$1,0),FALSE)/1,0))</f>
        <v/>
      </c>
      <c r="I62" s="121" t="str">
        <f>IF($D62="","",IFERROR(VLOOKUP($B62,Kraftvärmeprod!$B$1:$BX$549,MATCH(I$2,Kraftvärmeprod!$B$1:$VX$1,0),FALSE)/1,0)-IFERROR(VLOOKUP($B62,'Slutlig allokering kvv'!$B$2:$BX$549,MATCH(I$2,'Slutlig allokering kvv'!$B$1:$BX$1,0),FALSE)/1,0))</f>
        <v/>
      </c>
      <c r="J62" s="121" t="str">
        <f>IF($D62="","",IFERROR(VLOOKUP($B62,Kraftvärmeprod!$B$1:$BX$549,MATCH(J$2,Kraftvärmeprod!$B$1:$VX$1,0),FALSE)/1,0)-IFERROR(VLOOKUP($B62,'Slutlig allokering kvv'!$B$2:$BX$549,MATCH(J$2,'Slutlig allokering kvv'!$B$1:$BX$1,0),FALSE)/1,0))</f>
        <v/>
      </c>
      <c r="K62" s="121" t="str">
        <f>IF($D62="","",IFERROR(VLOOKUP($B62,Kraftvärmeprod!$B$1:$BX$549,MATCH(K$2,Kraftvärmeprod!$B$1:$VX$1,0),FALSE)/1,0)-IFERROR(VLOOKUP($B62,'Slutlig allokering kvv'!$B$2:$BX$549,MATCH(K$2,'Slutlig allokering kvv'!$B$1:$BX$1,0),FALSE)/1,0))</f>
        <v/>
      </c>
      <c r="L62" s="121" t="str">
        <f>IF($D62="","",IFERROR(VLOOKUP($B62,Kraftvärmeprod!$B$1:$BX$549,MATCH(L$2,Kraftvärmeprod!$B$1:$VX$1,0),FALSE)/1,0)-IFERROR(VLOOKUP($B62,'Slutlig allokering kvv'!$B$2:$BX$549,MATCH(L$2,'Slutlig allokering kvv'!$B$1:$BX$1,0),FALSE)/1,0))</f>
        <v/>
      </c>
      <c r="M62" s="121" t="str">
        <f>IF($D62="","",IFERROR(VLOOKUP($B62,Kraftvärmeprod!$B$1:$BX$549,MATCH(M$2,Kraftvärmeprod!$B$1:$VX$1,0),FALSE)/1,0)-IFERROR(VLOOKUP($B62,'Slutlig allokering kvv'!$B$2:$BX$549,MATCH(M$2,'Slutlig allokering kvv'!$B$1:$BX$1,0),FALSE)/1,0))</f>
        <v/>
      </c>
      <c r="N62" s="121" t="str">
        <f>IF($D62="","",IFERROR(VLOOKUP($B62,Kraftvärmeprod!$B$1:$BX$549,MATCH(N$2,Kraftvärmeprod!$B$1:$VX$1,0),FALSE)/1,0)-IFERROR(VLOOKUP($B62,'Slutlig allokering kvv'!$B$2:$BX$549,MATCH(N$2,'Slutlig allokering kvv'!$B$1:$BX$1,0),FALSE)/1,0))</f>
        <v/>
      </c>
      <c r="O62" s="121" t="str">
        <f>IF($D62="","",IFERROR(VLOOKUP($B62,Kraftvärmeprod!$B$1:$BX$549,MATCH(O$2,Kraftvärmeprod!$B$1:$VX$1,0),FALSE)/1,0)-IFERROR(VLOOKUP($B62,'Slutlig allokering kvv'!$B$2:$BX$549,MATCH(O$2,'Slutlig allokering kvv'!$B$1:$BX$1,0),FALSE)/1,0))</f>
        <v/>
      </c>
      <c r="P62" s="121" t="str">
        <f>IF($D62="","",IFERROR(VLOOKUP($B62,Kraftvärmeprod!$B$1:$BX$549,MATCH(P$2,Kraftvärmeprod!$B$1:$VX$1,0),FALSE)/1,0)-IFERROR(VLOOKUP($B62,'Slutlig allokering kvv'!$B$2:$BX$549,MATCH(P$2,'Slutlig allokering kvv'!$B$1:$BX$1,0),FALSE)/1,0))</f>
        <v/>
      </c>
      <c r="Q62" s="121" t="str">
        <f>IF($D62="","",IFERROR(VLOOKUP($B62,Kraftvärmeprod!$B$1:$BX$549,MATCH(Q$2,Kraftvärmeprod!$B$1:$VX$1,0),FALSE)/1,0)-IFERROR(VLOOKUP($B62,'Slutlig allokering kvv'!$B$2:$BX$549,MATCH(Q$2,'Slutlig allokering kvv'!$B$1:$BX$1,0),FALSE)/1,0))</f>
        <v/>
      </c>
      <c r="R62" s="121" t="str">
        <f>IF($D62="","",IFERROR(VLOOKUP($B62,Kraftvärmeprod!$B$1:$BX$549,MATCH(R$2,Kraftvärmeprod!$B$1:$VX$1,0),FALSE)/1,0)-IFERROR(VLOOKUP($B62,'Slutlig allokering kvv'!$B$2:$BX$549,MATCH(R$2,'Slutlig allokering kvv'!$B$1:$BX$1,0),FALSE)/1,0))</f>
        <v/>
      </c>
      <c r="S62" s="121" t="str">
        <f>IF($D62="","",IFERROR(VLOOKUP($B62,Kraftvärmeprod!$B$1:$BX$549,MATCH(S$2,Kraftvärmeprod!$B$1:$VX$1,0),FALSE)/1,0)-IFERROR(VLOOKUP($B62,'Slutlig allokering kvv'!$B$2:$BX$549,MATCH(S$2,'Slutlig allokering kvv'!$B$1:$BX$1,0),FALSE)/1,0))</f>
        <v/>
      </c>
      <c r="T62" s="121" t="str">
        <f>IF($D62="","",IFERROR(VLOOKUP($B62,Kraftvärmeprod!$B$1:$BX$549,MATCH(T$2,Kraftvärmeprod!$B$1:$VX$1,0),FALSE)/1,0)-IFERROR(VLOOKUP($B62,'Slutlig allokering kvv'!$B$2:$BX$549,MATCH(T$2,'Slutlig allokering kvv'!$B$1:$BX$1,0),FALSE)/1,0))</f>
        <v/>
      </c>
      <c r="U62" s="121" t="str">
        <f>IF($D62="","",IFERROR(VLOOKUP($B62,Kraftvärmeprod!$B$1:$BX$549,MATCH(U$2,Kraftvärmeprod!$B$1:$VX$1,0),FALSE)/1,0)-IFERROR(VLOOKUP($B62,'Slutlig allokering kvv'!$B$2:$BX$549,MATCH(U$2,'Slutlig allokering kvv'!$B$1:$BX$1,0),FALSE)/1,0))</f>
        <v/>
      </c>
      <c r="V62" s="121" t="str">
        <f>IF($D62="","",IFERROR(VLOOKUP($B62,Kraftvärmeprod!$B$1:$BX$549,MATCH(V$2,Kraftvärmeprod!$B$1:$VX$1,0),FALSE)/1,0)-IFERROR(VLOOKUP($B62,'Slutlig allokering kvv'!$B$2:$BX$549,MATCH(V$2,'Slutlig allokering kvv'!$B$1:$BX$1,0),FALSE)/1,0))</f>
        <v/>
      </c>
      <c r="W62" s="121" t="str">
        <f>IF($D62="","",IFERROR(VLOOKUP($B62,Kraftvärmeprod!$B$1:$BX$549,MATCH(W$2,Kraftvärmeprod!$B$1:$VX$1,0),FALSE)/1,0)-IFERROR(VLOOKUP($B62,'Slutlig allokering kvv'!$B$2:$BX$549,MATCH(W$2,'Slutlig allokering kvv'!$B$1:$BX$1,0),FALSE)/1,0))</f>
        <v/>
      </c>
      <c r="X62" s="121" t="str">
        <f>IF($D62="","",IFERROR(VLOOKUP($B62,Kraftvärmeprod!$B$1:$BX$549,MATCH(X$2,Kraftvärmeprod!$B$1:$VX$1,0),FALSE)/1,0)-IFERROR(VLOOKUP($B62,'Slutlig allokering kvv'!$B$2:$BX$549,MATCH(X$2,'Slutlig allokering kvv'!$B$1:$BX$1,0),FALSE)/1,0))</f>
        <v/>
      </c>
      <c r="Y62" s="121" t="str">
        <f>IF($D62="","",IFERROR(VLOOKUP($B62,Kraftvärmeprod!$B$1:$BX$549,MATCH(Y$2,Kraftvärmeprod!$B$1:$VX$1,0),FALSE)/1,0)-IFERROR(VLOOKUP($B62,'Slutlig allokering kvv'!$B$2:$BX$549,MATCH(Y$2,'Slutlig allokering kvv'!$B$1:$BX$1,0),FALSE)/1,0))</f>
        <v/>
      </c>
      <c r="Z62" s="121" t="str">
        <f>IF($D62="","",IFERROR(VLOOKUP($B62,Kraftvärmeprod!$B$1:$BX$549,MATCH(Z$2,Kraftvärmeprod!$B$1:$VX$1,0),FALSE)/1,0)-IFERROR(VLOOKUP($B62,'Slutlig allokering kvv'!$B$2:$BX$549,MATCH(Z$2,'Slutlig allokering kvv'!$B$1:$BX$1,0),FALSE)/1,0))</f>
        <v/>
      </c>
      <c r="AA62" s="121" t="str">
        <f>IF($D62="","",IFERROR(VLOOKUP($B62,Kraftvärmeprod!$B$1:$BX$549,MATCH(AA$2,Kraftvärmeprod!$B$1:$VX$1,0),FALSE)/1,0)-IFERROR(VLOOKUP($B62,'Slutlig allokering kvv'!$B$2:$BX$549,MATCH(AA$2,'Slutlig allokering kvv'!$B$1:$BX$1,0),FALSE)/1,0))</f>
        <v/>
      </c>
      <c r="AB62" s="121" t="str">
        <f>IF($D62="","",IFERROR(VLOOKUP($B62,Kraftvärmeprod!$B$1:$BX$549,MATCH(AB$2,Kraftvärmeprod!$B$1:$VX$1,0),FALSE)/1,0)-IFERROR(VLOOKUP($B62,'Slutlig allokering kvv'!$B$2:$BX$549,MATCH(AB$2,'Slutlig allokering kvv'!$B$1:$BX$1,0),FALSE)/1,0))</f>
        <v/>
      </c>
      <c r="AC62" s="121" t="str">
        <f>IF($D62="","",IFERROR(VLOOKUP($B62,Kraftvärmeprod!$B$1:$BX$549,MATCH(AC$2,Kraftvärmeprod!$B$1:$VX$1,0),FALSE)/1,0)-IFERROR(VLOOKUP($B62,'Slutlig allokering kvv'!$B$2:$BX$549,MATCH(AC$2,'Slutlig allokering kvv'!$B$1:$BX$1,0),FALSE)/1,0))</f>
        <v/>
      </c>
      <c r="AD62" s="121" t="str">
        <f>IF($D62="","",IFERROR(VLOOKUP($B62,Kraftvärmeprod!$B$1:$BX$549,MATCH(AD$2,Kraftvärmeprod!$B$1:$VX$1,0),FALSE)/1,0)-IFERROR(VLOOKUP($B62,'Slutlig allokering kvv'!$B$2:$BX$549,MATCH(AD$2,'Slutlig allokering kvv'!$B$1:$BX$1,0),FALSE)/1,0))</f>
        <v/>
      </c>
      <c r="AE62" s="121" t="str">
        <f>IF($D62="","",IFERROR(VLOOKUP($B62,Miljö!$B$1:$E$550,MATCH("Hjälpel kraftvärme (GWh)",Miljö!$B$1:$E$1,0),FALSE)/1,0)-IFERROR(VLOOKUP($B62,'Slutlig allokering kvv'!$B$2:$BX$549,MATCH(AE$2,'Slutlig allokering kvv'!$B$1:$BX$1,0),FALSE)/1,0))</f>
        <v/>
      </c>
      <c r="AI62" s="121">
        <f t="shared" si="0"/>
        <v>0</v>
      </c>
      <c r="AK62" s="121">
        <f>IFERROR(VLOOKUP($B62,'Slutlig allokering kvv'!$B$2:$AX$549,MATCH("Summa slutlig allokerad tillförd energi (utan hjälpel och rökgaskondensering):",'Slutlig allokering kvv'!$B$1:$AX$1,0),FALSE)/1,"")</f>
        <v>0</v>
      </c>
      <c r="AM62" s="172" t="str">
        <f>IFERROR(1-VLOOKUP($B62,'Slutlig allokering kvv'!$B$2:$AX$549,MATCH("Andel av bränsle i kvv som allokerats till värme, exklusive rökgaskondensering och hjälpel",'Slutlig allokering kvv'!$B$1:$AX$1,0),FALSE),"")</f>
        <v/>
      </c>
      <c r="AO62" s="172" t="str">
        <f t="shared" si="1"/>
        <v/>
      </c>
      <c r="AP62" s="173" t="str">
        <f t="shared" si="2"/>
        <v/>
      </c>
      <c r="AR62" s="172" t="str">
        <f t="shared" si="3"/>
        <v/>
      </c>
    </row>
    <row r="63" spans="1:44" x14ac:dyDescent="0.25">
      <c r="A63" s="171" t="str">
        <f>'Miljövärden för publ företag'!B65</f>
        <v>E.ON Värme Sverige AB</v>
      </c>
      <c r="B63" s="171" t="str">
        <f>'Miljövärden för publ företag'!C65</f>
        <v>Österåker</v>
      </c>
      <c r="C63" s="121" t="str">
        <f>IFERROR(VLOOKUP($B63,Kraftvärmeprod!$B$1:$AH$478,MATCH(C$2,Kraftvärmeprod!$B$1:$AG$1,0),FALSE)/1,"")</f>
        <v/>
      </c>
      <c r="D63" s="121" t="str">
        <f>IFERROR(VLOOKUP($B63,Kraftvärmeprod!$B$1:$AH$478,MATCH(D$2,Kraftvärmeprod!$B$1:$AG$1,0),FALSE)/1,"")</f>
        <v/>
      </c>
      <c r="F63" s="121" t="str">
        <f>IF($D63="","",IFERROR(VLOOKUP($B63,Kraftvärmeprod!$B$1:$BX$549,MATCH(F$2,Kraftvärmeprod!$B$1:$VX$1,0),FALSE)/1,0)-IFERROR(VLOOKUP($B63,'Slutlig allokering kvv'!$B$2:$BX$549,MATCH(F$2,'Slutlig allokering kvv'!$B$1:$BX$1,0),FALSE)/1,0))</f>
        <v/>
      </c>
      <c r="G63" s="121" t="str">
        <f>IF($D63="","",IFERROR(VLOOKUP($B63,Kraftvärmeprod!$B$1:$BX$549,MATCH(G$2,Kraftvärmeprod!$B$1:$VX$1,0),FALSE)/1,0)-IFERROR(VLOOKUP($B63,'Slutlig allokering kvv'!$B$2:$BX$549,MATCH(G$2,'Slutlig allokering kvv'!$B$1:$BX$1,0),FALSE)/1,0))</f>
        <v/>
      </c>
      <c r="H63" s="121" t="str">
        <f>IF($D63="","",IFERROR(VLOOKUP($B63,Kraftvärmeprod!$B$1:$BX$549,MATCH(H$2,Kraftvärmeprod!$B$1:$VX$1,0),FALSE)/1,0)-IFERROR(VLOOKUP($B63,'Slutlig allokering kvv'!$B$2:$BX$549,MATCH(H$2,'Slutlig allokering kvv'!$B$1:$BX$1,0),FALSE)/1,0))</f>
        <v/>
      </c>
      <c r="I63" s="121" t="str">
        <f>IF($D63="","",IFERROR(VLOOKUP($B63,Kraftvärmeprod!$B$1:$BX$549,MATCH(I$2,Kraftvärmeprod!$B$1:$VX$1,0),FALSE)/1,0)-IFERROR(VLOOKUP($B63,'Slutlig allokering kvv'!$B$2:$BX$549,MATCH(I$2,'Slutlig allokering kvv'!$B$1:$BX$1,0),FALSE)/1,0))</f>
        <v/>
      </c>
      <c r="J63" s="121" t="str">
        <f>IF($D63="","",IFERROR(VLOOKUP($B63,Kraftvärmeprod!$B$1:$BX$549,MATCH(J$2,Kraftvärmeprod!$B$1:$VX$1,0),FALSE)/1,0)-IFERROR(VLOOKUP($B63,'Slutlig allokering kvv'!$B$2:$BX$549,MATCH(J$2,'Slutlig allokering kvv'!$B$1:$BX$1,0),FALSE)/1,0))</f>
        <v/>
      </c>
      <c r="K63" s="121" t="str">
        <f>IF($D63="","",IFERROR(VLOOKUP($B63,Kraftvärmeprod!$B$1:$BX$549,MATCH(K$2,Kraftvärmeprod!$B$1:$VX$1,0),FALSE)/1,0)-IFERROR(VLOOKUP($B63,'Slutlig allokering kvv'!$B$2:$BX$549,MATCH(K$2,'Slutlig allokering kvv'!$B$1:$BX$1,0),FALSE)/1,0))</f>
        <v/>
      </c>
      <c r="L63" s="121" t="str">
        <f>IF($D63="","",IFERROR(VLOOKUP($B63,Kraftvärmeprod!$B$1:$BX$549,MATCH(L$2,Kraftvärmeprod!$B$1:$VX$1,0),FALSE)/1,0)-IFERROR(VLOOKUP($B63,'Slutlig allokering kvv'!$B$2:$BX$549,MATCH(L$2,'Slutlig allokering kvv'!$B$1:$BX$1,0),FALSE)/1,0))</f>
        <v/>
      </c>
      <c r="M63" s="121" t="str">
        <f>IF($D63="","",IFERROR(VLOOKUP($B63,Kraftvärmeprod!$B$1:$BX$549,MATCH(M$2,Kraftvärmeprod!$B$1:$VX$1,0),FALSE)/1,0)-IFERROR(VLOOKUP($B63,'Slutlig allokering kvv'!$B$2:$BX$549,MATCH(M$2,'Slutlig allokering kvv'!$B$1:$BX$1,0),FALSE)/1,0))</f>
        <v/>
      </c>
      <c r="N63" s="121" t="str">
        <f>IF($D63="","",IFERROR(VLOOKUP($B63,Kraftvärmeprod!$B$1:$BX$549,MATCH(N$2,Kraftvärmeprod!$B$1:$VX$1,0),FALSE)/1,0)-IFERROR(VLOOKUP($B63,'Slutlig allokering kvv'!$B$2:$BX$549,MATCH(N$2,'Slutlig allokering kvv'!$B$1:$BX$1,0),FALSE)/1,0))</f>
        <v/>
      </c>
      <c r="O63" s="121" t="str">
        <f>IF($D63="","",IFERROR(VLOOKUP($B63,Kraftvärmeprod!$B$1:$BX$549,MATCH(O$2,Kraftvärmeprod!$B$1:$VX$1,0),FALSE)/1,0)-IFERROR(VLOOKUP($B63,'Slutlig allokering kvv'!$B$2:$BX$549,MATCH(O$2,'Slutlig allokering kvv'!$B$1:$BX$1,0),FALSE)/1,0))</f>
        <v/>
      </c>
      <c r="P63" s="121" t="str">
        <f>IF($D63="","",IFERROR(VLOOKUP($B63,Kraftvärmeprod!$B$1:$BX$549,MATCH(P$2,Kraftvärmeprod!$B$1:$VX$1,0),FALSE)/1,0)-IFERROR(VLOOKUP($B63,'Slutlig allokering kvv'!$B$2:$BX$549,MATCH(P$2,'Slutlig allokering kvv'!$B$1:$BX$1,0),FALSE)/1,0))</f>
        <v/>
      </c>
      <c r="Q63" s="121" t="str">
        <f>IF($D63="","",IFERROR(VLOOKUP($B63,Kraftvärmeprod!$B$1:$BX$549,MATCH(Q$2,Kraftvärmeprod!$B$1:$VX$1,0),FALSE)/1,0)-IFERROR(VLOOKUP($B63,'Slutlig allokering kvv'!$B$2:$BX$549,MATCH(Q$2,'Slutlig allokering kvv'!$B$1:$BX$1,0),FALSE)/1,0))</f>
        <v/>
      </c>
      <c r="R63" s="121" t="str">
        <f>IF($D63="","",IFERROR(VLOOKUP($B63,Kraftvärmeprod!$B$1:$BX$549,MATCH(R$2,Kraftvärmeprod!$B$1:$VX$1,0),FALSE)/1,0)-IFERROR(VLOOKUP($B63,'Slutlig allokering kvv'!$B$2:$BX$549,MATCH(R$2,'Slutlig allokering kvv'!$B$1:$BX$1,0),FALSE)/1,0))</f>
        <v/>
      </c>
      <c r="S63" s="121" t="str">
        <f>IF($D63="","",IFERROR(VLOOKUP($B63,Kraftvärmeprod!$B$1:$BX$549,MATCH(S$2,Kraftvärmeprod!$B$1:$VX$1,0),FALSE)/1,0)-IFERROR(VLOOKUP($B63,'Slutlig allokering kvv'!$B$2:$BX$549,MATCH(S$2,'Slutlig allokering kvv'!$B$1:$BX$1,0),FALSE)/1,0))</f>
        <v/>
      </c>
      <c r="T63" s="121" t="str">
        <f>IF($D63="","",IFERROR(VLOOKUP($B63,Kraftvärmeprod!$B$1:$BX$549,MATCH(T$2,Kraftvärmeprod!$B$1:$VX$1,0),FALSE)/1,0)-IFERROR(VLOOKUP($B63,'Slutlig allokering kvv'!$B$2:$BX$549,MATCH(T$2,'Slutlig allokering kvv'!$B$1:$BX$1,0),FALSE)/1,0))</f>
        <v/>
      </c>
      <c r="U63" s="121" t="str">
        <f>IF($D63="","",IFERROR(VLOOKUP($B63,Kraftvärmeprod!$B$1:$BX$549,MATCH(U$2,Kraftvärmeprod!$B$1:$VX$1,0),FALSE)/1,0)-IFERROR(VLOOKUP($B63,'Slutlig allokering kvv'!$B$2:$BX$549,MATCH(U$2,'Slutlig allokering kvv'!$B$1:$BX$1,0),FALSE)/1,0))</f>
        <v/>
      </c>
      <c r="V63" s="121" t="str">
        <f>IF($D63="","",IFERROR(VLOOKUP($B63,Kraftvärmeprod!$B$1:$BX$549,MATCH(V$2,Kraftvärmeprod!$B$1:$VX$1,0),FALSE)/1,0)-IFERROR(VLOOKUP($B63,'Slutlig allokering kvv'!$B$2:$BX$549,MATCH(V$2,'Slutlig allokering kvv'!$B$1:$BX$1,0),FALSE)/1,0))</f>
        <v/>
      </c>
      <c r="W63" s="121" t="str">
        <f>IF($D63="","",IFERROR(VLOOKUP($B63,Kraftvärmeprod!$B$1:$BX$549,MATCH(W$2,Kraftvärmeprod!$B$1:$VX$1,0),FALSE)/1,0)-IFERROR(VLOOKUP($B63,'Slutlig allokering kvv'!$B$2:$BX$549,MATCH(W$2,'Slutlig allokering kvv'!$B$1:$BX$1,0),FALSE)/1,0))</f>
        <v/>
      </c>
      <c r="X63" s="121" t="str">
        <f>IF($D63="","",IFERROR(VLOOKUP($B63,Kraftvärmeprod!$B$1:$BX$549,MATCH(X$2,Kraftvärmeprod!$B$1:$VX$1,0),FALSE)/1,0)-IFERROR(VLOOKUP($B63,'Slutlig allokering kvv'!$B$2:$BX$549,MATCH(X$2,'Slutlig allokering kvv'!$B$1:$BX$1,0),FALSE)/1,0))</f>
        <v/>
      </c>
      <c r="Y63" s="121" t="str">
        <f>IF($D63="","",IFERROR(VLOOKUP($B63,Kraftvärmeprod!$B$1:$BX$549,MATCH(Y$2,Kraftvärmeprod!$B$1:$VX$1,0),FALSE)/1,0)-IFERROR(VLOOKUP($B63,'Slutlig allokering kvv'!$B$2:$BX$549,MATCH(Y$2,'Slutlig allokering kvv'!$B$1:$BX$1,0),FALSE)/1,0))</f>
        <v/>
      </c>
      <c r="Z63" s="121" t="str">
        <f>IF($D63="","",IFERROR(VLOOKUP($B63,Kraftvärmeprod!$B$1:$BX$549,MATCH(Z$2,Kraftvärmeprod!$B$1:$VX$1,0),FALSE)/1,0)-IFERROR(VLOOKUP($B63,'Slutlig allokering kvv'!$B$2:$BX$549,MATCH(Z$2,'Slutlig allokering kvv'!$B$1:$BX$1,0),FALSE)/1,0))</f>
        <v/>
      </c>
      <c r="AA63" s="121" t="str">
        <f>IF($D63="","",IFERROR(VLOOKUP($B63,Kraftvärmeprod!$B$1:$BX$549,MATCH(AA$2,Kraftvärmeprod!$B$1:$VX$1,0),FALSE)/1,0)-IFERROR(VLOOKUP($B63,'Slutlig allokering kvv'!$B$2:$BX$549,MATCH(AA$2,'Slutlig allokering kvv'!$B$1:$BX$1,0),FALSE)/1,0))</f>
        <v/>
      </c>
      <c r="AB63" s="121" t="str">
        <f>IF($D63="","",IFERROR(VLOOKUP($B63,Kraftvärmeprod!$B$1:$BX$549,MATCH(AB$2,Kraftvärmeprod!$B$1:$VX$1,0),FALSE)/1,0)-IFERROR(VLOOKUP($B63,'Slutlig allokering kvv'!$B$2:$BX$549,MATCH(AB$2,'Slutlig allokering kvv'!$B$1:$BX$1,0),FALSE)/1,0))</f>
        <v/>
      </c>
      <c r="AC63" s="121" t="str">
        <f>IF($D63="","",IFERROR(VLOOKUP($B63,Kraftvärmeprod!$B$1:$BX$549,MATCH(AC$2,Kraftvärmeprod!$B$1:$VX$1,0),FALSE)/1,0)-IFERROR(VLOOKUP($B63,'Slutlig allokering kvv'!$B$2:$BX$549,MATCH(AC$2,'Slutlig allokering kvv'!$B$1:$BX$1,0),FALSE)/1,0))</f>
        <v/>
      </c>
      <c r="AD63" s="121" t="str">
        <f>IF($D63="","",IFERROR(VLOOKUP($B63,Kraftvärmeprod!$B$1:$BX$549,MATCH(AD$2,Kraftvärmeprod!$B$1:$VX$1,0),FALSE)/1,0)-IFERROR(VLOOKUP($B63,'Slutlig allokering kvv'!$B$2:$BX$549,MATCH(AD$2,'Slutlig allokering kvv'!$B$1:$BX$1,0),FALSE)/1,0))</f>
        <v/>
      </c>
      <c r="AE63" s="121" t="str">
        <f>IF($D63="","",IFERROR(VLOOKUP($B63,Miljö!$B$1:$E$550,MATCH("Hjälpel kraftvärme (GWh)",Miljö!$B$1:$E$1,0),FALSE)/1,0)-IFERROR(VLOOKUP($B63,'Slutlig allokering kvv'!$B$2:$BX$549,MATCH(AE$2,'Slutlig allokering kvv'!$B$1:$BX$1,0),FALSE)/1,0))</f>
        <v/>
      </c>
      <c r="AI63" s="121">
        <f t="shared" si="0"/>
        <v>0</v>
      </c>
      <c r="AK63" s="121">
        <f>IFERROR(VLOOKUP($B63,'Slutlig allokering kvv'!$B$2:$AX$549,MATCH("Summa slutlig allokerad tillförd energi (utan hjälpel och rökgaskondensering):",'Slutlig allokering kvv'!$B$1:$AX$1,0),FALSE)/1,"")</f>
        <v>0</v>
      </c>
      <c r="AM63" s="172" t="str">
        <f>IFERROR(1-VLOOKUP($B63,'Slutlig allokering kvv'!$B$2:$AX$549,MATCH("Andel av bränsle i kvv som allokerats till värme, exklusive rökgaskondensering och hjälpel",'Slutlig allokering kvv'!$B$1:$AX$1,0),FALSE),"")</f>
        <v/>
      </c>
      <c r="AO63" s="172" t="str">
        <f t="shared" si="1"/>
        <v/>
      </c>
      <c r="AP63" s="173" t="str">
        <f t="shared" si="2"/>
        <v/>
      </c>
      <c r="AR63" s="172" t="str">
        <f t="shared" si="3"/>
        <v/>
      </c>
    </row>
    <row r="64" spans="1:44" x14ac:dyDescent="0.25">
      <c r="A64" s="171" t="str">
        <f>'Miljövärden för publ företag'!B66</f>
        <v>Eksjö Energi AB</v>
      </c>
      <c r="B64" s="171" t="str">
        <f>'Miljövärden för publ företag'!C66</f>
        <v>Eksjö</v>
      </c>
      <c r="C64" s="121">
        <f>IFERROR(VLOOKUP($B64,Kraftvärmeprod!$B$1:$AH$478,MATCH(C$2,Kraftvärmeprod!$B$1:$AG$1,0),FALSE)/1,"")</f>
        <v>136</v>
      </c>
      <c r="D64" s="121">
        <f>IFERROR(VLOOKUP($B64,Kraftvärmeprod!$B$1:$AH$478,MATCH(D$2,Kraftvärmeprod!$B$1:$AG$1,0),FALSE)/1,"")</f>
        <v>14.2</v>
      </c>
      <c r="F64" s="121">
        <f>IF($D64="","",IFERROR(VLOOKUP($B64,Kraftvärmeprod!$B$1:$BX$549,MATCH(F$2,Kraftvärmeprod!$B$1:$VX$1,0),FALSE)/1,0)-IFERROR(VLOOKUP($B64,'Slutlig allokering kvv'!$B$2:$BX$549,MATCH(F$2,'Slutlig allokering kvv'!$B$1:$BX$1,0),FALSE)/1,0))</f>
        <v>0</v>
      </c>
      <c r="G64" s="121">
        <f>IF($D64="","",IFERROR(VLOOKUP($B64,Kraftvärmeprod!$B$1:$BX$549,MATCH(G$2,Kraftvärmeprod!$B$1:$VX$1,0),FALSE)/1,0)-IFERROR(VLOOKUP($B64,'Slutlig allokering kvv'!$B$2:$BX$549,MATCH(G$2,'Slutlig allokering kvv'!$B$1:$BX$1,0),FALSE)/1,0))</f>
        <v>0</v>
      </c>
      <c r="H64" s="121">
        <f>IF($D64="","",IFERROR(VLOOKUP($B64,Kraftvärmeprod!$B$1:$BX$549,MATCH(H$2,Kraftvärmeprod!$B$1:$VX$1,0),FALSE)/1,0)-IFERROR(VLOOKUP($B64,'Slutlig allokering kvv'!$B$2:$BX$549,MATCH(H$2,'Slutlig allokering kvv'!$B$1:$BX$1,0),FALSE)/1,0))</f>
        <v>0</v>
      </c>
      <c r="I64" s="121">
        <f>IF($D64="","",IFERROR(VLOOKUP($B64,Kraftvärmeprod!$B$1:$BX$549,MATCH(I$2,Kraftvärmeprod!$B$1:$VX$1,0),FALSE)/1,0)-IFERROR(VLOOKUP($B64,'Slutlig allokering kvv'!$B$2:$BX$549,MATCH(I$2,'Slutlig allokering kvv'!$B$1:$BX$1,0),FALSE)/1,0))</f>
        <v>0</v>
      </c>
      <c r="J64" s="121">
        <f>IF($D64="","",IFERROR(VLOOKUP($B64,Kraftvärmeprod!$B$1:$BX$549,MATCH(J$2,Kraftvärmeprod!$B$1:$VX$1,0),FALSE)/1,0)-IFERROR(VLOOKUP($B64,'Slutlig allokering kvv'!$B$2:$BX$549,MATCH(J$2,'Slutlig allokering kvv'!$B$1:$BX$1,0),FALSE)/1,0))</f>
        <v>0</v>
      </c>
      <c r="K64" s="121">
        <f>IF($D64="","",IFERROR(VLOOKUP($B64,Kraftvärmeprod!$B$1:$BX$549,MATCH(K$2,Kraftvärmeprod!$B$1:$VX$1,0),FALSE)/1,0)-IFERROR(VLOOKUP($B64,'Slutlig allokering kvv'!$B$2:$BX$549,MATCH(K$2,'Slutlig allokering kvv'!$B$1:$BX$1,0),FALSE)/1,0))</f>
        <v>0</v>
      </c>
      <c r="L64" s="121">
        <f>IF($D64="","",IFERROR(VLOOKUP($B64,Kraftvärmeprod!$B$1:$BX$549,MATCH(L$2,Kraftvärmeprod!$B$1:$VX$1,0),FALSE)/1,0)-IFERROR(VLOOKUP($B64,'Slutlig allokering kvv'!$B$2:$BX$549,MATCH(L$2,'Slutlig allokering kvv'!$B$1:$BX$1,0),FALSE)/1,0))</f>
        <v>0</v>
      </c>
      <c r="M64" s="121">
        <f>IF($D64="","",IFERROR(VLOOKUP($B64,Kraftvärmeprod!$B$1:$BX$549,MATCH(M$2,Kraftvärmeprod!$B$1:$VX$1,0),FALSE)/1,0)-IFERROR(VLOOKUP($B64,'Slutlig allokering kvv'!$B$2:$BX$549,MATCH(M$2,'Slutlig allokering kvv'!$B$1:$BX$1,0),FALSE)/1,0))</f>
        <v>0</v>
      </c>
      <c r="N64" s="121">
        <f>IF($D64="","",IFERROR(VLOOKUP($B64,Kraftvärmeprod!$B$1:$BX$549,MATCH(N$2,Kraftvärmeprod!$B$1:$VX$1,0),FALSE)/1,0)-IFERROR(VLOOKUP($B64,'Slutlig allokering kvv'!$B$2:$BX$549,MATCH(N$2,'Slutlig allokering kvv'!$B$1:$BX$1,0),FALSE)/1,0))</f>
        <v>0</v>
      </c>
      <c r="O64" s="121">
        <f>IF($D64="","",IFERROR(VLOOKUP($B64,Kraftvärmeprod!$B$1:$BX$549,MATCH(O$2,Kraftvärmeprod!$B$1:$VX$1,0),FALSE)/1,0)-IFERROR(VLOOKUP($B64,'Slutlig allokering kvv'!$B$2:$BX$549,MATCH(O$2,'Slutlig allokering kvv'!$B$1:$BX$1,0),FALSE)/1,0))</f>
        <v>0</v>
      </c>
      <c r="P64" s="121">
        <f>IF($D64="","",IFERROR(VLOOKUP($B64,Kraftvärmeprod!$B$1:$BX$549,MATCH(P$2,Kraftvärmeprod!$B$1:$VX$1,0),FALSE)/1,0)-IFERROR(VLOOKUP($B64,'Slutlig allokering kvv'!$B$2:$BX$549,MATCH(P$2,'Slutlig allokering kvv'!$B$1:$BX$1,0),FALSE)/1,0))</f>
        <v>0</v>
      </c>
      <c r="Q64" s="121">
        <f>IF($D64="","",IFERROR(VLOOKUP($B64,Kraftvärmeprod!$B$1:$BX$549,MATCH(Q$2,Kraftvärmeprod!$B$1:$VX$1,0),FALSE)/1,0)-IFERROR(VLOOKUP($B64,'Slutlig allokering kvv'!$B$2:$BX$549,MATCH(Q$2,'Slutlig allokering kvv'!$B$1:$BX$1,0),FALSE)/1,0))</f>
        <v>0</v>
      </c>
      <c r="R64" s="121">
        <f>IF($D64="","",IFERROR(VLOOKUP($B64,Kraftvärmeprod!$B$1:$BX$549,MATCH(R$2,Kraftvärmeprod!$B$1:$VX$1,0),FALSE)/1,0)-IFERROR(VLOOKUP($B64,'Slutlig allokering kvv'!$B$2:$BX$549,MATCH(R$2,'Slutlig allokering kvv'!$B$1:$BX$1,0),FALSE)/1,0))</f>
        <v>0</v>
      </c>
      <c r="S64" s="121">
        <f>IF($D64="","",IFERROR(VLOOKUP($B64,Kraftvärmeprod!$B$1:$BX$549,MATCH(S$2,Kraftvärmeprod!$B$1:$VX$1,0),FALSE)/1,0)-IFERROR(VLOOKUP($B64,'Slutlig allokering kvv'!$B$2:$BX$549,MATCH(S$2,'Slutlig allokering kvv'!$B$1:$BX$1,0),FALSE)/1,0))</f>
        <v>0</v>
      </c>
      <c r="T64" s="121">
        <f>IF($D64="","",IFERROR(VLOOKUP($B64,Kraftvärmeprod!$B$1:$BX$549,MATCH(T$2,Kraftvärmeprod!$B$1:$VX$1,0),FALSE)/1,0)-IFERROR(VLOOKUP($B64,'Slutlig allokering kvv'!$B$2:$BX$549,MATCH(T$2,'Slutlig allokering kvv'!$B$1:$BX$1,0),FALSE)/1,0))</f>
        <v>0</v>
      </c>
      <c r="U64" s="121">
        <f>IF($D64="","",IFERROR(VLOOKUP($B64,Kraftvärmeprod!$B$1:$BX$549,MATCH(U$2,Kraftvärmeprod!$B$1:$VX$1,0),FALSE)/1,0)-IFERROR(VLOOKUP($B64,'Slutlig allokering kvv'!$B$2:$BX$549,MATCH(U$2,'Slutlig allokering kvv'!$B$1:$BX$1,0),FALSE)/1,0))</f>
        <v>0</v>
      </c>
      <c r="V64" s="121">
        <f>IF($D64="","",IFERROR(VLOOKUP($B64,Kraftvärmeprod!$B$1:$BX$549,MATCH(V$2,Kraftvärmeprod!$B$1:$VX$1,0),FALSE)/1,0)-IFERROR(VLOOKUP($B64,'Slutlig allokering kvv'!$B$2:$BX$549,MATCH(V$2,'Slutlig allokering kvv'!$B$1:$BX$1,0),FALSE)/1,0))</f>
        <v>0</v>
      </c>
      <c r="W64" s="121">
        <f>IF($D64="","",IFERROR(VLOOKUP($B64,Kraftvärmeprod!$B$1:$BX$549,MATCH(W$2,Kraftvärmeprod!$B$1:$VX$1,0),FALSE)/1,0)-IFERROR(VLOOKUP($B64,'Slutlig allokering kvv'!$B$2:$BX$549,MATCH(W$2,'Slutlig allokering kvv'!$B$1:$BX$1,0),FALSE)/1,0))</f>
        <v>0</v>
      </c>
      <c r="X64" s="121">
        <f>IF($D64="","",IFERROR(VLOOKUP($B64,Kraftvärmeprod!$B$1:$BX$549,MATCH(X$2,Kraftvärmeprod!$B$1:$VX$1,0),FALSE)/1,0)-IFERROR(VLOOKUP($B64,'Slutlig allokering kvv'!$B$2:$BX$549,MATCH(X$2,'Slutlig allokering kvv'!$B$1:$BX$1,0),FALSE)/1,0))</f>
        <v>5.405500000000002E-2</v>
      </c>
      <c r="Y64" s="121">
        <f>IF($D64="","",IFERROR(VLOOKUP($B64,Kraftvärmeprod!$B$1:$BX$549,MATCH(Y$2,Kraftvärmeprod!$B$1:$VX$1,0),FALSE)/1,0)-IFERROR(VLOOKUP($B64,'Slutlig allokering kvv'!$B$2:$BX$549,MATCH(Y$2,'Slutlig allokering kvv'!$B$1:$BX$1,0),FALSE)/1,0))</f>
        <v>0</v>
      </c>
      <c r="Z64" s="121">
        <f>IF($D64="","",IFERROR(VLOOKUP($B64,Kraftvärmeprod!$B$1:$BX$549,MATCH(Z$2,Kraftvärmeprod!$B$1:$VX$1,0),FALSE)/1,0)-IFERROR(VLOOKUP($B64,'Slutlig allokering kvv'!$B$2:$BX$549,MATCH(Z$2,'Slutlig allokering kvv'!$B$1:$BX$1,0),FALSE)/1,0))</f>
        <v>0</v>
      </c>
      <c r="AA64" s="121">
        <f>IF($D64="","",IFERROR(VLOOKUP($B64,Kraftvärmeprod!$B$1:$BX$549,MATCH(AA$2,Kraftvärmeprod!$B$1:$VX$1,0),FALSE)/1,0)-IFERROR(VLOOKUP($B64,'Slutlig allokering kvv'!$B$2:$BX$549,MATCH(AA$2,'Slutlig allokering kvv'!$B$1:$BX$1,0),FALSE)/1,0))</f>
        <v>37.816999999999993</v>
      </c>
      <c r="AB64" s="121">
        <f>IF($D64="","",IFERROR(VLOOKUP($B64,Kraftvärmeprod!$B$1:$BX$549,MATCH(AB$2,Kraftvärmeprod!$B$1:$VX$1,0),FALSE)/1,0)-IFERROR(VLOOKUP($B64,'Slutlig allokering kvv'!$B$2:$BX$549,MATCH(AB$2,'Slutlig allokering kvv'!$B$1:$BX$1,0),FALSE)/1,0))</f>
        <v>0</v>
      </c>
      <c r="AC64" s="121">
        <f>IF($D64="","",IFERROR(VLOOKUP($B64,Kraftvärmeprod!$B$1:$BX$549,MATCH(AC$2,Kraftvärmeprod!$B$1:$VX$1,0),FALSE)/1,0)-IFERROR(VLOOKUP($B64,'Slutlig allokering kvv'!$B$2:$BX$549,MATCH(AC$2,'Slutlig allokering kvv'!$B$1:$BX$1,0),FALSE)/1,0))</f>
        <v>0</v>
      </c>
      <c r="AD64" s="121">
        <f>IF($D64="","",IFERROR(VLOOKUP($B64,Kraftvärmeprod!$B$1:$BX$549,MATCH(AD$2,Kraftvärmeprod!$B$1:$VX$1,0),FALSE)/1,0)-IFERROR(VLOOKUP($B64,'Slutlig allokering kvv'!$B$2:$BX$549,MATCH(AD$2,'Slutlig allokering kvv'!$B$1:$BX$1,0),FALSE)/1,0))</f>
        <v>0</v>
      </c>
      <c r="AE64" s="121">
        <f>IF($D64="","",IFERROR(VLOOKUP($B64,Miljö!$B$1:$E$550,MATCH("Hjälpel kraftvärme (GWh)",Miljö!$B$1:$E$1,0),FALSE)/1,0)-IFERROR(VLOOKUP($B64,'Slutlig allokering kvv'!$B$2:$BX$549,MATCH(AE$2,'Slutlig allokering kvv'!$B$1:$BX$1,0),FALSE)/1,0))</f>
        <v>1.3140100000000001</v>
      </c>
      <c r="AI64" s="121">
        <f t="shared" si="0"/>
        <v>37.871054999999991</v>
      </c>
      <c r="AK64" s="121">
        <f>IFERROR(VLOOKUP($B64,'Slutlig allokering kvv'!$B$2:$AX$549,MATCH("Summa slutlig allokerad tillförd energi (utan hjälpel och rökgaskondensering):",'Slutlig allokering kvv'!$B$1:$AX$1,0),FALSE)/1,"")</f>
        <v>113.43894499999999</v>
      </c>
      <c r="AM64" s="172">
        <f>IFERROR(1-VLOOKUP($B64,'Slutlig allokering kvv'!$B$2:$AX$549,MATCH("Andel av bränsle i kvv som allokerats till värme, exklusive rökgaskondensering och hjälpel",'Slutlig allokering kvv'!$B$1:$AX$1,0),FALSE),"")</f>
        <v>0.2502878527526271</v>
      </c>
      <c r="AO64" s="172">
        <f t="shared" si="1"/>
        <v>0.25028785275262705</v>
      </c>
      <c r="AP64" s="173">
        <f t="shared" si="2"/>
        <v>5.5511151231257827E-17</v>
      </c>
      <c r="AR64" s="172">
        <f t="shared" si="3"/>
        <v>0.36238296401958248</v>
      </c>
    </row>
    <row r="65" spans="1:44" x14ac:dyDescent="0.25">
      <c r="A65" s="171" t="str">
        <f>'Miljövärden för publ företag'!B67</f>
        <v>Eksjö Energi AB</v>
      </c>
      <c r="B65" s="171" t="str">
        <f>'Miljövärden för publ företag'!C67</f>
        <v>Ingatorp</v>
      </c>
      <c r="C65" s="121" t="str">
        <f>IFERROR(VLOOKUP($B65,Kraftvärmeprod!$B$1:$AH$478,MATCH(C$2,Kraftvärmeprod!$B$1:$AG$1,0),FALSE)/1,"")</f>
        <v/>
      </c>
      <c r="D65" s="121" t="str">
        <f>IFERROR(VLOOKUP($B65,Kraftvärmeprod!$B$1:$AH$478,MATCH(D$2,Kraftvärmeprod!$B$1:$AG$1,0),FALSE)/1,"")</f>
        <v/>
      </c>
      <c r="F65" s="121" t="str">
        <f>IF($D65="","",IFERROR(VLOOKUP($B65,Kraftvärmeprod!$B$1:$BX$549,MATCH(F$2,Kraftvärmeprod!$B$1:$VX$1,0),FALSE)/1,0)-IFERROR(VLOOKUP($B65,'Slutlig allokering kvv'!$B$2:$BX$549,MATCH(F$2,'Slutlig allokering kvv'!$B$1:$BX$1,0),FALSE)/1,0))</f>
        <v/>
      </c>
      <c r="G65" s="121" t="str">
        <f>IF($D65="","",IFERROR(VLOOKUP($B65,Kraftvärmeprod!$B$1:$BX$549,MATCH(G$2,Kraftvärmeprod!$B$1:$VX$1,0),FALSE)/1,0)-IFERROR(VLOOKUP($B65,'Slutlig allokering kvv'!$B$2:$BX$549,MATCH(G$2,'Slutlig allokering kvv'!$B$1:$BX$1,0),FALSE)/1,0))</f>
        <v/>
      </c>
      <c r="H65" s="121" t="str">
        <f>IF($D65="","",IFERROR(VLOOKUP($B65,Kraftvärmeprod!$B$1:$BX$549,MATCH(H$2,Kraftvärmeprod!$B$1:$VX$1,0),FALSE)/1,0)-IFERROR(VLOOKUP($B65,'Slutlig allokering kvv'!$B$2:$BX$549,MATCH(H$2,'Slutlig allokering kvv'!$B$1:$BX$1,0),FALSE)/1,0))</f>
        <v/>
      </c>
      <c r="I65" s="121" t="str">
        <f>IF($D65="","",IFERROR(VLOOKUP($B65,Kraftvärmeprod!$B$1:$BX$549,MATCH(I$2,Kraftvärmeprod!$B$1:$VX$1,0),FALSE)/1,0)-IFERROR(VLOOKUP($B65,'Slutlig allokering kvv'!$B$2:$BX$549,MATCH(I$2,'Slutlig allokering kvv'!$B$1:$BX$1,0),FALSE)/1,0))</f>
        <v/>
      </c>
      <c r="J65" s="121" t="str">
        <f>IF($D65="","",IFERROR(VLOOKUP($B65,Kraftvärmeprod!$B$1:$BX$549,MATCH(J$2,Kraftvärmeprod!$B$1:$VX$1,0),FALSE)/1,0)-IFERROR(VLOOKUP($B65,'Slutlig allokering kvv'!$B$2:$BX$549,MATCH(J$2,'Slutlig allokering kvv'!$B$1:$BX$1,0),FALSE)/1,0))</f>
        <v/>
      </c>
      <c r="K65" s="121" t="str">
        <f>IF($D65="","",IFERROR(VLOOKUP($B65,Kraftvärmeprod!$B$1:$BX$549,MATCH(K$2,Kraftvärmeprod!$B$1:$VX$1,0),FALSE)/1,0)-IFERROR(VLOOKUP($B65,'Slutlig allokering kvv'!$B$2:$BX$549,MATCH(K$2,'Slutlig allokering kvv'!$B$1:$BX$1,0),FALSE)/1,0))</f>
        <v/>
      </c>
      <c r="L65" s="121" t="str">
        <f>IF($D65="","",IFERROR(VLOOKUP($B65,Kraftvärmeprod!$B$1:$BX$549,MATCH(L$2,Kraftvärmeprod!$B$1:$VX$1,0),FALSE)/1,0)-IFERROR(VLOOKUP($B65,'Slutlig allokering kvv'!$B$2:$BX$549,MATCH(L$2,'Slutlig allokering kvv'!$B$1:$BX$1,0),FALSE)/1,0))</f>
        <v/>
      </c>
      <c r="M65" s="121" t="str">
        <f>IF($D65="","",IFERROR(VLOOKUP($B65,Kraftvärmeprod!$B$1:$BX$549,MATCH(M$2,Kraftvärmeprod!$B$1:$VX$1,0),FALSE)/1,0)-IFERROR(VLOOKUP($B65,'Slutlig allokering kvv'!$B$2:$BX$549,MATCH(M$2,'Slutlig allokering kvv'!$B$1:$BX$1,0),FALSE)/1,0))</f>
        <v/>
      </c>
      <c r="N65" s="121" t="str">
        <f>IF($D65="","",IFERROR(VLOOKUP($B65,Kraftvärmeprod!$B$1:$BX$549,MATCH(N$2,Kraftvärmeprod!$B$1:$VX$1,0),FALSE)/1,0)-IFERROR(VLOOKUP($B65,'Slutlig allokering kvv'!$B$2:$BX$549,MATCH(N$2,'Slutlig allokering kvv'!$B$1:$BX$1,0),FALSE)/1,0))</f>
        <v/>
      </c>
      <c r="O65" s="121" t="str">
        <f>IF($D65="","",IFERROR(VLOOKUP($B65,Kraftvärmeprod!$B$1:$BX$549,MATCH(O$2,Kraftvärmeprod!$B$1:$VX$1,0),FALSE)/1,0)-IFERROR(VLOOKUP($B65,'Slutlig allokering kvv'!$B$2:$BX$549,MATCH(O$2,'Slutlig allokering kvv'!$B$1:$BX$1,0),FALSE)/1,0))</f>
        <v/>
      </c>
      <c r="P65" s="121" t="str">
        <f>IF($D65="","",IFERROR(VLOOKUP($B65,Kraftvärmeprod!$B$1:$BX$549,MATCH(P$2,Kraftvärmeprod!$B$1:$VX$1,0),FALSE)/1,0)-IFERROR(VLOOKUP($B65,'Slutlig allokering kvv'!$B$2:$BX$549,MATCH(P$2,'Slutlig allokering kvv'!$B$1:$BX$1,0),FALSE)/1,0))</f>
        <v/>
      </c>
      <c r="Q65" s="121" t="str">
        <f>IF($D65="","",IFERROR(VLOOKUP($B65,Kraftvärmeprod!$B$1:$BX$549,MATCH(Q$2,Kraftvärmeprod!$B$1:$VX$1,0),FALSE)/1,0)-IFERROR(VLOOKUP($B65,'Slutlig allokering kvv'!$B$2:$BX$549,MATCH(Q$2,'Slutlig allokering kvv'!$B$1:$BX$1,0),FALSE)/1,0))</f>
        <v/>
      </c>
      <c r="R65" s="121" t="str">
        <f>IF($D65="","",IFERROR(VLOOKUP($B65,Kraftvärmeprod!$B$1:$BX$549,MATCH(R$2,Kraftvärmeprod!$B$1:$VX$1,0),FALSE)/1,0)-IFERROR(VLOOKUP($B65,'Slutlig allokering kvv'!$B$2:$BX$549,MATCH(R$2,'Slutlig allokering kvv'!$B$1:$BX$1,0),FALSE)/1,0))</f>
        <v/>
      </c>
      <c r="S65" s="121" t="str">
        <f>IF($D65="","",IFERROR(VLOOKUP($B65,Kraftvärmeprod!$B$1:$BX$549,MATCH(S$2,Kraftvärmeprod!$B$1:$VX$1,0),FALSE)/1,0)-IFERROR(VLOOKUP($B65,'Slutlig allokering kvv'!$B$2:$BX$549,MATCH(S$2,'Slutlig allokering kvv'!$B$1:$BX$1,0),FALSE)/1,0))</f>
        <v/>
      </c>
      <c r="T65" s="121" t="str">
        <f>IF($D65="","",IFERROR(VLOOKUP($B65,Kraftvärmeprod!$B$1:$BX$549,MATCH(T$2,Kraftvärmeprod!$B$1:$VX$1,0),FALSE)/1,0)-IFERROR(VLOOKUP($B65,'Slutlig allokering kvv'!$B$2:$BX$549,MATCH(T$2,'Slutlig allokering kvv'!$B$1:$BX$1,0),FALSE)/1,0))</f>
        <v/>
      </c>
      <c r="U65" s="121" t="str">
        <f>IF($D65="","",IFERROR(VLOOKUP($B65,Kraftvärmeprod!$B$1:$BX$549,MATCH(U$2,Kraftvärmeprod!$B$1:$VX$1,0),FALSE)/1,0)-IFERROR(VLOOKUP($B65,'Slutlig allokering kvv'!$B$2:$BX$549,MATCH(U$2,'Slutlig allokering kvv'!$B$1:$BX$1,0),FALSE)/1,0))</f>
        <v/>
      </c>
      <c r="V65" s="121" t="str">
        <f>IF($D65="","",IFERROR(VLOOKUP($B65,Kraftvärmeprod!$B$1:$BX$549,MATCH(V$2,Kraftvärmeprod!$B$1:$VX$1,0),FALSE)/1,0)-IFERROR(VLOOKUP($B65,'Slutlig allokering kvv'!$B$2:$BX$549,MATCH(V$2,'Slutlig allokering kvv'!$B$1:$BX$1,0),FALSE)/1,0))</f>
        <v/>
      </c>
      <c r="W65" s="121" t="str">
        <f>IF($D65="","",IFERROR(VLOOKUP($B65,Kraftvärmeprod!$B$1:$BX$549,MATCH(W$2,Kraftvärmeprod!$B$1:$VX$1,0),FALSE)/1,0)-IFERROR(VLOOKUP($B65,'Slutlig allokering kvv'!$B$2:$BX$549,MATCH(W$2,'Slutlig allokering kvv'!$B$1:$BX$1,0),FALSE)/1,0))</f>
        <v/>
      </c>
      <c r="X65" s="121" t="str">
        <f>IF($D65="","",IFERROR(VLOOKUP($B65,Kraftvärmeprod!$B$1:$BX$549,MATCH(X$2,Kraftvärmeprod!$B$1:$VX$1,0),FALSE)/1,0)-IFERROR(VLOOKUP($B65,'Slutlig allokering kvv'!$B$2:$BX$549,MATCH(X$2,'Slutlig allokering kvv'!$B$1:$BX$1,0),FALSE)/1,0))</f>
        <v/>
      </c>
      <c r="Y65" s="121" t="str">
        <f>IF($D65="","",IFERROR(VLOOKUP($B65,Kraftvärmeprod!$B$1:$BX$549,MATCH(Y$2,Kraftvärmeprod!$B$1:$VX$1,0),FALSE)/1,0)-IFERROR(VLOOKUP($B65,'Slutlig allokering kvv'!$B$2:$BX$549,MATCH(Y$2,'Slutlig allokering kvv'!$B$1:$BX$1,0),FALSE)/1,0))</f>
        <v/>
      </c>
      <c r="Z65" s="121" t="str">
        <f>IF($D65="","",IFERROR(VLOOKUP($B65,Kraftvärmeprod!$B$1:$BX$549,MATCH(Z$2,Kraftvärmeprod!$B$1:$VX$1,0),FALSE)/1,0)-IFERROR(VLOOKUP($B65,'Slutlig allokering kvv'!$B$2:$BX$549,MATCH(Z$2,'Slutlig allokering kvv'!$B$1:$BX$1,0),FALSE)/1,0))</f>
        <v/>
      </c>
      <c r="AA65" s="121" t="str">
        <f>IF($D65="","",IFERROR(VLOOKUP($B65,Kraftvärmeprod!$B$1:$BX$549,MATCH(AA$2,Kraftvärmeprod!$B$1:$VX$1,0),FALSE)/1,0)-IFERROR(VLOOKUP($B65,'Slutlig allokering kvv'!$B$2:$BX$549,MATCH(AA$2,'Slutlig allokering kvv'!$B$1:$BX$1,0),FALSE)/1,0))</f>
        <v/>
      </c>
      <c r="AB65" s="121" t="str">
        <f>IF($D65="","",IFERROR(VLOOKUP($B65,Kraftvärmeprod!$B$1:$BX$549,MATCH(AB$2,Kraftvärmeprod!$B$1:$VX$1,0),FALSE)/1,0)-IFERROR(VLOOKUP($B65,'Slutlig allokering kvv'!$B$2:$BX$549,MATCH(AB$2,'Slutlig allokering kvv'!$B$1:$BX$1,0),FALSE)/1,0))</f>
        <v/>
      </c>
      <c r="AC65" s="121" t="str">
        <f>IF($D65="","",IFERROR(VLOOKUP($B65,Kraftvärmeprod!$B$1:$BX$549,MATCH(AC$2,Kraftvärmeprod!$B$1:$VX$1,0),FALSE)/1,0)-IFERROR(VLOOKUP($B65,'Slutlig allokering kvv'!$B$2:$BX$549,MATCH(AC$2,'Slutlig allokering kvv'!$B$1:$BX$1,0),FALSE)/1,0))</f>
        <v/>
      </c>
      <c r="AD65" s="121" t="str">
        <f>IF($D65="","",IFERROR(VLOOKUP($B65,Kraftvärmeprod!$B$1:$BX$549,MATCH(AD$2,Kraftvärmeprod!$B$1:$VX$1,0),FALSE)/1,0)-IFERROR(VLOOKUP($B65,'Slutlig allokering kvv'!$B$2:$BX$549,MATCH(AD$2,'Slutlig allokering kvv'!$B$1:$BX$1,0),FALSE)/1,0))</f>
        <v/>
      </c>
      <c r="AE65" s="121" t="str">
        <f>IF($D65="","",IFERROR(VLOOKUP($B65,Miljö!$B$1:$E$550,MATCH("Hjälpel kraftvärme (GWh)",Miljö!$B$1:$E$1,0),FALSE)/1,0)-IFERROR(VLOOKUP($B65,'Slutlig allokering kvv'!$B$2:$BX$549,MATCH(AE$2,'Slutlig allokering kvv'!$B$1:$BX$1,0),FALSE)/1,0))</f>
        <v/>
      </c>
      <c r="AI65" s="121">
        <f t="shared" si="0"/>
        <v>0</v>
      </c>
      <c r="AK65" s="121">
        <f>IFERROR(VLOOKUP($B65,'Slutlig allokering kvv'!$B$2:$AX$549,MATCH("Summa slutlig allokerad tillförd energi (utan hjälpel och rökgaskondensering):",'Slutlig allokering kvv'!$B$1:$AX$1,0),FALSE)/1,"")</f>
        <v>0</v>
      </c>
      <c r="AM65" s="172" t="str">
        <f>IFERROR(1-VLOOKUP($B65,'Slutlig allokering kvv'!$B$2:$AX$549,MATCH("Andel av bränsle i kvv som allokerats till värme, exklusive rökgaskondensering och hjälpel",'Slutlig allokering kvv'!$B$1:$AX$1,0),FALSE),"")</f>
        <v/>
      </c>
      <c r="AO65" s="172" t="str">
        <f t="shared" si="1"/>
        <v/>
      </c>
      <c r="AP65" s="173" t="str">
        <f t="shared" si="2"/>
        <v/>
      </c>
      <c r="AR65" s="172" t="str">
        <f t="shared" si="3"/>
        <v/>
      </c>
    </row>
    <row r="66" spans="1:44" x14ac:dyDescent="0.25">
      <c r="A66" s="171" t="str">
        <f>'Miljövärden för publ företag'!B68</f>
        <v>Eksjö Energi AB</v>
      </c>
      <c r="B66" s="171" t="str">
        <f>'Miljövärden för publ företag'!C68</f>
        <v>Mariannelund</v>
      </c>
      <c r="C66" s="121" t="str">
        <f>IFERROR(VLOOKUP($B66,Kraftvärmeprod!$B$1:$AH$478,MATCH(C$2,Kraftvärmeprod!$B$1:$AG$1,0),FALSE)/1,"")</f>
        <v/>
      </c>
      <c r="D66" s="121" t="str">
        <f>IFERROR(VLOOKUP($B66,Kraftvärmeprod!$B$1:$AH$478,MATCH(D$2,Kraftvärmeprod!$B$1:$AG$1,0),FALSE)/1,"")</f>
        <v/>
      </c>
      <c r="F66" s="121" t="str">
        <f>IF($D66="","",IFERROR(VLOOKUP($B66,Kraftvärmeprod!$B$1:$BX$549,MATCH(F$2,Kraftvärmeprod!$B$1:$VX$1,0),FALSE)/1,0)-IFERROR(VLOOKUP($B66,'Slutlig allokering kvv'!$B$2:$BX$549,MATCH(F$2,'Slutlig allokering kvv'!$B$1:$BX$1,0),FALSE)/1,0))</f>
        <v/>
      </c>
      <c r="G66" s="121" t="str">
        <f>IF($D66="","",IFERROR(VLOOKUP($B66,Kraftvärmeprod!$B$1:$BX$549,MATCH(G$2,Kraftvärmeprod!$B$1:$VX$1,0),FALSE)/1,0)-IFERROR(VLOOKUP($B66,'Slutlig allokering kvv'!$B$2:$BX$549,MATCH(G$2,'Slutlig allokering kvv'!$B$1:$BX$1,0),FALSE)/1,0))</f>
        <v/>
      </c>
      <c r="H66" s="121" t="str">
        <f>IF($D66="","",IFERROR(VLOOKUP($B66,Kraftvärmeprod!$B$1:$BX$549,MATCH(H$2,Kraftvärmeprod!$B$1:$VX$1,0),FALSE)/1,0)-IFERROR(VLOOKUP($B66,'Slutlig allokering kvv'!$B$2:$BX$549,MATCH(H$2,'Slutlig allokering kvv'!$B$1:$BX$1,0),FALSE)/1,0))</f>
        <v/>
      </c>
      <c r="I66" s="121" t="str">
        <f>IF($D66="","",IFERROR(VLOOKUP($B66,Kraftvärmeprod!$B$1:$BX$549,MATCH(I$2,Kraftvärmeprod!$B$1:$VX$1,0),FALSE)/1,0)-IFERROR(VLOOKUP($B66,'Slutlig allokering kvv'!$B$2:$BX$549,MATCH(I$2,'Slutlig allokering kvv'!$B$1:$BX$1,0),FALSE)/1,0))</f>
        <v/>
      </c>
      <c r="J66" s="121" t="str">
        <f>IF($D66="","",IFERROR(VLOOKUP($B66,Kraftvärmeprod!$B$1:$BX$549,MATCH(J$2,Kraftvärmeprod!$B$1:$VX$1,0),FALSE)/1,0)-IFERROR(VLOOKUP($B66,'Slutlig allokering kvv'!$B$2:$BX$549,MATCH(J$2,'Slutlig allokering kvv'!$B$1:$BX$1,0),FALSE)/1,0))</f>
        <v/>
      </c>
      <c r="K66" s="121" t="str">
        <f>IF($D66="","",IFERROR(VLOOKUP($B66,Kraftvärmeprod!$B$1:$BX$549,MATCH(K$2,Kraftvärmeprod!$B$1:$VX$1,0),FALSE)/1,0)-IFERROR(VLOOKUP($B66,'Slutlig allokering kvv'!$B$2:$BX$549,MATCH(K$2,'Slutlig allokering kvv'!$B$1:$BX$1,0),FALSE)/1,0))</f>
        <v/>
      </c>
      <c r="L66" s="121" t="str">
        <f>IF($D66="","",IFERROR(VLOOKUP($B66,Kraftvärmeprod!$B$1:$BX$549,MATCH(L$2,Kraftvärmeprod!$B$1:$VX$1,0),FALSE)/1,0)-IFERROR(VLOOKUP($B66,'Slutlig allokering kvv'!$B$2:$BX$549,MATCH(L$2,'Slutlig allokering kvv'!$B$1:$BX$1,0),FALSE)/1,0))</f>
        <v/>
      </c>
      <c r="M66" s="121" t="str">
        <f>IF($D66="","",IFERROR(VLOOKUP($B66,Kraftvärmeprod!$B$1:$BX$549,MATCH(M$2,Kraftvärmeprod!$B$1:$VX$1,0),FALSE)/1,0)-IFERROR(VLOOKUP($B66,'Slutlig allokering kvv'!$B$2:$BX$549,MATCH(M$2,'Slutlig allokering kvv'!$B$1:$BX$1,0),FALSE)/1,0))</f>
        <v/>
      </c>
      <c r="N66" s="121" t="str">
        <f>IF($D66="","",IFERROR(VLOOKUP($B66,Kraftvärmeprod!$B$1:$BX$549,MATCH(N$2,Kraftvärmeprod!$B$1:$VX$1,0),FALSE)/1,0)-IFERROR(VLOOKUP($B66,'Slutlig allokering kvv'!$B$2:$BX$549,MATCH(N$2,'Slutlig allokering kvv'!$B$1:$BX$1,0),FALSE)/1,0))</f>
        <v/>
      </c>
      <c r="O66" s="121" t="str">
        <f>IF($D66="","",IFERROR(VLOOKUP($B66,Kraftvärmeprod!$B$1:$BX$549,MATCH(O$2,Kraftvärmeprod!$B$1:$VX$1,0),FALSE)/1,0)-IFERROR(VLOOKUP($B66,'Slutlig allokering kvv'!$B$2:$BX$549,MATCH(O$2,'Slutlig allokering kvv'!$B$1:$BX$1,0),FALSE)/1,0))</f>
        <v/>
      </c>
      <c r="P66" s="121" t="str">
        <f>IF($D66="","",IFERROR(VLOOKUP($B66,Kraftvärmeprod!$B$1:$BX$549,MATCH(P$2,Kraftvärmeprod!$B$1:$VX$1,0),FALSE)/1,0)-IFERROR(VLOOKUP($B66,'Slutlig allokering kvv'!$B$2:$BX$549,MATCH(P$2,'Slutlig allokering kvv'!$B$1:$BX$1,0),FALSE)/1,0))</f>
        <v/>
      </c>
      <c r="Q66" s="121" t="str">
        <f>IF($D66="","",IFERROR(VLOOKUP($B66,Kraftvärmeprod!$B$1:$BX$549,MATCH(Q$2,Kraftvärmeprod!$B$1:$VX$1,0),FALSE)/1,0)-IFERROR(VLOOKUP($B66,'Slutlig allokering kvv'!$B$2:$BX$549,MATCH(Q$2,'Slutlig allokering kvv'!$B$1:$BX$1,0),FALSE)/1,0))</f>
        <v/>
      </c>
      <c r="R66" s="121" t="str">
        <f>IF($D66="","",IFERROR(VLOOKUP($B66,Kraftvärmeprod!$B$1:$BX$549,MATCH(R$2,Kraftvärmeprod!$B$1:$VX$1,0),FALSE)/1,0)-IFERROR(VLOOKUP($B66,'Slutlig allokering kvv'!$B$2:$BX$549,MATCH(R$2,'Slutlig allokering kvv'!$B$1:$BX$1,0),FALSE)/1,0))</f>
        <v/>
      </c>
      <c r="S66" s="121" t="str">
        <f>IF($D66="","",IFERROR(VLOOKUP($B66,Kraftvärmeprod!$B$1:$BX$549,MATCH(S$2,Kraftvärmeprod!$B$1:$VX$1,0),FALSE)/1,0)-IFERROR(VLOOKUP($B66,'Slutlig allokering kvv'!$B$2:$BX$549,MATCH(S$2,'Slutlig allokering kvv'!$B$1:$BX$1,0),FALSE)/1,0))</f>
        <v/>
      </c>
      <c r="T66" s="121" t="str">
        <f>IF($D66="","",IFERROR(VLOOKUP($B66,Kraftvärmeprod!$B$1:$BX$549,MATCH(T$2,Kraftvärmeprod!$B$1:$VX$1,0),FALSE)/1,0)-IFERROR(VLOOKUP($B66,'Slutlig allokering kvv'!$B$2:$BX$549,MATCH(T$2,'Slutlig allokering kvv'!$B$1:$BX$1,0),FALSE)/1,0))</f>
        <v/>
      </c>
      <c r="U66" s="121" t="str">
        <f>IF($D66="","",IFERROR(VLOOKUP($B66,Kraftvärmeprod!$B$1:$BX$549,MATCH(U$2,Kraftvärmeprod!$B$1:$VX$1,0),FALSE)/1,0)-IFERROR(VLOOKUP($B66,'Slutlig allokering kvv'!$B$2:$BX$549,MATCH(U$2,'Slutlig allokering kvv'!$B$1:$BX$1,0),FALSE)/1,0))</f>
        <v/>
      </c>
      <c r="V66" s="121" t="str">
        <f>IF($D66="","",IFERROR(VLOOKUP($B66,Kraftvärmeprod!$B$1:$BX$549,MATCH(V$2,Kraftvärmeprod!$B$1:$VX$1,0),FALSE)/1,0)-IFERROR(VLOOKUP($B66,'Slutlig allokering kvv'!$B$2:$BX$549,MATCH(V$2,'Slutlig allokering kvv'!$B$1:$BX$1,0),FALSE)/1,0))</f>
        <v/>
      </c>
      <c r="W66" s="121" t="str">
        <f>IF($D66="","",IFERROR(VLOOKUP($B66,Kraftvärmeprod!$B$1:$BX$549,MATCH(W$2,Kraftvärmeprod!$B$1:$VX$1,0),FALSE)/1,0)-IFERROR(VLOOKUP($B66,'Slutlig allokering kvv'!$B$2:$BX$549,MATCH(W$2,'Slutlig allokering kvv'!$B$1:$BX$1,0),FALSE)/1,0))</f>
        <v/>
      </c>
      <c r="X66" s="121" t="str">
        <f>IF($D66="","",IFERROR(VLOOKUP($B66,Kraftvärmeprod!$B$1:$BX$549,MATCH(X$2,Kraftvärmeprod!$B$1:$VX$1,0),FALSE)/1,0)-IFERROR(VLOOKUP($B66,'Slutlig allokering kvv'!$B$2:$BX$549,MATCH(X$2,'Slutlig allokering kvv'!$B$1:$BX$1,0),FALSE)/1,0))</f>
        <v/>
      </c>
      <c r="Y66" s="121" t="str">
        <f>IF($D66="","",IFERROR(VLOOKUP($B66,Kraftvärmeprod!$B$1:$BX$549,MATCH(Y$2,Kraftvärmeprod!$B$1:$VX$1,0),FALSE)/1,0)-IFERROR(VLOOKUP($B66,'Slutlig allokering kvv'!$B$2:$BX$549,MATCH(Y$2,'Slutlig allokering kvv'!$B$1:$BX$1,0),FALSE)/1,0))</f>
        <v/>
      </c>
      <c r="Z66" s="121" t="str">
        <f>IF($D66="","",IFERROR(VLOOKUP($B66,Kraftvärmeprod!$B$1:$BX$549,MATCH(Z$2,Kraftvärmeprod!$B$1:$VX$1,0),FALSE)/1,0)-IFERROR(VLOOKUP($B66,'Slutlig allokering kvv'!$B$2:$BX$549,MATCH(Z$2,'Slutlig allokering kvv'!$B$1:$BX$1,0),FALSE)/1,0))</f>
        <v/>
      </c>
      <c r="AA66" s="121" t="str">
        <f>IF($D66="","",IFERROR(VLOOKUP($B66,Kraftvärmeprod!$B$1:$BX$549,MATCH(AA$2,Kraftvärmeprod!$B$1:$VX$1,0),FALSE)/1,0)-IFERROR(VLOOKUP($B66,'Slutlig allokering kvv'!$B$2:$BX$549,MATCH(AA$2,'Slutlig allokering kvv'!$B$1:$BX$1,0),FALSE)/1,0))</f>
        <v/>
      </c>
      <c r="AB66" s="121" t="str">
        <f>IF($D66="","",IFERROR(VLOOKUP($B66,Kraftvärmeprod!$B$1:$BX$549,MATCH(AB$2,Kraftvärmeprod!$B$1:$VX$1,0),FALSE)/1,0)-IFERROR(VLOOKUP($B66,'Slutlig allokering kvv'!$B$2:$BX$549,MATCH(AB$2,'Slutlig allokering kvv'!$B$1:$BX$1,0),FALSE)/1,0))</f>
        <v/>
      </c>
      <c r="AC66" s="121" t="str">
        <f>IF($D66="","",IFERROR(VLOOKUP($B66,Kraftvärmeprod!$B$1:$BX$549,MATCH(AC$2,Kraftvärmeprod!$B$1:$VX$1,0),FALSE)/1,0)-IFERROR(VLOOKUP($B66,'Slutlig allokering kvv'!$B$2:$BX$549,MATCH(AC$2,'Slutlig allokering kvv'!$B$1:$BX$1,0),FALSE)/1,0))</f>
        <v/>
      </c>
      <c r="AD66" s="121" t="str">
        <f>IF($D66="","",IFERROR(VLOOKUP($B66,Kraftvärmeprod!$B$1:$BX$549,MATCH(AD$2,Kraftvärmeprod!$B$1:$VX$1,0),FALSE)/1,0)-IFERROR(VLOOKUP($B66,'Slutlig allokering kvv'!$B$2:$BX$549,MATCH(AD$2,'Slutlig allokering kvv'!$B$1:$BX$1,0),FALSE)/1,0))</f>
        <v/>
      </c>
      <c r="AE66" s="121" t="str">
        <f>IF($D66="","",IFERROR(VLOOKUP($B66,Miljö!$B$1:$E$550,MATCH("Hjälpel kraftvärme (GWh)",Miljö!$B$1:$E$1,0),FALSE)/1,0)-IFERROR(VLOOKUP($B66,'Slutlig allokering kvv'!$B$2:$BX$549,MATCH(AE$2,'Slutlig allokering kvv'!$B$1:$BX$1,0),FALSE)/1,0))</f>
        <v/>
      </c>
      <c r="AI66" s="121">
        <f t="shared" si="0"/>
        <v>0</v>
      </c>
      <c r="AK66" s="121">
        <f>IFERROR(VLOOKUP($B66,'Slutlig allokering kvv'!$B$2:$AX$549,MATCH("Summa slutlig allokerad tillförd energi (utan hjälpel och rökgaskondensering):",'Slutlig allokering kvv'!$B$1:$AX$1,0),FALSE)/1,"")</f>
        <v>0</v>
      </c>
      <c r="AM66" s="172" t="str">
        <f>IFERROR(1-VLOOKUP($B66,'Slutlig allokering kvv'!$B$2:$AX$549,MATCH("Andel av bränsle i kvv som allokerats till värme, exklusive rökgaskondensering och hjälpel",'Slutlig allokering kvv'!$B$1:$AX$1,0),FALSE),"")</f>
        <v/>
      </c>
      <c r="AO66" s="172" t="str">
        <f t="shared" si="1"/>
        <v/>
      </c>
      <c r="AP66" s="173" t="str">
        <f t="shared" si="2"/>
        <v/>
      </c>
      <c r="AR66" s="172" t="str">
        <f t="shared" si="3"/>
        <v/>
      </c>
    </row>
    <row r="67" spans="1:44" x14ac:dyDescent="0.25">
      <c r="A67" s="171" t="str">
        <f>'Miljövärden för publ företag'!B69</f>
        <v>Emmaboda Energi och Miljö AB</v>
      </c>
      <c r="B67" s="171" t="str">
        <f>'Miljövärden för publ företag'!C69</f>
        <v>Emmaboda</v>
      </c>
      <c r="C67" s="121" t="str">
        <f>IFERROR(VLOOKUP($B67,Kraftvärmeprod!$B$1:$AH$478,MATCH(C$2,Kraftvärmeprod!$B$1:$AG$1,0),FALSE)/1,"")</f>
        <v/>
      </c>
      <c r="D67" s="121" t="str">
        <f>IFERROR(VLOOKUP($B67,Kraftvärmeprod!$B$1:$AH$478,MATCH(D$2,Kraftvärmeprod!$B$1:$AG$1,0),FALSE)/1,"")</f>
        <v/>
      </c>
      <c r="F67" s="121" t="str">
        <f>IF($D67="","",IFERROR(VLOOKUP($B67,Kraftvärmeprod!$B$1:$BX$549,MATCH(F$2,Kraftvärmeprod!$B$1:$VX$1,0),FALSE)/1,0)-IFERROR(VLOOKUP($B67,'Slutlig allokering kvv'!$B$2:$BX$549,MATCH(F$2,'Slutlig allokering kvv'!$B$1:$BX$1,0),FALSE)/1,0))</f>
        <v/>
      </c>
      <c r="G67" s="121" t="str">
        <f>IF($D67="","",IFERROR(VLOOKUP($B67,Kraftvärmeprod!$B$1:$BX$549,MATCH(G$2,Kraftvärmeprod!$B$1:$VX$1,0),FALSE)/1,0)-IFERROR(VLOOKUP($B67,'Slutlig allokering kvv'!$B$2:$BX$549,MATCH(G$2,'Slutlig allokering kvv'!$B$1:$BX$1,0),FALSE)/1,0))</f>
        <v/>
      </c>
      <c r="H67" s="121" t="str">
        <f>IF($D67="","",IFERROR(VLOOKUP($B67,Kraftvärmeprod!$B$1:$BX$549,MATCH(H$2,Kraftvärmeprod!$B$1:$VX$1,0),FALSE)/1,0)-IFERROR(VLOOKUP($B67,'Slutlig allokering kvv'!$B$2:$BX$549,MATCH(H$2,'Slutlig allokering kvv'!$B$1:$BX$1,0),FALSE)/1,0))</f>
        <v/>
      </c>
      <c r="I67" s="121" t="str">
        <f>IF($D67="","",IFERROR(VLOOKUP($B67,Kraftvärmeprod!$B$1:$BX$549,MATCH(I$2,Kraftvärmeprod!$B$1:$VX$1,0),FALSE)/1,0)-IFERROR(VLOOKUP($B67,'Slutlig allokering kvv'!$B$2:$BX$549,MATCH(I$2,'Slutlig allokering kvv'!$B$1:$BX$1,0),FALSE)/1,0))</f>
        <v/>
      </c>
      <c r="J67" s="121" t="str">
        <f>IF($D67="","",IFERROR(VLOOKUP($B67,Kraftvärmeprod!$B$1:$BX$549,MATCH(J$2,Kraftvärmeprod!$B$1:$VX$1,0),FALSE)/1,0)-IFERROR(VLOOKUP($B67,'Slutlig allokering kvv'!$B$2:$BX$549,MATCH(J$2,'Slutlig allokering kvv'!$B$1:$BX$1,0),FALSE)/1,0))</f>
        <v/>
      </c>
      <c r="K67" s="121" t="str">
        <f>IF($D67="","",IFERROR(VLOOKUP($B67,Kraftvärmeprod!$B$1:$BX$549,MATCH(K$2,Kraftvärmeprod!$B$1:$VX$1,0),FALSE)/1,0)-IFERROR(VLOOKUP($B67,'Slutlig allokering kvv'!$B$2:$BX$549,MATCH(K$2,'Slutlig allokering kvv'!$B$1:$BX$1,0),FALSE)/1,0))</f>
        <v/>
      </c>
      <c r="L67" s="121" t="str">
        <f>IF($D67="","",IFERROR(VLOOKUP($B67,Kraftvärmeprod!$B$1:$BX$549,MATCH(L$2,Kraftvärmeprod!$B$1:$VX$1,0),FALSE)/1,0)-IFERROR(VLOOKUP($B67,'Slutlig allokering kvv'!$B$2:$BX$549,MATCH(L$2,'Slutlig allokering kvv'!$B$1:$BX$1,0),FALSE)/1,0))</f>
        <v/>
      </c>
      <c r="M67" s="121" t="str">
        <f>IF($D67="","",IFERROR(VLOOKUP($B67,Kraftvärmeprod!$B$1:$BX$549,MATCH(M$2,Kraftvärmeprod!$B$1:$VX$1,0),FALSE)/1,0)-IFERROR(VLOOKUP($B67,'Slutlig allokering kvv'!$B$2:$BX$549,MATCH(M$2,'Slutlig allokering kvv'!$B$1:$BX$1,0),FALSE)/1,0))</f>
        <v/>
      </c>
      <c r="N67" s="121" t="str">
        <f>IF($D67="","",IFERROR(VLOOKUP($B67,Kraftvärmeprod!$B$1:$BX$549,MATCH(N$2,Kraftvärmeprod!$B$1:$VX$1,0),FALSE)/1,0)-IFERROR(VLOOKUP($B67,'Slutlig allokering kvv'!$B$2:$BX$549,MATCH(N$2,'Slutlig allokering kvv'!$B$1:$BX$1,0),FALSE)/1,0))</f>
        <v/>
      </c>
      <c r="O67" s="121" t="str">
        <f>IF($D67="","",IFERROR(VLOOKUP($B67,Kraftvärmeprod!$B$1:$BX$549,MATCH(O$2,Kraftvärmeprod!$B$1:$VX$1,0),FALSE)/1,0)-IFERROR(VLOOKUP($B67,'Slutlig allokering kvv'!$B$2:$BX$549,MATCH(O$2,'Slutlig allokering kvv'!$B$1:$BX$1,0),FALSE)/1,0))</f>
        <v/>
      </c>
      <c r="P67" s="121" t="str">
        <f>IF($D67="","",IFERROR(VLOOKUP($B67,Kraftvärmeprod!$B$1:$BX$549,MATCH(P$2,Kraftvärmeprod!$B$1:$VX$1,0),FALSE)/1,0)-IFERROR(VLOOKUP($B67,'Slutlig allokering kvv'!$B$2:$BX$549,MATCH(P$2,'Slutlig allokering kvv'!$B$1:$BX$1,0),FALSE)/1,0))</f>
        <v/>
      </c>
      <c r="Q67" s="121" t="str">
        <f>IF($D67="","",IFERROR(VLOOKUP($B67,Kraftvärmeprod!$B$1:$BX$549,MATCH(Q$2,Kraftvärmeprod!$B$1:$VX$1,0),FALSE)/1,0)-IFERROR(VLOOKUP($B67,'Slutlig allokering kvv'!$B$2:$BX$549,MATCH(Q$2,'Slutlig allokering kvv'!$B$1:$BX$1,0),FALSE)/1,0))</f>
        <v/>
      </c>
      <c r="R67" s="121" t="str">
        <f>IF($D67="","",IFERROR(VLOOKUP($B67,Kraftvärmeprod!$B$1:$BX$549,MATCH(R$2,Kraftvärmeprod!$B$1:$VX$1,0),FALSE)/1,0)-IFERROR(VLOOKUP($B67,'Slutlig allokering kvv'!$B$2:$BX$549,MATCH(R$2,'Slutlig allokering kvv'!$B$1:$BX$1,0),FALSE)/1,0))</f>
        <v/>
      </c>
      <c r="S67" s="121" t="str">
        <f>IF($D67="","",IFERROR(VLOOKUP($B67,Kraftvärmeprod!$B$1:$BX$549,MATCH(S$2,Kraftvärmeprod!$B$1:$VX$1,0),FALSE)/1,0)-IFERROR(VLOOKUP($B67,'Slutlig allokering kvv'!$B$2:$BX$549,MATCH(S$2,'Slutlig allokering kvv'!$B$1:$BX$1,0),FALSE)/1,0))</f>
        <v/>
      </c>
      <c r="T67" s="121" t="str">
        <f>IF($D67="","",IFERROR(VLOOKUP($B67,Kraftvärmeprod!$B$1:$BX$549,MATCH(T$2,Kraftvärmeprod!$B$1:$VX$1,0),FALSE)/1,0)-IFERROR(VLOOKUP($B67,'Slutlig allokering kvv'!$B$2:$BX$549,MATCH(T$2,'Slutlig allokering kvv'!$B$1:$BX$1,0),FALSE)/1,0))</f>
        <v/>
      </c>
      <c r="U67" s="121" t="str">
        <f>IF($D67="","",IFERROR(VLOOKUP($B67,Kraftvärmeprod!$B$1:$BX$549,MATCH(U$2,Kraftvärmeprod!$B$1:$VX$1,0),FALSE)/1,0)-IFERROR(VLOOKUP($B67,'Slutlig allokering kvv'!$B$2:$BX$549,MATCH(U$2,'Slutlig allokering kvv'!$B$1:$BX$1,0),FALSE)/1,0))</f>
        <v/>
      </c>
      <c r="V67" s="121" t="str">
        <f>IF($D67="","",IFERROR(VLOOKUP($B67,Kraftvärmeprod!$B$1:$BX$549,MATCH(V$2,Kraftvärmeprod!$B$1:$VX$1,0),FALSE)/1,0)-IFERROR(VLOOKUP($B67,'Slutlig allokering kvv'!$B$2:$BX$549,MATCH(V$2,'Slutlig allokering kvv'!$B$1:$BX$1,0),FALSE)/1,0))</f>
        <v/>
      </c>
      <c r="W67" s="121" t="str">
        <f>IF($D67="","",IFERROR(VLOOKUP($B67,Kraftvärmeprod!$B$1:$BX$549,MATCH(W$2,Kraftvärmeprod!$B$1:$VX$1,0),FALSE)/1,0)-IFERROR(VLOOKUP($B67,'Slutlig allokering kvv'!$B$2:$BX$549,MATCH(W$2,'Slutlig allokering kvv'!$B$1:$BX$1,0),FALSE)/1,0))</f>
        <v/>
      </c>
      <c r="X67" s="121" t="str">
        <f>IF($D67="","",IFERROR(VLOOKUP($B67,Kraftvärmeprod!$B$1:$BX$549,MATCH(X$2,Kraftvärmeprod!$B$1:$VX$1,0),FALSE)/1,0)-IFERROR(VLOOKUP($B67,'Slutlig allokering kvv'!$B$2:$BX$549,MATCH(X$2,'Slutlig allokering kvv'!$B$1:$BX$1,0),FALSE)/1,0))</f>
        <v/>
      </c>
      <c r="Y67" s="121" t="str">
        <f>IF($D67="","",IFERROR(VLOOKUP($B67,Kraftvärmeprod!$B$1:$BX$549,MATCH(Y$2,Kraftvärmeprod!$B$1:$VX$1,0),FALSE)/1,0)-IFERROR(VLOOKUP($B67,'Slutlig allokering kvv'!$B$2:$BX$549,MATCH(Y$2,'Slutlig allokering kvv'!$B$1:$BX$1,0),FALSE)/1,0))</f>
        <v/>
      </c>
      <c r="Z67" s="121" t="str">
        <f>IF($D67="","",IFERROR(VLOOKUP($B67,Kraftvärmeprod!$B$1:$BX$549,MATCH(Z$2,Kraftvärmeprod!$B$1:$VX$1,0),FALSE)/1,0)-IFERROR(VLOOKUP($B67,'Slutlig allokering kvv'!$B$2:$BX$549,MATCH(Z$2,'Slutlig allokering kvv'!$B$1:$BX$1,0),FALSE)/1,0))</f>
        <v/>
      </c>
      <c r="AA67" s="121" t="str">
        <f>IF($D67="","",IFERROR(VLOOKUP($B67,Kraftvärmeprod!$B$1:$BX$549,MATCH(AA$2,Kraftvärmeprod!$B$1:$VX$1,0),FALSE)/1,0)-IFERROR(VLOOKUP($B67,'Slutlig allokering kvv'!$B$2:$BX$549,MATCH(AA$2,'Slutlig allokering kvv'!$B$1:$BX$1,0),FALSE)/1,0))</f>
        <v/>
      </c>
      <c r="AB67" s="121" t="str">
        <f>IF($D67="","",IFERROR(VLOOKUP($B67,Kraftvärmeprod!$B$1:$BX$549,MATCH(AB$2,Kraftvärmeprod!$B$1:$VX$1,0),FALSE)/1,0)-IFERROR(VLOOKUP($B67,'Slutlig allokering kvv'!$B$2:$BX$549,MATCH(AB$2,'Slutlig allokering kvv'!$B$1:$BX$1,0),FALSE)/1,0))</f>
        <v/>
      </c>
      <c r="AC67" s="121" t="str">
        <f>IF($D67="","",IFERROR(VLOOKUP($B67,Kraftvärmeprod!$B$1:$BX$549,MATCH(AC$2,Kraftvärmeprod!$B$1:$VX$1,0),FALSE)/1,0)-IFERROR(VLOOKUP($B67,'Slutlig allokering kvv'!$B$2:$BX$549,MATCH(AC$2,'Slutlig allokering kvv'!$B$1:$BX$1,0),FALSE)/1,0))</f>
        <v/>
      </c>
      <c r="AD67" s="121" t="str">
        <f>IF($D67="","",IFERROR(VLOOKUP($B67,Kraftvärmeprod!$B$1:$BX$549,MATCH(AD$2,Kraftvärmeprod!$B$1:$VX$1,0),FALSE)/1,0)-IFERROR(VLOOKUP($B67,'Slutlig allokering kvv'!$B$2:$BX$549,MATCH(AD$2,'Slutlig allokering kvv'!$B$1:$BX$1,0),FALSE)/1,0))</f>
        <v/>
      </c>
      <c r="AE67" s="121" t="str">
        <f>IF($D67="","",IFERROR(VLOOKUP($B67,Miljö!$B$1:$E$550,MATCH("Hjälpel kraftvärme (GWh)",Miljö!$B$1:$E$1,0),FALSE)/1,0)-IFERROR(VLOOKUP($B67,'Slutlig allokering kvv'!$B$2:$BX$549,MATCH(AE$2,'Slutlig allokering kvv'!$B$1:$BX$1,0),FALSE)/1,0))</f>
        <v/>
      </c>
      <c r="AI67" s="121">
        <f t="shared" si="0"/>
        <v>0</v>
      </c>
      <c r="AK67" s="121">
        <f>IFERROR(VLOOKUP($B67,'Slutlig allokering kvv'!$B$2:$AX$549,MATCH("Summa slutlig allokerad tillförd energi (utan hjälpel och rökgaskondensering):",'Slutlig allokering kvv'!$B$1:$AX$1,0),FALSE)/1,"")</f>
        <v>0</v>
      </c>
      <c r="AM67" s="172" t="str">
        <f>IFERROR(1-VLOOKUP($B67,'Slutlig allokering kvv'!$B$2:$AX$549,MATCH("Andel av bränsle i kvv som allokerats till värme, exklusive rökgaskondensering och hjälpel",'Slutlig allokering kvv'!$B$1:$AX$1,0),FALSE),"")</f>
        <v/>
      </c>
      <c r="AO67" s="172" t="str">
        <f t="shared" si="1"/>
        <v/>
      </c>
      <c r="AP67" s="173" t="str">
        <f t="shared" si="2"/>
        <v/>
      </c>
      <c r="AR67" s="172" t="str">
        <f t="shared" si="3"/>
        <v/>
      </c>
    </row>
    <row r="68" spans="1:44" x14ac:dyDescent="0.25">
      <c r="A68" s="171" t="str">
        <f>'Miljövärden för publ företag'!B70</f>
        <v>Ena Energi AB</v>
      </c>
      <c r="B68" s="171" t="str">
        <f>'Miljövärden för publ företag'!C70</f>
        <v>Enköping</v>
      </c>
      <c r="C68" s="121">
        <f>IFERROR(VLOOKUP($B68,Kraftvärmeprod!$B$1:$AH$478,MATCH(C$2,Kraftvärmeprod!$B$1:$AG$1,0),FALSE)/1,"")</f>
        <v>216</v>
      </c>
      <c r="D68" s="121">
        <f>IFERROR(VLOOKUP($B68,Kraftvärmeprod!$B$1:$AH$478,MATCH(D$2,Kraftvärmeprod!$B$1:$AG$1,0),FALSE)/1,"")</f>
        <v>73.7</v>
      </c>
      <c r="F68" s="121">
        <f>IF($D68="","",IFERROR(VLOOKUP($B68,Kraftvärmeprod!$B$1:$BX$549,MATCH(F$2,Kraftvärmeprod!$B$1:$VX$1,0),FALSE)/1,0)-IFERROR(VLOOKUP($B68,'Slutlig allokering kvv'!$B$2:$BX$549,MATCH(F$2,'Slutlig allokering kvv'!$B$1:$BX$1,0),FALSE)/1,0))</f>
        <v>0</v>
      </c>
      <c r="G68" s="121">
        <f>IF($D68="","",IFERROR(VLOOKUP($B68,Kraftvärmeprod!$B$1:$BX$549,MATCH(G$2,Kraftvärmeprod!$B$1:$VX$1,0),FALSE)/1,0)-IFERROR(VLOOKUP($B68,'Slutlig allokering kvv'!$B$2:$BX$549,MATCH(G$2,'Slutlig allokering kvv'!$B$1:$BX$1,0),FALSE)/1,0))</f>
        <v>0.73500999999999994</v>
      </c>
      <c r="H68" s="121">
        <f>IF($D68="","",IFERROR(VLOOKUP($B68,Kraftvärmeprod!$B$1:$BX$549,MATCH(H$2,Kraftvärmeprod!$B$1:$VX$1,0),FALSE)/1,0)-IFERROR(VLOOKUP($B68,'Slutlig allokering kvv'!$B$2:$BX$549,MATCH(H$2,'Slutlig allokering kvv'!$B$1:$BX$1,0),FALSE)/1,0))</f>
        <v>0</v>
      </c>
      <c r="I68" s="121">
        <f>IF($D68="","",IFERROR(VLOOKUP($B68,Kraftvärmeprod!$B$1:$BX$549,MATCH(I$2,Kraftvärmeprod!$B$1:$VX$1,0),FALSE)/1,0)-IFERROR(VLOOKUP($B68,'Slutlig allokering kvv'!$B$2:$BX$549,MATCH(I$2,'Slutlig allokering kvv'!$B$1:$BX$1,0),FALSE)/1,0))</f>
        <v>0</v>
      </c>
      <c r="J68" s="121">
        <f>IF($D68="","",IFERROR(VLOOKUP($B68,Kraftvärmeprod!$B$1:$BX$549,MATCH(J$2,Kraftvärmeprod!$B$1:$VX$1,0),FALSE)/1,0)-IFERROR(VLOOKUP($B68,'Slutlig allokering kvv'!$B$2:$BX$549,MATCH(J$2,'Slutlig allokering kvv'!$B$1:$BX$1,0),FALSE)/1,0))</f>
        <v>0</v>
      </c>
      <c r="K68" s="121">
        <f>IF($D68="","",IFERROR(VLOOKUP($B68,Kraftvärmeprod!$B$1:$BX$549,MATCH(K$2,Kraftvärmeprod!$B$1:$VX$1,0),FALSE)/1,0)-IFERROR(VLOOKUP($B68,'Slutlig allokering kvv'!$B$2:$BX$549,MATCH(K$2,'Slutlig allokering kvv'!$B$1:$BX$1,0),FALSE)/1,0))</f>
        <v>0</v>
      </c>
      <c r="L68" s="121">
        <f>IF($D68="","",IFERROR(VLOOKUP($B68,Kraftvärmeprod!$B$1:$BX$549,MATCH(L$2,Kraftvärmeprod!$B$1:$VX$1,0),FALSE)/1,0)-IFERROR(VLOOKUP($B68,'Slutlig allokering kvv'!$B$2:$BX$549,MATCH(L$2,'Slutlig allokering kvv'!$B$1:$BX$1,0),FALSE)/1,0))</f>
        <v>19.297699999999999</v>
      </c>
      <c r="M68" s="121">
        <f>IF($D68="","",IFERROR(VLOOKUP($B68,Kraftvärmeprod!$B$1:$BX$549,MATCH(M$2,Kraftvärmeprod!$B$1:$VX$1,0),FALSE)/1,0)-IFERROR(VLOOKUP($B68,'Slutlig allokering kvv'!$B$2:$BX$549,MATCH(M$2,'Slutlig allokering kvv'!$B$1:$BX$1,0),FALSE)/1,0))</f>
        <v>0</v>
      </c>
      <c r="N68" s="121">
        <f>IF($D68="","",IFERROR(VLOOKUP($B68,Kraftvärmeprod!$B$1:$BX$549,MATCH(N$2,Kraftvärmeprod!$B$1:$VX$1,0),FALSE)/1,0)-IFERROR(VLOOKUP($B68,'Slutlig allokering kvv'!$B$2:$BX$549,MATCH(N$2,'Slutlig allokering kvv'!$B$1:$BX$1,0),FALSE)/1,0))</f>
        <v>5.6481000000000003</v>
      </c>
      <c r="O68" s="121">
        <f>IF($D68="","",IFERROR(VLOOKUP($B68,Kraftvärmeprod!$B$1:$BX$549,MATCH(O$2,Kraftvärmeprod!$B$1:$VX$1,0),FALSE)/1,0)-IFERROR(VLOOKUP($B68,'Slutlig allokering kvv'!$B$2:$BX$549,MATCH(O$2,'Slutlig allokering kvv'!$B$1:$BX$1,0),FALSE)/1,0))</f>
        <v>0</v>
      </c>
      <c r="P68" s="121">
        <f>IF($D68="","",IFERROR(VLOOKUP($B68,Kraftvärmeprod!$B$1:$BX$549,MATCH(P$2,Kraftvärmeprod!$B$1:$VX$1,0),FALSE)/1,0)-IFERROR(VLOOKUP($B68,'Slutlig allokering kvv'!$B$2:$BX$549,MATCH(P$2,'Slutlig allokering kvv'!$B$1:$BX$1,0),FALSE)/1,0))</f>
        <v>0</v>
      </c>
      <c r="Q68" s="121">
        <f>IF($D68="","",IFERROR(VLOOKUP($B68,Kraftvärmeprod!$B$1:$BX$549,MATCH(Q$2,Kraftvärmeprod!$B$1:$VX$1,0),FALSE)/1,0)-IFERROR(VLOOKUP($B68,'Slutlig allokering kvv'!$B$2:$BX$549,MATCH(Q$2,'Slutlig allokering kvv'!$B$1:$BX$1,0),FALSE)/1,0))</f>
        <v>0</v>
      </c>
      <c r="R68" s="121">
        <f>IF($D68="","",IFERROR(VLOOKUP($B68,Kraftvärmeprod!$B$1:$BX$549,MATCH(R$2,Kraftvärmeprod!$B$1:$VX$1,0),FALSE)/1,0)-IFERROR(VLOOKUP($B68,'Slutlig allokering kvv'!$B$2:$BX$549,MATCH(R$2,'Slutlig allokering kvv'!$B$1:$BX$1,0),FALSE)/1,0))</f>
        <v>0</v>
      </c>
      <c r="S68" s="121">
        <f>IF($D68="","",IFERROR(VLOOKUP($B68,Kraftvärmeprod!$B$1:$BX$549,MATCH(S$2,Kraftvärmeprod!$B$1:$VX$1,0),FALSE)/1,0)-IFERROR(VLOOKUP($B68,'Slutlig allokering kvv'!$B$2:$BX$549,MATCH(S$2,'Slutlig allokering kvv'!$B$1:$BX$1,0),FALSE)/1,0))</f>
        <v>0</v>
      </c>
      <c r="T68" s="121">
        <f>IF($D68="","",IFERROR(VLOOKUP($B68,Kraftvärmeprod!$B$1:$BX$549,MATCH(T$2,Kraftvärmeprod!$B$1:$VX$1,0),FALSE)/1,0)-IFERROR(VLOOKUP($B68,'Slutlig allokering kvv'!$B$2:$BX$549,MATCH(T$2,'Slutlig allokering kvv'!$B$1:$BX$1,0),FALSE)/1,0))</f>
        <v>0</v>
      </c>
      <c r="U68" s="121">
        <f>IF($D68="","",IFERROR(VLOOKUP($B68,Kraftvärmeprod!$B$1:$BX$549,MATCH(U$2,Kraftvärmeprod!$B$1:$VX$1,0),FALSE)/1,0)-IFERROR(VLOOKUP($B68,'Slutlig allokering kvv'!$B$2:$BX$549,MATCH(U$2,'Slutlig allokering kvv'!$B$1:$BX$1,0),FALSE)/1,0))</f>
        <v>0</v>
      </c>
      <c r="V68" s="121">
        <f>IF($D68="","",IFERROR(VLOOKUP($B68,Kraftvärmeprod!$B$1:$BX$549,MATCH(V$2,Kraftvärmeprod!$B$1:$VX$1,0),FALSE)/1,0)-IFERROR(VLOOKUP($B68,'Slutlig allokering kvv'!$B$2:$BX$549,MATCH(V$2,'Slutlig allokering kvv'!$B$1:$BX$1,0),FALSE)/1,0))</f>
        <v>138.37799999999999</v>
      </c>
      <c r="W68" s="121">
        <f>IF($D68="","",IFERROR(VLOOKUP($B68,Kraftvärmeprod!$B$1:$BX$549,MATCH(W$2,Kraftvärmeprod!$B$1:$VX$1,0),FALSE)/1,0)-IFERROR(VLOOKUP($B68,'Slutlig allokering kvv'!$B$2:$BX$549,MATCH(W$2,'Slutlig allokering kvv'!$B$1:$BX$1,0),FALSE)/1,0))</f>
        <v>0</v>
      </c>
      <c r="X68" s="121">
        <f>IF($D68="","",IFERROR(VLOOKUP($B68,Kraftvärmeprod!$B$1:$BX$549,MATCH(X$2,Kraftvärmeprod!$B$1:$VX$1,0),FALSE)/1,0)-IFERROR(VLOOKUP($B68,'Slutlig allokering kvv'!$B$2:$BX$549,MATCH(X$2,'Slutlig allokering kvv'!$B$1:$BX$1,0),FALSE)/1,0))</f>
        <v>0</v>
      </c>
      <c r="Y68" s="121">
        <f>IF($D68="","",IFERROR(VLOOKUP($B68,Kraftvärmeprod!$B$1:$BX$549,MATCH(Y$2,Kraftvärmeprod!$B$1:$VX$1,0),FALSE)/1,0)-IFERROR(VLOOKUP($B68,'Slutlig allokering kvv'!$B$2:$BX$549,MATCH(Y$2,'Slutlig allokering kvv'!$B$1:$BX$1,0),FALSE)/1,0))</f>
        <v>0</v>
      </c>
      <c r="Z68" s="121">
        <f>IF($D68="","",IFERROR(VLOOKUP($B68,Kraftvärmeprod!$B$1:$BX$549,MATCH(Z$2,Kraftvärmeprod!$B$1:$VX$1,0),FALSE)/1,0)-IFERROR(VLOOKUP($B68,'Slutlig allokering kvv'!$B$2:$BX$549,MATCH(Z$2,'Slutlig allokering kvv'!$B$1:$BX$1,0),FALSE)/1,0))</f>
        <v>0</v>
      </c>
      <c r="AA68" s="121">
        <f>IF($D68="","",IFERROR(VLOOKUP($B68,Kraftvärmeprod!$B$1:$BX$549,MATCH(AA$2,Kraftvärmeprod!$B$1:$VX$1,0),FALSE)/1,0)-IFERROR(VLOOKUP($B68,'Slutlig allokering kvv'!$B$2:$BX$549,MATCH(AA$2,'Slutlig allokering kvv'!$B$1:$BX$1,0),FALSE)/1,0))</f>
        <v>0</v>
      </c>
      <c r="AB68" s="121">
        <f>IF($D68="","",IFERROR(VLOOKUP($B68,Kraftvärmeprod!$B$1:$BX$549,MATCH(AB$2,Kraftvärmeprod!$B$1:$VX$1,0),FALSE)/1,0)-IFERROR(VLOOKUP($B68,'Slutlig allokering kvv'!$B$2:$BX$549,MATCH(AB$2,'Slutlig allokering kvv'!$B$1:$BX$1,0),FALSE)/1,0))</f>
        <v>0</v>
      </c>
      <c r="AC68" s="121">
        <f>IF($D68="","",IFERROR(VLOOKUP($B68,Kraftvärmeprod!$B$1:$BX$549,MATCH(AC$2,Kraftvärmeprod!$B$1:$VX$1,0),FALSE)/1,0)-IFERROR(VLOOKUP($B68,'Slutlig allokering kvv'!$B$2:$BX$549,MATCH(AC$2,'Slutlig allokering kvv'!$B$1:$BX$1,0),FALSE)/1,0))</f>
        <v>0</v>
      </c>
      <c r="AD68" s="121">
        <f>IF($D68="","",IFERROR(VLOOKUP($B68,Kraftvärmeprod!$B$1:$BX$549,MATCH(AD$2,Kraftvärmeprod!$B$1:$VX$1,0),FALSE)/1,0)-IFERROR(VLOOKUP($B68,'Slutlig allokering kvv'!$B$2:$BX$549,MATCH(AD$2,'Slutlig allokering kvv'!$B$1:$BX$1,0),FALSE)/1,0))</f>
        <v>0</v>
      </c>
      <c r="AE68" s="121">
        <f>IF($D68="","",IFERROR(VLOOKUP($B68,Miljö!$B$1:$E$550,MATCH("Hjälpel kraftvärme (GWh)",Miljö!$B$1:$E$1,0),FALSE)/1,0)-IFERROR(VLOOKUP($B68,'Slutlig allokering kvv'!$B$2:$BX$549,MATCH(AE$2,'Slutlig allokering kvv'!$B$1:$BX$1,0),FALSE)/1,0))</f>
        <v>4.5153799999999995</v>
      </c>
      <c r="AI68" s="121">
        <f t="shared" ref="AI68:AI131" si="4">SUM(F68:AC68)</f>
        <v>164.05880999999999</v>
      </c>
      <c r="AK68" s="121">
        <f>IFERROR(VLOOKUP($B68,'Slutlig allokering kvv'!$B$2:$AX$549,MATCH("Summa slutlig allokerad tillförd energi (utan hjälpel och rökgaskondensering):",'Slutlig allokering kvv'!$B$1:$AX$1,0),FALSE)/1,"")</f>
        <v>184.74119000000002</v>
      </c>
      <c r="AM68" s="172">
        <f>IFERROR(1-VLOOKUP($B68,'Slutlig allokering kvv'!$B$2:$AX$549,MATCH("Andel av bränsle i kvv som allokerats till värme, exklusive rökgaskondensering och hjälpel",'Slutlig allokering kvv'!$B$1:$AX$1,0),FALSE),"")</f>
        <v>0.4703520928899082</v>
      </c>
      <c r="AO68" s="172">
        <f t="shared" ref="AO68:AO131" si="5">IFERROR(AI68/(AI68+AK68),"")</f>
        <v>0.4703520928899082</v>
      </c>
      <c r="AP68" s="173">
        <f t="shared" ref="AP68:AP131" si="6">IFERROR(AM68-AO68,"")</f>
        <v>0</v>
      </c>
      <c r="AR68" s="172">
        <f t="shared" ref="AR68:AR131" si="7">IFERROR(D68/(AI68+AE68),"")</f>
        <v>0.43719622796348606</v>
      </c>
    </row>
    <row r="69" spans="1:44" x14ac:dyDescent="0.25">
      <c r="A69" s="171" t="str">
        <f>'Miljövärden för publ företag'!B71</f>
        <v>Eskilstuna Energi &amp; Miljö AB</v>
      </c>
      <c r="B69" s="171" t="str">
        <f>'Miljövärden för publ företag'!C71</f>
        <v>Eskilstuna-Torshälla</v>
      </c>
      <c r="C69" s="121">
        <f>IFERROR(VLOOKUP($B69,Kraftvärmeprod!$B$1:$AH$478,MATCH(C$2,Kraftvärmeprod!$B$1:$AG$1,0),FALSE)/1,"")</f>
        <v>546.64099999999996</v>
      </c>
      <c r="D69" s="121">
        <f>IFERROR(VLOOKUP($B69,Kraftvärmeprod!$B$1:$AH$478,MATCH(D$2,Kraftvärmeprod!$B$1:$AG$1,0),FALSE)/1,"")</f>
        <v>162.79400000000001</v>
      </c>
      <c r="F69" s="121">
        <f>IF($D69="","",IFERROR(VLOOKUP($B69,Kraftvärmeprod!$B$1:$BX$549,MATCH(F$2,Kraftvärmeprod!$B$1:$VX$1,0),FALSE)/1,0)-IFERROR(VLOOKUP($B69,'Slutlig allokering kvv'!$B$2:$BX$549,MATCH(F$2,'Slutlig allokering kvv'!$B$1:$BX$1,0),FALSE)/1,0))</f>
        <v>0</v>
      </c>
      <c r="G69" s="121">
        <f>IF($D69="","",IFERROR(VLOOKUP($B69,Kraftvärmeprod!$B$1:$BX$549,MATCH(G$2,Kraftvärmeprod!$B$1:$VX$1,0),FALSE)/1,0)-IFERROR(VLOOKUP($B69,'Slutlig allokering kvv'!$B$2:$BX$549,MATCH(G$2,'Slutlig allokering kvv'!$B$1:$BX$1,0),FALSE)/1,0))</f>
        <v>0.24435400000000002</v>
      </c>
      <c r="H69" s="121">
        <f>IF($D69="","",IFERROR(VLOOKUP($B69,Kraftvärmeprod!$B$1:$BX$549,MATCH(H$2,Kraftvärmeprod!$B$1:$VX$1,0),FALSE)/1,0)-IFERROR(VLOOKUP($B69,'Slutlig allokering kvv'!$B$2:$BX$549,MATCH(H$2,'Slutlig allokering kvv'!$B$1:$BX$1,0),FALSE)/1,0))</f>
        <v>0</v>
      </c>
      <c r="I69" s="121">
        <f>IF($D69="","",IFERROR(VLOOKUP($B69,Kraftvärmeprod!$B$1:$BX$549,MATCH(I$2,Kraftvärmeprod!$B$1:$VX$1,0),FALSE)/1,0)-IFERROR(VLOOKUP($B69,'Slutlig allokering kvv'!$B$2:$BX$549,MATCH(I$2,'Slutlig allokering kvv'!$B$1:$BX$1,0),FALSE)/1,0))</f>
        <v>0</v>
      </c>
      <c r="J69" s="121">
        <f>IF($D69="","",IFERROR(VLOOKUP($B69,Kraftvärmeprod!$B$1:$BX$549,MATCH(J$2,Kraftvärmeprod!$B$1:$VX$1,0),FALSE)/1,0)-IFERROR(VLOOKUP($B69,'Slutlig allokering kvv'!$B$2:$BX$549,MATCH(J$2,'Slutlig allokering kvv'!$B$1:$BX$1,0),FALSE)/1,0))</f>
        <v>0</v>
      </c>
      <c r="K69" s="121">
        <f>IF($D69="","",IFERROR(VLOOKUP($B69,Kraftvärmeprod!$B$1:$BX$549,MATCH(K$2,Kraftvärmeprod!$B$1:$VX$1,0),FALSE)/1,0)-IFERROR(VLOOKUP($B69,'Slutlig allokering kvv'!$B$2:$BX$549,MATCH(K$2,'Slutlig allokering kvv'!$B$1:$BX$1,0),FALSE)/1,0))</f>
        <v>0</v>
      </c>
      <c r="L69" s="121">
        <f>IF($D69="","",IFERROR(VLOOKUP($B69,Kraftvärmeprod!$B$1:$BX$549,MATCH(L$2,Kraftvärmeprod!$B$1:$VX$1,0),FALSE)/1,0)-IFERROR(VLOOKUP($B69,'Slutlig allokering kvv'!$B$2:$BX$549,MATCH(L$2,'Slutlig allokering kvv'!$B$1:$BX$1,0),FALSE)/1,0))</f>
        <v>206.30799999999999</v>
      </c>
      <c r="M69" s="121">
        <f>IF($D69="","",IFERROR(VLOOKUP($B69,Kraftvärmeprod!$B$1:$BX$549,MATCH(M$2,Kraftvärmeprod!$B$1:$VX$1,0),FALSE)/1,0)-IFERROR(VLOOKUP($B69,'Slutlig allokering kvv'!$B$2:$BX$549,MATCH(M$2,'Slutlig allokering kvv'!$B$1:$BX$1,0),FALSE)/1,0))</f>
        <v>84.632000000000005</v>
      </c>
      <c r="N69" s="121">
        <f>IF($D69="","",IFERROR(VLOOKUP($B69,Kraftvärmeprod!$B$1:$BX$549,MATCH(N$2,Kraftvärmeprod!$B$1:$VX$1,0),FALSE)/1,0)-IFERROR(VLOOKUP($B69,'Slutlig allokering kvv'!$B$2:$BX$549,MATCH(N$2,'Slutlig allokering kvv'!$B$1:$BX$1,0),FALSE)/1,0))</f>
        <v>0</v>
      </c>
      <c r="O69" s="121">
        <f>IF($D69="","",IFERROR(VLOOKUP($B69,Kraftvärmeprod!$B$1:$BX$549,MATCH(O$2,Kraftvärmeprod!$B$1:$VX$1,0),FALSE)/1,0)-IFERROR(VLOOKUP($B69,'Slutlig allokering kvv'!$B$2:$BX$549,MATCH(O$2,'Slutlig allokering kvv'!$B$1:$BX$1,0),FALSE)/1,0))</f>
        <v>0</v>
      </c>
      <c r="P69" s="121">
        <f>IF($D69="","",IFERROR(VLOOKUP($B69,Kraftvärmeprod!$B$1:$BX$549,MATCH(P$2,Kraftvärmeprod!$B$1:$VX$1,0),FALSE)/1,0)-IFERROR(VLOOKUP($B69,'Slutlig allokering kvv'!$B$2:$BX$549,MATCH(P$2,'Slutlig allokering kvv'!$B$1:$BX$1,0),FALSE)/1,0))</f>
        <v>0</v>
      </c>
      <c r="Q69" s="121">
        <f>IF($D69="","",IFERROR(VLOOKUP($B69,Kraftvärmeprod!$B$1:$BX$549,MATCH(Q$2,Kraftvärmeprod!$B$1:$VX$1,0),FALSE)/1,0)-IFERROR(VLOOKUP($B69,'Slutlig allokering kvv'!$B$2:$BX$549,MATCH(Q$2,'Slutlig allokering kvv'!$B$1:$BX$1,0),FALSE)/1,0))</f>
        <v>0</v>
      </c>
      <c r="R69" s="121">
        <f>IF($D69="","",IFERROR(VLOOKUP($B69,Kraftvärmeprod!$B$1:$BX$549,MATCH(R$2,Kraftvärmeprod!$B$1:$VX$1,0),FALSE)/1,0)-IFERROR(VLOOKUP($B69,'Slutlig allokering kvv'!$B$2:$BX$549,MATCH(R$2,'Slutlig allokering kvv'!$B$1:$BX$1,0),FALSE)/1,0))</f>
        <v>0</v>
      </c>
      <c r="S69" s="121">
        <f>IF($D69="","",IFERROR(VLOOKUP($B69,Kraftvärmeprod!$B$1:$BX$549,MATCH(S$2,Kraftvärmeprod!$B$1:$VX$1,0),FALSE)/1,0)-IFERROR(VLOOKUP($B69,'Slutlig allokering kvv'!$B$2:$BX$549,MATCH(S$2,'Slutlig allokering kvv'!$B$1:$BX$1,0),FALSE)/1,0))</f>
        <v>0</v>
      </c>
      <c r="T69" s="121">
        <f>IF($D69="","",IFERROR(VLOOKUP($B69,Kraftvärmeprod!$B$1:$BX$549,MATCH(T$2,Kraftvärmeprod!$B$1:$VX$1,0),FALSE)/1,0)-IFERROR(VLOOKUP($B69,'Slutlig allokering kvv'!$B$2:$BX$549,MATCH(T$2,'Slutlig allokering kvv'!$B$1:$BX$1,0),FALSE)/1,0))</f>
        <v>0</v>
      </c>
      <c r="U69" s="121">
        <f>IF($D69="","",IFERROR(VLOOKUP($B69,Kraftvärmeprod!$B$1:$BX$549,MATCH(U$2,Kraftvärmeprod!$B$1:$VX$1,0),FALSE)/1,0)-IFERROR(VLOOKUP($B69,'Slutlig allokering kvv'!$B$2:$BX$549,MATCH(U$2,'Slutlig allokering kvv'!$B$1:$BX$1,0),FALSE)/1,0))</f>
        <v>0</v>
      </c>
      <c r="V69" s="121">
        <f>IF($D69="","",IFERROR(VLOOKUP($B69,Kraftvärmeprod!$B$1:$BX$549,MATCH(V$2,Kraftvärmeprod!$B$1:$VX$1,0),FALSE)/1,0)-IFERROR(VLOOKUP($B69,'Slutlig allokering kvv'!$B$2:$BX$549,MATCH(V$2,'Slutlig allokering kvv'!$B$1:$BX$1,0),FALSE)/1,0))</f>
        <v>0</v>
      </c>
      <c r="W69" s="121">
        <f>IF($D69="","",IFERROR(VLOOKUP($B69,Kraftvärmeprod!$B$1:$BX$549,MATCH(W$2,Kraftvärmeprod!$B$1:$VX$1,0),FALSE)/1,0)-IFERROR(VLOOKUP($B69,'Slutlig allokering kvv'!$B$2:$BX$549,MATCH(W$2,'Slutlig allokering kvv'!$B$1:$BX$1,0),FALSE)/1,0))</f>
        <v>0</v>
      </c>
      <c r="X69" s="121">
        <f>IF($D69="","",IFERROR(VLOOKUP($B69,Kraftvärmeprod!$B$1:$BX$549,MATCH(X$2,Kraftvärmeprod!$B$1:$VX$1,0),FALSE)/1,0)-IFERROR(VLOOKUP($B69,'Slutlig allokering kvv'!$B$2:$BX$549,MATCH(X$2,'Slutlig allokering kvv'!$B$1:$BX$1,0),FALSE)/1,0))</f>
        <v>0</v>
      </c>
      <c r="Y69" s="121">
        <f>IF($D69="","",IFERROR(VLOOKUP($B69,Kraftvärmeprod!$B$1:$BX$549,MATCH(Y$2,Kraftvärmeprod!$B$1:$VX$1,0),FALSE)/1,0)-IFERROR(VLOOKUP($B69,'Slutlig allokering kvv'!$B$2:$BX$549,MATCH(Y$2,'Slutlig allokering kvv'!$B$1:$BX$1,0),FALSE)/1,0))</f>
        <v>0</v>
      </c>
      <c r="Z69" s="121">
        <f>IF($D69="","",IFERROR(VLOOKUP($B69,Kraftvärmeprod!$B$1:$BX$549,MATCH(Z$2,Kraftvärmeprod!$B$1:$VX$1,0),FALSE)/1,0)-IFERROR(VLOOKUP($B69,'Slutlig allokering kvv'!$B$2:$BX$549,MATCH(Z$2,'Slutlig allokering kvv'!$B$1:$BX$1,0),FALSE)/1,0))</f>
        <v>0</v>
      </c>
      <c r="AA69" s="121">
        <f>IF($D69="","",IFERROR(VLOOKUP($B69,Kraftvärmeprod!$B$1:$BX$549,MATCH(AA$2,Kraftvärmeprod!$B$1:$VX$1,0),FALSE)/1,0)-IFERROR(VLOOKUP($B69,'Slutlig allokering kvv'!$B$2:$BX$549,MATCH(AA$2,'Slutlig allokering kvv'!$B$1:$BX$1,0),FALSE)/1,0))</f>
        <v>0</v>
      </c>
      <c r="AB69" s="121">
        <f>IF($D69="","",IFERROR(VLOOKUP($B69,Kraftvärmeprod!$B$1:$BX$549,MATCH(AB$2,Kraftvärmeprod!$B$1:$VX$1,0),FALSE)/1,0)-IFERROR(VLOOKUP($B69,'Slutlig allokering kvv'!$B$2:$BX$549,MATCH(AB$2,'Slutlig allokering kvv'!$B$1:$BX$1,0),FALSE)/1,0))</f>
        <v>0</v>
      </c>
      <c r="AC69" s="121">
        <f>IF($D69="","",IFERROR(VLOOKUP($B69,Kraftvärmeprod!$B$1:$BX$549,MATCH(AC$2,Kraftvärmeprod!$B$1:$VX$1,0),FALSE)/1,0)-IFERROR(VLOOKUP($B69,'Slutlig allokering kvv'!$B$2:$BX$549,MATCH(AC$2,'Slutlig allokering kvv'!$B$1:$BX$1,0),FALSE)/1,0))</f>
        <v>0</v>
      </c>
      <c r="AD69" s="121">
        <f>IF($D69="","",IFERROR(VLOOKUP($B69,Kraftvärmeprod!$B$1:$BX$549,MATCH(AD$2,Kraftvärmeprod!$B$1:$VX$1,0),FALSE)/1,0)-IFERROR(VLOOKUP($B69,'Slutlig allokering kvv'!$B$2:$BX$549,MATCH(AD$2,'Slutlig allokering kvv'!$B$1:$BX$1,0),FALSE)/1,0))</f>
        <v>0</v>
      </c>
      <c r="AE69" s="121">
        <f>IF($D69="","",IFERROR(VLOOKUP($B69,Miljö!$B$1:$E$550,MATCH("Hjälpel kraftvärme (GWh)",Miljö!$B$1:$E$1,0),FALSE)/1,0)-IFERROR(VLOOKUP($B69,'Slutlig allokering kvv'!$B$2:$BX$549,MATCH(AE$2,'Slutlig allokering kvv'!$B$1:$BX$1,0),FALSE)/1,0))</f>
        <v>9.1795000000000009</v>
      </c>
      <c r="AI69" s="121">
        <f t="shared" si="4"/>
        <v>291.18435399999998</v>
      </c>
      <c r="AK69" s="121">
        <f>IFERROR(VLOOKUP($B69,'Slutlig allokering kvv'!$B$2:$AX$549,MATCH("Summa slutlig allokerad tillförd energi (utan hjälpel och rökgaskondensering):",'Slutlig allokering kvv'!$B$1:$AX$1,0),FALSE)/1,"")</f>
        <v>375.27764599999995</v>
      </c>
      <c r="AM69" s="172">
        <f>IFERROR(1-VLOOKUP($B69,'Slutlig allokering kvv'!$B$2:$AX$549,MATCH("Andel av bränsle i kvv som allokerats till värme, exklusive rökgaskondensering och hjälpel",'Slutlig allokering kvv'!$B$1:$AX$1,0),FALSE),"")</f>
        <v>0.43691066257341016</v>
      </c>
      <c r="AO69" s="172">
        <f t="shared" si="5"/>
        <v>0.43691066257341005</v>
      </c>
      <c r="AP69" s="173">
        <f t="shared" si="6"/>
        <v>1.1102230246251565E-16</v>
      </c>
      <c r="AR69" s="172">
        <f t="shared" si="7"/>
        <v>0.54198931673050121</v>
      </c>
    </row>
    <row r="70" spans="1:44" x14ac:dyDescent="0.25">
      <c r="A70" s="171" t="str">
        <f>'Miljövärden för publ företag'!B72</f>
        <v>Eskilstuna Energi &amp; Miljö AB</v>
      </c>
      <c r="B70" s="171" t="str">
        <f>'Miljövärden för publ företag'!C72</f>
        <v>Kvicksund</v>
      </c>
      <c r="C70" s="121" t="str">
        <f>IFERROR(VLOOKUP($B70,Kraftvärmeprod!$B$1:$AH$478,MATCH(C$2,Kraftvärmeprod!$B$1:$AG$1,0),FALSE)/1,"")</f>
        <v/>
      </c>
      <c r="D70" s="121" t="str">
        <f>IFERROR(VLOOKUP($B70,Kraftvärmeprod!$B$1:$AH$478,MATCH(D$2,Kraftvärmeprod!$B$1:$AG$1,0),FALSE)/1,"")</f>
        <v/>
      </c>
      <c r="F70" s="121" t="str">
        <f>IF($D70="","",IFERROR(VLOOKUP($B70,Kraftvärmeprod!$B$1:$BX$549,MATCH(F$2,Kraftvärmeprod!$B$1:$VX$1,0),FALSE)/1,0)-IFERROR(VLOOKUP($B70,'Slutlig allokering kvv'!$B$2:$BX$549,MATCH(F$2,'Slutlig allokering kvv'!$B$1:$BX$1,0),FALSE)/1,0))</f>
        <v/>
      </c>
      <c r="G70" s="121" t="str">
        <f>IF($D70="","",IFERROR(VLOOKUP($B70,Kraftvärmeprod!$B$1:$BX$549,MATCH(G$2,Kraftvärmeprod!$B$1:$VX$1,0),FALSE)/1,0)-IFERROR(VLOOKUP($B70,'Slutlig allokering kvv'!$B$2:$BX$549,MATCH(G$2,'Slutlig allokering kvv'!$B$1:$BX$1,0),FALSE)/1,0))</f>
        <v/>
      </c>
      <c r="H70" s="121" t="str">
        <f>IF($D70="","",IFERROR(VLOOKUP($B70,Kraftvärmeprod!$B$1:$BX$549,MATCH(H$2,Kraftvärmeprod!$B$1:$VX$1,0),FALSE)/1,0)-IFERROR(VLOOKUP($B70,'Slutlig allokering kvv'!$B$2:$BX$549,MATCH(H$2,'Slutlig allokering kvv'!$B$1:$BX$1,0),FALSE)/1,0))</f>
        <v/>
      </c>
      <c r="I70" s="121" t="str">
        <f>IF($D70="","",IFERROR(VLOOKUP($B70,Kraftvärmeprod!$B$1:$BX$549,MATCH(I$2,Kraftvärmeprod!$B$1:$VX$1,0),FALSE)/1,0)-IFERROR(VLOOKUP($B70,'Slutlig allokering kvv'!$B$2:$BX$549,MATCH(I$2,'Slutlig allokering kvv'!$B$1:$BX$1,0),FALSE)/1,0))</f>
        <v/>
      </c>
      <c r="J70" s="121" t="str">
        <f>IF($D70="","",IFERROR(VLOOKUP($B70,Kraftvärmeprod!$B$1:$BX$549,MATCH(J$2,Kraftvärmeprod!$B$1:$VX$1,0),FALSE)/1,0)-IFERROR(VLOOKUP($B70,'Slutlig allokering kvv'!$B$2:$BX$549,MATCH(J$2,'Slutlig allokering kvv'!$B$1:$BX$1,0),FALSE)/1,0))</f>
        <v/>
      </c>
      <c r="K70" s="121" t="str">
        <f>IF($D70="","",IFERROR(VLOOKUP($B70,Kraftvärmeprod!$B$1:$BX$549,MATCH(K$2,Kraftvärmeprod!$B$1:$VX$1,0),FALSE)/1,0)-IFERROR(VLOOKUP($B70,'Slutlig allokering kvv'!$B$2:$BX$549,MATCH(K$2,'Slutlig allokering kvv'!$B$1:$BX$1,0),FALSE)/1,0))</f>
        <v/>
      </c>
      <c r="L70" s="121" t="str">
        <f>IF($D70="","",IFERROR(VLOOKUP($B70,Kraftvärmeprod!$B$1:$BX$549,MATCH(L$2,Kraftvärmeprod!$B$1:$VX$1,0),FALSE)/1,0)-IFERROR(VLOOKUP($B70,'Slutlig allokering kvv'!$B$2:$BX$549,MATCH(L$2,'Slutlig allokering kvv'!$B$1:$BX$1,0),FALSE)/1,0))</f>
        <v/>
      </c>
      <c r="M70" s="121" t="str">
        <f>IF($D70="","",IFERROR(VLOOKUP($B70,Kraftvärmeprod!$B$1:$BX$549,MATCH(M$2,Kraftvärmeprod!$B$1:$VX$1,0),FALSE)/1,0)-IFERROR(VLOOKUP($B70,'Slutlig allokering kvv'!$B$2:$BX$549,MATCH(M$2,'Slutlig allokering kvv'!$B$1:$BX$1,0),FALSE)/1,0))</f>
        <v/>
      </c>
      <c r="N70" s="121" t="str">
        <f>IF($D70="","",IFERROR(VLOOKUP($B70,Kraftvärmeprod!$B$1:$BX$549,MATCH(N$2,Kraftvärmeprod!$B$1:$VX$1,0),FALSE)/1,0)-IFERROR(VLOOKUP($B70,'Slutlig allokering kvv'!$B$2:$BX$549,MATCH(N$2,'Slutlig allokering kvv'!$B$1:$BX$1,0),FALSE)/1,0))</f>
        <v/>
      </c>
      <c r="O70" s="121" t="str">
        <f>IF($D70="","",IFERROR(VLOOKUP($B70,Kraftvärmeprod!$B$1:$BX$549,MATCH(O$2,Kraftvärmeprod!$B$1:$VX$1,0),FALSE)/1,0)-IFERROR(VLOOKUP($B70,'Slutlig allokering kvv'!$B$2:$BX$549,MATCH(O$2,'Slutlig allokering kvv'!$B$1:$BX$1,0),FALSE)/1,0))</f>
        <v/>
      </c>
      <c r="P70" s="121" t="str">
        <f>IF($D70="","",IFERROR(VLOOKUP($B70,Kraftvärmeprod!$B$1:$BX$549,MATCH(P$2,Kraftvärmeprod!$B$1:$VX$1,0),FALSE)/1,0)-IFERROR(VLOOKUP($B70,'Slutlig allokering kvv'!$B$2:$BX$549,MATCH(P$2,'Slutlig allokering kvv'!$B$1:$BX$1,0),FALSE)/1,0))</f>
        <v/>
      </c>
      <c r="Q70" s="121" t="str">
        <f>IF($D70="","",IFERROR(VLOOKUP($B70,Kraftvärmeprod!$B$1:$BX$549,MATCH(Q$2,Kraftvärmeprod!$B$1:$VX$1,0),FALSE)/1,0)-IFERROR(VLOOKUP($B70,'Slutlig allokering kvv'!$B$2:$BX$549,MATCH(Q$2,'Slutlig allokering kvv'!$B$1:$BX$1,0),FALSE)/1,0))</f>
        <v/>
      </c>
      <c r="R70" s="121" t="str">
        <f>IF($D70="","",IFERROR(VLOOKUP($B70,Kraftvärmeprod!$B$1:$BX$549,MATCH(R$2,Kraftvärmeprod!$B$1:$VX$1,0),FALSE)/1,0)-IFERROR(VLOOKUP($B70,'Slutlig allokering kvv'!$B$2:$BX$549,MATCH(R$2,'Slutlig allokering kvv'!$B$1:$BX$1,0),FALSE)/1,0))</f>
        <v/>
      </c>
      <c r="S70" s="121" t="str">
        <f>IF($D70="","",IFERROR(VLOOKUP($B70,Kraftvärmeprod!$B$1:$BX$549,MATCH(S$2,Kraftvärmeprod!$B$1:$VX$1,0),FALSE)/1,0)-IFERROR(VLOOKUP($B70,'Slutlig allokering kvv'!$B$2:$BX$549,MATCH(S$2,'Slutlig allokering kvv'!$B$1:$BX$1,0),FALSE)/1,0))</f>
        <v/>
      </c>
      <c r="T70" s="121" t="str">
        <f>IF($D70="","",IFERROR(VLOOKUP($B70,Kraftvärmeprod!$B$1:$BX$549,MATCH(T$2,Kraftvärmeprod!$B$1:$VX$1,0),FALSE)/1,0)-IFERROR(VLOOKUP($B70,'Slutlig allokering kvv'!$B$2:$BX$549,MATCH(T$2,'Slutlig allokering kvv'!$B$1:$BX$1,0),FALSE)/1,0))</f>
        <v/>
      </c>
      <c r="U70" s="121" t="str">
        <f>IF($D70="","",IFERROR(VLOOKUP($B70,Kraftvärmeprod!$B$1:$BX$549,MATCH(U$2,Kraftvärmeprod!$B$1:$VX$1,0),FALSE)/1,0)-IFERROR(VLOOKUP($B70,'Slutlig allokering kvv'!$B$2:$BX$549,MATCH(U$2,'Slutlig allokering kvv'!$B$1:$BX$1,0),FALSE)/1,0))</f>
        <v/>
      </c>
      <c r="V70" s="121" t="str">
        <f>IF($D70="","",IFERROR(VLOOKUP($B70,Kraftvärmeprod!$B$1:$BX$549,MATCH(V$2,Kraftvärmeprod!$B$1:$VX$1,0),FALSE)/1,0)-IFERROR(VLOOKUP($B70,'Slutlig allokering kvv'!$B$2:$BX$549,MATCH(V$2,'Slutlig allokering kvv'!$B$1:$BX$1,0),FALSE)/1,0))</f>
        <v/>
      </c>
      <c r="W70" s="121" t="str">
        <f>IF($D70="","",IFERROR(VLOOKUP($B70,Kraftvärmeprod!$B$1:$BX$549,MATCH(W$2,Kraftvärmeprod!$B$1:$VX$1,0),FALSE)/1,0)-IFERROR(VLOOKUP($B70,'Slutlig allokering kvv'!$B$2:$BX$549,MATCH(W$2,'Slutlig allokering kvv'!$B$1:$BX$1,0),FALSE)/1,0))</f>
        <v/>
      </c>
      <c r="X70" s="121" t="str">
        <f>IF($D70="","",IFERROR(VLOOKUP($B70,Kraftvärmeprod!$B$1:$BX$549,MATCH(X$2,Kraftvärmeprod!$B$1:$VX$1,0),FALSE)/1,0)-IFERROR(VLOOKUP($B70,'Slutlig allokering kvv'!$B$2:$BX$549,MATCH(X$2,'Slutlig allokering kvv'!$B$1:$BX$1,0),FALSE)/1,0))</f>
        <v/>
      </c>
      <c r="Y70" s="121" t="str">
        <f>IF($D70="","",IFERROR(VLOOKUP($B70,Kraftvärmeprod!$B$1:$BX$549,MATCH(Y$2,Kraftvärmeprod!$B$1:$VX$1,0),FALSE)/1,0)-IFERROR(VLOOKUP($B70,'Slutlig allokering kvv'!$B$2:$BX$549,MATCH(Y$2,'Slutlig allokering kvv'!$B$1:$BX$1,0),FALSE)/1,0))</f>
        <v/>
      </c>
      <c r="Z70" s="121" t="str">
        <f>IF($D70="","",IFERROR(VLOOKUP($B70,Kraftvärmeprod!$B$1:$BX$549,MATCH(Z$2,Kraftvärmeprod!$B$1:$VX$1,0),FALSE)/1,0)-IFERROR(VLOOKUP($B70,'Slutlig allokering kvv'!$B$2:$BX$549,MATCH(Z$2,'Slutlig allokering kvv'!$B$1:$BX$1,0),FALSE)/1,0))</f>
        <v/>
      </c>
      <c r="AA70" s="121" t="str">
        <f>IF($D70="","",IFERROR(VLOOKUP($B70,Kraftvärmeprod!$B$1:$BX$549,MATCH(AA$2,Kraftvärmeprod!$B$1:$VX$1,0),FALSE)/1,0)-IFERROR(VLOOKUP($B70,'Slutlig allokering kvv'!$B$2:$BX$549,MATCH(AA$2,'Slutlig allokering kvv'!$B$1:$BX$1,0),FALSE)/1,0))</f>
        <v/>
      </c>
      <c r="AB70" s="121" t="str">
        <f>IF($D70="","",IFERROR(VLOOKUP($B70,Kraftvärmeprod!$B$1:$BX$549,MATCH(AB$2,Kraftvärmeprod!$B$1:$VX$1,0),FALSE)/1,0)-IFERROR(VLOOKUP($B70,'Slutlig allokering kvv'!$B$2:$BX$549,MATCH(AB$2,'Slutlig allokering kvv'!$B$1:$BX$1,0),FALSE)/1,0))</f>
        <v/>
      </c>
      <c r="AC70" s="121" t="str">
        <f>IF($D70="","",IFERROR(VLOOKUP($B70,Kraftvärmeprod!$B$1:$BX$549,MATCH(AC$2,Kraftvärmeprod!$B$1:$VX$1,0),FALSE)/1,0)-IFERROR(VLOOKUP($B70,'Slutlig allokering kvv'!$B$2:$BX$549,MATCH(AC$2,'Slutlig allokering kvv'!$B$1:$BX$1,0),FALSE)/1,0))</f>
        <v/>
      </c>
      <c r="AD70" s="121" t="str">
        <f>IF($D70="","",IFERROR(VLOOKUP($B70,Kraftvärmeprod!$B$1:$BX$549,MATCH(AD$2,Kraftvärmeprod!$B$1:$VX$1,0),FALSE)/1,0)-IFERROR(VLOOKUP($B70,'Slutlig allokering kvv'!$B$2:$BX$549,MATCH(AD$2,'Slutlig allokering kvv'!$B$1:$BX$1,0),FALSE)/1,0))</f>
        <v/>
      </c>
      <c r="AE70" s="121" t="str">
        <f>IF($D70="","",IFERROR(VLOOKUP($B70,Miljö!$B$1:$E$550,MATCH("Hjälpel kraftvärme (GWh)",Miljö!$B$1:$E$1,0),FALSE)/1,0)-IFERROR(VLOOKUP($B70,'Slutlig allokering kvv'!$B$2:$BX$549,MATCH(AE$2,'Slutlig allokering kvv'!$B$1:$BX$1,0),FALSE)/1,0))</f>
        <v/>
      </c>
      <c r="AI70" s="121">
        <f t="shared" si="4"/>
        <v>0</v>
      </c>
      <c r="AK70" s="121">
        <f>IFERROR(VLOOKUP($B70,'Slutlig allokering kvv'!$B$2:$AX$549,MATCH("Summa slutlig allokerad tillförd energi (utan hjälpel och rökgaskondensering):",'Slutlig allokering kvv'!$B$1:$AX$1,0),FALSE)/1,"")</f>
        <v>0</v>
      </c>
      <c r="AM70" s="172" t="str">
        <f>IFERROR(1-VLOOKUP($B70,'Slutlig allokering kvv'!$B$2:$AX$549,MATCH("Andel av bränsle i kvv som allokerats till värme, exklusive rökgaskondensering och hjälpel",'Slutlig allokering kvv'!$B$1:$AX$1,0),FALSE),"")</f>
        <v/>
      </c>
      <c r="AO70" s="172" t="str">
        <f t="shared" si="5"/>
        <v/>
      </c>
      <c r="AP70" s="173" t="str">
        <f t="shared" si="6"/>
        <v/>
      </c>
      <c r="AR70" s="172" t="str">
        <f t="shared" si="7"/>
        <v/>
      </c>
    </row>
    <row r="71" spans="1:44" x14ac:dyDescent="0.25">
      <c r="A71" s="171" t="str">
        <f>'Miljövärden för publ företag'!B73</f>
        <v>Eskilstuna Energi &amp; Miljö AB</v>
      </c>
      <c r="B71" s="171" t="str">
        <f>'Miljövärden för publ företag'!C73</f>
        <v>Ärla</v>
      </c>
      <c r="C71" s="121" t="str">
        <f>IFERROR(VLOOKUP($B71,Kraftvärmeprod!$B$1:$AH$478,MATCH(C$2,Kraftvärmeprod!$B$1:$AG$1,0),FALSE)/1,"")</f>
        <v/>
      </c>
      <c r="D71" s="121" t="str">
        <f>IFERROR(VLOOKUP($B71,Kraftvärmeprod!$B$1:$AH$478,MATCH(D$2,Kraftvärmeprod!$B$1:$AG$1,0),FALSE)/1,"")</f>
        <v/>
      </c>
      <c r="F71" s="121" t="str">
        <f>IF($D71="","",IFERROR(VLOOKUP($B71,Kraftvärmeprod!$B$1:$BX$549,MATCH(F$2,Kraftvärmeprod!$B$1:$VX$1,0),FALSE)/1,0)-IFERROR(VLOOKUP($B71,'Slutlig allokering kvv'!$B$2:$BX$549,MATCH(F$2,'Slutlig allokering kvv'!$B$1:$BX$1,0),FALSE)/1,0))</f>
        <v/>
      </c>
      <c r="G71" s="121" t="str">
        <f>IF($D71="","",IFERROR(VLOOKUP($B71,Kraftvärmeprod!$B$1:$BX$549,MATCH(G$2,Kraftvärmeprod!$B$1:$VX$1,0),FALSE)/1,0)-IFERROR(VLOOKUP($B71,'Slutlig allokering kvv'!$B$2:$BX$549,MATCH(G$2,'Slutlig allokering kvv'!$B$1:$BX$1,0),FALSE)/1,0))</f>
        <v/>
      </c>
      <c r="H71" s="121" t="str">
        <f>IF($D71="","",IFERROR(VLOOKUP($B71,Kraftvärmeprod!$B$1:$BX$549,MATCH(H$2,Kraftvärmeprod!$B$1:$VX$1,0),FALSE)/1,0)-IFERROR(VLOOKUP($B71,'Slutlig allokering kvv'!$B$2:$BX$549,MATCH(H$2,'Slutlig allokering kvv'!$B$1:$BX$1,0),FALSE)/1,0))</f>
        <v/>
      </c>
      <c r="I71" s="121" t="str">
        <f>IF($D71="","",IFERROR(VLOOKUP($B71,Kraftvärmeprod!$B$1:$BX$549,MATCH(I$2,Kraftvärmeprod!$B$1:$VX$1,0),FALSE)/1,0)-IFERROR(VLOOKUP($B71,'Slutlig allokering kvv'!$B$2:$BX$549,MATCH(I$2,'Slutlig allokering kvv'!$B$1:$BX$1,0),FALSE)/1,0))</f>
        <v/>
      </c>
      <c r="J71" s="121" t="str">
        <f>IF($D71="","",IFERROR(VLOOKUP($B71,Kraftvärmeprod!$B$1:$BX$549,MATCH(J$2,Kraftvärmeprod!$B$1:$VX$1,0),FALSE)/1,0)-IFERROR(VLOOKUP($B71,'Slutlig allokering kvv'!$B$2:$BX$549,MATCH(J$2,'Slutlig allokering kvv'!$B$1:$BX$1,0),FALSE)/1,0))</f>
        <v/>
      </c>
      <c r="K71" s="121" t="str">
        <f>IF($D71="","",IFERROR(VLOOKUP($B71,Kraftvärmeprod!$B$1:$BX$549,MATCH(K$2,Kraftvärmeprod!$B$1:$VX$1,0),FALSE)/1,0)-IFERROR(VLOOKUP($B71,'Slutlig allokering kvv'!$B$2:$BX$549,MATCH(K$2,'Slutlig allokering kvv'!$B$1:$BX$1,0),FALSE)/1,0))</f>
        <v/>
      </c>
      <c r="L71" s="121" t="str">
        <f>IF($D71="","",IFERROR(VLOOKUP($B71,Kraftvärmeprod!$B$1:$BX$549,MATCH(L$2,Kraftvärmeprod!$B$1:$VX$1,0),FALSE)/1,0)-IFERROR(VLOOKUP($B71,'Slutlig allokering kvv'!$B$2:$BX$549,MATCH(L$2,'Slutlig allokering kvv'!$B$1:$BX$1,0),FALSE)/1,0))</f>
        <v/>
      </c>
      <c r="M71" s="121" t="str">
        <f>IF($D71="","",IFERROR(VLOOKUP($B71,Kraftvärmeprod!$B$1:$BX$549,MATCH(M$2,Kraftvärmeprod!$B$1:$VX$1,0),FALSE)/1,0)-IFERROR(VLOOKUP($B71,'Slutlig allokering kvv'!$B$2:$BX$549,MATCH(M$2,'Slutlig allokering kvv'!$B$1:$BX$1,0),FALSE)/1,0))</f>
        <v/>
      </c>
      <c r="N71" s="121" t="str">
        <f>IF($D71="","",IFERROR(VLOOKUP($B71,Kraftvärmeprod!$B$1:$BX$549,MATCH(N$2,Kraftvärmeprod!$B$1:$VX$1,0),FALSE)/1,0)-IFERROR(VLOOKUP($B71,'Slutlig allokering kvv'!$B$2:$BX$549,MATCH(N$2,'Slutlig allokering kvv'!$B$1:$BX$1,0),FALSE)/1,0))</f>
        <v/>
      </c>
      <c r="O71" s="121" t="str">
        <f>IF($D71="","",IFERROR(VLOOKUP($B71,Kraftvärmeprod!$B$1:$BX$549,MATCH(O$2,Kraftvärmeprod!$B$1:$VX$1,0),FALSE)/1,0)-IFERROR(VLOOKUP($B71,'Slutlig allokering kvv'!$B$2:$BX$549,MATCH(O$2,'Slutlig allokering kvv'!$B$1:$BX$1,0),FALSE)/1,0))</f>
        <v/>
      </c>
      <c r="P71" s="121" t="str">
        <f>IF($D71="","",IFERROR(VLOOKUP($B71,Kraftvärmeprod!$B$1:$BX$549,MATCH(P$2,Kraftvärmeprod!$B$1:$VX$1,0),FALSE)/1,0)-IFERROR(VLOOKUP($B71,'Slutlig allokering kvv'!$B$2:$BX$549,MATCH(P$2,'Slutlig allokering kvv'!$B$1:$BX$1,0),FALSE)/1,0))</f>
        <v/>
      </c>
      <c r="Q71" s="121" t="str">
        <f>IF($D71="","",IFERROR(VLOOKUP($B71,Kraftvärmeprod!$B$1:$BX$549,MATCH(Q$2,Kraftvärmeprod!$B$1:$VX$1,0),FALSE)/1,0)-IFERROR(VLOOKUP($B71,'Slutlig allokering kvv'!$B$2:$BX$549,MATCH(Q$2,'Slutlig allokering kvv'!$B$1:$BX$1,0),FALSE)/1,0))</f>
        <v/>
      </c>
      <c r="R71" s="121" t="str">
        <f>IF($D71="","",IFERROR(VLOOKUP($B71,Kraftvärmeprod!$B$1:$BX$549,MATCH(R$2,Kraftvärmeprod!$B$1:$VX$1,0),FALSE)/1,0)-IFERROR(VLOOKUP($B71,'Slutlig allokering kvv'!$B$2:$BX$549,MATCH(R$2,'Slutlig allokering kvv'!$B$1:$BX$1,0),FALSE)/1,0))</f>
        <v/>
      </c>
      <c r="S71" s="121" t="str">
        <f>IF($D71="","",IFERROR(VLOOKUP($B71,Kraftvärmeprod!$B$1:$BX$549,MATCH(S$2,Kraftvärmeprod!$B$1:$VX$1,0),FALSE)/1,0)-IFERROR(VLOOKUP($B71,'Slutlig allokering kvv'!$B$2:$BX$549,MATCH(S$2,'Slutlig allokering kvv'!$B$1:$BX$1,0),FALSE)/1,0))</f>
        <v/>
      </c>
      <c r="T71" s="121" t="str">
        <f>IF($D71="","",IFERROR(VLOOKUP($B71,Kraftvärmeprod!$B$1:$BX$549,MATCH(T$2,Kraftvärmeprod!$B$1:$VX$1,0),FALSE)/1,0)-IFERROR(VLOOKUP($B71,'Slutlig allokering kvv'!$B$2:$BX$549,MATCH(T$2,'Slutlig allokering kvv'!$B$1:$BX$1,0),FALSE)/1,0))</f>
        <v/>
      </c>
      <c r="U71" s="121" t="str">
        <f>IF($D71="","",IFERROR(VLOOKUP($B71,Kraftvärmeprod!$B$1:$BX$549,MATCH(U$2,Kraftvärmeprod!$B$1:$VX$1,0),FALSE)/1,0)-IFERROR(VLOOKUP($B71,'Slutlig allokering kvv'!$B$2:$BX$549,MATCH(U$2,'Slutlig allokering kvv'!$B$1:$BX$1,0),FALSE)/1,0))</f>
        <v/>
      </c>
      <c r="V71" s="121" t="str">
        <f>IF($D71="","",IFERROR(VLOOKUP($B71,Kraftvärmeprod!$B$1:$BX$549,MATCH(V$2,Kraftvärmeprod!$B$1:$VX$1,0),FALSE)/1,0)-IFERROR(VLOOKUP($B71,'Slutlig allokering kvv'!$B$2:$BX$549,MATCH(V$2,'Slutlig allokering kvv'!$B$1:$BX$1,0),FALSE)/1,0))</f>
        <v/>
      </c>
      <c r="W71" s="121" t="str">
        <f>IF($D71="","",IFERROR(VLOOKUP($B71,Kraftvärmeprod!$B$1:$BX$549,MATCH(W$2,Kraftvärmeprod!$B$1:$VX$1,0),FALSE)/1,0)-IFERROR(VLOOKUP($B71,'Slutlig allokering kvv'!$B$2:$BX$549,MATCH(W$2,'Slutlig allokering kvv'!$B$1:$BX$1,0),FALSE)/1,0))</f>
        <v/>
      </c>
      <c r="X71" s="121" t="str">
        <f>IF($D71="","",IFERROR(VLOOKUP($B71,Kraftvärmeprod!$B$1:$BX$549,MATCH(X$2,Kraftvärmeprod!$B$1:$VX$1,0),FALSE)/1,0)-IFERROR(VLOOKUP($B71,'Slutlig allokering kvv'!$B$2:$BX$549,MATCH(X$2,'Slutlig allokering kvv'!$B$1:$BX$1,0),FALSE)/1,0))</f>
        <v/>
      </c>
      <c r="Y71" s="121" t="str">
        <f>IF($D71="","",IFERROR(VLOOKUP($B71,Kraftvärmeprod!$B$1:$BX$549,MATCH(Y$2,Kraftvärmeprod!$B$1:$VX$1,0),FALSE)/1,0)-IFERROR(VLOOKUP($B71,'Slutlig allokering kvv'!$B$2:$BX$549,MATCH(Y$2,'Slutlig allokering kvv'!$B$1:$BX$1,0),FALSE)/1,0))</f>
        <v/>
      </c>
      <c r="Z71" s="121" t="str">
        <f>IF($D71="","",IFERROR(VLOOKUP($B71,Kraftvärmeprod!$B$1:$BX$549,MATCH(Z$2,Kraftvärmeprod!$B$1:$VX$1,0),FALSE)/1,0)-IFERROR(VLOOKUP($B71,'Slutlig allokering kvv'!$B$2:$BX$549,MATCH(Z$2,'Slutlig allokering kvv'!$B$1:$BX$1,0),FALSE)/1,0))</f>
        <v/>
      </c>
      <c r="AA71" s="121" t="str">
        <f>IF($D71="","",IFERROR(VLOOKUP($B71,Kraftvärmeprod!$B$1:$BX$549,MATCH(AA$2,Kraftvärmeprod!$B$1:$VX$1,0),FALSE)/1,0)-IFERROR(VLOOKUP($B71,'Slutlig allokering kvv'!$B$2:$BX$549,MATCH(AA$2,'Slutlig allokering kvv'!$B$1:$BX$1,0),FALSE)/1,0))</f>
        <v/>
      </c>
      <c r="AB71" s="121" t="str">
        <f>IF($D71="","",IFERROR(VLOOKUP($B71,Kraftvärmeprod!$B$1:$BX$549,MATCH(AB$2,Kraftvärmeprod!$B$1:$VX$1,0),FALSE)/1,0)-IFERROR(VLOOKUP($B71,'Slutlig allokering kvv'!$B$2:$BX$549,MATCH(AB$2,'Slutlig allokering kvv'!$B$1:$BX$1,0),FALSE)/1,0))</f>
        <v/>
      </c>
      <c r="AC71" s="121" t="str">
        <f>IF($D71="","",IFERROR(VLOOKUP($B71,Kraftvärmeprod!$B$1:$BX$549,MATCH(AC$2,Kraftvärmeprod!$B$1:$VX$1,0),FALSE)/1,0)-IFERROR(VLOOKUP($B71,'Slutlig allokering kvv'!$B$2:$BX$549,MATCH(AC$2,'Slutlig allokering kvv'!$B$1:$BX$1,0),FALSE)/1,0))</f>
        <v/>
      </c>
      <c r="AD71" s="121" t="str">
        <f>IF($D71="","",IFERROR(VLOOKUP($B71,Kraftvärmeprod!$B$1:$BX$549,MATCH(AD$2,Kraftvärmeprod!$B$1:$VX$1,0),FALSE)/1,0)-IFERROR(VLOOKUP($B71,'Slutlig allokering kvv'!$B$2:$BX$549,MATCH(AD$2,'Slutlig allokering kvv'!$B$1:$BX$1,0),FALSE)/1,0))</f>
        <v/>
      </c>
      <c r="AE71" s="121" t="str">
        <f>IF($D71="","",IFERROR(VLOOKUP($B71,Miljö!$B$1:$E$550,MATCH("Hjälpel kraftvärme (GWh)",Miljö!$B$1:$E$1,0),FALSE)/1,0)-IFERROR(VLOOKUP($B71,'Slutlig allokering kvv'!$B$2:$BX$549,MATCH(AE$2,'Slutlig allokering kvv'!$B$1:$BX$1,0),FALSE)/1,0))</f>
        <v/>
      </c>
      <c r="AI71" s="121">
        <f t="shared" si="4"/>
        <v>0</v>
      </c>
      <c r="AK71" s="121">
        <f>IFERROR(VLOOKUP($B71,'Slutlig allokering kvv'!$B$2:$AX$549,MATCH("Summa slutlig allokerad tillförd energi (utan hjälpel och rökgaskondensering):",'Slutlig allokering kvv'!$B$1:$AX$1,0),FALSE)/1,"")</f>
        <v>0</v>
      </c>
      <c r="AM71" s="172" t="str">
        <f>IFERROR(1-VLOOKUP($B71,'Slutlig allokering kvv'!$B$2:$AX$549,MATCH("Andel av bränsle i kvv som allokerats till värme, exklusive rökgaskondensering och hjälpel",'Slutlig allokering kvv'!$B$1:$AX$1,0),FALSE),"")</f>
        <v/>
      </c>
      <c r="AO71" s="172" t="str">
        <f t="shared" si="5"/>
        <v/>
      </c>
      <c r="AP71" s="173" t="str">
        <f t="shared" si="6"/>
        <v/>
      </c>
      <c r="AR71" s="172" t="str">
        <f t="shared" si="7"/>
        <v/>
      </c>
    </row>
    <row r="72" spans="1:44" x14ac:dyDescent="0.25">
      <c r="A72" s="171" t="str">
        <f>'Miljövärden för publ företag'!B74</f>
        <v>Falbygdens Energi AB</v>
      </c>
      <c r="B72" s="171" t="str">
        <f>'Miljövärden för publ företag'!C74</f>
        <v>Falköping</v>
      </c>
      <c r="C72" s="121">
        <f>IFERROR(VLOOKUP($B72,Kraftvärmeprod!$B$1:$AH$478,MATCH(C$2,Kraftvärmeprod!$B$1:$AG$1,0),FALSE)/1,"")</f>
        <v>86.8</v>
      </c>
      <c r="D72" s="121">
        <f>IFERROR(VLOOKUP($B72,Kraftvärmeprod!$B$1:$AH$478,MATCH(D$2,Kraftvärmeprod!$B$1:$AG$1,0),FALSE)/1,"")</f>
        <v>9.3000000000000007</v>
      </c>
      <c r="F72" s="121">
        <f>IF($D72="","",IFERROR(VLOOKUP($B72,Kraftvärmeprod!$B$1:$BX$549,MATCH(F$2,Kraftvärmeprod!$B$1:$VX$1,0),FALSE)/1,0)-IFERROR(VLOOKUP($B72,'Slutlig allokering kvv'!$B$2:$BX$549,MATCH(F$2,'Slutlig allokering kvv'!$B$1:$BX$1,0),FALSE)/1,0))</f>
        <v>0</v>
      </c>
      <c r="G72" s="121">
        <f>IF($D72="","",IFERROR(VLOOKUP($B72,Kraftvärmeprod!$B$1:$BX$549,MATCH(G$2,Kraftvärmeprod!$B$1:$VX$1,0),FALSE)/1,0)-IFERROR(VLOOKUP($B72,'Slutlig allokering kvv'!$B$2:$BX$549,MATCH(G$2,'Slutlig allokering kvv'!$B$1:$BX$1,0),FALSE)/1,0))</f>
        <v>0</v>
      </c>
      <c r="H72" s="121">
        <f>IF($D72="","",IFERROR(VLOOKUP($B72,Kraftvärmeprod!$B$1:$BX$549,MATCH(H$2,Kraftvärmeprod!$B$1:$VX$1,0),FALSE)/1,0)-IFERROR(VLOOKUP($B72,'Slutlig allokering kvv'!$B$2:$BX$549,MATCH(H$2,'Slutlig allokering kvv'!$B$1:$BX$1,0),FALSE)/1,0))</f>
        <v>0</v>
      </c>
      <c r="I72" s="121">
        <f>IF($D72="","",IFERROR(VLOOKUP($B72,Kraftvärmeprod!$B$1:$BX$549,MATCH(I$2,Kraftvärmeprod!$B$1:$VX$1,0),FALSE)/1,0)-IFERROR(VLOOKUP($B72,'Slutlig allokering kvv'!$B$2:$BX$549,MATCH(I$2,'Slutlig allokering kvv'!$B$1:$BX$1,0),FALSE)/1,0))</f>
        <v>0</v>
      </c>
      <c r="J72" s="121">
        <f>IF($D72="","",IFERROR(VLOOKUP($B72,Kraftvärmeprod!$B$1:$BX$549,MATCH(J$2,Kraftvärmeprod!$B$1:$VX$1,0),FALSE)/1,0)-IFERROR(VLOOKUP($B72,'Slutlig allokering kvv'!$B$2:$BX$549,MATCH(J$2,'Slutlig allokering kvv'!$B$1:$BX$1,0),FALSE)/1,0))</f>
        <v>0</v>
      </c>
      <c r="K72" s="121">
        <f>IF($D72="","",IFERROR(VLOOKUP($B72,Kraftvärmeprod!$B$1:$BX$549,MATCH(K$2,Kraftvärmeprod!$B$1:$VX$1,0),FALSE)/1,0)-IFERROR(VLOOKUP($B72,'Slutlig allokering kvv'!$B$2:$BX$549,MATCH(K$2,'Slutlig allokering kvv'!$B$1:$BX$1,0),FALSE)/1,0))</f>
        <v>0</v>
      </c>
      <c r="L72" s="121">
        <f>IF($D72="","",IFERROR(VLOOKUP($B72,Kraftvärmeprod!$B$1:$BX$549,MATCH(L$2,Kraftvärmeprod!$B$1:$VX$1,0),FALSE)/1,0)-IFERROR(VLOOKUP($B72,'Slutlig allokering kvv'!$B$2:$BX$549,MATCH(L$2,'Slutlig allokering kvv'!$B$1:$BX$1,0),FALSE)/1,0))</f>
        <v>16.174099999999996</v>
      </c>
      <c r="M72" s="121">
        <f>IF($D72="","",IFERROR(VLOOKUP($B72,Kraftvärmeprod!$B$1:$BX$549,MATCH(M$2,Kraftvärmeprod!$B$1:$VX$1,0),FALSE)/1,0)-IFERROR(VLOOKUP($B72,'Slutlig allokering kvv'!$B$2:$BX$549,MATCH(M$2,'Slutlig allokering kvv'!$B$1:$BX$1,0),FALSE)/1,0))</f>
        <v>1.9208100000000004</v>
      </c>
      <c r="N72" s="121">
        <f>IF($D72="","",IFERROR(VLOOKUP($B72,Kraftvärmeprod!$B$1:$BX$549,MATCH(N$2,Kraftvärmeprod!$B$1:$VX$1,0),FALSE)/1,0)-IFERROR(VLOOKUP($B72,'Slutlig allokering kvv'!$B$2:$BX$549,MATCH(N$2,'Slutlig allokering kvv'!$B$1:$BX$1,0),FALSE)/1,0))</f>
        <v>6.7665000000000006</v>
      </c>
      <c r="O72" s="121">
        <f>IF($D72="","",IFERROR(VLOOKUP($B72,Kraftvärmeprod!$B$1:$BX$549,MATCH(O$2,Kraftvärmeprod!$B$1:$VX$1,0),FALSE)/1,0)-IFERROR(VLOOKUP($B72,'Slutlig allokering kvv'!$B$2:$BX$549,MATCH(O$2,'Slutlig allokering kvv'!$B$1:$BX$1,0),FALSE)/1,0))</f>
        <v>0</v>
      </c>
      <c r="P72" s="121">
        <f>IF($D72="","",IFERROR(VLOOKUP($B72,Kraftvärmeprod!$B$1:$BX$549,MATCH(P$2,Kraftvärmeprod!$B$1:$VX$1,0),FALSE)/1,0)-IFERROR(VLOOKUP($B72,'Slutlig allokering kvv'!$B$2:$BX$549,MATCH(P$2,'Slutlig allokering kvv'!$B$1:$BX$1,0),FALSE)/1,0))</f>
        <v>0</v>
      </c>
      <c r="Q72" s="121">
        <f>IF($D72="","",IFERROR(VLOOKUP($B72,Kraftvärmeprod!$B$1:$BX$549,MATCH(Q$2,Kraftvärmeprod!$B$1:$VX$1,0),FALSE)/1,0)-IFERROR(VLOOKUP($B72,'Slutlig allokering kvv'!$B$2:$BX$549,MATCH(Q$2,'Slutlig allokering kvv'!$B$1:$BX$1,0),FALSE)/1,0))</f>
        <v>3.5142000000000007</v>
      </c>
      <c r="R72" s="121">
        <f>IF($D72="","",IFERROR(VLOOKUP($B72,Kraftvärmeprod!$B$1:$BX$549,MATCH(R$2,Kraftvärmeprod!$B$1:$VX$1,0),FALSE)/1,0)-IFERROR(VLOOKUP($B72,'Slutlig allokering kvv'!$B$2:$BX$549,MATCH(R$2,'Slutlig allokering kvv'!$B$1:$BX$1,0),FALSE)/1,0))</f>
        <v>0</v>
      </c>
      <c r="S72" s="121">
        <f>IF($D72="","",IFERROR(VLOOKUP($B72,Kraftvärmeprod!$B$1:$BX$549,MATCH(S$2,Kraftvärmeprod!$B$1:$VX$1,0),FALSE)/1,0)-IFERROR(VLOOKUP($B72,'Slutlig allokering kvv'!$B$2:$BX$549,MATCH(S$2,'Slutlig allokering kvv'!$B$1:$BX$1,0),FALSE)/1,0))</f>
        <v>0</v>
      </c>
      <c r="T72" s="121">
        <f>IF($D72="","",IFERROR(VLOOKUP($B72,Kraftvärmeprod!$B$1:$BX$549,MATCH(T$2,Kraftvärmeprod!$B$1:$VX$1,0),FALSE)/1,0)-IFERROR(VLOOKUP($B72,'Slutlig allokering kvv'!$B$2:$BX$549,MATCH(T$2,'Slutlig allokering kvv'!$B$1:$BX$1,0),FALSE)/1,0))</f>
        <v>0</v>
      </c>
      <c r="U72" s="121">
        <f>IF($D72="","",IFERROR(VLOOKUP($B72,Kraftvärmeprod!$B$1:$BX$549,MATCH(U$2,Kraftvärmeprod!$B$1:$VX$1,0),FALSE)/1,0)-IFERROR(VLOOKUP($B72,'Slutlig allokering kvv'!$B$2:$BX$549,MATCH(U$2,'Slutlig allokering kvv'!$B$1:$BX$1,0),FALSE)/1,0))</f>
        <v>0</v>
      </c>
      <c r="V72" s="121">
        <f>IF($D72="","",IFERROR(VLOOKUP($B72,Kraftvärmeprod!$B$1:$BX$549,MATCH(V$2,Kraftvärmeprod!$B$1:$VX$1,0),FALSE)/1,0)-IFERROR(VLOOKUP($B72,'Slutlig allokering kvv'!$B$2:$BX$549,MATCH(V$2,'Slutlig allokering kvv'!$B$1:$BX$1,0),FALSE)/1,0))</f>
        <v>0</v>
      </c>
      <c r="W72" s="121">
        <f>IF($D72="","",IFERROR(VLOOKUP($B72,Kraftvärmeprod!$B$1:$BX$549,MATCH(W$2,Kraftvärmeprod!$B$1:$VX$1,0),FALSE)/1,0)-IFERROR(VLOOKUP($B72,'Slutlig allokering kvv'!$B$2:$BX$549,MATCH(W$2,'Slutlig allokering kvv'!$B$1:$BX$1,0),FALSE)/1,0))</f>
        <v>0</v>
      </c>
      <c r="X72" s="121">
        <f>IF($D72="","",IFERROR(VLOOKUP($B72,Kraftvärmeprod!$B$1:$BX$549,MATCH(X$2,Kraftvärmeprod!$B$1:$VX$1,0),FALSE)/1,0)-IFERROR(VLOOKUP($B72,'Slutlig allokering kvv'!$B$2:$BX$549,MATCH(X$2,'Slutlig allokering kvv'!$B$1:$BX$1,0),FALSE)/1,0))</f>
        <v>5.3435999999999984E-2</v>
      </c>
      <c r="Y72" s="121">
        <f>IF($D72="","",IFERROR(VLOOKUP($B72,Kraftvärmeprod!$B$1:$BX$549,MATCH(Y$2,Kraftvärmeprod!$B$1:$VX$1,0),FALSE)/1,0)-IFERROR(VLOOKUP($B72,'Slutlig allokering kvv'!$B$2:$BX$549,MATCH(Y$2,'Slutlig allokering kvv'!$B$1:$BX$1,0),FALSE)/1,0))</f>
        <v>0</v>
      </c>
      <c r="Z72" s="121">
        <f>IF($D72="","",IFERROR(VLOOKUP($B72,Kraftvärmeprod!$B$1:$BX$549,MATCH(Z$2,Kraftvärmeprod!$B$1:$VX$1,0),FALSE)/1,0)-IFERROR(VLOOKUP($B72,'Slutlig allokering kvv'!$B$2:$BX$549,MATCH(Z$2,'Slutlig allokering kvv'!$B$1:$BX$1,0),FALSE)/1,0))</f>
        <v>0</v>
      </c>
      <c r="AA72" s="121">
        <f>IF($D72="","",IFERROR(VLOOKUP($B72,Kraftvärmeprod!$B$1:$BX$549,MATCH(AA$2,Kraftvärmeprod!$B$1:$VX$1,0),FALSE)/1,0)-IFERROR(VLOOKUP($B72,'Slutlig allokering kvv'!$B$2:$BX$549,MATCH(AA$2,'Slutlig allokering kvv'!$B$1:$BX$1,0),FALSE)/1,0))</f>
        <v>0</v>
      </c>
      <c r="AB72" s="121">
        <f>IF($D72="","",IFERROR(VLOOKUP($B72,Kraftvärmeprod!$B$1:$BX$549,MATCH(AB$2,Kraftvärmeprod!$B$1:$VX$1,0),FALSE)/1,0)-IFERROR(VLOOKUP($B72,'Slutlig allokering kvv'!$B$2:$BX$549,MATCH(AB$2,'Slutlig allokering kvv'!$B$1:$BX$1,0),FALSE)/1,0))</f>
        <v>0</v>
      </c>
      <c r="AC72" s="121">
        <f>IF($D72="","",IFERROR(VLOOKUP($B72,Kraftvärmeprod!$B$1:$BX$549,MATCH(AC$2,Kraftvärmeprod!$B$1:$VX$1,0),FALSE)/1,0)-IFERROR(VLOOKUP($B72,'Slutlig allokering kvv'!$B$2:$BX$549,MATCH(AC$2,'Slutlig allokering kvv'!$B$1:$BX$1,0),FALSE)/1,0))</f>
        <v>0</v>
      </c>
      <c r="AD72" s="121">
        <f>IF($D72="","",IFERROR(VLOOKUP($B72,Kraftvärmeprod!$B$1:$BX$549,MATCH(AD$2,Kraftvärmeprod!$B$1:$VX$1,0),FALSE)/1,0)-IFERROR(VLOOKUP($B72,'Slutlig allokering kvv'!$B$2:$BX$549,MATCH(AD$2,'Slutlig allokering kvv'!$B$1:$BX$1,0),FALSE)/1,0))</f>
        <v>0</v>
      </c>
      <c r="AE72" s="121">
        <f>IF($D72="","",IFERROR(VLOOKUP($B72,Miljö!$B$1:$E$550,MATCH("Hjälpel kraftvärme (GWh)",Miljö!$B$1:$E$1,0),FALSE)/1,0)-IFERROR(VLOOKUP($B72,'Slutlig allokering kvv'!$B$2:$BX$549,MATCH(AE$2,'Slutlig allokering kvv'!$B$1:$BX$1,0),FALSE)/1,0))</f>
        <v>0.17890899999999998</v>
      </c>
      <c r="AI72" s="121">
        <f t="shared" si="4"/>
        <v>28.429045999999996</v>
      </c>
      <c r="AK72" s="121">
        <f>IFERROR(VLOOKUP($B72,'Slutlig allokering kvv'!$B$2:$AX$549,MATCH("Summa slutlig allokerad tillförd energi (utan hjälpel och rökgaskondensering):",'Slutlig allokering kvv'!$B$1:$AX$1,0),FALSE)/1,"")</f>
        <v>101.87095400000001</v>
      </c>
      <c r="AM72" s="172">
        <f>IFERROR(1-VLOOKUP($B72,'Slutlig allokering kvv'!$B$2:$AX$549,MATCH("Andel av bränsle i kvv som allokerats till värme, exklusive rökgaskondensering och hjälpel",'Slutlig allokering kvv'!$B$1:$AX$1,0),FALSE),"")</f>
        <v>0.21818147352264006</v>
      </c>
      <c r="AO72" s="172">
        <f t="shared" si="5"/>
        <v>0.21818147352264</v>
      </c>
      <c r="AP72" s="173">
        <f t="shared" si="6"/>
        <v>5.5511151231257827E-17</v>
      </c>
      <c r="AR72" s="172">
        <f t="shared" si="7"/>
        <v>0.32508440397085364</v>
      </c>
    </row>
    <row r="73" spans="1:44" x14ac:dyDescent="0.25">
      <c r="A73" s="171" t="str">
        <f>'Miljövärden för publ företag'!B75</f>
        <v>Falbygdens Energi AB</v>
      </c>
      <c r="B73" s="171" t="str">
        <f>'Miljövärden för publ företag'!C75</f>
        <v>Floby</v>
      </c>
      <c r="C73" s="121" t="str">
        <f>IFERROR(VLOOKUP($B73,Kraftvärmeprod!$B$1:$AH$478,MATCH(C$2,Kraftvärmeprod!$B$1:$AG$1,0),FALSE)/1,"")</f>
        <v/>
      </c>
      <c r="D73" s="121" t="str">
        <f>IFERROR(VLOOKUP($B73,Kraftvärmeprod!$B$1:$AH$478,MATCH(D$2,Kraftvärmeprod!$B$1:$AG$1,0),FALSE)/1,"")</f>
        <v/>
      </c>
      <c r="F73" s="121" t="str">
        <f>IF($D73="","",IFERROR(VLOOKUP($B73,Kraftvärmeprod!$B$1:$BX$549,MATCH(F$2,Kraftvärmeprod!$B$1:$VX$1,0),FALSE)/1,0)-IFERROR(VLOOKUP($B73,'Slutlig allokering kvv'!$B$2:$BX$549,MATCH(F$2,'Slutlig allokering kvv'!$B$1:$BX$1,0),FALSE)/1,0))</f>
        <v/>
      </c>
      <c r="G73" s="121" t="str">
        <f>IF($D73="","",IFERROR(VLOOKUP($B73,Kraftvärmeprod!$B$1:$BX$549,MATCH(G$2,Kraftvärmeprod!$B$1:$VX$1,0),FALSE)/1,0)-IFERROR(VLOOKUP($B73,'Slutlig allokering kvv'!$B$2:$BX$549,MATCH(G$2,'Slutlig allokering kvv'!$B$1:$BX$1,0),FALSE)/1,0))</f>
        <v/>
      </c>
      <c r="H73" s="121" t="str">
        <f>IF($D73="","",IFERROR(VLOOKUP($B73,Kraftvärmeprod!$B$1:$BX$549,MATCH(H$2,Kraftvärmeprod!$B$1:$VX$1,0),FALSE)/1,0)-IFERROR(VLOOKUP($B73,'Slutlig allokering kvv'!$B$2:$BX$549,MATCH(H$2,'Slutlig allokering kvv'!$B$1:$BX$1,0),FALSE)/1,0))</f>
        <v/>
      </c>
      <c r="I73" s="121" t="str">
        <f>IF($D73="","",IFERROR(VLOOKUP($B73,Kraftvärmeprod!$B$1:$BX$549,MATCH(I$2,Kraftvärmeprod!$B$1:$VX$1,0),FALSE)/1,0)-IFERROR(VLOOKUP($B73,'Slutlig allokering kvv'!$B$2:$BX$549,MATCH(I$2,'Slutlig allokering kvv'!$B$1:$BX$1,0),FALSE)/1,0))</f>
        <v/>
      </c>
      <c r="J73" s="121" t="str">
        <f>IF($D73="","",IFERROR(VLOOKUP($B73,Kraftvärmeprod!$B$1:$BX$549,MATCH(J$2,Kraftvärmeprod!$B$1:$VX$1,0),FALSE)/1,0)-IFERROR(VLOOKUP($B73,'Slutlig allokering kvv'!$B$2:$BX$549,MATCH(J$2,'Slutlig allokering kvv'!$B$1:$BX$1,0),FALSE)/1,0))</f>
        <v/>
      </c>
      <c r="K73" s="121" t="str">
        <f>IF($D73="","",IFERROR(VLOOKUP($B73,Kraftvärmeprod!$B$1:$BX$549,MATCH(K$2,Kraftvärmeprod!$B$1:$VX$1,0),FALSE)/1,0)-IFERROR(VLOOKUP($B73,'Slutlig allokering kvv'!$B$2:$BX$549,MATCH(K$2,'Slutlig allokering kvv'!$B$1:$BX$1,0),FALSE)/1,0))</f>
        <v/>
      </c>
      <c r="L73" s="121" t="str">
        <f>IF($D73="","",IFERROR(VLOOKUP($B73,Kraftvärmeprod!$B$1:$BX$549,MATCH(L$2,Kraftvärmeprod!$B$1:$VX$1,0),FALSE)/1,0)-IFERROR(VLOOKUP($B73,'Slutlig allokering kvv'!$B$2:$BX$549,MATCH(L$2,'Slutlig allokering kvv'!$B$1:$BX$1,0),FALSE)/1,0))</f>
        <v/>
      </c>
      <c r="M73" s="121" t="str">
        <f>IF($D73="","",IFERROR(VLOOKUP($B73,Kraftvärmeprod!$B$1:$BX$549,MATCH(M$2,Kraftvärmeprod!$B$1:$VX$1,0),FALSE)/1,0)-IFERROR(VLOOKUP($B73,'Slutlig allokering kvv'!$B$2:$BX$549,MATCH(M$2,'Slutlig allokering kvv'!$B$1:$BX$1,0),FALSE)/1,0))</f>
        <v/>
      </c>
      <c r="N73" s="121" t="str">
        <f>IF($D73="","",IFERROR(VLOOKUP($B73,Kraftvärmeprod!$B$1:$BX$549,MATCH(N$2,Kraftvärmeprod!$B$1:$VX$1,0),FALSE)/1,0)-IFERROR(VLOOKUP($B73,'Slutlig allokering kvv'!$B$2:$BX$549,MATCH(N$2,'Slutlig allokering kvv'!$B$1:$BX$1,0),FALSE)/1,0))</f>
        <v/>
      </c>
      <c r="O73" s="121" t="str">
        <f>IF($D73="","",IFERROR(VLOOKUP($B73,Kraftvärmeprod!$B$1:$BX$549,MATCH(O$2,Kraftvärmeprod!$B$1:$VX$1,0),FALSE)/1,0)-IFERROR(VLOOKUP($B73,'Slutlig allokering kvv'!$B$2:$BX$549,MATCH(O$2,'Slutlig allokering kvv'!$B$1:$BX$1,0),FALSE)/1,0))</f>
        <v/>
      </c>
      <c r="P73" s="121" t="str">
        <f>IF($D73="","",IFERROR(VLOOKUP($B73,Kraftvärmeprod!$B$1:$BX$549,MATCH(P$2,Kraftvärmeprod!$B$1:$VX$1,0),FALSE)/1,0)-IFERROR(VLOOKUP($B73,'Slutlig allokering kvv'!$B$2:$BX$549,MATCH(P$2,'Slutlig allokering kvv'!$B$1:$BX$1,0),FALSE)/1,0))</f>
        <v/>
      </c>
      <c r="Q73" s="121" t="str">
        <f>IF($D73="","",IFERROR(VLOOKUP($B73,Kraftvärmeprod!$B$1:$BX$549,MATCH(Q$2,Kraftvärmeprod!$B$1:$VX$1,0),FALSE)/1,0)-IFERROR(VLOOKUP($B73,'Slutlig allokering kvv'!$B$2:$BX$549,MATCH(Q$2,'Slutlig allokering kvv'!$B$1:$BX$1,0),FALSE)/1,0))</f>
        <v/>
      </c>
      <c r="R73" s="121" t="str">
        <f>IF($D73="","",IFERROR(VLOOKUP($B73,Kraftvärmeprod!$B$1:$BX$549,MATCH(R$2,Kraftvärmeprod!$B$1:$VX$1,0),FALSE)/1,0)-IFERROR(VLOOKUP($B73,'Slutlig allokering kvv'!$B$2:$BX$549,MATCH(R$2,'Slutlig allokering kvv'!$B$1:$BX$1,0),FALSE)/1,0))</f>
        <v/>
      </c>
      <c r="S73" s="121" t="str">
        <f>IF($D73="","",IFERROR(VLOOKUP($B73,Kraftvärmeprod!$B$1:$BX$549,MATCH(S$2,Kraftvärmeprod!$B$1:$VX$1,0),FALSE)/1,0)-IFERROR(VLOOKUP($B73,'Slutlig allokering kvv'!$B$2:$BX$549,MATCH(S$2,'Slutlig allokering kvv'!$B$1:$BX$1,0),FALSE)/1,0))</f>
        <v/>
      </c>
      <c r="T73" s="121" t="str">
        <f>IF($D73="","",IFERROR(VLOOKUP($B73,Kraftvärmeprod!$B$1:$BX$549,MATCH(T$2,Kraftvärmeprod!$B$1:$VX$1,0),FALSE)/1,0)-IFERROR(VLOOKUP($B73,'Slutlig allokering kvv'!$B$2:$BX$549,MATCH(T$2,'Slutlig allokering kvv'!$B$1:$BX$1,0),FALSE)/1,0))</f>
        <v/>
      </c>
      <c r="U73" s="121" t="str">
        <f>IF($D73="","",IFERROR(VLOOKUP($B73,Kraftvärmeprod!$B$1:$BX$549,MATCH(U$2,Kraftvärmeprod!$B$1:$VX$1,0),FALSE)/1,0)-IFERROR(VLOOKUP($B73,'Slutlig allokering kvv'!$B$2:$BX$549,MATCH(U$2,'Slutlig allokering kvv'!$B$1:$BX$1,0),FALSE)/1,0))</f>
        <v/>
      </c>
      <c r="V73" s="121" t="str">
        <f>IF($D73="","",IFERROR(VLOOKUP($B73,Kraftvärmeprod!$B$1:$BX$549,MATCH(V$2,Kraftvärmeprod!$B$1:$VX$1,0),FALSE)/1,0)-IFERROR(VLOOKUP($B73,'Slutlig allokering kvv'!$B$2:$BX$549,MATCH(V$2,'Slutlig allokering kvv'!$B$1:$BX$1,0),FALSE)/1,0))</f>
        <v/>
      </c>
      <c r="W73" s="121" t="str">
        <f>IF($D73="","",IFERROR(VLOOKUP($B73,Kraftvärmeprod!$B$1:$BX$549,MATCH(W$2,Kraftvärmeprod!$B$1:$VX$1,0),FALSE)/1,0)-IFERROR(VLOOKUP($B73,'Slutlig allokering kvv'!$B$2:$BX$549,MATCH(W$2,'Slutlig allokering kvv'!$B$1:$BX$1,0),FALSE)/1,0))</f>
        <v/>
      </c>
      <c r="X73" s="121" t="str">
        <f>IF($D73="","",IFERROR(VLOOKUP($B73,Kraftvärmeprod!$B$1:$BX$549,MATCH(X$2,Kraftvärmeprod!$B$1:$VX$1,0),FALSE)/1,0)-IFERROR(VLOOKUP($B73,'Slutlig allokering kvv'!$B$2:$BX$549,MATCH(X$2,'Slutlig allokering kvv'!$B$1:$BX$1,0),FALSE)/1,0))</f>
        <v/>
      </c>
      <c r="Y73" s="121" t="str">
        <f>IF($D73="","",IFERROR(VLOOKUP($B73,Kraftvärmeprod!$B$1:$BX$549,MATCH(Y$2,Kraftvärmeprod!$B$1:$VX$1,0),FALSE)/1,0)-IFERROR(VLOOKUP($B73,'Slutlig allokering kvv'!$B$2:$BX$549,MATCH(Y$2,'Slutlig allokering kvv'!$B$1:$BX$1,0),FALSE)/1,0))</f>
        <v/>
      </c>
      <c r="Z73" s="121" t="str">
        <f>IF($D73="","",IFERROR(VLOOKUP($B73,Kraftvärmeprod!$B$1:$BX$549,MATCH(Z$2,Kraftvärmeprod!$B$1:$VX$1,0),FALSE)/1,0)-IFERROR(VLOOKUP($B73,'Slutlig allokering kvv'!$B$2:$BX$549,MATCH(Z$2,'Slutlig allokering kvv'!$B$1:$BX$1,0),FALSE)/1,0))</f>
        <v/>
      </c>
      <c r="AA73" s="121" t="str">
        <f>IF($D73="","",IFERROR(VLOOKUP($B73,Kraftvärmeprod!$B$1:$BX$549,MATCH(AA$2,Kraftvärmeprod!$B$1:$VX$1,0),FALSE)/1,0)-IFERROR(VLOOKUP($B73,'Slutlig allokering kvv'!$B$2:$BX$549,MATCH(AA$2,'Slutlig allokering kvv'!$B$1:$BX$1,0),FALSE)/1,0))</f>
        <v/>
      </c>
      <c r="AB73" s="121" t="str">
        <f>IF($D73="","",IFERROR(VLOOKUP($B73,Kraftvärmeprod!$B$1:$BX$549,MATCH(AB$2,Kraftvärmeprod!$B$1:$VX$1,0),FALSE)/1,0)-IFERROR(VLOOKUP($B73,'Slutlig allokering kvv'!$B$2:$BX$549,MATCH(AB$2,'Slutlig allokering kvv'!$B$1:$BX$1,0),FALSE)/1,0))</f>
        <v/>
      </c>
      <c r="AC73" s="121" t="str">
        <f>IF($D73="","",IFERROR(VLOOKUP($B73,Kraftvärmeprod!$B$1:$BX$549,MATCH(AC$2,Kraftvärmeprod!$B$1:$VX$1,0),FALSE)/1,0)-IFERROR(VLOOKUP($B73,'Slutlig allokering kvv'!$B$2:$BX$549,MATCH(AC$2,'Slutlig allokering kvv'!$B$1:$BX$1,0),FALSE)/1,0))</f>
        <v/>
      </c>
      <c r="AD73" s="121" t="str">
        <f>IF($D73="","",IFERROR(VLOOKUP($B73,Kraftvärmeprod!$B$1:$BX$549,MATCH(AD$2,Kraftvärmeprod!$B$1:$VX$1,0),FALSE)/1,0)-IFERROR(VLOOKUP($B73,'Slutlig allokering kvv'!$B$2:$BX$549,MATCH(AD$2,'Slutlig allokering kvv'!$B$1:$BX$1,0),FALSE)/1,0))</f>
        <v/>
      </c>
      <c r="AE73" s="121" t="str">
        <f>IF($D73="","",IFERROR(VLOOKUP($B73,Miljö!$B$1:$E$550,MATCH("Hjälpel kraftvärme (GWh)",Miljö!$B$1:$E$1,0),FALSE)/1,0)-IFERROR(VLOOKUP($B73,'Slutlig allokering kvv'!$B$2:$BX$549,MATCH(AE$2,'Slutlig allokering kvv'!$B$1:$BX$1,0),FALSE)/1,0))</f>
        <v/>
      </c>
      <c r="AI73" s="121">
        <f t="shared" si="4"/>
        <v>0</v>
      </c>
      <c r="AK73" s="121">
        <f>IFERROR(VLOOKUP($B73,'Slutlig allokering kvv'!$B$2:$AX$549,MATCH("Summa slutlig allokerad tillförd energi (utan hjälpel och rökgaskondensering):",'Slutlig allokering kvv'!$B$1:$AX$1,0),FALSE)/1,"")</f>
        <v>0</v>
      </c>
      <c r="AM73" s="172" t="str">
        <f>IFERROR(1-VLOOKUP($B73,'Slutlig allokering kvv'!$B$2:$AX$549,MATCH("Andel av bränsle i kvv som allokerats till värme, exklusive rökgaskondensering och hjälpel",'Slutlig allokering kvv'!$B$1:$AX$1,0),FALSE),"")</f>
        <v/>
      </c>
      <c r="AO73" s="172" t="str">
        <f t="shared" si="5"/>
        <v/>
      </c>
      <c r="AP73" s="173" t="str">
        <f t="shared" si="6"/>
        <v/>
      </c>
      <c r="AR73" s="172" t="str">
        <f t="shared" si="7"/>
        <v/>
      </c>
    </row>
    <row r="74" spans="1:44" x14ac:dyDescent="0.25">
      <c r="A74" s="171" t="str">
        <f>'Miljövärden för publ företag'!B76</f>
        <v>Falbygdens Energi AB</v>
      </c>
      <c r="B74" s="171" t="str">
        <f>'Miljövärden för publ företag'!C76</f>
        <v>Stenstorp</v>
      </c>
      <c r="C74" s="121" t="str">
        <f>IFERROR(VLOOKUP($B74,Kraftvärmeprod!$B$1:$AH$478,MATCH(C$2,Kraftvärmeprod!$B$1:$AG$1,0),FALSE)/1,"")</f>
        <v/>
      </c>
      <c r="D74" s="121" t="str">
        <f>IFERROR(VLOOKUP($B74,Kraftvärmeprod!$B$1:$AH$478,MATCH(D$2,Kraftvärmeprod!$B$1:$AG$1,0),FALSE)/1,"")</f>
        <v/>
      </c>
      <c r="F74" s="121" t="str">
        <f>IF($D74="","",IFERROR(VLOOKUP($B74,Kraftvärmeprod!$B$1:$BX$549,MATCH(F$2,Kraftvärmeprod!$B$1:$VX$1,0),FALSE)/1,0)-IFERROR(VLOOKUP($B74,'Slutlig allokering kvv'!$B$2:$BX$549,MATCH(F$2,'Slutlig allokering kvv'!$B$1:$BX$1,0),FALSE)/1,0))</f>
        <v/>
      </c>
      <c r="G74" s="121" t="str">
        <f>IF($D74="","",IFERROR(VLOOKUP($B74,Kraftvärmeprod!$B$1:$BX$549,MATCH(G$2,Kraftvärmeprod!$B$1:$VX$1,0),FALSE)/1,0)-IFERROR(VLOOKUP($B74,'Slutlig allokering kvv'!$B$2:$BX$549,MATCH(G$2,'Slutlig allokering kvv'!$B$1:$BX$1,0),FALSE)/1,0))</f>
        <v/>
      </c>
      <c r="H74" s="121" t="str">
        <f>IF($D74="","",IFERROR(VLOOKUP($B74,Kraftvärmeprod!$B$1:$BX$549,MATCH(H$2,Kraftvärmeprod!$B$1:$VX$1,0),FALSE)/1,0)-IFERROR(VLOOKUP($B74,'Slutlig allokering kvv'!$B$2:$BX$549,MATCH(H$2,'Slutlig allokering kvv'!$B$1:$BX$1,0),FALSE)/1,0))</f>
        <v/>
      </c>
      <c r="I74" s="121" t="str">
        <f>IF($D74="","",IFERROR(VLOOKUP($B74,Kraftvärmeprod!$B$1:$BX$549,MATCH(I$2,Kraftvärmeprod!$B$1:$VX$1,0),FALSE)/1,0)-IFERROR(VLOOKUP($B74,'Slutlig allokering kvv'!$B$2:$BX$549,MATCH(I$2,'Slutlig allokering kvv'!$B$1:$BX$1,0),FALSE)/1,0))</f>
        <v/>
      </c>
      <c r="J74" s="121" t="str">
        <f>IF($D74="","",IFERROR(VLOOKUP($B74,Kraftvärmeprod!$B$1:$BX$549,MATCH(J$2,Kraftvärmeprod!$B$1:$VX$1,0),FALSE)/1,0)-IFERROR(VLOOKUP($B74,'Slutlig allokering kvv'!$B$2:$BX$549,MATCH(J$2,'Slutlig allokering kvv'!$B$1:$BX$1,0),FALSE)/1,0))</f>
        <v/>
      </c>
      <c r="K74" s="121" t="str">
        <f>IF($D74="","",IFERROR(VLOOKUP($B74,Kraftvärmeprod!$B$1:$BX$549,MATCH(K$2,Kraftvärmeprod!$B$1:$VX$1,0),FALSE)/1,0)-IFERROR(VLOOKUP($B74,'Slutlig allokering kvv'!$B$2:$BX$549,MATCH(K$2,'Slutlig allokering kvv'!$B$1:$BX$1,0),FALSE)/1,0))</f>
        <v/>
      </c>
      <c r="L74" s="121" t="str">
        <f>IF($D74="","",IFERROR(VLOOKUP($B74,Kraftvärmeprod!$B$1:$BX$549,MATCH(L$2,Kraftvärmeprod!$B$1:$VX$1,0),FALSE)/1,0)-IFERROR(VLOOKUP($B74,'Slutlig allokering kvv'!$B$2:$BX$549,MATCH(L$2,'Slutlig allokering kvv'!$B$1:$BX$1,0),FALSE)/1,0))</f>
        <v/>
      </c>
      <c r="M74" s="121" t="str">
        <f>IF($D74="","",IFERROR(VLOOKUP($B74,Kraftvärmeprod!$B$1:$BX$549,MATCH(M$2,Kraftvärmeprod!$B$1:$VX$1,0),FALSE)/1,0)-IFERROR(VLOOKUP($B74,'Slutlig allokering kvv'!$B$2:$BX$549,MATCH(M$2,'Slutlig allokering kvv'!$B$1:$BX$1,0),FALSE)/1,0))</f>
        <v/>
      </c>
      <c r="N74" s="121" t="str">
        <f>IF($D74="","",IFERROR(VLOOKUP($B74,Kraftvärmeprod!$B$1:$BX$549,MATCH(N$2,Kraftvärmeprod!$B$1:$VX$1,0),FALSE)/1,0)-IFERROR(VLOOKUP($B74,'Slutlig allokering kvv'!$B$2:$BX$549,MATCH(N$2,'Slutlig allokering kvv'!$B$1:$BX$1,0),FALSE)/1,0))</f>
        <v/>
      </c>
      <c r="O74" s="121" t="str">
        <f>IF($D74="","",IFERROR(VLOOKUP($B74,Kraftvärmeprod!$B$1:$BX$549,MATCH(O$2,Kraftvärmeprod!$B$1:$VX$1,0),FALSE)/1,0)-IFERROR(VLOOKUP($B74,'Slutlig allokering kvv'!$B$2:$BX$549,MATCH(O$2,'Slutlig allokering kvv'!$B$1:$BX$1,0),FALSE)/1,0))</f>
        <v/>
      </c>
      <c r="P74" s="121" t="str">
        <f>IF($D74="","",IFERROR(VLOOKUP($B74,Kraftvärmeprod!$B$1:$BX$549,MATCH(P$2,Kraftvärmeprod!$B$1:$VX$1,0),FALSE)/1,0)-IFERROR(VLOOKUP($B74,'Slutlig allokering kvv'!$B$2:$BX$549,MATCH(P$2,'Slutlig allokering kvv'!$B$1:$BX$1,0),FALSE)/1,0))</f>
        <v/>
      </c>
      <c r="Q74" s="121" t="str">
        <f>IF($D74="","",IFERROR(VLOOKUP($B74,Kraftvärmeprod!$B$1:$BX$549,MATCH(Q$2,Kraftvärmeprod!$B$1:$VX$1,0),FALSE)/1,0)-IFERROR(VLOOKUP($B74,'Slutlig allokering kvv'!$B$2:$BX$549,MATCH(Q$2,'Slutlig allokering kvv'!$B$1:$BX$1,0),FALSE)/1,0))</f>
        <v/>
      </c>
      <c r="R74" s="121" t="str">
        <f>IF($D74="","",IFERROR(VLOOKUP($B74,Kraftvärmeprod!$B$1:$BX$549,MATCH(R$2,Kraftvärmeprod!$B$1:$VX$1,0),FALSE)/1,0)-IFERROR(VLOOKUP($B74,'Slutlig allokering kvv'!$B$2:$BX$549,MATCH(R$2,'Slutlig allokering kvv'!$B$1:$BX$1,0),FALSE)/1,0))</f>
        <v/>
      </c>
      <c r="S74" s="121" t="str">
        <f>IF($D74="","",IFERROR(VLOOKUP($B74,Kraftvärmeprod!$B$1:$BX$549,MATCH(S$2,Kraftvärmeprod!$B$1:$VX$1,0),FALSE)/1,0)-IFERROR(VLOOKUP($B74,'Slutlig allokering kvv'!$B$2:$BX$549,MATCH(S$2,'Slutlig allokering kvv'!$B$1:$BX$1,0),FALSE)/1,0))</f>
        <v/>
      </c>
      <c r="T74" s="121" t="str">
        <f>IF($D74="","",IFERROR(VLOOKUP($B74,Kraftvärmeprod!$B$1:$BX$549,MATCH(T$2,Kraftvärmeprod!$B$1:$VX$1,0),FALSE)/1,0)-IFERROR(VLOOKUP($B74,'Slutlig allokering kvv'!$B$2:$BX$549,MATCH(T$2,'Slutlig allokering kvv'!$B$1:$BX$1,0),FALSE)/1,0))</f>
        <v/>
      </c>
      <c r="U74" s="121" t="str">
        <f>IF($D74="","",IFERROR(VLOOKUP($B74,Kraftvärmeprod!$B$1:$BX$549,MATCH(U$2,Kraftvärmeprod!$B$1:$VX$1,0),FALSE)/1,0)-IFERROR(VLOOKUP($B74,'Slutlig allokering kvv'!$B$2:$BX$549,MATCH(U$2,'Slutlig allokering kvv'!$B$1:$BX$1,0),FALSE)/1,0))</f>
        <v/>
      </c>
      <c r="V74" s="121" t="str">
        <f>IF($D74="","",IFERROR(VLOOKUP($B74,Kraftvärmeprod!$B$1:$BX$549,MATCH(V$2,Kraftvärmeprod!$B$1:$VX$1,0),FALSE)/1,0)-IFERROR(VLOOKUP($B74,'Slutlig allokering kvv'!$B$2:$BX$549,MATCH(V$2,'Slutlig allokering kvv'!$B$1:$BX$1,0),FALSE)/1,0))</f>
        <v/>
      </c>
      <c r="W74" s="121" t="str">
        <f>IF($D74="","",IFERROR(VLOOKUP($B74,Kraftvärmeprod!$B$1:$BX$549,MATCH(W$2,Kraftvärmeprod!$B$1:$VX$1,0),FALSE)/1,0)-IFERROR(VLOOKUP($B74,'Slutlig allokering kvv'!$B$2:$BX$549,MATCH(W$2,'Slutlig allokering kvv'!$B$1:$BX$1,0),FALSE)/1,0))</f>
        <v/>
      </c>
      <c r="X74" s="121" t="str">
        <f>IF($D74="","",IFERROR(VLOOKUP($B74,Kraftvärmeprod!$B$1:$BX$549,MATCH(X$2,Kraftvärmeprod!$B$1:$VX$1,0),FALSE)/1,0)-IFERROR(VLOOKUP($B74,'Slutlig allokering kvv'!$B$2:$BX$549,MATCH(X$2,'Slutlig allokering kvv'!$B$1:$BX$1,0),FALSE)/1,0))</f>
        <v/>
      </c>
      <c r="Y74" s="121" t="str">
        <f>IF($D74="","",IFERROR(VLOOKUP($B74,Kraftvärmeprod!$B$1:$BX$549,MATCH(Y$2,Kraftvärmeprod!$B$1:$VX$1,0),FALSE)/1,0)-IFERROR(VLOOKUP($B74,'Slutlig allokering kvv'!$B$2:$BX$549,MATCH(Y$2,'Slutlig allokering kvv'!$B$1:$BX$1,0),FALSE)/1,0))</f>
        <v/>
      </c>
      <c r="Z74" s="121" t="str">
        <f>IF($D74="","",IFERROR(VLOOKUP($B74,Kraftvärmeprod!$B$1:$BX$549,MATCH(Z$2,Kraftvärmeprod!$B$1:$VX$1,0),FALSE)/1,0)-IFERROR(VLOOKUP($B74,'Slutlig allokering kvv'!$B$2:$BX$549,MATCH(Z$2,'Slutlig allokering kvv'!$B$1:$BX$1,0),FALSE)/1,0))</f>
        <v/>
      </c>
      <c r="AA74" s="121" t="str">
        <f>IF($D74="","",IFERROR(VLOOKUP($B74,Kraftvärmeprod!$B$1:$BX$549,MATCH(AA$2,Kraftvärmeprod!$B$1:$VX$1,0),FALSE)/1,0)-IFERROR(VLOOKUP($B74,'Slutlig allokering kvv'!$B$2:$BX$549,MATCH(AA$2,'Slutlig allokering kvv'!$B$1:$BX$1,0),FALSE)/1,0))</f>
        <v/>
      </c>
      <c r="AB74" s="121" t="str">
        <f>IF($D74="","",IFERROR(VLOOKUP($B74,Kraftvärmeprod!$B$1:$BX$549,MATCH(AB$2,Kraftvärmeprod!$B$1:$VX$1,0),FALSE)/1,0)-IFERROR(VLOOKUP($B74,'Slutlig allokering kvv'!$B$2:$BX$549,MATCH(AB$2,'Slutlig allokering kvv'!$B$1:$BX$1,0),FALSE)/1,0))</f>
        <v/>
      </c>
      <c r="AC74" s="121" t="str">
        <f>IF($D74="","",IFERROR(VLOOKUP($B74,Kraftvärmeprod!$B$1:$BX$549,MATCH(AC$2,Kraftvärmeprod!$B$1:$VX$1,0),FALSE)/1,0)-IFERROR(VLOOKUP($B74,'Slutlig allokering kvv'!$B$2:$BX$549,MATCH(AC$2,'Slutlig allokering kvv'!$B$1:$BX$1,0),FALSE)/1,0))</f>
        <v/>
      </c>
      <c r="AD74" s="121" t="str">
        <f>IF($D74="","",IFERROR(VLOOKUP($B74,Kraftvärmeprod!$B$1:$BX$549,MATCH(AD$2,Kraftvärmeprod!$B$1:$VX$1,0),FALSE)/1,0)-IFERROR(VLOOKUP($B74,'Slutlig allokering kvv'!$B$2:$BX$549,MATCH(AD$2,'Slutlig allokering kvv'!$B$1:$BX$1,0),FALSE)/1,0))</f>
        <v/>
      </c>
      <c r="AE74" s="121" t="str">
        <f>IF($D74="","",IFERROR(VLOOKUP($B74,Miljö!$B$1:$E$550,MATCH("Hjälpel kraftvärme (GWh)",Miljö!$B$1:$E$1,0),FALSE)/1,0)-IFERROR(VLOOKUP($B74,'Slutlig allokering kvv'!$B$2:$BX$549,MATCH(AE$2,'Slutlig allokering kvv'!$B$1:$BX$1,0),FALSE)/1,0))</f>
        <v/>
      </c>
      <c r="AI74" s="121">
        <f t="shared" si="4"/>
        <v>0</v>
      </c>
      <c r="AK74" s="121">
        <f>IFERROR(VLOOKUP($B74,'Slutlig allokering kvv'!$B$2:$AX$549,MATCH("Summa slutlig allokerad tillförd energi (utan hjälpel och rökgaskondensering):",'Slutlig allokering kvv'!$B$1:$AX$1,0),FALSE)/1,"")</f>
        <v>0</v>
      </c>
      <c r="AM74" s="172" t="str">
        <f>IFERROR(1-VLOOKUP($B74,'Slutlig allokering kvv'!$B$2:$AX$549,MATCH("Andel av bränsle i kvv som allokerats till värme, exklusive rökgaskondensering och hjälpel",'Slutlig allokering kvv'!$B$1:$AX$1,0),FALSE),"")</f>
        <v/>
      </c>
      <c r="AO74" s="172" t="str">
        <f t="shared" si="5"/>
        <v/>
      </c>
      <c r="AP74" s="173" t="str">
        <f t="shared" si="6"/>
        <v/>
      </c>
      <c r="AR74" s="172" t="str">
        <f t="shared" si="7"/>
        <v/>
      </c>
    </row>
    <row r="75" spans="1:44" x14ac:dyDescent="0.25">
      <c r="A75" s="171" t="str">
        <f>'Miljövärden för publ företag'!B77</f>
        <v>Falkenberg Energi AB</v>
      </c>
      <c r="B75" s="171" t="str">
        <f>'Miljövärden för publ företag'!C77</f>
        <v>Falkenberg</v>
      </c>
      <c r="C75" s="121" t="str">
        <f>IFERROR(VLOOKUP($B75,Kraftvärmeprod!$B$1:$AH$478,MATCH(C$2,Kraftvärmeprod!$B$1:$AG$1,0),FALSE)/1,"")</f>
        <v/>
      </c>
      <c r="D75" s="121" t="str">
        <f>IFERROR(VLOOKUP($B75,Kraftvärmeprod!$B$1:$AH$478,MATCH(D$2,Kraftvärmeprod!$B$1:$AG$1,0),FALSE)/1,"")</f>
        <v/>
      </c>
      <c r="F75" s="121" t="str">
        <f>IF($D75="","",IFERROR(VLOOKUP($B75,Kraftvärmeprod!$B$1:$BX$549,MATCH(F$2,Kraftvärmeprod!$B$1:$VX$1,0),FALSE)/1,0)-IFERROR(VLOOKUP($B75,'Slutlig allokering kvv'!$B$2:$BX$549,MATCH(F$2,'Slutlig allokering kvv'!$B$1:$BX$1,0),FALSE)/1,0))</f>
        <v/>
      </c>
      <c r="G75" s="121" t="str">
        <f>IF($D75="","",IFERROR(VLOOKUP($B75,Kraftvärmeprod!$B$1:$BX$549,MATCH(G$2,Kraftvärmeprod!$B$1:$VX$1,0),FALSE)/1,0)-IFERROR(VLOOKUP($B75,'Slutlig allokering kvv'!$B$2:$BX$549,MATCH(G$2,'Slutlig allokering kvv'!$B$1:$BX$1,0),FALSE)/1,0))</f>
        <v/>
      </c>
      <c r="H75" s="121" t="str">
        <f>IF($D75="","",IFERROR(VLOOKUP($B75,Kraftvärmeprod!$B$1:$BX$549,MATCH(H$2,Kraftvärmeprod!$B$1:$VX$1,0),FALSE)/1,0)-IFERROR(VLOOKUP($B75,'Slutlig allokering kvv'!$B$2:$BX$549,MATCH(H$2,'Slutlig allokering kvv'!$B$1:$BX$1,0),FALSE)/1,0))</f>
        <v/>
      </c>
      <c r="I75" s="121" t="str">
        <f>IF($D75="","",IFERROR(VLOOKUP($B75,Kraftvärmeprod!$B$1:$BX$549,MATCH(I$2,Kraftvärmeprod!$B$1:$VX$1,0),FALSE)/1,0)-IFERROR(VLOOKUP($B75,'Slutlig allokering kvv'!$B$2:$BX$549,MATCH(I$2,'Slutlig allokering kvv'!$B$1:$BX$1,0),FALSE)/1,0))</f>
        <v/>
      </c>
      <c r="J75" s="121" t="str">
        <f>IF($D75="","",IFERROR(VLOOKUP($B75,Kraftvärmeprod!$B$1:$BX$549,MATCH(J$2,Kraftvärmeprod!$B$1:$VX$1,0),FALSE)/1,0)-IFERROR(VLOOKUP($B75,'Slutlig allokering kvv'!$B$2:$BX$549,MATCH(J$2,'Slutlig allokering kvv'!$B$1:$BX$1,0),FALSE)/1,0))</f>
        <v/>
      </c>
      <c r="K75" s="121" t="str">
        <f>IF($D75="","",IFERROR(VLOOKUP($B75,Kraftvärmeprod!$B$1:$BX$549,MATCH(K$2,Kraftvärmeprod!$B$1:$VX$1,0),FALSE)/1,0)-IFERROR(VLOOKUP($B75,'Slutlig allokering kvv'!$B$2:$BX$549,MATCH(K$2,'Slutlig allokering kvv'!$B$1:$BX$1,0),FALSE)/1,0))</f>
        <v/>
      </c>
      <c r="L75" s="121" t="str">
        <f>IF($D75="","",IFERROR(VLOOKUP($B75,Kraftvärmeprod!$B$1:$BX$549,MATCH(L$2,Kraftvärmeprod!$B$1:$VX$1,0),FALSE)/1,0)-IFERROR(VLOOKUP($B75,'Slutlig allokering kvv'!$B$2:$BX$549,MATCH(L$2,'Slutlig allokering kvv'!$B$1:$BX$1,0),FALSE)/1,0))</f>
        <v/>
      </c>
      <c r="M75" s="121" t="str">
        <f>IF($D75="","",IFERROR(VLOOKUP($B75,Kraftvärmeprod!$B$1:$BX$549,MATCH(M$2,Kraftvärmeprod!$B$1:$VX$1,0),FALSE)/1,0)-IFERROR(VLOOKUP($B75,'Slutlig allokering kvv'!$B$2:$BX$549,MATCH(M$2,'Slutlig allokering kvv'!$B$1:$BX$1,0),FALSE)/1,0))</f>
        <v/>
      </c>
      <c r="N75" s="121" t="str">
        <f>IF($D75="","",IFERROR(VLOOKUP($B75,Kraftvärmeprod!$B$1:$BX$549,MATCH(N$2,Kraftvärmeprod!$B$1:$VX$1,0),FALSE)/1,0)-IFERROR(VLOOKUP($B75,'Slutlig allokering kvv'!$B$2:$BX$549,MATCH(N$2,'Slutlig allokering kvv'!$B$1:$BX$1,0),FALSE)/1,0))</f>
        <v/>
      </c>
      <c r="O75" s="121" t="str">
        <f>IF($D75="","",IFERROR(VLOOKUP($B75,Kraftvärmeprod!$B$1:$BX$549,MATCH(O$2,Kraftvärmeprod!$B$1:$VX$1,0),FALSE)/1,0)-IFERROR(VLOOKUP($B75,'Slutlig allokering kvv'!$B$2:$BX$549,MATCH(O$2,'Slutlig allokering kvv'!$B$1:$BX$1,0),FALSE)/1,0))</f>
        <v/>
      </c>
      <c r="P75" s="121" t="str">
        <f>IF($D75="","",IFERROR(VLOOKUP($B75,Kraftvärmeprod!$B$1:$BX$549,MATCH(P$2,Kraftvärmeprod!$B$1:$VX$1,0),FALSE)/1,0)-IFERROR(VLOOKUP($B75,'Slutlig allokering kvv'!$B$2:$BX$549,MATCH(P$2,'Slutlig allokering kvv'!$B$1:$BX$1,0),FALSE)/1,0))</f>
        <v/>
      </c>
      <c r="Q75" s="121" t="str">
        <f>IF($D75="","",IFERROR(VLOOKUP($B75,Kraftvärmeprod!$B$1:$BX$549,MATCH(Q$2,Kraftvärmeprod!$B$1:$VX$1,0),FALSE)/1,0)-IFERROR(VLOOKUP($B75,'Slutlig allokering kvv'!$B$2:$BX$549,MATCH(Q$2,'Slutlig allokering kvv'!$B$1:$BX$1,0),FALSE)/1,0))</f>
        <v/>
      </c>
      <c r="R75" s="121" t="str">
        <f>IF($D75="","",IFERROR(VLOOKUP($B75,Kraftvärmeprod!$B$1:$BX$549,MATCH(R$2,Kraftvärmeprod!$B$1:$VX$1,0),FALSE)/1,0)-IFERROR(VLOOKUP($B75,'Slutlig allokering kvv'!$B$2:$BX$549,MATCH(R$2,'Slutlig allokering kvv'!$B$1:$BX$1,0),FALSE)/1,0))</f>
        <v/>
      </c>
      <c r="S75" s="121" t="str">
        <f>IF($D75="","",IFERROR(VLOOKUP($B75,Kraftvärmeprod!$B$1:$BX$549,MATCH(S$2,Kraftvärmeprod!$B$1:$VX$1,0),FALSE)/1,0)-IFERROR(VLOOKUP($B75,'Slutlig allokering kvv'!$B$2:$BX$549,MATCH(S$2,'Slutlig allokering kvv'!$B$1:$BX$1,0),FALSE)/1,0))</f>
        <v/>
      </c>
      <c r="T75" s="121" t="str">
        <f>IF($D75="","",IFERROR(VLOOKUP($B75,Kraftvärmeprod!$B$1:$BX$549,MATCH(T$2,Kraftvärmeprod!$B$1:$VX$1,0),FALSE)/1,0)-IFERROR(VLOOKUP($B75,'Slutlig allokering kvv'!$B$2:$BX$549,MATCH(T$2,'Slutlig allokering kvv'!$B$1:$BX$1,0),FALSE)/1,0))</f>
        <v/>
      </c>
      <c r="U75" s="121" t="str">
        <f>IF($D75="","",IFERROR(VLOOKUP($B75,Kraftvärmeprod!$B$1:$BX$549,MATCH(U$2,Kraftvärmeprod!$B$1:$VX$1,0),FALSE)/1,0)-IFERROR(VLOOKUP($B75,'Slutlig allokering kvv'!$B$2:$BX$549,MATCH(U$2,'Slutlig allokering kvv'!$B$1:$BX$1,0),FALSE)/1,0))</f>
        <v/>
      </c>
      <c r="V75" s="121" t="str">
        <f>IF($D75="","",IFERROR(VLOOKUP($B75,Kraftvärmeprod!$B$1:$BX$549,MATCH(V$2,Kraftvärmeprod!$B$1:$VX$1,0),FALSE)/1,0)-IFERROR(VLOOKUP($B75,'Slutlig allokering kvv'!$B$2:$BX$549,MATCH(V$2,'Slutlig allokering kvv'!$B$1:$BX$1,0),FALSE)/1,0))</f>
        <v/>
      </c>
      <c r="W75" s="121" t="str">
        <f>IF($D75="","",IFERROR(VLOOKUP($B75,Kraftvärmeprod!$B$1:$BX$549,MATCH(W$2,Kraftvärmeprod!$B$1:$VX$1,0),FALSE)/1,0)-IFERROR(VLOOKUP($B75,'Slutlig allokering kvv'!$B$2:$BX$549,MATCH(W$2,'Slutlig allokering kvv'!$B$1:$BX$1,0),FALSE)/1,0))</f>
        <v/>
      </c>
      <c r="X75" s="121" t="str">
        <f>IF($D75="","",IFERROR(VLOOKUP($B75,Kraftvärmeprod!$B$1:$BX$549,MATCH(X$2,Kraftvärmeprod!$B$1:$VX$1,0),FALSE)/1,0)-IFERROR(VLOOKUP($B75,'Slutlig allokering kvv'!$B$2:$BX$549,MATCH(X$2,'Slutlig allokering kvv'!$B$1:$BX$1,0),FALSE)/1,0))</f>
        <v/>
      </c>
      <c r="Y75" s="121" t="str">
        <f>IF($D75="","",IFERROR(VLOOKUP($B75,Kraftvärmeprod!$B$1:$BX$549,MATCH(Y$2,Kraftvärmeprod!$B$1:$VX$1,0),FALSE)/1,0)-IFERROR(VLOOKUP($B75,'Slutlig allokering kvv'!$B$2:$BX$549,MATCH(Y$2,'Slutlig allokering kvv'!$B$1:$BX$1,0),FALSE)/1,0))</f>
        <v/>
      </c>
      <c r="Z75" s="121" t="str">
        <f>IF($D75="","",IFERROR(VLOOKUP($B75,Kraftvärmeprod!$B$1:$BX$549,MATCH(Z$2,Kraftvärmeprod!$B$1:$VX$1,0),FALSE)/1,0)-IFERROR(VLOOKUP($B75,'Slutlig allokering kvv'!$B$2:$BX$549,MATCH(Z$2,'Slutlig allokering kvv'!$B$1:$BX$1,0),FALSE)/1,0))</f>
        <v/>
      </c>
      <c r="AA75" s="121" t="str">
        <f>IF($D75="","",IFERROR(VLOOKUP($B75,Kraftvärmeprod!$B$1:$BX$549,MATCH(AA$2,Kraftvärmeprod!$B$1:$VX$1,0),FALSE)/1,0)-IFERROR(VLOOKUP($B75,'Slutlig allokering kvv'!$B$2:$BX$549,MATCH(AA$2,'Slutlig allokering kvv'!$B$1:$BX$1,0),FALSE)/1,0))</f>
        <v/>
      </c>
      <c r="AB75" s="121" t="str">
        <f>IF($D75="","",IFERROR(VLOOKUP($B75,Kraftvärmeprod!$B$1:$BX$549,MATCH(AB$2,Kraftvärmeprod!$B$1:$VX$1,0),FALSE)/1,0)-IFERROR(VLOOKUP($B75,'Slutlig allokering kvv'!$B$2:$BX$549,MATCH(AB$2,'Slutlig allokering kvv'!$B$1:$BX$1,0),FALSE)/1,0))</f>
        <v/>
      </c>
      <c r="AC75" s="121" t="str">
        <f>IF($D75="","",IFERROR(VLOOKUP($B75,Kraftvärmeprod!$B$1:$BX$549,MATCH(AC$2,Kraftvärmeprod!$B$1:$VX$1,0),FALSE)/1,0)-IFERROR(VLOOKUP($B75,'Slutlig allokering kvv'!$B$2:$BX$549,MATCH(AC$2,'Slutlig allokering kvv'!$B$1:$BX$1,0),FALSE)/1,0))</f>
        <v/>
      </c>
      <c r="AD75" s="121" t="str">
        <f>IF($D75="","",IFERROR(VLOOKUP($B75,Kraftvärmeprod!$B$1:$BX$549,MATCH(AD$2,Kraftvärmeprod!$B$1:$VX$1,0),FALSE)/1,0)-IFERROR(VLOOKUP($B75,'Slutlig allokering kvv'!$B$2:$BX$549,MATCH(AD$2,'Slutlig allokering kvv'!$B$1:$BX$1,0),FALSE)/1,0))</f>
        <v/>
      </c>
      <c r="AE75" s="121" t="str">
        <f>IF($D75="","",IFERROR(VLOOKUP($B75,Miljö!$B$1:$E$550,MATCH("Hjälpel kraftvärme (GWh)",Miljö!$B$1:$E$1,0),FALSE)/1,0)-IFERROR(VLOOKUP($B75,'Slutlig allokering kvv'!$B$2:$BX$549,MATCH(AE$2,'Slutlig allokering kvv'!$B$1:$BX$1,0),FALSE)/1,0))</f>
        <v/>
      </c>
      <c r="AI75" s="121">
        <f t="shared" si="4"/>
        <v>0</v>
      </c>
      <c r="AK75" s="121">
        <f>IFERROR(VLOOKUP($B75,'Slutlig allokering kvv'!$B$2:$AX$549,MATCH("Summa slutlig allokerad tillförd energi (utan hjälpel och rökgaskondensering):",'Slutlig allokering kvv'!$B$1:$AX$1,0),FALSE)/1,"")</f>
        <v>0</v>
      </c>
      <c r="AM75" s="172" t="str">
        <f>IFERROR(1-VLOOKUP($B75,'Slutlig allokering kvv'!$B$2:$AX$549,MATCH("Andel av bränsle i kvv som allokerats till värme, exklusive rökgaskondensering och hjälpel",'Slutlig allokering kvv'!$B$1:$AX$1,0),FALSE),"")</f>
        <v/>
      </c>
      <c r="AO75" s="172" t="str">
        <f t="shared" si="5"/>
        <v/>
      </c>
      <c r="AP75" s="173" t="str">
        <f t="shared" si="6"/>
        <v/>
      </c>
      <c r="AR75" s="172" t="str">
        <f t="shared" si="7"/>
        <v/>
      </c>
    </row>
    <row r="76" spans="1:44" x14ac:dyDescent="0.25">
      <c r="A76" s="171" t="str">
        <f>'Miljövärden för publ företag'!B78</f>
        <v>Falkenberg Energi AB</v>
      </c>
      <c r="B76" s="171" t="str">
        <f>'Miljövärden för publ företag'!C78</f>
        <v>Ullared-närvärme</v>
      </c>
      <c r="C76" s="121" t="str">
        <f>IFERROR(VLOOKUP($B76,Kraftvärmeprod!$B$1:$AH$478,MATCH(C$2,Kraftvärmeprod!$B$1:$AG$1,0),FALSE)/1,"")</f>
        <v/>
      </c>
      <c r="D76" s="121" t="str">
        <f>IFERROR(VLOOKUP($B76,Kraftvärmeprod!$B$1:$AH$478,MATCH(D$2,Kraftvärmeprod!$B$1:$AG$1,0),FALSE)/1,"")</f>
        <v/>
      </c>
      <c r="F76" s="121" t="str">
        <f>IF($D76="","",IFERROR(VLOOKUP($B76,Kraftvärmeprod!$B$1:$BX$549,MATCH(F$2,Kraftvärmeprod!$B$1:$VX$1,0),FALSE)/1,0)-IFERROR(VLOOKUP($B76,'Slutlig allokering kvv'!$B$2:$BX$549,MATCH(F$2,'Slutlig allokering kvv'!$B$1:$BX$1,0),FALSE)/1,0))</f>
        <v/>
      </c>
      <c r="G76" s="121" t="str">
        <f>IF($D76="","",IFERROR(VLOOKUP($B76,Kraftvärmeprod!$B$1:$BX$549,MATCH(G$2,Kraftvärmeprod!$B$1:$VX$1,0),FALSE)/1,0)-IFERROR(VLOOKUP($B76,'Slutlig allokering kvv'!$B$2:$BX$549,MATCH(G$2,'Slutlig allokering kvv'!$B$1:$BX$1,0),FALSE)/1,0))</f>
        <v/>
      </c>
      <c r="H76" s="121" t="str">
        <f>IF($D76="","",IFERROR(VLOOKUP($B76,Kraftvärmeprod!$B$1:$BX$549,MATCH(H$2,Kraftvärmeprod!$B$1:$VX$1,0),FALSE)/1,0)-IFERROR(VLOOKUP($B76,'Slutlig allokering kvv'!$B$2:$BX$549,MATCH(H$2,'Slutlig allokering kvv'!$B$1:$BX$1,0),FALSE)/1,0))</f>
        <v/>
      </c>
      <c r="I76" s="121" t="str">
        <f>IF($D76="","",IFERROR(VLOOKUP($B76,Kraftvärmeprod!$B$1:$BX$549,MATCH(I$2,Kraftvärmeprod!$B$1:$VX$1,0),FALSE)/1,0)-IFERROR(VLOOKUP($B76,'Slutlig allokering kvv'!$B$2:$BX$549,MATCH(I$2,'Slutlig allokering kvv'!$B$1:$BX$1,0),FALSE)/1,0))</f>
        <v/>
      </c>
      <c r="J76" s="121" t="str">
        <f>IF($D76="","",IFERROR(VLOOKUP($B76,Kraftvärmeprod!$B$1:$BX$549,MATCH(J$2,Kraftvärmeprod!$B$1:$VX$1,0),FALSE)/1,0)-IFERROR(VLOOKUP($B76,'Slutlig allokering kvv'!$B$2:$BX$549,MATCH(J$2,'Slutlig allokering kvv'!$B$1:$BX$1,0),FALSE)/1,0))</f>
        <v/>
      </c>
      <c r="K76" s="121" t="str">
        <f>IF($D76="","",IFERROR(VLOOKUP($B76,Kraftvärmeprod!$B$1:$BX$549,MATCH(K$2,Kraftvärmeprod!$B$1:$VX$1,0),FALSE)/1,0)-IFERROR(VLOOKUP($B76,'Slutlig allokering kvv'!$B$2:$BX$549,MATCH(K$2,'Slutlig allokering kvv'!$B$1:$BX$1,0),FALSE)/1,0))</f>
        <v/>
      </c>
      <c r="L76" s="121" t="str">
        <f>IF($D76="","",IFERROR(VLOOKUP($B76,Kraftvärmeprod!$B$1:$BX$549,MATCH(L$2,Kraftvärmeprod!$B$1:$VX$1,0),FALSE)/1,0)-IFERROR(VLOOKUP($B76,'Slutlig allokering kvv'!$B$2:$BX$549,MATCH(L$2,'Slutlig allokering kvv'!$B$1:$BX$1,0),FALSE)/1,0))</f>
        <v/>
      </c>
      <c r="M76" s="121" t="str">
        <f>IF($D76="","",IFERROR(VLOOKUP($B76,Kraftvärmeprod!$B$1:$BX$549,MATCH(M$2,Kraftvärmeprod!$B$1:$VX$1,0),FALSE)/1,0)-IFERROR(VLOOKUP($B76,'Slutlig allokering kvv'!$B$2:$BX$549,MATCH(M$2,'Slutlig allokering kvv'!$B$1:$BX$1,0),FALSE)/1,0))</f>
        <v/>
      </c>
      <c r="N76" s="121" t="str">
        <f>IF($D76="","",IFERROR(VLOOKUP($B76,Kraftvärmeprod!$B$1:$BX$549,MATCH(N$2,Kraftvärmeprod!$B$1:$VX$1,0),FALSE)/1,0)-IFERROR(VLOOKUP($B76,'Slutlig allokering kvv'!$B$2:$BX$549,MATCH(N$2,'Slutlig allokering kvv'!$B$1:$BX$1,0),FALSE)/1,0))</f>
        <v/>
      </c>
      <c r="O76" s="121" t="str">
        <f>IF($D76="","",IFERROR(VLOOKUP($B76,Kraftvärmeprod!$B$1:$BX$549,MATCH(O$2,Kraftvärmeprod!$B$1:$VX$1,0),FALSE)/1,0)-IFERROR(VLOOKUP($B76,'Slutlig allokering kvv'!$B$2:$BX$549,MATCH(O$2,'Slutlig allokering kvv'!$B$1:$BX$1,0),FALSE)/1,0))</f>
        <v/>
      </c>
      <c r="P76" s="121" t="str">
        <f>IF($D76="","",IFERROR(VLOOKUP($B76,Kraftvärmeprod!$B$1:$BX$549,MATCH(P$2,Kraftvärmeprod!$B$1:$VX$1,0),FALSE)/1,0)-IFERROR(VLOOKUP($B76,'Slutlig allokering kvv'!$B$2:$BX$549,MATCH(P$2,'Slutlig allokering kvv'!$B$1:$BX$1,0),FALSE)/1,0))</f>
        <v/>
      </c>
      <c r="Q76" s="121" t="str">
        <f>IF($D76="","",IFERROR(VLOOKUP($B76,Kraftvärmeprod!$B$1:$BX$549,MATCH(Q$2,Kraftvärmeprod!$B$1:$VX$1,0),FALSE)/1,0)-IFERROR(VLOOKUP($B76,'Slutlig allokering kvv'!$B$2:$BX$549,MATCH(Q$2,'Slutlig allokering kvv'!$B$1:$BX$1,0),FALSE)/1,0))</f>
        <v/>
      </c>
      <c r="R76" s="121" t="str">
        <f>IF($D76="","",IFERROR(VLOOKUP($B76,Kraftvärmeprod!$B$1:$BX$549,MATCH(R$2,Kraftvärmeprod!$B$1:$VX$1,0),FALSE)/1,0)-IFERROR(VLOOKUP($B76,'Slutlig allokering kvv'!$B$2:$BX$549,MATCH(R$2,'Slutlig allokering kvv'!$B$1:$BX$1,0),FALSE)/1,0))</f>
        <v/>
      </c>
      <c r="S76" s="121" t="str">
        <f>IF($D76="","",IFERROR(VLOOKUP($B76,Kraftvärmeprod!$B$1:$BX$549,MATCH(S$2,Kraftvärmeprod!$B$1:$VX$1,0),FALSE)/1,0)-IFERROR(VLOOKUP($B76,'Slutlig allokering kvv'!$B$2:$BX$549,MATCH(S$2,'Slutlig allokering kvv'!$B$1:$BX$1,0),FALSE)/1,0))</f>
        <v/>
      </c>
      <c r="T76" s="121" t="str">
        <f>IF($D76="","",IFERROR(VLOOKUP($B76,Kraftvärmeprod!$B$1:$BX$549,MATCH(T$2,Kraftvärmeprod!$B$1:$VX$1,0),FALSE)/1,0)-IFERROR(VLOOKUP($B76,'Slutlig allokering kvv'!$B$2:$BX$549,MATCH(T$2,'Slutlig allokering kvv'!$B$1:$BX$1,0),FALSE)/1,0))</f>
        <v/>
      </c>
      <c r="U76" s="121" t="str">
        <f>IF($D76="","",IFERROR(VLOOKUP($B76,Kraftvärmeprod!$B$1:$BX$549,MATCH(U$2,Kraftvärmeprod!$B$1:$VX$1,0),FALSE)/1,0)-IFERROR(VLOOKUP($B76,'Slutlig allokering kvv'!$B$2:$BX$549,MATCH(U$2,'Slutlig allokering kvv'!$B$1:$BX$1,0),FALSE)/1,0))</f>
        <v/>
      </c>
      <c r="V76" s="121" t="str">
        <f>IF($D76="","",IFERROR(VLOOKUP($B76,Kraftvärmeprod!$B$1:$BX$549,MATCH(V$2,Kraftvärmeprod!$B$1:$VX$1,0),FALSE)/1,0)-IFERROR(VLOOKUP($B76,'Slutlig allokering kvv'!$B$2:$BX$549,MATCH(V$2,'Slutlig allokering kvv'!$B$1:$BX$1,0),FALSE)/1,0))</f>
        <v/>
      </c>
      <c r="W76" s="121" t="str">
        <f>IF($D76="","",IFERROR(VLOOKUP($B76,Kraftvärmeprod!$B$1:$BX$549,MATCH(W$2,Kraftvärmeprod!$B$1:$VX$1,0),FALSE)/1,0)-IFERROR(VLOOKUP($B76,'Slutlig allokering kvv'!$B$2:$BX$549,MATCH(W$2,'Slutlig allokering kvv'!$B$1:$BX$1,0),FALSE)/1,0))</f>
        <v/>
      </c>
      <c r="X76" s="121" t="str">
        <f>IF($D76="","",IFERROR(VLOOKUP($B76,Kraftvärmeprod!$B$1:$BX$549,MATCH(X$2,Kraftvärmeprod!$B$1:$VX$1,0),FALSE)/1,0)-IFERROR(VLOOKUP($B76,'Slutlig allokering kvv'!$B$2:$BX$549,MATCH(X$2,'Slutlig allokering kvv'!$B$1:$BX$1,0),FALSE)/1,0))</f>
        <v/>
      </c>
      <c r="Y76" s="121" t="str">
        <f>IF($D76="","",IFERROR(VLOOKUP($B76,Kraftvärmeprod!$B$1:$BX$549,MATCH(Y$2,Kraftvärmeprod!$B$1:$VX$1,0),FALSE)/1,0)-IFERROR(VLOOKUP($B76,'Slutlig allokering kvv'!$B$2:$BX$549,MATCH(Y$2,'Slutlig allokering kvv'!$B$1:$BX$1,0),FALSE)/1,0))</f>
        <v/>
      </c>
      <c r="Z76" s="121" t="str">
        <f>IF($D76="","",IFERROR(VLOOKUP($B76,Kraftvärmeprod!$B$1:$BX$549,MATCH(Z$2,Kraftvärmeprod!$B$1:$VX$1,0),FALSE)/1,0)-IFERROR(VLOOKUP($B76,'Slutlig allokering kvv'!$B$2:$BX$549,MATCH(Z$2,'Slutlig allokering kvv'!$B$1:$BX$1,0),FALSE)/1,0))</f>
        <v/>
      </c>
      <c r="AA76" s="121" t="str">
        <f>IF($D76="","",IFERROR(VLOOKUP($B76,Kraftvärmeprod!$B$1:$BX$549,MATCH(AA$2,Kraftvärmeprod!$B$1:$VX$1,0),FALSE)/1,0)-IFERROR(VLOOKUP($B76,'Slutlig allokering kvv'!$B$2:$BX$549,MATCH(AA$2,'Slutlig allokering kvv'!$B$1:$BX$1,0),FALSE)/1,0))</f>
        <v/>
      </c>
      <c r="AB76" s="121" t="str">
        <f>IF($D76="","",IFERROR(VLOOKUP($B76,Kraftvärmeprod!$B$1:$BX$549,MATCH(AB$2,Kraftvärmeprod!$B$1:$VX$1,0),FALSE)/1,0)-IFERROR(VLOOKUP($B76,'Slutlig allokering kvv'!$B$2:$BX$549,MATCH(AB$2,'Slutlig allokering kvv'!$B$1:$BX$1,0),FALSE)/1,0))</f>
        <v/>
      </c>
      <c r="AC76" s="121" t="str">
        <f>IF($D76="","",IFERROR(VLOOKUP($B76,Kraftvärmeprod!$B$1:$BX$549,MATCH(AC$2,Kraftvärmeprod!$B$1:$VX$1,0),FALSE)/1,0)-IFERROR(VLOOKUP($B76,'Slutlig allokering kvv'!$B$2:$BX$549,MATCH(AC$2,'Slutlig allokering kvv'!$B$1:$BX$1,0),FALSE)/1,0))</f>
        <v/>
      </c>
      <c r="AD76" s="121" t="str">
        <f>IF($D76="","",IFERROR(VLOOKUP($B76,Kraftvärmeprod!$B$1:$BX$549,MATCH(AD$2,Kraftvärmeprod!$B$1:$VX$1,0),FALSE)/1,0)-IFERROR(VLOOKUP($B76,'Slutlig allokering kvv'!$B$2:$BX$549,MATCH(AD$2,'Slutlig allokering kvv'!$B$1:$BX$1,0),FALSE)/1,0))</f>
        <v/>
      </c>
      <c r="AE76" s="121" t="str">
        <f>IF($D76="","",IFERROR(VLOOKUP($B76,Miljö!$B$1:$E$550,MATCH("Hjälpel kraftvärme (GWh)",Miljö!$B$1:$E$1,0),FALSE)/1,0)-IFERROR(VLOOKUP($B76,'Slutlig allokering kvv'!$B$2:$BX$549,MATCH(AE$2,'Slutlig allokering kvv'!$B$1:$BX$1,0),FALSE)/1,0))</f>
        <v/>
      </c>
      <c r="AI76" s="121">
        <f t="shared" si="4"/>
        <v>0</v>
      </c>
      <c r="AK76" s="121">
        <f>IFERROR(VLOOKUP($B76,'Slutlig allokering kvv'!$B$2:$AX$549,MATCH("Summa slutlig allokerad tillförd energi (utan hjälpel och rökgaskondensering):",'Slutlig allokering kvv'!$B$1:$AX$1,0),FALSE)/1,"")</f>
        <v>0</v>
      </c>
      <c r="AM76" s="172" t="str">
        <f>IFERROR(1-VLOOKUP($B76,'Slutlig allokering kvv'!$B$2:$AX$549,MATCH("Andel av bränsle i kvv som allokerats till värme, exklusive rökgaskondensering och hjälpel",'Slutlig allokering kvv'!$B$1:$AX$1,0),FALSE),"")</f>
        <v/>
      </c>
      <c r="AO76" s="172" t="str">
        <f t="shared" si="5"/>
        <v/>
      </c>
      <c r="AP76" s="173" t="str">
        <f t="shared" si="6"/>
        <v/>
      </c>
      <c r="AR76" s="172" t="str">
        <f t="shared" si="7"/>
        <v/>
      </c>
    </row>
    <row r="77" spans="1:44" x14ac:dyDescent="0.25">
      <c r="A77" s="171" t="str">
        <f>'Miljövärden för publ företag'!B79</f>
        <v>Falkenberg Energi AB</v>
      </c>
      <c r="B77" s="171" t="str">
        <f>'Miljövärden för publ företag'!C79</f>
        <v>Vessigebro-närvärme</v>
      </c>
      <c r="C77" s="121" t="str">
        <f>IFERROR(VLOOKUP($B77,Kraftvärmeprod!$B$1:$AH$478,MATCH(C$2,Kraftvärmeprod!$B$1:$AG$1,0),FALSE)/1,"")</f>
        <v/>
      </c>
      <c r="D77" s="121" t="str">
        <f>IFERROR(VLOOKUP($B77,Kraftvärmeprod!$B$1:$AH$478,MATCH(D$2,Kraftvärmeprod!$B$1:$AG$1,0),FALSE)/1,"")</f>
        <v/>
      </c>
      <c r="F77" s="121" t="str">
        <f>IF($D77="","",IFERROR(VLOOKUP($B77,Kraftvärmeprod!$B$1:$BX$549,MATCH(F$2,Kraftvärmeprod!$B$1:$VX$1,0),FALSE)/1,0)-IFERROR(VLOOKUP($B77,'Slutlig allokering kvv'!$B$2:$BX$549,MATCH(F$2,'Slutlig allokering kvv'!$B$1:$BX$1,0),FALSE)/1,0))</f>
        <v/>
      </c>
      <c r="G77" s="121" t="str">
        <f>IF($D77="","",IFERROR(VLOOKUP($B77,Kraftvärmeprod!$B$1:$BX$549,MATCH(G$2,Kraftvärmeprod!$B$1:$VX$1,0),FALSE)/1,0)-IFERROR(VLOOKUP($B77,'Slutlig allokering kvv'!$B$2:$BX$549,MATCH(G$2,'Slutlig allokering kvv'!$B$1:$BX$1,0),FALSE)/1,0))</f>
        <v/>
      </c>
      <c r="H77" s="121" t="str">
        <f>IF($D77="","",IFERROR(VLOOKUP($B77,Kraftvärmeprod!$B$1:$BX$549,MATCH(H$2,Kraftvärmeprod!$B$1:$VX$1,0),FALSE)/1,0)-IFERROR(VLOOKUP($B77,'Slutlig allokering kvv'!$B$2:$BX$549,MATCH(H$2,'Slutlig allokering kvv'!$B$1:$BX$1,0),FALSE)/1,0))</f>
        <v/>
      </c>
      <c r="I77" s="121" t="str">
        <f>IF($D77="","",IFERROR(VLOOKUP($B77,Kraftvärmeprod!$B$1:$BX$549,MATCH(I$2,Kraftvärmeprod!$B$1:$VX$1,0),FALSE)/1,0)-IFERROR(VLOOKUP($B77,'Slutlig allokering kvv'!$B$2:$BX$549,MATCH(I$2,'Slutlig allokering kvv'!$B$1:$BX$1,0),FALSE)/1,0))</f>
        <v/>
      </c>
      <c r="J77" s="121" t="str">
        <f>IF($D77="","",IFERROR(VLOOKUP($B77,Kraftvärmeprod!$B$1:$BX$549,MATCH(J$2,Kraftvärmeprod!$B$1:$VX$1,0),FALSE)/1,0)-IFERROR(VLOOKUP($B77,'Slutlig allokering kvv'!$B$2:$BX$549,MATCH(J$2,'Slutlig allokering kvv'!$B$1:$BX$1,0),FALSE)/1,0))</f>
        <v/>
      </c>
      <c r="K77" s="121" t="str">
        <f>IF($D77="","",IFERROR(VLOOKUP($B77,Kraftvärmeprod!$B$1:$BX$549,MATCH(K$2,Kraftvärmeprod!$B$1:$VX$1,0),FALSE)/1,0)-IFERROR(VLOOKUP($B77,'Slutlig allokering kvv'!$B$2:$BX$549,MATCH(K$2,'Slutlig allokering kvv'!$B$1:$BX$1,0),FALSE)/1,0))</f>
        <v/>
      </c>
      <c r="L77" s="121" t="str">
        <f>IF($D77="","",IFERROR(VLOOKUP($B77,Kraftvärmeprod!$B$1:$BX$549,MATCH(L$2,Kraftvärmeprod!$B$1:$VX$1,0),FALSE)/1,0)-IFERROR(VLOOKUP($B77,'Slutlig allokering kvv'!$B$2:$BX$549,MATCH(L$2,'Slutlig allokering kvv'!$B$1:$BX$1,0),FALSE)/1,0))</f>
        <v/>
      </c>
      <c r="M77" s="121" t="str">
        <f>IF($D77="","",IFERROR(VLOOKUP($B77,Kraftvärmeprod!$B$1:$BX$549,MATCH(M$2,Kraftvärmeprod!$B$1:$VX$1,0),FALSE)/1,0)-IFERROR(VLOOKUP($B77,'Slutlig allokering kvv'!$B$2:$BX$549,MATCH(M$2,'Slutlig allokering kvv'!$B$1:$BX$1,0),FALSE)/1,0))</f>
        <v/>
      </c>
      <c r="N77" s="121" t="str">
        <f>IF($D77="","",IFERROR(VLOOKUP($B77,Kraftvärmeprod!$B$1:$BX$549,MATCH(N$2,Kraftvärmeprod!$B$1:$VX$1,0),FALSE)/1,0)-IFERROR(VLOOKUP($B77,'Slutlig allokering kvv'!$B$2:$BX$549,MATCH(N$2,'Slutlig allokering kvv'!$B$1:$BX$1,0),FALSE)/1,0))</f>
        <v/>
      </c>
      <c r="O77" s="121" t="str">
        <f>IF($D77="","",IFERROR(VLOOKUP($B77,Kraftvärmeprod!$B$1:$BX$549,MATCH(O$2,Kraftvärmeprod!$B$1:$VX$1,0),FALSE)/1,0)-IFERROR(VLOOKUP($B77,'Slutlig allokering kvv'!$B$2:$BX$549,MATCH(O$2,'Slutlig allokering kvv'!$B$1:$BX$1,0),FALSE)/1,0))</f>
        <v/>
      </c>
      <c r="P77" s="121" t="str">
        <f>IF($D77="","",IFERROR(VLOOKUP($B77,Kraftvärmeprod!$B$1:$BX$549,MATCH(P$2,Kraftvärmeprod!$B$1:$VX$1,0),FALSE)/1,0)-IFERROR(VLOOKUP($B77,'Slutlig allokering kvv'!$B$2:$BX$549,MATCH(P$2,'Slutlig allokering kvv'!$B$1:$BX$1,0),FALSE)/1,0))</f>
        <v/>
      </c>
      <c r="Q77" s="121" t="str">
        <f>IF($D77="","",IFERROR(VLOOKUP($B77,Kraftvärmeprod!$B$1:$BX$549,MATCH(Q$2,Kraftvärmeprod!$B$1:$VX$1,0),FALSE)/1,0)-IFERROR(VLOOKUP($B77,'Slutlig allokering kvv'!$B$2:$BX$549,MATCH(Q$2,'Slutlig allokering kvv'!$B$1:$BX$1,0),FALSE)/1,0))</f>
        <v/>
      </c>
      <c r="R77" s="121" t="str">
        <f>IF($D77="","",IFERROR(VLOOKUP($B77,Kraftvärmeprod!$B$1:$BX$549,MATCH(R$2,Kraftvärmeprod!$B$1:$VX$1,0),FALSE)/1,0)-IFERROR(VLOOKUP($B77,'Slutlig allokering kvv'!$B$2:$BX$549,MATCH(R$2,'Slutlig allokering kvv'!$B$1:$BX$1,0),FALSE)/1,0))</f>
        <v/>
      </c>
      <c r="S77" s="121" t="str">
        <f>IF($D77="","",IFERROR(VLOOKUP($B77,Kraftvärmeprod!$B$1:$BX$549,MATCH(S$2,Kraftvärmeprod!$B$1:$VX$1,0),FALSE)/1,0)-IFERROR(VLOOKUP($B77,'Slutlig allokering kvv'!$B$2:$BX$549,MATCH(S$2,'Slutlig allokering kvv'!$B$1:$BX$1,0),FALSE)/1,0))</f>
        <v/>
      </c>
      <c r="T77" s="121" t="str">
        <f>IF($D77="","",IFERROR(VLOOKUP($B77,Kraftvärmeprod!$B$1:$BX$549,MATCH(T$2,Kraftvärmeprod!$B$1:$VX$1,0),FALSE)/1,0)-IFERROR(VLOOKUP($B77,'Slutlig allokering kvv'!$B$2:$BX$549,MATCH(T$2,'Slutlig allokering kvv'!$B$1:$BX$1,0),FALSE)/1,0))</f>
        <v/>
      </c>
      <c r="U77" s="121" t="str">
        <f>IF($D77="","",IFERROR(VLOOKUP($B77,Kraftvärmeprod!$B$1:$BX$549,MATCH(U$2,Kraftvärmeprod!$B$1:$VX$1,0),FALSE)/1,0)-IFERROR(VLOOKUP($B77,'Slutlig allokering kvv'!$B$2:$BX$549,MATCH(U$2,'Slutlig allokering kvv'!$B$1:$BX$1,0),FALSE)/1,0))</f>
        <v/>
      </c>
      <c r="V77" s="121" t="str">
        <f>IF($D77="","",IFERROR(VLOOKUP($B77,Kraftvärmeprod!$B$1:$BX$549,MATCH(V$2,Kraftvärmeprod!$B$1:$VX$1,0),FALSE)/1,0)-IFERROR(VLOOKUP($B77,'Slutlig allokering kvv'!$B$2:$BX$549,MATCH(V$2,'Slutlig allokering kvv'!$B$1:$BX$1,0),FALSE)/1,0))</f>
        <v/>
      </c>
      <c r="W77" s="121" t="str">
        <f>IF($D77="","",IFERROR(VLOOKUP($B77,Kraftvärmeprod!$B$1:$BX$549,MATCH(W$2,Kraftvärmeprod!$B$1:$VX$1,0),FALSE)/1,0)-IFERROR(VLOOKUP($B77,'Slutlig allokering kvv'!$B$2:$BX$549,MATCH(W$2,'Slutlig allokering kvv'!$B$1:$BX$1,0),FALSE)/1,0))</f>
        <v/>
      </c>
      <c r="X77" s="121" t="str">
        <f>IF($D77="","",IFERROR(VLOOKUP($B77,Kraftvärmeprod!$B$1:$BX$549,MATCH(X$2,Kraftvärmeprod!$B$1:$VX$1,0),FALSE)/1,0)-IFERROR(VLOOKUP($B77,'Slutlig allokering kvv'!$B$2:$BX$549,MATCH(X$2,'Slutlig allokering kvv'!$B$1:$BX$1,0),FALSE)/1,0))</f>
        <v/>
      </c>
      <c r="Y77" s="121" t="str">
        <f>IF($D77="","",IFERROR(VLOOKUP($B77,Kraftvärmeprod!$B$1:$BX$549,MATCH(Y$2,Kraftvärmeprod!$B$1:$VX$1,0),FALSE)/1,0)-IFERROR(VLOOKUP($B77,'Slutlig allokering kvv'!$B$2:$BX$549,MATCH(Y$2,'Slutlig allokering kvv'!$B$1:$BX$1,0),FALSE)/1,0))</f>
        <v/>
      </c>
      <c r="Z77" s="121" t="str">
        <f>IF($D77="","",IFERROR(VLOOKUP($B77,Kraftvärmeprod!$B$1:$BX$549,MATCH(Z$2,Kraftvärmeprod!$B$1:$VX$1,0),FALSE)/1,0)-IFERROR(VLOOKUP($B77,'Slutlig allokering kvv'!$B$2:$BX$549,MATCH(Z$2,'Slutlig allokering kvv'!$B$1:$BX$1,0),FALSE)/1,0))</f>
        <v/>
      </c>
      <c r="AA77" s="121" t="str">
        <f>IF($D77="","",IFERROR(VLOOKUP($B77,Kraftvärmeprod!$B$1:$BX$549,MATCH(AA$2,Kraftvärmeprod!$B$1:$VX$1,0),FALSE)/1,0)-IFERROR(VLOOKUP($B77,'Slutlig allokering kvv'!$B$2:$BX$549,MATCH(AA$2,'Slutlig allokering kvv'!$B$1:$BX$1,0),FALSE)/1,0))</f>
        <v/>
      </c>
      <c r="AB77" s="121" t="str">
        <f>IF($D77="","",IFERROR(VLOOKUP($B77,Kraftvärmeprod!$B$1:$BX$549,MATCH(AB$2,Kraftvärmeprod!$B$1:$VX$1,0),FALSE)/1,0)-IFERROR(VLOOKUP($B77,'Slutlig allokering kvv'!$B$2:$BX$549,MATCH(AB$2,'Slutlig allokering kvv'!$B$1:$BX$1,0),FALSE)/1,0))</f>
        <v/>
      </c>
      <c r="AC77" s="121" t="str">
        <f>IF($D77="","",IFERROR(VLOOKUP($B77,Kraftvärmeprod!$B$1:$BX$549,MATCH(AC$2,Kraftvärmeprod!$B$1:$VX$1,0),FALSE)/1,0)-IFERROR(VLOOKUP($B77,'Slutlig allokering kvv'!$B$2:$BX$549,MATCH(AC$2,'Slutlig allokering kvv'!$B$1:$BX$1,0),FALSE)/1,0))</f>
        <v/>
      </c>
      <c r="AD77" s="121" t="str">
        <f>IF($D77="","",IFERROR(VLOOKUP($B77,Kraftvärmeprod!$B$1:$BX$549,MATCH(AD$2,Kraftvärmeprod!$B$1:$VX$1,0),FALSE)/1,0)-IFERROR(VLOOKUP($B77,'Slutlig allokering kvv'!$B$2:$BX$549,MATCH(AD$2,'Slutlig allokering kvv'!$B$1:$BX$1,0),FALSE)/1,0))</f>
        <v/>
      </c>
      <c r="AE77" s="121" t="str">
        <f>IF($D77="","",IFERROR(VLOOKUP($B77,Miljö!$B$1:$E$550,MATCH("Hjälpel kraftvärme (GWh)",Miljö!$B$1:$E$1,0),FALSE)/1,0)-IFERROR(VLOOKUP($B77,'Slutlig allokering kvv'!$B$2:$BX$549,MATCH(AE$2,'Slutlig allokering kvv'!$B$1:$BX$1,0),FALSE)/1,0))</f>
        <v/>
      </c>
      <c r="AI77" s="121">
        <f t="shared" si="4"/>
        <v>0</v>
      </c>
      <c r="AK77" s="121">
        <f>IFERROR(VLOOKUP($B77,'Slutlig allokering kvv'!$B$2:$AX$549,MATCH("Summa slutlig allokerad tillförd energi (utan hjälpel och rökgaskondensering):",'Slutlig allokering kvv'!$B$1:$AX$1,0),FALSE)/1,"")</f>
        <v>0</v>
      </c>
      <c r="AM77" s="172" t="str">
        <f>IFERROR(1-VLOOKUP($B77,'Slutlig allokering kvv'!$B$2:$AX$549,MATCH("Andel av bränsle i kvv som allokerats till värme, exklusive rökgaskondensering och hjälpel",'Slutlig allokering kvv'!$B$1:$AX$1,0),FALSE),"")</f>
        <v/>
      </c>
      <c r="AO77" s="172" t="str">
        <f t="shared" si="5"/>
        <v/>
      </c>
      <c r="AP77" s="173" t="str">
        <f t="shared" si="6"/>
        <v/>
      </c>
      <c r="AR77" s="172" t="str">
        <f t="shared" si="7"/>
        <v/>
      </c>
    </row>
    <row r="78" spans="1:44" x14ac:dyDescent="0.25">
      <c r="A78" s="171" t="str">
        <f>'Miljövärden för publ företag'!B80</f>
        <v>Falu Energi &amp; Vatten AB</v>
      </c>
      <c r="B78" s="171" t="str">
        <f>'Miljövärden för publ företag'!C80</f>
        <v>Bjursås</v>
      </c>
      <c r="C78" s="121" t="str">
        <f>IFERROR(VLOOKUP($B78,Kraftvärmeprod!$B$1:$AH$478,MATCH(C$2,Kraftvärmeprod!$B$1:$AG$1,0),FALSE)/1,"")</f>
        <v/>
      </c>
      <c r="D78" s="121" t="str">
        <f>IFERROR(VLOOKUP($B78,Kraftvärmeprod!$B$1:$AH$478,MATCH(D$2,Kraftvärmeprod!$B$1:$AG$1,0),FALSE)/1,"")</f>
        <v/>
      </c>
      <c r="F78" s="121" t="str">
        <f>IF($D78="","",IFERROR(VLOOKUP($B78,Kraftvärmeprod!$B$1:$BX$549,MATCH(F$2,Kraftvärmeprod!$B$1:$VX$1,0),FALSE)/1,0)-IFERROR(VLOOKUP($B78,'Slutlig allokering kvv'!$B$2:$BX$549,MATCH(F$2,'Slutlig allokering kvv'!$B$1:$BX$1,0),FALSE)/1,0))</f>
        <v/>
      </c>
      <c r="G78" s="121" t="str">
        <f>IF($D78="","",IFERROR(VLOOKUP($B78,Kraftvärmeprod!$B$1:$BX$549,MATCH(G$2,Kraftvärmeprod!$B$1:$VX$1,0),FALSE)/1,0)-IFERROR(VLOOKUP($B78,'Slutlig allokering kvv'!$B$2:$BX$549,MATCH(G$2,'Slutlig allokering kvv'!$B$1:$BX$1,0),FALSE)/1,0))</f>
        <v/>
      </c>
      <c r="H78" s="121" t="str">
        <f>IF($D78="","",IFERROR(VLOOKUP($B78,Kraftvärmeprod!$B$1:$BX$549,MATCH(H$2,Kraftvärmeprod!$B$1:$VX$1,0),FALSE)/1,0)-IFERROR(VLOOKUP($B78,'Slutlig allokering kvv'!$B$2:$BX$549,MATCH(H$2,'Slutlig allokering kvv'!$B$1:$BX$1,0),FALSE)/1,0))</f>
        <v/>
      </c>
      <c r="I78" s="121" t="str">
        <f>IF($D78="","",IFERROR(VLOOKUP($B78,Kraftvärmeprod!$B$1:$BX$549,MATCH(I$2,Kraftvärmeprod!$B$1:$VX$1,0),FALSE)/1,0)-IFERROR(VLOOKUP($B78,'Slutlig allokering kvv'!$B$2:$BX$549,MATCH(I$2,'Slutlig allokering kvv'!$B$1:$BX$1,0),FALSE)/1,0))</f>
        <v/>
      </c>
      <c r="J78" s="121" t="str">
        <f>IF($D78="","",IFERROR(VLOOKUP($B78,Kraftvärmeprod!$B$1:$BX$549,MATCH(J$2,Kraftvärmeprod!$B$1:$VX$1,0),FALSE)/1,0)-IFERROR(VLOOKUP($B78,'Slutlig allokering kvv'!$B$2:$BX$549,MATCH(J$2,'Slutlig allokering kvv'!$B$1:$BX$1,0),FALSE)/1,0))</f>
        <v/>
      </c>
      <c r="K78" s="121" t="str">
        <f>IF($D78="","",IFERROR(VLOOKUP($B78,Kraftvärmeprod!$B$1:$BX$549,MATCH(K$2,Kraftvärmeprod!$B$1:$VX$1,0),FALSE)/1,0)-IFERROR(VLOOKUP($B78,'Slutlig allokering kvv'!$B$2:$BX$549,MATCH(K$2,'Slutlig allokering kvv'!$B$1:$BX$1,0),FALSE)/1,0))</f>
        <v/>
      </c>
      <c r="L78" s="121" t="str">
        <f>IF($D78="","",IFERROR(VLOOKUP($B78,Kraftvärmeprod!$B$1:$BX$549,MATCH(L$2,Kraftvärmeprod!$B$1:$VX$1,0),FALSE)/1,0)-IFERROR(VLOOKUP($B78,'Slutlig allokering kvv'!$B$2:$BX$549,MATCH(L$2,'Slutlig allokering kvv'!$B$1:$BX$1,0),FALSE)/1,0))</f>
        <v/>
      </c>
      <c r="M78" s="121" t="str">
        <f>IF($D78="","",IFERROR(VLOOKUP($B78,Kraftvärmeprod!$B$1:$BX$549,MATCH(M$2,Kraftvärmeprod!$B$1:$VX$1,0),FALSE)/1,0)-IFERROR(VLOOKUP($B78,'Slutlig allokering kvv'!$B$2:$BX$549,MATCH(M$2,'Slutlig allokering kvv'!$B$1:$BX$1,0),FALSE)/1,0))</f>
        <v/>
      </c>
      <c r="N78" s="121" t="str">
        <f>IF($D78="","",IFERROR(VLOOKUP($B78,Kraftvärmeprod!$B$1:$BX$549,MATCH(N$2,Kraftvärmeprod!$B$1:$VX$1,0),FALSE)/1,0)-IFERROR(VLOOKUP($B78,'Slutlig allokering kvv'!$B$2:$BX$549,MATCH(N$2,'Slutlig allokering kvv'!$B$1:$BX$1,0),FALSE)/1,0))</f>
        <v/>
      </c>
      <c r="O78" s="121" t="str">
        <f>IF($D78="","",IFERROR(VLOOKUP($B78,Kraftvärmeprod!$B$1:$BX$549,MATCH(O$2,Kraftvärmeprod!$B$1:$VX$1,0),FALSE)/1,0)-IFERROR(VLOOKUP($B78,'Slutlig allokering kvv'!$B$2:$BX$549,MATCH(O$2,'Slutlig allokering kvv'!$B$1:$BX$1,0),FALSE)/1,0))</f>
        <v/>
      </c>
      <c r="P78" s="121" t="str">
        <f>IF($D78="","",IFERROR(VLOOKUP($B78,Kraftvärmeprod!$B$1:$BX$549,MATCH(P$2,Kraftvärmeprod!$B$1:$VX$1,0),FALSE)/1,0)-IFERROR(VLOOKUP($B78,'Slutlig allokering kvv'!$B$2:$BX$549,MATCH(P$2,'Slutlig allokering kvv'!$B$1:$BX$1,0),FALSE)/1,0))</f>
        <v/>
      </c>
      <c r="Q78" s="121" t="str">
        <f>IF($D78="","",IFERROR(VLOOKUP($B78,Kraftvärmeprod!$B$1:$BX$549,MATCH(Q$2,Kraftvärmeprod!$B$1:$VX$1,0),FALSE)/1,0)-IFERROR(VLOOKUP($B78,'Slutlig allokering kvv'!$B$2:$BX$549,MATCH(Q$2,'Slutlig allokering kvv'!$B$1:$BX$1,0),FALSE)/1,0))</f>
        <v/>
      </c>
      <c r="R78" s="121" t="str">
        <f>IF($D78="","",IFERROR(VLOOKUP($B78,Kraftvärmeprod!$B$1:$BX$549,MATCH(R$2,Kraftvärmeprod!$B$1:$VX$1,0),FALSE)/1,0)-IFERROR(VLOOKUP($B78,'Slutlig allokering kvv'!$B$2:$BX$549,MATCH(R$2,'Slutlig allokering kvv'!$B$1:$BX$1,0),FALSE)/1,0))</f>
        <v/>
      </c>
      <c r="S78" s="121" t="str">
        <f>IF($D78="","",IFERROR(VLOOKUP($B78,Kraftvärmeprod!$B$1:$BX$549,MATCH(S$2,Kraftvärmeprod!$B$1:$VX$1,0),FALSE)/1,0)-IFERROR(VLOOKUP($B78,'Slutlig allokering kvv'!$B$2:$BX$549,MATCH(S$2,'Slutlig allokering kvv'!$B$1:$BX$1,0),FALSE)/1,0))</f>
        <v/>
      </c>
      <c r="T78" s="121" t="str">
        <f>IF($D78="","",IFERROR(VLOOKUP($B78,Kraftvärmeprod!$B$1:$BX$549,MATCH(T$2,Kraftvärmeprod!$B$1:$VX$1,0),FALSE)/1,0)-IFERROR(VLOOKUP($B78,'Slutlig allokering kvv'!$B$2:$BX$549,MATCH(T$2,'Slutlig allokering kvv'!$B$1:$BX$1,0),FALSE)/1,0))</f>
        <v/>
      </c>
      <c r="U78" s="121" t="str">
        <f>IF($D78="","",IFERROR(VLOOKUP($B78,Kraftvärmeprod!$B$1:$BX$549,MATCH(U$2,Kraftvärmeprod!$B$1:$VX$1,0),FALSE)/1,0)-IFERROR(VLOOKUP($B78,'Slutlig allokering kvv'!$B$2:$BX$549,MATCH(U$2,'Slutlig allokering kvv'!$B$1:$BX$1,0),FALSE)/1,0))</f>
        <v/>
      </c>
      <c r="V78" s="121" t="str">
        <f>IF($D78="","",IFERROR(VLOOKUP($B78,Kraftvärmeprod!$B$1:$BX$549,MATCH(V$2,Kraftvärmeprod!$B$1:$VX$1,0),FALSE)/1,0)-IFERROR(VLOOKUP($B78,'Slutlig allokering kvv'!$B$2:$BX$549,MATCH(V$2,'Slutlig allokering kvv'!$B$1:$BX$1,0),FALSE)/1,0))</f>
        <v/>
      </c>
      <c r="W78" s="121" t="str">
        <f>IF($D78="","",IFERROR(VLOOKUP($B78,Kraftvärmeprod!$B$1:$BX$549,MATCH(W$2,Kraftvärmeprod!$B$1:$VX$1,0),FALSE)/1,0)-IFERROR(VLOOKUP($B78,'Slutlig allokering kvv'!$B$2:$BX$549,MATCH(W$2,'Slutlig allokering kvv'!$B$1:$BX$1,0),FALSE)/1,0))</f>
        <v/>
      </c>
      <c r="X78" s="121" t="str">
        <f>IF($D78="","",IFERROR(VLOOKUP($B78,Kraftvärmeprod!$B$1:$BX$549,MATCH(X$2,Kraftvärmeprod!$B$1:$VX$1,0),FALSE)/1,0)-IFERROR(VLOOKUP($B78,'Slutlig allokering kvv'!$B$2:$BX$549,MATCH(X$2,'Slutlig allokering kvv'!$B$1:$BX$1,0),FALSE)/1,0))</f>
        <v/>
      </c>
      <c r="Y78" s="121" t="str">
        <f>IF($D78="","",IFERROR(VLOOKUP($B78,Kraftvärmeprod!$B$1:$BX$549,MATCH(Y$2,Kraftvärmeprod!$B$1:$VX$1,0),FALSE)/1,0)-IFERROR(VLOOKUP($B78,'Slutlig allokering kvv'!$B$2:$BX$549,MATCH(Y$2,'Slutlig allokering kvv'!$B$1:$BX$1,0),FALSE)/1,0))</f>
        <v/>
      </c>
      <c r="Z78" s="121" t="str">
        <f>IF($D78="","",IFERROR(VLOOKUP($B78,Kraftvärmeprod!$B$1:$BX$549,MATCH(Z$2,Kraftvärmeprod!$B$1:$VX$1,0),FALSE)/1,0)-IFERROR(VLOOKUP($B78,'Slutlig allokering kvv'!$B$2:$BX$549,MATCH(Z$2,'Slutlig allokering kvv'!$B$1:$BX$1,0),FALSE)/1,0))</f>
        <v/>
      </c>
      <c r="AA78" s="121" t="str">
        <f>IF($D78="","",IFERROR(VLOOKUP($B78,Kraftvärmeprod!$B$1:$BX$549,MATCH(AA$2,Kraftvärmeprod!$B$1:$VX$1,0),FALSE)/1,0)-IFERROR(VLOOKUP($B78,'Slutlig allokering kvv'!$B$2:$BX$549,MATCH(AA$2,'Slutlig allokering kvv'!$B$1:$BX$1,0),FALSE)/1,0))</f>
        <v/>
      </c>
      <c r="AB78" s="121" t="str">
        <f>IF($D78="","",IFERROR(VLOOKUP($B78,Kraftvärmeprod!$B$1:$BX$549,MATCH(AB$2,Kraftvärmeprod!$B$1:$VX$1,0),FALSE)/1,0)-IFERROR(VLOOKUP($B78,'Slutlig allokering kvv'!$B$2:$BX$549,MATCH(AB$2,'Slutlig allokering kvv'!$B$1:$BX$1,0),FALSE)/1,0))</f>
        <v/>
      </c>
      <c r="AC78" s="121" t="str">
        <f>IF($D78="","",IFERROR(VLOOKUP($B78,Kraftvärmeprod!$B$1:$BX$549,MATCH(AC$2,Kraftvärmeprod!$B$1:$VX$1,0),FALSE)/1,0)-IFERROR(VLOOKUP($B78,'Slutlig allokering kvv'!$B$2:$BX$549,MATCH(AC$2,'Slutlig allokering kvv'!$B$1:$BX$1,0),FALSE)/1,0))</f>
        <v/>
      </c>
      <c r="AD78" s="121" t="str">
        <f>IF($D78="","",IFERROR(VLOOKUP($B78,Kraftvärmeprod!$B$1:$BX$549,MATCH(AD$2,Kraftvärmeprod!$B$1:$VX$1,0),FALSE)/1,0)-IFERROR(VLOOKUP($B78,'Slutlig allokering kvv'!$B$2:$BX$549,MATCH(AD$2,'Slutlig allokering kvv'!$B$1:$BX$1,0),FALSE)/1,0))</f>
        <v/>
      </c>
      <c r="AE78" s="121" t="str">
        <f>IF($D78="","",IFERROR(VLOOKUP($B78,Miljö!$B$1:$E$550,MATCH("Hjälpel kraftvärme (GWh)",Miljö!$B$1:$E$1,0),FALSE)/1,0)-IFERROR(VLOOKUP($B78,'Slutlig allokering kvv'!$B$2:$BX$549,MATCH(AE$2,'Slutlig allokering kvv'!$B$1:$BX$1,0),FALSE)/1,0))</f>
        <v/>
      </c>
      <c r="AI78" s="121">
        <f t="shared" si="4"/>
        <v>0</v>
      </c>
      <c r="AK78" s="121">
        <f>IFERROR(VLOOKUP($B78,'Slutlig allokering kvv'!$B$2:$AX$549,MATCH("Summa slutlig allokerad tillförd energi (utan hjälpel och rökgaskondensering):",'Slutlig allokering kvv'!$B$1:$AX$1,0),FALSE)/1,"")</f>
        <v>0</v>
      </c>
      <c r="AM78" s="172" t="str">
        <f>IFERROR(1-VLOOKUP($B78,'Slutlig allokering kvv'!$B$2:$AX$549,MATCH("Andel av bränsle i kvv som allokerats till värme, exklusive rökgaskondensering och hjälpel",'Slutlig allokering kvv'!$B$1:$AX$1,0),FALSE),"")</f>
        <v/>
      </c>
      <c r="AO78" s="172" t="str">
        <f t="shared" si="5"/>
        <v/>
      </c>
      <c r="AP78" s="173" t="str">
        <f t="shared" si="6"/>
        <v/>
      </c>
      <c r="AR78" s="172" t="str">
        <f t="shared" si="7"/>
        <v/>
      </c>
    </row>
    <row r="79" spans="1:44" x14ac:dyDescent="0.25">
      <c r="A79" s="171" t="str">
        <f>'Miljövärden för publ företag'!B81</f>
        <v>Falu Energi &amp; Vatten AB</v>
      </c>
      <c r="B79" s="171" t="str">
        <f>'Miljövärden för publ företag'!C81</f>
        <v>Falun</v>
      </c>
      <c r="C79" s="121">
        <f>IFERROR(VLOOKUP($B79,Kraftvärmeprod!$B$1:$AH$478,MATCH(C$2,Kraftvärmeprod!$B$1:$AG$1,0),FALSE)/1,"")</f>
        <v>255.6</v>
      </c>
      <c r="D79" s="121">
        <f>IFERROR(VLOOKUP($B79,Kraftvärmeprod!$B$1:$AH$478,MATCH(D$2,Kraftvärmeprod!$B$1:$AG$1,0),FALSE)/1,"")</f>
        <v>71.900000000000006</v>
      </c>
      <c r="F79" s="121">
        <f>IF($D79="","",IFERROR(VLOOKUP($B79,Kraftvärmeprod!$B$1:$BX$549,MATCH(F$2,Kraftvärmeprod!$B$1:$VX$1,0),FALSE)/1,0)-IFERROR(VLOOKUP($B79,'Slutlig allokering kvv'!$B$2:$BX$549,MATCH(F$2,'Slutlig allokering kvv'!$B$1:$BX$1,0),FALSE)/1,0))</f>
        <v>0</v>
      </c>
      <c r="G79" s="121">
        <f>IF($D79="","",IFERROR(VLOOKUP($B79,Kraftvärmeprod!$B$1:$BX$549,MATCH(G$2,Kraftvärmeprod!$B$1:$VX$1,0),FALSE)/1,0)-IFERROR(VLOOKUP($B79,'Slutlig allokering kvv'!$B$2:$BX$549,MATCH(G$2,'Slutlig allokering kvv'!$B$1:$BX$1,0),FALSE)/1,0))</f>
        <v>0</v>
      </c>
      <c r="H79" s="121">
        <f>IF($D79="","",IFERROR(VLOOKUP($B79,Kraftvärmeprod!$B$1:$BX$549,MATCH(H$2,Kraftvärmeprod!$B$1:$VX$1,0),FALSE)/1,0)-IFERROR(VLOOKUP($B79,'Slutlig allokering kvv'!$B$2:$BX$549,MATCH(H$2,'Slutlig allokering kvv'!$B$1:$BX$1,0),FALSE)/1,0))</f>
        <v>0</v>
      </c>
      <c r="I79" s="121">
        <f>IF($D79="","",IFERROR(VLOOKUP($B79,Kraftvärmeprod!$B$1:$BX$549,MATCH(I$2,Kraftvärmeprod!$B$1:$VX$1,0),FALSE)/1,0)-IFERROR(VLOOKUP($B79,'Slutlig allokering kvv'!$B$2:$BX$549,MATCH(I$2,'Slutlig allokering kvv'!$B$1:$BX$1,0),FALSE)/1,0))</f>
        <v>0</v>
      </c>
      <c r="J79" s="121">
        <f>IF($D79="","",IFERROR(VLOOKUP($B79,Kraftvärmeprod!$B$1:$BX$549,MATCH(J$2,Kraftvärmeprod!$B$1:$VX$1,0),FALSE)/1,0)-IFERROR(VLOOKUP($B79,'Slutlig allokering kvv'!$B$2:$BX$549,MATCH(J$2,'Slutlig allokering kvv'!$B$1:$BX$1,0),FALSE)/1,0))</f>
        <v>0</v>
      </c>
      <c r="K79" s="121">
        <f>IF($D79="","",IFERROR(VLOOKUP($B79,Kraftvärmeprod!$B$1:$BX$549,MATCH(K$2,Kraftvärmeprod!$B$1:$VX$1,0),FALSE)/1,0)-IFERROR(VLOOKUP($B79,'Slutlig allokering kvv'!$B$2:$BX$549,MATCH(K$2,'Slutlig allokering kvv'!$B$1:$BX$1,0),FALSE)/1,0))</f>
        <v>0</v>
      </c>
      <c r="L79" s="121">
        <f>IF($D79="","",IFERROR(VLOOKUP($B79,Kraftvärmeprod!$B$1:$BX$549,MATCH(L$2,Kraftvärmeprod!$B$1:$VX$1,0),FALSE)/1,0)-IFERROR(VLOOKUP($B79,'Slutlig allokering kvv'!$B$2:$BX$549,MATCH(L$2,'Slutlig allokering kvv'!$B$1:$BX$1,0),FALSE)/1,0))</f>
        <v>24.787399999999998</v>
      </c>
      <c r="M79" s="121">
        <f>IF($D79="","",IFERROR(VLOOKUP($B79,Kraftvärmeprod!$B$1:$BX$549,MATCH(M$2,Kraftvärmeprod!$B$1:$VX$1,0),FALSE)/1,0)-IFERROR(VLOOKUP($B79,'Slutlig allokering kvv'!$B$2:$BX$549,MATCH(M$2,'Slutlig allokering kvv'!$B$1:$BX$1,0),FALSE)/1,0))</f>
        <v>61.207099999999983</v>
      </c>
      <c r="N79" s="121">
        <f>IF($D79="","",IFERROR(VLOOKUP($B79,Kraftvärmeprod!$B$1:$BX$549,MATCH(N$2,Kraftvärmeprod!$B$1:$VX$1,0),FALSE)/1,0)-IFERROR(VLOOKUP($B79,'Slutlig allokering kvv'!$B$2:$BX$549,MATCH(N$2,'Slutlig allokering kvv'!$B$1:$BX$1,0),FALSE)/1,0))</f>
        <v>22.207100000000001</v>
      </c>
      <c r="O79" s="121">
        <f>IF($D79="","",IFERROR(VLOOKUP($B79,Kraftvärmeprod!$B$1:$BX$549,MATCH(O$2,Kraftvärmeprod!$B$1:$VX$1,0),FALSE)/1,0)-IFERROR(VLOOKUP($B79,'Slutlig allokering kvv'!$B$2:$BX$549,MATCH(O$2,'Slutlig allokering kvv'!$B$1:$BX$1,0),FALSE)/1,0))</f>
        <v>1.69197</v>
      </c>
      <c r="P79" s="121">
        <f>IF($D79="","",IFERROR(VLOOKUP($B79,Kraftvärmeprod!$B$1:$BX$549,MATCH(P$2,Kraftvärmeprod!$B$1:$VX$1,0),FALSE)/1,0)-IFERROR(VLOOKUP($B79,'Slutlig allokering kvv'!$B$2:$BX$549,MATCH(P$2,'Slutlig allokering kvv'!$B$1:$BX$1,0),FALSE)/1,0))</f>
        <v>0</v>
      </c>
      <c r="Q79" s="121">
        <f>IF($D79="","",IFERROR(VLOOKUP($B79,Kraftvärmeprod!$B$1:$BX$549,MATCH(Q$2,Kraftvärmeprod!$B$1:$VX$1,0),FALSE)/1,0)-IFERROR(VLOOKUP($B79,'Slutlig allokering kvv'!$B$2:$BX$549,MATCH(Q$2,'Slutlig allokering kvv'!$B$1:$BX$1,0),FALSE)/1,0))</f>
        <v>15.312400000000004</v>
      </c>
      <c r="R79" s="121">
        <f>IF($D79="","",IFERROR(VLOOKUP($B79,Kraftvärmeprod!$B$1:$BX$549,MATCH(R$2,Kraftvärmeprod!$B$1:$VX$1,0),FALSE)/1,0)-IFERROR(VLOOKUP($B79,'Slutlig allokering kvv'!$B$2:$BX$549,MATCH(R$2,'Slutlig allokering kvv'!$B$1:$BX$1,0),FALSE)/1,0))</f>
        <v>0</v>
      </c>
      <c r="S79" s="121">
        <f>IF($D79="","",IFERROR(VLOOKUP($B79,Kraftvärmeprod!$B$1:$BX$549,MATCH(S$2,Kraftvärmeprod!$B$1:$VX$1,0),FALSE)/1,0)-IFERROR(VLOOKUP($B79,'Slutlig allokering kvv'!$B$2:$BX$549,MATCH(S$2,'Slutlig allokering kvv'!$B$1:$BX$1,0),FALSE)/1,0))</f>
        <v>0</v>
      </c>
      <c r="T79" s="121">
        <f>IF($D79="","",IFERROR(VLOOKUP($B79,Kraftvärmeprod!$B$1:$BX$549,MATCH(T$2,Kraftvärmeprod!$B$1:$VX$1,0),FALSE)/1,0)-IFERROR(VLOOKUP($B79,'Slutlig allokering kvv'!$B$2:$BX$549,MATCH(T$2,'Slutlig allokering kvv'!$B$1:$BX$1,0),FALSE)/1,0))</f>
        <v>0</v>
      </c>
      <c r="U79" s="121">
        <f>IF($D79="","",IFERROR(VLOOKUP($B79,Kraftvärmeprod!$B$1:$BX$549,MATCH(U$2,Kraftvärmeprod!$B$1:$VX$1,0),FALSE)/1,0)-IFERROR(VLOOKUP($B79,'Slutlig allokering kvv'!$B$2:$BX$549,MATCH(U$2,'Slutlig allokering kvv'!$B$1:$BX$1,0),FALSE)/1,0))</f>
        <v>0</v>
      </c>
      <c r="V79" s="121">
        <f>IF($D79="","",IFERROR(VLOOKUP($B79,Kraftvärmeprod!$B$1:$BX$549,MATCH(V$2,Kraftvärmeprod!$B$1:$VX$1,0),FALSE)/1,0)-IFERROR(VLOOKUP($B79,'Slutlig allokering kvv'!$B$2:$BX$549,MATCH(V$2,'Slutlig allokering kvv'!$B$1:$BX$1,0),FALSE)/1,0))</f>
        <v>31.809100000000001</v>
      </c>
      <c r="W79" s="121">
        <f>IF($D79="","",IFERROR(VLOOKUP($B79,Kraftvärmeprod!$B$1:$BX$549,MATCH(W$2,Kraftvärmeprod!$B$1:$VX$1,0),FALSE)/1,0)-IFERROR(VLOOKUP($B79,'Slutlig allokering kvv'!$B$2:$BX$549,MATCH(W$2,'Slutlig allokering kvv'!$B$1:$BX$1,0),FALSE)/1,0))</f>
        <v>0</v>
      </c>
      <c r="X79" s="121">
        <f>IF($D79="","",IFERROR(VLOOKUP($B79,Kraftvärmeprod!$B$1:$BX$549,MATCH(X$2,Kraftvärmeprod!$B$1:$VX$1,0),FALSE)/1,0)-IFERROR(VLOOKUP($B79,'Slutlig allokering kvv'!$B$2:$BX$549,MATCH(X$2,'Slutlig allokering kvv'!$B$1:$BX$1,0),FALSE)/1,0))</f>
        <v>0</v>
      </c>
      <c r="Y79" s="121">
        <f>IF($D79="","",IFERROR(VLOOKUP($B79,Kraftvärmeprod!$B$1:$BX$549,MATCH(Y$2,Kraftvärmeprod!$B$1:$VX$1,0),FALSE)/1,0)-IFERROR(VLOOKUP($B79,'Slutlig allokering kvv'!$B$2:$BX$549,MATCH(Y$2,'Slutlig allokering kvv'!$B$1:$BX$1,0),FALSE)/1,0))</f>
        <v>0</v>
      </c>
      <c r="Z79" s="121">
        <f>IF($D79="","",IFERROR(VLOOKUP($B79,Kraftvärmeprod!$B$1:$BX$549,MATCH(Z$2,Kraftvärmeprod!$B$1:$VX$1,0),FALSE)/1,0)-IFERROR(VLOOKUP($B79,'Slutlig allokering kvv'!$B$2:$BX$549,MATCH(Z$2,'Slutlig allokering kvv'!$B$1:$BX$1,0),FALSE)/1,0))</f>
        <v>0</v>
      </c>
      <c r="AA79" s="121">
        <f>IF($D79="","",IFERROR(VLOOKUP($B79,Kraftvärmeprod!$B$1:$BX$549,MATCH(AA$2,Kraftvärmeprod!$B$1:$VX$1,0),FALSE)/1,0)-IFERROR(VLOOKUP($B79,'Slutlig allokering kvv'!$B$2:$BX$549,MATCH(AA$2,'Slutlig allokering kvv'!$B$1:$BX$1,0),FALSE)/1,0))</f>
        <v>0</v>
      </c>
      <c r="AB79" s="121">
        <f>IF($D79="","",IFERROR(VLOOKUP($B79,Kraftvärmeprod!$B$1:$BX$549,MATCH(AB$2,Kraftvärmeprod!$B$1:$VX$1,0),FALSE)/1,0)-IFERROR(VLOOKUP($B79,'Slutlig allokering kvv'!$B$2:$BX$549,MATCH(AB$2,'Slutlig allokering kvv'!$B$1:$BX$1,0),FALSE)/1,0))</f>
        <v>0</v>
      </c>
      <c r="AC79" s="121">
        <f>IF($D79="","",IFERROR(VLOOKUP($B79,Kraftvärmeprod!$B$1:$BX$549,MATCH(AC$2,Kraftvärmeprod!$B$1:$VX$1,0),FALSE)/1,0)-IFERROR(VLOOKUP($B79,'Slutlig allokering kvv'!$B$2:$BX$549,MATCH(AC$2,'Slutlig allokering kvv'!$B$1:$BX$1,0),FALSE)/1,0))</f>
        <v>0</v>
      </c>
      <c r="AD79" s="121">
        <f>IF($D79="","",IFERROR(VLOOKUP($B79,Kraftvärmeprod!$B$1:$BX$549,MATCH(AD$2,Kraftvärmeprod!$B$1:$VX$1,0),FALSE)/1,0)-IFERROR(VLOOKUP($B79,'Slutlig allokering kvv'!$B$2:$BX$549,MATCH(AD$2,'Slutlig allokering kvv'!$B$1:$BX$1,0),FALSE)/1,0))</f>
        <v>0</v>
      </c>
      <c r="AE79" s="121">
        <f>IF($D79="","",IFERROR(VLOOKUP($B79,Miljö!$B$1:$E$550,MATCH("Hjälpel kraftvärme (GWh)",Miljö!$B$1:$E$1,0),FALSE)/1,0)-IFERROR(VLOOKUP($B79,'Slutlig allokering kvv'!$B$2:$BX$549,MATCH(AE$2,'Slutlig allokering kvv'!$B$1:$BX$1,0),FALSE)/1,0))</f>
        <v>6.4414300000000004</v>
      </c>
      <c r="AI79" s="121">
        <f t="shared" si="4"/>
        <v>157.01506999999998</v>
      </c>
      <c r="AK79" s="121">
        <f>IFERROR(VLOOKUP($B79,'Slutlig allokering kvv'!$B$2:$AX$549,MATCH("Summa slutlig allokerad tillförd energi (utan hjälpel och rökgaskondensering):",'Slutlig allokering kvv'!$B$1:$AX$1,0),FALSE)/1,"")</f>
        <v>215.93493000000001</v>
      </c>
      <c r="AM79" s="172">
        <f>IFERROR(1-VLOOKUP($B79,'Slutlig allokering kvv'!$B$2:$AX$549,MATCH("Andel av bränsle i kvv som allokerats till värme, exklusive rökgaskondensering och hjälpel",'Slutlig allokering kvv'!$B$1:$AX$1,0),FALSE),"")</f>
        <v>0.42100836573267186</v>
      </c>
      <c r="AO79" s="172">
        <f t="shared" si="5"/>
        <v>0.42100836573267192</v>
      </c>
      <c r="AP79" s="173">
        <f t="shared" si="6"/>
        <v>-5.5511151231257827E-17</v>
      </c>
      <c r="AR79" s="172">
        <f t="shared" si="7"/>
        <v>0.43987238194871425</v>
      </c>
    </row>
    <row r="80" spans="1:44" x14ac:dyDescent="0.25">
      <c r="A80" s="171" t="str">
        <f>'Miljövärden för publ företag'!B82</f>
        <v>Falu Energi &amp; Vatten AB</v>
      </c>
      <c r="B80" s="171" t="str">
        <f>'Miljövärden för publ företag'!C82</f>
        <v>Grycksbo</v>
      </c>
      <c r="C80" s="121" t="str">
        <f>IFERROR(VLOOKUP($B80,Kraftvärmeprod!$B$1:$AH$478,MATCH(C$2,Kraftvärmeprod!$B$1:$AG$1,0),FALSE)/1,"")</f>
        <v/>
      </c>
      <c r="D80" s="121" t="str">
        <f>IFERROR(VLOOKUP($B80,Kraftvärmeprod!$B$1:$AH$478,MATCH(D$2,Kraftvärmeprod!$B$1:$AG$1,0),FALSE)/1,"")</f>
        <v/>
      </c>
      <c r="F80" s="121" t="str">
        <f>IF($D80="","",IFERROR(VLOOKUP($B80,Kraftvärmeprod!$B$1:$BX$549,MATCH(F$2,Kraftvärmeprod!$B$1:$VX$1,0),FALSE)/1,0)-IFERROR(VLOOKUP($B80,'Slutlig allokering kvv'!$B$2:$BX$549,MATCH(F$2,'Slutlig allokering kvv'!$B$1:$BX$1,0),FALSE)/1,0))</f>
        <v/>
      </c>
      <c r="G80" s="121" t="str">
        <f>IF($D80="","",IFERROR(VLOOKUP($B80,Kraftvärmeprod!$B$1:$BX$549,MATCH(G$2,Kraftvärmeprod!$B$1:$VX$1,0),FALSE)/1,0)-IFERROR(VLOOKUP($B80,'Slutlig allokering kvv'!$B$2:$BX$549,MATCH(G$2,'Slutlig allokering kvv'!$B$1:$BX$1,0),FALSE)/1,0))</f>
        <v/>
      </c>
      <c r="H80" s="121" t="str">
        <f>IF($D80="","",IFERROR(VLOOKUP($B80,Kraftvärmeprod!$B$1:$BX$549,MATCH(H$2,Kraftvärmeprod!$B$1:$VX$1,0),FALSE)/1,0)-IFERROR(VLOOKUP($B80,'Slutlig allokering kvv'!$B$2:$BX$549,MATCH(H$2,'Slutlig allokering kvv'!$B$1:$BX$1,0),FALSE)/1,0))</f>
        <v/>
      </c>
      <c r="I80" s="121" t="str">
        <f>IF($D80="","",IFERROR(VLOOKUP($B80,Kraftvärmeprod!$B$1:$BX$549,MATCH(I$2,Kraftvärmeprod!$B$1:$VX$1,0),FALSE)/1,0)-IFERROR(VLOOKUP($B80,'Slutlig allokering kvv'!$B$2:$BX$549,MATCH(I$2,'Slutlig allokering kvv'!$B$1:$BX$1,0),FALSE)/1,0))</f>
        <v/>
      </c>
      <c r="J80" s="121" t="str">
        <f>IF($D80="","",IFERROR(VLOOKUP($B80,Kraftvärmeprod!$B$1:$BX$549,MATCH(J$2,Kraftvärmeprod!$B$1:$VX$1,0),FALSE)/1,0)-IFERROR(VLOOKUP($B80,'Slutlig allokering kvv'!$B$2:$BX$549,MATCH(J$2,'Slutlig allokering kvv'!$B$1:$BX$1,0),FALSE)/1,0))</f>
        <v/>
      </c>
      <c r="K80" s="121" t="str">
        <f>IF($D80="","",IFERROR(VLOOKUP($B80,Kraftvärmeprod!$B$1:$BX$549,MATCH(K$2,Kraftvärmeprod!$B$1:$VX$1,0),FALSE)/1,0)-IFERROR(VLOOKUP($B80,'Slutlig allokering kvv'!$B$2:$BX$549,MATCH(K$2,'Slutlig allokering kvv'!$B$1:$BX$1,0),FALSE)/1,0))</f>
        <v/>
      </c>
      <c r="L80" s="121" t="str">
        <f>IF($D80="","",IFERROR(VLOOKUP($B80,Kraftvärmeprod!$B$1:$BX$549,MATCH(L$2,Kraftvärmeprod!$B$1:$VX$1,0),FALSE)/1,0)-IFERROR(VLOOKUP($B80,'Slutlig allokering kvv'!$B$2:$BX$549,MATCH(L$2,'Slutlig allokering kvv'!$B$1:$BX$1,0),FALSE)/1,0))</f>
        <v/>
      </c>
      <c r="M80" s="121" t="str">
        <f>IF($D80="","",IFERROR(VLOOKUP($B80,Kraftvärmeprod!$B$1:$BX$549,MATCH(M$2,Kraftvärmeprod!$B$1:$VX$1,0),FALSE)/1,0)-IFERROR(VLOOKUP($B80,'Slutlig allokering kvv'!$B$2:$BX$549,MATCH(M$2,'Slutlig allokering kvv'!$B$1:$BX$1,0),FALSE)/1,0))</f>
        <v/>
      </c>
      <c r="N80" s="121" t="str">
        <f>IF($D80="","",IFERROR(VLOOKUP($B80,Kraftvärmeprod!$B$1:$BX$549,MATCH(N$2,Kraftvärmeprod!$B$1:$VX$1,0),FALSE)/1,0)-IFERROR(VLOOKUP($B80,'Slutlig allokering kvv'!$B$2:$BX$549,MATCH(N$2,'Slutlig allokering kvv'!$B$1:$BX$1,0),FALSE)/1,0))</f>
        <v/>
      </c>
      <c r="O80" s="121" t="str">
        <f>IF($D80="","",IFERROR(VLOOKUP($B80,Kraftvärmeprod!$B$1:$BX$549,MATCH(O$2,Kraftvärmeprod!$B$1:$VX$1,0),FALSE)/1,0)-IFERROR(VLOOKUP($B80,'Slutlig allokering kvv'!$B$2:$BX$549,MATCH(O$2,'Slutlig allokering kvv'!$B$1:$BX$1,0),FALSE)/1,0))</f>
        <v/>
      </c>
      <c r="P80" s="121" t="str">
        <f>IF($D80="","",IFERROR(VLOOKUP($B80,Kraftvärmeprod!$B$1:$BX$549,MATCH(P$2,Kraftvärmeprod!$B$1:$VX$1,0),FALSE)/1,0)-IFERROR(VLOOKUP($B80,'Slutlig allokering kvv'!$B$2:$BX$549,MATCH(P$2,'Slutlig allokering kvv'!$B$1:$BX$1,0),FALSE)/1,0))</f>
        <v/>
      </c>
      <c r="Q80" s="121" t="str">
        <f>IF($D80="","",IFERROR(VLOOKUP($B80,Kraftvärmeprod!$B$1:$BX$549,MATCH(Q$2,Kraftvärmeprod!$B$1:$VX$1,0),FALSE)/1,0)-IFERROR(VLOOKUP($B80,'Slutlig allokering kvv'!$B$2:$BX$549,MATCH(Q$2,'Slutlig allokering kvv'!$B$1:$BX$1,0),FALSE)/1,0))</f>
        <v/>
      </c>
      <c r="R80" s="121" t="str">
        <f>IF($D80="","",IFERROR(VLOOKUP($B80,Kraftvärmeprod!$B$1:$BX$549,MATCH(R$2,Kraftvärmeprod!$B$1:$VX$1,0),FALSE)/1,0)-IFERROR(VLOOKUP($B80,'Slutlig allokering kvv'!$B$2:$BX$549,MATCH(R$2,'Slutlig allokering kvv'!$B$1:$BX$1,0),FALSE)/1,0))</f>
        <v/>
      </c>
      <c r="S80" s="121" t="str">
        <f>IF($D80="","",IFERROR(VLOOKUP($B80,Kraftvärmeprod!$B$1:$BX$549,MATCH(S$2,Kraftvärmeprod!$B$1:$VX$1,0),FALSE)/1,0)-IFERROR(VLOOKUP($B80,'Slutlig allokering kvv'!$B$2:$BX$549,MATCH(S$2,'Slutlig allokering kvv'!$B$1:$BX$1,0),FALSE)/1,0))</f>
        <v/>
      </c>
      <c r="T80" s="121" t="str">
        <f>IF($D80="","",IFERROR(VLOOKUP($B80,Kraftvärmeprod!$B$1:$BX$549,MATCH(T$2,Kraftvärmeprod!$B$1:$VX$1,0),FALSE)/1,0)-IFERROR(VLOOKUP($B80,'Slutlig allokering kvv'!$B$2:$BX$549,MATCH(T$2,'Slutlig allokering kvv'!$B$1:$BX$1,0),FALSE)/1,0))</f>
        <v/>
      </c>
      <c r="U80" s="121" t="str">
        <f>IF($D80="","",IFERROR(VLOOKUP($B80,Kraftvärmeprod!$B$1:$BX$549,MATCH(U$2,Kraftvärmeprod!$B$1:$VX$1,0),FALSE)/1,0)-IFERROR(VLOOKUP($B80,'Slutlig allokering kvv'!$B$2:$BX$549,MATCH(U$2,'Slutlig allokering kvv'!$B$1:$BX$1,0),FALSE)/1,0))</f>
        <v/>
      </c>
      <c r="V80" s="121" t="str">
        <f>IF($D80="","",IFERROR(VLOOKUP($B80,Kraftvärmeprod!$B$1:$BX$549,MATCH(V$2,Kraftvärmeprod!$B$1:$VX$1,0),FALSE)/1,0)-IFERROR(VLOOKUP($B80,'Slutlig allokering kvv'!$B$2:$BX$549,MATCH(V$2,'Slutlig allokering kvv'!$B$1:$BX$1,0),FALSE)/1,0))</f>
        <v/>
      </c>
      <c r="W80" s="121" t="str">
        <f>IF($D80="","",IFERROR(VLOOKUP($B80,Kraftvärmeprod!$B$1:$BX$549,MATCH(W$2,Kraftvärmeprod!$B$1:$VX$1,0),FALSE)/1,0)-IFERROR(VLOOKUP($B80,'Slutlig allokering kvv'!$B$2:$BX$549,MATCH(W$2,'Slutlig allokering kvv'!$B$1:$BX$1,0),FALSE)/1,0))</f>
        <v/>
      </c>
      <c r="X80" s="121" t="str">
        <f>IF($D80="","",IFERROR(VLOOKUP($B80,Kraftvärmeprod!$B$1:$BX$549,MATCH(X$2,Kraftvärmeprod!$B$1:$VX$1,0),FALSE)/1,0)-IFERROR(VLOOKUP($B80,'Slutlig allokering kvv'!$B$2:$BX$549,MATCH(X$2,'Slutlig allokering kvv'!$B$1:$BX$1,0),FALSE)/1,0))</f>
        <v/>
      </c>
      <c r="Y80" s="121" t="str">
        <f>IF($D80="","",IFERROR(VLOOKUP($B80,Kraftvärmeprod!$B$1:$BX$549,MATCH(Y$2,Kraftvärmeprod!$B$1:$VX$1,0),FALSE)/1,0)-IFERROR(VLOOKUP($B80,'Slutlig allokering kvv'!$B$2:$BX$549,MATCH(Y$2,'Slutlig allokering kvv'!$B$1:$BX$1,0),FALSE)/1,0))</f>
        <v/>
      </c>
      <c r="Z80" s="121" t="str">
        <f>IF($D80="","",IFERROR(VLOOKUP($B80,Kraftvärmeprod!$B$1:$BX$549,MATCH(Z$2,Kraftvärmeprod!$B$1:$VX$1,0),FALSE)/1,0)-IFERROR(VLOOKUP($B80,'Slutlig allokering kvv'!$B$2:$BX$549,MATCH(Z$2,'Slutlig allokering kvv'!$B$1:$BX$1,0),FALSE)/1,0))</f>
        <v/>
      </c>
      <c r="AA80" s="121" t="str">
        <f>IF($D80="","",IFERROR(VLOOKUP($B80,Kraftvärmeprod!$B$1:$BX$549,MATCH(AA$2,Kraftvärmeprod!$B$1:$VX$1,0),FALSE)/1,0)-IFERROR(VLOOKUP($B80,'Slutlig allokering kvv'!$B$2:$BX$549,MATCH(AA$2,'Slutlig allokering kvv'!$B$1:$BX$1,0),FALSE)/1,0))</f>
        <v/>
      </c>
      <c r="AB80" s="121" t="str">
        <f>IF($D80="","",IFERROR(VLOOKUP($B80,Kraftvärmeprod!$B$1:$BX$549,MATCH(AB$2,Kraftvärmeprod!$B$1:$VX$1,0),FALSE)/1,0)-IFERROR(VLOOKUP($B80,'Slutlig allokering kvv'!$B$2:$BX$549,MATCH(AB$2,'Slutlig allokering kvv'!$B$1:$BX$1,0),FALSE)/1,0))</f>
        <v/>
      </c>
      <c r="AC80" s="121" t="str">
        <f>IF($D80="","",IFERROR(VLOOKUP($B80,Kraftvärmeprod!$B$1:$BX$549,MATCH(AC$2,Kraftvärmeprod!$B$1:$VX$1,0),FALSE)/1,0)-IFERROR(VLOOKUP($B80,'Slutlig allokering kvv'!$B$2:$BX$549,MATCH(AC$2,'Slutlig allokering kvv'!$B$1:$BX$1,0),FALSE)/1,0))</f>
        <v/>
      </c>
      <c r="AD80" s="121" t="str">
        <f>IF($D80="","",IFERROR(VLOOKUP($B80,Kraftvärmeprod!$B$1:$BX$549,MATCH(AD$2,Kraftvärmeprod!$B$1:$VX$1,0),FALSE)/1,0)-IFERROR(VLOOKUP($B80,'Slutlig allokering kvv'!$B$2:$BX$549,MATCH(AD$2,'Slutlig allokering kvv'!$B$1:$BX$1,0),FALSE)/1,0))</f>
        <v/>
      </c>
      <c r="AE80" s="121" t="str">
        <f>IF($D80="","",IFERROR(VLOOKUP($B80,Miljö!$B$1:$E$550,MATCH("Hjälpel kraftvärme (GWh)",Miljö!$B$1:$E$1,0),FALSE)/1,0)-IFERROR(VLOOKUP($B80,'Slutlig allokering kvv'!$B$2:$BX$549,MATCH(AE$2,'Slutlig allokering kvv'!$B$1:$BX$1,0),FALSE)/1,0))</f>
        <v/>
      </c>
      <c r="AI80" s="121">
        <f t="shared" si="4"/>
        <v>0</v>
      </c>
      <c r="AK80" s="121">
        <f>IFERROR(VLOOKUP($B80,'Slutlig allokering kvv'!$B$2:$AX$549,MATCH("Summa slutlig allokerad tillförd energi (utan hjälpel och rökgaskondensering):",'Slutlig allokering kvv'!$B$1:$AX$1,0),FALSE)/1,"")</f>
        <v>0</v>
      </c>
      <c r="AM80" s="172" t="str">
        <f>IFERROR(1-VLOOKUP($B80,'Slutlig allokering kvv'!$B$2:$AX$549,MATCH("Andel av bränsle i kvv som allokerats till värme, exklusive rökgaskondensering och hjälpel",'Slutlig allokering kvv'!$B$1:$AX$1,0),FALSE),"")</f>
        <v/>
      </c>
      <c r="AO80" s="172" t="str">
        <f t="shared" si="5"/>
        <v/>
      </c>
      <c r="AP80" s="173" t="str">
        <f t="shared" si="6"/>
        <v/>
      </c>
      <c r="AR80" s="172" t="str">
        <f t="shared" si="7"/>
        <v/>
      </c>
    </row>
    <row r="81" spans="1:44" x14ac:dyDescent="0.25">
      <c r="A81" s="171" t="str">
        <f>'Miljövärden för publ företag'!B83</f>
        <v>Falu Energi &amp; Vatten AB</v>
      </c>
      <c r="B81" s="171" t="str">
        <f>'Miljövärden för publ företag'!C83</f>
        <v>Svärdsjö</v>
      </c>
      <c r="C81" s="121" t="str">
        <f>IFERROR(VLOOKUP($B81,Kraftvärmeprod!$B$1:$AH$478,MATCH(C$2,Kraftvärmeprod!$B$1:$AG$1,0),FALSE)/1,"")</f>
        <v/>
      </c>
      <c r="D81" s="121" t="str">
        <f>IFERROR(VLOOKUP($B81,Kraftvärmeprod!$B$1:$AH$478,MATCH(D$2,Kraftvärmeprod!$B$1:$AG$1,0),FALSE)/1,"")</f>
        <v/>
      </c>
      <c r="F81" s="121" t="str">
        <f>IF($D81="","",IFERROR(VLOOKUP($B81,Kraftvärmeprod!$B$1:$BX$549,MATCH(F$2,Kraftvärmeprod!$B$1:$VX$1,0),FALSE)/1,0)-IFERROR(VLOOKUP($B81,'Slutlig allokering kvv'!$B$2:$BX$549,MATCH(F$2,'Slutlig allokering kvv'!$B$1:$BX$1,0),FALSE)/1,0))</f>
        <v/>
      </c>
      <c r="G81" s="121" t="str">
        <f>IF($D81="","",IFERROR(VLOOKUP($B81,Kraftvärmeprod!$B$1:$BX$549,MATCH(G$2,Kraftvärmeprod!$B$1:$VX$1,0),FALSE)/1,0)-IFERROR(VLOOKUP($B81,'Slutlig allokering kvv'!$B$2:$BX$549,MATCH(G$2,'Slutlig allokering kvv'!$B$1:$BX$1,0),FALSE)/1,0))</f>
        <v/>
      </c>
      <c r="H81" s="121" t="str">
        <f>IF($D81="","",IFERROR(VLOOKUP($B81,Kraftvärmeprod!$B$1:$BX$549,MATCH(H$2,Kraftvärmeprod!$B$1:$VX$1,0),FALSE)/1,0)-IFERROR(VLOOKUP($B81,'Slutlig allokering kvv'!$B$2:$BX$549,MATCH(H$2,'Slutlig allokering kvv'!$B$1:$BX$1,0),FALSE)/1,0))</f>
        <v/>
      </c>
      <c r="I81" s="121" t="str">
        <f>IF($D81="","",IFERROR(VLOOKUP($B81,Kraftvärmeprod!$B$1:$BX$549,MATCH(I$2,Kraftvärmeprod!$B$1:$VX$1,0),FALSE)/1,0)-IFERROR(VLOOKUP($B81,'Slutlig allokering kvv'!$B$2:$BX$549,MATCH(I$2,'Slutlig allokering kvv'!$B$1:$BX$1,0),FALSE)/1,0))</f>
        <v/>
      </c>
      <c r="J81" s="121" t="str">
        <f>IF($D81="","",IFERROR(VLOOKUP($B81,Kraftvärmeprod!$B$1:$BX$549,MATCH(J$2,Kraftvärmeprod!$B$1:$VX$1,0),FALSE)/1,0)-IFERROR(VLOOKUP($B81,'Slutlig allokering kvv'!$B$2:$BX$549,MATCH(J$2,'Slutlig allokering kvv'!$B$1:$BX$1,0),FALSE)/1,0))</f>
        <v/>
      </c>
      <c r="K81" s="121" t="str">
        <f>IF($D81="","",IFERROR(VLOOKUP($B81,Kraftvärmeprod!$B$1:$BX$549,MATCH(K$2,Kraftvärmeprod!$B$1:$VX$1,0),FALSE)/1,0)-IFERROR(VLOOKUP($B81,'Slutlig allokering kvv'!$B$2:$BX$549,MATCH(K$2,'Slutlig allokering kvv'!$B$1:$BX$1,0),FALSE)/1,0))</f>
        <v/>
      </c>
      <c r="L81" s="121" t="str">
        <f>IF($D81="","",IFERROR(VLOOKUP($B81,Kraftvärmeprod!$B$1:$BX$549,MATCH(L$2,Kraftvärmeprod!$B$1:$VX$1,0),FALSE)/1,0)-IFERROR(VLOOKUP($B81,'Slutlig allokering kvv'!$B$2:$BX$549,MATCH(L$2,'Slutlig allokering kvv'!$B$1:$BX$1,0),FALSE)/1,0))</f>
        <v/>
      </c>
      <c r="M81" s="121" t="str">
        <f>IF($D81="","",IFERROR(VLOOKUP($B81,Kraftvärmeprod!$B$1:$BX$549,MATCH(M$2,Kraftvärmeprod!$B$1:$VX$1,0),FALSE)/1,0)-IFERROR(VLOOKUP($B81,'Slutlig allokering kvv'!$B$2:$BX$549,MATCH(M$2,'Slutlig allokering kvv'!$B$1:$BX$1,0),FALSE)/1,0))</f>
        <v/>
      </c>
      <c r="N81" s="121" t="str">
        <f>IF($D81="","",IFERROR(VLOOKUP($B81,Kraftvärmeprod!$B$1:$BX$549,MATCH(N$2,Kraftvärmeprod!$B$1:$VX$1,0),FALSE)/1,0)-IFERROR(VLOOKUP($B81,'Slutlig allokering kvv'!$B$2:$BX$549,MATCH(N$2,'Slutlig allokering kvv'!$B$1:$BX$1,0),FALSE)/1,0))</f>
        <v/>
      </c>
      <c r="O81" s="121" t="str">
        <f>IF($D81="","",IFERROR(VLOOKUP($B81,Kraftvärmeprod!$B$1:$BX$549,MATCH(O$2,Kraftvärmeprod!$B$1:$VX$1,0),FALSE)/1,0)-IFERROR(VLOOKUP($B81,'Slutlig allokering kvv'!$B$2:$BX$549,MATCH(O$2,'Slutlig allokering kvv'!$B$1:$BX$1,0),FALSE)/1,0))</f>
        <v/>
      </c>
      <c r="P81" s="121" t="str">
        <f>IF($D81="","",IFERROR(VLOOKUP($B81,Kraftvärmeprod!$B$1:$BX$549,MATCH(P$2,Kraftvärmeprod!$B$1:$VX$1,0),FALSE)/1,0)-IFERROR(VLOOKUP($B81,'Slutlig allokering kvv'!$B$2:$BX$549,MATCH(P$2,'Slutlig allokering kvv'!$B$1:$BX$1,0),FALSE)/1,0))</f>
        <v/>
      </c>
      <c r="Q81" s="121" t="str">
        <f>IF($D81="","",IFERROR(VLOOKUP($B81,Kraftvärmeprod!$B$1:$BX$549,MATCH(Q$2,Kraftvärmeprod!$B$1:$VX$1,0),FALSE)/1,0)-IFERROR(VLOOKUP($B81,'Slutlig allokering kvv'!$B$2:$BX$549,MATCH(Q$2,'Slutlig allokering kvv'!$B$1:$BX$1,0),FALSE)/1,0))</f>
        <v/>
      </c>
      <c r="R81" s="121" t="str">
        <f>IF($D81="","",IFERROR(VLOOKUP($B81,Kraftvärmeprod!$B$1:$BX$549,MATCH(R$2,Kraftvärmeprod!$B$1:$VX$1,0),FALSE)/1,0)-IFERROR(VLOOKUP($B81,'Slutlig allokering kvv'!$B$2:$BX$549,MATCH(R$2,'Slutlig allokering kvv'!$B$1:$BX$1,0),FALSE)/1,0))</f>
        <v/>
      </c>
      <c r="S81" s="121" t="str">
        <f>IF($D81="","",IFERROR(VLOOKUP($B81,Kraftvärmeprod!$B$1:$BX$549,MATCH(S$2,Kraftvärmeprod!$B$1:$VX$1,0),FALSE)/1,0)-IFERROR(VLOOKUP($B81,'Slutlig allokering kvv'!$B$2:$BX$549,MATCH(S$2,'Slutlig allokering kvv'!$B$1:$BX$1,0),FALSE)/1,0))</f>
        <v/>
      </c>
      <c r="T81" s="121" t="str">
        <f>IF($D81="","",IFERROR(VLOOKUP($B81,Kraftvärmeprod!$B$1:$BX$549,MATCH(T$2,Kraftvärmeprod!$B$1:$VX$1,0),FALSE)/1,0)-IFERROR(VLOOKUP($B81,'Slutlig allokering kvv'!$B$2:$BX$549,MATCH(T$2,'Slutlig allokering kvv'!$B$1:$BX$1,0),FALSE)/1,0))</f>
        <v/>
      </c>
      <c r="U81" s="121" t="str">
        <f>IF($D81="","",IFERROR(VLOOKUP($B81,Kraftvärmeprod!$B$1:$BX$549,MATCH(U$2,Kraftvärmeprod!$B$1:$VX$1,0),FALSE)/1,0)-IFERROR(VLOOKUP($B81,'Slutlig allokering kvv'!$B$2:$BX$549,MATCH(U$2,'Slutlig allokering kvv'!$B$1:$BX$1,0),FALSE)/1,0))</f>
        <v/>
      </c>
      <c r="V81" s="121" t="str">
        <f>IF($D81="","",IFERROR(VLOOKUP($B81,Kraftvärmeprod!$B$1:$BX$549,MATCH(V$2,Kraftvärmeprod!$B$1:$VX$1,0),FALSE)/1,0)-IFERROR(VLOOKUP($B81,'Slutlig allokering kvv'!$B$2:$BX$549,MATCH(V$2,'Slutlig allokering kvv'!$B$1:$BX$1,0),FALSE)/1,0))</f>
        <v/>
      </c>
      <c r="W81" s="121" t="str">
        <f>IF($D81="","",IFERROR(VLOOKUP($B81,Kraftvärmeprod!$B$1:$BX$549,MATCH(W$2,Kraftvärmeprod!$B$1:$VX$1,0),FALSE)/1,0)-IFERROR(VLOOKUP($B81,'Slutlig allokering kvv'!$B$2:$BX$549,MATCH(W$2,'Slutlig allokering kvv'!$B$1:$BX$1,0),FALSE)/1,0))</f>
        <v/>
      </c>
      <c r="X81" s="121" t="str">
        <f>IF($D81="","",IFERROR(VLOOKUP($B81,Kraftvärmeprod!$B$1:$BX$549,MATCH(X$2,Kraftvärmeprod!$B$1:$VX$1,0),FALSE)/1,0)-IFERROR(VLOOKUP($B81,'Slutlig allokering kvv'!$B$2:$BX$549,MATCH(X$2,'Slutlig allokering kvv'!$B$1:$BX$1,0),FALSE)/1,0))</f>
        <v/>
      </c>
      <c r="Y81" s="121" t="str">
        <f>IF($D81="","",IFERROR(VLOOKUP($B81,Kraftvärmeprod!$B$1:$BX$549,MATCH(Y$2,Kraftvärmeprod!$B$1:$VX$1,0),FALSE)/1,0)-IFERROR(VLOOKUP($B81,'Slutlig allokering kvv'!$B$2:$BX$549,MATCH(Y$2,'Slutlig allokering kvv'!$B$1:$BX$1,0),FALSE)/1,0))</f>
        <v/>
      </c>
      <c r="Z81" s="121" t="str">
        <f>IF($D81="","",IFERROR(VLOOKUP($B81,Kraftvärmeprod!$B$1:$BX$549,MATCH(Z$2,Kraftvärmeprod!$B$1:$VX$1,0),FALSE)/1,0)-IFERROR(VLOOKUP($B81,'Slutlig allokering kvv'!$B$2:$BX$549,MATCH(Z$2,'Slutlig allokering kvv'!$B$1:$BX$1,0),FALSE)/1,0))</f>
        <v/>
      </c>
      <c r="AA81" s="121" t="str">
        <f>IF($D81="","",IFERROR(VLOOKUP($B81,Kraftvärmeprod!$B$1:$BX$549,MATCH(AA$2,Kraftvärmeprod!$B$1:$VX$1,0),FALSE)/1,0)-IFERROR(VLOOKUP($B81,'Slutlig allokering kvv'!$B$2:$BX$549,MATCH(AA$2,'Slutlig allokering kvv'!$B$1:$BX$1,0),FALSE)/1,0))</f>
        <v/>
      </c>
      <c r="AB81" s="121" t="str">
        <f>IF($D81="","",IFERROR(VLOOKUP($B81,Kraftvärmeprod!$B$1:$BX$549,MATCH(AB$2,Kraftvärmeprod!$B$1:$VX$1,0),FALSE)/1,0)-IFERROR(VLOOKUP($B81,'Slutlig allokering kvv'!$B$2:$BX$549,MATCH(AB$2,'Slutlig allokering kvv'!$B$1:$BX$1,0),FALSE)/1,0))</f>
        <v/>
      </c>
      <c r="AC81" s="121" t="str">
        <f>IF($D81="","",IFERROR(VLOOKUP($B81,Kraftvärmeprod!$B$1:$BX$549,MATCH(AC$2,Kraftvärmeprod!$B$1:$VX$1,0),FALSE)/1,0)-IFERROR(VLOOKUP($B81,'Slutlig allokering kvv'!$B$2:$BX$549,MATCH(AC$2,'Slutlig allokering kvv'!$B$1:$BX$1,0),FALSE)/1,0))</f>
        <v/>
      </c>
      <c r="AD81" s="121" t="str">
        <f>IF($D81="","",IFERROR(VLOOKUP($B81,Kraftvärmeprod!$B$1:$BX$549,MATCH(AD$2,Kraftvärmeprod!$B$1:$VX$1,0),FALSE)/1,0)-IFERROR(VLOOKUP($B81,'Slutlig allokering kvv'!$B$2:$BX$549,MATCH(AD$2,'Slutlig allokering kvv'!$B$1:$BX$1,0),FALSE)/1,0))</f>
        <v/>
      </c>
      <c r="AE81" s="121" t="str">
        <f>IF($D81="","",IFERROR(VLOOKUP($B81,Miljö!$B$1:$E$550,MATCH("Hjälpel kraftvärme (GWh)",Miljö!$B$1:$E$1,0),FALSE)/1,0)-IFERROR(VLOOKUP($B81,'Slutlig allokering kvv'!$B$2:$BX$549,MATCH(AE$2,'Slutlig allokering kvv'!$B$1:$BX$1,0),FALSE)/1,0))</f>
        <v/>
      </c>
      <c r="AI81" s="121">
        <f t="shared" si="4"/>
        <v>0</v>
      </c>
      <c r="AK81" s="121">
        <f>IFERROR(VLOOKUP($B81,'Slutlig allokering kvv'!$B$2:$AX$549,MATCH("Summa slutlig allokerad tillförd energi (utan hjälpel och rökgaskondensering):",'Slutlig allokering kvv'!$B$1:$AX$1,0),FALSE)/1,"")</f>
        <v>0</v>
      </c>
      <c r="AM81" s="172" t="str">
        <f>IFERROR(1-VLOOKUP($B81,'Slutlig allokering kvv'!$B$2:$AX$549,MATCH("Andel av bränsle i kvv som allokerats till värme, exklusive rökgaskondensering och hjälpel",'Slutlig allokering kvv'!$B$1:$AX$1,0),FALSE),"")</f>
        <v/>
      </c>
      <c r="AO81" s="172" t="str">
        <f t="shared" si="5"/>
        <v/>
      </c>
      <c r="AP81" s="173" t="str">
        <f t="shared" si="6"/>
        <v/>
      </c>
      <c r="AR81" s="172" t="str">
        <f t="shared" si="7"/>
        <v/>
      </c>
    </row>
    <row r="82" spans="1:44" x14ac:dyDescent="0.25">
      <c r="A82" s="171" t="str">
        <f>'Miljövärden för publ företag'!B84</f>
        <v>Finspångs Tekniska Verk AB</v>
      </c>
      <c r="B82" s="171" t="str">
        <f>'Miljövärden för publ företag'!C84</f>
        <v>Finspång</v>
      </c>
      <c r="C82" s="121" t="str">
        <f>IFERROR(VLOOKUP($B82,Kraftvärmeprod!$B$1:$AH$478,MATCH(C$2,Kraftvärmeprod!$B$1:$AG$1,0),FALSE)/1,"")</f>
        <v/>
      </c>
      <c r="D82" s="121" t="str">
        <f>IFERROR(VLOOKUP($B82,Kraftvärmeprod!$B$1:$AH$478,MATCH(D$2,Kraftvärmeprod!$B$1:$AG$1,0),FALSE)/1,"")</f>
        <v/>
      </c>
      <c r="F82" s="121" t="str">
        <f>IF($D82="","",IFERROR(VLOOKUP($B82,Kraftvärmeprod!$B$1:$BX$549,MATCH(F$2,Kraftvärmeprod!$B$1:$VX$1,0),FALSE)/1,0)-IFERROR(VLOOKUP($B82,'Slutlig allokering kvv'!$B$2:$BX$549,MATCH(F$2,'Slutlig allokering kvv'!$B$1:$BX$1,0),FALSE)/1,0))</f>
        <v/>
      </c>
      <c r="G82" s="121" t="str">
        <f>IF($D82="","",IFERROR(VLOOKUP($B82,Kraftvärmeprod!$B$1:$BX$549,MATCH(G$2,Kraftvärmeprod!$B$1:$VX$1,0),FALSE)/1,0)-IFERROR(VLOOKUP($B82,'Slutlig allokering kvv'!$B$2:$BX$549,MATCH(G$2,'Slutlig allokering kvv'!$B$1:$BX$1,0),FALSE)/1,0))</f>
        <v/>
      </c>
      <c r="H82" s="121" t="str">
        <f>IF($D82="","",IFERROR(VLOOKUP($B82,Kraftvärmeprod!$B$1:$BX$549,MATCH(H$2,Kraftvärmeprod!$B$1:$VX$1,0),FALSE)/1,0)-IFERROR(VLOOKUP($B82,'Slutlig allokering kvv'!$B$2:$BX$549,MATCH(H$2,'Slutlig allokering kvv'!$B$1:$BX$1,0),FALSE)/1,0))</f>
        <v/>
      </c>
      <c r="I82" s="121" t="str">
        <f>IF($D82="","",IFERROR(VLOOKUP($B82,Kraftvärmeprod!$B$1:$BX$549,MATCH(I$2,Kraftvärmeprod!$B$1:$VX$1,0),FALSE)/1,0)-IFERROR(VLOOKUP($B82,'Slutlig allokering kvv'!$B$2:$BX$549,MATCH(I$2,'Slutlig allokering kvv'!$B$1:$BX$1,0),FALSE)/1,0))</f>
        <v/>
      </c>
      <c r="J82" s="121" t="str">
        <f>IF($D82="","",IFERROR(VLOOKUP($B82,Kraftvärmeprod!$B$1:$BX$549,MATCH(J$2,Kraftvärmeprod!$B$1:$VX$1,0),FALSE)/1,0)-IFERROR(VLOOKUP($B82,'Slutlig allokering kvv'!$B$2:$BX$549,MATCH(J$2,'Slutlig allokering kvv'!$B$1:$BX$1,0),FALSE)/1,0))</f>
        <v/>
      </c>
      <c r="K82" s="121" t="str">
        <f>IF($D82="","",IFERROR(VLOOKUP($B82,Kraftvärmeprod!$B$1:$BX$549,MATCH(K$2,Kraftvärmeprod!$B$1:$VX$1,0),FALSE)/1,0)-IFERROR(VLOOKUP($B82,'Slutlig allokering kvv'!$B$2:$BX$549,MATCH(K$2,'Slutlig allokering kvv'!$B$1:$BX$1,0),FALSE)/1,0))</f>
        <v/>
      </c>
      <c r="L82" s="121" t="str">
        <f>IF($D82="","",IFERROR(VLOOKUP($B82,Kraftvärmeprod!$B$1:$BX$549,MATCH(L$2,Kraftvärmeprod!$B$1:$VX$1,0),FALSE)/1,0)-IFERROR(VLOOKUP($B82,'Slutlig allokering kvv'!$B$2:$BX$549,MATCH(L$2,'Slutlig allokering kvv'!$B$1:$BX$1,0),FALSE)/1,0))</f>
        <v/>
      </c>
      <c r="M82" s="121" t="str">
        <f>IF($D82="","",IFERROR(VLOOKUP($B82,Kraftvärmeprod!$B$1:$BX$549,MATCH(M$2,Kraftvärmeprod!$B$1:$VX$1,0),FALSE)/1,0)-IFERROR(VLOOKUP($B82,'Slutlig allokering kvv'!$B$2:$BX$549,MATCH(M$2,'Slutlig allokering kvv'!$B$1:$BX$1,0),FALSE)/1,0))</f>
        <v/>
      </c>
      <c r="N82" s="121" t="str">
        <f>IF($D82="","",IFERROR(VLOOKUP($B82,Kraftvärmeprod!$B$1:$BX$549,MATCH(N$2,Kraftvärmeprod!$B$1:$VX$1,0),FALSE)/1,0)-IFERROR(VLOOKUP($B82,'Slutlig allokering kvv'!$B$2:$BX$549,MATCH(N$2,'Slutlig allokering kvv'!$B$1:$BX$1,0),FALSE)/1,0))</f>
        <v/>
      </c>
      <c r="O82" s="121" t="str">
        <f>IF($D82="","",IFERROR(VLOOKUP($B82,Kraftvärmeprod!$B$1:$BX$549,MATCH(O$2,Kraftvärmeprod!$B$1:$VX$1,0),FALSE)/1,0)-IFERROR(VLOOKUP($B82,'Slutlig allokering kvv'!$B$2:$BX$549,MATCH(O$2,'Slutlig allokering kvv'!$B$1:$BX$1,0),FALSE)/1,0))</f>
        <v/>
      </c>
      <c r="P82" s="121" t="str">
        <f>IF($D82="","",IFERROR(VLOOKUP($B82,Kraftvärmeprod!$B$1:$BX$549,MATCH(P$2,Kraftvärmeprod!$B$1:$VX$1,0),FALSE)/1,0)-IFERROR(VLOOKUP($B82,'Slutlig allokering kvv'!$B$2:$BX$549,MATCH(P$2,'Slutlig allokering kvv'!$B$1:$BX$1,0),FALSE)/1,0))</f>
        <v/>
      </c>
      <c r="Q82" s="121" t="str">
        <f>IF($D82="","",IFERROR(VLOOKUP($B82,Kraftvärmeprod!$B$1:$BX$549,MATCH(Q$2,Kraftvärmeprod!$B$1:$VX$1,0),FALSE)/1,0)-IFERROR(VLOOKUP($B82,'Slutlig allokering kvv'!$B$2:$BX$549,MATCH(Q$2,'Slutlig allokering kvv'!$B$1:$BX$1,0),FALSE)/1,0))</f>
        <v/>
      </c>
      <c r="R82" s="121" t="str">
        <f>IF($D82="","",IFERROR(VLOOKUP($B82,Kraftvärmeprod!$B$1:$BX$549,MATCH(R$2,Kraftvärmeprod!$B$1:$VX$1,0),FALSE)/1,0)-IFERROR(VLOOKUP($B82,'Slutlig allokering kvv'!$B$2:$BX$549,MATCH(R$2,'Slutlig allokering kvv'!$B$1:$BX$1,0),FALSE)/1,0))</f>
        <v/>
      </c>
      <c r="S82" s="121" t="str">
        <f>IF($D82="","",IFERROR(VLOOKUP($B82,Kraftvärmeprod!$B$1:$BX$549,MATCH(S$2,Kraftvärmeprod!$B$1:$VX$1,0),FALSE)/1,0)-IFERROR(VLOOKUP($B82,'Slutlig allokering kvv'!$B$2:$BX$549,MATCH(S$2,'Slutlig allokering kvv'!$B$1:$BX$1,0),FALSE)/1,0))</f>
        <v/>
      </c>
      <c r="T82" s="121" t="str">
        <f>IF($D82="","",IFERROR(VLOOKUP($B82,Kraftvärmeprod!$B$1:$BX$549,MATCH(T$2,Kraftvärmeprod!$B$1:$VX$1,0),FALSE)/1,0)-IFERROR(VLOOKUP($B82,'Slutlig allokering kvv'!$B$2:$BX$549,MATCH(T$2,'Slutlig allokering kvv'!$B$1:$BX$1,0),FALSE)/1,0))</f>
        <v/>
      </c>
      <c r="U82" s="121" t="str">
        <f>IF($D82="","",IFERROR(VLOOKUP($B82,Kraftvärmeprod!$B$1:$BX$549,MATCH(U$2,Kraftvärmeprod!$B$1:$VX$1,0),FALSE)/1,0)-IFERROR(VLOOKUP($B82,'Slutlig allokering kvv'!$B$2:$BX$549,MATCH(U$2,'Slutlig allokering kvv'!$B$1:$BX$1,0),FALSE)/1,0))</f>
        <v/>
      </c>
      <c r="V82" s="121" t="str">
        <f>IF($D82="","",IFERROR(VLOOKUP($B82,Kraftvärmeprod!$B$1:$BX$549,MATCH(V$2,Kraftvärmeprod!$B$1:$VX$1,0),FALSE)/1,0)-IFERROR(VLOOKUP($B82,'Slutlig allokering kvv'!$B$2:$BX$549,MATCH(V$2,'Slutlig allokering kvv'!$B$1:$BX$1,0),FALSE)/1,0))</f>
        <v/>
      </c>
      <c r="W82" s="121" t="str">
        <f>IF($D82="","",IFERROR(VLOOKUP($B82,Kraftvärmeprod!$B$1:$BX$549,MATCH(W$2,Kraftvärmeprod!$B$1:$VX$1,0),FALSE)/1,0)-IFERROR(VLOOKUP($B82,'Slutlig allokering kvv'!$B$2:$BX$549,MATCH(W$2,'Slutlig allokering kvv'!$B$1:$BX$1,0),FALSE)/1,0))</f>
        <v/>
      </c>
      <c r="X82" s="121" t="str">
        <f>IF($D82="","",IFERROR(VLOOKUP($B82,Kraftvärmeprod!$B$1:$BX$549,MATCH(X$2,Kraftvärmeprod!$B$1:$VX$1,0),FALSE)/1,0)-IFERROR(VLOOKUP($B82,'Slutlig allokering kvv'!$B$2:$BX$549,MATCH(X$2,'Slutlig allokering kvv'!$B$1:$BX$1,0),FALSE)/1,0))</f>
        <v/>
      </c>
      <c r="Y82" s="121" t="str">
        <f>IF($D82="","",IFERROR(VLOOKUP($B82,Kraftvärmeprod!$B$1:$BX$549,MATCH(Y$2,Kraftvärmeprod!$B$1:$VX$1,0),FALSE)/1,0)-IFERROR(VLOOKUP($B82,'Slutlig allokering kvv'!$B$2:$BX$549,MATCH(Y$2,'Slutlig allokering kvv'!$B$1:$BX$1,0),FALSE)/1,0))</f>
        <v/>
      </c>
      <c r="Z82" s="121" t="str">
        <f>IF($D82="","",IFERROR(VLOOKUP($B82,Kraftvärmeprod!$B$1:$BX$549,MATCH(Z$2,Kraftvärmeprod!$B$1:$VX$1,0),FALSE)/1,0)-IFERROR(VLOOKUP($B82,'Slutlig allokering kvv'!$B$2:$BX$549,MATCH(Z$2,'Slutlig allokering kvv'!$B$1:$BX$1,0),FALSE)/1,0))</f>
        <v/>
      </c>
      <c r="AA82" s="121" t="str">
        <f>IF($D82="","",IFERROR(VLOOKUP($B82,Kraftvärmeprod!$B$1:$BX$549,MATCH(AA$2,Kraftvärmeprod!$B$1:$VX$1,0),FALSE)/1,0)-IFERROR(VLOOKUP($B82,'Slutlig allokering kvv'!$B$2:$BX$549,MATCH(AA$2,'Slutlig allokering kvv'!$B$1:$BX$1,0),FALSE)/1,0))</f>
        <v/>
      </c>
      <c r="AB82" s="121" t="str">
        <f>IF($D82="","",IFERROR(VLOOKUP($B82,Kraftvärmeprod!$B$1:$BX$549,MATCH(AB$2,Kraftvärmeprod!$B$1:$VX$1,0),FALSE)/1,0)-IFERROR(VLOOKUP($B82,'Slutlig allokering kvv'!$B$2:$BX$549,MATCH(AB$2,'Slutlig allokering kvv'!$B$1:$BX$1,0),FALSE)/1,0))</f>
        <v/>
      </c>
      <c r="AC82" s="121" t="str">
        <f>IF($D82="","",IFERROR(VLOOKUP($B82,Kraftvärmeprod!$B$1:$BX$549,MATCH(AC$2,Kraftvärmeprod!$B$1:$VX$1,0),FALSE)/1,0)-IFERROR(VLOOKUP($B82,'Slutlig allokering kvv'!$B$2:$BX$549,MATCH(AC$2,'Slutlig allokering kvv'!$B$1:$BX$1,0),FALSE)/1,0))</f>
        <v/>
      </c>
      <c r="AD82" s="121" t="str">
        <f>IF($D82="","",IFERROR(VLOOKUP($B82,Kraftvärmeprod!$B$1:$BX$549,MATCH(AD$2,Kraftvärmeprod!$B$1:$VX$1,0),FALSE)/1,0)-IFERROR(VLOOKUP($B82,'Slutlig allokering kvv'!$B$2:$BX$549,MATCH(AD$2,'Slutlig allokering kvv'!$B$1:$BX$1,0),FALSE)/1,0))</f>
        <v/>
      </c>
      <c r="AE82" s="121" t="str">
        <f>IF($D82="","",IFERROR(VLOOKUP($B82,Miljö!$B$1:$E$550,MATCH("Hjälpel kraftvärme (GWh)",Miljö!$B$1:$E$1,0),FALSE)/1,0)-IFERROR(VLOOKUP($B82,'Slutlig allokering kvv'!$B$2:$BX$549,MATCH(AE$2,'Slutlig allokering kvv'!$B$1:$BX$1,0),FALSE)/1,0))</f>
        <v/>
      </c>
      <c r="AI82" s="121">
        <f t="shared" si="4"/>
        <v>0</v>
      </c>
      <c r="AK82" s="121">
        <f>IFERROR(VLOOKUP($B82,'Slutlig allokering kvv'!$B$2:$AX$549,MATCH("Summa slutlig allokerad tillförd energi (utan hjälpel och rökgaskondensering):",'Slutlig allokering kvv'!$B$1:$AX$1,0),FALSE)/1,"")</f>
        <v>0</v>
      </c>
      <c r="AM82" s="172" t="str">
        <f>IFERROR(1-VLOOKUP($B82,'Slutlig allokering kvv'!$B$2:$AX$549,MATCH("Andel av bränsle i kvv som allokerats till värme, exklusive rökgaskondensering och hjälpel",'Slutlig allokering kvv'!$B$1:$AX$1,0),FALSE),"")</f>
        <v/>
      </c>
      <c r="AO82" s="172" t="str">
        <f t="shared" si="5"/>
        <v/>
      </c>
      <c r="AP82" s="173" t="str">
        <f t="shared" si="6"/>
        <v/>
      </c>
      <c r="AR82" s="172" t="str">
        <f t="shared" si="7"/>
        <v/>
      </c>
    </row>
    <row r="83" spans="1:44" x14ac:dyDescent="0.25">
      <c r="A83" s="171" t="str">
        <f>'Miljövärden för publ företag'!B85</f>
        <v>Gislaved Energi AB</v>
      </c>
      <c r="B83" s="171" t="str">
        <f>'Miljövärden för publ företag'!C85</f>
        <v>Gislaved</v>
      </c>
      <c r="C83" s="121" t="str">
        <f>IFERROR(VLOOKUP($B83,Kraftvärmeprod!$B$1:$AH$478,MATCH(C$2,Kraftvärmeprod!$B$1:$AG$1,0),FALSE)/1,"")</f>
        <v/>
      </c>
      <c r="D83" s="121" t="str">
        <f>IFERROR(VLOOKUP($B83,Kraftvärmeprod!$B$1:$AH$478,MATCH(D$2,Kraftvärmeprod!$B$1:$AG$1,0),FALSE)/1,"")</f>
        <v/>
      </c>
      <c r="F83" s="121" t="str">
        <f>IF($D83="","",IFERROR(VLOOKUP($B83,Kraftvärmeprod!$B$1:$BX$549,MATCH(F$2,Kraftvärmeprod!$B$1:$VX$1,0),FALSE)/1,0)-IFERROR(VLOOKUP($B83,'Slutlig allokering kvv'!$B$2:$BX$549,MATCH(F$2,'Slutlig allokering kvv'!$B$1:$BX$1,0),FALSE)/1,0))</f>
        <v/>
      </c>
      <c r="G83" s="121" t="str">
        <f>IF($D83="","",IFERROR(VLOOKUP($B83,Kraftvärmeprod!$B$1:$BX$549,MATCH(G$2,Kraftvärmeprod!$B$1:$VX$1,0),FALSE)/1,0)-IFERROR(VLOOKUP($B83,'Slutlig allokering kvv'!$B$2:$BX$549,MATCH(G$2,'Slutlig allokering kvv'!$B$1:$BX$1,0),FALSE)/1,0))</f>
        <v/>
      </c>
      <c r="H83" s="121" t="str">
        <f>IF($D83="","",IFERROR(VLOOKUP($B83,Kraftvärmeprod!$B$1:$BX$549,MATCH(H$2,Kraftvärmeprod!$B$1:$VX$1,0),FALSE)/1,0)-IFERROR(VLOOKUP($B83,'Slutlig allokering kvv'!$B$2:$BX$549,MATCH(H$2,'Slutlig allokering kvv'!$B$1:$BX$1,0),FALSE)/1,0))</f>
        <v/>
      </c>
      <c r="I83" s="121" t="str">
        <f>IF($D83="","",IFERROR(VLOOKUP($B83,Kraftvärmeprod!$B$1:$BX$549,MATCH(I$2,Kraftvärmeprod!$B$1:$VX$1,0),FALSE)/1,0)-IFERROR(VLOOKUP($B83,'Slutlig allokering kvv'!$B$2:$BX$549,MATCH(I$2,'Slutlig allokering kvv'!$B$1:$BX$1,0),FALSE)/1,0))</f>
        <v/>
      </c>
      <c r="J83" s="121" t="str">
        <f>IF($D83="","",IFERROR(VLOOKUP($B83,Kraftvärmeprod!$B$1:$BX$549,MATCH(J$2,Kraftvärmeprod!$B$1:$VX$1,0),FALSE)/1,0)-IFERROR(VLOOKUP($B83,'Slutlig allokering kvv'!$B$2:$BX$549,MATCH(J$2,'Slutlig allokering kvv'!$B$1:$BX$1,0),FALSE)/1,0))</f>
        <v/>
      </c>
      <c r="K83" s="121" t="str">
        <f>IF($D83="","",IFERROR(VLOOKUP($B83,Kraftvärmeprod!$B$1:$BX$549,MATCH(K$2,Kraftvärmeprod!$B$1:$VX$1,0),FALSE)/1,0)-IFERROR(VLOOKUP($B83,'Slutlig allokering kvv'!$B$2:$BX$549,MATCH(K$2,'Slutlig allokering kvv'!$B$1:$BX$1,0),FALSE)/1,0))</f>
        <v/>
      </c>
      <c r="L83" s="121" t="str">
        <f>IF($D83="","",IFERROR(VLOOKUP($B83,Kraftvärmeprod!$B$1:$BX$549,MATCH(L$2,Kraftvärmeprod!$B$1:$VX$1,0),FALSE)/1,0)-IFERROR(VLOOKUP($B83,'Slutlig allokering kvv'!$B$2:$BX$549,MATCH(L$2,'Slutlig allokering kvv'!$B$1:$BX$1,0),FALSE)/1,0))</f>
        <v/>
      </c>
      <c r="M83" s="121" t="str">
        <f>IF($D83="","",IFERROR(VLOOKUP($B83,Kraftvärmeprod!$B$1:$BX$549,MATCH(M$2,Kraftvärmeprod!$B$1:$VX$1,0),FALSE)/1,0)-IFERROR(VLOOKUP($B83,'Slutlig allokering kvv'!$B$2:$BX$549,MATCH(M$2,'Slutlig allokering kvv'!$B$1:$BX$1,0),FALSE)/1,0))</f>
        <v/>
      </c>
      <c r="N83" s="121" t="str">
        <f>IF($D83="","",IFERROR(VLOOKUP($B83,Kraftvärmeprod!$B$1:$BX$549,MATCH(N$2,Kraftvärmeprod!$B$1:$VX$1,0),FALSE)/1,0)-IFERROR(VLOOKUP($B83,'Slutlig allokering kvv'!$B$2:$BX$549,MATCH(N$2,'Slutlig allokering kvv'!$B$1:$BX$1,0),FALSE)/1,0))</f>
        <v/>
      </c>
      <c r="O83" s="121" t="str">
        <f>IF($D83="","",IFERROR(VLOOKUP($B83,Kraftvärmeprod!$B$1:$BX$549,MATCH(O$2,Kraftvärmeprod!$B$1:$VX$1,0),FALSE)/1,0)-IFERROR(VLOOKUP($B83,'Slutlig allokering kvv'!$B$2:$BX$549,MATCH(O$2,'Slutlig allokering kvv'!$B$1:$BX$1,0),FALSE)/1,0))</f>
        <v/>
      </c>
      <c r="P83" s="121" t="str">
        <f>IF($D83="","",IFERROR(VLOOKUP($B83,Kraftvärmeprod!$B$1:$BX$549,MATCH(P$2,Kraftvärmeprod!$B$1:$VX$1,0),FALSE)/1,0)-IFERROR(VLOOKUP($B83,'Slutlig allokering kvv'!$B$2:$BX$549,MATCH(P$2,'Slutlig allokering kvv'!$B$1:$BX$1,0),FALSE)/1,0))</f>
        <v/>
      </c>
      <c r="Q83" s="121" t="str">
        <f>IF($D83="","",IFERROR(VLOOKUP($B83,Kraftvärmeprod!$B$1:$BX$549,MATCH(Q$2,Kraftvärmeprod!$B$1:$VX$1,0),FALSE)/1,0)-IFERROR(VLOOKUP($B83,'Slutlig allokering kvv'!$B$2:$BX$549,MATCH(Q$2,'Slutlig allokering kvv'!$B$1:$BX$1,0),FALSE)/1,0))</f>
        <v/>
      </c>
      <c r="R83" s="121" t="str">
        <f>IF($D83="","",IFERROR(VLOOKUP($B83,Kraftvärmeprod!$B$1:$BX$549,MATCH(R$2,Kraftvärmeprod!$B$1:$VX$1,0),FALSE)/1,0)-IFERROR(VLOOKUP($B83,'Slutlig allokering kvv'!$B$2:$BX$549,MATCH(R$2,'Slutlig allokering kvv'!$B$1:$BX$1,0),FALSE)/1,0))</f>
        <v/>
      </c>
      <c r="S83" s="121" t="str">
        <f>IF($D83="","",IFERROR(VLOOKUP($B83,Kraftvärmeprod!$B$1:$BX$549,MATCH(S$2,Kraftvärmeprod!$B$1:$VX$1,0),FALSE)/1,0)-IFERROR(VLOOKUP($B83,'Slutlig allokering kvv'!$B$2:$BX$549,MATCH(S$2,'Slutlig allokering kvv'!$B$1:$BX$1,0),FALSE)/1,0))</f>
        <v/>
      </c>
      <c r="T83" s="121" t="str">
        <f>IF($D83="","",IFERROR(VLOOKUP($B83,Kraftvärmeprod!$B$1:$BX$549,MATCH(T$2,Kraftvärmeprod!$B$1:$VX$1,0),FALSE)/1,0)-IFERROR(VLOOKUP($B83,'Slutlig allokering kvv'!$B$2:$BX$549,MATCH(T$2,'Slutlig allokering kvv'!$B$1:$BX$1,0),FALSE)/1,0))</f>
        <v/>
      </c>
      <c r="U83" s="121" t="str">
        <f>IF($D83="","",IFERROR(VLOOKUP($B83,Kraftvärmeprod!$B$1:$BX$549,MATCH(U$2,Kraftvärmeprod!$B$1:$VX$1,0),FALSE)/1,0)-IFERROR(VLOOKUP($B83,'Slutlig allokering kvv'!$B$2:$BX$549,MATCH(U$2,'Slutlig allokering kvv'!$B$1:$BX$1,0),FALSE)/1,0))</f>
        <v/>
      </c>
      <c r="V83" s="121" t="str">
        <f>IF($D83="","",IFERROR(VLOOKUP($B83,Kraftvärmeprod!$B$1:$BX$549,MATCH(V$2,Kraftvärmeprod!$B$1:$VX$1,0),FALSE)/1,0)-IFERROR(VLOOKUP($B83,'Slutlig allokering kvv'!$B$2:$BX$549,MATCH(V$2,'Slutlig allokering kvv'!$B$1:$BX$1,0),FALSE)/1,0))</f>
        <v/>
      </c>
      <c r="W83" s="121" t="str">
        <f>IF($D83="","",IFERROR(VLOOKUP($B83,Kraftvärmeprod!$B$1:$BX$549,MATCH(W$2,Kraftvärmeprod!$B$1:$VX$1,0),FALSE)/1,0)-IFERROR(VLOOKUP($B83,'Slutlig allokering kvv'!$B$2:$BX$549,MATCH(W$2,'Slutlig allokering kvv'!$B$1:$BX$1,0),FALSE)/1,0))</f>
        <v/>
      </c>
      <c r="X83" s="121" t="str">
        <f>IF($D83="","",IFERROR(VLOOKUP($B83,Kraftvärmeprod!$B$1:$BX$549,MATCH(X$2,Kraftvärmeprod!$B$1:$VX$1,0),FALSE)/1,0)-IFERROR(VLOOKUP($B83,'Slutlig allokering kvv'!$B$2:$BX$549,MATCH(X$2,'Slutlig allokering kvv'!$B$1:$BX$1,0),FALSE)/1,0))</f>
        <v/>
      </c>
      <c r="Y83" s="121" t="str">
        <f>IF($D83="","",IFERROR(VLOOKUP($B83,Kraftvärmeprod!$B$1:$BX$549,MATCH(Y$2,Kraftvärmeprod!$B$1:$VX$1,0),FALSE)/1,0)-IFERROR(VLOOKUP($B83,'Slutlig allokering kvv'!$B$2:$BX$549,MATCH(Y$2,'Slutlig allokering kvv'!$B$1:$BX$1,0),FALSE)/1,0))</f>
        <v/>
      </c>
      <c r="Z83" s="121" t="str">
        <f>IF($D83="","",IFERROR(VLOOKUP($B83,Kraftvärmeprod!$B$1:$BX$549,MATCH(Z$2,Kraftvärmeprod!$B$1:$VX$1,0),FALSE)/1,0)-IFERROR(VLOOKUP($B83,'Slutlig allokering kvv'!$B$2:$BX$549,MATCH(Z$2,'Slutlig allokering kvv'!$B$1:$BX$1,0),FALSE)/1,0))</f>
        <v/>
      </c>
      <c r="AA83" s="121" t="str">
        <f>IF($D83="","",IFERROR(VLOOKUP($B83,Kraftvärmeprod!$B$1:$BX$549,MATCH(AA$2,Kraftvärmeprod!$B$1:$VX$1,0),FALSE)/1,0)-IFERROR(VLOOKUP($B83,'Slutlig allokering kvv'!$B$2:$BX$549,MATCH(AA$2,'Slutlig allokering kvv'!$B$1:$BX$1,0),FALSE)/1,0))</f>
        <v/>
      </c>
      <c r="AB83" s="121" t="str">
        <f>IF($D83="","",IFERROR(VLOOKUP($B83,Kraftvärmeprod!$B$1:$BX$549,MATCH(AB$2,Kraftvärmeprod!$B$1:$VX$1,0),FALSE)/1,0)-IFERROR(VLOOKUP($B83,'Slutlig allokering kvv'!$B$2:$BX$549,MATCH(AB$2,'Slutlig allokering kvv'!$B$1:$BX$1,0),FALSE)/1,0))</f>
        <v/>
      </c>
      <c r="AC83" s="121" t="str">
        <f>IF($D83="","",IFERROR(VLOOKUP($B83,Kraftvärmeprod!$B$1:$BX$549,MATCH(AC$2,Kraftvärmeprod!$B$1:$VX$1,0),FALSE)/1,0)-IFERROR(VLOOKUP($B83,'Slutlig allokering kvv'!$B$2:$BX$549,MATCH(AC$2,'Slutlig allokering kvv'!$B$1:$BX$1,0),FALSE)/1,0))</f>
        <v/>
      </c>
      <c r="AD83" s="121" t="str">
        <f>IF($D83="","",IFERROR(VLOOKUP($B83,Kraftvärmeprod!$B$1:$BX$549,MATCH(AD$2,Kraftvärmeprod!$B$1:$VX$1,0),FALSE)/1,0)-IFERROR(VLOOKUP($B83,'Slutlig allokering kvv'!$B$2:$BX$549,MATCH(AD$2,'Slutlig allokering kvv'!$B$1:$BX$1,0),FALSE)/1,0))</f>
        <v/>
      </c>
      <c r="AE83" s="121" t="str">
        <f>IF($D83="","",IFERROR(VLOOKUP($B83,Miljö!$B$1:$E$550,MATCH("Hjälpel kraftvärme (GWh)",Miljö!$B$1:$E$1,0),FALSE)/1,0)-IFERROR(VLOOKUP($B83,'Slutlig allokering kvv'!$B$2:$BX$549,MATCH(AE$2,'Slutlig allokering kvv'!$B$1:$BX$1,0),FALSE)/1,0))</f>
        <v/>
      </c>
      <c r="AI83" s="121">
        <f t="shared" si="4"/>
        <v>0</v>
      </c>
      <c r="AK83" s="121">
        <f>IFERROR(VLOOKUP($B83,'Slutlig allokering kvv'!$B$2:$AX$549,MATCH("Summa slutlig allokerad tillförd energi (utan hjälpel och rökgaskondensering):",'Slutlig allokering kvv'!$B$1:$AX$1,0),FALSE)/1,"")</f>
        <v>0</v>
      </c>
      <c r="AM83" s="172" t="str">
        <f>IFERROR(1-VLOOKUP($B83,'Slutlig allokering kvv'!$B$2:$AX$549,MATCH("Andel av bränsle i kvv som allokerats till värme, exklusive rökgaskondensering och hjälpel",'Slutlig allokering kvv'!$B$1:$AX$1,0),FALSE),"")</f>
        <v/>
      </c>
      <c r="AO83" s="172" t="str">
        <f t="shared" si="5"/>
        <v/>
      </c>
      <c r="AP83" s="173" t="str">
        <f t="shared" si="6"/>
        <v/>
      </c>
      <c r="AR83" s="172" t="str">
        <f t="shared" si="7"/>
        <v/>
      </c>
    </row>
    <row r="84" spans="1:44" x14ac:dyDescent="0.25">
      <c r="A84" s="171" t="str">
        <f>'Miljövärden för publ företag'!B86</f>
        <v>Gislaved Energi AB</v>
      </c>
      <c r="B84" s="171" t="str">
        <f>'Miljövärden för publ företag'!C86</f>
        <v>Hestra</v>
      </c>
      <c r="C84" s="121" t="str">
        <f>IFERROR(VLOOKUP($B84,Kraftvärmeprod!$B$1:$AH$478,MATCH(C$2,Kraftvärmeprod!$B$1:$AG$1,0),FALSE)/1,"")</f>
        <v/>
      </c>
      <c r="D84" s="121" t="str">
        <f>IFERROR(VLOOKUP($B84,Kraftvärmeprod!$B$1:$AH$478,MATCH(D$2,Kraftvärmeprod!$B$1:$AG$1,0),FALSE)/1,"")</f>
        <v/>
      </c>
      <c r="F84" s="121" t="str">
        <f>IF($D84="","",IFERROR(VLOOKUP($B84,Kraftvärmeprod!$B$1:$BX$549,MATCH(F$2,Kraftvärmeprod!$B$1:$VX$1,0),FALSE)/1,0)-IFERROR(VLOOKUP($B84,'Slutlig allokering kvv'!$B$2:$BX$549,MATCH(F$2,'Slutlig allokering kvv'!$B$1:$BX$1,0),FALSE)/1,0))</f>
        <v/>
      </c>
      <c r="G84" s="121" t="str">
        <f>IF($D84="","",IFERROR(VLOOKUP($B84,Kraftvärmeprod!$B$1:$BX$549,MATCH(G$2,Kraftvärmeprod!$B$1:$VX$1,0),FALSE)/1,0)-IFERROR(VLOOKUP($B84,'Slutlig allokering kvv'!$B$2:$BX$549,MATCH(G$2,'Slutlig allokering kvv'!$B$1:$BX$1,0),FALSE)/1,0))</f>
        <v/>
      </c>
      <c r="H84" s="121" t="str">
        <f>IF($D84="","",IFERROR(VLOOKUP($B84,Kraftvärmeprod!$B$1:$BX$549,MATCH(H$2,Kraftvärmeprod!$B$1:$VX$1,0),FALSE)/1,0)-IFERROR(VLOOKUP($B84,'Slutlig allokering kvv'!$B$2:$BX$549,MATCH(H$2,'Slutlig allokering kvv'!$B$1:$BX$1,0),FALSE)/1,0))</f>
        <v/>
      </c>
      <c r="I84" s="121" t="str">
        <f>IF($D84="","",IFERROR(VLOOKUP($B84,Kraftvärmeprod!$B$1:$BX$549,MATCH(I$2,Kraftvärmeprod!$B$1:$VX$1,0),FALSE)/1,0)-IFERROR(VLOOKUP($B84,'Slutlig allokering kvv'!$B$2:$BX$549,MATCH(I$2,'Slutlig allokering kvv'!$B$1:$BX$1,0),FALSE)/1,0))</f>
        <v/>
      </c>
      <c r="J84" s="121" t="str">
        <f>IF($D84="","",IFERROR(VLOOKUP($B84,Kraftvärmeprod!$B$1:$BX$549,MATCH(J$2,Kraftvärmeprod!$B$1:$VX$1,0),FALSE)/1,0)-IFERROR(VLOOKUP($B84,'Slutlig allokering kvv'!$B$2:$BX$549,MATCH(J$2,'Slutlig allokering kvv'!$B$1:$BX$1,0),FALSE)/1,0))</f>
        <v/>
      </c>
      <c r="K84" s="121" t="str">
        <f>IF($D84="","",IFERROR(VLOOKUP($B84,Kraftvärmeprod!$B$1:$BX$549,MATCH(K$2,Kraftvärmeprod!$B$1:$VX$1,0),FALSE)/1,0)-IFERROR(VLOOKUP($B84,'Slutlig allokering kvv'!$B$2:$BX$549,MATCH(K$2,'Slutlig allokering kvv'!$B$1:$BX$1,0),FALSE)/1,0))</f>
        <v/>
      </c>
      <c r="L84" s="121" t="str">
        <f>IF($D84="","",IFERROR(VLOOKUP($B84,Kraftvärmeprod!$B$1:$BX$549,MATCH(L$2,Kraftvärmeprod!$B$1:$VX$1,0),FALSE)/1,0)-IFERROR(VLOOKUP($B84,'Slutlig allokering kvv'!$B$2:$BX$549,MATCH(L$2,'Slutlig allokering kvv'!$B$1:$BX$1,0),FALSE)/1,0))</f>
        <v/>
      </c>
      <c r="M84" s="121" t="str">
        <f>IF($D84="","",IFERROR(VLOOKUP($B84,Kraftvärmeprod!$B$1:$BX$549,MATCH(M$2,Kraftvärmeprod!$B$1:$VX$1,0),FALSE)/1,0)-IFERROR(VLOOKUP($B84,'Slutlig allokering kvv'!$B$2:$BX$549,MATCH(M$2,'Slutlig allokering kvv'!$B$1:$BX$1,0),FALSE)/1,0))</f>
        <v/>
      </c>
      <c r="N84" s="121" t="str">
        <f>IF($D84="","",IFERROR(VLOOKUP($B84,Kraftvärmeprod!$B$1:$BX$549,MATCH(N$2,Kraftvärmeprod!$B$1:$VX$1,0),FALSE)/1,0)-IFERROR(VLOOKUP($B84,'Slutlig allokering kvv'!$B$2:$BX$549,MATCH(N$2,'Slutlig allokering kvv'!$B$1:$BX$1,0),FALSE)/1,0))</f>
        <v/>
      </c>
      <c r="O84" s="121" t="str">
        <f>IF($D84="","",IFERROR(VLOOKUP($B84,Kraftvärmeprod!$B$1:$BX$549,MATCH(O$2,Kraftvärmeprod!$B$1:$VX$1,0),FALSE)/1,0)-IFERROR(VLOOKUP($B84,'Slutlig allokering kvv'!$B$2:$BX$549,MATCH(O$2,'Slutlig allokering kvv'!$B$1:$BX$1,0),FALSE)/1,0))</f>
        <v/>
      </c>
      <c r="P84" s="121" t="str">
        <f>IF($D84="","",IFERROR(VLOOKUP($B84,Kraftvärmeprod!$B$1:$BX$549,MATCH(P$2,Kraftvärmeprod!$B$1:$VX$1,0),FALSE)/1,0)-IFERROR(VLOOKUP($B84,'Slutlig allokering kvv'!$B$2:$BX$549,MATCH(P$2,'Slutlig allokering kvv'!$B$1:$BX$1,0),FALSE)/1,0))</f>
        <v/>
      </c>
      <c r="Q84" s="121" t="str">
        <f>IF($D84="","",IFERROR(VLOOKUP($B84,Kraftvärmeprod!$B$1:$BX$549,MATCH(Q$2,Kraftvärmeprod!$B$1:$VX$1,0),FALSE)/1,0)-IFERROR(VLOOKUP($B84,'Slutlig allokering kvv'!$B$2:$BX$549,MATCH(Q$2,'Slutlig allokering kvv'!$B$1:$BX$1,0),FALSE)/1,0))</f>
        <v/>
      </c>
      <c r="R84" s="121" t="str">
        <f>IF($D84="","",IFERROR(VLOOKUP($B84,Kraftvärmeprod!$B$1:$BX$549,MATCH(R$2,Kraftvärmeprod!$B$1:$VX$1,0),FALSE)/1,0)-IFERROR(VLOOKUP($B84,'Slutlig allokering kvv'!$B$2:$BX$549,MATCH(R$2,'Slutlig allokering kvv'!$B$1:$BX$1,0),FALSE)/1,0))</f>
        <v/>
      </c>
      <c r="S84" s="121" t="str">
        <f>IF($D84="","",IFERROR(VLOOKUP($B84,Kraftvärmeprod!$B$1:$BX$549,MATCH(S$2,Kraftvärmeprod!$B$1:$VX$1,0),FALSE)/1,0)-IFERROR(VLOOKUP($B84,'Slutlig allokering kvv'!$B$2:$BX$549,MATCH(S$2,'Slutlig allokering kvv'!$B$1:$BX$1,0),FALSE)/1,0))</f>
        <v/>
      </c>
      <c r="T84" s="121" t="str">
        <f>IF($D84="","",IFERROR(VLOOKUP($B84,Kraftvärmeprod!$B$1:$BX$549,MATCH(T$2,Kraftvärmeprod!$B$1:$VX$1,0),FALSE)/1,0)-IFERROR(VLOOKUP($B84,'Slutlig allokering kvv'!$B$2:$BX$549,MATCH(T$2,'Slutlig allokering kvv'!$B$1:$BX$1,0),FALSE)/1,0))</f>
        <v/>
      </c>
      <c r="U84" s="121" t="str">
        <f>IF($D84="","",IFERROR(VLOOKUP($B84,Kraftvärmeprod!$B$1:$BX$549,MATCH(U$2,Kraftvärmeprod!$B$1:$VX$1,0),FALSE)/1,0)-IFERROR(VLOOKUP($B84,'Slutlig allokering kvv'!$B$2:$BX$549,MATCH(U$2,'Slutlig allokering kvv'!$B$1:$BX$1,0),FALSE)/1,0))</f>
        <v/>
      </c>
      <c r="V84" s="121" t="str">
        <f>IF($D84="","",IFERROR(VLOOKUP($B84,Kraftvärmeprod!$B$1:$BX$549,MATCH(V$2,Kraftvärmeprod!$B$1:$VX$1,0),FALSE)/1,0)-IFERROR(VLOOKUP($B84,'Slutlig allokering kvv'!$B$2:$BX$549,MATCH(V$2,'Slutlig allokering kvv'!$B$1:$BX$1,0),FALSE)/1,0))</f>
        <v/>
      </c>
      <c r="W84" s="121" t="str">
        <f>IF($D84="","",IFERROR(VLOOKUP($B84,Kraftvärmeprod!$B$1:$BX$549,MATCH(W$2,Kraftvärmeprod!$B$1:$VX$1,0),FALSE)/1,0)-IFERROR(VLOOKUP($B84,'Slutlig allokering kvv'!$B$2:$BX$549,MATCH(W$2,'Slutlig allokering kvv'!$B$1:$BX$1,0),FALSE)/1,0))</f>
        <v/>
      </c>
      <c r="X84" s="121" t="str">
        <f>IF($D84="","",IFERROR(VLOOKUP($B84,Kraftvärmeprod!$B$1:$BX$549,MATCH(X$2,Kraftvärmeprod!$B$1:$VX$1,0),FALSE)/1,0)-IFERROR(VLOOKUP($B84,'Slutlig allokering kvv'!$B$2:$BX$549,MATCH(X$2,'Slutlig allokering kvv'!$B$1:$BX$1,0),FALSE)/1,0))</f>
        <v/>
      </c>
      <c r="Y84" s="121" t="str">
        <f>IF($D84="","",IFERROR(VLOOKUP($B84,Kraftvärmeprod!$B$1:$BX$549,MATCH(Y$2,Kraftvärmeprod!$B$1:$VX$1,0),FALSE)/1,0)-IFERROR(VLOOKUP($B84,'Slutlig allokering kvv'!$B$2:$BX$549,MATCH(Y$2,'Slutlig allokering kvv'!$B$1:$BX$1,0),FALSE)/1,0))</f>
        <v/>
      </c>
      <c r="Z84" s="121" t="str">
        <f>IF($D84="","",IFERROR(VLOOKUP($B84,Kraftvärmeprod!$B$1:$BX$549,MATCH(Z$2,Kraftvärmeprod!$B$1:$VX$1,0),FALSE)/1,0)-IFERROR(VLOOKUP($B84,'Slutlig allokering kvv'!$B$2:$BX$549,MATCH(Z$2,'Slutlig allokering kvv'!$B$1:$BX$1,0),FALSE)/1,0))</f>
        <v/>
      </c>
      <c r="AA84" s="121" t="str">
        <f>IF($D84="","",IFERROR(VLOOKUP($B84,Kraftvärmeprod!$B$1:$BX$549,MATCH(AA$2,Kraftvärmeprod!$B$1:$VX$1,0),FALSE)/1,0)-IFERROR(VLOOKUP($B84,'Slutlig allokering kvv'!$B$2:$BX$549,MATCH(AA$2,'Slutlig allokering kvv'!$B$1:$BX$1,0),FALSE)/1,0))</f>
        <v/>
      </c>
      <c r="AB84" s="121" t="str">
        <f>IF($D84="","",IFERROR(VLOOKUP($B84,Kraftvärmeprod!$B$1:$BX$549,MATCH(AB$2,Kraftvärmeprod!$B$1:$VX$1,0),FALSE)/1,0)-IFERROR(VLOOKUP($B84,'Slutlig allokering kvv'!$B$2:$BX$549,MATCH(AB$2,'Slutlig allokering kvv'!$B$1:$BX$1,0),FALSE)/1,0))</f>
        <v/>
      </c>
      <c r="AC84" s="121" t="str">
        <f>IF($D84="","",IFERROR(VLOOKUP($B84,Kraftvärmeprod!$B$1:$BX$549,MATCH(AC$2,Kraftvärmeprod!$B$1:$VX$1,0),FALSE)/1,0)-IFERROR(VLOOKUP($B84,'Slutlig allokering kvv'!$B$2:$BX$549,MATCH(AC$2,'Slutlig allokering kvv'!$B$1:$BX$1,0),FALSE)/1,0))</f>
        <v/>
      </c>
      <c r="AD84" s="121" t="str">
        <f>IF($D84="","",IFERROR(VLOOKUP($B84,Kraftvärmeprod!$B$1:$BX$549,MATCH(AD$2,Kraftvärmeprod!$B$1:$VX$1,0),FALSE)/1,0)-IFERROR(VLOOKUP($B84,'Slutlig allokering kvv'!$B$2:$BX$549,MATCH(AD$2,'Slutlig allokering kvv'!$B$1:$BX$1,0),FALSE)/1,0))</f>
        <v/>
      </c>
      <c r="AE84" s="121" t="str">
        <f>IF($D84="","",IFERROR(VLOOKUP($B84,Miljö!$B$1:$E$550,MATCH("Hjälpel kraftvärme (GWh)",Miljö!$B$1:$E$1,0),FALSE)/1,0)-IFERROR(VLOOKUP($B84,'Slutlig allokering kvv'!$B$2:$BX$549,MATCH(AE$2,'Slutlig allokering kvv'!$B$1:$BX$1,0),FALSE)/1,0))</f>
        <v/>
      </c>
      <c r="AI84" s="121">
        <f t="shared" si="4"/>
        <v>0</v>
      </c>
      <c r="AK84" s="121">
        <f>IFERROR(VLOOKUP($B84,'Slutlig allokering kvv'!$B$2:$AX$549,MATCH("Summa slutlig allokerad tillförd energi (utan hjälpel och rökgaskondensering):",'Slutlig allokering kvv'!$B$1:$AX$1,0),FALSE)/1,"")</f>
        <v>0</v>
      </c>
      <c r="AM84" s="172" t="str">
        <f>IFERROR(1-VLOOKUP($B84,'Slutlig allokering kvv'!$B$2:$AX$549,MATCH("Andel av bränsle i kvv som allokerats till värme, exklusive rökgaskondensering och hjälpel",'Slutlig allokering kvv'!$B$1:$AX$1,0),FALSE),"")</f>
        <v/>
      </c>
      <c r="AO84" s="172" t="str">
        <f t="shared" si="5"/>
        <v/>
      </c>
      <c r="AP84" s="173" t="str">
        <f t="shared" si="6"/>
        <v/>
      </c>
      <c r="AR84" s="172" t="str">
        <f t="shared" si="7"/>
        <v/>
      </c>
    </row>
    <row r="85" spans="1:44" x14ac:dyDescent="0.25">
      <c r="A85" s="171" t="str">
        <f>'Miljövärden för publ företag'!B87</f>
        <v>Gislaved Energi AB</v>
      </c>
      <c r="B85" s="171" t="str">
        <f>'Miljövärden för publ företag'!C87</f>
        <v>Reftele</v>
      </c>
      <c r="C85" s="121" t="str">
        <f>IFERROR(VLOOKUP($B85,Kraftvärmeprod!$B$1:$AH$478,MATCH(C$2,Kraftvärmeprod!$B$1:$AG$1,0),FALSE)/1,"")</f>
        <v/>
      </c>
      <c r="D85" s="121" t="str">
        <f>IFERROR(VLOOKUP($B85,Kraftvärmeprod!$B$1:$AH$478,MATCH(D$2,Kraftvärmeprod!$B$1:$AG$1,0),FALSE)/1,"")</f>
        <v/>
      </c>
      <c r="F85" s="121" t="str">
        <f>IF($D85="","",IFERROR(VLOOKUP($B85,Kraftvärmeprod!$B$1:$BX$549,MATCH(F$2,Kraftvärmeprod!$B$1:$VX$1,0),FALSE)/1,0)-IFERROR(VLOOKUP($B85,'Slutlig allokering kvv'!$B$2:$BX$549,MATCH(F$2,'Slutlig allokering kvv'!$B$1:$BX$1,0),FALSE)/1,0))</f>
        <v/>
      </c>
      <c r="G85" s="121" t="str">
        <f>IF($D85="","",IFERROR(VLOOKUP($B85,Kraftvärmeprod!$B$1:$BX$549,MATCH(G$2,Kraftvärmeprod!$B$1:$VX$1,0),FALSE)/1,0)-IFERROR(VLOOKUP($B85,'Slutlig allokering kvv'!$B$2:$BX$549,MATCH(G$2,'Slutlig allokering kvv'!$B$1:$BX$1,0),FALSE)/1,0))</f>
        <v/>
      </c>
      <c r="H85" s="121" t="str">
        <f>IF($D85="","",IFERROR(VLOOKUP($B85,Kraftvärmeprod!$B$1:$BX$549,MATCH(H$2,Kraftvärmeprod!$B$1:$VX$1,0),FALSE)/1,0)-IFERROR(VLOOKUP($B85,'Slutlig allokering kvv'!$B$2:$BX$549,MATCH(H$2,'Slutlig allokering kvv'!$B$1:$BX$1,0),FALSE)/1,0))</f>
        <v/>
      </c>
      <c r="I85" s="121" t="str">
        <f>IF($D85="","",IFERROR(VLOOKUP($B85,Kraftvärmeprod!$B$1:$BX$549,MATCH(I$2,Kraftvärmeprod!$B$1:$VX$1,0),FALSE)/1,0)-IFERROR(VLOOKUP($B85,'Slutlig allokering kvv'!$B$2:$BX$549,MATCH(I$2,'Slutlig allokering kvv'!$B$1:$BX$1,0),FALSE)/1,0))</f>
        <v/>
      </c>
      <c r="J85" s="121" t="str">
        <f>IF($D85="","",IFERROR(VLOOKUP($B85,Kraftvärmeprod!$B$1:$BX$549,MATCH(J$2,Kraftvärmeprod!$B$1:$VX$1,0),FALSE)/1,0)-IFERROR(VLOOKUP($B85,'Slutlig allokering kvv'!$B$2:$BX$549,MATCH(J$2,'Slutlig allokering kvv'!$B$1:$BX$1,0),FALSE)/1,0))</f>
        <v/>
      </c>
      <c r="K85" s="121" t="str">
        <f>IF($D85="","",IFERROR(VLOOKUP($B85,Kraftvärmeprod!$B$1:$BX$549,MATCH(K$2,Kraftvärmeprod!$B$1:$VX$1,0),FALSE)/1,0)-IFERROR(VLOOKUP($B85,'Slutlig allokering kvv'!$B$2:$BX$549,MATCH(K$2,'Slutlig allokering kvv'!$B$1:$BX$1,0),FALSE)/1,0))</f>
        <v/>
      </c>
      <c r="L85" s="121" t="str">
        <f>IF($D85="","",IFERROR(VLOOKUP($B85,Kraftvärmeprod!$B$1:$BX$549,MATCH(L$2,Kraftvärmeprod!$B$1:$VX$1,0),FALSE)/1,0)-IFERROR(VLOOKUP($B85,'Slutlig allokering kvv'!$B$2:$BX$549,MATCH(L$2,'Slutlig allokering kvv'!$B$1:$BX$1,0),FALSE)/1,0))</f>
        <v/>
      </c>
      <c r="M85" s="121" t="str">
        <f>IF($D85="","",IFERROR(VLOOKUP($B85,Kraftvärmeprod!$B$1:$BX$549,MATCH(M$2,Kraftvärmeprod!$B$1:$VX$1,0),FALSE)/1,0)-IFERROR(VLOOKUP($B85,'Slutlig allokering kvv'!$B$2:$BX$549,MATCH(M$2,'Slutlig allokering kvv'!$B$1:$BX$1,0),FALSE)/1,0))</f>
        <v/>
      </c>
      <c r="N85" s="121" t="str">
        <f>IF($D85="","",IFERROR(VLOOKUP($B85,Kraftvärmeprod!$B$1:$BX$549,MATCH(N$2,Kraftvärmeprod!$B$1:$VX$1,0),FALSE)/1,0)-IFERROR(VLOOKUP($B85,'Slutlig allokering kvv'!$B$2:$BX$549,MATCH(N$2,'Slutlig allokering kvv'!$B$1:$BX$1,0),FALSE)/1,0))</f>
        <v/>
      </c>
      <c r="O85" s="121" t="str">
        <f>IF($D85="","",IFERROR(VLOOKUP($B85,Kraftvärmeprod!$B$1:$BX$549,MATCH(O$2,Kraftvärmeprod!$B$1:$VX$1,0),FALSE)/1,0)-IFERROR(VLOOKUP($B85,'Slutlig allokering kvv'!$B$2:$BX$549,MATCH(O$2,'Slutlig allokering kvv'!$B$1:$BX$1,0),FALSE)/1,0))</f>
        <v/>
      </c>
      <c r="P85" s="121" t="str">
        <f>IF($D85="","",IFERROR(VLOOKUP($B85,Kraftvärmeprod!$B$1:$BX$549,MATCH(P$2,Kraftvärmeprod!$B$1:$VX$1,0),FALSE)/1,0)-IFERROR(VLOOKUP($B85,'Slutlig allokering kvv'!$B$2:$BX$549,MATCH(P$2,'Slutlig allokering kvv'!$B$1:$BX$1,0),FALSE)/1,0))</f>
        <v/>
      </c>
      <c r="Q85" s="121" t="str">
        <f>IF($D85="","",IFERROR(VLOOKUP($B85,Kraftvärmeprod!$B$1:$BX$549,MATCH(Q$2,Kraftvärmeprod!$B$1:$VX$1,0),FALSE)/1,0)-IFERROR(VLOOKUP($B85,'Slutlig allokering kvv'!$B$2:$BX$549,MATCH(Q$2,'Slutlig allokering kvv'!$B$1:$BX$1,0),FALSE)/1,0))</f>
        <v/>
      </c>
      <c r="R85" s="121" t="str">
        <f>IF($D85="","",IFERROR(VLOOKUP($B85,Kraftvärmeprod!$B$1:$BX$549,MATCH(R$2,Kraftvärmeprod!$B$1:$VX$1,0),FALSE)/1,0)-IFERROR(VLOOKUP($B85,'Slutlig allokering kvv'!$B$2:$BX$549,MATCH(R$2,'Slutlig allokering kvv'!$B$1:$BX$1,0),FALSE)/1,0))</f>
        <v/>
      </c>
      <c r="S85" s="121" t="str">
        <f>IF($D85="","",IFERROR(VLOOKUP($B85,Kraftvärmeprod!$B$1:$BX$549,MATCH(S$2,Kraftvärmeprod!$B$1:$VX$1,0),FALSE)/1,0)-IFERROR(VLOOKUP($B85,'Slutlig allokering kvv'!$B$2:$BX$549,MATCH(S$2,'Slutlig allokering kvv'!$B$1:$BX$1,0),FALSE)/1,0))</f>
        <v/>
      </c>
      <c r="T85" s="121" t="str">
        <f>IF($D85="","",IFERROR(VLOOKUP($B85,Kraftvärmeprod!$B$1:$BX$549,MATCH(T$2,Kraftvärmeprod!$B$1:$VX$1,0),FALSE)/1,0)-IFERROR(VLOOKUP($B85,'Slutlig allokering kvv'!$B$2:$BX$549,MATCH(T$2,'Slutlig allokering kvv'!$B$1:$BX$1,0),FALSE)/1,0))</f>
        <v/>
      </c>
      <c r="U85" s="121" t="str">
        <f>IF($D85="","",IFERROR(VLOOKUP($B85,Kraftvärmeprod!$B$1:$BX$549,MATCH(U$2,Kraftvärmeprod!$B$1:$VX$1,0),FALSE)/1,0)-IFERROR(VLOOKUP($B85,'Slutlig allokering kvv'!$B$2:$BX$549,MATCH(U$2,'Slutlig allokering kvv'!$B$1:$BX$1,0),FALSE)/1,0))</f>
        <v/>
      </c>
      <c r="V85" s="121" t="str">
        <f>IF($D85="","",IFERROR(VLOOKUP($B85,Kraftvärmeprod!$B$1:$BX$549,MATCH(V$2,Kraftvärmeprod!$B$1:$VX$1,0),FALSE)/1,0)-IFERROR(VLOOKUP($B85,'Slutlig allokering kvv'!$B$2:$BX$549,MATCH(V$2,'Slutlig allokering kvv'!$B$1:$BX$1,0),FALSE)/1,0))</f>
        <v/>
      </c>
      <c r="W85" s="121" t="str">
        <f>IF($D85="","",IFERROR(VLOOKUP($B85,Kraftvärmeprod!$B$1:$BX$549,MATCH(W$2,Kraftvärmeprod!$B$1:$VX$1,0),FALSE)/1,0)-IFERROR(VLOOKUP($B85,'Slutlig allokering kvv'!$B$2:$BX$549,MATCH(W$2,'Slutlig allokering kvv'!$B$1:$BX$1,0),FALSE)/1,0))</f>
        <v/>
      </c>
      <c r="X85" s="121" t="str">
        <f>IF($D85="","",IFERROR(VLOOKUP($B85,Kraftvärmeprod!$B$1:$BX$549,MATCH(X$2,Kraftvärmeprod!$B$1:$VX$1,0),FALSE)/1,0)-IFERROR(VLOOKUP($B85,'Slutlig allokering kvv'!$B$2:$BX$549,MATCH(X$2,'Slutlig allokering kvv'!$B$1:$BX$1,0),FALSE)/1,0))</f>
        <v/>
      </c>
      <c r="Y85" s="121" t="str">
        <f>IF($D85="","",IFERROR(VLOOKUP($B85,Kraftvärmeprod!$B$1:$BX$549,MATCH(Y$2,Kraftvärmeprod!$B$1:$VX$1,0),FALSE)/1,0)-IFERROR(VLOOKUP($B85,'Slutlig allokering kvv'!$B$2:$BX$549,MATCH(Y$2,'Slutlig allokering kvv'!$B$1:$BX$1,0),FALSE)/1,0))</f>
        <v/>
      </c>
      <c r="Z85" s="121" t="str">
        <f>IF($D85="","",IFERROR(VLOOKUP($B85,Kraftvärmeprod!$B$1:$BX$549,MATCH(Z$2,Kraftvärmeprod!$B$1:$VX$1,0),FALSE)/1,0)-IFERROR(VLOOKUP($B85,'Slutlig allokering kvv'!$B$2:$BX$549,MATCH(Z$2,'Slutlig allokering kvv'!$B$1:$BX$1,0),FALSE)/1,0))</f>
        <v/>
      </c>
      <c r="AA85" s="121" t="str">
        <f>IF($D85="","",IFERROR(VLOOKUP($B85,Kraftvärmeprod!$B$1:$BX$549,MATCH(AA$2,Kraftvärmeprod!$B$1:$VX$1,0),FALSE)/1,0)-IFERROR(VLOOKUP($B85,'Slutlig allokering kvv'!$B$2:$BX$549,MATCH(AA$2,'Slutlig allokering kvv'!$B$1:$BX$1,0),FALSE)/1,0))</f>
        <v/>
      </c>
      <c r="AB85" s="121" t="str">
        <f>IF($D85="","",IFERROR(VLOOKUP($B85,Kraftvärmeprod!$B$1:$BX$549,MATCH(AB$2,Kraftvärmeprod!$B$1:$VX$1,0),FALSE)/1,0)-IFERROR(VLOOKUP($B85,'Slutlig allokering kvv'!$B$2:$BX$549,MATCH(AB$2,'Slutlig allokering kvv'!$B$1:$BX$1,0),FALSE)/1,0))</f>
        <v/>
      </c>
      <c r="AC85" s="121" t="str">
        <f>IF($D85="","",IFERROR(VLOOKUP($B85,Kraftvärmeprod!$B$1:$BX$549,MATCH(AC$2,Kraftvärmeprod!$B$1:$VX$1,0),FALSE)/1,0)-IFERROR(VLOOKUP($B85,'Slutlig allokering kvv'!$B$2:$BX$549,MATCH(AC$2,'Slutlig allokering kvv'!$B$1:$BX$1,0),FALSE)/1,0))</f>
        <v/>
      </c>
      <c r="AD85" s="121" t="str">
        <f>IF($D85="","",IFERROR(VLOOKUP($B85,Kraftvärmeprod!$B$1:$BX$549,MATCH(AD$2,Kraftvärmeprod!$B$1:$VX$1,0),FALSE)/1,0)-IFERROR(VLOOKUP($B85,'Slutlig allokering kvv'!$B$2:$BX$549,MATCH(AD$2,'Slutlig allokering kvv'!$B$1:$BX$1,0),FALSE)/1,0))</f>
        <v/>
      </c>
      <c r="AE85" s="121" t="str">
        <f>IF($D85="","",IFERROR(VLOOKUP($B85,Miljö!$B$1:$E$550,MATCH("Hjälpel kraftvärme (GWh)",Miljö!$B$1:$E$1,0),FALSE)/1,0)-IFERROR(VLOOKUP($B85,'Slutlig allokering kvv'!$B$2:$BX$549,MATCH(AE$2,'Slutlig allokering kvv'!$B$1:$BX$1,0),FALSE)/1,0))</f>
        <v/>
      </c>
      <c r="AI85" s="121">
        <f t="shared" si="4"/>
        <v>0</v>
      </c>
      <c r="AK85" s="121">
        <f>IFERROR(VLOOKUP($B85,'Slutlig allokering kvv'!$B$2:$AX$549,MATCH("Summa slutlig allokerad tillförd energi (utan hjälpel och rökgaskondensering):",'Slutlig allokering kvv'!$B$1:$AX$1,0),FALSE)/1,"")</f>
        <v>0</v>
      </c>
      <c r="AM85" s="172" t="str">
        <f>IFERROR(1-VLOOKUP($B85,'Slutlig allokering kvv'!$B$2:$AX$549,MATCH("Andel av bränsle i kvv som allokerats till värme, exklusive rökgaskondensering och hjälpel",'Slutlig allokering kvv'!$B$1:$AX$1,0),FALSE),"")</f>
        <v/>
      </c>
      <c r="AO85" s="172" t="str">
        <f t="shared" si="5"/>
        <v/>
      </c>
      <c r="AP85" s="173" t="str">
        <f t="shared" si="6"/>
        <v/>
      </c>
      <c r="AR85" s="172" t="str">
        <f t="shared" si="7"/>
        <v/>
      </c>
    </row>
    <row r="86" spans="1:44" x14ac:dyDescent="0.25">
      <c r="A86" s="171" t="str">
        <f>'Miljövärden för publ företag'!B88</f>
        <v>Gotlands Energi AB</v>
      </c>
      <c r="B86" s="171" t="str">
        <f>'Miljövärden för publ företag'!C88</f>
        <v>Hemse</v>
      </c>
      <c r="C86" s="121" t="str">
        <f>IFERROR(VLOOKUP($B86,Kraftvärmeprod!$B$1:$AH$478,MATCH(C$2,Kraftvärmeprod!$B$1:$AG$1,0),FALSE)/1,"")</f>
        <v/>
      </c>
      <c r="D86" s="121" t="str">
        <f>IFERROR(VLOOKUP($B86,Kraftvärmeprod!$B$1:$AH$478,MATCH(D$2,Kraftvärmeprod!$B$1:$AG$1,0),FALSE)/1,"")</f>
        <v/>
      </c>
      <c r="F86" s="121" t="str">
        <f>IF($D86="","",IFERROR(VLOOKUP($B86,Kraftvärmeprod!$B$1:$BX$549,MATCH(F$2,Kraftvärmeprod!$B$1:$VX$1,0),FALSE)/1,0)-IFERROR(VLOOKUP($B86,'Slutlig allokering kvv'!$B$2:$BX$549,MATCH(F$2,'Slutlig allokering kvv'!$B$1:$BX$1,0),FALSE)/1,0))</f>
        <v/>
      </c>
      <c r="G86" s="121" t="str">
        <f>IF($D86="","",IFERROR(VLOOKUP($B86,Kraftvärmeprod!$B$1:$BX$549,MATCH(G$2,Kraftvärmeprod!$B$1:$VX$1,0),FALSE)/1,0)-IFERROR(VLOOKUP($B86,'Slutlig allokering kvv'!$B$2:$BX$549,MATCH(G$2,'Slutlig allokering kvv'!$B$1:$BX$1,0),FALSE)/1,0))</f>
        <v/>
      </c>
      <c r="H86" s="121" t="str">
        <f>IF($D86="","",IFERROR(VLOOKUP($B86,Kraftvärmeprod!$B$1:$BX$549,MATCH(H$2,Kraftvärmeprod!$B$1:$VX$1,0),FALSE)/1,0)-IFERROR(VLOOKUP($B86,'Slutlig allokering kvv'!$B$2:$BX$549,MATCH(H$2,'Slutlig allokering kvv'!$B$1:$BX$1,0),FALSE)/1,0))</f>
        <v/>
      </c>
      <c r="I86" s="121" t="str">
        <f>IF($D86="","",IFERROR(VLOOKUP($B86,Kraftvärmeprod!$B$1:$BX$549,MATCH(I$2,Kraftvärmeprod!$B$1:$VX$1,0),FALSE)/1,0)-IFERROR(VLOOKUP($B86,'Slutlig allokering kvv'!$B$2:$BX$549,MATCH(I$2,'Slutlig allokering kvv'!$B$1:$BX$1,0),FALSE)/1,0))</f>
        <v/>
      </c>
      <c r="J86" s="121" t="str">
        <f>IF($D86="","",IFERROR(VLOOKUP($B86,Kraftvärmeprod!$B$1:$BX$549,MATCH(J$2,Kraftvärmeprod!$B$1:$VX$1,0),FALSE)/1,0)-IFERROR(VLOOKUP($B86,'Slutlig allokering kvv'!$B$2:$BX$549,MATCH(J$2,'Slutlig allokering kvv'!$B$1:$BX$1,0),FALSE)/1,0))</f>
        <v/>
      </c>
      <c r="K86" s="121" t="str">
        <f>IF($D86="","",IFERROR(VLOOKUP($B86,Kraftvärmeprod!$B$1:$BX$549,MATCH(K$2,Kraftvärmeprod!$B$1:$VX$1,0),FALSE)/1,0)-IFERROR(VLOOKUP($B86,'Slutlig allokering kvv'!$B$2:$BX$549,MATCH(K$2,'Slutlig allokering kvv'!$B$1:$BX$1,0),FALSE)/1,0))</f>
        <v/>
      </c>
      <c r="L86" s="121" t="str">
        <f>IF($D86="","",IFERROR(VLOOKUP($B86,Kraftvärmeprod!$B$1:$BX$549,MATCH(L$2,Kraftvärmeprod!$B$1:$VX$1,0),FALSE)/1,0)-IFERROR(VLOOKUP($B86,'Slutlig allokering kvv'!$B$2:$BX$549,MATCH(L$2,'Slutlig allokering kvv'!$B$1:$BX$1,0),FALSE)/1,0))</f>
        <v/>
      </c>
      <c r="M86" s="121" t="str">
        <f>IF($D86="","",IFERROR(VLOOKUP($B86,Kraftvärmeprod!$B$1:$BX$549,MATCH(M$2,Kraftvärmeprod!$B$1:$VX$1,0),FALSE)/1,0)-IFERROR(VLOOKUP($B86,'Slutlig allokering kvv'!$B$2:$BX$549,MATCH(M$2,'Slutlig allokering kvv'!$B$1:$BX$1,0),FALSE)/1,0))</f>
        <v/>
      </c>
      <c r="N86" s="121" t="str">
        <f>IF($D86="","",IFERROR(VLOOKUP($B86,Kraftvärmeprod!$B$1:$BX$549,MATCH(N$2,Kraftvärmeprod!$B$1:$VX$1,0),FALSE)/1,0)-IFERROR(VLOOKUP($B86,'Slutlig allokering kvv'!$B$2:$BX$549,MATCH(N$2,'Slutlig allokering kvv'!$B$1:$BX$1,0),FALSE)/1,0))</f>
        <v/>
      </c>
      <c r="O86" s="121" t="str">
        <f>IF($D86="","",IFERROR(VLOOKUP($B86,Kraftvärmeprod!$B$1:$BX$549,MATCH(O$2,Kraftvärmeprod!$B$1:$VX$1,0),FALSE)/1,0)-IFERROR(VLOOKUP($B86,'Slutlig allokering kvv'!$B$2:$BX$549,MATCH(O$2,'Slutlig allokering kvv'!$B$1:$BX$1,0),FALSE)/1,0))</f>
        <v/>
      </c>
      <c r="P86" s="121" t="str">
        <f>IF($D86="","",IFERROR(VLOOKUP($B86,Kraftvärmeprod!$B$1:$BX$549,MATCH(P$2,Kraftvärmeprod!$B$1:$VX$1,0),FALSE)/1,0)-IFERROR(VLOOKUP($B86,'Slutlig allokering kvv'!$B$2:$BX$549,MATCH(P$2,'Slutlig allokering kvv'!$B$1:$BX$1,0),FALSE)/1,0))</f>
        <v/>
      </c>
      <c r="Q86" s="121" t="str">
        <f>IF($D86="","",IFERROR(VLOOKUP($B86,Kraftvärmeprod!$B$1:$BX$549,MATCH(Q$2,Kraftvärmeprod!$B$1:$VX$1,0),FALSE)/1,0)-IFERROR(VLOOKUP($B86,'Slutlig allokering kvv'!$B$2:$BX$549,MATCH(Q$2,'Slutlig allokering kvv'!$B$1:$BX$1,0),FALSE)/1,0))</f>
        <v/>
      </c>
      <c r="R86" s="121" t="str">
        <f>IF($D86="","",IFERROR(VLOOKUP($B86,Kraftvärmeprod!$B$1:$BX$549,MATCH(R$2,Kraftvärmeprod!$B$1:$VX$1,0),FALSE)/1,0)-IFERROR(VLOOKUP($B86,'Slutlig allokering kvv'!$B$2:$BX$549,MATCH(R$2,'Slutlig allokering kvv'!$B$1:$BX$1,0),FALSE)/1,0))</f>
        <v/>
      </c>
      <c r="S86" s="121" t="str">
        <f>IF($D86="","",IFERROR(VLOOKUP($B86,Kraftvärmeprod!$B$1:$BX$549,MATCH(S$2,Kraftvärmeprod!$B$1:$VX$1,0),FALSE)/1,0)-IFERROR(VLOOKUP($B86,'Slutlig allokering kvv'!$B$2:$BX$549,MATCH(S$2,'Slutlig allokering kvv'!$B$1:$BX$1,0),FALSE)/1,0))</f>
        <v/>
      </c>
      <c r="T86" s="121" t="str">
        <f>IF($D86="","",IFERROR(VLOOKUP($B86,Kraftvärmeprod!$B$1:$BX$549,MATCH(T$2,Kraftvärmeprod!$B$1:$VX$1,0),FALSE)/1,0)-IFERROR(VLOOKUP($B86,'Slutlig allokering kvv'!$B$2:$BX$549,MATCH(T$2,'Slutlig allokering kvv'!$B$1:$BX$1,0),FALSE)/1,0))</f>
        <v/>
      </c>
      <c r="U86" s="121" t="str">
        <f>IF($D86="","",IFERROR(VLOOKUP($B86,Kraftvärmeprod!$B$1:$BX$549,MATCH(U$2,Kraftvärmeprod!$B$1:$VX$1,0),FALSE)/1,0)-IFERROR(VLOOKUP($B86,'Slutlig allokering kvv'!$B$2:$BX$549,MATCH(U$2,'Slutlig allokering kvv'!$B$1:$BX$1,0),FALSE)/1,0))</f>
        <v/>
      </c>
      <c r="V86" s="121" t="str">
        <f>IF($D86="","",IFERROR(VLOOKUP($B86,Kraftvärmeprod!$B$1:$BX$549,MATCH(V$2,Kraftvärmeprod!$B$1:$VX$1,0),FALSE)/1,0)-IFERROR(VLOOKUP($B86,'Slutlig allokering kvv'!$B$2:$BX$549,MATCH(V$2,'Slutlig allokering kvv'!$B$1:$BX$1,0),FALSE)/1,0))</f>
        <v/>
      </c>
      <c r="W86" s="121" t="str">
        <f>IF($D86="","",IFERROR(VLOOKUP($B86,Kraftvärmeprod!$B$1:$BX$549,MATCH(W$2,Kraftvärmeprod!$B$1:$VX$1,0),FALSE)/1,0)-IFERROR(VLOOKUP($B86,'Slutlig allokering kvv'!$B$2:$BX$549,MATCH(W$2,'Slutlig allokering kvv'!$B$1:$BX$1,0),FALSE)/1,0))</f>
        <v/>
      </c>
      <c r="X86" s="121" t="str">
        <f>IF($D86="","",IFERROR(VLOOKUP($B86,Kraftvärmeprod!$B$1:$BX$549,MATCH(X$2,Kraftvärmeprod!$B$1:$VX$1,0),FALSE)/1,0)-IFERROR(VLOOKUP($B86,'Slutlig allokering kvv'!$B$2:$BX$549,MATCH(X$2,'Slutlig allokering kvv'!$B$1:$BX$1,0),FALSE)/1,0))</f>
        <v/>
      </c>
      <c r="Y86" s="121" t="str">
        <f>IF($D86="","",IFERROR(VLOOKUP($B86,Kraftvärmeprod!$B$1:$BX$549,MATCH(Y$2,Kraftvärmeprod!$B$1:$VX$1,0),FALSE)/1,0)-IFERROR(VLOOKUP($B86,'Slutlig allokering kvv'!$B$2:$BX$549,MATCH(Y$2,'Slutlig allokering kvv'!$B$1:$BX$1,0),FALSE)/1,0))</f>
        <v/>
      </c>
      <c r="Z86" s="121" t="str">
        <f>IF($D86="","",IFERROR(VLOOKUP($B86,Kraftvärmeprod!$B$1:$BX$549,MATCH(Z$2,Kraftvärmeprod!$B$1:$VX$1,0),FALSE)/1,0)-IFERROR(VLOOKUP($B86,'Slutlig allokering kvv'!$B$2:$BX$549,MATCH(Z$2,'Slutlig allokering kvv'!$B$1:$BX$1,0),FALSE)/1,0))</f>
        <v/>
      </c>
      <c r="AA86" s="121" t="str">
        <f>IF($D86="","",IFERROR(VLOOKUP($B86,Kraftvärmeprod!$B$1:$BX$549,MATCH(AA$2,Kraftvärmeprod!$B$1:$VX$1,0),FALSE)/1,0)-IFERROR(VLOOKUP($B86,'Slutlig allokering kvv'!$B$2:$BX$549,MATCH(AA$2,'Slutlig allokering kvv'!$B$1:$BX$1,0),FALSE)/1,0))</f>
        <v/>
      </c>
      <c r="AB86" s="121" t="str">
        <f>IF($D86="","",IFERROR(VLOOKUP($B86,Kraftvärmeprod!$B$1:$BX$549,MATCH(AB$2,Kraftvärmeprod!$B$1:$VX$1,0),FALSE)/1,0)-IFERROR(VLOOKUP($B86,'Slutlig allokering kvv'!$B$2:$BX$549,MATCH(AB$2,'Slutlig allokering kvv'!$B$1:$BX$1,0),FALSE)/1,0))</f>
        <v/>
      </c>
      <c r="AC86" s="121" t="str">
        <f>IF($D86="","",IFERROR(VLOOKUP($B86,Kraftvärmeprod!$B$1:$BX$549,MATCH(AC$2,Kraftvärmeprod!$B$1:$VX$1,0),FALSE)/1,0)-IFERROR(VLOOKUP($B86,'Slutlig allokering kvv'!$B$2:$BX$549,MATCH(AC$2,'Slutlig allokering kvv'!$B$1:$BX$1,0),FALSE)/1,0))</f>
        <v/>
      </c>
      <c r="AD86" s="121" t="str">
        <f>IF($D86="","",IFERROR(VLOOKUP($B86,Kraftvärmeprod!$B$1:$BX$549,MATCH(AD$2,Kraftvärmeprod!$B$1:$VX$1,0),FALSE)/1,0)-IFERROR(VLOOKUP($B86,'Slutlig allokering kvv'!$B$2:$BX$549,MATCH(AD$2,'Slutlig allokering kvv'!$B$1:$BX$1,0),FALSE)/1,0))</f>
        <v/>
      </c>
      <c r="AE86" s="121" t="str">
        <f>IF($D86="","",IFERROR(VLOOKUP($B86,Miljö!$B$1:$E$550,MATCH("Hjälpel kraftvärme (GWh)",Miljö!$B$1:$E$1,0),FALSE)/1,0)-IFERROR(VLOOKUP($B86,'Slutlig allokering kvv'!$B$2:$BX$549,MATCH(AE$2,'Slutlig allokering kvv'!$B$1:$BX$1,0),FALSE)/1,0))</f>
        <v/>
      </c>
      <c r="AI86" s="121">
        <f t="shared" si="4"/>
        <v>0</v>
      </c>
      <c r="AK86" s="121">
        <f>IFERROR(VLOOKUP($B86,'Slutlig allokering kvv'!$B$2:$AX$549,MATCH("Summa slutlig allokerad tillförd energi (utan hjälpel och rökgaskondensering):",'Slutlig allokering kvv'!$B$1:$AX$1,0),FALSE)/1,"")</f>
        <v>0</v>
      </c>
      <c r="AM86" s="172" t="str">
        <f>IFERROR(1-VLOOKUP($B86,'Slutlig allokering kvv'!$B$2:$AX$549,MATCH("Andel av bränsle i kvv som allokerats till värme, exklusive rökgaskondensering och hjälpel",'Slutlig allokering kvv'!$B$1:$AX$1,0),FALSE),"")</f>
        <v/>
      </c>
      <c r="AO86" s="172" t="str">
        <f t="shared" si="5"/>
        <v/>
      </c>
      <c r="AP86" s="173" t="str">
        <f t="shared" si="6"/>
        <v/>
      </c>
      <c r="AR86" s="172" t="str">
        <f t="shared" si="7"/>
        <v/>
      </c>
    </row>
    <row r="87" spans="1:44" x14ac:dyDescent="0.25">
      <c r="A87" s="171" t="str">
        <f>'Miljövärden för publ företag'!B89</f>
        <v>Gotlands Energi AB</v>
      </c>
      <c r="B87" s="171" t="str">
        <f>'Miljövärden för publ företag'!C89</f>
        <v>Klintehamn</v>
      </c>
      <c r="C87" s="121" t="str">
        <f>IFERROR(VLOOKUP($B87,Kraftvärmeprod!$B$1:$AH$478,MATCH(C$2,Kraftvärmeprod!$B$1:$AG$1,0),FALSE)/1,"")</f>
        <v/>
      </c>
      <c r="D87" s="121" t="str">
        <f>IFERROR(VLOOKUP($B87,Kraftvärmeprod!$B$1:$AH$478,MATCH(D$2,Kraftvärmeprod!$B$1:$AG$1,0),FALSE)/1,"")</f>
        <v/>
      </c>
      <c r="F87" s="121" t="str">
        <f>IF($D87="","",IFERROR(VLOOKUP($B87,Kraftvärmeprod!$B$1:$BX$549,MATCH(F$2,Kraftvärmeprod!$B$1:$VX$1,0),FALSE)/1,0)-IFERROR(VLOOKUP($B87,'Slutlig allokering kvv'!$B$2:$BX$549,MATCH(F$2,'Slutlig allokering kvv'!$B$1:$BX$1,0),FALSE)/1,0))</f>
        <v/>
      </c>
      <c r="G87" s="121" t="str">
        <f>IF($D87="","",IFERROR(VLOOKUP($B87,Kraftvärmeprod!$B$1:$BX$549,MATCH(G$2,Kraftvärmeprod!$B$1:$VX$1,0),FALSE)/1,0)-IFERROR(VLOOKUP($B87,'Slutlig allokering kvv'!$B$2:$BX$549,MATCH(G$2,'Slutlig allokering kvv'!$B$1:$BX$1,0),FALSE)/1,0))</f>
        <v/>
      </c>
      <c r="H87" s="121" t="str">
        <f>IF($D87="","",IFERROR(VLOOKUP($B87,Kraftvärmeprod!$B$1:$BX$549,MATCH(H$2,Kraftvärmeprod!$B$1:$VX$1,0),FALSE)/1,0)-IFERROR(VLOOKUP($B87,'Slutlig allokering kvv'!$B$2:$BX$549,MATCH(H$2,'Slutlig allokering kvv'!$B$1:$BX$1,0),FALSE)/1,0))</f>
        <v/>
      </c>
      <c r="I87" s="121" t="str">
        <f>IF($D87="","",IFERROR(VLOOKUP($B87,Kraftvärmeprod!$B$1:$BX$549,MATCH(I$2,Kraftvärmeprod!$B$1:$VX$1,0),FALSE)/1,0)-IFERROR(VLOOKUP($B87,'Slutlig allokering kvv'!$B$2:$BX$549,MATCH(I$2,'Slutlig allokering kvv'!$B$1:$BX$1,0),FALSE)/1,0))</f>
        <v/>
      </c>
      <c r="J87" s="121" t="str">
        <f>IF($D87="","",IFERROR(VLOOKUP($B87,Kraftvärmeprod!$B$1:$BX$549,MATCH(J$2,Kraftvärmeprod!$B$1:$VX$1,0),FALSE)/1,0)-IFERROR(VLOOKUP($B87,'Slutlig allokering kvv'!$B$2:$BX$549,MATCH(J$2,'Slutlig allokering kvv'!$B$1:$BX$1,0),FALSE)/1,0))</f>
        <v/>
      </c>
      <c r="K87" s="121" t="str">
        <f>IF($D87="","",IFERROR(VLOOKUP($B87,Kraftvärmeprod!$B$1:$BX$549,MATCH(K$2,Kraftvärmeprod!$B$1:$VX$1,0),FALSE)/1,0)-IFERROR(VLOOKUP($B87,'Slutlig allokering kvv'!$B$2:$BX$549,MATCH(K$2,'Slutlig allokering kvv'!$B$1:$BX$1,0),FALSE)/1,0))</f>
        <v/>
      </c>
      <c r="L87" s="121" t="str">
        <f>IF($D87="","",IFERROR(VLOOKUP($B87,Kraftvärmeprod!$B$1:$BX$549,MATCH(L$2,Kraftvärmeprod!$B$1:$VX$1,0),FALSE)/1,0)-IFERROR(VLOOKUP($B87,'Slutlig allokering kvv'!$B$2:$BX$549,MATCH(L$2,'Slutlig allokering kvv'!$B$1:$BX$1,0),FALSE)/1,0))</f>
        <v/>
      </c>
      <c r="M87" s="121" t="str">
        <f>IF($D87="","",IFERROR(VLOOKUP($B87,Kraftvärmeprod!$B$1:$BX$549,MATCH(M$2,Kraftvärmeprod!$B$1:$VX$1,0),FALSE)/1,0)-IFERROR(VLOOKUP($B87,'Slutlig allokering kvv'!$B$2:$BX$549,MATCH(M$2,'Slutlig allokering kvv'!$B$1:$BX$1,0),FALSE)/1,0))</f>
        <v/>
      </c>
      <c r="N87" s="121" t="str">
        <f>IF($D87="","",IFERROR(VLOOKUP($B87,Kraftvärmeprod!$B$1:$BX$549,MATCH(N$2,Kraftvärmeprod!$B$1:$VX$1,0),FALSE)/1,0)-IFERROR(VLOOKUP($B87,'Slutlig allokering kvv'!$B$2:$BX$549,MATCH(N$2,'Slutlig allokering kvv'!$B$1:$BX$1,0),FALSE)/1,0))</f>
        <v/>
      </c>
      <c r="O87" s="121" t="str">
        <f>IF($D87="","",IFERROR(VLOOKUP($B87,Kraftvärmeprod!$B$1:$BX$549,MATCH(O$2,Kraftvärmeprod!$B$1:$VX$1,0),FALSE)/1,0)-IFERROR(VLOOKUP($B87,'Slutlig allokering kvv'!$B$2:$BX$549,MATCH(O$2,'Slutlig allokering kvv'!$B$1:$BX$1,0),FALSE)/1,0))</f>
        <v/>
      </c>
      <c r="P87" s="121" t="str">
        <f>IF($D87="","",IFERROR(VLOOKUP($B87,Kraftvärmeprod!$B$1:$BX$549,MATCH(P$2,Kraftvärmeprod!$B$1:$VX$1,0),FALSE)/1,0)-IFERROR(VLOOKUP($B87,'Slutlig allokering kvv'!$B$2:$BX$549,MATCH(P$2,'Slutlig allokering kvv'!$B$1:$BX$1,0),FALSE)/1,0))</f>
        <v/>
      </c>
      <c r="Q87" s="121" t="str">
        <f>IF($D87="","",IFERROR(VLOOKUP($B87,Kraftvärmeprod!$B$1:$BX$549,MATCH(Q$2,Kraftvärmeprod!$B$1:$VX$1,0),FALSE)/1,0)-IFERROR(VLOOKUP($B87,'Slutlig allokering kvv'!$B$2:$BX$549,MATCH(Q$2,'Slutlig allokering kvv'!$B$1:$BX$1,0),FALSE)/1,0))</f>
        <v/>
      </c>
      <c r="R87" s="121" t="str">
        <f>IF($D87="","",IFERROR(VLOOKUP($B87,Kraftvärmeprod!$B$1:$BX$549,MATCH(R$2,Kraftvärmeprod!$B$1:$VX$1,0),FALSE)/1,0)-IFERROR(VLOOKUP($B87,'Slutlig allokering kvv'!$B$2:$BX$549,MATCH(R$2,'Slutlig allokering kvv'!$B$1:$BX$1,0),FALSE)/1,0))</f>
        <v/>
      </c>
      <c r="S87" s="121" t="str">
        <f>IF($D87="","",IFERROR(VLOOKUP($B87,Kraftvärmeprod!$B$1:$BX$549,MATCH(S$2,Kraftvärmeprod!$B$1:$VX$1,0),FALSE)/1,0)-IFERROR(VLOOKUP($B87,'Slutlig allokering kvv'!$B$2:$BX$549,MATCH(S$2,'Slutlig allokering kvv'!$B$1:$BX$1,0),FALSE)/1,0))</f>
        <v/>
      </c>
      <c r="T87" s="121" t="str">
        <f>IF($D87="","",IFERROR(VLOOKUP($B87,Kraftvärmeprod!$B$1:$BX$549,MATCH(T$2,Kraftvärmeprod!$B$1:$VX$1,0),FALSE)/1,0)-IFERROR(VLOOKUP($B87,'Slutlig allokering kvv'!$B$2:$BX$549,MATCH(T$2,'Slutlig allokering kvv'!$B$1:$BX$1,0),FALSE)/1,0))</f>
        <v/>
      </c>
      <c r="U87" s="121" t="str">
        <f>IF($D87="","",IFERROR(VLOOKUP($B87,Kraftvärmeprod!$B$1:$BX$549,MATCH(U$2,Kraftvärmeprod!$B$1:$VX$1,0),FALSE)/1,0)-IFERROR(VLOOKUP($B87,'Slutlig allokering kvv'!$B$2:$BX$549,MATCH(U$2,'Slutlig allokering kvv'!$B$1:$BX$1,0),FALSE)/1,0))</f>
        <v/>
      </c>
      <c r="V87" s="121" t="str">
        <f>IF($D87="","",IFERROR(VLOOKUP($B87,Kraftvärmeprod!$B$1:$BX$549,MATCH(V$2,Kraftvärmeprod!$B$1:$VX$1,0),FALSE)/1,0)-IFERROR(VLOOKUP($B87,'Slutlig allokering kvv'!$B$2:$BX$549,MATCH(V$2,'Slutlig allokering kvv'!$B$1:$BX$1,0),FALSE)/1,0))</f>
        <v/>
      </c>
      <c r="W87" s="121" t="str">
        <f>IF($D87="","",IFERROR(VLOOKUP($B87,Kraftvärmeprod!$B$1:$BX$549,MATCH(W$2,Kraftvärmeprod!$B$1:$VX$1,0),FALSE)/1,0)-IFERROR(VLOOKUP($B87,'Slutlig allokering kvv'!$B$2:$BX$549,MATCH(W$2,'Slutlig allokering kvv'!$B$1:$BX$1,0),FALSE)/1,0))</f>
        <v/>
      </c>
      <c r="X87" s="121" t="str">
        <f>IF($D87="","",IFERROR(VLOOKUP($B87,Kraftvärmeprod!$B$1:$BX$549,MATCH(X$2,Kraftvärmeprod!$B$1:$VX$1,0),FALSE)/1,0)-IFERROR(VLOOKUP($B87,'Slutlig allokering kvv'!$B$2:$BX$549,MATCH(X$2,'Slutlig allokering kvv'!$B$1:$BX$1,0),FALSE)/1,0))</f>
        <v/>
      </c>
      <c r="Y87" s="121" t="str">
        <f>IF($D87="","",IFERROR(VLOOKUP($B87,Kraftvärmeprod!$B$1:$BX$549,MATCH(Y$2,Kraftvärmeprod!$B$1:$VX$1,0),FALSE)/1,0)-IFERROR(VLOOKUP($B87,'Slutlig allokering kvv'!$B$2:$BX$549,MATCH(Y$2,'Slutlig allokering kvv'!$B$1:$BX$1,0),FALSE)/1,0))</f>
        <v/>
      </c>
      <c r="Z87" s="121" t="str">
        <f>IF($D87="","",IFERROR(VLOOKUP($B87,Kraftvärmeprod!$B$1:$BX$549,MATCH(Z$2,Kraftvärmeprod!$B$1:$VX$1,0),FALSE)/1,0)-IFERROR(VLOOKUP($B87,'Slutlig allokering kvv'!$B$2:$BX$549,MATCH(Z$2,'Slutlig allokering kvv'!$B$1:$BX$1,0),FALSE)/1,0))</f>
        <v/>
      </c>
      <c r="AA87" s="121" t="str">
        <f>IF($D87="","",IFERROR(VLOOKUP($B87,Kraftvärmeprod!$B$1:$BX$549,MATCH(AA$2,Kraftvärmeprod!$B$1:$VX$1,0),FALSE)/1,0)-IFERROR(VLOOKUP($B87,'Slutlig allokering kvv'!$B$2:$BX$549,MATCH(AA$2,'Slutlig allokering kvv'!$B$1:$BX$1,0),FALSE)/1,0))</f>
        <v/>
      </c>
      <c r="AB87" s="121" t="str">
        <f>IF($D87="","",IFERROR(VLOOKUP($B87,Kraftvärmeprod!$B$1:$BX$549,MATCH(AB$2,Kraftvärmeprod!$B$1:$VX$1,0),FALSE)/1,0)-IFERROR(VLOOKUP($B87,'Slutlig allokering kvv'!$B$2:$BX$549,MATCH(AB$2,'Slutlig allokering kvv'!$B$1:$BX$1,0),FALSE)/1,0))</f>
        <v/>
      </c>
      <c r="AC87" s="121" t="str">
        <f>IF($D87="","",IFERROR(VLOOKUP($B87,Kraftvärmeprod!$B$1:$BX$549,MATCH(AC$2,Kraftvärmeprod!$B$1:$VX$1,0),FALSE)/1,0)-IFERROR(VLOOKUP($B87,'Slutlig allokering kvv'!$B$2:$BX$549,MATCH(AC$2,'Slutlig allokering kvv'!$B$1:$BX$1,0),FALSE)/1,0))</f>
        <v/>
      </c>
      <c r="AD87" s="121" t="str">
        <f>IF($D87="","",IFERROR(VLOOKUP($B87,Kraftvärmeprod!$B$1:$BX$549,MATCH(AD$2,Kraftvärmeprod!$B$1:$VX$1,0),FALSE)/1,0)-IFERROR(VLOOKUP($B87,'Slutlig allokering kvv'!$B$2:$BX$549,MATCH(AD$2,'Slutlig allokering kvv'!$B$1:$BX$1,0),FALSE)/1,0))</f>
        <v/>
      </c>
      <c r="AE87" s="121" t="str">
        <f>IF($D87="","",IFERROR(VLOOKUP($B87,Miljö!$B$1:$E$550,MATCH("Hjälpel kraftvärme (GWh)",Miljö!$B$1:$E$1,0),FALSE)/1,0)-IFERROR(VLOOKUP($B87,'Slutlig allokering kvv'!$B$2:$BX$549,MATCH(AE$2,'Slutlig allokering kvv'!$B$1:$BX$1,0),FALSE)/1,0))</f>
        <v/>
      </c>
      <c r="AI87" s="121">
        <f t="shared" si="4"/>
        <v>0</v>
      </c>
      <c r="AK87" s="121">
        <f>IFERROR(VLOOKUP($B87,'Slutlig allokering kvv'!$B$2:$AX$549,MATCH("Summa slutlig allokerad tillförd energi (utan hjälpel och rökgaskondensering):",'Slutlig allokering kvv'!$B$1:$AX$1,0),FALSE)/1,"")</f>
        <v>0</v>
      </c>
      <c r="AM87" s="172" t="str">
        <f>IFERROR(1-VLOOKUP($B87,'Slutlig allokering kvv'!$B$2:$AX$549,MATCH("Andel av bränsle i kvv som allokerats till värme, exklusive rökgaskondensering och hjälpel",'Slutlig allokering kvv'!$B$1:$AX$1,0),FALSE),"")</f>
        <v/>
      </c>
      <c r="AO87" s="172" t="str">
        <f t="shared" si="5"/>
        <v/>
      </c>
      <c r="AP87" s="173" t="str">
        <f t="shared" si="6"/>
        <v/>
      </c>
      <c r="AR87" s="172" t="str">
        <f t="shared" si="7"/>
        <v/>
      </c>
    </row>
    <row r="88" spans="1:44" x14ac:dyDescent="0.25">
      <c r="A88" s="171" t="str">
        <f>'Miljövärden för publ företag'!B90</f>
        <v>Gotlands Energi AB</v>
      </c>
      <c r="B88" s="171" t="str">
        <f>'Miljövärden för publ företag'!C90</f>
        <v>Slite</v>
      </c>
      <c r="C88" s="121" t="str">
        <f>IFERROR(VLOOKUP($B88,Kraftvärmeprod!$B$1:$AH$478,MATCH(C$2,Kraftvärmeprod!$B$1:$AG$1,0),FALSE)/1,"")</f>
        <v/>
      </c>
      <c r="D88" s="121" t="str">
        <f>IFERROR(VLOOKUP($B88,Kraftvärmeprod!$B$1:$AH$478,MATCH(D$2,Kraftvärmeprod!$B$1:$AG$1,0),FALSE)/1,"")</f>
        <v/>
      </c>
      <c r="F88" s="121" t="str">
        <f>IF($D88="","",IFERROR(VLOOKUP($B88,Kraftvärmeprod!$B$1:$BX$549,MATCH(F$2,Kraftvärmeprod!$B$1:$VX$1,0),FALSE)/1,0)-IFERROR(VLOOKUP($B88,'Slutlig allokering kvv'!$B$2:$BX$549,MATCH(F$2,'Slutlig allokering kvv'!$B$1:$BX$1,0),FALSE)/1,0))</f>
        <v/>
      </c>
      <c r="G88" s="121" t="str">
        <f>IF($D88="","",IFERROR(VLOOKUP($B88,Kraftvärmeprod!$B$1:$BX$549,MATCH(G$2,Kraftvärmeprod!$B$1:$VX$1,0),FALSE)/1,0)-IFERROR(VLOOKUP($B88,'Slutlig allokering kvv'!$B$2:$BX$549,MATCH(G$2,'Slutlig allokering kvv'!$B$1:$BX$1,0),FALSE)/1,0))</f>
        <v/>
      </c>
      <c r="H88" s="121" t="str">
        <f>IF($D88="","",IFERROR(VLOOKUP($B88,Kraftvärmeprod!$B$1:$BX$549,MATCH(H$2,Kraftvärmeprod!$B$1:$VX$1,0),FALSE)/1,0)-IFERROR(VLOOKUP($B88,'Slutlig allokering kvv'!$B$2:$BX$549,MATCH(H$2,'Slutlig allokering kvv'!$B$1:$BX$1,0),FALSE)/1,0))</f>
        <v/>
      </c>
      <c r="I88" s="121" t="str">
        <f>IF($D88="","",IFERROR(VLOOKUP($B88,Kraftvärmeprod!$B$1:$BX$549,MATCH(I$2,Kraftvärmeprod!$B$1:$VX$1,0),FALSE)/1,0)-IFERROR(VLOOKUP($B88,'Slutlig allokering kvv'!$B$2:$BX$549,MATCH(I$2,'Slutlig allokering kvv'!$B$1:$BX$1,0),FALSE)/1,0))</f>
        <v/>
      </c>
      <c r="J88" s="121" t="str">
        <f>IF($D88="","",IFERROR(VLOOKUP($B88,Kraftvärmeprod!$B$1:$BX$549,MATCH(J$2,Kraftvärmeprod!$B$1:$VX$1,0),FALSE)/1,0)-IFERROR(VLOOKUP($B88,'Slutlig allokering kvv'!$B$2:$BX$549,MATCH(J$2,'Slutlig allokering kvv'!$B$1:$BX$1,0),FALSE)/1,0))</f>
        <v/>
      </c>
      <c r="K88" s="121" t="str">
        <f>IF($D88="","",IFERROR(VLOOKUP($B88,Kraftvärmeprod!$B$1:$BX$549,MATCH(K$2,Kraftvärmeprod!$B$1:$VX$1,0),FALSE)/1,0)-IFERROR(VLOOKUP($B88,'Slutlig allokering kvv'!$B$2:$BX$549,MATCH(K$2,'Slutlig allokering kvv'!$B$1:$BX$1,0),FALSE)/1,0))</f>
        <v/>
      </c>
      <c r="L88" s="121" t="str">
        <f>IF($D88="","",IFERROR(VLOOKUP($B88,Kraftvärmeprod!$B$1:$BX$549,MATCH(L$2,Kraftvärmeprod!$B$1:$VX$1,0),FALSE)/1,0)-IFERROR(VLOOKUP($B88,'Slutlig allokering kvv'!$B$2:$BX$549,MATCH(L$2,'Slutlig allokering kvv'!$B$1:$BX$1,0),FALSE)/1,0))</f>
        <v/>
      </c>
      <c r="M88" s="121" t="str">
        <f>IF($D88="","",IFERROR(VLOOKUP($B88,Kraftvärmeprod!$B$1:$BX$549,MATCH(M$2,Kraftvärmeprod!$B$1:$VX$1,0),FALSE)/1,0)-IFERROR(VLOOKUP($B88,'Slutlig allokering kvv'!$B$2:$BX$549,MATCH(M$2,'Slutlig allokering kvv'!$B$1:$BX$1,0),FALSE)/1,0))</f>
        <v/>
      </c>
      <c r="N88" s="121" t="str">
        <f>IF($D88="","",IFERROR(VLOOKUP($B88,Kraftvärmeprod!$B$1:$BX$549,MATCH(N$2,Kraftvärmeprod!$B$1:$VX$1,0),FALSE)/1,0)-IFERROR(VLOOKUP($B88,'Slutlig allokering kvv'!$B$2:$BX$549,MATCH(N$2,'Slutlig allokering kvv'!$B$1:$BX$1,0),FALSE)/1,0))</f>
        <v/>
      </c>
      <c r="O88" s="121" t="str">
        <f>IF($D88="","",IFERROR(VLOOKUP($B88,Kraftvärmeprod!$B$1:$BX$549,MATCH(O$2,Kraftvärmeprod!$B$1:$VX$1,0),FALSE)/1,0)-IFERROR(VLOOKUP($B88,'Slutlig allokering kvv'!$B$2:$BX$549,MATCH(O$2,'Slutlig allokering kvv'!$B$1:$BX$1,0),FALSE)/1,0))</f>
        <v/>
      </c>
      <c r="P88" s="121" t="str">
        <f>IF($D88="","",IFERROR(VLOOKUP($B88,Kraftvärmeprod!$B$1:$BX$549,MATCH(P$2,Kraftvärmeprod!$B$1:$VX$1,0),FALSE)/1,0)-IFERROR(VLOOKUP($B88,'Slutlig allokering kvv'!$B$2:$BX$549,MATCH(P$2,'Slutlig allokering kvv'!$B$1:$BX$1,0),FALSE)/1,0))</f>
        <v/>
      </c>
      <c r="Q88" s="121" t="str">
        <f>IF($D88="","",IFERROR(VLOOKUP($B88,Kraftvärmeprod!$B$1:$BX$549,MATCH(Q$2,Kraftvärmeprod!$B$1:$VX$1,0),FALSE)/1,0)-IFERROR(VLOOKUP($B88,'Slutlig allokering kvv'!$B$2:$BX$549,MATCH(Q$2,'Slutlig allokering kvv'!$B$1:$BX$1,0),FALSE)/1,0))</f>
        <v/>
      </c>
      <c r="R88" s="121" t="str">
        <f>IF($D88="","",IFERROR(VLOOKUP($B88,Kraftvärmeprod!$B$1:$BX$549,MATCH(R$2,Kraftvärmeprod!$B$1:$VX$1,0),FALSE)/1,0)-IFERROR(VLOOKUP($B88,'Slutlig allokering kvv'!$B$2:$BX$549,MATCH(R$2,'Slutlig allokering kvv'!$B$1:$BX$1,0),FALSE)/1,0))</f>
        <v/>
      </c>
      <c r="S88" s="121" t="str">
        <f>IF($D88="","",IFERROR(VLOOKUP($B88,Kraftvärmeprod!$B$1:$BX$549,MATCH(S$2,Kraftvärmeprod!$B$1:$VX$1,0),FALSE)/1,0)-IFERROR(VLOOKUP($B88,'Slutlig allokering kvv'!$B$2:$BX$549,MATCH(S$2,'Slutlig allokering kvv'!$B$1:$BX$1,0),FALSE)/1,0))</f>
        <v/>
      </c>
      <c r="T88" s="121" t="str">
        <f>IF($D88="","",IFERROR(VLOOKUP($B88,Kraftvärmeprod!$B$1:$BX$549,MATCH(T$2,Kraftvärmeprod!$B$1:$VX$1,0),FALSE)/1,0)-IFERROR(VLOOKUP($B88,'Slutlig allokering kvv'!$B$2:$BX$549,MATCH(T$2,'Slutlig allokering kvv'!$B$1:$BX$1,0),FALSE)/1,0))</f>
        <v/>
      </c>
      <c r="U88" s="121" t="str">
        <f>IF($D88="","",IFERROR(VLOOKUP($B88,Kraftvärmeprod!$B$1:$BX$549,MATCH(U$2,Kraftvärmeprod!$B$1:$VX$1,0),FALSE)/1,0)-IFERROR(VLOOKUP($B88,'Slutlig allokering kvv'!$B$2:$BX$549,MATCH(U$2,'Slutlig allokering kvv'!$B$1:$BX$1,0),FALSE)/1,0))</f>
        <v/>
      </c>
      <c r="V88" s="121" t="str">
        <f>IF($D88="","",IFERROR(VLOOKUP($B88,Kraftvärmeprod!$B$1:$BX$549,MATCH(V$2,Kraftvärmeprod!$B$1:$VX$1,0),FALSE)/1,0)-IFERROR(VLOOKUP($B88,'Slutlig allokering kvv'!$B$2:$BX$549,MATCH(V$2,'Slutlig allokering kvv'!$B$1:$BX$1,0),FALSE)/1,0))</f>
        <v/>
      </c>
      <c r="W88" s="121" t="str">
        <f>IF($D88="","",IFERROR(VLOOKUP($B88,Kraftvärmeprod!$B$1:$BX$549,MATCH(W$2,Kraftvärmeprod!$B$1:$VX$1,0),FALSE)/1,0)-IFERROR(VLOOKUP($B88,'Slutlig allokering kvv'!$B$2:$BX$549,MATCH(W$2,'Slutlig allokering kvv'!$B$1:$BX$1,0),FALSE)/1,0))</f>
        <v/>
      </c>
      <c r="X88" s="121" t="str">
        <f>IF($D88="","",IFERROR(VLOOKUP($B88,Kraftvärmeprod!$B$1:$BX$549,MATCH(X$2,Kraftvärmeprod!$B$1:$VX$1,0),FALSE)/1,0)-IFERROR(VLOOKUP($B88,'Slutlig allokering kvv'!$B$2:$BX$549,MATCH(X$2,'Slutlig allokering kvv'!$B$1:$BX$1,0),FALSE)/1,0))</f>
        <v/>
      </c>
      <c r="Y88" s="121" t="str">
        <f>IF($D88="","",IFERROR(VLOOKUP($B88,Kraftvärmeprod!$B$1:$BX$549,MATCH(Y$2,Kraftvärmeprod!$B$1:$VX$1,0),FALSE)/1,0)-IFERROR(VLOOKUP($B88,'Slutlig allokering kvv'!$B$2:$BX$549,MATCH(Y$2,'Slutlig allokering kvv'!$B$1:$BX$1,0),FALSE)/1,0))</f>
        <v/>
      </c>
      <c r="Z88" s="121" t="str">
        <f>IF($D88="","",IFERROR(VLOOKUP($B88,Kraftvärmeprod!$B$1:$BX$549,MATCH(Z$2,Kraftvärmeprod!$B$1:$VX$1,0),FALSE)/1,0)-IFERROR(VLOOKUP($B88,'Slutlig allokering kvv'!$B$2:$BX$549,MATCH(Z$2,'Slutlig allokering kvv'!$B$1:$BX$1,0),FALSE)/1,0))</f>
        <v/>
      </c>
      <c r="AA88" s="121" t="str">
        <f>IF($D88="","",IFERROR(VLOOKUP($B88,Kraftvärmeprod!$B$1:$BX$549,MATCH(AA$2,Kraftvärmeprod!$B$1:$VX$1,0),FALSE)/1,0)-IFERROR(VLOOKUP($B88,'Slutlig allokering kvv'!$B$2:$BX$549,MATCH(AA$2,'Slutlig allokering kvv'!$B$1:$BX$1,0),FALSE)/1,0))</f>
        <v/>
      </c>
      <c r="AB88" s="121" t="str">
        <f>IF($D88="","",IFERROR(VLOOKUP($B88,Kraftvärmeprod!$B$1:$BX$549,MATCH(AB$2,Kraftvärmeprod!$B$1:$VX$1,0),FALSE)/1,0)-IFERROR(VLOOKUP($B88,'Slutlig allokering kvv'!$B$2:$BX$549,MATCH(AB$2,'Slutlig allokering kvv'!$B$1:$BX$1,0),FALSE)/1,0))</f>
        <v/>
      </c>
      <c r="AC88" s="121" t="str">
        <f>IF($D88="","",IFERROR(VLOOKUP($B88,Kraftvärmeprod!$B$1:$BX$549,MATCH(AC$2,Kraftvärmeprod!$B$1:$VX$1,0),FALSE)/1,0)-IFERROR(VLOOKUP($B88,'Slutlig allokering kvv'!$B$2:$BX$549,MATCH(AC$2,'Slutlig allokering kvv'!$B$1:$BX$1,0),FALSE)/1,0))</f>
        <v/>
      </c>
      <c r="AD88" s="121" t="str">
        <f>IF($D88="","",IFERROR(VLOOKUP($B88,Kraftvärmeprod!$B$1:$BX$549,MATCH(AD$2,Kraftvärmeprod!$B$1:$VX$1,0),FALSE)/1,0)-IFERROR(VLOOKUP($B88,'Slutlig allokering kvv'!$B$2:$BX$549,MATCH(AD$2,'Slutlig allokering kvv'!$B$1:$BX$1,0),FALSE)/1,0))</f>
        <v/>
      </c>
      <c r="AE88" s="121" t="str">
        <f>IF($D88="","",IFERROR(VLOOKUP($B88,Miljö!$B$1:$E$550,MATCH("Hjälpel kraftvärme (GWh)",Miljö!$B$1:$E$1,0),FALSE)/1,0)-IFERROR(VLOOKUP($B88,'Slutlig allokering kvv'!$B$2:$BX$549,MATCH(AE$2,'Slutlig allokering kvv'!$B$1:$BX$1,0),FALSE)/1,0))</f>
        <v/>
      </c>
      <c r="AI88" s="121">
        <f t="shared" si="4"/>
        <v>0</v>
      </c>
      <c r="AK88" s="121">
        <f>IFERROR(VLOOKUP($B88,'Slutlig allokering kvv'!$B$2:$AX$549,MATCH("Summa slutlig allokerad tillförd energi (utan hjälpel och rökgaskondensering):",'Slutlig allokering kvv'!$B$1:$AX$1,0),FALSE)/1,"")</f>
        <v>0</v>
      </c>
      <c r="AM88" s="172" t="str">
        <f>IFERROR(1-VLOOKUP($B88,'Slutlig allokering kvv'!$B$2:$AX$549,MATCH("Andel av bränsle i kvv som allokerats till värme, exklusive rökgaskondensering och hjälpel",'Slutlig allokering kvv'!$B$1:$AX$1,0),FALSE),"")</f>
        <v/>
      </c>
      <c r="AO88" s="172" t="str">
        <f t="shared" si="5"/>
        <v/>
      </c>
      <c r="AP88" s="173" t="str">
        <f t="shared" si="6"/>
        <v/>
      </c>
      <c r="AR88" s="172" t="str">
        <f t="shared" si="7"/>
        <v/>
      </c>
    </row>
    <row r="89" spans="1:44" x14ac:dyDescent="0.25">
      <c r="A89" s="171" t="str">
        <f>'Miljövärden för publ företag'!B91</f>
        <v>Gotlands Energi AB</v>
      </c>
      <c r="B89" s="171" t="str">
        <f>'Miljövärden för publ företag'!C91</f>
        <v>Visby</v>
      </c>
      <c r="C89" s="121" t="str">
        <f>IFERROR(VLOOKUP($B89,Kraftvärmeprod!$B$1:$AH$478,MATCH(C$2,Kraftvärmeprod!$B$1:$AG$1,0),FALSE)/1,"")</f>
        <v/>
      </c>
      <c r="D89" s="121" t="str">
        <f>IFERROR(VLOOKUP($B89,Kraftvärmeprod!$B$1:$AH$478,MATCH(D$2,Kraftvärmeprod!$B$1:$AG$1,0),FALSE)/1,"")</f>
        <v/>
      </c>
      <c r="F89" s="121" t="str">
        <f>IF($D89="","",IFERROR(VLOOKUP($B89,Kraftvärmeprod!$B$1:$BX$549,MATCH(F$2,Kraftvärmeprod!$B$1:$VX$1,0),FALSE)/1,0)-IFERROR(VLOOKUP($B89,'Slutlig allokering kvv'!$B$2:$BX$549,MATCH(F$2,'Slutlig allokering kvv'!$B$1:$BX$1,0),FALSE)/1,0))</f>
        <v/>
      </c>
      <c r="G89" s="121" t="str">
        <f>IF($D89="","",IFERROR(VLOOKUP($B89,Kraftvärmeprod!$B$1:$BX$549,MATCH(G$2,Kraftvärmeprod!$B$1:$VX$1,0),FALSE)/1,0)-IFERROR(VLOOKUP($B89,'Slutlig allokering kvv'!$B$2:$BX$549,MATCH(G$2,'Slutlig allokering kvv'!$B$1:$BX$1,0),FALSE)/1,0))</f>
        <v/>
      </c>
      <c r="H89" s="121" t="str">
        <f>IF($D89="","",IFERROR(VLOOKUP($B89,Kraftvärmeprod!$B$1:$BX$549,MATCH(H$2,Kraftvärmeprod!$B$1:$VX$1,0),FALSE)/1,0)-IFERROR(VLOOKUP($B89,'Slutlig allokering kvv'!$B$2:$BX$549,MATCH(H$2,'Slutlig allokering kvv'!$B$1:$BX$1,0),FALSE)/1,0))</f>
        <v/>
      </c>
      <c r="I89" s="121" t="str">
        <f>IF($D89="","",IFERROR(VLOOKUP($B89,Kraftvärmeprod!$B$1:$BX$549,MATCH(I$2,Kraftvärmeprod!$B$1:$VX$1,0),FALSE)/1,0)-IFERROR(VLOOKUP($B89,'Slutlig allokering kvv'!$B$2:$BX$549,MATCH(I$2,'Slutlig allokering kvv'!$B$1:$BX$1,0),FALSE)/1,0))</f>
        <v/>
      </c>
      <c r="J89" s="121" t="str">
        <f>IF($D89="","",IFERROR(VLOOKUP($B89,Kraftvärmeprod!$B$1:$BX$549,MATCH(J$2,Kraftvärmeprod!$B$1:$VX$1,0),FALSE)/1,0)-IFERROR(VLOOKUP($B89,'Slutlig allokering kvv'!$B$2:$BX$549,MATCH(J$2,'Slutlig allokering kvv'!$B$1:$BX$1,0),FALSE)/1,0))</f>
        <v/>
      </c>
      <c r="K89" s="121" t="str">
        <f>IF($D89="","",IFERROR(VLOOKUP($B89,Kraftvärmeprod!$B$1:$BX$549,MATCH(K$2,Kraftvärmeprod!$B$1:$VX$1,0),FALSE)/1,0)-IFERROR(VLOOKUP($B89,'Slutlig allokering kvv'!$B$2:$BX$549,MATCH(K$2,'Slutlig allokering kvv'!$B$1:$BX$1,0),FALSE)/1,0))</f>
        <v/>
      </c>
      <c r="L89" s="121" t="str">
        <f>IF($D89="","",IFERROR(VLOOKUP($B89,Kraftvärmeprod!$B$1:$BX$549,MATCH(L$2,Kraftvärmeprod!$B$1:$VX$1,0),FALSE)/1,0)-IFERROR(VLOOKUP($B89,'Slutlig allokering kvv'!$B$2:$BX$549,MATCH(L$2,'Slutlig allokering kvv'!$B$1:$BX$1,0),FALSE)/1,0))</f>
        <v/>
      </c>
      <c r="M89" s="121" t="str">
        <f>IF($D89="","",IFERROR(VLOOKUP($B89,Kraftvärmeprod!$B$1:$BX$549,MATCH(M$2,Kraftvärmeprod!$B$1:$VX$1,0),FALSE)/1,0)-IFERROR(VLOOKUP($B89,'Slutlig allokering kvv'!$B$2:$BX$549,MATCH(M$2,'Slutlig allokering kvv'!$B$1:$BX$1,0),FALSE)/1,0))</f>
        <v/>
      </c>
      <c r="N89" s="121" t="str">
        <f>IF($D89="","",IFERROR(VLOOKUP($B89,Kraftvärmeprod!$B$1:$BX$549,MATCH(N$2,Kraftvärmeprod!$B$1:$VX$1,0),FALSE)/1,0)-IFERROR(VLOOKUP($B89,'Slutlig allokering kvv'!$B$2:$BX$549,MATCH(N$2,'Slutlig allokering kvv'!$B$1:$BX$1,0),FALSE)/1,0))</f>
        <v/>
      </c>
      <c r="O89" s="121" t="str">
        <f>IF($D89="","",IFERROR(VLOOKUP($B89,Kraftvärmeprod!$B$1:$BX$549,MATCH(O$2,Kraftvärmeprod!$B$1:$VX$1,0),FALSE)/1,0)-IFERROR(VLOOKUP($B89,'Slutlig allokering kvv'!$B$2:$BX$549,MATCH(O$2,'Slutlig allokering kvv'!$B$1:$BX$1,0),FALSE)/1,0))</f>
        <v/>
      </c>
      <c r="P89" s="121" t="str">
        <f>IF($D89="","",IFERROR(VLOOKUP($B89,Kraftvärmeprod!$B$1:$BX$549,MATCH(P$2,Kraftvärmeprod!$B$1:$VX$1,0),FALSE)/1,0)-IFERROR(VLOOKUP($B89,'Slutlig allokering kvv'!$B$2:$BX$549,MATCH(P$2,'Slutlig allokering kvv'!$B$1:$BX$1,0),FALSE)/1,0))</f>
        <v/>
      </c>
      <c r="Q89" s="121" t="str">
        <f>IF($D89="","",IFERROR(VLOOKUP($B89,Kraftvärmeprod!$B$1:$BX$549,MATCH(Q$2,Kraftvärmeprod!$B$1:$VX$1,0),FALSE)/1,0)-IFERROR(VLOOKUP($B89,'Slutlig allokering kvv'!$B$2:$BX$549,MATCH(Q$2,'Slutlig allokering kvv'!$B$1:$BX$1,0),FALSE)/1,0))</f>
        <v/>
      </c>
      <c r="R89" s="121" t="str">
        <f>IF($D89="","",IFERROR(VLOOKUP($B89,Kraftvärmeprod!$B$1:$BX$549,MATCH(R$2,Kraftvärmeprod!$B$1:$VX$1,0),FALSE)/1,0)-IFERROR(VLOOKUP($B89,'Slutlig allokering kvv'!$B$2:$BX$549,MATCH(R$2,'Slutlig allokering kvv'!$B$1:$BX$1,0),FALSE)/1,0))</f>
        <v/>
      </c>
      <c r="S89" s="121" t="str">
        <f>IF($D89="","",IFERROR(VLOOKUP($B89,Kraftvärmeprod!$B$1:$BX$549,MATCH(S$2,Kraftvärmeprod!$B$1:$VX$1,0),FALSE)/1,0)-IFERROR(VLOOKUP($B89,'Slutlig allokering kvv'!$B$2:$BX$549,MATCH(S$2,'Slutlig allokering kvv'!$B$1:$BX$1,0),FALSE)/1,0))</f>
        <v/>
      </c>
      <c r="T89" s="121" t="str">
        <f>IF($D89="","",IFERROR(VLOOKUP($B89,Kraftvärmeprod!$B$1:$BX$549,MATCH(T$2,Kraftvärmeprod!$B$1:$VX$1,0),FALSE)/1,0)-IFERROR(VLOOKUP($B89,'Slutlig allokering kvv'!$B$2:$BX$549,MATCH(T$2,'Slutlig allokering kvv'!$B$1:$BX$1,0),FALSE)/1,0))</f>
        <v/>
      </c>
      <c r="U89" s="121" t="str">
        <f>IF($D89="","",IFERROR(VLOOKUP($B89,Kraftvärmeprod!$B$1:$BX$549,MATCH(U$2,Kraftvärmeprod!$B$1:$VX$1,0),FALSE)/1,0)-IFERROR(VLOOKUP($B89,'Slutlig allokering kvv'!$B$2:$BX$549,MATCH(U$2,'Slutlig allokering kvv'!$B$1:$BX$1,0),FALSE)/1,0))</f>
        <v/>
      </c>
      <c r="V89" s="121" t="str">
        <f>IF($D89="","",IFERROR(VLOOKUP($B89,Kraftvärmeprod!$B$1:$BX$549,MATCH(V$2,Kraftvärmeprod!$B$1:$VX$1,0),FALSE)/1,0)-IFERROR(VLOOKUP($B89,'Slutlig allokering kvv'!$B$2:$BX$549,MATCH(V$2,'Slutlig allokering kvv'!$B$1:$BX$1,0),FALSE)/1,0))</f>
        <v/>
      </c>
      <c r="W89" s="121" t="str">
        <f>IF($D89="","",IFERROR(VLOOKUP($B89,Kraftvärmeprod!$B$1:$BX$549,MATCH(W$2,Kraftvärmeprod!$B$1:$VX$1,0),FALSE)/1,0)-IFERROR(VLOOKUP($B89,'Slutlig allokering kvv'!$B$2:$BX$549,MATCH(W$2,'Slutlig allokering kvv'!$B$1:$BX$1,0),FALSE)/1,0))</f>
        <v/>
      </c>
      <c r="X89" s="121" t="str">
        <f>IF($D89="","",IFERROR(VLOOKUP($B89,Kraftvärmeprod!$B$1:$BX$549,MATCH(X$2,Kraftvärmeprod!$B$1:$VX$1,0),FALSE)/1,0)-IFERROR(VLOOKUP($B89,'Slutlig allokering kvv'!$B$2:$BX$549,MATCH(X$2,'Slutlig allokering kvv'!$B$1:$BX$1,0),FALSE)/1,0))</f>
        <v/>
      </c>
      <c r="Y89" s="121" t="str">
        <f>IF($D89="","",IFERROR(VLOOKUP($B89,Kraftvärmeprod!$B$1:$BX$549,MATCH(Y$2,Kraftvärmeprod!$B$1:$VX$1,0),FALSE)/1,0)-IFERROR(VLOOKUP($B89,'Slutlig allokering kvv'!$B$2:$BX$549,MATCH(Y$2,'Slutlig allokering kvv'!$B$1:$BX$1,0),FALSE)/1,0))</f>
        <v/>
      </c>
      <c r="Z89" s="121" t="str">
        <f>IF($D89="","",IFERROR(VLOOKUP($B89,Kraftvärmeprod!$B$1:$BX$549,MATCH(Z$2,Kraftvärmeprod!$B$1:$VX$1,0),FALSE)/1,0)-IFERROR(VLOOKUP($B89,'Slutlig allokering kvv'!$B$2:$BX$549,MATCH(Z$2,'Slutlig allokering kvv'!$B$1:$BX$1,0),FALSE)/1,0))</f>
        <v/>
      </c>
      <c r="AA89" s="121" t="str">
        <f>IF($D89="","",IFERROR(VLOOKUP($B89,Kraftvärmeprod!$B$1:$BX$549,MATCH(AA$2,Kraftvärmeprod!$B$1:$VX$1,0),FALSE)/1,0)-IFERROR(VLOOKUP($B89,'Slutlig allokering kvv'!$B$2:$BX$549,MATCH(AA$2,'Slutlig allokering kvv'!$B$1:$BX$1,0),FALSE)/1,0))</f>
        <v/>
      </c>
      <c r="AB89" s="121" t="str">
        <f>IF($D89="","",IFERROR(VLOOKUP($B89,Kraftvärmeprod!$B$1:$BX$549,MATCH(AB$2,Kraftvärmeprod!$B$1:$VX$1,0),FALSE)/1,0)-IFERROR(VLOOKUP($B89,'Slutlig allokering kvv'!$B$2:$BX$549,MATCH(AB$2,'Slutlig allokering kvv'!$B$1:$BX$1,0),FALSE)/1,0))</f>
        <v/>
      </c>
      <c r="AC89" s="121" t="str">
        <f>IF($D89="","",IFERROR(VLOOKUP($B89,Kraftvärmeprod!$B$1:$BX$549,MATCH(AC$2,Kraftvärmeprod!$B$1:$VX$1,0),FALSE)/1,0)-IFERROR(VLOOKUP($B89,'Slutlig allokering kvv'!$B$2:$BX$549,MATCH(AC$2,'Slutlig allokering kvv'!$B$1:$BX$1,0),FALSE)/1,0))</f>
        <v/>
      </c>
      <c r="AD89" s="121" t="str">
        <f>IF($D89="","",IFERROR(VLOOKUP($B89,Kraftvärmeprod!$B$1:$BX$549,MATCH(AD$2,Kraftvärmeprod!$B$1:$VX$1,0),FALSE)/1,0)-IFERROR(VLOOKUP($B89,'Slutlig allokering kvv'!$B$2:$BX$549,MATCH(AD$2,'Slutlig allokering kvv'!$B$1:$BX$1,0),FALSE)/1,0))</f>
        <v/>
      </c>
      <c r="AE89" s="121" t="str">
        <f>IF($D89="","",IFERROR(VLOOKUP($B89,Miljö!$B$1:$E$550,MATCH("Hjälpel kraftvärme (GWh)",Miljö!$B$1:$E$1,0),FALSE)/1,0)-IFERROR(VLOOKUP($B89,'Slutlig allokering kvv'!$B$2:$BX$549,MATCH(AE$2,'Slutlig allokering kvv'!$B$1:$BX$1,0),FALSE)/1,0))</f>
        <v/>
      </c>
      <c r="AI89" s="121">
        <f t="shared" si="4"/>
        <v>0</v>
      </c>
      <c r="AK89" s="121">
        <f>IFERROR(VLOOKUP($B89,'Slutlig allokering kvv'!$B$2:$AX$549,MATCH("Summa slutlig allokerad tillförd energi (utan hjälpel och rökgaskondensering):",'Slutlig allokering kvv'!$B$1:$AX$1,0),FALSE)/1,"")</f>
        <v>0</v>
      </c>
      <c r="AM89" s="172" t="str">
        <f>IFERROR(1-VLOOKUP($B89,'Slutlig allokering kvv'!$B$2:$AX$549,MATCH("Andel av bränsle i kvv som allokerats till värme, exklusive rökgaskondensering och hjälpel",'Slutlig allokering kvv'!$B$1:$AX$1,0),FALSE),"")</f>
        <v/>
      </c>
      <c r="AO89" s="172" t="str">
        <f t="shared" si="5"/>
        <v/>
      </c>
      <c r="AP89" s="173" t="str">
        <f t="shared" si="6"/>
        <v/>
      </c>
      <c r="AR89" s="172" t="str">
        <f t="shared" si="7"/>
        <v/>
      </c>
    </row>
    <row r="90" spans="1:44" x14ac:dyDescent="0.25">
      <c r="A90" s="171" t="str">
        <f>'Miljövärden för publ företag'!B92</f>
        <v>Gällivare Energi AB</v>
      </c>
      <c r="B90" s="171" t="str">
        <f>'Miljövärden för publ företag'!C92</f>
        <v>Gällivare-Malmberget</v>
      </c>
      <c r="C90" s="121">
        <f>IFERROR(VLOOKUP($B90,Kraftvärmeprod!$B$1:$AH$478,MATCH(C$2,Kraftvärmeprod!$B$1:$AG$1,0),FALSE)/1,"")</f>
        <v>184</v>
      </c>
      <c r="D90" s="121">
        <f>IFERROR(VLOOKUP($B90,Kraftvärmeprod!$B$1:$AH$478,MATCH(D$2,Kraftvärmeprod!$B$1:$AG$1,0),FALSE)/1,"")</f>
        <v>34</v>
      </c>
      <c r="F90" s="121">
        <f>IF($D90="","",IFERROR(VLOOKUP($B90,Kraftvärmeprod!$B$1:$BX$549,MATCH(F$2,Kraftvärmeprod!$B$1:$VX$1,0),FALSE)/1,0)-IFERROR(VLOOKUP($B90,'Slutlig allokering kvv'!$B$2:$BX$549,MATCH(F$2,'Slutlig allokering kvv'!$B$1:$BX$1,0),FALSE)/1,0))</f>
        <v>0</v>
      </c>
      <c r="G90" s="121">
        <f>IF($D90="","",IFERROR(VLOOKUP($B90,Kraftvärmeprod!$B$1:$BX$549,MATCH(G$2,Kraftvärmeprod!$B$1:$VX$1,0),FALSE)/1,0)-IFERROR(VLOOKUP($B90,'Slutlig allokering kvv'!$B$2:$BX$549,MATCH(G$2,'Slutlig allokering kvv'!$B$1:$BX$1,0),FALSE)/1,0))</f>
        <v>0</v>
      </c>
      <c r="H90" s="121">
        <f>IF($D90="","",IFERROR(VLOOKUP($B90,Kraftvärmeprod!$B$1:$BX$549,MATCH(H$2,Kraftvärmeprod!$B$1:$VX$1,0),FALSE)/1,0)-IFERROR(VLOOKUP($B90,'Slutlig allokering kvv'!$B$2:$BX$549,MATCH(H$2,'Slutlig allokering kvv'!$B$1:$BX$1,0),FALSE)/1,0))</f>
        <v>0</v>
      </c>
      <c r="I90" s="121">
        <f>IF($D90="","",IFERROR(VLOOKUP($B90,Kraftvärmeprod!$B$1:$BX$549,MATCH(I$2,Kraftvärmeprod!$B$1:$VX$1,0),FALSE)/1,0)-IFERROR(VLOOKUP($B90,'Slutlig allokering kvv'!$B$2:$BX$549,MATCH(I$2,'Slutlig allokering kvv'!$B$1:$BX$1,0),FALSE)/1,0))</f>
        <v>0</v>
      </c>
      <c r="J90" s="121">
        <f>IF($D90="","",IFERROR(VLOOKUP($B90,Kraftvärmeprod!$B$1:$BX$549,MATCH(J$2,Kraftvärmeprod!$B$1:$VX$1,0),FALSE)/1,0)-IFERROR(VLOOKUP($B90,'Slutlig allokering kvv'!$B$2:$BX$549,MATCH(J$2,'Slutlig allokering kvv'!$B$1:$BX$1,0),FALSE)/1,0))</f>
        <v>0</v>
      </c>
      <c r="K90" s="121">
        <f>IF($D90="","",IFERROR(VLOOKUP($B90,Kraftvärmeprod!$B$1:$BX$549,MATCH(K$2,Kraftvärmeprod!$B$1:$VX$1,0),FALSE)/1,0)-IFERROR(VLOOKUP($B90,'Slutlig allokering kvv'!$B$2:$BX$549,MATCH(K$2,'Slutlig allokering kvv'!$B$1:$BX$1,0),FALSE)/1,0))</f>
        <v>0</v>
      </c>
      <c r="L90" s="121">
        <f>IF($D90="","",IFERROR(VLOOKUP($B90,Kraftvärmeprod!$B$1:$BX$549,MATCH(L$2,Kraftvärmeprod!$B$1:$VX$1,0),FALSE)/1,0)-IFERROR(VLOOKUP($B90,'Slutlig allokering kvv'!$B$2:$BX$549,MATCH(L$2,'Slutlig allokering kvv'!$B$1:$BX$1,0),FALSE)/1,0))</f>
        <v>1.1376200000000001</v>
      </c>
      <c r="M90" s="121">
        <f>IF($D90="","",IFERROR(VLOOKUP($B90,Kraftvärmeprod!$B$1:$BX$549,MATCH(M$2,Kraftvärmeprod!$B$1:$VX$1,0),FALSE)/1,0)-IFERROR(VLOOKUP($B90,'Slutlig allokering kvv'!$B$2:$BX$549,MATCH(M$2,'Slutlig allokering kvv'!$B$1:$BX$1,0),FALSE)/1,0))</f>
        <v>2.9253</v>
      </c>
      <c r="N90" s="121">
        <f>IF($D90="","",IFERROR(VLOOKUP($B90,Kraftvärmeprod!$B$1:$BX$549,MATCH(N$2,Kraftvärmeprod!$B$1:$VX$1,0),FALSE)/1,0)-IFERROR(VLOOKUP($B90,'Slutlig allokering kvv'!$B$2:$BX$549,MATCH(N$2,'Slutlig allokering kvv'!$B$1:$BX$1,0),FALSE)/1,0))</f>
        <v>10.4011</v>
      </c>
      <c r="O90" s="121">
        <f>IF($D90="","",IFERROR(VLOOKUP($B90,Kraftvärmeprod!$B$1:$BX$549,MATCH(O$2,Kraftvärmeprod!$B$1:$VX$1,0),FALSE)/1,0)-IFERROR(VLOOKUP($B90,'Slutlig allokering kvv'!$B$2:$BX$549,MATCH(O$2,'Slutlig allokering kvv'!$B$1:$BX$1,0),FALSE)/1,0))</f>
        <v>24.702500000000001</v>
      </c>
      <c r="P90" s="121">
        <f>IF($D90="","",IFERROR(VLOOKUP($B90,Kraftvärmeprod!$B$1:$BX$549,MATCH(P$2,Kraftvärmeprod!$B$1:$VX$1,0),FALSE)/1,0)-IFERROR(VLOOKUP($B90,'Slutlig allokering kvv'!$B$2:$BX$549,MATCH(P$2,'Slutlig allokering kvv'!$B$1:$BX$1,0),FALSE)/1,0))</f>
        <v>0</v>
      </c>
      <c r="Q90" s="121">
        <f>IF($D90="","",IFERROR(VLOOKUP($B90,Kraftvärmeprod!$B$1:$BX$549,MATCH(Q$2,Kraftvärmeprod!$B$1:$VX$1,0),FALSE)/1,0)-IFERROR(VLOOKUP($B90,'Slutlig allokering kvv'!$B$2:$BX$549,MATCH(Q$2,'Slutlig allokering kvv'!$B$1:$BX$1,0),FALSE)/1,0))</f>
        <v>0</v>
      </c>
      <c r="R90" s="121">
        <f>IF($D90="","",IFERROR(VLOOKUP($B90,Kraftvärmeprod!$B$1:$BX$549,MATCH(R$2,Kraftvärmeprod!$B$1:$VX$1,0),FALSE)/1,0)-IFERROR(VLOOKUP($B90,'Slutlig allokering kvv'!$B$2:$BX$549,MATCH(R$2,'Slutlig allokering kvv'!$B$1:$BX$1,0),FALSE)/1,0))</f>
        <v>0</v>
      </c>
      <c r="S90" s="121">
        <f>IF($D90="","",IFERROR(VLOOKUP($B90,Kraftvärmeprod!$B$1:$BX$549,MATCH(S$2,Kraftvärmeprod!$B$1:$VX$1,0),FALSE)/1,0)-IFERROR(VLOOKUP($B90,'Slutlig allokering kvv'!$B$2:$BX$549,MATCH(S$2,'Slutlig allokering kvv'!$B$1:$BX$1,0),FALSE)/1,0))</f>
        <v>0</v>
      </c>
      <c r="T90" s="121">
        <f>IF($D90="","",IFERROR(VLOOKUP($B90,Kraftvärmeprod!$B$1:$BX$549,MATCH(T$2,Kraftvärmeprod!$B$1:$VX$1,0),FALSE)/1,0)-IFERROR(VLOOKUP($B90,'Slutlig allokering kvv'!$B$2:$BX$549,MATCH(T$2,'Slutlig allokering kvv'!$B$1:$BX$1,0),FALSE)/1,0))</f>
        <v>0</v>
      </c>
      <c r="U90" s="121">
        <f>IF($D90="","",IFERROR(VLOOKUP($B90,Kraftvärmeprod!$B$1:$BX$549,MATCH(U$2,Kraftvärmeprod!$B$1:$VX$1,0),FALSE)/1,0)-IFERROR(VLOOKUP($B90,'Slutlig allokering kvv'!$B$2:$BX$549,MATCH(U$2,'Slutlig allokering kvv'!$B$1:$BX$1,0),FALSE)/1,0))</f>
        <v>0</v>
      </c>
      <c r="V90" s="121">
        <f>IF($D90="","",IFERROR(VLOOKUP($B90,Kraftvärmeprod!$B$1:$BX$549,MATCH(V$2,Kraftvärmeprod!$B$1:$VX$1,0),FALSE)/1,0)-IFERROR(VLOOKUP($B90,'Slutlig allokering kvv'!$B$2:$BX$549,MATCH(V$2,'Slutlig allokering kvv'!$B$1:$BX$1,0),FALSE)/1,0))</f>
        <v>0</v>
      </c>
      <c r="W90" s="121">
        <f>IF($D90="","",IFERROR(VLOOKUP($B90,Kraftvärmeprod!$B$1:$BX$549,MATCH(W$2,Kraftvärmeprod!$B$1:$VX$1,0),FALSE)/1,0)-IFERROR(VLOOKUP($B90,'Slutlig allokering kvv'!$B$2:$BX$549,MATCH(W$2,'Slutlig allokering kvv'!$B$1:$BX$1,0),FALSE)/1,0))</f>
        <v>0</v>
      </c>
      <c r="X90" s="121">
        <f>IF($D90="","",IFERROR(VLOOKUP($B90,Kraftvärmeprod!$B$1:$BX$549,MATCH(X$2,Kraftvärmeprod!$B$1:$VX$1,0),FALSE)/1,0)-IFERROR(VLOOKUP($B90,'Slutlig allokering kvv'!$B$2:$BX$549,MATCH(X$2,'Slutlig allokering kvv'!$B$1:$BX$1,0),FALSE)/1,0))</f>
        <v>0</v>
      </c>
      <c r="Y90" s="121">
        <f>IF($D90="","",IFERROR(VLOOKUP($B90,Kraftvärmeprod!$B$1:$BX$549,MATCH(Y$2,Kraftvärmeprod!$B$1:$VX$1,0),FALSE)/1,0)-IFERROR(VLOOKUP($B90,'Slutlig allokering kvv'!$B$2:$BX$549,MATCH(Y$2,'Slutlig allokering kvv'!$B$1:$BX$1,0),FALSE)/1,0))</f>
        <v>0</v>
      </c>
      <c r="Z90" s="121">
        <f>IF($D90="","",IFERROR(VLOOKUP($B90,Kraftvärmeprod!$B$1:$BX$549,MATCH(Z$2,Kraftvärmeprod!$B$1:$VX$1,0),FALSE)/1,0)-IFERROR(VLOOKUP($B90,'Slutlig allokering kvv'!$B$2:$BX$549,MATCH(Z$2,'Slutlig allokering kvv'!$B$1:$BX$1,0),FALSE)/1,0))</f>
        <v>35.319599999999994</v>
      </c>
      <c r="AA90" s="121">
        <f>IF($D90="","",IFERROR(VLOOKUP($B90,Kraftvärmeprod!$B$1:$BX$549,MATCH(AA$2,Kraftvärmeprod!$B$1:$VX$1,0),FALSE)/1,0)-IFERROR(VLOOKUP($B90,'Slutlig allokering kvv'!$B$2:$BX$549,MATCH(AA$2,'Slutlig allokering kvv'!$B$1:$BX$1,0),FALSE)/1,0))</f>
        <v>0</v>
      </c>
      <c r="AB90" s="121">
        <f>IF($D90="","",IFERROR(VLOOKUP($B90,Kraftvärmeprod!$B$1:$BX$549,MATCH(AB$2,Kraftvärmeprod!$B$1:$VX$1,0),FALSE)/1,0)-IFERROR(VLOOKUP($B90,'Slutlig allokering kvv'!$B$2:$BX$549,MATCH(AB$2,'Slutlig allokering kvv'!$B$1:$BX$1,0),FALSE)/1,0))</f>
        <v>0</v>
      </c>
      <c r="AC90" s="121">
        <f>IF($D90="","",IFERROR(VLOOKUP($B90,Kraftvärmeprod!$B$1:$BX$549,MATCH(AC$2,Kraftvärmeprod!$B$1:$VX$1,0),FALSE)/1,0)-IFERROR(VLOOKUP($B90,'Slutlig allokering kvv'!$B$2:$BX$549,MATCH(AC$2,'Slutlig allokering kvv'!$B$1:$BX$1,0),FALSE)/1,0))</f>
        <v>0</v>
      </c>
      <c r="AD90" s="121">
        <f>IF($D90="","",IFERROR(VLOOKUP($B90,Kraftvärmeprod!$B$1:$BX$549,MATCH(AD$2,Kraftvärmeprod!$B$1:$VX$1,0),FALSE)/1,0)-IFERROR(VLOOKUP($B90,'Slutlig allokering kvv'!$B$2:$BX$549,MATCH(AD$2,'Slutlig allokering kvv'!$B$1:$BX$1,0),FALSE)/1,0))</f>
        <v>0</v>
      </c>
      <c r="AE90" s="121">
        <f>IF($D90="","",IFERROR(VLOOKUP($B90,Miljö!$B$1:$E$550,MATCH("Hjälpel kraftvärme (GWh)",Miljö!$B$1:$E$1,0),FALSE)/1,0)-IFERROR(VLOOKUP($B90,'Slutlig allokering kvv'!$B$2:$BX$549,MATCH(AE$2,'Slutlig allokering kvv'!$B$1:$BX$1,0),FALSE)/1,0))</f>
        <v>2.2729800000000004</v>
      </c>
      <c r="AI90" s="121">
        <f t="shared" si="4"/>
        <v>74.48612</v>
      </c>
      <c r="AK90" s="121">
        <f>IFERROR(VLOOKUP($B90,'Slutlig allokering kvv'!$B$2:$AX$549,MATCH("Summa slutlig allokerad tillförd energi (utan hjälpel och rökgaskondensering):",'Slutlig allokering kvv'!$B$1:$AX$1,0),FALSE)/1,"")</f>
        <v>168.01388000000003</v>
      </c>
      <c r="AM90" s="172">
        <f>IFERROR(1-VLOOKUP($B90,'Slutlig allokering kvv'!$B$2:$AX$549,MATCH("Andel av bränsle i kvv som allokerats till värme, exklusive rökgaskondensering och hjälpel",'Slutlig allokering kvv'!$B$1:$AX$1,0),FALSE),"")</f>
        <v>0.30715925773195862</v>
      </c>
      <c r="AO90" s="172">
        <f t="shared" si="5"/>
        <v>0.30715925773195873</v>
      </c>
      <c r="AP90" s="173">
        <f t="shared" si="6"/>
        <v>-1.1102230246251565E-16</v>
      </c>
      <c r="AR90" s="172">
        <f t="shared" si="7"/>
        <v>0.44294422420273294</v>
      </c>
    </row>
    <row r="91" spans="1:44" x14ac:dyDescent="0.25">
      <c r="A91" s="171" t="str">
        <f>'Miljövärden för publ företag'!B93</f>
        <v>Gävle Energi AB</v>
      </c>
      <c r="B91" s="171" t="str">
        <f>'Miljövärden för publ företag'!C93</f>
        <v>Gävle</v>
      </c>
      <c r="C91" s="121">
        <f>IFERROR(VLOOKUP($B91,Kraftvärmeprod!$B$1:$AH$478,MATCH(C$2,Kraftvärmeprod!$B$1:$AG$1,0),FALSE)/1,"")</f>
        <v>232.85599999999999</v>
      </c>
      <c r="D91" s="121">
        <f>IFERROR(VLOOKUP($B91,Kraftvärmeprod!$B$1:$AH$478,MATCH(D$2,Kraftvärmeprod!$B$1:$AG$1,0),FALSE)/1,"")</f>
        <v>80.683000000000007</v>
      </c>
      <c r="F91" s="121">
        <f>IF($D91="","",IFERROR(VLOOKUP($B91,Kraftvärmeprod!$B$1:$BX$549,MATCH(F$2,Kraftvärmeprod!$B$1:$VX$1,0),FALSE)/1,0)-IFERROR(VLOOKUP($B91,'Slutlig allokering kvv'!$B$2:$BX$549,MATCH(F$2,'Slutlig allokering kvv'!$B$1:$BX$1,0),FALSE)/1,0))</f>
        <v>0</v>
      </c>
      <c r="G91" s="121">
        <f>IF($D91="","",IFERROR(VLOOKUP($B91,Kraftvärmeprod!$B$1:$BX$549,MATCH(G$2,Kraftvärmeprod!$B$1:$VX$1,0),FALSE)/1,0)-IFERROR(VLOOKUP($B91,'Slutlig allokering kvv'!$B$2:$BX$549,MATCH(G$2,'Slutlig allokering kvv'!$B$1:$BX$1,0),FALSE)/1,0))</f>
        <v>0</v>
      </c>
      <c r="H91" s="121">
        <f>IF($D91="","",IFERROR(VLOOKUP($B91,Kraftvärmeprod!$B$1:$BX$549,MATCH(H$2,Kraftvärmeprod!$B$1:$VX$1,0),FALSE)/1,0)-IFERROR(VLOOKUP($B91,'Slutlig allokering kvv'!$B$2:$BX$549,MATCH(H$2,'Slutlig allokering kvv'!$B$1:$BX$1,0),FALSE)/1,0))</f>
        <v>0</v>
      </c>
      <c r="I91" s="121">
        <f>IF($D91="","",IFERROR(VLOOKUP($B91,Kraftvärmeprod!$B$1:$BX$549,MATCH(I$2,Kraftvärmeprod!$B$1:$VX$1,0),FALSE)/1,0)-IFERROR(VLOOKUP($B91,'Slutlig allokering kvv'!$B$2:$BX$549,MATCH(I$2,'Slutlig allokering kvv'!$B$1:$BX$1,0),FALSE)/1,0))</f>
        <v>0</v>
      </c>
      <c r="J91" s="121">
        <f>IF($D91="","",IFERROR(VLOOKUP($B91,Kraftvärmeprod!$B$1:$BX$549,MATCH(J$2,Kraftvärmeprod!$B$1:$VX$1,0),FALSE)/1,0)-IFERROR(VLOOKUP($B91,'Slutlig allokering kvv'!$B$2:$BX$549,MATCH(J$2,'Slutlig allokering kvv'!$B$1:$BX$1,0),FALSE)/1,0))</f>
        <v>0</v>
      </c>
      <c r="K91" s="121">
        <f>IF($D91="","",IFERROR(VLOOKUP($B91,Kraftvärmeprod!$B$1:$BX$549,MATCH(K$2,Kraftvärmeprod!$B$1:$VX$1,0),FALSE)/1,0)-IFERROR(VLOOKUP($B91,'Slutlig allokering kvv'!$B$2:$BX$549,MATCH(K$2,'Slutlig allokering kvv'!$B$1:$BX$1,0),FALSE)/1,0))</f>
        <v>0</v>
      </c>
      <c r="L91" s="121">
        <f>IF($D91="","",IFERROR(VLOOKUP($B91,Kraftvärmeprod!$B$1:$BX$549,MATCH(L$2,Kraftvärmeprod!$B$1:$VX$1,0),FALSE)/1,0)-IFERROR(VLOOKUP($B91,'Slutlig allokering kvv'!$B$2:$BX$549,MATCH(L$2,'Slutlig allokering kvv'!$B$1:$BX$1,0),FALSE)/1,0))</f>
        <v>12.444000000000001</v>
      </c>
      <c r="M91" s="121">
        <f>IF($D91="","",IFERROR(VLOOKUP($B91,Kraftvärmeprod!$B$1:$BX$549,MATCH(M$2,Kraftvärmeprod!$B$1:$VX$1,0),FALSE)/1,0)-IFERROR(VLOOKUP($B91,'Slutlig allokering kvv'!$B$2:$BX$549,MATCH(M$2,'Slutlig allokering kvv'!$B$1:$BX$1,0),FALSE)/1,0))</f>
        <v>84.780000000000015</v>
      </c>
      <c r="N91" s="121">
        <f>IF($D91="","",IFERROR(VLOOKUP($B91,Kraftvärmeprod!$B$1:$BX$549,MATCH(N$2,Kraftvärmeprod!$B$1:$VX$1,0),FALSE)/1,0)-IFERROR(VLOOKUP($B91,'Slutlig allokering kvv'!$B$2:$BX$549,MATCH(N$2,'Slutlig allokering kvv'!$B$1:$BX$1,0),FALSE)/1,0))</f>
        <v>7.1128900000000002</v>
      </c>
      <c r="O91" s="121">
        <f>IF($D91="","",IFERROR(VLOOKUP($B91,Kraftvärmeprod!$B$1:$BX$549,MATCH(O$2,Kraftvärmeprod!$B$1:$VX$1,0),FALSE)/1,0)-IFERROR(VLOOKUP($B91,'Slutlig allokering kvv'!$B$2:$BX$549,MATCH(O$2,'Slutlig allokering kvv'!$B$1:$BX$1,0),FALSE)/1,0))</f>
        <v>0</v>
      </c>
      <c r="P91" s="121">
        <f>IF($D91="","",IFERROR(VLOOKUP($B91,Kraftvärmeprod!$B$1:$BX$549,MATCH(P$2,Kraftvärmeprod!$B$1:$VX$1,0),FALSE)/1,0)-IFERROR(VLOOKUP($B91,'Slutlig allokering kvv'!$B$2:$BX$549,MATCH(P$2,'Slutlig allokering kvv'!$B$1:$BX$1,0),FALSE)/1,0))</f>
        <v>0</v>
      </c>
      <c r="Q91" s="121">
        <f>IF($D91="","",IFERROR(VLOOKUP($B91,Kraftvärmeprod!$B$1:$BX$549,MATCH(Q$2,Kraftvärmeprod!$B$1:$VX$1,0),FALSE)/1,0)-IFERROR(VLOOKUP($B91,'Slutlig allokering kvv'!$B$2:$BX$549,MATCH(Q$2,'Slutlig allokering kvv'!$B$1:$BX$1,0),FALSE)/1,0))</f>
        <v>0</v>
      </c>
      <c r="R91" s="121">
        <f>IF($D91="","",IFERROR(VLOOKUP($B91,Kraftvärmeprod!$B$1:$BX$549,MATCH(R$2,Kraftvärmeprod!$B$1:$VX$1,0),FALSE)/1,0)-IFERROR(VLOOKUP($B91,'Slutlig allokering kvv'!$B$2:$BX$549,MATCH(R$2,'Slutlig allokering kvv'!$B$1:$BX$1,0),FALSE)/1,0))</f>
        <v>0</v>
      </c>
      <c r="S91" s="121">
        <f>IF($D91="","",IFERROR(VLOOKUP($B91,Kraftvärmeprod!$B$1:$BX$549,MATCH(S$2,Kraftvärmeprod!$B$1:$VX$1,0),FALSE)/1,0)-IFERROR(VLOOKUP($B91,'Slutlig allokering kvv'!$B$2:$BX$549,MATCH(S$2,'Slutlig allokering kvv'!$B$1:$BX$1,0),FALSE)/1,0))</f>
        <v>0</v>
      </c>
      <c r="T91" s="121">
        <f>IF($D91="","",IFERROR(VLOOKUP($B91,Kraftvärmeprod!$B$1:$BX$549,MATCH(T$2,Kraftvärmeprod!$B$1:$VX$1,0),FALSE)/1,0)-IFERROR(VLOOKUP($B91,'Slutlig allokering kvv'!$B$2:$BX$549,MATCH(T$2,'Slutlig allokering kvv'!$B$1:$BX$1,0),FALSE)/1,0))</f>
        <v>0</v>
      </c>
      <c r="U91" s="121">
        <f>IF($D91="","",IFERROR(VLOOKUP($B91,Kraftvärmeprod!$B$1:$BX$549,MATCH(U$2,Kraftvärmeprod!$B$1:$VX$1,0),FALSE)/1,0)-IFERROR(VLOOKUP($B91,'Slutlig allokering kvv'!$B$2:$BX$549,MATCH(U$2,'Slutlig allokering kvv'!$B$1:$BX$1,0),FALSE)/1,0))</f>
        <v>0</v>
      </c>
      <c r="V91" s="121">
        <f>IF($D91="","",IFERROR(VLOOKUP($B91,Kraftvärmeprod!$B$1:$BX$549,MATCH(V$2,Kraftvärmeprod!$B$1:$VX$1,0),FALSE)/1,0)-IFERROR(VLOOKUP($B91,'Slutlig allokering kvv'!$B$2:$BX$549,MATCH(V$2,'Slutlig allokering kvv'!$B$1:$BX$1,0),FALSE)/1,0))</f>
        <v>67.604700000000008</v>
      </c>
      <c r="W91" s="121">
        <f>IF($D91="","",IFERROR(VLOOKUP($B91,Kraftvärmeprod!$B$1:$BX$549,MATCH(W$2,Kraftvärmeprod!$B$1:$VX$1,0),FALSE)/1,0)-IFERROR(VLOOKUP($B91,'Slutlig allokering kvv'!$B$2:$BX$549,MATCH(W$2,'Slutlig allokering kvv'!$B$1:$BX$1,0),FALSE)/1,0))</f>
        <v>0</v>
      </c>
      <c r="X91" s="121">
        <f>IF($D91="","",IFERROR(VLOOKUP($B91,Kraftvärmeprod!$B$1:$BX$549,MATCH(X$2,Kraftvärmeprod!$B$1:$VX$1,0),FALSE)/1,0)-IFERROR(VLOOKUP($B91,'Slutlig allokering kvv'!$B$2:$BX$549,MATCH(X$2,'Slutlig allokering kvv'!$B$1:$BX$1,0),FALSE)/1,0))</f>
        <v>5.4392300000000005E-2</v>
      </c>
      <c r="Y91" s="121">
        <f>IF($D91="","",IFERROR(VLOOKUP($B91,Kraftvärmeprod!$B$1:$BX$549,MATCH(Y$2,Kraftvärmeprod!$B$1:$VX$1,0),FALSE)/1,0)-IFERROR(VLOOKUP($B91,'Slutlig allokering kvv'!$B$2:$BX$549,MATCH(Y$2,'Slutlig allokering kvv'!$B$1:$BX$1,0),FALSE)/1,0))</f>
        <v>0</v>
      </c>
      <c r="Z91" s="121">
        <f>IF($D91="","",IFERROR(VLOOKUP($B91,Kraftvärmeprod!$B$1:$BX$549,MATCH(Z$2,Kraftvärmeprod!$B$1:$VX$1,0),FALSE)/1,0)-IFERROR(VLOOKUP($B91,'Slutlig allokering kvv'!$B$2:$BX$549,MATCH(Z$2,'Slutlig allokering kvv'!$B$1:$BX$1,0),FALSE)/1,0))</f>
        <v>0</v>
      </c>
      <c r="AA91" s="121">
        <f>IF($D91="","",IFERROR(VLOOKUP($B91,Kraftvärmeprod!$B$1:$BX$549,MATCH(AA$2,Kraftvärmeprod!$B$1:$VX$1,0),FALSE)/1,0)-IFERROR(VLOOKUP($B91,'Slutlig allokering kvv'!$B$2:$BX$549,MATCH(AA$2,'Slutlig allokering kvv'!$B$1:$BX$1,0),FALSE)/1,0))</f>
        <v>0</v>
      </c>
      <c r="AB91" s="121">
        <f>IF($D91="","",IFERROR(VLOOKUP($B91,Kraftvärmeprod!$B$1:$BX$549,MATCH(AB$2,Kraftvärmeprod!$B$1:$VX$1,0),FALSE)/1,0)-IFERROR(VLOOKUP($B91,'Slutlig allokering kvv'!$B$2:$BX$549,MATCH(AB$2,'Slutlig allokering kvv'!$B$1:$BX$1,0),FALSE)/1,0))</f>
        <v>0</v>
      </c>
      <c r="AC91" s="121">
        <f>IF($D91="","",IFERROR(VLOOKUP($B91,Kraftvärmeprod!$B$1:$BX$549,MATCH(AC$2,Kraftvärmeprod!$B$1:$VX$1,0),FALSE)/1,0)-IFERROR(VLOOKUP($B91,'Slutlig allokering kvv'!$B$2:$BX$549,MATCH(AC$2,'Slutlig allokering kvv'!$B$1:$BX$1,0),FALSE)/1,0))</f>
        <v>0</v>
      </c>
      <c r="AD91" s="121">
        <f>IF($D91="","",IFERROR(VLOOKUP($B91,Kraftvärmeprod!$B$1:$BX$549,MATCH(AD$2,Kraftvärmeprod!$B$1:$VX$1,0),FALSE)/1,0)-IFERROR(VLOOKUP($B91,'Slutlig allokering kvv'!$B$2:$BX$549,MATCH(AD$2,'Slutlig allokering kvv'!$B$1:$BX$1,0),FALSE)/1,0))</f>
        <v>0</v>
      </c>
      <c r="AE91" s="121">
        <f>IF($D91="","",IFERROR(VLOOKUP($B91,Miljö!$B$1:$E$550,MATCH("Hjälpel kraftvärme (GWh)",Miljö!$B$1:$E$1,0),FALSE)/1,0)-IFERROR(VLOOKUP($B91,'Slutlig allokering kvv'!$B$2:$BX$549,MATCH(AE$2,'Slutlig allokering kvv'!$B$1:$BX$1,0),FALSE)/1,0))</f>
        <v>8.5293599999999987</v>
      </c>
      <c r="AI91" s="121">
        <f t="shared" si="4"/>
        <v>171.99598230000001</v>
      </c>
      <c r="AK91" s="121">
        <f>IFERROR(VLOOKUP($B91,'Slutlig allokering kvv'!$B$2:$AX$549,MATCH("Summa slutlig allokerad tillförd energi (utan hjälpel och rökgaskondensering):",'Slutlig allokering kvv'!$B$1:$AX$1,0),FALSE)/1,"")</f>
        <v>190.49301769999997</v>
      </c>
      <c r="AM91" s="172">
        <f>IFERROR(1-VLOOKUP($B91,'Slutlig allokering kvv'!$B$2:$AX$549,MATCH("Andel av bränsle i kvv som allokerats till värme, exklusive rökgaskondensering och hjälpel",'Slutlig allokering kvv'!$B$1:$AX$1,0),FALSE),"")</f>
        <v>0.47448607350843763</v>
      </c>
      <c r="AO91" s="172">
        <f t="shared" si="5"/>
        <v>0.47448607350843758</v>
      </c>
      <c r="AP91" s="173">
        <f t="shared" si="6"/>
        <v>5.5511151231257827E-17</v>
      </c>
      <c r="AR91" s="172">
        <f t="shared" si="7"/>
        <v>0.44693448006828679</v>
      </c>
    </row>
    <row r="92" spans="1:44" x14ac:dyDescent="0.25">
      <c r="A92" s="171" t="str">
        <f>'Miljövärden för publ företag'!B94</f>
        <v>Göteborg Energi AB</v>
      </c>
      <c r="B92" s="171" t="str">
        <f>'Miljövärden för publ företag'!C94</f>
        <v>Göteborg Ale</v>
      </c>
      <c r="C92" s="121">
        <f>IFERROR(VLOOKUP($B92,Kraftvärmeprod!$B$1:$AH$478,MATCH(C$2,Kraftvärmeprod!$B$1:$AG$1,0),FALSE)/1,"")</f>
        <v>636.01499999999999</v>
      </c>
      <c r="D92" s="121">
        <f>IFERROR(VLOOKUP($B92,Kraftvärmeprod!$B$1:$AH$478,MATCH(D$2,Kraftvärmeprod!$B$1:$AG$1,0),FALSE)/1,"")</f>
        <v>430.66699999999997</v>
      </c>
      <c r="F92" s="121">
        <f>IF($D92="","",IFERROR(VLOOKUP($B92,Kraftvärmeprod!$B$1:$BX$549,MATCH(F$2,Kraftvärmeprod!$B$1:$VX$1,0),FALSE)/1,0)-IFERROR(VLOOKUP($B92,'Slutlig allokering kvv'!$B$2:$BX$549,MATCH(F$2,'Slutlig allokering kvv'!$B$1:$BX$1,0),FALSE)/1,0))</f>
        <v>0</v>
      </c>
      <c r="G92" s="121">
        <f>IF($D92="","",IFERROR(VLOOKUP($B92,Kraftvärmeprod!$B$1:$BX$549,MATCH(G$2,Kraftvärmeprod!$B$1:$VX$1,0),FALSE)/1,0)-IFERROR(VLOOKUP($B92,'Slutlig allokering kvv'!$B$2:$BX$549,MATCH(G$2,'Slutlig allokering kvv'!$B$1:$BX$1,0),FALSE)/1,0))</f>
        <v>0.30099999999999999</v>
      </c>
      <c r="H92" s="121">
        <f>IF($D92="","",IFERROR(VLOOKUP($B92,Kraftvärmeprod!$B$1:$BX$549,MATCH(H$2,Kraftvärmeprod!$B$1:$VX$1,0),FALSE)/1,0)-IFERROR(VLOOKUP($B92,'Slutlig allokering kvv'!$B$2:$BX$549,MATCH(H$2,'Slutlig allokering kvv'!$B$1:$BX$1,0),FALSE)/1,0))</f>
        <v>0</v>
      </c>
      <c r="I92" s="121">
        <f>IF($D92="","",IFERROR(VLOOKUP($B92,Kraftvärmeprod!$B$1:$BX$549,MATCH(I$2,Kraftvärmeprod!$B$1:$VX$1,0),FALSE)/1,0)-IFERROR(VLOOKUP($B92,'Slutlig allokering kvv'!$B$2:$BX$549,MATCH(I$2,'Slutlig allokering kvv'!$B$1:$BX$1,0),FALSE)/1,0))</f>
        <v>0</v>
      </c>
      <c r="J92" s="121">
        <f>IF($D92="","",IFERROR(VLOOKUP($B92,Kraftvärmeprod!$B$1:$BX$549,MATCH(J$2,Kraftvärmeprod!$B$1:$VX$1,0),FALSE)/1,0)-IFERROR(VLOOKUP($B92,'Slutlig allokering kvv'!$B$2:$BX$549,MATCH(J$2,'Slutlig allokering kvv'!$B$1:$BX$1,0),FALSE)/1,0))</f>
        <v>600.85300000000007</v>
      </c>
      <c r="K92" s="121">
        <f>IF($D92="","",IFERROR(VLOOKUP($B92,Kraftvärmeprod!$B$1:$BX$549,MATCH(K$2,Kraftvärmeprod!$B$1:$VX$1,0),FALSE)/1,0)-IFERROR(VLOOKUP($B92,'Slutlig allokering kvv'!$B$2:$BX$549,MATCH(K$2,'Slutlig allokering kvv'!$B$1:$BX$1,0),FALSE)/1,0))</f>
        <v>0</v>
      </c>
      <c r="L92" s="121">
        <f>IF($D92="","",IFERROR(VLOOKUP($B92,Kraftvärmeprod!$B$1:$BX$549,MATCH(L$2,Kraftvärmeprod!$B$1:$VX$1,0),FALSE)/1,0)-IFERROR(VLOOKUP($B92,'Slutlig allokering kvv'!$B$2:$BX$549,MATCH(L$2,'Slutlig allokering kvv'!$B$1:$BX$1,0),FALSE)/1,0))</f>
        <v>19.245999999999995</v>
      </c>
      <c r="M92" s="121">
        <f>IF($D92="","",IFERROR(VLOOKUP($B92,Kraftvärmeprod!$B$1:$BX$549,MATCH(M$2,Kraftvärmeprod!$B$1:$VX$1,0),FALSE)/1,0)-IFERROR(VLOOKUP($B92,'Slutlig allokering kvv'!$B$2:$BX$549,MATCH(M$2,'Slutlig allokering kvv'!$B$1:$BX$1,0),FALSE)/1,0))</f>
        <v>9.838000000000001</v>
      </c>
      <c r="N92" s="121">
        <f>IF($D92="","",IFERROR(VLOOKUP($B92,Kraftvärmeprod!$B$1:$BX$549,MATCH(N$2,Kraftvärmeprod!$B$1:$VX$1,0),FALSE)/1,0)-IFERROR(VLOOKUP($B92,'Slutlig allokering kvv'!$B$2:$BX$549,MATCH(N$2,'Slutlig allokering kvv'!$B$1:$BX$1,0),FALSE)/1,0))</f>
        <v>7.6989999999999981</v>
      </c>
      <c r="O92" s="121">
        <f>IF($D92="","",IFERROR(VLOOKUP($B92,Kraftvärmeprod!$B$1:$BX$549,MATCH(O$2,Kraftvärmeprod!$B$1:$VX$1,0),FALSE)/1,0)-IFERROR(VLOOKUP($B92,'Slutlig allokering kvv'!$B$2:$BX$549,MATCH(O$2,'Slutlig allokering kvv'!$B$1:$BX$1,0),FALSE)/1,0))</f>
        <v>0</v>
      </c>
      <c r="P92" s="121">
        <f>IF($D92="","",IFERROR(VLOOKUP($B92,Kraftvärmeprod!$B$1:$BX$549,MATCH(P$2,Kraftvärmeprod!$B$1:$VX$1,0),FALSE)/1,0)-IFERROR(VLOOKUP($B92,'Slutlig allokering kvv'!$B$2:$BX$549,MATCH(P$2,'Slutlig allokering kvv'!$B$1:$BX$1,0),FALSE)/1,0))</f>
        <v>0</v>
      </c>
      <c r="Q92" s="121">
        <f>IF($D92="","",IFERROR(VLOOKUP($B92,Kraftvärmeprod!$B$1:$BX$549,MATCH(Q$2,Kraftvärmeprod!$B$1:$VX$1,0),FALSE)/1,0)-IFERROR(VLOOKUP($B92,'Slutlig allokering kvv'!$B$2:$BX$549,MATCH(Q$2,'Slutlig allokering kvv'!$B$1:$BX$1,0),FALSE)/1,0))</f>
        <v>5.9869999999999983</v>
      </c>
      <c r="R92" s="121">
        <f>IF($D92="","",IFERROR(VLOOKUP($B92,Kraftvärmeprod!$B$1:$BX$549,MATCH(R$2,Kraftvärmeprod!$B$1:$VX$1,0),FALSE)/1,0)-IFERROR(VLOOKUP($B92,'Slutlig allokering kvv'!$B$2:$BX$549,MATCH(R$2,'Slutlig allokering kvv'!$B$1:$BX$1,0),FALSE)/1,0))</f>
        <v>0</v>
      </c>
      <c r="S92" s="121">
        <f>IF($D92="","",IFERROR(VLOOKUP($B92,Kraftvärmeprod!$B$1:$BX$549,MATCH(S$2,Kraftvärmeprod!$B$1:$VX$1,0),FALSE)/1,0)-IFERROR(VLOOKUP($B92,'Slutlig allokering kvv'!$B$2:$BX$549,MATCH(S$2,'Slutlig allokering kvv'!$B$1:$BX$1,0),FALSE)/1,0))</f>
        <v>0</v>
      </c>
      <c r="T92" s="121">
        <f>IF($D92="","",IFERROR(VLOOKUP($B92,Kraftvärmeprod!$B$1:$BX$549,MATCH(T$2,Kraftvärmeprod!$B$1:$VX$1,0),FALSE)/1,0)-IFERROR(VLOOKUP($B92,'Slutlig allokering kvv'!$B$2:$BX$549,MATCH(T$2,'Slutlig allokering kvv'!$B$1:$BX$1,0),FALSE)/1,0))</f>
        <v>0</v>
      </c>
      <c r="U92" s="121">
        <f>IF($D92="","",IFERROR(VLOOKUP($B92,Kraftvärmeprod!$B$1:$BX$549,MATCH(U$2,Kraftvärmeprod!$B$1:$VX$1,0),FALSE)/1,0)-IFERROR(VLOOKUP($B92,'Slutlig allokering kvv'!$B$2:$BX$549,MATCH(U$2,'Slutlig allokering kvv'!$B$1:$BX$1,0),FALSE)/1,0))</f>
        <v>0</v>
      </c>
      <c r="V92" s="121">
        <f>IF($D92="","",IFERROR(VLOOKUP($B92,Kraftvärmeprod!$B$1:$BX$549,MATCH(V$2,Kraftvärmeprod!$B$1:$VX$1,0),FALSE)/1,0)-IFERROR(VLOOKUP($B92,'Slutlig allokering kvv'!$B$2:$BX$549,MATCH(V$2,'Slutlig allokering kvv'!$B$1:$BX$1,0),FALSE)/1,0))</f>
        <v>0</v>
      </c>
      <c r="W92" s="121">
        <f>IF($D92="","",IFERROR(VLOOKUP($B92,Kraftvärmeprod!$B$1:$BX$549,MATCH(W$2,Kraftvärmeprod!$B$1:$VX$1,0),FALSE)/1,0)-IFERROR(VLOOKUP($B92,'Slutlig allokering kvv'!$B$2:$BX$549,MATCH(W$2,'Slutlig allokering kvv'!$B$1:$BX$1,0),FALSE)/1,0))</f>
        <v>0</v>
      </c>
      <c r="X92" s="121">
        <f>IF($D92="","",IFERROR(VLOOKUP($B92,Kraftvärmeprod!$B$1:$BX$549,MATCH(X$2,Kraftvärmeprod!$B$1:$VX$1,0),FALSE)/1,0)-IFERROR(VLOOKUP($B92,'Slutlig allokering kvv'!$B$2:$BX$549,MATCH(X$2,'Slutlig allokering kvv'!$B$1:$BX$1,0),FALSE)/1,0))</f>
        <v>0.13100000000000001</v>
      </c>
      <c r="Y92" s="121">
        <f>IF($D92="","",IFERROR(VLOOKUP($B92,Kraftvärmeprod!$B$1:$BX$549,MATCH(Y$2,Kraftvärmeprod!$B$1:$VX$1,0),FALSE)/1,0)-IFERROR(VLOOKUP($B92,'Slutlig allokering kvv'!$B$2:$BX$549,MATCH(Y$2,'Slutlig allokering kvv'!$B$1:$BX$1,0),FALSE)/1,0))</f>
        <v>0</v>
      </c>
      <c r="Z92" s="121">
        <f>IF($D92="","",IFERROR(VLOOKUP($B92,Kraftvärmeprod!$B$1:$BX$549,MATCH(Z$2,Kraftvärmeprod!$B$1:$VX$1,0),FALSE)/1,0)-IFERROR(VLOOKUP($B92,'Slutlig allokering kvv'!$B$2:$BX$549,MATCH(Z$2,'Slutlig allokering kvv'!$B$1:$BX$1,0),FALSE)/1,0))</f>
        <v>0</v>
      </c>
      <c r="AA92" s="121">
        <f>IF($D92="","",IFERROR(VLOOKUP($B92,Kraftvärmeprod!$B$1:$BX$549,MATCH(AA$2,Kraftvärmeprod!$B$1:$VX$1,0),FALSE)/1,0)-IFERROR(VLOOKUP($B92,'Slutlig allokering kvv'!$B$2:$BX$549,MATCH(AA$2,'Slutlig allokering kvv'!$B$1:$BX$1,0),FALSE)/1,0))</f>
        <v>0</v>
      </c>
      <c r="AB92" s="121">
        <f>IF($D92="","",IFERROR(VLOOKUP($B92,Kraftvärmeprod!$B$1:$BX$549,MATCH(AB$2,Kraftvärmeprod!$B$1:$VX$1,0),FALSE)/1,0)-IFERROR(VLOOKUP($B92,'Slutlig allokering kvv'!$B$2:$BX$549,MATCH(AB$2,'Slutlig allokering kvv'!$B$1:$BX$1,0),FALSE)/1,0))</f>
        <v>0</v>
      </c>
      <c r="AC92" s="121">
        <f>IF($D92="","",IFERROR(VLOOKUP($B92,Kraftvärmeprod!$B$1:$BX$549,MATCH(AC$2,Kraftvärmeprod!$B$1:$VX$1,0),FALSE)/1,0)-IFERROR(VLOOKUP($B92,'Slutlig allokering kvv'!$B$2:$BX$549,MATCH(AC$2,'Slutlig allokering kvv'!$B$1:$BX$1,0),FALSE)/1,0))</f>
        <v>0</v>
      </c>
      <c r="AD92" s="121">
        <f>IF($D92="","",IFERROR(VLOOKUP($B92,Kraftvärmeprod!$B$1:$BX$549,MATCH(AD$2,Kraftvärmeprod!$B$1:$VX$1,0),FALSE)/1,0)-IFERROR(VLOOKUP($B92,'Slutlig allokering kvv'!$B$2:$BX$549,MATCH(AD$2,'Slutlig allokering kvv'!$B$1:$BX$1,0),FALSE)/1,0))</f>
        <v>0</v>
      </c>
      <c r="AE92" s="121">
        <f>IF($D92="","",IFERROR(VLOOKUP($B92,Miljö!$B$1:$E$550,MATCH("Hjälpel kraftvärme (GWh)",Miljö!$B$1:$E$1,0),FALSE)/1,0)-IFERROR(VLOOKUP($B92,'Slutlig allokering kvv'!$B$2:$BX$549,MATCH(AE$2,'Slutlig allokering kvv'!$B$1:$BX$1,0),FALSE)/1,0))</f>
        <v>5.3760000000000003</v>
      </c>
      <c r="AI92" s="121">
        <f t="shared" si="4"/>
        <v>644.05499999999995</v>
      </c>
      <c r="AK92" s="121">
        <f>IFERROR(VLOOKUP($B92,'Slutlig allokering kvv'!$B$2:$AX$549,MATCH("Summa slutlig allokerad tillförd energi (utan hjälpel och rökgaskondensering):",'Slutlig allokering kvv'!$B$1:$AX$1,0),FALSE)/1,"")</f>
        <v>559.79600000000005</v>
      </c>
      <c r="AM92" s="172">
        <f>IFERROR(1-VLOOKUP($B92,'Slutlig allokering kvv'!$B$2:$AX$549,MATCH("Andel av bränsle i kvv som allokerats till värme, exklusive rökgaskondensering och hjälpel",'Slutlig allokering kvv'!$B$1:$AX$1,0),FALSE),"")</f>
        <v>0.53499560992182582</v>
      </c>
      <c r="AO92" s="172">
        <f t="shared" si="5"/>
        <v>0.53499560992182582</v>
      </c>
      <c r="AP92" s="173">
        <f t="shared" si="6"/>
        <v>0</v>
      </c>
      <c r="AR92" s="172">
        <f t="shared" si="7"/>
        <v>0.66314512242255141</v>
      </c>
    </row>
    <row r="93" spans="1:44" x14ac:dyDescent="0.25">
      <c r="A93" s="171" t="str">
        <f>'Miljövärden för publ företag'!B95</f>
        <v>Göteborg Energi AB</v>
      </c>
      <c r="B93" s="171" t="str">
        <f>'Miljövärden för publ företag'!C95</f>
        <v>Göteborg Ale Bra Miljöval</v>
      </c>
      <c r="C93" s="121">
        <f>IFERROR(VLOOKUP($B93,Kraftvärmeprod!$B$1:$AH$478,MATCH(C$2,Kraftvärmeprod!$B$1:$AG$1,0),FALSE)/1,"")</f>
        <v>142.43</v>
      </c>
      <c r="D93" s="121">
        <f>IFERROR(VLOOKUP($B93,Kraftvärmeprod!$B$1:$AH$478,MATCH(D$2,Kraftvärmeprod!$B$1:$AG$1,0),FALSE)/1,"")</f>
        <v>18.640999999999998</v>
      </c>
      <c r="F93" s="121">
        <f>IF($D93="","",IFERROR(VLOOKUP($B93,Kraftvärmeprod!$B$1:$BX$549,MATCH(F$2,Kraftvärmeprod!$B$1:$VX$1,0),FALSE)/1,0)-IFERROR(VLOOKUP($B93,'Slutlig allokering kvv'!$B$2:$BX$549,MATCH(F$2,'Slutlig allokering kvv'!$B$1:$BX$1,0),FALSE)/1,0))</f>
        <v>0</v>
      </c>
      <c r="G93" s="121">
        <f>IF($D93="","",IFERROR(VLOOKUP($B93,Kraftvärmeprod!$B$1:$BX$549,MATCH(G$2,Kraftvärmeprod!$B$1:$VX$1,0),FALSE)/1,0)-IFERROR(VLOOKUP($B93,'Slutlig allokering kvv'!$B$2:$BX$549,MATCH(G$2,'Slutlig allokering kvv'!$B$1:$BX$1,0),FALSE)/1,0))</f>
        <v>0</v>
      </c>
      <c r="H93" s="121">
        <f>IF($D93="","",IFERROR(VLOOKUP($B93,Kraftvärmeprod!$B$1:$BX$549,MATCH(H$2,Kraftvärmeprod!$B$1:$VX$1,0),FALSE)/1,0)-IFERROR(VLOOKUP($B93,'Slutlig allokering kvv'!$B$2:$BX$549,MATCH(H$2,'Slutlig allokering kvv'!$B$1:$BX$1,0),FALSE)/1,0))</f>
        <v>0</v>
      </c>
      <c r="I93" s="121">
        <f>IF($D93="","",IFERROR(VLOOKUP($B93,Kraftvärmeprod!$B$1:$BX$549,MATCH(I$2,Kraftvärmeprod!$B$1:$VX$1,0),FALSE)/1,0)-IFERROR(VLOOKUP($B93,'Slutlig allokering kvv'!$B$2:$BX$549,MATCH(I$2,'Slutlig allokering kvv'!$B$1:$BX$1,0),FALSE)/1,0))</f>
        <v>0</v>
      </c>
      <c r="J93" s="121">
        <f>IF($D93="","",IFERROR(VLOOKUP($B93,Kraftvärmeprod!$B$1:$BX$549,MATCH(J$2,Kraftvärmeprod!$B$1:$VX$1,0),FALSE)/1,0)-IFERROR(VLOOKUP($B93,'Slutlig allokering kvv'!$B$2:$BX$549,MATCH(J$2,'Slutlig allokering kvv'!$B$1:$BX$1,0),FALSE)/1,0))</f>
        <v>0</v>
      </c>
      <c r="K93" s="121">
        <f>IF($D93="","",IFERROR(VLOOKUP($B93,Kraftvärmeprod!$B$1:$BX$549,MATCH(K$2,Kraftvärmeprod!$B$1:$VX$1,0),FALSE)/1,0)-IFERROR(VLOOKUP($B93,'Slutlig allokering kvv'!$B$2:$BX$549,MATCH(K$2,'Slutlig allokering kvv'!$B$1:$BX$1,0),FALSE)/1,0))</f>
        <v>0</v>
      </c>
      <c r="L93" s="121">
        <f>IF($D93="","",IFERROR(VLOOKUP($B93,Kraftvärmeprod!$B$1:$BX$549,MATCH(L$2,Kraftvärmeprod!$B$1:$VX$1,0),FALSE)/1,0)-IFERROR(VLOOKUP($B93,'Slutlig allokering kvv'!$B$2:$BX$549,MATCH(L$2,'Slutlig allokering kvv'!$B$1:$BX$1,0),FALSE)/1,0))</f>
        <v>21.324000000000005</v>
      </c>
      <c r="M93" s="121">
        <f>IF($D93="","",IFERROR(VLOOKUP($B93,Kraftvärmeprod!$B$1:$BX$549,MATCH(M$2,Kraftvärmeprod!$B$1:$VX$1,0),FALSE)/1,0)-IFERROR(VLOOKUP($B93,'Slutlig allokering kvv'!$B$2:$BX$549,MATCH(M$2,'Slutlig allokering kvv'!$B$1:$BX$1,0),FALSE)/1,0))</f>
        <v>10.899999999999999</v>
      </c>
      <c r="N93" s="121">
        <f>IF($D93="","",IFERROR(VLOOKUP($B93,Kraftvärmeprod!$B$1:$BX$549,MATCH(N$2,Kraftvärmeprod!$B$1:$VX$1,0),FALSE)/1,0)-IFERROR(VLOOKUP($B93,'Slutlig allokering kvv'!$B$2:$BX$549,MATCH(N$2,'Slutlig allokering kvv'!$B$1:$BX$1,0),FALSE)/1,0))</f>
        <v>8.5300000000000011</v>
      </c>
      <c r="O93" s="121">
        <f>IF($D93="","",IFERROR(VLOOKUP($B93,Kraftvärmeprod!$B$1:$BX$549,MATCH(O$2,Kraftvärmeprod!$B$1:$VX$1,0),FALSE)/1,0)-IFERROR(VLOOKUP($B93,'Slutlig allokering kvv'!$B$2:$BX$549,MATCH(O$2,'Slutlig allokering kvv'!$B$1:$BX$1,0),FALSE)/1,0))</f>
        <v>0</v>
      </c>
      <c r="P93" s="121">
        <f>IF($D93="","",IFERROR(VLOOKUP($B93,Kraftvärmeprod!$B$1:$BX$549,MATCH(P$2,Kraftvärmeprod!$B$1:$VX$1,0),FALSE)/1,0)-IFERROR(VLOOKUP($B93,'Slutlig allokering kvv'!$B$2:$BX$549,MATCH(P$2,'Slutlig allokering kvv'!$B$1:$BX$1,0),FALSE)/1,0))</f>
        <v>0</v>
      </c>
      <c r="Q93" s="121">
        <f>IF($D93="","",IFERROR(VLOOKUP($B93,Kraftvärmeprod!$B$1:$BX$549,MATCH(Q$2,Kraftvärmeprod!$B$1:$VX$1,0),FALSE)/1,0)-IFERROR(VLOOKUP($B93,'Slutlig allokering kvv'!$B$2:$BX$549,MATCH(Q$2,'Slutlig allokering kvv'!$B$1:$BX$1,0),FALSE)/1,0))</f>
        <v>6.634999999999998</v>
      </c>
      <c r="R93" s="121">
        <f>IF($D93="","",IFERROR(VLOOKUP($B93,Kraftvärmeprod!$B$1:$BX$549,MATCH(R$2,Kraftvärmeprod!$B$1:$VX$1,0),FALSE)/1,0)-IFERROR(VLOOKUP($B93,'Slutlig allokering kvv'!$B$2:$BX$549,MATCH(R$2,'Slutlig allokering kvv'!$B$1:$BX$1,0),FALSE)/1,0))</f>
        <v>0</v>
      </c>
      <c r="S93" s="121">
        <f>IF($D93="","",IFERROR(VLOOKUP($B93,Kraftvärmeprod!$B$1:$BX$549,MATCH(S$2,Kraftvärmeprod!$B$1:$VX$1,0),FALSE)/1,0)-IFERROR(VLOOKUP($B93,'Slutlig allokering kvv'!$B$2:$BX$549,MATCH(S$2,'Slutlig allokering kvv'!$B$1:$BX$1,0),FALSE)/1,0))</f>
        <v>0</v>
      </c>
      <c r="T93" s="121">
        <f>IF($D93="","",IFERROR(VLOOKUP($B93,Kraftvärmeprod!$B$1:$BX$549,MATCH(T$2,Kraftvärmeprod!$B$1:$VX$1,0),FALSE)/1,0)-IFERROR(VLOOKUP($B93,'Slutlig allokering kvv'!$B$2:$BX$549,MATCH(T$2,'Slutlig allokering kvv'!$B$1:$BX$1,0),FALSE)/1,0))</f>
        <v>0</v>
      </c>
      <c r="U93" s="121">
        <f>IF($D93="","",IFERROR(VLOOKUP($B93,Kraftvärmeprod!$B$1:$BX$549,MATCH(U$2,Kraftvärmeprod!$B$1:$VX$1,0),FALSE)/1,0)-IFERROR(VLOOKUP($B93,'Slutlig allokering kvv'!$B$2:$BX$549,MATCH(U$2,'Slutlig allokering kvv'!$B$1:$BX$1,0),FALSE)/1,0))</f>
        <v>0</v>
      </c>
      <c r="V93" s="121">
        <f>IF($D93="","",IFERROR(VLOOKUP($B93,Kraftvärmeprod!$B$1:$BX$549,MATCH(V$2,Kraftvärmeprod!$B$1:$VX$1,0),FALSE)/1,0)-IFERROR(VLOOKUP($B93,'Slutlig allokering kvv'!$B$2:$BX$549,MATCH(V$2,'Slutlig allokering kvv'!$B$1:$BX$1,0),FALSE)/1,0))</f>
        <v>0</v>
      </c>
      <c r="W93" s="121">
        <f>IF($D93="","",IFERROR(VLOOKUP($B93,Kraftvärmeprod!$B$1:$BX$549,MATCH(W$2,Kraftvärmeprod!$B$1:$VX$1,0),FALSE)/1,0)-IFERROR(VLOOKUP($B93,'Slutlig allokering kvv'!$B$2:$BX$549,MATCH(W$2,'Slutlig allokering kvv'!$B$1:$BX$1,0),FALSE)/1,0))</f>
        <v>0</v>
      </c>
      <c r="X93" s="121">
        <f>IF($D93="","",IFERROR(VLOOKUP($B93,Kraftvärmeprod!$B$1:$BX$549,MATCH(X$2,Kraftvärmeprod!$B$1:$VX$1,0),FALSE)/1,0)-IFERROR(VLOOKUP($B93,'Slutlig allokering kvv'!$B$2:$BX$549,MATCH(X$2,'Slutlig allokering kvv'!$B$1:$BX$1,0),FALSE)/1,0))</f>
        <v>0.14568499999999995</v>
      </c>
      <c r="Y93" s="121">
        <f>IF($D93="","",IFERROR(VLOOKUP($B93,Kraftvärmeprod!$B$1:$BX$549,MATCH(Y$2,Kraftvärmeprod!$B$1:$VX$1,0),FALSE)/1,0)-IFERROR(VLOOKUP($B93,'Slutlig allokering kvv'!$B$2:$BX$549,MATCH(Y$2,'Slutlig allokering kvv'!$B$1:$BX$1,0),FALSE)/1,0))</f>
        <v>0</v>
      </c>
      <c r="Z93" s="121">
        <f>IF($D93="","",IFERROR(VLOOKUP($B93,Kraftvärmeprod!$B$1:$BX$549,MATCH(Z$2,Kraftvärmeprod!$B$1:$VX$1,0),FALSE)/1,0)-IFERROR(VLOOKUP($B93,'Slutlig allokering kvv'!$B$2:$BX$549,MATCH(Z$2,'Slutlig allokering kvv'!$B$1:$BX$1,0),FALSE)/1,0))</f>
        <v>0</v>
      </c>
      <c r="AA93" s="121">
        <f>IF($D93="","",IFERROR(VLOOKUP($B93,Kraftvärmeprod!$B$1:$BX$549,MATCH(AA$2,Kraftvärmeprod!$B$1:$VX$1,0),FALSE)/1,0)-IFERROR(VLOOKUP($B93,'Slutlig allokering kvv'!$B$2:$BX$549,MATCH(AA$2,'Slutlig allokering kvv'!$B$1:$BX$1,0),FALSE)/1,0))</f>
        <v>0</v>
      </c>
      <c r="AB93" s="121">
        <f>IF($D93="","",IFERROR(VLOOKUP($B93,Kraftvärmeprod!$B$1:$BX$549,MATCH(AB$2,Kraftvärmeprod!$B$1:$VX$1,0),FALSE)/1,0)-IFERROR(VLOOKUP($B93,'Slutlig allokering kvv'!$B$2:$BX$549,MATCH(AB$2,'Slutlig allokering kvv'!$B$1:$BX$1,0),FALSE)/1,0))</f>
        <v>0</v>
      </c>
      <c r="AC93" s="121">
        <f>IF($D93="","",IFERROR(VLOOKUP($B93,Kraftvärmeprod!$B$1:$BX$549,MATCH(AC$2,Kraftvärmeprod!$B$1:$VX$1,0),FALSE)/1,0)-IFERROR(VLOOKUP($B93,'Slutlig allokering kvv'!$B$2:$BX$549,MATCH(AC$2,'Slutlig allokering kvv'!$B$1:$BX$1,0),FALSE)/1,0))</f>
        <v>0</v>
      </c>
      <c r="AD93" s="121">
        <f>IF($D93="","",IFERROR(VLOOKUP($B93,Kraftvärmeprod!$B$1:$BX$549,MATCH(AD$2,Kraftvärmeprod!$B$1:$VX$1,0),FALSE)/1,0)-IFERROR(VLOOKUP($B93,'Slutlig allokering kvv'!$B$2:$BX$549,MATCH(AD$2,'Slutlig allokering kvv'!$B$1:$BX$1,0),FALSE)/1,0))</f>
        <v>0</v>
      </c>
      <c r="AE93" s="121">
        <f>IF($D93="","",IFERROR(VLOOKUP($B93,Miljö!$B$1:$E$550,MATCH("Hjälpel kraftvärme (GWh)",Miljö!$B$1:$E$1,0),FALSE)/1,0)-IFERROR(VLOOKUP($B93,'Slutlig allokering kvv'!$B$2:$BX$549,MATCH(AE$2,'Slutlig allokering kvv'!$B$1:$BX$1,0),FALSE)/1,0))</f>
        <v>1.9009999999999998</v>
      </c>
      <c r="AI93" s="121">
        <f t="shared" si="4"/>
        <v>47.534685000000003</v>
      </c>
      <c r="AK93" s="121">
        <f>IFERROR(VLOOKUP($B93,'Slutlig allokering kvv'!$B$2:$AX$549,MATCH("Summa slutlig allokerad tillförd energi (utan hjälpel och rökgaskondensering):",'Slutlig allokering kvv'!$B$1:$AX$1,0),FALSE)/1,"")</f>
        <v>139.48731500000002</v>
      </c>
      <c r="AM93" s="172">
        <f>IFERROR(1-VLOOKUP($B93,'Slutlig allokering kvv'!$B$2:$AX$549,MATCH("Andel av bränsle i kvv som allokerats till värme, exklusive rökgaskondensering och hjälpel",'Slutlig allokering kvv'!$B$1:$AX$1,0),FALSE),"")</f>
        <v>0.25416627455593455</v>
      </c>
      <c r="AO93" s="172">
        <f t="shared" si="5"/>
        <v>0.2541662745559346</v>
      </c>
      <c r="AP93" s="173">
        <f t="shared" si="6"/>
        <v>-5.5511151231257827E-17</v>
      </c>
      <c r="AR93" s="172">
        <f t="shared" si="7"/>
        <v>0.37707579049425521</v>
      </c>
    </row>
    <row r="94" spans="1:44" x14ac:dyDescent="0.25">
      <c r="A94" s="171" t="str">
        <f>'Miljövärden för publ företag'!B96</f>
        <v>Götene Vatten &amp; Värme AB</v>
      </c>
      <c r="B94" s="171" t="str">
        <f>'Miljövärden för publ företag'!C96</f>
        <v>Götene</v>
      </c>
      <c r="C94" s="121" t="str">
        <f>IFERROR(VLOOKUP($B94,Kraftvärmeprod!$B$1:$AH$478,MATCH(C$2,Kraftvärmeprod!$B$1:$AG$1,0),FALSE)/1,"")</f>
        <v/>
      </c>
      <c r="D94" s="121" t="str">
        <f>IFERROR(VLOOKUP($B94,Kraftvärmeprod!$B$1:$AH$478,MATCH(D$2,Kraftvärmeprod!$B$1:$AG$1,0),FALSE)/1,"")</f>
        <v/>
      </c>
      <c r="F94" s="121" t="str">
        <f>IF($D94="","",IFERROR(VLOOKUP($B94,Kraftvärmeprod!$B$1:$BX$549,MATCH(F$2,Kraftvärmeprod!$B$1:$VX$1,0),FALSE)/1,0)-IFERROR(VLOOKUP($B94,'Slutlig allokering kvv'!$B$2:$BX$549,MATCH(F$2,'Slutlig allokering kvv'!$B$1:$BX$1,0),FALSE)/1,0))</f>
        <v/>
      </c>
      <c r="G94" s="121" t="str">
        <f>IF($D94="","",IFERROR(VLOOKUP($B94,Kraftvärmeprod!$B$1:$BX$549,MATCH(G$2,Kraftvärmeprod!$B$1:$VX$1,0),FALSE)/1,0)-IFERROR(VLOOKUP($B94,'Slutlig allokering kvv'!$B$2:$BX$549,MATCH(G$2,'Slutlig allokering kvv'!$B$1:$BX$1,0),FALSE)/1,0))</f>
        <v/>
      </c>
      <c r="H94" s="121" t="str">
        <f>IF($D94="","",IFERROR(VLOOKUP($B94,Kraftvärmeprod!$B$1:$BX$549,MATCH(H$2,Kraftvärmeprod!$B$1:$VX$1,0),FALSE)/1,0)-IFERROR(VLOOKUP($B94,'Slutlig allokering kvv'!$B$2:$BX$549,MATCH(H$2,'Slutlig allokering kvv'!$B$1:$BX$1,0),FALSE)/1,0))</f>
        <v/>
      </c>
      <c r="I94" s="121" t="str">
        <f>IF($D94="","",IFERROR(VLOOKUP($B94,Kraftvärmeprod!$B$1:$BX$549,MATCH(I$2,Kraftvärmeprod!$B$1:$VX$1,0),FALSE)/1,0)-IFERROR(VLOOKUP($B94,'Slutlig allokering kvv'!$B$2:$BX$549,MATCH(I$2,'Slutlig allokering kvv'!$B$1:$BX$1,0),FALSE)/1,0))</f>
        <v/>
      </c>
      <c r="J94" s="121" t="str">
        <f>IF($D94="","",IFERROR(VLOOKUP($B94,Kraftvärmeprod!$B$1:$BX$549,MATCH(J$2,Kraftvärmeprod!$B$1:$VX$1,0),FALSE)/1,0)-IFERROR(VLOOKUP($B94,'Slutlig allokering kvv'!$B$2:$BX$549,MATCH(J$2,'Slutlig allokering kvv'!$B$1:$BX$1,0),FALSE)/1,0))</f>
        <v/>
      </c>
      <c r="K94" s="121" t="str">
        <f>IF($D94="","",IFERROR(VLOOKUP($B94,Kraftvärmeprod!$B$1:$BX$549,MATCH(K$2,Kraftvärmeprod!$B$1:$VX$1,0),FALSE)/1,0)-IFERROR(VLOOKUP($B94,'Slutlig allokering kvv'!$B$2:$BX$549,MATCH(K$2,'Slutlig allokering kvv'!$B$1:$BX$1,0),FALSE)/1,0))</f>
        <v/>
      </c>
      <c r="L94" s="121" t="str">
        <f>IF($D94="","",IFERROR(VLOOKUP($B94,Kraftvärmeprod!$B$1:$BX$549,MATCH(L$2,Kraftvärmeprod!$B$1:$VX$1,0),FALSE)/1,0)-IFERROR(VLOOKUP($B94,'Slutlig allokering kvv'!$B$2:$BX$549,MATCH(L$2,'Slutlig allokering kvv'!$B$1:$BX$1,0),FALSE)/1,0))</f>
        <v/>
      </c>
      <c r="M94" s="121" t="str">
        <f>IF($D94="","",IFERROR(VLOOKUP($B94,Kraftvärmeprod!$B$1:$BX$549,MATCH(M$2,Kraftvärmeprod!$B$1:$VX$1,0),FALSE)/1,0)-IFERROR(VLOOKUP($B94,'Slutlig allokering kvv'!$B$2:$BX$549,MATCH(M$2,'Slutlig allokering kvv'!$B$1:$BX$1,0),FALSE)/1,0))</f>
        <v/>
      </c>
      <c r="N94" s="121" t="str">
        <f>IF($D94="","",IFERROR(VLOOKUP($B94,Kraftvärmeprod!$B$1:$BX$549,MATCH(N$2,Kraftvärmeprod!$B$1:$VX$1,0),FALSE)/1,0)-IFERROR(VLOOKUP($B94,'Slutlig allokering kvv'!$B$2:$BX$549,MATCH(N$2,'Slutlig allokering kvv'!$B$1:$BX$1,0),FALSE)/1,0))</f>
        <v/>
      </c>
      <c r="O94" s="121" t="str">
        <f>IF($D94="","",IFERROR(VLOOKUP($B94,Kraftvärmeprod!$B$1:$BX$549,MATCH(O$2,Kraftvärmeprod!$B$1:$VX$1,0),FALSE)/1,0)-IFERROR(VLOOKUP($B94,'Slutlig allokering kvv'!$B$2:$BX$549,MATCH(O$2,'Slutlig allokering kvv'!$B$1:$BX$1,0),FALSE)/1,0))</f>
        <v/>
      </c>
      <c r="P94" s="121" t="str">
        <f>IF($D94="","",IFERROR(VLOOKUP($B94,Kraftvärmeprod!$B$1:$BX$549,MATCH(P$2,Kraftvärmeprod!$B$1:$VX$1,0),FALSE)/1,0)-IFERROR(VLOOKUP($B94,'Slutlig allokering kvv'!$B$2:$BX$549,MATCH(P$2,'Slutlig allokering kvv'!$B$1:$BX$1,0),FALSE)/1,0))</f>
        <v/>
      </c>
      <c r="Q94" s="121" t="str">
        <f>IF($D94="","",IFERROR(VLOOKUP($B94,Kraftvärmeprod!$B$1:$BX$549,MATCH(Q$2,Kraftvärmeprod!$B$1:$VX$1,0),FALSE)/1,0)-IFERROR(VLOOKUP($B94,'Slutlig allokering kvv'!$B$2:$BX$549,MATCH(Q$2,'Slutlig allokering kvv'!$B$1:$BX$1,0),FALSE)/1,0))</f>
        <v/>
      </c>
      <c r="R94" s="121" t="str">
        <f>IF($D94="","",IFERROR(VLOOKUP($B94,Kraftvärmeprod!$B$1:$BX$549,MATCH(R$2,Kraftvärmeprod!$B$1:$VX$1,0),FALSE)/1,0)-IFERROR(VLOOKUP($B94,'Slutlig allokering kvv'!$B$2:$BX$549,MATCH(R$2,'Slutlig allokering kvv'!$B$1:$BX$1,0),FALSE)/1,0))</f>
        <v/>
      </c>
      <c r="S94" s="121" t="str">
        <f>IF($D94="","",IFERROR(VLOOKUP($B94,Kraftvärmeprod!$B$1:$BX$549,MATCH(S$2,Kraftvärmeprod!$B$1:$VX$1,0),FALSE)/1,0)-IFERROR(VLOOKUP($B94,'Slutlig allokering kvv'!$B$2:$BX$549,MATCH(S$2,'Slutlig allokering kvv'!$B$1:$BX$1,0),FALSE)/1,0))</f>
        <v/>
      </c>
      <c r="T94" s="121" t="str">
        <f>IF($D94="","",IFERROR(VLOOKUP($B94,Kraftvärmeprod!$B$1:$BX$549,MATCH(T$2,Kraftvärmeprod!$B$1:$VX$1,0),FALSE)/1,0)-IFERROR(VLOOKUP($B94,'Slutlig allokering kvv'!$B$2:$BX$549,MATCH(T$2,'Slutlig allokering kvv'!$B$1:$BX$1,0),FALSE)/1,0))</f>
        <v/>
      </c>
      <c r="U94" s="121" t="str">
        <f>IF($D94="","",IFERROR(VLOOKUP($B94,Kraftvärmeprod!$B$1:$BX$549,MATCH(U$2,Kraftvärmeprod!$B$1:$VX$1,0),FALSE)/1,0)-IFERROR(VLOOKUP($B94,'Slutlig allokering kvv'!$B$2:$BX$549,MATCH(U$2,'Slutlig allokering kvv'!$B$1:$BX$1,0),FALSE)/1,0))</f>
        <v/>
      </c>
      <c r="V94" s="121" t="str">
        <f>IF($D94="","",IFERROR(VLOOKUP($B94,Kraftvärmeprod!$B$1:$BX$549,MATCH(V$2,Kraftvärmeprod!$B$1:$VX$1,0),FALSE)/1,0)-IFERROR(VLOOKUP($B94,'Slutlig allokering kvv'!$B$2:$BX$549,MATCH(V$2,'Slutlig allokering kvv'!$B$1:$BX$1,0),FALSE)/1,0))</f>
        <v/>
      </c>
      <c r="W94" s="121" t="str">
        <f>IF($D94="","",IFERROR(VLOOKUP($B94,Kraftvärmeprod!$B$1:$BX$549,MATCH(W$2,Kraftvärmeprod!$B$1:$VX$1,0),FALSE)/1,0)-IFERROR(VLOOKUP($B94,'Slutlig allokering kvv'!$B$2:$BX$549,MATCH(W$2,'Slutlig allokering kvv'!$B$1:$BX$1,0),FALSE)/1,0))</f>
        <v/>
      </c>
      <c r="X94" s="121" t="str">
        <f>IF($D94="","",IFERROR(VLOOKUP($B94,Kraftvärmeprod!$B$1:$BX$549,MATCH(X$2,Kraftvärmeprod!$B$1:$VX$1,0),FALSE)/1,0)-IFERROR(VLOOKUP($B94,'Slutlig allokering kvv'!$B$2:$BX$549,MATCH(X$2,'Slutlig allokering kvv'!$B$1:$BX$1,0),FALSE)/1,0))</f>
        <v/>
      </c>
      <c r="Y94" s="121" t="str">
        <f>IF($D94="","",IFERROR(VLOOKUP($B94,Kraftvärmeprod!$B$1:$BX$549,MATCH(Y$2,Kraftvärmeprod!$B$1:$VX$1,0),FALSE)/1,0)-IFERROR(VLOOKUP($B94,'Slutlig allokering kvv'!$B$2:$BX$549,MATCH(Y$2,'Slutlig allokering kvv'!$B$1:$BX$1,0),FALSE)/1,0))</f>
        <v/>
      </c>
      <c r="Z94" s="121" t="str">
        <f>IF($D94="","",IFERROR(VLOOKUP($B94,Kraftvärmeprod!$B$1:$BX$549,MATCH(Z$2,Kraftvärmeprod!$B$1:$VX$1,0),FALSE)/1,0)-IFERROR(VLOOKUP($B94,'Slutlig allokering kvv'!$B$2:$BX$549,MATCH(Z$2,'Slutlig allokering kvv'!$B$1:$BX$1,0),FALSE)/1,0))</f>
        <v/>
      </c>
      <c r="AA94" s="121" t="str">
        <f>IF($D94="","",IFERROR(VLOOKUP($B94,Kraftvärmeprod!$B$1:$BX$549,MATCH(AA$2,Kraftvärmeprod!$B$1:$VX$1,0),FALSE)/1,0)-IFERROR(VLOOKUP($B94,'Slutlig allokering kvv'!$B$2:$BX$549,MATCH(AA$2,'Slutlig allokering kvv'!$B$1:$BX$1,0),FALSE)/1,0))</f>
        <v/>
      </c>
      <c r="AB94" s="121" t="str">
        <f>IF($D94="","",IFERROR(VLOOKUP($B94,Kraftvärmeprod!$B$1:$BX$549,MATCH(AB$2,Kraftvärmeprod!$B$1:$VX$1,0),FALSE)/1,0)-IFERROR(VLOOKUP($B94,'Slutlig allokering kvv'!$B$2:$BX$549,MATCH(AB$2,'Slutlig allokering kvv'!$B$1:$BX$1,0),FALSE)/1,0))</f>
        <v/>
      </c>
      <c r="AC94" s="121" t="str">
        <f>IF($D94="","",IFERROR(VLOOKUP($B94,Kraftvärmeprod!$B$1:$BX$549,MATCH(AC$2,Kraftvärmeprod!$B$1:$VX$1,0),FALSE)/1,0)-IFERROR(VLOOKUP($B94,'Slutlig allokering kvv'!$B$2:$BX$549,MATCH(AC$2,'Slutlig allokering kvv'!$B$1:$BX$1,0),FALSE)/1,0))</f>
        <v/>
      </c>
      <c r="AD94" s="121" t="str">
        <f>IF($D94="","",IFERROR(VLOOKUP($B94,Kraftvärmeprod!$B$1:$BX$549,MATCH(AD$2,Kraftvärmeprod!$B$1:$VX$1,0),FALSE)/1,0)-IFERROR(VLOOKUP($B94,'Slutlig allokering kvv'!$B$2:$BX$549,MATCH(AD$2,'Slutlig allokering kvv'!$B$1:$BX$1,0),FALSE)/1,0))</f>
        <v/>
      </c>
      <c r="AE94" s="121" t="str">
        <f>IF($D94="","",IFERROR(VLOOKUP($B94,Miljö!$B$1:$E$550,MATCH("Hjälpel kraftvärme (GWh)",Miljö!$B$1:$E$1,0),FALSE)/1,0)-IFERROR(VLOOKUP($B94,'Slutlig allokering kvv'!$B$2:$BX$549,MATCH(AE$2,'Slutlig allokering kvv'!$B$1:$BX$1,0),FALSE)/1,0))</f>
        <v/>
      </c>
      <c r="AI94" s="121">
        <f t="shared" si="4"/>
        <v>0</v>
      </c>
      <c r="AK94" s="121">
        <f>IFERROR(VLOOKUP($B94,'Slutlig allokering kvv'!$B$2:$AX$549,MATCH("Summa slutlig allokerad tillförd energi (utan hjälpel och rökgaskondensering):",'Slutlig allokering kvv'!$B$1:$AX$1,0),FALSE)/1,"")</f>
        <v>0</v>
      </c>
      <c r="AM94" s="172" t="str">
        <f>IFERROR(1-VLOOKUP($B94,'Slutlig allokering kvv'!$B$2:$AX$549,MATCH("Andel av bränsle i kvv som allokerats till värme, exklusive rökgaskondensering och hjälpel",'Slutlig allokering kvv'!$B$1:$AX$1,0),FALSE),"")</f>
        <v/>
      </c>
      <c r="AO94" s="172" t="str">
        <f t="shared" si="5"/>
        <v/>
      </c>
      <c r="AP94" s="173" t="str">
        <f t="shared" si="6"/>
        <v/>
      </c>
      <c r="AR94" s="172" t="str">
        <f t="shared" si="7"/>
        <v/>
      </c>
    </row>
    <row r="95" spans="1:44" x14ac:dyDescent="0.25">
      <c r="A95" s="171" t="str">
        <f>'Miljövärden för publ företag'!B97</f>
        <v>Götene Vatten &amp; Värme AB</v>
      </c>
      <c r="B95" s="171" t="str">
        <f>'Miljövärden för publ företag'!C97</f>
        <v>Hällekis</v>
      </c>
      <c r="C95" s="121" t="str">
        <f>IFERROR(VLOOKUP($B95,Kraftvärmeprod!$B$1:$AH$478,MATCH(C$2,Kraftvärmeprod!$B$1:$AG$1,0),FALSE)/1,"")</f>
        <v/>
      </c>
      <c r="D95" s="121" t="str">
        <f>IFERROR(VLOOKUP($B95,Kraftvärmeprod!$B$1:$AH$478,MATCH(D$2,Kraftvärmeprod!$B$1:$AG$1,0),FALSE)/1,"")</f>
        <v/>
      </c>
      <c r="F95" s="121" t="str">
        <f>IF($D95="","",IFERROR(VLOOKUP($B95,Kraftvärmeprod!$B$1:$BX$549,MATCH(F$2,Kraftvärmeprod!$B$1:$VX$1,0),FALSE)/1,0)-IFERROR(VLOOKUP($B95,'Slutlig allokering kvv'!$B$2:$BX$549,MATCH(F$2,'Slutlig allokering kvv'!$B$1:$BX$1,0),FALSE)/1,0))</f>
        <v/>
      </c>
      <c r="G95" s="121" t="str">
        <f>IF($D95="","",IFERROR(VLOOKUP($B95,Kraftvärmeprod!$B$1:$BX$549,MATCH(G$2,Kraftvärmeprod!$B$1:$VX$1,0),FALSE)/1,0)-IFERROR(VLOOKUP($B95,'Slutlig allokering kvv'!$B$2:$BX$549,MATCH(G$2,'Slutlig allokering kvv'!$B$1:$BX$1,0),FALSE)/1,0))</f>
        <v/>
      </c>
      <c r="H95" s="121" t="str">
        <f>IF($D95="","",IFERROR(VLOOKUP($B95,Kraftvärmeprod!$B$1:$BX$549,MATCH(H$2,Kraftvärmeprod!$B$1:$VX$1,0),FALSE)/1,0)-IFERROR(VLOOKUP($B95,'Slutlig allokering kvv'!$B$2:$BX$549,MATCH(H$2,'Slutlig allokering kvv'!$B$1:$BX$1,0),FALSE)/1,0))</f>
        <v/>
      </c>
      <c r="I95" s="121" t="str">
        <f>IF($D95="","",IFERROR(VLOOKUP($B95,Kraftvärmeprod!$B$1:$BX$549,MATCH(I$2,Kraftvärmeprod!$B$1:$VX$1,0),FALSE)/1,0)-IFERROR(VLOOKUP($B95,'Slutlig allokering kvv'!$B$2:$BX$549,MATCH(I$2,'Slutlig allokering kvv'!$B$1:$BX$1,0),FALSE)/1,0))</f>
        <v/>
      </c>
      <c r="J95" s="121" t="str">
        <f>IF($D95="","",IFERROR(VLOOKUP($B95,Kraftvärmeprod!$B$1:$BX$549,MATCH(J$2,Kraftvärmeprod!$B$1:$VX$1,0),FALSE)/1,0)-IFERROR(VLOOKUP($B95,'Slutlig allokering kvv'!$B$2:$BX$549,MATCH(J$2,'Slutlig allokering kvv'!$B$1:$BX$1,0),FALSE)/1,0))</f>
        <v/>
      </c>
      <c r="K95" s="121" t="str">
        <f>IF($D95="","",IFERROR(VLOOKUP($B95,Kraftvärmeprod!$B$1:$BX$549,MATCH(K$2,Kraftvärmeprod!$B$1:$VX$1,0),FALSE)/1,0)-IFERROR(VLOOKUP($B95,'Slutlig allokering kvv'!$B$2:$BX$549,MATCH(K$2,'Slutlig allokering kvv'!$B$1:$BX$1,0),FALSE)/1,0))</f>
        <v/>
      </c>
      <c r="L95" s="121" t="str">
        <f>IF($D95="","",IFERROR(VLOOKUP($B95,Kraftvärmeprod!$B$1:$BX$549,MATCH(L$2,Kraftvärmeprod!$B$1:$VX$1,0),FALSE)/1,0)-IFERROR(VLOOKUP($B95,'Slutlig allokering kvv'!$B$2:$BX$549,MATCH(L$2,'Slutlig allokering kvv'!$B$1:$BX$1,0),FALSE)/1,0))</f>
        <v/>
      </c>
      <c r="M95" s="121" t="str">
        <f>IF($D95="","",IFERROR(VLOOKUP($B95,Kraftvärmeprod!$B$1:$BX$549,MATCH(M$2,Kraftvärmeprod!$B$1:$VX$1,0),FALSE)/1,0)-IFERROR(VLOOKUP($B95,'Slutlig allokering kvv'!$B$2:$BX$549,MATCH(M$2,'Slutlig allokering kvv'!$B$1:$BX$1,0),FALSE)/1,0))</f>
        <v/>
      </c>
      <c r="N95" s="121" t="str">
        <f>IF($D95="","",IFERROR(VLOOKUP($B95,Kraftvärmeprod!$B$1:$BX$549,MATCH(N$2,Kraftvärmeprod!$B$1:$VX$1,0),FALSE)/1,0)-IFERROR(VLOOKUP($B95,'Slutlig allokering kvv'!$B$2:$BX$549,MATCH(N$2,'Slutlig allokering kvv'!$B$1:$BX$1,0),FALSE)/1,0))</f>
        <v/>
      </c>
      <c r="O95" s="121" t="str">
        <f>IF($D95="","",IFERROR(VLOOKUP($B95,Kraftvärmeprod!$B$1:$BX$549,MATCH(O$2,Kraftvärmeprod!$B$1:$VX$1,0),FALSE)/1,0)-IFERROR(VLOOKUP($B95,'Slutlig allokering kvv'!$B$2:$BX$549,MATCH(O$2,'Slutlig allokering kvv'!$B$1:$BX$1,0),FALSE)/1,0))</f>
        <v/>
      </c>
      <c r="P95" s="121" t="str">
        <f>IF($D95="","",IFERROR(VLOOKUP($B95,Kraftvärmeprod!$B$1:$BX$549,MATCH(P$2,Kraftvärmeprod!$B$1:$VX$1,0),FALSE)/1,0)-IFERROR(VLOOKUP($B95,'Slutlig allokering kvv'!$B$2:$BX$549,MATCH(P$2,'Slutlig allokering kvv'!$B$1:$BX$1,0),FALSE)/1,0))</f>
        <v/>
      </c>
      <c r="Q95" s="121" t="str">
        <f>IF($D95="","",IFERROR(VLOOKUP($B95,Kraftvärmeprod!$B$1:$BX$549,MATCH(Q$2,Kraftvärmeprod!$B$1:$VX$1,0),FALSE)/1,0)-IFERROR(VLOOKUP($B95,'Slutlig allokering kvv'!$B$2:$BX$549,MATCH(Q$2,'Slutlig allokering kvv'!$B$1:$BX$1,0),FALSE)/1,0))</f>
        <v/>
      </c>
      <c r="R95" s="121" t="str">
        <f>IF($D95="","",IFERROR(VLOOKUP($B95,Kraftvärmeprod!$B$1:$BX$549,MATCH(R$2,Kraftvärmeprod!$B$1:$VX$1,0),FALSE)/1,0)-IFERROR(VLOOKUP($B95,'Slutlig allokering kvv'!$B$2:$BX$549,MATCH(R$2,'Slutlig allokering kvv'!$B$1:$BX$1,0),FALSE)/1,0))</f>
        <v/>
      </c>
      <c r="S95" s="121" t="str">
        <f>IF($D95="","",IFERROR(VLOOKUP($B95,Kraftvärmeprod!$B$1:$BX$549,MATCH(S$2,Kraftvärmeprod!$B$1:$VX$1,0),FALSE)/1,0)-IFERROR(VLOOKUP($B95,'Slutlig allokering kvv'!$B$2:$BX$549,MATCH(S$2,'Slutlig allokering kvv'!$B$1:$BX$1,0),FALSE)/1,0))</f>
        <v/>
      </c>
      <c r="T95" s="121" t="str">
        <f>IF($D95="","",IFERROR(VLOOKUP($B95,Kraftvärmeprod!$B$1:$BX$549,MATCH(T$2,Kraftvärmeprod!$B$1:$VX$1,0),FALSE)/1,0)-IFERROR(VLOOKUP($B95,'Slutlig allokering kvv'!$B$2:$BX$549,MATCH(T$2,'Slutlig allokering kvv'!$B$1:$BX$1,0),FALSE)/1,0))</f>
        <v/>
      </c>
      <c r="U95" s="121" t="str">
        <f>IF($D95="","",IFERROR(VLOOKUP($B95,Kraftvärmeprod!$B$1:$BX$549,MATCH(U$2,Kraftvärmeprod!$B$1:$VX$1,0),FALSE)/1,0)-IFERROR(VLOOKUP($B95,'Slutlig allokering kvv'!$B$2:$BX$549,MATCH(U$2,'Slutlig allokering kvv'!$B$1:$BX$1,0),FALSE)/1,0))</f>
        <v/>
      </c>
      <c r="V95" s="121" t="str">
        <f>IF($D95="","",IFERROR(VLOOKUP($B95,Kraftvärmeprod!$B$1:$BX$549,MATCH(V$2,Kraftvärmeprod!$B$1:$VX$1,0),FALSE)/1,0)-IFERROR(VLOOKUP($B95,'Slutlig allokering kvv'!$B$2:$BX$549,MATCH(V$2,'Slutlig allokering kvv'!$B$1:$BX$1,0),FALSE)/1,0))</f>
        <v/>
      </c>
      <c r="W95" s="121" t="str">
        <f>IF($D95="","",IFERROR(VLOOKUP($B95,Kraftvärmeprod!$B$1:$BX$549,MATCH(W$2,Kraftvärmeprod!$B$1:$VX$1,0),FALSE)/1,0)-IFERROR(VLOOKUP($B95,'Slutlig allokering kvv'!$B$2:$BX$549,MATCH(W$2,'Slutlig allokering kvv'!$B$1:$BX$1,0),FALSE)/1,0))</f>
        <v/>
      </c>
      <c r="X95" s="121" t="str">
        <f>IF($D95="","",IFERROR(VLOOKUP($B95,Kraftvärmeprod!$B$1:$BX$549,MATCH(X$2,Kraftvärmeprod!$B$1:$VX$1,0),FALSE)/1,0)-IFERROR(VLOOKUP($B95,'Slutlig allokering kvv'!$B$2:$BX$549,MATCH(X$2,'Slutlig allokering kvv'!$B$1:$BX$1,0),FALSE)/1,0))</f>
        <v/>
      </c>
      <c r="Y95" s="121" t="str">
        <f>IF($D95="","",IFERROR(VLOOKUP($B95,Kraftvärmeprod!$B$1:$BX$549,MATCH(Y$2,Kraftvärmeprod!$B$1:$VX$1,0),FALSE)/1,0)-IFERROR(VLOOKUP($B95,'Slutlig allokering kvv'!$B$2:$BX$549,MATCH(Y$2,'Slutlig allokering kvv'!$B$1:$BX$1,0),FALSE)/1,0))</f>
        <v/>
      </c>
      <c r="Z95" s="121" t="str">
        <f>IF($D95="","",IFERROR(VLOOKUP($B95,Kraftvärmeprod!$B$1:$BX$549,MATCH(Z$2,Kraftvärmeprod!$B$1:$VX$1,0),FALSE)/1,0)-IFERROR(VLOOKUP($B95,'Slutlig allokering kvv'!$B$2:$BX$549,MATCH(Z$2,'Slutlig allokering kvv'!$B$1:$BX$1,0),FALSE)/1,0))</f>
        <v/>
      </c>
      <c r="AA95" s="121" t="str">
        <f>IF($D95="","",IFERROR(VLOOKUP($B95,Kraftvärmeprod!$B$1:$BX$549,MATCH(AA$2,Kraftvärmeprod!$B$1:$VX$1,0),FALSE)/1,0)-IFERROR(VLOOKUP($B95,'Slutlig allokering kvv'!$B$2:$BX$549,MATCH(AA$2,'Slutlig allokering kvv'!$B$1:$BX$1,0),FALSE)/1,0))</f>
        <v/>
      </c>
      <c r="AB95" s="121" t="str">
        <f>IF($D95="","",IFERROR(VLOOKUP($B95,Kraftvärmeprod!$B$1:$BX$549,MATCH(AB$2,Kraftvärmeprod!$B$1:$VX$1,0),FALSE)/1,0)-IFERROR(VLOOKUP($B95,'Slutlig allokering kvv'!$B$2:$BX$549,MATCH(AB$2,'Slutlig allokering kvv'!$B$1:$BX$1,0),FALSE)/1,0))</f>
        <v/>
      </c>
      <c r="AC95" s="121" t="str">
        <f>IF($D95="","",IFERROR(VLOOKUP($B95,Kraftvärmeprod!$B$1:$BX$549,MATCH(AC$2,Kraftvärmeprod!$B$1:$VX$1,0),FALSE)/1,0)-IFERROR(VLOOKUP($B95,'Slutlig allokering kvv'!$B$2:$BX$549,MATCH(AC$2,'Slutlig allokering kvv'!$B$1:$BX$1,0),FALSE)/1,0))</f>
        <v/>
      </c>
      <c r="AD95" s="121" t="str">
        <f>IF($D95="","",IFERROR(VLOOKUP($B95,Kraftvärmeprod!$B$1:$BX$549,MATCH(AD$2,Kraftvärmeprod!$B$1:$VX$1,0),FALSE)/1,0)-IFERROR(VLOOKUP($B95,'Slutlig allokering kvv'!$B$2:$BX$549,MATCH(AD$2,'Slutlig allokering kvv'!$B$1:$BX$1,0),FALSE)/1,0))</f>
        <v/>
      </c>
      <c r="AE95" s="121" t="str">
        <f>IF($D95="","",IFERROR(VLOOKUP($B95,Miljö!$B$1:$E$550,MATCH("Hjälpel kraftvärme (GWh)",Miljö!$B$1:$E$1,0),FALSE)/1,0)-IFERROR(VLOOKUP($B95,'Slutlig allokering kvv'!$B$2:$BX$549,MATCH(AE$2,'Slutlig allokering kvv'!$B$1:$BX$1,0),FALSE)/1,0))</f>
        <v/>
      </c>
      <c r="AI95" s="121">
        <f t="shared" si="4"/>
        <v>0</v>
      </c>
      <c r="AK95" s="121">
        <f>IFERROR(VLOOKUP($B95,'Slutlig allokering kvv'!$B$2:$AX$549,MATCH("Summa slutlig allokerad tillförd energi (utan hjälpel och rökgaskondensering):",'Slutlig allokering kvv'!$B$1:$AX$1,0),FALSE)/1,"")</f>
        <v>0</v>
      </c>
      <c r="AM95" s="172" t="str">
        <f>IFERROR(1-VLOOKUP($B95,'Slutlig allokering kvv'!$B$2:$AX$549,MATCH("Andel av bränsle i kvv som allokerats till värme, exklusive rökgaskondensering och hjälpel",'Slutlig allokering kvv'!$B$1:$AX$1,0),FALSE),"")</f>
        <v/>
      </c>
      <c r="AO95" s="172" t="str">
        <f t="shared" si="5"/>
        <v/>
      </c>
      <c r="AP95" s="173" t="str">
        <f t="shared" si="6"/>
        <v/>
      </c>
      <c r="AR95" s="172" t="str">
        <f t="shared" si="7"/>
        <v/>
      </c>
    </row>
    <row r="96" spans="1:44" x14ac:dyDescent="0.25">
      <c r="A96" s="171" t="str">
        <f>'Miljövärden för publ företag'!B98</f>
        <v>Habo Energi AB</v>
      </c>
      <c r="B96" s="171" t="str">
        <f>'Miljövärden för publ företag'!C98</f>
        <v>Habo</v>
      </c>
      <c r="C96" s="121" t="str">
        <f>IFERROR(VLOOKUP($B96,Kraftvärmeprod!$B$1:$AH$478,MATCH(C$2,Kraftvärmeprod!$B$1:$AG$1,0),FALSE)/1,"")</f>
        <v/>
      </c>
      <c r="D96" s="121" t="str">
        <f>IFERROR(VLOOKUP($B96,Kraftvärmeprod!$B$1:$AH$478,MATCH(D$2,Kraftvärmeprod!$B$1:$AG$1,0),FALSE)/1,"")</f>
        <v/>
      </c>
      <c r="F96" s="121" t="str">
        <f>IF($D96="","",IFERROR(VLOOKUP($B96,Kraftvärmeprod!$B$1:$BX$549,MATCH(F$2,Kraftvärmeprod!$B$1:$VX$1,0),FALSE)/1,0)-IFERROR(VLOOKUP($B96,'Slutlig allokering kvv'!$B$2:$BX$549,MATCH(F$2,'Slutlig allokering kvv'!$B$1:$BX$1,0),FALSE)/1,0))</f>
        <v/>
      </c>
      <c r="G96" s="121" t="str">
        <f>IF($D96="","",IFERROR(VLOOKUP($B96,Kraftvärmeprod!$B$1:$BX$549,MATCH(G$2,Kraftvärmeprod!$B$1:$VX$1,0),FALSE)/1,0)-IFERROR(VLOOKUP($B96,'Slutlig allokering kvv'!$B$2:$BX$549,MATCH(G$2,'Slutlig allokering kvv'!$B$1:$BX$1,0),FALSE)/1,0))</f>
        <v/>
      </c>
      <c r="H96" s="121" t="str">
        <f>IF($D96="","",IFERROR(VLOOKUP($B96,Kraftvärmeprod!$B$1:$BX$549,MATCH(H$2,Kraftvärmeprod!$B$1:$VX$1,0),FALSE)/1,0)-IFERROR(VLOOKUP($B96,'Slutlig allokering kvv'!$B$2:$BX$549,MATCH(H$2,'Slutlig allokering kvv'!$B$1:$BX$1,0),FALSE)/1,0))</f>
        <v/>
      </c>
      <c r="I96" s="121" t="str">
        <f>IF($D96="","",IFERROR(VLOOKUP($B96,Kraftvärmeprod!$B$1:$BX$549,MATCH(I$2,Kraftvärmeprod!$B$1:$VX$1,0),FALSE)/1,0)-IFERROR(VLOOKUP($B96,'Slutlig allokering kvv'!$B$2:$BX$549,MATCH(I$2,'Slutlig allokering kvv'!$B$1:$BX$1,0),FALSE)/1,0))</f>
        <v/>
      </c>
      <c r="J96" s="121" t="str">
        <f>IF($D96="","",IFERROR(VLOOKUP($B96,Kraftvärmeprod!$B$1:$BX$549,MATCH(J$2,Kraftvärmeprod!$B$1:$VX$1,0),FALSE)/1,0)-IFERROR(VLOOKUP($B96,'Slutlig allokering kvv'!$B$2:$BX$549,MATCH(J$2,'Slutlig allokering kvv'!$B$1:$BX$1,0),FALSE)/1,0))</f>
        <v/>
      </c>
      <c r="K96" s="121" t="str">
        <f>IF($D96="","",IFERROR(VLOOKUP($B96,Kraftvärmeprod!$B$1:$BX$549,MATCH(K$2,Kraftvärmeprod!$B$1:$VX$1,0),FALSE)/1,0)-IFERROR(VLOOKUP($B96,'Slutlig allokering kvv'!$B$2:$BX$549,MATCH(K$2,'Slutlig allokering kvv'!$B$1:$BX$1,0),FALSE)/1,0))</f>
        <v/>
      </c>
      <c r="L96" s="121" t="str">
        <f>IF($D96="","",IFERROR(VLOOKUP($B96,Kraftvärmeprod!$B$1:$BX$549,MATCH(L$2,Kraftvärmeprod!$B$1:$VX$1,0),FALSE)/1,0)-IFERROR(VLOOKUP($B96,'Slutlig allokering kvv'!$B$2:$BX$549,MATCH(L$2,'Slutlig allokering kvv'!$B$1:$BX$1,0),FALSE)/1,0))</f>
        <v/>
      </c>
      <c r="M96" s="121" t="str">
        <f>IF($D96="","",IFERROR(VLOOKUP($B96,Kraftvärmeprod!$B$1:$BX$549,MATCH(M$2,Kraftvärmeprod!$B$1:$VX$1,0),FALSE)/1,0)-IFERROR(VLOOKUP($B96,'Slutlig allokering kvv'!$B$2:$BX$549,MATCH(M$2,'Slutlig allokering kvv'!$B$1:$BX$1,0),FALSE)/1,0))</f>
        <v/>
      </c>
      <c r="N96" s="121" t="str">
        <f>IF($D96="","",IFERROR(VLOOKUP($B96,Kraftvärmeprod!$B$1:$BX$549,MATCH(N$2,Kraftvärmeprod!$B$1:$VX$1,0),FALSE)/1,0)-IFERROR(VLOOKUP($B96,'Slutlig allokering kvv'!$B$2:$BX$549,MATCH(N$2,'Slutlig allokering kvv'!$B$1:$BX$1,0),FALSE)/1,0))</f>
        <v/>
      </c>
      <c r="O96" s="121" t="str">
        <f>IF($D96="","",IFERROR(VLOOKUP($B96,Kraftvärmeprod!$B$1:$BX$549,MATCH(O$2,Kraftvärmeprod!$B$1:$VX$1,0),FALSE)/1,0)-IFERROR(VLOOKUP($B96,'Slutlig allokering kvv'!$B$2:$BX$549,MATCH(O$2,'Slutlig allokering kvv'!$B$1:$BX$1,0),FALSE)/1,0))</f>
        <v/>
      </c>
      <c r="P96" s="121" t="str">
        <f>IF($D96="","",IFERROR(VLOOKUP($B96,Kraftvärmeprod!$B$1:$BX$549,MATCH(P$2,Kraftvärmeprod!$B$1:$VX$1,0),FALSE)/1,0)-IFERROR(VLOOKUP($B96,'Slutlig allokering kvv'!$B$2:$BX$549,MATCH(P$2,'Slutlig allokering kvv'!$B$1:$BX$1,0),FALSE)/1,0))</f>
        <v/>
      </c>
      <c r="Q96" s="121" t="str">
        <f>IF($D96="","",IFERROR(VLOOKUP($B96,Kraftvärmeprod!$B$1:$BX$549,MATCH(Q$2,Kraftvärmeprod!$B$1:$VX$1,0),FALSE)/1,0)-IFERROR(VLOOKUP($B96,'Slutlig allokering kvv'!$B$2:$BX$549,MATCH(Q$2,'Slutlig allokering kvv'!$B$1:$BX$1,0),FALSE)/1,0))</f>
        <v/>
      </c>
      <c r="R96" s="121" t="str">
        <f>IF($D96="","",IFERROR(VLOOKUP($B96,Kraftvärmeprod!$B$1:$BX$549,MATCH(R$2,Kraftvärmeprod!$B$1:$VX$1,0),FALSE)/1,0)-IFERROR(VLOOKUP($B96,'Slutlig allokering kvv'!$B$2:$BX$549,MATCH(R$2,'Slutlig allokering kvv'!$B$1:$BX$1,0),FALSE)/1,0))</f>
        <v/>
      </c>
      <c r="S96" s="121" t="str">
        <f>IF($D96="","",IFERROR(VLOOKUP($B96,Kraftvärmeprod!$B$1:$BX$549,MATCH(S$2,Kraftvärmeprod!$B$1:$VX$1,0),FALSE)/1,0)-IFERROR(VLOOKUP($B96,'Slutlig allokering kvv'!$B$2:$BX$549,MATCH(S$2,'Slutlig allokering kvv'!$B$1:$BX$1,0),FALSE)/1,0))</f>
        <v/>
      </c>
      <c r="T96" s="121" t="str">
        <f>IF($D96="","",IFERROR(VLOOKUP($B96,Kraftvärmeprod!$B$1:$BX$549,MATCH(T$2,Kraftvärmeprod!$B$1:$VX$1,0),FALSE)/1,0)-IFERROR(VLOOKUP($B96,'Slutlig allokering kvv'!$B$2:$BX$549,MATCH(T$2,'Slutlig allokering kvv'!$B$1:$BX$1,0),FALSE)/1,0))</f>
        <v/>
      </c>
      <c r="U96" s="121" t="str">
        <f>IF($D96="","",IFERROR(VLOOKUP($B96,Kraftvärmeprod!$B$1:$BX$549,MATCH(U$2,Kraftvärmeprod!$B$1:$VX$1,0),FALSE)/1,0)-IFERROR(VLOOKUP($B96,'Slutlig allokering kvv'!$B$2:$BX$549,MATCH(U$2,'Slutlig allokering kvv'!$B$1:$BX$1,0),FALSE)/1,0))</f>
        <v/>
      </c>
      <c r="V96" s="121" t="str">
        <f>IF($D96="","",IFERROR(VLOOKUP($B96,Kraftvärmeprod!$B$1:$BX$549,MATCH(V$2,Kraftvärmeprod!$B$1:$VX$1,0),FALSE)/1,0)-IFERROR(VLOOKUP($B96,'Slutlig allokering kvv'!$B$2:$BX$549,MATCH(V$2,'Slutlig allokering kvv'!$B$1:$BX$1,0),FALSE)/1,0))</f>
        <v/>
      </c>
      <c r="W96" s="121" t="str">
        <f>IF($D96="","",IFERROR(VLOOKUP($B96,Kraftvärmeprod!$B$1:$BX$549,MATCH(W$2,Kraftvärmeprod!$B$1:$VX$1,0),FALSE)/1,0)-IFERROR(VLOOKUP($B96,'Slutlig allokering kvv'!$B$2:$BX$549,MATCH(W$2,'Slutlig allokering kvv'!$B$1:$BX$1,0),FALSE)/1,0))</f>
        <v/>
      </c>
      <c r="X96" s="121" t="str">
        <f>IF($D96="","",IFERROR(VLOOKUP($B96,Kraftvärmeprod!$B$1:$BX$549,MATCH(X$2,Kraftvärmeprod!$B$1:$VX$1,0),FALSE)/1,0)-IFERROR(VLOOKUP($B96,'Slutlig allokering kvv'!$B$2:$BX$549,MATCH(X$2,'Slutlig allokering kvv'!$B$1:$BX$1,0),FALSE)/1,0))</f>
        <v/>
      </c>
      <c r="Y96" s="121" t="str">
        <f>IF($D96="","",IFERROR(VLOOKUP($B96,Kraftvärmeprod!$B$1:$BX$549,MATCH(Y$2,Kraftvärmeprod!$B$1:$VX$1,0),FALSE)/1,0)-IFERROR(VLOOKUP($B96,'Slutlig allokering kvv'!$B$2:$BX$549,MATCH(Y$2,'Slutlig allokering kvv'!$B$1:$BX$1,0),FALSE)/1,0))</f>
        <v/>
      </c>
      <c r="Z96" s="121" t="str">
        <f>IF($D96="","",IFERROR(VLOOKUP($B96,Kraftvärmeprod!$B$1:$BX$549,MATCH(Z$2,Kraftvärmeprod!$B$1:$VX$1,0),FALSE)/1,0)-IFERROR(VLOOKUP($B96,'Slutlig allokering kvv'!$B$2:$BX$549,MATCH(Z$2,'Slutlig allokering kvv'!$B$1:$BX$1,0),FALSE)/1,0))</f>
        <v/>
      </c>
      <c r="AA96" s="121" t="str">
        <f>IF($D96="","",IFERROR(VLOOKUP($B96,Kraftvärmeprod!$B$1:$BX$549,MATCH(AA$2,Kraftvärmeprod!$B$1:$VX$1,0),FALSE)/1,0)-IFERROR(VLOOKUP($B96,'Slutlig allokering kvv'!$B$2:$BX$549,MATCH(AA$2,'Slutlig allokering kvv'!$B$1:$BX$1,0),FALSE)/1,0))</f>
        <v/>
      </c>
      <c r="AB96" s="121" t="str">
        <f>IF($D96="","",IFERROR(VLOOKUP($B96,Kraftvärmeprod!$B$1:$BX$549,MATCH(AB$2,Kraftvärmeprod!$B$1:$VX$1,0),FALSE)/1,0)-IFERROR(VLOOKUP($B96,'Slutlig allokering kvv'!$B$2:$BX$549,MATCH(AB$2,'Slutlig allokering kvv'!$B$1:$BX$1,0),FALSE)/1,0))</f>
        <v/>
      </c>
      <c r="AC96" s="121" t="str">
        <f>IF($D96="","",IFERROR(VLOOKUP($B96,Kraftvärmeprod!$B$1:$BX$549,MATCH(AC$2,Kraftvärmeprod!$B$1:$VX$1,0),FALSE)/1,0)-IFERROR(VLOOKUP($B96,'Slutlig allokering kvv'!$B$2:$BX$549,MATCH(AC$2,'Slutlig allokering kvv'!$B$1:$BX$1,0),FALSE)/1,0))</f>
        <v/>
      </c>
      <c r="AD96" s="121" t="str">
        <f>IF($D96="","",IFERROR(VLOOKUP($B96,Kraftvärmeprod!$B$1:$BX$549,MATCH(AD$2,Kraftvärmeprod!$B$1:$VX$1,0),FALSE)/1,0)-IFERROR(VLOOKUP($B96,'Slutlig allokering kvv'!$B$2:$BX$549,MATCH(AD$2,'Slutlig allokering kvv'!$B$1:$BX$1,0),FALSE)/1,0))</f>
        <v/>
      </c>
      <c r="AE96" s="121" t="str">
        <f>IF($D96="","",IFERROR(VLOOKUP($B96,Miljö!$B$1:$E$550,MATCH("Hjälpel kraftvärme (GWh)",Miljö!$B$1:$E$1,0),FALSE)/1,0)-IFERROR(VLOOKUP($B96,'Slutlig allokering kvv'!$B$2:$BX$549,MATCH(AE$2,'Slutlig allokering kvv'!$B$1:$BX$1,0),FALSE)/1,0))</f>
        <v/>
      </c>
      <c r="AI96" s="121">
        <f t="shared" si="4"/>
        <v>0</v>
      </c>
      <c r="AK96" s="121">
        <f>IFERROR(VLOOKUP($B96,'Slutlig allokering kvv'!$B$2:$AX$549,MATCH("Summa slutlig allokerad tillförd energi (utan hjälpel och rökgaskondensering):",'Slutlig allokering kvv'!$B$1:$AX$1,0),FALSE)/1,"")</f>
        <v>0</v>
      </c>
      <c r="AM96" s="172" t="str">
        <f>IFERROR(1-VLOOKUP($B96,'Slutlig allokering kvv'!$B$2:$AX$549,MATCH("Andel av bränsle i kvv som allokerats till värme, exklusive rökgaskondensering och hjälpel",'Slutlig allokering kvv'!$B$1:$AX$1,0),FALSE),"")</f>
        <v/>
      </c>
      <c r="AO96" s="172" t="str">
        <f t="shared" si="5"/>
        <v/>
      </c>
      <c r="AP96" s="173" t="str">
        <f t="shared" si="6"/>
        <v/>
      </c>
      <c r="AR96" s="172" t="str">
        <f t="shared" si="7"/>
        <v/>
      </c>
    </row>
    <row r="97" spans="1:44" x14ac:dyDescent="0.25">
      <c r="A97" s="171" t="str">
        <f>'Miljövärden för publ företag'!B99</f>
        <v>Hagfors Energi</v>
      </c>
      <c r="B97" s="171" t="str">
        <f>'Miljövärden för publ företag'!C99</f>
        <v>Ekshärad</v>
      </c>
      <c r="C97" s="121" t="str">
        <f>IFERROR(VLOOKUP($B97,Kraftvärmeprod!$B$1:$AH$478,MATCH(C$2,Kraftvärmeprod!$B$1:$AG$1,0),FALSE)/1,"")</f>
        <v/>
      </c>
      <c r="D97" s="121" t="str">
        <f>IFERROR(VLOOKUP($B97,Kraftvärmeprod!$B$1:$AH$478,MATCH(D$2,Kraftvärmeprod!$B$1:$AG$1,0),FALSE)/1,"")</f>
        <v/>
      </c>
      <c r="F97" s="121" t="str">
        <f>IF($D97="","",IFERROR(VLOOKUP($B97,Kraftvärmeprod!$B$1:$BX$549,MATCH(F$2,Kraftvärmeprod!$B$1:$VX$1,0),FALSE)/1,0)-IFERROR(VLOOKUP($B97,'Slutlig allokering kvv'!$B$2:$BX$549,MATCH(F$2,'Slutlig allokering kvv'!$B$1:$BX$1,0),FALSE)/1,0))</f>
        <v/>
      </c>
      <c r="G97" s="121" t="str">
        <f>IF($D97="","",IFERROR(VLOOKUP($B97,Kraftvärmeprod!$B$1:$BX$549,MATCH(G$2,Kraftvärmeprod!$B$1:$VX$1,0),FALSE)/1,0)-IFERROR(VLOOKUP($B97,'Slutlig allokering kvv'!$B$2:$BX$549,MATCH(G$2,'Slutlig allokering kvv'!$B$1:$BX$1,0),FALSE)/1,0))</f>
        <v/>
      </c>
      <c r="H97" s="121" t="str">
        <f>IF($D97="","",IFERROR(VLOOKUP($B97,Kraftvärmeprod!$B$1:$BX$549,MATCH(H$2,Kraftvärmeprod!$B$1:$VX$1,0),FALSE)/1,0)-IFERROR(VLOOKUP($B97,'Slutlig allokering kvv'!$B$2:$BX$549,MATCH(H$2,'Slutlig allokering kvv'!$B$1:$BX$1,0),FALSE)/1,0))</f>
        <v/>
      </c>
      <c r="I97" s="121" t="str">
        <f>IF($D97="","",IFERROR(VLOOKUP($B97,Kraftvärmeprod!$B$1:$BX$549,MATCH(I$2,Kraftvärmeprod!$B$1:$VX$1,0),FALSE)/1,0)-IFERROR(VLOOKUP($B97,'Slutlig allokering kvv'!$B$2:$BX$549,MATCH(I$2,'Slutlig allokering kvv'!$B$1:$BX$1,0),FALSE)/1,0))</f>
        <v/>
      </c>
      <c r="J97" s="121" t="str">
        <f>IF($D97="","",IFERROR(VLOOKUP($B97,Kraftvärmeprod!$B$1:$BX$549,MATCH(J$2,Kraftvärmeprod!$B$1:$VX$1,0),FALSE)/1,0)-IFERROR(VLOOKUP($B97,'Slutlig allokering kvv'!$B$2:$BX$549,MATCH(J$2,'Slutlig allokering kvv'!$B$1:$BX$1,0),FALSE)/1,0))</f>
        <v/>
      </c>
      <c r="K97" s="121" t="str">
        <f>IF($D97="","",IFERROR(VLOOKUP($B97,Kraftvärmeprod!$B$1:$BX$549,MATCH(K$2,Kraftvärmeprod!$B$1:$VX$1,0),FALSE)/1,0)-IFERROR(VLOOKUP($B97,'Slutlig allokering kvv'!$B$2:$BX$549,MATCH(K$2,'Slutlig allokering kvv'!$B$1:$BX$1,0),FALSE)/1,0))</f>
        <v/>
      </c>
      <c r="L97" s="121" t="str">
        <f>IF($D97="","",IFERROR(VLOOKUP($B97,Kraftvärmeprod!$B$1:$BX$549,MATCH(L$2,Kraftvärmeprod!$B$1:$VX$1,0),FALSE)/1,0)-IFERROR(VLOOKUP($B97,'Slutlig allokering kvv'!$B$2:$BX$549,MATCH(L$2,'Slutlig allokering kvv'!$B$1:$BX$1,0),FALSE)/1,0))</f>
        <v/>
      </c>
      <c r="M97" s="121" t="str">
        <f>IF($D97="","",IFERROR(VLOOKUP($B97,Kraftvärmeprod!$B$1:$BX$549,MATCH(M$2,Kraftvärmeprod!$B$1:$VX$1,0),FALSE)/1,0)-IFERROR(VLOOKUP($B97,'Slutlig allokering kvv'!$B$2:$BX$549,MATCH(M$2,'Slutlig allokering kvv'!$B$1:$BX$1,0),FALSE)/1,0))</f>
        <v/>
      </c>
      <c r="N97" s="121" t="str">
        <f>IF($D97="","",IFERROR(VLOOKUP($B97,Kraftvärmeprod!$B$1:$BX$549,MATCH(N$2,Kraftvärmeprod!$B$1:$VX$1,0),FALSE)/1,0)-IFERROR(VLOOKUP($B97,'Slutlig allokering kvv'!$B$2:$BX$549,MATCH(N$2,'Slutlig allokering kvv'!$B$1:$BX$1,0),FALSE)/1,0))</f>
        <v/>
      </c>
      <c r="O97" s="121" t="str">
        <f>IF($D97="","",IFERROR(VLOOKUP($B97,Kraftvärmeprod!$B$1:$BX$549,MATCH(O$2,Kraftvärmeprod!$B$1:$VX$1,0),FALSE)/1,0)-IFERROR(VLOOKUP($B97,'Slutlig allokering kvv'!$B$2:$BX$549,MATCH(O$2,'Slutlig allokering kvv'!$B$1:$BX$1,0),FALSE)/1,0))</f>
        <v/>
      </c>
      <c r="P97" s="121" t="str">
        <f>IF($D97="","",IFERROR(VLOOKUP($B97,Kraftvärmeprod!$B$1:$BX$549,MATCH(P$2,Kraftvärmeprod!$B$1:$VX$1,0),FALSE)/1,0)-IFERROR(VLOOKUP($B97,'Slutlig allokering kvv'!$B$2:$BX$549,MATCH(P$2,'Slutlig allokering kvv'!$B$1:$BX$1,0),FALSE)/1,0))</f>
        <v/>
      </c>
      <c r="Q97" s="121" t="str">
        <f>IF($D97="","",IFERROR(VLOOKUP($B97,Kraftvärmeprod!$B$1:$BX$549,MATCH(Q$2,Kraftvärmeprod!$B$1:$VX$1,0),FALSE)/1,0)-IFERROR(VLOOKUP($B97,'Slutlig allokering kvv'!$B$2:$BX$549,MATCH(Q$2,'Slutlig allokering kvv'!$B$1:$BX$1,0),FALSE)/1,0))</f>
        <v/>
      </c>
      <c r="R97" s="121" t="str">
        <f>IF($D97="","",IFERROR(VLOOKUP($B97,Kraftvärmeprod!$B$1:$BX$549,MATCH(R$2,Kraftvärmeprod!$B$1:$VX$1,0),FALSE)/1,0)-IFERROR(VLOOKUP($B97,'Slutlig allokering kvv'!$B$2:$BX$549,MATCH(R$2,'Slutlig allokering kvv'!$B$1:$BX$1,0),FALSE)/1,0))</f>
        <v/>
      </c>
      <c r="S97" s="121" t="str">
        <f>IF($D97="","",IFERROR(VLOOKUP($B97,Kraftvärmeprod!$B$1:$BX$549,MATCH(S$2,Kraftvärmeprod!$B$1:$VX$1,0),FALSE)/1,0)-IFERROR(VLOOKUP($B97,'Slutlig allokering kvv'!$B$2:$BX$549,MATCH(S$2,'Slutlig allokering kvv'!$B$1:$BX$1,0),FALSE)/1,0))</f>
        <v/>
      </c>
      <c r="T97" s="121" t="str">
        <f>IF($D97="","",IFERROR(VLOOKUP($B97,Kraftvärmeprod!$B$1:$BX$549,MATCH(T$2,Kraftvärmeprod!$B$1:$VX$1,0),FALSE)/1,0)-IFERROR(VLOOKUP($B97,'Slutlig allokering kvv'!$B$2:$BX$549,MATCH(T$2,'Slutlig allokering kvv'!$B$1:$BX$1,0),FALSE)/1,0))</f>
        <v/>
      </c>
      <c r="U97" s="121" t="str">
        <f>IF($D97="","",IFERROR(VLOOKUP($B97,Kraftvärmeprod!$B$1:$BX$549,MATCH(U$2,Kraftvärmeprod!$B$1:$VX$1,0),FALSE)/1,0)-IFERROR(VLOOKUP($B97,'Slutlig allokering kvv'!$B$2:$BX$549,MATCH(U$2,'Slutlig allokering kvv'!$B$1:$BX$1,0),FALSE)/1,0))</f>
        <v/>
      </c>
      <c r="V97" s="121" t="str">
        <f>IF($D97="","",IFERROR(VLOOKUP($B97,Kraftvärmeprod!$B$1:$BX$549,MATCH(V$2,Kraftvärmeprod!$B$1:$VX$1,0),FALSE)/1,0)-IFERROR(VLOOKUP($B97,'Slutlig allokering kvv'!$B$2:$BX$549,MATCH(V$2,'Slutlig allokering kvv'!$B$1:$BX$1,0),FALSE)/1,0))</f>
        <v/>
      </c>
      <c r="W97" s="121" t="str">
        <f>IF($D97="","",IFERROR(VLOOKUP($B97,Kraftvärmeprod!$B$1:$BX$549,MATCH(W$2,Kraftvärmeprod!$B$1:$VX$1,0),FALSE)/1,0)-IFERROR(VLOOKUP($B97,'Slutlig allokering kvv'!$B$2:$BX$549,MATCH(W$2,'Slutlig allokering kvv'!$B$1:$BX$1,0),FALSE)/1,0))</f>
        <v/>
      </c>
      <c r="X97" s="121" t="str">
        <f>IF($D97="","",IFERROR(VLOOKUP($B97,Kraftvärmeprod!$B$1:$BX$549,MATCH(X$2,Kraftvärmeprod!$B$1:$VX$1,0),FALSE)/1,0)-IFERROR(VLOOKUP($B97,'Slutlig allokering kvv'!$B$2:$BX$549,MATCH(X$2,'Slutlig allokering kvv'!$B$1:$BX$1,0),FALSE)/1,0))</f>
        <v/>
      </c>
      <c r="Y97" s="121" t="str">
        <f>IF($D97="","",IFERROR(VLOOKUP($B97,Kraftvärmeprod!$B$1:$BX$549,MATCH(Y$2,Kraftvärmeprod!$B$1:$VX$1,0),FALSE)/1,0)-IFERROR(VLOOKUP($B97,'Slutlig allokering kvv'!$B$2:$BX$549,MATCH(Y$2,'Slutlig allokering kvv'!$B$1:$BX$1,0),FALSE)/1,0))</f>
        <v/>
      </c>
      <c r="Z97" s="121" t="str">
        <f>IF($D97="","",IFERROR(VLOOKUP($B97,Kraftvärmeprod!$B$1:$BX$549,MATCH(Z$2,Kraftvärmeprod!$B$1:$VX$1,0),FALSE)/1,0)-IFERROR(VLOOKUP($B97,'Slutlig allokering kvv'!$B$2:$BX$549,MATCH(Z$2,'Slutlig allokering kvv'!$B$1:$BX$1,0),FALSE)/1,0))</f>
        <v/>
      </c>
      <c r="AA97" s="121" t="str">
        <f>IF($D97="","",IFERROR(VLOOKUP($B97,Kraftvärmeprod!$B$1:$BX$549,MATCH(AA$2,Kraftvärmeprod!$B$1:$VX$1,0),FALSE)/1,0)-IFERROR(VLOOKUP($B97,'Slutlig allokering kvv'!$B$2:$BX$549,MATCH(AA$2,'Slutlig allokering kvv'!$B$1:$BX$1,0),FALSE)/1,0))</f>
        <v/>
      </c>
      <c r="AB97" s="121" t="str">
        <f>IF($D97="","",IFERROR(VLOOKUP($B97,Kraftvärmeprod!$B$1:$BX$549,MATCH(AB$2,Kraftvärmeprod!$B$1:$VX$1,0),FALSE)/1,0)-IFERROR(VLOOKUP($B97,'Slutlig allokering kvv'!$B$2:$BX$549,MATCH(AB$2,'Slutlig allokering kvv'!$B$1:$BX$1,0),FALSE)/1,0))</f>
        <v/>
      </c>
      <c r="AC97" s="121" t="str">
        <f>IF($D97="","",IFERROR(VLOOKUP($B97,Kraftvärmeprod!$B$1:$BX$549,MATCH(AC$2,Kraftvärmeprod!$B$1:$VX$1,0),FALSE)/1,0)-IFERROR(VLOOKUP($B97,'Slutlig allokering kvv'!$B$2:$BX$549,MATCH(AC$2,'Slutlig allokering kvv'!$B$1:$BX$1,0),FALSE)/1,0))</f>
        <v/>
      </c>
      <c r="AD97" s="121" t="str">
        <f>IF($D97="","",IFERROR(VLOOKUP($B97,Kraftvärmeprod!$B$1:$BX$549,MATCH(AD$2,Kraftvärmeprod!$B$1:$VX$1,0),FALSE)/1,0)-IFERROR(VLOOKUP($B97,'Slutlig allokering kvv'!$B$2:$BX$549,MATCH(AD$2,'Slutlig allokering kvv'!$B$1:$BX$1,0),FALSE)/1,0))</f>
        <v/>
      </c>
      <c r="AE97" s="121" t="str">
        <f>IF($D97="","",IFERROR(VLOOKUP($B97,Miljö!$B$1:$E$550,MATCH("Hjälpel kraftvärme (GWh)",Miljö!$B$1:$E$1,0),FALSE)/1,0)-IFERROR(VLOOKUP($B97,'Slutlig allokering kvv'!$B$2:$BX$549,MATCH(AE$2,'Slutlig allokering kvv'!$B$1:$BX$1,0),FALSE)/1,0))</f>
        <v/>
      </c>
      <c r="AI97" s="121">
        <f t="shared" si="4"/>
        <v>0</v>
      </c>
      <c r="AK97" s="121">
        <f>IFERROR(VLOOKUP($B97,'Slutlig allokering kvv'!$B$2:$AX$549,MATCH("Summa slutlig allokerad tillförd energi (utan hjälpel och rökgaskondensering):",'Slutlig allokering kvv'!$B$1:$AX$1,0),FALSE)/1,"")</f>
        <v>0</v>
      </c>
      <c r="AM97" s="172" t="str">
        <f>IFERROR(1-VLOOKUP($B97,'Slutlig allokering kvv'!$B$2:$AX$549,MATCH("Andel av bränsle i kvv som allokerats till värme, exklusive rökgaskondensering och hjälpel",'Slutlig allokering kvv'!$B$1:$AX$1,0),FALSE),"")</f>
        <v/>
      </c>
      <c r="AO97" s="172" t="str">
        <f t="shared" si="5"/>
        <v/>
      </c>
      <c r="AP97" s="173" t="str">
        <f t="shared" si="6"/>
        <v/>
      </c>
      <c r="AR97" s="172" t="str">
        <f t="shared" si="7"/>
        <v/>
      </c>
    </row>
    <row r="98" spans="1:44" x14ac:dyDescent="0.25">
      <c r="A98" s="171" t="str">
        <f>'Miljövärden för publ företag'!B100</f>
        <v>Hagfors Energi</v>
      </c>
      <c r="B98" s="171" t="str">
        <f>'Miljövärden för publ företag'!C100</f>
        <v>Hagfors</v>
      </c>
      <c r="C98" s="121" t="str">
        <f>IFERROR(VLOOKUP($B98,Kraftvärmeprod!$B$1:$AH$478,MATCH(C$2,Kraftvärmeprod!$B$1:$AG$1,0),FALSE)/1,"")</f>
        <v/>
      </c>
      <c r="D98" s="121" t="str">
        <f>IFERROR(VLOOKUP($B98,Kraftvärmeprod!$B$1:$AH$478,MATCH(D$2,Kraftvärmeprod!$B$1:$AG$1,0),FALSE)/1,"")</f>
        <v/>
      </c>
      <c r="F98" s="121" t="str">
        <f>IF($D98="","",IFERROR(VLOOKUP($B98,Kraftvärmeprod!$B$1:$BX$549,MATCH(F$2,Kraftvärmeprod!$B$1:$VX$1,0),FALSE)/1,0)-IFERROR(VLOOKUP($B98,'Slutlig allokering kvv'!$B$2:$BX$549,MATCH(F$2,'Slutlig allokering kvv'!$B$1:$BX$1,0),FALSE)/1,0))</f>
        <v/>
      </c>
      <c r="G98" s="121" t="str">
        <f>IF($D98="","",IFERROR(VLOOKUP($B98,Kraftvärmeprod!$B$1:$BX$549,MATCH(G$2,Kraftvärmeprod!$B$1:$VX$1,0),FALSE)/1,0)-IFERROR(VLOOKUP($B98,'Slutlig allokering kvv'!$B$2:$BX$549,MATCH(G$2,'Slutlig allokering kvv'!$B$1:$BX$1,0),FALSE)/1,0))</f>
        <v/>
      </c>
      <c r="H98" s="121" t="str">
        <f>IF($D98="","",IFERROR(VLOOKUP($B98,Kraftvärmeprod!$B$1:$BX$549,MATCH(H$2,Kraftvärmeprod!$B$1:$VX$1,0),FALSE)/1,0)-IFERROR(VLOOKUP($B98,'Slutlig allokering kvv'!$B$2:$BX$549,MATCH(H$2,'Slutlig allokering kvv'!$B$1:$BX$1,0),FALSE)/1,0))</f>
        <v/>
      </c>
      <c r="I98" s="121" t="str">
        <f>IF($D98="","",IFERROR(VLOOKUP($B98,Kraftvärmeprod!$B$1:$BX$549,MATCH(I$2,Kraftvärmeprod!$B$1:$VX$1,0),FALSE)/1,0)-IFERROR(VLOOKUP($B98,'Slutlig allokering kvv'!$B$2:$BX$549,MATCH(I$2,'Slutlig allokering kvv'!$B$1:$BX$1,0),FALSE)/1,0))</f>
        <v/>
      </c>
      <c r="J98" s="121" t="str">
        <f>IF($D98="","",IFERROR(VLOOKUP($B98,Kraftvärmeprod!$B$1:$BX$549,MATCH(J$2,Kraftvärmeprod!$B$1:$VX$1,0),FALSE)/1,0)-IFERROR(VLOOKUP($B98,'Slutlig allokering kvv'!$B$2:$BX$549,MATCH(J$2,'Slutlig allokering kvv'!$B$1:$BX$1,0),FALSE)/1,0))</f>
        <v/>
      </c>
      <c r="K98" s="121" t="str">
        <f>IF($D98="","",IFERROR(VLOOKUP($B98,Kraftvärmeprod!$B$1:$BX$549,MATCH(K$2,Kraftvärmeprod!$B$1:$VX$1,0),FALSE)/1,0)-IFERROR(VLOOKUP($B98,'Slutlig allokering kvv'!$B$2:$BX$549,MATCH(K$2,'Slutlig allokering kvv'!$B$1:$BX$1,0),FALSE)/1,0))</f>
        <v/>
      </c>
      <c r="L98" s="121" t="str">
        <f>IF($D98="","",IFERROR(VLOOKUP($B98,Kraftvärmeprod!$B$1:$BX$549,MATCH(L$2,Kraftvärmeprod!$B$1:$VX$1,0),FALSE)/1,0)-IFERROR(VLOOKUP($B98,'Slutlig allokering kvv'!$B$2:$BX$549,MATCH(L$2,'Slutlig allokering kvv'!$B$1:$BX$1,0),FALSE)/1,0))</f>
        <v/>
      </c>
      <c r="M98" s="121" t="str">
        <f>IF($D98="","",IFERROR(VLOOKUP($B98,Kraftvärmeprod!$B$1:$BX$549,MATCH(M$2,Kraftvärmeprod!$B$1:$VX$1,0),FALSE)/1,0)-IFERROR(VLOOKUP($B98,'Slutlig allokering kvv'!$B$2:$BX$549,MATCH(M$2,'Slutlig allokering kvv'!$B$1:$BX$1,0),FALSE)/1,0))</f>
        <v/>
      </c>
      <c r="N98" s="121" t="str">
        <f>IF($D98="","",IFERROR(VLOOKUP($B98,Kraftvärmeprod!$B$1:$BX$549,MATCH(N$2,Kraftvärmeprod!$B$1:$VX$1,0),FALSE)/1,0)-IFERROR(VLOOKUP($B98,'Slutlig allokering kvv'!$B$2:$BX$549,MATCH(N$2,'Slutlig allokering kvv'!$B$1:$BX$1,0),FALSE)/1,0))</f>
        <v/>
      </c>
      <c r="O98" s="121" t="str">
        <f>IF($D98="","",IFERROR(VLOOKUP($B98,Kraftvärmeprod!$B$1:$BX$549,MATCH(O$2,Kraftvärmeprod!$B$1:$VX$1,0),FALSE)/1,0)-IFERROR(VLOOKUP($B98,'Slutlig allokering kvv'!$B$2:$BX$549,MATCH(O$2,'Slutlig allokering kvv'!$B$1:$BX$1,0),FALSE)/1,0))</f>
        <v/>
      </c>
      <c r="P98" s="121" t="str">
        <f>IF($D98="","",IFERROR(VLOOKUP($B98,Kraftvärmeprod!$B$1:$BX$549,MATCH(P$2,Kraftvärmeprod!$B$1:$VX$1,0),FALSE)/1,0)-IFERROR(VLOOKUP($B98,'Slutlig allokering kvv'!$B$2:$BX$549,MATCH(P$2,'Slutlig allokering kvv'!$B$1:$BX$1,0),FALSE)/1,0))</f>
        <v/>
      </c>
      <c r="Q98" s="121" t="str">
        <f>IF($D98="","",IFERROR(VLOOKUP($B98,Kraftvärmeprod!$B$1:$BX$549,MATCH(Q$2,Kraftvärmeprod!$B$1:$VX$1,0),FALSE)/1,0)-IFERROR(VLOOKUP($B98,'Slutlig allokering kvv'!$B$2:$BX$549,MATCH(Q$2,'Slutlig allokering kvv'!$B$1:$BX$1,0),FALSE)/1,0))</f>
        <v/>
      </c>
      <c r="R98" s="121" t="str">
        <f>IF($D98="","",IFERROR(VLOOKUP($B98,Kraftvärmeprod!$B$1:$BX$549,MATCH(R$2,Kraftvärmeprod!$B$1:$VX$1,0),FALSE)/1,0)-IFERROR(VLOOKUP($B98,'Slutlig allokering kvv'!$B$2:$BX$549,MATCH(R$2,'Slutlig allokering kvv'!$B$1:$BX$1,0),FALSE)/1,0))</f>
        <v/>
      </c>
      <c r="S98" s="121" t="str">
        <f>IF($D98="","",IFERROR(VLOOKUP($B98,Kraftvärmeprod!$B$1:$BX$549,MATCH(S$2,Kraftvärmeprod!$B$1:$VX$1,0),FALSE)/1,0)-IFERROR(VLOOKUP($B98,'Slutlig allokering kvv'!$B$2:$BX$549,MATCH(S$2,'Slutlig allokering kvv'!$B$1:$BX$1,0),FALSE)/1,0))</f>
        <v/>
      </c>
      <c r="T98" s="121" t="str">
        <f>IF($D98="","",IFERROR(VLOOKUP($B98,Kraftvärmeprod!$B$1:$BX$549,MATCH(T$2,Kraftvärmeprod!$B$1:$VX$1,0),FALSE)/1,0)-IFERROR(VLOOKUP($B98,'Slutlig allokering kvv'!$B$2:$BX$549,MATCH(T$2,'Slutlig allokering kvv'!$B$1:$BX$1,0),FALSE)/1,0))</f>
        <v/>
      </c>
      <c r="U98" s="121" t="str">
        <f>IF($D98="","",IFERROR(VLOOKUP($B98,Kraftvärmeprod!$B$1:$BX$549,MATCH(U$2,Kraftvärmeprod!$B$1:$VX$1,0),FALSE)/1,0)-IFERROR(VLOOKUP($B98,'Slutlig allokering kvv'!$B$2:$BX$549,MATCH(U$2,'Slutlig allokering kvv'!$B$1:$BX$1,0),FALSE)/1,0))</f>
        <v/>
      </c>
      <c r="V98" s="121" t="str">
        <f>IF($D98="","",IFERROR(VLOOKUP($B98,Kraftvärmeprod!$B$1:$BX$549,MATCH(V$2,Kraftvärmeprod!$B$1:$VX$1,0),FALSE)/1,0)-IFERROR(VLOOKUP($B98,'Slutlig allokering kvv'!$B$2:$BX$549,MATCH(V$2,'Slutlig allokering kvv'!$B$1:$BX$1,0),FALSE)/1,0))</f>
        <v/>
      </c>
      <c r="W98" s="121" t="str">
        <f>IF($D98="","",IFERROR(VLOOKUP($B98,Kraftvärmeprod!$B$1:$BX$549,MATCH(W$2,Kraftvärmeprod!$B$1:$VX$1,0),FALSE)/1,0)-IFERROR(VLOOKUP($B98,'Slutlig allokering kvv'!$B$2:$BX$549,MATCH(W$2,'Slutlig allokering kvv'!$B$1:$BX$1,0),FALSE)/1,0))</f>
        <v/>
      </c>
      <c r="X98" s="121" t="str">
        <f>IF($D98="","",IFERROR(VLOOKUP($B98,Kraftvärmeprod!$B$1:$BX$549,MATCH(X$2,Kraftvärmeprod!$B$1:$VX$1,0),FALSE)/1,0)-IFERROR(VLOOKUP($B98,'Slutlig allokering kvv'!$B$2:$BX$549,MATCH(X$2,'Slutlig allokering kvv'!$B$1:$BX$1,0),FALSE)/1,0))</f>
        <v/>
      </c>
      <c r="Y98" s="121" t="str">
        <f>IF($D98="","",IFERROR(VLOOKUP($B98,Kraftvärmeprod!$B$1:$BX$549,MATCH(Y$2,Kraftvärmeprod!$B$1:$VX$1,0),FALSE)/1,0)-IFERROR(VLOOKUP($B98,'Slutlig allokering kvv'!$B$2:$BX$549,MATCH(Y$2,'Slutlig allokering kvv'!$B$1:$BX$1,0),FALSE)/1,0))</f>
        <v/>
      </c>
      <c r="Z98" s="121" t="str">
        <f>IF($D98="","",IFERROR(VLOOKUP($B98,Kraftvärmeprod!$B$1:$BX$549,MATCH(Z$2,Kraftvärmeprod!$B$1:$VX$1,0),FALSE)/1,0)-IFERROR(VLOOKUP($B98,'Slutlig allokering kvv'!$B$2:$BX$549,MATCH(Z$2,'Slutlig allokering kvv'!$B$1:$BX$1,0),FALSE)/1,0))</f>
        <v/>
      </c>
      <c r="AA98" s="121" t="str">
        <f>IF($D98="","",IFERROR(VLOOKUP($B98,Kraftvärmeprod!$B$1:$BX$549,MATCH(AA$2,Kraftvärmeprod!$B$1:$VX$1,0),FALSE)/1,0)-IFERROR(VLOOKUP($B98,'Slutlig allokering kvv'!$B$2:$BX$549,MATCH(AA$2,'Slutlig allokering kvv'!$B$1:$BX$1,0),FALSE)/1,0))</f>
        <v/>
      </c>
      <c r="AB98" s="121" t="str">
        <f>IF($D98="","",IFERROR(VLOOKUP($B98,Kraftvärmeprod!$B$1:$BX$549,MATCH(AB$2,Kraftvärmeprod!$B$1:$VX$1,0),FALSE)/1,0)-IFERROR(VLOOKUP($B98,'Slutlig allokering kvv'!$B$2:$BX$549,MATCH(AB$2,'Slutlig allokering kvv'!$B$1:$BX$1,0),FALSE)/1,0))</f>
        <v/>
      </c>
      <c r="AC98" s="121" t="str">
        <f>IF($D98="","",IFERROR(VLOOKUP($B98,Kraftvärmeprod!$B$1:$BX$549,MATCH(AC$2,Kraftvärmeprod!$B$1:$VX$1,0),FALSE)/1,0)-IFERROR(VLOOKUP($B98,'Slutlig allokering kvv'!$B$2:$BX$549,MATCH(AC$2,'Slutlig allokering kvv'!$B$1:$BX$1,0),FALSE)/1,0))</f>
        <v/>
      </c>
      <c r="AD98" s="121" t="str">
        <f>IF($D98="","",IFERROR(VLOOKUP($B98,Kraftvärmeprod!$B$1:$BX$549,MATCH(AD$2,Kraftvärmeprod!$B$1:$VX$1,0),FALSE)/1,0)-IFERROR(VLOOKUP($B98,'Slutlig allokering kvv'!$B$2:$BX$549,MATCH(AD$2,'Slutlig allokering kvv'!$B$1:$BX$1,0),FALSE)/1,0))</f>
        <v/>
      </c>
      <c r="AE98" s="121" t="str">
        <f>IF($D98="","",IFERROR(VLOOKUP($B98,Miljö!$B$1:$E$550,MATCH("Hjälpel kraftvärme (GWh)",Miljö!$B$1:$E$1,0),FALSE)/1,0)-IFERROR(VLOOKUP($B98,'Slutlig allokering kvv'!$B$2:$BX$549,MATCH(AE$2,'Slutlig allokering kvv'!$B$1:$BX$1,0),FALSE)/1,0))</f>
        <v/>
      </c>
      <c r="AI98" s="121">
        <f t="shared" si="4"/>
        <v>0</v>
      </c>
      <c r="AK98" s="121">
        <f>IFERROR(VLOOKUP($B98,'Slutlig allokering kvv'!$B$2:$AX$549,MATCH("Summa slutlig allokerad tillförd energi (utan hjälpel och rökgaskondensering):",'Slutlig allokering kvv'!$B$1:$AX$1,0),FALSE)/1,"")</f>
        <v>0</v>
      </c>
      <c r="AM98" s="172" t="str">
        <f>IFERROR(1-VLOOKUP($B98,'Slutlig allokering kvv'!$B$2:$AX$549,MATCH("Andel av bränsle i kvv som allokerats till värme, exklusive rökgaskondensering och hjälpel",'Slutlig allokering kvv'!$B$1:$AX$1,0),FALSE),"")</f>
        <v/>
      </c>
      <c r="AO98" s="172" t="str">
        <f t="shared" si="5"/>
        <v/>
      </c>
      <c r="AP98" s="173" t="str">
        <f t="shared" si="6"/>
        <v/>
      </c>
      <c r="AR98" s="172" t="str">
        <f t="shared" si="7"/>
        <v/>
      </c>
    </row>
    <row r="99" spans="1:44" x14ac:dyDescent="0.25">
      <c r="A99" s="171" t="str">
        <f>'Miljövärden för publ företag'!B101</f>
        <v>Hagfors Energi</v>
      </c>
      <c r="B99" s="171" t="str">
        <f>'Miljövärden för publ företag'!C101</f>
        <v>Sunnemo</v>
      </c>
      <c r="C99" s="121" t="str">
        <f>IFERROR(VLOOKUP($B99,Kraftvärmeprod!$B$1:$AH$478,MATCH(C$2,Kraftvärmeprod!$B$1:$AG$1,0),FALSE)/1,"")</f>
        <v/>
      </c>
      <c r="D99" s="121" t="str">
        <f>IFERROR(VLOOKUP($B99,Kraftvärmeprod!$B$1:$AH$478,MATCH(D$2,Kraftvärmeprod!$B$1:$AG$1,0),FALSE)/1,"")</f>
        <v/>
      </c>
      <c r="F99" s="121" t="str">
        <f>IF($D99="","",IFERROR(VLOOKUP($B99,Kraftvärmeprod!$B$1:$BX$549,MATCH(F$2,Kraftvärmeprod!$B$1:$VX$1,0),FALSE)/1,0)-IFERROR(VLOOKUP($B99,'Slutlig allokering kvv'!$B$2:$BX$549,MATCH(F$2,'Slutlig allokering kvv'!$B$1:$BX$1,0),FALSE)/1,0))</f>
        <v/>
      </c>
      <c r="G99" s="121" t="str">
        <f>IF($D99="","",IFERROR(VLOOKUP($B99,Kraftvärmeprod!$B$1:$BX$549,MATCH(G$2,Kraftvärmeprod!$B$1:$VX$1,0),FALSE)/1,0)-IFERROR(VLOOKUP($B99,'Slutlig allokering kvv'!$B$2:$BX$549,MATCH(G$2,'Slutlig allokering kvv'!$B$1:$BX$1,0),FALSE)/1,0))</f>
        <v/>
      </c>
      <c r="H99" s="121" t="str">
        <f>IF($D99="","",IFERROR(VLOOKUP($B99,Kraftvärmeprod!$B$1:$BX$549,MATCH(H$2,Kraftvärmeprod!$B$1:$VX$1,0),FALSE)/1,0)-IFERROR(VLOOKUP($B99,'Slutlig allokering kvv'!$B$2:$BX$549,MATCH(H$2,'Slutlig allokering kvv'!$B$1:$BX$1,0),FALSE)/1,0))</f>
        <v/>
      </c>
      <c r="I99" s="121" t="str">
        <f>IF($D99="","",IFERROR(VLOOKUP($B99,Kraftvärmeprod!$B$1:$BX$549,MATCH(I$2,Kraftvärmeprod!$B$1:$VX$1,0),FALSE)/1,0)-IFERROR(VLOOKUP($B99,'Slutlig allokering kvv'!$B$2:$BX$549,MATCH(I$2,'Slutlig allokering kvv'!$B$1:$BX$1,0),FALSE)/1,0))</f>
        <v/>
      </c>
      <c r="J99" s="121" t="str">
        <f>IF($D99="","",IFERROR(VLOOKUP($B99,Kraftvärmeprod!$B$1:$BX$549,MATCH(J$2,Kraftvärmeprod!$B$1:$VX$1,0),FALSE)/1,0)-IFERROR(VLOOKUP($B99,'Slutlig allokering kvv'!$B$2:$BX$549,MATCH(J$2,'Slutlig allokering kvv'!$B$1:$BX$1,0),FALSE)/1,0))</f>
        <v/>
      </c>
      <c r="K99" s="121" t="str">
        <f>IF($D99="","",IFERROR(VLOOKUP($B99,Kraftvärmeprod!$B$1:$BX$549,MATCH(K$2,Kraftvärmeprod!$B$1:$VX$1,0),FALSE)/1,0)-IFERROR(VLOOKUP($B99,'Slutlig allokering kvv'!$B$2:$BX$549,MATCH(K$2,'Slutlig allokering kvv'!$B$1:$BX$1,0),FALSE)/1,0))</f>
        <v/>
      </c>
      <c r="L99" s="121" t="str">
        <f>IF($D99="","",IFERROR(VLOOKUP($B99,Kraftvärmeprod!$B$1:$BX$549,MATCH(L$2,Kraftvärmeprod!$B$1:$VX$1,0),FALSE)/1,0)-IFERROR(VLOOKUP($B99,'Slutlig allokering kvv'!$B$2:$BX$549,MATCH(L$2,'Slutlig allokering kvv'!$B$1:$BX$1,0),FALSE)/1,0))</f>
        <v/>
      </c>
      <c r="M99" s="121" t="str">
        <f>IF($D99="","",IFERROR(VLOOKUP($B99,Kraftvärmeprod!$B$1:$BX$549,MATCH(M$2,Kraftvärmeprod!$B$1:$VX$1,0),FALSE)/1,0)-IFERROR(VLOOKUP($B99,'Slutlig allokering kvv'!$B$2:$BX$549,MATCH(M$2,'Slutlig allokering kvv'!$B$1:$BX$1,0),FALSE)/1,0))</f>
        <v/>
      </c>
      <c r="N99" s="121" t="str">
        <f>IF($D99="","",IFERROR(VLOOKUP($B99,Kraftvärmeprod!$B$1:$BX$549,MATCH(N$2,Kraftvärmeprod!$B$1:$VX$1,0),FALSE)/1,0)-IFERROR(VLOOKUP($B99,'Slutlig allokering kvv'!$B$2:$BX$549,MATCH(N$2,'Slutlig allokering kvv'!$B$1:$BX$1,0),FALSE)/1,0))</f>
        <v/>
      </c>
      <c r="O99" s="121" t="str">
        <f>IF($D99="","",IFERROR(VLOOKUP($B99,Kraftvärmeprod!$B$1:$BX$549,MATCH(O$2,Kraftvärmeprod!$B$1:$VX$1,0),FALSE)/1,0)-IFERROR(VLOOKUP($B99,'Slutlig allokering kvv'!$B$2:$BX$549,MATCH(O$2,'Slutlig allokering kvv'!$B$1:$BX$1,0),FALSE)/1,0))</f>
        <v/>
      </c>
      <c r="P99" s="121" t="str">
        <f>IF($D99="","",IFERROR(VLOOKUP($B99,Kraftvärmeprod!$B$1:$BX$549,MATCH(P$2,Kraftvärmeprod!$B$1:$VX$1,0),FALSE)/1,0)-IFERROR(VLOOKUP($B99,'Slutlig allokering kvv'!$B$2:$BX$549,MATCH(P$2,'Slutlig allokering kvv'!$B$1:$BX$1,0),FALSE)/1,0))</f>
        <v/>
      </c>
      <c r="Q99" s="121" t="str">
        <f>IF($D99="","",IFERROR(VLOOKUP($B99,Kraftvärmeprod!$B$1:$BX$549,MATCH(Q$2,Kraftvärmeprod!$B$1:$VX$1,0),FALSE)/1,0)-IFERROR(VLOOKUP($B99,'Slutlig allokering kvv'!$B$2:$BX$549,MATCH(Q$2,'Slutlig allokering kvv'!$B$1:$BX$1,0),FALSE)/1,0))</f>
        <v/>
      </c>
      <c r="R99" s="121" t="str">
        <f>IF($D99="","",IFERROR(VLOOKUP($B99,Kraftvärmeprod!$B$1:$BX$549,MATCH(R$2,Kraftvärmeprod!$B$1:$VX$1,0),FALSE)/1,0)-IFERROR(VLOOKUP($B99,'Slutlig allokering kvv'!$B$2:$BX$549,MATCH(R$2,'Slutlig allokering kvv'!$B$1:$BX$1,0),FALSE)/1,0))</f>
        <v/>
      </c>
      <c r="S99" s="121" t="str">
        <f>IF($D99="","",IFERROR(VLOOKUP($B99,Kraftvärmeprod!$B$1:$BX$549,MATCH(S$2,Kraftvärmeprod!$B$1:$VX$1,0),FALSE)/1,0)-IFERROR(VLOOKUP($B99,'Slutlig allokering kvv'!$B$2:$BX$549,MATCH(S$2,'Slutlig allokering kvv'!$B$1:$BX$1,0),FALSE)/1,0))</f>
        <v/>
      </c>
      <c r="T99" s="121" t="str">
        <f>IF($D99="","",IFERROR(VLOOKUP($B99,Kraftvärmeprod!$B$1:$BX$549,MATCH(T$2,Kraftvärmeprod!$B$1:$VX$1,0),FALSE)/1,0)-IFERROR(VLOOKUP($B99,'Slutlig allokering kvv'!$B$2:$BX$549,MATCH(T$2,'Slutlig allokering kvv'!$B$1:$BX$1,0),FALSE)/1,0))</f>
        <v/>
      </c>
      <c r="U99" s="121" t="str">
        <f>IF($D99="","",IFERROR(VLOOKUP($B99,Kraftvärmeprod!$B$1:$BX$549,MATCH(U$2,Kraftvärmeprod!$B$1:$VX$1,0),FALSE)/1,0)-IFERROR(VLOOKUP($B99,'Slutlig allokering kvv'!$B$2:$BX$549,MATCH(U$2,'Slutlig allokering kvv'!$B$1:$BX$1,0),FALSE)/1,0))</f>
        <v/>
      </c>
      <c r="V99" s="121" t="str">
        <f>IF($D99="","",IFERROR(VLOOKUP($B99,Kraftvärmeprod!$B$1:$BX$549,MATCH(V$2,Kraftvärmeprod!$B$1:$VX$1,0),FALSE)/1,0)-IFERROR(VLOOKUP($B99,'Slutlig allokering kvv'!$B$2:$BX$549,MATCH(V$2,'Slutlig allokering kvv'!$B$1:$BX$1,0),FALSE)/1,0))</f>
        <v/>
      </c>
      <c r="W99" s="121" t="str">
        <f>IF($D99="","",IFERROR(VLOOKUP($B99,Kraftvärmeprod!$B$1:$BX$549,MATCH(W$2,Kraftvärmeprod!$B$1:$VX$1,0),FALSE)/1,0)-IFERROR(VLOOKUP($B99,'Slutlig allokering kvv'!$B$2:$BX$549,MATCH(W$2,'Slutlig allokering kvv'!$B$1:$BX$1,0),FALSE)/1,0))</f>
        <v/>
      </c>
      <c r="X99" s="121" t="str">
        <f>IF($D99="","",IFERROR(VLOOKUP($B99,Kraftvärmeprod!$B$1:$BX$549,MATCH(X$2,Kraftvärmeprod!$B$1:$VX$1,0),FALSE)/1,0)-IFERROR(VLOOKUP($B99,'Slutlig allokering kvv'!$B$2:$BX$549,MATCH(X$2,'Slutlig allokering kvv'!$B$1:$BX$1,0),FALSE)/1,0))</f>
        <v/>
      </c>
      <c r="Y99" s="121" t="str">
        <f>IF($D99="","",IFERROR(VLOOKUP($B99,Kraftvärmeprod!$B$1:$BX$549,MATCH(Y$2,Kraftvärmeprod!$B$1:$VX$1,0),FALSE)/1,0)-IFERROR(VLOOKUP($B99,'Slutlig allokering kvv'!$B$2:$BX$549,MATCH(Y$2,'Slutlig allokering kvv'!$B$1:$BX$1,0),FALSE)/1,0))</f>
        <v/>
      </c>
      <c r="Z99" s="121" t="str">
        <f>IF($D99="","",IFERROR(VLOOKUP($B99,Kraftvärmeprod!$B$1:$BX$549,MATCH(Z$2,Kraftvärmeprod!$B$1:$VX$1,0),FALSE)/1,0)-IFERROR(VLOOKUP($B99,'Slutlig allokering kvv'!$B$2:$BX$549,MATCH(Z$2,'Slutlig allokering kvv'!$B$1:$BX$1,0),FALSE)/1,0))</f>
        <v/>
      </c>
      <c r="AA99" s="121" t="str">
        <f>IF($D99="","",IFERROR(VLOOKUP($B99,Kraftvärmeprod!$B$1:$BX$549,MATCH(AA$2,Kraftvärmeprod!$B$1:$VX$1,0),FALSE)/1,0)-IFERROR(VLOOKUP($B99,'Slutlig allokering kvv'!$B$2:$BX$549,MATCH(AA$2,'Slutlig allokering kvv'!$B$1:$BX$1,0),FALSE)/1,0))</f>
        <v/>
      </c>
      <c r="AB99" s="121" t="str">
        <f>IF($D99="","",IFERROR(VLOOKUP($B99,Kraftvärmeprod!$B$1:$BX$549,MATCH(AB$2,Kraftvärmeprod!$B$1:$VX$1,0),FALSE)/1,0)-IFERROR(VLOOKUP($B99,'Slutlig allokering kvv'!$B$2:$BX$549,MATCH(AB$2,'Slutlig allokering kvv'!$B$1:$BX$1,0),FALSE)/1,0))</f>
        <v/>
      </c>
      <c r="AC99" s="121" t="str">
        <f>IF($D99="","",IFERROR(VLOOKUP($B99,Kraftvärmeprod!$B$1:$BX$549,MATCH(AC$2,Kraftvärmeprod!$B$1:$VX$1,0),FALSE)/1,0)-IFERROR(VLOOKUP($B99,'Slutlig allokering kvv'!$B$2:$BX$549,MATCH(AC$2,'Slutlig allokering kvv'!$B$1:$BX$1,0),FALSE)/1,0))</f>
        <v/>
      </c>
      <c r="AD99" s="121" t="str">
        <f>IF($D99="","",IFERROR(VLOOKUP($B99,Kraftvärmeprod!$B$1:$BX$549,MATCH(AD$2,Kraftvärmeprod!$B$1:$VX$1,0),FALSE)/1,0)-IFERROR(VLOOKUP($B99,'Slutlig allokering kvv'!$B$2:$BX$549,MATCH(AD$2,'Slutlig allokering kvv'!$B$1:$BX$1,0),FALSE)/1,0))</f>
        <v/>
      </c>
      <c r="AE99" s="121" t="str">
        <f>IF($D99="","",IFERROR(VLOOKUP($B99,Miljö!$B$1:$E$550,MATCH("Hjälpel kraftvärme (GWh)",Miljö!$B$1:$E$1,0),FALSE)/1,0)-IFERROR(VLOOKUP($B99,'Slutlig allokering kvv'!$B$2:$BX$549,MATCH(AE$2,'Slutlig allokering kvv'!$B$1:$BX$1,0),FALSE)/1,0))</f>
        <v/>
      </c>
      <c r="AI99" s="121">
        <f t="shared" si="4"/>
        <v>0</v>
      </c>
      <c r="AK99" s="121">
        <f>IFERROR(VLOOKUP($B99,'Slutlig allokering kvv'!$B$2:$AX$549,MATCH("Summa slutlig allokerad tillförd energi (utan hjälpel och rökgaskondensering):",'Slutlig allokering kvv'!$B$1:$AX$1,0),FALSE)/1,"")</f>
        <v>0</v>
      </c>
      <c r="AM99" s="172" t="str">
        <f>IFERROR(1-VLOOKUP($B99,'Slutlig allokering kvv'!$B$2:$AX$549,MATCH("Andel av bränsle i kvv som allokerats till värme, exklusive rökgaskondensering och hjälpel",'Slutlig allokering kvv'!$B$1:$AX$1,0),FALSE),"")</f>
        <v/>
      </c>
      <c r="AO99" s="172" t="str">
        <f t="shared" si="5"/>
        <v/>
      </c>
      <c r="AP99" s="173" t="str">
        <f t="shared" si="6"/>
        <v/>
      </c>
      <c r="AR99" s="172" t="str">
        <f t="shared" si="7"/>
        <v/>
      </c>
    </row>
    <row r="100" spans="1:44" x14ac:dyDescent="0.25">
      <c r="A100" s="171" t="str">
        <f>'Miljövärden för publ företag'!B102</f>
        <v>Halmstads Energi och Miljö AB</v>
      </c>
      <c r="B100" s="171" t="str">
        <f>'Miljövärden för publ företag'!C102</f>
        <v>Halmstad</v>
      </c>
      <c r="C100" s="121">
        <f>IFERROR(VLOOKUP($B100,Kraftvärmeprod!$B$1:$AH$478,MATCH(C$2,Kraftvärmeprod!$B$1:$AG$1,0),FALSE)/1,"")</f>
        <v>337.54399999999998</v>
      </c>
      <c r="D100" s="121">
        <f>IFERROR(VLOOKUP($B100,Kraftvärmeprod!$B$1:$AH$478,MATCH(D$2,Kraftvärmeprod!$B$1:$AG$1,0),FALSE)/1,"")</f>
        <v>73.2</v>
      </c>
      <c r="F100" s="121">
        <f>IF($D100="","",IFERROR(VLOOKUP($B100,Kraftvärmeprod!$B$1:$BX$549,MATCH(F$2,Kraftvärmeprod!$B$1:$VX$1,0),FALSE)/1,0)-IFERROR(VLOOKUP($B100,'Slutlig allokering kvv'!$B$2:$BX$549,MATCH(F$2,'Slutlig allokering kvv'!$B$1:$BX$1,0),FALSE)/1,0))</f>
        <v>0</v>
      </c>
      <c r="G100" s="121">
        <f>IF($D100="","",IFERROR(VLOOKUP($B100,Kraftvärmeprod!$B$1:$BX$549,MATCH(G$2,Kraftvärmeprod!$B$1:$VX$1,0),FALSE)/1,0)-IFERROR(VLOOKUP($B100,'Slutlig allokering kvv'!$B$2:$BX$549,MATCH(G$2,'Slutlig allokering kvv'!$B$1:$BX$1,0),FALSE)/1,0))</f>
        <v>0</v>
      </c>
      <c r="H100" s="121">
        <f>IF($D100="","",IFERROR(VLOOKUP($B100,Kraftvärmeprod!$B$1:$BX$549,MATCH(H$2,Kraftvärmeprod!$B$1:$VX$1,0),FALSE)/1,0)-IFERROR(VLOOKUP($B100,'Slutlig allokering kvv'!$B$2:$BX$549,MATCH(H$2,'Slutlig allokering kvv'!$B$1:$BX$1,0),FALSE)/1,0))</f>
        <v>0</v>
      </c>
      <c r="I100" s="121">
        <f>IF($D100="","",IFERROR(VLOOKUP($B100,Kraftvärmeprod!$B$1:$BX$549,MATCH(I$2,Kraftvärmeprod!$B$1:$VX$1,0),FALSE)/1,0)-IFERROR(VLOOKUP($B100,'Slutlig allokering kvv'!$B$2:$BX$549,MATCH(I$2,'Slutlig allokering kvv'!$B$1:$BX$1,0),FALSE)/1,0))</f>
        <v>0</v>
      </c>
      <c r="J100" s="121">
        <f>IF($D100="","",IFERROR(VLOOKUP($B100,Kraftvärmeprod!$B$1:$BX$549,MATCH(J$2,Kraftvärmeprod!$B$1:$VX$1,0),FALSE)/1,0)-IFERROR(VLOOKUP($B100,'Slutlig allokering kvv'!$B$2:$BX$549,MATCH(J$2,'Slutlig allokering kvv'!$B$1:$BX$1,0),FALSE)/1,0))</f>
        <v>0</v>
      </c>
      <c r="K100" s="121">
        <f>IF($D100="","",IFERROR(VLOOKUP($B100,Kraftvärmeprod!$B$1:$BX$549,MATCH(K$2,Kraftvärmeprod!$B$1:$VX$1,0),FALSE)/1,0)-IFERROR(VLOOKUP($B100,'Slutlig allokering kvv'!$B$2:$BX$549,MATCH(K$2,'Slutlig allokering kvv'!$B$1:$BX$1,0),FALSE)/1,0))</f>
        <v>0</v>
      </c>
      <c r="L100" s="121">
        <f>IF($D100="","",IFERROR(VLOOKUP($B100,Kraftvärmeprod!$B$1:$BX$549,MATCH(L$2,Kraftvärmeprod!$B$1:$VX$1,0),FALSE)/1,0)-IFERROR(VLOOKUP($B100,'Slutlig allokering kvv'!$B$2:$BX$549,MATCH(L$2,'Slutlig allokering kvv'!$B$1:$BX$1,0),FALSE)/1,0))</f>
        <v>37.913899999999998</v>
      </c>
      <c r="M100" s="121">
        <f>IF($D100="","",IFERROR(VLOOKUP($B100,Kraftvärmeprod!$B$1:$BX$549,MATCH(M$2,Kraftvärmeprod!$B$1:$VX$1,0),FALSE)/1,0)-IFERROR(VLOOKUP($B100,'Slutlig allokering kvv'!$B$2:$BX$549,MATCH(M$2,'Slutlig allokering kvv'!$B$1:$BX$1,0),FALSE)/1,0))</f>
        <v>0</v>
      </c>
      <c r="N100" s="121">
        <f>IF($D100="","",IFERROR(VLOOKUP($B100,Kraftvärmeprod!$B$1:$BX$549,MATCH(N$2,Kraftvärmeprod!$B$1:$VX$1,0),FALSE)/1,0)-IFERROR(VLOOKUP($B100,'Slutlig allokering kvv'!$B$2:$BX$549,MATCH(N$2,'Slutlig allokering kvv'!$B$1:$BX$1,0),FALSE)/1,0))</f>
        <v>0</v>
      </c>
      <c r="O100" s="121">
        <f>IF($D100="","",IFERROR(VLOOKUP($B100,Kraftvärmeprod!$B$1:$BX$549,MATCH(O$2,Kraftvärmeprod!$B$1:$VX$1,0),FALSE)/1,0)-IFERROR(VLOOKUP($B100,'Slutlig allokering kvv'!$B$2:$BX$549,MATCH(O$2,'Slutlig allokering kvv'!$B$1:$BX$1,0),FALSE)/1,0))</f>
        <v>0</v>
      </c>
      <c r="P100" s="121">
        <f>IF($D100="","",IFERROR(VLOOKUP($B100,Kraftvärmeprod!$B$1:$BX$549,MATCH(P$2,Kraftvärmeprod!$B$1:$VX$1,0),FALSE)/1,0)-IFERROR(VLOOKUP($B100,'Slutlig allokering kvv'!$B$2:$BX$549,MATCH(P$2,'Slutlig allokering kvv'!$B$1:$BX$1,0),FALSE)/1,0))</f>
        <v>0</v>
      </c>
      <c r="Q100" s="121">
        <f>IF($D100="","",IFERROR(VLOOKUP($B100,Kraftvärmeprod!$B$1:$BX$549,MATCH(Q$2,Kraftvärmeprod!$B$1:$VX$1,0),FALSE)/1,0)-IFERROR(VLOOKUP($B100,'Slutlig allokering kvv'!$B$2:$BX$549,MATCH(Q$2,'Slutlig allokering kvv'!$B$1:$BX$1,0),FALSE)/1,0))</f>
        <v>0</v>
      </c>
      <c r="R100" s="121">
        <f>IF($D100="","",IFERROR(VLOOKUP($B100,Kraftvärmeprod!$B$1:$BX$549,MATCH(R$2,Kraftvärmeprod!$B$1:$VX$1,0),FALSE)/1,0)-IFERROR(VLOOKUP($B100,'Slutlig allokering kvv'!$B$2:$BX$549,MATCH(R$2,'Slutlig allokering kvv'!$B$1:$BX$1,0),FALSE)/1,0))</f>
        <v>0</v>
      </c>
      <c r="S100" s="121">
        <f>IF($D100="","",IFERROR(VLOOKUP($B100,Kraftvärmeprod!$B$1:$BX$549,MATCH(S$2,Kraftvärmeprod!$B$1:$VX$1,0),FALSE)/1,0)-IFERROR(VLOOKUP($B100,'Slutlig allokering kvv'!$B$2:$BX$549,MATCH(S$2,'Slutlig allokering kvv'!$B$1:$BX$1,0),FALSE)/1,0))</f>
        <v>0</v>
      </c>
      <c r="T100" s="121">
        <f>IF($D100="","",IFERROR(VLOOKUP($B100,Kraftvärmeprod!$B$1:$BX$549,MATCH(T$2,Kraftvärmeprod!$B$1:$VX$1,0),FALSE)/1,0)-IFERROR(VLOOKUP($B100,'Slutlig allokering kvv'!$B$2:$BX$549,MATCH(T$2,'Slutlig allokering kvv'!$B$1:$BX$1,0),FALSE)/1,0))</f>
        <v>0</v>
      </c>
      <c r="U100" s="121">
        <f>IF($D100="","",IFERROR(VLOOKUP($B100,Kraftvärmeprod!$B$1:$BX$549,MATCH(U$2,Kraftvärmeprod!$B$1:$VX$1,0),FALSE)/1,0)-IFERROR(VLOOKUP($B100,'Slutlig allokering kvv'!$B$2:$BX$549,MATCH(U$2,'Slutlig allokering kvv'!$B$1:$BX$1,0),FALSE)/1,0))</f>
        <v>0</v>
      </c>
      <c r="V100" s="121">
        <f>IF($D100="","",IFERROR(VLOOKUP($B100,Kraftvärmeprod!$B$1:$BX$549,MATCH(V$2,Kraftvärmeprod!$B$1:$VX$1,0),FALSE)/1,0)-IFERROR(VLOOKUP($B100,'Slutlig allokering kvv'!$B$2:$BX$549,MATCH(V$2,'Slutlig allokering kvv'!$B$1:$BX$1,0),FALSE)/1,0))</f>
        <v>0</v>
      </c>
      <c r="W100" s="121">
        <f>IF($D100="","",IFERROR(VLOOKUP($B100,Kraftvärmeprod!$B$1:$BX$549,MATCH(W$2,Kraftvärmeprod!$B$1:$VX$1,0),FALSE)/1,0)-IFERROR(VLOOKUP($B100,'Slutlig allokering kvv'!$B$2:$BX$549,MATCH(W$2,'Slutlig allokering kvv'!$B$1:$BX$1,0),FALSE)/1,0))</f>
        <v>0</v>
      </c>
      <c r="X100" s="121">
        <f>IF($D100="","",IFERROR(VLOOKUP($B100,Kraftvärmeprod!$B$1:$BX$549,MATCH(X$2,Kraftvärmeprod!$B$1:$VX$1,0),FALSE)/1,0)-IFERROR(VLOOKUP($B100,'Slutlig allokering kvv'!$B$2:$BX$549,MATCH(X$2,'Slutlig allokering kvv'!$B$1:$BX$1,0),FALSE)/1,0))</f>
        <v>0</v>
      </c>
      <c r="Y100" s="121">
        <f>IF($D100="","",IFERROR(VLOOKUP($B100,Kraftvärmeprod!$B$1:$BX$549,MATCH(Y$2,Kraftvärmeprod!$B$1:$VX$1,0),FALSE)/1,0)-IFERROR(VLOOKUP($B100,'Slutlig allokering kvv'!$B$2:$BX$549,MATCH(Y$2,'Slutlig allokering kvv'!$B$1:$BX$1,0),FALSE)/1,0))</f>
        <v>0</v>
      </c>
      <c r="Z100" s="121">
        <f>IF($D100="","",IFERROR(VLOOKUP($B100,Kraftvärmeprod!$B$1:$BX$549,MATCH(Z$2,Kraftvärmeprod!$B$1:$VX$1,0),FALSE)/1,0)-IFERROR(VLOOKUP($B100,'Slutlig allokering kvv'!$B$2:$BX$549,MATCH(Z$2,'Slutlig allokering kvv'!$B$1:$BX$1,0),FALSE)/1,0))</f>
        <v>0</v>
      </c>
      <c r="AA100" s="121">
        <f>IF($D100="","",IFERROR(VLOOKUP($B100,Kraftvärmeprod!$B$1:$BX$549,MATCH(AA$2,Kraftvärmeprod!$B$1:$VX$1,0),FALSE)/1,0)-IFERROR(VLOOKUP($B100,'Slutlig allokering kvv'!$B$2:$BX$549,MATCH(AA$2,'Slutlig allokering kvv'!$B$1:$BX$1,0),FALSE)/1,0))</f>
        <v>136.31199999999998</v>
      </c>
      <c r="AB100" s="121">
        <f>IF($D100="","",IFERROR(VLOOKUP($B100,Kraftvärmeprod!$B$1:$BX$549,MATCH(AB$2,Kraftvärmeprod!$B$1:$VX$1,0),FALSE)/1,0)-IFERROR(VLOOKUP($B100,'Slutlig allokering kvv'!$B$2:$BX$549,MATCH(AB$2,'Slutlig allokering kvv'!$B$1:$BX$1,0),FALSE)/1,0))</f>
        <v>0</v>
      </c>
      <c r="AC100" s="121">
        <f>IF($D100="","",IFERROR(VLOOKUP($B100,Kraftvärmeprod!$B$1:$BX$549,MATCH(AC$2,Kraftvärmeprod!$B$1:$VX$1,0),FALSE)/1,0)-IFERROR(VLOOKUP($B100,'Slutlig allokering kvv'!$B$2:$BX$549,MATCH(AC$2,'Slutlig allokering kvv'!$B$1:$BX$1,0),FALSE)/1,0))</f>
        <v>0</v>
      </c>
      <c r="AD100" s="121">
        <f>IF($D100="","",IFERROR(VLOOKUP($B100,Kraftvärmeprod!$B$1:$BX$549,MATCH(AD$2,Kraftvärmeprod!$B$1:$VX$1,0),FALSE)/1,0)-IFERROR(VLOOKUP($B100,'Slutlig allokering kvv'!$B$2:$BX$549,MATCH(AD$2,'Slutlig allokering kvv'!$B$1:$BX$1,0),FALSE)/1,0))</f>
        <v>0</v>
      </c>
      <c r="AE100" s="121">
        <f>IF($D100="","",IFERROR(VLOOKUP($B100,Miljö!$B$1:$E$550,MATCH("Hjälpel kraftvärme (GWh)",Miljö!$B$1:$E$1,0),FALSE)/1,0)-IFERROR(VLOOKUP($B100,'Slutlig allokering kvv'!$B$2:$BX$549,MATCH(AE$2,'Slutlig allokering kvv'!$B$1:$BX$1,0),FALSE)/1,0))</f>
        <v>7.6028000000000002</v>
      </c>
      <c r="AI100" s="121">
        <f t="shared" si="4"/>
        <v>174.22589999999997</v>
      </c>
      <c r="AK100" s="121">
        <f>IFERROR(VLOOKUP($B100,'Slutlig allokering kvv'!$B$2:$AX$549,MATCH("Summa slutlig allokerad tillförd energi (utan hjälpel och rökgaskondensering):",'Slutlig allokering kvv'!$B$1:$AX$1,0),FALSE)/1,"")</f>
        <v>263.51510000000002</v>
      </c>
      <c r="AM100" s="172">
        <f>IFERROR(1-VLOOKUP($B100,'Slutlig allokering kvv'!$B$2:$AX$549,MATCH("Andel av bränsle i kvv som allokerats till värme, exklusive rökgaskondensering och hjälpel",'Slutlig allokering kvv'!$B$1:$AX$1,0),FALSE),"")</f>
        <v>0.39801138115917856</v>
      </c>
      <c r="AO100" s="172">
        <f t="shared" si="5"/>
        <v>0.39801138115917856</v>
      </c>
      <c r="AP100" s="173">
        <f t="shared" si="6"/>
        <v>0</v>
      </c>
      <c r="AR100" s="172">
        <f t="shared" si="7"/>
        <v>0.40257671093727238</v>
      </c>
    </row>
    <row r="101" spans="1:44" x14ac:dyDescent="0.25">
      <c r="A101" s="171" t="str">
        <f>'Miljövärden för publ företag'!B103</f>
        <v>Hammarö Energi AB</v>
      </c>
      <c r="B101" s="171" t="str">
        <f>'Miljövärden för publ företag'!C103</f>
        <v>Skoghall</v>
      </c>
      <c r="C101" s="121" t="str">
        <f>IFERROR(VLOOKUP($B101,Kraftvärmeprod!$B$1:$AH$478,MATCH(C$2,Kraftvärmeprod!$B$1:$AG$1,0),FALSE)/1,"")</f>
        <v/>
      </c>
      <c r="D101" s="121" t="str">
        <f>IFERROR(VLOOKUP($B101,Kraftvärmeprod!$B$1:$AH$478,MATCH(D$2,Kraftvärmeprod!$B$1:$AG$1,0),FALSE)/1,"")</f>
        <v/>
      </c>
      <c r="F101" s="121" t="str">
        <f>IF($D101="","",IFERROR(VLOOKUP($B101,Kraftvärmeprod!$B$1:$BX$549,MATCH(F$2,Kraftvärmeprod!$B$1:$VX$1,0),FALSE)/1,0)-IFERROR(VLOOKUP($B101,'Slutlig allokering kvv'!$B$2:$BX$549,MATCH(F$2,'Slutlig allokering kvv'!$B$1:$BX$1,0),FALSE)/1,0))</f>
        <v/>
      </c>
      <c r="G101" s="121" t="str">
        <f>IF($D101="","",IFERROR(VLOOKUP($B101,Kraftvärmeprod!$B$1:$BX$549,MATCH(G$2,Kraftvärmeprod!$B$1:$VX$1,0),FALSE)/1,0)-IFERROR(VLOOKUP($B101,'Slutlig allokering kvv'!$B$2:$BX$549,MATCH(G$2,'Slutlig allokering kvv'!$B$1:$BX$1,0),FALSE)/1,0))</f>
        <v/>
      </c>
      <c r="H101" s="121" t="str">
        <f>IF($D101="","",IFERROR(VLOOKUP($B101,Kraftvärmeprod!$B$1:$BX$549,MATCH(H$2,Kraftvärmeprod!$B$1:$VX$1,0),FALSE)/1,0)-IFERROR(VLOOKUP($B101,'Slutlig allokering kvv'!$B$2:$BX$549,MATCH(H$2,'Slutlig allokering kvv'!$B$1:$BX$1,0),FALSE)/1,0))</f>
        <v/>
      </c>
      <c r="I101" s="121" t="str">
        <f>IF($D101="","",IFERROR(VLOOKUP($B101,Kraftvärmeprod!$B$1:$BX$549,MATCH(I$2,Kraftvärmeprod!$B$1:$VX$1,0),FALSE)/1,0)-IFERROR(VLOOKUP($B101,'Slutlig allokering kvv'!$B$2:$BX$549,MATCH(I$2,'Slutlig allokering kvv'!$B$1:$BX$1,0),FALSE)/1,0))</f>
        <v/>
      </c>
      <c r="J101" s="121" t="str">
        <f>IF($D101="","",IFERROR(VLOOKUP($B101,Kraftvärmeprod!$B$1:$BX$549,MATCH(J$2,Kraftvärmeprod!$B$1:$VX$1,0),FALSE)/1,0)-IFERROR(VLOOKUP($B101,'Slutlig allokering kvv'!$B$2:$BX$549,MATCH(J$2,'Slutlig allokering kvv'!$B$1:$BX$1,0),FALSE)/1,0))</f>
        <v/>
      </c>
      <c r="K101" s="121" t="str">
        <f>IF($D101="","",IFERROR(VLOOKUP($B101,Kraftvärmeprod!$B$1:$BX$549,MATCH(K$2,Kraftvärmeprod!$B$1:$VX$1,0),FALSE)/1,0)-IFERROR(VLOOKUP($B101,'Slutlig allokering kvv'!$B$2:$BX$549,MATCH(K$2,'Slutlig allokering kvv'!$B$1:$BX$1,0),FALSE)/1,0))</f>
        <v/>
      </c>
      <c r="L101" s="121" t="str">
        <f>IF($D101="","",IFERROR(VLOOKUP($B101,Kraftvärmeprod!$B$1:$BX$549,MATCH(L$2,Kraftvärmeprod!$B$1:$VX$1,0),FALSE)/1,0)-IFERROR(VLOOKUP($B101,'Slutlig allokering kvv'!$B$2:$BX$549,MATCH(L$2,'Slutlig allokering kvv'!$B$1:$BX$1,0),FALSE)/1,0))</f>
        <v/>
      </c>
      <c r="M101" s="121" t="str">
        <f>IF($D101="","",IFERROR(VLOOKUP($B101,Kraftvärmeprod!$B$1:$BX$549,MATCH(M$2,Kraftvärmeprod!$B$1:$VX$1,0),FALSE)/1,0)-IFERROR(VLOOKUP($B101,'Slutlig allokering kvv'!$B$2:$BX$549,MATCH(M$2,'Slutlig allokering kvv'!$B$1:$BX$1,0),FALSE)/1,0))</f>
        <v/>
      </c>
      <c r="N101" s="121" t="str">
        <f>IF($D101="","",IFERROR(VLOOKUP($B101,Kraftvärmeprod!$B$1:$BX$549,MATCH(N$2,Kraftvärmeprod!$B$1:$VX$1,0),FALSE)/1,0)-IFERROR(VLOOKUP($B101,'Slutlig allokering kvv'!$B$2:$BX$549,MATCH(N$2,'Slutlig allokering kvv'!$B$1:$BX$1,0),FALSE)/1,0))</f>
        <v/>
      </c>
      <c r="O101" s="121" t="str">
        <f>IF($D101="","",IFERROR(VLOOKUP($B101,Kraftvärmeprod!$B$1:$BX$549,MATCH(O$2,Kraftvärmeprod!$B$1:$VX$1,0),FALSE)/1,0)-IFERROR(VLOOKUP($B101,'Slutlig allokering kvv'!$B$2:$BX$549,MATCH(O$2,'Slutlig allokering kvv'!$B$1:$BX$1,0),FALSE)/1,0))</f>
        <v/>
      </c>
      <c r="P101" s="121" t="str">
        <f>IF($D101="","",IFERROR(VLOOKUP($B101,Kraftvärmeprod!$B$1:$BX$549,MATCH(P$2,Kraftvärmeprod!$B$1:$VX$1,0),FALSE)/1,0)-IFERROR(VLOOKUP($B101,'Slutlig allokering kvv'!$B$2:$BX$549,MATCH(P$2,'Slutlig allokering kvv'!$B$1:$BX$1,0),FALSE)/1,0))</f>
        <v/>
      </c>
      <c r="Q101" s="121" t="str">
        <f>IF($D101="","",IFERROR(VLOOKUP($B101,Kraftvärmeprod!$B$1:$BX$549,MATCH(Q$2,Kraftvärmeprod!$B$1:$VX$1,0),FALSE)/1,0)-IFERROR(VLOOKUP($B101,'Slutlig allokering kvv'!$B$2:$BX$549,MATCH(Q$2,'Slutlig allokering kvv'!$B$1:$BX$1,0),FALSE)/1,0))</f>
        <v/>
      </c>
      <c r="R101" s="121" t="str">
        <f>IF($D101="","",IFERROR(VLOOKUP($B101,Kraftvärmeprod!$B$1:$BX$549,MATCH(R$2,Kraftvärmeprod!$B$1:$VX$1,0),FALSE)/1,0)-IFERROR(VLOOKUP($B101,'Slutlig allokering kvv'!$B$2:$BX$549,MATCH(R$2,'Slutlig allokering kvv'!$B$1:$BX$1,0),FALSE)/1,0))</f>
        <v/>
      </c>
      <c r="S101" s="121" t="str">
        <f>IF($D101="","",IFERROR(VLOOKUP($B101,Kraftvärmeprod!$B$1:$BX$549,MATCH(S$2,Kraftvärmeprod!$B$1:$VX$1,0),FALSE)/1,0)-IFERROR(VLOOKUP($B101,'Slutlig allokering kvv'!$B$2:$BX$549,MATCH(S$2,'Slutlig allokering kvv'!$B$1:$BX$1,0),FALSE)/1,0))</f>
        <v/>
      </c>
      <c r="T101" s="121" t="str">
        <f>IF($D101="","",IFERROR(VLOOKUP($B101,Kraftvärmeprod!$B$1:$BX$549,MATCH(T$2,Kraftvärmeprod!$B$1:$VX$1,0),FALSE)/1,0)-IFERROR(VLOOKUP($B101,'Slutlig allokering kvv'!$B$2:$BX$549,MATCH(T$2,'Slutlig allokering kvv'!$B$1:$BX$1,0),FALSE)/1,0))</f>
        <v/>
      </c>
      <c r="U101" s="121" t="str">
        <f>IF($D101="","",IFERROR(VLOOKUP($B101,Kraftvärmeprod!$B$1:$BX$549,MATCH(U$2,Kraftvärmeprod!$B$1:$VX$1,0),FALSE)/1,0)-IFERROR(VLOOKUP($B101,'Slutlig allokering kvv'!$B$2:$BX$549,MATCH(U$2,'Slutlig allokering kvv'!$B$1:$BX$1,0),FALSE)/1,0))</f>
        <v/>
      </c>
      <c r="V101" s="121" t="str">
        <f>IF($D101="","",IFERROR(VLOOKUP($B101,Kraftvärmeprod!$B$1:$BX$549,MATCH(V$2,Kraftvärmeprod!$B$1:$VX$1,0),FALSE)/1,0)-IFERROR(VLOOKUP($B101,'Slutlig allokering kvv'!$B$2:$BX$549,MATCH(V$2,'Slutlig allokering kvv'!$B$1:$BX$1,0),FALSE)/1,0))</f>
        <v/>
      </c>
      <c r="W101" s="121" t="str">
        <f>IF($D101="","",IFERROR(VLOOKUP($B101,Kraftvärmeprod!$B$1:$BX$549,MATCH(W$2,Kraftvärmeprod!$B$1:$VX$1,0),FALSE)/1,0)-IFERROR(VLOOKUP($B101,'Slutlig allokering kvv'!$B$2:$BX$549,MATCH(W$2,'Slutlig allokering kvv'!$B$1:$BX$1,0),FALSE)/1,0))</f>
        <v/>
      </c>
      <c r="X101" s="121" t="str">
        <f>IF($D101="","",IFERROR(VLOOKUP($B101,Kraftvärmeprod!$B$1:$BX$549,MATCH(X$2,Kraftvärmeprod!$B$1:$VX$1,0),FALSE)/1,0)-IFERROR(VLOOKUP($B101,'Slutlig allokering kvv'!$B$2:$BX$549,MATCH(X$2,'Slutlig allokering kvv'!$B$1:$BX$1,0),FALSE)/1,0))</f>
        <v/>
      </c>
      <c r="Y101" s="121" t="str">
        <f>IF($D101="","",IFERROR(VLOOKUP($B101,Kraftvärmeprod!$B$1:$BX$549,MATCH(Y$2,Kraftvärmeprod!$B$1:$VX$1,0),FALSE)/1,0)-IFERROR(VLOOKUP($B101,'Slutlig allokering kvv'!$B$2:$BX$549,MATCH(Y$2,'Slutlig allokering kvv'!$B$1:$BX$1,0),FALSE)/1,0))</f>
        <v/>
      </c>
      <c r="Z101" s="121" t="str">
        <f>IF($D101="","",IFERROR(VLOOKUP($B101,Kraftvärmeprod!$B$1:$BX$549,MATCH(Z$2,Kraftvärmeprod!$B$1:$VX$1,0),FALSE)/1,0)-IFERROR(VLOOKUP($B101,'Slutlig allokering kvv'!$B$2:$BX$549,MATCH(Z$2,'Slutlig allokering kvv'!$B$1:$BX$1,0),FALSE)/1,0))</f>
        <v/>
      </c>
      <c r="AA101" s="121" t="str">
        <f>IF($D101="","",IFERROR(VLOOKUP($B101,Kraftvärmeprod!$B$1:$BX$549,MATCH(AA$2,Kraftvärmeprod!$B$1:$VX$1,0),FALSE)/1,0)-IFERROR(VLOOKUP($B101,'Slutlig allokering kvv'!$B$2:$BX$549,MATCH(AA$2,'Slutlig allokering kvv'!$B$1:$BX$1,0),FALSE)/1,0))</f>
        <v/>
      </c>
      <c r="AB101" s="121" t="str">
        <f>IF($D101="","",IFERROR(VLOOKUP($B101,Kraftvärmeprod!$B$1:$BX$549,MATCH(AB$2,Kraftvärmeprod!$B$1:$VX$1,0),FALSE)/1,0)-IFERROR(VLOOKUP($B101,'Slutlig allokering kvv'!$B$2:$BX$549,MATCH(AB$2,'Slutlig allokering kvv'!$B$1:$BX$1,0),FALSE)/1,0))</f>
        <v/>
      </c>
      <c r="AC101" s="121" t="str">
        <f>IF($D101="","",IFERROR(VLOOKUP($B101,Kraftvärmeprod!$B$1:$BX$549,MATCH(AC$2,Kraftvärmeprod!$B$1:$VX$1,0),FALSE)/1,0)-IFERROR(VLOOKUP($B101,'Slutlig allokering kvv'!$B$2:$BX$549,MATCH(AC$2,'Slutlig allokering kvv'!$B$1:$BX$1,0),FALSE)/1,0))</f>
        <v/>
      </c>
      <c r="AD101" s="121" t="str">
        <f>IF($D101="","",IFERROR(VLOOKUP($B101,Kraftvärmeprod!$B$1:$BX$549,MATCH(AD$2,Kraftvärmeprod!$B$1:$VX$1,0),FALSE)/1,0)-IFERROR(VLOOKUP($B101,'Slutlig allokering kvv'!$B$2:$BX$549,MATCH(AD$2,'Slutlig allokering kvv'!$B$1:$BX$1,0),FALSE)/1,0))</f>
        <v/>
      </c>
      <c r="AE101" s="121" t="str">
        <f>IF($D101="","",IFERROR(VLOOKUP($B101,Miljö!$B$1:$E$550,MATCH("Hjälpel kraftvärme (GWh)",Miljö!$B$1:$E$1,0),FALSE)/1,0)-IFERROR(VLOOKUP($B101,'Slutlig allokering kvv'!$B$2:$BX$549,MATCH(AE$2,'Slutlig allokering kvv'!$B$1:$BX$1,0),FALSE)/1,0))</f>
        <v/>
      </c>
      <c r="AI101" s="121">
        <f t="shared" si="4"/>
        <v>0</v>
      </c>
      <c r="AK101" s="121">
        <f>IFERROR(VLOOKUP($B101,'Slutlig allokering kvv'!$B$2:$AX$549,MATCH("Summa slutlig allokerad tillförd energi (utan hjälpel och rökgaskondensering):",'Slutlig allokering kvv'!$B$1:$AX$1,0),FALSE)/1,"")</f>
        <v>0</v>
      </c>
      <c r="AM101" s="172" t="str">
        <f>IFERROR(1-VLOOKUP($B101,'Slutlig allokering kvv'!$B$2:$AX$549,MATCH("Andel av bränsle i kvv som allokerats till värme, exklusive rökgaskondensering och hjälpel",'Slutlig allokering kvv'!$B$1:$AX$1,0),FALSE),"")</f>
        <v/>
      </c>
      <c r="AO101" s="172" t="str">
        <f t="shared" si="5"/>
        <v/>
      </c>
      <c r="AP101" s="173" t="str">
        <f t="shared" si="6"/>
        <v/>
      </c>
      <c r="AR101" s="172" t="str">
        <f t="shared" si="7"/>
        <v/>
      </c>
    </row>
    <row r="102" spans="1:44" x14ac:dyDescent="0.25">
      <c r="A102" s="171" t="str">
        <f>'Miljövärden för publ företag'!B104</f>
        <v>Haparanda Värmeverk AB</v>
      </c>
      <c r="B102" s="171" t="str">
        <f>'Miljövärden för publ företag'!C104</f>
        <v>Min miljö</v>
      </c>
      <c r="C102" s="121" t="str">
        <f>IFERROR(VLOOKUP($B102,Kraftvärmeprod!$B$1:$AH$478,MATCH(C$2,Kraftvärmeprod!$B$1:$AG$1,0),FALSE)/1,"")</f>
        <v/>
      </c>
      <c r="D102" s="121" t="str">
        <f>IFERROR(VLOOKUP($B102,Kraftvärmeprod!$B$1:$AH$478,MATCH(D$2,Kraftvärmeprod!$B$1:$AG$1,0),FALSE)/1,"")</f>
        <v/>
      </c>
      <c r="F102" s="121" t="str">
        <f>IF($D102="","",IFERROR(VLOOKUP($B102,Kraftvärmeprod!$B$1:$BX$549,MATCH(F$2,Kraftvärmeprod!$B$1:$VX$1,0),FALSE)/1,0)-IFERROR(VLOOKUP($B102,'Slutlig allokering kvv'!$B$2:$BX$549,MATCH(F$2,'Slutlig allokering kvv'!$B$1:$BX$1,0),FALSE)/1,0))</f>
        <v/>
      </c>
      <c r="G102" s="121" t="str">
        <f>IF($D102="","",IFERROR(VLOOKUP($B102,Kraftvärmeprod!$B$1:$BX$549,MATCH(G$2,Kraftvärmeprod!$B$1:$VX$1,0),FALSE)/1,0)-IFERROR(VLOOKUP($B102,'Slutlig allokering kvv'!$B$2:$BX$549,MATCH(G$2,'Slutlig allokering kvv'!$B$1:$BX$1,0),FALSE)/1,0))</f>
        <v/>
      </c>
      <c r="H102" s="121" t="str">
        <f>IF($D102="","",IFERROR(VLOOKUP($B102,Kraftvärmeprod!$B$1:$BX$549,MATCH(H$2,Kraftvärmeprod!$B$1:$VX$1,0),FALSE)/1,0)-IFERROR(VLOOKUP($B102,'Slutlig allokering kvv'!$B$2:$BX$549,MATCH(H$2,'Slutlig allokering kvv'!$B$1:$BX$1,0),FALSE)/1,0))</f>
        <v/>
      </c>
      <c r="I102" s="121" t="str">
        <f>IF($D102="","",IFERROR(VLOOKUP($B102,Kraftvärmeprod!$B$1:$BX$549,MATCH(I$2,Kraftvärmeprod!$B$1:$VX$1,0),FALSE)/1,0)-IFERROR(VLOOKUP($B102,'Slutlig allokering kvv'!$B$2:$BX$549,MATCH(I$2,'Slutlig allokering kvv'!$B$1:$BX$1,0),FALSE)/1,0))</f>
        <v/>
      </c>
      <c r="J102" s="121" t="str">
        <f>IF($D102="","",IFERROR(VLOOKUP($B102,Kraftvärmeprod!$B$1:$BX$549,MATCH(J$2,Kraftvärmeprod!$B$1:$VX$1,0),FALSE)/1,0)-IFERROR(VLOOKUP($B102,'Slutlig allokering kvv'!$B$2:$BX$549,MATCH(J$2,'Slutlig allokering kvv'!$B$1:$BX$1,0),FALSE)/1,0))</f>
        <v/>
      </c>
      <c r="K102" s="121" t="str">
        <f>IF($D102="","",IFERROR(VLOOKUP($B102,Kraftvärmeprod!$B$1:$BX$549,MATCH(K$2,Kraftvärmeprod!$B$1:$VX$1,0),FALSE)/1,0)-IFERROR(VLOOKUP($B102,'Slutlig allokering kvv'!$B$2:$BX$549,MATCH(K$2,'Slutlig allokering kvv'!$B$1:$BX$1,0),FALSE)/1,0))</f>
        <v/>
      </c>
      <c r="L102" s="121" t="str">
        <f>IF($D102="","",IFERROR(VLOOKUP($B102,Kraftvärmeprod!$B$1:$BX$549,MATCH(L$2,Kraftvärmeprod!$B$1:$VX$1,0),FALSE)/1,0)-IFERROR(VLOOKUP($B102,'Slutlig allokering kvv'!$B$2:$BX$549,MATCH(L$2,'Slutlig allokering kvv'!$B$1:$BX$1,0),FALSE)/1,0))</f>
        <v/>
      </c>
      <c r="M102" s="121" t="str">
        <f>IF($D102="","",IFERROR(VLOOKUP($B102,Kraftvärmeprod!$B$1:$BX$549,MATCH(M$2,Kraftvärmeprod!$B$1:$VX$1,0),FALSE)/1,0)-IFERROR(VLOOKUP($B102,'Slutlig allokering kvv'!$B$2:$BX$549,MATCH(M$2,'Slutlig allokering kvv'!$B$1:$BX$1,0),FALSE)/1,0))</f>
        <v/>
      </c>
      <c r="N102" s="121" t="str">
        <f>IF($D102="","",IFERROR(VLOOKUP($B102,Kraftvärmeprod!$B$1:$BX$549,MATCH(N$2,Kraftvärmeprod!$B$1:$VX$1,0),FALSE)/1,0)-IFERROR(VLOOKUP($B102,'Slutlig allokering kvv'!$B$2:$BX$549,MATCH(N$2,'Slutlig allokering kvv'!$B$1:$BX$1,0),FALSE)/1,0))</f>
        <v/>
      </c>
      <c r="O102" s="121" t="str">
        <f>IF($D102="","",IFERROR(VLOOKUP($B102,Kraftvärmeprod!$B$1:$BX$549,MATCH(O$2,Kraftvärmeprod!$B$1:$VX$1,0),FALSE)/1,0)-IFERROR(VLOOKUP($B102,'Slutlig allokering kvv'!$B$2:$BX$549,MATCH(O$2,'Slutlig allokering kvv'!$B$1:$BX$1,0),FALSE)/1,0))</f>
        <v/>
      </c>
      <c r="P102" s="121" t="str">
        <f>IF($D102="","",IFERROR(VLOOKUP($B102,Kraftvärmeprod!$B$1:$BX$549,MATCH(P$2,Kraftvärmeprod!$B$1:$VX$1,0),FALSE)/1,0)-IFERROR(VLOOKUP($B102,'Slutlig allokering kvv'!$B$2:$BX$549,MATCH(P$2,'Slutlig allokering kvv'!$B$1:$BX$1,0),FALSE)/1,0))</f>
        <v/>
      </c>
      <c r="Q102" s="121" t="str">
        <f>IF($D102="","",IFERROR(VLOOKUP($B102,Kraftvärmeprod!$B$1:$BX$549,MATCH(Q$2,Kraftvärmeprod!$B$1:$VX$1,0),FALSE)/1,0)-IFERROR(VLOOKUP($B102,'Slutlig allokering kvv'!$B$2:$BX$549,MATCH(Q$2,'Slutlig allokering kvv'!$B$1:$BX$1,0),FALSE)/1,0))</f>
        <v/>
      </c>
      <c r="R102" s="121" t="str">
        <f>IF($D102="","",IFERROR(VLOOKUP($B102,Kraftvärmeprod!$B$1:$BX$549,MATCH(R$2,Kraftvärmeprod!$B$1:$VX$1,0),FALSE)/1,0)-IFERROR(VLOOKUP($B102,'Slutlig allokering kvv'!$B$2:$BX$549,MATCH(R$2,'Slutlig allokering kvv'!$B$1:$BX$1,0),FALSE)/1,0))</f>
        <v/>
      </c>
      <c r="S102" s="121" t="str">
        <f>IF($D102="","",IFERROR(VLOOKUP($B102,Kraftvärmeprod!$B$1:$BX$549,MATCH(S$2,Kraftvärmeprod!$B$1:$VX$1,0),FALSE)/1,0)-IFERROR(VLOOKUP($B102,'Slutlig allokering kvv'!$B$2:$BX$549,MATCH(S$2,'Slutlig allokering kvv'!$B$1:$BX$1,0),FALSE)/1,0))</f>
        <v/>
      </c>
      <c r="T102" s="121" t="str">
        <f>IF($D102="","",IFERROR(VLOOKUP($B102,Kraftvärmeprod!$B$1:$BX$549,MATCH(T$2,Kraftvärmeprod!$B$1:$VX$1,0),FALSE)/1,0)-IFERROR(VLOOKUP($B102,'Slutlig allokering kvv'!$B$2:$BX$549,MATCH(T$2,'Slutlig allokering kvv'!$B$1:$BX$1,0),FALSE)/1,0))</f>
        <v/>
      </c>
      <c r="U102" s="121" t="str">
        <f>IF($D102="","",IFERROR(VLOOKUP($B102,Kraftvärmeprod!$B$1:$BX$549,MATCH(U$2,Kraftvärmeprod!$B$1:$VX$1,0),FALSE)/1,0)-IFERROR(VLOOKUP($B102,'Slutlig allokering kvv'!$B$2:$BX$549,MATCH(U$2,'Slutlig allokering kvv'!$B$1:$BX$1,0),FALSE)/1,0))</f>
        <v/>
      </c>
      <c r="V102" s="121" t="str">
        <f>IF($D102="","",IFERROR(VLOOKUP($B102,Kraftvärmeprod!$B$1:$BX$549,MATCH(V$2,Kraftvärmeprod!$B$1:$VX$1,0),FALSE)/1,0)-IFERROR(VLOOKUP($B102,'Slutlig allokering kvv'!$B$2:$BX$549,MATCH(V$2,'Slutlig allokering kvv'!$B$1:$BX$1,0),FALSE)/1,0))</f>
        <v/>
      </c>
      <c r="W102" s="121" t="str">
        <f>IF($D102="","",IFERROR(VLOOKUP($B102,Kraftvärmeprod!$B$1:$BX$549,MATCH(W$2,Kraftvärmeprod!$B$1:$VX$1,0),FALSE)/1,0)-IFERROR(VLOOKUP($B102,'Slutlig allokering kvv'!$B$2:$BX$549,MATCH(W$2,'Slutlig allokering kvv'!$B$1:$BX$1,0),FALSE)/1,0))</f>
        <v/>
      </c>
      <c r="X102" s="121" t="str">
        <f>IF($D102="","",IFERROR(VLOOKUP($B102,Kraftvärmeprod!$B$1:$BX$549,MATCH(X$2,Kraftvärmeprod!$B$1:$VX$1,0),FALSE)/1,0)-IFERROR(VLOOKUP($B102,'Slutlig allokering kvv'!$B$2:$BX$549,MATCH(X$2,'Slutlig allokering kvv'!$B$1:$BX$1,0),FALSE)/1,0))</f>
        <v/>
      </c>
      <c r="Y102" s="121" t="str">
        <f>IF($D102="","",IFERROR(VLOOKUP($B102,Kraftvärmeprod!$B$1:$BX$549,MATCH(Y$2,Kraftvärmeprod!$B$1:$VX$1,0),FALSE)/1,0)-IFERROR(VLOOKUP($B102,'Slutlig allokering kvv'!$B$2:$BX$549,MATCH(Y$2,'Slutlig allokering kvv'!$B$1:$BX$1,0),FALSE)/1,0))</f>
        <v/>
      </c>
      <c r="Z102" s="121" t="str">
        <f>IF($D102="","",IFERROR(VLOOKUP($B102,Kraftvärmeprod!$B$1:$BX$549,MATCH(Z$2,Kraftvärmeprod!$B$1:$VX$1,0),FALSE)/1,0)-IFERROR(VLOOKUP($B102,'Slutlig allokering kvv'!$B$2:$BX$549,MATCH(Z$2,'Slutlig allokering kvv'!$B$1:$BX$1,0),FALSE)/1,0))</f>
        <v/>
      </c>
      <c r="AA102" s="121" t="str">
        <f>IF($D102="","",IFERROR(VLOOKUP($B102,Kraftvärmeprod!$B$1:$BX$549,MATCH(AA$2,Kraftvärmeprod!$B$1:$VX$1,0),FALSE)/1,0)-IFERROR(VLOOKUP($B102,'Slutlig allokering kvv'!$B$2:$BX$549,MATCH(AA$2,'Slutlig allokering kvv'!$B$1:$BX$1,0),FALSE)/1,0))</f>
        <v/>
      </c>
      <c r="AB102" s="121" t="str">
        <f>IF($D102="","",IFERROR(VLOOKUP($B102,Kraftvärmeprod!$B$1:$BX$549,MATCH(AB$2,Kraftvärmeprod!$B$1:$VX$1,0),FALSE)/1,0)-IFERROR(VLOOKUP($B102,'Slutlig allokering kvv'!$B$2:$BX$549,MATCH(AB$2,'Slutlig allokering kvv'!$B$1:$BX$1,0),FALSE)/1,0))</f>
        <v/>
      </c>
      <c r="AC102" s="121" t="str">
        <f>IF($D102="","",IFERROR(VLOOKUP($B102,Kraftvärmeprod!$B$1:$BX$549,MATCH(AC$2,Kraftvärmeprod!$B$1:$VX$1,0),FALSE)/1,0)-IFERROR(VLOOKUP($B102,'Slutlig allokering kvv'!$B$2:$BX$549,MATCH(AC$2,'Slutlig allokering kvv'!$B$1:$BX$1,0),FALSE)/1,0))</f>
        <v/>
      </c>
      <c r="AD102" s="121" t="str">
        <f>IF($D102="","",IFERROR(VLOOKUP($B102,Kraftvärmeprod!$B$1:$BX$549,MATCH(AD$2,Kraftvärmeprod!$B$1:$VX$1,0),FALSE)/1,0)-IFERROR(VLOOKUP($B102,'Slutlig allokering kvv'!$B$2:$BX$549,MATCH(AD$2,'Slutlig allokering kvv'!$B$1:$BX$1,0),FALSE)/1,0))</f>
        <v/>
      </c>
      <c r="AE102" s="121" t="str">
        <f>IF($D102="","",IFERROR(VLOOKUP($B102,Miljö!$B$1:$E$550,MATCH("Hjälpel kraftvärme (GWh)",Miljö!$B$1:$E$1,0),FALSE)/1,0)-IFERROR(VLOOKUP($B102,'Slutlig allokering kvv'!$B$2:$BX$549,MATCH(AE$2,'Slutlig allokering kvv'!$B$1:$BX$1,0),FALSE)/1,0))</f>
        <v/>
      </c>
      <c r="AI102" s="121">
        <f t="shared" si="4"/>
        <v>0</v>
      </c>
      <c r="AK102" s="121">
        <f>IFERROR(VLOOKUP($B102,'Slutlig allokering kvv'!$B$2:$AX$549,MATCH("Summa slutlig allokerad tillförd energi (utan hjälpel och rökgaskondensering):",'Slutlig allokering kvv'!$B$1:$AX$1,0),FALSE)/1,"")</f>
        <v>0</v>
      </c>
      <c r="AM102" s="172" t="str">
        <f>IFERROR(1-VLOOKUP($B102,'Slutlig allokering kvv'!$B$2:$AX$549,MATCH("Andel av bränsle i kvv som allokerats till värme, exklusive rökgaskondensering och hjälpel",'Slutlig allokering kvv'!$B$1:$AX$1,0),FALSE),"")</f>
        <v/>
      </c>
      <c r="AO102" s="172" t="str">
        <f t="shared" si="5"/>
        <v/>
      </c>
      <c r="AP102" s="173" t="str">
        <f t="shared" si="6"/>
        <v/>
      </c>
      <c r="AR102" s="172" t="str">
        <f t="shared" si="7"/>
        <v/>
      </c>
    </row>
    <row r="103" spans="1:44" x14ac:dyDescent="0.25">
      <c r="A103" s="171" t="str">
        <f>'Miljövärden för publ företag'!B105</f>
        <v>Haparanda Värmeverk AB</v>
      </c>
      <c r="B103" s="171" t="str">
        <f>'Miljövärden för publ företag'!C105</f>
        <v>Övriga nät</v>
      </c>
      <c r="C103" s="121" t="str">
        <f>IFERROR(VLOOKUP($B103,Kraftvärmeprod!$B$1:$AH$478,MATCH(C$2,Kraftvärmeprod!$B$1:$AG$1,0),FALSE)/1,"")</f>
        <v/>
      </c>
      <c r="D103" s="121" t="str">
        <f>IFERROR(VLOOKUP($B103,Kraftvärmeprod!$B$1:$AH$478,MATCH(D$2,Kraftvärmeprod!$B$1:$AG$1,0),FALSE)/1,"")</f>
        <v/>
      </c>
      <c r="F103" s="121" t="str">
        <f>IF($D103="","",IFERROR(VLOOKUP($B103,Kraftvärmeprod!$B$1:$BX$549,MATCH(F$2,Kraftvärmeprod!$B$1:$VX$1,0),FALSE)/1,0)-IFERROR(VLOOKUP($B103,'Slutlig allokering kvv'!$B$2:$BX$549,MATCH(F$2,'Slutlig allokering kvv'!$B$1:$BX$1,0),FALSE)/1,0))</f>
        <v/>
      </c>
      <c r="G103" s="121" t="str">
        <f>IF($D103="","",IFERROR(VLOOKUP($B103,Kraftvärmeprod!$B$1:$BX$549,MATCH(G$2,Kraftvärmeprod!$B$1:$VX$1,0),FALSE)/1,0)-IFERROR(VLOOKUP($B103,'Slutlig allokering kvv'!$B$2:$BX$549,MATCH(G$2,'Slutlig allokering kvv'!$B$1:$BX$1,0),FALSE)/1,0))</f>
        <v/>
      </c>
      <c r="H103" s="121" t="str">
        <f>IF($D103="","",IFERROR(VLOOKUP($B103,Kraftvärmeprod!$B$1:$BX$549,MATCH(H$2,Kraftvärmeprod!$B$1:$VX$1,0),FALSE)/1,0)-IFERROR(VLOOKUP($B103,'Slutlig allokering kvv'!$B$2:$BX$549,MATCH(H$2,'Slutlig allokering kvv'!$B$1:$BX$1,0),FALSE)/1,0))</f>
        <v/>
      </c>
      <c r="I103" s="121" t="str">
        <f>IF($D103="","",IFERROR(VLOOKUP($B103,Kraftvärmeprod!$B$1:$BX$549,MATCH(I$2,Kraftvärmeprod!$B$1:$VX$1,0),FALSE)/1,0)-IFERROR(VLOOKUP($B103,'Slutlig allokering kvv'!$B$2:$BX$549,MATCH(I$2,'Slutlig allokering kvv'!$B$1:$BX$1,0),FALSE)/1,0))</f>
        <v/>
      </c>
      <c r="J103" s="121" t="str">
        <f>IF($D103="","",IFERROR(VLOOKUP($B103,Kraftvärmeprod!$B$1:$BX$549,MATCH(J$2,Kraftvärmeprod!$B$1:$VX$1,0),FALSE)/1,0)-IFERROR(VLOOKUP($B103,'Slutlig allokering kvv'!$B$2:$BX$549,MATCH(J$2,'Slutlig allokering kvv'!$B$1:$BX$1,0),FALSE)/1,0))</f>
        <v/>
      </c>
      <c r="K103" s="121" t="str">
        <f>IF($D103="","",IFERROR(VLOOKUP($B103,Kraftvärmeprod!$B$1:$BX$549,MATCH(K$2,Kraftvärmeprod!$B$1:$VX$1,0),FALSE)/1,0)-IFERROR(VLOOKUP($B103,'Slutlig allokering kvv'!$B$2:$BX$549,MATCH(K$2,'Slutlig allokering kvv'!$B$1:$BX$1,0),FALSE)/1,0))</f>
        <v/>
      </c>
      <c r="L103" s="121" t="str">
        <f>IF($D103="","",IFERROR(VLOOKUP($B103,Kraftvärmeprod!$B$1:$BX$549,MATCH(L$2,Kraftvärmeprod!$B$1:$VX$1,0),FALSE)/1,0)-IFERROR(VLOOKUP($B103,'Slutlig allokering kvv'!$B$2:$BX$549,MATCH(L$2,'Slutlig allokering kvv'!$B$1:$BX$1,0),FALSE)/1,0))</f>
        <v/>
      </c>
      <c r="M103" s="121" t="str">
        <f>IF($D103="","",IFERROR(VLOOKUP($B103,Kraftvärmeprod!$B$1:$BX$549,MATCH(M$2,Kraftvärmeprod!$B$1:$VX$1,0),FALSE)/1,0)-IFERROR(VLOOKUP($B103,'Slutlig allokering kvv'!$B$2:$BX$549,MATCH(M$2,'Slutlig allokering kvv'!$B$1:$BX$1,0),FALSE)/1,0))</f>
        <v/>
      </c>
      <c r="N103" s="121" t="str">
        <f>IF($D103="","",IFERROR(VLOOKUP($B103,Kraftvärmeprod!$B$1:$BX$549,MATCH(N$2,Kraftvärmeprod!$B$1:$VX$1,0),FALSE)/1,0)-IFERROR(VLOOKUP($B103,'Slutlig allokering kvv'!$B$2:$BX$549,MATCH(N$2,'Slutlig allokering kvv'!$B$1:$BX$1,0),FALSE)/1,0))</f>
        <v/>
      </c>
      <c r="O103" s="121" t="str">
        <f>IF($D103="","",IFERROR(VLOOKUP($B103,Kraftvärmeprod!$B$1:$BX$549,MATCH(O$2,Kraftvärmeprod!$B$1:$VX$1,0),FALSE)/1,0)-IFERROR(VLOOKUP($B103,'Slutlig allokering kvv'!$B$2:$BX$549,MATCH(O$2,'Slutlig allokering kvv'!$B$1:$BX$1,0),FALSE)/1,0))</f>
        <v/>
      </c>
      <c r="P103" s="121" t="str">
        <f>IF($D103="","",IFERROR(VLOOKUP($B103,Kraftvärmeprod!$B$1:$BX$549,MATCH(P$2,Kraftvärmeprod!$B$1:$VX$1,0),FALSE)/1,0)-IFERROR(VLOOKUP($B103,'Slutlig allokering kvv'!$B$2:$BX$549,MATCH(P$2,'Slutlig allokering kvv'!$B$1:$BX$1,0),FALSE)/1,0))</f>
        <v/>
      </c>
      <c r="Q103" s="121" t="str">
        <f>IF($D103="","",IFERROR(VLOOKUP($B103,Kraftvärmeprod!$B$1:$BX$549,MATCH(Q$2,Kraftvärmeprod!$B$1:$VX$1,0),FALSE)/1,0)-IFERROR(VLOOKUP($B103,'Slutlig allokering kvv'!$B$2:$BX$549,MATCH(Q$2,'Slutlig allokering kvv'!$B$1:$BX$1,0),FALSE)/1,0))</f>
        <v/>
      </c>
      <c r="R103" s="121" t="str">
        <f>IF($D103="","",IFERROR(VLOOKUP($B103,Kraftvärmeprod!$B$1:$BX$549,MATCH(R$2,Kraftvärmeprod!$B$1:$VX$1,0),FALSE)/1,0)-IFERROR(VLOOKUP($B103,'Slutlig allokering kvv'!$B$2:$BX$549,MATCH(R$2,'Slutlig allokering kvv'!$B$1:$BX$1,0),FALSE)/1,0))</f>
        <v/>
      </c>
      <c r="S103" s="121" t="str">
        <f>IF($D103="","",IFERROR(VLOOKUP($B103,Kraftvärmeprod!$B$1:$BX$549,MATCH(S$2,Kraftvärmeprod!$B$1:$VX$1,0),FALSE)/1,0)-IFERROR(VLOOKUP($B103,'Slutlig allokering kvv'!$B$2:$BX$549,MATCH(S$2,'Slutlig allokering kvv'!$B$1:$BX$1,0),FALSE)/1,0))</f>
        <v/>
      </c>
      <c r="T103" s="121" t="str">
        <f>IF($D103="","",IFERROR(VLOOKUP($B103,Kraftvärmeprod!$B$1:$BX$549,MATCH(T$2,Kraftvärmeprod!$B$1:$VX$1,0),FALSE)/1,0)-IFERROR(VLOOKUP($B103,'Slutlig allokering kvv'!$B$2:$BX$549,MATCH(T$2,'Slutlig allokering kvv'!$B$1:$BX$1,0),FALSE)/1,0))</f>
        <v/>
      </c>
      <c r="U103" s="121" t="str">
        <f>IF($D103="","",IFERROR(VLOOKUP($B103,Kraftvärmeprod!$B$1:$BX$549,MATCH(U$2,Kraftvärmeprod!$B$1:$VX$1,0),FALSE)/1,0)-IFERROR(VLOOKUP($B103,'Slutlig allokering kvv'!$B$2:$BX$549,MATCH(U$2,'Slutlig allokering kvv'!$B$1:$BX$1,0),FALSE)/1,0))</f>
        <v/>
      </c>
      <c r="V103" s="121" t="str">
        <f>IF($D103="","",IFERROR(VLOOKUP($B103,Kraftvärmeprod!$B$1:$BX$549,MATCH(V$2,Kraftvärmeprod!$B$1:$VX$1,0),FALSE)/1,0)-IFERROR(VLOOKUP($B103,'Slutlig allokering kvv'!$B$2:$BX$549,MATCH(V$2,'Slutlig allokering kvv'!$B$1:$BX$1,0),FALSE)/1,0))</f>
        <v/>
      </c>
      <c r="W103" s="121" t="str">
        <f>IF($D103="","",IFERROR(VLOOKUP($B103,Kraftvärmeprod!$B$1:$BX$549,MATCH(W$2,Kraftvärmeprod!$B$1:$VX$1,0),FALSE)/1,0)-IFERROR(VLOOKUP($B103,'Slutlig allokering kvv'!$B$2:$BX$549,MATCH(W$2,'Slutlig allokering kvv'!$B$1:$BX$1,0),FALSE)/1,0))</f>
        <v/>
      </c>
      <c r="X103" s="121" t="str">
        <f>IF($D103="","",IFERROR(VLOOKUP($B103,Kraftvärmeprod!$B$1:$BX$549,MATCH(X$2,Kraftvärmeprod!$B$1:$VX$1,0),FALSE)/1,0)-IFERROR(VLOOKUP($B103,'Slutlig allokering kvv'!$B$2:$BX$549,MATCH(X$2,'Slutlig allokering kvv'!$B$1:$BX$1,0),FALSE)/1,0))</f>
        <v/>
      </c>
      <c r="Y103" s="121" t="str">
        <f>IF($D103="","",IFERROR(VLOOKUP($B103,Kraftvärmeprod!$B$1:$BX$549,MATCH(Y$2,Kraftvärmeprod!$B$1:$VX$1,0),FALSE)/1,0)-IFERROR(VLOOKUP($B103,'Slutlig allokering kvv'!$B$2:$BX$549,MATCH(Y$2,'Slutlig allokering kvv'!$B$1:$BX$1,0),FALSE)/1,0))</f>
        <v/>
      </c>
      <c r="Z103" s="121" t="str">
        <f>IF($D103="","",IFERROR(VLOOKUP($B103,Kraftvärmeprod!$B$1:$BX$549,MATCH(Z$2,Kraftvärmeprod!$B$1:$VX$1,0),FALSE)/1,0)-IFERROR(VLOOKUP($B103,'Slutlig allokering kvv'!$B$2:$BX$549,MATCH(Z$2,'Slutlig allokering kvv'!$B$1:$BX$1,0),FALSE)/1,0))</f>
        <v/>
      </c>
      <c r="AA103" s="121" t="str">
        <f>IF($D103="","",IFERROR(VLOOKUP($B103,Kraftvärmeprod!$B$1:$BX$549,MATCH(AA$2,Kraftvärmeprod!$B$1:$VX$1,0),FALSE)/1,0)-IFERROR(VLOOKUP($B103,'Slutlig allokering kvv'!$B$2:$BX$549,MATCH(AA$2,'Slutlig allokering kvv'!$B$1:$BX$1,0),FALSE)/1,0))</f>
        <v/>
      </c>
      <c r="AB103" s="121" t="str">
        <f>IF($D103="","",IFERROR(VLOOKUP($B103,Kraftvärmeprod!$B$1:$BX$549,MATCH(AB$2,Kraftvärmeprod!$B$1:$VX$1,0),FALSE)/1,0)-IFERROR(VLOOKUP($B103,'Slutlig allokering kvv'!$B$2:$BX$549,MATCH(AB$2,'Slutlig allokering kvv'!$B$1:$BX$1,0),FALSE)/1,0))</f>
        <v/>
      </c>
      <c r="AC103" s="121" t="str">
        <f>IF($D103="","",IFERROR(VLOOKUP($B103,Kraftvärmeprod!$B$1:$BX$549,MATCH(AC$2,Kraftvärmeprod!$B$1:$VX$1,0),FALSE)/1,0)-IFERROR(VLOOKUP($B103,'Slutlig allokering kvv'!$B$2:$BX$549,MATCH(AC$2,'Slutlig allokering kvv'!$B$1:$BX$1,0),FALSE)/1,0))</f>
        <v/>
      </c>
      <c r="AD103" s="121" t="str">
        <f>IF($D103="","",IFERROR(VLOOKUP($B103,Kraftvärmeprod!$B$1:$BX$549,MATCH(AD$2,Kraftvärmeprod!$B$1:$VX$1,0),FALSE)/1,0)-IFERROR(VLOOKUP($B103,'Slutlig allokering kvv'!$B$2:$BX$549,MATCH(AD$2,'Slutlig allokering kvv'!$B$1:$BX$1,0),FALSE)/1,0))</f>
        <v/>
      </c>
      <c r="AE103" s="121" t="str">
        <f>IF($D103="","",IFERROR(VLOOKUP($B103,Miljö!$B$1:$E$550,MATCH("Hjälpel kraftvärme (GWh)",Miljö!$B$1:$E$1,0),FALSE)/1,0)-IFERROR(VLOOKUP($B103,'Slutlig allokering kvv'!$B$2:$BX$549,MATCH(AE$2,'Slutlig allokering kvv'!$B$1:$BX$1,0),FALSE)/1,0))</f>
        <v/>
      </c>
      <c r="AI103" s="121">
        <f t="shared" si="4"/>
        <v>0</v>
      </c>
      <c r="AK103" s="121">
        <f>IFERROR(VLOOKUP($B103,'Slutlig allokering kvv'!$B$2:$AX$549,MATCH("Summa slutlig allokerad tillförd energi (utan hjälpel och rökgaskondensering):",'Slutlig allokering kvv'!$B$1:$AX$1,0),FALSE)/1,"")</f>
        <v>0</v>
      </c>
      <c r="AM103" s="172" t="str">
        <f>IFERROR(1-VLOOKUP($B103,'Slutlig allokering kvv'!$B$2:$AX$549,MATCH("Andel av bränsle i kvv som allokerats till värme, exklusive rökgaskondensering och hjälpel",'Slutlig allokering kvv'!$B$1:$AX$1,0),FALSE),"")</f>
        <v/>
      </c>
      <c r="AO103" s="172" t="str">
        <f t="shared" si="5"/>
        <v/>
      </c>
      <c r="AP103" s="173" t="str">
        <f t="shared" si="6"/>
        <v/>
      </c>
      <c r="AR103" s="172" t="str">
        <f t="shared" si="7"/>
        <v/>
      </c>
    </row>
    <row r="104" spans="1:44" x14ac:dyDescent="0.25">
      <c r="A104" s="171" t="str">
        <f>'Miljövärden för publ företag'!B106</f>
        <v>Hedemora Energi AB</v>
      </c>
      <c r="B104" s="171" t="str">
        <f>'Miljövärden för publ företag'!C106</f>
        <v>Hedemora</v>
      </c>
      <c r="C104" s="121">
        <f>IFERROR(VLOOKUP($B104,Kraftvärmeprod!$B$1:$AH$478,MATCH(C$2,Kraftvärmeprod!$B$1:$AG$1,0),FALSE)/1,"")</f>
        <v>43.2</v>
      </c>
      <c r="D104" s="121">
        <f>IFERROR(VLOOKUP($B104,Kraftvärmeprod!$B$1:$AH$478,MATCH(D$2,Kraftvärmeprod!$B$1:$AG$1,0),FALSE)/1,"")</f>
        <v>5.6</v>
      </c>
      <c r="F104" s="121">
        <f>IF($D104="","",IFERROR(VLOOKUP($B104,Kraftvärmeprod!$B$1:$BX$549,MATCH(F$2,Kraftvärmeprod!$B$1:$VX$1,0),FALSE)/1,0)-IFERROR(VLOOKUP($B104,'Slutlig allokering kvv'!$B$2:$BX$549,MATCH(F$2,'Slutlig allokering kvv'!$B$1:$BX$1,0),FALSE)/1,0))</f>
        <v>0</v>
      </c>
      <c r="G104" s="121">
        <f>IF($D104="","",IFERROR(VLOOKUP($B104,Kraftvärmeprod!$B$1:$BX$549,MATCH(G$2,Kraftvärmeprod!$B$1:$VX$1,0),FALSE)/1,0)-IFERROR(VLOOKUP($B104,'Slutlig allokering kvv'!$B$2:$BX$549,MATCH(G$2,'Slutlig allokering kvv'!$B$1:$BX$1,0),FALSE)/1,0))</f>
        <v>0</v>
      </c>
      <c r="H104" s="121">
        <f>IF($D104="","",IFERROR(VLOOKUP($B104,Kraftvärmeprod!$B$1:$BX$549,MATCH(H$2,Kraftvärmeprod!$B$1:$VX$1,0),FALSE)/1,0)-IFERROR(VLOOKUP($B104,'Slutlig allokering kvv'!$B$2:$BX$549,MATCH(H$2,'Slutlig allokering kvv'!$B$1:$BX$1,0),FALSE)/1,0))</f>
        <v>0</v>
      </c>
      <c r="I104" s="121">
        <f>IF($D104="","",IFERROR(VLOOKUP($B104,Kraftvärmeprod!$B$1:$BX$549,MATCH(I$2,Kraftvärmeprod!$B$1:$VX$1,0),FALSE)/1,0)-IFERROR(VLOOKUP($B104,'Slutlig allokering kvv'!$B$2:$BX$549,MATCH(I$2,'Slutlig allokering kvv'!$B$1:$BX$1,0),FALSE)/1,0))</f>
        <v>0</v>
      </c>
      <c r="J104" s="121">
        <f>IF($D104="","",IFERROR(VLOOKUP($B104,Kraftvärmeprod!$B$1:$BX$549,MATCH(J$2,Kraftvärmeprod!$B$1:$VX$1,0),FALSE)/1,0)-IFERROR(VLOOKUP($B104,'Slutlig allokering kvv'!$B$2:$BX$549,MATCH(J$2,'Slutlig allokering kvv'!$B$1:$BX$1,0),FALSE)/1,0))</f>
        <v>0</v>
      </c>
      <c r="K104" s="121">
        <f>IF($D104="","",IFERROR(VLOOKUP($B104,Kraftvärmeprod!$B$1:$BX$549,MATCH(K$2,Kraftvärmeprod!$B$1:$VX$1,0),FALSE)/1,0)-IFERROR(VLOOKUP($B104,'Slutlig allokering kvv'!$B$2:$BX$549,MATCH(K$2,'Slutlig allokering kvv'!$B$1:$BX$1,0),FALSE)/1,0))</f>
        <v>0</v>
      </c>
      <c r="L104" s="121">
        <f>IF($D104="","",IFERROR(VLOOKUP($B104,Kraftvärmeprod!$B$1:$BX$549,MATCH(L$2,Kraftvärmeprod!$B$1:$VX$1,0),FALSE)/1,0)-IFERROR(VLOOKUP($B104,'Slutlig allokering kvv'!$B$2:$BX$549,MATCH(L$2,'Slutlig allokering kvv'!$B$1:$BX$1,0),FALSE)/1,0))</f>
        <v>2.4999200000000004</v>
      </c>
      <c r="M104" s="121">
        <f>IF($D104="","",IFERROR(VLOOKUP($B104,Kraftvärmeprod!$B$1:$BX$549,MATCH(M$2,Kraftvärmeprod!$B$1:$VX$1,0),FALSE)/1,0)-IFERROR(VLOOKUP($B104,'Slutlig allokering kvv'!$B$2:$BX$549,MATCH(M$2,'Slutlig allokering kvv'!$B$1:$BX$1,0),FALSE)/1,0))</f>
        <v>2.4999200000000004</v>
      </c>
      <c r="N104" s="121">
        <f>IF($D104="","",IFERROR(VLOOKUP($B104,Kraftvärmeprod!$B$1:$BX$549,MATCH(N$2,Kraftvärmeprod!$B$1:$VX$1,0),FALSE)/1,0)-IFERROR(VLOOKUP($B104,'Slutlig allokering kvv'!$B$2:$BX$549,MATCH(N$2,'Slutlig allokering kvv'!$B$1:$BX$1,0),FALSE)/1,0))</f>
        <v>2.4999200000000004</v>
      </c>
      <c r="O104" s="121">
        <f>IF($D104="","",IFERROR(VLOOKUP($B104,Kraftvärmeprod!$B$1:$BX$549,MATCH(O$2,Kraftvärmeprod!$B$1:$VX$1,0),FALSE)/1,0)-IFERROR(VLOOKUP($B104,'Slutlig allokering kvv'!$B$2:$BX$549,MATCH(O$2,'Slutlig allokering kvv'!$B$1:$BX$1,0),FALSE)/1,0))</f>
        <v>2.4999200000000004</v>
      </c>
      <c r="P104" s="121">
        <f>IF($D104="","",IFERROR(VLOOKUP($B104,Kraftvärmeprod!$B$1:$BX$549,MATCH(P$2,Kraftvärmeprod!$B$1:$VX$1,0),FALSE)/1,0)-IFERROR(VLOOKUP($B104,'Slutlig allokering kvv'!$B$2:$BX$549,MATCH(P$2,'Slutlig allokering kvv'!$B$1:$BX$1,0),FALSE)/1,0))</f>
        <v>0</v>
      </c>
      <c r="Q104" s="121">
        <f>IF($D104="","",IFERROR(VLOOKUP($B104,Kraftvärmeprod!$B$1:$BX$549,MATCH(Q$2,Kraftvärmeprod!$B$1:$VX$1,0),FALSE)/1,0)-IFERROR(VLOOKUP($B104,'Slutlig allokering kvv'!$B$2:$BX$549,MATCH(Q$2,'Slutlig allokering kvv'!$B$1:$BX$1,0),FALSE)/1,0))</f>
        <v>2.4999200000000004</v>
      </c>
      <c r="R104" s="121">
        <f>IF($D104="","",IFERROR(VLOOKUP($B104,Kraftvärmeprod!$B$1:$BX$549,MATCH(R$2,Kraftvärmeprod!$B$1:$VX$1,0),FALSE)/1,0)-IFERROR(VLOOKUP($B104,'Slutlig allokering kvv'!$B$2:$BX$549,MATCH(R$2,'Slutlig allokering kvv'!$B$1:$BX$1,0),FALSE)/1,0))</f>
        <v>0</v>
      </c>
      <c r="S104" s="121">
        <f>IF($D104="","",IFERROR(VLOOKUP($B104,Kraftvärmeprod!$B$1:$BX$549,MATCH(S$2,Kraftvärmeprod!$B$1:$VX$1,0),FALSE)/1,0)-IFERROR(VLOOKUP($B104,'Slutlig allokering kvv'!$B$2:$BX$549,MATCH(S$2,'Slutlig allokering kvv'!$B$1:$BX$1,0),FALSE)/1,0))</f>
        <v>0</v>
      </c>
      <c r="T104" s="121">
        <f>IF($D104="","",IFERROR(VLOOKUP($B104,Kraftvärmeprod!$B$1:$BX$549,MATCH(T$2,Kraftvärmeprod!$B$1:$VX$1,0),FALSE)/1,0)-IFERROR(VLOOKUP($B104,'Slutlig allokering kvv'!$B$2:$BX$549,MATCH(T$2,'Slutlig allokering kvv'!$B$1:$BX$1,0),FALSE)/1,0))</f>
        <v>0</v>
      </c>
      <c r="U104" s="121">
        <f>IF($D104="","",IFERROR(VLOOKUP($B104,Kraftvärmeprod!$B$1:$BX$549,MATCH(U$2,Kraftvärmeprod!$B$1:$VX$1,0),FALSE)/1,0)-IFERROR(VLOOKUP($B104,'Slutlig allokering kvv'!$B$2:$BX$549,MATCH(U$2,'Slutlig allokering kvv'!$B$1:$BX$1,0),FALSE)/1,0))</f>
        <v>0</v>
      </c>
      <c r="V104" s="121">
        <f>IF($D104="","",IFERROR(VLOOKUP($B104,Kraftvärmeprod!$B$1:$BX$549,MATCH(V$2,Kraftvärmeprod!$B$1:$VX$1,0),FALSE)/1,0)-IFERROR(VLOOKUP($B104,'Slutlig allokering kvv'!$B$2:$BX$549,MATCH(V$2,'Slutlig allokering kvv'!$B$1:$BX$1,0),FALSE)/1,0))</f>
        <v>0</v>
      </c>
      <c r="W104" s="121">
        <f>IF($D104="","",IFERROR(VLOOKUP($B104,Kraftvärmeprod!$B$1:$BX$549,MATCH(W$2,Kraftvärmeprod!$B$1:$VX$1,0),FALSE)/1,0)-IFERROR(VLOOKUP($B104,'Slutlig allokering kvv'!$B$2:$BX$549,MATCH(W$2,'Slutlig allokering kvv'!$B$1:$BX$1,0),FALSE)/1,0))</f>
        <v>0</v>
      </c>
      <c r="X104" s="121">
        <f>IF($D104="","",IFERROR(VLOOKUP($B104,Kraftvärmeprod!$B$1:$BX$549,MATCH(X$2,Kraftvärmeprod!$B$1:$VX$1,0),FALSE)/1,0)-IFERROR(VLOOKUP($B104,'Slutlig allokering kvv'!$B$2:$BX$549,MATCH(X$2,'Slutlig allokering kvv'!$B$1:$BX$1,0),FALSE)/1,0))</f>
        <v>0</v>
      </c>
      <c r="Y104" s="121">
        <f>IF($D104="","",IFERROR(VLOOKUP($B104,Kraftvärmeprod!$B$1:$BX$549,MATCH(Y$2,Kraftvärmeprod!$B$1:$VX$1,0),FALSE)/1,0)-IFERROR(VLOOKUP($B104,'Slutlig allokering kvv'!$B$2:$BX$549,MATCH(Y$2,'Slutlig allokering kvv'!$B$1:$BX$1,0),FALSE)/1,0))</f>
        <v>0</v>
      </c>
      <c r="Z104" s="121">
        <f>IF($D104="","",IFERROR(VLOOKUP($B104,Kraftvärmeprod!$B$1:$BX$549,MATCH(Z$2,Kraftvärmeprod!$B$1:$VX$1,0),FALSE)/1,0)-IFERROR(VLOOKUP($B104,'Slutlig allokering kvv'!$B$2:$BX$549,MATCH(Z$2,'Slutlig allokering kvv'!$B$1:$BX$1,0),FALSE)/1,0))</f>
        <v>0</v>
      </c>
      <c r="AA104" s="121">
        <f>IF($D104="","",IFERROR(VLOOKUP($B104,Kraftvärmeprod!$B$1:$BX$549,MATCH(AA$2,Kraftvärmeprod!$B$1:$VX$1,0),FALSE)/1,0)-IFERROR(VLOOKUP($B104,'Slutlig allokering kvv'!$B$2:$BX$549,MATCH(AA$2,'Slutlig allokering kvv'!$B$1:$BX$1,0),FALSE)/1,0))</f>
        <v>0</v>
      </c>
      <c r="AB104" s="121">
        <f>IF($D104="","",IFERROR(VLOOKUP($B104,Kraftvärmeprod!$B$1:$BX$549,MATCH(AB$2,Kraftvärmeprod!$B$1:$VX$1,0),FALSE)/1,0)-IFERROR(VLOOKUP($B104,'Slutlig allokering kvv'!$B$2:$BX$549,MATCH(AB$2,'Slutlig allokering kvv'!$B$1:$BX$1,0),FALSE)/1,0))</f>
        <v>0</v>
      </c>
      <c r="AC104" s="121">
        <f>IF($D104="","",IFERROR(VLOOKUP($B104,Kraftvärmeprod!$B$1:$BX$549,MATCH(AC$2,Kraftvärmeprod!$B$1:$VX$1,0),FALSE)/1,0)-IFERROR(VLOOKUP($B104,'Slutlig allokering kvv'!$B$2:$BX$549,MATCH(AC$2,'Slutlig allokering kvv'!$B$1:$BX$1,0),FALSE)/1,0))</f>
        <v>0</v>
      </c>
      <c r="AD104" s="121">
        <f>IF($D104="","",IFERROR(VLOOKUP($B104,Kraftvärmeprod!$B$1:$BX$549,MATCH(AD$2,Kraftvärmeprod!$B$1:$VX$1,0),FALSE)/1,0)-IFERROR(VLOOKUP($B104,'Slutlig allokering kvv'!$B$2:$BX$549,MATCH(AD$2,'Slutlig allokering kvv'!$B$1:$BX$1,0),FALSE)/1,0))</f>
        <v>0</v>
      </c>
      <c r="AE104" s="121">
        <f>IF($D104="","",IFERROR(VLOOKUP($B104,Miljö!$B$1:$E$550,MATCH("Hjälpel kraftvärme (GWh)",Miljö!$B$1:$E$1,0),FALSE)/1,0)-IFERROR(VLOOKUP($B104,'Slutlig allokering kvv'!$B$2:$BX$549,MATCH(AE$2,'Slutlig allokering kvv'!$B$1:$BX$1,0),FALSE)/1,0))</f>
        <v>0.40403000000000011</v>
      </c>
      <c r="AI104" s="121">
        <f t="shared" si="4"/>
        <v>12.499600000000001</v>
      </c>
      <c r="AK104" s="121">
        <f>IFERROR(VLOOKUP($B104,'Slutlig allokering kvv'!$B$2:$AX$549,MATCH("Summa slutlig allokerad tillförd energi (utan hjälpel och rökgaskondensering):",'Slutlig allokering kvv'!$B$1:$AX$1,0),FALSE)/1,"")</f>
        <v>37.000399999999999</v>
      </c>
      <c r="AM104" s="172">
        <f>IFERROR(1-VLOOKUP($B104,'Slutlig allokering kvv'!$B$2:$AX$549,MATCH("Andel av bränsle i kvv som allokerats till värme, exklusive rökgaskondensering och hjälpel",'Slutlig allokering kvv'!$B$1:$AX$1,0),FALSE),"")</f>
        <v>0.2525171717171717</v>
      </c>
      <c r="AO104" s="172">
        <f t="shared" si="5"/>
        <v>0.25251717171717175</v>
      </c>
      <c r="AP104" s="173">
        <f t="shared" si="6"/>
        <v>-5.5511151231257827E-17</v>
      </c>
      <c r="AR104" s="172">
        <f t="shared" si="7"/>
        <v>0.43398640537585154</v>
      </c>
    </row>
    <row r="105" spans="1:44" x14ac:dyDescent="0.25">
      <c r="A105" s="171" t="str">
        <f>'Miljövärden för publ företag'!B107</f>
        <v>Hedemora Energi AB</v>
      </c>
      <c r="B105" s="171" t="str">
        <f>'Miljövärden för publ företag'!C107</f>
        <v>Långshyttan</v>
      </c>
      <c r="C105" s="121" t="str">
        <f>IFERROR(VLOOKUP($B105,Kraftvärmeprod!$B$1:$AH$478,MATCH(C$2,Kraftvärmeprod!$B$1:$AG$1,0),FALSE)/1,"")</f>
        <v/>
      </c>
      <c r="D105" s="121" t="str">
        <f>IFERROR(VLOOKUP($B105,Kraftvärmeprod!$B$1:$AH$478,MATCH(D$2,Kraftvärmeprod!$B$1:$AG$1,0),FALSE)/1,"")</f>
        <v/>
      </c>
      <c r="F105" s="121" t="str">
        <f>IF($D105="","",IFERROR(VLOOKUP($B105,Kraftvärmeprod!$B$1:$BX$549,MATCH(F$2,Kraftvärmeprod!$B$1:$VX$1,0),FALSE)/1,0)-IFERROR(VLOOKUP($B105,'Slutlig allokering kvv'!$B$2:$BX$549,MATCH(F$2,'Slutlig allokering kvv'!$B$1:$BX$1,0),FALSE)/1,0))</f>
        <v/>
      </c>
      <c r="G105" s="121" t="str">
        <f>IF($D105="","",IFERROR(VLOOKUP($B105,Kraftvärmeprod!$B$1:$BX$549,MATCH(G$2,Kraftvärmeprod!$B$1:$VX$1,0),FALSE)/1,0)-IFERROR(VLOOKUP($B105,'Slutlig allokering kvv'!$B$2:$BX$549,MATCH(G$2,'Slutlig allokering kvv'!$B$1:$BX$1,0),FALSE)/1,0))</f>
        <v/>
      </c>
      <c r="H105" s="121" t="str">
        <f>IF($D105="","",IFERROR(VLOOKUP($B105,Kraftvärmeprod!$B$1:$BX$549,MATCH(H$2,Kraftvärmeprod!$B$1:$VX$1,0),FALSE)/1,0)-IFERROR(VLOOKUP($B105,'Slutlig allokering kvv'!$B$2:$BX$549,MATCH(H$2,'Slutlig allokering kvv'!$B$1:$BX$1,0),FALSE)/1,0))</f>
        <v/>
      </c>
      <c r="I105" s="121" t="str">
        <f>IF($D105="","",IFERROR(VLOOKUP($B105,Kraftvärmeprod!$B$1:$BX$549,MATCH(I$2,Kraftvärmeprod!$B$1:$VX$1,0),FALSE)/1,0)-IFERROR(VLOOKUP($B105,'Slutlig allokering kvv'!$B$2:$BX$549,MATCH(I$2,'Slutlig allokering kvv'!$B$1:$BX$1,0),FALSE)/1,0))</f>
        <v/>
      </c>
      <c r="J105" s="121" t="str">
        <f>IF($D105="","",IFERROR(VLOOKUP($B105,Kraftvärmeprod!$B$1:$BX$549,MATCH(J$2,Kraftvärmeprod!$B$1:$VX$1,0),FALSE)/1,0)-IFERROR(VLOOKUP($B105,'Slutlig allokering kvv'!$B$2:$BX$549,MATCH(J$2,'Slutlig allokering kvv'!$B$1:$BX$1,0),FALSE)/1,0))</f>
        <v/>
      </c>
      <c r="K105" s="121" t="str">
        <f>IF($D105="","",IFERROR(VLOOKUP($B105,Kraftvärmeprod!$B$1:$BX$549,MATCH(K$2,Kraftvärmeprod!$B$1:$VX$1,0),FALSE)/1,0)-IFERROR(VLOOKUP($B105,'Slutlig allokering kvv'!$B$2:$BX$549,MATCH(K$2,'Slutlig allokering kvv'!$B$1:$BX$1,0),FALSE)/1,0))</f>
        <v/>
      </c>
      <c r="L105" s="121" t="str">
        <f>IF($D105="","",IFERROR(VLOOKUP($B105,Kraftvärmeprod!$B$1:$BX$549,MATCH(L$2,Kraftvärmeprod!$B$1:$VX$1,0),FALSE)/1,0)-IFERROR(VLOOKUP($B105,'Slutlig allokering kvv'!$B$2:$BX$549,MATCH(L$2,'Slutlig allokering kvv'!$B$1:$BX$1,0),FALSE)/1,0))</f>
        <v/>
      </c>
      <c r="M105" s="121" t="str">
        <f>IF($D105="","",IFERROR(VLOOKUP($B105,Kraftvärmeprod!$B$1:$BX$549,MATCH(M$2,Kraftvärmeprod!$B$1:$VX$1,0),FALSE)/1,0)-IFERROR(VLOOKUP($B105,'Slutlig allokering kvv'!$B$2:$BX$549,MATCH(M$2,'Slutlig allokering kvv'!$B$1:$BX$1,0),FALSE)/1,0))</f>
        <v/>
      </c>
      <c r="N105" s="121" t="str">
        <f>IF($D105="","",IFERROR(VLOOKUP($B105,Kraftvärmeprod!$B$1:$BX$549,MATCH(N$2,Kraftvärmeprod!$B$1:$VX$1,0),FALSE)/1,0)-IFERROR(VLOOKUP($B105,'Slutlig allokering kvv'!$B$2:$BX$549,MATCH(N$2,'Slutlig allokering kvv'!$B$1:$BX$1,0),FALSE)/1,0))</f>
        <v/>
      </c>
      <c r="O105" s="121" t="str">
        <f>IF($D105="","",IFERROR(VLOOKUP($B105,Kraftvärmeprod!$B$1:$BX$549,MATCH(O$2,Kraftvärmeprod!$B$1:$VX$1,0),FALSE)/1,0)-IFERROR(VLOOKUP($B105,'Slutlig allokering kvv'!$B$2:$BX$549,MATCH(O$2,'Slutlig allokering kvv'!$B$1:$BX$1,0),FALSE)/1,0))</f>
        <v/>
      </c>
      <c r="P105" s="121" t="str">
        <f>IF($D105="","",IFERROR(VLOOKUP($B105,Kraftvärmeprod!$B$1:$BX$549,MATCH(P$2,Kraftvärmeprod!$B$1:$VX$1,0),FALSE)/1,0)-IFERROR(VLOOKUP($B105,'Slutlig allokering kvv'!$B$2:$BX$549,MATCH(P$2,'Slutlig allokering kvv'!$B$1:$BX$1,0),FALSE)/1,0))</f>
        <v/>
      </c>
      <c r="Q105" s="121" t="str">
        <f>IF($D105="","",IFERROR(VLOOKUP($B105,Kraftvärmeprod!$B$1:$BX$549,MATCH(Q$2,Kraftvärmeprod!$B$1:$VX$1,0),FALSE)/1,0)-IFERROR(VLOOKUP($B105,'Slutlig allokering kvv'!$B$2:$BX$549,MATCH(Q$2,'Slutlig allokering kvv'!$B$1:$BX$1,0),FALSE)/1,0))</f>
        <v/>
      </c>
      <c r="R105" s="121" t="str">
        <f>IF($D105="","",IFERROR(VLOOKUP($B105,Kraftvärmeprod!$B$1:$BX$549,MATCH(R$2,Kraftvärmeprod!$B$1:$VX$1,0),FALSE)/1,0)-IFERROR(VLOOKUP($B105,'Slutlig allokering kvv'!$B$2:$BX$549,MATCH(R$2,'Slutlig allokering kvv'!$B$1:$BX$1,0),FALSE)/1,0))</f>
        <v/>
      </c>
      <c r="S105" s="121" t="str">
        <f>IF($D105="","",IFERROR(VLOOKUP($B105,Kraftvärmeprod!$B$1:$BX$549,MATCH(S$2,Kraftvärmeprod!$B$1:$VX$1,0),FALSE)/1,0)-IFERROR(VLOOKUP($B105,'Slutlig allokering kvv'!$B$2:$BX$549,MATCH(S$2,'Slutlig allokering kvv'!$B$1:$BX$1,0),FALSE)/1,0))</f>
        <v/>
      </c>
      <c r="T105" s="121" t="str">
        <f>IF($D105="","",IFERROR(VLOOKUP($B105,Kraftvärmeprod!$B$1:$BX$549,MATCH(T$2,Kraftvärmeprod!$B$1:$VX$1,0),FALSE)/1,0)-IFERROR(VLOOKUP($B105,'Slutlig allokering kvv'!$B$2:$BX$549,MATCH(T$2,'Slutlig allokering kvv'!$B$1:$BX$1,0),FALSE)/1,0))</f>
        <v/>
      </c>
      <c r="U105" s="121" t="str">
        <f>IF($D105="","",IFERROR(VLOOKUP($B105,Kraftvärmeprod!$B$1:$BX$549,MATCH(U$2,Kraftvärmeprod!$B$1:$VX$1,0),FALSE)/1,0)-IFERROR(VLOOKUP($B105,'Slutlig allokering kvv'!$B$2:$BX$549,MATCH(U$2,'Slutlig allokering kvv'!$B$1:$BX$1,0),FALSE)/1,0))</f>
        <v/>
      </c>
      <c r="V105" s="121" t="str">
        <f>IF($D105="","",IFERROR(VLOOKUP($B105,Kraftvärmeprod!$B$1:$BX$549,MATCH(V$2,Kraftvärmeprod!$B$1:$VX$1,0),FALSE)/1,0)-IFERROR(VLOOKUP($B105,'Slutlig allokering kvv'!$B$2:$BX$549,MATCH(V$2,'Slutlig allokering kvv'!$B$1:$BX$1,0),FALSE)/1,0))</f>
        <v/>
      </c>
      <c r="W105" s="121" t="str">
        <f>IF($D105="","",IFERROR(VLOOKUP($B105,Kraftvärmeprod!$B$1:$BX$549,MATCH(W$2,Kraftvärmeprod!$B$1:$VX$1,0),FALSE)/1,0)-IFERROR(VLOOKUP($B105,'Slutlig allokering kvv'!$B$2:$BX$549,MATCH(W$2,'Slutlig allokering kvv'!$B$1:$BX$1,0),FALSE)/1,0))</f>
        <v/>
      </c>
      <c r="X105" s="121" t="str">
        <f>IF($D105="","",IFERROR(VLOOKUP($B105,Kraftvärmeprod!$B$1:$BX$549,MATCH(X$2,Kraftvärmeprod!$B$1:$VX$1,0),FALSE)/1,0)-IFERROR(VLOOKUP($B105,'Slutlig allokering kvv'!$B$2:$BX$549,MATCH(X$2,'Slutlig allokering kvv'!$B$1:$BX$1,0),FALSE)/1,0))</f>
        <v/>
      </c>
      <c r="Y105" s="121" t="str">
        <f>IF($D105="","",IFERROR(VLOOKUP($B105,Kraftvärmeprod!$B$1:$BX$549,MATCH(Y$2,Kraftvärmeprod!$B$1:$VX$1,0),FALSE)/1,0)-IFERROR(VLOOKUP($B105,'Slutlig allokering kvv'!$B$2:$BX$549,MATCH(Y$2,'Slutlig allokering kvv'!$B$1:$BX$1,0),FALSE)/1,0))</f>
        <v/>
      </c>
      <c r="Z105" s="121" t="str">
        <f>IF($D105="","",IFERROR(VLOOKUP($B105,Kraftvärmeprod!$B$1:$BX$549,MATCH(Z$2,Kraftvärmeprod!$B$1:$VX$1,0),FALSE)/1,0)-IFERROR(VLOOKUP($B105,'Slutlig allokering kvv'!$B$2:$BX$549,MATCH(Z$2,'Slutlig allokering kvv'!$B$1:$BX$1,0),FALSE)/1,0))</f>
        <v/>
      </c>
      <c r="AA105" s="121" t="str">
        <f>IF($D105="","",IFERROR(VLOOKUP($B105,Kraftvärmeprod!$B$1:$BX$549,MATCH(AA$2,Kraftvärmeprod!$B$1:$VX$1,0),FALSE)/1,0)-IFERROR(VLOOKUP($B105,'Slutlig allokering kvv'!$B$2:$BX$549,MATCH(AA$2,'Slutlig allokering kvv'!$B$1:$BX$1,0),FALSE)/1,0))</f>
        <v/>
      </c>
      <c r="AB105" s="121" t="str">
        <f>IF($D105="","",IFERROR(VLOOKUP($B105,Kraftvärmeprod!$B$1:$BX$549,MATCH(AB$2,Kraftvärmeprod!$B$1:$VX$1,0),FALSE)/1,0)-IFERROR(VLOOKUP($B105,'Slutlig allokering kvv'!$B$2:$BX$549,MATCH(AB$2,'Slutlig allokering kvv'!$B$1:$BX$1,0),FALSE)/1,0))</f>
        <v/>
      </c>
      <c r="AC105" s="121" t="str">
        <f>IF($D105="","",IFERROR(VLOOKUP($B105,Kraftvärmeprod!$B$1:$BX$549,MATCH(AC$2,Kraftvärmeprod!$B$1:$VX$1,0),FALSE)/1,0)-IFERROR(VLOOKUP($B105,'Slutlig allokering kvv'!$B$2:$BX$549,MATCH(AC$2,'Slutlig allokering kvv'!$B$1:$BX$1,0),FALSE)/1,0))</f>
        <v/>
      </c>
      <c r="AD105" s="121" t="str">
        <f>IF($D105="","",IFERROR(VLOOKUP($B105,Kraftvärmeprod!$B$1:$BX$549,MATCH(AD$2,Kraftvärmeprod!$B$1:$VX$1,0),FALSE)/1,0)-IFERROR(VLOOKUP($B105,'Slutlig allokering kvv'!$B$2:$BX$549,MATCH(AD$2,'Slutlig allokering kvv'!$B$1:$BX$1,0),FALSE)/1,0))</f>
        <v/>
      </c>
      <c r="AE105" s="121" t="str">
        <f>IF($D105="","",IFERROR(VLOOKUP($B105,Miljö!$B$1:$E$550,MATCH("Hjälpel kraftvärme (GWh)",Miljö!$B$1:$E$1,0),FALSE)/1,0)-IFERROR(VLOOKUP($B105,'Slutlig allokering kvv'!$B$2:$BX$549,MATCH(AE$2,'Slutlig allokering kvv'!$B$1:$BX$1,0),FALSE)/1,0))</f>
        <v/>
      </c>
      <c r="AI105" s="121">
        <f t="shared" si="4"/>
        <v>0</v>
      </c>
      <c r="AK105" s="121">
        <f>IFERROR(VLOOKUP($B105,'Slutlig allokering kvv'!$B$2:$AX$549,MATCH("Summa slutlig allokerad tillförd energi (utan hjälpel och rökgaskondensering):",'Slutlig allokering kvv'!$B$1:$AX$1,0),FALSE)/1,"")</f>
        <v>0</v>
      </c>
      <c r="AM105" s="172" t="str">
        <f>IFERROR(1-VLOOKUP($B105,'Slutlig allokering kvv'!$B$2:$AX$549,MATCH("Andel av bränsle i kvv som allokerats till värme, exklusive rökgaskondensering och hjälpel",'Slutlig allokering kvv'!$B$1:$AX$1,0),FALSE),"")</f>
        <v/>
      </c>
      <c r="AO105" s="172" t="str">
        <f t="shared" si="5"/>
        <v/>
      </c>
      <c r="AP105" s="173" t="str">
        <f t="shared" si="6"/>
        <v/>
      </c>
      <c r="AR105" s="172" t="str">
        <f t="shared" si="7"/>
        <v/>
      </c>
    </row>
    <row r="106" spans="1:44" x14ac:dyDescent="0.25">
      <c r="A106" s="171" t="str">
        <f>'Miljövärden för publ företag'!B108</f>
        <v>Hedemora Energi AB</v>
      </c>
      <c r="B106" s="171" t="str">
        <f>'Miljövärden för publ företag'!C108</f>
        <v>St Skedvi</v>
      </c>
      <c r="C106" s="121" t="str">
        <f>IFERROR(VLOOKUP($B106,Kraftvärmeprod!$B$1:$AH$478,MATCH(C$2,Kraftvärmeprod!$B$1:$AG$1,0),FALSE)/1,"")</f>
        <v/>
      </c>
      <c r="D106" s="121" t="str">
        <f>IFERROR(VLOOKUP($B106,Kraftvärmeprod!$B$1:$AH$478,MATCH(D$2,Kraftvärmeprod!$B$1:$AG$1,0),FALSE)/1,"")</f>
        <v/>
      </c>
      <c r="F106" s="121" t="str">
        <f>IF($D106="","",IFERROR(VLOOKUP($B106,Kraftvärmeprod!$B$1:$BX$549,MATCH(F$2,Kraftvärmeprod!$B$1:$VX$1,0),FALSE)/1,0)-IFERROR(VLOOKUP($B106,'Slutlig allokering kvv'!$B$2:$BX$549,MATCH(F$2,'Slutlig allokering kvv'!$B$1:$BX$1,0),FALSE)/1,0))</f>
        <v/>
      </c>
      <c r="G106" s="121" t="str">
        <f>IF($D106="","",IFERROR(VLOOKUP($B106,Kraftvärmeprod!$B$1:$BX$549,MATCH(G$2,Kraftvärmeprod!$B$1:$VX$1,0),FALSE)/1,0)-IFERROR(VLOOKUP($B106,'Slutlig allokering kvv'!$B$2:$BX$549,MATCH(G$2,'Slutlig allokering kvv'!$B$1:$BX$1,0),FALSE)/1,0))</f>
        <v/>
      </c>
      <c r="H106" s="121" t="str">
        <f>IF($D106="","",IFERROR(VLOOKUP($B106,Kraftvärmeprod!$B$1:$BX$549,MATCH(H$2,Kraftvärmeprod!$B$1:$VX$1,0),FALSE)/1,0)-IFERROR(VLOOKUP($B106,'Slutlig allokering kvv'!$B$2:$BX$549,MATCH(H$2,'Slutlig allokering kvv'!$B$1:$BX$1,0),FALSE)/1,0))</f>
        <v/>
      </c>
      <c r="I106" s="121" t="str">
        <f>IF($D106="","",IFERROR(VLOOKUP($B106,Kraftvärmeprod!$B$1:$BX$549,MATCH(I$2,Kraftvärmeprod!$B$1:$VX$1,0),FALSE)/1,0)-IFERROR(VLOOKUP($B106,'Slutlig allokering kvv'!$B$2:$BX$549,MATCH(I$2,'Slutlig allokering kvv'!$B$1:$BX$1,0),FALSE)/1,0))</f>
        <v/>
      </c>
      <c r="J106" s="121" t="str">
        <f>IF($D106="","",IFERROR(VLOOKUP($B106,Kraftvärmeprod!$B$1:$BX$549,MATCH(J$2,Kraftvärmeprod!$B$1:$VX$1,0),FALSE)/1,0)-IFERROR(VLOOKUP($B106,'Slutlig allokering kvv'!$B$2:$BX$549,MATCH(J$2,'Slutlig allokering kvv'!$B$1:$BX$1,0),FALSE)/1,0))</f>
        <v/>
      </c>
      <c r="K106" s="121" t="str">
        <f>IF($D106="","",IFERROR(VLOOKUP($B106,Kraftvärmeprod!$B$1:$BX$549,MATCH(K$2,Kraftvärmeprod!$B$1:$VX$1,0),FALSE)/1,0)-IFERROR(VLOOKUP($B106,'Slutlig allokering kvv'!$B$2:$BX$549,MATCH(K$2,'Slutlig allokering kvv'!$B$1:$BX$1,0),FALSE)/1,0))</f>
        <v/>
      </c>
      <c r="L106" s="121" t="str">
        <f>IF($D106="","",IFERROR(VLOOKUP($B106,Kraftvärmeprod!$B$1:$BX$549,MATCH(L$2,Kraftvärmeprod!$B$1:$VX$1,0),FALSE)/1,0)-IFERROR(VLOOKUP($B106,'Slutlig allokering kvv'!$B$2:$BX$549,MATCH(L$2,'Slutlig allokering kvv'!$B$1:$BX$1,0),FALSE)/1,0))</f>
        <v/>
      </c>
      <c r="M106" s="121" t="str">
        <f>IF($D106="","",IFERROR(VLOOKUP($B106,Kraftvärmeprod!$B$1:$BX$549,MATCH(M$2,Kraftvärmeprod!$B$1:$VX$1,0),FALSE)/1,0)-IFERROR(VLOOKUP($B106,'Slutlig allokering kvv'!$B$2:$BX$549,MATCH(M$2,'Slutlig allokering kvv'!$B$1:$BX$1,0),FALSE)/1,0))</f>
        <v/>
      </c>
      <c r="N106" s="121" t="str">
        <f>IF($D106="","",IFERROR(VLOOKUP($B106,Kraftvärmeprod!$B$1:$BX$549,MATCH(N$2,Kraftvärmeprod!$B$1:$VX$1,0),FALSE)/1,0)-IFERROR(VLOOKUP($B106,'Slutlig allokering kvv'!$B$2:$BX$549,MATCH(N$2,'Slutlig allokering kvv'!$B$1:$BX$1,0),FALSE)/1,0))</f>
        <v/>
      </c>
      <c r="O106" s="121" t="str">
        <f>IF($D106="","",IFERROR(VLOOKUP($B106,Kraftvärmeprod!$B$1:$BX$549,MATCH(O$2,Kraftvärmeprod!$B$1:$VX$1,0),FALSE)/1,0)-IFERROR(VLOOKUP($B106,'Slutlig allokering kvv'!$B$2:$BX$549,MATCH(O$2,'Slutlig allokering kvv'!$B$1:$BX$1,0),FALSE)/1,0))</f>
        <v/>
      </c>
      <c r="P106" s="121" t="str">
        <f>IF($D106="","",IFERROR(VLOOKUP($B106,Kraftvärmeprod!$B$1:$BX$549,MATCH(P$2,Kraftvärmeprod!$B$1:$VX$1,0),FALSE)/1,0)-IFERROR(VLOOKUP($B106,'Slutlig allokering kvv'!$B$2:$BX$549,MATCH(P$2,'Slutlig allokering kvv'!$B$1:$BX$1,0),FALSE)/1,0))</f>
        <v/>
      </c>
      <c r="Q106" s="121" t="str">
        <f>IF($D106="","",IFERROR(VLOOKUP($B106,Kraftvärmeprod!$B$1:$BX$549,MATCH(Q$2,Kraftvärmeprod!$B$1:$VX$1,0),FALSE)/1,0)-IFERROR(VLOOKUP($B106,'Slutlig allokering kvv'!$B$2:$BX$549,MATCH(Q$2,'Slutlig allokering kvv'!$B$1:$BX$1,0),FALSE)/1,0))</f>
        <v/>
      </c>
      <c r="R106" s="121" t="str">
        <f>IF($D106="","",IFERROR(VLOOKUP($B106,Kraftvärmeprod!$B$1:$BX$549,MATCH(R$2,Kraftvärmeprod!$B$1:$VX$1,0),FALSE)/1,0)-IFERROR(VLOOKUP($B106,'Slutlig allokering kvv'!$B$2:$BX$549,MATCH(R$2,'Slutlig allokering kvv'!$B$1:$BX$1,0),FALSE)/1,0))</f>
        <v/>
      </c>
      <c r="S106" s="121" t="str">
        <f>IF($D106="","",IFERROR(VLOOKUP($B106,Kraftvärmeprod!$B$1:$BX$549,MATCH(S$2,Kraftvärmeprod!$B$1:$VX$1,0),FALSE)/1,0)-IFERROR(VLOOKUP($B106,'Slutlig allokering kvv'!$B$2:$BX$549,MATCH(S$2,'Slutlig allokering kvv'!$B$1:$BX$1,0),FALSE)/1,0))</f>
        <v/>
      </c>
      <c r="T106" s="121" t="str">
        <f>IF($D106="","",IFERROR(VLOOKUP($B106,Kraftvärmeprod!$B$1:$BX$549,MATCH(T$2,Kraftvärmeprod!$B$1:$VX$1,0),FALSE)/1,0)-IFERROR(VLOOKUP($B106,'Slutlig allokering kvv'!$B$2:$BX$549,MATCH(T$2,'Slutlig allokering kvv'!$B$1:$BX$1,0),FALSE)/1,0))</f>
        <v/>
      </c>
      <c r="U106" s="121" t="str">
        <f>IF($D106="","",IFERROR(VLOOKUP($B106,Kraftvärmeprod!$B$1:$BX$549,MATCH(U$2,Kraftvärmeprod!$B$1:$VX$1,0),FALSE)/1,0)-IFERROR(VLOOKUP($B106,'Slutlig allokering kvv'!$B$2:$BX$549,MATCH(U$2,'Slutlig allokering kvv'!$B$1:$BX$1,0),FALSE)/1,0))</f>
        <v/>
      </c>
      <c r="V106" s="121" t="str">
        <f>IF($D106="","",IFERROR(VLOOKUP($B106,Kraftvärmeprod!$B$1:$BX$549,MATCH(V$2,Kraftvärmeprod!$B$1:$VX$1,0),FALSE)/1,0)-IFERROR(VLOOKUP($B106,'Slutlig allokering kvv'!$B$2:$BX$549,MATCH(V$2,'Slutlig allokering kvv'!$B$1:$BX$1,0),FALSE)/1,0))</f>
        <v/>
      </c>
      <c r="W106" s="121" t="str">
        <f>IF($D106="","",IFERROR(VLOOKUP($B106,Kraftvärmeprod!$B$1:$BX$549,MATCH(W$2,Kraftvärmeprod!$B$1:$VX$1,0),FALSE)/1,0)-IFERROR(VLOOKUP($B106,'Slutlig allokering kvv'!$B$2:$BX$549,MATCH(W$2,'Slutlig allokering kvv'!$B$1:$BX$1,0),FALSE)/1,0))</f>
        <v/>
      </c>
      <c r="X106" s="121" t="str">
        <f>IF($D106="","",IFERROR(VLOOKUP($B106,Kraftvärmeprod!$B$1:$BX$549,MATCH(X$2,Kraftvärmeprod!$B$1:$VX$1,0),FALSE)/1,0)-IFERROR(VLOOKUP($B106,'Slutlig allokering kvv'!$B$2:$BX$549,MATCH(X$2,'Slutlig allokering kvv'!$B$1:$BX$1,0),FALSE)/1,0))</f>
        <v/>
      </c>
      <c r="Y106" s="121" t="str">
        <f>IF($D106="","",IFERROR(VLOOKUP($B106,Kraftvärmeprod!$B$1:$BX$549,MATCH(Y$2,Kraftvärmeprod!$B$1:$VX$1,0),FALSE)/1,0)-IFERROR(VLOOKUP($B106,'Slutlig allokering kvv'!$B$2:$BX$549,MATCH(Y$2,'Slutlig allokering kvv'!$B$1:$BX$1,0),FALSE)/1,0))</f>
        <v/>
      </c>
      <c r="Z106" s="121" t="str">
        <f>IF($D106="","",IFERROR(VLOOKUP($B106,Kraftvärmeprod!$B$1:$BX$549,MATCH(Z$2,Kraftvärmeprod!$B$1:$VX$1,0),FALSE)/1,0)-IFERROR(VLOOKUP($B106,'Slutlig allokering kvv'!$B$2:$BX$549,MATCH(Z$2,'Slutlig allokering kvv'!$B$1:$BX$1,0),FALSE)/1,0))</f>
        <v/>
      </c>
      <c r="AA106" s="121" t="str">
        <f>IF($D106="","",IFERROR(VLOOKUP($B106,Kraftvärmeprod!$B$1:$BX$549,MATCH(AA$2,Kraftvärmeprod!$B$1:$VX$1,0),FALSE)/1,0)-IFERROR(VLOOKUP($B106,'Slutlig allokering kvv'!$B$2:$BX$549,MATCH(AA$2,'Slutlig allokering kvv'!$B$1:$BX$1,0),FALSE)/1,0))</f>
        <v/>
      </c>
      <c r="AB106" s="121" t="str">
        <f>IF($D106="","",IFERROR(VLOOKUP($B106,Kraftvärmeprod!$B$1:$BX$549,MATCH(AB$2,Kraftvärmeprod!$B$1:$VX$1,0),FALSE)/1,0)-IFERROR(VLOOKUP($B106,'Slutlig allokering kvv'!$B$2:$BX$549,MATCH(AB$2,'Slutlig allokering kvv'!$B$1:$BX$1,0),FALSE)/1,0))</f>
        <v/>
      </c>
      <c r="AC106" s="121" t="str">
        <f>IF($D106="","",IFERROR(VLOOKUP($B106,Kraftvärmeprod!$B$1:$BX$549,MATCH(AC$2,Kraftvärmeprod!$B$1:$VX$1,0),FALSE)/1,0)-IFERROR(VLOOKUP($B106,'Slutlig allokering kvv'!$B$2:$BX$549,MATCH(AC$2,'Slutlig allokering kvv'!$B$1:$BX$1,0),FALSE)/1,0))</f>
        <v/>
      </c>
      <c r="AD106" s="121" t="str">
        <f>IF($D106="","",IFERROR(VLOOKUP($B106,Kraftvärmeprod!$B$1:$BX$549,MATCH(AD$2,Kraftvärmeprod!$B$1:$VX$1,0),FALSE)/1,0)-IFERROR(VLOOKUP($B106,'Slutlig allokering kvv'!$B$2:$BX$549,MATCH(AD$2,'Slutlig allokering kvv'!$B$1:$BX$1,0),FALSE)/1,0))</f>
        <v/>
      </c>
      <c r="AE106" s="121" t="str">
        <f>IF($D106="","",IFERROR(VLOOKUP($B106,Miljö!$B$1:$E$550,MATCH("Hjälpel kraftvärme (GWh)",Miljö!$B$1:$E$1,0),FALSE)/1,0)-IFERROR(VLOOKUP($B106,'Slutlig allokering kvv'!$B$2:$BX$549,MATCH(AE$2,'Slutlig allokering kvv'!$B$1:$BX$1,0),FALSE)/1,0))</f>
        <v/>
      </c>
      <c r="AI106" s="121">
        <f t="shared" si="4"/>
        <v>0</v>
      </c>
      <c r="AK106" s="121">
        <f>IFERROR(VLOOKUP($B106,'Slutlig allokering kvv'!$B$2:$AX$549,MATCH("Summa slutlig allokerad tillförd energi (utan hjälpel och rökgaskondensering):",'Slutlig allokering kvv'!$B$1:$AX$1,0),FALSE)/1,"")</f>
        <v>0</v>
      </c>
      <c r="AM106" s="172" t="str">
        <f>IFERROR(1-VLOOKUP($B106,'Slutlig allokering kvv'!$B$2:$AX$549,MATCH("Andel av bränsle i kvv som allokerats till värme, exklusive rökgaskondensering och hjälpel",'Slutlig allokering kvv'!$B$1:$AX$1,0),FALSE),"")</f>
        <v/>
      </c>
      <c r="AO106" s="172" t="str">
        <f t="shared" si="5"/>
        <v/>
      </c>
      <c r="AP106" s="173" t="str">
        <f t="shared" si="6"/>
        <v/>
      </c>
      <c r="AR106" s="172" t="str">
        <f t="shared" si="7"/>
        <v/>
      </c>
    </row>
    <row r="107" spans="1:44" x14ac:dyDescent="0.25">
      <c r="A107" s="171" t="str">
        <f>'Miljövärden för publ företag'!B109</f>
        <v>Hedemora Energi AB</v>
      </c>
      <c r="B107" s="171" t="str">
        <f>'Miljövärden för publ företag'!C109</f>
        <v>Säter</v>
      </c>
      <c r="C107" s="121">
        <f>IFERROR(VLOOKUP($B107,Kraftvärmeprod!$B$1:$AH$478,MATCH(C$2,Kraftvärmeprod!$B$1:$AG$1,0),FALSE)/1,"")</f>
        <v>30.7</v>
      </c>
      <c r="D107" s="121">
        <f>IFERROR(VLOOKUP($B107,Kraftvärmeprod!$B$1:$AH$478,MATCH(D$2,Kraftvärmeprod!$B$1:$AG$1,0),FALSE)/1,"")</f>
        <v>5.36</v>
      </c>
      <c r="F107" s="121">
        <f>IF($D107="","",IFERROR(VLOOKUP($B107,Kraftvärmeprod!$B$1:$BX$549,MATCH(F$2,Kraftvärmeprod!$B$1:$VX$1,0),FALSE)/1,0)-IFERROR(VLOOKUP($B107,'Slutlig allokering kvv'!$B$2:$BX$549,MATCH(F$2,'Slutlig allokering kvv'!$B$1:$BX$1,0),FALSE)/1,0))</f>
        <v>0</v>
      </c>
      <c r="G107" s="121">
        <f>IF($D107="","",IFERROR(VLOOKUP($B107,Kraftvärmeprod!$B$1:$BX$549,MATCH(G$2,Kraftvärmeprod!$B$1:$VX$1,0),FALSE)/1,0)-IFERROR(VLOOKUP($B107,'Slutlig allokering kvv'!$B$2:$BX$549,MATCH(G$2,'Slutlig allokering kvv'!$B$1:$BX$1,0),FALSE)/1,0))</f>
        <v>0</v>
      </c>
      <c r="H107" s="121">
        <f>IF($D107="","",IFERROR(VLOOKUP($B107,Kraftvärmeprod!$B$1:$BX$549,MATCH(H$2,Kraftvärmeprod!$B$1:$VX$1,0),FALSE)/1,0)-IFERROR(VLOOKUP($B107,'Slutlig allokering kvv'!$B$2:$BX$549,MATCH(H$2,'Slutlig allokering kvv'!$B$1:$BX$1,0),FALSE)/1,0))</f>
        <v>0</v>
      </c>
      <c r="I107" s="121">
        <f>IF($D107="","",IFERROR(VLOOKUP($B107,Kraftvärmeprod!$B$1:$BX$549,MATCH(I$2,Kraftvärmeprod!$B$1:$VX$1,0),FALSE)/1,0)-IFERROR(VLOOKUP($B107,'Slutlig allokering kvv'!$B$2:$BX$549,MATCH(I$2,'Slutlig allokering kvv'!$B$1:$BX$1,0),FALSE)/1,0))</f>
        <v>0</v>
      </c>
      <c r="J107" s="121">
        <f>IF($D107="","",IFERROR(VLOOKUP($B107,Kraftvärmeprod!$B$1:$BX$549,MATCH(J$2,Kraftvärmeprod!$B$1:$VX$1,0),FALSE)/1,0)-IFERROR(VLOOKUP($B107,'Slutlig allokering kvv'!$B$2:$BX$549,MATCH(J$2,'Slutlig allokering kvv'!$B$1:$BX$1,0),FALSE)/1,0))</f>
        <v>0</v>
      </c>
      <c r="K107" s="121">
        <f>IF($D107="","",IFERROR(VLOOKUP($B107,Kraftvärmeprod!$B$1:$BX$549,MATCH(K$2,Kraftvärmeprod!$B$1:$VX$1,0),FALSE)/1,0)-IFERROR(VLOOKUP($B107,'Slutlig allokering kvv'!$B$2:$BX$549,MATCH(K$2,'Slutlig allokering kvv'!$B$1:$BX$1,0),FALSE)/1,0))</f>
        <v>0</v>
      </c>
      <c r="L107" s="121">
        <f>IF($D107="","",IFERROR(VLOOKUP($B107,Kraftvärmeprod!$B$1:$BX$549,MATCH(L$2,Kraftvärmeprod!$B$1:$VX$1,0),FALSE)/1,0)-IFERROR(VLOOKUP($B107,'Slutlig allokering kvv'!$B$2:$BX$549,MATCH(L$2,'Slutlig allokering kvv'!$B$1:$BX$1,0),FALSE)/1,0))</f>
        <v>2.6580700000000004</v>
      </c>
      <c r="M107" s="121">
        <f>IF($D107="","",IFERROR(VLOOKUP($B107,Kraftvärmeprod!$B$1:$BX$549,MATCH(M$2,Kraftvärmeprod!$B$1:$VX$1,0),FALSE)/1,0)-IFERROR(VLOOKUP($B107,'Slutlig allokering kvv'!$B$2:$BX$549,MATCH(M$2,'Slutlig allokering kvv'!$B$1:$BX$1,0),FALSE)/1,0))</f>
        <v>2.6268000000000002</v>
      </c>
      <c r="N107" s="121">
        <f>IF($D107="","",IFERROR(VLOOKUP($B107,Kraftvärmeprod!$B$1:$BX$549,MATCH(N$2,Kraftvärmeprod!$B$1:$VX$1,0),FALSE)/1,0)-IFERROR(VLOOKUP($B107,'Slutlig allokering kvv'!$B$2:$BX$549,MATCH(N$2,'Slutlig allokering kvv'!$B$1:$BX$1,0),FALSE)/1,0))</f>
        <v>2.6268000000000002</v>
      </c>
      <c r="O107" s="121">
        <f>IF($D107="","",IFERROR(VLOOKUP($B107,Kraftvärmeprod!$B$1:$BX$549,MATCH(O$2,Kraftvärmeprod!$B$1:$VX$1,0),FALSE)/1,0)-IFERROR(VLOOKUP($B107,'Slutlig allokering kvv'!$B$2:$BX$549,MATCH(O$2,'Slutlig allokering kvv'!$B$1:$BX$1,0),FALSE)/1,0))</f>
        <v>2.6580700000000004</v>
      </c>
      <c r="P107" s="121">
        <f>IF($D107="","",IFERROR(VLOOKUP($B107,Kraftvärmeprod!$B$1:$BX$549,MATCH(P$2,Kraftvärmeprod!$B$1:$VX$1,0),FALSE)/1,0)-IFERROR(VLOOKUP($B107,'Slutlig allokering kvv'!$B$2:$BX$549,MATCH(P$2,'Slutlig allokering kvv'!$B$1:$BX$1,0),FALSE)/1,0))</f>
        <v>0</v>
      </c>
      <c r="Q107" s="121">
        <f>IF($D107="","",IFERROR(VLOOKUP($B107,Kraftvärmeprod!$B$1:$BX$549,MATCH(Q$2,Kraftvärmeprod!$B$1:$VX$1,0),FALSE)/1,0)-IFERROR(VLOOKUP($B107,'Slutlig allokering kvv'!$B$2:$BX$549,MATCH(Q$2,'Slutlig allokering kvv'!$B$1:$BX$1,0),FALSE)/1,0))</f>
        <v>2.6580700000000004</v>
      </c>
      <c r="R107" s="121">
        <f>IF($D107="","",IFERROR(VLOOKUP($B107,Kraftvärmeprod!$B$1:$BX$549,MATCH(R$2,Kraftvärmeprod!$B$1:$VX$1,0),FALSE)/1,0)-IFERROR(VLOOKUP($B107,'Slutlig allokering kvv'!$B$2:$BX$549,MATCH(R$2,'Slutlig allokering kvv'!$B$1:$BX$1,0),FALSE)/1,0))</f>
        <v>0</v>
      </c>
      <c r="S107" s="121">
        <f>IF($D107="","",IFERROR(VLOOKUP($B107,Kraftvärmeprod!$B$1:$BX$549,MATCH(S$2,Kraftvärmeprod!$B$1:$VX$1,0),FALSE)/1,0)-IFERROR(VLOOKUP($B107,'Slutlig allokering kvv'!$B$2:$BX$549,MATCH(S$2,'Slutlig allokering kvv'!$B$1:$BX$1,0),FALSE)/1,0))</f>
        <v>0</v>
      </c>
      <c r="T107" s="121">
        <f>IF($D107="","",IFERROR(VLOOKUP($B107,Kraftvärmeprod!$B$1:$BX$549,MATCH(T$2,Kraftvärmeprod!$B$1:$VX$1,0),FALSE)/1,0)-IFERROR(VLOOKUP($B107,'Slutlig allokering kvv'!$B$2:$BX$549,MATCH(T$2,'Slutlig allokering kvv'!$B$1:$BX$1,0),FALSE)/1,0))</f>
        <v>0</v>
      </c>
      <c r="U107" s="121">
        <f>IF($D107="","",IFERROR(VLOOKUP($B107,Kraftvärmeprod!$B$1:$BX$549,MATCH(U$2,Kraftvärmeprod!$B$1:$VX$1,0),FALSE)/1,0)-IFERROR(VLOOKUP($B107,'Slutlig allokering kvv'!$B$2:$BX$549,MATCH(U$2,'Slutlig allokering kvv'!$B$1:$BX$1,0),FALSE)/1,0))</f>
        <v>0</v>
      </c>
      <c r="V107" s="121">
        <f>IF($D107="","",IFERROR(VLOOKUP($B107,Kraftvärmeprod!$B$1:$BX$549,MATCH(V$2,Kraftvärmeprod!$B$1:$VX$1,0),FALSE)/1,0)-IFERROR(VLOOKUP($B107,'Slutlig allokering kvv'!$B$2:$BX$549,MATCH(V$2,'Slutlig allokering kvv'!$B$1:$BX$1,0),FALSE)/1,0))</f>
        <v>0</v>
      </c>
      <c r="W107" s="121">
        <f>IF($D107="","",IFERROR(VLOOKUP($B107,Kraftvärmeprod!$B$1:$BX$549,MATCH(W$2,Kraftvärmeprod!$B$1:$VX$1,0),FALSE)/1,0)-IFERROR(VLOOKUP($B107,'Slutlig allokering kvv'!$B$2:$BX$549,MATCH(W$2,'Slutlig allokering kvv'!$B$1:$BX$1,0),FALSE)/1,0))</f>
        <v>0</v>
      </c>
      <c r="X107" s="121">
        <f>IF($D107="","",IFERROR(VLOOKUP($B107,Kraftvärmeprod!$B$1:$BX$549,MATCH(X$2,Kraftvärmeprod!$B$1:$VX$1,0),FALSE)/1,0)-IFERROR(VLOOKUP($B107,'Slutlig allokering kvv'!$B$2:$BX$549,MATCH(X$2,'Slutlig allokering kvv'!$B$1:$BX$1,0),FALSE)/1,0))</f>
        <v>0</v>
      </c>
      <c r="Y107" s="121">
        <f>IF($D107="","",IFERROR(VLOOKUP($B107,Kraftvärmeprod!$B$1:$BX$549,MATCH(Y$2,Kraftvärmeprod!$B$1:$VX$1,0),FALSE)/1,0)-IFERROR(VLOOKUP($B107,'Slutlig allokering kvv'!$B$2:$BX$549,MATCH(Y$2,'Slutlig allokering kvv'!$B$1:$BX$1,0),FALSE)/1,0))</f>
        <v>0</v>
      </c>
      <c r="Z107" s="121">
        <f>IF($D107="","",IFERROR(VLOOKUP($B107,Kraftvärmeprod!$B$1:$BX$549,MATCH(Z$2,Kraftvärmeprod!$B$1:$VX$1,0),FALSE)/1,0)-IFERROR(VLOOKUP($B107,'Slutlig allokering kvv'!$B$2:$BX$549,MATCH(Z$2,'Slutlig allokering kvv'!$B$1:$BX$1,0),FALSE)/1,0))</f>
        <v>0</v>
      </c>
      <c r="AA107" s="121">
        <f>IF($D107="","",IFERROR(VLOOKUP($B107,Kraftvärmeprod!$B$1:$BX$549,MATCH(AA$2,Kraftvärmeprod!$B$1:$VX$1,0),FALSE)/1,0)-IFERROR(VLOOKUP($B107,'Slutlig allokering kvv'!$B$2:$BX$549,MATCH(AA$2,'Slutlig allokering kvv'!$B$1:$BX$1,0),FALSE)/1,0))</f>
        <v>0</v>
      </c>
      <c r="AB107" s="121">
        <f>IF($D107="","",IFERROR(VLOOKUP($B107,Kraftvärmeprod!$B$1:$BX$549,MATCH(AB$2,Kraftvärmeprod!$B$1:$VX$1,0),FALSE)/1,0)-IFERROR(VLOOKUP($B107,'Slutlig allokering kvv'!$B$2:$BX$549,MATCH(AB$2,'Slutlig allokering kvv'!$B$1:$BX$1,0),FALSE)/1,0))</f>
        <v>0</v>
      </c>
      <c r="AC107" s="121">
        <f>IF($D107="","",IFERROR(VLOOKUP($B107,Kraftvärmeprod!$B$1:$BX$549,MATCH(AC$2,Kraftvärmeprod!$B$1:$VX$1,0),FALSE)/1,0)-IFERROR(VLOOKUP($B107,'Slutlig allokering kvv'!$B$2:$BX$549,MATCH(AC$2,'Slutlig allokering kvv'!$B$1:$BX$1,0),FALSE)/1,0))</f>
        <v>0</v>
      </c>
      <c r="AD107" s="121">
        <f>IF($D107="","",IFERROR(VLOOKUP($B107,Kraftvärmeprod!$B$1:$BX$549,MATCH(AD$2,Kraftvärmeprod!$B$1:$VX$1,0),FALSE)/1,0)-IFERROR(VLOOKUP($B107,'Slutlig allokering kvv'!$B$2:$BX$549,MATCH(AD$2,'Slutlig allokering kvv'!$B$1:$BX$1,0),FALSE)/1,0))</f>
        <v>0</v>
      </c>
      <c r="AE107" s="121">
        <f>IF($D107="","",IFERROR(VLOOKUP($B107,Miljö!$B$1:$E$550,MATCH("Hjälpel kraftvärme (GWh)",Miljö!$B$1:$E$1,0),FALSE)/1,0)-IFERROR(VLOOKUP($B107,'Slutlig allokering kvv'!$B$2:$BX$549,MATCH(AE$2,'Slutlig allokering kvv'!$B$1:$BX$1,0),FALSE)/1,0))</f>
        <v>0.43779999999999986</v>
      </c>
      <c r="AI107" s="121">
        <f t="shared" si="4"/>
        <v>13.227810000000002</v>
      </c>
      <c r="AK107" s="121">
        <f>IFERROR(VLOOKUP($B107,'Slutlig allokering kvv'!$B$2:$AX$549,MATCH("Summa slutlig allokerad tillförd energi (utan hjälpel och rökgaskondensering):",'Slutlig allokering kvv'!$B$1:$AX$1,0),FALSE)/1,"")</f>
        <v>29.072189999999999</v>
      </c>
      <c r="AM107" s="172">
        <f>IFERROR(1-VLOOKUP($B107,'Slutlig allokering kvv'!$B$2:$AX$549,MATCH("Andel av bränsle i kvv som allokerats till värme, exklusive rökgaskondensering och hjälpel",'Slutlig allokering kvv'!$B$1:$AX$1,0),FALSE),"")</f>
        <v>0.31271418439716314</v>
      </c>
      <c r="AO107" s="172">
        <f t="shared" si="5"/>
        <v>0.3127141843971632</v>
      </c>
      <c r="AP107" s="173">
        <f t="shared" si="6"/>
        <v>-5.5511151231257827E-17</v>
      </c>
      <c r="AR107" s="172">
        <f t="shared" si="7"/>
        <v>0.39222544767485679</v>
      </c>
    </row>
    <row r="108" spans="1:44" x14ac:dyDescent="0.25">
      <c r="A108" s="171" t="str">
        <f>'Miljövärden för publ företag'!B110</f>
        <v>Herrljunga Elektriska AB</v>
      </c>
      <c r="B108" s="171" t="str">
        <f>'Miljövärden för publ företag'!C110</f>
        <v>Herrljunga</v>
      </c>
      <c r="C108" s="121" t="str">
        <f>IFERROR(VLOOKUP($B108,Kraftvärmeprod!$B$1:$AH$478,MATCH(C$2,Kraftvärmeprod!$B$1:$AG$1,0),FALSE)/1,"")</f>
        <v/>
      </c>
      <c r="D108" s="121" t="str">
        <f>IFERROR(VLOOKUP($B108,Kraftvärmeprod!$B$1:$AH$478,MATCH(D$2,Kraftvärmeprod!$B$1:$AG$1,0),FALSE)/1,"")</f>
        <v/>
      </c>
      <c r="F108" s="121" t="str">
        <f>IF($D108="","",IFERROR(VLOOKUP($B108,Kraftvärmeprod!$B$1:$BX$549,MATCH(F$2,Kraftvärmeprod!$B$1:$VX$1,0),FALSE)/1,0)-IFERROR(VLOOKUP($B108,'Slutlig allokering kvv'!$B$2:$BX$549,MATCH(F$2,'Slutlig allokering kvv'!$B$1:$BX$1,0),FALSE)/1,0))</f>
        <v/>
      </c>
      <c r="G108" s="121" t="str">
        <f>IF($D108="","",IFERROR(VLOOKUP($B108,Kraftvärmeprod!$B$1:$BX$549,MATCH(G$2,Kraftvärmeprod!$B$1:$VX$1,0),FALSE)/1,0)-IFERROR(VLOOKUP($B108,'Slutlig allokering kvv'!$B$2:$BX$549,MATCH(G$2,'Slutlig allokering kvv'!$B$1:$BX$1,0),FALSE)/1,0))</f>
        <v/>
      </c>
      <c r="H108" s="121" t="str">
        <f>IF($D108="","",IFERROR(VLOOKUP($B108,Kraftvärmeprod!$B$1:$BX$549,MATCH(H$2,Kraftvärmeprod!$B$1:$VX$1,0),FALSE)/1,0)-IFERROR(VLOOKUP($B108,'Slutlig allokering kvv'!$B$2:$BX$549,MATCH(H$2,'Slutlig allokering kvv'!$B$1:$BX$1,0),FALSE)/1,0))</f>
        <v/>
      </c>
      <c r="I108" s="121" t="str">
        <f>IF($D108="","",IFERROR(VLOOKUP($B108,Kraftvärmeprod!$B$1:$BX$549,MATCH(I$2,Kraftvärmeprod!$B$1:$VX$1,0),FALSE)/1,0)-IFERROR(VLOOKUP($B108,'Slutlig allokering kvv'!$B$2:$BX$549,MATCH(I$2,'Slutlig allokering kvv'!$B$1:$BX$1,0),FALSE)/1,0))</f>
        <v/>
      </c>
      <c r="J108" s="121" t="str">
        <f>IF($D108="","",IFERROR(VLOOKUP($B108,Kraftvärmeprod!$B$1:$BX$549,MATCH(J$2,Kraftvärmeprod!$B$1:$VX$1,0),FALSE)/1,0)-IFERROR(VLOOKUP($B108,'Slutlig allokering kvv'!$B$2:$BX$549,MATCH(J$2,'Slutlig allokering kvv'!$B$1:$BX$1,0),FALSE)/1,0))</f>
        <v/>
      </c>
      <c r="K108" s="121" t="str">
        <f>IF($D108="","",IFERROR(VLOOKUP($B108,Kraftvärmeprod!$B$1:$BX$549,MATCH(K$2,Kraftvärmeprod!$B$1:$VX$1,0),FALSE)/1,0)-IFERROR(VLOOKUP($B108,'Slutlig allokering kvv'!$B$2:$BX$549,MATCH(K$2,'Slutlig allokering kvv'!$B$1:$BX$1,0),FALSE)/1,0))</f>
        <v/>
      </c>
      <c r="L108" s="121" t="str">
        <f>IF($D108="","",IFERROR(VLOOKUP($B108,Kraftvärmeprod!$B$1:$BX$549,MATCH(L$2,Kraftvärmeprod!$B$1:$VX$1,0),FALSE)/1,0)-IFERROR(VLOOKUP($B108,'Slutlig allokering kvv'!$B$2:$BX$549,MATCH(L$2,'Slutlig allokering kvv'!$B$1:$BX$1,0),FALSE)/1,0))</f>
        <v/>
      </c>
      <c r="M108" s="121" t="str">
        <f>IF($D108="","",IFERROR(VLOOKUP($B108,Kraftvärmeprod!$B$1:$BX$549,MATCH(M$2,Kraftvärmeprod!$B$1:$VX$1,0),FALSE)/1,0)-IFERROR(VLOOKUP($B108,'Slutlig allokering kvv'!$B$2:$BX$549,MATCH(M$2,'Slutlig allokering kvv'!$B$1:$BX$1,0),FALSE)/1,0))</f>
        <v/>
      </c>
      <c r="N108" s="121" t="str">
        <f>IF($D108="","",IFERROR(VLOOKUP($B108,Kraftvärmeprod!$B$1:$BX$549,MATCH(N$2,Kraftvärmeprod!$B$1:$VX$1,0),FALSE)/1,0)-IFERROR(VLOOKUP($B108,'Slutlig allokering kvv'!$B$2:$BX$549,MATCH(N$2,'Slutlig allokering kvv'!$B$1:$BX$1,0),FALSE)/1,0))</f>
        <v/>
      </c>
      <c r="O108" s="121" t="str">
        <f>IF($D108="","",IFERROR(VLOOKUP($B108,Kraftvärmeprod!$B$1:$BX$549,MATCH(O$2,Kraftvärmeprod!$B$1:$VX$1,0),FALSE)/1,0)-IFERROR(VLOOKUP($B108,'Slutlig allokering kvv'!$B$2:$BX$549,MATCH(O$2,'Slutlig allokering kvv'!$B$1:$BX$1,0),FALSE)/1,0))</f>
        <v/>
      </c>
      <c r="P108" s="121" t="str">
        <f>IF($D108="","",IFERROR(VLOOKUP($B108,Kraftvärmeprod!$B$1:$BX$549,MATCH(P$2,Kraftvärmeprod!$B$1:$VX$1,0),FALSE)/1,0)-IFERROR(VLOOKUP($B108,'Slutlig allokering kvv'!$B$2:$BX$549,MATCH(P$2,'Slutlig allokering kvv'!$B$1:$BX$1,0),FALSE)/1,0))</f>
        <v/>
      </c>
      <c r="Q108" s="121" t="str">
        <f>IF($D108="","",IFERROR(VLOOKUP($B108,Kraftvärmeprod!$B$1:$BX$549,MATCH(Q$2,Kraftvärmeprod!$B$1:$VX$1,0),FALSE)/1,0)-IFERROR(VLOOKUP($B108,'Slutlig allokering kvv'!$B$2:$BX$549,MATCH(Q$2,'Slutlig allokering kvv'!$B$1:$BX$1,0),FALSE)/1,0))</f>
        <v/>
      </c>
      <c r="R108" s="121" t="str">
        <f>IF($D108="","",IFERROR(VLOOKUP($B108,Kraftvärmeprod!$B$1:$BX$549,MATCH(R$2,Kraftvärmeprod!$B$1:$VX$1,0),FALSE)/1,0)-IFERROR(VLOOKUP($B108,'Slutlig allokering kvv'!$B$2:$BX$549,MATCH(R$2,'Slutlig allokering kvv'!$B$1:$BX$1,0),FALSE)/1,0))</f>
        <v/>
      </c>
      <c r="S108" s="121" t="str">
        <f>IF($D108="","",IFERROR(VLOOKUP($B108,Kraftvärmeprod!$B$1:$BX$549,MATCH(S$2,Kraftvärmeprod!$B$1:$VX$1,0),FALSE)/1,0)-IFERROR(VLOOKUP($B108,'Slutlig allokering kvv'!$B$2:$BX$549,MATCH(S$2,'Slutlig allokering kvv'!$B$1:$BX$1,0),FALSE)/1,0))</f>
        <v/>
      </c>
      <c r="T108" s="121" t="str">
        <f>IF($D108="","",IFERROR(VLOOKUP($B108,Kraftvärmeprod!$B$1:$BX$549,MATCH(T$2,Kraftvärmeprod!$B$1:$VX$1,0),FALSE)/1,0)-IFERROR(VLOOKUP($B108,'Slutlig allokering kvv'!$B$2:$BX$549,MATCH(T$2,'Slutlig allokering kvv'!$B$1:$BX$1,0),FALSE)/1,0))</f>
        <v/>
      </c>
      <c r="U108" s="121" t="str">
        <f>IF($D108="","",IFERROR(VLOOKUP($B108,Kraftvärmeprod!$B$1:$BX$549,MATCH(U$2,Kraftvärmeprod!$B$1:$VX$1,0),FALSE)/1,0)-IFERROR(VLOOKUP($B108,'Slutlig allokering kvv'!$B$2:$BX$549,MATCH(U$2,'Slutlig allokering kvv'!$B$1:$BX$1,0),FALSE)/1,0))</f>
        <v/>
      </c>
      <c r="V108" s="121" t="str">
        <f>IF($D108="","",IFERROR(VLOOKUP($B108,Kraftvärmeprod!$B$1:$BX$549,MATCH(V$2,Kraftvärmeprod!$B$1:$VX$1,0),FALSE)/1,0)-IFERROR(VLOOKUP($B108,'Slutlig allokering kvv'!$B$2:$BX$549,MATCH(V$2,'Slutlig allokering kvv'!$B$1:$BX$1,0),FALSE)/1,0))</f>
        <v/>
      </c>
      <c r="W108" s="121" t="str">
        <f>IF($D108="","",IFERROR(VLOOKUP($B108,Kraftvärmeprod!$B$1:$BX$549,MATCH(W$2,Kraftvärmeprod!$B$1:$VX$1,0),FALSE)/1,0)-IFERROR(VLOOKUP($B108,'Slutlig allokering kvv'!$B$2:$BX$549,MATCH(W$2,'Slutlig allokering kvv'!$B$1:$BX$1,0),FALSE)/1,0))</f>
        <v/>
      </c>
      <c r="X108" s="121" t="str">
        <f>IF($D108="","",IFERROR(VLOOKUP($B108,Kraftvärmeprod!$B$1:$BX$549,MATCH(X$2,Kraftvärmeprod!$B$1:$VX$1,0),FALSE)/1,0)-IFERROR(VLOOKUP($B108,'Slutlig allokering kvv'!$B$2:$BX$549,MATCH(X$2,'Slutlig allokering kvv'!$B$1:$BX$1,0),FALSE)/1,0))</f>
        <v/>
      </c>
      <c r="Y108" s="121" t="str">
        <f>IF($D108="","",IFERROR(VLOOKUP($B108,Kraftvärmeprod!$B$1:$BX$549,MATCH(Y$2,Kraftvärmeprod!$B$1:$VX$1,0),FALSE)/1,0)-IFERROR(VLOOKUP($B108,'Slutlig allokering kvv'!$B$2:$BX$549,MATCH(Y$2,'Slutlig allokering kvv'!$B$1:$BX$1,0),FALSE)/1,0))</f>
        <v/>
      </c>
      <c r="Z108" s="121" t="str">
        <f>IF($D108="","",IFERROR(VLOOKUP($B108,Kraftvärmeprod!$B$1:$BX$549,MATCH(Z$2,Kraftvärmeprod!$B$1:$VX$1,0),FALSE)/1,0)-IFERROR(VLOOKUP($B108,'Slutlig allokering kvv'!$B$2:$BX$549,MATCH(Z$2,'Slutlig allokering kvv'!$B$1:$BX$1,0),FALSE)/1,0))</f>
        <v/>
      </c>
      <c r="AA108" s="121" t="str">
        <f>IF($D108="","",IFERROR(VLOOKUP($B108,Kraftvärmeprod!$B$1:$BX$549,MATCH(AA$2,Kraftvärmeprod!$B$1:$VX$1,0),FALSE)/1,0)-IFERROR(VLOOKUP($B108,'Slutlig allokering kvv'!$B$2:$BX$549,MATCH(AA$2,'Slutlig allokering kvv'!$B$1:$BX$1,0),FALSE)/1,0))</f>
        <v/>
      </c>
      <c r="AB108" s="121" t="str">
        <f>IF($D108="","",IFERROR(VLOOKUP($B108,Kraftvärmeprod!$B$1:$BX$549,MATCH(AB$2,Kraftvärmeprod!$B$1:$VX$1,0),FALSE)/1,0)-IFERROR(VLOOKUP($B108,'Slutlig allokering kvv'!$B$2:$BX$549,MATCH(AB$2,'Slutlig allokering kvv'!$B$1:$BX$1,0),FALSE)/1,0))</f>
        <v/>
      </c>
      <c r="AC108" s="121" t="str">
        <f>IF($D108="","",IFERROR(VLOOKUP($B108,Kraftvärmeprod!$B$1:$BX$549,MATCH(AC$2,Kraftvärmeprod!$B$1:$VX$1,0),FALSE)/1,0)-IFERROR(VLOOKUP($B108,'Slutlig allokering kvv'!$B$2:$BX$549,MATCH(AC$2,'Slutlig allokering kvv'!$B$1:$BX$1,0),FALSE)/1,0))</f>
        <v/>
      </c>
      <c r="AD108" s="121" t="str">
        <f>IF($D108="","",IFERROR(VLOOKUP($B108,Kraftvärmeprod!$B$1:$BX$549,MATCH(AD$2,Kraftvärmeprod!$B$1:$VX$1,0),FALSE)/1,0)-IFERROR(VLOOKUP($B108,'Slutlig allokering kvv'!$B$2:$BX$549,MATCH(AD$2,'Slutlig allokering kvv'!$B$1:$BX$1,0),FALSE)/1,0))</f>
        <v/>
      </c>
      <c r="AE108" s="121" t="str">
        <f>IF($D108="","",IFERROR(VLOOKUP($B108,Miljö!$B$1:$E$550,MATCH("Hjälpel kraftvärme (GWh)",Miljö!$B$1:$E$1,0),FALSE)/1,0)-IFERROR(VLOOKUP($B108,'Slutlig allokering kvv'!$B$2:$BX$549,MATCH(AE$2,'Slutlig allokering kvv'!$B$1:$BX$1,0),FALSE)/1,0))</f>
        <v/>
      </c>
      <c r="AI108" s="121">
        <f t="shared" si="4"/>
        <v>0</v>
      </c>
      <c r="AK108" s="121">
        <f>IFERROR(VLOOKUP($B108,'Slutlig allokering kvv'!$B$2:$AX$549,MATCH("Summa slutlig allokerad tillförd energi (utan hjälpel och rökgaskondensering):",'Slutlig allokering kvv'!$B$1:$AX$1,0),FALSE)/1,"")</f>
        <v>0</v>
      </c>
      <c r="AM108" s="172" t="str">
        <f>IFERROR(1-VLOOKUP($B108,'Slutlig allokering kvv'!$B$2:$AX$549,MATCH("Andel av bränsle i kvv som allokerats till värme, exklusive rökgaskondensering och hjälpel",'Slutlig allokering kvv'!$B$1:$AX$1,0),FALSE),"")</f>
        <v/>
      </c>
      <c r="AO108" s="172" t="str">
        <f t="shared" si="5"/>
        <v/>
      </c>
      <c r="AP108" s="173" t="str">
        <f t="shared" si="6"/>
        <v/>
      </c>
      <c r="AR108" s="172" t="str">
        <f t="shared" si="7"/>
        <v/>
      </c>
    </row>
    <row r="109" spans="1:44" x14ac:dyDescent="0.25">
      <c r="A109" s="171" t="str">
        <f>'Miljövärden för publ företag'!B111</f>
        <v>Hjo Energi AB</v>
      </c>
      <c r="B109" s="171" t="str">
        <f>'Miljövärden för publ företag'!C111</f>
        <v>Hjo</v>
      </c>
      <c r="C109" s="121" t="str">
        <f>IFERROR(VLOOKUP($B109,Kraftvärmeprod!$B$1:$AH$478,MATCH(C$2,Kraftvärmeprod!$B$1:$AG$1,0),FALSE)/1,"")</f>
        <v/>
      </c>
      <c r="D109" s="121" t="str">
        <f>IFERROR(VLOOKUP($B109,Kraftvärmeprod!$B$1:$AH$478,MATCH(D$2,Kraftvärmeprod!$B$1:$AG$1,0),FALSE)/1,"")</f>
        <v/>
      </c>
      <c r="F109" s="121" t="str">
        <f>IF($D109="","",IFERROR(VLOOKUP($B109,Kraftvärmeprod!$B$1:$BX$549,MATCH(F$2,Kraftvärmeprod!$B$1:$VX$1,0),FALSE)/1,0)-IFERROR(VLOOKUP($B109,'Slutlig allokering kvv'!$B$2:$BX$549,MATCH(F$2,'Slutlig allokering kvv'!$B$1:$BX$1,0),FALSE)/1,0))</f>
        <v/>
      </c>
      <c r="G109" s="121" t="str">
        <f>IF($D109="","",IFERROR(VLOOKUP($B109,Kraftvärmeprod!$B$1:$BX$549,MATCH(G$2,Kraftvärmeprod!$B$1:$VX$1,0),FALSE)/1,0)-IFERROR(VLOOKUP($B109,'Slutlig allokering kvv'!$B$2:$BX$549,MATCH(G$2,'Slutlig allokering kvv'!$B$1:$BX$1,0),FALSE)/1,0))</f>
        <v/>
      </c>
      <c r="H109" s="121" t="str">
        <f>IF($D109="","",IFERROR(VLOOKUP($B109,Kraftvärmeprod!$B$1:$BX$549,MATCH(H$2,Kraftvärmeprod!$B$1:$VX$1,0),FALSE)/1,0)-IFERROR(VLOOKUP($B109,'Slutlig allokering kvv'!$B$2:$BX$549,MATCH(H$2,'Slutlig allokering kvv'!$B$1:$BX$1,0),FALSE)/1,0))</f>
        <v/>
      </c>
      <c r="I109" s="121" t="str">
        <f>IF($D109="","",IFERROR(VLOOKUP($B109,Kraftvärmeprod!$B$1:$BX$549,MATCH(I$2,Kraftvärmeprod!$B$1:$VX$1,0),FALSE)/1,0)-IFERROR(VLOOKUP($B109,'Slutlig allokering kvv'!$B$2:$BX$549,MATCH(I$2,'Slutlig allokering kvv'!$B$1:$BX$1,0),FALSE)/1,0))</f>
        <v/>
      </c>
      <c r="J109" s="121" t="str">
        <f>IF($D109="","",IFERROR(VLOOKUP($B109,Kraftvärmeprod!$B$1:$BX$549,MATCH(J$2,Kraftvärmeprod!$B$1:$VX$1,0),FALSE)/1,0)-IFERROR(VLOOKUP($B109,'Slutlig allokering kvv'!$B$2:$BX$549,MATCH(J$2,'Slutlig allokering kvv'!$B$1:$BX$1,0),FALSE)/1,0))</f>
        <v/>
      </c>
      <c r="K109" s="121" t="str">
        <f>IF($D109="","",IFERROR(VLOOKUP($B109,Kraftvärmeprod!$B$1:$BX$549,MATCH(K$2,Kraftvärmeprod!$B$1:$VX$1,0),FALSE)/1,0)-IFERROR(VLOOKUP($B109,'Slutlig allokering kvv'!$B$2:$BX$549,MATCH(K$2,'Slutlig allokering kvv'!$B$1:$BX$1,0),FALSE)/1,0))</f>
        <v/>
      </c>
      <c r="L109" s="121" t="str">
        <f>IF($D109="","",IFERROR(VLOOKUP($B109,Kraftvärmeprod!$B$1:$BX$549,MATCH(L$2,Kraftvärmeprod!$B$1:$VX$1,0),FALSE)/1,0)-IFERROR(VLOOKUP($B109,'Slutlig allokering kvv'!$B$2:$BX$549,MATCH(L$2,'Slutlig allokering kvv'!$B$1:$BX$1,0),FALSE)/1,0))</f>
        <v/>
      </c>
      <c r="M109" s="121" t="str">
        <f>IF($D109="","",IFERROR(VLOOKUP($B109,Kraftvärmeprod!$B$1:$BX$549,MATCH(M$2,Kraftvärmeprod!$B$1:$VX$1,0),FALSE)/1,0)-IFERROR(VLOOKUP($B109,'Slutlig allokering kvv'!$B$2:$BX$549,MATCH(M$2,'Slutlig allokering kvv'!$B$1:$BX$1,0),FALSE)/1,0))</f>
        <v/>
      </c>
      <c r="N109" s="121" t="str">
        <f>IF($D109="","",IFERROR(VLOOKUP($B109,Kraftvärmeprod!$B$1:$BX$549,MATCH(N$2,Kraftvärmeprod!$B$1:$VX$1,0),FALSE)/1,0)-IFERROR(VLOOKUP($B109,'Slutlig allokering kvv'!$B$2:$BX$549,MATCH(N$2,'Slutlig allokering kvv'!$B$1:$BX$1,0),FALSE)/1,0))</f>
        <v/>
      </c>
      <c r="O109" s="121" t="str">
        <f>IF($D109="","",IFERROR(VLOOKUP($B109,Kraftvärmeprod!$B$1:$BX$549,MATCH(O$2,Kraftvärmeprod!$B$1:$VX$1,0),FALSE)/1,0)-IFERROR(VLOOKUP($B109,'Slutlig allokering kvv'!$B$2:$BX$549,MATCH(O$2,'Slutlig allokering kvv'!$B$1:$BX$1,0),FALSE)/1,0))</f>
        <v/>
      </c>
      <c r="P109" s="121" t="str">
        <f>IF($D109="","",IFERROR(VLOOKUP($B109,Kraftvärmeprod!$B$1:$BX$549,MATCH(P$2,Kraftvärmeprod!$B$1:$VX$1,0),FALSE)/1,0)-IFERROR(VLOOKUP($B109,'Slutlig allokering kvv'!$B$2:$BX$549,MATCH(P$2,'Slutlig allokering kvv'!$B$1:$BX$1,0),FALSE)/1,0))</f>
        <v/>
      </c>
      <c r="Q109" s="121" t="str">
        <f>IF($D109="","",IFERROR(VLOOKUP($B109,Kraftvärmeprod!$B$1:$BX$549,MATCH(Q$2,Kraftvärmeprod!$B$1:$VX$1,0),FALSE)/1,0)-IFERROR(VLOOKUP($B109,'Slutlig allokering kvv'!$B$2:$BX$549,MATCH(Q$2,'Slutlig allokering kvv'!$B$1:$BX$1,0),FALSE)/1,0))</f>
        <v/>
      </c>
      <c r="R109" s="121" t="str">
        <f>IF($D109="","",IFERROR(VLOOKUP($B109,Kraftvärmeprod!$B$1:$BX$549,MATCH(R$2,Kraftvärmeprod!$B$1:$VX$1,0),FALSE)/1,0)-IFERROR(VLOOKUP($B109,'Slutlig allokering kvv'!$B$2:$BX$549,MATCH(R$2,'Slutlig allokering kvv'!$B$1:$BX$1,0),FALSE)/1,0))</f>
        <v/>
      </c>
      <c r="S109" s="121" t="str">
        <f>IF($D109="","",IFERROR(VLOOKUP($B109,Kraftvärmeprod!$B$1:$BX$549,MATCH(S$2,Kraftvärmeprod!$B$1:$VX$1,0),FALSE)/1,0)-IFERROR(VLOOKUP($B109,'Slutlig allokering kvv'!$B$2:$BX$549,MATCH(S$2,'Slutlig allokering kvv'!$B$1:$BX$1,0),FALSE)/1,0))</f>
        <v/>
      </c>
      <c r="T109" s="121" t="str">
        <f>IF($D109="","",IFERROR(VLOOKUP($B109,Kraftvärmeprod!$B$1:$BX$549,MATCH(T$2,Kraftvärmeprod!$B$1:$VX$1,0),FALSE)/1,0)-IFERROR(VLOOKUP($B109,'Slutlig allokering kvv'!$B$2:$BX$549,MATCH(T$2,'Slutlig allokering kvv'!$B$1:$BX$1,0),FALSE)/1,0))</f>
        <v/>
      </c>
      <c r="U109" s="121" t="str">
        <f>IF($D109="","",IFERROR(VLOOKUP($B109,Kraftvärmeprod!$B$1:$BX$549,MATCH(U$2,Kraftvärmeprod!$B$1:$VX$1,0),FALSE)/1,0)-IFERROR(VLOOKUP($B109,'Slutlig allokering kvv'!$B$2:$BX$549,MATCH(U$2,'Slutlig allokering kvv'!$B$1:$BX$1,0),FALSE)/1,0))</f>
        <v/>
      </c>
      <c r="V109" s="121" t="str">
        <f>IF($D109="","",IFERROR(VLOOKUP($B109,Kraftvärmeprod!$B$1:$BX$549,MATCH(V$2,Kraftvärmeprod!$B$1:$VX$1,0),FALSE)/1,0)-IFERROR(VLOOKUP($B109,'Slutlig allokering kvv'!$B$2:$BX$549,MATCH(V$2,'Slutlig allokering kvv'!$B$1:$BX$1,0),FALSE)/1,0))</f>
        <v/>
      </c>
      <c r="W109" s="121" t="str">
        <f>IF($D109="","",IFERROR(VLOOKUP($B109,Kraftvärmeprod!$B$1:$BX$549,MATCH(W$2,Kraftvärmeprod!$B$1:$VX$1,0),FALSE)/1,0)-IFERROR(VLOOKUP($B109,'Slutlig allokering kvv'!$B$2:$BX$549,MATCH(W$2,'Slutlig allokering kvv'!$B$1:$BX$1,0),FALSE)/1,0))</f>
        <v/>
      </c>
      <c r="X109" s="121" t="str">
        <f>IF($D109="","",IFERROR(VLOOKUP($B109,Kraftvärmeprod!$B$1:$BX$549,MATCH(X$2,Kraftvärmeprod!$B$1:$VX$1,0),FALSE)/1,0)-IFERROR(VLOOKUP($B109,'Slutlig allokering kvv'!$B$2:$BX$549,MATCH(X$2,'Slutlig allokering kvv'!$B$1:$BX$1,0),FALSE)/1,0))</f>
        <v/>
      </c>
      <c r="Y109" s="121" t="str">
        <f>IF($D109="","",IFERROR(VLOOKUP($B109,Kraftvärmeprod!$B$1:$BX$549,MATCH(Y$2,Kraftvärmeprod!$B$1:$VX$1,0),FALSE)/1,0)-IFERROR(VLOOKUP($B109,'Slutlig allokering kvv'!$B$2:$BX$549,MATCH(Y$2,'Slutlig allokering kvv'!$B$1:$BX$1,0),FALSE)/1,0))</f>
        <v/>
      </c>
      <c r="Z109" s="121" t="str">
        <f>IF($D109="","",IFERROR(VLOOKUP($B109,Kraftvärmeprod!$B$1:$BX$549,MATCH(Z$2,Kraftvärmeprod!$B$1:$VX$1,0),FALSE)/1,0)-IFERROR(VLOOKUP($B109,'Slutlig allokering kvv'!$B$2:$BX$549,MATCH(Z$2,'Slutlig allokering kvv'!$B$1:$BX$1,0),FALSE)/1,0))</f>
        <v/>
      </c>
      <c r="AA109" s="121" t="str">
        <f>IF($D109="","",IFERROR(VLOOKUP($B109,Kraftvärmeprod!$B$1:$BX$549,MATCH(AA$2,Kraftvärmeprod!$B$1:$VX$1,0),FALSE)/1,0)-IFERROR(VLOOKUP($B109,'Slutlig allokering kvv'!$B$2:$BX$549,MATCH(AA$2,'Slutlig allokering kvv'!$B$1:$BX$1,0),FALSE)/1,0))</f>
        <v/>
      </c>
      <c r="AB109" s="121" t="str">
        <f>IF($D109="","",IFERROR(VLOOKUP($B109,Kraftvärmeprod!$B$1:$BX$549,MATCH(AB$2,Kraftvärmeprod!$B$1:$VX$1,0),FALSE)/1,0)-IFERROR(VLOOKUP($B109,'Slutlig allokering kvv'!$B$2:$BX$549,MATCH(AB$2,'Slutlig allokering kvv'!$B$1:$BX$1,0),FALSE)/1,0))</f>
        <v/>
      </c>
      <c r="AC109" s="121" t="str">
        <f>IF($D109="","",IFERROR(VLOOKUP($B109,Kraftvärmeprod!$B$1:$BX$549,MATCH(AC$2,Kraftvärmeprod!$B$1:$VX$1,0),FALSE)/1,0)-IFERROR(VLOOKUP($B109,'Slutlig allokering kvv'!$B$2:$BX$549,MATCH(AC$2,'Slutlig allokering kvv'!$B$1:$BX$1,0),FALSE)/1,0))</f>
        <v/>
      </c>
      <c r="AD109" s="121" t="str">
        <f>IF($D109="","",IFERROR(VLOOKUP($B109,Kraftvärmeprod!$B$1:$BX$549,MATCH(AD$2,Kraftvärmeprod!$B$1:$VX$1,0),FALSE)/1,0)-IFERROR(VLOOKUP($B109,'Slutlig allokering kvv'!$B$2:$BX$549,MATCH(AD$2,'Slutlig allokering kvv'!$B$1:$BX$1,0),FALSE)/1,0))</f>
        <v/>
      </c>
      <c r="AE109" s="121" t="str">
        <f>IF($D109="","",IFERROR(VLOOKUP($B109,Miljö!$B$1:$E$550,MATCH("Hjälpel kraftvärme (GWh)",Miljö!$B$1:$E$1,0),FALSE)/1,0)-IFERROR(VLOOKUP($B109,'Slutlig allokering kvv'!$B$2:$BX$549,MATCH(AE$2,'Slutlig allokering kvv'!$B$1:$BX$1,0),FALSE)/1,0))</f>
        <v/>
      </c>
      <c r="AI109" s="121">
        <f t="shared" si="4"/>
        <v>0</v>
      </c>
      <c r="AK109" s="121">
        <f>IFERROR(VLOOKUP($B109,'Slutlig allokering kvv'!$B$2:$AX$549,MATCH("Summa slutlig allokerad tillförd energi (utan hjälpel och rökgaskondensering):",'Slutlig allokering kvv'!$B$1:$AX$1,0),FALSE)/1,"")</f>
        <v>0</v>
      </c>
      <c r="AM109" s="172" t="str">
        <f>IFERROR(1-VLOOKUP($B109,'Slutlig allokering kvv'!$B$2:$AX$549,MATCH("Andel av bränsle i kvv som allokerats till värme, exklusive rökgaskondensering och hjälpel",'Slutlig allokering kvv'!$B$1:$AX$1,0),FALSE),"")</f>
        <v/>
      </c>
      <c r="AO109" s="172" t="str">
        <f t="shared" si="5"/>
        <v/>
      </c>
      <c r="AP109" s="173" t="str">
        <f t="shared" si="6"/>
        <v/>
      </c>
      <c r="AR109" s="172" t="str">
        <f t="shared" si="7"/>
        <v/>
      </c>
    </row>
    <row r="110" spans="1:44" x14ac:dyDescent="0.25">
      <c r="A110" s="171" t="str">
        <f>'Miljövärden för publ företag'!B112</f>
        <v>Härnösand Energi &amp; Miljö AB</v>
      </c>
      <c r="B110" s="171" t="str">
        <f>'Miljövärden för publ företag'!C112</f>
        <v>Härnösand</v>
      </c>
      <c r="C110" s="121">
        <f>IFERROR(VLOOKUP($B110,Kraftvärmeprod!$B$1:$AH$478,MATCH(C$2,Kraftvärmeprod!$B$1:$AG$1,0),FALSE)/1,"")</f>
        <v>107.2</v>
      </c>
      <c r="D110" s="121">
        <f>IFERROR(VLOOKUP($B110,Kraftvärmeprod!$B$1:$AH$478,MATCH(D$2,Kraftvärmeprod!$B$1:$AG$1,0),FALSE)/1,"")</f>
        <v>30.2</v>
      </c>
      <c r="F110" s="121">
        <f>IF($D110="","",IFERROR(VLOOKUP($B110,Kraftvärmeprod!$B$1:$BX$549,MATCH(F$2,Kraftvärmeprod!$B$1:$VX$1,0),FALSE)/1,0)-IFERROR(VLOOKUP($B110,'Slutlig allokering kvv'!$B$2:$BX$549,MATCH(F$2,'Slutlig allokering kvv'!$B$1:$BX$1,0),FALSE)/1,0))</f>
        <v>0</v>
      </c>
      <c r="G110" s="121">
        <f>IF($D110="","",IFERROR(VLOOKUP($B110,Kraftvärmeprod!$B$1:$BX$549,MATCH(G$2,Kraftvärmeprod!$B$1:$VX$1,0),FALSE)/1,0)-IFERROR(VLOOKUP($B110,'Slutlig allokering kvv'!$B$2:$BX$549,MATCH(G$2,'Slutlig allokering kvv'!$B$1:$BX$1,0),FALSE)/1,0))</f>
        <v>0</v>
      </c>
      <c r="H110" s="121">
        <f>IF($D110="","",IFERROR(VLOOKUP($B110,Kraftvärmeprod!$B$1:$BX$549,MATCH(H$2,Kraftvärmeprod!$B$1:$VX$1,0),FALSE)/1,0)-IFERROR(VLOOKUP($B110,'Slutlig allokering kvv'!$B$2:$BX$549,MATCH(H$2,'Slutlig allokering kvv'!$B$1:$BX$1,0),FALSE)/1,0))</f>
        <v>0</v>
      </c>
      <c r="I110" s="121">
        <f>IF($D110="","",IFERROR(VLOOKUP($B110,Kraftvärmeprod!$B$1:$BX$549,MATCH(I$2,Kraftvärmeprod!$B$1:$VX$1,0),FALSE)/1,0)-IFERROR(VLOOKUP($B110,'Slutlig allokering kvv'!$B$2:$BX$549,MATCH(I$2,'Slutlig allokering kvv'!$B$1:$BX$1,0),FALSE)/1,0))</f>
        <v>0</v>
      </c>
      <c r="J110" s="121">
        <f>IF($D110="","",IFERROR(VLOOKUP($B110,Kraftvärmeprod!$B$1:$BX$549,MATCH(J$2,Kraftvärmeprod!$B$1:$VX$1,0),FALSE)/1,0)-IFERROR(VLOOKUP($B110,'Slutlig allokering kvv'!$B$2:$BX$549,MATCH(J$2,'Slutlig allokering kvv'!$B$1:$BX$1,0),FALSE)/1,0))</f>
        <v>0</v>
      </c>
      <c r="K110" s="121">
        <f>IF($D110="","",IFERROR(VLOOKUP($B110,Kraftvärmeprod!$B$1:$BX$549,MATCH(K$2,Kraftvärmeprod!$B$1:$VX$1,0),FALSE)/1,0)-IFERROR(VLOOKUP($B110,'Slutlig allokering kvv'!$B$2:$BX$549,MATCH(K$2,'Slutlig allokering kvv'!$B$1:$BX$1,0),FALSE)/1,0))</f>
        <v>0</v>
      </c>
      <c r="L110" s="121">
        <f>IF($D110="","",IFERROR(VLOOKUP($B110,Kraftvärmeprod!$B$1:$BX$549,MATCH(L$2,Kraftvärmeprod!$B$1:$VX$1,0),FALSE)/1,0)-IFERROR(VLOOKUP($B110,'Slutlig allokering kvv'!$B$2:$BX$549,MATCH(L$2,'Slutlig allokering kvv'!$B$1:$BX$1,0),FALSE)/1,0))</f>
        <v>7.7050999999999998</v>
      </c>
      <c r="M110" s="121">
        <f>IF($D110="","",IFERROR(VLOOKUP($B110,Kraftvärmeprod!$B$1:$BX$549,MATCH(M$2,Kraftvärmeprod!$B$1:$VX$1,0),FALSE)/1,0)-IFERROR(VLOOKUP($B110,'Slutlig allokering kvv'!$B$2:$BX$549,MATCH(M$2,'Slutlig allokering kvv'!$B$1:$BX$1,0),FALSE)/1,0))</f>
        <v>20.575100000000003</v>
      </c>
      <c r="N110" s="121">
        <f>IF($D110="","",IFERROR(VLOOKUP($B110,Kraftvärmeprod!$B$1:$BX$549,MATCH(N$2,Kraftvärmeprod!$B$1:$VX$1,0),FALSE)/1,0)-IFERROR(VLOOKUP($B110,'Slutlig allokering kvv'!$B$2:$BX$549,MATCH(N$2,'Slutlig allokering kvv'!$B$1:$BX$1,0),FALSE)/1,0))</f>
        <v>23.665599999999998</v>
      </c>
      <c r="O110" s="121">
        <f>IF($D110="","",IFERROR(VLOOKUP($B110,Kraftvärmeprod!$B$1:$BX$549,MATCH(O$2,Kraftvärmeprod!$B$1:$VX$1,0),FALSE)/1,0)-IFERROR(VLOOKUP($B110,'Slutlig allokering kvv'!$B$2:$BX$549,MATCH(O$2,'Slutlig allokering kvv'!$B$1:$BX$1,0),FALSE)/1,0))</f>
        <v>1.0583899999999999</v>
      </c>
      <c r="P110" s="121">
        <f>IF($D110="","",IFERROR(VLOOKUP($B110,Kraftvärmeprod!$B$1:$BX$549,MATCH(P$2,Kraftvärmeprod!$B$1:$VX$1,0),FALSE)/1,0)-IFERROR(VLOOKUP($B110,'Slutlig allokering kvv'!$B$2:$BX$549,MATCH(P$2,'Slutlig allokering kvv'!$B$1:$BX$1,0),FALSE)/1,0))</f>
        <v>0</v>
      </c>
      <c r="Q110" s="121">
        <f>IF($D110="","",IFERROR(VLOOKUP($B110,Kraftvärmeprod!$B$1:$BX$549,MATCH(Q$2,Kraftvärmeprod!$B$1:$VX$1,0),FALSE)/1,0)-IFERROR(VLOOKUP($B110,'Slutlig allokering kvv'!$B$2:$BX$549,MATCH(Q$2,'Slutlig allokering kvv'!$B$1:$BX$1,0),FALSE)/1,0))</f>
        <v>0</v>
      </c>
      <c r="R110" s="121">
        <f>IF($D110="","",IFERROR(VLOOKUP($B110,Kraftvärmeprod!$B$1:$BX$549,MATCH(R$2,Kraftvärmeprod!$B$1:$VX$1,0),FALSE)/1,0)-IFERROR(VLOOKUP($B110,'Slutlig allokering kvv'!$B$2:$BX$549,MATCH(R$2,'Slutlig allokering kvv'!$B$1:$BX$1,0),FALSE)/1,0))</f>
        <v>0</v>
      </c>
      <c r="S110" s="121">
        <f>IF($D110="","",IFERROR(VLOOKUP($B110,Kraftvärmeprod!$B$1:$BX$549,MATCH(S$2,Kraftvärmeprod!$B$1:$VX$1,0),FALSE)/1,0)-IFERROR(VLOOKUP($B110,'Slutlig allokering kvv'!$B$2:$BX$549,MATCH(S$2,'Slutlig allokering kvv'!$B$1:$BX$1,0),FALSE)/1,0))</f>
        <v>0</v>
      </c>
      <c r="T110" s="121">
        <f>IF($D110="","",IFERROR(VLOOKUP($B110,Kraftvärmeprod!$B$1:$BX$549,MATCH(T$2,Kraftvärmeprod!$B$1:$VX$1,0),FALSE)/1,0)-IFERROR(VLOOKUP($B110,'Slutlig allokering kvv'!$B$2:$BX$549,MATCH(T$2,'Slutlig allokering kvv'!$B$1:$BX$1,0),FALSE)/1,0))</f>
        <v>0</v>
      </c>
      <c r="U110" s="121">
        <f>IF($D110="","",IFERROR(VLOOKUP($B110,Kraftvärmeprod!$B$1:$BX$549,MATCH(U$2,Kraftvärmeprod!$B$1:$VX$1,0),FALSE)/1,0)-IFERROR(VLOOKUP($B110,'Slutlig allokering kvv'!$B$2:$BX$549,MATCH(U$2,'Slutlig allokering kvv'!$B$1:$BX$1,0),FALSE)/1,0))</f>
        <v>0</v>
      </c>
      <c r="V110" s="121">
        <f>IF($D110="","",IFERROR(VLOOKUP($B110,Kraftvärmeprod!$B$1:$BX$549,MATCH(V$2,Kraftvärmeprod!$B$1:$VX$1,0),FALSE)/1,0)-IFERROR(VLOOKUP($B110,'Slutlig allokering kvv'!$B$2:$BX$549,MATCH(V$2,'Slutlig allokering kvv'!$B$1:$BX$1,0),FALSE)/1,0))</f>
        <v>0</v>
      </c>
      <c r="W110" s="121">
        <f>IF($D110="","",IFERROR(VLOOKUP($B110,Kraftvärmeprod!$B$1:$BX$549,MATCH(W$2,Kraftvärmeprod!$B$1:$VX$1,0),FALSE)/1,0)-IFERROR(VLOOKUP($B110,'Slutlig allokering kvv'!$B$2:$BX$549,MATCH(W$2,'Slutlig allokering kvv'!$B$1:$BX$1,0),FALSE)/1,0))</f>
        <v>0</v>
      </c>
      <c r="X110" s="121">
        <f>IF($D110="","",IFERROR(VLOOKUP($B110,Kraftvärmeprod!$B$1:$BX$549,MATCH(X$2,Kraftvärmeprod!$B$1:$VX$1,0),FALSE)/1,0)-IFERROR(VLOOKUP($B110,'Slutlig allokering kvv'!$B$2:$BX$549,MATCH(X$2,'Slutlig allokering kvv'!$B$1:$BX$1,0),FALSE)/1,0))</f>
        <v>0</v>
      </c>
      <c r="Y110" s="121">
        <f>IF($D110="","",IFERROR(VLOOKUP($B110,Kraftvärmeprod!$B$1:$BX$549,MATCH(Y$2,Kraftvärmeprod!$B$1:$VX$1,0),FALSE)/1,0)-IFERROR(VLOOKUP($B110,'Slutlig allokering kvv'!$B$2:$BX$549,MATCH(Y$2,'Slutlig allokering kvv'!$B$1:$BX$1,0),FALSE)/1,0))</f>
        <v>0</v>
      </c>
      <c r="Z110" s="121">
        <f>IF($D110="","",IFERROR(VLOOKUP($B110,Kraftvärmeprod!$B$1:$BX$549,MATCH(Z$2,Kraftvärmeprod!$B$1:$VX$1,0),FALSE)/1,0)-IFERROR(VLOOKUP($B110,'Slutlig allokering kvv'!$B$2:$BX$549,MATCH(Z$2,'Slutlig allokering kvv'!$B$1:$BX$1,0),FALSE)/1,0))</f>
        <v>11.150600000000001</v>
      </c>
      <c r="AA110" s="121">
        <f>IF($D110="","",IFERROR(VLOOKUP($B110,Kraftvärmeprod!$B$1:$BX$549,MATCH(AA$2,Kraftvärmeprod!$B$1:$VX$1,0),FALSE)/1,0)-IFERROR(VLOOKUP($B110,'Slutlig allokering kvv'!$B$2:$BX$549,MATCH(AA$2,'Slutlig allokering kvv'!$B$1:$BX$1,0),FALSE)/1,0))</f>
        <v>0</v>
      </c>
      <c r="AB110" s="121">
        <f>IF($D110="","",IFERROR(VLOOKUP($B110,Kraftvärmeprod!$B$1:$BX$549,MATCH(AB$2,Kraftvärmeprod!$B$1:$VX$1,0),FALSE)/1,0)-IFERROR(VLOOKUP($B110,'Slutlig allokering kvv'!$B$2:$BX$549,MATCH(AB$2,'Slutlig allokering kvv'!$B$1:$BX$1,0),FALSE)/1,0))</f>
        <v>0</v>
      </c>
      <c r="AC110" s="121">
        <f>IF($D110="","",IFERROR(VLOOKUP($B110,Kraftvärmeprod!$B$1:$BX$549,MATCH(AC$2,Kraftvärmeprod!$B$1:$VX$1,0),FALSE)/1,0)-IFERROR(VLOOKUP($B110,'Slutlig allokering kvv'!$B$2:$BX$549,MATCH(AC$2,'Slutlig allokering kvv'!$B$1:$BX$1,0),FALSE)/1,0))</f>
        <v>0</v>
      </c>
      <c r="AD110" s="121">
        <f>IF($D110="","",IFERROR(VLOOKUP($B110,Kraftvärmeprod!$B$1:$BX$549,MATCH(AD$2,Kraftvärmeprod!$B$1:$VX$1,0),FALSE)/1,0)-IFERROR(VLOOKUP($B110,'Slutlig allokering kvv'!$B$2:$BX$549,MATCH(AD$2,'Slutlig allokering kvv'!$B$1:$BX$1,0),FALSE)/1,0))</f>
        <v>0</v>
      </c>
      <c r="AE110" s="121">
        <f>IF($D110="","",IFERROR(VLOOKUP($B110,Miljö!$B$1:$E$550,MATCH("Hjälpel kraftvärme (GWh)",Miljö!$B$1:$E$1,0),FALSE)/1,0)-IFERROR(VLOOKUP($B110,'Slutlig allokering kvv'!$B$2:$BX$549,MATCH(AE$2,'Slutlig allokering kvv'!$B$1:$BX$1,0),FALSE)/1,0))</f>
        <v>2.2452100000000002</v>
      </c>
      <c r="AI110" s="121">
        <f t="shared" si="4"/>
        <v>64.154790000000006</v>
      </c>
      <c r="AK110" s="121">
        <f>IFERROR(VLOOKUP($B110,'Slutlig allokering kvv'!$B$2:$AX$549,MATCH("Summa slutlig allokerad tillförd energi (utan hjälpel och rökgaskondensering):",'Slutlig allokering kvv'!$B$1:$AX$1,0),FALSE)/1,"")</f>
        <v>90.145209999999992</v>
      </c>
      <c r="AM110" s="172">
        <f>IFERROR(1-VLOOKUP($B110,'Slutlig allokering kvv'!$B$2:$AX$549,MATCH("Andel av bränsle i kvv som allokerats till värme, exklusive rökgaskondensering och hjälpel",'Slutlig allokering kvv'!$B$1:$AX$1,0),FALSE),"")</f>
        <v>0.41577958522359038</v>
      </c>
      <c r="AO110" s="172">
        <f t="shared" si="5"/>
        <v>0.41577958522359043</v>
      </c>
      <c r="AP110" s="173">
        <f t="shared" si="6"/>
        <v>-5.5511151231257827E-17</v>
      </c>
      <c r="AR110" s="172">
        <f t="shared" si="7"/>
        <v>0.45481927710843367</v>
      </c>
    </row>
    <row r="111" spans="1:44" x14ac:dyDescent="0.25">
      <c r="A111" s="171" t="str">
        <f>'Miljövärden för publ företag'!B113</f>
        <v>Hässleholm Miljö AB</v>
      </c>
      <c r="B111" s="171" t="str">
        <f>'Miljövärden för publ företag'!C113</f>
        <v>Hässleholm</v>
      </c>
      <c r="C111" s="121">
        <f>IFERROR(VLOOKUP($B111,Kraftvärmeprod!$B$1:$AH$478,MATCH(C$2,Kraftvärmeprod!$B$1:$AG$1,0),FALSE)/1,"")</f>
        <v>115.6</v>
      </c>
      <c r="D111" s="121">
        <f>IFERROR(VLOOKUP($B111,Kraftvärmeprod!$B$1:$AH$478,MATCH(D$2,Kraftvärmeprod!$B$1:$AG$1,0),FALSE)/1,"")</f>
        <v>11.1</v>
      </c>
      <c r="F111" s="121">
        <f>IF($D111="","",IFERROR(VLOOKUP($B111,Kraftvärmeprod!$B$1:$BX$549,MATCH(F$2,Kraftvärmeprod!$B$1:$VX$1,0),FALSE)/1,0)-IFERROR(VLOOKUP($B111,'Slutlig allokering kvv'!$B$2:$BX$549,MATCH(F$2,'Slutlig allokering kvv'!$B$1:$BX$1,0),FALSE)/1,0))</f>
        <v>0</v>
      </c>
      <c r="G111" s="121">
        <f>IF($D111="","",IFERROR(VLOOKUP($B111,Kraftvärmeprod!$B$1:$BX$549,MATCH(G$2,Kraftvärmeprod!$B$1:$VX$1,0),FALSE)/1,0)-IFERROR(VLOOKUP($B111,'Slutlig allokering kvv'!$B$2:$BX$549,MATCH(G$2,'Slutlig allokering kvv'!$B$1:$BX$1,0),FALSE)/1,0))</f>
        <v>7.3186000000000029E-2</v>
      </c>
      <c r="H111" s="121">
        <f>IF($D111="","",IFERROR(VLOOKUP($B111,Kraftvärmeprod!$B$1:$BX$549,MATCH(H$2,Kraftvärmeprod!$B$1:$VX$1,0),FALSE)/1,0)-IFERROR(VLOOKUP($B111,'Slutlig allokering kvv'!$B$2:$BX$549,MATCH(H$2,'Slutlig allokering kvv'!$B$1:$BX$1,0),FALSE)/1,0))</f>
        <v>0</v>
      </c>
      <c r="I111" s="121">
        <f>IF($D111="","",IFERROR(VLOOKUP($B111,Kraftvärmeprod!$B$1:$BX$549,MATCH(I$2,Kraftvärmeprod!$B$1:$VX$1,0),FALSE)/1,0)-IFERROR(VLOOKUP($B111,'Slutlig allokering kvv'!$B$2:$BX$549,MATCH(I$2,'Slutlig allokering kvv'!$B$1:$BX$1,0),FALSE)/1,0))</f>
        <v>0</v>
      </c>
      <c r="J111" s="121">
        <f>IF($D111="","",IFERROR(VLOOKUP($B111,Kraftvärmeprod!$B$1:$BX$549,MATCH(J$2,Kraftvärmeprod!$B$1:$VX$1,0),FALSE)/1,0)-IFERROR(VLOOKUP($B111,'Slutlig allokering kvv'!$B$2:$BX$549,MATCH(J$2,'Slutlig allokering kvv'!$B$1:$BX$1,0),FALSE)/1,0))</f>
        <v>0</v>
      </c>
      <c r="K111" s="121">
        <f>IF($D111="","",IFERROR(VLOOKUP($B111,Kraftvärmeprod!$B$1:$BX$549,MATCH(K$2,Kraftvärmeprod!$B$1:$VX$1,0),FALSE)/1,0)-IFERROR(VLOOKUP($B111,'Slutlig allokering kvv'!$B$2:$BX$549,MATCH(K$2,'Slutlig allokering kvv'!$B$1:$BX$1,0),FALSE)/1,0))</f>
        <v>0</v>
      </c>
      <c r="L111" s="121">
        <f>IF($D111="","",IFERROR(VLOOKUP($B111,Kraftvärmeprod!$B$1:$BX$549,MATCH(L$2,Kraftvärmeprod!$B$1:$VX$1,0),FALSE)/1,0)-IFERROR(VLOOKUP($B111,'Slutlig allokering kvv'!$B$2:$BX$549,MATCH(L$2,'Slutlig allokering kvv'!$B$1:$BX$1,0),FALSE)/1,0))</f>
        <v>0</v>
      </c>
      <c r="M111" s="121">
        <f>IF($D111="","",IFERROR(VLOOKUP($B111,Kraftvärmeprod!$B$1:$BX$549,MATCH(M$2,Kraftvärmeprod!$B$1:$VX$1,0),FALSE)/1,0)-IFERROR(VLOOKUP($B111,'Slutlig allokering kvv'!$B$2:$BX$549,MATCH(M$2,'Slutlig allokering kvv'!$B$1:$BX$1,0),FALSE)/1,0))</f>
        <v>0</v>
      </c>
      <c r="N111" s="121">
        <f>IF($D111="","",IFERROR(VLOOKUP($B111,Kraftvärmeprod!$B$1:$BX$549,MATCH(N$2,Kraftvärmeprod!$B$1:$VX$1,0),FALSE)/1,0)-IFERROR(VLOOKUP($B111,'Slutlig allokering kvv'!$B$2:$BX$549,MATCH(N$2,'Slutlig allokering kvv'!$B$1:$BX$1,0),FALSE)/1,0))</f>
        <v>0</v>
      </c>
      <c r="O111" s="121">
        <f>IF($D111="","",IFERROR(VLOOKUP($B111,Kraftvärmeprod!$B$1:$BX$549,MATCH(O$2,Kraftvärmeprod!$B$1:$VX$1,0),FALSE)/1,0)-IFERROR(VLOOKUP($B111,'Slutlig allokering kvv'!$B$2:$BX$549,MATCH(O$2,'Slutlig allokering kvv'!$B$1:$BX$1,0),FALSE)/1,0))</f>
        <v>0</v>
      </c>
      <c r="P111" s="121">
        <f>IF($D111="","",IFERROR(VLOOKUP($B111,Kraftvärmeprod!$B$1:$BX$549,MATCH(P$2,Kraftvärmeprod!$B$1:$VX$1,0),FALSE)/1,0)-IFERROR(VLOOKUP($B111,'Slutlig allokering kvv'!$B$2:$BX$549,MATCH(P$2,'Slutlig allokering kvv'!$B$1:$BX$1,0),FALSE)/1,0))</f>
        <v>0</v>
      </c>
      <c r="Q111" s="121">
        <f>IF($D111="","",IFERROR(VLOOKUP($B111,Kraftvärmeprod!$B$1:$BX$549,MATCH(Q$2,Kraftvärmeprod!$B$1:$VX$1,0),FALSE)/1,0)-IFERROR(VLOOKUP($B111,'Slutlig allokering kvv'!$B$2:$BX$549,MATCH(Q$2,'Slutlig allokering kvv'!$B$1:$BX$1,0),FALSE)/1,0))</f>
        <v>0</v>
      </c>
      <c r="R111" s="121">
        <f>IF($D111="","",IFERROR(VLOOKUP($B111,Kraftvärmeprod!$B$1:$BX$549,MATCH(R$2,Kraftvärmeprod!$B$1:$VX$1,0),FALSE)/1,0)-IFERROR(VLOOKUP($B111,'Slutlig allokering kvv'!$B$2:$BX$549,MATCH(R$2,'Slutlig allokering kvv'!$B$1:$BX$1,0),FALSE)/1,0))</f>
        <v>0</v>
      </c>
      <c r="S111" s="121">
        <f>IF($D111="","",IFERROR(VLOOKUP($B111,Kraftvärmeprod!$B$1:$BX$549,MATCH(S$2,Kraftvärmeprod!$B$1:$VX$1,0),FALSE)/1,0)-IFERROR(VLOOKUP($B111,'Slutlig allokering kvv'!$B$2:$BX$549,MATCH(S$2,'Slutlig allokering kvv'!$B$1:$BX$1,0),FALSE)/1,0))</f>
        <v>0</v>
      </c>
      <c r="T111" s="121">
        <f>IF($D111="","",IFERROR(VLOOKUP($B111,Kraftvärmeprod!$B$1:$BX$549,MATCH(T$2,Kraftvärmeprod!$B$1:$VX$1,0),FALSE)/1,0)-IFERROR(VLOOKUP($B111,'Slutlig allokering kvv'!$B$2:$BX$549,MATCH(T$2,'Slutlig allokering kvv'!$B$1:$BX$1,0),FALSE)/1,0))</f>
        <v>0</v>
      </c>
      <c r="U111" s="121">
        <f>IF($D111="","",IFERROR(VLOOKUP($B111,Kraftvärmeprod!$B$1:$BX$549,MATCH(U$2,Kraftvärmeprod!$B$1:$VX$1,0),FALSE)/1,0)-IFERROR(VLOOKUP($B111,'Slutlig allokering kvv'!$B$2:$BX$549,MATCH(U$2,'Slutlig allokering kvv'!$B$1:$BX$1,0),FALSE)/1,0))</f>
        <v>0</v>
      </c>
      <c r="V111" s="121">
        <f>IF($D111="","",IFERROR(VLOOKUP($B111,Kraftvärmeprod!$B$1:$BX$549,MATCH(V$2,Kraftvärmeprod!$B$1:$VX$1,0),FALSE)/1,0)-IFERROR(VLOOKUP($B111,'Slutlig allokering kvv'!$B$2:$BX$549,MATCH(V$2,'Slutlig allokering kvv'!$B$1:$BX$1,0),FALSE)/1,0))</f>
        <v>0</v>
      </c>
      <c r="W111" s="121">
        <f>IF($D111="","",IFERROR(VLOOKUP($B111,Kraftvärmeprod!$B$1:$BX$549,MATCH(W$2,Kraftvärmeprod!$B$1:$VX$1,0),FALSE)/1,0)-IFERROR(VLOOKUP($B111,'Slutlig allokering kvv'!$B$2:$BX$549,MATCH(W$2,'Slutlig allokering kvv'!$B$1:$BX$1,0),FALSE)/1,0))</f>
        <v>0</v>
      </c>
      <c r="X111" s="121">
        <f>IF($D111="","",IFERROR(VLOOKUP($B111,Kraftvärmeprod!$B$1:$BX$549,MATCH(X$2,Kraftvärmeprod!$B$1:$VX$1,0),FALSE)/1,0)-IFERROR(VLOOKUP($B111,'Slutlig allokering kvv'!$B$2:$BX$549,MATCH(X$2,'Slutlig allokering kvv'!$B$1:$BX$1,0),FALSE)/1,0))</f>
        <v>7.3186000000000029E-2</v>
      </c>
      <c r="Y111" s="121">
        <f>IF($D111="","",IFERROR(VLOOKUP($B111,Kraftvärmeprod!$B$1:$BX$549,MATCH(Y$2,Kraftvärmeprod!$B$1:$VX$1,0),FALSE)/1,0)-IFERROR(VLOOKUP($B111,'Slutlig allokering kvv'!$B$2:$BX$549,MATCH(Y$2,'Slutlig allokering kvv'!$B$1:$BX$1,0),FALSE)/1,0))</f>
        <v>0</v>
      </c>
      <c r="Z111" s="121">
        <f>IF($D111="","",IFERROR(VLOOKUP($B111,Kraftvärmeprod!$B$1:$BX$549,MATCH(Z$2,Kraftvärmeprod!$B$1:$VX$1,0),FALSE)/1,0)-IFERROR(VLOOKUP($B111,'Slutlig allokering kvv'!$B$2:$BX$549,MATCH(Z$2,'Slutlig allokering kvv'!$B$1:$BX$1,0),FALSE)/1,0))</f>
        <v>0</v>
      </c>
      <c r="AA111" s="121">
        <f>IF($D111="","",IFERROR(VLOOKUP($B111,Kraftvärmeprod!$B$1:$BX$549,MATCH(AA$2,Kraftvärmeprod!$B$1:$VX$1,0),FALSE)/1,0)-IFERROR(VLOOKUP($B111,'Slutlig allokering kvv'!$B$2:$BX$549,MATCH(AA$2,'Slutlig allokering kvv'!$B$1:$BX$1,0),FALSE)/1,0))</f>
        <v>36.572999999999993</v>
      </c>
      <c r="AB111" s="121">
        <f>IF($D111="","",IFERROR(VLOOKUP($B111,Kraftvärmeprod!$B$1:$BX$549,MATCH(AB$2,Kraftvärmeprod!$B$1:$VX$1,0),FALSE)/1,0)-IFERROR(VLOOKUP($B111,'Slutlig allokering kvv'!$B$2:$BX$549,MATCH(AB$2,'Slutlig allokering kvv'!$B$1:$BX$1,0),FALSE)/1,0))</f>
        <v>0</v>
      </c>
      <c r="AC111" s="121">
        <f>IF($D111="","",IFERROR(VLOOKUP($B111,Kraftvärmeprod!$B$1:$BX$549,MATCH(AC$2,Kraftvärmeprod!$B$1:$VX$1,0),FALSE)/1,0)-IFERROR(VLOOKUP($B111,'Slutlig allokering kvv'!$B$2:$BX$549,MATCH(AC$2,'Slutlig allokering kvv'!$B$1:$BX$1,0),FALSE)/1,0))</f>
        <v>0</v>
      </c>
      <c r="AD111" s="121">
        <f>IF($D111="","",IFERROR(VLOOKUP($B111,Kraftvärmeprod!$B$1:$BX$549,MATCH(AD$2,Kraftvärmeprod!$B$1:$VX$1,0),FALSE)/1,0)-IFERROR(VLOOKUP($B111,'Slutlig allokering kvv'!$B$2:$BX$549,MATCH(AD$2,'Slutlig allokering kvv'!$B$1:$BX$1,0),FALSE)/1,0))</f>
        <v>0</v>
      </c>
      <c r="AE111" s="121">
        <f>IF($D111="","",IFERROR(VLOOKUP($B111,Miljö!$B$1:$E$550,MATCH("Hjälpel kraftvärme (GWh)",Miljö!$B$1:$E$1,0),FALSE)/1,0)-IFERROR(VLOOKUP($B111,'Slutlig allokering kvv'!$B$2:$BX$549,MATCH(AE$2,'Slutlig allokering kvv'!$B$1:$BX$1,0),FALSE)/1,0))</f>
        <v>0</v>
      </c>
      <c r="AI111" s="121">
        <f t="shared" si="4"/>
        <v>36.719371999999993</v>
      </c>
      <c r="AK111" s="121">
        <f>IFERROR(VLOOKUP($B111,'Slutlig allokering kvv'!$B$2:$AX$549,MATCH("Summa slutlig allokerad tillförd energi (utan hjälpel och rökgaskondensering):",'Slutlig allokering kvv'!$B$1:$AX$1,0),FALSE)/1,"")</f>
        <v>119.78062800000001</v>
      </c>
      <c r="AM111" s="172">
        <f>IFERROR(1-VLOOKUP($B111,'Slutlig allokering kvv'!$B$2:$AX$549,MATCH("Andel av bränsle i kvv som allokerats till värme, exklusive rökgaskondensering och hjälpel",'Slutlig allokering kvv'!$B$1:$AX$1,0),FALSE),"")</f>
        <v>0.23462857507987211</v>
      </c>
      <c r="AO111" s="172">
        <f t="shared" si="5"/>
        <v>0.23462857507987217</v>
      </c>
      <c r="AP111" s="173">
        <f t="shared" si="6"/>
        <v>-5.5511151231257827E-17</v>
      </c>
      <c r="AR111" s="172">
        <f t="shared" si="7"/>
        <v>0.3022927516298482</v>
      </c>
    </row>
    <row r="112" spans="1:44" x14ac:dyDescent="0.25">
      <c r="A112" s="171" t="str">
        <f>'Miljövärden för publ företag'!B114</f>
        <v>Hässleholm Miljö AB</v>
      </c>
      <c r="B112" s="171" t="str">
        <f>'Miljövärden för publ företag'!C114</f>
        <v>Tyringe</v>
      </c>
      <c r="C112" s="121" t="str">
        <f>IFERROR(VLOOKUP($B112,Kraftvärmeprod!$B$1:$AH$478,MATCH(C$2,Kraftvärmeprod!$B$1:$AG$1,0),FALSE)/1,"")</f>
        <v/>
      </c>
      <c r="D112" s="121" t="str">
        <f>IFERROR(VLOOKUP($B112,Kraftvärmeprod!$B$1:$AH$478,MATCH(D$2,Kraftvärmeprod!$B$1:$AG$1,0),FALSE)/1,"")</f>
        <v/>
      </c>
      <c r="F112" s="121" t="str">
        <f>IF($D112="","",IFERROR(VLOOKUP($B112,Kraftvärmeprod!$B$1:$BX$549,MATCH(F$2,Kraftvärmeprod!$B$1:$VX$1,0),FALSE)/1,0)-IFERROR(VLOOKUP($B112,'Slutlig allokering kvv'!$B$2:$BX$549,MATCH(F$2,'Slutlig allokering kvv'!$B$1:$BX$1,0),FALSE)/1,0))</f>
        <v/>
      </c>
      <c r="G112" s="121" t="str">
        <f>IF($D112="","",IFERROR(VLOOKUP($B112,Kraftvärmeprod!$B$1:$BX$549,MATCH(G$2,Kraftvärmeprod!$B$1:$VX$1,0),FALSE)/1,0)-IFERROR(VLOOKUP($B112,'Slutlig allokering kvv'!$B$2:$BX$549,MATCH(G$2,'Slutlig allokering kvv'!$B$1:$BX$1,0),FALSE)/1,0))</f>
        <v/>
      </c>
      <c r="H112" s="121" t="str">
        <f>IF($D112="","",IFERROR(VLOOKUP($B112,Kraftvärmeprod!$B$1:$BX$549,MATCH(H$2,Kraftvärmeprod!$B$1:$VX$1,0),FALSE)/1,0)-IFERROR(VLOOKUP($B112,'Slutlig allokering kvv'!$B$2:$BX$549,MATCH(H$2,'Slutlig allokering kvv'!$B$1:$BX$1,0),FALSE)/1,0))</f>
        <v/>
      </c>
      <c r="I112" s="121" t="str">
        <f>IF($D112="","",IFERROR(VLOOKUP($B112,Kraftvärmeprod!$B$1:$BX$549,MATCH(I$2,Kraftvärmeprod!$B$1:$VX$1,0),FALSE)/1,0)-IFERROR(VLOOKUP($B112,'Slutlig allokering kvv'!$B$2:$BX$549,MATCH(I$2,'Slutlig allokering kvv'!$B$1:$BX$1,0),FALSE)/1,0))</f>
        <v/>
      </c>
      <c r="J112" s="121" t="str">
        <f>IF($D112="","",IFERROR(VLOOKUP($B112,Kraftvärmeprod!$B$1:$BX$549,MATCH(J$2,Kraftvärmeprod!$B$1:$VX$1,0),FALSE)/1,0)-IFERROR(VLOOKUP($B112,'Slutlig allokering kvv'!$B$2:$BX$549,MATCH(J$2,'Slutlig allokering kvv'!$B$1:$BX$1,0),FALSE)/1,0))</f>
        <v/>
      </c>
      <c r="K112" s="121" t="str">
        <f>IF($D112="","",IFERROR(VLOOKUP($B112,Kraftvärmeprod!$B$1:$BX$549,MATCH(K$2,Kraftvärmeprod!$B$1:$VX$1,0),FALSE)/1,0)-IFERROR(VLOOKUP($B112,'Slutlig allokering kvv'!$B$2:$BX$549,MATCH(K$2,'Slutlig allokering kvv'!$B$1:$BX$1,0),FALSE)/1,0))</f>
        <v/>
      </c>
      <c r="L112" s="121" t="str">
        <f>IF($D112="","",IFERROR(VLOOKUP($B112,Kraftvärmeprod!$B$1:$BX$549,MATCH(L$2,Kraftvärmeprod!$B$1:$VX$1,0),FALSE)/1,0)-IFERROR(VLOOKUP($B112,'Slutlig allokering kvv'!$B$2:$BX$549,MATCH(L$2,'Slutlig allokering kvv'!$B$1:$BX$1,0),FALSE)/1,0))</f>
        <v/>
      </c>
      <c r="M112" s="121" t="str">
        <f>IF($D112="","",IFERROR(VLOOKUP($B112,Kraftvärmeprod!$B$1:$BX$549,MATCH(M$2,Kraftvärmeprod!$B$1:$VX$1,0),FALSE)/1,0)-IFERROR(VLOOKUP($B112,'Slutlig allokering kvv'!$B$2:$BX$549,MATCH(M$2,'Slutlig allokering kvv'!$B$1:$BX$1,0),FALSE)/1,0))</f>
        <v/>
      </c>
      <c r="N112" s="121" t="str">
        <f>IF($D112="","",IFERROR(VLOOKUP($B112,Kraftvärmeprod!$B$1:$BX$549,MATCH(N$2,Kraftvärmeprod!$B$1:$VX$1,0),FALSE)/1,0)-IFERROR(VLOOKUP($B112,'Slutlig allokering kvv'!$B$2:$BX$549,MATCH(N$2,'Slutlig allokering kvv'!$B$1:$BX$1,0),FALSE)/1,0))</f>
        <v/>
      </c>
      <c r="O112" s="121" t="str">
        <f>IF($D112="","",IFERROR(VLOOKUP($B112,Kraftvärmeprod!$B$1:$BX$549,MATCH(O$2,Kraftvärmeprod!$B$1:$VX$1,0),FALSE)/1,0)-IFERROR(VLOOKUP($B112,'Slutlig allokering kvv'!$B$2:$BX$549,MATCH(O$2,'Slutlig allokering kvv'!$B$1:$BX$1,0),FALSE)/1,0))</f>
        <v/>
      </c>
      <c r="P112" s="121" t="str">
        <f>IF($D112="","",IFERROR(VLOOKUP($B112,Kraftvärmeprod!$B$1:$BX$549,MATCH(P$2,Kraftvärmeprod!$B$1:$VX$1,0),FALSE)/1,0)-IFERROR(VLOOKUP($B112,'Slutlig allokering kvv'!$B$2:$BX$549,MATCH(P$2,'Slutlig allokering kvv'!$B$1:$BX$1,0),FALSE)/1,0))</f>
        <v/>
      </c>
      <c r="Q112" s="121" t="str">
        <f>IF($D112="","",IFERROR(VLOOKUP($B112,Kraftvärmeprod!$B$1:$BX$549,MATCH(Q$2,Kraftvärmeprod!$B$1:$VX$1,0),FALSE)/1,0)-IFERROR(VLOOKUP($B112,'Slutlig allokering kvv'!$B$2:$BX$549,MATCH(Q$2,'Slutlig allokering kvv'!$B$1:$BX$1,0),FALSE)/1,0))</f>
        <v/>
      </c>
      <c r="R112" s="121" t="str">
        <f>IF($D112="","",IFERROR(VLOOKUP($B112,Kraftvärmeprod!$B$1:$BX$549,MATCH(R$2,Kraftvärmeprod!$B$1:$VX$1,0),FALSE)/1,0)-IFERROR(VLOOKUP($B112,'Slutlig allokering kvv'!$B$2:$BX$549,MATCH(R$2,'Slutlig allokering kvv'!$B$1:$BX$1,0),FALSE)/1,0))</f>
        <v/>
      </c>
      <c r="S112" s="121" t="str">
        <f>IF($D112="","",IFERROR(VLOOKUP($B112,Kraftvärmeprod!$B$1:$BX$549,MATCH(S$2,Kraftvärmeprod!$B$1:$VX$1,0),FALSE)/1,0)-IFERROR(VLOOKUP($B112,'Slutlig allokering kvv'!$B$2:$BX$549,MATCH(S$2,'Slutlig allokering kvv'!$B$1:$BX$1,0),FALSE)/1,0))</f>
        <v/>
      </c>
      <c r="T112" s="121" t="str">
        <f>IF($D112="","",IFERROR(VLOOKUP($B112,Kraftvärmeprod!$B$1:$BX$549,MATCH(T$2,Kraftvärmeprod!$B$1:$VX$1,0),FALSE)/1,0)-IFERROR(VLOOKUP($B112,'Slutlig allokering kvv'!$B$2:$BX$549,MATCH(T$2,'Slutlig allokering kvv'!$B$1:$BX$1,0),FALSE)/1,0))</f>
        <v/>
      </c>
      <c r="U112" s="121" t="str">
        <f>IF($D112="","",IFERROR(VLOOKUP($B112,Kraftvärmeprod!$B$1:$BX$549,MATCH(U$2,Kraftvärmeprod!$B$1:$VX$1,0),FALSE)/1,0)-IFERROR(VLOOKUP($B112,'Slutlig allokering kvv'!$B$2:$BX$549,MATCH(U$2,'Slutlig allokering kvv'!$B$1:$BX$1,0),FALSE)/1,0))</f>
        <v/>
      </c>
      <c r="V112" s="121" t="str">
        <f>IF($D112="","",IFERROR(VLOOKUP($B112,Kraftvärmeprod!$B$1:$BX$549,MATCH(V$2,Kraftvärmeprod!$B$1:$VX$1,0),FALSE)/1,0)-IFERROR(VLOOKUP($B112,'Slutlig allokering kvv'!$B$2:$BX$549,MATCH(V$2,'Slutlig allokering kvv'!$B$1:$BX$1,0),FALSE)/1,0))</f>
        <v/>
      </c>
      <c r="W112" s="121" t="str">
        <f>IF($D112="","",IFERROR(VLOOKUP($B112,Kraftvärmeprod!$B$1:$BX$549,MATCH(W$2,Kraftvärmeprod!$B$1:$VX$1,0),FALSE)/1,0)-IFERROR(VLOOKUP($B112,'Slutlig allokering kvv'!$B$2:$BX$549,MATCH(W$2,'Slutlig allokering kvv'!$B$1:$BX$1,0),FALSE)/1,0))</f>
        <v/>
      </c>
      <c r="X112" s="121" t="str">
        <f>IF($D112="","",IFERROR(VLOOKUP($B112,Kraftvärmeprod!$B$1:$BX$549,MATCH(X$2,Kraftvärmeprod!$B$1:$VX$1,0),FALSE)/1,0)-IFERROR(VLOOKUP($B112,'Slutlig allokering kvv'!$B$2:$BX$549,MATCH(X$2,'Slutlig allokering kvv'!$B$1:$BX$1,0),FALSE)/1,0))</f>
        <v/>
      </c>
      <c r="Y112" s="121" t="str">
        <f>IF($D112="","",IFERROR(VLOOKUP($B112,Kraftvärmeprod!$B$1:$BX$549,MATCH(Y$2,Kraftvärmeprod!$B$1:$VX$1,0),FALSE)/1,0)-IFERROR(VLOOKUP($B112,'Slutlig allokering kvv'!$B$2:$BX$549,MATCH(Y$2,'Slutlig allokering kvv'!$B$1:$BX$1,0),FALSE)/1,0))</f>
        <v/>
      </c>
      <c r="Z112" s="121" t="str">
        <f>IF($D112="","",IFERROR(VLOOKUP($B112,Kraftvärmeprod!$B$1:$BX$549,MATCH(Z$2,Kraftvärmeprod!$B$1:$VX$1,0),FALSE)/1,0)-IFERROR(VLOOKUP($B112,'Slutlig allokering kvv'!$B$2:$BX$549,MATCH(Z$2,'Slutlig allokering kvv'!$B$1:$BX$1,0),FALSE)/1,0))</f>
        <v/>
      </c>
      <c r="AA112" s="121" t="str">
        <f>IF($D112="","",IFERROR(VLOOKUP($B112,Kraftvärmeprod!$B$1:$BX$549,MATCH(AA$2,Kraftvärmeprod!$B$1:$VX$1,0),FALSE)/1,0)-IFERROR(VLOOKUP($B112,'Slutlig allokering kvv'!$B$2:$BX$549,MATCH(AA$2,'Slutlig allokering kvv'!$B$1:$BX$1,0),FALSE)/1,0))</f>
        <v/>
      </c>
      <c r="AB112" s="121" t="str">
        <f>IF($D112="","",IFERROR(VLOOKUP($B112,Kraftvärmeprod!$B$1:$BX$549,MATCH(AB$2,Kraftvärmeprod!$B$1:$VX$1,0),FALSE)/1,0)-IFERROR(VLOOKUP($B112,'Slutlig allokering kvv'!$B$2:$BX$549,MATCH(AB$2,'Slutlig allokering kvv'!$B$1:$BX$1,0),FALSE)/1,0))</f>
        <v/>
      </c>
      <c r="AC112" s="121" t="str">
        <f>IF($D112="","",IFERROR(VLOOKUP($B112,Kraftvärmeprod!$B$1:$BX$549,MATCH(AC$2,Kraftvärmeprod!$B$1:$VX$1,0),FALSE)/1,0)-IFERROR(VLOOKUP($B112,'Slutlig allokering kvv'!$B$2:$BX$549,MATCH(AC$2,'Slutlig allokering kvv'!$B$1:$BX$1,0),FALSE)/1,0))</f>
        <v/>
      </c>
      <c r="AD112" s="121" t="str">
        <f>IF($D112="","",IFERROR(VLOOKUP($B112,Kraftvärmeprod!$B$1:$BX$549,MATCH(AD$2,Kraftvärmeprod!$B$1:$VX$1,0),FALSE)/1,0)-IFERROR(VLOOKUP($B112,'Slutlig allokering kvv'!$B$2:$BX$549,MATCH(AD$2,'Slutlig allokering kvv'!$B$1:$BX$1,0),FALSE)/1,0))</f>
        <v/>
      </c>
      <c r="AE112" s="121" t="str">
        <f>IF($D112="","",IFERROR(VLOOKUP($B112,Miljö!$B$1:$E$550,MATCH("Hjälpel kraftvärme (GWh)",Miljö!$B$1:$E$1,0),FALSE)/1,0)-IFERROR(VLOOKUP($B112,'Slutlig allokering kvv'!$B$2:$BX$549,MATCH(AE$2,'Slutlig allokering kvv'!$B$1:$BX$1,0),FALSE)/1,0))</f>
        <v/>
      </c>
      <c r="AI112" s="121">
        <f t="shared" si="4"/>
        <v>0</v>
      </c>
      <c r="AK112" s="121">
        <f>IFERROR(VLOOKUP($B112,'Slutlig allokering kvv'!$B$2:$AX$549,MATCH("Summa slutlig allokerad tillförd energi (utan hjälpel och rökgaskondensering):",'Slutlig allokering kvv'!$B$1:$AX$1,0),FALSE)/1,"")</f>
        <v>0</v>
      </c>
      <c r="AM112" s="172" t="str">
        <f>IFERROR(1-VLOOKUP($B112,'Slutlig allokering kvv'!$B$2:$AX$549,MATCH("Andel av bränsle i kvv som allokerats till värme, exklusive rökgaskondensering och hjälpel",'Slutlig allokering kvv'!$B$1:$AX$1,0),FALSE),"")</f>
        <v/>
      </c>
      <c r="AO112" s="172" t="str">
        <f t="shared" si="5"/>
        <v/>
      </c>
      <c r="AP112" s="173" t="str">
        <f t="shared" si="6"/>
        <v/>
      </c>
      <c r="AR112" s="172" t="str">
        <f t="shared" si="7"/>
        <v/>
      </c>
    </row>
    <row r="113" spans="1:44" x14ac:dyDescent="0.25">
      <c r="A113" s="171" t="str">
        <f>'Miljövärden för publ företag'!B115</f>
        <v>Höganäs Energi AB</v>
      </c>
      <c r="B113" s="171" t="str">
        <f>'Miljövärden för publ företag'!C115</f>
        <v>Höganäs</v>
      </c>
      <c r="C113" s="121" t="str">
        <f>IFERROR(VLOOKUP($B113,Kraftvärmeprod!$B$1:$AH$478,MATCH(C$2,Kraftvärmeprod!$B$1:$AG$1,0),FALSE)/1,"")</f>
        <v/>
      </c>
      <c r="D113" s="121" t="str">
        <f>IFERROR(VLOOKUP($B113,Kraftvärmeprod!$B$1:$AH$478,MATCH(D$2,Kraftvärmeprod!$B$1:$AG$1,0),FALSE)/1,"")</f>
        <v/>
      </c>
      <c r="F113" s="121" t="str">
        <f>IF($D113="","",IFERROR(VLOOKUP($B113,Kraftvärmeprod!$B$1:$BX$549,MATCH(F$2,Kraftvärmeprod!$B$1:$VX$1,0),FALSE)/1,0)-IFERROR(VLOOKUP($B113,'Slutlig allokering kvv'!$B$2:$BX$549,MATCH(F$2,'Slutlig allokering kvv'!$B$1:$BX$1,0),FALSE)/1,0))</f>
        <v/>
      </c>
      <c r="G113" s="121" t="str">
        <f>IF($D113="","",IFERROR(VLOOKUP($B113,Kraftvärmeprod!$B$1:$BX$549,MATCH(G$2,Kraftvärmeprod!$B$1:$VX$1,0),FALSE)/1,0)-IFERROR(VLOOKUP($B113,'Slutlig allokering kvv'!$B$2:$BX$549,MATCH(G$2,'Slutlig allokering kvv'!$B$1:$BX$1,0),FALSE)/1,0))</f>
        <v/>
      </c>
      <c r="H113" s="121" t="str">
        <f>IF($D113="","",IFERROR(VLOOKUP($B113,Kraftvärmeprod!$B$1:$BX$549,MATCH(H$2,Kraftvärmeprod!$B$1:$VX$1,0),FALSE)/1,0)-IFERROR(VLOOKUP($B113,'Slutlig allokering kvv'!$B$2:$BX$549,MATCH(H$2,'Slutlig allokering kvv'!$B$1:$BX$1,0),FALSE)/1,0))</f>
        <v/>
      </c>
      <c r="I113" s="121" t="str">
        <f>IF($D113="","",IFERROR(VLOOKUP($B113,Kraftvärmeprod!$B$1:$BX$549,MATCH(I$2,Kraftvärmeprod!$B$1:$VX$1,0),FALSE)/1,0)-IFERROR(VLOOKUP($B113,'Slutlig allokering kvv'!$B$2:$BX$549,MATCH(I$2,'Slutlig allokering kvv'!$B$1:$BX$1,0),FALSE)/1,0))</f>
        <v/>
      </c>
      <c r="J113" s="121" t="str">
        <f>IF($D113="","",IFERROR(VLOOKUP($B113,Kraftvärmeprod!$B$1:$BX$549,MATCH(J$2,Kraftvärmeprod!$B$1:$VX$1,0),FALSE)/1,0)-IFERROR(VLOOKUP($B113,'Slutlig allokering kvv'!$B$2:$BX$549,MATCH(J$2,'Slutlig allokering kvv'!$B$1:$BX$1,0),FALSE)/1,0))</f>
        <v/>
      </c>
      <c r="K113" s="121" t="str">
        <f>IF($D113="","",IFERROR(VLOOKUP($B113,Kraftvärmeprod!$B$1:$BX$549,MATCH(K$2,Kraftvärmeprod!$B$1:$VX$1,0),FALSE)/1,0)-IFERROR(VLOOKUP($B113,'Slutlig allokering kvv'!$B$2:$BX$549,MATCH(K$2,'Slutlig allokering kvv'!$B$1:$BX$1,0),FALSE)/1,0))</f>
        <v/>
      </c>
      <c r="L113" s="121" t="str">
        <f>IF($D113="","",IFERROR(VLOOKUP($B113,Kraftvärmeprod!$B$1:$BX$549,MATCH(L$2,Kraftvärmeprod!$B$1:$VX$1,0),FALSE)/1,0)-IFERROR(VLOOKUP($B113,'Slutlig allokering kvv'!$B$2:$BX$549,MATCH(L$2,'Slutlig allokering kvv'!$B$1:$BX$1,0),FALSE)/1,0))</f>
        <v/>
      </c>
      <c r="M113" s="121" t="str">
        <f>IF($D113="","",IFERROR(VLOOKUP($B113,Kraftvärmeprod!$B$1:$BX$549,MATCH(M$2,Kraftvärmeprod!$B$1:$VX$1,0),FALSE)/1,0)-IFERROR(VLOOKUP($B113,'Slutlig allokering kvv'!$B$2:$BX$549,MATCH(M$2,'Slutlig allokering kvv'!$B$1:$BX$1,0),FALSE)/1,0))</f>
        <v/>
      </c>
      <c r="N113" s="121" t="str">
        <f>IF($D113="","",IFERROR(VLOOKUP($B113,Kraftvärmeprod!$B$1:$BX$549,MATCH(N$2,Kraftvärmeprod!$B$1:$VX$1,0),FALSE)/1,0)-IFERROR(VLOOKUP($B113,'Slutlig allokering kvv'!$B$2:$BX$549,MATCH(N$2,'Slutlig allokering kvv'!$B$1:$BX$1,0),FALSE)/1,0))</f>
        <v/>
      </c>
      <c r="O113" s="121" t="str">
        <f>IF($D113="","",IFERROR(VLOOKUP($B113,Kraftvärmeprod!$B$1:$BX$549,MATCH(O$2,Kraftvärmeprod!$B$1:$VX$1,0),FALSE)/1,0)-IFERROR(VLOOKUP($B113,'Slutlig allokering kvv'!$B$2:$BX$549,MATCH(O$2,'Slutlig allokering kvv'!$B$1:$BX$1,0),FALSE)/1,0))</f>
        <v/>
      </c>
      <c r="P113" s="121" t="str">
        <f>IF($D113="","",IFERROR(VLOOKUP($B113,Kraftvärmeprod!$B$1:$BX$549,MATCH(P$2,Kraftvärmeprod!$B$1:$VX$1,0),FALSE)/1,0)-IFERROR(VLOOKUP($B113,'Slutlig allokering kvv'!$B$2:$BX$549,MATCH(P$2,'Slutlig allokering kvv'!$B$1:$BX$1,0),FALSE)/1,0))</f>
        <v/>
      </c>
      <c r="Q113" s="121" t="str">
        <f>IF($D113="","",IFERROR(VLOOKUP($B113,Kraftvärmeprod!$B$1:$BX$549,MATCH(Q$2,Kraftvärmeprod!$B$1:$VX$1,0),FALSE)/1,0)-IFERROR(VLOOKUP($B113,'Slutlig allokering kvv'!$B$2:$BX$549,MATCH(Q$2,'Slutlig allokering kvv'!$B$1:$BX$1,0),FALSE)/1,0))</f>
        <v/>
      </c>
      <c r="R113" s="121" t="str">
        <f>IF($D113="","",IFERROR(VLOOKUP($B113,Kraftvärmeprod!$B$1:$BX$549,MATCH(R$2,Kraftvärmeprod!$B$1:$VX$1,0),FALSE)/1,0)-IFERROR(VLOOKUP($B113,'Slutlig allokering kvv'!$B$2:$BX$549,MATCH(R$2,'Slutlig allokering kvv'!$B$1:$BX$1,0),FALSE)/1,0))</f>
        <v/>
      </c>
      <c r="S113" s="121" t="str">
        <f>IF($D113="","",IFERROR(VLOOKUP($B113,Kraftvärmeprod!$B$1:$BX$549,MATCH(S$2,Kraftvärmeprod!$B$1:$VX$1,0),FALSE)/1,0)-IFERROR(VLOOKUP($B113,'Slutlig allokering kvv'!$B$2:$BX$549,MATCH(S$2,'Slutlig allokering kvv'!$B$1:$BX$1,0),FALSE)/1,0))</f>
        <v/>
      </c>
      <c r="T113" s="121" t="str">
        <f>IF($D113="","",IFERROR(VLOOKUP($B113,Kraftvärmeprod!$B$1:$BX$549,MATCH(T$2,Kraftvärmeprod!$B$1:$VX$1,0),FALSE)/1,0)-IFERROR(VLOOKUP($B113,'Slutlig allokering kvv'!$B$2:$BX$549,MATCH(T$2,'Slutlig allokering kvv'!$B$1:$BX$1,0),FALSE)/1,0))</f>
        <v/>
      </c>
      <c r="U113" s="121" t="str">
        <f>IF($D113="","",IFERROR(VLOOKUP($B113,Kraftvärmeprod!$B$1:$BX$549,MATCH(U$2,Kraftvärmeprod!$B$1:$VX$1,0),FALSE)/1,0)-IFERROR(VLOOKUP($B113,'Slutlig allokering kvv'!$B$2:$BX$549,MATCH(U$2,'Slutlig allokering kvv'!$B$1:$BX$1,0),FALSE)/1,0))</f>
        <v/>
      </c>
      <c r="V113" s="121" t="str">
        <f>IF($D113="","",IFERROR(VLOOKUP($B113,Kraftvärmeprod!$B$1:$BX$549,MATCH(V$2,Kraftvärmeprod!$B$1:$VX$1,0),FALSE)/1,0)-IFERROR(VLOOKUP($B113,'Slutlig allokering kvv'!$B$2:$BX$549,MATCH(V$2,'Slutlig allokering kvv'!$B$1:$BX$1,0),FALSE)/1,0))</f>
        <v/>
      </c>
      <c r="W113" s="121" t="str">
        <f>IF($D113="","",IFERROR(VLOOKUP($B113,Kraftvärmeprod!$B$1:$BX$549,MATCH(W$2,Kraftvärmeprod!$B$1:$VX$1,0),FALSE)/1,0)-IFERROR(VLOOKUP($B113,'Slutlig allokering kvv'!$B$2:$BX$549,MATCH(W$2,'Slutlig allokering kvv'!$B$1:$BX$1,0),FALSE)/1,0))</f>
        <v/>
      </c>
      <c r="X113" s="121" t="str">
        <f>IF($D113="","",IFERROR(VLOOKUP($B113,Kraftvärmeprod!$B$1:$BX$549,MATCH(X$2,Kraftvärmeprod!$B$1:$VX$1,0),FALSE)/1,0)-IFERROR(VLOOKUP($B113,'Slutlig allokering kvv'!$B$2:$BX$549,MATCH(X$2,'Slutlig allokering kvv'!$B$1:$BX$1,0),FALSE)/1,0))</f>
        <v/>
      </c>
      <c r="Y113" s="121" t="str">
        <f>IF($D113="","",IFERROR(VLOOKUP($B113,Kraftvärmeprod!$B$1:$BX$549,MATCH(Y$2,Kraftvärmeprod!$B$1:$VX$1,0),FALSE)/1,0)-IFERROR(VLOOKUP($B113,'Slutlig allokering kvv'!$B$2:$BX$549,MATCH(Y$2,'Slutlig allokering kvv'!$B$1:$BX$1,0),FALSE)/1,0))</f>
        <v/>
      </c>
      <c r="Z113" s="121" t="str">
        <f>IF($D113="","",IFERROR(VLOOKUP($B113,Kraftvärmeprod!$B$1:$BX$549,MATCH(Z$2,Kraftvärmeprod!$B$1:$VX$1,0),FALSE)/1,0)-IFERROR(VLOOKUP($B113,'Slutlig allokering kvv'!$B$2:$BX$549,MATCH(Z$2,'Slutlig allokering kvv'!$B$1:$BX$1,0),FALSE)/1,0))</f>
        <v/>
      </c>
      <c r="AA113" s="121" t="str">
        <f>IF($D113="","",IFERROR(VLOOKUP($B113,Kraftvärmeprod!$B$1:$BX$549,MATCH(AA$2,Kraftvärmeprod!$B$1:$VX$1,0),FALSE)/1,0)-IFERROR(VLOOKUP($B113,'Slutlig allokering kvv'!$B$2:$BX$549,MATCH(AA$2,'Slutlig allokering kvv'!$B$1:$BX$1,0),FALSE)/1,0))</f>
        <v/>
      </c>
      <c r="AB113" s="121" t="str">
        <f>IF($D113="","",IFERROR(VLOOKUP($B113,Kraftvärmeprod!$B$1:$BX$549,MATCH(AB$2,Kraftvärmeprod!$B$1:$VX$1,0),FALSE)/1,0)-IFERROR(VLOOKUP($B113,'Slutlig allokering kvv'!$B$2:$BX$549,MATCH(AB$2,'Slutlig allokering kvv'!$B$1:$BX$1,0),FALSE)/1,0))</f>
        <v/>
      </c>
      <c r="AC113" s="121" t="str">
        <f>IF($D113="","",IFERROR(VLOOKUP($B113,Kraftvärmeprod!$B$1:$BX$549,MATCH(AC$2,Kraftvärmeprod!$B$1:$VX$1,0),FALSE)/1,0)-IFERROR(VLOOKUP($B113,'Slutlig allokering kvv'!$B$2:$BX$549,MATCH(AC$2,'Slutlig allokering kvv'!$B$1:$BX$1,0),FALSE)/1,0))</f>
        <v/>
      </c>
      <c r="AD113" s="121" t="str">
        <f>IF($D113="","",IFERROR(VLOOKUP($B113,Kraftvärmeprod!$B$1:$BX$549,MATCH(AD$2,Kraftvärmeprod!$B$1:$VX$1,0),FALSE)/1,0)-IFERROR(VLOOKUP($B113,'Slutlig allokering kvv'!$B$2:$BX$549,MATCH(AD$2,'Slutlig allokering kvv'!$B$1:$BX$1,0),FALSE)/1,0))</f>
        <v/>
      </c>
      <c r="AE113" s="121" t="str">
        <f>IF($D113="","",IFERROR(VLOOKUP($B113,Miljö!$B$1:$E$550,MATCH("Hjälpel kraftvärme (GWh)",Miljö!$B$1:$E$1,0),FALSE)/1,0)-IFERROR(VLOOKUP($B113,'Slutlig allokering kvv'!$B$2:$BX$549,MATCH(AE$2,'Slutlig allokering kvv'!$B$1:$BX$1,0),FALSE)/1,0))</f>
        <v/>
      </c>
      <c r="AI113" s="121">
        <f t="shared" si="4"/>
        <v>0</v>
      </c>
      <c r="AK113" s="121">
        <f>IFERROR(VLOOKUP($B113,'Slutlig allokering kvv'!$B$2:$AX$549,MATCH("Summa slutlig allokerad tillförd energi (utan hjälpel och rökgaskondensering):",'Slutlig allokering kvv'!$B$1:$AX$1,0),FALSE)/1,"")</f>
        <v>0</v>
      </c>
      <c r="AM113" s="172" t="str">
        <f>IFERROR(1-VLOOKUP($B113,'Slutlig allokering kvv'!$B$2:$AX$549,MATCH("Andel av bränsle i kvv som allokerats till värme, exklusive rökgaskondensering och hjälpel",'Slutlig allokering kvv'!$B$1:$AX$1,0),FALSE),"")</f>
        <v/>
      </c>
      <c r="AO113" s="172" t="str">
        <f t="shared" si="5"/>
        <v/>
      </c>
      <c r="AP113" s="173" t="str">
        <f t="shared" si="6"/>
        <v/>
      </c>
      <c r="AR113" s="172" t="str">
        <f t="shared" si="7"/>
        <v/>
      </c>
    </row>
    <row r="114" spans="1:44" x14ac:dyDescent="0.25">
      <c r="A114" s="171" t="str">
        <f>'Miljövärden för publ företag'!B116</f>
        <v>Jokkmokks Värmeverk AB</v>
      </c>
      <c r="B114" s="171" t="str">
        <f>'Miljövärden för publ företag'!C116</f>
        <v>Jokkmokk</v>
      </c>
      <c r="C114" s="121" t="str">
        <f>IFERROR(VLOOKUP($B114,Kraftvärmeprod!$B$1:$AH$478,MATCH(C$2,Kraftvärmeprod!$B$1:$AG$1,0),FALSE)/1,"")</f>
        <v/>
      </c>
      <c r="D114" s="121" t="str">
        <f>IFERROR(VLOOKUP($B114,Kraftvärmeprod!$B$1:$AH$478,MATCH(D$2,Kraftvärmeprod!$B$1:$AG$1,0),FALSE)/1,"")</f>
        <v/>
      </c>
      <c r="F114" s="121" t="str">
        <f>IF($D114="","",IFERROR(VLOOKUP($B114,Kraftvärmeprod!$B$1:$BX$549,MATCH(F$2,Kraftvärmeprod!$B$1:$VX$1,0),FALSE)/1,0)-IFERROR(VLOOKUP($B114,'Slutlig allokering kvv'!$B$2:$BX$549,MATCH(F$2,'Slutlig allokering kvv'!$B$1:$BX$1,0),FALSE)/1,0))</f>
        <v/>
      </c>
      <c r="G114" s="121" t="str">
        <f>IF($D114="","",IFERROR(VLOOKUP($B114,Kraftvärmeprod!$B$1:$BX$549,MATCH(G$2,Kraftvärmeprod!$B$1:$VX$1,0),FALSE)/1,0)-IFERROR(VLOOKUP($B114,'Slutlig allokering kvv'!$B$2:$BX$549,MATCH(G$2,'Slutlig allokering kvv'!$B$1:$BX$1,0),FALSE)/1,0))</f>
        <v/>
      </c>
      <c r="H114" s="121" t="str">
        <f>IF($D114="","",IFERROR(VLOOKUP($B114,Kraftvärmeprod!$B$1:$BX$549,MATCH(H$2,Kraftvärmeprod!$B$1:$VX$1,0),FALSE)/1,0)-IFERROR(VLOOKUP($B114,'Slutlig allokering kvv'!$B$2:$BX$549,MATCH(H$2,'Slutlig allokering kvv'!$B$1:$BX$1,0),FALSE)/1,0))</f>
        <v/>
      </c>
      <c r="I114" s="121" t="str">
        <f>IF($D114="","",IFERROR(VLOOKUP($B114,Kraftvärmeprod!$B$1:$BX$549,MATCH(I$2,Kraftvärmeprod!$B$1:$VX$1,0),FALSE)/1,0)-IFERROR(VLOOKUP($B114,'Slutlig allokering kvv'!$B$2:$BX$549,MATCH(I$2,'Slutlig allokering kvv'!$B$1:$BX$1,0),FALSE)/1,0))</f>
        <v/>
      </c>
      <c r="J114" s="121" t="str">
        <f>IF($D114="","",IFERROR(VLOOKUP($B114,Kraftvärmeprod!$B$1:$BX$549,MATCH(J$2,Kraftvärmeprod!$B$1:$VX$1,0),FALSE)/1,0)-IFERROR(VLOOKUP($B114,'Slutlig allokering kvv'!$B$2:$BX$549,MATCH(J$2,'Slutlig allokering kvv'!$B$1:$BX$1,0),FALSE)/1,0))</f>
        <v/>
      </c>
      <c r="K114" s="121" t="str">
        <f>IF($D114="","",IFERROR(VLOOKUP($B114,Kraftvärmeprod!$B$1:$BX$549,MATCH(K$2,Kraftvärmeprod!$B$1:$VX$1,0),FALSE)/1,0)-IFERROR(VLOOKUP($B114,'Slutlig allokering kvv'!$B$2:$BX$549,MATCH(K$2,'Slutlig allokering kvv'!$B$1:$BX$1,0),FALSE)/1,0))</f>
        <v/>
      </c>
      <c r="L114" s="121" t="str">
        <f>IF($D114="","",IFERROR(VLOOKUP($B114,Kraftvärmeprod!$B$1:$BX$549,MATCH(L$2,Kraftvärmeprod!$B$1:$VX$1,0),FALSE)/1,0)-IFERROR(VLOOKUP($B114,'Slutlig allokering kvv'!$B$2:$BX$549,MATCH(L$2,'Slutlig allokering kvv'!$B$1:$BX$1,0),FALSE)/1,0))</f>
        <v/>
      </c>
      <c r="M114" s="121" t="str">
        <f>IF($D114="","",IFERROR(VLOOKUP($B114,Kraftvärmeprod!$B$1:$BX$549,MATCH(M$2,Kraftvärmeprod!$B$1:$VX$1,0),FALSE)/1,0)-IFERROR(VLOOKUP($B114,'Slutlig allokering kvv'!$B$2:$BX$549,MATCH(M$2,'Slutlig allokering kvv'!$B$1:$BX$1,0),FALSE)/1,0))</f>
        <v/>
      </c>
      <c r="N114" s="121" t="str">
        <f>IF($D114="","",IFERROR(VLOOKUP($B114,Kraftvärmeprod!$B$1:$BX$549,MATCH(N$2,Kraftvärmeprod!$B$1:$VX$1,0),FALSE)/1,0)-IFERROR(VLOOKUP($B114,'Slutlig allokering kvv'!$B$2:$BX$549,MATCH(N$2,'Slutlig allokering kvv'!$B$1:$BX$1,0),FALSE)/1,0))</f>
        <v/>
      </c>
      <c r="O114" s="121" t="str">
        <f>IF($D114="","",IFERROR(VLOOKUP($B114,Kraftvärmeprod!$B$1:$BX$549,MATCH(O$2,Kraftvärmeprod!$B$1:$VX$1,0),FALSE)/1,0)-IFERROR(VLOOKUP($B114,'Slutlig allokering kvv'!$B$2:$BX$549,MATCH(O$2,'Slutlig allokering kvv'!$B$1:$BX$1,0),FALSE)/1,0))</f>
        <v/>
      </c>
      <c r="P114" s="121" t="str">
        <f>IF($D114="","",IFERROR(VLOOKUP($B114,Kraftvärmeprod!$B$1:$BX$549,MATCH(P$2,Kraftvärmeprod!$B$1:$VX$1,0),FALSE)/1,0)-IFERROR(VLOOKUP($B114,'Slutlig allokering kvv'!$B$2:$BX$549,MATCH(P$2,'Slutlig allokering kvv'!$B$1:$BX$1,0),FALSE)/1,0))</f>
        <v/>
      </c>
      <c r="Q114" s="121" t="str">
        <f>IF($D114="","",IFERROR(VLOOKUP($B114,Kraftvärmeprod!$B$1:$BX$549,MATCH(Q$2,Kraftvärmeprod!$B$1:$VX$1,0),FALSE)/1,0)-IFERROR(VLOOKUP($B114,'Slutlig allokering kvv'!$B$2:$BX$549,MATCH(Q$2,'Slutlig allokering kvv'!$B$1:$BX$1,0),FALSE)/1,0))</f>
        <v/>
      </c>
      <c r="R114" s="121" t="str">
        <f>IF($D114="","",IFERROR(VLOOKUP($B114,Kraftvärmeprod!$B$1:$BX$549,MATCH(R$2,Kraftvärmeprod!$B$1:$VX$1,0),FALSE)/1,0)-IFERROR(VLOOKUP($B114,'Slutlig allokering kvv'!$B$2:$BX$549,MATCH(R$2,'Slutlig allokering kvv'!$B$1:$BX$1,0),FALSE)/1,0))</f>
        <v/>
      </c>
      <c r="S114" s="121" t="str">
        <f>IF($D114="","",IFERROR(VLOOKUP($B114,Kraftvärmeprod!$B$1:$BX$549,MATCH(S$2,Kraftvärmeprod!$B$1:$VX$1,0),FALSE)/1,0)-IFERROR(VLOOKUP($B114,'Slutlig allokering kvv'!$B$2:$BX$549,MATCH(S$2,'Slutlig allokering kvv'!$B$1:$BX$1,0),FALSE)/1,0))</f>
        <v/>
      </c>
      <c r="T114" s="121" t="str">
        <f>IF($D114="","",IFERROR(VLOOKUP($B114,Kraftvärmeprod!$B$1:$BX$549,MATCH(T$2,Kraftvärmeprod!$B$1:$VX$1,0),FALSE)/1,0)-IFERROR(VLOOKUP($B114,'Slutlig allokering kvv'!$B$2:$BX$549,MATCH(T$2,'Slutlig allokering kvv'!$B$1:$BX$1,0),FALSE)/1,0))</f>
        <v/>
      </c>
      <c r="U114" s="121" t="str">
        <f>IF($D114="","",IFERROR(VLOOKUP($B114,Kraftvärmeprod!$B$1:$BX$549,MATCH(U$2,Kraftvärmeprod!$B$1:$VX$1,0),FALSE)/1,0)-IFERROR(VLOOKUP($B114,'Slutlig allokering kvv'!$B$2:$BX$549,MATCH(U$2,'Slutlig allokering kvv'!$B$1:$BX$1,0),FALSE)/1,0))</f>
        <v/>
      </c>
      <c r="V114" s="121" t="str">
        <f>IF($D114="","",IFERROR(VLOOKUP($B114,Kraftvärmeprod!$B$1:$BX$549,MATCH(V$2,Kraftvärmeprod!$B$1:$VX$1,0),FALSE)/1,0)-IFERROR(VLOOKUP($B114,'Slutlig allokering kvv'!$B$2:$BX$549,MATCH(V$2,'Slutlig allokering kvv'!$B$1:$BX$1,0),FALSE)/1,0))</f>
        <v/>
      </c>
      <c r="W114" s="121" t="str">
        <f>IF($D114="","",IFERROR(VLOOKUP($B114,Kraftvärmeprod!$B$1:$BX$549,MATCH(W$2,Kraftvärmeprod!$B$1:$VX$1,0),FALSE)/1,0)-IFERROR(VLOOKUP($B114,'Slutlig allokering kvv'!$B$2:$BX$549,MATCH(W$2,'Slutlig allokering kvv'!$B$1:$BX$1,0),FALSE)/1,0))</f>
        <v/>
      </c>
      <c r="X114" s="121" t="str">
        <f>IF($D114="","",IFERROR(VLOOKUP($B114,Kraftvärmeprod!$B$1:$BX$549,MATCH(X$2,Kraftvärmeprod!$B$1:$VX$1,0),FALSE)/1,0)-IFERROR(VLOOKUP($B114,'Slutlig allokering kvv'!$B$2:$BX$549,MATCH(X$2,'Slutlig allokering kvv'!$B$1:$BX$1,0),FALSE)/1,0))</f>
        <v/>
      </c>
      <c r="Y114" s="121" t="str">
        <f>IF($D114="","",IFERROR(VLOOKUP($B114,Kraftvärmeprod!$B$1:$BX$549,MATCH(Y$2,Kraftvärmeprod!$B$1:$VX$1,0),FALSE)/1,0)-IFERROR(VLOOKUP($B114,'Slutlig allokering kvv'!$B$2:$BX$549,MATCH(Y$2,'Slutlig allokering kvv'!$B$1:$BX$1,0),FALSE)/1,0))</f>
        <v/>
      </c>
      <c r="Z114" s="121" t="str">
        <f>IF($D114="","",IFERROR(VLOOKUP($B114,Kraftvärmeprod!$B$1:$BX$549,MATCH(Z$2,Kraftvärmeprod!$B$1:$VX$1,0),FALSE)/1,0)-IFERROR(VLOOKUP($B114,'Slutlig allokering kvv'!$B$2:$BX$549,MATCH(Z$2,'Slutlig allokering kvv'!$B$1:$BX$1,0),FALSE)/1,0))</f>
        <v/>
      </c>
      <c r="AA114" s="121" t="str">
        <f>IF($D114="","",IFERROR(VLOOKUP($B114,Kraftvärmeprod!$B$1:$BX$549,MATCH(AA$2,Kraftvärmeprod!$B$1:$VX$1,0),FALSE)/1,0)-IFERROR(VLOOKUP($B114,'Slutlig allokering kvv'!$B$2:$BX$549,MATCH(AA$2,'Slutlig allokering kvv'!$B$1:$BX$1,0),FALSE)/1,0))</f>
        <v/>
      </c>
      <c r="AB114" s="121" t="str">
        <f>IF($D114="","",IFERROR(VLOOKUP($B114,Kraftvärmeprod!$B$1:$BX$549,MATCH(AB$2,Kraftvärmeprod!$B$1:$VX$1,0),FALSE)/1,0)-IFERROR(VLOOKUP($B114,'Slutlig allokering kvv'!$B$2:$BX$549,MATCH(AB$2,'Slutlig allokering kvv'!$B$1:$BX$1,0),FALSE)/1,0))</f>
        <v/>
      </c>
      <c r="AC114" s="121" t="str">
        <f>IF($D114="","",IFERROR(VLOOKUP($B114,Kraftvärmeprod!$B$1:$BX$549,MATCH(AC$2,Kraftvärmeprod!$B$1:$VX$1,0),FALSE)/1,0)-IFERROR(VLOOKUP($B114,'Slutlig allokering kvv'!$B$2:$BX$549,MATCH(AC$2,'Slutlig allokering kvv'!$B$1:$BX$1,0),FALSE)/1,0))</f>
        <v/>
      </c>
      <c r="AD114" s="121" t="str">
        <f>IF($D114="","",IFERROR(VLOOKUP($B114,Kraftvärmeprod!$B$1:$BX$549,MATCH(AD$2,Kraftvärmeprod!$B$1:$VX$1,0),FALSE)/1,0)-IFERROR(VLOOKUP($B114,'Slutlig allokering kvv'!$B$2:$BX$549,MATCH(AD$2,'Slutlig allokering kvv'!$B$1:$BX$1,0),FALSE)/1,0))</f>
        <v/>
      </c>
      <c r="AE114" s="121" t="str">
        <f>IF($D114="","",IFERROR(VLOOKUP($B114,Miljö!$B$1:$E$550,MATCH("Hjälpel kraftvärme (GWh)",Miljö!$B$1:$E$1,0),FALSE)/1,0)-IFERROR(VLOOKUP($B114,'Slutlig allokering kvv'!$B$2:$BX$549,MATCH(AE$2,'Slutlig allokering kvv'!$B$1:$BX$1,0),FALSE)/1,0))</f>
        <v/>
      </c>
      <c r="AI114" s="121">
        <f t="shared" si="4"/>
        <v>0</v>
      </c>
      <c r="AK114" s="121">
        <f>IFERROR(VLOOKUP($B114,'Slutlig allokering kvv'!$B$2:$AX$549,MATCH("Summa slutlig allokerad tillförd energi (utan hjälpel och rökgaskondensering):",'Slutlig allokering kvv'!$B$1:$AX$1,0),FALSE)/1,"")</f>
        <v>0</v>
      </c>
      <c r="AM114" s="172" t="str">
        <f>IFERROR(1-VLOOKUP($B114,'Slutlig allokering kvv'!$B$2:$AX$549,MATCH("Andel av bränsle i kvv som allokerats till värme, exklusive rökgaskondensering och hjälpel",'Slutlig allokering kvv'!$B$1:$AX$1,0),FALSE),"")</f>
        <v/>
      </c>
      <c r="AO114" s="172" t="str">
        <f t="shared" si="5"/>
        <v/>
      </c>
      <c r="AP114" s="173" t="str">
        <f t="shared" si="6"/>
        <v/>
      </c>
      <c r="AR114" s="172" t="str">
        <f t="shared" si="7"/>
        <v/>
      </c>
    </row>
    <row r="115" spans="1:44" x14ac:dyDescent="0.25">
      <c r="A115" s="171" t="str">
        <f>'Miljövärden för publ företag'!B117</f>
        <v>Jämtkraft AB</v>
      </c>
      <c r="B115" s="171" t="str">
        <f>'Miljövärden för publ företag'!C117</f>
        <v>Krokom</v>
      </c>
      <c r="C115" s="121" t="str">
        <f>IFERROR(VLOOKUP($B115,Kraftvärmeprod!$B$1:$AH$478,MATCH(C$2,Kraftvärmeprod!$B$1:$AG$1,0),FALSE)/1,"")</f>
        <v/>
      </c>
      <c r="D115" s="121" t="str">
        <f>IFERROR(VLOOKUP($B115,Kraftvärmeprod!$B$1:$AH$478,MATCH(D$2,Kraftvärmeprod!$B$1:$AG$1,0),FALSE)/1,"")</f>
        <v/>
      </c>
      <c r="F115" s="121" t="str">
        <f>IF($D115="","",IFERROR(VLOOKUP($B115,Kraftvärmeprod!$B$1:$BX$549,MATCH(F$2,Kraftvärmeprod!$B$1:$VX$1,0),FALSE)/1,0)-IFERROR(VLOOKUP($B115,'Slutlig allokering kvv'!$B$2:$BX$549,MATCH(F$2,'Slutlig allokering kvv'!$B$1:$BX$1,0),FALSE)/1,0))</f>
        <v/>
      </c>
      <c r="G115" s="121" t="str">
        <f>IF($D115="","",IFERROR(VLOOKUP($B115,Kraftvärmeprod!$B$1:$BX$549,MATCH(G$2,Kraftvärmeprod!$B$1:$VX$1,0),FALSE)/1,0)-IFERROR(VLOOKUP($B115,'Slutlig allokering kvv'!$B$2:$BX$549,MATCH(G$2,'Slutlig allokering kvv'!$B$1:$BX$1,0),FALSE)/1,0))</f>
        <v/>
      </c>
      <c r="H115" s="121" t="str">
        <f>IF($D115="","",IFERROR(VLOOKUP($B115,Kraftvärmeprod!$B$1:$BX$549,MATCH(H$2,Kraftvärmeprod!$B$1:$VX$1,0),FALSE)/1,0)-IFERROR(VLOOKUP($B115,'Slutlig allokering kvv'!$B$2:$BX$549,MATCH(H$2,'Slutlig allokering kvv'!$B$1:$BX$1,0),FALSE)/1,0))</f>
        <v/>
      </c>
      <c r="I115" s="121" t="str">
        <f>IF($D115="","",IFERROR(VLOOKUP($B115,Kraftvärmeprod!$B$1:$BX$549,MATCH(I$2,Kraftvärmeprod!$B$1:$VX$1,0),FALSE)/1,0)-IFERROR(VLOOKUP($B115,'Slutlig allokering kvv'!$B$2:$BX$549,MATCH(I$2,'Slutlig allokering kvv'!$B$1:$BX$1,0),FALSE)/1,0))</f>
        <v/>
      </c>
      <c r="J115" s="121" t="str">
        <f>IF($D115="","",IFERROR(VLOOKUP($B115,Kraftvärmeprod!$B$1:$BX$549,MATCH(J$2,Kraftvärmeprod!$B$1:$VX$1,0),FALSE)/1,0)-IFERROR(VLOOKUP($B115,'Slutlig allokering kvv'!$B$2:$BX$549,MATCH(J$2,'Slutlig allokering kvv'!$B$1:$BX$1,0),FALSE)/1,0))</f>
        <v/>
      </c>
      <c r="K115" s="121" t="str">
        <f>IF($D115="","",IFERROR(VLOOKUP($B115,Kraftvärmeprod!$B$1:$BX$549,MATCH(K$2,Kraftvärmeprod!$B$1:$VX$1,0),FALSE)/1,0)-IFERROR(VLOOKUP($B115,'Slutlig allokering kvv'!$B$2:$BX$549,MATCH(K$2,'Slutlig allokering kvv'!$B$1:$BX$1,0),FALSE)/1,0))</f>
        <v/>
      </c>
      <c r="L115" s="121" t="str">
        <f>IF($D115="","",IFERROR(VLOOKUP($B115,Kraftvärmeprod!$B$1:$BX$549,MATCH(L$2,Kraftvärmeprod!$B$1:$VX$1,0),FALSE)/1,0)-IFERROR(VLOOKUP($B115,'Slutlig allokering kvv'!$B$2:$BX$549,MATCH(L$2,'Slutlig allokering kvv'!$B$1:$BX$1,0),FALSE)/1,0))</f>
        <v/>
      </c>
      <c r="M115" s="121" t="str">
        <f>IF($D115="","",IFERROR(VLOOKUP($B115,Kraftvärmeprod!$B$1:$BX$549,MATCH(M$2,Kraftvärmeprod!$B$1:$VX$1,0),FALSE)/1,0)-IFERROR(VLOOKUP($B115,'Slutlig allokering kvv'!$B$2:$BX$549,MATCH(M$2,'Slutlig allokering kvv'!$B$1:$BX$1,0),FALSE)/1,0))</f>
        <v/>
      </c>
      <c r="N115" s="121" t="str">
        <f>IF($D115="","",IFERROR(VLOOKUP($B115,Kraftvärmeprod!$B$1:$BX$549,MATCH(N$2,Kraftvärmeprod!$B$1:$VX$1,0),FALSE)/1,0)-IFERROR(VLOOKUP($B115,'Slutlig allokering kvv'!$B$2:$BX$549,MATCH(N$2,'Slutlig allokering kvv'!$B$1:$BX$1,0),FALSE)/1,0))</f>
        <v/>
      </c>
      <c r="O115" s="121" t="str">
        <f>IF($D115="","",IFERROR(VLOOKUP($B115,Kraftvärmeprod!$B$1:$BX$549,MATCH(O$2,Kraftvärmeprod!$B$1:$VX$1,0),FALSE)/1,0)-IFERROR(VLOOKUP($B115,'Slutlig allokering kvv'!$B$2:$BX$549,MATCH(O$2,'Slutlig allokering kvv'!$B$1:$BX$1,0),FALSE)/1,0))</f>
        <v/>
      </c>
      <c r="P115" s="121" t="str">
        <f>IF($D115="","",IFERROR(VLOOKUP($B115,Kraftvärmeprod!$B$1:$BX$549,MATCH(P$2,Kraftvärmeprod!$B$1:$VX$1,0),FALSE)/1,0)-IFERROR(VLOOKUP($B115,'Slutlig allokering kvv'!$B$2:$BX$549,MATCH(P$2,'Slutlig allokering kvv'!$B$1:$BX$1,0),FALSE)/1,0))</f>
        <v/>
      </c>
      <c r="Q115" s="121" t="str">
        <f>IF($D115="","",IFERROR(VLOOKUP($B115,Kraftvärmeprod!$B$1:$BX$549,MATCH(Q$2,Kraftvärmeprod!$B$1:$VX$1,0),FALSE)/1,0)-IFERROR(VLOOKUP($B115,'Slutlig allokering kvv'!$B$2:$BX$549,MATCH(Q$2,'Slutlig allokering kvv'!$B$1:$BX$1,0),FALSE)/1,0))</f>
        <v/>
      </c>
      <c r="R115" s="121" t="str">
        <f>IF($D115="","",IFERROR(VLOOKUP($B115,Kraftvärmeprod!$B$1:$BX$549,MATCH(R$2,Kraftvärmeprod!$B$1:$VX$1,0),FALSE)/1,0)-IFERROR(VLOOKUP($B115,'Slutlig allokering kvv'!$B$2:$BX$549,MATCH(R$2,'Slutlig allokering kvv'!$B$1:$BX$1,0),FALSE)/1,0))</f>
        <v/>
      </c>
      <c r="S115" s="121" t="str">
        <f>IF($D115="","",IFERROR(VLOOKUP($B115,Kraftvärmeprod!$B$1:$BX$549,MATCH(S$2,Kraftvärmeprod!$B$1:$VX$1,0),FALSE)/1,0)-IFERROR(VLOOKUP($B115,'Slutlig allokering kvv'!$B$2:$BX$549,MATCH(S$2,'Slutlig allokering kvv'!$B$1:$BX$1,0),FALSE)/1,0))</f>
        <v/>
      </c>
      <c r="T115" s="121" t="str">
        <f>IF($D115="","",IFERROR(VLOOKUP($B115,Kraftvärmeprod!$B$1:$BX$549,MATCH(T$2,Kraftvärmeprod!$B$1:$VX$1,0),FALSE)/1,0)-IFERROR(VLOOKUP($B115,'Slutlig allokering kvv'!$B$2:$BX$549,MATCH(T$2,'Slutlig allokering kvv'!$B$1:$BX$1,0),FALSE)/1,0))</f>
        <v/>
      </c>
      <c r="U115" s="121" t="str">
        <f>IF($D115="","",IFERROR(VLOOKUP($B115,Kraftvärmeprod!$B$1:$BX$549,MATCH(U$2,Kraftvärmeprod!$B$1:$VX$1,0),FALSE)/1,0)-IFERROR(VLOOKUP($B115,'Slutlig allokering kvv'!$B$2:$BX$549,MATCH(U$2,'Slutlig allokering kvv'!$B$1:$BX$1,0),FALSE)/1,0))</f>
        <v/>
      </c>
      <c r="V115" s="121" t="str">
        <f>IF($D115="","",IFERROR(VLOOKUP($B115,Kraftvärmeprod!$B$1:$BX$549,MATCH(V$2,Kraftvärmeprod!$B$1:$VX$1,0),FALSE)/1,0)-IFERROR(VLOOKUP($B115,'Slutlig allokering kvv'!$B$2:$BX$549,MATCH(V$2,'Slutlig allokering kvv'!$B$1:$BX$1,0),FALSE)/1,0))</f>
        <v/>
      </c>
      <c r="W115" s="121" t="str">
        <f>IF($D115="","",IFERROR(VLOOKUP($B115,Kraftvärmeprod!$B$1:$BX$549,MATCH(W$2,Kraftvärmeprod!$B$1:$VX$1,0),FALSE)/1,0)-IFERROR(VLOOKUP($B115,'Slutlig allokering kvv'!$B$2:$BX$549,MATCH(W$2,'Slutlig allokering kvv'!$B$1:$BX$1,0),FALSE)/1,0))</f>
        <v/>
      </c>
      <c r="X115" s="121" t="str">
        <f>IF($D115="","",IFERROR(VLOOKUP($B115,Kraftvärmeprod!$B$1:$BX$549,MATCH(X$2,Kraftvärmeprod!$B$1:$VX$1,0),FALSE)/1,0)-IFERROR(VLOOKUP($B115,'Slutlig allokering kvv'!$B$2:$BX$549,MATCH(X$2,'Slutlig allokering kvv'!$B$1:$BX$1,0),FALSE)/1,0))</f>
        <v/>
      </c>
      <c r="Y115" s="121" t="str">
        <f>IF($D115="","",IFERROR(VLOOKUP($B115,Kraftvärmeprod!$B$1:$BX$549,MATCH(Y$2,Kraftvärmeprod!$B$1:$VX$1,0),FALSE)/1,0)-IFERROR(VLOOKUP($B115,'Slutlig allokering kvv'!$B$2:$BX$549,MATCH(Y$2,'Slutlig allokering kvv'!$B$1:$BX$1,0),FALSE)/1,0))</f>
        <v/>
      </c>
      <c r="Z115" s="121" t="str">
        <f>IF($D115="","",IFERROR(VLOOKUP($B115,Kraftvärmeprod!$B$1:$BX$549,MATCH(Z$2,Kraftvärmeprod!$B$1:$VX$1,0),FALSE)/1,0)-IFERROR(VLOOKUP($B115,'Slutlig allokering kvv'!$B$2:$BX$549,MATCH(Z$2,'Slutlig allokering kvv'!$B$1:$BX$1,0),FALSE)/1,0))</f>
        <v/>
      </c>
      <c r="AA115" s="121" t="str">
        <f>IF($D115="","",IFERROR(VLOOKUP($B115,Kraftvärmeprod!$B$1:$BX$549,MATCH(AA$2,Kraftvärmeprod!$B$1:$VX$1,0),FALSE)/1,0)-IFERROR(VLOOKUP($B115,'Slutlig allokering kvv'!$B$2:$BX$549,MATCH(AA$2,'Slutlig allokering kvv'!$B$1:$BX$1,0),FALSE)/1,0))</f>
        <v/>
      </c>
      <c r="AB115" s="121" t="str">
        <f>IF($D115="","",IFERROR(VLOOKUP($B115,Kraftvärmeprod!$B$1:$BX$549,MATCH(AB$2,Kraftvärmeprod!$B$1:$VX$1,0),FALSE)/1,0)-IFERROR(VLOOKUP($B115,'Slutlig allokering kvv'!$B$2:$BX$549,MATCH(AB$2,'Slutlig allokering kvv'!$B$1:$BX$1,0),FALSE)/1,0))</f>
        <v/>
      </c>
      <c r="AC115" s="121" t="str">
        <f>IF($D115="","",IFERROR(VLOOKUP($B115,Kraftvärmeprod!$B$1:$BX$549,MATCH(AC$2,Kraftvärmeprod!$B$1:$VX$1,0),FALSE)/1,0)-IFERROR(VLOOKUP($B115,'Slutlig allokering kvv'!$B$2:$BX$549,MATCH(AC$2,'Slutlig allokering kvv'!$B$1:$BX$1,0),FALSE)/1,0))</f>
        <v/>
      </c>
      <c r="AD115" s="121" t="str">
        <f>IF($D115="","",IFERROR(VLOOKUP($B115,Kraftvärmeprod!$B$1:$BX$549,MATCH(AD$2,Kraftvärmeprod!$B$1:$VX$1,0),FALSE)/1,0)-IFERROR(VLOOKUP($B115,'Slutlig allokering kvv'!$B$2:$BX$549,MATCH(AD$2,'Slutlig allokering kvv'!$B$1:$BX$1,0),FALSE)/1,0))</f>
        <v/>
      </c>
      <c r="AE115" s="121" t="str">
        <f>IF($D115="","",IFERROR(VLOOKUP($B115,Miljö!$B$1:$E$550,MATCH("Hjälpel kraftvärme (GWh)",Miljö!$B$1:$E$1,0),FALSE)/1,0)-IFERROR(VLOOKUP($B115,'Slutlig allokering kvv'!$B$2:$BX$549,MATCH(AE$2,'Slutlig allokering kvv'!$B$1:$BX$1,0),FALSE)/1,0))</f>
        <v/>
      </c>
      <c r="AI115" s="121">
        <f t="shared" si="4"/>
        <v>0</v>
      </c>
      <c r="AK115" s="121">
        <f>IFERROR(VLOOKUP($B115,'Slutlig allokering kvv'!$B$2:$AX$549,MATCH("Summa slutlig allokerad tillförd energi (utan hjälpel och rökgaskondensering):",'Slutlig allokering kvv'!$B$1:$AX$1,0),FALSE)/1,"")</f>
        <v>0</v>
      </c>
      <c r="AM115" s="172" t="str">
        <f>IFERROR(1-VLOOKUP($B115,'Slutlig allokering kvv'!$B$2:$AX$549,MATCH("Andel av bränsle i kvv som allokerats till värme, exklusive rökgaskondensering och hjälpel",'Slutlig allokering kvv'!$B$1:$AX$1,0),FALSE),"")</f>
        <v/>
      </c>
      <c r="AO115" s="172" t="str">
        <f t="shared" si="5"/>
        <v/>
      </c>
      <c r="AP115" s="173" t="str">
        <f t="shared" si="6"/>
        <v/>
      </c>
      <c r="AR115" s="172" t="str">
        <f t="shared" si="7"/>
        <v/>
      </c>
    </row>
    <row r="116" spans="1:44" x14ac:dyDescent="0.25">
      <c r="A116" s="171" t="str">
        <f>'Miljövärden för publ företag'!B118</f>
        <v>Jämtkraft AB</v>
      </c>
      <c r="B116" s="171" t="str">
        <f>'Miljövärden för publ företag'!C118</f>
        <v>Åre</v>
      </c>
      <c r="C116" s="121" t="str">
        <f>IFERROR(VLOOKUP($B116,Kraftvärmeprod!$B$1:$AH$478,MATCH(C$2,Kraftvärmeprod!$B$1:$AG$1,0),FALSE)/1,"")</f>
        <v/>
      </c>
      <c r="D116" s="121" t="str">
        <f>IFERROR(VLOOKUP($B116,Kraftvärmeprod!$B$1:$AH$478,MATCH(D$2,Kraftvärmeprod!$B$1:$AG$1,0),FALSE)/1,"")</f>
        <v/>
      </c>
      <c r="F116" s="121" t="str">
        <f>IF($D116="","",IFERROR(VLOOKUP($B116,Kraftvärmeprod!$B$1:$BX$549,MATCH(F$2,Kraftvärmeprod!$B$1:$VX$1,0),FALSE)/1,0)-IFERROR(VLOOKUP($B116,'Slutlig allokering kvv'!$B$2:$BX$549,MATCH(F$2,'Slutlig allokering kvv'!$B$1:$BX$1,0),FALSE)/1,0))</f>
        <v/>
      </c>
      <c r="G116" s="121" t="str">
        <f>IF($D116="","",IFERROR(VLOOKUP($B116,Kraftvärmeprod!$B$1:$BX$549,MATCH(G$2,Kraftvärmeprod!$B$1:$VX$1,0),FALSE)/1,0)-IFERROR(VLOOKUP($B116,'Slutlig allokering kvv'!$B$2:$BX$549,MATCH(G$2,'Slutlig allokering kvv'!$B$1:$BX$1,0),FALSE)/1,0))</f>
        <v/>
      </c>
      <c r="H116" s="121" t="str">
        <f>IF($D116="","",IFERROR(VLOOKUP($B116,Kraftvärmeprod!$B$1:$BX$549,MATCH(H$2,Kraftvärmeprod!$B$1:$VX$1,0),FALSE)/1,0)-IFERROR(VLOOKUP($B116,'Slutlig allokering kvv'!$B$2:$BX$549,MATCH(H$2,'Slutlig allokering kvv'!$B$1:$BX$1,0),FALSE)/1,0))</f>
        <v/>
      </c>
      <c r="I116" s="121" t="str">
        <f>IF($D116="","",IFERROR(VLOOKUP($B116,Kraftvärmeprod!$B$1:$BX$549,MATCH(I$2,Kraftvärmeprod!$B$1:$VX$1,0),FALSE)/1,0)-IFERROR(VLOOKUP($B116,'Slutlig allokering kvv'!$B$2:$BX$549,MATCH(I$2,'Slutlig allokering kvv'!$B$1:$BX$1,0),FALSE)/1,0))</f>
        <v/>
      </c>
      <c r="J116" s="121" t="str">
        <f>IF($D116="","",IFERROR(VLOOKUP($B116,Kraftvärmeprod!$B$1:$BX$549,MATCH(J$2,Kraftvärmeprod!$B$1:$VX$1,0),FALSE)/1,0)-IFERROR(VLOOKUP($B116,'Slutlig allokering kvv'!$B$2:$BX$549,MATCH(J$2,'Slutlig allokering kvv'!$B$1:$BX$1,0),FALSE)/1,0))</f>
        <v/>
      </c>
      <c r="K116" s="121" t="str">
        <f>IF($D116="","",IFERROR(VLOOKUP($B116,Kraftvärmeprod!$B$1:$BX$549,MATCH(K$2,Kraftvärmeprod!$B$1:$VX$1,0),FALSE)/1,0)-IFERROR(VLOOKUP($B116,'Slutlig allokering kvv'!$B$2:$BX$549,MATCH(K$2,'Slutlig allokering kvv'!$B$1:$BX$1,0),FALSE)/1,0))</f>
        <v/>
      </c>
      <c r="L116" s="121" t="str">
        <f>IF($D116="","",IFERROR(VLOOKUP($B116,Kraftvärmeprod!$B$1:$BX$549,MATCH(L$2,Kraftvärmeprod!$B$1:$VX$1,0),FALSE)/1,0)-IFERROR(VLOOKUP($B116,'Slutlig allokering kvv'!$B$2:$BX$549,MATCH(L$2,'Slutlig allokering kvv'!$B$1:$BX$1,0),FALSE)/1,0))</f>
        <v/>
      </c>
      <c r="M116" s="121" t="str">
        <f>IF($D116="","",IFERROR(VLOOKUP($B116,Kraftvärmeprod!$B$1:$BX$549,MATCH(M$2,Kraftvärmeprod!$B$1:$VX$1,0),FALSE)/1,0)-IFERROR(VLOOKUP($B116,'Slutlig allokering kvv'!$B$2:$BX$549,MATCH(M$2,'Slutlig allokering kvv'!$B$1:$BX$1,0),FALSE)/1,0))</f>
        <v/>
      </c>
      <c r="N116" s="121" t="str">
        <f>IF($D116="","",IFERROR(VLOOKUP($B116,Kraftvärmeprod!$B$1:$BX$549,MATCH(N$2,Kraftvärmeprod!$B$1:$VX$1,0),FALSE)/1,0)-IFERROR(VLOOKUP($B116,'Slutlig allokering kvv'!$B$2:$BX$549,MATCH(N$2,'Slutlig allokering kvv'!$B$1:$BX$1,0),FALSE)/1,0))</f>
        <v/>
      </c>
      <c r="O116" s="121" t="str">
        <f>IF($D116="","",IFERROR(VLOOKUP($B116,Kraftvärmeprod!$B$1:$BX$549,MATCH(O$2,Kraftvärmeprod!$B$1:$VX$1,0),FALSE)/1,0)-IFERROR(VLOOKUP($B116,'Slutlig allokering kvv'!$B$2:$BX$549,MATCH(O$2,'Slutlig allokering kvv'!$B$1:$BX$1,0),FALSE)/1,0))</f>
        <v/>
      </c>
      <c r="P116" s="121" t="str">
        <f>IF($D116="","",IFERROR(VLOOKUP($B116,Kraftvärmeprod!$B$1:$BX$549,MATCH(P$2,Kraftvärmeprod!$B$1:$VX$1,0),FALSE)/1,0)-IFERROR(VLOOKUP($B116,'Slutlig allokering kvv'!$B$2:$BX$549,MATCH(P$2,'Slutlig allokering kvv'!$B$1:$BX$1,0),FALSE)/1,0))</f>
        <v/>
      </c>
      <c r="Q116" s="121" t="str">
        <f>IF($D116="","",IFERROR(VLOOKUP($B116,Kraftvärmeprod!$B$1:$BX$549,MATCH(Q$2,Kraftvärmeprod!$B$1:$VX$1,0),FALSE)/1,0)-IFERROR(VLOOKUP($B116,'Slutlig allokering kvv'!$B$2:$BX$549,MATCH(Q$2,'Slutlig allokering kvv'!$B$1:$BX$1,0),FALSE)/1,0))</f>
        <v/>
      </c>
      <c r="R116" s="121" t="str">
        <f>IF($D116="","",IFERROR(VLOOKUP($B116,Kraftvärmeprod!$B$1:$BX$549,MATCH(R$2,Kraftvärmeprod!$B$1:$VX$1,0),FALSE)/1,0)-IFERROR(VLOOKUP($B116,'Slutlig allokering kvv'!$B$2:$BX$549,MATCH(R$2,'Slutlig allokering kvv'!$B$1:$BX$1,0),FALSE)/1,0))</f>
        <v/>
      </c>
      <c r="S116" s="121" t="str">
        <f>IF($D116="","",IFERROR(VLOOKUP($B116,Kraftvärmeprod!$B$1:$BX$549,MATCH(S$2,Kraftvärmeprod!$B$1:$VX$1,0),FALSE)/1,0)-IFERROR(VLOOKUP($B116,'Slutlig allokering kvv'!$B$2:$BX$549,MATCH(S$2,'Slutlig allokering kvv'!$B$1:$BX$1,0),FALSE)/1,0))</f>
        <v/>
      </c>
      <c r="T116" s="121" t="str">
        <f>IF($D116="","",IFERROR(VLOOKUP($B116,Kraftvärmeprod!$B$1:$BX$549,MATCH(T$2,Kraftvärmeprod!$B$1:$VX$1,0),FALSE)/1,0)-IFERROR(VLOOKUP($B116,'Slutlig allokering kvv'!$B$2:$BX$549,MATCH(T$2,'Slutlig allokering kvv'!$B$1:$BX$1,0),FALSE)/1,0))</f>
        <v/>
      </c>
      <c r="U116" s="121" t="str">
        <f>IF($D116="","",IFERROR(VLOOKUP($B116,Kraftvärmeprod!$B$1:$BX$549,MATCH(U$2,Kraftvärmeprod!$B$1:$VX$1,0),FALSE)/1,0)-IFERROR(VLOOKUP($B116,'Slutlig allokering kvv'!$B$2:$BX$549,MATCH(U$2,'Slutlig allokering kvv'!$B$1:$BX$1,0),FALSE)/1,0))</f>
        <v/>
      </c>
      <c r="V116" s="121" t="str">
        <f>IF($D116="","",IFERROR(VLOOKUP($B116,Kraftvärmeprod!$B$1:$BX$549,MATCH(V$2,Kraftvärmeprod!$B$1:$VX$1,0),FALSE)/1,0)-IFERROR(VLOOKUP($B116,'Slutlig allokering kvv'!$B$2:$BX$549,MATCH(V$2,'Slutlig allokering kvv'!$B$1:$BX$1,0),FALSE)/1,0))</f>
        <v/>
      </c>
      <c r="W116" s="121" t="str">
        <f>IF($D116="","",IFERROR(VLOOKUP($B116,Kraftvärmeprod!$B$1:$BX$549,MATCH(W$2,Kraftvärmeprod!$B$1:$VX$1,0),FALSE)/1,0)-IFERROR(VLOOKUP($B116,'Slutlig allokering kvv'!$B$2:$BX$549,MATCH(W$2,'Slutlig allokering kvv'!$B$1:$BX$1,0),FALSE)/1,0))</f>
        <v/>
      </c>
      <c r="X116" s="121" t="str">
        <f>IF($D116="","",IFERROR(VLOOKUP($B116,Kraftvärmeprod!$B$1:$BX$549,MATCH(X$2,Kraftvärmeprod!$B$1:$VX$1,0),FALSE)/1,0)-IFERROR(VLOOKUP($B116,'Slutlig allokering kvv'!$B$2:$BX$549,MATCH(X$2,'Slutlig allokering kvv'!$B$1:$BX$1,0),FALSE)/1,0))</f>
        <v/>
      </c>
      <c r="Y116" s="121" t="str">
        <f>IF($D116="","",IFERROR(VLOOKUP($B116,Kraftvärmeprod!$B$1:$BX$549,MATCH(Y$2,Kraftvärmeprod!$B$1:$VX$1,0),FALSE)/1,0)-IFERROR(VLOOKUP($B116,'Slutlig allokering kvv'!$B$2:$BX$549,MATCH(Y$2,'Slutlig allokering kvv'!$B$1:$BX$1,0),FALSE)/1,0))</f>
        <v/>
      </c>
      <c r="Z116" s="121" t="str">
        <f>IF($D116="","",IFERROR(VLOOKUP($B116,Kraftvärmeprod!$B$1:$BX$549,MATCH(Z$2,Kraftvärmeprod!$B$1:$VX$1,0),FALSE)/1,0)-IFERROR(VLOOKUP($B116,'Slutlig allokering kvv'!$B$2:$BX$549,MATCH(Z$2,'Slutlig allokering kvv'!$B$1:$BX$1,0),FALSE)/1,0))</f>
        <v/>
      </c>
      <c r="AA116" s="121" t="str">
        <f>IF($D116="","",IFERROR(VLOOKUP($B116,Kraftvärmeprod!$B$1:$BX$549,MATCH(AA$2,Kraftvärmeprod!$B$1:$VX$1,0),FALSE)/1,0)-IFERROR(VLOOKUP($B116,'Slutlig allokering kvv'!$B$2:$BX$549,MATCH(AA$2,'Slutlig allokering kvv'!$B$1:$BX$1,0),FALSE)/1,0))</f>
        <v/>
      </c>
      <c r="AB116" s="121" t="str">
        <f>IF($D116="","",IFERROR(VLOOKUP($B116,Kraftvärmeprod!$B$1:$BX$549,MATCH(AB$2,Kraftvärmeprod!$B$1:$VX$1,0),FALSE)/1,0)-IFERROR(VLOOKUP($B116,'Slutlig allokering kvv'!$B$2:$BX$549,MATCH(AB$2,'Slutlig allokering kvv'!$B$1:$BX$1,0),FALSE)/1,0))</f>
        <v/>
      </c>
      <c r="AC116" s="121" t="str">
        <f>IF($D116="","",IFERROR(VLOOKUP($B116,Kraftvärmeprod!$B$1:$BX$549,MATCH(AC$2,Kraftvärmeprod!$B$1:$VX$1,0),FALSE)/1,0)-IFERROR(VLOOKUP($B116,'Slutlig allokering kvv'!$B$2:$BX$549,MATCH(AC$2,'Slutlig allokering kvv'!$B$1:$BX$1,0),FALSE)/1,0))</f>
        <v/>
      </c>
      <c r="AD116" s="121" t="str">
        <f>IF($D116="","",IFERROR(VLOOKUP($B116,Kraftvärmeprod!$B$1:$BX$549,MATCH(AD$2,Kraftvärmeprod!$B$1:$VX$1,0),FALSE)/1,0)-IFERROR(VLOOKUP($B116,'Slutlig allokering kvv'!$B$2:$BX$549,MATCH(AD$2,'Slutlig allokering kvv'!$B$1:$BX$1,0),FALSE)/1,0))</f>
        <v/>
      </c>
      <c r="AE116" s="121" t="str">
        <f>IF($D116="","",IFERROR(VLOOKUP($B116,Miljö!$B$1:$E$550,MATCH("Hjälpel kraftvärme (GWh)",Miljö!$B$1:$E$1,0),FALSE)/1,0)-IFERROR(VLOOKUP($B116,'Slutlig allokering kvv'!$B$2:$BX$549,MATCH(AE$2,'Slutlig allokering kvv'!$B$1:$BX$1,0),FALSE)/1,0))</f>
        <v/>
      </c>
      <c r="AI116" s="121">
        <f t="shared" si="4"/>
        <v>0</v>
      </c>
      <c r="AK116" s="121">
        <f>IFERROR(VLOOKUP($B116,'Slutlig allokering kvv'!$B$2:$AX$549,MATCH("Summa slutlig allokerad tillförd energi (utan hjälpel och rökgaskondensering):",'Slutlig allokering kvv'!$B$1:$AX$1,0),FALSE)/1,"")</f>
        <v>0</v>
      </c>
      <c r="AM116" s="172" t="str">
        <f>IFERROR(1-VLOOKUP($B116,'Slutlig allokering kvv'!$B$2:$AX$549,MATCH("Andel av bränsle i kvv som allokerats till värme, exklusive rökgaskondensering och hjälpel",'Slutlig allokering kvv'!$B$1:$AX$1,0),FALSE),"")</f>
        <v/>
      </c>
      <c r="AO116" s="172" t="str">
        <f t="shared" si="5"/>
        <v/>
      </c>
      <c r="AP116" s="173" t="str">
        <f t="shared" si="6"/>
        <v/>
      </c>
      <c r="AR116" s="172" t="str">
        <f t="shared" si="7"/>
        <v/>
      </c>
    </row>
    <row r="117" spans="1:44" x14ac:dyDescent="0.25">
      <c r="A117" s="171" t="str">
        <f>'Miljövärden för publ företag'!B119</f>
        <v>Jämtkraft AB</v>
      </c>
      <c r="B117" s="171" t="str">
        <f>'Miljövärden för publ företag'!C119</f>
        <v>Östersund</v>
      </c>
      <c r="C117" s="121">
        <f>IFERROR(VLOOKUP($B117,Kraftvärmeprod!$B$1:$AH$478,MATCH(C$2,Kraftvärmeprod!$B$1:$AG$1,0),FALSE)/1,"")</f>
        <v>375</v>
      </c>
      <c r="D117" s="121">
        <f>IFERROR(VLOOKUP($B117,Kraftvärmeprod!$B$1:$AH$478,MATCH(D$2,Kraftvärmeprod!$B$1:$AG$1,0),FALSE)/1,"")</f>
        <v>189</v>
      </c>
      <c r="F117" s="121">
        <f>IF($D117="","",IFERROR(VLOOKUP($B117,Kraftvärmeprod!$B$1:$BX$549,MATCH(F$2,Kraftvärmeprod!$B$1:$VX$1,0),FALSE)/1,0)-IFERROR(VLOOKUP($B117,'Slutlig allokering kvv'!$B$2:$BX$549,MATCH(F$2,'Slutlig allokering kvv'!$B$1:$BX$1,0),FALSE)/1,0))</f>
        <v>0</v>
      </c>
      <c r="G117" s="121">
        <f>IF($D117="","",IFERROR(VLOOKUP($B117,Kraftvärmeprod!$B$1:$BX$549,MATCH(G$2,Kraftvärmeprod!$B$1:$VX$1,0),FALSE)/1,0)-IFERROR(VLOOKUP($B117,'Slutlig allokering kvv'!$B$2:$BX$549,MATCH(G$2,'Slutlig allokering kvv'!$B$1:$BX$1,0),FALSE)/1,0))</f>
        <v>0</v>
      </c>
      <c r="H117" s="121">
        <f>IF($D117="","",IFERROR(VLOOKUP($B117,Kraftvärmeprod!$B$1:$BX$549,MATCH(H$2,Kraftvärmeprod!$B$1:$VX$1,0),FALSE)/1,0)-IFERROR(VLOOKUP($B117,'Slutlig allokering kvv'!$B$2:$BX$549,MATCH(H$2,'Slutlig allokering kvv'!$B$1:$BX$1,0),FALSE)/1,0))</f>
        <v>0</v>
      </c>
      <c r="I117" s="121">
        <f>IF($D117="","",IFERROR(VLOOKUP($B117,Kraftvärmeprod!$B$1:$BX$549,MATCH(I$2,Kraftvärmeprod!$B$1:$VX$1,0),FALSE)/1,0)-IFERROR(VLOOKUP($B117,'Slutlig allokering kvv'!$B$2:$BX$549,MATCH(I$2,'Slutlig allokering kvv'!$B$1:$BX$1,0),FALSE)/1,0))</f>
        <v>0</v>
      </c>
      <c r="J117" s="121">
        <f>IF($D117="","",IFERROR(VLOOKUP($B117,Kraftvärmeprod!$B$1:$BX$549,MATCH(J$2,Kraftvärmeprod!$B$1:$VX$1,0),FALSE)/1,0)-IFERROR(VLOOKUP($B117,'Slutlig allokering kvv'!$B$2:$BX$549,MATCH(J$2,'Slutlig allokering kvv'!$B$1:$BX$1,0),FALSE)/1,0))</f>
        <v>0</v>
      </c>
      <c r="K117" s="121">
        <f>IF($D117="","",IFERROR(VLOOKUP($B117,Kraftvärmeprod!$B$1:$BX$549,MATCH(K$2,Kraftvärmeprod!$B$1:$VX$1,0),FALSE)/1,0)-IFERROR(VLOOKUP($B117,'Slutlig allokering kvv'!$B$2:$BX$549,MATCH(K$2,'Slutlig allokering kvv'!$B$1:$BX$1,0),FALSE)/1,0))</f>
        <v>0</v>
      </c>
      <c r="L117" s="121">
        <f>IF($D117="","",IFERROR(VLOOKUP($B117,Kraftvärmeprod!$B$1:$BX$549,MATCH(L$2,Kraftvärmeprod!$B$1:$VX$1,0),FALSE)/1,0)-IFERROR(VLOOKUP($B117,'Slutlig allokering kvv'!$B$2:$BX$549,MATCH(L$2,'Slutlig allokering kvv'!$B$1:$BX$1,0),FALSE)/1,0))</f>
        <v>14.704599999999999</v>
      </c>
      <c r="M117" s="121">
        <f>IF($D117="","",IFERROR(VLOOKUP($B117,Kraftvärmeprod!$B$1:$BX$549,MATCH(M$2,Kraftvärmeprod!$B$1:$VX$1,0),FALSE)/1,0)-IFERROR(VLOOKUP($B117,'Slutlig allokering kvv'!$B$2:$BX$549,MATCH(M$2,'Slutlig allokering kvv'!$B$1:$BX$1,0),FALSE)/1,0))</f>
        <v>63.814600000000006</v>
      </c>
      <c r="N117" s="121">
        <f>IF($D117="","",IFERROR(VLOOKUP($B117,Kraftvärmeprod!$B$1:$BX$549,MATCH(N$2,Kraftvärmeprod!$B$1:$VX$1,0),FALSE)/1,0)-IFERROR(VLOOKUP($B117,'Slutlig allokering kvv'!$B$2:$BX$549,MATCH(N$2,'Slutlig allokering kvv'!$B$1:$BX$1,0),FALSE)/1,0))</f>
        <v>129.0487</v>
      </c>
      <c r="O117" s="121">
        <f>IF($D117="","",IFERROR(VLOOKUP($B117,Kraftvärmeprod!$B$1:$BX$549,MATCH(O$2,Kraftvärmeprod!$B$1:$VX$1,0),FALSE)/1,0)-IFERROR(VLOOKUP($B117,'Slutlig allokering kvv'!$B$2:$BX$549,MATCH(O$2,'Slutlig allokering kvv'!$B$1:$BX$1,0),FALSE)/1,0))</f>
        <v>62.111400000000003</v>
      </c>
      <c r="P117" s="121">
        <f>IF($D117="","",IFERROR(VLOOKUP($B117,Kraftvärmeprod!$B$1:$BX$549,MATCH(P$2,Kraftvärmeprod!$B$1:$VX$1,0),FALSE)/1,0)-IFERROR(VLOOKUP($B117,'Slutlig allokering kvv'!$B$2:$BX$549,MATCH(P$2,'Slutlig allokering kvv'!$B$1:$BX$1,0),FALSE)/1,0))</f>
        <v>0</v>
      </c>
      <c r="Q117" s="121">
        <f>IF($D117="","",IFERROR(VLOOKUP($B117,Kraftvärmeprod!$B$1:$BX$549,MATCH(Q$2,Kraftvärmeprod!$B$1:$VX$1,0),FALSE)/1,0)-IFERROR(VLOOKUP($B117,'Slutlig allokering kvv'!$B$2:$BX$549,MATCH(Q$2,'Slutlig allokering kvv'!$B$1:$BX$1,0),FALSE)/1,0))</f>
        <v>0</v>
      </c>
      <c r="R117" s="121">
        <f>IF($D117="","",IFERROR(VLOOKUP($B117,Kraftvärmeprod!$B$1:$BX$549,MATCH(R$2,Kraftvärmeprod!$B$1:$VX$1,0),FALSE)/1,0)-IFERROR(VLOOKUP($B117,'Slutlig allokering kvv'!$B$2:$BX$549,MATCH(R$2,'Slutlig allokering kvv'!$B$1:$BX$1,0),FALSE)/1,0))</f>
        <v>0</v>
      </c>
      <c r="S117" s="121">
        <f>IF($D117="","",IFERROR(VLOOKUP($B117,Kraftvärmeprod!$B$1:$BX$549,MATCH(S$2,Kraftvärmeprod!$B$1:$VX$1,0),FALSE)/1,0)-IFERROR(VLOOKUP($B117,'Slutlig allokering kvv'!$B$2:$BX$549,MATCH(S$2,'Slutlig allokering kvv'!$B$1:$BX$1,0),FALSE)/1,0))</f>
        <v>0</v>
      </c>
      <c r="T117" s="121">
        <f>IF($D117="","",IFERROR(VLOOKUP($B117,Kraftvärmeprod!$B$1:$BX$549,MATCH(T$2,Kraftvärmeprod!$B$1:$VX$1,0),FALSE)/1,0)-IFERROR(VLOOKUP($B117,'Slutlig allokering kvv'!$B$2:$BX$549,MATCH(T$2,'Slutlig allokering kvv'!$B$1:$BX$1,0),FALSE)/1,0))</f>
        <v>0</v>
      </c>
      <c r="U117" s="121">
        <f>IF($D117="","",IFERROR(VLOOKUP($B117,Kraftvärmeprod!$B$1:$BX$549,MATCH(U$2,Kraftvärmeprod!$B$1:$VX$1,0),FALSE)/1,0)-IFERROR(VLOOKUP($B117,'Slutlig allokering kvv'!$B$2:$BX$549,MATCH(U$2,'Slutlig allokering kvv'!$B$1:$BX$1,0),FALSE)/1,0))</f>
        <v>0</v>
      </c>
      <c r="V117" s="121">
        <f>IF($D117="","",IFERROR(VLOOKUP($B117,Kraftvärmeprod!$B$1:$BX$549,MATCH(V$2,Kraftvärmeprod!$B$1:$VX$1,0),FALSE)/1,0)-IFERROR(VLOOKUP($B117,'Slutlig allokering kvv'!$B$2:$BX$549,MATCH(V$2,'Slutlig allokering kvv'!$B$1:$BX$1,0),FALSE)/1,0))</f>
        <v>87.092200000000005</v>
      </c>
      <c r="W117" s="121">
        <f>IF($D117="","",IFERROR(VLOOKUP($B117,Kraftvärmeprod!$B$1:$BX$549,MATCH(W$2,Kraftvärmeprod!$B$1:$VX$1,0),FALSE)/1,0)-IFERROR(VLOOKUP($B117,'Slutlig allokering kvv'!$B$2:$BX$549,MATCH(W$2,'Slutlig allokering kvv'!$B$1:$BX$1,0),FALSE)/1,0))</f>
        <v>0</v>
      </c>
      <c r="X117" s="121">
        <f>IF($D117="","",IFERROR(VLOOKUP($B117,Kraftvärmeprod!$B$1:$BX$549,MATCH(X$2,Kraftvärmeprod!$B$1:$VX$1,0),FALSE)/1,0)-IFERROR(VLOOKUP($B117,'Slutlig allokering kvv'!$B$2:$BX$549,MATCH(X$2,'Slutlig allokering kvv'!$B$1:$BX$1,0),FALSE)/1,0))</f>
        <v>0</v>
      </c>
      <c r="Y117" s="121">
        <f>IF($D117="","",IFERROR(VLOOKUP($B117,Kraftvärmeprod!$B$1:$BX$549,MATCH(Y$2,Kraftvärmeprod!$B$1:$VX$1,0),FALSE)/1,0)-IFERROR(VLOOKUP($B117,'Slutlig allokering kvv'!$B$2:$BX$549,MATCH(Y$2,'Slutlig allokering kvv'!$B$1:$BX$1,0),FALSE)/1,0))</f>
        <v>0</v>
      </c>
      <c r="Z117" s="121">
        <f>IF($D117="","",IFERROR(VLOOKUP($B117,Kraftvärmeprod!$B$1:$BX$549,MATCH(Z$2,Kraftvärmeprod!$B$1:$VX$1,0),FALSE)/1,0)-IFERROR(VLOOKUP($B117,'Slutlig allokering kvv'!$B$2:$BX$549,MATCH(Z$2,'Slutlig allokering kvv'!$B$1:$BX$1,0),FALSE)/1,0))</f>
        <v>28.529600000000002</v>
      </c>
      <c r="AA117" s="121">
        <f>IF($D117="","",IFERROR(VLOOKUP($B117,Kraftvärmeprod!$B$1:$BX$549,MATCH(AA$2,Kraftvärmeprod!$B$1:$VX$1,0),FALSE)/1,0)-IFERROR(VLOOKUP($B117,'Slutlig allokering kvv'!$B$2:$BX$549,MATCH(AA$2,'Slutlig allokering kvv'!$B$1:$BX$1,0),FALSE)/1,0))</f>
        <v>0</v>
      </c>
      <c r="AB117" s="121">
        <f>IF($D117="","",IFERROR(VLOOKUP($B117,Kraftvärmeprod!$B$1:$BX$549,MATCH(AB$2,Kraftvärmeprod!$B$1:$VX$1,0),FALSE)/1,0)-IFERROR(VLOOKUP($B117,'Slutlig allokering kvv'!$B$2:$BX$549,MATCH(AB$2,'Slutlig allokering kvv'!$B$1:$BX$1,0),FALSE)/1,0))</f>
        <v>0</v>
      </c>
      <c r="AC117" s="121">
        <f>IF($D117="","",IFERROR(VLOOKUP($B117,Kraftvärmeprod!$B$1:$BX$549,MATCH(AC$2,Kraftvärmeprod!$B$1:$VX$1,0),FALSE)/1,0)-IFERROR(VLOOKUP($B117,'Slutlig allokering kvv'!$B$2:$BX$549,MATCH(AC$2,'Slutlig allokering kvv'!$B$1:$BX$1,0),FALSE)/1,0))</f>
        <v>0</v>
      </c>
      <c r="AD117" s="121">
        <f>IF($D117="","",IFERROR(VLOOKUP($B117,Kraftvärmeprod!$B$1:$BX$549,MATCH(AD$2,Kraftvärmeprod!$B$1:$VX$1,0),FALSE)/1,0)-IFERROR(VLOOKUP($B117,'Slutlig allokering kvv'!$B$2:$BX$549,MATCH(AD$2,'Slutlig allokering kvv'!$B$1:$BX$1,0),FALSE)/1,0))</f>
        <v>0</v>
      </c>
      <c r="AE117" s="121">
        <f>IF($D117="","",IFERROR(VLOOKUP($B117,Miljö!$B$1:$E$550,MATCH("Hjälpel kraftvärme (GWh)",Miljö!$B$1:$E$1,0),FALSE)/1,0)-IFERROR(VLOOKUP($B117,'Slutlig allokering kvv'!$B$2:$BX$549,MATCH(AE$2,'Slutlig allokering kvv'!$B$1:$BX$1,0),FALSE)/1,0))</f>
        <v>0</v>
      </c>
      <c r="AI117" s="121">
        <f t="shared" si="4"/>
        <v>385.30110000000002</v>
      </c>
      <c r="AK117" s="121">
        <f>IFERROR(VLOOKUP($B117,'Slutlig allokering kvv'!$B$2:$AX$549,MATCH("Summa slutlig allokerad tillförd energi (utan hjälpel och rökgaskondensering):",'Slutlig allokering kvv'!$B$1:$AX$1,0),FALSE)/1,"")</f>
        <v>297.2989</v>
      </c>
      <c r="AM117" s="172">
        <f>IFERROR(1-VLOOKUP($B117,'Slutlig allokering kvv'!$B$2:$AX$549,MATCH("Andel av bränsle i kvv som allokerats till värme, exklusive rökgaskondensering och hjälpel",'Slutlig allokering kvv'!$B$1:$AX$1,0),FALSE),"")</f>
        <v>0.5644610313507179</v>
      </c>
      <c r="AO117" s="172">
        <f t="shared" si="5"/>
        <v>0.5644610313507179</v>
      </c>
      <c r="AP117" s="173">
        <f t="shared" si="6"/>
        <v>0</v>
      </c>
      <c r="AR117" s="172">
        <f t="shared" si="7"/>
        <v>0.49052546177521938</v>
      </c>
    </row>
    <row r="118" spans="1:44" x14ac:dyDescent="0.25">
      <c r="A118" s="171" t="str">
        <f>'Miljövärden för publ företag'!B120</f>
        <v>Jämtlands Värme AB</v>
      </c>
      <c r="B118" s="171" t="str">
        <f>'Miljövärden för publ företag'!C120</f>
        <v>Strömsund</v>
      </c>
      <c r="C118" s="121" t="str">
        <f>IFERROR(VLOOKUP($B118,Kraftvärmeprod!$B$1:$AH$478,MATCH(C$2,Kraftvärmeprod!$B$1:$AG$1,0),FALSE)/1,"")</f>
        <v/>
      </c>
      <c r="D118" s="121" t="str">
        <f>IFERROR(VLOOKUP($B118,Kraftvärmeprod!$B$1:$AH$478,MATCH(D$2,Kraftvärmeprod!$B$1:$AG$1,0),FALSE)/1,"")</f>
        <v/>
      </c>
      <c r="F118" s="121" t="str">
        <f>IF($D118="","",IFERROR(VLOOKUP($B118,Kraftvärmeprod!$B$1:$BX$549,MATCH(F$2,Kraftvärmeprod!$B$1:$VX$1,0),FALSE)/1,0)-IFERROR(VLOOKUP($B118,'Slutlig allokering kvv'!$B$2:$BX$549,MATCH(F$2,'Slutlig allokering kvv'!$B$1:$BX$1,0),FALSE)/1,0))</f>
        <v/>
      </c>
      <c r="G118" s="121" t="str">
        <f>IF($D118="","",IFERROR(VLOOKUP($B118,Kraftvärmeprod!$B$1:$BX$549,MATCH(G$2,Kraftvärmeprod!$B$1:$VX$1,0),FALSE)/1,0)-IFERROR(VLOOKUP($B118,'Slutlig allokering kvv'!$B$2:$BX$549,MATCH(G$2,'Slutlig allokering kvv'!$B$1:$BX$1,0),FALSE)/1,0))</f>
        <v/>
      </c>
      <c r="H118" s="121" t="str">
        <f>IF($D118="","",IFERROR(VLOOKUP($B118,Kraftvärmeprod!$B$1:$BX$549,MATCH(H$2,Kraftvärmeprod!$B$1:$VX$1,0),FALSE)/1,0)-IFERROR(VLOOKUP($B118,'Slutlig allokering kvv'!$B$2:$BX$549,MATCH(H$2,'Slutlig allokering kvv'!$B$1:$BX$1,0),FALSE)/1,0))</f>
        <v/>
      </c>
      <c r="I118" s="121" t="str">
        <f>IF($D118="","",IFERROR(VLOOKUP($B118,Kraftvärmeprod!$B$1:$BX$549,MATCH(I$2,Kraftvärmeprod!$B$1:$VX$1,0),FALSE)/1,0)-IFERROR(VLOOKUP($B118,'Slutlig allokering kvv'!$B$2:$BX$549,MATCH(I$2,'Slutlig allokering kvv'!$B$1:$BX$1,0),FALSE)/1,0))</f>
        <v/>
      </c>
      <c r="J118" s="121" t="str">
        <f>IF($D118="","",IFERROR(VLOOKUP($B118,Kraftvärmeprod!$B$1:$BX$549,MATCH(J$2,Kraftvärmeprod!$B$1:$VX$1,0),FALSE)/1,0)-IFERROR(VLOOKUP($B118,'Slutlig allokering kvv'!$B$2:$BX$549,MATCH(J$2,'Slutlig allokering kvv'!$B$1:$BX$1,0),FALSE)/1,0))</f>
        <v/>
      </c>
      <c r="K118" s="121" t="str">
        <f>IF($D118="","",IFERROR(VLOOKUP($B118,Kraftvärmeprod!$B$1:$BX$549,MATCH(K$2,Kraftvärmeprod!$B$1:$VX$1,0),FALSE)/1,0)-IFERROR(VLOOKUP($B118,'Slutlig allokering kvv'!$B$2:$BX$549,MATCH(K$2,'Slutlig allokering kvv'!$B$1:$BX$1,0),FALSE)/1,0))</f>
        <v/>
      </c>
      <c r="L118" s="121" t="str">
        <f>IF($D118="","",IFERROR(VLOOKUP($B118,Kraftvärmeprod!$B$1:$BX$549,MATCH(L$2,Kraftvärmeprod!$B$1:$VX$1,0),FALSE)/1,0)-IFERROR(VLOOKUP($B118,'Slutlig allokering kvv'!$B$2:$BX$549,MATCH(L$2,'Slutlig allokering kvv'!$B$1:$BX$1,0),FALSE)/1,0))</f>
        <v/>
      </c>
      <c r="M118" s="121" t="str">
        <f>IF($D118="","",IFERROR(VLOOKUP($B118,Kraftvärmeprod!$B$1:$BX$549,MATCH(M$2,Kraftvärmeprod!$B$1:$VX$1,0),FALSE)/1,0)-IFERROR(VLOOKUP($B118,'Slutlig allokering kvv'!$B$2:$BX$549,MATCH(M$2,'Slutlig allokering kvv'!$B$1:$BX$1,0),FALSE)/1,0))</f>
        <v/>
      </c>
      <c r="N118" s="121" t="str">
        <f>IF($D118="","",IFERROR(VLOOKUP($B118,Kraftvärmeprod!$B$1:$BX$549,MATCH(N$2,Kraftvärmeprod!$B$1:$VX$1,0),FALSE)/1,0)-IFERROR(VLOOKUP($B118,'Slutlig allokering kvv'!$B$2:$BX$549,MATCH(N$2,'Slutlig allokering kvv'!$B$1:$BX$1,0),FALSE)/1,0))</f>
        <v/>
      </c>
      <c r="O118" s="121" t="str">
        <f>IF($D118="","",IFERROR(VLOOKUP($B118,Kraftvärmeprod!$B$1:$BX$549,MATCH(O$2,Kraftvärmeprod!$B$1:$VX$1,0),FALSE)/1,0)-IFERROR(VLOOKUP($B118,'Slutlig allokering kvv'!$B$2:$BX$549,MATCH(O$2,'Slutlig allokering kvv'!$B$1:$BX$1,0),FALSE)/1,0))</f>
        <v/>
      </c>
      <c r="P118" s="121" t="str">
        <f>IF($D118="","",IFERROR(VLOOKUP($B118,Kraftvärmeprod!$B$1:$BX$549,MATCH(P$2,Kraftvärmeprod!$B$1:$VX$1,0),FALSE)/1,0)-IFERROR(VLOOKUP($B118,'Slutlig allokering kvv'!$B$2:$BX$549,MATCH(P$2,'Slutlig allokering kvv'!$B$1:$BX$1,0),FALSE)/1,0))</f>
        <v/>
      </c>
      <c r="Q118" s="121" t="str">
        <f>IF($D118="","",IFERROR(VLOOKUP($B118,Kraftvärmeprod!$B$1:$BX$549,MATCH(Q$2,Kraftvärmeprod!$B$1:$VX$1,0),FALSE)/1,0)-IFERROR(VLOOKUP($B118,'Slutlig allokering kvv'!$B$2:$BX$549,MATCH(Q$2,'Slutlig allokering kvv'!$B$1:$BX$1,0),FALSE)/1,0))</f>
        <v/>
      </c>
      <c r="R118" s="121" t="str">
        <f>IF($D118="","",IFERROR(VLOOKUP($B118,Kraftvärmeprod!$B$1:$BX$549,MATCH(R$2,Kraftvärmeprod!$B$1:$VX$1,0),FALSE)/1,0)-IFERROR(VLOOKUP($B118,'Slutlig allokering kvv'!$B$2:$BX$549,MATCH(R$2,'Slutlig allokering kvv'!$B$1:$BX$1,0),FALSE)/1,0))</f>
        <v/>
      </c>
      <c r="S118" s="121" t="str">
        <f>IF($D118="","",IFERROR(VLOOKUP($B118,Kraftvärmeprod!$B$1:$BX$549,MATCH(S$2,Kraftvärmeprod!$B$1:$VX$1,0),FALSE)/1,0)-IFERROR(VLOOKUP($B118,'Slutlig allokering kvv'!$B$2:$BX$549,MATCH(S$2,'Slutlig allokering kvv'!$B$1:$BX$1,0),FALSE)/1,0))</f>
        <v/>
      </c>
      <c r="T118" s="121" t="str">
        <f>IF($D118="","",IFERROR(VLOOKUP($B118,Kraftvärmeprod!$B$1:$BX$549,MATCH(T$2,Kraftvärmeprod!$B$1:$VX$1,0),FALSE)/1,0)-IFERROR(VLOOKUP($B118,'Slutlig allokering kvv'!$B$2:$BX$549,MATCH(T$2,'Slutlig allokering kvv'!$B$1:$BX$1,0),FALSE)/1,0))</f>
        <v/>
      </c>
      <c r="U118" s="121" t="str">
        <f>IF($D118="","",IFERROR(VLOOKUP($B118,Kraftvärmeprod!$B$1:$BX$549,MATCH(U$2,Kraftvärmeprod!$B$1:$VX$1,0),FALSE)/1,0)-IFERROR(VLOOKUP($B118,'Slutlig allokering kvv'!$B$2:$BX$549,MATCH(U$2,'Slutlig allokering kvv'!$B$1:$BX$1,0),FALSE)/1,0))</f>
        <v/>
      </c>
      <c r="V118" s="121" t="str">
        <f>IF($D118="","",IFERROR(VLOOKUP($B118,Kraftvärmeprod!$B$1:$BX$549,MATCH(V$2,Kraftvärmeprod!$B$1:$VX$1,0),FALSE)/1,0)-IFERROR(VLOOKUP($B118,'Slutlig allokering kvv'!$B$2:$BX$549,MATCH(V$2,'Slutlig allokering kvv'!$B$1:$BX$1,0),FALSE)/1,0))</f>
        <v/>
      </c>
      <c r="W118" s="121" t="str">
        <f>IF($D118="","",IFERROR(VLOOKUP($B118,Kraftvärmeprod!$B$1:$BX$549,MATCH(W$2,Kraftvärmeprod!$B$1:$VX$1,0),FALSE)/1,0)-IFERROR(VLOOKUP($B118,'Slutlig allokering kvv'!$B$2:$BX$549,MATCH(W$2,'Slutlig allokering kvv'!$B$1:$BX$1,0),FALSE)/1,0))</f>
        <v/>
      </c>
      <c r="X118" s="121" t="str">
        <f>IF($D118="","",IFERROR(VLOOKUP($B118,Kraftvärmeprod!$B$1:$BX$549,MATCH(X$2,Kraftvärmeprod!$B$1:$VX$1,0),FALSE)/1,0)-IFERROR(VLOOKUP($B118,'Slutlig allokering kvv'!$B$2:$BX$549,MATCH(X$2,'Slutlig allokering kvv'!$B$1:$BX$1,0),FALSE)/1,0))</f>
        <v/>
      </c>
      <c r="Y118" s="121" t="str">
        <f>IF($D118="","",IFERROR(VLOOKUP($B118,Kraftvärmeprod!$B$1:$BX$549,MATCH(Y$2,Kraftvärmeprod!$B$1:$VX$1,0),FALSE)/1,0)-IFERROR(VLOOKUP($B118,'Slutlig allokering kvv'!$B$2:$BX$549,MATCH(Y$2,'Slutlig allokering kvv'!$B$1:$BX$1,0),FALSE)/1,0))</f>
        <v/>
      </c>
      <c r="Z118" s="121" t="str">
        <f>IF($D118="","",IFERROR(VLOOKUP($B118,Kraftvärmeprod!$B$1:$BX$549,MATCH(Z$2,Kraftvärmeprod!$B$1:$VX$1,0),FALSE)/1,0)-IFERROR(VLOOKUP($B118,'Slutlig allokering kvv'!$B$2:$BX$549,MATCH(Z$2,'Slutlig allokering kvv'!$B$1:$BX$1,0),FALSE)/1,0))</f>
        <v/>
      </c>
      <c r="AA118" s="121" t="str">
        <f>IF($D118="","",IFERROR(VLOOKUP($B118,Kraftvärmeprod!$B$1:$BX$549,MATCH(AA$2,Kraftvärmeprod!$B$1:$VX$1,0),FALSE)/1,0)-IFERROR(VLOOKUP($B118,'Slutlig allokering kvv'!$B$2:$BX$549,MATCH(AA$2,'Slutlig allokering kvv'!$B$1:$BX$1,0),FALSE)/1,0))</f>
        <v/>
      </c>
      <c r="AB118" s="121" t="str">
        <f>IF($D118="","",IFERROR(VLOOKUP($B118,Kraftvärmeprod!$B$1:$BX$549,MATCH(AB$2,Kraftvärmeprod!$B$1:$VX$1,0),FALSE)/1,0)-IFERROR(VLOOKUP($B118,'Slutlig allokering kvv'!$B$2:$BX$549,MATCH(AB$2,'Slutlig allokering kvv'!$B$1:$BX$1,0),FALSE)/1,0))</f>
        <v/>
      </c>
      <c r="AC118" s="121" t="str">
        <f>IF($D118="","",IFERROR(VLOOKUP($B118,Kraftvärmeprod!$B$1:$BX$549,MATCH(AC$2,Kraftvärmeprod!$B$1:$VX$1,0),FALSE)/1,0)-IFERROR(VLOOKUP($B118,'Slutlig allokering kvv'!$B$2:$BX$549,MATCH(AC$2,'Slutlig allokering kvv'!$B$1:$BX$1,0),FALSE)/1,0))</f>
        <v/>
      </c>
      <c r="AD118" s="121" t="str">
        <f>IF($D118="","",IFERROR(VLOOKUP($B118,Kraftvärmeprod!$B$1:$BX$549,MATCH(AD$2,Kraftvärmeprod!$B$1:$VX$1,0),FALSE)/1,0)-IFERROR(VLOOKUP($B118,'Slutlig allokering kvv'!$B$2:$BX$549,MATCH(AD$2,'Slutlig allokering kvv'!$B$1:$BX$1,0),FALSE)/1,0))</f>
        <v/>
      </c>
      <c r="AE118" s="121" t="str">
        <f>IF($D118="","",IFERROR(VLOOKUP($B118,Miljö!$B$1:$E$550,MATCH("Hjälpel kraftvärme (GWh)",Miljö!$B$1:$E$1,0),FALSE)/1,0)-IFERROR(VLOOKUP($B118,'Slutlig allokering kvv'!$B$2:$BX$549,MATCH(AE$2,'Slutlig allokering kvv'!$B$1:$BX$1,0),FALSE)/1,0))</f>
        <v/>
      </c>
      <c r="AI118" s="121">
        <f t="shared" si="4"/>
        <v>0</v>
      </c>
      <c r="AK118" s="121">
        <f>IFERROR(VLOOKUP($B118,'Slutlig allokering kvv'!$B$2:$AX$549,MATCH("Summa slutlig allokerad tillförd energi (utan hjälpel och rökgaskondensering):",'Slutlig allokering kvv'!$B$1:$AX$1,0),FALSE)/1,"")</f>
        <v>0</v>
      </c>
      <c r="AM118" s="172" t="str">
        <f>IFERROR(1-VLOOKUP($B118,'Slutlig allokering kvv'!$B$2:$AX$549,MATCH("Andel av bränsle i kvv som allokerats till värme, exklusive rökgaskondensering och hjälpel",'Slutlig allokering kvv'!$B$1:$AX$1,0),FALSE),"")</f>
        <v/>
      </c>
      <c r="AO118" s="172" t="str">
        <f t="shared" si="5"/>
        <v/>
      </c>
      <c r="AP118" s="173" t="str">
        <f t="shared" si="6"/>
        <v/>
      </c>
      <c r="AR118" s="172" t="str">
        <f t="shared" si="7"/>
        <v/>
      </c>
    </row>
    <row r="119" spans="1:44" x14ac:dyDescent="0.25">
      <c r="A119" s="171" t="str">
        <f>'Miljövärden för publ företag'!B121</f>
        <v>Jönköping Energi AB</v>
      </c>
      <c r="B119" s="171" t="str">
        <f>'Miljövärden för publ företag'!C121</f>
        <v>Gränna</v>
      </c>
      <c r="C119" s="121" t="str">
        <f>IFERROR(VLOOKUP($B119,Kraftvärmeprod!$B$1:$AH$478,MATCH(C$2,Kraftvärmeprod!$B$1:$AG$1,0),FALSE)/1,"")</f>
        <v/>
      </c>
      <c r="D119" s="121" t="str">
        <f>IFERROR(VLOOKUP($B119,Kraftvärmeprod!$B$1:$AH$478,MATCH(D$2,Kraftvärmeprod!$B$1:$AG$1,0),FALSE)/1,"")</f>
        <v/>
      </c>
      <c r="F119" s="121" t="str">
        <f>IF($D119="","",IFERROR(VLOOKUP($B119,Kraftvärmeprod!$B$1:$BX$549,MATCH(F$2,Kraftvärmeprod!$B$1:$VX$1,0),FALSE)/1,0)-IFERROR(VLOOKUP($B119,'Slutlig allokering kvv'!$B$2:$BX$549,MATCH(F$2,'Slutlig allokering kvv'!$B$1:$BX$1,0),FALSE)/1,0))</f>
        <v/>
      </c>
      <c r="G119" s="121" t="str">
        <f>IF($D119="","",IFERROR(VLOOKUP($B119,Kraftvärmeprod!$B$1:$BX$549,MATCH(G$2,Kraftvärmeprod!$B$1:$VX$1,0),FALSE)/1,0)-IFERROR(VLOOKUP($B119,'Slutlig allokering kvv'!$B$2:$BX$549,MATCH(G$2,'Slutlig allokering kvv'!$B$1:$BX$1,0),FALSE)/1,0))</f>
        <v/>
      </c>
      <c r="H119" s="121" t="str">
        <f>IF($D119="","",IFERROR(VLOOKUP($B119,Kraftvärmeprod!$B$1:$BX$549,MATCH(H$2,Kraftvärmeprod!$B$1:$VX$1,0),FALSE)/1,0)-IFERROR(VLOOKUP($B119,'Slutlig allokering kvv'!$B$2:$BX$549,MATCH(H$2,'Slutlig allokering kvv'!$B$1:$BX$1,0),FALSE)/1,0))</f>
        <v/>
      </c>
      <c r="I119" s="121" t="str">
        <f>IF($D119="","",IFERROR(VLOOKUP($B119,Kraftvärmeprod!$B$1:$BX$549,MATCH(I$2,Kraftvärmeprod!$B$1:$VX$1,0),FALSE)/1,0)-IFERROR(VLOOKUP($B119,'Slutlig allokering kvv'!$B$2:$BX$549,MATCH(I$2,'Slutlig allokering kvv'!$B$1:$BX$1,0),FALSE)/1,0))</f>
        <v/>
      </c>
      <c r="J119" s="121" t="str">
        <f>IF($D119="","",IFERROR(VLOOKUP($B119,Kraftvärmeprod!$B$1:$BX$549,MATCH(J$2,Kraftvärmeprod!$B$1:$VX$1,0),FALSE)/1,0)-IFERROR(VLOOKUP($B119,'Slutlig allokering kvv'!$B$2:$BX$549,MATCH(J$2,'Slutlig allokering kvv'!$B$1:$BX$1,0),FALSE)/1,0))</f>
        <v/>
      </c>
      <c r="K119" s="121" t="str">
        <f>IF($D119="","",IFERROR(VLOOKUP($B119,Kraftvärmeprod!$B$1:$BX$549,MATCH(K$2,Kraftvärmeprod!$B$1:$VX$1,0),FALSE)/1,0)-IFERROR(VLOOKUP($B119,'Slutlig allokering kvv'!$B$2:$BX$549,MATCH(K$2,'Slutlig allokering kvv'!$B$1:$BX$1,0),FALSE)/1,0))</f>
        <v/>
      </c>
      <c r="L119" s="121" t="str">
        <f>IF($D119="","",IFERROR(VLOOKUP($B119,Kraftvärmeprod!$B$1:$BX$549,MATCH(L$2,Kraftvärmeprod!$B$1:$VX$1,0),FALSE)/1,0)-IFERROR(VLOOKUP($B119,'Slutlig allokering kvv'!$B$2:$BX$549,MATCH(L$2,'Slutlig allokering kvv'!$B$1:$BX$1,0),FALSE)/1,0))</f>
        <v/>
      </c>
      <c r="M119" s="121" t="str">
        <f>IF($D119="","",IFERROR(VLOOKUP($B119,Kraftvärmeprod!$B$1:$BX$549,MATCH(M$2,Kraftvärmeprod!$B$1:$VX$1,0),FALSE)/1,0)-IFERROR(VLOOKUP($B119,'Slutlig allokering kvv'!$B$2:$BX$549,MATCH(M$2,'Slutlig allokering kvv'!$B$1:$BX$1,0),FALSE)/1,0))</f>
        <v/>
      </c>
      <c r="N119" s="121" t="str">
        <f>IF($D119="","",IFERROR(VLOOKUP($B119,Kraftvärmeprod!$B$1:$BX$549,MATCH(N$2,Kraftvärmeprod!$B$1:$VX$1,0),FALSE)/1,0)-IFERROR(VLOOKUP($B119,'Slutlig allokering kvv'!$B$2:$BX$549,MATCH(N$2,'Slutlig allokering kvv'!$B$1:$BX$1,0),FALSE)/1,0))</f>
        <v/>
      </c>
      <c r="O119" s="121" t="str">
        <f>IF($D119="","",IFERROR(VLOOKUP($B119,Kraftvärmeprod!$B$1:$BX$549,MATCH(O$2,Kraftvärmeprod!$B$1:$VX$1,0),FALSE)/1,0)-IFERROR(VLOOKUP($B119,'Slutlig allokering kvv'!$B$2:$BX$549,MATCH(O$2,'Slutlig allokering kvv'!$B$1:$BX$1,0),FALSE)/1,0))</f>
        <v/>
      </c>
      <c r="P119" s="121" t="str">
        <f>IF($D119="","",IFERROR(VLOOKUP($B119,Kraftvärmeprod!$B$1:$BX$549,MATCH(P$2,Kraftvärmeprod!$B$1:$VX$1,0),FALSE)/1,0)-IFERROR(VLOOKUP($B119,'Slutlig allokering kvv'!$B$2:$BX$549,MATCH(P$2,'Slutlig allokering kvv'!$B$1:$BX$1,0),FALSE)/1,0))</f>
        <v/>
      </c>
      <c r="Q119" s="121" t="str">
        <f>IF($D119="","",IFERROR(VLOOKUP($B119,Kraftvärmeprod!$B$1:$BX$549,MATCH(Q$2,Kraftvärmeprod!$B$1:$VX$1,0),FALSE)/1,0)-IFERROR(VLOOKUP($B119,'Slutlig allokering kvv'!$B$2:$BX$549,MATCH(Q$2,'Slutlig allokering kvv'!$B$1:$BX$1,0),FALSE)/1,0))</f>
        <v/>
      </c>
      <c r="R119" s="121" t="str">
        <f>IF($D119="","",IFERROR(VLOOKUP($B119,Kraftvärmeprod!$B$1:$BX$549,MATCH(R$2,Kraftvärmeprod!$B$1:$VX$1,0),FALSE)/1,0)-IFERROR(VLOOKUP($B119,'Slutlig allokering kvv'!$B$2:$BX$549,MATCH(R$2,'Slutlig allokering kvv'!$B$1:$BX$1,0),FALSE)/1,0))</f>
        <v/>
      </c>
      <c r="S119" s="121" t="str">
        <f>IF($D119="","",IFERROR(VLOOKUP($B119,Kraftvärmeprod!$B$1:$BX$549,MATCH(S$2,Kraftvärmeprod!$B$1:$VX$1,0),FALSE)/1,0)-IFERROR(VLOOKUP($B119,'Slutlig allokering kvv'!$B$2:$BX$549,MATCH(S$2,'Slutlig allokering kvv'!$B$1:$BX$1,0),FALSE)/1,0))</f>
        <v/>
      </c>
      <c r="T119" s="121" t="str">
        <f>IF($D119="","",IFERROR(VLOOKUP($B119,Kraftvärmeprod!$B$1:$BX$549,MATCH(T$2,Kraftvärmeprod!$B$1:$VX$1,0),FALSE)/1,0)-IFERROR(VLOOKUP($B119,'Slutlig allokering kvv'!$B$2:$BX$549,MATCH(T$2,'Slutlig allokering kvv'!$B$1:$BX$1,0),FALSE)/1,0))</f>
        <v/>
      </c>
      <c r="U119" s="121" t="str">
        <f>IF($D119="","",IFERROR(VLOOKUP($B119,Kraftvärmeprod!$B$1:$BX$549,MATCH(U$2,Kraftvärmeprod!$B$1:$VX$1,0),FALSE)/1,0)-IFERROR(VLOOKUP($B119,'Slutlig allokering kvv'!$B$2:$BX$549,MATCH(U$2,'Slutlig allokering kvv'!$B$1:$BX$1,0),FALSE)/1,0))</f>
        <v/>
      </c>
      <c r="V119" s="121" t="str">
        <f>IF($D119="","",IFERROR(VLOOKUP($B119,Kraftvärmeprod!$B$1:$BX$549,MATCH(V$2,Kraftvärmeprod!$B$1:$VX$1,0),FALSE)/1,0)-IFERROR(VLOOKUP($B119,'Slutlig allokering kvv'!$B$2:$BX$549,MATCH(V$2,'Slutlig allokering kvv'!$B$1:$BX$1,0),FALSE)/1,0))</f>
        <v/>
      </c>
      <c r="W119" s="121" t="str">
        <f>IF($D119="","",IFERROR(VLOOKUP($B119,Kraftvärmeprod!$B$1:$BX$549,MATCH(W$2,Kraftvärmeprod!$B$1:$VX$1,0),FALSE)/1,0)-IFERROR(VLOOKUP($B119,'Slutlig allokering kvv'!$B$2:$BX$549,MATCH(W$2,'Slutlig allokering kvv'!$B$1:$BX$1,0),FALSE)/1,0))</f>
        <v/>
      </c>
      <c r="X119" s="121" t="str">
        <f>IF($D119="","",IFERROR(VLOOKUP($B119,Kraftvärmeprod!$B$1:$BX$549,MATCH(X$2,Kraftvärmeprod!$B$1:$VX$1,0),FALSE)/1,0)-IFERROR(VLOOKUP($B119,'Slutlig allokering kvv'!$B$2:$BX$549,MATCH(X$2,'Slutlig allokering kvv'!$B$1:$BX$1,0),FALSE)/1,0))</f>
        <v/>
      </c>
      <c r="Y119" s="121" t="str">
        <f>IF($D119="","",IFERROR(VLOOKUP($B119,Kraftvärmeprod!$B$1:$BX$549,MATCH(Y$2,Kraftvärmeprod!$B$1:$VX$1,0),FALSE)/1,0)-IFERROR(VLOOKUP($B119,'Slutlig allokering kvv'!$B$2:$BX$549,MATCH(Y$2,'Slutlig allokering kvv'!$B$1:$BX$1,0),FALSE)/1,0))</f>
        <v/>
      </c>
      <c r="Z119" s="121" t="str">
        <f>IF($D119="","",IFERROR(VLOOKUP($B119,Kraftvärmeprod!$B$1:$BX$549,MATCH(Z$2,Kraftvärmeprod!$B$1:$VX$1,0),FALSE)/1,0)-IFERROR(VLOOKUP($B119,'Slutlig allokering kvv'!$B$2:$BX$549,MATCH(Z$2,'Slutlig allokering kvv'!$B$1:$BX$1,0),FALSE)/1,0))</f>
        <v/>
      </c>
      <c r="AA119" s="121" t="str">
        <f>IF($D119="","",IFERROR(VLOOKUP($B119,Kraftvärmeprod!$B$1:$BX$549,MATCH(AA$2,Kraftvärmeprod!$B$1:$VX$1,0),FALSE)/1,0)-IFERROR(VLOOKUP($B119,'Slutlig allokering kvv'!$B$2:$BX$549,MATCH(AA$2,'Slutlig allokering kvv'!$B$1:$BX$1,0),FALSE)/1,0))</f>
        <v/>
      </c>
      <c r="AB119" s="121" t="str">
        <f>IF($D119="","",IFERROR(VLOOKUP($B119,Kraftvärmeprod!$B$1:$BX$549,MATCH(AB$2,Kraftvärmeprod!$B$1:$VX$1,0),FALSE)/1,0)-IFERROR(VLOOKUP($B119,'Slutlig allokering kvv'!$B$2:$BX$549,MATCH(AB$2,'Slutlig allokering kvv'!$B$1:$BX$1,0),FALSE)/1,0))</f>
        <v/>
      </c>
      <c r="AC119" s="121" t="str">
        <f>IF($D119="","",IFERROR(VLOOKUP($B119,Kraftvärmeprod!$B$1:$BX$549,MATCH(AC$2,Kraftvärmeprod!$B$1:$VX$1,0),FALSE)/1,0)-IFERROR(VLOOKUP($B119,'Slutlig allokering kvv'!$B$2:$BX$549,MATCH(AC$2,'Slutlig allokering kvv'!$B$1:$BX$1,0),FALSE)/1,0))</f>
        <v/>
      </c>
      <c r="AD119" s="121" t="str">
        <f>IF($D119="","",IFERROR(VLOOKUP($B119,Kraftvärmeprod!$B$1:$BX$549,MATCH(AD$2,Kraftvärmeprod!$B$1:$VX$1,0),FALSE)/1,0)-IFERROR(VLOOKUP($B119,'Slutlig allokering kvv'!$B$2:$BX$549,MATCH(AD$2,'Slutlig allokering kvv'!$B$1:$BX$1,0),FALSE)/1,0))</f>
        <v/>
      </c>
      <c r="AE119" s="121" t="str">
        <f>IF($D119="","",IFERROR(VLOOKUP($B119,Miljö!$B$1:$E$550,MATCH("Hjälpel kraftvärme (GWh)",Miljö!$B$1:$E$1,0),FALSE)/1,0)-IFERROR(VLOOKUP($B119,'Slutlig allokering kvv'!$B$2:$BX$549,MATCH(AE$2,'Slutlig allokering kvv'!$B$1:$BX$1,0),FALSE)/1,0))</f>
        <v/>
      </c>
      <c r="AI119" s="121">
        <f t="shared" si="4"/>
        <v>0</v>
      </c>
      <c r="AK119" s="121">
        <f>IFERROR(VLOOKUP($B119,'Slutlig allokering kvv'!$B$2:$AX$549,MATCH("Summa slutlig allokerad tillförd energi (utan hjälpel och rökgaskondensering):",'Slutlig allokering kvv'!$B$1:$AX$1,0),FALSE)/1,"")</f>
        <v>0</v>
      </c>
      <c r="AM119" s="172" t="str">
        <f>IFERROR(1-VLOOKUP($B119,'Slutlig allokering kvv'!$B$2:$AX$549,MATCH("Andel av bränsle i kvv som allokerats till värme, exklusive rökgaskondensering och hjälpel",'Slutlig allokering kvv'!$B$1:$AX$1,0),FALSE),"")</f>
        <v/>
      </c>
      <c r="AO119" s="172" t="str">
        <f t="shared" si="5"/>
        <v/>
      </c>
      <c r="AP119" s="173" t="str">
        <f t="shared" si="6"/>
        <v/>
      </c>
      <c r="AR119" s="172" t="str">
        <f t="shared" si="7"/>
        <v/>
      </c>
    </row>
    <row r="120" spans="1:44" x14ac:dyDescent="0.25">
      <c r="A120" s="171" t="str">
        <f>'Miljövärden för publ företag'!B122</f>
        <v>Jönköping Energi AB</v>
      </c>
      <c r="B120" s="171" t="str">
        <f>'Miljövärden för publ företag'!C122</f>
        <v>Jönköping</v>
      </c>
      <c r="C120" s="121">
        <f>IFERROR(VLOOKUP($B120,Kraftvärmeprod!$B$1:$AH$478,MATCH(C$2,Kraftvärmeprod!$B$1:$AG$1,0),FALSE)/1,"")</f>
        <v>655</v>
      </c>
      <c r="D120" s="121">
        <f>IFERROR(VLOOKUP($B120,Kraftvärmeprod!$B$1:$AH$478,MATCH(D$2,Kraftvärmeprod!$B$1:$AG$1,0),FALSE)/1,"")</f>
        <v>231.4</v>
      </c>
      <c r="F120" s="121">
        <f>IF($D120="","",IFERROR(VLOOKUP($B120,Kraftvärmeprod!$B$1:$BX$549,MATCH(F$2,Kraftvärmeprod!$B$1:$VX$1,0),FALSE)/1,0)-IFERROR(VLOOKUP($B120,'Slutlig allokering kvv'!$B$2:$BX$549,MATCH(F$2,'Slutlig allokering kvv'!$B$1:$BX$1,0),FALSE)/1,0))</f>
        <v>0</v>
      </c>
      <c r="G120" s="121">
        <f>IF($D120="","",IFERROR(VLOOKUP($B120,Kraftvärmeprod!$B$1:$BX$549,MATCH(G$2,Kraftvärmeprod!$B$1:$VX$1,0),FALSE)/1,0)-IFERROR(VLOOKUP($B120,'Slutlig allokering kvv'!$B$2:$BX$549,MATCH(G$2,'Slutlig allokering kvv'!$B$1:$BX$1,0),FALSE)/1,0))</f>
        <v>0.86688000000000009</v>
      </c>
      <c r="H120" s="121">
        <f>IF($D120="","",IFERROR(VLOOKUP($B120,Kraftvärmeprod!$B$1:$BX$549,MATCH(H$2,Kraftvärmeprod!$B$1:$VX$1,0),FALSE)/1,0)-IFERROR(VLOOKUP($B120,'Slutlig allokering kvv'!$B$2:$BX$549,MATCH(H$2,'Slutlig allokering kvv'!$B$1:$BX$1,0),FALSE)/1,0))</f>
        <v>0</v>
      </c>
      <c r="I120" s="121">
        <f>IF($D120="","",IFERROR(VLOOKUP($B120,Kraftvärmeprod!$B$1:$BX$549,MATCH(I$2,Kraftvärmeprod!$B$1:$VX$1,0),FALSE)/1,0)-IFERROR(VLOOKUP($B120,'Slutlig allokering kvv'!$B$2:$BX$549,MATCH(I$2,'Slutlig allokering kvv'!$B$1:$BX$1,0),FALSE)/1,0))</f>
        <v>0</v>
      </c>
      <c r="J120" s="121">
        <f>IF($D120="","",IFERROR(VLOOKUP($B120,Kraftvärmeprod!$B$1:$BX$549,MATCH(J$2,Kraftvärmeprod!$B$1:$VX$1,0),FALSE)/1,0)-IFERROR(VLOOKUP($B120,'Slutlig allokering kvv'!$B$2:$BX$549,MATCH(J$2,'Slutlig allokering kvv'!$B$1:$BX$1,0),FALSE)/1,0))</f>
        <v>0</v>
      </c>
      <c r="K120" s="121">
        <f>IF($D120="","",IFERROR(VLOOKUP($B120,Kraftvärmeprod!$B$1:$BX$549,MATCH(K$2,Kraftvärmeprod!$B$1:$VX$1,0),FALSE)/1,0)-IFERROR(VLOOKUP($B120,'Slutlig allokering kvv'!$B$2:$BX$549,MATCH(K$2,'Slutlig allokering kvv'!$B$1:$BX$1,0),FALSE)/1,0))</f>
        <v>0</v>
      </c>
      <c r="L120" s="121">
        <f>IF($D120="","",IFERROR(VLOOKUP($B120,Kraftvärmeprod!$B$1:$BX$549,MATCH(L$2,Kraftvärmeprod!$B$1:$VX$1,0),FALSE)/1,0)-IFERROR(VLOOKUP($B120,'Slutlig allokering kvv'!$B$2:$BX$549,MATCH(L$2,'Slutlig allokering kvv'!$B$1:$BX$1,0),FALSE)/1,0))</f>
        <v>122.46000000000001</v>
      </c>
      <c r="M120" s="121">
        <f>IF($D120="","",IFERROR(VLOOKUP($B120,Kraftvärmeprod!$B$1:$BX$549,MATCH(M$2,Kraftvärmeprod!$B$1:$VX$1,0),FALSE)/1,0)-IFERROR(VLOOKUP($B120,'Slutlig allokering kvv'!$B$2:$BX$549,MATCH(M$2,'Slutlig allokering kvv'!$B$1:$BX$1,0),FALSE)/1,0))</f>
        <v>44.689800000000005</v>
      </c>
      <c r="N120" s="121">
        <f>IF($D120="","",IFERROR(VLOOKUP($B120,Kraftvärmeprod!$B$1:$BX$549,MATCH(N$2,Kraftvärmeprod!$B$1:$VX$1,0),FALSE)/1,0)-IFERROR(VLOOKUP($B120,'Slutlig allokering kvv'!$B$2:$BX$549,MATCH(N$2,'Slutlig allokering kvv'!$B$1:$BX$1,0),FALSE)/1,0))</f>
        <v>16.873100000000004</v>
      </c>
      <c r="O120" s="121">
        <f>IF($D120="","",IFERROR(VLOOKUP($B120,Kraftvärmeprod!$B$1:$BX$549,MATCH(O$2,Kraftvärmeprod!$B$1:$VX$1,0),FALSE)/1,0)-IFERROR(VLOOKUP($B120,'Slutlig allokering kvv'!$B$2:$BX$549,MATCH(O$2,'Slutlig allokering kvv'!$B$1:$BX$1,0),FALSE)/1,0))</f>
        <v>11.566699999999999</v>
      </c>
      <c r="P120" s="121">
        <f>IF($D120="","",IFERROR(VLOOKUP($B120,Kraftvärmeprod!$B$1:$BX$549,MATCH(P$2,Kraftvärmeprod!$B$1:$VX$1,0),FALSE)/1,0)-IFERROR(VLOOKUP($B120,'Slutlig allokering kvv'!$B$2:$BX$549,MATCH(P$2,'Slutlig allokering kvv'!$B$1:$BX$1,0),FALSE)/1,0))</f>
        <v>0</v>
      </c>
      <c r="Q120" s="121">
        <f>IF($D120="","",IFERROR(VLOOKUP($B120,Kraftvärmeprod!$B$1:$BX$549,MATCH(Q$2,Kraftvärmeprod!$B$1:$VX$1,0),FALSE)/1,0)-IFERROR(VLOOKUP($B120,'Slutlig allokering kvv'!$B$2:$BX$549,MATCH(Q$2,'Slutlig allokering kvv'!$B$1:$BX$1,0),FALSE)/1,0))</f>
        <v>32.816299999999991</v>
      </c>
      <c r="R120" s="121">
        <f>IF($D120="","",IFERROR(VLOOKUP($B120,Kraftvärmeprod!$B$1:$BX$549,MATCH(R$2,Kraftvärmeprod!$B$1:$VX$1,0),FALSE)/1,0)-IFERROR(VLOOKUP($B120,'Slutlig allokering kvv'!$B$2:$BX$549,MATCH(R$2,'Slutlig allokering kvv'!$B$1:$BX$1,0),FALSE)/1,0))</f>
        <v>0</v>
      </c>
      <c r="S120" s="121">
        <f>IF($D120="","",IFERROR(VLOOKUP($B120,Kraftvärmeprod!$B$1:$BX$549,MATCH(S$2,Kraftvärmeprod!$B$1:$VX$1,0),FALSE)/1,0)-IFERROR(VLOOKUP($B120,'Slutlig allokering kvv'!$B$2:$BX$549,MATCH(S$2,'Slutlig allokering kvv'!$B$1:$BX$1,0),FALSE)/1,0))</f>
        <v>0</v>
      </c>
      <c r="T120" s="121">
        <f>IF($D120="","",IFERROR(VLOOKUP($B120,Kraftvärmeprod!$B$1:$BX$549,MATCH(T$2,Kraftvärmeprod!$B$1:$VX$1,0),FALSE)/1,0)-IFERROR(VLOOKUP($B120,'Slutlig allokering kvv'!$B$2:$BX$549,MATCH(T$2,'Slutlig allokering kvv'!$B$1:$BX$1,0),FALSE)/1,0))</f>
        <v>0</v>
      </c>
      <c r="U120" s="121">
        <f>IF($D120="","",IFERROR(VLOOKUP($B120,Kraftvärmeprod!$B$1:$BX$549,MATCH(U$2,Kraftvärmeprod!$B$1:$VX$1,0),FALSE)/1,0)-IFERROR(VLOOKUP($B120,'Slutlig allokering kvv'!$B$2:$BX$549,MATCH(U$2,'Slutlig allokering kvv'!$B$1:$BX$1,0),FALSE)/1,0))</f>
        <v>0</v>
      </c>
      <c r="V120" s="121">
        <f>IF($D120="","",IFERROR(VLOOKUP($B120,Kraftvärmeprod!$B$1:$BX$549,MATCH(V$2,Kraftvärmeprod!$B$1:$VX$1,0),FALSE)/1,0)-IFERROR(VLOOKUP($B120,'Slutlig allokering kvv'!$B$2:$BX$549,MATCH(V$2,'Slutlig allokering kvv'!$B$1:$BX$1,0),FALSE)/1,0))</f>
        <v>0.76216600000000012</v>
      </c>
      <c r="W120" s="121">
        <f>IF($D120="","",IFERROR(VLOOKUP($B120,Kraftvärmeprod!$B$1:$BX$549,MATCH(W$2,Kraftvärmeprod!$B$1:$VX$1,0),FALSE)/1,0)-IFERROR(VLOOKUP($B120,'Slutlig allokering kvv'!$B$2:$BX$549,MATCH(W$2,'Slutlig allokering kvv'!$B$1:$BX$1,0),FALSE)/1,0))</f>
        <v>0</v>
      </c>
      <c r="X120" s="121">
        <f>IF($D120="","",IFERROR(VLOOKUP($B120,Kraftvärmeprod!$B$1:$BX$549,MATCH(X$2,Kraftvärmeprod!$B$1:$VX$1,0),FALSE)/1,0)-IFERROR(VLOOKUP($B120,'Slutlig allokering kvv'!$B$2:$BX$549,MATCH(X$2,'Slutlig allokering kvv'!$B$1:$BX$1,0),FALSE)/1,0))</f>
        <v>0</v>
      </c>
      <c r="Y120" s="121">
        <f>IF($D120="","",IFERROR(VLOOKUP($B120,Kraftvärmeprod!$B$1:$BX$549,MATCH(Y$2,Kraftvärmeprod!$B$1:$VX$1,0),FALSE)/1,0)-IFERROR(VLOOKUP($B120,'Slutlig allokering kvv'!$B$2:$BX$549,MATCH(Y$2,'Slutlig allokering kvv'!$B$1:$BX$1,0),FALSE)/1,0))</f>
        <v>0</v>
      </c>
      <c r="Z120" s="121">
        <f>IF($D120="","",IFERROR(VLOOKUP($B120,Kraftvärmeprod!$B$1:$BX$549,MATCH(Z$2,Kraftvärmeprod!$B$1:$VX$1,0),FALSE)/1,0)-IFERROR(VLOOKUP($B120,'Slutlig allokering kvv'!$B$2:$BX$549,MATCH(Z$2,'Slutlig allokering kvv'!$B$1:$BX$1,0),FALSE)/1,0))</f>
        <v>4.0198899999999993</v>
      </c>
      <c r="AA120" s="121">
        <f>IF($D120="","",IFERROR(VLOOKUP($B120,Kraftvärmeprod!$B$1:$BX$549,MATCH(AA$2,Kraftvärmeprod!$B$1:$VX$1,0),FALSE)/1,0)-IFERROR(VLOOKUP($B120,'Slutlig allokering kvv'!$B$2:$BX$549,MATCH(AA$2,'Slutlig allokering kvv'!$B$1:$BX$1,0),FALSE)/1,0))</f>
        <v>279.59299999999996</v>
      </c>
      <c r="AB120" s="121">
        <f>IF($D120="","",IFERROR(VLOOKUP($B120,Kraftvärmeprod!$B$1:$BX$549,MATCH(AB$2,Kraftvärmeprod!$B$1:$VX$1,0),FALSE)/1,0)-IFERROR(VLOOKUP($B120,'Slutlig allokering kvv'!$B$2:$BX$549,MATCH(AB$2,'Slutlig allokering kvv'!$B$1:$BX$1,0),FALSE)/1,0))</f>
        <v>0</v>
      </c>
      <c r="AC120" s="121">
        <f>IF($D120="","",IFERROR(VLOOKUP($B120,Kraftvärmeprod!$B$1:$BX$549,MATCH(AC$2,Kraftvärmeprod!$B$1:$VX$1,0),FALSE)/1,0)-IFERROR(VLOOKUP($B120,'Slutlig allokering kvv'!$B$2:$BX$549,MATCH(AC$2,'Slutlig allokering kvv'!$B$1:$BX$1,0),FALSE)/1,0))</f>
        <v>0</v>
      </c>
      <c r="AD120" s="121">
        <f>IF($D120="","",IFERROR(VLOOKUP($B120,Kraftvärmeprod!$B$1:$BX$549,MATCH(AD$2,Kraftvärmeprod!$B$1:$VX$1,0),FALSE)/1,0)-IFERROR(VLOOKUP($B120,'Slutlig allokering kvv'!$B$2:$BX$549,MATCH(AD$2,'Slutlig allokering kvv'!$B$1:$BX$1,0),FALSE)/1,0))</f>
        <v>0</v>
      </c>
      <c r="AE120" s="121">
        <f>IF($D120="","",IFERROR(VLOOKUP($B120,Miljö!$B$1:$E$550,MATCH("Hjälpel kraftvärme (GWh)",Miljö!$B$1:$E$1,0),FALSE)/1,0)-IFERROR(VLOOKUP($B120,'Slutlig allokering kvv'!$B$2:$BX$549,MATCH(AE$2,'Slutlig allokering kvv'!$B$1:$BX$1,0),FALSE)/1,0))</f>
        <v>17.002800000000001</v>
      </c>
      <c r="AI120" s="121">
        <f t="shared" si="4"/>
        <v>513.64783599999998</v>
      </c>
      <c r="AK120" s="121">
        <f>IFERROR(VLOOKUP($B120,'Slutlig allokering kvv'!$B$2:$AX$549,MATCH("Summa slutlig allokerad tillförd energi (utan hjälpel och rökgaskondensering):",'Slutlig allokering kvv'!$B$1:$AX$1,0),FALSE)/1,"")</f>
        <v>502.60216400000002</v>
      </c>
      <c r="AM120" s="172">
        <f>IFERROR(1-VLOOKUP($B120,'Slutlig allokering kvv'!$B$2:$AX$549,MATCH("Andel av bränsle i kvv som allokerats till värme, exklusive rökgaskondensering och hjälpel",'Slutlig allokering kvv'!$B$1:$AX$1,0),FALSE),"")</f>
        <v>0.50543452496924968</v>
      </c>
      <c r="AO120" s="172">
        <f t="shared" si="5"/>
        <v>0.50543452496924968</v>
      </c>
      <c r="AP120" s="173">
        <f t="shared" si="6"/>
        <v>0</v>
      </c>
      <c r="AR120" s="172">
        <f t="shared" si="7"/>
        <v>0.43606844937428857</v>
      </c>
    </row>
    <row r="121" spans="1:44" x14ac:dyDescent="0.25">
      <c r="A121" s="171" t="str">
        <f>'Miljövärden för publ företag'!B123</f>
        <v>Jönköping Energi AB</v>
      </c>
      <c r="B121" s="171" t="str">
        <f>'Miljövärden för publ företag'!C123</f>
        <v>Stigamo</v>
      </c>
      <c r="C121" s="121" t="str">
        <f>IFERROR(VLOOKUP($B121,Kraftvärmeprod!$B$1:$AH$478,MATCH(C$2,Kraftvärmeprod!$B$1:$AG$1,0),FALSE)/1,"")</f>
        <v/>
      </c>
      <c r="D121" s="121" t="str">
        <f>IFERROR(VLOOKUP($B121,Kraftvärmeprod!$B$1:$AH$478,MATCH(D$2,Kraftvärmeprod!$B$1:$AG$1,0),FALSE)/1,"")</f>
        <v/>
      </c>
      <c r="F121" s="121" t="str">
        <f>IF($D121="","",IFERROR(VLOOKUP($B121,Kraftvärmeprod!$B$1:$BX$549,MATCH(F$2,Kraftvärmeprod!$B$1:$VX$1,0),FALSE)/1,0)-IFERROR(VLOOKUP($B121,'Slutlig allokering kvv'!$B$2:$BX$549,MATCH(F$2,'Slutlig allokering kvv'!$B$1:$BX$1,0),FALSE)/1,0))</f>
        <v/>
      </c>
      <c r="G121" s="121" t="str">
        <f>IF($D121="","",IFERROR(VLOOKUP($B121,Kraftvärmeprod!$B$1:$BX$549,MATCH(G$2,Kraftvärmeprod!$B$1:$VX$1,0),FALSE)/1,0)-IFERROR(VLOOKUP($B121,'Slutlig allokering kvv'!$B$2:$BX$549,MATCH(G$2,'Slutlig allokering kvv'!$B$1:$BX$1,0),FALSE)/1,0))</f>
        <v/>
      </c>
      <c r="H121" s="121" t="str">
        <f>IF($D121="","",IFERROR(VLOOKUP($B121,Kraftvärmeprod!$B$1:$BX$549,MATCH(H$2,Kraftvärmeprod!$B$1:$VX$1,0),FALSE)/1,0)-IFERROR(VLOOKUP($B121,'Slutlig allokering kvv'!$B$2:$BX$549,MATCH(H$2,'Slutlig allokering kvv'!$B$1:$BX$1,0),FALSE)/1,0))</f>
        <v/>
      </c>
      <c r="I121" s="121" t="str">
        <f>IF($D121="","",IFERROR(VLOOKUP($B121,Kraftvärmeprod!$B$1:$BX$549,MATCH(I$2,Kraftvärmeprod!$B$1:$VX$1,0),FALSE)/1,0)-IFERROR(VLOOKUP($B121,'Slutlig allokering kvv'!$B$2:$BX$549,MATCH(I$2,'Slutlig allokering kvv'!$B$1:$BX$1,0),FALSE)/1,0))</f>
        <v/>
      </c>
      <c r="J121" s="121" t="str">
        <f>IF($D121="","",IFERROR(VLOOKUP($B121,Kraftvärmeprod!$B$1:$BX$549,MATCH(J$2,Kraftvärmeprod!$B$1:$VX$1,0),FALSE)/1,0)-IFERROR(VLOOKUP($B121,'Slutlig allokering kvv'!$B$2:$BX$549,MATCH(J$2,'Slutlig allokering kvv'!$B$1:$BX$1,0),FALSE)/1,0))</f>
        <v/>
      </c>
      <c r="K121" s="121" t="str">
        <f>IF($D121="","",IFERROR(VLOOKUP($B121,Kraftvärmeprod!$B$1:$BX$549,MATCH(K$2,Kraftvärmeprod!$B$1:$VX$1,0),FALSE)/1,0)-IFERROR(VLOOKUP($B121,'Slutlig allokering kvv'!$B$2:$BX$549,MATCH(K$2,'Slutlig allokering kvv'!$B$1:$BX$1,0),FALSE)/1,0))</f>
        <v/>
      </c>
      <c r="L121" s="121" t="str">
        <f>IF($D121="","",IFERROR(VLOOKUP($B121,Kraftvärmeprod!$B$1:$BX$549,MATCH(L$2,Kraftvärmeprod!$B$1:$VX$1,0),FALSE)/1,0)-IFERROR(VLOOKUP($B121,'Slutlig allokering kvv'!$B$2:$BX$549,MATCH(L$2,'Slutlig allokering kvv'!$B$1:$BX$1,0),FALSE)/1,0))</f>
        <v/>
      </c>
      <c r="M121" s="121" t="str">
        <f>IF($D121="","",IFERROR(VLOOKUP($B121,Kraftvärmeprod!$B$1:$BX$549,MATCH(M$2,Kraftvärmeprod!$B$1:$VX$1,0),FALSE)/1,0)-IFERROR(VLOOKUP($B121,'Slutlig allokering kvv'!$B$2:$BX$549,MATCH(M$2,'Slutlig allokering kvv'!$B$1:$BX$1,0),FALSE)/1,0))</f>
        <v/>
      </c>
      <c r="N121" s="121" t="str">
        <f>IF($D121="","",IFERROR(VLOOKUP($B121,Kraftvärmeprod!$B$1:$BX$549,MATCH(N$2,Kraftvärmeprod!$B$1:$VX$1,0),FALSE)/1,0)-IFERROR(VLOOKUP($B121,'Slutlig allokering kvv'!$B$2:$BX$549,MATCH(N$2,'Slutlig allokering kvv'!$B$1:$BX$1,0),FALSE)/1,0))</f>
        <v/>
      </c>
      <c r="O121" s="121" t="str">
        <f>IF($D121="","",IFERROR(VLOOKUP($B121,Kraftvärmeprod!$B$1:$BX$549,MATCH(O$2,Kraftvärmeprod!$B$1:$VX$1,0),FALSE)/1,0)-IFERROR(VLOOKUP($B121,'Slutlig allokering kvv'!$B$2:$BX$549,MATCH(O$2,'Slutlig allokering kvv'!$B$1:$BX$1,0),FALSE)/1,0))</f>
        <v/>
      </c>
      <c r="P121" s="121" t="str">
        <f>IF($D121="","",IFERROR(VLOOKUP($B121,Kraftvärmeprod!$B$1:$BX$549,MATCH(P$2,Kraftvärmeprod!$B$1:$VX$1,0),FALSE)/1,0)-IFERROR(VLOOKUP($B121,'Slutlig allokering kvv'!$B$2:$BX$549,MATCH(P$2,'Slutlig allokering kvv'!$B$1:$BX$1,0),FALSE)/1,0))</f>
        <v/>
      </c>
      <c r="Q121" s="121" t="str">
        <f>IF($D121="","",IFERROR(VLOOKUP($B121,Kraftvärmeprod!$B$1:$BX$549,MATCH(Q$2,Kraftvärmeprod!$B$1:$VX$1,0),FALSE)/1,0)-IFERROR(VLOOKUP($B121,'Slutlig allokering kvv'!$B$2:$BX$549,MATCH(Q$2,'Slutlig allokering kvv'!$B$1:$BX$1,0),FALSE)/1,0))</f>
        <v/>
      </c>
      <c r="R121" s="121" t="str">
        <f>IF($D121="","",IFERROR(VLOOKUP($B121,Kraftvärmeprod!$B$1:$BX$549,MATCH(R$2,Kraftvärmeprod!$B$1:$VX$1,0),FALSE)/1,0)-IFERROR(VLOOKUP($B121,'Slutlig allokering kvv'!$B$2:$BX$549,MATCH(R$2,'Slutlig allokering kvv'!$B$1:$BX$1,0),FALSE)/1,0))</f>
        <v/>
      </c>
      <c r="S121" s="121" t="str">
        <f>IF($D121="","",IFERROR(VLOOKUP($B121,Kraftvärmeprod!$B$1:$BX$549,MATCH(S$2,Kraftvärmeprod!$B$1:$VX$1,0),FALSE)/1,0)-IFERROR(VLOOKUP($B121,'Slutlig allokering kvv'!$B$2:$BX$549,MATCH(S$2,'Slutlig allokering kvv'!$B$1:$BX$1,0),FALSE)/1,0))</f>
        <v/>
      </c>
      <c r="T121" s="121" t="str">
        <f>IF($D121="","",IFERROR(VLOOKUP($B121,Kraftvärmeprod!$B$1:$BX$549,MATCH(T$2,Kraftvärmeprod!$B$1:$VX$1,0),FALSE)/1,0)-IFERROR(VLOOKUP($B121,'Slutlig allokering kvv'!$B$2:$BX$549,MATCH(T$2,'Slutlig allokering kvv'!$B$1:$BX$1,0),FALSE)/1,0))</f>
        <v/>
      </c>
      <c r="U121" s="121" t="str">
        <f>IF($D121="","",IFERROR(VLOOKUP($B121,Kraftvärmeprod!$B$1:$BX$549,MATCH(U$2,Kraftvärmeprod!$B$1:$VX$1,0),FALSE)/1,0)-IFERROR(VLOOKUP($B121,'Slutlig allokering kvv'!$B$2:$BX$549,MATCH(U$2,'Slutlig allokering kvv'!$B$1:$BX$1,0),FALSE)/1,0))</f>
        <v/>
      </c>
      <c r="V121" s="121" t="str">
        <f>IF($D121="","",IFERROR(VLOOKUP($B121,Kraftvärmeprod!$B$1:$BX$549,MATCH(V$2,Kraftvärmeprod!$B$1:$VX$1,0),FALSE)/1,0)-IFERROR(VLOOKUP($B121,'Slutlig allokering kvv'!$B$2:$BX$549,MATCH(V$2,'Slutlig allokering kvv'!$B$1:$BX$1,0),FALSE)/1,0))</f>
        <v/>
      </c>
      <c r="W121" s="121" t="str">
        <f>IF($D121="","",IFERROR(VLOOKUP($B121,Kraftvärmeprod!$B$1:$BX$549,MATCH(W$2,Kraftvärmeprod!$B$1:$VX$1,0),FALSE)/1,0)-IFERROR(VLOOKUP($B121,'Slutlig allokering kvv'!$B$2:$BX$549,MATCH(W$2,'Slutlig allokering kvv'!$B$1:$BX$1,0),FALSE)/1,0))</f>
        <v/>
      </c>
      <c r="X121" s="121" t="str">
        <f>IF($D121="","",IFERROR(VLOOKUP($B121,Kraftvärmeprod!$B$1:$BX$549,MATCH(X$2,Kraftvärmeprod!$B$1:$VX$1,0),FALSE)/1,0)-IFERROR(VLOOKUP($B121,'Slutlig allokering kvv'!$B$2:$BX$549,MATCH(X$2,'Slutlig allokering kvv'!$B$1:$BX$1,0),FALSE)/1,0))</f>
        <v/>
      </c>
      <c r="Y121" s="121" t="str">
        <f>IF($D121="","",IFERROR(VLOOKUP($B121,Kraftvärmeprod!$B$1:$BX$549,MATCH(Y$2,Kraftvärmeprod!$B$1:$VX$1,0),FALSE)/1,0)-IFERROR(VLOOKUP($B121,'Slutlig allokering kvv'!$B$2:$BX$549,MATCH(Y$2,'Slutlig allokering kvv'!$B$1:$BX$1,0),FALSE)/1,0))</f>
        <v/>
      </c>
      <c r="Z121" s="121" t="str">
        <f>IF($D121="","",IFERROR(VLOOKUP($B121,Kraftvärmeprod!$B$1:$BX$549,MATCH(Z$2,Kraftvärmeprod!$B$1:$VX$1,0),FALSE)/1,0)-IFERROR(VLOOKUP($B121,'Slutlig allokering kvv'!$B$2:$BX$549,MATCH(Z$2,'Slutlig allokering kvv'!$B$1:$BX$1,0),FALSE)/1,0))</f>
        <v/>
      </c>
      <c r="AA121" s="121" t="str">
        <f>IF($D121="","",IFERROR(VLOOKUP($B121,Kraftvärmeprod!$B$1:$BX$549,MATCH(AA$2,Kraftvärmeprod!$B$1:$VX$1,0),FALSE)/1,0)-IFERROR(VLOOKUP($B121,'Slutlig allokering kvv'!$B$2:$BX$549,MATCH(AA$2,'Slutlig allokering kvv'!$B$1:$BX$1,0),FALSE)/1,0))</f>
        <v/>
      </c>
      <c r="AB121" s="121" t="str">
        <f>IF($D121="","",IFERROR(VLOOKUP($B121,Kraftvärmeprod!$B$1:$BX$549,MATCH(AB$2,Kraftvärmeprod!$B$1:$VX$1,0),FALSE)/1,0)-IFERROR(VLOOKUP($B121,'Slutlig allokering kvv'!$B$2:$BX$549,MATCH(AB$2,'Slutlig allokering kvv'!$B$1:$BX$1,0),FALSE)/1,0))</f>
        <v/>
      </c>
      <c r="AC121" s="121" t="str">
        <f>IF($D121="","",IFERROR(VLOOKUP($B121,Kraftvärmeprod!$B$1:$BX$549,MATCH(AC$2,Kraftvärmeprod!$B$1:$VX$1,0),FALSE)/1,0)-IFERROR(VLOOKUP($B121,'Slutlig allokering kvv'!$B$2:$BX$549,MATCH(AC$2,'Slutlig allokering kvv'!$B$1:$BX$1,0),FALSE)/1,0))</f>
        <v/>
      </c>
      <c r="AD121" s="121" t="str">
        <f>IF($D121="","",IFERROR(VLOOKUP($B121,Kraftvärmeprod!$B$1:$BX$549,MATCH(AD$2,Kraftvärmeprod!$B$1:$VX$1,0),FALSE)/1,0)-IFERROR(VLOOKUP($B121,'Slutlig allokering kvv'!$B$2:$BX$549,MATCH(AD$2,'Slutlig allokering kvv'!$B$1:$BX$1,0),FALSE)/1,0))</f>
        <v/>
      </c>
      <c r="AE121" s="121" t="str">
        <f>IF($D121="","",IFERROR(VLOOKUP($B121,Miljö!$B$1:$E$550,MATCH("Hjälpel kraftvärme (GWh)",Miljö!$B$1:$E$1,0),FALSE)/1,0)-IFERROR(VLOOKUP($B121,'Slutlig allokering kvv'!$B$2:$BX$549,MATCH(AE$2,'Slutlig allokering kvv'!$B$1:$BX$1,0),FALSE)/1,0))</f>
        <v/>
      </c>
      <c r="AI121" s="121">
        <f t="shared" si="4"/>
        <v>0</v>
      </c>
      <c r="AK121" s="121">
        <f>IFERROR(VLOOKUP($B121,'Slutlig allokering kvv'!$B$2:$AX$549,MATCH("Summa slutlig allokerad tillförd energi (utan hjälpel och rökgaskondensering):",'Slutlig allokering kvv'!$B$1:$AX$1,0),FALSE)/1,"")</f>
        <v>0</v>
      </c>
      <c r="AM121" s="172" t="str">
        <f>IFERROR(1-VLOOKUP($B121,'Slutlig allokering kvv'!$B$2:$AX$549,MATCH("Andel av bränsle i kvv som allokerats till värme, exklusive rökgaskondensering och hjälpel",'Slutlig allokering kvv'!$B$1:$AX$1,0),FALSE),"")</f>
        <v/>
      </c>
      <c r="AO121" s="172" t="str">
        <f t="shared" si="5"/>
        <v/>
      </c>
      <c r="AP121" s="173" t="str">
        <f t="shared" si="6"/>
        <v/>
      </c>
      <c r="AR121" s="172" t="str">
        <f t="shared" si="7"/>
        <v/>
      </c>
    </row>
    <row r="122" spans="1:44" x14ac:dyDescent="0.25">
      <c r="A122" s="171" t="str">
        <f>'Miljövärden för publ företag'!B124</f>
        <v>Kalmar Energi Värme AB</v>
      </c>
      <c r="B122" s="171" t="str">
        <f>'Miljövärden för publ företag'!C124</f>
        <v>Kalmar</v>
      </c>
      <c r="C122" s="121">
        <f>IFERROR(VLOOKUP($B122,Kraftvärmeprod!$B$1:$AH$478,MATCH(C$2,Kraftvärmeprod!$B$1:$AG$1,0),FALSE)/1,"")</f>
        <v>273.89999999999998</v>
      </c>
      <c r="D122" s="121">
        <f>IFERROR(VLOOKUP($B122,Kraftvärmeprod!$B$1:$AH$478,MATCH(D$2,Kraftvärmeprod!$B$1:$AG$1,0),FALSE)/1,"")</f>
        <v>123.65</v>
      </c>
      <c r="F122" s="121">
        <f>IF($D122="","",IFERROR(VLOOKUP($B122,Kraftvärmeprod!$B$1:$BX$549,MATCH(F$2,Kraftvärmeprod!$B$1:$VX$1,0),FALSE)/1,0)-IFERROR(VLOOKUP($B122,'Slutlig allokering kvv'!$B$2:$BX$549,MATCH(F$2,'Slutlig allokering kvv'!$B$1:$BX$1,0),FALSE)/1,0))</f>
        <v>0</v>
      </c>
      <c r="G122" s="121">
        <f>IF($D122="","",IFERROR(VLOOKUP($B122,Kraftvärmeprod!$B$1:$BX$549,MATCH(G$2,Kraftvärmeprod!$B$1:$VX$1,0),FALSE)/1,0)-IFERROR(VLOOKUP($B122,'Slutlig allokering kvv'!$B$2:$BX$549,MATCH(G$2,'Slutlig allokering kvv'!$B$1:$BX$1,0),FALSE)/1,0))</f>
        <v>0</v>
      </c>
      <c r="H122" s="121">
        <f>IF($D122="","",IFERROR(VLOOKUP($B122,Kraftvärmeprod!$B$1:$BX$549,MATCH(H$2,Kraftvärmeprod!$B$1:$VX$1,0),FALSE)/1,0)-IFERROR(VLOOKUP($B122,'Slutlig allokering kvv'!$B$2:$BX$549,MATCH(H$2,'Slutlig allokering kvv'!$B$1:$BX$1,0),FALSE)/1,0))</f>
        <v>0</v>
      </c>
      <c r="I122" s="121">
        <f>IF($D122="","",IFERROR(VLOOKUP($B122,Kraftvärmeprod!$B$1:$BX$549,MATCH(I$2,Kraftvärmeprod!$B$1:$VX$1,0),FALSE)/1,0)-IFERROR(VLOOKUP($B122,'Slutlig allokering kvv'!$B$2:$BX$549,MATCH(I$2,'Slutlig allokering kvv'!$B$1:$BX$1,0),FALSE)/1,0))</f>
        <v>0</v>
      </c>
      <c r="J122" s="121">
        <f>IF($D122="","",IFERROR(VLOOKUP($B122,Kraftvärmeprod!$B$1:$BX$549,MATCH(J$2,Kraftvärmeprod!$B$1:$VX$1,0),FALSE)/1,0)-IFERROR(VLOOKUP($B122,'Slutlig allokering kvv'!$B$2:$BX$549,MATCH(J$2,'Slutlig allokering kvv'!$B$1:$BX$1,0),FALSE)/1,0))</f>
        <v>0</v>
      </c>
      <c r="K122" s="121">
        <f>IF($D122="","",IFERROR(VLOOKUP($B122,Kraftvärmeprod!$B$1:$BX$549,MATCH(K$2,Kraftvärmeprod!$B$1:$VX$1,0),FALSE)/1,0)-IFERROR(VLOOKUP($B122,'Slutlig allokering kvv'!$B$2:$BX$549,MATCH(K$2,'Slutlig allokering kvv'!$B$1:$BX$1,0),FALSE)/1,0))</f>
        <v>0</v>
      </c>
      <c r="L122" s="121">
        <f>IF($D122="","",IFERROR(VLOOKUP($B122,Kraftvärmeprod!$B$1:$BX$549,MATCH(L$2,Kraftvärmeprod!$B$1:$VX$1,0),FALSE)/1,0)-IFERROR(VLOOKUP($B122,'Slutlig allokering kvv'!$B$2:$BX$549,MATCH(L$2,'Slutlig allokering kvv'!$B$1:$BX$1,0),FALSE)/1,0))</f>
        <v>145.08199999999999</v>
      </c>
      <c r="M122" s="121">
        <f>IF($D122="","",IFERROR(VLOOKUP($B122,Kraftvärmeprod!$B$1:$BX$549,MATCH(M$2,Kraftvärmeprod!$B$1:$VX$1,0),FALSE)/1,0)-IFERROR(VLOOKUP($B122,'Slutlig allokering kvv'!$B$2:$BX$549,MATCH(M$2,'Slutlig allokering kvv'!$B$1:$BX$1,0),FALSE)/1,0))</f>
        <v>77.081499999999991</v>
      </c>
      <c r="N122" s="121">
        <f>IF($D122="","",IFERROR(VLOOKUP($B122,Kraftvärmeprod!$B$1:$BX$549,MATCH(N$2,Kraftvärmeprod!$B$1:$VX$1,0),FALSE)/1,0)-IFERROR(VLOOKUP($B122,'Slutlig allokering kvv'!$B$2:$BX$549,MATCH(N$2,'Slutlig allokering kvv'!$B$1:$BX$1,0),FALSE)/1,0))</f>
        <v>0</v>
      </c>
      <c r="O122" s="121">
        <f>IF($D122="","",IFERROR(VLOOKUP($B122,Kraftvärmeprod!$B$1:$BX$549,MATCH(O$2,Kraftvärmeprod!$B$1:$VX$1,0),FALSE)/1,0)-IFERROR(VLOOKUP($B122,'Slutlig allokering kvv'!$B$2:$BX$549,MATCH(O$2,'Slutlig allokering kvv'!$B$1:$BX$1,0),FALSE)/1,0))</f>
        <v>30.2164</v>
      </c>
      <c r="P122" s="121">
        <f>IF($D122="","",IFERROR(VLOOKUP($B122,Kraftvärmeprod!$B$1:$BX$549,MATCH(P$2,Kraftvärmeprod!$B$1:$VX$1,0),FALSE)/1,0)-IFERROR(VLOOKUP($B122,'Slutlig allokering kvv'!$B$2:$BX$549,MATCH(P$2,'Slutlig allokering kvv'!$B$1:$BX$1,0),FALSE)/1,0))</f>
        <v>0</v>
      </c>
      <c r="Q122" s="121">
        <f>IF($D122="","",IFERROR(VLOOKUP($B122,Kraftvärmeprod!$B$1:$BX$549,MATCH(Q$2,Kraftvärmeprod!$B$1:$VX$1,0),FALSE)/1,0)-IFERROR(VLOOKUP($B122,'Slutlig allokering kvv'!$B$2:$BX$549,MATCH(Q$2,'Slutlig allokering kvv'!$B$1:$BX$1,0),FALSE)/1,0))</f>
        <v>0</v>
      </c>
      <c r="R122" s="121">
        <f>IF($D122="","",IFERROR(VLOOKUP($B122,Kraftvärmeprod!$B$1:$BX$549,MATCH(R$2,Kraftvärmeprod!$B$1:$VX$1,0),FALSE)/1,0)-IFERROR(VLOOKUP($B122,'Slutlig allokering kvv'!$B$2:$BX$549,MATCH(R$2,'Slutlig allokering kvv'!$B$1:$BX$1,0),FALSE)/1,0))</f>
        <v>0</v>
      </c>
      <c r="S122" s="121">
        <f>IF($D122="","",IFERROR(VLOOKUP($B122,Kraftvärmeprod!$B$1:$BX$549,MATCH(S$2,Kraftvärmeprod!$B$1:$VX$1,0),FALSE)/1,0)-IFERROR(VLOOKUP($B122,'Slutlig allokering kvv'!$B$2:$BX$549,MATCH(S$2,'Slutlig allokering kvv'!$B$1:$BX$1,0),FALSE)/1,0))</f>
        <v>0</v>
      </c>
      <c r="T122" s="121">
        <f>IF($D122="","",IFERROR(VLOOKUP($B122,Kraftvärmeprod!$B$1:$BX$549,MATCH(T$2,Kraftvärmeprod!$B$1:$VX$1,0),FALSE)/1,0)-IFERROR(VLOOKUP($B122,'Slutlig allokering kvv'!$B$2:$BX$549,MATCH(T$2,'Slutlig allokering kvv'!$B$1:$BX$1,0),FALSE)/1,0))</f>
        <v>0</v>
      </c>
      <c r="U122" s="121">
        <f>IF($D122="","",IFERROR(VLOOKUP($B122,Kraftvärmeprod!$B$1:$BX$549,MATCH(U$2,Kraftvärmeprod!$B$1:$VX$1,0),FALSE)/1,0)-IFERROR(VLOOKUP($B122,'Slutlig allokering kvv'!$B$2:$BX$549,MATCH(U$2,'Slutlig allokering kvv'!$B$1:$BX$1,0),FALSE)/1,0))</f>
        <v>0</v>
      </c>
      <c r="V122" s="121">
        <f>IF($D122="","",IFERROR(VLOOKUP($B122,Kraftvärmeprod!$B$1:$BX$549,MATCH(V$2,Kraftvärmeprod!$B$1:$VX$1,0),FALSE)/1,0)-IFERROR(VLOOKUP($B122,'Slutlig allokering kvv'!$B$2:$BX$549,MATCH(V$2,'Slutlig allokering kvv'!$B$1:$BX$1,0),FALSE)/1,0))</f>
        <v>0</v>
      </c>
      <c r="W122" s="121">
        <f>IF($D122="","",IFERROR(VLOOKUP($B122,Kraftvärmeprod!$B$1:$BX$549,MATCH(W$2,Kraftvärmeprod!$B$1:$VX$1,0),FALSE)/1,0)-IFERROR(VLOOKUP($B122,'Slutlig allokering kvv'!$B$2:$BX$549,MATCH(W$2,'Slutlig allokering kvv'!$B$1:$BX$1,0),FALSE)/1,0))</f>
        <v>0</v>
      </c>
      <c r="X122" s="121">
        <f>IF($D122="","",IFERROR(VLOOKUP($B122,Kraftvärmeprod!$B$1:$BX$549,MATCH(X$2,Kraftvärmeprod!$B$1:$VX$1,0),FALSE)/1,0)-IFERROR(VLOOKUP($B122,'Slutlig allokering kvv'!$B$2:$BX$549,MATCH(X$2,'Slutlig allokering kvv'!$B$1:$BX$1,0),FALSE)/1,0))</f>
        <v>0</v>
      </c>
      <c r="Y122" s="121">
        <f>IF($D122="","",IFERROR(VLOOKUP($B122,Kraftvärmeprod!$B$1:$BX$549,MATCH(Y$2,Kraftvärmeprod!$B$1:$VX$1,0),FALSE)/1,0)-IFERROR(VLOOKUP($B122,'Slutlig allokering kvv'!$B$2:$BX$549,MATCH(Y$2,'Slutlig allokering kvv'!$B$1:$BX$1,0),FALSE)/1,0))</f>
        <v>0</v>
      </c>
      <c r="Z122" s="121">
        <f>IF($D122="","",IFERROR(VLOOKUP($B122,Kraftvärmeprod!$B$1:$BX$549,MATCH(Z$2,Kraftvärmeprod!$B$1:$VX$1,0),FALSE)/1,0)-IFERROR(VLOOKUP($B122,'Slutlig allokering kvv'!$B$2:$BX$549,MATCH(Z$2,'Slutlig allokering kvv'!$B$1:$BX$1,0),FALSE)/1,0))</f>
        <v>0</v>
      </c>
      <c r="AA122" s="121">
        <f>IF($D122="","",IFERROR(VLOOKUP($B122,Kraftvärmeprod!$B$1:$BX$549,MATCH(AA$2,Kraftvärmeprod!$B$1:$VX$1,0),FALSE)/1,0)-IFERROR(VLOOKUP($B122,'Slutlig allokering kvv'!$B$2:$BX$549,MATCH(AA$2,'Slutlig allokering kvv'!$B$1:$BX$1,0),FALSE)/1,0))</f>
        <v>0</v>
      </c>
      <c r="AB122" s="121">
        <f>IF($D122="","",IFERROR(VLOOKUP($B122,Kraftvärmeprod!$B$1:$BX$549,MATCH(AB$2,Kraftvärmeprod!$B$1:$VX$1,0),FALSE)/1,0)-IFERROR(VLOOKUP($B122,'Slutlig allokering kvv'!$B$2:$BX$549,MATCH(AB$2,'Slutlig allokering kvv'!$B$1:$BX$1,0),FALSE)/1,0))</f>
        <v>0</v>
      </c>
      <c r="AC122" s="121">
        <f>IF($D122="","",IFERROR(VLOOKUP($B122,Kraftvärmeprod!$B$1:$BX$549,MATCH(AC$2,Kraftvärmeprod!$B$1:$VX$1,0),FALSE)/1,0)-IFERROR(VLOOKUP($B122,'Slutlig allokering kvv'!$B$2:$BX$549,MATCH(AC$2,'Slutlig allokering kvv'!$B$1:$BX$1,0),FALSE)/1,0))</f>
        <v>0</v>
      </c>
      <c r="AD122" s="121">
        <f>IF($D122="","",IFERROR(VLOOKUP($B122,Kraftvärmeprod!$B$1:$BX$549,MATCH(AD$2,Kraftvärmeprod!$B$1:$VX$1,0),FALSE)/1,0)-IFERROR(VLOOKUP($B122,'Slutlig allokering kvv'!$B$2:$BX$549,MATCH(AD$2,'Slutlig allokering kvv'!$B$1:$BX$1,0),FALSE)/1,0))</f>
        <v>0</v>
      </c>
      <c r="AE122" s="121">
        <f>IF($D122="","",IFERROR(VLOOKUP($B122,Miljö!$B$1:$E$550,MATCH("Hjälpel kraftvärme (GWh)",Miljö!$B$1:$E$1,0),FALSE)/1,0)-IFERROR(VLOOKUP($B122,'Slutlig allokering kvv'!$B$2:$BX$549,MATCH(AE$2,'Slutlig allokering kvv'!$B$1:$BX$1,0),FALSE)/1,0))</f>
        <v>9.7838400000000014</v>
      </c>
      <c r="AI122" s="121">
        <f t="shared" si="4"/>
        <v>252.37989999999999</v>
      </c>
      <c r="AK122" s="121">
        <f>IFERROR(VLOOKUP($B122,'Slutlig allokering kvv'!$B$2:$AX$549,MATCH("Summa slutlig allokerad tillförd energi (utan hjälpel och rökgaskondensering):",'Slutlig allokering kvv'!$B$1:$AX$1,0),FALSE)/1,"")</f>
        <v>214.52010000000001</v>
      </c>
      <c r="AM122" s="172">
        <f>IFERROR(1-VLOOKUP($B122,'Slutlig allokering kvv'!$B$2:$AX$549,MATCH("Andel av bränsle i kvv som allokerats till värme, exklusive rökgaskondensering och hjälpel",'Slutlig allokering kvv'!$B$1:$AX$1,0),FALSE),"")</f>
        <v>0.54054379952880693</v>
      </c>
      <c r="AO122" s="172">
        <f t="shared" si="5"/>
        <v>0.54054379952880705</v>
      </c>
      <c r="AP122" s="173">
        <f t="shared" si="6"/>
        <v>-1.1102230246251565E-16</v>
      </c>
      <c r="AR122" s="172">
        <f t="shared" si="7"/>
        <v>0.47165180051215322</v>
      </c>
    </row>
    <row r="123" spans="1:44" x14ac:dyDescent="0.25">
      <c r="A123" s="171" t="str">
        <f>'Miljövärden för publ företag'!B125</f>
        <v>Karlsborgs Värme AB</v>
      </c>
      <c r="B123" s="171" t="str">
        <f>'Miljövärden för publ företag'!C125</f>
        <v>Karlsborg</v>
      </c>
      <c r="C123" s="121" t="str">
        <f>IFERROR(VLOOKUP($B123,Kraftvärmeprod!$B$1:$AH$478,MATCH(C$2,Kraftvärmeprod!$B$1:$AG$1,0),FALSE)/1,"")</f>
        <v/>
      </c>
      <c r="D123" s="121" t="str">
        <f>IFERROR(VLOOKUP($B123,Kraftvärmeprod!$B$1:$AH$478,MATCH(D$2,Kraftvärmeprod!$B$1:$AG$1,0),FALSE)/1,"")</f>
        <v/>
      </c>
      <c r="F123" s="121" t="str">
        <f>IF($D123="","",IFERROR(VLOOKUP($B123,Kraftvärmeprod!$B$1:$BX$549,MATCH(F$2,Kraftvärmeprod!$B$1:$VX$1,0),FALSE)/1,0)-IFERROR(VLOOKUP($B123,'Slutlig allokering kvv'!$B$2:$BX$549,MATCH(F$2,'Slutlig allokering kvv'!$B$1:$BX$1,0),FALSE)/1,0))</f>
        <v/>
      </c>
      <c r="G123" s="121" t="str">
        <f>IF($D123="","",IFERROR(VLOOKUP($B123,Kraftvärmeprod!$B$1:$BX$549,MATCH(G$2,Kraftvärmeprod!$B$1:$VX$1,0),FALSE)/1,0)-IFERROR(VLOOKUP($B123,'Slutlig allokering kvv'!$B$2:$BX$549,MATCH(G$2,'Slutlig allokering kvv'!$B$1:$BX$1,0),FALSE)/1,0))</f>
        <v/>
      </c>
      <c r="H123" s="121" t="str">
        <f>IF($D123="","",IFERROR(VLOOKUP($B123,Kraftvärmeprod!$B$1:$BX$549,MATCH(H$2,Kraftvärmeprod!$B$1:$VX$1,0),FALSE)/1,0)-IFERROR(VLOOKUP($B123,'Slutlig allokering kvv'!$B$2:$BX$549,MATCH(H$2,'Slutlig allokering kvv'!$B$1:$BX$1,0),FALSE)/1,0))</f>
        <v/>
      </c>
      <c r="I123" s="121" t="str">
        <f>IF($D123="","",IFERROR(VLOOKUP($B123,Kraftvärmeprod!$B$1:$BX$549,MATCH(I$2,Kraftvärmeprod!$B$1:$VX$1,0),FALSE)/1,0)-IFERROR(VLOOKUP($B123,'Slutlig allokering kvv'!$B$2:$BX$549,MATCH(I$2,'Slutlig allokering kvv'!$B$1:$BX$1,0),FALSE)/1,0))</f>
        <v/>
      </c>
      <c r="J123" s="121" t="str">
        <f>IF($D123="","",IFERROR(VLOOKUP($B123,Kraftvärmeprod!$B$1:$BX$549,MATCH(J$2,Kraftvärmeprod!$B$1:$VX$1,0),FALSE)/1,0)-IFERROR(VLOOKUP($B123,'Slutlig allokering kvv'!$B$2:$BX$549,MATCH(J$2,'Slutlig allokering kvv'!$B$1:$BX$1,0),FALSE)/1,0))</f>
        <v/>
      </c>
      <c r="K123" s="121" t="str">
        <f>IF($D123="","",IFERROR(VLOOKUP($B123,Kraftvärmeprod!$B$1:$BX$549,MATCH(K$2,Kraftvärmeprod!$B$1:$VX$1,0),FALSE)/1,0)-IFERROR(VLOOKUP($B123,'Slutlig allokering kvv'!$B$2:$BX$549,MATCH(K$2,'Slutlig allokering kvv'!$B$1:$BX$1,0),FALSE)/1,0))</f>
        <v/>
      </c>
      <c r="L123" s="121" t="str">
        <f>IF($D123="","",IFERROR(VLOOKUP($B123,Kraftvärmeprod!$B$1:$BX$549,MATCH(L$2,Kraftvärmeprod!$B$1:$VX$1,0),FALSE)/1,0)-IFERROR(VLOOKUP($B123,'Slutlig allokering kvv'!$B$2:$BX$549,MATCH(L$2,'Slutlig allokering kvv'!$B$1:$BX$1,0),FALSE)/1,0))</f>
        <v/>
      </c>
      <c r="M123" s="121" t="str">
        <f>IF($D123="","",IFERROR(VLOOKUP($B123,Kraftvärmeprod!$B$1:$BX$549,MATCH(M$2,Kraftvärmeprod!$B$1:$VX$1,0),FALSE)/1,0)-IFERROR(VLOOKUP($B123,'Slutlig allokering kvv'!$B$2:$BX$549,MATCH(M$2,'Slutlig allokering kvv'!$B$1:$BX$1,0),FALSE)/1,0))</f>
        <v/>
      </c>
      <c r="N123" s="121" t="str">
        <f>IF($D123="","",IFERROR(VLOOKUP($B123,Kraftvärmeprod!$B$1:$BX$549,MATCH(N$2,Kraftvärmeprod!$B$1:$VX$1,0),FALSE)/1,0)-IFERROR(VLOOKUP($B123,'Slutlig allokering kvv'!$B$2:$BX$549,MATCH(N$2,'Slutlig allokering kvv'!$B$1:$BX$1,0),FALSE)/1,0))</f>
        <v/>
      </c>
      <c r="O123" s="121" t="str">
        <f>IF($D123="","",IFERROR(VLOOKUP($B123,Kraftvärmeprod!$B$1:$BX$549,MATCH(O$2,Kraftvärmeprod!$B$1:$VX$1,0),FALSE)/1,0)-IFERROR(VLOOKUP($B123,'Slutlig allokering kvv'!$B$2:$BX$549,MATCH(O$2,'Slutlig allokering kvv'!$B$1:$BX$1,0),FALSE)/1,0))</f>
        <v/>
      </c>
      <c r="P123" s="121" t="str">
        <f>IF($D123="","",IFERROR(VLOOKUP($B123,Kraftvärmeprod!$B$1:$BX$549,MATCH(P$2,Kraftvärmeprod!$B$1:$VX$1,0),FALSE)/1,0)-IFERROR(VLOOKUP($B123,'Slutlig allokering kvv'!$B$2:$BX$549,MATCH(P$2,'Slutlig allokering kvv'!$B$1:$BX$1,0),FALSE)/1,0))</f>
        <v/>
      </c>
      <c r="Q123" s="121" t="str">
        <f>IF($D123="","",IFERROR(VLOOKUP($B123,Kraftvärmeprod!$B$1:$BX$549,MATCH(Q$2,Kraftvärmeprod!$B$1:$VX$1,0),FALSE)/1,0)-IFERROR(VLOOKUP($B123,'Slutlig allokering kvv'!$B$2:$BX$549,MATCH(Q$2,'Slutlig allokering kvv'!$B$1:$BX$1,0),FALSE)/1,0))</f>
        <v/>
      </c>
      <c r="R123" s="121" t="str">
        <f>IF($D123="","",IFERROR(VLOOKUP($B123,Kraftvärmeprod!$B$1:$BX$549,MATCH(R$2,Kraftvärmeprod!$B$1:$VX$1,0),FALSE)/1,0)-IFERROR(VLOOKUP($B123,'Slutlig allokering kvv'!$B$2:$BX$549,MATCH(R$2,'Slutlig allokering kvv'!$B$1:$BX$1,0),FALSE)/1,0))</f>
        <v/>
      </c>
      <c r="S123" s="121" t="str">
        <f>IF($D123="","",IFERROR(VLOOKUP($B123,Kraftvärmeprod!$B$1:$BX$549,MATCH(S$2,Kraftvärmeprod!$B$1:$VX$1,0),FALSE)/1,0)-IFERROR(VLOOKUP($B123,'Slutlig allokering kvv'!$B$2:$BX$549,MATCH(S$2,'Slutlig allokering kvv'!$B$1:$BX$1,0),FALSE)/1,0))</f>
        <v/>
      </c>
      <c r="T123" s="121" t="str">
        <f>IF($D123="","",IFERROR(VLOOKUP($B123,Kraftvärmeprod!$B$1:$BX$549,MATCH(T$2,Kraftvärmeprod!$B$1:$VX$1,0),FALSE)/1,0)-IFERROR(VLOOKUP($B123,'Slutlig allokering kvv'!$B$2:$BX$549,MATCH(T$2,'Slutlig allokering kvv'!$B$1:$BX$1,0),FALSE)/1,0))</f>
        <v/>
      </c>
      <c r="U123" s="121" t="str">
        <f>IF($D123="","",IFERROR(VLOOKUP($B123,Kraftvärmeprod!$B$1:$BX$549,MATCH(U$2,Kraftvärmeprod!$B$1:$VX$1,0),FALSE)/1,0)-IFERROR(VLOOKUP($B123,'Slutlig allokering kvv'!$B$2:$BX$549,MATCH(U$2,'Slutlig allokering kvv'!$B$1:$BX$1,0),FALSE)/1,0))</f>
        <v/>
      </c>
      <c r="V123" s="121" t="str">
        <f>IF($D123="","",IFERROR(VLOOKUP($B123,Kraftvärmeprod!$B$1:$BX$549,MATCH(V$2,Kraftvärmeprod!$B$1:$VX$1,0),FALSE)/1,0)-IFERROR(VLOOKUP($B123,'Slutlig allokering kvv'!$B$2:$BX$549,MATCH(V$2,'Slutlig allokering kvv'!$B$1:$BX$1,0),FALSE)/1,0))</f>
        <v/>
      </c>
      <c r="W123" s="121" t="str">
        <f>IF($D123="","",IFERROR(VLOOKUP($B123,Kraftvärmeprod!$B$1:$BX$549,MATCH(W$2,Kraftvärmeprod!$B$1:$VX$1,0),FALSE)/1,0)-IFERROR(VLOOKUP($B123,'Slutlig allokering kvv'!$B$2:$BX$549,MATCH(W$2,'Slutlig allokering kvv'!$B$1:$BX$1,0),FALSE)/1,0))</f>
        <v/>
      </c>
      <c r="X123" s="121" t="str">
        <f>IF($D123="","",IFERROR(VLOOKUP($B123,Kraftvärmeprod!$B$1:$BX$549,MATCH(X$2,Kraftvärmeprod!$B$1:$VX$1,0),FALSE)/1,0)-IFERROR(VLOOKUP($B123,'Slutlig allokering kvv'!$B$2:$BX$549,MATCH(X$2,'Slutlig allokering kvv'!$B$1:$BX$1,0),FALSE)/1,0))</f>
        <v/>
      </c>
      <c r="Y123" s="121" t="str">
        <f>IF($D123="","",IFERROR(VLOOKUP($B123,Kraftvärmeprod!$B$1:$BX$549,MATCH(Y$2,Kraftvärmeprod!$B$1:$VX$1,0),FALSE)/1,0)-IFERROR(VLOOKUP($B123,'Slutlig allokering kvv'!$B$2:$BX$549,MATCH(Y$2,'Slutlig allokering kvv'!$B$1:$BX$1,0),FALSE)/1,0))</f>
        <v/>
      </c>
      <c r="Z123" s="121" t="str">
        <f>IF($D123="","",IFERROR(VLOOKUP($B123,Kraftvärmeprod!$B$1:$BX$549,MATCH(Z$2,Kraftvärmeprod!$B$1:$VX$1,0),FALSE)/1,0)-IFERROR(VLOOKUP($B123,'Slutlig allokering kvv'!$B$2:$BX$549,MATCH(Z$2,'Slutlig allokering kvv'!$B$1:$BX$1,0),FALSE)/1,0))</f>
        <v/>
      </c>
      <c r="AA123" s="121" t="str">
        <f>IF($D123="","",IFERROR(VLOOKUP($B123,Kraftvärmeprod!$B$1:$BX$549,MATCH(AA$2,Kraftvärmeprod!$B$1:$VX$1,0),FALSE)/1,0)-IFERROR(VLOOKUP($B123,'Slutlig allokering kvv'!$B$2:$BX$549,MATCH(AA$2,'Slutlig allokering kvv'!$B$1:$BX$1,0),FALSE)/1,0))</f>
        <v/>
      </c>
      <c r="AB123" s="121" t="str">
        <f>IF($D123="","",IFERROR(VLOOKUP($B123,Kraftvärmeprod!$B$1:$BX$549,MATCH(AB$2,Kraftvärmeprod!$B$1:$VX$1,0),FALSE)/1,0)-IFERROR(VLOOKUP($B123,'Slutlig allokering kvv'!$B$2:$BX$549,MATCH(AB$2,'Slutlig allokering kvv'!$B$1:$BX$1,0),FALSE)/1,0))</f>
        <v/>
      </c>
      <c r="AC123" s="121" t="str">
        <f>IF($D123="","",IFERROR(VLOOKUP($B123,Kraftvärmeprod!$B$1:$BX$549,MATCH(AC$2,Kraftvärmeprod!$B$1:$VX$1,0),FALSE)/1,0)-IFERROR(VLOOKUP($B123,'Slutlig allokering kvv'!$B$2:$BX$549,MATCH(AC$2,'Slutlig allokering kvv'!$B$1:$BX$1,0),FALSE)/1,0))</f>
        <v/>
      </c>
      <c r="AD123" s="121" t="str">
        <f>IF($D123="","",IFERROR(VLOOKUP($B123,Kraftvärmeprod!$B$1:$BX$549,MATCH(AD$2,Kraftvärmeprod!$B$1:$VX$1,0),FALSE)/1,0)-IFERROR(VLOOKUP($B123,'Slutlig allokering kvv'!$B$2:$BX$549,MATCH(AD$2,'Slutlig allokering kvv'!$B$1:$BX$1,0),FALSE)/1,0))</f>
        <v/>
      </c>
      <c r="AE123" s="121" t="str">
        <f>IF($D123="","",IFERROR(VLOOKUP($B123,Miljö!$B$1:$E$550,MATCH("Hjälpel kraftvärme (GWh)",Miljö!$B$1:$E$1,0),FALSE)/1,0)-IFERROR(VLOOKUP($B123,'Slutlig allokering kvv'!$B$2:$BX$549,MATCH(AE$2,'Slutlig allokering kvv'!$B$1:$BX$1,0),FALSE)/1,0))</f>
        <v/>
      </c>
      <c r="AI123" s="121">
        <f t="shared" si="4"/>
        <v>0</v>
      </c>
      <c r="AK123" s="121">
        <f>IFERROR(VLOOKUP($B123,'Slutlig allokering kvv'!$B$2:$AX$549,MATCH("Summa slutlig allokerad tillförd energi (utan hjälpel och rökgaskondensering):",'Slutlig allokering kvv'!$B$1:$AX$1,0),FALSE)/1,"")</f>
        <v>0</v>
      </c>
      <c r="AM123" s="172" t="str">
        <f>IFERROR(1-VLOOKUP($B123,'Slutlig allokering kvv'!$B$2:$AX$549,MATCH("Andel av bränsle i kvv som allokerats till värme, exklusive rökgaskondensering och hjälpel",'Slutlig allokering kvv'!$B$1:$AX$1,0),FALSE),"")</f>
        <v/>
      </c>
      <c r="AO123" s="172" t="str">
        <f t="shared" si="5"/>
        <v/>
      </c>
      <c r="AP123" s="173" t="str">
        <f t="shared" si="6"/>
        <v/>
      </c>
      <c r="AR123" s="172" t="str">
        <f t="shared" si="7"/>
        <v/>
      </c>
    </row>
    <row r="124" spans="1:44" x14ac:dyDescent="0.25">
      <c r="A124" s="171" t="str">
        <f>'Miljövärden för publ företag'!B126</f>
        <v>Karlshamn Energi AB</v>
      </c>
      <c r="B124" s="171" t="str">
        <f>'Miljövärden för publ företag'!C126</f>
        <v>Karlshamn</v>
      </c>
      <c r="C124" s="121" t="str">
        <f>IFERROR(VLOOKUP($B124,Kraftvärmeprod!$B$1:$AH$478,MATCH(C$2,Kraftvärmeprod!$B$1:$AG$1,0),FALSE)/1,"")</f>
        <v/>
      </c>
      <c r="D124" s="121" t="str">
        <f>IFERROR(VLOOKUP($B124,Kraftvärmeprod!$B$1:$AH$478,MATCH(D$2,Kraftvärmeprod!$B$1:$AG$1,0),FALSE)/1,"")</f>
        <v/>
      </c>
      <c r="F124" s="121" t="str">
        <f>IF($D124="","",IFERROR(VLOOKUP($B124,Kraftvärmeprod!$B$1:$BX$549,MATCH(F$2,Kraftvärmeprod!$B$1:$VX$1,0),FALSE)/1,0)-IFERROR(VLOOKUP($B124,'Slutlig allokering kvv'!$B$2:$BX$549,MATCH(F$2,'Slutlig allokering kvv'!$B$1:$BX$1,0),FALSE)/1,0))</f>
        <v/>
      </c>
      <c r="G124" s="121" t="str">
        <f>IF($D124="","",IFERROR(VLOOKUP($B124,Kraftvärmeprod!$B$1:$BX$549,MATCH(G$2,Kraftvärmeprod!$B$1:$VX$1,0),FALSE)/1,0)-IFERROR(VLOOKUP($B124,'Slutlig allokering kvv'!$B$2:$BX$549,MATCH(G$2,'Slutlig allokering kvv'!$B$1:$BX$1,0),FALSE)/1,0))</f>
        <v/>
      </c>
      <c r="H124" s="121" t="str">
        <f>IF($D124="","",IFERROR(VLOOKUP($B124,Kraftvärmeprod!$B$1:$BX$549,MATCH(H$2,Kraftvärmeprod!$B$1:$VX$1,0),FALSE)/1,0)-IFERROR(VLOOKUP($B124,'Slutlig allokering kvv'!$B$2:$BX$549,MATCH(H$2,'Slutlig allokering kvv'!$B$1:$BX$1,0),FALSE)/1,0))</f>
        <v/>
      </c>
      <c r="I124" s="121" t="str">
        <f>IF($D124="","",IFERROR(VLOOKUP($B124,Kraftvärmeprod!$B$1:$BX$549,MATCH(I$2,Kraftvärmeprod!$B$1:$VX$1,0),FALSE)/1,0)-IFERROR(VLOOKUP($B124,'Slutlig allokering kvv'!$B$2:$BX$549,MATCH(I$2,'Slutlig allokering kvv'!$B$1:$BX$1,0),FALSE)/1,0))</f>
        <v/>
      </c>
      <c r="J124" s="121" t="str">
        <f>IF($D124="","",IFERROR(VLOOKUP($B124,Kraftvärmeprod!$B$1:$BX$549,MATCH(J$2,Kraftvärmeprod!$B$1:$VX$1,0),FALSE)/1,0)-IFERROR(VLOOKUP($B124,'Slutlig allokering kvv'!$B$2:$BX$549,MATCH(J$2,'Slutlig allokering kvv'!$B$1:$BX$1,0),FALSE)/1,0))</f>
        <v/>
      </c>
      <c r="K124" s="121" t="str">
        <f>IF($D124="","",IFERROR(VLOOKUP($B124,Kraftvärmeprod!$B$1:$BX$549,MATCH(K$2,Kraftvärmeprod!$B$1:$VX$1,0),FALSE)/1,0)-IFERROR(VLOOKUP($B124,'Slutlig allokering kvv'!$B$2:$BX$549,MATCH(K$2,'Slutlig allokering kvv'!$B$1:$BX$1,0),FALSE)/1,0))</f>
        <v/>
      </c>
      <c r="L124" s="121" t="str">
        <f>IF($D124="","",IFERROR(VLOOKUP($B124,Kraftvärmeprod!$B$1:$BX$549,MATCH(L$2,Kraftvärmeprod!$B$1:$VX$1,0),FALSE)/1,0)-IFERROR(VLOOKUP($B124,'Slutlig allokering kvv'!$B$2:$BX$549,MATCH(L$2,'Slutlig allokering kvv'!$B$1:$BX$1,0),FALSE)/1,0))</f>
        <v/>
      </c>
      <c r="M124" s="121" t="str">
        <f>IF($D124="","",IFERROR(VLOOKUP($B124,Kraftvärmeprod!$B$1:$BX$549,MATCH(M$2,Kraftvärmeprod!$B$1:$VX$1,0),FALSE)/1,0)-IFERROR(VLOOKUP($B124,'Slutlig allokering kvv'!$B$2:$BX$549,MATCH(M$2,'Slutlig allokering kvv'!$B$1:$BX$1,0),FALSE)/1,0))</f>
        <v/>
      </c>
      <c r="N124" s="121" t="str">
        <f>IF($D124="","",IFERROR(VLOOKUP($B124,Kraftvärmeprod!$B$1:$BX$549,MATCH(N$2,Kraftvärmeprod!$B$1:$VX$1,0),FALSE)/1,0)-IFERROR(VLOOKUP($B124,'Slutlig allokering kvv'!$B$2:$BX$549,MATCH(N$2,'Slutlig allokering kvv'!$B$1:$BX$1,0),FALSE)/1,0))</f>
        <v/>
      </c>
      <c r="O124" s="121" t="str">
        <f>IF($D124="","",IFERROR(VLOOKUP($B124,Kraftvärmeprod!$B$1:$BX$549,MATCH(O$2,Kraftvärmeprod!$B$1:$VX$1,0),FALSE)/1,0)-IFERROR(VLOOKUP($B124,'Slutlig allokering kvv'!$B$2:$BX$549,MATCH(O$2,'Slutlig allokering kvv'!$B$1:$BX$1,0),FALSE)/1,0))</f>
        <v/>
      </c>
      <c r="P124" s="121" t="str">
        <f>IF($D124="","",IFERROR(VLOOKUP($B124,Kraftvärmeprod!$B$1:$BX$549,MATCH(P$2,Kraftvärmeprod!$B$1:$VX$1,0),FALSE)/1,0)-IFERROR(VLOOKUP($B124,'Slutlig allokering kvv'!$B$2:$BX$549,MATCH(P$2,'Slutlig allokering kvv'!$B$1:$BX$1,0),FALSE)/1,0))</f>
        <v/>
      </c>
      <c r="Q124" s="121" t="str">
        <f>IF($D124="","",IFERROR(VLOOKUP($B124,Kraftvärmeprod!$B$1:$BX$549,MATCH(Q$2,Kraftvärmeprod!$B$1:$VX$1,0),FALSE)/1,0)-IFERROR(VLOOKUP($B124,'Slutlig allokering kvv'!$B$2:$BX$549,MATCH(Q$2,'Slutlig allokering kvv'!$B$1:$BX$1,0),FALSE)/1,0))</f>
        <v/>
      </c>
      <c r="R124" s="121" t="str">
        <f>IF($D124="","",IFERROR(VLOOKUP($B124,Kraftvärmeprod!$B$1:$BX$549,MATCH(R$2,Kraftvärmeprod!$B$1:$VX$1,0),FALSE)/1,0)-IFERROR(VLOOKUP($B124,'Slutlig allokering kvv'!$B$2:$BX$549,MATCH(R$2,'Slutlig allokering kvv'!$B$1:$BX$1,0),FALSE)/1,0))</f>
        <v/>
      </c>
      <c r="S124" s="121" t="str">
        <f>IF($D124="","",IFERROR(VLOOKUP($B124,Kraftvärmeprod!$B$1:$BX$549,MATCH(S$2,Kraftvärmeprod!$B$1:$VX$1,0),FALSE)/1,0)-IFERROR(VLOOKUP($B124,'Slutlig allokering kvv'!$B$2:$BX$549,MATCH(S$2,'Slutlig allokering kvv'!$B$1:$BX$1,0),FALSE)/1,0))</f>
        <v/>
      </c>
      <c r="T124" s="121" t="str">
        <f>IF($D124="","",IFERROR(VLOOKUP($B124,Kraftvärmeprod!$B$1:$BX$549,MATCH(T$2,Kraftvärmeprod!$B$1:$VX$1,0),FALSE)/1,0)-IFERROR(VLOOKUP($B124,'Slutlig allokering kvv'!$B$2:$BX$549,MATCH(T$2,'Slutlig allokering kvv'!$B$1:$BX$1,0),FALSE)/1,0))</f>
        <v/>
      </c>
      <c r="U124" s="121" t="str">
        <f>IF($D124="","",IFERROR(VLOOKUP($B124,Kraftvärmeprod!$B$1:$BX$549,MATCH(U$2,Kraftvärmeprod!$B$1:$VX$1,0),FALSE)/1,0)-IFERROR(VLOOKUP($B124,'Slutlig allokering kvv'!$B$2:$BX$549,MATCH(U$2,'Slutlig allokering kvv'!$B$1:$BX$1,0),FALSE)/1,0))</f>
        <v/>
      </c>
      <c r="V124" s="121" t="str">
        <f>IF($D124="","",IFERROR(VLOOKUP($B124,Kraftvärmeprod!$B$1:$BX$549,MATCH(V$2,Kraftvärmeprod!$B$1:$VX$1,0),FALSE)/1,0)-IFERROR(VLOOKUP($B124,'Slutlig allokering kvv'!$B$2:$BX$549,MATCH(V$2,'Slutlig allokering kvv'!$B$1:$BX$1,0),FALSE)/1,0))</f>
        <v/>
      </c>
      <c r="W124" s="121" t="str">
        <f>IF($D124="","",IFERROR(VLOOKUP($B124,Kraftvärmeprod!$B$1:$BX$549,MATCH(W$2,Kraftvärmeprod!$B$1:$VX$1,0),FALSE)/1,0)-IFERROR(VLOOKUP($B124,'Slutlig allokering kvv'!$B$2:$BX$549,MATCH(W$2,'Slutlig allokering kvv'!$B$1:$BX$1,0),FALSE)/1,0))</f>
        <v/>
      </c>
      <c r="X124" s="121" t="str">
        <f>IF($D124="","",IFERROR(VLOOKUP($B124,Kraftvärmeprod!$B$1:$BX$549,MATCH(X$2,Kraftvärmeprod!$B$1:$VX$1,0),FALSE)/1,0)-IFERROR(VLOOKUP($B124,'Slutlig allokering kvv'!$B$2:$BX$549,MATCH(X$2,'Slutlig allokering kvv'!$B$1:$BX$1,0),FALSE)/1,0))</f>
        <v/>
      </c>
      <c r="Y124" s="121" t="str">
        <f>IF($D124="","",IFERROR(VLOOKUP($B124,Kraftvärmeprod!$B$1:$BX$549,MATCH(Y$2,Kraftvärmeprod!$B$1:$VX$1,0),FALSE)/1,0)-IFERROR(VLOOKUP($B124,'Slutlig allokering kvv'!$B$2:$BX$549,MATCH(Y$2,'Slutlig allokering kvv'!$B$1:$BX$1,0),FALSE)/1,0))</f>
        <v/>
      </c>
      <c r="Z124" s="121" t="str">
        <f>IF($D124="","",IFERROR(VLOOKUP($B124,Kraftvärmeprod!$B$1:$BX$549,MATCH(Z$2,Kraftvärmeprod!$B$1:$VX$1,0),FALSE)/1,0)-IFERROR(VLOOKUP($B124,'Slutlig allokering kvv'!$B$2:$BX$549,MATCH(Z$2,'Slutlig allokering kvv'!$B$1:$BX$1,0),FALSE)/1,0))</f>
        <v/>
      </c>
      <c r="AA124" s="121" t="str">
        <f>IF($D124="","",IFERROR(VLOOKUP($B124,Kraftvärmeprod!$B$1:$BX$549,MATCH(AA$2,Kraftvärmeprod!$B$1:$VX$1,0),FALSE)/1,0)-IFERROR(VLOOKUP($B124,'Slutlig allokering kvv'!$B$2:$BX$549,MATCH(AA$2,'Slutlig allokering kvv'!$B$1:$BX$1,0),FALSE)/1,0))</f>
        <v/>
      </c>
      <c r="AB124" s="121" t="str">
        <f>IF($D124="","",IFERROR(VLOOKUP($B124,Kraftvärmeprod!$B$1:$BX$549,MATCH(AB$2,Kraftvärmeprod!$B$1:$VX$1,0),FALSE)/1,0)-IFERROR(VLOOKUP($B124,'Slutlig allokering kvv'!$B$2:$BX$549,MATCH(AB$2,'Slutlig allokering kvv'!$B$1:$BX$1,0),FALSE)/1,0))</f>
        <v/>
      </c>
      <c r="AC124" s="121" t="str">
        <f>IF($D124="","",IFERROR(VLOOKUP($B124,Kraftvärmeprod!$B$1:$BX$549,MATCH(AC$2,Kraftvärmeprod!$B$1:$VX$1,0),FALSE)/1,0)-IFERROR(VLOOKUP($B124,'Slutlig allokering kvv'!$B$2:$BX$549,MATCH(AC$2,'Slutlig allokering kvv'!$B$1:$BX$1,0),FALSE)/1,0))</f>
        <v/>
      </c>
      <c r="AD124" s="121" t="str">
        <f>IF($D124="","",IFERROR(VLOOKUP($B124,Kraftvärmeprod!$B$1:$BX$549,MATCH(AD$2,Kraftvärmeprod!$B$1:$VX$1,0),FALSE)/1,0)-IFERROR(VLOOKUP($B124,'Slutlig allokering kvv'!$B$2:$BX$549,MATCH(AD$2,'Slutlig allokering kvv'!$B$1:$BX$1,0),FALSE)/1,0))</f>
        <v/>
      </c>
      <c r="AE124" s="121" t="str">
        <f>IF($D124="","",IFERROR(VLOOKUP($B124,Miljö!$B$1:$E$550,MATCH("Hjälpel kraftvärme (GWh)",Miljö!$B$1:$E$1,0),FALSE)/1,0)-IFERROR(VLOOKUP($B124,'Slutlig allokering kvv'!$B$2:$BX$549,MATCH(AE$2,'Slutlig allokering kvv'!$B$1:$BX$1,0),FALSE)/1,0))</f>
        <v/>
      </c>
      <c r="AI124" s="121">
        <f t="shared" si="4"/>
        <v>0</v>
      </c>
      <c r="AK124" s="121">
        <f>IFERROR(VLOOKUP($B124,'Slutlig allokering kvv'!$B$2:$AX$549,MATCH("Summa slutlig allokerad tillförd energi (utan hjälpel och rökgaskondensering):",'Slutlig allokering kvv'!$B$1:$AX$1,0),FALSE)/1,"")</f>
        <v>0</v>
      </c>
      <c r="AM124" s="172" t="str">
        <f>IFERROR(1-VLOOKUP($B124,'Slutlig allokering kvv'!$B$2:$AX$549,MATCH("Andel av bränsle i kvv som allokerats till värme, exklusive rökgaskondensering och hjälpel",'Slutlig allokering kvv'!$B$1:$AX$1,0),FALSE),"")</f>
        <v/>
      </c>
      <c r="AO124" s="172" t="str">
        <f t="shared" si="5"/>
        <v/>
      </c>
      <c r="AP124" s="173" t="str">
        <f t="shared" si="6"/>
        <v/>
      </c>
      <c r="AR124" s="172" t="str">
        <f t="shared" si="7"/>
        <v/>
      </c>
    </row>
    <row r="125" spans="1:44" x14ac:dyDescent="0.25">
      <c r="A125" s="171" t="str">
        <f>'Miljövärden för publ företag'!B127</f>
        <v>Karlskoga Kraftvärmeverk AB</v>
      </c>
      <c r="B125" s="171" t="str">
        <f>'Miljövärden för publ företag'!C127</f>
        <v>Karlskoga</v>
      </c>
      <c r="C125" s="121">
        <f>IFERROR(VLOOKUP($B125,Kraftvärmeprod!$B$1:$AH$478,MATCH(C$2,Kraftvärmeprod!$B$1:$AG$1,0),FALSE)/1,"")</f>
        <v>295.39999999999998</v>
      </c>
      <c r="D125" s="121">
        <f>IFERROR(VLOOKUP($B125,Kraftvärmeprod!$B$1:$AH$478,MATCH(D$2,Kraftvärmeprod!$B$1:$AG$1,0),FALSE)/1,"")</f>
        <v>20.9</v>
      </c>
      <c r="F125" s="121">
        <f>IF($D125="","",IFERROR(VLOOKUP($B125,Kraftvärmeprod!$B$1:$BX$549,MATCH(F$2,Kraftvärmeprod!$B$1:$VX$1,0),FALSE)/1,0)-IFERROR(VLOOKUP($B125,'Slutlig allokering kvv'!$B$2:$BX$549,MATCH(F$2,'Slutlig allokering kvv'!$B$1:$BX$1,0),FALSE)/1,0))</f>
        <v>0</v>
      </c>
      <c r="G125" s="121">
        <f>IF($D125="","",IFERROR(VLOOKUP($B125,Kraftvärmeprod!$B$1:$BX$549,MATCH(G$2,Kraftvärmeprod!$B$1:$VX$1,0),FALSE)/1,0)-IFERROR(VLOOKUP($B125,'Slutlig allokering kvv'!$B$2:$BX$549,MATCH(G$2,'Slutlig allokering kvv'!$B$1:$BX$1,0),FALSE)/1,0))</f>
        <v>8.6</v>
      </c>
      <c r="H125" s="121">
        <f>IF($D125="","",IFERROR(VLOOKUP($B125,Kraftvärmeprod!$B$1:$BX$549,MATCH(H$2,Kraftvärmeprod!$B$1:$VX$1,0),FALSE)/1,0)-IFERROR(VLOOKUP($B125,'Slutlig allokering kvv'!$B$2:$BX$549,MATCH(H$2,'Slutlig allokering kvv'!$B$1:$BX$1,0),FALSE)/1,0))</f>
        <v>0</v>
      </c>
      <c r="I125" s="121">
        <f>IF($D125="","",IFERROR(VLOOKUP($B125,Kraftvärmeprod!$B$1:$BX$549,MATCH(I$2,Kraftvärmeprod!$B$1:$VX$1,0),FALSE)/1,0)-IFERROR(VLOOKUP($B125,'Slutlig allokering kvv'!$B$2:$BX$549,MATCH(I$2,'Slutlig allokering kvv'!$B$1:$BX$1,0),FALSE)/1,0))</f>
        <v>0</v>
      </c>
      <c r="J125" s="121">
        <f>IF($D125="","",IFERROR(VLOOKUP($B125,Kraftvärmeprod!$B$1:$BX$549,MATCH(J$2,Kraftvärmeprod!$B$1:$VX$1,0),FALSE)/1,0)-IFERROR(VLOOKUP($B125,'Slutlig allokering kvv'!$B$2:$BX$549,MATCH(J$2,'Slutlig allokering kvv'!$B$1:$BX$1,0),FALSE)/1,0))</f>
        <v>0</v>
      </c>
      <c r="K125" s="121">
        <f>IF($D125="","",IFERROR(VLOOKUP($B125,Kraftvärmeprod!$B$1:$BX$549,MATCH(K$2,Kraftvärmeprod!$B$1:$VX$1,0),FALSE)/1,0)-IFERROR(VLOOKUP($B125,'Slutlig allokering kvv'!$B$2:$BX$549,MATCH(K$2,'Slutlig allokering kvv'!$B$1:$BX$1,0),FALSE)/1,0))</f>
        <v>0</v>
      </c>
      <c r="L125" s="121">
        <f>IF($D125="","",IFERROR(VLOOKUP($B125,Kraftvärmeprod!$B$1:$BX$549,MATCH(L$2,Kraftvärmeprod!$B$1:$VX$1,0),FALSE)/1,0)-IFERROR(VLOOKUP($B125,'Slutlig allokering kvv'!$B$2:$BX$549,MATCH(L$2,'Slutlig allokering kvv'!$B$1:$BX$1,0),FALSE)/1,0))</f>
        <v>0</v>
      </c>
      <c r="M125" s="121">
        <f>IF($D125="","",IFERROR(VLOOKUP($B125,Kraftvärmeprod!$B$1:$BX$549,MATCH(M$2,Kraftvärmeprod!$B$1:$VX$1,0),FALSE)/1,0)-IFERROR(VLOOKUP($B125,'Slutlig allokering kvv'!$B$2:$BX$549,MATCH(M$2,'Slutlig allokering kvv'!$B$1:$BX$1,0),FALSE)/1,0))</f>
        <v>0</v>
      </c>
      <c r="N125" s="121">
        <f>IF($D125="","",IFERROR(VLOOKUP($B125,Kraftvärmeprod!$B$1:$BX$549,MATCH(N$2,Kraftvärmeprod!$B$1:$VX$1,0),FALSE)/1,0)-IFERROR(VLOOKUP($B125,'Slutlig allokering kvv'!$B$2:$BX$549,MATCH(N$2,'Slutlig allokering kvv'!$B$1:$BX$1,0),FALSE)/1,0))</f>
        <v>0</v>
      </c>
      <c r="O125" s="121">
        <f>IF($D125="","",IFERROR(VLOOKUP($B125,Kraftvärmeprod!$B$1:$BX$549,MATCH(O$2,Kraftvärmeprod!$B$1:$VX$1,0),FALSE)/1,0)-IFERROR(VLOOKUP($B125,'Slutlig allokering kvv'!$B$2:$BX$549,MATCH(O$2,'Slutlig allokering kvv'!$B$1:$BX$1,0),FALSE)/1,0))</f>
        <v>0</v>
      </c>
      <c r="P125" s="121">
        <f>IF($D125="","",IFERROR(VLOOKUP($B125,Kraftvärmeprod!$B$1:$BX$549,MATCH(P$2,Kraftvärmeprod!$B$1:$VX$1,0),FALSE)/1,0)-IFERROR(VLOOKUP($B125,'Slutlig allokering kvv'!$B$2:$BX$549,MATCH(P$2,'Slutlig allokering kvv'!$B$1:$BX$1,0),FALSE)/1,0))</f>
        <v>0</v>
      </c>
      <c r="Q125" s="121">
        <f>IF($D125="","",IFERROR(VLOOKUP($B125,Kraftvärmeprod!$B$1:$BX$549,MATCH(Q$2,Kraftvärmeprod!$B$1:$VX$1,0),FALSE)/1,0)-IFERROR(VLOOKUP($B125,'Slutlig allokering kvv'!$B$2:$BX$549,MATCH(Q$2,'Slutlig allokering kvv'!$B$1:$BX$1,0),FALSE)/1,0))</f>
        <v>0</v>
      </c>
      <c r="R125" s="121">
        <f>IF($D125="","",IFERROR(VLOOKUP($B125,Kraftvärmeprod!$B$1:$BX$549,MATCH(R$2,Kraftvärmeprod!$B$1:$VX$1,0),FALSE)/1,0)-IFERROR(VLOOKUP($B125,'Slutlig allokering kvv'!$B$2:$BX$549,MATCH(R$2,'Slutlig allokering kvv'!$B$1:$BX$1,0),FALSE)/1,0))</f>
        <v>0</v>
      </c>
      <c r="S125" s="121">
        <f>IF($D125="","",IFERROR(VLOOKUP($B125,Kraftvärmeprod!$B$1:$BX$549,MATCH(S$2,Kraftvärmeprod!$B$1:$VX$1,0),FALSE)/1,0)-IFERROR(VLOOKUP($B125,'Slutlig allokering kvv'!$B$2:$BX$549,MATCH(S$2,'Slutlig allokering kvv'!$B$1:$BX$1,0),FALSE)/1,0))</f>
        <v>0</v>
      </c>
      <c r="T125" s="121">
        <f>IF($D125="","",IFERROR(VLOOKUP($B125,Kraftvärmeprod!$B$1:$BX$549,MATCH(T$2,Kraftvärmeprod!$B$1:$VX$1,0),FALSE)/1,0)-IFERROR(VLOOKUP($B125,'Slutlig allokering kvv'!$B$2:$BX$549,MATCH(T$2,'Slutlig allokering kvv'!$B$1:$BX$1,0),FALSE)/1,0))</f>
        <v>0</v>
      </c>
      <c r="U125" s="121">
        <f>IF($D125="","",IFERROR(VLOOKUP($B125,Kraftvärmeprod!$B$1:$BX$549,MATCH(U$2,Kraftvärmeprod!$B$1:$VX$1,0),FALSE)/1,0)-IFERROR(VLOOKUP($B125,'Slutlig allokering kvv'!$B$2:$BX$549,MATCH(U$2,'Slutlig allokering kvv'!$B$1:$BX$1,0),FALSE)/1,0))</f>
        <v>0</v>
      </c>
      <c r="V125" s="121">
        <f>IF($D125="","",IFERROR(VLOOKUP($B125,Kraftvärmeprod!$B$1:$BX$549,MATCH(V$2,Kraftvärmeprod!$B$1:$VX$1,0),FALSE)/1,0)-IFERROR(VLOOKUP($B125,'Slutlig allokering kvv'!$B$2:$BX$549,MATCH(V$2,'Slutlig allokering kvv'!$B$1:$BX$1,0),FALSE)/1,0))</f>
        <v>192.5</v>
      </c>
      <c r="W125" s="121">
        <f>IF($D125="","",IFERROR(VLOOKUP($B125,Kraftvärmeprod!$B$1:$BX$549,MATCH(W$2,Kraftvärmeprod!$B$1:$VX$1,0),FALSE)/1,0)-IFERROR(VLOOKUP($B125,'Slutlig allokering kvv'!$B$2:$BX$549,MATCH(W$2,'Slutlig allokering kvv'!$B$1:$BX$1,0),FALSE)/1,0))</f>
        <v>0</v>
      </c>
      <c r="X125" s="121">
        <f>IF($D125="","",IFERROR(VLOOKUP($B125,Kraftvärmeprod!$B$1:$BX$549,MATCH(X$2,Kraftvärmeprod!$B$1:$VX$1,0),FALSE)/1,0)-IFERROR(VLOOKUP($B125,'Slutlig allokering kvv'!$B$2:$BX$549,MATCH(X$2,'Slutlig allokering kvv'!$B$1:$BX$1,0),FALSE)/1,0))</f>
        <v>14.5</v>
      </c>
      <c r="Y125" s="121">
        <f>IF($D125="","",IFERROR(VLOOKUP($B125,Kraftvärmeprod!$B$1:$BX$549,MATCH(Y$2,Kraftvärmeprod!$B$1:$VX$1,0),FALSE)/1,0)-IFERROR(VLOOKUP($B125,'Slutlig allokering kvv'!$B$2:$BX$549,MATCH(Y$2,'Slutlig allokering kvv'!$B$1:$BX$1,0),FALSE)/1,0))</f>
        <v>7.4</v>
      </c>
      <c r="Z125" s="121">
        <f>IF($D125="","",IFERROR(VLOOKUP($B125,Kraftvärmeprod!$B$1:$BX$549,MATCH(Z$2,Kraftvärmeprod!$B$1:$VX$1,0),FALSE)/1,0)-IFERROR(VLOOKUP($B125,'Slutlig allokering kvv'!$B$2:$BX$549,MATCH(Z$2,'Slutlig allokering kvv'!$B$1:$BX$1,0),FALSE)/1,0))</f>
        <v>60.1</v>
      </c>
      <c r="AA125" s="121">
        <f>IF($D125="","",IFERROR(VLOOKUP($B125,Kraftvärmeprod!$B$1:$BX$549,MATCH(AA$2,Kraftvärmeprod!$B$1:$VX$1,0),FALSE)/1,0)-IFERROR(VLOOKUP($B125,'Slutlig allokering kvv'!$B$2:$BX$549,MATCH(AA$2,'Slutlig allokering kvv'!$B$1:$BX$1,0),FALSE)/1,0))</f>
        <v>72.2</v>
      </c>
      <c r="AB125" s="121">
        <f>IF($D125="","",IFERROR(VLOOKUP($B125,Kraftvärmeprod!$B$1:$BX$549,MATCH(AB$2,Kraftvärmeprod!$B$1:$VX$1,0),FALSE)/1,0)-IFERROR(VLOOKUP($B125,'Slutlig allokering kvv'!$B$2:$BX$549,MATCH(AB$2,'Slutlig allokering kvv'!$B$1:$BX$1,0),FALSE)/1,0))</f>
        <v>0</v>
      </c>
      <c r="AC125" s="121">
        <f>IF($D125="","",IFERROR(VLOOKUP($B125,Kraftvärmeprod!$B$1:$BX$549,MATCH(AC$2,Kraftvärmeprod!$B$1:$VX$1,0),FALSE)/1,0)-IFERROR(VLOOKUP($B125,'Slutlig allokering kvv'!$B$2:$BX$549,MATCH(AC$2,'Slutlig allokering kvv'!$B$1:$BX$1,0),FALSE)/1,0))</f>
        <v>0</v>
      </c>
      <c r="AD125" s="121">
        <f>IF($D125="","",IFERROR(VLOOKUP($B125,Kraftvärmeprod!$B$1:$BX$549,MATCH(AD$2,Kraftvärmeprod!$B$1:$VX$1,0),FALSE)/1,0)-IFERROR(VLOOKUP($B125,'Slutlig allokering kvv'!$B$2:$BX$549,MATCH(AD$2,'Slutlig allokering kvv'!$B$1:$BX$1,0),FALSE)/1,0))</f>
        <v>22.4</v>
      </c>
      <c r="AE125" s="121">
        <f>IF($D125="","",IFERROR(VLOOKUP($B125,Miljö!$B$1:$E$550,MATCH("Hjälpel kraftvärme (GWh)",Miljö!$B$1:$E$1,0),FALSE)/1,0)-IFERROR(VLOOKUP($B125,'Slutlig allokering kvv'!$B$2:$BX$549,MATCH(AE$2,'Slutlig allokering kvv'!$B$1:$BX$1,0),FALSE)/1,0))</f>
        <v>15.031000000000001</v>
      </c>
      <c r="AI125" s="121">
        <f t="shared" si="4"/>
        <v>355.3</v>
      </c>
      <c r="AK125" s="121">
        <f>IFERROR(VLOOKUP($B125,'Slutlig allokering kvv'!$B$2:$AX$549,MATCH("Summa slutlig allokerad tillförd energi (utan hjälpel och rökgaskondensering):",'Slutlig allokering kvv'!$B$1:$AX$1,0),FALSE)/1,"")</f>
        <v>0</v>
      </c>
      <c r="AM125" s="172" t="str">
        <f>IFERROR(1-VLOOKUP($B125,'Slutlig allokering kvv'!$B$2:$AX$549,MATCH("Andel av bränsle i kvv som allokerats till värme, exklusive rökgaskondensering och hjälpel",'Slutlig allokering kvv'!$B$1:$AX$1,0),FALSE),"")</f>
        <v/>
      </c>
      <c r="AO125" s="172">
        <f t="shared" si="5"/>
        <v>1</v>
      </c>
      <c r="AP125" s="173" t="str">
        <f t="shared" si="6"/>
        <v/>
      </c>
      <c r="AR125" s="172">
        <f t="shared" si="7"/>
        <v>5.6435999146709291E-2</v>
      </c>
    </row>
    <row r="126" spans="1:44" x14ac:dyDescent="0.25">
      <c r="A126" s="171" t="str">
        <f>'Miljövärden för publ företag'!B128</f>
        <v>Karlstads Energi AB</v>
      </c>
      <c r="B126" s="171" t="str">
        <f>'Miljövärden för publ företag'!C128</f>
        <v>Karlstad</v>
      </c>
      <c r="C126" s="121">
        <f>IFERROR(VLOOKUP($B126,Kraftvärmeprod!$B$1:$AH$478,MATCH(C$2,Kraftvärmeprod!$B$1:$AG$1,0),FALSE)/1,"")</f>
        <v>483.125</v>
      </c>
      <c r="D126" s="121">
        <f>IFERROR(VLOOKUP($B126,Kraftvärmeprod!$B$1:$AH$478,MATCH(D$2,Kraftvärmeprod!$B$1:$AG$1,0),FALSE)/1,"")</f>
        <v>122.148</v>
      </c>
      <c r="F126" s="121">
        <f>IF($D126="","",IFERROR(VLOOKUP($B126,Kraftvärmeprod!$B$1:$BX$549,MATCH(F$2,Kraftvärmeprod!$B$1:$VX$1,0),FALSE)/1,0)-IFERROR(VLOOKUP($B126,'Slutlig allokering kvv'!$B$2:$BX$549,MATCH(F$2,'Slutlig allokering kvv'!$B$1:$BX$1,0),FALSE)/1,0))</f>
        <v>0</v>
      </c>
      <c r="G126" s="121">
        <f>IF($D126="","",IFERROR(VLOOKUP($B126,Kraftvärmeprod!$B$1:$BX$549,MATCH(G$2,Kraftvärmeprod!$B$1:$VX$1,0),FALSE)/1,0)-IFERROR(VLOOKUP($B126,'Slutlig allokering kvv'!$B$2:$BX$549,MATCH(G$2,'Slutlig allokering kvv'!$B$1:$BX$1,0),FALSE)/1,0))</f>
        <v>1.4536100000000003</v>
      </c>
      <c r="H126" s="121">
        <f>IF($D126="","",IFERROR(VLOOKUP($B126,Kraftvärmeprod!$B$1:$BX$549,MATCH(H$2,Kraftvärmeprod!$B$1:$VX$1,0),FALSE)/1,0)-IFERROR(VLOOKUP($B126,'Slutlig allokering kvv'!$B$2:$BX$549,MATCH(H$2,'Slutlig allokering kvv'!$B$1:$BX$1,0),FALSE)/1,0))</f>
        <v>0</v>
      </c>
      <c r="I126" s="121">
        <f>IF($D126="","",IFERROR(VLOOKUP($B126,Kraftvärmeprod!$B$1:$BX$549,MATCH(I$2,Kraftvärmeprod!$B$1:$VX$1,0),FALSE)/1,0)-IFERROR(VLOOKUP($B126,'Slutlig allokering kvv'!$B$2:$BX$549,MATCH(I$2,'Slutlig allokering kvv'!$B$1:$BX$1,0),FALSE)/1,0))</f>
        <v>0</v>
      </c>
      <c r="J126" s="121">
        <f>IF($D126="","",IFERROR(VLOOKUP($B126,Kraftvärmeprod!$B$1:$BX$549,MATCH(J$2,Kraftvärmeprod!$B$1:$VX$1,0),FALSE)/1,0)-IFERROR(VLOOKUP($B126,'Slutlig allokering kvv'!$B$2:$BX$549,MATCH(J$2,'Slutlig allokering kvv'!$B$1:$BX$1,0),FALSE)/1,0))</f>
        <v>0</v>
      </c>
      <c r="K126" s="121">
        <f>IF($D126="","",IFERROR(VLOOKUP($B126,Kraftvärmeprod!$B$1:$BX$549,MATCH(K$2,Kraftvärmeprod!$B$1:$VX$1,0),FALSE)/1,0)-IFERROR(VLOOKUP($B126,'Slutlig allokering kvv'!$B$2:$BX$549,MATCH(K$2,'Slutlig allokering kvv'!$B$1:$BX$1,0),FALSE)/1,0))</f>
        <v>0</v>
      </c>
      <c r="L126" s="121">
        <f>IF($D126="","",IFERROR(VLOOKUP($B126,Kraftvärmeprod!$B$1:$BX$549,MATCH(L$2,Kraftvärmeprod!$B$1:$VX$1,0),FALSE)/1,0)-IFERROR(VLOOKUP($B126,'Slutlig allokering kvv'!$B$2:$BX$549,MATCH(L$2,'Slutlig allokering kvv'!$B$1:$BX$1,0),FALSE)/1,0))</f>
        <v>0</v>
      </c>
      <c r="M126" s="121">
        <f>IF($D126="","",IFERROR(VLOOKUP($B126,Kraftvärmeprod!$B$1:$BX$549,MATCH(M$2,Kraftvärmeprod!$B$1:$VX$1,0),FALSE)/1,0)-IFERROR(VLOOKUP($B126,'Slutlig allokering kvv'!$B$2:$BX$549,MATCH(M$2,'Slutlig allokering kvv'!$B$1:$BX$1,0),FALSE)/1,0))</f>
        <v>0</v>
      </c>
      <c r="N126" s="121">
        <f>IF($D126="","",IFERROR(VLOOKUP($B126,Kraftvärmeprod!$B$1:$BX$549,MATCH(N$2,Kraftvärmeprod!$B$1:$VX$1,0),FALSE)/1,0)-IFERROR(VLOOKUP($B126,'Slutlig allokering kvv'!$B$2:$BX$549,MATCH(N$2,'Slutlig allokering kvv'!$B$1:$BX$1,0),FALSE)/1,0))</f>
        <v>0</v>
      </c>
      <c r="O126" s="121">
        <f>IF($D126="","",IFERROR(VLOOKUP($B126,Kraftvärmeprod!$B$1:$BX$549,MATCH(O$2,Kraftvärmeprod!$B$1:$VX$1,0),FALSE)/1,0)-IFERROR(VLOOKUP($B126,'Slutlig allokering kvv'!$B$2:$BX$549,MATCH(O$2,'Slutlig allokering kvv'!$B$1:$BX$1,0),FALSE)/1,0))</f>
        <v>0</v>
      </c>
      <c r="P126" s="121">
        <f>IF($D126="","",IFERROR(VLOOKUP($B126,Kraftvärmeprod!$B$1:$BX$549,MATCH(P$2,Kraftvärmeprod!$B$1:$VX$1,0),FALSE)/1,0)-IFERROR(VLOOKUP($B126,'Slutlig allokering kvv'!$B$2:$BX$549,MATCH(P$2,'Slutlig allokering kvv'!$B$1:$BX$1,0),FALSE)/1,0))</f>
        <v>0</v>
      </c>
      <c r="Q126" s="121">
        <f>IF($D126="","",IFERROR(VLOOKUP($B126,Kraftvärmeprod!$B$1:$BX$549,MATCH(Q$2,Kraftvärmeprod!$B$1:$VX$1,0),FALSE)/1,0)-IFERROR(VLOOKUP($B126,'Slutlig allokering kvv'!$B$2:$BX$549,MATCH(Q$2,'Slutlig allokering kvv'!$B$1:$BX$1,0),FALSE)/1,0))</f>
        <v>219.22200000000004</v>
      </c>
      <c r="R126" s="121">
        <f>IF($D126="","",IFERROR(VLOOKUP($B126,Kraftvärmeprod!$B$1:$BX$549,MATCH(R$2,Kraftvärmeprod!$B$1:$VX$1,0),FALSE)/1,0)-IFERROR(VLOOKUP($B126,'Slutlig allokering kvv'!$B$2:$BX$549,MATCH(R$2,'Slutlig allokering kvv'!$B$1:$BX$1,0),FALSE)/1,0))</f>
        <v>0</v>
      </c>
      <c r="S126" s="121">
        <f>IF($D126="","",IFERROR(VLOOKUP($B126,Kraftvärmeprod!$B$1:$BX$549,MATCH(S$2,Kraftvärmeprod!$B$1:$VX$1,0),FALSE)/1,0)-IFERROR(VLOOKUP($B126,'Slutlig allokering kvv'!$B$2:$BX$549,MATCH(S$2,'Slutlig allokering kvv'!$B$1:$BX$1,0),FALSE)/1,0))</f>
        <v>0</v>
      </c>
      <c r="T126" s="121">
        <f>IF($D126="","",IFERROR(VLOOKUP($B126,Kraftvärmeprod!$B$1:$BX$549,MATCH(T$2,Kraftvärmeprod!$B$1:$VX$1,0),FALSE)/1,0)-IFERROR(VLOOKUP($B126,'Slutlig allokering kvv'!$B$2:$BX$549,MATCH(T$2,'Slutlig allokering kvv'!$B$1:$BX$1,0),FALSE)/1,0))</f>
        <v>0</v>
      </c>
      <c r="U126" s="121">
        <f>IF($D126="","",IFERROR(VLOOKUP($B126,Kraftvärmeprod!$B$1:$BX$549,MATCH(U$2,Kraftvärmeprod!$B$1:$VX$1,0),FALSE)/1,0)-IFERROR(VLOOKUP($B126,'Slutlig allokering kvv'!$B$2:$BX$549,MATCH(U$2,'Slutlig allokering kvv'!$B$1:$BX$1,0),FALSE)/1,0))</f>
        <v>0</v>
      </c>
      <c r="V126" s="121">
        <f>IF($D126="","",IFERROR(VLOOKUP($B126,Kraftvärmeprod!$B$1:$BX$549,MATCH(V$2,Kraftvärmeprod!$B$1:$VX$1,0),FALSE)/1,0)-IFERROR(VLOOKUP($B126,'Slutlig allokering kvv'!$B$2:$BX$549,MATCH(V$2,'Slutlig allokering kvv'!$B$1:$BX$1,0),FALSE)/1,0))</f>
        <v>0</v>
      </c>
      <c r="W126" s="121">
        <f>IF($D126="","",IFERROR(VLOOKUP($B126,Kraftvärmeprod!$B$1:$BX$549,MATCH(W$2,Kraftvärmeprod!$B$1:$VX$1,0),FALSE)/1,0)-IFERROR(VLOOKUP($B126,'Slutlig allokering kvv'!$B$2:$BX$549,MATCH(W$2,'Slutlig allokering kvv'!$B$1:$BX$1,0),FALSE)/1,0))</f>
        <v>0</v>
      </c>
      <c r="X126" s="121">
        <f>IF($D126="","",IFERROR(VLOOKUP($B126,Kraftvärmeprod!$B$1:$BX$549,MATCH(X$2,Kraftvärmeprod!$B$1:$VX$1,0),FALSE)/1,0)-IFERROR(VLOOKUP($B126,'Slutlig allokering kvv'!$B$2:$BX$549,MATCH(X$2,'Slutlig allokering kvv'!$B$1:$BX$1,0),FALSE)/1,0))</f>
        <v>0</v>
      </c>
      <c r="Y126" s="121">
        <f>IF($D126="","",IFERROR(VLOOKUP($B126,Kraftvärmeprod!$B$1:$BX$549,MATCH(Y$2,Kraftvärmeprod!$B$1:$VX$1,0),FALSE)/1,0)-IFERROR(VLOOKUP($B126,'Slutlig allokering kvv'!$B$2:$BX$549,MATCH(Y$2,'Slutlig allokering kvv'!$B$1:$BX$1,0),FALSE)/1,0))</f>
        <v>0</v>
      </c>
      <c r="Z126" s="121">
        <f>IF($D126="","",IFERROR(VLOOKUP($B126,Kraftvärmeprod!$B$1:$BX$549,MATCH(Z$2,Kraftvärmeprod!$B$1:$VX$1,0),FALSE)/1,0)-IFERROR(VLOOKUP($B126,'Slutlig allokering kvv'!$B$2:$BX$549,MATCH(Z$2,'Slutlig allokering kvv'!$B$1:$BX$1,0),FALSE)/1,0))</f>
        <v>0</v>
      </c>
      <c r="AA126" s="121">
        <f>IF($D126="","",IFERROR(VLOOKUP($B126,Kraftvärmeprod!$B$1:$BX$549,MATCH(AA$2,Kraftvärmeprod!$B$1:$VX$1,0),FALSE)/1,0)-IFERROR(VLOOKUP($B126,'Slutlig allokering kvv'!$B$2:$BX$549,MATCH(AA$2,'Slutlig allokering kvv'!$B$1:$BX$1,0),FALSE)/1,0))</f>
        <v>0</v>
      </c>
      <c r="AB126" s="121">
        <f>IF($D126="","",IFERROR(VLOOKUP($B126,Kraftvärmeprod!$B$1:$BX$549,MATCH(AB$2,Kraftvärmeprod!$B$1:$VX$1,0),FALSE)/1,0)-IFERROR(VLOOKUP($B126,'Slutlig allokering kvv'!$B$2:$BX$549,MATCH(AB$2,'Slutlig allokering kvv'!$B$1:$BX$1,0),FALSE)/1,0))</f>
        <v>0</v>
      </c>
      <c r="AC126" s="121">
        <f>IF($D126="","",IFERROR(VLOOKUP($B126,Kraftvärmeprod!$B$1:$BX$549,MATCH(AC$2,Kraftvärmeprod!$B$1:$VX$1,0),FALSE)/1,0)-IFERROR(VLOOKUP($B126,'Slutlig allokering kvv'!$B$2:$BX$549,MATCH(AC$2,'Slutlig allokering kvv'!$B$1:$BX$1,0),FALSE)/1,0))</f>
        <v>0</v>
      </c>
      <c r="AD126" s="121">
        <f>IF($D126="","",IFERROR(VLOOKUP($B126,Kraftvärmeprod!$B$1:$BX$549,MATCH(AD$2,Kraftvärmeprod!$B$1:$VX$1,0),FALSE)/1,0)-IFERROR(VLOOKUP($B126,'Slutlig allokering kvv'!$B$2:$BX$549,MATCH(AD$2,'Slutlig allokering kvv'!$B$1:$BX$1,0),FALSE)/1,0))</f>
        <v>0</v>
      </c>
      <c r="AE126" s="121">
        <f>IF($D126="","",IFERROR(VLOOKUP($B126,Miljö!$B$1:$E$550,MATCH("Hjälpel kraftvärme (GWh)",Miljö!$B$1:$E$1,0),FALSE)/1,0)-IFERROR(VLOOKUP($B126,'Slutlig allokering kvv'!$B$2:$BX$549,MATCH(AE$2,'Slutlig allokering kvv'!$B$1:$BX$1,0),FALSE)/1,0))</f>
        <v>11.2438</v>
      </c>
      <c r="AI126" s="121">
        <f t="shared" si="4"/>
        <v>220.67561000000003</v>
      </c>
      <c r="AK126" s="121">
        <f>IFERROR(VLOOKUP($B126,'Slutlig allokering kvv'!$B$2:$AX$549,MATCH("Summa slutlig allokerad tillförd energi (utan hjälpel och rökgaskondensering):",'Slutlig allokering kvv'!$B$1:$AX$1,0),FALSE)/1,"")</f>
        <v>335.55738999999994</v>
      </c>
      <c r="AM126" s="172">
        <f>IFERROR(1-VLOOKUP($B126,'Slutlig allokering kvv'!$B$2:$AX$549,MATCH("Andel av bränsle i kvv som allokerats till värme, exklusive rökgaskondensering och hjälpel",'Slutlig allokering kvv'!$B$1:$AX$1,0),FALSE),"")</f>
        <v>0.39673232260581459</v>
      </c>
      <c r="AO126" s="172">
        <f t="shared" si="5"/>
        <v>0.39673232260581459</v>
      </c>
      <c r="AP126" s="173">
        <f t="shared" si="6"/>
        <v>0</v>
      </c>
      <c r="AR126" s="172">
        <f t="shared" si="7"/>
        <v>0.52668295422103728</v>
      </c>
    </row>
    <row r="127" spans="1:44" x14ac:dyDescent="0.25">
      <c r="A127" s="171" t="str">
        <f>'Miljövärden för publ företag'!B129</f>
        <v>Kils Energi AB</v>
      </c>
      <c r="B127" s="171" t="str">
        <f>'Miljövärden för publ företag'!C129</f>
        <v>Kil</v>
      </c>
      <c r="C127" s="121" t="str">
        <f>IFERROR(VLOOKUP($B127,Kraftvärmeprod!$B$1:$AH$478,MATCH(C$2,Kraftvärmeprod!$B$1:$AG$1,0),FALSE)/1,"")</f>
        <v/>
      </c>
      <c r="D127" s="121" t="str">
        <f>IFERROR(VLOOKUP($B127,Kraftvärmeprod!$B$1:$AH$478,MATCH(D$2,Kraftvärmeprod!$B$1:$AG$1,0),FALSE)/1,"")</f>
        <v/>
      </c>
      <c r="F127" s="121" t="str">
        <f>IF($D127="","",IFERROR(VLOOKUP($B127,Kraftvärmeprod!$B$1:$BX$549,MATCH(F$2,Kraftvärmeprod!$B$1:$VX$1,0),FALSE)/1,0)-IFERROR(VLOOKUP($B127,'Slutlig allokering kvv'!$B$2:$BX$549,MATCH(F$2,'Slutlig allokering kvv'!$B$1:$BX$1,0),FALSE)/1,0))</f>
        <v/>
      </c>
      <c r="G127" s="121" t="str">
        <f>IF($D127="","",IFERROR(VLOOKUP($B127,Kraftvärmeprod!$B$1:$BX$549,MATCH(G$2,Kraftvärmeprod!$B$1:$VX$1,0),FALSE)/1,0)-IFERROR(VLOOKUP($B127,'Slutlig allokering kvv'!$B$2:$BX$549,MATCH(G$2,'Slutlig allokering kvv'!$B$1:$BX$1,0),FALSE)/1,0))</f>
        <v/>
      </c>
      <c r="H127" s="121" t="str">
        <f>IF($D127="","",IFERROR(VLOOKUP($B127,Kraftvärmeprod!$B$1:$BX$549,MATCH(H$2,Kraftvärmeprod!$B$1:$VX$1,0),FALSE)/1,0)-IFERROR(VLOOKUP($B127,'Slutlig allokering kvv'!$B$2:$BX$549,MATCH(H$2,'Slutlig allokering kvv'!$B$1:$BX$1,0),FALSE)/1,0))</f>
        <v/>
      </c>
      <c r="I127" s="121" t="str">
        <f>IF($D127="","",IFERROR(VLOOKUP($B127,Kraftvärmeprod!$B$1:$BX$549,MATCH(I$2,Kraftvärmeprod!$B$1:$VX$1,0),FALSE)/1,0)-IFERROR(VLOOKUP($B127,'Slutlig allokering kvv'!$B$2:$BX$549,MATCH(I$2,'Slutlig allokering kvv'!$B$1:$BX$1,0),FALSE)/1,0))</f>
        <v/>
      </c>
      <c r="J127" s="121" t="str">
        <f>IF($D127="","",IFERROR(VLOOKUP($B127,Kraftvärmeprod!$B$1:$BX$549,MATCH(J$2,Kraftvärmeprod!$B$1:$VX$1,0),FALSE)/1,0)-IFERROR(VLOOKUP($B127,'Slutlig allokering kvv'!$B$2:$BX$549,MATCH(J$2,'Slutlig allokering kvv'!$B$1:$BX$1,0),FALSE)/1,0))</f>
        <v/>
      </c>
      <c r="K127" s="121" t="str">
        <f>IF($D127="","",IFERROR(VLOOKUP($B127,Kraftvärmeprod!$B$1:$BX$549,MATCH(K$2,Kraftvärmeprod!$B$1:$VX$1,0),FALSE)/1,0)-IFERROR(VLOOKUP($B127,'Slutlig allokering kvv'!$B$2:$BX$549,MATCH(K$2,'Slutlig allokering kvv'!$B$1:$BX$1,0),FALSE)/1,0))</f>
        <v/>
      </c>
      <c r="L127" s="121" t="str">
        <f>IF($D127="","",IFERROR(VLOOKUP($B127,Kraftvärmeprod!$B$1:$BX$549,MATCH(L$2,Kraftvärmeprod!$B$1:$VX$1,0),FALSE)/1,0)-IFERROR(VLOOKUP($B127,'Slutlig allokering kvv'!$B$2:$BX$549,MATCH(L$2,'Slutlig allokering kvv'!$B$1:$BX$1,0),FALSE)/1,0))</f>
        <v/>
      </c>
      <c r="M127" s="121" t="str">
        <f>IF($D127="","",IFERROR(VLOOKUP($B127,Kraftvärmeprod!$B$1:$BX$549,MATCH(M$2,Kraftvärmeprod!$B$1:$VX$1,0),FALSE)/1,0)-IFERROR(VLOOKUP($B127,'Slutlig allokering kvv'!$B$2:$BX$549,MATCH(M$2,'Slutlig allokering kvv'!$B$1:$BX$1,0),FALSE)/1,0))</f>
        <v/>
      </c>
      <c r="N127" s="121" t="str">
        <f>IF($D127="","",IFERROR(VLOOKUP($B127,Kraftvärmeprod!$B$1:$BX$549,MATCH(N$2,Kraftvärmeprod!$B$1:$VX$1,0),FALSE)/1,0)-IFERROR(VLOOKUP($B127,'Slutlig allokering kvv'!$B$2:$BX$549,MATCH(N$2,'Slutlig allokering kvv'!$B$1:$BX$1,0),FALSE)/1,0))</f>
        <v/>
      </c>
      <c r="O127" s="121" t="str">
        <f>IF($D127="","",IFERROR(VLOOKUP($B127,Kraftvärmeprod!$B$1:$BX$549,MATCH(O$2,Kraftvärmeprod!$B$1:$VX$1,0),FALSE)/1,0)-IFERROR(VLOOKUP($B127,'Slutlig allokering kvv'!$B$2:$BX$549,MATCH(O$2,'Slutlig allokering kvv'!$B$1:$BX$1,0),FALSE)/1,0))</f>
        <v/>
      </c>
      <c r="P127" s="121" t="str">
        <f>IF($D127="","",IFERROR(VLOOKUP($B127,Kraftvärmeprod!$B$1:$BX$549,MATCH(P$2,Kraftvärmeprod!$B$1:$VX$1,0),FALSE)/1,0)-IFERROR(VLOOKUP($B127,'Slutlig allokering kvv'!$B$2:$BX$549,MATCH(P$2,'Slutlig allokering kvv'!$B$1:$BX$1,0),FALSE)/1,0))</f>
        <v/>
      </c>
      <c r="Q127" s="121" t="str">
        <f>IF($D127="","",IFERROR(VLOOKUP($B127,Kraftvärmeprod!$B$1:$BX$549,MATCH(Q$2,Kraftvärmeprod!$B$1:$VX$1,0),FALSE)/1,0)-IFERROR(VLOOKUP($B127,'Slutlig allokering kvv'!$B$2:$BX$549,MATCH(Q$2,'Slutlig allokering kvv'!$B$1:$BX$1,0),FALSE)/1,0))</f>
        <v/>
      </c>
      <c r="R127" s="121" t="str">
        <f>IF($D127="","",IFERROR(VLOOKUP($B127,Kraftvärmeprod!$B$1:$BX$549,MATCH(R$2,Kraftvärmeprod!$B$1:$VX$1,0),FALSE)/1,0)-IFERROR(VLOOKUP($B127,'Slutlig allokering kvv'!$B$2:$BX$549,MATCH(R$2,'Slutlig allokering kvv'!$B$1:$BX$1,0),FALSE)/1,0))</f>
        <v/>
      </c>
      <c r="S127" s="121" t="str">
        <f>IF($D127="","",IFERROR(VLOOKUP($B127,Kraftvärmeprod!$B$1:$BX$549,MATCH(S$2,Kraftvärmeprod!$B$1:$VX$1,0),FALSE)/1,0)-IFERROR(VLOOKUP($B127,'Slutlig allokering kvv'!$B$2:$BX$549,MATCH(S$2,'Slutlig allokering kvv'!$B$1:$BX$1,0),FALSE)/1,0))</f>
        <v/>
      </c>
      <c r="T127" s="121" t="str">
        <f>IF($D127="","",IFERROR(VLOOKUP($B127,Kraftvärmeprod!$B$1:$BX$549,MATCH(T$2,Kraftvärmeprod!$B$1:$VX$1,0),FALSE)/1,0)-IFERROR(VLOOKUP($B127,'Slutlig allokering kvv'!$B$2:$BX$549,MATCH(T$2,'Slutlig allokering kvv'!$B$1:$BX$1,0),FALSE)/1,0))</f>
        <v/>
      </c>
      <c r="U127" s="121" t="str">
        <f>IF($D127="","",IFERROR(VLOOKUP($B127,Kraftvärmeprod!$B$1:$BX$549,MATCH(U$2,Kraftvärmeprod!$B$1:$VX$1,0),FALSE)/1,0)-IFERROR(VLOOKUP($B127,'Slutlig allokering kvv'!$B$2:$BX$549,MATCH(U$2,'Slutlig allokering kvv'!$B$1:$BX$1,0),FALSE)/1,0))</f>
        <v/>
      </c>
      <c r="V127" s="121" t="str">
        <f>IF($D127="","",IFERROR(VLOOKUP($B127,Kraftvärmeprod!$B$1:$BX$549,MATCH(V$2,Kraftvärmeprod!$B$1:$VX$1,0),FALSE)/1,0)-IFERROR(VLOOKUP($B127,'Slutlig allokering kvv'!$B$2:$BX$549,MATCH(V$2,'Slutlig allokering kvv'!$B$1:$BX$1,0),FALSE)/1,0))</f>
        <v/>
      </c>
      <c r="W127" s="121" t="str">
        <f>IF($D127="","",IFERROR(VLOOKUP($B127,Kraftvärmeprod!$B$1:$BX$549,MATCH(W$2,Kraftvärmeprod!$B$1:$VX$1,0),FALSE)/1,0)-IFERROR(VLOOKUP($B127,'Slutlig allokering kvv'!$B$2:$BX$549,MATCH(W$2,'Slutlig allokering kvv'!$B$1:$BX$1,0),FALSE)/1,0))</f>
        <v/>
      </c>
      <c r="X127" s="121" t="str">
        <f>IF($D127="","",IFERROR(VLOOKUP($B127,Kraftvärmeprod!$B$1:$BX$549,MATCH(X$2,Kraftvärmeprod!$B$1:$VX$1,0),FALSE)/1,0)-IFERROR(VLOOKUP($B127,'Slutlig allokering kvv'!$B$2:$BX$549,MATCH(X$2,'Slutlig allokering kvv'!$B$1:$BX$1,0),FALSE)/1,0))</f>
        <v/>
      </c>
      <c r="Y127" s="121" t="str">
        <f>IF($D127="","",IFERROR(VLOOKUP($B127,Kraftvärmeprod!$B$1:$BX$549,MATCH(Y$2,Kraftvärmeprod!$B$1:$VX$1,0),FALSE)/1,0)-IFERROR(VLOOKUP($B127,'Slutlig allokering kvv'!$B$2:$BX$549,MATCH(Y$2,'Slutlig allokering kvv'!$B$1:$BX$1,0),FALSE)/1,0))</f>
        <v/>
      </c>
      <c r="Z127" s="121" t="str">
        <f>IF($D127="","",IFERROR(VLOOKUP($B127,Kraftvärmeprod!$B$1:$BX$549,MATCH(Z$2,Kraftvärmeprod!$B$1:$VX$1,0),FALSE)/1,0)-IFERROR(VLOOKUP($B127,'Slutlig allokering kvv'!$B$2:$BX$549,MATCH(Z$2,'Slutlig allokering kvv'!$B$1:$BX$1,0),FALSE)/1,0))</f>
        <v/>
      </c>
      <c r="AA127" s="121" t="str">
        <f>IF($D127="","",IFERROR(VLOOKUP($B127,Kraftvärmeprod!$B$1:$BX$549,MATCH(AA$2,Kraftvärmeprod!$B$1:$VX$1,0),FALSE)/1,0)-IFERROR(VLOOKUP($B127,'Slutlig allokering kvv'!$B$2:$BX$549,MATCH(AA$2,'Slutlig allokering kvv'!$B$1:$BX$1,0),FALSE)/1,0))</f>
        <v/>
      </c>
      <c r="AB127" s="121" t="str">
        <f>IF($D127="","",IFERROR(VLOOKUP($B127,Kraftvärmeprod!$B$1:$BX$549,MATCH(AB$2,Kraftvärmeprod!$B$1:$VX$1,0),FALSE)/1,0)-IFERROR(VLOOKUP($B127,'Slutlig allokering kvv'!$B$2:$BX$549,MATCH(AB$2,'Slutlig allokering kvv'!$B$1:$BX$1,0),FALSE)/1,0))</f>
        <v/>
      </c>
      <c r="AC127" s="121" t="str">
        <f>IF($D127="","",IFERROR(VLOOKUP($B127,Kraftvärmeprod!$B$1:$BX$549,MATCH(AC$2,Kraftvärmeprod!$B$1:$VX$1,0),FALSE)/1,0)-IFERROR(VLOOKUP($B127,'Slutlig allokering kvv'!$B$2:$BX$549,MATCH(AC$2,'Slutlig allokering kvv'!$B$1:$BX$1,0),FALSE)/1,0))</f>
        <v/>
      </c>
      <c r="AD127" s="121" t="str">
        <f>IF($D127="","",IFERROR(VLOOKUP($B127,Kraftvärmeprod!$B$1:$BX$549,MATCH(AD$2,Kraftvärmeprod!$B$1:$VX$1,0),FALSE)/1,0)-IFERROR(VLOOKUP($B127,'Slutlig allokering kvv'!$B$2:$BX$549,MATCH(AD$2,'Slutlig allokering kvv'!$B$1:$BX$1,0),FALSE)/1,0))</f>
        <v/>
      </c>
      <c r="AE127" s="121" t="str">
        <f>IF($D127="","",IFERROR(VLOOKUP($B127,Miljö!$B$1:$E$550,MATCH("Hjälpel kraftvärme (GWh)",Miljö!$B$1:$E$1,0),FALSE)/1,0)-IFERROR(VLOOKUP($B127,'Slutlig allokering kvv'!$B$2:$BX$549,MATCH(AE$2,'Slutlig allokering kvv'!$B$1:$BX$1,0),FALSE)/1,0))</f>
        <v/>
      </c>
      <c r="AI127" s="121">
        <f t="shared" si="4"/>
        <v>0</v>
      </c>
      <c r="AK127" s="121">
        <f>IFERROR(VLOOKUP($B127,'Slutlig allokering kvv'!$B$2:$AX$549,MATCH("Summa slutlig allokerad tillförd energi (utan hjälpel och rökgaskondensering):",'Slutlig allokering kvv'!$B$1:$AX$1,0),FALSE)/1,"")</f>
        <v>0</v>
      </c>
      <c r="AM127" s="172" t="str">
        <f>IFERROR(1-VLOOKUP($B127,'Slutlig allokering kvv'!$B$2:$AX$549,MATCH("Andel av bränsle i kvv som allokerats till värme, exklusive rökgaskondensering och hjälpel",'Slutlig allokering kvv'!$B$1:$AX$1,0),FALSE),"")</f>
        <v/>
      </c>
      <c r="AO127" s="172" t="str">
        <f t="shared" si="5"/>
        <v/>
      </c>
      <c r="AP127" s="173" t="str">
        <f t="shared" si="6"/>
        <v/>
      </c>
      <c r="AR127" s="172" t="str">
        <f t="shared" si="7"/>
        <v/>
      </c>
    </row>
    <row r="128" spans="1:44" x14ac:dyDescent="0.25">
      <c r="A128" s="171" t="str">
        <f>'Miljövärden för publ företag'!B130</f>
        <v>Kiruna Kraft AB</v>
      </c>
      <c r="B128" s="171" t="str">
        <f>'Miljövärden för publ företag'!C130</f>
        <v>Kiruna C</v>
      </c>
      <c r="C128" s="121">
        <f>IFERROR(VLOOKUP($B128,Kraftvärmeprod!$B$1:$AH$478,MATCH(C$2,Kraftvärmeprod!$B$1:$AG$1,0),FALSE)/1,"")</f>
        <v>148.69800000000001</v>
      </c>
      <c r="D128" s="121">
        <f>IFERROR(VLOOKUP($B128,Kraftvärmeprod!$B$1:$AH$478,MATCH(D$2,Kraftvärmeprod!$B$1:$AG$1,0),FALSE)/1,"")</f>
        <v>19.315000000000001</v>
      </c>
      <c r="F128" s="121">
        <f>IF($D128="","",IFERROR(VLOOKUP($B128,Kraftvärmeprod!$B$1:$BX$549,MATCH(F$2,Kraftvärmeprod!$B$1:$VX$1,0),FALSE)/1,0)-IFERROR(VLOOKUP($B128,'Slutlig allokering kvv'!$B$2:$BX$549,MATCH(F$2,'Slutlig allokering kvv'!$B$1:$BX$1,0),FALSE)/1,0))</f>
        <v>0</v>
      </c>
      <c r="G128" s="121">
        <f>IF($D128="","",IFERROR(VLOOKUP($B128,Kraftvärmeprod!$B$1:$BX$549,MATCH(G$2,Kraftvärmeprod!$B$1:$VX$1,0),FALSE)/1,0)-IFERROR(VLOOKUP($B128,'Slutlig allokering kvv'!$B$2:$BX$549,MATCH(G$2,'Slutlig allokering kvv'!$B$1:$BX$1,0),FALSE)/1,0))</f>
        <v>0</v>
      </c>
      <c r="H128" s="121">
        <f>IF($D128="","",IFERROR(VLOOKUP($B128,Kraftvärmeprod!$B$1:$BX$549,MATCH(H$2,Kraftvärmeprod!$B$1:$VX$1,0),FALSE)/1,0)-IFERROR(VLOOKUP($B128,'Slutlig allokering kvv'!$B$2:$BX$549,MATCH(H$2,'Slutlig allokering kvv'!$B$1:$BX$1,0),FALSE)/1,0))</f>
        <v>0</v>
      </c>
      <c r="I128" s="121">
        <f>IF($D128="","",IFERROR(VLOOKUP($B128,Kraftvärmeprod!$B$1:$BX$549,MATCH(I$2,Kraftvärmeprod!$B$1:$VX$1,0),FALSE)/1,0)-IFERROR(VLOOKUP($B128,'Slutlig allokering kvv'!$B$2:$BX$549,MATCH(I$2,'Slutlig allokering kvv'!$B$1:$BX$1,0),FALSE)/1,0))</f>
        <v>0</v>
      </c>
      <c r="J128" s="121">
        <f>IF($D128="","",IFERROR(VLOOKUP($B128,Kraftvärmeprod!$B$1:$BX$549,MATCH(J$2,Kraftvärmeprod!$B$1:$VX$1,0),FALSE)/1,0)-IFERROR(VLOOKUP($B128,'Slutlig allokering kvv'!$B$2:$BX$549,MATCH(J$2,'Slutlig allokering kvv'!$B$1:$BX$1,0),FALSE)/1,0))</f>
        <v>0</v>
      </c>
      <c r="K128" s="121">
        <f>IF($D128="","",IFERROR(VLOOKUP($B128,Kraftvärmeprod!$B$1:$BX$549,MATCH(K$2,Kraftvärmeprod!$B$1:$VX$1,0),FALSE)/1,0)-IFERROR(VLOOKUP($B128,'Slutlig allokering kvv'!$B$2:$BX$549,MATCH(K$2,'Slutlig allokering kvv'!$B$1:$BX$1,0),FALSE)/1,0))</f>
        <v>0</v>
      </c>
      <c r="L128" s="121">
        <f>IF($D128="","",IFERROR(VLOOKUP($B128,Kraftvärmeprod!$B$1:$BX$549,MATCH(L$2,Kraftvärmeprod!$B$1:$VX$1,0),FALSE)/1,0)-IFERROR(VLOOKUP($B128,'Slutlig allokering kvv'!$B$2:$BX$549,MATCH(L$2,'Slutlig allokering kvv'!$B$1:$BX$1,0),FALSE)/1,0))</f>
        <v>0</v>
      </c>
      <c r="M128" s="121">
        <f>IF($D128="","",IFERROR(VLOOKUP($B128,Kraftvärmeprod!$B$1:$BX$549,MATCH(M$2,Kraftvärmeprod!$B$1:$VX$1,0),FALSE)/1,0)-IFERROR(VLOOKUP($B128,'Slutlig allokering kvv'!$B$2:$BX$549,MATCH(M$2,'Slutlig allokering kvv'!$B$1:$BX$1,0),FALSE)/1,0))</f>
        <v>0</v>
      </c>
      <c r="N128" s="121">
        <f>IF($D128="","",IFERROR(VLOOKUP($B128,Kraftvärmeprod!$B$1:$BX$549,MATCH(N$2,Kraftvärmeprod!$B$1:$VX$1,0),FALSE)/1,0)-IFERROR(VLOOKUP($B128,'Slutlig allokering kvv'!$B$2:$BX$549,MATCH(N$2,'Slutlig allokering kvv'!$B$1:$BX$1,0),FALSE)/1,0))</f>
        <v>0.25239599999999995</v>
      </c>
      <c r="O128" s="121">
        <f>IF($D128="","",IFERROR(VLOOKUP($B128,Kraftvärmeprod!$B$1:$BX$549,MATCH(O$2,Kraftvärmeprod!$B$1:$VX$1,0),FALSE)/1,0)-IFERROR(VLOOKUP($B128,'Slutlig allokering kvv'!$B$2:$BX$549,MATCH(O$2,'Slutlig allokering kvv'!$B$1:$BX$1,0),FALSE)/1,0))</f>
        <v>0</v>
      </c>
      <c r="P128" s="121">
        <f>IF($D128="","",IFERROR(VLOOKUP($B128,Kraftvärmeprod!$B$1:$BX$549,MATCH(P$2,Kraftvärmeprod!$B$1:$VX$1,0),FALSE)/1,0)-IFERROR(VLOOKUP($B128,'Slutlig allokering kvv'!$B$2:$BX$549,MATCH(P$2,'Slutlig allokering kvv'!$B$1:$BX$1,0),FALSE)/1,0))</f>
        <v>0</v>
      </c>
      <c r="Q128" s="121">
        <f>IF($D128="","",IFERROR(VLOOKUP($B128,Kraftvärmeprod!$B$1:$BX$549,MATCH(Q$2,Kraftvärmeprod!$B$1:$VX$1,0),FALSE)/1,0)-IFERROR(VLOOKUP($B128,'Slutlig allokering kvv'!$B$2:$BX$549,MATCH(Q$2,'Slutlig allokering kvv'!$B$1:$BX$1,0),FALSE)/1,0))</f>
        <v>0</v>
      </c>
      <c r="R128" s="121">
        <f>IF($D128="","",IFERROR(VLOOKUP($B128,Kraftvärmeprod!$B$1:$BX$549,MATCH(R$2,Kraftvärmeprod!$B$1:$VX$1,0),FALSE)/1,0)-IFERROR(VLOOKUP($B128,'Slutlig allokering kvv'!$B$2:$BX$549,MATCH(R$2,'Slutlig allokering kvv'!$B$1:$BX$1,0),FALSE)/1,0))</f>
        <v>0</v>
      </c>
      <c r="S128" s="121">
        <f>IF($D128="","",IFERROR(VLOOKUP($B128,Kraftvärmeprod!$B$1:$BX$549,MATCH(S$2,Kraftvärmeprod!$B$1:$VX$1,0),FALSE)/1,0)-IFERROR(VLOOKUP($B128,'Slutlig allokering kvv'!$B$2:$BX$549,MATCH(S$2,'Slutlig allokering kvv'!$B$1:$BX$1,0),FALSE)/1,0))</f>
        <v>0</v>
      </c>
      <c r="T128" s="121">
        <f>IF($D128="","",IFERROR(VLOOKUP($B128,Kraftvärmeprod!$B$1:$BX$549,MATCH(T$2,Kraftvärmeprod!$B$1:$VX$1,0),FALSE)/1,0)-IFERROR(VLOOKUP($B128,'Slutlig allokering kvv'!$B$2:$BX$549,MATCH(T$2,'Slutlig allokering kvv'!$B$1:$BX$1,0),FALSE)/1,0))</f>
        <v>0</v>
      </c>
      <c r="U128" s="121">
        <f>IF($D128="","",IFERROR(VLOOKUP($B128,Kraftvärmeprod!$B$1:$BX$549,MATCH(U$2,Kraftvärmeprod!$B$1:$VX$1,0),FALSE)/1,0)-IFERROR(VLOOKUP($B128,'Slutlig allokering kvv'!$B$2:$BX$549,MATCH(U$2,'Slutlig allokering kvv'!$B$1:$BX$1,0),FALSE)/1,0))</f>
        <v>0</v>
      </c>
      <c r="V128" s="121">
        <f>IF($D128="","",IFERROR(VLOOKUP($B128,Kraftvärmeprod!$B$1:$BX$549,MATCH(V$2,Kraftvärmeprod!$B$1:$VX$1,0),FALSE)/1,0)-IFERROR(VLOOKUP($B128,'Slutlig allokering kvv'!$B$2:$BX$549,MATCH(V$2,'Slutlig allokering kvv'!$B$1:$BX$1,0),FALSE)/1,0))</f>
        <v>2.6971999999999987</v>
      </c>
      <c r="W128" s="121">
        <f>IF($D128="","",IFERROR(VLOOKUP($B128,Kraftvärmeprod!$B$1:$BX$549,MATCH(W$2,Kraftvärmeprod!$B$1:$VX$1,0),FALSE)/1,0)-IFERROR(VLOOKUP($B128,'Slutlig allokering kvv'!$B$2:$BX$549,MATCH(W$2,'Slutlig allokering kvv'!$B$1:$BX$1,0),FALSE)/1,0))</f>
        <v>0</v>
      </c>
      <c r="X128" s="121">
        <f>IF($D128="","",IFERROR(VLOOKUP($B128,Kraftvärmeprod!$B$1:$BX$549,MATCH(X$2,Kraftvärmeprod!$B$1:$VX$1,0),FALSE)/1,0)-IFERROR(VLOOKUP($B128,'Slutlig allokering kvv'!$B$2:$BX$549,MATCH(X$2,'Slutlig allokering kvv'!$B$1:$BX$1,0),FALSE)/1,0))</f>
        <v>0</v>
      </c>
      <c r="Y128" s="121">
        <f>IF($D128="","",IFERROR(VLOOKUP($B128,Kraftvärmeprod!$B$1:$BX$549,MATCH(Y$2,Kraftvärmeprod!$B$1:$VX$1,0),FALSE)/1,0)-IFERROR(VLOOKUP($B128,'Slutlig allokering kvv'!$B$2:$BX$549,MATCH(Y$2,'Slutlig allokering kvv'!$B$1:$BX$1,0),FALSE)/1,0))</f>
        <v>0</v>
      </c>
      <c r="Z128" s="121">
        <f>IF($D128="","",IFERROR(VLOOKUP($B128,Kraftvärmeprod!$B$1:$BX$549,MATCH(Z$2,Kraftvärmeprod!$B$1:$VX$1,0),FALSE)/1,0)-IFERROR(VLOOKUP($B128,'Slutlig allokering kvv'!$B$2:$BX$549,MATCH(Z$2,'Slutlig allokering kvv'!$B$1:$BX$1,0),FALSE)/1,0))</f>
        <v>0</v>
      </c>
      <c r="AA128" s="121">
        <f>IF($D128="","",IFERROR(VLOOKUP($B128,Kraftvärmeprod!$B$1:$BX$549,MATCH(AA$2,Kraftvärmeprod!$B$1:$VX$1,0),FALSE)/1,0)-IFERROR(VLOOKUP($B128,'Slutlig allokering kvv'!$B$2:$BX$549,MATCH(AA$2,'Slutlig allokering kvv'!$B$1:$BX$1,0),FALSE)/1,0))</f>
        <v>53.179000000000016</v>
      </c>
      <c r="AB128" s="121">
        <f>IF($D128="","",IFERROR(VLOOKUP($B128,Kraftvärmeprod!$B$1:$BX$549,MATCH(AB$2,Kraftvärmeprod!$B$1:$VX$1,0),FALSE)/1,0)-IFERROR(VLOOKUP($B128,'Slutlig allokering kvv'!$B$2:$BX$549,MATCH(AB$2,'Slutlig allokering kvv'!$B$1:$BX$1,0),FALSE)/1,0))</f>
        <v>0</v>
      </c>
      <c r="AC128" s="121">
        <f>IF($D128="","",IFERROR(VLOOKUP($B128,Kraftvärmeprod!$B$1:$BX$549,MATCH(AC$2,Kraftvärmeprod!$B$1:$VX$1,0),FALSE)/1,0)-IFERROR(VLOOKUP($B128,'Slutlig allokering kvv'!$B$2:$BX$549,MATCH(AC$2,'Slutlig allokering kvv'!$B$1:$BX$1,0),FALSE)/1,0))</f>
        <v>0</v>
      </c>
      <c r="AD128" s="121">
        <f>IF($D128="","",IFERROR(VLOOKUP($B128,Kraftvärmeprod!$B$1:$BX$549,MATCH(AD$2,Kraftvärmeprod!$B$1:$VX$1,0),FALSE)/1,0)-IFERROR(VLOOKUP($B128,'Slutlig allokering kvv'!$B$2:$BX$549,MATCH(AD$2,'Slutlig allokering kvv'!$B$1:$BX$1,0),FALSE)/1,0))</f>
        <v>0</v>
      </c>
      <c r="AE128" s="121">
        <f>IF($D128="","",IFERROR(VLOOKUP($B128,Miljö!$B$1:$E$550,MATCH("Hjälpel kraftvärme (GWh)",Miljö!$B$1:$E$1,0),FALSE)/1,0)-IFERROR(VLOOKUP($B128,'Slutlig allokering kvv'!$B$2:$BX$549,MATCH(AE$2,'Slutlig allokering kvv'!$B$1:$BX$1,0),FALSE)/1,0))</f>
        <v>2.2855699999999999</v>
      </c>
      <c r="AI128" s="121">
        <f t="shared" si="4"/>
        <v>56.128596000000016</v>
      </c>
      <c r="AK128" s="121">
        <f>IFERROR(VLOOKUP($B128,'Slutlig allokering kvv'!$B$2:$AX$549,MATCH("Summa slutlig allokerad tillförd energi (utan hjälpel och rökgaskondensering):",'Slutlig allokering kvv'!$B$1:$AX$1,0),FALSE)/1,"")</f>
        <v>136.65040400000001</v>
      </c>
      <c r="AM128" s="172">
        <f>IFERROR(1-VLOOKUP($B128,'Slutlig allokering kvv'!$B$2:$AX$549,MATCH("Andel av bränsle i kvv som allokerats till värme, exklusive rökgaskondensering och hjälpel",'Slutlig allokering kvv'!$B$1:$AX$1,0),FALSE),"")</f>
        <v>0.29115513619222011</v>
      </c>
      <c r="AO128" s="172">
        <f t="shared" si="5"/>
        <v>0.29115513619222017</v>
      </c>
      <c r="AP128" s="173">
        <f t="shared" si="6"/>
        <v>-5.5511151231257827E-17</v>
      </c>
      <c r="AR128" s="172">
        <f t="shared" si="7"/>
        <v>0.33065609461924006</v>
      </c>
    </row>
    <row r="129" spans="1:44" x14ac:dyDescent="0.25">
      <c r="A129" s="171" t="str">
        <f>'Miljövärden för publ företag'!B131</f>
        <v>Kiruna Kraft AB</v>
      </c>
      <c r="B129" s="171" t="str">
        <f>'Miljövärden för publ företag'!C131</f>
        <v>Vittangi</v>
      </c>
      <c r="C129" s="121" t="str">
        <f>IFERROR(VLOOKUP($B129,Kraftvärmeprod!$B$1:$AH$478,MATCH(C$2,Kraftvärmeprod!$B$1:$AG$1,0),FALSE)/1,"")</f>
        <v/>
      </c>
      <c r="D129" s="121" t="str">
        <f>IFERROR(VLOOKUP($B129,Kraftvärmeprod!$B$1:$AH$478,MATCH(D$2,Kraftvärmeprod!$B$1:$AG$1,0),FALSE)/1,"")</f>
        <v/>
      </c>
      <c r="F129" s="121" t="str">
        <f>IF($D129="","",IFERROR(VLOOKUP($B129,Kraftvärmeprod!$B$1:$BX$549,MATCH(F$2,Kraftvärmeprod!$B$1:$VX$1,0),FALSE)/1,0)-IFERROR(VLOOKUP($B129,'Slutlig allokering kvv'!$B$2:$BX$549,MATCH(F$2,'Slutlig allokering kvv'!$B$1:$BX$1,0),FALSE)/1,0))</f>
        <v/>
      </c>
      <c r="G129" s="121" t="str">
        <f>IF($D129="","",IFERROR(VLOOKUP($B129,Kraftvärmeprod!$B$1:$BX$549,MATCH(G$2,Kraftvärmeprod!$B$1:$VX$1,0),FALSE)/1,0)-IFERROR(VLOOKUP($B129,'Slutlig allokering kvv'!$B$2:$BX$549,MATCH(G$2,'Slutlig allokering kvv'!$B$1:$BX$1,0),FALSE)/1,0))</f>
        <v/>
      </c>
      <c r="H129" s="121" t="str">
        <f>IF($D129="","",IFERROR(VLOOKUP($B129,Kraftvärmeprod!$B$1:$BX$549,MATCH(H$2,Kraftvärmeprod!$B$1:$VX$1,0),FALSE)/1,0)-IFERROR(VLOOKUP($B129,'Slutlig allokering kvv'!$B$2:$BX$549,MATCH(H$2,'Slutlig allokering kvv'!$B$1:$BX$1,0),FALSE)/1,0))</f>
        <v/>
      </c>
      <c r="I129" s="121" t="str">
        <f>IF($D129="","",IFERROR(VLOOKUP($B129,Kraftvärmeprod!$B$1:$BX$549,MATCH(I$2,Kraftvärmeprod!$B$1:$VX$1,0),FALSE)/1,0)-IFERROR(VLOOKUP($B129,'Slutlig allokering kvv'!$B$2:$BX$549,MATCH(I$2,'Slutlig allokering kvv'!$B$1:$BX$1,0),FALSE)/1,0))</f>
        <v/>
      </c>
      <c r="J129" s="121" t="str">
        <f>IF($D129="","",IFERROR(VLOOKUP($B129,Kraftvärmeprod!$B$1:$BX$549,MATCH(J$2,Kraftvärmeprod!$B$1:$VX$1,0),FALSE)/1,0)-IFERROR(VLOOKUP($B129,'Slutlig allokering kvv'!$B$2:$BX$549,MATCH(J$2,'Slutlig allokering kvv'!$B$1:$BX$1,0),FALSE)/1,0))</f>
        <v/>
      </c>
      <c r="K129" s="121" t="str">
        <f>IF($D129="","",IFERROR(VLOOKUP($B129,Kraftvärmeprod!$B$1:$BX$549,MATCH(K$2,Kraftvärmeprod!$B$1:$VX$1,0),FALSE)/1,0)-IFERROR(VLOOKUP($B129,'Slutlig allokering kvv'!$B$2:$BX$549,MATCH(K$2,'Slutlig allokering kvv'!$B$1:$BX$1,0),FALSE)/1,0))</f>
        <v/>
      </c>
      <c r="L129" s="121" t="str">
        <f>IF($D129="","",IFERROR(VLOOKUP($B129,Kraftvärmeprod!$B$1:$BX$549,MATCH(L$2,Kraftvärmeprod!$B$1:$VX$1,0),FALSE)/1,0)-IFERROR(VLOOKUP($B129,'Slutlig allokering kvv'!$B$2:$BX$549,MATCH(L$2,'Slutlig allokering kvv'!$B$1:$BX$1,0),FALSE)/1,0))</f>
        <v/>
      </c>
      <c r="M129" s="121" t="str">
        <f>IF($D129="","",IFERROR(VLOOKUP($B129,Kraftvärmeprod!$B$1:$BX$549,MATCH(M$2,Kraftvärmeprod!$B$1:$VX$1,0),FALSE)/1,0)-IFERROR(VLOOKUP($B129,'Slutlig allokering kvv'!$B$2:$BX$549,MATCH(M$2,'Slutlig allokering kvv'!$B$1:$BX$1,0),FALSE)/1,0))</f>
        <v/>
      </c>
      <c r="N129" s="121" t="str">
        <f>IF($D129="","",IFERROR(VLOOKUP($B129,Kraftvärmeprod!$B$1:$BX$549,MATCH(N$2,Kraftvärmeprod!$B$1:$VX$1,0),FALSE)/1,0)-IFERROR(VLOOKUP($B129,'Slutlig allokering kvv'!$B$2:$BX$549,MATCH(N$2,'Slutlig allokering kvv'!$B$1:$BX$1,0),FALSE)/1,0))</f>
        <v/>
      </c>
      <c r="O129" s="121" t="str">
        <f>IF($D129="","",IFERROR(VLOOKUP($B129,Kraftvärmeprod!$B$1:$BX$549,MATCH(O$2,Kraftvärmeprod!$B$1:$VX$1,0),FALSE)/1,0)-IFERROR(VLOOKUP($B129,'Slutlig allokering kvv'!$B$2:$BX$549,MATCH(O$2,'Slutlig allokering kvv'!$B$1:$BX$1,0),FALSE)/1,0))</f>
        <v/>
      </c>
      <c r="P129" s="121" t="str">
        <f>IF($D129="","",IFERROR(VLOOKUP($B129,Kraftvärmeprod!$B$1:$BX$549,MATCH(P$2,Kraftvärmeprod!$B$1:$VX$1,0),FALSE)/1,0)-IFERROR(VLOOKUP($B129,'Slutlig allokering kvv'!$B$2:$BX$549,MATCH(P$2,'Slutlig allokering kvv'!$B$1:$BX$1,0),FALSE)/1,0))</f>
        <v/>
      </c>
      <c r="Q129" s="121" t="str">
        <f>IF($D129="","",IFERROR(VLOOKUP($B129,Kraftvärmeprod!$B$1:$BX$549,MATCH(Q$2,Kraftvärmeprod!$B$1:$VX$1,0),FALSE)/1,0)-IFERROR(VLOOKUP($B129,'Slutlig allokering kvv'!$B$2:$BX$549,MATCH(Q$2,'Slutlig allokering kvv'!$B$1:$BX$1,0),FALSE)/1,0))</f>
        <v/>
      </c>
      <c r="R129" s="121" t="str">
        <f>IF($D129="","",IFERROR(VLOOKUP($B129,Kraftvärmeprod!$B$1:$BX$549,MATCH(R$2,Kraftvärmeprod!$B$1:$VX$1,0),FALSE)/1,0)-IFERROR(VLOOKUP($B129,'Slutlig allokering kvv'!$B$2:$BX$549,MATCH(R$2,'Slutlig allokering kvv'!$B$1:$BX$1,0),FALSE)/1,0))</f>
        <v/>
      </c>
      <c r="S129" s="121" t="str">
        <f>IF($D129="","",IFERROR(VLOOKUP($B129,Kraftvärmeprod!$B$1:$BX$549,MATCH(S$2,Kraftvärmeprod!$B$1:$VX$1,0),FALSE)/1,0)-IFERROR(VLOOKUP($B129,'Slutlig allokering kvv'!$B$2:$BX$549,MATCH(S$2,'Slutlig allokering kvv'!$B$1:$BX$1,0),FALSE)/1,0))</f>
        <v/>
      </c>
      <c r="T129" s="121" t="str">
        <f>IF($D129="","",IFERROR(VLOOKUP($B129,Kraftvärmeprod!$B$1:$BX$549,MATCH(T$2,Kraftvärmeprod!$B$1:$VX$1,0),FALSE)/1,0)-IFERROR(VLOOKUP($B129,'Slutlig allokering kvv'!$B$2:$BX$549,MATCH(T$2,'Slutlig allokering kvv'!$B$1:$BX$1,0),FALSE)/1,0))</f>
        <v/>
      </c>
      <c r="U129" s="121" t="str">
        <f>IF($D129="","",IFERROR(VLOOKUP($B129,Kraftvärmeprod!$B$1:$BX$549,MATCH(U$2,Kraftvärmeprod!$B$1:$VX$1,0),FALSE)/1,0)-IFERROR(VLOOKUP($B129,'Slutlig allokering kvv'!$B$2:$BX$549,MATCH(U$2,'Slutlig allokering kvv'!$B$1:$BX$1,0),FALSE)/1,0))</f>
        <v/>
      </c>
      <c r="V129" s="121" t="str">
        <f>IF($D129="","",IFERROR(VLOOKUP($B129,Kraftvärmeprod!$B$1:$BX$549,MATCH(V$2,Kraftvärmeprod!$B$1:$VX$1,0),FALSE)/1,0)-IFERROR(VLOOKUP($B129,'Slutlig allokering kvv'!$B$2:$BX$549,MATCH(V$2,'Slutlig allokering kvv'!$B$1:$BX$1,0),FALSE)/1,0))</f>
        <v/>
      </c>
      <c r="W129" s="121" t="str">
        <f>IF($D129="","",IFERROR(VLOOKUP($B129,Kraftvärmeprod!$B$1:$BX$549,MATCH(W$2,Kraftvärmeprod!$B$1:$VX$1,0),FALSE)/1,0)-IFERROR(VLOOKUP($B129,'Slutlig allokering kvv'!$B$2:$BX$549,MATCH(W$2,'Slutlig allokering kvv'!$B$1:$BX$1,0),FALSE)/1,0))</f>
        <v/>
      </c>
      <c r="X129" s="121" t="str">
        <f>IF($D129="","",IFERROR(VLOOKUP($B129,Kraftvärmeprod!$B$1:$BX$549,MATCH(X$2,Kraftvärmeprod!$B$1:$VX$1,0),FALSE)/1,0)-IFERROR(VLOOKUP($B129,'Slutlig allokering kvv'!$B$2:$BX$549,MATCH(X$2,'Slutlig allokering kvv'!$B$1:$BX$1,0),FALSE)/1,0))</f>
        <v/>
      </c>
      <c r="Y129" s="121" t="str">
        <f>IF($D129="","",IFERROR(VLOOKUP($B129,Kraftvärmeprod!$B$1:$BX$549,MATCH(Y$2,Kraftvärmeprod!$B$1:$VX$1,0),FALSE)/1,0)-IFERROR(VLOOKUP($B129,'Slutlig allokering kvv'!$B$2:$BX$549,MATCH(Y$2,'Slutlig allokering kvv'!$B$1:$BX$1,0),FALSE)/1,0))</f>
        <v/>
      </c>
      <c r="Z129" s="121" t="str">
        <f>IF($D129="","",IFERROR(VLOOKUP($B129,Kraftvärmeprod!$B$1:$BX$549,MATCH(Z$2,Kraftvärmeprod!$B$1:$VX$1,0),FALSE)/1,0)-IFERROR(VLOOKUP($B129,'Slutlig allokering kvv'!$B$2:$BX$549,MATCH(Z$2,'Slutlig allokering kvv'!$B$1:$BX$1,0),FALSE)/1,0))</f>
        <v/>
      </c>
      <c r="AA129" s="121" t="str">
        <f>IF($D129="","",IFERROR(VLOOKUP($B129,Kraftvärmeprod!$B$1:$BX$549,MATCH(AA$2,Kraftvärmeprod!$B$1:$VX$1,0),FALSE)/1,0)-IFERROR(VLOOKUP($B129,'Slutlig allokering kvv'!$B$2:$BX$549,MATCH(AA$2,'Slutlig allokering kvv'!$B$1:$BX$1,0),FALSE)/1,0))</f>
        <v/>
      </c>
      <c r="AB129" s="121" t="str">
        <f>IF($D129="","",IFERROR(VLOOKUP($B129,Kraftvärmeprod!$B$1:$BX$549,MATCH(AB$2,Kraftvärmeprod!$B$1:$VX$1,0),FALSE)/1,0)-IFERROR(VLOOKUP($B129,'Slutlig allokering kvv'!$B$2:$BX$549,MATCH(AB$2,'Slutlig allokering kvv'!$B$1:$BX$1,0),FALSE)/1,0))</f>
        <v/>
      </c>
      <c r="AC129" s="121" t="str">
        <f>IF($D129="","",IFERROR(VLOOKUP($B129,Kraftvärmeprod!$B$1:$BX$549,MATCH(AC$2,Kraftvärmeprod!$B$1:$VX$1,0),FALSE)/1,0)-IFERROR(VLOOKUP($B129,'Slutlig allokering kvv'!$B$2:$BX$549,MATCH(AC$2,'Slutlig allokering kvv'!$B$1:$BX$1,0),FALSE)/1,0))</f>
        <v/>
      </c>
      <c r="AD129" s="121" t="str">
        <f>IF($D129="","",IFERROR(VLOOKUP($B129,Kraftvärmeprod!$B$1:$BX$549,MATCH(AD$2,Kraftvärmeprod!$B$1:$VX$1,0),FALSE)/1,0)-IFERROR(VLOOKUP($B129,'Slutlig allokering kvv'!$B$2:$BX$549,MATCH(AD$2,'Slutlig allokering kvv'!$B$1:$BX$1,0),FALSE)/1,0))</f>
        <v/>
      </c>
      <c r="AE129" s="121" t="str">
        <f>IF($D129="","",IFERROR(VLOOKUP($B129,Miljö!$B$1:$E$550,MATCH("Hjälpel kraftvärme (GWh)",Miljö!$B$1:$E$1,0),FALSE)/1,0)-IFERROR(VLOOKUP($B129,'Slutlig allokering kvv'!$B$2:$BX$549,MATCH(AE$2,'Slutlig allokering kvv'!$B$1:$BX$1,0),FALSE)/1,0))</f>
        <v/>
      </c>
      <c r="AI129" s="121">
        <f t="shared" si="4"/>
        <v>0</v>
      </c>
      <c r="AK129" s="121">
        <f>IFERROR(VLOOKUP($B129,'Slutlig allokering kvv'!$B$2:$AX$549,MATCH("Summa slutlig allokerad tillförd energi (utan hjälpel och rökgaskondensering):",'Slutlig allokering kvv'!$B$1:$AX$1,0),FALSE)/1,"")</f>
        <v>0</v>
      </c>
      <c r="AM129" s="172" t="str">
        <f>IFERROR(1-VLOOKUP($B129,'Slutlig allokering kvv'!$B$2:$AX$549,MATCH("Andel av bränsle i kvv som allokerats till värme, exklusive rökgaskondensering och hjälpel",'Slutlig allokering kvv'!$B$1:$AX$1,0),FALSE),"")</f>
        <v/>
      </c>
      <c r="AO129" s="172" t="str">
        <f t="shared" si="5"/>
        <v/>
      </c>
      <c r="AP129" s="173" t="str">
        <f t="shared" si="6"/>
        <v/>
      </c>
      <c r="AR129" s="172" t="str">
        <f t="shared" si="7"/>
        <v/>
      </c>
    </row>
    <row r="130" spans="1:44" x14ac:dyDescent="0.25">
      <c r="A130" s="171" t="str">
        <f>'Miljövärden för publ företag'!B132</f>
        <v>Kraftringen Energi AB (publ)</v>
      </c>
      <c r="B130" s="171" t="str">
        <f>'Miljövärden för publ företag'!C132</f>
        <v>Eslöv-Lund-Lomma m fl</v>
      </c>
      <c r="C130" s="121">
        <f>IFERROR(VLOOKUP($B130,Kraftvärmeprod!$B$1:$AH$478,MATCH(C$2,Kraftvärmeprod!$B$1:$AG$1,0),FALSE)/1,"")</f>
        <v>541.63599999999997</v>
      </c>
      <c r="D130" s="121">
        <f>IFERROR(VLOOKUP($B130,Kraftvärmeprod!$B$1:$AH$478,MATCH(D$2,Kraftvärmeprod!$B$1:$AG$1,0),FALSE)/1,"")</f>
        <v>150.666</v>
      </c>
      <c r="F130" s="121">
        <f>IF($D130="","",IFERROR(VLOOKUP($B130,Kraftvärmeprod!$B$1:$BX$549,MATCH(F$2,Kraftvärmeprod!$B$1:$VX$1,0),FALSE)/1,0)-IFERROR(VLOOKUP($B130,'Slutlig allokering kvv'!$B$2:$BX$549,MATCH(F$2,'Slutlig allokering kvv'!$B$1:$BX$1,0),FALSE)/1,0))</f>
        <v>0</v>
      </c>
      <c r="G130" s="121">
        <f>IF($D130="","",IFERROR(VLOOKUP($B130,Kraftvärmeprod!$B$1:$BX$549,MATCH(G$2,Kraftvärmeprod!$B$1:$VX$1,0),FALSE)/1,0)-IFERROR(VLOOKUP($B130,'Slutlig allokering kvv'!$B$2:$BX$549,MATCH(G$2,'Slutlig allokering kvv'!$B$1:$BX$1,0),FALSE)/1,0))</f>
        <v>0</v>
      </c>
      <c r="H130" s="121">
        <f>IF($D130="","",IFERROR(VLOOKUP($B130,Kraftvärmeprod!$B$1:$BX$549,MATCH(H$2,Kraftvärmeprod!$B$1:$VX$1,0),FALSE)/1,0)-IFERROR(VLOOKUP($B130,'Slutlig allokering kvv'!$B$2:$BX$549,MATCH(H$2,'Slutlig allokering kvv'!$B$1:$BX$1,0),FALSE)/1,0))</f>
        <v>0</v>
      </c>
      <c r="I130" s="121">
        <f>IF($D130="","",IFERROR(VLOOKUP($B130,Kraftvärmeprod!$B$1:$BX$549,MATCH(I$2,Kraftvärmeprod!$B$1:$VX$1,0),FALSE)/1,0)-IFERROR(VLOOKUP($B130,'Slutlig allokering kvv'!$B$2:$BX$549,MATCH(I$2,'Slutlig allokering kvv'!$B$1:$BX$1,0),FALSE)/1,0))</f>
        <v>0</v>
      </c>
      <c r="J130" s="121">
        <f>IF($D130="","",IFERROR(VLOOKUP($B130,Kraftvärmeprod!$B$1:$BX$549,MATCH(J$2,Kraftvärmeprod!$B$1:$VX$1,0),FALSE)/1,0)-IFERROR(VLOOKUP($B130,'Slutlig allokering kvv'!$B$2:$BX$549,MATCH(J$2,'Slutlig allokering kvv'!$B$1:$BX$1,0),FALSE)/1,0))</f>
        <v>0</v>
      </c>
      <c r="K130" s="121">
        <f>IF($D130="","",IFERROR(VLOOKUP($B130,Kraftvärmeprod!$B$1:$BX$549,MATCH(K$2,Kraftvärmeprod!$B$1:$VX$1,0),FALSE)/1,0)-IFERROR(VLOOKUP($B130,'Slutlig allokering kvv'!$B$2:$BX$549,MATCH(K$2,'Slutlig allokering kvv'!$B$1:$BX$1,0),FALSE)/1,0))</f>
        <v>0</v>
      </c>
      <c r="L130" s="121">
        <f>IF($D130="","",IFERROR(VLOOKUP($B130,Kraftvärmeprod!$B$1:$BX$549,MATCH(L$2,Kraftvärmeprod!$B$1:$VX$1,0),FALSE)/1,0)-IFERROR(VLOOKUP($B130,'Slutlig allokering kvv'!$B$2:$BX$549,MATCH(L$2,'Slutlig allokering kvv'!$B$1:$BX$1,0),FALSE)/1,0))</f>
        <v>0</v>
      </c>
      <c r="M130" s="121">
        <f>IF($D130="","",IFERROR(VLOOKUP($B130,Kraftvärmeprod!$B$1:$BX$549,MATCH(M$2,Kraftvärmeprod!$B$1:$VX$1,0),FALSE)/1,0)-IFERROR(VLOOKUP($B130,'Slutlig allokering kvv'!$B$2:$BX$549,MATCH(M$2,'Slutlig allokering kvv'!$B$1:$BX$1,0),FALSE)/1,0))</f>
        <v>0</v>
      </c>
      <c r="N130" s="121">
        <f>IF($D130="","",IFERROR(VLOOKUP($B130,Kraftvärmeprod!$B$1:$BX$549,MATCH(N$2,Kraftvärmeprod!$B$1:$VX$1,0),FALSE)/1,0)-IFERROR(VLOOKUP($B130,'Slutlig allokering kvv'!$B$2:$BX$549,MATCH(N$2,'Slutlig allokering kvv'!$B$1:$BX$1,0),FALSE)/1,0))</f>
        <v>182.19899999999998</v>
      </c>
      <c r="O130" s="121">
        <f>IF($D130="","",IFERROR(VLOOKUP($B130,Kraftvärmeprod!$B$1:$BX$549,MATCH(O$2,Kraftvärmeprod!$B$1:$VX$1,0),FALSE)/1,0)-IFERROR(VLOOKUP($B130,'Slutlig allokering kvv'!$B$2:$BX$549,MATCH(O$2,'Slutlig allokering kvv'!$B$1:$BX$1,0),FALSE)/1,0))</f>
        <v>0</v>
      </c>
      <c r="P130" s="121">
        <f>IF($D130="","",IFERROR(VLOOKUP($B130,Kraftvärmeprod!$B$1:$BX$549,MATCH(P$2,Kraftvärmeprod!$B$1:$VX$1,0),FALSE)/1,0)-IFERROR(VLOOKUP($B130,'Slutlig allokering kvv'!$B$2:$BX$549,MATCH(P$2,'Slutlig allokering kvv'!$B$1:$BX$1,0),FALSE)/1,0))</f>
        <v>0</v>
      </c>
      <c r="Q130" s="121">
        <f>IF($D130="","",IFERROR(VLOOKUP($B130,Kraftvärmeprod!$B$1:$BX$549,MATCH(Q$2,Kraftvärmeprod!$B$1:$VX$1,0),FALSE)/1,0)-IFERROR(VLOOKUP($B130,'Slutlig allokering kvv'!$B$2:$BX$549,MATCH(Q$2,'Slutlig allokering kvv'!$B$1:$BX$1,0),FALSE)/1,0))</f>
        <v>0</v>
      </c>
      <c r="R130" s="121">
        <f>IF($D130="","",IFERROR(VLOOKUP($B130,Kraftvärmeprod!$B$1:$BX$549,MATCH(R$2,Kraftvärmeprod!$B$1:$VX$1,0),FALSE)/1,0)-IFERROR(VLOOKUP($B130,'Slutlig allokering kvv'!$B$2:$BX$549,MATCH(R$2,'Slutlig allokering kvv'!$B$1:$BX$1,0),FALSE)/1,0))</f>
        <v>0</v>
      </c>
      <c r="S130" s="121">
        <f>IF($D130="","",IFERROR(VLOOKUP($B130,Kraftvärmeprod!$B$1:$BX$549,MATCH(S$2,Kraftvärmeprod!$B$1:$VX$1,0),FALSE)/1,0)-IFERROR(VLOOKUP($B130,'Slutlig allokering kvv'!$B$2:$BX$549,MATCH(S$2,'Slutlig allokering kvv'!$B$1:$BX$1,0),FALSE)/1,0))</f>
        <v>0</v>
      </c>
      <c r="T130" s="121">
        <f>IF($D130="","",IFERROR(VLOOKUP($B130,Kraftvärmeprod!$B$1:$BX$549,MATCH(T$2,Kraftvärmeprod!$B$1:$VX$1,0),FALSE)/1,0)-IFERROR(VLOOKUP($B130,'Slutlig allokering kvv'!$B$2:$BX$549,MATCH(T$2,'Slutlig allokering kvv'!$B$1:$BX$1,0),FALSE)/1,0))</f>
        <v>0</v>
      </c>
      <c r="U130" s="121">
        <f>IF($D130="","",IFERROR(VLOOKUP($B130,Kraftvärmeprod!$B$1:$BX$549,MATCH(U$2,Kraftvärmeprod!$B$1:$VX$1,0),FALSE)/1,0)-IFERROR(VLOOKUP($B130,'Slutlig allokering kvv'!$B$2:$BX$549,MATCH(U$2,'Slutlig allokering kvv'!$B$1:$BX$1,0),FALSE)/1,0))</f>
        <v>0</v>
      </c>
      <c r="V130" s="121">
        <f>IF($D130="","",IFERROR(VLOOKUP($B130,Kraftvärmeprod!$B$1:$BX$549,MATCH(V$2,Kraftvärmeprod!$B$1:$VX$1,0),FALSE)/1,0)-IFERROR(VLOOKUP($B130,'Slutlig allokering kvv'!$B$2:$BX$549,MATCH(V$2,'Slutlig allokering kvv'!$B$1:$BX$1,0),FALSE)/1,0))</f>
        <v>122.697</v>
      </c>
      <c r="W130" s="121">
        <f>IF($D130="","",IFERROR(VLOOKUP($B130,Kraftvärmeprod!$B$1:$BX$549,MATCH(W$2,Kraftvärmeprod!$B$1:$VX$1,0),FALSE)/1,0)-IFERROR(VLOOKUP($B130,'Slutlig allokering kvv'!$B$2:$BX$549,MATCH(W$2,'Slutlig allokering kvv'!$B$1:$BX$1,0),FALSE)/1,0))</f>
        <v>0</v>
      </c>
      <c r="X130" s="121">
        <f>IF($D130="","",IFERROR(VLOOKUP($B130,Kraftvärmeprod!$B$1:$BX$549,MATCH(X$2,Kraftvärmeprod!$B$1:$VX$1,0),FALSE)/1,0)-IFERROR(VLOOKUP($B130,'Slutlig allokering kvv'!$B$2:$BX$549,MATCH(X$2,'Slutlig allokering kvv'!$B$1:$BX$1,0),FALSE)/1,0))</f>
        <v>0</v>
      </c>
      <c r="Y130" s="121">
        <f>IF($D130="","",IFERROR(VLOOKUP($B130,Kraftvärmeprod!$B$1:$BX$549,MATCH(Y$2,Kraftvärmeprod!$B$1:$VX$1,0),FALSE)/1,0)-IFERROR(VLOOKUP($B130,'Slutlig allokering kvv'!$B$2:$BX$549,MATCH(Y$2,'Slutlig allokering kvv'!$B$1:$BX$1,0),FALSE)/1,0))</f>
        <v>0</v>
      </c>
      <c r="Z130" s="121">
        <f>IF($D130="","",IFERROR(VLOOKUP($B130,Kraftvärmeprod!$B$1:$BX$549,MATCH(Z$2,Kraftvärmeprod!$B$1:$VX$1,0),FALSE)/1,0)-IFERROR(VLOOKUP($B130,'Slutlig allokering kvv'!$B$2:$BX$549,MATCH(Z$2,'Slutlig allokering kvv'!$B$1:$BX$1,0),FALSE)/1,0))</f>
        <v>8.1990000000000016</v>
      </c>
      <c r="AA130" s="121">
        <f>IF($D130="","",IFERROR(VLOOKUP($B130,Kraftvärmeprod!$B$1:$BX$549,MATCH(AA$2,Kraftvärmeprod!$B$1:$VX$1,0),FALSE)/1,0)-IFERROR(VLOOKUP($B130,'Slutlig allokering kvv'!$B$2:$BX$549,MATCH(AA$2,'Slutlig allokering kvv'!$B$1:$BX$1,0),FALSE)/1,0))</f>
        <v>0</v>
      </c>
      <c r="AB130" s="121">
        <f>IF($D130="","",IFERROR(VLOOKUP($B130,Kraftvärmeprod!$B$1:$BX$549,MATCH(AB$2,Kraftvärmeprod!$B$1:$VX$1,0),FALSE)/1,0)-IFERROR(VLOOKUP($B130,'Slutlig allokering kvv'!$B$2:$BX$549,MATCH(AB$2,'Slutlig allokering kvv'!$B$1:$BX$1,0),FALSE)/1,0))</f>
        <v>0</v>
      </c>
      <c r="AC130" s="121">
        <f>IF($D130="","",IFERROR(VLOOKUP($B130,Kraftvärmeprod!$B$1:$BX$549,MATCH(AC$2,Kraftvärmeprod!$B$1:$VX$1,0),FALSE)/1,0)-IFERROR(VLOOKUP($B130,'Slutlig allokering kvv'!$B$2:$BX$549,MATCH(AC$2,'Slutlig allokering kvv'!$B$1:$BX$1,0),FALSE)/1,0))</f>
        <v>0</v>
      </c>
      <c r="AD130" s="121">
        <f>IF($D130="","",IFERROR(VLOOKUP($B130,Kraftvärmeprod!$B$1:$BX$549,MATCH(AD$2,Kraftvärmeprod!$B$1:$VX$1,0),FALSE)/1,0)-IFERROR(VLOOKUP($B130,'Slutlig allokering kvv'!$B$2:$BX$549,MATCH(AD$2,'Slutlig allokering kvv'!$B$1:$BX$1,0),FALSE)/1,0))</f>
        <v>0</v>
      </c>
      <c r="AE130" s="121">
        <f>IF($D130="","",IFERROR(VLOOKUP($B130,Miljö!$B$1:$E$550,MATCH("Hjälpel kraftvärme (GWh)",Miljö!$B$1:$E$1,0),FALSE)/1,0)-IFERROR(VLOOKUP($B130,'Slutlig allokering kvv'!$B$2:$BX$549,MATCH(AE$2,'Slutlig allokering kvv'!$B$1:$BX$1,0),FALSE)/1,0))</f>
        <v>0</v>
      </c>
      <c r="AI130" s="121">
        <f t="shared" si="4"/>
        <v>313.09499999999997</v>
      </c>
      <c r="AK130" s="121">
        <f>IFERROR(VLOOKUP($B130,'Slutlig allokering kvv'!$B$2:$AX$549,MATCH("Summa slutlig allokerad tillförd energi (utan hjälpel och rökgaskondensering):",'Slutlig allokering kvv'!$B$1:$AX$1,0),FALSE)/1,"")</f>
        <v>382.75699999999995</v>
      </c>
      <c r="AM130" s="172">
        <f>IFERROR(1-VLOOKUP($B130,'Slutlig allokering kvv'!$B$2:$AX$549,MATCH("Andel av bränsle i kvv som allokerats till värme, exklusive rökgaskondensering och hjälpel",'Slutlig allokering kvv'!$B$1:$AX$1,0),FALSE),"")</f>
        <v>0.44994481585164681</v>
      </c>
      <c r="AO130" s="172">
        <f t="shared" si="5"/>
        <v>0.44994481585164664</v>
      </c>
      <c r="AP130" s="173">
        <f t="shared" si="6"/>
        <v>1.6653345369377348E-16</v>
      </c>
      <c r="AR130" s="172">
        <f t="shared" si="7"/>
        <v>0.48121496670339675</v>
      </c>
    </row>
    <row r="131" spans="1:44" x14ac:dyDescent="0.25">
      <c r="A131" s="171" t="str">
        <f>'Miljövärden för publ företag'!B133</f>
        <v>Kraftringen Energi AB (publ)</v>
      </c>
      <c r="B131" s="171" t="str">
        <f>'Miljövärden för publ företag'!C133</f>
        <v>Klippan-Ljungbyhed-Östra Ljungby</v>
      </c>
      <c r="C131" s="121" t="str">
        <f>IFERROR(VLOOKUP($B131,Kraftvärmeprod!$B$1:$AH$478,MATCH(C$2,Kraftvärmeprod!$B$1:$AG$1,0),FALSE)/1,"")</f>
        <v/>
      </c>
      <c r="D131" s="121" t="str">
        <f>IFERROR(VLOOKUP($B131,Kraftvärmeprod!$B$1:$AH$478,MATCH(D$2,Kraftvärmeprod!$B$1:$AG$1,0),FALSE)/1,"")</f>
        <v/>
      </c>
      <c r="F131" s="121" t="str">
        <f>IF($D131="","",IFERROR(VLOOKUP($B131,Kraftvärmeprod!$B$1:$BX$549,MATCH(F$2,Kraftvärmeprod!$B$1:$VX$1,0),FALSE)/1,0)-IFERROR(VLOOKUP($B131,'Slutlig allokering kvv'!$B$2:$BX$549,MATCH(F$2,'Slutlig allokering kvv'!$B$1:$BX$1,0),FALSE)/1,0))</f>
        <v/>
      </c>
      <c r="G131" s="121" t="str">
        <f>IF($D131="","",IFERROR(VLOOKUP($B131,Kraftvärmeprod!$B$1:$BX$549,MATCH(G$2,Kraftvärmeprod!$B$1:$VX$1,0),FALSE)/1,0)-IFERROR(VLOOKUP($B131,'Slutlig allokering kvv'!$B$2:$BX$549,MATCH(G$2,'Slutlig allokering kvv'!$B$1:$BX$1,0),FALSE)/1,0))</f>
        <v/>
      </c>
      <c r="H131" s="121" t="str">
        <f>IF($D131="","",IFERROR(VLOOKUP($B131,Kraftvärmeprod!$B$1:$BX$549,MATCH(H$2,Kraftvärmeprod!$B$1:$VX$1,0),FALSE)/1,0)-IFERROR(VLOOKUP($B131,'Slutlig allokering kvv'!$B$2:$BX$549,MATCH(H$2,'Slutlig allokering kvv'!$B$1:$BX$1,0),FALSE)/1,0))</f>
        <v/>
      </c>
      <c r="I131" s="121" t="str">
        <f>IF($D131="","",IFERROR(VLOOKUP($B131,Kraftvärmeprod!$B$1:$BX$549,MATCH(I$2,Kraftvärmeprod!$B$1:$VX$1,0),FALSE)/1,0)-IFERROR(VLOOKUP($B131,'Slutlig allokering kvv'!$B$2:$BX$549,MATCH(I$2,'Slutlig allokering kvv'!$B$1:$BX$1,0),FALSE)/1,0))</f>
        <v/>
      </c>
      <c r="J131" s="121" t="str">
        <f>IF($D131="","",IFERROR(VLOOKUP($B131,Kraftvärmeprod!$B$1:$BX$549,MATCH(J$2,Kraftvärmeprod!$B$1:$VX$1,0),FALSE)/1,0)-IFERROR(VLOOKUP($B131,'Slutlig allokering kvv'!$B$2:$BX$549,MATCH(J$2,'Slutlig allokering kvv'!$B$1:$BX$1,0),FALSE)/1,0))</f>
        <v/>
      </c>
      <c r="K131" s="121" t="str">
        <f>IF($D131="","",IFERROR(VLOOKUP($B131,Kraftvärmeprod!$B$1:$BX$549,MATCH(K$2,Kraftvärmeprod!$B$1:$VX$1,0),FALSE)/1,0)-IFERROR(VLOOKUP($B131,'Slutlig allokering kvv'!$B$2:$BX$549,MATCH(K$2,'Slutlig allokering kvv'!$B$1:$BX$1,0),FALSE)/1,0))</f>
        <v/>
      </c>
      <c r="L131" s="121" t="str">
        <f>IF($D131="","",IFERROR(VLOOKUP($B131,Kraftvärmeprod!$B$1:$BX$549,MATCH(L$2,Kraftvärmeprod!$B$1:$VX$1,0),FALSE)/1,0)-IFERROR(VLOOKUP($B131,'Slutlig allokering kvv'!$B$2:$BX$549,MATCH(L$2,'Slutlig allokering kvv'!$B$1:$BX$1,0),FALSE)/1,0))</f>
        <v/>
      </c>
      <c r="M131" s="121" t="str">
        <f>IF($D131="","",IFERROR(VLOOKUP($B131,Kraftvärmeprod!$B$1:$BX$549,MATCH(M$2,Kraftvärmeprod!$B$1:$VX$1,0),FALSE)/1,0)-IFERROR(VLOOKUP($B131,'Slutlig allokering kvv'!$B$2:$BX$549,MATCH(M$2,'Slutlig allokering kvv'!$B$1:$BX$1,0),FALSE)/1,0))</f>
        <v/>
      </c>
      <c r="N131" s="121" t="str">
        <f>IF($D131="","",IFERROR(VLOOKUP($B131,Kraftvärmeprod!$B$1:$BX$549,MATCH(N$2,Kraftvärmeprod!$B$1:$VX$1,0),FALSE)/1,0)-IFERROR(VLOOKUP($B131,'Slutlig allokering kvv'!$B$2:$BX$549,MATCH(N$2,'Slutlig allokering kvv'!$B$1:$BX$1,0),FALSE)/1,0))</f>
        <v/>
      </c>
      <c r="O131" s="121" t="str">
        <f>IF($D131="","",IFERROR(VLOOKUP($B131,Kraftvärmeprod!$B$1:$BX$549,MATCH(O$2,Kraftvärmeprod!$B$1:$VX$1,0),FALSE)/1,0)-IFERROR(VLOOKUP($B131,'Slutlig allokering kvv'!$B$2:$BX$549,MATCH(O$2,'Slutlig allokering kvv'!$B$1:$BX$1,0),FALSE)/1,0))</f>
        <v/>
      </c>
      <c r="P131" s="121" t="str">
        <f>IF($D131="","",IFERROR(VLOOKUP($B131,Kraftvärmeprod!$B$1:$BX$549,MATCH(P$2,Kraftvärmeprod!$B$1:$VX$1,0),FALSE)/1,0)-IFERROR(VLOOKUP($B131,'Slutlig allokering kvv'!$B$2:$BX$549,MATCH(P$2,'Slutlig allokering kvv'!$B$1:$BX$1,0),FALSE)/1,0))</f>
        <v/>
      </c>
      <c r="Q131" s="121" t="str">
        <f>IF($D131="","",IFERROR(VLOOKUP($B131,Kraftvärmeprod!$B$1:$BX$549,MATCH(Q$2,Kraftvärmeprod!$B$1:$VX$1,0),FALSE)/1,0)-IFERROR(VLOOKUP($B131,'Slutlig allokering kvv'!$B$2:$BX$549,MATCH(Q$2,'Slutlig allokering kvv'!$B$1:$BX$1,0),FALSE)/1,0))</f>
        <v/>
      </c>
      <c r="R131" s="121" t="str">
        <f>IF($D131="","",IFERROR(VLOOKUP($B131,Kraftvärmeprod!$B$1:$BX$549,MATCH(R$2,Kraftvärmeprod!$B$1:$VX$1,0),FALSE)/1,0)-IFERROR(VLOOKUP($B131,'Slutlig allokering kvv'!$B$2:$BX$549,MATCH(R$2,'Slutlig allokering kvv'!$B$1:$BX$1,0),FALSE)/1,0))</f>
        <v/>
      </c>
      <c r="S131" s="121" t="str">
        <f>IF($D131="","",IFERROR(VLOOKUP($B131,Kraftvärmeprod!$B$1:$BX$549,MATCH(S$2,Kraftvärmeprod!$B$1:$VX$1,0),FALSE)/1,0)-IFERROR(VLOOKUP($B131,'Slutlig allokering kvv'!$B$2:$BX$549,MATCH(S$2,'Slutlig allokering kvv'!$B$1:$BX$1,0),FALSE)/1,0))</f>
        <v/>
      </c>
      <c r="T131" s="121" t="str">
        <f>IF($D131="","",IFERROR(VLOOKUP($B131,Kraftvärmeprod!$B$1:$BX$549,MATCH(T$2,Kraftvärmeprod!$B$1:$VX$1,0),FALSE)/1,0)-IFERROR(VLOOKUP($B131,'Slutlig allokering kvv'!$B$2:$BX$549,MATCH(T$2,'Slutlig allokering kvv'!$B$1:$BX$1,0),FALSE)/1,0))</f>
        <v/>
      </c>
      <c r="U131" s="121" t="str">
        <f>IF($D131="","",IFERROR(VLOOKUP($B131,Kraftvärmeprod!$B$1:$BX$549,MATCH(U$2,Kraftvärmeprod!$B$1:$VX$1,0),FALSE)/1,0)-IFERROR(VLOOKUP($B131,'Slutlig allokering kvv'!$B$2:$BX$549,MATCH(U$2,'Slutlig allokering kvv'!$B$1:$BX$1,0),FALSE)/1,0))</f>
        <v/>
      </c>
      <c r="V131" s="121" t="str">
        <f>IF($D131="","",IFERROR(VLOOKUP($B131,Kraftvärmeprod!$B$1:$BX$549,MATCH(V$2,Kraftvärmeprod!$B$1:$VX$1,0),FALSE)/1,0)-IFERROR(VLOOKUP($B131,'Slutlig allokering kvv'!$B$2:$BX$549,MATCH(V$2,'Slutlig allokering kvv'!$B$1:$BX$1,0),FALSE)/1,0))</f>
        <v/>
      </c>
      <c r="W131" s="121" t="str">
        <f>IF($D131="","",IFERROR(VLOOKUP($B131,Kraftvärmeprod!$B$1:$BX$549,MATCH(W$2,Kraftvärmeprod!$B$1:$VX$1,0),FALSE)/1,0)-IFERROR(VLOOKUP($B131,'Slutlig allokering kvv'!$B$2:$BX$549,MATCH(W$2,'Slutlig allokering kvv'!$B$1:$BX$1,0),FALSE)/1,0))</f>
        <v/>
      </c>
      <c r="X131" s="121" t="str">
        <f>IF($D131="","",IFERROR(VLOOKUP($B131,Kraftvärmeprod!$B$1:$BX$549,MATCH(X$2,Kraftvärmeprod!$B$1:$VX$1,0),FALSE)/1,0)-IFERROR(VLOOKUP($B131,'Slutlig allokering kvv'!$B$2:$BX$549,MATCH(X$2,'Slutlig allokering kvv'!$B$1:$BX$1,0),FALSE)/1,0))</f>
        <v/>
      </c>
      <c r="Y131" s="121" t="str">
        <f>IF($D131="","",IFERROR(VLOOKUP($B131,Kraftvärmeprod!$B$1:$BX$549,MATCH(Y$2,Kraftvärmeprod!$B$1:$VX$1,0),FALSE)/1,0)-IFERROR(VLOOKUP($B131,'Slutlig allokering kvv'!$B$2:$BX$549,MATCH(Y$2,'Slutlig allokering kvv'!$B$1:$BX$1,0),FALSE)/1,0))</f>
        <v/>
      </c>
      <c r="Z131" s="121" t="str">
        <f>IF($D131="","",IFERROR(VLOOKUP($B131,Kraftvärmeprod!$B$1:$BX$549,MATCH(Z$2,Kraftvärmeprod!$B$1:$VX$1,0),FALSE)/1,0)-IFERROR(VLOOKUP($B131,'Slutlig allokering kvv'!$B$2:$BX$549,MATCH(Z$2,'Slutlig allokering kvv'!$B$1:$BX$1,0),FALSE)/1,0))</f>
        <v/>
      </c>
      <c r="AA131" s="121" t="str">
        <f>IF($D131="","",IFERROR(VLOOKUP($B131,Kraftvärmeprod!$B$1:$BX$549,MATCH(AA$2,Kraftvärmeprod!$B$1:$VX$1,0),FALSE)/1,0)-IFERROR(VLOOKUP($B131,'Slutlig allokering kvv'!$B$2:$BX$549,MATCH(AA$2,'Slutlig allokering kvv'!$B$1:$BX$1,0),FALSE)/1,0))</f>
        <v/>
      </c>
      <c r="AB131" s="121" t="str">
        <f>IF($D131="","",IFERROR(VLOOKUP($B131,Kraftvärmeprod!$B$1:$BX$549,MATCH(AB$2,Kraftvärmeprod!$B$1:$VX$1,0),FALSE)/1,0)-IFERROR(VLOOKUP($B131,'Slutlig allokering kvv'!$B$2:$BX$549,MATCH(AB$2,'Slutlig allokering kvv'!$B$1:$BX$1,0),FALSE)/1,0))</f>
        <v/>
      </c>
      <c r="AC131" s="121" t="str">
        <f>IF($D131="","",IFERROR(VLOOKUP($B131,Kraftvärmeprod!$B$1:$BX$549,MATCH(AC$2,Kraftvärmeprod!$B$1:$VX$1,0),FALSE)/1,0)-IFERROR(VLOOKUP($B131,'Slutlig allokering kvv'!$B$2:$BX$549,MATCH(AC$2,'Slutlig allokering kvv'!$B$1:$BX$1,0),FALSE)/1,0))</f>
        <v/>
      </c>
      <c r="AD131" s="121" t="str">
        <f>IF($D131="","",IFERROR(VLOOKUP($B131,Kraftvärmeprod!$B$1:$BX$549,MATCH(AD$2,Kraftvärmeprod!$B$1:$VX$1,0),FALSE)/1,0)-IFERROR(VLOOKUP($B131,'Slutlig allokering kvv'!$B$2:$BX$549,MATCH(AD$2,'Slutlig allokering kvv'!$B$1:$BX$1,0),FALSE)/1,0))</f>
        <v/>
      </c>
      <c r="AE131" s="121" t="str">
        <f>IF($D131="","",IFERROR(VLOOKUP($B131,Miljö!$B$1:$E$550,MATCH("Hjälpel kraftvärme (GWh)",Miljö!$B$1:$E$1,0),FALSE)/1,0)-IFERROR(VLOOKUP($B131,'Slutlig allokering kvv'!$B$2:$BX$549,MATCH(AE$2,'Slutlig allokering kvv'!$B$1:$BX$1,0),FALSE)/1,0))</f>
        <v/>
      </c>
      <c r="AI131" s="121">
        <f t="shared" si="4"/>
        <v>0</v>
      </c>
      <c r="AK131" s="121">
        <f>IFERROR(VLOOKUP($B131,'Slutlig allokering kvv'!$B$2:$AX$549,MATCH("Summa slutlig allokerad tillförd energi (utan hjälpel och rökgaskondensering):",'Slutlig allokering kvv'!$B$1:$AX$1,0),FALSE)/1,"")</f>
        <v>0</v>
      </c>
      <c r="AM131" s="172" t="str">
        <f>IFERROR(1-VLOOKUP($B131,'Slutlig allokering kvv'!$B$2:$AX$549,MATCH("Andel av bränsle i kvv som allokerats till värme, exklusive rökgaskondensering och hjälpel",'Slutlig allokering kvv'!$B$1:$AX$1,0),FALSE),"")</f>
        <v/>
      </c>
      <c r="AO131" s="172" t="str">
        <f t="shared" si="5"/>
        <v/>
      </c>
      <c r="AP131" s="173" t="str">
        <f t="shared" si="6"/>
        <v/>
      </c>
      <c r="AR131" s="172" t="str">
        <f t="shared" si="7"/>
        <v/>
      </c>
    </row>
    <row r="132" spans="1:44" x14ac:dyDescent="0.25">
      <c r="A132" s="171" t="str">
        <f>'Miljövärden för publ företag'!B134</f>
        <v>Kungälv Energi AB</v>
      </c>
      <c r="B132" s="171" t="str">
        <f>'Miljövärden för publ företag'!C134</f>
        <v>HVC Kode</v>
      </c>
      <c r="C132" s="121" t="str">
        <f>IFERROR(VLOOKUP($B132,Kraftvärmeprod!$B$1:$AH$478,MATCH(C$2,Kraftvärmeprod!$B$1:$AG$1,0),FALSE)/1,"")</f>
        <v/>
      </c>
      <c r="D132" s="121" t="str">
        <f>IFERROR(VLOOKUP($B132,Kraftvärmeprod!$B$1:$AH$478,MATCH(D$2,Kraftvärmeprod!$B$1:$AG$1,0),FALSE)/1,"")</f>
        <v/>
      </c>
      <c r="F132" s="121" t="str">
        <f>IF($D132="","",IFERROR(VLOOKUP($B132,Kraftvärmeprod!$B$1:$BX$549,MATCH(F$2,Kraftvärmeprod!$B$1:$VX$1,0),FALSE)/1,0)-IFERROR(VLOOKUP($B132,'Slutlig allokering kvv'!$B$2:$BX$549,MATCH(F$2,'Slutlig allokering kvv'!$B$1:$BX$1,0),FALSE)/1,0))</f>
        <v/>
      </c>
      <c r="G132" s="121" t="str">
        <f>IF($D132="","",IFERROR(VLOOKUP($B132,Kraftvärmeprod!$B$1:$BX$549,MATCH(G$2,Kraftvärmeprod!$B$1:$VX$1,0),FALSE)/1,0)-IFERROR(VLOOKUP($B132,'Slutlig allokering kvv'!$B$2:$BX$549,MATCH(G$2,'Slutlig allokering kvv'!$B$1:$BX$1,0),FALSE)/1,0))</f>
        <v/>
      </c>
      <c r="H132" s="121" t="str">
        <f>IF($D132="","",IFERROR(VLOOKUP($B132,Kraftvärmeprod!$B$1:$BX$549,MATCH(H$2,Kraftvärmeprod!$B$1:$VX$1,0),FALSE)/1,0)-IFERROR(VLOOKUP($B132,'Slutlig allokering kvv'!$B$2:$BX$549,MATCH(H$2,'Slutlig allokering kvv'!$B$1:$BX$1,0),FALSE)/1,0))</f>
        <v/>
      </c>
      <c r="I132" s="121" t="str">
        <f>IF($D132="","",IFERROR(VLOOKUP($B132,Kraftvärmeprod!$B$1:$BX$549,MATCH(I$2,Kraftvärmeprod!$B$1:$VX$1,0),FALSE)/1,0)-IFERROR(VLOOKUP($B132,'Slutlig allokering kvv'!$B$2:$BX$549,MATCH(I$2,'Slutlig allokering kvv'!$B$1:$BX$1,0),FALSE)/1,0))</f>
        <v/>
      </c>
      <c r="J132" s="121" t="str">
        <f>IF($D132="","",IFERROR(VLOOKUP($B132,Kraftvärmeprod!$B$1:$BX$549,MATCH(J$2,Kraftvärmeprod!$B$1:$VX$1,0),FALSE)/1,0)-IFERROR(VLOOKUP($B132,'Slutlig allokering kvv'!$B$2:$BX$549,MATCH(J$2,'Slutlig allokering kvv'!$B$1:$BX$1,0),FALSE)/1,0))</f>
        <v/>
      </c>
      <c r="K132" s="121" t="str">
        <f>IF($D132="","",IFERROR(VLOOKUP($B132,Kraftvärmeprod!$B$1:$BX$549,MATCH(K$2,Kraftvärmeprod!$B$1:$VX$1,0),FALSE)/1,0)-IFERROR(VLOOKUP($B132,'Slutlig allokering kvv'!$B$2:$BX$549,MATCH(K$2,'Slutlig allokering kvv'!$B$1:$BX$1,0),FALSE)/1,0))</f>
        <v/>
      </c>
      <c r="L132" s="121" t="str">
        <f>IF($D132="","",IFERROR(VLOOKUP($B132,Kraftvärmeprod!$B$1:$BX$549,MATCH(L$2,Kraftvärmeprod!$B$1:$VX$1,0),FALSE)/1,0)-IFERROR(VLOOKUP($B132,'Slutlig allokering kvv'!$B$2:$BX$549,MATCH(L$2,'Slutlig allokering kvv'!$B$1:$BX$1,0),FALSE)/1,0))</f>
        <v/>
      </c>
      <c r="M132" s="121" t="str">
        <f>IF($D132="","",IFERROR(VLOOKUP($B132,Kraftvärmeprod!$B$1:$BX$549,MATCH(M$2,Kraftvärmeprod!$B$1:$VX$1,0),FALSE)/1,0)-IFERROR(VLOOKUP($B132,'Slutlig allokering kvv'!$B$2:$BX$549,MATCH(M$2,'Slutlig allokering kvv'!$B$1:$BX$1,0),FALSE)/1,0))</f>
        <v/>
      </c>
      <c r="N132" s="121" t="str">
        <f>IF($D132="","",IFERROR(VLOOKUP($B132,Kraftvärmeprod!$B$1:$BX$549,MATCH(N$2,Kraftvärmeprod!$B$1:$VX$1,0),FALSE)/1,0)-IFERROR(VLOOKUP($B132,'Slutlig allokering kvv'!$B$2:$BX$549,MATCH(N$2,'Slutlig allokering kvv'!$B$1:$BX$1,0),FALSE)/1,0))</f>
        <v/>
      </c>
      <c r="O132" s="121" t="str">
        <f>IF($D132="","",IFERROR(VLOOKUP($B132,Kraftvärmeprod!$B$1:$BX$549,MATCH(O$2,Kraftvärmeprod!$B$1:$VX$1,0),FALSE)/1,0)-IFERROR(VLOOKUP($B132,'Slutlig allokering kvv'!$B$2:$BX$549,MATCH(O$2,'Slutlig allokering kvv'!$B$1:$BX$1,0),FALSE)/1,0))</f>
        <v/>
      </c>
      <c r="P132" s="121" t="str">
        <f>IF($D132="","",IFERROR(VLOOKUP($B132,Kraftvärmeprod!$B$1:$BX$549,MATCH(P$2,Kraftvärmeprod!$B$1:$VX$1,0),FALSE)/1,0)-IFERROR(VLOOKUP($B132,'Slutlig allokering kvv'!$B$2:$BX$549,MATCH(P$2,'Slutlig allokering kvv'!$B$1:$BX$1,0),FALSE)/1,0))</f>
        <v/>
      </c>
      <c r="Q132" s="121" t="str">
        <f>IF($D132="","",IFERROR(VLOOKUP($B132,Kraftvärmeprod!$B$1:$BX$549,MATCH(Q$2,Kraftvärmeprod!$B$1:$VX$1,0),FALSE)/1,0)-IFERROR(VLOOKUP($B132,'Slutlig allokering kvv'!$B$2:$BX$549,MATCH(Q$2,'Slutlig allokering kvv'!$B$1:$BX$1,0),FALSE)/1,0))</f>
        <v/>
      </c>
      <c r="R132" s="121" t="str">
        <f>IF($D132="","",IFERROR(VLOOKUP($B132,Kraftvärmeprod!$B$1:$BX$549,MATCH(R$2,Kraftvärmeprod!$B$1:$VX$1,0),FALSE)/1,0)-IFERROR(VLOOKUP($B132,'Slutlig allokering kvv'!$B$2:$BX$549,MATCH(R$2,'Slutlig allokering kvv'!$B$1:$BX$1,0),FALSE)/1,0))</f>
        <v/>
      </c>
      <c r="S132" s="121" t="str">
        <f>IF($D132="","",IFERROR(VLOOKUP($B132,Kraftvärmeprod!$B$1:$BX$549,MATCH(S$2,Kraftvärmeprod!$B$1:$VX$1,0),FALSE)/1,0)-IFERROR(VLOOKUP($B132,'Slutlig allokering kvv'!$B$2:$BX$549,MATCH(S$2,'Slutlig allokering kvv'!$B$1:$BX$1,0),FALSE)/1,0))</f>
        <v/>
      </c>
      <c r="T132" s="121" t="str">
        <f>IF($D132="","",IFERROR(VLOOKUP($B132,Kraftvärmeprod!$B$1:$BX$549,MATCH(T$2,Kraftvärmeprod!$B$1:$VX$1,0),FALSE)/1,0)-IFERROR(VLOOKUP($B132,'Slutlig allokering kvv'!$B$2:$BX$549,MATCH(T$2,'Slutlig allokering kvv'!$B$1:$BX$1,0),FALSE)/1,0))</f>
        <v/>
      </c>
      <c r="U132" s="121" t="str">
        <f>IF($D132="","",IFERROR(VLOOKUP($B132,Kraftvärmeprod!$B$1:$BX$549,MATCH(U$2,Kraftvärmeprod!$B$1:$VX$1,0),FALSE)/1,0)-IFERROR(VLOOKUP($B132,'Slutlig allokering kvv'!$B$2:$BX$549,MATCH(U$2,'Slutlig allokering kvv'!$B$1:$BX$1,0),FALSE)/1,0))</f>
        <v/>
      </c>
      <c r="V132" s="121" t="str">
        <f>IF($D132="","",IFERROR(VLOOKUP($B132,Kraftvärmeprod!$B$1:$BX$549,MATCH(V$2,Kraftvärmeprod!$B$1:$VX$1,0),FALSE)/1,0)-IFERROR(VLOOKUP($B132,'Slutlig allokering kvv'!$B$2:$BX$549,MATCH(V$2,'Slutlig allokering kvv'!$B$1:$BX$1,0),FALSE)/1,0))</f>
        <v/>
      </c>
      <c r="W132" s="121" t="str">
        <f>IF($D132="","",IFERROR(VLOOKUP($B132,Kraftvärmeprod!$B$1:$BX$549,MATCH(W$2,Kraftvärmeprod!$B$1:$VX$1,0),FALSE)/1,0)-IFERROR(VLOOKUP($B132,'Slutlig allokering kvv'!$B$2:$BX$549,MATCH(W$2,'Slutlig allokering kvv'!$B$1:$BX$1,0),FALSE)/1,0))</f>
        <v/>
      </c>
      <c r="X132" s="121" t="str">
        <f>IF($D132="","",IFERROR(VLOOKUP($B132,Kraftvärmeprod!$B$1:$BX$549,MATCH(X$2,Kraftvärmeprod!$B$1:$VX$1,0),FALSE)/1,0)-IFERROR(VLOOKUP($B132,'Slutlig allokering kvv'!$B$2:$BX$549,MATCH(X$2,'Slutlig allokering kvv'!$B$1:$BX$1,0),FALSE)/1,0))</f>
        <v/>
      </c>
      <c r="Y132" s="121" t="str">
        <f>IF($D132="","",IFERROR(VLOOKUP($B132,Kraftvärmeprod!$B$1:$BX$549,MATCH(Y$2,Kraftvärmeprod!$B$1:$VX$1,0),FALSE)/1,0)-IFERROR(VLOOKUP($B132,'Slutlig allokering kvv'!$B$2:$BX$549,MATCH(Y$2,'Slutlig allokering kvv'!$B$1:$BX$1,0),FALSE)/1,0))</f>
        <v/>
      </c>
      <c r="Z132" s="121" t="str">
        <f>IF($D132="","",IFERROR(VLOOKUP($B132,Kraftvärmeprod!$B$1:$BX$549,MATCH(Z$2,Kraftvärmeprod!$B$1:$VX$1,0),FALSE)/1,0)-IFERROR(VLOOKUP($B132,'Slutlig allokering kvv'!$B$2:$BX$549,MATCH(Z$2,'Slutlig allokering kvv'!$B$1:$BX$1,0),FALSE)/1,0))</f>
        <v/>
      </c>
      <c r="AA132" s="121" t="str">
        <f>IF($D132="","",IFERROR(VLOOKUP($B132,Kraftvärmeprod!$B$1:$BX$549,MATCH(AA$2,Kraftvärmeprod!$B$1:$VX$1,0),FALSE)/1,0)-IFERROR(VLOOKUP($B132,'Slutlig allokering kvv'!$B$2:$BX$549,MATCH(AA$2,'Slutlig allokering kvv'!$B$1:$BX$1,0),FALSE)/1,0))</f>
        <v/>
      </c>
      <c r="AB132" s="121" t="str">
        <f>IF($D132="","",IFERROR(VLOOKUP($B132,Kraftvärmeprod!$B$1:$BX$549,MATCH(AB$2,Kraftvärmeprod!$B$1:$VX$1,0),FALSE)/1,0)-IFERROR(VLOOKUP($B132,'Slutlig allokering kvv'!$B$2:$BX$549,MATCH(AB$2,'Slutlig allokering kvv'!$B$1:$BX$1,0),FALSE)/1,0))</f>
        <v/>
      </c>
      <c r="AC132" s="121" t="str">
        <f>IF($D132="","",IFERROR(VLOOKUP($B132,Kraftvärmeprod!$B$1:$BX$549,MATCH(AC$2,Kraftvärmeprod!$B$1:$VX$1,0),FALSE)/1,0)-IFERROR(VLOOKUP($B132,'Slutlig allokering kvv'!$B$2:$BX$549,MATCH(AC$2,'Slutlig allokering kvv'!$B$1:$BX$1,0),FALSE)/1,0))</f>
        <v/>
      </c>
      <c r="AD132" s="121" t="str">
        <f>IF($D132="","",IFERROR(VLOOKUP($B132,Kraftvärmeprod!$B$1:$BX$549,MATCH(AD$2,Kraftvärmeprod!$B$1:$VX$1,0),FALSE)/1,0)-IFERROR(VLOOKUP($B132,'Slutlig allokering kvv'!$B$2:$BX$549,MATCH(AD$2,'Slutlig allokering kvv'!$B$1:$BX$1,0),FALSE)/1,0))</f>
        <v/>
      </c>
      <c r="AE132" s="121" t="str">
        <f>IF($D132="","",IFERROR(VLOOKUP($B132,Miljö!$B$1:$E$550,MATCH("Hjälpel kraftvärme (GWh)",Miljö!$B$1:$E$1,0),FALSE)/1,0)-IFERROR(VLOOKUP($B132,'Slutlig allokering kvv'!$B$2:$BX$549,MATCH(AE$2,'Slutlig allokering kvv'!$B$1:$BX$1,0),FALSE)/1,0))</f>
        <v/>
      </c>
      <c r="AI132" s="121">
        <f t="shared" ref="AI132:AI195" si="8">SUM(F132:AC132)</f>
        <v>0</v>
      </c>
      <c r="AK132" s="121">
        <f>IFERROR(VLOOKUP($B132,'Slutlig allokering kvv'!$B$2:$AX$549,MATCH("Summa slutlig allokerad tillförd energi (utan hjälpel och rökgaskondensering):",'Slutlig allokering kvv'!$B$1:$AX$1,0),FALSE)/1,"")</f>
        <v>0</v>
      </c>
      <c r="AM132" s="172" t="str">
        <f>IFERROR(1-VLOOKUP($B132,'Slutlig allokering kvv'!$B$2:$AX$549,MATCH("Andel av bränsle i kvv som allokerats till värme, exklusive rökgaskondensering och hjälpel",'Slutlig allokering kvv'!$B$1:$AX$1,0),FALSE),"")</f>
        <v/>
      </c>
      <c r="AO132" s="172" t="str">
        <f t="shared" ref="AO132:AO195" si="9">IFERROR(AI132/(AI132+AK132),"")</f>
        <v/>
      </c>
      <c r="AP132" s="173" t="str">
        <f t="shared" ref="AP132:AP195" si="10">IFERROR(AM132-AO132,"")</f>
        <v/>
      </c>
      <c r="AR132" s="172" t="str">
        <f t="shared" ref="AR132:AR195" si="11">IFERROR(D132/(AI132+AE132),"")</f>
        <v/>
      </c>
    </row>
    <row r="133" spans="1:44" x14ac:dyDescent="0.25">
      <c r="A133" s="171" t="str">
        <f>'Miljövärden för publ företag'!B135</f>
        <v>Kungälv Energi AB</v>
      </c>
      <c r="B133" s="171" t="str">
        <f>'Miljövärden för publ företag'!C135</f>
        <v>HVC Kärna</v>
      </c>
      <c r="C133" s="121" t="str">
        <f>IFERROR(VLOOKUP($B133,Kraftvärmeprod!$B$1:$AH$478,MATCH(C$2,Kraftvärmeprod!$B$1:$AG$1,0),FALSE)/1,"")</f>
        <v/>
      </c>
      <c r="D133" s="121" t="str">
        <f>IFERROR(VLOOKUP($B133,Kraftvärmeprod!$B$1:$AH$478,MATCH(D$2,Kraftvärmeprod!$B$1:$AG$1,0),FALSE)/1,"")</f>
        <v/>
      </c>
      <c r="F133" s="121" t="str">
        <f>IF($D133="","",IFERROR(VLOOKUP($B133,Kraftvärmeprod!$B$1:$BX$549,MATCH(F$2,Kraftvärmeprod!$B$1:$VX$1,0),FALSE)/1,0)-IFERROR(VLOOKUP($B133,'Slutlig allokering kvv'!$B$2:$BX$549,MATCH(F$2,'Slutlig allokering kvv'!$B$1:$BX$1,0),FALSE)/1,0))</f>
        <v/>
      </c>
      <c r="G133" s="121" t="str">
        <f>IF($D133="","",IFERROR(VLOOKUP($B133,Kraftvärmeprod!$B$1:$BX$549,MATCH(G$2,Kraftvärmeprod!$B$1:$VX$1,0),FALSE)/1,0)-IFERROR(VLOOKUP($B133,'Slutlig allokering kvv'!$B$2:$BX$549,MATCH(G$2,'Slutlig allokering kvv'!$B$1:$BX$1,0),FALSE)/1,0))</f>
        <v/>
      </c>
      <c r="H133" s="121" t="str">
        <f>IF($D133="","",IFERROR(VLOOKUP($B133,Kraftvärmeprod!$B$1:$BX$549,MATCH(H$2,Kraftvärmeprod!$B$1:$VX$1,0),FALSE)/1,0)-IFERROR(VLOOKUP($B133,'Slutlig allokering kvv'!$B$2:$BX$549,MATCH(H$2,'Slutlig allokering kvv'!$B$1:$BX$1,0),FALSE)/1,0))</f>
        <v/>
      </c>
      <c r="I133" s="121" t="str">
        <f>IF($D133="","",IFERROR(VLOOKUP($B133,Kraftvärmeprod!$B$1:$BX$549,MATCH(I$2,Kraftvärmeprod!$B$1:$VX$1,0),FALSE)/1,0)-IFERROR(VLOOKUP($B133,'Slutlig allokering kvv'!$B$2:$BX$549,MATCH(I$2,'Slutlig allokering kvv'!$B$1:$BX$1,0),FALSE)/1,0))</f>
        <v/>
      </c>
      <c r="J133" s="121" t="str">
        <f>IF($D133="","",IFERROR(VLOOKUP($B133,Kraftvärmeprod!$B$1:$BX$549,MATCH(J$2,Kraftvärmeprod!$B$1:$VX$1,0),FALSE)/1,0)-IFERROR(VLOOKUP($B133,'Slutlig allokering kvv'!$B$2:$BX$549,MATCH(J$2,'Slutlig allokering kvv'!$B$1:$BX$1,0),FALSE)/1,0))</f>
        <v/>
      </c>
      <c r="K133" s="121" t="str">
        <f>IF($D133="","",IFERROR(VLOOKUP($B133,Kraftvärmeprod!$B$1:$BX$549,MATCH(K$2,Kraftvärmeprod!$B$1:$VX$1,0),FALSE)/1,0)-IFERROR(VLOOKUP($B133,'Slutlig allokering kvv'!$B$2:$BX$549,MATCH(K$2,'Slutlig allokering kvv'!$B$1:$BX$1,0),FALSE)/1,0))</f>
        <v/>
      </c>
      <c r="L133" s="121" t="str">
        <f>IF($D133="","",IFERROR(VLOOKUP($B133,Kraftvärmeprod!$B$1:$BX$549,MATCH(L$2,Kraftvärmeprod!$B$1:$VX$1,0),FALSE)/1,0)-IFERROR(VLOOKUP($B133,'Slutlig allokering kvv'!$B$2:$BX$549,MATCH(L$2,'Slutlig allokering kvv'!$B$1:$BX$1,0),FALSE)/1,0))</f>
        <v/>
      </c>
      <c r="M133" s="121" t="str">
        <f>IF($D133="","",IFERROR(VLOOKUP($B133,Kraftvärmeprod!$B$1:$BX$549,MATCH(M$2,Kraftvärmeprod!$B$1:$VX$1,0),FALSE)/1,0)-IFERROR(VLOOKUP($B133,'Slutlig allokering kvv'!$B$2:$BX$549,MATCH(M$2,'Slutlig allokering kvv'!$B$1:$BX$1,0),FALSE)/1,0))</f>
        <v/>
      </c>
      <c r="N133" s="121" t="str">
        <f>IF($D133="","",IFERROR(VLOOKUP($B133,Kraftvärmeprod!$B$1:$BX$549,MATCH(N$2,Kraftvärmeprod!$B$1:$VX$1,0),FALSE)/1,0)-IFERROR(VLOOKUP($B133,'Slutlig allokering kvv'!$B$2:$BX$549,MATCH(N$2,'Slutlig allokering kvv'!$B$1:$BX$1,0),FALSE)/1,0))</f>
        <v/>
      </c>
      <c r="O133" s="121" t="str">
        <f>IF($D133="","",IFERROR(VLOOKUP($B133,Kraftvärmeprod!$B$1:$BX$549,MATCH(O$2,Kraftvärmeprod!$B$1:$VX$1,0),FALSE)/1,0)-IFERROR(VLOOKUP($B133,'Slutlig allokering kvv'!$B$2:$BX$549,MATCH(O$2,'Slutlig allokering kvv'!$B$1:$BX$1,0),FALSE)/1,0))</f>
        <v/>
      </c>
      <c r="P133" s="121" t="str">
        <f>IF($D133="","",IFERROR(VLOOKUP($B133,Kraftvärmeprod!$B$1:$BX$549,MATCH(P$2,Kraftvärmeprod!$B$1:$VX$1,0),FALSE)/1,0)-IFERROR(VLOOKUP($B133,'Slutlig allokering kvv'!$B$2:$BX$549,MATCH(P$2,'Slutlig allokering kvv'!$B$1:$BX$1,0),FALSE)/1,0))</f>
        <v/>
      </c>
      <c r="Q133" s="121" t="str">
        <f>IF($D133="","",IFERROR(VLOOKUP($B133,Kraftvärmeprod!$B$1:$BX$549,MATCH(Q$2,Kraftvärmeprod!$B$1:$VX$1,0),FALSE)/1,0)-IFERROR(VLOOKUP($B133,'Slutlig allokering kvv'!$B$2:$BX$549,MATCH(Q$2,'Slutlig allokering kvv'!$B$1:$BX$1,0),FALSE)/1,0))</f>
        <v/>
      </c>
      <c r="R133" s="121" t="str">
        <f>IF($D133="","",IFERROR(VLOOKUP($B133,Kraftvärmeprod!$B$1:$BX$549,MATCH(R$2,Kraftvärmeprod!$B$1:$VX$1,0),FALSE)/1,0)-IFERROR(VLOOKUP($B133,'Slutlig allokering kvv'!$B$2:$BX$549,MATCH(R$2,'Slutlig allokering kvv'!$B$1:$BX$1,0),FALSE)/1,0))</f>
        <v/>
      </c>
      <c r="S133" s="121" t="str">
        <f>IF($D133="","",IFERROR(VLOOKUP($B133,Kraftvärmeprod!$B$1:$BX$549,MATCH(S$2,Kraftvärmeprod!$B$1:$VX$1,0),FALSE)/1,0)-IFERROR(VLOOKUP($B133,'Slutlig allokering kvv'!$B$2:$BX$549,MATCH(S$2,'Slutlig allokering kvv'!$B$1:$BX$1,0),FALSE)/1,0))</f>
        <v/>
      </c>
      <c r="T133" s="121" t="str">
        <f>IF($D133="","",IFERROR(VLOOKUP($B133,Kraftvärmeprod!$B$1:$BX$549,MATCH(T$2,Kraftvärmeprod!$B$1:$VX$1,0),FALSE)/1,0)-IFERROR(VLOOKUP($B133,'Slutlig allokering kvv'!$B$2:$BX$549,MATCH(T$2,'Slutlig allokering kvv'!$B$1:$BX$1,0),FALSE)/1,0))</f>
        <v/>
      </c>
      <c r="U133" s="121" t="str">
        <f>IF($D133="","",IFERROR(VLOOKUP($B133,Kraftvärmeprod!$B$1:$BX$549,MATCH(U$2,Kraftvärmeprod!$B$1:$VX$1,0),FALSE)/1,0)-IFERROR(VLOOKUP($B133,'Slutlig allokering kvv'!$B$2:$BX$549,MATCH(U$2,'Slutlig allokering kvv'!$B$1:$BX$1,0),FALSE)/1,0))</f>
        <v/>
      </c>
      <c r="V133" s="121" t="str">
        <f>IF($D133="","",IFERROR(VLOOKUP($B133,Kraftvärmeprod!$B$1:$BX$549,MATCH(V$2,Kraftvärmeprod!$B$1:$VX$1,0),FALSE)/1,0)-IFERROR(VLOOKUP($B133,'Slutlig allokering kvv'!$B$2:$BX$549,MATCH(V$2,'Slutlig allokering kvv'!$B$1:$BX$1,0),FALSE)/1,0))</f>
        <v/>
      </c>
      <c r="W133" s="121" t="str">
        <f>IF($D133="","",IFERROR(VLOOKUP($B133,Kraftvärmeprod!$B$1:$BX$549,MATCH(W$2,Kraftvärmeprod!$B$1:$VX$1,0),FALSE)/1,0)-IFERROR(VLOOKUP($B133,'Slutlig allokering kvv'!$B$2:$BX$549,MATCH(W$2,'Slutlig allokering kvv'!$B$1:$BX$1,0),FALSE)/1,0))</f>
        <v/>
      </c>
      <c r="X133" s="121" t="str">
        <f>IF($D133="","",IFERROR(VLOOKUP($B133,Kraftvärmeprod!$B$1:$BX$549,MATCH(X$2,Kraftvärmeprod!$B$1:$VX$1,0),FALSE)/1,0)-IFERROR(VLOOKUP($B133,'Slutlig allokering kvv'!$B$2:$BX$549,MATCH(X$2,'Slutlig allokering kvv'!$B$1:$BX$1,0),FALSE)/1,0))</f>
        <v/>
      </c>
      <c r="Y133" s="121" t="str">
        <f>IF($D133="","",IFERROR(VLOOKUP($B133,Kraftvärmeprod!$B$1:$BX$549,MATCH(Y$2,Kraftvärmeprod!$B$1:$VX$1,0),FALSE)/1,0)-IFERROR(VLOOKUP($B133,'Slutlig allokering kvv'!$B$2:$BX$549,MATCH(Y$2,'Slutlig allokering kvv'!$B$1:$BX$1,0),FALSE)/1,0))</f>
        <v/>
      </c>
      <c r="Z133" s="121" t="str">
        <f>IF($D133="","",IFERROR(VLOOKUP($B133,Kraftvärmeprod!$B$1:$BX$549,MATCH(Z$2,Kraftvärmeprod!$B$1:$VX$1,0),FALSE)/1,0)-IFERROR(VLOOKUP($B133,'Slutlig allokering kvv'!$B$2:$BX$549,MATCH(Z$2,'Slutlig allokering kvv'!$B$1:$BX$1,0),FALSE)/1,0))</f>
        <v/>
      </c>
      <c r="AA133" s="121" t="str">
        <f>IF($D133="","",IFERROR(VLOOKUP($B133,Kraftvärmeprod!$B$1:$BX$549,MATCH(AA$2,Kraftvärmeprod!$B$1:$VX$1,0),FALSE)/1,0)-IFERROR(VLOOKUP($B133,'Slutlig allokering kvv'!$B$2:$BX$549,MATCH(AA$2,'Slutlig allokering kvv'!$B$1:$BX$1,0),FALSE)/1,0))</f>
        <v/>
      </c>
      <c r="AB133" s="121" t="str">
        <f>IF($D133="","",IFERROR(VLOOKUP($B133,Kraftvärmeprod!$B$1:$BX$549,MATCH(AB$2,Kraftvärmeprod!$B$1:$VX$1,0),FALSE)/1,0)-IFERROR(VLOOKUP($B133,'Slutlig allokering kvv'!$B$2:$BX$549,MATCH(AB$2,'Slutlig allokering kvv'!$B$1:$BX$1,0),FALSE)/1,0))</f>
        <v/>
      </c>
      <c r="AC133" s="121" t="str">
        <f>IF($D133="","",IFERROR(VLOOKUP($B133,Kraftvärmeprod!$B$1:$BX$549,MATCH(AC$2,Kraftvärmeprod!$B$1:$VX$1,0),FALSE)/1,0)-IFERROR(VLOOKUP($B133,'Slutlig allokering kvv'!$B$2:$BX$549,MATCH(AC$2,'Slutlig allokering kvv'!$B$1:$BX$1,0),FALSE)/1,0))</f>
        <v/>
      </c>
      <c r="AD133" s="121" t="str">
        <f>IF($D133="","",IFERROR(VLOOKUP($B133,Kraftvärmeprod!$B$1:$BX$549,MATCH(AD$2,Kraftvärmeprod!$B$1:$VX$1,0),FALSE)/1,0)-IFERROR(VLOOKUP($B133,'Slutlig allokering kvv'!$B$2:$BX$549,MATCH(AD$2,'Slutlig allokering kvv'!$B$1:$BX$1,0),FALSE)/1,0))</f>
        <v/>
      </c>
      <c r="AE133" s="121" t="str">
        <f>IF($D133="","",IFERROR(VLOOKUP($B133,Miljö!$B$1:$E$550,MATCH("Hjälpel kraftvärme (GWh)",Miljö!$B$1:$E$1,0),FALSE)/1,0)-IFERROR(VLOOKUP($B133,'Slutlig allokering kvv'!$B$2:$BX$549,MATCH(AE$2,'Slutlig allokering kvv'!$B$1:$BX$1,0),FALSE)/1,0))</f>
        <v/>
      </c>
      <c r="AI133" s="121">
        <f t="shared" si="8"/>
        <v>0</v>
      </c>
      <c r="AK133" s="121">
        <f>IFERROR(VLOOKUP($B133,'Slutlig allokering kvv'!$B$2:$AX$549,MATCH("Summa slutlig allokerad tillförd energi (utan hjälpel och rökgaskondensering):",'Slutlig allokering kvv'!$B$1:$AX$1,0),FALSE)/1,"")</f>
        <v>0</v>
      </c>
      <c r="AM133" s="172" t="str">
        <f>IFERROR(1-VLOOKUP($B133,'Slutlig allokering kvv'!$B$2:$AX$549,MATCH("Andel av bränsle i kvv som allokerats till värme, exklusive rökgaskondensering och hjälpel",'Slutlig allokering kvv'!$B$1:$AX$1,0),FALSE),"")</f>
        <v/>
      </c>
      <c r="AO133" s="172" t="str">
        <f t="shared" si="9"/>
        <v/>
      </c>
      <c r="AP133" s="173" t="str">
        <f t="shared" si="10"/>
        <v/>
      </c>
      <c r="AR133" s="172" t="str">
        <f t="shared" si="11"/>
        <v/>
      </c>
    </row>
    <row r="134" spans="1:44" x14ac:dyDescent="0.25">
      <c r="A134" s="171" t="str">
        <f>'Miljövärden för publ företag'!B136</f>
        <v>Kungälv Energi AB</v>
      </c>
      <c r="B134" s="171" t="str">
        <f>'Miljövärden för publ företag'!C136</f>
        <v>HVC Stålkullen</v>
      </c>
      <c r="C134" s="121" t="str">
        <f>IFERROR(VLOOKUP($B134,Kraftvärmeprod!$B$1:$AH$478,MATCH(C$2,Kraftvärmeprod!$B$1:$AG$1,0),FALSE)/1,"")</f>
        <v/>
      </c>
      <c r="D134" s="121" t="str">
        <f>IFERROR(VLOOKUP($B134,Kraftvärmeprod!$B$1:$AH$478,MATCH(D$2,Kraftvärmeprod!$B$1:$AG$1,0),FALSE)/1,"")</f>
        <v/>
      </c>
      <c r="F134" s="121" t="str">
        <f>IF($D134="","",IFERROR(VLOOKUP($B134,Kraftvärmeprod!$B$1:$BX$549,MATCH(F$2,Kraftvärmeprod!$B$1:$VX$1,0),FALSE)/1,0)-IFERROR(VLOOKUP($B134,'Slutlig allokering kvv'!$B$2:$BX$549,MATCH(F$2,'Slutlig allokering kvv'!$B$1:$BX$1,0),FALSE)/1,0))</f>
        <v/>
      </c>
      <c r="G134" s="121" t="str">
        <f>IF($D134="","",IFERROR(VLOOKUP($B134,Kraftvärmeprod!$B$1:$BX$549,MATCH(G$2,Kraftvärmeprod!$B$1:$VX$1,0),FALSE)/1,0)-IFERROR(VLOOKUP($B134,'Slutlig allokering kvv'!$B$2:$BX$549,MATCH(G$2,'Slutlig allokering kvv'!$B$1:$BX$1,0),FALSE)/1,0))</f>
        <v/>
      </c>
      <c r="H134" s="121" t="str">
        <f>IF($D134="","",IFERROR(VLOOKUP($B134,Kraftvärmeprod!$B$1:$BX$549,MATCH(H$2,Kraftvärmeprod!$B$1:$VX$1,0),FALSE)/1,0)-IFERROR(VLOOKUP($B134,'Slutlig allokering kvv'!$B$2:$BX$549,MATCH(H$2,'Slutlig allokering kvv'!$B$1:$BX$1,0),FALSE)/1,0))</f>
        <v/>
      </c>
      <c r="I134" s="121" t="str">
        <f>IF($D134="","",IFERROR(VLOOKUP($B134,Kraftvärmeprod!$B$1:$BX$549,MATCH(I$2,Kraftvärmeprod!$B$1:$VX$1,0),FALSE)/1,0)-IFERROR(VLOOKUP($B134,'Slutlig allokering kvv'!$B$2:$BX$549,MATCH(I$2,'Slutlig allokering kvv'!$B$1:$BX$1,0),FALSE)/1,0))</f>
        <v/>
      </c>
      <c r="J134" s="121" t="str">
        <f>IF($D134="","",IFERROR(VLOOKUP($B134,Kraftvärmeprod!$B$1:$BX$549,MATCH(J$2,Kraftvärmeprod!$B$1:$VX$1,0),FALSE)/1,0)-IFERROR(VLOOKUP($B134,'Slutlig allokering kvv'!$B$2:$BX$549,MATCH(J$2,'Slutlig allokering kvv'!$B$1:$BX$1,0),FALSE)/1,0))</f>
        <v/>
      </c>
      <c r="K134" s="121" t="str">
        <f>IF($D134="","",IFERROR(VLOOKUP($B134,Kraftvärmeprod!$B$1:$BX$549,MATCH(K$2,Kraftvärmeprod!$B$1:$VX$1,0),FALSE)/1,0)-IFERROR(VLOOKUP($B134,'Slutlig allokering kvv'!$B$2:$BX$549,MATCH(K$2,'Slutlig allokering kvv'!$B$1:$BX$1,0),FALSE)/1,0))</f>
        <v/>
      </c>
      <c r="L134" s="121" t="str">
        <f>IF($D134="","",IFERROR(VLOOKUP($B134,Kraftvärmeprod!$B$1:$BX$549,MATCH(L$2,Kraftvärmeprod!$B$1:$VX$1,0),FALSE)/1,0)-IFERROR(VLOOKUP($B134,'Slutlig allokering kvv'!$B$2:$BX$549,MATCH(L$2,'Slutlig allokering kvv'!$B$1:$BX$1,0),FALSE)/1,0))</f>
        <v/>
      </c>
      <c r="M134" s="121" t="str">
        <f>IF($D134="","",IFERROR(VLOOKUP($B134,Kraftvärmeprod!$B$1:$BX$549,MATCH(M$2,Kraftvärmeprod!$B$1:$VX$1,0),FALSE)/1,0)-IFERROR(VLOOKUP($B134,'Slutlig allokering kvv'!$B$2:$BX$549,MATCH(M$2,'Slutlig allokering kvv'!$B$1:$BX$1,0),FALSE)/1,0))</f>
        <v/>
      </c>
      <c r="N134" s="121" t="str">
        <f>IF($D134="","",IFERROR(VLOOKUP($B134,Kraftvärmeprod!$B$1:$BX$549,MATCH(N$2,Kraftvärmeprod!$B$1:$VX$1,0),FALSE)/1,0)-IFERROR(VLOOKUP($B134,'Slutlig allokering kvv'!$B$2:$BX$549,MATCH(N$2,'Slutlig allokering kvv'!$B$1:$BX$1,0),FALSE)/1,0))</f>
        <v/>
      </c>
      <c r="O134" s="121" t="str">
        <f>IF($D134="","",IFERROR(VLOOKUP($B134,Kraftvärmeprod!$B$1:$BX$549,MATCH(O$2,Kraftvärmeprod!$B$1:$VX$1,0),FALSE)/1,0)-IFERROR(VLOOKUP($B134,'Slutlig allokering kvv'!$B$2:$BX$549,MATCH(O$2,'Slutlig allokering kvv'!$B$1:$BX$1,0),FALSE)/1,0))</f>
        <v/>
      </c>
      <c r="P134" s="121" t="str">
        <f>IF($D134="","",IFERROR(VLOOKUP($B134,Kraftvärmeprod!$B$1:$BX$549,MATCH(P$2,Kraftvärmeprod!$B$1:$VX$1,0),FALSE)/1,0)-IFERROR(VLOOKUP($B134,'Slutlig allokering kvv'!$B$2:$BX$549,MATCH(P$2,'Slutlig allokering kvv'!$B$1:$BX$1,0),FALSE)/1,0))</f>
        <v/>
      </c>
      <c r="Q134" s="121" t="str">
        <f>IF($D134="","",IFERROR(VLOOKUP($B134,Kraftvärmeprod!$B$1:$BX$549,MATCH(Q$2,Kraftvärmeprod!$B$1:$VX$1,0),FALSE)/1,0)-IFERROR(VLOOKUP($B134,'Slutlig allokering kvv'!$B$2:$BX$549,MATCH(Q$2,'Slutlig allokering kvv'!$B$1:$BX$1,0),FALSE)/1,0))</f>
        <v/>
      </c>
      <c r="R134" s="121" t="str">
        <f>IF($D134="","",IFERROR(VLOOKUP($B134,Kraftvärmeprod!$B$1:$BX$549,MATCH(R$2,Kraftvärmeprod!$B$1:$VX$1,0),FALSE)/1,0)-IFERROR(VLOOKUP($B134,'Slutlig allokering kvv'!$B$2:$BX$549,MATCH(R$2,'Slutlig allokering kvv'!$B$1:$BX$1,0),FALSE)/1,0))</f>
        <v/>
      </c>
      <c r="S134" s="121" t="str">
        <f>IF($D134="","",IFERROR(VLOOKUP($B134,Kraftvärmeprod!$B$1:$BX$549,MATCH(S$2,Kraftvärmeprod!$B$1:$VX$1,0),FALSE)/1,0)-IFERROR(VLOOKUP($B134,'Slutlig allokering kvv'!$B$2:$BX$549,MATCH(S$2,'Slutlig allokering kvv'!$B$1:$BX$1,0),FALSE)/1,0))</f>
        <v/>
      </c>
      <c r="T134" s="121" t="str">
        <f>IF($D134="","",IFERROR(VLOOKUP($B134,Kraftvärmeprod!$B$1:$BX$549,MATCH(T$2,Kraftvärmeprod!$B$1:$VX$1,0),FALSE)/1,0)-IFERROR(VLOOKUP($B134,'Slutlig allokering kvv'!$B$2:$BX$549,MATCH(T$2,'Slutlig allokering kvv'!$B$1:$BX$1,0),FALSE)/1,0))</f>
        <v/>
      </c>
      <c r="U134" s="121" t="str">
        <f>IF($D134="","",IFERROR(VLOOKUP($B134,Kraftvärmeprod!$B$1:$BX$549,MATCH(U$2,Kraftvärmeprod!$B$1:$VX$1,0),FALSE)/1,0)-IFERROR(VLOOKUP($B134,'Slutlig allokering kvv'!$B$2:$BX$549,MATCH(U$2,'Slutlig allokering kvv'!$B$1:$BX$1,0),FALSE)/1,0))</f>
        <v/>
      </c>
      <c r="V134" s="121" t="str">
        <f>IF($D134="","",IFERROR(VLOOKUP($B134,Kraftvärmeprod!$B$1:$BX$549,MATCH(V$2,Kraftvärmeprod!$B$1:$VX$1,0),FALSE)/1,0)-IFERROR(VLOOKUP($B134,'Slutlig allokering kvv'!$B$2:$BX$549,MATCH(V$2,'Slutlig allokering kvv'!$B$1:$BX$1,0),FALSE)/1,0))</f>
        <v/>
      </c>
      <c r="W134" s="121" t="str">
        <f>IF($D134="","",IFERROR(VLOOKUP($B134,Kraftvärmeprod!$B$1:$BX$549,MATCH(W$2,Kraftvärmeprod!$B$1:$VX$1,0),FALSE)/1,0)-IFERROR(VLOOKUP($B134,'Slutlig allokering kvv'!$B$2:$BX$549,MATCH(W$2,'Slutlig allokering kvv'!$B$1:$BX$1,0),FALSE)/1,0))</f>
        <v/>
      </c>
      <c r="X134" s="121" t="str">
        <f>IF($D134="","",IFERROR(VLOOKUP($B134,Kraftvärmeprod!$B$1:$BX$549,MATCH(X$2,Kraftvärmeprod!$B$1:$VX$1,0),FALSE)/1,0)-IFERROR(VLOOKUP($B134,'Slutlig allokering kvv'!$B$2:$BX$549,MATCH(X$2,'Slutlig allokering kvv'!$B$1:$BX$1,0),FALSE)/1,0))</f>
        <v/>
      </c>
      <c r="Y134" s="121" t="str">
        <f>IF($D134="","",IFERROR(VLOOKUP($B134,Kraftvärmeprod!$B$1:$BX$549,MATCH(Y$2,Kraftvärmeprod!$B$1:$VX$1,0),FALSE)/1,0)-IFERROR(VLOOKUP($B134,'Slutlig allokering kvv'!$B$2:$BX$549,MATCH(Y$2,'Slutlig allokering kvv'!$B$1:$BX$1,0),FALSE)/1,0))</f>
        <v/>
      </c>
      <c r="Z134" s="121" t="str">
        <f>IF($D134="","",IFERROR(VLOOKUP($B134,Kraftvärmeprod!$B$1:$BX$549,MATCH(Z$2,Kraftvärmeprod!$B$1:$VX$1,0),FALSE)/1,0)-IFERROR(VLOOKUP($B134,'Slutlig allokering kvv'!$B$2:$BX$549,MATCH(Z$2,'Slutlig allokering kvv'!$B$1:$BX$1,0),FALSE)/1,0))</f>
        <v/>
      </c>
      <c r="AA134" s="121" t="str">
        <f>IF($D134="","",IFERROR(VLOOKUP($B134,Kraftvärmeprod!$B$1:$BX$549,MATCH(AA$2,Kraftvärmeprod!$B$1:$VX$1,0),FALSE)/1,0)-IFERROR(VLOOKUP($B134,'Slutlig allokering kvv'!$B$2:$BX$549,MATCH(AA$2,'Slutlig allokering kvv'!$B$1:$BX$1,0),FALSE)/1,0))</f>
        <v/>
      </c>
      <c r="AB134" s="121" t="str">
        <f>IF($D134="","",IFERROR(VLOOKUP($B134,Kraftvärmeprod!$B$1:$BX$549,MATCH(AB$2,Kraftvärmeprod!$B$1:$VX$1,0),FALSE)/1,0)-IFERROR(VLOOKUP($B134,'Slutlig allokering kvv'!$B$2:$BX$549,MATCH(AB$2,'Slutlig allokering kvv'!$B$1:$BX$1,0),FALSE)/1,0))</f>
        <v/>
      </c>
      <c r="AC134" s="121" t="str">
        <f>IF($D134="","",IFERROR(VLOOKUP($B134,Kraftvärmeprod!$B$1:$BX$549,MATCH(AC$2,Kraftvärmeprod!$B$1:$VX$1,0),FALSE)/1,0)-IFERROR(VLOOKUP($B134,'Slutlig allokering kvv'!$B$2:$BX$549,MATCH(AC$2,'Slutlig allokering kvv'!$B$1:$BX$1,0),FALSE)/1,0))</f>
        <v/>
      </c>
      <c r="AD134" s="121" t="str">
        <f>IF($D134="","",IFERROR(VLOOKUP($B134,Kraftvärmeprod!$B$1:$BX$549,MATCH(AD$2,Kraftvärmeprod!$B$1:$VX$1,0),FALSE)/1,0)-IFERROR(VLOOKUP($B134,'Slutlig allokering kvv'!$B$2:$BX$549,MATCH(AD$2,'Slutlig allokering kvv'!$B$1:$BX$1,0),FALSE)/1,0))</f>
        <v/>
      </c>
      <c r="AE134" s="121" t="str">
        <f>IF($D134="","",IFERROR(VLOOKUP($B134,Miljö!$B$1:$E$550,MATCH("Hjälpel kraftvärme (GWh)",Miljö!$B$1:$E$1,0),FALSE)/1,0)-IFERROR(VLOOKUP($B134,'Slutlig allokering kvv'!$B$2:$BX$549,MATCH(AE$2,'Slutlig allokering kvv'!$B$1:$BX$1,0),FALSE)/1,0))</f>
        <v/>
      </c>
      <c r="AI134" s="121">
        <f t="shared" si="8"/>
        <v>0</v>
      </c>
      <c r="AK134" s="121">
        <f>IFERROR(VLOOKUP($B134,'Slutlig allokering kvv'!$B$2:$AX$549,MATCH("Summa slutlig allokerad tillförd energi (utan hjälpel och rökgaskondensering):",'Slutlig allokering kvv'!$B$1:$AX$1,0),FALSE)/1,"")</f>
        <v>0</v>
      </c>
      <c r="AM134" s="172" t="str">
        <f>IFERROR(1-VLOOKUP($B134,'Slutlig allokering kvv'!$B$2:$AX$549,MATCH("Andel av bränsle i kvv som allokerats till värme, exklusive rökgaskondensering och hjälpel",'Slutlig allokering kvv'!$B$1:$AX$1,0),FALSE),"")</f>
        <v/>
      </c>
      <c r="AO134" s="172" t="str">
        <f t="shared" si="9"/>
        <v/>
      </c>
      <c r="AP134" s="173" t="str">
        <f t="shared" si="10"/>
        <v/>
      </c>
      <c r="AR134" s="172" t="str">
        <f t="shared" si="11"/>
        <v/>
      </c>
    </row>
    <row r="135" spans="1:44" x14ac:dyDescent="0.25">
      <c r="A135" s="171" t="str">
        <f>'Miljövärden för publ företag'!B137</f>
        <v>Kungälv Energi AB</v>
      </c>
      <c r="B135" s="171" t="str">
        <f>'Miljövärden för publ företag'!C137</f>
        <v>Kungälv</v>
      </c>
      <c r="C135" s="121">
        <f>IFERROR(VLOOKUP($B135,Kraftvärmeprod!$B$1:$AH$478,MATCH(C$2,Kraftvärmeprod!$B$1:$AG$1,0),FALSE)/1,"")</f>
        <v>74.5</v>
      </c>
      <c r="D135" s="121">
        <f>IFERROR(VLOOKUP($B135,Kraftvärmeprod!$B$1:$AH$478,MATCH(D$2,Kraftvärmeprod!$B$1:$AG$1,0),FALSE)/1,"")</f>
        <v>8.8000000000000007</v>
      </c>
      <c r="F135" s="121">
        <f>IF($D135="","",IFERROR(VLOOKUP($B135,Kraftvärmeprod!$B$1:$BX$549,MATCH(F$2,Kraftvärmeprod!$B$1:$VX$1,0),FALSE)/1,0)-IFERROR(VLOOKUP($B135,'Slutlig allokering kvv'!$B$2:$BX$549,MATCH(F$2,'Slutlig allokering kvv'!$B$1:$BX$1,0),FALSE)/1,0))</f>
        <v>0</v>
      </c>
      <c r="G135" s="121">
        <f>IF($D135="","",IFERROR(VLOOKUP($B135,Kraftvärmeprod!$B$1:$BX$549,MATCH(G$2,Kraftvärmeprod!$B$1:$VX$1,0),FALSE)/1,0)-IFERROR(VLOOKUP($B135,'Slutlig allokering kvv'!$B$2:$BX$549,MATCH(G$2,'Slutlig allokering kvv'!$B$1:$BX$1,0),FALSE)/1,0))</f>
        <v>0</v>
      </c>
      <c r="H135" s="121">
        <f>IF($D135="","",IFERROR(VLOOKUP($B135,Kraftvärmeprod!$B$1:$BX$549,MATCH(H$2,Kraftvärmeprod!$B$1:$VX$1,0),FALSE)/1,0)-IFERROR(VLOOKUP($B135,'Slutlig allokering kvv'!$B$2:$BX$549,MATCH(H$2,'Slutlig allokering kvv'!$B$1:$BX$1,0),FALSE)/1,0))</f>
        <v>0</v>
      </c>
      <c r="I135" s="121">
        <f>IF($D135="","",IFERROR(VLOOKUP($B135,Kraftvärmeprod!$B$1:$BX$549,MATCH(I$2,Kraftvärmeprod!$B$1:$VX$1,0),FALSE)/1,0)-IFERROR(VLOOKUP($B135,'Slutlig allokering kvv'!$B$2:$BX$549,MATCH(I$2,'Slutlig allokering kvv'!$B$1:$BX$1,0),FALSE)/1,0))</f>
        <v>0</v>
      </c>
      <c r="J135" s="121">
        <f>IF($D135="","",IFERROR(VLOOKUP($B135,Kraftvärmeprod!$B$1:$BX$549,MATCH(J$2,Kraftvärmeprod!$B$1:$VX$1,0),FALSE)/1,0)-IFERROR(VLOOKUP($B135,'Slutlig allokering kvv'!$B$2:$BX$549,MATCH(J$2,'Slutlig allokering kvv'!$B$1:$BX$1,0),FALSE)/1,0))</f>
        <v>0</v>
      </c>
      <c r="K135" s="121">
        <f>IF($D135="","",IFERROR(VLOOKUP($B135,Kraftvärmeprod!$B$1:$BX$549,MATCH(K$2,Kraftvärmeprod!$B$1:$VX$1,0),FALSE)/1,0)-IFERROR(VLOOKUP($B135,'Slutlig allokering kvv'!$B$2:$BX$549,MATCH(K$2,'Slutlig allokering kvv'!$B$1:$BX$1,0),FALSE)/1,0))</f>
        <v>0</v>
      </c>
      <c r="L135" s="121">
        <f>IF($D135="","",IFERROR(VLOOKUP($B135,Kraftvärmeprod!$B$1:$BX$549,MATCH(L$2,Kraftvärmeprod!$B$1:$VX$1,0),FALSE)/1,0)-IFERROR(VLOOKUP($B135,'Slutlig allokering kvv'!$B$2:$BX$549,MATCH(L$2,'Slutlig allokering kvv'!$B$1:$BX$1,0),FALSE)/1,0))</f>
        <v>11.745199999999997</v>
      </c>
      <c r="M135" s="121">
        <f>IF($D135="","",IFERROR(VLOOKUP($B135,Kraftvärmeprod!$B$1:$BX$549,MATCH(M$2,Kraftvärmeprod!$B$1:$VX$1,0),FALSE)/1,0)-IFERROR(VLOOKUP($B135,'Slutlig allokering kvv'!$B$2:$BX$549,MATCH(M$2,'Slutlig allokering kvv'!$B$1:$BX$1,0),FALSE)/1,0))</f>
        <v>7.0376999999999974</v>
      </c>
      <c r="N135" s="121">
        <f>IF($D135="","",IFERROR(VLOOKUP($B135,Kraftvärmeprod!$B$1:$BX$549,MATCH(N$2,Kraftvärmeprod!$B$1:$VX$1,0),FALSE)/1,0)-IFERROR(VLOOKUP($B135,'Slutlig allokering kvv'!$B$2:$BX$549,MATCH(N$2,'Slutlig allokering kvv'!$B$1:$BX$1,0),FALSE)/1,0))</f>
        <v>4.7074999999999996</v>
      </c>
      <c r="O135" s="121">
        <f>IF($D135="","",IFERROR(VLOOKUP($B135,Kraftvärmeprod!$B$1:$BX$549,MATCH(O$2,Kraftvärmeprod!$B$1:$VX$1,0),FALSE)/1,0)-IFERROR(VLOOKUP($B135,'Slutlig allokering kvv'!$B$2:$BX$549,MATCH(O$2,'Slutlig allokering kvv'!$B$1:$BX$1,0),FALSE)/1,0))</f>
        <v>0</v>
      </c>
      <c r="P135" s="121">
        <f>IF($D135="","",IFERROR(VLOOKUP($B135,Kraftvärmeprod!$B$1:$BX$549,MATCH(P$2,Kraftvärmeprod!$B$1:$VX$1,0),FALSE)/1,0)-IFERROR(VLOOKUP($B135,'Slutlig allokering kvv'!$B$2:$BX$549,MATCH(P$2,'Slutlig allokering kvv'!$B$1:$BX$1,0),FALSE)/1,0))</f>
        <v>0</v>
      </c>
      <c r="Q135" s="121">
        <f>IF($D135="","",IFERROR(VLOOKUP($B135,Kraftvärmeprod!$B$1:$BX$549,MATCH(Q$2,Kraftvärmeprod!$B$1:$VX$1,0),FALSE)/1,0)-IFERROR(VLOOKUP($B135,'Slutlig allokering kvv'!$B$2:$BX$549,MATCH(Q$2,'Slutlig allokering kvv'!$B$1:$BX$1,0),FALSE)/1,0))</f>
        <v>0</v>
      </c>
      <c r="R135" s="121">
        <f>IF($D135="","",IFERROR(VLOOKUP($B135,Kraftvärmeprod!$B$1:$BX$549,MATCH(R$2,Kraftvärmeprod!$B$1:$VX$1,0),FALSE)/1,0)-IFERROR(VLOOKUP($B135,'Slutlig allokering kvv'!$B$2:$BX$549,MATCH(R$2,'Slutlig allokering kvv'!$B$1:$BX$1,0),FALSE)/1,0))</f>
        <v>0</v>
      </c>
      <c r="S135" s="121">
        <f>IF($D135="","",IFERROR(VLOOKUP($B135,Kraftvärmeprod!$B$1:$BX$549,MATCH(S$2,Kraftvärmeprod!$B$1:$VX$1,0),FALSE)/1,0)-IFERROR(VLOOKUP($B135,'Slutlig allokering kvv'!$B$2:$BX$549,MATCH(S$2,'Slutlig allokering kvv'!$B$1:$BX$1,0),FALSE)/1,0))</f>
        <v>0</v>
      </c>
      <c r="T135" s="121">
        <f>IF($D135="","",IFERROR(VLOOKUP($B135,Kraftvärmeprod!$B$1:$BX$549,MATCH(T$2,Kraftvärmeprod!$B$1:$VX$1,0),FALSE)/1,0)-IFERROR(VLOOKUP($B135,'Slutlig allokering kvv'!$B$2:$BX$549,MATCH(T$2,'Slutlig allokering kvv'!$B$1:$BX$1,0),FALSE)/1,0))</f>
        <v>0</v>
      </c>
      <c r="U135" s="121">
        <f>IF($D135="","",IFERROR(VLOOKUP($B135,Kraftvärmeprod!$B$1:$BX$549,MATCH(U$2,Kraftvärmeprod!$B$1:$VX$1,0),FALSE)/1,0)-IFERROR(VLOOKUP($B135,'Slutlig allokering kvv'!$B$2:$BX$549,MATCH(U$2,'Slutlig allokering kvv'!$B$1:$BX$1,0),FALSE)/1,0))</f>
        <v>0</v>
      </c>
      <c r="V135" s="121">
        <f>IF($D135="","",IFERROR(VLOOKUP($B135,Kraftvärmeprod!$B$1:$BX$549,MATCH(V$2,Kraftvärmeprod!$B$1:$VX$1,0),FALSE)/1,0)-IFERROR(VLOOKUP($B135,'Slutlig allokering kvv'!$B$2:$BX$549,MATCH(V$2,'Slutlig allokering kvv'!$B$1:$BX$1,0),FALSE)/1,0))</f>
        <v>0</v>
      </c>
      <c r="W135" s="121">
        <f>IF($D135="","",IFERROR(VLOOKUP($B135,Kraftvärmeprod!$B$1:$BX$549,MATCH(W$2,Kraftvärmeprod!$B$1:$VX$1,0),FALSE)/1,0)-IFERROR(VLOOKUP($B135,'Slutlig allokering kvv'!$B$2:$BX$549,MATCH(W$2,'Slutlig allokering kvv'!$B$1:$BX$1,0),FALSE)/1,0))</f>
        <v>0</v>
      </c>
      <c r="X135" s="121">
        <f>IF($D135="","",IFERROR(VLOOKUP($B135,Kraftvärmeprod!$B$1:$BX$549,MATCH(X$2,Kraftvärmeprod!$B$1:$VX$1,0),FALSE)/1,0)-IFERROR(VLOOKUP($B135,'Slutlig allokering kvv'!$B$2:$BX$549,MATCH(X$2,'Slutlig allokering kvv'!$B$1:$BX$1,0),FALSE)/1,0))</f>
        <v>0</v>
      </c>
      <c r="Y135" s="121">
        <f>IF($D135="","",IFERROR(VLOOKUP($B135,Kraftvärmeprod!$B$1:$BX$549,MATCH(Y$2,Kraftvärmeprod!$B$1:$VX$1,0),FALSE)/1,0)-IFERROR(VLOOKUP($B135,'Slutlig allokering kvv'!$B$2:$BX$549,MATCH(Y$2,'Slutlig allokering kvv'!$B$1:$BX$1,0),FALSE)/1,0))</f>
        <v>0</v>
      </c>
      <c r="Z135" s="121">
        <f>IF($D135="","",IFERROR(VLOOKUP($B135,Kraftvärmeprod!$B$1:$BX$549,MATCH(Z$2,Kraftvärmeprod!$B$1:$VX$1,0),FALSE)/1,0)-IFERROR(VLOOKUP($B135,'Slutlig allokering kvv'!$B$2:$BX$549,MATCH(Z$2,'Slutlig allokering kvv'!$B$1:$BX$1,0),FALSE)/1,0))</f>
        <v>0</v>
      </c>
      <c r="AA135" s="121">
        <f>IF($D135="","",IFERROR(VLOOKUP($B135,Kraftvärmeprod!$B$1:$BX$549,MATCH(AA$2,Kraftvärmeprod!$B$1:$VX$1,0),FALSE)/1,0)-IFERROR(VLOOKUP($B135,'Slutlig allokering kvv'!$B$2:$BX$549,MATCH(AA$2,'Slutlig allokering kvv'!$B$1:$BX$1,0),FALSE)/1,0))</f>
        <v>0</v>
      </c>
      <c r="AB135" s="121">
        <f>IF($D135="","",IFERROR(VLOOKUP($B135,Kraftvärmeprod!$B$1:$BX$549,MATCH(AB$2,Kraftvärmeprod!$B$1:$VX$1,0),FALSE)/1,0)-IFERROR(VLOOKUP($B135,'Slutlig allokering kvv'!$B$2:$BX$549,MATCH(AB$2,'Slutlig allokering kvv'!$B$1:$BX$1,0),FALSE)/1,0))</f>
        <v>0</v>
      </c>
      <c r="AC135" s="121">
        <f>IF($D135="","",IFERROR(VLOOKUP($B135,Kraftvärmeprod!$B$1:$BX$549,MATCH(AC$2,Kraftvärmeprod!$B$1:$VX$1,0),FALSE)/1,0)-IFERROR(VLOOKUP($B135,'Slutlig allokering kvv'!$B$2:$BX$549,MATCH(AC$2,'Slutlig allokering kvv'!$B$1:$BX$1,0),FALSE)/1,0))</f>
        <v>0</v>
      </c>
      <c r="AD135" s="121">
        <f>IF($D135="","",IFERROR(VLOOKUP($B135,Kraftvärmeprod!$B$1:$BX$549,MATCH(AD$2,Kraftvärmeprod!$B$1:$VX$1,0),FALSE)/1,0)-IFERROR(VLOOKUP($B135,'Slutlig allokering kvv'!$B$2:$BX$549,MATCH(AD$2,'Slutlig allokering kvv'!$B$1:$BX$1,0),FALSE)/1,0))</f>
        <v>0</v>
      </c>
      <c r="AE135" s="121">
        <f>IF($D135="","",IFERROR(VLOOKUP($B135,Miljö!$B$1:$E$550,MATCH("Hjälpel kraftvärme (GWh)",Miljö!$B$1:$E$1,0),FALSE)/1,0)-IFERROR(VLOOKUP($B135,'Slutlig allokering kvv'!$B$2:$BX$549,MATCH(AE$2,'Slutlig allokering kvv'!$B$1:$BX$1,0),FALSE)/1,0))</f>
        <v>0.94856000000000007</v>
      </c>
      <c r="AI135" s="121">
        <f t="shared" si="8"/>
        <v>23.490399999999994</v>
      </c>
      <c r="AK135" s="121">
        <f>IFERROR(VLOOKUP($B135,'Slutlig allokering kvv'!$B$2:$AX$549,MATCH("Summa slutlig allokerad tillförd energi (utan hjälpel och rökgaskondensering):",'Slutlig allokering kvv'!$B$1:$AX$1,0),FALSE)/1,"")</f>
        <v>76.309600000000003</v>
      </c>
      <c r="AM135" s="172">
        <f>IFERROR(1-VLOOKUP($B135,'Slutlig allokering kvv'!$B$2:$AX$549,MATCH("Andel av bränsle i kvv som allokerats till värme, exklusive rökgaskondensering och hjälpel",'Slutlig allokering kvv'!$B$1:$AX$1,0),FALSE),"")</f>
        <v>0.23537474949899795</v>
      </c>
      <c r="AO135" s="172">
        <f t="shared" si="9"/>
        <v>0.23537474949899795</v>
      </c>
      <c r="AP135" s="173">
        <f t="shared" si="10"/>
        <v>0</v>
      </c>
      <c r="AR135" s="172">
        <f t="shared" si="11"/>
        <v>0.36008078903521273</v>
      </c>
    </row>
    <row r="136" spans="1:44" x14ac:dyDescent="0.25">
      <c r="A136" s="171" t="str">
        <f>'Miljövärden för publ företag'!B138</f>
        <v>Landskrona Energi AB</v>
      </c>
      <c r="B136" s="171" t="str">
        <f>'Miljövärden för publ företag'!C138</f>
        <v>Landskrona</v>
      </c>
      <c r="C136" s="121">
        <f>IFERROR(VLOOKUP($B136,Kraftvärmeprod!$B$1:$AH$478,MATCH(C$2,Kraftvärmeprod!$B$1:$AG$1,0),FALSE)/1,"")</f>
        <v>169.63</v>
      </c>
      <c r="D136" s="121">
        <f>IFERROR(VLOOKUP($B136,Kraftvärmeprod!$B$1:$AH$478,MATCH(D$2,Kraftvärmeprod!$B$1:$AG$1,0),FALSE)/1,"")</f>
        <v>34.753</v>
      </c>
      <c r="F136" s="121">
        <f>IF($D136="","",IFERROR(VLOOKUP($B136,Kraftvärmeprod!$B$1:$BX$549,MATCH(F$2,Kraftvärmeprod!$B$1:$VX$1,0),FALSE)/1,0)-IFERROR(VLOOKUP($B136,'Slutlig allokering kvv'!$B$2:$BX$549,MATCH(F$2,'Slutlig allokering kvv'!$B$1:$BX$1,0),FALSE)/1,0))</f>
        <v>0</v>
      </c>
      <c r="G136" s="121">
        <f>IF($D136="","",IFERROR(VLOOKUP($B136,Kraftvärmeprod!$B$1:$BX$549,MATCH(G$2,Kraftvärmeprod!$B$1:$VX$1,0),FALSE)/1,0)-IFERROR(VLOOKUP($B136,'Slutlig allokering kvv'!$B$2:$BX$549,MATCH(G$2,'Slutlig allokering kvv'!$B$1:$BX$1,0),FALSE)/1,0))</f>
        <v>0.48987999999999987</v>
      </c>
      <c r="H136" s="121">
        <f>IF($D136="","",IFERROR(VLOOKUP($B136,Kraftvärmeprod!$B$1:$BX$549,MATCH(H$2,Kraftvärmeprod!$B$1:$VX$1,0),FALSE)/1,0)-IFERROR(VLOOKUP($B136,'Slutlig allokering kvv'!$B$2:$BX$549,MATCH(H$2,'Slutlig allokering kvv'!$B$1:$BX$1,0),FALSE)/1,0))</f>
        <v>0</v>
      </c>
      <c r="I136" s="121">
        <f>IF($D136="","",IFERROR(VLOOKUP($B136,Kraftvärmeprod!$B$1:$BX$549,MATCH(I$2,Kraftvärmeprod!$B$1:$VX$1,0),FALSE)/1,0)-IFERROR(VLOOKUP($B136,'Slutlig allokering kvv'!$B$2:$BX$549,MATCH(I$2,'Slutlig allokering kvv'!$B$1:$BX$1,0),FALSE)/1,0))</f>
        <v>0</v>
      </c>
      <c r="J136" s="121">
        <f>IF($D136="","",IFERROR(VLOOKUP($B136,Kraftvärmeprod!$B$1:$BX$549,MATCH(J$2,Kraftvärmeprod!$B$1:$VX$1,0),FALSE)/1,0)-IFERROR(VLOOKUP($B136,'Slutlig allokering kvv'!$B$2:$BX$549,MATCH(J$2,'Slutlig allokering kvv'!$B$1:$BX$1,0),FALSE)/1,0))</f>
        <v>0</v>
      </c>
      <c r="K136" s="121">
        <f>IF($D136="","",IFERROR(VLOOKUP($B136,Kraftvärmeprod!$B$1:$BX$549,MATCH(K$2,Kraftvärmeprod!$B$1:$VX$1,0),FALSE)/1,0)-IFERROR(VLOOKUP($B136,'Slutlig allokering kvv'!$B$2:$BX$549,MATCH(K$2,'Slutlig allokering kvv'!$B$1:$BX$1,0),FALSE)/1,0))</f>
        <v>0</v>
      </c>
      <c r="L136" s="121">
        <f>IF($D136="","",IFERROR(VLOOKUP($B136,Kraftvärmeprod!$B$1:$BX$549,MATCH(L$2,Kraftvärmeprod!$B$1:$VX$1,0),FALSE)/1,0)-IFERROR(VLOOKUP($B136,'Slutlig allokering kvv'!$B$2:$BX$549,MATCH(L$2,'Slutlig allokering kvv'!$B$1:$BX$1,0),FALSE)/1,0))</f>
        <v>0</v>
      </c>
      <c r="M136" s="121">
        <f>IF($D136="","",IFERROR(VLOOKUP($B136,Kraftvärmeprod!$B$1:$BX$549,MATCH(M$2,Kraftvärmeprod!$B$1:$VX$1,0),FALSE)/1,0)-IFERROR(VLOOKUP($B136,'Slutlig allokering kvv'!$B$2:$BX$549,MATCH(M$2,'Slutlig allokering kvv'!$B$1:$BX$1,0),FALSE)/1,0))</f>
        <v>0</v>
      </c>
      <c r="N136" s="121">
        <f>IF($D136="","",IFERROR(VLOOKUP($B136,Kraftvärmeprod!$B$1:$BX$549,MATCH(N$2,Kraftvärmeprod!$B$1:$VX$1,0),FALSE)/1,0)-IFERROR(VLOOKUP($B136,'Slutlig allokering kvv'!$B$2:$BX$549,MATCH(N$2,'Slutlig allokering kvv'!$B$1:$BX$1,0),FALSE)/1,0))</f>
        <v>0</v>
      </c>
      <c r="O136" s="121">
        <f>IF($D136="","",IFERROR(VLOOKUP($B136,Kraftvärmeprod!$B$1:$BX$549,MATCH(O$2,Kraftvärmeprod!$B$1:$VX$1,0),FALSE)/1,0)-IFERROR(VLOOKUP($B136,'Slutlig allokering kvv'!$B$2:$BX$549,MATCH(O$2,'Slutlig allokering kvv'!$B$1:$BX$1,0),FALSE)/1,0))</f>
        <v>0</v>
      </c>
      <c r="P136" s="121">
        <f>IF($D136="","",IFERROR(VLOOKUP($B136,Kraftvärmeprod!$B$1:$BX$549,MATCH(P$2,Kraftvärmeprod!$B$1:$VX$1,0),FALSE)/1,0)-IFERROR(VLOOKUP($B136,'Slutlig allokering kvv'!$B$2:$BX$549,MATCH(P$2,'Slutlig allokering kvv'!$B$1:$BX$1,0),FALSE)/1,0))</f>
        <v>0</v>
      </c>
      <c r="Q136" s="121">
        <f>IF($D136="","",IFERROR(VLOOKUP($B136,Kraftvärmeprod!$B$1:$BX$549,MATCH(Q$2,Kraftvärmeprod!$B$1:$VX$1,0),FALSE)/1,0)-IFERROR(VLOOKUP($B136,'Slutlig allokering kvv'!$B$2:$BX$549,MATCH(Q$2,'Slutlig allokering kvv'!$B$1:$BX$1,0),FALSE)/1,0))</f>
        <v>0</v>
      </c>
      <c r="R136" s="121">
        <f>IF($D136="","",IFERROR(VLOOKUP($B136,Kraftvärmeprod!$B$1:$BX$549,MATCH(R$2,Kraftvärmeprod!$B$1:$VX$1,0),FALSE)/1,0)-IFERROR(VLOOKUP($B136,'Slutlig allokering kvv'!$B$2:$BX$549,MATCH(R$2,'Slutlig allokering kvv'!$B$1:$BX$1,0),FALSE)/1,0))</f>
        <v>0</v>
      </c>
      <c r="S136" s="121">
        <f>IF($D136="","",IFERROR(VLOOKUP($B136,Kraftvärmeprod!$B$1:$BX$549,MATCH(S$2,Kraftvärmeprod!$B$1:$VX$1,0),FALSE)/1,0)-IFERROR(VLOOKUP($B136,'Slutlig allokering kvv'!$B$2:$BX$549,MATCH(S$2,'Slutlig allokering kvv'!$B$1:$BX$1,0),FALSE)/1,0))</f>
        <v>0</v>
      </c>
      <c r="T136" s="121">
        <f>IF($D136="","",IFERROR(VLOOKUP($B136,Kraftvärmeprod!$B$1:$BX$549,MATCH(T$2,Kraftvärmeprod!$B$1:$VX$1,0),FALSE)/1,0)-IFERROR(VLOOKUP($B136,'Slutlig allokering kvv'!$B$2:$BX$549,MATCH(T$2,'Slutlig allokering kvv'!$B$1:$BX$1,0),FALSE)/1,0))</f>
        <v>0</v>
      </c>
      <c r="U136" s="121">
        <f>IF($D136="","",IFERROR(VLOOKUP($B136,Kraftvärmeprod!$B$1:$BX$549,MATCH(U$2,Kraftvärmeprod!$B$1:$VX$1,0),FALSE)/1,0)-IFERROR(VLOOKUP($B136,'Slutlig allokering kvv'!$B$2:$BX$549,MATCH(U$2,'Slutlig allokering kvv'!$B$1:$BX$1,0),FALSE)/1,0))</f>
        <v>0</v>
      </c>
      <c r="V136" s="121">
        <f>IF($D136="","",IFERROR(VLOOKUP($B136,Kraftvärmeprod!$B$1:$BX$549,MATCH(V$2,Kraftvärmeprod!$B$1:$VX$1,0),FALSE)/1,0)-IFERROR(VLOOKUP($B136,'Slutlig allokering kvv'!$B$2:$BX$549,MATCH(V$2,'Slutlig allokering kvv'!$B$1:$BX$1,0),FALSE)/1,0))</f>
        <v>1.4267600000000003</v>
      </c>
      <c r="W136" s="121">
        <f>IF($D136="","",IFERROR(VLOOKUP($B136,Kraftvärmeprod!$B$1:$BX$549,MATCH(W$2,Kraftvärmeprod!$B$1:$VX$1,0),FALSE)/1,0)-IFERROR(VLOOKUP($B136,'Slutlig allokering kvv'!$B$2:$BX$549,MATCH(W$2,'Slutlig allokering kvv'!$B$1:$BX$1,0),FALSE)/1,0))</f>
        <v>0</v>
      </c>
      <c r="X136" s="121">
        <f>IF($D136="","",IFERROR(VLOOKUP($B136,Kraftvärmeprod!$B$1:$BX$549,MATCH(X$2,Kraftvärmeprod!$B$1:$VX$1,0),FALSE)/1,0)-IFERROR(VLOOKUP($B136,'Slutlig allokering kvv'!$B$2:$BX$549,MATCH(X$2,'Slutlig allokering kvv'!$B$1:$BX$1,0),FALSE)/1,0))</f>
        <v>0</v>
      </c>
      <c r="Y136" s="121">
        <f>IF($D136="","",IFERROR(VLOOKUP($B136,Kraftvärmeprod!$B$1:$BX$549,MATCH(Y$2,Kraftvärmeprod!$B$1:$VX$1,0),FALSE)/1,0)-IFERROR(VLOOKUP($B136,'Slutlig allokering kvv'!$B$2:$BX$549,MATCH(Y$2,'Slutlig allokering kvv'!$B$1:$BX$1,0),FALSE)/1,0))</f>
        <v>0</v>
      </c>
      <c r="Z136" s="121">
        <f>IF($D136="","",IFERROR(VLOOKUP($B136,Kraftvärmeprod!$B$1:$BX$549,MATCH(Z$2,Kraftvärmeprod!$B$1:$VX$1,0),FALSE)/1,0)-IFERROR(VLOOKUP($B136,'Slutlig allokering kvv'!$B$2:$BX$549,MATCH(Z$2,'Slutlig allokering kvv'!$B$1:$BX$1,0),FALSE)/1,0))</f>
        <v>0</v>
      </c>
      <c r="AA136" s="121">
        <f>IF($D136="","",IFERROR(VLOOKUP($B136,Kraftvärmeprod!$B$1:$BX$549,MATCH(AA$2,Kraftvärmeprod!$B$1:$VX$1,0),FALSE)/1,0)-IFERROR(VLOOKUP($B136,'Slutlig allokering kvv'!$B$2:$BX$549,MATCH(AA$2,'Slutlig allokering kvv'!$B$1:$BX$1,0),FALSE)/1,0))</f>
        <v>89.271999999999991</v>
      </c>
      <c r="AB136" s="121">
        <f>IF($D136="","",IFERROR(VLOOKUP($B136,Kraftvärmeprod!$B$1:$BX$549,MATCH(AB$2,Kraftvärmeprod!$B$1:$VX$1,0),FALSE)/1,0)-IFERROR(VLOOKUP($B136,'Slutlig allokering kvv'!$B$2:$BX$549,MATCH(AB$2,'Slutlig allokering kvv'!$B$1:$BX$1,0),FALSE)/1,0))</f>
        <v>0</v>
      </c>
      <c r="AC136" s="121">
        <f>IF($D136="","",IFERROR(VLOOKUP($B136,Kraftvärmeprod!$B$1:$BX$549,MATCH(AC$2,Kraftvärmeprod!$B$1:$VX$1,0),FALSE)/1,0)-IFERROR(VLOOKUP($B136,'Slutlig allokering kvv'!$B$2:$BX$549,MATCH(AC$2,'Slutlig allokering kvv'!$B$1:$BX$1,0),FALSE)/1,0))</f>
        <v>0</v>
      </c>
      <c r="AD136" s="121">
        <f>IF($D136="","",IFERROR(VLOOKUP($B136,Kraftvärmeprod!$B$1:$BX$549,MATCH(AD$2,Kraftvärmeprod!$B$1:$VX$1,0),FALSE)/1,0)-IFERROR(VLOOKUP($B136,'Slutlig allokering kvv'!$B$2:$BX$549,MATCH(AD$2,'Slutlig allokering kvv'!$B$1:$BX$1,0),FALSE)/1,0))</f>
        <v>0</v>
      </c>
      <c r="AE136" s="121">
        <f>IF($D136="","",IFERROR(VLOOKUP($B136,Miljö!$B$1:$E$550,MATCH("Hjälpel kraftvärme (GWh)",Miljö!$B$1:$E$1,0),FALSE)/1,0)-IFERROR(VLOOKUP($B136,'Slutlig allokering kvv'!$B$2:$BX$549,MATCH(AE$2,'Slutlig allokering kvv'!$B$1:$BX$1,0),FALSE)/1,0))</f>
        <v>2.9224600000000001</v>
      </c>
      <c r="AI136" s="121">
        <f t="shared" si="8"/>
        <v>91.188639999999992</v>
      </c>
      <c r="AK136" s="121">
        <f>IFERROR(VLOOKUP($B136,'Slutlig allokering kvv'!$B$2:$AX$549,MATCH("Summa slutlig allokerad tillförd energi (utan hjälpel och rökgaskondensering):",'Slutlig allokering kvv'!$B$1:$AX$1,0),FALSE)/1,"")</f>
        <v>140.02336000000003</v>
      </c>
      <c r="AM136" s="172">
        <f>IFERROR(1-VLOOKUP($B136,'Slutlig allokering kvv'!$B$2:$AX$549,MATCH("Andel av bränsle i kvv som allokerats till värme, exklusive rökgaskondensering och hjälpel",'Slutlig allokering kvv'!$B$1:$AX$1,0),FALSE),"")</f>
        <v>0.3943940625919069</v>
      </c>
      <c r="AO136" s="172">
        <f t="shared" si="9"/>
        <v>0.39439406259190696</v>
      </c>
      <c r="AP136" s="173">
        <f t="shared" si="10"/>
        <v>-5.5511151231257827E-17</v>
      </c>
      <c r="AR136" s="172">
        <f t="shared" si="11"/>
        <v>0.36927631278350803</v>
      </c>
    </row>
    <row r="137" spans="1:44" x14ac:dyDescent="0.25">
      <c r="A137" s="171" t="str">
        <f>'Miljövärden för publ företag'!B139</f>
        <v>Lantmännen Agrovärme AB</v>
      </c>
      <c r="B137" s="171" t="str">
        <f>'Miljövärden för publ företag'!C139</f>
        <v>Bjärnum</v>
      </c>
      <c r="C137" s="121" t="str">
        <f>IFERROR(VLOOKUP($B137,Kraftvärmeprod!$B$1:$AH$478,MATCH(C$2,Kraftvärmeprod!$B$1:$AG$1,0),FALSE)/1,"")</f>
        <v/>
      </c>
      <c r="D137" s="121" t="str">
        <f>IFERROR(VLOOKUP($B137,Kraftvärmeprod!$B$1:$AH$478,MATCH(D$2,Kraftvärmeprod!$B$1:$AG$1,0),FALSE)/1,"")</f>
        <v/>
      </c>
      <c r="F137" s="121" t="str">
        <f>IF($D137="","",IFERROR(VLOOKUP($B137,Kraftvärmeprod!$B$1:$BX$549,MATCH(F$2,Kraftvärmeprod!$B$1:$VX$1,0),FALSE)/1,0)-IFERROR(VLOOKUP($B137,'Slutlig allokering kvv'!$B$2:$BX$549,MATCH(F$2,'Slutlig allokering kvv'!$B$1:$BX$1,0),FALSE)/1,0))</f>
        <v/>
      </c>
      <c r="G137" s="121" t="str">
        <f>IF($D137="","",IFERROR(VLOOKUP($B137,Kraftvärmeprod!$B$1:$BX$549,MATCH(G$2,Kraftvärmeprod!$B$1:$VX$1,0),FALSE)/1,0)-IFERROR(VLOOKUP($B137,'Slutlig allokering kvv'!$B$2:$BX$549,MATCH(G$2,'Slutlig allokering kvv'!$B$1:$BX$1,0),FALSE)/1,0))</f>
        <v/>
      </c>
      <c r="H137" s="121" t="str">
        <f>IF($D137="","",IFERROR(VLOOKUP($B137,Kraftvärmeprod!$B$1:$BX$549,MATCH(H$2,Kraftvärmeprod!$B$1:$VX$1,0),FALSE)/1,0)-IFERROR(VLOOKUP($B137,'Slutlig allokering kvv'!$B$2:$BX$549,MATCH(H$2,'Slutlig allokering kvv'!$B$1:$BX$1,0),FALSE)/1,0))</f>
        <v/>
      </c>
      <c r="I137" s="121" t="str">
        <f>IF($D137="","",IFERROR(VLOOKUP($B137,Kraftvärmeprod!$B$1:$BX$549,MATCH(I$2,Kraftvärmeprod!$B$1:$VX$1,0),FALSE)/1,0)-IFERROR(VLOOKUP($B137,'Slutlig allokering kvv'!$B$2:$BX$549,MATCH(I$2,'Slutlig allokering kvv'!$B$1:$BX$1,0),FALSE)/1,0))</f>
        <v/>
      </c>
      <c r="J137" s="121" t="str">
        <f>IF($D137="","",IFERROR(VLOOKUP($B137,Kraftvärmeprod!$B$1:$BX$549,MATCH(J$2,Kraftvärmeprod!$B$1:$VX$1,0),FALSE)/1,0)-IFERROR(VLOOKUP($B137,'Slutlig allokering kvv'!$B$2:$BX$549,MATCH(J$2,'Slutlig allokering kvv'!$B$1:$BX$1,0),FALSE)/1,0))</f>
        <v/>
      </c>
      <c r="K137" s="121" t="str">
        <f>IF($D137="","",IFERROR(VLOOKUP($B137,Kraftvärmeprod!$B$1:$BX$549,MATCH(K$2,Kraftvärmeprod!$B$1:$VX$1,0),FALSE)/1,0)-IFERROR(VLOOKUP($B137,'Slutlig allokering kvv'!$B$2:$BX$549,MATCH(K$2,'Slutlig allokering kvv'!$B$1:$BX$1,0),FALSE)/1,0))</f>
        <v/>
      </c>
      <c r="L137" s="121" t="str">
        <f>IF($D137="","",IFERROR(VLOOKUP($B137,Kraftvärmeprod!$B$1:$BX$549,MATCH(L$2,Kraftvärmeprod!$B$1:$VX$1,0),FALSE)/1,0)-IFERROR(VLOOKUP($B137,'Slutlig allokering kvv'!$B$2:$BX$549,MATCH(L$2,'Slutlig allokering kvv'!$B$1:$BX$1,0),FALSE)/1,0))</f>
        <v/>
      </c>
      <c r="M137" s="121" t="str">
        <f>IF($D137="","",IFERROR(VLOOKUP($B137,Kraftvärmeprod!$B$1:$BX$549,MATCH(M$2,Kraftvärmeprod!$B$1:$VX$1,0),FALSE)/1,0)-IFERROR(VLOOKUP($B137,'Slutlig allokering kvv'!$B$2:$BX$549,MATCH(M$2,'Slutlig allokering kvv'!$B$1:$BX$1,0),FALSE)/1,0))</f>
        <v/>
      </c>
      <c r="N137" s="121" t="str">
        <f>IF($D137="","",IFERROR(VLOOKUP($B137,Kraftvärmeprod!$B$1:$BX$549,MATCH(N$2,Kraftvärmeprod!$B$1:$VX$1,0),FALSE)/1,0)-IFERROR(VLOOKUP($B137,'Slutlig allokering kvv'!$B$2:$BX$549,MATCH(N$2,'Slutlig allokering kvv'!$B$1:$BX$1,0),FALSE)/1,0))</f>
        <v/>
      </c>
      <c r="O137" s="121" t="str">
        <f>IF($D137="","",IFERROR(VLOOKUP($B137,Kraftvärmeprod!$B$1:$BX$549,MATCH(O$2,Kraftvärmeprod!$B$1:$VX$1,0),FALSE)/1,0)-IFERROR(VLOOKUP($B137,'Slutlig allokering kvv'!$B$2:$BX$549,MATCH(O$2,'Slutlig allokering kvv'!$B$1:$BX$1,0),FALSE)/1,0))</f>
        <v/>
      </c>
      <c r="P137" s="121" t="str">
        <f>IF($D137="","",IFERROR(VLOOKUP($B137,Kraftvärmeprod!$B$1:$BX$549,MATCH(P$2,Kraftvärmeprod!$B$1:$VX$1,0),FALSE)/1,0)-IFERROR(VLOOKUP($B137,'Slutlig allokering kvv'!$B$2:$BX$549,MATCH(P$2,'Slutlig allokering kvv'!$B$1:$BX$1,0),FALSE)/1,0))</f>
        <v/>
      </c>
      <c r="Q137" s="121" t="str">
        <f>IF($D137="","",IFERROR(VLOOKUP($B137,Kraftvärmeprod!$B$1:$BX$549,MATCH(Q$2,Kraftvärmeprod!$B$1:$VX$1,0),FALSE)/1,0)-IFERROR(VLOOKUP($B137,'Slutlig allokering kvv'!$B$2:$BX$549,MATCH(Q$2,'Slutlig allokering kvv'!$B$1:$BX$1,0),FALSE)/1,0))</f>
        <v/>
      </c>
      <c r="R137" s="121" t="str">
        <f>IF($D137="","",IFERROR(VLOOKUP($B137,Kraftvärmeprod!$B$1:$BX$549,MATCH(R$2,Kraftvärmeprod!$B$1:$VX$1,0),FALSE)/1,0)-IFERROR(VLOOKUP($B137,'Slutlig allokering kvv'!$B$2:$BX$549,MATCH(R$2,'Slutlig allokering kvv'!$B$1:$BX$1,0),FALSE)/1,0))</f>
        <v/>
      </c>
      <c r="S137" s="121" t="str">
        <f>IF($D137="","",IFERROR(VLOOKUP($B137,Kraftvärmeprod!$B$1:$BX$549,MATCH(S$2,Kraftvärmeprod!$B$1:$VX$1,0),FALSE)/1,0)-IFERROR(VLOOKUP($B137,'Slutlig allokering kvv'!$B$2:$BX$549,MATCH(S$2,'Slutlig allokering kvv'!$B$1:$BX$1,0),FALSE)/1,0))</f>
        <v/>
      </c>
      <c r="T137" s="121" t="str">
        <f>IF($D137="","",IFERROR(VLOOKUP($B137,Kraftvärmeprod!$B$1:$BX$549,MATCH(T$2,Kraftvärmeprod!$B$1:$VX$1,0),FALSE)/1,0)-IFERROR(VLOOKUP($B137,'Slutlig allokering kvv'!$B$2:$BX$549,MATCH(T$2,'Slutlig allokering kvv'!$B$1:$BX$1,0),FALSE)/1,0))</f>
        <v/>
      </c>
      <c r="U137" s="121" t="str">
        <f>IF($D137="","",IFERROR(VLOOKUP($B137,Kraftvärmeprod!$B$1:$BX$549,MATCH(U$2,Kraftvärmeprod!$B$1:$VX$1,0),FALSE)/1,0)-IFERROR(VLOOKUP($B137,'Slutlig allokering kvv'!$B$2:$BX$549,MATCH(U$2,'Slutlig allokering kvv'!$B$1:$BX$1,0),FALSE)/1,0))</f>
        <v/>
      </c>
      <c r="V137" s="121" t="str">
        <f>IF($D137="","",IFERROR(VLOOKUP($B137,Kraftvärmeprod!$B$1:$BX$549,MATCH(V$2,Kraftvärmeprod!$B$1:$VX$1,0),FALSE)/1,0)-IFERROR(VLOOKUP($B137,'Slutlig allokering kvv'!$B$2:$BX$549,MATCH(V$2,'Slutlig allokering kvv'!$B$1:$BX$1,0),FALSE)/1,0))</f>
        <v/>
      </c>
      <c r="W137" s="121" t="str">
        <f>IF($D137="","",IFERROR(VLOOKUP($B137,Kraftvärmeprod!$B$1:$BX$549,MATCH(W$2,Kraftvärmeprod!$B$1:$VX$1,0),FALSE)/1,0)-IFERROR(VLOOKUP($B137,'Slutlig allokering kvv'!$B$2:$BX$549,MATCH(W$2,'Slutlig allokering kvv'!$B$1:$BX$1,0),FALSE)/1,0))</f>
        <v/>
      </c>
      <c r="X137" s="121" t="str">
        <f>IF($D137="","",IFERROR(VLOOKUP($B137,Kraftvärmeprod!$B$1:$BX$549,MATCH(X$2,Kraftvärmeprod!$B$1:$VX$1,0),FALSE)/1,0)-IFERROR(VLOOKUP($B137,'Slutlig allokering kvv'!$B$2:$BX$549,MATCH(X$2,'Slutlig allokering kvv'!$B$1:$BX$1,0),FALSE)/1,0))</f>
        <v/>
      </c>
      <c r="Y137" s="121" t="str">
        <f>IF($D137="","",IFERROR(VLOOKUP($B137,Kraftvärmeprod!$B$1:$BX$549,MATCH(Y$2,Kraftvärmeprod!$B$1:$VX$1,0),FALSE)/1,0)-IFERROR(VLOOKUP($B137,'Slutlig allokering kvv'!$B$2:$BX$549,MATCH(Y$2,'Slutlig allokering kvv'!$B$1:$BX$1,0),FALSE)/1,0))</f>
        <v/>
      </c>
      <c r="Z137" s="121" t="str">
        <f>IF($D137="","",IFERROR(VLOOKUP($B137,Kraftvärmeprod!$B$1:$BX$549,MATCH(Z$2,Kraftvärmeprod!$B$1:$VX$1,0),FALSE)/1,0)-IFERROR(VLOOKUP($B137,'Slutlig allokering kvv'!$B$2:$BX$549,MATCH(Z$2,'Slutlig allokering kvv'!$B$1:$BX$1,0),FALSE)/1,0))</f>
        <v/>
      </c>
      <c r="AA137" s="121" t="str">
        <f>IF($D137="","",IFERROR(VLOOKUP($B137,Kraftvärmeprod!$B$1:$BX$549,MATCH(AA$2,Kraftvärmeprod!$B$1:$VX$1,0),FALSE)/1,0)-IFERROR(VLOOKUP($B137,'Slutlig allokering kvv'!$B$2:$BX$549,MATCH(AA$2,'Slutlig allokering kvv'!$B$1:$BX$1,0),FALSE)/1,0))</f>
        <v/>
      </c>
      <c r="AB137" s="121" t="str">
        <f>IF($D137="","",IFERROR(VLOOKUP($B137,Kraftvärmeprod!$B$1:$BX$549,MATCH(AB$2,Kraftvärmeprod!$B$1:$VX$1,0),FALSE)/1,0)-IFERROR(VLOOKUP($B137,'Slutlig allokering kvv'!$B$2:$BX$549,MATCH(AB$2,'Slutlig allokering kvv'!$B$1:$BX$1,0),FALSE)/1,0))</f>
        <v/>
      </c>
      <c r="AC137" s="121" t="str">
        <f>IF($D137="","",IFERROR(VLOOKUP($B137,Kraftvärmeprod!$B$1:$BX$549,MATCH(AC$2,Kraftvärmeprod!$B$1:$VX$1,0),FALSE)/1,0)-IFERROR(VLOOKUP($B137,'Slutlig allokering kvv'!$B$2:$BX$549,MATCH(AC$2,'Slutlig allokering kvv'!$B$1:$BX$1,0),FALSE)/1,0))</f>
        <v/>
      </c>
      <c r="AD137" s="121" t="str">
        <f>IF($D137="","",IFERROR(VLOOKUP($B137,Kraftvärmeprod!$B$1:$BX$549,MATCH(AD$2,Kraftvärmeprod!$B$1:$VX$1,0),FALSE)/1,0)-IFERROR(VLOOKUP($B137,'Slutlig allokering kvv'!$B$2:$BX$549,MATCH(AD$2,'Slutlig allokering kvv'!$B$1:$BX$1,0),FALSE)/1,0))</f>
        <v/>
      </c>
      <c r="AE137" s="121" t="str">
        <f>IF($D137="","",IFERROR(VLOOKUP($B137,Miljö!$B$1:$E$550,MATCH("Hjälpel kraftvärme (GWh)",Miljö!$B$1:$E$1,0),FALSE)/1,0)-IFERROR(VLOOKUP($B137,'Slutlig allokering kvv'!$B$2:$BX$549,MATCH(AE$2,'Slutlig allokering kvv'!$B$1:$BX$1,0),FALSE)/1,0))</f>
        <v/>
      </c>
      <c r="AI137" s="121">
        <f t="shared" si="8"/>
        <v>0</v>
      </c>
      <c r="AK137" s="121">
        <f>IFERROR(VLOOKUP($B137,'Slutlig allokering kvv'!$B$2:$AX$549,MATCH("Summa slutlig allokerad tillförd energi (utan hjälpel och rökgaskondensering):",'Slutlig allokering kvv'!$B$1:$AX$1,0),FALSE)/1,"")</f>
        <v>0</v>
      </c>
      <c r="AM137" s="172" t="str">
        <f>IFERROR(1-VLOOKUP($B137,'Slutlig allokering kvv'!$B$2:$AX$549,MATCH("Andel av bränsle i kvv som allokerats till värme, exklusive rökgaskondensering och hjälpel",'Slutlig allokering kvv'!$B$1:$AX$1,0),FALSE),"")</f>
        <v/>
      </c>
      <c r="AO137" s="172" t="str">
        <f t="shared" si="9"/>
        <v/>
      </c>
      <c r="AP137" s="173" t="str">
        <f t="shared" si="10"/>
        <v/>
      </c>
      <c r="AR137" s="172" t="str">
        <f t="shared" si="11"/>
        <v/>
      </c>
    </row>
    <row r="138" spans="1:44" x14ac:dyDescent="0.25">
      <c r="A138" s="171" t="str">
        <f>'Miljövärden för publ företag'!B140</f>
        <v>Lantmännen Agrovärme AB</v>
      </c>
      <c r="B138" s="171" t="str">
        <f>'Miljövärden för publ företag'!C140</f>
        <v>Ed</v>
      </c>
      <c r="C138" s="121" t="str">
        <f>IFERROR(VLOOKUP($B138,Kraftvärmeprod!$B$1:$AH$478,MATCH(C$2,Kraftvärmeprod!$B$1:$AG$1,0),FALSE)/1,"")</f>
        <v/>
      </c>
      <c r="D138" s="121" t="str">
        <f>IFERROR(VLOOKUP($B138,Kraftvärmeprod!$B$1:$AH$478,MATCH(D$2,Kraftvärmeprod!$B$1:$AG$1,0),FALSE)/1,"")</f>
        <v/>
      </c>
      <c r="F138" s="121" t="str">
        <f>IF($D138="","",IFERROR(VLOOKUP($B138,Kraftvärmeprod!$B$1:$BX$549,MATCH(F$2,Kraftvärmeprod!$B$1:$VX$1,0),FALSE)/1,0)-IFERROR(VLOOKUP($B138,'Slutlig allokering kvv'!$B$2:$BX$549,MATCH(F$2,'Slutlig allokering kvv'!$B$1:$BX$1,0),FALSE)/1,0))</f>
        <v/>
      </c>
      <c r="G138" s="121" t="str">
        <f>IF($D138="","",IFERROR(VLOOKUP($B138,Kraftvärmeprod!$B$1:$BX$549,MATCH(G$2,Kraftvärmeprod!$B$1:$VX$1,0),FALSE)/1,0)-IFERROR(VLOOKUP($B138,'Slutlig allokering kvv'!$B$2:$BX$549,MATCH(G$2,'Slutlig allokering kvv'!$B$1:$BX$1,0),FALSE)/1,0))</f>
        <v/>
      </c>
      <c r="H138" s="121" t="str">
        <f>IF($D138="","",IFERROR(VLOOKUP($B138,Kraftvärmeprod!$B$1:$BX$549,MATCH(H$2,Kraftvärmeprod!$B$1:$VX$1,0),FALSE)/1,0)-IFERROR(VLOOKUP($B138,'Slutlig allokering kvv'!$B$2:$BX$549,MATCH(H$2,'Slutlig allokering kvv'!$B$1:$BX$1,0),FALSE)/1,0))</f>
        <v/>
      </c>
      <c r="I138" s="121" t="str">
        <f>IF($D138="","",IFERROR(VLOOKUP($B138,Kraftvärmeprod!$B$1:$BX$549,MATCH(I$2,Kraftvärmeprod!$B$1:$VX$1,0),FALSE)/1,0)-IFERROR(VLOOKUP($B138,'Slutlig allokering kvv'!$B$2:$BX$549,MATCH(I$2,'Slutlig allokering kvv'!$B$1:$BX$1,0),FALSE)/1,0))</f>
        <v/>
      </c>
      <c r="J138" s="121" t="str">
        <f>IF($D138="","",IFERROR(VLOOKUP($B138,Kraftvärmeprod!$B$1:$BX$549,MATCH(J$2,Kraftvärmeprod!$B$1:$VX$1,0),FALSE)/1,0)-IFERROR(VLOOKUP($B138,'Slutlig allokering kvv'!$B$2:$BX$549,MATCH(J$2,'Slutlig allokering kvv'!$B$1:$BX$1,0),FALSE)/1,0))</f>
        <v/>
      </c>
      <c r="K138" s="121" t="str">
        <f>IF($D138="","",IFERROR(VLOOKUP($B138,Kraftvärmeprod!$B$1:$BX$549,MATCH(K$2,Kraftvärmeprod!$B$1:$VX$1,0),FALSE)/1,0)-IFERROR(VLOOKUP($B138,'Slutlig allokering kvv'!$B$2:$BX$549,MATCH(K$2,'Slutlig allokering kvv'!$B$1:$BX$1,0),FALSE)/1,0))</f>
        <v/>
      </c>
      <c r="L138" s="121" t="str">
        <f>IF($D138="","",IFERROR(VLOOKUP($B138,Kraftvärmeprod!$B$1:$BX$549,MATCH(L$2,Kraftvärmeprod!$B$1:$VX$1,0),FALSE)/1,0)-IFERROR(VLOOKUP($B138,'Slutlig allokering kvv'!$B$2:$BX$549,MATCH(L$2,'Slutlig allokering kvv'!$B$1:$BX$1,0),FALSE)/1,0))</f>
        <v/>
      </c>
      <c r="M138" s="121" t="str">
        <f>IF($D138="","",IFERROR(VLOOKUP($B138,Kraftvärmeprod!$B$1:$BX$549,MATCH(M$2,Kraftvärmeprod!$B$1:$VX$1,0),FALSE)/1,0)-IFERROR(VLOOKUP($B138,'Slutlig allokering kvv'!$B$2:$BX$549,MATCH(M$2,'Slutlig allokering kvv'!$B$1:$BX$1,0),FALSE)/1,0))</f>
        <v/>
      </c>
      <c r="N138" s="121" t="str">
        <f>IF($D138="","",IFERROR(VLOOKUP($B138,Kraftvärmeprod!$B$1:$BX$549,MATCH(N$2,Kraftvärmeprod!$B$1:$VX$1,0),FALSE)/1,0)-IFERROR(VLOOKUP($B138,'Slutlig allokering kvv'!$B$2:$BX$549,MATCH(N$2,'Slutlig allokering kvv'!$B$1:$BX$1,0),FALSE)/1,0))</f>
        <v/>
      </c>
      <c r="O138" s="121" t="str">
        <f>IF($D138="","",IFERROR(VLOOKUP($B138,Kraftvärmeprod!$B$1:$BX$549,MATCH(O$2,Kraftvärmeprod!$B$1:$VX$1,0),FALSE)/1,0)-IFERROR(VLOOKUP($B138,'Slutlig allokering kvv'!$B$2:$BX$549,MATCH(O$2,'Slutlig allokering kvv'!$B$1:$BX$1,0),FALSE)/1,0))</f>
        <v/>
      </c>
      <c r="P138" s="121" t="str">
        <f>IF($D138="","",IFERROR(VLOOKUP($B138,Kraftvärmeprod!$B$1:$BX$549,MATCH(P$2,Kraftvärmeprod!$B$1:$VX$1,0),FALSE)/1,0)-IFERROR(VLOOKUP($B138,'Slutlig allokering kvv'!$B$2:$BX$549,MATCH(P$2,'Slutlig allokering kvv'!$B$1:$BX$1,0),FALSE)/1,0))</f>
        <v/>
      </c>
      <c r="Q138" s="121" t="str">
        <f>IF($D138="","",IFERROR(VLOOKUP($B138,Kraftvärmeprod!$B$1:$BX$549,MATCH(Q$2,Kraftvärmeprod!$B$1:$VX$1,0),FALSE)/1,0)-IFERROR(VLOOKUP($B138,'Slutlig allokering kvv'!$B$2:$BX$549,MATCH(Q$2,'Slutlig allokering kvv'!$B$1:$BX$1,0),FALSE)/1,0))</f>
        <v/>
      </c>
      <c r="R138" s="121" t="str">
        <f>IF($D138="","",IFERROR(VLOOKUP($B138,Kraftvärmeprod!$B$1:$BX$549,MATCH(R$2,Kraftvärmeprod!$B$1:$VX$1,0),FALSE)/1,0)-IFERROR(VLOOKUP($B138,'Slutlig allokering kvv'!$B$2:$BX$549,MATCH(R$2,'Slutlig allokering kvv'!$B$1:$BX$1,0),FALSE)/1,0))</f>
        <v/>
      </c>
      <c r="S138" s="121" t="str">
        <f>IF($D138="","",IFERROR(VLOOKUP($B138,Kraftvärmeprod!$B$1:$BX$549,MATCH(S$2,Kraftvärmeprod!$B$1:$VX$1,0),FALSE)/1,0)-IFERROR(VLOOKUP($B138,'Slutlig allokering kvv'!$B$2:$BX$549,MATCH(S$2,'Slutlig allokering kvv'!$B$1:$BX$1,0),FALSE)/1,0))</f>
        <v/>
      </c>
      <c r="T138" s="121" t="str">
        <f>IF($D138="","",IFERROR(VLOOKUP($B138,Kraftvärmeprod!$B$1:$BX$549,MATCH(T$2,Kraftvärmeprod!$B$1:$VX$1,0),FALSE)/1,0)-IFERROR(VLOOKUP($B138,'Slutlig allokering kvv'!$B$2:$BX$549,MATCH(T$2,'Slutlig allokering kvv'!$B$1:$BX$1,0),FALSE)/1,0))</f>
        <v/>
      </c>
      <c r="U138" s="121" t="str">
        <f>IF($D138="","",IFERROR(VLOOKUP($B138,Kraftvärmeprod!$B$1:$BX$549,MATCH(U$2,Kraftvärmeprod!$B$1:$VX$1,0),FALSE)/1,0)-IFERROR(VLOOKUP($B138,'Slutlig allokering kvv'!$B$2:$BX$549,MATCH(U$2,'Slutlig allokering kvv'!$B$1:$BX$1,0),FALSE)/1,0))</f>
        <v/>
      </c>
      <c r="V138" s="121" t="str">
        <f>IF($D138="","",IFERROR(VLOOKUP($B138,Kraftvärmeprod!$B$1:$BX$549,MATCH(V$2,Kraftvärmeprod!$B$1:$VX$1,0),FALSE)/1,0)-IFERROR(VLOOKUP($B138,'Slutlig allokering kvv'!$B$2:$BX$549,MATCH(V$2,'Slutlig allokering kvv'!$B$1:$BX$1,0),FALSE)/1,0))</f>
        <v/>
      </c>
      <c r="W138" s="121" t="str">
        <f>IF($D138="","",IFERROR(VLOOKUP($B138,Kraftvärmeprod!$B$1:$BX$549,MATCH(W$2,Kraftvärmeprod!$B$1:$VX$1,0),FALSE)/1,0)-IFERROR(VLOOKUP($B138,'Slutlig allokering kvv'!$B$2:$BX$549,MATCH(W$2,'Slutlig allokering kvv'!$B$1:$BX$1,0),FALSE)/1,0))</f>
        <v/>
      </c>
      <c r="X138" s="121" t="str">
        <f>IF($D138="","",IFERROR(VLOOKUP($B138,Kraftvärmeprod!$B$1:$BX$549,MATCH(X$2,Kraftvärmeprod!$B$1:$VX$1,0),FALSE)/1,0)-IFERROR(VLOOKUP($B138,'Slutlig allokering kvv'!$B$2:$BX$549,MATCH(X$2,'Slutlig allokering kvv'!$B$1:$BX$1,0),FALSE)/1,0))</f>
        <v/>
      </c>
      <c r="Y138" s="121" t="str">
        <f>IF($D138="","",IFERROR(VLOOKUP($B138,Kraftvärmeprod!$B$1:$BX$549,MATCH(Y$2,Kraftvärmeprod!$B$1:$VX$1,0),FALSE)/1,0)-IFERROR(VLOOKUP($B138,'Slutlig allokering kvv'!$B$2:$BX$549,MATCH(Y$2,'Slutlig allokering kvv'!$B$1:$BX$1,0),FALSE)/1,0))</f>
        <v/>
      </c>
      <c r="Z138" s="121" t="str">
        <f>IF($D138="","",IFERROR(VLOOKUP($B138,Kraftvärmeprod!$B$1:$BX$549,MATCH(Z$2,Kraftvärmeprod!$B$1:$VX$1,0),FALSE)/1,0)-IFERROR(VLOOKUP($B138,'Slutlig allokering kvv'!$B$2:$BX$549,MATCH(Z$2,'Slutlig allokering kvv'!$B$1:$BX$1,0),FALSE)/1,0))</f>
        <v/>
      </c>
      <c r="AA138" s="121" t="str">
        <f>IF($D138="","",IFERROR(VLOOKUP($B138,Kraftvärmeprod!$B$1:$BX$549,MATCH(AA$2,Kraftvärmeprod!$B$1:$VX$1,0),FALSE)/1,0)-IFERROR(VLOOKUP($B138,'Slutlig allokering kvv'!$B$2:$BX$549,MATCH(AA$2,'Slutlig allokering kvv'!$B$1:$BX$1,0),FALSE)/1,0))</f>
        <v/>
      </c>
      <c r="AB138" s="121" t="str">
        <f>IF($D138="","",IFERROR(VLOOKUP($B138,Kraftvärmeprod!$B$1:$BX$549,MATCH(AB$2,Kraftvärmeprod!$B$1:$VX$1,0),FALSE)/1,0)-IFERROR(VLOOKUP($B138,'Slutlig allokering kvv'!$B$2:$BX$549,MATCH(AB$2,'Slutlig allokering kvv'!$B$1:$BX$1,0),FALSE)/1,0))</f>
        <v/>
      </c>
      <c r="AC138" s="121" t="str">
        <f>IF($D138="","",IFERROR(VLOOKUP($B138,Kraftvärmeprod!$B$1:$BX$549,MATCH(AC$2,Kraftvärmeprod!$B$1:$VX$1,0),FALSE)/1,0)-IFERROR(VLOOKUP($B138,'Slutlig allokering kvv'!$B$2:$BX$549,MATCH(AC$2,'Slutlig allokering kvv'!$B$1:$BX$1,0),FALSE)/1,0))</f>
        <v/>
      </c>
      <c r="AD138" s="121" t="str">
        <f>IF($D138="","",IFERROR(VLOOKUP($B138,Kraftvärmeprod!$B$1:$BX$549,MATCH(AD$2,Kraftvärmeprod!$B$1:$VX$1,0),FALSE)/1,0)-IFERROR(VLOOKUP($B138,'Slutlig allokering kvv'!$B$2:$BX$549,MATCH(AD$2,'Slutlig allokering kvv'!$B$1:$BX$1,0),FALSE)/1,0))</f>
        <v/>
      </c>
      <c r="AE138" s="121" t="str">
        <f>IF($D138="","",IFERROR(VLOOKUP($B138,Miljö!$B$1:$E$550,MATCH("Hjälpel kraftvärme (GWh)",Miljö!$B$1:$E$1,0),FALSE)/1,0)-IFERROR(VLOOKUP($B138,'Slutlig allokering kvv'!$B$2:$BX$549,MATCH(AE$2,'Slutlig allokering kvv'!$B$1:$BX$1,0),FALSE)/1,0))</f>
        <v/>
      </c>
      <c r="AI138" s="121">
        <f t="shared" si="8"/>
        <v>0</v>
      </c>
      <c r="AK138" s="121">
        <f>IFERROR(VLOOKUP($B138,'Slutlig allokering kvv'!$B$2:$AX$549,MATCH("Summa slutlig allokerad tillförd energi (utan hjälpel och rökgaskondensering):",'Slutlig allokering kvv'!$B$1:$AX$1,0),FALSE)/1,"")</f>
        <v>0</v>
      </c>
      <c r="AM138" s="172" t="str">
        <f>IFERROR(1-VLOOKUP($B138,'Slutlig allokering kvv'!$B$2:$AX$549,MATCH("Andel av bränsle i kvv som allokerats till värme, exklusive rökgaskondensering och hjälpel",'Slutlig allokering kvv'!$B$1:$AX$1,0),FALSE),"")</f>
        <v/>
      </c>
      <c r="AO138" s="172" t="str">
        <f t="shared" si="9"/>
        <v/>
      </c>
      <c r="AP138" s="173" t="str">
        <f t="shared" si="10"/>
        <v/>
      </c>
      <c r="AR138" s="172" t="str">
        <f t="shared" si="11"/>
        <v/>
      </c>
    </row>
    <row r="139" spans="1:44" x14ac:dyDescent="0.25">
      <c r="A139" s="171" t="str">
        <f>'Miljövärden för publ företag'!B141</f>
        <v>Lantmännen Agrovärme AB</v>
      </c>
      <c r="B139" s="171" t="str">
        <f>'Miljövärden för publ företag'!C141</f>
        <v>Grästorp</v>
      </c>
      <c r="C139" s="121" t="str">
        <f>IFERROR(VLOOKUP($B139,Kraftvärmeprod!$B$1:$AH$478,MATCH(C$2,Kraftvärmeprod!$B$1:$AG$1,0),FALSE)/1,"")</f>
        <v/>
      </c>
      <c r="D139" s="121" t="str">
        <f>IFERROR(VLOOKUP($B139,Kraftvärmeprod!$B$1:$AH$478,MATCH(D$2,Kraftvärmeprod!$B$1:$AG$1,0),FALSE)/1,"")</f>
        <v/>
      </c>
      <c r="F139" s="121" t="str">
        <f>IF($D139="","",IFERROR(VLOOKUP($B139,Kraftvärmeprod!$B$1:$BX$549,MATCH(F$2,Kraftvärmeprod!$B$1:$VX$1,0),FALSE)/1,0)-IFERROR(VLOOKUP($B139,'Slutlig allokering kvv'!$B$2:$BX$549,MATCH(F$2,'Slutlig allokering kvv'!$B$1:$BX$1,0),FALSE)/1,0))</f>
        <v/>
      </c>
      <c r="G139" s="121" t="str">
        <f>IF($D139="","",IFERROR(VLOOKUP($B139,Kraftvärmeprod!$B$1:$BX$549,MATCH(G$2,Kraftvärmeprod!$B$1:$VX$1,0),FALSE)/1,0)-IFERROR(VLOOKUP($B139,'Slutlig allokering kvv'!$B$2:$BX$549,MATCH(G$2,'Slutlig allokering kvv'!$B$1:$BX$1,0),FALSE)/1,0))</f>
        <v/>
      </c>
      <c r="H139" s="121" t="str">
        <f>IF($D139="","",IFERROR(VLOOKUP($B139,Kraftvärmeprod!$B$1:$BX$549,MATCH(H$2,Kraftvärmeprod!$B$1:$VX$1,0),FALSE)/1,0)-IFERROR(VLOOKUP($B139,'Slutlig allokering kvv'!$B$2:$BX$549,MATCH(H$2,'Slutlig allokering kvv'!$B$1:$BX$1,0),FALSE)/1,0))</f>
        <v/>
      </c>
      <c r="I139" s="121" t="str">
        <f>IF($D139="","",IFERROR(VLOOKUP($B139,Kraftvärmeprod!$B$1:$BX$549,MATCH(I$2,Kraftvärmeprod!$B$1:$VX$1,0),FALSE)/1,0)-IFERROR(VLOOKUP($B139,'Slutlig allokering kvv'!$B$2:$BX$549,MATCH(I$2,'Slutlig allokering kvv'!$B$1:$BX$1,0),FALSE)/1,0))</f>
        <v/>
      </c>
      <c r="J139" s="121" t="str">
        <f>IF($D139="","",IFERROR(VLOOKUP($B139,Kraftvärmeprod!$B$1:$BX$549,MATCH(J$2,Kraftvärmeprod!$B$1:$VX$1,0),FALSE)/1,0)-IFERROR(VLOOKUP($B139,'Slutlig allokering kvv'!$B$2:$BX$549,MATCH(J$2,'Slutlig allokering kvv'!$B$1:$BX$1,0),FALSE)/1,0))</f>
        <v/>
      </c>
      <c r="K139" s="121" t="str">
        <f>IF($D139="","",IFERROR(VLOOKUP($B139,Kraftvärmeprod!$B$1:$BX$549,MATCH(K$2,Kraftvärmeprod!$B$1:$VX$1,0),FALSE)/1,0)-IFERROR(VLOOKUP($B139,'Slutlig allokering kvv'!$B$2:$BX$549,MATCH(K$2,'Slutlig allokering kvv'!$B$1:$BX$1,0),FALSE)/1,0))</f>
        <v/>
      </c>
      <c r="L139" s="121" t="str">
        <f>IF($D139="","",IFERROR(VLOOKUP($B139,Kraftvärmeprod!$B$1:$BX$549,MATCH(L$2,Kraftvärmeprod!$B$1:$VX$1,0),FALSE)/1,0)-IFERROR(VLOOKUP($B139,'Slutlig allokering kvv'!$B$2:$BX$549,MATCH(L$2,'Slutlig allokering kvv'!$B$1:$BX$1,0),FALSE)/1,0))</f>
        <v/>
      </c>
      <c r="M139" s="121" t="str">
        <f>IF($D139="","",IFERROR(VLOOKUP($B139,Kraftvärmeprod!$B$1:$BX$549,MATCH(M$2,Kraftvärmeprod!$B$1:$VX$1,0),FALSE)/1,0)-IFERROR(VLOOKUP($B139,'Slutlig allokering kvv'!$B$2:$BX$549,MATCH(M$2,'Slutlig allokering kvv'!$B$1:$BX$1,0),FALSE)/1,0))</f>
        <v/>
      </c>
      <c r="N139" s="121" t="str">
        <f>IF($D139="","",IFERROR(VLOOKUP($B139,Kraftvärmeprod!$B$1:$BX$549,MATCH(N$2,Kraftvärmeprod!$B$1:$VX$1,0),FALSE)/1,0)-IFERROR(VLOOKUP($B139,'Slutlig allokering kvv'!$B$2:$BX$549,MATCH(N$2,'Slutlig allokering kvv'!$B$1:$BX$1,0),FALSE)/1,0))</f>
        <v/>
      </c>
      <c r="O139" s="121" t="str">
        <f>IF($D139="","",IFERROR(VLOOKUP($B139,Kraftvärmeprod!$B$1:$BX$549,MATCH(O$2,Kraftvärmeprod!$B$1:$VX$1,0),FALSE)/1,0)-IFERROR(VLOOKUP($B139,'Slutlig allokering kvv'!$B$2:$BX$549,MATCH(O$2,'Slutlig allokering kvv'!$B$1:$BX$1,0),FALSE)/1,0))</f>
        <v/>
      </c>
      <c r="P139" s="121" t="str">
        <f>IF($D139="","",IFERROR(VLOOKUP($B139,Kraftvärmeprod!$B$1:$BX$549,MATCH(P$2,Kraftvärmeprod!$B$1:$VX$1,0),FALSE)/1,0)-IFERROR(VLOOKUP($B139,'Slutlig allokering kvv'!$B$2:$BX$549,MATCH(P$2,'Slutlig allokering kvv'!$B$1:$BX$1,0),FALSE)/1,0))</f>
        <v/>
      </c>
      <c r="Q139" s="121" t="str">
        <f>IF($D139="","",IFERROR(VLOOKUP($B139,Kraftvärmeprod!$B$1:$BX$549,MATCH(Q$2,Kraftvärmeprod!$B$1:$VX$1,0),FALSE)/1,0)-IFERROR(VLOOKUP($B139,'Slutlig allokering kvv'!$B$2:$BX$549,MATCH(Q$2,'Slutlig allokering kvv'!$B$1:$BX$1,0),FALSE)/1,0))</f>
        <v/>
      </c>
      <c r="R139" s="121" t="str">
        <f>IF($D139="","",IFERROR(VLOOKUP($B139,Kraftvärmeprod!$B$1:$BX$549,MATCH(R$2,Kraftvärmeprod!$B$1:$VX$1,0),FALSE)/1,0)-IFERROR(VLOOKUP($B139,'Slutlig allokering kvv'!$B$2:$BX$549,MATCH(R$2,'Slutlig allokering kvv'!$B$1:$BX$1,0),FALSE)/1,0))</f>
        <v/>
      </c>
      <c r="S139" s="121" t="str">
        <f>IF($D139="","",IFERROR(VLOOKUP($B139,Kraftvärmeprod!$B$1:$BX$549,MATCH(S$2,Kraftvärmeprod!$B$1:$VX$1,0),FALSE)/1,0)-IFERROR(VLOOKUP($B139,'Slutlig allokering kvv'!$B$2:$BX$549,MATCH(S$2,'Slutlig allokering kvv'!$B$1:$BX$1,0),FALSE)/1,0))</f>
        <v/>
      </c>
      <c r="T139" s="121" t="str">
        <f>IF($D139="","",IFERROR(VLOOKUP($B139,Kraftvärmeprod!$B$1:$BX$549,MATCH(T$2,Kraftvärmeprod!$B$1:$VX$1,0),FALSE)/1,0)-IFERROR(VLOOKUP($B139,'Slutlig allokering kvv'!$B$2:$BX$549,MATCH(T$2,'Slutlig allokering kvv'!$B$1:$BX$1,0),FALSE)/1,0))</f>
        <v/>
      </c>
      <c r="U139" s="121" t="str">
        <f>IF($D139="","",IFERROR(VLOOKUP($B139,Kraftvärmeprod!$B$1:$BX$549,MATCH(U$2,Kraftvärmeprod!$B$1:$VX$1,0),FALSE)/1,0)-IFERROR(VLOOKUP($B139,'Slutlig allokering kvv'!$B$2:$BX$549,MATCH(U$2,'Slutlig allokering kvv'!$B$1:$BX$1,0),FALSE)/1,0))</f>
        <v/>
      </c>
      <c r="V139" s="121" t="str">
        <f>IF($D139="","",IFERROR(VLOOKUP($B139,Kraftvärmeprod!$B$1:$BX$549,MATCH(V$2,Kraftvärmeprod!$B$1:$VX$1,0),FALSE)/1,0)-IFERROR(VLOOKUP($B139,'Slutlig allokering kvv'!$B$2:$BX$549,MATCH(V$2,'Slutlig allokering kvv'!$B$1:$BX$1,0),FALSE)/1,0))</f>
        <v/>
      </c>
      <c r="W139" s="121" t="str">
        <f>IF($D139="","",IFERROR(VLOOKUP($B139,Kraftvärmeprod!$B$1:$BX$549,MATCH(W$2,Kraftvärmeprod!$B$1:$VX$1,0),FALSE)/1,0)-IFERROR(VLOOKUP($B139,'Slutlig allokering kvv'!$B$2:$BX$549,MATCH(W$2,'Slutlig allokering kvv'!$B$1:$BX$1,0),FALSE)/1,0))</f>
        <v/>
      </c>
      <c r="X139" s="121" t="str">
        <f>IF($D139="","",IFERROR(VLOOKUP($B139,Kraftvärmeprod!$B$1:$BX$549,MATCH(X$2,Kraftvärmeprod!$B$1:$VX$1,0),FALSE)/1,0)-IFERROR(VLOOKUP($B139,'Slutlig allokering kvv'!$B$2:$BX$549,MATCH(X$2,'Slutlig allokering kvv'!$B$1:$BX$1,0),FALSE)/1,0))</f>
        <v/>
      </c>
      <c r="Y139" s="121" t="str">
        <f>IF($D139="","",IFERROR(VLOOKUP($B139,Kraftvärmeprod!$B$1:$BX$549,MATCH(Y$2,Kraftvärmeprod!$B$1:$VX$1,0),FALSE)/1,0)-IFERROR(VLOOKUP($B139,'Slutlig allokering kvv'!$B$2:$BX$549,MATCH(Y$2,'Slutlig allokering kvv'!$B$1:$BX$1,0),FALSE)/1,0))</f>
        <v/>
      </c>
      <c r="Z139" s="121" t="str">
        <f>IF($D139="","",IFERROR(VLOOKUP($B139,Kraftvärmeprod!$B$1:$BX$549,MATCH(Z$2,Kraftvärmeprod!$B$1:$VX$1,0),FALSE)/1,0)-IFERROR(VLOOKUP($B139,'Slutlig allokering kvv'!$B$2:$BX$549,MATCH(Z$2,'Slutlig allokering kvv'!$B$1:$BX$1,0),FALSE)/1,0))</f>
        <v/>
      </c>
      <c r="AA139" s="121" t="str">
        <f>IF($D139="","",IFERROR(VLOOKUP($B139,Kraftvärmeprod!$B$1:$BX$549,MATCH(AA$2,Kraftvärmeprod!$B$1:$VX$1,0),FALSE)/1,0)-IFERROR(VLOOKUP($B139,'Slutlig allokering kvv'!$B$2:$BX$549,MATCH(AA$2,'Slutlig allokering kvv'!$B$1:$BX$1,0),FALSE)/1,0))</f>
        <v/>
      </c>
      <c r="AB139" s="121" t="str">
        <f>IF($D139="","",IFERROR(VLOOKUP($B139,Kraftvärmeprod!$B$1:$BX$549,MATCH(AB$2,Kraftvärmeprod!$B$1:$VX$1,0),FALSE)/1,0)-IFERROR(VLOOKUP($B139,'Slutlig allokering kvv'!$B$2:$BX$549,MATCH(AB$2,'Slutlig allokering kvv'!$B$1:$BX$1,0),FALSE)/1,0))</f>
        <v/>
      </c>
      <c r="AC139" s="121" t="str">
        <f>IF($D139="","",IFERROR(VLOOKUP($B139,Kraftvärmeprod!$B$1:$BX$549,MATCH(AC$2,Kraftvärmeprod!$B$1:$VX$1,0),FALSE)/1,0)-IFERROR(VLOOKUP($B139,'Slutlig allokering kvv'!$B$2:$BX$549,MATCH(AC$2,'Slutlig allokering kvv'!$B$1:$BX$1,0),FALSE)/1,0))</f>
        <v/>
      </c>
      <c r="AD139" s="121" t="str">
        <f>IF($D139="","",IFERROR(VLOOKUP($B139,Kraftvärmeprod!$B$1:$BX$549,MATCH(AD$2,Kraftvärmeprod!$B$1:$VX$1,0),FALSE)/1,0)-IFERROR(VLOOKUP($B139,'Slutlig allokering kvv'!$B$2:$BX$549,MATCH(AD$2,'Slutlig allokering kvv'!$B$1:$BX$1,0),FALSE)/1,0))</f>
        <v/>
      </c>
      <c r="AE139" s="121" t="str">
        <f>IF($D139="","",IFERROR(VLOOKUP($B139,Miljö!$B$1:$E$550,MATCH("Hjälpel kraftvärme (GWh)",Miljö!$B$1:$E$1,0),FALSE)/1,0)-IFERROR(VLOOKUP($B139,'Slutlig allokering kvv'!$B$2:$BX$549,MATCH(AE$2,'Slutlig allokering kvv'!$B$1:$BX$1,0),FALSE)/1,0))</f>
        <v/>
      </c>
      <c r="AI139" s="121">
        <f t="shared" si="8"/>
        <v>0</v>
      </c>
      <c r="AK139" s="121">
        <f>IFERROR(VLOOKUP($B139,'Slutlig allokering kvv'!$B$2:$AX$549,MATCH("Summa slutlig allokerad tillförd energi (utan hjälpel och rökgaskondensering):",'Slutlig allokering kvv'!$B$1:$AX$1,0),FALSE)/1,"")</f>
        <v>0</v>
      </c>
      <c r="AM139" s="172" t="str">
        <f>IFERROR(1-VLOOKUP($B139,'Slutlig allokering kvv'!$B$2:$AX$549,MATCH("Andel av bränsle i kvv som allokerats till värme, exklusive rökgaskondensering och hjälpel",'Slutlig allokering kvv'!$B$1:$AX$1,0),FALSE),"")</f>
        <v/>
      </c>
      <c r="AO139" s="172" t="str">
        <f t="shared" si="9"/>
        <v/>
      </c>
      <c r="AP139" s="173" t="str">
        <f t="shared" si="10"/>
        <v/>
      </c>
      <c r="AR139" s="172" t="str">
        <f t="shared" si="11"/>
        <v/>
      </c>
    </row>
    <row r="140" spans="1:44" x14ac:dyDescent="0.25">
      <c r="A140" s="171" t="str">
        <f>'Miljövärden för publ företag'!B142</f>
        <v>Lantmännen Agrovärme AB</v>
      </c>
      <c r="B140" s="171" t="str">
        <f>'Miljövärden för publ företag'!C142</f>
        <v>Horred</v>
      </c>
      <c r="C140" s="121" t="str">
        <f>IFERROR(VLOOKUP($B140,Kraftvärmeprod!$B$1:$AH$478,MATCH(C$2,Kraftvärmeprod!$B$1:$AG$1,0),FALSE)/1,"")</f>
        <v/>
      </c>
      <c r="D140" s="121" t="str">
        <f>IFERROR(VLOOKUP($B140,Kraftvärmeprod!$B$1:$AH$478,MATCH(D$2,Kraftvärmeprod!$B$1:$AG$1,0),FALSE)/1,"")</f>
        <v/>
      </c>
      <c r="F140" s="121" t="str">
        <f>IF($D140="","",IFERROR(VLOOKUP($B140,Kraftvärmeprod!$B$1:$BX$549,MATCH(F$2,Kraftvärmeprod!$B$1:$VX$1,0),FALSE)/1,0)-IFERROR(VLOOKUP($B140,'Slutlig allokering kvv'!$B$2:$BX$549,MATCH(F$2,'Slutlig allokering kvv'!$B$1:$BX$1,0),FALSE)/1,0))</f>
        <v/>
      </c>
      <c r="G140" s="121" t="str">
        <f>IF($D140="","",IFERROR(VLOOKUP($B140,Kraftvärmeprod!$B$1:$BX$549,MATCH(G$2,Kraftvärmeprod!$B$1:$VX$1,0),FALSE)/1,0)-IFERROR(VLOOKUP($B140,'Slutlig allokering kvv'!$B$2:$BX$549,MATCH(G$2,'Slutlig allokering kvv'!$B$1:$BX$1,0),FALSE)/1,0))</f>
        <v/>
      </c>
      <c r="H140" s="121" t="str">
        <f>IF($D140="","",IFERROR(VLOOKUP($B140,Kraftvärmeprod!$B$1:$BX$549,MATCH(H$2,Kraftvärmeprod!$B$1:$VX$1,0),FALSE)/1,0)-IFERROR(VLOOKUP($B140,'Slutlig allokering kvv'!$B$2:$BX$549,MATCH(H$2,'Slutlig allokering kvv'!$B$1:$BX$1,0),FALSE)/1,0))</f>
        <v/>
      </c>
      <c r="I140" s="121" t="str">
        <f>IF($D140="","",IFERROR(VLOOKUP($B140,Kraftvärmeprod!$B$1:$BX$549,MATCH(I$2,Kraftvärmeprod!$B$1:$VX$1,0),FALSE)/1,0)-IFERROR(VLOOKUP($B140,'Slutlig allokering kvv'!$B$2:$BX$549,MATCH(I$2,'Slutlig allokering kvv'!$B$1:$BX$1,0),FALSE)/1,0))</f>
        <v/>
      </c>
      <c r="J140" s="121" t="str">
        <f>IF($D140="","",IFERROR(VLOOKUP($B140,Kraftvärmeprod!$B$1:$BX$549,MATCH(J$2,Kraftvärmeprod!$B$1:$VX$1,0),FALSE)/1,0)-IFERROR(VLOOKUP($B140,'Slutlig allokering kvv'!$B$2:$BX$549,MATCH(J$2,'Slutlig allokering kvv'!$B$1:$BX$1,0),FALSE)/1,0))</f>
        <v/>
      </c>
      <c r="K140" s="121" t="str">
        <f>IF($D140="","",IFERROR(VLOOKUP($B140,Kraftvärmeprod!$B$1:$BX$549,MATCH(K$2,Kraftvärmeprod!$B$1:$VX$1,0),FALSE)/1,0)-IFERROR(VLOOKUP($B140,'Slutlig allokering kvv'!$B$2:$BX$549,MATCH(K$2,'Slutlig allokering kvv'!$B$1:$BX$1,0),FALSE)/1,0))</f>
        <v/>
      </c>
      <c r="L140" s="121" t="str">
        <f>IF($D140="","",IFERROR(VLOOKUP($B140,Kraftvärmeprod!$B$1:$BX$549,MATCH(L$2,Kraftvärmeprod!$B$1:$VX$1,0),FALSE)/1,0)-IFERROR(VLOOKUP($B140,'Slutlig allokering kvv'!$B$2:$BX$549,MATCH(L$2,'Slutlig allokering kvv'!$B$1:$BX$1,0),FALSE)/1,0))</f>
        <v/>
      </c>
      <c r="M140" s="121" t="str">
        <f>IF($D140="","",IFERROR(VLOOKUP($B140,Kraftvärmeprod!$B$1:$BX$549,MATCH(M$2,Kraftvärmeprod!$B$1:$VX$1,0),FALSE)/1,0)-IFERROR(VLOOKUP($B140,'Slutlig allokering kvv'!$B$2:$BX$549,MATCH(M$2,'Slutlig allokering kvv'!$B$1:$BX$1,0),FALSE)/1,0))</f>
        <v/>
      </c>
      <c r="N140" s="121" t="str">
        <f>IF($D140="","",IFERROR(VLOOKUP($B140,Kraftvärmeprod!$B$1:$BX$549,MATCH(N$2,Kraftvärmeprod!$B$1:$VX$1,0),FALSE)/1,0)-IFERROR(VLOOKUP($B140,'Slutlig allokering kvv'!$B$2:$BX$549,MATCH(N$2,'Slutlig allokering kvv'!$B$1:$BX$1,0),FALSE)/1,0))</f>
        <v/>
      </c>
      <c r="O140" s="121" t="str">
        <f>IF($D140="","",IFERROR(VLOOKUP($B140,Kraftvärmeprod!$B$1:$BX$549,MATCH(O$2,Kraftvärmeprod!$B$1:$VX$1,0),FALSE)/1,0)-IFERROR(VLOOKUP($B140,'Slutlig allokering kvv'!$B$2:$BX$549,MATCH(O$2,'Slutlig allokering kvv'!$B$1:$BX$1,0),FALSE)/1,0))</f>
        <v/>
      </c>
      <c r="P140" s="121" t="str">
        <f>IF($D140="","",IFERROR(VLOOKUP($B140,Kraftvärmeprod!$B$1:$BX$549,MATCH(P$2,Kraftvärmeprod!$B$1:$VX$1,0),FALSE)/1,0)-IFERROR(VLOOKUP($B140,'Slutlig allokering kvv'!$B$2:$BX$549,MATCH(P$2,'Slutlig allokering kvv'!$B$1:$BX$1,0),FALSE)/1,0))</f>
        <v/>
      </c>
      <c r="Q140" s="121" t="str">
        <f>IF($D140="","",IFERROR(VLOOKUP($B140,Kraftvärmeprod!$B$1:$BX$549,MATCH(Q$2,Kraftvärmeprod!$B$1:$VX$1,0),FALSE)/1,0)-IFERROR(VLOOKUP($B140,'Slutlig allokering kvv'!$B$2:$BX$549,MATCH(Q$2,'Slutlig allokering kvv'!$B$1:$BX$1,0),FALSE)/1,0))</f>
        <v/>
      </c>
      <c r="R140" s="121" t="str">
        <f>IF($D140="","",IFERROR(VLOOKUP($B140,Kraftvärmeprod!$B$1:$BX$549,MATCH(R$2,Kraftvärmeprod!$B$1:$VX$1,0),FALSE)/1,0)-IFERROR(VLOOKUP($B140,'Slutlig allokering kvv'!$B$2:$BX$549,MATCH(R$2,'Slutlig allokering kvv'!$B$1:$BX$1,0),FALSE)/1,0))</f>
        <v/>
      </c>
      <c r="S140" s="121" t="str">
        <f>IF($D140="","",IFERROR(VLOOKUP($B140,Kraftvärmeprod!$B$1:$BX$549,MATCH(S$2,Kraftvärmeprod!$B$1:$VX$1,0),FALSE)/1,0)-IFERROR(VLOOKUP($B140,'Slutlig allokering kvv'!$B$2:$BX$549,MATCH(S$2,'Slutlig allokering kvv'!$B$1:$BX$1,0),FALSE)/1,0))</f>
        <v/>
      </c>
      <c r="T140" s="121" t="str">
        <f>IF($D140="","",IFERROR(VLOOKUP($B140,Kraftvärmeprod!$B$1:$BX$549,MATCH(T$2,Kraftvärmeprod!$B$1:$VX$1,0),FALSE)/1,0)-IFERROR(VLOOKUP($B140,'Slutlig allokering kvv'!$B$2:$BX$549,MATCH(T$2,'Slutlig allokering kvv'!$B$1:$BX$1,0),FALSE)/1,0))</f>
        <v/>
      </c>
      <c r="U140" s="121" t="str">
        <f>IF($D140="","",IFERROR(VLOOKUP($B140,Kraftvärmeprod!$B$1:$BX$549,MATCH(U$2,Kraftvärmeprod!$B$1:$VX$1,0),FALSE)/1,0)-IFERROR(VLOOKUP($B140,'Slutlig allokering kvv'!$B$2:$BX$549,MATCH(U$2,'Slutlig allokering kvv'!$B$1:$BX$1,0),FALSE)/1,0))</f>
        <v/>
      </c>
      <c r="V140" s="121" t="str">
        <f>IF($D140="","",IFERROR(VLOOKUP($B140,Kraftvärmeprod!$B$1:$BX$549,MATCH(V$2,Kraftvärmeprod!$B$1:$VX$1,0),FALSE)/1,0)-IFERROR(VLOOKUP($B140,'Slutlig allokering kvv'!$B$2:$BX$549,MATCH(V$2,'Slutlig allokering kvv'!$B$1:$BX$1,0),FALSE)/1,0))</f>
        <v/>
      </c>
      <c r="W140" s="121" t="str">
        <f>IF($D140="","",IFERROR(VLOOKUP($B140,Kraftvärmeprod!$B$1:$BX$549,MATCH(W$2,Kraftvärmeprod!$B$1:$VX$1,0),FALSE)/1,0)-IFERROR(VLOOKUP($B140,'Slutlig allokering kvv'!$B$2:$BX$549,MATCH(W$2,'Slutlig allokering kvv'!$B$1:$BX$1,0),FALSE)/1,0))</f>
        <v/>
      </c>
      <c r="X140" s="121" t="str">
        <f>IF($D140="","",IFERROR(VLOOKUP($B140,Kraftvärmeprod!$B$1:$BX$549,MATCH(X$2,Kraftvärmeprod!$B$1:$VX$1,0),FALSE)/1,0)-IFERROR(VLOOKUP($B140,'Slutlig allokering kvv'!$B$2:$BX$549,MATCH(X$2,'Slutlig allokering kvv'!$B$1:$BX$1,0),FALSE)/1,0))</f>
        <v/>
      </c>
      <c r="Y140" s="121" t="str">
        <f>IF($D140="","",IFERROR(VLOOKUP($B140,Kraftvärmeprod!$B$1:$BX$549,MATCH(Y$2,Kraftvärmeprod!$B$1:$VX$1,0),FALSE)/1,0)-IFERROR(VLOOKUP($B140,'Slutlig allokering kvv'!$B$2:$BX$549,MATCH(Y$2,'Slutlig allokering kvv'!$B$1:$BX$1,0),FALSE)/1,0))</f>
        <v/>
      </c>
      <c r="Z140" s="121" t="str">
        <f>IF($D140="","",IFERROR(VLOOKUP($B140,Kraftvärmeprod!$B$1:$BX$549,MATCH(Z$2,Kraftvärmeprod!$B$1:$VX$1,0),FALSE)/1,0)-IFERROR(VLOOKUP($B140,'Slutlig allokering kvv'!$B$2:$BX$549,MATCH(Z$2,'Slutlig allokering kvv'!$B$1:$BX$1,0),FALSE)/1,0))</f>
        <v/>
      </c>
      <c r="AA140" s="121" t="str">
        <f>IF($D140="","",IFERROR(VLOOKUP($B140,Kraftvärmeprod!$B$1:$BX$549,MATCH(AA$2,Kraftvärmeprod!$B$1:$VX$1,0),FALSE)/1,0)-IFERROR(VLOOKUP($B140,'Slutlig allokering kvv'!$B$2:$BX$549,MATCH(AA$2,'Slutlig allokering kvv'!$B$1:$BX$1,0),FALSE)/1,0))</f>
        <v/>
      </c>
      <c r="AB140" s="121" t="str">
        <f>IF($D140="","",IFERROR(VLOOKUP($B140,Kraftvärmeprod!$B$1:$BX$549,MATCH(AB$2,Kraftvärmeprod!$B$1:$VX$1,0),FALSE)/1,0)-IFERROR(VLOOKUP($B140,'Slutlig allokering kvv'!$B$2:$BX$549,MATCH(AB$2,'Slutlig allokering kvv'!$B$1:$BX$1,0),FALSE)/1,0))</f>
        <v/>
      </c>
      <c r="AC140" s="121" t="str">
        <f>IF($D140="","",IFERROR(VLOOKUP($B140,Kraftvärmeprod!$B$1:$BX$549,MATCH(AC$2,Kraftvärmeprod!$B$1:$VX$1,0),FALSE)/1,0)-IFERROR(VLOOKUP($B140,'Slutlig allokering kvv'!$B$2:$BX$549,MATCH(AC$2,'Slutlig allokering kvv'!$B$1:$BX$1,0),FALSE)/1,0))</f>
        <v/>
      </c>
      <c r="AD140" s="121" t="str">
        <f>IF($D140="","",IFERROR(VLOOKUP($B140,Kraftvärmeprod!$B$1:$BX$549,MATCH(AD$2,Kraftvärmeprod!$B$1:$VX$1,0),FALSE)/1,0)-IFERROR(VLOOKUP($B140,'Slutlig allokering kvv'!$B$2:$BX$549,MATCH(AD$2,'Slutlig allokering kvv'!$B$1:$BX$1,0),FALSE)/1,0))</f>
        <v/>
      </c>
      <c r="AE140" s="121" t="str">
        <f>IF($D140="","",IFERROR(VLOOKUP($B140,Miljö!$B$1:$E$550,MATCH("Hjälpel kraftvärme (GWh)",Miljö!$B$1:$E$1,0),FALSE)/1,0)-IFERROR(VLOOKUP($B140,'Slutlig allokering kvv'!$B$2:$BX$549,MATCH(AE$2,'Slutlig allokering kvv'!$B$1:$BX$1,0),FALSE)/1,0))</f>
        <v/>
      </c>
      <c r="AI140" s="121">
        <f t="shared" si="8"/>
        <v>0</v>
      </c>
      <c r="AK140" s="121">
        <f>IFERROR(VLOOKUP($B140,'Slutlig allokering kvv'!$B$2:$AX$549,MATCH("Summa slutlig allokerad tillförd energi (utan hjälpel och rökgaskondensering):",'Slutlig allokering kvv'!$B$1:$AX$1,0),FALSE)/1,"")</f>
        <v>0</v>
      </c>
      <c r="AM140" s="172" t="str">
        <f>IFERROR(1-VLOOKUP($B140,'Slutlig allokering kvv'!$B$2:$AX$549,MATCH("Andel av bränsle i kvv som allokerats till värme, exklusive rökgaskondensering och hjälpel",'Slutlig allokering kvv'!$B$1:$AX$1,0),FALSE),"")</f>
        <v/>
      </c>
      <c r="AO140" s="172" t="str">
        <f t="shared" si="9"/>
        <v/>
      </c>
      <c r="AP140" s="173" t="str">
        <f t="shared" si="10"/>
        <v/>
      </c>
      <c r="AR140" s="172" t="str">
        <f t="shared" si="11"/>
        <v/>
      </c>
    </row>
    <row r="141" spans="1:44" x14ac:dyDescent="0.25">
      <c r="A141" s="171" t="str">
        <f>'Miljövärden för publ företag'!B143</f>
        <v>Lantmännen Agrovärme AB</v>
      </c>
      <c r="B141" s="171" t="str">
        <f>'Miljövärden för publ företag'!C143</f>
        <v>Kvänum</v>
      </c>
      <c r="C141" s="121" t="str">
        <f>IFERROR(VLOOKUP($B141,Kraftvärmeprod!$B$1:$AH$478,MATCH(C$2,Kraftvärmeprod!$B$1:$AG$1,0),FALSE)/1,"")</f>
        <v/>
      </c>
      <c r="D141" s="121" t="str">
        <f>IFERROR(VLOOKUP($B141,Kraftvärmeprod!$B$1:$AH$478,MATCH(D$2,Kraftvärmeprod!$B$1:$AG$1,0),FALSE)/1,"")</f>
        <v/>
      </c>
      <c r="F141" s="121" t="str">
        <f>IF($D141="","",IFERROR(VLOOKUP($B141,Kraftvärmeprod!$B$1:$BX$549,MATCH(F$2,Kraftvärmeprod!$B$1:$VX$1,0),FALSE)/1,0)-IFERROR(VLOOKUP($B141,'Slutlig allokering kvv'!$B$2:$BX$549,MATCH(F$2,'Slutlig allokering kvv'!$B$1:$BX$1,0),FALSE)/1,0))</f>
        <v/>
      </c>
      <c r="G141" s="121" t="str">
        <f>IF($D141="","",IFERROR(VLOOKUP($B141,Kraftvärmeprod!$B$1:$BX$549,MATCH(G$2,Kraftvärmeprod!$B$1:$VX$1,0),FALSE)/1,0)-IFERROR(VLOOKUP($B141,'Slutlig allokering kvv'!$B$2:$BX$549,MATCH(G$2,'Slutlig allokering kvv'!$B$1:$BX$1,0),FALSE)/1,0))</f>
        <v/>
      </c>
      <c r="H141" s="121" t="str">
        <f>IF($D141="","",IFERROR(VLOOKUP($B141,Kraftvärmeprod!$B$1:$BX$549,MATCH(H$2,Kraftvärmeprod!$B$1:$VX$1,0),FALSE)/1,0)-IFERROR(VLOOKUP($B141,'Slutlig allokering kvv'!$B$2:$BX$549,MATCH(H$2,'Slutlig allokering kvv'!$B$1:$BX$1,0),FALSE)/1,0))</f>
        <v/>
      </c>
      <c r="I141" s="121" t="str">
        <f>IF($D141="","",IFERROR(VLOOKUP($B141,Kraftvärmeprod!$B$1:$BX$549,MATCH(I$2,Kraftvärmeprod!$B$1:$VX$1,0),FALSE)/1,0)-IFERROR(VLOOKUP($B141,'Slutlig allokering kvv'!$B$2:$BX$549,MATCH(I$2,'Slutlig allokering kvv'!$B$1:$BX$1,0),FALSE)/1,0))</f>
        <v/>
      </c>
      <c r="J141" s="121" t="str">
        <f>IF($D141="","",IFERROR(VLOOKUP($B141,Kraftvärmeprod!$B$1:$BX$549,MATCH(J$2,Kraftvärmeprod!$B$1:$VX$1,0),FALSE)/1,0)-IFERROR(VLOOKUP($B141,'Slutlig allokering kvv'!$B$2:$BX$549,MATCH(J$2,'Slutlig allokering kvv'!$B$1:$BX$1,0),FALSE)/1,0))</f>
        <v/>
      </c>
      <c r="K141" s="121" t="str">
        <f>IF($D141="","",IFERROR(VLOOKUP($B141,Kraftvärmeprod!$B$1:$BX$549,MATCH(K$2,Kraftvärmeprod!$B$1:$VX$1,0),FALSE)/1,0)-IFERROR(VLOOKUP($B141,'Slutlig allokering kvv'!$B$2:$BX$549,MATCH(K$2,'Slutlig allokering kvv'!$B$1:$BX$1,0),FALSE)/1,0))</f>
        <v/>
      </c>
      <c r="L141" s="121" t="str">
        <f>IF($D141="","",IFERROR(VLOOKUP($B141,Kraftvärmeprod!$B$1:$BX$549,MATCH(L$2,Kraftvärmeprod!$B$1:$VX$1,0),FALSE)/1,0)-IFERROR(VLOOKUP($B141,'Slutlig allokering kvv'!$B$2:$BX$549,MATCH(L$2,'Slutlig allokering kvv'!$B$1:$BX$1,0),FALSE)/1,0))</f>
        <v/>
      </c>
      <c r="M141" s="121" t="str">
        <f>IF($D141="","",IFERROR(VLOOKUP($B141,Kraftvärmeprod!$B$1:$BX$549,MATCH(M$2,Kraftvärmeprod!$B$1:$VX$1,0),FALSE)/1,0)-IFERROR(VLOOKUP($B141,'Slutlig allokering kvv'!$B$2:$BX$549,MATCH(M$2,'Slutlig allokering kvv'!$B$1:$BX$1,0),FALSE)/1,0))</f>
        <v/>
      </c>
      <c r="N141" s="121" t="str">
        <f>IF($D141="","",IFERROR(VLOOKUP($B141,Kraftvärmeprod!$B$1:$BX$549,MATCH(N$2,Kraftvärmeprod!$B$1:$VX$1,0),FALSE)/1,0)-IFERROR(VLOOKUP($B141,'Slutlig allokering kvv'!$B$2:$BX$549,MATCH(N$2,'Slutlig allokering kvv'!$B$1:$BX$1,0),FALSE)/1,0))</f>
        <v/>
      </c>
      <c r="O141" s="121" t="str">
        <f>IF($D141="","",IFERROR(VLOOKUP($B141,Kraftvärmeprod!$B$1:$BX$549,MATCH(O$2,Kraftvärmeprod!$B$1:$VX$1,0),FALSE)/1,0)-IFERROR(VLOOKUP($B141,'Slutlig allokering kvv'!$B$2:$BX$549,MATCH(O$2,'Slutlig allokering kvv'!$B$1:$BX$1,0),FALSE)/1,0))</f>
        <v/>
      </c>
      <c r="P141" s="121" t="str">
        <f>IF($D141="","",IFERROR(VLOOKUP($B141,Kraftvärmeprod!$B$1:$BX$549,MATCH(P$2,Kraftvärmeprod!$B$1:$VX$1,0),FALSE)/1,0)-IFERROR(VLOOKUP($B141,'Slutlig allokering kvv'!$B$2:$BX$549,MATCH(P$2,'Slutlig allokering kvv'!$B$1:$BX$1,0),FALSE)/1,0))</f>
        <v/>
      </c>
      <c r="Q141" s="121" t="str">
        <f>IF($D141="","",IFERROR(VLOOKUP($B141,Kraftvärmeprod!$B$1:$BX$549,MATCH(Q$2,Kraftvärmeprod!$B$1:$VX$1,0),FALSE)/1,0)-IFERROR(VLOOKUP($B141,'Slutlig allokering kvv'!$B$2:$BX$549,MATCH(Q$2,'Slutlig allokering kvv'!$B$1:$BX$1,0),FALSE)/1,0))</f>
        <v/>
      </c>
      <c r="R141" s="121" t="str">
        <f>IF($D141="","",IFERROR(VLOOKUP($B141,Kraftvärmeprod!$B$1:$BX$549,MATCH(R$2,Kraftvärmeprod!$B$1:$VX$1,0),FALSE)/1,0)-IFERROR(VLOOKUP($B141,'Slutlig allokering kvv'!$B$2:$BX$549,MATCH(R$2,'Slutlig allokering kvv'!$B$1:$BX$1,0),FALSE)/1,0))</f>
        <v/>
      </c>
      <c r="S141" s="121" t="str">
        <f>IF($D141="","",IFERROR(VLOOKUP($B141,Kraftvärmeprod!$B$1:$BX$549,MATCH(S$2,Kraftvärmeprod!$B$1:$VX$1,0),FALSE)/1,0)-IFERROR(VLOOKUP($B141,'Slutlig allokering kvv'!$B$2:$BX$549,MATCH(S$2,'Slutlig allokering kvv'!$B$1:$BX$1,0),FALSE)/1,0))</f>
        <v/>
      </c>
      <c r="T141" s="121" t="str">
        <f>IF($D141="","",IFERROR(VLOOKUP($B141,Kraftvärmeprod!$B$1:$BX$549,MATCH(T$2,Kraftvärmeprod!$B$1:$VX$1,0),FALSE)/1,0)-IFERROR(VLOOKUP($B141,'Slutlig allokering kvv'!$B$2:$BX$549,MATCH(T$2,'Slutlig allokering kvv'!$B$1:$BX$1,0),FALSE)/1,0))</f>
        <v/>
      </c>
      <c r="U141" s="121" t="str">
        <f>IF($D141="","",IFERROR(VLOOKUP($B141,Kraftvärmeprod!$B$1:$BX$549,MATCH(U$2,Kraftvärmeprod!$B$1:$VX$1,0),FALSE)/1,0)-IFERROR(VLOOKUP($B141,'Slutlig allokering kvv'!$B$2:$BX$549,MATCH(U$2,'Slutlig allokering kvv'!$B$1:$BX$1,0),FALSE)/1,0))</f>
        <v/>
      </c>
      <c r="V141" s="121" t="str">
        <f>IF($D141="","",IFERROR(VLOOKUP($B141,Kraftvärmeprod!$B$1:$BX$549,MATCH(V$2,Kraftvärmeprod!$B$1:$VX$1,0),FALSE)/1,0)-IFERROR(VLOOKUP($B141,'Slutlig allokering kvv'!$B$2:$BX$549,MATCH(V$2,'Slutlig allokering kvv'!$B$1:$BX$1,0),FALSE)/1,0))</f>
        <v/>
      </c>
      <c r="W141" s="121" t="str">
        <f>IF($D141="","",IFERROR(VLOOKUP($B141,Kraftvärmeprod!$B$1:$BX$549,MATCH(W$2,Kraftvärmeprod!$B$1:$VX$1,0),FALSE)/1,0)-IFERROR(VLOOKUP($B141,'Slutlig allokering kvv'!$B$2:$BX$549,MATCH(W$2,'Slutlig allokering kvv'!$B$1:$BX$1,0),FALSE)/1,0))</f>
        <v/>
      </c>
      <c r="X141" s="121" t="str">
        <f>IF($D141="","",IFERROR(VLOOKUP($B141,Kraftvärmeprod!$B$1:$BX$549,MATCH(X$2,Kraftvärmeprod!$B$1:$VX$1,0),FALSE)/1,0)-IFERROR(VLOOKUP($B141,'Slutlig allokering kvv'!$B$2:$BX$549,MATCH(X$2,'Slutlig allokering kvv'!$B$1:$BX$1,0),FALSE)/1,0))</f>
        <v/>
      </c>
      <c r="Y141" s="121" t="str">
        <f>IF($D141="","",IFERROR(VLOOKUP($B141,Kraftvärmeprod!$B$1:$BX$549,MATCH(Y$2,Kraftvärmeprod!$B$1:$VX$1,0),FALSE)/1,0)-IFERROR(VLOOKUP($B141,'Slutlig allokering kvv'!$B$2:$BX$549,MATCH(Y$2,'Slutlig allokering kvv'!$B$1:$BX$1,0),FALSE)/1,0))</f>
        <v/>
      </c>
      <c r="Z141" s="121" t="str">
        <f>IF($D141="","",IFERROR(VLOOKUP($B141,Kraftvärmeprod!$B$1:$BX$549,MATCH(Z$2,Kraftvärmeprod!$B$1:$VX$1,0),FALSE)/1,0)-IFERROR(VLOOKUP($B141,'Slutlig allokering kvv'!$B$2:$BX$549,MATCH(Z$2,'Slutlig allokering kvv'!$B$1:$BX$1,0),FALSE)/1,0))</f>
        <v/>
      </c>
      <c r="AA141" s="121" t="str">
        <f>IF($D141="","",IFERROR(VLOOKUP($B141,Kraftvärmeprod!$B$1:$BX$549,MATCH(AA$2,Kraftvärmeprod!$B$1:$VX$1,0),FALSE)/1,0)-IFERROR(VLOOKUP($B141,'Slutlig allokering kvv'!$B$2:$BX$549,MATCH(AA$2,'Slutlig allokering kvv'!$B$1:$BX$1,0),FALSE)/1,0))</f>
        <v/>
      </c>
      <c r="AB141" s="121" t="str">
        <f>IF($D141="","",IFERROR(VLOOKUP($B141,Kraftvärmeprod!$B$1:$BX$549,MATCH(AB$2,Kraftvärmeprod!$B$1:$VX$1,0),FALSE)/1,0)-IFERROR(VLOOKUP($B141,'Slutlig allokering kvv'!$B$2:$BX$549,MATCH(AB$2,'Slutlig allokering kvv'!$B$1:$BX$1,0),FALSE)/1,0))</f>
        <v/>
      </c>
      <c r="AC141" s="121" t="str">
        <f>IF($D141="","",IFERROR(VLOOKUP($B141,Kraftvärmeprod!$B$1:$BX$549,MATCH(AC$2,Kraftvärmeprod!$B$1:$VX$1,0),FALSE)/1,0)-IFERROR(VLOOKUP($B141,'Slutlig allokering kvv'!$B$2:$BX$549,MATCH(AC$2,'Slutlig allokering kvv'!$B$1:$BX$1,0),FALSE)/1,0))</f>
        <v/>
      </c>
      <c r="AD141" s="121" t="str">
        <f>IF($D141="","",IFERROR(VLOOKUP($B141,Kraftvärmeprod!$B$1:$BX$549,MATCH(AD$2,Kraftvärmeprod!$B$1:$VX$1,0),FALSE)/1,0)-IFERROR(VLOOKUP($B141,'Slutlig allokering kvv'!$B$2:$BX$549,MATCH(AD$2,'Slutlig allokering kvv'!$B$1:$BX$1,0),FALSE)/1,0))</f>
        <v/>
      </c>
      <c r="AE141" s="121" t="str">
        <f>IF($D141="","",IFERROR(VLOOKUP($B141,Miljö!$B$1:$E$550,MATCH("Hjälpel kraftvärme (GWh)",Miljö!$B$1:$E$1,0),FALSE)/1,0)-IFERROR(VLOOKUP($B141,'Slutlig allokering kvv'!$B$2:$BX$549,MATCH(AE$2,'Slutlig allokering kvv'!$B$1:$BX$1,0),FALSE)/1,0))</f>
        <v/>
      </c>
      <c r="AI141" s="121">
        <f t="shared" si="8"/>
        <v>0</v>
      </c>
      <c r="AK141" s="121">
        <f>IFERROR(VLOOKUP($B141,'Slutlig allokering kvv'!$B$2:$AX$549,MATCH("Summa slutlig allokerad tillförd energi (utan hjälpel och rökgaskondensering):",'Slutlig allokering kvv'!$B$1:$AX$1,0),FALSE)/1,"")</f>
        <v>0</v>
      </c>
      <c r="AM141" s="172" t="str">
        <f>IFERROR(1-VLOOKUP($B141,'Slutlig allokering kvv'!$B$2:$AX$549,MATCH("Andel av bränsle i kvv som allokerats till värme, exklusive rökgaskondensering och hjälpel",'Slutlig allokering kvv'!$B$1:$AX$1,0),FALSE),"")</f>
        <v/>
      </c>
      <c r="AO141" s="172" t="str">
        <f t="shared" si="9"/>
        <v/>
      </c>
      <c r="AP141" s="173" t="str">
        <f t="shared" si="10"/>
        <v/>
      </c>
      <c r="AR141" s="172" t="str">
        <f t="shared" si="11"/>
        <v/>
      </c>
    </row>
    <row r="142" spans="1:44" x14ac:dyDescent="0.25">
      <c r="A142" s="171" t="str">
        <f>'Miljövärden för publ företag'!B144</f>
        <v>Lantmännen Agrovärme AB</v>
      </c>
      <c r="B142" s="171" t="str">
        <f>'Miljövärden för publ företag'!C144</f>
        <v>Skurup</v>
      </c>
      <c r="C142" s="121" t="str">
        <f>IFERROR(VLOOKUP($B142,Kraftvärmeprod!$B$1:$AH$478,MATCH(C$2,Kraftvärmeprod!$B$1:$AG$1,0),FALSE)/1,"")</f>
        <v/>
      </c>
      <c r="D142" s="121" t="str">
        <f>IFERROR(VLOOKUP($B142,Kraftvärmeprod!$B$1:$AH$478,MATCH(D$2,Kraftvärmeprod!$B$1:$AG$1,0),FALSE)/1,"")</f>
        <v/>
      </c>
      <c r="F142" s="121" t="str">
        <f>IF($D142="","",IFERROR(VLOOKUP($B142,Kraftvärmeprod!$B$1:$BX$549,MATCH(F$2,Kraftvärmeprod!$B$1:$VX$1,0),FALSE)/1,0)-IFERROR(VLOOKUP($B142,'Slutlig allokering kvv'!$B$2:$BX$549,MATCH(F$2,'Slutlig allokering kvv'!$B$1:$BX$1,0),FALSE)/1,0))</f>
        <v/>
      </c>
      <c r="G142" s="121" t="str">
        <f>IF($D142="","",IFERROR(VLOOKUP($B142,Kraftvärmeprod!$B$1:$BX$549,MATCH(G$2,Kraftvärmeprod!$B$1:$VX$1,0),FALSE)/1,0)-IFERROR(VLOOKUP($B142,'Slutlig allokering kvv'!$B$2:$BX$549,MATCH(G$2,'Slutlig allokering kvv'!$B$1:$BX$1,0),FALSE)/1,0))</f>
        <v/>
      </c>
      <c r="H142" s="121" t="str">
        <f>IF($D142="","",IFERROR(VLOOKUP($B142,Kraftvärmeprod!$B$1:$BX$549,MATCH(H$2,Kraftvärmeprod!$B$1:$VX$1,0),FALSE)/1,0)-IFERROR(VLOOKUP($B142,'Slutlig allokering kvv'!$B$2:$BX$549,MATCH(H$2,'Slutlig allokering kvv'!$B$1:$BX$1,0),FALSE)/1,0))</f>
        <v/>
      </c>
      <c r="I142" s="121" t="str">
        <f>IF($D142="","",IFERROR(VLOOKUP($B142,Kraftvärmeprod!$B$1:$BX$549,MATCH(I$2,Kraftvärmeprod!$B$1:$VX$1,0),FALSE)/1,0)-IFERROR(VLOOKUP($B142,'Slutlig allokering kvv'!$B$2:$BX$549,MATCH(I$2,'Slutlig allokering kvv'!$B$1:$BX$1,0),FALSE)/1,0))</f>
        <v/>
      </c>
      <c r="J142" s="121" t="str">
        <f>IF($D142="","",IFERROR(VLOOKUP($B142,Kraftvärmeprod!$B$1:$BX$549,MATCH(J$2,Kraftvärmeprod!$B$1:$VX$1,0),FALSE)/1,0)-IFERROR(VLOOKUP($B142,'Slutlig allokering kvv'!$B$2:$BX$549,MATCH(J$2,'Slutlig allokering kvv'!$B$1:$BX$1,0),FALSE)/1,0))</f>
        <v/>
      </c>
      <c r="K142" s="121" t="str">
        <f>IF($D142="","",IFERROR(VLOOKUP($B142,Kraftvärmeprod!$B$1:$BX$549,MATCH(K$2,Kraftvärmeprod!$B$1:$VX$1,0),FALSE)/1,0)-IFERROR(VLOOKUP($B142,'Slutlig allokering kvv'!$B$2:$BX$549,MATCH(K$2,'Slutlig allokering kvv'!$B$1:$BX$1,0),FALSE)/1,0))</f>
        <v/>
      </c>
      <c r="L142" s="121" t="str">
        <f>IF($D142="","",IFERROR(VLOOKUP($B142,Kraftvärmeprod!$B$1:$BX$549,MATCH(L$2,Kraftvärmeprod!$B$1:$VX$1,0),FALSE)/1,0)-IFERROR(VLOOKUP($B142,'Slutlig allokering kvv'!$B$2:$BX$549,MATCH(L$2,'Slutlig allokering kvv'!$B$1:$BX$1,0),FALSE)/1,0))</f>
        <v/>
      </c>
      <c r="M142" s="121" t="str">
        <f>IF($D142="","",IFERROR(VLOOKUP($B142,Kraftvärmeprod!$B$1:$BX$549,MATCH(M$2,Kraftvärmeprod!$B$1:$VX$1,0),FALSE)/1,0)-IFERROR(VLOOKUP($B142,'Slutlig allokering kvv'!$B$2:$BX$549,MATCH(M$2,'Slutlig allokering kvv'!$B$1:$BX$1,0),FALSE)/1,0))</f>
        <v/>
      </c>
      <c r="N142" s="121" t="str">
        <f>IF($D142="","",IFERROR(VLOOKUP($B142,Kraftvärmeprod!$B$1:$BX$549,MATCH(N$2,Kraftvärmeprod!$B$1:$VX$1,0),FALSE)/1,0)-IFERROR(VLOOKUP($B142,'Slutlig allokering kvv'!$B$2:$BX$549,MATCH(N$2,'Slutlig allokering kvv'!$B$1:$BX$1,0),FALSE)/1,0))</f>
        <v/>
      </c>
      <c r="O142" s="121" t="str">
        <f>IF($D142="","",IFERROR(VLOOKUP($B142,Kraftvärmeprod!$B$1:$BX$549,MATCH(O$2,Kraftvärmeprod!$B$1:$VX$1,0),FALSE)/1,0)-IFERROR(VLOOKUP($B142,'Slutlig allokering kvv'!$B$2:$BX$549,MATCH(O$2,'Slutlig allokering kvv'!$B$1:$BX$1,0),FALSE)/1,0))</f>
        <v/>
      </c>
      <c r="P142" s="121" t="str">
        <f>IF($D142="","",IFERROR(VLOOKUP($B142,Kraftvärmeprod!$B$1:$BX$549,MATCH(P$2,Kraftvärmeprod!$B$1:$VX$1,0),FALSE)/1,0)-IFERROR(VLOOKUP($B142,'Slutlig allokering kvv'!$B$2:$BX$549,MATCH(P$2,'Slutlig allokering kvv'!$B$1:$BX$1,0),FALSE)/1,0))</f>
        <v/>
      </c>
      <c r="Q142" s="121" t="str">
        <f>IF($D142="","",IFERROR(VLOOKUP($B142,Kraftvärmeprod!$B$1:$BX$549,MATCH(Q$2,Kraftvärmeprod!$B$1:$VX$1,0),FALSE)/1,0)-IFERROR(VLOOKUP($B142,'Slutlig allokering kvv'!$B$2:$BX$549,MATCH(Q$2,'Slutlig allokering kvv'!$B$1:$BX$1,0),FALSE)/1,0))</f>
        <v/>
      </c>
      <c r="R142" s="121" t="str">
        <f>IF($D142="","",IFERROR(VLOOKUP($B142,Kraftvärmeprod!$B$1:$BX$549,MATCH(R$2,Kraftvärmeprod!$B$1:$VX$1,0),FALSE)/1,0)-IFERROR(VLOOKUP($B142,'Slutlig allokering kvv'!$B$2:$BX$549,MATCH(R$2,'Slutlig allokering kvv'!$B$1:$BX$1,0),FALSE)/1,0))</f>
        <v/>
      </c>
      <c r="S142" s="121" t="str">
        <f>IF($D142="","",IFERROR(VLOOKUP($B142,Kraftvärmeprod!$B$1:$BX$549,MATCH(S$2,Kraftvärmeprod!$B$1:$VX$1,0),FALSE)/1,0)-IFERROR(VLOOKUP($B142,'Slutlig allokering kvv'!$B$2:$BX$549,MATCH(S$2,'Slutlig allokering kvv'!$B$1:$BX$1,0),FALSE)/1,0))</f>
        <v/>
      </c>
      <c r="T142" s="121" t="str">
        <f>IF($D142="","",IFERROR(VLOOKUP($B142,Kraftvärmeprod!$B$1:$BX$549,MATCH(T$2,Kraftvärmeprod!$B$1:$VX$1,0),FALSE)/1,0)-IFERROR(VLOOKUP($B142,'Slutlig allokering kvv'!$B$2:$BX$549,MATCH(T$2,'Slutlig allokering kvv'!$B$1:$BX$1,0),FALSE)/1,0))</f>
        <v/>
      </c>
      <c r="U142" s="121" t="str">
        <f>IF($D142="","",IFERROR(VLOOKUP($B142,Kraftvärmeprod!$B$1:$BX$549,MATCH(U$2,Kraftvärmeprod!$B$1:$VX$1,0),FALSE)/1,0)-IFERROR(VLOOKUP($B142,'Slutlig allokering kvv'!$B$2:$BX$549,MATCH(U$2,'Slutlig allokering kvv'!$B$1:$BX$1,0),FALSE)/1,0))</f>
        <v/>
      </c>
      <c r="V142" s="121" t="str">
        <f>IF($D142="","",IFERROR(VLOOKUP($B142,Kraftvärmeprod!$B$1:$BX$549,MATCH(V$2,Kraftvärmeprod!$B$1:$VX$1,0),FALSE)/1,0)-IFERROR(VLOOKUP($B142,'Slutlig allokering kvv'!$B$2:$BX$549,MATCH(V$2,'Slutlig allokering kvv'!$B$1:$BX$1,0),FALSE)/1,0))</f>
        <v/>
      </c>
      <c r="W142" s="121" t="str">
        <f>IF($D142="","",IFERROR(VLOOKUP($B142,Kraftvärmeprod!$B$1:$BX$549,MATCH(W$2,Kraftvärmeprod!$B$1:$VX$1,0),FALSE)/1,0)-IFERROR(VLOOKUP($B142,'Slutlig allokering kvv'!$B$2:$BX$549,MATCH(W$2,'Slutlig allokering kvv'!$B$1:$BX$1,0),FALSE)/1,0))</f>
        <v/>
      </c>
      <c r="X142" s="121" t="str">
        <f>IF($D142="","",IFERROR(VLOOKUP($B142,Kraftvärmeprod!$B$1:$BX$549,MATCH(X$2,Kraftvärmeprod!$B$1:$VX$1,0),FALSE)/1,0)-IFERROR(VLOOKUP($B142,'Slutlig allokering kvv'!$B$2:$BX$549,MATCH(X$2,'Slutlig allokering kvv'!$B$1:$BX$1,0),FALSE)/1,0))</f>
        <v/>
      </c>
      <c r="Y142" s="121" t="str">
        <f>IF($D142="","",IFERROR(VLOOKUP($B142,Kraftvärmeprod!$B$1:$BX$549,MATCH(Y$2,Kraftvärmeprod!$B$1:$VX$1,0),FALSE)/1,0)-IFERROR(VLOOKUP($B142,'Slutlig allokering kvv'!$B$2:$BX$549,MATCH(Y$2,'Slutlig allokering kvv'!$B$1:$BX$1,0),FALSE)/1,0))</f>
        <v/>
      </c>
      <c r="Z142" s="121" t="str">
        <f>IF($D142="","",IFERROR(VLOOKUP($B142,Kraftvärmeprod!$B$1:$BX$549,MATCH(Z$2,Kraftvärmeprod!$B$1:$VX$1,0),FALSE)/1,0)-IFERROR(VLOOKUP($B142,'Slutlig allokering kvv'!$B$2:$BX$549,MATCH(Z$2,'Slutlig allokering kvv'!$B$1:$BX$1,0),FALSE)/1,0))</f>
        <v/>
      </c>
      <c r="AA142" s="121" t="str">
        <f>IF($D142="","",IFERROR(VLOOKUP($B142,Kraftvärmeprod!$B$1:$BX$549,MATCH(AA$2,Kraftvärmeprod!$B$1:$VX$1,0),FALSE)/1,0)-IFERROR(VLOOKUP($B142,'Slutlig allokering kvv'!$B$2:$BX$549,MATCH(AA$2,'Slutlig allokering kvv'!$B$1:$BX$1,0),FALSE)/1,0))</f>
        <v/>
      </c>
      <c r="AB142" s="121" t="str">
        <f>IF($D142="","",IFERROR(VLOOKUP($B142,Kraftvärmeprod!$B$1:$BX$549,MATCH(AB$2,Kraftvärmeprod!$B$1:$VX$1,0),FALSE)/1,0)-IFERROR(VLOOKUP($B142,'Slutlig allokering kvv'!$B$2:$BX$549,MATCH(AB$2,'Slutlig allokering kvv'!$B$1:$BX$1,0),FALSE)/1,0))</f>
        <v/>
      </c>
      <c r="AC142" s="121" t="str">
        <f>IF($D142="","",IFERROR(VLOOKUP($B142,Kraftvärmeprod!$B$1:$BX$549,MATCH(AC$2,Kraftvärmeprod!$B$1:$VX$1,0),FALSE)/1,0)-IFERROR(VLOOKUP($B142,'Slutlig allokering kvv'!$B$2:$BX$549,MATCH(AC$2,'Slutlig allokering kvv'!$B$1:$BX$1,0),FALSE)/1,0))</f>
        <v/>
      </c>
      <c r="AD142" s="121" t="str">
        <f>IF($D142="","",IFERROR(VLOOKUP($B142,Kraftvärmeprod!$B$1:$BX$549,MATCH(AD$2,Kraftvärmeprod!$B$1:$VX$1,0),FALSE)/1,0)-IFERROR(VLOOKUP($B142,'Slutlig allokering kvv'!$B$2:$BX$549,MATCH(AD$2,'Slutlig allokering kvv'!$B$1:$BX$1,0),FALSE)/1,0))</f>
        <v/>
      </c>
      <c r="AE142" s="121" t="str">
        <f>IF($D142="","",IFERROR(VLOOKUP($B142,Miljö!$B$1:$E$550,MATCH("Hjälpel kraftvärme (GWh)",Miljö!$B$1:$E$1,0),FALSE)/1,0)-IFERROR(VLOOKUP($B142,'Slutlig allokering kvv'!$B$2:$BX$549,MATCH(AE$2,'Slutlig allokering kvv'!$B$1:$BX$1,0),FALSE)/1,0))</f>
        <v/>
      </c>
      <c r="AI142" s="121">
        <f t="shared" si="8"/>
        <v>0</v>
      </c>
      <c r="AK142" s="121">
        <f>IFERROR(VLOOKUP($B142,'Slutlig allokering kvv'!$B$2:$AX$549,MATCH("Summa slutlig allokerad tillförd energi (utan hjälpel och rökgaskondensering):",'Slutlig allokering kvv'!$B$1:$AX$1,0),FALSE)/1,"")</f>
        <v>0</v>
      </c>
      <c r="AM142" s="172" t="str">
        <f>IFERROR(1-VLOOKUP($B142,'Slutlig allokering kvv'!$B$2:$AX$549,MATCH("Andel av bränsle i kvv som allokerats till värme, exklusive rökgaskondensering och hjälpel",'Slutlig allokering kvv'!$B$1:$AX$1,0),FALSE),"")</f>
        <v/>
      </c>
      <c r="AO142" s="172" t="str">
        <f t="shared" si="9"/>
        <v/>
      </c>
      <c r="AP142" s="173" t="str">
        <f t="shared" si="10"/>
        <v/>
      </c>
      <c r="AR142" s="172" t="str">
        <f t="shared" si="11"/>
        <v/>
      </c>
    </row>
    <row r="143" spans="1:44" x14ac:dyDescent="0.25">
      <c r="A143" s="171" t="str">
        <f>'Miljövärden för publ företag'!B145</f>
        <v>Lantmännen Agrovärme AB</v>
      </c>
      <c r="B143" s="171" t="str">
        <f>'Miljövärden för publ företag'!C145</f>
        <v>Vinslöv</v>
      </c>
      <c r="C143" s="121" t="str">
        <f>IFERROR(VLOOKUP($B143,Kraftvärmeprod!$B$1:$AH$478,MATCH(C$2,Kraftvärmeprod!$B$1:$AG$1,0),FALSE)/1,"")</f>
        <v/>
      </c>
      <c r="D143" s="121" t="str">
        <f>IFERROR(VLOOKUP($B143,Kraftvärmeprod!$B$1:$AH$478,MATCH(D$2,Kraftvärmeprod!$B$1:$AG$1,0),FALSE)/1,"")</f>
        <v/>
      </c>
      <c r="F143" s="121" t="str">
        <f>IF($D143="","",IFERROR(VLOOKUP($B143,Kraftvärmeprod!$B$1:$BX$549,MATCH(F$2,Kraftvärmeprod!$B$1:$VX$1,0),FALSE)/1,0)-IFERROR(VLOOKUP($B143,'Slutlig allokering kvv'!$B$2:$BX$549,MATCH(F$2,'Slutlig allokering kvv'!$B$1:$BX$1,0),FALSE)/1,0))</f>
        <v/>
      </c>
      <c r="G143" s="121" t="str">
        <f>IF($D143="","",IFERROR(VLOOKUP($B143,Kraftvärmeprod!$B$1:$BX$549,MATCH(G$2,Kraftvärmeprod!$B$1:$VX$1,0),FALSE)/1,0)-IFERROR(VLOOKUP($B143,'Slutlig allokering kvv'!$B$2:$BX$549,MATCH(G$2,'Slutlig allokering kvv'!$B$1:$BX$1,0),FALSE)/1,0))</f>
        <v/>
      </c>
      <c r="H143" s="121" t="str">
        <f>IF($D143="","",IFERROR(VLOOKUP($B143,Kraftvärmeprod!$B$1:$BX$549,MATCH(H$2,Kraftvärmeprod!$B$1:$VX$1,0),FALSE)/1,0)-IFERROR(VLOOKUP($B143,'Slutlig allokering kvv'!$B$2:$BX$549,MATCH(H$2,'Slutlig allokering kvv'!$B$1:$BX$1,0),FALSE)/1,0))</f>
        <v/>
      </c>
      <c r="I143" s="121" t="str">
        <f>IF($D143="","",IFERROR(VLOOKUP($B143,Kraftvärmeprod!$B$1:$BX$549,MATCH(I$2,Kraftvärmeprod!$B$1:$VX$1,0),FALSE)/1,0)-IFERROR(VLOOKUP($B143,'Slutlig allokering kvv'!$B$2:$BX$549,MATCH(I$2,'Slutlig allokering kvv'!$B$1:$BX$1,0),FALSE)/1,0))</f>
        <v/>
      </c>
      <c r="J143" s="121" t="str">
        <f>IF($D143="","",IFERROR(VLOOKUP($B143,Kraftvärmeprod!$B$1:$BX$549,MATCH(J$2,Kraftvärmeprod!$B$1:$VX$1,0),FALSE)/1,0)-IFERROR(VLOOKUP($B143,'Slutlig allokering kvv'!$B$2:$BX$549,MATCH(J$2,'Slutlig allokering kvv'!$B$1:$BX$1,0),FALSE)/1,0))</f>
        <v/>
      </c>
      <c r="K143" s="121" t="str">
        <f>IF($D143="","",IFERROR(VLOOKUP($B143,Kraftvärmeprod!$B$1:$BX$549,MATCH(K$2,Kraftvärmeprod!$B$1:$VX$1,0),FALSE)/1,0)-IFERROR(VLOOKUP($B143,'Slutlig allokering kvv'!$B$2:$BX$549,MATCH(K$2,'Slutlig allokering kvv'!$B$1:$BX$1,0),FALSE)/1,0))</f>
        <v/>
      </c>
      <c r="L143" s="121" t="str">
        <f>IF($D143="","",IFERROR(VLOOKUP($B143,Kraftvärmeprod!$B$1:$BX$549,MATCH(L$2,Kraftvärmeprod!$B$1:$VX$1,0),FALSE)/1,0)-IFERROR(VLOOKUP($B143,'Slutlig allokering kvv'!$B$2:$BX$549,MATCH(L$2,'Slutlig allokering kvv'!$B$1:$BX$1,0),FALSE)/1,0))</f>
        <v/>
      </c>
      <c r="M143" s="121" t="str">
        <f>IF($D143="","",IFERROR(VLOOKUP($B143,Kraftvärmeprod!$B$1:$BX$549,MATCH(M$2,Kraftvärmeprod!$B$1:$VX$1,0),FALSE)/1,0)-IFERROR(VLOOKUP($B143,'Slutlig allokering kvv'!$B$2:$BX$549,MATCH(M$2,'Slutlig allokering kvv'!$B$1:$BX$1,0),FALSE)/1,0))</f>
        <v/>
      </c>
      <c r="N143" s="121" t="str">
        <f>IF($D143="","",IFERROR(VLOOKUP($B143,Kraftvärmeprod!$B$1:$BX$549,MATCH(N$2,Kraftvärmeprod!$B$1:$VX$1,0),FALSE)/1,0)-IFERROR(VLOOKUP($B143,'Slutlig allokering kvv'!$B$2:$BX$549,MATCH(N$2,'Slutlig allokering kvv'!$B$1:$BX$1,0),FALSE)/1,0))</f>
        <v/>
      </c>
      <c r="O143" s="121" t="str">
        <f>IF($D143="","",IFERROR(VLOOKUP($B143,Kraftvärmeprod!$B$1:$BX$549,MATCH(O$2,Kraftvärmeprod!$B$1:$VX$1,0),FALSE)/1,0)-IFERROR(VLOOKUP($B143,'Slutlig allokering kvv'!$B$2:$BX$549,MATCH(O$2,'Slutlig allokering kvv'!$B$1:$BX$1,0),FALSE)/1,0))</f>
        <v/>
      </c>
      <c r="P143" s="121" t="str">
        <f>IF($D143="","",IFERROR(VLOOKUP($B143,Kraftvärmeprod!$B$1:$BX$549,MATCH(P$2,Kraftvärmeprod!$B$1:$VX$1,0),FALSE)/1,0)-IFERROR(VLOOKUP($B143,'Slutlig allokering kvv'!$B$2:$BX$549,MATCH(P$2,'Slutlig allokering kvv'!$B$1:$BX$1,0),FALSE)/1,0))</f>
        <v/>
      </c>
      <c r="Q143" s="121" t="str">
        <f>IF($D143="","",IFERROR(VLOOKUP($B143,Kraftvärmeprod!$B$1:$BX$549,MATCH(Q$2,Kraftvärmeprod!$B$1:$VX$1,0),FALSE)/1,0)-IFERROR(VLOOKUP($B143,'Slutlig allokering kvv'!$B$2:$BX$549,MATCH(Q$2,'Slutlig allokering kvv'!$B$1:$BX$1,0),FALSE)/1,0))</f>
        <v/>
      </c>
      <c r="R143" s="121" t="str">
        <f>IF($D143="","",IFERROR(VLOOKUP($B143,Kraftvärmeprod!$B$1:$BX$549,MATCH(R$2,Kraftvärmeprod!$B$1:$VX$1,0),FALSE)/1,0)-IFERROR(VLOOKUP($B143,'Slutlig allokering kvv'!$B$2:$BX$549,MATCH(R$2,'Slutlig allokering kvv'!$B$1:$BX$1,0),FALSE)/1,0))</f>
        <v/>
      </c>
      <c r="S143" s="121" t="str">
        <f>IF($D143="","",IFERROR(VLOOKUP($B143,Kraftvärmeprod!$B$1:$BX$549,MATCH(S$2,Kraftvärmeprod!$B$1:$VX$1,0),FALSE)/1,0)-IFERROR(VLOOKUP($B143,'Slutlig allokering kvv'!$B$2:$BX$549,MATCH(S$2,'Slutlig allokering kvv'!$B$1:$BX$1,0),FALSE)/1,0))</f>
        <v/>
      </c>
      <c r="T143" s="121" t="str">
        <f>IF($D143="","",IFERROR(VLOOKUP($B143,Kraftvärmeprod!$B$1:$BX$549,MATCH(T$2,Kraftvärmeprod!$B$1:$VX$1,0),FALSE)/1,0)-IFERROR(VLOOKUP($B143,'Slutlig allokering kvv'!$B$2:$BX$549,MATCH(T$2,'Slutlig allokering kvv'!$B$1:$BX$1,0),FALSE)/1,0))</f>
        <v/>
      </c>
      <c r="U143" s="121" t="str">
        <f>IF($D143="","",IFERROR(VLOOKUP($B143,Kraftvärmeprod!$B$1:$BX$549,MATCH(U$2,Kraftvärmeprod!$B$1:$VX$1,0),FALSE)/1,0)-IFERROR(VLOOKUP($B143,'Slutlig allokering kvv'!$B$2:$BX$549,MATCH(U$2,'Slutlig allokering kvv'!$B$1:$BX$1,0),FALSE)/1,0))</f>
        <v/>
      </c>
      <c r="V143" s="121" t="str">
        <f>IF($D143="","",IFERROR(VLOOKUP($B143,Kraftvärmeprod!$B$1:$BX$549,MATCH(V$2,Kraftvärmeprod!$B$1:$VX$1,0),FALSE)/1,0)-IFERROR(VLOOKUP($B143,'Slutlig allokering kvv'!$B$2:$BX$549,MATCH(V$2,'Slutlig allokering kvv'!$B$1:$BX$1,0),FALSE)/1,0))</f>
        <v/>
      </c>
      <c r="W143" s="121" t="str">
        <f>IF($D143="","",IFERROR(VLOOKUP($B143,Kraftvärmeprod!$B$1:$BX$549,MATCH(W$2,Kraftvärmeprod!$B$1:$VX$1,0),FALSE)/1,0)-IFERROR(VLOOKUP($B143,'Slutlig allokering kvv'!$B$2:$BX$549,MATCH(W$2,'Slutlig allokering kvv'!$B$1:$BX$1,0),FALSE)/1,0))</f>
        <v/>
      </c>
      <c r="X143" s="121" t="str">
        <f>IF($D143="","",IFERROR(VLOOKUP($B143,Kraftvärmeprod!$B$1:$BX$549,MATCH(X$2,Kraftvärmeprod!$B$1:$VX$1,0),FALSE)/1,0)-IFERROR(VLOOKUP($B143,'Slutlig allokering kvv'!$B$2:$BX$549,MATCH(X$2,'Slutlig allokering kvv'!$B$1:$BX$1,0),FALSE)/1,0))</f>
        <v/>
      </c>
      <c r="Y143" s="121" t="str">
        <f>IF($D143="","",IFERROR(VLOOKUP($B143,Kraftvärmeprod!$B$1:$BX$549,MATCH(Y$2,Kraftvärmeprod!$B$1:$VX$1,0),FALSE)/1,0)-IFERROR(VLOOKUP($B143,'Slutlig allokering kvv'!$B$2:$BX$549,MATCH(Y$2,'Slutlig allokering kvv'!$B$1:$BX$1,0),FALSE)/1,0))</f>
        <v/>
      </c>
      <c r="Z143" s="121" t="str">
        <f>IF($D143="","",IFERROR(VLOOKUP($B143,Kraftvärmeprod!$B$1:$BX$549,MATCH(Z$2,Kraftvärmeprod!$B$1:$VX$1,0),FALSE)/1,0)-IFERROR(VLOOKUP($B143,'Slutlig allokering kvv'!$B$2:$BX$549,MATCH(Z$2,'Slutlig allokering kvv'!$B$1:$BX$1,0),FALSE)/1,0))</f>
        <v/>
      </c>
      <c r="AA143" s="121" t="str">
        <f>IF($D143="","",IFERROR(VLOOKUP($B143,Kraftvärmeprod!$B$1:$BX$549,MATCH(AA$2,Kraftvärmeprod!$B$1:$VX$1,0),FALSE)/1,0)-IFERROR(VLOOKUP($B143,'Slutlig allokering kvv'!$B$2:$BX$549,MATCH(AA$2,'Slutlig allokering kvv'!$B$1:$BX$1,0),FALSE)/1,0))</f>
        <v/>
      </c>
      <c r="AB143" s="121" t="str">
        <f>IF($D143="","",IFERROR(VLOOKUP($B143,Kraftvärmeprod!$B$1:$BX$549,MATCH(AB$2,Kraftvärmeprod!$B$1:$VX$1,0),FALSE)/1,0)-IFERROR(VLOOKUP($B143,'Slutlig allokering kvv'!$B$2:$BX$549,MATCH(AB$2,'Slutlig allokering kvv'!$B$1:$BX$1,0),FALSE)/1,0))</f>
        <v/>
      </c>
      <c r="AC143" s="121" t="str">
        <f>IF($D143="","",IFERROR(VLOOKUP($B143,Kraftvärmeprod!$B$1:$BX$549,MATCH(AC$2,Kraftvärmeprod!$B$1:$VX$1,0),FALSE)/1,0)-IFERROR(VLOOKUP($B143,'Slutlig allokering kvv'!$B$2:$BX$549,MATCH(AC$2,'Slutlig allokering kvv'!$B$1:$BX$1,0),FALSE)/1,0))</f>
        <v/>
      </c>
      <c r="AD143" s="121" t="str">
        <f>IF($D143="","",IFERROR(VLOOKUP($B143,Kraftvärmeprod!$B$1:$BX$549,MATCH(AD$2,Kraftvärmeprod!$B$1:$VX$1,0),FALSE)/1,0)-IFERROR(VLOOKUP($B143,'Slutlig allokering kvv'!$B$2:$BX$549,MATCH(AD$2,'Slutlig allokering kvv'!$B$1:$BX$1,0),FALSE)/1,0))</f>
        <v/>
      </c>
      <c r="AE143" s="121" t="str">
        <f>IF($D143="","",IFERROR(VLOOKUP($B143,Miljö!$B$1:$E$550,MATCH("Hjälpel kraftvärme (GWh)",Miljö!$B$1:$E$1,0),FALSE)/1,0)-IFERROR(VLOOKUP($B143,'Slutlig allokering kvv'!$B$2:$BX$549,MATCH(AE$2,'Slutlig allokering kvv'!$B$1:$BX$1,0),FALSE)/1,0))</f>
        <v/>
      </c>
      <c r="AI143" s="121">
        <f t="shared" si="8"/>
        <v>0</v>
      </c>
      <c r="AK143" s="121">
        <f>IFERROR(VLOOKUP($B143,'Slutlig allokering kvv'!$B$2:$AX$549,MATCH("Summa slutlig allokerad tillförd energi (utan hjälpel och rökgaskondensering):",'Slutlig allokering kvv'!$B$1:$AX$1,0),FALSE)/1,"")</f>
        <v>0</v>
      </c>
      <c r="AM143" s="172" t="str">
        <f>IFERROR(1-VLOOKUP($B143,'Slutlig allokering kvv'!$B$2:$AX$549,MATCH("Andel av bränsle i kvv som allokerats till värme, exklusive rökgaskondensering och hjälpel",'Slutlig allokering kvv'!$B$1:$AX$1,0),FALSE),"")</f>
        <v/>
      </c>
      <c r="AO143" s="172" t="str">
        <f t="shared" si="9"/>
        <v/>
      </c>
      <c r="AP143" s="173" t="str">
        <f t="shared" si="10"/>
        <v/>
      </c>
      <c r="AR143" s="172" t="str">
        <f t="shared" si="11"/>
        <v/>
      </c>
    </row>
    <row r="144" spans="1:44" x14ac:dyDescent="0.25">
      <c r="A144" s="171" t="str">
        <f>'Miljövärden för publ företag'!B146</f>
        <v>Lantmännen Agrovärme AB</v>
      </c>
      <c r="B144" s="171" t="str">
        <f>'Miljövärden för publ företag'!C146</f>
        <v>Ödeshög</v>
      </c>
      <c r="C144" s="121" t="str">
        <f>IFERROR(VLOOKUP($B144,Kraftvärmeprod!$B$1:$AH$478,MATCH(C$2,Kraftvärmeprod!$B$1:$AG$1,0),FALSE)/1,"")</f>
        <v/>
      </c>
      <c r="D144" s="121" t="str">
        <f>IFERROR(VLOOKUP($B144,Kraftvärmeprod!$B$1:$AH$478,MATCH(D$2,Kraftvärmeprod!$B$1:$AG$1,0),FALSE)/1,"")</f>
        <v/>
      </c>
      <c r="F144" s="121" t="str">
        <f>IF($D144="","",IFERROR(VLOOKUP($B144,Kraftvärmeprod!$B$1:$BX$549,MATCH(F$2,Kraftvärmeprod!$B$1:$VX$1,0),FALSE)/1,0)-IFERROR(VLOOKUP($B144,'Slutlig allokering kvv'!$B$2:$BX$549,MATCH(F$2,'Slutlig allokering kvv'!$B$1:$BX$1,0),FALSE)/1,0))</f>
        <v/>
      </c>
      <c r="G144" s="121" t="str">
        <f>IF($D144="","",IFERROR(VLOOKUP($B144,Kraftvärmeprod!$B$1:$BX$549,MATCH(G$2,Kraftvärmeprod!$B$1:$VX$1,0),FALSE)/1,0)-IFERROR(VLOOKUP($B144,'Slutlig allokering kvv'!$B$2:$BX$549,MATCH(G$2,'Slutlig allokering kvv'!$B$1:$BX$1,0),FALSE)/1,0))</f>
        <v/>
      </c>
      <c r="H144" s="121" t="str">
        <f>IF($D144="","",IFERROR(VLOOKUP($B144,Kraftvärmeprod!$B$1:$BX$549,MATCH(H$2,Kraftvärmeprod!$B$1:$VX$1,0),FALSE)/1,0)-IFERROR(VLOOKUP($B144,'Slutlig allokering kvv'!$B$2:$BX$549,MATCH(H$2,'Slutlig allokering kvv'!$B$1:$BX$1,0),FALSE)/1,0))</f>
        <v/>
      </c>
      <c r="I144" s="121" t="str">
        <f>IF($D144="","",IFERROR(VLOOKUP($B144,Kraftvärmeprod!$B$1:$BX$549,MATCH(I$2,Kraftvärmeprod!$B$1:$VX$1,0),FALSE)/1,0)-IFERROR(VLOOKUP($B144,'Slutlig allokering kvv'!$B$2:$BX$549,MATCH(I$2,'Slutlig allokering kvv'!$B$1:$BX$1,0),FALSE)/1,0))</f>
        <v/>
      </c>
      <c r="J144" s="121" t="str">
        <f>IF($D144="","",IFERROR(VLOOKUP($B144,Kraftvärmeprod!$B$1:$BX$549,MATCH(J$2,Kraftvärmeprod!$B$1:$VX$1,0),FALSE)/1,0)-IFERROR(VLOOKUP($B144,'Slutlig allokering kvv'!$B$2:$BX$549,MATCH(J$2,'Slutlig allokering kvv'!$B$1:$BX$1,0),FALSE)/1,0))</f>
        <v/>
      </c>
      <c r="K144" s="121" t="str">
        <f>IF($D144="","",IFERROR(VLOOKUP($B144,Kraftvärmeprod!$B$1:$BX$549,MATCH(K$2,Kraftvärmeprod!$B$1:$VX$1,0),FALSE)/1,0)-IFERROR(VLOOKUP($B144,'Slutlig allokering kvv'!$B$2:$BX$549,MATCH(K$2,'Slutlig allokering kvv'!$B$1:$BX$1,0),FALSE)/1,0))</f>
        <v/>
      </c>
      <c r="L144" s="121" t="str">
        <f>IF($D144="","",IFERROR(VLOOKUP($B144,Kraftvärmeprod!$B$1:$BX$549,MATCH(L$2,Kraftvärmeprod!$B$1:$VX$1,0),FALSE)/1,0)-IFERROR(VLOOKUP($B144,'Slutlig allokering kvv'!$B$2:$BX$549,MATCH(L$2,'Slutlig allokering kvv'!$B$1:$BX$1,0),FALSE)/1,0))</f>
        <v/>
      </c>
      <c r="M144" s="121" t="str">
        <f>IF($D144="","",IFERROR(VLOOKUP($B144,Kraftvärmeprod!$B$1:$BX$549,MATCH(M$2,Kraftvärmeprod!$B$1:$VX$1,0),FALSE)/1,0)-IFERROR(VLOOKUP($B144,'Slutlig allokering kvv'!$B$2:$BX$549,MATCH(M$2,'Slutlig allokering kvv'!$B$1:$BX$1,0),FALSE)/1,0))</f>
        <v/>
      </c>
      <c r="N144" s="121" t="str">
        <f>IF($D144="","",IFERROR(VLOOKUP($B144,Kraftvärmeprod!$B$1:$BX$549,MATCH(N$2,Kraftvärmeprod!$B$1:$VX$1,0),FALSE)/1,0)-IFERROR(VLOOKUP($B144,'Slutlig allokering kvv'!$B$2:$BX$549,MATCH(N$2,'Slutlig allokering kvv'!$B$1:$BX$1,0),FALSE)/1,0))</f>
        <v/>
      </c>
      <c r="O144" s="121" t="str">
        <f>IF($D144="","",IFERROR(VLOOKUP($B144,Kraftvärmeprod!$B$1:$BX$549,MATCH(O$2,Kraftvärmeprod!$B$1:$VX$1,0),FALSE)/1,0)-IFERROR(VLOOKUP($B144,'Slutlig allokering kvv'!$B$2:$BX$549,MATCH(O$2,'Slutlig allokering kvv'!$B$1:$BX$1,0),FALSE)/1,0))</f>
        <v/>
      </c>
      <c r="P144" s="121" t="str">
        <f>IF($D144="","",IFERROR(VLOOKUP($B144,Kraftvärmeprod!$B$1:$BX$549,MATCH(P$2,Kraftvärmeprod!$B$1:$VX$1,0),FALSE)/1,0)-IFERROR(VLOOKUP($B144,'Slutlig allokering kvv'!$B$2:$BX$549,MATCH(P$2,'Slutlig allokering kvv'!$B$1:$BX$1,0),FALSE)/1,0))</f>
        <v/>
      </c>
      <c r="Q144" s="121" t="str">
        <f>IF($D144="","",IFERROR(VLOOKUP($B144,Kraftvärmeprod!$B$1:$BX$549,MATCH(Q$2,Kraftvärmeprod!$B$1:$VX$1,0),FALSE)/1,0)-IFERROR(VLOOKUP($B144,'Slutlig allokering kvv'!$B$2:$BX$549,MATCH(Q$2,'Slutlig allokering kvv'!$B$1:$BX$1,0),FALSE)/1,0))</f>
        <v/>
      </c>
      <c r="R144" s="121" t="str">
        <f>IF($D144="","",IFERROR(VLOOKUP($B144,Kraftvärmeprod!$B$1:$BX$549,MATCH(R$2,Kraftvärmeprod!$B$1:$VX$1,0),FALSE)/1,0)-IFERROR(VLOOKUP($B144,'Slutlig allokering kvv'!$B$2:$BX$549,MATCH(R$2,'Slutlig allokering kvv'!$B$1:$BX$1,0),FALSE)/1,0))</f>
        <v/>
      </c>
      <c r="S144" s="121" t="str">
        <f>IF($D144="","",IFERROR(VLOOKUP($B144,Kraftvärmeprod!$B$1:$BX$549,MATCH(S$2,Kraftvärmeprod!$B$1:$VX$1,0),FALSE)/1,0)-IFERROR(VLOOKUP($B144,'Slutlig allokering kvv'!$B$2:$BX$549,MATCH(S$2,'Slutlig allokering kvv'!$B$1:$BX$1,0),FALSE)/1,0))</f>
        <v/>
      </c>
      <c r="T144" s="121" t="str">
        <f>IF($D144="","",IFERROR(VLOOKUP($B144,Kraftvärmeprod!$B$1:$BX$549,MATCH(T$2,Kraftvärmeprod!$B$1:$VX$1,0),FALSE)/1,0)-IFERROR(VLOOKUP($B144,'Slutlig allokering kvv'!$B$2:$BX$549,MATCH(T$2,'Slutlig allokering kvv'!$B$1:$BX$1,0),FALSE)/1,0))</f>
        <v/>
      </c>
      <c r="U144" s="121" t="str">
        <f>IF($D144="","",IFERROR(VLOOKUP($B144,Kraftvärmeprod!$B$1:$BX$549,MATCH(U$2,Kraftvärmeprod!$B$1:$VX$1,0),FALSE)/1,0)-IFERROR(VLOOKUP($B144,'Slutlig allokering kvv'!$B$2:$BX$549,MATCH(U$2,'Slutlig allokering kvv'!$B$1:$BX$1,0),FALSE)/1,0))</f>
        <v/>
      </c>
      <c r="V144" s="121" t="str">
        <f>IF($D144="","",IFERROR(VLOOKUP($B144,Kraftvärmeprod!$B$1:$BX$549,MATCH(V$2,Kraftvärmeprod!$B$1:$VX$1,0),FALSE)/1,0)-IFERROR(VLOOKUP($B144,'Slutlig allokering kvv'!$B$2:$BX$549,MATCH(V$2,'Slutlig allokering kvv'!$B$1:$BX$1,0),FALSE)/1,0))</f>
        <v/>
      </c>
      <c r="W144" s="121" t="str">
        <f>IF($D144="","",IFERROR(VLOOKUP($B144,Kraftvärmeprod!$B$1:$BX$549,MATCH(W$2,Kraftvärmeprod!$B$1:$VX$1,0),FALSE)/1,0)-IFERROR(VLOOKUP($B144,'Slutlig allokering kvv'!$B$2:$BX$549,MATCH(W$2,'Slutlig allokering kvv'!$B$1:$BX$1,0),FALSE)/1,0))</f>
        <v/>
      </c>
      <c r="X144" s="121" t="str">
        <f>IF($D144="","",IFERROR(VLOOKUP($B144,Kraftvärmeprod!$B$1:$BX$549,MATCH(X$2,Kraftvärmeprod!$B$1:$VX$1,0),FALSE)/1,0)-IFERROR(VLOOKUP($B144,'Slutlig allokering kvv'!$B$2:$BX$549,MATCH(X$2,'Slutlig allokering kvv'!$B$1:$BX$1,0),FALSE)/1,0))</f>
        <v/>
      </c>
      <c r="Y144" s="121" t="str">
        <f>IF($D144="","",IFERROR(VLOOKUP($B144,Kraftvärmeprod!$B$1:$BX$549,MATCH(Y$2,Kraftvärmeprod!$B$1:$VX$1,0),FALSE)/1,0)-IFERROR(VLOOKUP($B144,'Slutlig allokering kvv'!$B$2:$BX$549,MATCH(Y$2,'Slutlig allokering kvv'!$B$1:$BX$1,0),FALSE)/1,0))</f>
        <v/>
      </c>
      <c r="Z144" s="121" t="str">
        <f>IF($D144="","",IFERROR(VLOOKUP($B144,Kraftvärmeprod!$B$1:$BX$549,MATCH(Z$2,Kraftvärmeprod!$B$1:$VX$1,0),FALSE)/1,0)-IFERROR(VLOOKUP($B144,'Slutlig allokering kvv'!$B$2:$BX$549,MATCH(Z$2,'Slutlig allokering kvv'!$B$1:$BX$1,0),FALSE)/1,0))</f>
        <v/>
      </c>
      <c r="AA144" s="121" t="str">
        <f>IF($D144="","",IFERROR(VLOOKUP($B144,Kraftvärmeprod!$B$1:$BX$549,MATCH(AA$2,Kraftvärmeprod!$B$1:$VX$1,0),FALSE)/1,0)-IFERROR(VLOOKUP($B144,'Slutlig allokering kvv'!$B$2:$BX$549,MATCH(AA$2,'Slutlig allokering kvv'!$B$1:$BX$1,0),FALSE)/1,0))</f>
        <v/>
      </c>
      <c r="AB144" s="121" t="str">
        <f>IF($D144="","",IFERROR(VLOOKUP($B144,Kraftvärmeprod!$B$1:$BX$549,MATCH(AB$2,Kraftvärmeprod!$B$1:$VX$1,0),FALSE)/1,0)-IFERROR(VLOOKUP($B144,'Slutlig allokering kvv'!$B$2:$BX$549,MATCH(AB$2,'Slutlig allokering kvv'!$B$1:$BX$1,0),FALSE)/1,0))</f>
        <v/>
      </c>
      <c r="AC144" s="121" t="str">
        <f>IF($D144="","",IFERROR(VLOOKUP($B144,Kraftvärmeprod!$B$1:$BX$549,MATCH(AC$2,Kraftvärmeprod!$B$1:$VX$1,0),FALSE)/1,0)-IFERROR(VLOOKUP($B144,'Slutlig allokering kvv'!$B$2:$BX$549,MATCH(AC$2,'Slutlig allokering kvv'!$B$1:$BX$1,0),FALSE)/1,0))</f>
        <v/>
      </c>
      <c r="AD144" s="121" t="str">
        <f>IF($D144="","",IFERROR(VLOOKUP($B144,Kraftvärmeprod!$B$1:$BX$549,MATCH(AD$2,Kraftvärmeprod!$B$1:$VX$1,0),FALSE)/1,0)-IFERROR(VLOOKUP($B144,'Slutlig allokering kvv'!$B$2:$BX$549,MATCH(AD$2,'Slutlig allokering kvv'!$B$1:$BX$1,0),FALSE)/1,0))</f>
        <v/>
      </c>
      <c r="AE144" s="121" t="str">
        <f>IF($D144="","",IFERROR(VLOOKUP($B144,Miljö!$B$1:$E$550,MATCH("Hjälpel kraftvärme (GWh)",Miljö!$B$1:$E$1,0),FALSE)/1,0)-IFERROR(VLOOKUP($B144,'Slutlig allokering kvv'!$B$2:$BX$549,MATCH(AE$2,'Slutlig allokering kvv'!$B$1:$BX$1,0),FALSE)/1,0))</f>
        <v/>
      </c>
      <c r="AI144" s="121">
        <f t="shared" si="8"/>
        <v>0</v>
      </c>
      <c r="AK144" s="121">
        <f>IFERROR(VLOOKUP($B144,'Slutlig allokering kvv'!$B$2:$AX$549,MATCH("Summa slutlig allokerad tillförd energi (utan hjälpel och rökgaskondensering):",'Slutlig allokering kvv'!$B$1:$AX$1,0),FALSE)/1,"")</f>
        <v>0</v>
      </c>
      <c r="AM144" s="172" t="str">
        <f>IFERROR(1-VLOOKUP($B144,'Slutlig allokering kvv'!$B$2:$AX$549,MATCH("Andel av bränsle i kvv som allokerats till värme, exklusive rökgaskondensering och hjälpel",'Slutlig allokering kvv'!$B$1:$AX$1,0),FALSE),"")</f>
        <v/>
      </c>
      <c r="AO144" s="172" t="str">
        <f t="shared" si="9"/>
        <v/>
      </c>
      <c r="AP144" s="173" t="str">
        <f t="shared" si="10"/>
        <v/>
      </c>
      <c r="AR144" s="172" t="str">
        <f t="shared" si="11"/>
        <v/>
      </c>
    </row>
    <row r="145" spans="1:44" x14ac:dyDescent="0.25">
      <c r="A145" s="171" t="str">
        <f>'Miljövärden för publ företag'!B147</f>
        <v>Lantmännen Agrovärme AB</v>
      </c>
      <c r="B145" s="171" t="str">
        <f>'Miljövärden för publ företag'!C147</f>
        <v>Örsundsbro</v>
      </c>
      <c r="C145" s="121" t="str">
        <f>IFERROR(VLOOKUP($B145,Kraftvärmeprod!$B$1:$AH$478,MATCH(C$2,Kraftvärmeprod!$B$1:$AG$1,0),FALSE)/1,"")</f>
        <v/>
      </c>
      <c r="D145" s="121" t="str">
        <f>IFERROR(VLOOKUP($B145,Kraftvärmeprod!$B$1:$AH$478,MATCH(D$2,Kraftvärmeprod!$B$1:$AG$1,0),FALSE)/1,"")</f>
        <v/>
      </c>
      <c r="F145" s="121" t="str">
        <f>IF($D145="","",IFERROR(VLOOKUP($B145,Kraftvärmeprod!$B$1:$BX$549,MATCH(F$2,Kraftvärmeprod!$B$1:$VX$1,0),FALSE)/1,0)-IFERROR(VLOOKUP($B145,'Slutlig allokering kvv'!$B$2:$BX$549,MATCH(F$2,'Slutlig allokering kvv'!$B$1:$BX$1,0),FALSE)/1,0))</f>
        <v/>
      </c>
      <c r="G145" s="121" t="str">
        <f>IF($D145="","",IFERROR(VLOOKUP($B145,Kraftvärmeprod!$B$1:$BX$549,MATCH(G$2,Kraftvärmeprod!$B$1:$VX$1,0),FALSE)/1,0)-IFERROR(VLOOKUP($B145,'Slutlig allokering kvv'!$B$2:$BX$549,MATCH(G$2,'Slutlig allokering kvv'!$B$1:$BX$1,0),FALSE)/1,0))</f>
        <v/>
      </c>
      <c r="H145" s="121" t="str">
        <f>IF($D145="","",IFERROR(VLOOKUP($B145,Kraftvärmeprod!$B$1:$BX$549,MATCH(H$2,Kraftvärmeprod!$B$1:$VX$1,0),FALSE)/1,0)-IFERROR(VLOOKUP($B145,'Slutlig allokering kvv'!$B$2:$BX$549,MATCH(H$2,'Slutlig allokering kvv'!$B$1:$BX$1,0),FALSE)/1,0))</f>
        <v/>
      </c>
      <c r="I145" s="121" t="str">
        <f>IF($D145="","",IFERROR(VLOOKUP($B145,Kraftvärmeprod!$B$1:$BX$549,MATCH(I$2,Kraftvärmeprod!$B$1:$VX$1,0),FALSE)/1,0)-IFERROR(VLOOKUP($B145,'Slutlig allokering kvv'!$B$2:$BX$549,MATCH(I$2,'Slutlig allokering kvv'!$B$1:$BX$1,0),FALSE)/1,0))</f>
        <v/>
      </c>
      <c r="J145" s="121" t="str">
        <f>IF($D145="","",IFERROR(VLOOKUP($B145,Kraftvärmeprod!$B$1:$BX$549,MATCH(J$2,Kraftvärmeprod!$B$1:$VX$1,0),FALSE)/1,0)-IFERROR(VLOOKUP($B145,'Slutlig allokering kvv'!$B$2:$BX$549,MATCH(J$2,'Slutlig allokering kvv'!$B$1:$BX$1,0),FALSE)/1,0))</f>
        <v/>
      </c>
      <c r="K145" s="121" t="str">
        <f>IF($D145="","",IFERROR(VLOOKUP($B145,Kraftvärmeprod!$B$1:$BX$549,MATCH(K$2,Kraftvärmeprod!$B$1:$VX$1,0),FALSE)/1,0)-IFERROR(VLOOKUP($B145,'Slutlig allokering kvv'!$B$2:$BX$549,MATCH(K$2,'Slutlig allokering kvv'!$B$1:$BX$1,0),FALSE)/1,0))</f>
        <v/>
      </c>
      <c r="L145" s="121" t="str">
        <f>IF($D145="","",IFERROR(VLOOKUP($B145,Kraftvärmeprod!$B$1:$BX$549,MATCH(L$2,Kraftvärmeprod!$B$1:$VX$1,0),FALSE)/1,0)-IFERROR(VLOOKUP($B145,'Slutlig allokering kvv'!$B$2:$BX$549,MATCH(L$2,'Slutlig allokering kvv'!$B$1:$BX$1,0),FALSE)/1,0))</f>
        <v/>
      </c>
      <c r="M145" s="121" t="str">
        <f>IF($D145="","",IFERROR(VLOOKUP($B145,Kraftvärmeprod!$B$1:$BX$549,MATCH(M$2,Kraftvärmeprod!$B$1:$VX$1,0),FALSE)/1,0)-IFERROR(VLOOKUP($B145,'Slutlig allokering kvv'!$B$2:$BX$549,MATCH(M$2,'Slutlig allokering kvv'!$B$1:$BX$1,0),FALSE)/1,0))</f>
        <v/>
      </c>
      <c r="N145" s="121" t="str">
        <f>IF($D145="","",IFERROR(VLOOKUP($B145,Kraftvärmeprod!$B$1:$BX$549,MATCH(N$2,Kraftvärmeprod!$B$1:$VX$1,0),FALSE)/1,0)-IFERROR(VLOOKUP($B145,'Slutlig allokering kvv'!$B$2:$BX$549,MATCH(N$2,'Slutlig allokering kvv'!$B$1:$BX$1,0),FALSE)/1,0))</f>
        <v/>
      </c>
      <c r="O145" s="121" t="str">
        <f>IF($D145="","",IFERROR(VLOOKUP($B145,Kraftvärmeprod!$B$1:$BX$549,MATCH(O$2,Kraftvärmeprod!$B$1:$VX$1,0),FALSE)/1,0)-IFERROR(VLOOKUP($B145,'Slutlig allokering kvv'!$B$2:$BX$549,MATCH(O$2,'Slutlig allokering kvv'!$B$1:$BX$1,0),FALSE)/1,0))</f>
        <v/>
      </c>
      <c r="P145" s="121" t="str">
        <f>IF($D145="","",IFERROR(VLOOKUP($B145,Kraftvärmeprod!$B$1:$BX$549,MATCH(P$2,Kraftvärmeprod!$B$1:$VX$1,0),FALSE)/1,0)-IFERROR(VLOOKUP($B145,'Slutlig allokering kvv'!$B$2:$BX$549,MATCH(P$2,'Slutlig allokering kvv'!$B$1:$BX$1,0),FALSE)/1,0))</f>
        <v/>
      </c>
      <c r="Q145" s="121" t="str">
        <f>IF($D145="","",IFERROR(VLOOKUP($B145,Kraftvärmeprod!$B$1:$BX$549,MATCH(Q$2,Kraftvärmeprod!$B$1:$VX$1,0),FALSE)/1,0)-IFERROR(VLOOKUP($B145,'Slutlig allokering kvv'!$B$2:$BX$549,MATCH(Q$2,'Slutlig allokering kvv'!$B$1:$BX$1,0),FALSE)/1,0))</f>
        <v/>
      </c>
      <c r="R145" s="121" t="str">
        <f>IF($D145="","",IFERROR(VLOOKUP($B145,Kraftvärmeprod!$B$1:$BX$549,MATCH(R$2,Kraftvärmeprod!$B$1:$VX$1,0),FALSE)/1,0)-IFERROR(VLOOKUP($B145,'Slutlig allokering kvv'!$B$2:$BX$549,MATCH(R$2,'Slutlig allokering kvv'!$B$1:$BX$1,0),FALSE)/1,0))</f>
        <v/>
      </c>
      <c r="S145" s="121" t="str">
        <f>IF($D145="","",IFERROR(VLOOKUP($B145,Kraftvärmeprod!$B$1:$BX$549,MATCH(S$2,Kraftvärmeprod!$B$1:$VX$1,0),FALSE)/1,0)-IFERROR(VLOOKUP($B145,'Slutlig allokering kvv'!$B$2:$BX$549,MATCH(S$2,'Slutlig allokering kvv'!$B$1:$BX$1,0),FALSE)/1,0))</f>
        <v/>
      </c>
      <c r="T145" s="121" t="str">
        <f>IF($D145="","",IFERROR(VLOOKUP($B145,Kraftvärmeprod!$B$1:$BX$549,MATCH(T$2,Kraftvärmeprod!$B$1:$VX$1,0),FALSE)/1,0)-IFERROR(VLOOKUP($B145,'Slutlig allokering kvv'!$B$2:$BX$549,MATCH(T$2,'Slutlig allokering kvv'!$B$1:$BX$1,0),FALSE)/1,0))</f>
        <v/>
      </c>
      <c r="U145" s="121" t="str">
        <f>IF($D145="","",IFERROR(VLOOKUP($B145,Kraftvärmeprod!$B$1:$BX$549,MATCH(U$2,Kraftvärmeprod!$B$1:$VX$1,0),FALSE)/1,0)-IFERROR(VLOOKUP($B145,'Slutlig allokering kvv'!$B$2:$BX$549,MATCH(U$2,'Slutlig allokering kvv'!$B$1:$BX$1,0),FALSE)/1,0))</f>
        <v/>
      </c>
      <c r="V145" s="121" t="str">
        <f>IF($D145="","",IFERROR(VLOOKUP($B145,Kraftvärmeprod!$B$1:$BX$549,MATCH(V$2,Kraftvärmeprod!$B$1:$VX$1,0),FALSE)/1,0)-IFERROR(VLOOKUP($B145,'Slutlig allokering kvv'!$B$2:$BX$549,MATCH(V$2,'Slutlig allokering kvv'!$B$1:$BX$1,0),FALSE)/1,0))</f>
        <v/>
      </c>
      <c r="W145" s="121" t="str">
        <f>IF($D145="","",IFERROR(VLOOKUP($B145,Kraftvärmeprod!$B$1:$BX$549,MATCH(W$2,Kraftvärmeprod!$B$1:$VX$1,0),FALSE)/1,0)-IFERROR(VLOOKUP($B145,'Slutlig allokering kvv'!$B$2:$BX$549,MATCH(W$2,'Slutlig allokering kvv'!$B$1:$BX$1,0),FALSE)/1,0))</f>
        <v/>
      </c>
      <c r="X145" s="121" t="str">
        <f>IF($D145="","",IFERROR(VLOOKUP($B145,Kraftvärmeprod!$B$1:$BX$549,MATCH(X$2,Kraftvärmeprod!$B$1:$VX$1,0),FALSE)/1,0)-IFERROR(VLOOKUP($B145,'Slutlig allokering kvv'!$B$2:$BX$549,MATCH(X$2,'Slutlig allokering kvv'!$B$1:$BX$1,0),FALSE)/1,0))</f>
        <v/>
      </c>
      <c r="Y145" s="121" t="str">
        <f>IF($D145="","",IFERROR(VLOOKUP($B145,Kraftvärmeprod!$B$1:$BX$549,MATCH(Y$2,Kraftvärmeprod!$B$1:$VX$1,0),FALSE)/1,0)-IFERROR(VLOOKUP($B145,'Slutlig allokering kvv'!$B$2:$BX$549,MATCH(Y$2,'Slutlig allokering kvv'!$B$1:$BX$1,0),FALSE)/1,0))</f>
        <v/>
      </c>
      <c r="Z145" s="121" t="str">
        <f>IF($D145="","",IFERROR(VLOOKUP($B145,Kraftvärmeprod!$B$1:$BX$549,MATCH(Z$2,Kraftvärmeprod!$B$1:$VX$1,0),FALSE)/1,0)-IFERROR(VLOOKUP($B145,'Slutlig allokering kvv'!$B$2:$BX$549,MATCH(Z$2,'Slutlig allokering kvv'!$B$1:$BX$1,0),FALSE)/1,0))</f>
        <v/>
      </c>
      <c r="AA145" s="121" t="str">
        <f>IF($D145="","",IFERROR(VLOOKUP($B145,Kraftvärmeprod!$B$1:$BX$549,MATCH(AA$2,Kraftvärmeprod!$B$1:$VX$1,0),FALSE)/1,0)-IFERROR(VLOOKUP($B145,'Slutlig allokering kvv'!$B$2:$BX$549,MATCH(AA$2,'Slutlig allokering kvv'!$B$1:$BX$1,0),FALSE)/1,0))</f>
        <v/>
      </c>
      <c r="AB145" s="121" t="str">
        <f>IF($D145="","",IFERROR(VLOOKUP($B145,Kraftvärmeprod!$B$1:$BX$549,MATCH(AB$2,Kraftvärmeprod!$B$1:$VX$1,0),FALSE)/1,0)-IFERROR(VLOOKUP($B145,'Slutlig allokering kvv'!$B$2:$BX$549,MATCH(AB$2,'Slutlig allokering kvv'!$B$1:$BX$1,0),FALSE)/1,0))</f>
        <v/>
      </c>
      <c r="AC145" s="121" t="str">
        <f>IF($D145="","",IFERROR(VLOOKUP($B145,Kraftvärmeprod!$B$1:$BX$549,MATCH(AC$2,Kraftvärmeprod!$B$1:$VX$1,0),FALSE)/1,0)-IFERROR(VLOOKUP($B145,'Slutlig allokering kvv'!$B$2:$BX$549,MATCH(AC$2,'Slutlig allokering kvv'!$B$1:$BX$1,0),FALSE)/1,0))</f>
        <v/>
      </c>
      <c r="AD145" s="121" t="str">
        <f>IF($D145="","",IFERROR(VLOOKUP($B145,Kraftvärmeprod!$B$1:$BX$549,MATCH(AD$2,Kraftvärmeprod!$B$1:$VX$1,0),FALSE)/1,0)-IFERROR(VLOOKUP($B145,'Slutlig allokering kvv'!$B$2:$BX$549,MATCH(AD$2,'Slutlig allokering kvv'!$B$1:$BX$1,0),FALSE)/1,0))</f>
        <v/>
      </c>
      <c r="AE145" s="121" t="str">
        <f>IF($D145="","",IFERROR(VLOOKUP($B145,Miljö!$B$1:$E$550,MATCH("Hjälpel kraftvärme (GWh)",Miljö!$B$1:$E$1,0),FALSE)/1,0)-IFERROR(VLOOKUP($B145,'Slutlig allokering kvv'!$B$2:$BX$549,MATCH(AE$2,'Slutlig allokering kvv'!$B$1:$BX$1,0),FALSE)/1,0))</f>
        <v/>
      </c>
      <c r="AI145" s="121">
        <f t="shared" si="8"/>
        <v>0</v>
      </c>
      <c r="AK145" s="121">
        <f>IFERROR(VLOOKUP($B145,'Slutlig allokering kvv'!$B$2:$AX$549,MATCH("Summa slutlig allokerad tillförd energi (utan hjälpel och rökgaskondensering):",'Slutlig allokering kvv'!$B$1:$AX$1,0),FALSE)/1,"")</f>
        <v>0</v>
      </c>
      <c r="AM145" s="172" t="str">
        <f>IFERROR(1-VLOOKUP($B145,'Slutlig allokering kvv'!$B$2:$AX$549,MATCH("Andel av bränsle i kvv som allokerats till värme, exklusive rökgaskondensering och hjälpel",'Slutlig allokering kvv'!$B$1:$AX$1,0),FALSE),"")</f>
        <v/>
      </c>
      <c r="AO145" s="172" t="str">
        <f t="shared" si="9"/>
        <v/>
      </c>
      <c r="AP145" s="173" t="str">
        <f t="shared" si="10"/>
        <v/>
      </c>
      <c r="AR145" s="172" t="str">
        <f t="shared" si="11"/>
        <v/>
      </c>
    </row>
    <row r="146" spans="1:44" x14ac:dyDescent="0.25">
      <c r="A146" s="171" t="str">
        <f>'Miljövärden för publ företag'!B148</f>
        <v>Laxå Värme AB</v>
      </c>
      <c r="B146" s="171" t="str">
        <f>'Miljövärden för publ företag'!C148</f>
        <v>Laxå</v>
      </c>
      <c r="C146" s="121" t="str">
        <f>IFERROR(VLOOKUP($B146,Kraftvärmeprod!$B$1:$AH$478,MATCH(C$2,Kraftvärmeprod!$B$1:$AG$1,0),FALSE)/1,"")</f>
        <v/>
      </c>
      <c r="D146" s="121" t="str">
        <f>IFERROR(VLOOKUP($B146,Kraftvärmeprod!$B$1:$AH$478,MATCH(D$2,Kraftvärmeprod!$B$1:$AG$1,0),FALSE)/1,"")</f>
        <v/>
      </c>
      <c r="F146" s="121" t="str">
        <f>IF($D146="","",IFERROR(VLOOKUP($B146,Kraftvärmeprod!$B$1:$BX$549,MATCH(F$2,Kraftvärmeprod!$B$1:$VX$1,0),FALSE)/1,0)-IFERROR(VLOOKUP($B146,'Slutlig allokering kvv'!$B$2:$BX$549,MATCH(F$2,'Slutlig allokering kvv'!$B$1:$BX$1,0),FALSE)/1,0))</f>
        <v/>
      </c>
      <c r="G146" s="121" t="str">
        <f>IF($D146="","",IFERROR(VLOOKUP($B146,Kraftvärmeprod!$B$1:$BX$549,MATCH(G$2,Kraftvärmeprod!$B$1:$VX$1,0),FALSE)/1,0)-IFERROR(VLOOKUP($B146,'Slutlig allokering kvv'!$B$2:$BX$549,MATCH(G$2,'Slutlig allokering kvv'!$B$1:$BX$1,0),FALSE)/1,0))</f>
        <v/>
      </c>
      <c r="H146" s="121" t="str">
        <f>IF($D146="","",IFERROR(VLOOKUP($B146,Kraftvärmeprod!$B$1:$BX$549,MATCH(H$2,Kraftvärmeprod!$B$1:$VX$1,0),FALSE)/1,0)-IFERROR(VLOOKUP($B146,'Slutlig allokering kvv'!$B$2:$BX$549,MATCH(H$2,'Slutlig allokering kvv'!$B$1:$BX$1,0),FALSE)/1,0))</f>
        <v/>
      </c>
      <c r="I146" s="121" t="str">
        <f>IF($D146="","",IFERROR(VLOOKUP($B146,Kraftvärmeprod!$B$1:$BX$549,MATCH(I$2,Kraftvärmeprod!$B$1:$VX$1,0),FALSE)/1,0)-IFERROR(VLOOKUP($B146,'Slutlig allokering kvv'!$B$2:$BX$549,MATCH(I$2,'Slutlig allokering kvv'!$B$1:$BX$1,0),FALSE)/1,0))</f>
        <v/>
      </c>
      <c r="J146" s="121" t="str">
        <f>IF($D146="","",IFERROR(VLOOKUP($B146,Kraftvärmeprod!$B$1:$BX$549,MATCH(J$2,Kraftvärmeprod!$B$1:$VX$1,0),FALSE)/1,0)-IFERROR(VLOOKUP($B146,'Slutlig allokering kvv'!$B$2:$BX$549,MATCH(J$2,'Slutlig allokering kvv'!$B$1:$BX$1,0),FALSE)/1,0))</f>
        <v/>
      </c>
      <c r="K146" s="121" t="str">
        <f>IF($D146="","",IFERROR(VLOOKUP($B146,Kraftvärmeprod!$B$1:$BX$549,MATCH(K$2,Kraftvärmeprod!$B$1:$VX$1,0),FALSE)/1,0)-IFERROR(VLOOKUP($B146,'Slutlig allokering kvv'!$B$2:$BX$549,MATCH(K$2,'Slutlig allokering kvv'!$B$1:$BX$1,0),FALSE)/1,0))</f>
        <v/>
      </c>
      <c r="L146" s="121" t="str">
        <f>IF($D146="","",IFERROR(VLOOKUP($B146,Kraftvärmeprod!$B$1:$BX$549,MATCH(L$2,Kraftvärmeprod!$B$1:$VX$1,0),FALSE)/1,0)-IFERROR(VLOOKUP($B146,'Slutlig allokering kvv'!$B$2:$BX$549,MATCH(L$2,'Slutlig allokering kvv'!$B$1:$BX$1,0),FALSE)/1,0))</f>
        <v/>
      </c>
      <c r="M146" s="121" t="str">
        <f>IF($D146="","",IFERROR(VLOOKUP($B146,Kraftvärmeprod!$B$1:$BX$549,MATCH(M$2,Kraftvärmeprod!$B$1:$VX$1,0),FALSE)/1,0)-IFERROR(VLOOKUP($B146,'Slutlig allokering kvv'!$B$2:$BX$549,MATCH(M$2,'Slutlig allokering kvv'!$B$1:$BX$1,0),FALSE)/1,0))</f>
        <v/>
      </c>
      <c r="N146" s="121" t="str">
        <f>IF($D146="","",IFERROR(VLOOKUP($B146,Kraftvärmeprod!$B$1:$BX$549,MATCH(N$2,Kraftvärmeprod!$B$1:$VX$1,0),FALSE)/1,0)-IFERROR(VLOOKUP($B146,'Slutlig allokering kvv'!$B$2:$BX$549,MATCH(N$2,'Slutlig allokering kvv'!$B$1:$BX$1,0),FALSE)/1,0))</f>
        <v/>
      </c>
      <c r="O146" s="121" t="str">
        <f>IF($D146="","",IFERROR(VLOOKUP($B146,Kraftvärmeprod!$B$1:$BX$549,MATCH(O$2,Kraftvärmeprod!$B$1:$VX$1,0),FALSE)/1,0)-IFERROR(VLOOKUP($B146,'Slutlig allokering kvv'!$B$2:$BX$549,MATCH(O$2,'Slutlig allokering kvv'!$B$1:$BX$1,0),FALSE)/1,0))</f>
        <v/>
      </c>
      <c r="P146" s="121" t="str">
        <f>IF($D146="","",IFERROR(VLOOKUP($B146,Kraftvärmeprod!$B$1:$BX$549,MATCH(P$2,Kraftvärmeprod!$B$1:$VX$1,0),FALSE)/1,0)-IFERROR(VLOOKUP($B146,'Slutlig allokering kvv'!$B$2:$BX$549,MATCH(P$2,'Slutlig allokering kvv'!$B$1:$BX$1,0),FALSE)/1,0))</f>
        <v/>
      </c>
      <c r="Q146" s="121" t="str">
        <f>IF($D146="","",IFERROR(VLOOKUP($B146,Kraftvärmeprod!$B$1:$BX$549,MATCH(Q$2,Kraftvärmeprod!$B$1:$VX$1,0),FALSE)/1,0)-IFERROR(VLOOKUP($B146,'Slutlig allokering kvv'!$B$2:$BX$549,MATCH(Q$2,'Slutlig allokering kvv'!$B$1:$BX$1,0),FALSE)/1,0))</f>
        <v/>
      </c>
      <c r="R146" s="121" t="str">
        <f>IF($D146="","",IFERROR(VLOOKUP($B146,Kraftvärmeprod!$B$1:$BX$549,MATCH(R$2,Kraftvärmeprod!$B$1:$VX$1,0),FALSE)/1,0)-IFERROR(VLOOKUP($B146,'Slutlig allokering kvv'!$B$2:$BX$549,MATCH(R$2,'Slutlig allokering kvv'!$B$1:$BX$1,0),FALSE)/1,0))</f>
        <v/>
      </c>
      <c r="S146" s="121" t="str">
        <f>IF($D146="","",IFERROR(VLOOKUP($B146,Kraftvärmeprod!$B$1:$BX$549,MATCH(S$2,Kraftvärmeprod!$B$1:$VX$1,0),FALSE)/1,0)-IFERROR(VLOOKUP($B146,'Slutlig allokering kvv'!$B$2:$BX$549,MATCH(S$2,'Slutlig allokering kvv'!$B$1:$BX$1,0),FALSE)/1,0))</f>
        <v/>
      </c>
      <c r="T146" s="121" t="str">
        <f>IF($D146="","",IFERROR(VLOOKUP($B146,Kraftvärmeprod!$B$1:$BX$549,MATCH(T$2,Kraftvärmeprod!$B$1:$VX$1,0),FALSE)/1,0)-IFERROR(VLOOKUP($B146,'Slutlig allokering kvv'!$B$2:$BX$549,MATCH(T$2,'Slutlig allokering kvv'!$B$1:$BX$1,0),FALSE)/1,0))</f>
        <v/>
      </c>
      <c r="U146" s="121" t="str">
        <f>IF($D146="","",IFERROR(VLOOKUP($B146,Kraftvärmeprod!$B$1:$BX$549,MATCH(U$2,Kraftvärmeprod!$B$1:$VX$1,0),FALSE)/1,0)-IFERROR(VLOOKUP($B146,'Slutlig allokering kvv'!$B$2:$BX$549,MATCH(U$2,'Slutlig allokering kvv'!$B$1:$BX$1,0),FALSE)/1,0))</f>
        <v/>
      </c>
      <c r="V146" s="121" t="str">
        <f>IF($D146="","",IFERROR(VLOOKUP($B146,Kraftvärmeprod!$B$1:$BX$549,MATCH(V$2,Kraftvärmeprod!$B$1:$VX$1,0),FALSE)/1,0)-IFERROR(VLOOKUP($B146,'Slutlig allokering kvv'!$B$2:$BX$549,MATCH(V$2,'Slutlig allokering kvv'!$B$1:$BX$1,0),FALSE)/1,0))</f>
        <v/>
      </c>
      <c r="W146" s="121" t="str">
        <f>IF($D146="","",IFERROR(VLOOKUP($B146,Kraftvärmeprod!$B$1:$BX$549,MATCH(W$2,Kraftvärmeprod!$B$1:$VX$1,0),FALSE)/1,0)-IFERROR(VLOOKUP($B146,'Slutlig allokering kvv'!$B$2:$BX$549,MATCH(W$2,'Slutlig allokering kvv'!$B$1:$BX$1,0),FALSE)/1,0))</f>
        <v/>
      </c>
      <c r="X146" s="121" t="str">
        <f>IF($D146="","",IFERROR(VLOOKUP($B146,Kraftvärmeprod!$B$1:$BX$549,MATCH(X$2,Kraftvärmeprod!$B$1:$VX$1,0),FALSE)/1,0)-IFERROR(VLOOKUP($B146,'Slutlig allokering kvv'!$B$2:$BX$549,MATCH(X$2,'Slutlig allokering kvv'!$B$1:$BX$1,0),FALSE)/1,0))</f>
        <v/>
      </c>
      <c r="Y146" s="121" t="str">
        <f>IF($D146="","",IFERROR(VLOOKUP($B146,Kraftvärmeprod!$B$1:$BX$549,MATCH(Y$2,Kraftvärmeprod!$B$1:$VX$1,0),FALSE)/1,0)-IFERROR(VLOOKUP($B146,'Slutlig allokering kvv'!$B$2:$BX$549,MATCH(Y$2,'Slutlig allokering kvv'!$B$1:$BX$1,0),FALSE)/1,0))</f>
        <v/>
      </c>
      <c r="Z146" s="121" t="str">
        <f>IF($D146="","",IFERROR(VLOOKUP($B146,Kraftvärmeprod!$B$1:$BX$549,MATCH(Z$2,Kraftvärmeprod!$B$1:$VX$1,0),FALSE)/1,0)-IFERROR(VLOOKUP($B146,'Slutlig allokering kvv'!$B$2:$BX$549,MATCH(Z$2,'Slutlig allokering kvv'!$B$1:$BX$1,0),FALSE)/1,0))</f>
        <v/>
      </c>
      <c r="AA146" s="121" t="str">
        <f>IF($D146="","",IFERROR(VLOOKUP($B146,Kraftvärmeprod!$B$1:$BX$549,MATCH(AA$2,Kraftvärmeprod!$B$1:$VX$1,0),FALSE)/1,0)-IFERROR(VLOOKUP($B146,'Slutlig allokering kvv'!$B$2:$BX$549,MATCH(AA$2,'Slutlig allokering kvv'!$B$1:$BX$1,0),FALSE)/1,0))</f>
        <v/>
      </c>
      <c r="AB146" s="121" t="str">
        <f>IF($D146="","",IFERROR(VLOOKUP($B146,Kraftvärmeprod!$B$1:$BX$549,MATCH(AB$2,Kraftvärmeprod!$B$1:$VX$1,0),FALSE)/1,0)-IFERROR(VLOOKUP($B146,'Slutlig allokering kvv'!$B$2:$BX$549,MATCH(AB$2,'Slutlig allokering kvv'!$B$1:$BX$1,0),FALSE)/1,0))</f>
        <v/>
      </c>
      <c r="AC146" s="121" t="str">
        <f>IF($D146="","",IFERROR(VLOOKUP($B146,Kraftvärmeprod!$B$1:$BX$549,MATCH(AC$2,Kraftvärmeprod!$B$1:$VX$1,0),FALSE)/1,0)-IFERROR(VLOOKUP($B146,'Slutlig allokering kvv'!$B$2:$BX$549,MATCH(AC$2,'Slutlig allokering kvv'!$B$1:$BX$1,0),FALSE)/1,0))</f>
        <v/>
      </c>
      <c r="AD146" s="121" t="str">
        <f>IF($D146="","",IFERROR(VLOOKUP($B146,Kraftvärmeprod!$B$1:$BX$549,MATCH(AD$2,Kraftvärmeprod!$B$1:$VX$1,0),FALSE)/1,0)-IFERROR(VLOOKUP($B146,'Slutlig allokering kvv'!$B$2:$BX$549,MATCH(AD$2,'Slutlig allokering kvv'!$B$1:$BX$1,0),FALSE)/1,0))</f>
        <v/>
      </c>
      <c r="AE146" s="121" t="str">
        <f>IF($D146="","",IFERROR(VLOOKUP($B146,Miljö!$B$1:$E$550,MATCH("Hjälpel kraftvärme (GWh)",Miljö!$B$1:$E$1,0),FALSE)/1,0)-IFERROR(VLOOKUP($B146,'Slutlig allokering kvv'!$B$2:$BX$549,MATCH(AE$2,'Slutlig allokering kvv'!$B$1:$BX$1,0),FALSE)/1,0))</f>
        <v/>
      </c>
      <c r="AI146" s="121">
        <f t="shared" si="8"/>
        <v>0</v>
      </c>
      <c r="AK146" s="121">
        <f>IFERROR(VLOOKUP($B146,'Slutlig allokering kvv'!$B$2:$AX$549,MATCH("Summa slutlig allokerad tillförd energi (utan hjälpel och rökgaskondensering):",'Slutlig allokering kvv'!$B$1:$AX$1,0),FALSE)/1,"")</f>
        <v>0</v>
      </c>
      <c r="AM146" s="172" t="str">
        <f>IFERROR(1-VLOOKUP($B146,'Slutlig allokering kvv'!$B$2:$AX$549,MATCH("Andel av bränsle i kvv som allokerats till värme, exklusive rökgaskondensering och hjälpel",'Slutlig allokering kvv'!$B$1:$AX$1,0),FALSE),"")</f>
        <v/>
      </c>
      <c r="AO146" s="172" t="str">
        <f t="shared" si="9"/>
        <v/>
      </c>
      <c r="AP146" s="173" t="str">
        <f t="shared" si="10"/>
        <v/>
      </c>
      <c r="AR146" s="172" t="str">
        <f t="shared" si="11"/>
        <v/>
      </c>
    </row>
    <row r="147" spans="1:44" x14ac:dyDescent="0.25">
      <c r="A147" s="171" t="str">
        <f>'Miljövärden för publ företag'!B149</f>
        <v>Lerum Fjärrvärme AB</v>
      </c>
      <c r="B147" s="171" t="str">
        <f>'Miljövärden för publ företag'!C149</f>
        <v>Floda</v>
      </c>
      <c r="C147" s="121" t="str">
        <f>IFERROR(VLOOKUP($B147,Kraftvärmeprod!$B$1:$AH$478,MATCH(C$2,Kraftvärmeprod!$B$1:$AG$1,0),FALSE)/1,"")</f>
        <v/>
      </c>
      <c r="D147" s="121" t="str">
        <f>IFERROR(VLOOKUP($B147,Kraftvärmeprod!$B$1:$AH$478,MATCH(D$2,Kraftvärmeprod!$B$1:$AG$1,0),FALSE)/1,"")</f>
        <v/>
      </c>
      <c r="F147" s="121" t="str">
        <f>IF($D147="","",IFERROR(VLOOKUP($B147,Kraftvärmeprod!$B$1:$BX$549,MATCH(F$2,Kraftvärmeprod!$B$1:$VX$1,0),FALSE)/1,0)-IFERROR(VLOOKUP($B147,'Slutlig allokering kvv'!$B$2:$BX$549,MATCH(F$2,'Slutlig allokering kvv'!$B$1:$BX$1,0),FALSE)/1,0))</f>
        <v/>
      </c>
      <c r="G147" s="121" t="str">
        <f>IF($D147="","",IFERROR(VLOOKUP($B147,Kraftvärmeprod!$B$1:$BX$549,MATCH(G$2,Kraftvärmeprod!$B$1:$VX$1,0),FALSE)/1,0)-IFERROR(VLOOKUP($B147,'Slutlig allokering kvv'!$B$2:$BX$549,MATCH(G$2,'Slutlig allokering kvv'!$B$1:$BX$1,0),FALSE)/1,0))</f>
        <v/>
      </c>
      <c r="H147" s="121" t="str">
        <f>IF($D147="","",IFERROR(VLOOKUP($B147,Kraftvärmeprod!$B$1:$BX$549,MATCH(H$2,Kraftvärmeprod!$B$1:$VX$1,0),FALSE)/1,0)-IFERROR(VLOOKUP($B147,'Slutlig allokering kvv'!$B$2:$BX$549,MATCH(H$2,'Slutlig allokering kvv'!$B$1:$BX$1,0),FALSE)/1,0))</f>
        <v/>
      </c>
      <c r="I147" s="121" t="str">
        <f>IF($D147="","",IFERROR(VLOOKUP($B147,Kraftvärmeprod!$B$1:$BX$549,MATCH(I$2,Kraftvärmeprod!$B$1:$VX$1,0),FALSE)/1,0)-IFERROR(VLOOKUP($B147,'Slutlig allokering kvv'!$B$2:$BX$549,MATCH(I$2,'Slutlig allokering kvv'!$B$1:$BX$1,0),FALSE)/1,0))</f>
        <v/>
      </c>
      <c r="J147" s="121" t="str">
        <f>IF($D147="","",IFERROR(VLOOKUP($B147,Kraftvärmeprod!$B$1:$BX$549,MATCH(J$2,Kraftvärmeprod!$B$1:$VX$1,0),FALSE)/1,0)-IFERROR(VLOOKUP($B147,'Slutlig allokering kvv'!$B$2:$BX$549,MATCH(J$2,'Slutlig allokering kvv'!$B$1:$BX$1,0),FALSE)/1,0))</f>
        <v/>
      </c>
      <c r="K147" s="121" t="str">
        <f>IF($D147="","",IFERROR(VLOOKUP($B147,Kraftvärmeprod!$B$1:$BX$549,MATCH(K$2,Kraftvärmeprod!$B$1:$VX$1,0),FALSE)/1,0)-IFERROR(VLOOKUP($B147,'Slutlig allokering kvv'!$B$2:$BX$549,MATCH(K$2,'Slutlig allokering kvv'!$B$1:$BX$1,0),FALSE)/1,0))</f>
        <v/>
      </c>
      <c r="L147" s="121" t="str">
        <f>IF($D147="","",IFERROR(VLOOKUP($B147,Kraftvärmeprod!$B$1:$BX$549,MATCH(L$2,Kraftvärmeprod!$B$1:$VX$1,0),FALSE)/1,0)-IFERROR(VLOOKUP($B147,'Slutlig allokering kvv'!$B$2:$BX$549,MATCH(L$2,'Slutlig allokering kvv'!$B$1:$BX$1,0),FALSE)/1,0))</f>
        <v/>
      </c>
      <c r="M147" s="121" t="str">
        <f>IF($D147="","",IFERROR(VLOOKUP($B147,Kraftvärmeprod!$B$1:$BX$549,MATCH(M$2,Kraftvärmeprod!$B$1:$VX$1,0),FALSE)/1,0)-IFERROR(VLOOKUP($B147,'Slutlig allokering kvv'!$B$2:$BX$549,MATCH(M$2,'Slutlig allokering kvv'!$B$1:$BX$1,0),FALSE)/1,0))</f>
        <v/>
      </c>
      <c r="N147" s="121" t="str">
        <f>IF($D147="","",IFERROR(VLOOKUP($B147,Kraftvärmeprod!$B$1:$BX$549,MATCH(N$2,Kraftvärmeprod!$B$1:$VX$1,0),FALSE)/1,0)-IFERROR(VLOOKUP($B147,'Slutlig allokering kvv'!$B$2:$BX$549,MATCH(N$2,'Slutlig allokering kvv'!$B$1:$BX$1,0),FALSE)/1,0))</f>
        <v/>
      </c>
      <c r="O147" s="121" t="str">
        <f>IF($D147="","",IFERROR(VLOOKUP($B147,Kraftvärmeprod!$B$1:$BX$549,MATCH(O$2,Kraftvärmeprod!$B$1:$VX$1,0),FALSE)/1,0)-IFERROR(VLOOKUP($B147,'Slutlig allokering kvv'!$B$2:$BX$549,MATCH(O$2,'Slutlig allokering kvv'!$B$1:$BX$1,0),FALSE)/1,0))</f>
        <v/>
      </c>
      <c r="P147" s="121" t="str">
        <f>IF($D147="","",IFERROR(VLOOKUP($B147,Kraftvärmeprod!$B$1:$BX$549,MATCH(P$2,Kraftvärmeprod!$B$1:$VX$1,0),FALSE)/1,0)-IFERROR(VLOOKUP($B147,'Slutlig allokering kvv'!$B$2:$BX$549,MATCH(P$2,'Slutlig allokering kvv'!$B$1:$BX$1,0),FALSE)/1,0))</f>
        <v/>
      </c>
      <c r="Q147" s="121" t="str">
        <f>IF($D147="","",IFERROR(VLOOKUP($B147,Kraftvärmeprod!$B$1:$BX$549,MATCH(Q$2,Kraftvärmeprod!$B$1:$VX$1,0),FALSE)/1,0)-IFERROR(VLOOKUP($B147,'Slutlig allokering kvv'!$B$2:$BX$549,MATCH(Q$2,'Slutlig allokering kvv'!$B$1:$BX$1,0),FALSE)/1,0))</f>
        <v/>
      </c>
      <c r="R147" s="121" t="str">
        <f>IF($D147="","",IFERROR(VLOOKUP($B147,Kraftvärmeprod!$B$1:$BX$549,MATCH(R$2,Kraftvärmeprod!$B$1:$VX$1,0),FALSE)/1,0)-IFERROR(VLOOKUP($B147,'Slutlig allokering kvv'!$B$2:$BX$549,MATCH(R$2,'Slutlig allokering kvv'!$B$1:$BX$1,0),FALSE)/1,0))</f>
        <v/>
      </c>
      <c r="S147" s="121" t="str">
        <f>IF($D147="","",IFERROR(VLOOKUP($B147,Kraftvärmeprod!$B$1:$BX$549,MATCH(S$2,Kraftvärmeprod!$B$1:$VX$1,0),FALSE)/1,0)-IFERROR(VLOOKUP($B147,'Slutlig allokering kvv'!$B$2:$BX$549,MATCH(S$2,'Slutlig allokering kvv'!$B$1:$BX$1,0),FALSE)/1,0))</f>
        <v/>
      </c>
      <c r="T147" s="121" t="str">
        <f>IF($D147="","",IFERROR(VLOOKUP($B147,Kraftvärmeprod!$B$1:$BX$549,MATCH(T$2,Kraftvärmeprod!$B$1:$VX$1,0),FALSE)/1,0)-IFERROR(VLOOKUP($B147,'Slutlig allokering kvv'!$B$2:$BX$549,MATCH(T$2,'Slutlig allokering kvv'!$B$1:$BX$1,0),FALSE)/1,0))</f>
        <v/>
      </c>
      <c r="U147" s="121" t="str">
        <f>IF($D147="","",IFERROR(VLOOKUP($B147,Kraftvärmeprod!$B$1:$BX$549,MATCH(U$2,Kraftvärmeprod!$B$1:$VX$1,0),FALSE)/1,0)-IFERROR(VLOOKUP($B147,'Slutlig allokering kvv'!$B$2:$BX$549,MATCH(U$2,'Slutlig allokering kvv'!$B$1:$BX$1,0),FALSE)/1,0))</f>
        <v/>
      </c>
      <c r="V147" s="121" t="str">
        <f>IF($D147="","",IFERROR(VLOOKUP($B147,Kraftvärmeprod!$B$1:$BX$549,MATCH(V$2,Kraftvärmeprod!$B$1:$VX$1,0),FALSE)/1,0)-IFERROR(VLOOKUP($B147,'Slutlig allokering kvv'!$B$2:$BX$549,MATCH(V$2,'Slutlig allokering kvv'!$B$1:$BX$1,0),FALSE)/1,0))</f>
        <v/>
      </c>
      <c r="W147" s="121" t="str">
        <f>IF($D147="","",IFERROR(VLOOKUP($B147,Kraftvärmeprod!$B$1:$BX$549,MATCH(W$2,Kraftvärmeprod!$B$1:$VX$1,0),FALSE)/1,0)-IFERROR(VLOOKUP($B147,'Slutlig allokering kvv'!$B$2:$BX$549,MATCH(W$2,'Slutlig allokering kvv'!$B$1:$BX$1,0),FALSE)/1,0))</f>
        <v/>
      </c>
      <c r="X147" s="121" t="str">
        <f>IF($D147="","",IFERROR(VLOOKUP($B147,Kraftvärmeprod!$B$1:$BX$549,MATCH(X$2,Kraftvärmeprod!$B$1:$VX$1,0),FALSE)/1,0)-IFERROR(VLOOKUP($B147,'Slutlig allokering kvv'!$B$2:$BX$549,MATCH(X$2,'Slutlig allokering kvv'!$B$1:$BX$1,0),FALSE)/1,0))</f>
        <v/>
      </c>
      <c r="Y147" s="121" t="str">
        <f>IF($D147="","",IFERROR(VLOOKUP($B147,Kraftvärmeprod!$B$1:$BX$549,MATCH(Y$2,Kraftvärmeprod!$B$1:$VX$1,0),FALSE)/1,0)-IFERROR(VLOOKUP($B147,'Slutlig allokering kvv'!$B$2:$BX$549,MATCH(Y$2,'Slutlig allokering kvv'!$B$1:$BX$1,0),FALSE)/1,0))</f>
        <v/>
      </c>
      <c r="Z147" s="121" t="str">
        <f>IF($D147="","",IFERROR(VLOOKUP($B147,Kraftvärmeprod!$B$1:$BX$549,MATCH(Z$2,Kraftvärmeprod!$B$1:$VX$1,0),FALSE)/1,0)-IFERROR(VLOOKUP($B147,'Slutlig allokering kvv'!$B$2:$BX$549,MATCH(Z$2,'Slutlig allokering kvv'!$B$1:$BX$1,0),FALSE)/1,0))</f>
        <v/>
      </c>
      <c r="AA147" s="121" t="str">
        <f>IF($D147="","",IFERROR(VLOOKUP($B147,Kraftvärmeprod!$B$1:$BX$549,MATCH(AA$2,Kraftvärmeprod!$B$1:$VX$1,0),FALSE)/1,0)-IFERROR(VLOOKUP($B147,'Slutlig allokering kvv'!$B$2:$BX$549,MATCH(AA$2,'Slutlig allokering kvv'!$B$1:$BX$1,0),FALSE)/1,0))</f>
        <v/>
      </c>
      <c r="AB147" s="121" t="str">
        <f>IF($D147="","",IFERROR(VLOOKUP($B147,Kraftvärmeprod!$B$1:$BX$549,MATCH(AB$2,Kraftvärmeprod!$B$1:$VX$1,0),FALSE)/1,0)-IFERROR(VLOOKUP($B147,'Slutlig allokering kvv'!$B$2:$BX$549,MATCH(AB$2,'Slutlig allokering kvv'!$B$1:$BX$1,0),FALSE)/1,0))</f>
        <v/>
      </c>
      <c r="AC147" s="121" t="str">
        <f>IF($D147="","",IFERROR(VLOOKUP($B147,Kraftvärmeprod!$B$1:$BX$549,MATCH(AC$2,Kraftvärmeprod!$B$1:$VX$1,0),FALSE)/1,0)-IFERROR(VLOOKUP($B147,'Slutlig allokering kvv'!$B$2:$BX$549,MATCH(AC$2,'Slutlig allokering kvv'!$B$1:$BX$1,0),FALSE)/1,0))</f>
        <v/>
      </c>
      <c r="AD147" s="121" t="str">
        <f>IF($D147="","",IFERROR(VLOOKUP($B147,Kraftvärmeprod!$B$1:$BX$549,MATCH(AD$2,Kraftvärmeprod!$B$1:$VX$1,0),FALSE)/1,0)-IFERROR(VLOOKUP($B147,'Slutlig allokering kvv'!$B$2:$BX$549,MATCH(AD$2,'Slutlig allokering kvv'!$B$1:$BX$1,0),FALSE)/1,0))</f>
        <v/>
      </c>
      <c r="AE147" s="121" t="str">
        <f>IF($D147="","",IFERROR(VLOOKUP($B147,Miljö!$B$1:$E$550,MATCH("Hjälpel kraftvärme (GWh)",Miljö!$B$1:$E$1,0),FALSE)/1,0)-IFERROR(VLOOKUP($B147,'Slutlig allokering kvv'!$B$2:$BX$549,MATCH(AE$2,'Slutlig allokering kvv'!$B$1:$BX$1,0),FALSE)/1,0))</f>
        <v/>
      </c>
      <c r="AI147" s="121">
        <f t="shared" si="8"/>
        <v>0</v>
      </c>
      <c r="AK147" s="121">
        <f>IFERROR(VLOOKUP($B147,'Slutlig allokering kvv'!$B$2:$AX$549,MATCH("Summa slutlig allokerad tillförd energi (utan hjälpel och rökgaskondensering):",'Slutlig allokering kvv'!$B$1:$AX$1,0),FALSE)/1,"")</f>
        <v>0</v>
      </c>
      <c r="AM147" s="172" t="str">
        <f>IFERROR(1-VLOOKUP($B147,'Slutlig allokering kvv'!$B$2:$AX$549,MATCH("Andel av bränsle i kvv som allokerats till värme, exklusive rökgaskondensering och hjälpel",'Slutlig allokering kvv'!$B$1:$AX$1,0),FALSE),"")</f>
        <v/>
      </c>
      <c r="AO147" s="172" t="str">
        <f t="shared" si="9"/>
        <v/>
      </c>
      <c r="AP147" s="173" t="str">
        <f t="shared" si="10"/>
        <v/>
      </c>
      <c r="AR147" s="172" t="str">
        <f t="shared" si="11"/>
        <v/>
      </c>
    </row>
    <row r="148" spans="1:44" x14ac:dyDescent="0.25">
      <c r="A148" s="171" t="str">
        <f>'Miljövärden för publ företag'!B150</f>
        <v>Lerum Fjärrvärme AB</v>
      </c>
      <c r="B148" s="171" t="str">
        <f>'Miljövärden för publ företag'!C150</f>
        <v>Gråbo</v>
      </c>
      <c r="C148" s="121" t="str">
        <f>IFERROR(VLOOKUP($B148,Kraftvärmeprod!$B$1:$AH$478,MATCH(C$2,Kraftvärmeprod!$B$1:$AG$1,0),FALSE)/1,"")</f>
        <v/>
      </c>
      <c r="D148" s="121" t="str">
        <f>IFERROR(VLOOKUP($B148,Kraftvärmeprod!$B$1:$AH$478,MATCH(D$2,Kraftvärmeprod!$B$1:$AG$1,0),FALSE)/1,"")</f>
        <v/>
      </c>
      <c r="F148" s="121" t="str">
        <f>IF($D148="","",IFERROR(VLOOKUP($B148,Kraftvärmeprod!$B$1:$BX$549,MATCH(F$2,Kraftvärmeprod!$B$1:$VX$1,0),FALSE)/1,0)-IFERROR(VLOOKUP($B148,'Slutlig allokering kvv'!$B$2:$BX$549,MATCH(F$2,'Slutlig allokering kvv'!$B$1:$BX$1,0),FALSE)/1,0))</f>
        <v/>
      </c>
      <c r="G148" s="121" t="str">
        <f>IF($D148="","",IFERROR(VLOOKUP($B148,Kraftvärmeprod!$B$1:$BX$549,MATCH(G$2,Kraftvärmeprod!$B$1:$VX$1,0),FALSE)/1,0)-IFERROR(VLOOKUP($B148,'Slutlig allokering kvv'!$B$2:$BX$549,MATCH(G$2,'Slutlig allokering kvv'!$B$1:$BX$1,0),FALSE)/1,0))</f>
        <v/>
      </c>
      <c r="H148" s="121" t="str">
        <f>IF($D148="","",IFERROR(VLOOKUP($B148,Kraftvärmeprod!$B$1:$BX$549,MATCH(H$2,Kraftvärmeprod!$B$1:$VX$1,0),FALSE)/1,0)-IFERROR(VLOOKUP($B148,'Slutlig allokering kvv'!$B$2:$BX$549,MATCH(H$2,'Slutlig allokering kvv'!$B$1:$BX$1,0),FALSE)/1,0))</f>
        <v/>
      </c>
      <c r="I148" s="121" t="str">
        <f>IF($D148="","",IFERROR(VLOOKUP($B148,Kraftvärmeprod!$B$1:$BX$549,MATCH(I$2,Kraftvärmeprod!$B$1:$VX$1,0),FALSE)/1,0)-IFERROR(VLOOKUP($B148,'Slutlig allokering kvv'!$B$2:$BX$549,MATCH(I$2,'Slutlig allokering kvv'!$B$1:$BX$1,0),FALSE)/1,0))</f>
        <v/>
      </c>
      <c r="J148" s="121" t="str">
        <f>IF($D148="","",IFERROR(VLOOKUP($B148,Kraftvärmeprod!$B$1:$BX$549,MATCH(J$2,Kraftvärmeprod!$B$1:$VX$1,0),FALSE)/1,0)-IFERROR(VLOOKUP($B148,'Slutlig allokering kvv'!$B$2:$BX$549,MATCH(J$2,'Slutlig allokering kvv'!$B$1:$BX$1,0),FALSE)/1,0))</f>
        <v/>
      </c>
      <c r="K148" s="121" t="str">
        <f>IF($D148="","",IFERROR(VLOOKUP($B148,Kraftvärmeprod!$B$1:$BX$549,MATCH(K$2,Kraftvärmeprod!$B$1:$VX$1,0),FALSE)/1,0)-IFERROR(VLOOKUP($B148,'Slutlig allokering kvv'!$B$2:$BX$549,MATCH(K$2,'Slutlig allokering kvv'!$B$1:$BX$1,0),FALSE)/1,0))</f>
        <v/>
      </c>
      <c r="L148" s="121" t="str">
        <f>IF($D148="","",IFERROR(VLOOKUP($B148,Kraftvärmeprod!$B$1:$BX$549,MATCH(L$2,Kraftvärmeprod!$B$1:$VX$1,0),FALSE)/1,0)-IFERROR(VLOOKUP($B148,'Slutlig allokering kvv'!$B$2:$BX$549,MATCH(L$2,'Slutlig allokering kvv'!$B$1:$BX$1,0),FALSE)/1,0))</f>
        <v/>
      </c>
      <c r="M148" s="121" t="str">
        <f>IF($D148="","",IFERROR(VLOOKUP($B148,Kraftvärmeprod!$B$1:$BX$549,MATCH(M$2,Kraftvärmeprod!$B$1:$VX$1,0),FALSE)/1,0)-IFERROR(VLOOKUP($B148,'Slutlig allokering kvv'!$B$2:$BX$549,MATCH(M$2,'Slutlig allokering kvv'!$B$1:$BX$1,0),FALSE)/1,0))</f>
        <v/>
      </c>
      <c r="N148" s="121" t="str">
        <f>IF($D148="","",IFERROR(VLOOKUP($B148,Kraftvärmeprod!$B$1:$BX$549,MATCH(N$2,Kraftvärmeprod!$B$1:$VX$1,0),FALSE)/1,0)-IFERROR(VLOOKUP($B148,'Slutlig allokering kvv'!$B$2:$BX$549,MATCH(N$2,'Slutlig allokering kvv'!$B$1:$BX$1,0),FALSE)/1,0))</f>
        <v/>
      </c>
      <c r="O148" s="121" t="str">
        <f>IF($D148="","",IFERROR(VLOOKUP($B148,Kraftvärmeprod!$B$1:$BX$549,MATCH(O$2,Kraftvärmeprod!$B$1:$VX$1,0),FALSE)/1,0)-IFERROR(VLOOKUP($B148,'Slutlig allokering kvv'!$B$2:$BX$549,MATCH(O$2,'Slutlig allokering kvv'!$B$1:$BX$1,0),FALSE)/1,0))</f>
        <v/>
      </c>
      <c r="P148" s="121" t="str">
        <f>IF($D148="","",IFERROR(VLOOKUP($B148,Kraftvärmeprod!$B$1:$BX$549,MATCH(P$2,Kraftvärmeprod!$B$1:$VX$1,0),FALSE)/1,0)-IFERROR(VLOOKUP($B148,'Slutlig allokering kvv'!$B$2:$BX$549,MATCH(P$2,'Slutlig allokering kvv'!$B$1:$BX$1,0),FALSE)/1,0))</f>
        <v/>
      </c>
      <c r="Q148" s="121" t="str">
        <f>IF($D148="","",IFERROR(VLOOKUP($B148,Kraftvärmeprod!$B$1:$BX$549,MATCH(Q$2,Kraftvärmeprod!$B$1:$VX$1,0),FALSE)/1,0)-IFERROR(VLOOKUP($B148,'Slutlig allokering kvv'!$B$2:$BX$549,MATCH(Q$2,'Slutlig allokering kvv'!$B$1:$BX$1,0),FALSE)/1,0))</f>
        <v/>
      </c>
      <c r="R148" s="121" t="str">
        <f>IF($D148="","",IFERROR(VLOOKUP($B148,Kraftvärmeprod!$B$1:$BX$549,MATCH(R$2,Kraftvärmeprod!$B$1:$VX$1,0),FALSE)/1,0)-IFERROR(VLOOKUP($B148,'Slutlig allokering kvv'!$B$2:$BX$549,MATCH(R$2,'Slutlig allokering kvv'!$B$1:$BX$1,0),FALSE)/1,0))</f>
        <v/>
      </c>
      <c r="S148" s="121" t="str">
        <f>IF($D148="","",IFERROR(VLOOKUP($B148,Kraftvärmeprod!$B$1:$BX$549,MATCH(S$2,Kraftvärmeprod!$B$1:$VX$1,0),FALSE)/1,0)-IFERROR(VLOOKUP($B148,'Slutlig allokering kvv'!$B$2:$BX$549,MATCH(S$2,'Slutlig allokering kvv'!$B$1:$BX$1,0),FALSE)/1,0))</f>
        <v/>
      </c>
      <c r="T148" s="121" t="str">
        <f>IF($D148="","",IFERROR(VLOOKUP($B148,Kraftvärmeprod!$B$1:$BX$549,MATCH(T$2,Kraftvärmeprod!$B$1:$VX$1,0),FALSE)/1,0)-IFERROR(VLOOKUP($B148,'Slutlig allokering kvv'!$B$2:$BX$549,MATCH(T$2,'Slutlig allokering kvv'!$B$1:$BX$1,0),FALSE)/1,0))</f>
        <v/>
      </c>
      <c r="U148" s="121" t="str">
        <f>IF($D148="","",IFERROR(VLOOKUP($B148,Kraftvärmeprod!$B$1:$BX$549,MATCH(U$2,Kraftvärmeprod!$B$1:$VX$1,0),FALSE)/1,0)-IFERROR(VLOOKUP($B148,'Slutlig allokering kvv'!$B$2:$BX$549,MATCH(U$2,'Slutlig allokering kvv'!$B$1:$BX$1,0),FALSE)/1,0))</f>
        <v/>
      </c>
      <c r="V148" s="121" t="str">
        <f>IF($D148="","",IFERROR(VLOOKUP($B148,Kraftvärmeprod!$B$1:$BX$549,MATCH(V$2,Kraftvärmeprod!$B$1:$VX$1,0),FALSE)/1,0)-IFERROR(VLOOKUP($B148,'Slutlig allokering kvv'!$B$2:$BX$549,MATCH(V$2,'Slutlig allokering kvv'!$B$1:$BX$1,0),FALSE)/1,0))</f>
        <v/>
      </c>
      <c r="W148" s="121" t="str">
        <f>IF($D148="","",IFERROR(VLOOKUP($B148,Kraftvärmeprod!$B$1:$BX$549,MATCH(W$2,Kraftvärmeprod!$B$1:$VX$1,0),FALSE)/1,0)-IFERROR(VLOOKUP($B148,'Slutlig allokering kvv'!$B$2:$BX$549,MATCH(W$2,'Slutlig allokering kvv'!$B$1:$BX$1,0),FALSE)/1,0))</f>
        <v/>
      </c>
      <c r="X148" s="121" t="str">
        <f>IF($D148="","",IFERROR(VLOOKUP($B148,Kraftvärmeprod!$B$1:$BX$549,MATCH(X$2,Kraftvärmeprod!$B$1:$VX$1,0),FALSE)/1,0)-IFERROR(VLOOKUP($B148,'Slutlig allokering kvv'!$B$2:$BX$549,MATCH(X$2,'Slutlig allokering kvv'!$B$1:$BX$1,0),FALSE)/1,0))</f>
        <v/>
      </c>
      <c r="Y148" s="121" t="str">
        <f>IF($D148="","",IFERROR(VLOOKUP($B148,Kraftvärmeprod!$B$1:$BX$549,MATCH(Y$2,Kraftvärmeprod!$B$1:$VX$1,0),FALSE)/1,0)-IFERROR(VLOOKUP($B148,'Slutlig allokering kvv'!$B$2:$BX$549,MATCH(Y$2,'Slutlig allokering kvv'!$B$1:$BX$1,0),FALSE)/1,0))</f>
        <v/>
      </c>
      <c r="Z148" s="121" t="str">
        <f>IF($D148="","",IFERROR(VLOOKUP($B148,Kraftvärmeprod!$B$1:$BX$549,MATCH(Z$2,Kraftvärmeprod!$B$1:$VX$1,0),FALSE)/1,0)-IFERROR(VLOOKUP($B148,'Slutlig allokering kvv'!$B$2:$BX$549,MATCH(Z$2,'Slutlig allokering kvv'!$B$1:$BX$1,0),FALSE)/1,0))</f>
        <v/>
      </c>
      <c r="AA148" s="121" t="str">
        <f>IF($D148="","",IFERROR(VLOOKUP($B148,Kraftvärmeprod!$B$1:$BX$549,MATCH(AA$2,Kraftvärmeprod!$B$1:$VX$1,0),FALSE)/1,0)-IFERROR(VLOOKUP($B148,'Slutlig allokering kvv'!$B$2:$BX$549,MATCH(AA$2,'Slutlig allokering kvv'!$B$1:$BX$1,0),FALSE)/1,0))</f>
        <v/>
      </c>
      <c r="AB148" s="121" t="str">
        <f>IF($D148="","",IFERROR(VLOOKUP($B148,Kraftvärmeprod!$B$1:$BX$549,MATCH(AB$2,Kraftvärmeprod!$B$1:$VX$1,0),FALSE)/1,0)-IFERROR(VLOOKUP($B148,'Slutlig allokering kvv'!$B$2:$BX$549,MATCH(AB$2,'Slutlig allokering kvv'!$B$1:$BX$1,0),FALSE)/1,0))</f>
        <v/>
      </c>
      <c r="AC148" s="121" t="str">
        <f>IF($D148="","",IFERROR(VLOOKUP($B148,Kraftvärmeprod!$B$1:$BX$549,MATCH(AC$2,Kraftvärmeprod!$B$1:$VX$1,0),FALSE)/1,0)-IFERROR(VLOOKUP($B148,'Slutlig allokering kvv'!$B$2:$BX$549,MATCH(AC$2,'Slutlig allokering kvv'!$B$1:$BX$1,0),FALSE)/1,0))</f>
        <v/>
      </c>
      <c r="AD148" s="121" t="str">
        <f>IF($D148="","",IFERROR(VLOOKUP($B148,Kraftvärmeprod!$B$1:$BX$549,MATCH(AD$2,Kraftvärmeprod!$B$1:$VX$1,0),FALSE)/1,0)-IFERROR(VLOOKUP($B148,'Slutlig allokering kvv'!$B$2:$BX$549,MATCH(AD$2,'Slutlig allokering kvv'!$B$1:$BX$1,0),FALSE)/1,0))</f>
        <v/>
      </c>
      <c r="AE148" s="121" t="str">
        <f>IF($D148="","",IFERROR(VLOOKUP($B148,Miljö!$B$1:$E$550,MATCH("Hjälpel kraftvärme (GWh)",Miljö!$B$1:$E$1,0),FALSE)/1,0)-IFERROR(VLOOKUP($B148,'Slutlig allokering kvv'!$B$2:$BX$549,MATCH(AE$2,'Slutlig allokering kvv'!$B$1:$BX$1,0),FALSE)/1,0))</f>
        <v/>
      </c>
      <c r="AI148" s="121">
        <f t="shared" si="8"/>
        <v>0</v>
      </c>
      <c r="AK148" s="121">
        <f>IFERROR(VLOOKUP($B148,'Slutlig allokering kvv'!$B$2:$AX$549,MATCH("Summa slutlig allokerad tillförd energi (utan hjälpel och rökgaskondensering):",'Slutlig allokering kvv'!$B$1:$AX$1,0),FALSE)/1,"")</f>
        <v>0</v>
      </c>
      <c r="AM148" s="172" t="str">
        <f>IFERROR(1-VLOOKUP($B148,'Slutlig allokering kvv'!$B$2:$AX$549,MATCH("Andel av bränsle i kvv som allokerats till värme, exklusive rökgaskondensering och hjälpel",'Slutlig allokering kvv'!$B$1:$AX$1,0),FALSE),"")</f>
        <v/>
      </c>
      <c r="AO148" s="172" t="str">
        <f t="shared" si="9"/>
        <v/>
      </c>
      <c r="AP148" s="173" t="str">
        <f t="shared" si="10"/>
        <v/>
      </c>
      <c r="AR148" s="172" t="str">
        <f t="shared" si="11"/>
        <v/>
      </c>
    </row>
    <row r="149" spans="1:44" x14ac:dyDescent="0.25">
      <c r="A149" s="171" t="str">
        <f>'Miljövärden för publ företag'!B151</f>
        <v>Lerum Fjärrvärme AB</v>
      </c>
      <c r="B149" s="171" t="str">
        <f>'Miljövärden för publ företag'!C151</f>
        <v>Lerum</v>
      </c>
      <c r="C149" s="121" t="str">
        <f>IFERROR(VLOOKUP($B149,Kraftvärmeprod!$B$1:$AH$478,MATCH(C$2,Kraftvärmeprod!$B$1:$AG$1,0),FALSE)/1,"")</f>
        <v/>
      </c>
      <c r="D149" s="121" t="str">
        <f>IFERROR(VLOOKUP($B149,Kraftvärmeprod!$B$1:$AH$478,MATCH(D$2,Kraftvärmeprod!$B$1:$AG$1,0),FALSE)/1,"")</f>
        <v/>
      </c>
      <c r="F149" s="121" t="str">
        <f>IF($D149="","",IFERROR(VLOOKUP($B149,Kraftvärmeprod!$B$1:$BX$549,MATCH(F$2,Kraftvärmeprod!$B$1:$VX$1,0),FALSE)/1,0)-IFERROR(VLOOKUP($B149,'Slutlig allokering kvv'!$B$2:$BX$549,MATCH(F$2,'Slutlig allokering kvv'!$B$1:$BX$1,0),FALSE)/1,0))</f>
        <v/>
      </c>
      <c r="G149" s="121" t="str">
        <f>IF($D149="","",IFERROR(VLOOKUP($B149,Kraftvärmeprod!$B$1:$BX$549,MATCH(G$2,Kraftvärmeprod!$B$1:$VX$1,0),FALSE)/1,0)-IFERROR(VLOOKUP($B149,'Slutlig allokering kvv'!$B$2:$BX$549,MATCH(G$2,'Slutlig allokering kvv'!$B$1:$BX$1,0),FALSE)/1,0))</f>
        <v/>
      </c>
      <c r="H149" s="121" t="str">
        <f>IF($D149="","",IFERROR(VLOOKUP($B149,Kraftvärmeprod!$B$1:$BX$549,MATCH(H$2,Kraftvärmeprod!$B$1:$VX$1,0),FALSE)/1,0)-IFERROR(VLOOKUP($B149,'Slutlig allokering kvv'!$B$2:$BX$549,MATCH(H$2,'Slutlig allokering kvv'!$B$1:$BX$1,0),FALSE)/1,0))</f>
        <v/>
      </c>
      <c r="I149" s="121" t="str">
        <f>IF($D149="","",IFERROR(VLOOKUP($B149,Kraftvärmeprod!$B$1:$BX$549,MATCH(I$2,Kraftvärmeprod!$B$1:$VX$1,0),FALSE)/1,0)-IFERROR(VLOOKUP($B149,'Slutlig allokering kvv'!$B$2:$BX$549,MATCH(I$2,'Slutlig allokering kvv'!$B$1:$BX$1,0),FALSE)/1,0))</f>
        <v/>
      </c>
      <c r="J149" s="121" t="str">
        <f>IF($D149="","",IFERROR(VLOOKUP($B149,Kraftvärmeprod!$B$1:$BX$549,MATCH(J$2,Kraftvärmeprod!$B$1:$VX$1,0),FALSE)/1,0)-IFERROR(VLOOKUP($B149,'Slutlig allokering kvv'!$B$2:$BX$549,MATCH(J$2,'Slutlig allokering kvv'!$B$1:$BX$1,0),FALSE)/1,0))</f>
        <v/>
      </c>
      <c r="K149" s="121" t="str">
        <f>IF($D149="","",IFERROR(VLOOKUP($B149,Kraftvärmeprod!$B$1:$BX$549,MATCH(K$2,Kraftvärmeprod!$B$1:$VX$1,0),FALSE)/1,0)-IFERROR(VLOOKUP($B149,'Slutlig allokering kvv'!$B$2:$BX$549,MATCH(K$2,'Slutlig allokering kvv'!$B$1:$BX$1,0),FALSE)/1,0))</f>
        <v/>
      </c>
      <c r="L149" s="121" t="str">
        <f>IF($D149="","",IFERROR(VLOOKUP($B149,Kraftvärmeprod!$B$1:$BX$549,MATCH(L$2,Kraftvärmeprod!$B$1:$VX$1,0),FALSE)/1,0)-IFERROR(VLOOKUP($B149,'Slutlig allokering kvv'!$B$2:$BX$549,MATCH(L$2,'Slutlig allokering kvv'!$B$1:$BX$1,0),FALSE)/1,0))</f>
        <v/>
      </c>
      <c r="M149" s="121" t="str">
        <f>IF($D149="","",IFERROR(VLOOKUP($B149,Kraftvärmeprod!$B$1:$BX$549,MATCH(M$2,Kraftvärmeprod!$B$1:$VX$1,0),FALSE)/1,0)-IFERROR(VLOOKUP($B149,'Slutlig allokering kvv'!$B$2:$BX$549,MATCH(M$2,'Slutlig allokering kvv'!$B$1:$BX$1,0),FALSE)/1,0))</f>
        <v/>
      </c>
      <c r="N149" s="121" t="str">
        <f>IF($D149="","",IFERROR(VLOOKUP($B149,Kraftvärmeprod!$B$1:$BX$549,MATCH(N$2,Kraftvärmeprod!$B$1:$VX$1,0),FALSE)/1,0)-IFERROR(VLOOKUP($B149,'Slutlig allokering kvv'!$B$2:$BX$549,MATCH(N$2,'Slutlig allokering kvv'!$B$1:$BX$1,0),FALSE)/1,0))</f>
        <v/>
      </c>
      <c r="O149" s="121" t="str">
        <f>IF($D149="","",IFERROR(VLOOKUP($B149,Kraftvärmeprod!$B$1:$BX$549,MATCH(O$2,Kraftvärmeprod!$B$1:$VX$1,0),FALSE)/1,0)-IFERROR(VLOOKUP($B149,'Slutlig allokering kvv'!$B$2:$BX$549,MATCH(O$2,'Slutlig allokering kvv'!$B$1:$BX$1,0),FALSE)/1,0))</f>
        <v/>
      </c>
      <c r="P149" s="121" t="str">
        <f>IF($D149="","",IFERROR(VLOOKUP($B149,Kraftvärmeprod!$B$1:$BX$549,MATCH(P$2,Kraftvärmeprod!$B$1:$VX$1,0),FALSE)/1,0)-IFERROR(VLOOKUP($B149,'Slutlig allokering kvv'!$B$2:$BX$549,MATCH(P$2,'Slutlig allokering kvv'!$B$1:$BX$1,0),FALSE)/1,0))</f>
        <v/>
      </c>
      <c r="Q149" s="121" t="str">
        <f>IF($D149="","",IFERROR(VLOOKUP($B149,Kraftvärmeprod!$B$1:$BX$549,MATCH(Q$2,Kraftvärmeprod!$B$1:$VX$1,0),FALSE)/1,0)-IFERROR(VLOOKUP($B149,'Slutlig allokering kvv'!$B$2:$BX$549,MATCH(Q$2,'Slutlig allokering kvv'!$B$1:$BX$1,0),FALSE)/1,0))</f>
        <v/>
      </c>
      <c r="R149" s="121" t="str">
        <f>IF($D149="","",IFERROR(VLOOKUP($B149,Kraftvärmeprod!$B$1:$BX$549,MATCH(R$2,Kraftvärmeprod!$B$1:$VX$1,0),FALSE)/1,0)-IFERROR(VLOOKUP($B149,'Slutlig allokering kvv'!$B$2:$BX$549,MATCH(R$2,'Slutlig allokering kvv'!$B$1:$BX$1,0),FALSE)/1,0))</f>
        <v/>
      </c>
      <c r="S149" s="121" t="str">
        <f>IF($D149="","",IFERROR(VLOOKUP($B149,Kraftvärmeprod!$B$1:$BX$549,MATCH(S$2,Kraftvärmeprod!$B$1:$VX$1,0),FALSE)/1,0)-IFERROR(VLOOKUP($B149,'Slutlig allokering kvv'!$B$2:$BX$549,MATCH(S$2,'Slutlig allokering kvv'!$B$1:$BX$1,0),FALSE)/1,0))</f>
        <v/>
      </c>
      <c r="T149" s="121" t="str">
        <f>IF($D149="","",IFERROR(VLOOKUP($B149,Kraftvärmeprod!$B$1:$BX$549,MATCH(T$2,Kraftvärmeprod!$B$1:$VX$1,0),FALSE)/1,0)-IFERROR(VLOOKUP($B149,'Slutlig allokering kvv'!$B$2:$BX$549,MATCH(T$2,'Slutlig allokering kvv'!$B$1:$BX$1,0),FALSE)/1,0))</f>
        <v/>
      </c>
      <c r="U149" s="121" t="str">
        <f>IF($D149="","",IFERROR(VLOOKUP($B149,Kraftvärmeprod!$B$1:$BX$549,MATCH(U$2,Kraftvärmeprod!$B$1:$VX$1,0),FALSE)/1,0)-IFERROR(VLOOKUP($B149,'Slutlig allokering kvv'!$B$2:$BX$549,MATCH(U$2,'Slutlig allokering kvv'!$B$1:$BX$1,0),FALSE)/1,0))</f>
        <v/>
      </c>
      <c r="V149" s="121" t="str">
        <f>IF($D149="","",IFERROR(VLOOKUP($B149,Kraftvärmeprod!$B$1:$BX$549,MATCH(V$2,Kraftvärmeprod!$B$1:$VX$1,0),FALSE)/1,0)-IFERROR(VLOOKUP($B149,'Slutlig allokering kvv'!$B$2:$BX$549,MATCH(V$2,'Slutlig allokering kvv'!$B$1:$BX$1,0),FALSE)/1,0))</f>
        <v/>
      </c>
      <c r="W149" s="121" t="str">
        <f>IF($D149="","",IFERROR(VLOOKUP($B149,Kraftvärmeprod!$B$1:$BX$549,MATCH(W$2,Kraftvärmeprod!$B$1:$VX$1,0),FALSE)/1,0)-IFERROR(VLOOKUP($B149,'Slutlig allokering kvv'!$B$2:$BX$549,MATCH(W$2,'Slutlig allokering kvv'!$B$1:$BX$1,0),FALSE)/1,0))</f>
        <v/>
      </c>
      <c r="X149" s="121" t="str">
        <f>IF($D149="","",IFERROR(VLOOKUP($B149,Kraftvärmeprod!$B$1:$BX$549,MATCH(X$2,Kraftvärmeprod!$B$1:$VX$1,0),FALSE)/1,0)-IFERROR(VLOOKUP($B149,'Slutlig allokering kvv'!$B$2:$BX$549,MATCH(X$2,'Slutlig allokering kvv'!$B$1:$BX$1,0),FALSE)/1,0))</f>
        <v/>
      </c>
      <c r="Y149" s="121" t="str">
        <f>IF($D149="","",IFERROR(VLOOKUP($B149,Kraftvärmeprod!$B$1:$BX$549,MATCH(Y$2,Kraftvärmeprod!$B$1:$VX$1,0),FALSE)/1,0)-IFERROR(VLOOKUP($B149,'Slutlig allokering kvv'!$B$2:$BX$549,MATCH(Y$2,'Slutlig allokering kvv'!$B$1:$BX$1,0),FALSE)/1,0))</f>
        <v/>
      </c>
      <c r="Z149" s="121" t="str">
        <f>IF($D149="","",IFERROR(VLOOKUP($B149,Kraftvärmeprod!$B$1:$BX$549,MATCH(Z$2,Kraftvärmeprod!$B$1:$VX$1,0),FALSE)/1,0)-IFERROR(VLOOKUP($B149,'Slutlig allokering kvv'!$B$2:$BX$549,MATCH(Z$2,'Slutlig allokering kvv'!$B$1:$BX$1,0),FALSE)/1,0))</f>
        <v/>
      </c>
      <c r="AA149" s="121" t="str">
        <f>IF($D149="","",IFERROR(VLOOKUP($B149,Kraftvärmeprod!$B$1:$BX$549,MATCH(AA$2,Kraftvärmeprod!$B$1:$VX$1,0),FALSE)/1,0)-IFERROR(VLOOKUP($B149,'Slutlig allokering kvv'!$B$2:$BX$549,MATCH(AA$2,'Slutlig allokering kvv'!$B$1:$BX$1,0),FALSE)/1,0))</f>
        <v/>
      </c>
      <c r="AB149" s="121" t="str">
        <f>IF($D149="","",IFERROR(VLOOKUP($B149,Kraftvärmeprod!$B$1:$BX$549,MATCH(AB$2,Kraftvärmeprod!$B$1:$VX$1,0),FALSE)/1,0)-IFERROR(VLOOKUP($B149,'Slutlig allokering kvv'!$B$2:$BX$549,MATCH(AB$2,'Slutlig allokering kvv'!$B$1:$BX$1,0),FALSE)/1,0))</f>
        <v/>
      </c>
      <c r="AC149" s="121" t="str">
        <f>IF($D149="","",IFERROR(VLOOKUP($B149,Kraftvärmeprod!$B$1:$BX$549,MATCH(AC$2,Kraftvärmeprod!$B$1:$VX$1,0),FALSE)/1,0)-IFERROR(VLOOKUP($B149,'Slutlig allokering kvv'!$B$2:$BX$549,MATCH(AC$2,'Slutlig allokering kvv'!$B$1:$BX$1,0),FALSE)/1,0))</f>
        <v/>
      </c>
      <c r="AD149" s="121" t="str">
        <f>IF($D149="","",IFERROR(VLOOKUP($B149,Kraftvärmeprod!$B$1:$BX$549,MATCH(AD$2,Kraftvärmeprod!$B$1:$VX$1,0),FALSE)/1,0)-IFERROR(VLOOKUP($B149,'Slutlig allokering kvv'!$B$2:$BX$549,MATCH(AD$2,'Slutlig allokering kvv'!$B$1:$BX$1,0),FALSE)/1,0))</f>
        <v/>
      </c>
      <c r="AE149" s="121" t="str">
        <f>IF($D149="","",IFERROR(VLOOKUP($B149,Miljö!$B$1:$E$550,MATCH("Hjälpel kraftvärme (GWh)",Miljö!$B$1:$E$1,0),FALSE)/1,0)-IFERROR(VLOOKUP($B149,'Slutlig allokering kvv'!$B$2:$BX$549,MATCH(AE$2,'Slutlig allokering kvv'!$B$1:$BX$1,0),FALSE)/1,0))</f>
        <v/>
      </c>
      <c r="AI149" s="121">
        <f t="shared" si="8"/>
        <v>0</v>
      </c>
      <c r="AK149" s="121">
        <f>IFERROR(VLOOKUP($B149,'Slutlig allokering kvv'!$B$2:$AX$549,MATCH("Summa slutlig allokerad tillförd energi (utan hjälpel och rökgaskondensering):",'Slutlig allokering kvv'!$B$1:$AX$1,0),FALSE)/1,"")</f>
        <v>0</v>
      </c>
      <c r="AM149" s="172" t="str">
        <f>IFERROR(1-VLOOKUP($B149,'Slutlig allokering kvv'!$B$2:$AX$549,MATCH("Andel av bränsle i kvv som allokerats till värme, exklusive rökgaskondensering och hjälpel",'Slutlig allokering kvv'!$B$1:$AX$1,0),FALSE),"")</f>
        <v/>
      </c>
      <c r="AO149" s="172" t="str">
        <f t="shared" si="9"/>
        <v/>
      </c>
      <c r="AP149" s="173" t="str">
        <f t="shared" si="10"/>
        <v/>
      </c>
      <c r="AR149" s="172" t="str">
        <f t="shared" si="11"/>
        <v/>
      </c>
    </row>
    <row r="150" spans="1:44" x14ac:dyDescent="0.25">
      <c r="A150" s="171" t="str">
        <f>'Miljövärden för publ företag'!B152</f>
        <v>Lerum Fjärrvärme AB</v>
      </c>
      <c r="B150" s="171" t="str">
        <f>'Miljövärden för publ företag'!C152</f>
        <v>Stenkullen</v>
      </c>
      <c r="C150" s="121" t="str">
        <f>IFERROR(VLOOKUP($B150,Kraftvärmeprod!$B$1:$AH$478,MATCH(C$2,Kraftvärmeprod!$B$1:$AG$1,0),FALSE)/1,"")</f>
        <v/>
      </c>
      <c r="D150" s="121" t="str">
        <f>IFERROR(VLOOKUP($B150,Kraftvärmeprod!$B$1:$AH$478,MATCH(D$2,Kraftvärmeprod!$B$1:$AG$1,0),FALSE)/1,"")</f>
        <v/>
      </c>
      <c r="F150" s="121" t="str">
        <f>IF($D150="","",IFERROR(VLOOKUP($B150,Kraftvärmeprod!$B$1:$BX$549,MATCH(F$2,Kraftvärmeprod!$B$1:$VX$1,0),FALSE)/1,0)-IFERROR(VLOOKUP($B150,'Slutlig allokering kvv'!$B$2:$BX$549,MATCH(F$2,'Slutlig allokering kvv'!$B$1:$BX$1,0),FALSE)/1,0))</f>
        <v/>
      </c>
      <c r="G150" s="121" t="str">
        <f>IF($D150="","",IFERROR(VLOOKUP($B150,Kraftvärmeprod!$B$1:$BX$549,MATCH(G$2,Kraftvärmeprod!$B$1:$VX$1,0),FALSE)/1,0)-IFERROR(VLOOKUP($B150,'Slutlig allokering kvv'!$B$2:$BX$549,MATCH(G$2,'Slutlig allokering kvv'!$B$1:$BX$1,0),FALSE)/1,0))</f>
        <v/>
      </c>
      <c r="H150" s="121" t="str">
        <f>IF($D150="","",IFERROR(VLOOKUP($B150,Kraftvärmeprod!$B$1:$BX$549,MATCH(H$2,Kraftvärmeprod!$B$1:$VX$1,0),FALSE)/1,0)-IFERROR(VLOOKUP($B150,'Slutlig allokering kvv'!$B$2:$BX$549,MATCH(H$2,'Slutlig allokering kvv'!$B$1:$BX$1,0),FALSE)/1,0))</f>
        <v/>
      </c>
      <c r="I150" s="121" t="str">
        <f>IF($D150="","",IFERROR(VLOOKUP($B150,Kraftvärmeprod!$B$1:$BX$549,MATCH(I$2,Kraftvärmeprod!$B$1:$VX$1,0),FALSE)/1,0)-IFERROR(VLOOKUP($B150,'Slutlig allokering kvv'!$B$2:$BX$549,MATCH(I$2,'Slutlig allokering kvv'!$B$1:$BX$1,0),FALSE)/1,0))</f>
        <v/>
      </c>
      <c r="J150" s="121" t="str">
        <f>IF($D150="","",IFERROR(VLOOKUP($B150,Kraftvärmeprod!$B$1:$BX$549,MATCH(J$2,Kraftvärmeprod!$B$1:$VX$1,0),FALSE)/1,0)-IFERROR(VLOOKUP($B150,'Slutlig allokering kvv'!$B$2:$BX$549,MATCH(J$2,'Slutlig allokering kvv'!$B$1:$BX$1,0),FALSE)/1,0))</f>
        <v/>
      </c>
      <c r="K150" s="121" t="str">
        <f>IF($D150="","",IFERROR(VLOOKUP($B150,Kraftvärmeprod!$B$1:$BX$549,MATCH(K$2,Kraftvärmeprod!$B$1:$VX$1,0),FALSE)/1,0)-IFERROR(VLOOKUP($B150,'Slutlig allokering kvv'!$B$2:$BX$549,MATCH(K$2,'Slutlig allokering kvv'!$B$1:$BX$1,0),FALSE)/1,0))</f>
        <v/>
      </c>
      <c r="L150" s="121" t="str">
        <f>IF($D150="","",IFERROR(VLOOKUP($B150,Kraftvärmeprod!$B$1:$BX$549,MATCH(L$2,Kraftvärmeprod!$B$1:$VX$1,0),FALSE)/1,0)-IFERROR(VLOOKUP($B150,'Slutlig allokering kvv'!$B$2:$BX$549,MATCH(L$2,'Slutlig allokering kvv'!$B$1:$BX$1,0),FALSE)/1,0))</f>
        <v/>
      </c>
      <c r="M150" s="121" t="str">
        <f>IF($D150="","",IFERROR(VLOOKUP($B150,Kraftvärmeprod!$B$1:$BX$549,MATCH(M$2,Kraftvärmeprod!$B$1:$VX$1,0),FALSE)/1,0)-IFERROR(VLOOKUP($B150,'Slutlig allokering kvv'!$B$2:$BX$549,MATCH(M$2,'Slutlig allokering kvv'!$B$1:$BX$1,0),FALSE)/1,0))</f>
        <v/>
      </c>
      <c r="N150" s="121" t="str">
        <f>IF($D150="","",IFERROR(VLOOKUP($B150,Kraftvärmeprod!$B$1:$BX$549,MATCH(N$2,Kraftvärmeprod!$B$1:$VX$1,0),FALSE)/1,0)-IFERROR(VLOOKUP($B150,'Slutlig allokering kvv'!$B$2:$BX$549,MATCH(N$2,'Slutlig allokering kvv'!$B$1:$BX$1,0),FALSE)/1,0))</f>
        <v/>
      </c>
      <c r="O150" s="121" t="str">
        <f>IF($D150="","",IFERROR(VLOOKUP($B150,Kraftvärmeprod!$B$1:$BX$549,MATCH(O$2,Kraftvärmeprod!$B$1:$VX$1,0),FALSE)/1,0)-IFERROR(VLOOKUP($B150,'Slutlig allokering kvv'!$B$2:$BX$549,MATCH(O$2,'Slutlig allokering kvv'!$B$1:$BX$1,0),FALSE)/1,0))</f>
        <v/>
      </c>
      <c r="P150" s="121" t="str">
        <f>IF($D150="","",IFERROR(VLOOKUP($B150,Kraftvärmeprod!$B$1:$BX$549,MATCH(P$2,Kraftvärmeprod!$B$1:$VX$1,0),FALSE)/1,0)-IFERROR(VLOOKUP($B150,'Slutlig allokering kvv'!$B$2:$BX$549,MATCH(P$2,'Slutlig allokering kvv'!$B$1:$BX$1,0),FALSE)/1,0))</f>
        <v/>
      </c>
      <c r="Q150" s="121" t="str">
        <f>IF($D150="","",IFERROR(VLOOKUP($B150,Kraftvärmeprod!$B$1:$BX$549,MATCH(Q$2,Kraftvärmeprod!$B$1:$VX$1,0),FALSE)/1,0)-IFERROR(VLOOKUP($B150,'Slutlig allokering kvv'!$B$2:$BX$549,MATCH(Q$2,'Slutlig allokering kvv'!$B$1:$BX$1,0),FALSE)/1,0))</f>
        <v/>
      </c>
      <c r="R150" s="121" t="str">
        <f>IF($D150="","",IFERROR(VLOOKUP($B150,Kraftvärmeprod!$B$1:$BX$549,MATCH(R$2,Kraftvärmeprod!$B$1:$VX$1,0),FALSE)/1,0)-IFERROR(VLOOKUP($B150,'Slutlig allokering kvv'!$B$2:$BX$549,MATCH(R$2,'Slutlig allokering kvv'!$B$1:$BX$1,0),FALSE)/1,0))</f>
        <v/>
      </c>
      <c r="S150" s="121" t="str">
        <f>IF($D150="","",IFERROR(VLOOKUP($B150,Kraftvärmeprod!$B$1:$BX$549,MATCH(S$2,Kraftvärmeprod!$B$1:$VX$1,0),FALSE)/1,0)-IFERROR(VLOOKUP($B150,'Slutlig allokering kvv'!$B$2:$BX$549,MATCH(S$2,'Slutlig allokering kvv'!$B$1:$BX$1,0),FALSE)/1,0))</f>
        <v/>
      </c>
      <c r="T150" s="121" t="str">
        <f>IF($D150="","",IFERROR(VLOOKUP($B150,Kraftvärmeprod!$B$1:$BX$549,MATCH(T$2,Kraftvärmeprod!$B$1:$VX$1,0),FALSE)/1,0)-IFERROR(VLOOKUP($B150,'Slutlig allokering kvv'!$B$2:$BX$549,MATCH(T$2,'Slutlig allokering kvv'!$B$1:$BX$1,0),FALSE)/1,0))</f>
        <v/>
      </c>
      <c r="U150" s="121" t="str">
        <f>IF($D150="","",IFERROR(VLOOKUP($B150,Kraftvärmeprod!$B$1:$BX$549,MATCH(U$2,Kraftvärmeprod!$B$1:$VX$1,0),FALSE)/1,0)-IFERROR(VLOOKUP($B150,'Slutlig allokering kvv'!$B$2:$BX$549,MATCH(U$2,'Slutlig allokering kvv'!$B$1:$BX$1,0),FALSE)/1,0))</f>
        <v/>
      </c>
      <c r="V150" s="121" t="str">
        <f>IF($D150="","",IFERROR(VLOOKUP($B150,Kraftvärmeprod!$B$1:$BX$549,MATCH(V$2,Kraftvärmeprod!$B$1:$VX$1,0),FALSE)/1,0)-IFERROR(VLOOKUP($B150,'Slutlig allokering kvv'!$B$2:$BX$549,MATCH(V$2,'Slutlig allokering kvv'!$B$1:$BX$1,0),FALSE)/1,0))</f>
        <v/>
      </c>
      <c r="W150" s="121" t="str">
        <f>IF($D150="","",IFERROR(VLOOKUP($B150,Kraftvärmeprod!$B$1:$BX$549,MATCH(W$2,Kraftvärmeprod!$B$1:$VX$1,0),FALSE)/1,0)-IFERROR(VLOOKUP($B150,'Slutlig allokering kvv'!$B$2:$BX$549,MATCH(W$2,'Slutlig allokering kvv'!$B$1:$BX$1,0),FALSE)/1,0))</f>
        <v/>
      </c>
      <c r="X150" s="121" t="str">
        <f>IF($D150="","",IFERROR(VLOOKUP($B150,Kraftvärmeprod!$B$1:$BX$549,MATCH(X$2,Kraftvärmeprod!$B$1:$VX$1,0),FALSE)/1,0)-IFERROR(VLOOKUP($B150,'Slutlig allokering kvv'!$B$2:$BX$549,MATCH(X$2,'Slutlig allokering kvv'!$B$1:$BX$1,0),FALSE)/1,0))</f>
        <v/>
      </c>
      <c r="Y150" s="121" t="str">
        <f>IF($D150="","",IFERROR(VLOOKUP($B150,Kraftvärmeprod!$B$1:$BX$549,MATCH(Y$2,Kraftvärmeprod!$B$1:$VX$1,0),FALSE)/1,0)-IFERROR(VLOOKUP($B150,'Slutlig allokering kvv'!$B$2:$BX$549,MATCH(Y$2,'Slutlig allokering kvv'!$B$1:$BX$1,0),FALSE)/1,0))</f>
        <v/>
      </c>
      <c r="Z150" s="121" t="str">
        <f>IF($D150="","",IFERROR(VLOOKUP($B150,Kraftvärmeprod!$B$1:$BX$549,MATCH(Z$2,Kraftvärmeprod!$B$1:$VX$1,0),FALSE)/1,0)-IFERROR(VLOOKUP($B150,'Slutlig allokering kvv'!$B$2:$BX$549,MATCH(Z$2,'Slutlig allokering kvv'!$B$1:$BX$1,0),FALSE)/1,0))</f>
        <v/>
      </c>
      <c r="AA150" s="121" t="str">
        <f>IF($D150="","",IFERROR(VLOOKUP($B150,Kraftvärmeprod!$B$1:$BX$549,MATCH(AA$2,Kraftvärmeprod!$B$1:$VX$1,0),FALSE)/1,0)-IFERROR(VLOOKUP($B150,'Slutlig allokering kvv'!$B$2:$BX$549,MATCH(AA$2,'Slutlig allokering kvv'!$B$1:$BX$1,0),FALSE)/1,0))</f>
        <v/>
      </c>
      <c r="AB150" s="121" t="str">
        <f>IF($D150="","",IFERROR(VLOOKUP($B150,Kraftvärmeprod!$B$1:$BX$549,MATCH(AB$2,Kraftvärmeprod!$B$1:$VX$1,0),FALSE)/1,0)-IFERROR(VLOOKUP($B150,'Slutlig allokering kvv'!$B$2:$BX$549,MATCH(AB$2,'Slutlig allokering kvv'!$B$1:$BX$1,0),FALSE)/1,0))</f>
        <v/>
      </c>
      <c r="AC150" s="121" t="str">
        <f>IF($D150="","",IFERROR(VLOOKUP($B150,Kraftvärmeprod!$B$1:$BX$549,MATCH(AC$2,Kraftvärmeprod!$B$1:$VX$1,0),FALSE)/1,0)-IFERROR(VLOOKUP($B150,'Slutlig allokering kvv'!$B$2:$BX$549,MATCH(AC$2,'Slutlig allokering kvv'!$B$1:$BX$1,0),FALSE)/1,0))</f>
        <v/>
      </c>
      <c r="AD150" s="121" t="str">
        <f>IF($D150="","",IFERROR(VLOOKUP($B150,Kraftvärmeprod!$B$1:$BX$549,MATCH(AD$2,Kraftvärmeprod!$B$1:$VX$1,0),FALSE)/1,0)-IFERROR(VLOOKUP($B150,'Slutlig allokering kvv'!$B$2:$BX$549,MATCH(AD$2,'Slutlig allokering kvv'!$B$1:$BX$1,0),FALSE)/1,0))</f>
        <v/>
      </c>
      <c r="AE150" s="121" t="str">
        <f>IF($D150="","",IFERROR(VLOOKUP($B150,Miljö!$B$1:$E$550,MATCH("Hjälpel kraftvärme (GWh)",Miljö!$B$1:$E$1,0),FALSE)/1,0)-IFERROR(VLOOKUP($B150,'Slutlig allokering kvv'!$B$2:$BX$549,MATCH(AE$2,'Slutlig allokering kvv'!$B$1:$BX$1,0),FALSE)/1,0))</f>
        <v/>
      </c>
      <c r="AI150" s="121">
        <f t="shared" si="8"/>
        <v>0</v>
      </c>
      <c r="AK150" s="121">
        <f>IFERROR(VLOOKUP($B150,'Slutlig allokering kvv'!$B$2:$AX$549,MATCH("Summa slutlig allokerad tillförd energi (utan hjälpel och rökgaskondensering):",'Slutlig allokering kvv'!$B$1:$AX$1,0),FALSE)/1,"")</f>
        <v>0</v>
      </c>
      <c r="AM150" s="172" t="str">
        <f>IFERROR(1-VLOOKUP($B150,'Slutlig allokering kvv'!$B$2:$AX$549,MATCH("Andel av bränsle i kvv som allokerats till värme, exklusive rökgaskondensering och hjälpel",'Slutlig allokering kvv'!$B$1:$AX$1,0),FALSE),"")</f>
        <v/>
      </c>
      <c r="AO150" s="172" t="str">
        <f t="shared" si="9"/>
        <v/>
      </c>
      <c r="AP150" s="173" t="str">
        <f t="shared" si="10"/>
        <v/>
      </c>
      <c r="AR150" s="172" t="str">
        <f t="shared" si="11"/>
        <v/>
      </c>
    </row>
    <row r="151" spans="1:44" x14ac:dyDescent="0.25">
      <c r="A151" s="171" t="str">
        <f>'Miljövärden för publ företag'!B153</f>
        <v>LEVA i Lysekil AB</v>
      </c>
      <c r="B151" s="171" t="str">
        <f>'Miljövärden för publ företag'!C153</f>
        <v>Lysekil</v>
      </c>
      <c r="C151" s="121" t="str">
        <f>IFERROR(VLOOKUP($B151,Kraftvärmeprod!$B$1:$AH$478,MATCH(C$2,Kraftvärmeprod!$B$1:$AG$1,0),FALSE)/1,"")</f>
        <v/>
      </c>
      <c r="D151" s="121" t="str">
        <f>IFERROR(VLOOKUP($B151,Kraftvärmeprod!$B$1:$AH$478,MATCH(D$2,Kraftvärmeprod!$B$1:$AG$1,0),FALSE)/1,"")</f>
        <v/>
      </c>
      <c r="F151" s="121" t="str">
        <f>IF($D151="","",IFERROR(VLOOKUP($B151,Kraftvärmeprod!$B$1:$BX$549,MATCH(F$2,Kraftvärmeprod!$B$1:$VX$1,0),FALSE)/1,0)-IFERROR(VLOOKUP($B151,'Slutlig allokering kvv'!$B$2:$BX$549,MATCH(F$2,'Slutlig allokering kvv'!$B$1:$BX$1,0),FALSE)/1,0))</f>
        <v/>
      </c>
      <c r="G151" s="121" t="str">
        <f>IF($D151="","",IFERROR(VLOOKUP($B151,Kraftvärmeprod!$B$1:$BX$549,MATCH(G$2,Kraftvärmeprod!$B$1:$VX$1,0),FALSE)/1,0)-IFERROR(VLOOKUP($B151,'Slutlig allokering kvv'!$B$2:$BX$549,MATCH(G$2,'Slutlig allokering kvv'!$B$1:$BX$1,0),FALSE)/1,0))</f>
        <v/>
      </c>
      <c r="H151" s="121" t="str">
        <f>IF($D151="","",IFERROR(VLOOKUP($B151,Kraftvärmeprod!$B$1:$BX$549,MATCH(H$2,Kraftvärmeprod!$B$1:$VX$1,0),FALSE)/1,0)-IFERROR(VLOOKUP($B151,'Slutlig allokering kvv'!$B$2:$BX$549,MATCH(H$2,'Slutlig allokering kvv'!$B$1:$BX$1,0),FALSE)/1,0))</f>
        <v/>
      </c>
      <c r="I151" s="121" t="str">
        <f>IF($D151="","",IFERROR(VLOOKUP($B151,Kraftvärmeprod!$B$1:$BX$549,MATCH(I$2,Kraftvärmeprod!$B$1:$VX$1,0),FALSE)/1,0)-IFERROR(VLOOKUP($B151,'Slutlig allokering kvv'!$B$2:$BX$549,MATCH(I$2,'Slutlig allokering kvv'!$B$1:$BX$1,0),FALSE)/1,0))</f>
        <v/>
      </c>
      <c r="J151" s="121" t="str">
        <f>IF($D151="","",IFERROR(VLOOKUP($B151,Kraftvärmeprod!$B$1:$BX$549,MATCH(J$2,Kraftvärmeprod!$B$1:$VX$1,0),FALSE)/1,0)-IFERROR(VLOOKUP($B151,'Slutlig allokering kvv'!$B$2:$BX$549,MATCH(J$2,'Slutlig allokering kvv'!$B$1:$BX$1,0),FALSE)/1,0))</f>
        <v/>
      </c>
      <c r="K151" s="121" t="str">
        <f>IF($D151="","",IFERROR(VLOOKUP($B151,Kraftvärmeprod!$B$1:$BX$549,MATCH(K$2,Kraftvärmeprod!$B$1:$VX$1,0),FALSE)/1,0)-IFERROR(VLOOKUP($B151,'Slutlig allokering kvv'!$B$2:$BX$549,MATCH(K$2,'Slutlig allokering kvv'!$B$1:$BX$1,0),FALSE)/1,0))</f>
        <v/>
      </c>
      <c r="L151" s="121" t="str">
        <f>IF($D151="","",IFERROR(VLOOKUP($B151,Kraftvärmeprod!$B$1:$BX$549,MATCH(L$2,Kraftvärmeprod!$B$1:$VX$1,0),FALSE)/1,0)-IFERROR(VLOOKUP($B151,'Slutlig allokering kvv'!$B$2:$BX$549,MATCH(L$2,'Slutlig allokering kvv'!$B$1:$BX$1,0),FALSE)/1,0))</f>
        <v/>
      </c>
      <c r="M151" s="121" t="str">
        <f>IF($D151="","",IFERROR(VLOOKUP($B151,Kraftvärmeprod!$B$1:$BX$549,MATCH(M$2,Kraftvärmeprod!$B$1:$VX$1,0),FALSE)/1,0)-IFERROR(VLOOKUP($B151,'Slutlig allokering kvv'!$B$2:$BX$549,MATCH(M$2,'Slutlig allokering kvv'!$B$1:$BX$1,0),FALSE)/1,0))</f>
        <v/>
      </c>
      <c r="N151" s="121" t="str">
        <f>IF($D151="","",IFERROR(VLOOKUP($B151,Kraftvärmeprod!$B$1:$BX$549,MATCH(N$2,Kraftvärmeprod!$B$1:$VX$1,0),FALSE)/1,0)-IFERROR(VLOOKUP($B151,'Slutlig allokering kvv'!$B$2:$BX$549,MATCH(N$2,'Slutlig allokering kvv'!$B$1:$BX$1,0),FALSE)/1,0))</f>
        <v/>
      </c>
      <c r="O151" s="121" t="str">
        <f>IF($D151="","",IFERROR(VLOOKUP($B151,Kraftvärmeprod!$B$1:$BX$549,MATCH(O$2,Kraftvärmeprod!$B$1:$VX$1,0),FALSE)/1,0)-IFERROR(VLOOKUP($B151,'Slutlig allokering kvv'!$B$2:$BX$549,MATCH(O$2,'Slutlig allokering kvv'!$B$1:$BX$1,0),FALSE)/1,0))</f>
        <v/>
      </c>
      <c r="P151" s="121" t="str">
        <f>IF($D151="","",IFERROR(VLOOKUP($B151,Kraftvärmeprod!$B$1:$BX$549,MATCH(P$2,Kraftvärmeprod!$B$1:$VX$1,0),FALSE)/1,0)-IFERROR(VLOOKUP($B151,'Slutlig allokering kvv'!$B$2:$BX$549,MATCH(P$2,'Slutlig allokering kvv'!$B$1:$BX$1,0),FALSE)/1,0))</f>
        <v/>
      </c>
      <c r="Q151" s="121" t="str">
        <f>IF($D151="","",IFERROR(VLOOKUP($B151,Kraftvärmeprod!$B$1:$BX$549,MATCH(Q$2,Kraftvärmeprod!$B$1:$VX$1,0),FALSE)/1,0)-IFERROR(VLOOKUP($B151,'Slutlig allokering kvv'!$B$2:$BX$549,MATCH(Q$2,'Slutlig allokering kvv'!$B$1:$BX$1,0),FALSE)/1,0))</f>
        <v/>
      </c>
      <c r="R151" s="121" t="str">
        <f>IF($D151="","",IFERROR(VLOOKUP($B151,Kraftvärmeprod!$B$1:$BX$549,MATCH(R$2,Kraftvärmeprod!$B$1:$VX$1,0),FALSE)/1,0)-IFERROR(VLOOKUP($B151,'Slutlig allokering kvv'!$B$2:$BX$549,MATCH(R$2,'Slutlig allokering kvv'!$B$1:$BX$1,0),FALSE)/1,0))</f>
        <v/>
      </c>
      <c r="S151" s="121" t="str">
        <f>IF($D151="","",IFERROR(VLOOKUP($B151,Kraftvärmeprod!$B$1:$BX$549,MATCH(S$2,Kraftvärmeprod!$B$1:$VX$1,0),FALSE)/1,0)-IFERROR(VLOOKUP($B151,'Slutlig allokering kvv'!$B$2:$BX$549,MATCH(S$2,'Slutlig allokering kvv'!$B$1:$BX$1,0),FALSE)/1,0))</f>
        <v/>
      </c>
      <c r="T151" s="121" t="str">
        <f>IF($D151="","",IFERROR(VLOOKUP($B151,Kraftvärmeprod!$B$1:$BX$549,MATCH(T$2,Kraftvärmeprod!$B$1:$VX$1,0),FALSE)/1,0)-IFERROR(VLOOKUP($B151,'Slutlig allokering kvv'!$B$2:$BX$549,MATCH(T$2,'Slutlig allokering kvv'!$B$1:$BX$1,0),FALSE)/1,0))</f>
        <v/>
      </c>
      <c r="U151" s="121" t="str">
        <f>IF($D151="","",IFERROR(VLOOKUP($B151,Kraftvärmeprod!$B$1:$BX$549,MATCH(U$2,Kraftvärmeprod!$B$1:$VX$1,0),FALSE)/1,0)-IFERROR(VLOOKUP($B151,'Slutlig allokering kvv'!$B$2:$BX$549,MATCH(U$2,'Slutlig allokering kvv'!$B$1:$BX$1,0),FALSE)/1,0))</f>
        <v/>
      </c>
      <c r="V151" s="121" t="str">
        <f>IF($D151="","",IFERROR(VLOOKUP($B151,Kraftvärmeprod!$B$1:$BX$549,MATCH(V$2,Kraftvärmeprod!$B$1:$VX$1,0),FALSE)/1,0)-IFERROR(VLOOKUP($B151,'Slutlig allokering kvv'!$B$2:$BX$549,MATCH(V$2,'Slutlig allokering kvv'!$B$1:$BX$1,0),FALSE)/1,0))</f>
        <v/>
      </c>
      <c r="W151" s="121" t="str">
        <f>IF($D151="","",IFERROR(VLOOKUP($B151,Kraftvärmeprod!$B$1:$BX$549,MATCH(W$2,Kraftvärmeprod!$B$1:$VX$1,0),FALSE)/1,0)-IFERROR(VLOOKUP($B151,'Slutlig allokering kvv'!$B$2:$BX$549,MATCH(W$2,'Slutlig allokering kvv'!$B$1:$BX$1,0),FALSE)/1,0))</f>
        <v/>
      </c>
      <c r="X151" s="121" t="str">
        <f>IF($D151="","",IFERROR(VLOOKUP($B151,Kraftvärmeprod!$B$1:$BX$549,MATCH(X$2,Kraftvärmeprod!$B$1:$VX$1,0),FALSE)/1,0)-IFERROR(VLOOKUP($B151,'Slutlig allokering kvv'!$B$2:$BX$549,MATCH(X$2,'Slutlig allokering kvv'!$B$1:$BX$1,0),FALSE)/1,0))</f>
        <v/>
      </c>
      <c r="Y151" s="121" t="str">
        <f>IF($D151="","",IFERROR(VLOOKUP($B151,Kraftvärmeprod!$B$1:$BX$549,MATCH(Y$2,Kraftvärmeprod!$B$1:$VX$1,0),FALSE)/1,0)-IFERROR(VLOOKUP($B151,'Slutlig allokering kvv'!$B$2:$BX$549,MATCH(Y$2,'Slutlig allokering kvv'!$B$1:$BX$1,0),FALSE)/1,0))</f>
        <v/>
      </c>
      <c r="Z151" s="121" t="str">
        <f>IF($D151="","",IFERROR(VLOOKUP($B151,Kraftvärmeprod!$B$1:$BX$549,MATCH(Z$2,Kraftvärmeprod!$B$1:$VX$1,0),FALSE)/1,0)-IFERROR(VLOOKUP($B151,'Slutlig allokering kvv'!$B$2:$BX$549,MATCH(Z$2,'Slutlig allokering kvv'!$B$1:$BX$1,0),FALSE)/1,0))</f>
        <v/>
      </c>
      <c r="AA151" s="121" t="str">
        <f>IF($D151="","",IFERROR(VLOOKUP($B151,Kraftvärmeprod!$B$1:$BX$549,MATCH(AA$2,Kraftvärmeprod!$B$1:$VX$1,0),FALSE)/1,0)-IFERROR(VLOOKUP($B151,'Slutlig allokering kvv'!$B$2:$BX$549,MATCH(AA$2,'Slutlig allokering kvv'!$B$1:$BX$1,0),FALSE)/1,0))</f>
        <v/>
      </c>
      <c r="AB151" s="121" t="str">
        <f>IF($D151="","",IFERROR(VLOOKUP($B151,Kraftvärmeprod!$B$1:$BX$549,MATCH(AB$2,Kraftvärmeprod!$B$1:$VX$1,0),FALSE)/1,0)-IFERROR(VLOOKUP($B151,'Slutlig allokering kvv'!$B$2:$BX$549,MATCH(AB$2,'Slutlig allokering kvv'!$B$1:$BX$1,0),FALSE)/1,0))</f>
        <v/>
      </c>
      <c r="AC151" s="121" t="str">
        <f>IF($D151="","",IFERROR(VLOOKUP($B151,Kraftvärmeprod!$B$1:$BX$549,MATCH(AC$2,Kraftvärmeprod!$B$1:$VX$1,0),FALSE)/1,0)-IFERROR(VLOOKUP($B151,'Slutlig allokering kvv'!$B$2:$BX$549,MATCH(AC$2,'Slutlig allokering kvv'!$B$1:$BX$1,0),FALSE)/1,0))</f>
        <v/>
      </c>
      <c r="AD151" s="121" t="str">
        <f>IF($D151="","",IFERROR(VLOOKUP($B151,Kraftvärmeprod!$B$1:$BX$549,MATCH(AD$2,Kraftvärmeprod!$B$1:$VX$1,0),FALSE)/1,0)-IFERROR(VLOOKUP($B151,'Slutlig allokering kvv'!$B$2:$BX$549,MATCH(AD$2,'Slutlig allokering kvv'!$B$1:$BX$1,0),FALSE)/1,0))</f>
        <v/>
      </c>
      <c r="AE151" s="121" t="str">
        <f>IF($D151="","",IFERROR(VLOOKUP($B151,Miljö!$B$1:$E$550,MATCH("Hjälpel kraftvärme (GWh)",Miljö!$B$1:$E$1,0),FALSE)/1,0)-IFERROR(VLOOKUP($B151,'Slutlig allokering kvv'!$B$2:$BX$549,MATCH(AE$2,'Slutlig allokering kvv'!$B$1:$BX$1,0),FALSE)/1,0))</f>
        <v/>
      </c>
      <c r="AI151" s="121">
        <f t="shared" si="8"/>
        <v>0</v>
      </c>
      <c r="AK151" s="121">
        <f>IFERROR(VLOOKUP($B151,'Slutlig allokering kvv'!$B$2:$AX$549,MATCH("Summa slutlig allokerad tillförd energi (utan hjälpel och rökgaskondensering):",'Slutlig allokering kvv'!$B$1:$AX$1,0),FALSE)/1,"")</f>
        <v>0</v>
      </c>
      <c r="AM151" s="172" t="str">
        <f>IFERROR(1-VLOOKUP($B151,'Slutlig allokering kvv'!$B$2:$AX$549,MATCH("Andel av bränsle i kvv som allokerats till värme, exklusive rökgaskondensering och hjälpel",'Slutlig allokering kvv'!$B$1:$AX$1,0),FALSE),"")</f>
        <v/>
      </c>
      <c r="AO151" s="172" t="str">
        <f t="shared" si="9"/>
        <v/>
      </c>
      <c r="AP151" s="173" t="str">
        <f t="shared" si="10"/>
        <v/>
      </c>
      <c r="AR151" s="172" t="str">
        <f t="shared" si="11"/>
        <v/>
      </c>
    </row>
    <row r="152" spans="1:44" x14ac:dyDescent="0.25">
      <c r="A152" s="171" t="str">
        <f>'Miljövärden för publ företag'!B154</f>
        <v>Lidköping Energi AB</v>
      </c>
      <c r="B152" s="171" t="str">
        <f>'Miljövärden för publ företag'!C154</f>
        <v>Klimateffektiv fjärrvärme</v>
      </c>
      <c r="C152" s="121">
        <f>IFERROR(VLOOKUP($B152,Kraftvärmeprod!$B$1:$AH$478,MATCH(C$2,Kraftvärmeprod!$B$1:$AG$1,0),FALSE)/1,"")</f>
        <v>63.744</v>
      </c>
      <c r="D152" s="121" t="str">
        <f>IFERROR(VLOOKUP($B152,Kraftvärmeprod!$B$1:$AH$478,MATCH(D$2,Kraftvärmeprod!$B$1:$AG$1,0),FALSE)/1,"")</f>
        <v/>
      </c>
      <c r="F152" s="121" t="str">
        <f>IF($D152="","",IFERROR(VLOOKUP($B152,Kraftvärmeprod!$B$1:$BX$549,MATCH(F$2,Kraftvärmeprod!$B$1:$VX$1,0),FALSE)/1,0)-IFERROR(VLOOKUP($B152,'Slutlig allokering kvv'!$B$2:$BX$549,MATCH(F$2,'Slutlig allokering kvv'!$B$1:$BX$1,0),FALSE)/1,0))</f>
        <v/>
      </c>
      <c r="G152" s="121" t="str">
        <f>IF($D152="","",IFERROR(VLOOKUP($B152,Kraftvärmeprod!$B$1:$BX$549,MATCH(G$2,Kraftvärmeprod!$B$1:$VX$1,0),FALSE)/1,0)-IFERROR(VLOOKUP($B152,'Slutlig allokering kvv'!$B$2:$BX$549,MATCH(G$2,'Slutlig allokering kvv'!$B$1:$BX$1,0),FALSE)/1,0))</f>
        <v/>
      </c>
      <c r="H152" s="121" t="str">
        <f>IF($D152="","",IFERROR(VLOOKUP($B152,Kraftvärmeprod!$B$1:$BX$549,MATCH(H$2,Kraftvärmeprod!$B$1:$VX$1,0),FALSE)/1,0)-IFERROR(VLOOKUP($B152,'Slutlig allokering kvv'!$B$2:$BX$549,MATCH(H$2,'Slutlig allokering kvv'!$B$1:$BX$1,0),FALSE)/1,0))</f>
        <v/>
      </c>
      <c r="I152" s="121" t="str">
        <f>IF($D152="","",IFERROR(VLOOKUP($B152,Kraftvärmeprod!$B$1:$BX$549,MATCH(I$2,Kraftvärmeprod!$B$1:$VX$1,0),FALSE)/1,0)-IFERROR(VLOOKUP($B152,'Slutlig allokering kvv'!$B$2:$BX$549,MATCH(I$2,'Slutlig allokering kvv'!$B$1:$BX$1,0),FALSE)/1,0))</f>
        <v/>
      </c>
      <c r="J152" s="121" t="str">
        <f>IF($D152="","",IFERROR(VLOOKUP($B152,Kraftvärmeprod!$B$1:$BX$549,MATCH(J$2,Kraftvärmeprod!$B$1:$VX$1,0),FALSE)/1,0)-IFERROR(VLOOKUP($B152,'Slutlig allokering kvv'!$B$2:$BX$549,MATCH(J$2,'Slutlig allokering kvv'!$B$1:$BX$1,0),FALSE)/1,0))</f>
        <v/>
      </c>
      <c r="K152" s="121" t="str">
        <f>IF($D152="","",IFERROR(VLOOKUP($B152,Kraftvärmeprod!$B$1:$BX$549,MATCH(K$2,Kraftvärmeprod!$B$1:$VX$1,0),FALSE)/1,0)-IFERROR(VLOOKUP($B152,'Slutlig allokering kvv'!$B$2:$BX$549,MATCH(K$2,'Slutlig allokering kvv'!$B$1:$BX$1,0),FALSE)/1,0))</f>
        <v/>
      </c>
      <c r="L152" s="121" t="str">
        <f>IF($D152="","",IFERROR(VLOOKUP($B152,Kraftvärmeprod!$B$1:$BX$549,MATCH(L$2,Kraftvärmeprod!$B$1:$VX$1,0),FALSE)/1,0)-IFERROR(VLOOKUP($B152,'Slutlig allokering kvv'!$B$2:$BX$549,MATCH(L$2,'Slutlig allokering kvv'!$B$1:$BX$1,0),FALSE)/1,0))</f>
        <v/>
      </c>
      <c r="M152" s="121" t="str">
        <f>IF($D152="","",IFERROR(VLOOKUP($B152,Kraftvärmeprod!$B$1:$BX$549,MATCH(M$2,Kraftvärmeprod!$B$1:$VX$1,0),FALSE)/1,0)-IFERROR(VLOOKUP($B152,'Slutlig allokering kvv'!$B$2:$BX$549,MATCH(M$2,'Slutlig allokering kvv'!$B$1:$BX$1,0),FALSE)/1,0))</f>
        <v/>
      </c>
      <c r="N152" s="121" t="str">
        <f>IF($D152="","",IFERROR(VLOOKUP($B152,Kraftvärmeprod!$B$1:$BX$549,MATCH(N$2,Kraftvärmeprod!$B$1:$VX$1,0),FALSE)/1,0)-IFERROR(VLOOKUP($B152,'Slutlig allokering kvv'!$B$2:$BX$549,MATCH(N$2,'Slutlig allokering kvv'!$B$1:$BX$1,0),FALSE)/1,0))</f>
        <v/>
      </c>
      <c r="O152" s="121" t="str">
        <f>IF($D152="","",IFERROR(VLOOKUP($B152,Kraftvärmeprod!$B$1:$BX$549,MATCH(O$2,Kraftvärmeprod!$B$1:$VX$1,0),FALSE)/1,0)-IFERROR(VLOOKUP($B152,'Slutlig allokering kvv'!$B$2:$BX$549,MATCH(O$2,'Slutlig allokering kvv'!$B$1:$BX$1,0),FALSE)/1,0))</f>
        <v/>
      </c>
      <c r="P152" s="121" t="str">
        <f>IF($D152="","",IFERROR(VLOOKUP($B152,Kraftvärmeprod!$B$1:$BX$549,MATCH(P$2,Kraftvärmeprod!$B$1:$VX$1,0),FALSE)/1,0)-IFERROR(VLOOKUP($B152,'Slutlig allokering kvv'!$B$2:$BX$549,MATCH(P$2,'Slutlig allokering kvv'!$B$1:$BX$1,0),FALSE)/1,0))</f>
        <v/>
      </c>
      <c r="Q152" s="121" t="str">
        <f>IF($D152="","",IFERROR(VLOOKUP($B152,Kraftvärmeprod!$B$1:$BX$549,MATCH(Q$2,Kraftvärmeprod!$B$1:$VX$1,0),FALSE)/1,0)-IFERROR(VLOOKUP($B152,'Slutlig allokering kvv'!$B$2:$BX$549,MATCH(Q$2,'Slutlig allokering kvv'!$B$1:$BX$1,0),FALSE)/1,0))</f>
        <v/>
      </c>
      <c r="R152" s="121" t="str">
        <f>IF($D152="","",IFERROR(VLOOKUP($B152,Kraftvärmeprod!$B$1:$BX$549,MATCH(R$2,Kraftvärmeprod!$B$1:$VX$1,0),FALSE)/1,0)-IFERROR(VLOOKUP($B152,'Slutlig allokering kvv'!$B$2:$BX$549,MATCH(R$2,'Slutlig allokering kvv'!$B$1:$BX$1,0),FALSE)/1,0))</f>
        <v/>
      </c>
      <c r="S152" s="121" t="str">
        <f>IF($D152="","",IFERROR(VLOOKUP($B152,Kraftvärmeprod!$B$1:$BX$549,MATCH(S$2,Kraftvärmeprod!$B$1:$VX$1,0),FALSE)/1,0)-IFERROR(VLOOKUP($B152,'Slutlig allokering kvv'!$B$2:$BX$549,MATCH(S$2,'Slutlig allokering kvv'!$B$1:$BX$1,0),FALSE)/1,0))</f>
        <v/>
      </c>
      <c r="T152" s="121" t="str">
        <f>IF($D152="","",IFERROR(VLOOKUP($B152,Kraftvärmeprod!$B$1:$BX$549,MATCH(T$2,Kraftvärmeprod!$B$1:$VX$1,0),FALSE)/1,0)-IFERROR(VLOOKUP($B152,'Slutlig allokering kvv'!$B$2:$BX$549,MATCH(T$2,'Slutlig allokering kvv'!$B$1:$BX$1,0),FALSE)/1,0))</f>
        <v/>
      </c>
      <c r="U152" s="121" t="str">
        <f>IF($D152="","",IFERROR(VLOOKUP($B152,Kraftvärmeprod!$B$1:$BX$549,MATCH(U$2,Kraftvärmeprod!$B$1:$VX$1,0),FALSE)/1,0)-IFERROR(VLOOKUP($B152,'Slutlig allokering kvv'!$B$2:$BX$549,MATCH(U$2,'Slutlig allokering kvv'!$B$1:$BX$1,0),FALSE)/1,0))</f>
        <v/>
      </c>
      <c r="V152" s="121" t="str">
        <f>IF($D152="","",IFERROR(VLOOKUP($B152,Kraftvärmeprod!$B$1:$BX$549,MATCH(V$2,Kraftvärmeprod!$B$1:$VX$1,0),FALSE)/1,0)-IFERROR(VLOOKUP($B152,'Slutlig allokering kvv'!$B$2:$BX$549,MATCH(V$2,'Slutlig allokering kvv'!$B$1:$BX$1,0),FALSE)/1,0))</f>
        <v/>
      </c>
      <c r="W152" s="121" t="str">
        <f>IF($D152="","",IFERROR(VLOOKUP($B152,Kraftvärmeprod!$B$1:$BX$549,MATCH(W$2,Kraftvärmeprod!$B$1:$VX$1,0),FALSE)/1,0)-IFERROR(VLOOKUP($B152,'Slutlig allokering kvv'!$B$2:$BX$549,MATCH(W$2,'Slutlig allokering kvv'!$B$1:$BX$1,0),FALSE)/1,0))</f>
        <v/>
      </c>
      <c r="X152" s="121" t="str">
        <f>IF($D152="","",IFERROR(VLOOKUP($B152,Kraftvärmeprod!$B$1:$BX$549,MATCH(X$2,Kraftvärmeprod!$B$1:$VX$1,0),FALSE)/1,0)-IFERROR(VLOOKUP($B152,'Slutlig allokering kvv'!$B$2:$BX$549,MATCH(X$2,'Slutlig allokering kvv'!$B$1:$BX$1,0),FALSE)/1,0))</f>
        <v/>
      </c>
      <c r="Y152" s="121" t="str">
        <f>IF($D152="","",IFERROR(VLOOKUP($B152,Kraftvärmeprod!$B$1:$BX$549,MATCH(Y$2,Kraftvärmeprod!$B$1:$VX$1,0),FALSE)/1,0)-IFERROR(VLOOKUP($B152,'Slutlig allokering kvv'!$B$2:$BX$549,MATCH(Y$2,'Slutlig allokering kvv'!$B$1:$BX$1,0),FALSE)/1,0))</f>
        <v/>
      </c>
      <c r="Z152" s="121" t="str">
        <f>IF($D152="","",IFERROR(VLOOKUP($B152,Kraftvärmeprod!$B$1:$BX$549,MATCH(Z$2,Kraftvärmeprod!$B$1:$VX$1,0),FALSE)/1,0)-IFERROR(VLOOKUP($B152,'Slutlig allokering kvv'!$B$2:$BX$549,MATCH(Z$2,'Slutlig allokering kvv'!$B$1:$BX$1,0),FALSE)/1,0))</f>
        <v/>
      </c>
      <c r="AA152" s="121" t="str">
        <f>IF($D152="","",IFERROR(VLOOKUP($B152,Kraftvärmeprod!$B$1:$BX$549,MATCH(AA$2,Kraftvärmeprod!$B$1:$VX$1,0),FALSE)/1,0)-IFERROR(VLOOKUP($B152,'Slutlig allokering kvv'!$B$2:$BX$549,MATCH(AA$2,'Slutlig allokering kvv'!$B$1:$BX$1,0),FALSE)/1,0))</f>
        <v/>
      </c>
      <c r="AB152" s="121" t="str">
        <f>IF($D152="","",IFERROR(VLOOKUP($B152,Kraftvärmeprod!$B$1:$BX$549,MATCH(AB$2,Kraftvärmeprod!$B$1:$VX$1,0),FALSE)/1,0)-IFERROR(VLOOKUP($B152,'Slutlig allokering kvv'!$B$2:$BX$549,MATCH(AB$2,'Slutlig allokering kvv'!$B$1:$BX$1,0),FALSE)/1,0))</f>
        <v/>
      </c>
      <c r="AC152" s="121" t="str">
        <f>IF($D152="","",IFERROR(VLOOKUP($B152,Kraftvärmeprod!$B$1:$BX$549,MATCH(AC$2,Kraftvärmeprod!$B$1:$VX$1,0),FALSE)/1,0)-IFERROR(VLOOKUP($B152,'Slutlig allokering kvv'!$B$2:$BX$549,MATCH(AC$2,'Slutlig allokering kvv'!$B$1:$BX$1,0),FALSE)/1,0))</f>
        <v/>
      </c>
      <c r="AD152" s="121" t="str">
        <f>IF($D152="","",IFERROR(VLOOKUP($B152,Kraftvärmeprod!$B$1:$BX$549,MATCH(AD$2,Kraftvärmeprod!$B$1:$VX$1,0),FALSE)/1,0)-IFERROR(VLOOKUP($B152,'Slutlig allokering kvv'!$B$2:$BX$549,MATCH(AD$2,'Slutlig allokering kvv'!$B$1:$BX$1,0),FALSE)/1,0))</f>
        <v/>
      </c>
      <c r="AE152" s="121" t="str">
        <f>IF($D152="","",IFERROR(VLOOKUP($B152,Miljö!$B$1:$E$550,MATCH("Hjälpel kraftvärme (GWh)",Miljö!$B$1:$E$1,0),FALSE)/1,0)-IFERROR(VLOOKUP($B152,'Slutlig allokering kvv'!$B$2:$BX$549,MATCH(AE$2,'Slutlig allokering kvv'!$B$1:$BX$1,0),FALSE)/1,0))</f>
        <v/>
      </c>
      <c r="AI152" s="121">
        <f t="shared" si="8"/>
        <v>0</v>
      </c>
      <c r="AK152" s="121">
        <f>IFERROR(VLOOKUP($B152,'Slutlig allokering kvv'!$B$2:$AX$549,MATCH("Summa slutlig allokerad tillförd energi (utan hjälpel och rökgaskondensering):",'Slutlig allokering kvv'!$B$1:$AX$1,0),FALSE)/1,"")</f>
        <v>55.459999999999994</v>
      </c>
      <c r="AM152" s="172">
        <f>IFERROR(1-VLOOKUP($B152,'Slutlig allokering kvv'!$B$2:$AX$549,MATCH("Andel av bränsle i kvv som allokerats till värme, exklusive rökgaskondensering och hjälpel",'Slutlig allokering kvv'!$B$1:$AX$1,0),FALSE),"")</f>
        <v>1.1102230246251565E-16</v>
      </c>
      <c r="AO152" s="172">
        <f t="shared" si="9"/>
        <v>0</v>
      </c>
      <c r="AP152" s="173">
        <f t="shared" si="10"/>
        <v>1.1102230246251565E-16</v>
      </c>
      <c r="AR152" s="172" t="str">
        <f t="shared" si="11"/>
        <v/>
      </c>
    </row>
    <row r="153" spans="1:44" x14ac:dyDescent="0.25">
      <c r="A153" s="171" t="str">
        <f>'Miljövärden för publ företag'!B155</f>
        <v>Lidköping Energi AB</v>
      </c>
      <c r="B153" s="171" t="str">
        <f>'Miljövärden för publ företag'!C155</f>
        <v>Lidköping</v>
      </c>
      <c r="C153" s="121">
        <f>IFERROR(VLOOKUP($B153,Kraftvärmeprod!$B$1:$AH$478,MATCH(C$2,Kraftvärmeprod!$B$1:$AG$1,0),FALSE)/1,"")</f>
        <v>103.191</v>
      </c>
      <c r="D153" s="121">
        <f>IFERROR(VLOOKUP($B153,Kraftvärmeprod!$B$1:$AH$478,MATCH(D$2,Kraftvärmeprod!$B$1:$AG$1,0),FALSE)/1,"")</f>
        <v>22.69</v>
      </c>
      <c r="F153" s="121">
        <f>IF($D153="","",IFERROR(VLOOKUP($B153,Kraftvärmeprod!$B$1:$BX$549,MATCH(F$2,Kraftvärmeprod!$B$1:$VX$1,0),FALSE)/1,0)-IFERROR(VLOOKUP($B153,'Slutlig allokering kvv'!$B$2:$BX$549,MATCH(F$2,'Slutlig allokering kvv'!$B$1:$BX$1,0),FALSE)/1,0))</f>
        <v>0</v>
      </c>
      <c r="G153" s="121">
        <f>IF($D153="","",IFERROR(VLOOKUP($B153,Kraftvärmeprod!$B$1:$BX$549,MATCH(G$2,Kraftvärmeprod!$B$1:$VX$1,0),FALSE)/1,0)-IFERROR(VLOOKUP($B153,'Slutlig allokering kvv'!$B$2:$BX$549,MATCH(G$2,'Slutlig allokering kvv'!$B$1:$BX$1,0),FALSE)/1,0))</f>
        <v>0</v>
      </c>
      <c r="H153" s="121">
        <f>IF($D153="","",IFERROR(VLOOKUP($B153,Kraftvärmeprod!$B$1:$BX$549,MATCH(H$2,Kraftvärmeprod!$B$1:$VX$1,0),FALSE)/1,0)-IFERROR(VLOOKUP($B153,'Slutlig allokering kvv'!$B$2:$BX$549,MATCH(H$2,'Slutlig allokering kvv'!$B$1:$BX$1,0),FALSE)/1,0))</f>
        <v>0</v>
      </c>
      <c r="I153" s="121">
        <f>IF($D153="","",IFERROR(VLOOKUP($B153,Kraftvärmeprod!$B$1:$BX$549,MATCH(I$2,Kraftvärmeprod!$B$1:$VX$1,0),FALSE)/1,0)-IFERROR(VLOOKUP($B153,'Slutlig allokering kvv'!$B$2:$BX$549,MATCH(I$2,'Slutlig allokering kvv'!$B$1:$BX$1,0),FALSE)/1,0))</f>
        <v>0</v>
      </c>
      <c r="J153" s="121">
        <f>IF($D153="","",IFERROR(VLOOKUP($B153,Kraftvärmeprod!$B$1:$BX$549,MATCH(J$2,Kraftvärmeprod!$B$1:$VX$1,0),FALSE)/1,0)-IFERROR(VLOOKUP($B153,'Slutlig allokering kvv'!$B$2:$BX$549,MATCH(J$2,'Slutlig allokering kvv'!$B$1:$BX$1,0),FALSE)/1,0))</f>
        <v>0</v>
      </c>
      <c r="K153" s="121">
        <f>IF($D153="","",IFERROR(VLOOKUP($B153,Kraftvärmeprod!$B$1:$BX$549,MATCH(K$2,Kraftvärmeprod!$B$1:$VX$1,0),FALSE)/1,0)-IFERROR(VLOOKUP($B153,'Slutlig allokering kvv'!$B$2:$BX$549,MATCH(K$2,'Slutlig allokering kvv'!$B$1:$BX$1,0),FALSE)/1,0))</f>
        <v>0</v>
      </c>
      <c r="L153" s="121">
        <f>IF($D153="","",IFERROR(VLOOKUP($B153,Kraftvärmeprod!$B$1:$BX$549,MATCH(L$2,Kraftvärmeprod!$B$1:$VX$1,0),FALSE)/1,0)-IFERROR(VLOOKUP($B153,'Slutlig allokering kvv'!$B$2:$BX$549,MATCH(L$2,'Slutlig allokering kvv'!$B$1:$BX$1,0),FALSE)/1,0))</f>
        <v>0</v>
      </c>
      <c r="M153" s="121">
        <f>IF($D153="","",IFERROR(VLOOKUP($B153,Kraftvärmeprod!$B$1:$BX$549,MATCH(M$2,Kraftvärmeprod!$B$1:$VX$1,0),FALSE)/1,0)-IFERROR(VLOOKUP($B153,'Slutlig allokering kvv'!$B$2:$BX$549,MATCH(M$2,'Slutlig allokering kvv'!$B$1:$BX$1,0),FALSE)/1,0))</f>
        <v>0</v>
      </c>
      <c r="N153" s="121">
        <f>IF($D153="","",IFERROR(VLOOKUP($B153,Kraftvärmeprod!$B$1:$BX$549,MATCH(N$2,Kraftvärmeprod!$B$1:$VX$1,0),FALSE)/1,0)-IFERROR(VLOOKUP($B153,'Slutlig allokering kvv'!$B$2:$BX$549,MATCH(N$2,'Slutlig allokering kvv'!$B$1:$BX$1,0),FALSE)/1,0))</f>
        <v>0</v>
      </c>
      <c r="O153" s="121">
        <f>IF($D153="","",IFERROR(VLOOKUP($B153,Kraftvärmeprod!$B$1:$BX$549,MATCH(O$2,Kraftvärmeprod!$B$1:$VX$1,0),FALSE)/1,0)-IFERROR(VLOOKUP($B153,'Slutlig allokering kvv'!$B$2:$BX$549,MATCH(O$2,'Slutlig allokering kvv'!$B$1:$BX$1,0),FALSE)/1,0))</f>
        <v>0</v>
      </c>
      <c r="P153" s="121">
        <f>IF($D153="","",IFERROR(VLOOKUP($B153,Kraftvärmeprod!$B$1:$BX$549,MATCH(P$2,Kraftvärmeprod!$B$1:$VX$1,0),FALSE)/1,0)-IFERROR(VLOOKUP($B153,'Slutlig allokering kvv'!$B$2:$BX$549,MATCH(P$2,'Slutlig allokering kvv'!$B$1:$BX$1,0),FALSE)/1,0))</f>
        <v>0</v>
      </c>
      <c r="Q153" s="121">
        <f>IF($D153="","",IFERROR(VLOOKUP($B153,Kraftvärmeprod!$B$1:$BX$549,MATCH(Q$2,Kraftvärmeprod!$B$1:$VX$1,0),FALSE)/1,0)-IFERROR(VLOOKUP($B153,'Slutlig allokering kvv'!$B$2:$BX$549,MATCH(Q$2,'Slutlig allokering kvv'!$B$1:$BX$1,0),FALSE)/1,0))</f>
        <v>0</v>
      </c>
      <c r="R153" s="121">
        <f>IF($D153="","",IFERROR(VLOOKUP($B153,Kraftvärmeprod!$B$1:$BX$549,MATCH(R$2,Kraftvärmeprod!$B$1:$VX$1,0),FALSE)/1,0)-IFERROR(VLOOKUP($B153,'Slutlig allokering kvv'!$B$2:$BX$549,MATCH(R$2,'Slutlig allokering kvv'!$B$1:$BX$1,0),FALSE)/1,0))</f>
        <v>0</v>
      </c>
      <c r="S153" s="121">
        <f>IF($D153="","",IFERROR(VLOOKUP($B153,Kraftvärmeprod!$B$1:$BX$549,MATCH(S$2,Kraftvärmeprod!$B$1:$VX$1,0),FALSE)/1,0)-IFERROR(VLOOKUP($B153,'Slutlig allokering kvv'!$B$2:$BX$549,MATCH(S$2,'Slutlig allokering kvv'!$B$1:$BX$1,0),FALSE)/1,0))</f>
        <v>0</v>
      </c>
      <c r="T153" s="121">
        <f>IF($D153="","",IFERROR(VLOOKUP($B153,Kraftvärmeprod!$B$1:$BX$549,MATCH(T$2,Kraftvärmeprod!$B$1:$VX$1,0),FALSE)/1,0)-IFERROR(VLOOKUP($B153,'Slutlig allokering kvv'!$B$2:$BX$549,MATCH(T$2,'Slutlig allokering kvv'!$B$1:$BX$1,0),FALSE)/1,0))</f>
        <v>0</v>
      </c>
      <c r="U153" s="121">
        <f>IF($D153="","",IFERROR(VLOOKUP($B153,Kraftvärmeprod!$B$1:$BX$549,MATCH(U$2,Kraftvärmeprod!$B$1:$VX$1,0),FALSE)/1,0)-IFERROR(VLOOKUP($B153,'Slutlig allokering kvv'!$B$2:$BX$549,MATCH(U$2,'Slutlig allokering kvv'!$B$1:$BX$1,0),FALSE)/1,0))</f>
        <v>0</v>
      </c>
      <c r="V153" s="121">
        <f>IF($D153="","",IFERROR(VLOOKUP($B153,Kraftvärmeprod!$B$1:$BX$549,MATCH(V$2,Kraftvärmeprod!$B$1:$VX$1,0),FALSE)/1,0)-IFERROR(VLOOKUP($B153,'Slutlig allokering kvv'!$B$2:$BX$549,MATCH(V$2,'Slutlig allokering kvv'!$B$1:$BX$1,0),FALSE)/1,0))</f>
        <v>0</v>
      </c>
      <c r="W153" s="121">
        <f>IF($D153="","",IFERROR(VLOOKUP($B153,Kraftvärmeprod!$B$1:$BX$549,MATCH(W$2,Kraftvärmeprod!$B$1:$VX$1,0),FALSE)/1,0)-IFERROR(VLOOKUP($B153,'Slutlig allokering kvv'!$B$2:$BX$549,MATCH(W$2,'Slutlig allokering kvv'!$B$1:$BX$1,0),FALSE)/1,0))</f>
        <v>0</v>
      </c>
      <c r="X153" s="121">
        <f>IF($D153="","",IFERROR(VLOOKUP($B153,Kraftvärmeprod!$B$1:$BX$549,MATCH(X$2,Kraftvärmeprod!$B$1:$VX$1,0),FALSE)/1,0)-IFERROR(VLOOKUP($B153,'Slutlig allokering kvv'!$B$2:$BX$549,MATCH(X$2,'Slutlig allokering kvv'!$B$1:$BX$1,0),FALSE)/1,0))</f>
        <v>0</v>
      </c>
      <c r="Y153" s="121">
        <f>IF($D153="","",IFERROR(VLOOKUP($B153,Kraftvärmeprod!$B$1:$BX$549,MATCH(Y$2,Kraftvärmeprod!$B$1:$VX$1,0),FALSE)/1,0)-IFERROR(VLOOKUP($B153,'Slutlig allokering kvv'!$B$2:$BX$549,MATCH(Y$2,'Slutlig allokering kvv'!$B$1:$BX$1,0),FALSE)/1,0))</f>
        <v>0</v>
      </c>
      <c r="Z153" s="121">
        <f>IF($D153="","",IFERROR(VLOOKUP($B153,Kraftvärmeprod!$B$1:$BX$549,MATCH(Z$2,Kraftvärmeprod!$B$1:$VX$1,0),FALSE)/1,0)-IFERROR(VLOOKUP($B153,'Slutlig allokering kvv'!$B$2:$BX$549,MATCH(Z$2,'Slutlig allokering kvv'!$B$1:$BX$1,0),FALSE)/1,0))</f>
        <v>0</v>
      </c>
      <c r="AA153" s="121">
        <f>IF($D153="","",IFERROR(VLOOKUP($B153,Kraftvärmeprod!$B$1:$BX$549,MATCH(AA$2,Kraftvärmeprod!$B$1:$VX$1,0),FALSE)/1,0)-IFERROR(VLOOKUP($B153,'Slutlig allokering kvv'!$B$2:$BX$549,MATCH(AA$2,'Slutlig allokering kvv'!$B$1:$BX$1,0),FALSE)/1,0))</f>
        <v>42.619700000000002</v>
      </c>
      <c r="AB153" s="121">
        <f>IF($D153="","",IFERROR(VLOOKUP($B153,Kraftvärmeprod!$B$1:$BX$549,MATCH(AB$2,Kraftvärmeprod!$B$1:$VX$1,0),FALSE)/1,0)-IFERROR(VLOOKUP($B153,'Slutlig allokering kvv'!$B$2:$BX$549,MATCH(AB$2,'Slutlig allokering kvv'!$B$1:$BX$1,0),FALSE)/1,0))</f>
        <v>0</v>
      </c>
      <c r="AC153" s="121">
        <f>IF($D153="","",IFERROR(VLOOKUP($B153,Kraftvärmeprod!$B$1:$BX$549,MATCH(AC$2,Kraftvärmeprod!$B$1:$VX$1,0),FALSE)/1,0)-IFERROR(VLOOKUP($B153,'Slutlig allokering kvv'!$B$2:$BX$549,MATCH(AC$2,'Slutlig allokering kvv'!$B$1:$BX$1,0),FALSE)/1,0))</f>
        <v>0</v>
      </c>
      <c r="AD153" s="121">
        <f>IF($D153="","",IFERROR(VLOOKUP($B153,Kraftvärmeprod!$B$1:$BX$549,MATCH(AD$2,Kraftvärmeprod!$B$1:$VX$1,0),FALSE)/1,0)-IFERROR(VLOOKUP($B153,'Slutlig allokering kvv'!$B$2:$BX$549,MATCH(AD$2,'Slutlig allokering kvv'!$B$1:$BX$1,0),FALSE)/1,0))</f>
        <v>0</v>
      </c>
      <c r="AE153" s="121">
        <f>IF($D153="","",IFERROR(VLOOKUP($B153,Miljö!$B$1:$E$550,MATCH("Hjälpel kraftvärme (GWh)",Miljö!$B$1:$E$1,0),FALSE)/1,0)-IFERROR(VLOOKUP($B153,'Slutlig allokering kvv'!$B$2:$BX$549,MATCH(AE$2,'Slutlig allokering kvv'!$B$1:$BX$1,0),FALSE)/1,0))</f>
        <v>0</v>
      </c>
      <c r="AI153" s="121">
        <f t="shared" si="8"/>
        <v>42.619700000000002</v>
      </c>
      <c r="AK153" s="121">
        <f>IFERROR(VLOOKUP($B153,'Slutlig allokering kvv'!$B$2:$AX$549,MATCH("Summa slutlig allokerad tillförd energi (utan hjälpel och rökgaskondensering):",'Slutlig allokering kvv'!$B$1:$AX$1,0),FALSE)/1,"")</f>
        <v>60.571300000000001</v>
      </c>
      <c r="AM153" s="172">
        <f>IFERROR(1-VLOOKUP($B153,'Slutlig allokering kvv'!$B$2:$AX$549,MATCH("Andel av bränsle i kvv som allokerats till värme, exklusive rökgaskondensering och hjälpel",'Slutlig allokering kvv'!$B$1:$AX$1,0),FALSE),"")</f>
        <v>0.41301760812473953</v>
      </c>
      <c r="AO153" s="172">
        <f t="shared" si="9"/>
        <v>0.41301760812473959</v>
      </c>
      <c r="AP153" s="173">
        <f t="shared" si="10"/>
        <v>-5.5511151231257827E-17</v>
      </c>
      <c r="AR153" s="172">
        <f t="shared" si="11"/>
        <v>0.53238291212749034</v>
      </c>
    </row>
    <row r="154" spans="1:44" x14ac:dyDescent="0.25">
      <c r="A154" s="171" t="str">
        <f>'Miljövärden för publ företag'!B156</f>
        <v>Lilla Edets Fjärrvärme AB</v>
      </c>
      <c r="B154" s="171" t="str">
        <f>'Miljövärden för publ företag'!C156</f>
        <v>Lilla Edet</v>
      </c>
      <c r="C154" s="121" t="str">
        <f>IFERROR(VLOOKUP($B154,Kraftvärmeprod!$B$1:$AH$478,MATCH(C$2,Kraftvärmeprod!$B$1:$AG$1,0),FALSE)/1,"")</f>
        <v/>
      </c>
      <c r="D154" s="121" t="str">
        <f>IFERROR(VLOOKUP($B154,Kraftvärmeprod!$B$1:$AH$478,MATCH(D$2,Kraftvärmeprod!$B$1:$AG$1,0),FALSE)/1,"")</f>
        <v/>
      </c>
      <c r="F154" s="121" t="str">
        <f>IF($D154="","",IFERROR(VLOOKUP($B154,Kraftvärmeprod!$B$1:$BX$549,MATCH(F$2,Kraftvärmeprod!$B$1:$VX$1,0),FALSE)/1,0)-IFERROR(VLOOKUP($B154,'Slutlig allokering kvv'!$B$2:$BX$549,MATCH(F$2,'Slutlig allokering kvv'!$B$1:$BX$1,0),FALSE)/1,0))</f>
        <v/>
      </c>
      <c r="G154" s="121" t="str">
        <f>IF($D154="","",IFERROR(VLOOKUP($B154,Kraftvärmeprod!$B$1:$BX$549,MATCH(G$2,Kraftvärmeprod!$B$1:$VX$1,0),FALSE)/1,0)-IFERROR(VLOOKUP($B154,'Slutlig allokering kvv'!$B$2:$BX$549,MATCH(G$2,'Slutlig allokering kvv'!$B$1:$BX$1,0),FALSE)/1,0))</f>
        <v/>
      </c>
      <c r="H154" s="121" t="str">
        <f>IF($D154="","",IFERROR(VLOOKUP($B154,Kraftvärmeprod!$B$1:$BX$549,MATCH(H$2,Kraftvärmeprod!$B$1:$VX$1,0),FALSE)/1,0)-IFERROR(VLOOKUP($B154,'Slutlig allokering kvv'!$B$2:$BX$549,MATCH(H$2,'Slutlig allokering kvv'!$B$1:$BX$1,0),FALSE)/1,0))</f>
        <v/>
      </c>
      <c r="I154" s="121" t="str">
        <f>IF($D154="","",IFERROR(VLOOKUP($B154,Kraftvärmeprod!$B$1:$BX$549,MATCH(I$2,Kraftvärmeprod!$B$1:$VX$1,0),FALSE)/1,0)-IFERROR(VLOOKUP($B154,'Slutlig allokering kvv'!$B$2:$BX$549,MATCH(I$2,'Slutlig allokering kvv'!$B$1:$BX$1,0),FALSE)/1,0))</f>
        <v/>
      </c>
      <c r="J154" s="121" t="str">
        <f>IF($D154="","",IFERROR(VLOOKUP($B154,Kraftvärmeprod!$B$1:$BX$549,MATCH(J$2,Kraftvärmeprod!$B$1:$VX$1,0),FALSE)/1,0)-IFERROR(VLOOKUP($B154,'Slutlig allokering kvv'!$B$2:$BX$549,MATCH(J$2,'Slutlig allokering kvv'!$B$1:$BX$1,0),FALSE)/1,0))</f>
        <v/>
      </c>
      <c r="K154" s="121" t="str">
        <f>IF($D154="","",IFERROR(VLOOKUP($B154,Kraftvärmeprod!$B$1:$BX$549,MATCH(K$2,Kraftvärmeprod!$B$1:$VX$1,0),FALSE)/1,0)-IFERROR(VLOOKUP($B154,'Slutlig allokering kvv'!$B$2:$BX$549,MATCH(K$2,'Slutlig allokering kvv'!$B$1:$BX$1,0),FALSE)/1,0))</f>
        <v/>
      </c>
      <c r="L154" s="121" t="str">
        <f>IF($D154="","",IFERROR(VLOOKUP($B154,Kraftvärmeprod!$B$1:$BX$549,MATCH(L$2,Kraftvärmeprod!$B$1:$VX$1,0),FALSE)/1,0)-IFERROR(VLOOKUP($B154,'Slutlig allokering kvv'!$B$2:$BX$549,MATCH(L$2,'Slutlig allokering kvv'!$B$1:$BX$1,0),FALSE)/1,0))</f>
        <v/>
      </c>
      <c r="M154" s="121" t="str">
        <f>IF($D154="","",IFERROR(VLOOKUP($B154,Kraftvärmeprod!$B$1:$BX$549,MATCH(M$2,Kraftvärmeprod!$B$1:$VX$1,0),FALSE)/1,0)-IFERROR(VLOOKUP($B154,'Slutlig allokering kvv'!$B$2:$BX$549,MATCH(M$2,'Slutlig allokering kvv'!$B$1:$BX$1,0),FALSE)/1,0))</f>
        <v/>
      </c>
      <c r="N154" s="121" t="str">
        <f>IF($D154="","",IFERROR(VLOOKUP($B154,Kraftvärmeprod!$B$1:$BX$549,MATCH(N$2,Kraftvärmeprod!$B$1:$VX$1,0),FALSE)/1,0)-IFERROR(VLOOKUP($B154,'Slutlig allokering kvv'!$B$2:$BX$549,MATCH(N$2,'Slutlig allokering kvv'!$B$1:$BX$1,0),FALSE)/1,0))</f>
        <v/>
      </c>
      <c r="O154" s="121" t="str">
        <f>IF($D154="","",IFERROR(VLOOKUP($B154,Kraftvärmeprod!$B$1:$BX$549,MATCH(O$2,Kraftvärmeprod!$B$1:$VX$1,0),FALSE)/1,0)-IFERROR(VLOOKUP($B154,'Slutlig allokering kvv'!$B$2:$BX$549,MATCH(O$2,'Slutlig allokering kvv'!$B$1:$BX$1,0),FALSE)/1,0))</f>
        <v/>
      </c>
      <c r="P154" s="121" t="str">
        <f>IF($D154="","",IFERROR(VLOOKUP($B154,Kraftvärmeprod!$B$1:$BX$549,MATCH(P$2,Kraftvärmeprod!$B$1:$VX$1,0),FALSE)/1,0)-IFERROR(VLOOKUP($B154,'Slutlig allokering kvv'!$B$2:$BX$549,MATCH(P$2,'Slutlig allokering kvv'!$B$1:$BX$1,0),FALSE)/1,0))</f>
        <v/>
      </c>
      <c r="Q154" s="121" t="str">
        <f>IF($D154="","",IFERROR(VLOOKUP($B154,Kraftvärmeprod!$B$1:$BX$549,MATCH(Q$2,Kraftvärmeprod!$B$1:$VX$1,0),FALSE)/1,0)-IFERROR(VLOOKUP($B154,'Slutlig allokering kvv'!$B$2:$BX$549,MATCH(Q$2,'Slutlig allokering kvv'!$B$1:$BX$1,0),FALSE)/1,0))</f>
        <v/>
      </c>
      <c r="R154" s="121" t="str">
        <f>IF($D154="","",IFERROR(VLOOKUP($B154,Kraftvärmeprod!$B$1:$BX$549,MATCH(R$2,Kraftvärmeprod!$B$1:$VX$1,0),FALSE)/1,0)-IFERROR(VLOOKUP($B154,'Slutlig allokering kvv'!$B$2:$BX$549,MATCH(R$2,'Slutlig allokering kvv'!$B$1:$BX$1,0),FALSE)/1,0))</f>
        <v/>
      </c>
      <c r="S154" s="121" t="str">
        <f>IF($D154="","",IFERROR(VLOOKUP($B154,Kraftvärmeprod!$B$1:$BX$549,MATCH(S$2,Kraftvärmeprod!$B$1:$VX$1,0),FALSE)/1,0)-IFERROR(VLOOKUP($B154,'Slutlig allokering kvv'!$B$2:$BX$549,MATCH(S$2,'Slutlig allokering kvv'!$B$1:$BX$1,0),FALSE)/1,0))</f>
        <v/>
      </c>
      <c r="T154" s="121" t="str">
        <f>IF($D154="","",IFERROR(VLOOKUP($B154,Kraftvärmeprod!$B$1:$BX$549,MATCH(T$2,Kraftvärmeprod!$B$1:$VX$1,0),FALSE)/1,0)-IFERROR(VLOOKUP($B154,'Slutlig allokering kvv'!$B$2:$BX$549,MATCH(T$2,'Slutlig allokering kvv'!$B$1:$BX$1,0),FALSE)/1,0))</f>
        <v/>
      </c>
      <c r="U154" s="121" t="str">
        <f>IF($D154="","",IFERROR(VLOOKUP($B154,Kraftvärmeprod!$B$1:$BX$549,MATCH(U$2,Kraftvärmeprod!$B$1:$VX$1,0),FALSE)/1,0)-IFERROR(VLOOKUP($B154,'Slutlig allokering kvv'!$B$2:$BX$549,MATCH(U$2,'Slutlig allokering kvv'!$B$1:$BX$1,0),FALSE)/1,0))</f>
        <v/>
      </c>
      <c r="V154" s="121" t="str">
        <f>IF($D154="","",IFERROR(VLOOKUP($B154,Kraftvärmeprod!$B$1:$BX$549,MATCH(V$2,Kraftvärmeprod!$B$1:$VX$1,0),FALSE)/1,0)-IFERROR(VLOOKUP($B154,'Slutlig allokering kvv'!$B$2:$BX$549,MATCH(V$2,'Slutlig allokering kvv'!$B$1:$BX$1,0),FALSE)/1,0))</f>
        <v/>
      </c>
      <c r="W154" s="121" t="str">
        <f>IF($D154="","",IFERROR(VLOOKUP($B154,Kraftvärmeprod!$B$1:$BX$549,MATCH(W$2,Kraftvärmeprod!$B$1:$VX$1,0),FALSE)/1,0)-IFERROR(VLOOKUP($B154,'Slutlig allokering kvv'!$B$2:$BX$549,MATCH(W$2,'Slutlig allokering kvv'!$B$1:$BX$1,0),FALSE)/1,0))</f>
        <v/>
      </c>
      <c r="X154" s="121" t="str">
        <f>IF($D154="","",IFERROR(VLOOKUP($B154,Kraftvärmeprod!$B$1:$BX$549,MATCH(X$2,Kraftvärmeprod!$B$1:$VX$1,0),FALSE)/1,0)-IFERROR(VLOOKUP($B154,'Slutlig allokering kvv'!$B$2:$BX$549,MATCH(X$2,'Slutlig allokering kvv'!$B$1:$BX$1,0),FALSE)/1,0))</f>
        <v/>
      </c>
      <c r="Y154" s="121" t="str">
        <f>IF($D154="","",IFERROR(VLOOKUP($B154,Kraftvärmeprod!$B$1:$BX$549,MATCH(Y$2,Kraftvärmeprod!$B$1:$VX$1,0),FALSE)/1,0)-IFERROR(VLOOKUP($B154,'Slutlig allokering kvv'!$B$2:$BX$549,MATCH(Y$2,'Slutlig allokering kvv'!$B$1:$BX$1,0),FALSE)/1,0))</f>
        <v/>
      </c>
      <c r="Z154" s="121" t="str">
        <f>IF($D154="","",IFERROR(VLOOKUP($B154,Kraftvärmeprod!$B$1:$BX$549,MATCH(Z$2,Kraftvärmeprod!$B$1:$VX$1,0),FALSE)/1,0)-IFERROR(VLOOKUP($B154,'Slutlig allokering kvv'!$B$2:$BX$549,MATCH(Z$2,'Slutlig allokering kvv'!$B$1:$BX$1,0),FALSE)/1,0))</f>
        <v/>
      </c>
      <c r="AA154" s="121" t="str">
        <f>IF($D154="","",IFERROR(VLOOKUP($B154,Kraftvärmeprod!$B$1:$BX$549,MATCH(AA$2,Kraftvärmeprod!$B$1:$VX$1,0),FALSE)/1,0)-IFERROR(VLOOKUP($B154,'Slutlig allokering kvv'!$B$2:$BX$549,MATCH(AA$2,'Slutlig allokering kvv'!$B$1:$BX$1,0),FALSE)/1,0))</f>
        <v/>
      </c>
      <c r="AB154" s="121" t="str">
        <f>IF($D154="","",IFERROR(VLOOKUP($B154,Kraftvärmeprod!$B$1:$BX$549,MATCH(AB$2,Kraftvärmeprod!$B$1:$VX$1,0),FALSE)/1,0)-IFERROR(VLOOKUP($B154,'Slutlig allokering kvv'!$B$2:$BX$549,MATCH(AB$2,'Slutlig allokering kvv'!$B$1:$BX$1,0),FALSE)/1,0))</f>
        <v/>
      </c>
      <c r="AC154" s="121" t="str">
        <f>IF($D154="","",IFERROR(VLOOKUP($B154,Kraftvärmeprod!$B$1:$BX$549,MATCH(AC$2,Kraftvärmeprod!$B$1:$VX$1,0),FALSE)/1,0)-IFERROR(VLOOKUP($B154,'Slutlig allokering kvv'!$B$2:$BX$549,MATCH(AC$2,'Slutlig allokering kvv'!$B$1:$BX$1,0),FALSE)/1,0))</f>
        <v/>
      </c>
      <c r="AD154" s="121" t="str">
        <f>IF($D154="","",IFERROR(VLOOKUP($B154,Kraftvärmeprod!$B$1:$BX$549,MATCH(AD$2,Kraftvärmeprod!$B$1:$VX$1,0),FALSE)/1,0)-IFERROR(VLOOKUP($B154,'Slutlig allokering kvv'!$B$2:$BX$549,MATCH(AD$2,'Slutlig allokering kvv'!$B$1:$BX$1,0),FALSE)/1,0))</f>
        <v/>
      </c>
      <c r="AE154" s="121" t="str">
        <f>IF($D154="","",IFERROR(VLOOKUP($B154,Miljö!$B$1:$E$550,MATCH("Hjälpel kraftvärme (GWh)",Miljö!$B$1:$E$1,0),FALSE)/1,0)-IFERROR(VLOOKUP($B154,'Slutlig allokering kvv'!$B$2:$BX$549,MATCH(AE$2,'Slutlig allokering kvv'!$B$1:$BX$1,0),FALSE)/1,0))</f>
        <v/>
      </c>
      <c r="AI154" s="121">
        <f t="shared" si="8"/>
        <v>0</v>
      </c>
      <c r="AK154" s="121">
        <f>IFERROR(VLOOKUP($B154,'Slutlig allokering kvv'!$B$2:$AX$549,MATCH("Summa slutlig allokerad tillförd energi (utan hjälpel och rökgaskondensering):",'Slutlig allokering kvv'!$B$1:$AX$1,0),FALSE)/1,"")</f>
        <v>0</v>
      </c>
      <c r="AM154" s="172" t="str">
        <f>IFERROR(1-VLOOKUP($B154,'Slutlig allokering kvv'!$B$2:$AX$549,MATCH("Andel av bränsle i kvv som allokerats till värme, exklusive rökgaskondensering och hjälpel",'Slutlig allokering kvv'!$B$1:$AX$1,0),FALSE),"")</f>
        <v/>
      </c>
      <c r="AO154" s="172" t="str">
        <f t="shared" si="9"/>
        <v/>
      </c>
      <c r="AP154" s="173" t="str">
        <f t="shared" si="10"/>
        <v/>
      </c>
      <c r="AR154" s="172" t="str">
        <f t="shared" si="11"/>
        <v/>
      </c>
    </row>
    <row r="155" spans="1:44" x14ac:dyDescent="0.25">
      <c r="A155" s="171" t="str">
        <f>'Miljövärden för publ företag'!B157</f>
        <v>Linde Energi AB</v>
      </c>
      <c r="B155" s="171" t="str">
        <f>'Miljövärden för publ företag'!C157</f>
        <v>Frövi</v>
      </c>
      <c r="C155" s="121" t="str">
        <f>IFERROR(VLOOKUP($B155,Kraftvärmeprod!$B$1:$AH$478,MATCH(C$2,Kraftvärmeprod!$B$1:$AG$1,0),FALSE)/1,"")</f>
        <v/>
      </c>
      <c r="D155" s="121" t="str">
        <f>IFERROR(VLOOKUP($B155,Kraftvärmeprod!$B$1:$AH$478,MATCH(D$2,Kraftvärmeprod!$B$1:$AG$1,0),FALSE)/1,"")</f>
        <v/>
      </c>
      <c r="F155" s="121" t="str">
        <f>IF($D155="","",IFERROR(VLOOKUP($B155,Kraftvärmeprod!$B$1:$BX$549,MATCH(F$2,Kraftvärmeprod!$B$1:$VX$1,0),FALSE)/1,0)-IFERROR(VLOOKUP($B155,'Slutlig allokering kvv'!$B$2:$BX$549,MATCH(F$2,'Slutlig allokering kvv'!$B$1:$BX$1,0),FALSE)/1,0))</f>
        <v/>
      </c>
      <c r="G155" s="121" t="str">
        <f>IF($D155="","",IFERROR(VLOOKUP($B155,Kraftvärmeprod!$B$1:$BX$549,MATCH(G$2,Kraftvärmeprod!$B$1:$VX$1,0),FALSE)/1,0)-IFERROR(VLOOKUP($B155,'Slutlig allokering kvv'!$B$2:$BX$549,MATCH(G$2,'Slutlig allokering kvv'!$B$1:$BX$1,0),FALSE)/1,0))</f>
        <v/>
      </c>
      <c r="H155" s="121" t="str">
        <f>IF($D155="","",IFERROR(VLOOKUP($B155,Kraftvärmeprod!$B$1:$BX$549,MATCH(H$2,Kraftvärmeprod!$B$1:$VX$1,0),FALSE)/1,0)-IFERROR(VLOOKUP($B155,'Slutlig allokering kvv'!$B$2:$BX$549,MATCH(H$2,'Slutlig allokering kvv'!$B$1:$BX$1,0),FALSE)/1,0))</f>
        <v/>
      </c>
      <c r="I155" s="121" t="str">
        <f>IF($D155="","",IFERROR(VLOOKUP($B155,Kraftvärmeprod!$B$1:$BX$549,MATCH(I$2,Kraftvärmeprod!$B$1:$VX$1,0),FALSE)/1,0)-IFERROR(VLOOKUP($B155,'Slutlig allokering kvv'!$B$2:$BX$549,MATCH(I$2,'Slutlig allokering kvv'!$B$1:$BX$1,0),FALSE)/1,0))</f>
        <v/>
      </c>
      <c r="J155" s="121" t="str">
        <f>IF($D155="","",IFERROR(VLOOKUP($B155,Kraftvärmeprod!$B$1:$BX$549,MATCH(J$2,Kraftvärmeprod!$B$1:$VX$1,0),FALSE)/1,0)-IFERROR(VLOOKUP($B155,'Slutlig allokering kvv'!$B$2:$BX$549,MATCH(J$2,'Slutlig allokering kvv'!$B$1:$BX$1,0),FALSE)/1,0))</f>
        <v/>
      </c>
      <c r="K155" s="121" t="str">
        <f>IF($D155="","",IFERROR(VLOOKUP($B155,Kraftvärmeprod!$B$1:$BX$549,MATCH(K$2,Kraftvärmeprod!$B$1:$VX$1,0),FALSE)/1,0)-IFERROR(VLOOKUP($B155,'Slutlig allokering kvv'!$B$2:$BX$549,MATCH(K$2,'Slutlig allokering kvv'!$B$1:$BX$1,0),FALSE)/1,0))</f>
        <v/>
      </c>
      <c r="L155" s="121" t="str">
        <f>IF($D155="","",IFERROR(VLOOKUP($B155,Kraftvärmeprod!$B$1:$BX$549,MATCH(L$2,Kraftvärmeprod!$B$1:$VX$1,0),FALSE)/1,0)-IFERROR(VLOOKUP($B155,'Slutlig allokering kvv'!$B$2:$BX$549,MATCH(L$2,'Slutlig allokering kvv'!$B$1:$BX$1,0),FALSE)/1,0))</f>
        <v/>
      </c>
      <c r="M155" s="121" t="str">
        <f>IF($D155="","",IFERROR(VLOOKUP($B155,Kraftvärmeprod!$B$1:$BX$549,MATCH(M$2,Kraftvärmeprod!$B$1:$VX$1,0),FALSE)/1,0)-IFERROR(VLOOKUP($B155,'Slutlig allokering kvv'!$B$2:$BX$549,MATCH(M$2,'Slutlig allokering kvv'!$B$1:$BX$1,0),FALSE)/1,0))</f>
        <v/>
      </c>
      <c r="N155" s="121" t="str">
        <f>IF($D155="","",IFERROR(VLOOKUP($B155,Kraftvärmeprod!$B$1:$BX$549,MATCH(N$2,Kraftvärmeprod!$B$1:$VX$1,0),FALSE)/1,0)-IFERROR(VLOOKUP($B155,'Slutlig allokering kvv'!$B$2:$BX$549,MATCH(N$2,'Slutlig allokering kvv'!$B$1:$BX$1,0),FALSE)/1,0))</f>
        <v/>
      </c>
      <c r="O155" s="121" t="str">
        <f>IF($D155="","",IFERROR(VLOOKUP($B155,Kraftvärmeprod!$B$1:$BX$549,MATCH(O$2,Kraftvärmeprod!$B$1:$VX$1,0),FALSE)/1,0)-IFERROR(VLOOKUP($B155,'Slutlig allokering kvv'!$B$2:$BX$549,MATCH(O$2,'Slutlig allokering kvv'!$B$1:$BX$1,0),FALSE)/1,0))</f>
        <v/>
      </c>
      <c r="P155" s="121" t="str">
        <f>IF($D155="","",IFERROR(VLOOKUP($B155,Kraftvärmeprod!$B$1:$BX$549,MATCH(P$2,Kraftvärmeprod!$B$1:$VX$1,0),FALSE)/1,0)-IFERROR(VLOOKUP($B155,'Slutlig allokering kvv'!$B$2:$BX$549,MATCH(P$2,'Slutlig allokering kvv'!$B$1:$BX$1,0),FALSE)/1,0))</f>
        <v/>
      </c>
      <c r="Q155" s="121" t="str">
        <f>IF($D155="","",IFERROR(VLOOKUP($B155,Kraftvärmeprod!$B$1:$BX$549,MATCH(Q$2,Kraftvärmeprod!$B$1:$VX$1,0),FALSE)/1,0)-IFERROR(VLOOKUP($B155,'Slutlig allokering kvv'!$B$2:$BX$549,MATCH(Q$2,'Slutlig allokering kvv'!$B$1:$BX$1,0),FALSE)/1,0))</f>
        <v/>
      </c>
      <c r="R155" s="121" t="str">
        <f>IF($D155="","",IFERROR(VLOOKUP($B155,Kraftvärmeprod!$B$1:$BX$549,MATCH(R$2,Kraftvärmeprod!$B$1:$VX$1,0),FALSE)/1,0)-IFERROR(VLOOKUP($B155,'Slutlig allokering kvv'!$B$2:$BX$549,MATCH(R$2,'Slutlig allokering kvv'!$B$1:$BX$1,0),FALSE)/1,0))</f>
        <v/>
      </c>
      <c r="S155" s="121" t="str">
        <f>IF($D155="","",IFERROR(VLOOKUP($B155,Kraftvärmeprod!$B$1:$BX$549,MATCH(S$2,Kraftvärmeprod!$B$1:$VX$1,0),FALSE)/1,0)-IFERROR(VLOOKUP($B155,'Slutlig allokering kvv'!$B$2:$BX$549,MATCH(S$2,'Slutlig allokering kvv'!$B$1:$BX$1,0),FALSE)/1,0))</f>
        <v/>
      </c>
      <c r="T155" s="121" t="str">
        <f>IF($D155="","",IFERROR(VLOOKUP($B155,Kraftvärmeprod!$B$1:$BX$549,MATCH(T$2,Kraftvärmeprod!$B$1:$VX$1,0),FALSE)/1,0)-IFERROR(VLOOKUP($B155,'Slutlig allokering kvv'!$B$2:$BX$549,MATCH(T$2,'Slutlig allokering kvv'!$B$1:$BX$1,0),FALSE)/1,0))</f>
        <v/>
      </c>
      <c r="U155" s="121" t="str">
        <f>IF($D155="","",IFERROR(VLOOKUP($B155,Kraftvärmeprod!$B$1:$BX$549,MATCH(U$2,Kraftvärmeprod!$B$1:$VX$1,0),FALSE)/1,0)-IFERROR(VLOOKUP($B155,'Slutlig allokering kvv'!$B$2:$BX$549,MATCH(U$2,'Slutlig allokering kvv'!$B$1:$BX$1,0),FALSE)/1,0))</f>
        <v/>
      </c>
      <c r="V155" s="121" t="str">
        <f>IF($D155="","",IFERROR(VLOOKUP($B155,Kraftvärmeprod!$B$1:$BX$549,MATCH(V$2,Kraftvärmeprod!$B$1:$VX$1,0),FALSE)/1,0)-IFERROR(VLOOKUP($B155,'Slutlig allokering kvv'!$B$2:$BX$549,MATCH(V$2,'Slutlig allokering kvv'!$B$1:$BX$1,0),FALSE)/1,0))</f>
        <v/>
      </c>
      <c r="W155" s="121" t="str">
        <f>IF($D155="","",IFERROR(VLOOKUP($B155,Kraftvärmeprod!$B$1:$BX$549,MATCH(W$2,Kraftvärmeprod!$B$1:$VX$1,0),FALSE)/1,0)-IFERROR(VLOOKUP($B155,'Slutlig allokering kvv'!$B$2:$BX$549,MATCH(W$2,'Slutlig allokering kvv'!$B$1:$BX$1,0),FALSE)/1,0))</f>
        <v/>
      </c>
      <c r="X155" s="121" t="str">
        <f>IF($D155="","",IFERROR(VLOOKUP($B155,Kraftvärmeprod!$B$1:$BX$549,MATCH(X$2,Kraftvärmeprod!$B$1:$VX$1,0),FALSE)/1,0)-IFERROR(VLOOKUP($B155,'Slutlig allokering kvv'!$B$2:$BX$549,MATCH(X$2,'Slutlig allokering kvv'!$B$1:$BX$1,0),FALSE)/1,0))</f>
        <v/>
      </c>
      <c r="Y155" s="121" t="str">
        <f>IF($D155="","",IFERROR(VLOOKUP($B155,Kraftvärmeprod!$B$1:$BX$549,MATCH(Y$2,Kraftvärmeprod!$B$1:$VX$1,0),FALSE)/1,0)-IFERROR(VLOOKUP($B155,'Slutlig allokering kvv'!$B$2:$BX$549,MATCH(Y$2,'Slutlig allokering kvv'!$B$1:$BX$1,0),FALSE)/1,0))</f>
        <v/>
      </c>
      <c r="Z155" s="121" t="str">
        <f>IF($D155="","",IFERROR(VLOOKUP($B155,Kraftvärmeprod!$B$1:$BX$549,MATCH(Z$2,Kraftvärmeprod!$B$1:$VX$1,0),FALSE)/1,0)-IFERROR(VLOOKUP($B155,'Slutlig allokering kvv'!$B$2:$BX$549,MATCH(Z$2,'Slutlig allokering kvv'!$B$1:$BX$1,0),FALSE)/1,0))</f>
        <v/>
      </c>
      <c r="AA155" s="121" t="str">
        <f>IF($D155="","",IFERROR(VLOOKUP($B155,Kraftvärmeprod!$B$1:$BX$549,MATCH(AA$2,Kraftvärmeprod!$B$1:$VX$1,0),FALSE)/1,0)-IFERROR(VLOOKUP($B155,'Slutlig allokering kvv'!$B$2:$BX$549,MATCH(AA$2,'Slutlig allokering kvv'!$B$1:$BX$1,0),FALSE)/1,0))</f>
        <v/>
      </c>
      <c r="AB155" s="121" t="str">
        <f>IF($D155="","",IFERROR(VLOOKUP($B155,Kraftvärmeprod!$B$1:$BX$549,MATCH(AB$2,Kraftvärmeprod!$B$1:$VX$1,0),FALSE)/1,0)-IFERROR(VLOOKUP($B155,'Slutlig allokering kvv'!$B$2:$BX$549,MATCH(AB$2,'Slutlig allokering kvv'!$B$1:$BX$1,0),FALSE)/1,0))</f>
        <v/>
      </c>
      <c r="AC155" s="121" t="str">
        <f>IF($D155="","",IFERROR(VLOOKUP($B155,Kraftvärmeprod!$B$1:$BX$549,MATCH(AC$2,Kraftvärmeprod!$B$1:$VX$1,0),FALSE)/1,0)-IFERROR(VLOOKUP($B155,'Slutlig allokering kvv'!$B$2:$BX$549,MATCH(AC$2,'Slutlig allokering kvv'!$B$1:$BX$1,0),FALSE)/1,0))</f>
        <v/>
      </c>
      <c r="AD155" s="121" t="str">
        <f>IF($D155="","",IFERROR(VLOOKUP($B155,Kraftvärmeprod!$B$1:$BX$549,MATCH(AD$2,Kraftvärmeprod!$B$1:$VX$1,0),FALSE)/1,0)-IFERROR(VLOOKUP($B155,'Slutlig allokering kvv'!$B$2:$BX$549,MATCH(AD$2,'Slutlig allokering kvv'!$B$1:$BX$1,0),FALSE)/1,0))</f>
        <v/>
      </c>
      <c r="AE155" s="121" t="str">
        <f>IF($D155="","",IFERROR(VLOOKUP($B155,Miljö!$B$1:$E$550,MATCH("Hjälpel kraftvärme (GWh)",Miljö!$B$1:$E$1,0),FALSE)/1,0)-IFERROR(VLOOKUP($B155,'Slutlig allokering kvv'!$B$2:$BX$549,MATCH(AE$2,'Slutlig allokering kvv'!$B$1:$BX$1,0),FALSE)/1,0))</f>
        <v/>
      </c>
      <c r="AI155" s="121">
        <f t="shared" si="8"/>
        <v>0</v>
      </c>
      <c r="AK155" s="121">
        <f>IFERROR(VLOOKUP($B155,'Slutlig allokering kvv'!$B$2:$AX$549,MATCH("Summa slutlig allokerad tillförd energi (utan hjälpel och rökgaskondensering):",'Slutlig allokering kvv'!$B$1:$AX$1,0),FALSE)/1,"")</f>
        <v>0</v>
      </c>
      <c r="AM155" s="172" t="str">
        <f>IFERROR(1-VLOOKUP($B155,'Slutlig allokering kvv'!$B$2:$AX$549,MATCH("Andel av bränsle i kvv som allokerats till värme, exklusive rökgaskondensering och hjälpel",'Slutlig allokering kvv'!$B$1:$AX$1,0),FALSE),"")</f>
        <v/>
      </c>
      <c r="AO155" s="172" t="str">
        <f t="shared" si="9"/>
        <v/>
      </c>
      <c r="AP155" s="173" t="str">
        <f t="shared" si="10"/>
        <v/>
      </c>
      <c r="AR155" s="172" t="str">
        <f t="shared" si="11"/>
        <v/>
      </c>
    </row>
    <row r="156" spans="1:44" x14ac:dyDescent="0.25">
      <c r="A156" s="171" t="str">
        <f>'Miljövärden för publ företag'!B158</f>
        <v>Linde Energi AB</v>
      </c>
      <c r="B156" s="171" t="str">
        <f>'Miljövärden för publ företag'!C158</f>
        <v>Guldsmedhyttan</v>
      </c>
      <c r="C156" s="121" t="str">
        <f>IFERROR(VLOOKUP($B156,Kraftvärmeprod!$B$1:$AH$478,MATCH(C$2,Kraftvärmeprod!$B$1:$AG$1,0),FALSE)/1,"")</f>
        <v/>
      </c>
      <c r="D156" s="121" t="str">
        <f>IFERROR(VLOOKUP($B156,Kraftvärmeprod!$B$1:$AH$478,MATCH(D$2,Kraftvärmeprod!$B$1:$AG$1,0),FALSE)/1,"")</f>
        <v/>
      </c>
      <c r="F156" s="121" t="str">
        <f>IF($D156="","",IFERROR(VLOOKUP($B156,Kraftvärmeprod!$B$1:$BX$549,MATCH(F$2,Kraftvärmeprod!$B$1:$VX$1,0),FALSE)/1,0)-IFERROR(VLOOKUP($B156,'Slutlig allokering kvv'!$B$2:$BX$549,MATCH(F$2,'Slutlig allokering kvv'!$B$1:$BX$1,0),FALSE)/1,0))</f>
        <v/>
      </c>
      <c r="G156" s="121" t="str">
        <f>IF($D156="","",IFERROR(VLOOKUP($B156,Kraftvärmeprod!$B$1:$BX$549,MATCH(G$2,Kraftvärmeprod!$B$1:$VX$1,0),FALSE)/1,0)-IFERROR(VLOOKUP($B156,'Slutlig allokering kvv'!$B$2:$BX$549,MATCH(G$2,'Slutlig allokering kvv'!$B$1:$BX$1,0),FALSE)/1,0))</f>
        <v/>
      </c>
      <c r="H156" s="121" t="str">
        <f>IF($D156="","",IFERROR(VLOOKUP($B156,Kraftvärmeprod!$B$1:$BX$549,MATCH(H$2,Kraftvärmeprod!$B$1:$VX$1,0),FALSE)/1,0)-IFERROR(VLOOKUP($B156,'Slutlig allokering kvv'!$B$2:$BX$549,MATCH(H$2,'Slutlig allokering kvv'!$B$1:$BX$1,0),FALSE)/1,0))</f>
        <v/>
      </c>
      <c r="I156" s="121" t="str">
        <f>IF($D156="","",IFERROR(VLOOKUP($B156,Kraftvärmeprod!$B$1:$BX$549,MATCH(I$2,Kraftvärmeprod!$B$1:$VX$1,0),FALSE)/1,0)-IFERROR(VLOOKUP($B156,'Slutlig allokering kvv'!$B$2:$BX$549,MATCH(I$2,'Slutlig allokering kvv'!$B$1:$BX$1,0),FALSE)/1,0))</f>
        <v/>
      </c>
      <c r="J156" s="121" t="str">
        <f>IF($D156="","",IFERROR(VLOOKUP($B156,Kraftvärmeprod!$B$1:$BX$549,MATCH(J$2,Kraftvärmeprod!$B$1:$VX$1,0),FALSE)/1,0)-IFERROR(VLOOKUP($B156,'Slutlig allokering kvv'!$B$2:$BX$549,MATCH(J$2,'Slutlig allokering kvv'!$B$1:$BX$1,0),FALSE)/1,0))</f>
        <v/>
      </c>
      <c r="K156" s="121" t="str">
        <f>IF($D156="","",IFERROR(VLOOKUP($B156,Kraftvärmeprod!$B$1:$BX$549,MATCH(K$2,Kraftvärmeprod!$B$1:$VX$1,0),FALSE)/1,0)-IFERROR(VLOOKUP($B156,'Slutlig allokering kvv'!$B$2:$BX$549,MATCH(K$2,'Slutlig allokering kvv'!$B$1:$BX$1,0),FALSE)/1,0))</f>
        <v/>
      </c>
      <c r="L156" s="121" t="str">
        <f>IF($D156="","",IFERROR(VLOOKUP($B156,Kraftvärmeprod!$B$1:$BX$549,MATCH(L$2,Kraftvärmeprod!$B$1:$VX$1,0),FALSE)/1,0)-IFERROR(VLOOKUP($B156,'Slutlig allokering kvv'!$B$2:$BX$549,MATCH(L$2,'Slutlig allokering kvv'!$B$1:$BX$1,0),FALSE)/1,0))</f>
        <v/>
      </c>
      <c r="M156" s="121" t="str">
        <f>IF($D156="","",IFERROR(VLOOKUP($B156,Kraftvärmeprod!$B$1:$BX$549,MATCH(M$2,Kraftvärmeprod!$B$1:$VX$1,0),FALSE)/1,0)-IFERROR(VLOOKUP($B156,'Slutlig allokering kvv'!$B$2:$BX$549,MATCH(M$2,'Slutlig allokering kvv'!$B$1:$BX$1,0),FALSE)/1,0))</f>
        <v/>
      </c>
      <c r="N156" s="121" t="str">
        <f>IF($D156="","",IFERROR(VLOOKUP($B156,Kraftvärmeprod!$B$1:$BX$549,MATCH(N$2,Kraftvärmeprod!$B$1:$VX$1,0),FALSE)/1,0)-IFERROR(VLOOKUP($B156,'Slutlig allokering kvv'!$B$2:$BX$549,MATCH(N$2,'Slutlig allokering kvv'!$B$1:$BX$1,0),FALSE)/1,0))</f>
        <v/>
      </c>
      <c r="O156" s="121" t="str">
        <f>IF($D156="","",IFERROR(VLOOKUP($B156,Kraftvärmeprod!$B$1:$BX$549,MATCH(O$2,Kraftvärmeprod!$B$1:$VX$1,0),FALSE)/1,0)-IFERROR(VLOOKUP($B156,'Slutlig allokering kvv'!$B$2:$BX$549,MATCH(O$2,'Slutlig allokering kvv'!$B$1:$BX$1,0),FALSE)/1,0))</f>
        <v/>
      </c>
      <c r="P156" s="121" t="str">
        <f>IF($D156="","",IFERROR(VLOOKUP($B156,Kraftvärmeprod!$B$1:$BX$549,MATCH(P$2,Kraftvärmeprod!$B$1:$VX$1,0),FALSE)/1,0)-IFERROR(VLOOKUP($B156,'Slutlig allokering kvv'!$B$2:$BX$549,MATCH(P$2,'Slutlig allokering kvv'!$B$1:$BX$1,0),FALSE)/1,0))</f>
        <v/>
      </c>
      <c r="Q156" s="121" t="str">
        <f>IF($D156="","",IFERROR(VLOOKUP($B156,Kraftvärmeprod!$B$1:$BX$549,MATCH(Q$2,Kraftvärmeprod!$B$1:$VX$1,0),FALSE)/1,0)-IFERROR(VLOOKUP($B156,'Slutlig allokering kvv'!$B$2:$BX$549,MATCH(Q$2,'Slutlig allokering kvv'!$B$1:$BX$1,0),FALSE)/1,0))</f>
        <v/>
      </c>
      <c r="R156" s="121" t="str">
        <f>IF($D156="","",IFERROR(VLOOKUP($B156,Kraftvärmeprod!$B$1:$BX$549,MATCH(R$2,Kraftvärmeprod!$B$1:$VX$1,0),FALSE)/1,0)-IFERROR(VLOOKUP($B156,'Slutlig allokering kvv'!$B$2:$BX$549,MATCH(R$2,'Slutlig allokering kvv'!$B$1:$BX$1,0),FALSE)/1,0))</f>
        <v/>
      </c>
      <c r="S156" s="121" t="str">
        <f>IF($D156="","",IFERROR(VLOOKUP($B156,Kraftvärmeprod!$B$1:$BX$549,MATCH(S$2,Kraftvärmeprod!$B$1:$VX$1,0),FALSE)/1,0)-IFERROR(VLOOKUP($B156,'Slutlig allokering kvv'!$B$2:$BX$549,MATCH(S$2,'Slutlig allokering kvv'!$B$1:$BX$1,0),FALSE)/1,0))</f>
        <v/>
      </c>
      <c r="T156" s="121" t="str">
        <f>IF($D156="","",IFERROR(VLOOKUP($B156,Kraftvärmeprod!$B$1:$BX$549,MATCH(T$2,Kraftvärmeprod!$B$1:$VX$1,0),FALSE)/1,0)-IFERROR(VLOOKUP($B156,'Slutlig allokering kvv'!$B$2:$BX$549,MATCH(T$2,'Slutlig allokering kvv'!$B$1:$BX$1,0),FALSE)/1,0))</f>
        <v/>
      </c>
      <c r="U156" s="121" t="str">
        <f>IF($D156="","",IFERROR(VLOOKUP($B156,Kraftvärmeprod!$B$1:$BX$549,MATCH(U$2,Kraftvärmeprod!$B$1:$VX$1,0),FALSE)/1,0)-IFERROR(VLOOKUP($B156,'Slutlig allokering kvv'!$B$2:$BX$549,MATCH(U$2,'Slutlig allokering kvv'!$B$1:$BX$1,0),FALSE)/1,0))</f>
        <v/>
      </c>
      <c r="V156" s="121" t="str">
        <f>IF($D156="","",IFERROR(VLOOKUP($B156,Kraftvärmeprod!$B$1:$BX$549,MATCH(V$2,Kraftvärmeprod!$B$1:$VX$1,0),FALSE)/1,0)-IFERROR(VLOOKUP($B156,'Slutlig allokering kvv'!$B$2:$BX$549,MATCH(V$2,'Slutlig allokering kvv'!$B$1:$BX$1,0),FALSE)/1,0))</f>
        <v/>
      </c>
      <c r="W156" s="121" t="str">
        <f>IF($D156="","",IFERROR(VLOOKUP($B156,Kraftvärmeprod!$B$1:$BX$549,MATCH(W$2,Kraftvärmeprod!$B$1:$VX$1,0),FALSE)/1,0)-IFERROR(VLOOKUP($B156,'Slutlig allokering kvv'!$B$2:$BX$549,MATCH(W$2,'Slutlig allokering kvv'!$B$1:$BX$1,0),FALSE)/1,0))</f>
        <v/>
      </c>
      <c r="X156" s="121" t="str">
        <f>IF($D156="","",IFERROR(VLOOKUP($B156,Kraftvärmeprod!$B$1:$BX$549,MATCH(X$2,Kraftvärmeprod!$B$1:$VX$1,0),FALSE)/1,0)-IFERROR(VLOOKUP($B156,'Slutlig allokering kvv'!$B$2:$BX$549,MATCH(X$2,'Slutlig allokering kvv'!$B$1:$BX$1,0),FALSE)/1,0))</f>
        <v/>
      </c>
      <c r="Y156" s="121" t="str">
        <f>IF($D156="","",IFERROR(VLOOKUP($B156,Kraftvärmeprod!$B$1:$BX$549,MATCH(Y$2,Kraftvärmeprod!$B$1:$VX$1,0),FALSE)/1,0)-IFERROR(VLOOKUP($B156,'Slutlig allokering kvv'!$B$2:$BX$549,MATCH(Y$2,'Slutlig allokering kvv'!$B$1:$BX$1,0),FALSE)/1,0))</f>
        <v/>
      </c>
      <c r="Z156" s="121" t="str">
        <f>IF($D156="","",IFERROR(VLOOKUP($B156,Kraftvärmeprod!$B$1:$BX$549,MATCH(Z$2,Kraftvärmeprod!$B$1:$VX$1,0),FALSE)/1,0)-IFERROR(VLOOKUP($B156,'Slutlig allokering kvv'!$B$2:$BX$549,MATCH(Z$2,'Slutlig allokering kvv'!$B$1:$BX$1,0),FALSE)/1,0))</f>
        <v/>
      </c>
      <c r="AA156" s="121" t="str">
        <f>IF($D156="","",IFERROR(VLOOKUP($B156,Kraftvärmeprod!$B$1:$BX$549,MATCH(AA$2,Kraftvärmeprod!$B$1:$VX$1,0),FALSE)/1,0)-IFERROR(VLOOKUP($B156,'Slutlig allokering kvv'!$B$2:$BX$549,MATCH(AA$2,'Slutlig allokering kvv'!$B$1:$BX$1,0),FALSE)/1,0))</f>
        <v/>
      </c>
      <c r="AB156" s="121" t="str">
        <f>IF($D156="","",IFERROR(VLOOKUP($B156,Kraftvärmeprod!$B$1:$BX$549,MATCH(AB$2,Kraftvärmeprod!$B$1:$VX$1,0),FALSE)/1,0)-IFERROR(VLOOKUP($B156,'Slutlig allokering kvv'!$B$2:$BX$549,MATCH(AB$2,'Slutlig allokering kvv'!$B$1:$BX$1,0),FALSE)/1,0))</f>
        <v/>
      </c>
      <c r="AC156" s="121" t="str">
        <f>IF($D156="","",IFERROR(VLOOKUP($B156,Kraftvärmeprod!$B$1:$BX$549,MATCH(AC$2,Kraftvärmeprod!$B$1:$VX$1,0),FALSE)/1,0)-IFERROR(VLOOKUP($B156,'Slutlig allokering kvv'!$B$2:$BX$549,MATCH(AC$2,'Slutlig allokering kvv'!$B$1:$BX$1,0),FALSE)/1,0))</f>
        <v/>
      </c>
      <c r="AD156" s="121" t="str">
        <f>IF($D156="","",IFERROR(VLOOKUP($B156,Kraftvärmeprod!$B$1:$BX$549,MATCH(AD$2,Kraftvärmeprod!$B$1:$VX$1,0),FALSE)/1,0)-IFERROR(VLOOKUP($B156,'Slutlig allokering kvv'!$B$2:$BX$549,MATCH(AD$2,'Slutlig allokering kvv'!$B$1:$BX$1,0),FALSE)/1,0))</f>
        <v/>
      </c>
      <c r="AE156" s="121" t="str">
        <f>IF($D156="","",IFERROR(VLOOKUP($B156,Miljö!$B$1:$E$550,MATCH("Hjälpel kraftvärme (GWh)",Miljö!$B$1:$E$1,0),FALSE)/1,0)-IFERROR(VLOOKUP($B156,'Slutlig allokering kvv'!$B$2:$BX$549,MATCH(AE$2,'Slutlig allokering kvv'!$B$1:$BX$1,0),FALSE)/1,0))</f>
        <v/>
      </c>
      <c r="AI156" s="121">
        <f t="shared" si="8"/>
        <v>0</v>
      </c>
      <c r="AK156" s="121">
        <f>IFERROR(VLOOKUP($B156,'Slutlig allokering kvv'!$B$2:$AX$549,MATCH("Summa slutlig allokerad tillförd energi (utan hjälpel och rökgaskondensering):",'Slutlig allokering kvv'!$B$1:$AX$1,0),FALSE)/1,"")</f>
        <v>0</v>
      </c>
      <c r="AM156" s="172" t="str">
        <f>IFERROR(1-VLOOKUP($B156,'Slutlig allokering kvv'!$B$2:$AX$549,MATCH("Andel av bränsle i kvv som allokerats till värme, exklusive rökgaskondensering och hjälpel",'Slutlig allokering kvv'!$B$1:$AX$1,0),FALSE),"")</f>
        <v/>
      </c>
      <c r="AO156" s="172" t="str">
        <f t="shared" si="9"/>
        <v/>
      </c>
      <c r="AP156" s="173" t="str">
        <f t="shared" si="10"/>
        <v/>
      </c>
      <c r="AR156" s="172" t="str">
        <f t="shared" si="11"/>
        <v/>
      </c>
    </row>
    <row r="157" spans="1:44" x14ac:dyDescent="0.25">
      <c r="A157" s="171" t="str">
        <f>'Miljövärden för publ företag'!B159</f>
        <v>Linde Energi AB</v>
      </c>
      <c r="B157" s="171" t="str">
        <f>'Miljövärden för publ företag'!C159</f>
        <v>Lindesberg</v>
      </c>
      <c r="C157" s="121" t="str">
        <f>IFERROR(VLOOKUP($B157,Kraftvärmeprod!$B$1:$AH$478,MATCH(C$2,Kraftvärmeprod!$B$1:$AG$1,0),FALSE)/1,"")</f>
        <v/>
      </c>
      <c r="D157" s="121" t="str">
        <f>IFERROR(VLOOKUP($B157,Kraftvärmeprod!$B$1:$AH$478,MATCH(D$2,Kraftvärmeprod!$B$1:$AG$1,0),FALSE)/1,"")</f>
        <v/>
      </c>
      <c r="F157" s="121" t="str">
        <f>IF($D157="","",IFERROR(VLOOKUP($B157,Kraftvärmeprod!$B$1:$BX$549,MATCH(F$2,Kraftvärmeprod!$B$1:$VX$1,0),FALSE)/1,0)-IFERROR(VLOOKUP($B157,'Slutlig allokering kvv'!$B$2:$BX$549,MATCH(F$2,'Slutlig allokering kvv'!$B$1:$BX$1,0),FALSE)/1,0))</f>
        <v/>
      </c>
      <c r="G157" s="121" t="str">
        <f>IF($D157="","",IFERROR(VLOOKUP($B157,Kraftvärmeprod!$B$1:$BX$549,MATCH(G$2,Kraftvärmeprod!$B$1:$VX$1,0),FALSE)/1,0)-IFERROR(VLOOKUP($B157,'Slutlig allokering kvv'!$B$2:$BX$549,MATCH(G$2,'Slutlig allokering kvv'!$B$1:$BX$1,0),FALSE)/1,0))</f>
        <v/>
      </c>
      <c r="H157" s="121" t="str">
        <f>IF($D157="","",IFERROR(VLOOKUP($B157,Kraftvärmeprod!$B$1:$BX$549,MATCH(H$2,Kraftvärmeprod!$B$1:$VX$1,0),FALSE)/1,0)-IFERROR(VLOOKUP($B157,'Slutlig allokering kvv'!$B$2:$BX$549,MATCH(H$2,'Slutlig allokering kvv'!$B$1:$BX$1,0),FALSE)/1,0))</f>
        <v/>
      </c>
      <c r="I157" s="121" t="str">
        <f>IF($D157="","",IFERROR(VLOOKUP($B157,Kraftvärmeprod!$B$1:$BX$549,MATCH(I$2,Kraftvärmeprod!$B$1:$VX$1,0),FALSE)/1,0)-IFERROR(VLOOKUP($B157,'Slutlig allokering kvv'!$B$2:$BX$549,MATCH(I$2,'Slutlig allokering kvv'!$B$1:$BX$1,0),FALSE)/1,0))</f>
        <v/>
      </c>
      <c r="J157" s="121" t="str">
        <f>IF($D157="","",IFERROR(VLOOKUP($B157,Kraftvärmeprod!$B$1:$BX$549,MATCH(J$2,Kraftvärmeprod!$B$1:$VX$1,0),FALSE)/1,0)-IFERROR(VLOOKUP($B157,'Slutlig allokering kvv'!$B$2:$BX$549,MATCH(J$2,'Slutlig allokering kvv'!$B$1:$BX$1,0),FALSE)/1,0))</f>
        <v/>
      </c>
      <c r="K157" s="121" t="str">
        <f>IF($D157="","",IFERROR(VLOOKUP($B157,Kraftvärmeprod!$B$1:$BX$549,MATCH(K$2,Kraftvärmeprod!$B$1:$VX$1,0),FALSE)/1,0)-IFERROR(VLOOKUP($B157,'Slutlig allokering kvv'!$B$2:$BX$549,MATCH(K$2,'Slutlig allokering kvv'!$B$1:$BX$1,0),FALSE)/1,0))</f>
        <v/>
      </c>
      <c r="L157" s="121" t="str">
        <f>IF($D157="","",IFERROR(VLOOKUP($B157,Kraftvärmeprod!$B$1:$BX$549,MATCH(L$2,Kraftvärmeprod!$B$1:$VX$1,0),FALSE)/1,0)-IFERROR(VLOOKUP($B157,'Slutlig allokering kvv'!$B$2:$BX$549,MATCH(L$2,'Slutlig allokering kvv'!$B$1:$BX$1,0),FALSE)/1,0))</f>
        <v/>
      </c>
      <c r="M157" s="121" t="str">
        <f>IF($D157="","",IFERROR(VLOOKUP($B157,Kraftvärmeprod!$B$1:$BX$549,MATCH(M$2,Kraftvärmeprod!$B$1:$VX$1,0),FALSE)/1,0)-IFERROR(VLOOKUP($B157,'Slutlig allokering kvv'!$B$2:$BX$549,MATCH(M$2,'Slutlig allokering kvv'!$B$1:$BX$1,0),FALSE)/1,0))</f>
        <v/>
      </c>
      <c r="N157" s="121" t="str">
        <f>IF($D157="","",IFERROR(VLOOKUP($B157,Kraftvärmeprod!$B$1:$BX$549,MATCH(N$2,Kraftvärmeprod!$B$1:$VX$1,0),FALSE)/1,0)-IFERROR(VLOOKUP($B157,'Slutlig allokering kvv'!$B$2:$BX$549,MATCH(N$2,'Slutlig allokering kvv'!$B$1:$BX$1,0),FALSE)/1,0))</f>
        <v/>
      </c>
      <c r="O157" s="121" t="str">
        <f>IF($D157="","",IFERROR(VLOOKUP($B157,Kraftvärmeprod!$B$1:$BX$549,MATCH(O$2,Kraftvärmeprod!$B$1:$VX$1,0),FALSE)/1,0)-IFERROR(VLOOKUP($B157,'Slutlig allokering kvv'!$B$2:$BX$549,MATCH(O$2,'Slutlig allokering kvv'!$B$1:$BX$1,0),FALSE)/1,0))</f>
        <v/>
      </c>
      <c r="P157" s="121" t="str">
        <f>IF($D157="","",IFERROR(VLOOKUP($B157,Kraftvärmeprod!$B$1:$BX$549,MATCH(P$2,Kraftvärmeprod!$B$1:$VX$1,0),FALSE)/1,0)-IFERROR(VLOOKUP($B157,'Slutlig allokering kvv'!$B$2:$BX$549,MATCH(P$2,'Slutlig allokering kvv'!$B$1:$BX$1,0),FALSE)/1,0))</f>
        <v/>
      </c>
      <c r="Q157" s="121" t="str">
        <f>IF($D157="","",IFERROR(VLOOKUP($B157,Kraftvärmeprod!$B$1:$BX$549,MATCH(Q$2,Kraftvärmeprod!$B$1:$VX$1,0),FALSE)/1,0)-IFERROR(VLOOKUP($B157,'Slutlig allokering kvv'!$B$2:$BX$549,MATCH(Q$2,'Slutlig allokering kvv'!$B$1:$BX$1,0),FALSE)/1,0))</f>
        <v/>
      </c>
      <c r="R157" s="121" t="str">
        <f>IF($D157="","",IFERROR(VLOOKUP($B157,Kraftvärmeprod!$B$1:$BX$549,MATCH(R$2,Kraftvärmeprod!$B$1:$VX$1,0),FALSE)/1,0)-IFERROR(VLOOKUP($B157,'Slutlig allokering kvv'!$B$2:$BX$549,MATCH(R$2,'Slutlig allokering kvv'!$B$1:$BX$1,0),FALSE)/1,0))</f>
        <v/>
      </c>
      <c r="S157" s="121" t="str">
        <f>IF($D157="","",IFERROR(VLOOKUP($B157,Kraftvärmeprod!$B$1:$BX$549,MATCH(S$2,Kraftvärmeprod!$B$1:$VX$1,0),FALSE)/1,0)-IFERROR(VLOOKUP($B157,'Slutlig allokering kvv'!$B$2:$BX$549,MATCH(S$2,'Slutlig allokering kvv'!$B$1:$BX$1,0),FALSE)/1,0))</f>
        <v/>
      </c>
      <c r="T157" s="121" t="str">
        <f>IF($D157="","",IFERROR(VLOOKUP($B157,Kraftvärmeprod!$B$1:$BX$549,MATCH(T$2,Kraftvärmeprod!$B$1:$VX$1,0),FALSE)/1,0)-IFERROR(VLOOKUP($B157,'Slutlig allokering kvv'!$B$2:$BX$549,MATCH(T$2,'Slutlig allokering kvv'!$B$1:$BX$1,0),FALSE)/1,0))</f>
        <v/>
      </c>
      <c r="U157" s="121" t="str">
        <f>IF($D157="","",IFERROR(VLOOKUP($B157,Kraftvärmeprod!$B$1:$BX$549,MATCH(U$2,Kraftvärmeprod!$B$1:$VX$1,0),FALSE)/1,0)-IFERROR(VLOOKUP($B157,'Slutlig allokering kvv'!$B$2:$BX$549,MATCH(U$2,'Slutlig allokering kvv'!$B$1:$BX$1,0),FALSE)/1,0))</f>
        <v/>
      </c>
      <c r="V157" s="121" t="str">
        <f>IF($D157="","",IFERROR(VLOOKUP($B157,Kraftvärmeprod!$B$1:$BX$549,MATCH(V$2,Kraftvärmeprod!$B$1:$VX$1,0),FALSE)/1,0)-IFERROR(VLOOKUP($B157,'Slutlig allokering kvv'!$B$2:$BX$549,MATCH(V$2,'Slutlig allokering kvv'!$B$1:$BX$1,0),FALSE)/1,0))</f>
        <v/>
      </c>
      <c r="W157" s="121" t="str">
        <f>IF($D157="","",IFERROR(VLOOKUP($B157,Kraftvärmeprod!$B$1:$BX$549,MATCH(W$2,Kraftvärmeprod!$B$1:$VX$1,0),FALSE)/1,0)-IFERROR(VLOOKUP($B157,'Slutlig allokering kvv'!$B$2:$BX$549,MATCH(W$2,'Slutlig allokering kvv'!$B$1:$BX$1,0),FALSE)/1,0))</f>
        <v/>
      </c>
      <c r="X157" s="121" t="str">
        <f>IF($D157="","",IFERROR(VLOOKUP($B157,Kraftvärmeprod!$B$1:$BX$549,MATCH(X$2,Kraftvärmeprod!$B$1:$VX$1,0),FALSE)/1,0)-IFERROR(VLOOKUP($B157,'Slutlig allokering kvv'!$B$2:$BX$549,MATCH(X$2,'Slutlig allokering kvv'!$B$1:$BX$1,0),FALSE)/1,0))</f>
        <v/>
      </c>
      <c r="Y157" s="121" t="str">
        <f>IF($D157="","",IFERROR(VLOOKUP($B157,Kraftvärmeprod!$B$1:$BX$549,MATCH(Y$2,Kraftvärmeprod!$B$1:$VX$1,0),FALSE)/1,0)-IFERROR(VLOOKUP($B157,'Slutlig allokering kvv'!$B$2:$BX$549,MATCH(Y$2,'Slutlig allokering kvv'!$B$1:$BX$1,0),FALSE)/1,0))</f>
        <v/>
      </c>
      <c r="Z157" s="121" t="str">
        <f>IF($D157="","",IFERROR(VLOOKUP($B157,Kraftvärmeprod!$B$1:$BX$549,MATCH(Z$2,Kraftvärmeprod!$B$1:$VX$1,0),FALSE)/1,0)-IFERROR(VLOOKUP($B157,'Slutlig allokering kvv'!$B$2:$BX$549,MATCH(Z$2,'Slutlig allokering kvv'!$B$1:$BX$1,0),FALSE)/1,0))</f>
        <v/>
      </c>
      <c r="AA157" s="121" t="str">
        <f>IF($D157="","",IFERROR(VLOOKUP($B157,Kraftvärmeprod!$B$1:$BX$549,MATCH(AA$2,Kraftvärmeprod!$B$1:$VX$1,0),FALSE)/1,0)-IFERROR(VLOOKUP($B157,'Slutlig allokering kvv'!$B$2:$BX$549,MATCH(AA$2,'Slutlig allokering kvv'!$B$1:$BX$1,0),FALSE)/1,0))</f>
        <v/>
      </c>
      <c r="AB157" s="121" t="str">
        <f>IF($D157="","",IFERROR(VLOOKUP($B157,Kraftvärmeprod!$B$1:$BX$549,MATCH(AB$2,Kraftvärmeprod!$B$1:$VX$1,0),FALSE)/1,0)-IFERROR(VLOOKUP($B157,'Slutlig allokering kvv'!$B$2:$BX$549,MATCH(AB$2,'Slutlig allokering kvv'!$B$1:$BX$1,0),FALSE)/1,0))</f>
        <v/>
      </c>
      <c r="AC157" s="121" t="str">
        <f>IF($D157="","",IFERROR(VLOOKUP($B157,Kraftvärmeprod!$B$1:$BX$549,MATCH(AC$2,Kraftvärmeprod!$B$1:$VX$1,0),FALSE)/1,0)-IFERROR(VLOOKUP($B157,'Slutlig allokering kvv'!$B$2:$BX$549,MATCH(AC$2,'Slutlig allokering kvv'!$B$1:$BX$1,0),FALSE)/1,0))</f>
        <v/>
      </c>
      <c r="AD157" s="121" t="str">
        <f>IF($D157="","",IFERROR(VLOOKUP($B157,Kraftvärmeprod!$B$1:$BX$549,MATCH(AD$2,Kraftvärmeprod!$B$1:$VX$1,0),FALSE)/1,0)-IFERROR(VLOOKUP($B157,'Slutlig allokering kvv'!$B$2:$BX$549,MATCH(AD$2,'Slutlig allokering kvv'!$B$1:$BX$1,0),FALSE)/1,0))</f>
        <v/>
      </c>
      <c r="AE157" s="121" t="str">
        <f>IF($D157="","",IFERROR(VLOOKUP($B157,Miljö!$B$1:$E$550,MATCH("Hjälpel kraftvärme (GWh)",Miljö!$B$1:$E$1,0),FALSE)/1,0)-IFERROR(VLOOKUP($B157,'Slutlig allokering kvv'!$B$2:$BX$549,MATCH(AE$2,'Slutlig allokering kvv'!$B$1:$BX$1,0),FALSE)/1,0))</f>
        <v/>
      </c>
      <c r="AI157" s="121">
        <f t="shared" si="8"/>
        <v>0</v>
      </c>
      <c r="AK157" s="121">
        <f>IFERROR(VLOOKUP($B157,'Slutlig allokering kvv'!$B$2:$AX$549,MATCH("Summa slutlig allokerad tillförd energi (utan hjälpel och rökgaskondensering):",'Slutlig allokering kvv'!$B$1:$AX$1,0),FALSE)/1,"")</f>
        <v>0</v>
      </c>
      <c r="AM157" s="172" t="str">
        <f>IFERROR(1-VLOOKUP($B157,'Slutlig allokering kvv'!$B$2:$AX$549,MATCH("Andel av bränsle i kvv som allokerats till värme, exklusive rökgaskondensering och hjälpel",'Slutlig allokering kvv'!$B$1:$AX$1,0),FALSE),"")</f>
        <v/>
      </c>
      <c r="AO157" s="172" t="str">
        <f t="shared" si="9"/>
        <v/>
      </c>
      <c r="AP157" s="173" t="str">
        <f t="shared" si="10"/>
        <v/>
      </c>
      <c r="AR157" s="172" t="str">
        <f t="shared" si="11"/>
        <v/>
      </c>
    </row>
    <row r="158" spans="1:44" x14ac:dyDescent="0.25">
      <c r="A158" s="171" t="str">
        <f>'Miljövärden för publ företag'!B160</f>
        <v>Linde Energi AB</v>
      </c>
      <c r="B158" s="171" t="str">
        <f>'Miljövärden för publ företag'!C160</f>
        <v>Vedevåg</v>
      </c>
      <c r="C158" s="121" t="str">
        <f>IFERROR(VLOOKUP($B158,Kraftvärmeprod!$B$1:$AH$478,MATCH(C$2,Kraftvärmeprod!$B$1:$AG$1,0),FALSE)/1,"")</f>
        <v/>
      </c>
      <c r="D158" s="121" t="str">
        <f>IFERROR(VLOOKUP($B158,Kraftvärmeprod!$B$1:$AH$478,MATCH(D$2,Kraftvärmeprod!$B$1:$AG$1,0),FALSE)/1,"")</f>
        <v/>
      </c>
      <c r="F158" s="121" t="str">
        <f>IF($D158="","",IFERROR(VLOOKUP($B158,Kraftvärmeprod!$B$1:$BX$549,MATCH(F$2,Kraftvärmeprod!$B$1:$VX$1,0),FALSE)/1,0)-IFERROR(VLOOKUP($B158,'Slutlig allokering kvv'!$B$2:$BX$549,MATCH(F$2,'Slutlig allokering kvv'!$B$1:$BX$1,0),FALSE)/1,0))</f>
        <v/>
      </c>
      <c r="G158" s="121" t="str">
        <f>IF($D158="","",IFERROR(VLOOKUP($B158,Kraftvärmeprod!$B$1:$BX$549,MATCH(G$2,Kraftvärmeprod!$B$1:$VX$1,0),FALSE)/1,0)-IFERROR(VLOOKUP($B158,'Slutlig allokering kvv'!$B$2:$BX$549,MATCH(G$2,'Slutlig allokering kvv'!$B$1:$BX$1,0),FALSE)/1,0))</f>
        <v/>
      </c>
      <c r="H158" s="121" t="str">
        <f>IF($D158="","",IFERROR(VLOOKUP($B158,Kraftvärmeprod!$B$1:$BX$549,MATCH(H$2,Kraftvärmeprod!$B$1:$VX$1,0),FALSE)/1,0)-IFERROR(VLOOKUP($B158,'Slutlig allokering kvv'!$B$2:$BX$549,MATCH(H$2,'Slutlig allokering kvv'!$B$1:$BX$1,0),FALSE)/1,0))</f>
        <v/>
      </c>
      <c r="I158" s="121" t="str">
        <f>IF($D158="","",IFERROR(VLOOKUP($B158,Kraftvärmeprod!$B$1:$BX$549,MATCH(I$2,Kraftvärmeprod!$B$1:$VX$1,0),FALSE)/1,0)-IFERROR(VLOOKUP($B158,'Slutlig allokering kvv'!$B$2:$BX$549,MATCH(I$2,'Slutlig allokering kvv'!$B$1:$BX$1,0),FALSE)/1,0))</f>
        <v/>
      </c>
      <c r="J158" s="121" t="str">
        <f>IF($D158="","",IFERROR(VLOOKUP($B158,Kraftvärmeprod!$B$1:$BX$549,MATCH(J$2,Kraftvärmeprod!$B$1:$VX$1,0),FALSE)/1,0)-IFERROR(VLOOKUP($B158,'Slutlig allokering kvv'!$B$2:$BX$549,MATCH(J$2,'Slutlig allokering kvv'!$B$1:$BX$1,0),FALSE)/1,0))</f>
        <v/>
      </c>
      <c r="K158" s="121" t="str">
        <f>IF($D158="","",IFERROR(VLOOKUP($B158,Kraftvärmeprod!$B$1:$BX$549,MATCH(K$2,Kraftvärmeprod!$B$1:$VX$1,0),FALSE)/1,0)-IFERROR(VLOOKUP($B158,'Slutlig allokering kvv'!$B$2:$BX$549,MATCH(K$2,'Slutlig allokering kvv'!$B$1:$BX$1,0),FALSE)/1,0))</f>
        <v/>
      </c>
      <c r="L158" s="121" t="str">
        <f>IF($D158="","",IFERROR(VLOOKUP($B158,Kraftvärmeprod!$B$1:$BX$549,MATCH(L$2,Kraftvärmeprod!$B$1:$VX$1,0),FALSE)/1,0)-IFERROR(VLOOKUP($B158,'Slutlig allokering kvv'!$B$2:$BX$549,MATCH(L$2,'Slutlig allokering kvv'!$B$1:$BX$1,0),FALSE)/1,0))</f>
        <v/>
      </c>
      <c r="M158" s="121" t="str">
        <f>IF($D158="","",IFERROR(VLOOKUP($B158,Kraftvärmeprod!$B$1:$BX$549,MATCH(M$2,Kraftvärmeprod!$B$1:$VX$1,0),FALSE)/1,0)-IFERROR(VLOOKUP($B158,'Slutlig allokering kvv'!$B$2:$BX$549,MATCH(M$2,'Slutlig allokering kvv'!$B$1:$BX$1,0),FALSE)/1,0))</f>
        <v/>
      </c>
      <c r="N158" s="121" t="str">
        <f>IF($D158="","",IFERROR(VLOOKUP($B158,Kraftvärmeprod!$B$1:$BX$549,MATCH(N$2,Kraftvärmeprod!$B$1:$VX$1,0),FALSE)/1,0)-IFERROR(VLOOKUP($B158,'Slutlig allokering kvv'!$B$2:$BX$549,MATCH(N$2,'Slutlig allokering kvv'!$B$1:$BX$1,0),FALSE)/1,0))</f>
        <v/>
      </c>
      <c r="O158" s="121" t="str">
        <f>IF($D158="","",IFERROR(VLOOKUP($B158,Kraftvärmeprod!$B$1:$BX$549,MATCH(O$2,Kraftvärmeprod!$B$1:$VX$1,0),FALSE)/1,0)-IFERROR(VLOOKUP($B158,'Slutlig allokering kvv'!$B$2:$BX$549,MATCH(O$2,'Slutlig allokering kvv'!$B$1:$BX$1,0),FALSE)/1,0))</f>
        <v/>
      </c>
      <c r="P158" s="121" t="str">
        <f>IF($D158="","",IFERROR(VLOOKUP($B158,Kraftvärmeprod!$B$1:$BX$549,MATCH(P$2,Kraftvärmeprod!$B$1:$VX$1,0),FALSE)/1,0)-IFERROR(VLOOKUP($B158,'Slutlig allokering kvv'!$B$2:$BX$549,MATCH(P$2,'Slutlig allokering kvv'!$B$1:$BX$1,0),FALSE)/1,0))</f>
        <v/>
      </c>
      <c r="Q158" s="121" t="str">
        <f>IF($D158="","",IFERROR(VLOOKUP($B158,Kraftvärmeprod!$B$1:$BX$549,MATCH(Q$2,Kraftvärmeprod!$B$1:$VX$1,0),FALSE)/1,0)-IFERROR(VLOOKUP($B158,'Slutlig allokering kvv'!$B$2:$BX$549,MATCH(Q$2,'Slutlig allokering kvv'!$B$1:$BX$1,0),FALSE)/1,0))</f>
        <v/>
      </c>
      <c r="R158" s="121" t="str">
        <f>IF($D158="","",IFERROR(VLOOKUP($B158,Kraftvärmeprod!$B$1:$BX$549,MATCH(R$2,Kraftvärmeprod!$B$1:$VX$1,0),FALSE)/1,0)-IFERROR(VLOOKUP($B158,'Slutlig allokering kvv'!$B$2:$BX$549,MATCH(R$2,'Slutlig allokering kvv'!$B$1:$BX$1,0),FALSE)/1,0))</f>
        <v/>
      </c>
      <c r="S158" s="121" t="str">
        <f>IF($D158="","",IFERROR(VLOOKUP($B158,Kraftvärmeprod!$B$1:$BX$549,MATCH(S$2,Kraftvärmeprod!$B$1:$VX$1,0),FALSE)/1,0)-IFERROR(VLOOKUP($B158,'Slutlig allokering kvv'!$B$2:$BX$549,MATCH(S$2,'Slutlig allokering kvv'!$B$1:$BX$1,0),FALSE)/1,0))</f>
        <v/>
      </c>
      <c r="T158" s="121" t="str">
        <f>IF($D158="","",IFERROR(VLOOKUP($B158,Kraftvärmeprod!$B$1:$BX$549,MATCH(T$2,Kraftvärmeprod!$B$1:$VX$1,0),FALSE)/1,0)-IFERROR(VLOOKUP($B158,'Slutlig allokering kvv'!$B$2:$BX$549,MATCH(T$2,'Slutlig allokering kvv'!$B$1:$BX$1,0),FALSE)/1,0))</f>
        <v/>
      </c>
      <c r="U158" s="121" t="str">
        <f>IF($D158="","",IFERROR(VLOOKUP($B158,Kraftvärmeprod!$B$1:$BX$549,MATCH(U$2,Kraftvärmeprod!$B$1:$VX$1,0),FALSE)/1,0)-IFERROR(VLOOKUP($B158,'Slutlig allokering kvv'!$B$2:$BX$549,MATCH(U$2,'Slutlig allokering kvv'!$B$1:$BX$1,0),FALSE)/1,0))</f>
        <v/>
      </c>
      <c r="V158" s="121" t="str">
        <f>IF($D158="","",IFERROR(VLOOKUP($B158,Kraftvärmeprod!$B$1:$BX$549,MATCH(V$2,Kraftvärmeprod!$B$1:$VX$1,0),FALSE)/1,0)-IFERROR(VLOOKUP($B158,'Slutlig allokering kvv'!$B$2:$BX$549,MATCH(V$2,'Slutlig allokering kvv'!$B$1:$BX$1,0),FALSE)/1,0))</f>
        <v/>
      </c>
      <c r="W158" s="121" t="str">
        <f>IF($D158="","",IFERROR(VLOOKUP($B158,Kraftvärmeprod!$B$1:$BX$549,MATCH(W$2,Kraftvärmeprod!$B$1:$VX$1,0),FALSE)/1,0)-IFERROR(VLOOKUP($B158,'Slutlig allokering kvv'!$B$2:$BX$549,MATCH(W$2,'Slutlig allokering kvv'!$B$1:$BX$1,0),FALSE)/1,0))</f>
        <v/>
      </c>
      <c r="X158" s="121" t="str">
        <f>IF($D158="","",IFERROR(VLOOKUP($B158,Kraftvärmeprod!$B$1:$BX$549,MATCH(X$2,Kraftvärmeprod!$B$1:$VX$1,0),FALSE)/1,0)-IFERROR(VLOOKUP($B158,'Slutlig allokering kvv'!$B$2:$BX$549,MATCH(X$2,'Slutlig allokering kvv'!$B$1:$BX$1,0),FALSE)/1,0))</f>
        <v/>
      </c>
      <c r="Y158" s="121" t="str">
        <f>IF($D158="","",IFERROR(VLOOKUP($B158,Kraftvärmeprod!$B$1:$BX$549,MATCH(Y$2,Kraftvärmeprod!$B$1:$VX$1,0),FALSE)/1,0)-IFERROR(VLOOKUP($B158,'Slutlig allokering kvv'!$B$2:$BX$549,MATCH(Y$2,'Slutlig allokering kvv'!$B$1:$BX$1,0),FALSE)/1,0))</f>
        <v/>
      </c>
      <c r="Z158" s="121" t="str">
        <f>IF($D158="","",IFERROR(VLOOKUP($B158,Kraftvärmeprod!$B$1:$BX$549,MATCH(Z$2,Kraftvärmeprod!$B$1:$VX$1,0),FALSE)/1,0)-IFERROR(VLOOKUP($B158,'Slutlig allokering kvv'!$B$2:$BX$549,MATCH(Z$2,'Slutlig allokering kvv'!$B$1:$BX$1,0),FALSE)/1,0))</f>
        <v/>
      </c>
      <c r="AA158" s="121" t="str">
        <f>IF($D158="","",IFERROR(VLOOKUP($B158,Kraftvärmeprod!$B$1:$BX$549,MATCH(AA$2,Kraftvärmeprod!$B$1:$VX$1,0),FALSE)/1,0)-IFERROR(VLOOKUP($B158,'Slutlig allokering kvv'!$B$2:$BX$549,MATCH(AA$2,'Slutlig allokering kvv'!$B$1:$BX$1,0),FALSE)/1,0))</f>
        <v/>
      </c>
      <c r="AB158" s="121" t="str">
        <f>IF($D158="","",IFERROR(VLOOKUP($B158,Kraftvärmeprod!$B$1:$BX$549,MATCH(AB$2,Kraftvärmeprod!$B$1:$VX$1,0),FALSE)/1,0)-IFERROR(VLOOKUP($B158,'Slutlig allokering kvv'!$B$2:$BX$549,MATCH(AB$2,'Slutlig allokering kvv'!$B$1:$BX$1,0),FALSE)/1,0))</f>
        <v/>
      </c>
      <c r="AC158" s="121" t="str">
        <f>IF($D158="","",IFERROR(VLOOKUP($B158,Kraftvärmeprod!$B$1:$BX$549,MATCH(AC$2,Kraftvärmeprod!$B$1:$VX$1,0),FALSE)/1,0)-IFERROR(VLOOKUP($B158,'Slutlig allokering kvv'!$B$2:$BX$549,MATCH(AC$2,'Slutlig allokering kvv'!$B$1:$BX$1,0),FALSE)/1,0))</f>
        <v/>
      </c>
      <c r="AD158" s="121" t="str">
        <f>IF($D158="","",IFERROR(VLOOKUP($B158,Kraftvärmeprod!$B$1:$BX$549,MATCH(AD$2,Kraftvärmeprod!$B$1:$VX$1,0),FALSE)/1,0)-IFERROR(VLOOKUP($B158,'Slutlig allokering kvv'!$B$2:$BX$549,MATCH(AD$2,'Slutlig allokering kvv'!$B$1:$BX$1,0),FALSE)/1,0))</f>
        <v/>
      </c>
      <c r="AE158" s="121" t="str">
        <f>IF($D158="","",IFERROR(VLOOKUP($B158,Miljö!$B$1:$E$550,MATCH("Hjälpel kraftvärme (GWh)",Miljö!$B$1:$E$1,0),FALSE)/1,0)-IFERROR(VLOOKUP($B158,'Slutlig allokering kvv'!$B$2:$BX$549,MATCH(AE$2,'Slutlig allokering kvv'!$B$1:$BX$1,0),FALSE)/1,0))</f>
        <v/>
      </c>
      <c r="AI158" s="121">
        <f t="shared" si="8"/>
        <v>0</v>
      </c>
      <c r="AK158" s="121">
        <f>IFERROR(VLOOKUP($B158,'Slutlig allokering kvv'!$B$2:$AX$549,MATCH("Summa slutlig allokerad tillförd energi (utan hjälpel och rökgaskondensering):",'Slutlig allokering kvv'!$B$1:$AX$1,0),FALSE)/1,"")</f>
        <v>0</v>
      </c>
      <c r="AM158" s="172" t="str">
        <f>IFERROR(1-VLOOKUP($B158,'Slutlig allokering kvv'!$B$2:$AX$549,MATCH("Andel av bränsle i kvv som allokerats till värme, exklusive rökgaskondensering och hjälpel",'Slutlig allokering kvv'!$B$1:$AX$1,0),FALSE),"")</f>
        <v/>
      </c>
      <c r="AO158" s="172" t="str">
        <f t="shared" si="9"/>
        <v/>
      </c>
      <c r="AP158" s="173" t="str">
        <f t="shared" si="10"/>
        <v/>
      </c>
      <c r="AR158" s="172" t="str">
        <f t="shared" si="11"/>
        <v/>
      </c>
    </row>
    <row r="159" spans="1:44" x14ac:dyDescent="0.25">
      <c r="A159" s="171" t="str">
        <f>'Miljövärden för publ företag'!B161</f>
        <v>Ljungby Energi AB</v>
      </c>
      <c r="B159" s="171" t="str">
        <f>'Miljövärden för publ företag'!C161</f>
        <v>Ljungby</v>
      </c>
      <c r="C159" s="121">
        <f>IFERROR(VLOOKUP($B159,Kraftvärmeprod!$B$1:$AH$478,MATCH(C$2,Kraftvärmeprod!$B$1:$AG$1,0),FALSE)/1,"")</f>
        <v>189</v>
      </c>
      <c r="D159" s="121">
        <f>IFERROR(VLOOKUP($B159,Kraftvärmeprod!$B$1:$AH$478,MATCH(D$2,Kraftvärmeprod!$B$1:$AG$1,0),FALSE)/1,"")</f>
        <v>20.32</v>
      </c>
      <c r="F159" s="121">
        <f>IF($D159="","",IFERROR(VLOOKUP($B159,Kraftvärmeprod!$B$1:$BX$549,MATCH(F$2,Kraftvärmeprod!$B$1:$VX$1,0),FALSE)/1,0)-IFERROR(VLOOKUP($B159,'Slutlig allokering kvv'!$B$2:$BX$549,MATCH(F$2,'Slutlig allokering kvv'!$B$1:$BX$1,0),FALSE)/1,0))</f>
        <v>0</v>
      </c>
      <c r="G159" s="121">
        <f>IF($D159="","",IFERROR(VLOOKUP($B159,Kraftvärmeprod!$B$1:$BX$549,MATCH(G$2,Kraftvärmeprod!$B$1:$VX$1,0),FALSE)/1,0)-IFERROR(VLOOKUP($B159,'Slutlig allokering kvv'!$B$2:$BX$549,MATCH(G$2,'Slutlig allokering kvv'!$B$1:$BX$1,0),FALSE)/1,0))</f>
        <v>0</v>
      </c>
      <c r="H159" s="121">
        <f>IF($D159="","",IFERROR(VLOOKUP($B159,Kraftvärmeprod!$B$1:$BX$549,MATCH(H$2,Kraftvärmeprod!$B$1:$VX$1,0),FALSE)/1,0)-IFERROR(VLOOKUP($B159,'Slutlig allokering kvv'!$B$2:$BX$549,MATCH(H$2,'Slutlig allokering kvv'!$B$1:$BX$1,0),FALSE)/1,0))</f>
        <v>0</v>
      </c>
      <c r="I159" s="121">
        <f>IF($D159="","",IFERROR(VLOOKUP($B159,Kraftvärmeprod!$B$1:$BX$549,MATCH(I$2,Kraftvärmeprod!$B$1:$VX$1,0),FALSE)/1,0)-IFERROR(VLOOKUP($B159,'Slutlig allokering kvv'!$B$2:$BX$549,MATCH(I$2,'Slutlig allokering kvv'!$B$1:$BX$1,0),FALSE)/1,0))</f>
        <v>0</v>
      </c>
      <c r="J159" s="121">
        <f>IF($D159="","",IFERROR(VLOOKUP($B159,Kraftvärmeprod!$B$1:$BX$549,MATCH(J$2,Kraftvärmeprod!$B$1:$VX$1,0),FALSE)/1,0)-IFERROR(VLOOKUP($B159,'Slutlig allokering kvv'!$B$2:$BX$549,MATCH(J$2,'Slutlig allokering kvv'!$B$1:$BX$1,0),FALSE)/1,0))</f>
        <v>0</v>
      </c>
      <c r="K159" s="121">
        <f>IF($D159="","",IFERROR(VLOOKUP($B159,Kraftvärmeprod!$B$1:$BX$549,MATCH(K$2,Kraftvärmeprod!$B$1:$VX$1,0),FALSE)/1,0)-IFERROR(VLOOKUP($B159,'Slutlig allokering kvv'!$B$2:$BX$549,MATCH(K$2,'Slutlig allokering kvv'!$B$1:$BX$1,0),FALSE)/1,0))</f>
        <v>0</v>
      </c>
      <c r="L159" s="121">
        <f>IF($D159="","",IFERROR(VLOOKUP($B159,Kraftvärmeprod!$B$1:$BX$549,MATCH(L$2,Kraftvärmeprod!$B$1:$VX$1,0),FALSE)/1,0)-IFERROR(VLOOKUP($B159,'Slutlig allokering kvv'!$B$2:$BX$549,MATCH(L$2,'Slutlig allokering kvv'!$B$1:$BX$1,0),FALSE)/1,0))</f>
        <v>7.3779000000000003</v>
      </c>
      <c r="M159" s="121">
        <f>IF($D159="","",IFERROR(VLOOKUP($B159,Kraftvärmeprod!$B$1:$BX$549,MATCH(M$2,Kraftvärmeprod!$B$1:$VX$1,0),FALSE)/1,0)-IFERROR(VLOOKUP($B159,'Slutlig allokering kvv'!$B$2:$BX$549,MATCH(M$2,'Slutlig allokering kvv'!$B$1:$BX$1,0),FALSE)/1,0))</f>
        <v>0</v>
      </c>
      <c r="N159" s="121">
        <f>IF($D159="","",IFERROR(VLOOKUP($B159,Kraftvärmeprod!$B$1:$BX$549,MATCH(N$2,Kraftvärmeprod!$B$1:$VX$1,0),FALSE)/1,0)-IFERROR(VLOOKUP($B159,'Slutlig allokering kvv'!$B$2:$BX$549,MATCH(N$2,'Slutlig allokering kvv'!$B$1:$BX$1,0),FALSE)/1,0))</f>
        <v>0</v>
      </c>
      <c r="O159" s="121">
        <f>IF($D159="","",IFERROR(VLOOKUP($B159,Kraftvärmeprod!$B$1:$BX$549,MATCH(O$2,Kraftvärmeprod!$B$1:$VX$1,0),FALSE)/1,0)-IFERROR(VLOOKUP($B159,'Slutlig allokering kvv'!$B$2:$BX$549,MATCH(O$2,'Slutlig allokering kvv'!$B$1:$BX$1,0),FALSE)/1,0))</f>
        <v>0</v>
      </c>
      <c r="P159" s="121">
        <f>IF($D159="","",IFERROR(VLOOKUP($B159,Kraftvärmeprod!$B$1:$BX$549,MATCH(P$2,Kraftvärmeprod!$B$1:$VX$1,0),FALSE)/1,0)-IFERROR(VLOOKUP($B159,'Slutlig allokering kvv'!$B$2:$BX$549,MATCH(P$2,'Slutlig allokering kvv'!$B$1:$BX$1,0),FALSE)/1,0))</f>
        <v>0</v>
      </c>
      <c r="Q159" s="121">
        <f>IF($D159="","",IFERROR(VLOOKUP($B159,Kraftvärmeprod!$B$1:$BX$549,MATCH(Q$2,Kraftvärmeprod!$B$1:$VX$1,0),FALSE)/1,0)-IFERROR(VLOOKUP($B159,'Slutlig allokering kvv'!$B$2:$BX$549,MATCH(Q$2,'Slutlig allokering kvv'!$B$1:$BX$1,0),FALSE)/1,0))</f>
        <v>0</v>
      </c>
      <c r="R159" s="121">
        <f>IF($D159="","",IFERROR(VLOOKUP($B159,Kraftvärmeprod!$B$1:$BX$549,MATCH(R$2,Kraftvärmeprod!$B$1:$VX$1,0),FALSE)/1,0)-IFERROR(VLOOKUP($B159,'Slutlig allokering kvv'!$B$2:$BX$549,MATCH(R$2,'Slutlig allokering kvv'!$B$1:$BX$1,0),FALSE)/1,0))</f>
        <v>0</v>
      </c>
      <c r="S159" s="121">
        <f>IF($D159="","",IFERROR(VLOOKUP($B159,Kraftvärmeprod!$B$1:$BX$549,MATCH(S$2,Kraftvärmeprod!$B$1:$VX$1,0),FALSE)/1,0)-IFERROR(VLOOKUP($B159,'Slutlig allokering kvv'!$B$2:$BX$549,MATCH(S$2,'Slutlig allokering kvv'!$B$1:$BX$1,0),FALSE)/1,0))</f>
        <v>0</v>
      </c>
      <c r="T159" s="121">
        <f>IF($D159="","",IFERROR(VLOOKUP($B159,Kraftvärmeprod!$B$1:$BX$549,MATCH(T$2,Kraftvärmeprod!$B$1:$VX$1,0),FALSE)/1,0)-IFERROR(VLOOKUP($B159,'Slutlig allokering kvv'!$B$2:$BX$549,MATCH(T$2,'Slutlig allokering kvv'!$B$1:$BX$1,0),FALSE)/1,0))</f>
        <v>0</v>
      </c>
      <c r="U159" s="121">
        <f>IF($D159="","",IFERROR(VLOOKUP($B159,Kraftvärmeprod!$B$1:$BX$549,MATCH(U$2,Kraftvärmeprod!$B$1:$VX$1,0),FALSE)/1,0)-IFERROR(VLOOKUP($B159,'Slutlig allokering kvv'!$B$2:$BX$549,MATCH(U$2,'Slutlig allokering kvv'!$B$1:$BX$1,0),FALSE)/1,0))</f>
        <v>0</v>
      </c>
      <c r="V159" s="121">
        <f>IF($D159="","",IFERROR(VLOOKUP($B159,Kraftvärmeprod!$B$1:$BX$549,MATCH(V$2,Kraftvärmeprod!$B$1:$VX$1,0),FALSE)/1,0)-IFERROR(VLOOKUP($B159,'Slutlig allokering kvv'!$B$2:$BX$549,MATCH(V$2,'Slutlig allokering kvv'!$B$1:$BX$1,0),FALSE)/1,0))</f>
        <v>5.3402999999999992</v>
      </c>
      <c r="W159" s="121">
        <f>IF($D159="","",IFERROR(VLOOKUP($B159,Kraftvärmeprod!$B$1:$BX$549,MATCH(W$2,Kraftvärmeprod!$B$1:$VX$1,0),FALSE)/1,0)-IFERROR(VLOOKUP($B159,'Slutlig allokering kvv'!$B$2:$BX$549,MATCH(W$2,'Slutlig allokering kvv'!$B$1:$BX$1,0),FALSE)/1,0))</f>
        <v>0</v>
      </c>
      <c r="X159" s="121">
        <f>IF($D159="","",IFERROR(VLOOKUP($B159,Kraftvärmeprod!$B$1:$BX$549,MATCH(X$2,Kraftvärmeprod!$B$1:$VX$1,0),FALSE)/1,0)-IFERROR(VLOOKUP($B159,'Slutlig allokering kvv'!$B$2:$BX$549,MATCH(X$2,'Slutlig allokering kvv'!$B$1:$BX$1,0),FALSE)/1,0))</f>
        <v>0</v>
      </c>
      <c r="Y159" s="121">
        <f>IF($D159="","",IFERROR(VLOOKUP($B159,Kraftvärmeprod!$B$1:$BX$549,MATCH(Y$2,Kraftvärmeprod!$B$1:$VX$1,0),FALSE)/1,0)-IFERROR(VLOOKUP($B159,'Slutlig allokering kvv'!$B$2:$BX$549,MATCH(Y$2,'Slutlig allokering kvv'!$B$1:$BX$1,0),FALSE)/1,0))</f>
        <v>0</v>
      </c>
      <c r="Z159" s="121">
        <f>IF($D159="","",IFERROR(VLOOKUP($B159,Kraftvärmeprod!$B$1:$BX$549,MATCH(Z$2,Kraftvärmeprod!$B$1:$VX$1,0),FALSE)/1,0)-IFERROR(VLOOKUP($B159,'Slutlig allokering kvv'!$B$2:$BX$549,MATCH(Z$2,'Slutlig allokering kvv'!$B$1:$BX$1,0),FALSE)/1,0))</f>
        <v>1.0042200000000001</v>
      </c>
      <c r="AA159" s="121">
        <f>IF($D159="","",IFERROR(VLOOKUP($B159,Kraftvärmeprod!$B$1:$BX$549,MATCH(AA$2,Kraftvärmeprod!$B$1:$VX$1,0),FALSE)/1,0)-IFERROR(VLOOKUP($B159,'Slutlig allokering kvv'!$B$2:$BX$549,MATCH(AA$2,'Slutlig allokering kvv'!$B$1:$BX$1,0),FALSE)/1,0))</f>
        <v>38.652000000000001</v>
      </c>
      <c r="AB159" s="121">
        <f>IF($D159="","",IFERROR(VLOOKUP($B159,Kraftvärmeprod!$B$1:$BX$549,MATCH(AB$2,Kraftvärmeprod!$B$1:$VX$1,0),FALSE)/1,0)-IFERROR(VLOOKUP($B159,'Slutlig allokering kvv'!$B$2:$BX$549,MATCH(AB$2,'Slutlig allokering kvv'!$B$1:$BX$1,0),FALSE)/1,0))</f>
        <v>0</v>
      </c>
      <c r="AC159" s="121">
        <f>IF($D159="","",IFERROR(VLOOKUP($B159,Kraftvärmeprod!$B$1:$BX$549,MATCH(AC$2,Kraftvärmeprod!$B$1:$VX$1,0),FALSE)/1,0)-IFERROR(VLOOKUP($B159,'Slutlig allokering kvv'!$B$2:$BX$549,MATCH(AC$2,'Slutlig allokering kvv'!$B$1:$BX$1,0),FALSE)/1,0))</f>
        <v>0</v>
      </c>
      <c r="AD159" s="121">
        <f>IF($D159="","",IFERROR(VLOOKUP($B159,Kraftvärmeprod!$B$1:$BX$549,MATCH(AD$2,Kraftvärmeprod!$B$1:$VX$1,0),FALSE)/1,0)-IFERROR(VLOOKUP($B159,'Slutlig allokering kvv'!$B$2:$BX$549,MATCH(AD$2,'Slutlig allokering kvv'!$B$1:$BX$1,0),FALSE)/1,0))</f>
        <v>0</v>
      </c>
      <c r="AE159" s="121">
        <f>IF($D159="","",IFERROR(VLOOKUP($B159,Miljö!$B$1:$E$550,MATCH("Hjälpel kraftvärme (GWh)",Miljö!$B$1:$E$1,0),FALSE)/1,0)-IFERROR(VLOOKUP($B159,'Slutlig allokering kvv'!$B$2:$BX$549,MATCH(AE$2,'Slutlig allokering kvv'!$B$1:$BX$1,0),FALSE)/1,0))</f>
        <v>0</v>
      </c>
      <c r="AI159" s="121">
        <f t="shared" si="8"/>
        <v>52.374420000000001</v>
      </c>
      <c r="AK159" s="121">
        <f>IFERROR(VLOOKUP($B159,'Slutlig allokering kvv'!$B$2:$AX$549,MATCH("Summa slutlig allokerad tillförd energi (utan hjälpel och rökgaskondensering):",'Slutlig allokering kvv'!$B$1:$AX$1,0),FALSE)/1,"")</f>
        <v>161.97558000000001</v>
      </c>
      <c r="AM159" s="172">
        <f>IFERROR(1-VLOOKUP($B159,'Slutlig allokering kvv'!$B$2:$AX$549,MATCH("Andel av bränsle i kvv som allokerats till värme, exklusive rökgaskondensering och hjälpel",'Slutlig allokering kvv'!$B$1:$AX$1,0),FALSE),"")</f>
        <v>0.24434065780265912</v>
      </c>
      <c r="AO159" s="172">
        <f t="shared" si="9"/>
        <v>0.24434065780265918</v>
      </c>
      <c r="AP159" s="173">
        <f t="shared" si="10"/>
        <v>-5.5511151231257827E-17</v>
      </c>
      <c r="AR159" s="172">
        <f t="shared" si="11"/>
        <v>0.38797565681872948</v>
      </c>
    </row>
    <row r="160" spans="1:44" x14ac:dyDescent="0.25">
      <c r="A160" s="171" t="str">
        <f>'Miljövärden för publ företag'!B162</f>
        <v>Ljusdal Energi AB</v>
      </c>
      <c r="B160" s="171" t="str">
        <f>'Miljövärden för publ företag'!C162</f>
        <v>Färila</v>
      </c>
      <c r="C160" s="121" t="str">
        <f>IFERROR(VLOOKUP($B160,Kraftvärmeprod!$B$1:$AH$478,MATCH(C$2,Kraftvärmeprod!$B$1:$AG$1,0),FALSE)/1,"")</f>
        <v/>
      </c>
      <c r="D160" s="121" t="str">
        <f>IFERROR(VLOOKUP($B160,Kraftvärmeprod!$B$1:$AH$478,MATCH(D$2,Kraftvärmeprod!$B$1:$AG$1,0),FALSE)/1,"")</f>
        <v/>
      </c>
      <c r="F160" s="121" t="str">
        <f>IF($D160="","",IFERROR(VLOOKUP($B160,Kraftvärmeprod!$B$1:$BX$549,MATCH(F$2,Kraftvärmeprod!$B$1:$VX$1,0),FALSE)/1,0)-IFERROR(VLOOKUP($B160,'Slutlig allokering kvv'!$B$2:$BX$549,MATCH(F$2,'Slutlig allokering kvv'!$B$1:$BX$1,0),FALSE)/1,0))</f>
        <v/>
      </c>
      <c r="G160" s="121" t="str">
        <f>IF($D160="","",IFERROR(VLOOKUP($B160,Kraftvärmeprod!$B$1:$BX$549,MATCH(G$2,Kraftvärmeprod!$B$1:$VX$1,0),FALSE)/1,0)-IFERROR(VLOOKUP($B160,'Slutlig allokering kvv'!$B$2:$BX$549,MATCH(G$2,'Slutlig allokering kvv'!$B$1:$BX$1,0),FALSE)/1,0))</f>
        <v/>
      </c>
      <c r="H160" s="121" t="str">
        <f>IF($D160="","",IFERROR(VLOOKUP($B160,Kraftvärmeprod!$B$1:$BX$549,MATCH(H$2,Kraftvärmeprod!$B$1:$VX$1,0),FALSE)/1,0)-IFERROR(VLOOKUP($B160,'Slutlig allokering kvv'!$B$2:$BX$549,MATCH(H$2,'Slutlig allokering kvv'!$B$1:$BX$1,0),FALSE)/1,0))</f>
        <v/>
      </c>
      <c r="I160" s="121" t="str">
        <f>IF($D160="","",IFERROR(VLOOKUP($B160,Kraftvärmeprod!$B$1:$BX$549,MATCH(I$2,Kraftvärmeprod!$B$1:$VX$1,0),FALSE)/1,0)-IFERROR(VLOOKUP($B160,'Slutlig allokering kvv'!$B$2:$BX$549,MATCH(I$2,'Slutlig allokering kvv'!$B$1:$BX$1,0),FALSE)/1,0))</f>
        <v/>
      </c>
      <c r="J160" s="121" t="str">
        <f>IF($D160="","",IFERROR(VLOOKUP($B160,Kraftvärmeprod!$B$1:$BX$549,MATCH(J$2,Kraftvärmeprod!$B$1:$VX$1,0),FALSE)/1,0)-IFERROR(VLOOKUP($B160,'Slutlig allokering kvv'!$B$2:$BX$549,MATCH(J$2,'Slutlig allokering kvv'!$B$1:$BX$1,0),FALSE)/1,0))</f>
        <v/>
      </c>
      <c r="K160" s="121" t="str">
        <f>IF($D160="","",IFERROR(VLOOKUP($B160,Kraftvärmeprod!$B$1:$BX$549,MATCH(K$2,Kraftvärmeprod!$B$1:$VX$1,0),FALSE)/1,0)-IFERROR(VLOOKUP($B160,'Slutlig allokering kvv'!$B$2:$BX$549,MATCH(K$2,'Slutlig allokering kvv'!$B$1:$BX$1,0),FALSE)/1,0))</f>
        <v/>
      </c>
      <c r="L160" s="121" t="str">
        <f>IF($D160="","",IFERROR(VLOOKUP($B160,Kraftvärmeprod!$B$1:$BX$549,MATCH(L$2,Kraftvärmeprod!$B$1:$VX$1,0),FALSE)/1,0)-IFERROR(VLOOKUP($B160,'Slutlig allokering kvv'!$B$2:$BX$549,MATCH(L$2,'Slutlig allokering kvv'!$B$1:$BX$1,0),FALSE)/1,0))</f>
        <v/>
      </c>
      <c r="M160" s="121" t="str">
        <f>IF($D160="","",IFERROR(VLOOKUP($B160,Kraftvärmeprod!$B$1:$BX$549,MATCH(M$2,Kraftvärmeprod!$B$1:$VX$1,0),FALSE)/1,0)-IFERROR(VLOOKUP($B160,'Slutlig allokering kvv'!$B$2:$BX$549,MATCH(M$2,'Slutlig allokering kvv'!$B$1:$BX$1,0),FALSE)/1,0))</f>
        <v/>
      </c>
      <c r="N160" s="121" t="str">
        <f>IF($D160="","",IFERROR(VLOOKUP($B160,Kraftvärmeprod!$B$1:$BX$549,MATCH(N$2,Kraftvärmeprod!$B$1:$VX$1,0),FALSE)/1,0)-IFERROR(VLOOKUP($B160,'Slutlig allokering kvv'!$B$2:$BX$549,MATCH(N$2,'Slutlig allokering kvv'!$B$1:$BX$1,0),FALSE)/1,0))</f>
        <v/>
      </c>
      <c r="O160" s="121" t="str">
        <f>IF($D160="","",IFERROR(VLOOKUP($B160,Kraftvärmeprod!$B$1:$BX$549,MATCH(O$2,Kraftvärmeprod!$B$1:$VX$1,0),FALSE)/1,0)-IFERROR(VLOOKUP($B160,'Slutlig allokering kvv'!$B$2:$BX$549,MATCH(O$2,'Slutlig allokering kvv'!$B$1:$BX$1,0),FALSE)/1,0))</f>
        <v/>
      </c>
      <c r="P160" s="121" t="str">
        <f>IF($D160="","",IFERROR(VLOOKUP($B160,Kraftvärmeprod!$B$1:$BX$549,MATCH(P$2,Kraftvärmeprod!$B$1:$VX$1,0),FALSE)/1,0)-IFERROR(VLOOKUP($B160,'Slutlig allokering kvv'!$B$2:$BX$549,MATCH(P$2,'Slutlig allokering kvv'!$B$1:$BX$1,0),FALSE)/1,0))</f>
        <v/>
      </c>
      <c r="Q160" s="121" t="str">
        <f>IF($D160="","",IFERROR(VLOOKUP($B160,Kraftvärmeprod!$B$1:$BX$549,MATCH(Q$2,Kraftvärmeprod!$B$1:$VX$1,0),FALSE)/1,0)-IFERROR(VLOOKUP($B160,'Slutlig allokering kvv'!$B$2:$BX$549,MATCH(Q$2,'Slutlig allokering kvv'!$B$1:$BX$1,0),FALSE)/1,0))</f>
        <v/>
      </c>
      <c r="R160" s="121" t="str">
        <f>IF($D160="","",IFERROR(VLOOKUP($B160,Kraftvärmeprod!$B$1:$BX$549,MATCH(R$2,Kraftvärmeprod!$B$1:$VX$1,0),FALSE)/1,0)-IFERROR(VLOOKUP($B160,'Slutlig allokering kvv'!$B$2:$BX$549,MATCH(R$2,'Slutlig allokering kvv'!$B$1:$BX$1,0),FALSE)/1,0))</f>
        <v/>
      </c>
      <c r="S160" s="121" t="str">
        <f>IF($D160="","",IFERROR(VLOOKUP($B160,Kraftvärmeprod!$B$1:$BX$549,MATCH(S$2,Kraftvärmeprod!$B$1:$VX$1,0),FALSE)/1,0)-IFERROR(VLOOKUP($B160,'Slutlig allokering kvv'!$B$2:$BX$549,MATCH(S$2,'Slutlig allokering kvv'!$B$1:$BX$1,0),FALSE)/1,0))</f>
        <v/>
      </c>
      <c r="T160" s="121" t="str">
        <f>IF($D160="","",IFERROR(VLOOKUP($B160,Kraftvärmeprod!$B$1:$BX$549,MATCH(T$2,Kraftvärmeprod!$B$1:$VX$1,0),FALSE)/1,0)-IFERROR(VLOOKUP($B160,'Slutlig allokering kvv'!$B$2:$BX$549,MATCH(T$2,'Slutlig allokering kvv'!$B$1:$BX$1,0),FALSE)/1,0))</f>
        <v/>
      </c>
      <c r="U160" s="121" t="str">
        <f>IF($D160="","",IFERROR(VLOOKUP($B160,Kraftvärmeprod!$B$1:$BX$549,MATCH(U$2,Kraftvärmeprod!$B$1:$VX$1,0),FALSE)/1,0)-IFERROR(VLOOKUP($B160,'Slutlig allokering kvv'!$B$2:$BX$549,MATCH(U$2,'Slutlig allokering kvv'!$B$1:$BX$1,0),FALSE)/1,0))</f>
        <v/>
      </c>
      <c r="V160" s="121" t="str">
        <f>IF($D160="","",IFERROR(VLOOKUP($B160,Kraftvärmeprod!$B$1:$BX$549,MATCH(V$2,Kraftvärmeprod!$B$1:$VX$1,0),FALSE)/1,0)-IFERROR(VLOOKUP($B160,'Slutlig allokering kvv'!$B$2:$BX$549,MATCH(V$2,'Slutlig allokering kvv'!$B$1:$BX$1,0),FALSE)/1,0))</f>
        <v/>
      </c>
      <c r="W160" s="121" t="str">
        <f>IF($D160="","",IFERROR(VLOOKUP($B160,Kraftvärmeprod!$B$1:$BX$549,MATCH(W$2,Kraftvärmeprod!$B$1:$VX$1,0),FALSE)/1,0)-IFERROR(VLOOKUP($B160,'Slutlig allokering kvv'!$B$2:$BX$549,MATCH(W$2,'Slutlig allokering kvv'!$B$1:$BX$1,0),FALSE)/1,0))</f>
        <v/>
      </c>
      <c r="X160" s="121" t="str">
        <f>IF($D160="","",IFERROR(VLOOKUP($B160,Kraftvärmeprod!$B$1:$BX$549,MATCH(X$2,Kraftvärmeprod!$B$1:$VX$1,0),FALSE)/1,0)-IFERROR(VLOOKUP($B160,'Slutlig allokering kvv'!$B$2:$BX$549,MATCH(X$2,'Slutlig allokering kvv'!$B$1:$BX$1,0),FALSE)/1,0))</f>
        <v/>
      </c>
      <c r="Y160" s="121" t="str">
        <f>IF($D160="","",IFERROR(VLOOKUP($B160,Kraftvärmeprod!$B$1:$BX$549,MATCH(Y$2,Kraftvärmeprod!$B$1:$VX$1,0),FALSE)/1,0)-IFERROR(VLOOKUP($B160,'Slutlig allokering kvv'!$B$2:$BX$549,MATCH(Y$2,'Slutlig allokering kvv'!$B$1:$BX$1,0),FALSE)/1,0))</f>
        <v/>
      </c>
      <c r="Z160" s="121" t="str">
        <f>IF($D160="","",IFERROR(VLOOKUP($B160,Kraftvärmeprod!$B$1:$BX$549,MATCH(Z$2,Kraftvärmeprod!$B$1:$VX$1,0),FALSE)/1,0)-IFERROR(VLOOKUP($B160,'Slutlig allokering kvv'!$B$2:$BX$549,MATCH(Z$2,'Slutlig allokering kvv'!$B$1:$BX$1,0),FALSE)/1,0))</f>
        <v/>
      </c>
      <c r="AA160" s="121" t="str">
        <f>IF($D160="","",IFERROR(VLOOKUP($B160,Kraftvärmeprod!$B$1:$BX$549,MATCH(AA$2,Kraftvärmeprod!$B$1:$VX$1,0),FALSE)/1,0)-IFERROR(VLOOKUP($B160,'Slutlig allokering kvv'!$B$2:$BX$549,MATCH(AA$2,'Slutlig allokering kvv'!$B$1:$BX$1,0),FALSE)/1,0))</f>
        <v/>
      </c>
      <c r="AB160" s="121" t="str">
        <f>IF($D160="","",IFERROR(VLOOKUP($B160,Kraftvärmeprod!$B$1:$BX$549,MATCH(AB$2,Kraftvärmeprod!$B$1:$VX$1,0),FALSE)/1,0)-IFERROR(VLOOKUP($B160,'Slutlig allokering kvv'!$B$2:$BX$549,MATCH(AB$2,'Slutlig allokering kvv'!$B$1:$BX$1,0),FALSE)/1,0))</f>
        <v/>
      </c>
      <c r="AC160" s="121" t="str">
        <f>IF($D160="","",IFERROR(VLOOKUP($B160,Kraftvärmeprod!$B$1:$BX$549,MATCH(AC$2,Kraftvärmeprod!$B$1:$VX$1,0),FALSE)/1,0)-IFERROR(VLOOKUP($B160,'Slutlig allokering kvv'!$B$2:$BX$549,MATCH(AC$2,'Slutlig allokering kvv'!$B$1:$BX$1,0),FALSE)/1,0))</f>
        <v/>
      </c>
      <c r="AD160" s="121" t="str">
        <f>IF($D160="","",IFERROR(VLOOKUP($B160,Kraftvärmeprod!$B$1:$BX$549,MATCH(AD$2,Kraftvärmeprod!$B$1:$VX$1,0),FALSE)/1,0)-IFERROR(VLOOKUP($B160,'Slutlig allokering kvv'!$B$2:$BX$549,MATCH(AD$2,'Slutlig allokering kvv'!$B$1:$BX$1,0),FALSE)/1,0))</f>
        <v/>
      </c>
      <c r="AE160" s="121" t="str">
        <f>IF($D160="","",IFERROR(VLOOKUP($B160,Miljö!$B$1:$E$550,MATCH("Hjälpel kraftvärme (GWh)",Miljö!$B$1:$E$1,0),FALSE)/1,0)-IFERROR(VLOOKUP($B160,'Slutlig allokering kvv'!$B$2:$BX$549,MATCH(AE$2,'Slutlig allokering kvv'!$B$1:$BX$1,0),FALSE)/1,0))</f>
        <v/>
      </c>
      <c r="AI160" s="121">
        <f t="shared" si="8"/>
        <v>0</v>
      </c>
      <c r="AK160" s="121">
        <f>IFERROR(VLOOKUP($B160,'Slutlig allokering kvv'!$B$2:$AX$549,MATCH("Summa slutlig allokerad tillförd energi (utan hjälpel och rökgaskondensering):",'Slutlig allokering kvv'!$B$1:$AX$1,0),FALSE)/1,"")</f>
        <v>0</v>
      </c>
      <c r="AM160" s="172" t="str">
        <f>IFERROR(1-VLOOKUP($B160,'Slutlig allokering kvv'!$B$2:$AX$549,MATCH("Andel av bränsle i kvv som allokerats till värme, exklusive rökgaskondensering och hjälpel",'Slutlig allokering kvv'!$B$1:$AX$1,0),FALSE),"")</f>
        <v/>
      </c>
      <c r="AO160" s="172" t="str">
        <f t="shared" si="9"/>
        <v/>
      </c>
      <c r="AP160" s="173" t="str">
        <f t="shared" si="10"/>
        <v/>
      </c>
      <c r="AR160" s="172" t="str">
        <f t="shared" si="11"/>
        <v/>
      </c>
    </row>
    <row r="161" spans="1:44" x14ac:dyDescent="0.25">
      <c r="A161" s="171" t="str">
        <f>'Miljövärden för publ företag'!B163</f>
        <v>Ljusdal Energi AB</v>
      </c>
      <c r="B161" s="171" t="str">
        <f>'Miljövärden för publ företag'!C163</f>
        <v>Järvsö</v>
      </c>
      <c r="C161" s="121" t="str">
        <f>IFERROR(VLOOKUP($B161,Kraftvärmeprod!$B$1:$AH$478,MATCH(C$2,Kraftvärmeprod!$B$1:$AG$1,0),FALSE)/1,"")</f>
        <v/>
      </c>
      <c r="D161" s="121" t="str">
        <f>IFERROR(VLOOKUP($B161,Kraftvärmeprod!$B$1:$AH$478,MATCH(D$2,Kraftvärmeprod!$B$1:$AG$1,0),FALSE)/1,"")</f>
        <v/>
      </c>
      <c r="F161" s="121" t="str">
        <f>IF($D161="","",IFERROR(VLOOKUP($B161,Kraftvärmeprod!$B$1:$BX$549,MATCH(F$2,Kraftvärmeprod!$B$1:$VX$1,0),FALSE)/1,0)-IFERROR(VLOOKUP($B161,'Slutlig allokering kvv'!$B$2:$BX$549,MATCH(F$2,'Slutlig allokering kvv'!$B$1:$BX$1,0),FALSE)/1,0))</f>
        <v/>
      </c>
      <c r="G161" s="121" t="str">
        <f>IF($D161="","",IFERROR(VLOOKUP($B161,Kraftvärmeprod!$B$1:$BX$549,MATCH(G$2,Kraftvärmeprod!$B$1:$VX$1,0),FALSE)/1,0)-IFERROR(VLOOKUP($B161,'Slutlig allokering kvv'!$B$2:$BX$549,MATCH(G$2,'Slutlig allokering kvv'!$B$1:$BX$1,0),FALSE)/1,0))</f>
        <v/>
      </c>
      <c r="H161" s="121" t="str">
        <f>IF($D161="","",IFERROR(VLOOKUP($B161,Kraftvärmeprod!$B$1:$BX$549,MATCH(H$2,Kraftvärmeprod!$B$1:$VX$1,0),FALSE)/1,0)-IFERROR(VLOOKUP($B161,'Slutlig allokering kvv'!$B$2:$BX$549,MATCH(H$2,'Slutlig allokering kvv'!$B$1:$BX$1,0),FALSE)/1,0))</f>
        <v/>
      </c>
      <c r="I161" s="121" t="str">
        <f>IF($D161="","",IFERROR(VLOOKUP($B161,Kraftvärmeprod!$B$1:$BX$549,MATCH(I$2,Kraftvärmeprod!$B$1:$VX$1,0),FALSE)/1,0)-IFERROR(VLOOKUP($B161,'Slutlig allokering kvv'!$B$2:$BX$549,MATCH(I$2,'Slutlig allokering kvv'!$B$1:$BX$1,0),FALSE)/1,0))</f>
        <v/>
      </c>
      <c r="J161" s="121" t="str">
        <f>IF($D161="","",IFERROR(VLOOKUP($B161,Kraftvärmeprod!$B$1:$BX$549,MATCH(J$2,Kraftvärmeprod!$B$1:$VX$1,0),FALSE)/1,0)-IFERROR(VLOOKUP($B161,'Slutlig allokering kvv'!$B$2:$BX$549,MATCH(J$2,'Slutlig allokering kvv'!$B$1:$BX$1,0),FALSE)/1,0))</f>
        <v/>
      </c>
      <c r="K161" s="121" t="str">
        <f>IF($D161="","",IFERROR(VLOOKUP($B161,Kraftvärmeprod!$B$1:$BX$549,MATCH(K$2,Kraftvärmeprod!$B$1:$VX$1,0),FALSE)/1,0)-IFERROR(VLOOKUP($B161,'Slutlig allokering kvv'!$B$2:$BX$549,MATCH(K$2,'Slutlig allokering kvv'!$B$1:$BX$1,0),FALSE)/1,0))</f>
        <v/>
      </c>
      <c r="L161" s="121" t="str">
        <f>IF($D161="","",IFERROR(VLOOKUP($B161,Kraftvärmeprod!$B$1:$BX$549,MATCH(L$2,Kraftvärmeprod!$B$1:$VX$1,0),FALSE)/1,0)-IFERROR(VLOOKUP($B161,'Slutlig allokering kvv'!$B$2:$BX$549,MATCH(L$2,'Slutlig allokering kvv'!$B$1:$BX$1,0),FALSE)/1,0))</f>
        <v/>
      </c>
      <c r="M161" s="121" t="str">
        <f>IF($D161="","",IFERROR(VLOOKUP($B161,Kraftvärmeprod!$B$1:$BX$549,MATCH(M$2,Kraftvärmeprod!$B$1:$VX$1,0),FALSE)/1,0)-IFERROR(VLOOKUP($B161,'Slutlig allokering kvv'!$B$2:$BX$549,MATCH(M$2,'Slutlig allokering kvv'!$B$1:$BX$1,0),FALSE)/1,0))</f>
        <v/>
      </c>
      <c r="N161" s="121" t="str">
        <f>IF($D161="","",IFERROR(VLOOKUP($B161,Kraftvärmeprod!$B$1:$BX$549,MATCH(N$2,Kraftvärmeprod!$B$1:$VX$1,0),FALSE)/1,0)-IFERROR(VLOOKUP($B161,'Slutlig allokering kvv'!$B$2:$BX$549,MATCH(N$2,'Slutlig allokering kvv'!$B$1:$BX$1,0),FALSE)/1,0))</f>
        <v/>
      </c>
      <c r="O161" s="121" t="str">
        <f>IF($D161="","",IFERROR(VLOOKUP($B161,Kraftvärmeprod!$B$1:$BX$549,MATCH(O$2,Kraftvärmeprod!$B$1:$VX$1,0),FALSE)/1,0)-IFERROR(VLOOKUP($B161,'Slutlig allokering kvv'!$B$2:$BX$549,MATCH(O$2,'Slutlig allokering kvv'!$B$1:$BX$1,0),FALSE)/1,0))</f>
        <v/>
      </c>
      <c r="P161" s="121" t="str">
        <f>IF($D161="","",IFERROR(VLOOKUP($B161,Kraftvärmeprod!$B$1:$BX$549,MATCH(P$2,Kraftvärmeprod!$B$1:$VX$1,0),FALSE)/1,0)-IFERROR(VLOOKUP($B161,'Slutlig allokering kvv'!$B$2:$BX$549,MATCH(P$2,'Slutlig allokering kvv'!$B$1:$BX$1,0),FALSE)/1,0))</f>
        <v/>
      </c>
      <c r="Q161" s="121" t="str">
        <f>IF($D161="","",IFERROR(VLOOKUP($B161,Kraftvärmeprod!$B$1:$BX$549,MATCH(Q$2,Kraftvärmeprod!$B$1:$VX$1,0),FALSE)/1,0)-IFERROR(VLOOKUP($B161,'Slutlig allokering kvv'!$B$2:$BX$549,MATCH(Q$2,'Slutlig allokering kvv'!$B$1:$BX$1,0),FALSE)/1,0))</f>
        <v/>
      </c>
      <c r="R161" s="121" t="str">
        <f>IF($D161="","",IFERROR(VLOOKUP($B161,Kraftvärmeprod!$B$1:$BX$549,MATCH(R$2,Kraftvärmeprod!$B$1:$VX$1,0),FALSE)/1,0)-IFERROR(VLOOKUP($B161,'Slutlig allokering kvv'!$B$2:$BX$549,MATCH(R$2,'Slutlig allokering kvv'!$B$1:$BX$1,0),FALSE)/1,0))</f>
        <v/>
      </c>
      <c r="S161" s="121" t="str">
        <f>IF($D161="","",IFERROR(VLOOKUP($B161,Kraftvärmeprod!$B$1:$BX$549,MATCH(S$2,Kraftvärmeprod!$B$1:$VX$1,0),FALSE)/1,0)-IFERROR(VLOOKUP($B161,'Slutlig allokering kvv'!$B$2:$BX$549,MATCH(S$2,'Slutlig allokering kvv'!$B$1:$BX$1,0),FALSE)/1,0))</f>
        <v/>
      </c>
      <c r="T161" s="121" t="str">
        <f>IF($D161="","",IFERROR(VLOOKUP($B161,Kraftvärmeprod!$B$1:$BX$549,MATCH(T$2,Kraftvärmeprod!$B$1:$VX$1,0),FALSE)/1,0)-IFERROR(VLOOKUP($B161,'Slutlig allokering kvv'!$B$2:$BX$549,MATCH(T$2,'Slutlig allokering kvv'!$B$1:$BX$1,0),FALSE)/1,0))</f>
        <v/>
      </c>
      <c r="U161" s="121" t="str">
        <f>IF($D161="","",IFERROR(VLOOKUP($B161,Kraftvärmeprod!$B$1:$BX$549,MATCH(U$2,Kraftvärmeprod!$B$1:$VX$1,0),FALSE)/1,0)-IFERROR(VLOOKUP($B161,'Slutlig allokering kvv'!$B$2:$BX$549,MATCH(U$2,'Slutlig allokering kvv'!$B$1:$BX$1,0),FALSE)/1,0))</f>
        <v/>
      </c>
      <c r="V161" s="121" t="str">
        <f>IF($D161="","",IFERROR(VLOOKUP($B161,Kraftvärmeprod!$B$1:$BX$549,MATCH(V$2,Kraftvärmeprod!$B$1:$VX$1,0),FALSE)/1,0)-IFERROR(VLOOKUP($B161,'Slutlig allokering kvv'!$B$2:$BX$549,MATCH(V$2,'Slutlig allokering kvv'!$B$1:$BX$1,0),FALSE)/1,0))</f>
        <v/>
      </c>
      <c r="W161" s="121" t="str">
        <f>IF($D161="","",IFERROR(VLOOKUP($B161,Kraftvärmeprod!$B$1:$BX$549,MATCH(W$2,Kraftvärmeprod!$B$1:$VX$1,0),FALSE)/1,0)-IFERROR(VLOOKUP($B161,'Slutlig allokering kvv'!$B$2:$BX$549,MATCH(W$2,'Slutlig allokering kvv'!$B$1:$BX$1,0),FALSE)/1,0))</f>
        <v/>
      </c>
      <c r="X161" s="121" t="str">
        <f>IF($D161="","",IFERROR(VLOOKUP($B161,Kraftvärmeprod!$B$1:$BX$549,MATCH(X$2,Kraftvärmeprod!$B$1:$VX$1,0),FALSE)/1,0)-IFERROR(VLOOKUP($B161,'Slutlig allokering kvv'!$B$2:$BX$549,MATCH(X$2,'Slutlig allokering kvv'!$B$1:$BX$1,0),FALSE)/1,0))</f>
        <v/>
      </c>
      <c r="Y161" s="121" t="str">
        <f>IF($D161="","",IFERROR(VLOOKUP($B161,Kraftvärmeprod!$B$1:$BX$549,MATCH(Y$2,Kraftvärmeprod!$B$1:$VX$1,0),FALSE)/1,0)-IFERROR(VLOOKUP($B161,'Slutlig allokering kvv'!$B$2:$BX$549,MATCH(Y$2,'Slutlig allokering kvv'!$B$1:$BX$1,0),FALSE)/1,0))</f>
        <v/>
      </c>
      <c r="Z161" s="121" t="str">
        <f>IF($D161="","",IFERROR(VLOOKUP($B161,Kraftvärmeprod!$B$1:$BX$549,MATCH(Z$2,Kraftvärmeprod!$B$1:$VX$1,0),FALSE)/1,0)-IFERROR(VLOOKUP($B161,'Slutlig allokering kvv'!$B$2:$BX$549,MATCH(Z$2,'Slutlig allokering kvv'!$B$1:$BX$1,0),FALSE)/1,0))</f>
        <v/>
      </c>
      <c r="AA161" s="121" t="str">
        <f>IF($D161="","",IFERROR(VLOOKUP($B161,Kraftvärmeprod!$B$1:$BX$549,MATCH(AA$2,Kraftvärmeprod!$B$1:$VX$1,0),FALSE)/1,0)-IFERROR(VLOOKUP($B161,'Slutlig allokering kvv'!$B$2:$BX$549,MATCH(AA$2,'Slutlig allokering kvv'!$B$1:$BX$1,0),FALSE)/1,0))</f>
        <v/>
      </c>
      <c r="AB161" s="121" t="str">
        <f>IF($D161="","",IFERROR(VLOOKUP($B161,Kraftvärmeprod!$B$1:$BX$549,MATCH(AB$2,Kraftvärmeprod!$B$1:$VX$1,0),FALSE)/1,0)-IFERROR(VLOOKUP($B161,'Slutlig allokering kvv'!$B$2:$BX$549,MATCH(AB$2,'Slutlig allokering kvv'!$B$1:$BX$1,0),FALSE)/1,0))</f>
        <v/>
      </c>
      <c r="AC161" s="121" t="str">
        <f>IF($D161="","",IFERROR(VLOOKUP($B161,Kraftvärmeprod!$B$1:$BX$549,MATCH(AC$2,Kraftvärmeprod!$B$1:$VX$1,0),FALSE)/1,0)-IFERROR(VLOOKUP($B161,'Slutlig allokering kvv'!$B$2:$BX$549,MATCH(AC$2,'Slutlig allokering kvv'!$B$1:$BX$1,0),FALSE)/1,0))</f>
        <v/>
      </c>
      <c r="AD161" s="121" t="str">
        <f>IF($D161="","",IFERROR(VLOOKUP($B161,Kraftvärmeprod!$B$1:$BX$549,MATCH(AD$2,Kraftvärmeprod!$B$1:$VX$1,0),FALSE)/1,0)-IFERROR(VLOOKUP($B161,'Slutlig allokering kvv'!$B$2:$BX$549,MATCH(AD$2,'Slutlig allokering kvv'!$B$1:$BX$1,0),FALSE)/1,0))</f>
        <v/>
      </c>
      <c r="AE161" s="121" t="str">
        <f>IF($D161="","",IFERROR(VLOOKUP($B161,Miljö!$B$1:$E$550,MATCH("Hjälpel kraftvärme (GWh)",Miljö!$B$1:$E$1,0),FALSE)/1,0)-IFERROR(VLOOKUP($B161,'Slutlig allokering kvv'!$B$2:$BX$549,MATCH(AE$2,'Slutlig allokering kvv'!$B$1:$BX$1,0),FALSE)/1,0))</f>
        <v/>
      </c>
      <c r="AI161" s="121">
        <f t="shared" si="8"/>
        <v>0</v>
      </c>
      <c r="AK161" s="121">
        <f>IFERROR(VLOOKUP($B161,'Slutlig allokering kvv'!$B$2:$AX$549,MATCH("Summa slutlig allokerad tillförd energi (utan hjälpel och rökgaskondensering):",'Slutlig allokering kvv'!$B$1:$AX$1,0),FALSE)/1,"")</f>
        <v>0</v>
      </c>
      <c r="AM161" s="172" t="str">
        <f>IFERROR(1-VLOOKUP($B161,'Slutlig allokering kvv'!$B$2:$AX$549,MATCH("Andel av bränsle i kvv som allokerats till värme, exklusive rökgaskondensering och hjälpel",'Slutlig allokering kvv'!$B$1:$AX$1,0),FALSE),"")</f>
        <v/>
      </c>
      <c r="AO161" s="172" t="str">
        <f t="shared" si="9"/>
        <v/>
      </c>
      <c r="AP161" s="173" t="str">
        <f t="shared" si="10"/>
        <v/>
      </c>
      <c r="AR161" s="172" t="str">
        <f t="shared" si="11"/>
        <v/>
      </c>
    </row>
    <row r="162" spans="1:44" x14ac:dyDescent="0.25">
      <c r="A162" s="171" t="str">
        <f>'Miljövärden för publ företag'!B164</f>
        <v>Ljusdal Energi AB</v>
      </c>
      <c r="B162" s="171" t="str">
        <f>'Miljövärden för publ företag'!C164</f>
        <v>Ljusdal</v>
      </c>
      <c r="C162" s="121" t="str">
        <f>IFERROR(VLOOKUP($B162,Kraftvärmeprod!$B$1:$AH$478,MATCH(C$2,Kraftvärmeprod!$B$1:$AG$1,0),FALSE)/1,"")</f>
        <v/>
      </c>
      <c r="D162" s="121" t="str">
        <f>IFERROR(VLOOKUP($B162,Kraftvärmeprod!$B$1:$AH$478,MATCH(D$2,Kraftvärmeprod!$B$1:$AG$1,0),FALSE)/1,"")</f>
        <v/>
      </c>
      <c r="F162" s="121" t="str">
        <f>IF($D162="","",IFERROR(VLOOKUP($B162,Kraftvärmeprod!$B$1:$BX$549,MATCH(F$2,Kraftvärmeprod!$B$1:$VX$1,0),FALSE)/1,0)-IFERROR(VLOOKUP($B162,'Slutlig allokering kvv'!$B$2:$BX$549,MATCH(F$2,'Slutlig allokering kvv'!$B$1:$BX$1,0),FALSE)/1,0))</f>
        <v/>
      </c>
      <c r="G162" s="121" t="str">
        <f>IF($D162="","",IFERROR(VLOOKUP($B162,Kraftvärmeprod!$B$1:$BX$549,MATCH(G$2,Kraftvärmeprod!$B$1:$VX$1,0),FALSE)/1,0)-IFERROR(VLOOKUP($B162,'Slutlig allokering kvv'!$B$2:$BX$549,MATCH(G$2,'Slutlig allokering kvv'!$B$1:$BX$1,0),FALSE)/1,0))</f>
        <v/>
      </c>
      <c r="H162" s="121" t="str">
        <f>IF($D162="","",IFERROR(VLOOKUP($B162,Kraftvärmeprod!$B$1:$BX$549,MATCH(H$2,Kraftvärmeprod!$B$1:$VX$1,0),FALSE)/1,0)-IFERROR(VLOOKUP($B162,'Slutlig allokering kvv'!$B$2:$BX$549,MATCH(H$2,'Slutlig allokering kvv'!$B$1:$BX$1,0),FALSE)/1,0))</f>
        <v/>
      </c>
      <c r="I162" s="121" t="str">
        <f>IF($D162="","",IFERROR(VLOOKUP($B162,Kraftvärmeprod!$B$1:$BX$549,MATCH(I$2,Kraftvärmeprod!$B$1:$VX$1,0),FALSE)/1,0)-IFERROR(VLOOKUP($B162,'Slutlig allokering kvv'!$B$2:$BX$549,MATCH(I$2,'Slutlig allokering kvv'!$B$1:$BX$1,0),FALSE)/1,0))</f>
        <v/>
      </c>
      <c r="J162" s="121" t="str">
        <f>IF($D162="","",IFERROR(VLOOKUP($B162,Kraftvärmeprod!$B$1:$BX$549,MATCH(J$2,Kraftvärmeprod!$B$1:$VX$1,0),FALSE)/1,0)-IFERROR(VLOOKUP($B162,'Slutlig allokering kvv'!$B$2:$BX$549,MATCH(J$2,'Slutlig allokering kvv'!$B$1:$BX$1,0),FALSE)/1,0))</f>
        <v/>
      </c>
      <c r="K162" s="121" t="str">
        <f>IF($D162="","",IFERROR(VLOOKUP($B162,Kraftvärmeprod!$B$1:$BX$549,MATCH(K$2,Kraftvärmeprod!$B$1:$VX$1,0),FALSE)/1,0)-IFERROR(VLOOKUP($B162,'Slutlig allokering kvv'!$B$2:$BX$549,MATCH(K$2,'Slutlig allokering kvv'!$B$1:$BX$1,0),FALSE)/1,0))</f>
        <v/>
      </c>
      <c r="L162" s="121" t="str">
        <f>IF($D162="","",IFERROR(VLOOKUP($B162,Kraftvärmeprod!$B$1:$BX$549,MATCH(L$2,Kraftvärmeprod!$B$1:$VX$1,0),FALSE)/1,0)-IFERROR(VLOOKUP($B162,'Slutlig allokering kvv'!$B$2:$BX$549,MATCH(L$2,'Slutlig allokering kvv'!$B$1:$BX$1,0),FALSE)/1,0))</f>
        <v/>
      </c>
      <c r="M162" s="121" t="str">
        <f>IF($D162="","",IFERROR(VLOOKUP($B162,Kraftvärmeprod!$B$1:$BX$549,MATCH(M$2,Kraftvärmeprod!$B$1:$VX$1,0),FALSE)/1,0)-IFERROR(VLOOKUP($B162,'Slutlig allokering kvv'!$B$2:$BX$549,MATCH(M$2,'Slutlig allokering kvv'!$B$1:$BX$1,0),FALSE)/1,0))</f>
        <v/>
      </c>
      <c r="N162" s="121" t="str">
        <f>IF($D162="","",IFERROR(VLOOKUP($B162,Kraftvärmeprod!$B$1:$BX$549,MATCH(N$2,Kraftvärmeprod!$B$1:$VX$1,0),FALSE)/1,0)-IFERROR(VLOOKUP($B162,'Slutlig allokering kvv'!$B$2:$BX$549,MATCH(N$2,'Slutlig allokering kvv'!$B$1:$BX$1,0),FALSE)/1,0))</f>
        <v/>
      </c>
      <c r="O162" s="121" t="str">
        <f>IF($D162="","",IFERROR(VLOOKUP($B162,Kraftvärmeprod!$B$1:$BX$549,MATCH(O$2,Kraftvärmeprod!$B$1:$VX$1,0),FALSE)/1,0)-IFERROR(VLOOKUP($B162,'Slutlig allokering kvv'!$B$2:$BX$549,MATCH(O$2,'Slutlig allokering kvv'!$B$1:$BX$1,0),FALSE)/1,0))</f>
        <v/>
      </c>
      <c r="P162" s="121" t="str">
        <f>IF($D162="","",IFERROR(VLOOKUP($B162,Kraftvärmeprod!$B$1:$BX$549,MATCH(P$2,Kraftvärmeprod!$B$1:$VX$1,0),FALSE)/1,0)-IFERROR(VLOOKUP($B162,'Slutlig allokering kvv'!$B$2:$BX$549,MATCH(P$2,'Slutlig allokering kvv'!$B$1:$BX$1,0),FALSE)/1,0))</f>
        <v/>
      </c>
      <c r="Q162" s="121" t="str">
        <f>IF($D162="","",IFERROR(VLOOKUP($B162,Kraftvärmeprod!$B$1:$BX$549,MATCH(Q$2,Kraftvärmeprod!$B$1:$VX$1,0),FALSE)/1,0)-IFERROR(VLOOKUP($B162,'Slutlig allokering kvv'!$B$2:$BX$549,MATCH(Q$2,'Slutlig allokering kvv'!$B$1:$BX$1,0),FALSE)/1,0))</f>
        <v/>
      </c>
      <c r="R162" s="121" t="str">
        <f>IF($D162="","",IFERROR(VLOOKUP($B162,Kraftvärmeprod!$B$1:$BX$549,MATCH(R$2,Kraftvärmeprod!$B$1:$VX$1,0),FALSE)/1,0)-IFERROR(VLOOKUP($B162,'Slutlig allokering kvv'!$B$2:$BX$549,MATCH(R$2,'Slutlig allokering kvv'!$B$1:$BX$1,0),FALSE)/1,0))</f>
        <v/>
      </c>
      <c r="S162" s="121" t="str">
        <f>IF($D162="","",IFERROR(VLOOKUP($B162,Kraftvärmeprod!$B$1:$BX$549,MATCH(S$2,Kraftvärmeprod!$B$1:$VX$1,0),FALSE)/1,0)-IFERROR(VLOOKUP($B162,'Slutlig allokering kvv'!$B$2:$BX$549,MATCH(S$2,'Slutlig allokering kvv'!$B$1:$BX$1,0),FALSE)/1,0))</f>
        <v/>
      </c>
      <c r="T162" s="121" t="str">
        <f>IF($D162="","",IFERROR(VLOOKUP($B162,Kraftvärmeprod!$B$1:$BX$549,MATCH(T$2,Kraftvärmeprod!$B$1:$VX$1,0),FALSE)/1,0)-IFERROR(VLOOKUP($B162,'Slutlig allokering kvv'!$B$2:$BX$549,MATCH(T$2,'Slutlig allokering kvv'!$B$1:$BX$1,0),FALSE)/1,0))</f>
        <v/>
      </c>
      <c r="U162" s="121" t="str">
        <f>IF($D162="","",IFERROR(VLOOKUP($B162,Kraftvärmeprod!$B$1:$BX$549,MATCH(U$2,Kraftvärmeprod!$B$1:$VX$1,0),FALSE)/1,0)-IFERROR(VLOOKUP($B162,'Slutlig allokering kvv'!$B$2:$BX$549,MATCH(U$2,'Slutlig allokering kvv'!$B$1:$BX$1,0),FALSE)/1,0))</f>
        <v/>
      </c>
      <c r="V162" s="121" t="str">
        <f>IF($D162="","",IFERROR(VLOOKUP($B162,Kraftvärmeprod!$B$1:$BX$549,MATCH(V$2,Kraftvärmeprod!$B$1:$VX$1,0),FALSE)/1,0)-IFERROR(VLOOKUP($B162,'Slutlig allokering kvv'!$B$2:$BX$549,MATCH(V$2,'Slutlig allokering kvv'!$B$1:$BX$1,0),FALSE)/1,0))</f>
        <v/>
      </c>
      <c r="W162" s="121" t="str">
        <f>IF($D162="","",IFERROR(VLOOKUP($B162,Kraftvärmeprod!$B$1:$BX$549,MATCH(W$2,Kraftvärmeprod!$B$1:$VX$1,0),FALSE)/1,0)-IFERROR(VLOOKUP($B162,'Slutlig allokering kvv'!$B$2:$BX$549,MATCH(W$2,'Slutlig allokering kvv'!$B$1:$BX$1,0),FALSE)/1,0))</f>
        <v/>
      </c>
      <c r="X162" s="121" t="str">
        <f>IF($D162="","",IFERROR(VLOOKUP($B162,Kraftvärmeprod!$B$1:$BX$549,MATCH(X$2,Kraftvärmeprod!$B$1:$VX$1,0),FALSE)/1,0)-IFERROR(VLOOKUP($B162,'Slutlig allokering kvv'!$B$2:$BX$549,MATCH(X$2,'Slutlig allokering kvv'!$B$1:$BX$1,0),FALSE)/1,0))</f>
        <v/>
      </c>
      <c r="Y162" s="121" t="str">
        <f>IF($D162="","",IFERROR(VLOOKUP($B162,Kraftvärmeprod!$B$1:$BX$549,MATCH(Y$2,Kraftvärmeprod!$B$1:$VX$1,0),FALSE)/1,0)-IFERROR(VLOOKUP($B162,'Slutlig allokering kvv'!$B$2:$BX$549,MATCH(Y$2,'Slutlig allokering kvv'!$B$1:$BX$1,0),FALSE)/1,0))</f>
        <v/>
      </c>
      <c r="Z162" s="121" t="str">
        <f>IF($D162="","",IFERROR(VLOOKUP($B162,Kraftvärmeprod!$B$1:$BX$549,MATCH(Z$2,Kraftvärmeprod!$B$1:$VX$1,0),FALSE)/1,0)-IFERROR(VLOOKUP($B162,'Slutlig allokering kvv'!$B$2:$BX$549,MATCH(Z$2,'Slutlig allokering kvv'!$B$1:$BX$1,0),FALSE)/1,0))</f>
        <v/>
      </c>
      <c r="AA162" s="121" t="str">
        <f>IF($D162="","",IFERROR(VLOOKUP($B162,Kraftvärmeprod!$B$1:$BX$549,MATCH(AA$2,Kraftvärmeprod!$B$1:$VX$1,0),FALSE)/1,0)-IFERROR(VLOOKUP($B162,'Slutlig allokering kvv'!$B$2:$BX$549,MATCH(AA$2,'Slutlig allokering kvv'!$B$1:$BX$1,0),FALSE)/1,0))</f>
        <v/>
      </c>
      <c r="AB162" s="121" t="str">
        <f>IF($D162="","",IFERROR(VLOOKUP($B162,Kraftvärmeprod!$B$1:$BX$549,MATCH(AB$2,Kraftvärmeprod!$B$1:$VX$1,0),FALSE)/1,0)-IFERROR(VLOOKUP($B162,'Slutlig allokering kvv'!$B$2:$BX$549,MATCH(AB$2,'Slutlig allokering kvv'!$B$1:$BX$1,0),FALSE)/1,0))</f>
        <v/>
      </c>
      <c r="AC162" s="121" t="str">
        <f>IF($D162="","",IFERROR(VLOOKUP($B162,Kraftvärmeprod!$B$1:$BX$549,MATCH(AC$2,Kraftvärmeprod!$B$1:$VX$1,0),FALSE)/1,0)-IFERROR(VLOOKUP($B162,'Slutlig allokering kvv'!$B$2:$BX$549,MATCH(AC$2,'Slutlig allokering kvv'!$B$1:$BX$1,0),FALSE)/1,0))</f>
        <v/>
      </c>
      <c r="AD162" s="121" t="str">
        <f>IF($D162="","",IFERROR(VLOOKUP($B162,Kraftvärmeprod!$B$1:$BX$549,MATCH(AD$2,Kraftvärmeprod!$B$1:$VX$1,0),FALSE)/1,0)-IFERROR(VLOOKUP($B162,'Slutlig allokering kvv'!$B$2:$BX$549,MATCH(AD$2,'Slutlig allokering kvv'!$B$1:$BX$1,0),FALSE)/1,0))</f>
        <v/>
      </c>
      <c r="AE162" s="121" t="str">
        <f>IF($D162="","",IFERROR(VLOOKUP($B162,Miljö!$B$1:$E$550,MATCH("Hjälpel kraftvärme (GWh)",Miljö!$B$1:$E$1,0),FALSE)/1,0)-IFERROR(VLOOKUP($B162,'Slutlig allokering kvv'!$B$2:$BX$549,MATCH(AE$2,'Slutlig allokering kvv'!$B$1:$BX$1,0),FALSE)/1,0))</f>
        <v/>
      </c>
      <c r="AI162" s="121">
        <f t="shared" si="8"/>
        <v>0</v>
      </c>
      <c r="AK162" s="121">
        <f>IFERROR(VLOOKUP($B162,'Slutlig allokering kvv'!$B$2:$AX$549,MATCH("Summa slutlig allokerad tillförd energi (utan hjälpel och rökgaskondensering):",'Slutlig allokering kvv'!$B$1:$AX$1,0),FALSE)/1,"")</f>
        <v>0</v>
      </c>
      <c r="AM162" s="172" t="str">
        <f>IFERROR(1-VLOOKUP($B162,'Slutlig allokering kvv'!$B$2:$AX$549,MATCH("Andel av bränsle i kvv som allokerats till värme, exklusive rökgaskondensering och hjälpel",'Slutlig allokering kvv'!$B$1:$AX$1,0),FALSE),"")</f>
        <v/>
      </c>
      <c r="AO162" s="172" t="str">
        <f t="shared" si="9"/>
        <v/>
      </c>
      <c r="AP162" s="173" t="str">
        <f t="shared" si="10"/>
        <v/>
      </c>
      <c r="AR162" s="172" t="str">
        <f t="shared" si="11"/>
        <v/>
      </c>
    </row>
    <row r="163" spans="1:44" x14ac:dyDescent="0.25">
      <c r="A163" s="171" t="str">
        <f>'Miljövärden för publ företag'!B165</f>
        <v>Luleå Energi AB</v>
      </c>
      <c r="B163" s="171" t="str">
        <f>'Miljövärden för publ företag'!C165</f>
        <v>Luleå</v>
      </c>
      <c r="C163" s="121" t="str">
        <f>IFERROR(VLOOKUP($B163,Kraftvärmeprod!$B$1:$AH$478,MATCH(C$2,Kraftvärmeprod!$B$1:$AG$1,0),FALSE)/1,"")</f>
        <v/>
      </c>
      <c r="D163" s="121" t="str">
        <f>IFERROR(VLOOKUP($B163,Kraftvärmeprod!$B$1:$AH$478,MATCH(D$2,Kraftvärmeprod!$B$1:$AG$1,0),FALSE)/1,"")</f>
        <v/>
      </c>
      <c r="F163" s="121" t="str">
        <f>IF($D163="","",IFERROR(VLOOKUP($B163,Kraftvärmeprod!$B$1:$BX$549,MATCH(F$2,Kraftvärmeprod!$B$1:$VX$1,0),FALSE)/1,0)-IFERROR(VLOOKUP($B163,'Slutlig allokering kvv'!$B$2:$BX$549,MATCH(F$2,'Slutlig allokering kvv'!$B$1:$BX$1,0),FALSE)/1,0))</f>
        <v/>
      </c>
      <c r="G163" s="121" t="str">
        <f>IF($D163="","",IFERROR(VLOOKUP($B163,Kraftvärmeprod!$B$1:$BX$549,MATCH(G$2,Kraftvärmeprod!$B$1:$VX$1,0),FALSE)/1,0)-IFERROR(VLOOKUP($B163,'Slutlig allokering kvv'!$B$2:$BX$549,MATCH(G$2,'Slutlig allokering kvv'!$B$1:$BX$1,0),FALSE)/1,0))</f>
        <v/>
      </c>
      <c r="H163" s="121" t="str">
        <f>IF($D163="","",IFERROR(VLOOKUP($B163,Kraftvärmeprod!$B$1:$BX$549,MATCH(H$2,Kraftvärmeprod!$B$1:$VX$1,0),FALSE)/1,0)-IFERROR(VLOOKUP($B163,'Slutlig allokering kvv'!$B$2:$BX$549,MATCH(H$2,'Slutlig allokering kvv'!$B$1:$BX$1,0),FALSE)/1,0))</f>
        <v/>
      </c>
      <c r="I163" s="121" t="str">
        <f>IF($D163="","",IFERROR(VLOOKUP($B163,Kraftvärmeprod!$B$1:$BX$549,MATCH(I$2,Kraftvärmeprod!$B$1:$VX$1,0),FALSE)/1,0)-IFERROR(VLOOKUP($B163,'Slutlig allokering kvv'!$B$2:$BX$549,MATCH(I$2,'Slutlig allokering kvv'!$B$1:$BX$1,0),FALSE)/1,0))</f>
        <v/>
      </c>
      <c r="J163" s="121" t="str">
        <f>IF($D163="","",IFERROR(VLOOKUP($B163,Kraftvärmeprod!$B$1:$BX$549,MATCH(J$2,Kraftvärmeprod!$B$1:$VX$1,0),FALSE)/1,0)-IFERROR(VLOOKUP($B163,'Slutlig allokering kvv'!$B$2:$BX$549,MATCH(J$2,'Slutlig allokering kvv'!$B$1:$BX$1,0),FALSE)/1,0))</f>
        <v/>
      </c>
      <c r="K163" s="121" t="str">
        <f>IF($D163="","",IFERROR(VLOOKUP($B163,Kraftvärmeprod!$B$1:$BX$549,MATCH(K$2,Kraftvärmeprod!$B$1:$VX$1,0),FALSE)/1,0)-IFERROR(VLOOKUP($B163,'Slutlig allokering kvv'!$B$2:$BX$549,MATCH(K$2,'Slutlig allokering kvv'!$B$1:$BX$1,0),FALSE)/1,0))</f>
        <v/>
      </c>
      <c r="L163" s="121" t="str">
        <f>IF($D163="","",IFERROR(VLOOKUP($B163,Kraftvärmeprod!$B$1:$BX$549,MATCH(L$2,Kraftvärmeprod!$B$1:$VX$1,0),FALSE)/1,0)-IFERROR(VLOOKUP($B163,'Slutlig allokering kvv'!$B$2:$BX$549,MATCH(L$2,'Slutlig allokering kvv'!$B$1:$BX$1,0),FALSE)/1,0))</f>
        <v/>
      </c>
      <c r="M163" s="121" t="str">
        <f>IF($D163="","",IFERROR(VLOOKUP($B163,Kraftvärmeprod!$B$1:$BX$549,MATCH(M$2,Kraftvärmeprod!$B$1:$VX$1,0),FALSE)/1,0)-IFERROR(VLOOKUP($B163,'Slutlig allokering kvv'!$B$2:$BX$549,MATCH(M$2,'Slutlig allokering kvv'!$B$1:$BX$1,0),FALSE)/1,0))</f>
        <v/>
      </c>
      <c r="N163" s="121" t="str">
        <f>IF($D163="","",IFERROR(VLOOKUP($B163,Kraftvärmeprod!$B$1:$BX$549,MATCH(N$2,Kraftvärmeprod!$B$1:$VX$1,0),FALSE)/1,0)-IFERROR(VLOOKUP($B163,'Slutlig allokering kvv'!$B$2:$BX$549,MATCH(N$2,'Slutlig allokering kvv'!$B$1:$BX$1,0),FALSE)/1,0))</f>
        <v/>
      </c>
      <c r="O163" s="121" t="str">
        <f>IF($D163="","",IFERROR(VLOOKUP($B163,Kraftvärmeprod!$B$1:$BX$549,MATCH(O$2,Kraftvärmeprod!$B$1:$VX$1,0),FALSE)/1,0)-IFERROR(VLOOKUP($B163,'Slutlig allokering kvv'!$B$2:$BX$549,MATCH(O$2,'Slutlig allokering kvv'!$B$1:$BX$1,0),FALSE)/1,0))</f>
        <v/>
      </c>
      <c r="P163" s="121" t="str">
        <f>IF($D163="","",IFERROR(VLOOKUP($B163,Kraftvärmeprod!$B$1:$BX$549,MATCH(P$2,Kraftvärmeprod!$B$1:$VX$1,0),FALSE)/1,0)-IFERROR(VLOOKUP($B163,'Slutlig allokering kvv'!$B$2:$BX$549,MATCH(P$2,'Slutlig allokering kvv'!$B$1:$BX$1,0),FALSE)/1,0))</f>
        <v/>
      </c>
      <c r="Q163" s="121" t="str">
        <f>IF($D163="","",IFERROR(VLOOKUP($B163,Kraftvärmeprod!$B$1:$BX$549,MATCH(Q$2,Kraftvärmeprod!$B$1:$VX$1,0),FALSE)/1,0)-IFERROR(VLOOKUP($B163,'Slutlig allokering kvv'!$B$2:$BX$549,MATCH(Q$2,'Slutlig allokering kvv'!$B$1:$BX$1,0),FALSE)/1,0))</f>
        <v/>
      </c>
      <c r="R163" s="121" t="str">
        <f>IF($D163="","",IFERROR(VLOOKUP($B163,Kraftvärmeprod!$B$1:$BX$549,MATCH(R$2,Kraftvärmeprod!$B$1:$VX$1,0),FALSE)/1,0)-IFERROR(VLOOKUP($B163,'Slutlig allokering kvv'!$B$2:$BX$549,MATCH(R$2,'Slutlig allokering kvv'!$B$1:$BX$1,0),FALSE)/1,0))</f>
        <v/>
      </c>
      <c r="S163" s="121" t="str">
        <f>IF($D163="","",IFERROR(VLOOKUP($B163,Kraftvärmeprod!$B$1:$BX$549,MATCH(S$2,Kraftvärmeprod!$B$1:$VX$1,0),FALSE)/1,0)-IFERROR(VLOOKUP($B163,'Slutlig allokering kvv'!$B$2:$BX$549,MATCH(S$2,'Slutlig allokering kvv'!$B$1:$BX$1,0),FALSE)/1,0))</f>
        <v/>
      </c>
      <c r="T163" s="121" t="str">
        <f>IF($D163="","",IFERROR(VLOOKUP($B163,Kraftvärmeprod!$B$1:$BX$549,MATCH(T$2,Kraftvärmeprod!$B$1:$VX$1,0),FALSE)/1,0)-IFERROR(VLOOKUP($B163,'Slutlig allokering kvv'!$B$2:$BX$549,MATCH(T$2,'Slutlig allokering kvv'!$B$1:$BX$1,0),FALSE)/1,0))</f>
        <v/>
      </c>
      <c r="U163" s="121" t="str">
        <f>IF($D163="","",IFERROR(VLOOKUP($B163,Kraftvärmeprod!$B$1:$BX$549,MATCH(U$2,Kraftvärmeprod!$B$1:$VX$1,0),FALSE)/1,0)-IFERROR(VLOOKUP($B163,'Slutlig allokering kvv'!$B$2:$BX$549,MATCH(U$2,'Slutlig allokering kvv'!$B$1:$BX$1,0),FALSE)/1,0))</f>
        <v/>
      </c>
      <c r="V163" s="121" t="str">
        <f>IF($D163="","",IFERROR(VLOOKUP($B163,Kraftvärmeprod!$B$1:$BX$549,MATCH(V$2,Kraftvärmeprod!$B$1:$VX$1,0),FALSE)/1,0)-IFERROR(VLOOKUP($B163,'Slutlig allokering kvv'!$B$2:$BX$549,MATCH(V$2,'Slutlig allokering kvv'!$B$1:$BX$1,0),FALSE)/1,0))</f>
        <v/>
      </c>
      <c r="W163" s="121" t="str">
        <f>IF($D163="","",IFERROR(VLOOKUP($B163,Kraftvärmeprod!$B$1:$BX$549,MATCH(W$2,Kraftvärmeprod!$B$1:$VX$1,0),FALSE)/1,0)-IFERROR(VLOOKUP($B163,'Slutlig allokering kvv'!$B$2:$BX$549,MATCH(W$2,'Slutlig allokering kvv'!$B$1:$BX$1,0),FALSE)/1,0))</f>
        <v/>
      </c>
      <c r="X163" s="121" t="str">
        <f>IF($D163="","",IFERROR(VLOOKUP($B163,Kraftvärmeprod!$B$1:$BX$549,MATCH(X$2,Kraftvärmeprod!$B$1:$VX$1,0),FALSE)/1,0)-IFERROR(VLOOKUP($B163,'Slutlig allokering kvv'!$B$2:$BX$549,MATCH(X$2,'Slutlig allokering kvv'!$B$1:$BX$1,0),FALSE)/1,0))</f>
        <v/>
      </c>
      <c r="Y163" s="121" t="str">
        <f>IF($D163="","",IFERROR(VLOOKUP($B163,Kraftvärmeprod!$B$1:$BX$549,MATCH(Y$2,Kraftvärmeprod!$B$1:$VX$1,0),FALSE)/1,0)-IFERROR(VLOOKUP($B163,'Slutlig allokering kvv'!$B$2:$BX$549,MATCH(Y$2,'Slutlig allokering kvv'!$B$1:$BX$1,0),FALSE)/1,0))</f>
        <v/>
      </c>
      <c r="Z163" s="121" t="str">
        <f>IF($D163="","",IFERROR(VLOOKUP($B163,Kraftvärmeprod!$B$1:$BX$549,MATCH(Z$2,Kraftvärmeprod!$B$1:$VX$1,0),FALSE)/1,0)-IFERROR(VLOOKUP($B163,'Slutlig allokering kvv'!$B$2:$BX$549,MATCH(Z$2,'Slutlig allokering kvv'!$B$1:$BX$1,0),FALSE)/1,0))</f>
        <v/>
      </c>
      <c r="AA163" s="121" t="str">
        <f>IF($D163="","",IFERROR(VLOOKUP($B163,Kraftvärmeprod!$B$1:$BX$549,MATCH(AA$2,Kraftvärmeprod!$B$1:$VX$1,0),FALSE)/1,0)-IFERROR(VLOOKUP($B163,'Slutlig allokering kvv'!$B$2:$BX$549,MATCH(AA$2,'Slutlig allokering kvv'!$B$1:$BX$1,0),FALSE)/1,0))</f>
        <v/>
      </c>
      <c r="AB163" s="121" t="str">
        <f>IF($D163="","",IFERROR(VLOOKUP($B163,Kraftvärmeprod!$B$1:$BX$549,MATCH(AB$2,Kraftvärmeprod!$B$1:$VX$1,0),FALSE)/1,0)-IFERROR(VLOOKUP($B163,'Slutlig allokering kvv'!$B$2:$BX$549,MATCH(AB$2,'Slutlig allokering kvv'!$B$1:$BX$1,0),FALSE)/1,0))</f>
        <v/>
      </c>
      <c r="AC163" s="121" t="str">
        <f>IF($D163="","",IFERROR(VLOOKUP($B163,Kraftvärmeprod!$B$1:$BX$549,MATCH(AC$2,Kraftvärmeprod!$B$1:$VX$1,0),FALSE)/1,0)-IFERROR(VLOOKUP($B163,'Slutlig allokering kvv'!$B$2:$BX$549,MATCH(AC$2,'Slutlig allokering kvv'!$B$1:$BX$1,0),FALSE)/1,0))</f>
        <v/>
      </c>
      <c r="AD163" s="121" t="str">
        <f>IF($D163="","",IFERROR(VLOOKUP($B163,Kraftvärmeprod!$B$1:$BX$549,MATCH(AD$2,Kraftvärmeprod!$B$1:$VX$1,0),FALSE)/1,0)-IFERROR(VLOOKUP($B163,'Slutlig allokering kvv'!$B$2:$BX$549,MATCH(AD$2,'Slutlig allokering kvv'!$B$1:$BX$1,0),FALSE)/1,0))</f>
        <v/>
      </c>
      <c r="AE163" s="121" t="str">
        <f>IF($D163="","",IFERROR(VLOOKUP($B163,Miljö!$B$1:$E$550,MATCH("Hjälpel kraftvärme (GWh)",Miljö!$B$1:$E$1,0),FALSE)/1,0)-IFERROR(VLOOKUP($B163,'Slutlig allokering kvv'!$B$2:$BX$549,MATCH(AE$2,'Slutlig allokering kvv'!$B$1:$BX$1,0),FALSE)/1,0))</f>
        <v/>
      </c>
      <c r="AI163" s="121">
        <f t="shared" si="8"/>
        <v>0</v>
      </c>
      <c r="AK163" s="121">
        <f>IFERROR(VLOOKUP($B163,'Slutlig allokering kvv'!$B$2:$AX$549,MATCH("Summa slutlig allokerad tillförd energi (utan hjälpel och rökgaskondensering):",'Slutlig allokering kvv'!$B$1:$AX$1,0),FALSE)/1,"")</f>
        <v>0</v>
      </c>
      <c r="AM163" s="172" t="str">
        <f>IFERROR(1-VLOOKUP($B163,'Slutlig allokering kvv'!$B$2:$AX$549,MATCH("Andel av bränsle i kvv som allokerats till värme, exklusive rökgaskondensering och hjälpel",'Slutlig allokering kvv'!$B$1:$AX$1,0),FALSE),"")</f>
        <v/>
      </c>
      <c r="AO163" s="172" t="str">
        <f t="shared" si="9"/>
        <v/>
      </c>
      <c r="AP163" s="173" t="str">
        <f t="shared" si="10"/>
        <v/>
      </c>
      <c r="AR163" s="172" t="str">
        <f t="shared" si="11"/>
        <v/>
      </c>
    </row>
    <row r="164" spans="1:44" x14ac:dyDescent="0.25">
      <c r="A164" s="171" t="str">
        <f>'Miljövärden för publ företag'!B166</f>
        <v>Luleå Energi AB</v>
      </c>
      <c r="B164" s="171" t="str">
        <f>'Miljövärden för publ företag'!C166</f>
        <v>Luleå Klimatneutral</v>
      </c>
      <c r="C164" s="121" t="str">
        <f>IFERROR(VLOOKUP($B164,Kraftvärmeprod!$B$1:$AH$478,MATCH(C$2,Kraftvärmeprod!$B$1:$AG$1,0),FALSE)/1,"")</f>
        <v/>
      </c>
      <c r="D164" s="121" t="str">
        <f>IFERROR(VLOOKUP($B164,Kraftvärmeprod!$B$1:$AH$478,MATCH(D$2,Kraftvärmeprod!$B$1:$AG$1,0),FALSE)/1,"")</f>
        <v/>
      </c>
      <c r="F164" s="121" t="str">
        <f>IF($D164="","",IFERROR(VLOOKUP($B164,Kraftvärmeprod!$B$1:$BX$549,MATCH(F$2,Kraftvärmeprod!$B$1:$VX$1,0),FALSE)/1,0)-IFERROR(VLOOKUP($B164,'Slutlig allokering kvv'!$B$2:$BX$549,MATCH(F$2,'Slutlig allokering kvv'!$B$1:$BX$1,0),FALSE)/1,0))</f>
        <v/>
      </c>
      <c r="G164" s="121" t="str">
        <f>IF($D164="","",IFERROR(VLOOKUP($B164,Kraftvärmeprod!$B$1:$BX$549,MATCH(G$2,Kraftvärmeprod!$B$1:$VX$1,0),FALSE)/1,0)-IFERROR(VLOOKUP($B164,'Slutlig allokering kvv'!$B$2:$BX$549,MATCH(G$2,'Slutlig allokering kvv'!$B$1:$BX$1,0),FALSE)/1,0))</f>
        <v/>
      </c>
      <c r="H164" s="121" t="str">
        <f>IF($D164="","",IFERROR(VLOOKUP($B164,Kraftvärmeprod!$B$1:$BX$549,MATCH(H$2,Kraftvärmeprod!$B$1:$VX$1,0),FALSE)/1,0)-IFERROR(VLOOKUP($B164,'Slutlig allokering kvv'!$B$2:$BX$549,MATCH(H$2,'Slutlig allokering kvv'!$B$1:$BX$1,0),FALSE)/1,0))</f>
        <v/>
      </c>
      <c r="I164" s="121" t="str">
        <f>IF($D164="","",IFERROR(VLOOKUP($B164,Kraftvärmeprod!$B$1:$BX$549,MATCH(I$2,Kraftvärmeprod!$B$1:$VX$1,0),FALSE)/1,0)-IFERROR(VLOOKUP($B164,'Slutlig allokering kvv'!$B$2:$BX$549,MATCH(I$2,'Slutlig allokering kvv'!$B$1:$BX$1,0),FALSE)/1,0))</f>
        <v/>
      </c>
      <c r="J164" s="121" t="str">
        <f>IF($D164="","",IFERROR(VLOOKUP($B164,Kraftvärmeprod!$B$1:$BX$549,MATCH(J$2,Kraftvärmeprod!$B$1:$VX$1,0),FALSE)/1,0)-IFERROR(VLOOKUP($B164,'Slutlig allokering kvv'!$B$2:$BX$549,MATCH(J$2,'Slutlig allokering kvv'!$B$1:$BX$1,0),FALSE)/1,0))</f>
        <v/>
      </c>
      <c r="K164" s="121" t="str">
        <f>IF($D164="","",IFERROR(VLOOKUP($B164,Kraftvärmeprod!$B$1:$BX$549,MATCH(K$2,Kraftvärmeprod!$B$1:$VX$1,0),FALSE)/1,0)-IFERROR(VLOOKUP($B164,'Slutlig allokering kvv'!$B$2:$BX$549,MATCH(K$2,'Slutlig allokering kvv'!$B$1:$BX$1,0),FALSE)/1,0))</f>
        <v/>
      </c>
      <c r="L164" s="121" t="str">
        <f>IF($D164="","",IFERROR(VLOOKUP($B164,Kraftvärmeprod!$B$1:$BX$549,MATCH(L$2,Kraftvärmeprod!$B$1:$VX$1,0),FALSE)/1,0)-IFERROR(VLOOKUP($B164,'Slutlig allokering kvv'!$B$2:$BX$549,MATCH(L$2,'Slutlig allokering kvv'!$B$1:$BX$1,0),FALSE)/1,0))</f>
        <v/>
      </c>
      <c r="M164" s="121" t="str">
        <f>IF($D164="","",IFERROR(VLOOKUP($B164,Kraftvärmeprod!$B$1:$BX$549,MATCH(M$2,Kraftvärmeprod!$B$1:$VX$1,0),FALSE)/1,0)-IFERROR(VLOOKUP($B164,'Slutlig allokering kvv'!$B$2:$BX$549,MATCH(M$2,'Slutlig allokering kvv'!$B$1:$BX$1,0),FALSE)/1,0))</f>
        <v/>
      </c>
      <c r="N164" s="121" t="str">
        <f>IF($D164="","",IFERROR(VLOOKUP($B164,Kraftvärmeprod!$B$1:$BX$549,MATCH(N$2,Kraftvärmeprod!$B$1:$VX$1,0),FALSE)/1,0)-IFERROR(VLOOKUP($B164,'Slutlig allokering kvv'!$B$2:$BX$549,MATCH(N$2,'Slutlig allokering kvv'!$B$1:$BX$1,0),FALSE)/1,0))</f>
        <v/>
      </c>
      <c r="O164" s="121" t="str">
        <f>IF($D164="","",IFERROR(VLOOKUP($B164,Kraftvärmeprod!$B$1:$BX$549,MATCH(O$2,Kraftvärmeprod!$B$1:$VX$1,0),FALSE)/1,0)-IFERROR(VLOOKUP($B164,'Slutlig allokering kvv'!$B$2:$BX$549,MATCH(O$2,'Slutlig allokering kvv'!$B$1:$BX$1,0),FALSE)/1,0))</f>
        <v/>
      </c>
      <c r="P164" s="121" t="str">
        <f>IF($D164="","",IFERROR(VLOOKUP($B164,Kraftvärmeprod!$B$1:$BX$549,MATCH(P$2,Kraftvärmeprod!$B$1:$VX$1,0),FALSE)/1,0)-IFERROR(VLOOKUP($B164,'Slutlig allokering kvv'!$B$2:$BX$549,MATCH(P$2,'Slutlig allokering kvv'!$B$1:$BX$1,0),FALSE)/1,0))</f>
        <v/>
      </c>
      <c r="Q164" s="121" t="str">
        <f>IF($D164="","",IFERROR(VLOOKUP($B164,Kraftvärmeprod!$B$1:$BX$549,MATCH(Q$2,Kraftvärmeprod!$B$1:$VX$1,0),FALSE)/1,0)-IFERROR(VLOOKUP($B164,'Slutlig allokering kvv'!$B$2:$BX$549,MATCH(Q$2,'Slutlig allokering kvv'!$B$1:$BX$1,0),FALSE)/1,0))</f>
        <v/>
      </c>
      <c r="R164" s="121" t="str">
        <f>IF($D164="","",IFERROR(VLOOKUP($B164,Kraftvärmeprod!$B$1:$BX$549,MATCH(R$2,Kraftvärmeprod!$B$1:$VX$1,0),FALSE)/1,0)-IFERROR(VLOOKUP($B164,'Slutlig allokering kvv'!$B$2:$BX$549,MATCH(R$2,'Slutlig allokering kvv'!$B$1:$BX$1,0),FALSE)/1,0))</f>
        <v/>
      </c>
      <c r="S164" s="121" t="str">
        <f>IF($D164="","",IFERROR(VLOOKUP($B164,Kraftvärmeprod!$B$1:$BX$549,MATCH(S$2,Kraftvärmeprod!$B$1:$VX$1,0),FALSE)/1,0)-IFERROR(VLOOKUP($B164,'Slutlig allokering kvv'!$B$2:$BX$549,MATCH(S$2,'Slutlig allokering kvv'!$B$1:$BX$1,0),FALSE)/1,0))</f>
        <v/>
      </c>
      <c r="T164" s="121" t="str">
        <f>IF($D164="","",IFERROR(VLOOKUP($B164,Kraftvärmeprod!$B$1:$BX$549,MATCH(T$2,Kraftvärmeprod!$B$1:$VX$1,0),FALSE)/1,0)-IFERROR(VLOOKUP($B164,'Slutlig allokering kvv'!$B$2:$BX$549,MATCH(T$2,'Slutlig allokering kvv'!$B$1:$BX$1,0),FALSE)/1,0))</f>
        <v/>
      </c>
      <c r="U164" s="121" t="str">
        <f>IF($D164="","",IFERROR(VLOOKUP($B164,Kraftvärmeprod!$B$1:$BX$549,MATCH(U$2,Kraftvärmeprod!$B$1:$VX$1,0),FALSE)/1,0)-IFERROR(VLOOKUP($B164,'Slutlig allokering kvv'!$B$2:$BX$549,MATCH(U$2,'Slutlig allokering kvv'!$B$1:$BX$1,0),FALSE)/1,0))</f>
        <v/>
      </c>
      <c r="V164" s="121" t="str">
        <f>IF($D164="","",IFERROR(VLOOKUP($B164,Kraftvärmeprod!$B$1:$BX$549,MATCH(V$2,Kraftvärmeprod!$B$1:$VX$1,0),FALSE)/1,0)-IFERROR(VLOOKUP($B164,'Slutlig allokering kvv'!$B$2:$BX$549,MATCH(V$2,'Slutlig allokering kvv'!$B$1:$BX$1,0),FALSE)/1,0))</f>
        <v/>
      </c>
      <c r="W164" s="121" t="str">
        <f>IF($D164="","",IFERROR(VLOOKUP($B164,Kraftvärmeprod!$B$1:$BX$549,MATCH(W$2,Kraftvärmeprod!$B$1:$VX$1,0),FALSE)/1,0)-IFERROR(VLOOKUP($B164,'Slutlig allokering kvv'!$B$2:$BX$549,MATCH(W$2,'Slutlig allokering kvv'!$B$1:$BX$1,0),FALSE)/1,0))</f>
        <v/>
      </c>
      <c r="X164" s="121" t="str">
        <f>IF($D164="","",IFERROR(VLOOKUP($B164,Kraftvärmeprod!$B$1:$BX$549,MATCH(X$2,Kraftvärmeprod!$B$1:$VX$1,0),FALSE)/1,0)-IFERROR(VLOOKUP($B164,'Slutlig allokering kvv'!$B$2:$BX$549,MATCH(X$2,'Slutlig allokering kvv'!$B$1:$BX$1,0),FALSE)/1,0))</f>
        <v/>
      </c>
      <c r="Y164" s="121" t="str">
        <f>IF($D164="","",IFERROR(VLOOKUP($B164,Kraftvärmeprod!$B$1:$BX$549,MATCH(Y$2,Kraftvärmeprod!$B$1:$VX$1,0),FALSE)/1,0)-IFERROR(VLOOKUP($B164,'Slutlig allokering kvv'!$B$2:$BX$549,MATCH(Y$2,'Slutlig allokering kvv'!$B$1:$BX$1,0),FALSE)/1,0))</f>
        <v/>
      </c>
      <c r="Z164" s="121" t="str">
        <f>IF($D164="","",IFERROR(VLOOKUP($B164,Kraftvärmeprod!$B$1:$BX$549,MATCH(Z$2,Kraftvärmeprod!$B$1:$VX$1,0),FALSE)/1,0)-IFERROR(VLOOKUP($B164,'Slutlig allokering kvv'!$B$2:$BX$549,MATCH(Z$2,'Slutlig allokering kvv'!$B$1:$BX$1,0),FALSE)/1,0))</f>
        <v/>
      </c>
      <c r="AA164" s="121" t="str">
        <f>IF($D164="","",IFERROR(VLOOKUP($B164,Kraftvärmeprod!$B$1:$BX$549,MATCH(AA$2,Kraftvärmeprod!$B$1:$VX$1,0),FALSE)/1,0)-IFERROR(VLOOKUP($B164,'Slutlig allokering kvv'!$B$2:$BX$549,MATCH(AA$2,'Slutlig allokering kvv'!$B$1:$BX$1,0),FALSE)/1,0))</f>
        <v/>
      </c>
      <c r="AB164" s="121" t="str">
        <f>IF($D164="","",IFERROR(VLOOKUP($B164,Kraftvärmeprod!$B$1:$BX$549,MATCH(AB$2,Kraftvärmeprod!$B$1:$VX$1,0),FALSE)/1,0)-IFERROR(VLOOKUP($B164,'Slutlig allokering kvv'!$B$2:$BX$549,MATCH(AB$2,'Slutlig allokering kvv'!$B$1:$BX$1,0),FALSE)/1,0))</f>
        <v/>
      </c>
      <c r="AC164" s="121" t="str">
        <f>IF($D164="","",IFERROR(VLOOKUP($B164,Kraftvärmeprod!$B$1:$BX$549,MATCH(AC$2,Kraftvärmeprod!$B$1:$VX$1,0),FALSE)/1,0)-IFERROR(VLOOKUP($B164,'Slutlig allokering kvv'!$B$2:$BX$549,MATCH(AC$2,'Slutlig allokering kvv'!$B$1:$BX$1,0),FALSE)/1,0))</f>
        <v/>
      </c>
      <c r="AD164" s="121" t="str">
        <f>IF($D164="","",IFERROR(VLOOKUP($B164,Kraftvärmeprod!$B$1:$BX$549,MATCH(AD$2,Kraftvärmeprod!$B$1:$VX$1,0),FALSE)/1,0)-IFERROR(VLOOKUP($B164,'Slutlig allokering kvv'!$B$2:$BX$549,MATCH(AD$2,'Slutlig allokering kvv'!$B$1:$BX$1,0),FALSE)/1,0))</f>
        <v/>
      </c>
      <c r="AE164" s="121" t="str">
        <f>IF($D164="","",IFERROR(VLOOKUP($B164,Miljö!$B$1:$E$550,MATCH("Hjälpel kraftvärme (GWh)",Miljö!$B$1:$E$1,0),FALSE)/1,0)-IFERROR(VLOOKUP($B164,'Slutlig allokering kvv'!$B$2:$BX$549,MATCH(AE$2,'Slutlig allokering kvv'!$B$1:$BX$1,0),FALSE)/1,0))</f>
        <v/>
      </c>
      <c r="AI164" s="121">
        <f t="shared" si="8"/>
        <v>0</v>
      </c>
      <c r="AK164" s="121">
        <f>IFERROR(VLOOKUP($B164,'Slutlig allokering kvv'!$B$2:$AX$549,MATCH("Summa slutlig allokerad tillförd energi (utan hjälpel och rökgaskondensering):",'Slutlig allokering kvv'!$B$1:$AX$1,0),FALSE)/1,"")</f>
        <v>0</v>
      </c>
      <c r="AM164" s="172" t="str">
        <f>IFERROR(1-VLOOKUP($B164,'Slutlig allokering kvv'!$B$2:$AX$549,MATCH("Andel av bränsle i kvv som allokerats till värme, exklusive rökgaskondensering och hjälpel",'Slutlig allokering kvv'!$B$1:$AX$1,0),FALSE),"")</f>
        <v/>
      </c>
      <c r="AO164" s="172" t="str">
        <f t="shared" si="9"/>
        <v/>
      </c>
      <c r="AP164" s="173" t="str">
        <f t="shared" si="10"/>
        <v/>
      </c>
      <c r="AR164" s="172" t="str">
        <f t="shared" si="11"/>
        <v/>
      </c>
    </row>
    <row r="165" spans="1:44" x14ac:dyDescent="0.25">
      <c r="A165" s="171" t="str">
        <f>'Miljövärden för publ företag'!B167</f>
        <v>Luleå Energi AB</v>
      </c>
      <c r="B165" s="171" t="str">
        <f>'Miljövärden för publ företag'!C167</f>
        <v>Råneå</v>
      </c>
      <c r="C165" s="121" t="str">
        <f>IFERROR(VLOOKUP($B165,Kraftvärmeprod!$B$1:$AH$478,MATCH(C$2,Kraftvärmeprod!$B$1:$AG$1,0),FALSE)/1,"")</f>
        <v/>
      </c>
      <c r="D165" s="121" t="str">
        <f>IFERROR(VLOOKUP($B165,Kraftvärmeprod!$B$1:$AH$478,MATCH(D$2,Kraftvärmeprod!$B$1:$AG$1,0),FALSE)/1,"")</f>
        <v/>
      </c>
      <c r="F165" s="121" t="str">
        <f>IF($D165="","",IFERROR(VLOOKUP($B165,Kraftvärmeprod!$B$1:$BX$549,MATCH(F$2,Kraftvärmeprod!$B$1:$VX$1,0),FALSE)/1,0)-IFERROR(VLOOKUP($B165,'Slutlig allokering kvv'!$B$2:$BX$549,MATCH(F$2,'Slutlig allokering kvv'!$B$1:$BX$1,0),FALSE)/1,0))</f>
        <v/>
      </c>
      <c r="G165" s="121" t="str">
        <f>IF($D165="","",IFERROR(VLOOKUP($B165,Kraftvärmeprod!$B$1:$BX$549,MATCH(G$2,Kraftvärmeprod!$B$1:$VX$1,0),FALSE)/1,0)-IFERROR(VLOOKUP($B165,'Slutlig allokering kvv'!$B$2:$BX$549,MATCH(G$2,'Slutlig allokering kvv'!$B$1:$BX$1,0),FALSE)/1,0))</f>
        <v/>
      </c>
      <c r="H165" s="121" t="str">
        <f>IF($D165="","",IFERROR(VLOOKUP($B165,Kraftvärmeprod!$B$1:$BX$549,MATCH(H$2,Kraftvärmeprod!$B$1:$VX$1,0),FALSE)/1,0)-IFERROR(VLOOKUP($B165,'Slutlig allokering kvv'!$B$2:$BX$549,MATCH(H$2,'Slutlig allokering kvv'!$B$1:$BX$1,0),FALSE)/1,0))</f>
        <v/>
      </c>
      <c r="I165" s="121" t="str">
        <f>IF($D165="","",IFERROR(VLOOKUP($B165,Kraftvärmeprod!$B$1:$BX$549,MATCH(I$2,Kraftvärmeprod!$B$1:$VX$1,0),FALSE)/1,0)-IFERROR(VLOOKUP($B165,'Slutlig allokering kvv'!$B$2:$BX$549,MATCH(I$2,'Slutlig allokering kvv'!$B$1:$BX$1,0),FALSE)/1,0))</f>
        <v/>
      </c>
      <c r="J165" s="121" t="str">
        <f>IF($D165="","",IFERROR(VLOOKUP($B165,Kraftvärmeprod!$B$1:$BX$549,MATCH(J$2,Kraftvärmeprod!$B$1:$VX$1,0),FALSE)/1,0)-IFERROR(VLOOKUP($B165,'Slutlig allokering kvv'!$B$2:$BX$549,MATCH(J$2,'Slutlig allokering kvv'!$B$1:$BX$1,0),FALSE)/1,0))</f>
        <v/>
      </c>
      <c r="K165" s="121" t="str">
        <f>IF($D165="","",IFERROR(VLOOKUP($B165,Kraftvärmeprod!$B$1:$BX$549,MATCH(K$2,Kraftvärmeprod!$B$1:$VX$1,0),FALSE)/1,0)-IFERROR(VLOOKUP($B165,'Slutlig allokering kvv'!$B$2:$BX$549,MATCH(K$2,'Slutlig allokering kvv'!$B$1:$BX$1,0),FALSE)/1,0))</f>
        <v/>
      </c>
      <c r="L165" s="121" t="str">
        <f>IF($D165="","",IFERROR(VLOOKUP($B165,Kraftvärmeprod!$B$1:$BX$549,MATCH(L$2,Kraftvärmeprod!$B$1:$VX$1,0),FALSE)/1,0)-IFERROR(VLOOKUP($B165,'Slutlig allokering kvv'!$B$2:$BX$549,MATCH(L$2,'Slutlig allokering kvv'!$B$1:$BX$1,0),FALSE)/1,0))</f>
        <v/>
      </c>
      <c r="M165" s="121" t="str">
        <f>IF($D165="","",IFERROR(VLOOKUP($B165,Kraftvärmeprod!$B$1:$BX$549,MATCH(M$2,Kraftvärmeprod!$B$1:$VX$1,0),FALSE)/1,0)-IFERROR(VLOOKUP($B165,'Slutlig allokering kvv'!$B$2:$BX$549,MATCH(M$2,'Slutlig allokering kvv'!$B$1:$BX$1,0),FALSE)/1,0))</f>
        <v/>
      </c>
      <c r="N165" s="121" t="str">
        <f>IF($D165="","",IFERROR(VLOOKUP($B165,Kraftvärmeprod!$B$1:$BX$549,MATCH(N$2,Kraftvärmeprod!$B$1:$VX$1,0),FALSE)/1,0)-IFERROR(VLOOKUP($B165,'Slutlig allokering kvv'!$B$2:$BX$549,MATCH(N$2,'Slutlig allokering kvv'!$B$1:$BX$1,0),FALSE)/1,0))</f>
        <v/>
      </c>
      <c r="O165" s="121" t="str">
        <f>IF($D165="","",IFERROR(VLOOKUP($B165,Kraftvärmeprod!$B$1:$BX$549,MATCH(O$2,Kraftvärmeprod!$B$1:$VX$1,0),FALSE)/1,0)-IFERROR(VLOOKUP($B165,'Slutlig allokering kvv'!$B$2:$BX$549,MATCH(O$2,'Slutlig allokering kvv'!$B$1:$BX$1,0),FALSE)/1,0))</f>
        <v/>
      </c>
      <c r="P165" s="121" t="str">
        <f>IF($D165="","",IFERROR(VLOOKUP($B165,Kraftvärmeprod!$B$1:$BX$549,MATCH(P$2,Kraftvärmeprod!$B$1:$VX$1,0),FALSE)/1,0)-IFERROR(VLOOKUP($B165,'Slutlig allokering kvv'!$B$2:$BX$549,MATCH(P$2,'Slutlig allokering kvv'!$B$1:$BX$1,0),FALSE)/1,0))</f>
        <v/>
      </c>
      <c r="Q165" s="121" t="str">
        <f>IF($D165="","",IFERROR(VLOOKUP($B165,Kraftvärmeprod!$B$1:$BX$549,MATCH(Q$2,Kraftvärmeprod!$B$1:$VX$1,0),FALSE)/1,0)-IFERROR(VLOOKUP($B165,'Slutlig allokering kvv'!$B$2:$BX$549,MATCH(Q$2,'Slutlig allokering kvv'!$B$1:$BX$1,0),FALSE)/1,0))</f>
        <v/>
      </c>
      <c r="R165" s="121" t="str">
        <f>IF($D165="","",IFERROR(VLOOKUP($B165,Kraftvärmeprod!$B$1:$BX$549,MATCH(R$2,Kraftvärmeprod!$B$1:$VX$1,0),FALSE)/1,0)-IFERROR(VLOOKUP($B165,'Slutlig allokering kvv'!$B$2:$BX$549,MATCH(R$2,'Slutlig allokering kvv'!$B$1:$BX$1,0),FALSE)/1,0))</f>
        <v/>
      </c>
      <c r="S165" s="121" t="str">
        <f>IF($D165="","",IFERROR(VLOOKUP($B165,Kraftvärmeprod!$B$1:$BX$549,MATCH(S$2,Kraftvärmeprod!$B$1:$VX$1,0),FALSE)/1,0)-IFERROR(VLOOKUP($B165,'Slutlig allokering kvv'!$B$2:$BX$549,MATCH(S$2,'Slutlig allokering kvv'!$B$1:$BX$1,0),FALSE)/1,0))</f>
        <v/>
      </c>
      <c r="T165" s="121" t="str">
        <f>IF($D165="","",IFERROR(VLOOKUP($B165,Kraftvärmeprod!$B$1:$BX$549,MATCH(T$2,Kraftvärmeprod!$B$1:$VX$1,0),FALSE)/1,0)-IFERROR(VLOOKUP($B165,'Slutlig allokering kvv'!$B$2:$BX$549,MATCH(T$2,'Slutlig allokering kvv'!$B$1:$BX$1,0),FALSE)/1,0))</f>
        <v/>
      </c>
      <c r="U165" s="121" t="str">
        <f>IF($D165="","",IFERROR(VLOOKUP($B165,Kraftvärmeprod!$B$1:$BX$549,MATCH(U$2,Kraftvärmeprod!$B$1:$VX$1,0),FALSE)/1,0)-IFERROR(VLOOKUP($B165,'Slutlig allokering kvv'!$B$2:$BX$549,MATCH(U$2,'Slutlig allokering kvv'!$B$1:$BX$1,0),FALSE)/1,0))</f>
        <v/>
      </c>
      <c r="V165" s="121" t="str">
        <f>IF($D165="","",IFERROR(VLOOKUP($B165,Kraftvärmeprod!$B$1:$BX$549,MATCH(V$2,Kraftvärmeprod!$B$1:$VX$1,0),FALSE)/1,0)-IFERROR(VLOOKUP($B165,'Slutlig allokering kvv'!$B$2:$BX$549,MATCH(V$2,'Slutlig allokering kvv'!$B$1:$BX$1,0),FALSE)/1,0))</f>
        <v/>
      </c>
      <c r="W165" s="121" t="str">
        <f>IF($D165="","",IFERROR(VLOOKUP($B165,Kraftvärmeprod!$B$1:$BX$549,MATCH(W$2,Kraftvärmeprod!$B$1:$VX$1,0),FALSE)/1,0)-IFERROR(VLOOKUP($B165,'Slutlig allokering kvv'!$B$2:$BX$549,MATCH(W$2,'Slutlig allokering kvv'!$B$1:$BX$1,0),FALSE)/1,0))</f>
        <v/>
      </c>
      <c r="X165" s="121" t="str">
        <f>IF($D165="","",IFERROR(VLOOKUP($B165,Kraftvärmeprod!$B$1:$BX$549,MATCH(X$2,Kraftvärmeprod!$B$1:$VX$1,0),FALSE)/1,0)-IFERROR(VLOOKUP($B165,'Slutlig allokering kvv'!$B$2:$BX$549,MATCH(X$2,'Slutlig allokering kvv'!$B$1:$BX$1,0),FALSE)/1,0))</f>
        <v/>
      </c>
      <c r="Y165" s="121" t="str">
        <f>IF($D165="","",IFERROR(VLOOKUP($B165,Kraftvärmeprod!$B$1:$BX$549,MATCH(Y$2,Kraftvärmeprod!$B$1:$VX$1,0),FALSE)/1,0)-IFERROR(VLOOKUP($B165,'Slutlig allokering kvv'!$B$2:$BX$549,MATCH(Y$2,'Slutlig allokering kvv'!$B$1:$BX$1,0),FALSE)/1,0))</f>
        <v/>
      </c>
      <c r="Z165" s="121" t="str">
        <f>IF($D165="","",IFERROR(VLOOKUP($B165,Kraftvärmeprod!$B$1:$BX$549,MATCH(Z$2,Kraftvärmeprod!$B$1:$VX$1,0),FALSE)/1,0)-IFERROR(VLOOKUP($B165,'Slutlig allokering kvv'!$B$2:$BX$549,MATCH(Z$2,'Slutlig allokering kvv'!$B$1:$BX$1,0),FALSE)/1,0))</f>
        <v/>
      </c>
      <c r="AA165" s="121" t="str">
        <f>IF($D165="","",IFERROR(VLOOKUP($B165,Kraftvärmeprod!$B$1:$BX$549,MATCH(AA$2,Kraftvärmeprod!$B$1:$VX$1,0),FALSE)/1,0)-IFERROR(VLOOKUP($B165,'Slutlig allokering kvv'!$B$2:$BX$549,MATCH(AA$2,'Slutlig allokering kvv'!$B$1:$BX$1,0),FALSE)/1,0))</f>
        <v/>
      </c>
      <c r="AB165" s="121" t="str">
        <f>IF($D165="","",IFERROR(VLOOKUP($B165,Kraftvärmeprod!$B$1:$BX$549,MATCH(AB$2,Kraftvärmeprod!$B$1:$VX$1,0),FALSE)/1,0)-IFERROR(VLOOKUP($B165,'Slutlig allokering kvv'!$B$2:$BX$549,MATCH(AB$2,'Slutlig allokering kvv'!$B$1:$BX$1,0),FALSE)/1,0))</f>
        <v/>
      </c>
      <c r="AC165" s="121" t="str">
        <f>IF($D165="","",IFERROR(VLOOKUP($B165,Kraftvärmeprod!$B$1:$BX$549,MATCH(AC$2,Kraftvärmeprod!$B$1:$VX$1,0),FALSE)/1,0)-IFERROR(VLOOKUP($B165,'Slutlig allokering kvv'!$B$2:$BX$549,MATCH(AC$2,'Slutlig allokering kvv'!$B$1:$BX$1,0),FALSE)/1,0))</f>
        <v/>
      </c>
      <c r="AD165" s="121" t="str">
        <f>IF($D165="","",IFERROR(VLOOKUP($B165,Kraftvärmeprod!$B$1:$BX$549,MATCH(AD$2,Kraftvärmeprod!$B$1:$VX$1,0),FALSE)/1,0)-IFERROR(VLOOKUP($B165,'Slutlig allokering kvv'!$B$2:$BX$549,MATCH(AD$2,'Slutlig allokering kvv'!$B$1:$BX$1,0),FALSE)/1,0))</f>
        <v/>
      </c>
      <c r="AE165" s="121" t="str">
        <f>IF($D165="","",IFERROR(VLOOKUP($B165,Miljö!$B$1:$E$550,MATCH("Hjälpel kraftvärme (GWh)",Miljö!$B$1:$E$1,0),FALSE)/1,0)-IFERROR(VLOOKUP($B165,'Slutlig allokering kvv'!$B$2:$BX$549,MATCH(AE$2,'Slutlig allokering kvv'!$B$1:$BX$1,0),FALSE)/1,0))</f>
        <v/>
      </c>
      <c r="AI165" s="121">
        <f t="shared" si="8"/>
        <v>0</v>
      </c>
      <c r="AK165" s="121">
        <f>IFERROR(VLOOKUP($B165,'Slutlig allokering kvv'!$B$2:$AX$549,MATCH("Summa slutlig allokerad tillförd energi (utan hjälpel och rökgaskondensering):",'Slutlig allokering kvv'!$B$1:$AX$1,0),FALSE)/1,"")</f>
        <v>0</v>
      </c>
      <c r="AM165" s="172" t="str">
        <f>IFERROR(1-VLOOKUP($B165,'Slutlig allokering kvv'!$B$2:$AX$549,MATCH("Andel av bränsle i kvv som allokerats till värme, exklusive rökgaskondensering och hjälpel",'Slutlig allokering kvv'!$B$1:$AX$1,0),FALSE),"")</f>
        <v/>
      </c>
      <c r="AO165" s="172" t="str">
        <f t="shared" si="9"/>
        <v/>
      </c>
      <c r="AP165" s="173" t="str">
        <f t="shared" si="10"/>
        <v/>
      </c>
      <c r="AR165" s="172" t="str">
        <f t="shared" si="11"/>
        <v/>
      </c>
    </row>
    <row r="166" spans="1:44" x14ac:dyDescent="0.25">
      <c r="A166" s="171" t="str">
        <f>'Miljövärden för publ företag'!B168</f>
        <v>Malung-Sälens kommun</v>
      </c>
      <c r="B166" s="171" t="str">
        <f>'Miljövärden för publ företag'!C168</f>
        <v>Malung</v>
      </c>
      <c r="C166" s="121" t="str">
        <f>IFERROR(VLOOKUP($B166,Kraftvärmeprod!$B$1:$AH$478,MATCH(C$2,Kraftvärmeprod!$B$1:$AG$1,0),FALSE)/1,"")</f>
        <v/>
      </c>
      <c r="D166" s="121" t="str">
        <f>IFERROR(VLOOKUP($B166,Kraftvärmeprod!$B$1:$AH$478,MATCH(D$2,Kraftvärmeprod!$B$1:$AG$1,0),FALSE)/1,"")</f>
        <v/>
      </c>
      <c r="F166" s="121" t="str">
        <f>IF($D166="","",IFERROR(VLOOKUP($B166,Kraftvärmeprod!$B$1:$BX$549,MATCH(F$2,Kraftvärmeprod!$B$1:$VX$1,0),FALSE)/1,0)-IFERROR(VLOOKUP($B166,'Slutlig allokering kvv'!$B$2:$BX$549,MATCH(F$2,'Slutlig allokering kvv'!$B$1:$BX$1,0),FALSE)/1,0))</f>
        <v/>
      </c>
      <c r="G166" s="121" t="str">
        <f>IF($D166="","",IFERROR(VLOOKUP($B166,Kraftvärmeprod!$B$1:$BX$549,MATCH(G$2,Kraftvärmeprod!$B$1:$VX$1,0),FALSE)/1,0)-IFERROR(VLOOKUP($B166,'Slutlig allokering kvv'!$B$2:$BX$549,MATCH(G$2,'Slutlig allokering kvv'!$B$1:$BX$1,0),FALSE)/1,0))</f>
        <v/>
      </c>
      <c r="H166" s="121" t="str">
        <f>IF($D166="","",IFERROR(VLOOKUP($B166,Kraftvärmeprod!$B$1:$BX$549,MATCH(H$2,Kraftvärmeprod!$B$1:$VX$1,0),FALSE)/1,0)-IFERROR(VLOOKUP($B166,'Slutlig allokering kvv'!$B$2:$BX$549,MATCH(H$2,'Slutlig allokering kvv'!$B$1:$BX$1,0),FALSE)/1,0))</f>
        <v/>
      </c>
      <c r="I166" s="121" t="str">
        <f>IF($D166="","",IFERROR(VLOOKUP($B166,Kraftvärmeprod!$B$1:$BX$549,MATCH(I$2,Kraftvärmeprod!$B$1:$VX$1,0),FALSE)/1,0)-IFERROR(VLOOKUP($B166,'Slutlig allokering kvv'!$B$2:$BX$549,MATCH(I$2,'Slutlig allokering kvv'!$B$1:$BX$1,0),FALSE)/1,0))</f>
        <v/>
      </c>
      <c r="J166" s="121" t="str">
        <f>IF($D166="","",IFERROR(VLOOKUP($B166,Kraftvärmeprod!$B$1:$BX$549,MATCH(J$2,Kraftvärmeprod!$B$1:$VX$1,0),FALSE)/1,0)-IFERROR(VLOOKUP($B166,'Slutlig allokering kvv'!$B$2:$BX$549,MATCH(J$2,'Slutlig allokering kvv'!$B$1:$BX$1,0),FALSE)/1,0))</f>
        <v/>
      </c>
      <c r="K166" s="121" t="str">
        <f>IF($D166="","",IFERROR(VLOOKUP($B166,Kraftvärmeprod!$B$1:$BX$549,MATCH(K$2,Kraftvärmeprod!$B$1:$VX$1,0),FALSE)/1,0)-IFERROR(VLOOKUP($B166,'Slutlig allokering kvv'!$B$2:$BX$549,MATCH(K$2,'Slutlig allokering kvv'!$B$1:$BX$1,0),FALSE)/1,0))</f>
        <v/>
      </c>
      <c r="L166" s="121" t="str">
        <f>IF($D166="","",IFERROR(VLOOKUP($B166,Kraftvärmeprod!$B$1:$BX$549,MATCH(L$2,Kraftvärmeprod!$B$1:$VX$1,0),FALSE)/1,0)-IFERROR(VLOOKUP($B166,'Slutlig allokering kvv'!$B$2:$BX$549,MATCH(L$2,'Slutlig allokering kvv'!$B$1:$BX$1,0),FALSE)/1,0))</f>
        <v/>
      </c>
      <c r="M166" s="121" t="str">
        <f>IF($D166="","",IFERROR(VLOOKUP($B166,Kraftvärmeprod!$B$1:$BX$549,MATCH(M$2,Kraftvärmeprod!$B$1:$VX$1,0),FALSE)/1,0)-IFERROR(VLOOKUP($B166,'Slutlig allokering kvv'!$B$2:$BX$549,MATCH(M$2,'Slutlig allokering kvv'!$B$1:$BX$1,0),FALSE)/1,0))</f>
        <v/>
      </c>
      <c r="N166" s="121" t="str">
        <f>IF($D166="","",IFERROR(VLOOKUP($B166,Kraftvärmeprod!$B$1:$BX$549,MATCH(N$2,Kraftvärmeprod!$B$1:$VX$1,0),FALSE)/1,0)-IFERROR(VLOOKUP($B166,'Slutlig allokering kvv'!$B$2:$BX$549,MATCH(N$2,'Slutlig allokering kvv'!$B$1:$BX$1,0),FALSE)/1,0))</f>
        <v/>
      </c>
      <c r="O166" s="121" t="str">
        <f>IF($D166="","",IFERROR(VLOOKUP($B166,Kraftvärmeprod!$B$1:$BX$549,MATCH(O$2,Kraftvärmeprod!$B$1:$VX$1,0),FALSE)/1,0)-IFERROR(VLOOKUP($B166,'Slutlig allokering kvv'!$B$2:$BX$549,MATCH(O$2,'Slutlig allokering kvv'!$B$1:$BX$1,0),FALSE)/1,0))</f>
        <v/>
      </c>
      <c r="P166" s="121" t="str">
        <f>IF($D166="","",IFERROR(VLOOKUP($B166,Kraftvärmeprod!$B$1:$BX$549,MATCH(P$2,Kraftvärmeprod!$B$1:$VX$1,0),FALSE)/1,0)-IFERROR(VLOOKUP($B166,'Slutlig allokering kvv'!$B$2:$BX$549,MATCH(P$2,'Slutlig allokering kvv'!$B$1:$BX$1,0),FALSE)/1,0))</f>
        <v/>
      </c>
      <c r="Q166" s="121" t="str">
        <f>IF($D166="","",IFERROR(VLOOKUP($B166,Kraftvärmeprod!$B$1:$BX$549,MATCH(Q$2,Kraftvärmeprod!$B$1:$VX$1,0),FALSE)/1,0)-IFERROR(VLOOKUP($B166,'Slutlig allokering kvv'!$B$2:$BX$549,MATCH(Q$2,'Slutlig allokering kvv'!$B$1:$BX$1,0),FALSE)/1,0))</f>
        <v/>
      </c>
      <c r="R166" s="121" t="str">
        <f>IF($D166="","",IFERROR(VLOOKUP($B166,Kraftvärmeprod!$B$1:$BX$549,MATCH(R$2,Kraftvärmeprod!$B$1:$VX$1,0),FALSE)/1,0)-IFERROR(VLOOKUP($B166,'Slutlig allokering kvv'!$B$2:$BX$549,MATCH(R$2,'Slutlig allokering kvv'!$B$1:$BX$1,0),FALSE)/1,0))</f>
        <v/>
      </c>
      <c r="S166" s="121" t="str">
        <f>IF($D166="","",IFERROR(VLOOKUP($B166,Kraftvärmeprod!$B$1:$BX$549,MATCH(S$2,Kraftvärmeprod!$B$1:$VX$1,0),FALSE)/1,0)-IFERROR(VLOOKUP($B166,'Slutlig allokering kvv'!$B$2:$BX$549,MATCH(S$2,'Slutlig allokering kvv'!$B$1:$BX$1,0),FALSE)/1,0))</f>
        <v/>
      </c>
      <c r="T166" s="121" t="str">
        <f>IF($D166="","",IFERROR(VLOOKUP($B166,Kraftvärmeprod!$B$1:$BX$549,MATCH(T$2,Kraftvärmeprod!$B$1:$VX$1,0),FALSE)/1,0)-IFERROR(VLOOKUP($B166,'Slutlig allokering kvv'!$B$2:$BX$549,MATCH(T$2,'Slutlig allokering kvv'!$B$1:$BX$1,0),FALSE)/1,0))</f>
        <v/>
      </c>
      <c r="U166" s="121" t="str">
        <f>IF($D166="","",IFERROR(VLOOKUP($B166,Kraftvärmeprod!$B$1:$BX$549,MATCH(U$2,Kraftvärmeprod!$B$1:$VX$1,0),FALSE)/1,0)-IFERROR(VLOOKUP($B166,'Slutlig allokering kvv'!$B$2:$BX$549,MATCH(U$2,'Slutlig allokering kvv'!$B$1:$BX$1,0),FALSE)/1,0))</f>
        <v/>
      </c>
      <c r="V166" s="121" t="str">
        <f>IF($D166="","",IFERROR(VLOOKUP($B166,Kraftvärmeprod!$B$1:$BX$549,MATCH(V$2,Kraftvärmeprod!$B$1:$VX$1,0),FALSE)/1,0)-IFERROR(VLOOKUP($B166,'Slutlig allokering kvv'!$B$2:$BX$549,MATCH(V$2,'Slutlig allokering kvv'!$B$1:$BX$1,0),FALSE)/1,0))</f>
        <v/>
      </c>
      <c r="W166" s="121" t="str">
        <f>IF($D166="","",IFERROR(VLOOKUP($B166,Kraftvärmeprod!$B$1:$BX$549,MATCH(W$2,Kraftvärmeprod!$B$1:$VX$1,0),FALSE)/1,0)-IFERROR(VLOOKUP($B166,'Slutlig allokering kvv'!$B$2:$BX$549,MATCH(W$2,'Slutlig allokering kvv'!$B$1:$BX$1,0),FALSE)/1,0))</f>
        <v/>
      </c>
      <c r="X166" s="121" t="str">
        <f>IF($D166="","",IFERROR(VLOOKUP($B166,Kraftvärmeprod!$B$1:$BX$549,MATCH(X$2,Kraftvärmeprod!$B$1:$VX$1,0),FALSE)/1,0)-IFERROR(VLOOKUP($B166,'Slutlig allokering kvv'!$B$2:$BX$549,MATCH(X$2,'Slutlig allokering kvv'!$B$1:$BX$1,0),FALSE)/1,0))</f>
        <v/>
      </c>
      <c r="Y166" s="121" t="str">
        <f>IF($D166="","",IFERROR(VLOOKUP($B166,Kraftvärmeprod!$B$1:$BX$549,MATCH(Y$2,Kraftvärmeprod!$B$1:$VX$1,0),FALSE)/1,0)-IFERROR(VLOOKUP($B166,'Slutlig allokering kvv'!$B$2:$BX$549,MATCH(Y$2,'Slutlig allokering kvv'!$B$1:$BX$1,0),FALSE)/1,0))</f>
        <v/>
      </c>
      <c r="Z166" s="121" t="str">
        <f>IF($D166="","",IFERROR(VLOOKUP($B166,Kraftvärmeprod!$B$1:$BX$549,MATCH(Z$2,Kraftvärmeprod!$B$1:$VX$1,0),FALSE)/1,0)-IFERROR(VLOOKUP($B166,'Slutlig allokering kvv'!$B$2:$BX$549,MATCH(Z$2,'Slutlig allokering kvv'!$B$1:$BX$1,0),FALSE)/1,0))</f>
        <v/>
      </c>
      <c r="AA166" s="121" t="str">
        <f>IF($D166="","",IFERROR(VLOOKUP($B166,Kraftvärmeprod!$B$1:$BX$549,MATCH(AA$2,Kraftvärmeprod!$B$1:$VX$1,0),FALSE)/1,0)-IFERROR(VLOOKUP($B166,'Slutlig allokering kvv'!$B$2:$BX$549,MATCH(AA$2,'Slutlig allokering kvv'!$B$1:$BX$1,0),FALSE)/1,0))</f>
        <v/>
      </c>
      <c r="AB166" s="121" t="str">
        <f>IF($D166="","",IFERROR(VLOOKUP($B166,Kraftvärmeprod!$B$1:$BX$549,MATCH(AB$2,Kraftvärmeprod!$B$1:$VX$1,0),FALSE)/1,0)-IFERROR(VLOOKUP($B166,'Slutlig allokering kvv'!$B$2:$BX$549,MATCH(AB$2,'Slutlig allokering kvv'!$B$1:$BX$1,0),FALSE)/1,0))</f>
        <v/>
      </c>
      <c r="AC166" s="121" t="str">
        <f>IF($D166="","",IFERROR(VLOOKUP($B166,Kraftvärmeprod!$B$1:$BX$549,MATCH(AC$2,Kraftvärmeprod!$B$1:$VX$1,0),FALSE)/1,0)-IFERROR(VLOOKUP($B166,'Slutlig allokering kvv'!$B$2:$BX$549,MATCH(AC$2,'Slutlig allokering kvv'!$B$1:$BX$1,0),FALSE)/1,0))</f>
        <v/>
      </c>
      <c r="AD166" s="121" t="str">
        <f>IF($D166="","",IFERROR(VLOOKUP($B166,Kraftvärmeprod!$B$1:$BX$549,MATCH(AD$2,Kraftvärmeprod!$B$1:$VX$1,0),FALSE)/1,0)-IFERROR(VLOOKUP($B166,'Slutlig allokering kvv'!$B$2:$BX$549,MATCH(AD$2,'Slutlig allokering kvv'!$B$1:$BX$1,0),FALSE)/1,0))</f>
        <v/>
      </c>
      <c r="AE166" s="121" t="str">
        <f>IF($D166="","",IFERROR(VLOOKUP($B166,Miljö!$B$1:$E$550,MATCH("Hjälpel kraftvärme (GWh)",Miljö!$B$1:$E$1,0),FALSE)/1,0)-IFERROR(VLOOKUP($B166,'Slutlig allokering kvv'!$B$2:$BX$549,MATCH(AE$2,'Slutlig allokering kvv'!$B$1:$BX$1,0),FALSE)/1,0))</f>
        <v/>
      </c>
      <c r="AI166" s="121">
        <f t="shared" si="8"/>
        <v>0</v>
      </c>
      <c r="AK166" s="121">
        <f>IFERROR(VLOOKUP($B166,'Slutlig allokering kvv'!$B$2:$AX$549,MATCH("Summa slutlig allokerad tillförd energi (utan hjälpel och rökgaskondensering):",'Slutlig allokering kvv'!$B$1:$AX$1,0),FALSE)/1,"")</f>
        <v>0</v>
      </c>
      <c r="AM166" s="172" t="str">
        <f>IFERROR(1-VLOOKUP($B166,'Slutlig allokering kvv'!$B$2:$AX$549,MATCH("Andel av bränsle i kvv som allokerats till värme, exklusive rökgaskondensering och hjälpel",'Slutlig allokering kvv'!$B$1:$AX$1,0),FALSE),"")</f>
        <v/>
      </c>
      <c r="AO166" s="172" t="str">
        <f t="shared" si="9"/>
        <v/>
      </c>
      <c r="AP166" s="173" t="str">
        <f t="shared" si="10"/>
        <v/>
      </c>
      <c r="AR166" s="172" t="str">
        <f t="shared" si="11"/>
        <v/>
      </c>
    </row>
    <row r="167" spans="1:44" x14ac:dyDescent="0.25">
      <c r="A167" s="171" t="str">
        <f>'Miljövärden för publ företag'!B169</f>
        <v>Mark Kraftvärme AB</v>
      </c>
      <c r="B167" s="171" t="str">
        <f>'Miljövärden för publ företag'!C169</f>
        <v>Assberg - Fritslanäten</v>
      </c>
      <c r="C167" s="121">
        <f>IFERROR(VLOOKUP($B167,Kraftvärmeprod!$B$1:$AH$478,MATCH(C$2,Kraftvärmeprod!$B$1:$AG$1,0),FALSE)/1,"")</f>
        <v>70.099999999999994</v>
      </c>
      <c r="D167" s="121">
        <f>IFERROR(VLOOKUP($B167,Kraftvärmeprod!$B$1:$AH$478,MATCH(D$2,Kraftvärmeprod!$B$1:$AG$1,0),FALSE)/1,"")</f>
        <v>10.8</v>
      </c>
      <c r="F167" s="121">
        <f>IF($D167="","",IFERROR(VLOOKUP($B167,Kraftvärmeprod!$B$1:$BX$549,MATCH(F$2,Kraftvärmeprod!$B$1:$VX$1,0),FALSE)/1,0)-IFERROR(VLOOKUP($B167,'Slutlig allokering kvv'!$B$2:$BX$549,MATCH(F$2,'Slutlig allokering kvv'!$B$1:$BX$1,0),FALSE)/1,0))</f>
        <v>0</v>
      </c>
      <c r="G167" s="121">
        <f>IF($D167="","",IFERROR(VLOOKUP($B167,Kraftvärmeprod!$B$1:$BX$549,MATCH(G$2,Kraftvärmeprod!$B$1:$VX$1,0),FALSE)/1,0)-IFERROR(VLOOKUP($B167,'Slutlig allokering kvv'!$B$2:$BX$549,MATCH(G$2,'Slutlig allokering kvv'!$B$1:$BX$1,0),FALSE)/1,0))</f>
        <v>0</v>
      </c>
      <c r="H167" s="121">
        <f>IF($D167="","",IFERROR(VLOOKUP($B167,Kraftvärmeprod!$B$1:$BX$549,MATCH(H$2,Kraftvärmeprod!$B$1:$VX$1,0),FALSE)/1,0)-IFERROR(VLOOKUP($B167,'Slutlig allokering kvv'!$B$2:$BX$549,MATCH(H$2,'Slutlig allokering kvv'!$B$1:$BX$1,0),FALSE)/1,0))</f>
        <v>0</v>
      </c>
      <c r="I167" s="121">
        <f>IF($D167="","",IFERROR(VLOOKUP($B167,Kraftvärmeprod!$B$1:$BX$549,MATCH(I$2,Kraftvärmeprod!$B$1:$VX$1,0),FALSE)/1,0)-IFERROR(VLOOKUP($B167,'Slutlig allokering kvv'!$B$2:$BX$549,MATCH(I$2,'Slutlig allokering kvv'!$B$1:$BX$1,0),FALSE)/1,0))</f>
        <v>0</v>
      </c>
      <c r="J167" s="121">
        <f>IF($D167="","",IFERROR(VLOOKUP($B167,Kraftvärmeprod!$B$1:$BX$549,MATCH(J$2,Kraftvärmeprod!$B$1:$VX$1,0),FALSE)/1,0)-IFERROR(VLOOKUP($B167,'Slutlig allokering kvv'!$B$2:$BX$549,MATCH(J$2,'Slutlig allokering kvv'!$B$1:$BX$1,0),FALSE)/1,0))</f>
        <v>0</v>
      </c>
      <c r="K167" s="121">
        <f>IF($D167="","",IFERROR(VLOOKUP($B167,Kraftvärmeprod!$B$1:$BX$549,MATCH(K$2,Kraftvärmeprod!$B$1:$VX$1,0),FALSE)/1,0)-IFERROR(VLOOKUP($B167,'Slutlig allokering kvv'!$B$2:$BX$549,MATCH(K$2,'Slutlig allokering kvv'!$B$1:$BX$1,0),FALSE)/1,0))</f>
        <v>0</v>
      </c>
      <c r="L167" s="121">
        <f>IF($D167="","",IFERROR(VLOOKUP($B167,Kraftvärmeprod!$B$1:$BX$549,MATCH(L$2,Kraftvärmeprod!$B$1:$VX$1,0),FALSE)/1,0)-IFERROR(VLOOKUP($B167,'Slutlig allokering kvv'!$B$2:$BX$549,MATCH(L$2,'Slutlig allokering kvv'!$B$1:$BX$1,0),FALSE)/1,0))</f>
        <v>14.450099999999999</v>
      </c>
      <c r="M167" s="121">
        <f>IF($D167="","",IFERROR(VLOOKUP($B167,Kraftvärmeprod!$B$1:$BX$549,MATCH(M$2,Kraftvärmeprod!$B$1:$VX$1,0),FALSE)/1,0)-IFERROR(VLOOKUP($B167,'Slutlig allokering kvv'!$B$2:$BX$549,MATCH(M$2,'Slutlig allokering kvv'!$B$1:$BX$1,0),FALSE)/1,0))</f>
        <v>1.3665099999999994</v>
      </c>
      <c r="N167" s="121">
        <f>IF($D167="","",IFERROR(VLOOKUP($B167,Kraftvärmeprod!$B$1:$BX$549,MATCH(N$2,Kraftvärmeprod!$B$1:$VX$1,0),FALSE)/1,0)-IFERROR(VLOOKUP($B167,'Slutlig allokering kvv'!$B$2:$BX$549,MATCH(N$2,'Slutlig allokering kvv'!$B$1:$BX$1,0),FALSE)/1,0))</f>
        <v>11.0381</v>
      </c>
      <c r="O167" s="121">
        <f>IF($D167="","",IFERROR(VLOOKUP($B167,Kraftvärmeprod!$B$1:$BX$549,MATCH(O$2,Kraftvärmeprod!$B$1:$VX$1,0),FALSE)/1,0)-IFERROR(VLOOKUP($B167,'Slutlig allokering kvv'!$B$2:$BX$549,MATCH(O$2,'Slutlig allokering kvv'!$B$1:$BX$1,0),FALSE)/1,0))</f>
        <v>0</v>
      </c>
      <c r="P167" s="121">
        <f>IF($D167="","",IFERROR(VLOOKUP($B167,Kraftvärmeprod!$B$1:$BX$549,MATCH(P$2,Kraftvärmeprod!$B$1:$VX$1,0),FALSE)/1,0)-IFERROR(VLOOKUP($B167,'Slutlig allokering kvv'!$B$2:$BX$549,MATCH(P$2,'Slutlig allokering kvv'!$B$1:$BX$1,0),FALSE)/1,0))</f>
        <v>0</v>
      </c>
      <c r="Q167" s="121">
        <f>IF($D167="","",IFERROR(VLOOKUP($B167,Kraftvärmeprod!$B$1:$BX$549,MATCH(Q$2,Kraftvärmeprod!$B$1:$VX$1,0),FALSE)/1,0)-IFERROR(VLOOKUP($B167,'Slutlig allokering kvv'!$B$2:$BX$549,MATCH(Q$2,'Slutlig allokering kvv'!$B$1:$BX$1,0),FALSE)/1,0))</f>
        <v>0</v>
      </c>
      <c r="R167" s="121">
        <f>IF($D167="","",IFERROR(VLOOKUP($B167,Kraftvärmeprod!$B$1:$BX$549,MATCH(R$2,Kraftvärmeprod!$B$1:$VX$1,0),FALSE)/1,0)-IFERROR(VLOOKUP($B167,'Slutlig allokering kvv'!$B$2:$BX$549,MATCH(R$2,'Slutlig allokering kvv'!$B$1:$BX$1,0),FALSE)/1,0))</f>
        <v>0</v>
      </c>
      <c r="S167" s="121">
        <f>IF($D167="","",IFERROR(VLOOKUP($B167,Kraftvärmeprod!$B$1:$BX$549,MATCH(S$2,Kraftvärmeprod!$B$1:$VX$1,0),FALSE)/1,0)-IFERROR(VLOOKUP($B167,'Slutlig allokering kvv'!$B$2:$BX$549,MATCH(S$2,'Slutlig allokering kvv'!$B$1:$BX$1,0),FALSE)/1,0))</f>
        <v>0</v>
      </c>
      <c r="T167" s="121">
        <f>IF($D167="","",IFERROR(VLOOKUP($B167,Kraftvärmeprod!$B$1:$BX$549,MATCH(T$2,Kraftvärmeprod!$B$1:$VX$1,0),FALSE)/1,0)-IFERROR(VLOOKUP($B167,'Slutlig allokering kvv'!$B$2:$BX$549,MATCH(T$2,'Slutlig allokering kvv'!$B$1:$BX$1,0),FALSE)/1,0))</f>
        <v>0</v>
      </c>
      <c r="U167" s="121">
        <f>IF($D167="","",IFERROR(VLOOKUP($B167,Kraftvärmeprod!$B$1:$BX$549,MATCH(U$2,Kraftvärmeprod!$B$1:$VX$1,0),FALSE)/1,0)-IFERROR(VLOOKUP($B167,'Slutlig allokering kvv'!$B$2:$BX$549,MATCH(U$2,'Slutlig allokering kvv'!$B$1:$BX$1,0),FALSE)/1,0))</f>
        <v>0</v>
      </c>
      <c r="V167" s="121">
        <f>IF($D167="","",IFERROR(VLOOKUP($B167,Kraftvärmeprod!$B$1:$BX$549,MATCH(V$2,Kraftvärmeprod!$B$1:$VX$1,0),FALSE)/1,0)-IFERROR(VLOOKUP($B167,'Slutlig allokering kvv'!$B$2:$BX$549,MATCH(V$2,'Slutlig allokering kvv'!$B$1:$BX$1,0),FALSE)/1,0))</f>
        <v>0</v>
      </c>
      <c r="W167" s="121">
        <f>IF($D167="","",IFERROR(VLOOKUP($B167,Kraftvärmeprod!$B$1:$BX$549,MATCH(W$2,Kraftvärmeprod!$B$1:$VX$1,0),FALSE)/1,0)-IFERROR(VLOOKUP($B167,'Slutlig allokering kvv'!$B$2:$BX$549,MATCH(W$2,'Slutlig allokering kvv'!$B$1:$BX$1,0),FALSE)/1,0))</f>
        <v>0</v>
      </c>
      <c r="X167" s="121">
        <f>IF($D167="","",IFERROR(VLOOKUP($B167,Kraftvärmeprod!$B$1:$BX$549,MATCH(X$2,Kraftvärmeprod!$B$1:$VX$1,0),FALSE)/1,0)-IFERROR(VLOOKUP($B167,'Slutlig allokering kvv'!$B$2:$BX$549,MATCH(X$2,'Slutlig allokering kvv'!$B$1:$BX$1,0),FALSE)/1,0))</f>
        <v>0</v>
      </c>
      <c r="Y167" s="121">
        <f>IF($D167="","",IFERROR(VLOOKUP($B167,Kraftvärmeprod!$B$1:$BX$549,MATCH(Y$2,Kraftvärmeprod!$B$1:$VX$1,0),FALSE)/1,0)-IFERROR(VLOOKUP($B167,'Slutlig allokering kvv'!$B$2:$BX$549,MATCH(Y$2,'Slutlig allokering kvv'!$B$1:$BX$1,0),FALSE)/1,0))</f>
        <v>0</v>
      </c>
      <c r="Z167" s="121">
        <f>IF($D167="","",IFERROR(VLOOKUP($B167,Kraftvärmeprod!$B$1:$BX$549,MATCH(Z$2,Kraftvärmeprod!$B$1:$VX$1,0),FALSE)/1,0)-IFERROR(VLOOKUP($B167,'Slutlig allokering kvv'!$B$2:$BX$549,MATCH(Z$2,'Slutlig allokering kvv'!$B$1:$BX$1,0),FALSE)/1,0))</f>
        <v>0</v>
      </c>
      <c r="AA167" s="121">
        <f>IF($D167="","",IFERROR(VLOOKUP($B167,Kraftvärmeprod!$B$1:$BX$549,MATCH(AA$2,Kraftvärmeprod!$B$1:$VX$1,0),FALSE)/1,0)-IFERROR(VLOOKUP($B167,'Slutlig allokering kvv'!$B$2:$BX$549,MATCH(AA$2,'Slutlig allokering kvv'!$B$1:$BX$1,0),FALSE)/1,0))</f>
        <v>0</v>
      </c>
      <c r="AB167" s="121">
        <f>IF($D167="","",IFERROR(VLOOKUP($B167,Kraftvärmeprod!$B$1:$BX$549,MATCH(AB$2,Kraftvärmeprod!$B$1:$VX$1,0),FALSE)/1,0)-IFERROR(VLOOKUP($B167,'Slutlig allokering kvv'!$B$2:$BX$549,MATCH(AB$2,'Slutlig allokering kvv'!$B$1:$BX$1,0),FALSE)/1,0))</f>
        <v>0</v>
      </c>
      <c r="AC167" s="121">
        <f>IF($D167="","",IFERROR(VLOOKUP($B167,Kraftvärmeprod!$B$1:$BX$549,MATCH(AC$2,Kraftvärmeprod!$B$1:$VX$1,0),FALSE)/1,0)-IFERROR(VLOOKUP($B167,'Slutlig allokering kvv'!$B$2:$BX$549,MATCH(AC$2,'Slutlig allokering kvv'!$B$1:$BX$1,0),FALSE)/1,0))</f>
        <v>0</v>
      </c>
      <c r="AD167" s="121">
        <f>IF($D167="","",IFERROR(VLOOKUP($B167,Kraftvärmeprod!$B$1:$BX$549,MATCH(AD$2,Kraftvärmeprod!$B$1:$VX$1,0),FALSE)/1,0)-IFERROR(VLOOKUP($B167,'Slutlig allokering kvv'!$B$2:$BX$549,MATCH(AD$2,'Slutlig allokering kvv'!$B$1:$BX$1,0),FALSE)/1,0))</f>
        <v>0</v>
      </c>
      <c r="AE167" s="121">
        <f>IF($D167="","",IFERROR(VLOOKUP($B167,Miljö!$B$1:$E$550,MATCH("Hjälpel kraftvärme (GWh)",Miljö!$B$1:$E$1,0),FALSE)/1,0)-IFERROR(VLOOKUP($B167,'Slutlig allokering kvv'!$B$2:$BX$549,MATCH(AE$2,'Slutlig allokering kvv'!$B$1:$BX$1,0),FALSE)/1,0))</f>
        <v>0.38961400000000013</v>
      </c>
      <c r="AI167" s="121">
        <f t="shared" si="8"/>
        <v>26.854709999999997</v>
      </c>
      <c r="AK167" s="121">
        <f>IFERROR(VLOOKUP($B167,'Slutlig allokering kvv'!$B$2:$AX$549,MATCH("Summa slutlig allokerad tillförd energi (utan hjälpel och rökgaskondensering):",'Slutlig allokering kvv'!$B$1:$AX$1,0),FALSE)/1,"")</f>
        <v>66.885289999999998</v>
      </c>
      <c r="AM167" s="172">
        <f>IFERROR(1-VLOOKUP($B167,'Slutlig allokering kvv'!$B$2:$AX$549,MATCH("Andel av bränsle i kvv som allokerats till värme, exklusive rökgaskondensering och hjälpel",'Slutlig allokering kvv'!$B$1:$AX$1,0),FALSE),"")</f>
        <v>0.2864807979517815</v>
      </c>
      <c r="AO167" s="172">
        <f t="shared" si="9"/>
        <v>0.2864807979517815</v>
      </c>
      <c r="AP167" s="173">
        <f t="shared" si="10"/>
        <v>0</v>
      </c>
      <c r="AR167" s="172">
        <f t="shared" si="11"/>
        <v>0.39641284547930061</v>
      </c>
    </row>
    <row r="168" spans="1:44" x14ac:dyDescent="0.25">
      <c r="A168" s="171" t="str">
        <f>'Miljövärden för publ företag'!B170</f>
        <v>Mark Kraftvärme AB</v>
      </c>
      <c r="B168" s="171" t="str">
        <f>'Miljövärden för publ företag'!C170</f>
        <v>Hyssna</v>
      </c>
      <c r="C168" s="121" t="str">
        <f>IFERROR(VLOOKUP($B168,Kraftvärmeprod!$B$1:$AH$478,MATCH(C$2,Kraftvärmeprod!$B$1:$AG$1,0),FALSE)/1,"")</f>
        <v/>
      </c>
      <c r="D168" s="121" t="str">
        <f>IFERROR(VLOOKUP($B168,Kraftvärmeprod!$B$1:$AH$478,MATCH(D$2,Kraftvärmeprod!$B$1:$AG$1,0),FALSE)/1,"")</f>
        <v/>
      </c>
      <c r="F168" s="121" t="str">
        <f>IF($D168="","",IFERROR(VLOOKUP($B168,Kraftvärmeprod!$B$1:$BX$549,MATCH(F$2,Kraftvärmeprod!$B$1:$VX$1,0),FALSE)/1,0)-IFERROR(VLOOKUP($B168,'Slutlig allokering kvv'!$B$2:$BX$549,MATCH(F$2,'Slutlig allokering kvv'!$B$1:$BX$1,0),FALSE)/1,0))</f>
        <v/>
      </c>
      <c r="G168" s="121" t="str">
        <f>IF($D168="","",IFERROR(VLOOKUP($B168,Kraftvärmeprod!$B$1:$BX$549,MATCH(G$2,Kraftvärmeprod!$B$1:$VX$1,0),FALSE)/1,0)-IFERROR(VLOOKUP($B168,'Slutlig allokering kvv'!$B$2:$BX$549,MATCH(G$2,'Slutlig allokering kvv'!$B$1:$BX$1,0),FALSE)/1,0))</f>
        <v/>
      </c>
      <c r="H168" s="121" t="str">
        <f>IF($D168="","",IFERROR(VLOOKUP($B168,Kraftvärmeprod!$B$1:$BX$549,MATCH(H$2,Kraftvärmeprod!$B$1:$VX$1,0),FALSE)/1,0)-IFERROR(VLOOKUP($B168,'Slutlig allokering kvv'!$B$2:$BX$549,MATCH(H$2,'Slutlig allokering kvv'!$B$1:$BX$1,0),FALSE)/1,0))</f>
        <v/>
      </c>
      <c r="I168" s="121" t="str">
        <f>IF($D168="","",IFERROR(VLOOKUP($B168,Kraftvärmeprod!$B$1:$BX$549,MATCH(I$2,Kraftvärmeprod!$B$1:$VX$1,0),FALSE)/1,0)-IFERROR(VLOOKUP($B168,'Slutlig allokering kvv'!$B$2:$BX$549,MATCH(I$2,'Slutlig allokering kvv'!$B$1:$BX$1,0),FALSE)/1,0))</f>
        <v/>
      </c>
      <c r="J168" s="121" t="str">
        <f>IF($D168="","",IFERROR(VLOOKUP($B168,Kraftvärmeprod!$B$1:$BX$549,MATCH(J$2,Kraftvärmeprod!$B$1:$VX$1,0),FALSE)/1,0)-IFERROR(VLOOKUP($B168,'Slutlig allokering kvv'!$B$2:$BX$549,MATCH(J$2,'Slutlig allokering kvv'!$B$1:$BX$1,0),FALSE)/1,0))</f>
        <v/>
      </c>
      <c r="K168" s="121" t="str">
        <f>IF($D168="","",IFERROR(VLOOKUP($B168,Kraftvärmeprod!$B$1:$BX$549,MATCH(K$2,Kraftvärmeprod!$B$1:$VX$1,0),FALSE)/1,0)-IFERROR(VLOOKUP($B168,'Slutlig allokering kvv'!$B$2:$BX$549,MATCH(K$2,'Slutlig allokering kvv'!$B$1:$BX$1,0),FALSE)/1,0))</f>
        <v/>
      </c>
      <c r="L168" s="121" t="str">
        <f>IF($D168="","",IFERROR(VLOOKUP($B168,Kraftvärmeprod!$B$1:$BX$549,MATCH(L$2,Kraftvärmeprod!$B$1:$VX$1,0),FALSE)/1,0)-IFERROR(VLOOKUP($B168,'Slutlig allokering kvv'!$B$2:$BX$549,MATCH(L$2,'Slutlig allokering kvv'!$B$1:$BX$1,0),FALSE)/1,0))</f>
        <v/>
      </c>
      <c r="M168" s="121" t="str">
        <f>IF($D168="","",IFERROR(VLOOKUP($B168,Kraftvärmeprod!$B$1:$BX$549,MATCH(M$2,Kraftvärmeprod!$B$1:$VX$1,0),FALSE)/1,0)-IFERROR(VLOOKUP($B168,'Slutlig allokering kvv'!$B$2:$BX$549,MATCH(M$2,'Slutlig allokering kvv'!$B$1:$BX$1,0),FALSE)/1,0))</f>
        <v/>
      </c>
      <c r="N168" s="121" t="str">
        <f>IF($D168="","",IFERROR(VLOOKUP($B168,Kraftvärmeprod!$B$1:$BX$549,MATCH(N$2,Kraftvärmeprod!$B$1:$VX$1,0),FALSE)/1,0)-IFERROR(VLOOKUP($B168,'Slutlig allokering kvv'!$B$2:$BX$549,MATCH(N$2,'Slutlig allokering kvv'!$B$1:$BX$1,0),FALSE)/1,0))</f>
        <v/>
      </c>
      <c r="O168" s="121" t="str">
        <f>IF($D168="","",IFERROR(VLOOKUP($B168,Kraftvärmeprod!$B$1:$BX$549,MATCH(O$2,Kraftvärmeprod!$B$1:$VX$1,0),FALSE)/1,0)-IFERROR(VLOOKUP($B168,'Slutlig allokering kvv'!$B$2:$BX$549,MATCH(O$2,'Slutlig allokering kvv'!$B$1:$BX$1,0),FALSE)/1,0))</f>
        <v/>
      </c>
      <c r="P168" s="121" t="str">
        <f>IF($D168="","",IFERROR(VLOOKUP($B168,Kraftvärmeprod!$B$1:$BX$549,MATCH(P$2,Kraftvärmeprod!$B$1:$VX$1,0),FALSE)/1,0)-IFERROR(VLOOKUP($B168,'Slutlig allokering kvv'!$B$2:$BX$549,MATCH(P$2,'Slutlig allokering kvv'!$B$1:$BX$1,0),FALSE)/1,0))</f>
        <v/>
      </c>
      <c r="Q168" s="121" t="str">
        <f>IF($D168="","",IFERROR(VLOOKUP($B168,Kraftvärmeprod!$B$1:$BX$549,MATCH(Q$2,Kraftvärmeprod!$B$1:$VX$1,0),FALSE)/1,0)-IFERROR(VLOOKUP($B168,'Slutlig allokering kvv'!$B$2:$BX$549,MATCH(Q$2,'Slutlig allokering kvv'!$B$1:$BX$1,0),FALSE)/1,0))</f>
        <v/>
      </c>
      <c r="R168" s="121" t="str">
        <f>IF($D168="","",IFERROR(VLOOKUP($B168,Kraftvärmeprod!$B$1:$BX$549,MATCH(R$2,Kraftvärmeprod!$B$1:$VX$1,0),FALSE)/1,0)-IFERROR(VLOOKUP($B168,'Slutlig allokering kvv'!$B$2:$BX$549,MATCH(R$2,'Slutlig allokering kvv'!$B$1:$BX$1,0),FALSE)/1,0))</f>
        <v/>
      </c>
      <c r="S168" s="121" t="str">
        <f>IF($D168="","",IFERROR(VLOOKUP($B168,Kraftvärmeprod!$B$1:$BX$549,MATCH(S$2,Kraftvärmeprod!$B$1:$VX$1,0),FALSE)/1,0)-IFERROR(VLOOKUP($B168,'Slutlig allokering kvv'!$B$2:$BX$549,MATCH(S$2,'Slutlig allokering kvv'!$B$1:$BX$1,0),FALSE)/1,0))</f>
        <v/>
      </c>
      <c r="T168" s="121" t="str">
        <f>IF($D168="","",IFERROR(VLOOKUP($B168,Kraftvärmeprod!$B$1:$BX$549,MATCH(T$2,Kraftvärmeprod!$B$1:$VX$1,0),FALSE)/1,0)-IFERROR(VLOOKUP($B168,'Slutlig allokering kvv'!$B$2:$BX$549,MATCH(T$2,'Slutlig allokering kvv'!$B$1:$BX$1,0),FALSE)/1,0))</f>
        <v/>
      </c>
      <c r="U168" s="121" t="str">
        <f>IF($D168="","",IFERROR(VLOOKUP($B168,Kraftvärmeprod!$B$1:$BX$549,MATCH(U$2,Kraftvärmeprod!$B$1:$VX$1,0),FALSE)/1,0)-IFERROR(VLOOKUP($B168,'Slutlig allokering kvv'!$B$2:$BX$549,MATCH(U$2,'Slutlig allokering kvv'!$B$1:$BX$1,0),FALSE)/1,0))</f>
        <v/>
      </c>
      <c r="V168" s="121" t="str">
        <f>IF($D168="","",IFERROR(VLOOKUP($B168,Kraftvärmeprod!$B$1:$BX$549,MATCH(V$2,Kraftvärmeprod!$B$1:$VX$1,0),FALSE)/1,0)-IFERROR(VLOOKUP($B168,'Slutlig allokering kvv'!$B$2:$BX$549,MATCH(V$2,'Slutlig allokering kvv'!$B$1:$BX$1,0),FALSE)/1,0))</f>
        <v/>
      </c>
      <c r="W168" s="121" t="str">
        <f>IF($D168="","",IFERROR(VLOOKUP($B168,Kraftvärmeprod!$B$1:$BX$549,MATCH(W$2,Kraftvärmeprod!$B$1:$VX$1,0),FALSE)/1,0)-IFERROR(VLOOKUP($B168,'Slutlig allokering kvv'!$B$2:$BX$549,MATCH(W$2,'Slutlig allokering kvv'!$B$1:$BX$1,0),FALSE)/1,0))</f>
        <v/>
      </c>
      <c r="X168" s="121" t="str">
        <f>IF($D168="","",IFERROR(VLOOKUP($B168,Kraftvärmeprod!$B$1:$BX$549,MATCH(X$2,Kraftvärmeprod!$B$1:$VX$1,0),FALSE)/1,0)-IFERROR(VLOOKUP($B168,'Slutlig allokering kvv'!$B$2:$BX$549,MATCH(X$2,'Slutlig allokering kvv'!$B$1:$BX$1,0),FALSE)/1,0))</f>
        <v/>
      </c>
      <c r="Y168" s="121" t="str">
        <f>IF($D168="","",IFERROR(VLOOKUP($B168,Kraftvärmeprod!$B$1:$BX$549,MATCH(Y$2,Kraftvärmeprod!$B$1:$VX$1,0),FALSE)/1,0)-IFERROR(VLOOKUP($B168,'Slutlig allokering kvv'!$B$2:$BX$549,MATCH(Y$2,'Slutlig allokering kvv'!$B$1:$BX$1,0),FALSE)/1,0))</f>
        <v/>
      </c>
      <c r="Z168" s="121" t="str">
        <f>IF($D168="","",IFERROR(VLOOKUP($B168,Kraftvärmeprod!$B$1:$BX$549,MATCH(Z$2,Kraftvärmeprod!$B$1:$VX$1,0),FALSE)/1,0)-IFERROR(VLOOKUP($B168,'Slutlig allokering kvv'!$B$2:$BX$549,MATCH(Z$2,'Slutlig allokering kvv'!$B$1:$BX$1,0),FALSE)/1,0))</f>
        <v/>
      </c>
      <c r="AA168" s="121" t="str">
        <f>IF($D168="","",IFERROR(VLOOKUP($B168,Kraftvärmeprod!$B$1:$BX$549,MATCH(AA$2,Kraftvärmeprod!$B$1:$VX$1,0),FALSE)/1,0)-IFERROR(VLOOKUP($B168,'Slutlig allokering kvv'!$B$2:$BX$549,MATCH(AA$2,'Slutlig allokering kvv'!$B$1:$BX$1,0),FALSE)/1,0))</f>
        <v/>
      </c>
      <c r="AB168" s="121" t="str">
        <f>IF($D168="","",IFERROR(VLOOKUP($B168,Kraftvärmeprod!$B$1:$BX$549,MATCH(AB$2,Kraftvärmeprod!$B$1:$VX$1,0),FALSE)/1,0)-IFERROR(VLOOKUP($B168,'Slutlig allokering kvv'!$B$2:$BX$549,MATCH(AB$2,'Slutlig allokering kvv'!$B$1:$BX$1,0),FALSE)/1,0))</f>
        <v/>
      </c>
      <c r="AC168" s="121" t="str">
        <f>IF($D168="","",IFERROR(VLOOKUP($B168,Kraftvärmeprod!$B$1:$BX$549,MATCH(AC$2,Kraftvärmeprod!$B$1:$VX$1,0),FALSE)/1,0)-IFERROR(VLOOKUP($B168,'Slutlig allokering kvv'!$B$2:$BX$549,MATCH(AC$2,'Slutlig allokering kvv'!$B$1:$BX$1,0),FALSE)/1,0))</f>
        <v/>
      </c>
      <c r="AD168" s="121" t="str">
        <f>IF($D168="","",IFERROR(VLOOKUP($B168,Kraftvärmeprod!$B$1:$BX$549,MATCH(AD$2,Kraftvärmeprod!$B$1:$VX$1,0),FALSE)/1,0)-IFERROR(VLOOKUP($B168,'Slutlig allokering kvv'!$B$2:$BX$549,MATCH(AD$2,'Slutlig allokering kvv'!$B$1:$BX$1,0),FALSE)/1,0))</f>
        <v/>
      </c>
      <c r="AE168" s="121" t="str">
        <f>IF($D168="","",IFERROR(VLOOKUP($B168,Miljö!$B$1:$E$550,MATCH("Hjälpel kraftvärme (GWh)",Miljö!$B$1:$E$1,0),FALSE)/1,0)-IFERROR(VLOOKUP($B168,'Slutlig allokering kvv'!$B$2:$BX$549,MATCH(AE$2,'Slutlig allokering kvv'!$B$1:$BX$1,0),FALSE)/1,0))</f>
        <v/>
      </c>
      <c r="AI168" s="121">
        <f t="shared" si="8"/>
        <v>0</v>
      </c>
      <c r="AK168" s="121">
        <f>IFERROR(VLOOKUP($B168,'Slutlig allokering kvv'!$B$2:$AX$549,MATCH("Summa slutlig allokerad tillförd energi (utan hjälpel och rökgaskondensering):",'Slutlig allokering kvv'!$B$1:$AX$1,0),FALSE)/1,"")</f>
        <v>0</v>
      </c>
      <c r="AM168" s="172" t="str">
        <f>IFERROR(1-VLOOKUP($B168,'Slutlig allokering kvv'!$B$2:$AX$549,MATCH("Andel av bränsle i kvv som allokerats till värme, exklusive rökgaskondensering och hjälpel",'Slutlig allokering kvv'!$B$1:$AX$1,0),FALSE),"")</f>
        <v/>
      </c>
      <c r="AO168" s="172" t="str">
        <f t="shared" si="9"/>
        <v/>
      </c>
      <c r="AP168" s="173" t="str">
        <f t="shared" si="10"/>
        <v/>
      </c>
      <c r="AR168" s="172" t="str">
        <f t="shared" si="11"/>
        <v/>
      </c>
    </row>
    <row r="169" spans="1:44" x14ac:dyDescent="0.25">
      <c r="A169" s="171" t="str">
        <f>'Miljövärden för publ företag'!B171</f>
        <v>Mjölby-Svartådalen Energi AB</v>
      </c>
      <c r="B169" s="171" t="str">
        <f>'Miljövärden för publ företag'!C171</f>
        <v>Mjölby</v>
      </c>
      <c r="C169" s="121">
        <f>IFERROR(VLOOKUP($B169,Kraftvärmeprod!$B$1:$AH$478,MATCH(C$2,Kraftvärmeprod!$B$1:$AG$1,0),FALSE)/1,"")</f>
        <v>96.5</v>
      </c>
      <c r="D169" s="121">
        <f>IFERROR(VLOOKUP($B169,Kraftvärmeprod!$B$1:$AH$478,MATCH(D$2,Kraftvärmeprod!$B$1:$AG$1,0),FALSE)/1,"")</f>
        <v>33.4</v>
      </c>
      <c r="F169" s="121">
        <f>IF($D169="","",IFERROR(VLOOKUP($B169,Kraftvärmeprod!$B$1:$BX$549,MATCH(F$2,Kraftvärmeprod!$B$1:$VX$1,0),FALSE)/1,0)-IFERROR(VLOOKUP($B169,'Slutlig allokering kvv'!$B$2:$BX$549,MATCH(F$2,'Slutlig allokering kvv'!$B$1:$BX$1,0),FALSE)/1,0))</f>
        <v>0</v>
      </c>
      <c r="G169" s="121">
        <f>IF($D169="","",IFERROR(VLOOKUP($B169,Kraftvärmeprod!$B$1:$BX$549,MATCH(G$2,Kraftvärmeprod!$B$1:$VX$1,0),FALSE)/1,0)-IFERROR(VLOOKUP($B169,'Slutlig allokering kvv'!$B$2:$BX$549,MATCH(G$2,'Slutlig allokering kvv'!$B$1:$BX$1,0),FALSE)/1,0))</f>
        <v>4.1179700000000007E-2</v>
      </c>
      <c r="H169" s="121">
        <f>IF($D169="","",IFERROR(VLOOKUP($B169,Kraftvärmeprod!$B$1:$BX$549,MATCH(H$2,Kraftvärmeprod!$B$1:$VX$1,0),FALSE)/1,0)-IFERROR(VLOOKUP($B169,'Slutlig allokering kvv'!$B$2:$BX$549,MATCH(H$2,'Slutlig allokering kvv'!$B$1:$BX$1,0),FALSE)/1,0))</f>
        <v>0</v>
      </c>
      <c r="I169" s="121">
        <f>IF($D169="","",IFERROR(VLOOKUP($B169,Kraftvärmeprod!$B$1:$BX$549,MATCH(I$2,Kraftvärmeprod!$B$1:$VX$1,0),FALSE)/1,0)-IFERROR(VLOOKUP($B169,'Slutlig allokering kvv'!$B$2:$BX$549,MATCH(I$2,'Slutlig allokering kvv'!$B$1:$BX$1,0),FALSE)/1,0))</f>
        <v>0</v>
      </c>
      <c r="J169" s="121">
        <f>IF($D169="","",IFERROR(VLOOKUP($B169,Kraftvärmeprod!$B$1:$BX$549,MATCH(J$2,Kraftvärmeprod!$B$1:$VX$1,0),FALSE)/1,0)-IFERROR(VLOOKUP($B169,'Slutlig allokering kvv'!$B$2:$BX$549,MATCH(J$2,'Slutlig allokering kvv'!$B$1:$BX$1,0),FALSE)/1,0))</f>
        <v>0</v>
      </c>
      <c r="K169" s="121">
        <f>IF($D169="","",IFERROR(VLOOKUP($B169,Kraftvärmeprod!$B$1:$BX$549,MATCH(K$2,Kraftvärmeprod!$B$1:$VX$1,0),FALSE)/1,0)-IFERROR(VLOOKUP($B169,'Slutlig allokering kvv'!$B$2:$BX$549,MATCH(K$2,'Slutlig allokering kvv'!$B$1:$BX$1,0),FALSE)/1,0))</f>
        <v>0</v>
      </c>
      <c r="L169" s="121">
        <f>IF($D169="","",IFERROR(VLOOKUP($B169,Kraftvärmeprod!$B$1:$BX$549,MATCH(L$2,Kraftvärmeprod!$B$1:$VX$1,0),FALSE)/1,0)-IFERROR(VLOOKUP($B169,'Slutlig allokering kvv'!$B$2:$BX$549,MATCH(L$2,'Slutlig allokering kvv'!$B$1:$BX$1,0),FALSE)/1,0))</f>
        <v>69.333299999999994</v>
      </c>
      <c r="M169" s="121">
        <f>IF($D169="","",IFERROR(VLOOKUP($B169,Kraftvärmeprod!$B$1:$BX$549,MATCH(M$2,Kraftvärmeprod!$B$1:$VX$1,0),FALSE)/1,0)-IFERROR(VLOOKUP($B169,'Slutlig allokering kvv'!$B$2:$BX$549,MATCH(M$2,'Slutlig allokering kvv'!$B$1:$BX$1,0),FALSE)/1,0))</f>
        <v>0</v>
      </c>
      <c r="N169" s="121">
        <f>IF($D169="","",IFERROR(VLOOKUP($B169,Kraftvärmeprod!$B$1:$BX$549,MATCH(N$2,Kraftvärmeprod!$B$1:$VX$1,0),FALSE)/1,0)-IFERROR(VLOOKUP($B169,'Slutlig allokering kvv'!$B$2:$BX$549,MATCH(N$2,'Slutlig allokering kvv'!$B$1:$BX$1,0),FALSE)/1,0))</f>
        <v>7.3506599999999995</v>
      </c>
      <c r="O169" s="121">
        <f>IF($D169="","",IFERROR(VLOOKUP($B169,Kraftvärmeprod!$B$1:$BX$549,MATCH(O$2,Kraftvärmeprod!$B$1:$VX$1,0),FALSE)/1,0)-IFERROR(VLOOKUP($B169,'Slutlig allokering kvv'!$B$2:$BX$549,MATCH(O$2,'Slutlig allokering kvv'!$B$1:$BX$1,0),FALSE)/1,0))</f>
        <v>0</v>
      </c>
      <c r="P169" s="121">
        <f>IF($D169="","",IFERROR(VLOOKUP($B169,Kraftvärmeprod!$B$1:$BX$549,MATCH(P$2,Kraftvärmeprod!$B$1:$VX$1,0),FALSE)/1,0)-IFERROR(VLOOKUP($B169,'Slutlig allokering kvv'!$B$2:$BX$549,MATCH(P$2,'Slutlig allokering kvv'!$B$1:$BX$1,0),FALSE)/1,0))</f>
        <v>0</v>
      </c>
      <c r="Q169" s="121">
        <f>IF($D169="","",IFERROR(VLOOKUP($B169,Kraftvärmeprod!$B$1:$BX$549,MATCH(Q$2,Kraftvärmeprod!$B$1:$VX$1,0),FALSE)/1,0)-IFERROR(VLOOKUP($B169,'Slutlig allokering kvv'!$B$2:$BX$549,MATCH(Q$2,'Slutlig allokering kvv'!$B$1:$BX$1,0),FALSE)/1,0))</f>
        <v>0</v>
      </c>
      <c r="R169" s="121">
        <f>IF($D169="","",IFERROR(VLOOKUP($B169,Kraftvärmeprod!$B$1:$BX$549,MATCH(R$2,Kraftvärmeprod!$B$1:$VX$1,0),FALSE)/1,0)-IFERROR(VLOOKUP($B169,'Slutlig allokering kvv'!$B$2:$BX$549,MATCH(R$2,'Slutlig allokering kvv'!$B$1:$BX$1,0),FALSE)/1,0))</f>
        <v>0</v>
      </c>
      <c r="S169" s="121">
        <f>IF($D169="","",IFERROR(VLOOKUP($B169,Kraftvärmeprod!$B$1:$BX$549,MATCH(S$2,Kraftvärmeprod!$B$1:$VX$1,0),FALSE)/1,0)-IFERROR(VLOOKUP($B169,'Slutlig allokering kvv'!$B$2:$BX$549,MATCH(S$2,'Slutlig allokering kvv'!$B$1:$BX$1,0),FALSE)/1,0))</f>
        <v>0</v>
      </c>
      <c r="T169" s="121">
        <f>IF($D169="","",IFERROR(VLOOKUP($B169,Kraftvärmeprod!$B$1:$BX$549,MATCH(T$2,Kraftvärmeprod!$B$1:$VX$1,0),FALSE)/1,0)-IFERROR(VLOOKUP($B169,'Slutlig allokering kvv'!$B$2:$BX$549,MATCH(T$2,'Slutlig allokering kvv'!$B$1:$BX$1,0),FALSE)/1,0))</f>
        <v>0</v>
      </c>
      <c r="U169" s="121">
        <f>IF($D169="","",IFERROR(VLOOKUP($B169,Kraftvärmeprod!$B$1:$BX$549,MATCH(U$2,Kraftvärmeprod!$B$1:$VX$1,0),FALSE)/1,0)-IFERROR(VLOOKUP($B169,'Slutlig allokering kvv'!$B$2:$BX$549,MATCH(U$2,'Slutlig allokering kvv'!$B$1:$BX$1,0),FALSE)/1,0))</f>
        <v>0</v>
      </c>
      <c r="V169" s="121">
        <f>IF($D169="","",IFERROR(VLOOKUP($B169,Kraftvärmeprod!$B$1:$BX$549,MATCH(V$2,Kraftvärmeprod!$B$1:$VX$1,0),FALSE)/1,0)-IFERROR(VLOOKUP($B169,'Slutlig allokering kvv'!$B$2:$BX$549,MATCH(V$2,'Slutlig allokering kvv'!$B$1:$BX$1,0),FALSE)/1,0))</f>
        <v>0</v>
      </c>
      <c r="W169" s="121">
        <f>IF($D169="","",IFERROR(VLOOKUP($B169,Kraftvärmeprod!$B$1:$BX$549,MATCH(W$2,Kraftvärmeprod!$B$1:$VX$1,0),FALSE)/1,0)-IFERROR(VLOOKUP($B169,'Slutlig allokering kvv'!$B$2:$BX$549,MATCH(W$2,'Slutlig allokering kvv'!$B$1:$BX$1,0),FALSE)/1,0))</f>
        <v>0</v>
      </c>
      <c r="X169" s="121">
        <f>IF($D169="","",IFERROR(VLOOKUP($B169,Kraftvärmeprod!$B$1:$BX$549,MATCH(X$2,Kraftvärmeprod!$B$1:$VX$1,0),FALSE)/1,0)-IFERROR(VLOOKUP($B169,'Slutlig allokering kvv'!$B$2:$BX$549,MATCH(X$2,'Slutlig allokering kvv'!$B$1:$BX$1,0),FALSE)/1,0))</f>
        <v>0</v>
      </c>
      <c r="Y169" s="121">
        <f>IF($D169="","",IFERROR(VLOOKUP($B169,Kraftvärmeprod!$B$1:$BX$549,MATCH(Y$2,Kraftvärmeprod!$B$1:$VX$1,0),FALSE)/1,0)-IFERROR(VLOOKUP($B169,'Slutlig allokering kvv'!$B$2:$BX$549,MATCH(Y$2,'Slutlig allokering kvv'!$B$1:$BX$1,0),FALSE)/1,0))</f>
        <v>0</v>
      </c>
      <c r="Z169" s="121">
        <f>IF($D169="","",IFERROR(VLOOKUP($B169,Kraftvärmeprod!$B$1:$BX$549,MATCH(Z$2,Kraftvärmeprod!$B$1:$VX$1,0),FALSE)/1,0)-IFERROR(VLOOKUP($B169,'Slutlig allokering kvv'!$B$2:$BX$549,MATCH(Z$2,'Slutlig allokering kvv'!$B$1:$BX$1,0),FALSE)/1,0))</f>
        <v>0</v>
      </c>
      <c r="AA169" s="121">
        <f>IF($D169="","",IFERROR(VLOOKUP($B169,Kraftvärmeprod!$B$1:$BX$549,MATCH(AA$2,Kraftvärmeprod!$B$1:$VX$1,0),FALSE)/1,0)-IFERROR(VLOOKUP($B169,'Slutlig allokering kvv'!$B$2:$BX$549,MATCH(AA$2,'Slutlig allokering kvv'!$B$1:$BX$1,0),FALSE)/1,0))</f>
        <v>0</v>
      </c>
      <c r="AB169" s="121">
        <f>IF($D169="","",IFERROR(VLOOKUP($B169,Kraftvärmeprod!$B$1:$BX$549,MATCH(AB$2,Kraftvärmeprod!$B$1:$VX$1,0),FALSE)/1,0)-IFERROR(VLOOKUP($B169,'Slutlig allokering kvv'!$B$2:$BX$549,MATCH(AB$2,'Slutlig allokering kvv'!$B$1:$BX$1,0),FALSE)/1,0))</f>
        <v>0</v>
      </c>
      <c r="AC169" s="121">
        <f>IF($D169="","",IFERROR(VLOOKUP($B169,Kraftvärmeprod!$B$1:$BX$549,MATCH(AC$2,Kraftvärmeprod!$B$1:$VX$1,0),FALSE)/1,0)-IFERROR(VLOOKUP($B169,'Slutlig allokering kvv'!$B$2:$BX$549,MATCH(AC$2,'Slutlig allokering kvv'!$B$1:$BX$1,0),FALSE)/1,0))</f>
        <v>0</v>
      </c>
      <c r="AD169" s="121">
        <f>IF($D169="","",IFERROR(VLOOKUP($B169,Kraftvärmeprod!$B$1:$BX$549,MATCH(AD$2,Kraftvärmeprod!$B$1:$VX$1,0),FALSE)/1,0)-IFERROR(VLOOKUP($B169,'Slutlig allokering kvv'!$B$2:$BX$549,MATCH(AD$2,'Slutlig allokering kvv'!$B$1:$BX$1,0),FALSE)/1,0))</f>
        <v>0</v>
      </c>
      <c r="AE169" s="121">
        <f>IF($D169="","",IFERROR(VLOOKUP($B169,Miljö!$B$1:$E$550,MATCH("Hjälpel kraftvärme (GWh)",Miljö!$B$1:$E$1,0),FALSE)/1,0)-IFERROR(VLOOKUP($B169,'Slutlig allokering kvv'!$B$2:$BX$549,MATCH(AE$2,'Slutlig allokering kvv'!$B$1:$BX$1,0),FALSE)/1,0))</f>
        <v>2.46583</v>
      </c>
      <c r="AI169" s="121">
        <f t="shared" si="8"/>
        <v>76.7251397</v>
      </c>
      <c r="AK169" s="121">
        <f>IFERROR(VLOOKUP($B169,'Slutlig allokering kvv'!$B$2:$AX$549,MATCH("Summa slutlig allokerad tillförd energi (utan hjälpel och rökgaskondensering):",'Slutlig allokering kvv'!$B$1:$AX$1,0),FALSE)/1,"")</f>
        <v>85.074860299999983</v>
      </c>
      <c r="AM169" s="172">
        <f>IFERROR(1-VLOOKUP($B169,'Slutlig allokering kvv'!$B$2:$AX$549,MATCH("Andel av bränsle i kvv som allokerats till värme, exklusive rökgaskondensering och hjälpel",'Slutlig allokering kvv'!$B$1:$AX$1,0),FALSE),"")</f>
        <v>0.47419740234857854</v>
      </c>
      <c r="AO169" s="172">
        <f t="shared" si="9"/>
        <v>0.47419740234857854</v>
      </c>
      <c r="AP169" s="173">
        <f t="shared" si="10"/>
        <v>0</v>
      </c>
      <c r="AR169" s="172">
        <f t="shared" si="11"/>
        <v>0.42176526094489786</v>
      </c>
    </row>
    <row r="170" spans="1:44" x14ac:dyDescent="0.25">
      <c r="A170" s="171" t="str">
        <f>'Miljövärden för publ företag'!B172</f>
        <v>Mullsjö Energi &amp; Miljö AB</v>
      </c>
      <c r="B170" s="171" t="str">
        <f>'Miljövärden för publ företag'!C172</f>
        <v>Mullsjö</v>
      </c>
      <c r="C170" s="121" t="str">
        <f>IFERROR(VLOOKUP($B170,Kraftvärmeprod!$B$1:$AH$478,MATCH(C$2,Kraftvärmeprod!$B$1:$AG$1,0),FALSE)/1,"")</f>
        <v/>
      </c>
      <c r="D170" s="121" t="str">
        <f>IFERROR(VLOOKUP($B170,Kraftvärmeprod!$B$1:$AH$478,MATCH(D$2,Kraftvärmeprod!$B$1:$AG$1,0),FALSE)/1,"")</f>
        <v/>
      </c>
      <c r="F170" s="121" t="str">
        <f>IF($D170="","",IFERROR(VLOOKUP($B170,Kraftvärmeprod!$B$1:$BX$549,MATCH(F$2,Kraftvärmeprod!$B$1:$VX$1,0),FALSE)/1,0)-IFERROR(VLOOKUP($B170,'Slutlig allokering kvv'!$B$2:$BX$549,MATCH(F$2,'Slutlig allokering kvv'!$B$1:$BX$1,0),FALSE)/1,0))</f>
        <v/>
      </c>
      <c r="G170" s="121" t="str">
        <f>IF($D170="","",IFERROR(VLOOKUP($B170,Kraftvärmeprod!$B$1:$BX$549,MATCH(G$2,Kraftvärmeprod!$B$1:$VX$1,0),FALSE)/1,0)-IFERROR(VLOOKUP($B170,'Slutlig allokering kvv'!$B$2:$BX$549,MATCH(G$2,'Slutlig allokering kvv'!$B$1:$BX$1,0),FALSE)/1,0))</f>
        <v/>
      </c>
      <c r="H170" s="121" t="str">
        <f>IF($D170="","",IFERROR(VLOOKUP($B170,Kraftvärmeprod!$B$1:$BX$549,MATCH(H$2,Kraftvärmeprod!$B$1:$VX$1,0),FALSE)/1,0)-IFERROR(VLOOKUP($B170,'Slutlig allokering kvv'!$B$2:$BX$549,MATCH(H$2,'Slutlig allokering kvv'!$B$1:$BX$1,0),FALSE)/1,0))</f>
        <v/>
      </c>
      <c r="I170" s="121" t="str">
        <f>IF($D170="","",IFERROR(VLOOKUP($B170,Kraftvärmeprod!$B$1:$BX$549,MATCH(I$2,Kraftvärmeprod!$B$1:$VX$1,0),FALSE)/1,0)-IFERROR(VLOOKUP($B170,'Slutlig allokering kvv'!$B$2:$BX$549,MATCH(I$2,'Slutlig allokering kvv'!$B$1:$BX$1,0),FALSE)/1,0))</f>
        <v/>
      </c>
      <c r="J170" s="121" t="str">
        <f>IF($D170="","",IFERROR(VLOOKUP($B170,Kraftvärmeprod!$B$1:$BX$549,MATCH(J$2,Kraftvärmeprod!$B$1:$VX$1,0),FALSE)/1,0)-IFERROR(VLOOKUP($B170,'Slutlig allokering kvv'!$B$2:$BX$549,MATCH(J$2,'Slutlig allokering kvv'!$B$1:$BX$1,0),FALSE)/1,0))</f>
        <v/>
      </c>
      <c r="K170" s="121" t="str">
        <f>IF($D170="","",IFERROR(VLOOKUP($B170,Kraftvärmeprod!$B$1:$BX$549,MATCH(K$2,Kraftvärmeprod!$B$1:$VX$1,0),FALSE)/1,0)-IFERROR(VLOOKUP($B170,'Slutlig allokering kvv'!$B$2:$BX$549,MATCH(K$2,'Slutlig allokering kvv'!$B$1:$BX$1,0),FALSE)/1,0))</f>
        <v/>
      </c>
      <c r="L170" s="121" t="str">
        <f>IF($D170="","",IFERROR(VLOOKUP($B170,Kraftvärmeprod!$B$1:$BX$549,MATCH(L$2,Kraftvärmeprod!$B$1:$VX$1,0),FALSE)/1,0)-IFERROR(VLOOKUP($B170,'Slutlig allokering kvv'!$B$2:$BX$549,MATCH(L$2,'Slutlig allokering kvv'!$B$1:$BX$1,0),FALSE)/1,0))</f>
        <v/>
      </c>
      <c r="M170" s="121" t="str">
        <f>IF($D170="","",IFERROR(VLOOKUP($B170,Kraftvärmeprod!$B$1:$BX$549,MATCH(M$2,Kraftvärmeprod!$B$1:$VX$1,0),FALSE)/1,0)-IFERROR(VLOOKUP($B170,'Slutlig allokering kvv'!$B$2:$BX$549,MATCH(M$2,'Slutlig allokering kvv'!$B$1:$BX$1,0),FALSE)/1,0))</f>
        <v/>
      </c>
      <c r="N170" s="121" t="str">
        <f>IF($D170="","",IFERROR(VLOOKUP($B170,Kraftvärmeprod!$B$1:$BX$549,MATCH(N$2,Kraftvärmeprod!$B$1:$VX$1,0),FALSE)/1,0)-IFERROR(VLOOKUP($B170,'Slutlig allokering kvv'!$B$2:$BX$549,MATCH(N$2,'Slutlig allokering kvv'!$B$1:$BX$1,0),FALSE)/1,0))</f>
        <v/>
      </c>
      <c r="O170" s="121" t="str">
        <f>IF($D170="","",IFERROR(VLOOKUP($B170,Kraftvärmeprod!$B$1:$BX$549,MATCH(O$2,Kraftvärmeprod!$B$1:$VX$1,0),FALSE)/1,0)-IFERROR(VLOOKUP($B170,'Slutlig allokering kvv'!$B$2:$BX$549,MATCH(O$2,'Slutlig allokering kvv'!$B$1:$BX$1,0),FALSE)/1,0))</f>
        <v/>
      </c>
      <c r="P170" s="121" t="str">
        <f>IF($D170="","",IFERROR(VLOOKUP($B170,Kraftvärmeprod!$B$1:$BX$549,MATCH(P$2,Kraftvärmeprod!$B$1:$VX$1,0),FALSE)/1,0)-IFERROR(VLOOKUP($B170,'Slutlig allokering kvv'!$B$2:$BX$549,MATCH(P$2,'Slutlig allokering kvv'!$B$1:$BX$1,0),FALSE)/1,0))</f>
        <v/>
      </c>
      <c r="Q170" s="121" t="str">
        <f>IF($D170="","",IFERROR(VLOOKUP($B170,Kraftvärmeprod!$B$1:$BX$549,MATCH(Q$2,Kraftvärmeprod!$B$1:$VX$1,0),FALSE)/1,0)-IFERROR(VLOOKUP($B170,'Slutlig allokering kvv'!$B$2:$BX$549,MATCH(Q$2,'Slutlig allokering kvv'!$B$1:$BX$1,0),FALSE)/1,0))</f>
        <v/>
      </c>
      <c r="R170" s="121" t="str">
        <f>IF($D170="","",IFERROR(VLOOKUP($B170,Kraftvärmeprod!$B$1:$BX$549,MATCH(R$2,Kraftvärmeprod!$B$1:$VX$1,0),FALSE)/1,0)-IFERROR(VLOOKUP($B170,'Slutlig allokering kvv'!$B$2:$BX$549,MATCH(R$2,'Slutlig allokering kvv'!$B$1:$BX$1,0),FALSE)/1,0))</f>
        <v/>
      </c>
      <c r="S170" s="121" t="str">
        <f>IF($D170="","",IFERROR(VLOOKUP($B170,Kraftvärmeprod!$B$1:$BX$549,MATCH(S$2,Kraftvärmeprod!$B$1:$VX$1,0),FALSE)/1,0)-IFERROR(VLOOKUP($B170,'Slutlig allokering kvv'!$B$2:$BX$549,MATCH(S$2,'Slutlig allokering kvv'!$B$1:$BX$1,0),FALSE)/1,0))</f>
        <v/>
      </c>
      <c r="T170" s="121" t="str">
        <f>IF($D170="","",IFERROR(VLOOKUP($B170,Kraftvärmeprod!$B$1:$BX$549,MATCH(T$2,Kraftvärmeprod!$B$1:$VX$1,0),FALSE)/1,0)-IFERROR(VLOOKUP($B170,'Slutlig allokering kvv'!$B$2:$BX$549,MATCH(T$2,'Slutlig allokering kvv'!$B$1:$BX$1,0),FALSE)/1,0))</f>
        <v/>
      </c>
      <c r="U170" s="121" t="str">
        <f>IF($D170="","",IFERROR(VLOOKUP($B170,Kraftvärmeprod!$B$1:$BX$549,MATCH(U$2,Kraftvärmeprod!$B$1:$VX$1,0),FALSE)/1,0)-IFERROR(VLOOKUP($B170,'Slutlig allokering kvv'!$B$2:$BX$549,MATCH(U$2,'Slutlig allokering kvv'!$B$1:$BX$1,0),FALSE)/1,0))</f>
        <v/>
      </c>
      <c r="V170" s="121" t="str">
        <f>IF($D170="","",IFERROR(VLOOKUP($B170,Kraftvärmeprod!$B$1:$BX$549,MATCH(V$2,Kraftvärmeprod!$B$1:$VX$1,0),FALSE)/1,0)-IFERROR(VLOOKUP($B170,'Slutlig allokering kvv'!$B$2:$BX$549,MATCH(V$2,'Slutlig allokering kvv'!$B$1:$BX$1,0),FALSE)/1,0))</f>
        <v/>
      </c>
      <c r="W170" s="121" t="str">
        <f>IF($D170="","",IFERROR(VLOOKUP($B170,Kraftvärmeprod!$B$1:$BX$549,MATCH(W$2,Kraftvärmeprod!$B$1:$VX$1,0),FALSE)/1,0)-IFERROR(VLOOKUP($B170,'Slutlig allokering kvv'!$B$2:$BX$549,MATCH(W$2,'Slutlig allokering kvv'!$B$1:$BX$1,0),FALSE)/1,0))</f>
        <v/>
      </c>
      <c r="X170" s="121" t="str">
        <f>IF($D170="","",IFERROR(VLOOKUP($B170,Kraftvärmeprod!$B$1:$BX$549,MATCH(X$2,Kraftvärmeprod!$B$1:$VX$1,0),FALSE)/1,0)-IFERROR(VLOOKUP($B170,'Slutlig allokering kvv'!$B$2:$BX$549,MATCH(X$2,'Slutlig allokering kvv'!$B$1:$BX$1,0),FALSE)/1,0))</f>
        <v/>
      </c>
      <c r="Y170" s="121" t="str">
        <f>IF($D170="","",IFERROR(VLOOKUP($B170,Kraftvärmeprod!$B$1:$BX$549,MATCH(Y$2,Kraftvärmeprod!$B$1:$VX$1,0),FALSE)/1,0)-IFERROR(VLOOKUP($B170,'Slutlig allokering kvv'!$B$2:$BX$549,MATCH(Y$2,'Slutlig allokering kvv'!$B$1:$BX$1,0),FALSE)/1,0))</f>
        <v/>
      </c>
      <c r="Z170" s="121" t="str">
        <f>IF($D170="","",IFERROR(VLOOKUP($B170,Kraftvärmeprod!$B$1:$BX$549,MATCH(Z$2,Kraftvärmeprod!$B$1:$VX$1,0),FALSE)/1,0)-IFERROR(VLOOKUP($B170,'Slutlig allokering kvv'!$B$2:$BX$549,MATCH(Z$2,'Slutlig allokering kvv'!$B$1:$BX$1,0),FALSE)/1,0))</f>
        <v/>
      </c>
      <c r="AA170" s="121" t="str">
        <f>IF($D170="","",IFERROR(VLOOKUP($B170,Kraftvärmeprod!$B$1:$BX$549,MATCH(AA$2,Kraftvärmeprod!$B$1:$VX$1,0),FALSE)/1,0)-IFERROR(VLOOKUP($B170,'Slutlig allokering kvv'!$B$2:$BX$549,MATCH(AA$2,'Slutlig allokering kvv'!$B$1:$BX$1,0),FALSE)/1,0))</f>
        <v/>
      </c>
      <c r="AB170" s="121" t="str">
        <f>IF($D170="","",IFERROR(VLOOKUP($B170,Kraftvärmeprod!$B$1:$BX$549,MATCH(AB$2,Kraftvärmeprod!$B$1:$VX$1,0),FALSE)/1,0)-IFERROR(VLOOKUP($B170,'Slutlig allokering kvv'!$B$2:$BX$549,MATCH(AB$2,'Slutlig allokering kvv'!$B$1:$BX$1,0),FALSE)/1,0))</f>
        <v/>
      </c>
      <c r="AC170" s="121" t="str">
        <f>IF($D170="","",IFERROR(VLOOKUP($B170,Kraftvärmeprod!$B$1:$BX$549,MATCH(AC$2,Kraftvärmeprod!$B$1:$VX$1,0),FALSE)/1,0)-IFERROR(VLOOKUP($B170,'Slutlig allokering kvv'!$B$2:$BX$549,MATCH(AC$2,'Slutlig allokering kvv'!$B$1:$BX$1,0),FALSE)/1,0))</f>
        <v/>
      </c>
      <c r="AD170" s="121" t="str">
        <f>IF($D170="","",IFERROR(VLOOKUP($B170,Kraftvärmeprod!$B$1:$BX$549,MATCH(AD$2,Kraftvärmeprod!$B$1:$VX$1,0),FALSE)/1,0)-IFERROR(VLOOKUP($B170,'Slutlig allokering kvv'!$B$2:$BX$549,MATCH(AD$2,'Slutlig allokering kvv'!$B$1:$BX$1,0),FALSE)/1,0))</f>
        <v/>
      </c>
      <c r="AE170" s="121" t="str">
        <f>IF($D170="","",IFERROR(VLOOKUP($B170,Miljö!$B$1:$E$550,MATCH("Hjälpel kraftvärme (GWh)",Miljö!$B$1:$E$1,0),FALSE)/1,0)-IFERROR(VLOOKUP($B170,'Slutlig allokering kvv'!$B$2:$BX$549,MATCH(AE$2,'Slutlig allokering kvv'!$B$1:$BX$1,0),FALSE)/1,0))</f>
        <v/>
      </c>
      <c r="AI170" s="121">
        <f t="shared" si="8"/>
        <v>0</v>
      </c>
      <c r="AK170" s="121">
        <f>IFERROR(VLOOKUP($B170,'Slutlig allokering kvv'!$B$2:$AX$549,MATCH("Summa slutlig allokerad tillförd energi (utan hjälpel och rökgaskondensering):",'Slutlig allokering kvv'!$B$1:$AX$1,0),FALSE)/1,"")</f>
        <v>0</v>
      </c>
      <c r="AM170" s="172" t="str">
        <f>IFERROR(1-VLOOKUP($B170,'Slutlig allokering kvv'!$B$2:$AX$549,MATCH("Andel av bränsle i kvv som allokerats till värme, exklusive rökgaskondensering och hjälpel",'Slutlig allokering kvv'!$B$1:$AX$1,0),FALSE),"")</f>
        <v/>
      </c>
      <c r="AO170" s="172" t="str">
        <f t="shared" si="9"/>
        <v/>
      </c>
      <c r="AP170" s="173" t="str">
        <f t="shared" si="10"/>
        <v/>
      </c>
      <c r="AR170" s="172" t="str">
        <f t="shared" si="11"/>
        <v/>
      </c>
    </row>
    <row r="171" spans="1:44" x14ac:dyDescent="0.25">
      <c r="A171" s="171" t="str">
        <f>'Miljövärden för publ företag'!B173</f>
        <v>Mälarenergi AB</v>
      </c>
      <c r="B171" s="171" t="str">
        <f>'Miljövärden för publ företag'!C173</f>
        <v>Kungsör</v>
      </c>
      <c r="C171" s="121" t="str">
        <f>IFERROR(VLOOKUP($B171,Kraftvärmeprod!$B$1:$AH$478,MATCH(C$2,Kraftvärmeprod!$B$1:$AG$1,0),FALSE)/1,"")</f>
        <v/>
      </c>
      <c r="D171" s="121" t="str">
        <f>IFERROR(VLOOKUP($B171,Kraftvärmeprod!$B$1:$AH$478,MATCH(D$2,Kraftvärmeprod!$B$1:$AG$1,0),FALSE)/1,"")</f>
        <v/>
      </c>
      <c r="F171" s="121" t="str">
        <f>IF($D171="","",IFERROR(VLOOKUP($B171,Kraftvärmeprod!$B$1:$BX$549,MATCH(F$2,Kraftvärmeprod!$B$1:$VX$1,0),FALSE)/1,0)-IFERROR(VLOOKUP($B171,'Slutlig allokering kvv'!$B$2:$BX$549,MATCH(F$2,'Slutlig allokering kvv'!$B$1:$BX$1,0),FALSE)/1,0))</f>
        <v/>
      </c>
      <c r="G171" s="121" t="str">
        <f>IF($D171="","",IFERROR(VLOOKUP($B171,Kraftvärmeprod!$B$1:$BX$549,MATCH(G$2,Kraftvärmeprod!$B$1:$VX$1,0),FALSE)/1,0)-IFERROR(VLOOKUP($B171,'Slutlig allokering kvv'!$B$2:$BX$549,MATCH(G$2,'Slutlig allokering kvv'!$B$1:$BX$1,0),FALSE)/1,0))</f>
        <v/>
      </c>
      <c r="H171" s="121" t="str">
        <f>IF($D171="","",IFERROR(VLOOKUP($B171,Kraftvärmeprod!$B$1:$BX$549,MATCH(H$2,Kraftvärmeprod!$B$1:$VX$1,0),FALSE)/1,0)-IFERROR(VLOOKUP($B171,'Slutlig allokering kvv'!$B$2:$BX$549,MATCH(H$2,'Slutlig allokering kvv'!$B$1:$BX$1,0),FALSE)/1,0))</f>
        <v/>
      </c>
      <c r="I171" s="121" t="str">
        <f>IF($D171="","",IFERROR(VLOOKUP($B171,Kraftvärmeprod!$B$1:$BX$549,MATCH(I$2,Kraftvärmeprod!$B$1:$VX$1,0),FALSE)/1,0)-IFERROR(VLOOKUP($B171,'Slutlig allokering kvv'!$B$2:$BX$549,MATCH(I$2,'Slutlig allokering kvv'!$B$1:$BX$1,0),FALSE)/1,0))</f>
        <v/>
      </c>
      <c r="J171" s="121" t="str">
        <f>IF($D171="","",IFERROR(VLOOKUP($B171,Kraftvärmeprod!$B$1:$BX$549,MATCH(J$2,Kraftvärmeprod!$B$1:$VX$1,0),FALSE)/1,0)-IFERROR(VLOOKUP($B171,'Slutlig allokering kvv'!$B$2:$BX$549,MATCH(J$2,'Slutlig allokering kvv'!$B$1:$BX$1,0),FALSE)/1,0))</f>
        <v/>
      </c>
      <c r="K171" s="121" t="str">
        <f>IF($D171="","",IFERROR(VLOOKUP($B171,Kraftvärmeprod!$B$1:$BX$549,MATCH(K$2,Kraftvärmeprod!$B$1:$VX$1,0),FALSE)/1,0)-IFERROR(VLOOKUP($B171,'Slutlig allokering kvv'!$B$2:$BX$549,MATCH(K$2,'Slutlig allokering kvv'!$B$1:$BX$1,0),FALSE)/1,0))</f>
        <v/>
      </c>
      <c r="L171" s="121" t="str">
        <f>IF($D171="","",IFERROR(VLOOKUP($B171,Kraftvärmeprod!$B$1:$BX$549,MATCH(L$2,Kraftvärmeprod!$B$1:$VX$1,0),FALSE)/1,0)-IFERROR(VLOOKUP($B171,'Slutlig allokering kvv'!$B$2:$BX$549,MATCH(L$2,'Slutlig allokering kvv'!$B$1:$BX$1,0),FALSE)/1,0))</f>
        <v/>
      </c>
      <c r="M171" s="121" t="str">
        <f>IF($D171="","",IFERROR(VLOOKUP($B171,Kraftvärmeprod!$B$1:$BX$549,MATCH(M$2,Kraftvärmeprod!$B$1:$VX$1,0),FALSE)/1,0)-IFERROR(VLOOKUP($B171,'Slutlig allokering kvv'!$B$2:$BX$549,MATCH(M$2,'Slutlig allokering kvv'!$B$1:$BX$1,0),FALSE)/1,0))</f>
        <v/>
      </c>
      <c r="N171" s="121" t="str">
        <f>IF($D171="","",IFERROR(VLOOKUP($B171,Kraftvärmeprod!$B$1:$BX$549,MATCH(N$2,Kraftvärmeprod!$B$1:$VX$1,0),FALSE)/1,0)-IFERROR(VLOOKUP($B171,'Slutlig allokering kvv'!$B$2:$BX$549,MATCH(N$2,'Slutlig allokering kvv'!$B$1:$BX$1,0),FALSE)/1,0))</f>
        <v/>
      </c>
      <c r="O171" s="121" t="str">
        <f>IF($D171="","",IFERROR(VLOOKUP($B171,Kraftvärmeprod!$B$1:$BX$549,MATCH(O$2,Kraftvärmeprod!$B$1:$VX$1,0),FALSE)/1,0)-IFERROR(VLOOKUP($B171,'Slutlig allokering kvv'!$B$2:$BX$549,MATCH(O$2,'Slutlig allokering kvv'!$B$1:$BX$1,0),FALSE)/1,0))</f>
        <v/>
      </c>
      <c r="P171" s="121" t="str">
        <f>IF($D171="","",IFERROR(VLOOKUP($B171,Kraftvärmeprod!$B$1:$BX$549,MATCH(P$2,Kraftvärmeprod!$B$1:$VX$1,0),FALSE)/1,0)-IFERROR(VLOOKUP($B171,'Slutlig allokering kvv'!$B$2:$BX$549,MATCH(P$2,'Slutlig allokering kvv'!$B$1:$BX$1,0),FALSE)/1,0))</f>
        <v/>
      </c>
      <c r="Q171" s="121" t="str">
        <f>IF($D171="","",IFERROR(VLOOKUP($B171,Kraftvärmeprod!$B$1:$BX$549,MATCH(Q$2,Kraftvärmeprod!$B$1:$VX$1,0),FALSE)/1,0)-IFERROR(VLOOKUP($B171,'Slutlig allokering kvv'!$B$2:$BX$549,MATCH(Q$2,'Slutlig allokering kvv'!$B$1:$BX$1,0),FALSE)/1,0))</f>
        <v/>
      </c>
      <c r="R171" s="121" t="str">
        <f>IF($D171="","",IFERROR(VLOOKUP($B171,Kraftvärmeprod!$B$1:$BX$549,MATCH(R$2,Kraftvärmeprod!$B$1:$VX$1,0),FALSE)/1,0)-IFERROR(VLOOKUP($B171,'Slutlig allokering kvv'!$B$2:$BX$549,MATCH(R$2,'Slutlig allokering kvv'!$B$1:$BX$1,0),FALSE)/1,0))</f>
        <v/>
      </c>
      <c r="S171" s="121" t="str">
        <f>IF($D171="","",IFERROR(VLOOKUP($B171,Kraftvärmeprod!$B$1:$BX$549,MATCH(S$2,Kraftvärmeprod!$B$1:$VX$1,0),FALSE)/1,0)-IFERROR(VLOOKUP($B171,'Slutlig allokering kvv'!$B$2:$BX$549,MATCH(S$2,'Slutlig allokering kvv'!$B$1:$BX$1,0),FALSE)/1,0))</f>
        <v/>
      </c>
      <c r="T171" s="121" t="str">
        <f>IF($D171="","",IFERROR(VLOOKUP($B171,Kraftvärmeprod!$B$1:$BX$549,MATCH(T$2,Kraftvärmeprod!$B$1:$VX$1,0),FALSE)/1,0)-IFERROR(VLOOKUP($B171,'Slutlig allokering kvv'!$B$2:$BX$549,MATCH(T$2,'Slutlig allokering kvv'!$B$1:$BX$1,0),FALSE)/1,0))</f>
        <v/>
      </c>
      <c r="U171" s="121" t="str">
        <f>IF($D171="","",IFERROR(VLOOKUP($B171,Kraftvärmeprod!$B$1:$BX$549,MATCH(U$2,Kraftvärmeprod!$B$1:$VX$1,0),FALSE)/1,0)-IFERROR(VLOOKUP($B171,'Slutlig allokering kvv'!$B$2:$BX$549,MATCH(U$2,'Slutlig allokering kvv'!$B$1:$BX$1,0),FALSE)/1,0))</f>
        <v/>
      </c>
      <c r="V171" s="121" t="str">
        <f>IF($D171="","",IFERROR(VLOOKUP($B171,Kraftvärmeprod!$B$1:$BX$549,MATCH(V$2,Kraftvärmeprod!$B$1:$VX$1,0),FALSE)/1,0)-IFERROR(VLOOKUP($B171,'Slutlig allokering kvv'!$B$2:$BX$549,MATCH(V$2,'Slutlig allokering kvv'!$B$1:$BX$1,0),FALSE)/1,0))</f>
        <v/>
      </c>
      <c r="W171" s="121" t="str">
        <f>IF($D171="","",IFERROR(VLOOKUP($B171,Kraftvärmeprod!$B$1:$BX$549,MATCH(W$2,Kraftvärmeprod!$B$1:$VX$1,0),FALSE)/1,0)-IFERROR(VLOOKUP($B171,'Slutlig allokering kvv'!$B$2:$BX$549,MATCH(W$2,'Slutlig allokering kvv'!$B$1:$BX$1,0),FALSE)/1,0))</f>
        <v/>
      </c>
      <c r="X171" s="121" t="str">
        <f>IF($D171="","",IFERROR(VLOOKUP($B171,Kraftvärmeprod!$B$1:$BX$549,MATCH(X$2,Kraftvärmeprod!$B$1:$VX$1,0),FALSE)/1,0)-IFERROR(VLOOKUP($B171,'Slutlig allokering kvv'!$B$2:$BX$549,MATCH(X$2,'Slutlig allokering kvv'!$B$1:$BX$1,0),FALSE)/1,0))</f>
        <v/>
      </c>
      <c r="Y171" s="121" t="str">
        <f>IF($D171="","",IFERROR(VLOOKUP($B171,Kraftvärmeprod!$B$1:$BX$549,MATCH(Y$2,Kraftvärmeprod!$B$1:$VX$1,0),FALSE)/1,0)-IFERROR(VLOOKUP($B171,'Slutlig allokering kvv'!$B$2:$BX$549,MATCH(Y$2,'Slutlig allokering kvv'!$B$1:$BX$1,0),FALSE)/1,0))</f>
        <v/>
      </c>
      <c r="Z171" s="121" t="str">
        <f>IF($D171="","",IFERROR(VLOOKUP($B171,Kraftvärmeprod!$B$1:$BX$549,MATCH(Z$2,Kraftvärmeprod!$B$1:$VX$1,0),FALSE)/1,0)-IFERROR(VLOOKUP($B171,'Slutlig allokering kvv'!$B$2:$BX$549,MATCH(Z$2,'Slutlig allokering kvv'!$B$1:$BX$1,0),FALSE)/1,0))</f>
        <v/>
      </c>
      <c r="AA171" s="121" t="str">
        <f>IF($D171="","",IFERROR(VLOOKUP($B171,Kraftvärmeprod!$B$1:$BX$549,MATCH(AA$2,Kraftvärmeprod!$B$1:$VX$1,0),FALSE)/1,0)-IFERROR(VLOOKUP($B171,'Slutlig allokering kvv'!$B$2:$BX$549,MATCH(AA$2,'Slutlig allokering kvv'!$B$1:$BX$1,0),FALSE)/1,0))</f>
        <v/>
      </c>
      <c r="AB171" s="121" t="str">
        <f>IF($D171="","",IFERROR(VLOOKUP($B171,Kraftvärmeprod!$B$1:$BX$549,MATCH(AB$2,Kraftvärmeprod!$B$1:$VX$1,0),FALSE)/1,0)-IFERROR(VLOOKUP($B171,'Slutlig allokering kvv'!$B$2:$BX$549,MATCH(AB$2,'Slutlig allokering kvv'!$B$1:$BX$1,0),FALSE)/1,0))</f>
        <v/>
      </c>
      <c r="AC171" s="121" t="str">
        <f>IF($D171="","",IFERROR(VLOOKUP($B171,Kraftvärmeprod!$B$1:$BX$549,MATCH(AC$2,Kraftvärmeprod!$B$1:$VX$1,0),FALSE)/1,0)-IFERROR(VLOOKUP($B171,'Slutlig allokering kvv'!$B$2:$BX$549,MATCH(AC$2,'Slutlig allokering kvv'!$B$1:$BX$1,0),FALSE)/1,0))</f>
        <v/>
      </c>
      <c r="AD171" s="121" t="str">
        <f>IF($D171="","",IFERROR(VLOOKUP($B171,Kraftvärmeprod!$B$1:$BX$549,MATCH(AD$2,Kraftvärmeprod!$B$1:$VX$1,0),FALSE)/1,0)-IFERROR(VLOOKUP($B171,'Slutlig allokering kvv'!$B$2:$BX$549,MATCH(AD$2,'Slutlig allokering kvv'!$B$1:$BX$1,0),FALSE)/1,0))</f>
        <v/>
      </c>
      <c r="AE171" s="121" t="str">
        <f>IF($D171="","",IFERROR(VLOOKUP($B171,Miljö!$B$1:$E$550,MATCH("Hjälpel kraftvärme (GWh)",Miljö!$B$1:$E$1,0),FALSE)/1,0)-IFERROR(VLOOKUP($B171,'Slutlig allokering kvv'!$B$2:$BX$549,MATCH(AE$2,'Slutlig allokering kvv'!$B$1:$BX$1,0),FALSE)/1,0))</f>
        <v/>
      </c>
      <c r="AI171" s="121">
        <f t="shared" si="8"/>
        <v>0</v>
      </c>
      <c r="AK171" s="121">
        <f>IFERROR(VLOOKUP($B171,'Slutlig allokering kvv'!$B$2:$AX$549,MATCH("Summa slutlig allokerad tillförd energi (utan hjälpel och rökgaskondensering):",'Slutlig allokering kvv'!$B$1:$AX$1,0),FALSE)/1,"")</f>
        <v>0</v>
      </c>
      <c r="AM171" s="172" t="str">
        <f>IFERROR(1-VLOOKUP($B171,'Slutlig allokering kvv'!$B$2:$AX$549,MATCH("Andel av bränsle i kvv som allokerats till värme, exklusive rökgaskondensering och hjälpel",'Slutlig allokering kvv'!$B$1:$AX$1,0),FALSE),"")</f>
        <v/>
      </c>
      <c r="AO171" s="172" t="str">
        <f t="shared" si="9"/>
        <v/>
      </c>
      <c r="AP171" s="173" t="str">
        <f t="shared" si="10"/>
        <v/>
      </c>
      <c r="AR171" s="172" t="str">
        <f t="shared" si="11"/>
        <v/>
      </c>
    </row>
    <row r="172" spans="1:44" x14ac:dyDescent="0.25">
      <c r="A172" s="171" t="str">
        <f>'Miljövärden för publ företag'!B174</f>
        <v>Mälarenergi AB</v>
      </c>
      <c r="B172" s="171" t="str">
        <f>'Miljövärden för publ företag'!C174</f>
        <v>Västerås</v>
      </c>
      <c r="C172" s="121">
        <f>IFERROR(VLOOKUP($B172,Kraftvärmeprod!$B$1:$AH$478,MATCH(C$2,Kraftvärmeprod!$B$1:$AG$1,0),FALSE)/1,"")</f>
        <v>860.88</v>
      </c>
      <c r="D172" s="121">
        <f>IFERROR(VLOOKUP($B172,Kraftvärmeprod!$B$1:$AH$478,MATCH(D$2,Kraftvärmeprod!$B$1:$AG$1,0),FALSE)/1,"")</f>
        <v>341.96</v>
      </c>
      <c r="F172" s="121">
        <f>IF($D172="","",IFERROR(VLOOKUP($B172,Kraftvärmeprod!$B$1:$BX$549,MATCH(F$2,Kraftvärmeprod!$B$1:$VX$1,0),FALSE)/1,0)-IFERROR(VLOOKUP($B172,'Slutlig allokering kvv'!$B$2:$BX$549,MATCH(F$2,'Slutlig allokering kvv'!$B$1:$BX$1,0),FALSE)/1,0))</f>
        <v>59.699999999999989</v>
      </c>
      <c r="G172" s="121">
        <f>IF($D172="","",IFERROR(VLOOKUP($B172,Kraftvärmeprod!$B$1:$BX$549,MATCH(G$2,Kraftvärmeprod!$B$1:$VX$1,0),FALSE)/1,0)-IFERROR(VLOOKUP($B172,'Slutlig allokering kvv'!$B$2:$BX$549,MATCH(G$2,'Slutlig allokering kvv'!$B$1:$BX$1,0),FALSE)/1,0))</f>
        <v>2.1652000000000005</v>
      </c>
      <c r="H172" s="121">
        <f>IF($D172="","",IFERROR(VLOOKUP($B172,Kraftvärmeprod!$B$1:$BX$549,MATCH(H$2,Kraftvärmeprod!$B$1:$VX$1,0),FALSE)/1,0)-IFERROR(VLOOKUP($B172,'Slutlig allokering kvv'!$B$2:$BX$549,MATCH(H$2,'Slutlig allokering kvv'!$B$1:$BX$1,0),FALSE)/1,0))</f>
        <v>0</v>
      </c>
      <c r="I172" s="121">
        <f>IF($D172="","",IFERROR(VLOOKUP($B172,Kraftvärmeprod!$B$1:$BX$549,MATCH(I$2,Kraftvärmeprod!$B$1:$VX$1,0),FALSE)/1,0)-IFERROR(VLOOKUP($B172,'Slutlig allokering kvv'!$B$2:$BX$549,MATCH(I$2,'Slutlig allokering kvv'!$B$1:$BX$1,0),FALSE)/1,0))</f>
        <v>0</v>
      </c>
      <c r="J172" s="121">
        <f>IF($D172="","",IFERROR(VLOOKUP($B172,Kraftvärmeprod!$B$1:$BX$549,MATCH(J$2,Kraftvärmeprod!$B$1:$VX$1,0),FALSE)/1,0)-IFERROR(VLOOKUP($B172,'Slutlig allokering kvv'!$B$2:$BX$549,MATCH(J$2,'Slutlig allokering kvv'!$B$1:$BX$1,0),FALSE)/1,0))</f>
        <v>0</v>
      </c>
      <c r="K172" s="121">
        <f>IF($D172="","",IFERROR(VLOOKUP($B172,Kraftvärmeprod!$B$1:$BX$549,MATCH(K$2,Kraftvärmeprod!$B$1:$VX$1,0),FALSE)/1,0)-IFERROR(VLOOKUP($B172,'Slutlig allokering kvv'!$B$2:$BX$549,MATCH(K$2,'Slutlig allokering kvv'!$B$1:$BX$1,0),FALSE)/1,0))</f>
        <v>0</v>
      </c>
      <c r="L172" s="121">
        <f>IF($D172="","",IFERROR(VLOOKUP($B172,Kraftvärmeprod!$B$1:$BX$549,MATCH(L$2,Kraftvärmeprod!$B$1:$VX$1,0),FALSE)/1,0)-IFERROR(VLOOKUP($B172,'Slutlig allokering kvv'!$B$2:$BX$549,MATCH(L$2,'Slutlig allokering kvv'!$B$1:$BX$1,0),FALSE)/1,0))</f>
        <v>6.4597799999999994</v>
      </c>
      <c r="M172" s="121">
        <f>IF($D172="","",IFERROR(VLOOKUP($B172,Kraftvärmeprod!$B$1:$BX$549,MATCH(M$2,Kraftvärmeprod!$B$1:$VX$1,0),FALSE)/1,0)-IFERROR(VLOOKUP($B172,'Slutlig allokering kvv'!$B$2:$BX$549,MATCH(M$2,'Slutlig allokering kvv'!$B$1:$BX$1,0),FALSE)/1,0))</f>
        <v>3.5910199999999994</v>
      </c>
      <c r="N172" s="121">
        <f>IF($D172="","",IFERROR(VLOOKUP($B172,Kraftvärmeprod!$B$1:$BX$549,MATCH(N$2,Kraftvärmeprod!$B$1:$VX$1,0),FALSE)/1,0)-IFERROR(VLOOKUP($B172,'Slutlig allokering kvv'!$B$2:$BX$549,MATCH(N$2,'Slutlig allokering kvv'!$B$1:$BX$1,0),FALSE)/1,0))</f>
        <v>9.5</v>
      </c>
      <c r="O172" s="121">
        <f>IF($D172="","",IFERROR(VLOOKUP($B172,Kraftvärmeprod!$B$1:$BX$549,MATCH(O$2,Kraftvärmeprod!$B$1:$VX$1,0),FALSE)/1,0)-IFERROR(VLOOKUP($B172,'Slutlig allokering kvv'!$B$2:$BX$549,MATCH(O$2,'Slutlig allokering kvv'!$B$1:$BX$1,0),FALSE)/1,0))</f>
        <v>6.4699500000000008</v>
      </c>
      <c r="P172" s="121">
        <f>IF($D172="","",IFERROR(VLOOKUP($B172,Kraftvärmeprod!$B$1:$BX$549,MATCH(P$2,Kraftvärmeprod!$B$1:$VX$1,0),FALSE)/1,0)-IFERROR(VLOOKUP($B172,'Slutlig allokering kvv'!$B$2:$BX$549,MATCH(P$2,'Slutlig allokering kvv'!$B$1:$BX$1,0),FALSE)/1,0))</f>
        <v>0.33021499999999998</v>
      </c>
      <c r="Q172" s="121">
        <f>IF($D172="","",IFERROR(VLOOKUP($B172,Kraftvärmeprod!$B$1:$BX$549,MATCH(Q$2,Kraftvärmeprod!$B$1:$VX$1,0),FALSE)/1,0)-IFERROR(VLOOKUP($B172,'Slutlig allokering kvv'!$B$2:$BX$549,MATCH(Q$2,'Slutlig allokering kvv'!$B$1:$BX$1,0),FALSE)/1,0))</f>
        <v>0</v>
      </c>
      <c r="R172" s="121">
        <f>IF($D172="","",IFERROR(VLOOKUP($B172,Kraftvärmeprod!$B$1:$BX$549,MATCH(R$2,Kraftvärmeprod!$B$1:$VX$1,0),FALSE)/1,0)-IFERROR(VLOOKUP($B172,'Slutlig allokering kvv'!$B$2:$BX$549,MATCH(R$2,'Slutlig allokering kvv'!$B$1:$BX$1,0),FALSE)/1,0))</f>
        <v>0</v>
      </c>
      <c r="S172" s="121">
        <f>IF($D172="","",IFERROR(VLOOKUP($B172,Kraftvärmeprod!$B$1:$BX$549,MATCH(S$2,Kraftvärmeprod!$B$1:$VX$1,0),FALSE)/1,0)-IFERROR(VLOOKUP($B172,'Slutlig allokering kvv'!$B$2:$BX$549,MATCH(S$2,'Slutlig allokering kvv'!$B$1:$BX$1,0),FALSE)/1,0))</f>
        <v>0</v>
      </c>
      <c r="T172" s="121">
        <f>IF($D172="","",IFERROR(VLOOKUP($B172,Kraftvärmeprod!$B$1:$BX$549,MATCH(T$2,Kraftvärmeprod!$B$1:$VX$1,0),FALSE)/1,0)-IFERROR(VLOOKUP($B172,'Slutlig allokering kvv'!$B$2:$BX$549,MATCH(T$2,'Slutlig allokering kvv'!$B$1:$BX$1,0),FALSE)/1,0))</f>
        <v>0</v>
      </c>
      <c r="U172" s="121">
        <f>IF($D172="","",IFERROR(VLOOKUP($B172,Kraftvärmeprod!$B$1:$BX$549,MATCH(U$2,Kraftvärmeprod!$B$1:$VX$1,0),FALSE)/1,0)-IFERROR(VLOOKUP($B172,'Slutlig allokering kvv'!$B$2:$BX$549,MATCH(U$2,'Slutlig allokering kvv'!$B$1:$BX$1,0),FALSE)/1,0))</f>
        <v>0</v>
      </c>
      <c r="V172" s="121">
        <f>IF($D172="","",IFERROR(VLOOKUP($B172,Kraftvärmeprod!$B$1:$BX$549,MATCH(V$2,Kraftvärmeprod!$B$1:$VX$1,0),FALSE)/1,0)-IFERROR(VLOOKUP($B172,'Slutlig allokering kvv'!$B$2:$BX$549,MATCH(V$2,'Slutlig allokering kvv'!$B$1:$BX$1,0),FALSE)/1,0))</f>
        <v>36.700000000000003</v>
      </c>
      <c r="W172" s="121">
        <f>IF($D172="","",IFERROR(VLOOKUP($B172,Kraftvärmeprod!$B$1:$BX$549,MATCH(W$2,Kraftvärmeprod!$B$1:$VX$1,0),FALSE)/1,0)-IFERROR(VLOOKUP($B172,'Slutlig allokering kvv'!$B$2:$BX$549,MATCH(W$2,'Slutlig allokering kvv'!$B$1:$BX$1,0),FALSE)/1,0))</f>
        <v>1.0500000000000003</v>
      </c>
      <c r="X172" s="121">
        <f>IF($D172="","",IFERROR(VLOOKUP($B172,Kraftvärmeprod!$B$1:$BX$549,MATCH(X$2,Kraftvärmeprod!$B$1:$VX$1,0),FALSE)/1,0)-IFERROR(VLOOKUP($B172,'Slutlig allokering kvv'!$B$2:$BX$549,MATCH(X$2,'Slutlig allokering kvv'!$B$1:$BX$1,0),FALSE)/1,0))</f>
        <v>0</v>
      </c>
      <c r="Y172" s="121">
        <f>IF($D172="","",IFERROR(VLOOKUP($B172,Kraftvärmeprod!$B$1:$BX$549,MATCH(Y$2,Kraftvärmeprod!$B$1:$VX$1,0),FALSE)/1,0)-IFERROR(VLOOKUP($B172,'Slutlig allokering kvv'!$B$2:$BX$549,MATCH(Y$2,'Slutlig allokering kvv'!$B$1:$BX$1,0),FALSE)/1,0))</f>
        <v>0</v>
      </c>
      <c r="Z172" s="121">
        <f>IF($D172="","",IFERROR(VLOOKUP($B172,Kraftvärmeprod!$B$1:$BX$549,MATCH(Z$2,Kraftvärmeprod!$B$1:$VX$1,0),FALSE)/1,0)-IFERROR(VLOOKUP($B172,'Slutlig allokering kvv'!$B$2:$BX$549,MATCH(Z$2,'Slutlig allokering kvv'!$B$1:$BX$1,0),FALSE)/1,0))</f>
        <v>10.487200000000001</v>
      </c>
      <c r="AA172" s="121">
        <f>IF($D172="","",IFERROR(VLOOKUP($B172,Kraftvärmeprod!$B$1:$BX$549,MATCH(AA$2,Kraftvärmeprod!$B$1:$VX$1,0),FALSE)/1,0)-IFERROR(VLOOKUP($B172,'Slutlig allokering kvv'!$B$2:$BX$549,MATCH(AA$2,'Slutlig allokering kvv'!$B$1:$BX$1,0),FALSE)/1,0))</f>
        <v>556.56999999999994</v>
      </c>
      <c r="AB172" s="121">
        <f>IF($D172="","",IFERROR(VLOOKUP($B172,Kraftvärmeprod!$B$1:$BX$549,MATCH(AB$2,Kraftvärmeprod!$B$1:$VX$1,0),FALSE)/1,0)-IFERROR(VLOOKUP($B172,'Slutlig allokering kvv'!$B$2:$BX$549,MATCH(AB$2,'Slutlig allokering kvv'!$B$1:$BX$1,0),FALSE)/1,0))</f>
        <v>0</v>
      </c>
      <c r="AC172" s="121">
        <f>IF($D172="","",IFERROR(VLOOKUP($B172,Kraftvärmeprod!$B$1:$BX$549,MATCH(AC$2,Kraftvärmeprod!$B$1:$VX$1,0),FALSE)/1,0)-IFERROR(VLOOKUP($B172,'Slutlig allokering kvv'!$B$2:$BX$549,MATCH(AC$2,'Slutlig allokering kvv'!$B$1:$BX$1,0),FALSE)/1,0))</f>
        <v>0</v>
      </c>
      <c r="AD172" s="121">
        <f>IF($D172="","",IFERROR(VLOOKUP($B172,Kraftvärmeprod!$B$1:$BX$549,MATCH(AD$2,Kraftvärmeprod!$B$1:$VX$1,0),FALSE)/1,0)-IFERROR(VLOOKUP($B172,'Slutlig allokering kvv'!$B$2:$BX$549,MATCH(AD$2,'Slutlig allokering kvv'!$B$1:$BX$1,0),FALSE)/1,0))</f>
        <v>0</v>
      </c>
      <c r="AE172" s="121">
        <f>IF($D172="","",IFERROR(VLOOKUP($B172,Miljö!$B$1:$E$550,MATCH("Hjälpel kraftvärme (GWh)",Miljö!$B$1:$E$1,0),FALSE)/1,0)-IFERROR(VLOOKUP($B172,'Slutlig allokering kvv'!$B$2:$BX$549,MATCH(AE$2,'Slutlig allokering kvv'!$B$1:$BX$1,0),FALSE)/1,0))</f>
        <v>46.694400000000009</v>
      </c>
      <c r="AI172" s="121">
        <f t="shared" si="8"/>
        <v>693.0233649999999</v>
      </c>
      <c r="AK172" s="121">
        <f>IFERROR(VLOOKUP($B172,'Slutlig allokering kvv'!$B$2:$AX$549,MATCH("Summa slutlig allokerad tillförd energi (utan hjälpel och rökgaskondensering):",'Slutlig allokering kvv'!$B$1:$AX$1,0),FALSE)/1,"")</f>
        <v>581.87663500000008</v>
      </c>
      <c r="AM172" s="172">
        <f>IFERROR(1-VLOOKUP($B172,'Slutlig allokering kvv'!$B$2:$AX$549,MATCH("Andel av bränsle i kvv som allokerats till värme, exklusive rökgaskondensering och hjälpel",'Slutlig allokering kvv'!$B$1:$AX$1,0),FALSE),"")</f>
        <v>0.54359037179386616</v>
      </c>
      <c r="AO172" s="172">
        <f t="shared" si="9"/>
        <v>0.54359037179386605</v>
      </c>
      <c r="AP172" s="173">
        <f t="shared" si="10"/>
        <v>1.1102230246251565E-16</v>
      </c>
      <c r="AR172" s="172">
        <f t="shared" si="11"/>
        <v>0.46228442276224102</v>
      </c>
    </row>
    <row r="173" spans="1:44" x14ac:dyDescent="0.25">
      <c r="A173" s="171" t="str">
        <f>'Miljövärden för publ företag'!B175</f>
        <v>Mälarenergi AB</v>
      </c>
      <c r="B173" s="171" t="str">
        <f>'Miljövärden för publ företag'!C175</f>
        <v>Västerås Miljömärkt</v>
      </c>
      <c r="C173" s="121">
        <f>IFERROR(VLOOKUP($B173,Kraftvärmeprod!$B$1:$AH$478,MATCH(C$2,Kraftvärmeprod!$B$1:$AG$1,0),FALSE)/1,"")</f>
        <v>38.5565</v>
      </c>
      <c r="D173" s="121">
        <f>IFERROR(VLOOKUP($B173,Kraftvärmeprod!$B$1:$AH$478,MATCH(D$2,Kraftvärmeprod!$B$1:$AG$1,0),FALSE)/1,"")</f>
        <v>15.3155</v>
      </c>
      <c r="F173" s="121">
        <f>IF($D173="","",IFERROR(VLOOKUP($B173,Kraftvärmeprod!$B$1:$BX$549,MATCH(F$2,Kraftvärmeprod!$B$1:$VX$1,0),FALSE)/1,0)-IFERROR(VLOOKUP($B173,'Slutlig allokering kvv'!$B$2:$BX$549,MATCH(F$2,'Slutlig allokering kvv'!$B$1:$BX$1,0),FALSE)/1,0))</f>
        <v>0.55181000000000013</v>
      </c>
      <c r="G173" s="121">
        <f>IF($D173="","",IFERROR(VLOOKUP($B173,Kraftvärmeprod!$B$1:$BX$549,MATCH(G$2,Kraftvärmeprod!$B$1:$VX$1,0),FALSE)/1,0)-IFERROR(VLOOKUP($B173,'Slutlig allokering kvv'!$B$2:$BX$549,MATCH(G$2,'Slutlig allokering kvv'!$B$1:$BX$1,0),FALSE)/1,0))</f>
        <v>2.6116E-2</v>
      </c>
      <c r="H173" s="121">
        <f>IF($D173="","",IFERROR(VLOOKUP($B173,Kraftvärmeprod!$B$1:$BX$549,MATCH(H$2,Kraftvärmeprod!$B$1:$VX$1,0),FALSE)/1,0)-IFERROR(VLOOKUP($B173,'Slutlig allokering kvv'!$B$2:$BX$549,MATCH(H$2,'Slutlig allokering kvv'!$B$1:$BX$1,0),FALSE)/1,0))</f>
        <v>0</v>
      </c>
      <c r="I173" s="121">
        <f>IF($D173="","",IFERROR(VLOOKUP($B173,Kraftvärmeprod!$B$1:$BX$549,MATCH(I$2,Kraftvärmeprod!$B$1:$VX$1,0),FALSE)/1,0)-IFERROR(VLOOKUP($B173,'Slutlig allokering kvv'!$B$2:$BX$549,MATCH(I$2,'Slutlig allokering kvv'!$B$1:$BX$1,0),FALSE)/1,0))</f>
        <v>0</v>
      </c>
      <c r="J173" s="121">
        <f>IF($D173="","",IFERROR(VLOOKUP($B173,Kraftvärmeprod!$B$1:$BX$549,MATCH(J$2,Kraftvärmeprod!$B$1:$VX$1,0),FALSE)/1,0)-IFERROR(VLOOKUP($B173,'Slutlig allokering kvv'!$B$2:$BX$549,MATCH(J$2,'Slutlig allokering kvv'!$B$1:$BX$1,0),FALSE)/1,0))</f>
        <v>0</v>
      </c>
      <c r="K173" s="121">
        <f>IF($D173="","",IFERROR(VLOOKUP($B173,Kraftvärmeprod!$B$1:$BX$549,MATCH(K$2,Kraftvärmeprod!$B$1:$VX$1,0),FALSE)/1,0)-IFERROR(VLOOKUP($B173,'Slutlig allokering kvv'!$B$2:$BX$549,MATCH(K$2,'Slutlig allokering kvv'!$B$1:$BX$1,0),FALSE)/1,0))</f>
        <v>0</v>
      </c>
      <c r="L173" s="121">
        <f>IF($D173="","",IFERROR(VLOOKUP($B173,Kraftvärmeprod!$B$1:$BX$549,MATCH(L$2,Kraftvärmeprod!$B$1:$VX$1,0),FALSE)/1,0)-IFERROR(VLOOKUP($B173,'Slutlig allokering kvv'!$B$2:$BX$549,MATCH(L$2,'Slutlig allokering kvv'!$B$1:$BX$1,0),FALSE)/1,0))</f>
        <v>3.8692599999999997</v>
      </c>
      <c r="M173" s="121">
        <f>IF($D173="","",IFERROR(VLOOKUP($B173,Kraftvärmeprod!$B$1:$BX$549,MATCH(M$2,Kraftvärmeprod!$B$1:$VX$1,0),FALSE)/1,0)-IFERROR(VLOOKUP($B173,'Slutlig allokering kvv'!$B$2:$BX$549,MATCH(M$2,'Slutlig allokering kvv'!$B$1:$BX$1,0),FALSE)/1,0))</f>
        <v>2.1491099999999999</v>
      </c>
      <c r="N173" s="121">
        <f>IF($D173="","",IFERROR(VLOOKUP($B173,Kraftvärmeprod!$B$1:$BX$549,MATCH(N$2,Kraftvärmeprod!$B$1:$VX$1,0),FALSE)/1,0)-IFERROR(VLOOKUP($B173,'Slutlig allokering kvv'!$B$2:$BX$549,MATCH(N$2,'Slutlig allokering kvv'!$B$1:$BX$1,0),FALSE)/1,0))</f>
        <v>5.5801999999999996</v>
      </c>
      <c r="O173" s="121">
        <f>IF($D173="","",IFERROR(VLOOKUP($B173,Kraftvärmeprod!$B$1:$BX$549,MATCH(O$2,Kraftvärmeprod!$B$1:$VX$1,0),FALSE)/1,0)-IFERROR(VLOOKUP($B173,'Slutlig allokering kvv'!$B$2:$BX$549,MATCH(O$2,'Slutlig allokering kvv'!$B$1:$BX$1,0),FALSE)/1,0))</f>
        <v>3.8730099999999998</v>
      </c>
      <c r="P173" s="121">
        <f>IF($D173="","",IFERROR(VLOOKUP($B173,Kraftvärmeprod!$B$1:$BX$549,MATCH(P$2,Kraftvärmeprod!$B$1:$VX$1,0),FALSE)/1,0)-IFERROR(VLOOKUP($B173,'Slutlig allokering kvv'!$B$2:$BX$549,MATCH(P$2,'Slutlig allokering kvv'!$B$1:$BX$1,0),FALSE)/1,0))</f>
        <v>0.19807900000000001</v>
      </c>
      <c r="Q173" s="121">
        <f>IF($D173="","",IFERROR(VLOOKUP($B173,Kraftvärmeprod!$B$1:$BX$549,MATCH(Q$2,Kraftvärmeprod!$B$1:$VX$1,0),FALSE)/1,0)-IFERROR(VLOOKUP($B173,'Slutlig allokering kvv'!$B$2:$BX$549,MATCH(Q$2,'Slutlig allokering kvv'!$B$1:$BX$1,0),FALSE)/1,0))</f>
        <v>0</v>
      </c>
      <c r="R173" s="121">
        <f>IF($D173="","",IFERROR(VLOOKUP($B173,Kraftvärmeprod!$B$1:$BX$549,MATCH(R$2,Kraftvärmeprod!$B$1:$VX$1,0),FALSE)/1,0)-IFERROR(VLOOKUP($B173,'Slutlig allokering kvv'!$B$2:$BX$549,MATCH(R$2,'Slutlig allokering kvv'!$B$1:$BX$1,0),FALSE)/1,0))</f>
        <v>0</v>
      </c>
      <c r="S173" s="121">
        <f>IF($D173="","",IFERROR(VLOOKUP($B173,Kraftvärmeprod!$B$1:$BX$549,MATCH(S$2,Kraftvärmeprod!$B$1:$VX$1,0),FALSE)/1,0)-IFERROR(VLOOKUP($B173,'Slutlig allokering kvv'!$B$2:$BX$549,MATCH(S$2,'Slutlig allokering kvv'!$B$1:$BX$1,0),FALSE)/1,0))</f>
        <v>0</v>
      </c>
      <c r="T173" s="121">
        <f>IF($D173="","",IFERROR(VLOOKUP($B173,Kraftvärmeprod!$B$1:$BX$549,MATCH(T$2,Kraftvärmeprod!$B$1:$VX$1,0),FALSE)/1,0)-IFERROR(VLOOKUP($B173,'Slutlig allokering kvv'!$B$2:$BX$549,MATCH(T$2,'Slutlig allokering kvv'!$B$1:$BX$1,0),FALSE)/1,0))</f>
        <v>0</v>
      </c>
      <c r="U173" s="121">
        <f>IF($D173="","",IFERROR(VLOOKUP($B173,Kraftvärmeprod!$B$1:$BX$549,MATCH(U$2,Kraftvärmeprod!$B$1:$VX$1,0),FALSE)/1,0)-IFERROR(VLOOKUP($B173,'Slutlig allokering kvv'!$B$2:$BX$549,MATCH(U$2,'Slutlig allokering kvv'!$B$1:$BX$1,0),FALSE)/1,0))</f>
        <v>0</v>
      </c>
      <c r="V173" s="121">
        <f>IF($D173="","",IFERROR(VLOOKUP($B173,Kraftvärmeprod!$B$1:$BX$549,MATCH(V$2,Kraftvärmeprod!$B$1:$VX$1,0),FALSE)/1,0)-IFERROR(VLOOKUP($B173,'Slutlig allokering kvv'!$B$2:$BX$549,MATCH(V$2,'Slutlig allokering kvv'!$B$1:$BX$1,0),FALSE)/1,0))</f>
        <v>6.5660299999999996</v>
      </c>
      <c r="W173" s="121">
        <f>IF($D173="","",IFERROR(VLOOKUP($B173,Kraftvärmeprod!$B$1:$BX$549,MATCH(W$2,Kraftvärmeprod!$B$1:$VX$1,0),FALSE)/1,0)-IFERROR(VLOOKUP($B173,'Slutlig allokering kvv'!$B$2:$BX$549,MATCH(W$2,'Slutlig allokering kvv'!$B$1:$BX$1,0),FALSE)/1,0))</f>
        <v>0.309031</v>
      </c>
      <c r="X173" s="121">
        <f>IF($D173="","",IFERROR(VLOOKUP($B173,Kraftvärmeprod!$B$1:$BX$549,MATCH(X$2,Kraftvärmeprod!$B$1:$VX$1,0),FALSE)/1,0)-IFERROR(VLOOKUP($B173,'Slutlig allokering kvv'!$B$2:$BX$549,MATCH(X$2,'Slutlig allokering kvv'!$B$1:$BX$1,0),FALSE)/1,0))</f>
        <v>0</v>
      </c>
      <c r="Y173" s="121">
        <f>IF($D173="","",IFERROR(VLOOKUP($B173,Kraftvärmeprod!$B$1:$BX$549,MATCH(Y$2,Kraftvärmeprod!$B$1:$VX$1,0),FALSE)/1,0)-IFERROR(VLOOKUP($B173,'Slutlig allokering kvv'!$B$2:$BX$549,MATCH(Y$2,'Slutlig allokering kvv'!$B$1:$BX$1,0),FALSE)/1,0))</f>
        <v>0</v>
      </c>
      <c r="Z173" s="121">
        <f>IF($D173="","",IFERROR(VLOOKUP($B173,Kraftvärmeprod!$B$1:$BX$549,MATCH(Z$2,Kraftvärmeprod!$B$1:$VX$1,0),FALSE)/1,0)-IFERROR(VLOOKUP($B173,'Slutlig allokering kvv'!$B$2:$BX$549,MATCH(Z$2,'Slutlig allokering kvv'!$B$1:$BX$1,0),FALSE)/1,0))</f>
        <v>0.30364999999999998</v>
      </c>
      <c r="AA173" s="121">
        <f>IF($D173="","",IFERROR(VLOOKUP($B173,Kraftvärmeprod!$B$1:$BX$549,MATCH(AA$2,Kraftvärmeprod!$B$1:$VX$1,0),FALSE)/1,0)-IFERROR(VLOOKUP($B173,'Slutlig allokering kvv'!$B$2:$BX$549,MATCH(AA$2,'Slutlig allokering kvv'!$B$1:$BX$1,0),FALSE)/1,0))</f>
        <v>12.696139999999998</v>
      </c>
      <c r="AB173" s="121">
        <f>IF($D173="","",IFERROR(VLOOKUP($B173,Kraftvärmeprod!$B$1:$BX$549,MATCH(AB$2,Kraftvärmeprod!$B$1:$VX$1,0),FALSE)/1,0)-IFERROR(VLOOKUP($B173,'Slutlig allokering kvv'!$B$2:$BX$549,MATCH(AB$2,'Slutlig allokering kvv'!$B$1:$BX$1,0),FALSE)/1,0))</f>
        <v>0</v>
      </c>
      <c r="AC173" s="121">
        <f>IF($D173="","",IFERROR(VLOOKUP($B173,Kraftvärmeprod!$B$1:$BX$549,MATCH(AC$2,Kraftvärmeprod!$B$1:$VX$1,0),FALSE)/1,0)-IFERROR(VLOOKUP($B173,'Slutlig allokering kvv'!$B$2:$BX$549,MATCH(AC$2,'Slutlig allokering kvv'!$B$1:$BX$1,0),FALSE)/1,0))</f>
        <v>0</v>
      </c>
      <c r="AD173" s="121">
        <f>IF($D173="","",IFERROR(VLOOKUP($B173,Kraftvärmeprod!$B$1:$BX$549,MATCH(AD$2,Kraftvärmeprod!$B$1:$VX$1,0),FALSE)/1,0)-IFERROR(VLOOKUP($B173,'Slutlig allokering kvv'!$B$2:$BX$549,MATCH(AD$2,'Slutlig allokering kvv'!$B$1:$BX$1,0),FALSE)/1,0))</f>
        <v>0</v>
      </c>
      <c r="AE173" s="121">
        <f>IF($D173="","",IFERROR(VLOOKUP($B173,Miljö!$B$1:$E$550,MATCH("Hjälpel kraftvärme (GWh)",Miljö!$B$1:$E$1,0),FALSE)/1,0)-IFERROR(VLOOKUP($B173,'Slutlig allokering kvv'!$B$2:$BX$549,MATCH(AE$2,'Slutlig allokering kvv'!$B$1:$BX$1,0),FALSE)/1,0))</f>
        <v>1.7009999999999998</v>
      </c>
      <c r="AI173" s="121">
        <f t="shared" si="8"/>
        <v>36.122436</v>
      </c>
      <c r="AK173" s="121">
        <f>IFERROR(VLOOKUP($B173,'Slutlig allokering kvv'!$B$2:$AX$549,MATCH("Summa slutlig allokerad tillförd energi (utan hjälpel och rökgaskondensering):",'Slutlig allokering kvv'!$B$1:$AX$1,0),FALSE)/1,"")</f>
        <v>32.528683999999998</v>
      </c>
      <c r="AM173" s="172">
        <f>IFERROR(1-VLOOKUP($B173,'Slutlig allokering kvv'!$B$2:$AX$549,MATCH("Andel av bränsle i kvv som allokerats till värme, exklusive rökgaskondensering och hjälpel",'Slutlig allokering kvv'!$B$1:$AX$1,0),FALSE),"")</f>
        <v>0.52617402308949945</v>
      </c>
      <c r="AO173" s="172">
        <f t="shared" si="9"/>
        <v>0.52617402308949957</v>
      </c>
      <c r="AP173" s="173">
        <f t="shared" si="10"/>
        <v>-1.1102230246251565E-16</v>
      </c>
      <c r="AR173" s="172">
        <f t="shared" si="11"/>
        <v>0.40492090670979758</v>
      </c>
    </row>
    <row r="174" spans="1:44" x14ac:dyDescent="0.25">
      <c r="A174" s="171" t="str">
        <f>'Miljövärden för publ företag'!B176</f>
        <v>Mölndal Energi AB</v>
      </c>
      <c r="B174" s="171" t="str">
        <f>'Miljövärden för publ företag'!C176</f>
        <v>Mölndal</v>
      </c>
      <c r="C174" s="121">
        <f>IFERROR(VLOOKUP($B174,Kraftvärmeprod!$B$1:$AH$478,MATCH(C$2,Kraftvärmeprod!$B$1:$AG$1,0),FALSE)/1,"")</f>
        <v>216.57400000000001</v>
      </c>
      <c r="D174" s="121">
        <f>IFERROR(VLOOKUP($B174,Kraftvärmeprod!$B$1:$AH$478,MATCH(D$2,Kraftvärmeprod!$B$1:$AG$1,0),FALSE)/1,"")</f>
        <v>97.036000000000001</v>
      </c>
      <c r="F174" s="121">
        <f>IF($D174="","",IFERROR(VLOOKUP($B174,Kraftvärmeprod!$B$1:$BX$549,MATCH(F$2,Kraftvärmeprod!$B$1:$VX$1,0),FALSE)/1,0)-IFERROR(VLOOKUP($B174,'Slutlig allokering kvv'!$B$2:$BX$549,MATCH(F$2,'Slutlig allokering kvv'!$B$1:$BX$1,0),FALSE)/1,0))</f>
        <v>0</v>
      </c>
      <c r="G174" s="121">
        <f>IF($D174="","",IFERROR(VLOOKUP($B174,Kraftvärmeprod!$B$1:$BX$549,MATCH(G$2,Kraftvärmeprod!$B$1:$VX$1,0),FALSE)/1,0)-IFERROR(VLOOKUP($B174,'Slutlig allokering kvv'!$B$2:$BX$549,MATCH(G$2,'Slutlig allokering kvv'!$B$1:$BX$1,0),FALSE)/1,0))</f>
        <v>0.14738000000000001</v>
      </c>
      <c r="H174" s="121">
        <f>IF($D174="","",IFERROR(VLOOKUP($B174,Kraftvärmeprod!$B$1:$BX$549,MATCH(H$2,Kraftvärmeprod!$B$1:$VX$1,0),FALSE)/1,0)-IFERROR(VLOOKUP($B174,'Slutlig allokering kvv'!$B$2:$BX$549,MATCH(H$2,'Slutlig allokering kvv'!$B$1:$BX$1,0),FALSE)/1,0))</f>
        <v>0</v>
      </c>
      <c r="I174" s="121">
        <f>IF($D174="","",IFERROR(VLOOKUP($B174,Kraftvärmeprod!$B$1:$BX$549,MATCH(I$2,Kraftvärmeprod!$B$1:$VX$1,0),FALSE)/1,0)-IFERROR(VLOOKUP($B174,'Slutlig allokering kvv'!$B$2:$BX$549,MATCH(I$2,'Slutlig allokering kvv'!$B$1:$BX$1,0),FALSE)/1,0))</f>
        <v>0</v>
      </c>
      <c r="J174" s="121">
        <f>IF($D174="","",IFERROR(VLOOKUP($B174,Kraftvärmeprod!$B$1:$BX$549,MATCH(J$2,Kraftvärmeprod!$B$1:$VX$1,0),FALSE)/1,0)-IFERROR(VLOOKUP($B174,'Slutlig allokering kvv'!$B$2:$BX$549,MATCH(J$2,'Slutlig allokering kvv'!$B$1:$BX$1,0),FALSE)/1,0))</f>
        <v>0</v>
      </c>
      <c r="K174" s="121">
        <f>IF($D174="","",IFERROR(VLOOKUP($B174,Kraftvärmeprod!$B$1:$BX$549,MATCH(K$2,Kraftvärmeprod!$B$1:$VX$1,0),FALSE)/1,0)-IFERROR(VLOOKUP($B174,'Slutlig allokering kvv'!$B$2:$BX$549,MATCH(K$2,'Slutlig allokering kvv'!$B$1:$BX$1,0),FALSE)/1,0))</f>
        <v>0</v>
      </c>
      <c r="L174" s="121">
        <f>IF($D174="","",IFERROR(VLOOKUP($B174,Kraftvärmeprod!$B$1:$BX$549,MATCH(L$2,Kraftvärmeprod!$B$1:$VX$1,0),FALSE)/1,0)-IFERROR(VLOOKUP($B174,'Slutlig allokering kvv'!$B$2:$BX$549,MATCH(L$2,'Slutlig allokering kvv'!$B$1:$BX$1,0),FALSE)/1,0))</f>
        <v>22.934999999999999</v>
      </c>
      <c r="M174" s="121">
        <f>IF($D174="","",IFERROR(VLOOKUP($B174,Kraftvärmeprod!$B$1:$BX$549,MATCH(M$2,Kraftvärmeprod!$B$1:$VX$1,0),FALSE)/1,0)-IFERROR(VLOOKUP($B174,'Slutlig allokering kvv'!$B$2:$BX$549,MATCH(M$2,'Slutlig allokering kvv'!$B$1:$BX$1,0),FALSE)/1,0))</f>
        <v>98.619700000000009</v>
      </c>
      <c r="N174" s="121">
        <f>IF($D174="","",IFERROR(VLOOKUP($B174,Kraftvärmeprod!$B$1:$BX$549,MATCH(N$2,Kraftvärmeprod!$B$1:$VX$1,0),FALSE)/1,0)-IFERROR(VLOOKUP($B174,'Slutlig allokering kvv'!$B$2:$BX$549,MATCH(N$2,'Slutlig allokering kvv'!$B$1:$BX$1,0),FALSE)/1,0))</f>
        <v>4.6702700000000004</v>
      </c>
      <c r="O174" s="121">
        <f>IF($D174="","",IFERROR(VLOOKUP($B174,Kraftvärmeprod!$B$1:$BX$549,MATCH(O$2,Kraftvärmeprod!$B$1:$VX$1,0),FALSE)/1,0)-IFERROR(VLOOKUP($B174,'Slutlig allokering kvv'!$B$2:$BX$549,MATCH(O$2,'Slutlig allokering kvv'!$B$1:$BX$1,0),FALSE)/1,0))</f>
        <v>0</v>
      </c>
      <c r="P174" s="121">
        <f>IF($D174="","",IFERROR(VLOOKUP($B174,Kraftvärmeprod!$B$1:$BX$549,MATCH(P$2,Kraftvärmeprod!$B$1:$VX$1,0),FALSE)/1,0)-IFERROR(VLOOKUP($B174,'Slutlig allokering kvv'!$B$2:$BX$549,MATCH(P$2,'Slutlig allokering kvv'!$B$1:$BX$1,0),FALSE)/1,0))</f>
        <v>0</v>
      </c>
      <c r="Q174" s="121">
        <f>IF($D174="","",IFERROR(VLOOKUP($B174,Kraftvärmeprod!$B$1:$BX$549,MATCH(Q$2,Kraftvärmeprod!$B$1:$VX$1,0),FALSE)/1,0)-IFERROR(VLOOKUP($B174,'Slutlig allokering kvv'!$B$2:$BX$549,MATCH(Q$2,'Slutlig allokering kvv'!$B$1:$BX$1,0),FALSE)/1,0))</f>
        <v>0</v>
      </c>
      <c r="R174" s="121">
        <f>IF($D174="","",IFERROR(VLOOKUP($B174,Kraftvärmeprod!$B$1:$BX$549,MATCH(R$2,Kraftvärmeprod!$B$1:$VX$1,0),FALSE)/1,0)-IFERROR(VLOOKUP($B174,'Slutlig allokering kvv'!$B$2:$BX$549,MATCH(R$2,'Slutlig allokering kvv'!$B$1:$BX$1,0),FALSE)/1,0))</f>
        <v>0</v>
      </c>
      <c r="S174" s="121">
        <f>IF($D174="","",IFERROR(VLOOKUP($B174,Kraftvärmeprod!$B$1:$BX$549,MATCH(S$2,Kraftvärmeprod!$B$1:$VX$1,0),FALSE)/1,0)-IFERROR(VLOOKUP($B174,'Slutlig allokering kvv'!$B$2:$BX$549,MATCH(S$2,'Slutlig allokering kvv'!$B$1:$BX$1,0),FALSE)/1,0))</f>
        <v>0</v>
      </c>
      <c r="T174" s="121">
        <f>IF($D174="","",IFERROR(VLOOKUP($B174,Kraftvärmeprod!$B$1:$BX$549,MATCH(T$2,Kraftvärmeprod!$B$1:$VX$1,0),FALSE)/1,0)-IFERROR(VLOOKUP($B174,'Slutlig allokering kvv'!$B$2:$BX$549,MATCH(T$2,'Slutlig allokering kvv'!$B$1:$BX$1,0),FALSE)/1,0))</f>
        <v>0</v>
      </c>
      <c r="U174" s="121">
        <f>IF($D174="","",IFERROR(VLOOKUP($B174,Kraftvärmeprod!$B$1:$BX$549,MATCH(U$2,Kraftvärmeprod!$B$1:$VX$1,0),FALSE)/1,0)-IFERROR(VLOOKUP($B174,'Slutlig allokering kvv'!$B$2:$BX$549,MATCH(U$2,'Slutlig allokering kvv'!$B$1:$BX$1,0),FALSE)/1,0))</f>
        <v>0</v>
      </c>
      <c r="V174" s="121">
        <f>IF($D174="","",IFERROR(VLOOKUP($B174,Kraftvärmeprod!$B$1:$BX$549,MATCH(V$2,Kraftvärmeprod!$B$1:$VX$1,0),FALSE)/1,0)-IFERROR(VLOOKUP($B174,'Slutlig allokering kvv'!$B$2:$BX$549,MATCH(V$2,'Slutlig allokering kvv'!$B$1:$BX$1,0),FALSE)/1,0))</f>
        <v>80.654500000000013</v>
      </c>
      <c r="W174" s="121">
        <f>IF($D174="","",IFERROR(VLOOKUP($B174,Kraftvärmeprod!$B$1:$BX$549,MATCH(W$2,Kraftvärmeprod!$B$1:$VX$1,0),FALSE)/1,0)-IFERROR(VLOOKUP($B174,'Slutlig allokering kvv'!$B$2:$BX$549,MATCH(W$2,'Slutlig allokering kvv'!$B$1:$BX$1,0),FALSE)/1,0))</f>
        <v>0</v>
      </c>
      <c r="X174" s="121">
        <f>IF($D174="","",IFERROR(VLOOKUP($B174,Kraftvärmeprod!$B$1:$BX$549,MATCH(X$2,Kraftvärmeprod!$B$1:$VX$1,0),FALSE)/1,0)-IFERROR(VLOOKUP($B174,'Slutlig allokering kvv'!$B$2:$BX$549,MATCH(X$2,'Slutlig allokering kvv'!$B$1:$BX$1,0),FALSE)/1,0))</f>
        <v>0</v>
      </c>
      <c r="Y174" s="121">
        <f>IF($D174="","",IFERROR(VLOOKUP($B174,Kraftvärmeprod!$B$1:$BX$549,MATCH(Y$2,Kraftvärmeprod!$B$1:$VX$1,0),FALSE)/1,0)-IFERROR(VLOOKUP($B174,'Slutlig allokering kvv'!$B$2:$BX$549,MATCH(Y$2,'Slutlig allokering kvv'!$B$1:$BX$1,0),FALSE)/1,0))</f>
        <v>0</v>
      </c>
      <c r="Z174" s="121">
        <f>IF($D174="","",IFERROR(VLOOKUP($B174,Kraftvärmeprod!$B$1:$BX$549,MATCH(Z$2,Kraftvärmeprod!$B$1:$VX$1,0),FALSE)/1,0)-IFERROR(VLOOKUP($B174,'Slutlig allokering kvv'!$B$2:$BX$549,MATCH(Z$2,'Slutlig allokering kvv'!$B$1:$BX$1,0),FALSE)/1,0))</f>
        <v>0</v>
      </c>
      <c r="AA174" s="121">
        <f>IF($D174="","",IFERROR(VLOOKUP($B174,Kraftvärmeprod!$B$1:$BX$549,MATCH(AA$2,Kraftvärmeprod!$B$1:$VX$1,0),FALSE)/1,0)-IFERROR(VLOOKUP($B174,'Slutlig allokering kvv'!$B$2:$BX$549,MATCH(AA$2,'Slutlig allokering kvv'!$B$1:$BX$1,0),FALSE)/1,0))</f>
        <v>0</v>
      </c>
      <c r="AB174" s="121">
        <f>IF($D174="","",IFERROR(VLOOKUP($B174,Kraftvärmeprod!$B$1:$BX$549,MATCH(AB$2,Kraftvärmeprod!$B$1:$VX$1,0),FALSE)/1,0)-IFERROR(VLOOKUP($B174,'Slutlig allokering kvv'!$B$2:$BX$549,MATCH(AB$2,'Slutlig allokering kvv'!$B$1:$BX$1,0),FALSE)/1,0))</f>
        <v>0</v>
      </c>
      <c r="AC174" s="121">
        <f>IF($D174="","",IFERROR(VLOOKUP($B174,Kraftvärmeprod!$B$1:$BX$549,MATCH(AC$2,Kraftvärmeprod!$B$1:$VX$1,0),FALSE)/1,0)-IFERROR(VLOOKUP($B174,'Slutlig allokering kvv'!$B$2:$BX$549,MATCH(AC$2,'Slutlig allokering kvv'!$B$1:$BX$1,0),FALSE)/1,0))</f>
        <v>0</v>
      </c>
      <c r="AD174" s="121">
        <f>IF($D174="","",IFERROR(VLOOKUP($B174,Kraftvärmeprod!$B$1:$BX$549,MATCH(AD$2,Kraftvärmeprod!$B$1:$VX$1,0),FALSE)/1,0)-IFERROR(VLOOKUP($B174,'Slutlig allokering kvv'!$B$2:$BX$549,MATCH(AD$2,'Slutlig allokering kvv'!$B$1:$BX$1,0),FALSE)/1,0))</f>
        <v>0</v>
      </c>
      <c r="AE174" s="121">
        <f>IF($D174="","",IFERROR(VLOOKUP($B174,Miljö!$B$1:$E$550,MATCH("Hjälpel kraftvärme (GWh)",Miljö!$B$1:$E$1,0),FALSE)/1,0)-IFERROR(VLOOKUP($B174,'Slutlig allokering kvv'!$B$2:$BX$549,MATCH(AE$2,'Slutlig allokering kvv'!$B$1:$BX$1,0),FALSE)/1,0))</f>
        <v>8.4617100000000001</v>
      </c>
      <c r="AI174" s="121">
        <f t="shared" si="8"/>
        <v>207.02685000000002</v>
      </c>
      <c r="AK174" s="121">
        <f>IFERROR(VLOOKUP($B174,'Slutlig allokering kvv'!$B$2:$AX$549,MATCH("Summa slutlig allokerad tillförd energi (utan hjälpel och rökgaskondensering):",'Slutlig allokering kvv'!$B$1:$AX$1,0),FALSE)/1,"")</f>
        <v>177.33915000000002</v>
      </c>
      <c r="AM174" s="172">
        <f>IFERROR(1-VLOOKUP($B174,'Slutlig allokering kvv'!$B$2:$AX$549,MATCH("Andel av bränsle i kvv som allokerats till värme, exklusive rökgaskondensering och hjälpel",'Slutlig allokering kvv'!$B$1:$AX$1,0),FALSE),"")</f>
        <v>0.538619050592404</v>
      </c>
      <c r="AO174" s="172">
        <f t="shared" si="9"/>
        <v>0.53861905059240411</v>
      </c>
      <c r="AP174" s="173">
        <f t="shared" si="10"/>
        <v>-1.1102230246251565E-16</v>
      </c>
      <c r="AR174" s="172">
        <f t="shared" si="11"/>
        <v>0.45030696757173555</v>
      </c>
    </row>
    <row r="175" spans="1:44" x14ac:dyDescent="0.25">
      <c r="A175" s="171" t="str">
        <f>'Miljövärden för publ företag'!B177</f>
        <v>Mölndal Energi AB</v>
      </c>
      <c r="B175" s="171" t="str">
        <f>'Miljövärden för publ företag'!C177</f>
        <v>Mölndal Biovärmepaket</v>
      </c>
      <c r="C175" s="121">
        <f>IFERROR(VLOOKUP($B175,Kraftvärmeprod!$B$1:$AH$478,MATCH(C$2,Kraftvärmeprod!$B$1:$AG$1,0),FALSE)/1,"")</f>
        <v>36.906999999999996</v>
      </c>
      <c r="D175" s="121">
        <f>IFERROR(VLOOKUP($B175,Kraftvärmeprod!$B$1:$AH$478,MATCH(D$2,Kraftvärmeprod!$B$1:$AG$1,0),FALSE)/1,"")</f>
        <v>16.536000000000001</v>
      </c>
      <c r="F175" s="121">
        <f>IF($D175="","",IFERROR(VLOOKUP($B175,Kraftvärmeprod!$B$1:$BX$549,MATCH(F$2,Kraftvärmeprod!$B$1:$VX$1,0),FALSE)/1,0)-IFERROR(VLOOKUP($B175,'Slutlig allokering kvv'!$B$2:$BX$549,MATCH(F$2,'Slutlig allokering kvv'!$B$1:$BX$1,0),FALSE)/1,0))</f>
        <v>0</v>
      </c>
      <c r="G175" s="121">
        <f>IF($D175="","",IFERROR(VLOOKUP($B175,Kraftvärmeprod!$B$1:$BX$549,MATCH(G$2,Kraftvärmeprod!$B$1:$VX$1,0),FALSE)/1,0)-IFERROR(VLOOKUP($B175,'Slutlig allokering kvv'!$B$2:$BX$549,MATCH(G$2,'Slutlig allokering kvv'!$B$1:$BX$1,0),FALSE)/1,0))</f>
        <v>0</v>
      </c>
      <c r="H175" s="121">
        <f>IF($D175="","",IFERROR(VLOOKUP($B175,Kraftvärmeprod!$B$1:$BX$549,MATCH(H$2,Kraftvärmeprod!$B$1:$VX$1,0),FALSE)/1,0)-IFERROR(VLOOKUP($B175,'Slutlig allokering kvv'!$B$2:$BX$549,MATCH(H$2,'Slutlig allokering kvv'!$B$1:$BX$1,0),FALSE)/1,0))</f>
        <v>0</v>
      </c>
      <c r="I175" s="121">
        <f>IF($D175="","",IFERROR(VLOOKUP($B175,Kraftvärmeprod!$B$1:$BX$549,MATCH(I$2,Kraftvärmeprod!$B$1:$VX$1,0),FALSE)/1,0)-IFERROR(VLOOKUP($B175,'Slutlig allokering kvv'!$B$2:$BX$549,MATCH(I$2,'Slutlig allokering kvv'!$B$1:$BX$1,0),FALSE)/1,0))</f>
        <v>0</v>
      </c>
      <c r="J175" s="121">
        <f>IF($D175="","",IFERROR(VLOOKUP($B175,Kraftvärmeprod!$B$1:$BX$549,MATCH(J$2,Kraftvärmeprod!$B$1:$VX$1,0),FALSE)/1,0)-IFERROR(VLOOKUP($B175,'Slutlig allokering kvv'!$B$2:$BX$549,MATCH(J$2,'Slutlig allokering kvv'!$B$1:$BX$1,0),FALSE)/1,0))</f>
        <v>0</v>
      </c>
      <c r="K175" s="121">
        <f>IF($D175="","",IFERROR(VLOOKUP($B175,Kraftvärmeprod!$B$1:$BX$549,MATCH(K$2,Kraftvärmeprod!$B$1:$VX$1,0),FALSE)/1,0)-IFERROR(VLOOKUP($B175,'Slutlig allokering kvv'!$B$2:$BX$549,MATCH(K$2,'Slutlig allokering kvv'!$B$1:$BX$1,0),FALSE)/1,0))</f>
        <v>0</v>
      </c>
      <c r="L175" s="121">
        <f>IF($D175="","",IFERROR(VLOOKUP($B175,Kraftvärmeprod!$B$1:$BX$549,MATCH(L$2,Kraftvärmeprod!$B$1:$VX$1,0),FALSE)/1,0)-IFERROR(VLOOKUP($B175,'Slutlig allokering kvv'!$B$2:$BX$549,MATCH(L$2,'Slutlig allokering kvv'!$B$1:$BX$1,0),FALSE)/1,0))</f>
        <v>35.283200000000008</v>
      </c>
      <c r="M175" s="121">
        <f>IF($D175="","",IFERROR(VLOOKUP($B175,Kraftvärmeprod!$B$1:$BX$549,MATCH(M$2,Kraftvärmeprod!$B$1:$VX$1,0),FALSE)/1,0)-IFERROR(VLOOKUP($B175,'Slutlig allokering kvv'!$B$2:$BX$549,MATCH(M$2,'Slutlig allokering kvv'!$B$1:$BX$1,0),FALSE)/1,0))</f>
        <v>0</v>
      </c>
      <c r="N175" s="121">
        <f>IF($D175="","",IFERROR(VLOOKUP($B175,Kraftvärmeprod!$B$1:$BX$549,MATCH(N$2,Kraftvärmeprod!$B$1:$VX$1,0),FALSE)/1,0)-IFERROR(VLOOKUP($B175,'Slutlig allokering kvv'!$B$2:$BX$549,MATCH(N$2,'Slutlig allokering kvv'!$B$1:$BX$1,0),FALSE)/1,0))</f>
        <v>0</v>
      </c>
      <c r="O175" s="121">
        <f>IF($D175="","",IFERROR(VLOOKUP($B175,Kraftvärmeprod!$B$1:$BX$549,MATCH(O$2,Kraftvärmeprod!$B$1:$VX$1,0),FALSE)/1,0)-IFERROR(VLOOKUP($B175,'Slutlig allokering kvv'!$B$2:$BX$549,MATCH(O$2,'Slutlig allokering kvv'!$B$1:$BX$1,0),FALSE)/1,0))</f>
        <v>0</v>
      </c>
      <c r="P175" s="121">
        <f>IF($D175="","",IFERROR(VLOOKUP($B175,Kraftvärmeprod!$B$1:$BX$549,MATCH(P$2,Kraftvärmeprod!$B$1:$VX$1,0),FALSE)/1,0)-IFERROR(VLOOKUP($B175,'Slutlig allokering kvv'!$B$2:$BX$549,MATCH(P$2,'Slutlig allokering kvv'!$B$1:$BX$1,0),FALSE)/1,0))</f>
        <v>0</v>
      </c>
      <c r="Q175" s="121">
        <f>IF($D175="","",IFERROR(VLOOKUP($B175,Kraftvärmeprod!$B$1:$BX$549,MATCH(Q$2,Kraftvärmeprod!$B$1:$VX$1,0),FALSE)/1,0)-IFERROR(VLOOKUP($B175,'Slutlig allokering kvv'!$B$2:$BX$549,MATCH(Q$2,'Slutlig allokering kvv'!$B$1:$BX$1,0),FALSE)/1,0))</f>
        <v>0</v>
      </c>
      <c r="R175" s="121">
        <f>IF($D175="","",IFERROR(VLOOKUP($B175,Kraftvärmeprod!$B$1:$BX$549,MATCH(R$2,Kraftvärmeprod!$B$1:$VX$1,0),FALSE)/1,0)-IFERROR(VLOOKUP($B175,'Slutlig allokering kvv'!$B$2:$BX$549,MATCH(R$2,'Slutlig allokering kvv'!$B$1:$BX$1,0),FALSE)/1,0))</f>
        <v>0</v>
      </c>
      <c r="S175" s="121">
        <f>IF($D175="","",IFERROR(VLOOKUP($B175,Kraftvärmeprod!$B$1:$BX$549,MATCH(S$2,Kraftvärmeprod!$B$1:$VX$1,0),FALSE)/1,0)-IFERROR(VLOOKUP($B175,'Slutlig allokering kvv'!$B$2:$BX$549,MATCH(S$2,'Slutlig allokering kvv'!$B$1:$BX$1,0),FALSE)/1,0))</f>
        <v>0</v>
      </c>
      <c r="T175" s="121">
        <f>IF($D175="","",IFERROR(VLOOKUP($B175,Kraftvärmeprod!$B$1:$BX$549,MATCH(T$2,Kraftvärmeprod!$B$1:$VX$1,0),FALSE)/1,0)-IFERROR(VLOOKUP($B175,'Slutlig allokering kvv'!$B$2:$BX$549,MATCH(T$2,'Slutlig allokering kvv'!$B$1:$BX$1,0),FALSE)/1,0))</f>
        <v>0</v>
      </c>
      <c r="U175" s="121">
        <f>IF($D175="","",IFERROR(VLOOKUP($B175,Kraftvärmeprod!$B$1:$BX$549,MATCH(U$2,Kraftvärmeprod!$B$1:$VX$1,0),FALSE)/1,0)-IFERROR(VLOOKUP($B175,'Slutlig allokering kvv'!$B$2:$BX$549,MATCH(U$2,'Slutlig allokering kvv'!$B$1:$BX$1,0),FALSE)/1,0))</f>
        <v>0</v>
      </c>
      <c r="V175" s="121">
        <f>IF($D175="","",IFERROR(VLOOKUP($B175,Kraftvärmeprod!$B$1:$BX$549,MATCH(V$2,Kraftvärmeprod!$B$1:$VX$1,0),FALSE)/1,0)-IFERROR(VLOOKUP($B175,'Slutlig allokering kvv'!$B$2:$BX$549,MATCH(V$2,'Slutlig allokering kvv'!$B$1:$BX$1,0),FALSE)/1,0))</f>
        <v>0</v>
      </c>
      <c r="W175" s="121">
        <f>IF($D175="","",IFERROR(VLOOKUP($B175,Kraftvärmeprod!$B$1:$BX$549,MATCH(W$2,Kraftvärmeprod!$B$1:$VX$1,0),FALSE)/1,0)-IFERROR(VLOOKUP($B175,'Slutlig allokering kvv'!$B$2:$BX$549,MATCH(W$2,'Slutlig allokering kvv'!$B$1:$BX$1,0),FALSE)/1,0))</f>
        <v>0</v>
      </c>
      <c r="X175" s="121">
        <f>IF($D175="","",IFERROR(VLOOKUP($B175,Kraftvärmeprod!$B$1:$BX$549,MATCH(X$2,Kraftvärmeprod!$B$1:$VX$1,0),FALSE)/1,0)-IFERROR(VLOOKUP($B175,'Slutlig allokering kvv'!$B$2:$BX$549,MATCH(X$2,'Slutlig allokering kvv'!$B$1:$BX$1,0),FALSE)/1,0))</f>
        <v>0</v>
      </c>
      <c r="Y175" s="121">
        <f>IF($D175="","",IFERROR(VLOOKUP($B175,Kraftvärmeprod!$B$1:$BX$549,MATCH(Y$2,Kraftvärmeprod!$B$1:$VX$1,0),FALSE)/1,0)-IFERROR(VLOOKUP($B175,'Slutlig allokering kvv'!$B$2:$BX$549,MATCH(Y$2,'Slutlig allokering kvv'!$B$1:$BX$1,0),FALSE)/1,0))</f>
        <v>0</v>
      </c>
      <c r="Z175" s="121">
        <f>IF($D175="","",IFERROR(VLOOKUP($B175,Kraftvärmeprod!$B$1:$BX$549,MATCH(Z$2,Kraftvärmeprod!$B$1:$VX$1,0),FALSE)/1,0)-IFERROR(VLOOKUP($B175,'Slutlig allokering kvv'!$B$2:$BX$549,MATCH(Z$2,'Slutlig allokering kvv'!$B$1:$BX$1,0),FALSE)/1,0))</f>
        <v>0</v>
      </c>
      <c r="AA175" s="121">
        <f>IF($D175="","",IFERROR(VLOOKUP($B175,Kraftvärmeprod!$B$1:$BX$549,MATCH(AA$2,Kraftvärmeprod!$B$1:$VX$1,0),FALSE)/1,0)-IFERROR(VLOOKUP($B175,'Slutlig allokering kvv'!$B$2:$BX$549,MATCH(AA$2,'Slutlig allokering kvv'!$B$1:$BX$1,0),FALSE)/1,0))</f>
        <v>0</v>
      </c>
      <c r="AB175" s="121">
        <f>IF($D175="","",IFERROR(VLOOKUP($B175,Kraftvärmeprod!$B$1:$BX$549,MATCH(AB$2,Kraftvärmeprod!$B$1:$VX$1,0),FALSE)/1,0)-IFERROR(VLOOKUP($B175,'Slutlig allokering kvv'!$B$2:$BX$549,MATCH(AB$2,'Slutlig allokering kvv'!$B$1:$BX$1,0),FALSE)/1,0))</f>
        <v>0</v>
      </c>
      <c r="AC175" s="121">
        <f>IF($D175="","",IFERROR(VLOOKUP($B175,Kraftvärmeprod!$B$1:$BX$549,MATCH(AC$2,Kraftvärmeprod!$B$1:$VX$1,0),FALSE)/1,0)-IFERROR(VLOOKUP($B175,'Slutlig allokering kvv'!$B$2:$BX$549,MATCH(AC$2,'Slutlig allokering kvv'!$B$1:$BX$1,0),FALSE)/1,0))</f>
        <v>0</v>
      </c>
      <c r="AD175" s="121">
        <f>IF($D175="","",IFERROR(VLOOKUP($B175,Kraftvärmeprod!$B$1:$BX$549,MATCH(AD$2,Kraftvärmeprod!$B$1:$VX$1,0),FALSE)/1,0)-IFERROR(VLOOKUP($B175,'Slutlig allokering kvv'!$B$2:$BX$549,MATCH(AD$2,'Slutlig allokering kvv'!$B$1:$BX$1,0),FALSE)/1,0))</f>
        <v>0</v>
      </c>
      <c r="AE175" s="121">
        <f>IF($D175="","",IFERROR(VLOOKUP($B175,Miljö!$B$1:$E$550,MATCH("Hjälpel kraftvärme (GWh)",Miljö!$B$1:$E$1,0),FALSE)/1,0)-IFERROR(VLOOKUP($B175,'Slutlig allokering kvv'!$B$2:$BX$549,MATCH(AE$2,'Slutlig allokering kvv'!$B$1:$BX$1,0),FALSE)/1,0))</f>
        <v>1.4430899999999998</v>
      </c>
      <c r="AI175" s="121">
        <f t="shared" si="8"/>
        <v>35.283200000000008</v>
      </c>
      <c r="AK175" s="121">
        <f>IFERROR(VLOOKUP($B175,'Slutlig allokering kvv'!$B$2:$AX$549,MATCH("Summa slutlig allokerad tillförd energi (utan hjälpel och rökgaskondensering):",'Slutlig allokering kvv'!$B$1:$AX$1,0),FALSE)/1,"")</f>
        <v>30.217800000000004</v>
      </c>
      <c r="AM175" s="172">
        <f>IFERROR(1-VLOOKUP($B175,'Slutlig allokering kvv'!$B$2:$AX$549,MATCH("Andel av bränsle i kvv som allokerats till värme, exklusive rökgaskondensering och hjälpel",'Slutlig allokering kvv'!$B$1:$AX$1,0),FALSE),"")</f>
        <v>0.53866658524297328</v>
      </c>
      <c r="AO175" s="172">
        <f t="shared" si="9"/>
        <v>0.53866658524297351</v>
      </c>
      <c r="AP175" s="173">
        <f t="shared" si="10"/>
        <v>-2.2204460492503131E-16</v>
      </c>
      <c r="AR175" s="172">
        <f t="shared" si="11"/>
        <v>0.4502496712845212</v>
      </c>
    </row>
    <row r="176" spans="1:44" x14ac:dyDescent="0.25">
      <c r="A176" s="171" t="str">
        <f>'Miljövärden för publ företag'!B178</f>
        <v>Mölndal Energi AB</v>
      </c>
      <c r="B176" s="171" t="str">
        <f>'Miljövärden för publ företag'!C178</f>
        <v>Mölndal Bra Miljöval</v>
      </c>
      <c r="C176" s="121">
        <f>IFERROR(VLOOKUP($B176,Kraftvärmeprod!$B$1:$AH$478,MATCH(C$2,Kraftvärmeprod!$B$1:$AG$1,0),FALSE)/1,"")</f>
        <v>8.3510000000000009</v>
      </c>
      <c r="D176" s="121">
        <f>IFERROR(VLOOKUP($B176,Kraftvärmeprod!$B$1:$AH$478,MATCH(D$2,Kraftvärmeprod!$B$1:$AG$1,0),FALSE)/1,"")</f>
        <v>3.742</v>
      </c>
      <c r="F176" s="121">
        <f>IF($D176="","",IFERROR(VLOOKUP($B176,Kraftvärmeprod!$B$1:$BX$549,MATCH(F$2,Kraftvärmeprod!$B$1:$VX$1,0),FALSE)/1,0)-IFERROR(VLOOKUP($B176,'Slutlig allokering kvv'!$B$2:$BX$549,MATCH(F$2,'Slutlig allokering kvv'!$B$1:$BX$1,0),FALSE)/1,0))</f>
        <v>0</v>
      </c>
      <c r="G176" s="121">
        <f>IF($D176="","",IFERROR(VLOOKUP($B176,Kraftvärmeprod!$B$1:$BX$549,MATCH(G$2,Kraftvärmeprod!$B$1:$VX$1,0),FALSE)/1,0)-IFERROR(VLOOKUP($B176,'Slutlig allokering kvv'!$B$2:$BX$549,MATCH(G$2,'Slutlig allokering kvv'!$B$1:$BX$1,0),FALSE)/1,0))</f>
        <v>0</v>
      </c>
      <c r="H176" s="121">
        <f>IF($D176="","",IFERROR(VLOOKUP($B176,Kraftvärmeprod!$B$1:$BX$549,MATCH(H$2,Kraftvärmeprod!$B$1:$VX$1,0),FALSE)/1,0)-IFERROR(VLOOKUP($B176,'Slutlig allokering kvv'!$B$2:$BX$549,MATCH(H$2,'Slutlig allokering kvv'!$B$1:$BX$1,0),FALSE)/1,0))</f>
        <v>0</v>
      </c>
      <c r="I176" s="121">
        <f>IF($D176="","",IFERROR(VLOOKUP($B176,Kraftvärmeprod!$B$1:$BX$549,MATCH(I$2,Kraftvärmeprod!$B$1:$VX$1,0),FALSE)/1,0)-IFERROR(VLOOKUP($B176,'Slutlig allokering kvv'!$B$2:$BX$549,MATCH(I$2,'Slutlig allokering kvv'!$B$1:$BX$1,0),FALSE)/1,0))</f>
        <v>0</v>
      </c>
      <c r="J176" s="121">
        <f>IF($D176="","",IFERROR(VLOOKUP($B176,Kraftvärmeprod!$B$1:$BX$549,MATCH(J$2,Kraftvärmeprod!$B$1:$VX$1,0),FALSE)/1,0)-IFERROR(VLOOKUP($B176,'Slutlig allokering kvv'!$B$2:$BX$549,MATCH(J$2,'Slutlig allokering kvv'!$B$1:$BX$1,0),FALSE)/1,0))</f>
        <v>0</v>
      </c>
      <c r="K176" s="121">
        <f>IF($D176="","",IFERROR(VLOOKUP($B176,Kraftvärmeprod!$B$1:$BX$549,MATCH(K$2,Kraftvärmeprod!$B$1:$VX$1,0),FALSE)/1,0)-IFERROR(VLOOKUP($B176,'Slutlig allokering kvv'!$B$2:$BX$549,MATCH(K$2,'Slutlig allokering kvv'!$B$1:$BX$1,0),FALSE)/1,0))</f>
        <v>0</v>
      </c>
      <c r="L176" s="121">
        <f>IF($D176="","",IFERROR(VLOOKUP($B176,Kraftvärmeprod!$B$1:$BX$549,MATCH(L$2,Kraftvärmeprod!$B$1:$VX$1,0),FALSE)/1,0)-IFERROR(VLOOKUP($B176,'Slutlig allokering kvv'!$B$2:$BX$549,MATCH(L$2,'Slutlig allokering kvv'!$B$1:$BX$1,0),FALSE)/1,0))</f>
        <v>4.7808900000000003</v>
      </c>
      <c r="M176" s="121">
        <f>IF($D176="","",IFERROR(VLOOKUP($B176,Kraftvärmeprod!$B$1:$BX$549,MATCH(M$2,Kraftvärmeprod!$B$1:$VX$1,0),FALSE)/1,0)-IFERROR(VLOOKUP($B176,'Slutlig allokering kvv'!$B$2:$BX$549,MATCH(M$2,'Slutlig allokering kvv'!$B$1:$BX$1,0),FALSE)/1,0))</f>
        <v>2.96604</v>
      </c>
      <c r="N176" s="121">
        <f>IF($D176="","",IFERROR(VLOOKUP($B176,Kraftvärmeprod!$B$1:$BX$549,MATCH(N$2,Kraftvärmeprod!$B$1:$VX$1,0),FALSE)/1,0)-IFERROR(VLOOKUP($B176,'Slutlig allokering kvv'!$B$2:$BX$549,MATCH(N$2,'Slutlig allokering kvv'!$B$1:$BX$1,0),FALSE)/1,0))</f>
        <v>0.23702500000000001</v>
      </c>
      <c r="O176" s="121">
        <f>IF($D176="","",IFERROR(VLOOKUP($B176,Kraftvärmeprod!$B$1:$BX$549,MATCH(O$2,Kraftvärmeprod!$B$1:$VX$1,0),FALSE)/1,0)-IFERROR(VLOOKUP($B176,'Slutlig allokering kvv'!$B$2:$BX$549,MATCH(O$2,'Slutlig allokering kvv'!$B$1:$BX$1,0),FALSE)/1,0))</f>
        <v>0</v>
      </c>
      <c r="P176" s="121">
        <f>IF($D176="","",IFERROR(VLOOKUP($B176,Kraftvärmeprod!$B$1:$BX$549,MATCH(P$2,Kraftvärmeprod!$B$1:$VX$1,0),FALSE)/1,0)-IFERROR(VLOOKUP($B176,'Slutlig allokering kvv'!$B$2:$BX$549,MATCH(P$2,'Slutlig allokering kvv'!$B$1:$BX$1,0),FALSE)/1,0))</f>
        <v>0</v>
      </c>
      <c r="Q176" s="121">
        <f>IF($D176="","",IFERROR(VLOOKUP($B176,Kraftvärmeprod!$B$1:$BX$549,MATCH(Q$2,Kraftvärmeprod!$B$1:$VX$1,0),FALSE)/1,0)-IFERROR(VLOOKUP($B176,'Slutlig allokering kvv'!$B$2:$BX$549,MATCH(Q$2,'Slutlig allokering kvv'!$B$1:$BX$1,0),FALSE)/1,0))</f>
        <v>0</v>
      </c>
      <c r="R176" s="121">
        <f>IF($D176="","",IFERROR(VLOOKUP($B176,Kraftvärmeprod!$B$1:$BX$549,MATCH(R$2,Kraftvärmeprod!$B$1:$VX$1,0),FALSE)/1,0)-IFERROR(VLOOKUP($B176,'Slutlig allokering kvv'!$B$2:$BX$549,MATCH(R$2,'Slutlig allokering kvv'!$B$1:$BX$1,0),FALSE)/1,0))</f>
        <v>0</v>
      </c>
      <c r="S176" s="121">
        <f>IF($D176="","",IFERROR(VLOOKUP($B176,Kraftvärmeprod!$B$1:$BX$549,MATCH(S$2,Kraftvärmeprod!$B$1:$VX$1,0),FALSE)/1,0)-IFERROR(VLOOKUP($B176,'Slutlig allokering kvv'!$B$2:$BX$549,MATCH(S$2,'Slutlig allokering kvv'!$B$1:$BX$1,0),FALSE)/1,0))</f>
        <v>0</v>
      </c>
      <c r="T176" s="121">
        <f>IF($D176="","",IFERROR(VLOOKUP($B176,Kraftvärmeprod!$B$1:$BX$549,MATCH(T$2,Kraftvärmeprod!$B$1:$VX$1,0),FALSE)/1,0)-IFERROR(VLOOKUP($B176,'Slutlig allokering kvv'!$B$2:$BX$549,MATCH(T$2,'Slutlig allokering kvv'!$B$1:$BX$1,0),FALSE)/1,0))</f>
        <v>0</v>
      </c>
      <c r="U176" s="121">
        <f>IF($D176="","",IFERROR(VLOOKUP($B176,Kraftvärmeprod!$B$1:$BX$549,MATCH(U$2,Kraftvärmeprod!$B$1:$VX$1,0),FALSE)/1,0)-IFERROR(VLOOKUP($B176,'Slutlig allokering kvv'!$B$2:$BX$549,MATCH(U$2,'Slutlig allokering kvv'!$B$1:$BX$1,0),FALSE)/1,0))</f>
        <v>0</v>
      </c>
      <c r="V176" s="121">
        <f>IF($D176="","",IFERROR(VLOOKUP($B176,Kraftvärmeprod!$B$1:$BX$549,MATCH(V$2,Kraftvärmeprod!$B$1:$VX$1,0),FALSE)/1,0)-IFERROR(VLOOKUP($B176,'Slutlig allokering kvv'!$B$2:$BX$549,MATCH(V$2,'Slutlig allokering kvv'!$B$1:$BX$1,0),FALSE)/1,0))</f>
        <v>0</v>
      </c>
      <c r="W176" s="121">
        <f>IF($D176="","",IFERROR(VLOOKUP($B176,Kraftvärmeprod!$B$1:$BX$549,MATCH(W$2,Kraftvärmeprod!$B$1:$VX$1,0),FALSE)/1,0)-IFERROR(VLOOKUP($B176,'Slutlig allokering kvv'!$B$2:$BX$549,MATCH(W$2,'Slutlig allokering kvv'!$B$1:$BX$1,0),FALSE)/1,0))</f>
        <v>0</v>
      </c>
      <c r="X176" s="121">
        <f>IF($D176="","",IFERROR(VLOOKUP($B176,Kraftvärmeprod!$B$1:$BX$549,MATCH(X$2,Kraftvärmeprod!$B$1:$VX$1,0),FALSE)/1,0)-IFERROR(VLOOKUP($B176,'Slutlig allokering kvv'!$B$2:$BX$549,MATCH(X$2,'Slutlig allokering kvv'!$B$1:$BX$1,0),FALSE)/1,0))</f>
        <v>0</v>
      </c>
      <c r="Y176" s="121">
        <f>IF($D176="","",IFERROR(VLOOKUP($B176,Kraftvärmeprod!$B$1:$BX$549,MATCH(Y$2,Kraftvärmeprod!$B$1:$VX$1,0),FALSE)/1,0)-IFERROR(VLOOKUP($B176,'Slutlig allokering kvv'!$B$2:$BX$549,MATCH(Y$2,'Slutlig allokering kvv'!$B$1:$BX$1,0),FALSE)/1,0))</f>
        <v>0</v>
      </c>
      <c r="Z176" s="121">
        <f>IF($D176="","",IFERROR(VLOOKUP($B176,Kraftvärmeprod!$B$1:$BX$549,MATCH(Z$2,Kraftvärmeprod!$B$1:$VX$1,0),FALSE)/1,0)-IFERROR(VLOOKUP($B176,'Slutlig allokering kvv'!$B$2:$BX$549,MATCH(Z$2,'Slutlig allokering kvv'!$B$1:$BX$1,0),FALSE)/1,0))</f>
        <v>0</v>
      </c>
      <c r="AA176" s="121">
        <f>IF($D176="","",IFERROR(VLOOKUP($B176,Kraftvärmeprod!$B$1:$BX$549,MATCH(AA$2,Kraftvärmeprod!$B$1:$VX$1,0),FALSE)/1,0)-IFERROR(VLOOKUP($B176,'Slutlig allokering kvv'!$B$2:$BX$549,MATCH(AA$2,'Slutlig allokering kvv'!$B$1:$BX$1,0),FALSE)/1,0))</f>
        <v>0</v>
      </c>
      <c r="AB176" s="121">
        <f>IF($D176="","",IFERROR(VLOOKUP($B176,Kraftvärmeprod!$B$1:$BX$549,MATCH(AB$2,Kraftvärmeprod!$B$1:$VX$1,0),FALSE)/1,0)-IFERROR(VLOOKUP($B176,'Slutlig allokering kvv'!$B$2:$BX$549,MATCH(AB$2,'Slutlig allokering kvv'!$B$1:$BX$1,0),FALSE)/1,0))</f>
        <v>0</v>
      </c>
      <c r="AC176" s="121">
        <f>IF($D176="","",IFERROR(VLOOKUP($B176,Kraftvärmeprod!$B$1:$BX$549,MATCH(AC$2,Kraftvärmeprod!$B$1:$VX$1,0),FALSE)/1,0)-IFERROR(VLOOKUP($B176,'Slutlig allokering kvv'!$B$2:$BX$549,MATCH(AC$2,'Slutlig allokering kvv'!$B$1:$BX$1,0),FALSE)/1,0))</f>
        <v>0</v>
      </c>
      <c r="AD176" s="121">
        <f>IF($D176="","",IFERROR(VLOOKUP($B176,Kraftvärmeprod!$B$1:$BX$549,MATCH(AD$2,Kraftvärmeprod!$B$1:$VX$1,0),FALSE)/1,0)-IFERROR(VLOOKUP($B176,'Slutlig allokering kvv'!$B$2:$BX$549,MATCH(AD$2,'Slutlig allokering kvv'!$B$1:$BX$1,0),FALSE)/1,0))</f>
        <v>0</v>
      </c>
      <c r="AE176" s="121">
        <f>IF($D176="","",IFERROR(VLOOKUP($B176,Miljö!$B$1:$E$550,MATCH("Hjälpel kraftvärme (GWh)",Miljö!$B$1:$E$1,0),FALSE)/1,0)-IFERROR(VLOOKUP($B176,'Slutlig allokering kvv'!$B$2:$BX$549,MATCH(AE$2,'Slutlig allokering kvv'!$B$1:$BX$1,0),FALSE)/1,0))</f>
        <v>0.32644699999999999</v>
      </c>
      <c r="AI176" s="121">
        <f t="shared" si="8"/>
        <v>7.9839550000000008</v>
      </c>
      <c r="AK176" s="121">
        <f>IFERROR(VLOOKUP($B176,'Slutlig allokering kvv'!$B$2:$AX$549,MATCH("Summa slutlig allokerad tillförd energi (utan hjälpel och rökgaskondensering):",'Slutlig allokering kvv'!$B$1:$AX$1,0),FALSE)/1,"")</f>
        <v>6.8370449999999989</v>
      </c>
      <c r="AM176" s="172">
        <f>IFERROR(1-VLOOKUP($B176,'Slutlig allokering kvv'!$B$2:$AX$549,MATCH("Andel av bränsle i kvv som allokerats till värme, exklusive rökgaskondensering och hjälpel",'Slutlig allokering kvv'!$B$1:$AX$1,0),FALSE),"")</f>
        <v>0.53869205856554903</v>
      </c>
      <c r="AO176" s="172">
        <f t="shared" si="9"/>
        <v>0.53869205856554891</v>
      </c>
      <c r="AP176" s="173">
        <f t="shared" si="10"/>
        <v>1.1102230246251565E-16</v>
      </c>
      <c r="AR176" s="172">
        <f t="shared" si="11"/>
        <v>0.45027905990588651</v>
      </c>
    </row>
    <row r="177" spans="1:44" x14ac:dyDescent="0.25">
      <c r="A177" s="171" t="str">
        <f>'Miljövärden för publ företag'!B179</f>
        <v>Neova AB</v>
      </c>
      <c r="B177" s="171" t="str">
        <f>'Miljövärden för publ företag'!C179</f>
        <v>Billesholm</v>
      </c>
      <c r="C177" s="121" t="str">
        <f>IFERROR(VLOOKUP($B177,Kraftvärmeprod!$B$1:$AH$478,MATCH(C$2,Kraftvärmeprod!$B$1:$AG$1,0),FALSE)/1,"")</f>
        <v/>
      </c>
      <c r="D177" s="121" t="str">
        <f>IFERROR(VLOOKUP($B177,Kraftvärmeprod!$B$1:$AH$478,MATCH(D$2,Kraftvärmeprod!$B$1:$AG$1,0),FALSE)/1,"")</f>
        <v/>
      </c>
      <c r="F177" s="121" t="str">
        <f>IF($D177="","",IFERROR(VLOOKUP($B177,Kraftvärmeprod!$B$1:$BX$549,MATCH(F$2,Kraftvärmeprod!$B$1:$VX$1,0),FALSE)/1,0)-IFERROR(VLOOKUP($B177,'Slutlig allokering kvv'!$B$2:$BX$549,MATCH(F$2,'Slutlig allokering kvv'!$B$1:$BX$1,0),FALSE)/1,0))</f>
        <v/>
      </c>
      <c r="G177" s="121" t="str">
        <f>IF($D177="","",IFERROR(VLOOKUP($B177,Kraftvärmeprod!$B$1:$BX$549,MATCH(G$2,Kraftvärmeprod!$B$1:$VX$1,0),FALSE)/1,0)-IFERROR(VLOOKUP($B177,'Slutlig allokering kvv'!$B$2:$BX$549,MATCH(G$2,'Slutlig allokering kvv'!$B$1:$BX$1,0),FALSE)/1,0))</f>
        <v/>
      </c>
      <c r="H177" s="121" t="str">
        <f>IF($D177="","",IFERROR(VLOOKUP($B177,Kraftvärmeprod!$B$1:$BX$549,MATCH(H$2,Kraftvärmeprod!$B$1:$VX$1,0),FALSE)/1,0)-IFERROR(VLOOKUP($B177,'Slutlig allokering kvv'!$B$2:$BX$549,MATCH(H$2,'Slutlig allokering kvv'!$B$1:$BX$1,0),FALSE)/1,0))</f>
        <v/>
      </c>
      <c r="I177" s="121" t="str">
        <f>IF($D177="","",IFERROR(VLOOKUP($B177,Kraftvärmeprod!$B$1:$BX$549,MATCH(I$2,Kraftvärmeprod!$B$1:$VX$1,0),FALSE)/1,0)-IFERROR(VLOOKUP($B177,'Slutlig allokering kvv'!$B$2:$BX$549,MATCH(I$2,'Slutlig allokering kvv'!$B$1:$BX$1,0),FALSE)/1,0))</f>
        <v/>
      </c>
      <c r="J177" s="121" t="str">
        <f>IF($D177="","",IFERROR(VLOOKUP($B177,Kraftvärmeprod!$B$1:$BX$549,MATCH(J$2,Kraftvärmeprod!$B$1:$VX$1,0),FALSE)/1,0)-IFERROR(VLOOKUP($B177,'Slutlig allokering kvv'!$B$2:$BX$549,MATCH(J$2,'Slutlig allokering kvv'!$B$1:$BX$1,0),FALSE)/1,0))</f>
        <v/>
      </c>
      <c r="K177" s="121" t="str">
        <f>IF($D177="","",IFERROR(VLOOKUP($B177,Kraftvärmeprod!$B$1:$BX$549,MATCH(K$2,Kraftvärmeprod!$B$1:$VX$1,0),FALSE)/1,0)-IFERROR(VLOOKUP($B177,'Slutlig allokering kvv'!$B$2:$BX$549,MATCH(K$2,'Slutlig allokering kvv'!$B$1:$BX$1,0),FALSE)/1,0))</f>
        <v/>
      </c>
      <c r="L177" s="121" t="str">
        <f>IF($D177="","",IFERROR(VLOOKUP($B177,Kraftvärmeprod!$B$1:$BX$549,MATCH(L$2,Kraftvärmeprod!$B$1:$VX$1,0),FALSE)/1,0)-IFERROR(VLOOKUP($B177,'Slutlig allokering kvv'!$B$2:$BX$549,MATCH(L$2,'Slutlig allokering kvv'!$B$1:$BX$1,0),FALSE)/1,0))</f>
        <v/>
      </c>
      <c r="M177" s="121" t="str">
        <f>IF($D177="","",IFERROR(VLOOKUP($B177,Kraftvärmeprod!$B$1:$BX$549,MATCH(M$2,Kraftvärmeprod!$B$1:$VX$1,0),FALSE)/1,0)-IFERROR(VLOOKUP($B177,'Slutlig allokering kvv'!$B$2:$BX$549,MATCH(M$2,'Slutlig allokering kvv'!$B$1:$BX$1,0),FALSE)/1,0))</f>
        <v/>
      </c>
      <c r="N177" s="121" t="str">
        <f>IF($D177="","",IFERROR(VLOOKUP($B177,Kraftvärmeprod!$B$1:$BX$549,MATCH(N$2,Kraftvärmeprod!$B$1:$VX$1,0),FALSE)/1,0)-IFERROR(VLOOKUP($B177,'Slutlig allokering kvv'!$B$2:$BX$549,MATCH(N$2,'Slutlig allokering kvv'!$B$1:$BX$1,0),FALSE)/1,0))</f>
        <v/>
      </c>
      <c r="O177" s="121" t="str">
        <f>IF($D177="","",IFERROR(VLOOKUP($B177,Kraftvärmeprod!$B$1:$BX$549,MATCH(O$2,Kraftvärmeprod!$B$1:$VX$1,0),FALSE)/1,0)-IFERROR(VLOOKUP($B177,'Slutlig allokering kvv'!$B$2:$BX$549,MATCH(O$2,'Slutlig allokering kvv'!$B$1:$BX$1,0),FALSE)/1,0))</f>
        <v/>
      </c>
      <c r="P177" s="121" t="str">
        <f>IF($D177="","",IFERROR(VLOOKUP($B177,Kraftvärmeprod!$B$1:$BX$549,MATCH(P$2,Kraftvärmeprod!$B$1:$VX$1,0),FALSE)/1,0)-IFERROR(VLOOKUP($B177,'Slutlig allokering kvv'!$B$2:$BX$549,MATCH(P$2,'Slutlig allokering kvv'!$B$1:$BX$1,0),FALSE)/1,0))</f>
        <v/>
      </c>
      <c r="Q177" s="121" t="str">
        <f>IF($D177="","",IFERROR(VLOOKUP($B177,Kraftvärmeprod!$B$1:$BX$549,MATCH(Q$2,Kraftvärmeprod!$B$1:$VX$1,0),FALSE)/1,0)-IFERROR(VLOOKUP($B177,'Slutlig allokering kvv'!$B$2:$BX$549,MATCH(Q$2,'Slutlig allokering kvv'!$B$1:$BX$1,0),FALSE)/1,0))</f>
        <v/>
      </c>
      <c r="R177" s="121" t="str">
        <f>IF($D177="","",IFERROR(VLOOKUP($B177,Kraftvärmeprod!$B$1:$BX$549,MATCH(R$2,Kraftvärmeprod!$B$1:$VX$1,0),FALSE)/1,0)-IFERROR(VLOOKUP($B177,'Slutlig allokering kvv'!$B$2:$BX$549,MATCH(R$2,'Slutlig allokering kvv'!$B$1:$BX$1,0),FALSE)/1,0))</f>
        <v/>
      </c>
      <c r="S177" s="121" t="str">
        <f>IF($D177="","",IFERROR(VLOOKUP($B177,Kraftvärmeprod!$B$1:$BX$549,MATCH(S$2,Kraftvärmeprod!$B$1:$VX$1,0),FALSE)/1,0)-IFERROR(VLOOKUP($B177,'Slutlig allokering kvv'!$B$2:$BX$549,MATCH(S$2,'Slutlig allokering kvv'!$B$1:$BX$1,0),FALSE)/1,0))</f>
        <v/>
      </c>
      <c r="T177" s="121" t="str">
        <f>IF($D177="","",IFERROR(VLOOKUP($B177,Kraftvärmeprod!$B$1:$BX$549,MATCH(T$2,Kraftvärmeprod!$B$1:$VX$1,0),FALSE)/1,0)-IFERROR(VLOOKUP($B177,'Slutlig allokering kvv'!$B$2:$BX$549,MATCH(T$2,'Slutlig allokering kvv'!$B$1:$BX$1,0),FALSE)/1,0))</f>
        <v/>
      </c>
      <c r="U177" s="121" t="str">
        <f>IF($D177="","",IFERROR(VLOOKUP($B177,Kraftvärmeprod!$B$1:$BX$549,MATCH(U$2,Kraftvärmeprod!$B$1:$VX$1,0),FALSE)/1,0)-IFERROR(VLOOKUP($B177,'Slutlig allokering kvv'!$B$2:$BX$549,MATCH(U$2,'Slutlig allokering kvv'!$B$1:$BX$1,0),FALSE)/1,0))</f>
        <v/>
      </c>
      <c r="V177" s="121" t="str">
        <f>IF($D177="","",IFERROR(VLOOKUP($B177,Kraftvärmeprod!$B$1:$BX$549,MATCH(V$2,Kraftvärmeprod!$B$1:$VX$1,0),FALSE)/1,0)-IFERROR(VLOOKUP($B177,'Slutlig allokering kvv'!$B$2:$BX$549,MATCH(V$2,'Slutlig allokering kvv'!$B$1:$BX$1,0),FALSE)/1,0))</f>
        <v/>
      </c>
      <c r="W177" s="121" t="str">
        <f>IF($D177="","",IFERROR(VLOOKUP($B177,Kraftvärmeprod!$B$1:$BX$549,MATCH(W$2,Kraftvärmeprod!$B$1:$VX$1,0),FALSE)/1,0)-IFERROR(VLOOKUP($B177,'Slutlig allokering kvv'!$B$2:$BX$549,MATCH(W$2,'Slutlig allokering kvv'!$B$1:$BX$1,0),FALSE)/1,0))</f>
        <v/>
      </c>
      <c r="X177" s="121" t="str">
        <f>IF($D177="","",IFERROR(VLOOKUP($B177,Kraftvärmeprod!$B$1:$BX$549,MATCH(X$2,Kraftvärmeprod!$B$1:$VX$1,0),FALSE)/1,0)-IFERROR(VLOOKUP($B177,'Slutlig allokering kvv'!$B$2:$BX$549,MATCH(X$2,'Slutlig allokering kvv'!$B$1:$BX$1,0),FALSE)/1,0))</f>
        <v/>
      </c>
      <c r="Y177" s="121" t="str">
        <f>IF($D177="","",IFERROR(VLOOKUP($B177,Kraftvärmeprod!$B$1:$BX$549,MATCH(Y$2,Kraftvärmeprod!$B$1:$VX$1,0),FALSE)/1,0)-IFERROR(VLOOKUP($B177,'Slutlig allokering kvv'!$B$2:$BX$549,MATCH(Y$2,'Slutlig allokering kvv'!$B$1:$BX$1,0),FALSE)/1,0))</f>
        <v/>
      </c>
      <c r="Z177" s="121" t="str">
        <f>IF($D177="","",IFERROR(VLOOKUP($B177,Kraftvärmeprod!$B$1:$BX$549,MATCH(Z$2,Kraftvärmeprod!$B$1:$VX$1,0),FALSE)/1,0)-IFERROR(VLOOKUP($B177,'Slutlig allokering kvv'!$B$2:$BX$549,MATCH(Z$2,'Slutlig allokering kvv'!$B$1:$BX$1,0),FALSE)/1,0))</f>
        <v/>
      </c>
      <c r="AA177" s="121" t="str">
        <f>IF($D177="","",IFERROR(VLOOKUP($B177,Kraftvärmeprod!$B$1:$BX$549,MATCH(AA$2,Kraftvärmeprod!$B$1:$VX$1,0),FALSE)/1,0)-IFERROR(VLOOKUP($B177,'Slutlig allokering kvv'!$B$2:$BX$549,MATCH(AA$2,'Slutlig allokering kvv'!$B$1:$BX$1,0),FALSE)/1,0))</f>
        <v/>
      </c>
      <c r="AB177" s="121" t="str">
        <f>IF($D177="","",IFERROR(VLOOKUP($B177,Kraftvärmeprod!$B$1:$BX$549,MATCH(AB$2,Kraftvärmeprod!$B$1:$VX$1,0),FALSE)/1,0)-IFERROR(VLOOKUP($B177,'Slutlig allokering kvv'!$B$2:$BX$549,MATCH(AB$2,'Slutlig allokering kvv'!$B$1:$BX$1,0),FALSE)/1,0))</f>
        <v/>
      </c>
      <c r="AC177" s="121" t="str">
        <f>IF($D177="","",IFERROR(VLOOKUP($B177,Kraftvärmeprod!$B$1:$BX$549,MATCH(AC$2,Kraftvärmeprod!$B$1:$VX$1,0),FALSE)/1,0)-IFERROR(VLOOKUP($B177,'Slutlig allokering kvv'!$B$2:$BX$549,MATCH(AC$2,'Slutlig allokering kvv'!$B$1:$BX$1,0),FALSE)/1,0))</f>
        <v/>
      </c>
      <c r="AD177" s="121" t="str">
        <f>IF($D177="","",IFERROR(VLOOKUP($B177,Kraftvärmeprod!$B$1:$BX$549,MATCH(AD$2,Kraftvärmeprod!$B$1:$VX$1,0),FALSE)/1,0)-IFERROR(VLOOKUP($B177,'Slutlig allokering kvv'!$B$2:$BX$549,MATCH(AD$2,'Slutlig allokering kvv'!$B$1:$BX$1,0),FALSE)/1,0))</f>
        <v/>
      </c>
      <c r="AE177" s="121" t="str">
        <f>IF($D177="","",IFERROR(VLOOKUP($B177,Miljö!$B$1:$E$550,MATCH("Hjälpel kraftvärme (GWh)",Miljö!$B$1:$E$1,0),FALSE)/1,0)-IFERROR(VLOOKUP($B177,'Slutlig allokering kvv'!$B$2:$BX$549,MATCH(AE$2,'Slutlig allokering kvv'!$B$1:$BX$1,0),FALSE)/1,0))</f>
        <v/>
      </c>
      <c r="AI177" s="121">
        <f t="shared" si="8"/>
        <v>0</v>
      </c>
      <c r="AK177" s="121">
        <f>IFERROR(VLOOKUP($B177,'Slutlig allokering kvv'!$B$2:$AX$549,MATCH("Summa slutlig allokerad tillförd energi (utan hjälpel och rökgaskondensering):",'Slutlig allokering kvv'!$B$1:$AX$1,0),FALSE)/1,"")</f>
        <v>0</v>
      </c>
      <c r="AM177" s="172" t="str">
        <f>IFERROR(1-VLOOKUP($B177,'Slutlig allokering kvv'!$B$2:$AX$549,MATCH("Andel av bränsle i kvv som allokerats till värme, exklusive rökgaskondensering och hjälpel",'Slutlig allokering kvv'!$B$1:$AX$1,0),FALSE),"")</f>
        <v/>
      </c>
      <c r="AO177" s="172" t="str">
        <f t="shared" si="9"/>
        <v/>
      </c>
      <c r="AP177" s="173" t="str">
        <f t="shared" si="10"/>
        <v/>
      </c>
      <c r="AR177" s="172" t="str">
        <f t="shared" si="11"/>
        <v/>
      </c>
    </row>
    <row r="178" spans="1:44" x14ac:dyDescent="0.25">
      <c r="A178" s="171" t="str">
        <f>'Miljövärden för publ företag'!B180</f>
        <v>Neova AB</v>
      </c>
      <c r="B178" s="171" t="str">
        <f>'Miljövärden för publ företag'!C180</f>
        <v>Bjuv</v>
      </c>
      <c r="C178" s="121" t="str">
        <f>IFERROR(VLOOKUP($B178,Kraftvärmeprod!$B$1:$AH$478,MATCH(C$2,Kraftvärmeprod!$B$1:$AG$1,0),FALSE)/1,"")</f>
        <v/>
      </c>
      <c r="D178" s="121" t="str">
        <f>IFERROR(VLOOKUP($B178,Kraftvärmeprod!$B$1:$AH$478,MATCH(D$2,Kraftvärmeprod!$B$1:$AG$1,0),FALSE)/1,"")</f>
        <v/>
      </c>
      <c r="F178" s="121" t="str">
        <f>IF($D178="","",IFERROR(VLOOKUP($B178,Kraftvärmeprod!$B$1:$BX$549,MATCH(F$2,Kraftvärmeprod!$B$1:$VX$1,0),FALSE)/1,0)-IFERROR(VLOOKUP($B178,'Slutlig allokering kvv'!$B$2:$BX$549,MATCH(F$2,'Slutlig allokering kvv'!$B$1:$BX$1,0),FALSE)/1,0))</f>
        <v/>
      </c>
      <c r="G178" s="121" t="str">
        <f>IF($D178="","",IFERROR(VLOOKUP($B178,Kraftvärmeprod!$B$1:$BX$549,MATCH(G$2,Kraftvärmeprod!$B$1:$VX$1,0),FALSE)/1,0)-IFERROR(VLOOKUP($B178,'Slutlig allokering kvv'!$B$2:$BX$549,MATCH(G$2,'Slutlig allokering kvv'!$B$1:$BX$1,0),FALSE)/1,0))</f>
        <v/>
      </c>
      <c r="H178" s="121" t="str">
        <f>IF($D178="","",IFERROR(VLOOKUP($B178,Kraftvärmeprod!$B$1:$BX$549,MATCH(H$2,Kraftvärmeprod!$B$1:$VX$1,0),FALSE)/1,0)-IFERROR(VLOOKUP($B178,'Slutlig allokering kvv'!$B$2:$BX$549,MATCH(H$2,'Slutlig allokering kvv'!$B$1:$BX$1,0),FALSE)/1,0))</f>
        <v/>
      </c>
      <c r="I178" s="121" t="str">
        <f>IF($D178="","",IFERROR(VLOOKUP($B178,Kraftvärmeprod!$B$1:$BX$549,MATCH(I$2,Kraftvärmeprod!$B$1:$VX$1,0),FALSE)/1,0)-IFERROR(VLOOKUP($B178,'Slutlig allokering kvv'!$B$2:$BX$549,MATCH(I$2,'Slutlig allokering kvv'!$B$1:$BX$1,0),FALSE)/1,0))</f>
        <v/>
      </c>
      <c r="J178" s="121" t="str">
        <f>IF($D178="","",IFERROR(VLOOKUP($B178,Kraftvärmeprod!$B$1:$BX$549,MATCH(J$2,Kraftvärmeprod!$B$1:$VX$1,0),FALSE)/1,0)-IFERROR(VLOOKUP($B178,'Slutlig allokering kvv'!$B$2:$BX$549,MATCH(J$2,'Slutlig allokering kvv'!$B$1:$BX$1,0),FALSE)/1,0))</f>
        <v/>
      </c>
      <c r="K178" s="121" t="str">
        <f>IF($D178="","",IFERROR(VLOOKUP($B178,Kraftvärmeprod!$B$1:$BX$549,MATCH(K$2,Kraftvärmeprod!$B$1:$VX$1,0),FALSE)/1,0)-IFERROR(VLOOKUP($B178,'Slutlig allokering kvv'!$B$2:$BX$549,MATCH(K$2,'Slutlig allokering kvv'!$B$1:$BX$1,0),FALSE)/1,0))</f>
        <v/>
      </c>
      <c r="L178" s="121" t="str">
        <f>IF($D178="","",IFERROR(VLOOKUP($B178,Kraftvärmeprod!$B$1:$BX$549,MATCH(L$2,Kraftvärmeprod!$B$1:$VX$1,0),FALSE)/1,0)-IFERROR(VLOOKUP($B178,'Slutlig allokering kvv'!$B$2:$BX$549,MATCH(L$2,'Slutlig allokering kvv'!$B$1:$BX$1,0),FALSE)/1,0))</f>
        <v/>
      </c>
      <c r="M178" s="121" t="str">
        <f>IF($D178="","",IFERROR(VLOOKUP($B178,Kraftvärmeprod!$B$1:$BX$549,MATCH(M$2,Kraftvärmeprod!$B$1:$VX$1,0),FALSE)/1,0)-IFERROR(VLOOKUP($B178,'Slutlig allokering kvv'!$B$2:$BX$549,MATCH(M$2,'Slutlig allokering kvv'!$B$1:$BX$1,0),FALSE)/1,0))</f>
        <v/>
      </c>
      <c r="N178" s="121" t="str">
        <f>IF($D178="","",IFERROR(VLOOKUP($B178,Kraftvärmeprod!$B$1:$BX$549,MATCH(N$2,Kraftvärmeprod!$B$1:$VX$1,0),FALSE)/1,0)-IFERROR(VLOOKUP($B178,'Slutlig allokering kvv'!$B$2:$BX$549,MATCH(N$2,'Slutlig allokering kvv'!$B$1:$BX$1,0),FALSE)/1,0))</f>
        <v/>
      </c>
      <c r="O178" s="121" t="str">
        <f>IF($D178="","",IFERROR(VLOOKUP($B178,Kraftvärmeprod!$B$1:$BX$549,MATCH(O$2,Kraftvärmeprod!$B$1:$VX$1,0),FALSE)/1,0)-IFERROR(VLOOKUP($B178,'Slutlig allokering kvv'!$B$2:$BX$549,MATCH(O$2,'Slutlig allokering kvv'!$B$1:$BX$1,0),FALSE)/1,0))</f>
        <v/>
      </c>
      <c r="P178" s="121" t="str">
        <f>IF($D178="","",IFERROR(VLOOKUP($B178,Kraftvärmeprod!$B$1:$BX$549,MATCH(P$2,Kraftvärmeprod!$B$1:$VX$1,0),FALSE)/1,0)-IFERROR(VLOOKUP($B178,'Slutlig allokering kvv'!$B$2:$BX$549,MATCH(P$2,'Slutlig allokering kvv'!$B$1:$BX$1,0),FALSE)/1,0))</f>
        <v/>
      </c>
      <c r="Q178" s="121" t="str">
        <f>IF($D178="","",IFERROR(VLOOKUP($B178,Kraftvärmeprod!$B$1:$BX$549,MATCH(Q$2,Kraftvärmeprod!$B$1:$VX$1,0),FALSE)/1,0)-IFERROR(VLOOKUP($B178,'Slutlig allokering kvv'!$B$2:$BX$549,MATCH(Q$2,'Slutlig allokering kvv'!$B$1:$BX$1,0),FALSE)/1,0))</f>
        <v/>
      </c>
      <c r="R178" s="121" t="str">
        <f>IF($D178="","",IFERROR(VLOOKUP($B178,Kraftvärmeprod!$B$1:$BX$549,MATCH(R$2,Kraftvärmeprod!$B$1:$VX$1,0),FALSE)/1,0)-IFERROR(VLOOKUP($B178,'Slutlig allokering kvv'!$B$2:$BX$549,MATCH(R$2,'Slutlig allokering kvv'!$B$1:$BX$1,0),FALSE)/1,0))</f>
        <v/>
      </c>
      <c r="S178" s="121" t="str">
        <f>IF($D178="","",IFERROR(VLOOKUP($B178,Kraftvärmeprod!$B$1:$BX$549,MATCH(S$2,Kraftvärmeprod!$B$1:$VX$1,0),FALSE)/1,0)-IFERROR(VLOOKUP($B178,'Slutlig allokering kvv'!$B$2:$BX$549,MATCH(S$2,'Slutlig allokering kvv'!$B$1:$BX$1,0),FALSE)/1,0))</f>
        <v/>
      </c>
      <c r="T178" s="121" t="str">
        <f>IF($D178="","",IFERROR(VLOOKUP($B178,Kraftvärmeprod!$B$1:$BX$549,MATCH(T$2,Kraftvärmeprod!$B$1:$VX$1,0),FALSE)/1,0)-IFERROR(VLOOKUP($B178,'Slutlig allokering kvv'!$B$2:$BX$549,MATCH(T$2,'Slutlig allokering kvv'!$B$1:$BX$1,0),FALSE)/1,0))</f>
        <v/>
      </c>
      <c r="U178" s="121" t="str">
        <f>IF($D178="","",IFERROR(VLOOKUP($B178,Kraftvärmeprod!$B$1:$BX$549,MATCH(U$2,Kraftvärmeprod!$B$1:$VX$1,0),FALSE)/1,0)-IFERROR(VLOOKUP($B178,'Slutlig allokering kvv'!$B$2:$BX$549,MATCH(U$2,'Slutlig allokering kvv'!$B$1:$BX$1,0),FALSE)/1,0))</f>
        <v/>
      </c>
      <c r="V178" s="121" t="str">
        <f>IF($D178="","",IFERROR(VLOOKUP($B178,Kraftvärmeprod!$B$1:$BX$549,MATCH(V$2,Kraftvärmeprod!$B$1:$VX$1,0),FALSE)/1,0)-IFERROR(VLOOKUP($B178,'Slutlig allokering kvv'!$B$2:$BX$549,MATCH(V$2,'Slutlig allokering kvv'!$B$1:$BX$1,0),FALSE)/1,0))</f>
        <v/>
      </c>
      <c r="W178" s="121" t="str">
        <f>IF($D178="","",IFERROR(VLOOKUP($B178,Kraftvärmeprod!$B$1:$BX$549,MATCH(W$2,Kraftvärmeprod!$B$1:$VX$1,0),FALSE)/1,0)-IFERROR(VLOOKUP($B178,'Slutlig allokering kvv'!$B$2:$BX$549,MATCH(W$2,'Slutlig allokering kvv'!$B$1:$BX$1,0),FALSE)/1,0))</f>
        <v/>
      </c>
      <c r="X178" s="121" t="str">
        <f>IF($D178="","",IFERROR(VLOOKUP($B178,Kraftvärmeprod!$B$1:$BX$549,MATCH(X$2,Kraftvärmeprod!$B$1:$VX$1,0),FALSE)/1,0)-IFERROR(VLOOKUP($B178,'Slutlig allokering kvv'!$B$2:$BX$549,MATCH(X$2,'Slutlig allokering kvv'!$B$1:$BX$1,0),FALSE)/1,0))</f>
        <v/>
      </c>
      <c r="Y178" s="121" t="str">
        <f>IF($D178="","",IFERROR(VLOOKUP($B178,Kraftvärmeprod!$B$1:$BX$549,MATCH(Y$2,Kraftvärmeprod!$B$1:$VX$1,0),FALSE)/1,0)-IFERROR(VLOOKUP($B178,'Slutlig allokering kvv'!$B$2:$BX$549,MATCH(Y$2,'Slutlig allokering kvv'!$B$1:$BX$1,0),FALSE)/1,0))</f>
        <v/>
      </c>
      <c r="Z178" s="121" t="str">
        <f>IF($D178="","",IFERROR(VLOOKUP($B178,Kraftvärmeprod!$B$1:$BX$549,MATCH(Z$2,Kraftvärmeprod!$B$1:$VX$1,0),FALSE)/1,0)-IFERROR(VLOOKUP($B178,'Slutlig allokering kvv'!$B$2:$BX$549,MATCH(Z$2,'Slutlig allokering kvv'!$B$1:$BX$1,0),FALSE)/1,0))</f>
        <v/>
      </c>
      <c r="AA178" s="121" t="str">
        <f>IF($D178="","",IFERROR(VLOOKUP($B178,Kraftvärmeprod!$B$1:$BX$549,MATCH(AA$2,Kraftvärmeprod!$B$1:$VX$1,0),FALSE)/1,0)-IFERROR(VLOOKUP($B178,'Slutlig allokering kvv'!$B$2:$BX$549,MATCH(AA$2,'Slutlig allokering kvv'!$B$1:$BX$1,0),FALSE)/1,0))</f>
        <v/>
      </c>
      <c r="AB178" s="121" t="str">
        <f>IF($D178="","",IFERROR(VLOOKUP($B178,Kraftvärmeprod!$B$1:$BX$549,MATCH(AB$2,Kraftvärmeprod!$B$1:$VX$1,0),FALSE)/1,0)-IFERROR(VLOOKUP($B178,'Slutlig allokering kvv'!$B$2:$BX$549,MATCH(AB$2,'Slutlig allokering kvv'!$B$1:$BX$1,0),FALSE)/1,0))</f>
        <v/>
      </c>
      <c r="AC178" s="121" t="str">
        <f>IF($D178="","",IFERROR(VLOOKUP($B178,Kraftvärmeprod!$B$1:$BX$549,MATCH(AC$2,Kraftvärmeprod!$B$1:$VX$1,0),FALSE)/1,0)-IFERROR(VLOOKUP($B178,'Slutlig allokering kvv'!$B$2:$BX$549,MATCH(AC$2,'Slutlig allokering kvv'!$B$1:$BX$1,0),FALSE)/1,0))</f>
        <v/>
      </c>
      <c r="AD178" s="121" t="str">
        <f>IF($D178="","",IFERROR(VLOOKUP($B178,Kraftvärmeprod!$B$1:$BX$549,MATCH(AD$2,Kraftvärmeprod!$B$1:$VX$1,0),FALSE)/1,0)-IFERROR(VLOOKUP($B178,'Slutlig allokering kvv'!$B$2:$BX$549,MATCH(AD$2,'Slutlig allokering kvv'!$B$1:$BX$1,0),FALSE)/1,0))</f>
        <v/>
      </c>
      <c r="AE178" s="121" t="str">
        <f>IF($D178="","",IFERROR(VLOOKUP($B178,Miljö!$B$1:$E$550,MATCH("Hjälpel kraftvärme (GWh)",Miljö!$B$1:$E$1,0),FALSE)/1,0)-IFERROR(VLOOKUP($B178,'Slutlig allokering kvv'!$B$2:$BX$549,MATCH(AE$2,'Slutlig allokering kvv'!$B$1:$BX$1,0),FALSE)/1,0))</f>
        <v/>
      </c>
      <c r="AI178" s="121">
        <f t="shared" si="8"/>
        <v>0</v>
      </c>
      <c r="AK178" s="121">
        <f>IFERROR(VLOOKUP($B178,'Slutlig allokering kvv'!$B$2:$AX$549,MATCH("Summa slutlig allokerad tillförd energi (utan hjälpel och rökgaskondensering):",'Slutlig allokering kvv'!$B$1:$AX$1,0),FALSE)/1,"")</f>
        <v>0</v>
      </c>
      <c r="AM178" s="172" t="str">
        <f>IFERROR(1-VLOOKUP($B178,'Slutlig allokering kvv'!$B$2:$AX$549,MATCH("Andel av bränsle i kvv som allokerats till värme, exklusive rökgaskondensering och hjälpel",'Slutlig allokering kvv'!$B$1:$AX$1,0),FALSE),"")</f>
        <v/>
      </c>
      <c r="AO178" s="172" t="str">
        <f t="shared" si="9"/>
        <v/>
      </c>
      <c r="AP178" s="173" t="str">
        <f t="shared" si="10"/>
        <v/>
      </c>
      <c r="AR178" s="172" t="str">
        <f t="shared" si="11"/>
        <v/>
      </c>
    </row>
    <row r="179" spans="1:44" x14ac:dyDescent="0.25">
      <c r="A179" s="171" t="str">
        <f>'Miljövärden för publ företag'!B181</f>
        <v>Neova AB</v>
      </c>
      <c r="B179" s="171" t="str">
        <f>'Miljövärden för publ företag'!C181</f>
        <v>Gimo</v>
      </c>
      <c r="C179" s="121" t="str">
        <f>IFERROR(VLOOKUP($B179,Kraftvärmeprod!$B$1:$AH$478,MATCH(C$2,Kraftvärmeprod!$B$1:$AG$1,0),FALSE)/1,"")</f>
        <v/>
      </c>
      <c r="D179" s="121" t="str">
        <f>IFERROR(VLOOKUP($B179,Kraftvärmeprod!$B$1:$AH$478,MATCH(D$2,Kraftvärmeprod!$B$1:$AG$1,0),FALSE)/1,"")</f>
        <v/>
      </c>
      <c r="F179" s="121" t="str">
        <f>IF($D179="","",IFERROR(VLOOKUP($B179,Kraftvärmeprod!$B$1:$BX$549,MATCH(F$2,Kraftvärmeprod!$B$1:$VX$1,0),FALSE)/1,0)-IFERROR(VLOOKUP($B179,'Slutlig allokering kvv'!$B$2:$BX$549,MATCH(F$2,'Slutlig allokering kvv'!$B$1:$BX$1,0),FALSE)/1,0))</f>
        <v/>
      </c>
      <c r="G179" s="121" t="str">
        <f>IF($D179="","",IFERROR(VLOOKUP($B179,Kraftvärmeprod!$B$1:$BX$549,MATCH(G$2,Kraftvärmeprod!$B$1:$VX$1,0),FALSE)/1,0)-IFERROR(VLOOKUP($B179,'Slutlig allokering kvv'!$B$2:$BX$549,MATCH(G$2,'Slutlig allokering kvv'!$B$1:$BX$1,0),FALSE)/1,0))</f>
        <v/>
      </c>
      <c r="H179" s="121" t="str">
        <f>IF($D179="","",IFERROR(VLOOKUP($B179,Kraftvärmeprod!$B$1:$BX$549,MATCH(H$2,Kraftvärmeprod!$B$1:$VX$1,0),FALSE)/1,0)-IFERROR(VLOOKUP($B179,'Slutlig allokering kvv'!$B$2:$BX$549,MATCH(H$2,'Slutlig allokering kvv'!$B$1:$BX$1,0),FALSE)/1,0))</f>
        <v/>
      </c>
      <c r="I179" s="121" t="str">
        <f>IF($D179="","",IFERROR(VLOOKUP($B179,Kraftvärmeprod!$B$1:$BX$549,MATCH(I$2,Kraftvärmeprod!$B$1:$VX$1,0),FALSE)/1,0)-IFERROR(VLOOKUP($B179,'Slutlig allokering kvv'!$B$2:$BX$549,MATCH(I$2,'Slutlig allokering kvv'!$B$1:$BX$1,0),FALSE)/1,0))</f>
        <v/>
      </c>
      <c r="J179" s="121" t="str">
        <f>IF($D179="","",IFERROR(VLOOKUP($B179,Kraftvärmeprod!$B$1:$BX$549,MATCH(J$2,Kraftvärmeprod!$B$1:$VX$1,0),FALSE)/1,0)-IFERROR(VLOOKUP($B179,'Slutlig allokering kvv'!$B$2:$BX$549,MATCH(J$2,'Slutlig allokering kvv'!$B$1:$BX$1,0),FALSE)/1,0))</f>
        <v/>
      </c>
      <c r="K179" s="121" t="str">
        <f>IF($D179="","",IFERROR(VLOOKUP($B179,Kraftvärmeprod!$B$1:$BX$549,MATCH(K$2,Kraftvärmeprod!$B$1:$VX$1,0),FALSE)/1,0)-IFERROR(VLOOKUP($B179,'Slutlig allokering kvv'!$B$2:$BX$549,MATCH(K$2,'Slutlig allokering kvv'!$B$1:$BX$1,0),FALSE)/1,0))</f>
        <v/>
      </c>
      <c r="L179" s="121" t="str">
        <f>IF($D179="","",IFERROR(VLOOKUP($B179,Kraftvärmeprod!$B$1:$BX$549,MATCH(L$2,Kraftvärmeprod!$B$1:$VX$1,0),FALSE)/1,0)-IFERROR(VLOOKUP($B179,'Slutlig allokering kvv'!$B$2:$BX$549,MATCH(L$2,'Slutlig allokering kvv'!$B$1:$BX$1,0),FALSE)/1,0))</f>
        <v/>
      </c>
      <c r="M179" s="121" t="str">
        <f>IF($D179="","",IFERROR(VLOOKUP($B179,Kraftvärmeprod!$B$1:$BX$549,MATCH(M$2,Kraftvärmeprod!$B$1:$VX$1,0),FALSE)/1,0)-IFERROR(VLOOKUP($B179,'Slutlig allokering kvv'!$B$2:$BX$549,MATCH(M$2,'Slutlig allokering kvv'!$B$1:$BX$1,0),FALSE)/1,0))</f>
        <v/>
      </c>
      <c r="N179" s="121" t="str">
        <f>IF($D179="","",IFERROR(VLOOKUP($B179,Kraftvärmeprod!$B$1:$BX$549,MATCH(N$2,Kraftvärmeprod!$B$1:$VX$1,0),FALSE)/1,0)-IFERROR(VLOOKUP($B179,'Slutlig allokering kvv'!$B$2:$BX$549,MATCH(N$2,'Slutlig allokering kvv'!$B$1:$BX$1,0),FALSE)/1,0))</f>
        <v/>
      </c>
      <c r="O179" s="121" t="str">
        <f>IF($D179="","",IFERROR(VLOOKUP($B179,Kraftvärmeprod!$B$1:$BX$549,MATCH(O$2,Kraftvärmeprod!$B$1:$VX$1,0),FALSE)/1,0)-IFERROR(VLOOKUP($B179,'Slutlig allokering kvv'!$B$2:$BX$549,MATCH(O$2,'Slutlig allokering kvv'!$B$1:$BX$1,0),FALSE)/1,0))</f>
        <v/>
      </c>
      <c r="P179" s="121" t="str">
        <f>IF($D179="","",IFERROR(VLOOKUP($B179,Kraftvärmeprod!$B$1:$BX$549,MATCH(P$2,Kraftvärmeprod!$B$1:$VX$1,0),FALSE)/1,0)-IFERROR(VLOOKUP($B179,'Slutlig allokering kvv'!$B$2:$BX$549,MATCH(P$2,'Slutlig allokering kvv'!$B$1:$BX$1,0),FALSE)/1,0))</f>
        <v/>
      </c>
      <c r="Q179" s="121" t="str">
        <f>IF($D179="","",IFERROR(VLOOKUP($B179,Kraftvärmeprod!$B$1:$BX$549,MATCH(Q$2,Kraftvärmeprod!$B$1:$VX$1,0),FALSE)/1,0)-IFERROR(VLOOKUP($B179,'Slutlig allokering kvv'!$B$2:$BX$549,MATCH(Q$2,'Slutlig allokering kvv'!$B$1:$BX$1,0),FALSE)/1,0))</f>
        <v/>
      </c>
      <c r="R179" s="121" t="str">
        <f>IF($D179="","",IFERROR(VLOOKUP($B179,Kraftvärmeprod!$B$1:$BX$549,MATCH(R$2,Kraftvärmeprod!$B$1:$VX$1,0),FALSE)/1,0)-IFERROR(VLOOKUP($B179,'Slutlig allokering kvv'!$B$2:$BX$549,MATCH(R$2,'Slutlig allokering kvv'!$B$1:$BX$1,0),FALSE)/1,0))</f>
        <v/>
      </c>
      <c r="S179" s="121" t="str">
        <f>IF($D179="","",IFERROR(VLOOKUP($B179,Kraftvärmeprod!$B$1:$BX$549,MATCH(S$2,Kraftvärmeprod!$B$1:$VX$1,0),FALSE)/1,0)-IFERROR(VLOOKUP($B179,'Slutlig allokering kvv'!$B$2:$BX$549,MATCH(S$2,'Slutlig allokering kvv'!$B$1:$BX$1,0),FALSE)/1,0))</f>
        <v/>
      </c>
      <c r="T179" s="121" t="str">
        <f>IF($D179="","",IFERROR(VLOOKUP($B179,Kraftvärmeprod!$B$1:$BX$549,MATCH(T$2,Kraftvärmeprod!$B$1:$VX$1,0),FALSE)/1,0)-IFERROR(VLOOKUP($B179,'Slutlig allokering kvv'!$B$2:$BX$549,MATCH(T$2,'Slutlig allokering kvv'!$B$1:$BX$1,0),FALSE)/1,0))</f>
        <v/>
      </c>
      <c r="U179" s="121" t="str">
        <f>IF($D179="","",IFERROR(VLOOKUP($B179,Kraftvärmeprod!$B$1:$BX$549,MATCH(U$2,Kraftvärmeprod!$B$1:$VX$1,0),FALSE)/1,0)-IFERROR(VLOOKUP($B179,'Slutlig allokering kvv'!$B$2:$BX$549,MATCH(U$2,'Slutlig allokering kvv'!$B$1:$BX$1,0),FALSE)/1,0))</f>
        <v/>
      </c>
      <c r="V179" s="121" t="str">
        <f>IF($D179="","",IFERROR(VLOOKUP($B179,Kraftvärmeprod!$B$1:$BX$549,MATCH(V$2,Kraftvärmeprod!$B$1:$VX$1,0),FALSE)/1,0)-IFERROR(VLOOKUP($B179,'Slutlig allokering kvv'!$B$2:$BX$549,MATCH(V$2,'Slutlig allokering kvv'!$B$1:$BX$1,0),FALSE)/1,0))</f>
        <v/>
      </c>
      <c r="W179" s="121" t="str">
        <f>IF($D179="","",IFERROR(VLOOKUP($B179,Kraftvärmeprod!$B$1:$BX$549,MATCH(W$2,Kraftvärmeprod!$B$1:$VX$1,0),FALSE)/1,0)-IFERROR(VLOOKUP($B179,'Slutlig allokering kvv'!$B$2:$BX$549,MATCH(W$2,'Slutlig allokering kvv'!$B$1:$BX$1,0),FALSE)/1,0))</f>
        <v/>
      </c>
      <c r="X179" s="121" t="str">
        <f>IF($D179="","",IFERROR(VLOOKUP($B179,Kraftvärmeprod!$B$1:$BX$549,MATCH(X$2,Kraftvärmeprod!$B$1:$VX$1,0),FALSE)/1,0)-IFERROR(VLOOKUP($B179,'Slutlig allokering kvv'!$B$2:$BX$549,MATCH(X$2,'Slutlig allokering kvv'!$B$1:$BX$1,0),FALSE)/1,0))</f>
        <v/>
      </c>
      <c r="Y179" s="121" t="str">
        <f>IF($D179="","",IFERROR(VLOOKUP($B179,Kraftvärmeprod!$B$1:$BX$549,MATCH(Y$2,Kraftvärmeprod!$B$1:$VX$1,0),FALSE)/1,0)-IFERROR(VLOOKUP($B179,'Slutlig allokering kvv'!$B$2:$BX$549,MATCH(Y$2,'Slutlig allokering kvv'!$B$1:$BX$1,0),FALSE)/1,0))</f>
        <v/>
      </c>
      <c r="Z179" s="121" t="str">
        <f>IF($D179="","",IFERROR(VLOOKUP($B179,Kraftvärmeprod!$B$1:$BX$549,MATCH(Z$2,Kraftvärmeprod!$B$1:$VX$1,0),FALSE)/1,0)-IFERROR(VLOOKUP($B179,'Slutlig allokering kvv'!$B$2:$BX$549,MATCH(Z$2,'Slutlig allokering kvv'!$B$1:$BX$1,0),FALSE)/1,0))</f>
        <v/>
      </c>
      <c r="AA179" s="121" t="str">
        <f>IF($D179="","",IFERROR(VLOOKUP($B179,Kraftvärmeprod!$B$1:$BX$549,MATCH(AA$2,Kraftvärmeprod!$B$1:$VX$1,0),FALSE)/1,0)-IFERROR(VLOOKUP($B179,'Slutlig allokering kvv'!$B$2:$BX$549,MATCH(AA$2,'Slutlig allokering kvv'!$B$1:$BX$1,0),FALSE)/1,0))</f>
        <v/>
      </c>
      <c r="AB179" s="121" t="str">
        <f>IF($D179="","",IFERROR(VLOOKUP($B179,Kraftvärmeprod!$B$1:$BX$549,MATCH(AB$2,Kraftvärmeprod!$B$1:$VX$1,0),FALSE)/1,0)-IFERROR(VLOOKUP($B179,'Slutlig allokering kvv'!$B$2:$BX$549,MATCH(AB$2,'Slutlig allokering kvv'!$B$1:$BX$1,0),FALSE)/1,0))</f>
        <v/>
      </c>
      <c r="AC179" s="121" t="str">
        <f>IF($D179="","",IFERROR(VLOOKUP($B179,Kraftvärmeprod!$B$1:$BX$549,MATCH(AC$2,Kraftvärmeprod!$B$1:$VX$1,0),FALSE)/1,0)-IFERROR(VLOOKUP($B179,'Slutlig allokering kvv'!$B$2:$BX$549,MATCH(AC$2,'Slutlig allokering kvv'!$B$1:$BX$1,0),FALSE)/1,0))</f>
        <v/>
      </c>
      <c r="AD179" s="121" t="str">
        <f>IF($D179="","",IFERROR(VLOOKUP($B179,Kraftvärmeprod!$B$1:$BX$549,MATCH(AD$2,Kraftvärmeprod!$B$1:$VX$1,0),FALSE)/1,0)-IFERROR(VLOOKUP($B179,'Slutlig allokering kvv'!$B$2:$BX$549,MATCH(AD$2,'Slutlig allokering kvv'!$B$1:$BX$1,0),FALSE)/1,0))</f>
        <v/>
      </c>
      <c r="AE179" s="121" t="str">
        <f>IF($D179="","",IFERROR(VLOOKUP($B179,Miljö!$B$1:$E$550,MATCH("Hjälpel kraftvärme (GWh)",Miljö!$B$1:$E$1,0),FALSE)/1,0)-IFERROR(VLOOKUP($B179,'Slutlig allokering kvv'!$B$2:$BX$549,MATCH(AE$2,'Slutlig allokering kvv'!$B$1:$BX$1,0),FALSE)/1,0))</f>
        <v/>
      </c>
      <c r="AI179" s="121">
        <f t="shared" si="8"/>
        <v>0</v>
      </c>
      <c r="AK179" s="121">
        <f>IFERROR(VLOOKUP($B179,'Slutlig allokering kvv'!$B$2:$AX$549,MATCH("Summa slutlig allokerad tillförd energi (utan hjälpel och rökgaskondensering):",'Slutlig allokering kvv'!$B$1:$AX$1,0),FALSE)/1,"")</f>
        <v>0</v>
      </c>
      <c r="AM179" s="172" t="str">
        <f>IFERROR(1-VLOOKUP($B179,'Slutlig allokering kvv'!$B$2:$AX$549,MATCH("Andel av bränsle i kvv som allokerats till värme, exklusive rökgaskondensering och hjälpel",'Slutlig allokering kvv'!$B$1:$AX$1,0),FALSE),"")</f>
        <v/>
      </c>
      <c r="AO179" s="172" t="str">
        <f t="shared" si="9"/>
        <v/>
      </c>
      <c r="AP179" s="173" t="str">
        <f t="shared" si="10"/>
        <v/>
      </c>
      <c r="AR179" s="172" t="str">
        <f t="shared" si="11"/>
        <v/>
      </c>
    </row>
    <row r="180" spans="1:44" x14ac:dyDescent="0.25">
      <c r="A180" s="171" t="str">
        <f>'Miljövärden för publ företag'!B182</f>
        <v>Neova AB</v>
      </c>
      <c r="B180" s="171" t="str">
        <f>'Miljövärden för publ företag'!C182</f>
        <v>Hultsfred</v>
      </c>
      <c r="C180" s="121" t="str">
        <f>IFERROR(VLOOKUP($B180,Kraftvärmeprod!$B$1:$AH$478,MATCH(C$2,Kraftvärmeprod!$B$1:$AG$1,0),FALSE)/1,"")</f>
        <v/>
      </c>
      <c r="D180" s="121" t="str">
        <f>IFERROR(VLOOKUP($B180,Kraftvärmeprod!$B$1:$AH$478,MATCH(D$2,Kraftvärmeprod!$B$1:$AG$1,0),FALSE)/1,"")</f>
        <v/>
      </c>
      <c r="F180" s="121" t="str">
        <f>IF($D180="","",IFERROR(VLOOKUP($B180,Kraftvärmeprod!$B$1:$BX$549,MATCH(F$2,Kraftvärmeprod!$B$1:$VX$1,0),FALSE)/1,0)-IFERROR(VLOOKUP($B180,'Slutlig allokering kvv'!$B$2:$BX$549,MATCH(F$2,'Slutlig allokering kvv'!$B$1:$BX$1,0),FALSE)/1,0))</f>
        <v/>
      </c>
      <c r="G180" s="121" t="str">
        <f>IF($D180="","",IFERROR(VLOOKUP($B180,Kraftvärmeprod!$B$1:$BX$549,MATCH(G$2,Kraftvärmeprod!$B$1:$VX$1,0),FALSE)/1,0)-IFERROR(VLOOKUP($B180,'Slutlig allokering kvv'!$B$2:$BX$549,MATCH(G$2,'Slutlig allokering kvv'!$B$1:$BX$1,0),FALSE)/1,0))</f>
        <v/>
      </c>
      <c r="H180" s="121" t="str">
        <f>IF($D180="","",IFERROR(VLOOKUP($B180,Kraftvärmeprod!$B$1:$BX$549,MATCH(H$2,Kraftvärmeprod!$B$1:$VX$1,0),FALSE)/1,0)-IFERROR(VLOOKUP($B180,'Slutlig allokering kvv'!$B$2:$BX$549,MATCH(H$2,'Slutlig allokering kvv'!$B$1:$BX$1,0),FALSE)/1,0))</f>
        <v/>
      </c>
      <c r="I180" s="121" t="str">
        <f>IF($D180="","",IFERROR(VLOOKUP($B180,Kraftvärmeprod!$B$1:$BX$549,MATCH(I$2,Kraftvärmeprod!$B$1:$VX$1,0),FALSE)/1,0)-IFERROR(VLOOKUP($B180,'Slutlig allokering kvv'!$B$2:$BX$549,MATCH(I$2,'Slutlig allokering kvv'!$B$1:$BX$1,0),FALSE)/1,0))</f>
        <v/>
      </c>
      <c r="J180" s="121" t="str">
        <f>IF($D180="","",IFERROR(VLOOKUP($B180,Kraftvärmeprod!$B$1:$BX$549,MATCH(J$2,Kraftvärmeprod!$B$1:$VX$1,0),FALSE)/1,0)-IFERROR(VLOOKUP($B180,'Slutlig allokering kvv'!$B$2:$BX$549,MATCH(J$2,'Slutlig allokering kvv'!$B$1:$BX$1,0),FALSE)/1,0))</f>
        <v/>
      </c>
      <c r="K180" s="121" t="str">
        <f>IF($D180="","",IFERROR(VLOOKUP($B180,Kraftvärmeprod!$B$1:$BX$549,MATCH(K$2,Kraftvärmeprod!$B$1:$VX$1,0),FALSE)/1,0)-IFERROR(VLOOKUP($B180,'Slutlig allokering kvv'!$B$2:$BX$549,MATCH(K$2,'Slutlig allokering kvv'!$B$1:$BX$1,0),FALSE)/1,0))</f>
        <v/>
      </c>
      <c r="L180" s="121" t="str">
        <f>IF($D180="","",IFERROR(VLOOKUP($B180,Kraftvärmeprod!$B$1:$BX$549,MATCH(L$2,Kraftvärmeprod!$B$1:$VX$1,0),FALSE)/1,0)-IFERROR(VLOOKUP($B180,'Slutlig allokering kvv'!$B$2:$BX$549,MATCH(L$2,'Slutlig allokering kvv'!$B$1:$BX$1,0),FALSE)/1,0))</f>
        <v/>
      </c>
      <c r="M180" s="121" t="str">
        <f>IF($D180="","",IFERROR(VLOOKUP($B180,Kraftvärmeprod!$B$1:$BX$549,MATCH(M$2,Kraftvärmeprod!$B$1:$VX$1,0),FALSE)/1,0)-IFERROR(VLOOKUP($B180,'Slutlig allokering kvv'!$B$2:$BX$549,MATCH(M$2,'Slutlig allokering kvv'!$B$1:$BX$1,0),FALSE)/1,0))</f>
        <v/>
      </c>
      <c r="N180" s="121" t="str">
        <f>IF($D180="","",IFERROR(VLOOKUP($B180,Kraftvärmeprod!$B$1:$BX$549,MATCH(N$2,Kraftvärmeprod!$B$1:$VX$1,0),FALSE)/1,0)-IFERROR(VLOOKUP($B180,'Slutlig allokering kvv'!$B$2:$BX$549,MATCH(N$2,'Slutlig allokering kvv'!$B$1:$BX$1,0),FALSE)/1,0))</f>
        <v/>
      </c>
      <c r="O180" s="121" t="str">
        <f>IF($D180="","",IFERROR(VLOOKUP($B180,Kraftvärmeprod!$B$1:$BX$549,MATCH(O$2,Kraftvärmeprod!$B$1:$VX$1,0),FALSE)/1,0)-IFERROR(VLOOKUP($B180,'Slutlig allokering kvv'!$B$2:$BX$549,MATCH(O$2,'Slutlig allokering kvv'!$B$1:$BX$1,0),FALSE)/1,0))</f>
        <v/>
      </c>
      <c r="P180" s="121" t="str">
        <f>IF($D180="","",IFERROR(VLOOKUP($B180,Kraftvärmeprod!$B$1:$BX$549,MATCH(P$2,Kraftvärmeprod!$B$1:$VX$1,0),FALSE)/1,0)-IFERROR(VLOOKUP($B180,'Slutlig allokering kvv'!$B$2:$BX$549,MATCH(P$2,'Slutlig allokering kvv'!$B$1:$BX$1,0),FALSE)/1,0))</f>
        <v/>
      </c>
      <c r="Q180" s="121" t="str">
        <f>IF($D180="","",IFERROR(VLOOKUP($B180,Kraftvärmeprod!$B$1:$BX$549,MATCH(Q$2,Kraftvärmeprod!$B$1:$VX$1,0),FALSE)/1,0)-IFERROR(VLOOKUP($B180,'Slutlig allokering kvv'!$B$2:$BX$549,MATCH(Q$2,'Slutlig allokering kvv'!$B$1:$BX$1,0),FALSE)/1,0))</f>
        <v/>
      </c>
      <c r="R180" s="121" t="str">
        <f>IF($D180="","",IFERROR(VLOOKUP($B180,Kraftvärmeprod!$B$1:$BX$549,MATCH(R$2,Kraftvärmeprod!$B$1:$VX$1,0),FALSE)/1,0)-IFERROR(VLOOKUP($B180,'Slutlig allokering kvv'!$B$2:$BX$549,MATCH(R$2,'Slutlig allokering kvv'!$B$1:$BX$1,0),FALSE)/1,0))</f>
        <v/>
      </c>
      <c r="S180" s="121" t="str">
        <f>IF($D180="","",IFERROR(VLOOKUP($B180,Kraftvärmeprod!$B$1:$BX$549,MATCH(S$2,Kraftvärmeprod!$B$1:$VX$1,0),FALSE)/1,0)-IFERROR(VLOOKUP($B180,'Slutlig allokering kvv'!$B$2:$BX$549,MATCH(S$2,'Slutlig allokering kvv'!$B$1:$BX$1,0),FALSE)/1,0))</f>
        <v/>
      </c>
      <c r="T180" s="121" t="str">
        <f>IF($D180="","",IFERROR(VLOOKUP($B180,Kraftvärmeprod!$B$1:$BX$549,MATCH(T$2,Kraftvärmeprod!$B$1:$VX$1,0),FALSE)/1,0)-IFERROR(VLOOKUP($B180,'Slutlig allokering kvv'!$B$2:$BX$549,MATCH(T$2,'Slutlig allokering kvv'!$B$1:$BX$1,0),FALSE)/1,0))</f>
        <v/>
      </c>
      <c r="U180" s="121" t="str">
        <f>IF($D180="","",IFERROR(VLOOKUP($B180,Kraftvärmeprod!$B$1:$BX$549,MATCH(U$2,Kraftvärmeprod!$B$1:$VX$1,0),FALSE)/1,0)-IFERROR(VLOOKUP($B180,'Slutlig allokering kvv'!$B$2:$BX$549,MATCH(U$2,'Slutlig allokering kvv'!$B$1:$BX$1,0),FALSE)/1,0))</f>
        <v/>
      </c>
      <c r="V180" s="121" t="str">
        <f>IF($D180="","",IFERROR(VLOOKUP($B180,Kraftvärmeprod!$B$1:$BX$549,MATCH(V$2,Kraftvärmeprod!$B$1:$VX$1,0),FALSE)/1,0)-IFERROR(VLOOKUP($B180,'Slutlig allokering kvv'!$B$2:$BX$549,MATCH(V$2,'Slutlig allokering kvv'!$B$1:$BX$1,0),FALSE)/1,0))</f>
        <v/>
      </c>
      <c r="W180" s="121" t="str">
        <f>IF($D180="","",IFERROR(VLOOKUP($B180,Kraftvärmeprod!$B$1:$BX$549,MATCH(W$2,Kraftvärmeprod!$B$1:$VX$1,0),FALSE)/1,0)-IFERROR(VLOOKUP($B180,'Slutlig allokering kvv'!$B$2:$BX$549,MATCH(W$2,'Slutlig allokering kvv'!$B$1:$BX$1,0),FALSE)/1,0))</f>
        <v/>
      </c>
      <c r="X180" s="121" t="str">
        <f>IF($D180="","",IFERROR(VLOOKUP($B180,Kraftvärmeprod!$B$1:$BX$549,MATCH(X$2,Kraftvärmeprod!$B$1:$VX$1,0),FALSE)/1,0)-IFERROR(VLOOKUP($B180,'Slutlig allokering kvv'!$B$2:$BX$549,MATCH(X$2,'Slutlig allokering kvv'!$B$1:$BX$1,0),FALSE)/1,0))</f>
        <v/>
      </c>
      <c r="Y180" s="121" t="str">
        <f>IF($D180="","",IFERROR(VLOOKUP($B180,Kraftvärmeprod!$B$1:$BX$549,MATCH(Y$2,Kraftvärmeprod!$B$1:$VX$1,0),FALSE)/1,0)-IFERROR(VLOOKUP($B180,'Slutlig allokering kvv'!$B$2:$BX$549,MATCH(Y$2,'Slutlig allokering kvv'!$B$1:$BX$1,0),FALSE)/1,0))</f>
        <v/>
      </c>
      <c r="Z180" s="121" t="str">
        <f>IF($D180="","",IFERROR(VLOOKUP($B180,Kraftvärmeprod!$B$1:$BX$549,MATCH(Z$2,Kraftvärmeprod!$B$1:$VX$1,0),FALSE)/1,0)-IFERROR(VLOOKUP($B180,'Slutlig allokering kvv'!$B$2:$BX$549,MATCH(Z$2,'Slutlig allokering kvv'!$B$1:$BX$1,0),FALSE)/1,0))</f>
        <v/>
      </c>
      <c r="AA180" s="121" t="str">
        <f>IF($D180="","",IFERROR(VLOOKUP($B180,Kraftvärmeprod!$B$1:$BX$549,MATCH(AA$2,Kraftvärmeprod!$B$1:$VX$1,0),FALSE)/1,0)-IFERROR(VLOOKUP($B180,'Slutlig allokering kvv'!$B$2:$BX$549,MATCH(AA$2,'Slutlig allokering kvv'!$B$1:$BX$1,0),FALSE)/1,0))</f>
        <v/>
      </c>
      <c r="AB180" s="121" t="str">
        <f>IF($D180="","",IFERROR(VLOOKUP($B180,Kraftvärmeprod!$B$1:$BX$549,MATCH(AB$2,Kraftvärmeprod!$B$1:$VX$1,0),FALSE)/1,0)-IFERROR(VLOOKUP($B180,'Slutlig allokering kvv'!$B$2:$BX$549,MATCH(AB$2,'Slutlig allokering kvv'!$B$1:$BX$1,0),FALSE)/1,0))</f>
        <v/>
      </c>
      <c r="AC180" s="121" t="str">
        <f>IF($D180="","",IFERROR(VLOOKUP($B180,Kraftvärmeprod!$B$1:$BX$549,MATCH(AC$2,Kraftvärmeprod!$B$1:$VX$1,0),FALSE)/1,0)-IFERROR(VLOOKUP($B180,'Slutlig allokering kvv'!$B$2:$BX$549,MATCH(AC$2,'Slutlig allokering kvv'!$B$1:$BX$1,0),FALSE)/1,0))</f>
        <v/>
      </c>
      <c r="AD180" s="121" t="str">
        <f>IF($D180="","",IFERROR(VLOOKUP($B180,Kraftvärmeprod!$B$1:$BX$549,MATCH(AD$2,Kraftvärmeprod!$B$1:$VX$1,0),FALSE)/1,0)-IFERROR(VLOOKUP($B180,'Slutlig allokering kvv'!$B$2:$BX$549,MATCH(AD$2,'Slutlig allokering kvv'!$B$1:$BX$1,0),FALSE)/1,0))</f>
        <v/>
      </c>
      <c r="AE180" s="121" t="str">
        <f>IF($D180="","",IFERROR(VLOOKUP($B180,Miljö!$B$1:$E$550,MATCH("Hjälpel kraftvärme (GWh)",Miljö!$B$1:$E$1,0),FALSE)/1,0)-IFERROR(VLOOKUP($B180,'Slutlig allokering kvv'!$B$2:$BX$549,MATCH(AE$2,'Slutlig allokering kvv'!$B$1:$BX$1,0),FALSE)/1,0))</f>
        <v/>
      </c>
      <c r="AI180" s="121">
        <f t="shared" si="8"/>
        <v>0</v>
      </c>
      <c r="AK180" s="121">
        <f>IFERROR(VLOOKUP($B180,'Slutlig allokering kvv'!$B$2:$AX$549,MATCH("Summa slutlig allokerad tillförd energi (utan hjälpel och rökgaskondensering):",'Slutlig allokering kvv'!$B$1:$AX$1,0),FALSE)/1,"")</f>
        <v>0</v>
      </c>
      <c r="AM180" s="172" t="str">
        <f>IFERROR(1-VLOOKUP($B180,'Slutlig allokering kvv'!$B$2:$AX$549,MATCH("Andel av bränsle i kvv som allokerats till värme, exklusive rökgaskondensering och hjälpel",'Slutlig allokering kvv'!$B$1:$AX$1,0),FALSE),"")</f>
        <v/>
      </c>
      <c r="AO180" s="172" t="str">
        <f t="shared" si="9"/>
        <v/>
      </c>
      <c r="AP180" s="173" t="str">
        <f t="shared" si="10"/>
        <v/>
      </c>
      <c r="AR180" s="172" t="str">
        <f t="shared" si="11"/>
        <v/>
      </c>
    </row>
    <row r="181" spans="1:44" x14ac:dyDescent="0.25">
      <c r="A181" s="171" t="str">
        <f>'Miljövärden för publ företag'!B183</f>
        <v>Neova AB</v>
      </c>
      <c r="B181" s="171" t="str">
        <f>'Miljövärden för publ företag'!C183</f>
        <v>Kramfors</v>
      </c>
      <c r="C181" s="121" t="str">
        <f>IFERROR(VLOOKUP($B181,Kraftvärmeprod!$B$1:$AH$478,MATCH(C$2,Kraftvärmeprod!$B$1:$AG$1,0),FALSE)/1,"")</f>
        <v/>
      </c>
      <c r="D181" s="121" t="str">
        <f>IFERROR(VLOOKUP($B181,Kraftvärmeprod!$B$1:$AH$478,MATCH(D$2,Kraftvärmeprod!$B$1:$AG$1,0),FALSE)/1,"")</f>
        <v/>
      </c>
      <c r="F181" s="121" t="str">
        <f>IF($D181="","",IFERROR(VLOOKUP($B181,Kraftvärmeprod!$B$1:$BX$549,MATCH(F$2,Kraftvärmeprod!$B$1:$VX$1,0),FALSE)/1,0)-IFERROR(VLOOKUP($B181,'Slutlig allokering kvv'!$B$2:$BX$549,MATCH(F$2,'Slutlig allokering kvv'!$B$1:$BX$1,0),FALSE)/1,0))</f>
        <v/>
      </c>
      <c r="G181" s="121" t="str">
        <f>IF($D181="","",IFERROR(VLOOKUP($B181,Kraftvärmeprod!$B$1:$BX$549,MATCH(G$2,Kraftvärmeprod!$B$1:$VX$1,0),FALSE)/1,0)-IFERROR(VLOOKUP($B181,'Slutlig allokering kvv'!$B$2:$BX$549,MATCH(G$2,'Slutlig allokering kvv'!$B$1:$BX$1,0),FALSE)/1,0))</f>
        <v/>
      </c>
      <c r="H181" s="121" t="str">
        <f>IF($D181="","",IFERROR(VLOOKUP($B181,Kraftvärmeprod!$B$1:$BX$549,MATCH(H$2,Kraftvärmeprod!$B$1:$VX$1,0),FALSE)/1,0)-IFERROR(VLOOKUP($B181,'Slutlig allokering kvv'!$B$2:$BX$549,MATCH(H$2,'Slutlig allokering kvv'!$B$1:$BX$1,0),FALSE)/1,0))</f>
        <v/>
      </c>
      <c r="I181" s="121" t="str">
        <f>IF($D181="","",IFERROR(VLOOKUP($B181,Kraftvärmeprod!$B$1:$BX$549,MATCH(I$2,Kraftvärmeprod!$B$1:$VX$1,0),FALSE)/1,0)-IFERROR(VLOOKUP($B181,'Slutlig allokering kvv'!$B$2:$BX$549,MATCH(I$2,'Slutlig allokering kvv'!$B$1:$BX$1,0),FALSE)/1,0))</f>
        <v/>
      </c>
      <c r="J181" s="121" t="str">
        <f>IF($D181="","",IFERROR(VLOOKUP($B181,Kraftvärmeprod!$B$1:$BX$549,MATCH(J$2,Kraftvärmeprod!$B$1:$VX$1,0),FALSE)/1,0)-IFERROR(VLOOKUP($B181,'Slutlig allokering kvv'!$B$2:$BX$549,MATCH(J$2,'Slutlig allokering kvv'!$B$1:$BX$1,0),FALSE)/1,0))</f>
        <v/>
      </c>
      <c r="K181" s="121" t="str">
        <f>IF($D181="","",IFERROR(VLOOKUP($B181,Kraftvärmeprod!$B$1:$BX$549,MATCH(K$2,Kraftvärmeprod!$B$1:$VX$1,0),FALSE)/1,0)-IFERROR(VLOOKUP($B181,'Slutlig allokering kvv'!$B$2:$BX$549,MATCH(K$2,'Slutlig allokering kvv'!$B$1:$BX$1,0),FALSE)/1,0))</f>
        <v/>
      </c>
      <c r="L181" s="121" t="str">
        <f>IF($D181="","",IFERROR(VLOOKUP($B181,Kraftvärmeprod!$B$1:$BX$549,MATCH(L$2,Kraftvärmeprod!$B$1:$VX$1,0),FALSE)/1,0)-IFERROR(VLOOKUP($B181,'Slutlig allokering kvv'!$B$2:$BX$549,MATCH(L$2,'Slutlig allokering kvv'!$B$1:$BX$1,0),FALSE)/1,0))</f>
        <v/>
      </c>
      <c r="M181" s="121" t="str">
        <f>IF($D181="","",IFERROR(VLOOKUP($B181,Kraftvärmeprod!$B$1:$BX$549,MATCH(M$2,Kraftvärmeprod!$B$1:$VX$1,0),FALSE)/1,0)-IFERROR(VLOOKUP($B181,'Slutlig allokering kvv'!$B$2:$BX$549,MATCH(M$2,'Slutlig allokering kvv'!$B$1:$BX$1,0),FALSE)/1,0))</f>
        <v/>
      </c>
      <c r="N181" s="121" t="str">
        <f>IF($D181="","",IFERROR(VLOOKUP($B181,Kraftvärmeprod!$B$1:$BX$549,MATCH(N$2,Kraftvärmeprod!$B$1:$VX$1,0),FALSE)/1,0)-IFERROR(VLOOKUP($B181,'Slutlig allokering kvv'!$B$2:$BX$549,MATCH(N$2,'Slutlig allokering kvv'!$B$1:$BX$1,0),FALSE)/1,0))</f>
        <v/>
      </c>
      <c r="O181" s="121" t="str">
        <f>IF($D181="","",IFERROR(VLOOKUP($B181,Kraftvärmeprod!$B$1:$BX$549,MATCH(O$2,Kraftvärmeprod!$B$1:$VX$1,0),FALSE)/1,0)-IFERROR(VLOOKUP($B181,'Slutlig allokering kvv'!$B$2:$BX$549,MATCH(O$2,'Slutlig allokering kvv'!$B$1:$BX$1,0),FALSE)/1,0))</f>
        <v/>
      </c>
      <c r="P181" s="121" t="str">
        <f>IF($D181="","",IFERROR(VLOOKUP($B181,Kraftvärmeprod!$B$1:$BX$549,MATCH(P$2,Kraftvärmeprod!$B$1:$VX$1,0),FALSE)/1,0)-IFERROR(VLOOKUP($B181,'Slutlig allokering kvv'!$B$2:$BX$549,MATCH(P$2,'Slutlig allokering kvv'!$B$1:$BX$1,0),FALSE)/1,0))</f>
        <v/>
      </c>
      <c r="Q181" s="121" t="str">
        <f>IF($D181="","",IFERROR(VLOOKUP($B181,Kraftvärmeprod!$B$1:$BX$549,MATCH(Q$2,Kraftvärmeprod!$B$1:$VX$1,0),FALSE)/1,0)-IFERROR(VLOOKUP($B181,'Slutlig allokering kvv'!$B$2:$BX$549,MATCH(Q$2,'Slutlig allokering kvv'!$B$1:$BX$1,0),FALSE)/1,0))</f>
        <v/>
      </c>
      <c r="R181" s="121" t="str">
        <f>IF($D181="","",IFERROR(VLOOKUP($B181,Kraftvärmeprod!$B$1:$BX$549,MATCH(R$2,Kraftvärmeprod!$B$1:$VX$1,0),FALSE)/1,0)-IFERROR(VLOOKUP($B181,'Slutlig allokering kvv'!$B$2:$BX$549,MATCH(R$2,'Slutlig allokering kvv'!$B$1:$BX$1,0),FALSE)/1,0))</f>
        <v/>
      </c>
      <c r="S181" s="121" t="str">
        <f>IF($D181="","",IFERROR(VLOOKUP($B181,Kraftvärmeprod!$B$1:$BX$549,MATCH(S$2,Kraftvärmeprod!$B$1:$VX$1,0),FALSE)/1,0)-IFERROR(VLOOKUP($B181,'Slutlig allokering kvv'!$B$2:$BX$549,MATCH(S$2,'Slutlig allokering kvv'!$B$1:$BX$1,0),FALSE)/1,0))</f>
        <v/>
      </c>
      <c r="T181" s="121" t="str">
        <f>IF($D181="","",IFERROR(VLOOKUP($B181,Kraftvärmeprod!$B$1:$BX$549,MATCH(T$2,Kraftvärmeprod!$B$1:$VX$1,0),FALSE)/1,0)-IFERROR(VLOOKUP($B181,'Slutlig allokering kvv'!$B$2:$BX$549,MATCH(T$2,'Slutlig allokering kvv'!$B$1:$BX$1,0),FALSE)/1,0))</f>
        <v/>
      </c>
      <c r="U181" s="121" t="str">
        <f>IF($D181="","",IFERROR(VLOOKUP($B181,Kraftvärmeprod!$B$1:$BX$549,MATCH(U$2,Kraftvärmeprod!$B$1:$VX$1,0),FALSE)/1,0)-IFERROR(VLOOKUP($B181,'Slutlig allokering kvv'!$B$2:$BX$549,MATCH(U$2,'Slutlig allokering kvv'!$B$1:$BX$1,0),FALSE)/1,0))</f>
        <v/>
      </c>
      <c r="V181" s="121" t="str">
        <f>IF($D181="","",IFERROR(VLOOKUP($B181,Kraftvärmeprod!$B$1:$BX$549,MATCH(V$2,Kraftvärmeprod!$B$1:$VX$1,0),FALSE)/1,0)-IFERROR(VLOOKUP($B181,'Slutlig allokering kvv'!$B$2:$BX$549,MATCH(V$2,'Slutlig allokering kvv'!$B$1:$BX$1,0),FALSE)/1,0))</f>
        <v/>
      </c>
      <c r="W181" s="121" t="str">
        <f>IF($D181="","",IFERROR(VLOOKUP($B181,Kraftvärmeprod!$B$1:$BX$549,MATCH(W$2,Kraftvärmeprod!$B$1:$VX$1,0),FALSE)/1,0)-IFERROR(VLOOKUP($B181,'Slutlig allokering kvv'!$B$2:$BX$549,MATCH(W$2,'Slutlig allokering kvv'!$B$1:$BX$1,0),FALSE)/1,0))</f>
        <v/>
      </c>
      <c r="X181" s="121" t="str">
        <f>IF($D181="","",IFERROR(VLOOKUP($B181,Kraftvärmeprod!$B$1:$BX$549,MATCH(X$2,Kraftvärmeprod!$B$1:$VX$1,0),FALSE)/1,0)-IFERROR(VLOOKUP($B181,'Slutlig allokering kvv'!$B$2:$BX$549,MATCH(X$2,'Slutlig allokering kvv'!$B$1:$BX$1,0),FALSE)/1,0))</f>
        <v/>
      </c>
      <c r="Y181" s="121" t="str">
        <f>IF($D181="","",IFERROR(VLOOKUP($B181,Kraftvärmeprod!$B$1:$BX$549,MATCH(Y$2,Kraftvärmeprod!$B$1:$VX$1,0),FALSE)/1,0)-IFERROR(VLOOKUP($B181,'Slutlig allokering kvv'!$B$2:$BX$549,MATCH(Y$2,'Slutlig allokering kvv'!$B$1:$BX$1,0),FALSE)/1,0))</f>
        <v/>
      </c>
      <c r="Z181" s="121" t="str">
        <f>IF($D181="","",IFERROR(VLOOKUP($B181,Kraftvärmeprod!$B$1:$BX$549,MATCH(Z$2,Kraftvärmeprod!$B$1:$VX$1,0),FALSE)/1,0)-IFERROR(VLOOKUP($B181,'Slutlig allokering kvv'!$B$2:$BX$549,MATCH(Z$2,'Slutlig allokering kvv'!$B$1:$BX$1,0),FALSE)/1,0))</f>
        <v/>
      </c>
      <c r="AA181" s="121" t="str">
        <f>IF($D181="","",IFERROR(VLOOKUP($B181,Kraftvärmeprod!$B$1:$BX$549,MATCH(AA$2,Kraftvärmeprod!$B$1:$VX$1,0),FALSE)/1,0)-IFERROR(VLOOKUP($B181,'Slutlig allokering kvv'!$B$2:$BX$549,MATCH(AA$2,'Slutlig allokering kvv'!$B$1:$BX$1,0),FALSE)/1,0))</f>
        <v/>
      </c>
      <c r="AB181" s="121" t="str">
        <f>IF($D181="","",IFERROR(VLOOKUP($B181,Kraftvärmeprod!$B$1:$BX$549,MATCH(AB$2,Kraftvärmeprod!$B$1:$VX$1,0),FALSE)/1,0)-IFERROR(VLOOKUP($B181,'Slutlig allokering kvv'!$B$2:$BX$549,MATCH(AB$2,'Slutlig allokering kvv'!$B$1:$BX$1,0),FALSE)/1,0))</f>
        <v/>
      </c>
      <c r="AC181" s="121" t="str">
        <f>IF($D181="","",IFERROR(VLOOKUP($B181,Kraftvärmeprod!$B$1:$BX$549,MATCH(AC$2,Kraftvärmeprod!$B$1:$VX$1,0),FALSE)/1,0)-IFERROR(VLOOKUP($B181,'Slutlig allokering kvv'!$B$2:$BX$549,MATCH(AC$2,'Slutlig allokering kvv'!$B$1:$BX$1,0),FALSE)/1,0))</f>
        <v/>
      </c>
      <c r="AD181" s="121" t="str">
        <f>IF($D181="","",IFERROR(VLOOKUP($B181,Kraftvärmeprod!$B$1:$BX$549,MATCH(AD$2,Kraftvärmeprod!$B$1:$VX$1,0),FALSE)/1,0)-IFERROR(VLOOKUP($B181,'Slutlig allokering kvv'!$B$2:$BX$549,MATCH(AD$2,'Slutlig allokering kvv'!$B$1:$BX$1,0),FALSE)/1,0))</f>
        <v/>
      </c>
      <c r="AE181" s="121" t="str">
        <f>IF($D181="","",IFERROR(VLOOKUP($B181,Miljö!$B$1:$E$550,MATCH("Hjälpel kraftvärme (GWh)",Miljö!$B$1:$E$1,0),FALSE)/1,0)-IFERROR(VLOOKUP($B181,'Slutlig allokering kvv'!$B$2:$BX$549,MATCH(AE$2,'Slutlig allokering kvv'!$B$1:$BX$1,0),FALSE)/1,0))</f>
        <v/>
      </c>
      <c r="AI181" s="121">
        <f t="shared" si="8"/>
        <v>0</v>
      </c>
      <c r="AK181" s="121">
        <f>IFERROR(VLOOKUP($B181,'Slutlig allokering kvv'!$B$2:$AX$549,MATCH("Summa slutlig allokerad tillförd energi (utan hjälpel och rökgaskondensering):",'Slutlig allokering kvv'!$B$1:$AX$1,0),FALSE)/1,"")</f>
        <v>0</v>
      </c>
      <c r="AM181" s="172" t="str">
        <f>IFERROR(1-VLOOKUP($B181,'Slutlig allokering kvv'!$B$2:$AX$549,MATCH("Andel av bränsle i kvv som allokerats till värme, exklusive rökgaskondensering och hjälpel",'Slutlig allokering kvv'!$B$1:$AX$1,0),FALSE),"")</f>
        <v/>
      </c>
      <c r="AO181" s="172" t="str">
        <f t="shared" si="9"/>
        <v/>
      </c>
      <c r="AP181" s="173" t="str">
        <f t="shared" si="10"/>
        <v/>
      </c>
      <c r="AR181" s="172" t="str">
        <f t="shared" si="11"/>
        <v/>
      </c>
    </row>
    <row r="182" spans="1:44" x14ac:dyDescent="0.25">
      <c r="A182" s="171" t="str">
        <f>'Miljövärden för publ företag'!B184</f>
        <v>Neova AB</v>
      </c>
      <c r="B182" s="171" t="str">
        <f>'Miljövärden för publ företag'!C184</f>
        <v>Smålandsstenar</v>
      </c>
      <c r="C182" s="121" t="str">
        <f>IFERROR(VLOOKUP($B182,Kraftvärmeprod!$B$1:$AH$478,MATCH(C$2,Kraftvärmeprod!$B$1:$AG$1,0),FALSE)/1,"")</f>
        <v/>
      </c>
      <c r="D182" s="121" t="str">
        <f>IFERROR(VLOOKUP($B182,Kraftvärmeprod!$B$1:$AH$478,MATCH(D$2,Kraftvärmeprod!$B$1:$AG$1,0),FALSE)/1,"")</f>
        <v/>
      </c>
      <c r="F182" s="121" t="str">
        <f>IF($D182="","",IFERROR(VLOOKUP($B182,Kraftvärmeprod!$B$1:$BX$549,MATCH(F$2,Kraftvärmeprod!$B$1:$VX$1,0),FALSE)/1,0)-IFERROR(VLOOKUP($B182,'Slutlig allokering kvv'!$B$2:$BX$549,MATCH(F$2,'Slutlig allokering kvv'!$B$1:$BX$1,0),FALSE)/1,0))</f>
        <v/>
      </c>
      <c r="G182" s="121" t="str">
        <f>IF($D182="","",IFERROR(VLOOKUP($B182,Kraftvärmeprod!$B$1:$BX$549,MATCH(G$2,Kraftvärmeprod!$B$1:$VX$1,0),FALSE)/1,0)-IFERROR(VLOOKUP($B182,'Slutlig allokering kvv'!$B$2:$BX$549,MATCH(G$2,'Slutlig allokering kvv'!$B$1:$BX$1,0),FALSE)/1,0))</f>
        <v/>
      </c>
      <c r="H182" s="121" t="str">
        <f>IF($D182="","",IFERROR(VLOOKUP($B182,Kraftvärmeprod!$B$1:$BX$549,MATCH(H$2,Kraftvärmeprod!$B$1:$VX$1,0),FALSE)/1,0)-IFERROR(VLOOKUP($B182,'Slutlig allokering kvv'!$B$2:$BX$549,MATCH(H$2,'Slutlig allokering kvv'!$B$1:$BX$1,0),FALSE)/1,0))</f>
        <v/>
      </c>
      <c r="I182" s="121" t="str">
        <f>IF($D182="","",IFERROR(VLOOKUP($B182,Kraftvärmeprod!$B$1:$BX$549,MATCH(I$2,Kraftvärmeprod!$B$1:$VX$1,0),FALSE)/1,0)-IFERROR(VLOOKUP($B182,'Slutlig allokering kvv'!$B$2:$BX$549,MATCH(I$2,'Slutlig allokering kvv'!$B$1:$BX$1,0),FALSE)/1,0))</f>
        <v/>
      </c>
      <c r="J182" s="121" t="str">
        <f>IF($D182="","",IFERROR(VLOOKUP($B182,Kraftvärmeprod!$B$1:$BX$549,MATCH(J$2,Kraftvärmeprod!$B$1:$VX$1,0),FALSE)/1,0)-IFERROR(VLOOKUP($B182,'Slutlig allokering kvv'!$B$2:$BX$549,MATCH(J$2,'Slutlig allokering kvv'!$B$1:$BX$1,0),FALSE)/1,0))</f>
        <v/>
      </c>
      <c r="K182" s="121" t="str">
        <f>IF($D182="","",IFERROR(VLOOKUP($B182,Kraftvärmeprod!$B$1:$BX$549,MATCH(K$2,Kraftvärmeprod!$B$1:$VX$1,0),FALSE)/1,0)-IFERROR(VLOOKUP($B182,'Slutlig allokering kvv'!$B$2:$BX$549,MATCH(K$2,'Slutlig allokering kvv'!$B$1:$BX$1,0),FALSE)/1,0))</f>
        <v/>
      </c>
      <c r="L182" s="121" t="str">
        <f>IF($D182="","",IFERROR(VLOOKUP($B182,Kraftvärmeprod!$B$1:$BX$549,MATCH(L$2,Kraftvärmeprod!$B$1:$VX$1,0),FALSE)/1,0)-IFERROR(VLOOKUP($B182,'Slutlig allokering kvv'!$B$2:$BX$549,MATCH(L$2,'Slutlig allokering kvv'!$B$1:$BX$1,0),FALSE)/1,0))</f>
        <v/>
      </c>
      <c r="M182" s="121" t="str">
        <f>IF($D182="","",IFERROR(VLOOKUP($B182,Kraftvärmeprod!$B$1:$BX$549,MATCH(M$2,Kraftvärmeprod!$B$1:$VX$1,0),FALSE)/1,0)-IFERROR(VLOOKUP($B182,'Slutlig allokering kvv'!$B$2:$BX$549,MATCH(M$2,'Slutlig allokering kvv'!$B$1:$BX$1,0),FALSE)/1,0))</f>
        <v/>
      </c>
      <c r="N182" s="121" t="str">
        <f>IF($D182="","",IFERROR(VLOOKUP($B182,Kraftvärmeprod!$B$1:$BX$549,MATCH(N$2,Kraftvärmeprod!$B$1:$VX$1,0),FALSE)/1,0)-IFERROR(VLOOKUP($B182,'Slutlig allokering kvv'!$B$2:$BX$549,MATCH(N$2,'Slutlig allokering kvv'!$B$1:$BX$1,0),FALSE)/1,0))</f>
        <v/>
      </c>
      <c r="O182" s="121" t="str">
        <f>IF($D182="","",IFERROR(VLOOKUP($B182,Kraftvärmeprod!$B$1:$BX$549,MATCH(O$2,Kraftvärmeprod!$B$1:$VX$1,0),FALSE)/1,0)-IFERROR(VLOOKUP($B182,'Slutlig allokering kvv'!$B$2:$BX$549,MATCH(O$2,'Slutlig allokering kvv'!$B$1:$BX$1,0),FALSE)/1,0))</f>
        <v/>
      </c>
      <c r="P182" s="121" t="str">
        <f>IF($D182="","",IFERROR(VLOOKUP($B182,Kraftvärmeprod!$B$1:$BX$549,MATCH(P$2,Kraftvärmeprod!$B$1:$VX$1,0),FALSE)/1,0)-IFERROR(VLOOKUP($B182,'Slutlig allokering kvv'!$B$2:$BX$549,MATCH(P$2,'Slutlig allokering kvv'!$B$1:$BX$1,0),FALSE)/1,0))</f>
        <v/>
      </c>
      <c r="Q182" s="121" t="str">
        <f>IF($D182="","",IFERROR(VLOOKUP($B182,Kraftvärmeprod!$B$1:$BX$549,MATCH(Q$2,Kraftvärmeprod!$B$1:$VX$1,0),FALSE)/1,0)-IFERROR(VLOOKUP($B182,'Slutlig allokering kvv'!$B$2:$BX$549,MATCH(Q$2,'Slutlig allokering kvv'!$B$1:$BX$1,0),FALSE)/1,0))</f>
        <v/>
      </c>
      <c r="R182" s="121" t="str">
        <f>IF($D182="","",IFERROR(VLOOKUP($B182,Kraftvärmeprod!$B$1:$BX$549,MATCH(R$2,Kraftvärmeprod!$B$1:$VX$1,0),FALSE)/1,0)-IFERROR(VLOOKUP($B182,'Slutlig allokering kvv'!$B$2:$BX$549,MATCH(R$2,'Slutlig allokering kvv'!$B$1:$BX$1,0),FALSE)/1,0))</f>
        <v/>
      </c>
      <c r="S182" s="121" t="str">
        <f>IF($D182="","",IFERROR(VLOOKUP($B182,Kraftvärmeprod!$B$1:$BX$549,MATCH(S$2,Kraftvärmeprod!$B$1:$VX$1,0),FALSE)/1,0)-IFERROR(VLOOKUP($B182,'Slutlig allokering kvv'!$B$2:$BX$549,MATCH(S$2,'Slutlig allokering kvv'!$B$1:$BX$1,0),FALSE)/1,0))</f>
        <v/>
      </c>
      <c r="T182" s="121" t="str">
        <f>IF($D182="","",IFERROR(VLOOKUP($B182,Kraftvärmeprod!$B$1:$BX$549,MATCH(T$2,Kraftvärmeprod!$B$1:$VX$1,0),FALSE)/1,0)-IFERROR(VLOOKUP($B182,'Slutlig allokering kvv'!$B$2:$BX$549,MATCH(T$2,'Slutlig allokering kvv'!$B$1:$BX$1,0),FALSE)/1,0))</f>
        <v/>
      </c>
      <c r="U182" s="121" t="str">
        <f>IF($D182="","",IFERROR(VLOOKUP($B182,Kraftvärmeprod!$B$1:$BX$549,MATCH(U$2,Kraftvärmeprod!$B$1:$VX$1,0),FALSE)/1,0)-IFERROR(VLOOKUP($B182,'Slutlig allokering kvv'!$B$2:$BX$549,MATCH(U$2,'Slutlig allokering kvv'!$B$1:$BX$1,0),FALSE)/1,0))</f>
        <v/>
      </c>
      <c r="V182" s="121" t="str">
        <f>IF($D182="","",IFERROR(VLOOKUP($B182,Kraftvärmeprod!$B$1:$BX$549,MATCH(V$2,Kraftvärmeprod!$B$1:$VX$1,0),FALSE)/1,0)-IFERROR(VLOOKUP($B182,'Slutlig allokering kvv'!$B$2:$BX$549,MATCH(V$2,'Slutlig allokering kvv'!$B$1:$BX$1,0),FALSE)/1,0))</f>
        <v/>
      </c>
      <c r="W182" s="121" t="str">
        <f>IF($D182="","",IFERROR(VLOOKUP($B182,Kraftvärmeprod!$B$1:$BX$549,MATCH(W$2,Kraftvärmeprod!$B$1:$VX$1,0),FALSE)/1,0)-IFERROR(VLOOKUP($B182,'Slutlig allokering kvv'!$B$2:$BX$549,MATCH(W$2,'Slutlig allokering kvv'!$B$1:$BX$1,0),FALSE)/1,0))</f>
        <v/>
      </c>
      <c r="X182" s="121" t="str">
        <f>IF($D182="","",IFERROR(VLOOKUP($B182,Kraftvärmeprod!$B$1:$BX$549,MATCH(X$2,Kraftvärmeprod!$B$1:$VX$1,0),FALSE)/1,0)-IFERROR(VLOOKUP($B182,'Slutlig allokering kvv'!$B$2:$BX$549,MATCH(X$2,'Slutlig allokering kvv'!$B$1:$BX$1,0),FALSE)/1,0))</f>
        <v/>
      </c>
      <c r="Y182" s="121" t="str">
        <f>IF($D182="","",IFERROR(VLOOKUP($B182,Kraftvärmeprod!$B$1:$BX$549,MATCH(Y$2,Kraftvärmeprod!$B$1:$VX$1,0),FALSE)/1,0)-IFERROR(VLOOKUP($B182,'Slutlig allokering kvv'!$B$2:$BX$549,MATCH(Y$2,'Slutlig allokering kvv'!$B$1:$BX$1,0),FALSE)/1,0))</f>
        <v/>
      </c>
      <c r="Z182" s="121" t="str">
        <f>IF($D182="","",IFERROR(VLOOKUP($B182,Kraftvärmeprod!$B$1:$BX$549,MATCH(Z$2,Kraftvärmeprod!$B$1:$VX$1,0),FALSE)/1,0)-IFERROR(VLOOKUP($B182,'Slutlig allokering kvv'!$B$2:$BX$549,MATCH(Z$2,'Slutlig allokering kvv'!$B$1:$BX$1,0),FALSE)/1,0))</f>
        <v/>
      </c>
      <c r="AA182" s="121" t="str">
        <f>IF($D182="","",IFERROR(VLOOKUP($B182,Kraftvärmeprod!$B$1:$BX$549,MATCH(AA$2,Kraftvärmeprod!$B$1:$VX$1,0),FALSE)/1,0)-IFERROR(VLOOKUP($B182,'Slutlig allokering kvv'!$B$2:$BX$549,MATCH(AA$2,'Slutlig allokering kvv'!$B$1:$BX$1,0),FALSE)/1,0))</f>
        <v/>
      </c>
      <c r="AB182" s="121" t="str">
        <f>IF($D182="","",IFERROR(VLOOKUP($B182,Kraftvärmeprod!$B$1:$BX$549,MATCH(AB$2,Kraftvärmeprod!$B$1:$VX$1,0),FALSE)/1,0)-IFERROR(VLOOKUP($B182,'Slutlig allokering kvv'!$B$2:$BX$549,MATCH(AB$2,'Slutlig allokering kvv'!$B$1:$BX$1,0),FALSE)/1,0))</f>
        <v/>
      </c>
      <c r="AC182" s="121" t="str">
        <f>IF($D182="","",IFERROR(VLOOKUP($B182,Kraftvärmeprod!$B$1:$BX$549,MATCH(AC$2,Kraftvärmeprod!$B$1:$VX$1,0),FALSE)/1,0)-IFERROR(VLOOKUP($B182,'Slutlig allokering kvv'!$B$2:$BX$549,MATCH(AC$2,'Slutlig allokering kvv'!$B$1:$BX$1,0),FALSE)/1,0))</f>
        <v/>
      </c>
      <c r="AD182" s="121" t="str">
        <f>IF($D182="","",IFERROR(VLOOKUP($B182,Kraftvärmeprod!$B$1:$BX$549,MATCH(AD$2,Kraftvärmeprod!$B$1:$VX$1,0),FALSE)/1,0)-IFERROR(VLOOKUP($B182,'Slutlig allokering kvv'!$B$2:$BX$549,MATCH(AD$2,'Slutlig allokering kvv'!$B$1:$BX$1,0),FALSE)/1,0))</f>
        <v/>
      </c>
      <c r="AE182" s="121" t="str">
        <f>IF($D182="","",IFERROR(VLOOKUP($B182,Miljö!$B$1:$E$550,MATCH("Hjälpel kraftvärme (GWh)",Miljö!$B$1:$E$1,0),FALSE)/1,0)-IFERROR(VLOOKUP($B182,'Slutlig allokering kvv'!$B$2:$BX$549,MATCH(AE$2,'Slutlig allokering kvv'!$B$1:$BX$1,0),FALSE)/1,0))</f>
        <v/>
      </c>
      <c r="AI182" s="121">
        <f t="shared" si="8"/>
        <v>0</v>
      </c>
      <c r="AK182" s="121">
        <f>IFERROR(VLOOKUP($B182,'Slutlig allokering kvv'!$B$2:$AX$549,MATCH("Summa slutlig allokerad tillförd energi (utan hjälpel och rökgaskondensering):",'Slutlig allokering kvv'!$B$1:$AX$1,0),FALSE)/1,"")</f>
        <v>0</v>
      </c>
      <c r="AM182" s="172" t="str">
        <f>IFERROR(1-VLOOKUP($B182,'Slutlig allokering kvv'!$B$2:$AX$549,MATCH("Andel av bränsle i kvv som allokerats till värme, exklusive rökgaskondensering och hjälpel",'Slutlig allokering kvv'!$B$1:$AX$1,0),FALSE),"")</f>
        <v/>
      </c>
      <c r="AO182" s="172" t="str">
        <f t="shared" si="9"/>
        <v/>
      </c>
      <c r="AP182" s="173" t="str">
        <f t="shared" si="10"/>
        <v/>
      </c>
      <c r="AR182" s="172" t="str">
        <f t="shared" si="11"/>
        <v/>
      </c>
    </row>
    <row r="183" spans="1:44" x14ac:dyDescent="0.25">
      <c r="A183" s="171" t="str">
        <f>'Miljövärden för publ företag'!B185</f>
        <v>Neova AB</v>
      </c>
      <c r="B183" s="171" t="str">
        <f>'Miljövärden för publ företag'!C185</f>
        <v>Tanum</v>
      </c>
      <c r="C183" s="121" t="str">
        <f>IFERROR(VLOOKUP($B183,Kraftvärmeprod!$B$1:$AH$478,MATCH(C$2,Kraftvärmeprod!$B$1:$AG$1,0),FALSE)/1,"")</f>
        <v/>
      </c>
      <c r="D183" s="121" t="str">
        <f>IFERROR(VLOOKUP($B183,Kraftvärmeprod!$B$1:$AH$478,MATCH(D$2,Kraftvärmeprod!$B$1:$AG$1,0),FALSE)/1,"")</f>
        <v/>
      </c>
      <c r="F183" s="121" t="str">
        <f>IF($D183="","",IFERROR(VLOOKUP($B183,Kraftvärmeprod!$B$1:$BX$549,MATCH(F$2,Kraftvärmeprod!$B$1:$VX$1,0),FALSE)/1,0)-IFERROR(VLOOKUP($B183,'Slutlig allokering kvv'!$B$2:$BX$549,MATCH(F$2,'Slutlig allokering kvv'!$B$1:$BX$1,0),FALSE)/1,0))</f>
        <v/>
      </c>
      <c r="G183" s="121" t="str">
        <f>IF($D183="","",IFERROR(VLOOKUP($B183,Kraftvärmeprod!$B$1:$BX$549,MATCH(G$2,Kraftvärmeprod!$B$1:$VX$1,0),FALSE)/1,0)-IFERROR(VLOOKUP($B183,'Slutlig allokering kvv'!$B$2:$BX$549,MATCH(G$2,'Slutlig allokering kvv'!$B$1:$BX$1,0),FALSE)/1,0))</f>
        <v/>
      </c>
      <c r="H183" s="121" t="str">
        <f>IF($D183="","",IFERROR(VLOOKUP($B183,Kraftvärmeprod!$B$1:$BX$549,MATCH(H$2,Kraftvärmeprod!$B$1:$VX$1,0),FALSE)/1,0)-IFERROR(VLOOKUP($B183,'Slutlig allokering kvv'!$B$2:$BX$549,MATCH(H$2,'Slutlig allokering kvv'!$B$1:$BX$1,0),FALSE)/1,0))</f>
        <v/>
      </c>
      <c r="I183" s="121" t="str">
        <f>IF($D183="","",IFERROR(VLOOKUP($B183,Kraftvärmeprod!$B$1:$BX$549,MATCH(I$2,Kraftvärmeprod!$B$1:$VX$1,0),FALSE)/1,0)-IFERROR(VLOOKUP($B183,'Slutlig allokering kvv'!$B$2:$BX$549,MATCH(I$2,'Slutlig allokering kvv'!$B$1:$BX$1,0),FALSE)/1,0))</f>
        <v/>
      </c>
      <c r="J183" s="121" t="str">
        <f>IF($D183="","",IFERROR(VLOOKUP($B183,Kraftvärmeprod!$B$1:$BX$549,MATCH(J$2,Kraftvärmeprod!$B$1:$VX$1,0),FALSE)/1,0)-IFERROR(VLOOKUP($B183,'Slutlig allokering kvv'!$B$2:$BX$549,MATCH(J$2,'Slutlig allokering kvv'!$B$1:$BX$1,0),FALSE)/1,0))</f>
        <v/>
      </c>
      <c r="K183" s="121" t="str">
        <f>IF($D183="","",IFERROR(VLOOKUP($B183,Kraftvärmeprod!$B$1:$BX$549,MATCH(K$2,Kraftvärmeprod!$B$1:$VX$1,0),FALSE)/1,0)-IFERROR(VLOOKUP($B183,'Slutlig allokering kvv'!$B$2:$BX$549,MATCH(K$2,'Slutlig allokering kvv'!$B$1:$BX$1,0),FALSE)/1,0))</f>
        <v/>
      </c>
      <c r="L183" s="121" t="str">
        <f>IF($D183="","",IFERROR(VLOOKUP($B183,Kraftvärmeprod!$B$1:$BX$549,MATCH(L$2,Kraftvärmeprod!$B$1:$VX$1,0),FALSE)/1,0)-IFERROR(VLOOKUP($B183,'Slutlig allokering kvv'!$B$2:$BX$549,MATCH(L$2,'Slutlig allokering kvv'!$B$1:$BX$1,0),FALSE)/1,0))</f>
        <v/>
      </c>
      <c r="M183" s="121" t="str">
        <f>IF($D183="","",IFERROR(VLOOKUP($B183,Kraftvärmeprod!$B$1:$BX$549,MATCH(M$2,Kraftvärmeprod!$B$1:$VX$1,0),FALSE)/1,0)-IFERROR(VLOOKUP($B183,'Slutlig allokering kvv'!$B$2:$BX$549,MATCH(M$2,'Slutlig allokering kvv'!$B$1:$BX$1,0),FALSE)/1,0))</f>
        <v/>
      </c>
      <c r="N183" s="121" t="str">
        <f>IF($D183="","",IFERROR(VLOOKUP($B183,Kraftvärmeprod!$B$1:$BX$549,MATCH(N$2,Kraftvärmeprod!$B$1:$VX$1,0),FALSE)/1,0)-IFERROR(VLOOKUP($B183,'Slutlig allokering kvv'!$B$2:$BX$549,MATCH(N$2,'Slutlig allokering kvv'!$B$1:$BX$1,0),FALSE)/1,0))</f>
        <v/>
      </c>
      <c r="O183" s="121" t="str">
        <f>IF($D183="","",IFERROR(VLOOKUP($B183,Kraftvärmeprod!$B$1:$BX$549,MATCH(O$2,Kraftvärmeprod!$B$1:$VX$1,0),FALSE)/1,0)-IFERROR(VLOOKUP($B183,'Slutlig allokering kvv'!$B$2:$BX$549,MATCH(O$2,'Slutlig allokering kvv'!$B$1:$BX$1,0),FALSE)/1,0))</f>
        <v/>
      </c>
      <c r="P183" s="121" t="str">
        <f>IF($D183="","",IFERROR(VLOOKUP($B183,Kraftvärmeprod!$B$1:$BX$549,MATCH(P$2,Kraftvärmeprod!$B$1:$VX$1,0),FALSE)/1,0)-IFERROR(VLOOKUP($B183,'Slutlig allokering kvv'!$B$2:$BX$549,MATCH(P$2,'Slutlig allokering kvv'!$B$1:$BX$1,0),FALSE)/1,0))</f>
        <v/>
      </c>
      <c r="Q183" s="121" t="str">
        <f>IF($D183="","",IFERROR(VLOOKUP($B183,Kraftvärmeprod!$B$1:$BX$549,MATCH(Q$2,Kraftvärmeprod!$B$1:$VX$1,0),FALSE)/1,0)-IFERROR(VLOOKUP($B183,'Slutlig allokering kvv'!$B$2:$BX$549,MATCH(Q$2,'Slutlig allokering kvv'!$B$1:$BX$1,0),FALSE)/1,0))</f>
        <v/>
      </c>
      <c r="R183" s="121" t="str">
        <f>IF($D183="","",IFERROR(VLOOKUP($B183,Kraftvärmeprod!$B$1:$BX$549,MATCH(R$2,Kraftvärmeprod!$B$1:$VX$1,0),FALSE)/1,0)-IFERROR(VLOOKUP($B183,'Slutlig allokering kvv'!$B$2:$BX$549,MATCH(R$2,'Slutlig allokering kvv'!$B$1:$BX$1,0),FALSE)/1,0))</f>
        <v/>
      </c>
      <c r="S183" s="121" t="str">
        <f>IF($D183="","",IFERROR(VLOOKUP($B183,Kraftvärmeprod!$B$1:$BX$549,MATCH(S$2,Kraftvärmeprod!$B$1:$VX$1,0),FALSE)/1,0)-IFERROR(VLOOKUP($B183,'Slutlig allokering kvv'!$B$2:$BX$549,MATCH(S$2,'Slutlig allokering kvv'!$B$1:$BX$1,0),FALSE)/1,0))</f>
        <v/>
      </c>
      <c r="T183" s="121" t="str">
        <f>IF($D183="","",IFERROR(VLOOKUP($B183,Kraftvärmeprod!$B$1:$BX$549,MATCH(T$2,Kraftvärmeprod!$B$1:$VX$1,0),FALSE)/1,0)-IFERROR(VLOOKUP($B183,'Slutlig allokering kvv'!$B$2:$BX$549,MATCH(T$2,'Slutlig allokering kvv'!$B$1:$BX$1,0),FALSE)/1,0))</f>
        <v/>
      </c>
      <c r="U183" s="121" t="str">
        <f>IF($D183="","",IFERROR(VLOOKUP($B183,Kraftvärmeprod!$B$1:$BX$549,MATCH(U$2,Kraftvärmeprod!$B$1:$VX$1,0),FALSE)/1,0)-IFERROR(VLOOKUP($B183,'Slutlig allokering kvv'!$B$2:$BX$549,MATCH(U$2,'Slutlig allokering kvv'!$B$1:$BX$1,0),FALSE)/1,0))</f>
        <v/>
      </c>
      <c r="V183" s="121" t="str">
        <f>IF($D183="","",IFERROR(VLOOKUP($B183,Kraftvärmeprod!$B$1:$BX$549,MATCH(V$2,Kraftvärmeprod!$B$1:$VX$1,0),FALSE)/1,0)-IFERROR(VLOOKUP($B183,'Slutlig allokering kvv'!$B$2:$BX$549,MATCH(V$2,'Slutlig allokering kvv'!$B$1:$BX$1,0),FALSE)/1,0))</f>
        <v/>
      </c>
      <c r="W183" s="121" t="str">
        <f>IF($D183="","",IFERROR(VLOOKUP($B183,Kraftvärmeprod!$B$1:$BX$549,MATCH(W$2,Kraftvärmeprod!$B$1:$VX$1,0),FALSE)/1,0)-IFERROR(VLOOKUP($B183,'Slutlig allokering kvv'!$B$2:$BX$549,MATCH(W$2,'Slutlig allokering kvv'!$B$1:$BX$1,0),FALSE)/1,0))</f>
        <v/>
      </c>
      <c r="X183" s="121" t="str">
        <f>IF($D183="","",IFERROR(VLOOKUP($B183,Kraftvärmeprod!$B$1:$BX$549,MATCH(X$2,Kraftvärmeprod!$B$1:$VX$1,0),FALSE)/1,0)-IFERROR(VLOOKUP($B183,'Slutlig allokering kvv'!$B$2:$BX$549,MATCH(X$2,'Slutlig allokering kvv'!$B$1:$BX$1,0),FALSE)/1,0))</f>
        <v/>
      </c>
      <c r="Y183" s="121" t="str">
        <f>IF($D183="","",IFERROR(VLOOKUP($B183,Kraftvärmeprod!$B$1:$BX$549,MATCH(Y$2,Kraftvärmeprod!$B$1:$VX$1,0),FALSE)/1,0)-IFERROR(VLOOKUP($B183,'Slutlig allokering kvv'!$B$2:$BX$549,MATCH(Y$2,'Slutlig allokering kvv'!$B$1:$BX$1,0),FALSE)/1,0))</f>
        <v/>
      </c>
      <c r="Z183" s="121" t="str">
        <f>IF($D183="","",IFERROR(VLOOKUP($B183,Kraftvärmeprod!$B$1:$BX$549,MATCH(Z$2,Kraftvärmeprod!$B$1:$VX$1,0),FALSE)/1,0)-IFERROR(VLOOKUP($B183,'Slutlig allokering kvv'!$B$2:$BX$549,MATCH(Z$2,'Slutlig allokering kvv'!$B$1:$BX$1,0),FALSE)/1,0))</f>
        <v/>
      </c>
      <c r="AA183" s="121" t="str">
        <f>IF($D183="","",IFERROR(VLOOKUP($B183,Kraftvärmeprod!$B$1:$BX$549,MATCH(AA$2,Kraftvärmeprod!$B$1:$VX$1,0),FALSE)/1,0)-IFERROR(VLOOKUP($B183,'Slutlig allokering kvv'!$B$2:$BX$549,MATCH(AA$2,'Slutlig allokering kvv'!$B$1:$BX$1,0),FALSE)/1,0))</f>
        <v/>
      </c>
      <c r="AB183" s="121" t="str">
        <f>IF($D183="","",IFERROR(VLOOKUP($B183,Kraftvärmeprod!$B$1:$BX$549,MATCH(AB$2,Kraftvärmeprod!$B$1:$VX$1,0),FALSE)/1,0)-IFERROR(VLOOKUP($B183,'Slutlig allokering kvv'!$B$2:$BX$549,MATCH(AB$2,'Slutlig allokering kvv'!$B$1:$BX$1,0),FALSE)/1,0))</f>
        <v/>
      </c>
      <c r="AC183" s="121" t="str">
        <f>IF($D183="","",IFERROR(VLOOKUP($B183,Kraftvärmeprod!$B$1:$BX$549,MATCH(AC$2,Kraftvärmeprod!$B$1:$VX$1,0),FALSE)/1,0)-IFERROR(VLOOKUP($B183,'Slutlig allokering kvv'!$B$2:$BX$549,MATCH(AC$2,'Slutlig allokering kvv'!$B$1:$BX$1,0),FALSE)/1,0))</f>
        <v/>
      </c>
      <c r="AD183" s="121" t="str">
        <f>IF($D183="","",IFERROR(VLOOKUP($B183,Kraftvärmeprod!$B$1:$BX$549,MATCH(AD$2,Kraftvärmeprod!$B$1:$VX$1,0),FALSE)/1,0)-IFERROR(VLOOKUP($B183,'Slutlig allokering kvv'!$B$2:$BX$549,MATCH(AD$2,'Slutlig allokering kvv'!$B$1:$BX$1,0),FALSE)/1,0))</f>
        <v/>
      </c>
      <c r="AE183" s="121" t="str">
        <f>IF($D183="","",IFERROR(VLOOKUP($B183,Miljö!$B$1:$E$550,MATCH("Hjälpel kraftvärme (GWh)",Miljö!$B$1:$E$1,0),FALSE)/1,0)-IFERROR(VLOOKUP($B183,'Slutlig allokering kvv'!$B$2:$BX$549,MATCH(AE$2,'Slutlig allokering kvv'!$B$1:$BX$1,0),FALSE)/1,0))</f>
        <v/>
      </c>
      <c r="AI183" s="121">
        <f t="shared" si="8"/>
        <v>0</v>
      </c>
      <c r="AK183" s="121">
        <f>IFERROR(VLOOKUP($B183,'Slutlig allokering kvv'!$B$2:$AX$549,MATCH("Summa slutlig allokerad tillförd energi (utan hjälpel och rökgaskondensering):",'Slutlig allokering kvv'!$B$1:$AX$1,0),FALSE)/1,"")</f>
        <v>0</v>
      </c>
      <c r="AM183" s="172" t="str">
        <f>IFERROR(1-VLOOKUP($B183,'Slutlig allokering kvv'!$B$2:$AX$549,MATCH("Andel av bränsle i kvv som allokerats till värme, exklusive rökgaskondensering och hjälpel",'Slutlig allokering kvv'!$B$1:$AX$1,0),FALSE),"")</f>
        <v/>
      </c>
      <c r="AO183" s="172" t="str">
        <f t="shared" si="9"/>
        <v/>
      </c>
      <c r="AP183" s="173" t="str">
        <f t="shared" si="10"/>
        <v/>
      </c>
      <c r="AR183" s="172" t="str">
        <f t="shared" si="11"/>
        <v/>
      </c>
    </row>
    <row r="184" spans="1:44" x14ac:dyDescent="0.25">
      <c r="A184" s="171" t="str">
        <f>'Miljövärden för publ företag'!B186</f>
        <v>Neova AB</v>
      </c>
      <c r="B184" s="171" t="str">
        <f>'Miljövärden för publ företag'!C186</f>
        <v>Tibro</v>
      </c>
      <c r="C184" s="121" t="str">
        <f>IFERROR(VLOOKUP($B184,Kraftvärmeprod!$B$1:$AH$478,MATCH(C$2,Kraftvärmeprod!$B$1:$AG$1,0),FALSE)/1,"")</f>
        <v/>
      </c>
      <c r="D184" s="121" t="str">
        <f>IFERROR(VLOOKUP($B184,Kraftvärmeprod!$B$1:$AH$478,MATCH(D$2,Kraftvärmeprod!$B$1:$AG$1,0),FALSE)/1,"")</f>
        <v/>
      </c>
      <c r="F184" s="121" t="str">
        <f>IF($D184="","",IFERROR(VLOOKUP($B184,Kraftvärmeprod!$B$1:$BX$549,MATCH(F$2,Kraftvärmeprod!$B$1:$VX$1,0),FALSE)/1,0)-IFERROR(VLOOKUP($B184,'Slutlig allokering kvv'!$B$2:$BX$549,MATCH(F$2,'Slutlig allokering kvv'!$B$1:$BX$1,0),FALSE)/1,0))</f>
        <v/>
      </c>
      <c r="G184" s="121" t="str">
        <f>IF($D184="","",IFERROR(VLOOKUP($B184,Kraftvärmeprod!$B$1:$BX$549,MATCH(G$2,Kraftvärmeprod!$B$1:$VX$1,0),FALSE)/1,0)-IFERROR(VLOOKUP($B184,'Slutlig allokering kvv'!$B$2:$BX$549,MATCH(G$2,'Slutlig allokering kvv'!$B$1:$BX$1,0),FALSE)/1,0))</f>
        <v/>
      </c>
      <c r="H184" s="121" t="str">
        <f>IF($D184="","",IFERROR(VLOOKUP($B184,Kraftvärmeprod!$B$1:$BX$549,MATCH(H$2,Kraftvärmeprod!$B$1:$VX$1,0),FALSE)/1,0)-IFERROR(VLOOKUP($B184,'Slutlig allokering kvv'!$B$2:$BX$549,MATCH(H$2,'Slutlig allokering kvv'!$B$1:$BX$1,0),FALSE)/1,0))</f>
        <v/>
      </c>
      <c r="I184" s="121" t="str">
        <f>IF($D184="","",IFERROR(VLOOKUP($B184,Kraftvärmeprod!$B$1:$BX$549,MATCH(I$2,Kraftvärmeprod!$B$1:$VX$1,0),FALSE)/1,0)-IFERROR(VLOOKUP($B184,'Slutlig allokering kvv'!$B$2:$BX$549,MATCH(I$2,'Slutlig allokering kvv'!$B$1:$BX$1,0),FALSE)/1,0))</f>
        <v/>
      </c>
      <c r="J184" s="121" t="str">
        <f>IF($D184="","",IFERROR(VLOOKUP($B184,Kraftvärmeprod!$B$1:$BX$549,MATCH(J$2,Kraftvärmeprod!$B$1:$VX$1,0),FALSE)/1,0)-IFERROR(VLOOKUP($B184,'Slutlig allokering kvv'!$B$2:$BX$549,MATCH(J$2,'Slutlig allokering kvv'!$B$1:$BX$1,0),FALSE)/1,0))</f>
        <v/>
      </c>
      <c r="K184" s="121" t="str">
        <f>IF($D184="","",IFERROR(VLOOKUP($B184,Kraftvärmeprod!$B$1:$BX$549,MATCH(K$2,Kraftvärmeprod!$B$1:$VX$1,0),FALSE)/1,0)-IFERROR(VLOOKUP($B184,'Slutlig allokering kvv'!$B$2:$BX$549,MATCH(K$2,'Slutlig allokering kvv'!$B$1:$BX$1,0),FALSE)/1,0))</f>
        <v/>
      </c>
      <c r="L184" s="121" t="str">
        <f>IF($D184="","",IFERROR(VLOOKUP($B184,Kraftvärmeprod!$B$1:$BX$549,MATCH(L$2,Kraftvärmeprod!$B$1:$VX$1,0),FALSE)/1,0)-IFERROR(VLOOKUP($B184,'Slutlig allokering kvv'!$B$2:$BX$549,MATCH(L$2,'Slutlig allokering kvv'!$B$1:$BX$1,0),FALSE)/1,0))</f>
        <v/>
      </c>
      <c r="M184" s="121" t="str">
        <f>IF($D184="","",IFERROR(VLOOKUP($B184,Kraftvärmeprod!$B$1:$BX$549,MATCH(M$2,Kraftvärmeprod!$B$1:$VX$1,0),FALSE)/1,0)-IFERROR(VLOOKUP($B184,'Slutlig allokering kvv'!$B$2:$BX$549,MATCH(M$2,'Slutlig allokering kvv'!$B$1:$BX$1,0),FALSE)/1,0))</f>
        <v/>
      </c>
      <c r="N184" s="121" t="str">
        <f>IF($D184="","",IFERROR(VLOOKUP($B184,Kraftvärmeprod!$B$1:$BX$549,MATCH(N$2,Kraftvärmeprod!$B$1:$VX$1,0),FALSE)/1,0)-IFERROR(VLOOKUP($B184,'Slutlig allokering kvv'!$B$2:$BX$549,MATCH(N$2,'Slutlig allokering kvv'!$B$1:$BX$1,0),FALSE)/1,0))</f>
        <v/>
      </c>
      <c r="O184" s="121" t="str">
        <f>IF($D184="","",IFERROR(VLOOKUP($B184,Kraftvärmeprod!$B$1:$BX$549,MATCH(O$2,Kraftvärmeprod!$B$1:$VX$1,0),FALSE)/1,0)-IFERROR(VLOOKUP($B184,'Slutlig allokering kvv'!$B$2:$BX$549,MATCH(O$2,'Slutlig allokering kvv'!$B$1:$BX$1,0),FALSE)/1,0))</f>
        <v/>
      </c>
      <c r="P184" s="121" t="str">
        <f>IF($D184="","",IFERROR(VLOOKUP($B184,Kraftvärmeprod!$B$1:$BX$549,MATCH(P$2,Kraftvärmeprod!$B$1:$VX$1,0),FALSE)/1,0)-IFERROR(VLOOKUP($B184,'Slutlig allokering kvv'!$B$2:$BX$549,MATCH(P$2,'Slutlig allokering kvv'!$B$1:$BX$1,0),FALSE)/1,0))</f>
        <v/>
      </c>
      <c r="Q184" s="121" t="str">
        <f>IF($D184="","",IFERROR(VLOOKUP($B184,Kraftvärmeprod!$B$1:$BX$549,MATCH(Q$2,Kraftvärmeprod!$B$1:$VX$1,0),FALSE)/1,0)-IFERROR(VLOOKUP($B184,'Slutlig allokering kvv'!$B$2:$BX$549,MATCH(Q$2,'Slutlig allokering kvv'!$B$1:$BX$1,0),FALSE)/1,0))</f>
        <v/>
      </c>
      <c r="R184" s="121" t="str">
        <f>IF($D184="","",IFERROR(VLOOKUP($B184,Kraftvärmeprod!$B$1:$BX$549,MATCH(R$2,Kraftvärmeprod!$B$1:$VX$1,0),FALSE)/1,0)-IFERROR(VLOOKUP($B184,'Slutlig allokering kvv'!$B$2:$BX$549,MATCH(R$2,'Slutlig allokering kvv'!$B$1:$BX$1,0),FALSE)/1,0))</f>
        <v/>
      </c>
      <c r="S184" s="121" t="str">
        <f>IF($D184="","",IFERROR(VLOOKUP($B184,Kraftvärmeprod!$B$1:$BX$549,MATCH(S$2,Kraftvärmeprod!$B$1:$VX$1,0),FALSE)/1,0)-IFERROR(VLOOKUP($B184,'Slutlig allokering kvv'!$B$2:$BX$549,MATCH(S$2,'Slutlig allokering kvv'!$B$1:$BX$1,0),FALSE)/1,0))</f>
        <v/>
      </c>
      <c r="T184" s="121" t="str">
        <f>IF($D184="","",IFERROR(VLOOKUP($B184,Kraftvärmeprod!$B$1:$BX$549,MATCH(T$2,Kraftvärmeprod!$B$1:$VX$1,0),FALSE)/1,0)-IFERROR(VLOOKUP($B184,'Slutlig allokering kvv'!$B$2:$BX$549,MATCH(T$2,'Slutlig allokering kvv'!$B$1:$BX$1,0),FALSE)/1,0))</f>
        <v/>
      </c>
      <c r="U184" s="121" t="str">
        <f>IF($D184="","",IFERROR(VLOOKUP($B184,Kraftvärmeprod!$B$1:$BX$549,MATCH(U$2,Kraftvärmeprod!$B$1:$VX$1,0),FALSE)/1,0)-IFERROR(VLOOKUP($B184,'Slutlig allokering kvv'!$B$2:$BX$549,MATCH(U$2,'Slutlig allokering kvv'!$B$1:$BX$1,0),FALSE)/1,0))</f>
        <v/>
      </c>
      <c r="V184" s="121" t="str">
        <f>IF($D184="","",IFERROR(VLOOKUP($B184,Kraftvärmeprod!$B$1:$BX$549,MATCH(V$2,Kraftvärmeprod!$B$1:$VX$1,0),FALSE)/1,0)-IFERROR(VLOOKUP($B184,'Slutlig allokering kvv'!$B$2:$BX$549,MATCH(V$2,'Slutlig allokering kvv'!$B$1:$BX$1,0),FALSE)/1,0))</f>
        <v/>
      </c>
      <c r="W184" s="121" t="str">
        <f>IF($D184="","",IFERROR(VLOOKUP($B184,Kraftvärmeprod!$B$1:$BX$549,MATCH(W$2,Kraftvärmeprod!$B$1:$VX$1,0),FALSE)/1,0)-IFERROR(VLOOKUP($B184,'Slutlig allokering kvv'!$B$2:$BX$549,MATCH(W$2,'Slutlig allokering kvv'!$B$1:$BX$1,0),FALSE)/1,0))</f>
        <v/>
      </c>
      <c r="X184" s="121" t="str">
        <f>IF($D184="","",IFERROR(VLOOKUP($B184,Kraftvärmeprod!$B$1:$BX$549,MATCH(X$2,Kraftvärmeprod!$B$1:$VX$1,0),FALSE)/1,0)-IFERROR(VLOOKUP($B184,'Slutlig allokering kvv'!$B$2:$BX$549,MATCH(X$2,'Slutlig allokering kvv'!$B$1:$BX$1,0),FALSE)/1,0))</f>
        <v/>
      </c>
      <c r="Y184" s="121" t="str">
        <f>IF($D184="","",IFERROR(VLOOKUP($B184,Kraftvärmeprod!$B$1:$BX$549,MATCH(Y$2,Kraftvärmeprod!$B$1:$VX$1,0),FALSE)/1,0)-IFERROR(VLOOKUP($B184,'Slutlig allokering kvv'!$B$2:$BX$549,MATCH(Y$2,'Slutlig allokering kvv'!$B$1:$BX$1,0),FALSE)/1,0))</f>
        <v/>
      </c>
      <c r="Z184" s="121" t="str">
        <f>IF($D184="","",IFERROR(VLOOKUP($B184,Kraftvärmeprod!$B$1:$BX$549,MATCH(Z$2,Kraftvärmeprod!$B$1:$VX$1,0),FALSE)/1,0)-IFERROR(VLOOKUP($B184,'Slutlig allokering kvv'!$B$2:$BX$549,MATCH(Z$2,'Slutlig allokering kvv'!$B$1:$BX$1,0),FALSE)/1,0))</f>
        <v/>
      </c>
      <c r="AA184" s="121" t="str">
        <f>IF($D184="","",IFERROR(VLOOKUP($B184,Kraftvärmeprod!$B$1:$BX$549,MATCH(AA$2,Kraftvärmeprod!$B$1:$VX$1,0),FALSE)/1,0)-IFERROR(VLOOKUP($B184,'Slutlig allokering kvv'!$B$2:$BX$549,MATCH(AA$2,'Slutlig allokering kvv'!$B$1:$BX$1,0),FALSE)/1,0))</f>
        <v/>
      </c>
      <c r="AB184" s="121" t="str">
        <f>IF($D184="","",IFERROR(VLOOKUP($B184,Kraftvärmeprod!$B$1:$BX$549,MATCH(AB$2,Kraftvärmeprod!$B$1:$VX$1,0),FALSE)/1,0)-IFERROR(VLOOKUP($B184,'Slutlig allokering kvv'!$B$2:$BX$549,MATCH(AB$2,'Slutlig allokering kvv'!$B$1:$BX$1,0),FALSE)/1,0))</f>
        <v/>
      </c>
      <c r="AC184" s="121" t="str">
        <f>IF($D184="","",IFERROR(VLOOKUP($B184,Kraftvärmeprod!$B$1:$BX$549,MATCH(AC$2,Kraftvärmeprod!$B$1:$VX$1,0),FALSE)/1,0)-IFERROR(VLOOKUP($B184,'Slutlig allokering kvv'!$B$2:$BX$549,MATCH(AC$2,'Slutlig allokering kvv'!$B$1:$BX$1,0),FALSE)/1,0))</f>
        <v/>
      </c>
      <c r="AD184" s="121" t="str">
        <f>IF($D184="","",IFERROR(VLOOKUP($B184,Kraftvärmeprod!$B$1:$BX$549,MATCH(AD$2,Kraftvärmeprod!$B$1:$VX$1,0),FALSE)/1,0)-IFERROR(VLOOKUP($B184,'Slutlig allokering kvv'!$B$2:$BX$549,MATCH(AD$2,'Slutlig allokering kvv'!$B$1:$BX$1,0),FALSE)/1,0))</f>
        <v/>
      </c>
      <c r="AE184" s="121" t="str">
        <f>IF($D184="","",IFERROR(VLOOKUP($B184,Miljö!$B$1:$E$550,MATCH("Hjälpel kraftvärme (GWh)",Miljö!$B$1:$E$1,0),FALSE)/1,0)-IFERROR(VLOOKUP($B184,'Slutlig allokering kvv'!$B$2:$BX$549,MATCH(AE$2,'Slutlig allokering kvv'!$B$1:$BX$1,0),FALSE)/1,0))</f>
        <v/>
      </c>
      <c r="AI184" s="121">
        <f t="shared" si="8"/>
        <v>0</v>
      </c>
      <c r="AK184" s="121">
        <f>IFERROR(VLOOKUP($B184,'Slutlig allokering kvv'!$B$2:$AX$549,MATCH("Summa slutlig allokerad tillförd energi (utan hjälpel och rökgaskondensering):",'Slutlig allokering kvv'!$B$1:$AX$1,0),FALSE)/1,"")</f>
        <v>0</v>
      </c>
      <c r="AM184" s="172" t="str">
        <f>IFERROR(1-VLOOKUP($B184,'Slutlig allokering kvv'!$B$2:$AX$549,MATCH("Andel av bränsle i kvv som allokerats till värme, exklusive rökgaskondensering och hjälpel",'Slutlig allokering kvv'!$B$1:$AX$1,0),FALSE),"")</f>
        <v/>
      </c>
      <c r="AO184" s="172" t="str">
        <f t="shared" si="9"/>
        <v/>
      </c>
      <c r="AP184" s="173" t="str">
        <f t="shared" si="10"/>
        <v/>
      </c>
      <c r="AR184" s="172" t="str">
        <f t="shared" si="11"/>
        <v/>
      </c>
    </row>
    <row r="185" spans="1:44" x14ac:dyDescent="0.25">
      <c r="A185" s="171" t="str">
        <f>'Miljövärden för publ företag'!B187</f>
        <v>Neova AB</v>
      </c>
      <c r="B185" s="171" t="str">
        <f>'Miljövärden för publ företag'!C187</f>
        <v>Valdemarsvik</v>
      </c>
      <c r="C185" s="121" t="str">
        <f>IFERROR(VLOOKUP($B185,Kraftvärmeprod!$B$1:$AH$478,MATCH(C$2,Kraftvärmeprod!$B$1:$AG$1,0),FALSE)/1,"")</f>
        <v/>
      </c>
      <c r="D185" s="121" t="str">
        <f>IFERROR(VLOOKUP($B185,Kraftvärmeprod!$B$1:$AH$478,MATCH(D$2,Kraftvärmeprod!$B$1:$AG$1,0),FALSE)/1,"")</f>
        <v/>
      </c>
      <c r="F185" s="121" t="str">
        <f>IF($D185="","",IFERROR(VLOOKUP($B185,Kraftvärmeprod!$B$1:$BX$549,MATCH(F$2,Kraftvärmeprod!$B$1:$VX$1,0),FALSE)/1,0)-IFERROR(VLOOKUP($B185,'Slutlig allokering kvv'!$B$2:$BX$549,MATCH(F$2,'Slutlig allokering kvv'!$B$1:$BX$1,0),FALSE)/1,0))</f>
        <v/>
      </c>
      <c r="G185" s="121" t="str">
        <f>IF($D185="","",IFERROR(VLOOKUP($B185,Kraftvärmeprod!$B$1:$BX$549,MATCH(G$2,Kraftvärmeprod!$B$1:$VX$1,0),FALSE)/1,0)-IFERROR(VLOOKUP($B185,'Slutlig allokering kvv'!$B$2:$BX$549,MATCH(G$2,'Slutlig allokering kvv'!$B$1:$BX$1,0),FALSE)/1,0))</f>
        <v/>
      </c>
      <c r="H185" s="121" t="str">
        <f>IF($D185="","",IFERROR(VLOOKUP($B185,Kraftvärmeprod!$B$1:$BX$549,MATCH(H$2,Kraftvärmeprod!$B$1:$VX$1,0),FALSE)/1,0)-IFERROR(VLOOKUP($B185,'Slutlig allokering kvv'!$B$2:$BX$549,MATCH(H$2,'Slutlig allokering kvv'!$B$1:$BX$1,0),FALSE)/1,0))</f>
        <v/>
      </c>
      <c r="I185" s="121" t="str">
        <f>IF($D185="","",IFERROR(VLOOKUP($B185,Kraftvärmeprod!$B$1:$BX$549,MATCH(I$2,Kraftvärmeprod!$B$1:$VX$1,0),FALSE)/1,0)-IFERROR(VLOOKUP($B185,'Slutlig allokering kvv'!$B$2:$BX$549,MATCH(I$2,'Slutlig allokering kvv'!$B$1:$BX$1,0),FALSE)/1,0))</f>
        <v/>
      </c>
      <c r="J185" s="121" t="str">
        <f>IF($D185="","",IFERROR(VLOOKUP($B185,Kraftvärmeprod!$B$1:$BX$549,MATCH(J$2,Kraftvärmeprod!$B$1:$VX$1,0),FALSE)/1,0)-IFERROR(VLOOKUP($B185,'Slutlig allokering kvv'!$B$2:$BX$549,MATCH(J$2,'Slutlig allokering kvv'!$B$1:$BX$1,0),FALSE)/1,0))</f>
        <v/>
      </c>
      <c r="K185" s="121" t="str">
        <f>IF($D185="","",IFERROR(VLOOKUP($B185,Kraftvärmeprod!$B$1:$BX$549,MATCH(K$2,Kraftvärmeprod!$B$1:$VX$1,0),FALSE)/1,0)-IFERROR(VLOOKUP($B185,'Slutlig allokering kvv'!$B$2:$BX$549,MATCH(K$2,'Slutlig allokering kvv'!$B$1:$BX$1,0),FALSE)/1,0))</f>
        <v/>
      </c>
      <c r="L185" s="121" t="str">
        <f>IF($D185="","",IFERROR(VLOOKUP($B185,Kraftvärmeprod!$B$1:$BX$549,MATCH(L$2,Kraftvärmeprod!$B$1:$VX$1,0),FALSE)/1,0)-IFERROR(VLOOKUP($B185,'Slutlig allokering kvv'!$B$2:$BX$549,MATCH(L$2,'Slutlig allokering kvv'!$B$1:$BX$1,0),FALSE)/1,0))</f>
        <v/>
      </c>
      <c r="M185" s="121" t="str">
        <f>IF($D185="","",IFERROR(VLOOKUP($B185,Kraftvärmeprod!$B$1:$BX$549,MATCH(M$2,Kraftvärmeprod!$B$1:$VX$1,0),FALSE)/1,0)-IFERROR(VLOOKUP($B185,'Slutlig allokering kvv'!$B$2:$BX$549,MATCH(M$2,'Slutlig allokering kvv'!$B$1:$BX$1,0),FALSE)/1,0))</f>
        <v/>
      </c>
      <c r="N185" s="121" t="str">
        <f>IF($D185="","",IFERROR(VLOOKUP($B185,Kraftvärmeprod!$B$1:$BX$549,MATCH(N$2,Kraftvärmeprod!$B$1:$VX$1,0),FALSE)/1,0)-IFERROR(VLOOKUP($B185,'Slutlig allokering kvv'!$B$2:$BX$549,MATCH(N$2,'Slutlig allokering kvv'!$B$1:$BX$1,0),FALSE)/1,0))</f>
        <v/>
      </c>
      <c r="O185" s="121" t="str">
        <f>IF($D185="","",IFERROR(VLOOKUP($B185,Kraftvärmeprod!$B$1:$BX$549,MATCH(O$2,Kraftvärmeprod!$B$1:$VX$1,0),FALSE)/1,0)-IFERROR(VLOOKUP($B185,'Slutlig allokering kvv'!$B$2:$BX$549,MATCH(O$2,'Slutlig allokering kvv'!$B$1:$BX$1,0),FALSE)/1,0))</f>
        <v/>
      </c>
      <c r="P185" s="121" t="str">
        <f>IF($D185="","",IFERROR(VLOOKUP($B185,Kraftvärmeprod!$B$1:$BX$549,MATCH(P$2,Kraftvärmeprod!$B$1:$VX$1,0),FALSE)/1,0)-IFERROR(VLOOKUP($B185,'Slutlig allokering kvv'!$B$2:$BX$549,MATCH(P$2,'Slutlig allokering kvv'!$B$1:$BX$1,0),FALSE)/1,0))</f>
        <v/>
      </c>
      <c r="Q185" s="121" t="str">
        <f>IF($D185="","",IFERROR(VLOOKUP($B185,Kraftvärmeprod!$B$1:$BX$549,MATCH(Q$2,Kraftvärmeprod!$B$1:$VX$1,0),FALSE)/1,0)-IFERROR(VLOOKUP($B185,'Slutlig allokering kvv'!$B$2:$BX$549,MATCH(Q$2,'Slutlig allokering kvv'!$B$1:$BX$1,0),FALSE)/1,0))</f>
        <v/>
      </c>
      <c r="R185" s="121" t="str">
        <f>IF($D185="","",IFERROR(VLOOKUP($B185,Kraftvärmeprod!$B$1:$BX$549,MATCH(R$2,Kraftvärmeprod!$B$1:$VX$1,0),FALSE)/1,0)-IFERROR(VLOOKUP($B185,'Slutlig allokering kvv'!$B$2:$BX$549,MATCH(R$2,'Slutlig allokering kvv'!$B$1:$BX$1,0),FALSE)/1,0))</f>
        <v/>
      </c>
      <c r="S185" s="121" t="str">
        <f>IF($D185="","",IFERROR(VLOOKUP($B185,Kraftvärmeprod!$B$1:$BX$549,MATCH(S$2,Kraftvärmeprod!$B$1:$VX$1,0),FALSE)/1,0)-IFERROR(VLOOKUP($B185,'Slutlig allokering kvv'!$B$2:$BX$549,MATCH(S$2,'Slutlig allokering kvv'!$B$1:$BX$1,0),FALSE)/1,0))</f>
        <v/>
      </c>
      <c r="T185" s="121" t="str">
        <f>IF($D185="","",IFERROR(VLOOKUP($B185,Kraftvärmeprod!$B$1:$BX$549,MATCH(T$2,Kraftvärmeprod!$B$1:$VX$1,0),FALSE)/1,0)-IFERROR(VLOOKUP($B185,'Slutlig allokering kvv'!$B$2:$BX$549,MATCH(T$2,'Slutlig allokering kvv'!$B$1:$BX$1,0),FALSE)/1,0))</f>
        <v/>
      </c>
      <c r="U185" s="121" t="str">
        <f>IF($D185="","",IFERROR(VLOOKUP($B185,Kraftvärmeprod!$B$1:$BX$549,MATCH(U$2,Kraftvärmeprod!$B$1:$VX$1,0),FALSE)/1,0)-IFERROR(VLOOKUP($B185,'Slutlig allokering kvv'!$B$2:$BX$549,MATCH(U$2,'Slutlig allokering kvv'!$B$1:$BX$1,0),FALSE)/1,0))</f>
        <v/>
      </c>
      <c r="V185" s="121" t="str">
        <f>IF($D185="","",IFERROR(VLOOKUP($B185,Kraftvärmeprod!$B$1:$BX$549,MATCH(V$2,Kraftvärmeprod!$B$1:$VX$1,0),FALSE)/1,0)-IFERROR(VLOOKUP($B185,'Slutlig allokering kvv'!$B$2:$BX$549,MATCH(V$2,'Slutlig allokering kvv'!$B$1:$BX$1,0),FALSE)/1,0))</f>
        <v/>
      </c>
      <c r="W185" s="121" t="str">
        <f>IF($D185="","",IFERROR(VLOOKUP($B185,Kraftvärmeprod!$B$1:$BX$549,MATCH(W$2,Kraftvärmeprod!$B$1:$VX$1,0),FALSE)/1,0)-IFERROR(VLOOKUP($B185,'Slutlig allokering kvv'!$B$2:$BX$549,MATCH(W$2,'Slutlig allokering kvv'!$B$1:$BX$1,0),FALSE)/1,0))</f>
        <v/>
      </c>
      <c r="X185" s="121" t="str">
        <f>IF($D185="","",IFERROR(VLOOKUP($B185,Kraftvärmeprod!$B$1:$BX$549,MATCH(X$2,Kraftvärmeprod!$B$1:$VX$1,0),FALSE)/1,0)-IFERROR(VLOOKUP($B185,'Slutlig allokering kvv'!$B$2:$BX$549,MATCH(X$2,'Slutlig allokering kvv'!$B$1:$BX$1,0),FALSE)/1,0))</f>
        <v/>
      </c>
      <c r="Y185" s="121" t="str">
        <f>IF($D185="","",IFERROR(VLOOKUP($B185,Kraftvärmeprod!$B$1:$BX$549,MATCH(Y$2,Kraftvärmeprod!$B$1:$VX$1,0),FALSE)/1,0)-IFERROR(VLOOKUP($B185,'Slutlig allokering kvv'!$B$2:$BX$549,MATCH(Y$2,'Slutlig allokering kvv'!$B$1:$BX$1,0),FALSE)/1,0))</f>
        <v/>
      </c>
      <c r="Z185" s="121" t="str">
        <f>IF($D185="","",IFERROR(VLOOKUP($B185,Kraftvärmeprod!$B$1:$BX$549,MATCH(Z$2,Kraftvärmeprod!$B$1:$VX$1,0),FALSE)/1,0)-IFERROR(VLOOKUP($B185,'Slutlig allokering kvv'!$B$2:$BX$549,MATCH(Z$2,'Slutlig allokering kvv'!$B$1:$BX$1,0),FALSE)/1,0))</f>
        <v/>
      </c>
      <c r="AA185" s="121" t="str">
        <f>IF($D185="","",IFERROR(VLOOKUP($B185,Kraftvärmeprod!$B$1:$BX$549,MATCH(AA$2,Kraftvärmeprod!$B$1:$VX$1,0),FALSE)/1,0)-IFERROR(VLOOKUP($B185,'Slutlig allokering kvv'!$B$2:$BX$549,MATCH(AA$2,'Slutlig allokering kvv'!$B$1:$BX$1,0),FALSE)/1,0))</f>
        <v/>
      </c>
      <c r="AB185" s="121" t="str">
        <f>IF($D185="","",IFERROR(VLOOKUP($B185,Kraftvärmeprod!$B$1:$BX$549,MATCH(AB$2,Kraftvärmeprod!$B$1:$VX$1,0),FALSE)/1,0)-IFERROR(VLOOKUP($B185,'Slutlig allokering kvv'!$B$2:$BX$549,MATCH(AB$2,'Slutlig allokering kvv'!$B$1:$BX$1,0),FALSE)/1,0))</f>
        <v/>
      </c>
      <c r="AC185" s="121" t="str">
        <f>IF($D185="","",IFERROR(VLOOKUP($B185,Kraftvärmeprod!$B$1:$BX$549,MATCH(AC$2,Kraftvärmeprod!$B$1:$VX$1,0),FALSE)/1,0)-IFERROR(VLOOKUP($B185,'Slutlig allokering kvv'!$B$2:$BX$549,MATCH(AC$2,'Slutlig allokering kvv'!$B$1:$BX$1,0),FALSE)/1,0))</f>
        <v/>
      </c>
      <c r="AD185" s="121" t="str">
        <f>IF($D185="","",IFERROR(VLOOKUP($B185,Kraftvärmeprod!$B$1:$BX$549,MATCH(AD$2,Kraftvärmeprod!$B$1:$VX$1,0),FALSE)/1,0)-IFERROR(VLOOKUP($B185,'Slutlig allokering kvv'!$B$2:$BX$549,MATCH(AD$2,'Slutlig allokering kvv'!$B$1:$BX$1,0),FALSE)/1,0))</f>
        <v/>
      </c>
      <c r="AE185" s="121" t="str">
        <f>IF($D185="","",IFERROR(VLOOKUP($B185,Miljö!$B$1:$E$550,MATCH("Hjälpel kraftvärme (GWh)",Miljö!$B$1:$E$1,0),FALSE)/1,0)-IFERROR(VLOOKUP($B185,'Slutlig allokering kvv'!$B$2:$BX$549,MATCH(AE$2,'Slutlig allokering kvv'!$B$1:$BX$1,0),FALSE)/1,0))</f>
        <v/>
      </c>
      <c r="AI185" s="121">
        <f t="shared" si="8"/>
        <v>0</v>
      </c>
      <c r="AK185" s="121">
        <f>IFERROR(VLOOKUP($B185,'Slutlig allokering kvv'!$B$2:$AX$549,MATCH("Summa slutlig allokerad tillförd energi (utan hjälpel och rökgaskondensering):",'Slutlig allokering kvv'!$B$1:$AX$1,0),FALSE)/1,"")</f>
        <v>0</v>
      </c>
      <c r="AM185" s="172" t="str">
        <f>IFERROR(1-VLOOKUP($B185,'Slutlig allokering kvv'!$B$2:$AX$549,MATCH("Andel av bränsle i kvv som allokerats till värme, exklusive rökgaskondensering och hjälpel",'Slutlig allokering kvv'!$B$1:$AX$1,0),FALSE),"")</f>
        <v/>
      </c>
      <c r="AO185" s="172" t="str">
        <f t="shared" si="9"/>
        <v/>
      </c>
      <c r="AP185" s="173" t="str">
        <f t="shared" si="10"/>
        <v/>
      </c>
      <c r="AR185" s="172" t="str">
        <f t="shared" si="11"/>
        <v/>
      </c>
    </row>
    <row r="186" spans="1:44" x14ac:dyDescent="0.25">
      <c r="A186" s="171" t="str">
        <f>'Miljövärden för publ företag'!B188</f>
        <v>Neova AB</v>
      </c>
      <c r="B186" s="171" t="str">
        <f>'Miljövärden för publ företag'!C188</f>
        <v>Årjäng</v>
      </c>
      <c r="C186" s="121" t="str">
        <f>IFERROR(VLOOKUP($B186,Kraftvärmeprod!$B$1:$AH$478,MATCH(C$2,Kraftvärmeprod!$B$1:$AG$1,0),FALSE)/1,"")</f>
        <v/>
      </c>
      <c r="D186" s="121" t="str">
        <f>IFERROR(VLOOKUP($B186,Kraftvärmeprod!$B$1:$AH$478,MATCH(D$2,Kraftvärmeprod!$B$1:$AG$1,0),FALSE)/1,"")</f>
        <v/>
      </c>
      <c r="F186" s="121" t="str">
        <f>IF($D186="","",IFERROR(VLOOKUP($B186,Kraftvärmeprod!$B$1:$BX$549,MATCH(F$2,Kraftvärmeprod!$B$1:$VX$1,0),FALSE)/1,0)-IFERROR(VLOOKUP($B186,'Slutlig allokering kvv'!$B$2:$BX$549,MATCH(F$2,'Slutlig allokering kvv'!$B$1:$BX$1,0),FALSE)/1,0))</f>
        <v/>
      </c>
      <c r="G186" s="121" t="str">
        <f>IF($D186="","",IFERROR(VLOOKUP($B186,Kraftvärmeprod!$B$1:$BX$549,MATCH(G$2,Kraftvärmeprod!$B$1:$VX$1,0),FALSE)/1,0)-IFERROR(VLOOKUP($B186,'Slutlig allokering kvv'!$B$2:$BX$549,MATCH(G$2,'Slutlig allokering kvv'!$B$1:$BX$1,0),FALSE)/1,0))</f>
        <v/>
      </c>
      <c r="H186" s="121" t="str">
        <f>IF($D186="","",IFERROR(VLOOKUP($B186,Kraftvärmeprod!$B$1:$BX$549,MATCH(H$2,Kraftvärmeprod!$B$1:$VX$1,0),FALSE)/1,0)-IFERROR(VLOOKUP($B186,'Slutlig allokering kvv'!$B$2:$BX$549,MATCH(H$2,'Slutlig allokering kvv'!$B$1:$BX$1,0),FALSE)/1,0))</f>
        <v/>
      </c>
      <c r="I186" s="121" t="str">
        <f>IF($D186="","",IFERROR(VLOOKUP($B186,Kraftvärmeprod!$B$1:$BX$549,MATCH(I$2,Kraftvärmeprod!$B$1:$VX$1,0),FALSE)/1,0)-IFERROR(VLOOKUP($B186,'Slutlig allokering kvv'!$B$2:$BX$549,MATCH(I$2,'Slutlig allokering kvv'!$B$1:$BX$1,0),FALSE)/1,0))</f>
        <v/>
      </c>
      <c r="J186" s="121" t="str">
        <f>IF($D186="","",IFERROR(VLOOKUP($B186,Kraftvärmeprod!$B$1:$BX$549,MATCH(J$2,Kraftvärmeprod!$B$1:$VX$1,0),FALSE)/1,0)-IFERROR(VLOOKUP($B186,'Slutlig allokering kvv'!$B$2:$BX$549,MATCH(J$2,'Slutlig allokering kvv'!$B$1:$BX$1,0),FALSE)/1,0))</f>
        <v/>
      </c>
      <c r="K186" s="121" t="str">
        <f>IF($D186="","",IFERROR(VLOOKUP($B186,Kraftvärmeprod!$B$1:$BX$549,MATCH(K$2,Kraftvärmeprod!$B$1:$VX$1,0),FALSE)/1,0)-IFERROR(VLOOKUP($B186,'Slutlig allokering kvv'!$B$2:$BX$549,MATCH(K$2,'Slutlig allokering kvv'!$B$1:$BX$1,0),FALSE)/1,0))</f>
        <v/>
      </c>
      <c r="L186" s="121" t="str">
        <f>IF($D186="","",IFERROR(VLOOKUP($B186,Kraftvärmeprod!$B$1:$BX$549,MATCH(L$2,Kraftvärmeprod!$B$1:$VX$1,0),FALSE)/1,0)-IFERROR(VLOOKUP($B186,'Slutlig allokering kvv'!$B$2:$BX$549,MATCH(L$2,'Slutlig allokering kvv'!$B$1:$BX$1,0),FALSE)/1,0))</f>
        <v/>
      </c>
      <c r="M186" s="121" t="str">
        <f>IF($D186="","",IFERROR(VLOOKUP($B186,Kraftvärmeprod!$B$1:$BX$549,MATCH(M$2,Kraftvärmeprod!$B$1:$VX$1,0),FALSE)/1,0)-IFERROR(VLOOKUP($B186,'Slutlig allokering kvv'!$B$2:$BX$549,MATCH(M$2,'Slutlig allokering kvv'!$B$1:$BX$1,0),FALSE)/1,0))</f>
        <v/>
      </c>
      <c r="N186" s="121" t="str">
        <f>IF($D186="","",IFERROR(VLOOKUP($B186,Kraftvärmeprod!$B$1:$BX$549,MATCH(N$2,Kraftvärmeprod!$B$1:$VX$1,0),FALSE)/1,0)-IFERROR(VLOOKUP($B186,'Slutlig allokering kvv'!$B$2:$BX$549,MATCH(N$2,'Slutlig allokering kvv'!$B$1:$BX$1,0),FALSE)/1,0))</f>
        <v/>
      </c>
      <c r="O186" s="121" t="str">
        <f>IF($D186="","",IFERROR(VLOOKUP($B186,Kraftvärmeprod!$B$1:$BX$549,MATCH(O$2,Kraftvärmeprod!$B$1:$VX$1,0),FALSE)/1,0)-IFERROR(VLOOKUP($B186,'Slutlig allokering kvv'!$B$2:$BX$549,MATCH(O$2,'Slutlig allokering kvv'!$B$1:$BX$1,0),FALSE)/1,0))</f>
        <v/>
      </c>
      <c r="P186" s="121" t="str">
        <f>IF($D186="","",IFERROR(VLOOKUP($B186,Kraftvärmeprod!$B$1:$BX$549,MATCH(P$2,Kraftvärmeprod!$B$1:$VX$1,0),FALSE)/1,0)-IFERROR(VLOOKUP($B186,'Slutlig allokering kvv'!$B$2:$BX$549,MATCH(P$2,'Slutlig allokering kvv'!$B$1:$BX$1,0),FALSE)/1,0))</f>
        <v/>
      </c>
      <c r="Q186" s="121" t="str">
        <f>IF($D186="","",IFERROR(VLOOKUP($B186,Kraftvärmeprod!$B$1:$BX$549,MATCH(Q$2,Kraftvärmeprod!$B$1:$VX$1,0),FALSE)/1,0)-IFERROR(VLOOKUP($B186,'Slutlig allokering kvv'!$B$2:$BX$549,MATCH(Q$2,'Slutlig allokering kvv'!$B$1:$BX$1,0),FALSE)/1,0))</f>
        <v/>
      </c>
      <c r="R186" s="121" t="str">
        <f>IF($D186="","",IFERROR(VLOOKUP($B186,Kraftvärmeprod!$B$1:$BX$549,MATCH(R$2,Kraftvärmeprod!$B$1:$VX$1,0),FALSE)/1,0)-IFERROR(VLOOKUP($B186,'Slutlig allokering kvv'!$B$2:$BX$549,MATCH(R$2,'Slutlig allokering kvv'!$B$1:$BX$1,0),FALSE)/1,0))</f>
        <v/>
      </c>
      <c r="S186" s="121" t="str">
        <f>IF($D186="","",IFERROR(VLOOKUP($B186,Kraftvärmeprod!$B$1:$BX$549,MATCH(S$2,Kraftvärmeprod!$B$1:$VX$1,0),FALSE)/1,0)-IFERROR(VLOOKUP($B186,'Slutlig allokering kvv'!$B$2:$BX$549,MATCH(S$2,'Slutlig allokering kvv'!$B$1:$BX$1,0),FALSE)/1,0))</f>
        <v/>
      </c>
      <c r="T186" s="121" t="str">
        <f>IF($D186="","",IFERROR(VLOOKUP($B186,Kraftvärmeprod!$B$1:$BX$549,MATCH(T$2,Kraftvärmeprod!$B$1:$VX$1,0),FALSE)/1,0)-IFERROR(VLOOKUP($B186,'Slutlig allokering kvv'!$B$2:$BX$549,MATCH(T$2,'Slutlig allokering kvv'!$B$1:$BX$1,0),FALSE)/1,0))</f>
        <v/>
      </c>
      <c r="U186" s="121" t="str">
        <f>IF($D186="","",IFERROR(VLOOKUP($B186,Kraftvärmeprod!$B$1:$BX$549,MATCH(U$2,Kraftvärmeprod!$B$1:$VX$1,0),FALSE)/1,0)-IFERROR(VLOOKUP($B186,'Slutlig allokering kvv'!$B$2:$BX$549,MATCH(U$2,'Slutlig allokering kvv'!$B$1:$BX$1,0),FALSE)/1,0))</f>
        <v/>
      </c>
      <c r="V186" s="121" t="str">
        <f>IF($D186="","",IFERROR(VLOOKUP($B186,Kraftvärmeprod!$B$1:$BX$549,MATCH(V$2,Kraftvärmeprod!$B$1:$VX$1,0),FALSE)/1,0)-IFERROR(VLOOKUP($B186,'Slutlig allokering kvv'!$B$2:$BX$549,MATCH(V$2,'Slutlig allokering kvv'!$B$1:$BX$1,0),FALSE)/1,0))</f>
        <v/>
      </c>
      <c r="W186" s="121" t="str">
        <f>IF($D186="","",IFERROR(VLOOKUP($B186,Kraftvärmeprod!$B$1:$BX$549,MATCH(W$2,Kraftvärmeprod!$B$1:$VX$1,0),FALSE)/1,0)-IFERROR(VLOOKUP($B186,'Slutlig allokering kvv'!$B$2:$BX$549,MATCH(W$2,'Slutlig allokering kvv'!$B$1:$BX$1,0),FALSE)/1,0))</f>
        <v/>
      </c>
      <c r="X186" s="121" t="str">
        <f>IF($D186="","",IFERROR(VLOOKUP($B186,Kraftvärmeprod!$B$1:$BX$549,MATCH(X$2,Kraftvärmeprod!$B$1:$VX$1,0),FALSE)/1,0)-IFERROR(VLOOKUP($B186,'Slutlig allokering kvv'!$B$2:$BX$549,MATCH(X$2,'Slutlig allokering kvv'!$B$1:$BX$1,0),FALSE)/1,0))</f>
        <v/>
      </c>
      <c r="Y186" s="121" t="str">
        <f>IF($D186="","",IFERROR(VLOOKUP($B186,Kraftvärmeprod!$B$1:$BX$549,MATCH(Y$2,Kraftvärmeprod!$B$1:$VX$1,0),FALSE)/1,0)-IFERROR(VLOOKUP($B186,'Slutlig allokering kvv'!$B$2:$BX$549,MATCH(Y$2,'Slutlig allokering kvv'!$B$1:$BX$1,0),FALSE)/1,0))</f>
        <v/>
      </c>
      <c r="Z186" s="121" t="str">
        <f>IF($D186="","",IFERROR(VLOOKUP($B186,Kraftvärmeprod!$B$1:$BX$549,MATCH(Z$2,Kraftvärmeprod!$B$1:$VX$1,0),FALSE)/1,0)-IFERROR(VLOOKUP($B186,'Slutlig allokering kvv'!$B$2:$BX$549,MATCH(Z$2,'Slutlig allokering kvv'!$B$1:$BX$1,0),FALSE)/1,0))</f>
        <v/>
      </c>
      <c r="AA186" s="121" t="str">
        <f>IF($D186="","",IFERROR(VLOOKUP($B186,Kraftvärmeprod!$B$1:$BX$549,MATCH(AA$2,Kraftvärmeprod!$B$1:$VX$1,0),FALSE)/1,0)-IFERROR(VLOOKUP($B186,'Slutlig allokering kvv'!$B$2:$BX$549,MATCH(AA$2,'Slutlig allokering kvv'!$B$1:$BX$1,0),FALSE)/1,0))</f>
        <v/>
      </c>
      <c r="AB186" s="121" t="str">
        <f>IF($D186="","",IFERROR(VLOOKUP($B186,Kraftvärmeprod!$B$1:$BX$549,MATCH(AB$2,Kraftvärmeprod!$B$1:$VX$1,0),FALSE)/1,0)-IFERROR(VLOOKUP($B186,'Slutlig allokering kvv'!$B$2:$BX$549,MATCH(AB$2,'Slutlig allokering kvv'!$B$1:$BX$1,0),FALSE)/1,0))</f>
        <v/>
      </c>
      <c r="AC186" s="121" t="str">
        <f>IF($D186="","",IFERROR(VLOOKUP($B186,Kraftvärmeprod!$B$1:$BX$549,MATCH(AC$2,Kraftvärmeprod!$B$1:$VX$1,0),FALSE)/1,0)-IFERROR(VLOOKUP($B186,'Slutlig allokering kvv'!$B$2:$BX$549,MATCH(AC$2,'Slutlig allokering kvv'!$B$1:$BX$1,0),FALSE)/1,0))</f>
        <v/>
      </c>
      <c r="AD186" s="121" t="str">
        <f>IF($D186="","",IFERROR(VLOOKUP($B186,Kraftvärmeprod!$B$1:$BX$549,MATCH(AD$2,Kraftvärmeprod!$B$1:$VX$1,0),FALSE)/1,0)-IFERROR(VLOOKUP($B186,'Slutlig allokering kvv'!$B$2:$BX$549,MATCH(AD$2,'Slutlig allokering kvv'!$B$1:$BX$1,0),FALSE)/1,0))</f>
        <v/>
      </c>
      <c r="AE186" s="121" t="str">
        <f>IF($D186="","",IFERROR(VLOOKUP($B186,Miljö!$B$1:$E$550,MATCH("Hjälpel kraftvärme (GWh)",Miljö!$B$1:$E$1,0),FALSE)/1,0)-IFERROR(VLOOKUP($B186,'Slutlig allokering kvv'!$B$2:$BX$549,MATCH(AE$2,'Slutlig allokering kvv'!$B$1:$BX$1,0),FALSE)/1,0))</f>
        <v/>
      </c>
      <c r="AI186" s="121">
        <f t="shared" si="8"/>
        <v>0</v>
      </c>
      <c r="AK186" s="121">
        <f>IFERROR(VLOOKUP($B186,'Slutlig allokering kvv'!$B$2:$AX$549,MATCH("Summa slutlig allokerad tillförd energi (utan hjälpel och rökgaskondensering):",'Slutlig allokering kvv'!$B$1:$AX$1,0),FALSE)/1,"")</f>
        <v>0</v>
      </c>
      <c r="AM186" s="172" t="str">
        <f>IFERROR(1-VLOOKUP($B186,'Slutlig allokering kvv'!$B$2:$AX$549,MATCH("Andel av bränsle i kvv som allokerats till värme, exklusive rökgaskondensering och hjälpel",'Slutlig allokering kvv'!$B$1:$AX$1,0),FALSE),"")</f>
        <v/>
      </c>
      <c r="AO186" s="172" t="str">
        <f t="shared" si="9"/>
        <v/>
      </c>
      <c r="AP186" s="173" t="str">
        <f t="shared" si="10"/>
        <v/>
      </c>
      <c r="AR186" s="172" t="str">
        <f t="shared" si="11"/>
        <v/>
      </c>
    </row>
    <row r="187" spans="1:44" x14ac:dyDescent="0.25">
      <c r="A187" s="171" t="str">
        <f>'Miljövärden för publ företag'!B189</f>
        <v>Neova AB</v>
      </c>
      <c r="B187" s="171" t="str">
        <f>'Miljövärden för publ företag'!C189</f>
        <v>Åstorp</v>
      </c>
      <c r="C187" s="121" t="str">
        <f>IFERROR(VLOOKUP($B187,Kraftvärmeprod!$B$1:$AH$478,MATCH(C$2,Kraftvärmeprod!$B$1:$AG$1,0),FALSE)/1,"")</f>
        <v/>
      </c>
      <c r="D187" s="121" t="str">
        <f>IFERROR(VLOOKUP($B187,Kraftvärmeprod!$B$1:$AH$478,MATCH(D$2,Kraftvärmeprod!$B$1:$AG$1,0),FALSE)/1,"")</f>
        <v/>
      </c>
      <c r="F187" s="121" t="str">
        <f>IF($D187="","",IFERROR(VLOOKUP($B187,Kraftvärmeprod!$B$1:$BX$549,MATCH(F$2,Kraftvärmeprod!$B$1:$VX$1,0),FALSE)/1,0)-IFERROR(VLOOKUP($B187,'Slutlig allokering kvv'!$B$2:$BX$549,MATCH(F$2,'Slutlig allokering kvv'!$B$1:$BX$1,0),FALSE)/1,0))</f>
        <v/>
      </c>
      <c r="G187" s="121" t="str">
        <f>IF($D187="","",IFERROR(VLOOKUP($B187,Kraftvärmeprod!$B$1:$BX$549,MATCH(G$2,Kraftvärmeprod!$B$1:$VX$1,0),FALSE)/1,0)-IFERROR(VLOOKUP($B187,'Slutlig allokering kvv'!$B$2:$BX$549,MATCH(G$2,'Slutlig allokering kvv'!$B$1:$BX$1,0),FALSE)/1,0))</f>
        <v/>
      </c>
      <c r="H187" s="121" t="str">
        <f>IF($D187="","",IFERROR(VLOOKUP($B187,Kraftvärmeprod!$B$1:$BX$549,MATCH(H$2,Kraftvärmeprod!$B$1:$VX$1,0),FALSE)/1,0)-IFERROR(VLOOKUP($B187,'Slutlig allokering kvv'!$B$2:$BX$549,MATCH(H$2,'Slutlig allokering kvv'!$B$1:$BX$1,0),FALSE)/1,0))</f>
        <v/>
      </c>
      <c r="I187" s="121" t="str">
        <f>IF($D187="","",IFERROR(VLOOKUP($B187,Kraftvärmeprod!$B$1:$BX$549,MATCH(I$2,Kraftvärmeprod!$B$1:$VX$1,0),FALSE)/1,0)-IFERROR(VLOOKUP($B187,'Slutlig allokering kvv'!$B$2:$BX$549,MATCH(I$2,'Slutlig allokering kvv'!$B$1:$BX$1,0),FALSE)/1,0))</f>
        <v/>
      </c>
      <c r="J187" s="121" t="str">
        <f>IF($D187="","",IFERROR(VLOOKUP($B187,Kraftvärmeprod!$B$1:$BX$549,MATCH(J$2,Kraftvärmeprod!$B$1:$VX$1,0),FALSE)/1,0)-IFERROR(VLOOKUP($B187,'Slutlig allokering kvv'!$B$2:$BX$549,MATCH(J$2,'Slutlig allokering kvv'!$B$1:$BX$1,0),FALSE)/1,0))</f>
        <v/>
      </c>
      <c r="K187" s="121" t="str">
        <f>IF($D187="","",IFERROR(VLOOKUP($B187,Kraftvärmeprod!$B$1:$BX$549,MATCH(K$2,Kraftvärmeprod!$B$1:$VX$1,0),FALSE)/1,0)-IFERROR(VLOOKUP($B187,'Slutlig allokering kvv'!$B$2:$BX$549,MATCH(K$2,'Slutlig allokering kvv'!$B$1:$BX$1,0),FALSE)/1,0))</f>
        <v/>
      </c>
      <c r="L187" s="121" t="str">
        <f>IF($D187="","",IFERROR(VLOOKUP($B187,Kraftvärmeprod!$B$1:$BX$549,MATCH(L$2,Kraftvärmeprod!$B$1:$VX$1,0),FALSE)/1,0)-IFERROR(VLOOKUP($B187,'Slutlig allokering kvv'!$B$2:$BX$549,MATCH(L$2,'Slutlig allokering kvv'!$B$1:$BX$1,0),FALSE)/1,0))</f>
        <v/>
      </c>
      <c r="M187" s="121" t="str">
        <f>IF($D187="","",IFERROR(VLOOKUP($B187,Kraftvärmeprod!$B$1:$BX$549,MATCH(M$2,Kraftvärmeprod!$B$1:$VX$1,0),FALSE)/1,0)-IFERROR(VLOOKUP($B187,'Slutlig allokering kvv'!$B$2:$BX$549,MATCH(M$2,'Slutlig allokering kvv'!$B$1:$BX$1,0),FALSE)/1,0))</f>
        <v/>
      </c>
      <c r="N187" s="121" t="str">
        <f>IF($D187="","",IFERROR(VLOOKUP($B187,Kraftvärmeprod!$B$1:$BX$549,MATCH(N$2,Kraftvärmeprod!$B$1:$VX$1,0),FALSE)/1,0)-IFERROR(VLOOKUP($B187,'Slutlig allokering kvv'!$B$2:$BX$549,MATCH(N$2,'Slutlig allokering kvv'!$B$1:$BX$1,0),FALSE)/1,0))</f>
        <v/>
      </c>
      <c r="O187" s="121" t="str">
        <f>IF($D187="","",IFERROR(VLOOKUP($B187,Kraftvärmeprod!$B$1:$BX$549,MATCH(O$2,Kraftvärmeprod!$B$1:$VX$1,0),FALSE)/1,0)-IFERROR(VLOOKUP($B187,'Slutlig allokering kvv'!$B$2:$BX$549,MATCH(O$2,'Slutlig allokering kvv'!$B$1:$BX$1,0),FALSE)/1,0))</f>
        <v/>
      </c>
      <c r="P187" s="121" t="str">
        <f>IF($D187="","",IFERROR(VLOOKUP($B187,Kraftvärmeprod!$B$1:$BX$549,MATCH(P$2,Kraftvärmeprod!$B$1:$VX$1,0),FALSE)/1,0)-IFERROR(VLOOKUP($B187,'Slutlig allokering kvv'!$B$2:$BX$549,MATCH(P$2,'Slutlig allokering kvv'!$B$1:$BX$1,0),FALSE)/1,0))</f>
        <v/>
      </c>
      <c r="Q187" s="121" t="str">
        <f>IF($D187="","",IFERROR(VLOOKUP($B187,Kraftvärmeprod!$B$1:$BX$549,MATCH(Q$2,Kraftvärmeprod!$B$1:$VX$1,0),FALSE)/1,0)-IFERROR(VLOOKUP($B187,'Slutlig allokering kvv'!$B$2:$BX$549,MATCH(Q$2,'Slutlig allokering kvv'!$B$1:$BX$1,0),FALSE)/1,0))</f>
        <v/>
      </c>
      <c r="R187" s="121" t="str">
        <f>IF($D187="","",IFERROR(VLOOKUP($B187,Kraftvärmeprod!$B$1:$BX$549,MATCH(R$2,Kraftvärmeprod!$B$1:$VX$1,0),FALSE)/1,0)-IFERROR(VLOOKUP($B187,'Slutlig allokering kvv'!$B$2:$BX$549,MATCH(R$2,'Slutlig allokering kvv'!$B$1:$BX$1,0),FALSE)/1,0))</f>
        <v/>
      </c>
      <c r="S187" s="121" t="str">
        <f>IF($D187="","",IFERROR(VLOOKUP($B187,Kraftvärmeprod!$B$1:$BX$549,MATCH(S$2,Kraftvärmeprod!$B$1:$VX$1,0),FALSE)/1,0)-IFERROR(VLOOKUP($B187,'Slutlig allokering kvv'!$B$2:$BX$549,MATCH(S$2,'Slutlig allokering kvv'!$B$1:$BX$1,0),FALSE)/1,0))</f>
        <v/>
      </c>
      <c r="T187" s="121" t="str">
        <f>IF($D187="","",IFERROR(VLOOKUP($B187,Kraftvärmeprod!$B$1:$BX$549,MATCH(T$2,Kraftvärmeprod!$B$1:$VX$1,0),FALSE)/1,0)-IFERROR(VLOOKUP($B187,'Slutlig allokering kvv'!$B$2:$BX$549,MATCH(T$2,'Slutlig allokering kvv'!$B$1:$BX$1,0),FALSE)/1,0))</f>
        <v/>
      </c>
      <c r="U187" s="121" t="str">
        <f>IF($D187="","",IFERROR(VLOOKUP($B187,Kraftvärmeprod!$B$1:$BX$549,MATCH(U$2,Kraftvärmeprod!$B$1:$VX$1,0),FALSE)/1,0)-IFERROR(VLOOKUP($B187,'Slutlig allokering kvv'!$B$2:$BX$549,MATCH(U$2,'Slutlig allokering kvv'!$B$1:$BX$1,0),FALSE)/1,0))</f>
        <v/>
      </c>
      <c r="V187" s="121" t="str">
        <f>IF($D187="","",IFERROR(VLOOKUP($B187,Kraftvärmeprod!$B$1:$BX$549,MATCH(V$2,Kraftvärmeprod!$B$1:$VX$1,0),FALSE)/1,0)-IFERROR(VLOOKUP($B187,'Slutlig allokering kvv'!$B$2:$BX$549,MATCH(V$2,'Slutlig allokering kvv'!$B$1:$BX$1,0),FALSE)/1,0))</f>
        <v/>
      </c>
      <c r="W187" s="121" t="str">
        <f>IF($D187="","",IFERROR(VLOOKUP($B187,Kraftvärmeprod!$B$1:$BX$549,MATCH(W$2,Kraftvärmeprod!$B$1:$VX$1,0),FALSE)/1,0)-IFERROR(VLOOKUP($B187,'Slutlig allokering kvv'!$B$2:$BX$549,MATCH(W$2,'Slutlig allokering kvv'!$B$1:$BX$1,0),FALSE)/1,0))</f>
        <v/>
      </c>
      <c r="X187" s="121" t="str">
        <f>IF($D187="","",IFERROR(VLOOKUP($B187,Kraftvärmeprod!$B$1:$BX$549,MATCH(X$2,Kraftvärmeprod!$B$1:$VX$1,0),FALSE)/1,0)-IFERROR(VLOOKUP($B187,'Slutlig allokering kvv'!$B$2:$BX$549,MATCH(X$2,'Slutlig allokering kvv'!$B$1:$BX$1,0),FALSE)/1,0))</f>
        <v/>
      </c>
      <c r="Y187" s="121" t="str">
        <f>IF($D187="","",IFERROR(VLOOKUP($B187,Kraftvärmeprod!$B$1:$BX$549,MATCH(Y$2,Kraftvärmeprod!$B$1:$VX$1,0),FALSE)/1,0)-IFERROR(VLOOKUP($B187,'Slutlig allokering kvv'!$B$2:$BX$549,MATCH(Y$2,'Slutlig allokering kvv'!$B$1:$BX$1,0),FALSE)/1,0))</f>
        <v/>
      </c>
      <c r="Z187" s="121" t="str">
        <f>IF($D187="","",IFERROR(VLOOKUP($B187,Kraftvärmeprod!$B$1:$BX$549,MATCH(Z$2,Kraftvärmeprod!$B$1:$VX$1,0),FALSE)/1,0)-IFERROR(VLOOKUP($B187,'Slutlig allokering kvv'!$B$2:$BX$549,MATCH(Z$2,'Slutlig allokering kvv'!$B$1:$BX$1,0),FALSE)/1,0))</f>
        <v/>
      </c>
      <c r="AA187" s="121" t="str">
        <f>IF($D187="","",IFERROR(VLOOKUP($B187,Kraftvärmeprod!$B$1:$BX$549,MATCH(AA$2,Kraftvärmeprod!$B$1:$VX$1,0),FALSE)/1,0)-IFERROR(VLOOKUP($B187,'Slutlig allokering kvv'!$B$2:$BX$549,MATCH(AA$2,'Slutlig allokering kvv'!$B$1:$BX$1,0),FALSE)/1,0))</f>
        <v/>
      </c>
      <c r="AB187" s="121" t="str">
        <f>IF($D187="","",IFERROR(VLOOKUP($B187,Kraftvärmeprod!$B$1:$BX$549,MATCH(AB$2,Kraftvärmeprod!$B$1:$VX$1,0),FALSE)/1,0)-IFERROR(VLOOKUP($B187,'Slutlig allokering kvv'!$B$2:$BX$549,MATCH(AB$2,'Slutlig allokering kvv'!$B$1:$BX$1,0),FALSE)/1,0))</f>
        <v/>
      </c>
      <c r="AC187" s="121" t="str">
        <f>IF($D187="","",IFERROR(VLOOKUP($B187,Kraftvärmeprod!$B$1:$BX$549,MATCH(AC$2,Kraftvärmeprod!$B$1:$VX$1,0),FALSE)/1,0)-IFERROR(VLOOKUP($B187,'Slutlig allokering kvv'!$B$2:$BX$549,MATCH(AC$2,'Slutlig allokering kvv'!$B$1:$BX$1,0),FALSE)/1,0))</f>
        <v/>
      </c>
      <c r="AD187" s="121" t="str">
        <f>IF($D187="","",IFERROR(VLOOKUP($B187,Kraftvärmeprod!$B$1:$BX$549,MATCH(AD$2,Kraftvärmeprod!$B$1:$VX$1,0),FALSE)/1,0)-IFERROR(VLOOKUP($B187,'Slutlig allokering kvv'!$B$2:$BX$549,MATCH(AD$2,'Slutlig allokering kvv'!$B$1:$BX$1,0),FALSE)/1,0))</f>
        <v/>
      </c>
      <c r="AE187" s="121" t="str">
        <f>IF($D187="","",IFERROR(VLOOKUP($B187,Miljö!$B$1:$E$550,MATCH("Hjälpel kraftvärme (GWh)",Miljö!$B$1:$E$1,0),FALSE)/1,0)-IFERROR(VLOOKUP($B187,'Slutlig allokering kvv'!$B$2:$BX$549,MATCH(AE$2,'Slutlig allokering kvv'!$B$1:$BX$1,0),FALSE)/1,0))</f>
        <v/>
      </c>
      <c r="AI187" s="121">
        <f t="shared" si="8"/>
        <v>0</v>
      </c>
      <c r="AK187" s="121">
        <f>IFERROR(VLOOKUP($B187,'Slutlig allokering kvv'!$B$2:$AX$549,MATCH("Summa slutlig allokerad tillförd energi (utan hjälpel och rökgaskondensering):",'Slutlig allokering kvv'!$B$1:$AX$1,0),FALSE)/1,"")</f>
        <v>0</v>
      </c>
      <c r="AM187" s="172" t="str">
        <f>IFERROR(1-VLOOKUP($B187,'Slutlig allokering kvv'!$B$2:$AX$549,MATCH("Andel av bränsle i kvv som allokerats till värme, exklusive rökgaskondensering och hjälpel",'Slutlig allokering kvv'!$B$1:$AX$1,0),FALSE),"")</f>
        <v/>
      </c>
      <c r="AO187" s="172" t="str">
        <f t="shared" si="9"/>
        <v/>
      </c>
      <c r="AP187" s="173" t="str">
        <f t="shared" si="10"/>
        <v/>
      </c>
      <c r="AR187" s="172" t="str">
        <f t="shared" si="11"/>
        <v/>
      </c>
    </row>
    <row r="188" spans="1:44" x14ac:dyDescent="0.25">
      <c r="A188" s="171" t="str">
        <f>'Miljövärden för publ företag'!B190</f>
        <v>Neova AB</v>
      </c>
      <c r="B188" s="171" t="str">
        <f>'Miljövärden för publ företag'!C190</f>
        <v>Österbybruk</v>
      </c>
      <c r="C188" s="121" t="str">
        <f>IFERROR(VLOOKUP($B188,Kraftvärmeprod!$B$1:$AH$478,MATCH(C$2,Kraftvärmeprod!$B$1:$AG$1,0),FALSE)/1,"")</f>
        <v/>
      </c>
      <c r="D188" s="121" t="str">
        <f>IFERROR(VLOOKUP($B188,Kraftvärmeprod!$B$1:$AH$478,MATCH(D$2,Kraftvärmeprod!$B$1:$AG$1,0),FALSE)/1,"")</f>
        <v/>
      </c>
      <c r="F188" s="121" t="str">
        <f>IF($D188="","",IFERROR(VLOOKUP($B188,Kraftvärmeprod!$B$1:$BX$549,MATCH(F$2,Kraftvärmeprod!$B$1:$VX$1,0),FALSE)/1,0)-IFERROR(VLOOKUP($B188,'Slutlig allokering kvv'!$B$2:$BX$549,MATCH(F$2,'Slutlig allokering kvv'!$B$1:$BX$1,0),FALSE)/1,0))</f>
        <v/>
      </c>
      <c r="G188" s="121" t="str">
        <f>IF($D188="","",IFERROR(VLOOKUP($B188,Kraftvärmeprod!$B$1:$BX$549,MATCH(G$2,Kraftvärmeprod!$B$1:$VX$1,0),FALSE)/1,0)-IFERROR(VLOOKUP($B188,'Slutlig allokering kvv'!$B$2:$BX$549,MATCH(G$2,'Slutlig allokering kvv'!$B$1:$BX$1,0),FALSE)/1,0))</f>
        <v/>
      </c>
      <c r="H188" s="121" t="str">
        <f>IF($D188="","",IFERROR(VLOOKUP($B188,Kraftvärmeprod!$B$1:$BX$549,MATCH(H$2,Kraftvärmeprod!$B$1:$VX$1,0),FALSE)/1,0)-IFERROR(VLOOKUP($B188,'Slutlig allokering kvv'!$B$2:$BX$549,MATCH(H$2,'Slutlig allokering kvv'!$B$1:$BX$1,0),FALSE)/1,0))</f>
        <v/>
      </c>
      <c r="I188" s="121" t="str">
        <f>IF($D188="","",IFERROR(VLOOKUP($B188,Kraftvärmeprod!$B$1:$BX$549,MATCH(I$2,Kraftvärmeprod!$B$1:$VX$1,0),FALSE)/1,0)-IFERROR(VLOOKUP($B188,'Slutlig allokering kvv'!$B$2:$BX$549,MATCH(I$2,'Slutlig allokering kvv'!$B$1:$BX$1,0),FALSE)/1,0))</f>
        <v/>
      </c>
      <c r="J188" s="121" t="str">
        <f>IF($D188="","",IFERROR(VLOOKUP($B188,Kraftvärmeprod!$B$1:$BX$549,MATCH(J$2,Kraftvärmeprod!$B$1:$VX$1,0),FALSE)/1,0)-IFERROR(VLOOKUP($B188,'Slutlig allokering kvv'!$B$2:$BX$549,MATCH(J$2,'Slutlig allokering kvv'!$B$1:$BX$1,0),FALSE)/1,0))</f>
        <v/>
      </c>
      <c r="K188" s="121" t="str">
        <f>IF($D188="","",IFERROR(VLOOKUP($B188,Kraftvärmeprod!$B$1:$BX$549,MATCH(K$2,Kraftvärmeprod!$B$1:$VX$1,0),FALSE)/1,0)-IFERROR(VLOOKUP($B188,'Slutlig allokering kvv'!$B$2:$BX$549,MATCH(K$2,'Slutlig allokering kvv'!$B$1:$BX$1,0),FALSE)/1,0))</f>
        <v/>
      </c>
      <c r="L188" s="121" t="str">
        <f>IF($D188="","",IFERROR(VLOOKUP($B188,Kraftvärmeprod!$B$1:$BX$549,MATCH(L$2,Kraftvärmeprod!$B$1:$VX$1,0),FALSE)/1,0)-IFERROR(VLOOKUP($B188,'Slutlig allokering kvv'!$B$2:$BX$549,MATCH(L$2,'Slutlig allokering kvv'!$B$1:$BX$1,0),FALSE)/1,0))</f>
        <v/>
      </c>
      <c r="M188" s="121" t="str">
        <f>IF($D188="","",IFERROR(VLOOKUP($B188,Kraftvärmeprod!$B$1:$BX$549,MATCH(M$2,Kraftvärmeprod!$B$1:$VX$1,0),FALSE)/1,0)-IFERROR(VLOOKUP($B188,'Slutlig allokering kvv'!$B$2:$BX$549,MATCH(M$2,'Slutlig allokering kvv'!$B$1:$BX$1,0),FALSE)/1,0))</f>
        <v/>
      </c>
      <c r="N188" s="121" t="str">
        <f>IF($D188="","",IFERROR(VLOOKUP($B188,Kraftvärmeprod!$B$1:$BX$549,MATCH(N$2,Kraftvärmeprod!$B$1:$VX$1,0),FALSE)/1,0)-IFERROR(VLOOKUP($B188,'Slutlig allokering kvv'!$B$2:$BX$549,MATCH(N$2,'Slutlig allokering kvv'!$B$1:$BX$1,0),FALSE)/1,0))</f>
        <v/>
      </c>
      <c r="O188" s="121" t="str">
        <f>IF($D188="","",IFERROR(VLOOKUP($B188,Kraftvärmeprod!$B$1:$BX$549,MATCH(O$2,Kraftvärmeprod!$B$1:$VX$1,0),FALSE)/1,0)-IFERROR(VLOOKUP($B188,'Slutlig allokering kvv'!$B$2:$BX$549,MATCH(O$2,'Slutlig allokering kvv'!$B$1:$BX$1,0),FALSE)/1,0))</f>
        <v/>
      </c>
      <c r="P188" s="121" t="str">
        <f>IF($D188="","",IFERROR(VLOOKUP($B188,Kraftvärmeprod!$B$1:$BX$549,MATCH(P$2,Kraftvärmeprod!$B$1:$VX$1,0),FALSE)/1,0)-IFERROR(VLOOKUP($B188,'Slutlig allokering kvv'!$B$2:$BX$549,MATCH(P$2,'Slutlig allokering kvv'!$B$1:$BX$1,0),FALSE)/1,0))</f>
        <v/>
      </c>
      <c r="Q188" s="121" t="str">
        <f>IF($D188="","",IFERROR(VLOOKUP($B188,Kraftvärmeprod!$B$1:$BX$549,MATCH(Q$2,Kraftvärmeprod!$B$1:$VX$1,0),FALSE)/1,0)-IFERROR(VLOOKUP($B188,'Slutlig allokering kvv'!$B$2:$BX$549,MATCH(Q$2,'Slutlig allokering kvv'!$B$1:$BX$1,0),FALSE)/1,0))</f>
        <v/>
      </c>
      <c r="R188" s="121" t="str">
        <f>IF($D188="","",IFERROR(VLOOKUP($B188,Kraftvärmeprod!$B$1:$BX$549,MATCH(R$2,Kraftvärmeprod!$B$1:$VX$1,0),FALSE)/1,0)-IFERROR(VLOOKUP($B188,'Slutlig allokering kvv'!$B$2:$BX$549,MATCH(R$2,'Slutlig allokering kvv'!$B$1:$BX$1,0),FALSE)/1,0))</f>
        <v/>
      </c>
      <c r="S188" s="121" t="str">
        <f>IF($D188="","",IFERROR(VLOOKUP($B188,Kraftvärmeprod!$B$1:$BX$549,MATCH(S$2,Kraftvärmeprod!$B$1:$VX$1,0),FALSE)/1,0)-IFERROR(VLOOKUP($B188,'Slutlig allokering kvv'!$B$2:$BX$549,MATCH(S$2,'Slutlig allokering kvv'!$B$1:$BX$1,0),FALSE)/1,0))</f>
        <v/>
      </c>
      <c r="T188" s="121" t="str">
        <f>IF($D188="","",IFERROR(VLOOKUP($B188,Kraftvärmeprod!$B$1:$BX$549,MATCH(T$2,Kraftvärmeprod!$B$1:$VX$1,0),FALSE)/1,0)-IFERROR(VLOOKUP($B188,'Slutlig allokering kvv'!$B$2:$BX$549,MATCH(T$2,'Slutlig allokering kvv'!$B$1:$BX$1,0),FALSE)/1,0))</f>
        <v/>
      </c>
      <c r="U188" s="121" t="str">
        <f>IF($D188="","",IFERROR(VLOOKUP($B188,Kraftvärmeprod!$B$1:$BX$549,MATCH(U$2,Kraftvärmeprod!$B$1:$VX$1,0),FALSE)/1,0)-IFERROR(VLOOKUP($B188,'Slutlig allokering kvv'!$B$2:$BX$549,MATCH(U$2,'Slutlig allokering kvv'!$B$1:$BX$1,0),FALSE)/1,0))</f>
        <v/>
      </c>
      <c r="V188" s="121" t="str">
        <f>IF($D188="","",IFERROR(VLOOKUP($B188,Kraftvärmeprod!$B$1:$BX$549,MATCH(V$2,Kraftvärmeprod!$B$1:$VX$1,0),FALSE)/1,0)-IFERROR(VLOOKUP($B188,'Slutlig allokering kvv'!$B$2:$BX$549,MATCH(V$2,'Slutlig allokering kvv'!$B$1:$BX$1,0),FALSE)/1,0))</f>
        <v/>
      </c>
      <c r="W188" s="121" t="str">
        <f>IF($D188="","",IFERROR(VLOOKUP($B188,Kraftvärmeprod!$B$1:$BX$549,MATCH(W$2,Kraftvärmeprod!$B$1:$VX$1,0),FALSE)/1,0)-IFERROR(VLOOKUP($B188,'Slutlig allokering kvv'!$B$2:$BX$549,MATCH(W$2,'Slutlig allokering kvv'!$B$1:$BX$1,0),FALSE)/1,0))</f>
        <v/>
      </c>
      <c r="X188" s="121" t="str">
        <f>IF($D188="","",IFERROR(VLOOKUP($B188,Kraftvärmeprod!$B$1:$BX$549,MATCH(X$2,Kraftvärmeprod!$B$1:$VX$1,0),FALSE)/1,0)-IFERROR(VLOOKUP($B188,'Slutlig allokering kvv'!$B$2:$BX$549,MATCH(X$2,'Slutlig allokering kvv'!$B$1:$BX$1,0),FALSE)/1,0))</f>
        <v/>
      </c>
      <c r="Y188" s="121" t="str">
        <f>IF($D188="","",IFERROR(VLOOKUP($B188,Kraftvärmeprod!$B$1:$BX$549,MATCH(Y$2,Kraftvärmeprod!$B$1:$VX$1,0),FALSE)/1,0)-IFERROR(VLOOKUP($B188,'Slutlig allokering kvv'!$B$2:$BX$549,MATCH(Y$2,'Slutlig allokering kvv'!$B$1:$BX$1,0),FALSE)/1,0))</f>
        <v/>
      </c>
      <c r="Z188" s="121" t="str">
        <f>IF($D188="","",IFERROR(VLOOKUP($B188,Kraftvärmeprod!$B$1:$BX$549,MATCH(Z$2,Kraftvärmeprod!$B$1:$VX$1,0),FALSE)/1,0)-IFERROR(VLOOKUP($B188,'Slutlig allokering kvv'!$B$2:$BX$549,MATCH(Z$2,'Slutlig allokering kvv'!$B$1:$BX$1,0),FALSE)/1,0))</f>
        <v/>
      </c>
      <c r="AA188" s="121" t="str">
        <f>IF($D188="","",IFERROR(VLOOKUP($B188,Kraftvärmeprod!$B$1:$BX$549,MATCH(AA$2,Kraftvärmeprod!$B$1:$VX$1,0),FALSE)/1,0)-IFERROR(VLOOKUP($B188,'Slutlig allokering kvv'!$B$2:$BX$549,MATCH(AA$2,'Slutlig allokering kvv'!$B$1:$BX$1,0),FALSE)/1,0))</f>
        <v/>
      </c>
      <c r="AB188" s="121" t="str">
        <f>IF($D188="","",IFERROR(VLOOKUP($B188,Kraftvärmeprod!$B$1:$BX$549,MATCH(AB$2,Kraftvärmeprod!$B$1:$VX$1,0),FALSE)/1,0)-IFERROR(VLOOKUP($B188,'Slutlig allokering kvv'!$B$2:$BX$549,MATCH(AB$2,'Slutlig allokering kvv'!$B$1:$BX$1,0),FALSE)/1,0))</f>
        <v/>
      </c>
      <c r="AC188" s="121" t="str">
        <f>IF($D188="","",IFERROR(VLOOKUP($B188,Kraftvärmeprod!$B$1:$BX$549,MATCH(AC$2,Kraftvärmeprod!$B$1:$VX$1,0),FALSE)/1,0)-IFERROR(VLOOKUP($B188,'Slutlig allokering kvv'!$B$2:$BX$549,MATCH(AC$2,'Slutlig allokering kvv'!$B$1:$BX$1,0),FALSE)/1,0))</f>
        <v/>
      </c>
      <c r="AD188" s="121" t="str">
        <f>IF($D188="","",IFERROR(VLOOKUP($B188,Kraftvärmeprod!$B$1:$BX$549,MATCH(AD$2,Kraftvärmeprod!$B$1:$VX$1,0),FALSE)/1,0)-IFERROR(VLOOKUP($B188,'Slutlig allokering kvv'!$B$2:$BX$549,MATCH(AD$2,'Slutlig allokering kvv'!$B$1:$BX$1,0),FALSE)/1,0))</f>
        <v/>
      </c>
      <c r="AE188" s="121" t="str">
        <f>IF($D188="","",IFERROR(VLOOKUP($B188,Miljö!$B$1:$E$550,MATCH("Hjälpel kraftvärme (GWh)",Miljö!$B$1:$E$1,0),FALSE)/1,0)-IFERROR(VLOOKUP($B188,'Slutlig allokering kvv'!$B$2:$BX$549,MATCH(AE$2,'Slutlig allokering kvv'!$B$1:$BX$1,0),FALSE)/1,0))</f>
        <v/>
      </c>
      <c r="AI188" s="121">
        <f t="shared" si="8"/>
        <v>0</v>
      </c>
      <c r="AK188" s="121">
        <f>IFERROR(VLOOKUP($B188,'Slutlig allokering kvv'!$B$2:$AX$549,MATCH("Summa slutlig allokerad tillförd energi (utan hjälpel och rökgaskondensering):",'Slutlig allokering kvv'!$B$1:$AX$1,0),FALSE)/1,"")</f>
        <v>0</v>
      </c>
      <c r="AM188" s="172" t="str">
        <f>IFERROR(1-VLOOKUP($B188,'Slutlig allokering kvv'!$B$2:$AX$549,MATCH("Andel av bränsle i kvv som allokerats till värme, exklusive rökgaskondensering och hjälpel",'Slutlig allokering kvv'!$B$1:$AX$1,0),FALSE),"")</f>
        <v/>
      </c>
      <c r="AO188" s="172" t="str">
        <f t="shared" si="9"/>
        <v/>
      </c>
      <c r="AP188" s="173" t="str">
        <f t="shared" si="10"/>
        <v/>
      </c>
      <c r="AR188" s="172" t="str">
        <f t="shared" si="11"/>
        <v/>
      </c>
    </row>
    <row r="189" spans="1:44" x14ac:dyDescent="0.25">
      <c r="A189" s="171" t="str">
        <f>'Miljövärden för publ företag'!B191</f>
        <v>Neova AB</v>
      </c>
      <c r="B189" s="171" t="str">
        <f>'Miljövärden för publ företag'!C191</f>
        <v>Östhammar</v>
      </c>
      <c r="C189" s="121" t="str">
        <f>IFERROR(VLOOKUP($B189,Kraftvärmeprod!$B$1:$AH$478,MATCH(C$2,Kraftvärmeprod!$B$1:$AG$1,0),FALSE)/1,"")</f>
        <v/>
      </c>
      <c r="D189" s="121" t="str">
        <f>IFERROR(VLOOKUP($B189,Kraftvärmeprod!$B$1:$AH$478,MATCH(D$2,Kraftvärmeprod!$B$1:$AG$1,0),FALSE)/1,"")</f>
        <v/>
      </c>
      <c r="F189" s="121" t="str">
        <f>IF($D189="","",IFERROR(VLOOKUP($B189,Kraftvärmeprod!$B$1:$BX$549,MATCH(F$2,Kraftvärmeprod!$B$1:$VX$1,0),FALSE)/1,0)-IFERROR(VLOOKUP($B189,'Slutlig allokering kvv'!$B$2:$BX$549,MATCH(F$2,'Slutlig allokering kvv'!$B$1:$BX$1,0),FALSE)/1,0))</f>
        <v/>
      </c>
      <c r="G189" s="121" t="str">
        <f>IF($D189="","",IFERROR(VLOOKUP($B189,Kraftvärmeprod!$B$1:$BX$549,MATCH(G$2,Kraftvärmeprod!$B$1:$VX$1,0),FALSE)/1,0)-IFERROR(VLOOKUP($B189,'Slutlig allokering kvv'!$B$2:$BX$549,MATCH(G$2,'Slutlig allokering kvv'!$B$1:$BX$1,0),FALSE)/1,0))</f>
        <v/>
      </c>
      <c r="H189" s="121" t="str">
        <f>IF($D189="","",IFERROR(VLOOKUP($B189,Kraftvärmeprod!$B$1:$BX$549,MATCH(H$2,Kraftvärmeprod!$B$1:$VX$1,0),FALSE)/1,0)-IFERROR(VLOOKUP($B189,'Slutlig allokering kvv'!$B$2:$BX$549,MATCH(H$2,'Slutlig allokering kvv'!$B$1:$BX$1,0),FALSE)/1,0))</f>
        <v/>
      </c>
      <c r="I189" s="121" t="str">
        <f>IF($D189="","",IFERROR(VLOOKUP($B189,Kraftvärmeprod!$B$1:$BX$549,MATCH(I$2,Kraftvärmeprod!$B$1:$VX$1,0),FALSE)/1,0)-IFERROR(VLOOKUP($B189,'Slutlig allokering kvv'!$B$2:$BX$549,MATCH(I$2,'Slutlig allokering kvv'!$B$1:$BX$1,0),FALSE)/1,0))</f>
        <v/>
      </c>
      <c r="J189" s="121" t="str">
        <f>IF($D189="","",IFERROR(VLOOKUP($B189,Kraftvärmeprod!$B$1:$BX$549,MATCH(J$2,Kraftvärmeprod!$B$1:$VX$1,0),FALSE)/1,0)-IFERROR(VLOOKUP($B189,'Slutlig allokering kvv'!$B$2:$BX$549,MATCH(J$2,'Slutlig allokering kvv'!$B$1:$BX$1,0),FALSE)/1,0))</f>
        <v/>
      </c>
      <c r="K189" s="121" t="str">
        <f>IF($D189="","",IFERROR(VLOOKUP($B189,Kraftvärmeprod!$B$1:$BX$549,MATCH(K$2,Kraftvärmeprod!$B$1:$VX$1,0),FALSE)/1,0)-IFERROR(VLOOKUP($B189,'Slutlig allokering kvv'!$B$2:$BX$549,MATCH(K$2,'Slutlig allokering kvv'!$B$1:$BX$1,0),FALSE)/1,0))</f>
        <v/>
      </c>
      <c r="L189" s="121" t="str">
        <f>IF($D189="","",IFERROR(VLOOKUP($B189,Kraftvärmeprod!$B$1:$BX$549,MATCH(L$2,Kraftvärmeprod!$B$1:$VX$1,0),FALSE)/1,0)-IFERROR(VLOOKUP($B189,'Slutlig allokering kvv'!$B$2:$BX$549,MATCH(L$2,'Slutlig allokering kvv'!$B$1:$BX$1,0),FALSE)/1,0))</f>
        <v/>
      </c>
      <c r="M189" s="121" t="str">
        <f>IF($D189="","",IFERROR(VLOOKUP($B189,Kraftvärmeprod!$B$1:$BX$549,MATCH(M$2,Kraftvärmeprod!$B$1:$VX$1,0),FALSE)/1,0)-IFERROR(VLOOKUP($B189,'Slutlig allokering kvv'!$B$2:$BX$549,MATCH(M$2,'Slutlig allokering kvv'!$B$1:$BX$1,0),FALSE)/1,0))</f>
        <v/>
      </c>
      <c r="N189" s="121" t="str">
        <f>IF($D189="","",IFERROR(VLOOKUP($B189,Kraftvärmeprod!$B$1:$BX$549,MATCH(N$2,Kraftvärmeprod!$B$1:$VX$1,0),FALSE)/1,0)-IFERROR(VLOOKUP($B189,'Slutlig allokering kvv'!$B$2:$BX$549,MATCH(N$2,'Slutlig allokering kvv'!$B$1:$BX$1,0),FALSE)/1,0))</f>
        <v/>
      </c>
      <c r="O189" s="121" t="str">
        <f>IF($D189="","",IFERROR(VLOOKUP($B189,Kraftvärmeprod!$B$1:$BX$549,MATCH(O$2,Kraftvärmeprod!$B$1:$VX$1,0),FALSE)/1,0)-IFERROR(VLOOKUP($B189,'Slutlig allokering kvv'!$B$2:$BX$549,MATCH(O$2,'Slutlig allokering kvv'!$B$1:$BX$1,0),FALSE)/1,0))</f>
        <v/>
      </c>
      <c r="P189" s="121" t="str">
        <f>IF($D189="","",IFERROR(VLOOKUP($B189,Kraftvärmeprod!$B$1:$BX$549,MATCH(P$2,Kraftvärmeprod!$B$1:$VX$1,0),FALSE)/1,0)-IFERROR(VLOOKUP($B189,'Slutlig allokering kvv'!$B$2:$BX$549,MATCH(P$2,'Slutlig allokering kvv'!$B$1:$BX$1,0),FALSE)/1,0))</f>
        <v/>
      </c>
      <c r="Q189" s="121" t="str">
        <f>IF($D189="","",IFERROR(VLOOKUP($B189,Kraftvärmeprod!$B$1:$BX$549,MATCH(Q$2,Kraftvärmeprod!$B$1:$VX$1,0),FALSE)/1,0)-IFERROR(VLOOKUP($B189,'Slutlig allokering kvv'!$B$2:$BX$549,MATCH(Q$2,'Slutlig allokering kvv'!$B$1:$BX$1,0),FALSE)/1,0))</f>
        <v/>
      </c>
      <c r="R189" s="121" t="str">
        <f>IF($D189="","",IFERROR(VLOOKUP($B189,Kraftvärmeprod!$B$1:$BX$549,MATCH(R$2,Kraftvärmeprod!$B$1:$VX$1,0),FALSE)/1,0)-IFERROR(VLOOKUP($B189,'Slutlig allokering kvv'!$B$2:$BX$549,MATCH(R$2,'Slutlig allokering kvv'!$B$1:$BX$1,0),FALSE)/1,0))</f>
        <v/>
      </c>
      <c r="S189" s="121" t="str">
        <f>IF($D189="","",IFERROR(VLOOKUP($B189,Kraftvärmeprod!$B$1:$BX$549,MATCH(S$2,Kraftvärmeprod!$B$1:$VX$1,0),FALSE)/1,0)-IFERROR(VLOOKUP($B189,'Slutlig allokering kvv'!$B$2:$BX$549,MATCH(S$2,'Slutlig allokering kvv'!$B$1:$BX$1,0),FALSE)/1,0))</f>
        <v/>
      </c>
      <c r="T189" s="121" t="str">
        <f>IF($D189="","",IFERROR(VLOOKUP($B189,Kraftvärmeprod!$B$1:$BX$549,MATCH(T$2,Kraftvärmeprod!$B$1:$VX$1,0),FALSE)/1,0)-IFERROR(VLOOKUP($B189,'Slutlig allokering kvv'!$B$2:$BX$549,MATCH(T$2,'Slutlig allokering kvv'!$B$1:$BX$1,0),FALSE)/1,0))</f>
        <v/>
      </c>
      <c r="U189" s="121" t="str">
        <f>IF($D189="","",IFERROR(VLOOKUP($B189,Kraftvärmeprod!$B$1:$BX$549,MATCH(U$2,Kraftvärmeprod!$B$1:$VX$1,0),FALSE)/1,0)-IFERROR(VLOOKUP($B189,'Slutlig allokering kvv'!$B$2:$BX$549,MATCH(U$2,'Slutlig allokering kvv'!$B$1:$BX$1,0),FALSE)/1,0))</f>
        <v/>
      </c>
      <c r="V189" s="121" t="str">
        <f>IF($D189="","",IFERROR(VLOOKUP($B189,Kraftvärmeprod!$B$1:$BX$549,MATCH(V$2,Kraftvärmeprod!$B$1:$VX$1,0),FALSE)/1,0)-IFERROR(VLOOKUP($B189,'Slutlig allokering kvv'!$B$2:$BX$549,MATCH(V$2,'Slutlig allokering kvv'!$B$1:$BX$1,0),FALSE)/1,0))</f>
        <v/>
      </c>
      <c r="W189" s="121" t="str">
        <f>IF($D189="","",IFERROR(VLOOKUP($B189,Kraftvärmeprod!$B$1:$BX$549,MATCH(W$2,Kraftvärmeprod!$B$1:$VX$1,0),FALSE)/1,0)-IFERROR(VLOOKUP($B189,'Slutlig allokering kvv'!$B$2:$BX$549,MATCH(W$2,'Slutlig allokering kvv'!$B$1:$BX$1,0),FALSE)/1,0))</f>
        <v/>
      </c>
      <c r="X189" s="121" t="str">
        <f>IF($D189="","",IFERROR(VLOOKUP($B189,Kraftvärmeprod!$B$1:$BX$549,MATCH(X$2,Kraftvärmeprod!$B$1:$VX$1,0),FALSE)/1,0)-IFERROR(VLOOKUP($B189,'Slutlig allokering kvv'!$B$2:$BX$549,MATCH(X$2,'Slutlig allokering kvv'!$B$1:$BX$1,0),FALSE)/1,0))</f>
        <v/>
      </c>
      <c r="Y189" s="121" t="str">
        <f>IF($D189="","",IFERROR(VLOOKUP($B189,Kraftvärmeprod!$B$1:$BX$549,MATCH(Y$2,Kraftvärmeprod!$B$1:$VX$1,0),FALSE)/1,0)-IFERROR(VLOOKUP($B189,'Slutlig allokering kvv'!$B$2:$BX$549,MATCH(Y$2,'Slutlig allokering kvv'!$B$1:$BX$1,0),FALSE)/1,0))</f>
        <v/>
      </c>
      <c r="Z189" s="121" t="str">
        <f>IF($D189="","",IFERROR(VLOOKUP($B189,Kraftvärmeprod!$B$1:$BX$549,MATCH(Z$2,Kraftvärmeprod!$B$1:$VX$1,0),FALSE)/1,0)-IFERROR(VLOOKUP($B189,'Slutlig allokering kvv'!$B$2:$BX$549,MATCH(Z$2,'Slutlig allokering kvv'!$B$1:$BX$1,0),FALSE)/1,0))</f>
        <v/>
      </c>
      <c r="AA189" s="121" t="str">
        <f>IF($D189="","",IFERROR(VLOOKUP($B189,Kraftvärmeprod!$B$1:$BX$549,MATCH(AA$2,Kraftvärmeprod!$B$1:$VX$1,0),FALSE)/1,0)-IFERROR(VLOOKUP($B189,'Slutlig allokering kvv'!$B$2:$BX$549,MATCH(AA$2,'Slutlig allokering kvv'!$B$1:$BX$1,0),FALSE)/1,0))</f>
        <v/>
      </c>
      <c r="AB189" s="121" t="str">
        <f>IF($D189="","",IFERROR(VLOOKUP($B189,Kraftvärmeprod!$B$1:$BX$549,MATCH(AB$2,Kraftvärmeprod!$B$1:$VX$1,0),FALSE)/1,0)-IFERROR(VLOOKUP($B189,'Slutlig allokering kvv'!$B$2:$BX$549,MATCH(AB$2,'Slutlig allokering kvv'!$B$1:$BX$1,0),FALSE)/1,0))</f>
        <v/>
      </c>
      <c r="AC189" s="121" t="str">
        <f>IF($D189="","",IFERROR(VLOOKUP($B189,Kraftvärmeprod!$B$1:$BX$549,MATCH(AC$2,Kraftvärmeprod!$B$1:$VX$1,0),FALSE)/1,0)-IFERROR(VLOOKUP($B189,'Slutlig allokering kvv'!$B$2:$BX$549,MATCH(AC$2,'Slutlig allokering kvv'!$B$1:$BX$1,0),FALSE)/1,0))</f>
        <v/>
      </c>
      <c r="AD189" s="121" t="str">
        <f>IF($D189="","",IFERROR(VLOOKUP($B189,Kraftvärmeprod!$B$1:$BX$549,MATCH(AD$2,Kraftvärmeprod!$B$1:$VX$1,0),FALSE)/1,0)-IFERROR(VLOOKUP($B189,'Slutlig allokering kvv'!$B$2:$BX$549,MATCH(AD$2,'Slutlig allokering kvv'!$B$1:$BX$1,0),FALSE)/1,0))</f>
        <v/>
      </c>
      <c r="AE189" s="121" t="str">
        <f>IF($D189="","",IFERROR(VLOOKUP($B189,Miljö!$B$1:$E$550,MATCH("Hjälpel kraftvärme (GWh)",Miljö!$B$1:$E$1,0),FALSE)/1,0)-IFERROR(VLOOKUP($B189,'Slutlig allokering kvv'!$B$2:$BX$549,MATCH(AE$2,'Slutlig allokering kvv'!$B$1:$BX$1,0),FALSE)/1,0))</f>
        <v/>
      </c>
      <c r="AI189" s="121">
        <f t="shared" si="8"/>
        <v>0</v>
      </c>
      <c r="AK189" s="121">
        <f>IFERROR(VLOOKUP($B189,'Slutlig allokering kvv'!$B$2:$AX$549,MATCH("Summa slutlig allokerad tillförd energi (utan hjälpel och rökgaskondensering):",'Slutlig allokering kvv'!$B$1:$AX$1,0),FALSE)/1,"")</f>
        <v>0</v>
      </c>
      <c r="AM189" s="172" t="str">
        <f>IFERROR(1-VLOOKUP($B189,'Slutlig allokering kvv'!$B$2:$AX$549,MATCH("Andel av bränsle i kvv som allokerats till värme, exklusive rökgaskondensering och hjälpel",'Slutlig allokering kvv'!$B$1:$AX$1,0),FALSE),"")</f>
        <v/>
      </c>
      <c r="AO189" s="172" t="str">
        <f t="shared" si="9"/>
        <v/>
      </c>
      <c r="AP189" s="173" t="str">
        <f t="shared" si="10"/>
        <v/>
      </c>
      <c r="AR189" s="172" t="str">
        <f t="shared" si="11"/>
        <v/>
      </c>
    </row>
    <row r="190" spans="1:44" x14ac:dyDescent="0.25">
      <c r="A190" s="171" t="str">
        <f>'Miljövärden för publ företag'!B192</f>
        <v>Njudung Energi Sävsjö AB</v>
      </c>
      <c r="B190" s="171" t="str">
        <f>'Miljövärden för publ företag'!C192</f>
        <v>Rörvik</v>
      </c>
      <c r="C190" s="121" t="str">
        <f>IFERROR(VLOOKUP($B190,Kraftvärmeprod!$B$1:$AH$478,MATCH(C$2,Kraftvärmeprod!$B$1:$AG$1,0),FALSE)/1,"")</f>
        <v/>
      </c>
      <c r="D190" s="121" t="str">
        <f>IFERROR(VLOOKUP($B190,Kraftvärmeprod!$B$1:$AH$478,MATCH(D$2,Kraftvärmeprod!$B$1:$AG$1,0),FALSE)/1,"")</f>
        <v/>
      </c>
      <c r="F190" s="121" t="str">
        <f>IF($D190="","",IFERROR(VLOOKUP($B190,Kraftvärmeprod!$B$1:$BX$549,MATCH(F$2,Kraftvärmeprod!$B$1:$VX$1,0),FALSE)/1,0)-IFERROR(VLOOKUP($B190,'Slutlig allokering kvv'!$B$2:$BX$549,MATCH(F$2,'Slutlig allokering kvv'!$B$1:$BX$1,0),FALSE)/1,0))</f>
        <v/>
      </c>
      <c r="G190" s="121" t="str">
        <f>IF($D190="","",IFERROR(VLOOKUP($B190,Kraftvärmeprod!$B$1:$BX$549,MATCH(G$2,Kraftvärmeprod!$B$1:$VX$1,0),FALSE)/1,0)-IFERROR(VLOOKUP($B190,'Slutlig allokering kvv'!$B$2:$BX$549,MATCH(G$2,'Slutlig allokering kvv'!$B$1:$BX$1,0),FALSE)/1,0))</f>
        <v/>
      </c>
      <c r="H190" s="121" t="str">
        <f>IF($D190="","",IFERROR(VLOOKUP($B190,Kraftvärmeprod!$B$1:$BX$549,MATCH(H$2,Kraftvärmeprod!$B$1:$VX$1,0),FALSE)/1,0)-IFERROR(VLOOKUP($B190,'Slutlig allokering kvv'!$B$2:$BX$549,MATCH(H$2,'Slutlig allokering kvv'!$B$1:$BX$1,0),FALSE)/1,0))</f>
        <v/>
      </c>
      <c r="I190" s="121" t="str">
        <f>IF($D190="","",IFERROR(VLOOKUP($B190,Kraftvärmeprod!$B$1:$BX$549,MATCH(I$2,Kraftvärmeprod!$B$1:$VX$1,0),FALSE)/1,0)-IFERROR(VLOOKUP($B190,'Slutlig allokering kvv'!$B$2:$BX$549,MATCH(I$2,'Slutlig allokering kvv'!$B$1:$BX$1,0),FALSE)/1,0))</f>
        <v/>
      </c>
      <c r="J190" s="121" t="str">
        <f>IF($D190="","",IFERROR(VLOOKUP($B190,Kraftvärmeprod!$B$1:$BX$549,MATCH(J$2,Kraftvärmeprod!$B$1:$VX$1,0),FALSE)/1,0)-IFERROR(VLOOKUP($B190,'Slutlig allokering kvv'!$B$2:$BX$549,MATCH(J$2,'Slutlig allokering kvv'!$B$1:$BX$1,0),FALSE)/1,0))</f>
        <v/>
      </c>
      <c r="K190" s="121" t="str">
        <f>IF($D190="","",IFERROR(VLOOKUP($B190,Kraftvärmeprod!$B$1:$BX$549,MATCH(K$2,Kraftvärmeprod!$B$1:$VX$1,0),FALSE)/1,0)-IFERROR(VLOOKUP($B190,'Slutlig allokering kvv'!$B$2:$BX$549,MATCH(K$2,'Slutlig allokering kvv'!$B$1:$BX$1,0),FALSE)/1,0))</f>
        <v/>
      </c>
      <c r="L190" s="121" t="str">
        <f>IF($D190="","",IFERROR(VLOOKUP($B190,Kraftvärmeprod!$B$1:$BX$549,MATCH(L$2,Kraftvärmeprod!$B$1:$VX$1,0),FALSE)/1,0)-IFERROR(VLOOKUP($B190,'Slutlig allokering kvv'!$B$2:$BX$549,MATCH(L$2,'Slutlig allokering kvv'!$B$1:$BX$1,0),FALSE)/1,0))</f>
        <v/>
      </c>
      <c r="M190" s="121" t="str">
        <f>IF($D190="","",IFERROR(VLOOKUP($B190,Kraftvärmeprod!$B$1:$BX$549,MATCH(M$2,Kraftvärmeprod!$B$1:$VX$1,0),FALSE)/1,0)-IFERROR(VLOOKUP($B190,'Slutlig allokering kvv'!$B$2:$BX$549,MATCH(M$2,'Slutlig allokering kvv'!$B$1:$BX$1,0),FALSE)/1,0))</f>
        <v/>
      </c>
      <c r="N190" s="121" t="str">
        <f>IF($D190="","",IFERROR(VLOOKUP($B190,Kraftvärmeprod!$B$1:$BX$549,MATCH(N$2,Kraftvärmeprod!$B$1:$VX$1,0),FALSE)/1,0)-IFERROR(VLOOKUP($B190,'Slutlig allokering kvv'!$B$2:$BX$549,MATCH(N$2,'Slutlig allokering kvv'!$B$1:$BX$1,0),FALSE)/1,0))</f>
        <v/>
      </c>
      <c r="O190" s="121" t="str">
        <f>IF($D190="","",IFERROR(VLOOKUP($B190,Kraftvärmeprod!$B$1:$BX$549,MATCH(O$2,Kraftvärmeprod!$B$1:$VX$1,0),FALSE)/1,0)-IFERROR(VLOOKUP($B190,'Slutlig allokering kvv'!$B$2:$BX$549,MATCH(O$2,'Slutlig allokering kvv'!$B$1:$BX$1,0),FALSE)/1,0))</f>
        <v/>
      </c>
      <c r="P190" s="121" t="str">
        <f>IF($D190="","",IFERROR(VLOOKUP($B190,Kraftvärmeprod!$B$1:$BX$549,MATCH(P$2,Kraftvärmeprod!$B$1:$VX$1,0),FALSE)/1,0)-IFERROR(VLOOKUP($B190,'Slutlig allokering kvv'!$B$2:$BX$549,MATCH(P$2,'Slutlig allokering kvv'!$B$1:$BX$1,0),FALSE)/1,0))</f>
        <v/>
      </c>
      <c r="Q190" s="121" t="str">
        <f>IF($D190="","",IFERROR(VLOOKUP($B190,Kraftvärmeprod!$B$1:$BX$549,MATCH(Q$2,Kraftvärmeprod!$B$1:$VX$1,0),FALSE)/1,0)-IFERROR(VLOOKUP($B190,'Slutlig allokering kvv'!$B$2:$BX$549,MATCH(Q$2,'Slutlig allokering kvv'!$B$1:$BX$1,0),FALSE)/1,0))</f>
        <v/>
      </c>
      <c r="R190" s="121" t="str">
        <f>IF($D190="","",IFERROR(VLOOKUP($B190,Kraftvärmeprod!$B$1:$BX$549,MATCH(R$2,Kraftvärmeprod!$B$1:$VX$1,0),FALSE)/1,0)-IFERROR(VLOOKUP($B190,'Slutlig allokering kvv'!$B$2:$BX$549,MATCH(R$2,'Slutlig allokering kvv'!$B$1:$BX$1,0),FALSE)/1,0))</f>
        <v/>
      </c>
      <c r="S190" s="121" t="str">
        <f>IF($D190="","",IFERROR(VLOOKUP($B190,Kraftvärmeprod!$B$1:$BX$549,MATCH(S$2,Kraftvärmeprod!$B$1:$VX$1,0),FALSE)/1,0)-IFERROR(VLOOKUP($B190,'Slutlig allokering kvv'!$B$2:$BX$549,MATCH(S$2,'Slutlig allokering kvv'!$B$1:$BX$1,0),FALSE)/1,0))</f>
        <v/>
      </c>
      <c r="T190" s="121" t="str">
        <f>IF($D190="","",IFERROR(VLOOKUP($B190,Kraftvärmeprod!$B$1:$BX$549,MATCH(T$2,Kraftvärmeprod!$B$1:$VX$1,0),FALSE)/1,0)-IFERROR(VLOOKUP($B190,'Slutlig allokering kvv'!$B$2:$BX$549,MATCH(T$2,'Slutlig allokering kvv'!$B$1:$BX$1,0),FALSE)/1,0))</f>
        <v/>
      </c>
      <c r="U190" s="121" t="str">
        <f>IF($D190="","",IFERROR(VLOOKUP($B190,Kraftvärmeprod!$B$1:$BX$549,MATCH(U$2,Kraftvärmeprod!$B$1:$VX$1,0),FALSE)/1,0)-IFERROR(VLOOKUP($B190,'Slutlig allokering kvv'!$B$2:$BX$549,MATCH(U$2,'Slutlig allokering kvv'!$B$1:$BX$1,0),FALSE)/1,0))</f>
        <v/>
      </c>
      <c r="V190" s="121" t="str">
        <f>IF($D190="","",IFERROR(VLOOKUP($B190,Kraftvärmeprod!$B$1:$BX$549,MATCH(V$2,Kraftvärmeprod!$B$1:$VX$1,0),FALSE)/1,0)-IFERROR(VLOOKUP($B190,'Slutlig allokering kvv'!$B$2:$BX$549,MATCH(V$2,'Slutlig allokering kvv'!$B$1:$BX$1,0),FALSE)/1,0))</f>
        <v/>
      </c>
      <c r="W190" s="121" t="str">
        <f>IF($D190="","",IFERROR(VLOOKUP($B190,Kraftvärmeprod!$B$1:$BX$549,MATCH(W$2,Kraftvärmeprod!$B$1:$VX$1,0),FALSE)/1,0)-IFERROR(VLOOKUP($B190,'Slutlig allokering kvv'!$B$2:$BX$549,MATCH(W$2,'Slutlig allokering kvv'!$B$1:$BX$1,0),FALSE)/1,0))</f>
        <v/>
      </c>
      <c r="X190" s="121" t="str">
        <f>IF($D190="","",IFERROR(VLOOKUP($B190,Kraftvärmeprod!$B$1:$BX$549,MATCH(X$2,Kraftvärmeprod!$B$1:$VX$1,0),FALSE)/1,0)-IFERROR(VLOOKUP($B190,'Slutlig allokering kvv'!$B$2:$BX$549,MATCH(X$2,'Slutlig allokering kvv'!$B$1:$BX$1,0),FALSE)/1,0))</f>
        <v/>
      </c>
      <c r="Y190" s="121" t="str">
        <f>IF($D190="","",IFERROR(VLOOKUP($B190,Kraftvärmeprod!$B$1:$BX$549,MATCH(Y$2,Kraftvärmeprod!$B$1:$VX$1,0),FALSE)/1,0)-IFERROR(VLOOKUP($B190,'Slutlig allokering kvv'!$B$2:$BX$549,MATCH(Y$2,'Slutlig allokering kvv'!$B$1:$BX$1,0),FALSE)/1,0))</f>
        <v/>
      </c>
      <c r="Z190" s="121" t="str">
        <f>IF($D190="","",IFERROR(VLOOKUP($B190,Kraftvärmeprod!$B$1:$BX$549,MATCH(Z$2,Kraftvärmeprod!$B$1:$VX$1,0),FALSE)/1,0)-IFERROR(VLOOKUP($B190,'Slutlig allokering kvv'!$B$2:$BX$549,MATCH(Z$2,'Slutlig allokering kvv'!$B$1:$BX$1,0),FALSE)/1,0))</f>
        <v/>
      </c>
      <c r="AA190" s="121" t="str">
        <f>IF($D190="","",IFERROR(VLOOKUP($B190,Kraftvärmeprod!$B$1:$BX$549,MATCH(AA$2,Kraftvärmeprod!$B$1:$VX$1,0),FALSE)/1,0)-IFERROR(VLOOKUP($B190,'Slutlig allokering kvv'!$B$2:$BX$549,MATCH(AA$2,'Slutlig allokering kvv'!$B$1:$BX$1,0),FALSE)/1,0))</f>
        <v/>
      </c>
      <c r="AB190" s="121" t="str">
        <f>IF($D190="","",IFERROR(VLOOKUP($B190,Kraftvärmeprod!$B$1:$BX$549,MATCH(AB$2,Kraftvärmeprod!$B$1:$VX$1,0),FALSE)/1,0)-IFERROR(VLOOKUP($B190,'Slutlig allokering kvv'!$B$2:$BX$549,MATCH(AB$2,'Slutlig allokering kvv'!$B$1:$BX$1,0),FALSE)/1,0))</f>
        <v/>
      </c>
      <c r="AC190" s="121" t="str">
        <f>IF($D190="","",IFERROR(VLOOKUP($B190,Kraftvärmeprod!$B$1:$BX$549,MATCH(AC$2,Kraftvärmeprod!$B$1:$VX$1,0),FALSE)/1,0)-IFERROR(VLOOKUP($B190,'Slutlig allokering kvv'!$B$2:$BX$549,MATCH(AC$2,'Slutlig allokering kvv'!$B$1:$BX$1,0),FALSE)/1,0))</f>
        <v/>
      </c>
      <c r="AD190" s="121" t="str">
        <f>IF($D190="","",IFERROR(VLOOKUP($B190,Kraftvärmeprod!$B$1:$BX$549,MATCH(AD$2,Kraftvärmeprod!$B$1:$VX$1,0),FALSE)/1,0)-IFERROR(VLOOKUP($B190,'Slutlig allokering kvv'!$B$2:$BX$549,MATCH(AD$2,'Slutlig allokering kvv'!$B$1:$BX$1,0),FALSE)/1,0))</f>
        <v/>
      </c>
      <c r="AE190" s="121" t="str">
        <f>IF($D190="","",IFERROR(VLOOKUP($B190,Miljö!$B$1:$E$550,MATCH("Hjälpel kraftvärme (GWh)",Miljö!$B$1:$E$1,0),FALSE)/1,0)-IFERROR(VLOOKUP($B190,'Slutlig allokering kvv'!$B$2:$BX$549,MATCH(AE$2,'Slutlig allokering kvv'!$B$1:$BX$1,0),FALSE)/1,0))</f>
        <v/>
      </c>
      <c r="AI190" s="121">
        <f t="shared" si="8"/>
        <v>0</v>
      </c>
      <c r="AK190" s="121">
        <f>IFERROR(VLOOKUP($B190,'Slutlig allokering kvv'!$B$2:$AX$549,MATCH("Summa slutlig allokerad tillförd energi (utan hjälpel och rökgaskondensering):",'Slutlig allokering kvv'!$B$1:$AX$1,0),FALSE)/1,"")</f>
        <v>0</v>
      </c>
      <c r="AM190" s="172" t="str">
        <f>IFERROR(1-VLOOKUP($B190,'Slutlig allokering kvv'!$B$2:$AX$549,MATCH("Andel av bränsle i kvv som allokerats till värme, exklusive rökgaskondensering och hjälpel",'Slutlig allokering kvv'!$B$1:$AX$1,0),FALSE),"")</f>
        <v/>
      </c>
      <c r="AO190" s="172" t="str">
        <f t="shared" si="9"/>
        <v/>
      </c>
      <c r="AP190" s="173" t="str">
        <f t="shared" si="10"/>
        <v/>
      </c>
      <c r="AR190" s="172" t="str">
        <f t="shared" si="11"/>
        <v/>
      </c>
    </row>
    <row r="191" spans="1:44" x14ac:dyDescent="0.25">
      <c r="A191" s="171" t="str">
        <f>'Miljövärden för publ företag'!B193</f>
        <v>Njudung Energi Sävsjö AB</v>
      </c>
      <c r="B191" s="171" t="str">
        <f>'Miljövärden för publ företag'!C193</f>
        <v>Sävsjö</v>
      </c>
      <c r="C191" s="121" t="str">
        <f>IFERROR(VLOOKUP($B191,Kraftvärmeprod!$B$1:$AH$478,MATCH(C$2,Kraftvärmeprod!$B$1:$AG$1,0),FALSE)/1,"")</f>
        <v/>
      </c>
      <c r="D191" s="121" t="str">
        <f>IFERROR(VLOOKUP($B191,Kraftvärmeprod!$B$1:$AH$478,MATCH(D$2,Kraftvärmeprod!$B$1:$AG$1,0),FALSE)/1,"")</f>
        <v/>
      </c>
      <c r="F191" s="121" t="str">
        <f>IF($D191="","",IFERROR(VLOOKUP($B191,Kraftvärmeprod!$B$1:$BX$549,MATCH(F$2,Kraftvärmeprod!$B$1:$VX$1,0),FALSE)/1,0)-IFERROR(VLOOKUP($B191,'Slutlig allokering kvv'!$B$2:$BX$549,MATCH(F$2,'Slutlig allokering kvv'!$B$1:$BX$1,0),FALSE)/1,0))</f>
        <v/>
      </c>
      <c r="G191" s="121" t="str">
        <f>IF($D191="","",IFERROR(VLOOKUP($B191,Kraftvärmeprod!$B$1:$BX$549,MATCH(G$2,Kraftvärmeprod!$B$1:$VX$1,0),FALSE)/1,0)-IFERROR(VLOOKUP($B191,'Slutlig allokering kvv'!$B$2:$BX$549,MATCH(G$2,'Slutlig allokering kvv'!$B$1:$BX$1,0),FALSE)/1,0))</f>
        <v/>
      </c>
      <c r="H191" s="121" t="str">
        <f>IF($D191="","",IFERROR(VLOOKUP($B191,Kraftvärmeprod!$B$1:$BX$549,MATCH(H$2,Kraftvärmeprod!$B$1:$VX$1,0),FALSE)/1,0)-IFERROR(VLOOKUP($B191,'Slutlig allokering kvv'!$B$2:$BX$549,MATCH(H$2,'Slutlig allokering kvv'!$B$1:$BX$1,0),FALSE)/1,0))</f>
        <v/>
      </c>
      <c r="I191" s="121" t="str">
        <f>IF($D191="","",IFERROR(VLOOKUP($B191,Kraftvärmeprod!$B$1:$BX$549,MATCH(I$2,Kraftvärmeprod!$B$1:$VX$1,0),FALSE)/1,0)-IFERROR(VLOOKUP($B191,'Slutlig allokering kvv'!$B$2:$BX$549,MATCH(I$2,'Slutlig allokering kvv'!$B$1:$BX$1,0),FALSE)/1,0))</f>
        <v/>
      </c>
      <c r="J191" s="121" t="str">
        <f>IF($D191="","",IFERROR(VLOOKUP($B191,Kraftvärmeprod!$B$1:$BX$549,MATCH(J$2,Kraftvärmeprod!$B$1:$VX$1,0),FALSE)/1,0)-IFERROR(VLOOKUP($B191,'Slutlig allokering kvv'!$B$2:$BX$549,MATCH(J$2,'Slutlig allokering kvv'!$B$1:$BX$1,0),FALSE)/1,0))</f>
        <v/>
      </c>
      <c r="K191" s="121" t="str">
        <f>IF($D191="","",IFERROR(VLOOKUP($B191,Kraftvärmeprod!$B$1:$BX$549,MATCH(K$2,Kraftvärmeprod!$B$1:$VX$1,0),FALSE)/1,0)-IFERROR(VLOOKUP($B191,'Slutlig allokering kvv'!$B$2:$BX$549,MATCH(K$2,'Slutlig allokering kvv'!$B$1:$BX$1,0),FALSE)/1,0))</f>
        <v/>
      </c>
      <c r="L191" s="121" t="str">
        <f>IF($D191="","",IFERROR(VLOOKUP($B191,Kraftvärmeprod!$B$1:$BX$549,MATCH(L$2,Kraftvärmeprod!$B$1:$VX$1,0),FALSE)/1,0)-IFERROR(VLOOKUP($B191,'Slutlig allokering kvv'!$B$2:$BX$549,MATCH(L$2,'Slutlig allokering kvv'!$B$1:$BX$1,0),FALSE)/1,0))</f>
        <v/>
      </c>
      <c r="M191" s="121" t="str">
        <f>IF($D191="","",IFERROR(VLOOKUP($B191,Kraftvärmeprod!$B$1:$BX$549,MATCH(M$2,Kraftvärmeprod!$B$1:$VX$1,0),FALSE)/1,0)-IFERROR(VLOOKUP($B191,'Slutlig allokering kvv'!$B$2:$BX$549,MATCH(M$2,'Slutlig allokering kvv'!$B$1:$BX$1,0),FALSE)/1,0))</f>
        <v/>
      </c>
      <c r="N191" s="121" t="str">
        <f>IF($D191="","",IFERROR(VLOOKUP($B191,Kraftvärmeprod!$B$1:$BX$549,MATCH(N$2,Kraftvärmeprod!$B$1:$VX$1,0),FALSE)/1,0)-IFERROR(VLOOKUP($B191,'Slutlig allokering kvv'!$B$2:$BX$549,MATCH(N$2,'Slutlig allokering kvv'!$B$1:$BX$1,0),FALSE)/1,0))</f>
        <v/>
      </c>
      <c r="O191" s="121" t="str">
        <f>IF($D191="","",IFERROR(VLOOKUP($B191,Kraftvärmeprod!$B$1:$BX$549,MATCH(O$2,Kraftvärmeprod!$B$1:$VX$1,0),FALSE)/1,0)-IFERROR(VLOOKUP($B191,'Slutlig allokering kvv'!$B$2:$BX$549,MATCH(O$2,'Slutlig allokering kvv'!$B$1:$BX$1,0),FALSE)/1,0))</f>
        <v/>
      </c>
      <c r="P191" s="121" t="str">
        <f>IF($D191="","",IFERROR(VLOOKUP($B191,Kraftvärmeprod!$B$1:$BX$549,MATCH(P$2,Kraftvärmeprod!$B$1:$VX$1,0),FALSE)/1,0)-IFERROR(VLOOKUP($B191,'Slutlig allokering kvv'!$B$2:$BX$549,MATCH(P$2,'Slutlig allokering kvv'!$B$1:$BX$1,0),FALSE)/1,0))</f>
        <v/>
      </c>
      <c r="Q191" s="121" t="str">
        <f>IF($D191="","",IFERROR(VLOOKUP($B191,Kraftvärmeprod!$B$1:$BX$549,MATCH(Q$2,Kraftvärmeprod!$B$1:$VX$1,0),FALSE)/1,0)-IFERROR(VLOOKUP($B191,'Slutlig allokering kvv'!$B$2:$BX$549,MATCH(Q$2,'Slutlig allokering kvv'!$B$1:$BX$1,0),FALSE)/1,0))</f>
        <v/>
      </c>
      <c r="R191" s="121" t="str">
        <f>IF($D191="","",IFERROR(VLOOKUP($B191,Kraftvärmeprod!$B$1:$BX$549,MATCH(R$2,Kraftvärmeprod!$B$1:$VX$1,0),FALSE)/1,0)-IFERROR(VLOOKUP($B191,'Slutlig allokering kvv'!$B$2:$BX$549,MATCH(R$2,'Slutlig allokering kvv'!$B$1:$BX$1,0),FALSE)/1,0))</f>
        <v/>
      </c>
      <c r="S191" s="121" t="str">
        <f>IF($D191="","",IFERROR(VLOOKUP($B191,Kraftvärmeprod!$B$1:$BX$549,MATCH(S$2,Kraftvärmeprod!$B$1:$VX$1,0),FALSE)/1,0)-IFERROR(VLOOKUP($B191,'Slutlig allokering kvv'!$B$2:$BX$549,MATCH(S$2,'Slutlig allokering kvv'!$B$1:$BX$1,0),FALSE)/1,0))</f>
        <v/>
      </c>
      <c r="T191" s="121" t="str">
        <f>IF($D191="","",IFERROR(VLOOKUP($B191,Kraftvärmeprod!$B$1:$BX$549,MATCH(T$2,Kraftvärmeprod!$B$1:$VX$1,0),FALSE)/1,0)-IFERROR(VLOOKUP($B191,'Slutlig allokering kvv'!$B$2:$BX$549,MATCH(T$2,'Slutlig allokering kvv'!$B$1:$BX$1,0),FALSE)/1,0))</f>
        <v/>
      </c>
      <c r="U191" s="121" t="str">
        <f>IF($D191="","",IFERROR(VLOOKUP($B191,Kraftvärmeprod!$B$1:$BX$549,MATCH(U$2,Kraftvärmeprod!$B$1:$VX$1,0),FALSE)/1,0)-IFERROR(VLOOKUP($B191,'Slutlig allokering kvv'!$B$2:$BX$549,MATCH(U$2,'Slutlig allokering kvv'!$B$1:$BX$1,0),FALSE)/1,0))</f>
        <v/>
      </c>
      <c r="V191" s="121" t="str">
        <f>IF($D191="","",IFERROR(VLOOKUP($B191,Kraftvärmeprod!$B$1:$BX$549,MATCH(V$2,Kraftvärmeprod!$B$1:$VX$1,0),FALSE)/1,0)-IFERROR(VLOOKUP($B191,'Slutlig allokering kvv'!$B$2:$BX$549,MATCH(V$2,'Slutlig allokering kvv'!$B$1:$BX$1,0),FALSE)/1,0))</f>
        <v/>
      </c>
      <c r="W191" s="121" t="str">
        <f>IF($D191="","",IFERROR(VLOOKUP($B191,Kraftvärmeprod!$B$1:$BX$549,MATCH(W$2,Kraftvärmeprod!$B$1:$VX$1,0),FALSE)/1,0)-IFERROR(VLOOKUP($B191,'Slutlig allokering kvv'!$B$2:$BX$549,MATCH(W$2,'Slutlig allokering kvv'!$B$1:$BX$1,0),FALSE)/1,0))</f>
        <v/>
      </c>
      <c r="X191" s="121" t="str">
        <f>IF($D191="","",IFERROR(VLOOKUP($B191,Kraftvärmeprod!$B$1:$BX$549,MATCH(X$2,Kraftvärmeprod!$B$1:$VX$1,0),FALSE)/1,0)-IFERROR(VLOOKUP($B191,'Slutlig allokering kvv'!$B$2:$BX$549,MATCH(X$2,'Slutlig allokering kvv'!$B$1:$BX$1,0),FALSE)/1,0))</f>
        <v/>
      </c>
      <c r="Y191" s="121" t="str">
        <f>IF($D191="","",IFERROR(VLOOKUP($B191,Kraftvärmeprod!$B$1:$BX$549,MATCH(Y$2,Kraftvärmeprod!$B$1:$VX$1,0),FALSE)/1,0)-IFERROR(VLOOKUP($B191,'Slutlig allokering kvv'!$B$2:$BX$549,MATCH(Y$2,'Slutlig allokering kvv'!$B$1:$BX$1,0),FALSE)/1,0))</f>
        <v/>
      </c>
      <c r="Z191" s="121" t="str">
        <f>IF($D191="","",IFERROR(VLOOKUP($B191,Kraftvärmeprod!$B$1:$BX$549,MATCH(Z$2,Kraftvärmeprod!$B$1:$VX$1,0),FALSE)/1,0)-IFERROR(VLOOKUP($B191,'Slutlig allokering kvv'!$B$2:$BX$549,MATCH(Z$2,'Slutlig allokering kvv'!$B$1:$BX$1,0),FALSE)/1,0))</f>
        <v/>
      </c>
      <c r="AA191" s="121" t="str">
        <f>IF($D191="","",IFERROR(VLOOKUP($B191,Kraftvärmeprod!$B$1:$BX$549,MATCH(AA$2,Kraftvärmeprod!$B$1:$VX$1,0),FALSE)/1,0)-IFERROR(VLOOKUP($B191,'Slutlig allokering kvv'!$B$2:$BX$549,MATCH(AA$2,'Slutlig allokering kvv'!$B$1:$BX$1,0),FALSE)/1,0))</f>
        <v/>
      </c>
      <c r="AB191" s="121" t="str">
        <f>IF($D191="","",IFERROR(VLOOKUP($B191,Kraftvärmeprod!$B$1:$BX$549,MATCH(AB$2,Kraftvärmeprod!$B$1:$VX$1,0),FALSE)/1,0)-IFERROR(VLOOKUP($B191,'Slutlig allokering kvv'!$B$2:$BX$549,MATCH(AB$2,'Slutlig allokering kvv'!$B$1:$BX$1,0),FALSE)/1,0))</f>
        <v/>
      </c>
      <c r="AC191" s="121" t="str">
        <f>IF($D191="","",IFERROR(VLOOKUP($B191,Kraftvärmeprod!$B$1:$BX$549,MATCH(AC$2,Kraftvärmeprod!$B$1:$VX$1,0),FALSE)/1,0)-IFERROR(VLOOKUP($B191,'Slutlig allokering kvv'!$B$2:$BX$549,MATCH(AC$2,'Slutlig allokering kvv'!$B$1:$BX$1,0),FALSE)/1,0))</f>
        <v/>
      </c>
      <c r="AD191" s="121" t="str">
        <f>IF($D191="","",IFERROR(VLOOKUP($B191,Kraftvärmeprod!$B$1:$BX$549,MATCH(AD$2,Kraftvärmeprod!$B$1:$VX$1,0),FALSE)/1,0)-IFERROR(VLOOKUP($B191,'Slutlig allokering kvv'!$B$2:$BX$549,MATCH(AD$2,'Slutlig allokering kvv'!$B$1:$BX$1,0),FALSE)/1,0))</f>
        <v/>
      </c>
      <c r="AE191" s="121" t="str">
        <f>IF($D191="","",IFERROR(VLOOKUP($B191,Miljö!$B$1:$E$550,MATCH("Hjälpel kraftvärme (GWh)",Miljö!$B$1:$E$1,0),FALSE)/1,0)-IFERROR(VLOOKUP($B191,'Slutlig allokering kvv'!$B$2:$BX$549,MATCH(AE$2,'Slutlig allokering kvv'!$B$1:$BX$1,0),FALSE)/1,0))</f>
        <v/>
      </c>
      <c r="AI191" s="121">
        <f t="shared" si="8"/>
        <v>0</v>
      </c>
      <c r="AK191" s="121">
        <f>IFERROR(VLOOKUP($B191,'Slutlig allokering kvv'!$B$2:$AX$549,MATCH("Summa slutlig allokerad tillförd energi (utan hjälpel och rökgaskondensering):",'Slutlig allokering kvv'!$B$1:$AX$1,0),FALSE)/1,"")</f>
        <v>0</v>
      </c>
      <c r="AM191" s="172" t="str">
        <f>IFERROR(1-VLOOKUP($B191,'Slutlig allokering kvv'!$B$2:$AX$549,MATCH("Andel av bränsle i kvv som allokerats till värme, exklusive rökgaskondensering och hjälpel",'Slutlig allokering kvv'!$B$1:$AX$1,0),FALSE),"")</f>
        <v/>
      </c>
      <c r="AO191" s="172" t="str">
        <f t="shared" si="9"/>
        <v/>
      </c>
      <c r="AP191" s="173" t="str">
        <f t="shared" si="10"/>
        <v/>
      </c>
      <c r="AR191" s="172" t="str">
        <f t="shared" si="11"/>
        <v/>
      </c>
    </row>
    <row r="192" spans="1:44" x14ac:dyDescent="0.25">
      <c r="A192" s="171" t="str">
        <f>'Miljövärden för publ företag'!B194</f>
        <v>Njudung Energi Vetlanda AB</v>
      </c>
      <c r="B192" s="171" t="str">
        <f>'Miljövärden för publ företag'!C194</f>
        <v>Holsby</v>
      </c>
      <c r="C192" s="121" t="str">
        <f>IFERROR(VLOOKUP($B192,Kraftvärmeprod!$B$1:$AH$478,MATCH(C$2,Kraftvärmeprod!$B$1:$AG$1,0),FALSE)/1,"")</f>
        <v/>
      </c>
      <c r="D192" s="121" t="str">
        <f>IFERROR(VLOOKUP($B192,Kraftvärmeprod!$B$1:$AH$478,MATCH(D$2,Kraftvärmeprod!$B$1:$AG$1,0),FALSE)/1,"")</f>
        <v/>
      </c>
      <c r="F192" s="121" t="str">
        <f>IF($D192="","",IFERROR(VLOOKUP($B192,Kraftvärmeprod!$B$1:$BX$549,MATCH(F$2,Kraftvärmeprod!$B$1:$VX$1,0),FALSE)/1,0)-IFERROR(VLOOKUP($B192,'Slutlig allokering kvv'!$B$2:$BX$549,MATCH(F$2,'Slutlig allokering kvv'!$B$1:$BX$1,0),FALSE)/1,0))</f>
        <v/>
      </c>
      <c r="G192" s="121" t="str">
        <f>IF($D192="","",IFERROR(VLOOKUP($B192,Kraftvärmeprod!$B$1:$BX$549,MATCH(G$2,Kraftvärmeprod!$B$1:$VX$1,0),FALSE)/1,0)-IFERROR(VLOOKUP($B192,'Slutlig allokering kvv'!$B$2:$BX$549,MATCH(G$2,'Slutlig allokering kvv'!$B$1:$BX$1,0),FALSE)/1,0))</f>
        <v/>
      </c>
      <c r="H192" s="121" t="str">
        <f>IF($D192="","",IFERROR(VLOOKUP($B192,Kraftvärmeprod!$B$1:$BX$549,MATCH(H$2,Kraftvärmeprod!$B$1:$VX$1,0),FALSE)/1,0)-IFERROR(VLOOKUP($B192,'Slutlig allokering kvv'!$B$2:$BX$549,MATCH(H$2,'Slutlig allokering kvv'!$B$1:$BX$1,0),FALSE)/1,0))</f>
        <v/>
      </c>
      <c r="I192" s="121" t="str">
        <f>IF($D192="","",IFERROR(VLOOKUP($B192,Kraftvärmeprod!$B$1:$BX$549,MATCH(I$2,Kraftvärmeprod!$B$1:$VX$1,0),FALSE)/1,0)-IFERROR(VLOOKUP($B192,'Slutlig allokering kvv'!$B$2:$BX$549,MATCH(I$2,'Slutlig allokering kvv'!$B$1:$BX$1,0),FALSE)/1,0))</f>
        <v/>
      </c>
      <c r="J192" s="121" t="str">
        <f>IF($D192="","",IFERROR(VLOOKUP($B192,Kraftvärmeprod!$B$1:$BX$549,MATCH(J$2,Kraftvärmeprod!$B$1:$VX$1,0),FALSE)/1,0)-IFERROR(VLOOKUP($B192,'Slutlig allokering kvv'!$B$2:$BX$549,MATCH(J$2,'Slutlig allokering kvv'!$B$1:$BX$1,0),FALSE)/1,0))</f>
        <v/>
      </c>
      <c r="K192" s="121" t="str">
        <f>IF($D192="","",IFERROR(VLOOKUP($B192,Kraftvärmeprod!$B$1:$BX$549,MATCH(K$2,Kraftvärmeprod!$B$1:$VX$1,0),FALSE)/1,0)-IFERROR(VLOOKUP($B192,'Slutlig allokering kvv'!$B$2:$BX$549,MATCH(K$2,'Slutlig allokering kvv'!$B$1:$BX$1,0),FALSE)/1,0))</f>
        <v/>
      </c>
      <c r="L192" s="121" t="str">
        <f>IF($D192="","",IFERROR(VLOOKUP($B192,Kraftvärmeprod!$B$1:$BX$549,MATCH(L$2,Kraftvärmeprod!$B$1:$VX$1,0),FALSE)/1,0)-IFERROR(VLOOKUP($B192,'Slutlig allokering kvv'!$B$2:$BX$549,MATCH(L$2,'Slutlig allokering kvv'!$B$1:$BX$1,0),FALSE)/1,0))</f>
        <v/>
      </c>
      <c r="M192" s="121" t="str">
        <f>IF($D192="","",IFERROR(VLOOKUP($B192,Kraftvärmeprod!$B$1:$BX$549,MATCH(M$2,Kraftvärmeprod!$B$1:$VX$1,0),FALSE)/1,0)-IFERROR(VLOOKUP($B192,'Slutlig allokering kvv'!$B$2:$BX$549,MATCH(M$2,'Slutlig allokering kvv'!$B$1:$BX$1,0),FALSE)/1,0))</f>
        <v/>
      </c>
      <c r="N192" s="121" t="str">
        <f>IF($D192="","",IFERROR(VLOOKUP($B192,Kraftvärmeprod!$B$1:$BX$549,MATCH(N$2,Kraftvärmeprod!$B$1:$VX$1,0),FALSE)/1,0)-IFERROR(VLOOKUP($B192,'Slutlig allokering kvv'!$B$2:$BX$549,MATCH(N$2,'Slutlig allokering kvv'!$B$1:$BX$1,0),FALSE)/1,0))</f>
        <v/>
      </c>
      <c r="O192" s="121" t="str">
        <f>IF($D192="","",IFERROR(VLOOKUP($B192,Kraftvärmeprod!$B$1:$BX$549,MATCH(O$2,Kraftvärmeprod!$B$1:$VX$1,0),FALSE)/1,0)-IFERROR(VLOOKUP($B192,'Slutlig allokering kvv'!$B$2:$BX$549,MATCH(O$2,'Slutlig allokering kvv'!$B$1:$BX$1,0),FALSE)/1,0))</f>
        <v/>
      </c>
      <c r="P192" s="121" t="str">
        <f>IF($D192="","",IFERROR(VLOOKUP($B192,Kraftvärmeprod!$B$1:$BX$549,MATCH(P$2,Kraftvärmeprod!$B$1:$VX$1,0),FALSE)/1,0)-IFERROR(VLOOKUP($B192,'Slutlig allokering kvv'!$B$2:$BX$549,MATCH(P$2,'Slutlig allokering kvv'!$B$1:$BX$1,0),FALSE)/1,0))</f>
        <v/>
      </c>
      <c r="Q192" s="121" t="str">
        <f>IF($D192="","",IFERROR(VLOOKUP($B192,Kraftvärmeprod!$B$1:$BX$549,MATCH(Q$2,Kraftvärmeprod!$B$1:$VX$1,0),FALSE)/1,0)-IFERROR(VLOOKUP($B192,'Slutlig allokering kvv'!$B$2:$BX$549,MATCH(Q$2,'Slutlig allokering kvv'!$B$1:$BX$1,0),FALSE)/1,0))</f>
        <v/>
      </c>
      <c r="R192" s="121" t="str">
        <f>IF($D192="","",IFERROR(VLOOKUP($B192,Kraftvärmeprod!$B$1:$BX$549,MATCH(R$2,Kraftvärmeprod!$B$1:$VX$1,0),FALSE)/1,0)-IFERROR(VLOOKUP($B192,'Slutlig allokering kvv'!$B$2:$BX$549,MATCH(R$2,'Slutlig allokering kvv'!$B$1:$BX$1,0),FALSE)/1,0))</f>
        <v/>
      </c>
      <c r="S192" s="121" t="str">
        <f>IF($D192="","",IFERROR(VLOOKUP($B192,Kraftvärmeprod!$B$1:$BX$549,MATCH(S$2,Kraftvärmeprod!$B$1:$VX$1,0),FALSE)/1,0)-IFERROR(VLOOKUP($B192,'Slutlig allokering kvv'!$B$2:$BX$549,MATCH(S$2,'Slutlig allokering kvv'!$B$1:$BX$1,0),FALSE)/1,0))</f>
        <v/>
      </c>
      <c r="T192" s="121" t="str">
        <f>IF($D192="","",IFERROR(VLOOKUP($B192,Kraftvärmeprod!$B$1:$BX$549,MATCH(T$2,Kraftvärmeprod!$B$1:$VX$1,0),FALSE)/1,0)-IFERROR(VLOOKUP($B192,'Slutlig allokering kvv'!$B$2:$BX$549,MATCH(T$2,'Slutlig allokering kvv'!$B$1:$BX$1,0),FALSE)/1,0))</f>
        <v/>
      </c>
      <c r="U192" s="121" t="str">
        <f>IF($D192="","",IFERROR(VLOOKUP($B192,Kraftvärmeprod!$B$1:$BX$549,MATCH(U$2,Kraftvärmeprod!$B$1:$VX$1,0),FALSE)/1,0)-IFERROR(VLOOKUP($B192,'Slutlig allokering kvv'!$B$2:$BX$549,MATCH(U$2,'Slutlig allokering kvv'!$B$1:$BX$1,0),FALSE)/1,0))</f>
        <v/>
      </c>
      <c r="V192" s="121" t="str">
        <f>IF($D192="","",IFERROR(VLOOKUP($B192,Kraftvärmeprod!$B$1:$BX$549,MATCH(V$2,Kraftvärmeprod!$B$1:$VX$1,0),FALSE)/1,0)-IFERROR(VLOOKUP($B192,'Slutlig allokering kvv'!$B$2:$BX$549,MATCH(V$2,'Slutlig allokering kvv'!$B$1:$BX$1,0),FALSE)/1,0))</f>
        <v/>
      </c>
      <c r="W192" s="121" t="str">
        <f>IF($D192="","",IFERROR(VLOOKUP($B192,Kraftvärmeprod!$B$1:$BX$549,MATCH(W$2,Kraftvärmeprod!$B$1:$VX$1,0),FALSE)/1,0)-IFERROR(VLOOKUP($B192,'Slutlig allokering kvv'!$B$2:$BX$549,MATCH(W$2,'Slutlig allokering kvv'!$B$1:$BX$1,0),FALSE)/1,0))</f>
        <v/>
      </c>
      <c r="X192" s="121" t="str">
        <f>IF($D192="","",IFERROR(VLOOKUP($B192,Kraftvärmeprod!$B$1:$BX$549,MATCH(X$2,Kraftvärmeprod!$B$1:$VX$1,0),FALSE)/1,0)-IFERROR(VLOOKUP($B192,'Slutlig allokering kvv'!$B$2:$BX$549,MATCH(X$2,'Slutlig allokering kvv'!$B$1:$BX$1,0),FALSE)/1,0))</f>
        <v/>
      </c>
      <c r="Y192" s="121" t="str">
        <f>IF($D192="","",IFERROR(VLOOKUP($B192,Kraftvärmeprod!$B$1:$BX$549,MATCH(Y$2,Kraftvärmeprod!$B$1:$VX$1,0),FALSE)/1,0)-IFERROR(VLOOKUP($B192,'Slutlig allokering kvv'!$B$2:$BX$549,MATCH(Y$2,'Slutlig allokering kvv'!$B$1:$BX$1,0),FALSE)/1,0))</f>
        <v/>
      </c>
      <c r="Z192" s="121" t="str">
        <f>IF($D192="","",IFERROR(VLOOKUP($B192,Kraftvärmeprod!$B$1:$BX$549,MATCH(Z$2,Kraftvärmeprod!$B$1:$VX$1,0),FALSE)/1,0)-IFERROR(VLOOKUP($B192,'Slutlig allokering kvv'!$B$2:$BX$549,MATCH(Z$2,'Slutlig allokering kvv'!$B$1:$BX$1,0),FALSE)/1,0))</f>
        <v/>
      </c>
      <c r="AA192" s="121" t="str">
        <f>IF($D192="","",IFERROR(VLOOKUP($B192,Kraftvärmeprod!$B$1:$BX$549,MATCH(AA$2,Kraftvärmeprod!$B$1:$VX$1,0),FALSE)/1,0)-IFERROR(VLOOKUP($B192,'Slutlig allokering kvv'!$B$2:$BX$549,MATCH(AA$2,'Slutlig allokering kvv'!$B$1:$BX$1,0),FALSE)/1,0))</f>
        <v/>
      </c>
      <c r="AB192" s="121" t="str">
        <f>IF($D192="","",IFERROR(VLOOKUP($B192,Kraftvärmeprod!$B$1:$BX$549,MATCH(AB$2,Kraftvärmeprod!$B$1:$VX$1,0),FALSE)/1,0)-IFERROR(VLOOKUP($B192,'Slutlig allokering kvv'!$B$2:$BX$549,MATCH(AB$2,'Slutlig allokering kvv'!$B$1:$BX$1,0),FALSE)/1,0))</f>
        <v/>
      </c>
      <c r="AC192" s="121" t="str">
        <f>IF($D192="","",IFERROR(VLOOKUP($B192,Kraftvärmeprod!$B$1:$BX$549,MATCH(AC$2,Kraftvärmeprod!$B$1:$VX$1,0),FALSE)/1,0)-IFERROR(VLOOKUP($B192,'Slutlig allokering kvv'!$B$2:$BX$549,MATCH(AC$2,'Slutlig allokering kvv'!$B$1:$BX$1,0),FALSE)/1,0))</f>
        <v/>
      </c>
      <c r="AD192" s="121" t="str">
        <f>IF($D192="","",IFERROR(VLOOKUP($B192,Kraftvärmeprod!$B$1:$BX$549,MATCH(AD$2,Kraftvärmeprod!$B$1:$VX$1,0),FALSE)/1,0)-IFERROR(VLOOKUP($B192,'Slutlig allokering kvv'!$B$2:$BX$549,MATCH(AD$2,'Slutlig allokering kvv'!$B$1:$BX$1,0),FALSE)/1,0))</f>
        <v/>
      </c>
      <c r="AE192" s="121" t="str">
        <f>IF($D192="","",IFERROR(VLOOKUP($B192,Miljö!$B$1:$E$550,MATCH("Hjälpel kraftvärme (GWh)",Miljö!$B$1:$E$1,0),FALSE)/1,0)-IFERROR(VLOOKUP($B192,'Slutlig allokering kvv'!$B$2:$BX$549,MATCH(AE$2,'Slutlig allokering kvv'!$B$1:$BX$1,0),FALSE)/1,0))</f>
        <v/>
      </c>
      <c r="AI192" s="121">
        <f t="shared" si="8"/>
        <v>0</v>
      </c>
      <c r="AK192" s="121">
        <f>IFERROR(VLOOKUP($B192,'Slutlig allokering kvv'!$B$2:$AX$549,MATCH("Summa slutlig allokerad tillförd energi (utan hjälpel och rökgaskondensering):",'Slutlig allokering kvv'!$B$1:$AX$1,0),FALSE)/1,"")</f>
        <v>0</v>
      </c>
      <c r="AM192" s="172" t="str">
        <f>IFERROR(1-VLOOKUP($B192,'Slutlig allokering kvv'!$B$2:$AX$549,MATCH("Andel av bränsle i kvv som allokerats till värme, exklusive rökgaskondensering och hjälpel",'Slutlig allokering kvv'!$B$1:$AX$1,0),FALSE),"")</f>
        <v/>
      </c>
      <c r="AO192" s="172" t="str">
        <f t="shared" si="9"/>
        <v/>
      </c>
      <c r="AP192" s="173" t="str">
        <f t="shared" si="10"/>
        <v/>
      </c>
      <c r="AR192" s="172" t="str">
        <f t="shared" si="11"/>
        <v/>
      </c>
    </row>
    <row r="193" spans="1:44" x14ac:dyDescent="0.25">
      <c r="A193" s="171" t="str">
        <f>'Miljövärden för publ företag'!B195</f>
        <v>Njudung Energi Vetlanda AB</v>
      </c>
      <c r="B193" s="171" t="str">
        <f>'Miljövärden för publ företag'!C195</f>
        <v>Vetlanda</v>
      </c>
      <c r="C193" s="121">
        <f>IFERROR(VLOOKUP($B193,Kraftvärmeprod!$B$1:$AH$478,MATCH(C$2,Kraftvärmeprod!$B$1:$AG$1,0),FALSE)/1,"")</f>
        <v>87.2</v>
      </c>
      <c r="D193" s="121">
        <f>IFERROR(VLOOKUP($B193,Kraftvärmeprod!$B$1:$AH$478,MATCH(D$2,Kraftvärmeprod!$B$1:$AG$1,0),FALSE)/1,"")</f>
        <v>9.9</v>
      </c>
      <c r="F193" s="121">
        <f>IF($D193="","",IFERROR(VLOOKUP($B193,Kraftvärmeprod!$B$1:$BX$549,MATCH(F$2,Kraftvärmeprod!$B$1:$VX$1,0),FALSE)/1,0)-IFERROR(VLOOKUP($B193,'Slutlig allokering kvv'!$B$2:$BX$549,MATCH(F$2,'Slutlig allokering kvv'!$B$1:$BX$1,0),FALSE)/1,0))</f>
        <v>0</v>
      </c>
      <c r="G193" s="121">
        <f>IF($D193="","",IFERROR(VLOOKUP($B193,Kraftvärmeprod!$B$1:$BX$549,MATCH(G$2,Kraftvärmeprod!$B$1:$VX$1,0),FALSE)/1,0)-IFERROR(VLOOKUP($B193,'Slutlig allokering kvv'!$B$2:$BX$549,MATCH(G$2,'Slutlig allokering kvv'!$B$1:$BX$1,0),FALSE)/1,0))</f>
        <v>5.6026999999999993E-2</v>
      </c>
      <c r="H193" s="121">
        <f>IF($D193="","",IFERROR(VLOOKUP($B193,Kraftvärmeprod!$B$1:$BX$549,MATCH(H$2,Kraftvärmeprod!$B$1:$VX$1,0),FALSE)/1,0)-IFERROR(VLOOKUP($B193,'Slutlig allokering kvv'!$B$2:$BX$549,MATCH(H$2,'Slutlig allokering kvv'!$B$1:$BX$1,0),FALSE)/1,0))</f>
        <v>0</v>
      </c>
      <c r="I193" s="121">
        <f>IF($D193="","",IFERROR(VLOOKUP($B193,Kraftvärmeprod!$B$1:$BX$549,MATCH(I$2,Kraftvärmeprod!$B$1:$VX$1,0),FALSE)/1,0)-IFERROR(VLOOKUP($B193,'Slutlig allokering kvv'!$B$2:$BX$549,MATCH(I$2,'Slutlig allokering kvv'!$B$1:$BX$1,0),FALSE)/1,0))</f>
        <v>0</v>
      </c>
      <c r="J193" s="121">
        <f>IF($D193="","",IFERROR(VLOOKUP($B193,Kraftvärmeprod!$B$1:$BX$549,MATCH(J$2,Kraftvärmeprod!$B$1:$VX$1,0),FALSE)/1,0)-IFERROR(VLOOKUP($B193,'Slutlig allokering kvv'!$B$2:$BX$549,MATCH(J$2,'Slutlig allokering kvv'!$B$1:$BX$1,0),FALSE)/1,0))</f>
        <v>0</v>
      </c>
      <c r="K193" s="121">
        <f>IF($D193="","",IFERROR(VLOOKUP($B193,Kraftvärmeprod!$B$1:$BX$549,MATCH(K$2,Kraftvärmeprod!$B$1:$VX$1,0),FALSE)/1,0)-IFERROR(VLOOKUP($B193,'Slutlig allokering kvv'!$B$2:$BX$549,MATCH(K$2,'Slutlig allokering kvv'!$B$1:$BX$1,0),FALSE)/1,0))</f>
        <v>0</v>
      </c>
      <c r="L193" s="121">
        <f>IF($D193="","",IFERROR(VLOOKUP($B193,Kraftvärmeprod!$B$1:$BX$549,MATCH(L$2,Kraftvärmeprod!$B$1:$VX$1,0),FALSE)/1,0)-IFERROR(VLOOKUP($B193,'Slutlig allokering kvv'!$B$2:$BX$549,MATCH(L$2,'Slutlig allokering kvv'!$B$1:$BX$1,0),FALSE)/1,0))</f>
        <v>0.13699099999999997</v>
      </c>
      <c r="M193" s="121">
        <f>IF($D193="","",IFERROR(VLOOKUP($B193,Kraftvärmeprod!$B$1:$BX$549,MATCH(M$2,Kraftvärmeprod!$B$1:$VX$1,0),FALSE)/1,0)-IFERROR(VLOOKUP($B193,'Slutlig allokering kvv'!$B$2:$BX$549,MATCH(M$2,'Slutlig allokering kvv'!$B$1:$BX$1,0),FALSE)/1,0))</f>
        <v>0.13699099999999997</v>
      </c>
      <c r="N193" s="121">
        <f>IF($D193="","",IFERROR(VLOOKUP($B193,Kraftvärmeprod!$B$1:$BX$549,MATCH(N$2,Kraftvärmeprod!$B$1:$VX$1,0),FALSE)/1,0)-IFERROR(VLOOKUP($B193,'Slutlig allokering kvv'!$B$2:$BX$549,MATCH(N$2,'Slutlig allokering kvv'!$B$1:$BX$1,0),FALSE)/1,0))</f>
        <v>0.31964999999999999</v>
      </c>
      <c r="O193" s="121">
        <f>IF($D193="","",IFERROR(VLOOKUP($B193,Kraftvärmeprod!$B$1:$BX$549,MATCH(O$2,Kraftvärmeprod!$B$1:$VX$1,0),FALSE)/1,0)-IFERROR(VLOOKUP($B193,'Slutlig allokering kvv'!$B$2:$BX$549,MATCH(O$2,'Slutlig allokering kvv'!$B$1:$BX$1,0),FALSE)/1,0))</f>
        <v>0</v>
      </c>
      <c r="P193" s="121">
        <f>IF($D193="","",IFERROR(VLOOKUP($B193,Kraftvärmeprod!$B$1:$BX$549,MATCH(P$2,Kraftvärmeprod!$B$1:$VX$1,0),FALSE)/1,0)-IFERROR(VLOOKUP($B193,'Slutlig allokering kvv'!$B$2:$BX$549,MATCH(P$2,'Slutlig allokering kvv'!$B$1:$BX$1,0),FALSE)/1,0))</f>
        <v>0</v>
      </c>
      <c r="Q193" s="121">
        <f>IF($D193="","",IFERROR(VLOOKUP($B193,Kraftvärmeprod!$B$1:$BX$549,MATCH(Q$2,Kraftvärmeprod!$B$1:$VX$1,0),FALSE)/1,0)-IFERROR(VLOOKUP($B193,'Slutlig allokering kvv'!$B$2:$BX$549,MATCH(Q$2,'Slutlig allokering kvv'!$B$1:$BX$1,0),FALSE)/1,0))</f>
        <v>0</v>
      </c>
      <c r="R193" s="121">
        <f>IF($D193="","",IFERROR(VLOOKUP($B193,Kraftvärmeprod!$B$1:$BX$549,MATCH(R$2,Kraftvärmeprod!$B$1:$VX$1,0),FALSE)/1,0)-IFERROR(VLOOKUP($B193,'Slutlig allokering kvv'!$B$2:$BX$549,MATCH(R$2,'Slutlig allokering kvv'!$B$1:$BX$1,0),FALSE)/1,0))</f>
        <v>0</v>
      </c>
      <c r="S193" s="121">
        <f>IF($D193="","",IFERROR(VLOOKUP($B193,Kraftvärmeprod!$B$1:$BX$549,MATCH(S$2,Kraftvärmeprod!$B$1:$VX$1,0),FALSE)/1,0)-IFERROR(VLOOKUP($B193,'Slutlig allokering kvv'!$B$2:$BX$549,MATCH(S$2,'Slutlig allokering kvv'!$B$1:$BX$1,0),FALSE)/1,0))</f>
        <v>0</v>
      </c>
      <c r="T193" s="121">
        <f>IF($D193="","",IFERROR(VLOOKUP($B193,Kraftvärmeprod!$B$1:$BX$549,MATCH(T$2,Kraftvärmeprod!$B$1:$VX$1,0),FALSE)/1,0)-IFERROR(VLOOKUP($B193,'Slutlig allokering kvv'!$B$2:$BX$549,MATCH(T$2,'Slutlig allokering kvv'!$B$1:$BX$1,0),FALSE)/1,0))</f>
        <v>0</v>
      </c>
      <c r="U193" s="121">
        <f>IF($D193="","",IFERROR(VLOOKUP($B193,Kraftvärmeprod!$B$1:$BX$549,MATCH(U$2,Kraftvärmeprod!$B$1:$VX$1,0),FALSE)/1,0)-IFERROR(VLOOKUP($B193,'Slutlig allokering kvv'!$B$2:$BX$549,MATCH(U$2,'Slutlig allokering kvv'!$B$1:$BX$1,0),FALSE)/1,0))</f>
        <v>0</v>
      </c>
      <c r="V193" s="121">
        <f>IF($D193="","",IFERROR(VLOOKUP($B193,Kraftvärmeprod!$B$1:$BX$549,MATCH(V$2,Kraftvärmeprod!$B$1:$VX$1,0),FALSE)/1,0)-IFERROR(VLOOKUP($B193,'Slutlig allokering kvv'!$B$2:$BX$549,MATCH(V$2,'Slutlig allokering kvv'!$B$1:$BX$1,0),FALSE)/1,0))</f>
        <v>23.813599999999994</v>
      </c>
      <c r="W193" s="121">
        <f>IF($D193="","",IFERROR(VLOOKUP($B193,Kraftvärmeprod!$B$1:$BX$549,MATCH(W$2,Kraftvärmeprod!$B$1:$VX$1,0),FALSE)/1,0)-IFERROR(VLOOKUP($B193,'Slutlig allokering kvv'!$B$2:$BX$549,MATCH(W$2,'Slutlig allokering kvv'!$B$1:$BX$1,0),FALSE)/1,0))</f>
        <v>0</v>
      </c>
      <c r="X193" s="121">
        <f>IF($D193="","",IFERROR(VLOOKUP($B193,Kraftvärmeprod!$B$1:$BX$549,MATCH(X$2,Kraftvärmeprod!$B$1:$VX$1,0),FALSE)/1,0)-IFERROR(VLOOKUP($B193,'Slutlig allokering kvv'!$B$2:$BX$549,MATCH(X$2,'Slutlig allokering kvv'!$B$1:$BX$1,0),FALSE)/1,0))</f>
        <v>0</v>
      </c>
      <c r="Y193" s="121">
        <f>IF($D193="","",IFERROR(VLOOKUP($B193,Kraftvärmeprod!$B$1:$BX$549,MATCH(Y$2,Kraftvärmeprod!$B$1:$VX$1,0),FALSE)/1,0)-IFERROR(VLOOKUP($B193,'Slutlig allokering kvv'!$B$2:$BX$549,MATCH(Y$2,'Slutlig allokering kvv'!$B$1:$BX$1,0),FALSE)/1,0))</f>
        <v>0</v>
      </c>
      <c r="Z193" s="121">
        <f>IF($D193="","",IFERROR(VLOOKUP($B193,Kraftvärmeprod!$B$1:$BX$549,MATCH(Z$2,Kraftvärmeprod!$B$1:$VX$1,0),FALSE)/1,0)-IFERROR(VLOOKUP($B193,'Slutlig allokering kvv'!$B$2:$BX$549,MATCH(Z$2,'Slutlig allokering kvv'!$B$1:$BX$1,0),FALSE)/1,0))</f>
        <v>0</v>
      </c>
      <c r="AA193" s="121">
        <f>IF($D193="","",IFERROR(VLOOKUP($B193,Kraftvärmeprod!$B$1:$BX$549,MATCH(AA$2,Kraftvärmeprod!$B$1:$VX$1,0),FALSE)/1,0)-IFERROR(VLOOKUP($B193,'Slutlig allokering kvv'!$B$2:$BX$549,MATCH(AA$2,'Slutlig allokering kvv'!$B$1:$BX$1,0),FALSE)/1,0))</f>
        <v>0</v>
      </c>
      <c r="AB193" s="121">
        <f>IF($D193="","",IFERROR(VLOOKUP($B193,Kraftvärmeprod!$B$1:$BX$549,MATCH(AB$2,Kraftvärmeprod!$B$1:$VX$1,0),FALSE)/1,0)-IFERROR(VLOOKUP($B193,'Slutlig allokering kvv'!$B$2:$BX$549,MATCH(AB$2,'Slutlig allokering kvv'!$B$1:$BX$1,0),FALSE)/1,0))</f>
        <v>0</v>
      </c>
      <c r="AC193" s="121">
        <f>IF($D193="","",IFERROR(VLOOKUP($B193,Kraftvärmeprod!$B$1:$BX$549,MATCH(AC$2,Kraftvärmeprod!$B$1:$VX$1,0),FALSE)/1,0)-IFERROR(VLOOKUP($B193,'Slutlig allokering kvv'!$B$2:$BX$549,MATCH(AC$2,'Slutlig allokering kvv'!$B$1:$BX$1,0),FALSE)/1,0))</f>
        <v>0</v>
      </c>
      <c r="AD193" s="121">
        <f>IF($D193="","",IFERROR(VLOOKUP($B193,Kraftvärmeprod!$B$1:$BX$549,MATCH(AD$2,Kraftvärmeprod!$B$1:$VX$1,0),FALSE)/1,0)-IFERROR(VLOOKUP($B193,'Slutlig allokering kvv'!$B$2:$BX$549,MATCH(AD$2,'Slutlig allokering kvv'!$B$1:$BX$1,0),FALSE)/1,0))</f>
        <v>0</v>
      </c>
      <c r="AE193" s="121">
        <f>IF($D193="","",IFERROR(VLOOKUP($B193,Miljö!$B$1:$E$550,MATCH("Hjälpel kraftvärme (GWh)",Miljö!$B$1:$E$1,0),FALSE)/1,0)-IFERROR(VLOOKUP($B193,'Slutlig allokering kvv'!$B$2:$BX$549,MATCH(AE$2,'Slutlig allokering kvv'!$B$1:$BX$1,0),FALSE)/1,0))</f>
        <v>0</v>
      </c>
      <c r="AI193" s="121">
        <f t="shared" si="8"/>
        <v>24.463258999999994</v>
      </c>
      <c r="AK193" s="121">
        <f>IFERROR(VLOOKUP($B193,'Slutlig allokering kvv'!$B$2:$AX$549,MATCH("Summa slutlig allokerad tillförd energi (utan hjälpel och rökgaskondensering):",'Slutlig allokering kvv'!$B$1:$AX$1,0),FALSE)/1,"")</f>
        <v>82.736741000000009</v>
      </c>
      <c r="AM193" s="172">
        <f>IFERROR(1-VLOOKUP($B193,'Slutlig allokering kvv'!$B$2:$AX$549,MATCH("Andel av bränsle i kvv som allokerats till värme, exklusive rökgaskondensering och hjälpel",'Slutlig allokering kvv'!$B$1:$AX$1,0),FALSE),"")</f>
        <v>0.22820204291044766</v>
      </c>
      <c r="AO193" s="172">
        <f t="shared" si="9"/>
        <v>0.22820204291044768</v>
      </c>
      <c r="AP193" s="173">
        <f t="shared" si="10"/>
        <v>-2.7755575615628914E-17</v>
      </c>
      <c r="AR193" s="172">
        <f t="shared" si="11"/>
        <v>0.40468851676712425</v>
      </c>
    </row>
    <row r="194" spans="1:44" x14ac:dyDescent="0.25">
      <c r="A194" s="171" t="str">
        <f>'Miljövärden för publ företag'!B196</f>
        <v>Norrenergi AB</v>
      </c>
      <c r="B194" s="171" t="str">
        <f>'Miljövärden för publ företag'!C196</f>
        <v>Sundbyberg-Solna</v>
      </c>
      <c r="C194" s="121" t="str">
        <f>IFERROR(VLOOKUP($B194,Kraftvärmeprod!$B$1:$AH$478,MATCH(C$2,Kraftvärmeprod!$B$1:$AG$1,0),FALSE)/1,"")</f>
        <v/>
      </c>
      <c r="D194" s="121" t="str">
        <f>IFERROR(VLOOKUP($B194,Kraftvärmeprod!$B$1:$AH$478,MATCH(D$2,Kraftvärmeprod!$B$1:$AG$1,0),FALSE)/1,"")</f>
        <v/>
      </c>
      <c r="F194" s="121" t="str">
        <f>IF($D194="","",IFERROR(VLOOKUP($B194,Kraftvärmeprod!$B$1:$BX$549,MATCH(F$2,Kraftvärmeprod!$B$1:$VX$1,0),FALSE)/1,0)-IFERROR(VLOOKUP($B194,'Slutlig allokering kvv'!$B$2:$BX$549,MATCH(F$2,'Slutlig allokering kvv'!$B$1:$BX$1,0),FALSE)/1,0))</f>
        <v/>
      </c>
      <c r="G194" s="121" t="str">
        <f>IF($D194="","",IFERROR(VLOOKUP($B194,Kraftvärmeprod!$B$1:$BX$549,MATCH(G$2,Kraftvärmeprod!$B$1:$VX$1,0),FALSE)/1,0)-IFERROR(VLOOKUP($B194,'Slutlig allokering kvv'!$B$2:$BX$549,MATCH(G$2,'Slutlig allokering kvv'!$B$1:$BX$1,0),FALSE)/1,0))</f>
        <v/>
      </c>
      <c r="H194" s="121" t="str">
        <f>IF($D194="","",IFERROR(VLOOKUP($B194,Kraftvärmeprod!$B$1:$BX$549,MATCH(H$2,Kraftvärmeprod!$B$1:$VX$1,0),FALSE)/1,0)-IFERROR(VLOOKUP($B194,'Slutlig allokering kvv'!$B$2:$BX$549,MATCH(H$2,'Slutlig allokering kvv'!$B$1:$BX$1,0),FALSE)/1,0))</f>
        <v/>
      </c>
      <c r="I194" s="121" t="str">
        <f>IF($D194="","",IFERROR(VLOOKUP($B194,Kraftvärmeprod!$B$1:$BX$549,MATCH(I$2,Kraftvärmeprod!$B$1:$VX$1,0),FALSE)/1,0)-IFERROR(VLOOKUP($B194,'Slutlig allokering kvv'!$B$2:$BX$549,MATCH(I$2,'Slutlig allokering kvv'!$B$1:$BX$1,0),FALSE)/1,0))</f>
        <v/>
      </c>
      <c r="J194" s="121" t="str">
        <f>IF($D194="","",IFERROR(VLOOKUP($B194,Kraftvärmeprod!$B$1:$BX$549,MATCH(J$2,Kraftvärmeprod!$B$1:$VX$1,0),FALSE)/1,0)-IFERROR(VLOOKUP($B194,'Slutlig allokering kvv'!$B$2:$BX$549,MATCH(J$2,'Slutlig allokering kvv'!$B$1:$BX$1,0),FALSE)/1,0))</f>
        <v/>
      </c>
      <c r="K194" s="121" t="str">
        <f>IF($D194="","",IFERROR(VLOOKUP($B194,Kraftvärmeprod!$B$1:$BX$549,MATCH(K$2,Kraftvärmeprod!$B$1:$VX$1,0),FALSE)/1,0)-IFERROR(VLOOKUP($B194,'Slutlig allokering kvv'!$B$2:$BX$549,MATCH(K$2,'Slutlig allokering kvv'!$B$1:$BX$1,0),FALSE)/1,0))</f>
        <v/>
      </c>
      <c r="L194" s="121" t="str">
        <f>IF($D194="","",IFERROR(VLOOKUP($B194,Kraftvärmeprod!$B$1:$BX$549,MATCH(L$2,Kraftvärmeprod!$B$1:$VX$1,0),FALSE)/1,0)-IFERROR(VLOOKUP($B194,'Slutlig allokering kvv'!$B$2:$BX$549,MATCH(L$2,'Slutlig allokering kvv'!$B$1:$BX$1,0),FALSE)/1,0))</f>
        <v/>
      </c>
      <c r="M194" s="121" t="str">
        <f>IF($D194="","",IFERROR(VLOOKUP($B194,Kraftvärmeprod!$B$1:$BX$549,MATCH(M$2,Kraftvärmeprod!$B$1:$VX$1,0),FALSE)/1,0)-IFERROR(VLOOKUP($B194,'Slutlig allokering kvv'!$B$2:$BX$549,MATCH(M$2,'Slutlig allokering kvv'!$B$1:$BX$1,0),FALSE)/1,0))</f>
        <v/>
      </c>
      <c r="N194" s="121" t="str">
        <f>IF($D194="","",IFERROR(VLOOKUP($B194,Kraftvärmeprod!$B$1:$BX$549,MATCH(N$2,Kraftvärmeprod!$B$1:$VX$1,0),FALSE)/1,0)-IFERROR(VLOOKUP($B194,'Slutlig allokering kvv'!$B$2:$BX$549,MATCH(N$2,'Slutlig allokering kvv'!$B$1:$BX$1,0),FALSE)/1,0))</f>
        <v/>
      </c>
      <c r="O194" s="121" t="str">
        <f>IF($D194="","",IFERROR(VLOOKUP($B194,Kraftvärmeprod!$B$1:$BX$549,MATCH(O$2,Kraftvärmeprod!$B$1:$VX$1,0),FALSE)/1,0)-IFERROR(VLOOKUP($B194,'Slutlig allokering kvv'!$B$2:$BX$549,MATCH(O$2,'Slutlig allokering kvv'!$B$1:$BX$1,0),FALSE)/1,0))</f>
        <v/>
      </c>
      <c r="P194" s="121" t="str">
        <f>IF($D194="","",IFERROR(VLOOKUP($B194,Kraftvärmeprod!$B$1:$BX$549,MATCH(P$2,Kraftvärmeprod!$B$1:$VX$1,0),FALSE)/1,0)-IFERROR(VLOOKUP($B194,'Slutlig allokering kvv'!$B$2:$BX$549,MATCH(P$2,'Slutlig allokering kvv'!$B$1:$BX$1,0),FALSE)/1,0))</f>
        <v/>
      </c>
      <c r="Q194" s="121" t="str">
        <f>IF($D194="","",IFERROR(VLOOKUP($B194,Kraftvärmeprod!$B$1:$BX$549,MATCH(Q$2,Kraftvärmeprod!$B$1:$VX$1,0),FALSE)/1,0)-IFERROR(VLOOKUP($B194,'Slutlig allokering kvv'!$B$2:$BX$549,MATCH(Q$2,'Slutlig allokering kvv'!$B$1:$BX$1,0),FALSE)/1,0))</f>
        <v/>
      </c>
      <c r="R194" s="121" t="str">
        <f>IF($D194="","",IFERROR(VLOOKUP($B194,Kraftvärmeprod!$B$1:$BX$549,MATCH(R$2,Kraftvärmeprod!$B$1:$VX$1,0),FALSE)/1,0)-IFERROR(VLOOKUP($B194,'Slutlig allokering kvv'!$B$2:$BX$549,MATCH(R$2,'Slutlig allokering kvv'!$B$1:$BX$1,0),FALSE)/1,0))</f>
        <v/>
      </c>
      <c r="S194" s="121" t="str">
        <f>IF($D194="","",IFERROR(VLOOKUP($B194,Kraftvärmeprod!$B$1:$BX$549,MATCH(S$2,Kraftvärmeprod!$B$1:$VX$1,0),FALSE)/1,0)-IFERROR(VLOOKUP($B194,'Slutlig allokering kvv'!$B$2:$BX$549,MATCH(S$2,'Slutlig allokering kvv'!$B$1:$BX$1,0),FALSE)/1,0))</f>
        <v/>
      </c>
      <c r="T194" s="121" t="str">
        <f>IF($D194="","",IFERROR(VLOOKUP($B194,Kraftvärmeprod!$B$1:$BX$549,MATCH(T$2,Kraftvärmeprod!$B$1:$VX$1,0),FALSE)/1,0)-IFERROR(VLOOKUP($B194,'Slutlig allokering kvv'!$B$2:$BX$549,MATCH(T$2,'Slutlig allokering kvv'!$B$1:$BX$1,0),FALSE)/1,0))</f>
        <v/>
      </c>
      <c r="U194" s="121" t="str">
        <f>IF($D194="","",IFERROR(VLOOKUP($B194,Kraftvärmeprod!$B$1:$BX$549,MATCH(U$2,Kraftvärmeprod!$B$1:$VX$1,0),FALSE)/1,0)-IFERROR(VLOOKUP($B194,'Slutlig allokering kvv'!$B$2:$BX$549,MATCH(U$2,'Slutlig allokering kvv'!$B$1:$BX$1,0),FALSE)/1,0))</f>
        <v/>
      </c>
      <c r="V194" s="121" t="str">
        <f>IF($D194="","",IFERROR(VLOOKUP($B194,Kraftvärmeprod!$B$1:$BX$549,MATCH(V$2,Kraftvärmeprod!$B$1:$VX$1,0),FALSE)/1,0)-IFERROR(VLOOKUP($B194,'Slutlig allokering kvv'!$B$2:$BX$549,MATCH(V$2,'Slutlig allokering kvv'!$B$1:$BX$1,0),FALSE)/1,0))</f>
        <v/>
      </c>
      <c r="W194" s="121" t="str">
        <f>IF($D194="","",IFERROR(VLOOKUP($B194,Kraftvärmeprod!$B$1:$BX$549,MATCH(W$2,Kraftvärmeprod!$B$1:$VX$1,0),FALSE)/1,0)-IFERROR(VLOOKUP($B194,'Slutlig allokering kvv'!$B$2:$BX$549,MATCH(W$2,'Slutlig allokering kvv'!$B$1:$BX$1,0),FALSE)/1,0))</f>
        <v/>
      </c>
      <c r="X194" s="121" t="str">
        <f>IF($D194="","",IFERROR(VLOOKUP($B194,Kraftvärmeprod!$B$1:$BX$549,MATCH(X$2,Kraftvärmeprod!$B$1:$VX$1,0),FALSE)/1,0)-IFERROR(VLOOKUP($B194,'Slutlig allokering kvv'!$B$2:$BX$549,MATCH(X$2,'Slutlig allokering kvv'!$B$1:$BX$1,0),FALSE)/1,0))</f>
        <v/>
      </c>
      <c r="Y194" s="121" t="str">
        <f>IF($D194="","",IFERROR(VLOOKUP($B194,Kraftvärmeprod!$B$1:$BX$549,MATCH(Y$2,Kraftvärmeprod!$B$1:$VX$1,0),FALSE)/1,0)-IFERROR(VLOOKUP($B194,'Slutlig allokering kvv'!$B$2:$BX$549,MATCH(Y$2,'Slutlig allokering kvv'!$B$1:$BX$1,0),FALSE)/1,0))</f>
        <v/>
      </c>
      <c r="Z194" s="121" t="str">
        <f>IF($D194="","",IFERROR(VLOOKUP($B194,Kraftvärmeprod!$B$1:$BX$549,MATCH(Z$2,Kraftvärmeprod!$B$1:$VX$1,0),FALSE)/1,0)-IFERROR(VLOOKUP($B194,'Slutlig allokering kvv'!$B$2:$BX$549,MATCH(Z$2,'Slutlig allokering kvv'!$B$1:$BX$1,0),FALSE)/1,0))</f>
        <v/>
      </c>
      <c r="AA194" s="121" t="str">
        <f>IF($D194="","",IFERROR(VLOOKUP($B194,Kraftvärmeprod!$B$1:$BX$549,MATCH(AA$2,Kraftvärmeprod!$B$1:$VX$1,0),FALSE)/1,0)-IFERROR(VLOOKUP($B194,'Slutlig allokering kvv'!$B$2:$BX$549,MATCH(AA$2,'Slutlig allokering kvv'!$B$1:$BX$1,0),FALSE)/1,0))</f>
        <v/>
      </c>
      <c r="AB194" s="121" t="str">
        <f>IF($D194="","",IFERROR(VLOOKUP($B194,Kraftvärmeprod!$B$1:$BX$549,MATCH(AB$2,Kraftvärmeprod!$B$1:$VX$1,0),FALSE)/1,0)-IFERROR(VLOOKUP($B194,'Slutlig allokering kvv'!$B$2:$BX$549,MATCH(AB$2,'Slutlig allokering kvv'!$B$1:$BX$1,0),FALSE)/1,0))</f>
        <v/>
      </c>
      <c r="AC194" s="121" t="str">
        <f>IF($D194="","",IFERROR(VLOOKUP($B194,Kraftvärmeprod!$B$1:$BX$549,MATCH(AC$2,Kraftvärmeprod!$B$1:$VX$1,0),FALSE)/1,0)-IFERROR(VLOOKUP($B194,'Slutlig allokering kvv'!$B$2:$BX$549,MATCH(AC$2,'Slutlig allokering kvv'!$B$1:$BX$1,0),FALSE)/1,0))</f>
        <v/>
      </c>
      <c r="AD194" s="121" t="str">
        <f>IF($D194="","",IFERROR(VLOOKUP($B194,Kraftvärmeprod!$B$1:$BX$549,MATCH(AD$2,Kraftvärmeprod!$B$1:$VX$1,0),FALSE)/1,0)-IFERROR(VLOOKUP($B194,'Slutlig allokering kvv'!$B$2:$BX$549,MATCH(AD$2,'Slutlig allokering kvv'!$B$1:$BX$1,0),FALSE)/1,0))</f>
        <v/>
      </c>
      <c r="AE194" s="121" t="str">
        <f>IF($D194="","",IFERROR(VLOOKUP($B194,Miljö!$B$1:$E$550,MATCH("Hjälpel kraftvärme (GWh)",Miljö!$B$1:$E$1,0),FALSE)/1,0)-IFERROR(VLOOKUP($B194,'Slutlig allokering kvv'!$B$2:$BX$549,MATCH(AE$2,'Slutlig allokering kvv'!$B$1:$BX$1,0),FALSE)/1,0))</f>
        <v/>
      </c>
      <c r="AI194" s="121">
        <f t="shared" si="8"/>
        <v>0</v>
      </c>
      <c r="AK194" s="121">
        <f>IFERROR(VLOOKUP($B194,'Slutlig allokering kvv'!$B$2:$AX$549,MATCH("Summa slutlig allokerad tillförd energi (utan hjälpel och rökgaskondensering):",'Slutlig allokering kvv'!$B$1:$AX$1,0),FALSE)/1,"")</f>
        <v>0</v>
      </c>
      <c r="AM194" s="172" t="str">
        <f>IFERROR(1-VLOOKUP($B194,'Slutlig allokering kvv'!$B$2:$AX$549,MATCH("Andel av bränsle i kvv som allokerats till värme, exklusive rökgaskondensering och hjälpel",'Slutlig allokering kvv'!$B$1:$AX$1,0),FALSE),"")</f>
        <v/>
      </c>
      <c r="AO194" s="172" t="str">
        <f t="shared" si="9"/>
        <v/>
      </c>
      <c r="AP194" s="173" t="str">
        <f t="shared" si="10"/>
        <v/>
      </c>
      <c r="AR194" s="172" t="str">
        <f t="shared" si="11"/>
        <v/>
      </c>
    </row>
    <row r="195" spans="1:44" x14ac:dyDescent="0.25">
      <c r="A195" s="171" t="str">
        <f>'Miljövärden för publ företag'!B197</f>
        <v>Norrtälje Energi AB</v>
      </c>
      <c r="B195" s="171" t="str">
        <f>'Miljövärden för publ företag'!C197</f>
        <v>Hallstavik</v>
      </c>
      <c r="C195" s="121" t="str">
        <f>IFERROR(VLOOKUP($B195,Kraftvärmeprod!$B$1:$AH$478,MATCH(C$2,Kraftvärmeprod!$B$1:$AG$1,0),FALSE)/1,"")</f>
        <v/>
      </c>
      <c r="D195" s="121" t="str">
        <f>IFERROR(VLOOKUP($B195,Kraftvärmeprod!$B$1:$AH$478,MATCH(D$2,Kraftvärmeprod!$B$1:$AG$1,0),FALSE)/1,"")</f>
        <v/>
      </c>
      <c r="F195" s="121" t="str">
        <f>IF($D195="","",IFERROR(VLOOKUP($B195,Kraftvärmeprod!$B$1:$BX$549,MATCH(F$2,Kraftvärmeprod!$B$1:$VX$1,0),FALSE)/1,0)-IFERROR(VLOOKUP($B195,'Slutlig allokering kvv'!$B$2:$BX$549,MATCH(F$2,'Slutlig allokering kvv'!$B$1:$BX$1,0),FALSE)/1,0))</f>
        <v/>
      </c>
      <c r="G195" s="121" t="str">
        <f>IF($D195="","",IFERROR(VLOOKUP($B195,Kraftvärmeprod!$B$1:$BX$549,MATCH(G$2,Kraftvärmeprod!$B$1:$VX$1,0),FALSE)/1,0)-IFERROR(VLOOKUP($B195,'Slutlig allokering kvv'!$B$2:$BX$549,MATCH(G$2,'Slutlig allokering kvv'!$B$1:$BX$1,0),FALSE)/1,0))</f>
        <v/>
      </c>
      <c r="H195" s="121" t="str">
        <f>IF($D195="","",IFERROR(VLOOKUP($B195,Kraftvärmeprod!$B$1:$BX$549,MATCH(H$2,Kraftvärmeprod!$B$1:$VX$1,0),FALSE)/1,0)-IFERROR(VLOOKUP($B195,'Slutlig allokering kvv'!$B$2:$BX$549,MATCH(H$2,'Slutlig allokering kvv'!$B$1:$BX$1,0),FALSE)/1,0))</f>
        <v/>
      </c>
      <c r="I195" s="121" t="str">
        <f>IF($D195="","",IFERROR(VLOOKUP($B195,Kraftvärmeprod!$B$1:$BX$549,MATCH(I$2,Kraftvärmeprod!$B$1:$VX$1,0),FALSE)/1,0)-IFERROR(VLOOKUP($B195,'Slutlig allokering kvv'!$B$2:$BX$549,MATCH(I$2,'Slutlig allokering kvv'!$B$1:$BX$1,0),FALSE)/1,0))</f>
        <v/>
      </c>
      <c r="J195" s="121" t="str">
        <f>IF($D195="","",IFERROR(VLOOKUP($B195,Kraftvärmeprod!$B$1:$BX$549,MATCH(J$2,Kraftvärmeprod!$B$1:$VX$1,0),FALSE)/1,0)-IFERROR(VLOOKUP($B195,'Slutlig allokering kvv'!$B$2:$BX$549,MATCH(J$2,'Slutlig allokering kvv'!$B$1:$BX$1,0),FALSE)/1,0))</f>
        <v/>
      </c>
      <c r="K195" s="121" t="str">
        <f>IF($D195="","",IFERROR(VLOOKUP($B195,Kraftvärmeprod!$B$1:$BX$549,MATCH(K$2,Kraftvärmeprod!$B$1:$VX$1,0),FALSE)/1,0)-IFERROR(VLOOKUP($B195,'Slutlig allokering kvv'!$B$2:$BX$549,MATCH(K$2,'Slutlig allokering kvv'!$B$1:$BX$1,0),FALSE)/1,0))</f>
        <v/>
      </c>
      <c r="L195" s="121" t="str">
        <f>IF($D195="","",IFERROR(VLOOKUP($B195,Kraftvärmeprod!$B$1:$BX$549,MATCH(L$2,Kraftvärmeprod!$B$1:$VX$1,0),FALSE)/1,0)-IFERROR(VLOOKUP($B195,'Slutlig allokering kvv'!$B$2:$BX$549,MATCH(L$2,'Slutlig allokering kvv'!$B$1:$BX$1,0),FALSE)/1,0))</f>
        <v/>
      </c>
      <c r="M195" s="121" t="str">
        <f>IF($D195="","",IFERROR(VLOOKUP($B195,Kraftvärmeprod!$B$1:$BX$549,MATCH(M$2,Kraftvärmeprod!$B$1:$VX$1,0),FALSE)/1,0)-IFERROR(VLOOKUP($B195,'Slutlig allokering kvv'!$B$2:$BX$549,MATCH(M$2,'Slutlig allokering kvv'!$B$1:$BX$1,0),FALSE)/1,0))</f>
        <v/>
      </c>
      <c r="N195" s="121" t="str">
        <f>IF($D195="","",IFERROR(VLOOKUP($B195,Kraftvärmeprod!$B$1:$BX$549,MATCH(N$2,Kraftvärmeprod!$B$1:$VX$1,0),FALSE)/1,0)-IFERROR(VLOOKUP($B195,'Slutlig allokering kvv'!$B$2:$BX$549,MATCH(N$2,'Slutlig allokering kvv'!$B$1:$BX$1,0),FALSE)/1,0))</f>
        <v/>
      </c>
      <c r="O195" s="121" t="str">
        <f>IF($D195="","",IFERROR(VLOOKUP($B195,Kraftvärmeprod!$B$1:$BX$549,MATCH(O$2,Kraftvärmeprod!$B$1:$VX$1,0),FALSE)/1,0)-IFERROR(VLOOKUP($B195,'Slutlig allokering kvv'!$B$2:$BX$549,MATCH(O$2,'Slutlig allokering kvv'!$B$1:$BX$1,0),FALSE)/1,0))</f>
        <v/>
      </c>
      <c r="P195" s="121" t="str">
        <f>IF($D195="","",IFERROR(VLOOKUP($B195,Kraftvärmeprod!$B$1:$BX$549,MATCH(P$2,Kraftvärmeprod!$B$1:$VX$1,0),FALSE)/1,0)-IFERROR(VLOOKUP($B195,'Slutlig allokering kvv'!$B$2:$BX$549,MATCH(P$2,'Slutlig allokering kvv'!$B$1:$BX$1,0),FALSE)/1,0))</f>
        <v/>
      </c>
      <c r="Q195" s="121" t="str">
        <f>IF($D195="","",IFERROR(VLOOKUP($B195,Kraftvärmeprod!$B$1:$BX$549,MATCH(Q$2,Kraftvärmeprod!$B$1:$VX$1,0),FALSE)/1,0)-IFERROR(VLOOKUP($B195,'Slutlig allokering kvv'!$B$2:$BX$549,MATCH(Q$2,'Slutlig allokering kvv'!$B$1:$BX$1,0),FALSE)/1,0))</f>
        <v/>
      </c>
      <c r="R195" s="121" t="str">
        <f>IF($D195="","",IFERROR(VLOOKUP($B195,Kraftvärmeprod!$B$1:$BX$549,MATCH(R$2,Kraftvärmeprod!$B$1:$VX$1,0),FALSE)/1,0)-IFERROR(VLOOKUP($B195,'Slutlig allokering kvv'!$B$2:$BX$549,MATCH(R$2,'Slutlig allokering kvv'!$B$1:$BX$1,0),FALSE)/1,0))</f>
        <v/>
      </c>
      <c r="S195" s="121" t="str">
        <f>IF($D195="","",IFERROR(VLOOKUP($B195,Kraftvärmeprod!$B$1:$BX$549,MATCH(S$2,Kraftvärmeprod!$B$1:$VX$1,0),FALSE)/1,0)-IFERROR(VLOOKUP($B195,'Slutlig allokering kvv'!$B$2:$BX$549,MATCH(S$2,'Slutlig allokering kvv'!$B$1:$BX$1,0),FALSE)/1,0))</f>
        <v/>
      </c>
      <c r="T195" s="121" t="str">
        <f>IF($D195="","",IFERROR(VLOOKUP($B195,Kraftvärmeprod!$B$1:$BX$549,MATCH(T$2,Kraftvärmeprod!$B$1:$VX$1,0),FALSE)/1,0)-IFERROR(VLOOKUP($B195,'Slutlig allokering kvv'!$B$2:$BX$549,MATCH(T$2,'Slutlig allokering kvv'!$B$1:$BX$1,0),FALSE)/1,0))</f>
        <v/>
      </c>
      <c r="U195" s="121" t="str">
        <f>IF($D195="","",IFERROR(VLOOKUP($B195,Kraftvärmeprod!$B$1:$BX$549,MATCH(U$2,Kraftvärmeprod!$B$1:$VX$1,0),FALSE)/1,0)-IFERROR(VLOOKUP($B195,'Slutlig allokering kvv'!$B$2:$BX$549,MATCH(U$2,'Slutlig allokering kvv'!$B$1:$BX$1,0),FALSE)/1,0))</f>
        <v/>
      </c>
      <c r="V195" s="121" t="str">
        <f>IF($D195="","",IFERROR(VLOOKUP($B195,Kraftvärmeprod!$B$1:$BX$549,MATCH(V$2,Kraftvärmeprod!$B$1:$VX$1,0),FALSE)/1,0)-IFERROR(VLOOKUP($B195,'Slutlig allokering kvv'!$B$2:$BX$549,MATCH(V$2,'Slutlig allokering kvv'!$B$1:$BX$1,0),FALSE)/1,0))</f>
        <v/>
      </c>
      <c r="W195" s="121" t="str">
        <f>IF($D195="","",IFERROR(VLOOKUP($B195,Kraftvärmeprod!$B$1:$BX$549,MATCH(W$2,Kraftvärmeprod!$B$1:$VX$1,0),FALSE)/1,0)-IFERROR(VLOOKUP($B195,'Slutlig allokering kvv'!$B$2:$BX$549,MATCH(W$2,'Slutlig allokering kvv'!$B$1:$BX$1,0),FALSE)/1,0))</f>
        <v/>
      </c>
      <c r="X195" s="121" t="str">
        <f>IF($D195="","",IFERROR(VLOOKUP($B195,Kraftvärmeprod!$B$1:$BX$549,MATCH(X$2,Kraftvärmeprod!$B$1:$VX$1,0),FALSE)/1,0)-IFERROR(VLOOKUP($B195,'Slutlig allokering kvv'!$B$2:$BX$549,MATCH(X$2,'Slutlig allokering kvv'!$B$1:$BX$1,0),FALSE)/1,0))</f>
        <v/>
      </c>
      <c r="Y195" s="121" t="str">
        <f>IF($D195="","",IFERROR(VLOOKUP($B195,Kraftvärmeprod!$B$1:$BX$549,MATCH(Y$2,Kraftvärmeprod!$B$1:$VX$1,0),FALSE)/1,0)-IFERROR(VLOOKUP($B195,'Slutlig allokering kvv'!$B$2:$BX$549,MATCH(Y$2,'Slutlig allokering kvv'!$B$1:$BX$1,0),FALSE)/1,0))</f>
        <v/>
      </c>
      <c r="Z195" s="121" t="str">
        <f>IF($D195="","",IFERROR(VLOOKUP($B195,Kraftvärmeprod!$B$1:$BX$549,MATCH(Z$2,Kraftvärmeprod!$B$1:$VX$1,0),FALSE)/1,0)-IFERROR(VLOOKUP($B195,'Slutlig allokering kvv'!$B$2:$BX$549,MATCH(Z$2,'Slutlig allokering kvv'!$B$1:$BX$1,0),FALSE)/1,0))</f>
        <v/>
      </c>
      <c r="AA195" s="121" t="str">
        <f>IF($D195="","",IFERROR(VLOOKUP($B195,Kraftvärmeprod!$B$1:$BX$549,MATCH(AA$2,Kraftvärmeprod!$B$1:$VX$1,0),FALSE)/1,0)-IFERROR(VLOOKUP($B195,'Slutlig allokering kvv'!$B$2:$BX$549,MATCH(AA$2,'Slutlig allokering kvv'!$B$1:$BX$1,0),FALSE)/1,0))</f>
        <v/>
      </c>
      <c r="AB195" s="121" t="str">
        <f>IF($D195="","",IFERROR(VLOOKUP($B195,Kraftvärmeprod!$B$1:$BX$549,MATCH(AB$2,Kraftvärmeprod!$B$1:$VX$1,0),FALSE)/1,0)-IFERROR(VLOOKUP($B195,'Slutlig allokering kvv'!$B$2:$BX$549,MATCH(AB$2,'Slutlig allokering kvv'!$B$1:$BX$1,0),FALSE)/1,0))</f>
        <v/>
      </c>
      <c r="AC195" s="121" t="str">
        <f>IF($D195="","",IFERROR(VLOOKUP($B195,Kraftvärmeprod!$B$1:$BX$549,MATCH(AC$2,Kraftvärmeprod!$B$1:$VX$1,0),FALSE)/1,0)-IFERROR(VLOOKUP($B195,'Slutlig allokering kvv'!$B$2:$BX$549,MATCH(AC$2,'Slutlig allokering kvv'!$B$1:$BX$1,0),FALSE)/1,0))</f>
        <v/>
      </c>
      <c r="AD195" s="121" t="str">
        <f>IF($D195="","",IFERROR(VLOOKUP($B195,Kraftvärmeprod!$B$1:$BX$549,MATCH(AD$2,Kraftvärmeprod!$B$1:$VX$1,0),FALSE)/1,0)-IFERROR(VLOOKUP($B195,'Slutlig allokering kvv'!$B$2:$BX$549,MATCH(AD$2,'Slutlig allokering kvv'!$B$1:$BX$1,0),FALSE)/1,0))</f>
        <v/>
      </c>
      <c r="AE195" s="121" t="str">
        <f>IF($D195="","",IFERROR(VLOOKUP($B195,Miljö!$B$1:$E$550,MATCH("Hjälpel kraftvärme (GWh)",Miljö!$B$1:$E$1,0),FALSE)/1,0)-IFERROR(VLOOKUP($B195,'Slutlig allokering kvv'!$B$2:$BX$549,MATCH(AE$2,'Slutlig allokering kvv'!$B$1:$BX$1,0),FALSE)/1,0))</f>
        <v/>
      </c>
      <c r="AI195" s="121">
        <f t="shared" si="8"/>
        <v>0</v>
      </c>
      <c r="AK195" s="121">
        <f>IFERROR(VLOOKUP($B195,'Slutlig allokering kvv'!$B$2:$AX$549,MATCH("Summa slutlig allokerad tillförd energi (utan hjälpel och rökgaskondensering):",'Slutlig allokering kvv'!$B$1:$AX$1,0),FALSE)/1,"")</f>
        <v>0</v>
      </c>
      <c r="AM195" s="172" t="str">
        <f>IFERROR(1-VLOOKUP($B195,'Slutlig allokering kvv'!$B$2:$AX$549,MATCH("Andel av bränsle i kvv som allokerats till värme, exklusive rökgaskondensering och hjälpel",'Slutlig allokering kvv'!$B$1:$AX$1,0),FALSE),"")</f>
        <v/>
      </c>
      <c r="AO195" s="172" t="str">
        <f t="shared" si="9"/>
        <v/>
      </c>
      <c r="AP195" s="173" t="str">
        <f t="shared" si="10"/>
        <v/>
      </c>
      <c r="AR195" s="172" t="str">
        <f t="shared" si="11"/>
        <v/>
      </c>
    </row>
    <row r="196" spans="1:44" x14ac:dyDescent="0.25">
      <c r="A196" s="171" t="str">
        <f>'Miljövärden för publ företag'!B198</f>
        <v>Norrtälje Energi AB</v>
      </c>
      <c r="B196" s="171" t="str">
        <f>'Miljövärden för publ företag'!C198</f>
        <v>Norrtälje</v>
      </c>
      <c r="C196" s="121">
        <f>IFERROR(VLOOKUP($B196,Kraftvärmeprod!$B$1:$AH$478,MATCH(C$2,Kraftvärmeprod!$B$1:$AG$1,0),FALSE)/1,"")</f>
        <v>82.474000000000004</v>
      </c>
      <c r="D196" s="121">
        <f>IFERROR(VLOOKUP($B196,Kraftvärmeprod!$B$1:$AH$478,MATCH(D$2,Kraftvärmeprod!$B$1:$AG$1,0),FALSE)/1,"")</f>
        <v>18.88</v>
      </c>
      <c r="F196" s="121">
        <f>IF($D196="","",IFERROR(VLOOKUP($B196,Kraftvärmeprod!$B$1:$BX$549,MATCH(F$2,Kraftvärmeprod!$B$1:$VX$1,0),FALSE)/1,0)-IFERROR(VLOOKUP($B196,'Slutlig allokering kvv'!$B$2:$BX$549,MATCH(F$2,'Slutlig allokering kvv'!$B$1:$BX$1,0),FALSE)/1,0))</f>
        <v>0</v>
      </c>
      <c r="G196" s="121">
        <f>IF($D196="","",IFERROR(VLOOKUP($B196,Kraftvärmeprod!$B$1:$BX$549,MATCH(G$2,Kraftvärmeprod!$B$1:$VX$1,0),FALSE)/1,0)-IFERROR(VLOOKUP($B196,'Slutlig allokering kvv'!$B$2:$BX$549,MATCH(G$2,'Slutlig allokering kvv'!$B$1:$BX$1,0),FALSE)/1,0))</f>
        <v>0</v>
      </c>
      <c r="H196" s="121">
        <f>IF($D196="","",IFERROR(VLOOKUP($B196,Kraftvärmeprod!$B$1:$BX$549,MATCH(H$2,Kraftvärmeprod!$B$1:$VX$1,0),FALSE)/1,0)-IFERROR(VLOOKUP($B196,'Slutlig allokering kvv'!$B$2:$BX$549,MATCH(H$2,'Slutlig allokering kvv'!$B$1:$BX$1,0),FALSE)/1,0))</f>
        <v>0</v>
      </c>
      <c r="I196" s="121">
        <f>IF($D196="","",IFERROR(VLOOKUP($B196,Kraftvärmeprod!$B$1:$BX$549,MATCH(I$2,Kraftvärmeprod!$B$1:$VX$1,0),FALSE)/1,0)-IFERROR(VLOOKUP($B196,'Slutlig allokering kvv'!$B$2:$BX$549,MATCH(I$2,'Slutlig allokering kvv'!$B$1:$BX$1,0),FALSE)/1,0))</f>
        <v>0</v>
      </c>
      <c r="J196" s="121">
        <f>IF($D196="","",IFERROR(VLOOKUP($B196,Kraftvärmeprod!$B$1:$BX$549,MATCH(J$2,Kraftvärmeprod!$B$1:$VX$1,0),FALSE)/1,0)-IFERROR(VLOOKUP($B196,'Slutlig allokering kvv'!$B$2:$BX$549,MATCH(J$2,'Slutlig allokering kvv'!$B$1:$BX$1,0),FALSE)/1,0))</f>
        <v>0</v>
      </c>
      <c r="K196" s="121">
        <f>IF($D196="","",IFERROR(VLOOKUP($B196,Kraftvärmeprod!$B$1:$BX$549,MATCH(K$2,Kraftvärmeprod!$B$1:$VX$1,0),FALSE)/1,0)-IFERROR(VLOOKUP($B196,'Slutlig allokering kvv'!$B$2:$BX$549,MATCH(K$2,'Slutlig allokering kvv'!$B$1:$BX$1,0),FALSE)/1,0))</f>
        <v>0</v>
      </c>
      <c r="L196" s="121">
        <f>IF($D196="","",IFERROR(VLOOKUP($B196,Kraftvärmeprod!$B$1:$BX$549,MATCH(L$2,Kraftvärmeprod!$B$1:$VX$1,0),FALSE)/1,0)-IFERROR(VLOOKUP($B196,'Slutlig allokering kvv'!$B$2:$BX$549,MATCH(L$2,'Slutlig allokering kvv'!$B$1:$BX$1,0),FALSE)/1,0))</f>
        <v>49.405500000000004</v>
      </c>
      <c r="M196" s="121">
        <f>IF($D196="","",IFERROR(VLOOKUP($B196,Kraftvärmeprod!$B$1:$BX$549,MATCH(M$2,Kraftvärmeprod!$B$1:$VX$1,0),FALSE)/1,0)-IFERROR(VLOOKUP($B196,'Slutlig allokering kvv'!$B$2:$BX$549,MATCH(M$2,'Slutlig allokering kvv'!$B$1:$BX$1,0),FALSE)/1,0))</f>
        <v>0</v>
      </c>
      <c r="N196" s="121">
        <f>IF($D196="","",IFERROR(VLOOKUP($B196,Kraftvärmeprod!$B$1:$BX$549,MATCH(N$2,Kraftvärmeprod!$B$1:$VX$1,0),FALSE)/1,0)-IFERROR(VLOOKUP($B196,'Slutlig allokering kvv'!$B$2:$BX$549,MATCH(N$2,'Slutlig allokering kvv'!$B$1:$BX$1,0),FALSE)/1,0))</f>
        <v>2.5853599999999997</v>
      </c>
      <c r="O196" s="121">
        <f>IF($D196="","",IFERROR(VLOOKUP($B196,Kraftvärmeprod!$B$1:$BX$549,MATCH(O$2,Kraftvärmeprod!$B$1:$VX$1,0),FALSE)/1,0)-IFERROR(VLOOKUP($B196,'Slutlig allokering kvv'!$B$2:$BX$549,MATCH(O$2,'Slutlig allokering kvv'!$B$1:$BX$1,0),FALSE)/1,0))</f>
        <v>0</v>
      </c>
      <c r="P196" s="121">
        <f>IF($D196="","",IFERROR(VLOOKUP($B196,Kraftvärmeprod!$B$1:$BX$549,MATCH(P$2,Kraftvärmeprod!$B$1:$VX$1,0),FALSE)/1,0)-IFERROR(VLOOKUP($B196,'Slutlig allokering kvv'!$B$2:$BX$549,MATCH(P$2,'Slutlig allokering kvv'!$B$1:$BX$1,0),FALSE)/1,0))</f>
        <v>0</v>
      </c>
      <c r="Q196" s="121">
        <f>IF($D196="","",IFERROR(VLOOKUP($B196,Kraftvärmeprod!$B$1:$BX$549,MATCH(Q$2,Kraftvärmeprod!$B$1:$VX$1,0),FALSE)/1,0)-IFERROR(VLOOKUP($B196,'Slutlig allokering kvv'!$B$2:$BX$549,MATCH(Q$2,'Slutlig allokering kvv'!$B$1:$BX$1,0),FALSE)/1,0))</f>
        <v>0</v>
      </c>
      <c r="R196" s="121">
        <f>IF($D196="","",IFERROR(VLOOKUP($B196,Kraftvärmeprod!$B$1:$BX$549,MATCH(R$2,Kraftvärmeprod!$B$1:$VX$1,0),FALSE)/1,0)-IFERROR(VLOOKUP($B196,'Slutlig allokering kvv'!$B$2:$BX$549,MATCH(R$2,'Slutlig allokering kvv'!$B$1:$BX$1,0),FALSE)/1,0))</f>
        <v>0</v>
      </c>
      <c r="S196" s="121">
        <f>IF($D196="","",IFERROR(VLOOKUP($B196,Kraftvärmeprod!$B$1:$BX$549,MATCH(S$2,Kraftvärmeprod!$B$1:$VX$1,0),FALSE)/1,0)-IFERROR(VLOOKUP($B196,'Slutlig allokering kvv'!$B$2:$BX$549,MATCH(S$2,'Slutlig allokering kvv'!$B$1:$BX$1,0),FALSE)/1,0))</f>
        <v>0</v>
      </c>
      <c r="T196" s="121">
        <f>IF($D196="","",IFERROR(VLOOKUP($B196,Kraftvärmeprod!$B$1:$BX$549,MATCH(T$2,Kraftvärmeprod!$B$1:$VX$1,0),FALSE)/1,0)-IFERROR(VLOOKUP($B196,'Slutlig allokering kvv'!$B$2:$BX$549,MATCH(T$2,'Slutlig allokering kvv'!$B$1:$BX$1,0),FALSE)/1,0))</f>
        <v>0</v>
      </c>
      <c r="U196" s="121">
        <f>IF($D196="","",IFERROR(VLOOKUP($B196,Kraftvärmeprod!$B$1:$BX$549,MATCH(U$2,Kraftvärmeprod!$B$1:$VX$1,0),FALSE)/1,0)-IFERROR(VLOOKUP($B196,'Slutlig allokering kvv'!$B$2:$BX$549,MATCH(U$2,'Slutlig allokering kvv'!$B$1:$BX$1,0),FALSE)/1,0))</f>
        <v>0</v>
      </c>
      <c r="V196" s="121">
        <f>IF($D196="","",IFERROR(VLOOKUP($B196,Kraftvärmeprod!$B$1:$BX$549,MATCH(V$2,Kraftvärmeprod!$B$1:$VX$1,0),FALSE)/1,0)-IFERROR(VLOOKUP($B196,'Slutlig allokering kvv'!$B$2:$BX$549,MATCH(V$2,'Slutlig allokering kvv'!$B$1:$BX$1,0),FALSE)/1,0))</f>
        <v>0</v>
      </c>
      <c r="W196" s="121">
        <f>IF($D196="","",IFERROR(VLOOKUP($B196,Kraftvärmeprod!$B$1:$BX$549,MATCH(W$2,Kraftvärmeprod!$B$1:$VX$1,0),FALSE)/1,0)-IFERROR(VLOOKUP($B196,'Slutlig allokering kvv'!$B$2:$BX$549,MATCH(W$2,'Slutlig allokering kvv'!$B$1:$BX$1,0),FALSE)/1,0))</f>
        <v>0</v>
      </c>
      <c r="X196" s="121">
        <f>IF($D196="","",IFERROR(VLOOKUP($B196,Kraftvärmeprod!$B$1:$BX$549,MATCH(X$2,Kraftvärmeprod!$B$1:$VX$1,0),FALSE)/1,0)-IFERROR(VLOOKUP($B196,'Slutlig allokering kvv'!$B$2:$BX$549,MATCH(X$2,'Slutlig allokering kvv'!$B$1:$BX$1,0),FALSE)/1,0))</f>
        <v>0</v>
      </c>
      <c r="Y196" s="121">
        <f>IF($D196="","",IFERROR(VLOOKUP($B196,Kraftvärmeprod!$B$1:$BX$549,MATCH(Y$2,Kraftvärmeprod!$B$1:$VX$1,0),FALSE)/1,0)-IFERROR(VLOOKUP($B196,'Slutlig allokering kvv'!$B$2:$BX$549,MATCH(Y$2,'Slutlig allokering kvv'!$B$1:$BX$1,0),FALSE)/1,0))</f>
        <v>0</v>
      </c>
      <c r="Z196" s="121">
        <f>IF($D196="","",IFERROR(VLOOKUP($B196,Kraftvärmeprod!$B$1:$BX$549,MATCH(Z$2,Kraftvärmeprod!$B$1:$VX$1,0),FALSE)/1,0)-IFERROR(VLOOKUP($B196,'Slutlig allokering kvv'!$B$2:$BX$549,MATCH(Z$2,'Slutlig allokering kvv'!$B$1:$BX$1,0),FALSE)/1,0))</f>
        <v>0</v>
      </c>
      <c r="AA196" s="121">
        <f>IF($D196="","",IFERROR(VLOOKUP($B196,Kraftvärmeprod!$B$1:$BX$549,MATCH(AA$2,Kraftvärmeprod!$B$1:$VX$1,0),FALSE)/1,0)-IFERROR(VLOOKUP($B196,'Slutlig allokering kvv'!$B$2:$BX$549,MATCH(AA$2,'Slutlig allokering kvv'!$B$1:$BX$1,0),FALSE)/1,0))</f>
        <v>0</v>
      </c>
      <c r="AB196" s="121">
        <f>IF($D196="","",IFERROR(VLOOKUP($B196,Kraftvärmeprod!$B$1:$BX$549,MATCH(AB$2,Kraftvärmeprod!$B$1:$VX$1,0),FALSE)/1,0)-IFERROR(VLOOKUP($B196,'Slutlig allokering kvv'!$B$2:$BX$549,MATCH(AB$2,'Slutlig allokering kvv'!$B$1:$BX$1,0),FALSE)/1,0))</f>
        <v>0</v>
      </c>
      <c r="AC196" s="121">
        <f>IF($D196="","",IFERROR(VLOOKUP($B196,Kraftvärmeprod!$B$1:$BX$549,MATCH(AC$2,Kraftvärmeprod!$B$1:$VX$1,0),FALSE)/1,0)-IFERROR(VLOOKUP($B196,'Slutlig allokering kvv'!$B$2:$BX$549,MATCH(AC$2,'Slutlig allokering kvv'!$B$1:$BX$1,0),FALSE)/1,0))</f>
        <v>0</v>
      </c>
      <c r="AD196" s="121">
        <f>IF($D196="","",IFERROR(VLOOKUP($B196,Kraftvärmeprod!$B$1:$BX$549,MATCH(AD$2,Kraftvärmeprod!$B$1:$VX$1,0),FALSE)/1,0)-IFERROR(VLOOKUP($B196,'Slutlig allokering kvv'!$B$2:$BX$549,MATCH(AD$2,'Slutlig allokering kvv'!$B$1:$BX$1,0),FALSE)/1,0))</f>
        <v>0</v>
      </c>
      <c r="AE196" s="121">
        <f>IF($D196="","",IFERROR(VLOOKUP($B196,Miljö!$B$1:$E$550,MATCH("Hjälpel kraftvärme (GWh)",Miljö!$B$1:$E$1,0),FALSE)/1,0)-IFERROR(VLOOKUP($B196,'Slutlig allokering kvv'!$B$2:$BX$549,MATCH(AE$2,'Slutlig allokering kvv'!$B$1:$BX$1,0),FALSE)/1,0))</f>
        <v>0.50444300000000009</v>
      </c>
      <c r="AI196" s="121">
        <f t="shared" ref="AI196:AI259" si="12">SUM(F196:AC196)</f>
        <v>51.990860000000005</v>
      </c>
      <c r="AK196" s="121">
        <f>IFERROR(VLOOKUP($B196,'Slutlig allokering kvv'!$B$2:$AX$549,MATCH("Summa slutlig allokerad tillförd energi (utan hjälpel och rökgaskondensering):",'Slutlig allokering kvv'!$B$1:$AX$1,0),FALSE)/1,"")</f>
        <v>87.148140000000012</v>
      </c>
      <c r="AM196" s="172">
        <f>IFERROR(1-VLOOKUP($B196,'Slutlig allokering kvv'!$B$2:$AX$549,MATCH("Andel av bränsle i kvv som allokerats till värme, exklusive rökgaskondensering och hjälpel",'Slutlig allokering kvv'!$B$1:$AX$1,0),FALSE),"")</f>
        <v>0.37366130272605091</v>
      </c>
      <c r="AO196" s="172">
        <f t="shared" ref="AO196:AO259" si="13">IFERROR(AI196/(AI196+AK196),"")</f>
        <v>0.37366130272605091</v>
      </c>
      <c r="AP196" s="173">
        <f t="shared" ref="AP196:AP259" si="14">IFERROR(AM196-AO196,"")</f>
        <v>0</v>
      </c>
      <c r="AR196" s="172">
        <f t="shared" ref="AR196:AR259" si="15">IFERROR(D196/(AI196+AE196),"")</f>
        <v>0.3596512244152586</v>
      </c>
    </row>
    <row r="197" spans="1:44" x14ac:dyDescent="0.25">
      <c r="A197" s="171" t="str">
        <f>'Miljövärden för publ företag'!B199</f>
        <v>Norrtälje Energi AB</v>
      </c>
      <c r="B197" s="171" t="str">
        <f>'Miljövärden för publ företag'!C199</f>
        <v>Rimbo</v>
      </c>
      <c r="C197" s="121" t="str">
        <f>IFERROR(VLOOKUP($B197,Kraftvärmeprod!$B$1:$AH$478,MATCH(C$2,Kraftvärmeprod!$B$1:$AG$1,0),FALSE)/1,"")</f>
        <v/>
      </c>
      <c r="D197" s="121" t="str">
        <f>IFERROR(VLOOKUP($B197,Kraftvärmeprod!$B$1:$AH$478,MATCH(D$2,Kraftvärmeprod!$B$1:$AG$1,0),FALSE)/1,"")</f>
        <v/>
      </c>
      <c r="F197" s="121" t="str">
        <f>IF($D197="","",IFERROR(VLOOKUP($B197,Kraftvärmeprod!$B$1:$BX$549,MATCH(F$2,Kraftvärmeprod!$B$1:$VX$1,0),FALSE)/1,0)-IFERROR(VLOOKUP($B197,'Slutlig allokering kvv'!$B$2:$BX$549,MATCH(F$2,'Slutlig allokering kvv'!$B$1:$BX$1,0),FALSE)/1,0))</f>
        <v/>
      </c>
      <c r="G197" s="121" t="str">
        <f>IF($D197="","",IFERROR(VLOOKUP($B197,Kraftvärmeprod!$B$1:$BX$549,MATCH(G$2,Kraftvärmeprod!$B$1:$VX$1,0),FALSE)/1,0)-IFERROR(VLOOKUP($B197,'Slutlig allokering kvv'!$B$2:$BX$549,MATCH(G$2,'Slutlig allokering kvv'!$B$1:$BX$1,0),FALSE)/1,0))</f>
        <v/>
      </c>
      <c r="H197" s="121" t="str">
        <f>IF($D197="","",IFERROR(VLOOKUP($B197,Kraftvärmeprod!$B$1:$BX$549,MATCH(H$2,Kraftvärmeprod!$B$1:$VX$1,0),FALSE)/1,0)-IFERROR(VLOOKUP($B197,'Slutlig allokering kvv'!$B$2:$BX$549,MATCH(H$2,'Slutlig allokering kvv'!$B$1:$BX$1,0),FALSE)/1,0))</f>
        <v/>
      </c>
      <c r="I197" s="121" t="str">
        <f>IF($D197="","",IFERROR(VLOOKUP($B197,Kraftvärmeprod!$B$1:$BX$549,MATCH(I$2,Kraftvärmeprod!$B$1:$VX$1,0),FALSE)/1,0)-IFERROR(VLOOKUP($B197,'Slutlig allokering kvv'!$B$2:$BX$549,MATCH(I$2,'Slutlig allokering kvv'!$B$1:$BX$1,0),FALSE)/1,0))</f>
        <v/>
      </c>
      <c r="J197" s="121" t="str">
        <f>IF($D197="","",IFERROR(VLOOKUP($B197,Kraftvärmeprod!$B$1:$BX$549,MATCH(J$2,Kraftvärmeprod!$B$1:$VX$1,0),FALSE)/1,0)-IFERROR(VLOOKUP($B197,'Slutlig allokering kvv'!$B$2:$BX$549,MATCH(J$2,'Slutlig allokering kvv'!$B$1:$BX$1,0),FALSE)/1,0))</f>
        <v/>
      </c>
      <c r="K197" s="121" t="str">
        <f>IF($D197="","",IFERROR(VLOOKUP($B197,Kraftvärmeprod!$B$1:$BX$549,MATCH(K$2,Kraftvärmeprod!$B$1:$VX$1,0),FALSE)/1,0)-IFERROR(VLOOKUP($B197,'Slutlig allokering kvv'!$B$2:$BX$549,MATCH(K$2,'Slutlig allokering kvv'!$B$1:$BX$1,0),FALSE)/1,0))</f>
        <v/>
      </c>
      <c r="L197" s="121" t="str">
        <f>IF($D197="","",IFERROR(VLOOKUP($B197,Kraftvärmeprod!$B$1:$BX$549,MATCH(L$2,Kraftvärmeprod!$B$1:$VX$1,0),FALSE)/1,0)-IFERROR(VLOOKUP($B197,'Slutlig allokering kvv'!$B$2:$BX$549,MATCH(L$2,'Slutlig allokering kvv'!$B$1:$BX$1,0),FALSE)/1,0))</f>
        <v/>
      </c>
      <c r="M197" s="121" t="str">
        <f>IF($D197="","",IFERROR(VLOOKUP($B197,Kraftvärmeprod!$B$1:$BX$549,MATCH(M$2,Kraftvärmeprod!$B$1:$VX$1,0),FALSE)/1,0)-IFERROR(VLOOKUP($B197,'Slutlig allokering kvv'!$B$2:$BX$549,MATCH(M$2,'Slutlig allokering kvv'!$B$1:$BX$1,0),FALSE)/1,0))</f>
        <v/>
      </c>
      <c r="N197" s="121" t="str">
        <f>IF($D197="","",IFERROR(VLOOKUP($B197,Kraftvärmeprod!$B$1:$BX$549,MATCH(N$2,Kraftvärmeprod!$B$1:$VX$1,0),FALSE)/1,0)-IFERROR(VLOOKUP($B197,'Slutlig allokering kvv'!$B$2:$BX$549,MATCH(N$2,'Slutlig allokering kvv'!$B$1:$BX$1,0),FALSE)/1,0))</f>
        <v/>
      </c>
      <c r="O197" s="121" t="str">
        <f>IF($D197="","",IFERROR(VLOOKUP($B197,Kraftvärmeprod!$B$1:$BX$549,MATCH(O$2,Kraftvärmeprod!$B$1:$VX$1,0),FALSE)/1,0)-IFERROR(VLOOKUP($B197,'Slutlig allokering kvv'!$B$2:$BX$549,MATCH(O$2,'Slutlig allokering kvv'!$B$1:$BX$1,0),FALSE)/1,0))</f>
        <v/>
      </c>
      <c r="P197" s="121" t="str">
        <f>IF($D197="","",IFERROR(VLOOKUP($B197,Kraftvärmeprod!$B$1:$BX$549,MATCH(P$2,Kraftvärmeprod!$B$1:$VX$1,0),FALSE)/1,0)-IFERROR(VLOOKUP($B197,'Slutlig allokering kvv'!$B$2:$BX$549,MATCH(P$2,'Slutlig allokering kvv'!$B$1:$BX$1,0),FALSE)/1,0))</f>
        <v/>
      </c>
      <c r="Q197" s="121" t="str">
        <f>IF($D197="","",IFERROR(VLOOKUP($B197,Kraftvärmeprod!$B$1:$BX$549,MATCH(Q$2,Kraftvärmeprod!$B$1:$VX$1,0),FALSE)/1,0)-IFERROR(VLOOKUP($B197,'Slutlig allokering kvv'!$B$2:$BX$549,MATCH(Q$2,'Slutlig allokering kvv'!$B$1:$BX$1,0),FALSE)/1,0))</f>
        <v/>
      </c>
      <c r="R197" s="121" t="str">
        <f>IF($D197="","",IFERROR(VLOOKUP($B197,Kraftvärmeprod!$B$1:$BX$549,MATCH(R$2,Kraftvärmeprod!$B$1:$VX$1,0),FALSE)/1,0)-IFERROR(VLOOKUP($B197,'Slutlig allokering kvv'!$B$2:$BX$549,MATCH(R$2,'Slutlig allokering kvv'!$B$1:$BX$1,0),FALSE)/1,0))</f>
        <v/>
      </c>
      <c r="S197" s="121" t="str">
        <f>IF($D197="","",IFERROR(VLOOKUP($B197,Kraftvärmeprod!$B$1:$BX$549,MATCH(S$2,Kraftvärmeprod!$B$1:$VX$1,0),FALSE)/1,0)-IFERROR(VLOOKUP($B197,'Slutlig allokering kvv'!$B$2:$BX$549,MATCH(S$2,'Slutlig allokering kvv'!$B$1:$BX$1,0),FALSE)/1,0))</f>
        <v/>
      </c>
      <c r="T197" s="121" t="str">
        <f>IF($D197="","",IFERROR(VLOOKUP($B197,Kraftvärmeprod!$B$1:$BX$549,MATCH(T$2,Kraftvärmeprod!$B$1:$VX$1,0),FALSE)/1,0)-IFERROR(VLOOKUP($B197,'Slutlig allokering kvv'!$B$2:$BX$549,MATCH(T$2,'Slutlig allokering kvv'!$B$1:$BX$1,0),FALSE)/1,0))</f>
        <v/>
      </c>
      <c r="U197" s="121" t="str">
        <f>IF($D197="","",IFERROR(VLOOKUP($B197,Kraftvärmeprod!$B$1:$BX$549,MATCH(U$2,Kraftvärmeprod!$B$1:$VX$1,0),FALSE)/1,0)-IFERROR(VLOOKUP($B197,'Slutlig allokering kvv'!$B$2:$BX$549,MATCH(U$2,'Slutlig allokering kvv'!$B$1:$BX$1,0),FALSE)/1,0))</f>
        <v/>
      </c>
      <c r="V197" s="121" t="str">
        <f>IF($D197="","",IFERROR(VLOOKUP($B197,Kraftvärmeprod!$B$1:$BX$549,MATCH(V$2,Kraftvärmeprod!$B$1:$VX$1,0),FALSE)/1,0)-IFERROR(VLOOKUP($B197,'Slutlig allokering kvv'!$B$2:$BX$549,MATCH(V$2,'Slutlig allokering kvv'!$B$1:$BX$1,0),FALSE)/1,0))</f>
        <v/>
      </c>
      <c r="W197" s="121" t="str">
        <f>IF($D197="","",IFERROR(VLOOKUP($B197,Kraftvärmeprod!$B$1:$BX$549,MATCH(W$2,Kraftvärmeprod!$B$1:$VX$1,0),FALSE)/1,0)-IFERROR(VLOOKUP($B197,'Slutlig allokering kvv'!$B$2:$BX$549,MATCH(W$2,'Slutlig allokering kvv'!$B$1:$BX$1,0),FALSE)/1,0))</f>
        <v/>
      </c>
      <c r="X197" s="121" t="str">
        <f>IF($D197="","",IFERROR(VLOOKUP($B197,Kraftvärmeprod!$B$1:$BX$549,MATCH(X$2,Kraftvärmeprod!$B$1:$VX$1,0),FALSE)/1,0)-IFERROR(VLOOKUP($B197,'Slutlig allokering kvv'!$B$2:$BX$549,MATCH(X$2,'Slutlig allokering kvv'!$B$1:$BX$1,0),FALSE)/1,0))</f>
        <v/>
      </c>
      <c r="Y197" s="121" t="str">
        <f>IF($D197="","",IFERROR(VLOOKUP($B197,Kraftvärmeprod!$B$1:$BX$549,MATCH(Y$2,Kraftvärmeprod!$B$1:$VX$1,0),FALSE)/1,0)-IFERROR(VLOOKUP($B197,'Slutlig allokering kvv'!$B$2:$BX$549,MATCH(Y$2,'Slutlig allokering kvv'!$B$1:$BX$1,0),FALSE)/1,0))</f>
        <v/>
      </c>
      <c r="Z197" s="121" t="str">
        <f>IF($D197="","",IFERROR(VLOOKUP($B197,Kraftvärmeprod!$B$1:$BX$549,MATCH(Z$2,Kraftvärmeprod!$B$1:$VX$1,0),FALSE)/1,0)-IFERROR(VLOOKUP($B197,'Slutlig allokering kvv'!$B$2:$BX$549,MATCH(Z$2,'Slutlig allokering kvv'!$B$1:$BX$1,0),FALSE)/1,0))</f>
        <v/>
      </c>
      <c r="AA197" s="121" t="str">
        <f>IF($D197="","",IFERROR(VLOOKUP($B197,Kraftvärmeprod!$B$1:$BX$549,MATCH(AA$2,Kraftvärmeprod!$B$1:$VX$1,0),FALSE)/1,0)-IFERROR(VLOOKUP($B197,'Slutlig allokering kvv'!$B$2:$BX$549,MATCH(AA$2,'Slutlig allokering kvv'!$B$1:$BX$1,0),FALSE)/1,0))</f>
        <v/>
      </c>
      <c r="AB197" s="121" t="str">
        <f>IF($D197="","",IFERROR(VLOOKUP($B197,Kraftvärmeprod!$B$1:$BX$549,MATCH(AB$2,Kraftvärmeprod!$B$1:$VX$1,0),FALSE)/1,0)-IFERROR(VLOOKUP($B197,'Slutlig allokering kvv'!$B$2:$BX$549,MATCH(AB$2,'Slutlig allokering kvv'!$B$1:$BX$1,0),FALSE)/1,0))</f>
        <v/>
      </c>
      <c r="AC197" s="121" t="str">
        <f>IF($D197="","",IFERROR(VLOOKUP($B197,Kraftvärmeprod!$B$1:$BX$549,MATCH(AC$2,Kraftvärmeprod!$B$1:$VX$1,0),FALSE)/1,0)-IFERROR(VLOOKUP($B197,'Slutlig allokering kvv'!$B$2:$BX$549,MATCH(AC$2,'Slutlig allokering kvv'!$B$1:$BX$1,0),FALSE)/1,0))</f>
        <v/>
      </c>
      <c r="AD197" s="121" t="str">
        <f>IF($D197="","",IFERROR(VLOOKUP($B197,Kraftvärmeprod!$B$1:$BX$549,MATCH(AD$2,Kraftvärmeprod!$B$1:$VX$1,0),FALSE)/1,0)-IFERROR(VLOOKUP($B197,'Slutlig allokering kvv'!$B$2:$BX$549,MATCH(AD$2,'Slutlig allokering kvv'!$B$1:$BX$1,0),FALSE)/1,0))</f>
        <v/>
      </c>
      <c r="AE197" s="121" t="str">
        <f>IF($D197="","",IFERROR(VLOOKUP($B197,Miljö!$B$1:$E$550,MATCH("Hjälpel kraftvärme (GWh)",Miljö!$B$1:$E$1,0),FALSE)/1,0)-IFERROR(VLOOKUP($B197,'Slutlig allokering kvv'!$B$2:$BX$549,MATCH(AE$2,'Slutlig allokering kvv'!$B$1:$BX$1,0),FALSE)/1,0))</f>
        <v/>
      </c>
      <c r="AI197" s="121">
        <f t="shared" si="12"/>
        <v>0</v>
      </c>
      <c r="AK197" s="121">
        <f>IFERROR(VLOOKUP($B197,'Slutlig allokering kvv'!$B$2:$AX$549,MATCH("Summa slutlig allokerad tillförd energi (utan hjälpel och rökgaskondensering):",'Slutlig allokering kvv'!$B$1:$AX$1,0),FALSE)/1,"")</f>
        <v>0</v>
      </c>
      <c r="AM197" s="172" t="str">
        <f>IFERROR(1-VLOOKUP($B197,'Slutlig allokering kvv'!$B$2:$AX$549,MATCH("Andel av bränsle i kvv som allokerats till värme, exklusive rökgaskondensering och hjälpel",'Slutlig allokering kvv'!$B$1:$AX$1,0),FALSE),"")</f>
        <v/>
      </c>
      <c r="AO197" s="172" t="str">
        <f t="shared" si="13"/>
        <v/>
      </c>
      <c r="AP197" s="173" t="str">
        <f t="shared" si="14"/>
        <v/>
      </c>
      <c r="AR197" s="172" t="str">
        <f t="shared" si="15"/>
        <v/>
      </c>
    </row>
    <row r="198" spans="1:44" x14ac:dyDescent="0.25">
      <c r="A198" s="171" t="str">
        <f>'Miljövärden för publ företag'!B200</f>
        <v>Nossebro Energi Värme AB</v>
      </c>
      <c r="B198" s="171" t="str">
        <f>'Miljövärden för publ företag'!C200</f>
        <v>Essunga</v>
      </c>
      <c r="C198" s="121" t="str">
        <f>IFERROR(VLOOKUP($B198,Kraftvärmeprod!$B$1:$AH$478,MATCH(C$2,Kraftvärmeprod!$B$1:$AG$1,0),FALSE)/1,"")</f>
        <v/>
      </c>
      <c r="D198" s="121" t="str">
        <f>IFERROR(VLOOKUP($B198,Kraftvärmeprod!$B$1:$AH$478,MATCH(D$2,Kraftvärmeprod!$B$1:$AG$1,0),FALSE)/1,"")</f>
        <v/>
      </c>
      <c r="F198" s="121" t="str">
        <f>IF($D198="","",IFERROR(VLOOKUP($B198,Kraftvärmeprod!$B$1:$BX$549,MATCH(F$2,Kraftvärmeprod!$B$1:$VX$1,0),FALSE)/1,0)-IFERROR(VLOOKUP($B198,'Slutlig allokering kvv'!$B$2:$BX$549,MATCH(F$2,'Slutlig allokering kvv'!$B$1:$BX$1,0),FALSE)/1,0))</f>
        <v/>
      </c>
      <c r="G198" s="121" t="str">
        <f>IF($D198="","",IFERROR(VLOOKUP($B198,Kraftvärmeprod!$B$1:$BX$549,MATCH(G$2,Kraftvärmeprod!$B$1:$VX$1,0),FALSE)/1,0)-IFERROR(VLOOKUP($B198,'Slutlig allokering kvv'!$B$2:$BX$549,MATCH(G$2,'Slutlig allokering kvv'!$B$1:$BX$1,0),FALSE)/1,0))</f>
        <v/>
      </c>
      <c r="H198" s="121" t="str">
        <f>IF($D198="","",IFERROR(VLOOKUP($B198,Kraftvärmeprod!$B$1:$BX$549,MATCH(H$2,Kraftvärmeprod!$B$1:$VX$1,0),FALSE)/1,0)-IFERROR(VLOOKUP($B198,'Slutlig allokering kvv'!$B$2:$BX$549,MATCH(H$2,'Slutlig allokering kvv'!$B$1:$BX$1,0),FALSE)/1,0))</f>
        <v/>
      </c>
      <c r="I198" s="121" t="str">
        <f>IF($D198="","",IFERROR(VLOOKUP($B198,Kraftvärmeprod!$B$1:$BX$549,MATCH(I$2,Kraftvärmeprod!$B$1:$VX$1,0),FALSE)/1,0)-IFERROR(VLOOKUP($B198,'Slutlig allokering kvv'!$B$2:$BX$549,MATCH(I$2,'Slutlig allokering kvv'!$B$1:$BX$1,0),FALSE)/1,0))</f>
        <v/>
      </c>
      <c r="J198" s="121" t="str">
        <f>IF($D198="","",IFERROR(VLOOKUP($B198,Kraftvärmeprod!$B$1:$BX$549,MATCH(J$2,Kraftvärmeprod!$B$1:$VX$1,0),FALSE)/1,0)-IFERROR(VLOOKUP($B198,'Slutlig allokering kvv'!$B$2:$BX$549,MATCH(J$2,'Slutlig allokering kvv'!$B$1:$BX$1,0),FALSE)/1,0))</f>
        <v/>
      </c>
      <c r="K198" s="121" t="str">
        <f>IF($D198="","",IFERROR(VLOOKUP($B198,Kraftvärmeprod!$B$1:$BX$549,MATCH(K$2,Kraftvärmeprod!$B$1:$VX$1,0),FALSE)/1,0)-IFERROR(VLOOKUP($B198,'Slutlig allokering kvv'!$B$2:$BX$549,MATCH(K$2,'Slutlig allokering kvv'!$B$1:$BX$1,0),FALSE)/1,0))</f>
        <v/>
      </c>
      <c r="L198" s="121" t="str">
        <f>IF($D198="","",IFERROR(VLOOKUP($B198,Kraftvärmeprod!$B$1:$BX$549,MATCH(L$2,Kraftvärmeprod!$B$1:$VX$1,0),FALSE)/1,0)-IFERROR(VLOOKUP($B198,'Slutlig allokering kvv'!$B$2:$BX$549,MATCH(L$2,'Slutlig allokering kvv'!$B$1:$BX$1,0),FALSE)/1,0))</f>
        <v/>
      </c>
      <c r="M198" s="121" t="str">
        <f>IF($D198="","",IFERROR(VLOOKUP($B198,Kraftvärmeprod!$B$1:$BX$549,MATCH(M$2,Kraftvärmeprod!$B$1:$VX$1,0),FALSE)/1,0)-IFERROR(VLOOKUP($B198,'Slutlig allokering kvv'!$B$2:$BX$549,MATCH(M$2,'Slutlig allokering kvv'!$B$1:$BX$1,0),FALSE)/1,0))</f>
        <v/>
      </c>
      <c r="N198" s="121" t="str">
        <f>IF($D198="","",IFERROR(VLOOKUP($B198,Kraftvärmeprod!$B$1:$BX$549,MATCH(N$2,Kraftvärmeprod!$B$1:$VX$1,0),FALSE)/1,0)-IFERROR(VLOOKUP($B198,'Slutlig allokering kvv'!$B$2:$BX$549,MATCH(N$2,'Slutlig allokering kvv'!$B$1:$BX$1,0),FALSE)/1,0))</f>
        <v/>
      </c>
      <c r="O198" s="121" t="str">
        <f>IF($D198="","",IFERROR(VLOOKUP($B198,Kraftvärmeprod!$B$1:$BX$549,MATCH(O$2,Kraftvärmeprod!$B$1:$VX$1,0),FALSE)/1,0)-IFERROR(VLOOKUP($B198,'Slutlig allokering kvv'!$B$2:$BX$549,MATCH(O$2,'Slutlig allokering kvv'!$B$1:$BX$1,0),FALSE)/1,0))</f>
        <v/>
      </c>
      <c r="P198" s="121" t="str">
        <f>IF($D198="","",IFERROR(VLOOKUP($B198,Kraftvärmeprod!$B$1:$BX$549,MATCH(P$2,Kraftvärmeprod!$B$1:$VX$1,0),FALSE)/1,0)-IFERROR(VLOOKUP($B198,'Slutlig allokering kvv'!$B$2:$BX$549,MATCH(P$2,'Slutlig allokering kvv'!$B$1:$BX$1,0),FALSE)/1,0))</f>
        <v/>
      </c>
      <c r="Q198" s="121" t="str">
        <f>IF($D198="","",IFERROR(VLOOKUP($B198,Kraftvärmeprod!$B$1:$BX$549,MATCH(Q$2,Kraftvärmeprod!$B$1:$VX$1,0),FALSE)/1,0)-IFERROR(VLOOKUP($B198,'Slutlig allokering kvv'!$B$2:$BX$549,MATCH(Q$2,'Slutlig allokering kvv'!$B$1:$BX$1,0),FALSE)/1,0))</f>
        <v/>
      </c>
      <c r="R198" s="121" t="str">
        <f>IF($D198="","",IFERROR(VLOOKUP($B198,Kraftvärmeprod!$B$1:$BX$549,MATCH(R$2,Kraftvärmeprod!$B$1:$VX$1,0),FALSE)/1,0)-IFERROR(VLOOKUP($B198,'Slutlig allokering kvv'!$B$2:$BX$549,MATCH(R$2,'Slutlig allokering kvv'!$B$1:$BX$1,0),FALSE)/1,0))</f>
        <v/>
      </c>
      <c r="S198" s="121" t="str">
        <f>IF($D198="","",IFERROR(VLOOKUP($B198,Kraftvärmeprod!$B$1:$BX$549,MATCH(S$2,Kraftvärmeprod!$B$1:$VX$1,0),FALSE)/1,0)-IFERROR(VLOOKUP($B198,'Slutlig allokering kvv'!$B$2:$BX$549,MATCH(S$2,'Slutlig allokering kvv'!$B$1:$BX$1,0),FALSE)/1,0))</f>
        <v/>
      </c>
      <c r="T198" s="121" t="str">
        <f>IF($D198="","",IFERROR(VLOOKUP($B198,Kraftvärmeprod!$B$1:$BX$549,MATCH(T$2,Kraftvärmeprod!$B$1:$VX$1,0),FALSE)/1,0)-IFERROR(VLOOKUP($B198,'Slutlig allokering kvv'!$B$2:$BX$549,MATCH(T$2,'Slutlig allokering kvv'!$B$1:$BX$1,0),FALSE)/1,0))</f>
        <v/>
      </c>
      <c r="U198" s="121" t="str">
        <f>IF($D198="","",IFERROR(VLOOKUP($B198,Kraftvärmeprod!$B$1:$BX$549,MATCH(U$2,Kraftvärmeprod!$B$1:$VX$1,0),FALSE)/1,0)-IFERROR(VLOOKUP($B198,'Slutlig allokering kvv'!$B$2:$BX$549,MATCH(U$2,'Slutlig allokering kvv'!$B$1:$BX$1,0),FALSE)/1,0))</f>
        <v/>
      </c>
      <c r="V198" s="121" t="str">
        <f>IF($D198="","",IFERROR(VLOOKUP($B198,Kraftvärmeprod!$B$1:$BX$549,MATCH(V$2,Kraftvärmeprod!$B$1:$VX$1,0),FALSE)/1,0)-IFERROR(VLOOKUP($B198,'Slutlig allokering kvv'!$B$2:$BX$549,MATCH(V$2,'Slutlig allokering kvv'!$B$1:$BX$1,0),FALSE)/1,0))</f>
        <v/>
      </c>
      <c r="W198" s="121" t="str">
        <f>IF($D198="","",IFERROR(VLOOKUP($B198,Kraftvärmeprod!$B$1:$BX$549,MATCH(W$2,Kraftvärmeprod!$B$1:$VX$1,0),FALSE)/1,0)-IFERROR(VLOOKUP($B198,'Slutlig allokering kvv'!$B$2:$BX$549,MATCH(W$2,'Slutlig allokering kvv'!$B$1:$BX$1,0),FALSE)/1,0))</f>
        <v/>
      </c>
      <c r="X198" s="121" t="str">
        <f>IF($D198="","",IFERROR(VLOOKUP($B198,Kraftvärmeprod!$B$1:$BX$549,MATCH(X$2,Kraftvärmeprod!$B$1:$VX$1,0),FALSE)/1,0)-IFERROR(VLOOKUP($B198,'Slutlig allokering kvv'!$B$2:$BX$549,MATCH(X$2,'Slutlig allokering kvv'!$B$1:$BX$1,0),FALSE)/1,0))</f>
        <v/>
      </c>
      <c r="Y198" s="121" t="str">
        <f>IF($D198="","",IFERROR(VLOOKUP($B198,Kraftvärmeprod!$B$1:$BX$549,MATCH(Y$2,Kraftvärmeprod!$B$1:$VX$1,0),FALSE)/1,0)-IFERROR(VLOOKUP($B198,'Slutlig allokering kvv'!$B$2:$BX$549,MATCH(Y$2,'Slutlig allokering kvv'!$B$1:$BX$1,0),FALSE)/1,0))</f>
        <v/>
      </c>
      <c r="Z198" s="121" t="str">
        <f>IF($D198="","",IFERROR(VLOOKUP($B198,Kraftvärmeprod!$B$1:$BX$549,MATCH(Z$2,Kraftvärmeprod!$B$1:$VX$1,0),FALSE)/1,0)-IFERROR(VLOOKUP($B198,'Slutlig allokering kvv'!$B$2:$BX$549,MATCH(Z$2,'Slutlig allokering kvv'!$B$1:$BX$1,0),FALSE)/1,0))</f>
        <v/>
      </c>
      <c r="AA198" s="121" t="str">
        <f>IF($D198="","",IFERROR(VLOOKUP($B198,Kraftvärmeprod!$B$1:$BX$549,MATCH(AA$2,Kraftvärmeprod!$B$1:$VX$1,0),FALSE)/1,0)-IFERROR(VLOOKUP($B198,'Slutlig allokering kvv'!$B$2:$BX$549,MATCH(AA$2,'Slutlig allokering kvv'!$B$1:$BX$1,0),FALSE)/1,0))</f>
        <v/>
      </c>
      <c r="AB198" s="121" t="str">
        <f>IF($D198="","",IFERROR(VLOOKUP($B198,Kraftvärmeprod!$B$1:$BX$549,MATCH(AB$2,Kraftvärmeprod!$B$1:$VX$1,0),FALSE)/1,0)-IFERROR(VLOOKUP($B198,'Slutlig allokering kvv'!$B$2:$BX$549,MATCH(AB$2,'Slutlig allokering kvv'!$B$1:$BX$1,0),FALSE)/1,0))</f>
        <v/>
      </c>
      <c r="AC198" s="121" t="str">
        <f>IF($D198="","",IFERROR(VLOOKUP($B198,Kraftvärmeprod!$B$1:$BX$549,MATCH(AC$2,Kraftvärmeprod!$B$1:$VX$1,0),FALSE)/1,0)-IFERROR(VLOOKUP($B198,'Slutlig allokering kvv'!$B$2:$BX$549,MATCH(AC$2,'Slutlig allokering kvv'!$B$1:$BX$1,0),FALSE)/1,0))</f>
        <v/>
      </c>
      <c r="AD198" s="121" t="str">
        <f>IF($D198="","",IFERROR(VLOOKUP($B198,Kraftvärmeprod!$B$1:$BX$549,MATCH(AD$2,Kraftvärmeprod!$B$1:$VX$1,0),FALSE)/1,0)-IFERROR(VLOOKUP($B198,'Slutlig allokering kvv'!$B$2:$BX$549,MATCH(AD$2,'Slutlig allokering kvv'!$B$1:$BX$1,0),FALSE)/1,0))</f>
        <v/>
      </c>
      <c r="AE198" s="121" t="str">
        <f>IF($D198="","",IFERROR(VLOOKUP($B198,Miljö!$B$1:$E$550,MATCH("Hjälpel kraftvärme (GWh)",Miljö!$B$1:$E$1,0),FALSE)/1,0)-IFERROR(VLOOKUP($B198,'Slutlig allokering kvv'!$B$2:$BX$549,MATCH(AE$2,'Slutlig allokering kvv'!$B$1:$BX$1,0),FALSE)/1,0))</f>
        <v/>
      </c>
      <c r="AI198" s="121">
        <f t="shared" si="12"/>
        <v>0</v>
      </c>
      <c r="AK198" s="121">
        <f>IFERROR(VLOOKUP($B198,'Slutlig allokering kvv'!$B$2:$AX$549,MATCH("Summa slutlig allokerad tillförd energi (utan hjälpel och rökgaskondensering):",'Slutlig allokering kvv'!$B$1:$AX$1,0),FALSE)/1,"")</f>
        <v>0</v>
      </c>
      <c r="AM198" s="172" t="str">
        <f>IFERROR(1-VLOOKUP($B198,'Slutlig allokering kvv'!$B$2:$AX$549,MATCH("Andel av bränsle i kvv som allokerats till värme, exklusive rökgaskondensering och hjälpel",'Slutlig allokering kvv'!$B$1:$AX$1,0),FALSE),"")</f>
        <v/>
      </c>
      <c r="AO198" s="172" t="str">
        <f t="shared" si="13"/>
        <v/>
      </c>
      <c r="AP198" s="173" t="str">
        <f t="shared" si="14"/>
        <v/>
      </c>
      <c r="AR198" s="172" t="str">
        <f t="shared" si="15"/>
        <v/>
      </c>
    </row>
    <row r="199" spans="1:44" x14ac:dyDescent="0.25">
      <c r="A199" s="171" t="str">
        <f>'Miljövärden för publ företag'!B201</f>
        <v>Nybro Energi AB</v>
      </c>
      <c r="B199" s="171" t="str">
        <f>'Miljövärden för publ företag'!C201</f>
        <v>Nybro stadsnät</v>
      </c>
      <c r="C199" s="121">
        <f>IFERROR(VLOOKUP($B199,Kraftvärmeprod!$B$1:$AH$478,MATCH(C$2,Kraftvärmeprod!$B$1:$AG$1,0),FALSE)/1,"")</f>
        <v>159.6</v>
      </c>
      <c r="D199" s="121">
        <f>IFERROR(VLOOKUP($B199,Kraftvärmeprod!$B$1:$AH$478,MATCH(D$2,Kraftvärmeprod!$B$1:$AG$1,0),FALSE)/1,"")</f>
        <v>29.4</v>
      </c>
      <c r="F199" s="121">
        <f>IF($D199="","",IFERROR(VLOOKUP($B199,Kraftvärmeprod!$B$1:$BX$549,MATCH(F$2,Kraftvärmeprod!$B$1:$VX$1,0),FALSE)/1,0)-IFERROR(VLOOKUP($B199,'Slutlig allokering kvv'!$B$2:$BX$549,MATCH(F$2,'Slutlig allokering kvv'!$B$1:$BX$1,0),FALSE)/1,0))</f>
        <v>0</v>
      </c>
      <c r="G199" s="121">
        <f>IF($D199="","",IFERROR(VLOOKUP($B199,Kraftvärmeprod!$B$1:$BX$549,MATCH(G$2,Kraftvärmeprod!$B$1:$VX$1,0),FALSE)/1,0)-IFERROR(VLOOKUP($B199,'Slutlig allokering kvv'!$B$2:$BX$549,MATCH(G$2,'Slutlig allokering kvv'!$B$1:$BX$1,0),FALSE)/1,0))</f>
        <v>0.86595999999999984</v>
      </c>
      <c r="H199" s="121">
        <f>IF($D199="","",IFERROR(VLOOKUP($B199,Kraftvärmeprod!$B$1:$BX$549,MATCH(H$2,Kraftvärmeprod!$B$1:$VX$1,0),FALSE)/1,0)-IFERROR(VLOOKUP($B199,'Slutlig allokering kvv'!$B$2:$BX$549,MATCH(H$2,'Slutlig allokering kvv'!$B$1:$BX$1,0),FALSE)/1,0))</f>
        <v>0</v>
      </c>
      <c r="I199" s="121">
        <f>IF($D199="","",IFERROR(VLOOKUP($B199,Kraftvärmeprod!$B$1:$BX$549,MATCH(I$2,Kraftvärmeprod!$B$1:$VX$1,0),FALSE)/1,0)-IFERROR(VLOOKUP($B199,'Slutlig allokering kvv'!$B$2:$BX$549,MATCH(I$2,'Slutlig allokering kvv'!$B$1:$BX$1,0),FALSE)/1,0))</f>
        <v>0</v>
      </c>
      <c r="J199" s="121">
        <f>IF($D199="","",IFERROR(VLOOKUP($B199,Kraftvärmeprod!$B$1:$BX$549,MATCH(J$2,Kraftvärmeprod!$B$1:$VX$1,0),FALSE)/1,0)-IFERROR(VLOOKUP($B199,'Slutlig allokering kvv'!$B$2:$BX$549,MATCH(J$2,'Slutlig allokering kvv'!$B$1:$BX$1,0),FALSE)/1,0))</f>
        <v>0</v>
      </c>
      <c r="K199" s="121">
        <f>IF($D199="","",IFERROR(VLOOKUP($B199,Kraftvärmeprod!$B$1:$BX$549,MATCH(K$2,Kraftvärmeprod!$B$1:$VX$1,0),FALSE)/1,0)-IFERROR(VLOOKUP($B199,'Slutlig allokering kvv'!$B$2:$BX$549,MATCH(K$2,'Slutlig allokering kvv'!$B$1:$BX$1,0),FALSE)/1,0))</f>
        <v>0</v>
      </c>
      <c r="L199" s="121">
        <f>IF($D199="","",IFERROR(VLOOKUP($B199,Kraftvärmeprod!$B$1:$BX$549,MATCH(L$2,Kraftvärmeprod!$B$1:$VX$1,0),FALSE)/1,0)-IFERROR(VLOOKUP($B199,'Slutlig allokering kvv'!$B$2:$BX$549,MATCH(L$2,'Slutlig allokering kvv'!$B$1:$BX$1,0),FALSE)/1,0))</f>
        <v>0</v>
      </c>
      <c r="M199" s="121">
        <f>IF($D199="","",IFERROR(VLOOKUP($B199,Kraftvärmeprod!$B$1:$BX$549,MATCH(M$2,Kraftvärmeprod!$B$1:$VX$1,0),FALSE)/1,0)-IFERROR(VLOOKUP($B199,'Slutlig allokering kvv'!$B$2:$BX$549,MATCH(M$2,'Slutlig allokering kvv'!$B$1:$BX$1,0),FALSE)/1,0))</f>
        <v>0</v>
      </c>
      <c r="N199" s="121">
        <f>IF($D199="","",IFERROR(VLOOKUP($B199,Kraftvärmeprod!$B$1:$BX$549,MATCH(N$2,Kraftvärmeprod!$B$1:$VX$1,0),FALSE)/1,0)-IFERROR(VLOOKUP($B199,'Slutlig allokering kvv'!$B$2:$BX$549,MATCH(N$2,'Slutlig allokering kvv'!$B$1:$BX$1,0),FALSE)/1,0))</f>
        <v>0</v>
      </c>
      <c r="O199" s="121">
        <f>IF($D199="","",IFERROR(VLOOKUP($B199,Kraftvärmeprod!$B$1:$BX$549,MATCH(O$2,Kraftvärmeprod!$B$1:$VX$1,0),FALSE)/1,0)-IFERROR(VLOOKUP($B199,'Slutlig allokering kvv'!$B$2:$BX$549,MATCH(O$2,'Slutlig allokering kvv'!$B$1:$BX$1,0),FALSE)/1,0))</f>
        <v>22.704700000000003</v>
      </c>
      <c r="P199" s="121">
        <f>IF($D199="","",IFERROR(VLOOKUP($B199,Kraftvärmeprod!$B$1:$BX$549,MATCH(P$2,Kraftvärmeprod!$B$1:$VX$1,0),FALSE)/1,0)-IFERROR(VLOOKUP($B199,'Slutlig allokering kvv'!$B$2:$BX$549,MATCH(P$2,'Slutlig allokering kvv'!$B$1:$BX$1,0),FALSE)/1,0))</f>
        <v>0</v>
      </c>
      <c r="Q199" s="121">
        <f>IF($D199="","",IFERROR(VLOOKUP($B199,Kraftvärmeprod!$B$1:$BX$549,MATCH(Q$2,Kraftvärmeprod!$B$1:$VX$1,0),FALSE)/1,0)-IFERROR(VLOOKUP($B199,'Slutlig allokering kvv'!$B$2:$BX$549,MATCH(Q$2,'Slutlig allokering kvv'!$B$1:$BX$1,0),FALSE)/1,0))</f>
        <v>0</v>
      </c>
      <c r="R199" s="121">
        <f>IF($D199="","",IFERROR(VLOOKUP($B199,Kraftvärmeprod!$B$1:$BX$549,MATCH(R$2,Kraftvärmeprod!$B$1:$VX$1,0),FALSE)/1,0)-IFERROR(VLOOKUP($B199,'Slutlig allokering kvv'!$B$2:$BX$549,MATCH(R$2,'Slutlig allokering kvv'!$B$1:$BX$1,0),FALSE)/1,0))</f>
        <v>0</v>
      </c>
      <c r="S199" s="121">
        <f>IF($D199="","",IFERROR(VLOOKUP($B199,Kraftvärmeprod!$B$1:$BX$549,MATCH(S$2,Kraftvärmeprod!$B$1:$VX$1,0),FALSE)/1,0)-IFERROR(VLOOKUP($B199,'Slutlig allokering kvv'!$B$2:$BX$549,MATCH(S$2,'Slutlig allokering kvv'!$B$1:$BX$1,0),FALSE)/1,0))</f>
        <v>0</v>
      </c>
      <c r="T199" s="121">
        <f>IF($D199="","",IFERROR(VLOOKUP($B199,Kraftvärmeprod!$B$1:$BX$549,MATCH(T$2,Kraftvärmeprod!$B$1:$VX$1,0),FALSE)/1,0)-IFERROR(VLOOKUP($B199,'Slutlig allokering kvv'!$B$2:$BX$549,MATCH(T$2,'Slutlig allokering kvv'!$B$1:$BX$1,0),FALSE)/1,0))</f>
        <v>0</v>
      </c>
      <c r="U199" s="121">
        <f>IF($D199="","",IFERROR(VLOOKUP($B199,Kraftvärmeprod!$B$1:$BX$549,MATCH(U$2,Kraftvärmeprod!$B$1:$VX$1,0),FALSE)/1,0)-IFERROR(VLOOKUP($B199,'Slutlig allokering kvv'!$B$2:$BX$549,MATCH(U$2,'Slutlig allokering kvv'!$B$1:$BX$1,0),FALSE)/1,0))</f>
        <v>0</v>
      </c>
      <c r="V199" s="121">
        <f>IF($D199="","",IFERROR(VLOOKUP($B199,Kraftvärmeprod!$B$1:$BX$549,MATCH(V$2,Kraftvärmeprod!$B$1:$VX$1,0),FALSE)/1,0)-IFERROR(VLOOKUP($B199,'Slutlig allokering kvv'!$B$2:$BX$549,MATCH(V$2,'Slutlig allokering kvv'!$B$1:$BX$1,0),FALSE)/1,0))</f>
        <v>0</v>
      </c>
      <c r="W199" s="121">
        <f>IF($D199="","",IFERROR(VLOOKUP($B199,Kraftvärmeprod!$B$1:$BX$549,MATCH(W$2,Kraftvärmeprod!$B$1:$VX$1,0),FALSE)/1,0)-IFERROR(VLOOKUP($B199,'Slutlig allokering kvv'!$B$2:$BX$549,MATCH(W$2,'Slutlig allokering kvv'!$B$1:$BX$1,0),FALSE)/1,0))</f>
        <v>0</v>
      </c>
      <c r="X199" s="121">
        <f>IF($D199="","",IFERROR(VLOOKUP($B199,Kraftvärmeprod!$B$1:$BX$549,MATCH(X$2,Kraftvärmeprod!$B$1:$VX$1,0),FALSE)/1,0)-IFERROR(VLOOKUP($B199,'Slutlig allokering kvv'!$B$2:$BX$549,MATCH(X$2,'Slutlig allokering kvv'!$B$1:$BX$1,0),FALSE)/1,0))</f>
        <v>0</v>
      </c>
      <c r="Y199" s="121">
        <f>IF($D199="","",IFERROR(VLOOKUP($B199,Kraftvärmeprod!$B$1:$BX$549,MATCH(Y$2,Kraftvärmeprod!$B$1:$VX$1,0),FALSE)/1,0)-IFERROR(VLOOKUP($B199,'Slutlig allokering kvv'!$B$2:$BX$549,MATCH(Y$2,'Slutlig allokering kvv'!$B$1:$BX$1,0),FALSE)/1,0))</f>
        <v>0</v>
      </c>
      <c r="Z199" s="121">
        <f>IF($D199="","",IFERROR(VLOOKUP($B199,Kraftvärmeprod!$B$1:$BX$549,MATCH(Z$2,Kraftvärmeprod!$B$1:$VX$1,0),FALSE)/1,0)-IFERROR(VLOOKUP($B199,'Slutlig allokering kvv'!$B$2:$BX$549,MATCH(Z$2,'Slutlig allokering kvv'!$B$1:$BX$1,0),FALSE)/1,0))</f>
        <v>0</v>
      </c>
      <c r="AA199" s="121">
        <f>IF($D199="","",IFERROR(VLOOKUP($B199,Kraftvärmeprod!$B$1:$BX$549,MATCH(AA$2,Kraftvärmeprod!$B$1:$VX$1,0),FALSE)/1,0)-IFERROR(VLOOKUP($B199,'Slutlig allokering kvv'!$B$2:$BX$549,MATCH(AA$2,'Slutlig allokering kvv'!$B$1:$BX$1,0),FALSE)/1,0))</f>
        <v>58.707300000000018</v>
      </c>
      <c r="AB199" s="121">
        <f>IF($D199="","",IFERROR(VLOOKUP($B199,Kraftvärmeprod!$B$1:$BX$549,MATCH(AB$2,Kraftvärmeprod!$B$1:$VX$1,0),FALSE)/1,0)-IFERROR(VLOOKUP($B199,'Slutlig allokering kvv'!$B$2:$BX$549,MATCH(AB$2,'Slutlig allokering kvv'!$B$1:$BX$1,0),FALSE)/1,0))</f>
        <v>0</v>
      </c>
      <c r="AC199" s="121">
        <f>IF($D199="","",IFERROR(VLOOKUP($B199,Kraftvärmeprod!$B$1:$BX$549,MATCH(AC$2,Kraftvärmeprod!$B$1:$VX$1,0),FALSE)/1,0)-IFERROR(VLOOKUP($B199,'Slutlig allokering kvv'!$B$2:$BX$549,MATCH(AC$2,'Slutlig allokering kvv'!$B$1:$BX$1,0),FALSE)/1,0))</f>
        <v>0</v>
      </c>
      <c r="AD199" s="121">
        <f>IF($D199="","",IFERROR(VLOOKUP($B199,Kraftvärmeprod!$B$1:$BX$549,MATCH(AD$2,Kraftvärmeprod!$B$1:$VX$1,0),FALSE)/1,0)-IFERROR(VLOOKUP($B199,'Slutlig allokering kvv'!$B$2:$BX$549,MATCH(AD$2,'Slutlig allokering kvv'!$B$1:$BX$1,0),FALSE)/1,0))</f>
        <v>0</v>
      </c>
      <c r="AE199" s="121">
        <f>IF($D199="","",IFERROR(VLOOKUP($B199,Miljö!$B$1:$E$550,MATCH("Hjälpel kraftvärme (GWh)",Miljö!$B$1:$E$1,0),FALSE)/1,0)-IFERROR(VLOOKUP($B199,'Slutlig allokering kvv'!$B$2:$BX$549,MATCH(AE$2,'Slutlig allokering kvv'!$B$1:$BX$1,0),FALSE)/1,0))</f>
        <v>3.2343899999999994</v>
      </c>
      <c r="AI199" s="121">
        <f t="shared" si="12"/>
        <v>82.277960000000022</v>
      </c>
      <c r="AK199" s="121">
        <f>IFERROR(VLOOKUP($B199,'Slutlig allokering kvv'!$B$2:$AX$549,MATCH("Summa slutlig allokerad tillförd energi (utan hjälpel och rökgaskondensering):",'Slutlig allokering kvv'!$B$1:$AX$1,0),FALSE)/1,"")</f>
        <v>149.21204</v>
      </c>
      <c r="AM199" s="172">
        <f>IFERROR(1-VLOOKUP($B199,'Slutlig allokering kvv'!$B$2:$AX$549,MATCH("Andel av bränsle i kvv som allokerats till värme, exklusive rökgaskondensering och hjälpel",'Slutlig allokering kvv'!$B$1:$AX$1,0),FALSE),"")</f>
        <v>0.35542770746036545</v>
      </c>
      <c r="AO199" s="172">
        <f t="shared" si="13"/>
        <v>0.35542770746036556</v>
      </c>
      <c r="AP199" s="173">
        <f t="shared" si="14"/>
        <v>-1.1102230246251565E-16</v>
      </c>
      <c r="AR199" s="172">
        <f t="shared" si="15"/>
        <v>0.34380998768014198</v>
      </c>
    </row>
    <row r="200" spans="1:44" x14ac:dyDescent="0.25">
      <c r="A200" s="171" t="str">
        <f>'Miljövärden för publ företag'!B202</f>
        <v>Nässjö Affärsverk AB</v>
      </c>
      <c r="B200" s="171" t="str">
        <f>'Miljövärden för publ företag'!C202</f>
        <v>Anneberg</v>
      </c>
      <c r="C200" s="121" t="str">
        <f>IFERROR(VLOOKUP($B200,Kraftvärmeprod!$B$1:$AH$478,MATCH(C$2,Kraftvärmeprod!$B$1:$AG$1,0),FALSE)/1,"")</f>
        <v/>
      </c>
      <c r="D200" s="121" t="str">
        <f>IFERROR(VLOOKUP($B200,Kraftvärmeprod!$B$1:$AH$478,MATCH(D$2,Kraftvärmeprod!$B$1:$AG$1,0),FALSE)/1,"")</f>
        <v/>
      </c>
      <c r="F200" s="121" t="str">
        <f>IF($D200="","",IFERROR(VLOOKUP($B200,Kraftvärmeprod!$B$1:$BX$549,MATCH(F$2,Kraftvärmeprod!$B$1:$VX$1,0),FALSE)/1,0)-IFERROR(VLOOKUP($B200,'Slutlig allokering kvv'!$B$2:$BX$549,MATCH(F$2,'Slutlig allokering kvv'!$B$1:$BX$1,0),FALSE)/1,0))</f>
        <v/>
      </c>
      <c r="G200" s="121" t="str">
        <f>IF($D200="","",IFERROR(VLOOKUP($B200,Kraftvärmeprod!$B$1:$BX$549,MATCH(G$2,Kraftvärmeprod!$B$1:$VX$1,0),FALSE)/1,0)-IFERROR(VLOOKUP($B200,'Slutlig allokering kvv'!$B$2:$BX$549,MATCH(G$2,'Slutlig allokering kvv'!$B$1:$BX$1,0),FALSE)/1,0))</f>
        <v/>
      </c>
      <c r="H200" s="121" t="str">
        <f>IF($D200="","",IFERROR(VLOOKUP($B200,Kraftvärmeprod!$B$1:$BX$549,MATCH(H$2,Kraftvärmeprod!$B$1:$VX$1,0),FALSE)/1,0)-IFERROR(VLOOKUP($B200,'Slutlig allokering kvv'!$B$2:$BX$549,MATCH(H$2,'Slutlig allokering kvv'!$B$1:$BX$1,0),FALSE)/1,0))</f>
        <v/>
      </c>
      <c r="I200" s="121" t="str">
        <f>IF($D200="","",IFERROR(VLOOKUP($B200,Kraftvärmeprod!$B$1:$BX$549,MATCH(I$2,Kraftvärmeprod!$B$1:$VX$1,0),FALSE)/1,0)-IFERROR(VLOOKUP($B200,'Slutlig allokering kvv'!$B$2:$BX$549,MATCH(I$2,'Slutlig allokering kvv'!$B$1:$BX$1,0),FALSE)/1,0))</f>
        <v/>
      </c>
      <c r="J200" s="121" t="str">
        <f>IF($D200="","",IFERROR(VLOOKUP($B200,Kraftvärmeprod!$B$1:$BX$549,MATCH(J$2,Kraftvärmeprod!$B$1:$VX$1,0),FALSE)/1,0)-IFERROR(VLOOKUP($B200,'Slutlig allokering kvv'!$B$2:$BX$549,MATCH(J$2,'Slutlig allokering kvv'!$B$1:$BX$1,0),FALSE)/1,0))</f>
        <v/>
      </c>
      <c r="K200" s="121" t="str">
        <f>IF($D200="","",IFERROR(VLOOKUP($B200,Kraftvärmeprod!$B$1:$BX$549,MATCH(K$2,Kraftvärmeprod!$B$1:$VX$1,0),FALSE)/1,0)-IFERROR(VLOOKUP($B200,'Slutlig allokering kvv'!$B$2:$BX$549,MATCH(K$2,'Slutlig allokering kvv'!$B$1:$BX$1,0),FALSE)/1,0))</f>
        <v/>
      </c>
      <c r="L200" s="121" t="str">
        <f>IF($D200="","",IFERROR(VLOOKUP($B200,Kraftvärmeprod!$B$1:$BX$549,MATCH(L$2,Kraftvärmeprod!$B$1:$VX$1,0),FALSE)/1,0)-IFERROR(VLOOKUP($B200,'Slutlig allokering kvv'!$B$2:$BX$549,MATCH(L$2,'Slutlig allokering kvv'!$B$1:$BX$1,0),FALSE)/1,0))</f>
        <v/>
      </c>
      <c r="M200" s="121" t="str">
        <f>IF($D200="","",IFERROR(VLOOKUP($B200,Kraftvärmeprod!$B$1:$BX$549,MATCH(M$2,Kraftvärmeprod!$B$1:$VX$1,0),FALSE)/1,0)-IFERROR(VLOOKUP($B200,'Slutlig allokering kvv'!$B$2:$BX$549,MATCH(M$2,'Slutlig allokering kvv'!$B$1:$BX$1,0),FALSE)/1,0))</f>
        <v/>
      </c>
      <c r="N200" s="121" t="str">
        <f>IF($D200="","",IFERROR(VLOOKUP($B200,Kraftvärmeprod!$B$1:$BX$549,MATCH(N$2,Kraftvärmeprod!$B$1:$VX$1,0),FALSE)/1,0)-IFERROR(VLOOKUP($B200,'Slutlig allokering kvv'!$B$2:$BX$549,MATCH(N$2,'Slutlig allokering kvv'!$B$1:$BX$1,0),FALSE)/1,0))</f>
        <v/>
      </c>
      <c r="O200" s="121" t="str">
        <f>IF($D200="","",IFERROR(VLOOKUP($B200,Kraftvärmeprod!$B$1:$BX$549,MATCH(O$2,Kraftvärmeprod!$B$1:$VX$1,0),FALSE)/1,0)-IFERROR(VLOOKUP($B200,'Slutlig allokering kvv'!$B$2:$BX$549,MATCH(O$2,'Slutlig allokering kvv'!$B$1:$BX$1,0),FALSE)/1,0))</f>
        <v/>
      </c>
      <c r="P200" s="121" t="str">
        <f>IF($D200="","",IFERROR(VLOOKUP($B200,Kraftvärmeprod!$B$1:$BX$549,MATCH(P$2,Kraftvärmeprod!$B$1:$VX$1,0),FALSE)/1,0)-IFERROR(VLOOKUP($B200,'Slutlig allokering kvv'!$B$2:$BX$549,MATCH(P$2,'Slutlig allokering kvv'!$B$1:$BX$1,0),FALSE)/1,0))</f>
        <v/>
      </c>
      <c r="Q200" s="121" t="str">
        <f>IF($D200="","",IFERROR(VLOOKUP($B200,Kraftvärmeprod!$B$1:$BX$549,MATCH(Q$2,Kraftvärmeprod!$B$1:$VX$1,0),FALSE)/1,0)-IFERROR(VLOOKUP($B200,'Slutlig allokering kvv'!$B$2:$BX$549,MATCH(Q$2,'Slutlig allokering kvv'!$B$1:$BX$1,0),FALSE)/1,0))</f>
        <v/>
      </c>
      <c r="R200" s="121" t="str">
        <f>IF($D200="","",IFERROR(VLOOKUP($B200,Kraftvärmeprod!$B$1:$BX$549,MATCH(R$2,Kraftvärmeprod!$B$1:$VX$1,0),FALSE)/1,0)-IFERROR(VLOOKUP($B200,'Slutlig allokering kvv'!$B$2:$BX$549,MATCH(R$2,'Slutlig allokering kvv'!$B$1:$BX$1,0),FALSE)/1,0))</f>
        <v/>
      </c>
      <c r="S200" s="121" t="str">
        <f>IF($D200="","",IFERROR(VLOOKUP($B200,Kraftvärmeprod!$B$1:$BX$549,MATCH(S$2,Kraftvärmeprod!$B$1:$VX$1,0),FALSE)/1,0)-IFERROR(VLOOKUP($B200,'Slutlig allokering kvv'!$B$2:$BX$549,MATCH(S$2,'Slutlig allokering kvv'!$B$1:$BX$1,0),FALSE)/1,0))</f>
        <v/>
      </c>
      <c r="T200" s="121" t="str">
        <f>IF($D200="","",IFERROR(VLOOKUP($B200,Kraftvärmeprod!$B$1:$BX$549,MATCH(T$2,Kraftvärmeprod!$B$1:$VX$1,0),FALSE)/1,0)-IFERROR(VLOOKUP($B200,'Slutlig allokering kvv'!$B$2:$BX$549,MATCH(T$2,'Slutlig allokering kvv'!$B$1:$BX$1,0),FALSE)/1,0))</f>
        <v/>
      </c>
      <c r="U200" s="121" t="str">
        <f>IF($D200="","",IFERROR(VLOOKUP($B200,Kraftvärmeprod!$B$1:$BX$549,MATCH(U$2,Kraftvärmeprod!$B$1:$VX$1,0),FALSE)/1,0)-IFERROR(VLOOKUP($B200,'Slutlig allokering kvv'!$B$2:$BX$549,MATCH(U$2,'Slutlig allokering kvv'!$B$1:$BX$1,0),FALSE)/1,0))</f>
        <v/>
      </c>
      <c r="V200" s="121" t="str">
        <f>IF($D200="","",IFERROR(VLOOKUP($B200,Kraftvärmeprod!$B$1:$BX$549,MATCH(V$2,Kraftvärmeprod!$B$1:$VX$1,0),FALSE)/1,0)-IFERROR(VLOOKUP($B200,'Slutlig allokering kvv'!$B$2:$BX$549,MATCH(V$2,'Slutlig allokering kvv'!$B$1:$BX$1,0),FALSE)/1,0))</f>
        <v/>
      </c>
      <c r="W200" s="121" t="str">
        <f>IF($D200="","",IFERROR(VLOOKUP($B200,Kraftvärmeprod!$B$1:$BX$549,MATCH(W$2,Kraftvärmeprod!$B$1:$VX$1,0),FALSE)/1,0)-IFERROR(VLOOKUP($B200,'Slutlig allokering kvv'!$B$2:$BX$549,MATCH(W$2,'Slutlig allokering kvv'!$B$1:$BX$1,0),FALSE)/1,0))</f>
        <v/>
      </c>
      <c r="X200" s="121" t="str">
        <f>IF($D200="","",IFERROR(VLOOKUP($B200,Kraftvärmeprod!$B$1:$BX$549,MATCH(X$2,Kraftvärmeprod!$B$1:$VX$1,0),FALSE)/1,0)-IFERROR(VLOOKUP($B200,'Slutlig allokering kvv'!$B$2:$BX$549,MATCH(X$2,'Slutlig allokering kvv'!$B$1:$BX$1,0),FALSE)/1,0))</f>
        <v/>
      </c>
      <c r="Y200" s="121" t="str">
        <f>IF($D200="","",IFERROR(VLOOKUP($B200,Kraftvärmeprod!$B$1:$BX$549,MATCH(Y$2,Kraftvärmeprod!$B$1:$VX$1,0),FALSE)/1,0)-IFERROR(VLOOKUP($B200,'Slutlig allokering kvv'!$B$2:$BX$549,MATCH(Y$2,'Slutlig allokering kvv'!$B$1:$BX$1,0),FALSE)/1,0))</f>
        <v/>
      </c>
      <c r="Z200" s="121" t="str">
        <f>IF($D200="","",IFERROR(VLOOKUP($B200,Kraftvärmeprod!$B$1:$BX$549,MATCH(Z$2,Kraftvärmeprod!$B$1:$VX$1,0),FALSE)/1,0)-IFERROR(VLOOKUP($B200,'Slutlig allokering kvv'!$B$2:$BX$549,MATCH(Z$2,'Slutlig allokering kvv'!$B$1:$BX$1,0),FALSE)/1,0))</f>
        <v/>
      </c>
      <c r="AA200" s="121" t="str">
        <f>IF($D200="","",IFERROR(VLOOKUP($B200,Kraftvärmeprod!$B$1:$BX$549,MATCH(AA$2,Kraftvärmeprod!$B$1:$VX$1,0),FALSE)/1,0)-IFERROR(VLOOKUP($B200,'Slutlig allokering kvv'!$B$2:$BX$549,MATCH(AA$2,'Slutlig allokering kvv'!$B$1:$BX$1,0),FALSE)/1,0))</f>
        <v/>
      </c>
      <c r="AB200" s="121" t="str">
        <f>IF($D200="","",IFERROR(VLOOKUP($B200,Kraftvärmeprod!$B$1:$BX$549,MATCH(AB$2,Kraftvärmeprod!$B$1:$VX$1,0),FALSE)/1,0)-IFERROR(VLOOKUP($B200,'Slutlig allokering kvv'!$B$2:$BX$549,MATCH(AB$2,'Slutlig allokering kvv'!$B$1:$BX$1,0),FALSE)/1,0))</f>
        <v/>
      </c>
      <c r="AC200" s="121" t="str">
        <f>IF($D200="","",IFERROR(VLOOKUP($B200,Kraftvärmeprod!$B$1:$BX$549,MATCH(AC$2,Kraftvärmeprod!$B$1:$VX$1,0),FALSE)/1,0)-IFERROR(VLOOKUP($B200,'Slutlig allokering kvv'!$B$2:$BX$549,MATCH(AC$2,'Slutlig allokering kvv'!$B$1:$BX$1,0),FALSE)/1,0))</f>
        <v/>
      </c>
      <c r="AD200" s="121" t="str">
        <f>IF($D200="","",IFERROR(VLOOKUP($B200,Kraftvärmeprod!$B$1:$BX$549,MATCH(AD$2,Kraftvärmeprod!$B$1:$VX$1,0),FALSE)/1,0)-IFERROR(VLOOKUP($B200,'Slutlig allokering kvv'!$B$2:$BX$549,MATCH(AD$2,'Slutlig allokering kvv'!$B$1:$BX$1,0),FALSE)/1,0))</f>
        <v/>
      </c>
      <c r="AE200" s="121" t="str">
        <f>IF($D200="","",IFERROR(VLOOKUP($B200,Miljö!$B$1:$E$550,MATCH("Hjälpel kraftvärme (GWh)",Miljö!$B$1:$E$1,0),FALSE)/1,0)-IFERROR(VLOOKUP($B200,'Slutlig allokering kvv'!$B$2:$BX$549,MATCH(AE$2,'Slutlig allokering kvv'!$B$1:$BX$1,0),FALSE)/1,0))</f>
        <v/>
      </c>
      <c r="AI200" s="121">
        <f t="shared" si="12"/>
        <v>0</v>
      </c>
      <c r="AK200" s="121">
        <f>IFERROR(VLOOKUP($B200,'Slutlig allokering kvv'!$B$2:$AX$549,MATCH("Summa slutlig allokerad tillförd energi (utan hjälpel och rökgaskondensering):",'Slutlig allokering kvv'!$B$1:$AX$1,0),FALSE)/1,"")</f>
        <v>0</v>
      </c>
      <c r="AM200" s="172" t="str">
        <f>IFERROR(1-VLOOKUP($B200,'Slutlig allokering kvv'!$B$2:$AX$549,MATCH("Andel av bränsle i kvv som allokerats till värme, exklusive rökgaskondensering och hjälpel",'Slutlig allokering kvv'!$B$1:$AX$1,0),FALSE),"")</f>
        <v/>
      </c>
      <c r="AO200" s="172" t="str">
        <f t="shared" si="13"/>
        <v/>
      </c>
      <c r="AP200" s="173" t="str">
        <f t="shared" si="14"/>
        <v/>
      </c>
      <c r="AR200" s="172" t="str">
        <f t="shared" si="15"/>
        <v/>
      </c>
    </row>
    <row r="201" spans="1:44" x14ac:dyDescent="0.25">
      <c r="A201" s="171" t="str">
        <f>'Miljövärden för publ företag'!B203</f>
        <v>Nässjö Affärsverk AB</v>
      </c>
      <c r="B201" s="171" t="str">
        <f>'Miljövärden för publ företag'!C203</f>
        <v>Bodafors</v>
      </c>
      <c r="C201" s="121" t="str">
        <f>IFERROR(VLOOKUP($B201,Kraftvärmeprod!$B$1:$AH$478,MATCH(C$2,Kraftvärmeprod!$B$1:$AG$1,0),FALSE)/1,"")</f>
        <v/>
      </c>
      <c r="D201" s="121" t="str">
        <f>IFERROR(VLOOKUP($B201,Kraftvärmeprod!$B$1:$AH$478,MATCH(D$2,Kraftvärmeprod!$B$1:$AG$1,0),FALSE)/1,"")</f>
        <v/>
      </c>
      <c r="F201" s="121" t="str">
        <f>IF($D201="","",IFERROR(VLOOKUP($B201,Kraftvärmeprod!$B$1:$BX$549,MATCH(F$2,Kraftvärmeprod!$B$1:$VX$1,0),FALSE)/1,0)-IFERROR(VLOOKUP($B201,'Slutlig allokering kvv'!$B$2:$BX$549,MATCH(F$2,'Slutlig allokering kvv'!$B$1:$BX$1,0),FALSE)/1,0))</f>
        <v/>
      </c>
      <c r="G201" s="121" t="str">
        <f>IF($D201="","",IFERROR(VLOOKUP($B201,Kraftvärmeprod!$B$1:$BX$549,MATCH(G$2,Kraftvärmeprod!$B$1:$VX$1,0),FALSE)/1,0)-IFERROR(VLOOKUP($B201,'Slutlig allokering kvv'!$B$2:$BX$549,MATCH(G$2,'Slutlig allokering kvv'!$B$1:$BX$1,0),FALSE)/1,0))</f>
        <v/>
      </c>
      <c r="H201" s="121" t="str">
        <f>IF($D201="","",IFERROR(VLOOKUP($B201,Kraftvärmeprod!$B$1:$BX$549,MATCH(H$2,Kraftvärmeprod!$B$1:$VX$1,0),FALSE)/1,0)-IFERROR(VLOOKUP($B201,'Slutlig allokering kvv'!$B$2:$BX$549,MATCH(H$2,'Slutlig allokering kvv'!$B$1:$BX$1,0),FALSE)/1,0))</f>
        <v/>
      </c>
      <c r="I201" s="121" t="str">
        <f>IF($D201="","",IFERROR(VLOOKUP($B201,Kraftvärmeprod!$B$1:$BX$549,MATCH(I$2,Kraftvärmeprod!$B$1:$VX$1,0),FALSE)/1,0)-IFERROR(VLOOKUP($B201,'Slutlig allokering kvv'!$B$2:$BX$549,MATCH(I$2,'Slutlig allokering kvv'!$B$1:$BX$1,0),FALSE)/1,0))</f>
        <v/>
      </c>
      <c r="J201" s="121" t="str">
        <f>IF($D201="","",IFERROR(VLOOKUP($B201,Kraftvärmeprod!$B$1:$BX$549,MATCH(J$2,Kraftvärmeprod!$B$1:$VX$1,0),FALSE)/1,0)-IFERROR(VLOOKUP($B201,'Slutlig allokering kvv'!$B$2:$BX$549,MATCH(J$2,'Slutlig allokering kvv'!$B$1:$BX$1,0),FALSE)/1,0))</f>
        <v/>
      </c>
      <c r="K201" s="121" t="str">
        <f>IF($D201="","",IFERROR(VLOOKUP($B201,Kraftvärmeprod!$B$1:$BX$549,MATCH(K$2,Kraftvärmeprod!$B$1:$VX$1,0),FALSE)/1,0)-IFERROR(VLOOKUP($B201,'Slutlig allokering kvv'!$B$2:$BX$549,MATCH(K$2,'Slutlig allokering kvv'!$B$1:$BX$1,0),FALSE)/1,0))</f>
        <v/>
      </c>
      <c r="L201" s="121" t="str">
        <f>IF($D201="","",IFERROR(VLOOKUP($B201,Kraftvärmeprod!$B$1:$BX$549,MATCH(L$2,Kraftvärmeprod!$B$1:$VX$1,0),FALSE)/1,0)-IFERROR(VLOOKUP($B201,'Slutlig allokering kvv'!$B$2:$BX$549,MATCH(L$2,'Slutlig allokering kvv'!$B$1:$BX$1,0),FALSE)/1,0))</f>
        <v/>
      </c>
      <c r="M201" s="121" t="str">
        <f>IF($D201="","",IFERROR(VLOOKUP($B201,Kraftvärmeprod!$B$1:$BX$549,MATCH(M$2,Kraftvärmeprod!$B$1:$VX$1,0),FALSE)/1,0)-IFERROR(VLOOKUP($B201,'Slutlig allokering kvv'!$B$2:$BX$549,MATCH(M$2,'Slutlig allokering kvv'!$B$1:$BX$1,0),FALSE)/1,0))</f>
        <v/>
      </c>
      <c r="N201" s="121" t="str">
        <f>IF($D201="","",IFERROR(VLOOKUP($B201,Kraftvärmeprod!$B$1:$BX$549,MATCH(N$2,Kraftvärmeprod!$B$1:$VX$1,0),FALSE)/1,0)-IFERROR(VLOOKUP($B201,'Slutlig allokering kvv'!$B$2:$BX$549,MATCH(N$2,'Slutlig allokering kvv'!$B$1:$BX$1,0),FALSE)/1,0))</f>
        <v/>
      </c>
      <c r="O201" s="121" t="str">
        <f>IF($D201="","",IFERROR(VLOOKUP($B201,Kraftvärmeprod!$B$1:$BX$549,MATCH(O$2,Kraftvärmeprod!$B$1:$VX$1,0),FALSE)/1,0)-IFERROR(VLOOKUP($B201,'Slutlig allokering kvv'!$B$2:$BX$549,MATCH(O$2,'Slutlig allokering kvv'!$B$1:$BX$1,0),FALSE)/1,0))</f>
        <v/>
      </c>
      <c r="P201" s="121" t="str">
        <f>IF($D201="","",IFERROR(VLOOKUP($B201,Kraftvärmeprod!$B$1:$BX$549,MATCH(P$2,Kraftvärmeprod!$B$1:$VX$1,0),FALSE)/1,0)-IFERROR(VLOOKUP($B201,'Slutlig allokering kvv'!$B$2:$BX$549,MATCH(P$2,'Slutlig allokering kvv'!$B$1:$BX$1,0),FALSE)/1,0))</f>
        <v/>
      </c>
      <c r="Q201" s="121" t="str">
        <f>IF($D201="","",IFERROR(VLOOKUP($B201,Kraftvärmeprod!$B$1:$BX$549,MATCH(Q$2,Kraftvärmeprod!$B$1:$VX$1,0),FALSE)/1,0)-IFERROR(VLOOKUP($B201,'Slutlig allokering kvv'!$B$2:$BX$549,MATCH(Q$2,'Slutlig allokering kvv'!$B$1:$BX$1,0),FALSE)/1,0))</f>
        <v/>
      </c>
      <c r="R201" s="121" t="str">
        <f>IF($D201="","",IFERROR(VLOOKUP($B201,Kraftvärmeprod!$B$1:$BX$549,MATCH(R$2,Kraftvärmeprod!$B$1:$VX$1,0),FALSE)/1,0)-IFERROR(VLOOKUP($B201,'Slutlig allokering kvv'!$B$2:$BX$549,MATCH(R$2,'Slutlig allokering kvv'!$B$1:$BX$1,0),FALSE)/1,0))</f>
        <v/>
      </c>
      <c r="S201" s="121" t="str">
        <f>IF($D201="","",IFERROR(VLOOKUP($B201,Kraftvärmeprod!$B$1:$BX$549,MATCH(S$2,Kraftvärmeprod!$B$1:$VX$1,0),FALSE)/1,0)-IFERROR(VLOOKUP($B201,'Slutlig allokering kvv'!$B$2:$BX$549,MATCH(S$2,'Slutlig allokering kvv'!$B$1:$BX$1,0),FALSE)/1,0))</f>
        <v/>
      </c>
      <c r="T201" s="121" t="str">
        <f>IF($D201="","",IFERROR(VLOOKUP($B201,Kraftvärmeprod!$B$1:$BX$549,MATCH(T$2,Kraftvärmeprod!$B$1:$VX$1,0),FALSE)/1,0)-IFERROR(VLOOKUP($B201,'Slutlig allokering kvv'!$B$2:$BX$549,MATCH(T$2,'Slutlig allokering kvv'!$B$1:$BX$1,0),FALSE)/1,0))</f>
        <v/>
      </c>
      <c r="U201" s="121" t="str">
        <f>IF($D201="","",IFERROR(VLOOKUP($B201,Kraftvärmeprod!$B$1:$BX$549,MATCH(U$2,Kraftvärmeprod!$B$1:$VX$1,0),FALSE)/1,0)-IFERROR(VLOOKUP($B201,'Slutlig allokering kvv'!$B$2:$BX$549,MATCH(U$2,'Slutlig allokering kvv'!$B$1:$BX$1,0),FALSE)/1,0))</f>
        <v/>
      </c>
      <c r="V201" s="121" t="str">
        <f>IF($D201="","",IFERROR(VLOOKUP($B201,Kraftvärmeprod!$B$1:$BX$549,MATCH(V$2,Kraftvärmeprod!$B$1:$VX$1,0),FALSE)/1,0)-IFERROR(VLOOKUP($B201,'Slutlig allokering kvv'!$B$2:$BX$549,MATCH(V$2,'Slutlig allokering kvv'!$B$1:$BX$1,0),FALSE)/1,0))</f>
        <v/>
      </c>
      <c r="W201" s="121" t="str">
        <f>IF($D201="","",IFERROR(VLOOKUP($B201,Kraftvärmeprod!$B$1:$BX$549,MATCH(W$2,Kraftvärmeprod!$B$1:$VX$1,0),FALSE)/1,0)-IFERROR(VLOOKUP($B201,'Slutlig allokering kvv'!$B$2:$BX$549,MATCH(W$2,'Slutlig allokering kvv'!$B$1:$BX$1,0),FALSE)/1,0))</f>
        <v/>
      </c>
      <c r="X201" s="121" t="str">
        <f>IF($D201="","",IFERROR(VLOOKUP($B201,Kraftvärmeprod!$B$1:$BX$549,MATCH(X$2,Kraftvärmeprod!$B$1:$VX$1,0),FALSE)/1,0)-IFERROR(VLOOKUP($B201,'Slutlig allokering kvv'!$B$2:$BX$549,MATCH(X$2,'Slutlig allokering kvv'!$B$1:$BX$1,0),FALSE)/1,0))</f>
        <v/>
      </c>
      <c r="Y201" s="121" t="str">
        <f>IF($D201="","",IFERROR(VLOOKUP($B201,Kraftvärmeprod!$B$1:$BX$549,MATCH(Y$2,Kraftvärmeprod!$B$1:$VX$1,0),FALSE)/1,0)-IFERROR(VLOOKUP($B201,'Slutlig allokering kvv'!$B$2:$BX$549,MATCH(Y$2,'Slutlig allokering kvv'!$B$1:$BX$1,0),FALSE)/1,0))</f>
        <v/>
      </c>
      <c r="Z201" s="121" t="str">
        <f>IF($D201="","",IFERROR(VLOOKUP($B201,Kraftvärmeprod!$B$1:$BX$549,MATCH(Z$2,Kraftvärmeprod!$B$1:$VX$1,0),FALSE)/1,0)-IFERROR(VLOOKUP($B201,'Slutlig allokering kvv'!$B$2:$BX$549,MATCH(Z$2,'Slutlig allokering kvv'!$B$1:$BX$1,0),FALSE)/1,0))</f>
        <v/>
      </c>
      <c r="AA201" s="121" t="str">
        <f>IF($D201="","",IFERROR(VLOOKUP($B201,Kraftvärmeprod!$B$1:$BX$549,MATCH(AA$2,Kraftvärmeprod!$B$1:$VX$1,0),FALSE)/1,0)-IFERROR(VLOOKUP($B201,'Slutlig allokering kvv'!$B$2:$BX$549,MATCH(AA$2,'Slutlig allokering kvv'!$B$1:$BX$1,0),FALSE)/1,0))</f>
        <v/>
      </c>
      <c r="AB201" s="121" t="str">
        <f>IF($D201="","",IFERROR(VLOOKUP($B201,Kraftvärmeprod!$B$1:$BX$549,MATCH(AB$2,Kraftvärmeprod!$B$1:$VX$1,0),FALSE)/1,0)-IFERROR(VLOOKUP($B201,'Slutlig allokering kvv'!$B$2:$BX$549,MATCH(AB$2,'Slutlig allokering kvv'!$B$1:$BX$1,0),FALSE)/1,0))</f>
        <v/>
      </c>
      <c r="AC201" s="121" t="str">
        <f>IF($D201="","",IFERROR(VLOOKUP($B201,Kraftvärmeprod!$B$1:$BX$549,MATCH(AC$2,Kraftvärmeprod!$B$1:$VX$1,0),FALSE)/1,0)-IFERROR(VLOOKUP($B201,'Slutlig allokering kvv'!$B$2:$BX$549,MATCH(AC$2,'Slutlig allokering kvv'!$B$1:$BX$1,0),FALSE)/1,0))</f>
        <v/>
      </c>
      <c r="AD201" s="121" t="str">
        <f>IF($D201="","",IFERROR(VLOOKUP($B201,Kraftvärmeprod!$B$1:$BX$549,MATCH(AD$2,Kraftvärmeprod!$B$1:$VX$1,0),FALSE)/1,0)-IFERROR(VLOOKUP($B201,'Slutlig allokering kvv'!$B$2:$BX$549,MATCH(AD$2,'Slutlig allokering kvv'!$B$1:$BX$1,0),FALSE)/1,0))</f>
        <v/>
      </c>
      <c r="AE201" s="121" t="str">
        <f>IF($D201="","",IFERROR(VLOOKUP($B201,Miljö!$B$1:$E$550,MATCH("Hjälpel kraftvärme (GWh)",Miljö!$B$1:$E$1,0),FALSE)/1,0)-IFERROR(VLOOKUP($B201,'Slutlig allokering kvv'!$B$2:$BX$549,MATCH(AE$2,'Slutlig allokering kvv'!$B$1:$BX$1,0),FALSE)/1,0))</f>
        <v/>
      </c>
      <c r="AI201" s="121">
        <f t="shared" si="12"/>
        <v>0</v>
      </c>
      <c r="AK201" s="121">
        <f>IFERROR(VLOOKUP($B201,'Slutlig allokering kvv'!$B$2:$AX$549,MATCH("Summa slutlig allokerad tillförd energi (utan hjälpel och rökgaskondensering):",'Slutlig allokering kvv'!$B$1:$AX$1,0),FALSE)/1,"")</f>
        <v>0</v>
      </c>
      <c r="AM201" s="172" t="str">
        <f>IFERROR(1-VLOOKUP($B201,'Slutlig allokering kvv'!$B$2:$AX$549,MATCH("Andel av bränsle i kvv som allokerats till värme, exklusive rökgaskondensering och hjälpel",'Slutlig allokering kvv'!$B$1:$AX$1,0),FALSE),"")</f>
        <v/>
      </c>
      <c r="AO201" s="172" t="str">
        <f t="shared" si="13"/>
        <v/>
      </c>
      <c r="AP201" s="173" t="str">
        <f t="shared" si="14"/>
        <v/>
      </c>
      <c r="AR201" s="172" t="str">
        <f t="shared" si="15"/>
        <v/>
      </c>
    </row>
    <row r="202" spans="1:44" x14ac:dyDescent="0.25">
      <c r="A202" s="171" t="str">
        <f>'Miljövärden för publ företag'!B204</f>
        <v>Nässjö Affärsverk AB</v>
      </c>
      <c r="B202" s="171" t="str">
        <f>'Miljövärden för publ företag'!C204</f>
        <v>Nässjö</v>
      </c>
      <c r="C202" s="121">
        <f>IFERROR(VLOOKUP($B202,Kraftvärmeprod!$B$1:$AH$478,MATCH(C$2,Kraftvärmeprod!$B$1:$AG$1,0),FALSE)/1,"")</f>
        <v>93.77</v>
      </c>
      <c r="D202" s="121">
        <f>IFERROR(VLOOKUP($B202,Kraftvärmeprod!$B$1:$AH$478,MATCH(D$2,Kraftvärmeprod!$B$1:$AG$1,0),FALSE)/1,"")</f>
        <v>24.99</v>
      </c>
      <c r="F202" s="121">
        <f>IF($D202="","",IFERROR(VLOOKUP($B202,Kraftvärmeprod!$B$1:$BX$549,MATCH(F$2,Kraftvärmeprod!$B$1:$VX$1,0),FALSE)/1,0)-IFERROR(VLOOKUP($B202,'Slutlig allokering kvv'!$B$2:$BX$549,MATCH(F$2,'Slutlig allokering kvv'!$B$1:$BX$1,0),FALSE)/1,0))</f>
        <v>0</v>
      </c>
      <c r="G202" s="121">
        <f>IF($D202="","",IFERROR(VLOOKUP($B202,Kraftvärmeprod!$B$1:$BX$549,MATCH(G$2,Kraftvärmeprod!$B$1:$VX$1,0),FALSE)/1,0)-IFERROR(VLOOKUP($B202,'Slutlig allokering kvv'!$B$2:$BX$549,MATCH(G$2,'Slutlig allokering kvv'!$B$1:$BX$1,0),FALSE)/1,0))</f>
        <v>0</v>
      </c>
      <c r="H202" s="121">
        <f>IF($D202="","",IFERROR(VLOOKUP($B202,Kraftvärmeprod!$B$1:$BX$549,MATCH(H$2,Kraftvärmeprod!$B$1:$VX$1,0),FALSE)/1,0)-IFERROR(VLOOKUP($B202,'Slutlig allokering kvv'!$B$2:$BX$549,MATCH(H$2,'Slutlig allokering kvv'!$B$1:$BX$1,0),FALSE)/1,0))</f>
        <v>0</v>
      </c>
      <c r="I202" s="121">
        <f>IF($D202="","",IFERROR(VLOOKUP($B202,Kraftvärmeprod!$B$1:$BX$549,MATCH(I$2,Kraftvärmeprod!$B$1:$VX$1,0),FALSE)/1,0)-IFERROR(VLOOKUP($B202,'Slutlig allokering kvv'!$B$2:$BX$549,MATCH(I$2,'Slutlig allokering kvv'!$B$1:$BX$1,0),FALSE)/1,0))</f>
        <v>0</v>
      </c>
      <c r="J202" s="121">
        <f>IF($D202="","",IFERROR(VLOOKUP($B202,Kraftvärmeprod!$B$1:$BX$549,MATCH(J$2,Kraftvärmeprod!$B$1:$VX$1,0),FALSE)/1,0)-IFERROR(VLOOKUP($B202,'Slutlig allokering kvv'!$B$2:$BX$549,MATCH(J$2,'Slutlig allokering kvv'!$B$1:$BX$1,0),FALSE)/1,0))</f>
        <v>0</v>
      </c>
      <c r="K202" s="121">
        <f>IF($D202="","",IFERROR(VLOOKUP($B202,Kraftvärmeprod!$B$1:$BX$549,MATCH(K$2,Kraftvärmeprod!$B$1:$VX$1,0),FALSE)/1,0)-IFERROR(VLOOKUP($B202,'Slutlig allokering kvv'!$B$2:$BX$549,MATCH(K$2,'Slutlig allokering kvv'!$B$1:$BX$1,0),FALSE)/1,0))</f>
        <v>0</v>
      </c>
      <c r="L202" s="121">
        <f>IF($D202="","",IFERROR(VLOOKUP($B202,Kraftvärmeprod!$B$1:$BX$549,MATCH(L$2,Kraftvärmeprod!$B$1:$VX$1,0),FALSE)/1,0)-IFERROR(VLOOKUP($B202,'Slutlig allokering kvv'!$B$2:$BX$549,MATCH(L$2,'Slutlig allokering kvv'!$B$1:$BX$1,0),FALSE)/1,0))</f>
        <v>58.375599999999991</v>
      </c>
      <c r="M202" s="121">
        <f>IF($D202="","",IFERROR(VLOOKUP($B202,Kraftvärmeprod!$B$1:$BX$549,MATCH(M$2,Kraftvärmeprod!$B$1:$VX$1,0),FALSE)/1,0)-IFERROR(VLOOKUP($B202,'Slutlig allokering kvv'!$B$2:$BX$549,MATCH(M$2,'Slutlig allokering kvv'!$B$1:$BX$1,0),FALSE)/1,0))</f>
        <v>0</v>
      </c>
      <c r="N202" s="121">
        <f>IF($D202="","",IFERROR(VLOOKUP($B202,Kraftvärmeprod!$B$1:$BX$549,MATCH(N$2,Kraftvärmeprod!$B$1:$VX$1,0),FALSE)/1,0)-IFERROR(VLOOKUP($B202,'Slutlig allokering kvv'!$B$2:$BX$549,MATCH(N$2,'Slutlig allokering kvv'!$B$1:$BX$1,0),FALSE)/1,0))</f>
        <v>0</v>
      </c>
      <c r="O202" s="121">
        <f>IF($D202="","",IFERROR(VLOOKUP($B202,Kraftvärmeprod!$B$1:$BX$549,MATCH(O$2,Kraftvärmeprod!$B$1:$VX$1,0),FALSE)/1,0)-IFERROR(VLOOKUP($B202,'Slutlig allokering kvv'!$B$2:$BX$549,MATCH(O$2,'Slutlig allokering kvv'!$B$1:$BX$1,0),FALSE)/1,0))</f>
        <v>0</v>
      </c>
      <c r="P202" s="121">
        <f>IF($D202="","",IFERROR(VLOOKUP($B202,Kraftvärmeprod!$B$1:$BX$549,MATCH(P$2,Kraftvärmeprod!$B$1:$VX$1,0),FALSE)/1,0)-IFERROR(VLOOKUP($B202,'Slutlig allokering kvv'!$B$2:$BX$549,MATCH(P$2,'Slutlig allokering kvv'!$B$1:$BX$1,0),FALSE)/1,0))</f>
        <v>0</v>
      </c>
      <c r="Q202" s="121">
        <f>IF($D202="","",IFERROR(VLOOKUP($B202,Kraftvärmeprod!$B$1:$BX$549,MATCH(Q$2,Kraftvärmeprod!$B$1:$VX$1,0),FALSE)/1,0)-IFERROR(VLOOKUP($B202,'Slutlig allokering kvv'!$B$2:$BX$549,MATCH(Q$2,'Slutlig allokering kvv'!$B$1:$BX$1,0),FALSE)/1,0))</f>
        <v>0</v>
      </c>
      <c r="R202" s="121">
        <f>IF($D202="","",IFERROR(VLOOKUP($B202,Kraftvärmeprod!$B$1:$BX$549,MATCH(R$2,Kraftvärmeprod!$B$1:$VX$1,0),FALSE)/1,0)-IFERROR(VLOOKUP($B202,'Slutlig allokering kvv'!$B$2:$BX$549,MATCH(R$2,'Slutlig allokering kvv'!$B$1:$BX$1,0),FALSE)/1,0))</f>
        <v>0</v>
      </c>
      <c r="S202" s="121">
        <f>IF($D202="","",IFERROR(VLOOKUP($B202,Kraftvärmeprod!$B$1:$BX$549,MATCH(S$2,Kraftvärmeprod!$B$1:$VX$1,0),FALSE)/1,0)-IFERROR(VLOOKUP($B202,'Slutlig allokering kvv'!$B$2:$BX$549,MATCH(S$2,'Slutlig allokering kvv'!$B$1:$BX$1,0),FALSE)/1,0))</f>
        <v>0</v>
      </c>
      <c r="T202" s="121">
        <f>IF($D202="","",IFERROR(VLOOKUP($B202,Kraftvärmeprod!$B$1:$BX$549,MATCH(T$2,Kraftvärmeprod!$B$1:$VX$1,0),FALSE)/1,0)-IFERROR(VLOOKUP($B202,'Slutlig allokering kvv'!$B$2:$BX$549,MATCH(T$2,'Slutlig allokering kvv'!$B$1:$BX$1,0),FALSE)/1,0))</f>
        <v>0</v>
      </c>
      <c r="U202" s="121">
        <f>IF($D202="","",IFERROR(VLOOKUP($B202,Kraftvärmeprod!$B$1:$BX$549,MATCH(U$2,Kraftvärmeprod!$B$1:$VX$1,0),FALSE)/1,0)-IFERROR(VLOOKUP($B202,'Slutlig allokering kvv'!$B$2:$BX$549,MATCH(U$2,'Slutlig allokering kvv'!$B$1:$BX$1,0),FALSE)/1,0))</f>
        <v>0</v>
      </c>
      <c r="V202" s="121">
        <f>IF($D202="","",IFERROR(VLOOKUP($B202,Kraftvärmeprod!$B$1:$BX$549,MATCH(V$2,Kraftvärmeprod!$B$1:$VX$1,0),FALSE)/1,0)-IFERROR(VLOOKUP($B202,'Slutlig allokering kvv'!$B$2:$BX$549,MATCH(V$2,'Slutlig allokering kvv'!$B$1:$BX$1,0),FALSE)/1,0))</f>
        <v>0</v>
      </c>
      <c r="W202" s="121">
        <f>IF($D202="","",IFERROR(VLOOKUP($B202,Kraftvärmeprod!$B$1:$BX$549,MATCH(W$2,Kraftvärmeprod!$B$1:$VX$1,0),FALSE)/1,0)-IFERROR(VLOOKUP($B202,'Slutlig allokering kvv'!$B$2:$BX$549,MATCH(W$2,'Slutlig allokering kvv'!$B$1:$BX$1,0),FALSE)/1,0))</f>
        <v>0</v>
      </c>
      <c r="X202" s="121">
        <f>IF($D202="","",IFERROR(VLOOKUP($B202,Kraftvärmeprod!$B$1:$BX$549,MATCH(X$2,Kraftvärmeprod!$B$1:$VX$1,0),FALSE)/1,0)-IFERROR(VLOOKUP($B202,'Slutlig allokering kvv'!$B$2:$BX$549,MATCH(X$2,'Slutlig allokering kvv'!$B$1:$BX$1,0),FALSE)/1,0))</f>
        <v>0</v>
      </c>
      <c r="Y202" s="121">
        <f>IF($D202="","",IFERROR(VLOOKUP($B202,Kraftvärmeprod!$B$1:$BX$549,MATCH(Y$2,Kraftvärmeprod!$B$1:$VX$1,0),FALSE)/1,0)-IFERROR(VLOOKUP($B202,'Slutlig allokering kvv'!$B$2:$BX$549,MATCH(Y$2,'Slutlig allokering kvv'!$B$1:$BX$1,0),FALSE)/1,0))</f>
        <v>0</v>
      </c>
      <c r="Z202" s="121">
        <f>IF($D202="","",IFERROR(VLOOKUP($B202,Kraftvärmeprod!$B$1:$BX$549,MATCH(Z$2,Kraftvärmeprod!$B$1:$VX$1,0),FALSE)/1,0)-IFERROR(VLOOKUP($B202,'Slutlig allokering kvv'!$B$2:$BX$549,MATCH(Z$2,'Slutlig allokering kvv'!$B$1:$BX$1,0),FALSE)/1,0))</f>
        <v>0</v>
      </c>
      <c r="AA202" s="121">
        <f>IF($D202="","",IFERROR(VLOOKUP($B202,Kraftvärmeprod!$B$1:$BX$549,MATCH(AA$2,Kraftvärmeprod!$B$1:$VX$1,0),FALSE)/1,0)-IFERROR(VLOOKUP($B202,'Slutlig allokering kvv'!$B$2:$BX$549,MATCH(AA$2,'Slutlig allokering kvv'!$B$1:$BX$1,0),FALSE)/1,0))</f>
        <v>0</v>
      </c>
      <c r="AB202" s="121">
        <f>IF($D202="","",IFERROR(VLOOKUP($B202,Kraftvärmeprod!$B$1:$BX$549,MATCH(AB$2,Kraftvärmeprod!$B$1:$VX$1,0),FALSE)/1,0)-IFERROR(VLOOKUP($B202,'Slutlig allokering kvv'!$B$2:$BX$549,MATCH(AB$2,'Slutlig allokering kvv'!$B$1:$BX$1,0),FALSE)/1,0))</f>
        <v>0</v>
      </c>
      <c r="AC202" s="121">
        <f>IF($D202="","",IFERROR(VLOOKUP($B202,Kraftvärmeprod!$B$1:$BX$549,MATCH(AC$2,Kraftvärmeprod!$B$1:$VX$1,0),FALSE)/1,0)-IFERROR(VLOOKUP($B202,'Slutlig allokering kvv'!$B$2:$BX$549,MATCH(AC$2,'Slutlig allokering kvv'!$B$1:$BX$1,0),FALSE)/1,0))</f>
        <v>0</v>
      </c>
      <c r="AD202" s="121">
        <f>IF($D202="","",IFERROR(VLOOKUP($B202,Kraftvärmeprod!$B$1:$BX$549,MATCH(AD$2,Kraftvärmeprod!$B$1:$VX$1,0),FALSE)/1,0)-IFERROR(VLOOKUP($B202,'Slutlig allokering kvv'!$B$2:$BX$549,MATCH(AD$2,'Slutlig allokering kvv'!$B$1:$BX$1,0),FALSE)/1,0))</f>
        <v>0</v>
      </c>
      <c r="AE202" s="121">
        <f>IF($D202="","",IFERROR(VLOOKUP($B202,Miljö!$B$1:$E$550,MATCH("Hjälpel kraftvärme (GWh)",Miljö!$B$1:$E$1,0),FALSE)/1,0)-IFERROR(VLOOKUP($B202,'Slutlig allokering kvv'!$B$2:$BX$549,MATCH(AE$2,'Slutlig allokering kvv'!$B$1:$BX$1,0),FALSE)/1,0))</f>
        <v>1.3115600000000003</v>
      </c>
      <c r="AI202" s="121">
        <f t="shared" si="12"/>
        <v>58.375599999999991</v>
      </c>
      <c r="AK202" s="121">
        <f>IFERROR(VLOOKUP($B202,'Slutlig allokering kvv'!$B$2:$AX$549,MATCH("Summa slutlig allokerad tillförd energi (utan hjälpel och rökgaskondensering):",'Slutlig allokering kvv'!$B$1:$AX$1,0),FALSE)/1,"")</f>
        <v>84.051400000000001</v>
      </c>
      <c r="AM202" s="172">
        <f>IFERROR(1-VLOOKUP($B202,'Slutlig allokering kvv'!$B$2:$AX$549,MATCH("Andel av bränsle i kvv som allokerats till värme, exklusive rökgaskondensering och hjälpel",'Slutlig allokering kvv'!$B$1:$AX$1,0),FALSE),"")</f>
        <v>0.40986329839145663</v>
      </c>
      <c r="AO202" s="172">
        <f t="shared" si="13"/>
        <v>0.40986329839145663</v>
      </c>
      <c r="AP202" s="173">
        <f t="shared" si="14"/>
        <v>0</v>
      </c>
      <c r="AR202" s="172">
        <f t="shared" si="15"/>
        <v>0.41868301323098639</v>
      </c>
    </row>
    <row r="203" spans="1:44" x14ac:dyDescent="0.25">
      <c r="A203" s="171" t="str">
        <f>'Miljövärden för publ företag'!B205</f>
        <v>Olofströms Kraft AB</v>
      </c>
      <c r="B203" s="171" t="str">
        <f>'Miljövärden för publ företag'!C205</f>
        <v>Olofström</v>
      </c>
      <c r="C203" s="121" t="str">
        <f>IFERROR(VLOOKUP($B203,Kraftvärmeprod!$B$1:$AH$478,MATCH(C$2,Kraftvärmeprod!$B$1:$AG$1,0),FALSE)/1,"")</f>
        <v/>
      </c>
      <c r="D203" s="121" t="str">
        <f>IFERROR(VLOOKUP($B203,Kraftvärmeprod!$B$1:$AH$478,MATCH(D$2,Kraftvärmeprod!$B$1:$AG$1,0),FALSE)/1,"")</f>
        <v/>
      </c>
      <c r="F203" s="121" t="str">
        <f>IF($D203="","",IFERROR(VLOOKUP($B203,Kraftvärmeprod!$B$1:$BX$549,MATCH(F$2,Kraftvärmeprod!$B$1:$VX$1,0),FALSE)/1,0)-IFERROR(VLOOKUP($B203,'Slutlig allokering kvv'!$B$2:$BX$549,MATCH(F$2,'Slutlig allokering kvv'!$B$1:$BX$1,0),FALSE)/1,0))</f>
        <v/>
      </c>
      <c r="G203" s="121" t="str">
        <f>IF($D203="","",IFERROR(VLOOKUP($B203,Kraftvärmeprod!$B$1:$BX$549,MATCH(G$2,Kraftvärmeprod!$B$1:$VX$1,0),FALSE)/1,0)-IFERROR(VLOOKUP($B203,'Slutlig allokering kvv'!$B$2:$BX$549,MATCH(G$2,'Slutlig allokering kvv'!$B$1:$BX$1,0),FALSE)/1,0))</f>
        <v/>
      </c>
      <c r="H203" s="121" t="str">
        <f>IF($D203="","",IFERROR(VLOOKUP($B203,Kraftvärmeprod!$B$1:$BX$549,MATCH(H$2,Kraftvärmeprod!$B$1:$VX$1,0),FALSE)/1,0)-IFERROR(VLOOKUP($B203,'Slutlig allokering kvv'!$B$2:$BX$549,MATCH(H$2,'Slutlig allokering kvv'!$B$1:$BX$1,0),FALSE)/1,0))</f>
        <v/>
      </c>
      <c r="I203" s="121" t="str">
        <f>IF($D203="","",IFERROR(VLOOKUP($B203,Kraftvärmeprod!$B$1:$BX$549,MATCH(I$2,Kraftvärmeprod!$B$1:$VX$1,0),FALSE)/1,0)-IFERROR(VLOOKUP($B203,'Slutlig allokering kvv'!$B$2:$BX$549,MATCH(I$2,'Slutlig allokering kvv'!$B$1:$BX$1,0),FALSE)/1,0))</f>
        <v/>
      </c>
      <c r="J203" s="121" t="str">
        <f>IF($D203="","",IFERROR(VLOOKUP($B203,Kraftvärmeprod!$B$1:$BX$549,MATCH(J$2,Kraftvärmeprod!$B$1:$VX$1,0),FALSE)/1,0)-IFERROR(VLOOKUP($B203,'Slutlig allokering kvv'!$B$2:$BX$549,MATCH(J$2,'Slutlig allokering kvv'!$B$1:$BX$1,0),FALSE)/1,0))</f>
        <v/>
      </c>
      <c r="K203" s="121" t="str">
        <f>IF($D203="","",IFERROR(VLOOKUP($B203,Kraftvärmeprod!$B$1:$BX$549,MATCH(K$2,Kraftvärmeprod!$B$1:$VX$1,0),FALSE)/1,0)-IFERROR(VLOOKUP($B203,'Slutlig allokering kvv'!$B$2:$BX$549,MATCH(K$2,'Slutlig allokering kvv'!$B$1:$BX$1,0),FALSE)/1,0))</f>
        <v/>
      </c>
      <c r="L203" s="121" t="str">
        <f>IF($D203="","",IFERROR(VLOOKUP($B203,Kraftvärmeprod!$B$1:$BX$549,MATCH(L$2,Kraftvärmeprod!$B$1:$VX$1,0),FALSE)/1,0)-IFERROR(VLOOKUP($B203,'Slutlig allokering kvv'!$B$2:$BX$549,MATCH(L$2,'Slutlig allokering kvv'!$B$1:$BX$1,0),FALSE)/1,0))</f>
        <v/>
      </c>
      <c r="M203" s="121" t="str">
        <f>IF($D203="","",IFERROR(VLOOKUP($B203,Kraftvärmeprod!$B$1:$BX$549,MATCH(M$2,Kraftvärmeprod!$B$1:$VX$1,0),FALSE)/1,0)-IFERROR(VLOOKUP($B203,'Slutlig allokering kvv'!$B$2:$BX$549,MATCH(M$2,'Slutlig allokering kvv'!$B$1:$BX$1,0),FALSE)/1,0))</f>
        <v/>
      </c>
      <c r="N203" s="121" t="str">
        <f>IF($D203="","",IFERROR(VLOOKUP($B203,Kraftvärmeprod!$B$1:$BX$549,MATCH(N$2,Kraftvärmeprod!$B$1:$VX$1,0),FALSE)/1,0)-IFERROR(VLOOKUP($B203,'Slutlig allokering kvv'!$B$2:$BX$549,MATCH(N$2,'Slutlig allokering kvv'!$B$1:$BX$1,0),FALSE)/1,0))</f>
        <v/>
      </c>
      <c r="O203" s="121" t="str">
        <f>IF($D203="","",IFERROR(VLOOKUP($B203,Kraftvärmeprod!$B$1:$BX$549,MATCH(O$2,Kraftvärmeprod!$B$1:$VX$1,0),FALSE)/1,0)-IFERROR(VLOOKUP($B203,'Slutlig allokering kvv'!$B$2:$BX$549,MATCH(O$2,'Slutlig allokering kvv'!$B$1:$BX$1,0),FALSE)/1,0))</f>
        <v/>
      </c>
      <c r="P203" s="121" t="str">
        <f>IF($D203="","",IFERROR(VLOOKUP($B203,Kraftvärmeprod!$B$1:$BX$549,MATCH(P$2,Kraftvärmeprod!$B$1:$VX$1,0),FALSE)/1,0)-IFERROR(VLOOKUP($B203,'Slutlig allokering kvv'!$B$2:$BX$549,MATCH(P$2,'Slutlig allokering kvv'!$B$1:$BX$1,0),FALSE)/1,0))</f>
        <v/>
      </c>
      <c r="Q203" s="121" t="str">
        <f>IF($D203="","",IFERROR(VLOOKUP($B203,Kraftvärmeprod!$B$1:$BX$549,MATCH(Q$2,Kraftvärmeprod!$B$1:$VX$1,0),FALSE)/1,0)-IFERROR(VLOOKUP($B203,'Slutlig allokering kvv'!$B$2:$BX$549,MATCH(Q$2,'Slutlig allokering kvv'!$B$1:$BX$1,0),FALSE)/1,0))</f>
        <v/>
      </c>
      <c r="R203" s="121" t="str">
        <f>IF($D203="","",IFERROR(VLOOKUP($B203,Kraftvärmeprod!$B$1:$BX$549,MATCH(R$2,Kraftvärmeprod!$B$1:$VX$1,0),FALSE)/1,0)-IFERROR(VLOOKUP($B203,'Slutlig allokering kvv'!$B$2:$BX$549,MATCH(R$2,'Slutlig allokering kvv'!$B$1:$BX$1,0),FALSE)/1,0))</f>
        <v/>
      </c>
      <c r="S203" s="121" t="str">
        <f>IF($D203="","",IFERROR(VLOOKUP($B203,Kraftvärmeprod!$B$1:$BX$549,MATCH(S$2,Kraftvärmeprod!$B$1:$VX$1,0),FALSE)/1,0)-IFERROR(VLOOKUP($B203,'Slutlig allokering kvv'!$B$2:$BX$549,MATCH(S$2,'Slutlig allokering kvv'!$B$1:$BX$1,0),FALSE)/1,0))</f>
        <v/>
      </c>
      <c r="T203" s="121" t="str">
        <f>IF($D203="","",IFERROR(VLOOKUP($B203,Kraftvärmeprod!$B$1:$BX$549,MATCH(T$2,Kraftvärmeprod!$B$1:$VX$1,0),FALSE)/1,0)-IFERROR(VLOOKUP($B203,'Slutlig allokering kvv'!$B$2:$BX$549,MATCH(T$2,'Slutlig allokering kvv'!$B$1:$BX$1,0),FALSE)/1,0))</f>
        <v/>
      </c>
      <c r="U203" s="121" t="str">
        <f>IF($D203="","",IFERROR(VLOOKUP($B203,Kraftvärmeprod!$B$1:$BX$549,MATCH(U$2,Kraftvärmeprod!$B$1:$VX$1,0),FALSE)/1,0)-IFERROR(VLOOKUP($B203,'Slutlig allokering kvv'!$B$2:$BX$549,MATCH(U$2,'Slutlig allokering kvv'!$B$1:$BX$1,0),FALSE)/1,0))</f>
        <v/>
      </c>
      <c r="V203" s="121" t="str">
        <f>IF($D203="","",IFERROR(VLOOKUP($B203,Kraftvärmeprod!$B$1:$BX$549,MATCH(V$2,Kraftvärmeprod!$B$1:$VX$1,0),FALSE)/1,0)-IFERROR(VLOOKUP($B203,'Slutlig allokering kvv'!$B$2:$BX$549,MATCH(V$2,'Slutlig allokering kvv'!$B$1:$BX$1,0),FALSE)/1,0))</f>
        <v/>
      </c>
      <c r="W203" s="121" t="str">
        <f>IF($D203="","",IFERROR(VLOOKUP($B203,Kraftvärmeprod!$B$1:$BX$549,MATCH(W$2,Kraftvärmeprod!$B$1:$VX$1,0),FALSE)/1,0)-IFERROR(VLOOKUP($B203,'Slutlig allokering kvv'!$B$2:$BX$549,MATCH(W$2,'Slutlig allokering kvv'!$B$1:$BX$1,0),FALSE)/1,0))</f>
        <v/>
      </c>
      <c r="X203" s="121" t="str">
        <f>IF($D203="","",IFERROR(VLOOKUP($B203,Kraftvärmeprod!$B$1:$BX$549,MATCH(X$2,Kraftvärmeprod!$B$1:$VX$1,0),FALSE)/1,0)-IFERROR(VLOOKUP($B203,'Slutlig allokering kvv'!$B$2:$BX$549,MATCH(X$2,'Slutlig allokering kvv'!$B$1:$BX$1,0),FALSE)/1,0))</f>
        <v/>
      </c>
      <c r="Y203" s="121" t="str">
        <f>IF($D203="","",IFERROR(VLOOKUP($B203,Kraftvärmeprod!$B$1:$BX$549,MATCH(Y$2,Kraftvärmeprod!$B$1:$VX$1,0),FALSE)/1,0)-IFERROR(VLOOKUP($B203,'Slutlig allokering kvv'!$B$2:$BX$549,MATCH(Y$2,'Slutlig allokering kvv'!$B$1:$BX$1,0),FALSE)/1,0))</f>
        <v/>
      </c>
      <c r="Z203" s="121" t="str">
        <f>IF($D203="","",IFERROR(VLOOKUP($B203,Kraftvärmeprod!$B$1:$BX$549,MATCH(Z$2,Kraftvärmeprod!$B$1:$VX$1,0),FALSE)/1,0)-IFERROR(VLOOKUP($B203,'Slutlig allokering kvv'!$B$2:$BX$549,MATCH(Z$2,'Slutlig allokering kvv'!$B$1:$BX$1,0),FALSE)/1,0))</f>
        <v/>
      </c>
      <c r="AA203" s="121" t="str">
        <f>IF($D203="","",IFERROR(VLOOKUP($B203,Kraftvärmeprod!$B$1:$BX$549,MATCH(AA$2,Kraftvärmeprod!$B$1:$VX$1,0),FALSE)/1,0)-IFERROR(VLOOKUP($B203,'Slutlig allokering kvv'!$B$2:$BX$549,MATCH(AA$2,'Slutlig allokering kvv'!$B$1:$BX$1,0),FALSE)/1,0))</f>
        <v/>
      </c>
      <c r="AB203" s="121" t="str">
        <f>IF($D203="","",IFERROR(VLOOKUP($B203,Kraftvärmeprod!$B$1:$BX$549,MATCH(AB$2,Kraftvärmeprod!$B$1:$VX$1,0),FALSE)/1,0)-IFERROR(VLOOKUP($B203,'Slutlig allokering kvv'!$B$2:$BX$549,MATCH(AB$2,'Slutlig allokering kvv'!$B$1:$BX$1,0),FALSE)/1,0))</f>
        <v/>
      </c>
      <c r="AC203" s="121" t="str">
        <f>IF($D203="","",IFERROR(VLOOKUP($B203,Kraftvärmeprod!$B$1:$BX$549,MATCH(AC$2,Kraftvärmeprod!$B$1:$VX$1,0),FALSE)/1,0)-IFERROR(VLOOKUP($B203,'Slutlig allokering kvv'!$B$2:$BX$549,MATCH(AC$2,'Slutlig allokering kvv'!$B$1:$BX$1,0),FALSE)/1,0))</f>
        <v/>
      </c>
      <c r="AD203" s="121" t="str">
        <f>IF($D203="","",IFERROR(VLOOKUP($B203,Kraftvärmeprod!$B$1:$BX$549,MATCH(AD$2,Kraftvärmeprod!$B$1:$VX$1,0),FALSE)/1,0)-IFERROR(VLOOKUP($B203,'Slutlig allokering kvv'!$B$2:$BX$549,MATCH(AD$2,'Slutlig allokering kvv'!$B$1:$BX$1,0),FALSE)/1,0))</f>
        <v/>
      </c>
      <c r="AE203" s="121" t="str">
        <f>IF($D203="","",IFERROR(VLOOKUP($B203,Miljö!$B$1:$E$550,MATCH("Hjälpel kraftvärme (GWh)",Miljö!$B$1:$E$1,0),FALSE)/1,0)-IFERROR(VLOOKUP($B203,'Slutlig allokering kvv'!$B$2:$BX$549,MATCH(AE$2,'Slutlig allokering kvv'!$B$1:$BX$1,0),FALSE)/1,0))</f>
        <v/>
      </c>
      <c r="AI203" s="121">
        <f t="shared" si="12"/>
        <v>0</v>
      </c>
      <c r="AK203" s="121">
        <f>IFERROR(VLOOKUP($B203,'Slutlig allokering kvv'!$B$2:$AX$549,MATCH("Summa slutlig allokerad tillförd energi (utan hjälpel och rökgaskondensering):",'Slutlig allokering kvv'!$B$1:$AX$1,0),FALSE)/1,"")</f>
        <v>0</v>
      </c>
      <c r="AM203" s="172" t="str">
        <f>IFERROR(1-VLOOKUP($B203,'Slutlig allokering kvv'!$B$2:$AX$549,MATCH("Andel av bränsle i kvv som allokerats till värme, exklusive rökgaskondensering och hjälpel",'Slutlig allokering kvv'!$B$1:$AX$1,0),FALSE),"")</f>
        <v/>
      </c>
      <c r="AO203" s="172" t="str">
        <f t="shared" si="13"/>
        <v/>
      </c>
      <c r="AP203" s="173" t="str">
        <f t="shared" si="14"/>
        <v/>
      </c>
      <c r="AR203" s="172" t="str">
        <f t="shared" si="15"/>
        <v/>
      </c>
    </row>
    <row r="204" spans="1:44" x14ac:dyDescent="0.25">
      <c r="A204" s="171" t="str">
        <f>'Miljövärden för publ företag'!B206</f>
        <v>Oskarshamn Energi AB</v>
      </c>
      <c r="B204" s="171" t="str">
        <f>'Miljövärden för publ företag'!C206</f>
        <v>Oskarshamn</v>
      </c>
      <c r="C204" s="121">
        <f>IFERROR(VLOOKUP($B204,Kraftvärmeprod!$B$1:$AH$478,MATCH(C$2,Kraftvärmeprod!$B$1:$AG$1,0),FALSE)/1,"")</f>
        <v>99.8</v>
      </c>
      <c r="D204" s="121">
        <f>IFERROR(VLOOKUP($B204,Kraftvärmeprod!$B$1:$AH$478,MATCH(D$2,Kraftvärmeprod!$B$1:$AG$1,0),FALSE)/1,"")</f>
        <v>12.8</v>
      </c>
      <c r="F204" s="121">
        <f>IF($D204="","",IFERROR(VLOOKUP($B204,Kraftvärmeprod!$B$1:$BX$549,MATCH(F$2,Kraftvärmeprod!$B$1:$VX$1,0),FALSE)/1,0)-IFERROR(VLOOKUP($B204,'Slutlig allokering kvv'!$B$2:$BX$549,MATCH(F$2,'Slutlig allokering kvv'!$B$1:$BX$1,0),FALSE)/1,0))</f>
        <v>0</v>
      </c>
      <c r="G204" s="121">
        <f>IF($D204="","",IFERROR(VLOOKUP($B204,Kraftvärmeprod!$B$1:$BX$549,MATCH(G$2,Kraftvärmeprod!$B$1:$VX$1,0),FALSE)/1,0)-IFERROR(VLOOKUP($B204,'Slutlig allokering kvv'!$B$2:$BX$549,MATCH(G$2,'Slutlig allokering kvv'!$B$1:$BX$1,0),FALSE)/1,0))</f>
        <v>0</v>
      </c>
      <c r="H204" s="121">
        <f>IF($D204="","",IFERROR(VLOOKUP($B204,Kraftvärmeprod!$B$1:$BX$549,MATCH(H$2,Kraftvärmeprod!$B$1:$VX$1,0),FALSE)/1,0)-IFERROR(VLOOKUP($B204,'Slutlig allokering kvv'!$B$2:$BX$549,MATCH(H$2,'Slutlig allokering kvv'!$B$1:$BX$1,0),FALSE)/1,0))</f>
        <v>0</v>
      </c>
      <c r="I204" s="121">
        <f>IF($D204="","",IFERROR(VLOOKUP($B204,Kraftvärmeprod!$B$1:$BX$549,MATCH(I$2,Kraftvärmeprod!$B$1:$VX$1,0),FALSE)/1,0)-IFERROR(VLOOKUP($B204,'Slutlig allokering kvv'!$B$2:$BX$549,MATCH(I$2,'Slutlig allokering kvv'!$B$1:$BX$1,0),FALSE)/1,0))</f>
        <v>0</v>
      </c>
      <c r="J204" s="121">
        <f>IF($D204="","",IFERROR(VLOOKUP($B204,Kraftvärmeprod!$B$1:$BX$549,MATCH(J$2,Kraftvärmeprod!$B$1:$VX$1,0),FALSE)/1,0)-IFERROR(VLOOKUP($B204,'Slutlig allokering kvv'!$B$2:$BX$549,MATCH(J$2,'Slutlig allokering kvv'!$B$1:$BX$1,0),FALSE)/1,0))</f>
        <v>0</v>
      </c>
      <c r="K204" s="121">
        <f>IF($D204="","",IFERROR(VLOOKUP($B204,Kraftvärmeprod!$B$1:$BX$549,MATCH(K$2,Kraftvärmeprod!$B$1:$VX$1,0),FALSE)/1,0)-IFERROR(VLOOKUP($B204,'Slutlig allokering kvv'!$B$2:$BX$549,MATCH(K$2,'Slutlig allokering kvv'!$B$1:$BX$1,0),FALSE)/1,0))</f>
        <v>0</v>
      </c>
      <c r="L204" s="121">
        <f>IF($D204="","",IFERROR(VLOOKUP($B204,Kraftvärmeprod!$B$1:$BX$549,MATCH(L$2,Kraftvärmeprod!$B$1:$VX$1,0),FALSE)/1,0)-IFERROR(VLOOKUP($B204,'Slutlig allokering kvv'!$B$2:$BX$549,MATCH(L$2,'Slutlig allokering kvv'!$B$1:$BX$1,0),FALSE)/1,0))</f>
        <v>10.947400000000002</v>
      </c>
      <c r="M204" s="121">
        <f>IF($D204="","",IFERROR(VLOOKUP($B204,Kraftvärmeprod!$B$1:$BX$549,MATCH(M$2,Kraftvärmeprod!$B$1:$VX$1,0),FALSE)/1,0)-IFERROR(VLOOKUP($B204,'Slutlig allokering kvv'!$B$2:$BX$549,MATCH(M$2,'Slutlig allokering kvv'!$B$1:$BX$1,0),FALSE)/1,0))</f>
        <v>10.5215</v>
      </c>
      <c r="N204" s="121">
        <f>IF($D204="","",IFERROR(VLOOKUP($B204,Kraftvärmeprod!$B$1:$BX$549,MATCH(N$2,Kraftvärmeprod!$B$1:$VX$1,0),FALSE)/1,0)-IFERROR(VLOOKUP($B204,'Slutlig allokering kvv'!$B$2:$BX$549,MATCH(N$2,'Slutlig allokering kvv'!$B$1:$BX$1,0),FALSE)/1,0))</f>
        <v>5.3859999999999992</v>
      </c>
      <c r="O204" s="121">
        <f>IF($D204="","",IFERROR(VLOOKUP($B204,Kraftvärmeprod!$B$1:$BX$549,MATCH(O$2,Kraftvärmeprod!$B$1:$VX$1,0),FALSE)/1,0)-IFERROR(VLOOKUP($B204,'Slutlig allokering kvv'!$B$2:$BX$549,MATCH(O$2,'Slutlig allokering kvv'!$B$1:$BX$1,0),FALSE)/1,0))</f>
        <v>1.6784300000000005</v>
      </c>
      <c r="P204" s="121">
        <f>IF($D204="","",IFERROR(VLOOKUP($B204,Kraftvärmeprod!$B$1:$BX$549,MATCH(P$2,Kraftvärmeprod!$B$1:$VX$1,0),FALSE)/1,0)-IFERROR(VLOOKUP($B204,'Slutlig allokering kvv'!$B$2:$BX$549,MATCH(P$2,'Slutlig allokering kvv'!$B$1:$BX$1,0),FALSE)/1,0))</f>
        <v>0</v>
      </c>
      <c r="Q204" s="121">
        <f>IF($D204="","",IFERROR(VLOOKUP($B204,Kraftvärmeprod!$B$1:$BX$549,MATCH(Q$2,Kraftvärmeprod!$B$1:$VX$1,0),FALSE)/1,0)-IFERROR(VLOOKUP($B204,'Slutlig allokering kvv'!$B$2:$BX$549,MATCH(Q$2,'Slutlig allokering kvv'!$B$1:$BX$1,0),FALSE)/1,0))</f>
        <v>0</v>
      </c>
      <c r="R204" s="121">
        <f>IF($D204="","",IFERROR(VLOOKUP($B204,Kraftvärmeprod!$B$1:$BX$549,MATCH(R$2,Kraftvärmeprod!$B$1:$VX$1,0),FALSE)/1,0)-IFERROR(VLOOKUP($B204,'Slutlig allokering kvv'!$B$2:$BX$549,MATCH(R$2,'Slutlig allokering kvv'!$B$1:$BX$1,0),FALSE)/1,0))</f>
        <v>0</v>
      </c>
      <c r="S204" s="121">
        <f>IF($D204="","",IFERROR(VLOOKUP($B204,Kraftvärmeprod!$B$1:$BX$549,MATCH(S$2,Kraftvärmeprod!$B$1:$VX$1,0),FALSE)/1,0)-IFERROR(VLOOKUP($B204,'Slutlig allokering kvv'!$B$2:$BX$549,MATCH(S$2,'Slutlig allokering kvv'!$B$1:$BX$1,0),FALSE)/1,0))</f>
        <v>0</v>
      </c>
      <c r="T204" s="121">
        <f>IF($D204="","",IFERROR(VLOOKUP($B204,Kraftvärmeprod!$B$1:$BX$549,MATCH(T$2,Kraftvärmeprod!$B$1:$VX$1,0),FALSE)/1,0)-IFERROR(VLOOKUP($B204,'Slutlig allokering kvv'!$B$2:$BX$549,MATCH(T$2,'Slutlig allokering kvv'!$B$1:$BX$1,0),FALSE)/1,0))</f>
        <v>0</v>
      </c>
      <c r="U204" s="121">
        <f>IF($D204="","",IFERROR(VLOOKUP($B204,Kraftvärmeprod!$B$1:$BX$549,MATCH(U$2,Kraftvärmeprod!$B$1:$VX$1,0),FALSE)/1,0)-IFERROR(VLOOKUP($B204,'Slutlig allokering kvv'!$B$2:$BX$549,MATCH(U$2,'Slutlig allokering kvv'!$B$1:$BX$1,0),FALSE)/1,0))</f>
        <v>0</v>
      </c>
      <c r="V204" s="121">
        <f>IF($D204="","",IFERROR(VLOOKUP($B204,Kraftvärmeprod!$B$1:$BX$549,MATCH(V$2,Kraftvärmeprod!$B$1:$VX$1,0),FALSE)/1,0)-IFERROR(VLOOKUP($B204,'Slutlig allokering kvv'!$B$2:$BX$549,MATCH(V$2,'Slutlig allokering kvv'!$B$1:$BX$1,0),FALSE)/1,0))</f>
        <v>0</v>
      </c>
      <c r="W204" s="121">
        <f>IF($D204="","",IFERROR(VLOOKUP($B204,Kraftvärmeprod!$B$1:$BX$549,MATCH(W$2,Kraftvärmeprod!$B$1:$VX$1,0),FALSE)/1,0)-IFERROR(VLOOKUP($B204,'Slutlig allokering kvv'!$B$2:$BX$549,MATCH(W$2,'Slutlig allokering kvv'!$B$1:$BX$1,0),FALSE)/1,0))</f>
        <v>0</v>
      </c>
      <c r="X204" s="121">
        <f>IF($D204="","",IFERROR(VLOOKUP($B204,Kraftvärmeprod!$B$1:$BX$549,MATCH(X$2,Kraftvärmeprod!$B$1:$VX$1,0),FALSE)/1,0)-IFERROR(VLOOKUP($B204,'Slutlig allokering kvv'!$B$2:$BX$549,MATCH(X$2,'Slutlig allokering kvv'!$B$1:$BX$1,0),FALSE)/1,0))</f>
        <v>0</v>
      </c>
      <c r="Y204" s="121">
        <f>IF($D204="","",IFERROR(VLOOKUP($B204,Kraftvärmeprod!$B$1:$BX$549,MATCH(Y$2,Kraftvärmeprod!$B$1:$VX$1,0),FALSE)/1,0)-IFERROR(VLOOKUP($B204,'Slutlig allokering kvv'!$B$2:$BX$549,MATCH(Y$2,'Slutlig allokering kvv'!$B$1:$BX$1,0),FALSE)/1,0))</f>
        <v>0</v>
      </c>
      <c r="Z204" s="121">
        <f>IF($D204="","",IFERROR(VLOOKUP($B204,Kraftvärmeprod!$B$1:$BX$549,MATCH(Z$2,Kraftvärmeprod!$B$1:$VX$1,0),FALSE)/1,0)-IFERROR(VLOOKUP($B204,'Slutlig allokering kvv'!$B$2:$BX$549,MATCH(Z$2,'Slutlig allokering kvv'!$B$1:$BX$1,0),FALSE)/1,0))</f>
        <v>0</v>
      </c>
      <c r="AA204" s="121">
        <f>IF($D204="","",IFERROR(VLOOKUP($B204,Kraftvärmeprod!$B$1:$BX$549,MATCH(AA$2,Kraftvärmeprod!$B$1:$VX$1,0),FALSE)/1,0)-IFERROR(VLOOKUP($B204,'Slutlig allokering kvv'!$B$2:$BX$549,MATCH(AA$2,'Slutlig allokering kvv'!$B$1:$BX$1,0),FALSE)/1,0))</f>
        <v>0</v>
      </c>
      <c r="AB204" s="121">
        <f>IF($D204="","",IFERROR(VLOOKUP($B204,Kraftvärmeprod!$B$1:$BX$549,MATCH(AB$2,Kraftvärmeprod!$B$1:$VX$1,0),FALSE)/1,0)-IFERROR(VLOOKUP($B204,'Slutlig allokering kvv'!$B$2:$BX$549,MATCH(AB$2,'Slutlig allokering kvv'!$B$1:$BX$1,0),FALSE)/1,0))</f>
        <v>0</v>
      </c>
      <c r="AC204" s="121">
        <f>IF($D204="","",IFERROR(VLOOKUP($B204,Kraftvärmeprod!$B$1:$BX$549,MATCH(AC$2,Kraftvärmeprod!$B$1:$VX$1,0),FALSE)/1,0)-IFERROR(VLOOKUP($B204,'Slutlig allokering kvv'!$B$2:$BX$549,MATCH(AC$2,'Slutlig allokering kvv'!$B$1:$BX$1,0),FALSE)/1,0))</f>
        <v>0</v>
      </c>
      <c r="AD204" s="121">
        <f>IF($D204="","",IFERROR(VLOOKUP($B204,Kraftvärmeprod!$B$1:$BX$549,MATCH(AD$2,Kraftvärmeprod!$B$1:$VX$1,0),FALSE)/1,0)-IFERROR(VLOOKUP($B204,'Slutlig allokering kvv'!$B$2:$BX$549,MATCH(AD$2,'Slutlig allokering kvv'!$B$1:$BX$1,0),FALSE)/1,0))</f>
        <v>0</v>
      </c>
      <c r="AE204" s="121">
        <f>IF($D204="","",IFERROR(VLOOKUP($B204,Miljö!$B$1:$E$550,MATCH("Hjälpel kraftvärme (GWh)",Miljö!$B$1:$E$1,0),FALSE)/1,0)-IFERROR(VLOOKUP($B204,'Slutlig allokering kvv'!$B$2:$BX$549,MATCH(AE$2,'Slutlig allokering kvv'!$B$1:$BX$1,0),FALSE)/1,0))</f>
        <v>0.70142999999999978</v>
      </c>
      <c r="AI204" s="121">
        <f t="shared" si="12"/>
        <v>28.533329999999999</v>
      </c>
      <c r="AK204" s="121">
        <f>IFERROR(VLOOKUP($B204,'Slutlig allokering kvv'!$B$2:$AX$549,MATCH("Summa slutlig allokerad tillförd energi (utan hjälpel och rökgaskondensering):",'Slutlig allokering kvv'!$B$1:$AX$1,0),FALSE)/1,"")</f>
        <v>85.366669999999999</v>
      </c>
      <c r="AM204" s="172">
        <f>IFERROR(1-VLOOKUP($B204,'Slutlig allokering kvv'!$B$2:$AX$549,MATCH("Andel av bränsle i kvv som allokerats till värme, exklusive rökgaskondensering och hjälpel",'Slutlig allokering kvv'!$B$1:$AX$1,0),FALSE),"")</f>
        <v>0.25051211589113265</v>
      </c>
      <c r="AO204" s="172">
        <f t="shared" si="13"/>
        <v>0.25051211589113254</v>
      </c>
      <c r="AP204" s="173">
        <f t="shared" si="14"/>
        <v>1.1102230246251565E-16</v>
      </c>
      <c r="AR204" s="172">
        <f t="shared" si="15"/>
        <v>0.43783496084797691</v>
      </c>
    </row>
    <row r="205" spans="1:44" x14ac:dyDescent="0.25">
      <c r="A205" s="171" t="str">
        <f>'Miljövärden för publ företag'!B207</f>
        <v>Oxelö Energi AB</v>
      </c>
      <c r="B205" s="171" t="str">
        <f>'Miljövärden för publ företag'!C207</f>
        <v>Oxelösund</v>
      </c>
      <c r="C205" s="121" t="str">
        <f>IFERROR(VLOOKUP($B205,Kraftvärmeprod!$B$1:$AH$478,MATCH(C$2,Kraftvärmeprod!$B$1:$AG$1,0),FALSE)/1,"")</f>
        <v/>
      </c>
      <c r="D205" s="121" t="str">
        <f>IFERROR(VLOOKUP($B205,Kraftvärmeprod!$B$1:$AH$478,MATCH(D$2,Kraftvärmeprod!$B$1:$AG$1,0),FALSE)/1,"")</f>
        <v/>
      </c>
      <c r="F205" s="121" t="str">
        <f>IF($D205="","",IFERROR(VLOOKUP($B205,Kraftvärmeprod!$B$1:$BX$549,MATCH(F$2,Kraftvärmeprod!$B$1:$VX$1,0),FALSE)/1,0)-IFERROR(VLOOKUP($B205,'Slutlig allokering kvv'!$B$2:$BX$549,MATCH(F$2,'Slutlig allokering kvv'!$B$1:$BX$1,0),FALSE)/1,0))</f>
        <v/>
      </c>
      <c r="G205" s="121" t="str">
        <f>IF($D205="","",IFERROR(VLOOKUP($B205,Kraftvärmeprod!$B$1:$BX$549,MATCH(G$2,Kraftvärmeprod!$B$1:$VX$1,0),FALSE)/1,0)-IFERROR(VLOOKUP($B205,'Slutlig allokering kvv'!$B$2:$BX$549,MATCH(G$2,'Slutlig allokering kvv'!$B$1:$BX$1,0),FALSE)/1,0))</f>
        <v/>
      </c>
      <c r="H205" s="121" t="str">
        <f>IF($D205="","",IFERROR(VLOOKUP($B205,Kraftvärmeprod!$B$1:$BX$549,MATCH(H$2,Kraftvärmeprod!$B$1:$VX$1,0),FALSE)/1,0)-IFERROR(VLOOKUP($B205,'Slutlig allokering kvv'!$B$2:$BX$549,MATCH(H$2,'Slutlig allokering kvv'!$B$1:$BX$1,0),FALSE)/1,0))</f>
        <v/>
      </c>
      <c r="I205" s="121" t="str">
        <f>IF($D205="","",IFERROR(VLOOKUP($B205,Kraftvärmeprod!$B$1:$BX$549,MATCH(I$2,Kraftvärmeprod!$B$1:$VX$1,0),FALSE)/1,0)-IFERROR(VLOOKUP($B205,'Slutlig allokering kvv'!$B$2:$BX$549,MATCH(I$2,'Slutlig allokering kvv'!$B$1:$BX$1,0),FALSE)/1,0))</f>
        <v/>
      </c>
      <c r="J205" s="121" t="str">
        <f>IF($D205="","",IFERROR(VLOOKUP($B205,Kraftvärmeprod!$B$1:$BX$549,MATCH(J$2,Kraftvärmeprod!$B$1:$VX$1,0),FALSE)/1,0)-IFERROR(VLOOKUP($B205,'Slutlig allokering kvv'!$B$2:$BX$549,MATCH(J$2,'Slutlig allokering kvv'!$B$1:$BX$1,0),FALSE)/1,0))</f>
        <v/>
      </c>
      <c r="K205" s="121" t="str">
        <f>IF($D205="","",IFERROR(VLOOKUP($B205,Kraftvärmeprod!$B$1:$BX$549,MATCH(K$2,Kraftvärmeprod!$B$1:$VX$1,0),FALSE)/1,0)-IFERROR(VLOOKUP($B205,'Slutlig allokering kvv'!$B$2:$BX$549,MATCH(K$2,'Slutlig allokering kvv'!$B$1:$BX$1,0),FALSE)/1,0))</f>
        <v/>
      </c>
      <c r="L205" s="121" t="str">
        <f>IF($D205="","",IFERROR(VLOOKUP($B205,Kraftvärmeprod!$B$1:$BX$549,MATCH(L$2,Kraftvärmeprod!$B$1:$VX$1,0),FALSE)/1,0)-IFERROR(VLOOKUP($B205,'Slutlig allokering kvv'!$B$2:$BX$549,MATCH(L$2,'Slutlig allokering kvv'!$B$1:$BX$1,0),FALSE)/1,0))</f>
        <v/>
      </c>
      <c r="M205" s="121" t="str">
        <f>IF($D205="","",IFERROR(VLOOKUP($B205,Kraftvärmeprod!$B$1:$BX$549,MATCH(M$2,Kraftvärmeprod!$B$1:$VX$1,0),FALSE)/1,0)-IFERROR(VLOOKUP($B205,'Slutlig allokering kvv'!$B$2:$BX$549,MATCH(M$2,'Slutlig allokering kvv'!$B$1:$BX$1,0),FALSE)/1,0))</f>
        <v/>
      </c>
      <c r="N205" s="121" t="str">
        <f>IF($D205="","",IFERROR(VLOOKUP($B205,Kraftvärmeprod!$B$1:$BX$549,MATCH(N$2,Kraftvärmeprod!$B$1:$VX$1,0),FALSE)/1,0)-IFERROR(VLOOKUP($B205,'Slutlig allokering kvv'!$B$2:$BX$549,MATCH(N$2,'Slutlig allokering kvv'!$B$1:$BX$1,0),FALSE)/1,0))</f>
        <v/>
      </c>
      <c r="O205" s="121" t="str">
        <f>IF($D205="","",IFERROR(VLOOKUP($B205,Kraftvärmeprod!$B$1:$BX$549,MATCH(O$2,Kraftvärmeprod!$B$1:$VX$1,0),FALSE)/1,0)-IFERROR(VLOOKUP($B205,'Slutlig allokering kvv'!$B$2:$BX$549,MATCH(O$2,'Slutlig allokering kvv'!$B$1:$BX$1,0),FALSE)/1,0))</f>
        <v/>
      </c>
      <c r="P205" s="121" t="str">
        <f>IF($D205="","",IFERROR(VLOOKUP($B205,Kraftvärmeprod!$B$1:$BX$549,MATCH(P$2,Kraftvärmeprod!$B$1:$VX$1,0),FALSE)/1,0)-IFERROR(VLOOKUP($B205,'Slutlig allokering kvv'!$B$2:$BX$549,MATCH(P$2,'Slutlig allokering kvv'!$B$1:$BX$1,0),FALSE)/1,0))</f>
        <v/>
      </c>
      <c r="Q205" s="121" t="str">
        <f>IF($D205="","",IFERROR(VLOOKUP($B205,Kraftvärmeprod!$B$1:$BX$549,MATCH(Q$2,Kraftvärmeprod!$B$1:$VX$1,0),FALSE)/1,0)-IFERROR(VLOOKUP($B205,'Slutlig allokering kvv'!$B$2:$BX$549,MATCH(Q$2,'Slutlig allokering kvv'!$B$1:$BX$1,0),FALSE)/1,0))</f>
        <v/>
      </c>
      <c r="R205" s="121" t="str">
        <f>IF($D205="","",IFERROR(VLOOKUP($B205,Kraftvärmeprod!$B$1:$BX$549,MATCH(R$2,Kraftvärmeprod!$B$1:$VX$1,0),FALSE)/1,0)-IFERROR(VLOOKUP($B205,'Slutlig allokering kvv'!$B$2:$BX$549,MATCH(R$2,'Slutlig allokering kvv'!$B$1:$BX$1,0),FALSE)/1,0))</f>
        <v/>
      </c>
      <c r="S205" s="121" t="str">
        <f>IF($D205="","",IFERROR(VLOOKUP($B205,Kraftvärmeprod!$B$1:$BX$549,MATCH(S$2,Kraftvärmeprod!$B$1:$VX$1,0),FALSE)/1,0)-IFERROR(VLOOKUP($B205,'Slutlig allokering kvv'!$B$2:$BX$549,MATCH(S$2,'Slutlig allokering kvv'!$B$1:$BX$1,0),FALSE)/1,0))</f>
        <v/>
      </c>
      <c r="T205" s="121" t="str">
        <f>IF($D205="","",IFERROR(VLOOKUP($B205,Kraftvärmeprod!$B$1:$BX$549,MATCH(T$2,Kraftvärmeprod!$B$1:$VX$1,0),FALSE)/1,0)-IFERROR(VLOOKUP($B205,'Slutlig allokering kvv'!$B$2:$BX$549,MATCH(T$2,'Slutlig allokering kvv'!$B$1:$BX$1,0),FALSE)/1,0))</f>
        <v/>
      </c>
      <c r="U205" s="121" t="str">
        <f>IF($D205="","",IFERROR(VLOOKUP($B205,Kraftvärmeprod!$B$1:$BX$549,MATCH(U$2,Kraftvärmeprod!$B$1:$VX$1,0),FALSE)/1,0)-IFERROR(VLOOKUP($B205,'Slutlig allokering kvv'!$B$2:$BX$549,MATCH(U$2,'Slutlig allokering kvv'!$B$1:$BX$1,0),FALSE)/1,0))</f>
        <v/>
      </c>
      <c r="V205" s="121" t="str">
        <f>IF($D205="","",IFERROR(VLOOKUP($B205,Kraftvärmeprod!$B$1:$BX$549,MATCH(V$2,Kraftvärmeprod!$B$1:$VX$1,0),FALSE)/1,0)-IFERROR(VLOOKUP($B205,'Slutlig allokering kvv'!$B$2:$BX$549,MATCH(V$2,'Slutlig allokering kvv'!$B$1:$BX$1,0),FALSE)/1,0))</f>
        <v/>
      </c>
      <c r="W205" s="121" t="str">
        <f>IF($D205="","",IFERROR(VLOOKUP($B205,Kraftvärmeprod!$B$1:$BX$549,MATCH(W$2,Kraftvärmeprod!$B$1:$VX$1,0),FALSE)/1,0)-IFERROR(VLOOKUP($B205,'Slutlig allokering kvv'!$B$2:$BX$549,MATCH(W$2,'Slutlig allokering kvv'!$B$1:$BX$1,0),FALSE)/1,0))</f>
        <v/>
      </c>
      <c r="X205" s="121" t="str">
        <f>IF($D205="","",IFERROR(VLOOKUP($B205,Kraftvärmeprod!$B$1:$BX$549,MATCH(X$2,Kraftvärmeprod!$B$1:$VX$1,0),FALSE)/1,0)-IFERROR(VLOOKUP($B205,'Slutlig allokering kvv'!$B$2:$BX$549,MATCH(X$2,'Slutlig allokering kvv'!$B$1:$BX$1,0),FALSE)/1,0))</f>
        <v/>
      </c>
      <c r="Y205" s="121" t="str">
        <f>IF($D205="","",IFERROR(VLOOKUP($B205,Kraftvärmeprod!$B$1:$BX$549,MATCH(Y$2,Kraftvärmeprod!$B$1:$VX$1,0),FALSE)/1,0)-IFERROR(VLOOKUP($B205,'Slutlig allokering kvv'!$B$2:$BX$549,MATCH(Y$2,'Slutlig allokering kvv'!$B$1:$BX$1,0),FALSE)/1,0))</f>
        <v/>
      </c>
      <c r="Z205" s="121" t="str">
        <f>IF($D205="","",IFERROR(VLOOKUP($B205,Kraftvärmeprod!$B$1:$BX$549,MATCH(Z$2,Kraftvärmeprod!$B$1:$VX$1,0),FALSE)/1,0)-IFERROR(VLOOKUP($B205,'Slutlig allokering kvv'!$B$2:$BX$549,MATCH(Z$2,'Slutlig allokering kvv'!$B$1:$BX$1,0),FALSE)/1,0))</f>
        <v/>
      </c>
      <c r="AA205" s="121" t="str">
        <f>IF($D205="","",IFERROR(VLOOKUP($B205,Kraftvärmeprod!$B$1:$BX$549,MATCH(AA$2,Kraftvärmeprod!$B$1:$VX$1,0),FALSE)/1,0)-IFERROR(VLOOKUP($B205,'Slutlig allokering kvv'!$B$2:$BX$549,MATCH(AA$2,'Slutlig allokering kvv'!$B$1:$BX$1,0),FALSE)/1,0))</f>
        <v/>
      </c>
      <c r="AB205" s="121" t="str">
        <f>IF($D205="","",IFERROR(VLOOKUP($B205,Kraftvärmeprod!$B$1:$BX$549,MATCH(AB$2,Kraftvärmeprod!$B$1:$VX$1,0),FALSE)/1,0)-IFERROR(VLOOKUP($B205,'Slutlig allokering kvv'!$B$2:$BX$549,MATCH(AB$2,'Slutlig allokering kvv'!$B$1:$BX$1,0),FALSE)/1,0))</f>
        <v/>
      </c>
      <c r="AC205" s="121" t="str">
        <f>IF($D205="","",IFERROR(VLOOKUP($B205,Kraftvärmeprod!$B$1:$BX$549,MATCH(AC$2,Kraftvärmeprod!$B$1:$VX$1,0),FALSE)/1,0)-IFERROR(VLOOKUP($B205,'Slutlig allokering kvv'!$B$2:$BX$549,MATCH(AC$2,'Slutlig allokering kvv'!$B$1:$BX$1,0),FALSE)/1,0))</f>
        <v/>
      </c>
      <c r="AD205" s="121" t="str">
        <f>IF($D205="","",IFERROR(VLOOKUP($B205,Kraftvärmeprod!$B$1:$BX$549,MATCH(AD$2,Kraftvärmeprod!$B$1:$VX$1,0),FALSE)/1,0)-IFERROR(VLOOKUP($B205,'Slutlig allokering kvv'!$B$2:$BX$549,MATCH(AD$2,'Slutlig allokering kvv'!$B$1:$BX$1,0),FALSE)/1,0))</f>
        <v/>
      </c>
      <c r="AE205" s="121" t="str">
        <f>IF($D205="","",IFERROR(VLOOKUP($B205,Miljö!$B$1:$E$550,MATCH("Hjälpel kraftvärme (GWh)",Miljö!$B$1:$E$1,0),FALSE)/1,0)-IFERROR(VLOOKUP($B205,'Slutlig allokering kvv'!$B$2:$BX$549,MATCH(AE$2,'Slutlig allokering kvv'!$B$1:$BX$1,0),FALSE)/1,0))</f>
        <v/>
      </c>
      <c r="AI205" s="121">
        <f t="shared" si="12"/>
        <v>0</v>
      </c>
      <c r="AK205" s="121">
        <f>IFERROR(VLOOKUP($B205,'Slutlig allokering kvv'!$B$2:$AX$549,MATCH("Summa slutlig allokerad tillförd energi (utan hjälpel och rökgaskondensering):",'Slutlig allokering kvv'!$B$1:$AX$1,0),FALSE)/1,"")</f>
        <v>0</v>
      </c>
      <c r="AM205" s="172" t="str">
        <f>IFERROR(1-VLOOKUP($B205,'Slutlig allokering kvv'!$B$2:$AX$549,MATCH("Andel av bränsle i kvv som allokerats till värme, exklusive rökgaskondensering och hjälpel",'Slutlig allokering kvv'!$B$1:$AX$1,0),FALSE),"")</f>
        <v/>
      </c>
      <c r="AO205" s="172" t="str">
        <f t="shared" si="13"/>
        <v/>
      </c>
      <c r="AP205" s="173" t="str">
        <f t="shared" si="14"/>
        <v/>
      </c>
      <c r="AR205" s="172" t="str">
        <f t="shared" si="15"/>
        <v/>
      </c>
    </row>
    <row r="206" spans="1:44" x14ac:dyDescent="0.25">
      <c r="A206" s="171" t="str">
        <f>'Miljövärden för publ företag'!B208</f>
        <v>Partille Energi AB</v>
      </c>
      <c r="B206" s="171" t="str">
        <f>'Miljövärden för publ företag'!C208</f>
        <v>Partille</v>
      </c>
      <c r="C206" s="121" t="str">
        <f>IFERROR(VLOOKUP($B206,Kraftvärmeprod!$B$1:$AH$478,MATCH(C$2,Kraftvärmeprod!$B$1:$AG$1,0),FALSE)/1,"")</f>
        <v/>
      </c>
      <c r="D206" s="121" t="str">
        <f>IFERROR(VLOOKUP($B206,Kraftvärmeprod!$B$1:$AH$478,MATCH(D$2,Kraftvärmeprod!$B$1:$AG$1,0),FALSE)/1,"")</f>
        <v/>
      </c>
      <c r="F206" s="121" t="str">
        <f>IF($D206="","",IFERROR(VLOOKUP($B206,Kraftvärmeprod!$B$1:$BX$549,MATCH(F$2,Kraftvärmeprod!$B$1:$VX$1,0),FALSE)/1,0)-IFERROR(VLOOKUP($B206,'Slutlig allokering kvv'!$B$2:$BX$549,MATCH(F$2,'Slutlig allokering kvv'!$B$1:$BX$1,0),FALSE)/1,0))</f>
        <v/>
      </c>
      <c r="G206" s="121" t="str">
        <f>IF($D206="","",IFERROR(VLOOKUP($B206,Kraftvärmeprod!$B$1:$BX$549,MATCH(G$2,Kraftvärmeprod!$B$1:$VX$1,0),FALSE)/1,0)-IFERROR(VLOOKUP($B206,'Slutlig allokering kvv'!$B$2:$BX$549,MATCH(G$2,'Slutlig allokering kvv'!$B$1:$BX$1,0),FALSE)/1,0))</f>
        <v/>
      </c>
      <c r="H206" s="121" t="str">
        <f>IF($D206="","",IFERROR(VLOOKUP($B206,Kraftvärmeprod!$B$1:$BX$549,MATCH(H$2,Kraftvärmeprod!$B$1:$VX$1,0),FALSE)/1,0)-IFERROR(VLOOKUP($B206,'Slutlig allokering kvv'!$B$2:$BX$549,MATCH(H$2,'Slutlig allokering kvv'!$B$1:$BX$1,0),FALSE)/1,0))</f>
        <v/>
      </c>
      <c r="I206" s="121" t="str">
        <f>IF($D206="","",IFERROR(VLOOKUP($B206,Kraftvärmeprod!$B$1:$BX$549,MATCH(I$2,Kraftvärmeprod!$B$1:$VX$1,0),FALSE)/1,0)-IFERROR(VLOOKUP($B206,'Slutlig allokering kvv'!$B$2:$BX$549,MATCH(I$2,'Slutlig allokering kvv'!$B$1:$BX$1,0),FALSE)/1,0))</f>
        <v/>
      </c>
      <c r="J206" s="121" t="str">
        <f>IF($D206="","",IFERROR(VLOOKUP($B206,Kraftvärmeprod!$B$1:$BX$549,MATCH(J$2,Kraftvärmeprod!$B$1:$VX$1,0),FALSE)/1,0)-IFERROR(VLOOKUP($B206,'Slutlig allokering kvv'!$B$2:$BX$549,MATCH(J$2,'Slutlig allokering kvv'!$B$1:$BX$1,0),FALSE)/1,0))</f>
        <v/>
      </c>
      <c r="K206" s="121" t="str">
        <f>IF($D206="","",IFERROR(VLOOKUP($B206,Kraftvärmeprod!$B$1:$BX$549,MATCH(K$2,Kraftvärmeprod!$B$1:$VX$1,0),FALSE)/1,0)-IFERROR(VLOOKUP($B206,'Slutlig allokering kvv'!$B$2:$BX$549,MATCH(K$2,'Slutlig allokering kvv'!$B$1:$BX$1,0),FALSE)/1,0))</f>
        <v/>
      </c>
      <c r="L206" s="121" t="str">
        <f>IF($D206="","",IFERROR(VLOOKUP($B206,Kraftvärmeprod!$B$1:$BX$549,MATCH(L$2,Kraftvärmeprod!$B$1:$VX$1,0),FALSE)/1,0)-IFERROR(VLOOKUP($B206,'Slutlig allokering kvv'!$B$2:$BX$549,MATCH(L$2,'Slutlig allokering kvv'!$B$1:$BX$1,0),FALSE)/1,0))</f>
        <v/>
      </c>
      <c r="M206" s="121" t="str">
        <f>IF($D206="","",IFERROR(VLOOKUP($B206,Kraftvärmeprod!$B$1:$BX$549,MATCH(M$2,Kraftvärmeprod!$B$1:$VX$1,0),FALSE)/1,0)-IFERROR(VLOOKUP($B206,'Slutlig allokering kvv'!$B$2:$BX$549,MATCH(M$2,'Slutlig allokering kvv'!$B$1:$BX$1,0),FALSE)/1,0))</f>
        <v/>
      </c>
      <c r="N206" s="121" t="str">
        <f>IF($D206="","",IFERROR(VLOOKUP($B206,Kraftvärmeprod!$B$1:$BX$549,MATCH(N$2,Kraftvärmeprod!$B$1:$VX$1,0),FALSE)/1,0)-IFERROR(VLOOKUP($B206,'Slutlig allokering kvv'!$B$2:$BX$549,MATCH(N$2,'Slutlig allokering kvv'!$B$1:$BX$1,0),FALSE)/1,0))</f>
        <v/>
      </c>
      <c r="O206" s="121" t="str">
        <f>IF($D206="","",IFERROR(VLOOKUP($B206,Kraftvärmeprod!$B$1:$BX$549,MATCH(O$2,Kraftvärmeprod!$B$1:$VX$1,0),FALSE)/1,0)-IFERROR(VLOOKUP($B206,'Slutlig allokering kvv'!$B$2:$BX$549,MATCH(O$2,'Slutlig allokering kvv'!$B$1:$BX$1,0),FALSE)/1,0))</f>
        <v/>
      </c>
      <c r="P206" s="121" t="str">
        <f>IF($D206="","",IFERROR(VLOOKUP($B206,Kraftvärmeprod!$B$1:$BX$549,MATCH(P$2,Kraftvärmeprod!$B$1:$VX$1,0),FALSE)/1,0)-IFERROR(VLOOKUP($B206,'Slutlig allokering kvv'!$B$2:$BX$549,MATCH(P$2,'Slutlig allokering kvv'!$B$1:$BX$1,0),FALSE)/1,0))</f>
        <v/>
      </c>
      <c r="Q206" s="121" t="str">
        <f>IF($D206="","",IFERROR(VLOOKUP($B206,Kraftvärmeprod!$B$1:$BX$549,MATCH(Q$2,Kraftvärmeprod!$B$1:$VX$1,0),FALSE)/1,0)-IFERROR(VLOOKUP($B206,'Slutlig allokering kvv'!$B$2:$BX$549,MATCH(Q$2,'Slutlig allokering kvv'!$B$1:$BX$1,0),FALSE)/1,0))</f>
        <v/>
      </c>
      <c r="R206" s="121" t="str">
        <f>IF($D206="","",IFERROR(VLOOKUP($B206,Kraftvärmeprod!$B$1:$BX$549,MATCH(R$2,Kraftvärmeprod!$B$1:$VX$1,0),FALSE)/1,0)-IFERROR(VLOOKUP($B206,'Slutlig allokering kvv'!$B$2:$BX$549,MATCH(R$2,'Slutlig allokering kvv'!$B$1:$BX$1,0),FALSE)/1,0))</f>
        <v/>
      </c>
      <c r="S206" s="121" t="str">
        <f>IF($D206="","",IFERROR(VLOOKUP($B206,Kraftvärmeprod!$B$1:$BX$549,MATCH(S$2,Kraftvärmeprod!$B$1:$VX$1,0),FALSE)/1,0)-IFERROR(VLOOKUP($B206,'Slutlig allokering kvv'!$B$2:$BX$549,MATCH(S$2,'Slutlig allokering kvv'!$B$1:$BX$1,0),FALSE)/1,0))</f>
        <v/>
      </c>
      <c r="T206" s="121" t="str">
        <f>IF($D206="","",IFERROR(VLOOKUP($B206,Kraftvärmeprod!$B$1:$BX$549,MATCH(T$2,Kraftvärmeprod!$B$1:$VX$1,0),FALSE)/1,0)-IFERROR(VLOOKUP($B206,'Slutlig allokering kvv'!$B$2:$BX$549,MATCH(T$2,'Slutlig allokering kvv'!$B$1:$BX$1,0),FALSE)/1,0))</f>
        <v/>
      </c>
      <c r="U206" s="121" t="str">
        <f>IF($D206="","",IFERROR(VLOOKUP($B206,Kraftvärmeprod!$B$1:$BX$549,MATCH(U$2,Kraftvärmeprod!$B$1:$VX$1,0),FALSE)/1,0)-IFERROR(VLOOKUP($B206,'Slutlig allokering kvv'!$B$2:$BX$549,MATCH(U$2,'Slutlig allokering kvv'!$B$1:$BX$1,0),FALSE)/1,0))</f>
        <v/>
      </c>
      <c r="V206" s="121" t="str">
        <f>IF($D206="","",IFERROR(VLOOKUP($B206,Kraftvärmeprod!$B$1:$BX$549,MATCH(V$2,Kraftvärmeprod!$B$1:$VX$1,0),FALSE)/1,0)-IFERROR(VLOOKUP($B206,'Slutlig allokering kvv'!$B$2:$BX$549,MATCH(V$2,'Slutlig allokering kvv'!$B$1:$BX$1,0),FALSE)/1,0))</f>
        <v/>
      </c>
      <c r="W206" s="121" t="str">
        <f>IF($D206="","",IFERROR(VLOOKUP($B206,Kraftvärmeprod!$B$1:$BX$549,MATCH(W$2,Kraftvärmeprod!$B$1:$VX$1,0),FALSE)/1,0)-IFERROR(VLOOKUP($B206,'Slutlig allokering kvv'!$B$2:$BX$549,MATCH(W$2,'Slutlig allokering kvv'!$B$1:$BX$1,0),FALSE)/1,0))</f>
        <v/>
      </c>
      <c r="X206" s="121" t="str">
        <f>IF($D206="","",IFERROR(VLOOKUP($B206,Kraftvärmeprod!$B$1:$BX$549,MATCH(X$2,Kraftvärmeprod!$B$1:$VX$1,0),FALSE)/1,0)-IFERROR(VLOOKUP($B206,'Slutlig allokering kvv'!$B$2:$BX$549,MATCH(X$2,'Slutlig allokering kvv'!$B$1:$BX$1,0),FALSE)/1,0))</f>
        <v/>
      </c>
      <c r="Y206" s="121" t="str">
        <f>IF($D206="","",IFERROR(VLOOKUP($B206,Kraftvärmeprod!$B$1:$BX$549,MATCH(Y$2,Kraftvärmeprod!$B$1:$VX$1,0),FALSE)/1,0)-IFERROR(VLOOKUP($B206,'Slutlig allokering kvv'!$B$2:$BX$549,MATCH(Y$2,'Slutlig allokering kvv'!$B$1:$BX$1,0),FALSE)/1,0))</f>
        <v/>
      </c>
      <c r="Z206" s="121" t="str">
        <f>IF($D206="","",IFERROR(VLOOKUP($B206,Kraftvärmeprod!$B$1:$BX$549,MATCH(Z$2,Kraftvärmeprod!$B$1:$VX$1,0),FALSE)/1,0)-IFERROR(VLOOKUP($B206,'Slutlig allokering kvv'!$B$2:$BX$549,MATCH(Z$2,'Slutlig allokering kvv'!$B$1:$BX$1,0),FALSE)/1,0))</f>
        <v/>
      </c>
      <c r="AA206" s="121" t="str">
        <f>IF($D206="","",IFERROR(VLOOKUP($B206,Kraftvärmeprod!$B$1:$BX$549,MATCH(AA$2,Kraftvärmeprod!$B$1:$VX$1,0),FALSE)/1,0)-IFERROR(VLOOKUP($B206,'Slutlig allokering kvv'!$B$2:$BX$549,MATCH(AA$2,'Slutlig allokering kvv'!$B$1:$BX$1,0),FALSE)/1,0))</f>
        <v/>
      </c>
      <c r="AB206" s="121" t="str">
        <f>IF($D206="","",IFERROR(VLOOKUP($B206,Kraftvärmeprod!$B$1:$BX$549,MATCH(AB$2,Kraftvärmeprod!$B$1:$VX$1,0),FALSE)/1,0)-IFERROR(VLOOKUP($B206,'Slutlig allokering kvv'!$B$2:$BX$549,MATCH(AB$2,'Slutlig allokering kvv'!$B$1:$BX$1,0),FALSE)/1,0))</f>
        <v/>
      </c>
      <c r="AC206" s="121" t="str">
        <f>IF($D206="","",IFERROR(VLOOKUP($B206,Kraftvärmeprod!$B$1:$BX$549,MATCH(AC$2,Kraftvärmeprod!$B$1:$VX$1,0),FALSE)/1,0)-IFERROR(VLOOKUP($B206,'Slutlig allokering kvv'!$B$2:$BX$549,MATCH(AC$2,'Slutlig allokering kvv'!$B$1:$BX$1,0),FALSE)/1,0))</f>
        <v/>
      </c>
      <c r="AD206" s="121" t="str">
        <f>IF($D206="","",IFERROR(VLOOKUP($B206,Kraftvärmeprod!$B$1:$BX$549,MATCH(AD$2,Kraftvärmeprod!$B$1:$VX$1,0),FALSE)/1,0)-IFERROR(VLOOKUP($B206,'Slutlig allokering kvv'!$B$2:$BX$549,MATCH(AD$2,'Slutlig allokering kvv'!$B$1:$BX$1,0),FALSE)/1,0))</f>
        <v/>
      </c>
      <c r="AE206" s="121" t="str">
        <f>IF($D206="","",IFERROR(VLOOKUP($B206,Miljö!$B$1:$E$550,MATCH("Hjälpel kraftvärme (GWh)",Miljö!$B$1:$E$1,0),FALSE)/1,0)-IFERROR(VLOOKUP($B206,'Slutlig allokering kvv'!$B$2:$BX$549,MATCH(AE$2,'Slutlig allokering kvv'!$B$1:$BX$1,0),FALSE)/1,0))</f>
        <v/>
      </c>
      <c r="AI206" s="121">
        <f t="shared" si="12"/>
        <v>0</v>
      </c>
      <c r="AK206" s="121">
        <f>IFERROR(VLOOKUP($B206,'Slutlig allokering kvv'!$B$2:$AX$549,MATCH("Summa slutlig allokerad tillförd energi (utan hjälpel och rökgaskondensering):",'Slutlig allokering kvv'!$B$1:$AX$1,0),FALSE)/1,"")</f>
        <v>0</v>
      </c>
      <c r="AM206" s="172" t="str">
        <f>IFERROR(1-VLOOKUP($B206,'Slutlig allokering kvv'!$B$2:$AX$549,MATCH("Andel av bränsle i kvv som allokerats till värme, exklusive rökgaskondensering och hjälpel",'Slutlig allokering kvv'!$B$1:$AX$1,0),FALSE),"")</f>
        <v/>
      </c>
      <c r="AO206" s="172" t="str">
        <f t="shared" si="13"/>
        <v/>
      </c>
      <c r="AP206" s="173" t="str">
        <f t="shared" si="14"/>
        <v/>
      </c>
      <c r="AR206" s="172" t="str">
        <f t="shared" si="15"/>
        <v/>
      </c>
    </row>
    <row r="207" spans="1:44" x14ac:dyDescent="0.25">
      <c r="A207" s="171" t="str">
        <f>'Miljövärden för publ företag'!B209</f>
        <v>Perstorps Fjärrvärme AB</v>
      </c>
      <c r="B207" s="171" t="str">
        <f>'Miljövärden för publ företag'!C209</f>
        <v>Perstorp</v>
      </c>
      <c r="C207" s="121" t="str">
        <f>IFERROR(VLOOKUP($B207,Kraftvärmeprod!$B$1:$AH$478,MATCH(C$2,Kraftvärmeprod!$B$1:$AG$1,0),FALSE)/1,"")</f>
        <v/>
      </c>
      <c r="D207" s="121" t="str">
        <f>IFERROR(VLOOKUP($B207,Kraftvärmeprod!$B$1:$AH$478,MATCH(D$2,Kraftvärmeprod!$B$1:$AG$1,0),FALSE)/1,"")</f>
        <v/>
      </c>
      <c r="F207" s="121" t="str">
        <f>IF($D207="","",IFERROR(VLOOKUP($B207,Kraftvärmeprod!$B$1:$BX$549,MATCH(F$2,Kraftvärmeprod!$B$1:$VX$1,0),FALSE)/1,0)-IFERROR(VLOOKUP($B207,'Slutlig allokering kvv'!$B$2:$BX$549,MATCH(F$2,'Slutlig allokering kvv'!$B$1:$BX$1,0),FALSE)/1,0))</f>
        <v/>
      </c>
      <c r="G207" s="121" t="str">
        <f>IF($D207="","",IFERROR(VLOOKUP($B207,Kraftvärmeprod!$B$1:$BX$549,MATCH(G$2,Kraftvärmeprod!$B$1:$VX$1,0),FALSE)/1,0)-IFERROR(VLOOKUP($B207,'Slutlig allokering kvv'!$B$2:$BX$549,MATCH(G$2,'Slutlig allokering kvv'!$B$1:$BX$1,0),FALSE)/1,0))</f>
        <v/>
      </c>
      <c r="H207" s="121" t="str">
        <f>IF($D207="","",IFERROR(VLOOKUP($B207,Kraftvärmeprod!$B$1:$BX$549,MATCH(H$2,Kraftvärmeprod!$B$1:$VX$1,0),FALSE)/1,0)-IFERROR(VLOOKUP($B207,'Slutlig allokering kvv'!$B$2:$BX$549,MATCH(H$2,'Slutlig allokering kvv'!$B$1:$BX$1,0),FALSE)/1,0))</f>
        <v/>
      </c>
      <c r="I207" s="121" t="str">
        <f>IF($D207="","",IFERROR(VLOOKUP($B207,Kraftvärmeprod!$B$1:$BX$549,MATCH(I$2,Kraftvärmeprod!$B$1:$VX$1,0),FALSE)/1,0)-IFERROR(VLOOKUP($B207,'Slutlig allokering kvv'!$B$2:$BX$549,MATCH(I$2,'Slutlig allokering kvv'!$B$1:$BX$1,0),FALSE)/1,0))</f>
        <v/>
      </c>
      <c r="J207" s="121" t="str">
        <f>IF($D207="","",IFERROR(VLOOKUP($B207,Kraftvärmeprod!$B$1:$BX$549,MATCH(J$2,Kraftvärmeprod!$B$1:$VX$1,0),FALSE)/1,0)-IFERROR(VLOOKUP($B207,'Slutlig allokering kvv'!$B$2:$BX$549,MATCH(J$2,'Slutlig allokering kvv'!$B$1:$BX$1,0),FALSE)/1,0))</f>
        <v/>
      </c>
      <c r="K207" s="121" t="str">
        <f>IF($D207="","",IFERROR(VLOOKUP($B207,Kraftvärmeprod!$B$1:$BX$549,MATCH(K$2,Kraftvärmeprod!$B$1:$VX$1,0),FALSE)/1,0)-IFERROR(VLOOKUP($B207,'Slutlig allokering kvv'!$B$2:$BX$549,MATCH(K$2,'Slutlig allokering kvv'!$B$1:$BX$1,0),FALSE)/1,0))</f>
        <v/>
      </c>
      <c r="L207" s="121" t="str">
        <f>IF($D207="","",IFERROR(VLOOKUP($B207,Kraftvärmeprod!$B$1:$BX$549,MATCH(L$2,Kraftvärmeprod!$B$1:$VX$1,0),FALSE)/1,0)-IFERROR(VLOOKUP($B207,'Slutlig allokering kvv'!$B$2:$BX$549,MATCH(L$2,'Slutlig allokering kvv'!$B$1:$BX$1,0),FALSE)/1,0))</f>
        <v/>
      </c>
      <c r="M207" s="121" t="str">
        <f>IF($D207="","",IFERROR(VLOOKUP($B207,Kraftvärmeprod!$B$1:$BX$549,MATCH(M$2,Kraftvärmeprod!$B$1:$VX$1,0),FALSE)/1,0)-IFERROR(VLOOKUP($B207,'Slutlig allokering kvv'!$B$2:$BX$549,MATCH(M$2,'Slutlig allokering kvv'!$B$1:$BX$1,0),FALSE)/1,0))</f>
        <v/>
      </c>
      <c r="N207" s="121" t="str">
        <f>IF($D207="","",IFERROR(VLOOKUP($B207,Kraftvärmeprod!$B$1:$BX$549,MATCH(N$2,Kraftvärmeprod!$B$1:$VX$1,0),FALSE)/1,0)-IFERROR(VLOOKUP($B207,'Slutlig allokering kvv'!$B$2:$BX$549,MATCH(N$2,'Slutlig allokering kvv'!$B$1:$BX$1,0),FALSE)/1,0))</f>
        <v/>
      </c>
      <c r="O207" s="121" t="str">
        <f>IF($D207="","",IFERROR(VLOOKUP($B207,Kraftvärmeprod!$B$1:$BX$549,MATCH(O$2,Kraftvärmeprod!$B$1:$VX$1,0),FALSE)/1,0)-IFERROR(VLOOKUP($B207,'Slutlig allokering kvv'!$B$2:$BX$549,MATCH(O$2,'Slutlig allokering kvv'!$B$1:$BX$1,0),FALSE)/1,0))</f>
        <v/>
      </c>
      <c r="P207" s="121" t="str">
        <f>IF($D207="","",IFERROR(VLOOKUP($B207,Kraftvärmeprod!$B$1:$BX$549,MATCH(P$2,Kraftvärmeprod!$B$1:$VX$1,0),FALSE)/1,0)-IFERROR(VLOOKUP($B207,'Slutlig allokering kvv'!$B$2:$BX$549,MATCH(P$2,'Slutlig allokering kvv'!$B$1:$BX$1,0),FALSE)/1,0))</f>
        <v/>
      </c>
      <c r="Q207" s="121" t="str">
        <f>IF($D207="","",IFERROR(VLOOKUP($B207,Kraftvärmeprod!$B$1:$BX$549,MATCH(Q$2,Kraftvärmeprod!$B$1:$VX$1,0),FALSE)/1,0)-IFERROR(VLOOKUP($B207,'Slutlig allokering kvv'!$B$2:$BX$549,MATCH(Q$2,'Slutlig allokering kvv'!$B$1:$BX$1,0),FALSE)/1,0))</f>
        <v/>
      </c>
      <c r="R207" s="121" t="str">
        <f>IF($D207="","",IFERROR(VLOOKUP($B207,Kraftvärmeprod!$B$1:$BX$549,MATCH(R$2,Kraftvärmeprod!$B$1:$VX$1,0),FALSE)/1,0)-IFERROR(VLOOKUP($B207,'Slutlig allokering kvv'!$B$2:$BX$549,MATCH(R$2,'Slutlig allokering kvv'!$B$1:$BX$1,0),FALSE)/1,0))</f>
        <v/>
      </c>
      <c r="S207" s="121" t="str">
        <f>IF($D207="","",IFERROR(VLOOKUP($B207,Kraftvärmeprod!$B$1:$BX$549,MATCH(S$2,Kraftvärmeprod!$B$1:$VX$1,0),FALSE)/1,0)-IFERROR(VLOOKUP($B207,'Slutlig allokering kvv'!$B$2:$BX$549,MATCH(S$2,'Slutlig allokering kvv'!$B$1:$BX$1,0),FALSE)/1,0))</f>
        <v/>
      </c>
      <c r="T207" s="121" t="str">
        <f>IF($D207="","",IFERROR(VLOOKUP($B207,Kraftvärmeprod!$B$1:$BX$549,MATCH(T$2,Kraftvärmeprod!$B$1:$VX$1,0),FALSE)/1,0)-IFERROR(VLOOKUP($B207,'Slutlig allokering kvv'!$B$2:$BX$549,MATCH(T$2,'Slutlig allokering kvv'!$B$1:$BX$1,0),FALSE)/1,0))</f>
        <v/>
      </c>
      <c r="U207" s="121" t="str">
        <f>IF($D207="","",IFERROR(VLOOKUP($B207,Kraftvärmeprod!$B$1:$BX$549,MATCH(U$2,Kraftvärmeprod!$B$1:$VX$1,0),FALSE)/1,0)-IFERROR(VLOOKUP($B207,'Slutlig allokering kvv'!$B$2:$BX$549,MATCH(U$2,'Slutlig allokering kvv'!$B$1:$BX$1,0),FALSE)/1,0))</f>
        <v/>
      </c>
      <c r="V207" s="121" t="str">
        <f>IF($D207="","",IFERROR(VLOOKUP($B207,Kraftvärmeprod!$B$1:$BX$549,MATCH(V$2,Kraftvärmeprod!$B$1:$VX$1,0),FALSE)/1,0)-IFERROR(VLOOKUP($B207,'Slutlig allokering kvv'!$B$2:$BX$549,MATCH(V$2,'Slutlig allokering kvv'!$B$1:$BX$1,0),FALSE)/1,0))</f>
        <v/>
      </c>
      <c r="W207" s="121" t="str">
        <f>IF($D207="","",IFERROR(VLOOKUP($B207,Kraftvärmeprod!$B$1:$BX$549,MATCH(W$2,Kraftvärmeprod!$B$1:$VX$1,0),FALSE)/1,0)-IFERROR(VLOOKUP($B207,'Slutlig allokering kvv'!$B$2:$BX$549,MATCH(W$2,'Slutlig allokering kvv'!$B$1:$BX$1,0),FALSE)/1,0))</f>
        <v/>
      </c>
      <c r="X207" s="121" t="str">
        <f>IF($D207="","",IFERROR(VLOOKUP($B207,Kraftvärmeprod!$B$1:$BX$549,MATCH(X$2,Kraftvärmeprod!$B$1:$VX$1,0),FALSE)/1,0)-IFERROR(VLOOKUP($B207,'Slutlig allokering kvv'!$B$2:$BX$549,MATCH(X$2,'Slutlig allokering kvv'!$B$1:$BX$1,0),FALSE)/1,0))</f>
        <v/>
      </c>
      <c r="Y207" s="121" t="str">
        <f>IF($D207="","",IFERROR(VLOOKUP($B207,Kraftvärmeprod!$B$1:$BX$549,MATCH(Y$2,Kraftvärmeprod!$B$1:$VX$1,0),FALSE)/1,0)-IFERROR(VLOOKUP($B207,'Slutlig allokering kvv'!$B$2:$BX$549,MATCH(Y$2,'Slutlig allokering kvv'!$B$1:$BX$1,0),FALSE)/1,0))</f>
        <v/>
      </c>
      <c r="Z207" s="121" t="str">
        <f>IF($D207="","",IFERROR(VLOOKUP($B207,Kraftvärmeprod!$B$1:$BX$549,MATCH(Z$2,Kraftvärmeprod!$B$1:$VX$1,0),FALSE)/1,0)-IFERROR(VLOOKUP($B207,'Slutlig allokering kvv'!$B$2:$BX$549,MATCH(Z$2,'Slutlig allokering kvv'!$B$1:$BX$1,0),FALSE)/1,0))</f>
        <v/>
      </c>
      <c r="AA207" s="121" t="str">
        <f>IF($D207="","",IFERROR(VLOOKUP($B207,Kraftvärmeprod!$B$1:$BX$549,MATCH(AA$2,Kraftvärmeprod!$B$1:$VX$1,0),FALSE)/1,0)-IFERROR(VLOOKUP($B207,'Slutlig allokering kvv'!$B$2:$BX$549,MATCH(AA$2,'Slutlig allokering kvv'!$B$1:$BX$1,0),FALSE)/1,0))</f>
        <v/>
      </c>
      <c r="AB207" s="121" t="str">
        <f>IF($D207="","",IFERROR(VLOOKUP($B207,Kraftvärmeprod!$B$1:$BX$549,MATCH(AB$2,Kraftvärmeprod!$B$1:$VX$1,0),FALSE)/1,0)-IFERROR(VLOOKUP($B207,'Slutlig allokering kvv'!$B$2:$BX$549,MATCH(AB$2,'Slutlig allokering kvv'!$B$1:$BX$1,0),FALSE)/1,0))</f>
        <v/>
      </c>
      <c r="AC207" s="121" t="str">
        <f>IF($D207="","",IFERROR(VLOOKUP($B207,Kraftvärmeprod!$B$1:$BX$549,MATCH(AC$2,Kraftvärmeprod!$B$1:$VX$1,0),FALSE)/1,0)-IFERROR(VLOOKUP($B207,'Slutlig allokering kvv'!$B$2:$BX$549,MATCH(AC$2,'Slutlig allokering kvv'!$B$1:$BX$1,0),FALSE)/1,0))</f>
        <v/>
      </c>
      <c r="AD207" s="121" t="str">
        <f>IF($D207="","",IFERROR(VLOOKUP($B207,Kraftvärmeprod!$B$1:$BX$549,MATCH(AD$2,Kraftvärmeprod!$B$1:$VX$1,0),FALSE)/1,0)-IFERROR(VLOOKUP($B207,'Slutlig allokering kvv'!$B$2:$BX$549,MATCH(AD$2,'Slutlig allokering kvv'!$B$1:$BX$1,0),FALSE)/1,0))</f>
        <v/>
      </c>
      <c r="AE207" s="121" t="str">
        <f>IF($D207="","",IFERROR(VLOOKUP($B207,Miljö!$B$1:$E$550,MATCH("Hjälpel kraftvärme (GWh)",Miljö!$B$1:$E$1,0),FALSE)/1,0)-IFERROR(VLOOKUP($B207,'Slutlig allokering kvv'!$B$2:$BX$549,MATCH(AE$2,'Slutlig allokering kvv'!$B$1:$BX$1,0),FALSE)/1,0))</f>
        <v/>
      </c>
      <c r="AI207" s="121">
        <f t="shared" si="12"/>
        <v>0</v>
      </c>
      <c r="AK207" s="121">
        <f>IFERROR(VLOOKUP($B207,'Slutlig allokering kvv'!$B$2:$AX$549,MATCH("Summa slutlig allokerad tillförd energi (utan hjälpel och rökgaskondensering):",'Slutlig allokering kvv'!$B$1:$AX$1,0),FALSE)/1,"")</f>
        <v>0</v>
      </c>
      <c r="AM207" s="172" t="str">
        <f>IFERROR(1-VLOOKUP($B207,'Slutlig allokering kvv'!$B$2:$AX$549,MATCH("Andel av bränsle i kvv som allokerats till värme, exklusive rökgaskondensering och hjälpel",'Slutlig allokering kvv'!$B$1:$AX$1,0),FALSE),"")</f>
        <v/>
      </c>
      <c r="AO207" s="172" t="str">
        <f t="shared" si="13"/>
        <v/>
      </c>
      <c r="AP207" s="173" t="str">
        <f t="shared" si="14"/>
        <v/>
      </c>
      <c r="AR207" s="172" t="str">
        <f t="shared" si="15"/>
        <v/>
      </c>
    </row>
    <row r="208" spans="1:44" x14ac:dyDescent="0.25">
      <c r="A208" s="171" t="str">
        <f>'Miljövärden för publ företag'!B210</f>
        <v>PiteEnergi AB</v>
      </c>
      <c r="B208" s="171" t="str">
        <f>'Miljövärden för publ företag'!C210</f>
        <v>Norrfjärden</v>
      </c>
      <c r="C208" s="121" t="str">
        <f>IFERROR(VLOOKUP($B208,Kraftvärmeprod!$B$1:$AH$478,MATCH(C$2,Kraftvärmeprod!$B$1:$AG$1,0),FALSE)/1,"")</f>
        <v/>
      </c>
      <c r="D208" s="121" t="str">
        <f>IFERROR(VLOOKUP($B208,Kraftvärmeprod!$B$1:$AH$478,MATCH(D$2,Kraftvärmeprod!$B$1:$AG$1,0),FALSE)/1,"")</f>
        <v/>
      </c>
      <c r="F208" s="121" t="str">
        <f>IF($D208="","",IFERROR(VLOOKUP($B208,Kraftvärmeprod!$B$1:$BX$549,MATCH(F$2,Kraftvärmeprod!$B$1:$VX$1,0),FALSE)/1,0)-IFERROR(VLOOKUP($B208,'Slutlig allokering kvv'!$B$2:$BX$549,MATCH(F$2,'Slutlig allokering kvv'!$B$1:$BX$1,0),FALSE)/1,0))</f>
        <v/>
      </c>
      <c r="G208" s="121" t="str">
        <f>IF($D208="","",IFERROR(VLOOKUP($B208,Kraftvärmeprod!$B$1:$BX$549,MATCH(G$2,Kraftvärmeprod!$B$1:$VX$1,0),FALSE)/1,0)-IFERROR(VLOOKUP($B208,'Slutlig allokering kvv'!$B$2:$BX$549,MATCH(G$2,'Slutlig allokering kvv'!$B$1:$BX$1,0),FALSE)/1,0))</f>
        <v/>
      </c>
      <c r="H208" s="121" t="str">
        <f>IF($D208="","",IFERROR(VLOOKUP($B208,Kraftvärmeprod!$B$1:$BX$549,MATCH(H$2,Kraftvärmeprod!$B$1:$VX$1,0),FALSE)/1,0)-IFERROR(VLOOKUP($B208,'Slutlig allokering kvv'!$B$2:$BX$549,MATCH(H$2,'Slutlig allokering kvv'!$B$1:$BX$1,0),FALSE)/1,0))</f>
        <v/>
      </c>
      <c r="I208" s="121" t="str">
        <f>IF($D208="","",IFERROR(VLOOKUP($B208,Kraftvärmeprod!$B$1:$BX$549,MATCH(I$2,Kraftvärmeprod!$B$1:$VX$1,0),FALSE)/1,0)-IFERROR(VLOOKUP($B208,'Slutlig allokering kvv'!$B$2:$BX$549,MATCH(I$2,'Slutlig allokering kvv'!$B$1:$BX$1,0),FALSE)/1,0))</f>
        <v/>
      </c>
      <c r="J208" s="121" t="str">
        <f>IF($D208="","",IFERROR(VLOOKUP($B208,Kraftvärmeprod!$B$1:$BX$549,MATCH(J$2,Kraftvärmeprod!$B$1:$VX$1,0),FALSE)/1,0)-IFERROR(VLOOKUP($B208,'Slutlig allokering kvv'!$B$2:$BX$549,MATCH(J$2,'Slutlig allokering kvv'!$B$1:$BX$1,0),FALSE)/1,0))</f>
        <v/>
      </c>
      <c r="K208" s="121" t="str">
        <f>IF($D208="","",IFERROR(VLOOKUP($B208,Kraftvärmeprod!$B$1:$BX$549,MATCH(K$2,Kraftvärmeprod!$B$1:$VX$1,0),FALSE)/1,0)-IFERROR(VLOOKUP($B208,'Slutlig allokering kvv'!$B$2:$BX$549,MATCH(K$2,'Slutlig allokering kvv'!$B$1:$BX$1,0),FALSE)/1,0))</f>
        <v/>
      </c>
      <c r="L208" s="121" t="str">
        <f>IF($D208="","",IFERROR(VLOOKUP($B208,Kraftvärmeprod!$B$1:$BX$549,MATCH(L$2,Kraftvärmeprod!$B$1:$VX$1,0),FALSE)/1,0)-IFERROR(VLOOKUP($B208,'Slutlig allokering kvv'!$B$2:$BX$549,MATCH(L$2,'Slutlig allokering kvv'!$B$1:$BX$1,0),FALSE)/1,0))</f>
        <v/>
      </c>
      <c r="M208" s="121" t="str">
        <f>IF($D208="","",IFERROR(VLOOKUP($B208,Kraftvärmeprod!$B$1:$BX$549,MATCH(M$2,Kraftvärmeprod!$B$1:$VX$1,0),FALSE)/1,0)-IFERROR(VLOOKUP($B208,'Slutlig allokering kvv'!$B$2:$BX$549,MATCH(M$2,'Slutlig allokering kvv'!$B$1:$BX$1,0),FALSE)/1,0))</f>
        <v/>
      </c>
      <c r="N208" s="121" t="str">
        <f>IF($D208="","",IFERROR(VLOOKUP($B208,Kraftvärmeprod!$B$1:$BX$549,MATCH(N$2,Kraftvärmeprod!$B$1:$VX$1,0),FALSE)/1,0)-IFERROR(VLOOKUP($B208,'Slutlig allokering kvv'!$B$2:$BX$549,MATCH(N$2,'Slutlig allokering kvv'!$B$1:$BX$1,0),FALSE)/1,0))</f>
        <v/>
      </c>
      <c r="O208" s="121" t="str">
        <f>IF($D208="","",IFERROR(VLOOKUP($B208,Kraftvärmeprod!$B$1:$BX$549,MATCH(O$2,Kraftvärmeprod!$B$1:$VX$1,0),FALSE)/1,0)-IFERROR(VLOOKUP($B208,'Slutlig allokering kvv'!$B$2:$BX$549,MATCH(O$2,'Slutlig allokering kvv'!$B$1:$BX$1,0),FALSE)/1,0))</f>
        <v/>
      </c>
      <c r="P208" s="121" t="str">
        <f>IF($D208="","",IFERROR(VLOOKUP($B208,Kraftvärmeprod!$B$1:$BX$549,MATCH(P$2,Kraftvärmeprod!$B$1:$VX$1,0),FALSE)/1,0)-IFERROR(VLOOKUP($B208,'Slutlig allokering kvv'!$B$2:$BX$549,MATCH(P$2,'Slutlig allokering kvv'!$B$1:$BX$1,0),FALSE)/1,0))</f>
        <v/>
      </c>
      <c r="Q208" s="121" t="str">
        <f>IF($D208="","",IFERROR(VLOOKUP($B208,Kraftvärmeprod!$B$1:$BX$549,MATCH(Q$2,Kraftvärmeprod!$B$1:$VX$1,0),FALSE)/1,0)-IFERROR(VLOOKUP($B208,'Slutlig allokering kvv'!$B$2:$BX$549,MATCH(Q$2,'Slutlig allokering kvv'!$B$1:$BX$1,0),FALSE)/1,0))</f>
        <v/>
      </c>
      <c r="R208" s="121" t="str">
        <f>IF($D208="","",IFERROR(VLOOKUP($B208,Kraftvärmeprod!$B$1:$BX$549,MATCH(R$2,Kraftvärmeprod!$B$1:$VX$1,0),FALSE)/1,0)-IFERROR(VLOOKUP($B208,'Slutlig allokering kvv'!$B$2:$BX$549,MATCH(R$2,'Slutlig allokering kvv'!$B$1:$BX$1,0),FALSE)/1,0))</f>
        <v/>
      </c>
      <c r="S208" s="121" t="str">
        <f>IF($D208="","",IFERROR(VLOOKUP($B208,Kraftvärmeprod!$B$1:$BX$549,MATCH(S$2,Kraftvärmeprod!$B$1:$VX$1,0),FALSE)/1,0)-IFERROR(VLOOKUP($B208,'Slutlig allokering kvv'!$B$2:$BX$549,MATCH(S$2,'Slutlig allokering kvv'!$B$1:$BX$1,0),FALSE)/1,0))</f>
        <v/>
      </c>
      <c r="T208" s="121" t="str">
        <f>IF($D208="","",IFERROR(VLOOKUP($B208,Kraftvärmeprod!$B$1:$BX$549,MATCH(T$2,Kraftvärmeprod!$B$1:$VX$1,0),FALSE)/1,0)-IFERROR(VLOOKUP($B208,'Slutlig allokering kvv'!$B$2:$BX$549,MATCH(T$2,'Slutlig allokering kvv'!$B$1:$BX$1,0),FALSE)/1,0))</f>
        <v/>
      </c>
      <c r="U208" s="121" t="str">
        <f>IF($D208="","",IFERROR(VLOOKUP($B208,Kraftvärmeprod!$B$1:$BX$549,MATCH(U$2,Kraftvärmeprod!$B$1:$VX$1,0),FALSE)/1,0)-IFERROR(VLOOKUP($B208,'Slutlig allokering kvv'!$B$2:$BX$549,MATCH(U$2,'Slutlig allokering kvv'!$B$1:$BX$1,0),FALSE)/1,0))</f>
        <v/>
      </c>
      <c r="V208" s="121" t="str">
        <f>IF($D208="","",IFERROR(VLOOKUP($B208,Kraftvärmeprod!$B$1:$BX$549,MATCH(V$2,Kraftvärmeprod!$B$1:$VX$1,0),FALSE)/1,0)-IFERROR(VLOOKUP($B208,'Slutlig allokering kvv'!$B$2:$BX$549,MATCH(V$2,'Slutlig allokering kvv'!$B$1:$BX$1,0),FALSE)/1,0))</f>
        <v/>
      </c>
      <c r="W208" s="121" t="str">
        <f>IF($D208="","",IFERROR(VLOOKUP($B208,Kraftvärmeprod!$B$1:$BX$549,MATCH(W$2,Kraftvärmeprod!$B$1:$VX$1,0),FALSE)/1,0)-IFERROR(VLOOKUP($B208,'Slutlig allokering kvv'!$B$2:$BX$549,MATCH(W$2,'Slutlig allokering kvv'!$B$1:$BX$1,0),FALSE)/1,0))</f>
        <v/>
      </c>
      <c r="X208" s="121" t="str">
        <f>IF($D208="","",IFERROR(VLOOKUP($B208,Kraftvärmeprod!$B$1:$BX$549,MATCH(X$2,Kraftvärmeprod!$B$1:$VX$1,0),FALSE)/1,0)-IFERROR(VLOOKUP($B208,'Slutlig allokering kvv'!$B$2:$BX$549,MATCH(X$2,'Slutlig allokering kvv'!$B$1:$BX$1,0),FALSE)/1,0))</f>
        <v/>
      </c>
      <c r="Y208" s="121" t="str">
        <f>IF($D208="","",IFERROR(VLOOKUP($B208,Kraftvärmeprod!$B$1:$BX$549,MATCH(Y$2,Kraftvärmeprod!$B$1:$VX$1,0),FALSE)/1,0)-IFERROR(VLOOKUP($B208,'Slutlig allokering kvv'!$B$2:$BX$549,MATCH(Y$2,'Slutlig allokering kvv'!$B$1:$BX$1,0),FALSE)/1,0))</f>
        <v/>
      </c>
      <c r="Z208" s="121" t="str">
        <f>IF($D208="","",IFERROR(VLOOKUP($B208,Kraftvärmeprod!$B$1:$BX$549,MATCH(Z$2,Kraftvärmeprod!$B$1:$VX$1,0),FALSE)/1,0)-IFERROR(VLOOKUP($B208,'Slutlig allokering kvv'!$B$2:$BX$549,MATCH(Z$2,'Slutlig allokering kvv'!$B$1:$BX$1,0),FALSE)/1,0))</f>
        <v/>
      </c>
      <c r="AA208" s="121" t="str">
        <f>IF($D208="","",IFERROR(VLOOKUP($B208,Kraftvärmeprod!$B$1:$BX$549,MATCH(AA$2,Kraftvärmeprod!$B$1:$VX$1,0),FALSE)/1,0)-IFERROR(VLOOKUP($B208,'Slutlig allokering kvv'!$B$2:$BX$549,MATCH(AA$2,'Slutlig allokering kvv'!$B$1:$BX$1,0),FALSE)/1,0))</f>
        <v/>
      </c>
      <c r="AB208" s="121" t="str">
        <f>IF($D208="","",IFERROR(VLOOKUP($B208,Kraftvärmeprod!$B$1:$BX$549,MATCH(AB$2,Kraftvärmeprod!$B$1:$VX$1,0),FALSE)/1,0)-IFERROR(VLOOKUP($B208,'Slutlig allokering kvv'!$B$2:$BX$549,MATCH(AB$2,'Slutlig allokering kvv'!$B$1:$BX$1,0),FALSE)/1,0))</f>
        <v/>
      </c>
      <c r="AC208" s="121" t="str">
        <f>IF($D208="","",IFERROR(VLOOKUP($B208,Kraftvärmeprod!$B$1:$BX$549,MATCH(AC$2,Kraftvärmeprod!$B$1:$VX$1,0),FALSE)/1,0)-IFERROR(VLOOKUP($B208,'Slutlig allokering kvv'!$B$2:$BX$549,MATCH(AC$2,'Slutlig allokering kvv'!$B$1:$BX$1,0),FALSE)/1,0))</f>
        <v/>
      </c>
      <c r="AD208" s="121" t="str">
        <f>IF($D208="","",IFERROR(VLOOKUP($B208,Kraftvärmeprod!$B$1:$BX$549,MATCH(AD$2,Kraftvärmeprod!$B$1:$VX$1,0),FALSE)/1,0)-IFERROR(VLOOKUP($B208,'Slutlig allokering kvv'!$B$2:$BX$549,MATCH(AD$2,'Slutlig allokering kvv'!$B$1:$BX$1,0),FALSE)/1,0))</f>
        <v/>
      </c>
      <c r="AE208" s="121" t="str">
        <f>IF($D208="","",IFERROR(VLOOKUP($B208,Miljö!$B$1:$E$550,MATCH("Hjälpel kraftvärme (GWh)",Miljö!$B$1:$E$1,0),FALSE)/1,0)-IFERROR(VLOOKUP($B208,'Slutlig allokering kvv'!$B$2:$BX$549,MATCH(AE$2,'Slutlig allokering kvv'!$B$1:$BX$1,0),FALSE)/1,0))</f>
        <v/>
      </c>
      <c r="AI208" s="121">
        <f t="shared" si="12"/>
        <v>0</v>
      </c>
      <c r="AK208" s="121">
        <f>IFERROR(VLOOKUP($B208,'Slutlig allokering kvv'!$B$2:$AX$549,MATCH("Summa slutlig allokerad tillförd energi (utan hjälpel och rökgaskondensering):",'Slutlig allokering kvv'!$B$1:$AX$1,0),FALSE)/1,"")</f>
        <v>0</v>
      </c>
      <c r="AM208" s="172" t="str">
        <f>IFERROR(1-VLOOKUP($B208,'Slutlig allokering kvv'!$B$2:$AX$549,MATCH("Andel av bränsle i kvv som allokerats till värme, exklusive rökgaskondensering och hjälpel",'Slutlig allokering kvv'!$B$1:$AX$1,0),FALSE),"")</f>
        <v/>
      </c>
      <c r="AO208" s="172" t="str">
        <f t="shared" si="13"/>
        <v/>
      </c>
      <c r="AP208" s="173" t="str">
        <f t="shared" si="14"/>
        <v/>
      </c>
      <c r="AR208" s="172" t="str">
        <f t="shared" si="15"/>
        <v/>
      </c>
    </row>
    <row r="209" spans="1:44" x14ac:dyDescent="0.25">
      <c r="A209" s="171" t="str">
        <f>'Miljövärden för publ företag'!B211</f>
        <v>PiteEnergi AB</v>
      </c>
      <c r="B209" s="171" t="str">
        <f>'Miljövärden för publ företag'!C211</f>
        <v>Piteå</v>
      </c>
      <c r="C209" s="121" t="str">
        <f>IFERROR(VLOOKUP($B209,Kraftvärmeprod!$B$1:$AH$478,MATCH(C$2,Kraftvärmeprod!$B$1:$AG$1,0),FALSE)/1,"")</f>
        <v/>
      </c>
      <c r="D209" s="121" t="str">
        <f>IFERROR(VLOOKUP($B209,Kraftvärmeprod!$B$1:$AH$478,MATCH(D$2,Kraftvärmeprod!$B$1:$AG$1,0),FALSE)/1,"")</f>
        <v/>
      </c>
      <c r="F209" s="121" t="str">
        <f>IF($D209="","",IFERROR(VLOOKUP($B209,Kraftvärmeprod!$B$1:$BX$549,MATCH(F$2,Kraftvärmeprod!$B$1:$VX$1,0),FALSE)/1,0)-IFERROR(VLOOKUP($B209,'Slutlig allokering kvv'!$B$2:$BX$549,MATCH(F$2,'Slutlig allokering kvv'!$B$1:$BX$1,0),FALSE)/1,0))</f>
        <v/>
      </c>
      <c r="G209" s="121" t="str">
        <f>IF($D209="","",IFERROR(VLOOKUP($B209,Kraftvärmeprod!$B$1:$BX$549,MATCH(G$2,Kraftvärmeprod!$B$1:$VX$1,0),FALSE)/1,0)-IFERROR(VLOOKUP($B209,'Slutlig allokering kvv'!$B$2:$BX$549,MATCH(G$2,'Slutlig allokering kvv'!$B$1:$BX$1,0),FALSE)/1,0))</f>
        <v/>
      </c>
      <c r="H209" s="121" t="str">
        <f>IF($D209="","",IFERROR(VLOOKUP($B209,Kraftvärmeprod!$B$1:$BX$549,MATCH(H$2,Kraftvärmeprod!$B$1:$VX$1,0),FALSE)/1,0)-IFERROR(VLOOKUP($B209,'Slutlig allokering kvv'!$B$2:$BX$549,MATCH(H$2,'Slutlig allokering kvv'!$B$1:$BX$1,0),FALSE)/1,0))</f>
        <v/>
      </c>
      <c r="I209" s="121" t="str">
        <f>IF($D209="","",IFERROR(VLOOKUP($B209,Kraftvärmeprod!$B$1:$BX$549,MATCH(I$2,Kraftvärmeprod!$B$1:$VX$1,0),FALSE)/1,0)-IFERROR(VLOOKUP($B209,'Slutlig allokering kvv'!$B$2:$BX$549,MATCH(I$2,'Slutlig allokering kvv'!$B$1:$BX$1,0),FALSE)/1,0))</f>
        <v/>
      </c>
      <c r="J209" s="121" t="str">
        <f>IF($D209="","",IFERROR(VLOOKUP($B209,Kraftvärmeprod!$B$1:$BX$549,MATCH(J$2,Kraftvärmeprod!$B$1:$VX$1,0),FALSE)/1,0)-IFERROR(VLOOKUP($B209,'Slutlig allokering kvv'!$B$2:$BX$549,MATCH(J$2,'Slutlig allokering kvv'!$B$1:$BX$1,0),FALSE)/1,0))</f>
        <v/>
      </c>
      <c r="K209" s="121" t="str">
        <f>IF($D209="","",IFERROR(VLOOKUP($B209,Kraftvärmeprod!$B$1:$BX$549,MATCH(K$2,Kraftvärmeprod!$B$1:$VX$1,0),FALSE)/1,0)-IFERROR(VLOOKUP($B209,'Slutlig allokering kvv'!$B$2:$BX$549,MATCH(K$2,'Slutlig allokering kvv'!$B$1:$BX$1,0),FALSE)/1,0))</f>
        <v/>
      </c>
      <c r="L209" s="121" t="str">
        <f>IF($D209="","",IFERROR(VLOOKUP($B209,Kraftvärmeprod!$B$1:$BX$549,MATCH(L$2,Kraftvärmeprod!$B$1:$VX$1,0),FALSE)/1,0)-IFERROR(VLOOKUP($B209,'Slutlig allokering kvv'!$B$2:$BX$549,MATCH(L$2,'Slutlig allokering kvv'!$B$1:$BX$1,0),FALSE)/1,0))</f>
        <v/>
      </c>
      <c r="M209" s="121" t="str">
        <f>IF($D209="","",IFERROR(VLOOKUP($B209,Kraftvärmeprod!$B$1:$BX$549,MATCH(M$2,Kraftvärmeprod!$B$1:$VX$1,0),FALSE)/1,0)-IFERROR(VLOOKUP($B209,'Slutlig allokering kvv'!$B$2:$BX$549,MATCH(M$2,'Slutlig allokering kvv'!$B$1:$BX$1,0),FALSE)/1,0))</f>
        <v/>
      </c>
      <c r="N209" s="121" t="str">
        <f>IF($D209="","",IFERROR(VLOOKUP($B209,Kraftvärmeprod!$B$1:$BX$549,MATCH(N$2,Kraftvärmeprod!$B$1:$VX$1,0),FALSE)/1,0)-IFERROR(VLOOKUP($B209,'Slutlig allokering kvv'!$B$2:$BX$549,MATCH(N$2,'Slutlig allokering kvv'!$B$1:$BX$1,0),FALSE)/1,0))</f>
        <v/>
      </c>
      <c r="O209" s="121" t="str">
        <f>IF($D209="","",IFERROR(VLOOKUP($B209,Kraftvärmeprod!$B$1:$BX$549,MATCH(O$2,Kraftvärmeprod!$B$1:$VX$1,0),FALSE)/1,0)-IFERROR(VLOOKUP($B209,'Slutlig allokering kvv'!$B$2:$BX$549,MATCH(O$2,'Slutlig allokering kvv'!$B$1:$BX$1,0),FALSE)/1,0))</f>
        <v/>
      </c>
      <c r="P209" s="121" t="str">
        <f>IF($D209="","",IFERROR(VLOOKUP($B209,Kraftvärmeprod!$B$1:$BX$549,MATCH(P$2,Kraftvärmeprod!$B$1:$VX$1,0),FALSE)/1,0)-IFERROR(VLOOKUP($B209,'Slutlig allokering kvv'!$B$2:$BX$549,MATCH(P$2,'Slutlig allokering kvv'!$B$1:$BX$1,0),FALSE)/1,0))</f>
        <v/>
      </c>
      <c r="Q209" s="121" t="str">
        <f>IF($D209="","",IFERROR(VLOOKUP($B209,Kraftvärmeprod!$B$1:$BX$549,MATCH(Q$2,Kraftvärmeprod!$B$1:$VX$1,0),FALSE)/1,0)-IFERROR(VLOOKUP($B209,'Slutlig allokering kvv'!$B$2:$BX$549,MATCH(Q$2,'Slutlig allokering kvv'!$B$1:$BX$1,0),FALSE)/1,0))</f>
        <v/>
      </c>
      <c r="R209" s="121" t="str">
        <f>IF($D209="","",IFERROR(VLOOKUP($B209,Kraftvärmeprod!$B$1:$BX$549,MATCH(R$2,Kraftvärmeprod!$B$1:$VX$1,0),FALSE)/1,0)-IFERROR(VLOOKUP($B209,'Slutlig allokering kvv'!$B$2:$BX$549,MATCH(R$2,'Slutlig allokering kvv'!$B$1:$BX$1,0),FALSE)/1,0))</f>
        <v/>
      </c>
      <c r="S209" s="121" t="str">
        <f>IF($D209="","",IFERROR(VLOOKUP($B209,Kraftvärmeprod!$B$1:$BX$549,MATCH(S$2,Kraftvärmeprod!$B$1:$VX$1,0),FALSE)/1,0)-IFERROR(VLOOKUP($B209,'Slutlig allokering kvv'!$B$2:$BX$549,MATCH(S$2,'Slutlig allokering kvv'!$B$1:$BX$1,0),FALSE)/1,0))</f>
        <v/>
      </c>
      <c r="T209" s="121" t="str">
        <f>IF($D209="","",IFERROR(VLOOKUP($B209,Kraftvärmeprod!$B$1:$BX$549,MATCH(T$2,Kraftvärmeprod!$B$1:$VX$1,0),FALSE)/1,0)-IFERROR(VLOOKUP($B209,'Slutlig allokering kvv'!$B$2:$BX$549,MATCH(T$2,'Slutlig allokering kvv'!$B$1:$BX$1,0),FALSE)/1,0))</f>
        <v/>
      </c>
      <c r="U209" s="121" t="str">
        <f>IF($D209="","",IFERROR(VLOOKUP($B209,Kraftvärmeprod!$B$1:$BX$549,MATCH(U$2,Kraftvärmeprod!$B$1:$VX$1,0),FALSE)/1,0)-IFERROR(VLOOKUP($B209,'Slutlig allokering kvv'!$B$2:$BX$549,MATCH(U$2,'Slutlig allokering kvv'!$B$1:$BX$1,0),FALSE)/1,0))</f>
        <v/>
      </c>
      <c r="V209" s="121" t="str">
        <f>IF($D209="","",IFERROR(VLOOKUP($B209,Kraftvärmeprod!$B$1:$BX$549,MATCH(V$2,Kraftvärmeprod!$B$1:$VX$1,0),FALSE)/1,0)-IFERROR(VLOOKUP($B209,'Slutlig allokering kvv'!$B$2:$BX$549,MATCH(V$2,'Slutlig allokering kvv'!$B$1:$BX$1,0),FALSE)/1,0))</f>
        <v/>
      </c>
      <c r="W209" s="121" t="str">
        <f>IF($D209="","",IFERROR(VLOOKUP($B209,Kraftvärmeprod!$B$1:$BX$549,MATCH(W$2,Kraftvärmeprod!$B$1:$VX$1,0),FALSE)/1,0)-IFERROR(VLOOKUP($B209,'Slutlig allokering kvv'!$B$2:$BX$549,MATCH(W$2,'Slutlig allokering kvv'!$B$1:$BX$1,0),FALSE)/1,0))</f>
        <v/>
      </c>
      <c r="X209" s="121" t="str">
        <f>IF($D209="","",IFERROR(VLOOKUP($B209,Kraftvärmeprod!$B$1:$BX$549,MATCH(X$2,Kraftvärmeprod!$B$1:$VX$1,0),FALSE)/1,0)-IFERROR(VLOOKUP($B209,'Slutlig allokering kvv'!$B$2:$BX$549,MATCH(X$2,'Slutlig allokering kvv'!$B$1:$BX$1,0),FALSE)/1,0))</f>
        <v/>
      </c>
      <c r="Y209" s="121" t="str">
        <f>IF($D209="","",IFERROR(VLOOKUP($B209,Kraftvärmeprod!$B$1:$BX$549,MATCH(Y$2,Kraftvärmeprod!$B$1:$VX$1,0),FALSE)/1,0)-IFERROR(VLOOKUP($B209,'Slutlig allokering kvv'!$B$2:$BX$549,MATCH(Y$2,'Slutlig allokering kvv'!$B$1:$BX$1,0),FALSE)/1,0))</f>
        <v/>
      </c>
      <c r="Z209" s="121" t="str">
        <f>IF($D209="","",IFERROR(VLOOKUP($B209,Kraftvärmeprod!$B$1:$BX$549,MATCH(Z$2,Kraftvärmeprod!$B$1:$VX$1,0),FALSE)/1,0)-IFERROR(VLOOKUP($B209,'Slutlig allokering kvv'!$B$2:$BX$549,MATCH(Z$2,'Slutlig allokering kvv'!$B$1:$BX$1,0),FALSE)/1,0))</f>
        <v/>
      </c>
      <c r="AA209" s="121" t="str">
        <f>IF($D209="","",IFERROR(VLOOKUP($B209,Kraftvärmeprod!$B$1:$BX$549,MATCH(AA$2,Kraftvärmeprod!$B$1:$VX$1,0),FALSE)/1,0)-IFERROR(VLOOKUP($B209,'Slutlig allokering kvv'!$B$2:$BX$549,MATCH(AA$2,'Slutlig allokering kvv'!$B$1:$BX$1,0),FALSE)/1,0))</f>
        <v/>
      </c>
      <c r="AB209" s="121" t="str">
        <f>IF($D209="","",IFERROR(VLOOKUP($B209,Kraftvärmeprod!$B$1:$BX$549,MATCH(AB$2,Kraftvärmeprod!$B$1:$VX$1,0),FALSE)/1,0)-IFERROR(VLOOKUP($B209,'Slutlig allokering kvv'!$B$2:$BX$549,MATCH(AB$2,'Slutlig allokering kvv'!$B$1:$BX$1,0),FALSE)/1,0))</f>
        <v/>
      </c>
      <c r="AC209" s="121" t="str">
        <f>IF($D209="","",IFERROR(VLOOKUP($B209,Kraftvärmeprod!$B$1:$BX$549,MATCH(AC$2,Kraftvärmeprod!$B$1:$VX$1,0),FALSE)/1,0)-IFERROR(VLOOKUP($B209,'Slutlig allokering kvv'!$B$2:$BX$549,MATCH(AC$2,'Slutlig allokering kvv'!$B$1:$BX$1,0),FALSE)/1,0))</f>
        <v/>
      </c>
      <c r="AD209" s="121" t="str">
        <f>IF($D209="","",IFERROR(VLOOKUP($B209,Kraftvärmeprod!$B$1:$BX$549,MATCH(AD$2,Kraftvärmeprod!$B$1:$VX$1,0),FALSE)/1,0)-IFERROR(VLOOKUP($B209,'Slutlig allokering kvv'!$B$2:$BX$549,MATCH(AD$2,'Slutlig allokering kvv'!$B$1:$BX$1,0),FALSE)/1,0))</f>
        <v/>
      </c>
      <c r="AE209" s="121" t="str">
        <f>IF($D209="","",IFERROR(VLOOKUP($B209,Miljö!$B$1:$E$550,MATCH("Hjälpel kraftvärme (GWh)",Miljö!$B$1:$E$1,0),FALSE)/1,0)-IFERROR(VLOOKUP($B209,'Slutlig allokering kvv'!$B$2:$BX$549,MATCH(AE$2,'Slutlig allokering kvv'!$B$1:$BX$1,0),FALSE)/1,0))</f>
        <v/>
      </c>
      <c r="AI209" s="121">
        <f t="shared" si="12"/>
        <v>0</v>
      </c>
      <c r="AK209" s="121">
        <f>IFERROR(VLOOKUP($B209,'Slutlig allokering kvv'!$B$2:$AX$549,MATCH("Summa slutlig allokerad tillförd energi (utan hjälpel och rökgaskondensering):",'Slutlig allokering kvv'!$B$1:$AX$1,0),FALSE)/1,"")</f>
        <v>0</v>
      </c>
      <c r="AM209" s="172" t="str">
        <f>IFERROR(1-VLOOKUP($B209,'Slutlig allokering kvv'!$B$2:$AX$549,MATCH("Andel av bränsle i kvv som allokerats till värme, exklusive rökgaskondensering och hjälpel",'Slutlig allokering kvv'!$B$1:$AX$1,0),FALSE),"")</f>
        <v/>
      </c>
      <c r="AO209" s="172" t="str">
        <f t="shared" si="13"/>
        <v/>
      </c>
      <c r="AP209" s="173" t="str">
        <f t="shared" si="14"/>
        <v/>
      </c>
      <c r="AR209" s="172" t="str">
        <f t="shared" si="15"/>
        <v/>
      </c>
    </row>
    <row r="210" spans="1:44" x14ac:dyDescent="0.25">
      <c r="A210" s="171" t="str">
        <f>'Miljövärden för publ företag'!B212</f>
        <v>PiteEnergi AB</v>
      </c>
      <c r="B210" s="171" t="str">
        <f>'Miljövärden för publ företag'!C212</f>
        <v>Rosvik</v>
      </c>
      <c r="C210" s="121" t="str">
        <f>IFERROR(VLOOKUP($B210,Kraftvärmeprod!$B$1:$AH$478,MATCH(C$2,Kraftvärmeprod!$B$1:$AG$1,0),FALSE)/1,"")</f>
        <v/>
      </c>
      <c r="D210" s="121" t="str">
        <f>IFERROR(VLOOKUP($B210,Kraftvärmeprod!$B$1:$AH$478,MATCH(D$2,Kraftvärmeprod!$B$1:$AG$1,0),FALSE)/1,"")</f>
        <v/>
      </c>
      <c r="F210" s="121" t="str">
        <f>IF($D210="","",IFERROR(VLOOKUP($B210,Kraftvärmeprod!$B$1:$BX$549,MATCH(F$2,Kraftvärmeprod!$B$1:$VX$1,0),FALSE)/1,0)-IFERROR(VLOOKUP($B210,'Slutlig allokering kvv'!$B$2:$BX$549,MATCH(F$2,'Slutlig allokering kvv'!$B$1:$BX$1,0),FALSE)/1,0))</f>
        <v/>
      </c>
      <c r="G210" s="121" t="str">
        <f>IF($D210="","",IFERROR(VLOOKUP($B210,Kraftvärmeprod!$B$1:$BX$549,MATCH(G$2,Kraftvärmeprod!$B$1:$VX$1,0),FALSE)/1,0)-IFERROR(VLOOKUP($B210,'Slutlig allokering kvv'!$B$2:$BX$549,MATCH(G$2,'Slutlig allokering kvv'!$B$1:$BX$1,0),FALSE)/1,0))</f>
        <v/>
      </c>
      <c r="H210" s="121" t="str">
        <f>IF($D210="","",IFERROR(VLOOKUP($B210,Kraftvärmeprod!$B$1:$BX$549,MATCH(H$2,Kraftvärmeprod!$B$1:$VX$1,0),FALSE)/1,0)-IFERROR(VLOOKUP($B210,'Slutlig allokering kvv'!$B$2:$BX$549,MATCH(H$2,'Slutlig allokering kvv'!$B$1:$BX$1,0),FALSE)/1,0))</f>
        <v/>
      </c>
      <c r="I210" s="121" t="str">
        <f>IF($D210="","",IFERROR(VLOOKUP($B210,Kraftvärmeprod!$B$1:$BX$549,MATCH(I$2,Kraftvärmeprod!$B$1:$VX$1,0),FALSE)/1,0)-IFERROR(VLOOKUP($B210,'Slutlig allokering kvv'!$B$2:$BX$549,MATCH(I$2,'Slutlig allokering kvv'!$B$1:$BX$1,0),FALSE)/1,0))</f>
        <v/>
      </c>
      <c r="J210" s="121" t="str">
        <f>IF($D210="","",IFERROR(VLOOKUP($B210,Kraftvärmeprod!$B$1:$BX$549,MATCH(J$2,Kraftvärmeprod!$B$1:$VX$1,0),FALSE)/1,0)-IFERROR(VLOOKUP($B210,'Slutlig allokering kvv'!$B$2:$BX$549,MATCH(J$2,'Slutlig allokering kvv'!$B$1:$BX$1,0),FALSE)/1,0))</f>
        <v/>
      </c>
      <c r="K210" s="121" t="str">
        <f>IF($D210="","",IFERROR(VLOOKUP($B210,Kraftvärmeprod!$B$1:$BX$549,MATCH(K$2,Kraftvärmeprod!$B$1:$VX$1,0),FALSE)/1,0)-IFERROR(VLOOKUP($B210,'Slutlig allokering kvv'!$B$2:$BX$549,MATCH(K$2,'Slutlig allokering kvv'!$B$1:$BX$1,0),FALSE)/1,0))</f>
        <v/>
      </c>
      <c r="L210" s="121" t="str">
        <f>IF($D210="","",IFERROR(VLOOKUP($B210,Kraftvärmeprod!$B$1:$BX$549,MATCH(L$2,Kraftvärmeprod!$B$1:$VX$1,0),FALSE)/1,0)-IFERROR(VLOOKUP($B210,'Slutlig allokering kvv'!$B$2:$BX$549,MATCH(L$2,'Slutlig allokering kvv'!$B$1:$BX$1,0),FALSE)/1,0))</f>
        <v/>
      </c>
      <c r="M210" s="121" t="str">
        <f>IF($D210="","",IFERROR(VLOOKUP($B210,Kraftvärmeprod!$B$1:$BX$549,MATCH(M$2,Kraftvärmeprod!$B$1:$VX$1,0),FALSE)/1,0)-IFERROR(VLOOKUP($B210,'Slutlig allokering kvv'!$B$2:$BX$549,MATCH(M$2,'Slutlig allokering kvv'!$B$1:$BX$1,0),FALSE)/1,0))</f>
        <v/>
      </c>
      <c r="N210" s="121" t="str">
        <f>IF($D210="","",IFERROR(VLOOKUP($B210,Kraftvärmeprod!$B$1:$BX$549,MATCH(N$2,Kraftvärmeprod!$B$1:$VX$1,0),FALSE)/1,0)-IFERROR(VLOOKUP($B210,'Slutlig allokering kvv'!$B$2:$BX$549,MATCH(N$2,'Slutlig allokering kvv'!$B$1:$BX$1,0),FALSE)/1,0))</f>
        <v/>
      </c>
      <c r="O210" s="121" t="str">
        <f>IF($D210="","",IFERROR(VLOOKUP($B210,Kraftvärmeprod!$B$1:$BX$549,MATCH(O$2,Kraftvärmeprod!$B$1:$VX$1,0),FALSE)/1,0)-IFERROR(VLOOKUP($B210,'Slutlig allokering kvv'!$B$2:$BX$549,MATCH(O$2,'Slutlig allokering kvv'!$B$1:$BX$1,0),FALSE)/1,0))</f>
        <v/>
      </c>
      <c r="P210" s="121" t="str">
        <f>IF($D210="","",IFERROR(VLOOKUP($B210,Kraftvärmeprod!$B$1:$BX$549,MATCH(P$2,Kraftvärmeprod!$B$1:$VX$1,0),FALSE)/1,0)-IFERROR(VLOOKUP($B210,'Slutlig allokering kvv'!$B$2:$BX$549,MATCH(P$2,'Slutlig allokering kvv'!$B$1:$BX$1,0),FALSE)/1,0))</f>
        <v/>
      </c>
      <c r="Q210" s="121" t="str">
        <f>IF($D210="","",IFERROR(VLOOKUP($B210,Kraftvärmeprod!$B$1:$BX$549,MATCH(Q$2,Kraftvärmeprod!$B$1:$VX$1,0),FALSE)/1,0)-IFERROR(VLOOKUP($B210,'Slutlig allokering kvv'!$B$2:$BX$549,MATCH(Q$2,'Slutlig allokering kvv'!$B$1:$BX$1,0),FALSE)/1,0))</f>
        <v/>
      </c>
      <c r="R210" s="121" t="str">
        <f>IF($D210="","",IFERROR(VLOOKUP($B210,Kraftvärmeprod!$B$1:$BX$549,MATCH(R$2,Kraftvärmeprod!$B$1:$VX$1,0),FALSE)/1,0)-IFERROR(VLOOKUP($B210,'Slutlig allokering kvv'!$B$2:$BX$549,MATCH(R$2,'Slutlig allokering kvv'!$B$1:$BX$1,0),FALSE)/1,0))</f>
        <v/>
      </c>
      <c r="S210" s="121" t="str">
        <f>IF($D210="","",IFERROR(VLOOKUP($B210,Kraftvärmeprod!$B$1:$BX$549,MATCH(S$2,Kraftvärmeprod!$B$1:$VX$1,0),FALSE)/1,0)-IFERROR(VLOOKUP($B210,'Slutlig allokering kvv'!$B$2:$BX$549,MATCH(S$2,'Slutlig allokering kvv'!$B$1:$BX$1,0),FALSE)/1,0))</f>
        <v/>
      </c>
      <c r="T210" s="121" t="str">
        <f>IF($D210="","",IFERROR(VLOOKUP($B210,Kraftvärmeprod!$B$1:$BX$549,MATCH(T$2,Kraftvärmeprod!$B$1:$VX$1,0),FALSE)/1,0)-IFERROR(VLOOKUP($B210,'Slutlig allokering kvv'!$B$2:$BX$549,MATCH(T$2,'Slutlig allokering kvv'!$B$1:$BX$1,0),FALSE)/1,0))</f>
        <v/>
      </c>
      <c r="U210" s="121" t="str">
        <f>IF($D210="","",IFERROR(VLOOKUP($B210,Kraftvärmeprod!$B$1:$BX$549,MATCH(U$2,Kraftvärmeprod!$B$1:$VX$1,0),FALSE)/1,0)-IFERROR(VLOOKUP($B210,'Slutlig allokering kvv'!$B$2:$BX$549,MATCH(U$2,'Slutlig allokering kvv'!$B$1:$BX$1,0),FALSE)/1,0))</f>
        <v/>
      </c>
      <c r="V210" s="121" t="str">
        <f>IF($D210="","",IFERROR(VLOOKUP($B210,Kraftvärmeprod!$B$1:$BX$549,MATCH(V$2,Kraftvärmeprod!$B$1:$VX$1,0),FALSE)/1,0)-IFERROR(VLOOKUP($B210,'Slutlig allokering kvv'!$B$2:$BX$549,MATCH(V$2,'Slutlig allokering kvv'!$B$1:$BX$1,0),FALSE)/1,0))</f>
        <v/>
      </c>
      <c r="W210" s="121" t="str">
        <f>IF($D210="","",IFERROR(VLOOKUP($B210,Kraftvärmeprod!$B$1:$BX$549,MATCH(W$2,Kraftvärmeprod!$B$1:$VX$1,0),FALSE)/1,0)-IFERROR(VLOOKUP($B210,'Slutlig allokering kvv'!$B$2:$BX$549,MATCH(W$2,'Slutlig allokering kvv'!$B$1:$BX$1,0),FALSE)/1,0))</f>
        <v/>
      </c>
      <c r="X210" s="121" t="str">
        <f>IF($D210="","",IFERROR(VLOOKUP($B210,Kraftvärmeprod!$B$1:$BX$549,MATCH(X$2,Kraftvärmeprod!$B$1:$VX$1,0),FALSE)/1,0)-IFERROR(VLOOKUP($B210,'Slutlig allokering kvv'!$B$2:$BX$549,MATCH(X$2,'Slutlig allokering kvv'!$B$1:$BX$1,0),FALSE)/1,0))</f>
        <v/>
      </c>
      <c r="Y210" s="121" t="str">
        <f>IF($D210="","",IFERROR(VLOOKUP($B210,Kraftvärmeprod!$B$1:$BX$549,MATCH(Y$2,Kraftvärmeprod!$B$1:$VX$1,0),FALSE)/1,0)-IFERROR(VLOOKUP($B210,'Slutlig allokering kvv'!$B$2:$BX$549,MATCH(Y$2,'Slutlig allokering kvv'!$B$1:$BX$1,0),FALSE)/1,0))</f>
        <v/>
      </c>
      <c r="Z210" s="121" t="str">
        <f>IF($D210="","",IFERROR(VLOOKUP($B210,Kraftvärmeprod!$B$1:$BX$549,MATCH(Z$2,Kraftvärmeprod!$B$1:$VX$1,0),FALSE)/1,0)-IFERROR(VLOOKUP($B210,'Slutlig allokering kvv'!$B$2:$BX$549,MATCH(Z$2,'Slutlig allokering kvv'!$B$1:$BX$1,0),FALSE)/1,0))</f>
        <v/>
      </c>
      <c r="AA210" s="121" t="str">
        <f>IF($D210="","",IFERROR(VLOOKUP($B210,Kraftvärmeprod!$B$1:$BX$549,MATCH(AA$2,Kraftvärmeprod!$B$1:$VX$1,0),FALSE)/1,0)-IFERROR(VLOOKUP($B210,'Slutlig allokering kvv'!$B$2:$BX$549,MATCH(AA$2,'Slutlig allokering kvv'!$B$1:$BX$1,0),FALSE)/1,0))</f>
        <v/>
      </c>
      <c r="AB210" s="121" t="str">
        <f>IF($D210="","",IFERROR(VLOOKUP($B210,Kraftvärmeprod!$B$1:$BX$549,MATCH(AB$2,Kraftvärmeprod!$B$1:$VX$1,0),FALSE)/1,0)-IFERROR(VLOOKUP($B210,'Slutlig allokering kvv'!$B$2:$BX$549,MATCH(AB$2,'Slutlig allokering kvv'!$B$1:$BX$1,0),FALSE)/1,0))</f>
        <v/>
      </c>
      <c r="AC210" s="121" t="str">
        <f>IF($D210="","",IFERROR(VLOOKUP($B210,Kraftvärmeprod!$B$1:$BX$549,MATCH(AC$2,Kraftvärmeprod!$B$1:$VX$1,0),FALSE)/1,0)-IFERROR(VLOOKUP($B210,'Slutlig allokering kvv'!$B$2:$BX$549,MATCH(AC$2,'Slutlig allokering kvv'!$B$1:$BX$1,0),FALSE)/1,0))</f>
        <v/>
      </c>
      <c r="AD210" s="121" t="str">
        <f>IF($D210="","",IFERROR(VLOOKUP($B210,Kraftvärmeprod!$B$1:$BX$549,MATCH(AD$2,Kraftvärmeprod!$B$1:$VX$1,0),FALSE)/1,0)-IFERROR(VLOOKUP($B210,'Slutlig allokering kvv'!$B$2:$BX$549,MATCH(AD$2,'Slutlig allokering kvv'!$B$1:$BX$1,0),FALSE)/1,0))</f>
        <v/>
      </c>
      <c r="AE210" s="121" t="str">
        <f>IF($D210="","",IFERROR(VLOOKUP($B210,Miljö!$B$1:$E$550,MATCH("Hjälpel kraftvärme (GWh)",Miljö!$B$1:$E$1,0),FALSE)/1,0)-IFERROR(VLOOKUP($B210,'Slutlig allokering kvv'!$B$2:$BX$549,MATCH(AE$2,'Slutlig allokering kvv'!$B$1:$BX$1,0),FALSE)/1,0))</f>
        <v/>
      </c>
      <c r="AI210" s="121">
        <f t="shared" si="12"/>
        <v>0</v>
      </c>
      <c r="AK210" s="121">
        <f>IFERROR(VLOOKUP($B210,'Slutlig allokering kvv'!$B$2:$AX$549,MATCH("Summa slutlig allokerad tillförd energi (utan hjälpel och rökgaskondensering):",'Slutlig allokering kvv'!$B$1:$AX$1,0),FALSE)/1,"")</f>
        <v>0</v>
      </c>
      <c r="AM210" s="172" t="str">
        <f>IFERROR(1-VLOOKUP($B210,'Slutlig allokering kvv'!$B$2:$AX$549,MATCH("Andel av bränsle i kvv som allokerats till värme, exklusive rökgaskondensering och hjälpel",'Slutlig allokering kvv'!$B$1:$AX$1,0),FALSE),"")</f>
        <v/>
      </c>
      <c r="AO210" s="172" t="str">
        <f t="shared" si="13"/>
        <v/>
      </c>
      <c r="AP210" s="173" t="str">
        <f t="shared" si="14"/>
        <v/>
      </c>
      <c r="AR210" s="172" t="str">
        <f t="shared" si="15"/>
        <v/>
      </c>
    </row>
    <row r="211" spans="1:44" x14ac:dyDescent="0.25">
      <c r="A211" s="171" t="str">
        <f>'Miljövärden för publ företag'!B213</f>
        <v>PiteEnergi AB</v>
      </c>
      <c r="B211" s="171" t="str">
        <f>'Miljövärden för publ företag'!C213</f>
        <v>Sjulnäs</v>
      </c>
      <c r="C211" s="121" t="str">
        <f>IFERROR(VLOOKUP($B211,Kraftvärmeprod!$B$1:$AH$478,MATCH(C$2,Kraftvärmeprod!$B$1:$AG$1,0),FALSE)/1,"")</f>
        <v/>
      </c>
      <c r="D211" s="121" t="str">
        <f>IFERROR(VLOOKUP($B211,Kraftvärmeprod!$B$1:$AH$478,MATCH(D$2,Kraftvärmeprod!$B$1:$AG$1,0),FALSE)/1,"")</f>
        <v/>
      </c>
      <c r="F211" s="121" t="str">
        <f>IF($D211="","",IFERROR(VLOOKUP($B211,Kraftvärmeprod!$B$1:$BX$549,MATCH(F$2,Kraftvärmeprod!$B$1:$VX$1,0),FALSE)/1,0)-IFERROR(VLOOKUP($B211,'Slutlig allokering kvv'!$B$2:$BX$549,MATCH(F$2,'Slutlig allokering kvv'!$B$1:$BX$1,0),FALSE)/1,0))</f>
        <v/>
      </c>
      <c r="G211" s="121" t="str">
        <f>IF($D211="","",IFERROR(VLOOKUP($B211,Kraftvärmeprod!$B$1:$BX$549,MATCH(G$2,Kraftvärmeprod!$B$1:$VX$1,0),FALSE)/1,0)-IFERROR(VLOOKUP($B211,'Slutlig allokering kvv'!$B$2:$BX$549,MATCH(G$2,'Slutlig allokering kvv'!$B$1:$BX$1,0),FALSE)/1,0))</f>
        <v/>
      </c>
      <c r="H211" s="121" t="str">
        <f>IF($D211="","",IFERROR(VLOOKUP($B211,Kraftvärmeprod!$B$1:$BX$549,MATCH(H$2,Kraftvärmeprod!$B$1:$VX$1,0),FALSE)/1,0)-IFERROR(VLOOKUP($B211,'Slutlig allokering kvv'!$B$2:$BX$549,MATCH(H$2,'Slutlig allokering kvv'!$B$1:$BX$1,0),FALSE)/1,0))</f>
        <v/>
      </c>
      <c r="I211" s="121" t="str">
        <f>IF($D211="","",IFERROR(VLOOKUP($B211,Kraftvärmeprod!$B$1:$BX$549,MATCH(I$2,Kraftvärmeprod!$B$1:$VX$1,0),FALSE)/1,0)-IFERROR(VLOOKUP($B211,'Slutlig allokering kvv'!$B$2:$BX$549,MATCH(I$2,'Slutlig allokering kvv'!$B$1:$BX$1,0),FALSE)/1,0))</f>
        <v/>
      </c>
      <c r="J211" s="121" t="str">
        <f>IF($D211="","",IFERROR(VLOOKUP($B211,Kraftvärmeprod!$B$1:$BX$549,MATCH(J$2,Kraftvärmeprod!$B$1:$VX$1,0),FALSE)/1,0)-IFERROR(VLOOKUP($B211,'Slutlig allokering kvv'!$B$2:$BX$549,MATCH(J$2,'Slutlig allokering kvv'!$B$1:$BX$1,0),FALSE)/1,0))</f>
        <v/>
      </c>
      <c r="K211" s="121" t="str">
        <f>IF($D211="","",IFERROR(VLOOKUP($B211,Kraftvärmeprod!$B$1:$BX$549,MATCH(K$2,Kraftvärmeprod!$B$1:$VX$1,0),FALSE)/1,0)-IFERROR(VLOOKUP($B211,'Slutlig allokering kvv'!$B$2:$BX$549,MATCH(K$2,'Slutlig allokering kvv'!$B$1:$BX$1,0),FALSE)/1,0))</f>
        <v/>
      </c>
      <c r="L211" s="121" t="str">
        <f>IF($D211="","",IFERROR(VLOOKUP($B211,Kraftvärmeprod!$B$1:$BX$549,MATCH(L$2,Kraftvärmeprod!$B$1:$VX$1,0),FALSE)/1,0)-IFERROR(VLOOKUP($B211,'Slutlig allokering kvv'!$B$2:$BX$549,MATCH(L$2,'Slutlig allokering kvv'!$B$1:$BX$1,0),FALSE)/1,0))</f>
        <v/>
      </c>
      <c r="M211" s="121" t="str">
        <f>IF($D211="","",IFERROR(VLOOKUP($B211,Kraftvärmeprod!$B$1:$BX$549,MATCH(M$2,Kraftvärmeprod!$B$1:$VX$1,0),FALSE)/1,0)-IFERROR(VLOOKUP($B211,'Slutlig allokering kvv'!$B$2:$BX$549,MATCH(M$2,'Slutlig allokering kvv'!$B$1:$BX$1,0),FALSE)/1,0))</f>
        <v/>
      </c>
      <c r="N211" s="121" t="str">
        <f>IF($D211="","",IFERROR(VLOOKUP($B211,Kraftvärmeprod!$B$1:$BX$549,MATCH(N$2,Kraftvärmeprod!$B$1:$VX$1,0),FALSE)/1,0)-IFERROR(VLOOKUP($B211,'Slutlig allokering kvv'!$B$2:$BX$549,MATCH(N$2,'Slutlig allokering kvv'!$B$1:$BX$1,0),FALSE)/1,0))</f>
        <v/>
      </c>
      <c r="O211" s="121" t="str">
        <f>IF($D211="","",IFERROR(VLOOKUP($B211,Kraftvärmeprod!$B$1:$BX$549,MATCH(O$2,Kraftvärmeprod!$B$1:$VX$1,0),FALSE)/1,0)-IFERROR(VLOOKUP($B211,'Slutlig allokering kvv'!$B$2:$BX$549,MATCH(O$2,'Slutlig allokering kvv'!$B$1:$BX$1,0),FALSE)/1,0))</f>
        <v/>
      </c>
      <c r="P211" s="121" t="str">
        <f>IF($D211="","",IFERROR(VLOOKUP($B211,Kraftvärmeprod!$B$1:$BX$549,MATCH(P$2,Kraftvärmeprod!$B$1:$VX$1,0),FALSE)/1,0)-IFERROR(VLOOKUP($B211,'Slutlig allokering kvv'!$B$2:$BX$549,MATCH(P$2,'Slutlig allokering kvv'!$B$1:$BX$1,0),FALSE)/1,0))</f>
        <v/>
      </c>
      <c r="Q211" s="121" t="str">
        <f>IF($D211="","",IFERROR(VLOOKUP($B211,Kraftvärmeprod!$B$1:$BX$549,MATCH(Q$2,Kraftvärmeprod!$B$1:$VX$1,0),FALSE)/1,0)-IFERROR(VLOOKUP($B211,'Slutlig allokering kvv'!$B$2:$BX$549,MATCH(Q$2,'Slutlig allokering kvv'!$B$1:$BX$1,0),FALSE)/1,0))</f>
        <v/>
      </c>
      <c r="R211" s="121" t="str">
        <f>IF($D211="","",IFERROR(VLOOKUP($B211,Kraftvärmeprod!$B$1:$BX$549,MATCH(R$2,Kraftvärmeprod!$B$1:$VX$1,0),FALSE)/1,0)-IFERROR(VLOOKUP($B211,'Slutlig allokering kvv'!$B$2:$BX$549,MATCH(R$2,'Slutlig allokering kvv'!$B$1:$BX$1,0),FALSE)/1,0))</f>
        <v/>
      </c>
      <c r="S211" s="121" t="str">
        <f>IF($D211="","",IFERROR(VLOOKUP($B211,Kraftvärmeprod!$B$1:$BX$549,MATCH(S$2,Kraftvärmeprod!$B$1:$VX$1,0),FALSE)/1,0)-IFERROR(VLOOKUP($B211,'Slutlig allokering kvv'!$B$2:$BX$549,MATCH(S$2,'Slutlig allokering kvv'!$B$1:$BX$1,0),FALSE)/1,0))</f>
        <v/>
      </c>
      <c r="T211" s="121" t="str">
        <f>IF($D211="","",IFERROR(VLOOKUP($B211,Kraftvärmeprod!$B$1:$BX$549,MATCH(T$2,Kraftvärmeprod!$B$1:$VX$1,0),FALSE)/1,0)-IFERROR(VLOOKUP($B211,'Slutlig allokering kvv'!$B$2:$BX$549,MATCH(T$2,'Slutlig allokering kvv'!$B$1:$BX$1,0),FALSE)/1,0))</f>
        <v/>
      </c>
      <c r="U211" s="121" t="str">
        <f>IF($D211="","",IFERROR(VLOOKUP($B211,Kraftvärmeprod!$B$1:$BX$549,MATCH(U$2,Kraftvärmeprod!$B$1:$VX$1,0),FALSE)/1,0)-IFERROR(VLOOKUP($B211,'Slutlig allokering kvv'!$B$2:$BX$549,MATCH(U$2,'Slutlig allokering kvv'!$B$1:$BX$1,0),FALSE)/1,0))</f>
        <v/>
      </c>
      <c r="V211" s="121" t="str">
        <f>IF($D211="","",IFERROR(VLOOKUP($B211,Kraftvärmeprod!$B$1:$BX$549,MATCH(V$2,Kraftvärmeprod!$B$1:$VX$1,0),FALSE)/1,0)-IFERROR(VLOOKUP($B211,'Slutlig allokering kvv'!$B$2:$BX$549,MATCH(V$2,'Slutlig allokering kvv'!$B$1:$BX$1,0),FALSE)/1,0))</f>
        <v/>
      </c>
      <c r="W211" s="121" t="str">
        <f>IF($D211="","",IFERROR(VLOOKUP($B211,Kraftvärmeprod!$B$1:$BX$549,MATCH(W$2,Kraftvärmeprod!$B$1:$VX$1,0),FALSE)/1,0)-IFERROR(VLOOKUP($B211,'Slutlig allokering kvv'!$B$2:$BX$549,MATCH(W$2,'Slutlig allokering kvv'!$B$1:$BX$1,0),FALSE)/1,0))</f>
        <v/>
      </c>
      <c r="X211" s="121" t="str">
        <f>IF($D211="","",IFERROR(VLOOKUP($B211,Kraftvärmeprod!$B$1:$BX$549,MATCH(X$2,Kraftvärmeprod!$B$1:$VX$1,0),FALSE)/1,0)-IFERROR(VLOOKUP($B211,'Slutlig allokering kvv'!$B$2:$BX$549,MATCH(X$2,'Slutlig allokering kvv'!$B$1:$BX$1,0),FALSE)/1,0))</f>
        <v/>
      </c>
      <c r="Y211" s="121" t="str">
        <f>IF($D211="","",IFERROR(VLOOKUP($B211,Kraftvärmeprod!$B$1:$BX$549,MATCH(Y$2,Kraftvärmeprod!$B$1:$VX$1,0),FALSE)/1,0)-IFERROR(VLOOKUP($B211,'Slutlig allokering kvv'!$B$2:$BX$549,MATCH(Y$2,'Slutlig allokering kvv'!$B$1:$BX$1,0),FALSE)/1,0))</f>
        <v/>
      </c>
      <c r="Z211" s="121" t="str">
        <f>IF($D211="","",IFERROR(VLOOKUP($B211,Kraftvärmeprod!$B$1:$BX$549,MATCH(Z$2,Kraftvärmeprod!$B$1:$VX$1,0),FALSE)/1,0)-IFERROR(VLOOKUP($B211,'Slutlig allokering kvv'!$B$2:$BX$549,MATCH(Z$2,'Slutlig allokering kvv'!$B$1:$BX$1,0),FALSE)/1,0))</f>
        <v/>
      </c>
      <c r="AA211" s="121" t="str">
        <f>IF($D211="","",IFERROR(VLOOKUP($B211,Kraftvärmeprod!$B$1:$BX$549,MATCH(AA$2,Kraftvärmeprod!$B$1:$VX$1,0),FALSE)/1,0)-IFERROR(VLOOKUP($B211,'Slutlig allokering kvv'!$B$2:$BX$549,MATCH(AA$2,'Slutlig allokering kvv'!$B$1:$BX$1,0),FALSE)/1,0))</f>
        <v/>
      </c>
      <c r="AB211" s="121" t="str">
        <f>IF($D211="","",IFERROR(VLOOKUP($B211,Kraftvärmeprod!$B$1:$BX$549,MATCH(AB$2,Kraftvärmeprod!$B$1:$VX$1,0),FALSE)/1,0)-IFERROR(VLOOKUP($B211,'Slutlig allokering kvv'!$B$2:$BX$549,MATCH(AB$2,'Slutlig allokering kvv'!$B$1:$BX$1,0),FALSE)/1,0))</f>
        <v/>
      </c>
      <c r="AC211" s="121" t="str">
        <f>IF($D211="","",IFERROR(VLOOKUP($B211,Kraftvärmeprod!$B$1:$BX$549,MATCH(AC$2,Kraftvärmeprod!$B$1:$VX$1,0),FALSE)/1,0)-IFERROR(VLOOKUP($B211,'Slutlig allokering kvv'!$B$2:$BX$549,MATCH(AC$2,'Slutlig allokering kvv'!$B$1:$BX$1,0),FALSE)/1,0))</f>
        <v/>
      </c>
      <c r="AD211" s="121" t="str">
        <f>IF($D211="","",IFERROR(VLOOKUP($B211,Kraftvärmeprod!$B$1:$BX$549,MATCH(AD$2,Kraftvärmeprod!$B$1:$VX$1,0),FALSE)/1,0)-IFERROR(VLOOKUP($B211,'Slutlig allokering kvv'!$B$2:$BX$549,MATCH(AD$2,'Slutlig allokering kvv'!$B$1:$BX$1,0),FALSE)/1,0))</f>
        <v/>
      </c>
      <c r="AE211" s="121" t="str">
        <f>IF($D211="","",IFERROR(VLOOKUP($B211,Miljö!$B$1:$E$550,MATCH("Hjälpel kraftvärme (GWh)",Miljö!$B$1:$E$1,0),FALSE)/1,0)-IFERROR(VLOOKUP($B211,'Slutlig allokering kvv'!$B$2:$BX$549,MATCH(AE$2,'Slutlig allokering kvv'!$B$1:$BX$1,0),FALSE)/1,0))</f>
        <v/>
      </c>
      <c r="AI211" s="121">
        <f t="shared" si="12"/>
        <v>0</v>
      </c>
      <c r="AK211" s="121">
        <f>IFERROR(VLOOKUP($B211,'Slutlig allokering kvv'!$B$2:$AX$549,MATCH("Summa slutlig allokerad tillförd energi (utan hjälpel och rökgaskondensering):",'Slutlig allokering kvv'!$B$1:$AX$1,0),FALSE)/1,"")</f>
        <v>0</v>
      </c>
      <c r="AM211" s="172" t="str">
        <f>IFERROR(1-VLOOKUP($B211,'Slutlig allokering kvv'!$B$2:$AX$549,MATCH("Andel av bränsle i kvv som allokerats till värme, exklusive rökgaskondensering och hjälpel",'Slutlig allokering kvv'!$B$1:$AX$1,0),FALSE),"")</f>
        <v/>
      </c>
      <c r="AO211" s="172" t="str">
        <f t="shared" si="13"/>
        <v/>
      </c>
      <c r="AP211" s="173" t="str">
        <f t="shared" si="14"/>
        <v/>
      </c>
      <c r="AR211" s="172" t="str">
        <f t="shared" si="15"/>
        <v/>
      </c>
    </row>
    <row r="212" spans="1:44" x14ac:dyDescent="0.25">
      <c r="A212" s="171" t="str">
        <f>'Miljövärden för publ företag'!B214</f>
        <v>Ronneby Miljö och Teknik AB</v>
      </c>
      <c r="B212" s="171" t="str">
        <f>'Miljövärden för publ företag'!C214</f>
        <v>Bräkne-Hoby</v>
      </c>
      <c r="C212" s="121">
        <f>IFERROR(VLOOKUP($B212,Kraftvärmeprod!$B$1:$AH$478,MATCH(C$2,Kraftvärmeprod!$B$1:$AG$1,0),FALSE)/1,"")</f>
        <v>5.3</v>
      </c>
      <c r="D212" s="121">
        <f>IFERROR(VLOOKUP($B212,Kraftvärmeprod!$B$1:$AH$478,MATCH(D$2,Kraftvärmeprod!$B$1:$AG$1,0),FALSE)/1,"")</f>
        <v>0.05</v>
      </c>
      <c r="F212" s="121">
        <f>IF($D212="","",IFERROR(VLOOKUP($B212,Kraftvärmeprod!$B$1:$BX$549,MATCH(F$2,Kraftvärmeprod!$B$1:$VX$1,0),FALSE)/1,0)-IFERROR(VLOOKUP($B212,'Slutlig allokering kvv'!$B$2:$BX$549,MATCH(F$2,'Slutlig allokering kvv'!$B$1:$BX$1,0),FALSE)/1,0))</f>
        <v>0</v>
      </c>
      <c r="G212" s="121">
        <f>IF($D212="","",IFERROR(VLOOKUP($B212,Kraftvärmeprod!$B$1:$BX$549,MATCH(G$2,Kraftvärmeprod!$B$1:$VX$1,0),FALSE)/1,0)-IFERROR(VLOOKUP($B212,'Slutlig allokering kvv'!$B$2:$BX$549,MATCH(G$2,'Slutlig allokering kvv'!$B$1:$BX$1,0),FALSE)/1,0))</f>
        <v>0</v>
      </c>
      <c r="H212" s="121">
        <f>IF($D212="","",IFERROR(VLOOKUP($B212,Kraftvärmeprod!$B$1:$BX$549,MATCH(H$2,Kraftvärmeprod!$B$1:$VX$1,0),FALSE)/1,0)-IFERROR(VLOOKUP($B212,'Slutlig allokering kvv'!$B$2:$BX$549,MATCH(H$2,'Slutlig allokering kvv'!$B$1:$BX$1,0),FALSE)/1,0))</f>
        <v>0</v>
      </c>
      <c r="I212" s="121">
        <f>IF($D212="","",IFERROR(VLOOKUP($B212,Kraftvärmeprod!$B$1:$BX$549,MATCH(I$2,Kraftvärmeprod!$B$1:$VX$1,0),FALSE)/1,0)-IFERROR(VLOOKUP($B212,'Slutlig allokering kvv'!$B$2:$BX$549,MATCH(I$2,'Slutlig allokering kvv'!$B$1:$BX$1,0),FALSE)/1,0))</f>
        <v>0</v>
      </c>
      <c r="J212" s="121">
        <f>IF($D212="","",IFERROR(VLOOKUP($B212,Kraftvärmeprod!$B$1:$BX$549,MATCH(J$2,Kraftvärmeprod!$B$1:$VX$1,0),FALSE)/1,0)-IFERROR(VLOOKUP($B212,'Slutlig allokering kvv'!$B$2:$BX$549,MATCH(J$2,'Slutlig allokering kvv'!$B$1:$BX$1,0),FALSE)/1,0))</f>
        <v>0</v>
      </c>
      <c r="K212" s="121">
        <f>IF($D212="","",IFERROR(VLOOKUP($B212,Kraftvärmeprod!$B$1:$BX$549,MATCH(K$2,Kraftvärmeprod!$B$1:$VX$1,0),FALSE)/1,0)-IFERROR(VLOOKUP($B212,'Slutlig allokering kvv'!$B$2:$BX$549,MATCH(K$2,'Slutlig allokering kvv'!$B$1:$BX$1,0),FALSE)/1,0))</f>
        <v>0</v>
      </c>
      <c r="L212" s="121">
        <f>IF($D212="","",IFERROR(VLOOKUP($B212,Kraftvärmeprod!$B$1:$BX$549,MATCH(L$2,Kraftvärmeprod!$B$1:$VX$1,0),FALSE)/1,0)-IFERROR(VLOOKUP($B212,'Slutlig allokering kvv'!$B$2:$BX$549,MATCH(L$2,'Slutlig allokering kvv'!$B$1:$BX$1,0),FALSE)/1,0))</f>
        <v>4.5590000000000019E-2</v>
      </c>
      <c r="M212" s="121">
        <f>IF($D212="","",IFERROR(VLOOKUP($B212,Kraftvärmeprod!$B$1:$BX$549,MATCH(M$2,Kraftvärmeprod!$B$1:$VX$1,0),FALSE)/1,0)-IFERROR(VLOOKUP($B212,'Slutlig allokering kvv'!$B$2:$BX$549,MATCH(M$2,'Slutlig allokering kvv'!$B$1:$BX$1,0),FALSE)/1,0))</f>
        <v>4.5590000000000019E-2</v>
      </c>
      <c r="N212" s="121">
        <f>IF($D212="","",IFERROR(VLOOKUP($B212,Kraftvärmeprod!$B$1:$BX$549,MATCH(N$2,Kraftvärmeprod!$B$1:$VX$1,0),FALSE)/1,0)-IFERROR(VLOOKUP($B212,'Slutlig allokering kvv'!$B$2:$BX$549,MATCH(N$2,'Slutlig allokering kvv'!$B$1:$BX$1,0),FALSE)/1,0))</f>
        <v>4.5590000000000019E-2</v>
      </c>
      <c r="O212" s="121">
        <f>IF($D212="","",IFERROR(VLOOKUP($B212,Kraftvärmeprod!$B$1:$BX$549,MATCH(O$2,Kraftvärmeprod!$B$1:$VX$1,0),FALSE)/1,0)-IFERROR(VLOOKUP($B212,'Slutlig allokering kvv'!$B$2:$BX$549,MATCH(O$2,'Slutlig allokering kvv'!$B$1:$BX$1,0),FALSE)/1,0))</f>
        <v>1.1998000000000009E-2</v>
      </c>
      <c r="P212" s="121">
        <f>IF($D212="","",IFERROR(VLOOKUP($B212,Kraftvärmeprod!$B$1:$BX$549,MATCH(P$2,Kraftvärmeprod!$B$1:$VX$1,0),FALSE)/1,0)-IFERROR(VLOOKUP($B212,'Slutlig allokering kvv'!$B$2:$BX$549,MATCH(P$2,'Slutlig allokering kvv'!$B$1:$BX$1,0),FALSE)/1,0))</f>
        <v>0</v>
      </c>
      <c r="Q212" s="121">
        <f>IF($D212="","",IFERROR(VLOOKUP($B212,Kraftvärmeprod!$B$1:$BX$549,MATCH(Q$2,Kraftvärmeprod!$B$1:$VX$1,0),FALSE)/1,0)-IFERROR(VLOOKUP($B212,'Slutlig allokering kvv'!$B$2:$BX$549,MATCH(Q$2,'Slutlig allokering kvv'!$B$1:$BX$1,0),FALSE)/1,0))</f>
        <v>0</v>
      </c>
      <c r="R212" s="121">
        <f>IF($D212="","",IFERROR(VLOOKUP($B212,Kraftvärmeprod!$B$1:$BX$549,MATCH(R$2,Kraftvärmeprod!$B$1:$VX$1,0),FALSE)/1,0)-IFERROR(VLOOKUP($B212,'Slutlig allokering kvv'!$B$2:$BX$549,MATCH(R$2,'Slutlig allokering kvv'!$B$1:$BX$1,0),FALSE)/1,0))</f>
        <v>0</v>
      </c>
      <c r="S212" s="121">
        <f>IF($D212="","",IFERROR(VLOOKUP($B212,Kraftvärmeprod!$B$1:$BX$549,MATCH(S$2,Kraftvärmeprod!$B$1:$VX$1,0),FALSE)/1,0)-IFERROR(VLOOKUP($B212,'Slutlig allokering kvv'!$B$2:$BX$549,MATCH(S$2,'Slutlig allokering kvv'!$B$1:$BX$1,0),FALSE)/1,0))</f>
        <v>0</v>
      </c>
      <c r="T212" s="121">
        <f>IF($D212="","",IFERROR(VLOOKUP($B212,Kraftvärmeprod!$B$1:$BX$549,MATCH(T$2,Kraftvärmeprod!$B$1:$VX$1,0),FALSE)/1,0)-IFERROR(VLOOKUP($B212,'Slutlig allokering kvv'!$B$2:$BX$549,MATCH(T$2,'Slutlig allokering kvv'!$B$1:$BX$1,0),FALSE)/1,0))</f>
        <v>0</v>
      </c>
      <c r="U212" s="121">
        <f>IF($D212="","",IFERROR(VLOOKUP($B212,Kraftvärmeprod!$B$1:$BX$549,MATCH(U$2,Kraftvärmeprod!$B$1:$VX$1,0),FALSE)/1,0)-IFERROR(VLOOKUP($B212,'Slutlig allokering kvv'!$B$2:$BX$549,MATCH(U$2,'Slutlig allokering kvv'!$B$1:$BX$1,0),FALSE)/1,0))</f>
        <v>0</v>
      </c>
      <c r="V212" s="121">
        <f>IF($D212="","",IFERROR(VLOOKUP($B212,Kraftvärmeprod!$B$1:$BX$549,MATCH(V$2,Kraftvärmeprod!$B$1:$VX$1,0),FALSE)/1,0)-IFERROR(VLOOKUP($B212,'Slutlig allokering kvv'!$B$2:$BX$549,MATCH(V$2,'Slutlig allokering kvv'!$B$1:$BX$1,0),FALSE)/1,0))</f>
        <v>0</v>
      </c>
      <c r="W212" s="121">
        <f>IF($D212="","",IFERROR(VLOOKUP($B212,Kraftvärmeprod!$B$1:$BX$549,MATCH(W$2,Kraftvärmeprod!$B$1:$VX$1,0),FALSE)/1,0)-IFERROR(VLOOKUP($B212,'Slutlig allokering kvv'!$B$2:$BX$549,MATCH(W$2,'Slutlig allokering kvv'!$B$1:$BX$1,0),FALSE)/1,0))</f>
        <v>0</v>
      </c>
      <c r="X212" s="121">
        <f>IF($D212="","",IFERROR(VLOOKUP($B212,Kraftvärmeprod!$B$1:$BX$549,MATCH(X$2,Kraftvärmeprod!$B$1:$VX$1,0),FALSE)/1,0)-IFERROR(VLOOKUP($B212,'Slutlig allokering kvv'!$B$2:$BX$549,MATCH(X$2,'Slutlig allokering kvv'!$B$1:$BX$1,0),FALSE)/1,0))</f>
        <v>0</v>
      </c>
      <c r="Y212" s="121">
        <f>IF($D212="","",IFERROR(VLOOKUP($B212,Kraftvärmeprod!$B$1:$BX$549,MATCH(Y$2,Kraftvärmeprod!$B$1:$VX$1,0),FALSE)/1,0)-IFERROR(VLOOKUP($B212,'Slutlig allokering kvv'!$B$2:$BX$549,MATCH(Y$2,'Slutlig allokering kvv'!$B$1:$BX$1,0),FALSE)/1,0))</f>
        <v>0</v>
      </c>
      <c r="Z212" s="121">
        <f>IF($D212="","",IFERROR(VLOOKUP($B212,Kraftvärmeprod!$B$1:$BX$549,MATCH(Z$2,Kraftvärmeprod!$B$1:$VX$1,0),FALSE)/1,0)-IFERROR(VLOOKUP($B212,'Slutlig allokering kvv'!$B$2:$BX$549,MATCH(Z$2,'Slutlig allokering kvv'!$B$1:$BX$1,0),FALSE)/1,0))</f>
        <v>0</v>
      </c>
      <c r="AA212" s="121">
        <f>IF($D212="","",IFERROR(VLOOKUP($B212,Kraftvärmeprod!$B$1:$BX$549,MATCH(AA$2,Kraftvärmeprod!$B$1:$VX$1,0),FALSE)/1,0)-IFERROR(VLOOKUP($B212,'Slutlig allokering kvv'!$B$2:$BX$549,MATCH(AA$2,'Slutlig allokering kvv'!$B$1:$BX$1,0),FALSE)/1,0))</f>
        <v>0</v>
      </c>
      <c r="AB212" s="121">
        <f>IF($D212="","",IFERROR(VLOOKUP($B212,Kraftvärmeprod!$B$1:$BX$549,MATCH(AB$2,Kraftvärmeprod!$B$1:$VX$1,0),FALSE)/1,0)-IFERROR(VLOOKUP($B212,'Slutlig allokering kvv'!$B$2:$BX$549,MATCH(AB$2,'Slutlig allokering kvv'!$B$1:$BX$1,0),FALSE)/1,0))</f>
        <v>0</v>
      </c>
      <c r="AC212" s="121">
        <f>IF($D212="","",IFERROR(VLOOKUP($B212,Kraftvärmeprod!$B$1:$BX$549,MATCH(AC$2,Kraftvärmeprod!$B$1:$VX$1,0),FALSE)/1,0)-IFERROR(VLOOKUP($B212,'Slutlig allokering kvv'!$B$2:$BX$549,MATCH(AC$2,'Slutlig allokering kvv'!$B$1:$BX$1,0),FALSE)/1,0))</f>
        <v>0</v>
      </c>
      <c r="AD212" s="121">
        <f>IF($D212="","",IFERROR(VLOOKUP($B212,Kraftvärmeprod!$B$1:$BX$549,MATCH(AD$2,Kraftvärmeprod!$B$1:$VX$1,0),FALSE)/1,0)-IFERROR(VLOOKUP($B212,'Slutlig allokering kvv'!$B$2:$BX$549,MATCH(AD$2,'Slutlig allokering kvv'!$B$1:$BX$1,0),FALSE)/1,0))</f>
        <v>0</v>
      </c>
      <c r="AE212" s="121">
        <f>IF($D212="","",IFERROR(VLOOKUP($B212,Miljö!$B$1:$E$550,MATCH("Hjälpel kraftvärme (GWh)",Miljö!$B$1:$E$1,0),FALSE)/1,0)-IFERROR(VLOOKUP($B212,'Slutlig allokering kvv'!$B$2:$BX$549,MATCH(AE$2,'Slutlig allokering kvv'!$B$1:$BX$1,0),FALSE)/1,0))</f>
        <v>4.7990000000000142E-5</v>
      </c>
      <c r="AI212" s="121">
        <f t="shared" si="12"/>
        <v>0.14876800000000007</v>
      </c>
      <c r="AK212" s="121">
        <f>IFERROR(VLOOKUP($B212,'Slutlig allokering kvv'!$B$2:$AX$549,MATCH("Summa slutlig allokerad tillförd energi (utan hjälpel och rökgaskondensering):",'Slutlig allokering kvv'!$B$1:$AX$1,0),FALSE)/1,"")</f>
        <v>6.0512319999999997</v>
      </c>
      <c r="AM212" s="172">
        <f>IFERROR(1-VLOOKUP($B212,'Slutlig allokering kvv'!$B$2:$AX$549,MATCH("Andel av bränsle i kvv som allokerats till värme, exklusive rökgaskondensering och hjälpel",'Slutlig allokering kvv'!$B$1:$AX$1,0),FALSE),"")</f>
        <v>2.3994838709677335E-2</v>
      </c>
      <c r="AO212" s="172">
        <f t="shared" si="13"/>
        <v>2.3994838709677429E-2</v>
      </c>
      <c r="AP212" s="173">
        <f t="shared" si="14"/>
        <v>-9.3675067702747583E-17</v>
      </c>
      <c r="AR212" s="172">
        <f t="shared" si="15"/>
        <v>0.33598540049358933</v>
      </c>
    </row>
    <row r="213" spans="1:44" x14ac:dyDescent="0.25">
      <c r="A213" s="171" t="str">
        <f>'Miljövärden för publ företag'!B215</f>
        <v>Ronneby Miljö och Teknik AB</v>
      </c>
      <c r="B213" s="171" t="str">
        <f>'Miljövärden för publ företag'!C215</f>
        <v>Ronneby-Kallinge</v>
      </c>
      <c r="C213" s="121">
        <f>IFERROR(VLOOKUP($B213,Kraftvärmeprod!$B$1:$AH$478,MATCH(C$2,Kraftvärmeprod!$B$1:$AG$1,0),FALSE)/1,"")</f>
        <v>9.8000000000000007</v>
      </c>
      <c r="D213" s="121">
        <f>IFERROR(VLOOKUP($B213,Kraftvärmeprod!$B$1:$AH$478,MATCH(D$2,Kraftvärmeprod!$B$1:$AG$1,0),FALSE)/1,"")</f>
        <v>0.56000000000000005</v>
      </c>
      <c r="F213" s="121">
        <f>IF($D213="","",IFERROR(VLOOKUP($B213,Kraftvärmeprod!$B$1:$BX$549,MATCH(F$2,Kraftvärmeprod!$B$1:$VX$1,0),FALSE)/1,0)-IFERROR(VLOOKUP($B213,'Slutlig allokering kvv'!$B$2:$BX$549,MATCH(F$2,'Slutlig allokering kvv'!$B$1:$BX$1,0),FALSE)/1,0))</f>
        <v>0</v>
      </c>
      <c r="G213" s="121">
        <f>IF($D213="","",IFERROR(VLOOKUP($B213,Kraftvärmeprod!$B$1:$BX$549,MATCH(G$2,Kraftvärmeprod!$B$1:$VX$1,0),FALSE)/1,0)-IFERROR(VLOOKUP($B213,'Slutlig allokering kvv'!$B$2:$BX$549,MATCH(G$2,'Slutlig allokering kvv'!$B$1:$BX$1,0),FALSE)/1,0))</f>
        <v>0</v>
      </c>
      <c r="H213" s="121">
        <f>IF($D213="","",IFERROR(VLOOKUP($B213,Kraftvärmeprod!$B$1:$BX$549,MATCH(H$2,Kraftvärmeprod!$B$1:$VX$1,0),FALSE)/1,0)-IFERROR(VLOOKUP($B213,'Slutlig allokering kvv'!$B$2:$BX$549,MATCH(H$2,'Slutlig allokering kvv'!$B$1:$BX$1,0),FALSE)/1,0))</f>
        <v>0</v>
      </c>
      <c r="I213" s="121">
        <f>IF($D213="","",IFERROR(VLOOKUP($B213,Kraftvärmeprod!$B$1:$BX$549,MATCH(I$2,Kraftvärmeprod!$B$1:$VX$1,0),FALSE)/1,0)-IFERROR(VLOOKUP($B213,'Slutlig allokering kvv'!$B$2:$BX$549,MATCH(I$2,'Slutlig allokering kvv'!$B$1:$BX$1,0),FALSE)/1,0))</f>
        <v>0</v>
      </c>
      <c r="J213" s="121">
        <f>IF($D213="","",IFERROR(VLOOKUP($B213,Kraftvärmeprod!$B$1:$BX$549,MATCH(J$2,Kraftvärmeprod!$B$1:$VX$1,0),FALSE)/1,0)-IFERROR(VLOOKUP($B213,'Slutlig allokering kvv'!$B$2:$BX$549,MATCH(J$2,'Slutlig allokering kvv'!$B$1:$BX$1,0),FALSE)/1,0))</f>
        <v>0</v>
      </c>
      <c r="K213" s="121">
        <f>IF($D213="","",IFERROR(VLOOKUP($B213,Kraftvärmeprod!$B$1:$BX$549,MATCH(K$2,Kraftvärmeprod!$B$1:$VX$1,0),FALSE)/1,0)-IFERROR(VLOOKUP($B213,'Slutlig allokering kvv'!$B$2:$BX$549,MATCH(K$2,'Slutlig allokering kvv'!$B$1:$BX$1,0),FALSE)/1,0))</f>
        <v>0</v>
      </c>
      <c r="L213" s="121">
        <f>IF($D213="","",IFERROR(VLOOKUP($B213,Kraftvärmeprod!$B$1:$BX$549,MATCH(L$2,Kraftvärmeprod!$B$1:$VX$1,0),FALSE)/1,0)-IFERROR(VLOOKUP($B213,'Slutlig allokering kvv'!$B$2:$BX$549,MATCH(L$2,'Slutlig allokering kvv'!$B$1:$BX$1,0),FALSE)/1,0))</f>
        <v>0.45365000000000011</v>
      </c>
      <c r="M213" s="121">
        <f>IF($D213="","",IFERROR(VLOOKUP($B213,Kraftvärmeprod!$B$1:$BX$549,MATCH(M$2,Kraftvärmeprod!$B$1:$VX$1,0),FALSE)/1,0)-IFERROR(VLOOKUP($B213,'Slutlig allokering kvv'!$B$2:$BX$549,MATCH(M$2,'Slutlig allokering kvv'!$B$1:$BX$1,0),FALSE)/1,0))</f>
        <v>0.45365000000000011</v>
      </c>
      <c r="N213" s="121">
        <f>IF($D213="","",IFERROR(VLOOKUP($B213,Kraftvärmeprod!$B$1:$BX$549,MATCH(N$2,Kraftvärmeprod!$B$1:$VX$1,0),FALSE)/1,0)-IFERROR(VLOOKUP($B213,'Slutlig allokering kvv'!$B$2:$BX$549,MATCH(N$2,'Slutlig allokering kvv'!$B$1:$BX$1,0),FALSE)/1,0))</f>
        <v>0.45365000000000011</v>
      </c>
      <c r="O213" s="121">
        <f>IF($D213="","",IFERROR(VLOOKUP($B213,Kraftvärmeprod!$B$1:$BX$549,MATCH(O$2,Kraftvärmeprod!$B$1:$VX$1,0),FALSE)/1,0)-IFERROR(VLOOKUP($B213,'Slutlig allokering kvv'!$B$2:$BX$549,MATCH(O$2,'Slutlig allokering kvv'!$B$1:$BX$1,0),FALSE)/1,0))</f>
        <v>0.15554000000000001</v>
      </c>
      <c r="P213" s="121">
        <f>IF($D213="","",IFERROR(VLOOKUP($B213,Kraftvärmeprod!$B$1:$BX$549,MATCH(P$2,Kraftvärmeprod!$B$1:$VX$1,0),FALSE)/1,0)-IFERROR(VLOOKUP($B213,'Slutlig allokering kvv'!$B$2:$BX$549,MATCH(P$2,'Slutlig allokering kvv'!$B$1:$BX$1,0),FALSE)/1,0))</f>
        <v>0</v>
      </c>
      <c r="Q213" s="121">
        <f>IF($D213="","",IFERROR(VLOOKUP($B213,Kraftvärmeprod!$B$1:$BX$549,MATCH(Q$2,Kraftvärmeprod!$B$1:$VX$1,0),FALSE)/1,0)-IFERROR(VLOOKUP($B213,'Slutlig allokering kvv'!$B$2:$BX$549,MATCH(Q$2,'Slutlig allokering kvv'!$B$1:$BX$1,0),FALSE)/1,0))</f>
        <v>0</v>
      </c>
      <c r="R213" s="121">
        <f>IF($D213="","",IFERROR(VLOOKUP($B213,Kraftvärmeprod!$B$1:$BX$549,MATCH(R$2,Kraftvärmeprod!$B$1:$VX$1,0),FALSE)/1,0)-IFERROR(VLOOKUP($B213,'Slutlig allokering kvv'!$B$2:$BX$549,MATCH(R$2,'Slutlig allokering kvv'!$B$1:$BX$1,0),FALSE)/1,0))</f>
        <v>0</v>
      </c>
      <c r="S213" s="121">
        <f>IF($D213="","",IFERROR(VLOOKUP($B213,Kraftvärmeprod!$B$1:$BX$549,MATCH(S$2,Kraftvärmeprod!$B$1:$VX$1,0),FALSE)/1,0)-IFERROR(VLOOKUP($B213,'Slutlig allokering kvv'!$B$2:$BX$549,MATCH(S$2,'Slutlig allokering kvv'!$B$1:$BX$1,0),FALSE)/1,0))</f>
        <v>0</v>
      </c>
      <c r="T213" s="121">
        <f>IF($D213="","",IFERROR(VLOOKUP($B213,Kraftvärmeprod!$B$1:$BX$549,MATCH(T$2,Kraftvärmeprod!$B$1:$VX$1,0),FALSE)/1,0)-IFERROR(VLOOKUP($B213,'Slutlig allokering kvv'!$B$2:$BX$549,MATCH(T$2,'Slutlig allokering kvv'!$B$1:$BX$1,0),FALSE)/1,0))</f>
        <v>0</v>
      </c>
      <c r="U213" s="121">
        <f>IF($D213="","",IFERROR(VLOOKUP($B213,Kraftvärmeprod!$B$1:$BX$549,MATCH(U$2,Kraftvärmeprod!$B$1:$VX$1,0),FALSE)/1,0)-IFERROR(VLOOKUP($B213,'Slutlig allokering kvv'!$B$2:$BX$549,MATCH(U$2,'Slutlig allokering kvv'!$B$1:$BX$1,0),FALSE)/1,0))</f>
        <v>0</v>
      </c>
      <c r="V213" s="121">
        <f>IF($D213="","",IFERROR(VLOOKUP($B213,Kraftvärmeprod!$B$1:$BX$549,MATCH(V$2,Kraftvärmeprod!$B$1:$VX$1,0),FALSE)/1,0)-IFERROR(VLOOKUP($B213,'Slutlig allokering kvv'!$B$2:$BX$549,MATCH(V$2,'Slutlig allokering kvv'!$B$1:$BX$1,0),FALSE)/1,0))</f>
        <v>0</v>
      </c>
      <c r="W213" s="121">
        <f>IF($D213="","",IFERROR(VLOOKUP($B213,Kraftvärmeprod!$B$1:$BX$549,MATCH(W$2,Kraftvärmeprod!$B$1:$VX$1,0),FALSE)/1,0)-IFERROR(VLOOKUP($B213,'Slutlig allokering kvv'!$B$2:$BX$549,MATCH(W$2,'Slutlig allokering kvv'!$B$1:$BX$1,0),FALSE)/1,0))</f>
        <v>0</v>
      </c>
      <c r="X213" s="121">
        <f>IF($D213="","",IFERROR(VLOOKUP($B213,Kraftvärmeprod!$B$1:$BX$549,MATCH(X$2,Kraftvärmeprod!$B$1:$VX$1,0),FALSE)/1,0)-IFERROR(VLOOKUP($B213,'Slutlig allokering kvv'!$B$2:$BX$549,MATCH(X$2,'Slutlig allokering kvv'!$B$1:$BX$1,0),FALSE)/1,0))</f>
        <v>0</v>
      </c>
      <c r="Y213" s="121">
        <f>IF($D213="","",IFERROR(VLOOKUP($B213,Kraftvärmeprod!$B$1:$BX$549,MATCH(Y$2,Kraftvärmeprod!$B$1:$VX$1,0),FALSE)/1,0)-IFERROR(VLOOKUP($B213,'Slutlig allokering kvv'!$B$2:$BX$549,MATCH(Y$2,'Slutlig allokering kvv'!$B$1:$BX$1,0),FALSE)/1,0))</f>
        <v>0</v>
      </c>
      <c r="Z213" s="121">
        <f>IF($D213="","",IFERROR(VLOOKUP($B213,Kraftvärmeprod!$B$1:$BX$549,MATCH(Z$2,Kraftvärmeprod!$B$1:$VX$1,0),FALSE)/1,0)-IFERROR(VLOOKUP($B213,'Slutlig allokering kvv'!$B$2:$BX$549,MATCH(Z$2,'Slutlig allokering kvv'!$B$1:$BX$1,0),FALSE)/1,0))</f>
        <v>0</v>
      </c>
      <c r="AA213" s="121">
        <f>IF($D213="","",IFERROR(VLOOKUP($B213,Kraftvärmeprod!$B$1:$BX$549,MATCH(AA$2,Kraftvärmeprod!$B$1:$VX$1,0),FALSE)/1,0)-IFERROR(VLOOKUP($B213,'Slutlig allokering kvv'!$B$2:$BX$549,MATCH(AA$2,'Slutlig allokering kvv'!$B$1:$BX$1,0),FALSE)/1,0))</f>
        <v>0</v>
      </c>
      <c r="AB213" s="121">
        <f>IF($D213="","",IFERROR(VLOOKUP($B213,Kraftvärmeprod!$B$1:$BX$549,MATCH(AB$2,Kraftvärmeprod!$B$1:$VX$1,0),FALSE)/1,0)-IFERROR(VLOOKUP($B213,'Slutlig allokering kvv'!$B$2:$BX$549,MATCH(AB$2,'Slutlig allokering kvv'!$B$1:$BX$1,0),FALSE)/1,0))</f>
        <v>0</v>
      </c>
      <c r="AC213" s="121">
        <f>IF($D213="","",IFERROR(VLOOKUP($B213,Kraftvärmeprod!$B$1:$BX$549,MATCH(AC$2,Kraftvärmeprod!$B$1:$VX$1,0),FALSE)/1,0)-IFERROR(VLOOKUP($B213,'Slutlig allokering kvv'!$B$2:$BX$549,MATCH(AC$2,'Slutlig allokering kvv'!$B$1:$BX$1,0),FALSE)/1,0))</f>
        <v>0</v>
      </c>
      <c r="AD213" s="121">
        <f>IF($D213="","",IFERROR(VLOOKUP($B213,Kraftvärmeprod!$B$1:$BX$549,MATCH(AD$2,Kraftvärmeprod!$B$1:$VX$1,0),FALSE)/1,0)-IFERROR(VLOOKUP($B213,'Slutlig allokering kvv'!$B$2:$BX$549,MATCH(AD$2,'Slutlig allokering kvv'!$B$1:$BX$1,0),FALSE)/1,0))</f>
        <v>0</v>
      </c>
      <c r="AE213" s="121">
        <f>IF($D213="","",IFERROR(VLOOKUP($B213,Miljö!$B$1:$E$550,MATCH("Hjälpel kraftvärme (GWh)",Miljö!$B$1:$E$1,0),FALSE)/1,0)-IFERROR(VLOOKUP($B213,'Slutlig allokering kvv'!$B$2:$BX$549,MATCH(AE$2,'Slutlig allokering kvv'!$B$1:$BX$1,0),FALSE)/1,0))</f>
        <v>4.5365000000000023E-3</v>
      </c>
      <c r="AI213" s="121">
        <f t="shared" si="12"/>
        <v>1.5164900000000003</v>
      </c>
      <c r="AK213" s="121">
        <f>IFERROR(VLOOKUP($B213,'Slutlig allokering kvv'!$B$2:$AX$549,MATCH("Summa slutlig allokerad tillförd energi (utan hjälpel och rökgaskondensering):",'Slutlig allokering kvv'!$B$1:$AX$1,0),FALSE)/1,"")</f>
        <v>10.183509999999998</v>
      </c>
      <c r="AM213" s="172">
        <f>IFERROR(1-VLOOKUP($B213,'Slutlig allokering kvv'!$B$2:$AX$549,MATCH("Andel av bränsle i kvv som allokerats till värme, exklusive rökgaskondensering och hjälpel",'Slutlig allokering kvv'!$B$1:$AX$1,0),FALSE),"")</f>
        <v>0.12961452991453004</v>
      </c>
      <c r="AO213" s="172">
        <f t="shared" si="13"/>
        <v>0.12961452991452996</v>
      </c>
      <c r="AP213" s="173">
        <f t="shared" si="14"/>
        <v>8.3266726846886741E-17</v>
      </c>
      <c r="AR213" s="172">
        <f t="shared" si="15"/>
        <v>0.36817241514201099</v>
      </c>
    </row>
    <row r="214" spans="1:44" x14ac:dyDescent="0.25">
      <c r="A214" s="171" t="str">
        <f>'Miljövärden för publ företag'!B216</f>
        <v>Sala-Heby Energi AB</v>
      </c>
      <c r="B214" s="171" t="str">
        <f>'Miljövärden för publ företag'!C216</f>
        <v>Sala-Heby</v>
      </c>
      <c r="C214" s="121">
        <f>IFERROR(VLOOKUP($B214,Kraftvärmeprod!$B$1:$AH$478,MATCH(C$2,Kraftvärmeprod!$B$1:$AG$1,0),FALSE)/1,"")</f>
        <v>88.704999999999998</v>
      </c>
      <c r="D214" s="121">
        <f>IFERROR(VLOOKUP($B214,Kraftvärmeprod!$B$1:$AH$478,MATCH(D$2,Kraftvärmeprod!$B$1:$AG$1,0),FALSE)/1,"")</f>
        <v>18.374967999999999</v>
      </c>
      <c r="F214" s="121">
        <f>IF($D214="","",IFERROR(VLOOKUP($B214,Kraftvärmeprod!$B$1:$BX$549,MATCH(F$2,Kraftvärmeprod!$B$1:$VX$1,0),FALSE)/1,0)-IFERROR(VLOOKUP($B214,'Slutlig allokering kvv'!$B$2:$BX$549,MATCH(F$2,'Slutlig allokering kvv'!$B$1:$BX$1,0),FALSE)/1,0))</f>
        <v>0</v>
      </c>
      <c r="G214" s="121">
        <f>IF($D214="","",IFERROR(VLOOKUP($B214,Kraftvärmeprod!$B$1:$BX$549,MATCH(G$2,Kraftvärmeprod!$B$1:$VX$1,0),FALSE)/1,0)-IFERROR(VLOOKUP($B214,'Slutlig allokering kvv'!$B$2:$BX$549,MATCH(G$2,'Slutlig allokering kvv'!$B$1:$BX$1,0),FALSE)/1,0))</f>
        <v>0</v>
      </c>
      <c r="H214" s="121">
        <f>IF($D214="","",IFERROR(VLOOKUP($B214,Kraftvärmeprod!$B$1:$BX$549,MATCH(H$2,Kraftvärmeprod!$B$1:$VX$1,0),FALSE)/1,0)-IFERROR(VLOOKUP($B214,'Slutlig allokering kvv'!$B$2:$BX$549,MATCH(H$2,'Slutlig allokering kvv'!$B$1:$BX$1,0),FALSE)/1,0))</f>
        <v>0</v>
      </c>
      <c r="I214" s="121">
        <f>IF($D214="","",IFERROR(VLOOKUP($B214,Kraftvärmeprod!$B$1:$BX$549,MATCH(I$2,Kraftvärmeprod!$B$1:$VX$1,0),FALSE)/1,0)-IFERROR(VLOOKUP($B214,'Slutlig allokering kvv'!$B$2:$BX$549,MATCH(I$2,'Slutlig allokering kvv'!$B$1:$BX$1,0),FALSE)/1,0))</f>
        <v>0</v>
      </c>
      <c r="J214" s="121">
        <f>IF($D214="","",IFERROR(VLOOKUP($B214,Kraftvärmeprod!$B$1:$BX$549,MATCH(J$2,Kraftvärmeprod!$B$1:$VX$1,0),FALSE)/1,0)-IFERROR(VLOOKUP($B214,'Slutlig allokering kvv'!$B$2:$BX$549,MATCH(J$2,'Slutlig allokering kvv'!$B$1:$BX$1,0),FALSE)/1,0))</f>
        <v>0</v>
      </c>
      <c r="K214" s="121">
        <f>IF($D214="","",IFERROR(VLOOKUP($B214,Kraftvärmeprod!$B$1:$BX$549,MATCH(K$2,Kraftvärmeprod!$B$1:$VX$1,0),FALSE)/1,0)-IFERROR(VLOOKUP($B214,'Slutlig allokering kvv'!$B$2:$BX$549,MATCH(K$2,'Slutlig allokering kvv'!$B$1:$BX$1,0),FALSE)/1,0))</f>
        <v>0</v>
      </c>
      <c r="L214" s="121">
        <f>IF($D214="","",IFERROR(VLOOKUP($B214,Kraftvärmeprod!$B$1:$BX$549,MATCH(L$2,Kraftvärmeprod!$B$1:$VX$1,0),FALSE)/1,0)-IFERROR(VLOOKUP($B214,'Slutlig allokering kvv'!$B$2:$BX$549,MATCH(L$2,'Slutlig allokering kvv'!$B$1:$BX$1,0),FALSE)/1,0))</f>
        <v>15.793699999999998</v>
      </c>
      <c r="M214" s="121">
        <f>IF($D214="","",IFERROR(VLOOKUP($B214,Kraftvärmeprod!$B$1:$BX$549,MATCH(M$2,Kraftvärmeprod!$B$1:$VX$1,0),FALSE)/1,0)-IFERROR(VLOOKUP($B214,'Slutlig allokering kvv'!$B$2:$BX$549,MATCH(M$2,'Slutlig allokering kvv'!$B$1:$BX$1,0),FALSE)/1,0))</f>
        <v>0</v>
      </c>
      <c r="N214" s="121">
        <f>IF($D214="","",IFERROR(VLOOKUP($B214,Kraftvärmeprod!$B$1:$BX$549,MATCH(N$2,Kraftvärmeprod!$B$1:$VX$1,0),FALSE)/1,0)-IFERROR(VLOOKUP($B214,'Slutlig allokering kvv'!$B$2:$BX$549,MATCH(N$2,'Slutlig allokering kvv'!$B$1:$BX$1,0),FALSE)/1,0))</f>
        <v>22.889400000000009</v>
      </c>
      <c r="O214" s="121">
        <f>IF($D214="","",IFERROR(VLOOKUP($B214,Kraftvärmeprod!$B$1:$BX$549,MATCH(O$2,Kraftvärmeprod!$B$1:$VX$1,0),FALSE)/1,0)-IFERROR(VLOOKUP($B214,'Slutlig allokering kvv'!$B$2:$BX$549,MATCH(O$2,'Slutlig allokering kvv'!$B$1:$BX$1,0),FALSE)/1,0))</f>
        <v>2.2752699999999999</v>
      </c>
      <c r="P214" s="121">
        <f>IF($D214="","",IFERROR(VLOOKUP($B214,Kraftvärmeprod!$B$1:$BX$549,MATCH(P$2,Kraftvärmeprod!$B$1:$VX$1,0),FALSE)/1,0)-IFERROR(VLOOKUP($B214,'Slutlig allokering kvv'!$B$2:$BX$549,MATCH(P$2,'Slutlig allokering kvv'!$B$1:$BX$1,0),FALSE)/1,0))</f>
        <v>0</v>
      </c>
      <c r="Q214" s="121">
        <f>IF($D214="","",IFERROR(VLOOKUP($B214,Kraftvärmeprod!$B$1:$BX$549,MATCH(Q$2,Kraftvärmeprod!$B$1:$VX$1,0),FALSE)/1,0)-IFERROR(VLOOKUP($B214,'Slutlig allokering kvv'!$B$2:$BX$549,MATCH(Q$2,'Slutlig allokering kvv'!$B$1:$BX$1,0),FALSE)/1,0))</f>
        <v>2.5452199999999996</v>
      </c>
      <c r="R214" s="121">
        <f>IF($D214="","",IFERROR(VLOOKUP($B214,Kraftvärmeprod!$B$1:$BX$549,MATCH(R$2,Kraftvärmeprod!$B$1:$VX$1,0),FALSE)/1,0)-IFERROR(VLOOKUP($B214,'Slutlig allokering kvv'!$B$2:$BX$549,MATCH(R$2,'Slutlig allokering kvv'!$B$1:$BX$1,0),FALSE)/1,0))</f>
        <v>0</v>
      </c>
      <c r="S214" s="121">
        <f>IF($D214="","",IFERROR(VLOOKUP($B214,Kraftvärmeprod!$B$1:$BX$549,MATCH(S$2,Kraftvärmeprod!$B$1:$VX$1,0),FALSE)/1,0)-IFERROR(VLOOKUP($B214,'Slutlig allokering kvv'!$B$2:$BX$549,MATCH(S$2,'Slutlig allokering kvv'!$B$1:$BX$1,0),FALSE)/1,0))</f>
        <v>0</v>
      </c>
      <c r="T214" s="121">
        <f>IF($D214="","",IFERROR(VLOOKUP($B214,Kraftvärmeprod!$B$1:$BX$549,MATCH(T$2,Kraftvärmeprod!$B$1:$VX$1,0),FALSE)/1,0)-IFERROR(VLOOKUP($B214,'Slutlig allokering kvv'!$B$2:$BX$549,MATCH(T$2,'Slutlig allokering kvv'!$B$1:$BX$1,0),FALSE)/1,0))</f>
        <v>0</v>
      </c>
      <c r="U214" s="121">
        <f>IF($D214="","",IFERROR(VLOOKUP($B214,Kraftvärmeprod!$B$1:$BX$549,MATCH(U$2,Kraftvärmeprod!$B$1:$VX$1,0),FALSE)/1,0)-IFERROR(VLOOKUP($B214,'Slutlig allokering kvv'!$B$2:$BX$549,MATCH(U$2,'Slutlig allokering kvv'!$B$1:$BX$1,0),FALSE)/1,0))</f>
        <v>0</v>
      </c>
      <c r="V214" s="121">
        <f>IF($D214="","",IFERROR(VLOOKUP($B214,Kraftvärmeprod!$B$1:$BX$549,MATCH(V$2,Kraftvärmeprod!$B$1:$VX$1,0),FALSE)/1,0)-IFERROR(VLOOKUP($B214,'Slutlig allokering kvv'!$B$2:$BX$549,MATCH(V$2,'Slutlig allokering kvv'!$B$1:$BX$1,0),FALSE)/1,0))</f>
        <v>0</v>
      </c>
      <c r="W214" s="121">
        <f>IF($D214="","",IFERROR(VLOOKUP($B214,Kraftvärmeprod!$B$1:$BX$549,MATCH(W$2,Kraftvärmeprod!$B$1:$VX$1,0),FALSE)/1,0)-IFERROR(VLOOKUP($B214,'Slutlig allokering kvv'!$B$2:$BX$549,MATCH(W$2,'Slutlig allokering kvv'!$B$1:$BX$1,0),FALSE)/1,0))</f>
        <v>0</v>
      </c>
      <c r="X214" s="121">
        <f>IF($D214="","",IFERROR(VLOOKUP($B214,Kraftvärmeprod!$B$1:$BX$549,MATCH(X$2,Kraftvärmeprod!$B$1:$VX$1,0),FALSE)/1,0)-IFERROR(VLOOKUP($B214,'Slutlig allokering kvv'!$B$2:$BX$549,MATCH(X$2,'Slutlig allokering kvv'!$B$1:$BX$1,0),FALSE)/1,0))</f>
        <v>5.9055999999999997E-2</v>
      </c>
      <c r="Y214" s="121">
        <f>IF($D214="","",IFERROR(VLOOKUP($B214,Kraftvärmeprod!$B$1:$BX$549,MATCH(Y$2,Kraftvärmeprod!$B$1:$VX$1,0),FALSE)/1,0)-IFERROR(VLOOKUP($B214,'Slutlig allokering kvv'!$B$2:$BX$549,MATCH(Y$2,'Slutlig allokering kvv'!$B$1:$BX$1,0),FALSE)/1,0))</f>
        <v>0</v>
      </c>
      <c r="Z214" s="121">
        <f>IF($D214="","",IFERROR(VLOOKUP($B214,Kraftvärmeprod!$B$1:$BX$549,MATCH(Z$2,Kraftvärmeprod!$B$1:$VX$1,0),FALSE)/1,0)-IFERROR(VLOOKUP($B214,'Slutlig allokering kvv'!$B$2:$BX$549,MATCH(Z$2,'Slutlig allokering kvv'!$B$1:$BX$1,0),FALSE)/1,0))</f>
        <v>0</v>
      </c>
      <c r="AA214" s="121">
        <f>IF($D214="","",IFERROR(VLOOKUP($B214,Kraftvärmeprod!$B$1:$BX$549,MATCH(AA$2,Kraftvärmeprod!$B$1:$VX$1,0),FALSE)/1,0)-IFERROR(VLOOKUP($B214,'Slutlig allokering kvv'!$B$2:$BX$549,MATCH(AA$2,'Slutlig allokering kvv'!$B$1:$BX$1,0),FALSE)/1,0))</f>
        <v>0</v>
      </c>
      <c r="AB214" s="121">
        <f>IF($D214="","",IFERROR(VLOOKUP($B214,Kraftvärmeprod!$B$1:$BX$549,MATCH(AB$2,Kraftvärmeprod!$B$1:$VX$1,0),FALSE)/1,0)-IFERROR(VLOOKUP($B214,'Slutlig allokering kvv'!$B$2:$BX$549,MATCH(AB$2,'Slutlig allokering kvv'!$B$1:$BX$1,0),FALSE)/1,0))</f>
        <v>0</v>
      </c>
      <c r="AC214" s="121">
        <f>IF($D214="","",IFERROR(VLOOKUP($B214,Kraftvärmeprod!$B$1:$BX$549,MATCH(AC$2,Kraftvärmeprod!$B$1:$VX$1,0),FALSE)/1,0)-IFERROR(VLOOKUP($B214,'Slutlig allokering kvv'!$B$2:$BX$549,MATCH(AC$2,'Slutlig allokering kvv'!$B$1:$BX$1,0),FALSE)/1,0))</f>
        <v>0</v>
      </c>
      <c r="AD214" s="121">
        <f>IF($D214="","",IFERROR(VLOOKUP($B214,Kraftvärmeprod!$B$1:$BX$549,MATCH(AD$2,Kraftvärmeprod!$B$1:$VX$1,0),FALSE)/1,0)-IFERROR(VLOOKUP($B214,'Slutlig allokering kvv'!$B$2:$BX$549,MATCH(AD$2,'Slutlig allokering kvv'!$B$1:$BX$1,0),FALSE)/1,0))</f>
        <v>0</v>
      </c>
      <c r="AE214" s="121">
        <f>IF($D214="","",IFERROR(VLOOKUP($B214,Miljö!$B$1:$E$550,MATCH("Hjälpel kraftvärme (GWh)",Miljö!$B$1:$E$1,0),FALSE)/1,0)-IFERROR(VLOOKUP($B214,'Slutlig allokering kvv'!$B$2:$BX$549,MATCH(AE$2,'Slutlig allokering kvv'!$B$1:$BX$1,0),FALSE)/1,0))</f>
        <v>0.81523999999999996</v>
      </c>
      <c r="AI214" s="121">
        <f t="shared" si="12"/>
        <v>43.562646000000008</v>
      </c>
      <c r="AK214" s="121">
        <f>IFERROR(VLOOKUP($B214,'Slutlig allokering kvv'!$B$2:$AX$549,MATCH("Summa slutlig allokerad tillförd energi (utan hjälpel och rökgaskondensering):",'Slutlig allokering kvv'!$B$1:$AX$1,0),FALSE)/1,"")</f>
        <v>80.727354000000005</v>
      </c>
      <c r="AM214" s="172">
        <f>IFERROR(1-VLOOKUP($B214,'Slutlig allokering kvv'!$B$2:$AX$549,MATCH("Andel av bränsle i kvv som allokerats till värme, exklusive rökgaskondensering och hjälpel",'Slutlig allokering kvv'!$B$1:$AX$1,0),FALSE),"")</f>
        <v>0.35049196234612601</v>
      </c>
      <c r="AO214" s="172">
        <f t="shared" si="13"/>
        <v>0.35049196234612601</v>
      </c>
      <c r="AP214" s="173">
        <f t="shared" si="14"/>
        <v>0</v>
      </c>
      <c r="AR214" s="172">
        <f t="shared" si="15"/>
        <v>0.41405685705713863</v>
      </c>
    </row>
    <row r="215" spans="1:44" x14ac:dyDescent="0.25">
      <c r="A215" s="171" t="str">
        <f>'Miljövärden för publ företag'!B217</f>
        <v>Sandviken Energi AB</v>
      </c>
      <c r="B215" s="171" t="str">
        <f>'Miljövärden för publ företag'!C217</f>
        <v>Sandviken</v>
      </c>
      <c r="C215" s="121" t="str">
        <f>IFERROR(VLOOKUP($B215,Kraftvärmeprod!$B$1:$AH$478,MATCH(C$2,Kraftvärmeprod!$B$1:$AG$1,0),FALSE)/1,"")</f>
        <v/>
      </c>
      <c r="D215" s="121" t="str">
        <f>IFERROR(VLOOKUP($B215,Kraftvärmeprod!$B$1:$AH$478,MATCH(D$2,Kraftvärmeprod!$B$1:$AG$1,0),FALSE)/1,"")</f>
        <v/>
      </c>
      <c r="F215" s="121" t="str">
        <f>IF($D215="","",IFERROR(VLOOKUP($B215,Kraftvärmeprod!$B$1:$BX$549,MATCH(F$2,Kraftvärmeprod!$B$1:$VX$1,0),FALSE)/1,0)-IFERROR(VLOOKUP($B215,'Slutlig allokering kvv'!$B$2:$BX$549,MATCH(F$2,'Slutlig allokering kvv'!$B$1:$BX$1,0),FALSE)/1,0))</f>
        <v/>
      </c>
      <c r="G215" s="121" t="str">
        <f>IF($D215="","",IFERROR(VLOOKUP($B215,Kraftvärmeprod!$B$1:$BX$549,MATCH(G$2,Kraftvärmeprod!$B$1:$VX$1,0),FALSE)/1,0)-IFERROR(VLOOKUP($B215,'Slutlig allokering kvv'!$B$2:$BX$549,MATCH(G$2,'Slutlig allokering kvv'!$B$1:$BX$1,0),FALSE)/1,0))</f>
        <v/>
      </c>
      <c r="H215" s="121" t="str">
        <f>IF($D215="","",IFERROR(VLOOKUP($B215,Kraftvärmeprod!$B$1:$BX$549,MATCH(H$2,Kraftvärmeprod!$B$1:$VX$1,0),FALSE)/1,0)-IFERROR(VLOOKUP($B215,'Slutlig allokering kvv'!$B$2:$BX$549,MATCH(H$2,'Slutlig allokering kvv'!$B$1:$BX$1,0),FALSE)/1,0))</f>
        <v/>
      </c>
      <c r="I215" s="121" t="str">
        <f>IF($D215="","",IFERROR(VLOOKUP($B215,Kraftvärmeprod!$B$1:$BX$549,MATCH(I$2,Kraftvärmeprod!$B$1:$VX$1,0),FALSE)/1,0)-IFERROR(VLOOKUP($B215,'Slutlig allokering kvv'!$B$2:$BX$549,MATCH(I$2,'Slutlig allokering kvv'!$B$1:$BX$1,0),FALSE)/1,0))</f>
        <v/>
      </c>
      <c r="J215" s="121" t="str">
        <f>IF($D215="","",IFERROR(VLOOKUP($B215,Kraftvärmeprod!$B$1:$BX$549,MATCH(J$2,Kraftvärmeprod!$B$1:$VX$1,0),FALSE)/1,0)-IFERROR(VLOOKUP($B215,'Slutlig allokering kvv'!$B$2:$BX$549,MATCH(J$2,'Slutlig allokering kvv'!$B$1:$BX$1,0),FALSE)/1,0))</f>
        <v/>
      </c>
      <c r="K215" s="121" t="str">
        <f>IF($D215="","",IFERROR(VLOOKUP($B215,Kraftvärmeprod!$B$1:$BX$549,MATCH(K$2,Kraftvärmeprod!$B$1:$VX$1,0),FALSE)/1,0)-IFERROR(VLOOKUP($B215,'Slutlig allokering kvv'!$B$2:$BX$549,MATCH(K$2,'Slutlig allokering kvv'!$B$1:$BX$1,0),FALSE)/1,0))</f>
        <v/>
      </c>
      <c r="L215" s="121" t="str">
        <f>IF($D215="","",IFERROR(VLOOKUP($B215,Kraftvärmeprod!$B$1:$BX$549,MATCH(L$2,Kraftvärmeprod!$B$1:$VX$1,0),FALSE)/1,0)-IFERROR(VLOOKUP($B215,'Slutlig allokering kvv'!$B$2:$BX$549,MATCH(L$2,'Slutlig allokering kvv'!$B$1:$BX$1,0),FALSE)/1,0))</f>
        <v/>
      </c>
      <c r="M215" s="121" t="str">
        <f>IF($D215="","",IFERROR(VLOOKUP($B215,Kraftvärmeprod!$B$1:$BX$549,MATCH(M$2,Kraftvärmeprod!$B$1:$VX$1,0),FALSE)/1,0)-IFERROR(VLOOKUP($B215,'Slutlig allokering kvv'!$B$2:$BX$549,MATCH(M$2,'Slutlig allokering kvv'!$B$1:$BX$1,0),FALSE)/1,0))</f>
        <v/>
      </c>
      <c r="N215" s="121" t="str">
        <f>IF($D215="","",IFERROR(VLOOKUP($B215,Kraftvärmeprod!$B$1:$BX$549,MATCH(N$2,Kraftvärmeprod!$B$1:$VX$1,0),FALSE)/1,0)-IFERROR(VLOOKUP($B215,'Slutlig allokering kvv'!$B$2:$BX$549,MATCH(N$2,'Slutlig allokering kvv'!$B$1:$BX$1,0),FALSE)/1,0))</f>
        <v/>
      </c>
      <c r="O215" s="121" t="str">
        <f>IF($D215="","",IFERROR(VLOOKUP($B215,Kraftvärmeprod!$B$1:$BX$549,MATCH(O$2,Kraftvärmeprod!$B$1:$VX$1,0),FALSE)/1,0)-IFERROR(VLOOKUP($B215,'Slutlig allokering kvv'!$B$2:$BX$549,MATCH(O$2,'Slutlig allokering kvv'!$B$1:$BX$1,0),FALSE)/1,0))</f>
        <v/>
      </c>
      <c r="P215" s="121" t="str">
        <f>IF($D215="","",IFERROR(VLOOKUP($B215,Kraftvärmeprod!$B$1:$BX$549,MATCH(P$2,Kraftvärmeprod!$B$1:$VX$1,0),FALSE)/1,0)-IFERROR(VLOOKUP($B215,'Slutlig allokering kvv'!$B$2:$BX$549,MATCH(P$2,'Slutlig allokering kvv'!$B$1:$BX$1,0),FALSE)/1,0))</f>
        <v/>
      </c>
      <c r="Q215" s="121" t="str">
        <f>IF($D215="","",IFERROR(VLOOKUP($B215,Kraftvärmeprod!$B$1:$BX$549,MATCH(Q$2,Kraftvärmeprod!$B$1:$VX$1,0),FALSE)/1,0)-IFERROR(VLOOKUP($B215,'Slutlig allokering kvv'!$B$2:$BX$549,MATCH(Q$2,'Slutlig allokering kvv'!$B$1:$BX$1,0),FALSE)/1,0))</f>
        <v/>
      </c>
      <c r="R215" s="121" t="str">
        <f>IF($D215="","",IFERROR(VLOOKUP($B215,Kraftvärmeprod!$B$1:$BX$549,MATCH(R$2,Kraftvärmeprod!$B$1:$VX$1,0),FALSE)/1,0)-IFERROR(VLOOKUP($B215,'Slutlig allokering kvv'!$B$2:$BX$549,MATCH(R$2,'Slutlig allokering kvv'!$B$1:$BX$1,0),FALSE)/1,0))</f>
        <v/>
      </c>
      <c r="S215" s="121" t="str">
        <f>IF($D215="","",IFERROR(VLOOKUP($B215,Kraftvärmeprod!$B$1:$BX$549,MATCH(S$2,Kraftvärmeprod!$B$1:$VX$1,0),FALSE)/1,0)-IFERROR(VLOOKUP($B215,'Slutlig allokering kvv'!$B$2:$BX$549,MATCH(S$2,'Slutlig allokering kvv'!$B$1:$BX$1,0),FALSE)/1,0))</f>
        <v/>
      </c>
      <c r="T215" s="121" t="str">
        <f>IF($D215="","",IFERROR(VLOOKUP($B215,Kraftvärmeprod!$B$1:$BX$549,MATCH(T$2,Kraftvärmeprod!$B$1:$VX$1,0),FALSE)/1,0)-IFERROR(VLOOKUP($B215,'Slutlig allokering kvv'!$B$2:$BX$549,MATCH(T$2,'Slutlig allokering kvv'!$B$1:$BX$1,0),FALSE)/1,0))</f>
        <v/>
      </c>
      <c r="U215" s="121" t="str">
        <f>IF($D215="","",IFERROR(VLOOKUP($B215,Kraftvärmeprod!$B$1:$BX$549,MATCH(U$2,Kraftvärmeprod!$B$1:$VX$1,0),FALSE)/1,0)-IFERROR(VLOOKUP($B215,'Slutlig allokering kvv'!$B$2:$BX$549,MATCH(U$2,'Slutlig allokering kvv'!$B$1:$BX$1,0),FALSE)/1,0))</f>
        <v/>
      </c>
      <c r="V215" s="121" t="str">
        <f>IF($D215="","",IFERROR(VLOOKUP($B215,Kraftvärmeprod!$B$1:$BX$549,MATCH(V$2,Kraftvärmeprod!$B$1:$VX$1,0),FALSE)/1,0)-IFERROR(VLOOKUP($B215,'Slutlig allokering kvv'!$B$2:$BX$549,MATCH(V$2,'Slutlig allokering kvv'!$B$1:$BX$1,0),FALSE)/1,0))</f>
        <v/>
      </c>
      <c r="W215" s="121" t="str">
        <f>IF($D215="","",IFERROR(VLOOKUP($B215,Kraftvärmeprod!$B$1:$BX$549,MATCH(W$2,Kraftvärmeprod!$B$1:$VX$1,0),FALSE)/1,0)-IFERROR(VLOOKUP($B215,'Slutlig allokering kvv'!$B$2:$BX$549,MATCH(W$2,'Slutlig allokering kvv'!$B$1:$BX$1,0),FALSE)/1,0))</f>
        <v/>
      </c>
      <c r="X215" s="121" t="str">
        <f>IF($D215="","",IFERROR(VLOOKUP($B215,Kraftvärmeprod!$B$1:$BX$549,MATCH(X$2,Kraftvärmeprod!$B$1:$VX$1,0),FALSE)/1,0)-IFERROR(VLOOKUP($B215,'Slutlig allokering kvv'!$B$2:$BX$549,MATCH(X$2,'Slutlig allokering kvv'!$B$1:$BX$1,0),FALSE)/1,0))</f>
        <v/>
      </c>
      <c r="Y215" s="121" t="str">
        <f>IF($D215="","",IFERROR(VLOOKUP($B215,Kraftvärmeprod!$B$1:$BX$549,MATCH(Y$2,Kraftvärmeprod!$B$1:$VX$1,0),FALSE)/1,0)-IFERROR(VLOOKUP($B215,'Slutlig allokering kvv'!$B$2:$BX$549,MATCH(Y$2,'Slutlig allokering kvv'!$B$1:$BX$1,0),FALSE)/1,0))</f>
        <v/>
      </c>
      <c r="Z215" s="121" t="str">
        <f>IF($D215="","",IFERROR(VLOOKUP($B215,Kraftvärmeprod!$B$1:$BX$549,MATCH(Z$2,Kraftvärmeprod!$B$1:$VX$1,0),FALSE)/1,0)-IFERROR(VLOOKUP($B215,'Slutlig allokering kvv'!$B$2:$BX$549,MATCH(Z$2,'Slutlig allokering kvv'!$B$1:$BX$1,0),FALSE)/1,0))</f>
        <v/>
      </c>
      <c r="AA215" s="121" t="str">
        <f>IF($D215="","",IFERROR(VLOOKUP($B215,Kraftvärmeprod!$B$1:$BX$549,MATCH(AA$2,Kraftvärmeprod!$B$1:$VX$1,0),FALSE)/1,0)-IFERROR(VLOOKUP($B215,'Slutlig allokering kvv'!$B$2:$BX$549,MATCH(AA$2,'Slutlig allokering kvv'!$B$1:$BX$1,0),FALSE)/1,0))</f>
        <v/>
      </c>
      <c r="AB215" s="121" t="str">
        <f>IF($D215="","",IFERROR(VLOOKUP($B215,Kraftvärmeprod!$B$1:$BX$549,MATCH(AB$2,Kraftvärmeprod!$B$1:$VX$1,0),FALSE)/1,0)-IFERROR(VLOOKUP($B215,'Slutlig allokering kvv'!$B$2:$BX$549,MATCH(AB$2,'Slutlig allokering kvv'!$B$1:$BX$1,0),FALSE)/1,0))</f>
        <v/>
      </c>
      <c r="AC215" s="121" t="str">
        <f>IF($D215="","",IFERROR(VLOOKUP($B215,Kraftvärmeprod!$B$1:$BX$549,MATCH(AC$2,Kraftvärmeprod!$B$1:$VX$1,0),FALSE)/1,0)-IFERROR(VLOOKUP($B215,'Slutlig allokering kvv'!$B$2:$BX$549,MATCH(AC$2,'Slutlig allokering kvv'!$B$1:$BX$1,0),FALSE)/1,0))</f>
        <v/>
      </c>
      <c r="AD215" s="121" t="str">
        <f>IF($D215="","",IFERROR(VLOOKUP($B215,Kraftvärmeprod!$B$1:$BX$549,MATCH(AD$2,Kraftvärmeprod!$B$1:$VX$1,0),FALSE)/1,0)-IFERROR(VLOOKUP($B215,'Slutlig allokering kvv'!$B$2:$BX$549,MATCH(AD$2,'Slutlig allokering kvv'!$B$1:$BX$1,0),FALSE)/1,0))</f>
        <v/>
      </c>
      <c r="AE215" s="121" t="str">
        <f>IF($D215="","",IFERROR(VLOOKUP($B215,Miljö!$B$1:$E$550,MATCH("Hjälpel kraftvärme (GWh)",Miljö!$B$1:$E$1,0),FALSE)/1,0)-IFERROR(VLOOKUP($B215,'Slutlig allokering kvv'!$B$2:$BX$549,MATCH(AE$2,'Slutlig allokering kvv'!$B$1:$BX$1,0),FALSE)/1,0))</f>
        <v/>
      </c>
      <c r="AI215" s="121">
        <f t="shared" si="12"/>
        <v>0</v>
      </c>
      <c r="AK215" s="121">
        <f>IFERROR(VLOOKUP($B215,'Slutlig allokering kvv'!$B$2:$AX$549,MATCH("Summa slutlig allokerad tillförd energi (utan hjälpel och rökgaskondensering):",'Slutlig allokering kvv'!$B$1:$AX$1,0),FALSE)/1,"")</f>
        <v>0</v>
      </c>
      <c r="AM215" s="172" t="str">
        <f>IFERROR(1-VLOOKUP($B215,'Slutlig allokering kvv'!$B$2:$AX$549,MATCH("Andel av bränsle i kvv som allokerats till värme, exklusive rökgaskondensering och hjälpel",'Slutlig allokering kvv'!$B$1:$AX$1,0),FALSE),"")</f>
        <v/>
      </c>
      <c r="AO215" s="172" t="str">
        <f t="shared" si="13"/>
        <v/>
      </c>
      <c r="AP215" s="173" t="str">
        <f t="shared" si="14"/>
        <v/>
      </c>
      <c r="AR215" s="172" t="str">
        <f t="shared" si="15"/>
        <v/>
      </c>
    </row>
    <row r="216" spans="1:44" x14ac:dyDescent="0.25">
      <c r="A216" s="171" t="str">
        <f>'Miljövärden för publ företag'!B218</f>
        <v>SEVAB Strängnäs Energi AB</v>
      </c>
      <c r="B216" s="171" t="str">
        <f>'Miljövärden för publ företag'!C218</f>
        <v>Strängnäs</v>
      </c>
      <c r="C216" s="121">
        <f>IFERROR(VLOOKUP($B216,Kraftvärmeprod!$B$1:$AH$478,MATCH(C$2,Kraftvärmeprod!$B$1:$AG$1,0),FALSE)/1,"")</f>
        <v>130.25299999999999</v>
      </c>
      <c r="D216" s="121">
        <f>IFERROR(VLOOKUP($B216,Kraftvärmeprod!$B$1:$AH$478,MATCH(D$2,Kraftvärmeprod!$B$1:$AG$1,0),FALSE)/1,"")</f>
        <v>21.643000000000001</v>
      </c>
      <c r="F216" s="121">
        <f>IF($D216="","",IFERROR(VLOOKUP($B216,Kraftvärmeprod!$B$1:$BX$549,MATCH(F$2,Kraftvärmeprod!$B$1:$VX$1,0),FALSE)/1,0)-IFERROR(VLOOKUP($B216,'Slutlig allokering kvv'!$B$2:$BX$549,MATCH(F$2,'Slutlig allokering kvv'!$B$1:$BX$1,0),FALSE)/1,0))</f>
        <v>0</v>
      </c>
      <c r="G216" s="121">
        <f>IF($D216="","",IFERROR(VLOOKUP($B216,Kraftvärmeprod!$B$1:$BX$549,MATCH(G$2,Kraftvärmeprod!$B$1:$VX$1,0),FALSE)/1,0)-IFERROR(VLOOKUP($B216,'Slutlig allokering kvv'!$B$2:$BX$549,MATCH(G$2,'Slutlig allokering kvv'!$B$1:$BX$1,0),FALSE)/1,0))</f>
        <v>0</v>
      </c>
      <c r="H216" s="121">
        <f>IF($D216="","",IFERROR(VLOOKUP($B216,Kraftvärmeprod!$B$1:$BX$549,MATCH(H$2,Kraftvärmeprod!$B$1:$VX$1,0),FALSE)/1,0)-IFERROR(VLOOKUP($B216,'Slutlig allokering kvv'!$B$2:$BX$549,MATCH(H$2,'Slutlig allokering kvv'!$B$1:$BX$1,0),FALSE)/1,0))</f>
        <v>0</v>
      </c>
      <c r="I216" s="121">
        <f>IF($D216="","",IFERROR(VLOOKUP($B216,Kraftvärmeprod!$B$1:$BX$549,MATCH(I$2,Kraftvärmeprod!$B$1:$VX$1,0),FALSE)/1,0)-IFERROR(VLOOKUP($B216,'Slutlig allokering kvv'!$B$2:$BX$549,MATCH(I$2,'Slutlig allokering kvv'!$B$1:$BX$1,0),FALSE)/1,0))</f>
        <v>0</v>
      </c>
      <c r="J216" s="121">
        <f>IF($D216="","",IFERROR(VLOOKUP($B216,Kraftvärmeprod!$B$1:$BX$549,MATCH(J$2,Kraftvärmeprod!$B$1:$VX$1,0),FALSE)/1,0)-IFERROR(VLOOKUP($B216,'Slutlig allokering kvv'!$B$2:$BX$549,MATCH(J$2,'Slutlig allokering kvv'!$B$1:$BX$1,0),FALSE)/1,0))</f>
        <v>0</v>
      </c>
      <c r="K216" s="121">
        <f>IF($D216="","",IFERROR(VLOOKUP($B216,Kraftvärmeprod!$B$1:$BX$549,MATCH(K$2,Kraftvärmeprod!$B$1:$VX$1,0),FALSE)/1,0)-IFERROR(VLOOKUP($B216,'Slutlig allokering kvv'!$B$2:$BX$549,MATCH(K$2,'Slutlig allokering kvv'!$B$1:$BX$1,0),FALSE)/1,0))</f>
        <v>0</v>
      </c>
      <c r="L216" s="121">
        <f>IF($D216="","",IFERROR(VLOOKUP($B216,Kraftvärmeprod!$B$1:$BX$549,MATCH(L$2,Kraftvärmeprod!$B$1:$VX$1,0),FALSE)/1,0)-IFERROR(VLOOKUP($B216,'Slutlig allokering kvv'!$B$2:$BX$549,MATCH(L$2,'Slutlig allokering kvv'!$B$1:$BX$1,0),FALSE)/1,0))</f>
        <v>0.70739000000000019</v>
      </c>
      <c r="M216" s="121">
        <f>IF($D216="","",IFERROR(VLOOKUP($B216,Kraftvärmeprod!$B$1:$BX$549,MATCH(M$2,Kraftvärmeprod!$B$1:$VX$1,0),FALSE)/1,0)-IFERROR(VLOOKUP($B216,'Slutlig allokering kvv'!$B$2:$BX$549,MATCH(M$2,'Slutlig allokering kvv'!$B$1:$BX$1,0),FALSE)/1,0))</f>
        <v>2.8371299999999993</v>
      </c>
      <c r="N216" s="121">
        <f>IF($D216="","",IFERROR(VLOOKUP($B216,Kraftvärmeprod!$B$1:$BX$549,MATCH(N$2,Kraftvärmeprod!$B$1:$VX$1,0),FALSE)/1,0)-IFERROR(VLOOKUP($B216,'Slutlig allokering kvv'!$B$2:$BX$549,MATCH(N$2,'Slutlig allokering kvv'!$B$1:$BX$1,0),FALSE)/1,0))</f>
        <v>0</v>
      </c>
      <c r="O216" s="121">
        <f>IF($D216="","",IFERROR(VLOOKUP($B216,Kraftvärmeprod!$B$1:$BX$549,MATCH(O$2,Kraftvärmeprod!$B$1:$VX$1,0),FALSE)/1,0)-IFERROR(VLOOKUP($B216,'Slutlig allokering kvv'!$B$2:$BX$549,MATCH(O$2,'Slutlig allokering kvv'!$B$1:$BX$1,0),FALSE)/1,0))</f>
        <v>0</v>
      </c>
      <c r="P216" s="121">
        <f>IF($D216="","",IFERROR(VLOOKUP($B216,Kraftvärmeprod!$B$1:$BX$549,MATCH(P$2,Kraftvärmeprod!$B$1:$VX$1,0),FALSE)/1,0)-IFERROR(VLOOKUP($B216,'Slutlig allokering kvv'!$B$2:$BX$549,MATCH(P$2,'Slutlig allokering kvv'!$B$1:$BX$1,0),FALSE)/1,0))</f>
        <v>0</v>
      </c>
      <c r="Q216" s="121">
        <f>IF($D216="","",IFERROR(VLOOKUP($B216,Kraftvärmeprod!$B$1:$BX$549,MATCH(Q$2,Kraftvärmeprod!$B$1:$VX$1,0),FALSE)/1,0)-IFERROR(VLOOKUP($B216,'Slutlig allokering kvv'!$B$2:$BX$549,MATCH(Q$2,'Slutlig allokering kvv'!$B$1:$BX$1,0),FALSE)/1,0))</f>
        <v>0</v>
      </c>
      <c r="R216" s="121">
        <f>IF($D216="","",IFERROR(VLOOKUP($B216,Kraftvärmeprod!$B$1:$BX$549,MATCH(R$2,Kraftvärmeprod!$B$1:$VX$1,0),FALSE)/1,0)-IFERROR(VLOOKUP($B216,'Slutlig allokering kvv'!$B$2:$BX$549,MATCH(R$2,'Slutlig allokering kvv'!$B$1:$BX$1,0),FALSE)/1,0))</f>
        <v>0</v>
      </c>
      <c r="S216" s="121">
        <f>IF($D216="","",IFERROR(VLOOKUP($B216,Kraftvärmeprod!$B$1:$BX$549,MATCH(S$2,Kraftvärmeprod!$B$1:$VX$1,0),FALSE)/1,0)-IFERROR(VLOOKUP($B216,'Slutlig allokering kvv'!$B$2:$BX$549,MATCH(S$2,'Slutlig allokering kvv'!$B$1:$BX$1,0),FALSE)/1,0))</f>
        <v>0</v>
      </c>
      <c r="T216" s="121">
        <f>IF($D216="","",IFERROR(VLOOKUP($B216,Kraftvärmeprod!$B$1:$BX$549,MATCH(T$2,Kraftvärmeprod!$B$1:$VX$1,0),FALSE)/1,0)-IFERROR(VLOOKUP($B216,'Slutlig allokering kvv'!$B$2:$BX$549,MATCH(T$2,'Slutlig allokering kvv'!$B$1:$BX$1,0),FALSE)/1,0))</f>
        <v>0</v>
      </c>
      <c r="U216" s="121">
        <f>IF($D216="","",IFERROR(VLOOKUP($B216,Kraftvärmeprod!$B$1:$BX$549,MATCH(U$2,Kraftvärmeprod!$B$1:$VX$1,0),FALSE)/1,0)-IFERROR(VLOOKUP($B216,'Slutlig allokering kvv'!$B$2:$BX$549,MATCH(U$2,'Slutlig allokering kvv'!$B$1:$BX$1,0),FALSE)/1,0))</f>
        <v>0</v>
      </c>
      <c r="V216" s="121">
        <f>IF($D216="","",IFERROR(VLOOKUP($B216,Kraftvärmeprod!$B$1:$BX$549,MATCH(V$2,Kraftvärmeprod!$B$1:$VX$1,0),FALSE)/1,0)-IFERROR(VLOOKUP($B216,'Slutlig allokering kvv'!$B$2:$BX$549,MATCH(V$2,'Slutlig allokering kvv'!$B$1:$BX$1,0),FALSE)/1,0))</f>
        <v>49.998000000000005</v>
      </c>
      <c r="W216" s="121">
        <f>IF($D216="","",IFERROR(VLOOKUP($B216,Kraftvärmeprod!$B$1:$BX$549,MATCH(W$2,Kraftvärmeprod!$B$1:$VX$1,0),FALSE)/1,0)-IFERROR(VLOOKUP($B216,'Slutlig allokering kvv'!$B$2:$BX$549,MATCH(W$2,'Slutlig allokering kvv'!$B$1:$BX$1,0),FALSE)/1,0))</f>
        <v>0</v>
      </c>
      <c r="X216" s="121">
        <f>IF($D216="","",IFERROR(VLOOKUP($B216,Kraftvärmeprod!$B$1:$BX$549,MATCH(X$2,Kraftvärmeprod!$B$1:$VX$1,0),FALSE)/1,0)-IFERROR(VLOOKUP($B216,'Slutlig allokering kvv'!$B$2:$BX$549,MATCH(X$2,'Slutlig allokering kvv'!$B$1:$BX$1,0),FALSE)/1,0))</f>
        <v>0</v>
      </c>
      <c r="Y216" s="121">
        <f>IF($D216="","",IFERROR(VLOOKUP($B216,Kraftvärmeprod!$B$1:$BX$549,MATCH(Y$2,Kraftvärmeprod!$B$1:$VX$1,0),FALSE)/1,0)-IFERROR(VLOOKUP($B216,'Slutlig allokering kvv'!$B$2:$BX$549,MATCH(Y$2,'Slutlig allokering kvv'!$B$1:$BX$1,0),FALSE)/1,0))</f>
        <v>0</v>
      </c>
      <c r="Z216" s="121">
        <f>IF($D216="","",IFERROR(VLOOKUP($B216,Kraftvärmeprod!$B$1:$BX$549,MATCH(Z$2,Kraftvärmeprod!$B$1:$VX$1,0),FALSE)/1,0)-IFERROR(VLOOKUP($B216,'Slutlig allokering kvv'!$B$2:$BX$549,MATCH(Z$2,'Slutlig allokering kvv'!$B$1:$BX$1,0),FALSE)/1,0))</f>
        <v>0</v>
      </c>
      <c r="AA216" s="121">
        <f>IF($D216="","",IFERROR(VLOOKUP($B216,Kraftvärmeprod!$B$1:$BX$549,MATCH(AA$2,Kraftvärmeprod!$B$1:$VX$1,0),FALSE)/1,0)-IFERROR(VLOOKUP($B216,'Slutlig allokering kvv'!$B$2:$BX$549,MATCH(AA$2,'Slutlig allokering kvv'!$B$1:$BX$1,0),FALSE)/1,0))</f>
        <v>0</v>
      </c>
      <c r="AB216" s="121">
        <f>IF($D216="","",IFERROR(VLOOKUP($B216,Kraftvärmeprod!$B$1:$BX$549,MATCH(AB$2,Kraftvärmeprod!$B$1:$VX$1,0),FALSE)/1,0)-IFERROR(VLOOKUP($B216,'Slutlig allokering kvv'!$B$2:$BX$549,MATCH(AB$2,'Slutlig allokering kvv'!$B$1:$BX$1,0),FALSE)/1,0))</f>
        <v>0</v>
      </c>
      <c r="AC216" s="121">
        <f>IF($D216="","",IFERROR(VLOOKUP($B216,Kraftvärmeprod!$B$1:$BX$549,MATCH(AC$2,Kraftvärmeprod!$B$1:$VX$1,0),FALSE)/1,0)-IFERROR(VLOOKUP($B216,'Slutlig allokering kvv'!$B$2:$BX$549,MATCH(AC$2,'Slutlig allokering kvv'!$B$1:$BX$1,0),FALSE)/1,0))</f>
        <v>0</v>
      </c>
      <c r="AD216" s="121">
        <f>IF($D216="","",IFERROR(VLOOKUP($B216,Kraftvärmeprod!$B$1:$BX$549,MATCH(AD$2,Kraftvärmeprod!$B$1:$VX$1,0),FALSE)/1,0)-IFERROR(VLOOKUP($B216,'Slutlig allokering kvv'!$B$2:$BX$549,MATCH(AD$2,'Slutlig allokering kvv'!$B$1:$BX$1,0),FALSE)/1,0))</f>
        <v>0</v>
      </c>
      <c r="AE216" s="121">
        <f>IF($D216="","",IFERROR(VLOOKUP($B216,Miljö!$B$1:$E$550,MATCH("Hjälpel kraftvärme (GWh)",Miljö!$B$1:$E$1,0),FALSE)/1,0)-IFERROR(VLOOKUP($B216,'Slutlig allokering kvv'!$B$2:$BX$549,MATCH(AE$2,'Slutlig allokering kvv'!$B$1:$BX$1,0),FALSE)/1,0))</f>
        <v>1.7081999999999997</v>
      </c>
      <c r="AI216" s="121">
        <f t="shared" si="12"/>
        <v>53.542520000000003</v>
      </c>
      <c r="AK216" s="121">
        <f>IFERROR(VLOOKUP($B216,'Slutlig allokering kvv'!$B$2:$AX$549,MATCH("Summa slutlig allokerad tillförd energi (utan hjälpel och rökgaskondensering):",'Slutlig allokering kvv'!$B$1:$AX$1,0),FALSE)/1,"")</f>
        <v>123.64748</v>
      </c>
      <c r="AM216" s="172">
        <f>IFERROR(1-VLOOKUP($B216,'Slutlig allokering kvv'!$B$2:$AX$549,MATCH("Andel av bränsle i kvv som allokerats till värme, exklusive rökgaskondensering och hjälpel",'Slutlig allokering kvv'!$B$1:$AX$1,0),FALSE),"")</f>
        <v>0.30217574355211918</v>
      </c>
      <c r="AO216" s="172">
        <f t="shared" si="13"/>
        <v>0.30217574355211924</v>
      </c>
      <c r="AP216" s="173">
        <f t="shared" si="14"/>
        <v>-5.5511151231257827E-17</v>
      </c>
      <c r="AR216" s="172">
        <f t="shared" si="15"/>
        <v>0.39172340197557609</v>
      </c>
    </row>
    <row r="217" spans="1:44" x14ac:dyDescent="0.25">
      <c r="A217" s="171" t="str">
        <f>'Miljövärden för publ företag'!B219</f>
        <v>Skara Energi AB</v>
      </c>
      <c r="B217" s="171" t="str">
        <f>'Miljövärden för publ företag'!C219</f>
        <v>Skara</v>
      </c>
      <c r="C217" s="121" t="str">
        <f>IFERROR(VLOOKUP($B217,Kraftvärmeprod!$B$1:$AH$478,MATCH(C$2,Kraftvärmeprod!$B$1:$AG$1,0),FALSE)/1,"")</f>
        <v/>
      </c>
      <c r="D217" s="121" t="str">
        <f>IFERROR(VLOOKUP($B217,Kraftvärmeprod!$B$1:$AH$478,MATCH(D$2,Kraftvärmeprod!$B$1:$AG$1,0),FALSE)/1,"")</f>
        <v/>
      </c>
      <c r="F217" s="121" t="str">
        <f>IF($D217="","",IFERROR(VLOOKUP($B217,Kraftvärmeprod!$B$1:$BX$549,MATCH(F$2,Kraftvärmeprod!$B$1:$VX$1,0),FALSE)/1,0)-IFERROR(VLOOKUP($B217,'Slutlig allokering kvv'!$B$2:$BX$549,MATCH(F$2,'Slutlig allokering kvv'!$B$1:$BX$1,0),FALSE)/1,0))</f>
        <v/>
      </c>
      <c r="G217" s="121" t="str">
        <f>IF($D217="","",IFERROR(VLOOKUP($B217,Kraftvärmeprod!$B$1:$BX$549,MATCH(G$2,Kraftvärmeprod!$B$1:$VX$1,0),FALSE)/1,0)-IFERROR(VLOOKUP($B217,'Slutlig allokering kvv'!$B$2:$BX$549,MATCH(G$2,'Slutlig allokering kvv'!$B$1:$BX$1,0),FALSE)/1,0))</f>
        <v/>
      </c>
      <c r="H217" s="121" t="str">
        <f>IF($D217="","",IFERROR(VLOOKUP($B217,Kraftvärmeprod!$B$1:$BX$549,MATCH(H$2,Kraftvärmeprod!$B$1:$VX$1,0),FALSE)/1,0)-IFERROR(VLOOKUP($B217,'Slutlig allokering kvv'!$B$2:$BX$549,MATCH(H$2,'Slutlig allokering kvv'!$B$1:$BX$1,0),FALSE)/1,0))</f>
        <v/>
      </c>
      <c r="I217" s="121" t="str">
        <f>IF($D217="","",IFERROR(VLOOKUP($B217,Kraftvärmeprod!$B$1:$BX$549,MATCH(I$2,Kraftvärmeprod!$B$1:$VX$1,0),FALSE)/1,0)-IFERROR(VLOOKUP($B217,'Slutlig allokering kvv'!$B$2:$BX$549,MATCH(I$2,'Slutlig allokering kvv'!$B$1:$BX$1,0),FALSE)/1,0))</f>
        <v/>
      </c>
      <c r="J217" s="121" t="str">
        <f>IF($D217="","",IFERROR(VLOOKUP($B217,Kraftvärmeprod!$B$1:$BX$549,MATCH(J$2,Kraftvärmeprod!$B$1:$VX$1,0),FALSE)/1,0)-IFERROR(VLOOKUP($B217,'Slutlig allokering kvv'!$B$2:$BX$549,MATCH(J$2,'Slutlig allokering kvv'!$B$1:$BX$1,0),FALSE)/1,0))</f>
        <v/>
      </c>
      <c r="K217" s="121" t="str">
        <f>IF($D217="","",IFERROR(VLOOKUP($B217,Kraftvärmeprod!$B$1:$BX$549,MATCH(K$2,Kraftvärmeprod!$B$1:$VX$1,0),FALSE)/1,0)-IFERROR(VLOOKUP($B217,'Slutlig allokering kvv'!$B$2:$BX$549,MATCH(K$2,'Slutlig allokering kvv'!$B$1:$BX$1,0),FALSE)/1,0))</f>
        <v/>
      </c>
      <c r="L217" s="121" t="str">
        <f>IF($D217="","",IFERROR(VLOOKUP($B217,Kraftvärmeprod!$B$1:$BX$549,MATCH(L$2,Kraftvärmeprod!$B$1:$VX$1,0),FALSE)/1,0)-IFERROR(VLOOKUP($B217,'Slutlig allokering kvv'!$B$2:$BX$549,MATCH(L$2,'Slutlig allokering kvv'!$B$1:$BX$1,0),FALSE)/1,0))</f>
        <v/>
      </c>
      <c r="M217" s="121" t="str">
        <f>IF($D217="","",IFERROR(VLOOKUP($B217,Kraftvärmeprod!$B$1:$BX$549,MATCH(M$2,Kraftvärmeprod!$B$1:$VX$1,0),FALSE)/1,0)-IFERROR(VLOOKUP($B217,'Slutlig allokering kvv'!$B$2:$BX$549,MATCH(M$2,'Slutlig allokering kvv'!$B$1:$BX$1,0),FALSE)/1,0))</f>
        <v/>
      </c>
      <c r="N217" s="121" t="str">
        <f>IF($D217="","",IFERROR(VLOOKUP($B217,Kraftvärmeprod!$B$1:$BX$549,MATCH(N$2,Kraftvärmeprod!$B$1:$VX$1,0),FALSE)/1,0)-IFERROR(VLOOKUP($B217,'Slutlig allokering kvv'!$B$2:$BX$549,MATCH(N$2,'Slutlig allokering kvv'!$B$1:$BX$1,0),FALSE)/1,0))</f>
        <v/>
      </c>
      <c r="O217" s="121" t="str">
        <f>IF($D217="","",IFERROR(VLOOKUP($B217,Kraftvärmeprod!$B$1:$BX$549,MATCH(O$2,Kraftvärmeprod!$B$1:$VX$1,0),FALSE)/1,0)-IFERROR(VLOOKUP($B217,'Slutlig allokering kvv'!$B$2:$BX$549,MATCH(O$2,'Slutlig allokering kvv'!$B$1:$BX$1,0),FALSE)/1,0))</f>
        <v/>
      </c>
      <c r="P217" s="121" t="str">
        <f>IF($D217="","",IFERROR(VLOOKUP($B217,Kraftvärmeprod!$B$1:$BX$549,MATCH(P$2,Kraftvärmeprod!$B$1:$VX$1,0),FALSE)/1,0)-IFERROR(VLOOKUP($B217,'Slutlig allokering kvv'!$B$2:$BX$549,MATCH(P$2,'Slutlig allokering kvv'!$B$1:$BX$1,0),FALSE)/1,0))</f>
        <v/>
      </c>
      <c r="Q217" s="121" t="str">
        <f>IF($D217="","",IFERROR(VLOOKUP($B217,Kraftvärmeprod!$B$1:$BX$549,MATCH(Q$2,Kraftvärmeprod!$B$1:$VX$1,0),FALSE)/1,0)-IFERROR(VLOOKUP($B217,'Slutlig allokering kvv'!$B$2:$BX$549,MATCH(Q$2,'Slutlig allokering kvv'!$B$1:$BX$1,0),FALSE)/1,0))</f>
        <v/>
      </c>
      <c r="R217" s="121" t="str">
        <f>IF($D217="","",IFERROR(VLOOKUP($B217,Kraftvärmeprod!$B$1:$BX$549,MATCH(R$2,Kraftvärmeprod!$B$1:$VX$1,0),FALSE)/1,0)-IFERROR(VLOOKUP($B217,'Slutlig allokering kvv'!$B$2:$BX$549,MATCH(R$2,'Slutlig allokering kvv'!$B$1:$BX$1,0),FALSE)/1,0))</f>
        <v/>
      </c>
      <c r="S217" s="121" t="str">
        <f>IF($D217="","",IFERROR(VLOOKUP($B217,Kraftvärmeprod!$B$1:$BX$549,MATCH(S$2,Kraftvärmeprod!$B$1:$VX$1,0),FALSE)/1,0)-IFERROR(VLOOKUP($B217,'Slutlig allokering kvv'!$B$2:$BX$549,MATCH(S$2,'Slutlig allokering kvv'!$B$1:$BX$1,0),FALSE)/1,0))</f>
        <v/>
      </c>
      <c r="T217" s="121" t="str">
        <f>IF($D217="","",IFERROR(VLOOKUP($B217,Kraftvärmeprod!$B$1:$BX$549,MATCH(T$2,Kraftvärmeprod!$B$1:$VX$1,0),FALSE)/1,0)-IFERROR(VLOOKUP($B217,'Slutlig allokering kvv'!$B$2:$BX$549,MATCH(T$2,'Slutlig allokering kvv'!$B$1:$BX$1,0),FALSE)/1,0))</f>
        <v/>
      </c>
      <c r="U217" s="121" t="str">
        <f>IF($D217="","",IFERROR(VLOOKUP($B217,Kraftvärmeprod!$B$1:$BX$549,MATCH(U$2,Kraftvärmeprod!$B$1:$VX$1,0),FALSE)/1,0)-IFERROR(VLOOKUP($B217,'Slutlig allokering kvv'!$B$2:$BX$549,MATCH(U$2,'Slutlig allokering kvv'!$B$1:$BX$1,0),FALSE)/1,0))</f>
        <v/>
      </c>
      <c r="V217" s="121" t="str">
        <f>IF($D217="","",IFERROR(VLOOKUP($B217,Kraftvärmeprod!$B$1:$BX$549,MATCH(V$2,Kraftvärmeprod!$B$1:$VX$1,0),FALSE)/1,0)-IFERROR(VLOOKUP($B217,'Slutlig allokering kvv'!$B$2:$BX$549,MATCH(V$2,'Slutlig allokering kvv'!$B$1:$BX$1,0),FALSE)/1,0))</f>
        <v/>
      </c>
      <c r="W217" s="121" t="str">
        <f>IF($D217="","",IFERROR(VLOOKUP($B217,Kraftvärmeprod!$B$1:$BX$549,MATCH(W$2,Kraftvärmeprod!$B$1:$VX$1,0),FALSE)/1,0)-IFERROR(VLOOKUP($B217,'Slutlig allokering kvv'!$B$2:$BX$549,MATCH(W$2,'Slutlig allokering kvv'!$B$1:$BX$1,0),FALSE)/1,0))</f>
        <v/>
      </c>
      <c r="X217" s="121" t="str">
        <f>IF($D217="","",IFERROR(VLOOKUP($B217,Kraftvärmeprod!$B$1:$BX$549,MATCH(X$2,Kraftvärmeprod!$B$1:$VX$1,0),FALSE)/1,0)-IFERROR(VLOOKUP($B217,'Slutlig allokering kvv'!$B$2:$BX$549,MATCH(X$2,'Slutlig allokering kvv'!$B$1:$BX$1,0),FALSE)/1,0))</f>
        <v/>
      </c>
      <c r="Y217" s="121" t="str">
        <f>IF($D217="","",IFERROR(VLOOKUP($B217,Kraftvärmeprod!$B$1:$BX$549,MATCH(Y$2,Kraftvärmeprod!$B$1:$VX$1,0),FALSE)/1,0)-IFERROR(VLOOKUP($B217,'Slutlig allokering kvv'!$B$2:$BX$549,MATCH(Y$2,'Slutlig allokering kvv'!$B$1:$BX$1,0),FALSE)/1,0))</f>
        <v/>
      </c>
      <c r="Z217" s="121" t="str">
        <f>IF($D217="","",IFERROR(VLOOKUP($B217,Kraftvärmeprod!$B$1:$BX$549,MATCH(Z$2,Kraftvärmeprod!$B$1:$VX$1,0),FALSE)/1,0)-IFERROR(VLOOKUP($B217,'Slutlig allokering kvv'!$B$2:$BX$549,MATCH(Z$2,'Slutlig allokering kvv'!$B$1:$BX$1,0),FALSE)/1,0))</f>
        <v/>
      </c>
      <c r="AA217" s="121" t="str">
        <f>IF($D217="","",IFERROR(VLOOKUP($B217,Kraftvärmeprod!$B$1:$BX$549,MATCH(AA$2,Kraftvärmeprod!$B$1:$VX$1,0),FALSE)/1,0)-IFERROR(VLOOKUP($B217,'Slutlig allokering kvv'!$B$2:$BX$549,MATCH(AA$2,'Slutlig allokering kvv'!$B$1:$BX$1,0),FALSE)/1,0))</f>
        <v/>
      </c>
      <c r="AB217" s="121" t="str">
        <f>IF($D217="","",IFERROR(VLOOKUP($B217,Kraftvärmeprod!$B$1:$BX$549,MATCH(AB$2,Kraftvärmeprod!$B$1:$VX$1,0),FALSE)/1,0)-IFERROR(VLOOKUP($B217,'Slutlig allokering kvv'!$B$2:$BX$549,MATCH(AB$2,'Slutlig allokering kvv'!$B$1:$BX$1,0),FALSE)/1,0))</f>
        <v/>
      </c>
      <c r="AC217" s="121" t="str">
        <f>IF($D217="","",IFERROR(VLOOKUP($B217,Kraftvärmeprod!$B$1:$BX$549,MATCH(AC$2,Kraftvärmeprod!$B$1:$VX$1,0),FALSE)/1,0)-IFERROR(VLOOKUP($B217,'Slutlig allokering kvv'!$B$2:$BX$549,MATCH(AC$2,'Slutlig allokering kvv'!$B$1:$BX$1,0),FALSE)/1,0))</f>
        <v/>
      </c>
      <c r="AD217" s="121" t="str">
        <f>IF($D217="","",IFERROR(VLOOKUP($B217,Kraftvärmeprod!$B$1:$BX$549,MATCH(AD$2,Kraftvärmeprod!$B$1:$VX$1,0),FALSE)/1,0)-IFERROR(VLOOKUP($B217,'Slutlig allokering kvv'!$B$2:$BX$549,MATCH(AD$2,'Slutlig allokering kvv'!$B$1:$BX$1,0),FALSE)/1,0))</f>
        <v/>
      </c>
      <c r="AE217" s="121" t="str">
        <f>IF($D217="","",IFERROR(VLOOKUP($B217,Miljö!$B$1:$E$550,MATCH("Hjälpel kraftvärme (GWh)",Miljö!$B$1:$E$1,0),FALSE)/1,0)-IFERROR(VLOOKUP($B217,'Slutlig allokering kvv'!$B$2:$BX$549,MATCH(AE$2,'Slutlig allokering kvv'!$B$1:$BX$1,0),FALSE)/1,0))</f>
        <v/>
      </c>
      <c r="AI217" s="121">
        <f t="shared" si="12"/>
        <v>0</v>
      </c>
      <c r="AK217" s="121">
        <f>IFERROR(VLOOKUP($B217,'Slutlig allokering kvv'!$B$2:$AX$549,MATCH("Summa slutlig allokerad tillförd energi (utan hjälpel och rökgaskondensering):",'Slutlig allokering kvv'!$B$1:$AX$1,0),FALSE)/1,"")</f>
        <v>0</v>
      </c>
      <c r="AM217" s="172" t="str">
        <f>IFERROR(1-VLOOKUP($B217,'Slutlig allokering kvv'!$B$2:$AX$549,MATCH("Andel av bränsle i kvv som allokerats till värme, exklusive rökgaskondensering och hjälpel",'Slutlig allokering kvv'!$B$1:$AX$1,0),FALSE),"")</f>
        <v/>
      </c>
      <c r="AO217" s="172" t="str">
        <f t="shared" si="13"/>
        <v/>
      </c>
      <c r="AP217" s="173" t="str">
        <f t="shared" si="14"/>
        <v/>
      </c>
      <c r="AR217" s="172" t="str">
        <f t="shared" si="15"/>
        <v/>
      </c>
    </row>
    <row r="218" spans="1:44" x14ac:dyDescent="0.25">
      <c r="A218" s="171" t="str">
        <f>'Miljövärden för publ företag'!B220</f>
        <v>Skellefteå Kraft AB</v>
      </c>
      <c r="B218" s="171" t="str">
        <f>'Miljövärden för publ företag'!C220</f>
        <v>Boliden</v>
      </c>
      <c r="C218" s="121" t="str">
        <f>IFERROR(VLOOKUP($B218,Kraftvärmeprod!$B$1:$AH$478,MATCH(C$2,Kraftvärmeprod!$B$1:$AG$1,0),FALSE)/1,"")</f>
        <v/>
      </c>
      <c r="D218" s="121" t="str">
        <f>IFERROR(VLOOKUP($B218,Kraftvärmeprod!$B$1:$AH$478,MATCH(D$2,Kraftvärmeprod!$B$1:$AG$1,0),FALSE)/1,"")</f>
        <v/>
      </c>
      <c r="F218" s="121" t="str">
        <f>IF($D218="","",IFERROR(VLOOKUP($B218,Kraftvärmeprod!$B$1:$BX$549,MATCH(F$2,Kraftvärmeprod!$B$1:$VX$1,0),FALSE)/1,0)-IFERROR(VLOOKUP($B218,'Slutlig allokering kvv'!$B$2:$BX$549,MATCH(F$2,'Slutlig allokering kvv'!$B$1:$BX$1,0),FALSE)/1,0))</f>
        <v/>
      </c>
      <c r="G218" s="121" t="str">
        <f>IF($D218="","",IFERROR(VLOOKUP($B218,Kraftvärmeprod!$B$1:$BX$549,MATCH(G$2,Kraftvärmeprod!$B$1:$VX$1,0),FALSE)/1,0)-IFERROR(VLOOKUP($B218,'Slutlig allokering kvv'!$B$2:$BX$549,MATCH(G$2,'Slutlig allokering kvv'!$B$1:$BX$1,0),FALSE)/1,0))</f>
        <v/>
      </c>
      <c r="H218" s="121" t="str">
        <f>IF($D218="","",IFERROR(VLOOKUP($B218,Kraftvärmeprod!$B$1:$BX$549,MATCH(H$2,Kraftvärmeprod!$B$1:$VX$1,0),FALSE)/1,0)-IFERROR(VLOOKUP($B218,'Slutlig allokering kvv'!$B$2:$BX$549,MATCH(H$2,'Slutlig allokering kvv'!$B$1:$BX$1,0),FALSE)/1,0))</f>
        <v/>
      </c>
      <c r="I218" s="121" t="str">
        <f>IF($D218="","",IFERROR(VLOOKUP($B218,Kraftvärmeprod!$B$1:$BX$549,MATCH(I$2,Kraftvärmeprod!$B$1:$VX$1,0),FALSE)/1,0)-IFERROR(VLOOKUP($B218,'Slutlig allokering kvv'!$B$2:$BX$549,MATCH(I$2,'Slutlig allokering kvv'!$B$1:$BX$1,0),FALSE)/1,0))</f>
        <v/>
      </c>
      <c r="J218" s="121" t="str">
        <f>IF($D218="","",IFERROR(VLOOKUP($B218,Kraftvärmeprod!$B$1:$BX$549,MATCH(J$2,Kraftvärmeprod!$B$1:$VX$1,0),FALSE)/1,0)-IFERROR(VLOOKUP($B218,'Slutlig allokering kvv'!$B$2:$BX$549,MATCH(J$2,'Slutlig allokering kvv'!$B$1:$BX$1,0),FALSE)/1,0))</f>
        <v/>
      </c>
      <c r="K218" s="121" t="str">
        <f>IF($D218="","",IFERROR(VLOOKUP($B218,Kraftvärmeprod!$B$1:$BX$549,MATCH(K$2,Kraftvärmeprod!$B$1:$VX$1,0),FALSE)/1,0)-IFERROR(VLOOKUP($B218,'Slutlig allokering kvv'!$B$2:$BX$549,MATCH(K$2,'Slutlig allokering kvv'!$B$1:$BX$1,0),FALSE)/1,0))</f>
        <v/>
      </c>
      <c r="L218" s="121" t="str">
        <f>IF($D218="","",IFERROR(VLOOKUP($B218,Kraftvärmeprod!$B$1:$BX$549,MATCH(L$2,Kraftvärmeprod!$B$1:$VX$1,0),FALSE)/1,0)-IFERROR(VLOOKUP($B218,'Slutlig allokering kvv'!$B$2:$BX$549,MATCH(L$2,'Slutlig allokering kvv'!$B$1:$BX$1,0),FALSE)/1,0))</f>
        <v/>
      </c>
      <c r="M218" s="121" t="str">
        <f>IF($D218="","",IFERROR(VLOOKUP($B218,Kraftvärmeprod!$B$1:$BX$549,MATCH(M$2,Kraftvärmeprod!$B$1:$VX$1,0),FALSE)/1,0)-IFERROR(VLOOKUP($B218,'Slutlig allokering kvv'!$B$2:$BX$549,MATCH(M$2,'Slutlig allokering kvv'!$B$1:$BX$1,0),FALSE)/1,0))</f>
        <v/>
      </c>
      <c r="N218" s="121" t="str">
        <f>IF($D218="","",IFERROR(VLOOKUP($B218,Kraftvärmeprod!$B$1:$BX$549,MATCH(N$2,Kraftvärmeprod!$B$1:$VX$1,0),FALSE)/1,0)-IFERROR(VLOOKUP($B218,'Slutlig allokering kvv'!$B$2:$BX$549,MATCH(N$2,'Slutlig allokering kvv'!$B$1:$BX$1,0),FALSE)/1,0))</f>
        <v/>
      </c>
      <c r="O218" s="121" t="str">
        <f>IF($D218="","",IFERROR(VLOOKUP($B218,Kraftvärmeprod!$B$1:$BX$549,MATCH(O$2,Kraftvärmeprod!$B$1:$VX$1,0),FALSE)/1,0)-IFERROR(VLOOKUP($B218,'Slutlig allokering kvv'!$B$2:$BX$549,MATCH(O$2,'Slutlig allokering kvv'!$B$1:$BX$1,0),FALSE)/1,0))</f>
        <v/>
      </c>
      <c r="P218" s="121" t="str">
        <f>IF($D218="","",IFERROR(VLOOKUP($B218,Kraftvärmeprod!$B$1:$BX$549,MATCH(P$2,Kraftvärmeprod!$B$1:$VX$1,0),FALSE)/1,0)-IFERROR(VLOOKUP($B218,'Slutlig allokering kvv'!$B$2:$BX$549,MATCH(P$2,'Slutlig allokering kvv'!$B$1:$BX$1,0),FALSE)/1,0))</f>
        <v/>
      </c>
      <c r="Q218" s="121" t="str">
        <f>IF($D218="","",IFERROR(VLOOKUP($B218,Kraftvärmeprod!$B$1:$BX$549,MATCH(Q$2,Kraftvärmeprod!$B$1:$VX$1,0),FALSE)/1,0)-IFERROR(VLOOKUP($B218,'Slutlig allokering kvv'!$B$2:$BX$549,MATCH(Q$2,'Slutlig allokering kvv'!$B$1:$BX$1,0),FALSE)/1,0))</f>
        <v/>
      </c>
      <c r="R218" s="121" t="str">
        <f>IF($D218="","",IFERROR(VLOOKUP($B218,Kraftvärmeprod!$B$1:$BX$549,MATCH(R$2,Kraftvärmeprod!$B$1:$VX$1,0),FALSE)/1,0)-IFERROR(VLOOKUP($B218,'Slutlig allokering kvv'!$B$2:$BX$549,MATCH(R$2,'Slutlig allokering kvv'!$B$1:$BX$1,0),FALSE)/1,0))</f>
        <v/>
      </c>
      <c r="S218" s="121" t="str">
        <f>IF($D218="","",IFERROR(VLOOKUP($B218,Kraftvärmeprod!$B$1:$BX$549,MATCH(S$2,Kraftvärmeprod!$B$1:$VX$1,0),FALSE)/1,0)-IFERROR(VLOOKUP($B218,'Slutlig allokering kvv'!$B$2:$BX$549,MATCH(S$2,'Slutlig allokering kvv'!$B$1:$BX$1,0),FALSE)/1,0))</f>
        <v/>
      </c>
      <c r="T218" s="121" t="str">
        <f>IF($D218="","",IFERROR(VLOOKUP($B218,Kraftvärmeprod!$B$1:$BX$549,MATCH(T$2,Kraftvärmeprod!$B$1:$VX$1,0),FALSE)/1,0)-IFERROR(VLOOKUP($B218,'Slutlig allokering kvv'!$B$2:$BX$549,MATCH(T$2,'Slutlig allokering kvv'!$B$1:$BX$1,0),FALSE)/1,0))</f>
        <v/>
      </c>
      <c r="U218" s="121" t="str">
        <f>IF($D218="","",IFERROR(VLOOKUP($B218,Kraftvärmeprod!$B$1:$BX$549,MATCH(U$2,Kraftvärmeprod!$B$1:$VX$1,0),FALSE)/1,0)-IFERROR(VLOOKUP($B218,'Slutlig allokering kvv'!$B$2:$BX$549,MATCH(U$2,'Slutlig allokering kvv'!$B$1:$BX$1,0),FALSE)/1,0))</f>
        <v/>
      </c>
      <c r="V218" s="121" t="str">
        <f>IF($D218="","",IFERROR(VLOOKUP($B218,Kraftvärmeprod!$B$1:$BX$549,MATCH(V$2,Kraftvärmeprod!$B$1:$VX$1,0),FALSE)/1,0)-IFERROR(VLOOKUP($B218,'Slutlig allokering kvv'!$B$2:$BX$549,MATCH(V$2,'Slutlig allokering kvv'!$B$1:$BX$1,0),FALSE)/1,0))</f>
        <v/>
      </c>
      <c r="W218" s="121" t="str">
        <f>IF($D218="","",IFERROR(VLOOKUP($B218,Kraftvärmeprod!$B$1:$BX$549,MATCH(W$2,Kraftvärmeprod!$B$1:$VX$1,0),FALSE)/1,0)-IFERROR(VLOOKUP($B218,'Slutlig allokering kvv'!$B$2:$BX$549,MATCH(W$2,'Slutlig allokering kvv'!$B$1:$BX$1,0),FALSE)/1,0))</f>
        <v/>
      </c>
      <c r="X218" s="121" t="str">
        <f>IF($D218="","",IFERROR(VLOOKUP($B218,Kraftvärmeprod!$B$1:$BX$549,MATCH(X$2,Kraftvärmeprod!$B$1:$VX$1,0),FALSE)/1,0)-IFERROR(VLOOKUP($B218,'Slutlig allokering kvv'!$B$2:$BX$549,MATCH(X$2,'Slutlig allokering kvv'!$B$1:$BX$1,0),FALSE)/1,0))</f>
        <v/>
      </c>
      <c r="Y218" s="121" t="str">
        <f>IF($D218="","",IFERROR(VLOOKUP($B218,Kraftvärmeprod!$B$1:$BX$549,MATCH(Y$2,Kraftvärmeprod!$B$1:$VX$1,0),FALSE)/1,0)-IFERROR(VLOOKUP($B218,'Slutlig allokering kvv'!$B$2:$BX$549,MATCH(Y$2,'Slutlig allokering kvv'!$B$1:$BX$1,0),FALSE)/1,0))</f>
        <v/>
      </c>
      <c r="Z218" s="121" t="str">
        <f>IF($D218="","",IFERROR(VLOOKUP($B218,Kraftvärmeprod!$B$1:$BX$549,MATCH(Z$2,Kraftvärmeprod!$B$1:$VX$1,0),FALSE)/1,0)-IFERROR(VLOOKUP($B218,'Slutlig allokering kvv'!$B$2:$BX$549,MATCH(Z$2,'Slutlig allokering kvv'!$B$1:$BX$1,0),FALSE)/1,0))</f>
        <v/>
      </c>
      <c r="AA218" s="121" t="str">
        <f>IF($D218="","",IFERROR(VLOOKUP($B218,Kraftvärmeprod!$B$1:$BX$549,MATCH(AA$2,Kraftvärmeprod!$B$1:$VX$1,0),FALSE)/1,0)-IFERROR(VLOOKUP($B218,'Slutlig allokering kvv'!$B$2:$BX$549,MATCH(AA$2,'Slutlig allokering kvv'!$B$1:$BX$1,0),FALSE)/1,0))</f>
        <v/>
      </c>
      <c r="AB218" s="121" t="str">
        <f>IF($D218="","",IFERROR(VLOOKUP($B218,Kraftvärmeprod!$B$1:$BX$549,MATCH(AB$2,Kraftvärmeprod!$B$1:$VX$1,0),FALSE)/1,0)-IFERROR(VLOOKUP($B218,'Slutlig allokering kvv'!$B$2:$BX$549,MATCH(AB$2,'Slutlig allokering kvv'!$B$1:$BX$1,0),FALSE)/1,0))</f>
        <v/>
      </c>
      <c r="AC218" s="121" t="str">
        <f>IF($D218="","",IFERROR(VLOOKUP($B218,Kraftvärmeprod!$B$1:$BX$549,MATCH(AC$2,Kraftvärmeprod!$B$1:$VX$1,0),FALSE)/1,0)-IFERROR(VLOOKUP($B218,'Slutlig allokering kvv'!$B$2:$BX$549,MATCH(AC$2,'Slutlig allokering kvv'!$B$1:$BX$1,0),FALSE)/1,0))</f>
        <v/>
      </c>
      <c r="AD218" s="121" t="str">
        <f>IF($D218="","",IFERROR(VLOOKUP($B218,Kraftvärmeprod!$B$1:$BX$549,MATCH(AD$2,Kraftvärmeprod!$B$1:$VX$1,0),FALSE)/1,0)-IFERROR(VLOOKUP($B218,'Slutlig allokering kvv'!$B$2:$BX$549,MATCH(AD$2,'Slutlig allokering kvv'!$B$1:$BX$1,0),FALSE)/1,0))</f>
        <v/>
      </c>
      <c r="AE218" s="121" t="str">
        <f>IF($D218="","",IFERROR(VLOOKUP($B218,Miljö!$B$1:$E$550,MATCH("Hjälpel kraftvärme (GWh)",Miljö!$B$1:$E$1,0),FALSE)/1,0)-IFERROR(VLOOKUP($B218,'Slutlig allokering kvv'!$B$2:$BX$549,MATCH(AE$2,'Slutlig allokering kvv'!$B$1:$BX$1,0),FALSE)/1,0))</f>
        <v/>
      </c>
      <c r="AI218" s="121">
        <f t="shared" si="12"/>
        <v>0</v>
      </c>
      <c r="AK218" s="121">
        <f>IFERROR(VLOOKUP($B218,'Slutlig allokering kvv'!$B$2:$AX$549,MATCH("Summa slutlig allokerad tillförd energi (utan hjälpel och rökgaskondensering):",'Slutlig allokering kvv'!$B$1:$AX$1,0),FALSE)/1,"")</f>
        <v>0</v>
      </c>
      <c r="AM218" s="172" t="str">
        <f>IFERROR(1-VLOOKUP($B218,'Slutlig allokering kvv'!$B$2:$AX$549,MATCH("Andel av bränsle i kvv som allokerats till värme, exklusive rökgaskondensering och hjälpel",'Slutlig allokering kvv'!$B$1:$AX$1,0),FALSE),"")</f>
        <v/>
      </c>
      <c r="AO218" s="172" t="str">
        <f t="shared" si="13"/>
        <v/>
      </c>
      <c r="AP218" s="173" t="str">
        <f t="shared" si="14"/>
        <v/>
      </c>
      <c r="AR218" s="172" t="str">
        <f t="shared" si="15"/>
        <v/>
      </c>
    </row>
    <row r="219" spans="1:44" x14ac:dyDescent="0.25">
      <c r="A219" s="171" t="str">
        <f>'Miljövärden för publ företag'!B221</f>
        <v>Skellefteå Kraft AB</v>
      </c>
      <c r="B219" s="171" t="str">
        <f>'Miljövärden för publ företag'!C221</f>
        <v>Bureå</v>
      </c>
      <c r="C219" s="121" t="str">
        <f>IFERROR(VLOOKUP($B219,Kraftvärmeprod!$B$1:$AH$478,MATCH(C$2,Kraftvärmeprod!$B$1:$AG$1,0),FALSE)/1,"")</f>
        <v/>
      </c>
      <c r="D219" s="121" t="str">
        <f>IFERROR(VLOOKUP($B219,Kraftvärmeprod!$B$1:$AH$478,MATCH(D$2,Kraftvärmeprod!$B$1:$AG$1,0),FALSE)/1,"")</f>
        <v/>
      </c>
      <c r="F219" s="121" t="str">
        <f>IF($D219="","",IFERROR(VLOOKUP($B219,Kraftvärmeprod!$B$1:$BX$549,MATCH(F$2,Kraftvärmeprod!$B$1:$VX$1,0),FALSE)/1,0)-IFERROR(VLOOKUP($B219,'Slutlig allokering kvv'!$B$2:$BX$549,MATCH(F$2,'Slutlig allokering kvv'!$B$1:$BX$1,0),FALSE)/1,0))</f>
        <v/>
      </c>
      <c r="G219" s="121" t="str">
        <f>IF($D219="","",IFERROR(VLOOKUP($B219,Kraftvärmeprod!$B$1:$BX$549,MATCH(G$2,Kraftvärmeprod!$B$1:$VX$1,0),FALSE)/1,0)-IFERROR(VLOOKUP($B219,'Slutlig allokering kvv'!$B$2:$BX$549,MATCH(G$2,'Slutlig allokering kvv'!$B$1:$BX$1,0),FALSE)/1,0))</f>
        <v/>
      </c>
      <c r="H219" s="121" t="str">
        <f>IF($D219="","",IFERROR(VLOOKUP($B219,Kraftvärmeprod!$B$1:$BX$549,MATCH(H$2,Kraftvärmeprod!$B$1:$VX$1,0),FALSE)/1,0)-IFERROR(VLOOKUP($B219,'Slutlig allokering kvv'!$B$2:$BX$549,MATCH(H$2,'Slutlig allokering kvv'!$B$1:$BX$1,0),FALSE)/1,0))</f>
        <v/>
      </c>
      <c r="I219" s="121" t="str">
        <f>IF($D219="","",IFERROR(VLOOKUP($B219,Kraftvärmeprod!$B$1:$BX$549,MATCH(I$2,Kraftvärmeprod!$B$1:$VX$1,0),FALSE)/1,0)-IFERROR(VLOOKUP($B219,'Slutlig allokering kvv'!$B$2:$BX$549,MATCH(I$2,'Slutlig allokering kvv'!$B$1:$BX$1,0),FALSE)/1,0))</f>
        <v/>
      </c>
      <c r="J219" s="121" t="str">
        <f>IF($D219="","",IFERROR(VLOOKUP($B219,Kraftvärmeprod!$B$1:$BX$549,MATCH(J$2,Kraftvärmeprod!$B$1:$VX$1,0),FALSE)/1,0)-IFERROR(VLOOKUP($B219,'Slutlig allokering kvv'!$B$2:$BX$549,MATCH(J$2,'Slutlig allokering kvv'!$B$1:$BX$1,0),FALSE)/1,0))</f>
        <v/>
      </c>
      <c r="K219" s="121" t="str">
        <f>IF($D219="","",IFERROR(VLOOKUP($B219,Kraftvärmeprod!$B$1:$BX$549,MATCH(K$2,Kraftvärmeprod!$B$1:$VX$1,0),FALSE)/1,0)-IFERROR(VLOOKUP($B219,'Slutlig allokering kvv'!$B$2:$BX$549,MATCH(K$2,'Slutlig allokering kvv'!$B$1:$BX$1,0),FALSE)/1,0))</f>
        <v/>
      </c>
      <c r="L219" s="121" t="str">
        <f>IF($D219="","",IFERROR(VLOOKUP($B219,Kraftvärmeprod!$B$1:$BX$549,MATCH(L$2,Kraftvärmeprod!$B$1:$VX$1,0),FALSE)/1,0)-IFERROR(VLOOKUP($B219,'Slutlig allokering kvv'!$B$2:$BX$549,MATCH(L$2,'Slutlig allokering kvv'!$B$1:$BX$1,0),FALSE)/1,0))</f>
        <v/>
      </c>
      <c r="M219" s="121" t="str">
        <f>IF($D219="","",IFERROR(VLOOKUP($B219,Kraftvärmeprod!$B$1:$BX$549,MATCH(M$2,Kraftvärmeprod!$B$1:$VX$1,0),FALSE)/1,0)-IFERROR(VLOOKUP($B219,'Slutlig allokering kvv'!$B$2:$BX$549,MATCH(M$2,'Slutlig allokering kvv'!$B$1:$BX$1,0),FALSE)/1,0))</f>
        <v/>
      </c>
      <c r="N219" s="121" t="str">
        <f>IF($D219="","",IFERROR(VLOOKUP($B219,Kraftvärmeprod!$B$1:$BX$549,MATCH(N$2,Kraftvärmeprod!$B$1:$VX$1,0),FALSE)/1,0)-IFERROR(VLOOKUP($B219,'Slutlig allokering kvv'!$B$2:$BX$549,MATCH(N$2,'Slutlig allokering kvv'!$B$1:$BX$1,0),FALSE)/1,0))</f>
        <v/>
      </c>
      <c r="O219" s="121" t="str">
        <f>IF($D219="","",IFERROR(VLOOKUP($B219,Kraftvärmeprod!$B$1:$BX$549,MATCH(O$2,Kraftvärmeprod!$B$1:$VX$1,0),FALSE)/1,0)-IFERROR(VLOOKUP($B219,'Slutlig allokering kvv'!$B$2:$BX$549,MATCH(O$2,'Slutlig allokering kvv'!$B$1:$BX$1,0),FALSE)/1,0))</f>
        <v/>
      </c>
      <c r="P219" s="121" t="str">
        <f>IF($D219="","",IFERROR(VLOOKUP($B219,Kraftvärmeprod!$B$1:$BX$549,MATCH(P$2,Kraftvärmeprod!$B$1:$VX$1,0),FALSE)/1,0)-IFERROR(VLOOKUP($B219,'Slutlig allokering kvv'!$B$2:$BX$549,MATCH(P$2,'Slutlig allokering kvv'!$B$1:$BX$1,0),FALSE)/1,0))</f>
        <v/>
      </c>
      <c r="Q219" s="121" t="str">
        <f>IF($D219="","",IFERROR(VLOOKUP($B219,Kraftvärmeprod!$B$1:$BX$549,MATCH(Q$2,Kraftvärmeprod!$B$1:$VX$1,0),FALSE)/1,0)-IFERROR(VLOOKUP($B219,'Slutlig allokering kvv'!$B$2:$BX$549,MATCH(Q$2,'Slutlig allokering kvv'!$B$1:$BX$1,0),FALSE)/1,0))</f>
        <v/>
      </c>
      <c r="R219" s="121" t="str">
        <f>IF($D219="","",IFERROR(VLOOKUP($B219,Kraftvärmeprod!$B$1:$BX$549,MATCH(R$2,Kraftvärmeprod!$B$1:$VX$1,0),FALSE)/1,0)-IFERROR(VLOOKUP($B219,'Slutlig allokering kvv'!$B$2:$BX$549,MATCH(R$2,'Slutlig allokering kvv'!$B$1:$BX$1,0),FALSE)/1,0))</f>
        <v/>
      </c>
      <c r="S219" s="121" t="str">
        <f>IF($D219="","",IFERROR(VLOOKUP($B219,Kraftvärmeprod!$B$1:$BX$549,MATCH(S$2,Kraftvärmeprod!$B$1:$VX$1,0),FALSE)/1,0)-IFERROR(VLOOKUP($B219,'Slutlig allokering kvv'!$B$2:$BX$549,MATCH(S$2,'Slutlig allokering kvv'!$B$1:$BX$1,0),FALSE)/1,0))</f>
        <v/>
      </c>
      <c r="T219" s="121" t="str">
        <f>IF($D219="","",IFERROR(VLOOKUP($B219,Kraftvärmeprod!$B$1:$BX$549,MATCH(T$2,Kraftvärmeprod!$B$1:$VX$1,0),FALSE)/1,0)-IFERROR(VLOOKUP($B219,'Slutlig allokering kvv'!$B$2:$BX$549,MATCH(T$2,'Slutlig allokering kvv'!$B$1:$BX$1,0),FALSE)/1,0))</f>
        <v/>
      </c>
      <c r="U219" s="121" t="str">
        <f>IF($D219="","",IFERROR(VLOOKUP($B219,Kraftvärmeprod!$B$1:$BX$549,MATCH(U$2,Kraftvärmeprod!$B$1:$VX$1,0),FALSE)/1,0)-IFERROR(VLOOKUP($B219,'Slutlig allokering kvv'!$B$2:$BX$549,MATCH(U$2,'Slutlig allokering kvv'!$B$1:$BX$1,0),FALSE)/1,0))</f>
        <v/>
      </c>
      <c r="V219" s="121" t="str">
        <f>IF($D219="","",IFERROR(VLOOKUP($B219,Kraftvärmeprod!$B$1:$BX$549,MATCH(V$2,Kraftvärmeprod!$B$1:$VX$1,0),FALSE)/1,0)-IFERROR(VLOOKUP($B219,'Slutlig allokering kvv'!$B$2:$BX$549,MATCH(V$2,'Slutlig allokering kvv'!$B$1:$BX$1,0),FALSE)/1,0))</f>
        <v/>
      </c>
      <c r="W219" s="121" t="str">
        <f>IF($D219="","",IFERROR(VLOOKUP($B219,Kraftvärmeprod!$B$1:$BX$549,MATCH(W$2,Kraftvärmeprod!$B$1:$VX$1,0),FALSE)/1,0)-IFERROR(VLOOKUP($B219,'Slutlig allokering kvv'!$B$2:$BX$549,MATCH(W$2,'Slutlig allokering kvv'!$B$1:$BX$1,0),FALSE)/1,0))</f>
        <v/>
      </c>
      <c r="X219" s="121" t="str">
        <f>IF($D219="","",IFERROR(VLOOKUP($B219,Kraftvärmeprod!$B$1:$BX$549,MATCH(X$2,Kraftvärmeprod!$B$1:$VX$1,0),FALSE)/1,0)-IFERROR(VLOOKUP($B219,'Slutlig allokering kvv'!$B$2:$BX$549,MATCH(X$2,'Slutlig allokering kvv'!$B$1:$BX$1,0),FALSE)/1,0))</f>
        <v/>
      </c>
      <c r="Y219" s="121" t="str">
        <f>IF($D219="","",IFERROR(VLOOKUP($B219,Kraftvärmeprod!$B$1:$BX$549,MATCH(Y$2,Kraftvärmeprod!$B$1:$VX$1,0),FALSE)/1,0)-IFERROR(VLOOKUP($B219,'Slutlig allokering kvv'!$B$2:$BX$549,MATCH(Y$2,'Slutlig allokering kvv'!$B$1:$BX$1,0),FALSE)/1,0))</f>
        <v/>
      </c>
      <c r="Z219" s="121" t="str">
        <f>IF($D219="","",IFERROR(VLOOKUP($B219,Kraftvärmeprod!$B$1:$BX$549,MATCH(Z$2,Kraftvärmeprod!$B$1:$VX$1,0),FALSE)/1,0)-IFERROR(VLOOKUP($B219,'Slutlig allokering kvv'!$B$2:$BX$549,MATCH(Z$2,'Slutlig allokering kvv'!$B$1:$BX$1,0),FALSE)/1,0))</f>
        <v/>
      </c>
      <c r="AA219" s="121" t="str">
        <f>IF($D219="","",IFERROR(VLOOKUP($B219,Kraftvärmeprod!$B$1:$BX$549,MATCH(AA$2,Kraftvärmeprod!$B$1:$VX$1,0),FALSE)/1,0)-IFERROR(VLOOKUP($B219,'Slutlig allokering kvv'!$B$2:$BX$549,MATCH(AA$2,'Slutlig allokering kvv'!$B$1:$BX$1,0),FALSE)/1,0))</f>
        <v/>
      </c>
      <c r="AB219" s="121" t="str">
        <f>IF($D219="","",IFERROR(VLOOKUP($B219,Kraftvärmeprod!$B$1:$BX$549,MATCH(AB$2,Kraftvärmeprod!$B$1:$VX$1,0),FALSE)/1,0)-IFERROR(VLOOKUP($B219,'Slutlig allokering kvv'!$B$2:$BX$549,MATCH(AB$2,'Slutlig allokering kvv'!$B$1:$BX$1,0),FALSE)/1,0))</f>
        <v/>
      </c>
      <c r="AC219" s="121" t="str">
        <f>IF($D219="","",IFERROR(VLOOKUP($B219,Kraftvärmeprod!$B$1:$BX$549,MATCH(AC$2,Kraftvärmeprod!$B$1:$VX$1,0),FALSE)/1,0)-IFERROR(VLOOKUP($B219,'Slutlig allokering kvv'!$B$2:$BX$549,MATCH(AC$2,'Slutlig allokering kvv'!$B$1:$BX$1,0),FALSE)/1,0))</f>
        <v/>
      </c>
      <c r="AD219" s="121" t="str">
        <f>IF($D219="","",IFERROR(VLOOKUP($B219,Kraftvärmeprod!$B$1:$BX$549,MATCH(AD$2,Kraftvärmeprod!$B$1:$VX$1,0),FALSE)/1,0)-IFERROR(VLOOKUP($B219,'Slutlig allokering kvv'!$B$2:$BX$549,MATCH(AD$2,'Slutlig allokering kvv'!$B$1:$BX$1,0),FALSE)/1,0))</f>
        <v/>
      </c>
      <c r="AE219" s="121" t="str">
        <f>IF($D219="","",IFERROR(VLOOKUP($B219,Miljö!$B$1:$E$550,MATCH("Hjälpel kraftvärme (GWh)",Miljö!$B$1:$E$1,0),FALSE)/1,0)-IFERROR(VLOOKUP($B219,'Slutlig allokering kvv'!$B$2:$BX$549,MATCH(AE$2,'Slutlig allokering kvv'!$B$1:$BX$1,0),FALSE)/1,0))</f>
        <v/>
      </c>
      <c r="AI219" s="121">
        <f t="shared" si="12"/>
        <v>0</v>
      </c>
      <c r="AK219" s="121">
        <f>IFERROR(VLOOKUP($B219,'Slutlig allokering kvv'!$B$2:$AX$549,MATCH("Summa slutlig allokerad tillförd energi (utan hjälpel och rökgaskondensering):",'Slutlig allokering kvv'!$B$1:$AX$1,0),FALSE)/1,"")</f>
        <v>0</v>
      </c>
      <c r="AM219" s="172" t="str">
        <f>IFERROR(1-VLOOKUP($B219,'Slutlig allokering kvv'!$B$2:$AX$549,MATCH("Andel av bränsle i kvv som allokerats till värme, exklusive rökgaskondensering och hjälpel",'Slutlig allokering kvv'!$B$1:$AX$1,0),FALSE),"")</f>
        <v/>
      </c>
      <c r="AO219" s="172" t="str">
        <f t="shared" si="13"/>
        <v/>
      </c>
      <c r="AP219" s="173" t="str">
        <f t="shared" si="14"/>
        <v/>
      </c>
      <c r="AR219" s="172" t="str">
        <f t="shared" si="15"/>
        <v/>
      </c>
    </row>
    <row r="220" spans="1:44" x14ac:dyDescent="0.25">
      <c r="A220" s="171" t="str">
        <f>'Miljövärden för publ företag'!B222</f>
        <v>Skellefteå Kraft AB</v>
      </c>
      <c r="B220" s="171" t="str">
        <f>'Miljövärden för publ företag'!C222</f>
        <v>Burträsk</v>
      </c>
      <c r="C220" s="121" t="str">
        <f>IFERROR(VLOOKUP($B220,Kraftvärmeprod!$B$1:$AH$478,MATCH(C$2,Kraftvärmeprod!$B$1:$AG$1,0),FALSE)/1,"")</f>
        <v/>
      </c>
      <c r="D220" s="121" t="str">
        <f>IFERROR(VLOOKUP($B220,Kraftvärmeprod!$B$1:$AH$478,MATCH(D$2,Kraftvärmeprod!$B$1:$AG$1,0),FALSE)/1,"")</f>
        <v/>
      </c>
      <c r="F220" s="121" t="str">
        <f>IF($D220="","",IFERROR(VLOOKUP($B220,Kraftvärmeprod!$B$1:$BX$549,MATCH(F$2,Kraftvärmeprod!$B$1:$VX$1,0),FALSE)/1,0)-IFERROR(VLOOKUP($B220,'Slutlig allokering kvv'!$B$2:$BX$549,MATCH(F$2,'Slutlig allokering kvv'!$B$1:$BX$1,0),FALSE)/1,0))</f>
        <v/>
      </c>
      <c r="G220" s="121" t="str">
        <f>IF($D220="","",IFERROR(VLOOKUP($B220,Kraftvärmeprod!$B$1:$BX$549,MATCH(G$2,Kraftvärmeprod!$B$1:$VX$1,0),FALSE)/1,0)-IFERROR(VLOOKUP($B220,'Slutlig allokering kvv'!$B$2:$BX$549,MATCH(G$2,'Slutlig allokering kvv'!$B$1:$BX$1,0),FALSE)/1,0))</f>
        <v/>
      </c>
      <c r="H220" s="121" t="str">
        <f>IF($D220="","",IFERROR(VLOOKUP($B220,Kraftvärmeprod!$B$1:$BX$549,MATCH(H$2,Kraftvärmeprod!$B$1:$VX$1,0),FALSE)/1,0)-IFERROR(VLOOKUP($B220,'Slutlig allokering kvv'!$B$2:$BX$549,MATCH(H$2,'Slutlig allokering kvv'!$B$1:$BX$1,0),FALSE)/1,0))</f>
        <v/>
      </c>
      <c r="I220" s="121" t="str">
        <f>IF($D220="","",IFERROR(VLOOKUP($B220,Kraftvärmeprod!$B$1:$BX$549,MATCH(I$2,Kraftvärmeprod!$B$1:$VX$1,0),FALSE)/1,0)-IFERROR(VLOOKUP($B220,'Slutlig allokering kvv'!$B$2:$BX$549,MATCH(I$2,'Slutlig allokering kvv'!$B$1:$BX$1,0),FALSE)/1,0))</f>
        <v/>
      </c>
      <c r="J220" s="121" t="str">
        <f>IF($D220="","",IFERROR(VLOOKUP($B220,Kraftvärmeprod!$B$1:$BX$549,MATCH(J$2,Kraftvärmeprod!$B$1:$VX$1,0),FALSE)/1,0)-IFERROR(VLOOKUP($B220,'Slutlig allokering kvv'!$B$2:$BX$549,MATCH(J$2,'Slutlig allokering kvv'!$B$1:$BX$1,0),FALSE)/1,0))</f>
        <v/>
      </c>
      <c r="K220" s="121" t="str">
        <f>IF($D220="","",IFERROR(VLOOKUP($B220,Kraftvärmeprod!$B$1:$BX$549,MATCH(K$2,Kraftvärmeprod!$B$1:$VX$1,0),FALSE)/1,0)-IFERROR(VLOOKUP($B220,'Slutlig allokering kvv'!$B$2:$BX$549,MATCH(K$2,'Slutlig allokering kvv'!$B$1:$BX$1,0),FALSE)/1,0))</f>
        <v/>
      </c>
      <c r="L220" s="121" t="str">
        <f>IF($D220="","",IFERROR(VLOOKUP($B220,Kraftvärmeprod!$B$1:$BX$549,MATCH(L$2,Kraftvärmeprod!$B$1:$VX$1,0),FALSE)/1,0)-IFERROR(VLOOKUP($B220,'Slutlig allokering kvv'!$B$2:$BX$549,MATCH(L$2,'Slutlig allokering kvv'!$B$1:$BX$1,0),FALSE)/1,0))</f>
        <v/>
      </c>
      <c r="M220" s="121" t="str">
        <f>IF($D220="","",IFERROR(VLOOKUP($B220,Kraftvärmeprod!$B$1:$BX$549,MATCH(M$2,Kraftvärmeprod!$B$1:$VX$1,0),FALSE)/1,0)-IFERROR(VLOOKUP($B220,'Slutlig allokering kvv'!$B$2:$BX$549,MATCH(M$2,'Slutlig allokering kvv'!$B$1:$BX$1,0),FALSE)/1,0))</f>
        <v/>
      </c>
      <c r="N220" s="121" t="str">
        <f>IF($D220="","",IFERROR(VLOOKUP($B220,Kraftvärmeprod!$B$1:$BX$549,MATCH(N$2,Kraftvärmeprod!$B$1:$VX$1,0),FALSE)/1,0)-IFERROR(VLOOKUP($B220,'Slutlig allokering kvv'!$B$2:$BX$549,MATCH(N$2,'Slutlig allokering kvv'!$B$1:$BX$1,0),FALSE)/1,0))</f>
        <v/>
      </c>
      <c r="O220" s="121" t="str">
        <f>IF($D220="","",IFERROR(VLOOKUP($B220,Kraftvärmeprod!$B$1:$BX$549,MATCH(O$2,Kraftvärmeprod!$B$1:$VX$1,0),FALSE)/1,0)-IFERROR(VLOOKUP($B220,'Slutlig allokering kvv'!$B$2:$BX$549,MATCH(O$2,'Slutlig allokering kvv'!$B$1:$BX$1,0),FALSE)/1,0))</f>
        <v/>
      </c>
      <c r="P220" s="121" t="str">
        <f>IF($D220="","",IFERROR(VLOOKUP($B220,Kraftvärmeprod!$B$1:$BX$549,MATCH(P$2,Kraftvärmeprod!$B$1:$VX$1,0),FALSE)/1,0)-IFERROR(VLOOKUP($B220,'Slutlig allokering kvv'!$B$2:$BX$549,MATCH(P$2,'Slutlig allokering kvv'!$B$1:$BX$1,0),FALSE)/1,0))</f>
        <v/>
      </c>
      <c r="Q220" s="121" t="str">
        <f>IF($D220="","",IFERROR(VLOOKUP($B220,Kraftvärmeprod!$B$1:$BX$549,MATCH(Q$2,Kraftvärmeprod!$B$1:$VX$1,0),FALSE)/1,0)-IFERROR(VLOOKUP($B220,'Slutlig allokering kvv'!$B$2:$BX$549,MATCH(Q$2,'Slutlig allokering kvv'!$B$1:$BX$1,0),FALSE)/1,0))</f>
        <v/>
      </c>
      <c r="R220" s="121" t="str">
        <f>IF($D220="","",IFERROR(VLOOKUP($B220,Kraftvärmeprod!$B$1:$BX$549,MATCH(R$2,Kraftvärmeprod!$B$1:$VX$1,0),FALSE)/1,0)-IFERROR(VLOOKUP($B220,'Slutlig allokering kvv'!$B$2:$BX$549,MATCH(R$2,'Slutlig allokering kvv'!$B$1:$BX$1,0),FALSE)/1,0))</f>
        <v/>
      </c>
      <c r="S220" s="121" t="str">
        <f>IF($D220="","",IFERROR(VLOOKUP($B220,Kraftvärmeprod!$B$1:$BX$549,MATCH(S$2,Kraftvärmeprod!$B$1:$VX$1,0),FALSE)/1,0)-IFERROR(VLOOKUP($B220,'Slutlig allokering kvv'!$B$2:$BX$549,MATCH(S$2,'Slutlig allokering kvv'!$B$1:$BX$1,0),FALSE)/1,0))</f>
        <v/>
      </c>
      <c r="T220" s="121" t="str">
        <f>IF($D220="","",IFERROR(VLOOKUP($B220,Kraftvärmeprod!$B$1:$BX$549,MATCH(T$2,Kraftvärmeprod!$B$1:$VX$1,0),FALSE)/1,0)-IFERROR(VLOOKUP($B220,'Slutlig allokering kvv'!$B$2:$BX$549,MATCH(T$2,'Slutlig allokering kvv'!$B$1:$BX$1,0),FALSE)/1,0))</f>
        <v/>
      </c>
      <c r="U220" s="121" t="str">
        <f>IF($D220="","",IFERROR(VLOOKUP($B220,Kraftvärmeprod!$B$1:$BX$549,MATCH(U$2,Kraftvärmeprod!$B$1:$VX$1,0),FALSE)/1,0)-IFERROR(VLOOKUP($B220,'Slutlig allokering kvv'!$B$2:$BX$549,MATCH(U$2,'Slutlig allokering kvv'!$B$1:$BX$1,0),FALSE)/1,0))</f>
        <v/>
      </c>
      <c r="V220" s="121" t="str">
        <f>IF($D220="","",IFERROR(VLOOKUP($B220,Kraftvärmeprod!$B$1:$BX$549,MATCH(V$2,Kraftvärmeprod!$B$1:$VX$1,0),FALSE)/1,0)-IFERROR(VLOOKUP($B220,'Slutlig allokering kvv'!$B$2:$BX$549,MATCH(V$2,'Slutlig allokering kvv'!$B$1:$BX$1,0),FALSE)/1,0))</f>
        <v/>
      </c>
      <c r="W220" s="121" t="str">
        <f>IF($D220="","",IFERROR(VLOOKUP($B220,Kraftvärmeprod!$B$1:$BX$549,MATCH(W$2,Kraftvärmeprod!$B$1:$VX$1,0),FALSE)/1,0)-IFERROR(VLOOKUP($B220,'Slutlig allokering kvv'!$B$2:$BX$549,MATCH(W$2,'Slutlig allokering kvv'!$B$1:$BX$1,0),FALSE)/1,0))</f>
        <v/>
      </c>
      <c r="X220" s="121" t="str">
        <f>IF($D220="","",IFERROR(VLOOKUP($B220,Kraftvärmeprod!$B$1:$BX$549,MATCH(X$2,Kraftvärmeprod!$B$1:$VX$1,0),FALSE)/1,0)-IFERROR(VLOOKUP($B220,'Slutlig allokering kvv'!$B$2:$BX$549,MATCH(X$2,'Slutlig allokering kvv'!$B$1:$BX$1,0),FALSE)/1,0))</f>
        <v/>
      </c>
      <c r="Y220" s="121" t="str">
        <f>IF($D220="","",IFERROR(VLOOKUP($B220,Kraftvärmeprod!$B$1:$BX$549,MATCH(Y$2,Kraftvärmeprod!$B$1:$VX$1,0),FALSE)/1,0)-IFERROR(VLOOKUP($B220,'Slutlig allokering kvv'!$B$2:$BX$549,MATCH(Y$2,'Slutlig allokering kvv'!$B$1:$BX$1,0),FALSE)/1,0))</f>
        <v/>
      </c>
      <c r="Z220" s="121" t="str">
        <f>IF($D220="","",IFERROR(VLOOKUP($B220,Kraftvärmeprod!$B$1:$BX$549,MATCH(Z$2,Kraftvärmeprod!$B$1:$VX$1,0),FALSE)/1,0)-IFERROR(VLOOKUP($B220,'Slutlig allokering kvv'!$B$2:$BX$549,MATCH(Z$2,'Slutlig allokering kvv'!$B$1:$BX$1,0),FALSE)/1,0))</f>
        <v/>
      </c>
      <c r="AA220" s="121" t="str">
        <f>IF($D220="","",IFERROR(VLOOKUP($B220,Kraftvärmeprod!$B$1:$BX$549,MATCH(AA$2,Kraftvärmeprod!$B$1:$VX$1,0),FALSE)/1,0)-IFERROR(VLOOKUP($B220,'Slutlig allokering kvv'!$B$2:$BX$549,MATCH(AA$2,'Slutlig allokering kvv'!$B$1:$BX$1,0),FALSE)/1,0))</f>
        <v/>
      </c>
      <c r="AB220" s="121" t="str">
        <f>IF($D220="","",IFERROR(VLOOKUP($B220,Kraftvärmeprod!$B$1:$BX$549,MATCH(AB$2,Kraftvärmeprod!$B$1:$VX$1,0),FALSE)/1,0)-IFERROR(VLOOKUP($B220,'Slutlig allokering kvv'!$B$2:$BX$549,MATCH(AB$2,'Slutlig allokering kvv'!$B$1:$BX$1,0),FALSE)/1,0))</f>
        <v/>
      </c>
      <c r="AC220" s="121" t="str">
        <f>IF($D220="","",IFERROR(VLOOKUP($B220,Kraftvärmeprod!$B$1:$BX$549,MATCH(AC$2,Kraftvärmeprod!$B$1:$VX$1,0),FALSE)/1,0)-IFERROR(VLOOKUP($B220,'Slutlig allokering kvv'!$B$2:$BX$549,MATCH(AC$2,'Slutlig allokering kvv'!$B$1:$BX$1,0),FALSE)/1,0))</f>
        <v/>
      </c>
      <c r="AD220" s="121" t="str">
        <f>IF($D220="","",IFERROR(VLOOKUP($B220,Kraftvärmeprod!$B$1:$BX$549,MATCH(AD$2,Kraftvärmeprod!$B$1:$VX$1,0),FALSE)/1,0)-IFERROR(VLOOKUP($B220,'Slutlig allokering kvv'!$B$2:$BX$549,MATCH(AD$2,'Slutlig allokering kvv'!$B$1:$BX$1,0),FALSE)/1,0))</f>
        <v/>
      </c>
      <c r="AE220" s="121" t="str">
        <f>IF($D220="","",IFERROR(VLOOKUP($B220,Miljö!$B$1:$E$550,MATCH("Hjälpel kraftvärme (GWh)",Miljö!$B$1:$E$1,0),FALSE)/1,0)-IFERROR(VLOOKUP($B220,'Slutlig allokering kvv'!$B$2:$BX$549,MATCH(AE$2,'Slutlig allokering kvv'!$B$1:$BX$1,0),FALSE)/1,0))</f>
        <v/>
      </c>
      <c r="AI220" s="121">
        <f t="shared" si="12"/>
        <v>0</v>
      </c>
      <c r="AK220" s="121">
        <f>IFERROR(VLOOKUP($B220,'Slutlig allokering kvv'!$B$2:$AX$549,MATCH("Summa slutlig allokerad tillförd energi (utan hjälpel och rökgaskondensering):",'Slutlig allokering kvv'!$B$1:$AX$1,0),FALSE)/1,"")</f>
        <v>0</v>
      </c>
      <c r="AM220" s="172" t="str">
        <f>IFERROR(1-VLOOKUP($B220,'Slutlig allokering kvv'!$B$2:$AX$549,MATCH("Andel av bränsle i kvv som allokerats till värme, exklusive rökgaskondensering och hjälpel",'Slutlig allokering kvv'!$B$1:$AX$1,0),FALSE),"")</f>
        <v/>
      </c>
      <c r="AO220" s="172" t="str">
        <f t="shared" si="13"/>
        <v/>
      </c>
      <c r="AP220" s="173" t="str">
        <f t="shared" si="14"/>
        <v/>
      </c>
      <c r="AR220" s="172" t="str">
        <f t="shared" si="15"/>
        <v/>
      </c>
    </row>
    <row r="221" spans="1:44" x14ac:dyDescent="0.25">
      <c r="A221" s="171" t="str">
        <f>'Miljövärden för publ företag'!B223</f>
        <v>Skellefteå Kraft AB</v>
      </c>
      <c r="B221" s="171" t="str">
        <f>'Miljövärden för publ företag'!C223</f>
        <v>Byske</v>
      </c>
      <c r="C221" s="121" t="str">
        <f>IFERROR(VLOOKUP($B221,Kraftvärmeprod!$B$1:$AH$478,MATCH(C$2,Kraftvärmeprod!$B$1:$AG$1,0),FALSE)/1,"")</f>
        <v/>
      </c>
      <c r="D221" s="121" t="str">
        <f>IFERROR(VLOOKUP($B221,Kraftvärmeprod!$B$1:$AH$478,MATCH(D$2,Kraftvärmeprod!$B$1:$AG$1,0),FALSE)/1,"")</f>
        <v/>
      </c>
      <c r="F221" s="121" t="str">
        <f>IF($D221="","",IFERROR(VLOOKUP($B221,Kraftvärmeprod!$B$1:$BX$549,MATCH(F$2,Kraftvärmeprod!$B$1:$VX$1,0),FALSE)/1,0)-IFERROR(VLOOKUP($B221,'Slutlig allokering kvv'!$B$2:$BX$549,MATCH(F$2,'Slutlig allokering kvv'!$B$1:$BX$1,0),FALSE)/1,0))</f>
        <v/>
      </c>
      <c r="G221" s="121" t="str">
        <f>IF($D221="","",IFERROR(VLOOKUP($B221,Kraftvärmeprod!$B$1:$BX$549,MATCH(G$2,Kraftvärmeprod!$B$1:$VX$1,0),FALSE)/1,0)-IFERROR(VLOOKUP($B221,'Slutlig allokering kvv'!$B$2:$BX$549,MATCH(G$2,'Slutlig allokering kvv'!$B$1:$BX$1,0),FALSE)/1,0))</f>
        <v/>
      </c>
      <c r="H221" s="121" t="str">
        <f>IF($D221="","",IFERROR(VLOOKUP($B221,Kraftvärmeprod!$B$1:$BX$549,MATCH(H$2,Kraftvärmeprod!$B$1:$VX$1,0),FALSE)/1,0)-IFERROR(VLOOKUP($B221,'Slutlig allokering kvv'!$B$2:$BX$549,MATCH(H$2,'Slutlig allokering kvv'!$B$1:$BX$1,0),FALSE)/1,0))</f>
        <v/>
      </c>
      <c r="I221" s="121" t="str">
        <f>IF($D221="","",IFERROR(VLOOKUP($B221,Kraftvärmeprod!$B$1:$BX$549,MATCH(I$2,Kraftvärmeprod!$B$1:$VX$1,0),FALSE)/1,0)-IFERROR(VLOOKUP($B221,'Slutlig allokering kvv'!$B$2:$BX$549,MATCH(I$2,'Slutlig allokering kvv'!$B$1:$BX$1,0),FALSE)/1,0))</f>
        <v/>
      </c>
      <c r="J221" s="121" t="str">
        <f>IF($D221="","",IFERROR(VLOOKUP($B221,Kraftvärmeprod!$B$1:$BX$549,MATCH(J$2,Kraftvärmeprod!$B$1:$VX$1,0),FALSE)/1,0)-IFERROR(VLOOKUP($B221,'Slutlig allokering kvv'!$B$2:$BX$549,MATCH(J$2,'Slutlig allokering kvv'!$B$1:$BX$1,0),FALSE)/1,0))</f>
        <v/>
      </c>
      <c r="K221" s="121" t="str">
        <f>IF($D221="","",IFERROR(VLOOKUP($B221,Kraftvärmeprod!$B$1:$BX$549,MATCH(K$2,Kraftvärmeprod!$B$1:$VX$1,0),FALSE)/1,0)-IFERROR(VLOOKUP($B221,'Slutlig allokering kvv'!$B$2:$BX$549,MATCH(K$2,'Slutlig allokering kvv'!$B$1:$BX$1,0),FALSE)/1,0))</f>
        <v/>
      </c>
      <c r="L221" s="121" t="str">
        <f>IF($D221="","",IFERROR(VLOOKUP($B221,Kraftvärmeprod!$B$1:$BX$549,MATCH(L$2,Kraftvärmeprod!$B$1:$VX$1,0),FALSE)/1,0)-IFERROR(VLOOKUP($B221,'Slutlig allokering kvv'!$B$2:$BX$549,MATCH(L$2,'Slutlig allokering kvv'!$B$1:$BX$1,0),FALSE)/1,0))</f>
        <v/>
      </c>
      <c r="M221" s="121" t="str">
        <f>IF($D221="","",IFERROR(VLOOKUP($B221,Kraftvärmeprod!$B$1:$BX$549,MATCH(M$2,Kraftvärmeprod!$B$1:$VX$1,0),FALSE)/1,0)-IFERROR(VLOOKUP($B221,'Slutlig allokering kvv'!$B$2:$BX$549,MATCH(M$2,'Slutlig allokering kvv'!$B$1:$BX$1,0),FALSE)/1,0))</f>
        <v/>
      </c>
      <c r="N221" s="121" t="str">
        <f>IF($D221="","",IFERROR(VLOOKUP($B221,Kraftvärmeprod!$B$1:$BX$549,MATCH(N$2,Kraftvärmeprod!$B$1:$VX$1,0),FALSE)/1,0)-IFERROR(VLOOKUP($B221,'Slutlig allokering kvv'!$B$2:$BX$549,MATCH(N$2,'Slutlig allokering kvv'!$B$1:$BX$1,0),FALSE)/1,0))</f>
        <v/>
      </c>
      <c r="O221" s="121" t="str">
        <f>IF($D221="","",IFERROR(VLOOKUP($B221,Kraftvärmeprod!$B$1:$BX$549,MATCH(O$2,Kraftvärmeprod!$B$1:$VX$1,0),FALSE)/1,0)-IFERROR(VLOOKUP($B221,'Slutlig allokering kvv'!$B$2:$BX$549,MATCH(O$2,'Slutlig allokering kvv'!$B$1:$BX$1,0),FALSE)/1,0))</f>
        <v/>
      </c>
      <c r="P221" s="121" t="str">
        <f>IF($D221="","",IFERROR(VLOOKUP($B221,Kraftvärmeprod!$B$1:$BX$549,MATCH(P$2,Kraftvärmeprod!$B$1:$VX$1,0),FALSE)/1,0)-IFERROR(VLOOKUP($B221,'Slutlig allokering kvv'!$B$2:$BX$549,MATCH(P$2,'Slutlig allokering kvv'!$B$1:$BX$1,0),FALSE)/1,0))</f>
        <v/>
      </c>
      <c r="Q221" s="121" t="str">
        <f>IF($D221="","",IFERROR(VLOOKUP($B221,Kraftvärmeprod!$B$1:$BX$549,MATCH(Q$2,Kraftvärmeprod!$B$1:$VX$1,0),FALSE)/1,0)-IFERROR(VLOOKUP($B221,'Slutlig allokering kvv'!$B$2:$BX$549,MATCH(Q$2,'Slutlig allokering kvv'!$B$1:$BX$1,0),FALSE)/1,0))</f>
        <v/>
      </c>
      <c r="R221" s="121" t="str">
        <f>IF($D221="","",IFERROR(VLOOKUP($B221,Kraftvärmeprod!$B$1:$BX$549,MATCH(R$2,Kraftvärmeprod!$B$1:$VX$1,0),FALSE)/1,0)-IFERROR(VLOOKUP($B221,'Slutlig allokering kvv'!$B$2:$BX$549,MATCH(R$2,'Slutlig allokering kvv'!$B$1:$BX$1,0),FALSE)/1,0))</f>
        <v/>
      </c>
      <c r="S221" s="121" t="str">
        <f>IF($D221="","",IFERROR(VLOOKUP($B221,Kraftvärmeprod!$B$1:$BX$549,MATCH(S$2,Kraftvärmeprod!$B$1:$VX$1,0),FALSE)/1,0)-IFERROR(VLOOKUP($B221,'Slutlig allokering kvv'!$B$2:$BX$549,MATCH(S$2,'Slutlig allokering kvv'!$B$1:$BX$1,0),FALSE)/1,0))</f>
        <v/>
      </c>
      <c r="T221" s="121" t="str">
        <f>IF($D221="","",IFERROR(VLOOKUP($B221,Kraftvärmeprod!$B$1:$BX$549,MATCH(T$2,Kraftvärmeprod!$B$1:$VX$1,0),FALSE)/1,0)-IFERROR(VLOOKUP($B221,'Slutlig allokering kvv'!$B$2:$BX$549,MATCH(T$2,'Slutlig allokering kvv'!$B$1:$BX$1,0),FALSE)/1,0))</f>
        <v/>
      </c>
      <c r="U221" s="121" t="str">
        <f>IF($D221="","",IFERROR(VLOOKUP($B221,Kraftvärmeprod!$B$1:$BX$549,MATCH(U$2,Kraftvärmeprod!$B$1:$VX$1,0),FALSE)/1,0)-IFERROR(VLOOKUP($B221,'Slutlig allokering kvv'!$B$2:$BX$549,MATCH(U$2,'Slutlig allokering kvv'!$B$1:$BX$1,0),FALSE)/1,0))</f>
        <v/>
      </c>
      <c r="V221" s="121" t="str">
        <f>IF($D221="","",IFERROR(VLOOKUP($B221,Kraftvärmeprod!$B$1:$BX$549,MATCH(V$2,Kraftvärmeprod!$B$1:$VX$1,0),FALSE)/1,0)-IFERROR(VLOOKUP($B221,'Slutlig allokering kvv'!$B$2:$BX$549,MATCH(V$2,'Slutlig allokering kvv'!$B$1:$BX$1,0),FALSE)/1,0))</f>
        <v/>
      </c>
      <c r="W221" s="121" t="str">
        <f>IF($D221="","",IFERROR(VLOOKUP($B221,Kraftvärmeprod!$B$1:$BX$549,MATCH(W$2,Kraftvärmeprod!$B$1:$VX$1,0),FALSE)/1,0)-IFERROR(VLOOKUP($B221,'Slutlig allokering kvv'!$B$2:$BX$549,MATCH(W$2,'Slutlig allokering kvv'!$B$1:$BX$1,0),FALSE)/1,0))</f>
        <v/>
      </c>
      <c r="X221" s="121" t="str">
        <f>IF($D221="","",IFERROR(VLOOKUP($B221,Kraftvärmeprod!$B$1:$BX$549,MATCH(X$2,Kraftvärmeprod!$B$1:$VX$1,0),FALSE)/1,0)-IFERROR(VLOOKUP($B221,'Slutlig allokering kvv'!$B$2:$BX$549,MATCH(X$2,'Slutlig allokering kvv'!$B$1:$BX$1,0),FALSE)/1,0))</f>
        <v/>
      </c>
      <c r="Y221" s="121" t="str">
        <f>IF($D221="","",IFERROR(VLOOKUP($B221,Kraftvärmeprod!$B$1:$BX$549,MATCH(Y$2,Kraftvärmeprod!$B$1:$VX$1,0),FALSE)/1,0)-IFERROR(VLOOKUP($B221,'Slutlig allokering kvv'!$B$2:$BX$549,MATCH(Y$2,'Slutlig allokering kvv'!$B$1:$BX$1,0),FALSE)/1,0))</f>
        <v/>
      </c>
      <c r="Z221" s="121" t="str">
        <f>IF($D221="","",IFERROR(VLOOKUP($B221,Kraftvärmeprod!$B$1:$BX$549,MATCH(Z$2,Kraftvärmeprod!$B$1:$VX$1,0),FALSE)/1,0)-IFERROR(VLOOKUP($B221,'Slutlig allokering kvv'!$B$2:$BX$549,MATCH(Z$2,'Slutlig allokering kvv'!$B$1:$BX$1,0),FALSE)/1,0))</f>
        <v/>
      </c>
      <c r="AA221" s="121" t="str">
        <f>IF($D221="","",IFERROR(VLOOKUP($B221,Kraftvärmeprod!$B$1:$BX$549,MATCH(AA$2,Kraftvärmeprod!$B$1:$VX$1,0),FALSE)/1,0)-IFERROR(VLOOKUP($B221,'Slutlig allokering kvv'!$B$2:$BX$549,MATCH(AA$2,'Slutlig allokering kvv'!$B$1:$BX$1,0),FALSE)/1,0))</f>
        <v/>
      </c>
      <c r="AB221" s="121" t="str">
        <f>IF($D221="","",IFERROR(VLOOKUP($B221,Kraftvärmeprod!$B$1:$BX$549,MATCH(AB$2,Kraftvärmeprod!$B$1:$VX$1,0),FALSE)/1,0)-IFERROR(VLOOKUP($B221,'Slutlig allokering kvv'!$B$2:$BX$549,MATCH(AB$2,'Slutlig allokering kvv'!$B$1:$BX$1,0),FALSE)/1,0))</f>
        <v/>
      </c>
      <c r="AC221" s="121" t="str">
        <f>IF($D221="","",IFERROR(VLOOKUP($B221,Kraftvärmeprod!$B$1:$BX$549,MATCH(AC$2,Kraftvärmeprod!$B$1:$VX$1,0),FALSE)/1,0)-IFERROR(VLOOKUP($B221,'Slutlig allokering kvv'!$B$2:$BX$549,MATCH(AC$2,'Slutlig allokering kvv'!$B$1:$BX$1,0),FALSE)/1,0))</f>
        <v/>
      </c>
      <c r="AD221" s="121" t="str">
        <f>IF($D221="","",IFERROR(VLOOKUP($B221,Kraftvärmeprod!$B$1:$BX$549,MATCH(AD$2,Kraftvärmeprod!$B$1:$VX$1,0),FALSE)/1,0)-IFERROR(VLOOKUP($B221,'Slutlig allokering kvv'!$B$2:$BX$549,MATCH(AD$2,'Slutlig allokering kvv'!$B$1:$BX$1,0),FALSE)/1,0))</f>
        <v/>
      </c>
      <c r="AE221" s="121" t="str">
        <f>IF($D221="","",IFERROR(VLOOKUP($B221,Miljö!$B$1:$E$550,MATCH("Hjälpel kraftvärme (GWh)",Miljö!$B$1:$E$1,0),FALSE)/1,0)-IFERROR(VLOOKUP($B221,'Slutlig allokering kvv'!$B$2:$BX$549,MATCH(AE$2,'Slutlig allokering kvv'!$B$1:$BX$1,0),FALSE)/1,0))</f>
        <v/>
      </c>
      <c r="AI221" s="121">
        <f t="shared" si="12"/>
        <v>0</v>
      </c>
      <c r="AK221" s="121">
        <f>IFERROR(VLOOKUP($B221,'Slutlig allokering kvv'!$B$2:$AX$549,MATCH("Summa slutlig allokerad tillförd energi (utan hjälpel och rökgaskondensering):",'Slutlig allokering kvv'!$B$1:$AX$1,0),FALSE)/1,"")</f>
        <v>0</v>
      </c>
      <c r="AM221" s="172" t="str">
        <f>IFERROR(1-VLOOKUP($B221,'Slutlig allokering kvv'!$B$2:$AX$549,MATCH("Andel av bränsle i kvv som allokerats till värme, exklusive rökgaskondensering och hjälpel",'Slutlig allokering kvv'!$B$1:$AX$1,0),FALSE),"")</f>
        <v/>
      </c>
      <c r="AO221" s="172" t="str">
        <f t="shared" si="13"/>
        <v/>
      </c>
      <c r="AP221" s="173" t="str">
        <f t="shared" si="14"/>
        <v/>
      </c>
      <c r="AR221" s="172" t="str">
        <f t="shared" si="15"/>
        <v/>
      </c>
    </row>
    <row r="222" spans="1:44" x14ac:dyDescent="0.25">
      <c r="A222" s="171" t="str">
        <f>'Miljövärden för publ företag'!B224</f>
        <v>Skellefteå Kraft AB</v>
      </c>
      <c r="B222" s="171" t="str">
        <f>'Miljövärden för publ företag'!C224</f>
        <v>Jörn</v>
      </c>
      <c r="C222" s="121" t="str">
        <f>IFERROR(VLOOKUP($B222,Kraftvärmeprod!$B$1:$AH$478,MATCH(C$2,Kraftvärmeprod!$B$1:$AG$1,0),FALSE)/1,"")</f>
        <v/>
      </c>
      <c r="D222" s="121" t="str">
        <f>IFERROR(VLOOKUP($B222,Kraftvärmeprod!$B$1:$AH$478,MATCH(D$2,Kraftvärmeprod!$B$1:$AG$1,0),FALSE)/1,"")</f>
        <v/>
      </c>
      <c r="F222" s="121" t="str">
        <f>IF($D222="","",IFERROR(VLOOKUP($B222,Kraftvärmeprod!$B$1:$BX$549,MATCH(F$2,Kraftvärmeprod!$B$1:$VX$1,0),FALSE)/1,0)-IFERROR(VLOOKUP($B222,'Slutlig allokering kvv'!$B$2:$BX$549,MATCH(F$2,'Slutlig allokering kvv'!$B$1:$BX$1,0),FALSE)/1,0))</f>
        <v/>
      </c>
      <c r="G222" s="121" t="str">
        <f>IF($D222="","",IFERROR(VLOOKUP($B222,Kraftvärmeprod!$B$1:$BX$549,MATCH(G$2,Kraftvärmeprod!$B$1:$VX$1,0),FALSE)/1,0)-IFERROR(VLOOKUP($B222,'Slutlig allokering kvv'!$B$2:$BX$549,MATCH(G$2,'Slutlig allokering kvv'!$B$1:$BX$1,0),FALSE)/1,0))</f>
        <v/>
      </c>
      <c r="H222" s="121" t="str">
        <f>IF($D222="","",IFERROR(VLOOKUP($B222,Kraftvärmeprod!$B$1:$BX$549,MATCH(H$2,Kraftvärmeprod!$B$1:$VX$1,0),FALSE)/1,0)-IFERROR(VLOOKUP($B222,'Slutlig allokering kvv'!$B$2:$BX$549,MATCH(H$2,'Slutlig allokering kvv'!$B$1:$BX$1,0),FALSE)/1,0))</f>
        <v/>
      </c>
      <c r="I222" s="121" t="str">
        <f>IF($D222="","",IFERROR(VLOOKUP($B222,Kraftvärmeprod!$B$1:$BX$549,MATCH(I$2,Kraftvärmeprod!$B$1:$VX$1,0),FALSE)/1,0)-IFERROR(VLOOKUP($B222,'Slutlig allokering kvv'!$B$2:$BX$549,MATCH(I$2,'Slutlig allokering kvv'!$B$1:$BX$1,0),FALSE)/1,0))</f>
        <v/>
      </c>
      <c r="J222" s="121" t="str">
        <f>IF($D222="","",IFERROR(VLOOKUP($B222,Kraftvärmeprod!$B$1:$BX$549,MATCH(J$2,Kraftvärmeprod!$B$1:$VX$1,0),FALSE)/1,0)-IFERROR(VLOOKUP($B222,'Slutlig allokering kvv'!$B$2:$BX$549,MATCH(J$2,'Slutlig allokering kvv'!$B$1:$BX$1,0),FALSE)/1,0))</f>
        <v/>
      </c>
      <c r="K222" s="121" t="str">
        <f>IF($D222="","",IFERROR(VLOOKUP($B222,Kraftvärmeprod!$B$1:$BX$549,MATCH(K$2,Kraftvärmeprod!$B$1:$VX$1,0),FALSE)/1,0)-IFERROR(VLOOKUP($B222,'Slutlig allokering kvv'!$B$2:$BX$549,MATCH(K$2,'Slutlig allokering kvv'!$B$1:$BX$1,0),FALSE)/1,0))</f>
        <v/>
      </c>
      <c r="L222" s="121" t="str">
        <f>IF($D222="","",IFERROR(VLOOKUP($B222,Kraftvärmeprod!$B$1:$BX$549,MATCH(L$2,Kraftvärmeprod!$B$1:$VX$1,0),FALSE)/1,0)-IFERROR(VLOOKUP($B222,'Slutlig allokering kvv'!$B$2:$BX$549,MATCH(L$2,'Slutlig allokering kvv'!$B$1:$BX$1,0),FALSE)/1,0))</f>
        <v/>
      </c>
      <c r="M222" s="121" t="str">
        <f>IF($D222="","",IFERROR(VLOOKUP($B222,Kraftvärmeprod!$B$1:$BX$549,MATCH(M$2,Kraftvärmeprod!$B$1:$VX$1,0),FALSE)/1,0)-IFERROR(VLOOKUP($B222,'Slutlig allokering kvv'!$B$2:$BX$549,MATCH(M$2,'Slutlig allokering kvv'!$B$1:$BX$1,0),FALSE)/1,0))</f>
        <v/>
      </c>
      <c r="N222" s="121" t="str">
        <f>IF($D222="","",IFERROR(VLOOKUP($B222,Kraftvärmeprod!$B$1:$BX$549,MATCH(N$2,Kraftvärmeprod!$B$1:$VX$1,0),FALSE)/1,0)-IFERROR(VLOOKUP($B222,'Slutlig allokering kvv'!$B$2:$BX$549,MATCH(N$2,'Slutlig allokering kvv'!$B$1:$BX$1,0),FALSE)/1,0))</f>
        <v/>
      </c>
      <c r="O222" s="121" t="str">
        <f>IF($D222="","",IFERROR(VLOOKUP($B222,Kraftvärmeprod!$B$1:$BX$549,MATCH(O$2,Kraftvärmeprod!$B$1:$VX$1,0),FALSE)/1,0)-IFERROR(VLOOKUP($B222,'Slutlig allokering kvv'!$B$2:$BX$549,MATCH(O$2,'Slutlig allokering kvv'!$B$1:$BX$1,0),FALSE)/1,0))</f>
        <v/>
      </c>
      <c r="P222" s="121" t="str">
        <f>IF($D222="","",IFERROR(VLOOKUP($B222,Kraftvärmeprod!$B$1:$BX$549,MATCH(P$2,Kraftvärmeprod!$B$1:$VX$1,0),FALSE)/1,0)-IFERROR(VLOOKUP($B222,'Slutlig allokering kvv'!$B$2:$BX$549,MATCH(P$2,'Slutlig allokering kvv'!$B$1:$BX$1,0),FALSE)/1,0))</f>
        <v/>
      </c>
      <c r="Q222" s="121" t="str">
        <f>IF($D222="","",IFERROR(VLOOKUP($B222,Kraftvärmeprod!$B$1:$BX$549,MATCH(Q$2,Kraftvärmeprod!$B$1:$VX$1,0),FALSE)/1,0)-IFERROR(VLOOKUP($B222,'Slutlig allokering kvv'!$B$2:$BX$549,MATCH(Q$2,'Slutlig allokering kvv'!$B$1:$BX$1,0),FALSE)/1,0))</f>
        <v/>
      </c>
      <c r="R222" s="121" t="str">
        <f>IF($D222="","",IFERROR(VLOOKUP($B222,Kraftvärmeprod!$B$1:$BX$549,MATCH(R$2,Kraftvärmeprod!$B$1:$VX$1,0),FALSE)/1,0)-IFERROR(VLOOKUP($B222,'Slutlig allokering kvv'!$B$2:$BX$549,MATCH(R$2,'Slutlig allokering kvv'!$B$1:$BX$1,0),FALSE)/1,0))</f>
        <v/>
      </c>
      <c r="S222" s="121" t="str">
        <f>IF($D222="","",IFERROR(VLOOKUP($B222,Kraftvärmeprod!$B$1:$BX$549,MATCH(S$2,Kraftvärmeprod!$B$1:$VX$1,0),FALSE)/1,0)-IFERROR(VLOOKUP($B222,'Slutlig allokering kvv'!$B$2:$BX$549,MATCH(S$2,'Slutlig allokering kvv'!$B$1:$BX$1,0),FALSE)/1,0))</f>
        <v/>
      </c>
      <c r="T222" s="121" t="str">
        <f>IF($D222="","",IFERROR(VLOOKUP($B222,Kraftvärmeprod!$B$1:$BX$549,MATCH(T$2,Kraftvärmeprod!$B$1:$VX$1,0),FALSE)/1,0)-IFERROR(VLOOKUP($B222,'Slutlig allokering kvv'!$B$2:$BX$549,MATCH(T$2,'Slutlig allokering kvv'!$B$1:$BX$1,0),FALSE)/1,0))</f>
        <v/>
      </c>
      <c r="U222" s="121" t="str">
        <f>IF($D222="","",IFERROR(VLOOKUP($B222,Kraftvärmeprod!$B$1:$BX$549,MATCH(U$2,Kraftvärmeprod!$B$1:$VX$1,0),FALSE)/1,0)-IFERROR(VLOOKUP($B222,'Slutlig allokering kvv'!$B$2:$BX$549,MATCH(U$2,'Slutlig allokering kvv'!$B$1:$BX$1,0),FALSE)/1,0))</f>
        <v/>
      </c>
      <c r="V222" s="121" t="str">
        <f>IF($D222="","",IFERROR(VLOOKUP($B222,Kraftvärmeprod!$B$1:$BX$549,MATCH(V$2,Kraftvärmeprod!$B$1:$VX$1,0),FALSE)/1,0)-IFERROR(VLOOKUP($B222,'Slutlig allokering kvv'!$B$2:$BX$549,MATCH(V$2,'Slutlig allokering kvv'!$B$1:$BX$1,0),FALSE)/1,0))</f>
        <v/>
      </c>
      <c r="W222" s="121" t="str">
        <f>IF($D222="","",IFERROR(VLOOKUP($B222,Kraftvärmeprod!$B$1:$BX$549,MATCH(W$2,Kraftvärmeprod!$B$1:$VX$1,0),FALSE)/1,0)-IFERROR(VLOOKUP($B222,'Slutlig allokering kvv'!$B$2:$BX$549,MATCH(W$2,'Slutlig allokering kvv'!$B$1:$BX$1,0),FALSE)/1,0))</f>
        <v/>
      </c>
      <c r="X222" s="121" t="str">
        <f>IF($D222="","",IFERROR(VLOOKUP($B222,Kraftvärmeprod!$B$1:$BX$549,MATCH(X$2,Kraftvärmeprod!$B$1:$VX$1,0),FALSE)/1,0)-IFERROR(VLOOKUP($B222,'Slutlig allokering kvv'!$B$2:$BX$549,MATCH(X$2,'Slutlig allokering kvv'!$B$1:$BX$1,0),FALSE)/1,0))</f>
        <v/>
      </c>
      <c r="Y222" s="121" t="str">
        <f>IF($D222="","",IFERROR(VLOOKUP($B222,Kraftvärmeprod!$B$1:$BX$549,MATCH(Y$2,Kraftvärmeprod!$B$1:$VX$1,0),FALSE)/1,0)-IFERROR(VLOOKUP($B222,'Slutlig allokering kvv'!$B$2:$BX$549,MATCH(Y$2,'Slutlig allokering kvv'!$B$1:$BX$1,0),FALSE)/1,0))</f>
        <v/>
      </c>
      <c r="Z222" s="121" t="str">
        <f>IF($D222="","",IFERROR(VLOOKUP($B222,Kraftvärmeprod!$B$1:$BX$549,MATCH(Z$2,Kraftvärmeprod!$B$1:$VX$1,0),FALSE)/1,0)-IFERROR(VLOOKUP($B222,'Slutlig allokering kvv'!$B$2:$BX$549,MATCH(Z$2,'Slutlig allokering kvv'!$B$1:$BX$1,0),FALSE)/1,0))</f>
        <v/>
      </c>
      <c r="AA222" s="121" t="str">
        <f>IF($D222="","",IFERROR(VLOOKUP($B222,Kraftvärmeprod!$B$1:$BX$549,MATCH(AA$2,Kraftvärmeprod!$B$1:$VX$1,0),FALSE)/1,0)-IFERROR(VLOOKUP($B222,'Slutlig allokering kvv'!$B$2:$BX$549,MATCH(AA$2,'Slutlig allokering kvv'!$B$1:$BX$1,0),FALSE)/1,0))</f>
        <v/>
      </c>
      <c r="AB222" s="121" t="str">
        <f>IF($D222="","",IFERROR(VLOOKUP($B222,Kraftvärmeprod!$B$1:$BX$549,MATCH(AB$2,Kraftvärmeprod!$B$1:$VX$1,0),FALSE)/1,0)-IFERROR(VLOOKUP($B222,'Slutlig allokering kvv'!$B$2:$BX$549,MATCH(AB$2,'Slutlig allokering kvv'!$B$1:$BX$1,0),FALSE)/1,0))</f>
        <v/>
      </c>
      <c r="AC222" s="121" t="str">
        <f>IF($D222="","",IFERROR(VLOOKUP($B222,Kraftvärmeprod!$B$1:$BX$549,MATCH(AC$2,Kraftvärmeprod!$B$1:$VX$1,0),FALSE)/1,0)-IFERROR(VLOOKUP($B222,'Slutlig allokering kvv'!$B$2:$BX$549,MATCH(AC$2,'Slutlig allokering kvv'!$B$1:$BX$1,0),FALSE)/1,0))</f>
        <v/>
      </c>
      <c r="AD222" s="121" t="str">
        <f>IF($D222="","",IFERROR(VLOOKUP($B222,Kraftvärmeprod!$B$1:$BX$549,MATCH(AD$2,Kraftvärmeprod!$B$1:$VX$1,0),FALSE)/1,0)-IFERROR(VLOOKUP($B222,'Slutlig allokering kvv'!$B$2:$BX$549,MATCH(AD$2,'Slutlig allokering kvv'!$B$1:$BX$1,0),FALSE)/1,0))</f>
        <v/>
      </c>
      <c r="AE222" s="121" t="str">
        <f>IF($D222="","",IFERROR(VLOOKUP($B222,Miljö!$B$1:$E$550,MATCH("Hjälpel kraftvärme (GWh)",Miljö!$B$1:$E$1,0),FALSE)/1,0)-IFERROR(VLOOKUP($B222,'Slutlig allokering kvv'!$B$2:$BX$549,MATCH(AE$2,'Slutlig allokering kvv'!$B$1:$BX$1,0),FALSE)/1,0))</f>
        <v/>
      </c>
      <c r="AI222" s="121">
        <f t="shared" si="12"/>
        <v>0</v>
      </c>
      <c r="AK222" s="121">
        <f>IFERROR(VLOOKUP($B222,'Slutlig allokering kvv'!$B$2:$AX$549,MATCH("Summa slutlig allokerad tillförd energi (utan hjälpel och rökgaskondensering):",'Slutlig allokering kvv'!$B$1:$AX$1,0),FALSE)/1,"")</f>
        <v>0</v>
      </c>
      <c r="AM222" s="172" t="str">
        <f>IFERROR(1-VLOOKUP($B222,'Slutlig allokering kvv'!$B$2:$AX$549,MATCH("Andel av bränsle i kvv som allokerats till värme, exklusive rökgaskondensering och hjälpel",'Slutlig allokering kvv'!$B$1:$AX$1,0),FALSE),"")</f>
        <v/>
      </c>
      <c r="AO222" s="172" t="str">
        <f t="shared" si="13"/>
        <v/>
      </c>
      <c r="AP222" s="173" t="str">
        <f t="shared" si="14"/>
        <v/>
      </c>
      <c r="AR222" s="172" t="str">
        <f t="shared" si="15"/>
        <v/>
      </c>
    </row>
    <row r="223" spans="1:44" x14ac:dyDescent="0.25">
      <c r="A223" s="171" t="str">
        <f>'Miljövärden för publ företag'!B225</f>
        <v>Skellefteå Kraft AB</v>
      </c>
      <c r="B223" s="171" t="str">
        <f>'Miljövärden för publ företag'!C225</f>
        <v>Kåge</v>
      </c>
      <c r="C223" s="121" t="str">
        <f>IFERROR(VLOOKUP($B223,Kraftvärmeprod!$B$1:$AH$478,MATCH(C$2,Kraftvärmeprod!$B$1:$AG$1,0),FALSE)/1,"")</f>
        <v/>
      </c>
      <c r="D223" s="121" t="str">
        <f>IFERROR(VLOOKUP($B223,Kraftvärmeprod!$B$1:$AH$478,MATCH(D$2,Kraftvärmeprod!$B$1:$AG$1,0),FALSE)/1,"")</f>
        <v/>
      </c>
      <c r="F223" s="121" t="str">
        <f>IF($D223="","",IFERROR(VLOOKUP($B223,Kraftvärmeprod!$B$1:$BX$549,MATCH(F$2,Kraftvärmeprod!$B$1:$VX$1,0),FALSE)/1,0)-IFERROR(VLOOKUP($B223,'Slutlig allokering kvv'!$B$2:$BX$549,MATCH(F$2,'Slutlig allokering kvv'!$B$1:$BX$1,0),FALSE)/1,0))</f>
        <v/>
      </c>
      <c r="G223" s="121" t="str">
        <f>IF($D223="","",IFERROR(VLOOKUP($B223,Kraftvärmeprod!$B$1:$BX$549,MATCH(G$2,Kraftvärmeprod!$B$1:$VX$1,0),FALSE)/1,0)-IFERROR(VLOOKUP($B223,'Slutlig allokering kvv'!$B$2:$BX$549,MATCH(G$2,'Slutlig allokering kvv'!$B$1:$BX$1,0),FALSE)/1,0))</f>
        <v/>
      </c>
      <c r="H223" s="121" t="str">
        <f>IF($D223="","",IFERROR(VLOOKUP($B223,Kraftvärmeprod!$B$1:$BX$549,MATCH(H$2,Kraftvärmeprod!$B$1:$VX$1,0),FALSE)/1,0)-IFERROR(VLOOKUP($B223,'Slutlig allokering kvv'!$B$2:$BX$549,MATCH(H$2,'Slutlig allokering kvv'!$B$1:$BX$1,0),FALSE)/1,0))</f>
        <v/>
      </c>
      <c r="I223" s="121" t="str">
        <f>IF($D223="","",IFERROR(VLOOKUP($B223,Kraftvärmeprod!$B$1:$BX$549,MATCH(I$2,Kraftvärmeprod!$B$1:$VX$1,0),FALSE)/1,0)-IFERROR(VLOOKUP($B223,'Slutlig allokering kvv'!$B$2:$BX$549,MATCH(I$2,'Slutlig allokering kvv'!$B$1:$BX$1,0),FALSE)/1,0))</f>
        <v/>
      </c>
      <c r="J223" s="121" t="str">
        <f>IF($D223="","",IFERROR(VLOOKUP($B223,Kraftvärmeprod!$B$1:$BX$549,MATCH(J$2,Kraftvärmeprod!$B$1:$VX$1,0),FALSE)/1,0)-IFERROR(VLOOKUP($B223,'Slutlig allokering kvv'!$B$2:$BX$549,MATCH(J$2,'Slutlig allokering kvv'!$B$1:$BX$1,0),FALSE)/1,0))</f>
        <v/>
      </c>
      <c r="K223" s="121" t="str">
        <f>IF($D223="","",IFERROR(VLOOKUP($B223,Kraftvärmeprod!$B$1:$BX$549,MATCH(K$2,Kraftvärmeprod!$B$1:$VX$1,0),FALSE)/1,0)-IFERROR(VLOOKUP($B223,'Slutlig allokering kvv'!$B$2:$BX$549,MATCH(K$2,'Slutlig allokering kvv'!$B$1:$BX$1,0),FALSE)/1,0))</f>
        <v/>
      </c>
      <c r="L223" s="121" t="str">
        <f>IF($D223="","",IFERROR(VLOOKUP($B223,Kraftvärmeprod!$B$1:$BX$549,MATCH(L$2,Kraftvärmeprod!$B$1:$VX$1,0),FALSE)/1,0)-IFERROR(VLOOKUP($B223,'Slutlig allokering kvv'!$B$2:$BX$549,MATCH(L$2,'Slutlig allokering kvv'!$B$1:$BX$1,0),FALSE)/1,0))</f>
        <v/>
      </c>
      <c r="M223" s="121" t="str">
        <f>IF($D223="","",IFERROR(VLOOKUP($B223,Kraftvärmeprod!$B$1:$BX$549,MATCH(M$2,Kraftvärmeprod!$B$1:$VX$1,0),FALSE)/1,0)-IFERROR(VLOOKUP($B223,'Slutlig allokering kvv'!$B$2:$BX$549,MATCH(M$2,'Slutlig allokering kvv'!$B$1:$BX$1,0),FALSE)/1,0))</f>
        <v/>
      </c>
      <c r="N223" s="121" t="str">
        <f>IF($D223="","",IFERROR(VLOOKUP($B223,Kraftvärmeprod!$B$1:$BX$549,MATCH(N$2,Kraftvärmeprod!$B$1:$VX$1,0),FALSE)/1,0)-IFERROR(VLOOKUP($B223,'Slutlig allokering kvv'!$B$2:$BX$549,MATCH(N$2,'Slutlig allokering kvv'!$B$1:$BX$1,0),FALSE)/1,0))</f>
        <v/>
      </c>
      <c r="O223" s="121" t="str">
        <f>IF($D223="","",IFERROR(VLOOKUP($B223,Kraftvärmeprod!$B$1:$BX$549,MATCH(O$2,Kraftvärmeprod!$B$1:$VX$1,0),FALSE)/1,0)-IFERROR(VLOOKUP($B223,'Slutlig allokering kvv'!$B$2:$BX$549,MATCH(O$2,'Slutlig allokering kvv'!$B$1:$BX$1,0),FALSE)/1,0))</f>
        <v/>
      </c>
      <c r="P223" s="121" t="str">
        <f>IF($D223="","",IFERROR(VLOOKUP($B223,Kraftvärmeprod!$B$1:$BX$549,MATCH(P$2,Kraftvärmeprod!$B$1:$VX$1,0),FALSE)/1,0)-IFERROR(VLOOKUP($B223,'Slutlig allokering kvv'!$B$2:$BX$549,MATCH(P$2,'Slutlig allokering kvv'!$B$1:$BX$1,0),FALSE)/1,0))</f>
        <v/>
      </c>
      <c r="Q223" s="121" t="str">
        <f>IF($D223="","",IFERROR(VLOOKUP($B223,Kraftvärmeprod!$B$1:$BX$549,MATCH(Q$2,Kraftvärmeprod!$B$1:$VX$1,0),FALSE)/1,0)-IFERROR(VLOOKUP($B223,'Slutlig allokering kvv'!$B$2:$BX$549,MATCH(Q$2,'Slutlig allokering kvv'!$B$1:$BX$1,0),FALSE)/1,0))</f>
        <v/>
      </c>
      <c r="R223" s="121" t="str">
        <f>IF($D223="","",IFERROR(VLOOKUP($B223,Kraftvärmeprod!$B$1:$BX$549,MATCH(R$2,Kraftvärmeprod!$B$1:$VX$1,0),FALSE)/1,0)-IFERROR(VLOOKUP($B223,'Slutlig allokering kvv'!$B$2:$BX$549,MATCH(R$2,'Slutlig allokering kvv'!$B$1:$BX$1,0),FALSE)/1,0))</f>
        <v/>
      </c>
      <c r="S223" s="121" t="str">
        <f>IF($D223="","",IFERROR(VLOOKUP($B223,Kraftvärmeprod!$B$1:$BX$549,MATCH(S$2,Kraftvärmeprod!$B$1:$VX$1,0),FALSE)/1,0)-IFERROR(VLOOKUP($B223,'Slutlig allokering kvv'!$B$2:$BX$549,MATCH(S$2,'Slutlig allokering kvv'!$B$1:$BX$1,0),FALSE)/1,0))</f>
        <v/>
      </c>
      <c r="T223" s="121" t="str">
        <f>IF($D223="","",IFERROR(VLOOKUP($B223,Kraftvärmeprod!$B$1:$BX$549,MATCH(T$2,Kraftvärmeprod!$B$1:$VX$1,0),FALSE)/1,0)-IFERROR(VLOOKUP($B223,'Slutlig allokering kvv'!$B$2:$BX$549,MATCH(T$2,'Slutlig allokering kvv'!$B$1:$BX$1,0),FALSE)/1,0))</f>
        <v/>
      </c>
      <c r="U223" s="121" t="str">
        <f>IF($D223="","",IFERROR(VLOOKUP($B223,Kraftvärmeprod!$B$1:$BX$549,MATCH(U$2,Kraftvärmeprod!$B$1:$VX$1,0),FALSE)/1,0)-IFERROR(VLOOKUP($B223,'Slutlig allokering kvv'!$B$2:$BX$549,MATCH(U$2,'Slutlig allokering kvv'!$B$1:$BX$1,0),FALSE)/1,0))</f>
        <v/>
      </c>
      <c r="V223" s="121" t="str">
        <f>IF($D223="","",IFERROR(VLOOKUP($B223,Kraftvärmeprod!$B$1:$BX$549,MATCH(V$2,Kraftvärmeprod!$B$1:$VX$1,0),FALSE)/1,0)-IFERROR(VLOOKUP($B223,'Slutlig allokering kvv'!$B$2:$BX$549,MATCH(V$2,'Slutlig allokering kvv'!$B$1:$BX$1,0),FALSE)/1,0))</f>
        <v/>
      </c>
      <c r="W223" s="121" t="str">
        <f>IF($D223="","",IFERROR(VLOOKUP($B223,Kraftvärmeprod!$B$1:$BX$549,MATCH(W$2,Kraftvärmeprod!$B$1:$VX$1,0),FALSE)/1,0)-IFERROR(VLOOKUP($B223,'Slutlig allokering kvv'!$B$2:$BX$549,MATCH(W$2,'Slutlig allokering kvv'!$B$1:$BX$1,0),FALSE)/1,0))</f>
        <v/>
      </c>
      <c r="X223" s="121" t="str">
        <f>IF($D223="","",IFERROR(VLOOKUP($B223,Kraftvärmeprod!$B$1:$BX$549,MATCH(X$2,Kraftvärmeprod!$B$1:$VX$1,0),FALSE)/1,0)-IFERROR(VLOOKUP($B223,'Slutlig allokering kvv'!$B$2:$BX$549,MATCH(X$2,'Slutlig allokering kvv'!$B$1:$BX$1,0),FALSE)/1,0))</f>
        <v/>
      </c>
      <c r="Y223" s="121" t="str">
        <f>IF($D223="","",IFERROR(VLOOKUP($B223,Kraftvärmeprod!$B$1:$BX$549,MATCH(Y$2,Kraftvärmeprod!$B$1:$VX$1,0),FALSE)/1,0)-IFERROR(VLOOKUP($B223,'Slutlig allokering kvv'!$B$2:$BX$549,MATCH(Y$2,'Slutlig allokering kvv'!$B$1:$BX$1,0),FALSE)/1,0))</f>
        <v/>
      </c>
      <c r="Z223" s="121" t="str">
        <f>IF($D223="","",IFERROR(VLOOKUP($B223,Kraftvärmeprod!$B$1:$BX$549,MATCH(Z$2,Kraftvärmeprod!$B$1:$VX$1,0),FALSE)/1,0)-IFERROR(VLOOKUP($B223,'Slutlig allokering kvv'!$B$2:$BX$549,MATCH(Z$2,'Slutlig allokering kvv'!$B$1:$BX$1,0),FALSE)/1,0))</f>
        <v/>
      </c>
      <c r="AA223" s="121" t="str">
        <f>IF($D223="","",IFERROR(VLOOKUP($B223,Kraftvärmeprod!$B$1:$BX$549,MATCH(AA$2,Kraftvärmeprod!$B$1:$VX$1,0),FALSE)/1,0)-IFERROR(VLOOKUP($B223,'Slutlig allokering kvv'!$B$2:$BX$549,MATCH(AA$2,'Slutlig allokering kvv'!$B$1:$BX$1,0),FALSE)/1,0))</f>
        <v/>
      </c>
      <c r="AB223" s="121" t="str">
        <f>IF($D223="","",IFERROR(VLOOKUP($B223,Kraftvärmeprod!$B$1:$BX$549,MATCH(AB$2,Kraftvärmeprod!$B$1:$VX$1,0),FALSE)/1,0)-IFERROR(VLOOKUP($B223,'Slutlig allokering kvv'!$B$2:$BX$549,MATCH(AB$2,'Slutlig allokering kvv'!$B$1:$BX$1,0),FALSE)/1,0))</f>
        <v/>
      </c>
      <c r="AC223" s="121" t="str">
        <f>IF($D223="","",IFERROR(VLOOKUP($B223,Kraftvärmeprod!$B$1:$BX$549,MATCH(AC$2,Kraftvärmeprod!$B$1:$VX$1,0),FALSE)/1,0)-IFERROR(VLOOKUP($B223,'Slutlig allokering kvv'!$B$2:$BX$549,MATCH(AC$2,'Slutlig allokering kvv'!$B$1:$BX$1,0),FALSE)/1,0))</f>
        <v/>
      </c>
      <c r="AD223" s="121" t="str">
        <f>IF($D223="","",IFERROR(VLOOKUP($B223,Kraftvärmeprod!$B$1:$BX$549,MATCH(AD$2,Kraftvärmeprod!$B$1:$VX$1,0),FALSE)/1,0)-IFERROR(VLOOKUP($B223,'Slutlig allokering kvv'!$B$2:$BX$549,MATCH(AD$2,'Slutlig allokering kvv'!$B$1:$BX$1,0),FALSE)/1,0))</f>
        <v/>
      </c>
      <c r="AE223" s="121" t="str">
        <f>IF($D223="","",IFERROR(VLOOKUP($B223,Miljö!$B$1:$E$550,MATCH("Hjälpel kraftvärme (GWh)",Miljö!$B$1:$E$1,0),FALSE)/1,0)-IFERROR(VLOOKUP($B223,'Slutlig allokering kvv'!$B$2:$BX$549,MATCH(AE$2,'Slutlig allokering kvv'!$B$1:$BX$1,0),FALSE)/1,0))</f>
        <v/>
      </c>
      <c r="AI223" s="121">
        <f t="shared" si="12"/>
        <v>0</v>
      </c>
      <c r="AK223" s="121">
        <f>IFERROR(VLOOKUP($B223,'Slutlig allokering kvv'!$B$2:$AX$549,MATCH("Summa slutlig allokerad tillförd energi (utan hjälpel och rökgaskondensering):",'Slutlig allokering kvv'!$B$1:$AX$1,0),FALSE)/1,"")</f>
        <v>0</v>
      </c>
      <c r="AM223" s="172" t="str">
        <f>IFERROR(1-VLOOKUP($B223,'Slutlig allokering kvv'!$B$2:$AX$549,MATCH("Andel av bränsle i kvv som allokerats till värme, exklusive rökgaskondensering och hjälpel",'Slutlig allokering kvv'!$B$1:$AX$1,0),FALSE),"")</f>
        <v/>
      </c>
      <c r="AO223" s="172" t="str">
        <f t="shared" si="13"/>
        <v/>
      </c>
      <c r="AP223" s="173" t="str">
        <f t="shared" si="14"/>
        <v/>
      </c>
      <c r="AR223" s="172" t="str">
        <f t="shared" si="15"/>
        <v/>
      </c>
    </row>
    <row r="224" spans="1:44" x14ac:dyDescent="0.25">
      <c r="A224" s="171" t="str">
        <f>'Miljövärden för publ företag'!B226</f>
        <v>Skellefteå Kraft AB</v>
      </c>
      <c r="B224" s="171" t="str">
        <f>'Miljövärden för publ företag'!C226</f>
        <v>Lidbacken</v>
      </c>
      <c r="C224" s="121" t="str">
        <f>IFERROR(VLOOKUP($B224,Kraftvärmeprod!$B$1:$AH$478,MATCH(C$2,Kraftvärmeprod!$B$1:$AG$1,0),FALSE)/1,"")</f>
        <v/>
      </c>
      <c r="D224" s="121" t="str">
        <f>IFERROR(VLOOKUP($B224,Kraftvärmeprod!$B$1:$AH$478,MATCH(D$2,Kraftvärmeprod!$B$1:$AG$1,0),FALSE)/1,"")</f>
        <v/>
      </c>
      <c r="F224" s="121" t="str">
        <f>IF($D224="","",IFERROR(VLOOKUP($B224,Kraftvärmeprod!$B$1:$BX$549,MATCH(F$2,Kraftvärmeprod!$B$1:$VX$1,0),FALSE)/1,0)-IFERROR(VLOOKUP($B224,'Slutlig allokering kvv'!$B$2:$BX$549,MATCH(F$2,'Slutlig allokering kvv'!$B$1:$BX$1,0),FALSE)/1,0))</f>
        <v/>
      </c>
      <c r="G224" s="121" t="str">
        <f>IF($D224="","",IFERROR(VLOOKUP($B224,Kraftvärmeprod!$B$1:$BX$549,MATCH(G$2,Kraftvärmeprod!$B$1:$VX$1,0),FALSE)/1,0)-IFERROR(VLOOKUP($B224,'Slutlig allokering kvv'!$B$2:$BX$549,MATCH(G$2,'Slutlig allokering kvv'!$B$1:$BX$1,0),FALSE)/1,0))</f>
        <v/>
      </c>
      <c r="H224" s="121" t="str">
        <f>IF($D224="","",IFERROR(VLOOKUP($B224,Kraftvärmeprod!$B$1:$BX$549,MATCH(H$2,Kraftvärmeprod!$B$1:$VX$1,0),FALSE)/1,0)-IFERROR(VLOOKUP($B224,'Slutlig allokering kvv'!$B$2:$BX$549,MATCH(H$2,'Slutlig allokering kvv'!$B$1:$BX$1,0),FALSE)/1,0))</f>
        <v/>
      </c>
      <c r="I224" s="121" t="str">
        <f>IF($D224="","",IFERROR(VLOOKUP($B224,Kraftvärmeprod!$B$1:$BX$549,MATCH(I$2,Kraftvärmeprod!$B$1:$VX$1,0),FALSE)/1,0)-IFERROR(VLOOKUP($B224,'Slutlig allokering kvv'!$B$2:$BX$549,MATCH(I$2,'Slutlig allokering kvv'!$B$1:$BX$1,0),FALSE)/1,0))</f>
        <v/>
      </c>
      <c r="J224" s="121" t="str">
        <f>IF($D224="","",IFERROR(VLOOKUP($B224,Kraftvärmeprod!$B$1:$BX$549,MATCH(J$2,Kraftvärmeprod!$B$1:$VX$1,0),FALSE)/1,0)-IFERROR(VLOOKUP($B224,'Slutlig allokering kvv'!$B$2:$BX$549,MATCH(J$2,'Slutlig allokering kvv'!$B$1:$BX$1,0),FALSE)/1,0))</f>
        <v/>
      </c>
      <c r="K224" s="121" t="str">
        <f>IF($D224="","",IFERROR(VLOOKUP($B224,Kraftvärmeprod!$B$1:$BX$549,MATCH(K$2,Kraftvärmeprod!$B$1:$VX$1,0),FALSE)/1,0)-IFERROR(VLOOKUP($B224,'Slutlig allokering kvv'!$B$2:$BX$549,MATCH(K$2,'Slutlig allokering kvv'!$B$1:$BX$1,0),FALSE)/1,0))</f>
        <v/>
      </c>
      <c r="L224" s="121" t="str">
        <f>IF($D224="","",IFERROR(VLOOKUP($B224,Kraftvärmeprod!$B$1:$BX$549,MATCH(L$2,Kraftvärmeprod!$B$1:$VX$1,0),FALSE)/1,0)-IFERROR(VLOOKUP($B224,'Slutlig allokering kvv'!$B$2:$BX$549,MATCH(L$2,'Slutlig allokering kvv'!$B$1:$BX$1,0),FALSE)/1,0))</f>
        <v/>
      </c>
      <c r="M224" s="121" t="str">
        <f>IF($D224="","",IFERROR(VLOOKUP($B224,Kraftvärmeprod!$B$1:$BX$549,MATCH(M$2,Kraftvärmeprod!$B$1:$VX$1,0),FALSE)/1,0)-IFERROR(VLOOKUP($B224,'Slutlig allokering kvv'!$B$2:$BX$549,MATCH(M$2,'Slutlig allokering kvv'!$B$1:$BX$1,0),FALSE)/1,0))</f>
        <v/>
      </c>
      <c r="N224" s="121" t="str">
        <f>IF($D224="","",IFERROR(VLOOKUP($B224,Kraftvärmeprod!$B$1:$BX$549,MATCH(N$2,Kraftvärmeprod!$B$1:$VX$1,0),FALSE)/1,0)-IFERROR(VLOOKUP($B224,'Slutlig allokering kvv'!$B$2:$BX$549,MATCH(N$2,'Slutlig allokering kvv'!$B$1:$BX$1,0),FALSE)/1,0))</f>
        <v/>
      </c>
      <c r="O224" s="121" t="str">
        <f>IF($D224="","",IFERROR(VLOOKUP($B224,Kraftvärmeprod!$B$1:$BX$549,MATCH(O$2,Kraftvärmeprod!$B$1:$VX$1,0),FALSE)/1,0)-IFERROR(VLOOKUP($B224,'Slutlig allokering kvv'!$B$2:$BX$549,MATCH(O$2,'Slutlig allokering kvv'!$B$1:$BX$1,0),FALSE)/1,0))</f>
        <v/>
      </c>
      <c r="P224" s="121" t="str">
        <f>IF($D224="","",IFERROR(VLOOKUP($B224,Kraftvärmeprod!$B$1:$BX$549,MATCH(P$2,Kraftvärmeprod!$B$1:$VX$1,0),FALSE)/1,0)-IFERROR(VLOOKUP($B224,'Slutlig allokering kvv'!$B$2:$BX$549,MATCH(P$2,'Slutlig allokering kvv'!$B$1:$BX$1,0),FALSE)/1,0))</f>
        <v/>
      </c>
      <c r="Q224" s="121" t="str">
        <f>IF($D224="","",IFERROR(VLOOKUP($B224,Kraftvärmeprod!$B$1:$BX$549,MATCH(Q$2,Kraftvärmeprod!$B$1:$VX$1,0),FALSE)/1,0)-IFERROR(VLOOKUP($B224,'Slutlig allokering kvv'!$B$2:$BX$549,MATCH(Q$2,'Slutlig allokering kvv'!$B$1:$BX$1,0),FALSE)/1,0))</f>
        <v/>
      </c>
      <c r="R224" s="121" t="str">
        <f>IF($D224="","",IFERROR(VLOOKUP($B224,Kraftvärmeprod!$B$1:$BX$549,MATCH(R$2,Kraftvärmeprod!$B$1:$VX$1,0),FALSE)/1,0)-IFERROR(VLOOKUP($B224,'Slutlig allokering kvv'!$B$2:$BX$549,MATCH(R$2,'Slutlig allokering kvv'!$B$1:$BX$1,0),FALSE)/1,0))</f>
        <v/>
      </c>
      <c r="S224" s="121" t="str">
        <f>IF($D224="","",IFERROR(VLOOKUP($B224,Kraftvärmeprod!$B$1:$BX$549,MATCH(S$2,Kraftvärmeprod!$B$1:$VX$1,0),FALSE)/1,0)-IFERROR(VLOOKUP($B224,'Slutlig allokering kvv'!$B$2:$BX$549,MATCH(S$2,'Slutlig allokering kvv'!$B$1:$BX$1,0),FALSE)/1,0))</f>
        <v/>
      </c>
      <c r="T224" s="121" t="str">
        <f>IF($D224="","",IFERROR(VLOOKUP($B224,Kraftvärmeprod!$B$1:$BX$549,MATCH(T$2,Kraftvärmeprod!$B$1:$VX$1,0),FALSE)/1,0)-IFERROR(VLOOKUP($B224,'Slutlig allokering kvv'!$B$2:$BX$549,MATCH(T$2,'Slutlig allokering kvv'!$B$1:$BX$1,0),FALSE)/1,0))</f>
        <v/>
      </c>
      <c r="U224" s="121" t="str">
        <f>IF($D224="","",IFERROR(VLOOKUP($B224,Kraftvärmeprod!$B$1:$BX$549,MATCH(U$2,Kraftvärmeprod!$B$1:$VX$1,0),FALSE)/1,0)-IFERROR(VLOOKUP($B224,'Slutlig allokering kvv'!$B$2:$BX$549,MATCH(U$2,'Slutlig allokering kvv'!$B$1:$BX$1,0),FALSE)/1,0))</f>
        <v/>
      </c>
      <c r="V224" s="121" t="str">
        <f>IF($D224="","",IFERROR(VLOOKUP($B224,Kraftvärmeprod!$B$1:$BX$549,MATCH(V$2,Kraftvärmeprod!$B$1:$VX$1,0),FALSE)/1,0)-IFERROR(VLOOKUP($B224,'Slutlig allokering kvv'!$B$2:$BX$549,MATCH(V$2,'Slutlig allokering kvv'!$B$1:$BX$1,0),FALSE)/1,0))</f>
        <v/>
      </c>
      <c r="W224" s="121" t="str">
        <f>IF($D224="","",IFERROR(VLOOKUP($B224,Kraftvärmeprod!$B$1:$BX$549,MATCH(W$2,Kraftvärmeprod!$B$1:$VX$1,0),FALSE)/1,0)-IFERROR(VLOOKUP($B224,'Slutlig allokering kvv'!$B$2:$BX$549,MATCH(W$2,'Slutlig allokering kvv'!$B$1:$BX$1,0),FALSE)/1,0))</f>
        <v/>
      </c>
      <c r="X224" s="121" t="str">
        <f>IF($D224="","",IFERROR(VLOOKUP($B224,Kraftvärmeprod!$B$1:$BX$549,MATCH(X$2,Kraftvärmeprod!$B$1:$VX$1,0),FALSE)/1,0)-IFERROR(VLOOKUP($B224,'Slutlig allokering kvv'!$B$2:$BX$549,MATCH(X$2,'Slutlig allokering kvv'!$B$1:$BX$1,0),FALSE)/1,0))</f>
        <v/>
      </c>
      <c r="Y224" s="121" t="str">
        <f>IF($D224="","",IFERROR(VLOOKUP($B224,Kraftvärmeprod!$B$1:$BX$549,MATCH(Y$2,Kraftvärmeprod!$B$1:$VX$1,0),FALSE)/1,0)-IFERROR(VLOOKUP($B224,'Slutlig allokering kvv'!$B$2:$BX$549,MATCH(Y$2,'Slutlig allokering kvv'!$B$1:$BX$1,0),FALSE)/1,0))</f>
        <v/>
      </c>
      <c r="Z224" s="121" t="str">
        <f>IF($D224="","",IFERROR(VLOOKUP($B224,Kraftvärmeprod!$B$1:$BX$549,MATCH(Z$2,Kraftvärmeprod!$B$1:$VX$1,0),FALSE)/1,0)-IFERROR(VLOOKUP($B224,'Slutlig allokering kvv'!$B$2:$BX$549,MATCH(Z$2,'Slutlig allokering kvv'!$B$1:$BX$1,0),FALSE)/1,0))</f>
        <v/>
      </c>
      <c r="AA224" s="121" t="str">
        <f>IF($D224="","",IFERROR(VLOOKUP($B224,Kraftvärmeprod!$B$1:$BX$549,MATCH(AA$2,Kraftvärmeprod!$B$1:$VX$1,0),FALSE)/1,0)-IFERROR(VLOOKUP($B224,'Slutlig allokering kvv'!$B$2:$BX$549,MATCH(AA$2,'Slutlig allokering kvv'!$B$1:$BX$1,0),FALSE)/1,0))</f>
        <v/>
      </c>
      <c r="AB224" s="121" t="str">
        <f>IF($D224="","",IFERROR(VLOOKUP($B224,Kraftvärmeprod!$B$1:$BX$549,MATCH(AB$2,Kraftvärmeprod!$B$1:$VX$1,0),FALSE)/1,0)-IFERROR(VLOOKUP($B224,'Slutlig allokering kvv'!$B$2:$BX$549,MATCH(AB$2,'Slutlig allokering kvv'!$B$1:$BX$1,0),FALSE)/1,0))</f>
        <v/>
      </c>
      <c r="AC224" s="121" t="str">
        <f>IF($D224="","",IFERROR(VLOOKUP($B224,Kraftvärmeprod!$B$1:$BX$549,MATCH(AC$2,Kraftvärmeprod!$B$1:$VX$1,0),FALSE)/1,0)-IFERROR(VLOOKUP($B224,'Slutlig allokering kvv'!$B$2:$BX$549,MATCH(AC$2,'Slutlig allokering kvv'!$B$1:$BX$1,0),FALSE)/1,0))</f>
        <v/>
      </c>
      <c r="AD224" s="121" t="str">
        <f>IF($D224="","",IFERROR(VLOOKUP($B224,Kraftvärmeprod!$B$1:$BX$549,MATCH(AD$2,Kraftvärmeprod!$B$1:$VX$1,0),FALSE)/1,0)-IFERROR(VLOOKUP($B224,'Slutlig allokering kvv'!$B$2:$BX$549,MATCH(AD$2,'Slutlig allokering kvv'!$B$1:$BX$1,0),FALSE)/1,0))</f>
        <v/>
      </c>
      <c r="AE224" s="121" t="str">
        <f>IF($D224="","",IFERROR(VLOOKUP($B224,Miljö!$B$1:$E$550,MATCH("Hjälpel kraftvärme (GWh)",Miljö!$B$1:$E$1,0),FALSE)/1,0)-IFERROR(VLOOKUP($B224,'Slutlig allokering kvv'!$B$2:$BX$549,MATCH(AE$2,'Slutlig allokering kvv'!$B$1:$BX$1,0),FALSE)/1,0))</f>
        <v/>
      </c>
      <c r="AI224" s="121">
        <f t="shared" si="12"/>
        <v>0</v>
      </c>
      <c r="AK224" s="121">
        <f>IFERROR(VLOOKUP($B224,'Slutlig allokering kvv'!$B$2:$AX$549,MATCH("Summa slutlig allokerad tillförd energi (utan hjälpel och rökgaskondensering):",'Slutlig allokering kvv'!$B$1:$AX$1,0),FALSE)/1,"")</f>
        <v>0</v>
      </c>
      <c r="AM224" s="172" t="str">
        <f>IFERROR(1-VLOOKUP($B224,'Slutlig allokering kvv'!$B$2:$AX$549,MATCH("Andel av bränsle i kvv som allokerats till värme, exklusive rökgaskondensering och hjälpel",'Slutlig allokering kvv'!$B$1:$AX$1,0),FALSE),"")</f>
        <v/>
      </c>
      <c r="AO224" s="172" t="str">
        <f t="shared" si="13"/>
        <v/>
      </c>
      <c r="AP224" s="173" t="str">
        <f t="shared" si="14"/>
        <v/>
      </c>
      <c r="AR224" s="172" t="str">
        <f t="shared" si="15"/>
        <v/>
      </c>
    </row>
    <row r="225" spans="1:44" x14ac:dyDescent="0.25">
      <c r="A225" s="171" t="str">
        <f>'Miljövärden för publ företag'!B227</f>
        <v>Skellefteå Kraft AB</v>
      </c>
      <c r="B225" s="171" t="str">
        <f>'Miljövärden för publ företag'!C227</f>
        <v>Lycksele</v>
      </c>
      <c r="C225" s="121">
        <f>IFERROR(VLOOKUP($B225,Kraftvärmeprod!$B$1:$AH$478,MATCH(C$2,Kraftvärmeprod!$B$1:$AG$1,0),FALSE)/1,"")</f>
        <v>119.69344599999999</v>
      </c>
      <c r="D225" s="121">
        <f>IFERROR(VLOOKUP($B225,Kraftvärmeprod!$B$1:$AH$478,MATCH(D$2,Kraftvärmeprod!$B$1:$AG$1,0),FALSE)/1,"")</f>
        <v>44.927909999999997</v>
      </c>
      <c r="F225" s="121">
        <f>IF($D225="","",IFERROR(VLOOKUP($B225,Kraftvärmeprod!$B$1:$BX$549,MATCH(F$2,Kraftvärmeprod!$B$1:$VX$1,0),FALSE)/1,0)-IFERROR(VLOOKUP($B225,'Slutlig allokering kvv'!$B$2:$BX$549,MATCH(F$2,'Slutlig allokering kvv'!$B$1:$BX$1,0),FALSE)/1,0))</f>
        <v>0</v>
      </c>
      <c r="G225" s="121">
        <f>IF($D225="","",IFERROR(VLOOKUP($B225,Kraftvärmeprod!$B$1:$BX$549,MATCH(G$2,Kraftvärmeprod!$B$1:$VX$1,0),FALSE)/1,0)-IFERROR(VLOOKUP($B225,'Slutlig allokering kvv'!$B$2:$BX$549,MATCH(G$2,'Slutlig allokering kvv'!$B$1:$BX$1,0),FALSE)/1,0))</f>
        <v>3.0253799999999997E-2</v>
      </c>
      <c r="H225" s="121">
        <f>IF($D225="","",IFERROR(VLOOKUP($B225,Kraftvärmeprod!$B$1:$BX$549,MATCH(H$2,Kraftvärmeprod!$B$1:$VX$1,0),FALSE)/1,0)-IFERROR(VLOOKUP($B225,'Slutlig allokering kvv'!$B$2:$BX$549,MATCH(H$2,'Slutlig allokering kvv'!$B$1:$BX$1,0),FALSE)/1,0))</f>
        <v>0</v>
      </c>
      <c r="I225" s="121">
        <f>IF($D225="","",IFERROR(VLOOKUP($B225,Kraftvärmeprod!$B$1:$BX$549,MATCH(I$2,Kraftvärmeprod!$B$1:$VX$1,0),FALSE)/1,0)-IFERROR(VLOOKUP($B225,'Slutlig allokering kvv'!$B$2:$BX$549,MATCH(I$2,'Slutlig allokering kvv'!$B$1:$BX$1,0),FALSE)/1,0))</f>
        <v>0</v>
      </c>
      <c r="J225" s="121">
        <f>IF($D225="","",IFERROR(VLOOKUP($B225,Kraftvärmeprod!$B$1:$BX$549,MATCH(J$2,Kraftvärmeprod!$B$1:$VX$1,0),FALSE)/1,0)-IFERROR(VLOOKUP($B225,'Slutlig allokering kvv'!$B$2:$BX$549,MATCH(J$2,'Slutlig allokering kvv'!$B$1:$BX$1,0),FALSE)/1,0))</f>
        <v>0</v>
      </c>
      <c r="K225" s="121">
        <f>IF($D225="","",IFERROR(VLOOKUP($B225,Kraftvärmeprod!$B$1:$BX$549,MATCH(K$2,Kraftvärmeprod!$B$1:$VX$1,0),FALSE)/1,0)-IFERROR(VLOOKUP($B225,'Slutlig allokering kvv'!$B$2:$BX$549,MATCH(K$2,'Slutlig allokering kvv'!$B$1:$BX$1,0),FALSE)/1,0))</f>
        <v>0</v>
      </c>
      <c r="L225" s="121">
        <f>IF($D225="","",IFERROR(VLOOKUP($B225,Kraftvärmeprod!$B$1:$BX$549,MATCH(L$2,Kraftvärmeprod!$B$1:$VX$1,0),FALSE)/1,0)-IFERROR(VLOOKUP($B225,'Slutlig allokering kvv'!$B$2:$BX$549,MATCH(L$2,'Slutlig allokering kvv'!$B$1:$BX$1,0),FALSE)/1,0))</f>
        <v>10.231189369999999</v>
      </c>
      <c r="M225" s="121">
        <f>IF($D225="","",IFERROR(VLOOKUP($B225,Kraftvärmeprod!$B$1:$BX$549,MATCH(M$2,Kraftvärmeprod!$B$1:$VX$1,0),FALSE)/1,0)-IFERROR(VLOOKUP($B225,'Slutlig allokering kvv'!$B$2:$BX$549,MATCH(M$2,'Slutlig allokering kvv'!$B$1:$BX$1,0),FALSE)/1,0))</f>
        <v>26.136813989999997</v>
      </c>
      <c r="N225" s="121">
        <f>IF($D225="","",IFERROR(VLOOKUP($B225,Kraftvärmeprod!$B$1:$BX$549,MATCH(N$2,Kraftvärmeprod!$B$1:$VX$1,0),FALSE)/1,0)-IFERROR(VLOOKUP($B225,'Slutlig allokering kvv'!$B$2:$BX$549,MATCH(N$2,'Slutlig allokering kvv'!$B$1:$BX$1,0),FALSE)/1,0))</f>
        <v>0</v>
      </c>
      <c r="O225" s="121">
        <f>IF($D225="","",IFERROR(VLOOKUP($B225,Kraftvärmeprod!$B$1:$BX$549,MATCH(O$2,Kraftvärmeprod!$B$1:$VX$1,0),FALSE)/1,0)-IFERROR(VLOOKUP($B225,'Slutlig allokering kvv'!$B$2:$BX$549,MATCH(O$2,'Slutlig allokering kvv'!$B$1:$BX$1,0),FALSE)/1,0))</f>
        <v>33.897873169999997</v>
      </c>
      <c r="P225" s="121">
        <f>IF($D225="","",IFERROR(VLOOKUP($B225,Kraftvärmeprod!$B$1:$BX$549,MATCH(P$2,Kraftvärmeprod!$B$1:$VX$1,0),FALSE)/1,0)-IFERROR(VLOOKUP($B225,'Slutlig allokering kvv'!$B$2:$BX$549,MATCH(P$2,'Slutlig allokering kvv'!$B$1:$BX$1,0),FALSE)/1,0))</f>
        <v>0</v>
      </c>
      <c r="Q225" s="121">
        <f>IF($D225="","",IFERROR(VLOOKUP($B225,Kraftvärmeprod!$B$1:$BX$549,MATCH(Q$2,Kraftvärmeprod!$B$1:$VX$1,0),FALSE)/1,0)-IFERROR(VLOOKUP($B225,'Slutlig allokering kvv'!$B$2:$BX$549,MATCH(Q$2,'Slutlig allokering kvv'!$B$1:$BX$1,0),FALSE)/1,0))</f>
        <v>6.0437281</v>
      </c>
      <c r="R225" s="121">
        <f>IF($D225="","",IFERROR(VLOOKUP($B225,Kraftvärmeprod!$B$1:$BX$549,MATCH(R$2,Kraftvärmeprod!$B$1:$VX$1,0),FALSE)/1,0)-IFERROR(VLOOKUP($B225,'Slutlig allokering kvv'!$B$2:$BX$549,MATCH(R$2,'Slutlig allokering kvv'!$B$1:$BX$1,0),FALSE)/1,0))</f>
        <v>0</v>
      </c>
      <c r="S225" s="121">
        <f>IF($D225="","",IFERROR(VLOOKUP($B225,Kraftvärmeprod!$B$1:$BX$549,MATCH(S$2,Kraftvärmeprod!$B$1:$VX$1,0),FALSE)/1,0)-IFERROR(VLOOKUP($B225,'Slutlig allokering kvv'!$B$2:$BX$549,MATCH(S$2,'Slutlig allokering kvv'!$B$1:$BX$1,0),FALSE)/1,0))</f>
        <v>0.352738265</v>
      </c>
      <c r="T225" s="121">
        <f>IF($D225="","",IFERROR(VLOOKUP($B225,Kraftvärmeprod!$B$1:$BX$549,MATCH(T$2,Kraftvärmeprod!$B$1:$VX$1,0),FALSE)/1,0)-IFERROR(VLOOKUP($B225,'Slutlig allokering kvv'!$B$2:$BX$549,MATCH(T$2,'Slutlig allokering kvv'!$B$1:$BX$1,0),FALSE)/1,0))</f>
        <v>0.14109510599999997</v>
      </c>
      <c r="U225" s="121">
        <f>IF($D225="","",IFERROR(VLOOKUP($B225,Kraftvärmeprod!$B$1:$BX$549,MATCH(U$2,Kraftvärmeprod!$B$1:$VX$1,0),FALSE)/1,0)-IFERROR(VLOOKUP($B225,'Slutlig allokering kvv'!$B$2:$BX$549,MATCH(U$2,'Slutlig allokering kvv'!$B$1:$BX$1,0),FALSE)/1,0))</f>
        <v>0</v>
      </c>
      <c r="V225" s="121">
        <f>IF($D225="","",IFERROR(VLOOKUP($B225,Kraftvärmeprod!$B$1:$BX$549,MATCH(V$2,Kraftvärmeprod!$B$1:$VX$1,0),FALSE)/1,0)-IFERROR(VLOOKUP($B225,'Slutlig allokering kvv'!$B$2:$BX$549,MATCH(V$2,'Slutlig allokering kvv'!$B$1:$BX$1,0),FALSE)/1,0))</f>
        <v>0</v>
      </c>
      <c r="W225" s="121">
        <f>IF($D225="","",IFERROR(VLOOKUP($B225,Kraftvärmeprod!$B$1:$BX$549,MATCH(W$2,Kraftvärmeprod!$B$1:$VX$1,0),FALSE)/1,0)-IFERROR(VLOOKUP($B225,'Slutlig allokering kvv'!$B$2:$BX$549,MATCH(W$2,'Slutlig allokering kvv'!$B$1:$BX$1,0),FALSE)/1,0))</f>
        <v>0</v>
      </c>
      <c r="X225" s="121">
        <f>IF($D225="","",IFERROR(VLOOKUP($B225,Kraftvärmeprod!$B$1:$BX$549,MATCH(X$2,Kraftvärmeprod!$B$1:$VX$1,0),FALSE)/1,0)-IFERROR(VLOOKUP($B225,'Slutlig allokering kvv'!$B$2:$BX$549,MATCH(X$2,'Slutlig allokering kvv'!$B$1:$BX$1,0),FALSE)/1,0))</f>
        <v>0</v>
      </c>
      <c r="Y225" s="121">
        <f>IF($D225="","",IFERROR(VLOOKUP($B225,Kraftvärmeprod!$B$1:$BX$549,MATCH(Y$2,Kraftvärmeprod!$B$1:$VX$1,0),FALSE)/1,0)-IFERROR(VLOOKUP($B225,'Slutlig allokering kvv'!$B$2:$BX$549,MATCH(Y$2,'Slutlig allokering kvv'!$B$1:$BX$1,0),FALSE)/1,0))</f>
        <v>0</v>
      </c>
      <c r="Z225" s="121">
        <f>IF($D225="","",IFERROR(VLOOKUP($B225,Kraftvärmeprod!$B$1:$BX$549,MATCH(Z$2,Kraftvärmeprod!$B$1:$VX$1,0),FALSE)/1,0)-IFERROR(VLOOKUP($B225,'Slutlig allokering kvv'!$B$2:$BX$549,MATCH(Z$2,'Slutlig allokering kvv'!$B$1:$BX$1,0),FALSE)/1,0))</f>
        <v>11.216163</v>
      </c>
      <c r="AA225" s="121">
        <f>IF($D225="","",IFERROR(VLOOKUP($B225,Kraftvärmeprod!$B$1:$BX$549,MATCH(AA$2,Kraftvärmeprod!$B$1:$VX$1,0),FALSE)/1,0)-IFERROR(VLOOKUP($B225,'Slutlig allokering kvv'!$B$2:$BX$549,MATCH(AA$2,'Slutlig allokering kvv'!$B$1:$BX$1,0),FALSE)/1,0))</f>
        <v>0</v>
      </c>
      <c r="AB225" s="121">
        <f>IF($D225="","",IFERROR(VLOOKUP($B225,Kraftvärmeprod!$B$1:$BX$549,MATCH(AB$2,Kraftvärmeprod!$B$1:$VX$1,0),FALSE)/1,0)-IFERROR(VLOOKUP($B225,'Slutlig allokering kvv'!$B$2:$BX$549,MATCH(AB$2,'Slutlig allokering kvv'!$B$1:$BX$1,0),FALSE)/1,0))</f>
        <v>0</v>
      </c>
      <c r="AC225" s="121">
        <f>IF($D225="","",IFERROR(VLOOKUP($B225,Kraftvärmeprod!$B$1:$BX$549,MATCH(AC$2,Kraftvärmeprod!$B$1:$VX$1,0),FALSE)/1,0)-IFERROR(VLOOKUP($B225,'Slutlig allokering kvv'!$B$2:$BX$549,MATCH(AC$2,'Slutlig allokering kvv'!$B$1:$BX$1,0),FALSE)/1,0))</f>
        <v>0</v>
      </c>
      <c r="AD225" s="121">
        <f>IF($D225="","",IFERROR(VLOOKUP($B225,Kraftvärmeprod!$B$1:$BX$549,MATCH(AD$2,Kraftvärmeprod!$B$1:$VX$1,0),FALSE)/1,0)-IFERROR(VLOOKUP($B225,'Slutlig allokering kvv'!$B$2:$BX$549,MATCH(AD$2,'Slutlig allokering kvv'!$B$1:$BX$1,0),FALSE)/1,0))</f>
        <v>0</v>
      </c>
      <c r="AE225" s="121">
        <f>IF($D225="","",IFERROR(VLOOKUP($B225,Miljö!$B$1:$E$550,MATCH("Hjälpel kraftvärme (GWh)",Miljö!$B$1:$E$1,0),FALSE)/1,0)-IFERROR(VLOOKUP($B225,'Slutlig allokering kvv'!$B$2:$BX$549,MATCH(AE$2,'Slutlig allokering kvv'!$B$1:$BX$1,0),FALSE)/1,0))</f>
        <v>3.2133766000000001</v>
      </c>
      <c r="AI225" s="121">
        <f t="shared" si="12"/>
        <v>88.049854800999981</v>
      </c>
      <c r="AK225" s="121">
        <f>IFERROR(VLOOKUP($B225,'Slutlig allokering kvv'!$B$2:$AX$549,MATCH("Summa slutlig allokerad tillförd energi (utan hjälpel och rökgaskondensering):",'Slutlig allokering kvv'!$B$1:$AX$1,0),FALSE)/1,"")</f>
        <v>92.105263199999996</v>
      </c>
      <c r="AM225" s="172">
        <f>IFERROR(1-VLOOKUP($B225,'Slutlig allokering kvv'!$B$2:$AX$549,MATCH("Andel av bränsle i kvv som allokerats till värme, exklusive rökgaskondensering och hjälpel",'Slutlig allokering kvv'!$B$1:$AX$1,0),FALSE),"")</f>
        <v>0.48874467613243866</v>
      </c>
      <c r="AO225" s="172">
        <f t="shared" si="13"/>
        <v>0.48874467613243855</v>
      </c>
      <c r="AP225" s="173">
        <f t="shared" si="14"/>
        <v>1.1102230246251565E-16</v>
      </c>
      <c r="AR225" s="172">
        <f t="shared" si="15"/>
        <v>0.49228927477476669</v>
      </c>
    </row>
    <row r="226" spans="1:44" x14ac:dyDescent="0.25">
      <c r="A226" s="171" t="str">
        <f>'Miljövärden för publ företag'!B228</f>
        <v>Skellefteå Kraft AB</v>
      </c>
      <c r="B226" s="171" t="str">
        <f>'Miljövärden för publ företag'!C228</f>
        <v>Lövånger</v>
      </c>
      <c r="C226" s="121" t="str">
        <f>IFERROR(VLOOKUP($B226,Kraftvärmeprod!$B$1:$AH$478,MATCH(C$2,Kraftvärmeprod!$B$1:$AG$1,0),FALSE)/1,"")</f>
        <v/>
      </c>
      <c r="D226" s="121" t="str">
        <f>IFERROR(VLOOKUP($B226,Kraftvärmeprod!$B$1:$AH$478,MATCH(D$2,Kraftvärmeprod!$B$1:$AG$1,0),FALSE)/1,"")</f>
        <v/>
      </c>
      <c r="F226" s="121" t="str">
        <f>IF($D226="","",IFERROR(VLOOKUP($B226,Kraftvärmeprod!$B$1:$BX$549,MATCH(F$2,Kraftvärmeprod!$B$1:$VX$1,0),FALSE)/1,0)-IFERROR(VLOOKUP($B226,'Slutlig allokering kvv'!$B$2:$BX$549,MATCH(F$2,'Slutlig allokering kvv'!$B$1:$BX$1,0),FALSE)/1,0))</f>
        <v/>
      </c>
      <c r="G226" s="121" t="str">
        <f>IF($D226="","",IFERROR(VLOOKUP($B226,Kraftvärmeprod!$B$1:$BX$549,MATCH(G$2,Kraftvärmeprod!$B$1:$VX$1,0),FALSE)/1,0)-IFERROR(VLOOKUP($B226,'Slutlig allokering kvv'!$B$2:$BX$549,MATCH(G$2,'Slutlig allokering kvv'!$B$1:$BX$1,0),FALSE)/1,0))</f>
        <v/>
      </c>
      <c r="H226" s="121" t="str">
        <f>IF($D226="","",IFERROR(VLOOKUP($B226,Kraftvärmeprod!$B$1:$BX$549,MATCH(H$2,Kraftvärmeprod!$B$1:$VX$1,0),FALSE)/1,0)-IFERROR(VLOOKUP($B226,'Slutlig allokering kvv'!$B$2:$BX$549,MATCH(H$2,'Slutlig allokering kvv'!$B$1:$BX$1,0),FALSE)/1,0))</f>
        <v/>
      </c>
      <c r="I226" s="121" t="str">
        <f>IF($D226="","",IFERROR(VLOOKUP($B226,Kraftvärmeprod!$B$1:$BX$549,MATCH(I$2,Kraftvärmeprod!$B$1:$VX$1,0),FALSE)/1,0)-IFERROR(VLOOKUP($B226,'Slutlig allokering kvv'!$B$2:$BX$549,MATCH(I$2,'Slutlig allokering kvv'!$B$1:$BX$1,0),FALSE)/1,0))</f>
        <v/>
      </c>
      <c r="J226" s="121" t="str">
        <f>IF($D226="","",IFERROR(VLOOKUP($B226,Kraftvärmeprod!$B$1:$BX$549,MATCH(J$2,Kraftvärmeprod!$B$1:$VX$1,0),FALSE)/1,0)-IFERROR(VLOOKUP($B226,'Slutlig allokering kvv'!$B$2:$BX$549,MATCH(J$2,'Slutlig allokering kvv'!$B$1:$BX$1,0),FALSE)/1,0))</f>
        <v/>
      </c>
      <c r="K226" s="121" t="str">
        <f>IF($D226="","",IFERROR(VLOOKUP($B226,Kraftvärmeprod!$B$1:$BX$549,MATCH(K$2,Kraftvärmeprod!$B$1:$VX$1,0),FALSE)/1,0)-IFERROR(VLOOKUP($B226,'Slutlig allokering kvv'!$B$2:$BX$549,MATCH(K$2,'Slutlig allokering kvv'!$B$1:$BX$1,0),FALSE)/1,0))</f>
        <v/>
      </c>
      <c r="L226" s="121" t="str">
        <f>IF($D226="","",IFERROR(VLOOKUP($B226,Kraftvärmeprod!$B$1:$BX$549,MATCH(L$2,Kraftvärmeprod!$B$1:$VX$1,0),FALSE)/1,0)-IFERROR(VLOOKUP($B226,'Slutlig allokering kvv'!$B$2:$BX$549,MATCH(L$2,'Slutlig allokering kvv'!$B$1:$BX$1,0),FALSE)/1,0))</f>
        <v/>
      </c>
      <c r="M226" s="121" t="str">
        <f>IF($D226="","",IFERROR(VLOOKUP($B226,Kraftvärmeprod!$B$1:$BX$549,MATCH(M$2,Kraftvärmeprod!$B$1:$VX$1,0),FALSE)/1,0)-IFERROR(VLOOKUP($B226,'Slutlig allokering kvv'!$B$2:$BX$549,MATCH(M$2,'Slutlig allokering kvv'!$B$1:$BX$1,0),FALSE)/1,0))</f>
        <v/>
      </c>
      <c r="N226" s="121" t="str">
        <f>IF($D226="","",IFERROR(VLOOKUP($B226,Kraftvärmeprod!$B$1:$BX$549,MATCH(N$2,Kraftvärmeprod!$B$1:$VX$1,0),FALSE)/1,0)-IFERROR(VLOOKUP($B226,'Slutlig allokering kvv'!$B$2:$BX$549,MATCH(N$2,'Slutlig allokering kvv'!$B$1:$BX$1,0),FALSE)/1,0))</f>
        <v/>
      </c>
      <c r="O226" s="121" t="str">
        <f>IF($D226="","",IFERROR(VLOOKUP($B226,Kraftvärmeprod!$B$1:$BX$549,MATCH(O$2,Kraftvärmeprod!$B$1:$VX$1,0),FALSE)/1,0)-IFERROR(VLOOKUP($B226,'Slutlig allokering kvv'!$B$2:$BX$549,MATCH(O$2,'Slutlig allokering kvv'!$B$1:$BX$1,0),FALSE)/1,0))</f>
        <v/>
      </c>
      <c r="P226" s="121" t="str">
        <f>IF($D226="","",IFERROR(VLOOKUP($B226,Kraftvärmeprod!$B$1:$BX$549,MATCH(P$2,Kraftvärmeprod!$B$1:$VX$1,0),FALSE)/1,0)-IFERROR(VLOOKUP($B226,'Slutlig allokering kvv'!$B$2:$BX$549,MATCH(P$2,'Slutlig allokering kvv'!$B$1:$BX$1,0),FALSE)/1,0))</f>
        <v/>
      </c>
      <c r="Q226" s="121" t="str">
        <f>IF($D226="","",IFERROR(VLOOKUP($B226,Kraftvärmeprod!$B$1:$BX$549,MATCH(Q$2,Kraftvärmeprod!$B$1:$VX$1,0),FALSE)/1,0)-IFERROR(VLOOKUP($B226,'Slutlig allokering kvv'!$B$2:$BX$549,MATCH(Q$2,'Slutlig allokering kvv'!$B$1:$BX$1,0),FALSE)/1,0))</f>
        <v/>
      </c>
      <c r="R226" s="121" t="str">
        <f>IF($D226="","",IFERROR(VLOOKUP($B226,Kraftvärmeprod!$B$1:$BX$549,MATCH(R$2,Kraftvärmeprod!$B$1:$VX$1,0),FALSE)/1,0)-IFERROR(VLOOKUP($B226,'Slutlig allokering kvv'!$B$2:$BX$549,MATCH(R$2,'Slutlig allokering kvv'!$B$1:$BX$1,0),FALSE)/1,0))</f>
        <v/>
      </c>
      <c r="S226" s="121" t="str">
        <f>IF($D226="","",IFERROR(VLOOKUP($B226,Kraftvärmeprod!$B$1:$BX$549,MATCH(S$2,Kraftvärmeprod!$B$1:$VX$1,0),FALSE)/1,0)-IFERROR(VLOOKUP($B226,'Slutlig allokering kvv'!$B$2:$BX$549,MATCH(S$2,'Slutlig allokering kvv'!$B$1:$BX$1,0),FALSE)/1,0))</f>
        <v/>
      </c>
      <c r="T226" s="121" t="str">
        <f>IF($D226="","",IFERROR(VLOOKUP($B226,Kraftvärmeprod!$B$1:$BX$549,MATCH(T$2,Kraftvärmeprod!$B$1:$VX$1,0),FALSE)/1,0)-IFERROR(VLOOKUP($B226,'Slutlig allokering kvv'!$B$2:$BX$549,MATCH(T$2,'Slutlig allokering kvv'!$B$1:$BX$1,0),FALSE)/1,0))</f>
        <v/>
      </c>
      <c r="U226" s="121" t="str">
        <f>IF($D226="","",IFERROR(VLOOKUP($B226,Kraftvärmeprod!$B$1:$BX$549,MATCH(U$2,Kraftvärmeprod!$B$1:$VX$1,0),FALSE)/1,0)-IFERROR(VLOOKUP($B226,'Slutlig allokering kvv'!$B$2:$BX$549,MATCH(U$2,'Slutlig allokering kvv'!$B$1:$BX$1,0),FALSE)/1,0))</f>
        <v/>
      </c>
      <c r="V226" s="121" t="str">
        <f>IF($D226="","",IFERROR(VLOOKUP($B226,Kraftvärmeprod!$B$1:$BX$549,MATCH(V$2,Kraftvärmeprod!$B$1:$VX$1,0),FALSE)/1,0)-IFERROR(VLOOKUP($B226,'Slutlig allokering kvv'!$B$2:$BX$549,MATCH(V$2,'Slutlig allokering kvv'!$B$1:$BX$1,0),FALSE)/1,0))</f>
        <v/>
      </c>
      <c r="W226" s="121" t="str">
        <f>IF($D226="","",IFERROR(VLOOKUP($B226,Kraftvärmeprod!$B$1:$BX$549,MATCH(W$2,Kraftvärmeprod!$B$1:$VX$1,0),FALSE)/1,0)-IFERROR(VLOOKUP($B226,'Slutlig allokering kvv'!$B$2:$BX$549,MATCH(W$2,'Slutlig allokering kvv'!$B$1:$BX$1,0),FALSE)/1,0))</f>
        <v/>
      </c>
      <c r="X226" s="121" t="str">
        <f>IF($D226="","",IFERROR(VLOOKUP($B226,Kraftvärmeprod!$B$1:$BX$549,MATCH(X$2,Kraftvärmeprod!$B$1:$VX$1,0),FALSE)/1,0)-IFERROR(VLOOKUP($B226,'Slutlig allokering kvv'!$B$2:$BX$549,MATCH(X$2,'Slutlig allokering kvv'!$B$1:$BX$1,0),FALSE)/1,0))</f>
        <v/>
      </c>
      <c r="Y226" s="121" t="str">
        <f>IF($D226="","",IFERROR(VLOOKUP($B226,Kraftvärmeprod!$B$1:$BX$549,MATCH(Y$2,Kraftvärmeprod!$B$1:$VX$1,0),FALSE)/1,0)-IFERROR(VLOOKUP($B226,'Slutlig allokering kvv'!$B$2:$BX$549,MATCH(Y$2,'Slutlig allokering kvv'!$B$1:$BX$1,0),FALSE)/1,0))</f>
        <v/>
      </c>
      <c r="Z226" s="121" t="str">
        <f>IF($D226="","",IFERROR(VLOOKUP($B226,Kraftvärmeprod!$B$1:$BX$549,MATCH(Z$2,Kraftvärmeprod!$B$1:$VX$1,0),FALSE)/1,0)-IFERROR(VLOOKUP($B226,'Slutlig allokering kvv'!$B$2:$BX$549,MATCH(Z$2,'Slutlig allokering kvv'!$B$1:$BX$1,0),FALSE)/1,0))</f>
        <v/>
      </c>
      <c r="AA226" s="121" t="str">
        <f>IF($D226="","",IFERROR(VLOOKUP($B226,Kraftvärmeprod!$B$1:$BX$549,MATCH(AA$2,Kraftvärmeprod!$B$1:$VX$1,0),FALSE)/1,0)-IFERROR(VLOOKUP($B226,'Slutlig allokering kvv'!$B$2:$BX$549,MATCH(AA$2,'Slutlig allokering kvv'!$B$1:$BX$1,0),FALSE)/1,0))</f>
        <v/>
      </c>
      <c r="AB226" s="121" t="str">
        <f>IF($D226="","",IFERROR(VLOOKUP($B226,Kraftvärmeprod!$B$1:$BX$549,MATCH(AB$2,Kraftvärmeprod!$B$1:$VX$1,0),FALSE)/1,0)-IFERROR(VLOOKUP($B226,'Slutlig allokering kvv'!$B$2:$BX$549,MATCH(AB$2,'Slutlig allokering kvv'!$B$1:$BX$1,0),FALSE)/1,0))</f>
        <v/>
      </c>
      <c r="AC226" s="121" t="str">
        <f>IF($D226="","",IFERROR(VLOOKUP($B226,Kraftvärmeprod!$B$1:$BX$549,MATCH(AC$2,Kraftvärmeprod!$B$1:$VX$1,0),FALSE)/1,0)-IFERROR(VLOOKUP($B226,'Slutlig allokering kvv'!$B$2:$BX$549,MATCH(AC$2,'Slutlig allokering kvv'!$B$1:$BX$1,0),FALSE)/1,0))</f>
        <v/>
      </c>
      <c r="AD226" s="121" t="str">
        <f>IF($D226="","",IFERROR(VLOOKUP($B226,Kraftvärmeprod!$B$1:$BX$549,MATCH(AD$2,Kraftvärmeprod!$B$1:$VX$1,0),FALSE)/1,0)-IFERROR(VLOOKUP($B226,'Slutlig allokering kvv'!$B$2:$BX$549,MATCH(AD$2,'Slutlig allokering kvv'!$B$1:$BX$1,0),FALSE)/1,0))</f>
        <v/>
      </c>
      <c r="AE226" s="121" t="str">
        <f>IF($D226="","",IFERROR(VLOOKUP($B226,Miljö!$B$1:$E$550,MATCH("Hjälpel kraftvärme (GWh)",Miljö!$B$1:$E$1,0),FALSE)/1,0)-IFERROR(VLOOKUP($B226,'Slutlig allokering kvv'!$B$2:$BX$549,MATCH(AE$2,'Slutlig allokering kvv'!$B$1:$BX$1,0),FALSE)/1,0))</f>
        <v/>
      </c>
      <c r="AI226" s="121">
        <f t="shared" si="12"/>
        <v>0</v>
      </c>
      <c r="AK226" s="121">
        <f>IFERROR(VLOOKUP($B226,'Slutlig allokering kvv'!$B$2:$AX$549,MATCH("Summa slutlig allokerad tillförd energi (utan hjälpel och rökgaskondensering):",'Slutlig allokering kvv'!$B$1:$AX$1,0),FALSE)/1,"")</f>
        <v>0</v>
      </c>
      <c r="AM226" s="172" t="str">
        <f>IFERROR(1-VLOOKUP($B226,'Slutlig allokering kvv'!$B$2:$AX$549,MATCH("Andel av bränsle i kvv som allokerats till värme, exklusive rökgaskondensering och hjälpel",'Slutlig allokering kvv'!$B$1:$AX$1,0),FALSE),"")</f>
        <v/>
      </c>
      <c r="AO226" s="172" t="str">
        <f t="shared" si="13"/>
        <v/>
      </c>
      <c r="AP226" s="173" t="str">
        <f t="shared" si="14"/>
        <v/>
      </c>
      <c r="AR226" s="172" t="str">
        <f t="shared" si="15"/>
        <v/>
      </c>
    </row>
    <row r="227" spans="1:44" x14ac:dyDescent="0.25">
      <c r="A227" s="171" t="str">
        <f>'Miljövärden för publ företag'!B229</f>
        <v>Skellefteå Kraft AB</v>
      </c>
      <c r="B227" s="171" t="str">
        <f>'Miljövärden för publ företag'!C229</f>
        <v>Malå</v>
      </c>
      <c r="C227" s="121">
        <f>IFERROR(VLOOKUP($B227,Kraftvärmeprod!$B$1:$AH$478,MATCH(C$2,Kraftvärmeprod!$B$1:$AG$1,0),FALSE)/1,"")</f>
        <v>80.528341999999995</v>
      </c>
      <c r="D227" s="121">
        <f>IFERROR(VLOOKUP($B227,Kraftvärmeprod!$B$1:$AH$478,MATCH(D$2,Kraftvärmeprod!$B$1:$AG$1,0),FALSE)/1,"")</f>
        <v>17.979658000000001</v>
      </c>
      <c r="F227" s="121">
        <f>IF($D227="","",IFERROR(VLOOKUP($B227,Kraftvärmeprod!$B$1:$BX$549,MATCH(F$2,Kraftvärmeprod!$B$1:$VX$1,0),FALSE)/1,0)-IFERROR(VLOOKUP($B227,'Slutlig allokering kvv'!$B$2:$BX$549,MATCH(F$2,'Slutlig allokering kvv'!$B$1:$BX$1,0),FALSE)/1,0))</f>
        <v>0</v>
      </c>
      <c r="G227" s="121">
        <f>IF($D227="","",IFERROR(VLOOKUP($B227,Kraftvärmeprod!$B$1:$BX$549,MATCH(G$2,Kraftvärmeprod!$B$1:$VX$1,0),FALSE)/1,0)-IFERROR(VLOOKUP($B227,'Slutlig allokering kvv'!$B$2:$BX$549,MATCH(G$2,'Slutlig allokering kvv'!$B$1:$BX$1,0),FALSE)/1,0))</f>
        <v>6.0185000000000016E-2</v>
      </c>
      <c r="H227" s="121">
        <f>IF($D227="","",IFERROR(VLOOKUP($B227,Kraftvärmeprod!$B$1:$BX$549,MATCH(H$2,Kraftvärmeprod!$B$1:$VX$1,0),FALSE)/1,0)-IFERROR(VLOOKUP($B227,'Slutlig allokering kvv'!$B$2:$BX$549,MATCH(H$2,'Slutlig allokering kvv'!$B$1:$BX$1,0),FALSE)/1,0))</f>
        <v>0</v>
      </c>
      <c r="I227" s="121">
        <f>IF($D227="","",IFERROR(VLOOKUP($B227,Kraftvärmeprod!$B$1:$BX$549,MATCH(I$2,Kraftvärmeprod!$B$1:$VX$1,0),FALSE)/1,0)-IFERROR(VLOOKUP($B227,'Slutlig allokering kvv'!$B$2:$BX$549,MATCH(I$2,'Slutlig allokering kvv'!$B$1:$BX$1,0),FALSE)/1,0))</f>
        <v>0</v>
      </c>
      <c r="J227" s="121">
        <f>IF($D227="","",IFERROR(VLOOKUP($B227,Kraftvärmeprod!$B$1:$BX$549,MATCH(J$2,Kraftvärmeprod!$B$1:$VX$1,0),FALSE)/1,0)-IFERROR(VLOOKUP($B227,'Slutlig allokering kvv'!$B$2:$BX$549,MATCH(J$2,'Slutlig allokering kvv'!$B$1:$BX$1,0),FALSE)/1,0))</f>
        <v>0</v>
      </c>
      <c r="K227" s="121">
        <f>IF($D227="","",IFERROR(VLOOKUP($B227,Kraftvärmeprod!$B$1:$BX$549,MATCH(K$2,Kraftvärmeprod!$B$1:$VX$1,0),FALSE)/1,0)-IFERROR(VLOOKUP($B227,'Slutlig allokering kvv'!$B$2:$BX$549,MATCH(K$2,'Slutlig allokering kvv'!$B$1:$BX$1,0),FALSE)/1,0))</f>
        <v>0</v>
      </c>
      <c r="L227" s="121">
        <f>IF($D227="","",IFERROR(VLOOKUP($B227,Kraftvärmeprod!$B$1:$BX$549,MATCH(L$2,Kraftvärmeprod!$B$1:$VX$1,0),FALSE)/1,0)-IFERROR(VLOOKUP($B227,'Slutlig allokering kvv'!$B$2:$BX$549,MATCH(L$2,'Slutlig allokering kvv'!$B$1:$BX$1,0),FALSE)/1,0))</f>
        <v>0</v>
      </c>
      <c r="M227" s="121">
        <f>IF($D227="","",IFERROR(VLOOKUP($B227,Kraftvärmeprod!$B$1:$BX$549,MATCH(M$2,Kraftvärmeprod!$B$1:$VX$1,0),FALSE)/1,0)-IFERROR(VLOOKUP($B227,'Slutlig allokering kvv'!$B$2:$BX$549,MATCH(M$2,'Slutlig allokering kvv'!$B$1:$BX$1,0),FALSE)/1,0))</f>
        <v>13.56815095</v>
      </c>
      <c r="N227" s="121">
        <f>IF($D227="","",IFERROR(VLOOKUP($B227,Kraftvärmeprod!$B$1:$BX$549,MATCH(N$2,Kraftvärmeprod!$B$1:$VX$1,0),FALSE)/1,0)-IFERROR(VLOOKUP($B227,'Slutlig allokering kvv'!$B$2:$BX$549,MATCH(N$2,'Slutlig allokering kvv'!$B$1:$BX$1,0),FALSE)/1,0))</f>
        <v>0</v>
      </c>
      <c r="O227" s="121">
        <f>IF($D227="","",IFERROR(VLOOKUP($B227,Kraftvärmeprod!$B$1:$BX$549,MATCH(O$2,Kraftvärmeprod!$B$1:$VX$1,0),FALSE)/1,0)-IFERROR(VLOOKUP($B227,'Slutlig allokering kvv'!$B$2:$BX$549,MATCH(O$2,'Slutlig allokering kvv'!$B$1:$BX$1,0),FALSE)/1,0))</f>
        <v>25.197966050000005</v>
      </c>
      <c r="P227" s="121">
        <f>IF($D227="","",IFERROR(VLOOKUP($B227,Kraftvärmeprod!$B$1:$BX$549,MATCH(P$2,Kraftvärmeprod!$B$1:$VX$1,0),FALSE)/1,0)-IFERROR(VLOOKUP($B227,'Slutlig allokering kvv'!$B$2:$BX$549,MATCH(P$2,'Slutlig allokering kvv'!$B$1:$BX$1,0),FALSE)/1,0))</f>
        <v>0</v>
      </c>
      <c r="Q227" s="121">
        <f>IF($D227="","",IFERROR(VLOOKUP($B227,Kraftvärmeprod!$B$1:$BX$549,MATCH(Q$2,Kraftvärmeprod!$B$1:$VX$1,0),FALSE)/1,0)-IFERROR(VLOOKUP($B227,'Slutlig allokering kvv'!$B$2:$BX$549,MATCH(Q$2,'Slutlig allokering kvv'!$B$1:$BX$1,0),FALSE)/1,0))</f>
        <v>0</v>
      </c>
      <c r="R227" s="121">
        <f>IF($D227="","",IFERROR(VLOOKUP($B227,Kraftvärmeprod!$B$1:$BX$549,MATCH(R$2,Kraftvärmeprod!$B$1:$VX$1,0),FALSE)/1,0)-IFERROR(VLOOKUP($B227,'Slutlig allokering kvv'!$B$2:$BX$549,MATCH(R$2,'Slutlig allokering kvv'!$B$1:$BX$1,0),FALSE)/1,0))</f>
        <v>0</v>
      </c>
      <c r="S227" s="121">
        <f>IF($D227="","",IFERROR(VLOOKUP($B227,Kraftvärmeprod!$B$1:$BX$549,MATCH(S$2,Kraftvärmeprod!$B$1:$VX$1,0),FALSE)/1,0)-IFERROR(VLOOKUP($B227,'Slutlig allokering kvv'!$B$2:$BX$549,MATCH(S$2,'Slutlig allokering kvv'!$B$1:$BX$1,0),FALSE)/1,0))</f>
        <v>0.67419099999999998</v>
      </c>
      <c r="T227" s="121">
        <f>IF($D227="","",IFERROR(VLOOKUP($B227,Kraftvärmeprod!$B$1:$BX$549,MATCH(T$2,Kraftvärmeprod!$B$1:$VX$1,0),FALSE)/1,0)-IFERROR(VLOOKUP($B227,'Slutlig allokering kvv'!$B$2:$BX$549,MATCH(T$2,'Slutlig allokering kvv'!$B$1:$BX$1,0),FALSE)/1,0))</f>
        <v>0</v>
      </c>
      <c r="U227" s="121">
        <f>IF($D227="","",IFERROR(VLOOKUP($B227,Kraftvärmeprod!$B$1:$BX$549,MATCH(U$2,Kraftvärmeprod!$B$1:$VX$1,0),FALSE)/1,0)-IFERROR(VLOOKUP($B227,'Slutlig allokering kvv'!$B$2:$BX$549,MATCH(U$2,'Slutlig allokering kvv'!$B$1:$BX$1,0),FALSE)/1,0))</f>
        <v>0</v>
      </c>
      <c r="V227" s="121">
        <f>IF($D227="","",IFERROR(VLOOKUP($B227,Kraftvärmeprod!$B$1:$BX$549,MATCH(V$2,Kraftvärmeprod!$B$1:$VX$1,0),FALSE)/1,0)-IFERROR(VLOOKUP($B227,'Slutlig allokering kvv'!$B$2:$BX$549,MATCH(V$2,'Slutlig allokering kvv'!$B$1:$BX$1,0),FALSE)/1,0))</f>
        <v>0</v>
      </c>
      <c r="W227" s="121">
        <f>IF($D227="","",IFERROR(VLOOKUP($B227,Kraftvärmeprod!$B$1:$BX$549,MATCH(W$2,Kraftvärmeprod!$B$1:$VX$1,0),FALSE)/1,0)-IFERROR(VLOOKUP($B227,'Slutlig allokering kvv'!$B$2:$BX$549,MATCH(W$2,'Slutlig allokering kvv'!$B$1:$BX$1,0),FALSE)/1,0))</f>
        <v>0</v>
      </c>
      <c r="X227" s="121">
        <f>IF($D227="","",IFERROR(VLOOKUP($B227,Kraftvärmeprod!$B$1:$BX$549,MATCH(X$2,Kraftvärmeprod!$B$1:$VX$1,0),FALSE)/1,0)-IFERROR(VLOOKUP($B227,'Slutlig allokering kvv'!$B$2:$BX$549,MATCH(X$2,'Slutlig allokering kvv'!$B$1:$BX$1,0),FALSE)/1,0))</f>
        <v>0</v>
      </c>
      <c r="Y227" s="121">
        <f>IF($D227="","",IFERROR(VLOOKUP($B227,Kraftvärmeprod!$B$1:$BX$549,MATCH(Y$2,Kraftvärmeprod!$B$1:$VX$1,0),FALSE)/1,0)-IFERROR(VLOOKUP($B227,'Slutlig allokering kvv'!$B$2:$BX$549,MATCH(Y$2,'Slutlig allokering kvv'!$B$1:$BX$1,0),FALSE)/1,0))</f>
        <v>0</v>
      </c>
      <c r="Z227" s="121">
        <f>IF($D227="","",IFERROR(VLOOKUP($B227,Kraftvärmeprod!$B$1:$BX$549,MATCH(Z$2,Kraftvärmeprod!$B$1:$VX$1,0),FALSE)/1,0)-IFERROR(VLOOKUP($B227,'Slutlig allokering kvv'!$B$2:$BX$549,MATCH(Z$2,'Slutlig allokering kvv'!$B$1:$BX$1,0),FALSE)/1,0))</f>
        <v>0</v>
      </c>
      <c r="AA227" s="121">
        <f>IF($D227="","",IFERROR(VLOOKUP($B227,Kraftvärmeprod!$B$1:$BX$549,MATCH(AA$2,Kraftvärmeprod!$B$1:$VX$1,0),FALSE)/1,0)-IFERROR(VLOOKUP($B227,'Slutlig allokering kvv'!$B$2:$BX$549,MATCH(AA$2,'Slutlig allokering kvv'!$B$1:$BX$1,0),FALSE)/1,0))</f>
        <v>0</v>
      </c>
      <c r="AB227" s="121">
        <f>IF($D227="","",IFERROR(VLOOKUP($B227,Kraftvärmeprod!$B$1:$BX$549,MATCH(AB$2,Kraftvärmeprod!$B$1:$VX$1,0),FALSE)/1,0)-IFERROR(VLOOKUP($B227,'Slutlig allokering kvv'!$B$2:$BX$549,MATCH(AB$2,'Slutlig allokering kvv'!$B$1:$BX$1,0),FALSE)/1,0))</f>
        <v>0</v>
      </c>
      <c r="AC227" s="121">
        <f>IF($D227="","",IFERROR(VLOOKUP($B227,Kraftvärmeprod!$B$1:$BX$549,MATCH(AC$2,Kraftvärmeprod!$B$1:$VX$1,0),FALSE)/1,0)-IFERROR(VLOOKUP($B227,'Slutlig allokering kvv'!$B$2:$BX$549,MATCH(AC$2,'Slutlig allokering kvv'!$B$1:$BX$1,0),FALSE)/1,0))</f>
        <v>0</v>
      </c>
      <c r="AD227" s="121">
        <f>IF($D227="","",IFERROR(VLOOKUP($B227,Kraftvärmeprod!$B$1:$BX$549,MATCH(AD$2,Kraftvärmeprod!$B$1:$VX$1,0),FALSE)/1,0)-IFERROR(VLOOKUP($B227,'Slutlig allokering kvv'!$B$2:$BX$549,MATCH(AD$2,'Slutlig allokering kvv'!$B$1:$BX$1,0),FALSE)/1,0))</f>
        <v>0</v>
      </c>
      <c r="AE227" s="121">
        <f>IF($D227="","",IFERROR(VLOOKUP($B227,Miljö!$B$1:$E$550,MATCH("Hjälpel kraftvärme (GWh)",Miljö!$B$1:$E$1,0),FALSE)/1,0)-IFERROR(VLOOKUP($B227,'Slutlig allokering kvv'!$B$2:$BX$549,MATCH(AE$2,'Slutlig allokering kvv'!$B$1:$BX$1,0),FALSE)/1,0))</f>
        <v>1.6486986999999997</v>
      </c>
      <c r="AI227" s="121">
        <f t="shared" si="12"/>
        <v>39.500493000000006</v>
      </c>
      <c r="AK227" s="121">
        <f>IFERROR(VLOOKUP($B227,'Slutlig allokering kvv'!$B$2:$AX$549,MATCH("Summa slutlig allokerad tillförd energi (utan hjälpel och rökgaskondensering):",'Slutlig allokering kvv'!$B$1:$AX$1,0),FALSE)/1,"")</f>
        <v>67.916544999999999</v>
      </c>
      <c r="AM227" s="172">
        <f>IFERROR(1-VLOOKUP($B227,'Slutlig allokering kvv'!$B$2:$AX$549,MATCH("Andel av bränsle i kvv som allokerats till värme, exklusive rökgaskondensering och hjälpel",'Slutlig allokering kvv'!$B$1:$AX$1,0),FALSE),"")</f>
        <v>0.36773023847483122</v>
      </c>
      <c r="AO227" s="172">
        <f t="shared" si="13"/>
        <v>0.36773023847483122</v>
      </c>
      <c r="AP227" s="173">
        <f t="shared" si="14"/>
        <v>0</v>
      </c>
      <c r="AR227" s="172">
        <f t="shared" si="15"/>
        <v>0.43693830321337757</v>
      </c>
    </row>
    <row r="228" spans="1:44" x14ac:dyDescent="0.25">
      <c r="A228" s="171" t="str">
        <f>'Miljövärden för publ företag'!B230</f>
        <v>Skellefteå Kraft AB</v>
      </c>
      <c r="B228" s="171" t="str">
        <f>'Miljövärden för publ företag'!C230</f>
        <v>Norsjö</v>
      </c>
      <c r="C228" s="121" t="str">
        <f>IFERROR(VLOOKUP($B228,Kraftvärmeprod!$B$1:$AH$478,MATCH(C$2,Kraftvärmeprod!$B$1:$AG$1,0),FALSE)/1,"")</f>
        <v/>
      </c>
      <c r="D228" s="121" t="str">
        <f>IFERROR(VLOOKUP($B228,Kraftvärmeprod!$B$1:$AH$478,MATCH(D$2,Kraftvärmeprod!$B$1:$AG$1,0),FALSE)/1,"")</f>
        <v/>
      </c>
      <c r="F228" s="121" t="str">
        <f>IF($D228="","",IFERROR(VLOOKUP($B228,Kraftvärmeprod!$B$1:$BX$549,MATCH(F$2,Kraftvärmeprod!$B$1:$VX$1,0),FALSE)/1,0)-IFERROR(VLOOKUP($B228,'Slutlig allokering kvv'!$B$2:$BX$549,MATCH(F$2,'Slutlig allokering kvv'!$B$1:$BX$1,0),FALSE)/1,0))</f>
        <v/>
      </c>
      <c r="G228" s="121" t="str">
        <f>IF($D228="","",IFERROR(VLOOKUP($B228,Kraftvärmeprod!$B$1:$BX$549,MATCH(G$2,Kraftvärmeprod!$B$1:$VX$1,0),FALSE)/1,0)-IFERROR(VLOOKUP($B228,'Slutlig allokering kvv'!$B$2:$BX$549,MATCH(G$2,'Slutlig allokering kvv'!$B$1:$BX$1,0),FALSE)/1,0))</f>
        <v/>
      </c>
      <c r="H228" s="121" t="str">
        <f>IF($D228="","",IFERROR(VLOOKUP($B228,Kraftvärmeprod!$B$1:$BX$549,MATCH(H$2,Kraftvärmeprod!$B$1:$VX$1,0),FALSE)/1,0)-IFERROR(VLOOKUP($B228,'Slutlig allokering kvv'!$B$2:$BX$549,MATCH(H$2,'Slutlig allokering kvv'!$B$1:$BX$1,0),FALSE)/1,0))</f>
        <v/>
      </c>
      <c r="I228" s="121" t="str">
        <f>IF($D228="","",IFERROR(VLOOKUP($B228,Kraftvärmeprod!$B$1:$BX$549,MATCH(I$2,Kraftvärmeprod!$B$1:$VX$1,0),FALSE)/1,0)-IFERROR(VLOOKUP($B228,'Slutlig allokering kvv'!$B$2:$BX$549,MATCH(I$2,'Slutlig allokering kvv'!$B$1:$BX$1,0),FALSE)/1,0))</f>
        <v/>
      </c>
      <c r="J228" s="121" t="str">
        <f>IF($D228="","",IFERROR(VLOOKUP($B228,Kraftvärmeprod!$B$1:$BX$549,MATCH(J$2,Kraftvärmeprod!$B$1:$VX$1,0),FALSE)/1,0)-IFERROR(VLOOKUP($B228,'Slutlig allokering kvv'!$B$2:$BX$549,MATCH(J$2,'Slutlig allokering kvv'!$B$1:$BX$1,0),FALSE)/1,0))</f>
        <v/>
      </c>
      <c r="K228" s="121" t="str">
        <f>IF($D228="","",IFERROR(VLOOKUP($B228,Kraftvärmeprod!$B$1:$BX$549,MATCH(K$2,Kraftvärmeprod!$B$1:$VX$1,0),FALSE)/1,0)-IFERROR(VLOOKUP($B228,'Slutlig allokering kvv'!$B$2:$BX$549,MATCH(K$2,'Slutlig allokering kvv'!$B$1:$BX$1,0),FALSE)/1,0))</f>
        <v/>
      </c>
      <c r="L228" s="121" t="str">
        <f>IF($D228="","",IFERROR(VLOOKUP($B228,Kraftvärmeprod!$B$1:$BX$549,MATCH(L$2,Kraftvärmeprod!$B$1:$VX$1,0),FALSE)/1,0)-IFERROR(VLOOKUP($B228,'Slutlig allokering kvv'!$B$2:$BX$549,MATCH(L$2,'Slutlig allokering kvv'!$B$1:$BX$1,0),FALSE)/1,0))</f>
        <v/>
      </c>
      <c r="M228" s="121" t="str">
        <f>IF($D228="","",IFERROR(VLOOKUP($B228,Kraftvärmeprod!$B$1:$BX$549,MATCH(M$2,Kraftvärmeprod!$B$1:$VX$1,0),FALSE)/1,0)-IFERROR(VLOOKUP($B228,'Slutlig allokering kvv'!$B$2:$BX$549,MATCH(M$2,'Slutlig allokering kvv'!$B$1:$BX$1,0),FALSE)/1,0))</f>
        <v/>
      </c>
      <c r="N228" s="121" t="str">
        <f>IF($D228="","",IFERROR(VLOOKUP($B228,Kraftvärmeprod!$B$1:$BX$549,MATCH(N$2,Kraftvärmeprod!$B$1:$VX$1,0),FALSE)/1,0)-IFERROR(VLOOKUP($B228,'Slutlig allokering kvv'!$B$2:$BX$549,MATCH(N$2,'Slutlig allokering kvv'!$B$1:$BX$1,0),FALSE)/1,0))</f>
        <v/>
      </c>
      <c r="O228" s="121" t="str">
        <f>IF($D228="","",IFERROR(VLOOKUP($B228,Kraftvärmeprod!$B$1:$BX$549,MATCH(O$2,Kraftvärmeprod!$B$1:$VX$1,0),FALSE)/1,0)-IFERROR(VLOOKUP($B228,'Slutlig allokering kvv'!$B$2:$BX$549,MATCH(O$2,'Slutlig allokering kvv'!$B$1:$BX$1,0),FALSE)/1,0))</f>
        <v/>
      </c>
      <c r="P228" s="121" t="str">
        <f>IF($D228="","",IFERROR(VLOOKUP($B228,Kraftvärmeprod!$B$1:$BX$549,MATCH(P$2,Kraftvärmeprod!$B$1:$VX$1,0),FALSE)/1,0)-IFERROR(VLOOKUP($B228,'Slutlig allokering kvv'!$B$2:$BX$549,MATCH(P$2,'Slutlig allokering kvv'!$B$1:$BX$1,0),FALSE)/1,0))</f>
        <v/>
      </c>
      <c r="Q228" s="121" t="str">
        <f>IF($D228="","",IFERROR(VLOOKUP($B228,Kraftvärmeprod!$B$1:$BX$549,MATCH(Q$2,Kraftvärmeprod!$B$1:$VX$1,0),FALSE)/1,0)-IFERROR(VLOOKUP($B228,'Slutlig allokering kvv'!$B$2:$BX$549,MATCH(Q$2,'Slutlig allokering kvv'!$B$1:$BX$1,0),FALSE)/1,0))</f>
        <v/>
      </c>
      <c r="R228" s="121" t="str">
        <f>IF($D228="","",IFERROR(VLOOKUP($B228,Kraftvärmeprod!$B$1:$BX$549,MATCH(R$2,Kraftvärmeprod!$B$1:$VX$1,0),FALSE)/1,0)-IFERROR(VLOOKUP($B228,'Slutlig allokering kvv'!$B$2:$BX$549,MATCH(R$2,'Slutlig allokering kvv'!$B$1:$BX$1,0),FALSE)/1,0))</f>
        <v/>
      </c>
      <c r="S228" s="121" t="str">
        <f>IF($D228="","",IFERROR(VLOOKUP($B228,Kraftvärmeprod!$B$1:$BX$549,MATCH(S$2,Kraftvärmeprod!$B$1:$VX$1,0),FALSE)/1,0)-IFERROR(VLOOKUP($B228,'Slutlig allokering kvv'!$B$2:$BX$549,MATCH(S$2,'Slutlig allokering kvv'!$B$1:$BX$1,0),FALSE)/1,0))</f>
        <v/>
      </c>
      <c r="T228" s="121" t="str">
        <f>IF($D228="","",IFERROR(VLOOKUP($B228,Kraftvärmeprod!$B$1:$BX$549,MATCH(T$2,Kraftvärmeprod!$B$1:$VX$1,0),FALSE)/1,0)-IFERROR(VLOOKUP($B228,'Slutlig allokering kvv'!$B$2:$BX$549,MATCH(T$2,'Slutlig allokering kvv'!$B$1:$BX$1,0),FALSE)/1,0))</f>
        <v/>
      </c>
      <c r="U228" s="121" t="str">
        <f>IF($D228="","",IFERROR(VLOOKUP($B228,Kraftvärmeprod!$B$1:$BX$549,MATCH(U$2,Kraftvärmeprod!$B$1:$VX$1,0),FALSE)/1,0)-IFERROR(VLOOKUP($B228,'Slutlig allokering kvv'!$B$2:$BX$549,MATCH(U$2,'Slutlig allokering kvv'!$B$1:$BX$1,0),FALSE)/1,0))</f>
        <v/>
      </c>
      <c r="V228" s="121" t="str">
        <f>IF($D228="","",IFERROR(VLOOKUP($B228,Kraftvärmeprod!$B$1:$BX$549,MATCH(V$2,Kraftvärmeprod!$B$1:$VX$1,0),FALSE)/1,0)-IFERROR(VLOOKUP($B228,'Slutlig allokering kvv'!$B$2:$BX$549,MATCH(V$2,'Slutlig allokering kvv'!$B$1:$BX$1,0),FALSE)/1,0))</f>
        <v/>
      </c>
      <c r="W228" s="121" t="str">
        <f>IF($D228="","",IFERROR(VLOOKUP($B228,Kraftvärmeprod!$B$1:$BX$549,MATCH(W$2,Kraftvärmeprod!$B$1:$VX$1,0),FALSE)/1,0)-IFERROR(VLOOKUP($B228,'Slutlig allokering kvv'!$B$2:$BX$549,MATCH(W$2,'Slutlig allokering kvv'!$B$1:$BX$1,0),FALSE)/1,0))</f>
        <v/>
      </c>
      <c r="X228" s="121" t="str">
        <f>IF($D228="","",IFERROR(VLOOKUP($B228,Kraftvärmeprod!$B$1:$BX$549,MATCH(X$2,Kraftvärmeprod!$B$1:$VX$1,0),FALSE)/1,0)-IFERROR(VLOOKUP($B228,'Slutlig allokering kvv'!$B$2:$BX$549,MATCH(X$2,'Slutlig allokering kvv'!$B$1:$BX$1,0),FALSE)/1,0))</f>
        <v/>
      </c>
      <c r="Y228" s="121" t="str">
        <f>IF($D228="","",IFERROR(VLOOKUP($B228,Kraftvärmeprod!$B$1:$BX$549,MATCH(Y$2,Kraftvärmeprod!$B$1:$VX$1,0),FALSE)/1,0)-IFERROR(VLOOKUP($B228,'Slutlig allokering kvv'!$B$2:$BX$549,MATCH(Y$2,'Slutlig allokering kvv'!$B$1:$BX$1,0),FALSE)/1,0))</f>
        <v/>
      </c>
      <c r="Z228" s="121" t="str">
        <f>IF($D228="","",IFERROR(VLOOKUP($B228,Kraftvärmeprod!$B$1:$BX$549,MATCH(Z$2,Kraftvärmeprod!$B$1:$VX$1,0),FALSE)/1,0)-IFERROR(VLOOKUP($B228,'Slutlig allokering kvv'!$B$2:$BX$549,MATCH(Z$2,'Slutlig allokering kvv'!$B$1:$BX$1,0),FALSE)/1,0))</f>
        <v/>
      </c>
      <c r="AA228" s="121" t="str">
        <f>IF($D228="","",IFERROR(VLOOKUP($B228,Kraftvärmeprod!$B$1:$BX$549,MATCH(AA$2,Kraftvärmeprod!$B$1:$VX$1,0),FALSE)/1,0)-IFERROR(VLOOKUP($B228,'Slutlig allokering kvv'!$B$2:$BX$549,MATCH(AA$2,'Slutlig allokering kvv'!$B$1:$BX$1,0),FALSE)/1,0))</f>
        <v/>
      </c>
      <c r="AB228" s="121" t="str">
        <f>IF($D228="","",IFERROR(VLOOKUP($B228,Kraftvärmeprod!$B$1:$BX$549,MATCH(AB$2,Kraftvärmeprod!$B$1:$VX$1,0),FALSE)/1,0)-IFERROR(VLOOKUP($B228,'Slutlig allokering kvv'!$B$2:$BX$549,MATCH(AB$2,'Slutlig allokering kvv'!$B$1:$BX$1,0),FALSE)/1,0))</f>
        <v/>
      </c>
      <c r="AC228" s="121" t="str">
        <f>IF($D228="","",IFERROR(VLOOKUP($B228,Kraftvärmeprod!$B$1:$BX$549,MATCH(AC$2,Kraftvärmeprod!$B$1:$VX$1,0),FALSE)/1,0)-IFERROR(VLOOKUP($B228,'Slutlig allokering kvv'!$B$2:$BX$549,MATCH(AC$2,'Slutlig allokering kvv'!$B$1:$BX$1,0),FALSE)/1,0))</f>
        <v/>
      </c>
      <c r="AD228" s="121" t="str">
        <f>IF($D228="","",IFERROR(VLOOKUP($B228,Kraftvärmeprod!$B$1:$BX$549,MATCH(AD$2,Kraftvärmeprod!$B$1:$VX$1,0),FALSE)/1,0)-IFERROR(VLOOKUP($B228,'Slutlig allokering kvv'!$B$2:$BX$549,MATCH(AD$2,'Slutlig allokering kvv'!$B$1:$BX$1,0),FALSE)/1,0))</f>
        <v/>
      </c>
      <c r="AE228" s="121" t="str">
        <f>IF($D228="","",IFERROR(VLOOKUP($B228,Miljö!$B$1:$E$550,MATCH("Hjälpel kraftvärme (GWh)",Miljö!$B$1:$E$1,0),FALSE)/1,0)-IFERROR(VLOOKUP($B228,'Slutlig allokering kvv'!$B$2:$BX$549,MATCH(AE$2,'Slutlig allokering kvv'!$B$1:$BX$1,0),FALSE)/1,0))</f>
        <v/>
      </c>
      <c r="AI228" s="121">
        <f t="shared" si="12"/>
        <v>0</v>
      </c>
      <c r="AK228" s="121">
        <f>IFERROR(VLOOKUP($B228,'Slutlig allokering kvv'!$B$2:$AX$549,MATCH("Summa slutlig allokerad tillförd energi (utan hjälpel och rökgaskondensering):",'Slutlig allokering kvv'!$B$1:$AX$1,0),FALSE)/1,"")</f>
        <v>0</v>
      </c>
      <c r="AM228" s="172" t="str">
        <f>IFERROR(1-VLOOKUP($B228,'Slutlig allokering kvv'!$B$2:$AX$549,MATCH("Andel av bränsle i kvv som allokerats till värme, exklusive rökgaskondensering och hjälpel",'Slutlig allokering kvv'!$B$1:$AX$1,0),FALSE),"")</f>
        <v/>
      </c>
      <c r="AO228" s="172" t="str">
        <f t="shared" si="13"/>
        <v/>
      </c>
      <c r="AP228" s="173" t="str">
        <f t="shared" si="14"/>
        <v/>
      </c>
      <c r="AR228" s="172" t="str">
        <f t="shared" si="15"/>
        <v/>
      </c>
    </row>
    <row r="229" spans="1:44" x14ac:dyDescent="0.25">
      <c r="A229" s="171" t="str">
        <f>'Miljövärden för publ företag'!B231</f>
        <v>Skellefteå Kraft AB</v>
      </c>
      <c r="B229" s="171" t="str">
        <f>'Miljövärden för publ företag'!C231</f>
        <v>Robertsfors</v>
      </c>
      <c r="C229" s="121" t="str">
        <f>IFERROR(VLOOKUP($B229,Kraftvärmeprod!$B$1:$AH$478,MATCH(C$2,Kraftvärmeprod!$B$1:$AG$1,0),FALSE)/1,"")</f>
        <v/>
      </c>
      <c r="D229" s="121" t="str">
        <f>IFERROR(VLOOKUP($B229,Kraftvärmeprod!$B$1:$AH$478,MATCH(D$2,Kraftvärmeprod!$B$1:$AG$1,0),FALSE)/1,"")</f>
        <v/>
      </c>
      <c r="F229" s="121" t="str">
        <f>IF($D229="","",IFERROR(VLOOKUP($B229,Kraftvärmeprod!$B$1:$BX$549,MATCH(F$2,Kraftvärmeprod!$B$1:$VX$1,0),FALSE)/1,0)-IFERROR(VLOOKUP($B229,'Slutlig allokering kvv'!$B$2:$BX$549,MATCH(F$2,'Slutlig allokering kvv'!$B$1:$BX$1,0),FALSE)/1,0))</f>
        <v/>
      </c>
      <c r="G229" s="121" t="str">
        <f>IF($D229="","",IFERROR(VLOOKUP($B229,Kraftvärmeprod!$B$1:$BX$549,MATCH(G$2,Kraftvärmeprod!$B$1:$VX$1,0),FALSE)/1,0)-IFERROR(VLOOKUP($B229,'Slutlig allokering kvv'!$B$2:$BX$549,MATCH(G$2,'Slutlig allokering kvv'!$B$1:$BX$1,0),FALSE)/1,0))</f>
        <v/>
      </c>
      <c r="H229" s="121" t="str">
        <f>IF($D229="","",IFERROR(VLOOKUP($B229,Kraftvärmeprod!$B$1:$BX$549,MATCH(H$2,Kraftvärmeprod!$B$1:$VX$1,0),FALSE)/1,0)-IFERROR(VLOOKUP($B229,'Slutlig allokering kvv'!$B$2:$BX$549,MATCH(H$2,'Slutlig allokering kvv'!$B$1:$BX$1,0),FALSE)/1,0))</f>
        <v/>
      </c>
      <c r="I229" s="121" t="str">
        <f>IF($D229="","",IFERROR(VLOOKUP($B229,Kraftvärmeprod!$B$1:$BX$549,MATCH(I$2,Kraftvärmeprod!$B$1:$VX$1,0),FALSE)/1,0)-IFERROR(VLOOKUP($B229,'Slutlig allokering kvv'!$B$2:$BX$549,MATCH(I$2,'Slutlig allokering kvv'!$B$1:$BX$1,0),FALSE)/1,0))</f>
        <v/>
      </c>
      <c r="J229" s="121" t="str">
        <f>IF($D229="","",IFERROR(VLOOKUP($B229,Kraftvärmeprod!$B$1:$BX$549,MATCH(J$2,Kraftvärmeprod!$B$1:$VX$1,0),FALSE)/1,0)-IFERROR(VLOOKUP($B229,'Slutlig allokering kvv'!$B$2:$BX$549,MATCH(J$2,'Slutlig allokering kvv'!$B$1:$BX$1,0),FALSE)/1,0))</f>
        <v/>
      </c>
      <c r="K229" s="121" t="str">
        <f>IF($D229="","",IFERROR(VLOOKUP($B229,Kraftvärmeprod!$B$1:$BX$549,MATCH(K$2,Kraftvärmeprod!$B$1:$VX$1,0),FALSE)/1,0)-IFERROR(VLOOKUP($B229,'Slutlig allokering kvv'!$B$2:$BX$549,MATCH(K$2,'Slutlig allokering kvv'!$B$1:$BX$1,0),FALSE)/1,0))</f>
        <v/>
      </c>
      <c r="L229" s="121" t="str">
        <f>IF($D229="","",IFERROR(VLOOKUP($B229,Kraftvärmeprod!$B$1:$BX$549,MATCH(L$2,Kraftvärmeprod!$B$1:$VX$1,0),FALSE)/1,0)-IFERROR(VLOOKUP($B229,'Slutlig allokering kvv'!$B$2:$BX$549,MATCH(L$2,'Slutlig allokering kvv'!$B$1:$BX$1,0),FALSE)/1,0))</f>
        <v/>
      </c>
      <c r="M229" s="121" t="str">
        <f>IF($D229="","",IFERROR(VLOOKUP($B229,Kraftvärmeprod!$B$1:$BX$549,MATCH(M$2,Kraftvärmeprod!$B$1:$VX$1,0),FALSE)/1,0)-IFERROR(VLOOKUP($B229,'Slutlig allokering kvv'!$B$2:$BX$549,MATCH(M$2,'Slutlig allokering kvv'!$B$1:$BX$1,0),FALSE)/1,0))</f>
        <v/>
      </c>
      <c r="N229" s="121" t="str">
        <f>IF($D229="","",IFERROR(VLOOKUP($B229,Kraftvärmeprod!$B$1:$BX$549,MATCH(N$2,Kraftvärmeprod!$B$1:$VX$1,0),FALSE)/1,0)-IFERROR(VLOOKUP($B229,'Slutlig allokering kvv'!$B$2:$BX$549,MATCH(N$2,'Slutlig allokering kvv'!$B$1:$BX$1,0),FALSE)/1,0))</f>
        <v/>
      </c>
      <c r="O229" s="121" t="str">
        <f>IF($D229="","",IFERROR(VLOOKUP($B229,Kraftvärmeprod!$B$1:$BX$549,MATCH(O$2,Kraftvärmeprod!$B$1:$VX$1,0),FALSE)/1,0)-IFERROR(VLOOKUP($B229,'Slutlig allokering kvv'!$B$2:$BX$549,MATCH(O$2,'Slutlig allokering kvv'!$B$1:$BX$1,0),FALSE)/1,0))</f>
        <v/>
      </c>
      <c r="P229" s="121" t="str">
        <f>IF($D229="","",IFERROR(VLOOKUP($B229,Kraftvärmeprod!$B$1:$BX$549,MATCH(P$2,Kraftvärmeprod!$B$1:$VX$1,0),FALSE)/1,0)-IFERROR(VLOOKUP($B229,'Slutlig allokering kvv'!$B$2:$BX$549,MATCH(P$2,'Slutlig allokering kvv'!$B$1:$BX$1,0),FALSE)/1,0))</f>
        <v/>
      </c>
      <c r="Q229" s="121" t="str">
        <f>IF($D229="","",IFERROR(VLOOKUP($B229,Kraftvärmeprod!$B$1:$BX$549,MATCH(Q$2,Kraftvärmeprod!$B$1:$VX$1,0),FALSE)/1,0)-IFERROR(VLOOKUP($B229,'Slutlig allokering kvv'!$B$2:$BX$549,MATCH(Q$2,'Slutlig allokering kvv'!$B$1:$BX$1,0),FALSE)/1,0))</f>
        <v/>
      </c>
      <c r="R229" s="121" t="str">
        <f>IF($D229="","",IFERROR(VLOOKUP($B229,Kraftvärmeprod!$B$1:$BX$549,MATCH(R$2,Kraftvärmeprod!$B$1:$VX$1,0),FALSE)/1,0)-IFERROR(VLOOKUP($B229,'Slutlig allokering kvv'!$B$2:$BX$549,MATCH(R$2,'Slutlig allokering kvv'!$B$1:$BX$1,0),FALSE)/1,0))</f>
        <v/>
      </c>
      <c r="S229" s="121" t="str">
        <f>IF($D229="","",IFERROR(VLOOKUP($B229,Kraftvärmeprod!$B$1:$BX$549,MATCH(S$2,Kraftvärmeprod!$B$1:$VX$1,0),FALSE)/1,0)-IFERROR(VLOOKUP($B229,'Slutlig allokering kvv'!$B$2:$BX$549,MATCH(S$2,'Slutlig allokering kvv'!$B$1:$BX$1,0),FALSE)/1,0))</f>
        <v/>
      </c>
      <c r="T229" s="121" t="str">
        <f>IF($D229="","",IFERROR(VLOOKUP($B229,Kraftvärmeprod!$B$1:$BX$549,MATCH(T$2,Kraftvärmeprod!$B$1:$VX$1,0),FALSE)/1,0)-IFERROR(VLOOKUP($B229,'Slutlig allokering kvv'!$B$2:$BX$549,MATCH(T$2,'Slutlig allokering kvv'!$B$1:$BX$1,0),FALSE)/1,0))</f>
        <v/>
      </c>
      <c r="U229" s="121" t="str">
        <f>IF($D229="","",IFERROR(VLOOKUP($B229,Kraftvärmeprod!$B$1:$BX$549,MATCH(U$2,Kraftvärmeprod!$B$1:$VX$1,0),FALSE)/1,0)-IFERROR(VLOOKUP($B229,'Slutlig allokering kvv'!$B$2:$BX$549,MATCH(U$2,'Slutlig allokering kvv'!$B$1:$BX$1,0),FALSE)/1,0))</f>
        <v/>
      </c>
      <c r="V229" s="121" t="str">
        <f>IF($D229="","",IFERROR(VLOOKUP($B229,Kraftvärmeprod!$B$1:$BX$549,MATCH(V$2,Kraftvärmeprod!$B$1:$VX$1,0),FALSE)/1,0)-IFERROR(VLOOKUP($B229,'Slutlig allokering kvv'!$B$2:$BX$549,MATCH(V$2,'Slutlig allokering kvv'!$B$1:$BX$1,0),FALSE)/1,0))</f>
        <v/>
      </c>
      <c r="W229" s="121" t="str">
        <f>IF($D229="","",IFERROR(VLOOKUP($B229,Kraftvärmeprod!$B$1:$BX$549,MATCH(W$2,Kraftvärmeprod!$B$1:$VX$1,0),FALSE)/1,0)-IFERROR(VLOOKUP($B229,'Slutlig allokering kvv'!$B$2:$BX$549,MATCH(W$2,'Slutlig allokering kvv'!$B$1:$BX$1,0),FALSE)/1,0))</f>
        <v/>
      </c>
      <c r="X229" s="121" t="str">
        <f>IF($D229="","",IFERROR(VLOOKUP($B229,Kraftvärmeprod!$B$1:$BX$549,MATCH(X$2,Kraftvärmeprod!$B$1:$VX$1,0),FALSE)/1,0)-IFERROR(VLOOKUP($B229,'Slutlig allokering kvv'!$B$2:$BX$549,MATCH(X$2,'Slutlig allokering kvv'!$B$1:$BX$1,0),FALSE)/1,0))</f>
        <v/>
      </c>
      <c r="Y229" s="121" t="str">
        <f>IF($D229="","",IFERROR(VLOOKUP($B229,Kraftvärmeprod!$B$1:$BX$549,MATCH(Y$2,Kraftvärmeprod!$B$1:$VX$1,0),FALSE)/1,0)-IFERROR(VLOOKUP($B229,'Slutlig allokering kvv'!$B$2:$BX$549,MATCH(Y$2,'Slutlig allokering kvv'!$B$1:$BX$1,0),FALSE)/1,0))</f>
        <v/>
      </c>
      <c r="Z229" s="121" t="str">
        <f>IF($D229="","",IFERROR(VLOOKUP($B229,Kraftvärmeprod!$B$1:$BX$549,MATCH(Z$2,Kraftvärmeprod!$B$1:$VX$1,0),FALSE)/1,0)-IFERROR(VLOOKUP($B229,'Slutlig allokering kvv'!$B$2:$BX$549,MATCH(Z$2,'Slutlig allokering kvv'!$B$1:$BX$1,0),FALSE)/1,0))</f>
        <v/>
      </c>
      <c r="AA229" s="121" t="str">
        <f>IF($D229="","",IFERROR(VLOOKUP($B229,Kraftvärmeprod!$B$1:$BX$549,MATCH(AA$2,Kraftvärmeprod!$B$1:$VX$1,0),FALSE)/1,0)-IFERROR(VLOOKUP($B229,'Slutlig allokering kvv'!$B$2:$BX$549,MATCH(AA$2,'Slutlig allokering kvv'!$B$1:$BX$1,0),FALSE)/1,0))</f>
        <v/>
      </c>
      <c r="AB229" s="121" t="str">
        <f>IF($D229="","",IFERROR(VLOOKUP($B229,Kraftvärmeprod!$B$1:$BX$549,MATCH(AB$2,Kraftvärmeprod!$B$1:$VX$1,0),FALSE)/1,0)-IFERROR(VLOOKUP($B229,'Slutlig allokering kvv'!$B$2:$BX$549,MATCH(AB$2,'Slutlig allokering kvv'!$B$1:$BX$1,0),FALSE)/1,0))</f>
        <v/>
      </c>
      <c r="AC229" s="121" t="str">
        <f>IF($D229="","",IFERROR(VLOOKUP($B229,Kraftvärmeprod!$B$1:$BX$549,MATCH(AC$2,Kraftvärmeprod!$B$1:$VX$1,0),FALSE)/1,0)-IFERROR(VLOOKUP($B229,'Slutlig allokering kvv'!$B$2:$BX$549,MATCH(AC$2,'Slutlig allokering kvv'!$B$1:$BX$1,0),FALSE)/1,0))</f>
        <v/>
      </c>
      <c r="AD229" s="121" t="str">
        <f>IF($D229="","",IFERROR(VLOOKUP($B229,Kraftvärmeprod!$B$1:$BX$549,MATCH(AD$2,Kraftvärmeprod!$B$1:$VX$1,0),FALSE)/1,0)-IFERROR(VLOOKUP($B229,'Slutlig allokering kvv'!$B$2:$BX$549,MATCH(AD$2,'Slutlig allokering kvv'!$B$1:$BX$1,0),FALSE)/1,0))</f>
        <v/>
      </c>
      <c r="AE229" s="121" t="str">
        <f>IF($D229="","",IFERROR(VLOOKUP($B229,Miljö!$B$1:$E$550,MATCH("Hjälpel kraftvärme (GWh)",Miljö!$B$1:$E$1,0),FALSE)/1,0)-IFERROR(VLOOKUP($B229,'Slutlig allokering kvv'!$B$2:$BX$549,MATCH(AE$2,'Slutlig allokering kvv'!$B$1:$BX$1,0),FALSE)/1,0))</f>
        <v/>
      </c>
      <c r="AI229" s="121">
        <f t="shared" si="12"/>
        <v>0</v>
      </c>
      <c r="AK229" s="121">
        <f>IFERROR(VLOOKUP($B229,'Slutlig allokering kvv'!$B$2:$AX$549,MATCH("Summa slutlig allokerad tillförd energi (utan hjälpel och rökgaskondensering):",'Slutlig allokering kvv'!$B$1:$AX$1,0),FALSE)/1,"")</f>
        <v>0</v>
      </c>
      <c r="AM229" s="172" t="str">
        <f>IFERROR(1-VLOOKUP($B229,'Slutlig allokering kvv'!$B$2:$AX$549,MATCH("Andel av bränsle i kvv som allokerats till värme, exklusive rökgaskondensering och hjälpel",'Slutlig allokering kvv'!$B$1:$AX$1,0),FALSE),"")</f>
        <v/>
      </c>
      <c r="AO229" s="172" t="str">
        <f t="shared" si="13"/>
        <v/>
      </c>
      <c r="AP229" s="173" t="str">
        <f t="shared" si="14"/>
        <v/>
      </c>
      <c r="AR229" s="172" t="str">
        <f t="shared" si="15"/>
        <v/>
      </c>
    </row>
    <row r="230" spans="1:44" x14ac:dyDescent="0.25">
      <c r="A230" s="171" t="str">
        <f>'Miljövärden för publ företag'!B232</f>
        <v>Skellefteå Kraft AB</v>
      </c>
      <c r="B230" s="171" t="str">
        <f>'Miljövärden för publ företag'!C232</f>
        <v>Skellefteå</v>
      </c>
      <c r="C230" s="121">
        <f>IFERROR(VLOOKUP($B230,Kraftvärmeprod!$B$1:$AH$478,MATCH(C$2,Kraftvärmeprod!$B$1:$AG$1,0),FALSE)/1,"")</f>
        <v>239.15712500000001</v>
      </c>
      <c r="D230" s="121">
        <f>IFERROR(VLOOKUP($B230,Kraftvärmeprod!$B$1:$AH$478,MATCH(D$2,Kraftvärmeprod!$B$1:$AG$1,0),FALSE)/1,"")</f>
        <v>103.43904000000001</v>
      </c>
      <c r="F230" s="121">
        <f>IF($D230="","",IFERROR(VLOOKUP($B230,Kraftvärmeprod!$B$1:$BX$549,MATCH(F$2,Kraftvärmeprod!$B$1:$VX$1,0),FALSE)/1,0)-IFERROR(VLOOKUP($B230,'Slutlig allokering kvv'!$B$2:$BX$549,MATCH(F$2,'Slutlig allokering kvv'!$B$1:$BX$1,0),FALSE)/1,0))</f>
        <v>0</v>
      </c>
      <c r="G230" s="121">
        <f>IF($D230="","",IFERROR(VLOOKUP($B230,Kraftvärmeprod!$B$1:$BX$549,MATCH(G$2,Kraftvärmeprod!$B$1:$VX$1,0),FALSE)/1,0)-IFERROR(VLOOKUP($B230,'Slutlig allokering kvv'!$B$2:$BX$549,MATCH(G$2,'Slutlig allokering kvv'!$B$1:$BX$1,0),FALSE)/1,0))</f>
        <v>0.32225199999999998</v>
      </c>
      <c r="H230" s="121">
        <f>IF($D230="","",IFERROR(VLOOKUP($B230,Kraftvärmeprod!$B$1:$BX$549,MATCH(H$2,Kraftvärmeprod!$B$1:$VX$1,0),FALSE)/1,0)-IFERROR(VLOOKUP($B230,'Slutlig allokering kvv'!$B$2:$BX$549,MATCH(H$2,'Slutlig allokering kvv'!$B$1:$BX$1,0),FALSE)/1,0))</f>
        <v>0</v>
      </c>
      <c r="I230" s="121">
        <f>IF($D230="","",IFERROR(VLOOKUP($B230,Kraftvärmeprod!$B$1:$BX$549,MATCH(I$2,Kraftvärmeprod!$B$1:$VX$1,0),FALSE)/1,0)-IFERROR(VLOOKUP($B230,'Slutlig allokering kvv'!$B$2:$BX$549,MATCH(I$2,'Slutlig allokering kvv'!$B$1:$BX$1,0),FALSE)/1,0))</f>
        <v>0</v>
      </c>
      <c r="J230" s="121">
        <f>IF($D230="","",IFERROR(VLOOKUP($B230,Kraftvärmeprod!$B$1:$BX$549,MATCH(J$2,Kraftvärmeprod!$B$1:$VX$1,0),FALSE)/1,0)-IFERROR(VLOOKUP($B230,'Slutlig allokering kvv'!$B$2:$BX$549,MATCH(J$2,'Slutlig allokering kvv'!$B$1:$BX$1,0),FALSE)/1,0))</f>
        <v>0</v>
      </c>
      <c r="K230" s="121">
        <f>IF($D230="","",IFERROR(VLOOKUP($B230,Kraftvärmeprod!$B$1:$BX$549,MATCH(K$2,Kraftvärmeprod!$B$1:$VX$1,0),FALSE)/1,0)-IFERROR(VLOOKUP($B230,'Slutlig allokering kvv'!$B$2:$BX$549,MATCH(K$2,'Slutlig allokering kvv'!$B$1:$BX$1,0),FALSE)/1,0))</f>
        <v>0</v>
      </c>
      <c r="L230" s="121">
        <f>IF($D230="","",IFERROR(VLOOKUP($B230,Kraftvärmeprod!$B$1:$BX$549,MATCH(L$2,Kraftvärmeprod!$B$1:$VX$1,0),FALSE)/1,0)-IFERROR(VLOOKUP($B230,'Slutlig allokering kvv'!$B$2:$BX$549,MATCH(L$2,'Slutlig allokering kvv'!$B$1:$BX$1,0),FALSE)/1,0))</f>
        <v>37.535903099999999</v>
      </c>
      <c r="M230" s="121">
        <f>IF($D230="","",IFERROR(VLOOKUP($B230,Kraftvärmeprod!$B$1:$BX$549,MATCH(M$2,Kraftvärmeprod!$B$1:$VX$1,0),FALSE)/1,0)-IFERROR(VLOOKUP($B230,'Slutlig allokering kvv'!$B$2:$BX$549,MATCH(M$2,'Slutlig allokering kvv'!$B$1:$BX$1,0),FALSE)/1,0))</f>
        <v>56.796884799999994</v>
      </c>
      <c r="N230" s="121">
        <f>IF($D230="","",IFERROR(VLOOKUP($B230,Kraftvärmeprod!$B$1:$BX$549,MATCH(N$2,Kraftvärmeprod!$B$1:$VX$1,0),FALSE)/1,0)-IFERROR(VLOOKUP($B230,'Slutlig allokering kvv'!$B$2:$BX$549,MATCH(N$2,'Slutlig allokering kvv'!$B$1:$BX$1,0),FALSE)/1,0))</f>
        <v>12.053393310000001</v>
      </c>
      <c r="O230" s="121">
        <f>IF($D230="","",IFERROR(VLOOKUP($B230,Kraftvärmeprod!$B$1:$BX$549,MATCH(O$2,Kraftvärmeprod!$B$1:$VX$1,0),FALSE)/1,0)-IFERROR(VLOOKUP($B230,'Slutlig allokering kvv'!$B$2:$BX$549,MATCH(O$2,'Slutlig allokering kvv'!$B$1:$BX$1,0),FALSE)/1,0))</f>
        <v>57.574852599999993</v>
      </c>
      <c r="P230" s="121">
        <f>IF($D230="","",IFERROR(VLOOKUP($B230,Kraftvärmeprod!$B$1:$BX$549,MATCH(P$2,Kraftvärmeprod!$B$1:$VX$1,0),FALSE)/1,0)-IFERROR(VLOOKUP($B230,'Slutlig allokering kvv'!$B$2:$BX$549,MATCH(P$2,'Slutlig allokering kvv'!$B$1:$BX$1,0),FALSE)/1,0))</f>
        <v>0</v>
      </c>
      <c r="Q230" s="121">
        <f>IF($D230="","",IFERROR(VLOOKUP($B230,Kraftvärmeprod!$B$1:$BX$549,MATCH(Q$2,Kraftvärmeprod!$B$1:$VX$1,0),FALSE)/1,0)-IFERROR(VLOOKUP($B230,'Slutlig allokering kvv'!$B$2:$BX$549,MATCH(Q$2,'Slutlig allokering kvv'!$B$1:$BX$1,0),FALSE)/1,0))</f>
        <v>24.982311389999996</v>
      </c>
      <c r="R230" s="121">
        <f>IF($D230="","",IFERROR(VLOOKUP($B230,Kraftvärmeprod!$B$1:$BX$549,MATCH(R$2,Kraftvärmeprod!$B$1:$VX$1,0),FALSE)/1,0)-IFERROR(VLOOKUP($B230,'Slutlig allokering kvv'!$B$2:$BX$549,MATCH(R$2,'Slutlig allokering kvv'!$B$1:$BX$1,0),FALSE)/1,0))</f>
        <v>0</v>
      </c>
      <c r="S230" s="121">
        <f>IF($D230="","",IFERROR(VLOOKUP($B230,Kraftvärmeprod!$B$1:$BX$549,MATCH(S$2,Kraftvärmeprod!$B$1:$VX$1,0),FALSE)/1,0)-IFERROR(VLOOKUP($B230,'Slutlig allokering kvv'!$B$2:$BX$549,MATCH(S$2,'Slutlig allokering kvv'!$B$1:$BX$1,0),FALSE)/1,0))</f>
        <v>0</v>
      </c>
      <c r="T230" s="121">
        <f>IF($D230="","",IFERROR(VLOOKUP($B230,Kraftvärmeprod!$B$1:$BX$549,MATCH(T$2,Kraftvärmeprod!$B$1:$VX$1,0),FALSE)/1,0)-IFERROR(VLOOKUP($B230,'Slutlig allokering kvv'!$B$2:$BX$549,MATCH(T$2,'Slutlig allokering kvv'!$B$1:$BX$1,0),FALSE)/1,0))</f>
        <v>0.56002867000000001</v>
      </c>
      <c r="U230" s="121">
        <f>IF($D230="","",IFERROR(VLOOKUP($B230,Kraftvärmeprod!$B$1:$BX$549,MATCH(U$2,Kraftvärmeprod!$B$1:$VX$1,0),FALSE)/1,0)-IFERROR(VLOOKUP($B230,'Slutlig allokering kvv'!$B$2:$BX$549,MATCH(U$2,'Slutlig allokering kvv'!$B$1:$BX$1,0),FALSE)/1,0))</f>
        <v>1.3969371180000001</v>
      </c>
      <c r="V230" s="121">
        <f>IF($D230="","",IFERROR(VLOOKUP($B230,Kraftvärmeprod!$B$1:$BX$549,MATCH(V$2,Kraftvärmeprod!$B$1:$VX$1,0),FALSE)/1,0)-IFERROR(VLOOKUP($B230,'Slutlig allokering kvv'!$B$2:$BX$549,MATCH(V$2,'Slutlig allokering kvv'!$B$1:$BX$1,0),FALSE)/1,0))</f>
        <v>0</v>
      </c>
      <c r="W230" s="121">
        <f>IF($D230="","",IFERROR(VLOOKUP($B230,Kraftvärmeprod!$B$1:$BX$549,MATCH(W$2,Kraftvärmeprod!$B$1:$VX$1,0),FALSE)/1,0)-IFERROR(VLOOKUP($B230,'Slutlig allokering kvv'!$B$2:$BX$549,MATCH(W$2,'Slutlig allokering kvv'!$B$1:$BX$1,0),FALSE)/1,0))</f>
        <v>0</v>
      </c>
      <c r="X230" s="121">
        <f>IF($D230="","",IFERROR(VLOOKUP($B230,Kraftvärmeprod!$B$1:$BX$549,MATCH(X$2,Kraftvärmeprod!$B$1:$VX$1,0),FALSE)/1,0)-IFERROR(VLOOKUP($B230,'Slutlig allokering kvv'!$B$2:$BX$549,MATCH(X$2,'Slutlig allokering kvv'!$B$1:$BX$1,0),FALSE)/1,0))</f>
        <v>0</v>
      </c>
      <c r="Y230" s="121">
        <f>IF($D230="","",IFERROR(VLOOKUP($B230,Kraftvärmeprod!$B$1:$BX$549,MATCH(Y$2,Kraftvärmeprod!$B$1:$VX$1,0),FALSE)/1,0)-IFERROR(VLOOKUP($B230,'Slutlig allokering kvv'!$B$2:$BX$549,MATCH(Y$2,'Slutlig allokering kvv'!$B$1:$BX$1,0),FALSE)/1,0))</f>
        <v>0</v>
      </c>
      <c r="Z230" s="121">
        <f>IF($D230="","",IFERROR(VLOOKUP($B230,Kraftvärmeprod!$B$1:$BX$549,MATCH(Z$2,Kraftvärmeprod!$B$1:$VX$1,0),FALSE)/1,0)-IFERROR(VLOOKUP($B230,'Slutlig allokering kvv'!$B$2:$BX$549,MATCH(Z$2,'Slutlig allokering kvv'!$B$1:$BX$1,0),FALSE)/1,0))</f>
        <v>31.943200000000004</v>
      </c>
      <c r="AA230" s="121">
        <f>IF($D230="","",IFERROR(VLOOKUP($B230,Kraftvärmeprod!$B$1:$BX$549,MATCH(AA$2,Kraftvärmeprod!$B$1:$VX$1,0),FALSE)/1,0)-IFERROR(VLOOKUP($B230,'Slutlig allokering kvv'!$B$2:$BX$549,MATCH(AA$2,'Slutlig allokering kvv'!$B$1:$BX$1,0),FALSE)/1,0))</f>
        <v>0</v>
      </c>
      <c r="AB230" s="121">
        <f>IF($D230="","",IFERROR(VLOOKUP($B230,Kraftvärmeprod!$B$1:$BX$549,MATCH(AB$2,Kraftvärmeprod!$B$1:$VX$1,0),FALSE)/1,0)-IFERROR(VLOOKUP($B230,'Slutlig allokering kvv'!$B$2:$BX$549,MATCH(AB$2,'Slutlig allokering kvv'!$B$1:$BX$1,0),FALSE)/1,0))</f>
        <v>0</v>
      </c>
      <c r="AC230" s="121">
        <f>IF($D230="","",IFERROR(VLOOKUP($B230,Kraftvärmeprod!$B$1:$BX$549,MATCH(AC$2,Kraftvärmeprod!$B$1:$VX$1,0),FALSE)/1,0)-IFERROR(VLOOKUP($B230,'Slutlig allokering kvv'!$B$2:$BX$549,MATCH(AC$2,'Slutlig allokering kvv'!$B$1:$BX$1,0),FALSE)/1,0))</f>
        <v>0</v>
      </c>
      <c r="AD230" s="121">
        <f>IF($D230="","",IFERROR(VLOOKUP($B230,Kraftvärmeprod!$B$1:$BX$549,MATCH(AD$2,Kraftvärmeprod!$B$1:$VX$1,0),FALSE)/1,0)-IFERROR(VLOOKUP($B230,'Slutlig allokering kvv'!$B$2:$BX$549,MATCH(AD$2,'Slutlig allokering kvv'!$B$1:$BX$1,0),FALSE)/1,0))</f>
        <v>-2.9999999995311555E-5</v>
      </c>
      <c r="AE230" s="121">
        <f>IF($D230="","",IFERROR(VLOOKUP($B230,Miljö!$B$1:$E$550,MATCH("Hjälpel kraftvärme (GWh)",Miljö!$B$1:$E$1,0),FALSE)/1,0)-IFERROR(VLOOKUP($B230,'Slutlig allokering kvv'!$B$2:$BX$549,MATCH(AE$2,'Slutlig allokering kvv'!$B$1:$BX$1,0),FALSE)/1,0))</f>
        <v>9.5344799999999985</v>
      </c>
      <c r="AI230" s="121">
        <f t="shared" si="12"/>
        <v>223.16576298800004</v>
      </c>
      <c r="AK230" s="121">
        <f>IFERROR(VLOOKUP($B230,'Slutlig allokering kvv'!$B$2:$AX$549,MATCH("Summa slutlig allokerad tillförd energi (utan hjälpel och rökgaskondensering):",'Slutlig allokering kvv'!$B$1:$AX$1,0),FALSE)/1,"")</f>
        <v>203.22443700000002</v>
      </c>
      <c r="AM230" s="172">
        <f>IFERROR(1-VLOOKUP($B230,'Slutlig allokering kvv'!$B$2:$AX$549,MATCH("Andel av bränsle i kvv som allokerats till värme, exklusive rökgaskondensering och hjälpel",'Slutlig allokering kvv'!$B$1:$AX$1,0),FALSE),"")</f>
        <v>0.52338389342503788</v>
      </c>
      <c r="AO230" s="172">
        <f t="shared" si="13"/>
        <v>0.52338389342503799</v>
      </c>
      <c r="AP230" s="173">
        <f t="shared" si="14"/>
        <v>-1.1102230246251565E-16</v>
      </c>
      <c r="AR230" s="172">
        <f t="shared" si="15"/>
        <v>0.44451625263379801</v>
      </c>
    </row>
    <row r="231" spans="1:44" x14ac:dyDescent="0.25">
      <c r="A231" s="171" t="str">
        <f>'Miljövärden för publ företag'!B233</f>
        <v>Skellefteå Kraft AB</v>
      </c>
      <c r="B231" s="171" t="str">
        <f>'Miljövärden för publ företag'!C233</f>
        <v>Storuman</v>
      </c>
      <c r="C231" s="121" t="str">
        <f>IFERROR(VLOOKUP($B231,Kraftvärmeprod!$B$1:$AH$478,MATCH(C$2,Kraftvärmeprod!$B$1:$AG$1,0),FALSE)/1,"")</f>
        <v/>
      </c>
      <c r="D231" s="121" t="str">
        <f>IFERROR(VLOOKUP($B231,Kraftvärmeprod!$B$1:$AH$478,MATCH(D$2,Kraftvärmeprod!$B$1:$AG$1,0),FALSE)/1,"")</f>
        <v/>
      </c>
      <c r="F231" s="121" t="str">
        <f>IF($D231="","",IFERROR(VLOOKUP($B231,Kraftvärmeprod!$B$1:$BX$549,MATCH(F$2,Kraftvärmeprod!$B$1:$VX$1,0),FALSE)/1,0)-IFERROR(VLOOKUP($B231,'Slutlig allokering kvv'!$B$2:$BX$549,MATCH(F$2,'Slutlig allokering kvv'!$B$1:$BX$1,0),FALSE)/1,0))</f>
        <v/>
      </c>
      <c r="G231" s="121" t="str">
        <f>IF($D231="","",IFERROR(VLOOKUP($B231,Kraftvärmeprod!$B$1:$BX$549,MATCH(G$2,Kraftvärmeprod!$B$1:$VX$1,0),FALSE)/1,0)-IFERROR(VLOOKUP($B231,'Slutlig allokering kvv'!$B$2:$BX$549,MATCH(G$2,'Slutlig allokering kvv'!$B$1:$BX$1,0),FALSE)/1,0))</f>
        <v/>
      </c>
      <c r="H231" s="121" t="str">
        <f>IF($D231="","",IFERROR(VLOOKUP($B231,Kraftvärmeprod!$B$1:$BX$549,MATCH(H$2,Kraftvärmeprod!$B$1:$VX$1,0),FALSE)/1,0)-IFERROR(VLOOKUP($B231,'Slutlig allokering kvv'!$B$2:$BX$549,MATCH(H$2,'Slutlig allokering kvv'!$B$1:$BX$1,0),FALSE)/1,0))</f>
        <v/>
      </c>
      <c r="I231" s="121" t="str">
        <f>IF($D231="","",IFERROR(VLOOKUP($B231,Kraftvärmeprod!$B$1:$BX$549,MATCH(I$2,Kraftvärmeprod!$B$1:$VX$1,0),FALSE)/1,0)-IFERROR(VLOOKUP($B231,'Slutlig allokering kvv'!$B$2:$BX$549,MATCH(I$2,'Slutlig allokering kvv'!$B$1:$BX$1,0),FALSE)/1,0))</f>
        <v/>
      </c>
      <c r="J231" s="121" t="str">
        <f>IF($D231="","",IFERROR(VLOOKUP($B231,Kraftvärmeprod!$B$1:$BX$549,MATCH(J$2,Kraftvärmeprod!$B$1:$VX$1,0),FALSE)/1,0)-IFERROR(VLOOKUP($B231,'Slutlig allokering kvv'!$B$2:$BX$549,MATCH(J$2,'Slutlig allokering kvv'!$B$1:$BX$1,0),FALSE)/1,0))</f>
        <v/>
      </c>
      <c r="K231" s="121" t="str">
        <f>IF($D231="","",IFERROR(VLOOKUP($B231,Kraftvärmeprod!$B$1:$BX$549,MATCH(K$2,Kraftvärmeprod!$B$1:$VX$1,0),FALSE)/1,0)-IFERROR(VLOOKUP($B231,'Slutlig allokering kvv'!$B$2:$BX$549,MATCH(K$2,'Slutlig allokering kvv'!$B$1:$BX$1,0),FALSE)/1,0))</f>
        <v/>
      </c>
      <c r="L231" s="121" t="str">
        <f>IF($D231="","",IFERROR(VLOOKUP($B231,Kraftvärmeprod!$B$1:$BX$549,MATCH(L$2,Kraftvärmeprod!$B$1:$VX$1,0),FALSE)/1,0)-IFERROR(VLOOKUP($B231,'Slutlig allokering kvv'!$B$2:$BX$549,MATCH(L$2,'Slutlig allokering kvv'!$B$1:$BX$1,0),FALSE)/1,0))</f>
        <v/>
      </c>
      <c r="M231" s="121" t="str">
        <f>IF($D231="","",IFERROR(VLOOKUP($B231,Kraftvärmeprod!$B$1:$BX$549,MATCH(M$2,Kraftvärmeprod!$B$1:$VX$1,0),FALSE)/1,0)-IFERROR(VLOOKUP($B231,'Slutlig allokering kvv'!$B$2:$BX$549,MATCH(M$2,'Slutlig allokering kvv'!$B$1:$BX$1,0),FALSE)/1,0))</f>
        <v/>
      </c>
      <c r="N231" s="121" t="str">
        <f>IF($D231="","",IFERROR(VLOOKUP($B231,Kraftvärmeprod!$B$1:$BX$549,MATCH(N$2,Kraftvärmeprod!$B$1:$VX$1,0),FALSE)/1,0)-IFERROR(VLOOKUP($B231,'Slutlig allokering kvv'!$B$2:$BX$549,MATCH(N$2,'Slutlig allokering kvv'!$B$1:$BX$1,0),FALSE)/1,0))</f>
        <v/>
      </c>
      <c r="O231" s="121" t="str">
        <f>IF($D231="","",IFERROR(VLOOKUP($B231,Kraftvärmeprod!$B$1:$BX$549,MATCH(O$2,Kraftvärmeprod!$B$1:$VX$1,0),FALSE)/1,0)-IFERROR(VLOOKUP($B231,'Slutlig allokering kvv'!$B$2:$BX$549,MATCH(O$2,'Slutlig allokering kvv'!$B$1:$BX$1,0),FALSE)/1,0))</f>
        <v/>
      </c>
      <c r="P231" s="121" t="str">
        <f>IF($D231="","",IFERROR(VLOOKUP($B231,Kraftvärmeprod!$B$1:$BX$549,MATCH(P$2,Kraftvärmeprod!$B$1:$VX$1,0),FALSE)/1,0)-IFERROR(VLOOKUP($B231,'Slutlig allokering kvv'!$B$2:$BX$549,MATCH(P$2,'Slutlig allokering kvv'!$B$1:$BX$1,0),FALSE)/1,0))</f>
        <v/>
      </c>
      <c r="Q231" s="121" t="str">
        <f>IF($D231="","",IFERROR(VLOOKUP($B231,Kraftvärmeprod!$B$1:$BX$549,MATCH(Q$2,Kraftvärmeprod!$B$1:$VX$1,0),FALSE)/1,0)-IFERROR(VLOOKUP($B231,'Slutlig allokering kvv'!$B$2:$BX$549,MATCH(Q$2,'Slutlig allokering kvv'!$B$1:$BX$1,0),FALSE)/1,0))</f>
        <v/>
      </c>
      <c r="R231" s="121" t="str">
        <f>IF($D231="","",IFERROR(VLOOKUP($B231,Kraftvärmeprod!$B$1:$BX$549,MATCH(R$2,Kraftvärmeprod!$B$1:$VX$1,0),FALSE)/1,0)-IFERROR(VLOOKUP($B231,'Slutlig allokering kvv'!$B$2:$BX$549,MATCH(R$2,'Slutlig allokering kvv'!$B$1:$BX$1,0),FALSE)/1,0))</f>
        <v/>
      </c>
      <c r="S231" s="121" t="str">
        <f>IF($D231="","",IFERROR(VLOOKUP($B231,Kraftvärmeprod!$B$1:$BX$549,MATCH(S$2,Kraftvärmeprod!$B$1:$VX$1,0),FALSE)/1,0)-IFERROR(VLOOKUP($B231,'Slutlig allokering kvv'!$B$2:$BX$549,MATCH(S$2,'Slutlig allokering kvv'!$B$1:$BX$1,0),FALSE)/1,0))</f>
        <v/>
      </c>
      <c r="T231" s="121" t="str">
        <f>IF($D231="","",IFERROR(VLOOKUP($B231,Kraftvärmeprod!$B$1:$BX$549,MATCH(T$2,Kraftvärmeprod!$B$1:$VX$1,0),FALSE)/1,0)-IFERROR(VLOOKUP($B231,'Slutlig allokering kvv'!$B$2:$BX$549,MATCH(T$2,'Slutlig allokering kvv'!$B$1:$BX$1,0),FALSE)/1,0))</f>
        <v/>
      </c>
      <c r="U231" s="121" t="str">
        <f>IF($D231="","",IFERROR(VLOOKUP($B231,Kraftvärmeprod!$B$1:$BX$549,MATCH(U$2,Kraftvärmeprod!$B$1:$VX$1,0),FALSE)/1,0)-IFERROR(VLOOKUP($B231,'Slutlig allokering kvv'!$B$2:$BX$549,MATCH(U$2,'Slutlig allokering kvv'!$B$1:$BX$1,0),FALSE)/1,0))</f>
        <v/>
      </c>
      <c r="V231" s="121" t="str">
        <f>IF($D231="","",IFERROR(VLOOKUP($B231,Kraftvärmeprod!$B$1:$BX$549,MATCH(V$2,Kraftvärmeprod!$B$1:$VX$1,0),FALSE)/1,0)-IFERROR(VLOOKUP($B231,'Slutlig allokering kvv'!$B$2:$BX$549,MATCH(V$2,'Slutlig allokering kvv'!$B$1:$BX$1,0),FALSE)/1,0))</f>
        <v/>
      </c>
      <c r="W231" s="121" t="str">
        <f>IF($D231="","",IFERROR(VLOOKUP($B231,Kraftvärmeprod!$B$1:$BX$549,MATCH(W$2,Kraftvärmeprod!$B$1:$VX$1,0),FALSE)/1,0)-IFERROR(VLOOKUP($B231,'Slutlig allokering kvv'!$B$2:$BX$549,MATCH(W$2,'Slutlig allokering kvv'!$B$1:$BX$1,0),FALSE)/1,0))</f>
        <v/>
      </c>
      <c r="X231" s="121" t="str">
        <f>IF($D231="","",IFERROR(VLOOKUP($B231,Kraftvärmeprod!$B$1:$BX$549,MATCH(X$2,Kraftvärmeprod!$B$1:$VX$1,0),FALSE)/1,0)-IFERROR(VLOOKUP($B231,'Slutlig allokering kvv'!$B$2:$BX$549,MATCH(X$2,'Slutlig allokering kvv'!$B$1:$BX$1,0),FALSE)/1,0))</f>
        <v/>
      </c>
      <c r="Y231" s="121" t="str">
        <f>IF($D231="","",IFERROR(VLOOKUP($B231,Kraftvärmeprod!$B$1:$BX$549,MATCH(Y$2,Kraftvärmeprod!$B$1:$VX$1,0),FALSE)/1,0)-IFERROR(VLOOKUP($B231,'Slutlig allokering kvv'!$B$2:$BX$549,MATCH(Y$2,'Slutlig allokering kvv'!$B$1:$BX$1,0),FALSE)/1,0))</f>
        <v/>
      </c>
      <c r="Z231" s="121" t="str">
        <f>IF($D231="","",IFERROR(VLOOKUP($B231,Kraftvärmeprod!$B$1:$BX$549,MATCH(Z$2,Kraftvärmeprod!$B$1:$VX$1,0),FALSE)/1,0)-IFERROR(VLOOKUP($B231,'Slutlig allokering kvv'!$B$2:$BX$549,MATCH(Z$2,'Slutlig allokering kvv'!$B$1:$BX$1,0),FALSE)/1,0))</f>
        <v/>
      </c>
      <c r="AA231" s="121" t="str">
        <f>IF($D231="","",IFERROR(VLOOKUP($B231,Kraftvärmeprod!$B$1:$BX$549,MATCH(AA$2,Kraftvärmeprod!$B$1:$VX$1,0),FALSE)/1,0)-IFERROR(VLOOKUP($B231,'Slutlig allokering kvv'!$B$2:$BX$549,MATCH(AA$2,'Slutlig allokering kvv'!$B$1:$BX$1,0),FALSE)/1,0))</f>
        <v/>
      </c>
      <c r="AB231" s="121" t="str">
        <f>IF($D231="","",IFERROR(VLOOKUP($B231,Kraftvärmeprod!$B$1:$BX$549,MATCH(AB$2,Kraftvärmeprod!$B$1:$VX$1,0),FALSE)/1,0)-IFERROR(VLOOKUP($B231,'Slutlig allokering kvv'!$B$2:$BX$549,MATCH(AB$2,'Slutlig allokering kvv'!$B$1:$BX$1,0),FALSE)/1,0))</f>
        <v/>
      </c>
      <c r="AC231" s="121" t="str">
        <f>IF($D231="","",IFERROR(VLOOKUP($B231,Kraftvärmeprod!$B$1:$BX$549,MATCH(AC$2,Kraftvärmeprod!$B$1:$VX$1,0),FALSE)/1,0)-IFERROR(VLOOKUP($B231,'Slutlig allokering kvv'!$B$2:$BX$549,MATCH(AC$2,'Slutlig allokering kvv'!$B$1:$BX$1,0),FALSE)/1,0))</f>
        <v/>
      </c>
      <c r="AD231" s="121" t="str">
        <f>IF($D231="","",IFERROR(VLOOKUP($B231,Kraftvärmeprod!$B$1:$BX$549,MATCH(AD$2,Kraftvärmeprod!$B$1:$VX$1,0),FALSE)/1,0)-IFERROR(VLOOKUP($B231,'Slutlig allokering kvv'!$B$2:$BX$549,MATCH(AD$2,'Slutlig allokering kvv'!$B$1:$BX$1,0),FALSE)/1,0))</f>
        <v/>
      </c>
      <c r="AE231" s="121" t="str">
        <f>IF($D231="","",IFERROR(VLOOKUP($B231,Miljö!$B$1:$E$550,MATCH("Hjälpel kraftvärme (GWh)",Miljö!$B$1:$E$1,0),FALSE)/1,0)-IFERROR(VLOOKUP($B231,'Slutlig allokering kvv'!$B$2:$BX$549,MATCH(AE$2,'Slutlig allokering kvv'!$B$1:$BX$1,0),FALSE)/1,0))</f>
        <v/>
      </c>
      <c r="AI231" s="121">
        <f t="shared" si="12"/>
        <v>0</v>
      </c>
      <c r="AK231" s="121">
        <f>IFERROR(VLOOKUP($B231,'Slutlig allokering kvv'!$B$2:$AX$549,MATCH("Summa slutlig allokerad tillförd energi (utan hjälpel och rökgaskondensering):",'Slutlig allokering kvv'!$B$1:$AX$1,0),FALSE)/1,"")</f>
        <v>0</v>
      </c>
      <c r="AM231" s="172" t="str">
        <f>IFERROR(1-VLOOKUP($B231,'Slutlig allokering kvv'!$B$2:$AX$549,MATCH("Andel av bränsle i kvv som allokerats till värme, exklusive rökgaskondensering och hjälpel",'Slutlig allokering kvv'!$B$1:$AX$1,0),FALSE),"")</f>
        <v/>
      </c>
      <c r="AO231" s="172" t="str">
        <f t="shared" si="13"/>
        <v/>
      </c>
      <c r="AP231" s="173" t="str">
        <f t="shared" si="14"/>
        <v/>
      </c>
      <c r="AR231" s="172" t="str">
        <f t="shared" si="15"/>
        <v/>
      </c>
    </row>
    <row r="232" spans="1:44" x14ac:dyDescent="0.25">
      <c r="A232" s="171" t="str">
        <f>'Miljövärden för publ företag'!B234</f>
        <v>Skellefteå Kraft AB</v>
      </c>
      <c r="B232" s="171" t="str">
        <f>'Miljövärden för publ företag'!C234</f>
        <v>Ursviken-Skelleftehamn</v>
      </c>
      <c r="C232" s="121" t="str">
        <f>IFERROR(VLOOKUP($B232,Kraftvärmeprod!$B$1:$AH$478,MATCH(C$2,Kraftvärmeprod!$B$1:$AG$1,0),FALSE)/1,"")</f>
        <v/>
      </c>
      <c r="D232" s="121" t="str">
        <f>IFERROR(VLOOKUP($B232,Kraftvärmeprod!$B$1:$AH$478,MATCH(D$2,Kraftvärmeprod!$B$1:$AG$1,0),FALSE)/1,"")</f>
        <v/>
      </c>
      <c r="F232" s="121" t="str">
        <f>IF($D232="","",IFERROR(VLOOKUP($B232,Kraftvärmeprod!$B$1:$BX$549,MATCH(F$2,Kraftvärmeprod!$B$1:$VX$1,0),FALSE)/1,0)-IFERROR(VLOOKUP($B232,'Slutlig allokering kvv'!$B$2:$BX$549,MATCH(F$2,'Slutlig allokering kvv'!$B$1:$BX$1,0),FALSE)/1,0))</f>
        <v/>
      </c>
      <c r="G232" s="121" t="str">
        <f>IF($D232="","",IFERROR(VLOOKUP($B232,Kraftvärmeprod!$B$1:$BX$549,MATCH(G$2,Kraftvärmeprod!$B$1:$VX$1,0),FALSE)/1,0)-IFERROR(VLOOKUP($B232,'Slutlig allokering kvv'!$B$2:$BX$549,MATCH(G$2,'Slutlig allokering kvv'!$B$1:$BX$1,0),FALSE)/1,0))</f>
        <v/>
      </c>
      <c r="H232" s="121" t="str">
        <f>IF($D232="","",IFERROR(VLOOKUP($B232,Kraftvärmeprod!$B$1:$BX$549,MATCH(H$2,Kraftvärmeprod!$B$1:$VX$1,0),FALSE)/1,0)-IFERROR(VLOOKUP($B232,'Slutlig allokering kvv'!$B$2:$BX$549,MATCH(H$2,'Slutlig allokering kvv'!$B$1:$BX$1,0),FALSE)/1,0))</f>
        <v/>
      </c>
      <c r="I232" s="121" t="str">
        <f>IF($D232="","",IFERROR(VLOOKUP($B232,Kraftvärmeprod!$B$1:$BX$549,MATCH(I$2,Kraftvärmeprod!$B$1:$VX$1,0),FALSE)/1,0)-IFERROR(VLOOKUP($B232,'Slutlig allokering kvv'!$B$2:$BX$549,MATCH(I$2,'Slutlig allokering kvv'!$B$1:$BX$1,0),FALSE)/1,0))</f>
        <v/>
      </c>
      <c r="J232" s="121" t="str">
        <f>IF($D232="","",IFERROR(VLOOKUP($B232,Kraftvärmeprod!$B$1:$BX$549,MATCH(J$2,Kraftvärmeprod!$B$1:$VX$1,0),FALSE)/1,0)-IFERROR(VLOOKUP($B232,'Slutlig allokering kvv'!$B$2:$BX$549,MATCH(J$2,'Slutlig allokering kvv'!$B$1:$BX$1,0),FALSE)/1,0))</f>
        <v/>
      </c>
      <c r="K232" s="121" t="str">
        <f>IF($D232="","",IFERROR(VLOOKUP($B232,Kraftvärmeprod!$B$1:$BX$549,MATCH(K$2,Kraftvärmeprod!$B$1:$VX$1,0),FALSE)/1,0)-IFERROR(VLOOKUP($B232,'Slutlig allokering kvv'!$B$2:$BX$549,MATCH(K$2,'Slutlig allokering kvv'!$B$1:$BX$1,0),FALSE)/1,0))</f>
        <v/>
      </c>
      <c r="L232" s="121" t="str">
        <f>IF($D232="","",IFERROR(VLOOKUP($B232,Kraftvärmeprod!$B$1:$BX$549,MATCH(L$2,Kraftvärmeprod!$B$1:$VX$1,0),FALSE)/1,0)-IFERROR(VLOOKUP($B232,'Slutlig allokering kvv'!$B$2:$BX$549,MATCH(L$2,'Slutlig allokering kvv'!$B$1:$BX$1,0),FALSE)/1,0))</f>
        <v/>
      </c>
      <c r="M232" s="121" t="str">
        <f>IF($D232="","",IFERROR(VLOOKUP($B232,Kraftvärmeprod!$B$1:$BX$549,MATCH(M$2,Kraftvärmeprod!$B$1:$VX$1,0),FALSE)/1,0)-IFERROR(VLOOKUP($B232,'Slutlig allokering kvv'!$B$2:$BX$549,MATCH(M$2,'Slutlig allokering kvv'!$B$1:$BX$1,0),FALSE)/1,0))</f>
        <v/>
      </c>
      <c r="N232" s="121" t="str">
        <f>IF($D232="","",IFERROR(VLOOKUP($B232,Kraftvärmeprod!$B$1:$BX$549,MATCH(N$2,Kraftvärmeprod!$B$1:$VX$1,0),FALSE)/1,0)-IFERROR(VLOOKUP($B232,'Slutlig allokering kvv'!$B$2:$BX$549,MATCH(N$2,'Slutlig allokering kvv'!$B$1:$BX$1,0),FALSE)/1,0))</f>
        <v/>
      </c>
      <c r="O232" s="121" t="str">
        <f>IF($D232="","",IFERROR(VLOOKUP($B232,Kraftvärmeprod!$B$1:$BX$549,MATCH(O$2,Kraftvärmeprod!$B$1:$VX$1,0),FALSE)/1,0)-IFERROR(VLOOKUP($B232,'Slutlig allokering kvv'!$B$2:$BX$549,MATCH(O$2,'Slutlig allokering kvv'!$B$1:$BX$1,0),FALSE)/1,0))</f>
        <v/>
      </c>
      <c r="P232" s="121" t="str">
        <f>IF($D232="","",IFERROR(VLOOKUP($B232,Kraftvärmeprod!$B$1:$BX$549,MATCH(P$2,Kraftvärmeprod!$B$1:$VX$1,0),FALSE)/1,0)-IFERROR(VLOOKUP($B232,'Slutlig allokering kvv'!$B$2:$BX$549,MATCH(P$2,'Slutlig allokering kvv'!$B$1:$BX$1,0),FALSE)/1,0))</f>
        <v/>
      </c>
      <c r="Q232" s="121" t="str">
        <f>IF($D232="","",IFERROR(VLOOKUP($B232,Kraftvärmeprod!$B$1:$BX$549,MATCH(Q$2,Kraftvärmeprod!$B$1:$VX$1,0),FALSE)/1,0)-IFERROR(VLOOKUP($B232,'Slutlig allokering kvv'!$B$2:$BX$549,MATCH(Q$2,'Slutlig allokering kvv'!$B$1:$BX$1,0),FALSE)/1,0))</f>
        <v/>
      </c>
      <c r="R232" s="121" t="str">
        <f>IF($D232="","",IFERROR(VLOOKUP($B232,Kraftvärmeprod!$B$1:$BX$549,MATCH(R$2,Kraftvärmeprod!$B$1:$VX$1,0),FALSE)/1,0)-IFERROR(VLOOKUP($B232,'Slutlig allokering kvv'!$B$2:$BX$549,MATCH(R$2,'Slutlig allokering kvv'!$B$1:$BX$1,0),FALSE)/1,0))</f>
        <v/>
      </c>
      <c r="S232" s="121" t="str">
        <f>IF($D232="","",IFERROR(VLOOKUP($B232,Kraftvärmeprod!$B$1:$BX$549,MATCH(S$2,Kraftvärmeprod!$B$1:$VX$1,0),FALSE)/1,0)-IFERROR(VLOOKUP($B232,'Slutlig allokering kvv'!$B$2:$BX$549,MATCH(S$2,'Slutlig allokering kvv'!$B$1:$BX$1,0),FALSE)/1,0))</f>
        <v/>
      </c>
      <c r="T232" s="121" t="str">
        <f>IF($D232="","",IFERROR(VLOOKUP($B232,Kraftvärmeprod!$B$1:$BX$549,MATCH(T$2,Kraftvärmeprod!$B$1:$VX$1,0),FALSE)/1,0)-IFERROR(VLOOKUP($B232,'Slutlig allokering kvv'!$B$2:$BX$549,MATCH(T$2,'Slutlig allokering kvv'!$B$1:$BX$1,0),FALSE)/1,0))</f>
        <v/>
      </c>
      <c r="U232" s="121" t="str">
        <f>IF($D232="","",IFERROR(VLOOKUP($B232,Kraftvärmeprod!$B$1:$BX$549,MATCH(U$2,Kraftvärmeprod!$B$1:$VX$1,0),FALSE)/1,0)-IFERROR(VLOOKUP($B232,'Slutlig allokering kvv'!$B$2:$BX$549,MATCH(U$2,'Slutlig allokering kvv'!$B$1:$BX$1,0),FALSE)/1,0))</f>
        <v/>
      </c>
      <c r="V232" s="121" t="str">
        <f>IF($D232="","",IFERROR(VLOOKUP($B232,Kraftvärmeprod!$B$1:$BX$549,MATCH(V$2,Kraftvärmeprod!$B$1:$VX$1,0),FALSE)/1,0)-IFERROR(VLOOKUP($B232,'Slutlig allokering kvv'!$B$2:$BX$549,MATCH(V$2,'Slutlig allokering kvv'!$B$1:$BX$1,0),FALSE)/1,0))</f>
        <v/>
      </c>
      <c r="W232" s="121" t="str">
        <f>IF($D232="","",IFERROR(VLOOKUP($B232,Kraftvärmeprod!$B$1:$BX$549,MATCH(W$2,Kraftvärmeprod!$B$1:$VX$1,0),FALSE)/1,0)-IFERROR(VLOOKUP($B232,'Slutlig allokering kvv'!$B$2:$BX$549,MATCH(W$2,'Slutlig allokering kvv'!$B$1:$BX$1,0),FALSE)/1,0))</f>
        <v/>
      </c>
      <c r="X232" s="121" t="str">
        <f>IF($D232="","",IFERROR(VLOOKUP($B232,Kraftvärmeprod!$B$1:$BX$549,MATCH(X$2,Kraftvärmeprod!$B$1:$VX$1,0),FALSE)/1,0)-IFERROR(VLOOKUP($B232,'Slutlig allokering kvv'!$B$2:$BX$549,MATCH(X$2,'Slutlig allokering kvv'!$B$1:$BX$1,0),FALSE)/1,0))</f>
        <v/>
      </c>
      <c r="Y232" s="121" t="str">
        <f>IF($D232="","",IFERROR(VLOOKUP($B232,Kraftvärmeprod!$B$1:$BX$549,MATCH(Y$2,Kraftvärmeprod!$B$1:$VX$1,0),FALSE)/1,0)-IFERROR(VLOOKUP($B232,'Slutlig allokering kvv'!$B$2:$BX$549,MATCH(Y$2,'Slutlig allokering kvv'!$B$1:$BX$1,0),FALSE)/1,0))</f>
        <v/>
      </c>
      <c r="Z232" s="121" t="str">
        <f>IF($D232="","",IFERROR(VLOOKUP($B232,Kraftvärmeprod!$B$1:$BX$549,MATCH(Z$2,Kraftvärmeprod!$B$1:$VX$1,0),FALSE)/1,0)-IFERROR(VLOOKUP($B232,'Slutlig allokering kvv'!$B$2:$BX$549,MATCH(Z$2,'Slutlig allokering kvv'!$B$1:$BX$1,0),FALSE)/1,0))</f>
        <v/>
      </c>
      <c r="AA232" s="121" t="str">
        <f>IF($D232="","",IFERROR(VLOOKUP($B232,Kraftvärmeprod!$B$1:$BX$549,MATCH(AA$2,Kraftvärmeprod!$B$1:$VX$1,0),FALSE)/1,0)-IFERROR(VLOOKUP($B232,'Slutlig allokering kvv'!$B$2:$BX$549,MATCH(AA$2,'Slutlig allokering kvv'!$B$1:$BX$1,0),FALSE)/1,0))</f>
        <v/>
      </c>
      <c r="AB232" s="121" t="str">
        <f>IF($D232="","",IFERROR(VLOOKUP($B232,Kraftvärmeprod!$B$1:$BX$549,MATCH(AB$2,Kraftvärmeprod!$B$1:$VX$1,0),FALSE)/1,0)-IFERROR(VLOOKUP($B232,'Slutlig allokering kvv'!$B$2:$BX$549,MATCH(AB$2,'Slutlig allokering kvv'!$B$1:$BX$1,0),FALSE)/1,0))</f>
        <v/>
      </c>
      <c r="AC232" s="121" t="str">
        <f>IF($D232="","",IFERROR(VLOOKUP($B232,Kraftvärmeprod!$B$1:$BX$549,MATCH(AC$2,Kraftvärmeprod!$B$1:$VX$1,0),FALSE)/1,0)-IFERROR(VLOOKUP($B232,'Slutlig allokering kvv'!$B$2:$BX$549,MATCH(AC$2,'Slutlig allokering kvv'!$B$1:$BX$1,0),FALSE)/1,0))</f>
        <v/>
      </c>
      <c r="AD232" s="121" t="str">
        <f>IF($D232="","",IFERROR(VLOOKUP($B232,Kraftvärmeprod!$B$1:$BX$549,MATCH(AD$2,Kraftvärmeprod!$B$1:$VX$1,0),FALSE)/1,0)-IFERROR(VLOOKUP($B232,'Slutlig allokering kvv'!$B$2:$BX$549,MATCH(AD$2,'Slutlig allokering kvv'!$B$1:$BX$1,0),FALSE)/1,0))</f>
        <v/>
      </c>
      <c r="AE232" s="121" t="str">
        <f>IF($D232="","",IFERROR(VLOOKUP($B232,Miljö!$B$1:$E$550,MATCH("Hjälpel kraftvärme (GWh)",Miljö!$B$1:$E$1,0),FALSE)/1,0)-IFERROR(VLOOKUP($B232,'Slutlig allokering kvv'!$B$2:$BX$549,MATCH(AE$2,'Slutlig allokering kvv'!$B$1:$BX$1,0),FALSE)/1,0))</f>
        <v/>
      </c>
      <c r="AI232" s="121">
        <f t="shared" si="12"/>
        <v>0</v>
      </c>
      <c r="AK232" s="121">
        <f>IFERROR(VLOOKUP($B232,'Slutlig allokering kvv'!$B$2:$AX$549,MATCH("Summa slutlig allokerad tillförd energi (utan hjälpel och rökgaskondensering):",'Slutlig allokering kvv'!$B$1:$AX$1,0),FALSE)/1,"")</f>
        <v>0</v>
      </c>
      <c r="AM232" s="172" t="str">
        <f>IFERROR(1-VLOOKUP($B232,'Slutlig allokering kvv'!$B$2:$AX$549,MATCH("Andel av bränsle i kvv som allokerats till värme, exklusive rökgaskondensering och hjälpel",'Slutlig allokering kvv'!$B$1:$AX$1,0),FALSE),"")</f>
        <v/>
      </c>
      <c r="AO232" s="172" t="str">
        <f t="shared" si="13"/>
        <v/>
      </c>
      <c r="AP232" s="173" t="str">
        <f t="shared" si="14"/>
        <v/>
      </c>
      <c r="AR232" s="172" t="str">
        <f t="shared" si="15"/>
        <v/>
      </c>
    </row>
    <row r="233" spans="1:44" x14ac:dyDescent="0.25">
      <c r="A233" s="171" t="str">
        <f>'Miljövärden för publ företag'!B235</f>
        <v>Skellefteå Kraft AB</v>
      </c>
      <c r="B233" s="171" t="str">
        <f>'Miljövärden för publ företag'!C235</f>
        <v>Vindeln</v>
      </c>
      <c r="C233" s="121" t="str">
        <f>IFERROR(VLOOKUP($B233,Kraftvärmeprod!$B$1:$AH$478,MATCH(C$2,Kraftvärmeprod!$B$1:$AG$1,0),FALSE)/1,"")</f>
        <v/>
      </c>
      <c r="D233" s="121" t="str">
        <f>IFERROR(VLOOKUP($B233,Kraftvärmeprod!$B$1:$AH$478,MATCH(D$2,Kraftvärmeprod!$B$1:$AG$1,0),FALSE)/1,"")</f>
        <v/>
      </c>
      <c r="F233" s="121" t="str">
        <f>IF($D233="","",IFERROR(VLOOKUP($B233,Kraftvärmeprod!$B$1:$BX$549,MATCH(F$2,Kraftvärmeprod!$B$1:$VX$1,0),FALSE)/1,0)-IFERROR(VLOOKUP($B233,'Slutlig allokering kvv'!$B$2:$BX$549,MATCH(F$2,'Slutlig allokering kvv'!$B$1:$BX$1,0),FALSE)/1,0))</f>
        <v/>
      </c>
      <c r="G233" s="121" t="str">
        <f>IF($D233="","",IFERROR(VLOOKUP($B233,Kraftvärmeprod!$B$1:$BX$549,MATCH(G$2,Kraftvärmeprod!$B$1:$VX$1,0),FALSE)/1,0)-IFERROR(VLOOKUP($B233,'Slutlig allokering kvv'!$B$2:$BX$549,MATCH(G$2,'Slutlig allokering kvv'!$B$1:$BX$1,0),FALSE)/1,0))</f>
        <v/>
      </c>
      <c r="H233" s="121" t="str">
        <f>IF($D233="","",IFERROR(VLOOKUP($B233,Kraftvärmeprod!$B$1:$BX$549,MATCH(H$2,Kraftvärmeprod!$B$1:$VX$1,0),FALSE)/1,0)-IFERROR(VLOOKUP($B233,'Slutlig allokering kvv'!$B$2:$BX$549,MATCH(H$2,'Slutlig allokering kvv'!$B$1:$BX$1,0),FALSE)/1,0))</f>
        <v/>
      </c>
      <c r="I233" s="121" t="str">
        <f>IF($D233="","",IFERROR(VLOOKUP($B233,Kraftvärmeprod!$B$1:$BX$549,MATCH(I$2,Kraftvärmeprod!$B$1:$VX$1,0),FALSE)/1,0)-IFERROR(VLOOKUP($B233,'Slutlig allokering kvv'!$B$2:$BX$549,MATCH(I$2,'Slutlig allokering kvv'!$B$1:$BX$1,0),FALSE)/1,0))</f>
        <v/>
      </c>
      <c r="J233" s="121" t="str">
        <f>IF($D233="","",IFERROR(VLOOKUP($B233,Kraftvärmeprod!$B$1:$BX$549,MATCH(J$2,Kraftvärmeprod!$B$1:$VX$1,0),FALSE)/1,0)-IFERROR(VLOOKUP($B233,'Slutlig allokering kvv'!$B$2:$BX$549,MATCH(J$2,'Slutlig allokering kvv'!$B$1:$BX$1,0),FALSE)/1,0))</f>
        <v/>
      </c>
      <c r="K233" s="121" t="str">
        <f>IF($D233="","",IFERROR(VLOOKUP($B233,Kraftvärmeprod!$B$1:$BX$549,MATCH(K$2,Kraftvärmeprod!$B$1:$VX$1,0),FALSE)/1,0)-IFERROR(VLOOKUP($B233,'Slutlig allokering kvv'!$B$2:$BX$549,MATCH(K$2,'Slutlig allokering kvv'!$B$1:$BX$1,0),FALSE)/1,0))</f>
        <v/>
      </c>
      <c r="L233" s="121" t="str">
        <f>IF($D233="","",IFERROR(VLOOKUP($B233,Kraftvärmeprod!$B$1:$BX$549,MATCH(L$2,Kraftvärmeprod!$B$1:$VX$1,0),FALSE)/1,0)-IFERROR(VLOOKUP($B233,'Slutlig allokering kvv'!$B$2:$BX$549,MATCH(L$2,'Slutlig allokering kvv'!$B$1:$BX$1,0),FALSE)/1,0))</f>
        <v/>
      </c>
      <c r="M233" s="121" t="str">
        <f>IF($D233="","",IFERROR(VLOOKUP($B233,Kraftvärmeprod!$B$1:$BX$549,MATCH(M$2,Kraftvärmeprod!$B$1:$VX$1,0),FALSE)/1,0)-IFERROR(VLOOKUP($B233,'Slutlig allokering kvv'!$B$2:$BX$549,MATCH(M$2,'Slutlig allokering kvv'!$B$1:$BX$1,0),FALSE)/1,0))</f>
        <v/>
      </c>
      <c r="N233" s="121" t="str">
        <f>IF($D233="","",IFERROR(VLOOKUP($B233,Kraftvärmeprod!$B$1:$BX$549,MATCH(N$2,Kraftvärmeprod!$B$1:$VX$1,0),FALSE)/1,0)-IFERROR(VLOOKUP($B233,'Slutlig allokering kvv'!$B$2:$BX$549,MATCH(N$2,'Slutlig allokering kvv'!$B$1:$BX$1,0),FALSE)/1,0))</f>
        <v/>
      </c>
      <c r="O233" s="121" t="str">
        <f>IF($D233="","",IFERROR(VLOOKUP($B233,Kraftvärmeprod!$B$1:$BX$549,MATCH(O$2,Kraftvärmeprod!$B$1:$VX$1,0),FALSE)/1,0)-IFERROR(VLOOKUP($B233,'Slutlig allokering kvv'!$B$2:$BX$549,MATCH(O$2,'Slutlig allokering kvv'!$B$1:$BX$1,0),FALSE)/1,0))</f>
        <v/>
      </c>
      <c r="P233" s="121" t="str">
        <f>IF($D233="","",IFERROR(VLOOKUP($B233,Kraftvärmeprod!$B$1:$BX$549,MATCH(P$2,Kraftvärmeprod!$B$1:$VX$1,0),FALSE)/1,0)-IFERROR(VLOOKUP($B233,'Slutlig allokering kvv'!$B$2:$BX$549,MATCH(P$2,'Slutlig allokering kvv'!$B$1:$BX$1,0),FALSE)/1,0))</f>
        <v/>
      </c>
      <c r="Q233" s="121" t="str">
        <f>IF($D233="","",IFERROR(VLOOKUP($B233,Kraftvärmeprod!$B$1:$BX$549,MATCH(Q$2,Kraftvärmeprod!$B$1:$VX$1,0),FALSE)/1,0)-IFERROR(VLOOKUP($B233,'Slutlig allokering kvv'!$B$2:$BX$549,MATCH(Q$2,'Slutlig allokering kvv'!$B$1:$BX$1,0),FALSE)/1,0))</f>
        <v/>
      </c>
      <c r="R233" s="121" t="str">
        <f>IF($D233="","",IFERROR(VLOOKUP($B233,Kraftvärmeprod!$B$1:$BX$549,MATCH(R$2,Kraftvärmeprod!$B$1:$VX$1,0),FALSE)/1,0)-IFERROR(VLOOKUP($B233,'Slutlig allokering kvv'!$B$2:$BX$549,MATCH(R$2,'Slutlig allokering kvv'!$B$1:$BX$1,0),FALSE)/1,0))</f>
        <v/>
      </c>
      <c r="S233" s="121" t="str">
        <f>IF($D233="","",IFERROR(VLOOKUP($B233,Kraftvärmeprod!$B$1:$BX$549,MATCH(S$2,Kraftvärmeprod!$B$1:$VX$1,0),FALSE)/1,0)-IFERROR(VLOOKUP($B233,'Slutlig allokering kvv'!$B$2:$BX$549,MATCH(S$2,'Slutlig allokering kvv'!$B$1:$BX$1,0),FALSE)/1,0))</f>
        <v/>
      </c>
      <c r="T233" s="121" t="str">
        <f>IF($D233="","",IFERROR(VLOOKUP($B233,Kraftvärmeprod!$B$1:$BX$549,MATCH(T$2,Kraftvärmeprod!$B$1:$VX$1,0),FALSE)/1,0)-IFERROR(VLOOKUP($B233,'Slutlig allokering kvv'!$B$2:$BX$549,MATCH(T$2,'Slutlig allokering kvv'!$B$1:$BX$1,0),FALSE)/1,0))</f>
        <v/>
      </c>
      <c r="U233" s="121" t="str">
        <f>IF($D233="","",IFERROR(VLOOKUP($B233,Kraftvärmeprod!$B$1:$BX$549,MATCH(U$2,Kraftvärmeprod!$B$1:$VX$1,0),FALSE)/1,0)-IFERROR(VLOOKUP($B233,'Slutlig allokering kvv'!$B$2:$BX$549,MATCH(U$2,'Slutlig allokering kvv'!$B$1:$BX$1,0),FALSE)/1,0))</f>
        <v/>
      </c>
      <c r="V233" s="121" t="str">
        <f>IF($D233="","",IFERROR(VLOOKUP($B233,Kraftvärmeprod!$B$1:$BX$549,MATCH(V$2,Kraftvärmeprod!$B$1:$VX$1,0),FALSE)/1,0)-IFERROR(VLOOKUP($B233,'Slutlig allokering kvv'!$B$2:$BX$549,MATCH(V$2,'Slutlig allokering kvv'!$B$1:$BX$1,0),FALSE)/1,0))</f>
        <v/>
      </c>
      <c r="W233" s="121" t="str">
        <f>IF($D233="","",IFERROR(VLOOKUP($B233,Kraftvärmeprod!$B$1:$BX$549,MATCH(W$2,Kraftvärmeprod!$B$1:$VX$1,0),FALSE)/1,0)-IFERROR(VLOOKUP($B233,'Slutlig allokering kvv'!$B$2:$BX$549,MATCH(W$2,'Slutlig allokering kvv'!$B$1:$BX$1,0),FALSE)/1,0))</f>
        <v/>
      </c>
      <c r="X233" s="121" t="str">
        <f>IF($D233="","",IFERROR(VLOOKUP($B233,Kraftvärmeprod!$B$1:$BX$549,MATCH(X$2,Kraftvärmeprod!$B$1:$VX$1,0),FALSE)/1,0)-IFERROR(VLOOKUP($B233,'Slutlig allokering kvv'!$B$2:$BX$549,MATCH(X$2,'Slutlig allokering kvv'!$B$1:$BX$1,0),FALSE)/1,0))</f>
        <v/>
      </c>
      <c r="Y233" s="121" t="str">
        <f>IF($D233="","",IFERROR(VLOOKUP($B233,Kraftvärmeprod!$B$1:$BX$549,MATCH(Y$2,Kraftvärmeprod!$B$1:$VX$1,0),FALSE)/1,0)-IFERROR(VLOOKUP($B233,'Slutlig allokering kvv'!$B$2:$BX$549,MATCH(Y$2,'Slutlig allokering kvv'!$B$1:$BX$1,0),FALSE)/1,0))</f>
        <v/>
      </c>
      <c r="Z233" s="121" t="str">
        <f>IF($D233="","",IFERROR(VLOOKUP($B233,Kraftvärmeprod!$B$1:$BX$549,MATCH(Z$2,Kraftvärmeprod!$B$1:$VX$1,0),FALSE)/1,0)-IFERROR(VLOOKUP($B233,'Slutlig allokering kvv'!$B$2:$BX$549,MATCH(Z$2,'Slutlig allokering kvv'!$B$1:$BX$1,0),FALSE)/1,0))</f>
        <v/>
      </c>
      <c r="AA233" s="121" t="str">
        <f>IF($D233="","",IFERROR(VLOOKUP($B233,Kraftvärmeprod!$B$1:$BX$549,MATCH(AA$2,Kraftvärmeprod!$B$1:$VX$1,0),FALSE)/1,0)-IFERROR(VLOOKUP($B233,'Slutlig allokering kvv'!$B$2:$BX$549,MATCH(AA$2,'Slutlig allokering kvv'!$B$1:$BX$1,0),FALSE)/1,0))</f>
        <v/>
      </c>
      <c r="AB233" s="121" t="str">
        <f>IF($D233="","",IFERROR(VLOOKUP($B233,Kraftvärmeprod!$B$1:$BX$549,MATCH(AB$2,Kraftvärmeprod!$B$1:$VX$1,0),FALSE)/1,0)-IFERROR(VLOOKUP($B233,'Slutlig allokering kvv'!$B$2:$BX$549,MATCH(AB$2,'Slutlig allokering kvv'!$B$1:$BX$1,0),FALSE)/1,0))</f>
        <v/>
      </c>
      <c r="AC233" s="121" t="str">
        <f>IF($D233="","",IFERROR(VLOOKUP($B233,Kraftvärmeprod!$B$1:$BX$549,MATCH(AC$2,Kraftvärmeprod!$B$1:$VX$1,0),FALSE)/1,0)-IFERROR(VLOOKUP($B233,'Slutlig allokering kvv'!$B$2:$BX$549,MATCH(AC$2,'Slutlig allokering kvv'!$B$1:$BX$1,0),FALSE)/1,0))</f>
        <v/>
      </c>
      <c r="AD233" s="121" t="str">
        <f>IF($D233="","",IFERROR(VLOOKUP($B233,Kraftvärmeprod!$B$1:$BX$549,MATCH(AD$2,Kraftvärmeprod!$B$1:$VX$1,0),FALSE)/1,0)-IFERROR(VLOOKUP($B233,'Slutlig allokering kvv'!$B$2:$BX$549,MATCH(AD$2,'Slutlig allokering kvv'!$B$1:$BX$1,0),FALSE)/1,0))</f>
        <v/>
      </c>
      <c r="AE233" s="121" t="str">
        <f>IF($D233="","",IFERROR(VLOOKUP($B233,Miljö!$B$1:$E$550,MATCH("Hjälpel kraftvärme (GWh)",Miljö!$B$1:$E$1,0),FALSE)/1,0)-IFERROR(VLOOKUP($B233,'Slutlig allokering kvv'!$B$2:$BX$549,MATCH(AE$2,'Slutlig allokering kvv'!$B$1:$BX$1,0),FALSE)/1,0))</f>
        <v/>
      </c>
      <c r="AI233" s="121">
        <f t="shared" si="12"/>
        <v>0</v>
      </c>
      <c r="AK233" s="121">
        <f>IFERROR(VLOOKUP($B233,'Slutlig allokering kvv'!$B$2:$AX$549,MATCH("Summa slutlig allokerad tillförd energi (utan hjälpel och rökgaskondensering):",'Slutlig allokering kvv'!$B$1:$AX$1,0),FALSE)/1,"")</f>
        <v>0</v>
      </c>
      <c r="AM233" s="172" t="str">
        <f>IFERROR(1-VLOOKUP($B233,'Slutlig allokering kvv'!$B$2:$AX$549,MATCH("Andel av bränsle i kvv som allokerats till värme, exklusive rökgaskondensering och hjälpel",'Slutlig allokering kvv'!$B$1:$AX$1,0),FALSE),"")</f>
        <v/>
      </c>
      <c r="AO233" s="172" t="str">
        <f t="shared" si="13"/>
        <v/>
      </c>
      <c r="AP233" s="173" t="str">
        <f t="shared" si="14"/>
        <v/>
      </c>
      <c r="AR233" s="172" t="str">
        <f t="shared" si="15"/>
        <v/>
      </c>
    </row>
    <row r="234" spans="1:44" x14ac:dyDescent="0.25">
      <c r="A234" s="171" t="str">
        <f>'Miljövärden för publ företag'!B236</f>
        <v>Skellefteå Kraft AB</v>
      </c>
      <c r="B234" s="171" t="str">
        <f>'Miljövärden för publ företag'!C236</f>
        <v>Ånäset</v>
      </c>
      <c r="C234" s="121" t="str">
        <f>IFERROR(VLOOKUP($B234,Kraftvärmeprod!$B$1:$AH$478,MATCH(C$2,Kraftvärmeprod!$B$1:$AG$1,0),FALSE)/1,"")</f>
        <v/>
      </c>
      <c r="D234" s="121" t="str">
        <f>IFERROR(VLOOKUP($B234,Kraftvärmeprod!$B$1:$AH$478,MATCH(D$2,Kraftvärmeprod!$B$1:$AG$1,0),FALSE)/1,"")</f>
        <v/>
      </c>
      <c r="F234" s="121" t="str">
        <f>IF($D234="","",IFERROR(VLOOKUP($B234,Kraftvärmeprod!$B$1:$BX$549,MATCH(F$2,Kraftvärmeprod!$B$1:$VX$1,0),FALSE)/1,0)-IFERROR(VLOOKUP($B234,'Slutlig allokering kvv'!$B$2:$BX$549,MATCH(F$2,'Slutlig allokering kvv'!$B$1:$BX$1,0),FALSE)/1,0))</f>
        <v/>
      </c>
      <c r="G234" s="121" t="str">
        <f>IF($D234="","",IFERROR(VLOOKUP($B234,Kraftvärmeprod!$B$1:$BX$549,MATCH(G$2,Kraftvärmeprod!$B$1:$VX$1,0),FALSE)/1,0)-IFERROR(VLOOKUP($B234,'Slutlig allokering kvv'!$B$2:$BX$549,MATCH(G$2,'Slutlig allokering kvv'!$B$1:$BX$1,0),FALSE)/1,0))</f>
        <v/>
      </c>
      <c r="H234" s="121" t="str">
        <f>IF($D234="","",IFERROR(VLOOKUP($B234,Kraftvärmeprod!$B$1:$BX$549,MATCH(H$2,Kraftvärmeprod!$B$1:$VX$1,0),FALSE)/1,0)-IFERROR(VLOOKUP($B234,'Slutlig allokering kvv'!$B$2:$BX$549,MATCH(H$2,'Slutlig allokering kvv'!$B$1:$BX$1,0),FALSE)/1,0))</f>
        <v/>
      </c>
      <c r="I234" s="121" t="str">
        <f>IF($D234="","",IFERROR(VLOOKUP($B234,Kraftvärmeprod!$B$1:$BX$549,MATCH(I$2,Kraftvärmeprod!$B$1:$VX$1,0),FALSE)/1,0)-IFERROR(VLOOKUP($B234,'Slutlig allokering kvv'!$B$2:$BX$549,MATCH(I$2,'Slutlig allokering kvv'!$B$1:$BX$1,0),FALSE)/1,0))</f>
        <v/>
      </c>
      <c r="J234" s="121" t="str">
        <f>IF($D234="","",IFERROR(VLOOKUP($B234,Kraftvärmeprod!$B$1:$BX$549,MATCH(J$2,Kraftvärmeprod!$B$1:$VX$1,0),FALSE)/1,0)-IFERROR(VLOOKUP($B234,'Slutlig allokering kvv'!$B$2:$BX$549,MATCH(J$2,'Slutlig allokering kvv'!$B$1:$BX$1,0),FALSE)/1,0))</f>
        <v/>
      </c>
      <c r="K234" s="121" t="str">
        <f>IF($D234="","",IFERROR(VLOOKUP($B234,Kraftvärmeprod!$B$1:$BX$549,MATCH(K$2,Kraftvärmeprod!$B$1:$VX$1,0),FALSE)/1,0)-IFERROR(VLOOKUP($B234,'Slutlig allokering kvv'!$B$2:$BX$549,MATCH(K$2,'Slutlig allokering kvv'!$B$1:$BX$1,0),FALSE)/1,0))</f>
        <v/>
      </c>
      <c r="L234" s="121" t="str">
        <f>IF($D234="","",IFERROR(VLOOKUP($B234,Kraftvärmeprod!$B$1:$BX$549,MATCH(L$2,Kraftvärmeprod!$B$1:$VX$1,0),FALSE)/1,0)-IFERROR(VLOOKUP($B234,'Slutlig allokering kvv'!$B$2:$BX$549,MATCH(L$2,'Slutlig allokering kvv'!$B$1:$BX$1,0),FALSE)/1,0))</f>
        <v/>
      </c>
      <c r="M234" s="121" t="str">
        <f>IF($D234="","",IFERROR(VLOOKUP($B234,Kraftvärmeprod!$B$1:$BX$549,MATCH(M$2,Kraftvärmeprod!$B$1:$VX$1,0),FALSE)/1,0)-IFERROR(VLOOKUP($B234,'Slutlig allokering kvv'!$B$2:$BX$549,MATCH(M$2,'Slutlig allokering kvv'!$B$1:$BX$1,0),FALSE)/1,0))</f>
        <v/>
      </c>
      <c r="N234" s="121" t="str">
        <f>IF($D234="","",IFERROR(VLOOKUP($B234,Kraftvärmeprod!$B$1:$BX$549,MATCH(N$2,Kraftvärmeprod!$B$1:$VX$1,0),FALSE)/1,0)-IFERROR(VLOOKUP($B234,'Slutlig allokering kvv'!$B$2:$BX$549,MATCH(N$2,'Slutlig allokering kvv'!$B$1:$BX$1,0),FALSE)/1,0))</f>
        <v/>
      </c>
      <c r="O234" s="121" t="str">
        <f>IF($D234="","",IFERROR(VLOOKUP($B234,Kraftvärmeprod!$B$1:$BX$549,MATCH(O$2,Kraftvärmeprod!$B$1:$VX$1,0),FALSE)/1,0)-IFERROR(VLOOKUP($B234,'Slutlig allokering kvv'!$B$2:$BX$549,MATCH(O$2,'Slutlig allokering kvv'!$B$1:$BX$1,0),FALSE)/1,0))</f>
        <v/>
      </c>
      <c r="P234" s="121" t="str">
        <f>IF($D234="","",IFERROR(VLOOKUP($B234,Kraftvärmeprod!$B$1:$BX$549,MATCH(P$2,Kraftvärmeprod!$B$1:$VX$1,0),FALSE)/1,0)-IFERROR(VLOOKUP($B234,'Slutlig allokering kvv'!$B$2:$BX$549,MATCH(P$2,'Slutlig allokering kvv'!$B$1:$BX$1,0),FALSE)/1,0))</f>
        <v/>
      </c>
      <c r="Q234" s="121" t="str">
        <f>IF($D234="","",IFERROR(VLOOKUP($B234,Kraftvärmeprod!$B$1:$BX$549,MATCH(Q$2,Kraftvärmeprod!$B$1:$VX$1,0),FALSE)/1,0)-IFERROR(VLOOKUP($B234,'Slutlig allokering kvv'!$B$2:$BX$549,MATCH(Q$2,'Slutlig allokering kvv'!$B$1:$BX$1,0),FALSE)/1,0))</f>
        <v/>
      </c>
      <c r="R234" s="121" t="str">
        <f>IF($D234="","",IFERROR(VLOOKUP($B234,Kraftvärmeprod!$B$1:$BX$549,MATCH(R$2,Kraftvärmeprod!$B$1:$VX$1,0),FALSE)/1,0)-IFERROR(VLOOKUP($B234,'Slutlig allokering kvv'!$B$2:$BX$549,MATCH(R$2,'Slutlig allokering kvv'!$B$1:$BX$1,0),FALSE)/1,0))</f>
        <v/>
      </c>
      <c r="S234" s="121" t="str">
        <f>IF($D234="","",IFERROR(VLOOKUP($B234,Kraftvärmeprod!$B$1:$BX$549,MATCH(S$2,Kraftvärmeprod!$B$1:$VX$1,0),FALSE)/1,0)-IFERROR(VLOOKUP($B234,'Slutlig allokering kvv'!$B$2:$BX$549,MATCH(S$2,'Slutlig allokering kvv'!$B$1:$BX$1,0),FALSE)/1,0))</f>
        <v/>
      </c>
      <c r="T234" s="121" t="str">
        <f>IF($D234="","",IFERROR(VLOOKUP($B234,Kraftvärmeprod!$B$1:$BX$549,MATCH(T$2,Kraftvärmeprod!$B$1:$VX$1,0),FALSE)/1,0)-IFERROR(VLOOKUP($B234,'Slutlig allokering kvv'!$B$2:$BX$549,MATCH(T$2,'Slutlig allokering kvv'!$B$1:$BX$1,0),FALSE)/1,0))</f>
        <v/>
      </c>
      <c r="U234" s="121" t="str">
        <f>IF($D234="","",IFERROR(VLOOKUP($B234,Kraftvärmeprod!$B$1:$BX$549,MATCH(U$2,Kraftvärmeprod!$B$1:$VX$1,0),FALSE)/1,0)-IFERROR(VLOOKUP($B234,'Slutlig allokering kvv'!$B$2:$BX$549,MATCH(U$2,'Slutlig allokering kvv'!$B$1:$BX$1,0),FALSE)/1,0))</f>
        <v/>
      </c>
      <c r="V234" s="121" t="str">
        <f>IF($D234="","",IFERROR(VLOOKUP($B234,Kraftvärmeprod!$B$1:$BX$549,MATCH(V$2,Kraftvärmeprod!$B$1:$VX$1,0),FALSE)/1,0)-IFERROR(VLOOKUP($B234,'Slutlig allokering kvv'!$B$2:$BX$549,MATCH(V$2,'Slutlig allokering kvv'!$B$1:$BX$1,0),FALSE)/1,0))</f>
        <v/>
      </c>
      <c r="W234" s="121" t="str">
        <f>IF($D234="","",IFERROR(VLOOKUP($B234,Kraftvärmeprod!$B$1:$BX$549,MATCH(W$2,Kraftvärmeprod!$B$1:$VX$1,0),FALSE)/1,0)-IFERROR(VLOOKUP($B234,'Slutlig allokering kvv'!$B$2:$BX$549,MATCH(W$2,'Slutlig allokering kvv'!$B$1:$BX$1,0),FALSE)/1,0))</f>
        <v/>
      </c>
      <c r="X234" s="121" t="str">
        <f>IF($D234="","",IFERROR(VLOOKUP($B234,Kraftvärmeprod!$B$1:$BX$549,MATCH(X$2,Kraftvärmeprod!$B$1:$VX$1,0),FALSE)/1,0)-IFERROR(VLOOKUP($B234,'Slutlig allokering kvv'!$B$2:$BX$549,MATCH(X$2,'Slutlig allokering kvv'!$B$1:$BX$1,0),FALSE)/1,0))</f>
        <v/>
      </c>
      <c r="Y234" s="121" t="str">
        <f>IF($D234="","",IFERROR(VLOOKUP($B234,Kraftvärmeprod!$B$1:$BX$549,MATCH(Y$2,Kraftvärmeprod!$B$1:$VX$1,0),FALSE)/1,0)-IFERROR(VLOOKUP($B234,'Slutlig allokering kvv'!$B$2:$BX$549,MATCH(Y$2,'Slutlig allokering kvv'!$B$1:$BX$1,0),FALSE)/1,0))</f>
        <v/>
      </c>
      <c r="Z234" s="121" t="str">
        <f>IF($D234="","",IFERROR(VLOOKUP($B234,Kraftvärmeprod!$B$1:$BX$549,MATCH(Z$2,Kraftvärmeprod!$B$1:$VX$1,0),FALSE)/1,0)-IFERROR(VLOOKUP($B234,'Slutlig allokering kvv'!$B$2:$BX$549,MATCH(Z$2,'Slutlig allokering kvv'!$B$1:$BX$1,0),FALSE)/1,0))</f>
        <v/>
      </c>
      <c r="AA234" s="121" t="str">
        <f>IF($D234="","",IFERROR(VLOOKUP($B234,Kraftvärmeprod!$B$1:$BX$549,MATCH(AA$2,Kraftvärmeprod!$B$1:$VX$1,0),FALSE)/1,0)-IFERROR(VLOOKUP($B234,'Slutlig allokering kvv'!$B$2:$BX$549,MATCH(AA$2,'Slutlig allokering kvv'!$B$1:$BX$1,0),FALSE)/1,0))</f>
        <v/>
      </c>
      <c r="AB234" s="121" t="str">
        <f>IF($D234="","",IFERROR(VLOOKUP($B234,Kraftvärmeprod!$B$1:$BX$549,MATCH(AB$2,Kraftvärmeprod!$B$1:$VX$1,0),FALSE)/1,0)-IFERROR(VLOOKUP($B234,'Slutlig allokering kvv'!$B$2:$BX$549,MATCH(AB$2,'Slutlig allokering kvv'!$B$1:$BX$1,0),FALSE)/1,0))</f>
        <v/>
      </c>
      <c r="AC234" s="121" t="str">
        <f>IF($D234="","",IFERROR(VLOOKUP($B234,Kraftvärmeprod!$B$1:$BX$549,MATCH(AC$2,Kraftvärmeprod!$B$1:$VX$1,0),FALSE)/1,0)-IFERROR(VLOOKUP($B234,'Slutlig allokering kvv'!$B$2:$BX$549,MATCH(AC$2,'Slutlig allokering kvv'!$B$1:$BX$1,0),FALSE)/1,0))</f>
        <v/>
      </c>
      <c r="AD234" s="121" t="str">
        <f>IF($D234="","",IFERROR(VLOOKUP($B234,Kraftvärmeprod!$B$1:$BX$549,MATCH(AD$2,Kraftvärmeprod!$B$1:$VX$1,0),FALSE)/1,0)-IFERROR(VLOOKUP($B234,'Slutlig allokering kvv'!$B$2:$BX$549,MATCH(AD$2,'Slutlig allokering kvv'!$B$1:$BX$1,0),FALSE)/1,0))</f>
        <v/>
      </c>
      <c r="AE234" s="121" t="str">
        <f>IF($D234="","",IFERROR(VLOOKUP($B234,Miljö!$B$1:$E$550,MATCH("Hjälpel kraftvärme (GWh)",Miljö!$B$1:$E$1,0),FALSE)/1,0)-IFERROR(VLOOKUP($B234,'Slutlig allokering kvv'!$B$2:$BX$549,MATCH(AE$2,'Slutlig allokering kvv'!$B$1:$BX$1,0),FALSE)/1,0))</f>
        <v/>
      </c>
      <c r="AI234" s="121">
        <f t="shared" si="12"/>
        <v>0</v>
      </c>
      <c r="AK234" s="121">
        <f>IFERROR(VLOOKUP($B234,'Slutlig allokering kvv'!$B$2:$AX$549,MATCH("Summa slutlig allokerad tillförd energi (utan hjälpel och rökgaskondensering):",'Slutlig allokering kvv'!$B$1:$AX$1,0),FALSE)/1,"")</f>
        <v>0</v>
      </c>
      <c r="AM234" s="172" t="str">
        <f>IFERROR(1-VLOOKUP($B234,'Slutlig allokering kvv'!$B$2:$AX$549,MATCH("Andel av bränsle i kvv som allokerats till värme, exklusive rökgaskondensering och hjälpel",'Slutlig allokering kvv'!$B$1:$AX$1,0),FALSE),"")</f>
        <v/>
      </c>
      <c r="AO234" s="172" t="str">
        <f t="shared" si="13"/>
        <v/>
      </c>
      <c r="AP234" s="173" t="str">
        <f t="shared" si="14"/>
        <v/>
      </c>
      <c r="AR234" s="172" t="str">
        <f t="shared" si="15"/>
        <v/>
      </c>
    </row>
    <row r="235" spans="1:44" x14ac:dyDescent="0.25">
      <c r="A235" s="171" t="str">
        <f>'Miljövärden för publ företag'!B237</f>
        <v>Skövde Energi AB</v>
      </c>
      <c r="B235" s="171" t="str">
        <f>'Miljövärden för publ företag'!C237</f>
        <v>Skultorp</v>
      </c>
      <c r="C235" s="121" t="str">
        <f>IFERROR(VLOOKUP($B235,Kraftvärmeprod!$B$1:$AH$478,MATCH(C$2,Kraftvärmeprod!$B$1:$AG$1,0),FALSE)/1,"")</f>
        <v/>
      </c>
      <c r="D235" s="121" t="str">
        <f>IFERROR(VLOOKUP($B235,Kraftvärmeprod!$B$1:$AH$478,MATCH(D$2,Kraftvärmeprod!$B$1:$AG$1,0),FALSE)/1,"")</f>
        <v/>
      </c>
      <c r="F235" s="121" t="str">
        <f>IF($D235="","",IFERROR(VLOOKUP($B235,Kraftvärmeprod!$B$1:$BX$549,MATCH(F$2,Kraftvärmeprod!$B$1:$VX$1,0),FALSE)/1,0)-IFERROR(VLOOKUP($B235,'Slutlig allokering kvv'!$B$2:$BX$549,MATCH(F$2,'Slutlig allokering kvv'!$B$1:$BX$1,0),FALSE)/1,0))</f>
        <v/>
      </c>
      <c r="G235" s="121" t="str">
        <f>IF($D235="","",IFERROR(VLOOKUP($B235,Kraftvärmeprod!$B$1:$BX$549,MATCH(G$2,Kraftvärmeprod!$B$1:$VX$1,0),FALSE)/1,0)-IFERROR(VLOOKUP($B235,'Slutlig allokering kvv'!$B$2:$BX$549,MATCH(G$2,'Slutlig allokering kvv'!$B$1:$BX$1,0),FALSE)/1,0))</f>
        <v/>
      </c>
      <c r="H235" s="121" t="str">
        <f>IF($D235="","",IFERROR(VLOOKUP($B235,Kraftvärmeprod!$B$1:$BX$549,MATCH(H$2,Kraftvärmeprod!$B$1:$VX$1,0),FALSE)/1,0)-IFERROR(VLOOKUP($B235,'Slutlig allokering kvv'!$B$2:$BX$549,MATCH(H$2,'Slutlig allokering kvv'!$B$1:$BX$1,0),FALSE)/1,0))</f>
        <v/>
      </c>
      <c r="I235" s="121" t="str">
        <f>IF($D235="","",IFERROR(VLOOKUP($B235,Kraftvärmeprod!$B$1:$BX$549,MATCH(I$2,Kraftvärmeprod!$B$1:$VX$1,0),FALSE)/1,0)-IFERROR(VLOOKUP($B235,'Slutlig allokering kvv'!$B$2:$BX$549,MATCH(I$2,'Slutlig allokering kvv'!$B$1:$BX$1,0),FALSE)/1,0))</f>
        <v/>
      </c>
      <c r="J235" s="121" t="str">
        <f>IF($D235="","",IFERROR(VLOOKUP($B235,Kraftvärmeprod!$B$1:$BX$549,MATCH(J$2,Kraftvärmeprod!$B$1:$VX$1,0),FALSE)/1,0)-IFERROR(VLOOKUP($B235,'Slutlig allokering kvv'!$B$2:$BX$549,MATCH(J$2,'Slutlig allokering kvv'!$B$1:$BX$1,0),FALSE)/1,0))</f>
        <v/>
      </c>
      <c r="K235" s="121" t="str">
        <f>IF($D235="","",IFERROR(VLOOKUP($B235,Kraftvärmeprod!$B$1:$BX$549,MATCH(K$2,Kraftvärmeprod!$B$1:$VX$1,0),FALSE)/1,0)-IFERROR(VLOOKUP($B235,'Slutlig allokering kvv'!$B$2:$BX$549,MATCH(K$2,'Slutlig allokering kvv'!$B$1:$BX$1,0),FALSE)/1,0))</f>
        <v/>
      </c>
      <c r="L235" s="121" t="str">
        <f>IF($D235="","",IFERROR(VLOOKUP($B235,Kraftvärmeprod!$B$1:$BX$549,MATCH(L$2,Kraftvärmeprod!$B$1:$VX$1,0),FALSE)/1,0)-IFERROR(VLOOKUP($B235,'Slutlig allokering kvv'!$B$2:$BX$549,MATCH(L$2,'Slutlig allokering kvv'!$B$1:$BX$1,0),FALSE)/1,0))</f>
        <v/>
      </c>
      <c r="M235" s="121" t="str">
        <f>IF($D235="","",IFERROR(VLOOKUP($B235,Kraftvärmeprod!$B$1:$BX$549,MATCH(M$2,Kraftvärmeprod!$B$1:$VX$1,0),FALSE)/1,0)-IFERROR(VLOOKUP($B235,'Slutlig allokering kvv'!$B$2:$BX$549,MATCH(M$2,'Slutlig allokering kvv'!$B$1:$BX$1,0),FALSE)/1,0))</f>
        <v/>
      </c>
      <c r="N235" s="121" t="str">
        <f>IF($D235="","",IFERROR(VLOOKUP($B235,Kraftvärmeprod!$B$1:$BX$549,MATCH(N$2,Kraftvärmeprod!$B$1:$VX$1,0),FALSE)/1,0)-IFERROR(VLOOKUP($B235,'Slutlig allokering kvv'!$B$2:$BX$549,MATCH(N$2,'Slutlig allokering kvv'!$B$1:$BX$1,0),FALSE)/1,0))</f>
        <v/>
      </c>
      <c r="O235" s="121" t="str">
        <f>IF($D235="","",IFERROR(VLOOKUP($B235,Kraftvärmeprod!$B$1:$BX$549,MATCH(O$2,Kraftvärmeprod!$B$1:$VX$1,0),FALSE)/1,0)-IFERROR(VLOOKUP($B235,'Slutlig allokering kvv'!$B$2:$BX$549,MATCH(O$2,'Slutlig allokering kvv'!$B$1:$BX$1,0),FALSE)/1,0))</f>
        <v/>
      </c>
      <c r="P235" s="121" t="str">
        <f>IF($D235="","",IFERROR(VLOOKUP($B235,Kraftvärmeprod!$B$1:$BX$549,MATCH(P$2,Kraftvärmeprod!$B$1:$VX$1,0),FALSE)/1,0)-IFERROR(VLOOKUP($B235,'Slutlig allokering kvv'!$B$2:$BX$549,MATCH(P$2,'Slutlig allokering kvv'!$B$1:$BX$1,0),FALSE)/1,0))</f>
        <v/>
      </c>
      <c r="Q235" s="121" t="str">
        <f>IF($D235="","",IFERROR(VLOOKUP($B235,Kraftvärmeprod!$B$1:$BX$549,MATCH(Q$2,Kraftvärmeprod!$B$1:$VX$1,0),FALSE)/1,0)-IFERROR(VLOOKUP($B235,'Slutlig allokering kvv'!$B$2:$BX$549,MATCH(Q$2,'Slutlig allokering kvv'!$B$1:$BX$1,0),FALSE)/1,0))</f>
        <v/>
      </c>
      <c r="R235" s="121" t="str">
        <f>IF($D235="","",IFERROR(VLOOKUP($B235,Kraftvärmeprod!$B$1:$BX$549,MATCH(R$2,Kraftvärmeprod!$B$1:$VX$1,0),FALSE)/1,0)-IFERROR(VLOOKUP($B235,'Slutlig allokering kvv'!$B$2:$BX$549,MATCH(R$2,'Slutlig allokering kvv'!$B$1:$BX$1,0),FALSE)/1,0))</f>
        <v/>
      </c>
      <c r="S235" s="121" t="str">
        <f>IF($D235="","",IFERROR(VLOOKUP($B235,Kraftvärmeprod!$B$1:$BX$549,MATCH(S$2,Kraftvärmeprod!$B$1:$VX$1,0),FALSE)/1,0)-IFERROR(VLOOKUP($B235,'Slutlig allokering kvv'!$B$2:$BX$549,MATCH(S$2,'Slutlig allokering kvv'!$B$1:$BX$1,0),FALSE)/1,0))</f>
        <v/>
      </c>
      <c r="T235" s="121" t="str">
        <f>IF($D235="","",IFERROR(VLOOKUP($B235,Kraftvärmeprod!$B$1:$BX$549,MATCH(T$2,Kraftvärmeprod!$B$1:$VX$1,0),FALSE)/1,0)-IFERROR(VLOOKUP($B235,'Slutlig allokering kvv'!$B$2:$BX$549,MATCH(T$2,'Slutlig allokering kvv'!$B$1:$BX$1,0),FALSE)/1,0))</f>
        <v/>
      </c>
      <c r="U235" s="121" t="str">
        <f>IF($D235="","",IFERROR(VLOOKUP($B235,Kraftvärmeprod!$B$1:$BX$549,MATCH(U$2,Kraftvärmeprod!$B$1:$VX$1,0),FALSE)/1,0)-IFERROR(VLOOKUP($B235,'Slutlig allokering kvv'!$B$2:$BX$549,MATCH(U$2,'Slutlig allokering kvv'!$B$1:$BX$1,0),FALSE)/1,0))</f>
        <v/>
      </c>
      <c r="V235" s="121" t="str">
        <f>IF($D235="","",IFERROR(VLOOKUP($B235,Kraftvärmeprod!$B$1:$BX$549,MATCH(V$2,Kraftvärmeprod!$B$1:$VX$1,0),FALSE)/1,0)-IFERROR(VLOOKUP($B235,'Slutlig allokering kvv'!$B$2:$BX$549,MATCH(V$2,'Slutlig allokering kvv'!$B$1:$BX$1,0),FALSE)/1,0))</f>
        <v/>
      </c>
      <c r="W235" s="121" t="str">
        <f>IF($D235="","",IFERROR(VLOOKUP($B235,Kraftvärmeprod!$B$1:$BX$549,MATCH(W$2,Kraftvärmeprod!$B$1:$VX$1,0),FALSE)/1,0)-IFERROR(VLOOKUP($B235,'Slutlig allokering kvv'!$B$2:$BX$549,MATCH(W$2,'Slutlig allokering kvv'!$B$1:$BX$1,0),FALSE)/1,0))</f>
        <v/>
      </c>
      <c r="X235" s="121" t="str">
        <f>IF($D235="","",IFERROR(VLOOKUP($B235,Kraftvärmeprod!$B$1:$BX$549,MATCH(X$2,Kraftvärmeprod!$B$1:$VX$1,0),FALSE)/1,0)-IFERROR(VLOOKUP($B235,'Slutlig allokering kvv'!$B$2:$BX$549,MATCH(X$2,'Slutlig allokering kvv'!$B$1:$BX$1,0),FALSE)/1,0))</f>
        <v/>
      </c>
      <c r="Y235" s="121" t="str">
        <f>IF($D235="","",IFERROR(VLOOKUP($B235,Kraftvärmeprod!$B$1:$BX$549,MATCH(Y$2,Kraftvärmeprod!$B$1:$VX$1,0),FALSE)/1,0)-IFERROR(VLOOKUP($B235,'Slutlig allokering kvv'!$B$2:$BX$549,MATCH(Y$2,'Slutlig allokering kvv'!$B$1:$BX$1,0),FALSE)/1,0))</f>
        <v/>
      </c>
      <c r="Z235" s="121" t="str">
        <f>IF($D235="","",IFERROR(VLOOKUP($B235,Kraftvärmeprod!$B$1:$BX$549,MATCH(Z$2,Kraftvärmeprod!$B$1:$VX$1,0),FALSE)/1,0)-IFERROR(VLOOKUP($B235,'Slutlig allokering kvv'!$B$2:$BX$549,MATCH(Z$2,'Slutlig allokering kvv'!$B$1:$BX$1,0),FALSE)/1,0))</f>
        <v/>
      </c>
      <c r="AA235" s="121" t="str">
        <f>IF($D235="","",IFERROR(VLOOKUP($B235,Kraftvärmeprod!$B$1:$BX$549,MATCH(AA$2,Kraftvärmeprod!$B$1:$VX$1,0),FALSE)/1,0)-IFERROR(VLOOKUP($B235,'Slutlig allokering kvv'!$B$2:$BX$549,MATCH(AA$2,'Slutlig allokering kvv'!$B$1:$BX$1,0),FALSE)/1,0))</f>
        <v/>
      </c>
      <c r="AB235" s="121" t="str">
        <f>IF($D235="","",IFERROR(VLOOKUP($B235,Kraftvärmeprod!$B$1:$BX$549,MATCH(AB$2,Kraftvärmeprod!$B$1:$VX$1,0),FALSE)/1,0)-IFERROR(VLOOKUP($B235,'Slutlig allokering kvv'!$B$2:$BX$549,MATCH(AB$2,'Slutlig allokering kvv'!$B$1:$BX$1,0),FALSE)/1,0))</f>
        <v/>
      </c>
      <c r="AC235" s="121" t="str">
        <f>IF($D235="","",IFERROR(VLOOKUP($B235,Kraftvärmeprod!$B$1:$BX$549,MATCH(AC$2,Kraftvärmeprod!$B$1:$VX$1,0),FALSE)/1,0)-IFERROR(VLOOKUP($B235,'Slutlig allokering kvv'!$B$2:$BX$549,MATCH(AC$2,'Slutlig allokering kvv'!$B$1:$BX$1,0),FALSE)/1,0))</f>
        <v/>
      </c>
      <c r="AD235" s="121" t="str">
        <f>IF($D235="","",IFERROR(VLOOKUP($B235,Kraftvärmeprod!$B$1:$BX$549,MATCH(AD$2,Kraftvärmeprod!$B$1:$VX$1,0),FALSE)/1,0)-IFERROR(VLOOKUP($B235,'Slutlig allokering kvv'!$B$2:$BX$549,MATCH(AD$2,'Slutlig allokering kvv'!$B$1:$BX$1,0),FALSE)/1,0))</f>
        <v/>
      </c>
      <c r="AE235" s="121" t="str">
        <f>IF($D235="","",IFERROR(VLOOKUP($B235,Miljö!$B$1:$E$550,MATCH("Hjälpel kraftvärme (GWh)",Miljö!$B$1:$E$1,0),FALSE)/1,0)-IFERROR(VLOOKUP($B235,'Slutlig allokering kvv'!$B$2:$BX$549,MATCH(AE$2,'Slutlig allokering kvv'!$B$1:$BX$1,0),FALSE)/1,0))</f>
        <v/>
      </c>
      <c r="AI235" s="121">
        <f t="shared" si="12"/>
        <v>0</v>
      </c>
      <c r="AK235" s="121">
        <f>IFERROR(VLOOKUP($B235,'Slutlig allokering kvv'!$B$2:$AX$549,MATCH("Summa slutlig allokerad tillförd energi (utan hjälpel och rökgaskondensering):",'Slutlig allokering kvv'!$B$1:$AX$1,0),FALSE)/1,"")</f>
        <v>0</v>
      </c>
      <c r="AM235" s="172" t="str">
        <f>IFERROR(1-VLOOKUP($B235,'Slutlig allokering kvv'!$B$2:$AX$549,MATCH("Andel av bränsle i kvv som allokerats till värme, exklusive rökgaskondensering och hjälpel",'Slutlig allokering kvv'!$B$1:$AX$1,0),FALSE),"")</f>
        <v/>
      </c>
      <c r="AO235" s="172" t="str">
        <f t="shared" si="13"/>
        <v/>
      </c>
      <c r="AP235" s="173" t="str">
        <f t="shared" si="14"/>
        <v/>
      </c>
      <c r="AR235" s="172" t="str">
        <f t="shared" si="15"/>
        <v/>
      </c>
    </row>
    <row r="236" spans="1:44" x14ac:dyDescent="0.25">
      <c r="A236" s="171" t="str">
        <f>'Miljövärden för publ företag'!B238</f>
        <v>Skövde Energi AB</v>
      </c>
      <c r="B236" s="171" t="str">
        <f>'Miljövärden för publ företag'!C238</f>
        <v>Skövde</v>
      </c>
      <c r="C236" s="121">
        <f>IFERROR(VLOOKUP($B236,Kraftvärmeprod!$B$1:$AH$478,MATCH(C$2,Kraftvärmeprod!$B$1:$AG$1,0),FALSE)/1,"")</f>
        <v>315.77999999999997</v>
      </c>
      <c r="D236" s="121">
        <f>IFERROR(VLOOKUP($B236,Kraftvärmeprod!$B$1:$AH$478,MATCH(D$2,Kraftvärmeprod!$B$1:$AG$1,0),FALSE)/1,"")</f>
        <v>43.185000000000002</v>
      </c>
      <c r="F236" s="121">
        <f>IF($D236="","",IFERROR(VLOOKUP($B236,Kraftvärmeprod!$B$1:$BX$549,MATCH(F$2,Kraftvärmeprod!$B$1:$VX$1,0),FALSE)/1,0)-IFERROR(VLOOKUP($B236,'Slutlig allokering kvv'!$B$2:$BX$549,MATCH(F$2,'Slutlig allokering kvv'!$B$1:$BX$1,0),FALSE)/1,0))</f>
        <v>0</v>
      </c>
      <c r="G236" s="121">
        <f>IF($D236="","",IFERROR(VLOOKUP($B236,Kraftvärmeprod!$B$1:$BX$549,MATCH(G$2,Kraftvärmeprod!$B$1:$VX$1,0),FALSE)/1,0)-IFERROR(VLOOKUP($B236,'Slutlig allokering kvv'!$B$2:$BX$549,MATCH(G$2,'Slutlig allokering kvv'!$B$1:$BX$1,0),FALSE)/1,0))</f>
        <v>0.33586000000000005</v>
      </c>
      <c r="H236" s="121">
        <f>IF($D236="","",IFERROR(VLOOKUP($B236,Kraftvärmeprod!$B$1:$BX$549,MATCH(H$2,Kraftvärmeprod!$B$1:$VX$1,0),FALSE)/1,0)-IFERROR(VLOOKUP($B236,'Slutlig allokering kvv'!$B$2:$BX$549,MATCH(H$2,'Slutlig allokering kvv'!$B$1:$BX$1,0),FALSE)/1,0))</f>
        <v>0</v>
      </c>
      <c r="I236" s="121">
        <f>IF($D236="","",IFERROR(VLOOKUP($B236,Kraftvärmeprod!$B$1:$BX$549,MATCH(I$2,Kraftvärmeprod!$B$1:$VX$1,0),FALSE)/1,0)-IFERROR(VLOOKUP($B236,'Slutlig allokering kvv'!$B$2:$BX$549,MATCH(I$2,'Slutlig allokering kvv'!$B$1:$BX$1,0),FALSE)/1,0))</f>
        <v>0</v>
      </c>
      <c r="J236" s="121">
        <f>IF($D236="","",IFERROR(VLOOKUP($B236,Kraftvärmeprod!$B$1:$BX$549,MATCH(J$2,Kraftvärmeprod!$B$1:$VX$1,0),FALSE)/1,0)-IFERROR(VLOOKUP($B236,'Slutlig allokering kvv'!$B$2:$BX$549,MATCH(J$2,'Slutlig allokering kvv'!$B$1:$BX$1,0),FALSE)/1,0))</f>
        <v>0</v>
      </c>
      <c r="K236" s="121">
        <f>IF($D236="","",IFERROR(VLOOKUP($B236,Kraftvärmeprod!$B$1:$BX$549,MATCH(K$2,Kraftvärmeprod!$B$1:$VX$1,0),FALSE)/1,0)-IFERROR(VLOOKUP($B236,'Slutlig allokering kvv'!$B$2:$BX$549,MATCH(K$2,'Slutlig allokering kvv'!$B$1:$BX$1,0),FALSE)/1,0))</f>
        <v>0</v>
      </c>
      <c r="L236" s="121">
        <f>IF($D236="","",IFERROR(VLOOKUP($B236,Kraftvärmeprod!$B$1:$BX$549,MATCH(L$2,Kraftvärmeprod!$B$1:$VX$1,0),FALSE)/1,0)-IFERROR(VLOOKUP($B236,'Slutlig allokering kvv'!$B$2:$BX$549,MATCH(L$2,'Slutlig allokering kvv'!$B$1:$BX$1,0),FALSE)/1,0))</f>
        <v>47.829000000000008</v>
      </c>
      <c r="M236" s="121">
        <f>IF($D236="","",IFERROR(VLOOKUP($B236,Kraftvärmeprod!$B$1:$BX$549,MATCH(M$2,Kraftvärmeprod!$B$1:$VX$1,0),FALSE)/1,0)-IFERROR(VLOOKUP($B236,'Slutlig allokering kvv'!$B$2:$BX$549,MATCH(M$2,'Slutlig allokering kvv'!$B$1:$BX$1,0),FALSE)/1,0))</f>
        <v>0</v>
      </c>
      <c r="N236" s="121">
        <f>IF($D236="","",IFERROR(VLOOKUP($B236,Kraftvärmeprod!$B$1:$BX$549,MATCH(N$2,Kraftvärmeprod!$B$1:$VX$1,0),FALSE)/1,0)-IFERROR(VLOOKUP($B236,'Slutlig allokering kvv'!$B$2:$BX$549,MATCH(N$2,'Slutlig allokering kvv'!$B$1:$BX$1,0),FALSE)/1,0))</f>
        <v>0</v>
      </c>
      <c r="O236" s="121">
        <f>IF($D236="","",IFERROR(VLOOKUP($B236,Kraftvärmeprod!$B$1:$BX$549,MATCH(O$2,Kraftvärmeprod!$B$1:$VX$1,0),FALSE)/1,0)-IFERROR(VLOOKUP($B236,'Slutlig allokering kvv'!$B$2:$BX$549,MATCH(O$2,'Slutlig allokering kvv'!$B$1:$BX$1,0),FALSE)/1,0))</f>
        <v>0</v>
      </c>
      <c r="P236" s="121">
        <f>IF($D236="","",IFERROR(VLOOKUP($B236,Kraftvärmeprod!$B$1:$BX$549,MATCH(P$2,Kraftvärmeprod!$B$1:$VX$1,0),FALSE)/1,0)-IFERROR(VLOOKUP($B236,'Slutlig allokering kvv'!$B$2:$BX$549,MATCH(P$2,'Slutlig allokering kvv'!$B$1:$BX$1,0),FALSE)/1,0))</f>
        <v>0</v>
      </c>
      <c r="Q236" s="121">
        <f>IF($D236="","",IFERROR(VLOOKUP($B236,Kraftvärmeprod!$B$1:$BX$549,MATCH(Q$2,Kraftvärmeprod!$B$1:$VX$1,0),FALSE)/1,0)-IFERROR(VLOOKUP($B236,'Slutlig allokering kvv'!$B$2:$BX$549,MATCH(Q$2,'Slutlig allokering kvv'!$B$1:$BX$1,0),FALSE)/1,0))</f>
        <v>0</v>
      </c>
      <c r="R236" s="121">
        <f>IF($D236="","",IFERROR(VLOOKUP($B236,Kraftvärmeprod!$B$1:$BX$549,MATCH(R$2,Kraftvärmeprod!$B$1:$VX$1,0),FALSE)/1,0)-IFERROR(VLOOKUP($B236,'Slutlig allokering kvv'!$B$2:$BX$549,MATCH(R$2,'Slutlig allokering kvv'!$B$1:$BX$1,0),FALSE)/1,0))</f>
        <v>0</v>
      </c>
      <c r="S236" s="121">
        <f>IF($D236="","",IFERROR(VLOOKUP($B236,Kraftvärmeprod!$B$1:$BX$549,MATCH(S$2,Kraftvärmeprod!$B$1:$VX$1,0),FALSE)/1,0)-IFERROR(VLOOKUP($B236,'Slutlig allokering kvv'!$B$2:$BX$549,MATCH(S$2,'Slutlig allokering kvv'!$B$1:$BX$1,0),FALSE)/1,0))</f>
        <v>0</v>
      </c>
      <c r="T236" s="121">
        <f>IF($D236="","",IFERROR(VLOOKUP($B236,Kraftvärmeprod!$B$1:$BX$549,MATCH(T$2,Kraftvärmeprod!$B$1:$VX$1,0),FALSE)/1,0)-IFERROR(VLOOKUP($B236,'Slutlig allokering kvv'!$B$2:$BX$549,MATCH(T$2,'Slutlig allokering kvv'!$B$1:$BX$1,0),FALSE)/1,0))</f>
        <v>0</v>
      </c>
      <c r="U236" s="121">
        <f>IF($D236="","",IFERROR(VLOOKUP($B236,Kraftvärmeprod!$B$1:$BX$549,MATCH(U$2,Kraftvärmeprod!$B$1:$VX$1,0),FALSE)/1,0)-IFERROR(VLOOKUP($B236,'Slutlig allokering kvv'!$B$2:$BX$549,MATCH(U$2,'Slutlig allokering kvv'!$B$1:$BX$1,0),FALSE)/1,0))</f>
        <v>0</v>
      </c>
      <c r="V236" s="121">
        <f>IF($D236="","",IFERROR(VLOOKUP($B236,Kraftvärmeprod!$B$1:$BX$549,MATCH(V$2,Kraftvärmeprod!$B$1:$VX$1,0),FALSE)/1,0)-IFERROR(VLOOKUP($B236,'Slutlig allokering kvv'!$B$2:$BX$549,MATCH(V$2,'Slutlig allokering kvv'!$B$1:$BX$1,0),FALSE)/1,0))</f>
        <v>0</v>
      </c>
      <c r="W236" s="121">
        <f>IF($D236="","",IFERROR(VLOOKUP($B236,Kraftvärmeprod!$B$1:$BX$549,MATCH(W$2,Kraftvärmeprod!$B$1:$VX$1,0),FALSE)/1,0)-IFERROR(VLOOKUP($B236,'Slutlig allokering kvv'!$B$2:$BX$549,MATCH(W$2,'Slutlig allokering kvv'!$B$1:$BX$1,0),FALSE)/1,0))</f>
        <v>0</v>
      </c>
      <c r="X236" s="121">
        <f>IF($D236="","",IFERROR(VLOOKUP($B236,Kraftvärmeprod!$B$1:$BX$549,MATCH(X$2,Kraftvärmeprod!$B$1:$VX$1,0),FALSE)/1,0)-IFERROR(VLOOKUP($B236,'Slutlig allokering kvv'!$B$2:$BX$549,MATCH(X$2,'Slutlig allokering kvv'!$B$1:$BX$1,0),FALSE)/1,0))</f>
        <v>0</v>
      </c>
      <c r="Y236" s="121">
        <f>IF($D236="","",IFERROR(VLOOKUP($B236,Kraftvärmeprod!$B$1:$BX$549,MATCH(Y$2,Kraftvärmeprod!$B$1:$VX$1,0),FALSE)/1,0)-IFERROR(VLOOKUP($B236,'Slutlig allokering kvv'!$B$2:$BX$549,MATCH(Y$2,'Slutlig allokering kvv'!$B$1:$BX$1,0),FALSE)/1,0))</f>
        <v>0</v>
      </c>
      <c r="Z236" s="121">
        <f>IF($D236="","",IFERROR(VLOOKUP($B236,Kraftvärmeprod!$B$1:$BX$549,MATCH(Z$2,Kraftvärmeprod!$B$1:$VX$1,0),FALSE)/1,0)-IFERROR(VLOOKUP($B236,'Slutlig allokering kvv'!$B$2:$BX$549,MATCH(Z$2,'Slutlig allokering kvv'!$B$1:$BX$1,0),FALSE)/1,0))</f>
        <v>0</v>
      </c>
      <c r="AA236" s="121">
        <f>IF($D236="","",IFERROR(VLOOKUP($B236,Kraftvärmeprod!$B$1:$BX$549,MATCH(AA$2,Kraftvärmeprod!$B$1:$VX$1,0),FALSE)/1,0)-IFERROR(VLOOKUP($B236,'Slutlig allokering kvv'!$B$2:$BX$549,MATCH(AA$2,'Slutlig allokering kvv'!$B$1:$BX$1,0),FALSE)/1,0))</f>
        <v>56.823000000000008</v>
      </c>
      <c r="AB236" s="121">
        <f>IF($D236="","",IFERROR(VLOOKUP($B236,Kraftvärmeprod!$B$1:$BX$549,MATCH(AB$2,Kraftvärmeprod!$B$1:$VX$1,0),FALSE)/1,0)-IFERROR(VLOOKUP($B236,'Slutlig allokering kvv'!$B$2:$BX$549,MATCH(AB$2,'Slutlig allokering kvv'!$B$1:$BX$1,0),FALSE)/1,0))</f>
        <v>0</v>
      </c>
      <c r="AC236" s="121">
        <f>IF($D236="","",IFERROR(VLOOKUP($B236,Kraftvärmeprod!$B$1:$BX$549,MATCH(AC$2,Kraftvärmeprod!$B$1:$VX$1,0),FALSE)/1,0)-IFERROR(VLOOKUP($B236,'Slutlig allokering kvv'!$B$2:$BX$549,MATCH(AC$2,'Slutlig allokering kvv'!$B$1:$BX$1,0),FALSE)/1,0))</f>
        <v>0</v>
      </c>
      <c r="AD236" s="121">
        <f>IF($D236="","",IFERROR(VLOOKUP($B236,Kraftvärmeprod!$B$1:$BX$549,MATCH(AD$2,Kraftvärmeprod!$B$1:$VX$1,0),FALSE)/1,0)-IFERROR(VLOOKUP($B236,'Slutlig allokering kvv'!$B$2:$BX$549,MATCH(AD$2,'Slutlig allokering kvv'!$B$1:$BX$1,0),FALSE)/1,0))</f>
        <v>0</v>
      </c>
      <c r="AE236" s="121">
        <f>IF($D236="","",IFERROR(VLOOKUP($B236,Miljö!$B$1:$E$550,MATCH("Hjälpel kraftvärme (GWh)",Miljö!$B$1:$E$1,0),FALSE)/1,0)-IFERROR(VLOOKUP($B236,'Slutlig allokering kvv'!$B$2:$BX$549,MATCH(AE$2,'Slutlig allokering kvv'!$B$1:$BX$1,0),FALSE)/1,0))</f>
        <v>3.2609200000000005</v>
      </c>
      <c r="AI236" s="121">
        <f t="shared" si="12"/>
        <v>104.98786000000001</v>
      </c>
      <c r="AK236" s="121">
        <f>IFERROR(VLOOKUP($B236,'Slutlig allokering kvv'!$B$2:$AX$549,MATCH("Summa slutlig allokerad tillförd energi (utan hjälpel och rökgaskondensering):",'Slutlig allokering kvv'!$B$1:$AX$1,0),FALSE)/1,"")</f>
        <v>265.26314000000002</v>
      </c>
      <c r="AM236" s="172">
        <f>IFERROR(1-VLOOKUP($B236,'Slutlig allokering kvv'!$B$2:$AX$549,MATCH("Andel av bränsle i kvv som allokerats till värme, exklusive rökgaskondensering och hjälpel",'Slutlig allokering kvv'!$B$1:$AX$1,0),FALSE),"")</f>
        <v>0.28355861294095086</v>
      </c>
      <c r="AO236" s="172">
        <f t="shared" si="13"/>
        <v>0.28355861294095086</v>
      </c>
      <c r="AP236" s="173">
        <f t="shared" si="14"/>
        <v>0</v>
      </c>
      <c r="AR236" s="172">
        <f t="shared" si="15"/>
        <v>0.39894214050264581</v>
      </c>
    </row>
    <row r="237" spans="1:44" x14ac:dyDescent="0.25">
      <c r="A237" s="171" t="str">
        <f>'Miljövärden för publ företag'!B239</f>
        <v>Skövde Energi AB</v>
      </c>
      <c r="B237" s="171" t="str">
        <f>'Miljövärden för publ företag'!C239</f>
        <v>Stöpen</v>
      </c>
      <c r="C237" s="121" t="str">
        <f>IFERROR(VLOOKUP($B237,Kraftvärmeprod!$B$1:$AH$478,MATCH(C$2,Kraftvärmeprod!$B$1:$AG$1,0),FALSE)/1,"")</f>
        <v/>
      </c>
      <c r="D237" s="121" t="str">
        <f>IFERROR(VLOOKUP($B237,Kraftvärmeprod!$B$1:$AH$478,MATCH(D$2,Kraftvärmeprod!$B$1:$AG$1,0),FALSE)/1,"")</f>
        <v/>
      </c>
      <c r="F237" s="121" t="str">
        <f>IF($D237="","",IFERROR(VLOOKUP($B237,Kraftvärmeprod!$B$1:$BX$549,MATCH(F$2,Kraftvärmeprod!$B$1:$VX$1,0),FALSE)/1,0)-IFERROR(VLOOKUP($B237,'Slutlig allokering kvv'!$B$2:$BX$549,MATCH(F$2,'Slutlig allokering kvv'!$B$1:$BX$1,0),FALSE)/1,0))</f>
        <v/>
      </c>
      <c r="G237" s="121" t="str">
        <f>IF($D237="","",IFERROR(VLOOKUP($B237,Kraftvärmeprod!$B$1:$BX$549,MATCH(G$2,Kraftvärmeprod!$B$1:$VX$1,0),FALSE)/1,0)-IFERROR(VLOOKUP($B237,'Slutlig allokering kvv'!$B$2:$BX$549,MATCH(G$2,'Slutlig allokering kvv'!$B$1:$BX$1,0),FALSE)/1,0))</f>
        <v/>
      </c>
      <c r="H237" s="121" t="str">
        <f>IF($D237="","",IFERROR(VLOOKUP($B237,Kraftvärmeprod!$B$1:$BX$549,MATCH(H$2,Kraftvärmeprod!$B$1:$VX$1,0),FALSE)/1,0)-IFERROR(VLOOKUP($B237,'Slutlig allokering kvv'!$B$2:$BX$549,MATCH(H$2,'Slutlig allokering kvv'!$B$1:$BX$1,0),FALSE)/1,0))</f>
        <v/>
      </c>
      <c r="I237" s="121" t="str">
        <f>IF($D237="","",IFERROR(VLOOKUP($B237,Kraftvärmeprod!$B$1:$BX$549,MATCH(I$2,Kraftvärmeprod!$B$1:$VX$1,0),FALSE)/1,0)-IFERROR(VLOOKUP($B237,'Slutlig allokering kvv'!$B$2:$BX$549,MATCH(I$2,'Slutlig allokering kvv'!$B$1:$BX$1,0),FALSE)/1,0))</f>
        <v/>
      </c>
      <c r="J237" s="121" t="str">
        <f>IF($D237="","",IFERROR(VLOOKUP($B237,Kraftvärmeprod!$B$1:$BX$549,MATCH(J$2,Kraftvärmeprod!$B$1:$VX$1,0),FALSE)/1,0)-IFERROR(VLOOKUP($B237,'Slutlig allokering kvv'!$B$2:$BX$549,MATCH(J$2,'Slutlig allokering kvv'!$B$1:$BX$1,0),FALSE)/1,0))</f>
        <v/>
      </c>
      <c r="K237" s="121" t="str">
        <f>IF($D237="","",IFERROR(VLOOKUP($B237,Kraftvärmeprod!$B$1:$BX$549,MATCH(K$2,Kraftvärmeprod!$B$1:$VX$1,0),FALSE)/1,0)-IFERROR(VLOOKUP($B237,'Slutlig allokering kvv'!$B$2:$BX$549,MATCH(K$2,'Slutlig allokering kvv'!$B$1:$BX$1,0),FALSE)/1,0))</f>
        <v/>
      </c>
      <c r="L237" s="121" t="str">
        <f>IF($D237="","",IFERROR(VLOOKUP($B237,Kraftvärmeprod!$B$1:$BX$549,MATCH(L$2,Kraftvärmeprod!$B$1:$VX$1,0),FALSE)/1,0)-IFERROR(VLOOKUP($B237,'Slutlig allokering kvv'!$B$2:$BX$549,MATCH(L$2,'Slutlig allokering kvv'!$B$1:$BX$1,0),FALSE)/1,0))</f>
        <v/>
      </c>
      <c r="M237" s="121" t="str">
        <f>IF($D237="","",IFERROR(VLOOKUP($B237,Kraftvärmeprod!$B$1:$BX$549,MATCH(M$2,Kraftvärmeprod!$B$1:$VX$1,0),FALSE)/1,0)-IFERROR(VLOOKUP($B237,'Slutlig allokering kvv'!$B$2:$BX$549,MATCH(M$2,'Slutlig allokering kvv'!$B$1:$BX$1,0),FALSE)/1,0))</f>
        <v/>
      </c>
      <c r="N237" s="121" t="str">
        <f>IF($D237="","",IFERROR(VLOOKUP($B237,Kraftvärmeprod!$B$1:$BX$549,MATCH(N$2,Kraftvärmeprod!$B$1:$VX$1,0),FALSE)/1,0)-IFERROR(VLOOKUP($B237,'Slutlig allokering kvv'!$B$2:$BX$549,MATCH(N$2,'Slutlig allokering kvv'!$B$1:$BX$1,0),FALSE)/1,0))</f>
        <v/>
      </c>
      <c r="O237" s="121" t="str">
        <f>IF($D237="","",IFERROR(VLOOKUP($B237,Kraftvärmeprod!$B$1:$BX$549,MATCH(O$2,Kraftvärmeprod!$B$1:$VX$1,0),FALSE)/1,0)-IFERROR(VLOOKUP($B237,'Slutlig allokering kvv'!$B$2:$BX$549,MATCH(O$2,'Slutlig allokering kvv'!$B$1:$BX$1,0),FALSE)/1,0))</f>
        <v/>
      </c>
      <c r="P237" s="121" t="str">
        <f>IF($D237="","",IFERROR(VLOOKUP($B237,Kraftvärmeprod!$B$1:$BX$549,MATCH(P$2,Kraftvärmeprod!$B$1:$VX$1,0),FALSE)/1,0)-IFERROR(VLOOKUP($B237,'Slutlig allokering kvv'!$B$2:$BX$549,MATCH(P$2,'Slutlig allokering kvv'!$B$1:$BX$1,0),FALSE)/1,0))</f>
        <v/>
      </c>
      <c r="Q237" s="121" t="str">
        <f>IF($D237="","",IFERROR(VLOOKUP($B237,Kraftvärmeprod!$B$1:$BX$549,MATCH(Q$2,Kraftvärmeprod!$B$1:$VX$1,0),FALSE)/1,0)-IFERROR(VLOOKUP($B237,'Slutlig allokering kvv'!$B$2:$BX$549,MATCH(Q$2,'Slutlig allokering kvv'!$B$1:$BX$1,0),FALSE)/1,0))</f>
        <v/>
      </c>
      <c r="R237" s="121" t="str">
        <f>IF($D237="","",IFERROR(VLOOKUP($B237,Kraftvärmeprod!$B$1:$BX$549,MATCH(R$2,Kraftvärmeprod!$B$1:$VX$1,0),FALSE)/1,0)-IFERROR(VLOOKUP($B237,'Slutlig allokering kvv'!$B$2:$BX$549,MATCH(R$2,'Slutlig allokering kvv'!$B$1:$BX$1,0),FALSE)/1,0))</f>
        <v/>
      </c>
      <c r="S237" s="121" t="str">
        <f>IF($D237="","",IFERROR(VLOOKUP($B237,Kraftvärmeprod!$B$1:$BX$549,MATCH(S$2,Kraftvärmeprod!$B$1:$VX$1,0),FALSE)/1,0)-IFERROR(VLOOKUP($B237,'Slutlig allokering kvv'!$B$2:$BX$549,MATCH(S$2,'Slutlig allokering kvv'!$B$1:$BX$1,0),FALSE)/1,0))</f>
        <v/>
      </c>
      <c r="T237" s="121" t="str">
        <f>IF($D237="","",IFERROR(VLOOKUP($B237,Kraftvärmeprod!$B$1:$BX$549,MATCH(T$2,Kraftvärmeprod!$B$1:$VX$1,0),FALSE)/1,0)-IFERROR(VLOOKUP($B237,'Slutlig allokering kvv'!$B$2:$BX$549,MATCH(T$2,'Slutlig allokering kvv'!$B$1:$BX$1,0),FALSE)/1,0))</f>
        <v/>
      </c>
      <c r="U237" s="121" t="str">
        <f>IF($D237="","",IFERROR(VLOOKUP($B237,Kraftvärmeprod!$B$1:$BX$549,MATCH(U$2,Kraftvärmeprod!$B$1:$VX$1,0),FALSE)/1,0)-IFERROR(VLOOKUP($B237,'Slutlig allokering kvv'!$B$2:$BX$549,MATCH(U$2,'Slutlig allokering kvv'!$B$1:$BX$1,0),FALSE)/1,0))</f>
        <v/>
      </c>
      <c r="V237" s="121" t="str">
        <f>IF($D237="","",IFERROR(VLOOKUP($B237,Kraftvärmeprod!$B$1:$BX$549,MATCH(V$2,Kraftvärmeprod!$B$1:$VX$1,0),FALSE)/1,0)-IFERROR(VLOOKUP($B237,'Slutlig allokering kvv'!$B$2:$BX$549,MATCH(V$2,'Slutlig allokering kvv'!$B$1:$BX$1,0),FALSE)/1,0))</f>
        <v/>
      </c>
      <c r="W237" s="121" t="str">
        <f>IF($D237="","",IFERROR(VLOOKUP($B237,Kraftvärmeprod!$B$1:$BX$549,MATCH(W$2,Kraftvärmeprod!$B$1:$VX$1,0),FALSE)/1,0)-IFERROR(VLOOKUP($B237,'Slutlig allokering kvv'!$B$2:$BX$549,MATCH(W$2,'Slutlig allokering kvv'!$B$1:$BX$1,0),FALSE)/1,0))</f>
        <v/>
      </c>
      <c r="X237" s="121" t="str">
        <f>IF($D237="","",IFERROR(VLOOKUP($B237,Kraftvärmeprod!$B$1:$BX$549,MATCH(X$2,Kraftvärmeprod!$B$1:$VX$1,0),FALSE)/1,0)-IFERROR(VLOOKUP($B237,'Slutlig allokering kvv'!$B$2:$BX$549,MATCH(X$2,'Slutlig allokering kvv'!$B$1:$BX$1,0),FALSE)/1,0))</f>
        <v/>
      </c>
      <c r="Y237" s="121" t="str">
        <f>IF($D237="","",IFERROR(VLOOKUP($B237,Kraftvärmeprod!$B$1:$BX$549,MATCH(Y$2,Kraftvärmeprod!$B$1:$VX$1,0),FALSE)/1,0)-IFERROR(VLOOKUP($B237,'Slutlig allokering kvv'!$B$2:$BX$549,MATCH(Y$2,'Slutlig allokering kvv'!$B$1:$BX$1,0),FALSE)/1,0))</f>
        <v/>
      </c>
      <c r="Z237" s="121" t="str">
        <f>IF($D237="","",IFERROR(VLOOKUP($B237,Kraftvärmeprod!$B$1:$BX$549,MATCH(Z$2,Kraftvärmeprod!$B$1:$VX$1,0),FALSE)/1,0)-IFERROR(VLOOKUP($B237,'Slutlig allokering kvv'!$B$2:$BX$549,MATCH(Z$2,'Slutlig allokering kvv'!$B$1:$BX$1,0),FALSE)/1,0))</f>
        <v/>
      </c>
      <c r="AA237" s="121" t="str">
        <f>IF($D237="","",IFERROR(VLOOKUP($B237,Kraftvärmeprod!$B$1:$BX$549,MATCH(AA$2,Kraftvärmeprod!$B$1:$VX$1,0),FALSE)/1,0)-IFERROR(VLOOKUP($B237,'Slutlig allokering kvv'!$B$2:$BX$549,MATCH(AA$2,'Slutlig allokering kvv'!$B$1:$BX$1,0),FALSE)/1,0))</f>
        <v/>
      </c>
      <c r="AB237" s="121" t="str">
        <f>IF($D237="","",IFERROR(VLOOKUP($B237,Kraftvärmeprod!$B$1:$BX$549,MATCH(AB$2,Kraftvärmeprod!$B$1:$VX$1,0),FALSE)/1,0)-IFERROR(VLOOKUP($B237,'Slutlig allokering kvv'!$B$2:$BX$549,MATCH(AB$2,'Slutlig allokering kvv'!$B$1:$BX$1,0),FALSE)/1,0))</f>
        <v/>
      </c>
      <c r="AC237" s="121" t="str">
        <f>IF($D237="","",IFERROR(VLOOKUP($B237,Kraftvärmeprod!$B$1:$BX$549,MATCH(AC$2,Kraftvärmeprod!$B$1:$VX$1,0),FALSE)/1,0)-IFERROR(VLOOKUP($B237,'Slutlig allokering kvv'!$B$2:$BX$549,MATCH(AC$2,'Slutlig allokering kvv'!$B$1:$BX$1,0),FALSE)/1,0))</f>
        <v/>
      </c>
      <c r="AD237" s="121" t="str">
        <f>IF($D237="","",IFERROR(VLOOKUP($B237,Kraftvärmeprod!$B$1:$BX$549,MATCH(AD$2,Kraftvärmeprod!$B$1:$VX$1,0),FALSE)/1,0)-IFERROR(VLOOKUP($B237,'Slutlig allokering kvv'!$B$2:$BX$549,MATCH(AD$2,'Slutlig allokering kvv'!$B$1:$BX$1,0),FALSE)/1,0))</f>
        <v/>
      </c>
      <c r="AE237" s="121" t="str">
        <f>IF($D237="","",IFERROR(VLOOKUP($B237,Miljö!$B$1:$E$550,MATCH("Hjälpel kraftvärme (GWh)",Miljö!$B$1:$E$1,0),FALSE)/1,0)-IFERROR(VLOOKUP($B237,'Slutlig allokering kvv'!$B$2:$BX$549,MATCH(AE$2,'Slutlig allokering kvv'!$B$1:$BX$1,0),FALSE)/1,0))</f>
        <v/>
      </c>
      <c r="AI237" s="121">
        <f t="shared" si="12"/>
        <v>0</v>
      </c>
      <c r="AK237" s="121">
        <f>IFERROR(VLOOKUP($B237,'Slutlig allokering kvv'!$B$2:$AX$549,MATCH("Summa slutlig allokerad tillförd energi (utan hjälpel och rökgaskondensering):",'Slutlig allokering kvv'!$B$1:$AX$1,0),FALSE)/1,"")</f>
        <v>0</v>
      </c>
      <c r="AM237" s="172" t="str">
        <f>IFERROR(1-VLOOKUP($B237,'Slutlig allokering kvv'!$B$2:$AX$549,MATCH("Andel av bränsle i kvv som allokerats till värme, exklusive rökgaskondensering och hjälpel",'Slutlig allokering kvv'!$B$1:$AX$1,0),FALSE),"")</f>
        <v/>
      </c>
      <c r="AO237" s="172" t="str">
        <f t="shared" si="13"/>
        <v/>
      </c>
      <c r="AP237" s="173" t="str">
        <f t="shared" si="14"/>
        <v/>
      </c>
      <c r="AR237" s="172" t="str">
        <f t="shared" si="15"/>
        <v/>
      </c>
    </row>
    <row r="238" spans="1:44" x14ac:dyDescent="0.25">
      <c r="A238" s="171" t="str">
        <f>'Miljövärden för publ företag'!B240</f>
        <v>Skövde Energi AB</v>
      </c>
      <c r="B238" s="171" t="str">
        <f>'Miljövärden för publ företag'!C240</f>
        <v>Tidan</v>
      </c>
      <c r="C238" s="121" t="str">
        <f>IFERROR(VLOOKUP($B238,Kraftvärmeprod!$B$1:$AH$478,MATCH(C$2,Kraftvärmeprod!$B$1:$AG$1,0),FALSE)/1,"")</f>
        <v/>
      </c>
      <c r="D238" s="121" t="str">
        <f>IFERROR(VLOOKUP($B238,Kraftvärmeprod!$B$1:$AH$478,MATCH(D$2,Kraftvärmeprod!$B$1:$AG$1,0),FALSE)/1,"")</f>
        <v/>
      </c>
      <c r="F238" s="121" t="str">
        <f>IF($D238="","",IFERROR(VLOOKUP($B238,Kraftvärmeprod!$B$1:$BX$549,MATCH(F$2,Kraftvärmeprod!$B$1:$VX$1,0),FALSE)/1,0)-IFERROR(VLOOKUP($B238,'Slutlig allokering kvv'!$B$2:$BX$549,MATCH(F$2,'Slutlig allokering kvv'!$B$1:$BX$1,0),FALSE)/1,0))</f>
        <v/>
      </c>
      <c r="G238" s="121" t="str">
        <f>IF($D238="","",IFERROR(VLOOKUP($B238,Kraftvärmeprod!$B$1:$BX$549,MATCH(G$2,Kraftvärmeprod!$B$1:$VX$1,0),FALSE)/1,0)-IFERROR(VLOOKUP($B238,'Slutlig allokering kvv'!$B$2:$BX$549,MATCH(G$2,'Slutlig allokering kvv'!$B$1:$BX$1,0),FALSE)/1,0))</f>
        <v/>
      </c>
      <c r="H238" s="121" t="str">
        <f>IF($D238="","",IFERROR(VLOOKUP($B238,Kraftvärmeprod!$B$1:$BX$549,MATCH(H$2,Kraftvärmeprod!$B$1:$VX$1,0),FALSE)/1,0)-IFERROR(VLOOKUP($B238,'Slutlig allokering kvv'!$B$2:$BX$549,MATCH(H$2,'Slutlig allokering kvv'!$B$1:$BX$1,0),FALSE)/1,0))</f>
        <v/>
      </c>
      <c r="I238" s="121" t="str">
        <f>IF($D238="","",IFERROR(VLOOKUP($B238,Kraftvärmeprod!$B$1:$BX$549,MATCH(I$2,Kraftvärmeprod!$B$1:$VX$1,0),FALSE)/1,0)-IFERROR(VLOOKUP($B238,'Slutlig allokering kvv'!$B$2:$BX$549,MATCH(I$2,'Slutlig allokering kvv'!$B$1:$BX$1,0),FALSE)/1,0))</f>
        <v/>
      </c>
      <c r="J238" s="121" t="str">
        <f>IF($D238="","",IFERROR(VLOOKUP($B238,Kraftvärmeprod!$B$1:$BX$549,MATCH(J$2,Kraftvärmeprod!$B$1:$VX$1,0),FALSE)/1,0)-IFERROR(VLOOKUP($B238,'Slutlig allokering kvv'!$B$2:$BX$549,MATCH(J$2,'Slutlig allokering kvv'!$B$1:$BX$1,0),FALSE)/1,0))</f>
        <v/>
      </c>
      <c r="K238" s="121" t="str">
        <f>IF($D238="","",IFERROR(VLOOKUP($B238,Kraftvärmeprod!$B$1:$BX$549,MATCH(K$2,Kraftvärmeprod!$B$1:$VX$1,0),FALSE)/1,0)-IFERROR(VLOOKUP($B238,'Slutlig allokering kvv'!$B$2:$BX$549,MATCH(K$2,'Slutlig allokering kvv'!$B$1:$BX$1,0),FALSE)/1,0))</f>
        <v/>
      </c>
      <c r="L238" s="121" t="str">
        <f>IF($D238="","",IFERROR(VLOOKUP($B238,Kraftvärmeprod!$B$1:$BX$549,MATCH(L$2,Kraftvärmeprod!$B$1:$VX$1,0),FALSE)/1,0)-IFERROR(VLOOKUP($B238,'Slutlig allokering kvv'!$B$2:$BX$549,MATCH(L$2,'Slutlig allokering kvv'!$B$1:$BX$1,0),FALSE)/1,0))</f>
        <v/>
      </c>
      <c r="M238" s="121" t="str">
        <f>IF($D238="","",IFERROR(VLOOKUP($B238,Kraftvärmeprod!$B$1:$BX$549,MATCH(M$2,Kraftvärmeprod!$B$1:$VX$1,0),FALSE)/1,0)-IFERROR(VLOOKUP($B238,'Slutlig allokering kvv'!$B$2:$BX$549,MATCH(M$2,'Slutlig allokering kvv'!$B$1:$BX$1,0),FALSE)/1,0))</f>
        <v/>
      </c>
      <c r="N238" s="121" t="str">
        <f>IF($D238="","",IFERROR(VLOOKUP($B238,Kraftvärmeprod!$B$1:$BX$549,MATCH(N$2,Kraftvärmeprod!$B$1:$VX$1,0),FALSE)/1,0)-IFERROR(VLOOKUP($B238,'Slutlig allokering kvv'!$B$2:$BX$549,MATCH(N$2,'Slutlig allokering kvv'!$B$1:$BX$1,0),FALSE)/1,0))</f>
        <v/>
      </c>
      <c r="O238" s="121" t="str">
        <f>IF($D238="","",IFERROR(VLOOKUP($B238,Kraftvärmeprod!$B$1:$BX$549,MATCH(O$2,Kraftvärmeprod!$B$1:$VX$1,0),FALSE)/1,0)-IFERROR(VLOOKUP($B238,'Slutlig allokering kvv'!$B$2:$BX$549,MATCH(O$2,'Slutlig allokering kvv'!$B$1:$BX$1,0),FALSE)/1,0))</f>
        <v/>
      </c>
      <c r="P238" s="121" t="str">
        <f>IF($D238="","",IFERROR(VLOOKUP($B238,Kraftvärmeprod!$B$1:$BX$549,MATCH(P$2,Kraftvärmeprod!$B$1:$VX$1,0),FALSE)/1,0)-IFERROR(VLOOKUP($B238,'Slutlig allokering kvv'!$B$2:$BX$549,MATCH(P$2,'Slutlig allokering kvv'!$B$1:$BX$1,0),FALSE)/1,0))</f>
        <v/>
      </c>
      <c r="Q238" s="121" t="str">
        <f>IF($D238="","",IFERROR(VLOOKUP($B238,Kraftvärmeprod!$B$1:$BX$549,MATCH(Q$2,Kraftvärmeprod!$B$1:$VX$1,0),FALSE)/1,0)-IFERROR(VLOOKUP($B238,'Slutlig allokering kvv'!$B$2:$BX$549,MATCH(Q$2,'Slutlig allokering kvv'!$B$1:$BX$1,0),FALSE)/1,0))</f>
        <v/>
      </c>
      <c r="R238" s="121" t="str">
        <f>IF($D238="","",IFERROR(VLOOKUP($B238,Kraftvärmeprod!$B$1:$BX$549,MATCH(R$2,Kraftvärmeprod!$B$1:$VX$1,0),FALSE)/1,0)-IFERROR(VLOOKUP($B238,'Slutlig allokering kvv'!$B$2:$BX$549,MATCH(R$2,'Slutlig allokering kvv'!$B$1:$BX$1,0),FALSE)/1,0))</f>
        <v/>
      </c>
      <c r="S238" s="121" t="str">
        <f>IF($D238="","",IFERROR(VLOOKUP($B238,Kraftvärmeprod!$B$1:$BX$549,MATCH(S$2,Kraftvärmeprod!$B$1:$VX$1,0),FALSE)/1,0)-IFERROR(VLOOKUP($B238,'Slutlig allokering kvv'!$B$2:$BX$549,MATCH(S$2,'Slutlig allokering kvv'!$B$1:$BX$1,0),FALSE)/1,0))</f>
        <v/>
      </c>
      <c r="T238" s="121" t="str">
        <f>IF($D238="","",IFERROR(VLOOKUP($B238,Kraftvärmeprod!$B$1:$BX$549,MATCH(T$2,Kraftvärmeprod!$B$1:$VX$1,0),FALSE)/1,0)-IFERROR(VLOOKUP($B238,'Slutlig allokering kvv'!$B$2:$BX$549,MATCH(T$2,'Slutlig allokering kvv'!$B$1:$BX$1,0),FALSE)/1,0))</f>
        <v/>
      </c>
      <c r="U238" s="121" t="str">
        <f>IF($D238="","",IFERROR(VLOOKUP($B238,Kraftvärmeprod!$B$1:$BX$549,MATCH(U$2,Kraftvärmeprod!$B$1:$VX$1,0),FALSE)/1,0)-IFERROR(VLOOKUP($B238,'Slutlig allokering kvv'!$B$2:$BX$549,MATCH(U$2,'Slutlig allokering kvv'!$B$1:$BX$1,0),FALSE)/1,0))</f>
        <v/>
      </c>
      <c r="V238" s="121" t="str">
        <f>IF($D238="","",IFERROR(VLOOKUP($B238,Kraftvärmeprod!$B$1:$BX$549,MATCH(V$2,Kraftvärmeprod!$B$1:$VX$1,0),FALSE)/1,0)-IFERROR(VLOOKUP($B238,'Slutlig allokering kvv'!$B$2:$BX$549,MATCH(V$2,'Slutlig allokering kvv'!$B$1:$BX$1,0),FALSE)/1,0))</f>
        <v/>
      </c>
      <c r="W238" s="121" t="str">
        <f>IF($D238="","",IFERROR(VLOOKUP($B238,Kraftvärmeprod!$B$1:$BX$549,MATCH(W$2,Kraftvärmeprod!$B$1:$VX$1,0),FALSE)/1,0)-IFERROR(VLOOKUP($B238,'Slutlig allokering kvv'!$B$2:$BX$549,MATCH(W$2,'Slutlig allokering kvv'!$B$1:$BX$1,0),FALSE)/1,0))</f>
        <v/>
      </c>
      <c r="X238" s="121" t="str">
        <f>IF($D238="","",IFERROR(VLOOKUP($B238,Kraftvärmeprod!$B$1:$BX$549,MATCH(X$2,Kraftvärmeprod!$B$1:$VX$1,0),FALSE)/1,0)-IFERROR(VLOOKUP($B238,'Slutlig allokering kvv'!$B$2:$BX$549,MATCH(X$2,'Slutlig allokering kvv'!$B$1:$BX$1,0),FALSE)/1,0))</f>
        <v/>
      </c>
      <c r="Y238" s="121" t="str">
        <f>IF($D238="","",IFERROR(VLOOKUP($B238,Kraftvärmeprod!$B$1:$BX$549,MATCH(Y$2,Kraftvärmeprod!$B$1:$VX$1,0),FALSE)/1,0)-IFERROR(VLOOKUP($B238,'Slutlig allokering kvv'!$B$2:$BX$549,MATCH(Y$2,'Slutlig allokering kvv'!$B$1:$BX$1,0),FALSE)/1,0))</f>
        <v/>
      </c>
      <c r="Z238" s="121" t="str">
        <f>IF($D238="","",IFERROR(VLOOKUP($B238,Kraftvärmeprod!$B$1:$BX$549,MATCH(Z$2,Kraftvärmeprod!$B$1:$VX$1,0),FALSE)/1,0)-IFERROR(VLOOKUP($B238,'Slutlig allokering kvv'!$B$2:$BX$549,MATCH(Z$2,'Slutlig allokering kvv'!$B$1:$BX$1,0),FALSE)/1,0))</f>
        <v/>
      </c>
      <c r="AA238" s="121" t="str">
        <f>IF($D238="","",IFERROR(VLOOKUP($B238,Kraftvärmeprod!$B$1:$BX$549,MATCH(AA$2,Kraftvärmeprod!$B$1:$VX$1,0),FALSE)/1,0)-IFERROR(VLOOKUP($B238,'Slutlig allokering kvv'!$B$2:$BX$549,MATCH(AA$2,'Slutlig allokering kvv'!$B$1:$BX$1,0),FALSE)/1,0))</f>
        <v/>
      </c>
      <c r="AB238" s="121" t="str">
        <f>IF($D238="","",IFERROR(VLOOKUP($B238,Kraftvärmeprod!$B$1:$BX$549,MATCH(AB$2,Kraftvärmeprod!$B$1:$VX$1,0),FALSE)/1,0)-IFERROR(VLOOKUP($B238,'Slutlig allokering kvv'!$B$2:$BX$549,MATCH(AB$2,'Slutlig allokering kvv'!$B$1:$BX$1,0),FALSE)/1,0))</f>
        <v/>
      </c>
      <c r="AC238" s="121" t="str">
        <f>IF($D238="","",IFERROR(VLOOKUP($B238,Kraftvärmeprod!$B$1:$BX$549,MATCH(AC$2,Kraftvärmeprod!$B$1:$VX$1,0),FALSE)/1,0)-IFERROR(VLOOKUP($B238,'Slutlig allokering kvv'!$B$2:$BX$549,MATCH(AC$2,'Slutlig allokering kvv'!$B$1:$BX$1,0),FALSE)/1,0))</f>
        <v/>
      </c>
      <c r="AD238" s="121" t="str">
        <f>IF($D238="","",IFERROR(VLOOKUP($B238,Kraftvärmeprod!$B$1:$BX$549,MATCH(AD$2,Kraftvärmeprod!$B$1:$VX$1,0),FALSE)/1,0)-IFERROR(VLOOKUP($B238,'Slutlig allokering kvv'!$B$2:$BX$549,MATCH(AD$2,'Slutlig allokering kvv'!$B$1:$BX$1,0),FALSE)/1,0))</f>
        <v/>
      </c>
      <c r="AE238" s="121" t="str">
        <f>IF($D238="","",IFERROR(VLOOKUP($B238,Miljö!$B$1:$E$550,MATCH("Hjälpel kraftvärme (GWh)",Miljö!$B$1:$E$1,0),FALSE)/1,0)-IFERROR(VLOOKUP($B238,'Slutlig allokering kvv'!$B$2:$BX$549,MATCH(AE$2,'Slutlig allokering kvv'!$B$1:$BX$1,0),FALSE)/1,0))</f>
        <v/>
      </c>
      <c r="AI238" s="121">
        <f t="shared" si="12"/>
        <v>0</v>
      </c>
      <c r="AK238" s="121">
        <f>IFERROR(VLOOKUP($B238,'Slutlig allokering kvv'!$B$2:$AX$549,MATCH("Summa slutlig allokerad tillförd energi (utan hjälpel och rökgaskondensering):",'Slutlig allokering kvv'!$B$1:$AX$1,0),FALSE)/1,"")</f>
        <v>0</v>
      </c>
      <c r="AM238" s="172" t="str">
        <f>IFERROR(1-VLOOKUP($B238,'Slutlig allokering kvv'!$B$2:$AX$549,MATCH("Andel av bränsle i kvv som allokerats till värme, exklusive rökgaskondensering och hjälpel",'Slutlig allokering kvv'!$B$1:$AX$1,0),FALSE),"")</f>
        <v/>
      </c>
      <c r="AO238" s="172" t="str">
        <f t="shared" si="13"/>
        <v/>
      </c>
      <c r="AP238" s="173" t="str">
        <f t="shared" si="14"/>
        <v/>
      </c>
      <c r="AR238" s="172" t="str">
        <f t="shared" si="15"/>
        <v/>
      </c>
    </row>
    <row r="239" spans="1:44" x14ac:dyDescent="0.25">
      <c r="A239" s="171" t="str">
        <f>'Miljövärden för publ företag'!B241</f>
        <v>Skövde Energi AB</v>
      </c>
      <c r="B239" s="171" t="str">
        <f>'Miljövärden för publ företag'!C241</f>
        <v>Timmersdala</v>
      </c>
      <c r="C239" s="121" t="str">
        <f>IFERROR(VLOOKUP($B239,Kraftvärmeprod!$B$1:$AH$478,MATCH(C$2,Kraftvärmeprod!$B$1:$AG$1,0),FALSE)/1,"")</f>
        <v/>
      </c>
      <c r="D239" s="121" t="str">
        <f>IFERROR(VLOOKUP($B239,Kraftvärmeprod!$B$1:$AH$478,MATCH(D$2,Kraftvärmeprod!$B$1:$AG$1,0),FALSE)/1,"")</f>
        <v/>
      </c>
      <c r="F239" s="121" t="str">
        <f>IF($D239="","",IFERROR(VLOOKUP($B239,Kraftvärmeprod!$B$1:$BX$549,MATCH(F$2,Kraftvärmeprod!$B$1:$VX$1,0),FALSE)/1,0)-IFERROR(VLOOKUP($B239,'Slutlig allokering kvv'!$B$2:$BX$549,MATCH(F$2,'Slutlig allokering kvv'!$B$1:$BX$1,0),FALSE)/1,0))</f>
        <v/>
      </c>
      <c r="G239" s="121" t="str">
        <f>IF($D239="","",IFERROR(VLOOKUP($B239,Kraftvärmeprod!$B$1:$BX$549,MATCH(G$2,Kraftvärmeprod!$B$1:$VX$1,0),FALSE)/1,0)-IFERROR(VLOOKUP($B239,'Slutlig allokering kvv'!$B$2:$BX$549,MATCH(G$2,'Slutlig allokering kvv'!$B$1:$BX$1,0),FALSE)/1,0))</f>
        <v/>
      </c>
      <c r="H239" s="121" t="str">
        <f>IF($D239="","",IFERROR(VLOOKUP($B239,Kraftvärmeprod!$B$1:$BX$549,MATCH(H$2,Kraftvärmeprod!$B$1:$VX$1,0),FALSE)/1,0)-IFERROR(VLOOKUP($B239,'Slutlig allokering kvv'!$B$2:$BX$549,MATCH(H$2,'Slutlig allokering kvv'!$B$1:$BX$1,0),FALSE)/1,0))</f>
        <v/>
      </c>
      <c r="I239" s="121" t="str">
        <f>IF($D239="","",IFERROR(VLOOKUP($B239,Kraftvärmeprod!$B$1:$BX$549,MATCH(I$2,Kraftvärmeprod!$B$1:$VX$1,0),FALSE)/1,0)-IFERROR(VLOOKUP($B239,'Slutlig allokering kvv'!$B$2:$BX$549,MATCH(I$2,'Slutlig allokering kvv'!$B$1:$BX$1,0),FALSE)/1,0))</f>
        <v/>
      </c>
      <c r="J239" s="121" t="str">
        <f>IF($D239="","",IFERROR(VLOOKUP($B239,Kraftvärmeprod!$B$1:$BX$549,MATCH(J$2,Kraftvärmeprod!$B$1:$VX$1,0),FALSE)/1,0)-IFERROR(VLOOKUP($B239,'Slutlig allokering kvv'!$B$2:$BX$549,MATCH(J$2,'Slutlig allokering kvv'!$B$1:$BX$1,0),FALSE)/1,0))</f>
        <v/>
      </c>
      <c r="K239" s="121" t="str">
        <f>IF($D239="","",IFERROR(VLOOKUP($B239,Kraftvärmeprod!$B$1:$BX$549,MATCH(K$2,Kraftvärmeprod!$B$1:$VX$1,0),FALSE)/1,0)-IFERROR(VLOOKUP($B239,'Slutlig allokering kvv'!$B$2:$BX$549,MATCH(K$2,'Slutlig allokering kvv'!$B$1:$BX$1,0),FALSE)/1,0))</f>
        <v/>
      </c>
      <c r="L239" s="121" t="str">
        <f>IF($D239="","",IFERROR(VLOOKUP($B239,Kraftvärmeprod!$B$1:$BX$549,MATCH(L$2,Kraftvärmeprod!$B$1:$VX$1,0),FALSE)/1,0)-IFERROR(VLOOKUP($B239,'Slutlig allokering kvv'!$B$2:$BX$549,MATCH(L$2,'Slutlig allokering kvv'!$B$1:$BX$1,0),FALSE)/1,0))</f>
        <v/>
      </c>
      <c r="M239" s="121" t="str">
        <f>IF($D239="","",IFERROR(VLOOKUP($B239,Kraftvärmeprod!$B$1:$BX$549,MATCH(M$2,Kraftvärmeprod!$B$1:$VX$1,0),FALSE)/1,0)-IFERROR(VLOOKUP($B239,'Slutlig allokering kvv'!$B$2:$BX$549,MATCH(M$2,'Slutlig allokering kvv'!$B$1:$BX$1,0),FALSE)/1,0))</f>
        <v/>
      </c>
      <c r="N239" s="121" t="str">
        <f>IF($D239="","",IFERROR(VLOOKUP($B239,Kraftvärmeprod!$B$1:$BX$549,MATCH(N$2,Kraftvärmeprod!$B$1:$VX$1,0),FALSE)/1,0)-IFERROR(VLOOKUP($B239,'Slutlig allokering kvv'!$B$2:$BX$549,MATCH(N$2,'Slutlig allokering kvv'!$B$1:$BX$1,0),FALSE)/1,0))</f>
        <v/>
      </c>
      <c r="O239" s="121" t="str">
        <f>IF($D239="","",IFERROR(VLOOKUP($B239,Kraftvärmeprod!$B$1:$BX$549,MATCH(O$2,Kraftvärmeprod!$B$1:$VX$1,0),FALSE)/1,0)-IFERROR(VLOOKUP($B239,'Slutlig allokering kvv'!$B$2:$BX$549,MATCH(O$2,'Slutlig allokering kvv'!$B$1:$BX$1,0),FALSE)/1,0))</f>
        <v/>
      </c>
      <c r="P239" s="121" t="str">
        <f>IF($D239="","",IFERROR(VLOOKUP($B239,Kraftvärmeprod!$B$1:$BX$549,MATCH(P$2,Kraftvärmeprod!$B$1:$VX$1,0),FALSE)/1,0)-IFERROR(VLOOKUP($B239,'Slutlig allokering kvv'!$B$2:$BX$549,MATCH(P$2,'Slutlig allokering kvv'!$B$1:$BX$1,0),FALSE)/1,0))</f>
        <v/>
      </c>
      <c r="Q239" s="121" t="str">
        <f>IF($D239="","",IFERROR(VLOOKUP($B239,Kraftvärmeprod!$B$1:$BX$549,MATCH(Q$2,Kraftvärmeprod!$B$1:$VX$1,0),FALSE)/1,0)-IFERROR(VLOOKUP($B239,'Slutlig allokering kvv'!$B$2:$BX$549,MATCH(Q$2,'Slutlig allokering kvv'!$B$1:$BX$1,0),FALSE)/1,0))</f>
        <v/>
      </c>
      <c r="R239" s="121" t="str">
        <f>IF($D239="","",IFERROR(VLOOKUP($B239,Kraftvärmeprod!$B$1:$BX$549,MATCH(R$2,Kraftvärmeprod!$B$1:$VX$1,0),FALSE)/1,0)-IFERROR(VLOOKUP($B239,'Slutlig allokering kvv'!$B$2:$BX$549,MATCH(R$2,'Slutlig allokering kvv'!$B$1:$BX$1,0),FALSE)/1,0))</f>
        <v/>
      </c>
      <c r="S239" s="121" t="str">
        <f>IF($D239="","",IFERROR(VLOOKUP($B239,Kraftvärmeprod!$B$1:$BX$549,MATCH(S$2,Kraftvärmeprod!$B$1:$VX$1,0),FALSE)/1,0)-IFERROR(VLOOKUP($B239,'Slutlig allokering kvv'!$B$2:$BX$549,MATCH(S$2,'Slutlig allokering kvv'!$B$1:$BX$1,0),FALSE)/1,0))</f>
        <v/>
      </c>
      <c r="T239" s="121" t="str">
        <f>IF($D239="","",IFERROR(VLOOKUP($B239,Kraftvärmeprod!$B$1:$BX$549,MATCH(T$2,Kraftvärmeprod!$B$1:$VX$1,0),FALSE)/1,0)-IFERROR(VLOOKUP($B239,'Slutlig allokering kvv'!$B$2:$BX$549,MATCH(T$2,'Slutlig allokering kvv'!$B$1:$BX$1,0),FALSE)/1,0))</f>
        <v/>
      </c>
      <c r="U239" s="121" t="str">
        <f>IF($D239="","",IFERROR(VLOOKUP($B239,Kraftvärmeprod!$B$1:$BX$549,MATCH(U$2,Kraftvärmeprod!$B$1:$VX$1,0),FALSE)/1,0)-IFERROR(VLOOKUP($B239,'Slutlig allokering kvv'!$B$2:$BX$549,MATCH(U$2,'Slutlig allokering kvv'!$B$1:$BX$1,0),FALSE)/1,0))</f>
        <v/>
      </c>
      <c r="V239" s="121" t="str">
        <f>IF($D239="","",IFERROR(VLOOKUP($B239,Kraftvärmeprod!$B$1:$BX$549,MATCH(V$2,Kraftvärmeprod!$B$1:$VX$1,0),FALSE)/1,0)-IFERROR(VLOOKUP($B239,'Slutlig allokering kvv'!$B$2:$BX$549,MATCH(V$2,'Slutlig allokering kvv'!$B$1:$BX$1,0),FALSE)/1,0))</f>
        <v/>
      </c>
      <c r="W239" s="121" t="str">
        <f>IF($D239="","",IFERROR(VLOOKUP($B239,Kraftvärmeprod!$B$1:$BX$549,MATCH(W$2,Kraftvärmeprod!$B$1:$VX$1,0),FALSE)/1,0)-IFERROR(VLOOKUP($B239,'Slutlig allokering kvv'!$B$2:$BX$549,MATCH(W$2,'Slutlig allokering kvv'!$B$1:$BX$1,0),FALSE)/1,0))</f>
        <v/>
      </c>
      <c r="X239" s="121" t="str">
        <f>IF($D239="","",IFERROR(VLOOKUP($B239,Kraftvärmeprod!$B$1:$BX$549,MATCH(X$2,Kraftvärmeprod!$B$1:$VX$1,0),FALSE)/1,0)-IFERROR(VLOOKUP($B239,'Slutlig allokering kvv'!$B$2:$BX$549,MATCH(X$2,'Slutlig allokering kvv'!$B$1:$BX$1,0),FALSE)/1,0))</f>
        <v/>
      </c>
      <c r="Y239" s="121" t="str">
        <f>IF($D239="","",IFERROR(VLOOKUP($B239,Kraftvärmeprod!$B$1:$BX$549,MATCH(Y$2,Kraftvärmeprod!$B$1:$VX$1,0),FALSE)/1,0)-IFERROR(VLOOKUP($B239,'Slutlig allokering kvv'!$B$2:$BX$549,MATCH(Y$2,'Slutlig allokering kvv'!$B$1:$BX$1,0),FALSE)/1,0))</f>
        <v/>
      </c>
      <c r="Z239" s="121" t="str">
        <f>IF($D239="","",IFERROR(VLOOKUP($B239,Kraftvärmeprod!$B$1:$BX$549,MATCH(Z$2,Kraftvärmeprod!$B$1:$VX$1,0),FALSE)/1,0)-IFERROR(VLOOKUP($B239,'Slutlig allokering kvv'!$B$2:$BX$549,MATCH(Z$2,'Slutlig allokering kvv'!$B$1:$BX$1,0),FALSE)/1,0))</f>
        <v/>
      </c>
      <c r="AA239" s="121" t="str">
        <f>IF($D239="","",IFERROR(VLOOKUP($B239,Kraftvärmeprod!$B$1:$BX$549,MATCH(AA$2,Kraftvärmeprod!$B$1:$VX$1,0),FALSE)/1,0)-IFERROR(VLOOKUP($B239,'Slutlig allokering kvv'!$B$2:$BX$549,MATCH(AA$2,'Slutlig allokering kvv'!$B$1:$BX$1,0),FALSE)/1,0))</f>
        <v/>
      </c>
      <c r="AB239" s="121" t="str">
        <f>IF($D239="","",IFERROR(VLOOKUP($B239,Kraftvärmeprod!$B$1:$BX$549,MATCH(AB$2,Kraftvärmeprod!$B$1:$VX$1,0),FALSE)/1,0)-IFERROR(VLOOKUP($B239,'Slutlig allokering kvv'!$B$2:$BX$549,MATCH(AB$2,'Slutlig allokering kvv'!$B$1:$BX$1,0),FALSE)/1,0))</f>
        <v/>
      </c>
      <c r="AC239" s="121" t="str">
        <f>IF($D239="","",IFERROR(VLOOKUP($B239,Kraftvärmeprod!$B$1:$BX$549,MATCH(AC$2,Kraftvärmeprod!$B$1:$VX$1,0),FALSE)/1,0)-IFERROR(VLOOKUP($B239,'Slutlig allokering kvv'!$B$2:$BX$549,MATCH(AC$2,'Slutlig allokering kvv'!$B$1:$BX$1,0),FALSE)/1,0))</f>
        <v/>
      </c>
      <c r="AD239" s="121" t="str">
        <f>IF($D239="","",IFERROR(VLOOKUP($B239,Kraftvärmeprod!$B$1:$BX$549,MATCH(AD$2,Kraftvärmeprod!$B$1:$VX$1,0),FALSE)/1,0)-IFERROR(VLOOKUP($B239,'Slutlig allokering kvv'!$B$2:$BX$549,MATCH(AD$2,'Slutlig allokering kvv'!$B$1:$BX$1,0),FALSE)/1,0))</f>
        <v/>
      </c>
      <c r="AE239" s="121" t="str">
        <f>IF($D239="","",IFERROR(VLOOKUP($B239,Miljö!$B$1:$E$550,MATCH("Hjälpel kraftvärme (GWh)",Miljö!$B$1:$E$1,0),FALSE)/1,0)-IFERROR(VLOOKUP($B239,'Slutlig allokering kvv'!$B$2:$BX$549,MATCH(AE$2,'Slutlig allokering kvv'!$B$1:$BX$1,0),FALSE)/1,0))</f>
        <v/>
      </c>
      <c r="AI239" s="121">
        <f t="shared" si="12"/>
        <v>0</v>
      </c>
      <c r="AK239" s="121">
        <f>IFERROR(VLOOKUP($B239,'Slutlig allokering kvv'!$B$2:$AX$549,MATCH("Summa slutlig allokerad tillförd energi (utan hjälpel och rökgaskondensering):",'Slutlig allokering kvv'!$B$1:$AX$1,0),FALSE)/1,"")</f>
        <v>0</v>
      </c>
      <c r="AM239" s="172" t="str">
        <f>IFERROR(1-VLOOKUP($B239,'Slutlig allokering kvv'!$B$2:$AX$549,MATCH("Andel av bränsle i kvv som allokerats till värme, exklusive rökgaskondensering och hjälpel",'Slutlig allokering kvv'!$B$1:$AX$1,0),FALSE),"")</f>
        <v/>
      </c>
      <c r="AO239" s="172" t="str">
        <f t="shared" si="13"/>
        <v/>
      </c>
      <c r="AP239" s="173" t="str">
        <f t="shared" si="14"/>
        <v/>
      </c>
      <c r="AR239" s="172" t="str">
        <f t="shared" si="15"/>
        <v/>
      </c>
    </row>
    <row r="240" spans="1:44" x14ac:dyDescent="0.25">
      <c r="A240" s="171" t="str">
        <f>'Miljövärden för publ företag'!B242</f>
        <v>Smedjebacken Energi AB</v>
      </c>
      <c r="B240" s="171" t="str">
        <f>'Miljövärden för publ företag'!C242</f>
        <v>Smedjebacken</v>
      </c>
      <c r="C240" s="121" t="str">
        <f>IFERROR(VLOOKUP($B240,Kraftvärmeprod!$B$1:$AH$478,MATCH(C$2,Kraftvärmeprod!$B$1:$AG$1,0),FALSE)/1,"")</f>
        <v/>
      </c>
      <c r="D240" s="121" t="str">
        <f>IFERROR(VLOOKUP($B240,Kraftvärmeprod!$B$1:$AH$478,MATCH(D$2,Kraftvärmeprod!$B$1:$AG$1,0),FALSE)/1,"")</f>
        <v/>
      </c>
      <c r="F240" s="121" t="str">
        <f>IF($D240="","",IFERROR(VLOOKUP($B240,Kraftvärmeprod!$B$1:$BX$549,MATCH(F$2,Kraftvärmeprod!$B$1:$VX$1,0),FALSE)/1,0)-IFERROR(VLOOKUP($B240,'Slutlig allokering kvv'!$B$2:$BX$549,MATCH(F$2,'Slutlig allokering kvv'!$B$1:$BX$1,0),FALSE)/1,0))</f>
        <v/>
      </c>
      <c r="G240" s="121" t="str">
        <f>IF($D240="","",IFERROR(VLOOKUP($B240,Kraftvärmeprod!$B$1:$BX$549,MATCH(G$2,Kraftvärmeprod!$B$1:$VX$1,0),FALSE)/1,0)-IFERROR(VLOOKUP($B240,'Slutlig allokering kvv'!$B$2:$BX$549,MATCH(G$2,'Slutlig allokering kvv'!$B$1:$BX$1,0),FALSE)/1,0))</f>
        <v/>
      </c>
      <c r="H240" s="121" t="str">
        <f>IF($D240="","",IFERROR(VLOOKUP($B240,Kraftvärmeprod!$B$1:$BX$549,MATCH(H$2,Kraftvärmeprod!$B$1:$VX$1,0),FALSE)/1,0)-IFERROR(VLOOKUP($B240,'Slutlig allokering kvv'!$B$2:$BX$549,MATCH(H$2,'Slutlig allokering kvv'!$B$1:$BX$1,0),FALSE)/1,0))</f>
        <v/>
      </c>
      <c r="I240" s="121" t="str">
        <f>IF($D240="","",IFERROR(VLOOKUP($B240,Kraftvärmeprod!$B$1:$BX$549,MATCH(I$2,Kraftvärmeprod!$B$1:$VX$1,0),FALSE)/1,0)-IFERROR(VLOOKUP($B240,'Slutlig allokering kvv'!$B$2:$BX$549,MATCH(I$2,'Slutlig allokering kvv'!$B$1:$BX$1,0),FALSE)/1,0))</f>
        <v/>
      </c>
      <c r="J240" s="121" t="str">
        <f>IF($D240="","",IFERROR(VLOOKUP($B240,Kraftvärmeprod!$B$1:$BX$549,MATCH(J$2,Kraftvärmeprod!$B$1:$VX$1,0),FALSE)/1,0)-IFERROR(VLOOKUP($B240,'Slutlig allokering kvv'!$B$2:$BX$549,MATCH(J$2,'Slutlig allokering kvv'!$B$1:$BX$1,0),FALSE)/1,0))</f>
        <v/>
      </c>
      <c r="K240" s="121" t="str">
        <f>IF($D240="","",IFERROR(VLOOKUP($B240,Kraftvärmeprod!$B$1:$BX$549,MATCH(K$2,Kraftvärmeprod!$B$1:$VX$1,0),FALSE)/1,0)-IFERROR(VLOOKUP($B240,'Slutlig allokering kvv'!$B$2:$BX$549,MATCH(K$2,'Slutlig allokering kvv'!$B$1:$BX$1,0),FALSE)/1,0))</f>
        <v/>
      </c>
      <c r="L240" s="121" t="str">
        <f>IF($D240="","",IFERROR(VLOOKUP($B240,Kraftvärmeprod!$B$1:$BX$549,MATCH(L$2,Kraftvärmeprod!$B$1:$VX$1,0),FALSE)/1,0)-IFERROR(VLOOKUP($B240,'Slutlig allokering kvv'!$B$2:$BX$549,MATCH(L$2,'Slutlig allokering kvv'!$B$1:$BX$1,0),FALSE)/1,0))</f>
        <v/>
      </c>
      <c r="M240" s="121" t="str">
        <f>IF($D240="","",IFERROR(VLOOKUP($B240,Kraftvärmeprod!$B$1:$BX$549,MATCH(M$2,Kraftvärmeprod!$B$1:$VX$1,0),FALSE)/1,0)-IFERROR(VLOOKUP($B240,'Slutlig allokering kvv'!$B$2:$BX$549,MATCH(M$2,'Slutlig allokering kvv'!$B$1:$BX$1,0),FALSE)/1,0))</f>
        <v/>
      </c>
      <c r="N240" s="121" t="str">
        <f>IF($D240="","",IFERROR(VLOOKUP($B240,Kraftvärmeprod!$B$1:$BX$549,MATCH(N$2,Kraftvärmeprod!$B$1:$VX$1,0),FALSE)/1,0)-IFERROR(VLOOKUP($B240,'Slutlig allokering kvv'!$B$2:$BX$549,MATCH(N$2,'Slutlig allokering kvv'!$B$1:$BX$1,0),FALSE)/1,0))</f>
        <v/>
      </c>
      <c r="O240" s="121" t="str">
        <f>IF($D240="","",IFERROR(VLOOKUP($B240,Kraftvärmeprod!$B$1:$BX$549,MATCH(O$2,Kraftvärmeprod!$B$1:$VX$1,0),FALSE)/1,0)-IFERROR(VLOOKUP($B240,'Slutlig allokering kvv'!$B$2:$BX$549,MATCH(O$2,'Slutlig allokering kvv'!$B$1:$BX$1,0),FALSE)/1,0))</f>
        <v/>
      </c>
      <c r="P240" s="121" t="str">
        <f>IF($D240="","",IFERROR(VLOOKUP($B240,Kraftvärmeprod!$B$1:$BX$549,MATCH(P$2,Kraftvärmeprod!$B$1:$VX$1,0),FALSE)/1,0)-IFERROR(VLOOKUP($B240,'Slutlig allokering kvv'!$B$2:$BX$549,MATCH(P$2,'Slutlig allokering kvv'!$B$1:$BX$1,0),FALSE)/1,0))</f>
        <v/>
      </c>
      <c r="Q240" s="121" t="str">
        <f>IF($D240="","",IFERROR(VLOOKUP($B240,Kraftvärmeprod!$B$1:$BX$549,MATCH(Q$2,Kraftvärmeprod!$B$1:$VX$1,0),FALSE)/1,0)-IFERROR(VLOOKUP($B240,'Slutlig allokering kvv'!$B$2:$BX$549,MATCH(Q$2,'Slutlig allokering kvv'!$B$1:$BX$1,0),FALSE)/1,0))</f>
        <v/>
      </c>
      <c r="R240" s="121" t="str">
        <f>IF($D240="","",IFERROR(VLOOKUP($B240,Kraftvärmeprod!$B$1:$BX$549,MATCH(R$2,Kraftvärmeprod!$B$1:$VX$1,0),FALSE)/1,0)-IFERROR(VLOOKUP($B240,'Slutlig allokering kvv'!$B$2:$BX$549,MATCH(R$2,'Slutlig allokering kvv'!$B$1:$BX$1,0),FALSE)/1,0))</f>
        <v/>
      </c>
      <c r="S240" s="121" t="str">
        <f>IF($D240="","",IFERROR(VLOOKUP($B240,Kraftvärmeprod!$B$1:$BX$549,MATCH(S$2,Kraftvärmeprod!$B$1:$VX$1,0),FALSE)/1,0)-IFERROR(VLOOKUP($B240,'Slutlig allokering kvv'!$B$2:$BX$549,MATCH(S$2,'Slutlig allokering kvv'!$B$1:$BX$1,0),FALSE)/1,0))</f>
        <v/>
      </c>
      <c r="T240" s="121" t="str">
        <f>IF($D240="","",IFERROR(VLOOKUP($B240,Kraftvärmeprod!$B$1:$BX$549,MATCH(T$2,Kraftvärmeprod!$B$1:$VX$1,0),FALSE)/1,0)-IFERROR(VLOOKUP($B240,'Slutlig allokering kvv'!$B$2:$BX$549,MATCH(T$2,'Slutlig allokering kvv'!$B$1:$BX$1,0),FALSE)/1,0))</f>
        <v/>
      </c>
      <c r="U240" s="121" t="str">
        <f>IF($D240="","",IFERROR(VLOOKUP($B240,Kraftvärmeprod!$B$1:$BX$549,MATCH(U$2,Kraftvärmeprod!$B$1:$VX$1,0),FALSE)/1,0)-IFERROR(VLOOKUP($B240,'Slutlig allokering kvv'!$B$2:$BX$549,MATCH(U$2,'Slutlig allokering kvv'!$B$1:$BX$1,0),FALSE)/1,0))</f>
        <v/>
      </c>
      <c r="V240" s="121" t="str">
        <f>IF($D240="","",IFERROR(VLOOKUP($B240,Kraftvärmeprod!$B$1:$BX$549,MATCH(V$2,Kraftvärmeprod!$B$1:$VX$1,0),FALSE)/1,0)-IFERROR(VLOOKUP($B240,'Slutlig allokering kvv'!$B$2:$BX$549,MATCH(V$2,'Slutlig allokering kvv'!$B$1:$BX$1,0),FALSE)/1,0))</f>
        <v/>
      </c>
      <c r="W240" s="121" t="str">
        <f>IF($D240="","",IFERROR(VLOOKUP($B240,Kraftvärmeprod!$B$1:$BX$549,MATCH(W$2,Kraftvärmeprod!$B$1:$VX$1,0),FALSE)/1,0)-IFERROR(VLOOKUP($B240,'Slutlig allokering kvv'!$B$2:$BX$549,MATCH(W$2,'Slutlig allokering kvv'!$B$1:$BX$1,0),FALSE)/1,0))</f>
        <v/>
      </c>
      <c r="X240" s="121" t="str">
        <f>IF($D240="","",IFERROR(VLOOKUP($B240,Kraftvärmeprod!$B$1:$BX$549,MATCH(X$2,Kraftvärmeprod!$B$1:$VX$1,0),FALSE)/1,0)-IFERROR(VLOOKUP($B240,'Slutlig allokering kvv'!$B$2:$BX$549,MATCH(X$2,'Slutlig allokering kvv'!$B$1:$BX$1,0),FALSE)/1,0))</f>
        <v/>
      </c>
      <c r="Y240" s="121" t="str">
        <f>IF($D240="","",IFERROR(VLOOKUP($B240,Kraftvärmeprod!$B$1:$BX$549,MATCH(Y$2,Kraftvärmeprod!$B$1:$VX$1,0),FALSE)/1,0)-IFERROR(VLOOKUP($B240,'Slutlig allokering kvv'!$B$2:$BX$549,MATCH(Y$2,'Slutlig allokering kvv'!$B$1:$BX$1,0),FALSE)/1,0))</f>
        <v/>
      </c>
      <c r="Z240" s="121" t="str">
        <f>IF($D240="","",IFERROR(VLOOKUP($B240,Kraftvärmeprod!$B$1:$BX$549,MATCH(Z$2,Kraftvärmeprod!$B$1:$VX$1,0),FALSE)/1,0)-IFERROR(VLOOKUP($B240,'Slutlig allokering kvv'!$B$2:$BX$549,MATCH(Z$2,'Slutlig allokering kvv'!$B$1:$BX$1,0),FALSE)/1,0))</f>
        <v/>
      </c>
      <c r="AA240" s="121" t="str">
        <f>IF($D240="","",IFERROR(VLOOKUP($B240,Kraftvärmeprod!$B$1:$BX$549,MATCH(AA$2,Kraftvärmeprod!$B$1:$VX$1,0),FALSE)/1,0)-IFERROR(VLOOKUP($B240,'Slutlig allokering kvv'!$B$2:$BX$549,MATCH(AA$2,'Slutlig allokering kvv'!$B$1:$BX$1,0),FALSE)/1,0))</f>
        <v/>
      </c>
      <c r="AB240" s="121" t="str">
        <f>IF($D240="","",IFERROR(VLOOKUP($B240,Kraftvärmeprod!$B$1:$BX$549,MATCH(AB$2,Kraftvärmeprod!$B$1:$VX$1,0),FALSE)/1,0)-IFERROR(VLOOKUP($B240,'Slutlig allokering kvv'!$B$2:$BX$549,MATCH(AB$2,'Slutlig allokering kvv'!$B$1:$BX$1,0),FALSE)/1,0))</f>
        <v/>
      </c>
      <c r="AC240" s="121" t="str">
        <f>IF($D240="","",IFERROR(VLOOKUP($B240,Kraftvärmeprod!$B$1:$BX$549,MATCH(AC$2,Kraftvärmeprod!$B$1:$VX$1,0),FALSE)/1,0)-IFERROR(VLOOKUP($B240,'Slutlig allokering kvv'!$B$2:$BX$549,MATCH(AC$2,'Slutlig allokering kvv'!$B$1:$BX$1,0),FALSE)/1,0))</f>
        <v/>
      </c>
      <c r="AD240" s="121" t="str">
        <f>IF($D240="","",IFERROR(VLOOKUP($B240,Kraftvärmeprod!$B$1:$BX$549,MATCH(AD$2,Kraftvärmeprod!$B$1:$VX$1,0),FALSE)/1,0)-IFERROR(VLOOKUP($B240,'Slutlig allokering kvv'!$B$2:$BX$549,MATCH(AD$2,'Slutlig allokering kvv'!$B$1:$BX$1,0),FALSE)/1,0))</f>
        <v/>
      </c>
      <c r="AE240" s="121" t="str">
        <f>IF($D240="","",IFERROR(VLOOKUP($B240,Miljö!$B$1:$E$550,MATCH("Hjälpel kraftvärme (GWh)",Miljö!$B$1:$E$1,0),FALSE)/1,0)-IFERROR(VLOOKUP($B240,'Slutlig allokering kvv'!$B$2:$BX$549,MATCH(AE$2,'Slutlig allokering kvv'!$B$1:$BX$1,0),FALSE)/1,0))</f>
        <v/>
      </c>
      <c r="AI240" s="121">
        <f t="shared" si="12"/>
        <v>0</v>
      </c>
      <c r="AK240" s="121">
        <f>IFERROR(VLOOKUP($B240,'Slutlig allokering kvv'!$B$2:$AX$549,MATCH("Summa slutlig allokerad tillförd energi (utan hjälpel och rökgaskondensering):",'Slutlig allokering kvv'!$B$1:$AX$1,0),FALSE)/1,"")</f>
        <v>0</v>
      </c>
      <c r="AM240" s="172" t="str">
        <f>IFERROR(1-VLOOKUP($B240,'Slutlig allokering kvv'!$B$2:$AX$549,MATCH("Andel av bränsle i kvv som allokerats till värme, exklusive rökgaskondensering och hjälpel",'Slutlig allokering kvv'!$B$1:$AX$1,0),FALSE),"")</f>
        <v/>
      </c>
      <c r="AO240" s="172" t="str">
        <f t="shared" si="13"/>
        <v/>
      </c>
      <c r="AP240" s="173" t="str">
        <f t="shared" si="14"/>
        <v/>
      </c>
      <c r="AR240" s="172" t="str">
        <f t="shared" si="15"/>
        <v/>
      </c>
    </row>
    <row r="241" spans="1:44" x14ac:dyDescent="0.25">
      <c r="A241" s="171" t="str">
        <f>'Miljövärden för publ företag'!B243</f>
        <v>Smedjebacken Energi AB</v>
      </c>
      <c r="B241" s="171" t="str">
        <f>'Miljövärden för publ företag'!C243</f>
        <v>Söderbärke</v>
      </c>
      <c r="C241" s="121" t="str">
        <f>IFERROR(VLOOKUP($B241,Kraftvärmeprod!$B$1:$AH$478,MATCH(C$2,Kraftvärmeprod!$B$1:$AG$1,0),FALSE)/1,"")</f>
        <v/>
      </c>
      <c r="D241" s="121" t="str">
        <f>IFERROR(VLOOKUP($B241,Kraftvärmeprod!$B$1:$AH$478,MATCH(D$2,Kraftvärmeprod!$B$1:$AG$1,0),FALSE)/1,"")</f>
        <v/>
      </c>
      <c r="F241" s="121" t="str">
        <f>IF($D241="","",IFERROR(VLOOKUP($B241,Kraftvärmeprod!$B$1:$BX$549,MATCH(F$2,Kraftvärmeprod!$B$1:$VX$1,0),FALSE)/1,0)-IFERROR(VLOOKUP($B241,'Slutlig allokering kvv'!$B$2:$BX$549,MATCH(F$2,'Slutlig allokering kvv'!$B$1:$BX$1,0),FALSE)/1,0))</f>
        <v/>
      </c>
      <c r="G241" s="121" t="str">
        <f>IF($D241="","",IFERROR(VLOOKUP($B241,Kraftvärmeprod!$B$1:$BX$549,MATCH(G$2,Kraftvärmeprod!$B$1:$VX$1,0),FALSE)/1,0)-IFERROR(VLOOKUP($B241,'Slutlig allokering kvv'!$B$2:$BX$549,MATCH(G$2,'Slutlig allokering kvv'!$B$1:$BX$1,0),FALSE)/1,0))</f>
        <v/>
      </c>
      <c r="H241" s="121" t="str">
        <f>IF($D241="","",IFERROR(VLOOKUP($B241,Kraftvärmeprod!$B$1:$BX$549,MATCH(H$2,Kraftvärmeprod!$B$1:$VX$1,0),FALSE)/1,0)-IFERROR(VLOOKUP($B241,'Slutlig allokering kvv'!$B$2:$BX$549,MATCH(H$2,'Slutlig allokering kvv'!$B$1:$BX$1,0),FALSE)/1,0))</f>
        <v/>
      </c>
      <c r="I241" s="121" t="str">
        <f>IF($D241="","",IFERROR(VLOOKUP($B241,Kraftvärmeprod!$B$1:$BX$549,MATCH(I$2,Kraftvärmeprod!$B$1:$VX$1,0),FALSE)/1,0)-IFERROR(VLOOKUP($B241,'Slutlig allokering kvv'!$B$2:$BX$549,MATCH(I$2,'Slutlig allokering kvv'!$B$1:$BX$1,0),FALSE)/1,0))</f>
        <v/>
      </c>
      <c r="J241" s="121" t="str">
        <f>IF($D241="","",IFERROR(VLOOKUP($B241,Kraftvärmeprod!$B$1:$BX$549,MATCH(J$2,Kraftvärmeprod!$B$1:$VX$1,0),FALSE)/1,0)-IFERROR(VLOOKUP($B241,'Slutlig allokering kvv'!$B$2:$BX$549,MATCH(J$2,'Slutlig allokering kvv'!$B$1:$BX$1,0),FALSE)/1,0))</f>
        <v/>
      </c>
      <c r="K241" s="121" t="str">
        <f>IF($D241="","",IFERROR(VLOOKUP($B241,Kraftvärmeprod!$B$1:$BX$549,MATCH(K$2,Kraftvärmeprod!$B$1:$VX$1,0),FALSE)/1,0)-IFERROR(VLOOKUP($B241,'Slutlig allokering kvv'!$B$2:$BX$549,MATCH(K$2,'Slutlig allokering kvv'!$B$1:$BX$1,0),FALSE)/1,0))</f>
        <v/>
      </c>
      <c r="L241" s="121" t="str">
        <f>IF($D241="","",IFERROR(VLOOKUP($B241,Kraftvärmeprod!$B$1:$BX$549,MATCH(L$2,Kraftvärmeprod!$B$1:$VX$1,0),FALSE)/1,0)-IFERROR(VLOOKUP($B241,'Slutlig allokering kvv'!$B$2:$BX$549,MATCH(L$2,'Slutlig allokering kvv'!$B$1:$BX$1,0),FALSE)/1,0))</f>
        <v/>
      </c>
      <c r="M241" s="121" t="str">
        <f>IF($D241="","",IFERROR(VLOOKUP($B241,Kraftvärmeprod!$B$1:$BX$549,MATCH(M$2,Kraftvärmeprod!$B$1:$VX$1,0),FALSE)/1,0)-IFERROR(VLOOKUP($B241,'Slutlig allokering kvv'!$B$2:$BX$549,MATCH(M$2,'Slutlig allokering kvv'!$B$1:$BX$1,0),FALSE)/1,0))</f>
        <v/>
      </c>
      <c r="N241" s="121" t="str">
        <f>IF($D241="","",IFERROR(VLOOKUP($B241,Kraftvärmeprod!$B$1:$BX$549,MATCH(N$2,Kraftvärmeprod!$B$1:$VX$1,0),FALSE)/1,0)-IFERROR(VLOOKUP($B241,'Slutlig allokering kvv'!$B$2:$BX$549,MATCH(N$2,'Slutlig allokering kvv'!$B$1:$BX$1,0),FALSE)/1,0))</f>
        <v/>
      </c>
      <c r="O241" s="121" t="str">
        <f>IF($D241="","",IFERROR(VLOOKUP($B241,Kraftvärmeprod!$B$1:$BX$549,MATCH(O$2,Kraftvärmeprod!$B$1:$VX$1,0),FALSE)/1,0)-IFERROR(VLOOKUP($B241,'Slutlig allokering kvv'!$B$2:$BX$549,MATCH(O$2,'Slutlig allokering kvv'!$B$1:$BX$1,0),FALSE)/1,0))</f>
        <v/>
      </c>
      <c r="P241" s="121" t="str">
        <f>IF($D241="","",IFERROR(VLOOKUP($B241,Kraftvärmeprod!$B$1:$BX$549,MATCH(P$2,Kraftvärmeprod!$B$1:$VX$1,0),FALSE)/1,0)-IFERROR(VLOOKUP($B241,'Slutlig allokering kvv'!$B$2:$BX$549,MATCH(P$2,'Slutlig allokering kvv'!$B$1:$BX$1,0),FALSE)/1,0))</f>
        <v/>
      </c>
      <c r="Q241" s="121" t="str">
        <f>IF($D241="","",IFERROR(VLOOKUP($B241,Kraftvärmeprod!$B$1:$BX$549,MATCH(Q$2,Kraftvärmeprod!$B$1:$VX$1,0),FALSE)/1,0)-IFERROR(VLOOKUP($B241,'Slutlig allokering kvv'!$B$2:$BX$549,MATCH(Q$2,'Slutlig allokering kvv'!$B$1:$BX$1,0),FALSE)/1,0))</f>
        <v/>
      </c>
      <c r="R241" s="121" t="str">
        <f>IF($D241="","",IFERROR(VLOOKUP($B241,Kraftvärmeprod!$B$1:$BX$549,MATCH(R$2,Kraftvärmeprod!$B$1:$VX$1,0),FALSE)/1,0)-IFERROR(VLOOKUP($B241,'Slutlig allokering kvv'!$B$2:$BX$549,MATCH(R$2,'Slutlig allokering kvv'!$B$1:$BX$1,0),FALSE)/1,0))</f>
        <v/>
      </c>
      <c r="S241" s="121" t="str">
        <f>IF($D241="","",IFERROR(VLOOKUP($B241,Kraftvärmeprod!$B$1:$BX$549,MATCH(S$2,Kraftvärmeprod!$B$1:$VX$1,0),FALSE)/1,0)-IFERROR(VLOOKUP($B241,'Slutlig allokering kvv'!$B$2:$BX$549,MATCH(S$2,'Slutlig allokering kvv'!$B$1:$BX$1,0),FALSE)/1,0))</f>
        <v/>
      </c>
      <c r="T241" s="121" t="str">
        <f>IF($D241="","",IFERROR(VLOOKUP($B241,Kraftvärmeprod!$B$1:$BX$549,MATCH(T$2,Kraftvärmeprod!$B$1:$VX$1,0),FALSE)/1,0)-IFERROR(VLOOKUP($B241,'Slutlig allokering kvv'!$B$2:$BX$549,MATCH(T$2,'Slutlig allokering kvv'!$B$1:$BX$1,0),FALSE)/1,0))</f>
        <v/>
      </c>
      <c r="U241" s="121" t="str">
        <f>IF($D241="","",IFERROR(VLOOKUP($B241,Kraftvärmeprod!$B$1:$BX$549,MATCH(U$2,Kraftvärmeprod!$B$1:$VX$1,0),FALSE)/1,0)-IFERROR(VLOOKUP($B241,'Slutlig allokering kvv'!$B$2:$BX$549,MATCH(U$2,'Slutlig allokering kvv'!$B$1:$BX$1,0),FALSE)/1,0))</f>
        <v/>
      </c>
      <c r="V241" s="121" t="str">
        <f>IF($D241="","",IFERROR(VLOOKUP($B241,Kraftvärmeprod!$B$1:$BX$549,MATCH(V$2,Kraftvärmeprod!$B$1:$VX$1,0),FALSE)/1,0)-IFERROR(VLOOKUP($B241,'Slutlig allokering kvv'!$B$2:$BX$549,MATCH(V$2,'Slutlig allokering kvv'!$B$1:$BX$1,0),FALSE)/1,0))</f>
        <v/>
      </c>
      <c r="W241" s="121" t="str">
        <f>IF($D241="","",IFERROR(VLOOKUP($B241,Kraftvärmeprod!$B$1:$BX$549,MATCH(W$2,Kraftvärmeprod!$B$1:$VX$1,0),FALSE)/1,0)-IFERROR(VLOOKUP($B241,'Slutlig allokering kvv'!$B$2:$BX$549,MATCH(W$2,'Slutlig allokering kvv'!$B$1:$BX$1,0),FALSE)/1,0))</f>
        <v/>
      </c>
      <c r="X241" s="121" t="str">
        <f>IF($D241="","",IFERROR(VLOOKUP($B241,Kraftvärmeprod!$B$1:$BX$549,MATCH(X$2,Kraftvärmeprod!$B$1:$VX$1,0),FALSE)/1,0)-IFERROR(VLOOKUP($B241,'Slutlig allokering kvv'!$B$2:$BX$549,MATCH(X$2,'Slutlig allokering kvv'!$B$1:$BX$1,0),FALSE)/1,0))</f>
        <v/>
      </c>
      <c r="Y241" s="121" t="str">
        <f>IF($D241="","",IFERROR(VLOOKUP($B241,Kraftvärmeprod!$B$1:$BX$549,MATCH(Y$2,Kraftvärmeprod!$B$1:$VX$1,0),FALSE)/1,0)-IFERROR(VLOOKUP($B241,'Slutlig allokering kvv'!$B$2:$BX$549,MATCH(Y$2,'Slutlig allokering kvv'!$B$1:$BX$1,0),FALSE)/1,0))</f>
        <v/>
      </c>
      <c r="Z241" s="121" t="str">
        <f>IF($D241="","",IFERROR(VLOOKUP($B241,Kraftvärmeprod!$B$1:$BX$549,MATCH(Z$2,Kraftvärmeprod!$B$1:$VX$1,0),FALSE)/1,0)-IFERROR(VLOOKUP($B241,'Slutlig allokering kvv'!$B$2:$BX$549,MATCH(Z$2,'Slutlig allokering kvv'!$B$1:$BX$1,0),FALSE)/1,0))</f>
        <v/>
      </c>
      <c r="AA241" s="121" t="str">
        <f>IF($D241="","",IFERROR(VLOOKUP($B241,Kraftvärmeprod!$B$1:$BX$549,MATCH(AA$2,Kraftvärmeprod!$B$1:$VX$1,0),FALSE)/1,0)-IFERROR(VLOOKUP($B241,'Slutlig allokering kvv'!$B$2:$BX$549,MATCH(AA$2,'Slutlig allokering kvv'!$B$1:$BX$1,0),FALSE)/1,0))</f>
        <v/>
      </c>
      <c r="AB241" s="121" t="str">
        <f>IF($D241="","",IFERROR(VLOOKUP($B241,Kraftvärmeprod!$B$1:$BX$549,MATCH(AB$2,Kraftvärmeprod!$B$1:$VX$1,0),FALSE)/1,0)-IFERROR(VLOOKUP($B241,'Slutlig allokering kvv'!$B$2:$BX$549,MATCH(AB$2,'Slutlig allokering kvv'!$B$1:$BX$1,0),FALSE)/1,0))</f>
        <v/>
      </c>
      <c r="AC241" s="121" t="str">
        <f>IF($D241="","",IFERROR(VLOOKUP($B241,Kraftvärmeprod!$B$1:$BX$549,MATCH(AC$2,Kraftvärmeprod!$B$1:$VX$1,0),FALSE)/1,0)-IFERROR(VLOOKUP($B241,'Slutlig allokering kvv'!$B$2:$BX$549,MATCH(AC$2,'Slutlig allokering kvv'!$B$1:$BX$1,0),FALSE)/1,0))</f>
        <v/>
      </c>
      <c r="AD241" s="121" t="str">
        <f>IF($D241="","",IFERROR(VLOOKUP($B241,Kraftvärmeprod!$B$1:$BX$549,MATCH(AD$2,Kraftvärmeprod!$B$1:$VX$1,0),FALSE)/1,0)-IFERROR(VLOOKUP($B241,'Slutlig allokering kvv'!$B$2:$BX$549,MATCH(AD$2,'Slutlig allokering kvv'!$B$1:$BX$1,0),FALSE)/1,0))</f>
        <v/>
      </c>
      <c r="AE241" s="121" t="str">
        <f>IF($D241="","",IFERROR(VLOOKUP($B241,Miljö!$B$1:$E$550,MATCH("Hjälpel kraftvärme (GWh)",Miljö!$B$1:$E$1,0),FALSE)/1,0)-IFERROR(VLOOKUP($B241,'Slutlig allokering kvv'!$B$2:$BX$549,MATCH(AE$2,'Slutlig allokering kvv'!$B$1:$BX$1,0),FALSE)/1,0))</f>
        <v/>
      </c>
      <c r="AI241" s="121">
        <f t="shared" si="12"/>
        <v>0</v>
      </c>
      <c r="AK241" s="121">
        <f>IFERROR(VLOOKUP($B241,'Slutlig allokering kvv'!$B$2:$AX$549,MATCH("Summa slutlig allokerad tillförd energi (utan hjälpel och rökgaskondensering):",'Slutlig allokering kvv'!$B$1:$AX$1,0),FALSE)/1,"")</f>
        <v>0</v>
      </c>
      <c r="AM241" s="172" t="str">
        <f>IFERROR(1-VLOOKUP($B241,'Slutlig allokering kvv'!$B$2:$AX$549,MATCH("Andel av bränsle i kvv som allokerats till värme, exklusive rökgaskondensering och hjälpel",'Slutlig allokering kvv'!$B$1:$AX$1,0),FALSE),"")</f>
        <v/>
      </c>
      <c r="AO241" s="172" t="str">
        <f t="shared" si="13"/>
        <v/>
      </c>
      <c r="AP241" s="173" t="str">
        <f t="shared" si="14"/>
        <v/>
      </c>
      <c r="AR241" s="172" t="str">
        <f t="shared" si="15"/>
        <v/>
      </c>
    </row>
    <row r="242" spans="1:44" x14ac:dyDescent="0.25">
      <c r="A242" s="171" t="str">
        <f>'Miljövärden för publ företag'!B244</f>
        <v>Sollentuna Energi &amp; Miljö AB</v>
      </c>
      <c r="B242" s="171" t="str">
        <f>'Miljövärden för publ företag'!C244</f>
        <v>Sollentuna</v>
      </c>
      <c r="C242" s="121" t="str">
        <f>IFERROR(VLOOKUP($B242,Kraftvärmeprod!$B$1:$AH$478,MATCH(C$2,Kraftvärmeprod!$B$1:$AG$1,0),FALSE)/1,"")</f>
        <v/>
      </c>
      <c r="D242" s="121" t="str">
        <f>IFERROR(VLOOKUP($B242,Kraftvärmeprod!$B$1:$AH$478,MATCH(D$2,Kraftvärmeprod!$B$1:$AG$1,0),FALSE)/1,"")</f>
        <v/>
      </c>
      <c r="F242" s="121" t="str">
        <f>IF($D242="","",IFERROR(VLOOKUP($B242,Kraftvärmeprod!$B$1:$BX$549,MATCH(F$2,Kraftvärmeprod!$B$1:$VX$1,0),FALSE)/1,0)-IFERROR(VLOOKUP($B242,'Slutlig allokering kvv'!$B$2:$BX$549,MATCH(F$2,'Slutlig allokering kvv'!$B$1:$BX$1,0),FALSE)/1,0))</f>
        <v/>
      </c>
      <c r="G242" s="121" t="str">
        <f>IF($D242="","",IFERROR(VLOOKUP($B242,Kraftvärmeprod!$B$1:$BX$549,MATCH(G$2,Kraftvärmeprod!$B$1:$VX$1,0),FALSE)/1,0)-IFERROR(VLOOKUP($B242,'Slutlig allokering kvv'!$B$2:$BX$549,MATCH(G$2,'Slutlig allokering kvv'!$B$1:$BX$1,0),FALSE)/1,0))</f>
        <v/>
      </c>
      <c r="H242" s="121" t="str">
        <f>IF($D242="","",IFERROR(VLOOKUP($B242,Kraftvärmeprod!$B$1:$BX$549,MATCH(H$2,Kraftvärmeprod!$B$1:$VX$1,0),FALSE)/1,0)-IFERROR(VLOOKUP($B242,'Slutlig allokering kvv'!$B$2:$BX$549,MATCH(H$2,'Slutlig allokering kvv'!$B$1:$BX$1,0),FALSE)/1,0))</f>
        <v/>
      </c>
      <c r="I242" s="121" t="str">
        <f>IF($D242="","",IFERROR(VLOOKUP($B242,Kraftvärmeprod!$B$1:$BX$549,MATCH(I$2,Kraftvärmeprod!$B$1:$VX$1,0),FALSE)/1,0)-IFERROR(VLOOKUP($B242,'Slutlig allokering kvv'!$B$2:$BX$549,MATCH(I$2,'Slutlig allokering kvv'!$B$1:$BX$1,0),FALSE)/1,0))</f>
        <v/>
      </c>
      <c r="J242" s="121" t="str">
        <f>IF($D242="","",IFERROR(VLOOKUP($B242,Kraftvärmeprod!$B$1:$BX$549,MATCH(J$2,Kraftvärmeprod!$B$1:$VX$1,0),FALSE)/1,0)-IFERROR(VLOOKUP($B242,'Slutlig allokering kvv'!$B$2:$BX$549,MATCH(J$2,'Slutlig allokering kvv'!$B$1:$BX$1,0),FALSE)/1,0))</f>
        <v/>
      </c>
      <c r="K242" s="121" t="str">
        <f>IF($D242="","",IFERROR(VLOOKUP($B242,Kraftvärmeprod!$B$1:$BX$549,MATCH(K$2,Kraftvärmeprod!$B$1:$VX$1,0),FALSE)/1,0)-IFERROR(VLOOKUP($B242,'Slutlig allokering kvv'!$B$2:$BX$549,MATCH(K$2,'Slutlig allokering kvv'!$B$1:$BX$1,0),FALSE)/1,0))</f>
        <v/>
      </c>
      <c r="L242" s="121" t="str">
        <f>IF($D242="","",IFERROR(VLOOKUP($B242,Kraftvärmeprod!$B$1:$BX$549,MATCH(L$2,Kraftvärmeprod!$B$1:$VX$1,0),FALSE)/1,0)-IFERROR(VLOOKUP($B242,'Slutlig allokering kvv'!$B$2:$BX$549,MATCH(L$2,'Slutlig allokering kvv'!$B$1:$BX$1,0),FALSE)/1,0))</f>
        <v/>
      </c>
      <c r="M242" s="121" t="str">
        <f>IF($D242="","",IFERROR(VLOOKUP($B242,Kraftvärmeprod!$B$1:$BX$549,MATCH(M$2,Kraftvärmeprod!$B$1:$VX$1,0),FALSE)/1,0)-IFERROR(VLOOKUP($B242,'Slutlig allokering kvv'!$B$2:$BX$549,MATCH(M$2,'Slutlig allokering kvv'!$B$1:$BX$1,0),FALSE)/1,0))</f>
        <v/>
      </c>
      <c r="N242" s="121" t="str">
        <f>IF($D242="","",IFERROR(VLOOKUP($B242,Kraftvärmeprod!$B$1:$BX$549,MATCH(N$2,Kraftvärmeprod!$B$1:$VX$1,0),FALSE)/1,0)-IFERROR(VLOOKUP($B242,'Slutlig allokering kvv'!$B$2:$BX$549,MATCH(N$2,'Slutlig allokering kvv'!$B$1:$BX$1,0),FALSE)/1,0))</f>
        <v/>
      </c>
      <c r="O242" s="121" t="str">
        <f>IF($D242="","",IFERROR(VLOOKUP($B242,Kraftvärmeprod!$B$1:$BX$549,MATCH(O$2,Kraftvärmeprod!$B$1:$VX$1,0),FALSE)/1,0)-IFERROR(VLOOKUP($B242,'Slutlig allokering kvv'!$B$2:$BX$549,MATCH(O$2,'Slutlig allokering kvv'!$B$1:$BX$1,0),FALSE)/1,0))</f>
        <v/>
      </c>
      <c r="P242" s="121" t="str">
        <f>IF($D242="","",IFERROR(VLOOKUP($B242,Kraftvärmeprod!$B$1:$BX$549,MATCH(P$2,Kraftvärmeprod!$B$1:$VX$1,0),FALSE)/1,0)-IFERROR(VLOOKUP($B242,'Slutlig allokering kvv'!$B$2:$BX$549,MATCH(P$2,'Slutlig allokering kvv'!$B$1:$BX$1,0),FALSE)/1,0))</f>
        <v/>
      </c>
      <c r="Q242" s="121" t="str">
        <f>IF($D242="","",IFERROR(VLOOKUP($B242,Kraftvärmeprod!$B$1:$BX$549,MATCH(Q$2,Kraftvärmeprod!$B$1:$VX$1,0),FALSE)/1,0)-IFERROR(VLOOKUP($B242,'Slutlig allokering kvv'!$B$2:$BX$549,MATCH(Q$2,'Slutlig allokering kvv'!$B$1:$BX$1,0),FALSE)/1,0))</f>
        <v/>
      </c>
      <c r="R242" s="121" t="str">
        <f>IF($D242="","",IFERROR(VLOOKUP($B242,Kraftvärmeprod!$B$1:$BX$549,MATCH(R$2,Kraftvärmeprod!$B$1:$VX$1,0),FALSE)/1,0)-IFERROR(VLOOKUP($B242,'Slutlig allokering kvv'!$B$2:$BX$549,MATCH(R$2,'Slutlig allokering kvv'!$B$1:$BX$1,0),FALSE)/1,0))</f>
        <v/>
      </c>
      <c r="S242" s="121" t="str">
        <f>IF($D242="","",IFERROR(VLOOKUP($B242,Kraftvärmeprod!$B$1:$BX$549,MATCH(S$2,Kraftvärmeprod!$B$1:$VX$1,0),FALSE)/1,0)-IFERROR(VLOOKUP($B242,'Slutlig allokering kvv'!$B$2:$BX$549,MATCH(S$2,'Slutlig allokering kvv'!$B$1:$BX$1,0),FALSE)/1,0))</f>
        <v/>
      </c>
      <c r="T242" s="121" t="str">
        <f>IF($D242="","",IFERROR(VLOOKUP($B242,Kraftvärmeprod!$B$1:$BX$549,MATCH(T$2,Kraftvärmeprod!$B$1:$VX$1,0),FALSE)/1,0)-IFERROR(VLOOKUP($B242,'Slutlig allokering kvv'!$B$2:$BX$549,MATCH(T$2,'Slutlig allokering kvv'!$B$1:$BX$1,0),FALSE)/1,0))</f>
        <v/>
      </c>
      <c r="U242" s="121" t="str">
        <f>IF($D242="","",IFERROR(VLOOKUP($B242,Kraftvärmeprod!$B$1:$BX$549,MATCH(U$2,Kraftvärmeprod!$B$1:$VX$1,0),FALSE)/1,0)-IFERROR(VLOOKUP($B242,'Slutlig allokering kvv'!$B$2:$BX$549,MATCH(U$2,'Slutlig allokering kvv'!$B$1:$BX$1,0),FALSE)/1,0))</f>
        <v/>
      </c>
      <c r="V242" s="121" t="str">
        <f>IF($D242="","",IFERROR(VLOOKUP($B242,Kraftvärmeprod!$B$1:$BX$549,MATCH(V$2,Kraftvärmeprod!$B$1:$VX$1,0),FALSE)/1,0)-IFERROR(VLOOKUP($B242,'Slutlig allokering kvv'!$B$2:$BX$549,MATCH(V$2,'Slutlig allokering kvv'!$B$1:$BX$1,0),FALSE)/1,0))</f>
        <v/>
      </c>
      <c r="W242" s="121" t="str">
        <f>IF($D242="","",IFERROR(VLOOKUP($B242,Kraftvärmeprod!$B$1:$BX$549,MATCH(W$2,Kraftvärmeprod!$B$1:$VX$1,0),FALSE)/1,0)-IFERROR(VLOOKUP($B242,'Slutlig allokering kvv'!$B$2:$BX$549,MATCH(W$2,'Slutlig allokering kvv'!$B$1:$BX$1,0),FALSE)/1,0))</f>
        <v/>
      </c>
      <c r="X242" s="121" t="str">
        <f>IF($D242="","",IFERROR(VLOOKUP($B242,Kraftvärmeprod!$B$1:$BX$549,MATCH(X$2,Kraftvärmeprod!$B$1:$VX$1,0),FALSE)/1,0)-IFERROR(VLOOKUP($B242,'Slutlig allokering kvv'!$B$2:$BX$549,MATCH(X$2,'Slutlig allokering kvv'!$B$1:$BX$1,0),FALSE)/1,0))</f>
        <v/>
      </c>
      <c r="Y242" s="121" t="str">
        <f>IF($D242="","",IFERROR(VLOOKUP($B242,Kraftvärmeprod!$B$1:$BX$549,MATCH(Y$2,Kraftvärmeprod!$B$1:$VX$1,0),FALSE)/1,0)-IFERROR(VLOOKUP($B242,'Slutlig allokering kvv'!$B$2:$BX$549,MATCH(Y$2,'Slutlig allokering kvv'!$B$1:$BX$1,0),FALSE)/1,0))</f>
        <v/>
      </c>
      <c r="Z242" s="121" t="str">
        <f>IF($D242="","",IFERROR(VLOOKUP($B242,Kraftvärmeprod!$B$1:$BX$549,MATCH(Z$2,Kraftvärmeprod!$B$1:$VX$1,0),FALSE)/1,0)-IFERROR(VLOOKUP($B242,'Slutlig allokering kvv'!$B$2:$BX$549,MATCH(Z$2,'Slutlig allokering kvv'!$B$1:$BX$1,0),FALSE)/1,0))</f>
        <v/>
      </c>
      <c r="AA242" s="121" t="str">
        <f>IF($D242="","",IFERROR(VLOOKUP($B242,Kraftvärmeprod!$B$1:$BX$549,MATCH(AA$2,Kraftvärmeprod!$B$1:$VX$1,0),FALSE)/1,0)-IFERROR(VLOOKUP($B242,'Slutlig allokering kvv'!$B$2:$BX$549,MATCH(AA$2,'Slutlig allokering kvv'!$B$1:$BX$1,0),FALSE)/1,0))</f>
        <v/>
      </c>
      <c r="AB242" s="121" t="str">
        <f>IF($D242="","",IFERROR(VLOOKUP($B242,Kraftvärmeprod!$B$1:$BX$549,MATCH(AB$2,Kraftvärmeprod!$B$1:$VX$1,0),FALSE)/1,0)-IFERROR(VLOOKUP($B242,'Slutlig allokering kvv'!$B$2:$BX$549,MATCH(AB$2,'Slutlig allokering kvv'!$B$1:$BX$1,0),FALSE)/1,0))</f>
        <v/>
      </c>
      <c r="AC242" s="121" t="str">
        <f>IF($D242="","",IFERROR(VLOOKUP($B242,Kraftvärmeprod!$B$1:$BX$549,MATCH(AC$2,Kraftvärmeprod!$B$1:$VX$1,0),FALSE)/1,0)-IFERROR(VLOOKUP($B242,'Slutlig allokering kvv'!$B$2:$BX$549,MATCH(AC$2,'Slutlig allokering kvv'!$B$1:$BX$1,0),FALSE)/1,0))</f>
        <v/>
      </c>
      <c r="AD242" s="121" t="str">
        <f>IF($D242="","",IFERROR(VLOOKUP($B242,Kraftvärmeprod!$B$1:$BX$549,MATCH(AD$2,Kraftvärmeprod!$B$1:$VX$1,0),FALSE)/1,0)-IFERROR(VLOOKUP($B242,'Slutlig allokering kvv'!$B$2:$BX$549,MATCH(AD$2,'Slutlig allokering kvv'!$B$1:$BX$1,0),FALSE)/1,0))</f>
        <v/>
      </c>
      <c r="AE242" s="121" t="str">
        <f>IF($D242="","",IFERROR(VLOOKUP($B242,Miljö!$B$1:$E$550,MATCH("Hjälpel kraftvärme (GWh)",Miljö!$B$1:$E$1,0),FALSE)/1,0)-IFERROR(VLOOKUP($B242,'Slutlig allokering kvv'!$B$2:$BX$549,MATCH(AE$2,'Slutlig allokering kvv'!$B$1:$BX$1,0),FALSE)/1,0))</f>
        <v/>
      </c>
      <c r="AI242" s="121">
        <f t="shared" si="12"/>
        <v>0</v>
      </c>
      <c r="AK242" s="121">
        <f>IFERROR(VLOOKUP($B242,'Slutlig allokering kvv'!$B$2:$AX$549,MATCH("Summa slutlig allokerad tillförd energi (utan hjälpel och rökgaskondensering):",'Slutlig allokering kvv'!$B$1:$AX$1,0),FALSE)/1,"")</f>
        <v>0</v>
      </c>
      <c r="AM242" s="172" t="str">
        <f>IFERROR(1-VLOOKUP($B242,'Slutlig allokering kvv'!$B$2:$AX$549,MATCH("Andel av bränsle i kvv som allokerats till värme, exklusive rökgaskondensering och hjälpel",'Slutlig allokering kvv'!$B$1:$AX$1,0),FALSE),"")</f>
        <v/>
      </c>
      <c r="AO242" s="172" t="str">
        <f t="shared" si="13"/>
        <v/>
      </c>
      <c r="AP242" s="173" t="str">
        <f t="shared" si="14"/>
        <v/>
      </c>
      <c r="AR242" s="172" t="str">
        <f t="shared" si="15"/>
        <v/>
      </c>
    </row>
    <row r="243" spans="1:44" x14ac:dyDescent="0.25">
      <c r="A243" s="171" t="str">
        <f>'Miljövärden för publ företag'!B245</f>
        <v>Statkraft Värme AB</v>
      </c>
      <c r="B243" s="171" t="str">
        <f>'Miljövärden för publ företag'!C245</f>
        <v>Kungsbacka</v>
      </c>
      <c r="C243" s="121" t="str">
        <f>IFERROR(VLOOKUP($B243,Kraftvärmeprod!$B$1:$AH$478,MATCH(C$2,Kraftvärmeprod!$B$1:$AG$1,0),FALSE)/1,"")</f>
        <v/>
      </c>
      <c r="D243" s="121" t="str">
        <f>IFERROR(VLOOKUP($B243,Kraftvärmeprod!$B$1:$AH$478,MATCH(D$2,Kraftvärmeprod!$B$1:$AG$1,0),FALSE)/1,"")</f>
        <v/>
      </c>
      <c r="F243" s="121" t="str">
        <f>IF($D243="","",IFERROR(VLOOKUP($B243,Kraftvärmeprod!$B$1:$BX$549,MATCH(F$2,Kraftvärmeprod!$B$1:$VX$1,0),FALSE)/1,0)-IFERROR(VLOOKUP($B243,'Slutlig allokering kvv'!$B$2:$BX$549,MATCH(F$2,'Slutlig allokering kvv'!$B$1:$BX$1,0),FALSE)/1,0))</f>
        <v/>
      </c>
      <c r="G243" s="121" t="str">
        <f>IF($D243="","",IFERROR(VLOOKUP($B243,Kraftvärmeprod!$B$1:$BX$549,MATCH(G$2,Kraftvärmeprod!$B$1:$VX$1,0),FALSE)/1,0)-IFERROR(VLOOKUP($B243,'Slutlig allokering kvv'!$B$2:$BX$549,MATCH(G$2,'Slutlig allokering kvv'!$B$1:$BX$1,0),FALSE)/1,0))</f>
        <v/>
      </c>
      <c r="H243" s="121" t="str">
        <f>IF($D243="","",IFERROR(VLOOKUP($B243,Kraftvärmeprod!$B$1:$BX$549,MATCH(H$2,Kraftvärmeprod!$B$1:$VX$1,0),FALSE)/1,0)-IFERROR(VLOOKUP($B243,'Slutlig allokering kvv'!$B$2:$BX$549,MATCH(H$2,'Slutlig allokering kvv'!$B$1:$BX$1,0),FALSE)/1,0))</f>
        <v/>
      </c>
      <c r="I243" s="121" t="str">
        <f>IF($D243="","",IFERROR(VLOOKUP($B243,Kraftvärmeprod!$B$1:$BX$549,MATCH(I$2,Kraftvärmeprod!$B$1:$VX$1,0),FALSE)/1,0)-IFERROR(VLOOKUP($B243,'Slutlig allokering kvv'!$B$2:$BX$549,MATCH(I$2,'Slutlig allokering kvv'!$B$1:$BX$1,0),FALSE)/1,0))</f>
        <v/>
      </c>
      <c r="J243" s="121" t="str">
        <f>IF($D243="","",IFERROR(VLOOKUP($B243,Kraftvärmeprod!$B$1:$BX$549,MATCH(J$2,Kraftvärmeprod!$B$1:$VX$1,0),FALSE)/1,0)-IFERROR(VLOOKUP($B243,'Slutlig allokering kvv'!$B$2:$BX$549,MATCH(J$2,'Slutlig allokering kvv'!$B$1:$BX$1,0),FALSE)/1,0))</f>
        <v/>
      </c>
      <c r="K243" s="121" t="str">
        <f>IF($D243="","",IFERROR(VLOOKUP($B243,Kraftvärmeprod!$B$1:$BX$549,MATCH(K$2,Kraftvärmeprod!$B$1:$VX$1,0),FALSE)/1,0)-IFERROR(VLOOKUP($B243,'Slutlig allokering kvv'!$B$2:$BX$549,MATCH(K$2,'Slutlig allokering kvv'!$B$1:$BX$1,0),FALSE)/1,0))</f>
        <v/>
      </c>
      <c r="L243" s="121" t="str">
        <f>IF($D243="","",IFERROR(VLOOKUP($B243,Kraftvärmeprod!$B$1:$BX$549,MATCH(L$2,Kraftvärmeprod!$B$1:$VX$1,0),FALSE)/1,0)-IFERROR(VLOOKUP($B243,'Slutlig allokering kvv'!$B$2:$BX$549,MATCH(L$2,'Slutlig allokering kvv'!$B$1:$BX$1,0),FALSE)/1,0))</f>
        <v/>
      </c>
      <c r="M243" s="121" t="str">
        <f>IF($D243="","",IFERROR(VLOOKUP($B243,Kraftvärmeprod!$B$1:$BX$549,MATCH(M$2,Kraftvärmeprod!$B$1:$VX$1,0),FALSE)/1,0)-IFERROR(VLOOKUP($B243,'Slutlig allokering kvv'!$B$2:$BX$549,MATCH(M$2,'Slutlig allokering kvv'!$B$1:$BX$1,0),FALSE)/1,0))</f>
        <v/>
      </c>
      <c r="N243" s="121" t="str">
        <f>IF($D243="","",IFERROR(VLOOKUP($B243,Kraftvärmeprod!$B$1:$BX$549,MATCH(N$2,Kraftvärmeprod!$B$1:$VX$1,0),FALSE)/1,0)-IFERROR(VLOOKUP($B243,'Slutlig allokering kvv'!$B$2:$BX$549,MATCH(N$2,'Slutlig allokering kvv'!$B$1:$BX$1,0),FALSE)/1,0))</f>
        <v/>
      </c>
      <c r="O243" s="121" t="str">
        <f>IF($D243="","",IFERROR(VLOOKUP($B243,Kraftvärmeprod!$B$1:$BX$549,MATCH(O$2,Kraftvärmeprod!$B$1:$VX$1,0),FALSE)/1,0)-IFERROR(VLOOKUP($B243,'Slutlig allokering kvv'!$B$2:$BX$549,MATCH(O$2,'Slutlig allokering kvv'!$B$1:$BX$1,0),FALSE)/1,0))</f>
        <v/>
      </c>
      <c r="P243" s="121" t="str">
        <f>IF($D243="","",IFERROR(VLOOKUP($B243,Kraftvärmeprod!$B$1:$BX$549,MATCH(P$2,Kraftvärmeprod!$B$1:$VX$1,0),FALSE)/1,0)-IFERROR(VLOOKUP($B243,'Slutlig allokering kvv'!$B$2:$BX$549,MATCH(P$2,'Slutlig allokering kvv'!$B$1:$BX$1,0),FALSE)/1,0))</f>
        <v/>
      </c>
      <c r="Q243" s="121" t="str">
        <f>IF($D243="","",IFERROR(VLOOKUP($B243,Kraftvärmeprod!$B$1:$BX$549,MATCH(Q$2,Kraftvärmeprod!$B$1:$VX$1,0),FALSE)/1,0)-IFERROR(VLOOKUP($B243,'Slutlig allokering kvv'!$B$2:$BX$549,MATCH(Q$2,'Slutlig allokering kvv'!$B$1:$BX$1,0),FALSE)/1,0))</f>
        <v/>
      </c>
      <c r="R243" s="121" t="str">
        <f>IF($D243="","",IFERROR(VLOOKUP($B243,Kraftvärmeprod!$B$1:$BX$549,MATCH(R$2,Kraftvärmeprod!$B$1:$VX$1,0),FALSE)/1,0)-IFERROR(VLOOKUP($B243,'Slutlig allokering kvv'!$B$2:$BX$549,MATCH(R$2,'Slutlig allokering kvv'!$B$1:$BX$1,0),FALSE)/1,0))</f>
        <v/>
      </c>
      <c r="S243" s="121" t="str">
        <f>IF($D243="","",IFERROR(VLOOKUP($B243,Kraftvärmeprod!$B$1:$BX$549,MATCH(S$2,Kraftvärmeprod!$B$1:$VX$1,0),FALSE)/1,0)-IFERROR(VLOOKUP($B243,'Slutlig allokering kvv'!$B$2:$BX$549,MATCH(S$2,'Slutlig allokering kvv'!$B$1:$BX$1,0),FALSE)/1,0))</f>
        <v/>
      </c>
      <c r="T243" s="121" t="str">
        <f>IF($D243="","",IFERROR(VLOOKUP($B243,Kraftvärmeprod!$B$1:$BX$549,MATCH(T$2,Kraftvärmeprod!$B$1:$VX$1,0),FALSE)/1,0)-IFERROR(VLOOKUP($B243,'Slutlig allokering kvv'!$B$2:$BX$549,MATCH(T$2,'Slutlig allokering kvv'!$B$1:$BX$1,0),FALSE)/1,0))</f>
        <v/>
      </c>
      <c r="U243" s="121" t="str">
        <f>IF($D243="","",IFERROR(VLOOKUP($B243,Kraftvärmeprod!$B$1:$BX$549,MATCH(U$2,Kraftvärmeprod!$B$1:$VX$1,0),FALSE)/1,0)-IFERROR(VLOOKUP($B243,'Slutlig allokering kvv'!$B$2:$BX$549,MATCH(U$2,'Slutlig allokering kvv'!$B$1:$BX$1,0),FALSE)/1,0))</f>
        <v/>
      </c>
      <c r="V243" s="121" t="str">
        <f>IF($D243="","",IFERROR(VLOOKUP($B243,Kraftvärmeprod!$B$1:$BX$549,MATCH(V$2,Kraftvärmeprod!$B$1:$VX$1,0),FALSE)/1,0)-IFERROR(VLOOKUP($B243,'Slutlig allokering kvv'!$B$2:$BX$549,MATCH(V$2,'Slutlig allokering kvv'!$B$1:$BX$1,0),FALSE)/1,0))</f>
        <v/>
      </c>
      <c r="W243" s="121" t="str">
        <f>IF($D243="","",IFERROR(VLOOKUP($B243,Kraftvärmeprod!$B$1:$BX$549,MATCH(W$2,Kraftvärmeprod!$B$1:$VX$1,0),FALSE)/1,0)-IFERROR(VLOOKUP($B243,'Slutlig allokering kvv'!$B$2:$BX$549,MATCH(W$2,'Slutlig allokering kvv'!$B$1:$BX$1,0),FALSE)/1,0))</f>
        <v/>
      </c>
      <c r="X243" s="121" t="str">
        <f>IF($D243="","",IFERROR(VLOOKUP($B243,Kraftvärmeprod!$B$1:$BX$549,MATCH(X$2,Kraftvärmeprod!$B$1:$VX$1,0),FALSE)/1,0)-IFERROR(VLOOKUP($B243,'Slutlig allokering kvv'!$B$2:$BX$549,MATCH(X$2,'Slutlig allokering kvv'!$B$1:$BX$1,0),FALSE)/1,0))</f>
        <v/>
      </c>
      <c r="Y243" s="121" t="str">
        <f>IF($D243="","",IFERROR(VLOOKUP($B243,Kraftvärmeprod!$B$1:$BX$549,MATCH(Y$2,Kraftvärmeprod!$B$1:$VX$1,0),FALSE)/1,0)-IFERROR(VLOOKUP($B243,'Slutlig allokering kvv'!$B$2:$BX$549,MATCH(Y$2,'Slutlig allokering kvv'!$B$1:$BX$1,0),FALSE)/1,0))</f>
        <v/>
      </c>
      <c r="Z243" s="121" t="str">
        <f>IF($D243="","",IFERROR(VLOOKUP($B243,Kraftvärmeprod!$B$1:$BX$549,MATCH(Z$2,Kraftvärmeprod!$B$1:$VX$1,0),FALSE)/1,0)-IFERROR(VLOOKUP($B243,'Slutlig allokering kvv'!$B$2:$BX$549,MATCH(Z$2,'Slutlig allokering kvv'!$B$1:$BX$1,0),FALSE)/1,0))</f>
        <v/>
      </c>
      <c r="AA243" s="121" t="str">
        <f>IF($D243="","",IFERROR(VLOOKUP($B243,Kraftvärmeprod!$B$1:$BX$549,MATCH(AA$2,Kraftvärmeprod!$B$1:$VX$1,0),FALSE)/1,0)-IFERROR(VLOOKUP($B243,'Slutlig allokering kvv'!$B$2:$BX$549,MATCH(AA$2,'Slutlig allokering kvv'!$B$1:$BX$1,0),FALSE)/1,0))</f>
        <v/>
      </c>
      <c r="AB243" s="121" t="str">
        <f>IF($D243="","",IFERROR(VLOOKUP($B243,Kraftvärmeprod!$B$1:$BX$549,MATCH(AB$2,Kraftvärmeprod!$B$1:$VX$1,0),FALSE)/1,0)-IFERROR(VLOOKUP($B243,'Slutlig allokering kvv'!$B$2:$BX$549,MATCH(AB$2,'Slutlig allokering kvv'!$B$1:$BX$1,0),FALSE)/1,0))</f>
        <v/>
      </c>
      <c r="AC243" s="121" t="str">
        <f>IF($D243="","",IFERROR(VLOOKUP($B243,Kraftvärmeprod!$B$1:$BX$549,MATCH(AC$2,Kraftvärmeprod!$B$1:$VX$1,0),FALSE)/1,0)-IFERROR(VLOOKUP($B243,'Slutlig allokering kvv'!$B$2:$BX$549,MATCH(AC$2,'Slutlig allokering kvv'!$B$1:$BX$1,0),FALSE)/1,0))</f>
        <v/>
      </c>
      <c r="AD243" s="121" t="str">
        <f>IF($D243="","",IFERROR(VLOOKUP($B243,Kraftvärmeprod!$B$1:$BX$549,MATCH(AD$2,Kraftvärmeprod!$B$1:$VX$1,0),FALSE)/1,0)-IFERROR(VLOOKUP($B243,'Slutlig allokering kvv'!$B$2:$BX$549,MATCH(AD$2,'Slutlig allokering kvv'!$B$1:$BX$1,0),FALSE)/1,0))</f>
        <v/>
      </c>
      <c r="AE243" s="121" t="str">
        <f>IF($D243="","",IFERROR(VLOOKUP($B243,Miljö!$B$1:$E$550,MATCH("Hjälpel kraftvärme (GWh)",Miljö!$B$1:$E$1,0),FALSE)/1,0)-IFERROR(VLOOKUP($B243,'Slutlig allokering kvv'!$B$2:$BX$549,MATCH(AE$2,'Slutlig allokering kvv'!$B$1:$BX$1,0),FALSE)/1,0))</f>
        <v/>
      </c>
      <c r="AI243" s="121">
        <f t="shared" si="12"/>
        <v>0</v>
      </c>
      <c r="AK243" s="121">
        <f>IFERROR(VLOOKUP($B243,'Slutlig allokering kvv'!$B$2:$AX$549,MATCH("Summa slutlig allokerad tillförd energi (utan hjälpel och rökgaskondensering):",'Slutlig allokering kvv'!$B$1:$AX$1,0),FALSE)/1,"")</f>
        <v>0</v>
      </c>
      <c r="AM243" s="172" t="str">
        <f>IFERROR(1-VLOOKUP($B243,'Slutlig allokering kvv'!$B$2:$AX$549,MATCH("Andel av bränsle i kvv som allokerats till värme, exklusive rökgaskondensering och hjälpel",'Slutlig allokering kvv'!$B$1:$AX$1,0),FALSE),"")</f>
        <v/>
      </c>
      <c r="AO243" s="172" t="str">
        <f t="shared" si="13"/>
        <v/>
      </c>
      <c r="AP243" s="173" t="str">
        <f t="shared" si="14"/>
        <v/>
      </c>
      <c r="AR243" s="172" t="str">
        <f t="shared" si="15"/>
        <v/>
      </c>
    </row>
    <row r="244" spans="1:44" x14ac:dyDescent="0.25">
      <c r="A244" s="171" t="str">
        <f>'Miljövärden för publ företag'!B246</f>
        <v>Statkraft Värme AB</v>
      </c>
      <c r="B244" s="171" t="str">
        <f>'Miljövärden för publ företag'!C246</f>
        <v>Trosa</v>
      </c>
      <c r="C244" s="121" t="str">
        <f>IFERROR(VLOOKUP($B244,Kraftvärmeprod!$B$1:$AH$478,MATCH(C$2,Kraftvärmeprod!$B$1:$AG$1,0),FALSE)/1,"")</f>
        <v/>
      </c>
      <c r="D244" s="121" t="str">
        <f>IFERROR(VLOOKUP($B244,Kraftvärmeprod!$B$1:$AH$478,MATCH(D$2,Kraftvärmeprod!$B$1:$AG$1,0),FALSE)/1,"")</f>
        <v/>
      </c>
      <c r="F244" s="121" t="str">
        <f>IF($D244="","",IFERROR(VLOOKUP($B244,Kraftvärmeprod!$B$1:$BX$549,MATCH(F$2,Kraftvärmeprod!$B$1:$VX$1,0),FALSE)/1,0)-IFERROR(VLOOKUP($B244,'Slutlig allokering kvv'!$B$2:$BX$549,MATCH(F$2,'Slutlig allokering kvv'!$B$1:$BX$1,0),FALSE)/1,0))</f>
        <v/>
      </c>
      <c r="G244" s="121" t="str">
        <f>IF($D244="","",IFERROR(VLOOKUP($B244,Kraftvärmeprod!$B$1:$BX$549,MATCH(G$2,Kraftvärmeprod!$B$1:$VX$1,0),FALSE)/1,0)-IFERROR(VLOOKUP($B244,'Slutlig allokering kvv'!$B$2:$BX$549,MATCH(G$2,'Slutlig allokering kvv'!$B$1:$BX$1,0),FALSE)/1,0))</f>
        <v/>
      </c>
      <c r="H244" s="121" t="str">
        <f>IF($D244="","",IFERROR(VLOOKUP($B244,Kraftvärmeprod!$B$1:$BX$549,MATCH(H$2,Kraftvärmeprod!$B$1:$VX$1,0),FALSE)/1,0)-IFERROR(VLOOKUP($B244,'Slutlig allokering kvv'!$B$2:$BX$549,MATCH(H$2,'Slutlig allokering kvv'!$B$1:$BX$1,0),FALSE)/1,0))</f>
        <v/>
      </c>
      <c r="I244" s="121" t="str">
        <f>IF($D244="","",IFERROR(VLOOKUP($B244,Kraftvärmeprod!$B$1:$BX$549,MATCH(I$2,Kraftvärmeprod!$B$1:$VX$1,0),FALSE)/1,0)-IFERROR(VLOOKUP($B244,'Slutlig allokering kvv'!$B$2:$BX$549,MATCH(I$2,'Slutlig allokering kvv'!$B$1:$BX$1,0),FALSE)/1,0))</f>
        <v/>
      </c>
      <c r="J244" s="121" t="str">
        <f>IF($D244="","",IFERROR(VLOOKUP($B244,Kraftvärmeprod!$B$1:$BX$549,MATCH(J$2,Kraftvärmeprod!$B$1:$VX$1,0),FALSE)/1,0)-IFERROR(VLOOKUP($B244,'Slutlig allokering kvv'!$B$2:$BX$549,MATCH(J$2,'Slutlig allokering kvv'!$B$1:$BX$1,0),FALSE)/1,0))</f>
        <v/>
      </c>
      <c r="K244" s="121" t="str">
        <f>IF($D244="","",IFERROR(VLOOKUP($B244,Kraftvärmeprod!$B$1:$BX$549,MATCH(K$2,Kraftvärmeprod!$B$1:$VX$1,0),FALSE)/1,0)-IFERROR(VLOOKUP($B244,'Slutlig allokering kvv'!$B$2:$BX$549,MATCH(K$2,'Slutlig allokering kvv'!$B$1:$BX$1,0),FALSE)/1,0))</f>
        <v/>
      </c>
      <c r="L244" s="121" t="str">
        <f>IF($D244="","",IFERROR(VLOOKUP($B244,Kraftvärmeprod!$B$1:$BX$549,MATCH(L$2,Kraftvärmeprod!$B$1:$VX$1,0),FALSE)/1,0)-IFERROR(VLOOKUP($B244,'Slutlig allokering kvv'!$B$2:$BX$549,MATCH(L$2,'Slutlig allokering kvv'!$B$1:$BX$1,0),FALSE)/1,0))</f>
        <v/>
      </c>
      <c r="M244" s="121" t="str">
        <f>IF($D244="","",IFERROR(VLOOKUP($B244,Kraftvärmeprod!$B$1:$BX$549,MATCH(M$2,Kraftvärmeprod!$B$1:$VX$1,0),FALSE)/1,0)-IFERROR(VLOOKUP($B244,'Slutlig allokering kvv'!$B$2:$BX$549,MATCH(M$2,'Slutlig allokering kvv'!$B$1:$BX$1,0),FALSE)/1,0))</f>
        <v/>
      </c>
      <c r="N244" s="121" t="str">
        <f>IF($D244="","",IFERROR(VLOOKUP($B244,Kraftvärmeprod!$B$1:$BX$549,MATCH(N$2,Kraftvärmeprod!$B$1:$VX$1,0),FALSE)/1,0)-IFERROR(VLOOKUP($B244,'Slutlig allokering kvv'!$B$2:$BX$549,MATCH(N$2,'Slutlig allokering kvv'!$B$1:$BX$1,0),FALSE)/1,0))</f>
        <v/>
      </c>
      <c r="O244" s="121" t="str">
        <f>IF($D244="","",IFERROR(VLOOKUP($B244,Kraftvärmeprod!$B$1:$BX$549,MATCH(O$2,Kraftvärmeprod!$B$1:$VX$1,0),FALSE)/1,0)-IFERROR(VLOOKUP($B244,'Slutlig allokering kvv'!$B$2:$BX$549,MATCH(O$2,'Slutlig allokering kvv'!$B$1:$BX$1,0),FALSE)/1,0))</f>
        <v/>
      </c>
      <c r="P244" s="121" t="str">
        <f>IF($D244="","",IFERROR(VLOOKUP($B244,Kraftvärmeprod!$B$1:$BX$549,MATCH(P$2,Kraftvärmeprod!$B$1:$VX$1,0),FALSE)/1,0)-IFERROR(VLOOKUP($B244,'Slutlig allokering kvv'!$B$2:$BX$549,MATCH(P$2,'Slutlig allokering kvv'!$B$1:$BX$1,0),FALSE)/1,0))</f>
        <v/>
      </c>
      <c r="Q244" s="121" t="str">
        <f>IF($D244="","",IFERROR(VLOOKUP($B244,Kraftvärmeprod!$B$1:$BX$549,MATCH(Q$2,Kraftvärmeprod!$B$1:$VX$1,0),FALSE)/1,0)-IFERROR(VLOOKUP($B244,'Slutlig allokering kvv'!$B$2:$BX$549,MATCH(Q$2,'Slutlig allokering kvv'!$B$1:$BX$1,0),FALSE)/1,0))</f>
        <v/>
      </c>
      <c r="R244" s="121" t="str">
        <f>IF($D244="","",IFERROR(VLOOKUP($B244,Kraftvärmeprod!$B$1:$BX$549,MATCH(R$2,Kraftvärmeprod!$B$1:$VX$1,0),FALSE)/1,0)-IFERROR(VLOOKUP($B244,'Slutlig allokering kvv'!$B$2:$BX$549,MATCH(R$2,'Slutlig allokering kvv'!$B$1:$BX$1,0),FALSE)/1,0))</f>
        <v/>
      </c>
      <c r="S244" s="121" t="str">
        <f>IF($D244="","",IFERROR(VLOOKUP($B244,Kraftvärmeprod!$B$1:$BX$549,MATCH(S$2,Kraftvärmeprod!$B$1:$VX$1,0),FALSE)/1,0)-IFERROR(VLOOKUP($B244,'Slutlig allokering kvv'!$B$2:$BX$549,MATCH(S$2,'Slutlig allokering kvv'!$B$1:$BX$1,0),FALSE)/1,0))</f>
        <v/>
      </c>
      <c r="T244" s="121" t="str">
        <f>IF($D244="","",IFERROR(VLOOKUP($B244,Kraftvärmeprod!$B$1:$BX$549,MATCH(T$2,Kraftvärmeprod!$B$1:$VX$1,0),FALSE)/1,0)-IFERROR(VLOOKUP($B244,'Slutlig allokering kvv'!$B$2:$BX$549,MATCH(T$2,'Slutlig allokering kvv'!$B$1:$BX$1,0),FALSE)/1,0))</f>
        <v/>
      </c>
      <c r="U244" s="121" t="str">
        <f>IF($D244="","",IFERROR(VLOOKUP($B244,Kraftvärmeprod!$B$1:$BX$549,MATCH(U$2,Kraftvärmeprod!$B$1:$VX$1,0),FALSE)/1,0)-IFERROR(VLOOKUP($B244,'Slutlig allokering kvv'!$B$2:$BX$549,MATCH(U$2,'Slutlig allokering kvv'!$B$1:$BX$1,0),FALSE)/1,0))</f>
        <v/>
      </c>
      <c r="V244" s="121" t="str">
        <f>IF($D244="","",IFERROR(VLOOKUP($B244,Kraftvärmeprod!$B$1:$BX$549,MATCH(V$2,Kraftvärmeprod!$B$1:$VX$1,0),FALSE)/1,0)-IFERROR(VLOOKUP($B244,'Slutlig allokering kvv'!$B$2:$BX$549,MATCH(V$2,'Slutlig allokering kvv'!$B$1:$BX$1,0),FALSE)/1,0))</f>
        <v/>
      </c>
      <c r="W244" s="121" t="str">
        <f>IF($D244="","",IFERROR(VLOOKUP($B244,Kraftvärmeprod!$B$1:$BX$549,MATCH(W$2,Kraftvärmeprod!$B$1:$VX$1,0),FALSE)/1,0)-IFERROR(VLOOKUP($B244,'Slutlig allokering kvv'!$B$2:$BX$549,MATCH(W$2,'Slutlig allokering kvv'!$B$1:$BX$1,0),FALSE)/1,0))</f>
        <v/>
      </c>
      <c r="X244" s="121" t="str">
        <f>IF($D244="","",IFERROR(VLOOKUP($B244,Kraftvärmeprod!$B$1:$BX$549,MATCH(X$2,Kraftvärmeprod!$B$1:$VX$1,0),FALSE)/1,0)-IFERROR(VLOOKUP($B244,'Slutlig allokering kvv'!$B$2:$BX$549,MATCH(X$2,'Slutlig allokering kvv'!$B$1:$BX$1,0),FALSE)/1,0))</f>
        <v/>
      </c>
      <c r="Y244" s="121" t="str">
        <f>IF($D244="","",IFERROR(VLOOKUP($B244,Kraftvärmeprod!$B$1:$BX$549,MATCH(Y$2,Kraftvärmeprod!$B$1:$VX$1,0),FALSE)/1,0)-IFERROR(VLOOKUP($B244,'Slutlig allokering kvv'!$B$2:$BX$549,MATCH(Y$2,'Slutlig allokering kvv'!$B$1:$BX$1,0),FALSE)/1,0))</f>
        <v/>
      </c>
      <c r="Z244" s="121" t="str">
        <f>IF($D244="","",IFERROR(VLOOKUP($B244,Kraftvärmeprod!$B$1:$BX$549,MATCH(Z$2,Kraftvärmeprod!$B$1:$VX$1,0),FALSE)/1,0)-IFERROR(VLOOKUP($B244,'Slutlig allokering kvv'!$B$2:$BX$549,MATCH(Z$2,'Slutlig allokering kvv'!$B$1:$BX$1,0),FALSE)/1,0))</f>
        <v/>
      </c>
      <c r="AA244" s="121" t="str">
        <f>IF($D244="","",IFERROR(VLOOKUP($B244,Kraftvärmeprod!$B$1:$BX$549,MATCH(AA$2,Kraftvärmeprod!$B$1:$VX$1,0),FALSE)/1,0)-IFERROR(VLOOKUP($B244,'Slutlig allokering kvv'!$B$2:$BX$549,MATCH(AA$2,'Slutlig allokering kvv'!$B$1:$BX$1,0),FALSE)/1,0))</f>
        <v/>
      </c>
      <c r="AB244" s="121" t="str">
        <f>IF($D244="","",IFERROR(VLOOKUP($B244,Kraftvärmeprod!$B$1:$BX$549,MATCH(AB$2,Kraftvärmeprod!$B$1:$VX$1,0),FALSE)/1,0)-IFERROR(VLOOKUP($B244,'Slutlig allokering kvv'!$B$2:$BX$549,MATCH(AB$2,'Slutlig allokering kvv'!$B$1:$BX$1,0),FALSE)/1,0))</f>
        <v/>
      </c>
      <c r="AC244" s="121" t="str">
        <f>IF($D244="","",IFERROR(VLOOKUP($B244,Kraftvärmeprod!$B$1:$BX$549,MATCH(AC$2,Kraftvärmeprod!$B$1:$VX$1,0),FALSE)/1,0)-IFERROR(VLOOKUP($B244,'Slutlig allokering kvv'!$B$2:$BX$549,MATCH(AC$2,'Slutlig allokering kvv'!$B$1:$BX$1,0),FALSE)/1,0))</f>
        <v/>
      </c>
      <c r="AD244" s="121" t="str">
        <f>IF($D244="","",IFERROR(VLOOKUP($B244,Kraftvärmeprod!$B$1:$BX$549,MATCH(AD$2,Kraftvärmeprod!$B$1:$VX$1,0),FALSE)/1,0)-IFERROR(VLOOKUP($B244,'Slutlig allokering kvv'!$B$2:$BX$549,MATCH(AD$2,'Slutlig allokering kvv'!$B$1:$BX$1,0),FALSE)/1,0))</f>
        <v/>
      </c>
      <c r="AE244" s="121" t="str">
        <f>IF($D244="","",IFERROR(VLOOKUP($B244,Miljö!$B$1:$E$550,MATCH("Hjälpel kraftvärme (GWh)",Miljö!$B$1:$E$1,0),FALSE)/1,0)-IFERROR(VLOOKUP($B244,'Slutlig allokering kvv'!$B$2:$BX$549,MATCH(AE$2,'Slutlig allokering kvv'!$B$1:$BX$1,0),FALSE)/1,0))</f>
        <v/>
      </c>
      <c r="AI244" s="121">
        <f t="shared" si="12"/>
        <v>0</v>
      </c>
      <c r="AK244" s="121">
        <f>IFERROR(VLOOKUP($B244,'Slutlig allokering kvv'!$B$2:$AX$549,MATCH("Summa slutlig allokerad tillförd energi (utan hjälpel och rökgaskondensering):",'Slutlig allokering kvv'!$B$1:$AX$1,0),FALSE)/1,"")</f>
        <v>0</v>
      </c>
      <c r="AM244" s="172" t="str">
        <f>IFERROR(1-VLOOKUP($B244,'Slutlig allokering kvv'!$B$2:$AX$549,MATCH("Andel av bränsle i kvv som allokerats till värme, exklusive rökgaskondensering och hjälpel",'Slutlig allokering kvv'!$B$1:$AX$1,0),FALSE),"")</f>
        <v/>
      </c>
      <c r="AO244" s="172" t="str">
        <f t="shared" si="13"/>
        <v/>
      </c>
      <c r="AP244" s="173" t="str">
        <f t="shared" si="14"/>
        <v/>
      </c>
      <c r="AR244" s="172" t="str">
        <f t="shared" si="15"/>
        <v/>
      </c>
    </row>
    <row r="245" spans="1:44" x14ac:dyDescent="0.25">
      <c r="A245" s="171" t="str">
        <f>'Miljövärden för publ företag'!B247</f>
        <v>Statkraft Värme AB</v>
      </c>
      <c r="B245" s="171" t="str">
        <f>'Miljövärden för publ företag'!C247</f>
        <v>Vagnhärad</v>
      </c>
      <c r="C245" s="121" t="str">
        <f>IFERROR(VLOOKUP($B245,Kraftvärmeprod!$B$1:$AH$478,MATCH(C$2,Kraftvärmeprod!$B$1:$AG$1,0),FALSE)/1,"")</f>
        <v/>
      </c>
      <c r="D245" s="121" t="str">
        <f>IFERROR(VLOOKUP($B245,Kraftvärmeprod!$B$1:$AH$478,MATCH(D$2,Kraftvärmeprod!$B$1:$AG$1,0),FALSE)/1,"")</f>
        <v/>
      </c>
      <c r="F245" s="121" t="str">
        <f>IF($D245="","",IFERROR(VLOOKUP($B245,Kraftvärmeprod!$B$1:$BX$549,MATCH(F$2,Kraftvärmeprod!$B$1:$VX$1,0),FALSE)/1,0)-IFERROR(VLOOKUP($B245,'Slutlig allokering kvv'!$B$2:$BX$549,MATCH(F$2,'Slutlig allokering kvv'!$B$1:$BX$1,0),FALSE)/1,0))</f>
        <v/>
      </c>
      <c r="G245" s="121" t="str">
        <f>IF($D245="","",IFERROR(VLOOKUP($B245,Kraftvärmeprod!$B$1:$BX$549,MATCH(G$2,Kraftvärmeprod!$B$1:$VX$1,0),FALSE)/1,0)-IFERROR(VLOOKUP($B245,'Slutlig allokering kvv'!$B$2:$BX$549,MATCH(G$2,'Slutlig allokering kvv'!$B$1:$BX$1,0),FALSE)/1,0))</f>
        <v/>
      </c>
      <c r="H245" s="121" t="str">
        <f>IF($D245="","",IFERROR(VLOOKUP($B245,Kraftvärmeprod!$B$1:$BX$549,MATCH(H$2,Kraftvärmeprod!$B$1:$VX$1,0),FALSE)/1,0)-IFERROR(VLOOKUP($B245,'Slutlig allokering kvv'!$B$2:$BX$549,MATCH(H$2,'Slutlig allokering kvv'!$B$1:$BX$1,0),FALSE)/1,0))</f>
        <v/>
      </c>
      <c r="I245" s="121" t="str">
        <f>IF($D245="","",IFERROR(VLOOKUP($B245,Kraftvärmeprod!$B$1:$BX$549,MATCH(I$2,Kraftvärmeprod!$B$1:$VX$1,0),FALSE)/1,0)-IFERROR(VLOOKUP($B245,'Slutlig allokering kvv'!$B$2:$BX$549,MATCH(I$2,'Slutlig allokering kvv'!$B$1:$BX$1,0),FALSE)/1,0))</f>
        <v/>
      </c>
      <c r="J245" s="121" t="str">
        <f>IF($D245="","",IFERROR(VLOOKUP($B245,Kraftvärmeprod!$B$1:$BX$549,MATCH(J$2,Kraftvärmeprod!$B$1:$VX$1,0),FALSE)/1,0)-IFERROR(VLOOKUP($B245,'Slutlig allokering kvv'!$B$2:$BX$549,MATCH(J$2,'Slutlig allokering kvv'!$B$1:$BX$1,0),FALSE)/1,0))</f>
        <v/>
      </c>
      <c r="K245" s="121" t="str">
        <f>IF($D245="","",IFERROR(VLOOKUP($B245,Kraftvärmeprod!$B$1:$BX$549,MATCH(K$2,Kraftvärmeprod!$B$1:$VX$1,0),FALSE)/1,0)-IFERROR(VLOOKUP($B245,'Slutlig allokering kvv'!$B$2:$BX$549,MATCH(K$2,'Slutlig allokering kvv'!$B$1:$BX$1,0),FALSE)/1,0))</f>
        <v/>
      </c>
      <c r="L245" s="121" t="str">
        <f>IF($D245="","",IFERROR(VLOOKUP($B245,Kraftvärmeprod!$B$1:$BX$549,MATCH(L$2,Kraftvärmeprod!$B$1:$VX$1,0),FALSE)/1,0)-IFERROR(VLOOKUP($B245,'Slutlig allokering kvv'!$B$2:$BX$549,MATCH(L$2,'Slutlig allokering kvv'!$B$1:$BX$1,0),FALSE)/1,0))</f>
        <v/>
      </c>
      <c r="M245" s="121" t="str">
        <f>IF($D245="","",IFERROR(VLOOKUP($B245,Kraftvärmeprod!$B$1:$BX$549,MATCH(M$2,Kraftvärmeprod!$B$1:$VX$1,0),FALSE)/1,0)-IFERROR(VLOOKUP($B245,'Slutlig allokering kvv'!$B$2:$BX$549,MATCH(M$2,'Slutlig allokering kvv'!$B$1:$BX$1,0),FALSE)/1,0))</f>
        <v/>
      </c>
      <c r="N245" s="121" t="str">
        <f>IF($D245="","",IFERROR(VLOOKUP($B245,Kraftvärmeprod!$B$1:$BX$549,MATCH(N$2,Kraftvärmeprod!$B$1:$VX$1,0),FALSE)/1,0)-IFERROR(VLOOKUP($B245,'Slutlig allokering kvv'!$B$2:$BX$549,MATCH(N$2,'Slutlig allokering kvv'!$B$1:$BX$1,0),FALSE)/1,0))</f>
        <v/>
      </c>
      <c r="O245" s="121" t="str">
        <f>IF($D245="","",IFERROR(VLOOKUP($B245,Kraftvärmeprod!$B$1:$BX$549,MATCH(O$2,Kraftvärmeprod!$B$1:$VX$1,0),FALSE)/1,0)-IFERROR(VLOOKUP($B245,'Slutlig allokering kvv'!$B$2:$BX$549,MATCH(O$2,'Slutlig allokering kvv'!$B$1:$BX$1,0),FALSE)/1,0))</f>
        <v/>
      </c>
      <c r="P245" s="121" t="str">
        <f>IF($D245="","",IFERROR(VLOOKUP($B245,Kraftvärmeprod!$B$1:$BX$549,MATCH(P$2,Kraftvärmeprod!$B$1:$VX$1,0),FALSE)/1,0)-IFERROR(VLOOKUP($B245,'Slutlig allokering kvv'!$B$2:$BX$549,MATCH(P$2,'Slutlig allokering kvv'!$B$1:$BX$1,0),FALSE)/1,0))</f>
        <v/>
      </c>
      <c r="Q245" s="121" t="str">
        <f>IF($D245="","",IFERROR(VLOOKUP($B245,Kraftvärmeprod!$B$1:$BX$549,MATCH(Q$2,Kraftvärmeprod!$B$1:$VX$1,0),FALSE)/1,0)-IFERROR(VLOOKUP($B245,'Slutlig allokering kvv'!$B$2:$BX$549,MATCH(Q$2,'Slutlig allokering kvv'!$B$1:$BX$1,0),FALSE)/1,0))</f>
        <v/>
      </c>
      <c r="R245" s="121" t="str">
        <f>IF($D245="","",IFERROR(VLOOKUP($B245,Kraftvärmeprod!$B$1:$BX$549,MATCH(R$2,Kraftvärmeprod!$B$1:$VX$1,0),FALSE)/1,0)-IFERROR(VLOOKUP($B245,'Slutlig allokering kvv'!$B$2:$BX$549,MATCH(R$2,'Slutlig allokering kvv'!$B$1:$BX$1,0),FALSE)/1,0))</f>
        <v/>
      </c>
      <c r="S245" s="121" t="str">
        <f>IF($D245="","",IFERROR(VLOOKUP($B245,Kraftvärmeprod!$B$1:$BX$549,MATCH(S$2,Kraftvärmeprod!$B$1:$VX$1,0),FALSE)/1,0)-IFERROR(VLOOKUP($B245,'Slutlig allokering kvv'!$B$2:$BX$549,MATCH(S$2,'Slutlig allokering kvv'!$B$1:$BX$1,0),FALSE)/1,0))</f>
        <v/>
      </c>
      <c r="T245" s="121" t="str">
        <f>IF($D245="","",IFERROR(VLOOKUP($B245,Kraftvärmeprod!$B$1:$BX$549,MATCH(T$2,Kraftvärmeprod!$B$1:$VX$1,0),FALSE)/1,0)-IFERROR(VLOOKUP($B245,'Slutlig allokering kvv'!$B$2:$BX$549,MATCH(T$2,'Slutlig allokering kvv'!$B$1:$BX$1,0),FALSE)/1,0))</f>
        <v/>
      </c>
      <c r="U245" s="121" t="str">
        <f>IF($D245="","",IFERROR(VLOOKUP($B245,Kraftvärmeprod!$B$1:$BX$549,MATCH(U$2,Kraftvärmeprod!$B$1:$VX$1,0),FALSE)/1,0)-IFERROR(VLOOKUP($B245,'Slutlig allokering kvv'!$B$2:$BX$549,MATCH(U$2,'Slutlig allokering kvv'!$B$1:$BX$1,0),FALSE)/1,0))</f>
        <v/>
      </c>
      <c r="V245" s="121" t="str">
        <f>IF($D245="","",IFERROR(VLOOKUP($B245,Kraftvärmeprod!$B$1:$BX$549,MATCH(V$2,Kraftvärmeprod!$B$1:$VX$1,0),FALSE)/1,0)-IFERROR(VLOOKUP($B245,'Slutlig allokering kvv'!$B$2:$BX$549,MATCH(V$2,'Slutlig allokering kvv'!$B$1:$BX$1,0),FALSE)/1,0))</f>
        <v/>
      </c>
      <c r="W245" s="121" t="str">
        <f>IF($D245="","",IFERROR(VLOOKUP($B245,Kraftvärmeprod!$B$1:$BX$549,MATCH(W$2,Kraftvärmeprod!$B$1:$VX$1,0),FALSE)/1,0)-IFERROR(VLOOKUP($B245,'Slutlig allokering kvv'!$B$2:$BX$549,MATCH(W$2,'Slutlig allokering kvv'!$B$1:$BX$1,0),FALSE)/1,0))</f>
        <v/>
      </c>
      <c r="X245" s="121" t="str">
        <f>IF($D245="","",IFERROR(VLOOKUP($B245,Kraftvärmeprod!$B$1:$BX$549,MATCH(X$2,Kraftvärmeprod!$B$1:$VX$1,0),FALSE)/1,0)-IFERROR(VLOOKUP($B245,'Slutlig allokering kvv'!$B$2:$BX$549,MATCH(X$2,'Slutlig allokering kvv'!$B$1:$BX$1,0),FALSE)/1,0))</f>
        <v/>
      </c>
      <c r="Y245" s="121" t="str">
        <f>IF($D245="","",IFERROR(VLOOKUP($B245,Kraftvärmeprod!$B$1:$BX$549,MATCH(Y$2,Kraftvärmeprod!$B$1:$VX$1,0),FALSE)/1,0)-IFERROR(VLOOKUP($B245,'Slutlig allokering kvv'!$B$2:$BX$549,MATCH(Y$2,'Slutlig allokering kvv'!$B$1:$BX$1,0),FALSE)/1,0))</f>
        <v/>
      </c>
      <c r="Z245" s="121" t="str">
        <f>IF($D245="","",IFERROR(VLOOKUP($B245,Kraftvärmeprod!$B$1:$BX$549,MATCH(Z$2,Kraftvärmeprod!$B$1:$VX$1,0),FALSE)/1,0)-IFERROR(VLOOKUP($B245,'Slutlig allokering kvv'!$B$2:$BX$549,MATCH(Z$2,'Slutlig allokering kvv'!$B$1:$BX$1,0),FALSE)/1,0))</f>
        <v/>
      </c>
      <c r="AA245" s="121" t="str">
        <f>IF($D245="","",IFERROR(VLOOKUP($B245,Kraftvärmeprod!$B$1:$BX$549,MATCH(AA$2,Kraftvärmeprod!$B$1:$VX$1,0),FALSE)/1,0)-IFERROR(VLOOKUP($B245,'Slutlig allokering kvv'!$B$2:$BX$549,MATCH(AA$2,'Slutlig allokering kvv'!$B$1:$BX$1,0),FALSE)/1,0))</f>
        <v/>
      </c>
      <c r="AB245" s="121" t="str">
        <f>IF($D245="","",IFERROR(VLOOKUP($B245,Kraftvärmeprod!$B$1:$BX$549,MATCH(AB$2,Kraftvärmeprod!$B$1:$VX$1,0),FALSE)/1,0)-IFERROR(VLOOKUP($B245,'Slutlig allokering kvv'!$B$2:$BX$549,MATCH(AB$2,'Slutlig allokering kvv'!$B$1:$BX$1,0),FALSE)/1,0))</f>
        <v/>
      </c>
      <c r="AC245" s="121" t="str">
        <f>IF($D245="","",IFERROR(VLOOKUP($B245,Kraftvärmeprod!$B$1:$BX$549,MATCH(AC$2,Kraftvärmeprod!$B$1:$VX$1,0),FALSE)/1,0)-IFERROR(VLOOKUP($B245,'Slutlig allokering kvv'!$B$2:$BX$549,MATCH(AC$2,'Slutlig allokering kvv'!$B$1:$BX$1,0),FALSE)/1,0))</f>
        <v/>
      </c>
      <c r="AD245" s="121" t="str">
        <f>IF($D245="","",IFERROR(VLOOKUP($B245,Kraftvärmeprod!$B$1:$BX$549,MATCH(AD$2,Kraftvärmeprod!$B$1:$VX$1,0),FALSE)/1,0)-IFERROR(VLOOKUP($B245,'Slutlig allokering kvv'!$B$2:$BX$549,MATCH(AD$2,'Slutlig allokering kvv'!$B$1:$BX$1,0),FALSE)/1,0))</f>
        <v/>
      </c>
      <c r="AE245" s="121" t="str">
        <f>IF($D245="","",IFERROR(VLOOKUP($B245,Miljö!$B$1:$E$550,MATCH("Hjälpel kraftvärme (GWh)",Miljö!$B$1:$E$1,0),FALSE)/1,0)-IFERROR(VLOOKUP($B245,'Slutlig allokering kvv'!$B$2:$BX$549,MATCH(AE$2,'Slutlig allokering kvv'!$B$1:$BX$1,0),FALSE)/1,0))</f>
        <v/>
      </c>
      <c r="AI245" s="121">
        <f t="shared" si="12"/>
        <v>0</v>
      </c>
      <c r="AK245" s="121">
        <f>IFERROR(VLOOKUP($B245,'Slutlig allokering kvv'!$B$2:$AX$549,MATCH("Summa slutlig allokerad tillförd energi (utan hjälpel och rökgaskondensering):",'Slutlig allokering kvv'!$B$1:$AX$1,0),FALSE)/1,"")</f>
        <v>0</v>
      </c>
      <c r="AM245" s="172" t="str">
        <f>IFERROR(1-VLOOKUP($B245,'Slutlig allokering kvv'!$B$2:$AX$549,MATCH("Andel av bränsle i kvv som allokerats till värme, exklusive rökgaskondensering och hjälpel",'Slutlig allokering kvv'!$B$1:$AX$1,0),FALSE),"")</f>
        <v/>
      </c>
      <c r="AO245" s="172" t="str">
        <f t="shared" si="13"/>
        <v/>
      </c>
      <c r="AP245" s="173" t="str">
        <f t="shared" si="14"/>
        <v/>
      </c>
      <c r="AR245" s="172" t="str">
        <f t="shared" si="15"/>
        <v/>
      </c>
    </row>
    <row r="246" spans="1:44" x14ac:dyDescent="0.25">
      <c r="A246" s="171" t="str">
        <f>'Miljövärden för publ företag'!B248</f>
        <v>Statkraft Värme AB</v>
      </c>
      <c r="B246" s="171" t="str">
        <f>'Miljövärden för publ företag'!C248</f>
        <v>Åmål</v>
      </c>
      <c r="C246" s="121" t="str">
        <f>IFERROR(VLOOKUP($B246,Kraftvärmeprod!$B$1:$AH$478,MATCH(C$2,Kraftvärmeprod!$B$1:$AG$1,0),FALSE)/1,"")</f>
        <v/>
      </c>
      <c r="D246" s="121" t="str">
        <f>IFERROR(VLOOKUP($B246,Kraftvärmeprod!$B$1:$AH$478,MATCH(D$2,Kraftvärmeprod!$B$1:$AG$1,0),FALSE)/1,"")</f>
        <v/>
      </c>
      <c r="F246" s="121" t="str">
        <f>IF($D246="","",IFERROR(VLOOKUP($B246,Kraftvärmeprod!$B$1:$BX$549,MATCH(F$2,Kraftvärmeprod!$B$1:$VX$1,0),FALSE)/1,0)-IFERROR(VLOOKUP($B246,'Slutlig allokering kvv'!$B$2:$BX$549,MATCH(F$2,'Slutlig allokering kvv'!$B$1:$BX$1,0),FALSE)/1,0))</f>
        <v/>
      </c>
      <c r="G246" s="121" t="str">
        <f>IF($D246="","",IFERROR(VLOOKUP($B246,Kraftvärmeprod!$B$1:$BX$549,MATCH(G$2,Kraftvärmeprod!$B$1:$VX$1,0),FALSE)/1,0)-IFERROR(VLOOKUP($B246,'Slutlig allokering kvv'!$B$2:$BX$549,MATCH(G$2,'Slutlig allokering kvv'!$B$1:$BX$1,0),FALSE)/1,0))</f>
        <v/>
      </c>
      <c r="H246" s="121" t="str">
        <f>IF($D246="","",IFERROR(VLOOKUP($B246,Kraftvärmeprod!$B$1:$BX$549,MATCH(H$2,Kraftvärmeprod!$B$1:$VX$1,0),FALSE)/1,0)-IFERROR(VLOOKUP($B246,'Slutlig allokering kvv'!$B$2:$BX$549,MATCH(H$2,'Slutlig allokering kvv'!$B$1:$BX$1,0),FALSE)/1,0))</f>
        <v/>
      </c>
      <c r="I246" s="121" t="str">
        <f>IF($D246="","",IFERROR(VLOOKUP($B246,Kraftvärmeprod!$B$1:$BX$549,MATCH(I$2,Kraftvärmeprod!$B$1:$VX$1,0),FALSE)/1,0)-IFERROR(VLOOKUP($B246,'Slutlig allokering kvv'!$B$2:$BX$549,MATCH(I$2,'Slutlig allokering kvv'!$B$1:$BX$1,0),FALSE)/1,0))</f>
        <v/>
      </c>
      <c r="J246" s="121" t="str">
        <f>IF($D246="","",IFERROR(VLOOKUP($B246,Kraftvärmeprod!$B$1:$BX$549,MATCH(J$2,Kraftvärmeprod!$B$1:$VX$1,0),FALSE)/1,0)-IFERROR(VLOOKUP($B246,'Slutlig allokering kvv'!$B$2:$BX$549,MATCH(J$2,'Slutlig allokering kvv'!$B$1:$BX$1,0),FALSE)/1,0))</f>
        <v/>
      </c>
      <c r="K246" s="121" t="str">
        <f>IF($D246="","",IFERROR(VLOOKUP($B246,Kraftvärmeprod!$B$1:$BX$549,MATCH(K$2,Kraftvärmeprod!$B$1:$VX$1,0),FALSE)/1,0)-IFERROR(VLOOKUP($B246,'Slutlig allokering kvv'!$B$2:$BX$549,MATCH(K$2,'Slutlig allokering kvv'!$B$1:$BX$1,0),FALSE)/1,0))</f>
        <v/>
      </c>
      <c r="L246" s="121" t="str">
        <f>IF($D246="","",IFERROR(VLOOKUP($B246,Kraftvärmeprod!$B$1:$BX$549,MATCH(L$2,Kraftvärmeprod!$B$1:$VX$1,0),FALSE)/1,0)-IFERROR(VLOOKUP($B246,'Slutlig allokering kvv'!$B$2:$BX$549,MATCH(L$2,'Slutlig allokering kvv'!$B$1:$BX$1,0),FALSE)/1,0))</f>
        <v/>
      </c>
      <c r="M246" s="121" t="str">
        <f>IF($D246="","",IFERROR(VLOOKUP($B246,Kraftvärmeprod!$B$1:$BX$549,MATCH(M$2,Kraftvärmeprod!$B$1:$VX$1,0),FALSE)/1,0)-IFERROR(VLOOKUP($B246,'Slutlig allokering kvv'!$B$2:$BX$549,MATCH(M$2,'Slutlig allokering kvv'!$B$1:$BX$1,0),FALSE)/1,0))</f>
        <v/>
      </c>
      <c r="N246" s="121" t="str">
        <f>IF($D246="","",IFERROR(VLOOKUP($B246,Kraftvärmeprod!$B$1:$BX$549,MATCH(N$2,Kraftvärmeprod!$B$1:$VX$1,0),FALSE)/1,0)-IFERROR(VLOOKUP($B246,'Slutlig allokering kvv'!$B$2:$BX$549,MATCH(N$2,'Slutlig allokering kvv'!$B$1:$BX$1,0),FALSE)/1,0))</f>
        <v/>
      </c>
      <c r="O246" s="121" t="str">
        <f>IF($D246="","",IFERROR(VLOOKUP($B246,Kraftvärmeprod!$B$1:$BX$549,MATCH(O$2,Kraftvärmeprod!$B$1:$VX$1,0),FALSE)/1,0)-IFERROR(VLOOKUP($B246,'Slutlig allokering kvv'!$B$2:$BX$549,MATCH(O$2,'Slutlig allokering kvv'!$B$1:$BX$1,0),FALSE)/1,0))</f>
        <v/>
      </c>
      <c r="P246" s="121" t="str">
        <f>IF($D246="","",IFERROR(VLOOKUP($B246,Kraftvärmeprod!$B$1:$BX$549,MATCH(P$2,Kraftvärmeprod!$B$1:$VX$1,0),FALSE)/1,0)-IFERROR(VLOOKUP($B246,'Slutlig allokering kvv'!$B$2:$BX$549,MATCH(P$2,'Slutlig allokering kvv'!$B$1:$BX$1,0),FALSE)/1,0))</f>
        <v/>
      </c>
      <c r="Q246" s="121" t="str">
        <f>IF($D246="","",IFERROR(VLOOKUP($B246,Kraftvärmeprod!$B$1:$BX$549,MATCH(Q$2,Kraftvärmeprod!$B$1:$VX$1,0),FALSE)/1,0)-IFERROR(VLOOKUP($B246,'Slutlig allokering kvv'!$B$2:$BX$549,MATCH(Q$2,'Slutlig allokering kvv'!$B$1:$BX$1,0),FALSE)/1,0))</f>
        <v/>
      </c>
      <c r="R246" s="121" t="str">
        <f>IF($D246="","",IFERROR(VLOOKUP($B246,Kraftvärmeprod!$B$1:$BX$549,MATCH(R$2,Kraftvärmeprod!$B$1:$VX$1,0),FALSE)/1,0)-IFERROR(VLOOKUP($B246,'Slutlig allokering kvv'!$B$2:$BX$549,MATCH(R$2,'Slutlig allokering kvv'!$B$1:$BX$1,0),FALSE)/1,0))</f>
        <v/>
      </c>
      <c r="S246" s="121" t="str">
        <f>IF($D246="","",IFERROR(VLOOKUP($B246,Kraftvärmeprod!$B$1:$BX$549,MATCH(S$2,Kraftvärmeprod!$B$1:$VX$1,0),FALSE)/1,0)-IFERROR(VLOOKUP($B246,'Slutlig allokering kvv'!$B$2:$BX$549,MATCH(S$2,'Slutlig allokering kvv'!$B$1:$BX$1,0),FALSE)/1,0))</f>
        <v/>
      </c>
      <c r="T246" s="121" t="str">
        <f>IF($D246="","",IFERROR(VLOOKUP($B246,Kraftvärmeprod!$B$1:$BX$549,MATCH(T$2,Kraftvärmeprod!$B$1:$VX$1,0),FALSE)/1,0)-IFERROR(VLOOKUP($B246,'Slutlig allokering kvv'!$B$2:$BX$549,MATCH(T$2,'Slutlig allokering kvv'!$B$1:$BX$1,0),FALSE)/1,0))</f>
        <v/>
      </c>
      <c r="U246" s="121" t="str">
        <f>IF($D246="","",IFERROR(VLOOKUP($B246,Kraftvärmeprod!$B$1:$BX$549,MATCH(U$2,Kraftvärmeprod!$B$1:$VX$1,0),FALSE)/1,0)-IFERROR(VLOOKUP($B246,'Slutlig allokering kvv'!$B$2:$BX$549,MATCH(U$2,'Slutlig allokering kvv'!$B$1:$BX$1,0),FALSE)/1,0))</f>
        <v/>
      </c>
      <c r="V246" s="121" t="str">
        <f>IF($D246="","",IFERROR(VLOOKUP($B246,Kraftvärmeprod!$B$1:$BX$549,MATCH(V$2,Kraftvärmeprod!$B$1:$VX$1,0),FALSE)/1,0)-IFERROR(VLOOKUP($B246,'Slutlig allokering kvv'!$B$2:$BX$549,MATCH(V$2,'Slutlig allokering kvv'!$B$1:$BX$1,0),FALSE)/1,0))</f>
        <v/>
      </c>
      <c r="W246" s="121" t="str">
        <f>IF($D246="","",IFERROR(VLOOKUP($B246,Kraftvärmeprod!$B$1:$BX$549,MATCH(W$2,Kraftvärmeprod!$B$1:$VX$1,0),FALSE)/1,0)-IFERROR(VLOOKUP($B246,'Slutlig allokering kvv'!$B$2:$BX$549,MATCH(W$2,'Slutlig allokering kvv'!$B$1:$BX$1,0),FALSE)/1,0))</f>
        <v/>
      </c>
      <c r="X246" s="121" t="str">
        <f>IF($D246="","",IFERROR(VLOOKUP($B246,Kraftvärmeprod!$B$1:$BX$549,MATCH(X$2,Kraftvärmeprod!$B$1:$VX$1,0),FALSE)/1,0)-IFERROR(VLOOKUP($B246,'Slutlig allokering kvv'!$B$2:$BX$549,MATCH(X$2,'Slutlig allokering kvv'!$B$1:$BX$1,0),FALSE)/1,0))</f>
        <v/>
      </c>
      <c r="Y246" s="121" t="str">
        <f>IF($D246="","",IFERROR(VLOOKUP($B246,Kraftvärmeprod!$B$1:$BX$549,MATCH(Y$2,Kraftvärmeprod!$B$1:$VX$1,0),FALSE)/1,0)-IFERROR(VLOOKUP($B246,'Slutlig allokering kvv'!$B$2:$BX$549,MATCH(Y$2,'Slutlig allokering kvv'!$B$1:$BX$1,0),FALSE)/1,0))</f>
        <v/>
      </c>
      <c r="Z246" s="121" t="str">
        <f>IF($D246="","",IFERROR(VLOOKUP($B246,Kraftvärmeprod!$B$1:$BX$549,MATCH(Z$2,Kraftvärmeprod!$B$1:$VX$1,0),FALSE)/1,0)-IFERROR(VLOOKUP($B246,'Slutlig allokering kvv'!$B$2:$BX$549,MATCH(Z$2,'Slutlig allokering kvv'!$B$1:$BX$1,0),FALSE)/1,0))</f>
        <v/>
      </c>
      <c r="AA246" s="121" t="str">
        <f>IF($D246="","",IFERROR(VLOOKUP($B246,Kraftvärmeprod!$B$1:$BX$549,MATCH(AA$2,Kraftvärmeprod!$B$1:$VX$1,0),FALSE)/1,0)-IFERROR(VLOOKUP($B246,'Slutlig allokering kvv'!$B$2:$BX$549,MATCH(AA$2,'Slutlig allokering kvv'!$B$1:$BX$1,0),FALSE)/1,0))</f>
        <v/>
      </c>
      <c r="AB246" s="121" t="str">
        <f>IF($D246="","",IFERROR(VLOOKUP($B246,Kraftvärmeprod!$B$1:$BX$549,MATCH(AB$2,Kraftvärmeprod!$B$1:$VX$1,0),FALSE)/1,0)-IFERROR(VLOOKUP($B246,'Slutlig allokering kvv'!$B$2:$BX$549,MATCH(AB$2,'Slutlig allokering kvv'!$B$1:$BX$1,0),FALSE)/1,0))</f>
        <v/>
      </c>
      <c r="AC246" s="121" t="str">
        <f>IF($D246="","",IFERROR(VLOOKUP($B246,Kraftvärmeprod!$B$1:$BX$549,MATCH(AC$2,Kraftvärmeprod!$B$1:$VX$1,0),FALSE)/1,0)-IFERROR(VLOOKUP($B246,'Slutlig allokering kvv'!$B$2:$BX$549,MATCH(AC$2,'Slutlig allokering kvv'!$B$1:$BX$1,0),FALSE)/1,0))</f>
        <v/>
      </c>
      <c r="AD246" s="121" t="str">
        <f>IF($D246="","",IFERROR(VLOOKUP($B246,Kraftvärmeprod!$B$1:$BX$549,MATCH(AD$2,Kraftvärmeprod!$B$1:$VX$1,0),FALSE)/1,0)-IFERROR(VLOOKUP($B246,'Slutlig allokering kvv'!$B$2:$BX$549,MATCH(AD$2,'Slutlig allokering kvv'!$B$1:$BX$1,0),FALSE)/1,0))</f>
        <v/>
      </c>
      <c r="AE246" s="121" t="str">
        <f>IF($D246="","",IFERROR(VLOOKUP($B246,Miljö!$B$1:$E$550,MATCH("Hjälpel kraftvärme (GWh)",Miljö!$B$1:$E$1,0),FALSE)/1,0)-IFERROR(VLOOKUP($B246,'Slutlig allokering kvv'!$B$2:$BX$549,MATCH(AE$2,'Slutlig allokering kvv'!$B$1:$BX$1,0),FALSE)/1,0))</f>
        <v/>
      </c>
      <c r="AI246" s="121">
        <f t="shared" si="12"/>
        <v>0</v>
      </c>
      <c r="AK246" s="121">
        <f>IFERROR(VLOOKUP($B246,'Slutlig allokering kvv'!$B$2:$AX$549,MATCH("Summa slutlig allokerad tillförd energi (utan hjälpel och rökgaskondensering):",'Slutlig allokering kvv'!$B$1:$AX$1,0),FALSE)/1,"")</f>
        <v>0</v>
      </c>
      <c r="AM246" s="172" t="str">
        <f>IFERROR(1-VLOOKUP($B246,'Slutlig allokering kvv'!$B$2:$AX$549,MATCH("Andel av bränsle i kvv som allokerats till värme, exklusive rökgaskondensering och hjälpel",'Slutlig allokering kvv'!$B$1:$AX$1,0),FALSE),"")</f>
        <v/>
      </c>
      <c r="AO246" s="172" t="str">
        <f t="shared" si="13"/>
        <v/>
      </c>
      <c r="AP246" s="173" t="str">
        <f t="shared" si="14"/>
        <v/>
      </c>
      <c r="AR246" s="172" t="str">
        <f t="shared" si="15"/>
        <v/>
      </c>
    </row>
    <row r="247" spans="1:44" x14ac:dyDescent="0.25">
      <c r="A247" s="171" t="str">
        <f>'Miljövärden för publ företag'!B249</f>
        <v>Stenungsunds Energi och Miljö AB</v>
      </c>
      <c r="B247" s="171" t="str">
        <f>'Miljövärden för publ företag'!C249</f>
        <v>Stenungsund</v>
      </c>
      <c r="C247" s="121" t="str">
        <f>IFERROR(VLOOKUP($B247,Kraftvärmeprod!$B$1:$AH$478,MATCH(C$2,Kraftvärmeprod!$B$1:$AG$1,0),FALSE)/1,"")</f>
        <v/>
      </c>
      <c r="D247" s="121" t="str">
        <f>IFERROR(VLOOKUP($B247,Kraftvärmeprod!$B$1:$AH$478,MATCH(D$2,Kraftvärmeprod!$B$1:$AG$1,0),FALSE)/1,"")</f>
        <v/>
      </c>
      <c r="F247" s="121" t="str">
        <f>IF($D247="","",IFERROR(VLOOKUP($B247,Kraftvärmeprod!$B$1:$BX$549,MATCH(F$2,Kraftvärmeprod!$B$1:$VX$1,0),FALSE)/1,0)-IFERROR(VLOOKUP($B247,'Slutlig allokering kvv'!$B$2:$BX$549,MATCH(F$2,'Slutlig allokering kvv'!$B$1:$BX$1,0),FALSE)/1,0))</f>
        <v/>
      </c>
      <c r="G247" s="121" t="str">
        <f>IF($D247="","",IFERROR(VLOOKUP($B247,Kraftvärmeprod!$B$1:$BX$549,MATCH(G$2,Kraftvärmeprod!$B$1:$VX$1,0),FALSE)/1,0)-IFERROR(VLOOKUP($B247,'Slutlig allokering kvv'!$B$2:$BX$549,MATCH(G$2,'Slutlig allokering kvv'!$B$1:$BX$1,0),FALSE)/1,0))</f>
        <v/>
      </c>
      <c r="H247" s="121" t="str">
        <f>IF($D247="","",IFERROR(VLOOKUP($B247,Kraftvärmeprod!$B$1:$BX$549,MATCH(H$2,Kraftvärmeprod!$B$1:$VX$1,0),FALSE)/1,0)-IFERROR(VLOOKUP($B247,'Slutlig allokering kvv'!$B$2:$BX$549,MATCH(H$2,'Slutlig allokering kvv'!$B$1:$BX$1,0),FALSE)/1,0))</f>
        <v/>
      </c>
      <c r="I247" s="121" t="str">
        <f>IF($D247="","",IFERROR(VLOOKUP($B247,Kraftvärmeprod!$B$1:$BX$549,MATCH(I$2,Kraftvärmeprod!$B$1:$VX$1,0),FALSE)/1,0)-IFERROR(VLOOKUP($B247,'Slutlig allokering kvv'!$B$2:$BX$549,MATCH(I$2,'Slutlig allokering kvv'!$B$1:$BX$1,0),FALSE)/1,0))</f>
        <v/>
      </c>
      <c r="J247" s="121" t="str">
        <f>IF($D247="","",IFERROR(VLOOKUP($B247,Kraftvärmeprod!$B$1:$BX$549,MATCH(J$2,Kraftvärmeprod!$B$1:$VX$1,0),FALSE)/1,0)-IFERROR(VLOOKUP($B247,'Slutlig allokering kvv'!$B$2:$BX$549,MATCH(J$2,'Slutlig allokering kvv'!$B$1:$BX$1,0),FALSE)/1,0))</f>
        <v/>
      </c>
      <c r="K247" s="121" t="str">
        <f>IF($D247="","",IFERROR(VLOOKUP($B247,Kraftvärmeprod!$B$1:$BX$549,MATCH(K$2,Kraftvärmeprod!$B$1:$VX$1,0),FALSE)/1,0)-IFERROR(VLOOKUP($B247,'Slutlig allokering kvv'!$B$2:$BX$549,MATCH(K$2,'Slutlig allokering kvv'!$B$1:$BX$1,0),FALSE)/1,0))</f>
        <v/>
      </c>
      <c r="L247" s="121" t="str">
        <f>IF($D247="","",IFERROR(VLOOKUP($B247,Kraftvärmeprod!$B$1:$BX$549,MATCH(L$2,Kraftvärmeprod!$B$1:$VX$1,0),FALSE)/1,0)-IFERROR(VLOOKUP($B247,'Slutlig allokering kvv'!$B$2:$BX$549,MATCH(L$2,'Slutlig allokering kvv'!$B$1:$BX$1,0),FALSE)/1,0))</f>
        <v/>
      </c>
      <c r="M247" s="121" t="str">
        <f>IF($D247="","",IFERROR(VLOOKUP($B247,Kraftvärmeprod!$B$1:$BX$549,MATCH(M$2,Kraftvärmeprod!$B$1:$VX$1,0),FALSE)/1,0)-IFERROR(VLOOKUP($B247,'Slutlig allokering kvv'!$B$2:$BX$549,MATCH(M$2,'Slutlig allokering kvv'!$B$1:$BX$1,0),FALSE)/1,0))</f>
        <v/>
      </c>
      <c r="N247" s="121" t="str">
        <f>IF($D247="","",IFERROR(VLOOKUP($B247,Kraftvärmeprod!$B$1:$BX$549,MATCH(N$2,Kraftvärmeprod!$B$1:$VX$1,0),FALSE)/1,0)-IFERROR(VLOOKUP($B247,'Slutlig allokering kvv'!$B$2:$BX$549,MATCH(N$2,'Slutlig allokering kvv'!$B$1:$BX$1,0),FALSE)/1,0))</f>
        <v/>
      </c>
      <c r="O247" s="121" t="str">
        <f>IF($D247="","",IFERROR(VLOOKUP($B247,Kraftvärmeprod!$B$1:$BX$549,MATCH(O$2,Kraftvärmeprod!$B$1:$VX$1,0),FALSE)/1,0)-IFERROR(VLOOKUP($B247,'Slutlig allokering kvv'!$B$2:$BX$549,MATCH(O$2,'Slutlig allokering kvv'!$B$1:$BX$1,0),FALSE)/1,0))</f>
        <v/>
      </c>
      <c r="P247" s="121" t="str">
        <f>IF($D247="","",IFERROR(VLOOKUP($B247,Kraftvärmeprod!$B$1:$BX$549,MATCH(P$2,Kraftvärmeprod!$B$1:$VX$1,0),FALSE)/1,0)-IFERROR(VLOOKUP($B247,'Slutlig allokering kvv'!$B$2:$BX$549,MATCH(P$2,'Slutlig allokering kvv'!$B$1:$BX$1,0),FALSE)/1,0))</f>
        <v/>
      </c>
      <c r="Q247" s="121" t="str">
        <f>IF($D247="","",IFERROR(VLOOKUP($B247,Kraftvärmeprod!$B$1:$BX$549,MATCH(Q$2,Kraftvärmeprod!$B$1:$VX$1,0),FALSE)/1,0)-IFERROR(VLOOKUP($B247,'Slutlig allokering kvv'!$B$2:$BX$549,MATCH(Q$2,'Slutlig allokering kvv'!$B$1:$BX$1,0),FALSE)/1,0))</f>
        <v/>
      </c>
      <c r="R247" s="121" t="str">
        <f>IF($D247="","",IFERROR(VLOOKUP($B247,Kraftvärmeprod!$B$1:$BX$549,MATCH(R$2,Kraftvärmeprod!$B$1:$VX$1,0),FALSE)/1,0)-IFERROR(VLOOKUP($B247,'Slutlig allokering kvv'!$B$2:$BX$549,MATCH(R$2,'Slutlig allokering kvv'!$B$1:$BX$1,0),FALSE)/1,0))</f>
        <v/>
      </c>
      <c r="S247" s="121" t="str">
        <f>IF($D247="","",IFERROR(VLOOKUP($B247,Kraftvärmeprod!$B$1:$BX$549,MATCH(S$2,Kraftvärmeprod!$B$1:$VX$1,0),FALSE)/1,0)-IFERROR(VLOOKUP($B247,'Slutlig allokering kvv'!$B$2:$BX$549,MATCH(S$2,'Slutlig allokering kvv'!$B$1:$BX$1,0),FALSE)/1,0))</f>
        <v/>
      </c>
      <c r="T247" s="121" t="str">
        <f>IF($D247="","",IFERROR(VLOOKUP($B247,Kraftvärmeprod!$B$1:$BX$549,MATCH(T$2,Kraftvärmeprod!$B$1:$VX$1,0),FALSE)/1,0)-IFERROR(VLOOKUP($B247,'Slutlig allokering kvv'!$B$2:$BX$549,MATCH(T$2,'Slutlig allokering kvv'!$B$1:$BX$1,0),FALSE)/1,0))</f>
        <v/>
      </c>
      <c r="U247" s="121" t="str">
        <f>IF($D247="","",IFERROR(VLOOKUP($B247,Kraftvärmeprod!$B$1:$BX$549,MATCH(U$2,Kraftvärmeprod!$B$1:$VX$1,0),FALSE)/1,0)-IFERROR(VLOOKUP($B247,'Slutlig allokering kvv'!$B$2:$BX$549,MATCH(U$2,'Slutlig allokering kvv'!$B$1:$BX$1,0),FALSE)/1,0))</f>
        <v/>
      </c>
      <c r="V247" s="121" t="str">
        <f>IF($D247="","",IFERROR(VLOOKUP($B247,Kraftvärmeprod!$B$1:$BX$549,MATCH(V$2,Kraftvärmeprod!$B$1:$VX$1,0),FALSE)/1,0)-IFERROR(VLOOKUP($B247,'Slutlig allokering kvv'!$B$2:$BX$549,MATCH(V$2,'Slutlig allokering kvv'!$B$1:$BX$1,0),FALSE)/1,0))</f>
        <v/>
      </c>
      <c r="W247" s="121" t="str">
        <f>IF($D247="","",IFERROR(VLOOKUP($B247,Kraftvärmeprod!$B$1:$BX$549,MATCH(W$2,Kraftvärmeprod!$B$1:$VX$1,0),FALSE)/1,0)-IFERROR(VLOOKUP($B247,'Slutlig allokering kvv'!$B$2:$BX$549,MATCH(W$2,'Slutlig allokering kvv'!$B$1:$BX$1,0),FALSE)/1,0))</f>
        <v/>
      </c>
      <c r="X247" s="121" t="str">
        <f>IF($D247="","",IFERROR(VLOOKUP($B247,Kraftvärmeprod!$B$1:$BX$549,MATCH(X$2,Kraftvärmeprod!$B$1:$VX$1,0),FALSE)/1,0)-IFERROR(VLOOKUP($B247,'Slutlig allokering kvv'!$B$2:$BX$549,MATCH(X$2,'Slutlig allokering kvv'!$B$1:$BX$1,0),FALSE)/1,0))</f>
        <v/>
      </c>
      <c r="Y247" s="121" t="str">
        <f>IF($D247="","",IFERROR(VLOOKUP($B247,Kraftvärmeprod!$B$1:$BX$549,MATCH(Y$2,Kraftvärmeprod!$B$1:$VX$1,0),FALSE)/1,0)-IFERROR(VLOOKUP($B247,'Slutlig allokering kvv'!$B$2:$BX$549,MATCH(Y$2,'Slutlig allokering kvv'!$B$1:$BX$1,0),FALSE)/1,0))</f>
        <v/>
      </c>
      <c r="Z247" s="121" t="str">
        <f>IF($D247="","",IFERROR(VLOOKUP($B247,Kraftvärmeprod!$B$1:$BX$549,MATCH(Z$2,Kraftvärmeprod!$B$1:$VX$1,0),FALSE)/1,0)-IFERROR(VLOOKUP($B247,'Slutlig allokering kvv'!$B$2:$BX$549,MATCH(Z$2,'Slutlig allokering kvv'!$B$1:$BX$1,0),FALSE)/1,0))</f>
        <v/>
      </c>
      <c r="AA247" s="121" t="str">
        <f>IF($D247="","",IFERROR(VLOOKUP($B247,Kraftvärmeprod!$B$1:$BX$549,MATCH(AA$2,Kraftvärmeprod!$B$1:$VX$1,0),FALSE)/1,0)-IFERROR(VLOOKUP($B247,'Slutlig allokering kvv'!$B$2:$BX$549,MATCH(AA$2,'Slutlig allokering kvv'!$B$1:$BX$1,0),FALSE)/1,0))</f>
        <v/>
      </c>
      <c r="AB247" s="121" t="str">
        <f>IF($D247="","",IFERROR(VLOOKUP($B247,Kraftvärmeprod!$B$1:$BX$549,MATCH(AB$2,Kraftvärmeprod!$B$1:$VX$1,0),FALSE)/1,0)-IFERROR(VLOOKUP($B247,'Slutlig allokering kvv'!$B$2:$BX$549,MATCH(AB$2,'Slutlig allokering kvv'!$B$1:$BX$1,0),FALSE)/1,0))</f>
        <v/>
      </c>
      <c r="AC247" s="121" t="str">
        <f>IF($D247="","",IFERROR(VLOOKUP($B247,Kraftvärmeprod!$B$1:$BX$549,MATCH(AC$2,Kraftvärmeprod!$B$1:$VX$1,0),FALSE)/1,0)-IFERROR(VLOOKUP($B247,'Slutlig allokering kvv'!$B$2:$BX$549,MATCH(AC$2,'Slutlig allokering kvv'!$B$1:$BX$1,0),FALSE)/1,0))</f>
        <v/>
      </c>
      <c r="AD247" s="121" t="str">
        <f>IF($D247="","",IFERROR(VLOOKUP($B247,Kraftvärmeprod!$B$1:$BX$549,MATCH(AD$2,Kraftvärmeprod!$B$1:$VX$1,0),FALSE)/1,0)-IFERROR(VLOOKUP($B247,'Slutlig allokering kvv'!$B$2:$BX$549,MATCH(AD$2,'Slutlig allokering kvv'!$B$1:$BX$1,0),FALSE)/1,0))</f>
        <v/>
      </c>
      <c r="AE247" s="121" t="str">
        <f>IF($D247="","",IFERROR(VLOOKUP($B247,Miljö!$B$1:$E$550,MATCH("Hjälpel kraftvärme (GWh)",Miljö!$B$1:$E$1,0),FALSE)/1,0)-IFERROR(VLOOKUP($B247,'Slutlig allokering kvv'!$B$2:$BX$549,MATCH(AE$2,'Slutlig allokering kvv'!$B$1:$BX$1,0),FALSE)/1,0))</f>
        <v/>
      </c>
      <c r="AI247" s="121">
        <f t="shared" si="12"/>
        <v>0</v>
      </c>
      <c r="AK247" s="121">
        <f>IFERROR(VLOOKUP($B247,'Slutlig allokering kvv'!$B$2:$AX$549,MATCH("Summa slutlig allokerad tillförd energi (utan hjälpel och rökgaskondensering):",'Slutlig allokering kvv'!$B$1:$AX$1,0),FALSE)/1,"")</f>
        <v>0</v>
      </c>
      <c r="AM247" s="172" t="str">
        <f>IFERROR(1-VLOOKUP($B247,'Slutlig allokering kvv'!$B$2:$AX$549,MATCH("Andel av bränsle i kvv som allokerats till värme, exklusive rökgaskondensering och hjälpel",'Slutlig allokering kvv'!$B$1:$AX$1,0),FALSE),"")</f>
        <v/>
      </c>
      <c r="AO247" s="172" t="str">
        <f t="shared" si="13"/>
        <v/>
      </c>
      <c r="AP247" s="173" t="str">
        <f t="shared" si="14"/>
        <v/>
      </c>
      <c r="AR247" s="172" t="str">
        <f t="shared" si="15"/>
        <v/>
      </c>
    </row>
    <row r="248" spans="1:44" x14ac:dyDescent="0.25">
      <c r="A248" s="171" t="str">
        <f>'Miljövärden för publ företag'!B250</f>
        <v>Stenungsunds Energi och Miljö AB</v>
      </c>
      <c r="B248" s="171" t="str">
        <f>'Miljövärden för publ företag'!C250</f>
        <v>Stora Höga</v>
      </c>
      <c r="C248" s="121" t="str">
        <f>IFERROR(VLOOKUP($B248,Kraftvärmeprod!$B$1:$AH$478,MATCH(C$2,Kraftvärmeprod!$B$1:$AG$1,0),FALSE)/1,"")</f>
        <v/>
      </c>
      <c r="D248" s="121" t="str">
        <f>IFERROR(VLOOKUP($B248,Kraftvärmeprod!$B$1:$AH$478,MATCH(D$2,Kraftvärmeprod!$B$1:$AG$1,0),FALSE)/1,"")</f>
        <v/>
      </c>
      <c r="F248" s="121" t="str">
        <f>IF($D248="","",IFERROR(VLOOKUP($B248,Kraftvärmeprod!$B$1:$BX$549,MATCH(F$2,Kraftvärmeprod!$B$1:$VX$1,0),FALSE)/1,0)-IFERROR(VLOOKUP($B248,'Slutlig allokering kvv'!$B$2:$BX$549,MATCH(F$2,'Slutlig allokering kvv'!$B$1:$BX$1,0),FALSE)/1,0))</f>
        <v/>
      </c>
      <c r="G248" s="121" t="str">
        <f>IF($D248="","",IFERROR(VLOOKUP($B248,Kraftvärmeprod!$B$1:$BX$549,MATCH(G$2,Kraftvärmeprod!$B$1:$VX$1,0),FALSE)/1,0)-IFERROR(VLOOKUP($B248,'Slutlig allokering kvv'!$B$2:$BX$549,MATCH(G$2,'Slutlig allokering kvv'!$B$1:$BX$1,0),FALSE)/1,0))</f>
        <v/>
      </c>
      <c r="H248" s="121" t="str">
        <f>IF($D248="","",IFERROR(VLOOKUP($B248,Kraftvärmeprod!$B$1:$BX$549,MATCH(H$2,Kraftvärmeprod!$B$1:$VX$1,0),FALSE)/1,0)-IFERROR(VLOOKUP($B248,'Slutlig allokering kvv'!$B$2:$BX$549,MATCH(H$2,'Slutlig allokering kvv'!$B$1:$BX$1,0),FALSE)/1,0))</f>
        <v/>
      </c>
      <c r="I248" s="121" t="str">
        <f>IF($D248="","",IFERROR(VLOOKUP($B248,Kraftvärmeprod!$B$1:$BX$549,MATCH(I$2,Kraftvärmeprod!$B$1:$VX$1,0),FALSE)/1,0)-IFERROR(VLOOKUP($B248,'Slutlig allokering kvv'!$B$2:$BX$549,MATCH(I$2,'Slutlig allokering kvv'!$B$1:$BX$1,0),FALSE)/1,0))</f>
        <v/>
      </c>
      <c r="J248" s="121" t="str">
        <f>IF($D248="","",IFERROR(VLOOKUP($B248,Kraftvärmeprod!$B$1:$BX$549,MATCH(J$2,Kraftvärmeprod!$B$1:$VX$1,0),FALSE)/1,0)-IFERROR(VLOOKUP($B248,'Slutlig allokering kvv'!$B$2:$BX$549,MATCH(J$2,'Slutlig allokering kvv'!$B$1:$BX$1,0),FALSE)/1,0))</f>
        <v/>
      </c>
      <c r="K248" s="121" t="str">
        <f>IF($D248="","",IFERROR(VLOOKUP($B248,Kraftvärmeprod!$B$1:$BX$549,MATCH(K$2,Kraftvärmeprod!$B$1:$VX$1,0),FALSE)/1,0)-IFERROR(VLOOKUP($B248,'Slutlig allokering kvv'!$B$2:$BX$549,MATCH(K$2,'Slutlig allokering kvv'!$B$1:$BX$1,0),FALSE)/1,0))</f>
        <v/>
      </c>
      <c r="L248" s="121" t="str">
        <f>IF($D248="","",IFERROR(VLOOKUP($B248,Kraftvärmeprod!$B$1:$BX$549,MATCH(L$2,Kraftvärmeprod!$B$1:$VX$1,0),FALSE)/1,0)-IFERROR(VLOOKUP($B248,'Slutlig allokering kvv'!$B$2:$BX$549,MATCH(L$2,'Slutlig allokering kvv'!$B$1:$BX$1,0),FALSE)/1,0))</f>
        <v/>
      </c>
      <c r="M248" s="121" t="str">
        <f>IF($D248="","",IFERROR(VLOOKUP($B248,Kraftvärmeprod!$B$1:$BX$549,MATCH(M$2,Kraftvärmeprod!$B$1:$VX$1,0),FALSE)/1,0)-IFERROR(VLOOKUP($B248,'Slutlig allokering kvv'!$B$2:$BX$549,MATCH(M$2,'Slutlig allokering kvv'!$B$1:$BX$1,0),FALSE)/1,0))</f>
        <v/>
      </c>
      <c r="N248" s="121" t="str">
        <f>IF($D248="","",IFERROR(VLOOKUP($B248,Kraftvärmeprod!$B$1:$BX$549,MATCH(N$2,Kraftvärmeprod!$B$1:$VX$1,0),FALSE)/1,0)-IFERROR(VLOOKUP($B248,'Slutlig allokering kvv'!$B$2:$BX$549,MATCH(N$2,'Slutlig allokering kvv'!$B$1:$BX$1,0),FALSE)/1,0))</f>
        <v/>
      </c>
      <c r="O248" s="121" t="str">
        <f>IF($D248="","",IFERROR(VLOOKUP($B248,Kraftvärmeprod!$B$1:$BX$549,MATCH(O$2,Kraftvärmeprod!$B$1:$VX$1,0),FALSE)/1,0)-IFERROR(VLOOKUP($B248,'Slutlig allokering kvv'!$B$2:$BX$549,MATCH(O$2,'Slutlig allokering kvv'!$B$1:$BX$1,0),FALSE)/1,0))</f>
        <v/>
      </c>
      <c r="P248" s="121" t="str">
        <f>IF($D248="","",IFERROR(VLOOKUP($B248,Kraftvärmeprod!$B$1:$BX$549,MATCH(P$2,Kraftvärmeprod!$B$1:$VX$1,0),FALSE)/1,0)-IFERROR(VLOOKUP($B248,'Slutlig allokering kvv'!$B$2:$BX$549,MATCH(P$2,'Slutlig allokering kvv'!$B$1:$BX$1,0),FALSE)/1,0))</f>
        <v/>
      </c>
      <c r="Q248" s="121" t="str">
        <f>IF($D248="","",IFERROR(VLOOKUP($B248,Kraftvärmeprod!$B$1:$BX$549,MATCH(Q$2,Kraftvärmeprod!$B$1:$VX$1,0),FALSE)/1,0)-IFERROR(VLOOKUP($B248,'Slutlig allokering kvv'!$B$2:$BX$549,MATCH(Q$2,'Slutlig allokering kvv'!$B$1:$BX$1,0),FALSE)/1,0))</f>
        <v/>
      </c>
      <c r="R248" s="121" t="str">
        <f>IF($D248="","",IFERROR(VLOOKUP($B248,Kraftvärmeprod!$B$1:$BX$549,MATCH(R$2,Kraftvärmeprod!$B$1:$VX$1,0),FALSE)/1,0)-IFERROR(VLOOKUP($B248,'Slutlig allokering kvv'!$B$2:$BX$549,MATCH(R$2,'Slutlig allokering kvv'!$B$1:$BX$1,0),FALSE)/1,0))</f>
        <v/>
      </c>
      <c r="S248" s="121" t="str">
        <f>IF($D248="","",IFERROR(VLOOKUP($B248,Kraftvärmeprod!$B$1:$BX$549,MATCH(S$2,Kraftvärmeprod!$B$1:$VX$1,0),FALSE)/1,0)-IFERROR(VLOOKUP($B248,'Slutlig allokering kvv'!$B$2:$BX$549,MATCH(S$2,'Slutlig allokering kvv'!$B$1:$BX$1,0),FALSE)/1,0))</f>
        <v/>
      </c>
      <c r="T248" s="121" t="str">
        <f>IF($D248="","",IFERROR(VLOOKUP($B248,Kraftvärmeprod!$B$1:$BX$549,MATCH(T$2,Kraftvärmeprod!$B$1:$VX$1,0),FALSE)/1,0)-IFERROR(VLOOKUP($B248,'Slutlig allokering kvv'!$B$2:$BX$549,MATCH(T$2,'Slutlig allokering kvv'!$B$1:$BX$1,0),FALSE)/1,0))</f>
        <v/>
      </c>
      <c r="U248" s="121" t="str">
        <f>IF($D248="","",IFERROR(VLOOKUP($B248,Kraftvärmeprod!$B$1:$BX$549,MATCH(U$2,Kraftvärmeprod!$B$1:$VX$1,0),FALSE)/1,0)-IFERROR(VLOOKUP($B248,'Slutlig allokering kvv'!$B$2:$BX$549,MATCH(U$2,'Slutlig allokering kvv'!$B$1:$BX$1,0),FALSE)/1,0))</f>
        <v/>
      </c>
      <c r="V248" s="121" t="str">
        <f>IF($D248="","",IFERROR(VLOOKUP($B248,Kraftvärmeprod!$B$1:$BX$549,MATCH(V$2,Kraftvärmeprod!$B$1:$VX$1,0),FALSE)/1,0)-IFERROR(VLOOKUP($B248,'Slutlig allokering kvv'!$B$2:$BX$549,MATCH(V$2,'Slutlig allokering kvv'!$B$1:$BX$1,0),FALSE)/1,0))</f>
        <v/>
      </c>
      <c r="W248" s="121" t="str">
        <f>IF($D248="","",IFERROR(VLOOKUP($B248,Kraftvärmeprod!$B$1:$BX$549,MATCH(W$2,Kraftvärmeprod!$B$1:$VX$1,0),FALSE)/1,0)-IFERROR(VLOOKUP($B248,'Slutlig allokering kvv'!$B$2:$BX$549,MATCH(W$2,'Slutlig allokering kvv'!$B$1:$BX$1,0),FALSE)/1,0))</f>
        <v/>
      </c>
      <c r="X248" s="121" t="str">
        <f>IF($D248="","",IFERROR(VLOOKUP($B248,Kraftvärmeprod!$B$1:$BX$549,MATCH(X$2,Kraftvärmeprod!$B$1:$VX$1,0),FALSE)/1,0)-IFERROR(VLOOKUP($B248,'Slutlig allokering kvv'!$B$2:$BX$549,MATCH(X$2,'Slutlig allokering kvv'!$B$1:$BX$1,0),FALSE)/1,0))</f>
        <v/>
      </c>
      <c r="Y248" s="121" t="str">
        <f>IF($D248="","",IFERROR(VLOOKUP($B248,Kraftvärmeprod!$B$1:$BX$549,MATCH(Y$2,Kraftvärmeprod!$B$1:$VX$1,0),FALSE)/1,0)-IFERROR(VLOOKUP($B248,'Slutlig allokering kvv'!$B$2:$BX$549,MATCH(Y$2,'Slutlig allokering kvv'!$B$1:$BX$1,0),FALSE)/1,0))</f>
        <v/>
      </c>
      <c r="Z248" s="121" t="str">
        <f>IF($D248="","",IFERROR(VLOOKUP($B248,Kraftvärmeprod!$B$1:$BX$549,MATCH(Z$2,Kraftvärmeprod!$B$1:$VX$1,0),FALSE)/1,0)-IFERROR(VLOOKUP($B248,'Slutlig allokering kvv'!$B$2:$BX$549,MATCH(Z$2,'Slutlig allokering kvv'!$B$1:$BX$1,0),FALSE)/1,0))</f>
        <v/>
      </c>
      <c r="AA248" s="121" t="str">
        <f>IF($D248="","",IFERROR(VLOOKUP($B248,Kraftvärmeprod!$B$1:$BX$549,MATCH(AA$2,Kraftvärmeprod!$B$1:$VX$1,0),FALSE)/1,0)-IFERROR(VLOOKUP($B248,'Slutlig allokering kvv'!$B$2:$BX$549,MATCH(AA$2,'Slutlig allokering kvv'!$B$1:$BX$1,0),FALSE)/1,0))</f>
        <v/>
      </c>
      <c r="AB248" s="121" t="str">
        <f>IF($D248="","",IFERROR(VLOOKUP($B248,Kraftvärmeprod!$B$1:$BX$549,MATCH(AB$2,Kraftvärmeprod!$B$1:$VX$1,0),FALSE)/1,0)-IFERROR(VLOOKUP($B248,'Slutlig allokering kvv'!$B$2:$BX$549,MATCH(AB$2,'Slutlig allokering kvv'!$B$1:$BX$1,0),FALSE)/1,0))</f>
        <v/>
      </c>
      <c r="AC248" s="121" t="str">
        <f>IF($D248="","",IFERROR(VLOOKUP($B248,Kraftvärmeprod!$B$1:$BX$549,MATCH(AC$2,Kraftvärmeprod!$B$1:$VX$1,0),FALSE)/1,0)-IFERROR(VLOOKUP($B248,'Slutlig allokering kvv'!$B$2:$BX$549,MATCH(AC$2,'Slutlig allokering kvv'!$B$1:$BX$1,0),FALSE)/1,0))</f>
        <v/>
      </c>
      <c r="AD248" s="121" t="str">
        <f>IF($D248="","",IFERROR(VLOOKUP($B248,Kraftvärmeprod!$B$1:$BX$549,MATCH(AD$2,Kraftvärmeprod!$B$1:$VX$1,0),FALSE)/1,0)-IFERROR(VLOOKUP($B248,'Slutlig allokering kvv'!$B$2:$BX$549,MATCH(AD$2,'Slutlig allokering kvv'!$B$1:$BX$1,0),FALSE)/1,0))</f>
        <v/>
      </c>
      <c r="AE248" s="121" t="str">
        <f>IF($D248="","",IFERROR(VLOOKUP($B248,Miljö!$B$1:$E$550,MATCH("Hjälpel kraftvärme (GWh)",Miljö!$B$1:$E$1,0),FALSE)/1,0)-IFERROR(VLOOKUP($B248,'Slutlig allokering kvv'!$B$2:$BX$549,MATCH(AE$2,'Slutlig allokering kvv'!$B$1:$BX$1,0),FALSE)/1,0))</f>
        <v/>
      </c>
      <c r="AI248" s="121">
        <f t="shared" si="12"/>
        <v>0</v>
      </c>
      <c r="AK248" s="121">
        <f>IFERROR(VLOOKUP($B248,'Slutlig allokering kvv'!$B$2:$AX$549,MATCH("Summa slutlig allokerad tillförd energi (utan hjälpel och rökgaskondensering):",'Slutlig allokering kvv'!$B$1:$AX$1,0),FALSE)/1,"")</f>
        <v>0</v>
      </c>
      <c r="AM248" s="172" t="str">
        <f>IFERROR(1-VLOOKUP($B248,'Slutlig allokering kvv'!$B$2:$AX$549,MATCH("Andel av bränsle i kvv som allokerats till värme, exklusive rökgaskondensering och hjälpel",'Slutlig allokering kvv'!$B$1:$AX$1,0),FALSE),"")</f>
        <v/>
      </c>
      <c r="AO248" s="172" t="str">
        <f t="shared" si="13"/>
        <v/>
      </c>
      <c r="AP248" s="173" t="str">
        <f t="shared" si="14"/>
        <v/>
      </c>
      <c r="AR248" s="172" t="str">
        <f t="shared" si="15"/>
        <v/>
      </c>
    </row>
    <row r="249" spans="1:44" x14ac:dyDescent="0.25">
      <c r="A249" s="171" t="str">
        <f>'Miljövärden för publ företag'!B251</f>
        <v>Stockholm Exergi AB</v>
      </c>
      <c r="B249" s="171" t="str">
        <f>'Miljövärden för publ företag'!C251</f>
        <v>Stockholm</v>
      </c>
      <c r="C249" s="121">
        <f>IFERROR(VLOOKUP($B249,Kraftvärmeprod!$B$1:$AH$478,MATCH(C$2,Kraftvärmeprod!$B$1:$AG$1,0),FALSE)/1,"")</f>
        <v>3413.61</v>
      </c>
      <c r="D249" s="121">
        <f>IFERROR(VLOOKUP($B249,Kraftvärmeprod!$B$1:$AH$478,MATCH(D$2,Kraftvärmeprod!$B$1:$AG$1,0),FALSE)/1,"")</f>
        <v>1595.8779999999999</v>
      </c>
      <c r="F249" s="121">
        <f>IF($D249="","",IFERROR(VLOOKUP($B249,Kraftvärmeprod!$B$1:$BX$549,MATCH(F$2,Kraftvärmeprod!$B$1:$VX$1,0),FALSE)/1,0)-IFERROR(VLOOKUP($B249,'Slutlig allokering kvv'!$B$2:$BX$549,MATCH(F$2,'Slutlig allokering kvv'!$B$1:$BX$1,0),FALSE)/1,0))</f>
        <v>730.29481555556004</v>
      </c>
      <c r="G249" s="121">
        <f>IF($D249="","",IFERROR(VLOOKUP($B249,Kraftvärmeprod!$B$1:$BX$549,MATCH(G$2,Kraftvärmeprod!$B$1:$VX$1,0),FALSE)/1,0)-IFERROR(VLOOKUP($B249,'Slutlig allokering kvv'!$B$2:$BX$549,MATCH(G$2,'Slutlig allokering kvv'!$B$1:$BX$1,0),FALSE)/1,0))</f>
        <v>72.402355635508997</v>
      </c>
      <c r="H249" s="121">
        <f>IF($D249="","",IFERROR(VLOOKUP($B249,Kraftvärmeprod!$B$1:$BX$549,MATCH(H$2,Kraftvärmeprod!$B$1:$VX$1,0),FALSE)/1,0)-IFERROR(VLOOKUP($B249,'Slutlig allokering kvv'!$B$2:$BX$549,MATCH(H$2,'Slutlig allokering kvv'!$B$1:$BX$1,0),FALSE)/1,0))</f>
        <v>0</v>
      </c>
      <c r="I249" s="121">
        <f>IF($D249="","",IFERROR(VLOOKUP($B249,Kraftvärmeprod!$B$1:$BX$549,MATCH(I$2,Kraftvärmeprod!$B$1:$VX$1,0),FALSE)/1,0)-IFERROR(VLOOKUP($B249,'Slutlig allokering kvv'!$B$2:$BX$549,MATCH(I$2,'Slutlig allokering kvv'!$B$1:$BX$1,0),FALSE)/1,0))</f>
        <v>48.636552132882997</v>
      </c>
      <c r="J249" s="121">
        <f>IF($D249="","",IFERROR(VLOOKUP($B249,Kraftvärmeprod!$B$1:$BX$549,MATCH(J$2,Kraftvärmeprod!$B$1:$VX$1,0),FALSE)/1,0)-IFERROR(VLOOKUP($B249,'Slutlig allokering kvv'!$B$2:$BX$549,MATCH(J$2,'Slutlig allokering kvv'!$B$1:$BX$1,0),FALSE)/1,0))</f>
        <v>0</v>
      </c>
      <c r="K249" s="121">
        <f>IF($D249="","",IFERROR(VLOOKUP($B249,Kraftvärmeprod!$B$1:$BX$549,MATCH(K$2,Kraftvärmeprod!$B$1:$VX$1,0),FALSE)/1,0)-IFERROR(VLOOKUP($B249,'Slutlig allokering kvv'!$B$2:$BX$549,MATCH(K$2,'Slutlig allokering kvv'!$B$1:$BX$1,0),FALSE)/1,0))</f>
        <v>0</v>
      </c>
      <c r="L249" s="121">
        <f>IF($D249="","",IFERROR(VLOOKUP($B249,Kraftvärmeprod!$B$1:$BX$549,MATCH(L$2,Kraftvärmeprod!$B$1:$VX$1,0),FALSE)/1,0)-IFERROR(VLOOKUP($B249,'Slutlig allokering kvv'!$B$2:$BX$549,MATCH(L$2,'Slutlig allokering kvv'!$B$1:$BX$1,0),FALSE)/1,0))</f>
        <v>1288.4649519999998</v>
      </c>
      <c r="M249" s="121">
        <f>IF($D249="","",IFERROR(VLOOKUP($B249,Kraftvärmeprod!$B$1:$BX$549,MATCH(M$2,Kraftvärmeprod!$B$1:$VX$1,0),FALSE)/1,0)-IFERROR(VLOOKUP($B249,'Slutlig allokering kvv'!$B$2:$BX$549,MATCH(M$2,'Slutlig allokering kvv'!$B$1:$BX$1,0),FALSE)/1,0))</f>
        <v>0</v>
      </c>
      <c r="N249" s="121">
        <f>IF($D249="","",IFERROR(VLOOKUP($B249,Kraftvärmeprod!$B$1:$BX$549,MATCH(N$2,Kraftvärmeprod!$B$1:$VX$1,0),FALSE)/1,0)-IFERROR(VLOOKUP($B249,'Slutlig allokering kvv'!$B$2:$BX$549,MATCH(N$2,'Slutlig allokering kvv'!$B$1:$BX$1,0),FALSE)/1,0))</f>
        <v>0</v>
      </c>
      <c r="O249" s="121">
        <f>IF($D249="","",IFERROR(VLOOKUP($B249,Kraftvärmeprod!$B$1:$BX$549,MATCH(O$2,Kraftvärmeprod!$B$1:$VX$1,0),FALSE)/1,0)-IFERROR(VLOOKUP($B249,'Slutlig allokering kvv'!$B$2:$BX$549,MATCH(O$2,'Slutlig allokering kvv'!$B$1:$BX$1,0),FALSE)/1,0))</f>
        <v>0</v>
      </c>
      <c r="P249" s="121">
        <f>IF($D249="","",IFERROR(VLOOKUP($B249,Kraftvärmeprod!$B$1:$BX$549,MATCH(P$2,Kraftvärmeprod!$B$1:$VX$1,0),FALSE)/1,0)-IFERROR(VLOOKUP($B249,'Slutlig allokering kvv'!$B$2:$BX$549,MATCH(P$2,'Slutlig allokering kvv'!$B$1:$BX$1,0),FALSE)/1,0))</f>
        <v>0</v>
      </c>
      <c r="Q249" s="121">
        <f>IF($D249="","",IFERROR(VLOOKUP($B249,Kraftvärmeprod!$B$1:$BX$549,MATCH(Q$2,Kraftvärmeprod!$B$1:$VX$1,0),FALSE)/1,0)-IFERROR(VLOOKUP($B249,'Slutlig allokering kvv'!$B$2:$BX$549,MATCH(Q$2,'Slutlig allokering kvv'!$B$1:$BX$1,0),FALSE)/1,0))</f>
        <v>26.431574470000001</v>
      </c>
      <c r="R249" s="121">
        <f>IF($D249="","",IFERROR(VLOOKUP($B249,Kraftvärmeprod!$B$1:$BX$549,MATCH(R$2,Kraftvärmeprod!$B$1:$VX$1,0),FALSE)/1,0)-IFERROR(VLOOKUP($B249,'Slutlig allokering kvv'!$B$2:$BX$549,MATCH(R$2,'Slutlig allokering kvv'!$B$1:$BX$1,0),FALSE)/1,0))</f>
        <v>0</v>
      </c>
      <c r="S249" s="121">
        <f>IF($D249="","",IFERROR(VLOOKUP($B249,Kraftvärmeprod!$B$1:$BX$549,MATCH(S$2,Kraftvärmeprod!$B$1:$VX$1,0),FALSE)/1,0)-IFERROR(VLOOKUP($B249,'Slutlig allokering kvv'!$B$2:$BX$549,MATCH(S$2,'Slutlig allokering kvv'!$B$1:$BX$1,0),FALSE)/1,0))</f>
        <v>107.92622130000001</v>
      </c>
      <c r="T249" s="121">
        <f>IF($D249="","",IFERROR(VLOOKUP($B249,Kraftvärmeprod!$B$1:$BX$549,MATCH(T$2,Kraftvärmeprod!$B$1:$VX$1,0),FALSE)/1,0)-IFERROR(VLOOKUP($B249,'Slutlig allokering kvv'!$B$2:$BX$549,MATCH(T$2,'Slutlig allokering kvv'!$B$1:$BX$1,0),FALSE)/1,0))</f>
        <v>0</v>
      </c>
      <c r="U249" s="121">
        <f>IF($D249="","",IFERROR(VLOOKUP($B249,Kraftvärmeprod!$B$1:$BX$549,MATCH(U$2,Kraftvärmeprod!$B$1:$VX$1,0),FALSE)/1,0)-IFERROR(VLOOKUP($B249,'Slutlig allokering kvv'!$B$2:$BX$549,MATCH(U$2,'Slutlig allokering kvv'!$B$1:$BX$1,0),FALSE)/1,0))</f>
        <v>0</v>
      </c>
      <c r="V249" s="121">
        <f>IF($D249="","",IFERROR(VLOOKUP($B249,Kraftvärmeprod!$B$1:$BX$549,MATCH(V$2,Kraftvärmeprod!$B$1:$VX$1,0),FALSE)/1,0)-IFERROR(VLOOKUP($B249,'Slutlig allokering kvv'!$B$2:$BX$549,MATCH(V$2,'Slutlig allokering kvv'!$B$1:$BX$1,0),FALSE)/1,0))</f>
        <v>0</v>
      </c>
      <c r="W249" s="121">
        <f>IF($D249="","",IFERROR(VLOOKUP($B249,Kraftvärmeprod!$B$1:$BX$549,MATCH(W$2,Kraftvärmeprod!$B$1:$VX$1,0),FALSE)/1,0)-IFERROR(VLOOKUP($B249,'Slutlig allokering kvv'!$B$2:$BX$549,MATCH(W$2,'Slutlig allokering kvv'!$B$1:$BX$1,0),FALSE)/1,0))</f>
        <v>0</v>
      </c>
      <c r="X249" s="121">
        <f>IF($D249="","",IFERROR(VLOOKUP($B249,Kraftvärmeprod!$B$1:$BX$549,MATCH(X$2,Kraftvärmeprod!$B$1:$VX$1,0),FALSE)/1,0)-IFERROR(VLOOKUP($B249,'Slutlig allokering kvv'!$B$2:$BX$549,MATCH(X$2,'Slutlig allokering kvv'!$B$1:$BX$1,0),FALSE)/1,0))</f>
        <v>0</v>
      </c>
      <c r="Y249" s="121">
        <f>IF($D249="","",IFERROR(VLOOKUP($B249,Kraftvärmeprod!$B$1:$BX$549,MATCH(Y$2,Kraftvärmeprod!$B$1:$VX$1,0),FALSE)/1,0)-IFERROR(VLOOKUP($B249,'Slutlig allokering kvv'!$B$2:$BX$549,MATCH(Y$2,'Slutlig allokering kvv'!$B$1:$BX$1,0),FALSE)/1,0))</f>
        <v>0</v>
      </c>
      <c r="Z249" s="121">
        <f>IF($D249="","",IFERROR(VLOOKUP($B249,Kraftvärmeprod!$B$1:$BX$549,MATCH(Z$2,Kraftvärmeprod!$B$1:$VX$1,0),FALSE)/1,0)-IFERROR(VLOOKUP($B249,'Slutlig allokering kvv'!$B$2:$BX$549,MATCH(Z$2,'Slutlig allokering kvv'!$B$1:$BX$1,0),FALSE)/1,0))</f>
        <v>0</v>
      </c>
      <c r="AA249" s="121">
        <f>IF($D249="","",IFERROR(VLOOKUP($B249,Kraftvärmeprod!$B$1:$BX$549,MATCH(AA$2,Kraftvärmeprod!$B$1:$VX$1,0),FALSE)/1,0)-IFERROR(VLOOKUP($B249,'Slutlig allokering kvv'!$B$2:$BX$549,MATCH(AA$2,'Slutlig allokering kvv'!$B$1:$BX$1,0),FALSE)/1,0))</f>
        <v>916.88100000000009</v>
      </c>
      <c r="AB249" s="121">
        <f>IF($D249="","",IFERROR(VLOOKUP($B249,Kraftvärmeprod!$B$1:$BX$549,MATCH(AB$2,Kraftvärmeprod!$B$1:$VX$1,0),FALSE)/1,0)-IFERROR(VLOOKUP($B249,'Slutlig allokering kvv'!$B$2:$BX$549,MATCH(AB$2,'Slutlig allokering kvv'!$B$1:$BX$1,0),FALSE)/1,0))</f>
        <v>0</v>
      </c>
      <c r="AC249" s="121">
        <f>IF($D249="","",IFERROR(VLOOKUP($B249,Kraftvärmeprod!$B$1:$BX$549,MATCH(AC$2,Kraftvärmeprod!$B$1:$VX$1,0),FALSE)/1,0)-IFERROR(VLOOKUP($B249,'Slutlig allokering kvv'!$B$2:$BX$549,MATCH(AC$2,'Slutlig allokering kvv'!$B$1:$BX$1,0),FALSE)/1,0))</f>
        <v>0</v>
      </c>
      <c r="AD249" s="121">
        <f>IF($D249="","",IFERROR(VLOOKUP($B249,Kraftvärmeprod!$B$1:$BX$549,MATCH(AD$2,Kraftvärmeprod!$B$1:$VX$1,0),FALSE)/1,0)-IFERROR(VLOOKUP($B249,'Slutlig allokering kvv'!$B$2:$BX$549,MATCH(AD$2,'Slutlig allokering kvv'!$B$1:$BX$1,0),FALSE)/1,0))</f>
        <v>-2.9999999999290594E-3</v>
      </c>
      <c r="AE249" s="121">
        <f>IF($D249="","",IFERROR(VLOOKUP($B249,Miljö!$B$1:$E$550,MATCH("Hjälpel kraftvärme (GWh)",Miljö!$B$1:$E$1,0),FALSE)/1,0)-IFERROR(VLOOKUP($B249,'Slutlig allokering kvv'!$B$2:$BX$549,MATCH(AE$2,'Slutlig allokering kvv'!$B$1:$BX$1,0),FALSE)/1,0))</f>
        <v>177.86200000000002</v>
      </c>
      <c r="AI249" s="121">
        <f t="shared" si="12"/>
        <v>3191.0374710939523</v>
      </c>
      <c r="AK249" s="121">
        <f>IFERROR(VLOOKUP($B249,'Slutlig allokering kvv'!$B$2:$AX$549,MATCH("Summa slutlig allokerad tillförd energi (utan hjälpel och rökgaskondensering):",'Slutlig allokering kvv'!$B$1:$AX$1,0),FALSE)/1,"")</f>
        <v>2721.0140000000001</v>
      </c>
      <c r="AM249" s="172">
        <f>IFERROR(1-VLOOKUP($B249,'Slutlig allokering kvv'!$B$2:$AX$549,MATCH("Andel av bränsle i kvv som allokerats till värme, exklusive rökgaskondensering och hjälpel",'Slutlig allokering kvv'!$B$1:$AX$1,0),FALSE),"")</f>
        <v>0.53975130066035937</v>
      </c>
      <c r="AO249" s="172">
        <f t="shared" si="13"/>
        <v>0.53975130066035948</v>
      </c>
      <c r="AP249" s="173">
        <f t="shared" si="14"/>
        <v>-1.1102230246251565E-16</v>
      </c>
      <c r="AR249" s="172">
        <f t="shared" si="15"/>
        <v>0.473709000132849</v>
      </c>
    </row>
    <row r="250" spans="1:44" x14ac:dyDescent="0.25">
      <c r="A250" s="171" t="str">
        <f>'Miljövärden för publ företag'!B252</f>
        <v>Stockholm Exergi AB</v>
      </c>
      <c r="B250" s="171" t="str">
        <f>'Miljövärden för publ företag'!C252</f>
        <v>Täby</v>
      </c>
      <c r="C250" s="121" t="str">
        <f>IFERROR(VLOOKUP($B250,Kraftvärmeprod!$B$1:$AH$478,MATCH(C$2,Kraftvärmeprod!$B$1:$AG$1,0),FALSE)/1,"")</f>
        <v/>
      </c>
      <c r="D250" s="121" t="str">
        <f>IFERROR(VLOOKUP($B250,Kraftvärmeprod!$B$1:$AH$478,MATCH(D$2,Kraftvärmeprod!$B$1:$AG$1,0),FALSE)/1,"")</f>
        <v/>
      </c>
      <c r="F250" s="121" t="str">
        <f>IF($D250="","",IFERROR(VLOOKUP($B250,Kraftvärmeprod!$B$1:$BX$549,MATCH(F$2,Kraftvärmeprod!$B$1:$VX$1,0),FALSE)/1,0)-IFERROR(VLOOKUP($B250,'Slutlig allokering kvv'!$B$2:$BX$549,MATCH(F$2,'Slutlig allokering kvv'!$B$1:$BX$1,0),FALSE)/1,0))</f>
        <v/>
      </c>
      <c r="G250" s="121" t="str">
        <f>IF($D250="","",IFERROR(VLOOKUP($B250,Kraftvärmeprod!$B$1:$BX$549,MATCH(G$2,Kraftvärmeprod!$B$1:$VX$1,0),FALSE)/1,0)-IFERROR(VLOOKUP($B250,'Slutlig allokering kvv'!$B$2:$BX$549,MATCH(G$2,'Slutlig allokering kvv'!$B$1:$BX$1,0),FALSE)/1,0))</f>
        <v/>
      </c>
      <c r="H250" s="121" t="str">
        <f>IF($D250="","",IFERROR(VLOOKUP($B250,Kraftvärmeprod!$B$1:$BX$549,MATCH(H$2,Kraftvärmeprod!$B$1:$VX$1,0),FALSE)/1,0)-IFERROR(VLOOKUP($B250,'Slutlig allokering kvv'!$B$2:$BX$549,MATCH(H$2,'Slutlig allokering kvv'!$B$1:$BX$1,0),FALSE)/1,0))</f>
        <v/>
      </c>
      <c r="I250" s="121" t="str">
        <f>IF($D250="","",IFERROR(VLOOKUP($B250,Kraftvärmeprod!$B$1:$BX$549,MATCH(I$2,Kraftvärmeprod!$B$1:$VX$1,0),FALSE)/1,0)-IFERROR(VLOOKUP($B250,'Slutlig allokering kvv'!$B$2:$BX$549,MATCH(I$2,'Slutlig allokering kvv'!$B$1:$BX$1,0),FALSE)/1,0))</f>
        <v/>
      </c>
      <c r="J250" s="121" t="str">
        <f>IF($D250="","",IFERROR(VLOOKUP($B250,Kraftvärmeprod!$B$1:$BX$549,MATCH(J$2,Kraftvärmeprod!$B$1:$VX$1,0),FALSE)/1,0)-IFERROR(VLOOKUP($B250,'Slutlig allokering kvv'!$B$2:$BX$549,MATCH(J$2,'Slutlig allokering kvv'!$B$1:$BX$1,0),FALSE)/1,0))</f>
        <v/>
      </c>
      <c r="K250" s="121" t="str">
        <f>IF($D250="","",IFERROR(VLOOKUP($B250,Kraftvärmeprod!$B$1:$BX$549,MATCH(K$2,Kraftvärmeprod!$B$1:$VX$1,0),FALSE)/1,0)-IFERROR(VLOOKUP($B250,'Slutlig allokering kvv'!$B$2:$BX$549,MATCH(K$2,'Slutlig allokering kvv'!$B$1:$BX$1,0),FALSE)/1,0))</f>
        <v/>
      </c>
      <c r="L250" s="121" t="str">
        <f>IF($D250="","",IFERROR(VLOOKUP($B250,Kraftvärmeprod!$B$1:$BX$549,MATCH(L$2,Kraftvärmeprod!$B$1:$VX$1,0),FALSE)/1,0)-IFERROR(VLOOKUP($B250,'Slutlig allokering kvv'!$B$2:$BX$549,MATCH(L$2,'Slutlig allokering kvv'!$B$1:$BX$1,0),FALSE)/1,0))</f>
        <v/>
      </c>
      <c r="M250" s="121" t="str">
        <f>IF($D250="","",IFERROR(VLOOKUP($B250,Kraftvärmeprod!$B$1:$BX$549,MATCH(M$2,Kraftvärmeprod!$B$1:$VX$1,0),FALSE)/1,0)-IFERROR(VLOOKUP($B250,'Slutlig allokering kvv'!$B$2:$BX$549,MATCH(M$2,'Slutlig allokering kvv'!$B$1:$BX$1,0),FALSE)/1,0))</f>
        <v/>
      </c>
      <c r="N250" s="121" t="str">
        <f>IF($D250="","",IFERROR(VLOOKUP($B250,Kraftvärmeprod!$B$1:$BX$549,MATCH(N$2,Kraftvärmeprod!$B$1:$VX$1,0),FALSE)/1,0)-IFERROR(VLOOKUP($B250,'Slutlig allokering kvv'!$B$2:$BX$549,MATCH(N$2,'Slutlig allokering kvv'!$B$1:$BX$1,0),FALSE)/1,0))</f>
        <v/>
      </c>
      <c r="O250" s="121" t="str">
        <f>IF($D250="","",IFERROR(VLOOKUP($B250,Kraftvärmeprod!$B$1:$BX$549,MATCH(O$2,Kraftvärmeprod!$B$1:$VX$1,0),FALSE)/1,0)-IFERROR(VLOOKUP($B250,'Slutlig allokering kvv'!$B$2:$BX$549,MATCH(O$2,'Slutlig allokering kvv'!$B$1:$BX$1,0),FALSE)/1,0))</f>
        <v/>
      </c>
      <c r="P250" s="121" t="str">
        <f>IF($D250="","",IFERROR(VLOOKUP($B250,Kraftvärmeprod!$B$1:$BX$549,MATCH(P$2,Kraftvärmeprod!$B$1:$VX$1,0),FALSE)/1,0)-IFERROR(VLOOKUP($B250,'Slutlig allokering kvv'!$B$2:$BX$549,MATCH(P$2,'Slutlig allokering kvv'!$B$1:$BX$1,0),FALSE)/1,0))</f>
        <v/>
      </c>
      <c r="Q250" s="121" t="str">
        <f>IF($D250="","",IFERROR(VLOOKUP($B250,Kraftvärmeprod!$B$1:$BX$549,MATCH(Q$2,Kraftvärmeprod!$B$1:$VX$1,0),FALSE)/1,0)-IFERROR(VLOOKUP($B250,'Slutlig allokering kvv'!$B$2:$BX$549,MATCH(Q$2,'Slutlig allokering kvv'!$B$1:$BX$1,0),FALSE)/1,0))</f>
        <v/>
      </c>
      <c r="R250" s="121" t="str">
        <f>IF($D250="","",IFERROR(VLOOKUP($B250,Kraftvärmeprod!$B$1:$BX$549,MATCH(R$2,Kraftvärmeprod!$B$1:$VX$1,0),FALSE)/1,0)-IFERROR(VLOOKUP($B250,'Slutlig allokering kvv'!$B$2:$BX$549,MATCH(R$2,'Slutlig allokering kvv'!$B$1:$BX$1,0),FALSE)/1,0))</f>
        <v/>
      </c>
      <c r="S250" s="121" t="str">
        <f>IF($D250="","",IFERROR(VLOOKUP($B250,Kraftvärmeprod!$B$1:$BX$549,MATCH(S$2,Kraftvärmeprod!$B$1:$VX$1,0),FALSE)/1,0)-IFERROR(VLOOKUP($B250,'Slutlig allokering kvv'!$B$2:$BX$549,MATCH(S$2,'Slutlig allokering kvv'!$B$1:$BX$1,0),FALSE)/1,0))</f>
        <v/>
      </c>
      <c r="T250" s="121" t="str">
        <f>IF($D250="","",IFERROR(VLOOKUP($B250,Kraftvärmeprod!$B$1:$BX$549,MATCH(T$2,Kraftvärmeprod!$B$1:$VX$1,0),FALSE)/1,0)-IFERROR(VLOOKUP($B250,'Slutlig allokering kvv'!$B$2:$BX$549,MATCH(T$2,'Slutlig allokering kvv'!$B$1:$BX$1,0),FALSE)/1,0))</f>
        <v/>
      </c>
      <c r="U250" s="121" t="str">
        <f>IF($D250="","",IFERROR(VLOOKUP($B250,Kraftvärmeprod!$B$1:$BX$549,MATCH(U$2,Kraftvärmeprod!$B$1:$VX$1,0),FALSE)/1,0)-IFERROR(VLOOKUP($B250,'Slutlig allokering kvv'!$B$2:$BX$549,MATCH(U$2,'Slutlig allokering kvv'!$B$1:$BX$1,0),FALSE)/1,0))</f>
        <v/>
      </c>
      <c r="V250" s="121" t="str">
        <f>IF($D250="","",IFERROR(VLOOKUP($B250,Kraftvärmeprod!$B$1:$BX$549,MATCH(V$2,Kraftvärmeprod!$B$1:$VX$1,0),FALSE)/1,0)-IFERROR(VLOOKUP($B250,'Slutlig allokering kvv'!$B$2:$BX$549,MATCH(V$2,'Slutlig allokering kvv'!$B$1:$BX$1,0),FALSE)/1,0))</f>
        <v/>
      </c>
      <c r="W250" s="121" t="str">
        <f>IF($D250="","",IFERROR(VLOOKUP($B250,Kraftvärmeprod!$B$1:$BX$549,MATCH(W$2,Kraftvärmeprod!$B$1:$VX$1,0),FALSE)/1,0)-IFERROR(VLOOKUP($B250,'Slutlig allokering kvv'!$B$2:$BX$549,MATCH(W$2,'Slutlig allokering kvv'!$B$1:$BX$1,0),FALSE)/1,0))</f>
        <v/>
      </c>
      <c r="X250" s="121" t="str">
        <f>IF($D250="","",IFERROR(VLOOKUP($B250,Kraftvärmeprod!$B$1:$BX$549,MATCH(X$2,Kraftvärmeprod!$B$1:$VX$1,0),FALSE)/1,0)-IFERROR(VLOOKUP($B250,'Slutlig allokering kvv'!$B$2:$BX$549,MATCH(X$2,'Slutlig allokering kvv'!$B$1:$BX$1,0),FALSE)/1,0))</f>
        <v/>
      </c>
      <c r="Y250" s="121" t="str">
        <f>IF($D250="","",IFERROR(VLOOKUP($B250,Kraftvärmeprod!$B$1:$BX$549,MATCH(Y$2,Kraftvärmeprod!$B$1:$VX$1,0),FALSE)/1,0)-IFERROR(VLOOKUP($B250,'Slutlig allokering kvv'!$B$2:$BX$549,MATCH(Y$2,'Slutlig allokering kvv'!$B$1:$BX$1,0),FALSE)/1,0))</f>
        <v/>
      </c>
      <c r="Z250" s="121" t="str">
        <f>IF($D250="","",IFERROR(VLOOKUP($B250,Kraftvärmeprod!$B$1:$BX$549,MATCH(Z$2,Kraftvärmeprod!$B$1:$VX$1,0),FALSE)/1,0)-IFERROR(VLOOKUP($B250,'Slutlig allokering kvv'!$B$2:$BX$549,MATCH(Z$2,'Slutlig allokering kvv'!$B$1:$BX$1,0),FALSE)/1,0))</f>
        <v/>
      </c>
      <c r="AA250" s="121" t="str">
        <f>IF($D250="","",IFERROR(VLOOKUP($B250,Kraftvärmeprod!$B$1:$BX$549,MATCH(AA$2,Kraftvärmeprod!$B$1:$VX$1,0),FALSE)/1,0)-IFERROR(VLOOKUP($B250,'Slutlig allokering kvv'!$B$2:$BX$549,MATCH(AA$2,'Slutlig allokering kvv'!$B$1:$BX$1,0),FALSE)/1,0))</f>
        <v/>
      </c>
      <c r="AB250" s="121" t="str">
        <f>IF($D250="","",IFERROR(VLOOKUP($B250,Kraftvärmeprod!$B$1:$BX$549,MATCH(AB$2,Kraftvärmeprod!$B$1:$VX$1,0),FALSE)/1,0)-IFERROR(VLOOKUP($B250,'Slutlig allokering kvv'!$B$2:$BX$549,MATCH(AB$2,'Slutlig allokering kvv'!$B$1:$BX$1,0),FALSE)/1,0))</f>
        <v/>
      </c>
      <c r="AC250" s="121" t="str">
        <f>IF($D250="","",IFERROR(VLOOKUP($B250,Kraftvärmeprod!$B$1:$BX$549,MATCH(AC$2,Kraftvärmeprod!$B$1:$VX$1,0),FALSE)/1,0)-IFERROR(VLOOKUP($B250,'Slutlig allokering kvv'!$B$2:$BX$549,MATCH(AC$2,'Slutlig allokering kvv'!$B$1:$BX$1,0),FALSE)/1,0))</f>
        <v/>
      </c>
      <c r="AD250" s="121" t="str">
        <f>IF($D250="","",IFERROR(VLOOKUP($B250,Kraftvärmeprod!$B$1:$BX$549,MATCH(AD$2,Kraftvärmeprod!$B$1:$VX$1,0),FALSE)/1,0)-IFERROR(VLOOKUP($B250,'Slutlig allokering kvv'!$B$2:$BX$549,MATCH(AD$2,'Slutlig allokering kvv'!$B$1:$BX$1,0),FALSE)/1,0))</f>
        <v/>
      </c>
      <c r="AE250" s="121" t="str">
        <f>IF($D250="","",IFERROR(VLOOKUP($B250,Miljö!$B$1:$E$550,MATCH("Hjälpel kraftvärme (GWh)",Miljö!$B$1:$E$1,0),FALSE)/1,0)-IFERROR(VLOOKUP($B250,'Slutlig allokering kvv'!$B$2:$BX$549,MATCH(AE$2,'Slutlig allokering kvv'!$B$1:$BX$1,0),FALSE)/1,0))</f>
        <v/>
      </c>
      <c r="AI250" s="121">
        <f t="shared" si="12"/>
        <v>0</v>
      </c>
      <c r="AK250" s="121">
        <f>IFERROR(VLOOKUP($B250,'Slutlig allokering kvv'!$B$2:$AX$549,MATCH("Summa slutlig allokerad tillförd energi (utan hjälpel och rökgaskondensering):",'Slutlig allokering kvv'!$B$1:$AX$1,0),FALSE)/1,"")</f>
        <v>0</v>
      </c>
      <c r="AM250" s="172" t="str">
        <f>IFERROR(1-VLOOKUP($B250,'Slutlig allokering kvv'!$B$2:$AX$549,MATCH("Andel av bränsle i kvv som allokerats till värme, exklusive rökgaskondensering och hjälpel",'Slutlig allokering kvv'!$B$1:$AX$1,0),FALSE),"")</f>
        <v/>
      </c>
      <c r="AO250" s="172" t="str">
        <f t="shared" si="13"/>
        <v/>
      </c>
      <c r="AP250" s="173" t="str">
        <f t="shared" si="14"/>
        <v/>
      </c>
      <c r="AR250" s="172" t="str">
        <f t="shared" si="15"/>
        <v/>
      </c>
    </row>
    <row r="251" spans="1:44" x14ac:dyDescent="0.25">
      <c r="A251" s="171" t="str">
        <f>'Miljövärden för publ företag'!B253</f>
        <v>Sundsvall Energi AB</v>
      </c>
      <c r="B251" s="171" t="str">
        <f>'Miljövärden för publ företag'!C253</f>
        <v>Kvissleby</v>
      </c>
      <c r="C251" s="121" t="str">
        <f>IFERROR(VLOOKUP($B251,Kraftvärmeprod!$B$1:$AH$478,MATCH(C$2,Kraftvärmeprod!$B$1:$AG$1,0),FALSE)/1,"")</f>
        <v/>
      </c>
      <c r="D251" s="121" t="str">
        <f>IFERROR(VLOOKUP($B251,Kraftvärmeprod!$B$1:$AH$478,MATCH(D$2,Kraftvärmeprod!$B$1:$AG$1,0),FALSE)/1,"")</f>
        <v/>
      </c>
      <c r="F251" s="121" t="str">
        <f>IF($D251="","",IFERROR(VLOOKUP($B251,Kraftvärmeprod!$B$1:$BX$549,MATCH(F$2,Kraftvärmeprod!$B$1:$VX$1,0),FALSE)/1,0)-IFERROR(VLOOKUP($B251,'Slutlig allokering kvv'!$B$2:$BX$549,MATCH(F$2,'Slutlig allokering kvv'!$B$1:$BX$1,0),FALSE)/1,0))</f>
        <v/>
      </c>
      <c r="G251" s="121" t="str">
        <f>IF($D251="","",IFERROR(VLOOKUP($B251,Kraftvärmeprod!$B$1:$BX$549,MATCH(G$2,Kraftvärmeprod!$B$1:$VX$1,0),FALSE)/1,0)-IFERROR(VLOOKUP($B251,'Slutlig allokering kvv'!$B$2:$BX$549,MATCH(G$2,'Slutlig allokering kvv'!$B$1:$BX$1,0),FALSE)/1,0))</f>
        <v/>
      </c>
      <c r="H251" s="121" t="str">
        <f>IF($D251="","",IFERROR(VLOOKUP($B251,Kraftvärmeprod!$B$1:$BX$549,MATCH(H$2,Kraftvärmeprod!$B$1:$VX$1,0),FALSE)/1,0)-IFERROR(VLOOKUP($B251,'Slutlig allokering kvv'!$B$2:$BX$549,MATCH(H$2,'Slutlig allokering kvv'!$B$1:$BX$1,0),FALSE)/1,0))</f>
        <v/>
      </c>
      <c r="I251" s="121" t="str">
        <f>IF($D251="","",IFERROR(VLOOKUP($B251,Kraftvärmeprod!$B$1:$BX$549,MATCH(I$2,Kraftvärmeprod!$B$1:$VX$1,0),FALSE)/1,0)-IFERROR(VLOOKUP($B251,'Slutlig allokering kvv'!$B$2:$BX$549,MATCH(I$2,'Slutlig allokering kvv'!$B$1:$BX$1,0),FALSE)/1,0))</f>
        <v/>
      </c>
      <c r="J251" s="121" t="str">
        <f>IF($D251="","",IFERROR(VLOOKUP($B251,Kraftvärmeprod!$B$1:$BX$549,MATCH(J$2,Kraftvärmeprod!$B$1:$VX$1,0),FALSE)/1,0)-IFERROR(VLOOKUP($B251,'Slutlig allokering kvv'!$B$2:$BX$549,MATCH(J$2,'Slutlig allokering kvv'!$B$1:$BX$1,0),FALSE)/1,0))</f>
        <v/>
      </c>
      <c r="K251" s="121" t="str">
        <f>IF($D251="","",IFERROR(VLOOKUP($B251,Kraftvärmeprod!$B$1:$BX$549,MATCH(K$2,Kraftvärmeprod!$B$1:$VX$1,0),FALSE)/1,0)-IFERROR(VLOOKUP($B251,'Slutlig allokering kvv'!$B$2:$BX$549,MATCH(K$2,'Slutlig allokering kvv'!$B$1:$BX$1,0),FALSE)/1,0))</f>
        <v/>
      </c>
      <c r="L251" s="121" t="str">
        <f>IF($D251="","",IFERROR(VLOOKUP($B251,Kraftvärmeprod!$B$1:$BX$549,MATCH(L$2,Kraftvärmeprod!$B$1:$VX$1,0),FALSE)/1,0)-IFERROR(VLOOKUP($B251,'Slutlig allokering kvv'!$B$2:$BX$549,MATCH(L$2,'Slutlig allokering kvv'!$B$1:$BX$1,0),FALSE)/1,0))</f>
        <v/>
      </c>
      <c r="M251" s="121" t="str">
        <f>IF($D251="","",IFERROR(VLOOKUP($B251,Kraftvärmeprod!$B$1:$BX$549,MATCH(M$2,Kraftvärmeprod!$B$1:$VX$1,0),FALSE)/1,0)-IFERROR(VLOOKUP($B251,'Slutlig allokering kvv'!$B$2:$BX$549,MATCH(M$2,'Slutlig allokering kvv'!$B$1:$BX$1,0),FALSE)/1,0))</f>
        <v/>
      </c>
      <c r="N251" s="121" t="str">
        <f>IF($D251="","",IFERROR(VLOOKUP($B251,Kraftvärmeprod!$B$1:$BX$549,MATCH(N$2,Kraftvärmeprod!$B$1:$VX$1,0),FALSE)/1,0)-IFERROR(VLOOKUP($B251,'Slutlig allokering kvv'!$B$2:$BX$549,MATCH(N$2,'Slutlig allokering kvv'!$B$1:$BX$1,0),FALSE)/1,0))</f>
        <v/>
      </c>
      <c r="O251" s="121" t="str">
        <f>IF($D251="","",IFERROR(VLOOKUP($B251,Kraftvärmeprod!$B$1:$BX$549,MATCH(O$2,Kraftvärmeprod!$B$1:$VX$1,0),FALSE)/1,0)-IFERROR(VLOOKUP($B251,'Slutlig allokering kvv'!$B$2:$BX$549,MATCH(O$2,'Slutlig allokering kvv'!$B$1:$BX$1,0),FALSE)/1,0))</f>
        <v/>
      </c>
      <c r="P251" s="121" t="str">
        <f>IF($D251="","",IFERROR(VLOOKUP($B251,Kraftvärmeprod!$B$1:$BX$549,MATCH(P$2,Kraftvärmeprod!$B$1:$VX$1,0),FALSE)/1,0)-IFERROR(VLOOKUP($B251,'Slutlig allokering kvv'!$B$2:$BX$549,MATCH(P$2,'Slutlig allokering kvv'!$B$1:$BX$1,0),FALSE)/1,0))</f>
        <v/>
      </c>
      <c r="Q251" s="121" t="str">
        <f>IF($D251="","",IFERROR(VLOOKUP($B251,Kraftvärmeprod!$B$1:$BX$549,MATCH(Q$2,Kraftvärmeprod!$B$1:$VX$1,0),FALSE)/1,0)-IFERROR(VLOOKUP($B251,'Slutlig allokering kvv'!$B$2:$BX$549,MATCH(Q$2,'Slutlig allokering kvv'!$B$1:$BX$1,0),FALSE)/1,0))</f>
        <v/>
      </c>
      <c r="R251" s="121" t="str">
        <f>IF($D251="","",IFERROR(VLOOKUP($B251,Kraftvärmeprod!$B$1:$BX$549,MATCH(R$2,Kraftvärmeprod!$B$1:$VX$1,0),FALSE)/1,0)-IFERROR(VLOOKUP($B251,'Slutlig allokering kvv'!$B$2:$BX$549,MATCH(R$2,'Slutlig allokering kvv'!$B$1:$BX$1,0),FALSE)/1,0))</f>
        <v/>
      </c>
      <c r="S251" s="121" t="str">
        <f>IF($D251="","",IFERROR(VLOOKUP($B251,Kraftvärmeprod!$B$1:$BX$549,MATCH(S$2,Kraftvärmeprod!$B$1:$VX$1,0),FALSE)/1,0)-IFERROR(VLOOKUP($B251,'Slutlig allokering kvv'!$B$2:$BX$549,MATCH(S$2,'Slutlig allokering kvv'!$B$1:$BX$1,0),FALSE)/1,0))</f>
        <v/>
      </c>
      <c r="T251" s="121" t="str">
        <f>IF($D251="","",IFERROR(VLOOKUP($B251,Kraftvärmeprod!$B$1:$BX$549,MATCH(T$2,Kraftvärmeprod!$B$1:$VX$1,0),FALSE)/1,0)-IFERROR(VLOOKUP($B251,'Slutlig allokering kvv'!$B$2:$BX$549,MATCH(T$2,'Slutlig allokering kvv'!$B$1:$BX$1,0),FALSE)/1,0))</f>
        <v/>
      </c>
      <c r="U251" s="121" t="str">
        <f>IF($D251="","",IFERROR(VLOOKUP($B251,Kraftvärmeprod!$B$1:$BX$549,MATCH(U$2,Kraftvärmeprod!$B$1:$VX$1,0),FALSE)/1,0)-IFERROR(VLOOKUP($B251,'Slutlig allokering kvv'!$B$2:$BX$549,MATCH(U$2,'Slutlig allokering kvv'!$B$1:$BX$1,0),FALSE)/1,0))</f>
        <v/>
      </c>
      <c r="V251" s="121" t="str">
        <f>IF($D251="","",IFERROR(VLOOKUP($B251,Kraftvärmeprod!$B$1:$BX$549,MATCH(V$2,Kraftvärmeprod!$B$1:$VX$1,0),FALSE)/1,0)-IFERROR(VLOOKUP($B251,'Slutlig allokering kvv'!$B$2:$BX$549,MATCH(V$2,'Slutlig allokering kvv'!$B$1:$BX$1,0),FALSE)/1,0))</f>
        <v/>
      </c>
      <c r="W251" s="121" t="str">
        <f>IF($D251="","",IFERROR(VLOOKUP($B251,Kraftvärmeprod!$B$1:$BX$549,MATCH(W$2,Kraftvärmeprod!$B$1:$VX$1,0),FALSE)/1,0)-IFERROR(VLOOKUP($B251,'Slutlig allokering kvv'!$B$2:$BX$549,MATCH(W$2,'Slutlig allokering kvv'!$B$1:$BX$1,0),FALSE)/1,0))</f>
        <v/>
      </c>
      <c r="X251" s="121" t="str">
        <f>IF($D251="","",IFERROR(VLOOKUP($B251,Kraftvärmeprod!$B$1:$BX$549,MATCH(X$2,Kraftvärmeprod!$B$1:$VX$1,0),FALSE)/1,0)-IFERROR(VLOOKUP($B251,'Slutlig allokering kvv'!$B$2:$BX$549,MATCH(X$2,'Slutlig allokering kvv'!$B$1:$BX$1,0),FALSE)/1,0))</f>
        <v/>
      </c>
      <c r="Y251" s="121" t="str">
        <f>IF($D251="","",IFERROR(VLOOKUP($B251,Kraftvärmeprod!$B$1:$BX$549,MATCH(Y$2,Kraftvärmeprod!$B$1:$VX$1,0),FALSE)/1,0)-IFERROR(VLOOKUP($B251,'Slutlig allokering kvv'!$B$2:$BX$549,MATCH(Y$2,'Slutlig allokering kvv'!$B$1:$BX$1,0),FALSE)/1,0))</f>
        <v/>
      </c>
      <c r="Z251" s="121" t="str">
        <f>IF($D251="","",IFERROR(VLOOKUP($B251,Kraftvärmeprod!$B$1:$BX$549,MATCH(Z$2,Kraftvärmeprod!$B$1:$VX$1,0),FALSE)/1,0)-IFERROR(VLOOKUP($B251,'Slutlig allokering kvv'!$B$2:$BX$549,MATCH(Z$2,'Slutlig allokering kvv'!$B$1:$BX$1,0),FALSE)/1,0))</f>
        <v/>
      </c>
      <c r="AA251" s="121" t="str">
        <f>IF($D251="","",IFERROR(VLOOKUP($B251,Kraftvärmeprod!$B$1:$BX$549,MATCH(AA$2,Kraftvärmeprod!$B$1:$VX$1,0),FALSE)/1,0)-IFERROR(VLOOKUP($B251,'Slutlig allokering kvv'!$B$2:$BX$549,MATCH(AA$2,'Slutlig allokering kvv'!$B$1:$BX$1,0),FALSE)/1,0))</f>
        <v/>
      </c>
      <c r="AB251" s="121" t="str">
        <f>IF($D251="","",IFERROR(VLOOKUP($B251,Kraftvärmeprod!$B$1:$BX$549,MATCH(AB$2,Kraftvärmeprod!$B$1:$VX$1,0),FALSE)/1,0)-IFERROR(VLOOKUP($B251,'Slutlig allokering kvv'!$B$2:$BX$549,MATCH(AB$2,'Slutlig allokering kvv'!$B$1:$BX$1,0),FALSE)/1,0))</f>
        <v/>
      </c>
      <c r="AC251" s="121" t="str">
        <f>IF($D251="","",IFERROR(VLOOKUP($B251,Kraftvärmeprod!$B$1:$BX$549,MATCH(AC$2,Kraftvärmeprod!$B$1:$VX$1,0),FALSE)/1,0)-IFERROR(VLOOKUP($B251,'Slutlig allokering kvv'!$B$2:$BX$549,MATCH(AC$2,'Slutlig allokering kvv'!$B$1:$BX$1,0),FALSE)/1,0))</f>
        <v/>
      </c>
      <c r="AD251" s="121" t="str">
        <f>IF($D251="","",IFERROR(VLOOKUP($B251,Kraftvärmeprod!$B$1:$BX$549,MATCH(AD$2,Kraftvärmeprod!$B$1:$VX$1,0),FALSE)/1,0)-IFERROR(VLOOKUP($B251,'Slutlig allokering kvv'!$B$2:$BX$549,MATCH(AD$2,'Slutlig allokering kvv'!$B$1:$BX$1,0),FALSE)/1,0))</f>
        <v/>
      </c>
      <c r="AE251" s="121" t="str">
        <f>IF($D251="","",IFERROR(VLOOKUP($B251,Miljö!$B$1:$E$550,MATCH("Hjälpel kraftvärme (GWh)",Miljö!$B$1:$E$1,0),FALSE)/1,0)-IFERROR(VLOOKUP($B251,'Slutlig allokering kvv'!$B$2:$BX$549,MATCH(AE$2,'Slutlig allokering kvv'!$B$1:$BX$1,0),FALSE)/1,0))</f>
        <v/>
      </c>
      <c r="AI251" s="121">
        <f t="shared" si="12"/>
        <v>0</v>
      </c>
      <c r="AK251" s="121">
        <f>IFERROR(VLOOKUP($B251,'Slutlig allokering kvv'!$B$2:$AX$549,MATCH("Summa slutlig allokerad tillförd energi (utan hjälpel och rökgaskondensering):",'Slutlig allokering kvv'!$B$1:$AX$1,0),FALSE)/1,"")</f>
        <v>0</v>
      </c>
      <c r="AM251" s="172" t="str">
        <f>IFERROR(1-VLOOKUP($B251,'Slutlig allokering kvv'!$B$2:$AX$549,MATCH("Andel av bränsle i kvv som allokerats till värme, exklusive rökgaskondensering och hjälpel",'Slutlig allokering kvv'!$B$1:$AX$1,0),FALSE),"")</f>
        <v/>
      </c>
      <c r="AO251" s="172" t="str">
        <f t="shared" si="13"/>
        <v/>
      </c>
      <c r="AP251" s="173" t="str">
        <f t="shared" si="14"/>
        <v/>
      </c>
      <c r="AR251" s="172" t="str">
        <f t="shared" si="15"/>
        <v/>
      </c>
    </row>
    <row r="252" spans="1:44" x14ac:dyDescent="0.25">
      <c r="A252" s="171" t="str">
        <f>'Miljövärden för publ företag'!B254</f>
        <v>Sundsvall Energi AB</v>
      </c>
      <c r="B252" s="171" t="str">
        <f>'Miljövärden för publ företag'!C254</f>
        <v>Matfors</v>
      </c>
      <c r="C252" s="121" t="str">
        <f>IFERROR(VLOOKUP($B252,Kraftvärmeprod!$B$1:$AH$478,MATCH(C$2,Kraftvärmeprod!$B$1:$AG$1,0),FALSE)/1,"")</f>
        <v/>
      </c>
      <c r="D252" s="121" t="str">
        <f>IFERROR(VLOOKUP($B252,Kraftvärmeprod!$B$1:$AH$478,MATCH(D$2,Kraftvärmeprod!$B$1:$AG$1,0),FALSE)/1,"")</f>
        <v/>
      </c>
      <c r="F252" s="121" t="str">
        <f>IF($D252="","",IFERROR(VLOOKUP($B252,Kraftvärmeprod!$B$1:$BX$549,MATCH(F$2,Kraftvärmeprod!$B$1:$VX$1,0),FALSE)/1,0)-IFERROR(VLOOKUP($B252,'Slutlig allokering kvv'!$B$2:$BX$549,MATCH(F$2,'Slutlig allokering kvv'!$B$1:$BX$1,0),FALSE)/1,0))</f>
        <v/>
      </c>
      <c r="G252" s="121" t="str">
        <f>IF($D252="","",IFERROR(VLOOKUP($B252,Kraftvärmeprod!$B$1:$BX$549,MATCH(G$2,Kraftvärmeprod!$B$1:$VX$1,0),FALSE)/1,0)-IFERROR(VLOOKUP($B252,'Slutlig allokering kvv'!$B$2:$BX$549,MATCH(G$2,'Slutlig allokering kvv'!$B$1:$BX$1,0),FALSE)/1,0))</f>
        <v/>
      </c>
      <c r="H252" s="121" t="str">
        <f>IF($D252="","",IFERROR(VLOOKUP($B252,Kraftvärmeprod!$B$1:$BX$549,MATCH(H$2,Kraftvärmeprod!$B$1:$VX$1,0),FALSE)/1,0)-IFERROR(VLOOKUP($B252,'Slutlig allokering kvv'!$B$2:$BX$549,MATCH(H$2,'Slutlig allokering kvv'!$B$1:$BX$1,0),FALSE)/1,0))</f>
        <v/>
      </c>
      <c r="I252" s="121" t="str">
        <f>IF($D252="","",IFERROR(VLOOKUP($B252,Kraftvärmeprod!$B$1:$BX$549,MATCH(I$2,Kraftvärmeprod!$B$1:$VX$1,0),FALSE)/1,0)-IFERROR(VLOOKUP($B252,'Slutlig allokering kvv'!$B$2:$BX$549,MATCH(I$2,'Slutlig allokering kvv'!$B$1:$BX$1,0),FALSE)/1,0))</f>
        <v/>
      </c>
      <c r="J252" s="121" t="str">
        <f>IF($D252="","",IFERROR(VLOOKUP($B252,Kraftvärmeprod!$B$1:$BX$549,MATCH(J$2,Kraftvärmeprod!$B$1:$VX$1,0),FALSE)/1,0)-IFERROR(VLOOKUP($B252,'Slutlig allokering kvv'!$B$2:$BX$549,MATCH(J$2,'Slutlig allokering kvv'!$B$1:$BX$1,0),FALSE)/1,0))</f>
        <v/>
      </c>
      <c r="K252" s="121" t="str">
        <f>IF($D252="","",IFERROR(VLOOKUP($B252,Kraftvärmeprod!$B$1:$BX$549,MATCH(K$2,Kraftvärmeprod!$B$1:$VX$1,0),FALSE)/1,0)-IFERROR(VLOOKUP($B252,'Slutlig allokering kvv'!$B$2:$BX$549,MATCH(K$2,'Slutlig allokering kvv'!$B$1:$BX$1,0),FALSE)/1,0))</f>
        <v/>
      </c>
      <c r="L252" s="121" t="str">
        <f>IF($D252="","",IFERROR(VLOOKUP($B252,Kraftvärmeprod!$B$1:$BX$549,MATCH(L$2,Kraftvärmeprod!$B$1:$VX$1,0),FALSE)/1,0)-IFERROR(VLOOKUP($B252,'Slutlig allokering kvv'!$B$2:$BX$549,MATCH(L$2,'Slutlig allokering kvv'!$B$1:$BX$1,0),FALSE)/1,0))</f>
        <v/>
      </c>
      <c r="M252" s="121" t="str">
        <f>IF($D252="","",IFERROR(VLOOKUP($B252,Kraftvärmeprod!$B$1:$BX$549,MATCH(M$2,Kraftvärmeprod!$B$1:$VX$1,0),FALSE)/1,0)-IFERROR(VLOOKUP($B252,'Slutlig allokering kvv'!$B$2:$BX$549,MATCH(M$2,'Slutlig allokering kvv'!$B$1:$BX$1,0),FALSE)/1,0))</f>
        <v/>
      </c>
      <c r="N252" s="121" t="str">
        <f>IF($D252="","",IFERROR(VLOOKUP($B252,Kraftvärmeprod!$B$1:$BX$549,MATCH(N$2,Kraftvärmeprod!$B$1:$VX$1,0),FALSE)/1,0)-IFERROR(VLOOKUP($B252,'Slutlig allokering kvv'!$B$2:$BX$549,MATCH(N$2,'Slutlig allokering kvv'!$B$1:$BX$1,0),FALSE)/1,0))</f>
        <v/>
      </c>
      <c r="O252" s="121" t="str">
        <f>IF($D252="","",IFERROR(VLOOKUP($B252,Kraftvärmeprod!$B$1:$BX$549,MATCH(O$2,Kraftvärmeprod!$B$1:$VX$1,0),FALSE)/1,0)-IFERROR(VLOOKUP($B252,'Slutlig allokering kvv'!$B$2:$BX$549,MATCH(O$2,'Slutlig allokering kvv'!$B$1:$BX$1,0),FALSE)/1,0))</f>
        <v/>
      </c>
      <c r="P252" s="121" t="str">
        <f>IF($D252="","",IFERROR(VLOOKUP($B252,Kraftvärmeprod!$B$1:$BX$549,MATCH(P$2,Kraftvärmeprod!$B$1:$VX$1,0),FALSE)/1,0)-IFERROR(VLOOKUP($B252,'Slutlig allokering kvv'!$B$2:$BX$549,MATCH(P$2,'Slutlig allokering kvv'!$B$1:$BX$1,0),FALSE)/1,0))</f>
        <v/>
      </c>
      <c r="Q252" s="121" t="str">
        <f>IF($D252="","",IFERROR(VLOOKUP($B252,Kraftvärmeprod!$B$1:$BX$549,MATCH(Q$2,Kraftvärmeprod!$B$1:$VX$1,0),FALSE)/1,0)-IFERROR(VLOOKUP($B252,'Slutlig allokering kvv'!$B$2:$BX$549,MATCH(Q$2,'Slutlig allokering kvv'!$B$1:$BX$1,0),FALSE)/1,0))</f>
        <v/>
      </c>
      <c r="R252" s="121" t="str">
        <f>IF($D252="","",IFERROR(VLOOKUP($B252,Kraftvärmeprod!$B$1:$BX$549,MATCH(R$2,Kraftvärmeprod!$B$1:$VX$1,0),FALSE)/1,0)-IFERROR(VLOOKUP($B252,'Slutlig allokering kvv'!$B$2:$BX$549,MATCH(R$2,'Slutlig allokering kvv'!$B$1:$BX$1,0),FALSE)/1,0))</f>
        <v/>
      </c>
      <c r="S252" s="121" t="str">
        <f>IF($D252="","",IFERROR(VLOOKUP($B252,Kraftvärmeprod!$B$1:$BX$549,MATCH(S$2,Kraftvärmeprod!$B$1:$VX$1,0),FALSE)/1,0)-IFERROR(VLOOKUP($B252,'Slutlig allokering kvv'!$B$2:$BX$549,MATCH(S$2,'Slutlig allokering kvv'!$B$1:$BX$1,0),FALSE)/1,0))</f>
        <v/>
      </c>
      <c r="T252" s="121" t="str">
        <f>IF($D252="","",IFERROR(VLOOKUP($B252,Kraftvärmeprod!$B$1:$BX$549,MATCH(T$2,Kraftvärmeprod!$B$1:$VX$1,0),FALSE)/1,0)-IFERROR(VLOOKUP($B252,'Slutlig allokering kvv'!$B$2:$BX$549,MATCH(T$2,'Slutlig allokering kvv'!$B$1:$BX$1,0),FALSE)/1,0))</f>
        <v/>
      </c>
      <c r="U252" s="121" t="str">
        <f>IF($D252="","",IFERROR(VLOOKUP($B252,Kraftvärmeprod!$B$1:$BX$549,MATCH(U$2,Kraftvärmeprod!$B$1:$VX$1,0),FALSE)/1,0)-IFERROR(VLOOKUP($B252,'Slutlig allokering kvv'!$B$2:$BX$549,MATCH(U$2,'Slutlig allokering kvv'!$B$1:$BX$1,0),FALSE)/1,0))</f>
        <v/>
      </c>
      <c r="V252" s="121" t="str">
        <f>IF($D252="","",IFERROR(VLOOKUP($B252,Kraftvärmeprod!$B$1:$BX$549,MATCH(V$2,Kraftvärmeprod!$B$1:$VX$1,0),FALSE)/1,0)-IFERROR(VLOOKUP($B252,'Slutlig allokering kvv'!$B$2:$BX$549,MATCH(V$2,'Slutlig allokering kvv'!$B$1:$BX$1,0),FALSE)/1,0))</f>
        <v/>
      </c>
      <c r="W252" s="121" t="str">
        <f>IF($D252="","",IFERROR(VLOOKUP($B252,Kraftvärmeprod!$B$1:$BX$549,MATCH(W$2,Kraftvärmeprod!$B$1:$VX$1,0),FALSE)/1,0)-IFERROR(VLOOKUP($B252,'Slutlig allokering kvv'!$B$2:$BX$549,MATCH(W$2,'Slutlig allokering kvv'!$B$1:$BX$1,0),FALSE)/1,0))</f>
        <v/>
      </c>
      <c r="X252" s="121" t="str">
        <f>IF($D252="","",IFERROR(VLOOKUP($B252,Kraftvärmeprod!$B$1:$BX$549,MATCH(X$2,Kraftvärmeprod!$B$1:$VX$1,0),FALSE)/1,0)-IFERROR(VLOOKUP($B252,'Slutlig allokering kvv'!$B$2:$BX$549,MATCH(X$2,'Slutlig allokering kvv'!$B$1:$BX$1,0),FALSE)/1,0))</f>
        <v/>
      </c>
      <c r="Y252" s="121" t="str">
        <f>IF($D252="","",IFERROR(VLOOKUP($B252,Kraftvärmeprod!$B$1:$BX$549,MATCH(Y$2,Kraftvärmeprod!$B$1:$VX$1,0),FALSE)/1,0)-IFERROR(VLOOKUP($B252,'Slutlig allokering kvv'!$B$2:$BX$549,MATCH(Y$2,'Slutlig allokering kvv'!$B$1:$BX$1,0),FALSE)/1,0))</f>
        <v/>
      </c>
      <c r="Z252" s="121" t="str">
        <f>IF($D252="","",IFERROR(VLOOKUP($B252,Kraftvärmeprod!$B$1:$BX$549,MATCH(Z$2,Kraftvärmeprod!$B$1:$VX$1,0),FALSE)/1,0)-IFERROR(VLOOKUP($B252,'Slutlig allokering kvv'!$B$2:$BX$549,MATCH(Z$2,'Slutlig allokering kvv'!$B$1:$BX$1,0),FALSE)/1,0))</f>
        <v/>
      </c>
      <c r="AA252" s="121" t="str">
        <f>IF($D252="","",IFERROR(VLOOKUP($B252,Kraftvärmeprod!$B$1:$BX$549,MATCH(AA$2,Kraftvärmeprod!$B$1:$VX$1,0),FALSE)/1,0)-IFERROR(VLOOKUP($B252,'Slutlig allokering kvv'!$B$2:$BX$549,MATCH(AA$2,'Slutlig allokering kvv'!$B$1:$BX$1,0),FALSE)/1,0))</f>
        <v/>
      </c>
      <c r="AB252" s="121" t="str">
        <f>IF($D252="","",IFERROR(VLOOKUP($B252,Kraftvärmeprod!$B$1:$BX$549,MATCH(AB$2,Kraftvärmeprod!$B$1:$VX$1,0),FALSE)/1,0)-IFERROR(VLOOKUP($B252,'Slutlig allokering kvv'!$B$2:$BX$549,MATCH(AB$2,'Slutlig allokering kvv'!$B$1:$BX$1,0),FALSE)/1,0))</f>
        <v/>
      </c>
      <c r="AC252" s="121" t="str">
        <f>IF($D252="","",IFERROR(VLOOKUP($B252,Kraftvärmeprod!$B$1:$BX$549,MATCH(AC$2,Kraftvärmeprod!$B$1:$VX$1,0),FALSE)/1,0)-IFERROR(VLOOKUP($B252,'Slutlig allokering kvv'!$B$2:$BX$549,MATCH(AC$2,'Slutlig allokering kvv'!$B$1:$BX$1,0),FALSE)/1,0))</f>
        <v/>
      </c>
      <c r="AD252" s="121" t="str">
        <f>IF($D252="","",IFERROR(VLOOKUP($B252,Kraftvärmeprod!$B$1:$BX$549,MATCH(AD$2,Kraftvärmeprod!$B$1:$VX$1,0),FALSE)/1,0)-IFERROR(VLOOKUP($B252,'Slutlig allokering kvv'!$B$2:$BX$549,MATCH(AD$2,'Slutlig allokering kvv'!$B$1:$BX$1,0),FALSE)/1,0))</f>
        <v/>
      </c>
      <c r="AE252" s="121" t="str">
        <f>IF($D252="","",IFERROR(VLOOKUP($B252,Miljö!$B$1:$E$550,MATCH("Hjälpel kraftvärme (GWh)",Miljö!$B$1:$E$1,0),FALSE)/1,0)-IFERROR(VLOOKUP($B252,'Slutlig allokering kvv'!$B$2:$BX$549,MATCH(AE$2,'Slutlig allokering kvv'!$B$1:$BX$1,0),FALSE)/1,0))</f>
        <v/>
      </c>
      <c r="AI252" s="121">
        <f t="shared" si="12"/>
        <v>0</v>
      </c>
      <c r="AK252" s="121">
        <f>IFERROR(VLOOKUP($B252,'Slutlig allokering kvv'!$B$2:$AX$549,MATCH("Summa slutlig allokerad tillförd energi (utan hjälpel och rökgaskondensering):",'Slutlig allokering kvv'!$B$1:$AX$1,0),FALSE)/1,"")</f>
        <v>0</v>
      </c>
      <c r="AM252" s="172" t="str">
        <f>IFERROR(1-VLOOKUP($B252,'Slutlig allokering kvv'!$B$2:$AX$549,MATCH("Andel av bränsle i kvv som allokerats till värme, exklusive rökgaskondensering och hjälpel",'Slutlig allokering kvv'!$B$1:$AX$1,0),FALSE),"")</f>
        <v/>
      </c>
      <c r="AO252" s="172" t="str">
        <f t="shared" si="13"/>
        <v/>
      </c>
      <c r="AP252" s="173" t="str">
        <f t="shared" si="14"/>
        <v/>
      </c>
      <c r="AR252" s="172" t="str">
        <f t="shared" si="15"/>
        <v/>
      </c>
    </row>
    <row r="253" spans="1:44" x14ac:dyDescent="0.25">
      <c r="A253" s="171" t="str">
        <f>'Miljövärden för publ företag'!B255</f>
        <v>Sundsvall Energi AB</v>
      </c>
      <c r="B253" s="171" t="str">
        <f>'Miljövärden för publ företag'!C255</f>
        <v>Sundsvall</v>
      </c>
      <c r="C253" s="121">
        <f>IFERROR(VLOOKUP($B253,Kraftvärmeprod!$B$1:$AH$478,MATCH(C$2,Kraftvärmeprod!$B$1:$AG$1,0),FALSE)/1,"")</f>
        <v>153.142</v>
      </c>
      <c r="D253" s="121">
        <f>IFERROR(VLOOKUP($B253,Kraftvärmeprod!$B$1:$AH$478,MATCH(D$2,Kraftvärmeprod!$B$1:$AG$1,0),FALSE)/1,"")</f>
        <v>40.319000000000003</v>
      </c>
      <c r="F253" s="121">
        <f>IF($D253="","",IFERROR(VLOOKUP($B253,Kraftvärmeprod!$B$1:$BX$549,MATCH(F$2,Kraftvärmeprod!$B$1:$VX$1,0),FALSE)/1,0)-IFERROR(VLOOKUP($B253,'Slutlig allokering kvv'!$B$2:$BX$549,MATCH(F$2,'Slutlig allokering kvv'!$B$1:$BX$1,0),FALSE)/1,0))</f>
        <v>0</v>
      </c>
      <c r="G253" s="121">
        <f>IF($D253="","",IFERROR(VLOOKUP($B253,Kraftvärmeprod!$B$1:$BX$549,MATCH(G$2,Kraftvärmeprod!$B$1:$VX$1,0),FALSE)/1,0)-IFERROR(VLOOKUP($B253,'Slutlig allokering kvv'!$B$2:$BX$549,MATCH(G$2,'Slutlig allokering kvv'!$B$1:$BX$1,0),FALSE)/1,0))</f>
        <v>0</v>
      </c>
      <c r="H253" s="121">
        <f>IF($D253="","",IFERROR(VLOOKUP($B253,Kraftvärmeprod!$B$1:$BX$549,MATCH(H$2,Kraftvärmeprod!$B$1:$VX$1,0),FALSE)/1,0)-IFERROR(VLOOKUP($B253,'Slutlig allokering kvv'!$B$2:$BX$549,MATCH(H$2,'Slutlig allokering kvv'!$B$1:$BX$1,0),FALSE)/1,0))</f>
        <v>0</v>
      </c>
      <c r="I253" s="121">
        <f>IF($D253="","",IFERROR(VLOOKUP($B253,Kraftvärmeprod!$B$1:$BX$549,MATCH(I$2,Kraftvärmeprod!$B$1:$VX$1,0),FALSE)/1,0)-IFERROR(VLOOKUP($B253,'Slutlig allokering kvv'!$B$2:$BX$549,MATCH(I$2,'Slutlig allokering kvv'!$B$1:$BX$1,0),FALSE)/1,0))</f>
        <v>0</v>
      </c>
      <c r="J253" s="121">
        <f>IF($D253="","",IFERROR(VLOOKUP($B253,Kraftvärmeprod!$B$1:$BX$549,MATCH(J$2,Kraftvärmeprod!$B$1:$VX$1,0),FALSE)/1,0)-IFERROR(VLOOKUP($B253,'Slutlig allokering kvv'!$B$2:$BX$549,MATCH(J$2,'Slutlig allokering kvv'!$B$1:$BX$1,0),FALSE)/1,0))</f>
        <v>0</v>
      </c>
      <c r="K253" s="121">
        <f>IF($D253="","",IFERROR(VLOOKUP($B253,Kraftvärmeprod!$B$1:$BX$549,MATCH(K$2,Kraftvärmeprod!$B$1:$VX$1,0),FALSE)/1,0)-IFERROR(VLOOKUP($B253,'Slutlig allokering kvv'!$B$2:$BX$549,MATCH(K$2,'Slutlig allokering kvv'!$B$1:$BX$1,0),FALSE)/1,0))</f>
        <v>0</v>
      </c>
      <c r="L253" s="121">
        <f>IF($D253="","",IFERROR(VLOOKUP($B253,Kraftvärmeprod!$B$1:$BX$549,MATCH(L$2,Kraftvärmeprod!$B$1:$VX$1,0),FALSE)/1,0)-IFERROR(VLOOKUP($B253,'Slutlig allokering kvv'!$B$2:$BX$549,MATCH(L$2,'Slutlig allokering kvv'!$B$1:$BX$1,0),FALSE)/1,0))</f>
        <v>0</v>
      </c>
      <c r="M253" s="121">
        <f>IF($D253="","",IFERROR(VLOOKUP($B253,Kraftvärmeprod!$B$1:$BX$549,MATCH(M$2,Kraftvärmeprod!$B$1:$VX$1,0),FALSE)/1,0)-IFERROR(VLOOKUP($B253,'Slutlig allokering kvv'!$B$2:$BX$549,MATCH(M$2,'Slutlig allokering kvv'!$B$1:$BX$1,0),FALSE)/1,0))</f>
        <v>0</v>
      </c>
      <c r="N253" s="121">
        <f>IF($D253="","",IFERROR(VLOOKUP($B253,Kraftvärmeprod!$B$1:$BX$549,MATCH(N$2,Kraftvärmeprod!$B$1:$VX$1,0),FALSE)/1,0)-IFERROR(VLOOKUP($B253,'Slutlig allokering kvv'!$B$2:$BX$549,MATCH(N$2,'Slutlig allokering kvv'!$B$1:$BX$1,0),FALSE)/1,0))</f>
        <v>0</v>
      </c>
      <c r="O253" s="121">
        <f>IF($D253="","",IFERROR(VLOOKUP($B253,Kraftvärmeprod!$B$1:$BX$549,MATCH(O$2,Kraftvärmeprod!$B$1:$VX$1,0),FALSE)/1,0)-IFERROR(VLOOKUP($B253,'Slutlig allokering kvv'!$B$2:$BX$549,MATCH(O$2,'Slutlig allokering kvv'!$B$1:$BX$1,0),FALSE)/1,0))</f>
        <v>0</v>
      </c>
      <c r="P253" s="121">
        <f>IF($D253="","",IFERROR(VLOOKUP($B253,Kraftvärmeprod!$B$1:$BX$549,MATCH(P$2,Kraftvärmeprod!$B$1:$VX$1,0),FALSE)/1,0)-IFERROR(VLOOKUP($B253,'Slutlig allokering kvv'!$B$2:$BX$549,MATCH(P$2,'Slutlig allokering kvv'!$B$1:$BX$1,0),FALSE)/1,0))</f>
        <v>0</v>
      </c>
      <c r="Q253" s="121">
        <f>IF($D253="","",IFERROR(VLOOKUP($B253,Kraftvärmeprod!$B$1:$BX$549,MATCH(Q$2,Kraftvärmeprod!$B$1:$VX$1,0),FALSE)/1,0)-IFERROR(VLOOKUP($B253,'Slutlig allokering kvv'!$B$2:$BX$549,MATCH(Q$2,'Slutlig allokering kvv'!$B$1:$BX$1,0),FALSE)/1,0))</f>
        <v>0.78373000000000004</v>
      </c>
      <c r="R253" s="121">
        <f>IF($D253="","",IFERROR(VLOOKUP($B253,Kraftvärmeprod!$B$1:$BX$549,MATCH(R$2,Kraftvärmeprod!$B$1:$VX$1,0),FALSE)/1,0)-IFERROR(VLOOKUP($B253,'Slutlig allokering kvv'!$B$2:$BX$549,MATCH(R$2,'Slutlig allokering kvv'!$B$1:$BX$1,0),FALSE)/1,0))</f>
        <v>0</v>
      </c>
      <c r="S253" s="121">
        <f>IF($D253="","",IFERROR(VLOOKUP($B253,Kraftvärmeprod!$B$1:$BX$549,MATCH(S$2,Kraftvärmeprod!$B$1:$VX$1,0),FALSE)/1,0)-IFERROR(VLOOKUP($B253,'Slutlig allokering kvv'!$B$2:$BX$549,MATCH(S$2,'Slutlig allokering kvv'!$B$1:$BX$1,0),FALSE)/1,0))</f>
        <v>0</v>
      </c>
      <c r="T253" s="121">
        <f>IF($D253="","",IFERROR(VLOOKUP($B253,Kraftvärmeprod!$B$1:$BX$549,MATCH(T$2,Kraftvärmeprod!$B$1:$VX$1,0),FALSE)/1,0)-IFERROR(VLOOKUP($B253,'Slutlig allokering kvv'!$B$2:$BX$549,MATCH(T$2,'Slutlig allokering kvv'!$B$1:$BX$1,0),FALSE)/1,0))</f>
        <v>0</v>
      </c>
      <c r="U253" s="121">
        <f>IF($D253="","",IFERROR(VLOOKUP($B253,Kraftvärmeprod!$B$1:$BX$549,MATCH(U$2,Kraftvärmeprod!$B$1:$VX$1,0),FALSE)/1,0)-IFERROR(VLOOKUP($B253,'Slutlig allokering kvv'!$B$2:$BX$549,MATCH(U$2,'Slutlig allokering kvv'!$B$1:$BX$1,0),FALSE)/1,0))</f>
        <v>0</v>
      </c>
      <c r="V253" s="121">
        <f>IF($D253="","",IFERROR(VLOOKUP($B253,Kraftvärmeprod!$B$1:$BX$549,MATCH(V$2,Kraftvärmeprod!$B$1:$VX$1,0),FALSE)/1,0)-IFERROR(VLOOKUP($B253,'Slutlig allokering kvv'!$B$2:$BX$549,MATCH(V$2,'Slutlig allokering kvv'!$B$1:$BX$1,0),FALSE)/1,0))</f>
        <v>0</v>
      </c>
      <c r="W253" s="121">
        <f>IF($D253="","",IFERROR(VLOOKUP($B253,Kraftvärmeprod!$B$1:$BX$549,MATCH(W$2,Kraftvärmeprod!$B$1:$VX$1,0),FALSE)/1,0)-IFERROR(VLOOKUP($B253,'Slutlig allokering kvv'!$B$2:$BX$549,MATCH(W$2,'Slutlig allokering kvv'!$B$1:$BX$1,0),FALSE)/1,0))</f>
        <v>0</v>
      </c>
      <c r="X253" s="121">
        <f>IF($D253="","",IFERROR(VLOOKUP($B253,Kraftvärmeprod!$B$1:$BX$549,MATCH(X$2,Kraftvärmeprod!$B$1:$VX$1,0),FALSE)/1,0)-IFERROR(VLOOKUP($B253,'Slutlig allokering kvv'!$B$2:$BX$549,MATCH(X$2,'Slutlig allokering kvv'!$B$1:$BX$1,0),FALSE)/1,0))</f>
        <v>0</v>
      </c>
      <c r="Y253" s="121">
        <f>IF($D253="","",IFERROR(VLOOKUP($B253,Kraftvärmeprod!$B$1:$BX$549,MATCH(Y$2,Kraftvärmeprod!$B$1:$VX$1,0),FALSE)/1,0)-IFERROR(VLOOKUP($B253,'Slutlig allokering kvv'!$B$2:$BX$549,MATCH(Y$2,'Slutlig allokering kvv'!$B$1:$BX$1,0),FALSE)/1,0))</f>
        <v>0</v>
      </c>
      <c r="Z253" s="121">
        <f>IF($D253="","",IFERROR(VLOOKUP($B253,Kraftvärmeprod!$B$1:$BX$549,MATCH(Z$2,Kraftvärmeprod!$B$1:$VX$1,0),FALSE)/1,0)-IFERROR(VLOOKUP($B253,'Slutlig allokering kvv'!$B$2:$BX$549,MATCH(Z$2,'Slutlig allokering kvv'!$B$1:$BX$1,0),FALSE)/1,0))</f>
        <v>0</v>
      </c>
      <c r="AA253" s="121">
        <f>IF($D253="","",IFERROR(VLOOKUP($B253,Kraftvärmeprod!$B$1:$BX$549,MATCH(AA$2,Kraftvärmeprod!$B$1:$VX$1,0),FALSE)/1,0)-IFERROR(VLOOKUP($B253,'Slutlig allokering kvv'!$B$2:$BX$549,MATCH(AA$2,'Slutlig allokering kvv'!$B$1:$BX$1,0),FALSE)/1,0))</f>
        <v>108.69799999999998</v>
      </c>
      <c r="AB253" s="121">
        <f>IF($D253="","",IFERROR(VLOOKUP($B253,Kraftvärmeprod!$B$1:$BX$549,MATCH(AB$2,Kraftvärmeprod!$B$1:$VX$1,0),FALSE)/1,0)-IFERROR(VLOOKUP($B253,'Slutlig allokering kvv'!$B$2:$BX$549,MATCH(AB$2,'Slutlig allokering kvv'!$B$1:$BX$1,0),FALSE)/1,0))</f>
        <v>0</v>
      </c>
      <c r="AC253" s="121">
        <f>IF($D253="","",IFERROR(VLOOKUP($B253,Kraftvärmeprod!$B$1:$BX$549,MATCH(AC$2,Kraftvärmeprod!$B$1:$VX$1,0),FALSE)/1,0)-IFERROR(VLOOKUP($B253,'Slutlig allokering kvv'!$B$2:$BX$549,MATCH(AC$2,'Slutlig allokering kvv'!$B$1:$BX$1,0),FALSE)/1,0))</f>
        <v>0</v>
      </c>
      <c r="AD253" s="121">
        <f>IF($D253="","",IFERROR(VLOOKUP($B253,Kraftvärmeprod!$B$1:$BX$549,MATCH(AD$2,Kraftvärmeprod!$B$1:$VX$1,0),FALSE)/1,0)-IFERROR(VLOOKUP($B253,'Slutlig allokering kvv'!$B$2:$BX$549,MATCH(AD$2,'Slutlig allokering kvv'!$B$1:$BX$1,0),FALSE)/1,0))</f>
        <v>0</v>
      </c>
      <c r="AE253" s="121">
        <f>IF($D253="","",IFERROR(VLOOKUP($B253,Miljö!$B$1:$E$550,MATCH("Hjälpel kraftvärme (GWh)",Miljö!$B$1:$E$1,0),FALSE)/1,0)-IFERROR(VLOOKUP($B253,'Slutlig allokering kvv'!$B$2:$BX$549,MATCH(AE$2,'Slutlig allokering kvv'!$B$1:$BX$1,0),FALSE)/1,0))</f>
        <v>6.5357199999999995</v>
      </c>
      <c r="AI253" s="121">
        <f t="shared" si="12"/>
        <v>109.48172999999998</v>
      </c>
      <c r="AK253" s="121">
        <f>IFERROR(VLOOKUP($B253,'Slutlig allokering kvv'!$B$2:$AX$549,MATCH("Summa slutlig allokerad tillförd energi (utan hjälpel och rökgaskondensering):",'Slutlig allokering kvv'!$B$1:$AX$1,0),FALSE)/1,"")</f>
        <v>130.16227000000001</v>
      </c>
      <c r="AM253" s="172">
        <f>IFERROR(1-VLOOKUP($B253,'Slutlig allokering kvv'!$B$2:$AX$549,MATCH("Andel av bränsle i kvv som allokerats till värme, exklusive rökgaskondensering och hjälpel",'Slutlig allokering kvv'!$B$1:$AX$1,0),FALSE),"")</f>
        <v>0.45685153811487034</v>
      </c>
      <c r="AO253" s="172">
        <f t="shared" si="13"/>
        <v>0.45685153811487034</v>
      </c>
      <c r="AP253" s="173">
        <f t="shared" si="14"/>
        <v>0</v>
      </c>
      <c r="AR253" s="172">
        <f t="shared" si="15"/>
        <v>0.3475253076153631</v>
      </c>
    </row>
    <row r="254" spans="1:44" x14ac:dyDescent="0.25">
      <c r="A254" s="171" t="str">
        <f>'Miljövärden för publ företag'!B256</f>
        <v>Sundsvall Energi AB</v>
      </c>
      <c r="B254" s="171" t="str">
        <f>'Miljövärden för publ företag'!C256</f>
        <v>Tunadal</v>
      </c>
      <c r="C254" s="121">
        <f>IFERROR(VLOOKUP($B254,Kraftvärmeprod!$B$1:$AH$478,MATCH(C$2,Kraftvärmeprod!$B$1:$AG$1,0),FALSE)/1,"")</f>
        <v>17.158999999999999</v>
      </c>
      <c r="D254" s="121">
        <f>IFERROR(VLOOKUP($B254,Kraftvärmeprod!$B$1:$AH$478,MATCH(D$2,Kraftvärmeprod!$B$1:$AG$1,0),FALSE)/1,"")</f>
        <v>4.0620000000000003</v>
      </c>
      <c r="F254" s="121">
        <f>IF($D254="","",IFERROR(VLOOKUP($B254,Kraftvärmeprod!$B$1:$BX$549,MATCH(F$2,Kraftvärmeprod!$B$1:$VX$1,0),FALSE)/1,0)-IFERROR(VLOOKUP($B254,'Slutlig allokering kvv'!$B$2:$BX$549,MATCH(F$2,'Slutlig allokering kvv'!$B$1:$BX$1,0),FALSE)/1,0))</f>
        <v>0</v>
      </c>
      <c r="G254" s="121">
        <f>IF($D254="","",IFERROR(VLOOKUP($B254,Kraftvärmeprod!$B$1:$BX$549,MATCH(G$2,Kraftvärmeprod!$B$1:$VX$1,0),FALSE)/1,0)-IFERROR(VLOOKUP($B254,'Slutlig allokering kvv'!$B$2:$BX$549,MATCH(G$2,'Slutlig allokering kvv'!$B$1:$BX$1,0),FALSE)/1,0))</f>
        <v>0</v>
      </c>
      <c r="H254" s="121">
        <f>IF($D254="","",IFERROR(VLOOKUP($B254,Kraftvärmeprod!$B$1:$BX$549,MATCH(H$2,Kraftvärmeprod!$B$1:$VX$1,0),FALSE)/1,0)-IFERROR(VLOOKUP($B254,'Slutlig allokering kvv'!$B$2:$BX$549,MATCH(H$2,'Slutlig allokering kvv'!$B$1:$BX$1,0),FALSE)/1,0))</f>
        <v>0</v>
      </c>
      <c r="I254" s="121">
        <f>IF($D254="","",IFERROR(VLOOKUP($B254,Kraftvärmeprod!$B$1:$BX$549,MATCH(I$2,Kraftvärmeprod!$B$1:$VX$1,0),FALSE)/1,0)-IFERROR(VLOOKUP($B254,'Slutlig allokering kvv'!$B$2:$BX$549,MATCH(I$2,'Slutlig allokering kvv'!$B$1:$BX$1,0),FALSE)/1,0))</f>
        <v>0</v>
      </c>
      <c r="J254" s="121">
        <f>IF($D254="","",IFERROR(VLOOKUP($B254,Kraftvärmeprod!$B$1:$BX$549,MATCH(J$2,Kraftvärmeprod!$B$1:$VX$1,0),FALSE)/1,0)-IFERROR(VLOOKUP($B254,'Slutlig allokering kvv'!$B$2:$BX$549,MATCH(J$2,'Slutlig allokering kvv'!$B$1:$BX$1,0),FALSE)/1,0))</f>
        <v>0</v>
      </c>
      <c r="K254" s="121">
        <f>IF($D254="","",IFERROR(VLOOKUP($B254,Kraftvärmeprod!$B$1:$BX$549,MATCH(K$2,Kraftvärmeprod!$B$1:$VX$1,0),FALSE)/1,0)-IFERROR(VLOOKUP($B254,'Slutlig allokering kvv'!$B$2:$BX$549,MATCH(K$2,'Slutlig allokering kvv'!$B$1:$BX$1,0),FALSE)/1,0))</f>
        <v>0</v>
      </c>
      <c r="L254" s="121">
        <f>IF($D254="","",IFERROR(VLOOKUP($B254,Kraftvärmeprod!$B$1:$BX$549,MATCH(L$2,Kraftvärmeprod!$B$1:$VX$1,0),FALSE)/1,0)-IFERROR(VLOOKUP($B254,'Slutlig allokering kvv'!$B$2:$BX$549,MATCH(L$2,'Slutlig allokering kvv'!$B$1:$BX$1,0),FALSE)/1,0))</f>
        <v>0</v>
      </c>
      <c r="M254" s="121">
        <f>IF($D254="","",IFERROR(VLOOKUP($B254,Kraftvärmeprod!$B$1:$BX$549,MATCH(M$2,Kraftvärmeprod!$B$1:$VX$1,0),FALSE)/1,0)-IFERROR(VLOOKUP($B254,'Slutlig allokering kvv'!$B$2:$BX$549,MATCH(M$2,'Slutlig allokering kvv'!$B$1:$BX$1,0),FALSE)/1,0))</f>
        <v>0</v>
      </c>
      <c r="N254" s="121">
        <f>IF($D254="","",IFERROR(VLOOKUP($B254,Kraftvärmeprod!$B$1:$BX$549,MATCH(N$2,Kraftvärmeprod!$B$1:$VX$1,0),FALSE)/1,0)-IFERROR(VLOOKUP($B254,'Slutlig allokering kvv'!$B$2:$BX$549,MATCH(N$2,'Slutlig allokering kvv'!$B$1:$BX$1,0),FALSE)/1,0))</f>
        <v>0</v>
      </c>
      <c r="O254" s="121">
        <f>IF($D254="","",IFERROR(VLOOKUP($B254,Kraftvärmeprod!$B$1:$BX$549,MATCH(O$2,Kraftvärmeprod!$B$1:$VX$1,0),FALSE)/1,0)-IFERROR(VLOOKUP($B254,'Slutlig allokering kvv'!$B$2:$BX$549,MATCH(O$2,'Slutlig allokering kvv'!$B$1:$BX$1,0),FALSE)/1,0))</f>
        <v>0</v>
      </c>
      <c r="P254" s="121">
        <f>IF($D254="","",IFERROR(VLOOKUP($B254,Kraftvärmeprod!$B$1:$BX$549,MATCH(P$2,Kraftvärmeprod!$B$1:$VX$1,0),FALSE)/1,0)-IFERROR(VLOOKUP($B254,'Slutlig allokering kvv'!$B$2:$BX$549,MATCH(P$2,'Slutlig allokering kvv'!$B$1:$BX$1,0),FALSE)/1,0))</f>
        <v>0</v>
      </c>
      <c r="Q254" s="121">
        <f>IF($D254="","",IFERROR(VLOOKUP($B254,Kraftvärmeprod!$B$1:$BX$549,MATCH(Q$2,Kraftvärmeprod!$B$1:$VX$1,0),FALSE)/1,0)-IFERROR(VLOOKUP($B254,'Slutlig allokering kvv'!$B$2:$BX$549,MATCH(Q$2,'Slutlig allokering kvv'!$B$1:$BX$1,0),FALSE)/1,0))</f>
        <v>0</v>
      </c>
      <c r="R254" s="121">
        <f>IF($D254="","",IFERROR(VLOOKUP($B254,Kraftvärmeprod!$B$1:$BX$549,MATCH(R$2,Kraftvärmeprod!$B$1:$VX$1,0),FALSE)/1,0)-IFERROR(VLOOKUP($B254,'Slutlig allokering kvv'!$B$2:$BX$549,MATCH(R$2,'Slutlig allokering kvv'!$B$1:$BX$1,0),FALSE)/1,0))</f>
        <v>0</v>
      </c>
      <c r="S254" s="121">
        <f>IF($D254="","",IFERROR(VLOOKUP($B254,Kraftvärmeprod!$B$1:$BX$549,MATCH(S$2,Kraftvärmeprod!$B$1:$VX$1,0),FALSE)/1,0)-IFERROR(VLOOKUP($B254,'Slutlig allokering kvv'!$B$2:$BX$549,MATCH(S$2,'Slutlig allokering kvv'!$B$1:$BX$1,0),FALSE)/1,0))</f>
        <v>0</v>
      </c>
      <c r="T254" s="121">
        <f>IF($D254="","",IFERROR(VLOOKUP($B254,Kraftvärmeprod!$B$1:$BX$549,MATCH(T$2,Kraftvärmeprod!$B$1:$VX$1,0),FALSE)/1,0)-IFERROR(VLOOKUP($B254,'Slutlig allokering kvv'!$B$2:$BX$549,MATCH(T$2,'Slutlig allokering kvv'!$B$1:$BX$1,0),FALSE)/1,0))</f>
        <v>0</v>
      </c>
      <c r="U254" s="121">
        <f>IF($D254="","",IFERROR(VLOOKUP($B254,Kraftvärmeprod!$B$1:$BX$549,MATCH(U$2,Kraftvärmeprod!$B$1:$VX$1,0),FALSE)/1,0)-IFERROR(VLOOKUP($B254,'Slutlig allokering kvv'!$B$2:$BX$549,MATCH(U$2,'Slutlig allokering kvv'!$B$1:$BX$1,0),FALSE)/1,0))</f>
        <v>0</v>
      </c>
      <c r="V254" s="121">
        <f>IF($D254="","",IFERROR(VLOOKUP($B254,Kraftvärmeprod!$B$1:$BX$549,MATCH(V$2,Kraftvärmeprod!$B$1:$VX$1,0),FALSE)/1,0)-IFERROR(VLOOKUP($B254,'Slutlig allokering kvv'!$B$2:$BX$549,MATCH(V$2,'Slutlig allokering kvv'!$B$1:$BX$1,0),FALSE)/1,0))</f>
        <v>0</v>
      </c>
      <c r="W254" s="121">
        <f>IF($D254="","",IFERROR(VLOOKUP($B254,Kraftvärmeprod!$B$1:$BX$549,MATCH(W$2,Kraftvärmeprod!$B$1:$VX$1,0),FALSE)/1,0)-IFERROR(VLOOKUP($B254,'Slutlig allokering kvv'!$B$2:$BX$549,MATCH(W$2,'Slutlig allokering kvv'!$B$1:$BX$1,0),FALSE)/1,0))</f>
        <v>0</v>
      </c>
      <c r="X254" s="121">
        <f>IF($D254="","",IFERROR(VLOOKUP($B254,Kraftvärmeprod!$B$1:$BX$549,MATCH(X$2,Kraftvärmeprod!$B$1:$VX$1,0),FALSE)/1,0)-IFERROR(VLOOKUP($B254,'Slutlig allokering kvv'!$B$2:$BX$549,MATCH(X$2,'Slutlig allokering kvv'!$B$1:$BX$1,0),FALSE)/1,0))</f>
        <v>0</v>
      </c>
      <c r="Y254" s="121">
        <f>IF($D254="","",IFERROR(VLOOKUP($B254,Kraftvärmeprod!$B$1:$BX$549,MATCH(Y$2,Kraftvärmeprod!$B$1:$VX$1,0),FALSE)/1,0)-IFERROR(VLOOKUP($B254,'Slutlig allokering kvv'!$B$2:$BX$549,MATCH(Y$2,'Slutlig allokering kvv'!$B$1:$BX$1,0),FALSE)/1,0))</f>
        <v>0</v>
      </c>
      <c r="Z254" s="121">
        <f>IF($D254="","",IFERROR(VLOOKUP($B254,Kraftvärmeprod!$B$1:$BX$549,MATCH(Z$2,Kraftvärmeprod!$B$1:$VX$1,0),FALSE)/1,0)-IFERROR(VLOOKUP($B254,'Slutlig allokering kvv'!$B$2:$BX$549,MATCH(Z$2,'Slutlig allokering kvv'!$B$1:$BX$1,0),FALSE)/1,0))</f>
        <v>0</v>
      </c>
      <c r="AA254" s="121">
        <f>IF($D254="","",IFERROR(VLOOKUP($B254,Kraftvärmeprod!$B$1:$BX$549,MATCH(AA$2,Kraftvärmeprod!$B$1:$VX$1,0),FALSE)/1,0)-IFERROR(VLOOKUP($B254,'Slutlig allokering kvv'!$B$2:$BX$549,MATCH(AA$2,'Slutlig allokering kvv'!$B$1:$BX$1,0),FALSE)/1,0))</f>
        <v>10.323800000000002</v>
      </c>
      <c r="AB254" s="121">
        <f>IF($D254="","",IFERROR(VLOOKUP($B254,Kraftvärmeprod!$B$1:$BX$549,MATCH(AB$2,Kraftvärmeprod!$B$1:$VX$1,0),FALSE)/1,0)-IFERROR(VLOOKUP($B254,'Slutlig allokering kvv'!$B$2:$BX$549,MATCH(AB$2,'Slutlig allokering kvv'!$B$1:$BX$1,0),FALSE)/1,0))</f>
        <v>0</v>
      </c>
      <c r="AC254" s="121">
        <f>IF($D254="","",IFERROR(VLOOKUP($B254,Kraftvärmeprod!$B$1:$BX$549,MATCH(AC$2,Kraftvärmeprod!$B$1:$VX$1,0),FALSE)/1,0)-IFERROR(VLOOKUP($B254,'Slutlig allokering kvv'!$B$2:$BX$549,MATCH(AC$2,'Slutlig allokering kvv'!$B$1:$BX$1,0),FALSE)/1,0))</f>
        <v>0</v>
      </c>
      <c r="AD254" s="121">
        <f>IF($D254="","",IFERROR(VLOOKUP($B254,Kraftvärmeprod!$B$1:$BX$549,MATCH(AD$2,Kraftvärmeprod!$B$1:$VX$1,0),FALSE)/1,0)-IFERROR(VLOOKUP($B254,'Slutlig allokering kvv'!$B$2:$BX$549,MATCH(AD$2,'Slutlig allokering kvv'!$B$1:$BX$1,0),FALSE)/1,0))</f>
        <v>0</v>
      </c>
      <c r="AE254" s="121">
        <f>IF($D254="","",IFERROR(VLOOKUP($B254,Miljö!$B$1:$E$550,MATCH("Hjälpel kraftvärme (GWh)",Miljö!$B$1:$E$1,0),FALSE)/1,0)-IFERROR(VLOOKUP($B254,'Slutlig allokering kvv'!$B$2:$BX$549,MATCH(AE$2,'Slutlig allokering kvv'!$B$1:$BX$1,0),FALSE)/1,0))</f>
        <v>0.21550999999999998</v>
      </c>
      <c r="AI254" s="121">
        <f t="shared" si="12"/>
        <v>10.323800000000002</v>
      </c>
      <c r="AK254" s="121">
        <f>IFERROR(VLOOKUP($B254,'Slutlig allokering kvv'!$B$2:$AX$549,MATCH("Summa slutlig allokerad tillförd energi (utan hjälpel och rökgaskondensering):",'Slutlig allokering kvv'!$B$1:$AX$1,0),FALSE)/1,"")</f>
        <v>13.6282</v>
      </c>
      <c r="AM254" s="172">
        <f>IFERROR(1-VLOOKUP($B254,'Slutlig allokering kvv'!$B$2:$AX$549,MATCH("Andel av bränsle i kvv som allokerats till värme, exklusive rökgaskondensering och hjälpel",'Slutlig allokering kvv'!$B$1:$AX$1,0),FALSE),"")</f>
        <v>0.4310203740814964</v>
      </c>
      <c r="AO254" s="172">
        <f t="shared" si="13"/>
        <v>0.4310203740814964</v>
      </c>
      <c r="AP254" s="173">
        <f t="shared" si="14"/>
        <v>0</v>
      </c>
      <c r="AR254" s="172">
        <f t="shared" si="15"/>
        <v>0.38541422540944326</v>
      </c>
    </row>
    <row r="255" spans="1:44" x14ac:dyDescent="0.25">
      <c r="A255" s="171" t="str">
        <f>'Miljövärden för publ företag'!B257</f>
        <v>Sundsvall Energi AB</v>
      </c>
      <c r="B255" s="171" t="str">
        <f>'Miljövärden för publ företag'!C257</f>
        <v>Övriga nät Sundsvall energi</v>
      </c>
      <c r="C255" s="121" t="str">
        <f>IFERROR(VLOOKUP($B255,Kraftvärmeprod!$B$1:$AH$478,MATCH(C$2,Kraftvärmeprod!$B$1:$AG$1,0),FALSE)/1,"")</f>
        <v/>
      </c>
      <c r="D255" s="121" t="str">
        <f>IFERROR(VLOOKUP($B255,Kraftvärmeprod!$B$1:$AH$478,MATCH(D$2,Kraftvärmeprod!$B$1:$AG$1,0),FALSE)/1,"")</f>
        <v/>
      </c>
      <c r="F255" s="121" t="str">
        <f>IF($D255="","",IFERROR(VLOOKUP($B255,Kraftvärmeprod!$B$1:$BX$549,MATCH(F$2,Kraftvärmeprod!$B$1:$VX$1,0),FALSE)/1,0)-IFERROR(VLOOKUP($B255,'Slutlig allokering kvv'!$B$2:$BX$549,MATCH(F$2,'Slutlig allokering kvv'!$B$1:$BX$1,0),FALSE)/1,0))</f>
        <v/>
      </c>
      <c r="G255" s="121" t="str">
        <f>IF($D255="","",IFERROR(VLOOKUP($B255,Kraftvärmeprod!$B$1:$BX$549,MATCH(G$2,Kraftvärmeprod!$B$1:$VX$1,0),FALSE)/1,0)-IFERROR(VLOOKUP($B255,'Slutlig allokering kvv'!$B$2:$BX$549,MATCH(G$2,'Slutlig allokering kvv'!$B$1:$BX$1,0),FALSE)/1,0))</f>
        <v/>
      </c>
      <c r="H255" s="121" t="str">
        <f>IF($D255="","",IFERROR(VLOOKUP($B255,Kraftvärmeprod!$B$1:$BX$549,MATCH(H$2,Kraftvärmeprod!$B$1:$VX$1,0),FALSE)/1,0)-IFERROR(VLOOKUP($B255,'Slutlig allokering kvv'!$B$2:$BX$549,MATCH(H$2,'Slutlig allokering kvv'!$B$1:$BX$1,0),FALSE)/1,0))</f>
        <v/>
      </c>
      <c r="I255" s="121" t="str">
        <f>IF($D255="","",IFERROR(VLOOKUP($B255,Kraftvärmeprod!$B$1:$BX$549,MATCH(I$2,Kraftvärmeprod!$B$1:$VX$1,0),FALSE)/1,0)-IFERROR(VLOOKUP($B255,'Slutlig allokering kvv'!$B$2:$BX$549,MATCH(I$2,'Slutlig allokering kvv'!$B$1:$BX$1,0),FALSE)/1,0))</f>
        <v/>
      </c>
      <c r="J255" s="121" t="str">
        <f>IF($D255="","",IFERROR(VLOOKUP($B255,Kraftvärmeprod!$B$1:$BX$549,MATCH(J$2,Kraftvärmeprod!$B$1:$VX$1,0),FALSE)/1,0)-IFERROR(VLOOKUP($B255,'Slutlig allokering kvv'!$B$2:$BX$549,MATCH(J$2,'Slutlig allokering kvv'!$B$1:$BX$1,0),FALSE)/1,0))</f>
        <v/>
      </c>
      <c r="K255" s="121" t="str">
        <f>IF($D255="","",IFERROR(VLOOKUP($B255,Kraftvärmeprod!$B$1:$BX$549,MATCH(K$2,Kraftvärmeprod!$B$1:$VX$1,0),FALSE)/1,0)-IFERROR(VLOOKUP($B255,'Slutlig allokering kvv'!$B$2:$BX$549,MATCH(K$2,'Slutlig allokering kvv'!$B$1:$BX$1,0),FALSE)/1,0))</f>
        <v/>
      </c>
      <c r="L255" s="121" t="str">
        <f>IF($D255="","",IFERROR(VLOOKUP($B255,Kraftvärmeprod!$B$1:$BX$549,MATCH(L$2,Kraftvärmeprod!$B$1:$VX$1,0),FALSE)/1,0)-IFERROR(VLOOKUP($B255,'Slutlig allokering kvv'!$B$2:$BX$549,MATCH(L$2,'Slutlig allokering kvv'!$B$1:$BX$1,0),FALSE)/1,0))</f>
        <v/>
      </c>
      <c r="M255" s="121" t="str">
        <f>IF($D255="","",IFERROR(VLOOKUP($B255,Kraftvärmeprod!$B$1:$BX$549,MATCH(M$2,Kraftvärmeprod!$B$1:$VX$1,0),FALSE)/1,0)-IFERROR(VLOOKUP($B255,'Slutlig allokering kvv'!$B$2:$BX$549,MATCH(M$2,'Slutlig allokering kvv'!$B$1:$BX$1,0),FALSE)/1,0))</f>
        <v/>
      </c>
      <c r="N255" s="121" t="str">
        <f>IF($D255="","",IFERROR(VLOOKUP($B255,Kraftvärmeprod!$B$1:$BX$549,MATCH(N$2,Kraftvärmeprod!$B$1:$VX$1,0),FALSE)/1,0)-IFERROR(VLOOKUP($B255,'Slutlig allokering kvv'!$B$2:$BX$549,MATCH(N$2,'Slutlig allokering kvv'!$B$1:$BX$1,0),FALSE)/1,0))</f>
        <v/>
      </c>
      <c r="O255" s="121" t="str">
        <f>IF($D255="","",IFERROR(VLOOKUP($B255,Kraftvärmeprod!$B$1:$BX$549,MATCH(O$2,Kraftvärmeprod!$B$1:$VX$1,0),FALSE)/1,0)-IFERROR(VLOOKUP($B255,'Slutlig allokering kvv'!$B$2:$BX$549,MATCH(O$2,'Slutlig allokering kvv'!$B$1:$BX$1,0),FALSE)/1,0))</f>
        <v/>
      </c>
      <c r="P255" s="121" t="str">
        <f>IF($D255="","",IFERROR(VLOOKUP($B255,Kraftvärmeprod!$B$1:$BX$549,MATCH(P$2,Kraftvärmeprod!$B$1:$VX$1,0),FALSE)/1,0)-IFERROR(VLOOKUP($B255,'Slutlig allokering kvv'!$B$2:$BX$549,MATCH(P$2,'Slutlig allokering kvv'!$B$1:$BX$1,0),FALSE)/1,0))</f>
        <v/>
      </c>
      <c r="Q255" s="121" t="str">
        <f>IF($D255="","",IFERROR(VLOOKUP($B255,Kraftvärmeprod!$B$1:$BX$549,MATCH(Q$2,Kraftvärmeprod!$B$1:$VX$1,0),FALSE)/1,0)-IFERROR(VLOOKUP($B255,'Slutlig allokering kvv'!$B$2:$BX$549,MATCH(Q$2,'Slutlig allokering kvv'!$B$1:$BX$1,0),FALSE)/1,0))</f>
        <v/>
      </c>
      <c r="R255" s="121" t="str">
        <f>IF($D255="","",IFERROR(VLOOKUP($B255,Kraftvärmeprod!$B$1:$BX$549,MATCH(R$2,Kraftvärmeprod!$B$1:$VX$1,0),FALSE)/1,0)-IFERROR(VLOOKUP($B255,'Slutlig allokering kvv'!$B$2:$BX$549,MATCH(R$2,'Slutlig allokering kvv'!$B$1:$BX$1,0),FALSE)/1,0))</f>
        <v/>
      </c>
      <c r="S255" s="121" t="str">
        <f>IF($D255="","",IFERROR(VLOOKUP($B255,Kraftvärmeprod!$B$1:$BX$549,MATCH(S$2,Kraftvärmeprod!$B$1:$VX$1,0),FALSE)/1,0)-IFERROR(VLOOKUP($B255,'Slutlig allokering kvv'!$B$2:$BX$549,MATCH(S$2,'Slutlig allokering kvv'!$B$1:$BX$1,0),FALSE)/1,0))</f>
        <v/>
      </c>
      <c r="T255" s="121" t="str">
        <f>IF($D255="","",IFERROR(VLOOKUP($B255,Kraftvärmeprod!$B$1:$BX$549,MATCH(T$2,Kraftvärmeprod!$B$1:$VX$1,0),FALSE)/1,0)-IFERROR(VLOOKUP($B255,'Slutlig allokering kvv'!$B$2:$BX$549,MATCH(T$2,'Slutlig allokering kvv'!$B$1:$BX$1,0),FALSE)/1,0))</f>
        <v/>
      </c>
      <c r="U255" s="121" t="str">
        <f>IF($D255="","",IFERROR(VLOOKUP($B255,Kraftvärmeprod!$B$1:$BX$549,MATCH(U$2,Kraftvärmeprod!$B$1:$VX$1,0),FALSE)/1,0)-IFERROR(VLOOKUP($B255,'Slutlig allokering kvv'!$B$2:$BX$549,MATCH(U$2,'Slutlig allokering kvv'!$B$1:$BX$1,0),FALSE)/1,0))</f>
        <v/>
      </c>
      <c r="V255" s="121" t="str">
        <f>IF($D255="","",IFERROR(VLOOKUP($B255,Kraftvärmeprod!$B$1:$BX$549,MATCH(V$2,Kraftvärmeprod!$B$1:$VX$1,0),FALSE)/1,0)-IFERROR(VLOOKUP($B255,'Slutlig allokering kvv'!$B$2:$BX$549,MATCH(V$2,'Slutlig allokering kvv'!$B$1:$BX$1,0),FALSE)/1,0))</f>
        <v/>
      </c>
      <c r="W255" s="121" t="str">
        <f>IF($D255="","",IFERROR(VLOOKUP($B255,Kraftvärmeprod!$B$1:$BX$549,MATCH(W$2,Kraftvärmeprod!$B$1:$VX$1,0),FALSE)/1,0)-IFERROR(VLOOKUP($B255,'Slutlig allokering kvv'!$B$2:$BX$549,MATCH(W$2,'Slutlig allokering kvv'!$B$1:$BX$1,0),FALSE)/1,0))</f>
        <v/>
      </c>
      <c r="X255" s="121" t="str">
        <f>IF($D255="","",IFERROR(VLOOKUP($B255,Kraftvärmeprod!$B$1:$BX$549,MATCH(X$2,Kraftvärmeprod!$B$1:$VX$1,0),FALSE)/1,0)-IFERROR(VLOOKUP($B255,'Slutlig allokering kvv'!$B$2:$BX$549,MATCH(X$2,'Slutlig allokering kvv'!$B$1:$BX$1,0),FALSE)/1,0))</f>
        <v/>
      </c>
      <c r="Y255" s="121" t="str">
        <f>IF($D255="","",IFERROR(VLOOKUP($B255,Kraftvärmeprod!$B$1:$BX$549,MATCH(Y$2,Kraftvärmeprod!$B$1:$VX$1,0),FALSE)/1,0)-IFERROR(VLOOKUP($B255,'Slutlig allokering kvv'!$B$2:$BX$549,MATCH(Y$2,'Slutlig allokering kvv'!$B$1:$BX$1,0),FALSE)/1,0))</f>
        <v/>
      </c>
      <c r="Z255" s="121" t="str">
        <f>IF($D255="","",IFERROR(VLOOKUP($B255,Kraftvärmeprod!$B$1:$BX$549,MATCH(Z$2,Kraftvärmeprod!$B$1:$VX$1,0),FALSE)/1,0)-IFERROR(VLOOKUP($B255,'Slutlig allokering kvv'!$B$2:$BX$549,MATCH(Z$2,'Slutlig allokering kvv'!$B$1:$BX$1,0),FALSE)/1,0))</f>
        <v/>
      </c>
      <c r="AA255" s="121" t="str">
        <f>IF($D255="","",IFERROR(VLOOKUP($B255,Kraftvärmeprod!$B$1:$BX$549,MATCH(AA$2,Kraftvärmeprod!$B$1:$VX$1,0),FALSE)/1,0)-IFERROR(VLOOKUP($B255,'Slutlig allokering kvv'!$B$2:$BX$549,MATCH(AA$2,'Slutlig allokering kvv'!$B$1:$BX$1,0),FALSE)/1,0))</f>
        <v/>
      </c>
      <c r="AB255" s="121" t="str">
        <f>IF($D255="","",IFERROR(VLOOKUP($B255,Kraftvärmeprod!$B$1:$BX$549,MATCH(AB$2,Kraftvärmeprod!$B$1:$VX$1,0),FALSE)/1,0)-IFERROR(VLOOKUP($B255,'Slutlig allokering kvv'!$B$2:$BX$549,MATCH(AB$2,'Slutlig allokering kvv'!$B$1:$BX$1,0),FALSE)/1,0))</f>
        <v/>
      </c>
      <c r="AC255" s="121" t="str">
        <f>IF($D255="","",IFERROR(VLOOKUP($B255,Kraftvärmeprod!$B$1:$BX$549,MATCH(AC$2,Kraftvärmeprod!$B$1:$VX$1,0),FALSE)/1,0)-IFERROR(VLOOKUP($B255,'Slutlig allokering kvv'!$B$2:$BX$549,MATCH(AC$2,'Slutlig allokering kvv'!$B$1:$BX$1,0),FALSE)/1,0))</f>
        <v/>
      </c>
      <c r="AD255" s="121" t="str">
        <f>IF($D255="","",IFERROR(VLOOKUP($B255,Kraftvärmeprod!$B$1:$BX$549,MATCH(AD$2,Kraftvärmeprod!$B$1:$VX$1,0),FALSE)/1,0)-IFERROR(VLOOKUP($B255,'Slutlig allokering kvv'!$B$2:$BX$549,MATCH(AD$2,'Slutlig allokering kvv'!$B$1:$BX$1,0),FALSE)/1,0))</f>
        <v/>
      </c>
      <c r="AE255" s="121" t="str">
        <f>IF($D255="","",IFERROR(VLOOKUP($B255,Miljö!$B$1:$E$550,MATCH("Hjälpel kraftvärme (GWh)",Miljö!$B$1:$E$1,0),FALSE)/1,0)-IFERROR(VLOOKUP($B255,'Slutlig allokering kvv'!$B$2:$BX$549,MATCH(AE$2,'Slutlig allokering kvv'!$B$1:$BX$1,0),FALSE)/1,0))</f>
        <v/>
      </c>
      <c r="AI255" s="121">
        <f t="shared" si="12"/>
        <v>0</v>
      </c>
      <c r="AK255" s="121">
        <f>IFERROR(VLOOKUP($B255,'Slutlig allokering kvv'!$B$2:$AX$549,MATCH("Summa slutlig allokerad tillförd energi (utan hjälpel och rökgaskondensering):",'Slutlig allokering kvv'!$B$1:$AX$1,0),FALSE)/1,"")</f>
        <v>0</v>
      </c>
      <c r="AM255" s="172" t="str">
        <f>IFERROR(1-VLOOKUP($B255,'Slutlig allokering kvv'!$B$2:$AX$549,MATCH("Andel av bränsle i kvv som allokerats till värme, exklusive rökgaskondensering och hjälpel",'Slutlig allokering kvv'!$B$1:$AX$1,0),FALSE),"")</f>
        <v/>
      </c>
      <c r="AO255" s="172" t="str">
        <f t="shared" si="13"/>
        <v/>
      </c>
      <c r="AP255" s="173" t="str">
        <f t="shared" si="14"/>
        <v/>
      </c>
      <c r="AR255" s="172" t="str">
        <f t="shared" si="15"/>
        <v/>
      </c>
    </row>
    <row r="256" spans="1:44" x14ac:dyDescent="0.25">
      <c r="A256" s="171" t="str">
        <f>'Miljövärden för publ företag'!B258</f>
        <v>Söderhamn Nära AB</v>
      </c>
      <c r="B256" s="171" t="str">
        <f>'Miljövärden för publ företag'!C258</f>
        <v>Ljusne</v>
      </c>
      <c r="C256" s="121" t="str">
        <f>IFERROR(VLOOKUP($B256,Kraftvärmeprod!$B$1:$AH$478,MATCH(C$2,Kraftvärmeprod!$B$1:$AG$1,0),FALSE)/1,"")</f>
        <v/>
      </c>
      <c r="D256" s="121" t="str">
        <f>IFERROR(VLOOKUP($B256,Kraftvärmeprod!$B$1:$AH$478,MATCH(D$2,Kraftvärmeprod!$B$1:$AG$1,0),FALSE)/1,"")</f>
        <v/>
      </c>
      <c r="F256" s="121" t="str">
        <f>IF($D256="","",IFERROR(VLOOKUP($B256,Kraftvärmeprod!$B$1:$BX$549,MATCH(F$2,Kraftvärmeprod!$B$1:$VX$1,0),FALSE)/1,0)-IFERROR(VLOOKUP($B256,'Slutlig allokering kvv'!$B$2:$BX$549,MATCH(F$2,'Slutlig allokering kvv'!$B$1:$BX$1,0),FALSE)/1,0))</f>
        <v/>
      </c>
      <c r="G256" s="121" t="str">
        <f>IF($D256="","",IFERROR(VLOOKUP($B256,Kraftvärmeprod!$B$1:$BX$549,MATCH(G$2,Kraftvärmeprod!$B$1:$VX$1,0),FALSE)/1,0)-IFERROR(VLOOKUP($B256,'Slutlig allokering kvv'!$B$2:$BX$549,MATCH(G$2,'Slutlig allokering kvv'!$B$1:$BX$1,0),FALSE)/1,0))</f>
        <v/>
      </c>
      <c r="H256" s="121" t="str">
        <f>IF($D256="","",IFERROR(VLOOKUP($B256,Kraftvärmeprod!$B$1:$BX$549,MATCH(H$2,Kraftvärmeprod!$B$1:$VX$1,0),FALSE)/1,0)-IFERROR(VLOOKUP($B256,'Slutlig allokering kvv'!$B$2:$BX$549,MATCH(H$2,'Slutlig allokering kvv'!$B$1:$BX$1,0),FALSE)/1,0))</f>
        <v/>
      </c>
      <c r="I256" s="121" t="str">
        <f>IF($D256="","",IFERROR(VLOOKUP($B256,Kraftvärmeprod!$B$1:$BX$549,MATCH(I$2,Kraftvärmeprod!$B$1:$VX$1,0),FALSE)/1,0)-IFERROR(VLOOKUP($B256,'Slutlig allokering kvv'!$B$2:$BX$549,MATCH(I$2,'Slutlig allokering kvv'!$B$1:$BX$1,0),FALSE)/1,0))</f>
        <v/>
      </c>
      <c r="J256" s="121" t="str">
        <f>IF($D256="","",IFERROR(VLOOKUP($B256,Kraftvärmeprod!$B$1:$BX$549,MATCH(J$2,Kraftvärmeprod!$B$1:$VX$1,0),FALSE)/1,0)-IFERROR(VLOOKUP($B256,'Slutlig allokering kvv'!$B$2:$BX$549,MATCH(J$2,'Slutlig allokering kvv'!$B$1:$BX$1,0),FALSE)/1,0))</f>
        <v/>
      </c>
      <c r="K256" s="121" t="str">
        <f>IF($D256="","",IFERROR(VLOOKUP($B256,Kraftvärmeprod!$B$1:$BX$549,MATCH(K$2,Kraftvärmeprod!$B$1:$VX$1,0),FALSE)/1,0)-IFERROR(VLOOKUP($B256,'Slutlig allokering kvv'!$B$2:$BX$549,MATCH(K$2,'Slutlig allokering kvv'!$B$1:$BX$1,0),FALSE)/1,0))</f>
        <v/>
      </c>
      <c r="L256" s="121" t="str">
        <f>IF($D256="","",IFERROR(VLOOKUP($B256,Kraftvärmeprod!$B$1:$BX$549,MATCH(L$2,Kraftvärmeprod!$B$1:$VX$1,0),FALSE)/1,0)-IFERROR(VLOOKUP($B256,'Slutlig allokering kvv'!$B$2:$BX$549,MATCH(L$2,'Slutlig allokering kvv'!$B$1:$BX$1,0),FALSE)/1,0))</f>
        <v/>
      </c>
      <c r="M256" s="121" t="str">
        <f>IF($D256="","",IFERROR(VLOOKUP($B256,Kraftvärmeprod!$B$1:$BX$549,MATCH(M$2,Kraftvärmeprod!$B$1:$VX$1,0),FALSE)/1,0)-IFERROR(VLOOKUP($B256,'Slutlig allokering kvv'!$B$2:$BX$549,MATCH(M$2,'Slutlig allokering kvv'!$B$1:$BX$1,0),FALSE)/1,0))</f>
        <v/>
      </c>
      <c r="N256" s="121" t="str">
        <f>IF($D256="","",IFERROR(VLOOKUP($B256,Kraftvärmeprod!$B$1:$BX$549,MATCH(N$2,Kraftvärmeprod!$B$1:$VX$1,0),FALSE)/1,0)-IFERROR(VLOOKUP($B256,'Slutlig allokering kvv'!$B$2:$BX$549,MATCH(N$2,'Slutlig allokering kvv'!$B$1:$BX$1,0),FALSE)/1,0))</f>
        <v/>
      </c>
      <c r="O256" s="121" t="str">
        <f>IF($D256="","",IFERROR(VLOOKUP($B256,Kraftvärmeprod!$B$1:$BX$549,MATCH(O$2,Kraftvärmeprod!$B$1:$VX$1,0),FALSE)/1,0)-IFERROR(VLOOKUP($B256,'Slutlig allokering kvv'!$B$2:$BX$549,MATCH(O$2,'Slutlig allokering kvv'!$B$1:$BX$1,0),FALSE)/1,0))</f>
        <v/>
      </c>
      <c r="P256" s="121" t="str">
        <f>IF($D256="","",IFERROR(VLOOKUP($B256,Kraftvärmeprod!$B$1:$BX$549,MATCH(P$2,Kraftvärmeprod!$B$1:$VX$1,0),FALSE)/1,0)-IFERROR(VLOOKUP($B256,'Slutlig allokering kvv'!$B$2:$BX$549,MATCH(P$2,'Slutlig allokering kvv'!$B$1:$BX$1,0),FALSE)/1,0))</f>
        <v/>
      </c>
      <c r="Q256" s="121" t="str">
        <f>IF($D256="","",IFERROR(VLOOKUP($B256,Kraftvärmeprod!$B$1:$BX$549,MATCH(Q$2,Kraftvärmeprod!$B$1:$VX$1,0),FALSE)/1,0)-IFERROR(VLOOKUP($B256,'Slutlig allokering kvv'!$B$2:$BX$549,MATCH(Q$2,'Slutlig allokering kvv'!$B$1:$BX$1,0),FALSE)/1,0))</f>
        <v/>
      </c>
      <c r="R256" s="121" t="str">
        <f>IF($D256="","",IFERROR(VLOOKUP($B256,Kraftvärmeprod!$B$1:$BX$549,MATCH(R$2,Kraftvärmeprod!$B$1:$VX$1,0),FALSE)/1,0)-IFERROR(VLOOKUP($B256,'Slutlig allokering kvv'!$B$2:$BX$549,MATCH(R$2,'Slutlig allokering kvv'!$B$1:$BX$1,0),FALSE)/1,0))</f>
        <v/>
      </c>
      <c r="S256" s="121" t="str">
        <f>IF($D256="","",IFERROR(VLOOKUP($B256,Kraftvärmeprod!$B$1:$BX$549,MATCH(S$2,Kraftvärmeprod!$B$1:$VX$1,0),FALSE)/1,0)-IFERROR(VLOOKUP($B256,'Slutlig allokering kvv'!$B$2:$BX$549,MATCH(S$2,'Slutlig allokering kvv'!$B$1:$BX$1,0),FALSE)/1,0))</f>
        <v/>
      </c>
      <c r="T256" s="121" t="str">
        <f>IF($D256="","",IFERROR(VLOOKUP($B256,Kraftvärmeprod!$B$1:$BX$549,MATCH(T$2,Kraftvärmeprod!$B$1:$VX$1,0),FALSE)/1,0)-IFERROR(VLOOKUP($B256,'Slutlig allokering kvv'!$B$2:$BX$549,MATCH(T$2,'Slutlig allokering kvv'!$B$1:$BX$1,0),FALSE)/1,0))</f>
        <v/>
      </c>
      <c r="U256" s="121" t="str">
        <f>IF($D256="","",IFERROR(VLOOKUP($B256,Kraftvärmeprod!$B$1:$BX$549,MATCH(U$2,Kraftvärmeprod!$B$1:$VX$1,0),FALSE)/1,0)-IFERROR(VLOOKUP($B256,'Slutlig allokering kvv'!$B$2:$BX$549,MATCH(U$2,'Slutlig allokering kvv'!$B$1:$BX$1,0),FALSE)/1,0))</f>
        <v/>
      </c>
      <c r="V256" s="121" t="str">
        <f>IF($D256="","",IFERROR(VLOOKUP($B256,Kraftvärmeprod!$B$1:$BX$549,MATCH(V$2,Kraftvärmeprod!$B$1:$VX$1,0),FALSE)/1,0)-IFERROR(VLOOKUP($B256,'Slutlig allokering kvv'!$B$2:$BX$549,MATCH(V$2,'Slutlig allokering kvv'!$B$1:$BX$1,0),FALSE)/1,0))</f>
        <v/>
      </c>
      <c r="W256" s="121" t="str">
        <f>IF($D256="","",IFERROR(VLOOKUP($B256,Kraftvärmeprod!$B$1:$BX$549,MATCH(W$2,Kraftvärmeprod!$B$1:$VX$1,0),FALSE)/1,0)-IFERROR(VLOOKUP($B256,'Slutlig allokering kvv'!$B$2:$BX$549,MATCH(W$2,'Slutlig allokering kvv'!$B$1:$BX$1,0),FALSE)/1,0))</f>
        <v/>
      </c>
      <c r="X256" s="121" t="str">
        <f>IF($D256="","",IFERROR(VLOOKUP($B256,Kraftvärmeprod!$B$1:$BX$549,MATCH(X$2,Kraftvärmeprod!$B$1:$VX$1,0),FALSE)/1,0)-IFERROR(VLOOKUP($B256,'Slutlig allokering kvv'!$B$2:$BX$549,MATCH(X$2,'Slutlig allokering kvv'!$B$1:$BX$1,0),FALSE)/1,0))</f>
        <v/>
      </c>
      <c r="Y256" s="121" t="str">
        <f>IF($D256="","",IFERROR(VLOOKUP($B256,Kraftvärmeprod!$B$1:$BX$549,MATCH(Y$2,Kraftvärmeprod!$B$1:$VX$1,0),FALSE)/1,0)-IFERROR(VLOOKUP($B256,'Slutlig allokering kvv'!$B$2:$BX$549,MATCH(Y$2,'Slutlig allokering kvv'!$B$1:$BX$1,0),FALSE)/1,0))</f>
        <v/>
      </c>
      <c r="Z256" s="121" t="str">
        <f>IF($D256="","",IFERROR(VLOOKUP($B256,Kraftvärmeprod!$B$1:$BX$549,MATCH(Z$2,Kraftvärmeprod!$B$1:$VX$1,0),FALSE)/1,0)-IFERROR(VLOOKUP($B256,'Slutlig allokering kvv'!$B$2:$BX$549,MATCH(Z$2,'Slutlig allokering kvv'!$B$1:$BX$1,0),FALSE)/1,0))</f>
        <v/>
      </c>
      <c r="AA256" s="121" t="str">
        <f>IF($D256="","",IFERROR(VLOOKUP($B256,Kraftvärmeprod!$B$1:$BX$549,MATCH(AA$2,Kraftvärmeprod!$B$1:$VX$1,0),FALSE)/1,0)-IFERROR(VLOOKUP($B256,'Slutlig allokering kvv'!$B$2:$BX$549,MATCH(AA$2,'Slutlig allokering kvv'!$B$1:$BX$1,0),FALSE)/1,0))</f>
        <v/>
      </c>
      <c r="AB256" s="121" t="str">
        <f>IF($D256="","",IFERROR(VLOOKUP($B256,Kraftvärmeprod!$B$1:$BX$549,MATCH(AB$2,Kraftvärmeprod!$B$1:$VX$1,0),FALSE)/1,0)-IFERROR(VLOOKUP($B256,'Slutlig allokering kvv'!$B$2:$BX$549,MATCH(AB$2,'Slutlig allokering kvv'!$B$1:$BX$1,0),FALSE)/1,0))</f>
        <v/>
      </c>
      <c r="AC256" s="121" t="str">
        <f>IF($D256="","",IFERROR(VLOOKUP($B256,Kraftvärmeprod!$B$1:$BX$549,MATCH(AC$2,Kraftvärmeprod!$B$1:$VX$1,0),FALSE)/1,0)-IFERROR(VLOOKUP($B256,'Slutlig allokering kvv'!$B$2:$BX$549,MATCH(AC$2,'Slutlig allokering kvv'!$B$1:$BX$1,0),FALSE)/1,0))</f>
        <v/>
      </c>
      <c r="AD256" s="121" t="str">
        <f>IF($D256="","",IFERROR(VLOOKUP($B256,Kraftvärmeprod!$B$1:$BX$549,MATCH(AD$2,Kraftvärmeprod!$B$1:$VX$1,0),FALSE)/1,0)-IFERROR(VLOOKUP($B256,'Slutlig allokering kvv'!$B$2:$BX$549,MATCH(AD$2,'Slutlig allokering kvv'!$B$1:$BX$1,0),FALSE)/1,0))</f>
        <v/>
      </c>
      <c r="AE256" s="121" t="str">
        <f>IF($D256="","",IFERROR(VLOOKUP($B256,Miljö!$B$1:$E$550,MATCH("Hjälpel kraftvärme (GWh)",Miljö!$B$1:$E$1,0),FALSE)/1,0)-IFERROR(VLOOKUP($B256,'Slutlig allokering kvv'!$B$2:$BX$549,MATCH(AE$2,'Slutlig allokering kvv'!$B$1:$BX$1,0),FALSE)/1,0))</f>
        <v/>
      </c>
      <c r="AI256" s="121">
        <f t="shared" si="12"/>
        <v>0</v>
      </c>
      <c r="AK256" s="121">
        <f>IFERROR(VLOOKUP($B256,'Slutlig allokering kvv'!$B$2:$AX$549,MATCH("Summa slutlig allokerad tillförd energi (utan hjälpel och rökgaskondensering):",'Slutlig allokering kvv'!$B$1:$AX$1,0),FALSE)/1,"")</f>
        <v>0</v>
      </c>
      <c r="AM256" s="172" t="str">
        <f>IFERROR(1-VLOOKUP($B256,'Slutlig allokering kvv'!$B$2:$AX$549,MATCH("Andel av bränsle i kvv som allokerats till värme, exklusive rökgaskondensering och hjälpel",'Slutlig allokering kvv'!$B$1:$AX$1,0),FALSE),"")</f>
        <v/>
      </c>
      <c r="AO256" s="172" t="str">
        <f t="shared" si="13"/>
        <v/>
      </c>
      <c r="AP256" s="173" t="str">
        <f t="shared" si="14"/>
        <v/>
      </c>
      <c r="AR256" s="172" t="str">
        <f t="shared" si="15"/>
        <v/>
      </c>
    </row>
    <row r="257" spans="1:44" x14ac:dyDescent="0.25">
      <c r="A257" s="171" t="str">
        <f>'Miljövärden för publ företag'!B259</f>
        <v>Söderhamn Nära AB</v>
      </c>
      <c r="B257" s="171" t="str">
        <f>'Miljövärden för publ företag'!C259</f>
        <v>Sandarne</v>
      </c>
      <c r="C257" s="121" t="str">
        <f>IFERROR(VLOOKUP($B257,Kraftvärmeprod!$B$1:$AH$478,MATCH(C$2,Kraftvärmeprod!$B$1:$AG$1,0),FALSE)/1,"")</f>
        <v/>
      </c>
      <c r="D257" s="121" t="str">
        <f>IFERROR(VLOOKUP($B257,Kraftvärmeprod!$B$1:$AH$478,MATCH(D$2,Kraftvärmeprod!$B$1:$AG$1,0),FALSE)/1,"")</f>
        <v/>
      </c>
      <c r="F257" s="121" t="str">
        <f>IF($D257="","",IFERROR(VLOOKUP($B257,Kraftvärmeprod!$B$1:$BX$549,MATCH(F$2,Kraftvärmeprod!$B$1:$VX$1,0),FALSE)/1,0)-IFERROR(VLOOKUP($B257,'Slutlig allokering kvv'!$B$2:$BX$549,MATCH(F$2,'Slutlig allokering kvv'!$B$1:$BX$1,0),FALSE)/1,0))</f>
        <v/>
      </c>
      <c r="G257" s="121" t="str">
        <f>IF($D257="","",IFERROR(VLOOKUP($B257,Kraftvärmeprod!$B$1:$BX$549,MATCH(G$2,Kraftvärmeprod!$B$1:$VX$1,0),FALSE)/1,0)-IFERROR(VLOOKUP($B257,'Slutlig allokering kvv'!$B$2:$BX$549,MATCH(G$2,'Slutlig allokering kvv'!$B$1:$BX$1,0),FALSE)/1,0))</f>
        <v/>
      </c>
      <c r="H257" s="121" t="str">
        <f>IF($D257="","",IFERROR(VLOOKUP($B257,Kraftvärmeprod!$B$1:$BX$549,MATCH(H$2,Kraftvärmeprod!$B$1:$VX$1,0),FALSE)/1,0)-IFERROR(VLOOKUP($B257,'Slutlig allokering kvv'!$B$2:$BX$549,MATCH(H$2,'Slutlig allokering kvv'!$B$1:$BX$1,0),FALSE)/1,0))</f>
        <v/>
      </c>
      <c r="I257" s="121" t="str">
        <f>IF($D257="","",IFERROR(VLOOKUP($B257,Kraftvärmeprod!$B$1:$BX$549,MATCH(I$2,Kraftvärmeprod!$B$1:$VX$1,0),FALSE)/1,0)-IFERROR(VLOOKUP($B257,'Slutlig allokering kvv'!$B$2:$BX$549,MATCH(I$2,'Slutlig allokering kvv'!$B$1:$BX$1,0),FALSE)/1,0))</f>
        <v/>
      </c>
      <c r="J257" s="121" t="str">
        <f>IF($D257="","",IFERROR(VLOOKUP($B257,Kraftvärmeprod!$B$1:$BX$549,MATCH(J$2,Kraftvärmeprod!$B$1:$VX$1,0),FALSE)/1,0)-IFERROR(VLOOKUP($B257,'Slutlig allokering kvv'!$B$2:$BX$549,MATCH(J$2,'Slutlig allokering kvv'!$B$1:$BX$1,0),FALSE)/1,0))</f>
        <v/>
      </c>
      <c r="K257" s="121" t="str">
        <f>IF($D257="","",IFERROR(VLOOKUP($B257,Kraftvärmeprod!$B$1:$BX$549,MATCH(K$2,Kraftvärmeprod!$B$1:$VX$1,0),FALSE)/1,0)-IFERROR(VLOOKUP($B257,'Slutlig allokering kvv'!$B$2:$BX$549,MATCH(K$2,'Slutlig allokering kvv'!$B$1:$BX$1,0),FALSE)/1,0))</f>
        <v/>
      </c>
      <c r="L257" s="121" t="str">
        <f>IF($D257="","",IFERROR(VLOOKUP($B257,Kraftvärmeprod!$B$1:$BX$549,MATCH(L$2,Kraftvärmeprod!$B$1:$VX$1,0),FALSE)/1,0)-IFERROR(VLOOKUP($B257,'Slutlig allokering kvv'!$B$2:$BX$549,MATCH(L$2,'Slutlig allokering kvv'!$B$1:$BX$1,0),FALSE)/1,0))</f>
        <v/>
      </c>
      <c r="M257" s="121" t="str">
        <f>IF($D257="","",IFERROR(VLOOKUP($B257,Kraftvärmeprod!$B$1:$BX$549,MATCH(M$2,Kraftvärmeprod!$B$1:$VX$1,0),FALSE)/1,0)-IFERROR(VLOOKUP($B257,'Slutlig allokering kvv'!$B$2:$BX$549,MATCH(M$2,'Slutlig allokering kvv'!$B$1:$BX$1,0),FALSE)/1,0))</f>
        <v/>
      </c>
      <c r="N257" s="121" t="str">
        <f>IF($D257="","",IFERROR(VLOOKUP($B257,Kraftvärmeprod!$B$1:$BX$549,MATCH(N$2,Kraftvärmeprod!$B$1:$VX$1,0),FALSE)/1,0)-IFERROR(VLOOKUP($B257,'Slutlig allokering kvv'!$B$2:$BX$549,MATCH(N$2,'Slutlig allokering kvv'!$B$1:$BX$1,0),FALSE)/1,0))</f>
        <v/>
      </c>
      <c r="O257" s="121" t="str">
        <f>IF($D257="","",IFERROR(VLOOKUP($B257,Kraftvärmeprod!$B$1:$BX$549,MATCH(O$2,Kraftvärmeprod!$B$1:$VX$1,0),FALSE)/1,0)-IFERROR(VLOOKUP($B257,'Slutlig allokering kvv'!$B$2:$BX$549,MATCH(O$2,'Slutlig allokering kvv'!$B$1:$BX$1,0),FALSE)/1,0))</f>
        <v/>
      </c>
      <c r="P257" s="121" t="str">
        <f>IF($D257="","",IFERROR(VLOOKUP($B257,Kraftvärmeprod!$B$1:$BX$549,MATCH(P$2,Kraftvärmeprod!$B$1:$VX$1,0),FALSE)/1,0)-IFERROR(VLOOKUP($B257,'Slutlig allokering kvv'!$B$2:$BX$549,MATCH(P$2,'Slutlig allokering kvv'!$B$1:$BX$1,0),FALSE)/1,0))</f>
        <v/>
      </c>
      <c r="Q257" s="121" t="str">
        <f>IF($D257="","",IFERROR(VLOOKUP($B257,Kraftvärmeprod!$B$1:$BX$549,MATCH(Q$2,Kraftvärmeprod!$B$1:$VX$1,0),FALSE)/1,0)-IFERROR(VLOOKUP($B257,'Slutlig allokering kvv'!$B$2:$BX$549,MATCH(Q$2,'Slutlig allokering kvv'!$B$1:$BX$1,0),FALSE)/1,0))</f>
        <v/>
      </c>
      <c r="R257" s="121" t="str">
        <f>IF($D257="","",IFERROR(VLOOKUP($B257,Kraftvärmeprod!$B$1:$BX$549,MATCH(R$2,Kraftvärmeprod!$B$1:$VX$1,0),FALSE)/1,0)-IFERROR(VLOOKUP($B257,'Slutlig allokering kvv'!$B$2:$BX$549,MATCH(R$2,'Slutlig allokering kvv'!$B$1:$BX$1,0),FALSE)/1,0))</f>
        <v/>
      </c>
      <c r="S257" s="121" t="str">
        <f>IF($D257="","",IFERROR(VLOOKUP($B257,Kraftvärmeprod!$B$1:$BX$549,MATCH(S$2,Kraftvärmeprod!$B$1:$VX$1,0),FALSE)/1,0)-IFERROR(VLOOKUP($B257,'Slutlig allokering kvv'!$B$2:$BX$549,MATCH(S$2,'Slutlig allokering kvv'!$B$1:$BX$1,0),FALSE)/1,0))</f>
        <v/>
      </c>
      <c r="T257" s="121" t="str">
        <f>IF($D257="","",IFERROR(VLOOKUP($B257,Kraftvärmeprod!$B$1:$BX$549,MATCH(T$2,Kraftvärmeprod!$B$1:$VX$1,0),FALSE)/1,0)-IFERROR(VLOOKUP($B257,'Slutlig allokering kvv'!$B$2:$BX$549,MATCH(T$2,'Slutlig allokering kvv'!$B$1:$BX$1,0),FALSE)/1,0))</f>
        <v/>
      </c>
      <c r="U257" s="121" t="str">
        <f>IF($D257="","",IFERROR(VLOOKUP($B257,Kraftvärmeprod!$B$1:$BX$549,MATCH(U$2,Kraftvärmeprod!$B$1:$VX$1,0),FALSE)/1,0)-IFERROR(VLOOKUP($B257,'Slutlig allokering kvv'!$B$2:$BX$549,MATCH(U$2,'Slutlig allokering kvv'!$B$1:$BX$1,0),FALSE)/1,0))</f>
        <v/>
      </c>
      <c r="V257" s="121" t="str">
        <f>IF($D257="","",IFERROR(VLOOKUP($B257,Kraftvärmeprod!$B$1:$BX$549,MATCH(V$2,Kraftvärmeprod!$B$1:$VX$1,0),FALSE)/1,0)-IFERROR(VLOOKUP($B257,'Slutlig allokering kvv'!$B$2:$BX$549,MATCH(V$2,'Slutlig allokering kvv'!$B$1:$BX$1,0),FALSE)/1,0))</f>
        <v/>
      </c>
      <c r="W257" s="121" t="str">
        <f>IF($D257="","",IFERROR(VLOOKUP($B257,Kraftvärmeprod!$B$1:$BX$549,MATCH(W$2,Kraftvärmeprod!$B$1:$VX$1,0),FALSE)/1,0)-IFERROR(VLOOKUP($B257,'Slutlig allokering kvv'!$B$2:$BX$549,MATCH(W$2,'Slutlig allokering kvv'!$B$1:$BX$1,0),FALSE)/1,0))</f>
        <v/>
      </c>
      <c r="X257" s="121" t="str">
        <f>IF($D257="","",IFERROR(VLOOKUP($B257,Kraftvärmeprod!$B$1:$BX$549,MATCH(X$2,Kraftvärmeprod!$B$1:$VX$1,0),FALSE)/1,0)-IFERROR(VLOOKUP($B257,'Slutlig allokering kvv'!$B$2:$BX$549,MATCH(X$2,'Slutlig allokering kvv'!$B$1:$BX$1,0),FALSE)/1,0))</f>
        <v/>
      </c>
      <c r="Y257" s="121" t="str">
        <f>IF($D257="","",IFERROR(VLOOKUP($B257,Kraftvärmeprod!$B$1:$BX$549,MATCH(Y$2,Kraftvärmeprod!$B$1:$VX$1,0),FALSE)/1,0)-IFERROR(VLOOKUP($B257,'Slutlig allokering kvv'!$B$2:$BX$549,MATCH(Y$2,'Slutlig allokering kvv'!$B$1:$BX$1,0),FALSE)/1,0))</f>
        <v/>
      </c>
      <c r="Z257" s="121" t="str">
        <f>IF($D257="","",IFERROR(VLOOKUP($B257,Kraftvärmeprod!$B$1:$BX$549,MATCH(Z$2,Kraftvärmeprod!$B$1:$VX$1,0),FALSE)/1,0)-IFERROR(VLOOKUP($B257,'Slutlig allokering kvv'!$B$2:$BX$549,MATCH(Z$2,'Slutlig allokering kvv'!$B$1:$BX$1,0),FALSE)/1,0))</f>
        <v/>
      </c>
      <c r="AA257" s="121" t="str">
        <f>IF($D257="","",IFERROR(VLOOKUP($B257,Kraftvärmeprod!$B$1:$BX$549,MATCH(AA$2,Kraftvärmeprod!$B$1:$VX$1,0),FALSE)/1,0)-IFERROR(VLOOKUP($B257,'Slutlig allokering kvv'!$B$2:$BX$549,MATCH(AA$2,'Slutlig allokering kvv'!$B$1:$BX$1,0),FALSE)/1,0))</f>
        <v/>
      </c>
      <c r="AB257" s="121" t="str">
        <f>IF($D257="","",IFERROR(VLOOKUP($B257,Kraftvärmeprod!$B$1:$BX$549,MATCH(AB$2,Kraftvärmeprod!$B$1:$VX$1,0),FALSE)/1,0)-IFERROR(VLOOKUP($B257,'Slutlig allokering kvv'!$B$2:$BX$549,MATCH(AB$2,'Slutlig allokering kvv'!$B$1:$BX$1,0),FALSE)/1,0))</f>
        <v/>
      </c>
      <c r="AC257" s="121" t="str">
        <f>IF($D257="","",IFERROR(VLOOKUP($B257,Kraftvärmeprod!$B$1:$BX$549,MATCH(AC$2,Kraftvärmeprod!$B$1:$VX$1,0),FALSE)/1,0)-IFERROR(VLOOKUP($B257,'Slutlig allokering kvv'!$B$2:$BX$549,MATCH(AC$2,'Slutlig allokering kvv'!$B$1:$BX$1,0),FALSE)/1,0))</f>
        <v/>
      </c>
      <c r="AD257" s="121" t="str">
        <f>IF($D257="","",IFERROR(VLOOKUP($B257,Kraftvärmeprod!$B$1:$BX$549,MATCH(AD$2,Kraftvärmeprod!$B$1:$VX$1,0),FALSE)/1,0)-IFERROR(VLOOKUP($B257,'Slutlig allokering kvv'!$B$2:$BX$549,MATCH(AD$2,'Slutlig allokering kvv'!$B$1:$BX$1,0),FALSE)/1,0))</f>
        <v/>
      </c>
      <c r="AE257" s="121" t="str">
        <f>IF($D257="","",IFERROR(VLOOKUP($B257,Miljö!$B$1:$E$550,MATCH("Hjälpel kraftvärme (GWh)",Miljö!$B$1:$E$1,0),FALSE)/1,0)-IFERROR(VLOOKUP($B257,'Slutlig allokering kvv'!$B$2:$BX$549,MATCH(AE$2,'Slutlig allokering kvv'!$B$1:$BX$1,0),FALSE)/1,0))</f>
        <v/>
      </c>
      <c r="AI257" s="121">
        <f t="shared" si="12"/>
        <v>0</v>
      </c>
      <c r="AK257" s="121">
        <f>IFERROR(VLOOKUP($B257,'Slutlig allokering kvv'!$B$2:$AX$549,MATCH("Summa slutlig allokerad tillförd energi (utan hjälpel och rökgaskondensering):",'Slutlig allokering kvv'!$B$1:$AX$1,0),FALSE)/1,"")</f>
        <v>0</v>
      </c>
      <c r="AM257" s="172" t="str">
        <f>IFERROR(1-VLOOKUP($B257,'Slutlig allokering kvv'!$B$2:$AX$549,MATCH("Andel av bränsle i kvv som allokerats till värme, exklusive rökgaskondensering och hjälpel",'Slutlig allokering kvv'!$B$1:$AX$1,0),FALSE),"")</f>
        <v/>
      </c>
      <c r="AO257" s="172" t="str">
        <f t="shared" si="13"/>
        <v/>
      </c>
      <c r="AP257" s="173" t="str">
        <f t="shared" si="14"/>
        <v/>
      </c>
      <c r="AR257" s="172" t="str">
        <f t="shared" si="15"/>
        <v/>
      </c>
    </row>
    <row r="258" spans="1:44" x14ac:dyDescent="0.25">
      <c r="A258" s="171" t="str">
        <f>'Miljövärden för publ företag'!B260</f>
        <v>Söderhamn Nära AB</v>
      </c>
      <c r="B258" s="171" t="str">
        <f>'Miljövärden för publ företag'!C260</f>
        <v>Söderhamn</v>
      </c>
      <c r="C258" s="121">
        <f>IFERROR(VLOOKUP($B258,Kraftvärmeprod!$B$1:$AH$478,MATCH(C$2,Kraftvärmeprod!$B$1:$AG$1,0),FALSE)/1,"")</f>
        <v>100.76600000000001</v>
      </c>
      <c r="D258" s="121">
        <f>IFERROR(VLOOKUP($B258,Kraftvärmeprod!$B$1:$AH$478,MATCH(D$2,Kraftvärmeprod!$B$1:$AG$1,0),FALSE)/1,"")</f>
        <v>36.1</v>
      </c>
      <c r="F258" s="121">
        <f>IF($D258="","",IFERROR(VLOOKUP($B258,Kraftvärmeprod!$B$1:$BX$549,MATCH(F$2,Kraftvärmeprod!$B$1:$VX$1,0),FALSE)/1,0)-IFERROR(VLOOKUP($B258,'Slutlig allokering kvv'!$B$2:$BX$549,MATCH(F$2,'Slutlig allokering kvv'!$B$1:$BX$1,0),FALSE)/1,0))</f>
        <v>0</v>
      </c>
      <c r="G258" s="121">
        <f>IF($D258="","",IFERROR(VLOOKUP($B258,Kraftvärmeprod!$B$1:$BX$549,MATCH(G$2,Kraftvärmeprod!$B$1:$VX$1,0),FALSE)/1,0)-IFERROR(VLOOKUP($B258,'Slutlig allokering kvv'!$B$2:$BX$549,MATCH(G$2,'Slutlig allokering kvv'!$B$1:$BX$1,0),FALSE)/1,0))</f>
        <v>9.4539000000000012E-2</v>
      </c>
      <c r="H258" s="121">
        <f>IF($D258="","",IFERROR(VLOOKUP($B258,Kraftvärmeprod!$B$1:$BX$549,MATCH(H$2,Kraftvärmeprod!$B$1:$VX$1,0),FALSE)/1,0)-IFERROR(VLOOKUP($B258,'Slutlig allokering kvv'!$B$2:$BX$549,MATCH(H$2,'Slutlig allokering kvv'!$B$1:$BX$1,0),FALSE)/1,0))</f>
        <v>0</v>
      </c>
      <c r="I258" s="121">
        <f>IF($D258="","",IFERROR(VLOOKUP($B258,Kraftvärmeprod!$B$1:$BX$549,MATCH(I$2,Kraftvärmeprod!$B$1:$VX$1,0),FALSE)/1,0)-IFERROR(VLOOKUP($B258,'Slutlig allokering kvv'!$B$2:$BX$549,MATCH(I$2,'Slutlig allokering kvv'!$B$1:$BX$1,0),FALSE)/1,0))</f>
        <v>0</v>
      </c>
      <c r="J258" s="121">
        <f>IF($D258="","",IFERROR(VLOOKUP($B258,Kraftvärmeprod!$B$1:$BX$549,MATCH(J$2,Kraftvärmeprod!$B$1:$VX$1,0),FALSE)/1,0)-IFERROR(VLOOKUP($B258,'Slutlig allokering kvv'!$B$2:$BX$549,MATCH(J$2,'Slutlig allokering kvv'!$B$1:$BX$1,0),FALSE)/1,0))</f>
        <v>0</v>
      </c>
      <c r="K258" s="121">
        <f>IF($D258="","",IFERROR(VLOOKUP($B258,Kraftvärmeprod!$B$1:$BX$549,MATCH(K$2,Kraftvärmeprod!$B$1:$VX$1,0),FALSE)/1,0)-IFERROR(VLOOKUP($B258,'Slutlig allokering kvv'!$B$2:$BX$549,MATCH(K$2,'Slutlig allokering kvv'!$B$1:$BX$1,0),FALSE)/1,0))</f>
        <v>0</v>
      </c>
      <c r="L258" s="121">
        <f>IF($D258="","",IFERROR(VLOOKUP($B258,Kraftvärmeprod!$B$1:$BX$549,MATCH(L$2,Kraftvärmeprod!$B$1:$VX$1,0),FALSE)/1,0)-IFERROR(VLOOKUP($B258,'Slutlig allokering kvv'!$B$2:$BX$549,MATCH(L$2,'Slutlig allokering kvv'!$B$1:$BX$1,0),FALSE)/1,0))</f>
        <v>32.7911</v>
      </c>
      <c r="M258" s="121">
        <f>IF($D258="","",IFERROR(VLOOKUP($B258,Kraftvärmeprod!$B$1:$BX$549,MATCH(M$2,Kraftvärmeprod!$B$1:$VX$1,0),FALSE)/1,0)-IFERROR(VLOOKUP($B258,'Slutlig allokering kvv'!$B$2:$BX$549,MATCH(M$2,'Slutlig allokering kvv'!$B$1:$BX$1,0),FALSE)/1,0))</f>
        <v>23.232799999999997</v>
      </c>
      <c r="N258" s="121">
        <f>IF($D258="","",IFERROR(VLOOKUP($B258,Kraftvärmeprod!$B$1:$BX$549,MATCH(N$2,Kraftvärmeprod!$B$1:$VX$1,0),FALSE)/1,0)-IFERROR(VLOOKUP($B258,'Slutlig allokering kvv'!$B$2:$BX$549,MATCH(N$2,'Slutlig allokering kvv'!$B$1:$BX$1,0),FALSE)/1,0))</f>
        <v>13.061299999999999</v>
      </c>
      <c r="O258" s="121">
        <f>IF($D258="","",IFERROR(VLOOKUP($B258,Kraftvärmeprod!$B$1:$BX$549,MATCH(O$2,Kraftvärmeprod!$B$1:$VX$1,0),FALSE)/1,0)-IFERROR(VLOOKUP($B258,'Slutlig allokering kvv'!$B$2:$BX$549,MATCH(O$2,'Slutlig allokering kvv'!$B$1:$BX$1,0),FALSE)/1,0))</f>
        <v>0</v>
      </c>
      <c r="P258" s="121">
        <f>IF($D258="","",IFERROR(VLOOKUP($B258,Kraftvärmeprod!$B$1:$BX$549,MATCH(P$2,Kraftvärmeprod!$B$1:$VX$1,0),FALSE)/1,0)-IFERROR(VLOOKUP($B258,'Slutlig allokering kvv'!$B$2:$BX$549,MATCH(P$2,'Slutlig allokering kvv'!$B$1:$BX$1,0),FALSE)/1,0))</f>
        <v>0</v>
      </c>
      <c r="Q258" s="121">
        <f>IF($D258="","",IFERROR(VLOOKUP($B258,Kraftvärmeprod!$B$1:$BX$549,MATCH(Q$2,Kraftvärmeprod!$B$1:$VX$1,0),FALSE)/1,0)-IFERROR(VLOOKUP($B258,'Slutlig allokering kvv'!$B$2:$BX$549,MATCH(Q$2,'Slutlig allokering kvv'!$B$1:$BX$1,0),FALSE)/1,0))</f>
        <v>5.4536699999999998</v>
      </c>
      <c r="R258" s="121">
        <f>IF($D258="","",IFERROR(VLOOKUP($B258,Kraftvärmeprod!$B$1:$BX$549,MATCH(R$2,Kraftvärmeprod!$B$1:$VX$1,0),FALSE)/1,0)-IFERROR(VLOOKUP($B258,'Slutlig allokering kvv'!$B$2:$BX$549,MATCH(R$2,'Slutlig allokering kvv'!$B$1:$BX$1,0),FALSE)/1,0))</f>
        <v>0</v>
      </c>
      <c r="S258" s="121">
        <f>IF($D258="","",IFERROR(VLOOKUP($B258,Kraftvärmeprod!$B$1:$BX$549,MATCH(S$2,Kraftvärmeprod!$B$1:$VX$1,0),FALSE)/1,0)-IFERROR(VLOOKUP($B258,'Slutlig allokering kvv'!$B$2:$BX$549,MATCH(S$2,'Slutlig allokering kvv'!$B$1:$BX$1,0),FALSE)/1,0))</f>
        <v>0</v>
      </c>
      <c r="T258" s="121">
        <f>IF($D258="","",IFERROR(VLOOKUP($B258,Kraftvärmeprod!$B$1:$BX$549,MATCH(T$2,Kraftvärmeprod!$B$1:$VX$1,0),FALSE)/1,0)-IFERROR(VLOOKUP($B258,'Slutlig allokering kvv'!$B$2:$BX$549,MATCH(T$2,'Slutlig allokering kvv'!$B$1:$BX$1,0),FALSE)/1,0))</f>
        <v>0</v>
      </c>
      <c r="U258" s="121">
        <f>IF($D258="","",IFERROR(VLOOKUP($B258,Kraftvärmeprod!$B$1:$BX$549,MATCH(U$2,Kraftvärmeprod!$B$1:$VX$1,0),FALSE)/1,0)-IFERROR(VLOOKUP($B258,'Slutlig allokering kvv'!$B$2:$BX$549,MATCH(U$2,'Slutlig allokering kvv'!$B$1:$BX$1,0),FALSE)/1,0))</f>
        <v>0</v>
      </c>
      <c r="V258" s="121">
        <f>IF($D258="","",IFERROR(VLOOKUP($B258,Kraftvärmeprod!$B$1:$BX$549,MATCH(V$2,Kraftvärmeprod!$B$1:$VX$1,0),FALSE)/1,0)-IFERROR(VLOOKUP($B258,'Slutlig allokering kvv'!$B$2:$BX$549,MATCH(V$2,'Slutlig allokering kvv'!$B$1:$BX$1,0),FALSE)/1,0))</f>
        <v>9.9565999999999981</v>
      </c>
      <c r="W258" s="121">
        <f>IF($D258="","",IFERROR(VLOOKUP($B258,Kraftvärmeprod!$B$1:$BX$549,MATCH(W$2,Kraftvärmeprod!$B$1:$VX$1,0),FALSE)/1,0)-IFERROR(VLOOKUP($B258,'Slutlig allokering kvv'!$B$2:$BX$549,MATCH(W$2,'Slutlig allokering kvv'!$B$1:$BX$1,0),FALSE)/1,0))</f>
        <v>0</v>
      </c>
      <c r="X258" s="121">
        <f>IF($D258="","",IFERROR(VLOOKUP($B258,Kraftvärmeprod!$B$1:$BX$549,MATCH(X$2,Kraftvärmeprod!$B$1:$VX$1,0),FALSE)/1,0)-IFERROR(VLOOKUP($B258,'Slutlig allokering kvv'!$B$2:$BX$549,MATCH(X$2,'Slutlig allokering kvv'!$B$1:$BX$1,0),FALSE)/1,0))</f>
        <v>0</v>
      </c>
      <c r="Y258" s="121">
        <f>IF($D258="","",IFERROR(VLOOKUP($B258,Kraftvärmeprod!$B$1:$BX$549,MATCH(Y$2,Kraftvärmeprod!$B$1:$VX$1,0),FALSE)/1,0)-IFERROR(VLOOKUP($B258,'Slutlig allokering kvv'!$B$2:$BX$549,MATCH(Y$2,'Slutlig allokering kvv'!$B$1:$BX$1,0),FALSE)/1,0))</f>
        <v>0</v>
      </c>
      <c r="Z258" s="121">
        <f>IF($D258="","",IFERROR(VLOOKUP($B258,Kraftvärmeprod!$B$1:$BX$549,MATCH(Z$2,Kraftvärmeprod!$B$1:$VX$1,0),FALSE)/1,0)-IFERROR(VLOOKUP($B258,'Slutlig allokering kvv'!$B$2:$BX$549,MATCH(Z$2,'Slutlig allokering kvv'!$B$1:$BX$1,0),FALSE)/1,0))</f>
        <v>0</v>
      </c>
      <c r="AA258" s="121">
        <f>IF($D258="","",IFERROR(VLOOKUP($B258,Kraftvärmeprod!$B$1:$BX$549,MATCH(AA$2,Kraftvärmeprod!$B$1:$VX$1,0),FALSE)/1,0)-IFERROR(VLOOKUP($B258,'Slutlig allokering kvv'!$B$2:$BX$549,MATCH(AA$2,'Slutlig allokering kvv'!$B$1:$BX$1,0),FALSE)/1,0))</f>
        <v>0</v>
      </c>
      <c r="AB258" s="121">
        <f>IF($D258="","",IFERROR(VLOOKUP($B258,Kraftvärmeprod!$B$1:$BX$549,MATCH(AB$2,Kraftvärmeprod!$B$1:$VX$1,0),FALSE)/1,0)-IFERROR(VLOOKUP($B258,'Slutlig allokering kvv'!$B$2:$BX$549,MATCH(AB$2,'Slutlig allokering kvv'!$B$1:$BX$1,0),FALSE)/1,0))</f>
        <v>0</v>
      </c>
      <c r="AC258" s="121">
        <f>IF($D258="","",IFERROR(VLOOKUP($B258,Kraftvärmeprod!$B$1:$BX$549,MATCH(AC$2,Kraftvärmeprod!$B$1:$VX$1,0),FALSE)/1,0)-IFERROR(VLOOKUP($B258,'Slutlig allokering kvv'!$B$2:$BX$549,MATCH(AC$2,'Slutlig allokering kvv'!$B$1:$BX$1,0),FALSE)/1,0))</f>
        <v>0</v>
      </c>
      <c r="AD258" s="121">
        <f>IF($D258="","",IFERROR(VLOOKUP($B258,Kraftvärmeprod!$B$1:$BX$549,MATCH(AD$2,Kraftvärmeprod!$B$1:$VX$1,0),FALSE)/1,0)-IFERROR(VLOOKUP($B258,'Slutlig allokering kvv'!$B$2:$BX$549,MATCH(AD$2,'Slutlig allokering kvv'!$B$1:$BX$1,0),FALSE)/1,0))</f>
        <v>0</v>
      </c>
      <c r="AE258" s="121">
        <f>IF($D258="","",IFERROR(VLOOKUP($B258,Miljö!$B$1:$E$550,MATCH("Hjälpel kraftvärme (GWh)",Miljö!$B$1:$E$1,0),FALSE)/1,0)-IFERROR(VLOOKUP($B258,'Slutlig allokering kvv'!$B$2:$BX$549,MATCH(AE$2,'Slutlig allokering kvv'!$B$1:$BX$1,0),FALSE)/1,0))</f>
        <v>2.4108999999999998</v>
      </c>
      <c r="AI258" s="121">
        <f t="shared" si="12"/>
        <v>84.590008999999995</v>
      </c>
      <c r="AK258" s="121">
        <f>IFERROR(VLOOKUP($B258,'Slutlig allokering kvv'!$B$2:$AX$549,MATCH("Summa slutlig allokerad tillförd energi (utan hjälpel och rökgaskondensering):",'Slutlig allokering kvv'!$B$1:$AX$1,0),FALSE)/1,"")</f>
        <v>90.631990999999999</v>
      </c>
      <c r="AM258" s="172">
        <f>IFERROR(1-VLOOKUP($B258,'Slutlig allokering kvv'!$B$2:$AX$549,MATCH("Andel av bränsle i kvv som allokerats till värme, exklusive rökgaskondensering och hjälpel",'Slutlig allokering kvv'!$B$1:$AX$1,0),FALSE),"")</f>
        <v>0.48275906564244209</v>
      </c>
      <c r="AO258" s="172">
        <f t="shared" si="13"/>
        <v>0.4827590656424422</v>
      </c>
      <c r="AP258" s="173">
        <f t="shared" si="14"/>
        <v>-1.1102230246251565E-16</v>
      </c>
      <c r="AR258" s="172">
        <f t="shared" si="15"/>
        <v>0.41493819334692245</v>
      </c>
    </row>
    <row r="259" spans="1:44" x14ac:dyDescent="0.25">
      <c r="A259" s="171" t="str">
        <f>'Miljövärden för publ företag'!B261</f>
        <v>Södertörns Fjärrvärme AB</v>
      </c>
      <c r="B259" s="171" t="str">
        <f>'Miljövärden för publ företag'!C261</f>
        <v>Södertörn Fjärrvärme Totalt</v>
      </c>
      <c r="C259" s="121">
        <f>IFERROR(VLOOKUP($B259,Kraftvärmeprod!$B$1:$AH$478,MATCH(C$2,Kraftvärmeprod!$B$1:$AG$1,0),FALSE)/1,"")</f>
        <v>532.70899999999995</v>
      </c>
      <c r="D259" s="121">
        <f>IFERROR(VLOOKUP($B259,Kraftvärmeprod!$B$1:$AH$478,MATCH(D$2,Kraftvärmeprod!$B$1:$AG$1,0),FALSE)/1,"")</f>
        <v>263.33600000000001</v>
      </c>
      <c r="F259" s="121">
        <f>IF($D259="","",IFERROR(VLOOKUP($B259,Kraftvärmeprod!$B$1:$BX$549,MATCH(F$2,Kraftvärmeprod!$B$1:$VX$1,0),FALSE)/1,0)-IFERROR(VLOOKUP($B259,'Slutlig allokering kvv'!$B$2:$BX$549,MATCH(F$2,'Slutlig allokering kvv'!$B$1:$BX$1,0),FALSE)/1,0))</f>
        <v>0</v>
      </c>
      <c r="G259" s="121">
        <f>IF($D259="","",IFERROR(VLOOKUP($B259,Kraftvärmeprod!$B$1:$BX$549,MATCH(G$2,Kraftvärmeprod!$B$1:$VX$1,0),FALSE)/1,0)-IFERROR(VLOOKUP($B259,'Slutlig allokering kvv'!$B$2:$BX$549,MATCH(G$2,'Slutlig allokering kvv'!$B$1:$BX$1,0),FALSE)/1,0))</f>
        <v>1.1004500000000002</v>
      </c>
      <c r="H259" s="121">
        <f>IF($D259="","",IFERROR(VLOOKUP($B259,Kraftvärmeprod!$B$1:$BX$549,MATCH(H$2,Kraftvärmeprod!$B$1:$VX$1,0),FALSE)/1,0)-IFERROR(VLOOKUP($B259,'Slutlig allokering kvv'!$B$2:$BX$549,MATCH(H$2,'Slutlig allokering kvv'!$B$1:$BX$1,0),FALSE)/1,0))</f>
        <v>0</v>
      </c>
      <c r="I259" s="121">
        <f>IF($D259="","",IFERROR(VLOOKUP($B259,Kraftvärmeprod!$B$1:$BX$549,MATCH(I$2,Kraftvärmeprod!$B$1:$VX$1,0),FALSE)/1,0)-IFERROR(VLOOKUP($B259,'Slutlig allokering kvv'!$B$2:$BX$549,MATCH(I$2,'Slutlig allokering kvv'!$B$1:$BX$1,0),FALSE)/1,0))</f>
        <v>0</v>
      </c>
      <c r="J259" s="121">
        <f>IF($D259="","",IFERROR(VLOOKUP($B259,Kraftvärmeprod!$B$1:$BX$549,MATCH(J$2,Kraftvärmeprod!$B$1:$VX$1,0),FALSE)/1,0)-IFERROR(VLOOKUP($B259,'Slutlig allokering kvv'!$B$2:$BX$549,MATCH(J$2,'Slutlig allokering kvv'!$B$1:$BX$1,0),FALSE)/1,0))</f>
        <v>0</v>
      </c>
      <c r="K259" s="121">
        <f>IF($D259="","",IFERROR(VLOOKUP($B259,Kraftvärmeprod!$B$1:$BX$549,MATCH(K$2,Kraftvärmeprod!$B$1:$VX$1,0),FALSE)/1,0)-IFERROR(VLOOKUP($B259,'Slutlig allokering kvv'!$B$2:$BX$549,MATCH(K$2,'Slutlig allokering kvv'!$B$1:$BX$1,0),FALSE)/1,0))</f>
        <v>0</v>
      </c>
      <c r="L259" s="121">
        <f>IF($D259="","",IFERROR(VLOOKUP($B259,Kraftvärmeprod!$B$1:$BX$549,MATCH(L$2,Kraftvärmeprod!$B$1:$VX$1,0),FALSE)/1,0)-IFERROR(VLOOKUP($B259,'Slutlig allokering kvv'!$B$2:$BX$549,MATCH(L$2,'Slutlig allokering kvv'!$B$1:$BX$1,0),FALSE)/1,0))</f>
        <v>45.511900000000004</v>
      </c>
      <c r="M259" s="121">
        <f>IF($D259="","",IFERROR(VLOOKUP($B259,Kraftvärmeprod!$B$1:$BX$549,MATCH(M$2,Kraftvärmeprod!$B$1:$VX$1,0),FALSE)/1,0)-IFERROR(VLOOKUP($B259,'Slutlig allokering kvv'!$B$2:$BX$549,MATCH(M$2,'Slutlig allokering kvv'!$B$1:$BX$1,0),FALSE)/1,0))</f>
        <v>34.422200000000004</v>
      </c>
      <c r="N259" s="121">
        <f>IF($D259="","",IFERROR(VLOOKUP($B259,Kraftvärmeprod!$B$1:$BX$549,MATCH(N$2,Kraftvärmeprod!$B$1:$VX$1,0),FALSE)/1,0)-IFERROR(VLOOKUP($B259,'Slutlig allokering kvv'!$B$2:$BX$549,MATCH(N$2,'Slutlig allokering kvv'!$B$1:$BX$1,0),FALSE)/1,0))</f>
        <v>18.448499999999999</v>
      </c>
      <c r="O259" s="121">
        <f>IF($D259="","",IFERROR(VLOOKUP($B259,Kraftvärmeprod!$B$1:$BX$549,MATCH(O$2,Kraftvärmeprod!$B$1:$VX$1,0),FALSE)/1,0)-IFERROR(VLOOKUP($B259,'Slutlig allokering kvv'!$B$2:$BX$549,MATCH(O$2,'Slutlig allokering kvv'!$B$1:$BX$1,0),FALSE)/1,0))</f>
        <v>58.042899999999996</v>
      </c>
      <c r="P259" s="121">
        <f>IF($D259="","",IFERROR(VLOOKUP($B259,Kraftvärmeprod!$B$1:$BX$549,MATCH(P$2,Kraftvärmeprod!$B$1:$VX$1,0),FALSE)/1,0)-IFERROR(VLOOKUP($B259,'Slutlig allokering kvv'!$B$2:$BX$549,MATCH(P$2,'Slutlig allokering kvv'!$B$1:$BX$1,0),FALSE)/1,0))</f>
        <v>0.10354350000000001</v>
      </c>
      <c r="Q259" s="121">
        <f>IF($D259="","",IFERROR(VLOOKUP($B259,Kraftvärmeprod!$B$1:$BX$549,MATCH(Q$2,Kraftvärmeprod!$B$1:$VX$1,0),FALSE)/1,0)-IFERROR(VLOOKUP($B259,'Slutlig allokering kvv'!$B$2:$BX$549,MATCH(Q$2,'Slutlig allokering kvv'!$B$1:$BX$1,0),FALSE)/1,0))</f>
        <v>0</v>
      </c>
      <c r="R259" s="121">
        <f>IF($D259="","",IFERROR(VLOOKUP($B259,Kraftvärmeprod!$B$1:$BX$549,MATCH(R$2,Kraftvärmeprod!$B$1:$VX$1,0),FALSE)/1,0)-IFERROR(VLOOKUP($B259,'Slutlig allokering kvv'!$B$2:$BX$549,MATCH(R$2,'Slutlig allokering kvv'!$B$1:$BX$1,0),FALSE)/1,0))</f>
        <v>0</v>
      </c>
      <c r="S259" s="121">
        <f>IF($D259="","",IFERROR(VLOOKUP($B259,Kraftvärmeprod!$B$1:$BX$549,MATCH(S$2,Kraftvärmeprod!$B$1:$VX$1,0),FALSE)/1,0)-IFERROR(VLOOKUP($B259,'Slutlig allokering kvv'!$B$2:$BX$549,MATCH(S$2,'Slutlig allokering kvv'!$B$1:$BX$1,0),FALSE)/1,0))</f>
        <v>0</v>
      </c>
      <c r="T259" s="121">
        <f>IF($D259="","",IFERROR(VLOOKUP($B259,Kraftvärmeprod!$B$1:$BX$549,MATCH(T$2,Kraftvärmeprod!$B$1:$VX$1,0),FALSE)/1,0)-IFERROR(VLOOKUP($B259,'Slutlig allokering kvv'!$B$2:$BX$549,MATCH(T$2,'Slutlig allokering kvv'!$B$1:$BX$1,0),FALSE)/1,0))</f>
        <v>0</v>
      </c>
      <c r="U259" s="121">
        <f>IF($D259="","",IFERROR(VLOOKUP($B259,Kraftvärmeprod!$B$1:$BX$549,MATCH(U$2,Kraftvärmeprod!$B$1:$VX$1,0),FALSE)/1,0)-IFERROR(VLOOKUP($B259,'Slutlig allokering kvv'!$B$2:$BX$549,MATCH(U$2,'Slutlig allokering kvv'!$B$1:$BX$1,0),FALSE)/1,0))</f>
        <v>0</v>
      </c>
      <c r="V259" s="121">
        <f>IF($D259="","",IFERROR(VLOOKUP($B259,Kraftvärmeprod!$B$1:$BX$549,MATCH(V$2,Kraftvärmeprod!$B$1:$VX$1,0),FALSE)/1,0)-IFERROR(VLOOKUP($B259,'Slutlig allokering kvv'!$B$2:$BX$549,MATCH(V$2,'Slutlig allokering kvv'!$B$1:$BX$1,0),FALSE)/1,0))</f>
        <v>355.24700000000001</v>
      </c>
      <c r="W259" s="121">
        <f>IF($D259="","",IFERROR(VLOOKUP($B259,Kraftvärmeprod!$B$1:$BX$549,MATCH(W$2,Kraftvärmeprod!$B$1:$VX$1,0),FALSE)/1,0)-IFERROR(VLOOKUP($B259,'Slutlig allokering kvv'!$B$2:$BX$549,MATCH(W$2,'Slutlig allokering kvv'!$B$1:$BX$1,0),FALSE)/1,0))</f>
        <v>0</v>
      </c>
      <c r="X259" s="121">
        <f>IF($D259="","",IFERROR(VLOOKUP($B259,Kraftvärmeprod!$B$1:$BX$549,MATCH(X$2,Kraftvärmeprod!$B$1:$VX$1,0),FALSE)/1,0)-IFERROR(VLOOKUP($B259,'Slutlig allokering kvv'!$B$2:$BX$549,MATCH(X$2,'Slutlig allokering kvv'!$B$1:$BX$1,0),FALSE)/1,0))</f>
        <v>0</v>
      </c>
      <c r="Y259" s="121">
        <f>IF($D259="","",IFERROR(VLOOKUP($B259,Kraftvärmeprod!$B$1:$BX$549,MATCH(Y$2,Kraftvärmeprod!$B$1:$VX$1,0),FALSE)/1,0)-IFERROR(VLOOKUP($B259,'Slutlig allokering kvv'!$B$2:$BX$549,MATCH(Y$2,'Slutlig allokering kvv'!$B$1:$BX$1,0),FALSE)/1,0))</f>
        <v>0</v>
      </c>
      <c r="Z259" s="121">
        <f>IF($D259="","",IFERROR(VLOOKUP($B259,Kraftvärmeprod!$B$1:$BX$549,MATCH(Z$2,Kraftvärmeprod!$B$1:$VX$1,0),FALSE)/1,0)-IFERROR(VLOOKUP($B259,'Slutlig allokering kvv'!$B$2:$BX$549,MATCH(Z$2,'Slutlig allokering kvv'!$B$1:$BX$1,0),FALSE)/1,0))</f>
        <v>0</v>
      </c>
      <c r="AA259" s="121">
        <f>IF($D259="","",IFERROR(VLOOKUP($B259,Kraftvärmeprod!$B$1:$BX$549,MATCH(AA$2,Kraftvärmeprod!$B$1:$VX$1,0),FALSE)/1,0)-IFERROR(VLOOKUP($B259,'Slutlig allokering kvv'!$B$2:$BX$549,MATCH(AA$2,'Slutlig allokering kvv'!$B$1:$BX$1,0),FALSE)/1,0))</f>
        <v>1.5317090000000002E-2</v>
      </c>
      <c r="AB259" s="121">
        <f>IF($D259="","",IFERROR(VLOOKUP($B259,Kraftvärmeprod!$B$1:$BX$549,MATCH(AB$2,Kraftvärmeprod!$B$1:$VX$1,0),FALSE)/1,0)-IFERROR(VLOOKUP($B259,'Slutlig allokering kvv'!$B$2:$BX$549,MATCH(AB$2,'Slutlig allokering kvv'!$B$1:$BX$1,0),FALSE)/1,0))</f>
        <v>0</v>
      </c>
      <c r="AC259" s="121">
        <f>IF($D259="","",IFERROR(VLOOKUP($B259,Kraftvärmeprod!$B$1:$BX$549,MATCH(AC$2,Kraftvärmeprod!$B$1:$VX$1,0),FALSE)/1,0)-IFERROR(VLOOKUP($B259,'Slutlig allokering kvv'!$B$2:$BX$549,MATCH(AC$2,'Slutlig allokering kvv'!$B$1:$BX$1,0),FALSE)/1,0))</f>
        <v>0</v>
      </c>
      <c r="AD259" s="121">
        <f>IF($D259="","",IFERROR(VLOOKUP($B259,Kraftvärmeprod!$B$1:$BX$549,MATCH(AD$2,Kraftvärmeprod!$B$1:$VX$1,0),FALSE)/1,0)-IFERROR(VLOOKUP($B259,'Slutlig allokering kvv'!$B$2:$BX$549,MATCH(AD$2,'Slutlig allokering kvv'!$B$1:$BX$1,0),FALSE)/1,0))</f>
        <v>0</v>
      </c>
      <c r="AE259" s="121">
        <f>IF($D259="","",IFERROR(VLOOKUP($B259,Miljö!$B$1:$E$550,MATCH("Hjälpel kraftvärme (GWh)",Miljö!$B$1:$E$1,0),FALSE)/1,0)-IFERROR(VLOOKUP($B259,'Slutlig allokering kvv'!$B$2:$BX$549,MATCH(AE$2,'Slutlig allokering kvv'!$B$1:$BX$1,0),FALSE)/1,0))</f>
        <v>17.376200000000001</v>
      </c>
      <c r="AI259" s="121">
        <f t="shared" si="12"/>
        <v>512.89181059000009</v>
      </c>
      <c r="AK259" s="121">
        <f>IFERROR(VLOOKUP($B259,'Slutlig allokering kvv'!$B$2:$AX$549,MATCH("Summa slutlig allokerad tillförd energi (utan hjälpel och rökgaskondensering):",'Slutlig allokering kvv'!$B$1:$AX$1,0),FALSE)/1,"")</f>
        <v>398.35618940999996</v>
      </c>
      <c r="AM259" s="172">
        <f>IFERROR(1-VLOOKUP($B259,'Slutlig allokering kvv'!$B$2:$AX$549,MATCH("Andel av bränsle i kvv som allokerats till värme, exklusive rökgaskondensering och hjälpel",'Slutlig allokering kvv'!$B$1:$AX$1,0),FALSE),"")</f>
        <v>0.5628454719132443</v>
      </c>
      <c r="AO259" s="172">
        <f t="shared" si="13"/>
        <v>0.5628454719132443</v>
      </c>
      <c r="AP259" s="173">
        <f t="shared" si="14"/>
        <v>0</v>
      </c>
      <c r="AR259" s="172">
        <f t="shared" si="15"/>
        <v>0.49660925181400345</v>
      </c>
    </row>
    <row r="260" spans="1:44" x14ac:dyDescent="0.25">
      <c r="A260" s="171" t="str">
        <f>'Miljövärden för publ företag'!B262</f>
        <v>Tekniska Verken i Linköping AB</v>
      </c>
      <c r="B260" s="171" t="str">
        <f>'Miljövärden för publ företag'!C262</f>
        <v>Borensberg</v>
      </c>
      <c r="C260" s="121" t="str">
        <f>IFERROR(VLOOKUP($B260,Kraftvärmeprod!$B$1:$AH$478,MATCH(C$2,Kraftvärmeprod!$B$1:$AG$1,0),FALSE)/1,"")</f>
        <v/>
      </c>
      <c r="D260" s="121" t="str">
        <f>IFERROR(VLOOKUP($B260,Kraftvärmeprod!$B$1:$AH$478,MATCH(D$2,Kraftvärmeprod!$B$1:$AG$1,0),FALSE)/1,"")</f>
        <v/>
      </c>
      <c r="F260" s="121" t="str">
        <f>IF($D260="","",IFERROR(VLOOKUP($B260,Kraftvärmeprod!$B$1:$BX$549,MATCH(F$2,Kraftvärmeprod!$B$1:$VX$1,0),FALSE)/1,0)-IFERROR(VLOOKUP($B260,'Slutlig allokering kvv'!$B$2:$BX$549,MATCH(F$2,'Slutlig allokering kvv'!$B$1:$BX$1,0),FALSE)/1,0))</f>
        <v/>
      </c>
      <c r="G260" s="121" t="str">
        <f>IF($D260="","",IFERROR(VLOOKUP($B260,Kraftvärmeprod!$B$1:$BX$549,MATCH(G$2,Kraftvärmeprod!$B$1:$VX$1,0),FALSE)/1,0)-IFERROR(VLOOKUP($B260,'Slutlig allokering kvv'!$B$2:$BX$549,MATCH(G$2,'Slutlig allokering kvv'!$B$1:$BX$1,0),FALSE)/1,0))</f>
        <v/>
      </c>
      <c r="H260" s="121" t="str">
        <f>IF($D260="","",IFERROR(VLOOKUP($B260,Kraftvärmeprod!$B$1:$BX$549,MATCH(H$2,Kraftvärmeprod!$B$1:$VX$1,0),FALSE)/1,0)-IFERROR(VLOOKUP($B260,'Slutlig allokering kvv'!$B$2:$BX$549,MATCH(H$2,'Slutlig allokering kvv'!$B$1:$BX$1,0),FALSE)/1,0))</f>
        <v/>
      </c>
      <c r="I260" s="121" t="str">
        <f>IF($D260="","",IFERROR(VLOOKUP($B260,Kraftvärmeprod!$B$1:$BX$549,MATCH(I$2,Kraftvärmeprod!$B$1:$VX$1,0),FALSE)/1,0)-IFERROR(VLOOKUP($B260,'Slutlig allokering kvv'!$B$2:$BX$549,MATCH(I$2,'Slutlig allokering kvv'!$B$1:$BX$1,0),FALSE)/1,0))</f>
        <v/>
      </c>
      <c r="J260" s="121" t="str">
        <f>IF($D260="","",IFERROR(VLOOKUP($B260,Kraftvärmeprod!$B$1:$BX$549,MATCH(J$2,Kraftvärmeprod!$B$1:$VX$1,0),FALSE)/1,0)-IFERROR(VLOOKUP($B260,'Slutlig allokering kvv'!$B$2:$BX$549,MATCH(J$2,'Slutlig allokering kvv'!$B$1:$BX$1,0),FALSE)/1,0))</f>
        <v/>
      </c>
      <c r="K260" s="121" t="str">
        <f>IF($D260="","",IFERROR(VLOOKUP($B260,Kraftvärmeprod!$B$1:$BX$549,MATCH(K$2,Kraftvärmeprod!$B$1:$VX$1,0),FALSE)/1,0)-IFERROR(VLOOKUP($B260,'Slutlig allokering kvv'!$B$2:$BX$549,MATCH(K$2,'Slutlig allokering kvv'!$B$1:$BX$1,0),FALSE)/1,0))</f>
        <v/>
      </c>
      <c r="L260" s="121" t="str">
        <f>IF($D260="","",IFERROR(VLOOKUP($B260,Kraftvärmeprod!$B$1:$BX$549,MATCH(L$2,Kraftvärmeprod!$B$1:$VX$1,0),FALSE)/1,0)-IFERROR(VLOOKUP($B260,'Slutlig allokering kvv'!$B$2:$BX$549,MATCH(L$2,'Slutlig allokering kvv'!$B$1:$BX$1,0),FALSE)/1,0))</f>
        <v/>
      </c>
      <c r="M260" s="121" t="str">
        <f>IF($D260="","",IFERROR(VLOOKUP($B260,Kraftvärmeprod!$B$1:$BX$549,MATCH(M$2,Kraftvärmeprod!$B$1:$VX$1,0),FALSE)/1,0)-IFERROR(VLOOKUP($B260,'Slutlig allokering kvv'!$B$2:$BX$549,MATCH(M$2,'Slutlig allokering kvv'!$B$1:$BX$1,0),FALSE)/1,0))</f>
        <v/>
      </c>
      <c r="N260" s="121" t="str">
        <f>IF($D260="","",IFERROR(VLOOKUP($B260,Kraftvärmeprod!$B$1:$BX$549,MATCH(N$2,Kraftvärmeprod!$B$1:$VX$1,0),FALSE)/1,0)-IFERROR(VLOOKUP($B260,'Slutlig allokering kvv'!$B$2:$BX$549,MATCH(N$2,'Slutlig allokering kvv'!$B$1:$BX$1,0),FALSE)/1,0))</f>
        <v/>
      </c>
      <c r="O260" s="121" t="str">
        <f>IF($D260="","",IFERROR(VLOOKUP($B260,Kraftvärmeprod!$B$1:$BX$549,MATCH(O$2,Kraftvärmeprod!$B$1:$VX$1,0),FALSE)/1,0)-IFERROR(VLOOKUP($B260,'Slutlig allokering kvv'!$B$2:$BX$549,MATCH(O$2,'Slutlig allokering kvv'!$B$1:$BX$1,0),FALSE)/1,0))</f>
        <v/>
      </c>
      <c r="P260" s="121" t="str">
        <f>IF($D260="","",IFERROR(VLOOKUP($B260,Kraftvärmeprod!$B$1:$BX$549,MATCH(P$2,Kraftvärmeprod!$B$1:$VX$1,0),FALSE)/1,0)-IFERROR(VLOOKUP($B260,'Slutlig allokering kvv'!$B$2:$BX$549,MATCH(P$2,'Slutlig allokering kvv'!$B$1:$BX$1,0),FALSE)/1,0))</f>
        <v/>
      </c>
      <c r="Q260" s="121" t="str">
        <f>IF($D260="","",IFERROR(VLOOKUP($B260,Kraftvärmeprod!$B$1:$BX$549,MATCH(Q$2,Kraftvärmeprod!$B$1:$VX$1,0),FALSE)/1,0)-IFERROR(VLOOKUP($B260,'Slutlig allokering kvv'!$B$2:$BX$549,MATCH(Q$2,'Slutlig allokering kvv'!$B$1:$BX$1,0),FALSE)/1,0))</f>
        <v/>
      </c>
      <c r="R260" s="121" t="str">
        <f>IF($D260="","",IFERROR(VLOOKUP($B260,Kraftvärmeprod!$B$1:$BX$549,MATCH(R$2,Kraftvärmeprod!$B$1:$VX$1,0),FALSE)/1,0)-IFERROR(VLOOKUP($B260,'Slutlig allokering kvv'!$B$2:$BX$549,MATCH(R$2,'Slutlig allokering kvv'!$B$1:$BX$1,0),FALSE)/1,0))</f>
        <v/>
      </c>
      <c r="S260" s="121" t="str">
        <f>IF($D260="","",IFERROR(VLOOKUP($B260,Kraftvärmeprod!$B$1:$BX$549,MATCH(S$2,Kraftvärmeprod!$B$1:$VX$1,0),FALSE)/1,0)-IFERROR(VLOOKUP($B260,'Slutlig allokering kvv'!$B$2:$BX$549,MATCH(S$2,'Slutlig allokering kvv'!$B$1:$BX$1,0),FALSE)/1,0))</f>
        <v/>
      </c>
      <c r="T260" s="121" t="str">
        <f>IF($D260="","",IFERROR(VLOOKUP($B260,Kraftvärmeprod!$B$1:$BX$549,MATCH(T$2,Kraftvärmeprod!$B$1:$VX$1,0),FALSE)/1,0)-IFERROR(VLOOKUP($B260,'Slutlig allokering kvv'!$B$2:$BX$549,MATCH(T$2,'Slutlig allokering kvv'!$B$1:$BX$1,0),FALSE)/1,0))</f>
        <v/>
      </c>
      <c r="U260" s="121" t="str">
        <f>IF($D260="","",IFERROR(VLOOKUP($B260,Kraftvärmeprod!$B$1:$BX$549,MATCH(U$2,Kraftvärmeprod!$B$1:$VX$1,0),FALSE)/1,0)-IFERROR(VLOOKUP($B260,'Slutlig allokering kvv'!$B$2:$BX$549,MATCH(U$2,'Slutlig allokering kvv'!$B$1:$BX$1,0),FALSE)/1,0))</f>
        <v/>
      </c>
      <c r="V260" s="121" t="str">
        <f>IF($D260="","",IFERROR(VLOOKUP($B260,Kraftvärmeprod!$B$1:$BX$549,MATCH(V$2,Kraftvärmeprod!$B$1:$VX$1,0),FALSE)/1,0)-IFERROR(VLOOKUP($B260,'Slutlig allokering kvv'!$B$2:$BX$549,MATCH(V$2,'Slutlig allokering kvv'!$B$1:$BX$1,0),FALSE)/1,0))</f>
        <v/>
      </c>
      <c r="W260" s="121" t="str">
        <f>IF($D260="","",IFERROR(VLOOKUP($B260,Kraftvärmeprod!$B$1:$BX$549,MATCH(W$2,Kraftvärmeprod!$B$1:$VX$1,0),FALSE)/1,0)-IFERROR(VLOOKUP($B260,'Slutlig allokering kvv'!$B$2:$BX$549,MATCH(W$2,'Slutlig allokering kvv'!$B$1:$BX$1,0),FALSE)/1,0))</f>
        <v/>
      </c>
      <c r="X260" s="121" t="str">
        <f>IF($D260="","",IFERROR(VLOOKUP($B260,Kraftvärmeprod!$B$1:$BX$549,MATCH(X$2,Kraftvärmeprod!$B$1:$VX$1,0),FALSE)/1,0)-IFERROR(VLOOKUP($B260,'Slutlig allokering kvv'!$B$2:$BX$549,MATCH(X$2,'Slutlig allokering kvv'!$B$1:$BX$1,0),FALSE)/1,0))</f>
        <v/>
      </c>
      <c r="Y260" s="121" t="str">
        <f>IF($D260="","",IFERROR(VLOOKUP($B260,Kraftvärmeprod!$B$1:$BX$549,MATCH(Y$2,Kraftvärmeprod!$B$1:$VX$1,0),FALSE)/1,0)-IFERROR(VLOOKUP($B260,'Slutlig allokering kvv'!$B$2:$BX$549,MATCH(Y$2,'Slutlig allokering kvv'!$B$1:$BX$1,0),FALSE)/1,0))</f>
        <v/>
      </c>
      <c r="Z260" s="121" t="str">
        <f>IF($D260="","",IFERROR(VLOOKUP($B260,Kraftvärmeprod!$B$1:$BX$549,MATCH(Z$2,Kraftvärmeprod!$B$1:$VX$1,0),FALSE)/1,0)-IFERROR(VLOOKUP($B260,'Slutlig allokering kvv'!$B$2:$BX$549,MATCH(Z$2,'Slutlig allokering kvv'!$B$1:$BX$1,0),FALSE)/1,0))</f>
        <v/>
      </c>
      <c r="AA260" s="121" t="str">
        <f>IF($D260="","",IFERROR(VLOOKUP($B260,Kraftvärmeprod!$B$1:$BX$549,MATCH(AA$2,Kraftvärmeprod!$B$1:$VX$1,0),FALSE)/1,0)-IFERROR(VLOOKUP($B260,'Slutlig allokering kvv'!$B$2:$BX$549,MATCH(AA$2,'Slutlig allokering kvv'!$B$1:$BX$1,0),FALSE)/1,0))</f>
        <v/>
      </c>
      <c r="AB260" s="121" t="str">
        <f>IF($D260="","",IFERROR(VLOOKUP($B260,Kraftvärmeprod!$B$1:$BX$549,MATCH(AB$2,Kraftvärmeprod!$B$1:$VX$1,0),FALSE)/1,0)-IFERROR(VLOOKUP($B260,'Slutlig allokering kvv'!$B$2:$BX$549,MATCH(AB$2,'Slutlig allokering kvv'!$B$1:$BX$1,0),FALSE)/1,0))</f>
        <v/>
      </c>
      <c r="AC260" s="121" t="str">
        <f>IF($D260="","",IFERROR(VLOOKUP($B260,Kraftvärmeprod!$B$1:$BX$549,MATCH(AC$2,Kraftvärmeprod!$B$1:$VX$1,0),FALSE)/1,0)-IFERROR(VLOOKUP($B260,'Slutlig allokering kvv'!$B$2:$BX$549,MATCH(AC$2,'Slutlig allokering kvv'!$B$1:$BX$1,0),FALSE)/1,0))</f>
        <v/>
      </c>
      <c r="AD260" s="121" t="str">
        <f>IF($D260="","",IFERROR(VLOOKUP($B260,Kraftvärmeprod!$B$1:$BX$549,MATCH(AD$2,Kraftvärmeprod!$B$1:$VX$1,0),FALSE)/1,0)-IFERROR(VLOOKUP($B260,'Slutlig allokering kvv'!$B$2:$BX$549,MATCH(AD$2,'Slutlig allokering kvv'!$B$1:$BX$1,0),FALSE)/1,0))</f>
        <v/>
      </c>
      <c r="AE260" s="121" t="str">
        <f>IF($D260="","",IFERROR(VLOOKUP($B260,Miljö!$B$1:$E$550,MATCH("Hjälpel kraftvärme (GWh)",Miljö!$B$1:$E$1,0),FALSE)/1,0)-IFERROR(VLOOKUP($B260,'Slutlig allokering kvv'!$B$2:$BX$549,MATCH(AE$2,'Slutlig allokering kvv'!$B$1:$BX$1,0),FALSE)/1,0))</f>
        <v/>
      </c>
      <c r="AI260" s="121">
        <f t="shared" ref="AI260:AI323" si="16">SUM(F260:AC260)</f>
        <v>0</v>
      </c>
      <c r="AK260" s="121">
        <f>IFERROR(VLOOKUP($B260,'Slutlig allokering kvv'!$B$2:$AX$549,MATCH("Summa slutlig allokerad tillförd energi (utan hjälpel och rökgaskondensering):",'Slutlig allokering kvv'!$B$1:$AX$1,0),FALSE)/1,"")</f>
        <v>0</v>
      </c>
      <c r="AM260" s="172" t="str">
        <f>IFERROR(1-VLOOKUP($B260,'Slutlig allokering kvv'!$B$2:$AX$549,MATCH("Andel av bränsle i kvv som allokerats till värme, exklusive rökgaskondensering och hjälpel",'Slutlig allokering kvv'!$B$1:$AX$1,0),FALSE),"")</f>
        <v/>
      </c>
      <c r="AO260" s="172" t="str">
        <f t="shared" ref="AO260:AO323" si="17">IFERROR(AI260/(AI260+AK260),"")</f>
        <v/>
      </c>
      <c r="AP260" s="173" t="str">
        <f t="shared" ref="AP260:AP323" si="18">IFERROR(AM260-AO260,"")</f>
        <v/>
      </c>
      <c r="AR260" s="172" t="str">
        <f t="shared" ref="AR260:AR323" si="19">IFERROR(D260/(AI260+AE260),"")</f>
        <v/>
      </c>
    </row>
    <row r="261" spans="1:44" x14ac:dyDescent="0.25">
      <c r="A261" s="171" t="str">
        <f>'Miljövärden för publ företag'!B263</f>
        <v>Tekniska Verken i Linköping AB</v>
      </c>
      <c r="B261" s="171" t="str">
        <f>'Miljövärden för publ företag'!C263</f>
        <v>Katrineholm</v>
      </c>
      <c r="C261" s="121">
        <f>IFERROR(VLOOKUP($B261,Kraftvärmeprod!$B$1:$AH$478,MATCH(C$2,Kraftvärmeprod!$B$1:$AG$1,0),FALSE)/1,"")</f>
        <v>102.9</v>
      </c>
      <c r="D261" s="121">
        <f>IFERROR(VLOOKUP($B261,Kraftvärmeprod!$B$1:$AH$478,MATCH(D$2,Kraftvärmeprod!$B$1:$AG$1,0),FALSE)/1,"")</f>
        <v>25.6</v>
      </c>
      <c r="F261" s="121">
        <f>IF($D261="","",IFERROR(VLOOKUP($B261,Kraftvärmeprod!$B$1:$BX$549,MATCH(F$2,Kraftvärmeprod!$B$1:$VX$1,0),FALSE)/1,0)-IFERROR(VLOOKUP($B261,'Slutlig allokering kvv'!$B$2:$BX$549,MATCH(F$2,'Slutlig allokering kvv'!$B$1:$BX$1,0),FALSE)/1,0))</f>
        <v>0</v>
      </c>
      <c r="G261" s="121">
        <f>IF($D261="","",IFERROR(VLOOKUP($B261,Kraftvärmeprod!$B$1:$BX$549,MATCH(G$2,Kraftvärmeprod!$B$1:$VX$1,0),FALSE)/1,0)-IFERROR(VLOOKUP($B261,'Slutlig allokering kvv'!$B$2:$BX$549,MATCH(G$2,'Slutlig allokering kvv'!$B$1:$BX$1,0),FALSE)/1,0))</f>
        <v>0</v>
      </c>
      <c r="H261" s="121">
        <f>IF($D261="","",IFERROR(VLOOKUP($B261,Kraftvärmeprod!$B$1:$BX$549,MATCH(H$2,Kraftvärmeprod!$B$1:$VX$1,0),FALSE)/1,0)-IFERROR(VLOOKUP($B261,'Slutlig allokering kvv'!$B$2:$BX$549,MATCH(H$2,'Slutlig allokering kvv'!$B$1:$BX$1,0),FALSE)/1,0))</f>
        <v>0</v>
      </c>
      <c r="I261" s="121">
        <f>IF($D261="","",IFERROR(VLOOKUP($B261,Kraftvärmeprod!$B$1:$BX$549,MATCH(I$2,Kraftvärmeprod!$B$1:$VX$1,0),FALSE)/1,0)-IFERROR(VLOOKUP($B261,'Slutlig allokering kvv'!$B$2:$BX$549,MATCH(I$2,'Slutlig allokering kvv'!$B$1:$BX$1,0),FALSE)/1,0))</f>
        <v>0</v>
      </c>
      <c r="J261" s="121">
        <f>IF($D261="","",IFERROR(VLOOKUP($B261,Kraftvärmeprod!$B$1:$BX$549,MATCH(J$2,Kraftvärmeprod!$B$1:$VX$1,0),FALSE)/1,0)-IFERROR(VLOOKUP($B261,'Slutlig allokering kvv'!$B$2:$BX$549,MATCH(J$2,'Slutlig allokering kvv'!$B$1:$BX$1,0),FALSE)/1,0))</f>
        <v>0</v>
      </c>
      <c r="K261" s="121">
        <f>IF($D261="","",IFERROR(VLOOKUP($B261,Kraftvärmeprod!$B$1:$BX$549,MATCH(K$2,Kraftvärmeprod!$B$1:$VX$1,0),FALSE)/1,0)-IFERROR(VLOOKUP($B261,'Slutlig allokering kvv'!$B$2:$BX$549,MATCH(K$2,'Slutlig allokering kvv'!$B$1:$BX$1,0),FALSE)/1,0))</f>
        <v>0</v>
      </c>
      <c r="L261" s="121">
        <f>IF($D261="","",IFERROR(VLOOKUP($B261,Kraftvärmeprod!$B$1:$BX$549,MATCH(L$2,Kraftvärmeprod!$B$1:$VX$1,0),FALSE)/1,0)-IFERROR(VLOOKUP($B261,'Slutlig allokering kvv'!$B$2:$BX$549,MATCH(L$2,'Slutlig allokering kvv'!$B$1:$BX$1,0),FALSE)/1,0))</f>
        <v>3.6186599999999993</v>
      </c>
      <c r="M261" s="121">
        <f>IF($D261="","",IFERROR(VLOOKUP($B261,Kraftvärmeprod!$B$1:$BX$549,MATCH(M$2,Kraftvärmeprod!$B$1:$VX$1,0),FALSE)/1,0)-IFERROR(VLOOKUP($B261,'Slutlig allokering kvv'!$B$2:$BX$549,MATCH(M$2,'Slutlig allokering kvv'!$B$1:$BX$1,0),FALSE)/1,0))</f>
        <v>0</v>
      </c>
      <c r="N261" s="121">
        <f>IF($D261="","",IFERROR(VLOOKUP($B261,Kraftvärmeprod!$B$1:$BX$549,MATCH(N$2,Kraftvärmeprod!$B$1:$VX$1,0),FALSE)/1,0)-IFERROR(VLOOKUP($B261,'Slutlig allokering kvv'!$B$2:$BX$549,MATCH(N$2,'Slutlig allokering kvv'!$B$1:$BX$1,0),FALSE)/1,0))</f>
        <v>3.9333200000000006E-2</v>
      </c>
      <c r="O261" s="121">
        <f>IF($D261="","",IFERROR(VLOOKUP($B261,Kraftvärmeprod!$B$1:$BX$549,MATCH(O$2,Kraftvärmeprod!$B$1:$VX$1,0),FALSE)/1,0)-IFERROR(VLOOKUP($B261,'Slutlig allokering kvv'!$B$2:$BX$549,MATCH(O$2,'Slutlig allokering kvv'!$B$1:$BX$1,0),FALSE)/1,0))</f>
        <v>0</v>
      </c>
      <c r="P261" s="121">
        <f>IF($D261="","",IFERROR(VLOOKUP($B261,Kraftvärmeprod!$B$1:$BX$549,MATCH(P$2,Kraftvärmeprod!$B$1:$VX$1,0),FALSE)/1,0)-IFERROR(VLOOKUP($B261,'Slutlig allokering kvv'!$B$2:$BX$549,MATCH(P$2,'Slutlig allokering kvv'!$B$1:$BX$1,0),FALSE)/1,0))</f>
        <v>0</v>
      </c>
      <c r="Q261" s="121">
        <f>IF($D261="","",IFERROR(VLOOKUP($B261,Kraftvärmeprod!$B$1:$BX$549,MATCH(Q$2,Kraftvärmeprod!$B$1:$VX$1,0),FALSE)/1,0)-IFERROR(VLOOKUP($B261,'Slutlig allokering kvv'!$B$2:$BX$549,MATCH(Q$2,'Slutlig allokering kvv'!$B$1:$BX$1,0),FALSE)/1,0))</f>
        <v>0</v>
      </c>
      <c r="R261" s="121">
        <f>IF($D261="","",IFERROR(VLOOKUP($B261,Kraftvärmeprod!$B$1:$BX$549,MATCH(R$2,Kraftvärmeprod!$B$1:$VX$1,0),FALSE)/1,0)-IFERROR(VLOOKUP($B261,'Slutlig allokering kvv'!$B$2:$BX$549,MATCH(R$2,'Slutlig allokering kvv'!$B$1:$BX$1,0),FALSE)/1,0))</f>
        <v>0</v>
      </c>
      <c r="S261" s="121">
        <f>IF($D261="","",IFERROR(VLOOKUP($B261,Kraftvärmeprod!$B$1:$BX$549,MATCH(S$2,Kraftvärmeprod!$B$1:$VX$1,0),FALSE)/1,0)-IFERROR(VLOOKUP($B261,'Slutlig allokering kvv'!$B$2:$BX$549,MATCH(S$2,'Slutlig allokering kvv'!$B$1:$BX$1,0),FALSE)/1,0))</f>
        <v>0</v>
      </c>
      <c r="T261" s="121">
        <f>IF($D261="","",IFERROR(VLOOKUP($B261,Kraftvärmeprod!$B$1:$BX$549,MATCH(T$2,Kraftvärmeprod!$B$1:$VX$1,0),FALSE)/1,0)-IFERROR(VLOOKUP($B261,'Slutlig allokering kvv'!$B$2:$BX$549,MATCH(T$2,'Slutlig allokering kvv'!$B$1:$BX$1,0),FALSE)/1,0))</f>
        <v>0</v>
      </c>
      <c r="U261" s="121">
        <f>IF($D261="","",IFERROR(VLOOKUP($B261,Kraftvärmeprod!$B$1:$BX$549,MATCH(U$2,Kraftvärmeprod!$B$1:$VX$1,0),FALSE)/1,0)-IFERROR(VLOOKUP($B261,'Slutlig allokering kvv'!$B$2:$BX$549,MATCH(U$2,'Slutlig allokering kvv'!$B$1:$BX$1,0),FALSE)/1,0))</f>
        <v>0</v>
      </c>
      <c r="V261" s="121">
        <f>IF($D261="","",IFERROR(VLOOKUP($B261,Kraftvärmeprod!$B$1:$BX$549,MATCH(V$2,Kraftvärmeprod!$B$1:$VX$1,0),FALSE)/1,0)-IFERROR(VLOOKUP($B261,'Slutlig allokering kvv'!$B$2:$BX$549,MATCH(V$2,'Slutlig allokering kvv'!$B$1:$BX$1,0),FALSE)/1,0))</f>
        <v>62.303899999999999</v>
      </c>
      <c r="W261" s="121">
        <f>IF($D261="","",IFERROR(VLOOKUP($B261,Kraftvärmeprod!$B$1:$BX$549,MATCH(W$2,Kraftvärmeprod!$B$1:$VX$1,0),FALSE)/1,0)-IFERROR(VLOOKUP($B261,'Slutlig allokering kvv'!$B$2:$BX$549,MATCH(W$2,'Slutlig allokering kvv'!$B$1:$BX$1,0),FALSE)/1,0))</f>
        <v>0</v>
      </c>
      <c r="X261" s="121">
        <f>IF($D261="","",IFERROR(VLOOKUP($B261,Kraftvärmeprod!$B$1:$BX$549,MATCH(X$2,Kraftvärmeprod!$B$1:$VX$1,0),FALSE)/1,0)-IFERROR(VLOOKUP($B261,'Slutlig allokering kvv'!$B$2:$BX$549,MATCH(X$2,'Slutlig allokering kvv'!$B$1:$BX$1,0),FALSE)/1,0))</f>
        <v>3.3476300000000001E-2</v>
      </c>
      <c r="Y261" s="121">
        <f>IF($D261="","",IFERROR(VLOOKUP($B261,Kraftvärmeprod!$B$1:$BX$549,MATCH(Y$2,Kraftvärmeprod!$B$1:$VX$1,0),FALSE)/1,0)-IFERROR(VLOOKUP($B261,'Slutlig allokering kvv'!$B$2:$BX$549,MATCH(Y$2,'Slutlig allokering kvv'!$B$1:$BX$1,0),FALSE)/1,0))</f>
        <v>0</v>
      </c>
      <c r="Z261" s="121">
        <f>IF($D261="","",IFERROR(VLOOKUP($B261,Kraftvärmeprod!$B$1:$BX$549,MATCH(Z$2,Kraftvärmeprod!$B$1:$VX$1,0),FALSE)/1,0)-IFERROR(VLOOKUP($B261,'Slutlig allokering kvv'!$B$2:$BX$549,MATCH(Z$2,'Slutlig allokering kvv'!$B$1:$BX$1,0),FALSE)/1,0))</f>
        <v>0</v>
      </c>
      <c r="AA261" s="121">
        <f>IF($D261="","",IFERROR(VLOOKUP($B261,Kraftvärmeprod!$B$1:$BX$549,MATCH(AA$2,Kraftvärmeprod!$B$1:$VX$1,0),FALSE)/1,0)-IFERROR(VLOOKUP($B261,'Slutlig allokering kvv'!$B$2:$BX$549,MATCH(AA$2,'Slutlig allokering kvv'!$B$1:$BX$1,0),FALSE)/1,0))</f>
        <v>0</v>
      </c>
      <c r="AB261" s="121">
        <f>IF($D261="","",IFERROR(VLOOKUP($B261,Kraftvärmeprod!$B$1:$BX$549,MATCH(AB$2,Kraftvärmeprod!$B$1:$VX$1,0),FALSE)/1,0)-IFERROR(VLOOKUP($B261,'Slutlig allokering kvv'!$B$2:$BX$549,MATCH(AB$2,'Slutlig allokering kvv'!$B$1:$BX$1,0),FALSE)/1,0))</f>
        <v>0</v>
      </c>
      <c r="AC261" s="121">
        <f>IF($D261="","",IFERROR(VLOOKUP($B261,Kraftvärmeprod!$B$1:$BX$549,MATCH(AC$2,Kraftvärmeprod!$B$1:$VX$1,0),FALSE)/1,0)-IFERROR(VLOOKUP($B261,'Slutlig allokering kvv'!$B$2:$BX$549,MATCH(AC$2,'Slutlig allokering kvv'!$B$1:$BX$1,0),FALSE)/1,0))</f>
        <v>0</v>
      </c>
      <c r="AD261" s="121">
        <f>IF($D261="","",IFERROR(VLOOKUP($B261,Kraftvärmeprod!$B$1:$BX$549,MATCH(AD$2,Kraftvärmeprod!$B$1:$VX$1,0),FALSE)/1,0)-IFERROR(VLOOKUP($B261,'Slutlig allokering kvv'!$B$2:$BX$549,MATCH(AD$2,'Slutlig allokering kvv'!$B$1:$BX$1,0),FALSE)/1,0))</f>
        <v>0</v>
      </c>
      <c r="AE261" s="121">
        <f>IF($D261="","",IFERROR(VLOOKUP($B261,Miljö!$B$1:$E$550,MATCH("Hjälpel kraftvärme (GWh)",Miljö!$B$1:$E$1,0),FALSE)/1,0)-IFERROR(VLOOKUP($B261,'Slutlig allokering kvv'!$B$2:$BX$549,MATCH(AE$2,'Slutlig allokering kvv'!$B$1:$BX$1,0),FALSE)/1,0))</f>
        <v>1.1562999999999999</v>
      </c>
      <c r="AI261" s="121">
        <f t="shared" si="16"/>
        <v>65.995369499999995</v>
      </c>
      <c r="AK261" s="121">
        <f>IFERROR(VLOOKUP($B261,'Slutlig allokering kvv'!$B$2:$AX$549,MATCH("Summa slutlig allokerad tillförd energi (utan hjälpel och rökgaskondensering):",'Slutlig allokering kvv'!$B$1:$AX$1,0),FALSE)/1,"")</f>
        <v>101.80463050000002</v>
      </c>
      <c r="AM261" s="172">
        <f>IFERROR(1-VLOOKUP($B261,'Slutlig allokering kvv'!$B$2:$AX$549,MATCH("Andel av bränsle i kvv som allokerats till värme, exklusive rökgaskondensering och hjälpel",'Slutlig allokering kvv'!$B$1:$AX$1,0),FALSE),"")</f>
        <v>0.39329779201430271</v>
      </c>
      <c r="AO261" s="172">
        <f t="shared" si="17"/>
        <v>0.39329779201430271</v>
      </c>
      <c r="AP261" s="173">
        <f t="shared" si="18"/>
        <v>0</v>
      </c>
      <c r="AR261" s="172">
        <f t="shared" si="19"/>
        <v>0.38122656056972648</v>
      </c>
    </row>
    <row r="262" spans="1:44" x14ac:dyDescent="0.25">
      <c r="A262" s="171" t="str">
        <f>'Miljövärden för publ företag'!B264</f>
        <v>Tekniska Verken i Linköping AB</v>
      </c>
      <c r="B262" s="171" t="str">
        <f>'Miljövärden för publ företag'!C264</f>
        <v>Kisa</v>
      </c>
      <c r="C262" s="121" t="str">
        <f>IFERROR(VLOOKUP($B262,Kraftvärmeprod!$B$1:$AH$478,MATCH(C$2,Kraftvärmeprod!$B$1:$AG$1,0),FALSE)/1,"")</f>
        <v/>
      </c>
      <c r="D262" s="121" t="str">
        <f>IFERROR(VLOOKUP($B262,Kraftvärmeprod!$B$1:$AH$478,MATCH(D$2,Kraftvärmeprod!$B$1:$AG$1,0),FALSE)/1,"")</f>
        <v/>
      </c>
      <c r="F262" s="121" t="str">
        <f>IF($D262="","",IFERROR(VLOOKUP($B262,Kraftvärmeprod!$B$1:$BX$549,MATCH(F$2,Kraftvärmeprod!$B$1:$VX$1,0),FALSE)/1,0)-IFERROR(VLOOKUP($B262,'Slutlig allokering kvv'!$B$2:$BX$549,MATCH(F$2,'Slutlig allokering kvv'!$B$1:$BX$1,0),FALSE)/1,0))</f>
        <v/>
      </c>
      <c r="G262" s="121" t="str">
        <f>IF($D262="","",IFERROR(VLOOKUP($B262,Kraftvärmeprod!$B$1:$BX$549,MATCH(G$2,Kraftvärmeprod!$B$1:$VX$1,0),FALSE)/1,0)-IFERROR(VLOOKUP($B262,'Slutlig allokering kvv'!$B$2:$BX$549,MATCH(G$2,'Slutlig allokering kvv'!$B$1:$BX$1,0),FALSE)/1,0))</f>
        <v/>
      </c>
      <c r="H262" s="121" t="str">
        <f>IF($D262="","",IFERROR(VLOOKUP($B262,Kraftvärmeprod!$B$1:$BX$549,MATCH(H$2,Kraftvärmeprod!$B$1:$VX$1,0),FALSE)/1,0)-IFERROR(VLOOKUP($B262,'Slutlig allokering kvv'!$B$2:$BX$549,MATCH(H$2,'Slutlig allokering kvv'!$B$1:$BX$1,0),FALSE)/1,0))</f>
        <v/>
      </c>
      <c r="I262" s="121" t="str">
        <f>IF($D262="","",IFERROR(VLOOKUP($B262,Kraftvärmeprod!$B$1:$BX$549,MATCH(I$2,Kraftvärmeprod!$B$1:$VX$1,0),FALSE)/1,0)-IFERROR(VLOOKUP($B262,'Slutlig allokering kvv'!$B$2:$BX$549,MATCH(I$2,'Slutlig allokering kvv'!$B$1:$BX$1,0),FALSE)/1,0))</f>
        <v/>
      </c>
      <c r="J262" s="121" t="str">
        <f>IF($D262="","",IFERROR(VLOOKUP($B262,Kraftvärmeprod!$B$1:$BX$549,MATCH(J$2,Kraftvärmeprod!$B$1:$VX$1,0),FALSE)/1,0)-IFERROR(VLOOKUP($B262,'Slutlig allokering kvv'!$B$2:$BX$549,MATCH(J$2,'Slutlig allokering kvv'!$B$1:$BX$1,0),FALSE)/1,0))</f>
        <v/>
      </c>
      <c r="K262" s="121" t="str">
        <f>IF($D262="","",IFERROR(VLOOKUP($B262,Kraftvärmeprod!$B$1:$BX$549,MATCH(K$2,Kraftvärmeprod!$B$1:$VX$1,0),FALSE)/1,0)-IFERROR(VLOOKUP($B262,'Slutlig allokering kvv'!$B$2:$BX$549,MATCH(K$2,'Slutlig allokering kvv'!$B$1:$BX$1,0),FALSE)/1,0))</f>
        <v/>
      </c>
      <c r="L262" s="121" t="str">
        <f>IF($D262="","",IFERROR(VLOOKUP($B262,Kraftvärmeprod!$B$1:$BX$549,MATCH(L$2,Kraftvärmeprod!$B$1:$VX$1,0),FALSE)/1,0)-IFERROR(VLOOKUP($B262,'Slutlig allokering kvv'!$B$2:$BX$549,MATCH(L$2,'Slutlig allokering kvv'!$B$1:$BX$1,0),FALSE)/1,0))</f>
        <v/>
      </c>
      <c r="M262" s="121" t="str">
        <f>IF($D262="","",IFERROR(VLOOKUP($B262,Kraftvärmeprod!$B$1:$BX$549,MATCH(M$2,Kraftvärmeprod!$B$1:$VX$1,0),FALSE)/1,0)-IFERROR(VLOOKUP($B262,'Slutlig allokering kvv'!$B$2:$BX$549,MATCH(M$2,'Slutlig allokering kvv'!$B$1:$BX$1,0),FALSE)/1,0))</f>
        <v/>
      </c>
      <c r="N262" s="121" t="str">
        <f>IF($D262="","",IFERROR(VLOOKUP($B262,Kraftvärmeprod!$B$1:$BX$549,MATCH(N$2,Kraftvärmeprod!$B$1:$VX$1,0),FALSE)/1,0)-IFERROR(VLOOKUP($B262,'Slutlig allokering kvv'!$B$2:$BX$549,MATCH(N$2,'Slutlig allokering kvv'!$B$1:$BX$1,0),FALSE)/1,0))</f>
        <v/>
      </c>
      <c r="O262" s="121" t="str">
        <f>IF($D262="","",IFERROR(VLOOKUP($B262,Kraftvärmeprod!$B$1:$BX$549,MATCH(O$2,Kraftvärmeprod!$B$1:$VX$1,0),FALSE)/1,0)-IFERROR(VLOOKUP($B262,'Slutlig allokering kvv'!$B$2:$BX$549,MATCH(O$2,'Slutlig allokering kvv'!$B$1:$BX$1,0),FALSE)/1,0))</f>
        <v/>
      </c>
      <c r="P262" s="121" t="str">
        <f>IF($D262="","",IFERROR(VLOOKUP($B262,Kraftvärmeprod!$B$1:$BX$549,MATCH(P$2,Kraftvärmeprod!$B$1:$VX$1,0),FALSE)/1,0)-IFERROR(VLOOKUP($B262,'Slutlig allokering kvv'!$B$2:$BX$549,MATCH(P$2,'Slutlig allokering kvv'!$B$1:$BX$1,0),FALSE)/1,0))</f>
        <v/>
      </c>
      <c r="Q262" s="121" t="str">
        <f>IF($D262="","",IFERROR(VLOOKUP($B262,Kraftvärmeprod!$B$1:$BX$549,MATCH(Q$2,Kraftvärmeprod!$B$1:$VX$1,0),FALSE)/1,0)-IFERROR(VLOOKUP($B262,'Slutlig allokering kvv'!$B$2:$BX$549,MATCH(Q$2,'Slutlig allokering kvv'!$B$1:$BX$1,0),FALSE)/1,0))</f>
        <v/>
      </c>
      <c r="R262" s="121" t="str">
        <f>IF($D262="","",IFERROR(VLOOKUP($B262,Kraftvärmeprod!$B$1:$BX$549,MATCH(R$2,Kraftvärmeprod!$B$1:$VX$1,0),FALSE)/1,0)-IFERROR(VLOOKUP($B262,'Slutlig allokering kvv'!$B$2:$BX$549,MATCH(R$2,'Slutlig allokering kvv'!$B$1:$BX$1,0),FALSE)/1,0))</f>
        <v/>
      </c>
      <c r="S262" s="121" t="str">
        <f>IF($D262="","",IFERROR(VLOOKUP($B262,Kraftvärmeprod!$B$1:$BX$549,MATCH(S$2,Kraftvärmeprod!$B$1:$VX$1,0),FALSE)/1,0)-IFERROR(VLOOKUP($B262,'Slutlig allokering kvv'!$B$2:$BX$549,MATCH(S$2,'Slutlig allokering kvv'!$B$1:$BX$1,0),FALSE)/1,0))</f>
        <v/>
      </c>
      <c r="T262" s="121" t="str">
        <f>IF($D262="","",IFERROR(VLOOKUP($B262,Kraftvärmeprod!$B$1:$BX$549,MATCH(T$2,Kraftvärmeprod!$B$1:$VX$1,0),FALSE)/1,0)-IFERROR(VLOOKUP($B262,'Slutlig allokering kvv'!$B$2:$BX$549,MATCH(T$2,'Slutlig allokering kvv'!$B$1:$BX$1,0),FALSE)/1,0))</f>
        <v/>
      </c>
      <c r="U262" s="121" t="str">
        <f>IF($D262="","",IFERROR(VLOOKUP($B262,Kraftvärmeprod!$B$1:$BX$549,MATCH(U$2,Kraftvärmeprod!$B$1:$VX$1,0),FALSE)/1,0)-IFERROR(VLOOKUP($B262,'Slutlig allokering kvv'!$B$2:$BX$549,MATCH(U$2,'Slutlig allokering kvv'!$B$1:$BX$1,0),FALSE)/1,0))</f>
        <v/>
      </c>
      <c r="V262" s="121" t="str">
        <f>IF($D262="","",IFERROR(VLOOKUP($B262,Kraftvärmeprod!$B$1:$BX$549,MATCH(V$2,Kraftvärmeprod!$B$1:$VX$1,0),FALSE)/1,0)-IFERROR(VLOOKUP($B262,'Slutlig allokering kvv'!$B$2:$BX$549,MATCH(V$2,'Slutlig allokering kvv'!$B$1:$BX$1,0),FALSE)/1,0))</f>
        <v/>
      </c>
      <c r="W262" s="121" t="str">
        <f>IF($D262="","",IFERROR(VLOOKUP($B262,Kraftvärmeprod!$B$1:$BX$549,MATCH(W$2,Kraftvärmeprod!$B$1:$VX$1,0),FALSE)/1,0)-IFERROR(VLOOKUP($B262,'Slutlig allokering kvv'!$B$2:$BX$549,MATCH(W$2,'Slutlig allokering kvv'!$B$1:$BX$1,0),FALSE)/1,0))</f>
        <v/>
      </c>
      <c r="X262" s="121" t="str">
        <f>IF($D262="","",IFERROR(VLOOKUP($B262,Kraftvärmeprod!$B$1:$BX$549,MATCH(X$2,Kraftvärmeprod!$B$1:$VX$1,0),FALSE)/1,0)-IFERROR(VLOOKUP($B262,'Slutlig allokering kvv'!$B$2:$BX$549,MATCH(X$2,'Slutlig allokering kvv'!$B$1:$BX$1,0),FALSE)/1,0))</f>
        <v/>
      </c>
      <c r="Y262" s="121" t="str">
        <f>IF($D262="","",IFERROR(VLOOKUP($B262,Kraftvärmeprod!$B$1:$BX$549,MATCH(Y$2,Kraftvärmeprod!$B$1:$VX$1,0),FALSE)/1,0)-IFERROR(VLOOKUP($B262,'Slutlig allokering kvv'!$B$2:$BX$549,MATCH(Y$2,'Slutlig allokering kvv'!$B$1:$BX$1,0),FALSE)/1,0))</f>
        <v/>
      </c>
      <c r="Z262" s="121" t="str">
        <f>IF($D262="","",IFERROR(VLOOKUP($B262,Kraftvärmeprod!$B$1:$BX$549,MATCH(Z$2,Kraftvärmeprod!$B$1:$VX$1,0),FALSE)/1,0)-IFERROR(VLOOKUP($B262,'Slutlig allokering kvv'!$B$2:$BX$549,MATCH(Z$2,'Slutlig allokering kvv'!$B$1:$BX$1,0),FALSE)/1,0))</f>
        <v/>
      </c>
      <c r="AA262" s="121" t="str">
        <f>IF($D262="","",IFERROR(VLOOKUP($B262,Kraftvärmeprod!$B$1:$BX$549,MATCH(AA$2,Kraftvärmeprod!$B$1:$VX$1,0),FALSE)/1,0)-IFERROR(VLOOKUP($B262,'Slutlig allokering kvv'!$B$2:$BX$549,MATCH(AA$2,'Slutlig allokering kvv'!$B$1:$BX$1,0),FALSE)/1,0))</f>
        <v/>
      </c>
      <c r="AB262" s="121" t="str">
        <f>IF($D262="","",IFERROR(VLOOKUP($B262,Kraftvärmeprod!$B$1:$BX$549,MATCH(AB$2,Kraftvärmeprod!$B$1:$VX$1,0),FALSE)/1,0)-IFERROR(VLOOKUP($B262,'Slutlig allokering kvv'!$B$2:$BX$549,MATCH(AB$2,'Slutlig allokering kvv'!$B$1:$BX$1,0),FALSE)/1,0))</f>
        <v/>
      </c>
      <c r="AC262" s="121" t="str">
        <f>IF($D262="","",IFERROR(VLOOKUP($B262,Kraftvärmeprod!$B$1:$BX$549,MATCH(AC$2,Kraftvärmeprod!$B$1:$VX$1,0),FALSE)/1,0)-IFERROR(VLOOKUP($B262,'Slutlig allokering kvv'!$B$2:$BX$549,MATCH(AC$2,'Slutlig allokering kvv'!$B$1:$BX$1,0),FALSE)/1,0))</f>
        <v/>
      </c>
      <c r="AD262" s="121" t="str">
        <f>IF($D262="","",IFERROR(VLOOKUP($B262,Kraftvärmeprod!$B$1:$BX$549,MATCH(AD$2,Kraftvärmeprod!$B$1:$VX$1,0),FALSE)/1,0)-IFERROR(VLOOKUP($B262,'Slutlig allokering kvv'!$B$2:$BX$549,MATCH(AD$2,'Slutlig allokering kvv'!$B$1:$BX$1,0),FALSE)/1,0))</f>
        <v/>
      </c>
      <c r="AE262" s="121" t="str">
        <f>IF($D262="","",IFERROR(VLOOKUP($B262,Miljö!$B$1:$E$550,MATCH("Hjälpel kraftvärme (GWh)",Miljö!$B$1:$E$1,0),FALSE)/1,0)-IFERROR(VLOOKUP($B262,'Slutlig allokering kvv'!$B$2:$BX$549,MATCH(AE$2,'Slutlig allokering kvv'!$B$1:$BX$1,0),FALSE)/1,0))</f>
        <v/>
      </c>
      <c r="AI262" s="121">
        <f t="shared" si="16"/>
        <v>0</v>
      </c>
      <c r="AK262" s="121">
        <f>IFERROR(VLOOKUP($B262,'Slutlig allokering kvv'!$B$2:$AX$549,MATCH("Summa slutlig allokerad tillförd energi (utan hjälpel och rökgaskondensering):",'Slutlig allokering kvv'!$B$1:$AX$1,0),FALSE)/1,"")</f>
        <v>0</v>
      </c>
      <c r="AM262" s="172" t="str">
        <f>IFERROR(1-VLOOKUP($B262,'Slutlig allokering kvv'!$B$2:$AX$549,MATCH("Andel av bränsle i kvv som allokerats till värme, exklusive rökgaskondensering och hjälpel",'Slutlig allokering kvv'!$B$1:$AX$1,0),FALSE),"")</f>
        <v/>
      </c>
      <c r="AO262" s="172" t="str">
        <f t="shared" si="17"/>
        <v/>
      </c>
      <c r="AP262" s="173" t="str">
        <f t="shared" si="18"/>
        <v/>
      </c>
      <c r="AR262" s="172" t="str">
        <f t="shared" si="19"/>
        <v/>
      </c>
    </row>
    <row r="263" spans="1:44" x14ac:dyDescent="0.25">
      <c r="A263" s="171" t="str">
        <f>'Miljövärden för publ företag'!B265</f>
        <v>Tekniska Verken i Linköping AB</v>
      </c>
      <c r="B263" s="171" t="str">
        <f>'Miljövärden för publ företag'!C265</f>
        <v>Linköping</v>
      </c>
      <c r="C263" s="121">
        <f>IFERROR(VLOOKUP($B263,Kraftvärmeprod!$B$1:$AH$478,MATCH(C$2,Kraftvärmeprod!$B$1:$AG$1,0),FALSE)/1,"")</f>
        <v>1207.2</v>
      </c>
      <c r="D263" s="121">
        <f>IFERROR(VLOOKUP($B263,Kraftvärmeprod!$B$1:$AH$478,MATCH(D$2,Kraftvärmeprod!$B$1:$AG$1,0),FALSE)/1,"")</f>
        <v>220</v>
      </c>
      <c r="F263" s="121">
        <f>IF($D263="","",IFERROR(VLOOKUP($B263,Kraftvärmeprod!$B$1:$BX$549,MATCH(F$2,Kraftvärmeprod!$B$1:$VX$1,0),FALSE)/1,0)-IFERROR(VLOOKUP($B263,'Slutlig allokering kvv'!$B$2:$BX$549,MATCH(F$2,'Slutlig allokering kvv'!$B$1:$BX$1,0),FALSE)/1,0))</f>
        <v>23.4</v>
      </c>
      <c r="G263" s="121">
        <f>IF($D263="","",IFERROR(VLOOKUP($B263,Kraftvärmeprod!$B$1:$BX$549,MATCH(G$2,Kraftvärmeprod!$B$1:$VX$1,0),FALSE)/1,0)-IFERROR(VLOOKUP($B263,'Slutlig allokering kvv'!$B$2:$BX$549,MATCH(G$2,'Slutlig allokering kvv'!$B$1:$BX$1,0),FALSE)/1,0))</f>
        <v>3.5999999999999996</v>
      </c>
      <c r="H263" s="121">
        <f>IF($D263="","",IFERROR(VLOOKUP($B263,Kraftvärmeprod!$B$1:$BX$549,MATCH(H$2,Kraftvärmeprod!$B$1:$VX$1,0),FALSE)/1,0)-IFERROR(VLOOKUP($B263,'Slutlig allokering kvv'!$B$2:$BX$549,MATCH(H$2,'Slutlig allokering kvv'!$B$1:$BX$1,0),FALSE)/1,0))</f>
        <v>0</v>
      </c>
      <c r="I263" s="121">
        <f>IF($D263="","",IFERROR(VLOOKUP($B263,Kraftvärmeprod!$B$1:$BX$549,MATCH(I$2,Kraftvärmeprod!$B$1:$VX$1,0),FALSE)/1,0)-IFERROR(VLOOKUP($B263,'Slutlig allokering kvv'!$B$2:$BX$549,MATCH(I$2,'Slutlig allokering kvv'!$B$1:$BX$1,0),FALSE)/1,0))</f>
        <v>9</v>
      </c>
      <c r="J263" s="121">
        <f>IF($D263="","",IFERROR(VLOOKUP($B263,Kraftvärmeprod!$B$1:$BX$549,MATCH(J$2,Kraftvärmeprod!$B$1:$VX$1,0),FALSE)/1,0)-IFERROR(VLOOKUP($B263,'Slutlig allokering kvv'!$B$2:$BX$549,MATCH(J$2,'Slutlig allokering kvv'!$B$1:$BX$1,0),FALSE)/1,0))</f>
        <v>0</v>
      </c>
      <c r="K263" s="121">
        <f>IF($D263="","",IFERROR(VLOOKUP($B263,Kraftvärmeprod!$B$1:$BX$549,MATCH(K$2,Kraftvärmeprod!$B$1:$VX$1,0),FALSE)/1,0)-IFERROR(VLOOKUP($B263,'Slutlig allokering kvv'!$B$2:$BX$549,MATCH(K$2,'Slutlig allokering kvv'!$B$1:$BX$1,0),FALSE)/1,0))</f>
        <v>32.1</v>
      </c>
      <c r="L263" s="121">
        <f>IF($D263="","",IFERROR(VLOOKUP($B263,Kraftvärmeprod!$B$1:$BX$549,MATCH(L$2,Kraftvärmeprod!$B$1:$VX$1,0),FALSE)/1,0)-IFERROR(VLOOKUP($B263,'Slutlig allokering kvv'!$B$2:$BX$549,MATCH(L$2,'Slutlig allokering kvv'!$B$1:$BX$1,0),FALSE)/1,0))</f>
        <v>8</v>
      </c>
      <c r="M263" s="121">
        <f>IF($D263="","",IFERROR(VLOOKUP($B263,Kraftvärmeprod!$B$1:$BX$549,MATCH(M$2,Kraftvärmeprod!$B$1:$VX$1,0),FALSE)/1,0)-IFERROR(VLOOKUP($B263,'Slutlig allokering kvv'!$B$2:$BX$549,MATCH(M$2,'Slutlig allokering kvv'!$B$1:$BX$1,0),FALSE)/1,0))</f>
        <v>0.8</v>
      </c>
      <c r="N263" s="121">
        <f>IF($D263="","",IFERROR(VLOOKUP($B263,Kraftvärmeprod!$B$1:$BX$549,MATCH(N$2,Kraftvärmeprod!$B$1:$VX$1,0),FALSE)/1,0)-IFERROR(VLOOKUP($B263,'Slutlig allokering kvv'!$B$2:$BX$549,MATCH(N$2,'Slutlig allokering kvv'!$B$1:$BX$1,0),FALSE)/1,0))</f>
        <v>1.5</v>
      </c>
      <c r="O263" s="121">
        <f>IF($D263="","",IFERROR(VLOOKUP($B263,Kraftvärmeprod!$B$1:$BX$549,MATCH(O$2,Kraftvärmeprod!$B$1:$VX$1,0),FALSE)/1,0)-IFERROR(VLOOKUP($B263,'Slutlig allokering kvv'!$B$2:$BX$549,MATCH(O$2,'Slutlig allokering kvv'!$B$1:$BX$1,0),FALSE)/1,0))</f>
        <v>0</v>
      </c>
      <c r="P263" s="121">
        <f>IF($D263="","",IFERROR(VLOOKUP($B263,Kraftvärmeprod!$B$1:$BX$549,MATCH(P$2,Kraftvärmeprod!$B$1:$VX$1,0),FALSE)/1,0)-IFERROR(VLOOKUP($B263,'Slutlig allokering kvv'!$B$2:$BX$549,MATCH(P$2,'Slutlig allokering kvv'!$B$1:$BX$1,0),FALSE)/1,0))</f>
        <v>0</v>
      </c>
      <c r="Q263" s="121">
        <f>IF($D263="","",IFERROR(VLOOKUP($B263,Kraftvärmeprod!$B$1:$BX$549,MATCH(Q$2,Kraftvärmeprod!$B$1:$VX$1,0),FALSE)/1,0)-IFERROR(VLOOKUP($B263,'Slutlig allokering kvv'!$B$2:$BX$549,MATCH(Q$2,'Slutlig allokering kvv'!$B$1:$BX$1,0),FALSE)/1,0))</f>
        <v>13.600000000000001</v>
      </c>
      <c r="R263" s="121">
        <f>IF($D263="","",IFERROR(VLOOKUP($B263,Kraftvärmeprod!$B$1:$BX$549,MATCH(R$2,Kraftvärmeprod!$B$1:$VX$1,0),FALSE)/1,0)-IFERROR(VLOOKUP($B263,'Slutlig allokering kvv'!$B$2:$BX$549,MATCH(R$2,'Slutlig allokering kvv'!$B$1:$BX$1,0),FALSE)/1,0))</f>
        <v>0</v>
      </c>
      <c r="S263" s="121">
        <f>IF($D263="","",IFERROR(VLOOKUP($B263,Kraftvärmeprod!$B$1:$BX$549,MATCH(S$2,Kraftvärmeprod!$B$1:$VX$1,0),FALSE)/1,0)-IFERROR(VLOOKUP($B263,'Slutlig allokering kvv'!$B$2:$BX$549,MATCH(S$2,'Slutlig allokering kvv'!$B$1:$BX$1,0),FALSE)/1,0))</f>
        <v>0</v>
      </c>
      <c r="T263" s="121">
        <f>IF($D263="","",IFERROR(VLOOKUP($B263,Kraftvärmeprod!$B$1:$BX$549,MATCH(T$2,Kraftvärmeprod!$B$1:$VX$1,0),FALSE)/1,0)-IFERROR(VLOOKUP($B263,'Slutlig allokering kvv'!$B$2:$BX$549,MATCH(T$2,'Slutlig allokering kvv'!$B$1:$BX$1,0),FALSE)/1,0))</f>
        <v>0</v>
      </c>
      <c r="U263" s="121">
        <f>IF($D263="","",IFERROR(VLOOKUP($B263,Kraftvärmeprod!$B$1:$BX$549,MATCH(U$2,Kraftvärmeprod!$B$1:$VX$1,0),FALSE)/1,0)-IFERROR(VLOOKUP($B263,'Slutlig allokering kvv'!$B$2:$BX$549,MATCH(U$2,'Slutlig allokering kvv'!$B$1:$BX$1,0),FALSE)/1,0))</f>
        <v>0</v>
      </c>
      <c r="V263" s="121">
        <f>IF($D263="","",IFERROR(VLOOKUP($B263,Kraftvärmeprod!$B$1:$BX$549,MATCH(V$2,Kraftvärmeprod!$B$1:$VX$1,0),FALSE)/1,0)-IFERROR(VLOOKUP($B263,'Slutlig allokering kvv'!$B$2:$BX$549,MATCH(V$2,'Slutlig allokering kvv'!$B$1:$BX$1,0),FALSE)/1,0))</f>
        <v>63.199999999999989</v>
      </c>
      <c r="W263" s="121">
        <f>IF($D263="","",IFERROR(VLOOKUP($B263,Kraftvärmeprod!$B$1:$BX$549,MATCH(W$2,Kraftvärmeprod!$B$1:$VX$1,0),FALSE)/1,0)-IFERROR(VLOOKUP($B263,'Slutlig allokering kvv'!$B$2:$BX$549,MATCH(W$2,'Slutlig allokering kvv'!$B$1:$BX$1,0),FALSE)/1,0))</f>
        <v>0</v>
      </c>
      <c r="X263" s="121">
        <f>IF($D263="","",IFERROR(VLOOKUP($B263,Kraftvärmeprod!$B$1:$BX$549,MATCH(X$2,Kraftvärmeprod!$B$1:$VX$1,0),FALSE)/1,0)-IFERROR(VLOOKUP($B263,'Slutlig allokering kvv'!$B$2:$BX$549,MATCH(X$2,'Slutlig allokering kvv'!$B$1:$BX$1,0),FALSE)/1,0))</f>
        <v>0</v>
      </c>
      <c r="Y263" s="121">
        <f>IF($D263="","",IFERROR(VLOOKUP($B263,Kraftvärmeprod!$B$1:$BX$549,MATCH(Y$2,Kraftvärmeprod!$B$1:$VX$1,0),FALSE)/1,0)-IFERROR(VLOOKUP($B263,'Slutlig allokering kvv'!$B$2:$BX$549,MATCH(Y$2,'Slutlig allokering kvv'!$B$1:$BX$1,0),FALSE)/1,0))</f>
        <v>0</v>
      </c>
      <c r="Z263" s="121">
        <f>IF($D263="","",IFERROR(VLOOKUP($B263,Kraftvärmeprod!$B$1:$BX$549,MATCH(Z$2,Kraftvärmeprod!$B$1:$VX$1,0),FALSE)/1,0)-IFERROR(VLOOKUP($B263,'Slutlig allokering kvv'!$B$2:$BX$549,MATCH(Z$2,'Slutlig allokering kvv'!$B$1:$BX$1,0),FALSE)/1,0))</f>
        <v>0</v>
      </c>
      <c r="AA263" s="121">
        <f>IF($D263="","",IFERROR(VLOOKUP($B263,Kraftvärmeprod!$B$1:$BX$549,MATCH(AA$2,Kraftvärmeprod!$B$1:$VX$1,0),FALSE)/1,0)-IFERROR(VLOOKUP($B263,'Slutlig allokering kvv'!$B$2:$BX$549,MATCH(AA$2,'Slutlig allokering kvv'!$B$1:$BX$1,0),FALSE)/1,0))</f>
        <v>511.69999999999993</v>
      </c>
      <c r="AB263" s="121">
        <f>IF($D263="","",IFERROR(VLOOKUP($B263,Kraftvärmeprod!$B$1:$BX$549,MATCH(AB$2,Kraftvärmeprod!$B$1:$VX$1,0),FALSE)/1,0)-IFERROR(VLOOKUP($B263,'Slutlig allokering kvv'!$B$2:$BX$549,MATCH(AB$2,'Slutlig allokering kvv'!$B$1:$BX$1,0),FALSE)/1,0))</f>
        <v>0</v>
      </c>
      <c r="AC263" s="121">
        <f>IF($D263="","",IFERROR(VLOOKUP($B263,Kraftvärmeprod!$B$1:$BX$549,MATCH(AC$2,Kraftvärmeprod!$B$1:$VX$1,0),FALSE)/1,0)-IFERROR(VLOOKUP($B263,'Slutlig allokering kvv'!$B$2:$BX$549,MATCH(AC$2,'Slutlig allokering kvv'!$B$1:$BX$1,0),FALSE)/1,0))</f>
        <v>0</v>
      </c>
      <c r="AD263" s="121">
        <f>IF($D263="","",IFERROR(VLOOKUP($B263,Kraftvärmeprod!$B$1:$BX$549,MATCH(AD$2,Kraftvärmeprod!$B$1:$VX$1,0),FALSE)/1,0)-IFERROR(VLOOKUP($B263,'Slutlig allokering kvv'!$B$2:$BX$549,MATCH(AD$2,'Slutlig allokering kvv'!$B$1:$BX$1,0),FALSE)/1,0))</f>
        <v>0</v>
      </c>
      <c r="AE263" s="121">
        <f>IF($D263="","",IFERROR(VLOOKUP($B263,Miljö!$B$1:$E$550,MATCH("Hjälpel kraftvärme (GWh)",Miljö!$B$1:$E$1,0),FALSE)/1,0)-IFERROR(VLOOKUP($B263,'Slutlig allokering kvv'!$B$2:$BX$549,MATCH(AE$2,'Slutlig allokering kvv'!$B$1:$BX$1,0),FALSE)/1,0))</f>
        <v>27.600000000000009</v>
      </c>
      <c r="AI263" s="121">
        <f t="shared" si="16"/>
        <v>666.89999999999986</v>
      </c>
      <c r="AK263" s="121">
        <f>IFERROR(VLOOKUP($B263,'Slutlig allokering kvv'!$B$2:$AX$549,MATCH("Summa slutlig allokerad tillförd energi (utan hjälpel och rökgaskondensering):",'Slutlig allokering kvv'!$B$1:$AX$1,0),FALSE)/1,"")</f>
        <v>754.5</v>
      </c>
      <c r="AM263" s="172">
        <f>IFERROR(1-VLOOKUP($B263,'Slutlig allokering kvv'!$B$2:$AX$549,MATCH("Andel av bränsle i kvv som allokerats till värme, exklusive rökgaskondensering och hjälpel",'Slutlig allokering kvv'!$B$1:$AX$1,0),FALSE),"")</f>
        <v>0.46918531025749266</v>
      </c>
      <c r="AO263" s="172">
        <f t="shared" si="17"/>
        <v>0.46918531025749255</v>
      </c>
      <c r="AP263" s="173">
        <f t="shared" si="18"/>
        <v>1.1102230246251565E-16</v>
      </c>
      <c r="AR263" s="172">
        <f t="shared" si="19"/>
        <v>0.31677465802735788</v>
      </c>
    </row>
    <row r="264" spans="1:44" x14ac:dyDescent="0.25">
      <c r="A264" s="171" t="str">
        <f>'Miljövärden för publ företag'!B266</f>
        <v>Tekniska Verken i Linköping AB</v>
      </c>
      <c r="B264" s="171" t="str">
        <f>'Miljövärden för publ företag'!C266</f>
        <v>Skärblacka</v>
      </c>
      <c r="C264" s="121" t="str">
        <f>IFERROR(VLOOKUP($B264,Kraftvärmeprod!$B$1:$AH$478,MATCH(C$2,Kraftvärmeprod!$B$1:$AG$1,0),FALSE)/1,"")</f>
        <v/>
      </c>
      <c r="D264" s="121" t="str">
        <f>IFERROR(VLOOKUP($B264,Kraftvärmeprod!$B$1:$AH$478,MATCH(D$2,Kraftvärmeprod!$B$1:$AG$1,0),FALSE)/1,"")</f>
        <v/>
      </c>
      <c r="F264" s="121" t="str">
        <f>IF($D264="","",IFERROR(VLOOKUP($B264,Kraftvärmeprod!$B$1:$BX$549,MATCH(F$2,Kraftvärmeprod!$B$1:$VX$1,0),FALSE)/1,0)-IFERROR(VLOOKUP($B264,'Slutlig allokering kvv'!$B$2:$BX$549,MATCH(F$2,'Slutlig allokering kvv'!$B$1:$BX$1,0),FALSE)/1,0))</f>
        <v/>
      </c>
      <c r="G264" s="121" t="str">
        <f>IF($D264="","",IFERROR(VLOOKUP($B264,Kraftvärmeprod!$B$1:$BX$549,MATCH(G$2,Kraftvärmeprod!$B$1:$VX$1,0),FALSE)/1,0)-IFERROR(VLOOKUP($B264,'Slutlig allokering kvv'!$B$2:$BX$549,MATCH(G$2,'Slutlig allokering kvv'!$B$1:$BX$1,0),FALSE)/1,0))</f>
        <v/>
      </c>
      <c r="H264" s="121" t="str">
        <f>IF($D264="","",IFERROR(VLOOKUP($B264,Kraftvärmeprod!$B$1:$BX$549,MATCH(H$2,Kraftvärmeprod!$B$1:$VX$1,0),FALSE)/1,0)-IFERROR(VLOOKUP($B264,'Slutlig allokering kvv'!$B$2:$BX$549,MATCH(H$2,'Slutlig allokering kvv'!$B$1:$BX$1,0),FALSE)/1,0))</f>
        <v/>
      </c>
      <c r="I264" s="121" t="str">
        <f>IF($D264="","",IFERROR(VLOOKUP($B264,Kraftvärmeprod!$B$1:$BX$549,MATCH(I$2,Kraftvärmeprod!$B$1:$VX$1,0),FALSE)/1,0)-IFERROR(VLOOKUP($B264,'Slutlig allokering kvv'!$B$2:$BX$549,MATCH(I$2,'Slutlig allokering kvv'!$B$1:$BX$1,0),FALSE)/1,0))</f>
        <v/>
      </c>
      <c r="J264" s="121" t="str">
        <f>IF($D264="","",IFERROR(VLOOKUP($B264,Kraftvärmeprod!$B$1:$BX$549,MATCH(J$2,Kraftvärmeprod!$B$1:$VX$1,0),FALSE)/1,0)-IFERROR(VLOOKUP($B264,'Slutlig allokering kvv'!$B$2:$BX$549,MATCH(J$2,'Slutlig allokering kvv'!$B$1:$BX$1,0),FALSE)/1,0))</f>
        <v/>
      </c>
      <c r="K264" s="121" t="str">
        <f>IF($D264="","",IFERROR(VLOOKUP($B264,Kraftvärmeprod!$B$1:$BX$549,MATCH(K$2,Kraftvärmeprod!$B$1:$VX$1,0),FALSE)/1,0)-IFERROR(VLOOKUP($B264,'Slutlig allokering kvv'!$B$2:$BX$549,MATCH(K$2,'Slutlig allokering kvv'!$B$1:$BX$1,0),FALSE)/1,0))</f>
        <v/>
      </c>
      <c r="L264" s="121" t="str">
        <f>IF($D264="","",IFERROR(VLOOKUP($B264,Kraftvärmeprod!$B$1:$BX$549,MATCH(L$2,Kraftvärmeprod!$B$1:$VX$1,0),FALSE)/1,0)-IFERROR(VLOOKUP($B264,'Slutlig allokering kvv'!$B$2:$BX$549,MATCH(L$2,'Slutlig allokering kvv'!$B$1:$BX$1,0),FALSE)/1,0))</f>
        <v/>
      </c>
      <c r="M264" s="121" t="str">
        <f>IF($D264="","",IFERROR(VLOOKUP($B264,Kraftvärmeprod!$B$1:$BX$549,MATCH(M$2,Kraftvärmeprod!$B$1:$VX$1,0),FALSE)/1,0)-IFERROR(VLOOKUP($B264,'Slutlig allokering kvv'!$B$2:$BX$549,MATCH(M$2,'Slutlig allokering kvv'!$B$1:$BX$1,0),FALSE)/1,0))</f>
        <v/>
      </c>
      <c r="N264" s="121" t="str">
        <f>IF($D264="","",IFERROR(VLOOKUP($B264,Kraftvärmeprod!$B$1:$BX$549,MATCH(N$2,Kraftvärmeprod!$B$1:$VX$1,0),FALSE)/1,0)-IFERROR(VLOOKUP($B264,'Slutlig allokering kvv'!$B$2:$BX$549,MATCH(N$2,'Slutlig allokering kvv'!$B$1:$BX$1,0),FALSE)/1,0))</f>
        <v/>
      </c>
      <c r="O264" s="121" t="str">
        <f>IF($D264="","",IFERROR(VLOOKUP($B264,Kraftvärmeprod!$B$1:$BX$549,MATCH(O$2,Kraftvärmeprod!$B$1:$VX$1,0),FALSE)/1,0)-IFERROR(VLOOKUP($B264,'Slutlig allokering kvv'!$B$2:$BX$549,MATCH(O$2,'Slutlig allokering kvv'!$B$1:$BX$1,0),FALSE)/1,0))</f>
        <v/>
      </c>
      <c r="P264" s="121" t="str">
        <f>IF($D264="","",IFERROR(VLOOKUP($B264,Kraftvärmeprod!$B$1:$BX$549,MATCH(P$2,Kraftvärmeprod!$B$1:$VX$1,0),FALSE)/1,0)-IFERROR(VLOOKUP($B264,'Slutlig allokering kvv'!$B$2:$BX$549,MATCH(P$2,'Slutlig allokering kvv'!$B$1:$BX$1,0),FALSE)/1,0))</f>
        <v/>
      </c>
      <c r="Q264" s="121" t="str">
        <f>IF($D264="","",IFERROR(VLOOKUP($B264,Kraftvärmeprod!$B$1:$BX$549,MATCH(Q$2,Kraftvärmeprod!$B$1:$VX$1,0),FALSE)/1,0)-IFERROR(VLOOKUP($B264,'Slutlig allokering kvv'!$B$2:$BX$549,MATCH(Q$2,'Slutlig allokering kvv'!$B$1:$BX$1,0),FALSE)/1,0))</f>
        <v/>
      </c>
      <c r="R264" s="121" t="str">
        <f>IF($D264="","",IFERROR(VLOOKUP($B264,Kraftvärmeprod!$B$1:$BX$549,MATCH(R$2,Kraftvärmeprod!$B$1:$VX$1,0),FALSE)/1,0)-IFERROR(VLOOKUP($B264,'Slutlig allokering kvv'!$B$2:$BX$549,MATCH(R$2,'Slutlig allokering kvv'!$B$1:$BX$1,0),FALSE)/1,0))</f>
        <v/>
      </c>
      <c r="S264" s="121" t="str">
        <f>IF($D264="","",IFERROR(VLOOKUP($B264,Kraftvärmeprod!$B$1:$BX$549,MATCH(S$2,Kraftvärmeprod!$B$1:$VX$1,0),FALSE)/1,0)-IFERROR(VLOOKUP($B264,'Slutlig allokering kvv'!$B$2:$BX$549,MATCH(S$2,'Slutlig allokering kvv'!$B$1:$BX$1,0),FALSE)/1,0))</f>
        <v/>
      </c>
      <c r="T264" s="121" t="str">
        <f>IF($D264="","",IFERROR(VLOOKUP($B264,Kraftvärmeprod!$B$1:$BX$549,MATCH(T$2,Kraftvärmeprod!$B$1:$VX$1,0),FALSE)/1,0)-IFERROR(VLOOKUP($B264,'Slutlig allokering kvv'!$B$2:$BX$549,MATCH(T$2,'Slutlig allokering kvv'!$B$1:$BX$1,0),FALSE)/1,0))</f>
        <v/>
      </c>
      <c r="U264" s="121" t="str">
        <f>IF($D264="","",IFERROR(VLOOKUP($B264,Kraftvärmeprod!$B$1:$BX$549,MATCH(U$2,Kraftvärmeprod!$B$1:$VX$1,0),FALSE)/1,0)-IFERROR(VLOOKUP($B264,'Slutlig allokering kvv'!$B$2:$BX$549,MATCH(U$2,'Slutlig allokering kvv'!$B$1:$BX$1,0),FALSE)/1,0))</f>
        <v/>
      </c>
      <c r="V264" s="121" t="str">
        <f>IF($D264="","",IFERROR(VLOOKUP($B264,Kraftvärmeprod!$B$1:$BX$549,MATCH(V$2,Kraftvärmeprod!$B$1:$VX$1,0),FALSE)/1,0)-IFERROR(VLOOKUP($B264,'Slutlig allokering kvv'!$B$2:$BX$549,MATCH(V$2,'Slutlig allokering kvv'!$B$1:$BX$1,0),FALSE)/1,0))</f>
        <v/>
      </c>
      <c r="W264" s="121" t="str">
        <f>IF($D264="","",IFERROR(VLOOKUP($B264,Kraftvärmeprod!$B$1:$BX$549,MATCH(W$2,Kraftvärmeprod!$B$1:$VX$1,0),FALSE)/1,0)-IFERROR(VLOOKUP($B264,'Slutlig allokering kvv'!$B$2:$BX$549,MATCH(W$2,'Slutlig allokering kvv'!$B$1:$BX$1,0),FALSE)/1,0))</f>
        <v/>
      </c>
      <c r="X264" s="121" t="str">
        <f>IF($D264="","",IFERROR(VLOOKUP($B264,Kraftvärmeprod!$B$1:$BX$549,MATCH(X$2,Kraftvärmeprod!$B$1:$VX$1,0),FALSE)/1,0)-IFERROR(VLOOKUP($B264,'Slutlig allokering kvv'!$B$2:$BX$549,MATCH(X$2,'Slutlig allokering kvv'!$B$1:$BX$1,0),FALSE)/1,0))</f>
        <v/>
      </c>
      <c r="Y264" s="121" t="str">
        <f>IF($D264="","",IFERROR(VLOOKUP($B264,Kraftvärmeprod!$B$1:$BX$549,MATCH(Y$2,Kraftvärmeprod!$B$1:$VX$1,0),FALSE)/1,0)-IFERROR(VLOOKUP($B264,'Slutlig allokering kvv'!$B$2:$BX$549,MATCH(Y$2,'Slutlig allokering kvv'!$B$1:$BX$1,0),FALSE)/1,0))</f>
        <v/>
      </c>
      <c r="Z264" s="121" t="str">
        <f>IF($D264="","",IFERROR(VLOOKUP($B264,Kraftvärmeprod!$B$1:$BX$549,MATCH(Z$2,Kraftvärmeprod!$B$1:$VX$1,0),FALSE)/1,0)-IFERROR(VLOOKUP($B264,'Slutlig allokering kvv'!$B$2:$BX$549,MATCH(Z$2,'Slutlig allokering kvv'!$B$1:$BX$1,0),FALSE)/1,0))</f>
        <v/>
      </c>
      <c r="AA264" s="121" t="str">
        <f>IF($D264="","",IFERROR(VLOOKUP($B264,Kraftvärmeprod!$B$1:$BX$549,MATCH(AA$2,Kraftvärmeprod!$B$1:$VX$1,0),FALSE)/1,0)-IFERROR(VLOOKUP($B264,'Slutlig allokering kvv'!$B$2:$BX$549,MATCH(AA$2,'Slutlig allokering kvv'!$B$1:$BX$1,0),FALSE)/1,0))</f>
        <v/>
      </c>
      <c r="AB264" s="121" t="str">
        <f>IF($D264="","",IFERROR(VLOOKUP($B264,Kraftvärmeprod!$B$1:$BX$549,MATCH(AB$2,Kraftvärmeprod!$B$1:$VX$1,0),FALSE)/1,0)-IFERROR(VLOOKUP($B264,'Slutlig allokering kvv'!$B$2:$BX$549,MATCH(AB$2,'Slutlig allokering kvv'!$B$1:$BX$1,0),FALSE)/1,0))</f>
        <v/>
      </c>
      <c r="AC264" s="121" t="str">
        <f>IF($D264="","",IFERROR(VLOOKUP($B264,Kraftvärmeprod!$B$1:$BX$549,MATCH(AC$2,Kraftvärmeprod!$B$1:$VX$1,0),FALSE)/1,0)-IFERROR(VLOOKUP($B264,'Slutlig allokering kvv'!$B$2:$BX$549,MATCH(AC$2,'Slutlig allokering kvv'!$B$1:$BX$1,0),FALSE)/1,0))</f>
        <v/>
      </c>
      <c r="AD264" s="121" t="str">
        <f>IF($D264="","",IFERROR(VLOOKUP($B264,Kraftvärmeprod!$B$1:$BX$549,MATCH(AD$2,Kraftvärmeprod!$B$1:$VX$1,0),FALSE)/1,0)-IFERROR(VLOOKUP($B264,'Slutlig allokering kvv'!$B$2:$BX$549,MATCH(AD$2,'Slutlig allokering kvv'!$B$1:$BX$1,0),FALSE)/1,0))</f>
        <v/>
      </c>
      <c r="AE264" s="121" t="str">
        <f>IF($D264="","",IFERROR(VLOOKUP($B264,Miljö!$B$1:$E$550,MATCH("Hjälpel kraftvärme (GWh)",Miljö!$B$1:$E$1,0),FALSE)/1,0)-IFERROR(VLOOKUP($B264,'Slutlig allokering kvv'!$B$2:$BX$549,MATCH(AE$2,'Slutlig allokering kvv'!$B$1:$BX$1,0),FALSE)/1,0))</f>
        <v/>
      </c>
      <c r="AI264" s="121">
        <f t="shared" si="16"/>
        <v>0</v>
      </c>
      <c r="AK264" s="121">
        <f>IFERROR(VLOOKUP($B264,'Slutlig allokering kvv'!$B$2:$AX$549,MATCH("Summa slutlig allokerad tillförd energi (utan hjälpel och rökgaskondensering):",'Slutlig allokering kvv'!$B$1:$AX$1,0),FALSE)/1,"")</f>
        <v>0</v>
      </c>
      <c r="AM264" s="172" t="str">
        <f>IFERROR(1-VLOOKUP($B264,'Slutlig allokering kvv'!$B$2:$AX$549,MATCH("Andel av bränsle i kvv som allokerats till värme, exklusive rökgaskondensering och hjälpel",'Slutlig allokering kvv'!$B$1:$AX$1,0),FALSE),"")</f>
        <v/>
      </c>
      <c r="AO264" s="172" t="str">
        <f t="shared" si="17"/>
        <v/>
      </c>
      <c r="AP264" s="173" t="str">
        <f t="shared" si="18"/>
        <v/>
      </c>
      <c r="AR264" s="172" t="str">
        <f t="shared" si="19"/>
        <v/>
      </c>
    </row>
    <row r="265" spans="1:44" x14ac:dyDescent="0.25">
      <c r="A265" s="171" t="str">
        <f>'Miljövärden för publ företag'!B267</f>
        <v>Tekniska Verken i Linköping AB</v>
      </c>
      <c r="B265" s="171" t="str">
        <f>'Miljövärden för publ företag'!C267</f>
        <v>Åtvidaberg</v>
      </c>
      <c r="C265" s="121" t="str">
        <f>IFERROR(VLOOKUP($B265,Kraftvärmeprod!$B$1:$AH$478,MATCH(C$2,Kraftvärmeprod!$B$1:$AG$1,0),FALSE)/1,"")</f>
        <v/>
      </c>
      <c r="D265" s="121" t="str">
        <f>IFERROR(VLOOKUP($B265,Kraftvärmeprod!$B$1:$AH$478,MATCH(D$2,Kraftvärmeprod!$B$1:$AG$1,0),FALSE)/1,"")</f>
        <v/>
      </c>
      <c r="F265" s="121" t="str">
        <f>IF($D265="","",IFERROR(VLOOKUP($B265,Kraftvärmeprod!$B$1:$BX$549,MATCH(F$2,Kraftvärmeprod!$B$1:$VX$1,0),FALSE)/1,0)-IFERROR(VLOOKUP($B265,'Slutlig allokering kvv'!$B$2:$BX$549,MATCH(F$2,'Slutlig allokering kvv'!$B$1:$BX$1,0),FALSE)/1,0))</f>
        <v/>
      </c>
      <c r="G265" s="121" t="str">
        <f>IF($D265="","",IFERROR(VLOOKUP($B265,Kraftvärmeprod!$B$1:$BX$549,MATCH(G$2,Kraftvärmeprod!$B$1:$VX$1,0),FALSE)/1,0)-IFERROR(VLOOKUP($B265,'Slutlig allokering kvv'!$B$2:$BX$549,MATCH(G$2,'Slutlig allokering kvv'!$B$1:$BX$1,0),FALSE)/1,0))</f>
        <v/>
      </c>
      <c r="H265" s="121" t="str">
        <f>IF($D265="","",IFERROR(VLOOKUP($B265,Kraftvärmeprod!$B$1:$BX$549,MATCH(H$2,Kraftvärmeprod!$B$1:$VX$1,0),FALSE)/1,0)-IFERROR(VLOOKUP($B265,'Slutlig allokering kvv'!$B$2:$BX$549,MATCH(H$2,'Slutlig allokering kvv'!$B$1:$BX$1,0),FALSE)/1,0))</f>
        <v/>
      </c>
      <c r="I265" s="121" t="str">
        <f>IF($D265="","",IFERROR(VLOOKUP($B265,Kraftvärmeprod!$B$1:$BX$549,MATCH(I$2,Kraftvärmeprod!$B$1:$VX$1,0),FALSE)/1,0)-IFERROR(VLOOKUP($B265,'Slutlig allokering kvv'!$B$2:$BX$549,MATCH(I$2,'Slutlig allokering kvv'!$B$1:$BX$1,0),FALSE)/1,0))</f>
        <v/>
      </c>
      <c r="J265" s="121" t="str">
        <f>IF($D265="","",IFERROR(VLOOKUP($B265,Kraftvärmeprod!$B$1:$BX$549,MATCH(J$2,Kraftvärmeprod!$B$1:$VX$1,0),FALSE)/1,0)-IFERROR(VLOOKUP($B265,'Slutlig allokering kvv'!$B$2:$BX$549,MATCH(J$2,'Slutlig allokering kvv'!$B$1:$BX$1,0),FALSE)/1,0))</f>
        <v/>
      </c>
      <c r="K265" s="121" t="str">
        <f>IF($D265="","",IFERROR(VLOOKUP($B265,Kraftvärmeprod!$B$1:$BX$549,MATCH(K$2,Kraftvärmeprod!$B$1:$VX$1,0),FALSE)/1,0)-IFERROR(VLOOKUP($B265,'Slutlig allokering kvv'!$B$2:$BX$549,MATCH(K$2,'Slutlig allokering kvv'!$B$1:$BX$1,0),FALSE)/1,0))</f>
        <v/>
      </c>
      <c r="L265" s="121" t="str">
        <f>IF($D265="","",IFERROR(VLOOKUP($B265,Kraftvärmeprod!$B$1:$BX$549,MATCH(L$2,Kraftvärmeprod!$B$1:$VX$1,0),FALSE)/1,0)-IFERROR(VLOOKUP($B265,'Slutlig allokering kvv'!$B$2:$BX$549,MATCH(L$2,'Slutlig allokering kvv'!$B$1:$BX$1,0),FALSE)/1,0))</f>
        <v/>
      </c>
      <c r="M265" s="121" t="str">
        <f>IF($D265="","",IFERROR(VLOOKUP($B265,Kraftvärmeprod!$B$1:$BX$549,MATCH(M$2,Kraftvärmeprod!$B$1:$VX$1,0),FALSE)/1,0)-IFERROR(VLOOKUP($B265,'Slutlig allokering kvv'!$B$2:$BX$549,MATCH(M$2,'Slutlig allokering kvv'!$B$1:$BX$1,0),FALSE)/1,0))</f>
        <v/>
      </c>
      <c r="N265" s="121" t="str">
        <f>IF($D265="","",IFERROR(VLOOKUP($B265,Kraftvärmeprod!$B$1:$BX$549,MATCH(N$2,Kraftvärmeprod!$B$1:$VX$1,0),FALSE)/1,0)-IFERROR(VLOOKUP($B265,'Slutlig allokering kvv'!$B$2:$BX$549,MATCH(N$2,'Slutlig allokering kvv'!$B$1:$BX$1,0),FALSE)/1,0))</f>
        <v/>
      </c>
      <c r="O265" s="121" t="str">
        <f>IF($D265="","",IFERROR(VLOOKUP($B265,Kraftvärmeprod!$B$1:$BX$549,MATCH(O$2,Kraftvärmeprod!$B$1:$VX$1,0),FALSE)/1,0)-IFERROR(VLOOKUP($B265,'Slutlig allokering kvv'!$B$2:$BX$549,MATCH(O$2,'Slutlig allokering kvv'!$B$1:$BX$1,0),FALSE)/1,0))</f>
        <v/>
      </c>
      <c r="P265" s="121" t="str">
        <f>IF($D265="","",IFERROR(VLOOKUP($B265,Kraftvärmeprod!$B$1:$BX$549,MATCH(P$2,Kraftvärmeprod!$B$1:$VX$1,0),FALSE)/1,0)-IFERROR(VLOOKUP($B265,'Slutlig allokering kvv'!$B$2:$BX$549,MATCH(P$2,'Slutlig allokering kvv'!$B$1:$BX$1,0),FALSE)/1,0))</f>
        <v/>
      </c>
      <c r="Q265" s="121" t="str">
        <f>IF($D265="","",IFERROR(VLOOKUP($B265,Kraftvärmeprod!$B$1:$BX$549,MATCH(Q$2,Kraftvärmeprod!$B$1:$VX$1,0),FALSE)/1,0)-IFERROR(VLOOKUP($B265,'Slutlig allokering kvv'!$B$2:$BX$549,MATCH(Q$2,'Slutlig allokering kvv'!$B$1:$BX$1,0),FALSE)/1,0))</f>
        <v/>
      </c>
      <c r="R265" s="121" t="str">
        <f>IF($D265="","",IFERROR(VLOOKUP($B265,Kraftvärmeprod!$B$1:$BX$549,MATCH(R$2,Kraftvärmeprod!$B$1:$VX$1,0),FALSE)/1,0)-IFERROR(VLOOKUP($B265,'Slutlig allokering kvv'!$B$2:$BX$549,MATCH(R$2,'Slutlig allokering kvv'!$B$1:$BX$1,0),FALSE)/1,0))</f>
        <v/>
      </c>
      <c r="S265" s="121" t="str">
        <f>IF($D265="","",IFERROR(VLOOKUP($B265,Kraftvärmeprod!$B$1:$BX$549,MATCH(S$2,Kraftvärmeprod!$B$1:$VX$1,0),FALSE)/1,0)-IFERROR(VLOOKUP($B265,'Slutlig allokering kvv'!$B$2:$BX$549,MATCH(S$2,'Slutlig allokering kvv'!$B$1:$BX$1,0),FALSE)/1,0))</f>
        <v/>
      </c>
      <c r="T265" s="121" t="str">
        <f>IF($D265="","",IFERROR(VLOOKUP($B265,Kraftvärmeprod!$B$1:$BX$549,MATCH(T$2,Kraftvärmeprod!$B$1:$VX$1,0),FALSE)/1,0)-IFERROR(VLOOKUP($B265,'Slutlig allokering kvv'!$B$2:$BX$549,MATCH(T$2,'Slutlig allokering kvv'!$B$1:$BX$1,0),FALSE)/1,0))</f>
        <v/>
      </c>
      <c r="U265" s="121" t="str">
        <f>IF($D265="","",IFERROR(VLOOKUP($B265,Kraftvärmeprod!$B$1:$BX$549,MATCH(U$2,Kraftvärmeprod!$B$1:$VX$1,0),FALSE)/1,0)-IFERROR(VLOOKUP($B265,'Slutlig allokering kvv'!$B$2:$BX$549,MATCH(U$2,'Slutlig allokering kvv'!$B$1:$BX$1,0),FALSE)/1,0))</f>
        <v/>
      </c>
      <c r="V265" s="121" t="str">
        <f>IF($D265="","",IFERROR(VLOOKUP($B265,Kraftvärmeprod!$B$1:$BX$549,MATCH(V$2,Kraftvärmeprod!$B$1:$VX$1,0),FALSE)/1,0)-IFERROR(VLOOKUP($B265,'Slutlig allokering kvv'!$B$2:$BX$549,MATCH(V$2,'Slutlig allokering kvv'!$B$1:$BX$1,0),FALSE)/1,0))</f>
        <v/>
      </c>
      <c r="W265" s="121" t="str">
        <f>IF($D265="","",IFERROR(VLOOKUP($B265,Kraftvärmeprod!$B$1:$BX$549,MATCH(W$2,Kraftvärmeprod!$B$1:$VX$1,0),FALSE)/1,0)-IFERROR(VLOOKUP($B265,'Slutlig allokering kvv'!$B$2:$BX$549,MATCH(W$2,'Slutlig allokering kvv'!$B$1:$BX$1,0),FALSE)/1,0))</f>
        <v/>
      </c>
      <c r="X265" s="121" t="str">
        <f>IF($D265="","",IFERROR(VLOOKUP($B265,Kraftvärmeprod!$B$1:$BX$549,MATCH(X$2,Kraftvärmeprod!$B$1:$VX$1,0),FALSE)/1,0)-IFERROR(VLOOKUP($B265,'Slutlig allokering kvv'!$B$2:$BX$549,MATCH(X$2,'Slutlig allokering kvv'!$B$1:$BX$1,0),FALSE)/1,0))</f>
        <v/>
      </c>
      <c r="Y265" s="121" t="str">
        <f>IF($D265="","",IFERROR(VLOOKUP($B265,Kraftvärmeprod!$B$1:$BX$549,MATCH(Y$2,Kraftvärmeprod!$B$1:$VX$1,0),FALSE)/1,0)-IFERROR(VLOOKUP($B265,'Slutlig allokering kvv'!$B$2:$BX$549,MATCH(Y$2,'Slutlig allokering kvv'!$B$1:$BX$1,0),FALSE)/1,0))</f>
        <v/>
      </c>
      <c r="Z265" s="121" t="str">
        <f>IF($D265="","",IFERROR(VLOOKUP($B265,Kraftvärmeprod!$B$1:$BX$549,MATCH(Z$2,Kraftvärmeprod!$B$1:$VX$1,0),FALSE)/1,0)-IFERROR(VLOOKUP($B265,'Slutlig allokering kvv'!$B$2:$BX$549,MATCH(Z$2,'Slutlig allokering kvv'!$B$1:$BX$1,0),FALSE)/1,0))</f>
        <v/>
      </c>
      <c r="AA265" s="121" t="str">
        <f>IF($D265="","",IFERROR(VLOOKUP($B265,Kraftvärmeprod!$B$1:$BX$549,MATCH(AA$2,Kraftvärmeprod!$B$1:$VX$1,0),FALSE)/1,0)-IFERROR(VLOOKUP($B265,'Slutlig allokering kvv'!$B$2:$BX$549,MATCH(AA$2,'Slutlig allokering kvv'!$B$1:$BX$1,0),FALSE)/1,0))</f>
        <v/>
      </c>
      <c r="AB265" s="121" t="str">
        <f>IF($D265="","",IFERROR(VLOOKUP($B265,Kraftvärmeprod!$B$1:$BX$549,MATCH(AB$2,Kraftvärmeprod!$B$1:$VX$1,0),FALSE)/1,0)-IFERROR(VLOOKUP($B265,'Slutlig allokering kvv'!$B$2:$BX$549,MATCH(AB$2,'Slutlig allokering kvv'!$B$1:$BX$1,0),FALSE)/1,0))</f>
        <v/>
      </c>
      <c r="AC265" s="121" t="str">
        <f>IF($D265="","",IFERROR(VLOOKUP($B265,Kraftvärmeprod!$B$1:$BX$549,MATCH(AC$2,Kraftvärmeprod!$B$1:$VX$1,0),FALSE)/1,0)-IFERROR(VLOOKUP($B265,'Slutlig allokering kvv'!$B$2:$BX$549,MATCH(AC$2,'Slutlig allokering kvv'!$B$1:$BX$1,0),FALSE)/1,0))</f>
        <v/>
      </c>
      <c r="AD265" s="121" t="str">
        <f>IF($D265="","",IFERROR(VLOOKUP($B265,Kraftvärmeprod!$B$1:$BX$549,MATCH(AD$2,Kraftvärmeprod!$B$1:$VX$1,0),FALSE)/1,0)-IFERROR(VLOOKUP($B265,'Slutlig allokering kvv'!$B$2:$BX$549,MATCH(AD$2,'Slutlig allokering kvv'!$B$1:$BX$1,0),FALSE)/1,0))</f>
        <v/>
      </c>
      <c r="AE265" s="121" t="str">
        <f>IF($D265="","",IFERROR(VLOOKUP($B265,Miljö!$B$1:$E$550,MATCH("Hjälpel kraftvärme (GWh)",Miljö!$B$1:$E$1,0),FALSE)/1,0)-IFERROR(VLOOKUP($B265,'Slutlig allokering kvv'!$B$2:$BX$549,MATCH(AE$2,'Slutlig allokering kvv'!$B$1:$BX$1,0),FALSE)/1,0))</f>
        <v/>
      </c>
      <c r="AI265" s="121">
        <f t="shared" si="16"/>
        <v>0</v>
      </c>
      <c r="AK265" s="121">
        <f>IFERROR(VLOOKUP($B265,'Slutlig allokering kvv'!$B$2:$AX$549,MATCH("Summa slutlig allokerad tillförd energi (utan hjälpel och rökgaskondensering):",'Slutlig allokering kvv'!$B$1:$AX$1,0),FALSE)/1,"")</f>
        <v>0</v>
      </c>
      <c r="AM265" s="172" t="str">
        <f>IFERROR(1-VLOOKUP($B265,'Slutlig allokering kvv'!$B$2:$AX$549,MATCH("Andel av bränsle i kvv som allokerats till värme, exklusive rökgaskondensering och hjälpel",'Slutlig allokering kvv'!$B$1:$AX$1,0),FALSE),"")</f>
        <v/>
      </c>
      <c r="AO265" s="172" t="str">
        <f t="shared" si="17"/>
        <v/>
      </c>
      <c r="AP265" s="173" t="str">
        <f t="shared" si="18"/>
        <v/>
      </c>
      <c r="AR265" s="172" t="str">
        <f t="shared" si="19"/>
        <v/>
      </c>
    </row>
    <row r="266" spans="1:44" x14ac:dyDescent="0.25">
      <c r="A266" s="171" t="str">
        <f>'Miljövärden för publ företag'!B268</f>
        <v>Telge Nät AB</v>
      </c>
      <c r="B266" s="171" t="str">
        <f>'Miljövärden för publ företag'!C268</f>
        <v>Järna</v>
      </c>
      <c r="C266" s="121" t="str">
        <f>IFERROR(VLOOKUP($B266,Kraftvärmeprod!$B$1:$AH$478,MATCH(C$2,Kraftvärmeprod!$B$1:$AG$1,0),FALSE)/1,"")</f>
        <v/>
      </c>
      <c r="D266" s="121" t="str">
        <f>IFERROR(VLOOKUP($B266,Kraftvärmeprod!$B$1:$AH$478,MATCH(D$2,Kraftvärmeprod!$B$1:$AG$1,0),FALSE)/1,"")</f>
        <v/>
      </c>
      <c r="F266" s="121" t="str">
        <f>IF($D266="","",IFERROR(VLOOKUP($B266,Kraftvärmeprod!$B$1:$BX$549,MATCH(F$2,Kraftvärmeprod!$B$1:$VX$1,0),FALSE)/1,0)-IFERROR(VLOOKUP($B266,'Slutlig allokering kvv'!$B$2:$BX$549,MATCH(F$2,'Slutlig allokering kvv'!$B$1:$BX$1,0),FALSE)/1,0))</f>
        <v/>
      </c>
      <c r="G266" s="121" t="str">
        <f>IF($D266="","",IFERROR(VLOOKUP($B266,Kraftvärmeprod!$B$1:$BX$549,MATCH(G$2,Kraftvärmeprod!$B$1:$VX$1,0),FALSE)/1,0)-IFERROR(VLOOKUP($B266,'Slutlig allokering kvv'!$B$2:$BX$549,MATCH(G$2,'Slutlig allokering kvv'!$B$1:$BX$1,0),FALSE)/1,0))</f>
        <v/>
      </c>
      <c r="H266" s="121" t="str">
        <f>IF($D266="","",IFERROR(VLOOKUP($B266,Kraftvärmeprod!$B$1:$BX$549,MATCH(H$2,Kraftvärmeprod!$B$1:$VX$1,0),FALSE)/1,0)-IFERROR(VLOOKUP($B266,'Slutlig allokering kvv'!$B$2:$BX$549,MATCH(H$2,'Slutlig allokering kvv'!$B$1:$BX$1,0),FALSE)/1,0))</f>
        <v/>
      </c>
      <c r="I266" s="121" t="str">
        <f>IF($D266="","",IFERROR(VLOOKUP($B266,Kraftvärmeprod!$B$1:$BX$549,MATCH(I$2,Kraftvärmeprod!$B$1:$VX$1,0),FALSE)/1,0)-IFERROR(VLOOKUP($B266,'Slutlig allokering kvv'!$B$2:$BX$549,MATCH(I$2,'Slutlig allokering kvv'!$B$1:$BX$1,0),FALSE)/1,0))</f>
        <v/>
      </c>
      <c r="J266" s="121" t="str">
        <f>IF($D266="","",IFERROR(VLOOKUP($B266,Kraftvärmeprod!$B$1:$BX$549,MATCH(J$2,Kraftvärmeprod!$B$1:$VX$1,0),FALSE)/1,0)-IFERROR(VLOOKUP($B266,'Slutlig allokering kvv'!$B$2:$BX$549,MATCH(J$2,'Slutlig allokering kvv'!$B$1:$BX$1,0),FALSE)/1,0))</f>
        <v/>
      </c>
      <c r="K266" s="121" t="str">
        <f>IF($D266="","",IFERROR(VLOOKUP($B266,Kraftvärmeprod!$B$1:$BX$549,MATCH(K$2,Kraftvärmeprod!$B$1:$VX$1,0),FALSE)/1,0)-IFERROR(VLOOKUP($B266,'Slutlig allokering kvv'!$B$2:$BX$549,MATCH(K$2,'Slutlig allokering kvv'!$B$1:$BX$1,0),FALSE)/1,0))</f>
        <v/>
      </c>
      <c r="L266" s="121" t="str">
        <f>IF($D266="","",IFERROR(VLOOKUP($B266,Kraftvärmeprod!$B$1:$BX$549,MATCH(L$2,Kraftvärmeprod!$B$1:$VX$1,0),FALSE)/1,0)-IFERROR(VLOOKUP($B266,'Slutlig allokering kvv'!$B$2:$BX$549,MATCH(L$2,'Slutlig allokering kvv'!$B$1:$BX$1,0),FALSE)/1,0))</f>
        <v/>
      </c>
      <c r="M266" s="121" t="str">
        <f>IF($D266="","",IFERROR(VLOOKUP($B266,Kraftvärmeprod!$B$1:$BX$549,MATCH(M$2,Kraftvärmeprod!$B$1:$VX$1,0),FALSE)/1,0)-IFERROR(VLOOKUP($B266,'Slutlig allokering kvv'!$B$2:$BX$549,MATCH(M$2,'Slutlig allokering kvv'!$B$1:$BX$1,0),FALSE)/1,0))</f>
        <v/>
      </c>
      <c r="N266" s="121" t="str">
        <f>IF($D266="","",IFERROR(VLOOKUP($B266,Kraftvärmeprod!$B$1:$BX$549,MATCH(N$2,Kraftvärmeprod!$B$1:$VX$1,0),FALSE)/1,0)-IFERROR(VLOOKUP($B266,'Slutlig allokering kvv'!$B$2:$BX$549,MATCH(N$2,'Slutlig allokering kvv'!$B$1:$BX$1,0),FALSE)/1,0))</f>
        <v/>
      </c>
      <c r="O266" s="121" t="str">
        <f>IF($D266="","",IFERROR(VLOOKUP($B266,Kraftvärmeprod!$B$1:$BX$549,MATCH(O$2,Kraftvärmeprod!$B$1:$VX$1,0),FALSE)/1,0)-IFERROR(VLOOKUP($B266,'Slutlig allokering kvv'!$B$2:$BX$549,MATCH(O$2,'Slutlig allokering kvv'!$B$1:$BX$1,0),FALSE)/1,0))</f>
        <v/>
      </c>
      <c r="P266" s="121" t="str">
        <f>IF($D266="","",IFERROR(VLOOKUP($B266,Kraftvärmeprod!$B$1:$BX$549,MATCH(P$2,Kraftvärmeprod!$B$1:$VX$1,0),FALSE)/1,0)-IFERROR(VLOOKUP($B266,'Slutlig allokering kvv'!$B$2:$BX$549,MATCH(P$2,'Slutlig allokering kvv'!$B$1:$BX$1,0),FALSE)/1,0))</f>
        <v/>
      </c>
      <c r="Q266" s="121" t="str">
        <f>IF($D266="","",IFERROR(VLOOKUP($B266,Kraftvärmeprod!$B$1:$BX$549,MATCH(Q$2,Kraftvärmeprod!$B$1:$VX$1,0),FALSE)/1,0)-IFERROR(VLOOKUP($B266,'Slutlig allokering kvv'!$B$2:$BX$549,MATCH(Q$2,'Slutlig allokering kvv'!$B$1:$BX$1,0),FALSE)/1,0))</f>
        <v/>
      </c>
      <c r="R266" s="121" t="str">
        <f>IF($D266="","",IFERROR(VLOOKUP($B266,Kraftvärmeprod!$B$1:$BX$549,MATCH(R$2,Kraftvärmeprod!$B$1:$VX$1,0),FALSE)/1,0)-IFERROR(VLOOKUP($B266,'Slutlig allokering kvv'!$B$2:$BX$549,MATCH(R$2,'Slutlig allokering kvv'!$B$1:$BX$1,0),FALSE)/1,0))</f>
        <v/>
      </c>
      <c r="S266" s="121" t="str">
        <f>IF($D266="","",IFERROR(VLOOKUP($B266,Kraftvärmeprod!$B$1:$BX$549,MATCH(S$2,Kraftvärmeprod!$B$1:$VX$1,0),FALSE)/1,0)-IFERROR(VLOOKUP($B266,'Slutlig allokering kvv'!$B$2:$BX$549,MATCH(S$2,'Slutlig allokering kvv'!$B$1:$BX$1,0),FALSE)/1,0))</f>
        <v/>
      </c>
      <c r="T266" s="121" t="str">
        <f>IF($D266="","",IFERROR(VLOOKUP($B266,Kraftvärmeprod!$B$1:$BX$549,MATCH(T$2,Kraftvärmeprod!$B$1:$VX$1,0),FALSE)/1,0)-IFERROR(VLOOKUP($B266,'Slutlig allokering kvv'!$B$2:$BX$549,MATCH(T$2,'Slutlig allokering kvv'!$B$1:$BX$1,0),FALSE)/1,0))</f>
        <v/>
      </c>
      <c r="U266" s="121" t="str">
        <f>IF($D266="","",IFERROR(VLOOKUP($B266,Kraftvärmeprod!$B$1:$BX$549,MATCH(U$2,Kraftvärmeprod!$B$1:$VX$1,0),FALSE)/1,0)-IFERROR(VLOOKUP($B266,'Slutlig allokering kvv'!$B$2:$BX$549,MATCH(U$2,'Slutlig allokering kvv'!$B$1:$BX$1,0),FALSE)/1,0))</f>
        <v/>
      </c>
      <c r="V266" s="121" t="str">
        <f>IF($D266="","",IFERROR(VLOOKUP($B266,Kraftvärmeprod!$B$1:$BX$549,MATCH(V$2,Kraftvärmeprod!$B$1:$VX$1,0),FALSE)/1,0)-IFERROR(VLOOKUP($B266,'Slutlig allokering kvv'!$B$2:$BX$549,MATCH(V$2,'Slutlig allokering kvv'!$B$1:$BX$1,0),FALSE)/1,0))</f>
        <v/>
      </c>
      <c r="W266" s="121" t="str">
        <f>IF($D266="","",IFERROR(VLOOKUP($B266,Kraftvärmeprod!$B$1:$BX$549,MATCH(W$2,Kraftvärmeprod!$B$1:$VX$1,0),FALSE)/1,0)-IFERROR(VLOOKUP($B266,'Slutlig allokering kvv'!$B$2:$BX$549,MATCH(W$2,'Slutlig allokering kvv'!$B$1:$BX$1,0),FALSE)/1,0))</f>
        <v/>
      </c>
      <c r="X266" s="121" t="str">
        <f>IF($D266="","",IFERROR(VLOOKUP($B266,Kraftvärmeprod!$B$1:$BX$549,MATCH(X$2,Kraftvärmeprod!$B$1:$VX$1,0),FALSE)/1,0)-IFERROR(VLOOKUP($B266,'Slutlig allokering kvv'!$B$2:$BX$549,MATCH(X$2,'Slutlig allokering kvv'!$B$1:$BX$1,0),FALSE)/1,0))</f>
        <v/>
      </c>
      <c r="Y266" s="121" t="str">
        <f>IF($D266="","",IFERROR(VLOOKUP($B266,Kraftvärmeprod!$B$1:$BX$549,MATCH(Y$2,Kraftvärmeprod!$B$1:$VX$1,0),FALSE)/1,0)-IFERROR(VLOOKUP($B266,'Slutlig allokering kvv'!$B$2:$BX$549,MATCH(Y$2,'Slutlig allokering kvv'!$B$1:$BX$1,0),FALSE)/1,0))</f>
        <v/>
      </c>
      <c r="Z266" s="121" t="str">
        <f>IF($D266="","",IFERROR(VLOOKUP($B266,Kraftvärmeprod!$B$1:$BX$549,MATCH(Z$2,Kraftvärmeprod!$B$1:$VX$1,0),FALSE)/1,0)-IFERROR(VLOOKUP($B266,'Slutlig allokering kvv'!$B$2:$BX$549,MATCH(Z$2,'Slutlig allokering kvv'!$B$1:$BX$1,0),FALSE)/1,0))</f>
        <v/>
      </c>
      <c r="AA266" s="121" t="str">
        <f>IF($D266="","",IFERROR(VLOOKUP($B266,Kraftvärmeprod!$B$1:$BX$549,MATCH(AA$2,Kraftvärmeprod!$B$1:$VX$1,0),FALSE)/1,0)-IFERROR(VLOOKUP($B266,'Slutlig allokering kvv'!$B$2:$BX$549,MATCH(AA$2,'Slutlig allokering kvv'!$B$1:$BX$1,0),FALSE)/1,0))</f>
        <v/>
      </c>
      <c r="AB266" s="121" t="str">
        <f>IF($D266="","",IFERROR(VLOOKUP($B266,Kraftvärmeprod!$B$1:$BX$549,MATCH(AB$2,Kraftvärmeprod!$B$1:$VX$1,0),FALSE)/1,0)-IFERROR(VLOOKUP($B266,'Slutlig allokering kvv'!$B$2:$BX$549,MATCH(AB$2,'Slutlig allokering kvv'!$B$1:$BX$1,0),FALSE)/1,0))</f>
        <v/>
      </c>
      <c r="AC266" s="121" t="str">
        <f>IF($D266="","",IFERROR(VLOOKUP($B266,Kraftvärmeprod!$B$1:$BX$549,MATCH(AC$2,Kraftvärmeprod!$B$1:$VX$1,0),FALSE)/1,0)-IFERROR(VLOOKUP($B266,'Slutlig allokering kvv'!$B$2:$BX$549,MATCH(AC$2,'Slutlig allokering kvv'!$B$1:$BX$1,0),FALSE)/1,0))</f>
        <v/>
      </c>
      <c r="AD266" s="121" t="str">
        <f>IF($D266="","",IFERROR(VLOOKUP($B266,Kraftvärmeprod!$B$1:$BX$549,MATCH(AD$2,Kraftvärmeprod!$B$1:$VX$1,0),FALSE)/1,0)-IFERROR(VLOOKUP($B266,'Slutlig allokering kvv'!$B$2:$BX$549,MATCH(AD$2,'Slutlig allokering kvv'!$B$1:$BX$1,0),FALSE)/1,0))</f>
        <v/>
      </c>
      <c r="AE266" s="121" t="str">
        <f>IF($D266="","",IFERROR(VLOOKUP($B266,Miljö!$B$1:$E$550,MATCH("Hjälpel kraftvärme (GWh)",Miljö!$B$1:$E$1,0),FALSE)/1,0)-IFERROR(VLOOKUP($B266,'Slutlig allokering kvv'!$B$2:$BX$549,MATCH(AE$2,'Slutlig allokering kvv'!$B$1:$BX$1,0),FALSE)/1,0))</f>
        <v/>
      </c>
      <c r="AI266" s="121">
        <f t="shared" si="16"/>
        <v>0</v>
      </c>
      <c r="AK266" s="121">
        <f>IFERROR(VLOOKUP($B266,'Slutlig allokering kvv'!$B$2:$AX$549,MATCH("Summa slutlig allokerad tillförd energi (utan hjälpel och rökgaskondensering):",'Slutlig allokering kvv'!$B$1:$AX$1,0),FALSE)/1,"")</f>
        <v>0</v>
      </c>
      <c r="AM266" s="172" t="str">
        <f>IFERROR(1-VLOOKUP($B266,'Slutlig allokering kvv'!$B$2:$AX$549,MATCH("Andel av bränsle i kvv som allokerats till värme, exklusive rökgaskondensering och hjälpel",'Slutlig allokering kvv'!$B$1:$AX$1,0),FALSE),"")</f>
        <v/>
      </c>
      <c r="AO266" s="172" t="str">
        <f t="shared" si="17"/>
        <v/>
      </c>
      <c r="AP266" s="173" t="str">
        <f t="shared" si="18"/>
        <v/>
      </c>
      <c r="AR266" s="172" t="str">
        <f t="shared" si="19"/>
        <v/>
      </c>
    </row>
    <row r="267" spans="1:44" x14ac:dyDescent="0.25">
      <c r="A267" s="171" t="str">
        <f>'Miljövärden för publ företag'!B269</f>
        <v>Telge Nät AB</v>
      </c>
      <c r="B267" s="171" t="str">
        <f>'Miljövärden för publ företag'!C269</f>
        <v>Södertälje</v>
      </c>
      <c r="C267" s="121">
        <f>IFERROR(VLOOKUP($B267,Kraftvärmeprod!$B$1:$AH$478,MATCH(C$2,Kraftvärmeprod!$B$1:$AG$1,0),FALSE)/1,"")</f>
        <v>448</v>
      </c>
      <c r="D267" s="121">
        <f>IFERROR(VLOOKUP($B267,Kraftvärmeprod!$B$1:$AH$478,MATCH(D$2,Kraftvärmeprod!$B$1:$AG$1,0),FALSE)/1,"")</f>
        <v>221</v>
      </c>
      <c r="F267" s="121">
        <f>IF($D267="","",IFERROR(VLOOKUP($B267,Kraftvärmeprod!$B$1:$BX$549,MATCH(F$2,Kraftvärmeprod!$B$1:$VX$1,0),FALSE)/1,0)-IFERROR(VLOOKUP($B267,'Slutlig allokering kvv'!$B$2:$BX$549,MATCH(F$2,'Slutlig allokering kvv'!$B$1:$BX$1,0),FALSE)/1,0))</f>
        <v>0</v>
      </c>
      <c r="G267" s="121">
        <f>IF($D267="","",IFERROR(VLOOKUP($B267,Kraftvärmeprod!$B$1:$BX$549,MATCH(G$2,Kraftvärmeprod!$B$1:$VX$1,0),FALSE)/1,0)-IFERROR(VLOOKUP($B267,'Slutlig allokering kvv'!$B$2:$BX$549,MATCH(G$2,'Slutlig allokering kvv'!$B$1:$BX$1,0),FALSE)/1,0))</f>
        <v>0.973935</v>
      </c>
      <c r="H267" s="121">
        <f>IF($D267="","",IFERROR(VLOOKUP($B267,Kraftvärmeprod!$B$1:$BX$549,MATCH(H$2,Kraftvärmeprod!$B$1:$VX$1,0),FALSE)/1,0)-IFERROR(VLOOKUP($B267,'Slutlig allokering kvv'!$B$2:$BX$549,MATCH(H$2,'Slutlig allokering kvv'!$B$1:$BX$1,0),FALSE)/1,0))</f>
        <v>0</v>
      </c>
      <c r="I267" s="121">
        <f>IF($D267="","",IFERROR(VLOOKUP($B267,Kraftvärmeprod!$B$1:$BX$549,MATCH(I$2,Kraftvärmeprod!$B$1:$VX$1,0),FALSE)/1,0)-IFERROR(VLOOKUP($B267,'Slutlig allokering kvv'!$B$2:$BX$549,MATCH(I$2,'Slutlig allokering kvv'!$B$1:$BX$1,0),FALSE)/1,0))</f>
        <v>0</v>
      </c>
      <c r="J267" s="121">
        <f>IF($D267="","",IFERROR(VLOOKUP($B267,Kraftvärmeprod!$B$1:$BX$549,MATCH(J$2,Kraftvärmeprod!$B$1:$VX$1,0),FALSE)/1,0)-IFERROR(VLOOKUP($B267,'Slutlig allokering kvv'!$B$2:$BX$549,MATCH(J$2,'Slutlig allokering kvv'!$B$1:$BX$1,0),FALSE)/1,0))</f>
        <v>0</v>
      </c>
      <c r="K267" s="121">
        <f>IF($D267="","",IFERROR(VLOOKUP($B267,Kraftvärmeprod!$B$1:$BX$549,MATCH(K$2,Kraftvärmeprod!$B$1:$VX$1,0),FALSE)/1,0)-IFERROR(VLOOKUP($B267,'Slutlig allokering kvv'!$B$2:$BX$549,MATCH(K$2,'Slutlig allokering kvv'!$B$1:$BX$1,0),FALSE)/1,0))</f>
        <v>0</v>
      </c>
      <c r="L267" s="121">
        <f>IF($D267="","",IFERROR(VLOOKUP($B267,Kraftvärmeprod!$B$1:$BX$549,MATCH(L$2,Kraftvärmeprod!$B$1:$VX$1,0),FALSE)/1,0)-IFERROR(VLOOKUP($B267,'Slutlig allokering kvv'!$B$2:$BX$549,MATCH(L$2,'Slutlig allokering kvv'!$B$1:$BX$1,0),FALSE)/1,0))</f>
        <v>38.203200000000002</v>
      </c>
      <c r="M267" s="121">
        <f>IF($D267="","",IFERROR(VLOOKUP($B267,Kraftvärmeprod!$B$1:$BX$549,MATCH(M$2,Kraftvärmeprod!$B$1:$VX$1,0),FALSE)/1,0)-IFERROR(VLOOKUP($B267,'Slutlig allokering kvv'!$B$2:$BX$549,MATCH(M$2,'Slutlig allokering kvv'!$B$1:$BX$1,0),FALSE)/1,0))</f>
        <v>28.894299999999998</v>
      </c>
      <c r="N267" s="121">
        <f>IF($D267="","",IFERROR(VLOOKUP($B267,Kraftvärmeprod!$B$1:$BX$549,MATCH(N$2,Kraftvärmeprod!$B$1:$VX$1,0),FALSE)/1,0)-IFERROR(VLOOKUP($B267,'Slutlig allokering kvv'!$B$2:$BX$549,MATCH(N$2,'Slutlig allokering kvv'!$B$1:$BX$1,0),FALSE)/1,0))</f>
        <v>15.478200000000001</v>
      </c>
      <c r="O267" s="121">
        <f>IF($D267="","",IFERROR(VLOOKUP($B267,Kraftvärmeprod!$B$1:$BX$549,MATCH(O$2,Kraftvärmeprod!$B$1:$VX$1,0),FALSE)/1,0)-IFERROR(VLOOKUP($B267,'Slutlig allokering kvv'!$B$2:$BX$549,MATCH(O$2,'Slutlig allokering kvv'!$B$1:$BX$1,0),FALSE)/1,0))</f>
        <v>48.721500000000006</v>
      </c>
      <c r="P267" s="121">
        <f>IF($D267="","",IFERROR(VLOOKUP($B267,Kraftvärmeprod!$B$1:$BX$549,MATCH(P$2,Kraftvärmeprod!$B$1:$VX$1,0),FALSE)/1,0)-IFERROR(VLOOKUP($B267,'Slutlig allokering kvv'!$B$2:$BX$549,MATCH(P$2,'Slutlig allokering kvv'!$B$1:$BX$1,0),FALSE)/1,0))</f>
        <v>8.5706400000000016E-2</v>
      </c>
      <c r="Q267" s="121">
        <f>IF($D267="","",IFERROR(VLOOKUP($B267,Kraftvärmeprod!$B$1:$BX$549,MATCH(Q$2,Kraftvärmeprod!$B$1:$VX$1,0),FALSE)/1,0)-IFERROR(VLOOKUP($B267,'Slutlig allokering kvv'!$B$2:$BX$549,MATCH(Q$2,'Slutlig allokering kvv'!$B$1:$BX$1,0),FALSE)/1,0))</f>
        <v>0</v>
      </c>
      <c r="R267" s="121">
        <f>IF($D267="","",IFERROR(VLOOKUP($B267,Kraftvärmeprod!$B$1:$BX$549,MATCH(R$2,Kraftvärmeprod!$B$1:$VX$1,0),FALSE)/1,0)-IFERROR(VLOOKUP($B267,'Slutlig allokering kvv'!$B$2:$BX$549,MATCH(R$2,'Slutlig allokering kvv'!$B$1:$BX$1,0),FALSE)/1,0))</f>
        <v>0</v>
      </c>
      <c r="S267" s="121">
        <f>IF($D267="","",IFERROR(VLOOKUP($B267,Kraftvärmeprod!$B$1:$BX$549,MATCH(S$2,Kraftvärmeprod!$B$1:$VX$1,0),FALSE)/1,0)-IFERROR(VLOOKUP($B267,'Slutlig allokering kvv'!$B$2:$BX$549,MATCH(S$2,'Slutlig allokering kvv'!$B$1:$BX$1,0),FALSE)/1,0))</f>
        <v>0</v>
      </c>
      <c r="T267" s="121">
        <f>IF($D267="","",IFERROR(VLOOKUP($B267,Kraftvärmeprod!$B$1:$BX$549,MATCH(T$2,Kraftvärmeprod!$B$1:$VX$1,0),FALSE)/1,0)-IFERROR(VLOOKUP($B267,'Slutlig allokering kvv'!$B$2:$BX$549,MATCH(T$2,'Slutlig allokering kvv'!$B$1:$BX$1,0),FALSE)/1,0))</f>
        <v>0</v>
      </c>
      <c r="U267" s="121">
        <f>IF($D267="","",IFERROR(VLOOKUP($B267,Kraftvärmeprod!$B$1:$BX$549,MATCH(U$2,Kraftvärmeprod!$B$1:$VX$1,0),FALSE)/1,0)-IFERROR(VLOOKUP($B267,'Slutlig allokering kvv'!$B$2:$BX$549,MATCH(U$2,'Slutlig allokering kvv'!$B$1:$BX$1,0),FALSE)/1,0))</f>
        <v>0</v>
      </c>
      <c r="V267" s="121">
        <f>IF($D267="","",IFERROR(VLOOKUP($B267,Kraftvärmeprod!$B$1:$BX$549,MATCH(V$2,Kraftvärmeprod!$B$1:$VX$1,0),FALSE)/1,0)-IFERROR(VLOOKUP($B267,'Slutlig allokering kvv'!$B$2:$BX$549,MATCH(V$2,'Slutlig allokering kvv'!$B$1:$BX$1,0),FALSE)/1,0))</f>
        <v>298.03300000000002</v>
      </c>
      <c r="W267" s="121">
        <f>IF($D267="","",IFERROR(VLOOKUP($B267,Kraftvärmeprod!$B$1:$BX$549,MATCH(W$2,Kraftvärmeprod!$B$1:$VX$1,0),FALSE)/1,0)-IFERROR(VLOOKUP($B267,'Slutlig allokering kvv'!$B$2:$BX$549,MATCH(W$2,'Slutlig allokering kvv'!$B$1:$BX$1,0),FALSE)/1,0))</f>
        <v>0</v>
      </c>
      <c r="X267" s="121">
        <f>IF($D267="","",IFERROR(VLOOKUP($B267,Kraftvärmeprod!$B$1:$BX$549,MATCH(X$2,Kraftvärmeprod!$B$1:$VX$1,0),FALSE)/1,0)-IFERROR(VLOOKUP($B267,'Slutlig allokering kvv'!$B$2:$BX$549,MATCH(X$2,'Slutlig allokering kvv'!$B$1:$BX$1,0),FALSE)/1,0))</f>
        <v>0</v>
      </c>
      <c r="Y267" s="121">
        <f>IF($D267="","",IFERROR(VLOOKUP($B267,Kraftvärmeprod!$B$1:$BX$549,MATCH(Y$2,Kraftvärmeprod!$B$1:$VX$1,0),FALSE)/1,0)-IFERROR(VLOOKUP($B267,'Slutlig allokering kvv'!$B$2:$BX$549,MATCH(Y$2,'Slutlig allokering kvv'!$B$1:$BX$1,0),FALSE)/1,0))</f>
        <v>0</v>
      </c>
      <c r="Z267" s="121">
        <f>IF($D267="","",IFERROR(VLOOKUP($B267,Kraftvärmeprod!$B$1:$BX$549,MATCH(Z$2,Kraftvärmeprod!$B$1:$VX$1,0),FALSE)/1,0)-IFERROR(VLOOKUP($B267,'Slutlig allokering kvv'!$B$2:$BX$549,MATCH(Z$2,'Slutlig allokering kvv'!$B$1:$BX$1,0),FALSE)/1,0))</f>
        <v>0</v>
      </c>
      <c r="AA267" s="121">
        <f>IF($D267="","",IFERROR(VLOOKUP($B267,Kraftvärmeprod!$B$1:$BX$549,MATCH(AA$2,Kraftvärmeprod!$B$1:$VX$1,0),FALSE)/1,0)-IFERROR(VLOOKUP($B267,'Slutlig allokering kvv'!$B$2:$BX$549,MATCH(AA$2,'Slutlig allokering kvv'!$B$1:$BX$1,0),FALSE)/1,0))</f>
        <v>1.2243770000000001E-2</v>
      </c>
      <c r="AB267" s="121">
        <f>IF($D267="","",IFERROR(VLOOKUP($B267,Kraftvärmeprod!$B$1:$BX$549,MATCH(AB$2,Kraftvärmeprod!$B$1:$VX$1,0),FALSE)/1,0)-IFERROR(VLOOKUP($B267,'Slutlig allokering kvv'!$B$2:$BX$549,MATCH(AB$2,'Slutlig allokering kvv'!$B$1:$BX$1,0),FALSE)/1,0))</f>
        <v>0</v>
      </c>
      <c r="AC267" s="121">
        <f>IF($D267="","",IFERROR(VLOOKUP($B267,Kraftvärmeprod!$B$1:$BX$549,MATCH(AC$2,Kraftvärmeprod!$B$1:$VX$1,0),FALSE)/1,0)-IFERROR(VLOOKUP($B267,'Slutlig allokering kvv'!$B$2:$BX$549,MATCH(AC$2,'Slutlig allokering kvv'!$B$1:$BX$1,0),FALSE)/1,0))</f>
        <v>0</v>
      </c>
      <c r="AD267" s="121">
        <f>IF($D267="","",IFERROR(VLOOKUP($B267,Kraftvärmeprod!$B$1:$BX$549,MATCH(AD$2,Kraftvärmeprod!$B$1:$VX$1,0),FALSE)/1,0)-IFERROR(VLOOKUP($B267,'Slutlig allokering kvv'!$B$2:$BX$549,MATCH(AD$2,'Slutlig allokering kvv'!$B$1:$BX$1,0),FALSE)/1,0))</f>
        <v>0</v>
      </c>
      <c r="AE267" s="121">
        <f>IF($D267="","",IFERROR(VLOOKUP($B267,Miljö!$B$1:$E$550,MATCH("Hjälpel kraftvärme (GWh)",Miljö!$B$1:$E$1,0),FALSE)/1,0)-IFERROR(VLOOKUP($B267,'Slutlig allokering kvv'!$B$2:$BX$549,MATCH(AE$2,'Slutlig allokering kvv'!$B$1:$BX$1,0),FALSE)/1,0))</f>
        <v>14.552999999999999</v>
      </c>
      <c r="AI267" s="121">
        <f t="shared" si="16"/>
        <v>430.40208517000002</v>
      </c>
      <c r="AK267" s="121">
        <f>IFERROR(VLOOKUP($B267,'Slutlig allokering kvv'!$B$2:$AX$549,MATCH("Summa slutlig allokerad tillförd energi (utan hjälpel och rökgaskondensering):",'Slutlig allokering kvv'!$B$1:$AX$1,0),FALSE)/1,"")</f>
        <v>334.99591482999995</v>
      </c>
      <c r="AM267" s="172">
        <f>IFERROR(1-VLOOKUP($B267,'Slutlig allokering kvv'!$B$2:$AX$549,MATCH("Andel av bränsle i kvv som allokerats till värme, exklusive rökgaskondensering och hjälpel",'Slutlig allokering kvv'!$B$1:$AX$1,0),FALSE),"")</f>
        <v>0.56232454901894191</v>
      </c>
      <c r="AO267" s="172">
        <f t="shared" si="17"/>
        <v>0.56232454901894191</v>
      </c>
      <c r="AP267" s="173">
        <f t="shared" si="18"/>
        <v>0</v>
      </c>
      <c r="AR267" s="172">
        <f t="shared" si="19"/>
        <v>0.4966793444231894</v>
      </c>
    </row>
    <row r="268" spans="1:44" x14ac:dyDescent="0.25">
      <c r="A268" s="171" t="str">
        <f>'Miljövärden för publ företag'!B270</f>
        <v>Tidaholms Energi AB</v>
      </c>
      <c r="B268" s="171" t="str">
        <f>'Miljövärden för publ företag'!C270</f>
        <v>Tidaholm</v>
      </c>
      <c r="C268" s="121">
        <f>IFERROR(VLOOKUP($B268,Kraftvärmeprod!$B$1:$AH$478,MATCH(C$2,Kraftvärmeprod!$B$1:$AG$1,0),FALSE)/1,"")</f>
        <v>46.058999999999997</v>
      </c>
      <c r="D268" s="121">
        <f>IFERROR(VLOOKUP($B268,Kraftvärmeprod!$B$1:$AH$478,MATCH(D$2,Kraftvärmeprod!$B$1:$AG$1,0),FALSE)/1,"")</f>
        <v>6.2850000000000001</v>
      </c>
      <c r="F268" s="121">
        <f>IF($D268="","",IFERROR(VLOOKUP($B268,Kraftvärmeprod!$B$1:$BX$549,MATCH(F$2,Kraftvärmeprod!$B$1:$VX$1,0),FALSE)/1,0)-IFERROR(VLOOKUP($B268,'Slutlig allokering kvv'!$B$2:$BX$549,MATCH(F$2,'Slutlig allokering kvv'!$B$1:$BX$1,0),FALSE)/1,0))</f>
        <v>0</v>
      </c>
      <c r="G268" s="121">
        <f>IF($D268="","",IFERROR(VLOOKUP($B268,Kraftvärmeprod!$B$1:$BX$549,MATCH(G$2,Kraftvärmeprod!$B$1:$VX$1,0),FALSE)/1,0)-IFERROR(VLOOKUP($B268,'Slutlig allokering kvv'!$B$2:$BX$549,MATCH(G$2,'Slutlig allokering kvv'!$B$1:$BX$1,0),FALSE)/1,0))</f>
        <v>6.4892999999999999E-3</v>
      </c>
      <c r="H268" s="121">
        <f>IF($D268="","",IFERROR(VLOOKUP($B268,Kraftvärmeprod!$B$1:$BX$549,MATCH(H$2,Kraftvärmeprod!$B$1:$VX$1,0),FALSE)/1,0)-IFERROR(VLOOKUP($B268,'Slutlig allokering kvv'!$B$2:$BX$549,MATCH(H$2,'Slutlig allokering kvv'!$B$1:$BX$1,0),FALSE)/1,0))</f>
        <v>0</v>
      </c>
      <c r="I268" s="121">
        <f>IF($D268="","",IFERROR(VLOOKUP($B268,Kraftvärmeprod!$B$1:$BX$549,MATCH(I$2,Kraftvärmeprod!$B$1:$VX$1,0),FALSE)/1,0)-IFERROR(VLOOKUP($B268,'Slutlig allokering kvv'!$B$2:$BX$549,MATCH(I$2,'Slutlig allokering kvv'!$B$1:$BX$1,0),FALSE)/1,0))</f>
        <v>0</v>
      </c>
      <c r="J268" s="121">
        <f>IF($D268="","",IFERROR(VLOOKUP($B268,Kraftvärmeprod!$B$1:$BX$549,MATCH(J$2,Kraftvärmeprod!$B$1:$VX$1,0),FALSE)/1,0)-IFERROR(VLOOKUP($B268,'Slutlig allokering kvv'!$B$2:$BX$549,MATCH(J$2,'Slutlig allokering kvv'!$B$1:$BX$1,0),FALSE)/1,0))</f>
        <v>0</v>
      </c>
      <c r="K268" s="121">
        <f>IF($D268="","",IFERROR(VLOOKUP($B268,Kraftvärmeprod!$B$1:$BX$549,MATCH(K$2,Kraftvärmeprod!$B$1:$VX$1,0),FALSE)/1,0)-IFERROR(VLOOKUP($B268,'Slutlig allokering kvv'!$B$2:$BX$549,MATCH(K$2,'Slutlig allokering kvv'!$B$1:$BX$1,0),FALSE)/1,0))</f>
        <v>0</v>
      </c>
      <c r="L268" s="121">
        <f>IF($D268="","",IFERROR(VLOOKUP($B268,Kraftvärmeprod!$B$1:$BX$549,MATCH(L$2,Kraftvärmeprod!$B$1:$VX$1,0),FALSE)/1,0)-IFERROR(VLOOKUP($B268,'Slutlig allokering kvv'!$B$2:$BX$549,MATCH(L$2,'Slutlig allokering kvv'!$B$1:$BX$1,0),FALSE)/1,0))</f>
        <v>0.34102300000000008</v>
      </c>
      <c r="M268" s="121">
        <f>IF($D268="","",IFERROR(VLOOKUP($B268,Kraftvärmeprod!$B$1:$BX$549,MATCH(M$2,Kraftvärmeprod!$B$1:$VX$1,0),FALSE)/1,0)-IFERROR(VLOOKUP($B268,'Slutlig allokering kvv'!$B$2:$BX$549,MATCH(M$2,'Slutlig allokering kvv'!$B$1:$BX$1,0),FALSE)/1,0))</f>
        <v>0</v>
      </c>
      <c r="N268" s="121">
        <f>IF($D268="","",IFERROR(VLOOKUP($B268,Kraftvärmeprod!$B$1:$BX$549,MATCH(N$2,Kraftvärmeprod!$B$1:$VX$1,0),FALSE)/1,0)-IFERROR(VLOOKUP($B268,'Slutlig allokering kvv'!$B$2:$BX$549,MATCH(N$2,'Slutlig allokering kvv'!$B$1:$BX$1,0),FALSE)/1,0))</f>
        <v>0</v>
      </c>
      <c r="O268" s="121">
        <f>IF($D268="","",IFERROR(VLOOKUP($B268,Kraftvärmeprod!$B$1:$BX$549,MATCH(O$2,Kraftvärmeprod!$B$1:$VX$1,0),FALSE)/1,0)-IFERROR(VLOOKUP($B268,'Slutlig allokering kvv'!$B$2:$BX$549,MATCH(O$2,'Slutlig allokering kvv'!$B$1:$BX$1,0),FALSE)/1,0))</f>
        <v>0</v>
      </c>
      <c r="P268" s="121">
        <f>IF($D268="","",IFERROR(VLOOKUP($B268,Kraftvärmeprod!$B$1:$BX$549,MATCH(P$2,Kraftvärmeprod!$B$1:$VX$1,0),FALSE)/1,0)-IFERROR(VLOOKUP($B268,'Slutlig allokering kvv'!$B$2:$BX$549,MATCH(P$2,'Slutlig allokering kvv'!$B$1:$BX$1,0),FALSE)/1,0))</f>
        <v>0</v>
      </c>
      <c r="Q268" s="121">
        <f>IF($D268="","",IFERROR(VLOOKUP($B268,Kraftvärmeprod!$B$1:$BX$549,MATCH(Q$2,Kraftvärmeprod!$B$1:$VX$1,0),FALSE)/1,0)-IFERROR(VLOOKUP($B268,'Slutlig allokering kvv'!$B$2:$BX$549,MATCH(Q$2,'Slutlig allokering kvv'!$B$1:$BX$1,0),FALSE)/1,0))</f>
        <v>0</v>
      </c>
      <c r="R268" s="121">
        <f>IF($D268="","",IFERROR(VLOOKUP($B268,Kraftvärmeprod!$B$1:$BX$549,MATCH(R$2,Kraftvärmeprod!$B$1:$VX$1,0),FALSE)/1,0)-IFERROR(VLOOKUP($B268,'Slutlig allokering kvv'!$B$2:$BX$549,MATCH(R$2,'Slutlig allokering kvv'!$B$1:$BX$1,0),FALSE)/1,0))</f>
        <v>0</v>
      </c>
      <c r="S268" s="121">
        <f>IF($D268="","",IFERROR(VLOOKUP($B268,Kraftvärmeprod!$B$1:$BX$549,MATCH(S$2,Kraftvärmeprod!$B$1:$VX$1,0),FALSE)/1,0)-IFERROR(VLOOKUP($B268,'Slutlig allokering kvv'!$B$2:$BX$549,MATCH(S$2,'Slutlig allokering kvv'!$B$1:$BX$1,0),FALSE)/1,0))</f>
        <v>0</v>
      </c>
      <c r="T268" s="121">
        <f>IF($D268="","",IFERROR(VLOOKUP($B268,Kraftvärmeprod!$B$1:$BX$549,MATCH(T$2,Kraftvärmeprod!$B$1:$VX$1,0),FALSE)/1,0)-IFERROR(VLOOKUP($B268,'Slutlig allokering kvv'!$B$2:$BX$549,MATCH(T$2,'Slutlig allokering kvv'!$B$1:$BX$1,0),FALSE)/1,0))</f>
        <v>0</v>
      </c>
      <c r="U268" s="121">
        <f>IF($D268="","",IFERROR(VLOOKUP($B268,Kraftvärmeprod!$B$1:$BX$549,MATCH(U$2,Kraftvärmeprod!$B$1:$VX$1,0),FALSE)/1,0)-IFERROR(VLOOKUP($B268,'Slutlig allokering kvv'!$B$2:$BX$549,MATCH(U$2,'Slutlig allokering kvv'!$B$1:$BX$1,0),FALSE)/1,0))</f>
        <v>0</v>
      </c>
      <c r="V268" s="121">
        <f>IF($D268="","",IFERROR(VLOOKUP($B268,Kraftvärmeprod!$B$1:$BX$549,MATCH(V$2,Kraftvärmeprod!$B$1:$VX$1,0),FALSE)/1,0)-IFERROR(VLOOKUP($B268,'Slutlig allokering kvv'!$B$2:$BX$549,MATCH(V$2,'Slutlig allokering kvv'!$B$1:$BX$1,0),FALSE)/1,0))</f>
        <v>15.830500000000001</v>
      </c>
      <c r="W268" s="121">
        <f>IF($D268="","",IFERROR(VLOOKUP($B268,Kraftvärmeprod!$B$1:$BX$549,MATCH(W$2,Kraftvärmeprod!$B$1:$VX$1,0),FALSE)/1,0)-IFERROR(VLOOKUP($B268,'Slutlig allokering kvv'!$B$2:$BX$549,MATCH(W$2,'Slutlig allokering kvv'!$B$1:$BX$1,0),FALSE)/1,0))</f>
        <v>0</v>
      </c>
      <c r="X268" s="121">
        <f>IF($D268="","",IFERROR(VLOOKUP($B268,Kraftvärmeprod!$B$1:$BX$549,MATCH(X$2,Kraftvärmeprod!$B$1:$VX$1,0),FALSE)/1,0)-IFERROR(VLOOKUP($B268,'Slutlig allokering kvv'!$B$2:$BX$549,MATCH(X$2,'Slutlig allokering kvv'!$B$1:$BX$1,0),FALSE)/1,0))</f>
        <v>0</v>
      </c>
      <c r="Y268" s="121">
        <f>IF($D268="","",IFERROR(VLOOKUP($B268,Kraftvärmeprod!$B$1:$BX$549,MATCH(Y$2,Kraftvärmeprod!$B$1:$VX$1,0),FALSE)/1,0)-IFERROR(VLOOKUP($B268,'Slutlig allokering kvv'!$B$2:$BX$549,MATCH(Y$2,'Slutlig allokering kvv'!$B$1:$BX$1,0),FALSE)/1,0))</f>
        <v>6.7680000000000018E-2</v>
      </c>
      <c r="Z268" s="121">
        <f>IF($D268="","",IFERROR(VLOOKUP($B268,Kraftvärmeprod!$B$1:$BX$549,MATCH(Z$2,Kraftvärmeprod!$B$1:$VX$1,0),FALSE)/1,0)-IFERROR(VLOOKUP($B268,'Slutlig allokering kvv'!$B$2:$BX$549,MATCH(Z$2,'Slutlig allokering kvv'!$B$1:$BX$1,0),FALSE)/1,0))</f>
        <v>0</v>
      </c>
      <c r="AA268" s="121">
        <f>IF($D268="","",IFERROR(VLOOKUP($B268,Kraftvärmeprod!$B$1:$BX$549,MATCH(AA$2,Kraftvärmeprod!$B$1:$VX$1,0),FALSE)/1,0)-IFERROR(VLOOKUP($B268,'Slutlig allokering kvv'!$B$2:$BX$549,MATCH(AA$2,'Slutlig allokering kvv'!$B$1:$BX$1,0),FALSE)/1,0))</f>
        <v>8.8143000000000006E-3</v>
      </c>
      <c r="AB268" s="121">
        <f>IF($D268="","",IFERROR(VLOOKUP($B268,Kraftvärmeprod!$B$1:$BX$549,MATCH(AB$2,Kraftvärmeprod!$B$1:$VX$1,0),FALSE)/1,0)-IFERROR(VLOOKUP($B268,'Slutlig allokering kvv'!$B$2:$BX$549,MATCH(AB$2,'Slutlig allokering kvv'!$B$1:$BX$1,0),FALSE)/1,0))</f>
        <v>0</v>
      </c>
      <c r="AC268" s="121">
        <f>IF($D268="","",IFERROR(VLOOKUP($B268,Kraftvärmeprod!$B$1:$BX$549,MATCH(AC$2,Kraftvärmeprod!$B$1:$VX$1,0),FALSE)/1,0)-IFERROR(VLOOKUP($B268,'Slutlig allokering kvv'!$B$2:$BX$549,MATCH(AC$2,'Slutlig allokering kvv'!$B$1:$BX$1,0),FALSE)/1,0))</f>
        <v>0</v>
      </c>
      <c r="AD268" s="121">
        <f>IF($D268="","",IFERROR(VLOOKUP($B268,Kraftvärmeprod!$B$1:$BX$549,MATCH(AD$2,Kraftvärmeprod!$B$1:$VX$1,0),FALSE)/1,0)-IFERROR(VLOOKUP($B268,'Slutlig allokering kvv'!$B$2:$BX$549,MATCH(AD$2,'Slutlig allokering kvv'!$B$1:$BX$1,0),FALSE)/1,0))</f>
        <v>0</v>
      </c>
      <c r="AE268" s="121">
        <f>IF($D268="","",IFERROR(VLOOKUP($B268,Miljö!$B$1:$E$550,MATCH("Hjälpel kraftvärme (GWh)",Miljö!$B$1:$E$1,0),FALSE)/1,0)-IFERROR(VLOOKUP($B268,'Slutlig allokering kvv'!$B$2:$BX$549,MATCH(AE$2,'Slutlig allokering kvv'!$B$1:$BX$1,0),FALSE)/1,0))</f>
        <v>0.54693999999999998</v>
      </c>
      <c r="AI268" s="121">
        <f t="shared" si="16"/>
        <v>16.254506600000003</v>
      </c>
      <c r="AK268" s="121">
        <f>IFERROR(VLOOKUP($B268,'Slutlig allokering kvv'!$B$2:$AX$549,MATCH("Summa slutlig allokerad tillförd energi (utan hjälpel och rökgaskondensering):",'Slutlig allokering kvv'!$B$1:$AX$1,0),FALSE)/1,"")</f>
        <v>45.709493399999999</v>
      </c>
      <c r="AM268" s="172">
        <f>IFERROR(1-VLOOKUP($B268,'Slutlig allokering kvv'!$B$2:$AX$549,MATCH("Andel av bränsle i kvv som allokerats till värme, exklusive rökgaskondensering och hjälpel",'Slutlig allokering kvv'!$B$1:$AX$1,0),FALSE),"")</f>
        <v>0.26232177716093219</v>
      </c>
      <c r="AO268" s="172">
        <f t="shared" si="17"/>
        <v>0.26232177716093219</v>
      </c>
      <c r="AP268" s="173">
        <f t="shared" si="18"/>
        <v>0</v>
      </c>
      <c r="AR268" s="172">
        <f t="shared" si="19"/>
        <v>0.37407493233350508</v>
      </c>
    </row>
    <row r="269" spans="1:44" x14ac:dyDescent="0.25">
      <c r="A269" s="171" t="str">
        <f>'Miljövärden för publ företag'!B271</f>
        <v>Tierps Fjärrvärme AB</v>
      </c>
      <c r="B269" s="171" t="str">
        <f>'Miljövärden för publ företag'!C271</f>
        <v>Tierp</v>
      </c>
      <c r="C269" s="121" t="str">
        <f>IFERROR(VLOOKUP($B269,Kraftvärmeprod!$B$1:$AH$478,MATCH(C$2,Kraftvärmeprod!$B$1:$AG$1,0),FALSE)/1,"")</f>
        <v/>
      </c>
      <c r="D269" s="121" t="str">
        <f>IFERROR(VLOOKUP($B269,Kraftvärmeprod!$B$1:$AH$478,MATCH(D$2,Kraftvärmeprod!$B$1:$AG$1,0),FALSE)/1,"")</f>
        <v/>
      </c>
      <c r="F269" s="121" t="str">
        <f>IF($D269="","",IFERROR(VLOOKUP($B269,Kraftvärmeprod!$B$1:$BX$549,MATCH(F$2,Kraftvärmeprod!$B$1:$VX$1,0),FALSE)/1,0)-IFERROR(VLOOKUP($B269,'Slutlig allokering kvv'!$B$2:$BX$549,MATCH(F$2,'Slutlig allokering kvv'!$B$1:$BX$1,0),FALSE)/1,0))</f>
        <v/>
      </c>
      <c r="G269" s="121" t="str">
        <f>IF($D269="","",IFERROR(VLOOKUP($B269,Kraftvärmeprod!$B$1:$BX$549,MATCH(G$2,Kraftvärmeprod!$B$1:$VX$1,0),FALSE)/1,0)-IFERROR(VLOOKUP($B269,'Slutlig allokering kvv'!$B$2:$BX$549,MATCH(G$2,'Slutlig allokering kvv'!$B$1:$BX$1,0),FALSE)/1,0))</f>
        <v/>
      </c>
      <c r="H269" s="121" t="str">
        <f>IF($D269="","",IFERROR(VLOOKUP($B269,Kraftvärmeprod!$B$1:$BX$549,MATCH(H$2,Kraftvärmeprod!$B$1:$VX$1,0),FALSE)/1,0)-IFERROR(VLOOKUP($B269,'Slutlig allokering kvv'!$B$2:$BX$549,MATCH(H$2,'Slutlig allokering kvv'!$B$1:$BX$1,0),FALSE)/1,0))</f>
        <v/>
      </c>
      <c r="I269" s="121" t="str">
        <f>IF($D269="","",IFERROR(VLOOKUP($B269,Kraftvärmeprod!$B$1:$BX$549,MATCH(I$2,Kraftvärmeprod!$B$1:$VX$1,0),FALSE)/1,0)-IFERROR(VLOOKUP($B269,'Slutlig allokering kvv'!$B$2:$BX$549,MATCH(I$2,'Slutlig allokering kvv'!$B$1:$BX$1,0),FALSE)/1,0))</f>
        <v/>
      </c>
      <c r="J269" s="121" t="str">
        <f>IF($D269="","",IFERROR(VLOOKUP($B269,Kraftvärmeprod!$B$1:$BX$549,MATCH(J$2,Kraftvärmeprod!$B$1:$VX$1,0),FALSE)/1,0)-IFERROR(VLOOKUP($B269,'Slutlig allokering kvv'!$B$2:$BX$549,MATCH(J$2,'Slutlig allokering kvv'!$B$1:$BX$1,0),FALSE)/1,0))</f>
        <v/>
      </c>
      <c r="K269" s="121" t="str">
        <f>IF($D269="","",IFERROR(VLOOKUP($B269,Kraftvärmeprod!$B$1:$BX$549,MATCH(K$2,Kraftvärmeprod!$B$1:$VX$1,0),FALSE)/1,0)-IFERROR(VLOOKUP($B269,'Slutlig allokering kvv'!$B$2:$BX$549,MATCH(K$2,'Slutlig allokering kvv'!$B$1:$BX$1,0),FALSE)/1,0))</f>
        <v/>
      </c>
      <c r="L269" s="121" t="str">
        <f>IF($D269="","",IFERROR(VLOOKUP($B269,Kraftvärmeprod!$B$1:$BX$549,MATCH(L$2,Kraftvärmeprod!$B$1:$VX$1,0),FALSE)/1,0)-IFERROR(VLOOKUP($B269,'Slutlig allokering kvv'!$B$2:$BX$549,MATCH(L$2,'Slutlig allokering kvv'!$B$1:$BX$1,0),FALSE)/1,0))</f>
        <v/>
      </c>
      <c r="M269" s="121" t="str">
        <f>IF($D269="","",IFERROR(VLOOKUP($B269,Kraftvärmeprod!$B$1:$BX$549,MATCH(M$2,Kraftvärmeprod!$B$1:$VX$1,0),FALSE)/1,0)-IFERROR(VLOOKUP($B269,'Slutlig allokering kvv'!$B$2:$BX$549,MATCH(M$2,'Slutlig allokering kvv'!$B$1:$BX$1,0),FALSE)/1,0))</f>
        <v/>
      </c>
      <c r="N269" s="121" t="str">
        <f>IF($D269="","",IFERROR(VLOOKUP($B269,Kraftvärmeprod!$B$1:$BX$549,MATCH(N$2,Kraftvärmeprod!$B$1:$VX$1,0),FALSE)/1,0)-IFERROR(VLOOKUP($B269,'Slutlig allokering kvv'!$B$2:$BX$549,MATCH(N$2,'Slutlig allokering kvv'!$B$1:$BX$1,0),FALSE)/1,0))</f>
        <v/>
      </c>
      <c r="O269" s="121" t="str">
        <f>IF($D269="","",IFERROR(VLOOKUP($B269,Kraftvärmeprod!$B$1:$BX$549,MATCH(O$2,Kraftvärmeprod!$B$1:$VX$1,0),FALSE)/1,0)-IFERROR(VLOOKUP($B269,'Slutlig allokering kvv'!$B$2:$BX$549,MATCH(O$2,'Slutlig allokering kvv'!$B$1:$BX$1,0),FALSE)/1,0))</f>
        <v/>
      </c>
      <c r="P269" s="121" t="str">
        <f>IF($D269="","",IFERROR(VLOOKUP($B269,Kraftvärmeprod!$B$1:$BX$549,MATCH(P$2,Kraftvärmeprod!$B$1:$VX$1,0),FALSE)/1,0)-IFERROR(VLOOKUP($B269,'Slutlig allokering kvv'!$B$2:$BX$549,MATCH(P$2,'Slutlig allokering kvv'!$B$1:$BX$1,0),FALSE)/1,0))</f>
        <v/>
      </c>
      <c r="Q269" s="121" t="str">
        <f>IF($D269="","",IFERROR(VLOOKUP($B269,Kraftvärmeprod!$B$1:$BX$549,MATCH(Q$2,Kraftvärmeprod!$B$1:$VX$1,0),FALSE)/1,0)-IFERROR(VLOOKUP($B269,'Slutlig allokering kvv'!$B$2:$BX$549,MATCH(Q$2,'Slutlig allokering kvv'!$B$1:$BX$1,0),FALSE)/1,0))</f>
        <v/>
      </c>
      <c r="R269" s="121" t="str">
        <f>IF($D269="","",IFERROR(VLOOKUP($B269,Kraftvärmeprod!$B$1:$BX$549,MATCH(R$2,Kraftvärmeprod!$B$1:$VX$1,0),FALSE)/1,0)-IFERROR(VLOOKUP($B269,'Slutlig allokering kvv'!$B$2:$BX$549,MATCH(R$2,'Slutlig allokering kvv'!$B$1:$BX$1,0),FALSE)/1,0))</f>
        <v/>
      </c>
      <c r="S269" s="121" t="str">
        <f>IF($D269="","",IFERROR(VLOOKUP($B269,Kraftvärmeprod!$B$1:$BX$549,MATCH(S$2,Kraftvärmeprod!$B$1:$VX$1,0),FALSE)/1,0)-IFERROR(VLOOKUP($B269,'Slutlig allokering kvv'!$B$2:$BX$549,MATCH(S$2,'Slutlig allokering kvv'!$B$1:$BX$1,0),FALSE)/1,0))</f>
        <v/>
      </c>
      <c r="T269" s="121" t="str">
        <f>IF($D269="","",IFERROR(VLOOKUP($B269,Kraftvärmeprod!$B$1:$BX$549,MATCH(T$2,Kraftvärmeprod!$B$1:$VX$1,0),FALSE)/1,0)-IFERROR(VLOOKUP($B269,'Slutlig allokering kvv'!$B$2:$BX$549,MATCH(T$2,'Slutlig allokering kvv'!$B$1:$BX$1,0),FALSE)/1,0))</f>
        <v/>
      </c>
      <c r="U269" s="121" t="str">
        <f>IF($D269="","",IFERROR(VLOOKUP($B269,Kraftvärmeprod!$B$1:$BX$549,MATCH(U$2,Kraftvärmeprod!$B$1:$VX$1,0),FALSE)/1,0)-IFERROR(VLOOKUP($B269,'Slutlig allokering kvv'!$B$2:$BX$549,MATCH(U$2,'Slutlig allokering kvv'!$B$1:$BX$1,0),FALSE)/1,0))</f>
        <v/>
      </c>
      <c r="V269" s="121" t="str">
        <f>IF($D269="","",IFERROR(VLOOKUP($B269,Kraftvärmeprod!$B$1:$BX$549,MATCH(V$2,Kraftvärmeprod!$B$1:$VX$1,0),FALSE)/1,0)-IFERROR(VLOOKUP($B269,'Slutlig allokering kvv'!$B$2:$BX$549,MATCH(V$2,'Slutlig allokering kvv'!$B$1:$BX$1,0),FALSE)/1,0))</f>
        <v/>
      </c>
      <c r="W269" s="121" t="str">
        <f>IF($D269="","",IFERROR(VLOOKUP($B269,Kraftvärmeprod!$B$1:$BX$549,MATCH(W$2,Kraftvärmeprod!$B$1:$VX$1,0),FALSE)/1,0)-IFERROR(VLOOKUP($B269,'Slutlig allokering kvv'!$B$2:$BX$549,MATCH(W$2,'Slutlig allokering kvv'!$B$1:$BX$1,0),FALSE)/1,0))</f>
        <v/>
      </c>
      <c r="X269" s="121" t="str">
        <f>IF($D269="","",IFERROR(VLOOKUP($B269,Kraftvärmeprod!$B$1:$BX$549,MATCH(X$2,Kraftvärmeprod!$B$1:$VX$1,0),FALSE)/1,0)-IFERROR(VLOOKUP($B269,'Slutlig allokering kvv'!$B$2:$BX$549,MATCH(X$2,'Slutlig allokering kvv'!$B$1:$BX$1,0),FALSE)/1,0))</f>
        <v/>
      </c>
      <c r="Y269" s="121" t="str">
        <f>IF($D269="","",IFERROR(VLOOKUP($B269,Kraftvärmeprod!$B$1:$BX$549,MATCH(Y$2,Kraftvärmeprod!$B$1:$VX$1,0),FALSE)/1,0)-IFERROR(VLOOKUP($B269,'Slutlig allokering kvv'!$B$2:$BX$549,MATCH(Y$2,'Slutlig allokering kvv'!$B$1:$BX$1,0),FALSE)/1,0))</f>
        <v/>
      </c>
      <c r="Z269" s="121" t="str">
        <f>IF($D269="","",IFERROR(VLOOKUP($B269,Kraftvärmeprod!$B$1:$BX$549,MATCH(Z$2,Kraftvärmeprod!$B$1:$VX$1,0),FALSE)/1,0)-IFERROR(VLOOKUP($B269,'Slutlig allokering kvv'!$B$2:$BX$549,MATCH(Z$2,'Slutlig allokering kvv'!$B$1:$BX$1,0),FALSE)/1,0))</f>
        <v/>
      </c>
      <c r="AA269" s="121" t="str">
        <f>IF($D269="","",IFERROR(VLOOKUP($B269,Kraftvärmeprod!$B$1:$BX$549,MATCH(AA$2,Kraftvärmeprod!$B$1:$VX$1,0),FALSE)/1,0)-IFERROR(VLOOKUP($B269,'Slutlig allokering kvv'!$B$2:$BX$549,MATCH(AA$2,'Slutlig allokering kvv'!$B$1:$BX$1,0),FALSE)/1,0))</f>
        <v/>
      </c>
      <c r="AB269" s="121" t="str">
        <f>IF($D269="","",IFERROR(VLOOKUP($B269,Kraftvärmeprod!$B$1:$BX$549,MATCH(AB$2,Kraftvärmeprod!$B$1:$VX$1,0),FALSE)/1,0)-IFERROR(VLOOKUP($B269,'Slutlig allokering kvv'!$B$2:$BX$549,MATCH(AB$2,'Slutlig allokering kvv'!$B$1:$BX$1,0),FALSE)/1,0))</f>
        <v/>
      </c>
      <c r="AC269" s="121" t="str">
        <f>IF($D269="","",IFERROR(VLOOKUP($B269,Kraftvärmeprod!$B$1:$BX$549,MATCH(AC$2,Kraftvärmeprod!$B$1:$VX$1,0),FALSE)/1,0)-IFERROR(VLOOKUP($B269,'Slutlig allokering kvv'!$B$2:$BX$549,MATCH(AC$2,'Slutlig allokering kvv'!$B$1:$BX$1,0),FALSE)/1,0))</f>
        <v/>
      </c>
      <c r="AD269" s="121" t="str">
        <f>IF($D269="","",IFERROR(VLOOKUP($B269,Kraftvärmeprod!$B$1:$BX$549,MATCH(AD$2,Kraftvärmeprod!$B$1:$VX$1,0),FALSE)/1,0)-IFERROR(VLOOKUP($B269,'Slutlig allokering kvv'!$B$2:$BX$549,MATCH(AD$2,'Slutlig allokering kvv'!$B$1:$BX$1,0),FALSE)/1,0))</f>
        <v/>
      </c>
      <c r="AE269" s="121" t="str">
        <f>IF($D269="","",IFERROR(VLOOKUP($B269,Miljö!$B$1:$E$550,MATCH("Hjälpel kraftvärme (GWh)",Miljö!$B$1:$E$1,0),FALSE)/1,0)-IFERROR(VLOOKUP($B269,'Slutlig allokering kvv'!$B$2:$BX$549,MATCH(AE$2,'Slutlig allokering kvv'!$B$1:$BX$1,0),FALSE)/1,0))</f>
        <v/>
      </c>
      <c r="AI269" s="121">
        <f t="shared" si="16"/>
        <v>0</v>
      </c>
      <c r="AK269" s="121">
        <f>IFERROR(VLOOKUP($B269,'Slutlig allokering kvv'!$B$2:$AX$549,MATCH("Summa slutlig allokerad tillförd energi (utan hjälpel och rökgaskondensering):",'Slutlig allokering kvv'!$B$1:$AX$1,0),FALSE)/1,"")</f>
        <v>0</v>
      </c>
      <c r="AM269" s="172" t="str">
        <f>IFERROR(1-VLOOKUP($B269,'Slutlig allokering kvv'!$B$2:$AX$549,MATCH("Andel av bränsle i kvv som allokerats till värme, exklusive rökgaskondensering och hjälpel",'Slutlig allokering kvv'!$B$1:$AX$1,0),FALSE),"")</f>
        <v/>
      </c>
      <c r="AO269" s="172" t="str">
        <f t="shared" si="17"/>
        <v/>
      </c>
      <c r="AP269" s="173" t="str">
        <f t="shared" si="18"/>
        <v/>
      </c>
      <c r="AR269" s="172" t="str">
        <f t="shared" si="19"/>
        <v/>
      </c>
    </row>
    <row r="270" spans="1:44" x14ac:dyDescent="0.25">
      <c r="A270" s="171" t="str">
        <f>'Miljövärden för publ företag'!B272</f>
        <v>Torsby kommun</v>
      </c>
      <c r="B270" s="171" t="str">
        <f>'Miljövärden för publ företag'!C272</f>
        <v>Torsby kommun</v>
      </c>
      <c r="C270" s="121" t="str">
        <f>IFERROR(VLOOKUP($B270,Kraftvärmeprod!$B$1:$AH$478,MATCH(C$2,Kraftvärmeprod!$B$1:$AG$1,0),FALSE)/1,"")</f>
        <v/>
      </c>
      <c r="D270" s="121" t="str">
        <f>IFERROR(VLOOKUP($B270,Kraftvärmeprod!$B$1:$AH$478,MATCH(D$2,Kraftvärmeprod!$B$1:$AG$1,0),FALSE)/1,"")</f>
        <v/>
      </c>
      <c r="F270" s="121" t="str">
        <f>IF($D270="","",IFERROR(VLOOKUP($B270,Kraftvärmeprod!$B$1:$BX$549,MATCH(F$2,Kraftvärmeprod!$B$1:$VX$1,0),FALSE)/1,0)-IFERROR(VLOOKUP($B270,'Slutlig allokering kvv'!$B$2:$BX$549,MATCH(F$2,'Slutlig allokering kvv'!$B$1:$BX$1,0),FALSE)/1,0))</f>
        <v/>
      </c>
      <c r="G270" s="121" t="str">
        <f>IF($D270="","",IFERROR(VLOOKUP($B270,Kraftvärmeprod!$B$1:$BX$549,MATCH(G$2,Kraftvärmeprod!$B$1:$VX$1,0),FALSE)/1,0)-IFERROR(VLOOKUP($B270,'Slutlig allokering kvv'!$B$2:$BX$549,MATCH(G$2,'Slutlig allokering kvv'!$B$1:$BX$1,0),FALSE)/1,0))</f>
        <v/>
      </c>
      <c r="H270" s="121" t="str">
        <f>IF($D270="","",IFERROR(VLOOKUP($B270,Kraftvärmeprod!$B$1:$BX$549,MATCH(H$2,Kraftvärmeprod!$B$1:$VX$1,0),FALSE)/1,0)-IFERROR(VLOOKUP($B270,'Slutlig allokering kvv'!$B$2:$BX$549,MATCH(H$2,'Slutlig allokering kvv'!$B$1:$BX$1,0),FALSE)/1,0))</f>
        <v/>
      </c>
      <c r="I270" s="121" t="str">
        <f>IF($D270="","",IFERROR(VLOOKUP($B270,Kraftvärmeprod!$B$1:$BX$549,MATCH(I$2,Kraftvärmeprod!$B$1:$VX$1,0),FALSE)/1,0)-IFERROR(VLOOKUP($B270,'Slutlig allokering kvv'!$B$2:$BX$549,MATCH(I$2,'Slutlig allokering kvv'!$B$1:$BX$1,0),FALSE)/1,0))</f>
        <v/>
      </c>
      <c r="J270" s="121" t="str">
        <f>IF($D270="","",IFERROR(VLOOKUP($B270,Kraftvärmeprod!$B$1:$BX$549,MATCH(J$2,Kraftvärmeprod!$B$1:$VX$1,0),FALSE)/1,0)-IFERROR(VLOOKUP($B270,'Slutlig allokering kvv'!$B$2:$BX$549,MATCH(J$2,'Slutlig allokering kvv'!$B$1:$BX$1,0),FALSE)/1,0))</f>
        <v/>
      </c>
      <c r="K270" s="121" t="str">
        <f>IF($D270="","",IFERROR(VLOOKUP($B270,Kraftvärmeprod!$B$1:$BX$549,MATCH(K$2,Kraftvärmeprod!$B$1:$VX$1,0),FALSE)/1,0)-IFERROR(VLOOKUP($B270,'Slutlig allokering kvv'!$B$2:$BX$549,MATCH(K$2,'Slutlig allokering kvv'!$B$1:$BX$1,0),FALSE)/1,0))</f>
        <v/>
      </c>
      <c r="L270" s="121" t="str">
        <f>IF($D270="","",IFERROR(VLOOKUP($B270,Kraftvärmeprod!$B$1:$BX$549,MATCH(L$2,Kraftvärmeprod!$B$1:$VX$1,0),FALSE)/1,0)-IFERROR(VLOOKUP($B270,'Slutlig allokering kvv'!$B$2:$BX$549,MATCH(L$2,'Slutlig allokering kvv'!$B$1:$BX$1,0),FALSE)/1,0))</f>
        <v/>
      </c>
      <c r="M270" s="121" t="str">
        <f>IF($D270="","",IFERROR(VLOOKUP($B270,Kraftvärmeprod!$B$1:$BX$549,MATCH(M$2,Kraftvärmeprod!$B$1:$VX$1,0),FALSE)/1,0)-IFERROR(VLOOKUP($B270,'Slutlig allokering kvv'!$B$2:$BX$549,MATCH(M$2,'Slutlig allokering kvv'!$B$1:$BX$1,0),FALSE)/1,0))</f>
        <v/>
      </c>
      <c r="N270" s="121" t="str">
        <f>IF($D270="","",IFERROR(VLOOKUP($B270,Kraftvärmeprod!$B$1:$BX$549,MATCH(N$2,Kraftvärmeprod!$B$1:$VX$1,0),FALSE)/1,0)-IFERROR(VLOOKUP($B270,'Slutlig allokering kvv'!$B$2:$BX$549,MATCH(N$2,'Slutlig allokering kvv'!$B$1:$BX$1,0),FALSE)/1,0))</f>
        <v/>
      </c>
      <c r="O270" s="121" t="str">
        <f>IF($D270="","",IFERROR(VLOOKUP($B270,Kraftvärmeprod!$B$1:$BX$549,MATCH(O$2,Kraftvärmeprod!$B$1:$VX$1,0),FALSE)/1,0)-IFERROR(VLOOKUP($B270,'Slutlig allokering kvv'!$B$2:$BX$549,MATCH(O$2,'Slutlig allokering kvv'!$B$1:$BX$1,0),FALSE)/1,0))</f>
        <v/>
      </c>
      <c r="P270" s="121" t="str">
        <f>IF($D270="","",IFERROR(VLOOKUP($B270,Kraftvärmeprod!$B$1:$BX$549,MATCH(P$2,Kraftvärmeprod!$B$1:$VX$1,0),FALSE)/1,0)-IFERROR(VLOOKUP($B270,'Slutlig allokering kvv'!$B$2:$BX$549,MATCH(P$2,'Slutlig allokering kvv'!$B$1:$BX$1,0),FALSE)/1,0))</f>
        <v/>
      </c>
      <c r="Q270" s="121" t="str">
        <f>IF($D270="","",IFERROR(VLOOKUP($B270,Kraftvärmeprod!$B$1:$BX$549,MATCH(Q$2,Kraftvärmeprod!$B$1:$VX$1,0),FALSE)/1,0)-IFERROR(VLOOKUP($B270,'Slutlig allokering kvv'!$B$2:$BX$549,MATCH(Q$2,'Slutlig allokering kvv'!$B$1:$BX$1,0),FALSE)/1,0))</f>
        <v/>
      </c>
      <c r="R270" s="121" t="str">
        <f>IF($D270="","",IFERROR(VLOOKUP($B270,Kraftvärmeprod!$B$1:$BX$549,MATCH(R$2,Kraftvärmeprod!$B$1:$VX$1,0),FALSE)/1,0)-IFERROR(VLOOKUP($B270,'Slutlig allokering kvv'!$B$2:$BX$549,MATCH(R$2,'Slutlig allokering kvv'!$B$1:$BX$1,0),FALSE)/1,0))</f>
        <v/>
      </c>
      <c r="S270" s="121" t="str">
        <f>IF($D270="","",IFERROR(VLOOKUP($B270,Kraftvärmeprod!$B$1:$BX$549,MATCH(S$2,Kraftvärmeprod!$B$1:$VX$1,0),FALSE)/1,0)-IFERROR(VLOOKUP($B270,'Slutlig allokering kvv'!$B$2:$BX$549,MATCH(S$2,'Slutlig allokering kvv'!$B$1:$BX$1,0),FALSE)/1,0))</f>
        <v/>
      </c>
      <c r="T270" s="121" t="str">
        <f>IF($D270="","",IFERROR(VLOOKUP($B270,Kraftvärmeprod!$B$1:$BX$549,MATCH(T$2,Kraftvärmeprod!$B$1:$VX$1,0),FALSE)/1,0)-IFERROR(VLOOKUP($B270,'Slutlig allokering kvv'!$B$2:$BX$549,MATCH(T$2,'Slutlig allokering kvv'!$B$1:$BX$1,0),FALSE)/1,0))</f>
        <v/>
      </c>
      <c r="U270" s="121" t="str">
        <f>IF($D270="","",IFERROR(VLOOKUP($B270,Kraftvärmeprod!$B$1:$BX$549,MATCH(U$2,Kraftvärmeprod!$B$1:$VX$1,0),FALSE)/1,0)-IFERROR(VLOOKUP($B270,'Slutlig allokering kvv'!$B$2:$BX$549,MATCH(U$2,'Slutlig allokering kvv'!$B$1:$BX$1,0),FALSE)/1,0))</f>
        <v/>
      </c>
      <c r="V270" s="121" t="str">
        <f>IF($D270="","",IFERROR(VLOOKUP($B270,Kraftvärmeprod!$B$1:$BX$549,MATCH(V$2,Kraftvärmeprod!$B$1:$VX$1,0),FALSE)/1,0)-IFERROR(VLOOKUP($B270,'Slutlig allokering kvv'!$B$2:$BX$549,MATCH(V$2,'Slutlig allokering kvv'!$B$1:$BX$1,0),FALSE)/1,0))</f>
        <v/>
      </c>
      <c r="W270" s="121" t="str">
        <f>IF($D270="","",IFERROR(VLOOKUP($B270,Kraftvärmeprod!$B$1:$BX$549,MATCH(W$2,Kraftvärmeprod!$B$1:$VX$1,0),FALSE)/1,0)-IFERROR(VLOOKUP($B270,'Slutlig allokering kvv'!$B$2:$BX$549,MATCH(W$2,'Slutlig allokering kvv'!$B$1:$BX$1,0),FALSE)/1,0))</f>
        <v/>
      </c>
      <c r="X270" s="121" t="str">
        <f>IF($D270="","",IFERROR(VLOOKUP($B270,Kraftvärmeprod!$B$1:$BX$549,MATCH(X$2,Kraftvärmeprod!$B$1:$VX$1,0),FALSE)/1,0)-IFERROR(VLOOKUP($B270,'Slutlig allokering kvv'!$B$2:$BX$549,MATCH(X$2,'Slutlig allokering kvv'!$B$1:$BX$1,0),FALSE)/1,0))</f>
        <v/>
      </c>
      <c r="Y270" s="121" t="str">
        <f>IF($D270="","",IFERROR(VLOOKUP($B270,Kraftvärmeprod!$B$1:$BX$549,MATCH(Y$2,Kraftvärmeprod!$B$1:$VX$1,0),FALSE)/1,0)-IFERROR(VLOOKUP($B270,'Slutlig allokering kvv'!$B$2:$BX$549,MATCH(Y$2,'Slutlig allokering kvv'!$B$1:$BX$1,0),FALSE)/1,0))</f>
        <v/>
      </c>
      <c r="Z270" s="121" t="str">
        <f>IF($D270="","",IFERROR(VLOOKUP($B270,Kraftvärmeprod!$B$1:$BX$549,MATCH(Z$2,Kraftvärmeprod!$B$1:$VX$1,0),FALSE)/1,0)-IFERROR(VLOOKUP($B270,'Slutlig allokering kvv'!$B$2:$BX$549,MATCH(Z$2,'Slutlig allokering kvv'!$B$1:$BX$1,0),FALSE)/1,0))</f>
        <v/>
      </c>
      <c r="AA270" s="121" t="str">
        <f>IF($D270="","",IFERROR(VLOOKUP($B270,Kraftvärmeprod!$B$1:$BX$549,MATCH(AA$2,Kraftvärmeprod!$B$1:$VX$1,0),FALSE)/1,0)-IFERROR(VLOOKUP($B270,'Slutlig allokering kvv'!$B$2:$BX$549,MATCH(AA$2,'Slutlig allokering kvv'!$B$1:$BX$1,0),FALSE)/1,0))</f>
        <v/>
      </c>
      <c r="AB270" s="121" t="str">
        <f>IF($D270="","",IFERROR(VLOOKUP($B270,Kraftvärmeprod!$B$1:$BX$549,MATCH(AB$2,Kraftvärmeprod!$B$1:$VX$1,0),FALSE)/1,0)-IFERROR(VLOOKUP($B270,'Slutlig allokering kvv'!$B$2:$BX$549,MATCH(AB$2,'Slutlig allokering kvv'!$B$1:$BX$1,0),FALSE)/1,0))</f>
        <v/>
      </c>
      <c r="AC270" s="121" t="str">
        <f>IF($D270="","",IFERROR(VLOOKUP($B270,Kraftvärmeprod!$B$1:$BX$549,MATCH(AC$2,Kraftvärmeprod!$B$1:$VX$1,0),FALSE)/1,0)-IFERROR(VLOOKUP($B270,'Slutlig allokering kvv'!$B$2:$BX$549,MATCH(AC$2,'Slutlig allokering kvv'!$B$1:$BX$1,0),FALSE)/1,0))</f>
        <v/>
      </c>
      <c r="AD270" s="121" t="str">
        <f>IF($D270="","",IFERROR(VLOOKUP($B270,Kraftvärmeprod!$B$1:$BX$549,MATCH(AD$2,Kraftvärmeprod!$B$1:$VX$1,0),FALSE)/1,0)-IFERROR(VLOOKUP($B270,'Slutlig allokering kvv'!$B$2:$BX$549,MATCH(AD$2,'Slutlig allokering kvv'!$B$1:$BX$1,0),FALSE)/1,0))</f>
        <v/>
      </c>
      <c r="AE270" s="121" t="str">
        <f>IF($D270="","",IFERROR(VLOOKUP($B270,Miljö!$B$1:$E$550,MATCH("Hjälpel kraftvärme (GWh)",Miljö!$B$1:$E$1,0),FALSE)/1,0)-IFERROR(VLOOKUP($B270,'Slutlig allokering kvv'!$B$2:$BX$549,MATCH(AE$2,'Slutlig allokering kvv'!$B$1:$BX$1,0),FALSE)/1,0))</f>
        <v/>
      </c>
      <c r="AI270" s="121">
        <f t="shared" si="16"/>
        <v>0</v>
      </c>
      <c r="AK270" s="121">
        <f>IFERROR(VLOOKUP($B270,'Slutlig allokering kvv'!$B$2:$AX$549,MATCH("Summa slutlig allokerad tillförd energi (utan hjälpel och rökgaskondensering):",'Slutlig allokering kvv'!$B$1:$AX$1,0),FALSE)/1,"")</f>
        <v>0</v>
      </c>
      <c r="AM270" s="172" t="str">
        <f>IFERROR(1-VLOOKUP($B270,'Slutlig allokering kvv'!$B$2:$AX$549,MATCH("Andel av bränsle i kvv som allokerats till värme, exklusive rökgaskondensering och hjälpel",'Slutlig allokering kvv'!$B$1:$AX$1,0),FALSE),"")</f>
        <v/>
      </c>
      <c r="AO270" s="172" t="str">
        <f t="shared" si="17"/>
        <v/>
      </c>
      <c r="AP270" s="173" t="str">
        <f t="shared" si="18"/>
        <v/>
      </c>
      <c r="AR270" s="172" t="str">
        <f t="shared" si="19"/>
        <v/>
      </c>
    </row>
    <row r="271" spans="1:44" x14ac:dyDescent="0.25">
      <c r="A271" s="171" t="str">
        <f>'Miljövärden för publ företag'!B273</f>
        <v>Torsås fjärrvärmenät AB</v>
      </c>
      <c r="B271" s="171" t="str">
        <f>'Miljövärden för publ företag'!C273</f>
        <v>Torsås</v>
      </c>
      <c r="C271" s="121" t="str">
        <f>IFERROR(VLOOKUP($B271,Kraftvärmeprod!$B$1:$AH$478,MATCH(C$2,Kraftvärmeprod!$B$1:$AG$1,0),FALSE)/1,"")</f>
        <v/>
      </c>
      <c r="D271" s="121" t="str">
        <f>IFERROR(VLOOKUP($B271,Kraftvärmeprod!$B$1:$AH$478,MATCH(D$2,Kraftvärmeprod!$B$1:$AG$1,0),FALSE)/1,"")</f>
        <v/>
      </c>
      <c r="F271" s="121" t="str">
        <f>IF($D271="","",IFERROR(VLOOKUP($B271,Kraftvärmeprod!$B$1:$BX$549,MATCH(F$2,Kraftvärmeprod!$B$1:$VX$1,0),FALSE)/1,0)-IFERROR(VLOOKUP($B271,'Slutlig allokering kvv'!$B$2:$BX$549,MATCH(F$2,'Slutlig allokering kvv'!$B$1:$BX$1,0),FALSE)/1,0))</f>
        <v/>
      </c>
      <c r="G271" s="121" t="str">
        <f>IF($D271="","",IFERROR(VLOOKUP($B271,Kraftvärmeprod!$B$1:$BX$549,MATCH(G$2,Kraftvärmeprod!$B$1:$VX$1,0),FALSE)/1,0)-IFERROR(VLOOKUP($B271,'Slutlig allokering kvv'!$B$2:$BX$549,MATCH(G$2,'Slutlig allokering kvv'!$B$1:$BX$1,0),FALSE)/1,0))</f>
        <v/>
      </c>
      <c r="H271" s="121" t="str">
        <f>IF($D271="","",IFERROR(VLOOKUP($B271,Kraftvärmeprod!$B$1:$BX$549,MATCH(H$2,Kraftvärmeprod!$B$1:$VX$1,0),FALSE)/1,0)-IFERROR(VLOOKUP($B271,'Slutlig allokering kvv'!$B$2:$BX$549,MATCH(H$2,'Slutlig allokering kvv'!$B$1:$BX$1,0),FALSE)/1,0))</f>
        <v/>
      </c>
      <c r="I271" s="121" t="str">
        <f>IF($D271="","",IFERROR(VLOOKUP($B271,Kraftvärmeprod!$B$1:$BX$549,MATCH(I$2,Kraftvärmeprod!$B$1:$VX$1,0),FALSE)/1,0)-IFERROR(VLOOKUP($B271,'Slutlig allokering kvv'!$B$2:$BX$549,MATCH(I$2,'Slutlig allokering kvv'!$B$1:$BX$1,0),FALSE)/1,0))</f>
        <v/>
      </c>
      <c r="J271" s="121" t="str">
        <f>IF($D271="","",IFERROR(VLOOKUP($B271,Kraftvärmeprod!$B$1:$BX$549,MATCH(J$2,Kraftvärmeprod!$B$1:$VX$1,0),FALSE)/1,0)-IFERROR(VLOOKUP($B271,'Slutlig allokering kvv'!$B$2:$BX$549,MATCH(J$2,'Slutlig allokering kvv'!$B$1:$BX$1,0),FALSE)/1,0))</f>
        <v/>
      </c>
      <c r="K271" s="121" t="str">
        <f>IF($D271="","",IFERROR(VLOOKUP($B271,Kraftvärmeprod!$B$1:$BX$549,MATCH(K$2,Kraftvärmeprod!$B$1:$VX$1,0),FALSE)/1,0)-IFERROR(VLOOKUP($B271,'Slutlig allokering kvv'!$B$2:$BX$549,MATCH(K$2,'Slutlig allokering kvv'!$B$1:$BX$1,0),FALSE)/1,0))</f>
        <v/>
      </c>
      <c r="L271" s="121" t="str">
        <f>IF($D271="","",IFERROR(VLOOKUP($B271,Kraftvärmeprod!$B$1:$BX$549,MATCH(L$2,Kraftvärmeprod!$B$1:$VX$1,0),FALSE)/1,0)-IFERROR(VLOOKUP($B271,'Slutlig allokering kvv'!$B$2:$BX$549,MATCH(L$2,'Slutlig allokering kvv'!$B$1:$BX$1,0),FALSE)/1,0))</f>
        <v/>
      </c>
      <c r="M271" s="121" t="str">
        <f>IF($D271="","",IFERROR(VLOOKUP($B271,Kraftvärmeprod!$B$1:$BX$549,MATCH(M$2,Kraftvärmeprod!$B$1:$VX$1,0),FALSE)/1,0)-IFERROR(VLOOKUP($B271,'Slutlig allokering kvv'!$B$2:$BX$549,MATCH(M$2,'Slutlig allokering kvv'!$B$1:$BX$1,0),FALSE)/1,0))</f>
        <v/>
      </c>
      <c r="N271" s="121" t="str">
        <f>IF($D271="","",IFERROR(VLOOKUP($B271,Kraftvärmeprod!$B$1:$BX$549,MATCH(N$2,Kraftvärmeprod!$B$1:$VX$1,0),FALSE)/1,0)-IFERROR(VLOOKUP($B271,'Slutlig allokering kvv'!$B$2:$BX$549,MATCH(N$2,'Slutlig allokering kvv'!$B$1:$BX$1,0),FALSE)/1,0))</f>
        <v/>
      </c>
      <c r="O271" s="121" t="str">
        <f>IF($D271="","",IFERROR(VLOOKUP($B271,Kraftvärmeprod!$B$1:$BX$549,MATCH(O$2,Kraftvärmeprod!$B$1:$VX$1,0),FALSE)/1,0)-IFERROR(VLOOKUP($B271,'Slutlig allokering kvv'!$B$2:$BX$549,MATCH(O$2,'Slutlig allokering kvv'!$B$1:$BX$1,0),FALSE)/1,0))</f>
        <v/>
      </c>
      <c r="P271" s="121" t="str">
        <f>IF($D271="","",IFERROR(VLOOKUP($B271,Kraftvärmeprod!$B$1:$BX$549,MATCH(P$2,Kraftvärmeprod!$B$1:$VX$1,0),FALSE)/1,0)-IFERROR(VLOOKUP($B271,'Slutlig allokering kvv'!$B$2:$BX$549,MATCH(P$2,'Slutlig allokering kvv'!$B$1:$BX$1,0),FALSE)/1,0))</f>
        <v/>
      </c>
      <c r="Q271" s="121" t="str">
        <f>IF($D271="","",IFERROR(VLOOKUP($B271,Kraftvärmeprod!$B$1:$BX$549,MATCH(Q$2,Kraftvärmeprod!$B$1:$VX$1,0),FALSE)/1,0)-IFERROR(VLOOKUP($B271,'Slutlig allokering kvv'!$B$2:$BX$549,MATCH(Q$2,'Slutlig allokering kvv'!$B$1:$BX$1,0),FALSE)/1,0))</f>
        <v/>
      </c>
      <c r="R271" s="121" t="str">
        <f>IF($D271="","",IFERROR(VLOOKUP($B271,Kraftvärmeprod!$B$1:$BX$549,MATCH(R$2,Kraftvärmeprod!$B$1:$VX$1,0),FALSE)/1,0)-IFERROR(VLOOKUP($B271,'Slutlig allokering kvv'!$B$2:$BX$549,MATCH(R$2,'Slutlig allokering kvv'!$B$1:$BX$1,0),FALSE)/1,0))</f>
        <v/>
      </c>
      <c r="S271" s="121" t="str">
        <f>IF($D271="","",IFERROR(VLOOKUP($B271,Kraftvärmeprod!$B$1:$BX$549,MATCH(S$2,Kraftvärmeprod!$B$1:$VX$1,0),FALSE)/1,0)-IFERROR(VLOOKUP($B271,'Slutlig allokering kvv'!$B$2:$BX$549,MATCH(S$2,'Slutlig allokering kvv'!$B$1:$BX$1,0),FALSE)/1,0))</f>
        <v/>
      </c>
      <c r="T271" s="121" t="str">
        <f>IF($D271="","",IFERROR(VLOOKUP($B271,Kraftvärmeprod!$B$1:$BX$549,MATCH(T$2,Kraftvärmeprod!$B$1:$VX$1,0),FALSE)/1,0)-IFERROR(VLOOKUP($B271,'Slutlig allokering kvv'!$B$2:$BX$549,MATCH(T$2,'Slutlig allokering kvv'!$B$1:$BX$1,0),FALSE)/1,0))</f>
        <v/>
      </c>
      <c r="U271" s="121" t="str">
        <f>IF($D271="","",IFERROR(VLOOKUP($B271,Kraftvärmeprod!$B$1:$BX$549,MATCH(U$2,Kraftvärmeprod!$B$1:$VX$1,0),FALSE)/1,0)-IFERROR(VLOOKUP($B271,'Slutlig allokering kvv'!$B$2:$BX$549,MATCH(U$2,'Slutlig allokering kvv'!$B$1:$BX$1,0),FALSE)/1,0))</f>
        <v/>
      </c>
      <c r="V271" s="121" t="str">
        <f>IF($D271="","",IFERROR(VLOOKUP($B271,Kraftvärmeprod!$B$1:$BX$549,MATCH(V$2,Kraftvärmeprod!$B$1:$VX$1,0),FALSE)/1,0)-IFERROR(VLOOKUP($B271,'Slutlig allokering kvv'!$B$2:$BX$549,MATCH(V$2,'Slutlig allokering kvv'!$B$1:$BX$1,0),FALSE)/1,0))</f>
        <v/>
      </c>
      <c r="W271" s="121" t="str">
        <f>IF($D271="","",IFERROR(VLOOKUP($B271,Kraftvärmeprod!$B$1:$BX$549,MATCH(W$2,Kraftvärmeprod!$B$1:$VX$1,0),FALSE)/1,0)-IFERROR(VLOOKUP($B271,'Slutlig allokering kvv'!$B$2:$BX$549,MATCH(W$2,'Slutlig allokering kvv'!$B$1:$BX$1,0),FALSE)/1,0))</f>
        <v/>
      </c>
      <c r="X271" s="121" t="str">
        <f>IF($D271="","",IFERROR(VLOOKUP($B271,Kraftvärmeprod!$B$1:$BX$549,MATCH(X$2,Kraftvärmeprod!$B$1:$VX$1,0),FALSE)/1,0)-IFERROR(VLOOKUP($B271,'Slutlig allokering kvv'!$B$2:$BX$549,MATCH(X$2,'Slutlig allokering kvv'!$B$1:$BX$1,0),FALSE)/1,0))</f>
        <v/>
      </c>
      <c r="Y271" s="121" t="str">
        <f>IF($D271="","",IFERROR(VLOOKUP($B271,Kraftvärmeprod!$B$1:$BX$549,MATCH(Y$2,Kraftvärmeprod!$B$1:$VX$1,0),FALSE)/1,0)-IFERROR(VLOOKUP($B271,'Slutlig allokering kvv'!$B$2:$BX$549,MATCH(Y$2,'Slutlig allokering kvv'!$B$1:$BX$1,0),FALSE)/1,0))</f>
        <v/>
      </c>
      <c r="Z271" s="121" t="str">
        <f>IF($D271="","",IFERROR(VLOOKUP($B271,Kraftvärmeprod!$B$1:$BX$549,MATCH(Z$2,Kraftvärmeprod!$B$1:$VX$1,0),FALSE)/1,0)-IFERROR(VLOOKUP($B271,'Slutlig allokering kvv'!$B$2:$BX$549,MATCH(Z$2,'Slutlig allokering kvv'!$B$1:$BX$1,0),FALSE)/1,0))</f>
        <v/>
      </c>
      <c r="AA271" s="121" t="str">
        <f>IF($D271="","",IFERROR(VLOOKUP($B271,Kraftvärmeprod!$B$1:$BX$549,MATCH(AA$2,Kraftvärmeprod!$B$1:$VX$1,0),FALSE)/1,0)-IFERROR(VLOOKUP($B271,'Slutlig allokering kvv'!$B$2:$BX$549,MATCH(AA$2,'Slutlig allokering kvv'!$B$1:$BX$1,0),FALSE)/1,0))</f>
        <v/>
      </c>
      <c r="AB271" s="121" t="str">
        <f>IF($D271="","",IFERROR(VLOOKUP($B271,Kraftvärmeprod!$B$1:$BX$549,MATCH(AB$2,Kraftvärmeprod!$B$1:$VX$1,0),FALSE)/1,0)-IFERROR(VLOOKUP($B271,'Slutlig allokering kvv'!$B$2:$BX$549,MATCH(AB$2,'Slutlig allokering kvv'!$B$1:$BX$1,0),FALSE)/1,0))</f>
        <v/>
      </c>
      <c r="AC271" s="121" t="str">
        <f>IF($D271="","",IFERROR(VLOOKUP($B271,Kraftvärmeprod!$B$1:$BX$549,MATCH(AC$2,Kraftvärmeprod!$B$1:$VX$1,0),FALSE)/1,0)-IFERROR(VLOOKUP($B271,'Slutlig allokering kvv'!$B$2:$BX$549,MATCH(AC$2,'Slutlig allokering kvv'!$B$1:$BX$1,0),FALSE)/1,0))</f>
        <v/>
      </c>
      <c r="AD271" s="121" t="str">
        <f>IF($D271="","",IFERROR(VLOOKUP($B271,Kraftvärmeprod!$B$1:$BX$549,MATCH(AD$2,Kraftvärmeprod!$B$1:$VX$1,0),FALSE)/1,0)-IFERROR(VLOOKUP($B271,'Slutlig allokering kvv'!$B$2:$BX$549,MATCH(AD$2,'Slutlig allokering kvv'!$B$1:$BX$1,0),FALSE)/1,0))</f>
        <v/>
      </c>
      <c r="AE271" s="121" t="str">
        <f>IF($D271="","",IFERROR(VLOOKUP($B271,Miljö!$B$1:$E$550,MATCH("Hjälpel kraftvärme (GWh)",Miljö!$B$1:$E$1,0),FALSE)/1,0)-IFERROR(VLOOKUP($B271,'Slutlig allokering kvv'!$B$2:$BX$549,MATCH(AE$2,'Slutlig allokering kvv'!$B$1:$BX$1,0),FALSE)/1,0))</f>
        <v/>
      </c>
      <c r="AI271" s="121">
        <f t="shared" si="16"/>
        <v>0</v>
      </c>
      <c r="AK271" s="121">
        <f>IFERROR(VLOOKUP($B271,'Slutlig allokering kvv'!$B$2:$AX$549,MATCH("Summa slutlig allokerad tillförd energi (utan hjälpel och rökgaskondensering):",'Slutlig allokering kvv'!$B$1:$AX$1,0),FALSE)/1,"")</f>
        <v>0</v>
      </c>
      <c r="AM271" s="172" t="str">
        <f>IFERROR(1-VLOOKUP($B271,'Slutlig allokering kvv'!$B$2:$AX$549,MATCH("Andel av bränsle i kvv som allokerats till värme, exklusive rökgaskondensering och hjälpel",'Slutlig allokering kvv'!$B$1:$AX$1,0),FALSE),"")</f>
        <v/>
      </c>
      <c r="AO271" s="172" t="str">
        <f t="shared" si="17"/>
        <v/>
      </c>
      <c r="AP271" s="173" t="str">
        <f t="shared" si="18"/>
        <v/>
      </c>
      <c r="AR271" s="172" t="str">
        <f t="shared" si="19"/>
        <v/>
      </c>
    </row>
    <row r="272" spans="1:44" x14ac:dyDescent="0.25">
      <c r="A272" s="171" t="str">
        <f>'Miljövärden för publ företag'!B274</f>
        <v>Tranås Energi AB</v>
      </c>
      <c r="B272" s="171" t="str">
        <f>'Miljövärden för publ företag'!C274</f>
        <v>Tranås</v>
      </c>
      <c r="C272" s="121">
        <f>IFERROR(VLOOKUP($B272,Kraftvärmeprod!$B$1:$AH$478,MATCH(C$2,Kraftvärmeprod!$B$1:$AG$1,0),FALSE)/1,"")</f>
        <v>125.4</v>
      </c>
      <c r="D272" s="121">
        <f>IFERROR(VLOOKUP($B272,Kraftvärmeprod!$B$1:$AH$478,MATCH(D$2,Kraftvärmeprod!$B$1:$AG$1,0),FALSE)/1,"")</f>
        <v>25.8</v>
      </c>
      <c r="F272" s="121">
        <f>IF($D272="","",IFERROR(VLOOKUP($B272,Kraftvärmeprod!$B$1:$BX$549,MATCH(F$2,Kraftvärmeprod!$B$1:$VX$1,0),FALSE)/1,0)-IFERROR(VLOOKUP($B272,'Slutlig allokering kvv'!$B$2:$BX$549,MATCH(F$2,'Slutlig allokering kvv'!$B$1:$BX$1,0),FALSE)/1,0))</f>
        <v>0</v>
      </c>
      <c r="G272" s="121">
        <f>IF($D272="","",IFERROR(VLOOKUP($B272,Kraftvärmeprod!$B$1:$BX$549,MATCH(G$2,Kraftvärmeprod!$B$1:$VX$1,0),FALSE)/1,0)-IFERROR(VLOOKUP($B272,'Slutlig allokering kvv'!$B$2:$BX$549,MATCH(G$2,'Slutlig allokering kvv'!$B$1:$BX$1,0),FALSE)/1,0))</f>
        <v>0</v>
      </c>
      <c r="H272" s="121">
        <f>IF($D272="","",IFERROR(VLOOKUP($B272,Kraftvärmeprod!$B$1:$BX$549,MATCH(H$2,Kraftvärmeprod!$B$1:$VX$1,0),FALSE)/1,0)-IFERROR(VLOOKUP($B272,'Slutlig allokering kvv'!$B$2:$BX$549,MATCH(H$2,'Slutlig allokering kvv'!$B$1:$BX$1,0),FALSE)/1,0))</f>
        <v>0</v>
      </c>
      <c r="I272" s="121">
        <f>IF($D272="","",IFERROR(VLOOKUP($B272,Kraftvärmeprod!$B$1:$BX$549,MATCH(I$2,Kraftvärmeprod!$B$1:$VX$1,0),FALSE)/1,0)-IFERROR(VLOOKUP($B272,'Slutlig allokering kvv'!$B$2:$BX$549,MATCH(I$2,'Slutlig allokering kvv'!$B$1:$BX$1,0),FALSE)/1,0))</f>
        <v>0</v>
      </c>
      <c r="J272" s="121">
        <f>IF($D272="","",IFERROR(VLOOKUP($B272,Kraftvärmeprod!$B$1:$BX$549,MATCH(J$2,Kraftvärmeprod!$B$1:$VX$1,0),FALSE)/1,0)-IFERROR(VLOOKUP($B272,'Slutlig allokering kvv'!$B$2:$BX$549,MATCH(J$2,'Slutlig allokering kvv'!$B$1:$BX$1,0),FALSE)/1,0))</f>
        <v>0</v>
      </c>
      <c r="K272" s="121">
        <f>IF($D272="","",IFERROR(VLOOKUP($B272,Kraftvärmeprod!$B$1:$BX$549,MATCH(K$2,Kraftvärmeprod!$B$1:$VX$1,0),FALSE)/1,0)-IFERROR(VLOOKUP($B272,'Slutlig allokering kvv'!$B$2:$BX$549,MATCH(K$2,'Slutlig allokering kvv'!$B$1:$BX$1,0),FALSE)/1,0))</f>
        <v>0</v>
      </c>
      <c r="L272" s="121">
        <f>IF($D272="","",IFERROR(VLOOKUP($B272,Kraftvärmeprod!$B$1:$BX$549,MATCH(L$2,Kraftvärmeprod!$B$1:$VX$1,0),FALSE)/1,0)-IFERROR(VLOOKUP($B272,'Slutlig allokering kvv'!$B$2:$BX$549,MATCH(L$2,'Slutlig allokering kvv'!$B$1:$BX$1,0),FALSE)/1,0))</f>
        <v>38.302799999999991</v>
      </c>
      <c r="M272" s="121">
        <f>IF($D272="","",IFERROR(VLOOKUP($B272,Kraftvärmeprod!$B$1:$BX$549,MATCH(M$2,Kraftvärmeprod!$B$1:$VX$1,0),FALSE)/1,0)-IFERROR(VLOOKUP($B272,'Slutlig allokering kvv'!$B$2:$BX$549,MATCH(M$2,'Slutlig allokering kvv'!$B$1:$BX$1,0),FALSE)/1,0))</f>
        <v>13.7135</v>
      </c>
      <c r="N272" s="121">
        <f>IF($D272="","",IFERROR(VLOOKUP($B272,Kraftvärmeprod!$B$1:$BX$549,MATCH(N$2,Kraftvärmeprod!$B$1:$VX$1,0),FALSE)/1,0)-IFERROR(VLOOKUP($B272,'Slutlig allokering kvv'!$B$2:$BX$549,MATCH(N$2,'Slutlig allokering kvv'!$B$1:$BX$1,0),FALSE)/1,0))</f>
        <v>0</v>
      </c>
      <c r="O272" s="121">
        <f>IF($D272="","",IFERROR(VLOOKUP($B272,Kraftvärmeprod!$B$1:$BX$549,MATCH(O$2,Kraftvärmeprod!$B$1:$VX$1,0),FALSE)/1,0)-IFERROR(VLOOKUP($B272,'Slutlig allokering kvv'!$B$2:$BX$549,MATCH(O$2,'Slutlig allokering kvv'!$B$1:$BX$1,0),FALSE)/1,0))</f>
        <v>5.5461000000000009</v>
      </c>
      <c r="P272" s="121">
        <f>IF($D272="","",IFERROR(VLOOKUP($B272,Kraftvärmeprod!$B$1:$BX$549,MATCH(P$2,Kraftvärmeprod!$B$1:$VX$1,0),FALSE)/1,0)-IFERROR(VLOOKUP($B272,'Slutlig allokering kvv'!$B$2:$BX$549,MATCH(P$2,'Slutlig allokering kvv'!$B$1:$BX$1,0),FALSE)/1,0))</f>
        <v>0</v>
      </c>
      <c r="Q272" s="121">
        <f>IF($D272="","",IFERROR(VLOOKUP($B272,Kraftvärmeprod!$B$1:$BX$549,MATCH(Q$2,Kraftvärmeprod!$B$1:$VX$1,0),FALSE)/1,0)-IFERROR(VLOOKUP($B272,'Slutlig allokering kvv'!$B$2:$BX$549,MATCH(Q$2,'Slutlig allokering kvv'!$B$1:$BX$1,0),FALSE)/1,0))</f>
        <v>0</v>
      </c>
      <c r="R272" s="121">
        <f>IF($D272="","",IFERROR(VLOOKUP($B272,Kraftvärmeprod!$B$1:$BX$549,MATCH(R$2,Kraftvärmeprod!$B$1:$VX$1,0),FALSE)/1,0)-IFERROR(VLOOKUP($B272,'Slutlig allokering kvv'!$B$2:$BX$549,MATCH(R$2,'Slutlig allokering kvv'!$B$1:$BX$1,0),FALSE)/1,0))</f>
        <v>0</v>
      </c>
      <c r="S272" s="121">
        <f>IF($D272="","",IFERROR(VLOOKUP($B272,Kraftvärmeprod!$B$1:$BX$549,MATCH(S$2,Kraftvärmeprod!$B$1:$VX$1,0),FALSE)/1,0)-IFERROR(VLOOKUP($B272,'Slutlig allokering kvv'!$B$2:$BX$549,MATCH(S$2,'Slutlig allokering kvv'!$B$1:$BX$1,0),FALSE)/1,0))</f>
        <v>0</v>
      </c>
      <c r="T272" s="121">
        <f>IF($D272="","",IFERROR(VLOOKUP($B272,Kraftvärmeprod!$B$1:$BX$549,MATCH(T$2,Kraftvärmeprod!$B$1:$VX$1,0),FALSE)/1,0)-IFERROR(VLOOKUP($B272,'Slutlig allokering kvv'!$B$2:$BX$549,MATCH(T$2,'Slutlig allokering kvv'!$B$1:$BX$1,0),FALSE)/1,0))</f>
        <v>0</v>
      </c>
      <c r="U272" s="121">
        <f>IF($D272="","",IFERROR(VLOOKUP($B272,Kraftvärmeprod!$B$1:$BX$549,MATCH(U$2,Kraftvärmeprod!$B$1:$VX$1,0),FALSE)/1,0)-IFERROR(VLOOKUP($B272,'Slutlig allokering kvv'!$B$2:$BX$549,MATCH(U$2,'Slutlig allokering kvv'!$B$1:$BX$1,0),FALSE)/1,0))</f>
        <v>0</v>
      </c>
      <c r="V272" s="121">
        <f>IF($D272="","",IFERROR(VLOOKUP($B272,Kraftvärmeprod!$B$1:$BX$549,MATCH(V$2,Kraftvärmeprod!$B$1:$VX$1,0),FALSE)/1,0)-IFERROR(VLOOKUP($B272,'Slutlig allokering kvv'!$B$2:$BX$549,MATCH(V$2,'Slutlig allokering kvv'!$B$1:$BX$1,0),FALSE)/1,0))</f>
        <v>0</v>
      </c>
      <c r="W272" s="121">
        <f>IF($D272="","",IFERROR(VLOOKUP($B272,Kraftvärmeprod!$B$1:$BX$549,MATCH(W$2,Kraftvärmeprod!$B$1:$VX$1,0),FALSE)/1,0)-IFERROR(VLOOKUP($B272,'Slutlig allokering kvv'!$B$2:$BX$549,MATCH(W$2,'Slutlig allokering kvv'!$B$1:$BX$1,0),FALSE)/1,0))</f>
        <v>0</v>
      </c>
      <c r="X272" s="121">
        <f>IF($D272="","",IFERROR(VLOOKUP($B272,Kraftvärmeprod!$B$1:$BX$549,MATCH(X$2,Kraftvärmeprod!$B$1:$VX$1,0),FALSE)/1,0)-IFERROR(VLOOKUP($B272,'Slutlig allokering kvv'!$B$2:$BX$549,MATCH(X$2,'Slutlig allokering kvv'!$B$1:$BX$1,0),FALSE)/1,0))</f>
        <v>0</v>
      </c>
      <c r="Y272" s="121">
        <f>IF($D272="","",IFERROR(VLOOKUP($B272,Kraftvärmeprod!$B$1:$BX$549,MATCH(Y$2,Kraftvärmeprod!$B$1:$VX$1,0),FALSE)/1,0)-IFERROR(VLOOKUP($B272,'Slutlig allokering kvv'!$B$2:$BX$549,MATCH(Y$2,'Slutlig allokering kvv'!$B$1:$BX$1,0),FALSE)/1,0))</f>
        <v>0</v>
      </c>
      <c r="Z272" s="121">
        <f>IF($D272="","",IFERROR(VLOOKUP($B272,Kraftvärmeprod!$B$1:$BX$549,MATCH(Z$2,Kraftvärmeprod!$B$1:$VX$1,0),FALSE)/1,0)-IFERROR(VLOOKUP($B272,'Slutlig allokering kvv'!$B$2:$BX$549,MATCH(Z$2,'Slutlig allokering kvv'!$B$1:$BX$1,0),FALSE)/1,0))</f>
        <v>0</v>
      </c>
      <c r="AA272" s="121">
        <f>IF($D272="","",IFERROR(VLOOKUP($B272,Kraftvärmeprod!$B$1:$BX$549,MATCH(AA$2,Kraftvärmeprod!$B$1:$VX$1,0),FALSE)/1,0)-IFERROR(VLOOKUP($B272,'Slutlig allokering kvv'!$B$2:$BX$549,MATCH(AA$2,'Slutlig allokering kvv'!$B$1:$BX$1,0),FALSE)/1,0))</f>
        <v>0</v>
      </c>
      <c r="AB272" s="121">
        <f>IF($D272="","",IFERROR(VLOOKUP($B272,Kraftvärmeprod!$B$1:$BX$549,MATCH(AB$2,Kraftvärmeprod!$B$1:$VX$1,0),FALSE)/1,0)-IFERROR(VLOOKUP($B272,'Slutlig allokering kvv'!$B$2:$BX$549,MATCH(AB$2,'Slutlig allokering kvv'!$B$1:$BX$1,0),FALSE)/1,0))</f>
        <v>0</v>
      </c>
      <c r="AC272" s="121">
        <f>IF($D272="","",IFERROR(VLOOKUP($B272,Kraftvärmeprod!$B$1:$BX$549,MATCH(AC$2,Kraftvärmeprod!$B$1:$VX$1,0),FALSE)/1,0)-IFERROR(VLOOKUP($B272,'Slutlig allokering kvv'!$B$2:$BX$549,MATCH(AC$2,'Slutlig allokering kvv'!$B$1:$BX$1,0),FALSE)/1,0))</f>
        <v>0</v>
      </c>
      <c r="AD272" s="121">
        <f>IF($D272="","",IFERROR(VLOOKUP($B272,Kraftvärmeprod!$B$1:$BX$549,MATCH(AD$2,Kraftvärmeprod!$B$1:$VX$1,0),FALSE)/1,0)-IFERROR(VLOOKUP($B272,'Slutlig allokering kvv'!$B$2:$BX$549,MATCH(AD$2,'Slutlig allokering kvv'!$B$1:$BX$1,0),FALSE)/1,0))</f>
        <v>0</v>
      </c>
      <c r="AE272" s="121">
        <f>IF($D272="","",IFERROR(VLOOKUP($B272,Miljö!$B$1:$E$550,MATCH("Hjälpel kraftvärme (GWh)",Miljö!$B$1:$E$1,0),FALSE)/1,0)-IFERROR(VLOOKUP($B272,'Slutlig allokering kvv'!$B$2:$BX$549,MATCH(AE$2,'Slutlig allokering kvv'!$B$1:$BX$1,0),FALSE)/1,0))</f>
        <v>0</v>
      </c>
      <c r="AI272" s="121">
        <f t="shared" si="16"/>
        <v>57.56239999999999</v>
      </c>
      <c r="AK272" s="121">
        <f>IFERROR(VLOOKUP($B272,'Slutlig allokering kvv'!$B$2:$AX$549,MATCH("Summa slutlig allokerad tillförd energi (utan hjälpel och rökgaskondensering):",'Slutlig allokering kvv'!$B$1:$AX$1,0),FALSE)/1,"")</f>
        <v>107.35760000000002</v>
      </c>
      <c r="AM272" s="172">
        <f>IFERROR(1-VLOOKUP($B272,'Slutlig allokering kvv'!$B$2:$AX$549,MATCH("Andel av bränsle i kvv som allokerats till värme, exklusive rökgaskondensering och hjälpel",'Slutlig allokering kvv'!$B$1:$AX$1,0),FALSE),"")</f>
        <v>0.3490322580645161</v>
      </c>
      <c r="AO272" s="172">
        <f t="shared" si="17"/>
        <v>0.34903225806451604</v>
      </c>
      <c r="AP272" s="173">
        <f t="shared" si="18"/>
        <v>5.5511151231257827E-17</v>
      </c>
      <c r="AR272" s="172">
        <f t="shared" si="19"/>
        <v>0.44820924770336201</v>
      </c>
    </row>
    <row r="273" spans="1:44" x14ac:dyDescent="0.25">
      <c r="A273" s="171" t="str">
        <f>'Miljövärden för publ företag'!B275</f>
        <v>Trollhättan Energi AB</v>
      </c>
      <c r="B273" s="171" t="str">
        <f>'Miljövärden för publ företag'!C275</f>
        <v>Trollhättan</v>
      </c>
      <c r="C273" s="121">
        <f>IFERROR(VLOOKUP($B273,Kraftvärmeprod!$B$1:$AH$478,MATCH(C$2,Kraftvärmeprod!$B$1:$AG$1,0),FALSE)/1,"")</f>
        <v>77.900000000000006</v>
      </c>
      <c r="D273" s="121">
        <f>IFERROR(VLOOKUP($B273,Kraftvärmeprod!$B$1:$AH$478,MATCH(D$2,Kraftvärmeprod!$B$1:$AG$1,0),FALSE)/1,"")</f>
        <v>9</v>
      </c>
      <c r="F273" s="121">
        <f>IF($D273="","",IFERROR(VLOOKUP($B273,Kraftvärmeprod!$B$1:$BX$549,MATCH(F$2,Kraftvärmeprod!$B$1:$VX$1,0),FALSE)/1,0)-IFERROR(VLOOKUP($B273,'Slutlig allokering kvv'!$B$2:$BX$549,MATCH(F$2,'Slutlig allokering kvv'!$B$1:$BX$1,0),FALSE)/1,0))</f>
        <v>0</v>
      </c>
      <c r="G273" s="121">
        <f>IF($D273="","",IFERROR(VLOOKUP($B273,Kraftvärmeprod!$B$1:$BX$549,MATCH(G$2,Kraftvärmeprod!$B$1:$VX$1,0),FALSE)/1,0)-IFERROR(VLOOKUP($B273,'Slutlig allokering kvv'!$B$2:$BX$549,MATCH(G$2,'Slutlig allokering kvv'!$B$1:$BX$1,0),FALSE)/1,0))</f>
        <v>0</v>
      </c>
      <c r="H273" s="121">
        <f>IF($D273="","",IFERROR(VLOOKUP($B273,Kraftvärmeprod!$B$1:$BX$549,MATCH(H$2,Kraftvärmeprod!$B$1:$VX$1,0),FALSE)/1,0)-IFERROR(VLOOKUP($B273,'Slutlig allokering kvv'!$B$2:$BX$549,MATCH(H$2,'Slutlig allokering kvv'!$B$1:$BX$1,0),FALSE)/1,0))</f>
        <v>0</v>
      </c>
      <c r="I273" s="121">
        <f>IF($D273="","",IFERROR(VLOOKUP($B273,Kraftvärmeprod!$B$1:$BX$549,MATCH(I$2,Kraftvärmeprod!$B$1:$VX$1,0),FALSE)/1,0)-IFERROR(VLOOKUP($B273,'Slutlig allokering kvv'!$B$2:$BX$549,MATCH(I$2,'Slutlig allokering kvv'!$B$1:$BX$1,0),FALSE)/1,0))</f>
        <v>0</v>
      </c>
      <c r="J273" s="121">
        <f>IF($D273="","",IFERROR(VLOOKUP($B273,Kraftvärmeprod!$B$1:$BX$549,MATCH(J$2,Kraftvärmeprod!$B$1:$VX$1,0),FALSE)/1,0)-IFERROR(VLOOKUP($B273,'Slutlig allokering kvv'!$B$2:$BX$549,MATCH(J$2,'Slutlig allokering kvv'!$B$1:$BX$1,0),FALSE)/1,0))</f>
        <v>0</v>
      </c>
      <c r="K273" s="121">
        <f>IF($D273="","",IFERROR(VLOOKUP($B273,Kraftvärmeprod!$B$1:$BX$549,MATCH(K$2,Kraftvärmeprod!$B$1:$VX$1,0),FALSE)/1,0)-IFERROR(VLOOKUP($B273,'Slutlig allokering kvv'!$B$2:$BX$549,MATCH(K$2,'Slutlig allokering kvv'!$B$1:$BX$1,0),FALSE)/1,0))</f>
        <v>0</v>
      </c>
      <c r="L273" s="121">
        <f>IF($D273="","",IFERROR(VLOOKUP($B273,Kraftvärmeprod!$B$1:$BX$549,MATCH(L$2,Kraftvärmeprod!$B$1:$VX$1,0),FALSE)/1,0)-IFERROR(VLOOKUP($B273,'Slutlig allokering kvv'!$B$2:$BX$549,MATCH(L$2,'Slutlig allokering kvv'!$B$1:$BX$1,0),FALSE)/1,0))</f>
        <v>21.359200000000001</v>
      </c>
      <c r="M273" s="121">
        <f>IF($D273="","",IFERROR(VLOOKUP($B273,Kraftvärmeprod!$B$1:$BX$549,MATCH(M$2,Kraftvärmeprod!$B$1:$VX$1,0),FALSE)/1,0)-IFERROR(VLOOKUP($B273,'Slutlig allokering kvv'!$B$2:$BX$549,MATCH(M$2,'Slutlig allokering kvv'!$B$1:$BX$1,0),FALSE)/1,0))</f>
        <v>0</v>
      </c>
      <c r="N273" s="121">
        <f>IF($D273="","",IFERROR(VLOOKUP($B273,Kraftvärmeprod!$B$1:$BX$549,MATCH(N$2,Kraftvärmeprod!$B$1:$VX$1,0),FALSE)/1,0)-IFERROR(VLOOKUP($B273,'Slutlig allokering kvv'!$B$2:$BX$549,MATCH(N$2,'Slutlig allokering kvv'!$B$1:$BX$1,0),FALSE)/1,0))</f>
        <v>0</v>
      </c>
      <c r="O273" s="121">
        <f>IF($D273="","",IFERROR(VLOOKUP($B273,Kraftvärmeprod!$B$1:$BX$549,MATCH(O$2,Kraftvärmeprod!$B$1:$VX$1,0),FALSE)/1,0)-IFERROR(VLOOKUP($B273,'Slutlig allokering kvv'!$B$2:$BX$549,MATCH(O$2,'Slutlig allokering kvv'!$B$1:$BX$1,0),FALSE)/1,0))</f>
        <v>0</v>
      </c>
      <c r="P273" s="121">
        <f>IF($D273="","",IFERROR(VLOOKUP($B273,Kraftvärmeprod!$B$1:$BX$549,MATCH(P$2,Kraftvärmeprod!$B$1:$VX$1,0),FALSE)/1,0)-IFERROR(VLOOKUP($B273,'Slutlig allokering kvv'!$B$2:$BX$549,MATCH(P$2,'Slutlig allokering kvv'!$B$1:$BX$1,0),FALSE)/1,0))</f>
        <v>0</v>
      </c>
      <c r="Q273" s="121">
        <f>IF($D273="","",IFERROR(VLOOKUP($B273,Kraftvärmeprod!$B$1:$BX$549,MATCH(Q$2,Kraftvärmeprod!$B$1:$VX$1,0),FALSE)/1,0)-IFERROR(VLOOKUP($B273,'Slutlig allokering kvv'!$B$2:$BX$549,MATCH(Q$2,'Slutlig allokering kvv'!$B$1:$BX$1,0),FALSE)/1,0))</f>
        <v>0</v>
      </c>
      <c r="R273" s="121">
        <f>IF($D273="","",IFERROR(VLOOKUP($B273,Kraftvärmeprod!$B$1:$BX$549,MATCH(R$2,Kraftvärmeprod!$B$1:$VX$1,0),FALSE)/1,0)-IFERROR(VLOOKUP($B273,'Slutlig allokering kvv'!$B$2:$BX$549,MATCH(R$2,'Slutlig allokering kvv'!$B$1:$BX$1,0),FALSE)/1,0))</f>
        <v>0</v>
      </c>
      <c r="S273" s="121">
        <f>IF($D273="","",IFERROR(VLOOKUP($B273,Kraftvärmeprod!$B$1:$BX$549,MATCH(S$2,Kraftvärmeprod!$B$1:$VX$1,0),FALSE)/1,0)-IFERROR(VLOOKUP($B273,'Slutlig allokering kvv'!$B$2:$BX$549,MATCH(S$2,'Slutlig allokering kvv'!$B$1:$BX$1,0),FALSE)/1,0))</f>
        <v>0</v>
      </c>
      <c r="T273" s="121">
        <f>IF($D273="","",IFERROR(VLOOKUP($B273,Kraftvärmeprod!$B$1:$BX$549,MATCH(T$2,Kraftvärmeprod!$B$1:$VX$1,0),FALSE)/1,0)-IFERROR(VLOOKUP($B273,'Slutlig allokering kvv'!$B$2:$BX$549,MATCH(T$2,'Slutlig allokering kvv'!$B$1:$BX$1,0),FALSE)/1,0))</f>
        <v>0</v>
      </c>
      <c r="U273" s="121">
        <f>IF($D273="","",IFERROR(VLOOKUP($B273,Kraftvärmeprod!$B$1:$BX$549,MATCH(U$2,Kraftvärmeprod!$B$1:$VX$1,0),FALSE)/1,0)-IFERROR(VLOOKUP($B273,'Slutlig allokering kvv'!$B$2:$BX$549,MATCH(U$2,'Slutlig allokering kvv'!$B$1:$BX$1,0),FALSE)/1,0))</f>
        <v>0</v>
      </c>
      <c r="V273" s="121">
        <f>IF($D273="","",IFERROR(VLOOKUP($B273,Kraftvärmeprod!$B$1:$BX$549,MATCH(V$2,Kraftvärmeprod!$B$1:$VX$1,0),FALSE)/1,0)-IFERROR(VLOOKUP($B273,'Slutlig allokering kvv'!$B$2:$BX$549,MATCH(V$2,'Slutlig allokering kvv'!$B$1:$BX$1,0),FALSE)/1,0))</f>
        <v>0</v>
      </c>
      <c r="W273" s="121">
        <f>IF($D273="","",IFERROR(VLOOKUP($B273,Kraftvärmeprod!$B$1:$BX$549,MATCH(W$2,Kraftvärmeprod!$B$1:$VX$1,0),FALSE)/1,0)-IFERROR(VLOOKUP($B273,'Slutlig allokering kvv'!$B$2:$BX$549,MATCH(W$2,'Slutlig allokering kvv'!$B$1:$BX$1,0),FALSE)/1,0))</f>
        <v>0</v>
      </c>
      <c r="X273" s="121">
        <f>IF($D273="","",IFERROR(VLOOKUP($B273,Kraftvärmeprod!$B$1:$BX$549,MATCH(X$2,Kraftvärmeprod!$B$1:$VX$1,0),FALSE)/1,0)-IFERROR(VLOOKUP($B273,'Slutlig allokering kvv'!$B$2:$BX$549,MATCH(X$2,'Slutlig allokering kvv'!$B$1:$BX$1,0),FALSE)/1,0))</f>
        <v>0</v>
      </c>
      <c r="Y273" s="121">
        <f>IF($D273="","",IFERROR(VLOOKUP($B273,Kraftvärmeprod!$B$1:$BX$549,MATCH(Y$2,Kraftvärmeprod!$B$1:$VX$1,0),FALSE)/1,0)-IFERROR(VLOOKUP($B273,'Slutlig allokering kvv'!$B$2:$BX$549,MATCH(Y$2,'Slutlig allokering kvv'!$B$1:$BX$1,0),FALSE)/1,0))</f>
        <v>0</v>
      </c>
      <c r="Z273" s="121">
        <f>IF($D273="","",IFERROR(VLOOKUP($B273,Kraftvärmeprod!$B$1:$BX$549,MATCH(Z$2,Kraftvärmeprod!$B$1:$VX$1,0),FALSE)/1,0)-IFERROR(VLOOKUP($B273,'Slutlig allokering kvv'!$B$2:$BX$549,MATCH(Z$2,'Slutlig allokering kvv'!$B$1:$BX$1,0),FALSE)/1,0))</f>
        <v>0</v>
      </c>
      <c r="AA273" s="121">
        <f>IF($D273="","",IFERROR(VLOOKUP($B273,Kraftvärmeprod!$B$1:$BX$549,MATCH(AA$2,Kraftvärmeprod!$B$1:$VX$1,0),FALSE)/1,0)-IFERROR(VLOOKUP($B273,'Slutlig allokering kvv'!$B$2:$BX$549,MATCH(AA$2,'Slutlig allokering kvv'!$B$1:$BX$1,0),FALSE)/1,0))</f>
        <v>0</v>
      </c>
      <c r="AB273" s="121">
        <f>IF($D273="","",IFERROR(VLOOKUP($B273,Kraftvärmeprod!$B$1:$BX$549,MATCH(AB$2,Kraftvärmeprod!$B$1:$VX$1,0),FALSE)/1,0)-IFERROR(VLOOKUP($B273,'Slutlig allokering kvv'!$B$2:$BX$549,MATCH(AB$2,'Slutlig allokering kvv'!$B$1:$BX$1,0),FALSE)/1,0))</f>
        <v>0</v>
      </c>
      <c r="AC273" s="121">
        <f>IF($D273="","",IFERROR(VLOOKUP($B273,Kraftvärmeprod!$B$1:$BX$549,MATCH(AC$2,Kraftvärmeprod!$B$1:$VX$1,0),FALSE)/1,0)-IFERROR(VLOOKUP($B273,'Slutlig allokering kvv'!$B$2:$BX$549,MATCH(AC$2,'Slutlig allokering kvv'!$B$1:$BX$1,0),FALSE)/1,0))</f>
        <v>0</v>
      </c>
      <c r="AD273" s="121">
        <f>IF($D273="","",IFERROR(VLOOKUP($B273,Kraftvärmeprod!$B$1:$BX$549,MATCH(AD$2,Kraftvärmeprod!$B$1:$VX$1,0),FALSE)/1,0)-IFERROR(VLOOKUP($B273,'Slutlig allokering kvv'!$B$2:$BX$549,MATCH(AD$2,'Slutlig allokering kvv'!$B$1:$BX$1,0),FALSE)/1,0))</f>
        <v>0</v>
      </c>
      <c r="AE273" s="121">
        <f>IF($D273="","",IFERROR(VLOOKUP($B273,Miljö!$B$1:$E$550,MATCH("Hjälpel kraftvärme (GWh)",Miljö!$B$1:$E$1,0),FALSE)/1,0)-IFERROR(VLOOKUP($B273,'Slutlig allokering kvv'!$B$2:$BX$549,MATCH(AE$2,'Slutlig allokering kvv'!$B$1:$BX$1,0),FALSE)/1,0))</f>
        <v>0.6479499999999998</v>
      </c>
      <c r="AI273" s="121">
        <f t="shared" si="16"/>
        <v>21.359200000000001</v>
      </c>
      <c r="AK273" s="121">
        <f>IFERROR(VLOOKUP($B273,'Slutlig allokering kvv'!$B$2:$AX$549,MATCH("Summa slutlig allokerad tillförd energi (utan hjälpel och rökgaskondensering):",'Slutlig allokering kvv'!$B$1:$AX$1,0),FALSE)/1,"")</f>
        <v>70.940799999999996</v>
      </c>
      <c r="AM273" s="172">
        <f>IFERROR(1-VLOOKUP($B273,'Slutlig allokering kvv'!$B$2:$AX$549,MATCH("Andel av bränsle i kvv som allokerats till värme, exklusive rökgaskondensering och hjälpel",'Slutlig allokering kvv'!$B$1:$AX$1,0),FALSE),"")</f>
        <v>0.23141061755146264</v>
      </c>
      <c r="AO273" s="172">
        <f t="shared" si="17"/>
        <v>0.23141061755146264</v>
      </c>
      <c r="AP273" s="173">
        <f t="shared" si="18"/>
        <v>0</v>
      </c>
      <c r="AR273" s="172">
        <f t="shared" si="19"/>
        <v>0.40895799774164299</v>
      </c>
    </row>
    <row r="274" spans="1:44" x14ac:dyDescent="0.25">
      <c r="A274" s="171" t="str">
        <f>'Miljövärden för publ företag'!B276</f>
        <v>Uddevalla Energi AB</v>
      </c>
      <c r="B274" s="171" t="str">
        <f>'Miljövärden för publ företag'!C276</f>
        <v>Ljungskile</v>
      </c>
      <c r="C274" s="121" t="str">
        <f>IFERROR(VLOOKUP($B274,Kraftvärmeprod!$B$1:$AH$478,MATCH(C$2,Kraftvärmeprod!$B$1:$AG$1,0),FALSE)/1,"")</f>
        <v/>
      </c>
      <c r="D274" s="121" t="str">
        <f>IFERROR(VLOOKUP($B274,Kraftvärmeprod!$B$1:$AH$478,MATCH(D$2,Kraftvärmeprod!$B$1:$AG$1,0),FALSE)/1,"")</f>
        <v/>
      </c>
      <c r="F274" s="121" t="str">
        <f>IF($D274="","",IFERROR(VLOOKUP($B274,Kraftvärmeprod!$B$1:$BX$549,MATCH(F$2,Kraftvärmeprod!$B$1:$VX$1,0),FALSE)/1,0)-IFERROR(VLOOKUP($B274,'Slutlig allokering kvv'!$B$2:$BX$549,MATCH(F$2,'Slutlig allokering kvv'!$B$1:$BX$1,0),FALSE)/1,0))</f>
        <v/>
      </c>
      <c r="G274" s="121" t="str">
        <f>IF($D274="","",IFERROR(VLOOKUP($B274,Kraftvärmeprod!$B$1:$BX$549,MATCH(G$2,Kraftvärmeprod!$B$1:$VX$1,0),FALSE)/1,0)-IFERROR(VLOOKUP($B274,'Slutlig allokering kvv'!$B$2:$BX$549,MATCH(G$2,'Slutlig allokering kvv'!$B$1:$BX$1,0),FALSE)/1,0))</f>
        <v/>
      </c>
      <c r="H274" s="121" t="str">
        <f>IF($D274="","",IFERROR(VLOOKUP($B274,Kraftvärmeprod!$B$1:$BX$549,MATCH(H$2,Kraftvärmeprod!$B$1:$VX$1,0),FALSE)/1,0)-IFERROR(VLOOKUP($B274,'Slutlig allokering kvv'!$B$2:$BX$549,MATCH(H$2,'Slutlig allokering kvv'!$B$1:$BX$1,0),FALSE)/1,0))</f>
        <v/>
      </c>
      <c r="I274" s="121" t="str">
        <f>IF($D274="","",IFERROR(VLOOKUP($B274,Kraftvärmeprod!$B$1:$BX$549,MATCH(I$2,Kraftvärmeprod!$B$1:$VX$1,0),FALSE)/1,0)-IFERROR(VLOOKUP($B274,'Slutlig allokering kvv'!$B$2:$BX$549,MATCH(I$2,'Slutlig allokering kvv'!$B$1:$BX$1,0),FALSE)/1,0))</f>
        <v/>
      </c>
      <c r="J274" s="121" t="str">
        <f>IF($D274="","",IFERROR(VLOOKUP($B274,Kraftvärmeprod!$B$1:$BX$549,MATCH(J$2,Kraftvärmeprod!$B$1:$VX$1,0),FALSE)/1,0)-IFERROR(VLOOKUP($B274,'Slutlig allokering kvv'!$B$2:$BX$549,MATCH(J$2,'Slutlig allokering kvv'!$B$1:$BX$1,0),FALSE)/1,0))</f>
        <v/>
      </c>
      <c r="K274" s="121" t="str">
        <f>IF($D274="","",IFERROR(VLOOKUP($B274,Kraftvärmeprod!$B$1:$BX$549,MATCH(K$2,Kraftvärmeprod!$B$1:$VX$1,0),FALSE)/1,0)-IFERROR(VLOOKUP($B274,'Slutlig allokering kvv'!$B$2:$BX$549,MATCH(K$2,'Slutlig allokering kvv'!$B$1:$BX$1,0),FALSE)/1,0))</f>
        <v/>
      </c>
      <c r="L274" s="121" t="str">
        <f>IF($D274="","",IFERROR(VLOOKUP($B274,Kraftvärmeprod!$B$1:$BX$549,MATCH(L$2,Kraftvärmeprod!$B$1:$VX$1,0),FALSE)/1,0)-IFERROR(VLOOKUP($B274,'Slutlig allokering kvv'!$B$2:$BX$549,MATCH(L$2,'Slutlig allokering kvv'!$B$1:$BX$1,0),FALSE)/1,0))</f>
        <v/>
      </c>
      <c r="M274" s="121" t="str">
        <f>IF($D274="","",IFERROR(VLOOKUP($B274,Kraftvärmeprod!$B$1:$BX$549,MATCH(M$2,Kraftvärmeprod!$B$1:$VX$1,0),FALSE)/1,0)-IFERROR(VLOOKUP($B274,'Slutlig allokering kvv'!$B$2:$BX$549,MATCH(M$2,'Slutlig allokering kvv'!$B$1:$BX$1,0),FALSE)/1,0))</f>
        <v/>
      </c>
      <c r="N274" s="121" t="str">
        <f>IF($D274="","",IFERROR(VLOOKUP($B274,Kraftvärmeprod!$B$1:$BX$549,MATCH(N$2,Kraftvärmeprod!$B$1:$VX$1,0),FALSE)/1,0)-IFERROR(VLOOKUP($B274,'Slutlig allokering kvv'!$B$2:$BX$549,MATCH(N$2,'Slutlig allokering kvv'!$B$1:$BX$1,0),FALSE)/1,0))</f>
        <v/>
      </c>
      <c r="O274" s="121" t="str">
        <f>IF($D274="","",IFERROR(VLOOKUP($B274,Kraftvärmeprod!$B$1:$BX$549,MATCH(O$2,Kraftvärmeprod!$B$1:$VX$1,0),FALSE)/1,0)-IFERROR(VLOOKUP($B274,'Slutlig allokering kvv'!$B$2:$BX$549,MATCH(O$2,'Slutlig allokering kvv'!$B$1:$BX$1,0),FALSE)/1,0))</f>
        <v/>
      </c>
      <c r="P274" s="121" t="str">
        <f>IF($D274="","",IFERROR(VLOOKUP($B274,Kraftvärmeprod!$B$1:$BX$549,MATCH(P$2,Kraftvärmeprod!$B$1:$VX$1,0),FALSE)/1,0)-IFERROR(VLOOKUP($B274,'Slutlig allokering kvv'!$B$2:$BX$549,MATCH(P$2,'Slutlig allokering kvv'!$B$1:$BX$1,0),FALSE)/1,0))</f>
        <v/>
      </c>
      <c r="Q274" s="121" t="str">
        <f>IF($D274="","",IFERROR(VLOOKUP($B274,Kraftvärmeprod!$B$1:$BX$549,MATCH(Q$2,Kraftvärmeprod!$B$1:$VX$1,0),FALSE)/1,0)-IFERROR(VLOOKUP($B274,'Slutlig allokering kvv'!$B$2:$BX$549,MATCH(Q$2,'Slutlig allokering kvv'!$B$1:$BX$1,0),FALSE)/1,0))</f>
        <v/>
      </c>
      <c r="R274" s="121" t="str">
        <f>IF($D274="","",IFERROR(VLOOKUP($B274,Kraftvärmeprod!$B$1:$BX$549,MATCH(R$2,Kraftvärmeprod!$B$1:$VX$1,0),FALSE)/1,0)-IFERROR(VLOOKUP($B274,'Slutlig allokering kvv'!$B$2:$BX$549,MATCH(R$2,'Slutlig allokering kvv'!$B$1:$BX$1,0),FALSE)/1,0))</f>
        <v/>
      </c>
      <c r="S274" s="121" t="str">
        <f>IF($D274="","",IFERROR(VLOOKUP($B274,Kraftvärmeprod!$B$1:$BX$549,MATCH(S$2,Kraftvärmeprod!$B$1:$VX$1,0),FALSE)/1,0)-IFERROR(VLOOKUP($B274,'Slutlig allokering kvv'!$B$2:$BX$549,MATCH(S$2,'Slutlig allokering kvv'!$B$1:$BX$1,0),FALSE)/1,0))</f>
        <v/>
      </c>
      <c r="T274" s="121" t="str">
        <f>IF($D274="","",IFERROR(VLOOKUP($B274,Kraftvärmeprod!$B$1:$BX$549,MATCH(T$2,Kraftvärmeprod!$B$1:$VX$1,0),FALSE)/1,0)-IFERROR(VLOOKUP($B274,'Slutlig allokering kvv'!$B$2:$BX$549,MATCH(T$2,'Slutlig allokering kvv'!$B$1:$BX$1,0),FALSE)/1,0))</f>
        <v/>
      </c>
      <c r="U274" s="121" t="str">
        <f>IF($D274="","",IFERROR(VLOOKUP($B274,Kraftvärmeprod!$B$1:$BX$549,MATCH(U$2,Kraftvärmeprod!$B$1:$VX$1,0),FALSE)/1,0)-IFERROR(VLOOKUP($B274,'Slutlig allokering kvv'!$B$2:$BX$549,MATCH(U$2,'Slutlig allokering kvv'!$B$1:$BX$1,0),FALSE)/1,0))</f>
        <v/>
      </c>
      <c r="V274" s="121" t="str">
        <f>IF($D274="","",IFERROR(VLOOKUP($B274,Kraftvärmeprod!$B$1:$BX$549,MATCH(V$2,Kraftvärmeprod!$B$1:$VX$1,0),FALSE)/1,0)-IFERROR(VLOOKUP($B274,'Slutlig allokering kvv'!$B$2:$BX$549,MATCH(V$2,'Slutlig allokering kvv'!$B$1:$BX$1,0),FALSE)/1,0))</f>
        <v/>
      </c>
      <c r="W274" s="121" t="str">
        <f>IF($D274="","",IFERROR(VLOOKUP($B274,Kraftvärmeprod!$B$1:$BX$549,MATCH(W$2,Kraftvärmeprod!$B$1:$VX$1,0),FALSE)/1,0)-IFERROR(VLOOKUP($B274,'Slutlig allokering kvv'!$B$2:$BX$549,MATCH(W$2,'Slutlig allokering kvv'!$B$1:$BX$1,0),FALSE)/1,0))</f>
        <v/>
      </c>
      <c r="X274" s="121" t="str">
        <f>IF($D274="","",IFERROR(VLOOKUP($B274,Kraftvärmeprod!$B$1:$BX$549,MATCH(X$2,Kraftvärmeprod!$B$1:$VX$1,0),FALSE)/1,0)-IFERROR(VLOOKUP($B274,'Slutlig allokering kvv'!$B$2:$BX$549,MATCH(X$2,'Slutlig allokering kvv'!$B$1:$BX$1,0),FALSE)/1,0))</f>
        <v/>
      </c>
      <c r="Y274" s="121" t="str">
        <f>IF($D274="","",IFERROR(VLOOKUP($B274,Kraftvärmeprod!$B$1:$BX$549,MATCH(Y$2,Kraftvärmeprod!$B$1:$VX$1,0),FALSE)/1,0)-IFERROR(VLOOKUP($B274,'Slutlig allokering kvv'!$B$2:$BX$549,MATCH(Y$2,'Slutlig allokering kvv'!$B$1:$BX$1,0),FALSE)/1,0))</f>
        <v/>
      </c>
      <c r="Z274" s="121" t="str">
        <f>IF($D274="","",IFERROR(VLOOKUP($B274,Kraftvärmeprod!$B$1:$BX$549,MATCH(Z$2,Kraftvärmeprod!$B$1:$VX$1,0),FALSE)/1,0)-IFERROR(VLOOKUP($B274,'Slutlig allokering kvv'!$B$2:$BX$549,MATCH(Z$2,'Slutlig allokering kvv'!$B$1:$BX$1,0),FALSE)/1,0))</f>
        <v/>
      </c>
      <c r="AA274" s="121" t="str">
        <f>IF($D274="","",IFERROR(VLOOKUP($B274,Kraftvärmeprod!$B$1:$BX$549,MATCH(AA$2,Kraftvärmeprod!$B$1:$VX$1,0),FALSE)/1,0)-IFERROR(VLOOKUP($B274,'Slutlig allokering kvv'!$B$2:$BX$549,MATCH(AA$2,'Slutlig allokering kvv'!$B$1:$BX$1,0),FALSE)/1,0))</f>
        <v/>
      </c>
      <c r="AB274" s="121" t="str">
        <f>IF($D274="","",IFERROR(VLOOKUP($B274,Kraftvärmeprod!$B$1:$BX$549,MATCH(AB$2,Kraftvärmeprod!$B$1:$VX$1,0),FALSE)/1,0)-IFERROR(VLOOKUP($B274,'Slutlig allokering kvv'!$B$2:$BX$549,MATCH(AB$2,'Slutlig allokering kvv'!$B$1:$BX$1,0),FALSE)/1,0))</f>
        <v/>
      </c>
      <c r="AC274" s="121" t="str">
        <f>IF($D274="","",IFERROR(VLOOKUP($B274,Kraftvärmeprod!$B$1:$BX$549,MATCH(AC$2,Kraftvärmeprod!$B$1:$VX$1,0),FALSE)/1,0)-IFERROR(VLOOKUP($B274,'Slutlig allokering kvv'!$B$2:$BX$549,MATCH(AC$2,'Slutlig allokering kvv'!$B$1:$BX$1,0),FALSE)/1,0))</f>
        <v/>
      </c>
      <c r="AD274" s="121" t="str">
        <f>IF($D274="","",IFERROR(VLOOKUP($B274,Kraftvärmeprod!$B$1:$BX$549,MATCH(AD$2,Kraftvärmeprod!$B$1:$VX$1,0),FALSE)/1,0)-IFERROR(VLOOKUP($B274,'Slutlig allokering kvv'!$B$2:$BX$549,MATCH(AD$2,'Slutlig allokering kvv'!$B$1:$BX$1,0),FALSE)/1,0))</f>
        <v/>
      </c>
      <c r="AE274" s="121" t="str">
        <f>IF($D274="","",IFERROR(VLOOKUP($B274,Miljö!$B$1:$E$550,MATCH("Hjälpel kraftvärme (GWh)",Miljö!$B$1:$E$1,0),FALSE)/1,0)-IFERROR(VLOOKUP($B274,'Slutlig allokering kvv'!$B$2:$BX$549,MATCH(AE$2,'Slutlig allokering kvv'!$B$1:$BX$1,0),FALSE)/1,0))</f>
        <v/>
      </c>
      <c r="AI274" s="121">
        <f t="shared" si="16"/>
        <v>0</v>
      </c>
      <c r="AK274" s="121">
        <f>IFERROR(VLOOKUP($B274,'Slutlig allokering kvv'!$B$2:$AX$549,MATCH("Summa slutlig allokerad tillförd energi (utan hjälpel och rökgaskondensering):",'Slutlig allokering kvv'!$B$1:$AX$1,0),FALSE)/1,"")</f>
        <v>0</v>
      </c>
      <c r="AM274" s="172" t="str">
        <f>IFERROR(1-VLOOKUP($B274,'Slutlig allokering kvv'!$B$2:$AX$549,MATCH("Andel av bränsle i kvv som allokerats till värme, exklusive rökgaskondensering och hjälpel",'Slutlig allokering kvv'!$B$1:$AX$1,0),FALSE),"")</f>
        <v/>
      </c>
      <c r="AO274" s="172" t="str">
        <f t="shared" si="17"/>
        <v/>
      </c>
      <c r="AP274" s="173" t="str">
        <f t="shared" si="18"/>
        <v/>
      </c>
      <c r="AR274" s="172" t="str">
        <f t="shared" si="19"/>
        <v/>
      </c>
    </row>
    <row r="275" spans="1:44" x14ac:dyDescent="0.25">
      <c r="A275" s="171" t="str">
        <f>'Miljövärden för publ företag'!B277</f>
        <v>Uddevalla Energi AB</v>
      </c>
      <c r="B275" s="171" t="str">
        <f>'Miljövärden för publ företag'!C277</f>
        <v>Munkedal</v>
      </c>
      <c r="C275" s="121" t="str">
        <f>IFERROR(VLOOKUP($B275,Kraftvärmeprod!$B$1:$AH$478,MATCH(C$2,Kraftvärmeprod!$B$1:$AG$1,0),FALSE)/1,"")</f>
        <v/>
      </c>
      <c r="D275" s="121" t="str">
        <f>IFERROR(VLOOKUP($B275,Kraftvärmeprod!$B$1:$AH$478,MATCH(D$2,Kraftvärmeprod!$B$1:$AG$1,0),FALSE)/1,"")</f>
        <v/>
      </c>
      <c r="F275" s="121" t="str">
        <f>IF($D275="","",IFERROR(VLOOKUP($B275,Kraftvärmeprod!$B$1:$BX$549,MATCH(F$2,Kraftvärmeprod!$B$1:$VX$1,0),FALSE)/1,0)-IFERROR(VLOOKUP($B275,'Slutlig allokering kvv'!$B$2:$BX$549,MATCH(F$2,'Slutlig allokering kvv'!$B$1:$BX$1,0),FALSE)/1,0))</f>
        <v/>
      </c>
      <c r="G275" s="121" t="str">
        <f>IF($D275="","",IFERROR(VLOOKUP($B275,Kraftvärmeprod!$B$1:$BX$549,MATCH(G$2,Kraftvärmeprod!$B$1:$VX$1,0),FALSE)/1,0)-IFERROR(VLOOKUP($B275,'Slutlig allokering kvv'!$B$2:$BX$549,MATCH(G$2,'Slutlig allokering kvv'!$B$1:$BX$1,0),FALSE)/1,0))</f>
        <v/>
      </c>
      <c r="H275" s="121" t="str">
        <f>IF($D275="","",IFERROR(VLOOKUP($B275,Kraftvärmeprod!$B$1:$BX$549,MATCH(H$2,Kraftvärmeprod!$B$1:$VX$1,0),FALSE)/1,0)-IFERROR(VLOOKUP($B275,'Slutlig allokering kvv'!$B$2:$BX$549,MATCH(H$2,'Slutlig allokering kvv'!$B$1:$BX$1,0),FALSE)/1,0))</f>
        <v/>
      </c>
      <c r="I275" s="121" t="str">
        <f>IF($D275="","",IFERROR(VLOOKUP($B275,Kraftvärmeprod!$B$1:$BX$549,MATCH(I$2,Kraftvärmeprod!$B$1:$VX$1,0),FALSE)/1,0)-IFERROR(VLOOKUP($B275,'Slutlig allokering kvv'!$B$2:$BX$549,MATCH(I$2,'Slutlig allokering kvv'!$B$1:$BX$1,0),FALSE)/1,0))</f>
        <v/>
      </c>
      <c r="J275" s="121" t="str">
        <f>IF($D275="","",IFERROR(VLOOKUP($B275,Kraftvärmeprod!$B$1:$BX$549,MATCH(J$2,Kraftvärmeprod!$B$1:$VX$1,0),FALSE)/1,0)-IFERROR(VLOOKUP($B275,'Slutlig allokering kvv'!$B$2:$BX$549,MATCH(J$2,'Slutlig allokering kvv'!$B$1:$BX$1,0),FALSE)/1,0))</f>
        <v/>
      </c>
      <c r="K275" s="121" t="str">
        <f>IF($D275="","",IFERROR(VLOOKUP($B275,Kraftvärmeprod!$B$1:$BX$549,MATCH(K$2,Kraftvärmeprod!$B$1:$VX$1,0),FALSE)/1,0)-IFERROR(VLOOKUP($B275,'Slutlig allokering kvv'!$B$2:$BX$549,MATCH(K$2,'Slutlig allokering kvv'!$B$1:$BX$1,0),FALSE)/1,0))</f>
        <v/>
      </c>
      <c r="L275" s="121" t="str">
        <f>IF($D275="","",IFERROR(VLOOKUP($B275,Kraftvärmeprod!$B$1:$BX$549,MATCH(L$2,Kraftvärmeprod!$B$1:$VX$1,0),FALSE)/1,0)-IFERROR(VLOOKUP($B275,'Slutlig allokering kvv'!$B$2:$BX$549,MATCH(L$2,'Slutlig allokering kvv'!$B$1:$BX$1,0),FALSE)/1,0))</f>
        <v/>
      </c>
      <c r="M275" s="121" t="str">
        <f>IF($D275="","",IFERROR(VLOOKUP($B275,Kraftvärmeprod!$B$1:$BX$549,MATCH(M$2,Kraftvärmeprod!$B$1:$VX$1,0),FALSE)/1,0)-IFERROR(VLOOKUP($B275,'Slutlig allokering kvv'!$B$2:$BX$549,MATCH(M$2,'Slutlig allokering kvv'!$B$1:$BX$1,0),FALSE)/1,0))</f>
        <v/>
      </c>
      <c r="N275" s="121" t="str">
        <f>IF($D275="","",IFERROR(VLOOKUP($B275,Kraftvärmeprod!$B$1:$BX$549,MATCH(N$2,Kraftvärmeprod!$B$1:$VX$1,0),FALSE)/1,0)-IFERROR(VLOOKUP($B275,'Slutlig allokering kvv'!$B$2:$BX$549,MATCH(N$2,'Slutlig allokering kvv'!$B$1:$BX$1,0),FALSE)/1,0))</f>
        <v/>
      </c>
      <c r="O275" s="121" t="str">
        <f>IF($D275="","",IFERROR(VLOOKUP($B275,Kraftvärmeprod!$B$1:$BX$549,MATCH(O$2,Kraftvärmeprod!$B$1:$VX$1,0),FALSE)/1,0)-IFERROR(VLOOKUP($B275,'Slutlig allokering kvv'!$B$2:$BX$549,MATCH(O$2,'Slutlig allokering kvv'!$B$1:$BX$1,0),FALSE)/1,0))</f>
        <v/>
      </c>
      <c r="P275" s="121" t="str">
        <f>IF($D275="","",IFERROR(VLOOKUP($B275,Kraftvärmeprod!$B$1:$BX$549,MATCH(P$2,Kraftvärmeprod!$B$1:$VX$1,0),FALSE)/1,0)-IFERROR(VLOOKUP($B275,'Slutlig allokering kvv'!$B$2:$BX$549,MATCH(P$2,'Slutlig allokering kvv'!$B$1:$BX$1,0),FALSE)/1,0))</f>
        <v/>
      </c>
      <c r="Q275" s="121" t="str">
        <f>IF($D275="","",IFERROR(VLOOKUP($B275,Kraftvärmeprod!$B$1:$BX$549,MATCH(Q$2,Kraftvärmeprod!$B$1:$VX$1,0),FALSE)/1,0)-IFERROR(VLOOKUP($B275,'Slutlig allokering kvv'!$B$2:$BX$549,MATCH(Q$2,'Slutlig allokering kvv'!$B$1:$BX$1,0),FALSE)/1,0))</f>
        <v/>
      </c>
      <c r="R275" s="121" t="str">
        <f>IF($D275="","",IFERROR(VLOOKUP($B275,Kraftvärmeprod!$B$1:$BX$549,MATCH(R$2,Kraftvärmeprod!$B$1:$VX$1,0),FALSE)/1,0)-IFERROR(VLOOKUP($B275,'Slutlig allokering kvv'!$B$2:$BX$549,MATCH(R$2,'Slutlig allokering kvv'!$B$1:$BX$1,0),FALSE)/1,0))</f>
        <v/>
      </c>
      <c r="S275" s="121" t="str">
        <f>IF($D275="","",IFERROR(VLOOKUP($B275,Kraftvärmeprod!$B$1:$BX$549,MATCH(S$2,Kraftvärmeprod!$B$1:$VX$1,0),FALSE)/1,0)-IFERROR(VLOOKUP($B275,'Slutlig allokering kvv'!$B$2:$BX$549,MATCH(S$2,'Slutlig allokering kvv'!$B$1:$BX$1,0),FALSE)/1,0))</f>
        <v/>
      </c>
      <c r="T275" s="121" t="str">
        <f>IF($D275="","",IFERROR(VLOOKUP($B275,Kraftvärmeprod!$B$1:$BX$549,MATCH(T$2,Kraftvärmeprod!$B$1:$VX$1,0),FALSE)/1,0)-IFERROR(VLOOKUP($B275,'Slutlig allokering kvv'!$B$2:$BX$549,MATCH(T$2,'Slutlig allokering kvv'!$B$1:$BX$1,0),FALSE)/1,0))</f>
        <v/>
      </c>
      <c r="U275" s="121" t="str">
        <f>IF($D275="","",IFERROR(VLOOKUP($B275,Kraftvärmeprod!$B$1:$BX$549,MATCH(U$2,Kraftvärmeprod!$B$1:$VX$1,0),FALSE)/1,0)-IFERROR(VLOOKUP($B275,'Slutlig allokering kvv'!$B$2:$BX$549,MATCH(U$2,'Slutlig allokering kvv'!$B$1:$BX$1,0),FALSE)/1,0))</f>
        <v/>
      </c>
      <c r="V275" s="121" t="str">
        <f>IF($D275="","",IFERROR(VLOOKUP($B275,Kraftvärmeprod!$B$1:$BX$549,MATCH(V$2,Kraftvärmeprod!$B$1:$VX$1,0),FALSE)/1,0)-IFERROR(VLOOKUP($B275,'Slutlig allokering kvv'!$B$2:$BX$549,MATCH(V$2,'Slutlig allokering kvv'!$B$1:$BX$1,0),FALSE)/1,0))</f>
        <v/>
      </c>
      <c r="W275" s="121" t="str">
        <f>IF($D275="","",IFERROR(VLOOKUP($B275,Kraftvärmeprod!$B$1:$BX$549,MATCH(W$2,Kraftvärmeprod!$B$1:$VX$1,0),FALSE)/1,0)-IFERROR(VLOOKUP($B275,'Slutlig allokering kvv'!$B$2:$BX$549,MATCH(W$2,'Slutlig allokering kvv'!$B$1:$BX$1,0),FALSE)/1,0))</f>
        <v/>
      </c>
      <c r="X275" s="121" t="str">
        <f>IF($D275="","",IFERROR(VLOOKUP($B275,Kraftvärmeprod!$B$1:$BX$549,MATCH(X$2,Kraftvärmeprod!$B$1:$VX$1,0),FALSE)/1,0)-IFERROR(VLOOKUP($B275,'Slutlig allokering kvv'!$B$2:$BX$549,MATCH(X$2,'Slutlig allokering kvv'!$B$1:$BX$1,0),FALSE)/1,0))</f>
        <v/>
      </c>
      <c r="Y275" s="121" t="str">
        <f>IF($D275="","",IFERROR(VLOOKUP($B275,Kraftvärmeprod!$B$1:$BX$549,MATCH(Y$2,Kraftvärmeprod!$B$1:$VX$1,0),FALSE)/1,0)-IFERROR(VLOOKUP($B275,'Slutlig allokering kvv'!$B$2:$BX$549,MATCH(Y$2,'Slutlig allokering kvv'!$B$1:$BX$1,0),FALSE)/1,0))</f>
        <v/>
      </c>
      <c r="Z275" s="121" t="str">
        <f>IF($D275="","",IFERROR(VLOOKUP($B275,Kraftvärmeprod!$B$1:$BX$549,MATCH(Z$2,Kraftvärmeprod!$B$1:$VX$1,0),FALSE)/1,0)-IFERROR(VLOOKUP($B275,'Slutlig allokering kvv'!$B$2:$BX$549,MATCH(Z$2,'Slutlig allokering kvv'!$B$1:$BX$1,0),FALSE)/1,0))</f>
        <v/>
      </c>
      <c r="AA275" s="121" t="str">
        <f>IF($D275="","",IFERROR(VLOOKUP($B275,Kraftvärmeprod!$B$1:$BX$549,MATCH(AA$2,Kraftvärmeprod!$B$1:$VX$1,0),FALSE)/1,0)-IFERROR(VLOOKUP($B275,'Slutlig allokering kvv'!$B$2:$BX$549,MATCH(AA$2,'Slutlig allokering kvv'!$B$1:$BX$1,0),FALSE)/1,0))</f>
        <v/>
      </c>
      <c r="AB275" s="121" t="str">
        <f>IF($D275="","",IFERROR(VLOOKUP($B275,Kraftvärmeprod!$B$1:$BX$549,MATCH(AB$2,Kraftvärmeprod!$B$1:$VX$1,0),FALSE)/1,0)-IFERROR(VLOOKUP($B275,'Slutlig allokering kvv'!$B$2:$BX$549,MATCH(AB$2,'Slutlig allokering kvv'!$B$1:$BX$1,0),FALSE)/1,0))</f>
        <v/>
      </c>
      <c r="AC275" s="121" t="str">
        <f>IF($D275="","",IFERROR(VLOOKUP($B275,Kraftvärmeprod!$B$1:$BX$549,MATCH(AC$2,Kraftvärmeprod!$B$1:$VX$1,0),FALSE)/1,0)-IFERROR(VLOOKUP($B275,'Slutlig allokering kvv'!$B$2:$BX$549,MATCH(AC$2,'Slutlig allokering kvv'!$B$1:$BX$1,0),FALSE)/1,0))</f>
        <v/>
      </c>
      <c r="AD275" s="121" t="str">
        <f>IF($D275="","",IFERROR(VLOOKUP($B275,Kraftvärmeprod!$B$1:$BX$549,MATCH(AD$2,Kraftvärmeprod!$B$1:$VX$1,0),FALSE)/1,0)-IFERROR(VLOOKUP($B275,'Slutlig allokering kvv'!$B$2:$BX$549,MATCH(AD$2,'Slutlig allokering kvv'!$B$1:$BX$1,0),FALSE)/1,0))</f>
        <v/>
      </c>
      <c r="AE275" s="121" t="str">
        <f>IF($D275="","",IFERROR(VLOOKUP($B275,Miljö!$B$1:$E$550,MATCH("Hjälpel kraftvärme (GWh)",Miljö!$B$1:$E$1,0),FALSE)/1,0)-IFERROR(VLOOKUP($B275,'Slutlig allokering kvv'!$B$2:$BX$549,MATCH(AE$2,'Slutlig allokering kvv'!$B$1:$BX$1,0),FALSE)/1,0))</f>
        <v/>
      </c>
      <c r="AI275" s="121">
        <f t="shared" si="16"/>
        <v>0</v>
      </c>
      <c r="AK275" s="121">
        <f>IFERROR(VLOOKUP($B275,'Slutlig allokering kvv'!$B$2:$AX$549,MATCH("Summa slutlig allokerad tillförd energi (utan hjälpel och rökgaskondensering):",'Slutlig allokering kvv'!$B$1:$AX$1,0),FALSE)/1,"")</f>
        <v>0</v>
      </c>
      <c r="AM275" s="172" t="str">
        <f>IFERROR(1-VLOOKUP($B275,'Slutlig allokering kvv'!$B$2:$AX$549,MATCH("Andel av bränsle i kvv som allokerats till värme, exklusive rökgaskondensering och hjälpel",'Slutlig allokering kvv'!$B$1:$AX$1,0),FALSE),"")</f>
        <v/>
      </c>
      <c r="AO275" s="172" t="str">
        <f t="shared" si="17"/>
        <v/>
      </c>
      <c r="AP275" s="173" t="str">
        <f t="shared" si="18"/>
        <v/>
      </c>
      <c r="AR275" s="172" t="str">
        <f t="shared" si="19"/>
        <v/>
      </c>
    </row>
    <row r="276" spans="1:44" x14ac:dyDescent="0.25">
      <c r="A276" s="171" t="str">
        <f>'Miljövärden för publ företag'!B278</f>
        <v>Uddevalla Energi AB</v>
      </c>
      <c r="B276" s="171" t="str">
        <f>'Miljövärden för publ företag'!C278</f>
        <v>Uddevalla</v>
      </c>
      <c r="C276" s="121">
        <f>IFERROR(VLOOKUP($B276,Kraftvärmeprod!$B$1:$AH$478,MATCH(C$2,Kraftvärmeprod!$B$1:$AG$1,0),FALSE)/1,"")</f>
        <v>226.65899999999999</v>
      </c>
      <c r="D276" s="121">
        <f>IFERROR(VLOOKUP($B276,Kraftvärmeprod!$B$1:$AH$478,MATCH(D$2,Kraftvärmeprod!$B$1:$AG$1,0),FALSE)/1,"")</f>
        <v>69.616</v>
      </c>
      <c r="F276" s="121">
        <f>IF($D276="","",IFERROR(VLOOKUP($B276,Kraftvärmeprod!$B$1:$BX$549,MATCH(F$2,Kraftvärmeprod!$B$1:$VX$1,0),FALSE)/1,0)-IFERROR(VLOOKUP($B276,'Slutlig allokering kvv'!$B$2:$BX$549,MATCH(F$2,'Slutlig allokering kvv'!$B$1:$BX$1,0),FALSE)/1,0))</f>
        <v>0</v>
      </c>
      <c r="G276" s="121">
        <f>IF($D276="","",IFERROR(VLOOKUP($B276,Kraftvärmeprod!$B$1:$BX$549,MATCH(G$2,Kraftvärmeprod!$B$1:$VX$1,0),FALSE)/1,0)-IFERROR(VLOOKUP($B276,'Slutlig allokering kvv'!$B$2:$BX$549,MATCH(G$2,'Slutlig allokering kvv'!$B$1:$BX$1,0),FALSE)/1,0))</f>
        <v>0.22991699999999998</v>
      </c>
      <c r="H276" s="121">
        <f>IF($D276="","",IFERROR(VLOOKUP($B276,Kraftvärmeprod!$B$1:$BX$549,MATCH(H$2,Kraftvärmeprod!$B$1:$VX$1,0),FALSE)/1,0)-IFERROR(VLOOKUP($B276,'Slutlig allokering kvv'!$B$2:$BX$549,MATCH(H$2,'Slutlig allokering kvv'!$B$1:$BX$1,0),FALSE)/1,0))</f>
        <v>0</v>
      </c>
      <c r="I276" s="121">
        <f>IF($D276="","",IFERROR(VLOOKUP($B276,Kraftvärmeprod!$B$1:$BX$549,MATCH(I$2,Kraftvärmeprod!$B$1:$VX$1,0),FALSE)/1,0)-IFERROR(VLOOKUP($B276,'Slutlig allokering kvv'!$B$2:$BX$549,MATCH(I$2,'Slutlig allokering kvv'!$B$1:$BX$1,0),FALSE)/1,0))</f>
        <v>0</v>
      </c>
      <c r="J276" s="121">
        <f>IF($D276="","",IFERROR(VLOOKUP($B276,Kraftvärmeprod!$B$1:$BX$549,MATCH(J$2,Kraftvärmeprod!$B$1:$VX$1,0),FALSE)/1,0)-IFERROR(VLOOKUP($B276,'Slutlig allokering kvv'!$B$2:$BX$549,MATCH(J$2,'Slutlig allokering kvv'!$B$1:$BX$1,0),FALSE)/1,0))</f>
        <v>0</v>
      </c>
      <c r="K276" s="121">
        <f>IF($D276="","",IFERROR(VLOOKUP($B276,Kraftvärmeprod!$B$1:$BX$549,MATCH(K$2,Kraftvärmeprod!$B$1:$VX$1,0),FALSE)/1,0)-IFERROR(VLOOKUP($B276,'Slutlig allokering kvv'!$B$2:$BX$549,MATCH(K$2,'Slutlig allokering kvv'!$B$1:$BX$1,0),FALSE)/1,0))</f>
        <v>0</v>
      </c>
      <c r="L276" s="121">
        <f>IF($D276="","",IFERROR(VLOOKUP($B276,Kraftvärmeprod!$B$1:$BX$549,MATCH(L$2,Kraftvärmeprod!$B$1:$VX$1,0),FALSE)/1,0)-IFERROR(VLOOKUP($B276,'Slutlig allokering kvv'!$B$2:$BX$549,MATCH(L$2,'Slutlig allokering kvv'!$B$1:$BX$1,0),FALSE)/1,0))</f>
        <v>0</v>
      </c>
      <c r="M276" s="121">
        <f>IF($D276="","",IFERROR(VLOOKUP($B276,Kraftvärmeprod!$B$1:$BX$549,MATCH(M$2,Kraftvärmeprod!$B$1:$VX$1,0),FALSE)/1,0)-IFERROR(VLOOKUP($B276,'Slutlig allokering kvv'!$B$2:$BX$549,MATCH(M$2,'Slutlig allokering kvv'!$B$1:$BX$1,0),FALSE)/1,0))</f>
        <v>0</v>
      </c>
      <c r="N276" s="121">
        <f>IF($D276="","",IFERROR(VLOOKUP($B276,Kraftvärmeprod!$B$1:$BX$549,MATCH(N$2,Kraftvärmeprod!$B$1:$VX$1,0),FALSE)/1,0)-IFERROR(VLOOKUP($B276,'Slutlig allokering kvv'!$B$2:$BX$549,MATCH(N$2,'Slutlig allokering kvv'!$B$1:$BX$1,0),FALSE)/1,0))</f>
        <v>0</v>
      </c>
      <c r="O276" s="121">
        <f>IF($D276="","",IFERROR(VLOOKUP($B276,Kraftvärmeprod!$B$1:$BX$549,MATCH(O$2,Kraftvärmeprod!$B$1:$VX$1,0),FALSE)/1,0)-IFERROR(VLOOKUP($B276,'Slutlig allokering kvv'!$B$2:$BX$549,MATCH(O$2,'Slutlig allokering kvv'!$B$1:$BX$1,0),FALSE)/1,0))</f>
        <v>0</v>
      </c>
      <c r="P276" s="121">
        <f>IF($D276="","",IFERROR(VLOOKUP($B276,Kraftvärmeprod!$B$1:$BX$549,MATCH(P$2,Kraftvärmeprod!$B$1:$VX$1,0),FALSE)/1,0)-IFERROR(VLOOKUP($B276,'Slutlig allokering kvv'!$B$2:$BX$549,MATCH(P$2,'Slutlig allokering kvv'!$B$1:$BX$1,0),FALSE)/1,0))</f>
        <v>0</v>
      </c>
      <c r="Q276" s="121">
        <f>IF($D276="","",IFERROR(VLOOKUP($B276,Kraftvärmeprod!$B$1:$BX$549,MATCH(Q$2,Kraftvärmeprod!$B$1:$VX$1,0),FALSE)/1,0)-IFERROR(VLOOKUP($B276,'Slutlig allokering kvv'!$B$2:$BX$549,MATCH(Q$2,'Slutlig allokering kvv'!$B$1:$BX$1,0),FALSE)/1,0))</f>
        <v>0</v>
      </c>
      <c r="R276" s="121">
        <f>IF($D276="","",IFERROR(VLOOKUP($B276,Kraftvärmeprod!$B$1:$BX$549,MATCH(R$2,Kraftvärmeprod!$B$1:$VX$1,0),FALSE)/1,0)-IFERROR(VLOOKUP($B276,'Slutlig allokering kvv'!$B$2:$BX$549,MATCH(R$2,'Slutlig allokering kvv'!$B$1:$BX$1,0),FALSE)/1,0))</f>
        <v>0</v>
      </c>
      <c r="S276" s="121">
        <f>IF($D276="","",IFERROR(VLOOKUP($B276,Kraftvärmeprod!$B$1:$BX$549,MATCH(S$2,Kraftvärmeprod!$B$1:$VX$1,0),FALSE)/1,0)-IFERROR(VLOOKUP($B276,'Slutlig allokering kvv'!$B$2:$BX$549,MATCH(S$2,'Slutlig allokering kvv'!$B$1:$BX$1,0),FALSE)/1,0))</f>
        <v>0</v>
      </c>
      <c r="T276" s="121">
        <f>IF($D276="","",IFERROR(VLOOKUP($B276,Kraftvärmeprod!$B$1:$BX$549,MATCH(T$2,Kraftvärmeprod!$B$1:$VX$1,0),FALSE)/1,0)-IFERROR(VLOOKUP($B276,'Slutlig allokering kvv'!$B$2:$BX$549,MATCH(T$2,'Slutlig allokering kvv'!$B$1:$BX$1,0),FALSE)/1,0))</f>
        <v>0</v>
      </c>
      <c r="U276" s="121">
        <f>IF($D276="","",IFERROR(VLOOKUP($B276,Kraftvärmeprod!$B$1:$BX$549,MATCH(U$2,Kraftvärmeprod!$B$1:$VX$1,0),FALSE)/1,0)-IFERROR(VLOOKUP($B276,'Slutlig allokering kvv'!$B$2:$BX$549,MATCH(U$2,'Slutlig allokering kvv'!$B$1:$BX$1,0),FALSE)/1,0))</f>
        <v>0</v>
      </c>
      <c r="V276" s="121">
        <f>IF($D276="","",IFERROR(VLOOKUP($B276,Kraftvärmeprod!$B$1:$BX$549,MATCH(V$2,Kraftvärmeprod!$B$1:$VX$1,0),FALSE)/1,0)-IFERROR(VLOOKUP($B276,'Slutlig allokering kvv'!$B$2:$BX$549,MATCH(V$2,'Slutlig allokering kvv'!$B$1:$BX$1,0),FALSE)/1,0))</f>
        <v>2.1428500000000001</v>
      </c>
      <c r="W276" s="121">
        <f>IF($D276="","",IFERROR(VLOOKUP($B276,Kraftvärmeprod!$B$1:$BX$549,MATCH(W$2,Kraftvärmeprod!$B$1:$VX$1,0),FALSE)/1,0)-IFERROR(VLOOKUP($B276,'Slutlig allokering kvv'!$B$2:$BX$549,MATCH(W$2,'Slutlig allokering kvv'!$B$1:$BX$1,0),FALSE)/1,0))</f>
        <v>0</v>
      </c>
      <c r="X276" s="121">
        <f>IF($D276="","",IFERROR(VLOOKUP($B276,Kraftvärmeprod!$B$1:$BX$549,MATCH(X$2,Kraftvärmeprod!$B$1:$VX$1,0),FALSE)/1,0)-IFERROR(VLOOKUP($B276,'Slutlig allokering kvv'!$B$2:$BX$549,MATCH(X$2,'Slutlig allokering kvv'!$B$1:$BX$1,0),FALSE)/1,0))</f>
        <v>0</v>
      </c>
      <c r="Y276" s="121">
        <f>IF($D276="","",IFERROR(VLOOKUP($B276,Kraftvärmeprod!$B$1:$BX$549,MATCH(Y$2,Kraftvärmeprod!$B$1:$VX$1,0),FALSE)/1,0)-IFERROR(VLOOKUP($B276,'Slutlig allokering kvv'!$B$2:$BX$549,MATCH(Y$2,'Slutlig allokering kvv'!$B$1:$BX$1,0),FALSE)/1,0))</f>
        <v>0.78156400000000004</v>
      </c>
      <c r="Z276" s="121">
        <f>IF($D276="","",IFERROR(VLOOKUP($B276,Kraftvärmeprod!$B$1:$BX$549,MATCH(Z$2,Kraftvärmeprod!$B$1:$VX$1,0),FALSE)/1,0)-IFERROR(VLOOKUP($B276,'Slutlig allokering kvv'!$B$2:$BX$549,MATCH(Z$2,'Slutlig allokering kvv'!$B$1:$BX$1,0),FALSE)/1,0))</f>
        <v>0</v>
      </c>
      <c r="AA276" s="121">
        <f>IF($D276="","",IFERROR(VLOOKUP($B276,Kraftvärmeprod!$B$1:$BX$549,MATCH(AA$2,Kraftvärmeprod!$B$1:$VX$1,0),FALSE)/1,0)-IFERROR(VLOOKUP($B276,'Slutlig allokering kvv'!$B$2:$BX$549,MATCH(AA$2,'Slutlig allokering kvv'!$B$1:$BX$1,0),FALSE)/1,0))</f>
        <v>167.25900000000001</v>
      </c>
      <c r="AB276" s="121">
        <f>IF($D276="","",IFERROR(VLOOKUP($B276,Kraftvärmeprod!$B$1:$BX$549,MATCH(AB$2,Kraftvärmeprod!$B$1:$VX$1,0),FALSE)/1,0)-IFERROR(VLOOKUP($B276,'Slutlig allokering kvv'!$B$2:$BX$549,MATCH(AB$2,'Slutlig allokering kvv'!$B$1:$BX$1,0),FALSE)/1,0))</f>
        <v>0</v>
      </c>
      <c r="AC276" s="121">
        <f>IF($D276="","",IFERROR(VLOOKUP($B276,Kraftvärmeprod!$B$1:$BX$549,MATCH(AC$2,Kraftvärmeprod!$B$1:$VX$1,0),FALSE)/1,0)-IFERROR(VLOOKUP($B276,'Slutlig allokering kvv'!$B$2:$BX$549,MATCH(AC$2,'Slutlig allokering kvv'!$B$1:$BX$1,0),FALSE)/1,0))</f>
        <v>0</v>
      </c>
      <c r="AD276" s="121">
        <f>IF($D276="","",IFERROR(VLOOKUP($B276,Kraftvärmeprod!$B$1:$BX$549,MATCH(AD$2,Kraftvärmeprod!$B$1:$VX$1,0),FALSE)/1,0)-IFERROR(VLOOKUP($B276,'Slutlig allokering kvv'!$B$2:$BX$549,MATCH(AD$2,'Slutlig allokering kvv'!$B$1:$BX$1,0),FALSE)/1,0))</f>
        <v>0</v>
      </c>
      <c r="AE276" s="121">
        <f>IF($D276="","",IFERROR(VLOOKUP($B276,Miljö!$B$1:$E$550,MATCH("Hjälpel kraftvärme (GWh)",Miljö!$B$1:$E$1,0),FALSE)/1,0)-IFERROR(VLOOKUP($B276,'Slutlig allokering kvv'!$B$2:$BX$549,MATCH(AE$2,'Slutlig allokering kvv'!$B$1:$BX$1,0),FALSE)/1,0))</f>
        <v>7.2691999999999997</v>
      </c>
      <c r="AI276" s="121">
        <f t="shared" si="16"/>
        <v>170.41333100000003</v>
      </c>
      <c r="AK276" s="121">
        <f>IFERROR(VLOOKUP($B276,'Slutlig allokering kvv'!$B$2:$AX$549,MATCH("Summa slutlig allokerad tillförd energi (utan hjälpel och rökgaskondensering):",'Slutlig allokering kvv'!$B$1:$AX$1,0),FALSE)/1,"")</f>
        <v>174.20166900000001</v>
      </c>
      <c r="AM276" s="172">
        <f>IFERROR(1-VLOOKUP($B276,'Slutlig allokering kvv'!$B$2:$AX$549,MATCH("Andel av bränsle i kvv som allokerats till värme, exklusive rökgaskondensering och hjälpel",'Slutlig allokering kvv'!$B$1:$AX$1,0),FALSE),"")</f>
        <v>0.49450352132089437</v>
      </c>
      <c r="AO276" s="172">
        <f t="shared" si="17"/>
        <v>0.49450352132089442</v>
      </c>
      <c r="AP276" s="173">
        <f t="shared" si="18"/>
        <v>-5.5511151231257827E-17</v>
      </c>
      <c r="AR276" s="172">
        <f t="shared" si="19"/>
        <v>0.39179991194519842</v>
      </c>
    </row>
    <row r="277" spans="1:44" x14ac:dyDescent="0.25">
      <c r="A277" s="171" t="str">
        <f>'Miljövärden för publ företag'!B279</f>
        <v>Ulricehamns Energi AB</v>
      </c>
      <c r="B277" s="171" t="str">
        <f>'Miljövärden för publ företag'!C279</f>
        <v>Gällstad</v>
      </c>
      <c r="C277" s="121" t="str">
        <f>IFERROR(VLOOKUP($B277,Kraftvärmeprod!$B$1:$AH$478,MATCH(C$2,Kraftvärmeprod!$B$1:$AG$1,0),FALSE)/1,"")</f>
        <v/>
      </c>
      <c r="D277" s="121" t="str">
        <f>IFERROR(VLOOKUP($B277,Kraftvärmeprod!$B$1:$AH$478,MATCH(D$2,Kraftvärmeprod!$B$1:$AG$1,0),FALSE)/1,"")</f>
        <v/>
      </c>
      <c r="F277" s="121" t="str">
        <f>IF($D277="","",IFERROR(VLOOKUP($B277,Kraftvärmeprod!$B$1:$BX$549,MATCH(F$2,Kraftvärmeprod!$B$1:$VX$1,0),FALSE)/1,0)-IFERROR(VLOOKUP($B277,'Slutlig allokering kvv'!$B$2:$BX$549,MATCH(F$2,'Slutlig allokering kvv'!$B$1:$BX$1,0),FALSE)/1,0))</f>
        <v/>
      </c>
      <c r="G277" s="121" t="str">
        <f>IF($D277="","",IFERROR(VLOOKUP($B277,Kraftvärmeprod!$B$1:$BX$549,MATCH(G$2,Kraftvärmeprod!$B$1:$VX$1,0),FALSE)/1,0)-IFERROR(VLOOKUP($B277,'Slutlig allokering kvv'!$B$2:$BX$549,MATCH(G$2,'Slutlig allokering kvv'!$B$1:$BX$1,0),FALSE)/1,0))</f>
        <v/>
      </c>
      <c r="H277" s="121" t="str">
        <f>IF($D277="","",IFERROR(VLOOKUP($B277,Kraftvärmeprod!$B$1:$BX$549,MATCH(H$2,Kraftvärmeprod!$B$1:$VX$1,0),FALSE)/1,0)-IFERROR(VLOOKUP($B277,'Slutlig allokering kvv'!$B$2:$BX$549,MATCH(H$2,'Slutlig allokering kvv'!$B$1:$BX$1,0),FALSE)/1,0))</f>
        <v/>
      </c>
      <c r="I277" s="121" t="str">
        <f>IF($D277="","",IFERROR(VLOOKUP($B277,Kraftvärmeprod!$B$1:$BX$549,MATCH(I$2,Kraftvärmeprod!$B$1:$VX$1,0),FALSE)/1,0)-IFERROR(VLOOKUP($B277,'Slutlig allokering kvv'!$B$2:$BX$549,MATCH(I$2,'Slutlig allokering kvv'!$B$1:$BX$1,0),FALSE)/1,0))</f>
        <v/>
      </c>
      <c r="J277" s="121" t="str">
        <f>IF($D277="","",IFERROR(VLOOKUP($B277,Kraftvärmeprod!$B$1:$BX$549,MATCH(J$2,Kraftvärmeprod!$B$1:$VX$1,0),FALSE)/1,0)-IFERROR(VLOOKUP($B277,'Slutlig allokering kvv'!$B$2:$BX$549,MATCH(J$2,'Slutlig allokering kvv'!$B$1:$BX$1,0),FALSE)/1,0))</f>
        <v/>
      </c>
      <c r="K277" s="121" t="str">
        <f>IF($D277="","",IFERROR(VLOOKUP($B277,Kraftvärmeprod!$B$1:$BX$549,MATCH(K$2,Kraftvärmeprod!$B$1:$VX$1,0),FALSE)/1,0)-IFERROR(VLOOKUP($B277,'Slutlig allokering kvv'!$B$2:$BX$549,MATCH(K$2,'Slutlig allokering kvv'!$B$1:$BX$1,0),FALSE)/1,0))</f>
        <v/>
      </c>
      <c r="L277" s="121" t="str">
        <f>IF($D277="","",IFERROR(VLOOKUP($B277,Kraftvärmeprod!$B$1:$BX$549,MATCH(L$2,Kraftvärmeprod!$B$1:$VX$1,0),FALSE)/1,0)-IFERROR(VLOOKUP($B277,'Slutlig allokering kvv'!$B$2:$BX$549,MATCH(L$2,'Slutlig allokering kvv'!$B$1:$BX$1,0),FALSE)/1,0))</f>
        <v/>
      </c>
      <c r="M277" s="121" t="str">
        <f>IF($D277="","",IFERROR(VLOOKUP($B277,Kraftvärmeprod!$B$1:$BX$549,MATCH(M$2,Kraftvärmeprod!$B$1:$VX$1,0),FALSE)/1,0)-IFERROR(VLOOKUP($B277,'Slutlig allokering kvv'!$B$2:$BX$549,MATCH(M$2,'Slutlig allokering kvv'!$B$1:$BX$1,0),FALSE)/1,0))</f>
        <v/>
      </c>
      <c r="N277" s="121" t="str">
        <f>IF($D277="","",IFERROR(VLOOKUP($B277,Kraftvärmeprod!$B$1:$BX$549,MATCH(N$2,Kraftvärmeprod!$B$1:$VX$1,0),FALSE)/1,0)-IFERROR(VLOOKUP($B277,'Slutlig allokering kvv'!$B$2:$BX$549,MATCH(N$2,'Slutlig allokering kvv'!$B$1:$BX$1,0),FALSE)/1,0))</f>
        <v/>
      </c>
      <c r="O277" s="121" t="str">
        <f>IF($D277="","",IFERROR(VLOOKUP($B277,Kraftvärmeprod!$B$1:$BX$549,MATCH(O$2,Kraftvärmeprod!$B$1:$VX$1,0),FALSE)/1,0)-IFERROR(VLOOKUP($B277,'Slutlig allokering kvv'!$B$2:$BX$549,MATCH(O$2,'Slutlig allokering kvv'!$B$1:$BX$1,0),FALSE)/1,0))</f>
        <v/>
      </c>
      <c r="P277" s="121" t="str">
        <f>IF($D277="","",IFERROR(VLOOKUP($B277,Kraftvärmeprod!$B$1:$BX$549,MATCH(P$2,Kraftvärmeprod!$B$1:$VX$1,0),FALSE)/1,0)-IFERROR(VLOOKUP($B277,'Slutlig allokering kvv'!$B$2:$BX$549,MATCH(P$2,'Slutlig allokering kvv'!$B$1:$BX$1,0),FALSE)/1,0))</f>
        <v/>
      </c>
      <c r="Q277" s="121" t="str">
        <f>IF($D277="","",IFERROR(VLOOKUP($B277,Kraftvärmeprod!$B$1:$BX$549,MATCH(Q$2,Kraftvärmeprod!$B$1:$VX$1,0),FALSE)/1,0)-IFERROR(VLOOKUP($B277,'Slutlig allokering kvv'!$B$2:$BX$549,MATCH(Q$2,'Slutlig allokering kvv'!$B$1:$BX$1,0),FALSE)/1,0))</f>
        <v/>
      </c>
      <c r="R277" s="121" t="str">
        <f>IF($D277="","",IFERROR(VLOOKUP($B277,Kraftvärmeprod!$B$1:$BX$549,MATCH(R$2,Kraftvärmeprod!$B$1:$VX$1,0),FALSE)/1,0)-IFERROR(VLOOKUP($B277,'Slutlig allokering kvv'!$B$2:$BX$549,MATCH(R$2,'Slutlig allokering kvv'!$B$1:$BX$1,0),FALSE)/1,0))</f>
        <v/>
      </c>
      <c r="S277" s="121" t="str">
        <f>IF($D277="","",IFERROR(VLOOKUP($B277,Kraftvärmeprod!$B$1:$BX$549,MATCH(S$2,Kraftvärmeprod!$B$1:$VX$1,0),FALSE)/1,0)-IFERROR(VLOOKUP($B277,'Slutlig allokering kvv'!$B$2:$BX$549,MATCH(S$2,'Slutlig allokering kvv'!$B$1:$BX$1,0),FALSE)/1,0))</f>
        <v/>
      </c>
      <c r="T277" s="121" t="str">
        <f>IF($D277="","",IFERROR(VLOOKUP($B277,Kraftvärmeprod!$B$1:$BX$549,MATCH(T$2,Kraftvärmeprod!$B$1:$VX$1,0),FALSE)/1,0)-IFERROR(VLOOKUP($B277,'Slutlig allokering kvv'!$B$2:$BX$549,MATCH(T$2,'Slutlig allokering kvv'!$B$1:$BX$1,0),FALSE)/1,0))</f>
        <v/>
      </c>
      <c r="U277" s="121" t="str">
        <f>IF($D277="","",IFERROR(VLOOKUP($B277,Kraftvärmeprod!$B$1:$BX$549,MATCH(U$2,Kraftvärmeprod!$B$1:$VX$1,0),FALSE)/1,0)-IFERROR(VLOOKUP($B277,'Slutlig allokering kvv'!$B$2:$BX$549,MATCH(U$2,'Slutlig allokering kvv'!$B$1:$BX$1,0),FALSE)/1,0))</f>
        <v/>
      </c>
      <c r="V277" s="121" t="str">
        <f>IF($D277="","",IFERROR(VLOOKUP($B277,Kraftvärmeprod!$B$1:$BX$549,MATCH(V$2,Kraftvärmeprod!$B$1:$VX$1,0),FALSE)/1,0)-IFERROR(VLOOKUP($B277,'Slutlig allokering kvv'!$B$2:$BX$549,MATCH(V$2,'Slutlig allokering kvv'!$B$1:$BX$1,0),FALSE)/1,0))</f>
        <v/>
      </c>
      <c r="W277" s="121" t="str">
        <f>IF($D277="","",IFERROR(VLOOKUP($B277,Kraftvärmeprod!$B$1:$BX$549,MATCH(W$2,Kraftvärmeprod!$B$1:$VX$1,0),FALSE)/1,0)-IFERROR(VLOOKUP($B277,'Slutlig allokering kvv'!$B$2:$BX$549,MATCH(W$2,'Slutlig allokering kvv'!$B$1:$BX$1,0),FALSE)/1,0))</f>
        <v/>
      </c>
      <c r="X277" s="121" t="str">
        <f>IF($D277="","",IFERROR(VLOOKUP($B277,Kraftvärmeprod!$B$1:$BX$549,MATCH(X$2,Kraftvärmeprod!$B$1:$VX$1,0),FALSE)/1,0)-IFERROR(VLOOKUP($B277,'Slutlig allokering kvv'!$B$2:$BX$549,MATCH(X$2,'Slutlig allokering kvv'!$B$1:$BX$1,0),FALSE)/1,0))</f>
        <v/>
      </c>
      <c r="Y277" s="121" t="str">
        <f>IF($D277="","",IFERROR(VLOOKUP($B277,Kraftvärmeprod!$B$1:$BX$549,MATCH(Y$2,Kraftvärmeprod!$B$1:$VX$1,0),FALSE)/1,0)-IFERROR(VLOOKUP($B277,'Slutlig allokering kvv'!$B$2:$BX$549,MATCH(Y$2,'Slutlig allokering kvv'!$B$1:$BX$1,0),FALSE)/1,0))</f>
        <v/>
      </c>
      <c r="Z277" s="121" t="str">
        <f>IF($D277="","",IFERROR(VLOOKUP($B277,Kraftvärmeprod!$B$1:$BX$549,MATCH(Z$2,Kraftvärmeprod!$B$1:$VX$1,0),FALSE)/1,0)-IFERROR(VLOOKUP($B277,'Slutlig allokering kvv'!$B$2:$BX$549,MATCH(Z$2,'Slutlig allokering kvv'!$B$1:$BX$1,0),FALSE)/1,0))</f>
        <v/>
      </c>
      <c r="AA277" s="121" t="str">
        <f>IF($D277="","",IFERROR(VLOOKUP($B277,Kraftvärmeprod!$B$1:$BX$549,MATCH(AA$2,Kraftvärmeprod!$B$1:$VX$1,0),FALSE)/1,0)-IFERROR(VLOOKUP($B277,'Slutlig allokering kvv'!$B$2:$BX$549,MATCH(AA$2,'Slutlig allokering kvv'!$B$1:$BX$1,0),FALSE)/1,0))</f>
        <v/>
      </c>
      <c r="AB277" s="121" t="str">
        <f>IF($D277="","",IFERROR(VLOOKUP($B277,Kraftvärmeprod!$B$1:$BX$549,MATCH(AB$2,Kraftvärmeprod!$B$1:$VX$1,0),FALSE)/1,0)-IFERROR(VLOOKUP($B277,'Slutlig allokering kvv'!$B$2:$BX$549,MATCH(AB$2,'Slutlig allokering kvv'!$B$1:$BX$1,0),FALSE)/1,0))</f>
        <v/>
      </c>
      <c r="AC277" s="121" t="str">
        <f>IF($D277="","",IFERROR(VLOOKUP($B277,Kraftvärmeprod!$B$1:$BX$549,MATCH(AC$2,Kraftvärmeprod!$B$1:$VX$1,0),FALSE)/1,0)-IFERROR(VLOOKUP($B277,'Slutlig allokering kvv'!$B$2:$BX$549,MATCH(AC$2,'Slutlig allokering kvv'!$B$1:$BX$1,0),FALSE)/1,0))</f>
        <v/>
      </c>
      <c r="AD277" s="121" t="str">
        <f>IF($D277="","",IFERROR(VLOOKUP($B277,Kraftvärmeprod!$B$1:$BX$549,MATCH(AD$2,Kraftvärmeprod!$B$1:$VX$1,0),FALSE)/1,0)-IFERROR(VLOOKUP($B277,'Slutlig allokering kvv'!$B$2:$BX$549,MATCH(AD$2,'Slutlig allokering kvv'!$B$1:$BX$1,0),FALSE)/1,0))</f>
        <v/>
      </c>
      <c r="AE277" s="121" t="str">
        <f>IF($D277="","",IFERROR(VLOOKUP($B277,Miljö!$B$1:$E$550,MATCH("Hjälpel kraftvärme (GWh)",Miljö!$B$1:$E$1,0),FALSE)/1,0)-IFERROR(VLOOKUP($B277,'Slutlig allokering kvv'!$B$2:$BX$549,MATCH(AE$2,'Slutlig allokering kvv'!$B$1:$BX$1,0),FALSE)/1,0))</f>
        <v/>
      </c>
      <c r="AI277" s="121">
        <f t="shared" si="16"/>
        <v>0</v>
      </c>
      <c r="AK277" s="121">
        <f>IFERROR(VLOOKUP($B277,'Slutlig allokering kvv'!$B$2:$AX$549,MATCH("Summa slutlig allokerad tillförd energi (utan hjälpel och rökgaskondensering):",'Slutlig allokering kvv'!$B$1:$AX$1,0),FALSE)/1,"")</f>
        <v>0</v>
      </c>
      <c r="AM277" s="172" t="str">
        <f>IFERROR(1-VLOOKUP($B277,'Slutlig allokering kvv'!$B$2:$AX$549,MATCH("Andel av bränsle i kvv som allokerats till värme, exklusive rökgaskondensering och hjälpel",'Slutlig allokering kvv'!$B$1:$AX$1,0),FALSE),"")</f>
        <v/>
      </c>
      <c r="AO277" s="172" t="str">
        <f t="shared" si="17"/>
        <v/>
      </c>
      <c r="AP277" s="173" t="str">
        <f t="shared" si="18"/>
        <v/>
      </c>
      <c r="AR277" s="172" t="str">
        <f t="shared" si="19"/>
        <v/>
      </c>
    </row>
    <row r="278" spans="1:44" x14ac:dyDescent="0.25">
      <c r="A278" s="171" t="str">
        <f>'Miljövärden för publ företag'!B280</f>
        <v>Ulricehamns Energi AB</v>
      </c>
      <c r="B278" s="171" t="str">
        <f>'Miljövärden för publ företag'!C280</f>
        <v>Timmele</v>
      </c>
      <c r="C278" s="121" t="str">
        <f>IFERROR(VLOOKUP($B278,Kraftvärmeprod!$B$1:$AH$478,MATCH(C$2,Kraftvärmeprod!$B$1:$AG$1,0),FALSE)/1,"")</f>
        <v/>
      </c>
      <c r="D278" s="121" t="str">
        <f>IFERROR(VLOOKUP($B278,Kraftvärmeprod!$B$1:$AH$478,MATCH(D$2,Kraftvärmeprod!$B$1:$AG$1,0),FALSE)/1,"")</f>
        <v/>
      </c>
      <c r="F278" s="121" t="str">
        <f>IF($D278="","",IFERROR(VLOOKUP($B278,Kraftvärmeprod!$B$1:$BX$549,MATCH(F$2,Kraftvärmeprod!$B$1:$VX$1,0),FALSE)/1,0)-IFERROR(VLOOKUP($B278,'Slutlig allokering kvv'!$B$2:$BX$549,MATCH(F$2,'Slutlig allokering kvv'!$B$1:$BX$1,0),FALSE)/1,0))</f>
        <v/>
      </c>
      <c r="G278" s="121" t="str">
        <f>IF($D278="","",IFERROR(VLOOKUP($B278,Kraftvärmeprod!$B$1:$BX$549,MATCH(G$2,Kraftvärmeprod!$B$1:$VX$1,0),FALSE)/1,0)-IFERROR(VLOOKUP($B278,'Slutlig allokering kvv'!$B$2:$BX$549,MATCH(G$2,'Slutlig allokering kvv'!$B$1:$BX$1,0),FALSE)/1,0))</f>
        <v/>
      </c>
      <c r="H278" s="121" t="str">
        <f>IF($D278="","",IFERROR(VLOOKUP($B278,Kraftvärmeprod!$B$1:$BX$549,MATCH(H$2,Kraftvärmeprod!$B$1:$VX$1,0),FALSE)/1,0)-IFERROR(VLOOKUP($B278,'Slutlig allokering kvv'!$B$2:$BX$549,MATCH(H$2,'Slutlig allokering kvv'!$B$1:$BX$1,0),FALSE)/1,0))</f>
        <v/>
      </c>
      <c r="I278" s="121" t="str">
        <f>IF($D278="","",IFERROR(VLOOKUP($B278,Kraftvärmeprod!$B$1:$BX$549,MATCH(I$2,Kraftvärmeprod!$B$1:$VX$1,0),FALSE)/1,0)-IFERROR(VLOOKUP($B278,'Slutlig allokering kvv'!$B$2:$BX$549,MATCH(I$2,'Slutlig allokering kvv'!$B$1:$BX$1,0),FALSE)/1,0))</f>
        <v/>
      </c>
      <c r="J278" s="121" t="str">
        <f>IF($D278="","",IFERROR(VLOOKUP($B278,Kraftvärmeprod!$B$1:$BX$549,MATCH(J$2,Kraftvärmeprod!$B$1:$VX$1,0),FALSE)/1,0)-IFERROR(VLOOKUP($B278,'Slutlig allokering kvv'!$B$2:$BX$549,MATCH(J$2,'Slutlig allokering kvv'!$B$1:$BX$1,0),FALSE)/1,0))</f>
        <v/>
      </c>
      <c r="K278" s="121" t="str">
        <f>IF($D278="","",IFERROR(VLOOKUP($B278,Kraftvärmeprod!$B$1:$BX$549,MATCH(K$2,Kraftvärmeprod!$B$1:$VX$1,0),FALSE)/1,0)-IFERROR(VLOOKUP($B278,'Slutlig allokering kvv'!$B$2:$BX$549,MATCH(K$2,'Slutlig allokering kvv'!$B$1:$BX$1,0),FALSE)/1,0))</f>
        <v/>
      </c>
      <c r="L278" s="121" t="str">
        <f>IF($D278="","",IFERROR(VLOOKUP($B278,Kraftvärmeprod!$B$1:$BX$549,MATCH(L$2,Kraftvärmeprod!$B$1:$VX$1,0),FALSE)/1,0)-IFERROR(VLOOKUP($B278,'Slutlig allokering kvv'!$B$2:$BX$549,MATCH(L$2,'Slutlig allokering kvv'!$B$1:$BX$1,0),FALSE)/1,0))</f>
        <v/>
      </c>
      <c r="M278" s="121" t="str">
        <f>IF($D278="","",IFERROR(VLOOKUP($B278,Kraftvärmeprod!$B$1:$BX$549,MATCH(M$2,Kraftvärmeprod!$B$1:$VX$1,0),FALSE)/1,0)-IFERROR(VLOOKUP($B278,'Slutlig allokering kvv'!$B$2:$BX$549,MATCH(M$2,'Slutlig allokering kvv'!$B$1:$BX$1,0),FALSE)/1,0))</f>
        <v/>
      </c>
      <c r="N278" s="121" t="str">
        <f>IF($D278="","",IFERROR(VLOOKUP($B278,Kraftvärmeprod!$B$1:$BX$549,MATCH(N$2,Kraftvärmeprod!$B$1:$VX$1,0),FALSE)/1,0)-IFERROR(VLOOKUP($B278,'Slutlig allokering kvv'!$B$2:$BX$549,MATCH(N$2,'Slutlig allokering kvv'!$B$1:$BX$1,0),FALSE)/1,0))</f>
        <v/>
      </c>
      <c r="O278" s="121" t="str">
        <f>IF($D278="","",IFERROR(VLOOKUP($B278,Kraftvärmeprod!$B$1:$BX$549,MATCH(O$2,Kraftvärmeprod!$B$1:$VX$1,0),FALSE)/1,0)-IFERROR(VLOOKUP($B278,'Slutlig allokering kvv'!$B$2:$BX$549,MATCH(O$2,'Slutlig allokering kvv'!$B$1:$BX$1,0),FALSE)/1,0))</f>
        <v/>
      </c>
      <c r="P278" s="121" t="str">
        <f>IF($D278="","",IFERROR(VLOOKUP($B278,Kraftvärmeprod!$B$1:$BX$549,MATCH(P$2,Kraftvärmeprod!$B$1:$VX$1,0),FALSE)/1,0)-IFERROR(VLOOKUP($B278,'Slutlig allokering kvv'!$B$2:$BX$549,MATCH(P$2,'Slutlig allokering kvv'!$B$1:$BX$1,0),FALSE)/1,0))</f>
        <v/>
      </c>
      <c r="Q278" s="121" t="str">
        <f>IF($D278="","",IFERROR(VLOOKUP($B278,Kraftvärmeprod!$B$1:$BX$549,MATCH(Q$2,Kraftvärmeprod!$B$1:$VX$1,0),FALSE)/1,0)-IFERROR(VLOOKUP($B278,'Slutlig allokering kvv'!$B$2:$BX$549,MATCH(Q$2,'Slutlig allokering kvv'!$B$1:$BX$1,0),FALSE)/1,0))</f>
        <v/>
      </c>
      <c r="R278" s="121" t="str">
        <f>IF($D278="","",IFERROR(VLOOKUP($B278,Kraftvärmeprod!$B$1:$BX$549,MATCH(R$2,Kraftvärmeprod!$B$1:$VX$1,0),FALSE)/1,0)-IFERROR(VLOOKUP($B278,'Slutlig allokering kvv'!$B$2:$BX$549,MATCH(R$2,'Slutlig allokering kvv'!$B$1:$BX$1,0),FALSE)/1,0))</f>
        <v/>
      </c>
      <c r="S278" s="121" t="str">
        <f>IF($D278="","",IFERROR(VLOOKUP($B278,Kraftvärmeprod!$B$1:$BX$549,MATCH(S$2,Kraftvärmeprod!$B$1:$VX$1,0),FALSE)/1,0)-IFERROR(VLOOKUP($B278,'Slutlig allokering kvv'!$B$2:$BX$549,MATCH(S$2,'Slutlig allokering kvv'!$B$1:$BX$1,0),FALSE)/1,0))</f>
        <v/>
      </c>
      <c r="T278" s="121" t="str">
        <f>IF($D278="","",IFERROR(VLOOKUP($B278,Kraftvärmeprod!$B$1:$BX$549,MATCH(T$2,Kraftvärmeprod!$B$1:$VX$1,0),FALSE)/1,0)-IFERROR(VLOOKUP($B278,'Slutlig allokering kvv'!$B$2:$BX$549,MATCH(T$2,'Slutlig allokering kvv'!$B$1:$BX$1,0),FALSE)/1,0))</f>
        <v/>
      </c>
      <c r="U278" s="121" t="str">
        <f>IF($D278="","",IFERROR(VLOOKUP($B278,Kraftvärmeprod!$B$1:$BX$549,MATCH(U$2,Kraftvärmeprod!$B$1:$VX$1,0),FALSE)/1,0)-IFERROR(VLOOKUP($B278,'Slutlig allokering kvv'!$B$2:$BX$549,MATCH(U$2,'Slutlig allokering kvv'!$B$1:$BX$1,0),FALSE)/1,0))</f>
        <v/>
      </c>
      <c r="V278" s="121" t="str">
        <f>IF($D278="","",IFERROR(VLOOKUP($B278,Kraftvärmeprod!$B$1:$BX$549,MATCH(V$2,Kraftvärmeprod!$B$1:$VX$1,0),FALSE)/1,0)-IFERROR(VLOOKUP($B278,'Slutlig allokering kvv'!$B$2:$BX$549,MATCH(V$2,'Slutlig allokering kvv'!$B$1:$BX$1,0),FALSE)/1,0))</f>
        <v/>
      </c>
      <c r="W278" s="121" t="str">
        <f>IF($D278="","",IFERROR(VLOOKUP($B278,Kraftvärmeprod!$B$1:$BX$549,MATCH(W$2,Kraftvärmeprod!$B$1:$VX$1,0),FALSE)/1,0)-IFERROR(VLOOKUP($B278,'Slutlig allokering kvv'!$B$2:$BX$549,MATCH(W$2,'Slutlig allokering kvv'!$B$1:$BX$1,0),FALSE)/1,0))</f>
        <v/>
      </c>
      <c r="X278" s="121" t="str">
        <f>IF($D278="","",IFERROR(VLOOKUP($B278,Kraftvärmeprod!$B$1:$BX$549,MATCH(X$2,Kraftvärmeprod!$B$1:$VX$1,0),FALSE)/1,0)-IFERROR(VLOOKUP($B278,'Slutlig allokering kvv'!$B$2:$BX$549,MATCH(X$2,'Slutlig allokering kvv'!$B$1:$BX$1,0),FALSE)/1,0))</f>
        <v/>
      </c>
      <c r="Y278" s="121" t="str">
        <f>IF($D278="","",IFERROR(VLOOKUP($B278,Kraftvärmeprod!$B$1:$BX$549,MATCH(Y$2,Kraftvärmeprod!$B$1:$VX$1,0),FALSE)/1,0)-IFERROR(VLOOKUP($B278,'Slutlig allokering kvv'!$B$2:$BX$549,MATCH(Y$2,'Slutlig allokering kvv'!$B$1:$BX$1,0),FALSE)/1,0))</f>
        <v/>
      </c>
      <c r="Z278" s="121" t="str">
        <f>IF($D278="","",IFERROR(VLOOKUP($B278,Kraftvärmeprod!$B$1:$BX$549,MATCH(Z$2,Kraftvärmeprod!$B$1:$VX$1,0),FALSE)/1,0)-IFERROR(VLOOKUP($B278,'Slutlig allokering kvv'!$B$2:$BX$549,MATCH(Z$2,'Slutlig allokering kvv'!$B$1:$BX$1,0),FALSE)/1,0))</f>
        <v/>
      </c>
      <c r="AA278" s="121" t="str">
        <f>IF($D278="","",IFERROR(VLOOKUP($B278,Kraftvärmeprod!$B$1:$BX$549,MATCH(AA$2,Kraftvärmeprod!$B$1:$VX$1,0),FALSE)/1,0)-IFERROR(VLOOKUP($B278,'Slutlig allokering kvv'!$B$2:$BX$549,MATCH(AA$2,'Slutlig allokering kvv'!$B$1:$BX$1,0),FALSE)/1,0))</f>
        <v/>
      </c>
      <c r="AB278" s="121" t="str">
        <f>IF($D278="","",IFERROR(VLOOKUP($B278,Kraftvärmeprod!$B$1:$BX$549,MATCH(AB$2,Kraftvärmeprod!$B$1:$VX$1,0),FALSE)/1,0)-IFERROR(VLOOKUP($B278,'Slutlig allokering kvv'!$B$2:$BX$549,MATCH(AB$2,'Slutlig allokering kvv'!$B$1:$BX$1,0),FALSE)/1,0))</f>
        <v/>
      </c>
      <c r="AC278" s="121" t="str">
        <f>IF($D278="","",IFERROR(VLOOKUP($B278,Kraftvärmeprod!$B$1:$BX$549,MATCH(AC$2,Kraftvärmeprod!$B$1:$VX$1,0),FALSE)/1,0)-IFERROR(VLOOKUP($B278,'Slutlig allokering kvv'!$B$2:$BX$549,MATCH(AC$2,'Slutlig allokering kvv'!$B$1:$BX$1,0),FALSE)/1,0))</f>
        <v/>
      </c>
      <c r="AD278" s="121" t="str">
        <f>IF($D278="","",IFERROR(VLOOKUP($B278,Kraftvärmeprod!$B$1:$BX$549,MATCH(AD$2,Kraftvärmeprod!$B$1:$VX$1,0),FALSE)/1,0)-IFERROR(VLOOKUP($B278,'Slutlig allokering kvv'!$B$2:$BX$549,MATCH(AD$2,'Slutlig allokering kvv'!$B$1:$BX$1,0),FALSE)/1,0))</f>
        <v/>
      </c>
      <c r="AE278" s="121" t="str">
        <f>IF($D278="","",IFERROR(VLOOKUP($B278,Miljö!$B$1:$E$550,MATCH("Hjälpel kraftvärme (GWh)",Miljö!$B$1:$E$1,0),FALSE)/1,0)-IFERROR(VLOOKUP($B278,'Slutlig allokering kvv'!$B$2:$BX$549,MATCH(AE$2,'Slutlig allokering kvv'!$B$1:$BX$1,0),FALSE)/1,0))</f>
        <v/>
      </c>
      <c r="AI278" s="121">
        <f t="shared" si="16"/>
        <v>0</v>
      </c>
      <c r="AK278" s="121">
        <f>IFERROR(VLOOKUP($B278,'Slutlig allokering kvv'!$B$2:$AX$549,MATCH("Summa slutlig allokerad tillförd energi (utan hjälpel och rökgaskondensering):",'Slutlig allokering kvv'!$B$1:$AX$1,0),FALSE)/1,"")</f>
        <v>0</v>
      </c>
      <c r="AM278" s="172" t="str">
        <f>IFERROR(1-VLOOKUP($B278,'Slutlig allokering kvv'!$B$2:$AX$549,MATCH("Andel av bränsle i kvv som allokerats till värme, exklusive rökgaskondensering och hjälpel",'Slutlig allokering kvv'!$B$1:$AX$1,0),FALSE),"")</f>
        <v/>
      </c>
      <c r="AO278" s="172" t="str">
        <f t="shared" si="17"/>
        <v/>
      </c>
      <c r="AP278" s="173" t="str">
        <f t="shared" si="18"/>
        <v/>
      </c>
      <c r="AR278" s="172" t="str">
        <f t="shared" si="19"/>
        <v/>
      </c>
    </row>
    <row r="279" spans="1:44" x14ac:dyDescent="0.25">
      <c r="A279" s="171" t="str">
        <f>'Miljövärden för publ företag'!B281</f>
        <v>Ulricehamns Energi AB</v>
      </c>
      <c r="B279" s="171" t="str">
        <f>'Miljövärden för publ företag'!C281</f>
        <v>Ulricehamn</v>
      </c>
      <c r="C279" s="121" t="str">
        <f>IFERROR(VLOOKUP($B279,Kraftvärmeprod!$B$1:$AH$478,MATCH(C$2,Kraftvärmeprod!$B$1:$AG$1,0),FALSE)/1,"")</f>
        <v/>
      </c>
      <c r="D279" s="121" t="str">
        <f>IFERROR(VLOOKUP($B279,Kraftvärmeprod!$B$1:$AH$478,MATCH(D$2,Kraftvärmeprod!$B$1:$AG$1,0),FALSE)/1,"")</f>
        <v/>
      </c>
      <c r="F279" s="121" t="str">
        <f>IF($D279="","",IFERROR(VLOOKUP($B279,Kraftvärmeprod!$B$1:$BX$549,MATCH(F$2,Kraftvärmeprod!$B$1:$VX$1,0),FALSE)/1,0)-IFERROR(VLOOKUP($B279,'Slutlig allokering kvv'!$B$2:$BX$549,MATCH(F$2,'Slutlig allokering kvv'!$B$1:$BX$1,0),FALSE)/1,0))</f>
        <v/>
      </c>
      <c r="G279" s="121" t="str">
        <f>IF($D279="","",IFERROR(VLOOKUP($B279,Kraftvärmeprod!$B$1:$BX$549,MATCH(G$2,Kraftvärmeprod!$B$1:$VX$1,0),FALSE)/1,0)-IFERROR(VLOOKUP($B279,'Slutlig allokering kvv'!$B$2:$BX$549,MATCH(G$2,'Slutlig allokering kvv'!$B$1:$BX$1,0),FALSE)/1,0))</f>
        <v/>
      </c>
      <c r="H279" s="121" t="str">
        <f>IF($D279="","",IFERROR(VLOOKUP($B279,Kraftvärmeprod!$B$1:$BX$549,MATCH(H$2,Kraftvärmeprod!$B$1:$VX$1,0),FALSE)/1,0)-IFERROR(VLOOKUP($B279,'Slutlig allokering kvv'!$B$2:$BX$549,MATCH(H$2,'Slutlig allokering kvv'!$B$1:$BX$1,0),FALSE)/1,0))</f>
        <v/>
      </c>
      <c r="I279" s="121" t="str">
        <f>IF($D279="","",IFERROR(VLOOKUP($B279,Kraftvärmeprod!$B$1:$BX$549,MATCH(I$2,Kraftvärmeprod!$B$1:$VX$1,0),FALSE)/1,0)-IFERROR(VLOOKUP($B279,'Slutlig allokering kvv'!$B$2:$BX$549,MATCH(I$2,'Slutlig allokering kvv'!$B$1:$BX$1,0),FALSE)/1,0))</f>
        <v/>
      </c>
      <c r="J279" s="121" t="str">
        <f>IF($D279="","",IFERROR(VLOOKUP($B279,Kraftvärmeprod!$B$1:$BX$549,MATCH(J$2,Kraftvärmeprod!$B$1:$VX$1,0),FALSE)/1,0)-IFERROR(VLOOKUP($B279,'Slutlig allokering kvv'!$B$2:$BX$549,MATCH(J$2,'Slutlig allokering kvv'!$B$1:$BX$1,0),FALSE)/1,0))</f>
        <v/>
      </c>
      <c r="K279" s="121" t="str">
        <f>IF($D279="","",IFERROR(VLOOKUP($B279,Kraftvärmeprod!$B$1:$BX$549,MATCH(K$2,Kraftvärmeprod!$B$1:$VX$1,0),FALSE)/1,0)-IFERROR(VLOOKUP($B279,'Slutlig allokering kvv'!$B$2:$BX$549,MATCH(K$2,'Slutlig allokering kvv'!$B$1:$BX$1,0),FALSE)/1,0))</f>
        <v/>
      </c>
      <c r="L279" s="121" t="str">
        <f>IF($D279="","",IFERROR(VLOOKUP($B279,Kraftvärmeprod!$B$1:$BX$549,MATCH(L$2,Kraftvärmeprod!$B$1:$VX$1,0),FALSE)/1,0)-IFERROR(VLOOKUP($B279,'Slutlig allokering kvv'!$B$2:$BX$549,MATCH(L$2,'Slutlig allokering kvv'!$B$1:$BX$1,0),FALSE)/1,0))</f>
        <v/>
      </c>
      <c r="M279" s="121" t="str">
        <f>IF($D279="","",IFERROR(VLOOKUP($B279,Kraftvärmeprod!$B$1:$BX$549,MATCH(M$2,Kraftvärmeprod!$B$1:$VX$1,0),FALSE)/1,0)-IFERROR(VLOOKUP($B279,'Slutlig allokering kvv'!$B$2:$BX$549,MATCH(M$2,'Slutlig allokering kvv'!$B$1:$BX$1,0),FALSE)/1,0))</f>
        <v/>
      </c>
      <c r="N279" s="121" t="str">
        <f>IF($D279="","",IFERROR(VLOOKUP($B279,Kraftvärmeprod!$B$1:$BX$549,MATCH(N$2,Kraftvärmeprod!$B$1:$VX$1,0),FALSE)/1,0)-IFERROR(VLOOKUP($B279,'Slutlig allokering kvv'!$B$2:$BX$549,MATCH(N$2,'Slutlig allokering kvv'!$B$1:$BX$1,0),FALSE)/1,0))</f>
        <v/>
      </c>
      <c r="O279" s="121" t="str">
        <f>IF($D279="","",IFERROR(VLOOKUP($B279,Kraftvärmeprod!$B$1:$BX$549,MATCH(O$2,Kraftvärmeprod!$B$1:$VX$1,0),FALSE)/1,0)-IFERROR(VLOOKUP($B279,'Slutlig allokering kvv'!$B$2:$BX$549,MATCH(O$2,'Slutlig allokering kvv'!$B$1:$BX$1,0),FALSE)/1,0))</f>
        <v/>
      </c>
      <c r="P279" s="121" t="str">
        <f>IF($D279="","",IFERROR(VLOOKUP($B279,Kraftvärmeprod!$B$1:$BX$549,MATCH(P$2,Kraftvärmeprod!$B$1:$VX$1,0),FALSE)/1,0)-IFERROR(VLOOKUP($B279,'Slutlig allokering kvv'!$B$2:$BX$549,MATCH(P$2,'Slutlig allokering kvv'!$B$1:$BX$1,0),FALSE)/1,0))</f>
        <v/>
      </c>
      <c r="Q279" s="121" t="str">
        <f>IF($D279="","",IFERROR(VLOOKUP($B279,Kraftvärmeprod!$B$1:$BX$549,MATCH(Q$2,Kraftvärmeprod!$B$1:$VX$1,0),FALSE)/1,0)-IFERROR(VLOOKUP($B279,'Slutlig allokering kvv'!$B$2:$BX$549,MATCH(Q$2,'Slutlig allokering kvv'!$B$1:$BX$1,0),FALSE)/1,0))</f>
        <v/>
      </c>
      <c r="R279" s="121" t="str">
        <f>IF($D279="","",IFERROR(VLOOKUP($B279,Kraftvärmeprod!$B$1:$BX$549,MATCH(R$2,Kraftvärmeprod!$B$1:$VX$1,0),FALSE)/1,0)-IFERROR(VLOOKUP($B279,'Slutlig allokering kvv'!$B$2:$BX$549,MATCH(R$2,'Slutlig allokering kvv'!$B$1:$BX$1,0),FALSE)/1,0))</f>
        <v/>
      </c>
      <c r="S279" s="121" t="str">
        <f>IF($D279="","",IFERROR(VLOOKUP($B279,Kraftvärmeprod!$B$1:$BX$549,MATCH(S$2,Kraftvärmeprod!$B$1:$VX$1,0),FALSE)/1,0)-IFERROR(VLOOKUP($B279,'Slutlig allokering kvv'!$B$2:$BX$549,MATCH(S$2,'Slutlig allokering kvv'!$B$1:$BX$1,0),FALSE)/1,0))</f>
        <v/>
      </c>
      <c r="T279" s="121" t="str">
        <f>IF($D279="","",IFERROR(VLOOKUP($B279,Kraftvärmeprod!$B$1:$BX$549,MATCH(T$2,Kraftvärmeprod!$B$1:$VX$1,0),FALSE)/1,0)-IFERROR(VLOOKUP($B279,'Slutlig allokering kvv'!$B$2:$BX$549,MATCH(T$2,'Slutlig allokering kvv'!$B$1:$BX$1,0),FALSE)/1,0))</f>
        <v/>
      </c>
      <c r="U279" s="121" t="str">
        <f>IF($D279="","",IFERROR(VLOOKUP($B279,Kraftvärmeprod!$B$1:$BX$549,MATCH(U$2,Kraftvärmeprod!$B$1:$VX$1,0),FALSE)/1,0)-IFERROR(VLOOKUP($B279,'Slutlig allokering kvv'!$B$2:$BX$549,MATCH(U$2,'Slutlig allokering kvv'!$B$1:$BX$1,0),FALSE)/1,0))</f>
        <v/>
      </c>
      <c r="V279" s="121" t="str">
        <f>IF($D279="","",IFERROR(VLOOKUP($B279,Kraftvärmeprod!$B$1:$BX$549,MATCH(V$2,Kraftvärmeprod!$B$1:$VX$1,0),FALSE)/1,0)-IFERROR(VLOOKUP($B279,'Slutlig allokering kvv'!$B$2:$BX$549,MATCH(V$2,'Slutlig allokering kvv'!$B$1:$BX$1,0),FALSE)/1,0))</f>
        <v/>
      </c>
      <c r="W279" s="121" t="str">
        <f>IF($D279="","",IFERROR(VLOOKUP($B279,Kraftvärmeprod!$B$1:$BX$549,MATCH(W$2,Kraftvärmeprod!$B$1:$VX$1,0),FALSE)/1,0)-IFERROR(VLOOKUP($B279,'Slutlig allokering kvv'!$B$2:$BX$549,MATCH(W$2,'Slutlig allokering kvv'!$B$1:$BX$1,0),FALSE)/1,0))</f>
        <v/>
      </c>
      <c r="X279" s="121" t="str">
        <f>IF($D279="","",IFERROR(VLOOKUP($B279,Kraftvärmeprod!$B$1:$BX$549,MATCH(X$2,Kraftvärmeprod!$B$1:$VX$1,0),FALSE)/1,0)-IFERROR(VLOOKUP($B279,'Slutlig allokering kvv'!$B$2:$BX$549,MATCH(X$2,'Slutlig allokering kvv'!$B$1:$BX$1,0),FALSE)/1,0))</f>
        <v/>
      </c>
      <c r="Y279" s="121" t="str">
        <f>IF($D279="","",IFERROR(VLOOKUP($B279,Kraftvärmeprod!$B$1:$BX$549,MATCH(Y$2,Kraftvärmeprod!$B$1:$VX$1,0),FALSE)/1,0)-IFERROR(VLOOKUP($B279,'Slutlig allokering kvv'!$B$2:$BX$549,MATCH(Y$2,'Slutlig allokering kvv'!$B$1:$BX$1,0),FALSE)/1,0))</f>
        <v/>
      </c>
      <c r="Z279" s="121" t="str">
        <f>IF($D279="","",IFERROR(VLOOKUP($B279,Kraftvärmeprod!$B$1:$BX$549,MATCH(Z$2,Kraftvärmeprod!$B$1:$VX$1,0),FALSE)/1,0)-IFERROR(VLOOKUP($B279,'Slutlig allokering kvv'!$B$2:$BX$549,MATCH(Z$2,'Slutlig allokering kvv'!$B$1:$BX$1,0),FALSE)/1,0))</f>
        <v/>
      </c>
      <c r="AA279" s="121" t="str">
        <f>IF($D279="","",IFERROR(VLOOKUP($B279,Kraftvärmeprod!$B$1:$BX$549,MATCH(AA$2,Kraftvärmeprod!$B$1:$VX$1,0),FALSE)/1,0)-IFERROR(VLOOKUP($B279,'Slutlig allokering kvv'!$B$2:$BX$549,MATCH(AA$2,'Slutlig allokering kvv'!$B$1:$BX$1,0),FALSE)/1,0))</f>
        <v/>
      </c>
      <c r="AB279" s="121" t="str">
        <f>IF($D279="","",IFERROR(VLOOKUP($B279,Kraftvärmeprod!$B$1:$BX$549,MATCH(AB$2,Kraftvärmeprod!$B$1:$VX$1,0),FALSE)/1,0)-IFERROR(VLOOKUP($B279,'Slutlig allokering kvv'!$B$2:$BX$549,MATCH(AB$2,'Slutlig allokering kvv'!$B$1:$BX$1,0),FALSE)/1,0))</f>
        <v/>
      </c>
      <c r="AC279" s="121" t="str">
        <f>IF($D279="","",IFERROR(VLOOKUP($B279,Kraftvärmeprod!$B$1:$BX$549,MATCH(AC$2,Kraftvärmeprod!$B$1:$VX$1,0),FALSE)/1,0)-IFERROR(VLOOKUP($B279,'Slutlig allokering kvv'!$B$2:$BX$549,MATCH(AC$2,'Slutlig allokering kvv'!$B$1:$BX$1,0),FALSE)/1,0))</f>
        <v/>
      </c>
      <c r="AD279" s="121" t="str">
        <f>IF($D279="","",IFERROR(VLOOKUP($B279,Kraftvärmeprod!$B$1:$BX$549,MATCH(AD$2,Kraftvärmeprod!$B$1:$VX$1,0),FALSE)/1,0)-IFERROR(VLOOKUP($B279,'Slutlig allokering kvv'!$B$2:$BX$549,MATCH(AD$2,'Slutlig allokering kvv'!$B$1:$BX$1,0),FALSE)/1,0))</f>
        <v/>
      </c>
      <c r="AE279" s="121" t="str">
        <f>IF($D279="","",IFERROR(VLOOKUP($B279,Miljö!$B$1:$E$550,MATCH("Hjälpel kraftvärme (GWh)",Miljö!$B$1:$E$1,0),FALSE)/1,0)-IFERROR(VLOOKUP($B279,'Slutlig allokering kvv'!$B$2:$BX$549,MATCH(AE$2,'Slutlig allokering kvv'!$B$1:$BX$1,0),FALSE)/1,0))</f>
        <v/>
      </c>
      <c r="AI279" s="121">
        <f t="shared" si="16"/>
        <v>0</v>
      </c>
      <c r="AK279" s="121">
        <f>IFERROR(VLOOKUP($B279,'Slutlig allokering kvv'!$B$2:$AX$549,MATCH("Summa slutlig allokerad tillförd energi (utan hjälpel och rökgaskondensering):",'Slutlig allokering kvv'!$B$1:$AX$1,0),FALSE)/1,"")</f>
        <v>0</v>
      </c>
      <c r="AM279" s="172" t="str">
        <f>IFERROR(1-VLOOKUP($B279,'Slutlig allokering kvv'!$B$2:$AX$549,MATCH("Andel av bränsle i kvv som allokerats till värme, exklusive rökgaskondensering och hjälpel",'Slutlig allokering kvv'!$B$1:$AX$1,0),FALSE),"")</f>
        <v/>
      </c>
      <c r="AO279" s="172" t="str">
        <f t="shared" si="17"/>
        <v/>
      </c>
      <c r="AP279" s="173" t="str">
        <f t="shared" si="18"/>
        <v/>
      </c>
      <c r="AR279" s="172" t="str">
        <f t="shared" si="19"/>
        <v/>
      </c>
    </row>
    <row r="280" spans="1:44" x14ac:dyDescent="0.25">
      <c r="A280" s="171" t="str">
        <f>'Miljövärden för publ företag'!B282</f>
        <v>Umeå Energi AB</v>
      </c>
      <c r="B280" s="171" t="str">
        <f>'Miljövärden för publ företag'!C282</f>
        <v>Bjurholm</v>
      </c>
      <c r="C280" s="121" t="str">
        <f>IFERROR(VLOOKUP($B280,Kraftvärmeprod!$B$1:$AH$478,MATCH(C$2,Kraftvärmeprod!$B$1:$AG$1,0),FALSE)/1,"")</f>
        <v/>
      </c>
      <c r="D280" s="121" t="str">
        <f>IFERROR(VLOOKUP($B280,Kraftvärmeprod!$B$1:$AH$478,MATCH(D$2,Kraftvärmeprod!$B$1:$AG$1,0),FALSE)/1,"")</f>
        <v/>
      </c>
      <c r="F280" s="121" t="str">
        <f>IF($D280="","",IFERROR(VLOOKUP($B280,Kraftvärmeprod!$B$1:$BX$549,MATCH(F$2,Kraftvärmeprod!$B$1:$VX$1,0),FALSE)/1,0)-IFERROR(VLOOKUP($B280,'Slutlig allokering kvv'!$B$2:$BX$549,MATCH(F$2,'Slutlig allokering kvv'!$B$1:$BX$1,0),FALSE)/1,0))</f>
        <v/>
      </c>
      <c r="G280" s="121" t="str">
        <f>IF($D280="","",IFERROR(VLOOKUP($B280,Kraftvärmeprod!$B$1:$BX$549,MATCH(G$2,Kraftvärmeprod!$B$1:$VX$1,0),FALSE)/1,0)-IFERROR(VLOOKUP($B280,'Slutlig allokering kvv'!$B$2:$BX$549,MATCH(G$2,'Slutlig allokering kvv'!$B$1:$BX$1,0),FALSE)/1,0))</f>
        <v/>
      </c>
      <c r="H280" s="121" t="str">
        <f>IF($D280="","",IFERROR(VLOOKUP($B280,Kraftvärmeprod!$B$1:$BX$549,MATCH(H$2,Kraftvärmeprod!$B$1:$VX$1,0),FALSE)/1,0)-IFERROR(VLOOKUP($B280,'Slutlig allokering kvv'!$B$2:$BX$549,MATCH(H$2,'Slutlig allokering kvv'!$B$1:$BX$1,0),FALSE)/1,0))</f>
        <v/>
      </c>
      <c r="I280" s="121" t="str">
        <f>IF($D280="","",IFERROR(VLOOKUP($B280,Kraftvärmeprod!$B$1:$BX$549,MATCH(I$2,Kraftvärmeprod!$B$1:$VX$1,0),FALSE)/1,0)-IFERROR(VLOOKUP($B280,'Slutlig allokering kvv'!$B$2:$BX$549,MATCH(I$2,'Slutlig allokering kvv'!$B$1:$BX$1,0),FALSE)/1,0))</f>
        <v/>
      </c>
      <c r="J280" s="121" t="str">
        <f>IF($D280="","",IFERROR(VLOOKUP($B280,Kraftvärmeprod!$B$1:$BX$549,MATCH(J$2,Kraftvärmeprod!$B$1:$VX$1,0),FALSE)/1,0)-IFERROR(VLOOKUP($B280,'Slutlig allokering kvv'!$B$2:$BX$549,MATCH(J$2,'Slutlig allokering kvv'!$B$1:$BX$1,0),FALSE)/1,0))</f>
        <v/>
      </c>
      <c r="K280" s="121" t="str">
        <f>IF($D280="","",IFERROR(VLOOKUP($B280,Kraftvärmeprod!$B$1:$BX$549,MATCH(K$2,Kraftvärmeprod!$B$1:$VX$1,0),FALSE)/1,0)-IFERROR(VLOOKUP($B280,'Slutlig allokering kvv'!$B$2:$BX$549,MATCH(K$2,'Slutlig allokering kvv'!$B$1:$BX$1,0),FALSE)/1,0))</f>
        <v/>
      </c>
      <c r="L280" s="121" t="str">
        <f>IF($D280="","",IFERROR(VLOOKUP($B280,Kraftvärmeprod!$B$1:$BX$549,MATCH(L$2,Kraftvärmeprod!$B$1:$VX$1,0),FALSE)/1,0)-IFERROR(VLOOKUP($B280,'Slutlig allokering kvv'!$B$2:$BX$549,MATCH(L$2,'Slutlig allokering kvv'!$B$1:$BX$1,0),FALSE)/1,0))</f>
        <v/>
      </c>
      <c r="M280" s="121" t="str">
        <f>IF($D280="","",IFERROR(VLOOKUP($B280,Kraftvärmeprod!$B$1:$BX$549,MATCH(M$2,Kraftvärmeprod!$B$1:$VX$1,0),FALSE)/1,0)-IFERROR(VLOOKUP($B280,'Slutlig allokering kvv'!$B$2:$BX$549,MATCH(M$2,'Slutlig allokering kvv'!$B$1:$BX$1,0),FALSE)/1,0))</f>
        <v/>
      </c>
      <c r="N280" s="121" t="str">
        <f>IF($D280="","",IFERROR(VLOOKUP($B280,Kraftvärmeprod!$B$1:$BX$549,MATCH(N$2,Kraftvärmeprod!$B$1:$VX$1,0),FALSE)/1,0)-IFERROR(VLOOKUP($B280,'Slutlig allokering kvv'!$B$2:$BX$549,MATCH(N$2,'Slutlig allokering kvv'!$B$1:$BX$1,0),FALSE)/1,0))</f>
        <v/>
      </c>
      <c r="O280" s="121" t="str">
        <f>IF($D280="","",IFERROR(VLOOKUP($B280,Kraftvärmeprod!$B$1:$BX$549,MATCH(O$2,Kraftvärmeprod!$B$1:$VX$1,0),FALSE)/1,0)-IFERROR(VLOOKUP($B280,'Slutlig allokering kvv'!$B$2:$BX$549,MATCH(O$2,'Slutlig allokering kvv'!$B$1:$BX$1,0),FALSE)/1,0))</f>
        <v/>
      </c>
      <c r="P280" s="121" t="str">
        <f>IF($D280="","",IFERROR(VLOOKUP($B280,Kraftvärmeprod!$B$1:$BX$549,MATCH(P$2,Kraftvärmeprod!$B$1:$VX$1,0),FALSE)/1,0)-IFERROR(VLOOKUP($B280,'Slutlig allokering kvv'!$B$2:$BX$549,MATCH(P$2,'Slutlig allokering kvv'!$B$1:$BX$1,0),FALSE)/1,0))</f>
        <v/>
      </c>
      <c r="Q280" s="121" t="str">
        <f>IF($D280="","",IFERROR(VLOOKUP($B280,Kraftvärmeprod!$B$1:$BX$549,MATCH(Q$2,Kraftvärmeprod!$B$1:$VX$1,0),FALSE)/1,0)-IFERROR(VLOOKUP($B280,'Slutlig allokering kvv'!$B$2:$BX$549,MATCH(Q$2,'Slutlig allokering kvv'!$B$1:$BX$1,0),FALSE)/1,0))</f>
        <v/>
      </c>
      <c r="R280" s="121" t="str">
        <f>IF($D280="","",IFERROR(VLOOKUP($B280,Kraftvärmeprod!$B$1:$BX$549,MATCH(R$2,Kraftvärmeprod!$B$1:$VX$1,0),FALSE)/1,0)-IFERROR(VLOOKUP($B280,'Slutlig allokering kvv'!$B$2:$BX$549,MATCH(R$2,'Slutlig allokering kvv'!$B$1:$BX$1,0),FALSE)/1,0))</f>
        <v/>
      </c>
      <c r="S280" s="121" t="str">
        <f>IF($D280="","",IFERROR(VLOOKUP($B280,Kraftvärmeprod!$B$1:$BX$549,MATCH(S$2,Kraftvärmeprod!$B$1:$VX$1,0),FALSE)/1,0)-IFERROR(VLOOKUP($B280,'Slutlig allokering kvv'!$B$2:$BX$549,MATCH(S$2,'Slutlig allokering kvv'!$B$1:$BX$1,0),FALSE)/1,0))</f>
        <v/>
      </c>
      <c r="T280" s="121" t="str">
        <f>IF($D280="","",IFERROR(VLOOKUP($B280,Kraftvärmeprod!$B$1:$BX$549,MATCH(T$2,Kraftvärmeprod!$B$1:$VX$1,0),FALSE)/1,0)-IFERROR(VLOOKUP($B280,'Slutlig allokering kvv'!$B$2:$BX$549,MATCH(T$2,'Slutlig allokering kvv'!$B$1:$BX$1,0),FALSE)/1,0))</f>
        <v/>
      </c>
      <c r="U280" s="121" t="str">
        <f>IF($D280="","",IFERROR(VLOOKUP($B280,Kraftvärmeprod!$B$1:$BX$549,MATCH(U$2,Kraftvärmeprod!$B$1:$VX$1,0),FALSE)/1,0)-IFERROR(VLOOKUP($B280,'Slutlig allokering kvv'!$B$2:$BX$549,MATCH(U$2,'Slutlig allokering kvv'!$B$1:$BX$1,0),FALSE)/1,0))</f>
        <v/>
      </c>
      <c r="V280" s="121" t="str">
        <f>IF($D280="","",IFERROR(VLOOKUP($B280,Kraftvärmeprod!$B$1:$BX$549,MATCH(V$2,Kraftvärmeprod!$B$1:$VX$1,0),FALSE)/1,0)-IFERROR(VLOOKUP($B280,'Slutlig allokering kvv'!$B$2:$BX$549,MATCH(V$2,'Slutlig allokering kvv'!$B$1:$BX$1,0),FALSE)/1,0))</f>
        <v/>
      </c>
      <c r="W280" s="121" t="str">
        <f>IF($D280="","",IFERROR(VLOOKUP($B280,Kraftvärmeprod!$B$1:$BX$549,MATCH(W$2,Kraftvärmeprod!$B$1:$VX$1,0),FALSE)/1,0)-IFERROR(VLOOKUP($B280,'Slutlig allokering kvv'!$B$2:$BX$549,MATCH(W$2,'Slutlig allokering kvv'!$B$1:$BX$1,0),FALSE)/1,0))</f>
        <v/>
      </c>
      <c r="X280" s="121" t="str">
        <f>IF($D280="","",IFERROR(VLOOKUP($B280,Kraftvärmeprod!$B$1:$BX$549,MATCH(X$2,Kraftvärmeprod!$B$1:$VX$1,0),FALSE)/1,0)-IFERROR(VLOOKUP($B280,'Slutlig allokering kvv'!$B$2:$BX$549,MATCH(X$2,'Slutlig allokering kvv'!$B$1:$BX$1,0),FALSE)/1,0))</f>
        <v/>
      </c>
      <c r="Y280" s="121" t="str">
        <f>IF($D280="","",IFERROR(VLOOKUP($B280,Kraftvärmeprod!$B$1:$BX$549,MATCH(Y$2,Kraftvärmeprod!$B$1:$VX$1,0),FALSE)/1,0)-IFERROR(VLOOKUP($B280,'Slutlig allokering kvv'!$B$2:$BX$549,MATCH(Y$2,'Slutlig allokering kvv'!$B$1:$BX$1,0),FALSE)/1,0))</f>
        <v/>
      </c>
      <c r="Z280" s="121" t="str">
        <f>IF($D280="","",IFERROR(VLOOKUP($B280,Kraftvärmeprod!$B$1:$BX$549,MATCH(Z$2,Kraftvärmeprod!$B$1:$VX$1,0),FALSE)/1,0)-IFERROR(VLOOKUP($B280,'Slutlig allokering kvv'!$B$2:$BX$549,MATCH(Z$2,'Slutlig allokering kvv'!$B$1:$BX$1,0),FALSE)/1,0))</f>
        <v/>
      </c>
      <c r="AA280" s="121" t="str">
        <f>IF($D280="","",IFERROR(VLOOKUP($B280,Kraftvärmeprod!$B$1:$BX$549,MATCH(AA$2,Kraftvärmeprod!$B$1:$VX$1,0),FALSE)/1,0)-IFERROR(VLOOKUP($B280,'Slutlig allokering kvv'!$B$2:$BX$549,MATCH(AA$2,'Slutlig allokering kvv'!$B$1:$BX$1,0),FALSE)/1,0))</f>
        <v/>
      </c>
      <c r="AB280" s="121" t="str">
        <f>IF($D280="","",IFERROR(VLOOKUP($B280,Kraftvärmeprod!$B$1:$BX$549,MATCH(AB$2,Kraftvärmeprod!$B$1:$VX$1,0),FALSE)/1,0)-IFERROR(VLOOKUP($B280,'Slutlig allokering kvv'!$B$2:$BX$549,MATCH(AB$2,'Slutlig allokering kvv'!$B$1:$BX$1,0),FALSE)/1,0))</f>
        <v/>
      </c>
      <c r="AC280" s="121" t="str">
        <f>IF($D280="","",IFERROR(VLOOKUP($B280,Kraftvärmeprod!$B$1:$BX$549,MATCH(AC$2,Kraftvärmeprod!$B$1:$VX$1,0),FALSE)/1,0)-IFERROR(VLOOKUP($B280,'Slutlig allokering kvv'!$B$2:$BX$549,MATCH(AC$2,'Slutlig allokering kvv'!$B$1:$BX$1,0),FALSE)/1,0))</f>
        <v/>
      </c>
      <c r="AD280" s="121" t="str">
        <f>IF($D280="","",IFERROR(VLOOKUP($B280,Kraftvärmeprod!$B$1:$BX$549,MATCH(AD$2,Kraftvärmeprod!$B$1:$VX$1,0),FALSE)/1,0)-IFERROR(VLOOKUP($B280,'Slutlig allokering kvv'!$B$2:$BX$549,MATCH(AD$2,'Slutlig allokering kvv'!$B$1:$BX$1,0),FALSE)/1,0))</f>
        <v/>
      </c>
      <c r="AE280" s="121" t="str">
        <f>IF($D280="","",IFERROR(VLOOKUP($B280,Miljö!$B$1:$E$550,MATCH("Hjälpel kraftvärme (GWh)",Miljö!$B$1:$E$1,0),FALSE)/1,0)-IFERROR(VLOOKUP($B280,'Slutlig allokering kvv'!$B$2:$BX$549,MATCH(AE$2,'Slutlig allokering kvv'!$B$1:$BX$1,0),FALSE)/1,0))</f>
        <v/>
      </c>
      <c r="AI280" s="121">
        <f t="shared" si="16"/>
        <v>0</v>
      </c>
      <c r="AK280" s="121">
        <f>IFERROR(VLOOKUP($B280,'Slutlig allokering kvv'!$B$2:$AX$549,MATCH("Summa slutlig allokerad tillförd energi (utan hjälpel och rökgaskondensering):",'Slutlig allokering kvv'!$B$1:$AX$1,0),FALSE)/1,"")</f>
        <v>0</v>
      </c>
      <c r="AM280" s="172" t="str">
        <f>IFERROR(1-VLOOKUP($B280,'Slutlig allokering kvv'!$B$2:$AX$549,MATCH("Andel av bränsle i kvv som allokerats till värme, exklusive rökgaskondensering och hjälpel",'Slutlig allokering kvv'!$B$1:$AX$1,0),FALSE),"")</f>
        <v/>
      </c>
      <c r="AO280" s="172" t="str">
        <f t="shared" si="17"/>
        <v/>
      </c>
      <c r="AP280" s="173" t="str">
        <f t="shared" si="18"/>
        <v/>
      </c>
      <c r="AR280" s="172" t="str">
        <f t="shared" si="19"/>
        <v/>
      </c>
    </row>
    <row r="281" spans="1:44" x14ac:dyDescent="0.25">
      <c r="A281" s="171" t="str">
        <f>'Miljövärden för publ företag'!B283</f>
        <v>Umeå Energi AB</v>
      </c>
      <c r="B281" s="171" t="str">
        <f>'Miljövärden för publ företag'!C283</f>
        <v>Hörnefors</v>
      </c>
      <c r="C281" s="121" t="str">
        <f>IFERROR(VLOOKUP($B281,Kraftvärmeprod!$B$1:$AH$478,MATCH(C$2,Kraftvärmeprod!$B$1:$AG$1,0),FALSE)/1,"")</f>
        <v/>
      </c>
      <c r="D281" s="121" t="str">
        <f>IFERROR(VLOOKUP($B281,Kraftvärmeprod!$B$1:$AH$478,MATCH(D$2,Kraftvärmeprod!$B$1:$AG$1,0),FALSE)/1,"")</f>
        <v/>
      </c>
      <c r="F281" s="121" t="str">
        <f>IF($D281="","",IFERROR(VLOOKUP($B281,Kraftvärmeprod!$B$1:$BX$549,MATCH(F$2,Kraftvärmeprod!$B$1:$VX$1,0),FALSE)/1,0)-IFERROR(VLOOKUP($B281,'Slutlig allokering kvv'!$B$2:$BX$549,MATCH(F$2,'Slutlig allokering kvv'!$B$1:$BX$1,0),FALSE)/1,0))</f>
        <v/>
      </c>
      <c r="G281" s="121" t="str">
        <f>IF($D281="","",IFERROR(VLOOKUP($B281,Kraftvärmeprod!$B$1:$BX$549,MATCH(G$2,Kraftvärmeprod!$B$1:$VX$1,0),FALSE)/1,0)-IFERROR(VLOOKUP($B281,'Slutlig allokering kvv'!$B$2:$BX$549,MATCH(G$2,'Slutlig allokering kvv'!$B$1:$BX$1,0),FALSE)/1,0))</f>
        <v/>
      </c>
      <c r="H281" s="121" t="str">
        <f>IF($D281="","",IFERROR(VLOOKUP($B281,Kraftvärmeprod!$B$1:$BX$549,MATCH(H$2,Kraftvärmeprod!$B$1:$VX$1,0),FALSE)/1,0)-IFERROR(VLOOKUP($B281,'Slutlig allokering kvv'!$B$2:$BX$549,MATCH(H$2,'Slutlig allokering kvv'!$B$1:$BX$1,0),FALSE)/1,0))</f>
        <v/>
      </c>
      <c r="I281" s="121" t="str">
        <f>IF($D281="","",IFERROR(VLOOKUP($B281,Kraftvärmeprod!$B$1:$BX$549,MATCH(I$2,Kraftvärmeprod!$B$1:$VX$1,0),FALSE)/1,0)-IFERROR(VLOOKUP($B281,'Slutlig allokering kvv'!$B$2:$BX$549,MATCH(I$2,'Slutlig allokering kvv'!$B$1:$BX$1,0),FALSE)/1,0))</f>
        <v/>
      </c>
      <c r="J281" s="121" t="str">
        <f>IF($D281="","",IFERROR(VLOOKUP($B281,Kraftvärmeprod!$B$1:$BX$549,MATCH(J$2,Kraftvärmeprod!$B$1:$VX$1,0),FALSE)/1,0)-IFERROR(VLOOKUP($B281,'Slutlig allokering kvv'!$B$2:$BX$549,MATCH(J$2,'Slutlig allokering kvv'!$B$1:$BX$1,0),FALSE)/1,0))</f>
        <v/>
      </c>
      <c r="K281" s="121" t="str">
        <f>IF($D281="","",IFERROR(VLOOKUP($B281,Kraftvärmeprod!$B$1:$BX$549,MATCH(K$2,Kraftvärmeprod!$B$1:$VX$1,0),FALSE)/1,0)-IFERROR(VLOOKUP($B281,'Slutlig allokering kvv'!$B$2:$BX$549,MATCH(K$2,'Slutlig allokering kvv'!$B$1:$BX$1,0),FALSE)/1,0))</f>
        <v/>
      </c>
      <c r="L281" s="121" t="str">
        <f>IF($D281="","",IFERROR(VLOOKUP($B281,Kraftvärmeprod!$B$1:$BX$549,MATCH(L$2,Kraftvärmeprod!$B$1:$VX$1,0),FALSE)/1,0)-IFERROR(VLOOKUP($B281,'Slutlig allokering kvv'!$B$2:$BX$549,MATCH(L$2,'Slutlig allokering kvv'!$B$1:$BX$1,0),FALSE)/1,0))</f>
        <v/>
      </c>
      <c r="M281" s="121" t="str">
        <f>IF($D281="","",IFERROR(VLOOKUP($B281,Kraftvärmeprod!$B$1:$BX$549,MATCH(M$2,Kraftvärmeprod!$B$1:$VX$1,0),FALSE)/1,0)-IFERROR(VLOOKUP($B281,'Slutlig allokering kvv'!$B$2:$BX$549,MATCH(M$2,'Slutlig allokering kvv'!$B$1:$BX$1,0),FALSE)/1,0))</f>
        <v/>
      </c>
      <c r="N281" s="121" t="str">
        <f>IF($D281="","",IFERROR(VLOOKUP($B281,Kraftvärmeprod!$B$1:$BX$549,MATCH(N$2,Kraftvärmeprod!$B$1:$VX$1,0),FALSE)/1,0)-IFERROR(VLOOKUP($B281,'Slutlig allokering kvv'!$B$2:$BX$549,MATCH(N$2,'Slutlig allokering kvv'!$B$1:$BX$1,0),FALSE)/1,0))</f>
        <v/>
      </c>
      <c r="O281" s="121" t="str">
        <f>IF($D281="","",IFERROR(VLOOKUP($B281,Kraftvärmeprod!$B$1:$BX$549,MATCH(O$2,Kraftvärmeprod!$B$1:$VX$1,0),FALSE)/1,0)-IFERROR(VLOOKUP($B281,'Slutlig allokering kvv'!$B$2:$BX$549,MATCH(O$2,'Slutlig allokering kvv'!$B$1:$BX$1,0),FALSE)/1,0))</f>
        <v/>
      </c>
      <c r="P281" s="121" t="str">
        <f>IF($D281="","",IFERROR(VLOOKUP($B281,Kraftvärmeprod!$B$1:$BX$549,MATCH(P$2,Kraftvärmeprod!$B$1:$VX$1,0),FALSE)/1,0)-IFERROR(VLOOKUP($B281,'Slutlig allokering kvv'!$B$2:$BX$549,MATCH(P$2,'Slutlig allokering kvv'!$B$1:$BX$1,0),FALSE)/1,0))</f>
        <v/>
      </c>
      <c r="Q281" s="121" t="str">
        <f>IF($D281="","",IFERROR(VLOOKUP($B281,Kraftvärmeprod!$B$1:$BX$549,MATCH(Q$2,Kraftvärmeprod!$B$1:$VX$1,0),FALSE)/1,0)-IFERROR(VLOOKUP($B281,'Slutlig allokering kvv'!$B$2:$BX$549,MATCH(Q$2,'Slutlig allokering kvv'!$B$1:$BX$1,0),FALSE)/1,0))</f>
        <v/>
      </c>
      <c r="R281" s="121" t="str">
        <f>IF($D281="","",IFERROR(VLOOKUP($B281,Kraftvärmeprod!$B$1:$BX$549,MATCH(R$2,Kraftvärmeprod!$B$1:$VX$1,0),FALSE)/1,0)-IFERROR(VLOOKUP($B281,'Slutlig allokering kvv'!$B$2:$BX$549,MATCH(R$2,'Slutlig allokering kvv'!$B$1:$BX$1,0),FALSE)/1,0))</f>
        <v/>
      </c>
      <c r="S281" s="121" t="str">
        <f>IF($D281="","",IFERROR(VLOOKUP($B281,Kraftvärmeprod!$B$1:$BX$549,MATCH(S$2,Kraftvärmeprod!$B$1:$VX$1,0),FALSE)/1,0)-IFERROR(VLOOKUP($B281,'Slutlig allokering kvv'!$B$2:$BX$549,MATCH(S$2,'Slutlig allokering kvv'!$B$1:$BX$1,0),FALSE)/1,0))</f>
        <v/>
      </c>
      <c r="T281" s="121" t="str">
        <f>IF($D281="","",IFERROR(VLOOKUP($B281,Kraftvärmeprod!$B$1:$BX$549,MATCH(T$2,Kraftvärmeprod!$B$1:$VX$1,0),FALSE)/1,0)-IFERROR(VLOOKUP($B281,'Slutlig allokering kvv'!$B$2:$BX$549,MATCH(T$2,'Slutlig allokering kvv'!$B$1:$BX$1,0),FALSE)/1,0))</f>
        <v/>
      </c>
      <c r="U281" s="121" t="str">
        <f>IF($D281="","",IFERROR(VLOOKUP($B281,Kraftvärmeprod!$B$1:$BX$549,MATCH(U$2,Kraftvärmeprod!$B$1:$VX$1,0),FALSE)/1,0)-IFERROR(VLOOKUP($B281,'Slutlig allokering kvv'!$B$2:$BX$549,MATCH(U$2,'Slutlig allokering kvv'!$B$1:$BX$1,0),FALSE)/1,0))</f>
        <v/>
      </c>
      <c r="V281" s="121" t="str">
        <f>IF($D281="","",IFERROR(VLOOKUP($B281,Kraftvärmeprod!$B$1:$BX$549,MATCH(V$2,Kraftvärmeprod!$B$1:$VX$1,0),FALSE)/1,0)-IFERROR(VLOOKUP($B281,'Slutlig allokering kvv'!$B$2:$BX$549,MATCH(V$2,'Slutlig allokering kvv'!$B$1:$BX$1,0),FALSE)/1,0))</f>
        <v/>
      </c>
      <c r="W281" s="121" t="str">
        <f>IF($D281="","",IFERROR(VLOOKUP($B281,Kraftvärmeprod!$B$1:$BX$549,MATCH(W$2,Kraftvärmeprod!$B$1:$VX$1,0),FALSE)/1,0)-IFERROR(VLOOKUP($B281,'Slutlig allokering kvv'!$B$2:$BX$549,MATCH(W$2,'Slutlig allokering kvv'!$B$1:$BX$1,0),FALSE)/1,0))</f>
        <v/>
      </c>
      <c r="X281" s="121" t="str">
        <f>IF($D281="","",IFERROR(VLOOKUP($B281,Kraftvärmeprod!$B$1:$BX$549,MATCH(X$2,Kraftvärmeprod!$B$1:$VX$1,0),FALSE)/1,0)-IFERROR(VLOOKUP($B281,'Slutlig allokering kvv'!$B$2:$BX$549,MATCH(X$2,'Slutlig allokering kvv'!$B$1:$BX$1,0),FALSE)/1,0))</f>
        <v/>
      </c>
      <c r="Y281" s="121" t="str">
        <f>IF($D281="","",IFERROR(VLOOKUP($B281,Kraftvärmeprod!$B$1:$BX$549,MATCH(Y$2,Kraftvärmeprod!$B$1:$VX$1,0),FALSE)/1,0)-IFERROR(VLOOKUP($B281,'Slutlig allokering kvv'!$B$2:$BX$549,MATCH(Y$2,'Slutlig allokering kvv'!$B$1:$BX$1,0),FALSE)/1,0))</f>
        <v/>
      </c>
      <c r="Z281" s="121" t="str">
        <f>IF($D281="","",IFERROR(VLOOKUP($B281,Kraftvärmeprod!$B$1:$BX$549,MATCH(Z$2,Kraftvärmeprod!$B$1:$VX$1,0),FALSE)/1,0)-IFERROR(VLOOKUP($B281,'Slutlig allokering kvv'!$B$2:$BX$549,MATCH(Z$2,'Slutlig allokering kvv'!$B$1:$BX$1,0),FALSE)/1,0))</f>
        <v/>
      </c>
      <c r="AA281" s="121" t="str">
        <f>IF($D281="","",IFERROR(VLOOKUP($B281,Kraftvärmeprod!$B$1:$BX$549,MATCH(AA$2,Kraftvärmeprod!$B$1:$VX$1,0),FALSE)/1,0)-IFERROR(VLOOKUP($B281,'Slutlig allokering kvv'!$B$2:$BX$549,MATCH(AA$2,'Slutlig allokering kvv'!$B$1:$BX$1,0),FALSE)/1,0))</f>
        <v/>
      </c>
      <c r="AB281" s="121" t="str">
        <f>IF($D281="","",IFERROR(VLOOKUP($B281,Kraftvärmeprod!$B$1:$BX$549,MATCH(AB$2,Kraftvärmeprod!$B$1:$VX$1,0),FALSE)/1,0)-IFERROR(VLOOKUP($B281,'Slutlig allokering kvv'!$B$2:$BX$549,MATCH(AB$2,'Slutlig allokering kvv'!$B$1:$BX$1,0),FALSE)/1,0))</f>
        <v/>
      </c>
      <c r="AC281" s="121" t="str">
        <f>IF($D281="","",IFERROR(VLOOKUP($B281,Kraftvärmeprod!$B$1:$BX$549,MATCH(AC$2,Kraftvärmeprod!$B$1:$VX$1,0),FALSE)/1,0)-IFERROR(VLOOKUP($B281,'Slutlig allokering kvv'!$B$2:$BX$549,MATCH(AC$2,'Slutlig allokering kvv'!$B$1:$BX$1,0),FALSE)/1,0))</f>
        <v/>
      </c>
      <c r="AD281" s="121" t="str">
        <f>IF($D281="","",IFERROR(VLOOKUP($B281,Kraftvärmeprod!$B$1:$BX$549,MATCH(AD$2,Kraftvärmeprod!$B$1:$VX$1,0),FALSE)/1,0)-IFERROR(VLOOKUP($B281,'Slutlig allokering kvv'!$B$2:$BX$549,MATCH(AD$2,'Slutlig allokering kvv'!$B$1:$BX$1,0),FALSE)/1,0))</f>
        <v/>
      </c>
      <c r="AE281" s="121" t="str">
        <f>IF($D281="","",IFERROR(VLOOKUP($B281,Miljö!$B$1:$E$550,MATCH("Hjälpel kraftvärme (GWh)",Miljö!$B$1:$E$1,0),FALSE)/1,0)-IFERROR(VLOOKUP($B281,'Slutlig allokering kvv'!$B$2:$BX$549,MATCH(AE$2,'Slutlig allokering kvv'!$B$1:$BX$1,0),FALSE)/1,0))</f>
        <v/>
      </c>
      <c r="AI281" s="121">
        <f t="shared" si="16"/>
        <v>0</v>
      </c>
      <c r="AK281" s="121">
        <f>IFERROR(VLOOKUP($B281,'Slutlig allokering kvv'!$B$2:$AX$549,MATCH("Summa slutlig allokerad tillförd energi (utan hjälpel och rökgaskondensering):",'Slutlig allokering kvv'!$B$1:$AX$1,0),FALSE)/1,"")</f>
        <v>0</v>
      </c>
      <c r="AM281" s="172" t="str">
        <f>IFERROR(1-VLOOKUP($B281,'Slutlig allokering kvv'!$B$2:$AX$549,MATCH("Andel av bränsle i kvv som allokerats till värme, exklusive rökgaskondensering och hjälpel",'Slutlig allokering kvv'!$B$1:$AX$1,0),FALSE),"")</f>
        <v/>
      </c>
      <c r="AO281" s="172" t="str">
        <f t="shared" si="17"/>
        <v/>
      </c>
      <c r="AP281" s="173" t="str">
        <f t="shared" si="18"/>
        <v/>
      </c>
      <c r="AR281" s="172" t="str">
        <f t="shared" si="19"/>
        <v/>
      </c>
    </row>
    <row r="282" spans="1:44" x14ac:dyDescent="0.25">
      <c r="A282" s="171" t="str">
        <f>'Miljövärden för publ företag'!B284</f>
        <v>Umeå Energi AB</v>
      </c>
      <c r="B282" s="171" t="str">
        <f>'Miljövärden för publ företag'!C284</f>
        <v>Sävar</v>
      </c>
      <c r="C282" s="121" t="str">
        <f>IFERROR(VLOOKUP($B282,Kraftvärmeprod!$B$1:$AH$478,MATCH(C$2,Kraftvärmeprod!$B$1:$AG$1,0),FALSE)/1,"")</f>
        <v/>
      </c>
      <c r="D282" s="121" t="str">
        <f>IFERROR(VLOOKUP($B282,Kraftvärmeprod!$B$1:$AH$478,MATCH(D$2,Kraftvärmeprod!$B$1:$AG$1,0),FALSE)/1,"")</f>
        <v/>
      </c>
      <c r="F282" s="121" t="str">
        <f>IF($D282="","",IFERROR(VLOOKUP($B282,Kraftvärmeprod!$B$1:$BX$549,MATCH(F$2,Kraftvärmeprod!$B$1:$VX$1,0),FALSE)/1,0)-IFERROR(VLOOKUP($B282,'Slutlig allokering kvv'!$B$2:$BX$549,MATCH(F$2,'Slutlig allokering kvv'!$B$1:$BX$1,0),FALSE)/1,0))</f>
        <v/>
      </c>
      <c r="G282" s="121" t="str">
        <f>IF($D282="","",IFERROR(VLOOKUP($B282,Kraftvärmeprod!$B$1:$BX$549,MATCH(G$2,Kraftvärmeprod!$B$1:$VX$1,0),FALSE)/1,0)-IFERROR(VLOOKUP($B282,'Slutlig allokering kvv'!$B$2:$BX$549,MATCH(G$2,'Slutlig allokering kvv'!$B$1:$BX$1,0),FALSE)/1,0))</f>
        <v/>
      </c>
      <c r="H282" s="121" t="str">
        <f>IF($D282="","",IFERROR(VLOOKUP($B282,Kraftvärmeprod!$B$1:$BX$549,MATCH(H$2,Kraftvärmeprod!$B$1:$VX$1,0),FALSE)/1,0)-IFERROR(VLOOKUP($B282,'Slutlig allokering kvv'!$B$2:$BX$549,MATCH(H$2,'Slutlig allokering kvv'!$B$1:$BX$1,0),FALSE)/1,0))</f>
        <v/>
      </c>
      <c r="I282" s="121" t="str">
        <f>IF($D282="","",IFERROR(VLOOKUP($B282,Kraftvärmeprod!$B$1:$BX$549,MATCH(I$2,Kraftvärmeprod!$B$1:$VX$1,0),FALSE)/1,0)-IFERROR(VLOOKUP($B282,'Slutlig allokering kvv'!$B$2:$BX$549,MATCH(I$2,'Slutlig allokering kvv'!$B$1:$BX$1,0),FALSE)/1,0))</f>
        <v/>
      </c>
      <c r="J282" s="121" t="str">
        <f>IF($D282="","",IFERROR(VLOOKUP($B282,Kraftvärmeprod!$B$1:$BX$549,MATCH(J$2,Kraftvärmeprod!$B$1:$VX$1,0),FALSE)/1,0)-IFERROR(VLOOKUP($B282,'Slutlig allokering kvv'!$B$2:$BX$549,MATCH(J$2,'Slutlig allokering kvv'!$B$1:$BX$1,0),FALSE)/1,0))</f>
        <v/>
      </c>
      <c r="K282" s="121" t="str">
        <f>IF($D282="","",IFERROR(VLOOKUP($B282,Kraftvärmeprod!$B$1:$BX$549,MATCH(K$2,Kraftvärmeprod!$B$1:$VX$1,0),FALSE)/1,0)-IFERROR(VLOOKUP($B282,'Slutlig allokering kvv'!$B$2:$BX$549,MATCH(K$2,'Slutlig allokering kvv'!$B$1:$BX$1,0),FALSE)/1,0))</f>
        <v/>
      </c>
      <c r="L282" s="121" t="str">
        <f>IF($D282="","",IFERROR(VLOOKUP($B282,Kraftvärmeprod!$B$1:$BX$549,MATCH(L$2,Kraftvärmeprod!$B$1:$VX$1,0),FALSE)/1,0)-IFERROR(VLOOKUP($B282,'Slutlig allokering kvv'!$B$2:$BX$549,MATCH(L$2,'Slutlig allokering kvv'!$B$1:$BX$1,0),FALSE)/1,0))</f>
        <v/>
      </c>
      <c r="M282" s="121" t="str">
        <f>IF($D282="","",IFERROR(VLOOKUP($B282,Kraftvärmeprod!$B$1:$BX$549,MATCH(M$2,Kraftvärmeprod!$B$1:$VX$1,0),FALSE)/1,0)-IFERROR(VLOOKUP($B282,'Slutlig allokering kvv'!$B$2:$BX$549,MATCH(M$2,'Slutlig allokering kvv'!$B$1:$BX$1,0),FALSE)/1,0))</f>
        <v/>
      </c>
      <c r="N282" s="121" t="str">
        <f>IF($D282="","",IFERROR(VLOOKUP($B282,Kraftvärmeprod!$B$1:$BX$549,MATCH(N$2,Kraftvärmeprod!$B$1:$VX$1,0),FALSE)/1,0)-IFERROR(VLOOKUP($B282,'Slutlig allokering kvv'!$B$2:$BX$549,MATCH(N$2,'Slutlig allokering kvv'!$B$1:$BX$1,0),FALSE)/1,0))</f>
        <v/>
      </c>
      <c r="O282" s="121" t="str">
        <f>IF($D282="","",IFERROR(VLOOKUP($B282,Kraftvärmeprod!$B$1:$BX$549,MATCH(O$2,Kraftvärmeprod!$B$1:$VX$1,0),FALSE)/1,0)-IFERROR(VLOOKUP($B282,'Slutlig allokering kvv'!$B$2:$BX$549,MATCH(O$2,'Slutlig allokering kvv'!$B$1:$BX$1,0),FALSE)/1,0))</f>
        <v/>
      </c>
      <c r="P282" s="121" t="str">
        <f>IF($D282="","",IFERROR(VLOOKUP($B282,Kraftvärmeprod!$B$1:$BX$549,MATCH(P$2,Kraftvärmeprod!$B$1:$VX$1,0),FALSE)/1,0)-IFERROR(VLOOKUP($B282,'Slutlig allokering kvv'!$B$2:$BX$549,MATCH(P$2,'Slutlig allokering kvv'!$B$1:$BX$1,0),FALSE)/1,0))</f>
        <v/>
      </c>
      <c r="Q282" s="121" t="str">
        <f>IF($D282="","",IFERROR(VLOOKUP($B282,Kraftvärmeprod!$B$1:$BX$549,MATCH(Q$2,Kraftvärmeprod!$B$1:$VX$1,0),FALSE)/1,0)-IFERROR(VLOOKUP($B282,'Slutlig allokering kvv'!$B$2:$BX$549,MATCH(Q$2,'Slutlig allokering kvv'!$B$1:$BX$1,0),FALSE)/1,0))</f>
        <v/>
      </c>
      <c r="R282" s="121" t="str">
        <f>IF($D282="","",IFERROR(VLOOKUP($B282,Kraftvärmeprod!$B$1:$BX$549,MATCH(R$2,Kraftvärmeprod!$B$1:$VX$1,0),FALSE)/1,0)-IFERROR(VLOOKUP($B282,'Slutlig allokering kvv'!$B$2:$BX$549,MATCH(R$2,'Slutlig allokering kvv'!$B$1:$BX$1,0),FALSE)/1,0))</f>
        <v/>
      </c>
      <c r="S282" s="121" t="str">
        <f>IF($D282="","",IFERROR(VLOOKUP($B282,Kraftvärmeprod!$B$1:$BX$549,MATCH(S$2,Kraftvärmeprod!$B$1:$VX$1,0),FALSE)/1,0)-IFERROR(VLOOKUP($B282,'Slutlig allokering kvv'!$B$2:$BX$549,MATCH(S$2,'Slutlig allokering kvv'!$B$1:$BX$1,0),FALSE)/1,0))</f>
        <v/>
      </c>
      <c r="T282" s="121" t="str">
        <f>IF($D282="","",IFERROR(VLOOKUP($B282,Kraftvärmeprod!$B$1:$BX$549,MATCH(T$2,Kraftvärmeprod!$B$1:$VX$1,0),FALSE)/1,0)-IFERROR(VLOOKUP($B282,'Slutlig allokering kvv'!$B$2:$BX$549,MATCH(T$2,'Slutlig allokering kvv'!$B$1:$BX$1,0),FALSE)/1,0))</f>
        <v/>
      </c>
      <c r="U282" s="121" t="str">
        <f>IF($D282="","",IFERROR(VLOOKUP($B282,Kraftvärmeprod!$B$1:$BX$549,MATCH(U$2,Kraftvärmeprod!$B$1:$VX$1,0),FALSE)/1,0)-IFERROR(VLOOKUP($B282,'Slutlig allokering kvv'!$B$2:$BX$549,MATCH(U$2,'Slutlig allokering kvv'!$B$1:$BX$1,0),FALSE)/1,0))</f>
        <v/>
      </c>
      <c r="V282" s="121" t="str">
        <f>IF($D282="","",IFERROR(VLOOKUP($B282,Kraftvärmeprod!$B$1:$BX$549,MATCH(V$2,Kraftvärmeprod!$B$1:$VX$1,0),FALSE)/1,0)-IFERROR(VLOOKUP($B282,'Slutlig allokering kvv'!$B$2:$BX$549,MATCH(V$2,'Slutlig allokering kvv'!$B$1:$BX$1,0),FALSE)/1,0))</f>
        <v/>
      </c>
      <c r="W282" s="121" t="str">
        <f>IF($D282="","",IFERROR(VLOOKUP($B282,Kraftvärmeprod!$B$1:$BX$549,MATCH(W$2,Kraftvärmeprod!$B$1:$VX$1,0),FALSE)/1,0)-IFERROR(VLOOKUP($B282,'Slutlig allokering kvv'!$B$2:$BX$549,MATCH(W$2,'Slutlig allokering kvv'!$B$1:$BX$1,0),FALSE)/1,0))</f>
        <v/>
      </c>
      <c r="X282" s="121" t="str">
        <f>IF($D282="","",IFERROR(VLOOKUP($B282,Kraftvärmeprod!$B$1:$BX$549,MATCH(X$2,Kraftvärmeprod!$B$1:$VX$1,0),FALSE)/1,0)-IFERROR(VLOOKUP($B282,'Slutlig allokering kvv'!$B$2:$BX$549,MATCH(X$2,'Slutlig allokering kvv'!$B$1:$BX$1,0),FALSE)/1,0))</f>
        <v/>
      </c>
      <c r="Y282" s="121" t="str">
        <f>IF($D282="","",IFERROR(VLOOKUP($B282,Kraftvärmeprod!$B$1:$BX$549,MATCH(Y$2,Kraftvärmeprod!$B$1:$VX$1,0),FALSE)/1,0)-IFERROR(VLOOKUP($B282,'Slutlig allokering kvv'!$B$2:$BX$549,MATCH(Y$2,'Slutlig allokering kvv'!$B$1:$BX$1,0),FALSE)/1,0))</f>
        <v/>
      </c>
      <c r="Z282" s="121" t="str">
        <f>IF($D282="","",IFERROR(VLOOKUP($B282,Kraftvärmeprod!$B$1:$BX$549,MATCH(Z$2,Kraftvärmeprod!$B$1:$VX$1,0),FALSE)/1,0)-IFERROR(VLOOKUP($B282,'Slutlig allokering kvv'!$B$2:$BX$549,MATCH(Z$2,'Slutlig allokering kvv'!$B$1:$BX$1,0),FALSE)/1,0))</f>
        <v/>
      </c>
      <c r="AA282" s="121" t="str">
        <f>IF($D282="","",IFERROR(VLOOKUP($B282,Kraftvärmeprod!$B$1:$BX$549,MATCH(AA$2,Kraftvärmeprod!$B$1:$VX$1,0),FALSE)/1,0)-IFERROR(VLOOKUP($B282,'Slutlig allokering kvv'!$B$2:$BX$549,MATCH(AA$2,'Slutlig allokering kvv'!$B$1:$BX$1,0),FALSE)/1,0))</f>
        <v/>
      </c>
      <c r="AB282" s="121" t="str">
        <f>IF($D282="","",IFERROR(VLOOKUP($B282,Kraftvärmeprod!$B$1:$BX$549,MATCH(AB$2,Kraftvärmeprod!$B$1:$VX$1,0),FALSE)/1,0)-IFERROR(VLOOKUP($B282,'Slutlig allokering kvv'!$B$2:$BX$549,MATCH(AB$2,'Slutlig allokering kvv'!$B$1:$BX$1,0),FALSE)/1,0))</f>
        <v/>
      </c>
      <c r="AC282" s="121" t="str">
        <f>IF($D282="","",IFERROR(VLOOKUP($B282,Kraftvärmeprod!$B$1:$BX$549,MATCH(AC$2,Kraftvärmeprod!$B$1:$VX$1,0),FALSE)/1,0)-IFERROR(VLOOKUP($B282,'Slutlig allokering kvv'!$B$2:$BX$549,MATCH(AC$2,'Slutlig allokering kvv'!$B$1:$BX$1,0),FALSE)/1,0))</f>
        <v/>
      </c>
      <c r="AD282" s="121" t="str">
        <f>IF($D282="","",IFERROR(VLOOKUP($B282,Kraftvärmeprod!$B$1:$BX$549,MATCH(AD$2,Kraftvärmeprod!$B$1:$VX$1,0),FALSE)/1,0)-IFERROR(VLOOKUP($B282,'Slutlig allokering kvv'!$B$2:$BX$549,MATCH(AD$2,'Slutlig allokering kvv'!$B$1:$BX$1,0),FALSE)/1,0))</f>
        <v/>
      </c>
      <c r="AE282" s="121" t="str">
        <f>IF($D282="","",IFERROR(VLOOKUP($B282,Miljö!$B$1:$E$550,MATCH("Hjälpel kraftvärme (GWh)",Miljö!$B$1:$E$1,0),FALSE)/1,0)-IFERROR(VLOOKUP($B282,'Slutlig allokering kvv'!$B$2:$BX$549,MATCH(AE$2,'Slutlig allokering kvv'!$B$1:$BX$1,0),FALSE)/1,0))</f>
        <v/>
      </c>
      <c r="AI282" s="121">
        <f t="shared" si="16"/>
        <v>0</v>
      </c>
      <c r="AK282" s="121">
        <f>IFERROR(VLOOKUP($B282,'Slutlig allokering kvv'!$B$2:$AX$549,MATCH("Summa slutlig allokerad tillförd energi (utan hjälpel och rökgaskondensering):",'Slutlig allokering kvv'!$B$1:$AX$1,0),FALSE)/1,"")</f>
        <v>0</v>
      </c>
      <c r="AM282" s="172" t="str">
        <f>IFERROR(1-VLOOKUP($B282,'Slutlig allokering kvv'!$B$2:$AX$549,MATCH("Andel av bränsle i kvv som allokerats till värme, exklusive rökgaskondensering och hjälpel",'Slutlig allokering kvv'!$B$1:$AX$1,0),FALSE),"")</f>
        <v/>
      </c>
      <c r="AO282" s="172" t="str">
        <f t="shared" si="17"/>
        <v/>
      </c>
      <c r="AP282" s="173" t="str">
        <f t="shared" si="18"/>
        <v/>
      </c>
      <c r="AR282" s="172" t="str">
        <f t="shared" si="19"/>
        <v/>
      </c>
    </row>
    <row r="283" spans="1:44" x14ac:dyDescent="0.25">
      <c r="A283" s="171" t="str">
        <f>'Miljövärden för publ företag'!B285</f>
        <v>Umeå Energi AB</v>
      </c>
      <c r="B283" s="171" t="str">
        <f>'Miljövärden för publ företag'!C285</f>
        <v>Umeå</v>
      </c>
      <c r="C283" s="121">
        <f>IFERROR(VLOOKUP($B283,Kraftvärmeprod!$B$1:$AH$478,MATCH(C$2,Kraftvärmeprod!$B$1:$AG$1,0),FALSE)/1,"")</f>
        <v>611.5</v>
      </c>
      <c r="D283" s="121">
        <f>IFERROR(VLOOKUP($B283,Kraftvärmeprod!$B$1:$AH$478,MATCH(D$2,Kraftvärmeprod!$B$1:$AG$1,0),FALSE)/1,"")</f>
        <v>191.1</v>
      </c>
      <c r="F283" s="121">
        <f>IF($D283="","",IFERROR(VLOOKUP($B283,Kraftvärmeprod!$B$1:$BX$549,MATCH(F$2,Kraftvärmeprod!$B$1:$VX$1,0),FALSE)/1,0)-IFERROR(VLOOKUP($B283,'Slutlig allokering kvv'!$B$2:$BX$549,MATCH(F$2,'Slutlig allokering kvv'!$B$1:$BX$1,0),FALSE)/1,0))</f>
        <v>0</v>
      </c>
      <c r="G283" s="121">
        <f>IF($D283="","",IFERROR(VLOOKUP($B283,Kraftvärmeprod!$B$1:$BX$549,MATCH(G$2,Kraftvärmeprod!$B$1:$VX$1,0),FALSE)/1,0)-IFERROR(VLOOKUP($B283,'Slutlig allokering kvv'!$B$2:$BX$549,MATCH(G$2,'Slutlig allokering kvv'!$B$1:$BX$1,0),FALSE)/1,0))</f>
        <v>4.5999999999999996</v>
      </c>
      <c r="H283" s="121">
        <f>IF($D283="","",IFERROR(VLOOKUP($B283,Kraftvärmeprod!$B$1:$BX$549,MATCH(H$2,Kraftvärmeprod!$B$1:$VX$1,0),FALSE)/1,0)-IFERROR(VLOOKUP($B283,'Slutlig allokering kvv'!$B$2:$BX$549,MATCH(H$2,'Slutlig allokering kvv'!$B$1:$BX$1,0),FALSE)/1,0))</f>
        <v>0</v>
      </c>
      <c r="I283" s="121">
        <f>IF($D283="","",IFERROR(VLOOKUP($B283,Kraftvärmeprod!$B$1:$BX$549,MATCH(I$2,Kraftvärmeprod!$B$1:$VX$1,0),FALSE)/1,0)-IFERROR(VLOOKUP($B283,'Slutlig allokering kvv'!$B$2:$BX$549,MATCH(I$2,'Slutlig allokering kvv'!$B$1:$BX$1,0),FALSE)/1,0))</f>
        <v>0</v>
      </c>
      <c r="J283" s="121">
        <f>IF($D283="","",IFERROR(VLOOKUP($B283,Kraftvärmeprod!$B$1:$BX$549,MATCH(J$2,Kraftvärmeprod!$B$1:$VX$1,0),FALSE)/1,0)-IFERROR(VLOOKUP($B283,'Slutlig allokering kvv'!$B$2:$BX$549,MATCH(J$2,'Slutlig allokering kvv'!$B$1:$BX$1,0),FALSE)/1,0))</f>
        <v>0</v>
      </c>
      <c r="K283" s="121">
        <f>IF($D283="","",IFERROR(VLOOKUP($B283,Kraftvärmeprod!$B$1:$BX$549,MATCH(K$2,Kraftvärmeprod!$B$1:$VX$1,0),FALSE)/1,0)-IFERROR(VLOOKUP($B283,'Slutlig allokering kvv'!$B$2:$BX$549,MATCH(K$2,'Slutlig allokering kvv'!$B$1:$BX$1,0),FALSE)/1,0))</f>
        <v>0</v>
      </c>
      <c r="L283" s="121">
        <f>IF($D283="","",IFERROR(VLOOKUP($B283,Kraftvärmeprod!$B$1:$BX$549,MATCH(L$2,Kraftvärmeprod!$B$1:$VX$1,0),FALSE)/1,0)-IFERROR(VLOOKUP($B283,'Slutlig allokering kvv'!$B$2:$BX$549,MATCH(L$2,'Slutlig allokering kvv'!$B$1:$BX$1,0),FALSE)/1,0))</f>
        <v>1.9</v>
      </c>
      <c r="M283" s="121">
        <f>IF($D283="","",IFERROR(VLOOKUP($B283,Kraftvärmeprod!$B$1:$BX$549,MATCH(M$2,Kraftvärmeprod!$B$1:$VX$1,0),FALSE)/1,0)-IFERROR(VLOOKUP($B283,'Slutlig allokering kvv'!$B$2:$BX$549,MATCH(M$2,'Slutlig allokering kvv'!$B$1:$BX$1,0),FALSE)/1,0))</f>
        <v>97.300000000000011</v>
      </c>
      <c r="N283" s="121">
        <f>IF($D283="","",IFERROR(VLOOKUP($B283,Kraftvärmeprod!$B$1:$BX$549,MATCH(N$2,Kraftvärmeprod!$B$1:$VX$1,0),FALSE)/1,0)-IFERROR(VLOOKUP($B283,'Slutlig allokering kvv'!$B$2:$BX$549,MATCH(N$2,'Slutlig allokering kvv'!$B$1:$BX$1,0),FALSE)/1,0))</f>
        <v>29.2</v>
      </c>
      <c r="O283" s="121">
        <f>IF($D283="","",IFERROR(VLOOKUP($B283,Kraftvärmeprod!$B$1:$BX$549,MATCH(O$2,Kraftvärmeprod!$B$1:$VX$1,0),FALSE)/1,0)-IFERROR(VLOOKUP($B283,'Slutlig allokering kvv'!$B$2:$BX$549,MATCH(O$2,'Slutlig allokering kvv'!$B$1:$BX$1,0),FALSE)/1,0))</f>
        <v>46.3</v>
      </c>
      <c r="P283" s="121">
        <f>IF($D283="","",IFERROR(VLOOKUP($B283,Kraftvärmeprod!$B$1:$BX$549,MATCH(P$2,Kraftvärmeprod!$B$1:$VX$1,0),FALSE)/1,0)-IFERROR(VLOOKUP($B283,'Slutlig allokering kvv'!$B$2:$BX$549,MATCH(P$2,'Slutlig allokering kvv'!$B$1:$BX$1,0),FALSE)/1,0))</f>
        <v>0</v>
      </c>
      <c r="Q283" s="121">
        <f>IF($D283="","",IFERROR(VLOOKUP($B283,Kraftvärmeprod!$B$1:$BX$549,MATCH(Q$2,Kraftvärmeprod!$B$1:$VX$1,0),FALSE)/1,0)-IFERROR(VLOOKUP($B283,'Slutlig allokering kvv'!$B$2:$BX$549,MATCH(Q$2,'Slutlig allokering kvv'!$B$1:$BX$1,0),FALSE)/1,0))</f>
        <v>26.4</v>
      </c>
      <c r="R283" s="121">
        <f>IF($D283="","",IFERROR(VLOOKUP($B283,Kraftvärmeprod!$B$1:$BX$549,MATCH(R$2,Kraftvärmeprod!$B$1:$VX$1,0),FALSE)/1,0)-IFERROR(VLOOKUP($B283,'Slutlig allokering kvv'!$B$2:$BX$549,MATCH(R$2,'Slutlig allokering kvv'!$B$1:$BX$1,0),FALSE)/1,0))</f>
        <v>0</v>
      </c>
      <c r="S283" s="121">
        <f>IF($D283="","",IFERROR(VLOOKUP($B283,Kraftvärmeprod!$B$1:$BX$549,MATCH(S$2,Kraftvärmeprod!$B$1:$VX$1,0),FALSE)/1,0)-IFERROR(VLOOKUP($B283,'Slutlig allokering kvv'!$B$2:$BX$549,MATCH(S$2,'Slutlig allokering kvv'!$B$1:$BX$1,0),FALSE)/1,0))</f>
        <v>0.8</v>
      </c>
      <c r="T283" s="121">
        <f>IF($D283="","",IFERROR(VLOOKUP($B283,Kraftvärmeprod!$B$1:$BX$549,MATCH(T$2,Kraftvärmeprod!$B$1:$VX$1,0),FALSE)/1,0)-IFERROR(VLOOKUP($B283,'Slutlig allokering kvv'!$B$2:$BX$549,MATCH(T$2,'Slutlig allokering kvv'!$B$1:$BX$1,0),FALSE)/1,0))</f>
        <v>0</v>
      </c>
      <c r="U283" s="121">
        <f>IF($D283="","",IFERROR(VLOOKUP($B283,Kraftvärmeprod!$B$1:$BX$549,MATCH(U$2,Kraftvärmeprod!$B$1:$VX$1,0),FALSE)/1,0)-IFERROR(VLOOKUP($B283,'Slutlig allokering kvv'!$B$2:$BX$549,MATCH(U$2,'Slutlig allokering kvv'!$B$1:$BX$1,0),FALSE)/1,0))</f>
        <v>0</v>
      </c>
      <c r="V283" s="121">
        <f>IF($D283="","",IFERROR(VLOOKUP($B283,Kraftvärmeprod!$B$1:$BX$549,MATCH(V$2,Kraftvärmeprod!$B$1:$VX$1,0),FALSE)/1,0)-IFERROR(VLOOKUP($B283,'Slutlig allokering kvv'!$B$2:$BX$549,MATCH(V$2,'Slutlig allokering kvv'!$B$1:$BX$1,0),FALSE)/1,0))</f>
        <v>0</v>
      </c>
      <c r="W283" s="121">
        <f>IF($D283="","",IFERROR(VLOOKUP($B283,Kraftvärmeprod!$B$1:$BX$549,MATCH(W$2,Kraftvärmeprod!$B$1:$VX$1,0),FALSE)/1,0)-IFERROR(VLOOKUP($B283,'Slutlig allokering kvv'!$B$2:$BX$549,MATCH(W$2,'Slutlig allokering kvv'!$B$1:$BX$1,0),FALSE)/1,0))</f>
        <v>0</v>
      </c>
      <c r="X283" s="121">
        <f>IF($D283="","",IFERROR(VLOOKUP($B283,Kraftvärmeprod!$B$1:$BX$549,MATCH(X$2,Kraftvärmeprod!$B$1:$VX$1,0),FALSE)/1,0)-IFERROR(VLOOKUP($B283,'Slutlig allokering kvv'!$B$2:$BX$549,MATCH(X$2,'Slutlig allokering kvv'!$B$1:$BX$1,0),FALSE)/1,0))</f>
        <v>0</v>
      </c>
      <c r="Y283" s="121">
        <f>IF($D283="","",IFERROR(VLOOKUP($B283,Kraftvärmeprod!$B$1:$BX$549,MATCH(Y$2,Kraftvärmeprod!$B$1:$VX$1,0),FALSE)/1,0)-IFERROR(VLOOKUP($B283,'Slutlig allokering kvv'!$B$2:$BX$549,MATCH(Y$2,'Slutlig allokering kvv'!$B$1:$BX$1,0),FALSE)/1,0))</f>
        <v>0</v>
      </c>
      <c r="Z283" s="121">
        <f>IF($D283="","",IFERROR(VLOOKUP($B283,Kraftvärmeprod!$B$1:$BX$549,MATCH(Z$2,Kraftvärmeprod!$B$1:$VX$1,0),FALSE)/1,0)-IFERROR(VLOOKUP($B283,'Slutlig allokering kvv'!$B$2:$BX$549,MATCH(Z$2,'Slutlig allokering kvv'!$B$1:$BX$1,0),FALSE)/1,0))</f>
        <v>31.799999999999997</v>
      </c>
      <c r="AA283" s="121">
        <f>IF($D283="","",IFERROR(VLOOKUP($B283,Kraftvärmeprod!$B$1:$BX$549,MATCH(AA$2,Kraftvärmeprod!$B$1:$VX$1,0),FALSE)/1,0)-IFERROR(VLOOKUP($B283,'Slutlig allokering kvv'!$B$2:$BX$549,MATCH(AA$2,'Slutlig allokering kvv'!$B$1:$BX$1,0),FALSE)/1,0))</f>
        <v>213.09999999999997</v>
      </c>
      <c r="AB283" s="121">
        <f>IF($D283="","",IFERROR(VLOOKUP($B283,Kraftvärmeprod!$B$1:$BX$549,MATCH(AB$2,Kraftvärmeprod!$B$1:$VX$1,0),FALSE)/1,0)-IFERROR(VLOOKUP($B283,'Slutlig allokering kvv'!$B$2:$BX$549,MATCH(AB$2,'Slutlig allokering kvv'!$B$1:$BX$1,0),FALSE)/1,0))</f>
        <v>0</v>
      </c>
      <c r="AC283" s="121">
        <f>IF($D283="","",IFERROR(VLOOKUP($B283,Kraftvärmeprod!$B$1:$BX$549,MATCH(AC$2,Kraftvärmeprod!$B$1:$VX$1,0),FALSE)/1,0)-IFERROR(VLOOKUP($B283,'Slutlig allokering kvv'!$B$2:$BX$549,MATCH(AC$2,'Slutlig allokering kvv'!$B$1:$BX$1,0),FALSE)/1,0))</f>
        <v>0</v>
      </c>
      <c r="AD283" s="121">
        <f>IF($D283="","",IFERROR(VLOOKUP($B283,Kraftvärmeprod!$B$1:$BX$549,MATCH(AD$2,Kraftvärmeprod!$B$1:$VX$1,0),FALSE)/1,0)-IFERROR(VLOOKUP($B283,'Slutlig allokering kvv'!$B$2:$BX$549,MATCH(AD$2,'Slutlig allokering kvv'!$B$1:$BX$1,0),FALSE)/1,0))</f>
        <v>0</v>
      </c>
      <c r="AE283" s="121">
        <f>IF($D283="","",IFERROR(VLOOKUP($B283,Miljö!$B$1:$E$550,MATCH("Hjälpel kraftvärme (GWh)",Miljö!$B$1:$E$1,0),FALSE)/1,0)-IFERROR(VLOOKUP($B283,'Slutlig allokering kvv'!$B$2:$BX$549,MATCH(AE$2,'Slutlig allokering kvv'!$B$1:$BX$1,0),FALSE)/1,0))</f>
        <v>19.067299999999996</v>
      </c>
      <c r="AI283" s="121">
        <f t="shared" si="16"/>
        <v>451.4</v>
      </c>
      <c r="AK283" s="121">
        <f>IFERROR(VLOOKUP($B283,'Slutlig allokering kvv'!$B$2:$AX$549,MATCH("Summa slutlig allokerad tillförd energi (utan hjälpel och rökgaskondensering):",'Slutlig allokering kvv'!$B$1:$AX$1,0),FALSE)/1,"")</f>
        <v>514.5</v>
      </c>
      <c r="AM283" s="172">
        <f>IFERROR(1-VLOOKUP($B283,'Slutlig allokering kvv'!$B$2:$AX$549,MATCH("Andel av bränsle i kvv som allokerats till värme, exklusive rökgaskondensering och hjälpel",'Slutlig allokering kvv'!$B$1:$AX$1,0),FALSE),"")</f>
        <v>0.4673361631638886</v>
      </c>
      <c r="AO283" s="172">
        <f t="shared" si="17"/>
        <v>0.4673361631638886</v>
      </c>
      <c r="AP283" s="173">
        <f t="shared" si="18"/>
        <v>0</v>
      </c>
      <c r="AR283" s="172">
        <f t="shared" si="19"/>
        <v>0.40619188623736446</v>
      </c>
    </row>
    <row r="284" spans="1:44" x14ac:dyDescent="0.25">
      <c r="A284" s="171" t="str">
        <f>'Miljövärden för publ företag'!B286</f>
        <v>Vaggeryds Energi AB</v>
      </c>
      <c r="B284" s="171" t="str">
        <f>'Miljövärden för publ företag'!C286</f>
        <v>Skillingaryd</v>
      </c>
      <c r="C284" s="121" t="str">
        <f>IFERROR(VLOOKUP($B284,Kraftvärmeprod!$B$1:$AH$478,MATCH(C$2,Kraftvärmeprod!$B$1:$AG$1,0),FALSE)/1,"")</f>
        <v/>
      </c>
      <c r="D284" s="121" t="str">
        <f>IFERROR(VLOOKUP($B284,Kraftvärmeprod!$B$1:$AH$478,MATCH(D$2,Kraftvärmeprod!$B$1:$AG$1,0),FALSE)/1,"")</f>
        <v/>
      </c>
      <c r="F284" s="121" t="str">
        <f>IF($D284="","",IFERROR(VLOOKUP($B284,Kraftvärmeprod!$B$1:$BX$549,MATCH(F$2,Kraftvärmeprod!$B$1:$VX$1,0),FALSE)/1,0)-IFERROR(VLOOKUP($B284,'Slutlig allokering kvv'!$B$2:$BX$549,MATCH(F$2,'Slutlig allokering kvv'!$B$1:$BX$1,0),FALSE)/1,0))</f>
        <v/>
      </c>
      <c r="G284" s="121" t="str">
        <f>IF($D284="","",IFERROR(VLOOKUP($B284,Kraftvärmeprod!$B$1:$BX$549,MATCH(G$2,Kraftvärmeprod!$B$1:$VX$1,0),FALSE)/1,0)-IFERROR(VLOOKUP($B284,'Slutlig allokering kvv'!$B$2:$BX$549,MATCH(G$2,'Slutlig allokering kvv'!$B$1:$BX$1,0),FALSE)/1,0))</f>
        <v/>
      </c>
      <c r="H284" s="121" t="str">
        <f>IF($D284="","",IFERROR(VLOOKUP($B284,Kraftvärmeprod!$B$1:$BX$549,MATCH(H$2,Kraftvärmeprod!$B$1:$VX$1,0),FALSE)/1,0)-IFERROR(VLOOKUP($B284,'Slutlig allokering kvv'!$B$2:$BX$549,MATCH(H$2,'Slutlig allokering kvv'!$B$1:$BX$1,0),FALSE)/1,0))</f>
        <v/>
      </c>
      <c r="I284" s="121" t="str">
        <f>IF($D284="","",IFERROR(VLOOKUP($B284,Kraftvärmeprod!$B$1:$BX$549,MATCH(I$2,Kraftvärmeprod!$B$1:$VX$1,0),FALSE)/1,0)-IFERROR(VLOOKUP($B284,'Slutlig allokering kvv'!$B$2:$BX$549,MATCH(I$2,'Slutlig allokering kvv'!$B$1:$BX$1,0),FALSE)/1,0))</f>
        <v/>
      </c>
      <c r="J284" s="121" t="str">
        <f>IF($D284="","",IFERROR(VLOOKUP($B284,Kraftvärmeprod!$B$1:$BX$549,MATCH(J$2,Kraftvärmeprod!$B$1:$VX$1,0),FALSE)/1,0)-IFERROR(VLOOKUP($B284,'Slutlig allokering kvv'!$B$2:$BX$549,MATCH(J$2,'Slutlig allokering kvv'!$B$1:$BX$1,0),FALSE)/1,0))</f>
        <v/>
      </c>
      <c r="K284" s="121" t="str">
        <f>IF($D284="","",IFERROR(VLOOKUP($B284,Kraftvärmeprod!$B$1:$BX$549,MATCH(K$2,Kraftvärmeprod!$B$1:$VX$1,0),FALSE)/1,0)-IFERROR(VLOOKUP($B284,'Slutlig allokering kvv'!$B$2:$BX$549,MATCH(K$2,'Slutlig allokering kvv'!$B$1:$BX$1,0),FALSE)/1,0))</f>
        <v/>
      </c>
      <c r="L284" s="121" t="str">
        <f>IF($D284="","",IFERROR(VLOOKUP($B284,Kraftvärmeprod!$B$1:$BX$549,MATCH(L$2,Kraftvärmeprod!$B$1:$VX$1,0),FALSE)/1,0)-IFERROR(VLOOKUP($B284,'Slutlig allokering kvv'!$B$2:$BX$549,MATCH(L$2,'Slutlig allokering kvv'!$B$1:$BX$1,0),FALSE)/1,0))</f>
        <v/>
      </c>
      <c r="M284" s="121" t="str">
        <f>IF($D284="","",IFERROR(VLOOKUP($B284,Kraftvärmeprod!$B$1:$BX$549,MATCH(M$2,Kraftvärmeprod!$B$1:$VX$1,0),FALSE)/1,0)-IFERROR(VLOOKUP($B284,'Slutlig allokering kvv'!$B$2:$BX$549,MATCH(M$2,'Slutlig allokering kvv'!$B$1:$BX$1,0),FALSE)/1,0))</f>
        <v/>
      </c>
      <c r="N284" s="121" t="str">
        <f>IF($D284="","",IFERROR(VLOOKUP($B284,Kraftvärmeprod!$B$1:$BX$549,MATCH(N$2,Kraftvärmeprod!$B$1:$VX$1,0),FALSE)/1,0)-IFERROR(VLOOKUP($B284,'Slutlig allokering kvv'!$B$2:$BX$549,MATCH(N$2,'Slutlig allokering kvv'!$B$1:$BX$1,0),FALSE)/1,0))</f>
        <v/>
      </c>
      <c r="O284" s="121" t="str">
        <f>IF($D284="","",IFERROR(VLOOKUP($B284,Kraftvärmeprod!$B$1:$BX$549,MATCH(O$2,Kraftvärmeprod!$B$1:$VX$1,0),FALSE)/1,0)-IFERROR(VLOOKUP($B284,'Slutlig allokering kvv'!$B$2:$BX$549,MATCH(O$2,'Slutlig allokering kvv'!$B$1:$BX$1,0),FALSE)/1,0))</f>
        <v/>
      </c>
      <c r="P284" s="121" t="str">
        <f>IF($D284="","",IFERROR(VLOOKUP($B284,Kraftvärmeprod!$B$1:$BX$549,MATCH(P$2,Kraftvärmeprod!$B$1:$VX$1,0),FALSE)/1,0)-IFERROR(VLOOKUP($B284,'Slutlig allokering kvv'!$B$2:$BX$549,MATCH(P$2,'Slutlig allokering kvv'!$B$1:$BX$1,0),FALSE)/1,0))</f>
        <v/>
      </c>
      <c r="Q284" s="121" t="str">
        <f>IF($D284="","",IFERROR(VLOOKUP($B284,Kraftvärmeprod!$B$1:$BX$549,MATCH(Q$2,Kraftvärmeprod!$B$1:$VX$1,0),FALSE)/1,0)-IFERROR(VLOOKUP($B284,'Slutlig allokering kvv'!$B$2:$BX$549,MATCH(Q$2,'Slutlig allokering kvv'!$B$1:$BX$1,0),FALSE)/1,0))</f>
        <v/>
      </c>
      <c r="R284" s="121" t="str">
        <f>IF($D284="","",IFERROR(VLOOKUP($B284,Kraftvärmeprod!$B$1:$BX$549,MATCH(R$2,Kraftvärmeprod!$B$1:$VX$1,0),FALSE)/1,0)-IFERROR(VLOOKUP($B284,'Slutlig allokering kvv'!$B$2:$BX$549,MATCH(R$2,'Slutlig allokering kvv'!$B$1:$BX$1,0),FALSE)/1,0))</f>
        <v/>
      </c>
      <c r="S284" s="121" t="str">
        <f>IF($D284="","",IFERROR(VLOOKUP($B284,Kraftvärmeprod!$B$1:$BX$549,MATCH(S$2,Kraftvärmeprod!$B$1:$VX$1,0),FALSE)/1,0)-IFERROR(VLOOKUP($B284,'Slutlig allokering kvv'!$B$2:$BX$549,MATCH(S$2,'Slutlig allokering kvv'!$B$1:$BX$1,0),FALSE)/1,0))</f>
        <v/>
      </c>
      <c r="T284" s="121" t="str">
        <f>IF($D284="","",IFERROR(VLOOKUP($B284,Kraftvärmeprod!$B$1:$BX$549,MATCH(T$2,Kraftvärmeprod!$B$1:$VX$1,0),FALSE)/1,0)-IFERROR(VLOOKUP($B284,'Slutlig allokering kvv'!$B$2:$BX$549,MATCH(T$2,'Slutlig allokering kvv'!$B$1:$BX$1,0),FALSE)/1,0))</f>
        <v/>
      </c>
      <c r="U284" s="121" t="str">
        <f>IF($D284="","",IFERROR(VLOOKUP($B284,Kraftvärmeprod!$B$1:$BX$549,MATCH(U$2,Kraftvärmeprod!$B$1:$VX$1,0),FALSE)/1,0)-IFERROR(VLOOKUP($B284,'Slutlig allokering kvv'!$B$2:$BX$549,MATCH(U$2,'Slutlig allokering kvv'!$B$1:$BX$1,0),FALSE)/1,0))</f>
        <v/>
      </c>
      <c r="V284" s="121" t="str">
        <f>IF($D284="","",IFERROR(VLOOKUP($B284,Kraftvärmeprod!$B$1:$BX$549,MATCH(V$2,Kraftvärmeprod!$B$1:$VX$1,0),FALSE)/1,0)-IFERROR(VLOOKUP($B284,'Slutlig allokering kvv'!$B$2:$BX$549,MATCH(V$2,'Slutlig allokering kvv'!$B$1:$BX$1,0),FALSE)/1,0))</f>
        <v/>
      </c>
      <c r="W284" s="121" t="str">
        <f>IF($D284="","",IFERROR(VLOOKUP($B284,Kraftvärmeprod!$B$1:$BX$549,MATCH(W$2,Kraftvärmeprod!$B$1:$VX$1,0),FALSE)/1,0)-IFERROR(VLOOKUP($B284,'Slutlig allokering kvv'!$B$2:$BX$549,MATCH(W$2,'Slutlig allokering kvv'!$B$1:$BX$1,0),FALSE)/1,0))</f>
        <v/>
      </c>
      <c r="X284" s="121" t="str">
        <f>IF($D284="","",IFERROR(VLOOKUP($B284,Kraftvärmeprod!$B$1:$BX$549,MATCH(X$2,Kraftvärmeprod!$B$1:$VX$1,0),FALSE)/1,0)-IFERROR(VLOOKUP($B284,'Slutlig allokering kvv'!$B$2:$BX$549,MATCH(X$2,'Slutlig allokering kvv'!$B$1:$BX$1,0),FALSE)/1,0))</f>
        <v/>
      </c>
      <c r="Y284" s="121" t="str">
        <f>IF($D284="","",IFERROR(VLOOKUP($B284,Kraftvärmeprod!$B$1:$BX$549,MATCH(Y$2,Kraftvärmeprod!$B$1:$VX$1,0),FALSE)/1,0)-IFERROR(VLOOKUP($B284,'Slutlig allokering kvv'!$B$2:$BX$549,MATCH(Y$2,'Slutlig allokering kvv'!$B$1:$BX$1,0),FALSE)/1,0))</f>
        <v/>
      </c>
      <c r="Z284" s="121" t="str">
        <f>IF($D284="","",IFERROR(VLOOKUP($B284,Kraftvärmeprod!$B$1:$BX$549,MATCH(Z$2,Kraftvärmeprod!$B$1:$VX$1,0),FALSE)/1,0)-IFERROR(VLOOKUP($B284,'Slutlig allokering kvv'!$B$2:$BX$549,MATCH(Z$2,'Slutlig allokering kvv'!$B$1:$BX$1,0),FALSE)/1,0))</f>
        <v/>
      </c>
      <c r="AA284" s="121" t="str">
        <f>IF($D284="","",IFERROR(VLOOKUP($B284,Kraftvärmeprod!$B$1:$BX$549,MATCH(AA$2,Kraftvärmeprod!$B$1:$VX$1,0),FALSE)/1,0)-IFERROR(VLOOKUP($B284,'Slutlig allokering kvv'!$B$2:$BX$549,MATCH(AA$2,'Slutlig allokering kvv'!$B$1:$BX$1,0),FALSE)/1,0))</f>
        <v/>
      </c>
      <c r="AB284" s="121" t="str">
        <f>IF($D284="","",IFERROR(VLOOKUP($B284,Kraftvärmeprod!$B$1:$BX$549,MATCH(AB$2,Kraftvärmeprod!$B$1:$VX$1,0),FALSE)/1,0)-IFERROR(VLOOKUP($B284,'Slutlig allokering kvv'!$B$2:$BX$549,MATCH(AB$2,'Slutlig allokering kvv'!$B$1:$BX$1,0),FALSE)/1,0))</f>
        <v/>
      </c>
      <c r="AC284" s="121" t="str">
        <f>IF($D284="","",IFERROR(VLOOKUP($B284,Kraftvärmeprod!$B$1:$BX$549,MATCH(AC$2,Kraftvärmeprod!$B$1:$VX$1,0),FALSE)/1,0)-IFERROR(VLOOKUP($B284,'Slutlig allokering kvv'!$B$2:$BX$549,MATCH(AC$2,'Slutlig allokering kvv'!$B$1:$BX$1,0),FALSE)/1,0))</f>
        <v/>
      </c>
      <c r="AD284" s="121" t="str">
        <f>IF($D284="","",IFERROR(VLOOKUP($B284,Kraftvärmeprod!$B$1:$BX$549,MATCH(AD$2,Kraftvärmeprod!$B$1:$VX$1,0),FALSE)/1,0)-IFERROR(VLOOKUP($B284,'Slutlig allokering kvv'!$B$2:$BX$549,MATCH(AD$2,'Slutlig allokering kvv'!$B$1:$BX$1,0),FALSE)/1,0))</f>
        <v/>
      </c>
      <c r="AE284" s="121" t="str">
        <f>IF($D284="","",IFERROR(VLOOKUP($B284,Miljö!$B$1:$E$550,MATCH("Hjälpel kraftvärme (GWh)",Miljö!$B$1:$E$1,0),FALSE)/1,0)-IFERROR(VLOOKUP($B284,'Slutlig allokering kvv'!$B$2:$BX$549,MATCH(AE$2,'Slutlig allokering kvv'!$B$1:$BX$1,0),FALSE)/1,0))</f>
        <v/>
      </c>
      <c r="AI284" s="121">
        <f t="shared" si="16"/>
        <v>0</v>
      </c>
      <c r="AK284" s="121">
        <f>IFERROR(VLOOKUP($B284,'Slutlig allokering kvv'!$B$2:$AX$549,MATCH("Summa slutlig allokerad tillförd energi (utan hjälpel och rökgaskondensering):",'Slutlig allokering kvv'!$B$1:$AX$1,0),FALSE)/1,"")</f>
        <v>0</v>
      </c>
      <c r="AM284" s="172" t="str">
        <f>IFERROR(1-VLOOKUP($B284,'Slutlig allokering kvv'!$B$2:$AX$549,MATCH("Andel av bränsle i kvv som allokerats till värme, exklusive rökgaskondensering och hjälpel",'Slutlig allokering kvv'!$B$1:$AX$1,0),FALSE),"")</f>
        <v/>
      </c>
      <c r="AO284" s="172" t="str">
        <f t="shared" si="17"/>
        <v/>
      </c>
      <c r="AP284" s="173" t="str">
        <f t="shared" si="18"/>
        <v/>
      </c>
      <c r="AR284" s="172" t="str">
        <f t="shared" si="19"/>
        <v/>
      </c>
    </row>
    <row r="285" spans="1:44" x14ac:dyDescent="0.25">
      <c r="A285" s="171" t="str">
        <f>'Miljövärden för publ företag'!B287</f>
        <v>Vaggeryds Energi AB</v>
      </c>
      <c r="B285" s="171" t="str">
        <f>'Miljövärden för publ företag'!C287</f>
        <v>Vaggeryd</v>
      </c>
      <c r="C285" s="121" t="str">
        <f>IFERROR(VLOOKUP($B285,Kraftvärmeprod!$B$1:$AH$478,MATCH(C$2,Kraftvärmeprod!$B$1:$AG$1,0),FALSE)/1,"")</f>
        <v/>
      </c>
      <c r="D285" s="121" t="str">
        <f>IFERROR(VLOOKUP($B285,Kraftvärmeprod!$B$1:$AH$478,MATCH(D$2,Kraftvärmeprod!$B$1:$AG$1,0),FALSE)/1,"")</f>
        <v/>
      </c>
      <c r="F285" s="121" t="str">
        <f>IF($D285="","",IFERROR(VLOOKUP($B285,Kraftvärmeprod!$B$1:$BX$549,MATCH(F$2,Kraftvärmeprod!$B$1:$VX$1,0),FALSE)/1,0)-IFERROR(VLOOKUP($B285,'Slutlig allokering kvv'!$B$2:$BX$549,MATCH(F$2,'Slutlig allokering kvv'!$B$1:$BX$1,0),FALSE)/1,0))</f>
        <v/>
      </c>
      <c r="G285" s="121" t="str">
        <f>IF($D285="","",IFERROR(VLOOKUP($B285,Kraftvärmeprod!$B$1:$BX$549,MATCH(G$2,Kraftvärmeprod!$B$1:$VX$1,0),FALSE)/1,0)-IFERROR(VLOOKUP($B285,'Slutlig allokering kvv'!$B$2:$BX$549,MATCH(G$2,'Slutlig allokering kvv'!$B$1:$BX$1,0),FALSE)/1,0))</f>
        <v/>
      </c>
      <c r="H285" s="121" t="str">
        <f>IF($D285="","",IFERROR(VLOOKUP($B285,Kraftvärmeprod!$B$1:$BX$549,MATCH(H$2,Kraftvärmeprod!$B$1:$VX$1,0),FALSE)/1,0)-IFERROR(VLOOKUP($B285,'Slutlig allokering kvv'!$B$2:$BX$549,MATCH(H$2,'Slutlig allokering kvv'!$B$1:$BX$1,0),FALSE)/1,0))</f>
        <v/>
      </c>
      <c r="I285" s="121" t="str">
        <f>IF($D285="","",IFERROR(VLOOKUP($B285,Kraftvärmeprod!$B$1:$BX$549,MATCH(I$2,Kraftvärmeprod!$B$1:$VX$1,0),FALSE)/1,0)-IFERROR(VLOOKUP($B285,'Slutlig allokering kvv'!$B$2:$BX$549,MATCH(I$2,'Slutlig allokering kvv'!$B$1:$BX$1,0),FALSE)/1,0))</f>
        <v/>
      </c>
      <c r="J285" s="121" t="str">
        <f>IF($D285="","",IFERROR(VLOOKUP($B285,Kraftvärmeprod!$B$1:$BX$549,MATCH(J$2,Kraftvärmeprod!$B$1:$VX$1,0),FALSE)/1,0)-IFERROR(VLOOKUP($B285,'Slutlig allokering kvv'!$B$2:$BX$549,MATCH(J$2,'Slutlig allokering kvv'!$B$1:$BX$1,0),FALSE)/1,0))</f>
        <v/>
      </c>
      <c r="K285" s="121" t="str">
        <f>IF($D285="","",IFERROR(VLOOKUP($B285,Kraftvärmeprod!$B$1:$BX$549,MATCH(K$2,Kraftvärmeprod!$B$1:$VX$1,0),FALSE)/1,0)-IFERROR(VLOOKUP($B285,'Slutlig allokering kvv'!$B$2:$BX$549,MATCH(K$2,'Slutlig allokering kvv'!$B$1:$BX$1,0),FALSE)/1,0))</f>
        <v/>
      </c>
      <c r="L285" s="121" t="str">
        <f>IF($D285="","",IFERROR(VLOOKUP($B285,Kraftvärmeprod!$B$1:$BX$549,MATCH(L$2,Kraftvärmeprod!$B$1:$VX$1,0),FALSE)/1,0)-IFERROR(VLOOKUP($B285,'Slutlig allokering kvv'!$B$2:$BX$549,MATCH(L$2,'Slutlig allokering kvv'!$B$1:$BX$1,0),FALSE)/1,0))</f>
        <v/>
      </c>
      <c r="M285" s="121" t="str">
        <f>IF($D285="","",IFERROR(VLOOKUP($B285,Kraftvärmeprod!$B$1:$BX$549,MATCH(M$2,Kraftvärmeprod!$B$1:$VX$1,0),FALSE)/1,0)-IFERROR(VLOOKUP($B285,'Slutlig allokering kvv'!$B$2:$BX$549,MATCH(M$2,'Slutlig allokering kvv'!$B$1:$BX$1,0),FALSE)/1,0))</f>
        <v/>
      </c>
      <c r="N285" s="121" t="str">
        <f>IF($D285="","",IFERROR(VLOOKUP($B285,Kraftvärmeprod!$B$1:$BX$549,MATCH(N$2,Kraftvärmeprod!$B$1:$VX$1,0),FALSE)/1,0)-IFERROR(VLOOKUP($B285,'Slutlig allokering kvv'!$B$2:$BX$549,MATCH(N$2,'Slutlig allokering kvv'!$B$1:$BX$1,0),FALSE)/1,0))</f>
        <v/>
      </c>
      <c r="O285" s="121" t="str">
        <f>IF($D285="","",IFERROR(VLOOKUP($B285,Kraftvärmeprod!$B$1:$BX$549,MATCH(O$2,Kraftvärmeprod!$B$1:$VX$1,0),FALSE)/1,0)-IFERROR(VLOOKUP($B285,'Slutlig allokering kvv'!$B$2:$BX$549,MATCH(O$2,'Slutlig allokering kvv'!$B$1:$BX$1,0),FALSE)/1,0))</f>
        <v/>
      </c>
      <c r="P285" s="121" t="str">
        <f>IF($D285="","",IFERROR(VLOOKUP($B285,Kraftvärmeprod!$B$1:$BX$549,MATCH(P$2,Kraftvärmeprod!$B$1:$VX$1,0),FALSE)/1,0)-IFERROR(VLOOKUP($B285,'Slutlig allokering kvv'!$B$2:$BX$549,MATCH(P$2,'Slutlig allokering kvv'!$B$1:$BX$1,0),FALSE)/1,0))</f>
        <v/>
      </c>
      <c r="Q285" s="121" t="str">
        <f>IF($D285="","",IFERROR(VLOOKUP($B285,Kraftvärmeprod!$B$1:$BX$549,MATCH(Q$2,Kraftvärmeprod!$B$1:$VX$1,0),FALSE)/1,0)-IFERROR(VLOOKUP($B285,'Slutlig allokering kvv'!$B$2:$BX$549,MATCH(Q$2,'Slutlig allokering kvv'!$B$1:$BX$1,0),FALSE)/1,0))</f>
        <v/>
      </c>
      <c r="R285" s="121" t="str">
        <f>IF($D285="","",IFERROR(VLOOKUP($B285,Kraftvärmeprod!$B$1:$BX$549,MATCH(R$2,Kraftvärmeprod!$B$1:$VX$1,0),FALSE)/1,0)-IFERROR(VLOOKUP($B285,'Slutlig allokering kvv'!$B$2:$BX$549,MATCH(R$2,'Slutlig allokering kvv'!$B$1:$BX$1,0),FALSE)/1,0))</f>
        <v/>
      </c>
      <c r="S285" s="121" t="str">
        <f>IF($D285="","",IFERROR(VLOOKUP($B285,Kraftvärmeprod!$B$1:$BX$549,MATCH(S$2,Kraftvärmeprod!$B$1:$VX$1,0),FALSE)/1,0)-IFERROR(VLOOKUP($B285,'Slutlig allokering kvv'!$B$2:$BX$549,MATCH(S$2,'Slutlig allokering kvv'!$B$1:$BX$1,0),FALSE)/1,0))</f>
        <v/>
      </c>
      <c r="T285" s="121" t="str">
        <f>IF($D285="","",IFERROR(VLOOKUP($B285,Kraftvärmeprod!$B$1:$BX$549,MATCH(T$2,Kraftvärmeprod!$B$1:$VX$1,0),FALSE)/1,0)-IFERROR(VLOOKUP($B285,'Slutlig allokering kvv'!$B$2:$BX$549,MATCH(T$2,'Slutlig allokering kvv'!$B$1:$BX$1,0),FALSE)/1,0))</f>
        <v/>
      </c>
      <c r="U285" s="121" t="str">
        <f>IF($D285="","",IFERROR(VLOOKUP($B285,Kraftvärmeprod!$B$1:$BX$549,MATCH(U$2,Kraftvärmeprod!$B$1:$VX$1,0),FALSE)/1,0)-IFERROR(VLOOKUP($B285,'Slutlig allokering kvv'!$B$2:$BX$549,MATCH(U$2,'Slutlig allokering kvv'!$B$1:$BX$1,0),FALSE)/1,0))</f>
        <v/>
      </c>
      <c r="V285" s="121" t="str">
        <f>IF($D285="","",IFERROR(VLOOKUP($B285,Kraftvärmeprod!$B$1:$BX$549,MATCH(V$2,Kraftvärmeprod!$B$1:$VX$1,0),FALSE)/1,0)-IFERROR(VLOOKUP($B285,'Slutlig allokering kvv'!$B$2:$BX$549,MATCH(V$2,'Slutlig allokering kvv'!$B$1:$BX$1,0),FALSE)/1,0))</f>
        <v/>
      </c>
      <c r="W285" s="121" t="str">
        <f>IF($D285="","",IFERROR(VLOOKUP($B285,Kraftvärmeprod!$B$1:$BX$549,MATCH(W$2,Kraftvärmeprod!$B$1:$VX$1,0),FALSE)/1,0)-IFERROR(VLOOKUP($B285,'Slutlig allokering kvv'!$B$2:$BX$549,MATCH(W$2,'Slutlig allokering kvv'!$B$1:$BX$1,0),FALSE)/1,0))</f>
        <v/>
      </c>
      <c r="X285" s="121" t="str">
        <f>IF($D285="","",IFERROR(VLOOKUP($B285,Kraftvärmeprod!$B$1:$BX$549,MATCH(X$2,Kraftvärmeprod!$B$1:$VX$1,0),FALSE)/1,0)-IFERROR(VLOOKUP($B285,'Slutlig allokering kvv'!$B$2:$BX$549,MATCH(X$2,'Slutlig allokering kvv'!$B$1:$BX$1,0),FALSE)/1,0))</f>
        <v/>
      </c>
      <c r="Y285" s="121" t="str">
        <f>IF($D285="","",IFERROR(VLOOKUP($B285,Kraftvärmeprod!$B$1:$BX$549,MATCH(Y$2,Kraftvärmeprod!$B$1:$VX$1,0),FALSE)/1,0)-IFERROR(VLOOKUP($B285,'Slutlig allokering kvv'!$B$2:$BX$549,MATCH(Y$2,'Slutlig allokering kvv'!$B$1:$BX$1,0),FALSE)/1,0))</f>
        <v/>
      </c>
      <c r="Z285" s="121" t="str">
        <f>IF($D285="","",IFERROR(VLOOKUP($B285,Kraftvärmeprod!$B$1:$BX$549,MATCH(Z$2,Kraftvärmeprod!$B$1:$VX$1,0),FALSE)/1,0)-IFERROR(VLOOKUP($B285,'Slutlig allokering kvv'!$B$2:$BX$549,MATCH(Z$2,'Slutlig allokering kvv'!$B$1:$BX$1,0),FALSE)/1,0))</f>
        <v/>
      </c>
      <c r="AA285" s="121" t="str">
        <f>IF($D285="","",IFERROR(VLOOKUP($B285,Kraftvärmeprod!$B$1:$BX$549,MATCH(AA$2,Kraftvärmeprod!$B$1:$VX$1,0),FALSE)/1,0)-IFERROR(VLOOKUP($B285,'Slutlig allokering kvv'!$B$2:$BX$549,MATCH(AA$2,'Slutlig allokering kvv'!$B$1:$BX$1,0),FALSE)/1,0))</f>
        <v/>
      </c>
      <c r="AB285" s="121" t="str">
        <f>IF($D285="","",IFERROR(VLOOKUP($B285,Kraftvärmeprod!$B$1:$BX$549,MATCH(AB$2,Kraftvärmeprod!$B$1:$VX$1,0),FALSE)/1,0)-IFERROR(VLOOKUP($B285,'Slutlig allokering kvv'!$B$2:$BX$549,MATCH(AB$2,'Slutlig allokering kvv'!$B$1:$BX$1,0),FALSE)/1,0))</f>
        <v/>
      </c>
      <c r="AC285" s="121" t="str">
        <f>IF($D285="","",IFERROR(VLOOKUP($B285,Kraftvärmeprod!$B$1:$BX$549,MATCH(AC$2,Kraftvärmeprod!$B$1:$VX$1,0),FALSE)/1,0)-IFERROR(VLOOKUP($B285,'Slutlig allokering kvv'!$B$2:$BX$549,MATCH(AC$2,'Slutlig allokering kvv'!$B$1:$BX$1,0),FALSE)/1,0))</f>
        <v/>
      </c>
      <c r="AD285" s="121" t="str">
        <f>IF($D285="","",IFERROR(VLOOKUP($B285,Kraftvärmeprod!$B$1:$BX$549,MATCH(AD$2,Kraftvärmeprod!$B$1:$VX$1,0),FALSE)/1,0)-IFERROR(VLOOKUP($B285,'Slutlig allokering kvv'!$B$2:$BX$549,MATCH(AD$2,'Slutlig allokering kvv'!$B$1:$BX$1,0),FALSE)/1,0))</f>
        <v/>
      </c>
      <c r="AE285" s="121" t="str">
        <f>IF($D285="","",IFERROR(VLOOKUP($B285,Miljö!$B$1:$E$550,MATCH("Hjälpel kraftvärme (GWh)",Miljö!$B$1:$E$1,0),FALSE)/1,0)-IFERROR(VLOOKUP($B285,'Slutlig allokering kvv'!$B$2:$BX$549,MATCH(AE$2,'Slutlig allokering kvv'!$B$1:$BX$1,0),FALSE)/1,0))</f>
        <v/>
      </c>
      <c r="AI285" s="121">
        <f t="shared" si="16"/>
        <v>0</v>
      </c>
      <c r="AK285" s="121">
        <f>IFERROR(VLOOKUP($B285,'Slutlig allokering kvv'!$B$2:$AX$549,MATCH("Summa slutlig allokerad tillförd energi (utan hjälpel och rökgaskondensering):",'Slutlig allokering kvv'!$B$1:$AX$1,0),FALSE)/1,"")</f>
        <v>0</v>
      </c>
      <c r="AM285" s="172" t="str">
        <f>IFERROR(1-VLOOKUP($B285,'Slutlig allokering kvv'!$B$2:$AX$549,MATCH("Andel av bränsle i kvv som allokerats till värme, exklusive rökgaskondensering och hjälpel",'Slutlig allokering kvv'!$B$1:$AX$1,0),FALSE),"")</f>
        <v/>
      </c>
      <c r="AO285" s="172" t="str">
        <f t="shared" si="17"/>
        <v/>
      </c>
      <c r="AP285" s="173" t="str">
        <f t="shared" si="18"/>
        <v/>
      </c>
      <c r="AR285" s="172" t="str">
        <f t="shared" si="19"/>
        <v/>
      </c>
    </row>
    <row r="286" spans="1:44" x14ac:dyDescent="0.25">
      <c r="A286" s="171" t="str">
        <f>'Miljövärden för publ företag'!B288</f>
        <v>Vara Energi Värme AB</v>
      </c>
      <c r="B286" s="171" t="str">
        <f>'Miljövärden för publ företag'!C288</f>
        <v>Vara</v>
      </c>
      <c r="C286" s="121" t="str">
        <f>IFERROR(VLOOKUP($B286,Kraftvärmeprod!$B$1:$AH$478,MATCH(C$2,Kraftvärmeprod!$B$1:$AG$1,0),FALSE)/1,"")</f>
        <v/>
      </c>
      <c r="D286" s="121" t="str">
        <f>IFERROR(VLOOKUP($B286,Kraftvärmeprod!$B$1:$AH$478,MATCH(D$2,Kraftvärmeprod!$B$1:$AG$1,0),FALSE)/1,"")</f>
        <v/>
      </c>
      <c r="F286" s="121" t="str">
        <f>IF($D286="","",IFERROR(VLOOKUP($B286,Kraftvärmeprod!$B$1:$BX$549,MATCH(F$2,Kraftvärmeprod!$B$1:$VX$1,0),FALSE)/1,0)-IFERROR(VLOOKUP($B286,'Slutlig allokering kvv'!$B$2:$BX$549,MATCH(F$2,'Slutlig allokering kvv'!$B$1:$BX$1,0),FALSE)/1,0))</f>
        <v/>
      </c>
      <c r="G286" s="121" t="str">
        <f>IF($D286="","",IFERROR(VLOOKUP($B286,Kraftvärmeprod!$B$1:$BX$549,MATCH(G$2,Kraftvärmeprod!$B$1:$VX$1,0),FALSE)/1,0)-IFERROR(VLOOKUP($B286,'Slutlig allokering kvv'!$B$2:$BX$549,MATCH(G$2,'Slutlig allokering kvv'!$B$1:$BX$1,0),FALSE)/1,0))</f>
        <v/>
      </c>
      <c r="H286" s="121" t="str">
        <f>IF($D286="","",IFERROR(VLOOKUP($B286,Kraftvärmeprod!$B$1:$BX$549,MATCH(H$2,Kraftvärmeprod!$B$1:$VX$1,0),FALSE)/1,0)-IFERROR(VLOOKUP($B286,'Slutlig allokering kvv'!$B$2:$BX$549,MATCH(H$2,'Slutlig allokering kvv'!$B$1:$BX$1,0),FALSE)/1,0))</f>
        <v/>
      </c>
      <c r="I286" s="121" t="str">
        <f>IF($D286="","",IFERROR(VLOOKUP($B286,Kraftvärmeprod!$B$1:$BX$549,MATCH(I$2,Kraftvärmeprod!$B$1:$VX$1,0),FALSE)/1,0)-IFERROR(VLOOKUP($B286,'Slutlig allokering kvv'!$B$2:$BX$549,MATCH(I$2,'Slutlig allokering kvv'!$B$1:$BX$1,0),FALSE)/1,0))</f>
        <v/>
      </c>
      <c r="J286" s="121" t="str">
        <f>IF($D286="","",IFERROR(VLOOKUP($B286,Kraftvärmeprod!$B$1:$BX$549,MATCH(J$2,Kraftvärmeprod!$B$1:$VX$1,0),FALSE)/1,0)-IFERROR(VLOOKUP($B286,'Slutlig allokering kvv'!$B$2:$BX$549,MATCH(J$2,'Slutlig allokering kvv'!$B$1:$BX$1,0),FALSE)/1,0))</f>
        <v/>
      </c>
      <c r="K286" s="121" t="str">
        <f>IF($D286="","",IFERROR(VLOOKUP($B286,Kraftvärmeprod!$B$1:$BX$549,MATCH(K$2,Kraftvärmeprod!$B$1:$VX$1,0),FALSE)/1,0)-IFERROR(VLOOKUP($B286,'Slutlig allokering kvv'!$B$2:$BX$549,MATCH(K$2,'Slutlig allokering kvv'!$B$1:$BX$1,0),FALSE)/1,0))</f>
        <v/>
      </c>
      <c r="L286" s="121" t="str">
        <f>IF($D286="","",IFERROR(VLOOKUP($B286,Kraftvärmeprod!$B$1:$BX$549,MATCH(L$2,Kraftvärmeprod!$B$1:$VX$1,0),FALSE)/1,0)-IFERROR(VLOOKUP($B286,'Slutlig allokering kvv'!$B$2:$BX$549,MATCH(L$2,'Slutlig allokering kvv'!$B$1:$BX$1,0),FALSE)/1,0))</f>
        <v/>
      </c>
      <c r="M286" s="121" t="str">
        <f>IF($D286="","",IFERROR(VLOOKUP($B286,Kraftvärmeprod!$B$1:$BX$549,MATCH(M$2,Kraftvärmeprod!$B$1:$VX$1,0),FALSE)/1,0)-IFERROR(VLOOKUP($B286,'Slutlig allokering kvv'!$B$2:$BX$549,MATCH(M$2,'Slutlig allokering kvv'!$B$1:$BX$1,0),FALSE)/1,0))</f>
        <v/>
      </c>
      <c r="N286" s="121" t="str">
        <f>IF($D286="","",IFERROR(VLOOKUP($B286,Kraftvärmeprod!$B$1:$BX$549,MATCH(N$2,Kraftvärmeprod!$B$1:$VX$1,0),FALSE)/1,0)-IFERROR(VLOOKUP($B286,'Slutlig allokering kvv'!$B$2:$BX$549,MATCH(N$2,'Slutlig allokering kvv'!$B$1:$BX$1,0),FALSE)/1,0))</f>
        <v/>
      </c>
      <c r="O286" s="121" t="str">
        <f>IF($D286="","",IFERROR(VLOOKUP($B286,Kraftvärmeprod!$B$1:$BX$549,MATCH(O$2,Kraftvärmeprod!$B$1:$VX$1,0),FALSE)/1,0)-IFERROR(VLOOKUP($B286,'Slutlig allokering kvv'!$B$2:$BX$549,MATCH(O$2,'Slutlig allokering kvv'!$B$1:$BX$1,0),FALSE)/1,0))</f>
        <v/>
      </c>
      <c r="P286" s="121" t="str">
        <f>IF($D286="","",IFERROR(VLOOKUP($B286,Kraftvärmeprod!$B$1:$BX$549,MATCH(P$2,Kraftvärmeprod!$B$1:$VX$1,0),FALSE)/1,0)-IFERROR(VLOOKUP($B286,'Slutlig allokering kvv'!$B$2:$BX$549,MATCH(P$2,'Slutlig allokering kvv'!$B$1:$BX$1,0),FALSE)/1,0))</f>
        <v/>
      </c>
      <c r="Q286" s="121" t="str">
        <f>IF($D286="","",IFERROR(VLOOKUP($B286,Kraftvärmeprod!$B$1:$BX$549,MATCH(Q$2,Kraftvärmeprod!$B$1:$VX$1,0),FALSE)/1,0)-IFERROR(VLOOKUP($B286,'Slutlig allokering kvv'!$B$2:$BX$549,MATCH(Q$2,'Slutlig allokering kvv'!$B$1:$BX$1,0),FALSE)/1,0))</f>
        <v/>
      </c>
      <c r="R286" s="121" t="str">
        <f>IF($D286="","",IFERROR(VLOOKUP($B286,Kraftvärmeprod!$B$1:$BX$549,MATCH(R$2,Kraftvärmeprod!$B$1:$VX$1,0),FALSE)/1,0)-IFERROR(VLOOKUP($B286,'Slutlig allokering kvv'!$B$2:$BX$549,MATCH(R$2,'Slutlig allokering kvv'!$B$1:$BX$1,0),FALSE)/1,0))</f>
        <v/>
      </c>
      <c r="S286" s="121" t="str">
        <f>IF($D286="","",IFERROR(VLOOKUP($B286,Kraftvärmeprod!$B$1:$BX$549,MATCH(S$2,Kraftvärmeprod!$B$1:$VX$1,0),FALSE)/1,0)-IFERROR(VLOOKUP($B286,'Slutlig allokering kvv'!$B$2:$BX$549,MATCH(S$2,'Slutlig allokering kvv'!$B$1:$BX$1,0),FALSE)/1,0))</f>
        <v/>
      </c>
      <c r="T286" s="121" t="str">
        <f>IF($D286="","",IFERROR(VLOOKUP($B286,Kraftvärmeprod!$B$1:$BX$549,MATCH(T$2,Kraftvärmeprod!$B$1:$VX$1,0),FALSE)/1,0)-IFERROR(VLOOKUP($B286,'Slutlig allokering kvv'!$B$2:$BX$549,MATCH(T$2,'Slutlig allokering kvv'!$B$1:$BX$1,0),FALSE)/1,0))</f>
        <v/>
      </c>
      <c r="U286" s="121" t="str">
        <f>IF($D286="","",IFERROR(VLOOKUP($B286,Kraftvärmeprod!$B$1:$BX$549,MATCH(U$2,Kraftvärmeprod!$B$1:$VX$1,0),FALSE)/1,0)-IFERROR(VLOOKUP($B286,'Slutlig allokering kvv'!$B$2:$BX$549,MATCH(U$2,'Slutlig allokering kvv'!$B$1:$BX$1,0),FALSE)/1,0))</f>
        <v/>
      </c>
      <c r="V286" s="121" t="str">
        <f>IF($D286="","",IFERROR(VLOOKUP($B286,Kraftvärmeprod!$B$1:$BX$549,MATCH(V$2,Kraftvärmeprod!$B$1:$VX$1,0),FALSE)/1,0)-IFERROR(VLOOKUP($B286,'Slutlig allokering kvv'!$B$2:$BX$549,MATCH(V$2,'Slutlig allokering kvv'!$B$1:$BX$1,0),FALSE)/1,0))</f>
        <v/>
      </c>
      <c r="W286" s="121" t="str">
        <f>IF($D286="","",IFERROR(VLOOKUP($B286,Kraftvärmeprod!$B$1:$BX$549,MATCH(W$2,Kraftvärmeprod!$B$1:$VX$1,0),FALSE)/1,0)-IFERROR(VLOOKUP($B286,'Slutlig allokering kvv'!$B$2:$BX$549,MATCH(W$2,'Slutlig allokering kvv'!$B$1:$BX$1,0),FALSE)/1,0))</f>
        <v/>
      </c>
      <c r="X286" s="121" t="str">
        <f>IF($D286="","",IFERROR(VLOOKUP($B286,Kraftvärmeprod!$B$1:$BX$549,MATCH(X$2,Kraftvärmeprod!$B$1:$VX$1,0),FALSE)/1,0)-IFERROR(VLOOKUP($B286,'Slutlig allokering kvv'!$B$2:$BX$549,MATCH(X$2,'Slutlig allokering kvv'!$B$1:$BX$1,0),FALSE)/1,0))</f>
        <v/>
      </c>
      <c r="Y286" s="121" t="str">
        <f>IF($D286="","",IFERROR(VLOOKUP($B286,Kraftvärmeprod!$B$1:$BX$549,MATCH(Y$2,Kraftvärmeprod!$B$1:$VX$1,0),FALSE)/1,0)-IFERROR(VLOOKUP($B286,'Slutlig allokering kvv'!$B$2:$BX$549,MATCH(Y$2,'Slutlig allokering kvv'!$B$1:$BX$1,0),FALSE)/1,0))</f>
        <v/>
      </c>
      <c r="Z286" s="121" t="str">
        <f>IF($D286="","",IFERROR(VLOOKUP($B286,Kraftvärmeprod!$B$1:$BX$549,MATCH(Z$2,Kraftvärmeprod!$B$1:$VX$1,0),FALSE)/1,0)-IFERROR(VLOOKUP($B286,'Slutlig allokering kvv'!$B$2:$BX$549,MATCH(Z$2,'Slutlig allokering kvv'!$B$1:$BX$1,0),FALSE)/1,0))</f>
        <v/>
      </c>
      <c r="AA286" s="121" t="str">
        <f>IF($D286="","",IFERROR(VLOOKUP($B286,Kraftvärmeprod!$B$1:$BX$549,MATCH(AA$2,Kraftvärmeprod!$B$1:$VX$1,0),FALSE)/1,0)-IFERROR(VLOOKUP($B286,'Slutlig allokering kvv'!$B$2:$BX$549,MATCH(AA$2,'Slutlig allokering kvv'!$B$1:$BX$1,0),FALSE)/1,0))</f>
        <v/>
      </c>
      <c r="AB286" s="121" t="str">
        <f>IF($D286="","",IFERROR(VLOOKUP($B286,Kraftvärmeprod!$B$1:$BX$549,MATCH(AB$2,Kraftvärmeprod!$B$1:$VX$1,0),FALSE)/1,0)-IFERROR(VLOOKUP($B286,'Slutlig allokering kvv'!$B$2:$BX$549,MATCH(AB$2,'Slutlig allokering kvv'!$B$1:$BX$1,0),FALSE)/1,0))</f>
        <v/>
      </c>
      <c r="AC286" s="121" t="str">
        <f>IF($D286="","",IFERROR(VLOOKUP($B286,Kraftvärmeprod!$B$1:$BX$549,MATCH(AC$2,Kraftvärmeprod!$B$1:$VX$1,0),FALSE)/1,0)-IFERROR(VLOOKUP($B286,'Slutlig allokering kvv'!$B$2:$BX$549,MATCH(AC$2,'Slutlig allokering kvv'!$B$1:$BX$1,0),FALSE)/1,0))</f>
        <v/>
      </c>
      <c r="AD286" s="121" t="str">
        <f>IF($D286="","",IFERROR(VLOOKUP($B286,Kraftvärmeprod!$B$1:$BX$549,MATCH(AD$2,Kraftvärmeprod!$B$1:$VX$1,0),FALSE)/1,0)-IFERROR(VLOOKUP($B286,'Slutlig allokering kvv'!$B$2:$BX$549,MATCH(AD$2,'Slutlig allokering kvv'!$B$1:$BX$1,0),FALSE)/1,0))</f>
        <v/>
      </c>
      <c r="AE286" s="121" t="str">
        <f>IF($D286="","",IFERROR(VLOOKUP($B286,Miljö!$B$1:$E$550,MATCH("Hjälpel kraftvärme (GWh)",Miljö!$B$1:$E$1,0),FALSE)/1,0)-IFERROR(VLOOKUP($B286,'Slutlig allokering kvv'!$B$2:$BX$549,MATCH(AE$2,'Slutlig allokering kvv'!$B$1:$BX$1,0),FALSE)/1,0))</f>
        <v/>
      </c>
      <c r="AI286" s="121">
        <f t="shared" si="16"/>
        <v>0</v>
      </c>
      <c r="AK286" s="121">
        <f>IFERROR(VLOOKUP($B286,'Slutlig allokering kvv'!$B$2:$AX$549,MATCH("Summa slutlig allokerad tillförd energi (utan hjälpel och rökgaskondensering):",'Slutlig allokering kvv'!$B$1:$AX$1,0),FALSE)/1,"")</f>
        <v>0</v>
      </c>
      <c r="AM286" s="172" t="str">
        <f>IFERROR(1-VLOOKUP($B286,'Slutlig allokering kvv'!$B$2:$AX$549,MATCH("Andel av bränsle i kvv som allokerats till värme, exklusive rökgaskondensering och hjälpel",'Slutlig allokering kvv'!$B$1:$AX$1,0),FALSE),"")</f>
        <v/>
      </c>
      <c r="AO286" s="172" t="str">
        <f t="shared" si="17"/>
        <v/>
      </c>
      <c r="AP286" s="173" t="str">
        <f t="shared" si="18"/>
        <v/>
      </c>
      <c r="AR286" s="172" t="str">
        <f t="shared" si="19"/>
        <v/>
      </c>
    </row>
    <row r="287" spans="1:44" x14ac:dyDescent="0.25">
      <c r="A287" s="171" t="str">
        <f>'Miljövärden för publ företag'!B289</f>
        <v>Varberg Energi AB</v>
      </c>
      <c r="B287" s="171" t="str">
        <f>'Miljövärden för publ företag'!C289</f>
        <v>Tvååker (Närv)</v>
      </c>
      <c r="C287" s="121" t="str">
        <f>IFERROR(VLOOKUP($B287,Kraftvärmeprod!$B$1:$AH$478,MATCH(C$2,Kraftvärmeprod!$B$1:$AG$1,0),FALSE)/1,"")</f>
        <v/>
      </c>
      <c r="D287" s="121" t="str">
        <f>IFERROR(VLOOKUP($B287,Kraftvärmeprod!$B$1:$AH$478,MATCH(D$2,Kraftvärmeprod!$B$1:$AG$1,0),FALSE)/1,"")</f>
        <v/>
      </c>
      <c r="F287" s="121" t="str">
        <f>IF($D287="","",IFERROR(VLOOKUP($B287,Kraftvärmeprod!$B$1:$BX$549,MATCH(F$2,Kraftvärmeprod!$B$1:$VX$1,0),FALSE)/1,0)-IFERROR(VLOOKUP($B287,'Slutlig allokering kvv'!$B$2:$BX$549,MATCH(F$2,'Slutlig allokering kvv'!$B$1:$BX$1,0),FALSE)/1,0))</f>
        <v/>
      </c>
      <c r="G287" s="121" t="str">
        <f>IF($D287="","",IFERROR(VLOOKUP($B287,Kraftvärmeprod!$B$1:$BX$549,MATCH(G$2,Kraftvärmeprod!$B$1:$VX$1,0),FALSE)/1,0)-IFERROR(VLOOKUP($B287,'Slutlig allokering kvv'!$B$2:$BX$549,MATCH(G$2,'Slutlig allokering kvv'!$B$1:$BX$1,0),FALSE)/1,0))</f>
        <v/>
      </c>
      <c r="H287" s="121" t="str">
        <f>IF($D287="","",IFERROR(VLOOKUP($B287,Kraftvärmeprod!$B$1:$BX$549,MATCH(H$2,Kraftvärmeprod!$B$1:$VX$1,0),FALSE)/1,0)-IFERROR(VLOOKUP($B287,'Slutlig allokering kvv'!$B$2:$BX$549,MATCH(H$2,'Slutlig allokering kvv'!$B$1:$BX$1,0),FALSE)/1,0))</f>
        <v/>
      </c>
      <c r="I287" s="121" t="str">
        <f>IF($D287="","",IFERROR(VLOOKUP($B287,Kraftvärmeprod!$B$1:$BX$549,MATCH(I$2,Kraftvärmeprod!$B$1:$VX$1,0),FALSE)/1,0)-IFERROR(VLOOKUP($B287,'Slutlig allokering kvv'!$B$2:$BX$549,MATCH(I$2,'Slutlig allokering kvv'!$B$1:$BX$1,0),FALSE)/1,0))</f>
        <v/>
      </c>
      <c r="J287" s="121" t="str">
        <f>IF($D287="","",IFERROR(VLOOKUP($B287,Kraftvärmeprod!$B$1:$BX$549,MATCH(J$2,Kraftvärmeprod!$B$1:$VX$1,0),FALSE)/1,0)-IFERROR(VLOOKUP($B287,'Slutlig allokering kvv'!$B$2:$BX$549,MATCH(J$2,'Slutlig allokering kvv'!$B$1:$BX$1,0),FALSE)/1,0))</f>
        <v/>
      </c>
      <c r="K287" s="121" t="str">
        <f>IF($D287="","",IFERROR(VLOOKUP($B287,Kraftvärmeprod!$B$1:$BX$549,MATCH(K$2,Kraftvärmeprod!$B$1:$VX$1,0),FALSE)/1,0)-IFERROR(VLOOKUP($B287,'Slutlig allokering kvv'!$B$2:$BX$549,MATCH(K$2,'Slutlig allokering kvv'!$B$1:$BX$1,0),FALSE)/1,0))</f>
        <v/>
      </c>
      <c r="L287" s="121" t="str">
        <f>IF($D287="","",IFERROR(VLOOKUP($B287,Kraftvärmeprod!$B$1:$BX$549,MATCH(L$2,Kraftvärmeprod!$B$1:$VX$1,0),FALSE)/1,0)-IFERROR(VLOOKUP($B287,'Slutlig allokering kvv'!$B$2:$BX$549,MATCH(L$2,'Slutlig allokering kvv'!$B$1:$BX$1,0),FALSE)/1,0))</f>
        <v/>
      </c>
      <c r="M287" s="121" t="str">
        <f>IF($D287="","",IFERROR(VLOOKUP($B287,Kraftvärmeprod!$B$1:$BX$549,MATCH(M$2,Kraftvärmeprod!$B$1:$VX$1,0),FALSE)/1,0)-IFERROR(VLOOKUP($B287,'Slutlig allokering kvv'!$B$2:$BX$549,MATCH(M$2,'Slutlig allokering kvv'!$B$1:$BX$1,0),FALSE)/1,0))</f>
        <v/>
      </c>
      <c r="N287" s="121" t="str">
        <f>IF($D287="","",IFERROR(VLOOKUP($B287,Kraftvärmeprod!$B$1:$BX$549,MATCH(N$2,Kraftvärmeprod!$B$1:$VX$1,0),FALSE)/1,0)-IFERROR(VLOOKUP($B287,'Slutlig allokering kvv'!$B$2:$BX$549,MATCH(N$2,'Slutlig allokering kvv'!$B$1:$BX$1,0),FALSE)/1,0))</f>
        <v/>
      </c>
      <c r="O287" s="121" t="str">
        <f>IF($D287="","",IFERROR(VLOOKUP($B287,Kraftvärmeprod!$B$1:$BX$549,MATCH(O$2,Kraftvärmeprod!$B$1:$VX$1,0),FALSE)/1,0)-IFERROR(VLOOKUP($B287,'Slutlig allokering kvv'!$B$2:$BX$549,MATCH(O$2,'Slutlig allokering kvv'!$B$1:$BX$1,0),FALSE)/1,0))</f>
        <v/>
      </c>
      <c r="P287" s="121" t="str">
        <f>IF($D287="","",IFERROR(VLOOKUP($B287,Kraftvärmeprod!$B$1:$BX$549,MATCH(P$2,Kraftvärmeprod!$B$1:$VX$1,0),FALSE)/1,0)-IFERROR(VLOOKUP($B287,'Slutlig allokering kvv'!$B$2:$BX$549,MATCH(P$2,'Slutlig allokering kvv'!$B$1:$BX$1,0),FALSE)/1,0))</f>
        <v/>
      </c>
      <c r="Q287" s="121" t="str">
        <f>IF($D287="","",IFERROR(VLOOKUP($B287,Kraftvärmeprod!$B$1:$BX$549,MATCH(Q$2,Kraftvärmeprod!$B$1:$VX$1,0),FALSE)/1,0)-IFERROR(VLOOKUP($B287,'Slutlig allokering kvv'!$B$2:$BX$549,MATCH(Q$2,'Slutlig allokering kvv'!$B$1:$BX$1,0),FALSE)/1,0))</f>
        <v/>
      </c>
      <c r="R287" s="121" t="str">
        <f>IF($D287="","",IFERROR(VLOOKUP($B287,Kraftvärmeprod!$B$1:$BX$549,MATCH(R$2,Kraftvärmeprod!$B$1:$VX$1,0),FALSE)/1,0)-IFERROR(VLOOKUP($B287,'Slutlig allokering kvv'!$B$2:$BX$549,MATCH(R$2,'Slutlig allokering kvv'!$B$1:$BX$1,0),FALSE)/1,0))</f>
        <v/>
      </c>
      <c r="S287" s="121" t="str">
        <f>IF($D287="","",IFERROR(VLOOKUP($B287,Kraftvärmeprod!$B$1:$BX$549,MATCH(S$2,Kraftvärmeprod!$B$1:$VX$1,0),FALSE)/1,0)-IFERROR(VLOOKUP($B287,'Slutlig allokering kvv'!$B$2:$BX$549,MATCH(S$2,'Slutlig allokering kvv'!$B$1:$BX$1,0),FALSE)/1,0))</f>
        <v/>
      </c>
      <c r="T287" s="121" t="str">
        <f>IF($D287="","",IFERROR(VLOOKUP($B287,Kraftvärmeprod!$B$1:$BX$549,MATCH(T$2,Kraftvärmeprod!$B$1:$VX$1,0),FALSE)/1,0)-IFERROR(VLOOKUP($B287,'Slutlig allokering kvv'!$B$2:$BX$549,MATCH(T$2,'Slutlig allokering kvv'!$B$1:$BX$1,0),FALSE)/1,0))</f>
        <v/>
      </c>
      <c r="U287" s="121" t="str">
        <f>IF($D287="","",IFERROR(VLOOKUP($B287,Kraftvärmeprod!$B$1:$BX$549,MATCH(U$2,Kraftvärmeprod!$B$1:$VX$1,0),FALSE)/1,0)-IFERROR(VLOOKUP($B287,'Slutlig allokering kvv'!$B$2:$BX$549,MATCH(U$2,'Slutlig allokering kvv'!$B$1:$BX$1,0),FALSE)/1,0))</f>
        <v/>
      </c>
      <c r="V287" s="121" t="str">
        <f>IF($D287="","",IFERROR(VLOOKUP($B287,Kraftvärmeprod!$B$1:$BX$549,MATCH(V$2,Kraftvärmeprod!$B$1:$VX$1,0),FALSE)/1,0)-IFERROR(VLOOKUP($B287,'Slutlig allokering kvv'!$B$2:$BX$549,MATCH(V$2,'Slutlig allokering kvv'!$B$1:$BX$1,0),FALSE)/1,0))</f>
        <v/>
      </c>
      <c r="W287" s="121" t="str">
        <f>IF($D287="","",IFERROR(VLOOKUP($B287,Kraftvärmeprod!$B$1:$BX$549,MATCH(W$2,Kraftvärmeprod!$B$1:$VX$1,0),FALSE)/1,0)-IFERROR(VLOOKUP($B287,'Slutlig allokering kvv'!$B$2:$BX$549,MATCH(W$2,'Slutlig allokering kvv'!$B$1:$BX$1,0),FALSE)/1,0))</f>
        <v/>
      </c>
      <c r="X287" s="121" t="str">
        <f>IF($D287="","",IFERROR(VLOOKUP($B287,Kraftvärmeprod!$B$1:$BX$549,MATCH(X$2,Kraftvärmeprod!$B$1:$VX$1,0),FALSE)/1,0)-IFERROR(VLOOKUP($B287,'Slutlig allokering kvv'!$B$2:$BX$549,MATCH(X$2,'Slutlig allokering kvv'!$B$1:$BX$1,0),FALSE)/1,0))</f>
        <v/>
      </c>
      <c r="Y287" s="121" t="str">
        <f>IF($D287="","",IFERROR(VLOOKUP($B287,Kraftvärmeprod!$B$1:$BX$549,MATCH(Y$2,Kraftvärmeprod!$B$1:$VX$1,0),FALSE)/1,0)-IFERROR(VLOOKUP($B287,'Slutlig allokering kvv'!$B$2:$BX$549,MATCH(Y$2,'Slutlig allokering kvv'!$B$1:$BX$1,0),FALSE)/1,0))</f>
        <v/>
      </c>
      <c r="Z287" s="121" t="str">
        <f>IF($D287="","",IFERROR(VLOOKUP($B287,Kraftvärmeprod!$B$1:$BX$549,MATCH(Z$2,Kraftvärmeprod!$B$1:$VX$1,0),FALSE)/1,0)-IFERROR(VLOOKUP($B287,'Slutlig allokering kvv'!$B$2:$BX$549,MATCH(Z$2,'Slutlig allokering kvv'!$B$1:$BX$1,0),FALSE)/1,0))</f>
        <v/>
      </c>
      <c r="AA287" s="121" t="str">
        <f>IF($D287="","",IFERROR(VLOOKUP($B287,Kraftvärmeprod!$B$1:$BX$549,MATCH(AA$2,Kraftvärmeprod!$B$1:$VX$1,0),FALSE)/1,0)-IFERROR(VLOOKUP($B287,'Slutlig allokering kvv'!$B$2:$BX$549,MATCH(AA$2,'Slutlig allokering kvv'!$B$1:$BX$1,0),FALSE)/1,0))</f>
        <v/>
      </c>
      <c r="AB287" s="121" t="str">
        <f>IF($D287="","",IFERROR(VLOOKUP($B287,Kraftvärmeprod!$B$1:$BX$549,MATCH(AB$2,Kraftvärmeprod!$B$1:$VX$1,0),FALSE)/1,0)-IFERROR(VLOOKUP($B287,'Slutlig allokering kvv'!$B$2:$BX$549,MATCH(AB$2,'Slutlig allokering kvv'!$B$1:$BX$1,0),FALSE)/1,0))</f>
        <v/>
      </c>
      <c r="AC287" s="121" t="str">
        <f>IF($D287="","",IFERROR(VLOOKUP($B287,Kraftvärmeprod!$B$1:$BX$549,MATCH(AC$2,Kraftvärmeprod!$B$1:$VX$1,0),FALSE)/1,0)-IFERROR(VLOOKUP($B287,'Slutlig allokering kvv'!$B$2:$BX$549,MATCH(AC$2,'Slutlig allokering kvv'!$B$1:$BX$1,0),FALSE)/1,0))</f>
        <v/>
      </c>
      <c r="AD287" s="121" t="str">
        <f>IF($D287="","",IFERROR(VLOOKUP($B287,Kraftvärmeprod!$B$1:$BX$549,MATCH(AD$2,Kraftvärmeprod!$B$1:$VX$1,0),FALSE)/1,0)-IFERROR(VLOOKUP($B287,'Slutlig allokering kvv'!$B$2:$BX$549,MATCH(AD$2,'Slutlig allokering kvv'!$B$1:$BX$1,0),FALSE)/1,0))</f>
        <v/>
      </c>
      <c r="AE287" s="121" t="str">
        <f>IF($D287="","",IFERROR(VLOOKUP($B287,Miljö!$B$1:$E$550,MATCH("Hjälpel kraftvärme (GWh)",Miljö!$B$1:$E$1,0),FALSE)/1,0)-IFERROR(VLOOKUP($B287,'Slutlig allokering kvv'!$B$2:$BX$549,MATCH(AE$2,'Slutlig allokering kvv'!$B$1:$BX$1,0),FALSE)/1,0))</f>
        <v/>
      </c>
      <c r="AI287" s="121">
        <f t="shared" si="16"/>
        <v>0</v>
      </c>
      <c r="AK287" s="121">
        <f>IFERROR(VLOOKUP($B287,'Slutlig allokering kvv'!$B$2:$AX$549,MATCH("Summa slutlig allokerad tillförd energi (utan hjälpel och rökgaskondensering):",'Slutlig allokering kvv'!$B$1:$AX$1,0),FALSE)/1,"")</f>
        <v>0</v>
      </c>
      <c r="AM287" s="172" t="str">
        <f>IFERROR(1-VLOOKUP($B287,'Slutlig allokering kvv'!$B$2:$AX$549,MATCH("Andel av bränsle i kvv som allokerats till värme, exklusive rökgaskondensering och hjälpel",'Slutlig allokering kvv'!$B$1:$AX$1,0),FALSE),"")</f>
        <v/>
      </c>
      <c r="AO287" s="172" t="str">
        <f t="shared" si="17"/>
        <v/>
      </c>
      <c r="AP287" s="173" t="str">
        <f t="shared" si="18"/>
        <v/>
      </c>
      <c r="AR287" s="172" t="str">
        <f t="shared" si="19"/>
        <v/>
      </c>
    </row>
    <row r="288" spans="1:44" x14ac:dyDescent="0.25">
      <c r="A288" s="171" t="str">
        <f>'Miljövärden för publ företag'!B290</f>
        <v>Varberg Energi AB</v>
      </c>
      <c r="B288" s="171" t="str">
        <f>'Miljövärden för publ företag'!C290</f>
        <v>Varberg (Fjv)</v>
      </c>
      <c r="C288" s="121" t="str">
        <f>IFERROR(VLOOKUP($B288,Kraftvärmeprod!$B$1:$AH$478,MATCH(C$2,Kraftvärmeprod!$B$1:$AG$1,0),FALSE)/1,"")</f>
        <v/>
      </c>
      <c r="D288" s="121" t="str">
        <f>IFERROR(VLOOKUP($B288,Kraftvärmeprod!$B$1:$AH$478,MATCH(D$2,Kraftvärmeprod!$B$1:$AG$1,0),FALSE)/1,"")</f>
        <v/>
      </c>
      <c r="F288" s="121" t="str">
        <f>IF($D288="","",IFERROR(VLOOKUP($B288,Kraftvärmeprod!$B$1:$BX$549,MATCH(F$2,Kraftvärmeprod!$B$1:$VX$1,0),FALSE)/1,0)-IFERROR(VLOOKUP($B288,'Slutlig allokering kvv'!$B$2:$BX$549,MATCH(F$2,'Slutlig allokering kvv'!$B$1:$BX$1,0),FALSE)/1,0))</f>
        <v/>
      </c>
      <c r="G288" s="121" t="str">
        <f>IF($D288="","",IFERROR(VLOOKUP($B288,Kraftvärmeprod!$B$1:$BX$549,MATCH(G$2,Kraftvärmeprod!$B$1:$VX$1,0),FALSE)/1,0)-IFERROR(VLOOKUP($B288,'Slutlig allokering kvv'!$B$2:$BX$549,MATCH(G$2,'Slutlig allokering kvv'!$B$1:$BX$1,0),FALSE)/1,0))</f>
        <v/>
      </c>
      <c r="H288" s="121" t="str">
        <f>IF($D288="","",IFERROR(VLOOKUP($B288,Kraftvärmeprod!$B$1:$BX$549,MATCH(H$2,Kraftvärmeprod!$B$1:$VX$1,0),FALSE)/1,0)-IFERROR(VLOOKUP($B288,'Slutlig allokering kvv'!$B$2:$BX$549,MATCH(H$2,'Slutlig allokering kvv'!$B$1:$BX$1,0),FALSE)/1,0))</f>
        <v/>
      </c>
      <c r="I288" s="121" t="str">
        <f>IF($D288="","",IFERROR(VLOOKUP($B288,Kraftvärmeprod!$B$1:$BX$549,MATCH(I$2,Kraftvärmeprod!$B$1:$VX$1,0),FALSE)/1,0)-IFERROR(VLOOKUP($B288,'Slutlig allokering kvv'!$B$2:$BX$549,MATCH(I$2,'Slutlig allokering kvv'!$B$1:$BX$1,0),FALSE)/1,0))</f>
        <v/>
      </c>
      <c r="J288" s="121" t="str">
        <f>IF($D288="","",IFERROR(VLOOKUP($B288,Kraftvärmeprod!$B$1:$BX$549,MATCH(J$2,Kraftvärmeprod!$B$1:$VX$1,0),FALSE)/1,0)-IFERROR(VLOOKUP($B288,'Slutlig allokering kvv'!$B$2:$BX$549,MATCH(J$2,'Slutlig allokering kvv'!$B$1:$BX$1,0),FALSE)/1,0))</f>
        <v/>
      </c>
      <c r="K288" s="121" t="str">
        <f>IF($D288="","",IFERROR(VLOOKUP($B288,Kraftvärmeprod!$B$1:$BX$549,MATCH(K$2,Kraftvärmeprod!$B$1:$VX$1,0),FALSE)/1,0)-IFERROR(VLOOKUP($B288,'Slutlig allokering kvv'!$B$2:$BX$549,MATCH(K$2,'Slutlig allokering kvv'!$B$1:$BX$1,0),FALSE)/1,0))</f>
        <v/>
      </c>
      <c r="L288" s="121" t="str">
        <f>IF($D288="","",IFERROR(VLOOKUP($B288,Kraftvärmeprod!$B$1:$BX$549,MATCH(L$2,Kraftvärmeprod!$B$1:$VX$1,0),FALSE)/1,0)-IFERROR(VLOOKUP($B288,'Slutlig allokering kvv'!$B$2:$BX$549,MATCH(L$2,'Slutlig allokering kvv'!$B$1:$BX$1,0),FALSE)/1,0))</f>
        <v/>
      </c>
      <c r="M288" s="121" t="str">
        <f>IF($D288="","",IFERROR(VLOOKUP($B288,Kraftvärmeprod!$B$1:$BX$549,MATCH(M$2,Kraftvärmeprod!$B$1:$VX$1,0),FALSE)/1,0)-IFERROR(VLOOKUP($B288,'Slutlig allokering kvv'!$B$2:$BX$549,MATCH(M$2,'Slutlig allokering kvv'!$B$1:$BX$1,0),FALSE)/1,0))</f>
        <v/>
      </c>
      <c r="N288" s="121" t="str">
        <f>IF($D288="","",IFERROR(VLOOKUP($B288,Kraftvärmeprod!$B$1:$BX$549,MATCH(N$2,Kraftvärmeprod!$B$1:$VX$1,0),FALSE)/1,0)-IFERROR(VLOOKUP($B288,'Slutlig allokering kvv'!$B$2:$BX$549,MATCH(N$2,'Slutlig allokering kvv'!$B$1:$BX$1,0),FALSE)/1,0))</f>
        <v/>
      </c>
      <c r="O288" s="121" t="str">
        <f>IF($D288="","",IFERROR(VLOOKUP($B288,Kraftvärmeprod!$B$1:$BX$549,MATCH(O$2,Kraftvärmeprod!$B$1:$VX$1,0),FALSE)/1,0)-IFERROR(VLOOKUP($B288,'Slutlig allokering kvv'!$B$2:$BX$549,MATCH(O$2,'Slutlig allokering kvv'!$B$1:$BX$1,0),FALSE)/1,0))</f>
        <v/>
      </c>
      <c r="P288" s="121" t="str">
        <f>IF($D288="","",IFERROR(VLOOKUP($B288,Kraftvärmeprod!$B$1:$BX$549,MATCH(P$2,Kraftvärmeprod!$B$1:$VX$1,0),FALSE)/1,0)-IFERROR(VLOOKUP($B288,'Slutlig allokering kvv'!$B$2:$BX$549,MATCH(P$2,'Slutlig allokering kvv'!$B$1:$BX$1,0),FALSE)/1,0))</f>
        <v/>
      </c>
      <c r="Q288" s="121" t="str">
        <f>IF($D288="","",IFERROR(VLOOKUP($B288,Kraftvärmeprod!$B$1:$BX$549,MATCH(Q$2,Kraftvärmeprod!$B$1:$VX$1,0),FALSE)/1,0)-IFERROR(VLOOKUP($B288,'Slutlig allokering kvv'!$B$2:$BX$549,MATCH(Q$2,'Slutlig allokering kvv'!$B$1:$BX$1,0),FALSE)/1,0))</f>
        <v/>
      </c>
      <c r="R288" s="121" t="str">
        <f>IF($D288="","",IFERROR(VLOOKUP($B288,Kraftvärmeprod!$B$1:$BX$549,MATCH(R$2,Kraftvärmeprod!$B$1:$VX$1,0),FALSE)/1,0)-IFERROR(VLOOKUP($B288,'Slutlig allokering kvv'!$B$2:$BX$549,MATCH(R$2,'Slutlig allokering kvv'!$B$1:$BX$1,0),FALSE)/1,0))</f>
        <v/>
      </c>
      <c r="S288" s="121" t="str">
        <f>IF($D288="","",IFERROR(VLOOKUP($B288,Kraftvärmeprod!$B$1:$BX$549,MATCH(S$2,Kraftvärmeprod!$B$1:$VX$1,0),FALSE)/1,0)-IFERROR(VLOOKUP($B288,'Slutlig allokering kvv'!$B$2:$BX$549,MATCH(S$2,'Slutlig allokering kvv'!$B$1:$BX$1,0),FALSE)/1,0))</f>
        <v/>
      </c>
      <c r="T288" s="121" t="str">
        <f>IF($D288="","",IFERROR(VLOOKUP($B288,Kraftvärmeprod!$B$1:$BX$549,MATCH(T$2,Kraftvärmeprod!$B$1:$VX$1,0),FALSE)/1,0)-IFERROR(VLOOKUP($B288,'Slutlig allokering kvv'!$B$2:$BX$549,MATCH(T$2,'Slutlig allokering kvv'!$B$1:$BX$1,0),FALSE)/1,0))</f>
        <v/>
      </c>
      <c r="U288" s="121" t="str">
        <f>IF($D288="","",IFERROR(VLOOKUP($B288,Kraftvärmeprod!$B$1:$BX$549,MATCH(U$2,Kraftvärmeprod!$B$1:$VX$1,0),FALSE)/1,0)-IFERROR(VLOOKUP($B288,'Slutlig allokering kvv'!$B$2:$BX$549,MATCH(U$2,'Slutlig allokering kvv'!$B$1:$BX$1,0),FALSE)/1,0))</f>
        <v/>
      </c>
      <c r="V288" s="121" t="str">
        <f>IF($D288="","",IFERROR(VLOOKUP($B288,Kraftvärmeprod!$B$1:$BX$549,MATCH(V$2,Kraftvärmeprod!$B$1:$VX$1,0),FALSE)/1,0)-IFERROR(VLOOKUP($B288,'Slutlig allokering kvv'!$B$2:$BX$549,MATCH(V$2,'Slutlig allokering kvv'!$B$1:$BX$1,0),FALSE)/1,0))</f>
        <v/>
      </c>
      <c r="W288" s="121" t="str">
        <f>IF($D288="","",IFERROR(VLOOKUP($B288,Kraftvärmeprod!$B$1:$BX$549,MATCH(W$2,Kraftvärmeprod!$B$1:$VX$1,0),FALSE)/1,0)-IFERROR(VLOOKUP($B288,'Slutlig allokering kvv'!$B$2:$BX$549,MATCH(W$2,'Slutlig allokering kvv'!$B$1:$BX$1,0),FALSE)/1,0))</f>
        <v/>
      </c>
      <c r="X288" s="121" t="str">
        <f>IF($D288="","",IFERROR(VLOOKUP($B288,Kraftvärmeprod!$B$1:$BX$549,MATCH(X$2,Kraftvärmeprod!$B$1:$VX$1,0),FALSE)/1,0)-IFERROR(VLOOKUP($B288,'Slutlig allokering kvv'!$B$2:$BX$549,MATCH(X$2,'Slutlig allokering kvv'!$B$1:$BX$1,0),FALSE)/1,0))</f>
        <v/>
      </c>
      <c r="Y288" s="121" t="str">
        <f>IF($D288="","",IFERROR(VLOOKUP($B288,Kraftvärmeprod!$B$1:$BX$549,MATCH(Y$2,Kraftvärmeprod!$B$1:$VX$1,0),FALSE)/1,0)-IFERROR(VLOOKUP($B288,'Slutlig allokering kvv'!$B$2:$BX$549,MATCH(Y$2,'Slutlig allokering kvv'!$B$1:$BX$1,0),FALSE)/1,0))</f>
        <v/>
      </c>
      <c r="Z288" s="121" t="str">
        <f>IF($D288="","",IFERROR(VLOOKUP($B288,Kraftvärmeprod!$B$1:$BX$549,MATCH(Z$2,Kraftvärmeprod!$B$1:$VX$1,0),FALSE)/1,0)-IFERROR(VLOOKUP($B288,'Slutlig allokering kvv'!$B$2:$BX$549,MATCH(Z$2,'Slutlig allokering kvv'!$B$1:$BX$1,0),FALSE)/1,0))</f>
        <v/>
      </c>
      <c r="AA288" s="121" t="str">
        <f>IF($D288="","",IFERROR(VLOOKUP($B288,Kraftvärmeprod!$B$1:$BX$549,MATCH(AA$2,Kraftvärmeprod!$B$1:$VX$1,0),FALSE)/1,0)-IFERROR(VLOOKUP($B288,'Slutlig allokering kvv'!$B$2:$BX$549,MATCH(AA$2,'Slutlig allokering kvv'!$B$1:$BX$1,0),FALSE)/1,0))</f>
        <v/>
      </c>
      <c r="AB288" s="121" t="str">
        <f>IF($D288="","",IFERROR(VLOOKUP($B288,Kraftvärmeprod!$B$1:$BX$549,MATCH(AB$2,Kraftvärmeprod!$B$1:$VX$1,0),FALSE)/1,0)-IFERROR(VLOOKUP($B288,'Slutlig allokering kvv'!$B$2:$BX$549,MATCH(AB$2,'Slutlig allokering kvv'!$B$1:$BX$1,0),FALSE)/1,0))</f>
        <v/>
      </c>
      <c r="AC288" s="121" t="str">
        <f>IF($D288="","",IFERROR(VLOOKUP($B288,Kraftvärmeprod!$B$1:$BX$549,MATCH(AC$2,Kraftvärmeprod!$B$1:$VX$1,0),FALSE)/1,0)-IFERROR(VLOOKUP($B288,'Slutlig allokering kvv'!$B$2:$BX$549,MATCH(AC$2,'Slutlig allokering kvv'!$B$1:$BX$1,0),FALSE)/1,0))</f>
        <v/>
      </c>
      <c r="AD288" s="121" t="str">
        <f>IF($D288="","",IFERROR(VLOOKUP($B288,Kraftvärmeprod!$B$1:$BX$549,MATCH(AD$2,Kraftvärmeprod!$B$1:$VX$1,0),FALSE)/1,0)-IFERROR(VLOOKUP($B288,'Slutlig allokering kvv'!$B$2:$BX$549,MATCH(AD$2,'Slutlig allokering kvv'!$B$1:$BX$1,0),FALSE)/1,0))</f>
        <v/>
      </c>
      <c r="AE288" s="121" t="str">
        <f>IF($D288="","",IFERROR(VLOOKUP($B288,Miljö!$B$1:$E$550,MATCH("Hjälpel kraftvärme (GWh)",Miljö!$B$1:$E$1,0),FALSE)/1,0)-IFERROR(VLOOKUP($B288,'Slutlig allokering kvv'!$B$2:$BX$549,MATCH(AE$2,'Slutlig allokering kvv'!$B$1:$BX$1,0),FALSE)/1,0))</f>
        <v/>
      </c>
      <c r="AI288" s="121">
        <f t="shared" si="16"/>
        <v>0</v>
      </c>
      <c r="AK288" s="121">
        <f>IFERROR(VLOOKUP($B288,'Slutlig allokering kvv'!$B$2:$AX$549,MATCH("Summa slutlig allokerad tillförd energi (utan hjälpel och rökgaskondensering):",'Slutlig allokering kvv'!$B$1:$AX$1,0),FALSE)/1,"")</f>
        <v>0</v>
      </c>
      <c r="AM288" s="172" t="str">
        <f>IFERROR(1-VLOOKUP($B288,'Slutlig allokering kvv'!$B$2:$AX$549,MATCH("Andel av bränsle i kvv som allokerats till värme, exklusive rökgaskondensering och hjälpel",'Slutlig allokering kvv'!$B$1:$AX$1,0),FALSE),"")</f>
        <v/>
      </c>
      <c r="AO288" s="172" t="str">
        <f t="shared" si="17"/>
        <v/>
      </c>
      <c r="AP288" s="173" t="str">
        <f t="shared" si="18"/>
        <v/>
      </c>
      <c r="AR288" s="172" t="str">
        <f t="shared" si="19"/>
        <v/>
      </c>
    </row>
    <row r="289" spans="1:44" x14ac:dyDescent="0.25">
      <c r="A289" s="171" t="str">
        <f>'Miljövärden för publ företag'!B291</f>
        <v>Varberg Energi AB</v>
      </c>
      <c r="B289" s="171" t="str">
        <f>'Miljövärden för publ företag'!C291</f>
        <v>Veddige</v>
      </c>
      <c r="C289" s="121" t="str">
        <f>IFERROR(VLOOKUP($B289,Kraftvärmeprod!$B$1:$AH$478,MATCH(C$2,Kraftvärmeprod!$B$1:$AG$1,0),FALSE)/1,"")</f>
        <v/>
      </c>
      <c r="D289" s="121" t="str">
        <f>IFERROR(VLOOKUP($B289,Kraftvärmeprod!$B$1:$AH$478,MATCH(D$2,Kraftvärmeprod!$B$1:$AG$1,0),FALSE)/1,"")</f>
        <v/>
      </c>
      <c r="F289" s="121" t="str">
        <f>IF($D289="","",IFERROR(VLOOKUP($B289,Kraftvärmeprod!$B$1:$BX$549,MATCH(F$2,Kraftvärmeprod!$B$1:$VX$1,0),FALSE)/1,0)-IFERROR(VLOOKUP($B289,'Slutlig allokering kvv'!$B$2:$BX$549,MATCH(F$2,'Slutlig allokering kvv'!$B$1:$BX$1,0),FALSE)/1,0))</f>
        <v/>
      </c>
      <c r="G289" s="121" t="str">
        <f>IF($D289="","",IFERROR(VLOOKUP($B289,Kraftvärmeprod!$B$1:$BX$549,MATCH(G$2,Kraftvärmeprod!$B$1:$VX$1,0),FALSE)/1,0)-IFERROR(VLOOKUP($B289,'Slutlig allokering kvv'!$B$2:$BX$549,MATCH(G$2,'Slutlig allokering kvv'!$B$1:$BX$1,0),FALSE)/1,0))</f>
        <v/>
      </c>
      <c r="H289" s="121" t="str">
        <f>IF($D289="","",IFERROR(VLOOKUP($B289,Kraftvärmeprod!$B$1:$BX$549,MATCH(H$2,Kraftvärmeprod!$B$1:$VX$1,0),FALSE)/1,0)-IFERROR(VLOOKUP($B289,'Slutlig allokering kvv'!$B$2:$BX$549,MATCH(H$2,'Slutlig allokering kvv'!$B$1:$BX$1,0),FALSE)/1,0))</f>
        <v/>
      </c>
      <c r="I289" s="121" t="str">
        <f>IF($D289="","",IFERROR(VLOOKUP($B289,Kraftvärmeprod!$B$1:$BX$549,MATCH(I$2,Kraftvärmeprod!$B$1:$VX$1,0),FALSE)/1,0)-IFERROR(VLOOKUP($B289,'Slutlig allokering kvv'!$B$2:$BX$549,MATCH(I$2,'Slutlig allokering kvv'!$B$1:$BX$1,0),FALSE)/1,0))</f>
        <v/>
      </c>
      <c r="J289" s="121" t="str">
        <f>IF($D289="","",IFERROR(VLOOKUP($B289,Kraftvärmeprod!$B$1:$BX$549,MATCH(J$2,Kraftvärmeprod!$B$1:$VX$1,0),FALSE)/1,0)-IFERROR(VLOOKUP($B289,'Slutlig allokering kvv'!$B$2:$BX$549,MATCH(J$2,'Slutlig allokering kvv'!$B$1:$BX$1,0),FALSE)/1,0))</f>
        <v/>
      </c>
      <c r="K289" s="121" t="str">
        <f>IF($D289="","",IFERROR(VLOOKUP($B289,Kraftvärmeprod!$B$1:$BX$549,MATCH(K$2,Kraftvärmeprod!$B$1:$VX$1,0),FALSE)/1,0)-IFERROR(VLOOKUP($B289,'Slutlig allokering kvv'!$B$2:$BX$549,MATCH(K$2,'Slutlig allokering kvv'!$B$1:$BX$1,0),FALSE)/1,0))</f>
        <v/>
      </c>
      <c r="L289" s="121" t="str">
        <f>IF($D289="","",IFERROR(VLOOKUP($B289,Kraftvärmeprod!$B$1:$BX$549,MATCH(L$2,Kraftvärmeprod!$B$1:$VX$1,0),FALSE)/1,0)-IFERROR(VLOOKUP($B289,'Slutlig allokering kvv'!$B$2:$BX$549,MATCH(L$2,'Slutlig allokering kvv'!$B$1:$BX$1,0),FALSE)/1,0))</f>
        <v/>
      </c>
      <c r="M289" s="121" t="str">
        <f>IF($D289="","",IFERROR(VLOOKUP($B289,Kraftvärmeprod!$B$1:$BX$549,MATCH(M$2,Kraftvärmeprod!$B$1:$VX$1,0),FALSE)/1,0)-IFERROR(VLOOKUP($B289,'Slutlig allokering kvv'!$B$2:$BX$549,MATCH(M$2,'Slutlig allokering kvv'!$B$1:$BX$1,0),FALSE)/1,0))</f>
        <v/>
      </c>
      <c r="N289" s="121" t="str">
        <f>IF($D289="","",IFERROR(VLOOKUP($B289,Kraftvärmeprod!$B$1:$BX$549,MATCH(N$2,Kraftvärmeprod!$B$1:$VX$1,0),FALSE)/1,0)-IFERROR(VLOOKUP($B289,'Slutlig allokering kvv'!$B$2:$BX$549,MATCH(N$2,'Slutlig allokering kvv'!$B$1:$BX$1,0),FALSE)/1,0))</f>
        <v/>
      </c>
      <c r="O289" s="121" t="str">
        <f>IF($D289="","",IFERROR(VLOOKUP($B289,Kraftvärmeprod!$B$1:$BX$549,MATCH(O$2,Kraftvärmeprod!$B$1:$VX$1,0),FALSE)/1,0)-IFERROR(VLOOKUP($B289,'Slutlig allokering kvv'!$B$2:$BX$549,MATCH(O$2,'Slutlig allokering kvv'!$B$1:$BX$1,0),FALSE)/1,0))</f>
        <v/>
      </c>
      <c r="P289" s="121" t="str">
        <f>IF($D289="","",IFERROR(VLOOKUP($B289,Kraftvärmeprod!$B$1:$BX$549,MATCH(P$2,Kraftvärmeprod!$B$1:$VX$1,0),FALSE)/1,0)-IFERROR(VLOOKUP($B289,'Slutlig allokering kvv'!$B$2:$BX$549,MATCH(P$2,'Slutlig allokering kvv'!$B$1:$BX$1,0),FALSE)/1,0))</f>
        <v/>
      </c>
      <c r="Q289" s="121" t="str">
        <f>IF($D289="","",IFERROR(VLOOKUP($B289,Kraftvärmeprod!$B$1:$BX$549,MATCH(Q$2,Kraftvärmeprod!$B$1:$VX$1,0),FALSE)/1,0)-IFERROR(VLOOKUP($B289,'Slutlig allokering kvv'!$B$2:$BX$549,MATCH(Q$2,'Slutlig allokering kvv'!$B$1:$BX$1,0),FALSE)/1,0))</f>
        <v/>
      </c>
      <c r="R289" s="121" t="str">
        <f>IF($D289="","",IFERROR(VLOOKUP($B289,Kraftvärmeprod!$B$1:$BX$549,MATCH(R$2,Kraftvärmeprod!$B$1:$VX$1,0),FALSE)/1,0)-IFERROR(VLOOKUP($B289,'Slutlig allokering kvv'!$B$2:$BX$549,MATCH(R$2,'Slutlig allokering kvv'!$B$1:$BX$1,0),FALSE)/1,0))</f>
        <v/>
      </c>
      <c r="S289" s="121" t="str">
        <f>IF($D289="","",IFERROR(VLOOKUP($B289,Kraftvärmeprod!$B$1:$BX$549,MATCH(S$2,Kraftvärmeprod!$B$1:$VX$1,0),FALSE)/1,0)-IFERROR(VLOOKUP($B289,'Slutlig allokering kvv'!$B$2:$BX$549,MATCH(S$2,'Slutlig allokering kvv'!$B$1:$BX$1,0),FALSE)/1,0))</f>
        <v/>
      </c>
      <c r="T289" s="121" t="str">
        <f>IF($D289="","",IFERROR(VLOOKUP($B289,Kraftvärmeprod!$B$1:$BX$549,MATCH(T$2,Kraftvärmeprod!$B$1:$VX$1,0),FALSE)/1,0)-IFERROR(VLOOKUP($B289,'Slutlig allokering kvv'!$B$2:$BX$549,MATCH(T$2,'Slutlig allokering kvv'!$B$1:$BX$1,0),FALSE)/1,0))</f>
        <v/>
      </c>
      <c r="U289" s="121" t="str">
        <f>IF($D289="","",IFERROR(VLOOKUP($B289,Kraftvärmeprod!$B$1:$BX$549,MATCH(U$2,Kraftvärmeprod!$B$1:$VX$1,0),FALSE)/1,0)-IFERROR(VLOOKUP($B289,'Slutlig allokering kvv'!$B$2:$BX$549,MATCH(U$2,'Slutlig allokering kvv'!$B$1:$BX$1,0),FALSE)/1,0))</f>
        <v/>
      </c>
      <c r="V289" s="121" t="str">
        <f>IF($D289="","",IFERROR(VLOOKUP($B289,Kraftvärmeprod!$B$1:$BX$549,MATCH(V$2,Kraftvärmeprod!$B$1:$VX$1,0),FALSE)/1,0)-IFERROR(VLOOKUP($B289,'Slutlig allokering kvv'!$B$2:$BX$549,MATCH(V$2,'Slutlig allokering kvv'!$B$1:$BX$1,0),FALSE)/1,0))</f>
        <v/>
      </c>
      <c r="W289" s="121" t="str">
        <f>IF($D289="","",IFERROR(VLOOKUP($B289,Kraftvärmeprod!$B$1:$BX$549,MATCH(W$2,Kraftvärmeprod!$B$1:$VX$1,0),FALSE)/1,0)-IFERROR(VLOOKUP($B289,'Slutlig allokering kvv'!$B$2:$BX$549,MATCH(W$2,'Slutlig allokering kvv'!$B$1:$BX$1,0),FALSE)/1,0))</f>
        <v/>
      </c>
      <c r="X289" s="121" t="str">
        <f>IF($D289="","",IFERROR(VLOOKUP($B289,Kraftvärmeprod!$B$1:$BX$549,MATCH(X$2,Kraftvärmeprod!$B$1:$VX$1,0),FALSE)/1,0)-IFERROR(VLOOKUP($B289,'Slutlig allokering kvv'!$B$2:$BX$549,MATCH(X$2,'Slutlig allokering kvv'!$B$1:$BX$1,0),FALSE)/1,0))</f>
        <v/>
      </c>
      <c r="Y289" s="121" t="str">
        <f>IF($D289="","",IFERROR(VLOOKUP($B289,Kraftvärmeprod!$B$1:$BX$549,MATCH(Y$2,Kraftvärmeprod!$B$1:$VX$1,0),FALSE)/1,0)-IFERROR(VLOOKUP($B289,'Slutlig allokering kvv'!$B$2:$BX$549,MATCH(Y$2,'Slutlig allokering kvv'!$B$1:$BX$1,0),FALSE)/1,0))</f>
        <v/>
      </c>
      <c r="Z289" s="121" t="str">
        <f>IF($D289="","",IFERROR(VLOOKUP($B289,Kraftvärmeprod!$B$1:$BX$549,MATCH(Z$2,Kraftvärmeprod!$B$1:$VX$1,0),FALSE)/1,0)-IFERROR(VLOOKUP($B289,'Slutlig allokering kvv'!$B$2:$BX$549,MATCH(Z$2,'Slutlig allokering kvv'!$B$1:$BX$1,0),FALSE)/1,0))</f>
        <v/>
      </c>
      <c r="AA289" s="121" t="str">
        <f>IF($D289="","",IFERROR(VLOOKUP($B289,Kraftvärmeprod!$B$1:$BX$549,MATCH(AA$2,Kraftvärmeprod!$B$1:$VX$1,0),FALSE)/1,0)-IFERROR(VLOOKUP($B289,'Slutlig allokering kvv'!$B$2:$BX$549,MATCH(AA$2,'Slutlig allokering kvv'!$B$1:$BX$1,0),FALSE)/1,0))</f>
        <v/>
      </c>
      <c r="AB289" s="121" t="str">
        <f>IF($D289="","",IFERROR(VLOOKUP($B289,Kraftvärmeprod!$B$1:$BX$549,MATCH(AB$2,Kraftvärmeprod!$B$1:$VX$1,0),FALSE)/1,0)-IFERROR(VLOOKUP($B289,'Slutlig allokering kvv'!$B$2:$BX$549,MATCH(AB$2,'Slutlig allokering kvv'!$B$1:$BX$1,0),FALSE)/1,0))</f>
        <v/>
      </c>
      <c r="AC289" s="121" t="str">
        <f>IF($D289="","",IFERROR(VLOOKUP($B289,Kraftvärmeprod!$B$1:$BX$549,MATCH(AC$2,Kraftvärmeprod!$B$1:$VX$1,0),FALSE)/1,0)-IFERROR(VLOOKUP($B289,'Slutlig allokering kvv'!$B$2:$BX$549,MATCH(AC$2,'Slutlig allokering kvv'!$B$1:$BX$1,0),FALSE)/1,0))</f>
        <v/>
      </c>
      <c r="AD289" s="121" t="str">
        <f>IF($D289="","",IFERROR(VLOOKUP($B289,Kraftvärmeprod!$B$1:$BX$549,MATCH(AD$2,Kraftvärmeprod!$B$1:$VX$1,0),FALSE)/1,0)-IFERROR(VLOOKUP($B289,'Slutlig allokering kvv'!$B$2:$BX$549,MATCH(AD$2,'Slutlig allokering kvv'!$B$1:$BX$1,0),FALSE)/1,0))</f>
        <v/>
      </c>
      <c r="AE289" s="121" t="str">
        <f>IF($D289="","",IFERROR(VLOOKUP($B289,Miljö!$B$1:$E$550,MATCH("Hjälpel kraftvärme (GWh)",Miljö!$B$1:$E$1,0),FALSE)/1,0)-IFERROR(VLOOKUP($B289,'Slutlig allokering kvv'!$B$2:$BX$549,MATCH(AE$2,'Slutlig allokering kvv'!$B$1:$BX$1,0),FALSE)/1,0))</f>
        <v/>
      </c>
      <c r="AI289" s="121">
        <f t="shared" si="16"/>
        <v>0</v>
      </c>
      <c r="AK289" s="121">
        <f>IFERROR(VLOOKUP($B289,'Slutlig allokering kvv'!$B$2:$AX$549,MATCH("Summa slutlig allokerad tillförd energi (utan hjälpel och rökgaskondensering):",'Slutlig allokering kvv'!$B$1:$AX$1,0),FALSE)/1,"")</f>
        <v>0</v>
      </c>
      <c r="AM289" s="172" t="str">
        <f>IFERROR(1-VLOOKUP($B289,'Slutlig allokering kvv'!$B$2:$AX$549,MATCH("Andel av bränsle i kvv som allokerats till värme, exklusive rökgaskondensering och hjälpel",'Slutlig allokering kvv'!$B$1:$AX$1,0),FALSE),"")</f>
        <v/>
      </c>
      <c r="AO289" s="172" t="str">
        <f t="shared" si="17"/>
        <v/>
      </c>
      <c r="AP289" s="173" t="str">
        <f t="shared" si="18"/>
        <v/>
      </c>
      <c r="AR289" s="172" t="str">
        <f t="shared" si="19"/>
        <v/>
      </c>
    </row>
    <row r="290" spans="1:44" x14ac:dyDescent="0.25">
      <c r="A290" s="171" t="str">
        <f>'Miljövärden för publ företag'!B292</f>
        <v>Vasa Värme Holding AB</v>
      </c>
      <c r="B290" s="171" t="str">
        <f>'Miljövärden för publ företag'!C292</f>
        <v>Alfta</v>
      </c>
      <c r="C290" s="121" t="str">
        <f>IFERROR(VLOOKUP($B290,Kraftvärmeprod!$B$1:$AH$478,MATCH(C$2,Kraftvärmeprod!$B$1:$AG$1,0),FALSE)/1,"")</f>
        <v/>
      </c>
      <c r="D290" s="121" t="str">
        <f>IFERROR(VLOOKUP($B290,Kraftvärmeprod!$B$1:$AH$478,MATCH(D$2,Kraftvärmeprod!$B$1:$AG$1,0),FALSE)/1,"")</f>
        <v/>
      </c>
      <c r="F290" s="121" t="str">
        <f>IF($D290="","",IFERROR(VLOOKUP($B290,Kraftvärmeprod!$B$1:$BX$549,MATCH(F$2,Kraftvärmeprod!$B$1:$VX$1,0),FALSE)/1,0)-IFERROR(VLOOKUP($B290,'Slutlig allokering kvv'!$B$2:$BX$549,MATCH(F$2,'Slutlig allokering kvv'!$B$1:$BX$1,0),FALSE)/1,0))</f>
        <v/>
      </c>
      <c r="G290" s="121" t="str">
        <f>IF($D290="","",IFERROR(VLOOKUP($B290,Kraftvärmeprod!$B$1:$BX$549,MATCH(G$2,Kraftvärmeprod!$B$1:$VX$1,0),FALSE)/1,0)-IFERROR(VLOOKUP($B290,'Slutlig allokering kvv'!$B$2:$BX$549,MATCH(G$2,'Slutlig allokering kvv'!$B$1:$BX$1,0),FALSE)/1,0))</f>
        <v/>
      </c>
      <c r="H290" s="121" t="str">
        <f>IF($D290="","",IFERROR(VLOOKUP($B290,Kraftvärmeprod!$B$1:$BX$549,MATCH(H$2,Kraftvärmeprod!$B$1:$VX$1,0),FALSE)/1,0)-IFERROR(VLOOKUP($B290,'Slutlig allokering kvv'!$B$2:$BX$549,MATCH(H$2,'Slutlig allokering kvv'!$B$1:$BX$1,0),FALSE)/1,0))</f>
        <v/>
      </c>
      <c r="I290" s="121" t="str">
        <f>IF($D290="","",IFERROR(VLOOKUP($B290,Kraftvärmeprod!$B$1:$BX$549,MATCH(I$2,Kraftvärmeprod!$B$1:$VX$1,0),FALSE)/1,0)-IFERROR(VLOOKUP($B290,'Slutlig allokering kvv'!$B$2:$BX$549,MATCH(I$2,'Slutlig allokering kvv'!$B$1:$BX$1,0),FALSE)/1,0))</f>
        <v/>
      </c>
      <c r="J290" s="121" t="str">
        <f>IF($D290="","",IFERROR(VLOOKUP($B290,Kraftvärmeprod!$B$1:$BX$549,MATCH(J$2,Kraftvärmeprod!$B$1:$VX$1,0),FALSE)/1,0)-IFERROR(VLOOKUP($B290,'Slutlig allokering kvv'!$B$2:$BX$549,MATCH(J$2,'Slutlig allokering kvv'!$B$1:$BX$1,0),FALSE)/1,0))</f>
        <v/>
      </c>
      <c r="K290" s="121" t="str">
        <f>IF($D290="","",IFERROR(VLOOKUP($B290,Kraftvärmeprod!$B$1:$BX$549,MATCH(K$2,Kraftvärmeprod!$B$1:$VX$1,0),FALSE)/1,0)-IFERROR(VLOOKUP($B290,'Slutlig allokering kvv'!$B$2:$BX$549,MATCH(K$2,'Slutlig allokering kvv'!$B$1:$BX$1,0),FALSE)/1,0))</f>
        <v/>
      </c>
      <c r="L290" s="121" t="str">
        <f>IF($D290="","",IFERROR(VLOOKUP($B290,Kraftvärmeprod!$B$1:$BX$549,MATCH(L$2,Kraftvärmeprod!$B$1:$VX$1,0),FALSE)/1,0)-IFERROR(VLOOKUP($B290,'Slutlig allokering kvv'!$B$2:$BX$549,MATCH(L$2,'Slutlig allokering kvv'!$B$1:$BX$1,0),FALSE)/1,0))</f>
        <v/>
      </c>
      <c r="M290" s="121" t="str">
        <f>IF($D290="","",IFERROR(VLOOKUP($B290,Kraftvärmeprod!$B$1:$BX$549,MATCH(M$2,Kraftvärmeprod!$B$1:$VX$1,0),FALSE)/1,0)-IFERROR(VLOOKUP($B290,'Slutlig allokering kvv'!$B$2:$BX$549,MATCH(M$2,'Slutlig allokering kvv'!$B$1:$BX$1,0),FALSE)/1,0))</f>
        <v/>
      </c>
      <c r="N290" s="121" t="str">
        <f>IF($D290="","",IFERROR(VLOOKUP($B290,Kraftvärmeprod!$B$1:$BX$549,MATCH(N$2,Kraftvärmeprod!$B$1:$VX$1,0),FALSE)/1,0)-IFERROR(VLOOKUP($B290,'Slutlig allokering kvv'!$B$2:$BX$549,MATCH(N$2,'Slutlig allokering kvv'!$B$1:$BX$1,0),FALSE)/1,0))</f>
        <v/>
      </c>
      <c r="O290" s="121" t="str">
        <f>IF($D290="","",IFERROR(VLOOKUP($B290,Kraftvärmeprod!$B$1:$BX$549,MATCH(O$2,Kraftvärmeprod!$B$1:$VX$1,0),FALSE)/1,0)-IFERROR(VLOOKUP($B290,'Slutlig allokering kvv'!$B$2:$BX$549,MATCH(O$2,'Slutlig allokering kvv'!$B$1:$BX$1,0),FALSE)/1,0))</f>
        <v/>
      </c>
      <c r="P290" s="121" t="str">
        <f>IF($D290="","",IFERROR(VLOOKUP($B290,Kraftvärmeprod!$B$1:$BX$549,MATCH(P$2,Kraftvärmeprod!$B$1:$VX$1,0),FALSE)/1,0)-IFERROR(VLOOKUP($B290,'Slutlig allokering kvv'!$B$2:$BX$549,MATCH(P$2,'Slutlig allokering kvv'!$B$1:$BX$1,0),FALSE)/1,0))</f>
        <v/>
      </c>
      <c r="Q290" s="121" t="str">
        <f>IF($D290="","",IFERROR(VLOOKUP($B290,Kraftvärmeprod!$B$1:$BX$549,MATCH(Q$2,Kraftvärmeprod!$B$1:$VX$1,0),FALSE)/1,0)-IFERROR(VLOOKUP($B290,'Slutlig allokering kvv'!$B$2:$BX$549,MATCH(Q$2,'Slutlig allokering kvv'!$B$1:$BX$1,0),FALSE)/1,0))</f>
        <v/>
      </c>
      <c r="R290" s="121" t="str">
        <f>IF($D290="","",IFERROR(VLOOKUP($B290,Kraftvärmeprod!$B$1:$BX$549,MATCH(R$2,Kraftvärmeprod!$B$1:$VX$1,0),FALSE)/1,0)-IFERROR(VLOOKUP($B290,'Slutlig allokering kvv'!$B$2:$BX$549,MATCH(R$2,'Slutlig allokering kvv'!$B$1:$BX$1,0),FALSE)/1,0))</f>
        <v/>
      </c>
      <c r="S290" s="121" t="str">
        <f>IF($D290="","",IFERROR(VLOOKUP($B290,Kraftvärmeprod!$B$1:$BX$549,MATCH(S$2,Kraftvärmeprod!$B$1:$VX$1,0),FALSE)/1,0)-IFERROR(VLOOKUP($B290,'Slutlig allokering kvv'!$B$2:$BX$549,MATCH(S$2,'Slutlig allokering kvv'!$B$1:$BX$1,0),FALSE)/1,0))</f>
        <v/>
      </c>
      <c r="T290" s="121" t="str">
        <f>IF($D290="","",IFERROR(VLOOKUP($B290,Kraftvärmeprod!$B$1:$BX$549,MATCH(T$2,Kraftvärmeprod!$B$1:$VX$1,0),FALSE)/1,0)-IFERROR(VLOOKUP($B290,'Slutlig allokering kvv'!$B$2:$BX$549,MATCH(T$2,'Slutlig allokering kvv'!$B$1:$BX$1,0),FALSE)/1,0))</f>
        <v/>
      </c>
      <c r="U290" s="121" t="str">
        <f>IF($D290="","",IFERROR(VLOOKUP($B290,Kraftvärmeprod!$B$1:$BX$549,MATCH(U$2,Kraftvärmeprod!$B$1:$VX$1,0),FALSE)/1,0)-IFERROR(VLOOKUP($B290,'Slutlig allokering kvv'!$B$2:$BX$549,MATCH(U$2,'Slutlig allokering kvv'!$B$1:$BX$1,0),FALSE)/1,0))</f>
        <v/>
      </c>
      <c r="V290" s="121" t="str">
        <f>IF($D290="","",IFERROR(VLOOKUP($B290,Kraftvärmeprod!$B$1:$BX$549,MATCH(V$2,Kraftvärmeprod!$B$1:$VX$1,0),FALSE)/1,0)-IFERROR(VLOOKUP($B290,'Slutlig allokering kvv'!$B$2:$BX$549,MATCH(V$2,'Slutlig allokering kvv'!$B$1:$BX$1,0),FALSE)/1,0))</f>
        <v/>
      </c>
      <c r="W290" s="121" t="str">
        <f>IF($D290="","",IFERROR(VLOOKUP($B290,Kraftvärmeprod!$B$1:$BX$549,MATCH(W$2,Kraftvärmeprod!$B$1:$VX$1,0),FALSE)/1,0)-IFERROR(VLOOKUP($B290,'Slutlig allokering kvv'!$B$2:$BX$549,MATCH(W$2,'Slutlig allokering kvv'!$B$1:$BX$1,0),FALSE)/1,0))</f>
        <v/>
      </c>
      <c r="X290" s="121" t="str">
        <f>IF($D290="","",IFERROR(VLOOKUP($B290,Kraftvärmeprod!$B$1:$BX$549,MATCH(X$2,Kraftvärmeprod!$B$1:$VX$1,0),FALSE)/1,0)-IFERROR(VLOOKUP($B290,'Slutlig allokering kvv'!$B$2:$BX$549,MATCH(X$2,'Slutlig allokering kvv'!$B$1:$BX$1,0),FALSE)/1,0))</f>
        <v/>
      </c>
      <c r="Y290" s="121" t="str">
        <f>IF($D290="","",IFERROR(VLOOKUP($B290,Kraftvärmeprod!$B$1:$BX$549,MATCH(Y$2,Kraftvärmeprod!$B$1:$VX$1,0),FALSE)/1,0)-IFERROR(VLOOKUP($B290,'Slutlig allokering kvv'!$B$2:$BX$549,MATCH(Y$2,'Slutlig allokering kvv'!$B$1:$BX$1,0),FALSE)/1,0))</f>
        <v/>
      </c>
      <c r="Z290" s="121" t="str">
        <f>IF($D290="","",IFERROR(VLOOKUP($B290,Kraftvärmeprod!$B$1:$BX$549,MATCH(Z$2,Kraftvärmeprod!$B$1:$VX$1,0),FALSE)/1,0)-IFERROR(VLOOKUP($B290,'Slutlig allokering kvv'!$B$2:$BX$549,MATCH(Z$2,'Slutlig allokering kvv'!$B$1:$BX$1,0),FALSE)/1,0))</f>
        <v/>
      </c>
      <c r="AA290" s="121" t="str">
        <f>IF($D290="","",IFERROR(VLOOKUP($B290,Kraftvärmeprod!$B$1:$BX$549,MATCH(AA$2,Kraftvärmeprod!$B$1:$VX$1,0),FALSE)/1,0)-IFERROR(VLOOKUP($B290,'Slutlig allokering kvv'!$B$2:$BX$549,MATCH(AA$2,'Slutlig allokering kvv'!$B$1:$BX$1,0),FALSE)/1,0))</f>
        <v/>
      </c>
      <c r="AB290" s="121" t="str">
        <f>IF($D290="","",IFERROR(VLOOKUP($B290,Kraftvärmeprod!$B$1:$BX$549,MATCH(AB$2,Kraftvärmeprod!$B$1:$VX$1,0),FALSE)/1,0)-IFERROR(VLOOKUP($B290,'Slutlig allokering kvv'!$B$2:$BX$549,MATCH(AB$2,'Slutlig allokering kvv'!$B$1:$BX$1,0),FALSE)/1,0))</f>
        <v/>
      </c>
      <c r="AC290" s="121" t="str">
        <f>IF($D290="","",IFERROR(VLOOKUP($B290,Kraftvärmeprod!$B$1:$BX$549,MATCH(AC$2,Kraftvärmeprod!$B$1:$VX$1,0),FALSE)/1,0)-IFERROR(VLOOKUP($B290,'Slutlig allokering kvv'!$B$2:$BX$549,MATCH(AC$2,'Slutlig allokering kvv'!$B$1:$BX$1,0),FALSE)/1,0))</f>
        <v/>
      </c>
      <c r="AD290" s="121" t="str">
        <f>IF($D290="","",IFERROR(VLOOKUP($B290,Kraftvärmeprod!$B$1:$BX$549,MATCH(AD$2,Kraftvärmeprod!$B$1:$VX$1,0),FALSE)/1,0)-IFERROR(VLOOKUP($B290,'Slutlig allokering kvv'!$B$2:$BX$549,MATCH(AD$2,'Slutlig allokering kvv'!$B$1:$BX$1,0),FALSE)/1,0))</f>
        <v/>
      </c>
      <c r="AE290" s="121" t="str">
        <f>IF($D290="","",IFERROR(VLOOKUP($B290,Miljö!$B$1:$E$550,MATCH("Hjälpel kraftvärme (GWh)",Miljö!$B$1:$E$1,0),FALSE)/1,0)-IFERROR(VLOOKUP($B290,'Slutlig allokering kvv'!$B$2:$BX$549,MATCH(AE$2,'Slutlig allokering kvv'!$B$1:$BX$1,0),FALSE)/1,0))</f>
        <v/>
      </c>
      <c r="AI290" s="121">
        <f t="shared" si="16"/>
        <v>0</v>
      </c>
      <c r="AK290" s="121">
        <f>IFERROR(VLOOKUP($B290,'Slutlig allokering kvv'!$B$2:$AX$549,MATCH("Summa slutlig allokerad tillförd energi (utan hjälpel och rökgaskondensering):",'Slutlig allokering kvv'!$B$1:$AX$1,0),FALSE)/1,"")</f>
        <v>0</v>
      </c>
      <c r="AM290" s="172" t="str">
        <f>IFERROR(1-VLOOKUP($B290,'Slutlig allokering kvv'!$B$2:$AX$549,MATCH("Andel av bränsle i kvv som allokerats till värme, exklusive rökgaskondensering och hjälpel",'Slutlig allokering kvv'!$B$1:$AX$1,0),FALSE),"")</f>
        <v/>
      </c>
      <c r="AO290" s="172" t="str">
        <f t="shared" si="17"/>
        <v/>
      </c>
      <c r="AP290" s="173" t="str">
        <f t="shared" si="18"/>
        <v/>
      </c>
      <c r="AR290" s="172" t="str">
        <f t="shared" si="19"/>
        <v/>
      </c>
    </row>
    <row r="291" spans="1:44" x14ac:dyDescent="0.25">
      <c r="A291" s="171" t="str">
        <f>'Miljövärden för publ företag'!B293</f>
        <v>Vasa Värme Holding AB</v>
      </c>
      <c r="B291" s="171" t="str">
        <f>'Miljövärden för publ företag'!C293</f>
        <v>Edsbyn</v>
      </c>
      <c r="C291" s="121" t="str">
        <f>IFERROR(VLOOKUP($B291,Kraftvärmeprod!$B$1:$AH$478,MATCH(C$2,Kraftvärmeprod!$B$1:$AG$1,0),FALSE)/1,"")</f>
        <v/>
      </c>
      <c r="D291" s="121" t="str">
        <f>IFERROR(VLOOKUP($B291,Kraftvärmeprod!$B$1:$AH$478,MATCH(D$2,Kraftvärmeprod!$B$1:$AG$1,0),FALSE)/1,"")</f>
        <v/>
      </c>
      <c r="F291" s="121" t="str">
        <f>IF($D291="","",IFERROR(VLOOKUP($B291,Kraftvärmeprod!$B$1:$BX$549,MATCH(F$2,Kraftvärmeprod!$B$1:$VX$1,0),FALSE)/1,0)-IFERROR(VLOOKUP($B291,'Slutlig allokering kvv'!$B$2:$BX$549,MATCH(F$2,'Slutlig allokering kvv'!$B$1:$BX$1,0),FALSE)/1,0))</f>
        <v/>
      </c>
      <c r="G291" s="121" t="str">
        <f>IF($D291="","",IFERROR(VLOOKUP($B291,Kraftvärmeprod!$B$1:$BX$549,MATCH(G$2,Kraftvärmeprod!$B$1:$VX$1,0),FALSE)/1,0)-IFERROR(VLOOKUP($B291,'Slutlig allokering kvv'!$B$2:$BX$549,MATCH(G$2,'Slutlig allokering kvv'!$B$1:$BX$1,0),FALSE)/1,0))</f>
        <v/>
      </c>
      <c r="H291" s="121" t="str">
        <f>IF($D291="","",IFERROR(VLOOKUP($B291,Kraftvärmeprod!$B$1:$BX$549,MATCH(H$2,Kraftvärmeprod!$B$1:$VX$1,0),FALSE)/1,0)-IFERROR(VLOOKUP($B291,'Slutlig allokering kvv'!$B$2:$BX$549,MATCH(H$2,'Slutlig allokering kvv'!$B$1:$BX$1,0),FALSE)/1,0))</f>
        <v/>
      </c>
      <c r="I291" s="121" t="str">
        <f>IF($D291="","",IFERROR(VLOOKUP($B291,Kraftvärmeprod!$B$1:$BX$549,MATCH(I$2,Kraftvärmeprod!$B$1:$VX$1,0),FALSE)/1,0)-IFERROR(VLOOKUP($B291,'Slutlig allokering kvv'!$B$2:$BX$549,MATCH(I$2,'Slutlig allokering kvv'!$B$1:$BX$1,0),FALSE)/1,0))</f>
        <v/>
      </c>
      <c r="J291" s="121" t="str">
        <f>IF($D291="","",IFERROR(VLOOKUP($B291,Kraftvärmeprod!$B$1:$BX$549,MATCH(J$2,Kraftvärmeprod!$B$1:$VX$1,0),FALSE)/1,0)-IFERROR(VLOOKUP($B291,'Slutlig allokering kvv'!$B$2:$BX$549,MATCH(J$2,'Slutlig allokering kvv'!$B$1:$BX$1,0),FALSE)/1,0))</f>
        <v/>
      </c>
      <c r="K291" s="121" t="str">
        <f>IF($D291="","",IFERROR(VLOOKUP($B291,Kraftvärmeprod!$B$1:$BX$549,MATCH(K$2,Kraftvärmeprod!$B$1:$VX$1,0),FALSE)/1,0)-IFERROR(VLOOKUP($B291,'Slutlig allokering kvv'!$B$2:$BX$549,MATCH(K$2,'Slutlig allokering kvv'!$B$1:$BX$1,0),FALSE)/1,0))</f>
        <v/>
      </c>
      <c r="L291" s="121" t="str">
        <f>IF($D291="","",IFERROR(VLOOKUP($B291,Kraftvärmeprod!$B$1:$BX$549,MATCH(L$2,Kraftvärmeprod!$B$1:$VX$1,0),FALSE)/1,0)-IFERROR(VLOOKUP($B291,'Slutlig allokering kvv'!$B$2:$BX$549,MATCH(L$2,'Slutlig allokering kvv'!$B$1:$BX$1,0),FALSE)/1,0))</f>
        <v/>
      </c>
      <c r="M291" s="121" t="str">
        <f>IF($D291="","",IFERROR(VLOOKUP($B291,Kraftvärmeprod!$B$1:$BX$549,MATCH(M$2,Kraftvärmeprod!$B$1:$VX$1,0),FALSE)/1,0)-IFERROR(VLOOKUP($B291,'Slutlig allokering kvv'!$B$2:$BX$549,MATCH(M$2,'Slutlig allokering kvv'!$B$1:$BX$1,0),FALSE)/1,0))</f>
        <v/>
      </c>
      <c r="N291" s="121" t="str">
        <f>IF($D291="","",IFERROR(VLOOKUP($B291,Kraftvärmeprod!$B$1:$BX$549,MATCH(N$2,Kraftvärmeprod!$B$1:$VX$1,0),FALSE)/1,0)-IFERROR(VLOOKUP($B291,'Slutlig allokering kvv'!$B$2:$BX$549,MATCH(N$2,'Slutlig allokering kvv'!$B$1:$BX$1,0),FALSE)/1,0))</f>
        <v/>
      </c>
      <c r="O291" s="121" t="str">
        <f>IF($D291="","",IFERROR(VLOOKUP($B291,Kraftvärmeprod!$B$1:$BX$549,MATCH(O$2,Kraftvärmeprod!$B$1:$VX$1,0),FALSE)/1,0)-IFERROR(VLOOKUP($B291,'Slutlig allokering kvv'!$B$2:$BX$549,MATCH(O$2,'Slutlig allokering kvv'!$B$1:$BX$1,0),FALSE)/1,0))</f>
        <v/>
      </c>
      <c r="P291" s="121" t="str">
        <f>IF($D291="","",IFERROR(VLOOKUP($B291,Kraftvärmeprod!$B$1:$BX$549,MATCH(P$2,Kraftvärmeprod!$B$1:$VX$1,0),FALSE)/1,0)-IFERROR(VLOOKUP($B291,'Slutlig allokering kvv'!$B$2:$BX$549,MATCH(P$2,'Slutlig allokering kvv'!$B$1:$BX$1,0),FALSE)/1,0))</f>
        <v/>
      </c>
      <c r="Q291" s="121" t="str">
        <f>IF($D291="","",IFERROR(VLOOKUP($B291,Kraftvärmeprod!$B$1:$BX$549,MATCH(Q$2,Kraftvärmeprod!$B$1:$VX$1,0),FALSE)/1,0)-IFERROR(VLOOKUP($B291,'Slutlig allokering kvv'!$B$2:$BX$549,MATCH(Q$2,'Slutlig allokering kvv'!$B$1:$BX$1,0),FALSE)/1,0))</f>
        <v/>
      </c>
      <c r="R291" s="121" t="str">
        <f>IF($D291="","",IFERROR(VLOOKUP($B291,Kraftvärmeprod!$B$1:$BX$549,MATCH(R$2,Kraftvärmeprod!$B$1:$VX$1,0),FALSE)/1,0)-IFERROR(VLOOKUP($B291,'Slutlig allokering kvv'!$B$2:$BX$549,MATCH(R$2,'Slutlig allokering kvv'!$B$1:$BX$1,0),FALSE)/1,0))</f>
        <v/>
      </c>
      <c r="S291" s="121" t="str">
        <f>IF($D291="","",IFERROR(VLOOKUP($B291,Kraftvärmeprod!$B$1:$BX$549,MATCH(S$2,Kraftvärmeprod!$B$1:$VX$1,0),FALSE)/1,0)-IFERROR(VLOOKUP($B291,'Slutlig allokering kvv'!$B$2:$BX$549,MATCH(S$2,'Slutlig allokering kvv'!$B$1:$BX$1,0),FALSE)/1,0))</f>
        <v/>
      </c>
      <c r="T291" s="121" t="str">
        <f>IF($D291="","",IFERROR(VLOOKUP($B291,Kraftvärmeprod!$B$1:$BX$549,MATCH(T$2,Kraftvärmeprod!$B$1:$VX$1,0),FALSE)/1,0)-IFERROR(VLOOKUP($B291,'Slutlig allokering kvv'!$B$2:$BX$549,MATCH(T$2,'Slutlig allokering kvv'!$B$1:$BX$1,0),FALSE)/1,0))</f>
        <v/>
      </c>
      <c r="U291" s="121" t="str">
        <f>IF($D291="","",IFERROR(VLOOKUP($B291,Kraftvärmeprod!$B$1:$BX$549,MATCH(U$2,Kraftvärmeprod!$B$1:$VX$1,0),FALSE)/1,0)-IFERROR(VLOOKUP($B291,'Slutlig allokering kvv'!$B$2:$BX$549,MATCH(U$2,'Slutlig allokering kvv'!$B$1:$BX$1,0),FALSE)/1,0))</f>
        <v/>
      </c>
      <c r="V291" s="121" t="str">
        <f>IF($D291="","",IFERROR(VLOOKUP($B291,Kraftvärmeprod!$B$1:$BX$549,MATCH(V$2,Kraftvärmeprod!$B$1:$VX$1,0),FALSE)/1,0)-IFERROR(VLOOKUP($B291,'Slutlig allokering kvv'!$B$2:$BX$549,MATCH(V$2,'Slutlig allokering kvv'!$B$1:$BX$1,0),FALSE)/1,0))</f>
        <v/>
      </c>
      <c r="W291" s="121" t="str">
        <f>IF($D291="","",IFERROR(VLOOKUP($B291,Kraftvärmeprod!$B$1:$BX$549,MATCH(W$2,Kraftvärmeprod!$B$1:$VX$1,0),FALSE)/1,0)-IFERROR(VLOOKUP($B291,'Slutlig allokering kvv'!$B$2:$BX$549,MATCH(W$2,'Slutlig allokering kvv'!$B$1:$BX$1,0),FALSE)/1,0))</f>
        <v/>
      </c>
      <c r="X291" s="121" t="str">
        <f>IF($D291="","",IFERROR(VLOOKUP($B291,Kraftvärmeprod!$B$1:$BX$549,MATCH(X$2,Kraftvärmeprod!$B$1:$VX$1,0),FALSE)/1,0)-IFERROR(VLOOKUP($B291,'Slutlig allokering kvv'!$B$2:$BX$549,MATCH(X$2,'Slutlig allokering kvv'!$B$1:$BX$1,0),FALSE)/1,0))</f>
        <v/>
      </c>
      <c r="Y291" s="121" t="str">
        <f>IF($D291="","",IFERROR(VLOOKUP($B291,Kraftvärmeprod!$B$1:$BX$549,MATCH(Y$2,Kraftvärmeprod!$B$1:$VX$1,0),FALSE)/1,0)-IFERROR(VLOOKUP($B291,'Slutlig allokering kvv'!$B$2:$BX$549,MATCH(Y$2,'Slutlig allokering kvv'!$B$1:$BX$1,0),FALSE)/1,0))</f>
        <v/>
      </c>
      <c r="Z291" s="121" t="str">
        <f>IF($D291="","",IFERROR(VLOOKUP($B291,Kraftvärmeprod!$B$1:$BX$549,MATCH(Z$2,Kraftvärmeprod!$B$1:$VX$1,0),FALSE)/1,0)-IFERROR(VLOOKUP($B291,'Slutlig allokering kvv'!$B$2:$BX$549,MATCH(Z$2,'Slutlig allokering kvv'!$B$1:$BX$1,0),FALSE)/1,0))</f>
        <v/>
      </c>
      <c r="AA291" s="121" t="str">
        <f>IF($D291="","",IFERROR(VLOOKUP($B291,Kraftvärmeprod!$B$1:$BX$549,MATCH(AA$2,Kraftvärmeprod!$B$1:$VX$1,0),FALSE)/1,0)-IFERROR(VLOOKUP($B291,'Slutlig allokering kvv'!$B$2:$BX$549,MATCH(AA$2,'Slutlig allokering kvv'!$B$1:$BX$1,0),FALSE)/1,0))</f>
        <v/>
      </c>
      <c r="AB291" s="121" t="str">
        <f>IF($D291="","",IFERROR(VLOOKUP($B291,Kraftvärmeprod!$B$1:$BX$549,MATCH(AB$2,Kraftvärmeprod!$B$1:$VX$1,0),FALSE)/1,0)-IFERROR(VLOOKUP($B291,'Slutlig allokering kvv'!$B$2:$BX$549,MATCH(AB$2,'Slutlig allokering kvv'!$B$1:$BX$1,0),FALSE)/1,0))</f>
        <v/>
      </c>
      <c r="AC291" s="121" t="str">
        <f>IF($D291="","",IFERROR(VLOOKUP($B291,Kraftvärmeprod!$B$1:$BX$549,MATCH(AC$2,Kraftvärmeprod!$B$1:$VX$1,0),FALSE)/1,0)-IFERROR(VLOOKUP($B291,'Slutlig allokering kvv'!$B$2:$BX$549,MATCH(AC$2,'Slutlig allokering kvv'!$B$1:$BX$1,0),FALSE)/1,0))</f>
        <v/>
      </c>
      <c r="AD291" s="121" t="str">
        <f>IF($D291="","",IFERROR(VLOOKUP($B291,Kraftvärmeprod!$B$1:$BX$549,MATCH(AD$2,Kraftvärmeprod!$B$1:$VX$1,0),FALSE)/1,0)-IFERROR(VLOOKUP($B291,'Slutlig allokering kvv'!$B$2:$BX$549,MATCH(AD$2,'Slutlig allokering kvv'!$B$1:$BX$1,0),FALSE)/1,0))</f>
        <v/>
      </c>
      <c r="AE291" s="121" t="str">
        <f>IF($D291="","",IFERROR(VLOOKUP($B291,Miljö!$B$1:$E$550,MATCH("Hjälpel kraftvärme (GWh)",Miljö!$B$1:$E$1,0),FALSE)/1,0)-IFERROR(VLOOKUP($B291,'Slutlig allokering kvv'!$B$2:$BX$549,MATCH(AE$2,'Slutlig allokering kvv'!$B$1:$BX$1,0),FALSE)/1,0))</f>
        <v/>
      </c>
      <c r="AI291" s="121">
        <f t="shared" si="16"/>
        <v>0</v>
      </c>
      <c r="AK291" s="121">
        <f>IFERROR(VLOOKUP($B291,'Slutlig allokering kvv'!$B$2:$AX$549,MATCH("Summa slutlig allokerad tillförd energi (utan hjälpel och rökgaskondensering):",'Slutlig allokering kvv'!$B$1:$AX$1,0),FALSE)/1,"")</f>
        <v>0</v>
      </c>
      <c r="AM291" s="172" t="str">
        <f>IFERROR(1-VLOOKUP($B291,'Slutlig allokering kvv'!$B$2:$AX$549,MATCH("Andel av bränsle i kvv som allokerats till värme, exklusive rökgaskondensering och hjälpel",'Slutlig allokering kvv'!$B$1:$AX$1,0),FALSE),"")</f>
        <v/>
      </c>
      <c r="AO291" s="172" t="str">
        <f t="shared" si="17"/>
        <v/>
      </c>
      <c r="AP291" s="173" t="str">
        <f t="shared" si="18"/>
        <v/>
      </c>
      <c r="AR291" s="172" t="str">
        <f t="shared" si="19"/>
        <v/>
      </c>
    </row>
    <row r="292" spans="1:44" x14ac:dyDescent="0.25">
      <c r="A292" s="171" t="str">
        <f>'Miljövärden för publ företag'!B294</f>
        <v>Vasa Värme Holding AB</v>
      </c>
      <c r="B292" s="171" t="str">
        <f>'Miljövärden för publ företag'!C294</f>
        <v>Kalix</v>
      </c>
      <c r="C292" s="121" t="str">
        <f>IFERROR(VLOOKUP($B292,Kraftvärmeprod!$B$1:$AH$478,MATCH(C$2,Kraftvärmeprod!$B$1:$AG$1,0),FALSE)/1,"")</f>
        <v/>
      </c>
      <c r="D292" s="121" t="str">
        <f>IFERROR(VLOOKUP($B292,Kraftvärmeprod!$B$1:$AH$478,MATCH(D$2,Kraftvärmeprod!$B$1:$AG$1,0),FALSE)/1,"")</f>
        <v/>
      </c>
      <c r="F292" s="121" t="str">
        <f>IF($D292="","",IFERROR(VLOOKUP($B292,Kraftvärmeprod!$B$1:$BX$549,MATCH(F$2,Kraftvärmeprod!$B$1:$VX$1,0),FALSE)/1,0)-IFERROR(VLOOKUP($B292,'Slutlig allokering kvv'!$B$2:$BX$549,MATCH(F$2,'Slutlig allokering kvv'!$B$1:$BX$1,0),FALSE)/1,0))</f>
        <v/>
      </c>
      <c r="G292" s="121" t="str">
        <f>IF($D292="","",IFERROR(VLOOKUP($B292,Kraftvärmeprod!$B$1:$BX$549,MATCH(G$2,Kraftvärmeprod!$B$1:$VX$1,0),FALSE)/1,0)-IFERROR(VLOOKUP($B292,'Slutlig allokering kvv'!$B$2:$BX$549,MATCH(G$2,'Slutlig allokering kvv'!$B$1:$BX$1,0),FALSE)/1,0))</f>
        <v/>
      </c>
      <c r="H292" s="121" t="str">
        <f>IF($D292="","",IFERROR(VLOOKUP($B292,Kraftvärmeprod!$B$1:$BX$549,MATCH(H$2,Kraftvärmeprod!$B$1:$VX$1,0),FALSE)/1,0)-IFERROR(VLOOKUP($B292,'Slutlig allokering kvv'!$B$2:$BX$549,MATCH(H$2,'Slutlig allokering kvv'!$B$1:$BX$1,0),FALSE)/1,0))</f>
        <v/>
      </c>
      <c r="I292" s="121" t="str">
        <f>IF($D292="","",IFERROR(VLOOKUP($B292,Kraftvärmeprod!$B$1:$BX$549,MATCH(I$2,Kraftvärmeprod!$B$1:$VX$1,0),FALSE)/1,0)-IFERROR(VLOOKUP($B292,'Slutlig allokering kvv'!$B$2:$BX$549,MATCH(I$2,'Slutlig allokering kvv'!$B$1:$BX$1,0),FALSE)/1,0))</f>
        <v/>
      </c>
      <c r="J292" s="121" t="str">
        <f>IF($D292="","",IFERROR(VLOOKUP($B292,Kraftvärmeprod!$B$1:$BX$549,MATCH(J$2,Kraftvärmeprod!$B$1:$VX$1,0),FALSE)/1,0)-IFERROR(VLOOKUP($B292,'Slutlig allokering kvv'!$B$2:$BX$549,MATCH(J$2,'Slutlig allokering kvv'!$B$1:$BX$1,0),FALSE)/1,0))</f>
        <v/>
      </c>
      <c r="K292" s="121" t="str">
        <f>IF($D292="","",IFERROR(VLOOKUP($B292,Kraftvärmeprod!$B$1:$BX$549,MATCH(K$2,Kraftvärmeprod!$B$1:$VX$1,0),FALSE)/1,0)-IFERROR(VLOOKUP($B292,'Slutlig allokering kvv'!$B$2:$BX$549,MATCH(K$2,'Slutlig allokering kvv'!$B$1:$BX$1,0),FALSE)/1,0))</f>
        <v/>
      </c>
      <c r="L292" s="121" t="str">
        <f>IF($D292="","",IFERROR(VLOOKUP($B292,Kraftvärmeprod!$B$1:$BX$549,MATCH(L$2,Kraftvärmeprod!$B$1:$VX$1,0),FALSE)/1,0)-IFERROR(VLOOKUP($B292,'Slutlig allokering kvv'!$B$2:$BX$549,MATCH(L$2,'Slutlig allokering kvv'!$B$1:$BX$1,0),FALSE)/1,0))</f>
        <v/>
      </c>
      <c r="M292" s="121" t="str">
        <f>IF($D292="","",IFERROR(VLOOKUP($B292,Kraftvärmeprod!$B$1:$BX$549,MATCH(M$2,Kraftvärmeprod!$B$1:$VX$1,0),FALSE)/1,0)-IFERROR(VLOOKUP($B292,'Slutlig allokering kvv'!$B$2:$BX$549,MATCH(M$2,'Slutlig allokering kvv'!$B$1:$BX$1,0),FALSE)/1,0))</f>
        <v/>
      </c>
      <c r="N292" s="121" t="str">
        <f>IF($D292="","",IFERROR(VLOOKUP($B292,Kraftvärmeprod!$B$1:$BX$549,MATCH(N$2,Kraftvärmeprod!$B$1:$VX$1,0),FALSE)/1,0)-IFERROR(VLOOKUP($B292,'Slutlig allokering kvv'!$B$2:$BX$549,MATCH(N$2,'Slutlig allokering kvv'!$B$1:$BX$1,0),FALSE)/1,0))</f>
        <v/>
      </c>
      <c r="O292" s="121" t="str">
        <f>IF($D292="","",IFERROR(VLOOKUP($B292,Kraftvärmeprod!$B$1:$BX$549,MATCH(O$2,Kraftvärmeprod!$B$1:$VX$1,0),FALSE)/1,0)-IFERROR(VLOOKUP($B292,'Slutlig allokering kvv'!$B$2:$BX$549,MATCH(O$2,'Slutlig allokering kvv'!$B$1:$BX$1,0),FALSE)/1,0))</f>
        <v/>
      </c>
      <c r="P292" s="121" t="str">
        <f>IF($D292="","",IFERROR(VLOOKUP($B292,Kraftvärmeprod!$B$1:$BX$549,MATCH(P$2,Kraftvärmeprod!$B$1:$VX$1,0),FALSE)/1,0)-IFERROR(VLOOKUP($B292,'Slutlig allokering kvv'!$B$2:$BX$549,MATCH(P$2,'Slutlig allokering kvv'!$B$1:$BX$1,0),FALSE)/1,0))</f>
        <v/>
      </c>
      <c r="Q292" s="121" t="str">
        <f>IF($D292="","",IFERROR(VLOOKUP($B292,Kraftvärmeprod!$B$1:$BX$549,MATCH(Q$2,Kraftvärmeprod!$B$1:$VX$1,0),FALSE)/1,0)-IFERROR(VLOOKUP($B292,'Slutlig allokering kvv'!$B$2:$BX$549,MATCH(Q$2,'Slutlig allokering kvv'!$B$1:$BX$1,0),FALSE)/1,0))</f>
        <v/>
      </c>
      <c r="R292" s="121" t="str">
        <f>IF($D292="","",IFERROR(VLOOKUP($B292,Kraftvärmeprod!$B$1:$BX$549,MATCH(R$2,Kraftvärmeprod!$B$1:$VX$1,0),FALSE)/1,0)-IFERROR(VLOOKUP($B292,'Slutlig allokering kvv'!$B$2:$BX$549,MATCH(R$2,'Slutlig allokering kvv'!$B$1:$BX$1,0),FALSE)/1,0))</f>
        <v/>
      </c>
      <c r="S292" s="121" t="str">
        <f>IF($D292="","",IFERROR(VLOOKUP($B292,Kraftvärmeprod!$B$1:$BX$549,MATCH(S$2,Kraftvärmeprod!$B$1:$VX$1,0),FALSE)/1,0)-IFERROR(VLOOKUP($B292,'Slutlig allokering kvv'!$B$2:$BX$549,MATCH(S$2,'Slutlig allokering kvv'!$B$1:$BX$1,0),FALSE)/1,0))</f>
        <v/>
      </c>
      <c r="T292" s="121" t="str">
        <f>IF($D292="","",IFERROR(VLOOKUP($B292,Kraftvärmeprod!$B$1:$BX$549,MATCH(T$2,Kraftvärmeprod!$B$1:$VX$1,0),FALSE)/1,0)-IFERROR(VLOOKUP($B292,'Slutlig allokering kvv'!$B$2:$BX$549,MATCH(T$2,'Slutlig allokering kvv'!$B$1:$BX$1,0),FALSE)/1,0))</f>
        <v/>
      </c>
      <c r="U292" s="121" t="str">
        <f>IF($D292="","",IFERROR(VLOOKUP($B292,Kraftvärmeprod!$B$1:$BX$549,MATCH(U$2,Kraftvärmeprod!$B$1:$VX$1,0),FALSE)/1,0)-IFERROR(VLOOKUP($B292,'Slutlig allokering kvv'!$B$2:$BX$549,MATCH(U$2,'Slutlig allokering kvv'!$B$1:$BX$1,0),FALSE)/1,0))</f>
        <v/>
      </c>
      <c r="V292" s="121" t="str">
        <f>IF($D292="","",IFERROR(VLOOKUP($B292,Kraftvärmeprod!$B$1:$BX$549,MATCH(V$2,Kraftvärmeprod!$B$1:$VX$1,0),FALSE)/1,0)-IFERROR(VLOOKUP($B292,'Slutlig allokering kvv'!$B$2:$BX$549,MATCH(V$2,'Slutlig allokering kvv'!$B$1:$BX$1,0),FALSE)/1,0))</f>
        <v/>
      </c>
      <c r="W292" s="121" t="str">
        <f>IF($D292="","",IFERROR(VLOOKUP($B292,Kraftvärmeprod!$B$1:$BX$549,MATCH(W$2,Kraftvärmeprod!$B$1:$VX$1,0),FALSE)/1,0)-IFERROR(VLOOKUP($B292,'Slutlig allokering kvv'!$B$2:$BX$549,MATCH(W$2,'Slutlig allokering kvv'!$B$1:$BX$1,0),FALSE)/1,0))</f>
        <v/>
      </c>
      <c r="X292" s="121" t="str">
        <f>IF($D292="","",IFERROR(VLOOKUP($B292,Kraftvärmeprod!$B$1:$BX$549,MATCH(X$2,Kraftvärmeprod!$B$1:$VX$1,0),FALSE)/1,0)-IFERROR(VLOOKUP($B292,'Slutlig allokering kvv'!$B$2:$BX$549,MATCH(X$2,'Slutlig allokering kvv'!$B$1:$BX$1,0),FALSE)/1,0))</f>
        <v/>
      </c>
      <c r="Y292" s="121" t="str">
        <f>IF($D292="","",IFERROR(VLOOKUP($B292,Kraftvärmeprod!$B$1:$BX$549,MATCH(Y$2,Kraftvärmeprod!$B$1:$VX$1,0),FALSE)/1,0)-IFERROR(VLOOKUP($B292,'Slutlig allokering kvv'!$B$2:$BX$549,MATCH(Y$2,'Slutlig allokering kvv'!$B$1:$BX$1,0),FALSE)/1,0))</f>
        <v/>
      </c>
      <c r="Z292" s="121" t="str">
        <f>IF($D292="","",IFERROR(VLOOKUP($B292,Kraftvärmeprod!$B$1:$BX$549,MATCH(Z$2,Kraftvärmeprod!$B$1:$VX$1,0),FALSE)/1,0)-IFERROR(VLOOKUP($B292,'Slutlig allokering kvv'!$B$2:$BX$549,MATCH(Z$2,'Slutlig allokering kvv'!$B$1:$BX$1,0),FALSE)/1,0))</f>
        <v/>
      </c>
      <c r="AA292" s="121" t="str">
        <f>IF($D292="","",IFERROR(VLOOKUP($B292,Kraftvärmeprod!$B$1:$BX$549,MATCH(AA$2,Kraftvärmeprod!$B$1:$VX$1,0),FALSE)/1,0)-IFERROR(VLOOKUP($B292,'Slutlig allokering kvv'!$B$2:$BX$549,MATCH(AA$2,'Slutlig allokering kvv'!$B$1:$BX$1,0),FALSE)/1,0))</f>
        <v/>
      </c>
      <c r="AB292" s="121" t="str">
        <f>IF($D292="","",IFERROR(VLOOKUP($B292,Kraftvärmeprod!$B$1:$BX$549,MATCH(AB$2,Kraftvärmeprod!$B$1:$VX$1,0),FALSE)/1,0)-IFERROR(VLOOKUP($B292,'Slutlig allokering kvv'!$B$2:$BX$549,MATCH(AB$2,'Slutlig allokering kvv'!$B$1:$BX$1,0),FALSE)/1,0))</f>
        <v/>
      </c>
      <c r="AC292" s="121" t="str">
        <f>IF($D292="","",IFERROR(VLOOKUP($B292,Kraftvärmeprod!$B$1:$BX$549,MATCH(AC$2,Kraftvärmeprod!$B$1:$VX$1,0),FALSE)/1,0)-IFERROR(VLOOKUP($B292,'Slutlig allokering kvv'!$B$2:$BX$549,MATCH(AC$2,'Slutlig allokering kvv'!$B$1:$BX$1,0),FALSE)/1,0))</f>
        <v/>
      </c>
      <c r="AD292" s="121" t="str">
        <f>IF($D292="","",IFERROR(VLOOKUP($B292,Kraftvärmeprod!$B$1:$BX$549,MATCH(AD$2,Kraftvärmeprod!$B$1:$VX$1,0),FALSE)/1,0)-IFERROR(VLOOKUP($B292,'Slutlig allokering kvv'!$B$2:$BX$549,MATCH(AD$2,'Slutlig allokering kvv'!$B$1:$BX$1,0),FALSE)/1,0))</f>
        <v/>
      </c>
      <c r="AE292" s="121" t="str">
        <f>IF($D292="","",IFERROR(VLOOKUP($B292,Miljö!$B$1:$E$550,MATCH("Hjälpel kraftvärme (GWh)",Miljö!$B$1:$E$1,0),FALSE)/1,0)-IFERROR(VLOOKUP($B292,'Slutlig allokering kvv'!$B$2:$BX$549,MATCH(AE$2,'Slutlig allokering kvv'!$B$1:$BX$1,0),FALSE)/1,0))</f>
        <v/>
      </c>
      <c r="AI292" s="121">
        <f t="shared" si="16"/>
        <v>0</v>
      </c>
      <c r="AK292" s="121">
        <f>IFERROR(VLOOKUP($B292,'Slutlig allokering kvv'!$B$2:$AX$549,MATCH("Summa slutlig allokerad tillförd energi (utan hjälpel och rökgaskondensering):",'Slutlig allokering kvv'!$B$1:$AX$1,0),FALSE)/1,"")</f>
        <v>0</v>
      </c>
      <c r="AM292" s="172" t="str">
        <f>IFERROR(1-VLOOKUP($B292,'Slutlig allokering kvv'!$B$2:$AX$549,MATCH("Andel av bränsle i kvv som allokerats till värme, exklusive rökgaskondensering och hjälpel",'Slutlig allokering kvv'!$B$1:$AX$1,0),FALSE),"")</f>
        <v/>
      </c>
      <c r="AO292" s="172" t="str">
        <f t="shared" si="17"/>
        <v/>
      </c>
      <c r="AP292" s="173" t="str">
        <f t="shared" si="18"/>
        <v/>
      </c>
      <c r="AR292" s="172" t="str">
        <f t="shared" si="19"/>
        <v/>
      </c>
    </row>
    <row r="293" spans="1:44" x14ac:dyDescent="0.25">
      <c r="A293" s="171" t="str">
        <f>'Miljövärden för publ företag'!B295</f>
        <v>Vasa Värme Holding AB</v>
      </c>
      <c r="B293" s="171" t="str">
        <f>'Miljövärden för publ företag'!C295</f>
        <v>Krokek</v>
      </c>
      <c r="C293" s="121" t="str">
        <f>IFERROR(VLOOKUP($B293,Kraftvärmeprod!$B$1:$AH$478,MATCH(C$2,Kraftvärmeprod!$B$1:$AG$1,0),FALSE)/1,"")</f>
        <v/>
      </c>
      <c r="D293" s="121" t="str">
        <f>IFERROR(VLOOKUP($B293,Kraftvärmeprod!$B$1:$AH$478,MATCH(D$2,Kraftvärmeprod!$B$1:$AG$1,0),FALSE)/1,"")</f>
        <v/>
      </c>
      <c r="F293" s="121" t="str">
        <f>IF($D293="","",IFERROR(VLOOKUP($B293,Kraftvärmeprod!$B$1:$BX$549,MATCH(F$2,Kraftvärmeprod!$B$1:$VX$1,0),FALSE)/1,0)-IFERROR(VLOOKUP($B293,'Slutlig allokering kvv'!$B$2:$BX$549,MATCH(F$2,'Slutlig allokering kvv'!$B$1:$BX$1,0),FALSE)/1,0))</f>
        <v/>
      </c>
      <c r="G293" s="121" t="str">
        <f>IF($D293="","",IFERROR(VLOOKUP($B293,Kraftvärmeprod!$B$1:$BX$549,MATCH(G$2,Kraftvärmeprod!$B$1:$VX$1,0),FALSE)/1,0)-IFERROR(VLOOKUP($B293,'Slutlig allokering kvv'!$B$2:$BX$549,MATCH(G$2,'Slutlig allokering kvv'!$B$1:$BX$1,0),FALSE)/1,0))</f>
        <v/>
      </c>
      <c r="H293" s="121" t="str">
        <f>IF($D293="","",IFERROR(VLOOKUP($B293,Kraftvärmeprod!$B$1:$BX$549,MATCH(H$2,Kraftvärmeprod!$B$1:$VX$1,0),FALSE)/1,0)-IFERROR(VLOOKUP($B293,'Slutlig allokering kvv'!$B$2:$BX$549,MATCH(H$2,'Slutlig allokering kvv'!$B$1:$BX$1,0),FALSE)/1,0))</f>
        <v/>
      </c>
      <c r="I293" s="121" t="str">
        <f>IF($D293="","",IFERROR(VLOOKUP($B293,Kraftvärmeprod!$B$1:$BX$549,MATCH(I$2,Kraftvärmeprod!$B$1:$VX$1,0),FALSE)/1,0)-IFERROR(VLOOKUP($B293,'Slutlig allokering kvv'!$B$2:$BX$549,MATCH(I$2,'Slutlig allokering kvv'!$B$1:$BX$1,0),FALSE)/1,0))</f>
        <v/>
      </c>
      <c r="J293" s="121" t="str">
        <f>IF($D293="","",IFERROR(VLOOKUP($B293,Kraftvärmeprod!$B$1:$BX$549,MATCH(J$2,Kraftvärmeprod!$B$1:$VX$1,0),FALSE)/1,0)-IFERROR(VLOOKUP($B293,'Slutlig allokering kvv'!$B$2:$BX$549,MATCH(J$2,'Slutlig allokering kvv'!$B$1:$BX$1,0),FALSE)/1,0))</f>
        <v/>
      </c>
      <c r="K293" s="121" t="str">
        <f>IF($D293="","",IFERROR(VLOOKUP($B293,Kraftvärmeprod!$B$1:$BX$549,MATCH(K$2,Kraftvärmeprod!$B$1:$VX$1,0),FALSE)/1,0)-IFERROR(VLOOKUP($B293,'Slutlig allokering kvv'!$B$2:$BX$549,MATCH(K$2,'Slutlig allokering kvv'!$B$1:$BX$1,0),FALSE)/1,0))</f>
        <v/>
      </c>
      <c r="L293" s="121" t="str">
        <f>IF($D293="","",IFERROR(VLOOKUP($B293,Kraftvärmeprod!$B$1:$BX$549,MATCH(L$2,Kraftvärmeprod!$B$1:$VX$1,0),FALSE)/1,0)-IFERROR(VLOOKUP($B293,'Slutlig allokering kvv'!$B$2:$BX$549,MATCH(L$2,'Slutlig allokering kvv'!$B$1:$BX$1,0),FALSE)/1,0))</f>
        <v/>
      </c>
      <c r="M293" s="121" t="str">
        <f>IF($D293="","",IFERROR(VLOOKUP($B293,Kraftvärmeprod!$B$1:$BX$549,MATCH(M$2,Kraftvärmeprod!$B$1:$VX$1,0),FALSE)/1,0)-IFERROR(VLOOKUP($B293,'Slutlig allokering kvv'!$B$2:$BX$549,MATCH(M$2,'Slutlig allokering kvv'!$B$1:$BX$1,0),FALSE)/1,0))</f>
        <v/>
      </c>
      <c r="N293" s="121" t="str">
        <f>IF($D293="","",IFERROR(VLOOKUP($B293,Kraftvärmeprod!$B$1:$BX$549,MATCH(N$2,Kraftvärmeprod!$B$1:$VX$1,0),FALSE)/1,0)-IFERROR(VLOOKUP($B293,'Slutlig allokering kvv'!$B$2:$BX$549,MATCH(N$2,'Slutlig allokering kvv'!$B$1:$BX$1,0),FALSE)/1,0))</f>
        <v/>
      </c>
      <c r="O293" s="121" t="str">
        <f>IF($D293="","",IFERROR(VLOOKUP($B293,Kraftvärmeprod!$B$1:$BX$549,MATCH(O$2,Kraftvärmeprod!$B$1:$VX$1,0),FALSE)/1,0)-IFERROR(VLOOKUP($B293,'Slutlig allokering kvv'!$B$2:$BX$549,MATCH(O$2,'Slutlig allokering kvv'!$B$1:$BX$1,0),FALSE)/1,0))</f>
        <v/>
      </c>
      <c r="P293" s="121" t="str">
        <f>IF($D293="","",IFERROR(VLOOKUP($B293,Kraftvärmeprod!$B$1:$BX$549,MATCH(P$2,Kraftvärmeprod!$B$1:$VX$1,0),FALSE)/1,0)-IFERROR(VLOOKUP($B293,'Slutlig allokering kvv'!$B$2:$BX$549,MATCH(P$2,'Slutlig allokering kvv'!$B$1:$BX$1,0),FALSE)/1,0))</f>
        <v/>
      </c>
      <c r="Q293" s="121" t="str">
        <f>IF($D293="","",IFERROR(VLOOKUP($B293,Kraftvärmeprod!$B$1:$BX$549,MATCH(Q$2,Kraftvärmeprod!$B$1:$VX$1,0),FALSE)/1,0)-IFERROR(VLOOKUP($B293,'Slutlig allokering kvv'!$B$2:$BX$549,MATCH(Q$2,'Slutlig allokering kvv'!$B$1:$BX$1,0),FALSE)/1,0))</f>
        <v/>
      </c>
      <c r="R293" s="121" t="str">
        <f>IF($D293="","",IFERROR(VLOOKUP($B293,Kraftvärmeprod!$B$1:$BX$549,MATCH(R$2,Kraftvärmeprod!$B$1:$VX$1,0),FALSE)/1,0)-IFERROR(VLOOKUP($B293,'Slutlig allokering kvv'!$B$2:$BX$549,MATCH(R$2,'Slutlig allokering kvv'!$B$1:$BX$1,0),FALSE)/1,0))</f>
        <v/>
      </c>
      <c r="S293" s="121" t="str">
        <f>IF($D293="","",IFERROR(VLOOKUP($B293,Kraftvärmeprod!$B$1:$BX$549,MATCH(S$2,Kraftvärmeprod!$B$1:$VX$1,0),FALSE)/1,0)-IFERROR(VLOOKUP($B293,'Slutlig allokering kvv'!$B$2:$BX$549,MATCH(S$2,'Slutlig allokering kvv'!$B$1:$BX$1,0),FALSE)/1,0))</f>
        <v/>
      </c>
      <c r="T293" s="121" t="str">
        <f>IF($D293="","",IFERROR(VLOOKUP($B293,Kraftvärmeprod!$B$1:$BX$549,MATCH(T$2,Kraftvärmeprod!$B$1:$VX$1,0),FALSE)/1,0)-IFERROR(VLOOKUP($B293,'Slutlig allokering kvv'!$B$2:$BX$549,MATCH(T$2,'Slutlig allokering kvv'!$B$1:$BX$1,0),FALSE)/1,0))</f>
        <v/>
      </c>
      <c r="U293" s="121" t="str">
        <f>IF($D293="","",IFERROR(VLOOKUP($B293,Kraftvärmeprod!$B$1:$BX$549,MATCH(U$2,Kraftvärmeprod!$B$1:$VX$1,0),FALSE)/1,0)-IFERROR(VLOOKUP($B293,'Slutlig allokering kvv'!$B$2:$BX$549,MATCH(U$2,'Slutlig allokering kvv'!$B$1:$BX$1,0),FALSE)/1,0))</f>
        <v/>
      </c>
      <c r="V293" s="121" t="str">
        <f>IF($D293="","",IFERROR(VLOOKUP($B293,Kraftvärmeprod!$B$1:$BX$549,MATCH(V$2,Kraftvärmeprod!$B$1:$VX$1,0),FALSE)/1,0)-IFERROR(VLOOKUP($B293,'Slutlig allokering kvv'!$B$2:$BX$549,MATCH(V$2,'Slutlig allokering kvv'!$B$1:$BX$1,0),FALSE)/1,0))</f>
        <v/>
      </c>
      <c r="W293" s="121" t="str">
        <f>IF($D293="","",IFERROR(VLOOKUP($B293,Kraftvärmeprod!$B$1:$BX$549,MATCH(W$2,Kraftvärmeprod!$B$1:$VX$1,0),FALSE)/1,0)-IFERROR(VLOOKUP($B293,'Slutlig allokering kvv'!$B$2:$BX$549,MATCH(W$2,'Slutlig allokering kvv'!$B$1:$BX$1,0),FALSE)/1,0))</f>
        <v/>
      </c>
      <c r="X293" s="121" t="str">
        <f>IF($D293="","",IFERROR(VLOOKUP($B293,Kraftvärmeprod!$B$1:$BX$549,MATCH(X$2,Kraftvärmeprod!$B$1:$VX$1,0),FALSE)/1,0)-IFERROR(VLOOKUP($B293,'Slutlig allokering kvv'!$B$2:$BX$549,MATCH(X$2,'Slutlig allokering kvv'!$B$1:$BX$1,0),FALSE)/1,0))</f>
        <v/>
      </c>
      <c r="Y293" s="121" t="str">
        <f>IF($D293="","",IFERROR(VLOOKUP($B293,Kraftvärmeprod!$B$1:$BX$549,MATCH(Y$2,Kraftvärmeprod!$B$1:$VX$1,0),FALSE)/1,0)-IFERROR(VLOOKUP($B293,'Slutlig allokering kvv'!$B$2:$BX$549,MATCH(Y$2,'Slutlig allokering kvv'!$B$1:$BX$1,0),FALSE)/1,0))</f>
        <v/>
      </c>
      <c r="Z293" s="121" t="str">
        <f>IF($D293="","",IFERROR(VLOOKUP($B293,Kraftvärmeprod!$B$1:$BX$549,MATCH(Z$2,Kraftvärmeprod!$B$1:$VX$1,0),FALSE)/1,0)-IFERROR(VLOOKUP($B293,'Slutlig allokering kvv'!$B$2:$BX$549,MATCH(Z$2,'Slutlig allokering kvv'!$B$1:$BX$1,0),FALSE)/1,0))</f>
        <v/>
      </c>
      <c r="AA293" s="121" t="str">
        <f>IF($D293="","",IFERROR(VLOOKUP($B293,Kraftvärmeprod!$B$1:$BX$549,MATCH(AA$2,Kraftvärmeprod!$B$1:$VX$1,0),FALSE)/1,0)-IFERROR(VLOOKUP($B293,'Slutlig allokering kvv'!$B$2:$BX$549,MATCH(AA$2,'Slutlig allokering kvv'!$B$1:$BX$1,0),FALSE)/1,0))</f>
        <v/>
      </c>
      <c r="AB293" s="121" t="str">
        <f>IF($D293="","",IFERROR(VLOOKUP($B293,Kraftvärmeprod!$B$1:$BX$549,MATCH(AB$2,Kraftvärmeprod!$B$1:$VX$1,0),FALSE)/1,0)-IFERROR(VLOOKUP($B293,'Slutlig allokering kvv'!$B$2:$BX$549,MATCH(AB$2,'Slutlig allokering kvv'!$B$1:$BX$1,0),FALSE)/1,0))</f>
        <v/>
      </c>
      <c r="AC293" s="121" t="str">
        <f>IF($D293="","",IFERROR(VLOOKUP($B293,Kraftvärmeprod!$B$1:$BX$549,MATCH(AC$2,Kraftvärmeprod!$B$1:$VX$1,0),FALSE)/1,0)-IFERROR(VLOOKUP($B293,'Slutlig allokering kvv'!$B$2:$BX$549,MATCH(AC$2,'Slutlig allokering kvv'!$B$1:$BX$1,0),FALSE)/1,0))</f>
        <v/>
      </c>
      <c r="AD293" s="121" t="str">
        <f>IF($D293="","",IFERROR(VLOOKUP($B293,Kraftvärmeprod!$B$1:$BX$549,MATCH(AD$2,Kraftvärmeprod!$B$1:$VX$1,0),FALSE)/1,0)-IFERROR(VLOOKUP($B293,'Slutlig allokering kvv'!$B$2:$BX$549,MATCH(AD$2,'Slutlig allokering kvv'!$B$1:$BX$1,0),FALSE)/1,0))</f>
        <v/>
      </c>
      <c r="AE293" s="121" t="str">
        <f>IF($D293="","",IFERROR(VLOOKUP($B293,Miljö!$B$1:$E$550,MATCH("Hjälpel kraftvärme (GWh)",Miljö!$B$1:$E$1,0),FALSE)/1,0)-IFERROR(VLOOKUP($B293,'Slutlig allokering kvv'!$B$2:$BX$549,MATCH(AE$2,'Slutlig allokering kvv'!$B$1:$BX$1,0),FALSE)/1,0))</f>
        <v/>
      </c>
      <c r="AI293" s="121">
        <f t="shared" si="16"/>
        <v>0</v>
      </c>
      <c r="AK293" s="121">
        <f>IFERROR(VLOOKUP($B293,'Slutlig allokering kvv'!$B$2:$AX$549,MATCH("Summa slutlig allokerad tillförd energi (utan hjälpel och rökgaskondensering):",'Slutlig allokering kvv'!$B$1:$AX$1,0),FALSE)/1,"")</f>
        <v>0</v>
      </c>
      <c r="AM293" s="172" t="str">
        <f>IFERROR(1-VLOOKUP($B293,'Slutlig allokering kvv'!$B$2:$AX$549,MATCH("Andel av bränsle i kvv som allokerats till värme, exklusive rökgaskondensering och hjälpel",'Slutlig allokering kvv'!$B$1:$AX$1,0),FALSE),"")</f>
        <v/>
      </c>
      <c r="AO293" s="172" t="str">
        <f t="shared" si="17"/>
        <v/>
      </c>
      <c r="AP293" s="173" t="str">
        <f t="shared" si="18"/>
        <v/>
      </c>
      <c r="AR293" s="172" t="str">
        <f t="shared" si="19"/>
        <v/>
      </c>
    </row>
    <row r="294" spans="1:44" x14ac:dyDescent="0.25">
      <c r="A294" s="171" t="str">
        <f>'Miljövärden för publ företag'!B296</f>
        <v>Vattenfall AB</v>
      </c>
      <c r="B294" s="171" t="str">
        <f>'Miljövärden för publ företag'!C296</f>
        <v>Askersund</v>
      </c>
      <c r="C294" s="121" t="str">
        <f>IFERROR(VLOOKUP($B294,Kraftvärmeprod!$B$1:$AH$478,MATCH(C$2,Kraftvärmeprod!$B$1:$AG$1,0),FALSE)/1,"")</f>
        <v/>
      </c>
      <c r="D294" s="121" t="str">
        <f>IFERROR(VLOOKUP($B294,Kraftvärmeprod!$B$1:$AH$478,MATCH(D$2,Kraftvärmeprod!$B$1:$AG$1,0),FALSE)/1,"")</f>
        <v/>
      </c>
      <c r="F294" s="121" t="str">
        <f>IF($D294="","",IFERROR(VLOOKUP($B294,Kraftvärmeprod!$B$1:$BX$549,MATCH(F$2,Kraftvärmeprod!$B$1:$VX$1,0),FALSE)/1,0)-IFERROR(VLOOKUP($B294,'Slutlig allokering kvv'!$B$2:$BX$549,MATCH(F$2,'Slutlig allokering kvv'!$B$1:$BX$1,0),FALSE)/1,0))</f>
        <v/>
      </c>
      <c r="G294" s="121" t="str">
        <f>IF($D294="","",IFERROR(VLOOKUP($B294,Kraftvärmeprod!$B$1:$BX$549,MATCH(G$2,Kraftvärmeprod!$B$1:$VX$1,0),FALSE)/1,0)-IFERROR(VLOOKUP($B294,'Slutlig allokering kvv'!$B$2:$BX$549,MATCH(G$2,'Slutlig allokering kvv'!$B$1:$BX$1,0),FALSE)/1,0))</f>
        <v/>
      </c>
      <c r="H294" s="121" t="str">
        <f>IF($D294="","",IFERROR(VLOOKUP($B294,Kraftvärmeprod!$B$1:$BX$549,MATCH(H$2,Kraftvärmeprod!$B$1:$VX$1,0),FALSE)/1,0)-IFERROR(VLOOKUP($B294,'Slutlig allokering kvv'!$B$2:$BX$549,MATCH(H$2,'Slutlig allokering kvv'!$B$1:$BX$1,0),FALSE)/1,0))</f>
        <v/>
      </c>
      <c r="I294" s="121" t="str">
        <f>IF($D294="","",IFERROR(VLOOKUP($B294,Kraftvärmeprod!$B$1:$BX$549,MATCH(I$2,Kraftvärmeprod!$B$1:$VX$1,0),FALSE)/1,0)-IFERROR(VLOOKUP($B294,'Slutlig allokering kvv'!$B$2:$BX$549,MATCH(I$2,'Slutlig allokering kvv'!$B$1:$BX$1,0),FALSE)/1,0))</f>
        <v/>
      </c>
      <c r="J294" s="121" t="str">
        <f>IF($D294="","",IFERROR(VLOOKUP($B294,Kraftvärmeprod!$B$1:$BX$549,MATCH(J$2,Kraftvärmeprod!$B$1:$VX$1,0),FALSE)/1,0)-IFERROR(VLOOKUP($B294,'Slutlig allokering kvv'!$B$2:$BX$549,MATCH(J$2,'Slutlig allokering kvv'!$B$1:$BX$1,0),FALSE)/1,0))</f>
        <v/>
      </c>
      <c r="K294" s="121" t="str">
        <f>IF($D294="","",IFERROR(VLOOKUP($B294,Kraftvärmeprod!$B$1:$BX$549,MATCH(K$2,Kraftvärmeprod!$B$1:$VX$1,0),FALSE)/1,0)-IFERROR(VLOOKUP($B294,'Slutlig allokering kvv'!$B$2:$BX$549,MATCH(K$2,'Slutlig allokering kvv'!$B$1:$BX$1,0),FALSE)/1,0))</f>
        <v/>
      </c>
      <c r="L294" s="121" t="str">
        <f>IF($D294="","",IFERROR(VLOOKUP($B294,Kraftvärmeprod!$B$1:$BX$549,MATCH(L$2,Kraftvärmeprod!$B$1:$VX$1,0),FALSE)/1,0)-IFERROR(VLOOKUP($B294,'Slutlig allokering kvv'!$B$2:$BX$549,MATCH(L$2,'Slutlig allokering kvv'!$B$1:$BX$1,0),FALSE)/1,0))</f>
        <v/>
      </c>
      <c r="M294" s="121" t="str">
        <f>IF($D294="","",IFERROR(VLOOKUP($B294,Kraftvärmeprod!$B$1:$BX$549,MATCH(M$2,Kraftvärmeprod!$B$1:$VX$1,0),FALSE)/1,0)-IFERROR(VLOOKUP($B294,'Slutlig allokering kvv'!$B$2:$BX$549,MATCH(M$2,'Slutlig allokering kvv'!$B$1:$BX$1,0),FALSE)/1,0))</f>
        <v/>
      </c>
      <c r="N294" s="121" t="str">
        <f>IF($D294="","",IFERROR(VLOOKUP($B294,Kraftvärmeprod!$B$1:$BX$549,MATCH(N$2,Kraftvärmeprod!$B$1:$VX$1,0),FALSE)/1,0)-IFERROR(VLOOKUP($B294,'Slutlig allokering kvv'!$B$2:$BX$549,MATCH(N$2,'Slutlig allokering kvv'!$B$1:$BX$1,0),FALSE)/1,0))</f>
        <v/>
      </c>
      <c r="O294" s="121" t="str">
        <f>IF($D294="","",IFERROR(VLOOKUP($B294,Kraftvärmeprod!$B$1:$BX$549,MATCH(O$2,Kraftvärmeprod!$B$1:$VX$1,0),FALSE)/1,0)-IFERROR(VLOOKUP($B294,'Slutlig allokering kvv'!$B$2:$BX$549,MATCH(O$2,'Slutlig allokering kvv'!$B$1:$BX$1,0),FALSE)/1,0))</f>
        <v/>
      </c>
      <c r="P294" s="121" t="str">
        <f>IF($D294="","",IFERROR(VLOOKUP($B294,Kraftvärmeprod!$B$1:$BX$549,MATCH(P$2,Kraftvärmeprod!$B$1:$VX$1,0),FALSE)/1,0)-IFERROR(VLOOKUP($B294,'Slutlig allokering kvv'!$B$2:$BX$549,MATCH(P$2,'Slutlig allokering kvv'!$B$1:$BX$1,0),FALSE)/1,0))</f>
        <v/>
      </c>
      <c r="Q294" s="121" t="str">
        <f>IF($D294="","",IFERROR(VLOOKUP($B294,Kraftvärmeprod!$B$1:$BX$549,MATCH(Q$2,Kraftvärmeprod!$B$1:$VX$1,0),FALSE)/1,0)-IFERROR(VLOOKUP($B294,'Slutlig allokering kvv'!$B$2:$BX$549,MATCH(Q$2,'Slutlig allokering kvv'!$B$1:$BX$1,0),FALSE)/1,0))</f>
        <v/>
      </c>
      <c r="R294" s="121" t="str">
        <f>IF($D294="","",IFERROR(VLOOKUP($B294,Kraftvärmeprod!$B$1:$BX$549,MATCH(R$2,Kraftvärmeprod!$B$1:$VX$1,0),FALSE)/1,0)-IFERROR(VLOOKUP($B294,'Slutlig allokering kvv'!$B$2:$BX$549,MATCH(R$2,'Slutlig allokering kvv'!$B$1:$BX$1,0),FALSE)/1,0))</f>
        <v/>
      </c>
      <c r="S294" s="121" t="str">
        <f>IF($D294="","",IFERROR(VLOOKUP($B294,Kraftvärmeprod!$B$1:$BX$549,MATCH(S$2,Kraftvärmeprod!$B$1:$VX$1,0),FALSE)/1,0)-IFERROR(VLOOKUP($B294,'Slutlig allokering kvv'!$B$2:$BX$549,MATCH(S$2,'Slutlig allokering kvv'!$B$1:$BX$1,0),FALSE)/1,0))</f>
        <v/>
      </c>
      <c r="T294" s="121" t="str">
        <f>IF($D294="","",IFERROR(VLOOKUP($B294,Kraftvärmeprod!$B$1:$BX$549,MATCH(T$2,Kraftvärmeprod!$B$1:$VX$1,0),FALSE)/1,0)-IFERROR(VLOOKUP($B294,'Slutlig allokering kvv'!$B$2:$BX$549,MATCH(T$2,'Slutlig allokering kvv'!$B$1:$BX$1,0),FALSE)/1,0))</f>
        <v/>
      </c>
      <c r="U294" s="121" t="str">
        <f>IF($D294="","",IFERROR(VLOOKUP($B294,Kraftvärmeprod!$B$1:$BX$549,MATCH(U$2,Kraftvärmeprod!$B$1:$VX$1,0),FALSE)/1,0)-IFERROR(VLOOKUP($B294,'Slutlig allokering kvv'!$B$2:$BX$549,MATCH(U$2,'Slutlig allokering kvv'!$B$1:$BX$1,0),FALSE)/1,0))</f>
        <v/>
      </c>
      <c r="V294" s="121" t="str">
        <f>IF($D294="","",IFERROR(VLOOKUP($B294,Kraftvärmeprod!$B$1:$BX$549,MATCH(V$2,Kraftvärmeprod!$B$1:$VX$1,0),FALSE)/1,0)-IFERROR(VLOOKUP($B294,'Slutlig allokering kvv'!$B$2:$BX$549,MATCH(V$2,'Slutlig allokering kvv'!$B$1:$BX$1,0),FALSE)/1,0))</f>
        <v/>
      </c>
      <c r="W294" s="121" t="str">
        <f>IF($D294="","",IFERROR(VLOOKUP($B294,Kraftvärmeprod!$B$1:$BX$549,MATCH(W$2,Kraftvärmeprod!$B$1:$VX$1,0),FALSE)/1,0)-IFERROR(VLOOKUP($B294,'Slutlig allokering kvv'!$B$2:$BX$549,MATCH(W$2,'Slutlig allokering kvv'!$B$1:$BX$1,0),FALSE)/1,0))</f>
        <v/>
      </c>
      <c r="X294" s="121" t="str">
        <f>IF($D294="","",IFERROR(VLOOKUP($B294,Kraftvärmeprod!$B$1:$BX$549,MATCH(X$2,Kraftvärmeprod!$B$1:$VX$1,0),FALSE)/1,0)-IFERROR(VLOOKUP($B294,'Slutlig allokering kvv'!$B$2:$BX$549,MATCH(X$2,'Slutlig allokering kvv'!$B$1:$BX$1,0),FALSE)/1,0))</f>
        <v/>
      </c>
      <c r="Y294" s="121" t="str">
        <f>IF($D294="","",IFERROR(VLOOKUP($B294,Kraftvärmeprod!$B$1:$BX$549,MATCH(Y$2,Kraftvärmeprod!$B$1:$VX$1,0),FALSE)/1,0)-IFERROR(VLOOKUP($B294,'Slutlig allokering kvv'!$B$2:$BX$549,MATCH(Y$2,'Slutlig allokering kvv'!$B$1:$BX$1,0),FALSE)/1,0))</f>
        <v/>
      </c>
      <c r="Z294" s="121" t="str">
        <f>IF($D294="","",IFERROR(VLOOKUP($B294,Kraftvärmeprod!$B$1:$BX$549,MATCH(Z$2,Kraftvärmeprod!$B$1:$VX$1,0),FALSE)/1,0)-IFERROR(VLOOKUP($B294,'Slutlig allokering kvv'!$B$2:$BX$549,MATCH(Z$2,'Slutlig allokering kvv'!$B$1:$BX$1,0),FALSE)/1,0))</f>
        <v/>
      </c>
      <c r="AA294" s="121" t="str">
        <f>IF($D294="","",IFERROR(VLOOKUP($B294,Kraftvärmeprod!$B$1:$BX$549,MATCH(AA$2,Kraftvärmeprod!$B$1:$VX$1,0),FALSE)/1,0)-IFERROR(VLOOKUP($B294,'Slutlig allokering kvv'!$B$2:$BX$549,MATCH(AA$2,'Slutlig allokering kvv'!$B$1:$BX$1,0),FALSE)/1,0))</f>
        <v/>
      </c>
      <c r="AB294" s="121" t="str">
        <f>IF($D294="","",IFERROR(VLOOKUP($B294,Kraftvärmeprod!$B$1:$BX$549,MATCH(AB$2,Kraftvärmeprod!$B$1:$VX$1,0),FALSE)/1,0)-IFERROR(VLOOKUP($B294,'Slutlig allokering kvv'!$B$2:$BX$549,MATCH(AB$2,'Slutlig allokering kvv'!$B$1:$BX$1,0),FALSE)/1,0))</f>
        <v/>
      </c>
      <c r="AC294" s="121" t="str">
        <f>IF($D294="","",IFERROR(VLOOKUP($B294,Kraftvärmeprod!$B$1:$BX$549,MATCH(AC$2,Kraftvärmeprod!$B$1:$VX$1,0),FALSE)/1,0)-IFERROR(VLOOKUP($B294,'Slutlig allokering kvv'!$B$2:$BX$549,MATCH(AC$2,'Slutlig allokering kvv'!$B$1:$BX$1,0),FALSE)/1,0))</f>
        <v/>
      </c>
      <c r="AD294" s="121" t="str">
        <f>IF($D294="","",IFERROR(VLOOKUP($B294,Kraftvärmeprod!$B$1:$BX$549,MATCH(AD$2,Kraftvärmeprod!$B$1:$VX$1,0),FALSE)/1,0)-IFERROR(VLOOKUP($B294,'Slutlig allokering kvv'!$B$2:$BX$549,MATCH(AD$2,'Slutlig allokering kvv'!$B$1:$BX$1,0),FALSE)/1,0))</f>
        <v/>
      </c>
      <c r="AE294" s="121" t="str">
        <f>IF($D294="","",IFERROR(VLOOKUP($B294,Miljö!$B$1:$E$550,MATCH("Hjälpel kraftvärme (GWh)",Miljö!$B$1:$E$1,0),FALSE)/1,0)-IFERROR(VLOOKUP($B294,'Slutlig allokering kvv'!$B$2:$BX$549,MATCH(AE$2,'Slutlig allokering kvv'!$B$1:$BX$1,0),FALSE)/1,0))</f>
        <v/>
      </c>
      <c r="AI294" s="121">
        <f t="shared" si="16"/>
        <v>0</v>
      </c>
      <c r="AK294" s="121">
        <f>IFERROR(VLOOKUP($B294,'Slutlig allokering kvv'!$B$2:$AX$549,MATCH("Summa slutlig allokerad tillförd energi (utan hjälpel och rökgaskondensering):",'Slutlig allokering kvv'!$B$1:$AX$1,0),FALSE)/1,"")</f>
        <v>0</v>
      </c>
      <c r="AM294" s="172" t="str">
        <f>IFERROR(1-VLOOKUP($B294,'Slutlig allokering kvv'!$B$2:$AX$549,MATCH("Andel av bränsle i kvv som allokerats till värme, exklusive rökgaskondensering och hjälpel",'Slutlig allokering kvv'!$B$1:$AX$1,0),FALSE),"")</f>
        <v/>
      </c>
      <c r="AO294" s="172" t="str">
        <f t="shared" si="17"/>
        <v/>
      </c>
      <c r="AP294" s="173" t="str">
        <f t="shared" si="18"/>
        <v/>
      </c>
      <c r="AR294" s="172" t="str">
        <f t="shared" si="19"/>
        <v/>
      </c>
    </row>
    <row r="295" spans="1:44" x14ac:dyDescent="0.25">
      <c r="A295" s="171" t="str">
        <f>'Miljövärden för publ företag'!B297</f>
        <v>Vattenfall AB</v>
      </c>
      <c r="B295" s="171" t="str">
        <f>'Miljövärden för publ företag'!C297</f>
        <v>Drefviken</v>
      </c>
      <c r="C295" s="121">
        <f>IFERROR(VLOOKUP($B295,Kraftvärmeprod!$B$1:$AH$478,MATCH(C$2,Kraftvärmeprod!$B$1:$AG$1,0),FALSE)/1,"")</f>
        <v>312.10000000000002</v>
      </c>
      <c r="D295" s="121">
        <f>IFERROR(VLOOKUP($B295,Kraftvärmeprod!$B$1:$AH$478,MATCH(D$2,Kraftvärmeprod!$B$1:$AG$1,0),FALSE)/1,"")</f>
        <v>12.91</v>
      </c>
      <c r="F295" s="121">
        <f>IF($D295="","",IFERROR(VLOOKUP($B295,Kraftvärmeprod!$B$1:$BX$549,MATCH(F$2,Kraftvärmeprod!$B$1:$VX$1,0),FALSE)/1,0)-IFERROR(VLOOKUP($B295,'Slutlig allokering kvv'!$B$2:$BX$549,MATCH(F$2,'Slutlig allokering kvv'!$B$1:$BX$1,0),FALSE)/1,0))</f>
        <v>0</v>
      </c>
      <c r="G295" s="121">
        <f>IF($D295="","",IFERROR(VLOOKUP($B295,Kraftvärmeprod!$B$1:$BX$549,MATCH(G$2,Kraftvärmeprod!$B$1:$VX$1,0),FALSE)/1,0)-IFERROR(VLOOKUP($B295,'Slutlig allokering kvv'!$B$2:$BX$549,MATCH(G$2,'Slutlig allokering kvv'!$B$1:$BX$1,0),FALSE)/1,0))</f>
        <v>0</v>
      </c>
      <c r="H295" s="121">
        <f>IF($D295="","",IFERROR(VLOOKUP($B295,Kraftvärmeprod!$B$1:$BX$549,MATCH(H$2,Kraftvärmeprod!$B$1:$VX$1,0),FALSE)/1,0)-IFERROR(VLOOKUP($B295,'Slutlig allokering kvv'!$B$2:$BX$549,MATCH(H$2,'Slutlig allokering kvv'!$B$1:$BX$1,0),FALSE)/1,0))</f>
        <v>0</v>
      </c>
      <c r="I295" s="121">
        <f>IF($D295="","",IFERROR(VLOOKUP($B295,Kraftvärmeprod!$B$1:$BX$549,MATCH(I$2,Kraftvärmeprod!$B$1:$VX$1,0),FALSE)/1,0)-IFERROR(VLOOKUP($B295,'Slutlig allokering kvv'!$B$2:$BX$549,MATCH(I$2,'Slutlig allokering kvv'!$B$1:$BX$1,0),FALSE)/1,0))</f>
        <v>0</v>
      </c>
      <c r="J295" s="121">
        <f>IF($D295="","",IFERROR(VLOOKUP($B295,Kraftvärmeprod!$B$1:$BX$549,MATCH(J$2,Kraftvärmeprod!$B$1:$VX$1,0),FALSE)/1,0)-IFERROR(VLOOKUP($B295,'Slutlig allokering kvv'!$B$2:$BX$549,MATCH(J$2,'Slutlig allokering kvv'!$B$1:$BX$1,0),FALSE)/1,0))</f>
        <v>0</v>
      </c>
      <c r="K295" s="121">
        <f>IF($D295="","",IFERROR(VLOOKUP($B295,Kraftvärmeprod!$B$1:$BX$549,MATCH(K$2,Kraftvärmeprod!$B$1:$VX$1,0),FALSE)/1,0)-IFERROR(VLOOKUP($B295,'Slutlig allokering kvv'!$B$2:$BX$549,MATCH(K$2,'Slutlig allokering kvv'!$B$1:$BX$1,0),FALSE)/1,0))</f>
        <v>0</v>
      </c>
      <c r="L295" s="121">
        <f>IF($D295="","",IFERROR(VLOOKUP($B295,Kraftvärmeprod!$B$1:$BX$549,MATCH(L$2,Kraftvärmeprod!$B$1:$VX$1,0),FALSE)/1,0)-IFERROR(VLOOKUP($B295,'Slutlig allokering kvv'!$B$2:$BX$549,MATCH(L$2,'Slutlig allokering kvv'!$B$1:$BX$1,0),FALSE)/1,0))</f>
        <v>0</v>
      </c>
      <c r="M295" s="121">
        <f>IF($D295="","",IFERROR(VLOOKUP($B295,Kraftvärmeprod!$B$1:$BX$549,MATCH(M$2,Kraftvärmeprod!$B$1:$VX$1,0),FALSE)/1,0)-IFERROR(VLOOKUP($B295,'Slutlig allokering kvv'!$B$2:$BX$549,MATCH(M$2,'Slutlig allokering kvv'!$B$1:$BX$1,0),FALSE)/1,0))</f>
        <v>0</v>
      </c>
      <c r="N295" s="121">
        <f>IF($D295="","",IFERROR(VLOOKUP($B295,Kraftvärmeprod!$B$1:$BX$549,MATCH(N$2,Kraftvärmeprod!$B$1:$VX$1,0),FALSE)/1,0)-IFERROR(VLOOKUP($B295,'Slutlig allokering kvv'!$B$2:$BX$549,MATCH(N$2,'Slutlig allokering kvv'!$B$1:$BX$1,0),FALSE)/1,0))</f>
        <v>0.45249000000000006</v>
      </c>
      <c r="O295" s="121">
        <f>IF($D295="","",IFERROR(VLOOKUP($B295,Kraftvärmeprod!$B$1:$BX$549,MATCH(O$2,Kraftvärmeprod!$B$1:$VX$1,0),FALSE)/1,0)-IFERROR(VLOOKUP($B295,'Slutlig allokering kvv'!$B$2:$BX$549,MATCH(O$2,'Slutlig allokering kvv'!$B$1:$BX$1,0),FALSE)/1,0))</f>
        <v>0</v>
      </c>
      <c r="P295" s="121">
        <f>IF($D295="","",IFERROR(VLOOKUP($B295,Kraftvärmeprod!$B$1:$BX$549,MATCH(P$2,Kraftvärmeprod!$B$1:$VX$1,0),FALSE)/1,0)-IFERROR(VLOOKUP($B295,'Slutlig allokering kvv'!$B$2:$BX$549,MATCH(P$2,'Slutlig allokering kvv'!$B$1:$BX$1,0),FALSE)/1,0))</f>
        <v>0</v>
      </c>
      <c r="Q295" s="121">
        <f>IF($D295="","",IFERROR(VLOOKUP($B295,Kraftvärmeprod!$B$1:$BX$549,MATCH(Q$2,Kraftvärmeprod!$B$1:$VX$1,0),FALSE)/1,0)-IFERROR(VLOOKUP($B295,'Slutlig allokering kvv'!$B$2:$BX$549,MATCH(Q$2,'Slutlig allokering kvv'!$B$1:$BX$1,0),FALSE)/1,0))</f>
        <v>0</v>
      </c>
      <c r="R295" s="121">
        <f>IF($D295="","",IFERROR(VLOOKUP($B295,Kraftvärmeprod!$B$1:$BX$549,MATCH(R$2,Kraftvärmeprod!$B$1:$VX$1,0),FALSE)/1,0)-IFERROR(VLOOKUP($B295,'Slutlig allokering kvv'!$B$2:$BX$549,MATCH(R$2,'Slutlig allokering kvv'!$B$1:$BX$1,0),FALSE)/1,0))</f>
        <v>0</v>
      </c>
      <c r="S295" s="121">
        <f>IF($D295="","",IFERROR(VLOOKUP($B295,Kraftvärmeprod!$B$1:$BX$549,MATCH(S$2,Kraftvärmeprod!$B$1:$VX$1,0),FALSE)/1,0)-IFERROR(VLOOKUP($B295,'Slutlig allokering kvv'!$B$2:$BX$549,MATCH(S$2,'Slutlig allokering kvv'!$B$1:$BX$1,0),FALSE)/1,0))</f>
        <v>0</v>
      </c>
      <c r="T295" s="121">
        <f>IF($D295="","",IFERROR(VLOOKUP($B295,Kraftvärmeprod!$B$1:$BX$549,MATCH(T$2,Kraftvärmeprod!$B$1:$VX$1,0),FALSE)/1,0)-IFERROR(VLOOKUP($B295,'Slutlig allokering kvv'!$B$2:$BX$549,MATCH(T$2,'Slutlig allokering kvv'!$B$1:$BX$1,0),FALSE)/1,0))</f>
        <v>0</v>
      </c>
      <c r="U295" s="121">
        <f>IF($D295="","",IFERROR(VLOOKUP($B295,Kraftvärmeprod!$B$1:$BX$549,MATCH(U$2,Kraftvärmeprod!$B$1:$VX$1,0),FALSE)/1,0)-IFERROR(VLOOKUP($B295,'Slutlig allokering kvv'!$B$2:$BX$549,MATCH(U$2,'Slutlig allokering kvv'!$B$1:$BX$1,0),FALSE)/1,0))</f>
        <v>0</v>
      </c>
      <c r="V295" s="121">
        <f>IF($D295="","",IFERROR(VLOOKUP($B295,Kraftvärmeprod!$B$1:$BX$549,MATCH(V$2,Kraftvärmeprod!$B$1:$VX$1,0),FALSE)/1,0)-IFERROR(VLOOKUP($B295,'Slutlig allokering kvv'!$B$2:$BX$549,MATCH(V$2,'Slutlig allokering kvv'!$B$1:$BX$1,0),FALSE)/1,0))</f>
        <v>36.003000000000043</v>
      </c>
      <c r="W295" s="121">
        <f>IF($D295="","",IFERROR(VLOOKUP($B295,Kraftvärmeprod!$B$1:$BX$549,MATCH(W$2,Kraftvärmeprod!$B$1:$VX$1,0),FALSE)/1,0)-IFERROR(VLOOKUP($B295,'Slutlig allokering kvv'!$B$2:$BX$549,MATCH(W$2,'Slutlig allokering kvv'!$B$1:$BX$1,0),FALSE)/1,0))</f>
        <v>0</v>
      </c>
      <c r="X295" s="121">
        <f>IF($D295="","",IFERROR(VLOOKUP($B295,Kraftvärmeprod!$B$1:$BX$549,MATCH(X$2,Kraftvärmeprod!$B$1:$VX$1,0),FALSE)/1,0)-IFERROR(VLOOKUP($B295,'Slutlig allokering kvv'!$B$2:$BX$549,MATCH(X$2,'Slutlig allokering kvv'!$B$1:$BX$1,0),FALSE)/1,0))</f>
        <v>0.23934999999999995</v>
      </c>
      <c r="Y295" s="121">
        <f>IF($D295="","",IFERROR(VLOOKUP($B295,Kraftvärmeprod!$B$1:$BX$549,MATCH(Y$2,Kraftvärmeprod!$B$1:$VX$1,0),FALSE)/1,0)-IFERROR(VLOOKUP($B295,'Slutlig allokering kvv'!$B$2:$BX$549,MATCH(Y$2,'Slutlig allokering kvv'!$B$1:$BX$1,0),FALSE)/1,0))</f>
        <v>0</v>
      </c>
      <c r="Z295" s="121">
        <f>IF($D295="","",IFERROR(VLOOKUP($B295,Kraftvärmeprod!$B$1:$BX$549,MATCH(Z$2,Kraftvärmeprod!$B$1:$VX$1,0),FALSE)/1,0)-IFERROR(VLOOKUP($B295,'Slutlig allokering kvv'!$B$2:$BX$549,MATCH(Z$2,'Slutlig allokering kvv'!$B$1:$BX$1,0),FALSE)/1,0))</f>
        <v>0</v>
      </c>
      <c r="AA295" s="121">
        <f>IF($D295="","",IFERROR(VLOOKUP($B295,Kraftvärmeprod!$B$1:$BX$549,MATCH(AA$2,Kraftvärmeprod!$B$1:$VX$1,0),FALSE)/1,0)-IFERROR(VLOOKUP($B295,'Slutlig allokering kvv'!$B$2:$BX$549,MATCH(AA$2,'Slutlig allokering kvv'!$B$1:$BX$1,0),FALSE)/1,0))</f>
        <v>0</v>
      </c>
      <c r="AB295" s="121">
        <f>IF($D295="","",IFERROR(VLOOKUP($B295,Kraftvärmeprod!$B$1:$BX$549,MATCH(AB$2,Kraftvärmeprod!$B$1:$VX$1,0),FALSE)/1,0)-IFERROR(VLOOKUP($B295,'Slutlig allokering kvv'!$B$2:$BX$549,MATCH(AB$2,'Slutlig allokering kvv'!$B$1:$BX$1,0),FALSE)/1,0))</f>
        <v>0</v>
      </c>
      <c r="AC295" s="121">
        <f>IF($D295="","",IFERROR(VLOOKUP($B295,Kraftvärmeprod!$B$1:$BX$549,MATCH(AC$2,Kraftvärmeprod!$B$1:$VX$1,0),FALSE)/1,0)-IFERROR(VLOOKUP($B295,'Slutlig allokering kvv'!$B$2:$BX$549,MATCH(AC$2,'Slutlig allokering kvv'!$B$1:$BX$1,0),FALSE)/1,0))</f>
        <v>0</v>
      </c>
      <c r="AD295" s="121">
        <f>IF($D295="","",IFERROR(VLOOKUP($B295,Kraftvärmeprod!$B$1:$BX$549,MATCH(AD$2,Kraftvärmeprod!$B$1:$VX$1,0),FALSE)/1,0)-IFERROR(VLOOKUP($B295,'Slutlig allokering kvv'!$B$2:$BX$549,MATCH(AD$2,'Slutlig allokering kvv'!$B$1:$BX$1,0),FALSE)/1,0))</f>
        <v>0</v>
      </c>
      <c r="AE295" s="121">
        <f>IF($D295="","",IFERROR(VLOOKUP($B295,Miljö!$B$1:$E$550,MATCH("Hjälpel kraftvärme (GWh)",Miljö!$B$1:$E$1,0),FALSE)/1,0)-IFERROR(VLOOKUP($B295,'Slutlig allokering kvv'!$B$2:$BX$549,MATCH(AE$2,'Slutlig allokering kvv'!$B$1:$BX$1,0),FALSE)/1,0))</f>
        <v>1.3795000000000002</v>
      </c>
      <c r="AI295" s="121">
        <f t="shared" si="16"/>
        <v>36.694840000000042</v>
      </c>
      <c r="AK295" s="121">
        <f>IFERROR(VLOOKUP($B295,'Slutlig allokering kvv'!$B$2:$AX$549,MATCH("Summa slutlig allokerad tillförd energi (utan hjälpel och rökgaskondensering):",'Slutlig allokering kvv'!$B$1:$AX$1,0),FALSE)/1,"")</f>
        <v>341.03516000000002</v>
      </c>
      <c r="AM295" s="172">
        <f>IFERROR(1-VLOOKUP($B295,'Slutlig allokering kvv'!$B$2:$AX$549,MATCH("Andel av bränsle i kvv som allokerats till värme, exklusive rökgaskondensering och hjälpel",'Slutlig allokering kvv'!$B$1:$AX$1,0),FALSE),"")</f>
        <v>9.7145686072062087E-2</v>
      </c>
      <c r="AO295" s="172">
        <f t="shared" si="17"/>
        <v>9.7145686072062143E-2</v>
      </c>
      <c r="AP295" s="173">
        <f t="shared" si="18"/>
        <v>-5.5511151231257827E-17</v>
      </c>
      <c r="AR295" s="172">
        <f t="shared" si="19"/>
        <v>0.3390735072492389</v>
      </c>
    </row>
    <row r="296" spans="1:44" x14ac:dyDescent="0.25">
      <c r="A296" s="171" t="str">
        <f>'Miljövärden för publ företag'!B298</f>
        <v>Vattenfall AB</v>
      </c>
      <c r="B296" s="171" t="str">
        <f>'Miljövärden för publ företag'!C298</f>
        <v>Gustavsberg</v>
      </c>
      <c r="C296" s="121" t="str">
        <f>IFERROR(VLOOKUP($B296,Kraftvärmeprod!$B$1:$AH$478,MATCH(C$2,Kraftvärmeprod!$B$1:$AG$1,0),FALSE)/1,"")</f>
        <v/>
      </c>
      <c r="D296" s="121" t="str">
        <f>IFERROR(VLOOKUP($B296,Kraftvärmeprod!$B$1:$AH$478,MATCH(D$2,Kraftvärmeprod!$B$1:$AG$1,0),FALSE)/1,"")</f>
        <v/>
      </c>
      <c r="F296" s="121" t="str">
        <f>IF($D296="","",IFERROR(VLOOKUP($B296,Kraftvärmeprod!$B$1:$BX$549,MATCH(F$2,Kraftvärmeprod!$B$1:$VX$1,0),FALSE)/1,0)-IFERROR(VLOOKUP($B296,'Slutlig allokering kvv'!$B$2:$BX$549,MATCH(F$2,'Slutlig allokering kvv'!$B$1:$BX$1,0),FALSE)/1,0))</f>
        <v/>
      </c>
      <c r="G296" s="121" t="str">
        <f>IF($D296="","",IFERROR(VLOOKUP($B296,Kraftvärmeprod!$B$1:$BX$549,MATCH(G$2,Kraftvärmeprod!$B$1:$VX$1,0),FALSE)/1,0)-IFERROR(VLOOKUP($B296,'Slutlig allokering kvv'!$B$2:$BX$549,MATCH(G$2,'Slutlig allokering kvv'!$B$1:$BX$1,0),FALSE)/1,0))</f>
        <v/>
      </c>
      <c r="H296" s="121" t="str">
        <f>IF($D296="","",IFERROR(VLOOKUP($B296,Kraftvärmeprod!$B$1:$BX$549,MATCH(H$2,Kraftvärmeprod!$B$1:$VX$1,0),FALSE)/1,0)-IFERROR(VLOOKUP($B296,'Slutlig allokering kvv'!$B$2:$BX$549,MATCH(H$2,'Slutlig allokering kvv'!$B$1:$BX$1,0),FALSE)/1,0))</f>
        <v/>
      </c>
      <c r="I296" s="121" t="str">
        <f>IF($D296="","",IFERROR(VLOOKUP($B296,Kraftvärmeprod!$B$1:$BX$549,MATCH(I$2,Kraftvärmeprod!$B$1:$VX$1,0),FALSE)/1,0)-IFERROR(VLOOKUP($B296,'Slutlig allokering kvv'!$B$2:$BX$549,MATCH(I$2,'Slutlig allokering kvv'!$B$1:$BX$1,0),FALSE)/1,0))</f>
        <v/>
      </c>
      <c r="J296" s="121" t="str">
        <f>IF($D296="","",IFERROR(VLOOKUP($B296,Kraftvärmeprod!$B$1:$BX$549,MATCH(J$2,Kraftvärmeprod!$B$1:$VX$1,0),FALSE)/1,0)-IFERROR(VLOOKUP($B296,'Slutlig allokering kvv'!$B$2:$BX$549,MATCH(J$2,'Slutlig allokering kvv'!$B$1:$BX$1,0),FALSE)/1,0))</f>
        <v/>
      </c>
      <c r="K296" s="121" t="str">
        <f>IF($D296="","",IFERROR(VLOOKUP($B296,Kraftvärmeprod!$B$1:$BX$549,MATCH(K$2,Kraftvärmeprod!$B$1:$VX$1,0),FALSE)/1,0)-IFERROR(VLOOKUP($B296,'Slutlig allokering kvv'!$B$2:$BX$549,MATCH(K$2,'Slutlig allokering kvv'!$B$1:$BX$1,0),FALSE)/1,0))</f>
        <v/>
      </c>
      <c r="L296" s="121" t="str">
        <f>IF($D296="","",IFERROR(VLOOKUP($B296,Kraftvärmeprod!$B$1:$BX$549,MATCH(L$2,Kraftvärmeprod!$B$1:$VX$1,0),FALSE)/1,0)-IFERROR(VLOOKUP($B296,'Slutlig allokering kvv'!$B$2:$BX$549,MATCH(L$2,'Slutlig allokering kvv'!$B$1:$BX$1,0),FALSE)/1,0))</f>
        <v/>
      </c>
      <c r="M296" s="121" t="str">
        <f>IF($D296="","",IFERROR(VLOOKUP($B296,Kraftvärmeprod!$B$1:$BX$549,MATCH(M$2,Kraftvärmeprod!$B$1:$VX$1,0),FALSE)/1,0)-IFERROR(VLOOKUP($B296,'Slutlig allokering kvv'!$B$2:$BX$549,MATCH(M$2,'Slutlig allokering kvv'!$B$1:$BX$1,0),FALSE)/1,0))</f>
        <v/>
      </c>
      <c r="N296" s="121" t="str">
        <f>IF($D296="","",IFERROR(VLOOKUP($B296,Kraftvärmeprod!$B$1:$BX$549,MATCH(N$2,Kraftvärmeprod!$B$1:$VX$1,0),FALSE)/1,0)-IFERROR(VLOOKUP($B296,'Slutlig allokering kvv'!$B$2:$BX$549,MATCH(N$2,'Slutlig allokering kvv'!$B$1:$BX$1,0),FALSE)/1,0))</f>
        <v/>
      </c>
      <c r="O296" s="121" t="str">
        <f>IF($D296="","",IFERROR(VLOOKUP($B296,Kraftvärmeprod!$B$1:$BX$549,MATCH(O$2,Kraftvärmeprod!$B$1:$VX$1,0),FALSE)/1,0)-IFERROR(VLOOKUP($B296,'Slutlig allokering kvv'!$B$2:$BX$549,MATCH(O$2,'Slutlig allokering kvv'!$B$1:$BX$1,0),FALSE)/1,0))</f>
        <v/>
      </c>
      <c r="P296" s="121" t="str">
        <f>IF($D296="","",IFERROR(VLOOKUP($B296,Kraftvärmeprod!$B$1:$BX$549,MATCH(P$2,Kraftvärmeprod!$B$1:$VX$1,0),FALSE)/1,0)-IFERROR(VLOOKUP($B296,'Slutlig allokering kvv'!$B$2:$BX$549,MATCH(P$2,'Slutlig allokering kvv'!$B$1:$BX$1,0),FALSE)/1,0))</f>
        <v/>
      </c>
      <c r="Q296" s="121" t="str">
        <f>IF($D296="","",IFERROR(VLOOKUP($B296,Kraftvärmeprod!$B$1:$BX$549,MATCH(Q$2,Kraftvärmeprod!$B$1:$VX$1,0),FALSE)/1,0)-IFERROR(VLOOKUP($B296,'Slutlig allokering kvv'!$B$2:$BX$549,MATCH(Q$2,'Slutlig allokering kvv'!$B$1:$BX$1,0),FALSE)/1,0))</f>
        <v/>
      </c>
      <c r="R296" s="121" t="str">
        <f>IF($D296="","",IFERROR(VLOOKUP($B296,Kraftvärmeprod!$B$1:$BX$549,MATCH(R$2,Kraftvärmeprod!$B$1:$VX$1,0),FALSE)/1,0)-IFERROR(VLOOKUP($B296,'Slutlig allokering kvv'!$B$2:$BX$549,MATCH(R$2,'Slutlig allokering kvv'!$B$1:$BX$1,0),FALSE)/1,0))</f>
        <v/>
      </c>
      <c r="S296" s="121" t="str">
        <f>IF($D296="","",IFERROR(VLOOKUP($B296,Kraftvärmeprod!$B$1:$BX$549,MATCH(S$2,Kraftvärmeprod!$B$1:$VX$1,0),FALSE)/1,0)-IFERROR(VLOOKUP($B296,'Slutlig allokering kvv'!$B$2:$BX$549,MATCH(S$2,'Slutlig allokering kvv'!$B$1:$BX$1,0),FALSE)/1,0))</f>
        <v/>
      </c>
      <c r="T296" s="121" t="str">
        <f>IF($D296="","",IFERROR(VLOOKUP($B296,Kraftvärmeprod!$B$1:$BX$549,MATCH(T$2,Kraftvärmeprod!$B$1:$VX$1,0),FALSE)/1,0)-IFERROR(VLOOKUP($B296,'Slutlig allokering kvv'!$B$2:$BX$549,MATCH(T$2,'Slutlig allokering kvv'!$B$1:$BX$1,0),FALSE)/1,0))</f>
        <v/>
      </c>
      <c r="U296" s="121" t="str">
        <f>IF($D296="","",IFERROR(VLOOKUP($B296,Kraftvärmeprod!$B$1:$BX$549,MATCH(U$2,Kraftvärmeprod!$B$1:$VX$1,0),FALSE)/1,0)-IFERROR(VLOOKUP($B296,'Slutlig allokering kvv'!$B$2:$BX$549,MATCH(U$2,'Slutlig allokering kvv'!$B$1:$BX$1,0),FALSE)/1,0))</f>
        <v/>
      </c>
      <c r="V296" s="121" t="str">
        <f>IF($D296="","",IFERROR(VLOOKUP($B296,Kraftvärmeprod!$B$1:$BX$549,MATCH(V$2,Kraftvärmeprod!$B$1:$VX$1,0),FALSE)/1,0)-IFERROR(VLOOKUP($B296,'Slutlig allokering kvv'!$B$2:$BX$549,MATCH(V$2,'Slutlig allokering kvv'!$B$1:$BX$1,0),FALSE)/1,0))</f>
        <v/>
      </c>
      <c r="W296" s="121" t="str">
        <f>IF($D296="","",IFERROR(VLOOKUP($B296,Kraftvärmeprod!$B$1:$BX$549,MATCH(W$2,Kraftvärmeprod!$B$1:$VX$1,0),FALSE)/1,0)-IFERROR(VLOOKUP($B296,'Slutlig allokering kvv'!$B$2:$BX$549,MATCH(W$2,'Slutlig allokering kvv'!$B$1:$BX$1,0),FALSE)/1,0))</f>
        <v/>
      </c>
      <c r="X296" s="121" t="str">
        <f>IF($D296="","",IFERROR(VLOOKUP($B296,Kraftvärmeprod!$B$1:$BX$549,MATCH(X$2,Kraftvärmeprod!$B$1:$VX$1,0),FALSE)/1,0)-IFERROR(VLOOKUP($B296,'Slutlig allokering kvv'!$B$2:$BX$549,MATCH(X$2,'Slutlig allokering kvv'!$B$1:$BX$1,0),FALSE)/1,0))</f>
        <v/>
      </c>
      <c r="Y296" s="121" t="str">
        <f>IF($D296="","",IFERROR(VLOOKUP($B296,Kraftvärmeprod!$B$1:$BX$549,MATCH(Y$2,Kraftvärmeprod!$B$1:$VX$1,0),FALSE)/1,0)-IFERROR(VLOOKUP($B296,'Slutlig allokering kvv'!$B$2:$BX$549,MATCH(Y$2,'Slutlig allokering kvv'!$B$1:$BX$1,0),FALSE)/1,0))</f>
        <v/>
      </c>
      <c r="Z296" s="121" t="str">
        <f>IF($D296="","",IFERROR(VLOOKUP($B296,Kraftvärmeprod!$B$1:$BX$549,MATCH(Z$2,Kraftvärmeprod!$B$1:$VX$1,0),FALSE)/1,0)-IFERROR(VLOOKUP($B296,'Slutlig allokering kvv'!$B$2:$BX$549,MATCH(Z$2,'Slutlig allokering kvv'!$B$1:$BX$1,0),FALSE)/1,0))</f>
        <v/>
      </c>
      <c r="AA296" s="121" t="str">
        <f>IF($D296="","",IFERROR(VLOOKUP($B296,Kraftvärmeprod!$B$1:$BX$549,MATCH(AA$2,Kraftvärmeprod!$B$1:$VX$1,0),FALSE)/1,0)-IFERROR(VLOOKUP($B296,'Slutlig allokering kvv'!$B$2:$BX$549,MATCH(AA$2,'Slutlig allokering kvv'!$B$1:$BX$1,0),FALSE)/1,0))</f>
        <v/>
      </c>
      <c r="AB296" s="121" t="str">
        <f>IF($D296="","",IFERROR(VLOOKUP($B296,Kraftvärmeprod!$B$1:$BX$549,MATCH(AB$2,Kraftvärmeprod!$B$1:$VX$1,0),FALSE)/1,0)-IFERROR(VLOOKUP($B296,'Slutlig allokering kvv'!$B$2:$BX$549,MATCH(AB$2,'Slutlig allokering kvv'!$B$1:$BX$1,0),FALSE)/1,0))</f>
        <v/>
      </c>
      <c r="AC296" s="121" t="str">
        <f>IF($D296="","",IFERROR(VLOOKUP($B296,Kraftvärmeprod!$B$1:$BX$549,MATCH(AC$2,Kraftvärmeprod!$B$1:$VX$1,0),FALSE)/1,0)-IFERROR(VLOOKUP($B296,'Slutlig allokering kvv'!$B$2:$BX$549,MATCH(AC$2,'Slutlig allokering kvv'!$B$1:$BX$1,0),FALSE)/1,0))</f>
        <v/>
      </c>
      <c r="AD296" s="121" t="str">
        <f>IF($D296="","",IFERROR(VLOOKUP($B296,Kraftvärmeprod!$B$1:$BX$549,MATCH(AD$2,Kraftvärmeprod!$B$1:$VX$1,0),FALSE)/1,0)-IFERROR(VLOOKUP($B296,'Slutlig allokering kvv'!$B$2:$BX$549,MATCH(AD$2,'Slutlig allokering kvv'!$B$1:$BX$1,0),FALSE)/1,0))</f>
        <v/>
      </c>
      <c r="AE296" s="121" t="str">
        <f>IF($D296="","",IFERROR(VLOOKUP($B296,Miljö!$B$1:$E$550,MATCH("Hjälpel kraftvärme (GWh)",Miljö!$B$1:$E$1,0),FALSE)/1,0)-IFERROR(VLOOKUP($B296,'Slutlig allokering kvv'!$B$2:$BX$549,MATCH(AE$2,'Slutlig allokering kvv'!$B$1:$BX$1,0),FALSE)/1,0))</f>
        <v/>
      </c>
      <c r="AI296" s="121">
        <f t="shared" si="16"/>
        <v>0</v>
      </c>
      <c r="AK296" s="121">
        <f>IFERROR(VLOOKUP($B296,'Slutlig allokering kvv'!$B$2:$AX$549,MATCH("Summa slutlig allokerad tillförd energi (utan hjälpel och rökgaskondensering):",'Slutlig allokering kvv'!$B$1:$AX$1,0),FALSE)/1,"")</f>
        <v>0</v>
      </c>
      <c r="AM296" s="172" t="str">
        <f>IFERROR(1-VLOOKUP($B296,'Slutlig allokering kvv'!$B$2:$AX$549,MATCH("Andel av bränsle i kvv som allokerats till värme, exklusive rökgaskondensering och hjälpel",'Slutlig allokering kvv'!$B$1:$AX$1,0),FALSE),"")</f>
        <v/>
      </c>
      <c r="AO296" s="172" t="str">
        <f t="shared" si="17"/>
        <v/>
      </c>
      <c r="AP296" s="173" t="str">
        <f t="shared" si="18"/>
        <v/>
      </c>
      <c r="AR296" s="172" t="str">
        <f t="shared" si="19"/>
        <v/>
      </c>
    </row>
    <row r="297" spans="1:44" x14ac:dyDescent="0.25">
      <c r="A297" s="171" t="str">
        <f>'Miljövärden för publ företag'!B299</f>
        <v>Vattenfall AB</v>
      </c>
      <c r="B297" s="171" t="str">
        <f>'Miljövärden för publ företag'!C299</f>
        <v>Knivsta (Vattenfall AB )</v>
      </c>
      <c r="C297" s="121" t="str">
        <f>IFERROR(VLOOKUP($B297,Kraftvärmeprod!$B$1:$AH$478,MATCH(C$2,Kraftvärmeprod!$B$1:$AG$1,0),FALSE)/1,"")</f>
        <v/>
      </c>
      <c r="D297" s="121" t="str">
        <f>IFERROR(VLOOKUP($B297,Kraftvärmeprod!$B$1:$AH$478,MATCH(D$2,Kraftvärmeprod!$B$1:$AG$1,0),FALSE)/1,"")</f>
        <v/>
      </c>
      <c r="F297" s="121" t="str">
        <f>IF($D297="","",IFERROR(VLOOKUP($B297,Kraftvärmeprod!$B$1:$BX$549,MATCH(F$2,Kraftvärmeprod!$B$1:$VX$1,0),FALSE)/1,0)-IFERROR(VLOOKUP($B297,'Slutlig allokering kvv'!$B$2:$BX$549,MATCH(F$2,'Slutlig allokering kvv'!$B$1:$BX$1,0),FALSE)/1,0))</f>
        <v/>
      </c>
      <c r="G297" s="121" t="str">
        <f>IF($D297="","",IFERROR(VLOOKUP($B297,Kraftvärmeprod!$B$1:$BX$549,MATCH(G$2,Kraftvärmeprod!$B$1:$VX$1,0),FALSE)/1,0)-IFERROR(VLOOKUP($B297,'Slutlig allokering kvv'!$B$2:$BX$549,MATCH(G$2,'Slutlig allokering kvv'!$B$1:$BX$1,0),FALSE)/1,0))</f>
        <v/>
      </c>
      <c r="H297" s="121" t="str">
        <f>IF($D297="","",IFERROR(VLOOKUP($B297,Kraftvärmeprod!$B$1:$BX$549,MATCH(H$2,Kraftvärmeprod!$B$1:$VX$1,0),FALSE)/1,0)-IFERROR(VLOOKUP($B297,'Slutlig allokering kvv'!$B$2:$BX$549,MATCH(H$2,'Slutlig allokering kvv'!$B$1:$BX$1,0),FALSE)/1,0))</f>
        <v/>
      </c>
      <c r="I297" s="121" t="str">
        <f>IF($D297="","",IFERROR(VLOOKUP($B297,Kraftvärmeprod!$B$1:$BX$549,MATCH(I$2,Kraftvärmeprod!$B$1:$VX$1,0),FALSE)/1,0)-IFERROR(VLOOKUP($B297,'Slutlig allokering kvv'!$B$2:$BX$549,MATCH(I$2,'Slutlig allokering kvv'!$B$1:$BX$1,0),FALSE)/1,0))</f>
        <v/>
      </c>
      <c r="J297" s="121" t="str">
        <f>IF($D297="","",IFERROR(VLOOKUP($B297,Kraftvärmeprod!$B$1:$BX$549,MATCH(J$2,Kraftvärmeprod!$B$1:$VX$1,0),FALSE)/1,0)-IFERROR(VLOOKUP($B297,'Slutlig allokering kvv'!$B$2:$BX$549,MATCH(J$2,'Slutlig allokering kvv'!$B$1:$BX$1,0),FALSE)/1,0))</f>
        <v/>
      </c>
      <c r="K297" s="121" t="str">
        <f>IF($D297="","",IFERROR(VLOOKUP($B297,Kraftvärmeprod!$B$1:$BX$549,MATCH(K$2,Kraftvärmeprod!$B$1:$VX$1,0),FALSE)/1,0)-IFERROR(VLOOKUP($B297,'Slutlig allokering kvv'!$B$2:$BX$549,MATCH(K$2,'Slutlig allokering kvv'!$B$1:$BX$1,0),FALSE)/1,0))</f>
        <v/>
      </c>
      <c r="L297" s="121" t="str">
        <f>IF($D297="","",IFERROR(VLOOKUP($B297,Kraftvärmeprod!$B$1:$BX$549,MATCH(L$2,Kraftvärmeprod!$B$1:$VX$1,0),FALSE)/1,0)-IFERROR(VLOOKUP($B297,'Slutlig allokering kvv'!$B$2:$BX$549,MATCH(L$2,'Slutlig allokering kvv'!$B$1:$BX$1,0),FALSE)/1,0))</f>
        <v/>
      </c>
      <c r="M297" s="121" t="str">
        <f>IF($D297="","",IFERROR(VLOOKUP($B297,Kraftvärmeprod!$B$1:$BX$549,MATCH(M$2,Kraftvärmeprod!$B$1:$VX$1,0),FALSE)/1,0)-IFERROR(VLOOKUP($B297,'Slutlig allokering kvv'!$B$2:$BX$549,MATCH(M$2,'Slutlig allokering kvv'!$B$1:$BX$1,0),FALSE)/1,0))</f>
        <v/>
      </c>
      <c r="N297" s="121" t="str">
        <f>IF($D297="","",IFERROR(VLOOKUP($B297,Kraftvärmeprod!$B$1:$BX$549,MATCH(N$2,Kraftvärmeprod!$B$1:$VX$1,0),FALSE)/1,0)-IFERROR(VLOOKUP($B297,'Slutlig allokering kvv'!$B$2:$BX$549,MATCH(N$2,'Slutlig allokering kvv'!$B$1:$BX$1,0),FALSE)/1,0))</f>
        <v/>
      </c>
      <c r="O297" s="121" t="str">
        <f>IF($D297="","",IFERROR(VLOOKUP($B297,Kraftvärmeprod!$B$1:$BX$549,MATCH(O$2,Kraftvärmeprod!$B$1:$VX$1,0),FALSE)/1,0)-IFERROR(VLOOKUP($B297,'Slutlig allokering kvv'!$B$2:$BX$549,MATCH(O$2,'Slutlig allokering kvv'!$B$1:$BX$1,0),FALSE)/1,0))</f>
        <v/>
      </c>
      <c r="P297" s="121" t="str">
        <f>IF($D297="","",IFERROR(VLOOKUP($B297,Kraftvärmeprod!$B$1:$BX$549,MATCH(P$2,Kraftvärmeprod!$B$1:$VX$1,0),FALSE)/1,0)-IFERROR(VLOOKUP($B297,'Slutlig allokering kvv'!$B$2:$BX$549,MATCH(P$2,'Slutlig allokering kvv'!$B$1:$BX$1,0),FALSE)/1,0))</f>
        <v/>
      </c>
      <c r="Q297" s="121" t="str">
        <f>IF($D297="","",IFERROR(VLOOKUP($B297,Kraftvärmeprod!$B$1:$BX$549,MATCH(Q$2,Kraftvärmeprod!$B$1:$VX$1,0),FALSE)/1,0)-IFERROR(VLOOKUP($B297,'Slutlig allokering kvv'!$B$2:$BX$549,MATCH(Q$2,'Slutlig allokering kvv'!$B$1:$BX$1,0),FALSE)/1,0))</f>
        <v/>
      </c>
      <c r="R297" s="121" t="str">
        <f>IF($D297="","",IFERROR(VLOOKUP($B297,Kraftvärmeprod!$B$1:$BX$549,MATCH(R$2,Kraftvärmeprod!$B$1:$VX$1,0),FALSE)/1,0)-IFERROR(VLOOKUP($B297,'Slutlig allokering kvv'!$B$2:$BX$549,MATCH(R$2,'Slutlig allokering kvv'!$B$1:$BX$1,0),FALSE)/1,0))</f>
        <v/>
      </c>
      <c r="S297" s="121" t="str">
        <f>IF($D297="","",IFERROR(VLOOKUP($B297,Kraftvärmeprod!$B$1:$BX$549,MATCH(S$2,Kraftvärmeprod!$B$1:$VX$1,0),FALSE)/1,0)-IFERROR(VLOOKUP($B297,'Slutlig allokering kvv'!$B$2:$BX$549,MATCH(S$2,'Slutlig allokering kvv'!$B$1:$BX$1,0),FALSE)/1,0))</f>
        <v/>
      </c>
      <c r="T297" s="121" t="str">
        <f>IF($D297="","",IFERROR(VLOOKUP($B297,Kraftvärmeprod!$B$1:$BX$549,MATCH(T$2,Kraftvärmeprod!$B$1:$VX$1,0),FALSE)/1,0)-IFERROR(VLOOKUP($B297,'Slutlig allokering kvv'!$B$2:$BX$549,MATCH(T$2,'Slutlig allokering kvv'!$B$1:$BX$1,0),FALSE)/1,0))</f>
        <v/>
      </c>
      <c r="U297" s="121" t="str">
        <f>IF($D297="","",IFERROR(VLOOKUP($B297,Kraftvärmeprod!$B$1:$BX$549,MATCH(U$2,Kraftvärmeprod!$B$1:$VX$1,0),FALSE)/1,0)-IFERROR(VLOOKUP($B297,'Slutlig allokering kvv'!$B$2:$BX$549,MATCH(U$2,'Slutlig allokering kvv'!$B$1:$BX$1,0),FALSE)/1,0))</f>
        <v/>
      </c>
      <c r="V297" s="121" t="str">
        <f>IF($D297="","",IFERROR(VLOOKUP($B297,Kraftvärmeprod!$B$1:$BX$549,MATCH(V$2,Kraftvärmeprod!$B$1:$VX$1,0),FALSE)/1,0)-IFERROR(VLOOKUP($B297,'Slutlig allokering kvv'!$B$2:$BX$549,MATCH(V$2,'Slutlig allokering kvv'!$B$1:$BX$1,0),FALSE)/1,0))</f>
        <v/>
      </c>
      <c r="W297" s="121" t="str">
        <f>IF($D297="","",IFERROR(VLOOKUP($B297,Kraftvärmeprod!$B$1:$BX$549,MATCH(W$2,Kraftvärmeprod!$B$1:$VX$1,0),FALSE)/1,0)-IFERROR(VLOOKUP($B297,'Slutlig allokering kvv'!$B$2:$BX$549,MATCH(W$2,'Slutlig allokering kvv'!$B$1:$BX$1,0),FALSE)/1,0))</f>
        <v/>
      </c>
      <c r="X297" s="121" t="str">
        <f>IF($D297="","",IFERROR(VLOOKUP($B297,Kraftvärmeprod!$B$1:$BX$549,MATCH(X$2,Kraftvärmeprod!$B$1:$VX$1,0),FALSE)/1,0)-IFERROR(VLOOKUP($B297,'Slutlig allokering kvv'!$B$2:$BX$549,MATCH(X$2,'Slutlig allokering kvv'!$B$1:$BX$1,0),FALSE)/1,0))</f>
        <v/>
      </c>
      <c r="Y297" s="121" t="str">
        <f>IF($D297="","",IFERROR(VLOOKUP($B297,Kraftvärmeprod!$B$1:$BX$549,MATCH(Y$2,Kraftvärmeprod!$B$1:$VX$1,0),FALSE)/1,0)-IFERROR(VLOOKUP($B297,'Slutlig allokering kvv'!$B$2:$BX$549,MATCH(Y$2,'Slutlig allokering kvv'!$B$1:$BX$1,0),FALSE)/1,0))</f>
        <v/>
      </c>
      <c r="Z297" s="121" t="str">
        <f>IF($D297="","",IFERROR(VLOOKUP($B297,Kraftvärmeprod!$B$1:$BX$549,MATCH(Z$2,Kraftvärmeprod!$B$1:$VX$1,0),FALSE)/1,0)-IFERROR(VLOOKUP($B297,'Slutlig allokering kvv'!$B$2:$BX$549,MATCH(Z$2,'Slutlig allokering kvv'!$B$1:$BX$1,0),FALSE)/1,0))</f>
        <v/>
      </c>
      <c r="AA297" s="121" t="str">
        <f>IF($D297="","",IFERROR(VLOOKUP($B297,Kraftvärmeprod!$B$1:$BX$549,MATCH(AA$2,Kraftvärmeprod!$B$1:$VX$1,0),FALSE)/1,0)-IFERROR(VLOOKUP($B297,'Slutlig allokering kvv'!$B$2:$BX$549,MATCH(AA$2,'Slutlig allokering kvv'!$B$1:$BX$1,0),FALSE)/1,0))</f>
        <v/>
      </c>
      <c r="AB297" s="121" t="str">
        <f>IF($D297="","",IFERROR(VLOOKUP($B297,Kraftvärmeprod!$B$1:$BX$549,MATCH(AB$2,Kraftvärmeprod!$B$1:$VX$1,0),FALSE)/1,0)-IFERROR(VLOOKUP($B297,'Slutlig allokering kvv'!$B$2:$BX$549,MATCH(AB$2,'Slutlig allokering kvv'!$B$1:$BX$1,0),FALSE)/1,0))</f>
        <v/>
      </c>
      <c r="AC297" s="121" t="str">
        <f>IF($D297="","",IFERROR(VLOOKUP($B297,Kraftvärmeprod!$B$1:$BX$549,MATCH(AC$2,Kraftvärmeprod!$B$1:$VX$1,0),FALSE)/1,0)-IFERROR(VLOOKUP($B297,'Slutlig allokering kvv'!$B$2:$BX$549,MATCH(AC$2,'Slutlig allokering kvv'!$B$1:$BX$1,0),FALSE)/1,0))</f>
        <v/>
      </c>
      <c r="AD297" s="121" t="str">
        <f>IF($D297="","",IFERROR(VLOOKUP($B297,Kraftvärmeprod!$B$1:$BX$549,MATCH(AD$2,Kraftvärmeprod!$B$1:$VX$1,0),FALSE)/1,0)-IFERROR(VLOOKUP($B297,'Slutlig allokering kvv'!$B$2:$BX$549,MATCH(AD$2,'Slutlig allokering kvv'!$B$1:$BX$1,0),FALSE)/1,0))</f>
        <v/>
      </c>
      <c r="AE297" s="121" t="str">
        <f>IF($D297="","",IFERROR(VLOOKUP($B297,Miljö!$B$1:$E$550,MATCH("Hjälpel kraftvärme (GWh)",Miljö!$B$1:$E$1,0),FALSE)/1,0)-IFERROR(VLOOKUP($B297,'Slutlig allokering kvv'!$B$2:$BX$549,MATCH(AE$2,'Slutlig allokering kvv'!$B$1:$BX$1,0),FALSE)/1,0))</f>
        <v/>
      </c>
      <c r="AI297" s="121">
        <f t="shared" si="16"/>
        <v>0</v>
      </c>
      <c r="AK297" s="121">
        <f>IFERROR(VLOOKUP($B297,'Slutlig allokering kvv'!$B$2:$AX$549,MATCH("Summa slutlig allokerad tillförd energi (utan hjälpel och rökgaskondensering):",'Slutlig allokering kvv'!$B$1:$AX$1,0),FALSE)/1,"")</f>
        <v>0</v>
      </c>
      <c r="AM297" s="172" t="str">
        <f>IFERROR(1-VLOOKUP($B297,'Slutlig allokering kvv'!$B$2:$AX$549,MATCH("Andel av bränsle i kvv som allokerats till värme, exklusive rökgaskondensering och hjälpel",'Slutlig allokering kvv'!$B$1:$AX$1,0),FALSE),"")</f>
        <v/>
      </c>
      <c r="AO297" s="172" t="str">
        <f t="shared" si="17"/>
        <v/>
      </c>
      <c r="AP297" s="173" t="str">
        <f t="shared" si="18"/>
        <v/>
      </c>
      <c r="AR297" s="172" t="str">
        <f t="shared" si="19"/>
        <v/>
      </c>
    </row>
    <row r="298" spans="1:44" x14ac:dyDescent="0.25">
      <c r="A298" s="171" t="str">
        <f>'Miljövärden för publ företag'!B300</f>
        <v>Vattenfall AB</v>
      </c>
      <c r="B298" s="171" t="str">
        <f>'Miljövärden för publ företag'!C300</f>
        <v>Motala</v>
      </c>
      <c r="C298" s="121">
        <f>IFERROR(VLOOKUP($B298,Kraftvärmeprod!$B$1:$AH$478,MATCH(C$2,Kraftvärmeprod!$B$1:$AG$1,0),FALSE)/1,"")</f>
        <v>75.290000000000006</v>
      </c>
      <c r="D298" s="121">
        <f>IFERROR(VLOOKUP($B298,Kraftvärmeprod!$B$1:$AH$478,MATCH(D$2,Kraftvärmeprod!$B$1:$AG$1,0),FALSE)/1,"")</f>
        <v>18.11</v>
      </c>
      <c r="F298" s="121">
        <f>IF($D298="","",IFERROR(VLOOKUP($B298,Kraftvärmeprod!$B$1:$BX$549,MATCH(F$2,Kraftvärmeprod!$B$1:$VX$1,0),FALSE)/1,0)-IFERROR(VLOOKUP($B298,'Slutlig allokering kvv'!$B$2:$BX$549,MATCH(F$2,'Slutlig allokering kvv'!$B$1:$BX$1,0),FALSE)/1,0))</f>
        <v>0</v>
      </c>
      <c r="G298" s="121">
        <f>IF($D298="","",IFERROR(VLOOKUP($B298,Kraftvärmeprod!$B$1:$BX$549,MATCH(G$2,Kraftvärmeprod!$B$1:$VX$1,0),FALSE)/1,0)-IFERROR(VLOOKUP($B298,'Slutlig allokering kvv'!$B$2:$BX$549,MATCH(G$2,'Slutlig allokering kvv'!$B$1:$BX$1,0),FALSE)/1,0))</f>
        <v>0</v>
      </c>
      <c r="H298" s="121">
        <f>IF($D298="","",IFERROR(VLOOKUP($B298,Kraftvärmeprod!$B$1:$BX$549,MATCH(H$2,Kraftvärmeprod!$B$1:$VX$1,0),FALSE)/1,0)-IFERROR(VLOOKUP($B298,'Slutlig allokering kvv'!$B$2:$BX$549,MATCH(H$2,'Slutlig allokering kvv'!$B$1:$BX$1,0),FALSE)/1,0))</f>
        <v>0</v>
      </c>
      <c r="I298" s="121">
        <f>IF($D298="","",IFERROR(VLOOKUP($B298,Kraftvärmeprod!$B$1:$BX$549,MATCH(I$2,Kraftvärmeprod!$B$1:$VX$1,0),FALSE)/1,0)-IFERROR(VLOOKUP($B298,'Slutlig allokering kvv'!$B$2:$BX$549,MATCH(I$2,'Slutlig allokering kvv'!$B$1:$BX$1,0),FALSE)/1,0))</f>
        <v>0</v>
      </c>
      <c r="J298" s="121">
        <f>IF($D298="","",IFERROR(VLOOKUP($B298,Kraftvärmeprod!$B$1:$BX$549,MATCH(J$2,Kraftvärmeprod!$B$1:$VX$1,0),FALSE)/1,0)-IFERROR(VLOOKUP($B298,'Slutlig allokering kvv'!$B$2:$BX$549,MATCH(J$2,'Slutlig allokering kvv'!$B$1:$BX$1,0),FALSE)/1,0))</f>
        <v>0</v>
      </c>
      <c r="K298" s="121">
        <f>IF($D298="","",IFERROR(VLOOKUP($B298,Kraftvärmeprod!$B$1:$BX$549,MATCH(K$2,Kraftvärmeprod!$B$1:$VX$1,0),FALSE)/1,0)-IFERROR(VLOOKUP($B298,'Slutlig allokering kvv'!$B$2:$BX$549,MATCH(K$2,'Slutlig allokering kvv'!$B$1:$BX$1,0),FALSE)/1,0))</f>
        <v>0</v>
      </c>
      <c r="L298" s="121">
        <f>IF($D298="","",IFERROR(VLOOKUP($B298,Kraftvärmeprod!$B$1:$BX$549,MATCH(L$2,Kraftvärmeprod!$B$1:$VX$1,0),FALSE)/1,0)-IFERROR(VLOOKUP($B298,'Slutlig allokering kvv'!$B$2:$BX$549,MATCH(L$2,'Slutlig allokering kvv'!$B$1:$BX$1,0),FALSE)/1,0))</f>
        <v>17.558900000000001</v>
      </c>
      <c r="M298" s="121">
        <f>IF($D298="","",IFERROR(VLOOKUP($B298,Kraftvärmeprod!$B$1:$BX$549,MATCH(M$2,Kraftvärmeprod!$B$1:$VX$1,0),FALSE)/1,0)-IFERROR(VLOOKUP($B298,'Slutlig allokering kvv'!$B$2:$BX$549,MATCH(M$2,'Slutlig allokering kvv'!$B$1:$BX$1,0),FALSE)/1,0))</f>
        <v>7.8604999999999983</v>
      </c>
      <c r="N298" s="121">
        <f>IF($D298="","",IFERROR(VLOOKUP($B298,Kraftvärmeprod!$B$1:$BX$549,MATCH(N$2,Kraftvärmeprod!$B$1:$VX$1,0),FALSE)/1,0)-IFERROR(VLOOKUP($B298,'Slutlig allokering kvv'!$B$2:$BX$549,MATCH(N$2,'Slutlig allokering kvv'!$B$1:$BX$1,0),FALSE)/1,0))</f>
        <v>0.58182800000000001</v>
      </c>
      <c r="O298" s="121">
        <f>IF($D298="","",IFERROR(VLOOKUP($B298,Kraftvärmeprod!$B$1:$BX$549,MATCH(O$2,Kraftvärmeprod!$B$1:$VX$1,0),FALSE)/1,0)-IFERROR(VLOOKUP($B298,'Slutlig allokering kvv'!$B$2:$BX$549,MATCH(O$2,'Slutlig allokering kvv'!$B$1:$BX$1,0),FALSE)/1,0))</f>
        <v>4.731679999999999</v>
      </c>
      <c r="P298" s="121">
        <f>IF($D298="","",IFERROR(VLOOKUP($B298,Kraftvärmeprod!$B$1:$BX$549,MATCH(P$2,Kraftvärmeprod!$B$1:$VX$1,0),FALSE)/1,0)-IFERROR(VLOOKUP($B298,'Slutlig allokering kvv'!$B$2:$BX$549,MATCH(P$2,'Slutlig allokering kvv'!$B$1:$BX$1,0),FALSE)/1,0))</f>
        <v>0</v>
      </c>
      <c r="Q298" s="121">
        <f>IF($D298="","",IFERROR(VLOOKUP($B298,Kraftvärmeprod!$B$1:$BX$549,MATCH(Q$2,Kraftvärmeprod!$B$1:$VX$1,0),FALSE)/1,0)-IFERROR(VLOOKUP($B298,'Slutlig allokering kvv'!$B$2:$BX$549,MATCH(Q$2,'Slutlig allokering kvv'!$B$1:$BX$1,0),FALSE)/1,0))</f>
        <v>0</v>
      </c>
      <c r="R298" s="121">
        <f>IF($D298="","",IFERROR(VLOOKUP($B298,Kraftvärmeprod!$B$1:$BX$549,MATCH(R$2,Kraftvärmeprod!$B$1:$VX$1,0),FALSE)/1,0)-IFERROR(VLOOKUP($B298,'Slutlig allokering kvv'!$B$2:$BX$549,MATCH(R$2,'Slutlig allokering kvv'!$B$1:$BX$1,0),FALSE)/1,0))</f>
        <v>0</v>
      </c>
      <c r="S298" s="121">
        <f>IF($D298="","",IFERROR(VLOOKUP($B298,Kraftvärmeprod!$B$1:$BX$549,MATCH(S$2,Kraftvärmeprod!$B$1:$VX$1,0),FALSE)/1,0)-IFERROR(VLOOKUP($B298,'Slutlig allokering kvv'!$B$2:$BX$549,MATCH(S$2,'Slutlig allokering kvv'!$B$1:$BX$1,0),FALSE)/1,0))</f>
        <v>0</v>
      </c>
      <c r="T298" s="121">
        <f>IF($D298="","",IFERROR(VLOOKUP($B298,Kraftvärmeprod!$B$1:$BX$549,MATCH(T$2,Kraftvärmeprod!$B$1:$VX$1,0),FALSE)/1,0)-IFERROR(VLOOKUP($B298,'Slutlig allokering kvv'!$B$2:$BX$549,MATCH(T$2,'Slutlig allokering kvv'!$B$1:$BX$1,0),FALSE)/1,0))</f>
        <v>0</v>
      </c>
      <c r="U298" s="121">
        <f>IF($D298="","",IFERROR(VLOOKUP($B298,Kraftvärmeprod!$B$1:$BX$549,MATCH(U$2,Kraftvärmeprod!$B$1:$VX$1,0),FALSE)/1,0)-IFERROR(VLOOKUP($B298,'Slutlig allokering kvv'!$B$2:$BX$549,MATCH(U$2,'Slutlig allokering kvv'!$B$1:$BX$1,0),FALSE)/1,0))</f>
        <v>0</v>
      </c>
      <c r="V298" s="121">
        <f>IF($D298="","",IFERROR(VLOOKUP($B298,Kraftvärmeprod!$B$1:$BX$549,MATCH(V$2,Kraftvärmeprod!$B$1:$VX$1,0),FALSE)/1,0)-IFERROR(VLOOKUP($B298,'Slutlig allokering kvv'!$B$2:$BX$549,MATCH(V$2,'Slutlig allokering kvv'!$B$1:$BX$1,0),FALSE)/1,0))</f>
        <v>0</v>
      </c>
      <c r="W298" s="121">
        <f>IF($D298="","",IFERROR(VLOOKUP($B298,Kraftvärmeprod!$B$1:$BX$549,MATCH(W$2,Kraftvärmeprod!$B$1:$VX$1,0),FALSE)/1,0)-IFERROR(VLOOKUP($B298,'Slutlig allokering kvv'!$B$2:$BX$549,MATCH(W$2,'Slutlig allokering kvv'!$B$1:$BX$1,0),FALSE)/1,0))</f>
        <v>0</v>
      </c>
      <c r="X298" s="121">
        <f>IF($D298="","",IFERROR(VLOOKUP($B298,Kraftvärmeprod!$B$1:$BX$549,MATCH(X$2,Kraftvärmeprod!$B$1:$VX$1,0),FALSE)/1,0)-IFERROR(VLOOKUP($B298,'Slutlig allokering kvv'!$B$2:$BX$549,MATCH(X$2,'Slutlig allokering kvv'!$B$1:$BX$1,0),FALSE)/1,0))</f>
        <v>0</v>
      </c>
      <c r="Y298" s="121">
        <f>IF($D298="","",IFERROR(VLOOKUP($B298,Kraftvärmeprod!$B$1:$BX$549,MATCH(Y$2,Kraftvärmeprod!$B$1:$VX$1,0),FALSE)/1,0)-IFERROR(VLOOKUP($B298,'Slutlig allokering kvv'!$B$2:$BX$549,MATCH(Y$2,'Slutlig allokering kvv'!$B$1:$BX$1,0),FALSE)/1,0))</f>
        <v>0</v>
      </c>
      <c r="Z298" s="121">
        <f>IF($D298="","",IFERROR(VLOOKUP($B298,Kraftvärmeprod!$B$1:$BX$549,MATCH(Z$2,Kraftvärmeprod!$B$1:$VX$1,0),FALSE)/1,0)-IFERROR(VLOOKUP($B298,'Slutlig allokering kvv'!$B$2:$BX$549,MATCH(Z$2,'Slutlig allokering kvv'!$B$1:$BX$1,0),FALSE)/1,0))</f>
        <v>0</v>
      </c>
      <c r="AA298" s="121">
        <f>IF($D298="","",IFERROR(VLOOKUP($B298,Kraftvärmeprod!$B$1:$BX$549,MATCH(AA$2,Kraftvärmeprod!$B$1:$VX$1,0),FALSE)/1,0)-IFERROR(VLOOKUP($B298,'Slutlig allokering kvv'!$B$2:$BX$549,MATCH(AA$2,'Slutlig allokering kvv'!$B$1:$BX$1,0),FALSE)/1,0))</f>
        <v>0</v>
      </c>
      <c r="AB298" s="121">
        <f>IF($D298="","",IFERROR(VLOOKUP($B298,Kraftvärmeprod!$B$1:$BX$549,MATCH(AB$2,Kraftvärmeprod!$B$1:$VX$1,0),FALSE)/1,0)-IFERROR(VLOOKUP($B298,'Slutlig allokering kvv'!$B$2:$BX$549,MATCH(AB$2,'Slutlig allokering kvv'!$B$1:$BX$1,0),FALSE)/1,0))</f>
        <v>0</v>
      </c>
      <c r="AC298" s="121">
        <f>IF($D298="","",IFERROR(VLOOKUP($B298,Kraftvärmeprod!$B$1:$BX$549,MATCH(AC$2,Kraftvärmeprod!$B$1:$VX$1,0),FALSE)/1,0)-IFERROR(VLOOKUP($B298,'Slutlig allokering kvv'!$B$2:$BX$549,MATCH(AC$2,'Slutlig allokering kvv'!$B$1:$BX$1,0),FALSE)/1,0))</f>
        <v>0</v>
      </c>
      <c r="AD298" s="121">
        <f>IF($D298="","",IFERROR(VLOOKUP($B298,Kraftvärmeprod!$B$1:$BX$549,MATCH(AD$2,Kraftvärmeprod!$B$1:$VX$1,0),FALSE)/1,0)-IFERROR(VLOOKUP($B298,'Slutlig allokering kvv'!$B$2:$BX$549,MATCH(AD$2,'Slutlig allokering kvv'!$B$1:$BX$1,0),FALSE)/1,0))</f>
        <v>0</v>
      </c>
      <c r="AE298" s="121">
        <f>IF($D298="","",IFERROR(VLOOKUP($B298,Miljö!$B$1:$E$550,MATCH("Hjälpel kraftvärme (GWh)",Miljö!$B$1:$E$1,0),FALSE)/1,0)-IFERROR(VLOOKUP($B298,'Slutlig allokering kvv'!$B$2:$BX$549,MATCH(AE$2,'Slutlig allokering kvv'!$B$1:$BX$1,0),FALSE)/1,0))</f>
        <v>0.88622999999999985</v>
      </c>
      <c r="AI298" s="121">
        <f t="shared" si="16"/>
        <v>30.732908000000002</v>
      </c>
      <c r="AK298" s="121">
        <f>IFERROR(VLOOKUP($B298,'Slutlig allokering kvv'!$B$2:$AX$549,MATCH("Summa slutlig allokerad tillförd energi (utan hjälpel och rökgaskondensering):",'Slutlig allokering kvv'!$B$1:$AX$1,0),FALSE)/1,"")</f>
        <v>49.02709200000001</v>
      </c>
      <c r="AM298" s="172">
        <f>IFERROR(1-VLOOKUP($B298,'Slutlig allokering kvv'!$B$2:$AX$549,MATCH("Andel av bränsle i kvv som allokerats till värme, exklusive rökgaskondensering och hjälpel",'Slutlig allokering kvv'!$B$1:$AX$1,0),FALSE),"")</f>
        <v>0.38531730190571711</v>
      </c>
      <c r="AO298" s="172">
        <f t="shared" si="17"/>
        <v>0.38531730190571706</v>
      </c>
      <c r="AP298" s="173">
        <f t="shared" si="18"/>
        <v>5.5511151231257827E-17</v>
      </c>
      <c r="AR298" s="172">
        <f t="shared" si="19"/>
        <v>0.57275438691592406</v>
      </c>
    </row>
    <row r="299" spans="1:44" x14ac:dyDescent="0.25">
      <c r="A299" s="171" t="str">
        <f>'Miljövärden för publ företag'!B301</f>
        <v>Vattenfall AB</v>
      </c>
      <c r="B299" s="171" t="str">
        <f>'Miljövärden för publ företag'!C301</f>
        <v>Nyköping</v>
      </c>
      <c r="C299" s="121">
        <f>IFERROR(VLOOKUP($B299,Kraftvärmeprod!$B$1:$AH$478,MATCH(C$2,Kraftvärmeprod!$B$1:$AG$1,0),FALSE)/1,"")</f>
        <v>229.953</v>
      </c>
      <c r="D299" s="121">
        <f>IFERROR(VLOOKUP($B299,Kraftvärmeprod!$B$1:$AH$478,MATCH(D$2,Kraftvärmeprod!$B$1:$AG$1,0),FALSE)/1,"")</f>
        <v>99.760999999999996</v>
      </c>
      <c r="F299" s="121">
        <f>IF($D299="","",IFERROR(VLOOKUP($B299,Kraftvärmeprod!$B$1:$BX$549,MATCH(F$2,Kraftvärmeprod!$B$1:$VX$1,0),FALSE)/1,0)-IFERROR(VLOOKUP($B299,'Slutlig allokering kvv'!$B$2:$BX$549,MATCH(F$2,'Slutlig allokering kvv'!$B$1:$BX$1,0),FALSE)/1,0))</f>
        <v>0</v>
      </c>
      <c r="G299" s="121">
        <f>IF($D299="","",IFERROR(VLOOKUP($B299,Kraftvärmeprod!$B$1:$BX$549,MATCH(G$2,Kraftvärmeprod!$B$1:$VX$1,0),FALSE)/1,0)-IFERROR(VLOOKUP($B299,'Slutlig allokering kvv'!$B$2:$BX$549,MATCH(G$2,'Slutlig allokering kvv'!$B$1:$BX$1,0),FALSE)/1,0))</f>
        <v>0</v>
      </c>
      <c r="H299" s="121">
        <f>IF($D299="","",IFERROR(VLOOKUP($B299,Kraftvärmeprod!$B$1:$BX$549,MATCH(H$2,Kraftvärmeprod!$B$1:$VX$1,0),FALSE)/1,0)-IFERROR(VLOOKUP($B299,'Slutlig allokering kvv'!$B$2:$BX$549,MATCH(H$2,'Slutlig allokering kvv'!$B$1:$BX$1,0),FALSE)/1,0))</f>
        <v>1.9391699999999998</v>
      </c>
      <c r="I299" s="121">
        <f>IF($D299="","",IFERROR(VLOOKUP($B299,Kraftvärmeprod!$B$1:$BX$549,MATCH(I$2,Kraftvärmeprod!$B$1:$VX$1,0),FALSE)/1,0)-IFERROR(VLOOKUP($B299,'Slutlig allokering kvv'!$B$2:$BX$549,MATCH(I$2,'Slutlig allokering kvv'!$B$1:$BX$1,0),FALSE)/1,0))</f>
        <v>0</v>
      </c>
      <c r="J299" s="121">
        <f>IF($D299="","",IFERROR(VLOOKUP($B299,Kraftvärmeprod!$B$1:$BX$549,MATCH(J$2,Kraftvärmeprod!$B$1:$VX$1,0),FALSE)/1,0)-IFERROR(VLOOKUP($B299,'Slutlig allokering kvv'!$B$2:$BX$549,MATCH(J$2,'Slutlig allokering kvv'!$B$1:$BX$1,0),FALSE)/1,0))</f>
        <v>0</v>
      </c>
      <c r="K299" s="121">
        <f>IF($D299="","",IFERROR(VLOOKUP($B299,Kraftvärmeprod!$B$1:$BX$549,MATCH(K$2,Kraftvärmeprod!$B$1:$VX$1,0),FALSE)/1,0)-IFERROR(VLOOKUP($B299,'Slutlig allokering kvv'!$B$2:$BX$549,MATCH(K$2,'Slutlig allokering kvv'!$B$1:$BX$1,0),FALSE)/1,0))</f>
        <v>0</v>
      </c>
      <c r="L299" s="121">
        <f>IF($D299="","",IFERROR(VLOOKUP($B299,Kraftvärmeprod!$B$1:$BX$549,MATCH(L$2,Kraftvärmeprod!$B$1:$VX$1,0),FALSE)/1,0)-IFERROR(VLOOKUP($B299,'Slutlig allokering kvv'!$B$2:$BX$549,MATCH(L$2,'Slutlig allokering kvv'!$B$1:$BX$1,0),FALSE)/1,0))</f>
        <v>14.750899999999998</v>
      </c>
      <c r="M299" s="121">
        <f>IF($D299="","",IFERROR(VLOOKUP($B299,Kraftvärmeprod!$B$1:$BX$549,MATCH(M$2,Kraftvärmeprod!$B$1:$VX$1,0),FALSE)/1,0)-IFERROR(VLOOKUP($B299,'Slutlig allokering kvv'!$B$2:$BX$549,MATCH(M$2,'Slutlig allokering kvv'!$B$1:$BX$1,0),FALSE)/1,0))</f>
        <v>0</v>
      </c>
      <c r="N299" s="121">
        <f>IF($D299="","",IFERROR(VLOOKUP($B299,Kraftvärmeprod!$B$1:$BX$549,MATCH(N$2,Kraftvärmeprod!$B$1:$VX$1,0),FALSE)/1,0)-IFERROR(VLOOKUP($B299,'Slutlig allokering kvv'!$B$2:$BX$549,MATCH(N$2,'Slutlig allokering kvv'!$B$1:$BX$1,0),FALSE)/1,0))</f>
        <v>0</v>
      </c>
      <c r="O299" s="121">
        <f>IF($D299="","",IFERROR(VLOOKUP($B299,Kraftvärmeprod!$B$1:$BX$549,MATCH(O$2,Kraftvärmeprod!$B$1:$VX$1,0),FALSE)/1,0)-IFERROR(VLOOKUP($B299,'Slutlig allokering kvv'!$B$2:$BX$549,MATCH(O$2,'Slutlig allokering kvv'!$B$1:$BX$1,0),FALSE)/1,0))</f>
        <v>0</v>
      </c>
      <c r="P299" s="121">
        <f>IF($D299="","",IFERROR(VLOOKUP($B299,Kraftvärmeprod!$B$1:$BX$549,MATCH(P$2,Kraftvärmeprod!$B$1:$VX$1,0),FALSE)/1,0)-IFERROR(VLOOKUP($B299,'Slutlig allokering kvv'!$B$2:$BX$549,MATCH(P$2,'Slutlig allokering kvv'!$B$1:$BX$1,0),FALSE)/1,0))</f>
        <v>0</v>
      </c>
      <c r="Q299" s="121">
        <f>IF($D299="","",IFERROR(VLOOKUP($B299,Kraftvärmeprod!$B$1:$BX$549,MATCH(Q$2,Kraftvärmeprod!$B$1:$VX$1,0),FALSE)/1,0)-IFERROR(VLOOKUP($B299,'Slutlig allokering kvv'!$B$2:$BX$549,MATCH(Q$2,'Slutlig allokering kvv'!$B$1:$BX$1,0),FALSE)/1,0))</f>
        <v>0</v>
      </c>
      <c r="R299" s="121">
        <f>IF($D299="","",IFERROR(VLOOKUP($B299,Kraftvärmeprod!$B$1:$BX$549,MATCH(R$2,Kraftvärmeprod!$B$1:$VX$1,0),FALSE)/1,0)-IFERROR(VLOOKUP($B299,'Slutlig allokering kvv'!$B$2:$BX$549,MATCH(R$2,'Slutlig allokering kvv'!$B$1:$BX$1,0),FALSE)/1,0))</f>
        <v>0</v>
      </c>
      <c r="S299" s="121">
        <f>IF($D299="","",IFERROR(VLOOKUP($B299,Kraftvärmeprod!$B$1:$BX$549,MATCH(S$2,Kraftvärmeprod!$B$1:$VX$1,0),FALSE)/1,0)-IFERROR(VLOOKUP($B299,'Slutlig allokering kvv'!$B$2:$BX$549,MATCH(S$2,'Slutlig allokering kvv'!$B$1:$BX$1,0),FALSE)/1,0))</f>
        <v>0</v>
      </c>
      <c r="T299" s="121">
        <f>IF($D299="","",IFERROR(VLOOKUP($B299,Kraftvärmeprod!$B$1:$BX$549,MATCH(T$2,Kraftvärmeprod!$B$1:$VX$1,0),FALSE)/1,0)-IFERROR(VLOOKUP($B299,'Slutlig allokering kvv'!$B$2:$BX$549,MATCH(T$2,'Slutlig allokering kvv'!$B$1:$BX$1,0),FALSE)/1,0))</f>
        <v>0</v>
      </c>
      <c r="U299" s="121">
        <f>IF($D299="","",IFERROR(VLOOKUP($B299,Kraftvärmeprod!$B$1:$BX$549,MATCH(U$2,Kraftvärmeprod!$B$1:$VX$1,0),FALSE)/1,0)-IFERROR(VLOOKUP($B299,'Slutlig allokering kvv'!$B$2:$BX$549,MATCH(U$2,'Slutlig allokering kvv'!$B$1:$BX$1,0),FALSE)/1,0))</f>
        <v>0</v>
      </c>
      <c r="V299" s="121">
        <f>IF($D299="","",IFERROR(VLOOKUP($B299,Kraftvärmeprod!$B$1:$BX$549,MATCH(V$2,Kraftvärmeprod!$B$1:$VX$1,0),FALSE)/1,0)-IFERROR(VLOOKUP($B299,'Slutlig allokering kvv'!$B$2:$BX$549,MATCH(V$2,'Slutlig allokering kvv'!$B$1:$BX$1,0),FALSE)/1,0))</f>
        <v>216.58100000000002</v>
      </c>
      <c r="W299" s="121">
        <f>IF($D299="","",IFERROR(VLOOKUP($B299,Kraftvärmeprod!$B$1:$BX$549,MATCH(W$2,Kraftvärmeprod!$B$1:$VX$1,0),FALSE)/1,0)-IFERROR(VLOOKUP($B299,'Slutlig allokering kvv'!$B$2:$BX$549,MATCH(W$2,'Slutlig allokering kvv'!$B$1:$BX$1,0),FALSE)/1,0))</f>
        <v>0</v>
      </c>
      <c r="X299" s="121">
        <f>IF($D299="","",IFERROR(VLOOKUP($B299,Kraftvärmeprod!$B$1:$BX$549,MATCH(X$2,Kraftvärmeprod!$B$1:$VX$1,0),FALSE)/1,0)-IFERROR(VLOOKUP($B299,'Slutlig allokering kvv'!$B$2:$BX$549,MATCH(X$2,'Slutlig allokering kvv'!$B$1:$BX$1,0),FALSE)/1,0))</f>
        <v>0</v>
      </c>
      <c r="Y299" s="121">
        <f>IF($D299="","",IFERROR(VLOOKUP($B299,Kraftvärmeprod!$B$1:$BX$549,MATCH(Y$2,Kraftvärmeprod!$B$1:$VX$1,0),FALSE)/1,0)-IFERROR(VLOOKUP($B299,'Slutlig allokering kvv'!$B$2:$BX$549,MATCH(Y$2,'Slutlig allokering kvv'!$B$1:$BX$1,0),FALSE)/1,0))</f>
        <v>0</v>
      </c>
      <c r="Z299" s="121">
        <f>IF($D299="","",IFERROR(VLOOKUP($B299,Kraftvärmeprod!$B$1:$BX$549,MATCH(Z$2,Kraftvärmeprod!$B$1:$VX$1,0),FALSE)/1,0)-IFERROR(VLOOKUP($B299,'Slutlig allokering kvv'!$B$2:$BX$549,MATCH(Z$2,'Slutlig allokering kvv'!$B$1:$BX$1,0),FALSE)/1,0))</f>
        <v>0</v>
      </c>
      <c r="AA299" s="121">
        <f>IF($D299="","",IFERROR(VLOOKUP($B299,Kraftvärmeprod!$B$1:$BX$549,MATCH(AA$2,Kraftvärmeprod!$B$1:$VX$1,0),FALSE)/1,0)-IFERROR(VLOOKUP($B299,'Slutlig allokering kvv'!$B$2:$BX$549,MATCH(AA$2,'Slutlig allokering kvv'!$B$1:$BX$1,0),FALSE)/1,0))</f>
        <v>1.53227</v>
      </c>
      <c r="AB299" s="121">
        <f>IF($D299="","",IFERROR(VLOOKUP($B299,Kraftvärmeprod!$B$1:$BX$549,MATCH(AB$2,Kraftvärmeprod!$B$1:$VX$1,0),FALSE)/1,0)-IFERROR(VLOOKUP($B299,'Slutlig allokering kvv'!$B$2:$BX$549,MATCH(AB$2,'Slutlig allokering kvv'!$B$1:$BX$1,0),FALSE)/1,0))</f>
        <v>0.72543300000000011</v>
      </c>
      <c r="AC299" s="121">
        <f>IF($D299="","",IFERROR(VLOOKUP($B299,Kraftvärmeprod!$B$1:$BX$549,MATCH(AC$2,Kraftvärmeprod!$B$1:$VX$1,0),FALSE)/1,0)-IFERROR(VLOOKUP($B299,'Slutlig allokering kvv'!$B$2:$BX$549,MATCH(AC$2,'Slutlig allokering kvv'!$B$1:$BX$1,0),FALSE)/1,0))</f>
        <v>0</v>
      </c>
      <c r="AD299" s="121">
        <f>IF($D299="","",IFERROR(VLOOKUP($B299,Kraftvärmeprod!$B$1:$BX$549,MATCH(AD$2,Kraftvärmeprod!$B$1:$VX$1,0),FALSE)/1,0)-IFERROR(VLOOKUP($B299,'Slutlig allokering kvv'!$B$2:$BX$549,MATCH(AD$2,'Slutlig allokering kvv'!$B$1:$BX$1,0),FALSE)/1,0))</f>
        <v>0</v>
      </c>
      <c r="AE299" s="121">
        <f>IF($D299="","",IFERROR(VLOOKUP($B299,Miljö!$B$1:$E$550,MATCH("Hjälpel kraftvärme (GWh)",Miljö!$B$1:$E$1,0),FALSE)/1,0)-IFERROR(VLOOKUP($B299,'Slutlig allokering kvv'!$B$2:$BX$549,MATCH(AE$2,'Slutlig allokering kvv'!$B$1:$BX$1,0),FALSE)/1,0))</f>
        <v>8.1483200000000018</v>
      </c>
      <c r="AI299" s="121">
        <f t="shared" si="16"/>
        <v>235.52877300000003</v>
      </c>
      <c r="AK299" s="121">
        <f>IFERROR(VLOOKUP($B299,'Slutlig allokering kvv'!$B$2:$AX$549,MATCH("Summa slutlig allokerad tillförd energi (utan hjälpel och rökgaskondensering):",'Slutlig allokering kvv'!$B$1:$AX$1,0),FALSE)/1,"")</f>
        <v>208.65722700000003</v>
      </c>
      <c r="AM299" s="172">
        <f>IFERROR(1-VLOOKUP($B299,'Slutlig allokering kvv'!$B$2:$AX$549,MATCH("Andel av bränsle i kvv som allokerats till värme, exklusive rökgaskondensering och hjälpel",'Slutlig allokering kvv'!$B$1:$AX$1,0),FALSE),"")</f>
        <v>0.53024807850765221</v>
      </c>
      <c r="AO299" s="172">
        <f t="shared" si="17"/>
        <v>0.53024807850765221</v>
      </c>
      <c r="AP299" s="173">
        <f t="shared" si="18"/>
        <v>0</v>
      </c>
      <c r="AR299" s="172">
        <f t="shared" si="19"/>
        <v>0.40939835079204584</v>
      </c>
    </row>
    <row r="300" spans="1:44" x14ac:dyDescent="0.25">
      <c r="A300" s="171" t="str">
        <f>'Miljövärden för publ företag'!B302</f>
        <v>Vattenfall AB</v>
      </c>
      <c r="B300" s="171" t="str">
        <f>'Miljövärden för publ företag'!C302</f>
        <v>Saltsjöbaden</v>
      </c>
      <c r="C300" s="121" t="str">
        <f>IFERROR(VLOOKUP($B300,Kraftvärmeprod!$B$1:$AH$478,MATCH(C$2,Kraftvärmeprod!$B$1:$AG$1,0),FALSE)/1,"")</f>
        <v/>
      </c>
      <c r="D300" s="121" t="str">
        <f>IFERROR(VLOOKUP($B300,Kraftvärmeprod!$B$1:$AH$478,MATCH(D$2,Kraftvärmeprod!$B$1:$AG$1,0),FALSE)/1,"")</f>
        <v/>
      </c>
      <c r="F300" s="121" t="str">
        <f>IF($D300="","",IFERROR(VLOOKUP($B300,Kraftvärmeprod!$B$1:$BX$549,MATCH(F$2,Kraftvärmeprod!$B$1:$VX$1,0),FALSE)/1,0)-IFERROR(VLOOKUP($B300,'Slutlig allokering kvv'!$B$2:$BX$549,MATCH(F$2,'Slutlig allokering kvv'!$B$1:$BX$1,0),FALSE)/1,0))</f>
        <v/>
      </c>
      <c r="G300" s="121" t="str">
        <f>IF($D300="","",IFERROR(VLOOKUP($B300,Kraftvärmeprod!$B$1:$BX$549,MATCH(G$2,Kraftvärmeprod!$B$1:$VX$1,0),FALSE)/1,0)-IFERROR(VLOOKUP($B300,'Slutlig allokering kvv'!$B$2:$BX$549,MATCH(G$2,'Slutlig allokering kvv'!$B$1:$BX$1,0),FALSE)/1,0))</f>
        <v/>
      </c>
      <c r="H300" s="121" t="str">
        <f>IF($D300="","",IFERROR(VLOOKUP($B300,Kraftvärmeprod!$B$1:$BX$549,MATCH(H$2,Kraftvärmeprod!$B$1:$VX$1,0),FALSE)/1,0)-IFERROR(VLOOKUP($B300,'Slutlig allokering kvv'!$B$2:$BX$549,MATCH(H$2,'Slutlig allokering kvv'!$B$1:$BX$1,0),FALSE)/1,0))</f>
        <v/>
      </c>
      <c r="I300" s="121" t="str">
        <f>IF($D300="","",IFERROR(VLOOKUP($B300,Kraftvärmeprod!$B$1:$BX$549,MATCH(I$2,Kraftvärmeprod!$B$1:$VX$1,0),FALSE)/1,0)-IFERROR(VLOOKUP($B300,'Slutlig allokering kvv'!$B$2:$BX$549,MATCH(I$2,'Slutlig allokering kvv'!$B$1:$BX$1,0),FALSE)/1,0))</f>
        <v/>
      </c>
      <c r="J300" s="121" t="str">
        <f>IF($D300="","",IFERROR(VLOOKUP($B300,Kraftvärmeprod!$B$1:$BX$549,MATCH(J$2,Kraftvärmeprod!$B$1:$VX$1,0),FALSE)/1,0)-IFERROR(VLOOKUP($B300,'Slutlig allokering kvv'!$B$2:$BX$549,MATCH(J$2,'Slutlig allokering kvv'!$B$1:$BX$1,0),FALSE)/1,0))</f>
        <v/>
      </c>
      <c r="K300" s="121" t="str">
        <f>IF($D300="","",IFERROR(VLOOKUP($B300,Kraftvärmeprod!$B$1:$BX$549,MATCH(K$2,Kraftvärmeprod!$B$1:$VX$1,0),FALSE)/1,0)-IFERROR(VLOOKUP($B300,'Slutlig allokering kvv'!$B$2:$BX$549,MATCH(K$2,'Slutlig allokering kvv'!$B$1:$BX$1,0),FALSE)/1,0))</f>
        <v/>
      </c>
      <c r="L300" s="121" t="str">
        <f>IF($D300="","",IFERROR(VLOOKUP($B300,Kraftvärmeprod!$B$1:$BX$549,MATCH(L$2,Kraftvärmeprod!$B$1:$VX$1,0),FALSE)/1,0)-IFERROR(VLOOKUP($B300,'Slutlig allokering kvv'!$B$2:$BX$549,MATCH(L$2,'Slutlig allokering kvv'!$B$1:$BX$1,0),FALSE)/1,0))</f>
        <v/>
      </c>
      <c r="M300" s="121" t="str">
        <f>IF($D300="","",IFERROR(VLOOKUP($B300,Kraftvärmeprod!$B$1:$BX$549,MATCH(M$2,Kraftvärmeprod!$B$1:$VX$1,0),FALSE)/1,0)-IFERROR(VLOOKUP($B300,'Slutlig allokering kvv'!$B$2:$BX$549,MATCH(M$2,'Slutlig allokering kvv'!$B$1:$BX$1,0),FALSE)/1,0))</f>
        <v/>
      </c>
      <c r="N300" s="121" t="str">
        <f>IF($D300="","",IFERROR(VLOOKUP($B300,Kraftvärmeprod!$B$1:$BX$549,MATCH(N$2,Kraftvärmeprod!$B$1:$VX$1,0),FALSE)/1,0)-IFERROR(VLOOKUP($B300,'Slutlig allokering kvv'!$B$2:$BX$549,MATCH(N$2,'Slutlig allokering kvv'!$B$1:$BX$1,0),FALSE)/1,0))</f>
        <v/>
      </c>
      <c r="O300" s="121" t="str">
        <f>IF($D300="","",IFERROR(VLOOKUP($B300,Kraftvärmeprod!$B$1:$BX$549,MATCH(O$2,Kraftvärmeprod!$B$1:$VX$1,0),FALSE)/1,0)-IFERROR(VLOOKUP($B300,'Slutlig allokering kvv'!$B$2:$BX$549,MATCH(O$2,'Slutlig allokering kvv'!$B$1:$BX$1,0),FALSE)/1,0))</f>
        <v/>
      </c>
      <c r="P300" s="121" t="str">
        <f>IF($D300="","",IFERROR(VLOOKUP($B300,Kraftvärmeprod!$B$1:$BX$549,MATCH(P$2,Kraftvärmeprod!$B$1:$VX$1,0),FALSE)/1,0)-IFERROR(VLOOKUP($B300,'Slutlig allokering kvv'!$B$2:$BX$549,MATCH(P$2,'Slutlig allokering kvv'!$B$1:$BX$1,0),FALSE)/1,0))</f>
        <v/>
      </c>
      <c r="Q300" s="121" t="str">
        <f>IF($D300="","",IFERROR(VLOOKUP($B300,Kraftvärmeprod!$B$1:$BX$549,MATCH(Q$2,Kraftvärmeprod!$B$1:$VX$1,0),FALSE)/1,0)-IFERROR(VLOOKUP($B300,'Slutlig allokering kvv'!$B$2:$BX$549,MATCH(Q$2,'Slutlig allokering kvv'!$B$1:$BX$1,0),FALSE)/1,0))</f>
        <v/>
      </c>
      <c r="R300" s="121" t="str">
        <f>IF($D300="","",IFERROR(VLOOKUP($B300,Kraftvärmeprod!$B$1:$BX$549,MATCH(R$2,Kraftvärmeprod!$B$1:$VX$1,0),FALSE)/1,0)-IFERROR(VLOOKUP($B300,'Slutlig allokering kvv'!$B$2:$BX$549,MATCH(R$2,'Slutlig allokering kvv'!$B$1:$BX$1,0),FALSE)/1,0))</f>
        <v/>
      </c>
      <c r="S300" s="121" t="str">
        <f>IF($D300="","",IFERROR(VLOOKUP($B300,Kraftvärmeprod!$B$1:$BX$549,MATCH(S$2,Kraftvärmeprod!$B$1:$VX$1,0),FALSE)/1,0)-IFERROR(VLOOKUP($B300,'Slutlig allokering kvv'!$B$2:$BX$549,MATCH(S$2,'Slutlig allokering kvv'!$B$1:$BX$1,0),FALSE)/1,0))</f>
        <v/>
      </c>
      <c r="T300" s="121" t="str">
        <f>IF($D300="","",IFERROR(VLOOKUP($B300,Kraftvärmeprod!$B$1:$BX$549,MATCH(T$2,Kraftvärmeprod!$B$1:$VX$1,0),FALSE)/1,0)-IFERROR(VLOOKUP($B300,'Slutlig allokering kvv'!$B$2:$BX$549,MATCH(T$2,'Slutlig allokering kvv'!$B$1:$BX$1,0),FALSE)/1,0))</f>
        <v/>
      </c>
      <c r="U300" s="121" t="str">
        <f>IF($D300="","",IFERROR(VLOOKUP($B300,Kraftvärmeprod!$B$1:$BX$549,MATCH(U$2,Kraftvärmeprod!$B$1:$VX$1,0),FALSE)/1,0)-IFERROR(VLOOKUP($B300,'Slutlig allokering kvv'!$B$2:$BX$549,MATCH(U$2,'Slutlig allokering kvv'!$B$1:$BX$1,0),FALSE)/1,0))</f>
        <v/>
      </c>
      <c r="V300" s="121" t="str">
        <f>IF($D300="","",IFERROR(VLOOKUP($B300,Kraftvärmeprod!$B$1:$BX$549,MATCH(V$2,Kraftvärmeprod!$B$1:$VX$1,0),FALSE)/1,0)-IFERROR(VLOOKUP($B300,'Slutlig allokering kvv'!$B$2:$BX$549,MATCH(V$2,'Slutlig allokering kvv'!$B$1:$BX$1,0),FALSE)/1,0))</f>
        <v/>
      </c>
      <c r="W300" s="121" t="str">
        <f>IF($D300="","",IFERROR(VLOOKUP($B300,Kraftvärmeprod!$B$1:$BX$549,MATCH(W$2,Kraftvärmeprod!$B$1:$VX$1,0),FALSE)/1,0)-IFERROR(VLOOKUP($B300,'Slutlig allokering kvv'!$B$2:$BX$549,MATCH(W$2,'Slutlig allokering kvv'!$B$1:$BX$1,0),FALSE)/1,0))</f>
        <v/>
      </c>
      <c r="X300" s="121" t="str">
        <f>IF($D300="","",IFERROR(VLOOKUP($B300,Kraftvärmeprod!$B$1:$BX$549,MATCH(X$2,Kraftvärmeprod!$B$1:$VX$1,0),FALSE)/1,0)-IFERROR(VLOOKUP($B300,'Slutlig allokering kvv'!$B$2:$BX$549,MATCH(X$2,'Slutlig allokering kvv'!$B$1:$BX$1,0),FALSE)/1,0))</f>
        <v/>
      </c>
      <c r="Y300" s="121" t="str">
        <f>IF($D300="","",IFERROR(VLOOKUP($B300,Kraftvärmeprod!$B$1:$BX$549,MATCH(Y$2,Kraftvärmeprod!$B$1:$VX$1,0),FALSE)/1,0)-IFERROR(VLOOKUP($B300,'Slutlig allokering kvv'!$B$2:$BX$549,MATCH(Y$2,'Slutlig allokering kvv'!$B$1:$BX$1,0),FALSE)/1,0))</f>
        <v/>
      </c>
      <c r="Z300" s="121" t="str">
        <f>IF($D300="","",IFERROR(VLOOKUP($B300,Kraftvärmeprod!$B$1:$BX$549,MATCH(Z$2,Kraftvärmeprod!$B$1:$VX$1,0),FALSE)/1,0)-IFERROR(VLOOKUP($B300,'Slutlig allokering kvv'!$B$2:$BX$549,MATCH(Z$2,'Slutlig allokering kvv'!$B$1:$BX$1,0),FALSE)/1,0))</f>
        <v/>
      </c>
      <c r="AA300" s="121" t="str">
        <f>IF($D300="","",IFERROR(VLOOKUP($B300,Kraftvärmeprod!$B$1:$BX$549,MATCH(AA$2,Kraftvärmeprod!$B$1:$VX$1,0),FALSE)/1,0)-IFERROR(VLOOKUP($B300,'Slutlig allokering kvv'!$B$2:$BX$549,MATCH(AA$2,'Slutlig allokering kvv'!$B$1:$BX$1,0),FALSE)/1,0))</f>
        <v/>
      </c>
      <c r="AB300" s="121" t="str">
        <f>IF($D300="","",IFERROR(VLOOKUP($B300,Kraftvärmeprod!$B$1:$BX$549,MATCH(AB$2,Kraftvärmeprod!$B$1:$VX$1,0),FALSE)/1,0)-IFERROR(VLOOKUP($B300,'Slutlig allokering kvv'!$B$2:$BX$549,MATCH(AB$2,'Slutlig allokering kvv'!$B$1:$BX$1,0),FALSE)/1,0))</f>
        <v/>
      </c>
      <c r="AC300" s="121" t="str">
        <f>IF($D300="","",IFERROR(VLOOKUP($B300,Kraftvärmeprod!$B$1:$BX$549,MATCH(AC$2,Kraftvärmeprod!$B$1:$VX$1,0),FALSE)/1,0)-IFERROR(VLOOKUP($B300,'Slutlig allokering kvv'!$B$2:$BX$549,MATCH(AC$2,'Slutlig allokering kvv'!$B$1:$BX$1,0),FALSE)/1,0))</f>
        <v/>
      </c>
      <c r="AD300" s="121" t="str">
        <f>IF($D300="","",IFERROR(VLOOKUP($B300,Kraftvärmeprod!$B$1:$BX$549,MATCH(AD$2,Kraftvärmeprod!$B$1:$VX$1,0),FALSE)/1,0)-IFERROR(VLOOKUP($B300,'Slutlig allokering kvv'!$B$2:$BX$549,MATCH(AD$2,'Slutlig allokering kvv'!$B$1:$BX$1,0),FALSE)/1,0))</f>
        <v/>
      </c>
      <c r="AE300" s="121" t="str">
        <f>IF($D300="","",IFERROR(VLOOKUP($B300,Miljö!$B$1:$E$550,MATCH("Hjälpel kraftvärme (GWh)",Miljö!$B$1:$E$1,0),FALSE)/1,0)-IFERROR(VLOOKUP($B300,'Slutlig allokering kvv'!$B$2:$BX$549,MATCH(AE$2,'Slutlig allokering kvv'!$B$1:$BX$1,0),FALSE)/1,0))</f>
        <v/>
      </c>
      <c r="AI300" s="121">
        <f t="shared" si="16"/>
        <v>0</v>
      </c>
      <c r="AK300" s="121">
        <f>IFERROR(VLOOKUP($B300,'Slutlig allokering kvv'!$B$2:$AX$549,MATCH("Summa slutlig allokerad tillförd energi (utan hjälpel och rökgaskondensering):",'Slutlig allokering kvv'!$B$1:$AX$1,0),FALSE)/1,"")</f>
        <v>0</v>
      </c>
      <c r="AM300" s="172" t="str">
        <f>IFERROR(1-VLOOKUP($B300,'Slutlig allokering kvv'!$B$2:$AX$549,MATCH("Andel av bränsle i kvv som allokerats till värme, exklusive rökgaskondensering och hjälpel",'Slutlig allokering kvv'!$B$1:$AX$1,0),FALSE),"")</f>
        <v/>
      </c>
      <c r="AO300" s="172" t="str">
        <f t="shared" si="17"/>
        <v/>
      </c>
      <c r="AP300" s="173" t="str">
        <f t="shared" si="18"/>
        <v/>
      </c>
      <c r="AR300" s="172" t="str">
        <f t="shared" si="19"/>
        <v/>
      </c>
    </row>
    <row r="301" spans="1:44" x14ac:dyDescent="0.25">
      <c r="A301" s="171" t="str">
        <f>'Miljövärden för publ företag'!B303</f>
        <v>Vattenfall AB</v>
      </c>
      <c r="B301" s="171" t="str">
        <f>'Miljövärden för publ företag'!C303</f>
        <v>Storvreta</v>
      </c>
      <c r="C301" s="121" t="str">
        <f>IFERROR(VLOOKUP($B301,Kraftvärmeprod!$B$1:$AH$478,MATCH(C$2,Kraftvärmeprod!$B$1:$AG$1,0),FALSE)/1,"")</f>
        <v/>
      </c>
      <c r="D301" s="121" t="str">
        <f>IFERROR(VLOOKUP($B301,Kraftvärmeprod!$B$1:$AH$478,MATCH(D$2,Kraftvärmeprod!$B$1:$AG$1,0),FALSE)/1,"")</f>
        <v/>
      </c>
      <c r="F301" s="121" t="str">
        <f>IF($D301="","",IFERROR(VLOOKUP($B301,Kraftvärmeprod!$B$1:$BX$549,MATCH(F$2,Kraftvärmeprod!$B$1:$VX$1,0),FALSE)/1,0)-IFERROR(VLOOKUP($B301,'Slutlig allokering kvv'!$B$2:$BX$549,MATCH(F$2,'Slutlig allokering kvv'!$B$1:$BX$1,0),FALSE)/1,0))</f>
        <v/>
      </c>
      <c r="G301" s="121" t="str">
        <f>IF($D301="","",IFERROR(VLOOKUP($B301,Kraftvärmeprod!$B$1:$BX$549,MATCH(G$2,Kraftvärmeprod!$B$1:$VX$1,0),FALSE)/1,0)-IFERROR(VLOOKUP($B301,'Slutlig allokering kvv'!$B$2:$BX$549,MATCH(G$2,'Slutlig allokering kvv'!$B$1:$BX$1,0),FALSE)/1,0))</f>
        <v/>
      </c>
      <c r="H301" s="121" t="str">
        <f>IF($D301="","",IFERROR(VLOOKUP($B301,Kraftvärmeprod!$B$1:$BX$549,MATCH(H$2,Kraftvärmeprod!$B$1:$VX$1,0),FALSE)/1,0)-IFERROR(VLOOKUP($B301,'Slutlig allokering kvv'!$B$2:$BX$549,MATCH(H$2,'Slutlig allokering kvv'!$B$1:$BX$1,0),FALSE)/1,0))</f>
        <v/>
      </c>
      <c r="I301" s="121" t="str">
        <f>IF($D301="","",IFERROR(VLOOKUP($B301,Kraftvärmeprod!$B$1:$BX$549,MATCH(I$2,Kraftvärmeprod!$B$1:$VX$1,0),FALSE)/1,0)-IFERROR(VLOOKUP($B301,'Slutlig allokering kvv'!$B$2:$BX$549,MATCH(I$2,'Slutlig allokering kvv'!$B$1:$BX$1,0),FALSE)/1,0))</f>
        <v/>
      </c>
      <c r="J301" s="121" t="str">
        <f>IF($D301="","",IFERROR(VLOOKUP($B301,Kraftvärmeprod!$B$1:$BX$549,MATCH(J$2,Kraftvärmeprod!$B$1:$VX$1,0),FALSE)/1,0)-IFERROR(VLOOKUP($B301,'Slutlig allokering kvv'!$B$2:$BX$549,MATCH(J$2,'Slutlig allokering kvv'!$B$1:$BX$1,0),FALSE)/1,0))</f>
        <v/>
      </c>
      <c r="K301" s="121" t="str">
        <f>IF($D301="","",IFERROR(VLOOKUP($B301,Kraftvärmeprod!$B$1:$BX$549,MATCH(K$2,Kraftvärmeprod!$B$1:$VX$1,0),FALSE)/1,0)-IFERROR(VLOOKUP($B301,'Slutlig allokering kvv'!$B$2:$BX$549,MATCH(K$2,'Slutlig allokering kvv'!$B$1:$BX$1,0),FALSE)/1,0))</f>
        <v/>
      </c>
      <c r="L301" s="121" t="str">
        <f>IF($D301="","",IFERROR(VLOOKUP($B301,Kraftvärmeprod!$B$1:$BX$549,MATCH(L$2,Kraftvärmeprod!$B$1:$VX$1,0),FALSE)/1,0)-IFERROR(VLOOKUP($B301,'Slutlig allokering kvv'!$B$2:$BX$549,MATCH(L$2,'Slutlig allokering kvv'!$B$1:$BX$1,0),FALSE)/1,0))</f>
        <v/>
      </c>
      <c r="M301" s="121" t="str">
        <f>IF($D301="","",IFERROR(VLOOKUP($B301,Kraftvärmeprod!$B$1:$BX$549,MATCH(M$2,Kraftvärmeprod!$B$1:$VX$1,0),FALSE)/1,0)-IFERROR(VLOOKUP($B301,'Slutlig allokering kvv'!$B$2:$BX$549,MATCH(M$2,'Slutlig allokering kvv'!$B$1:$BX$1,0),FALSE)/1,0))</f>
        <v/>
      </c>
      <c r="N301" s="121" t="str">
        <f>IF($D301="","",IFERROR(VLOOKUP($B301,Kraftvärmeprod!$B$1:$BX$549,MATCH(N$2,Kraftvärmeprod!$B$1:$VX$1,0),FALSE)/1,0)-IFERROR(VLOOKUP($B301,'Slutlig allokering kvv'!$B$2:$BX$549,MATCH(N$2,'Slutlig allokering kvv'!$B$1:$BX$1,0),FALSE)/1,0))</f>
        <v/>
      </c>
      <c r="O301" s="121" t="str">
        <f>IF($D301="","",IFERROR(VLOOKUP($B301,Kraftvärmeprod!$B$1:$BX$549,MATCH(O$2,Kraftvärmeprod!$B$1:$VX$1,0),FALSE)/1,0)-IFERROR(VLOOKUP($B301,'Slutlig allokering kvv'!$B$2:$BX$549,MATCH(O$2,'Slutlig allokering kvv'!$B$1:$BX$1,0),FALSE)/1,0))</f>
        <v/>
      </c>
      <c r="P301" s="121" t="str">
        <f>IF($D301="","",IFERROR(VLOOKUP($B301,Kraftvärmeprod!$B$1:$BX$549,MATCH(P$2,Kraftvärmeprod!$B$1:$VX$1,0),FALSE)/1,0)-IFERROR(VLOOKUP($B301,'Slutlig allokering kvv'!$B$2:$BX$549,MATCH(P$2,'Slutlig allokering kvv'!$B$1:$BX$1,0),FALSE)/1,0))</f>
        <v/>
      </c>
      <c r="Q301" s="121" t="str">
        <f>IF($D301="","",IFERROR(VLOOKUP($B301,Kraftvärmeprod!$B$1:$BX$549,MATCH(Q$2,Kraftvärmeprod!$B$1:$VX$1,0),FALSE)/1,0)-IFERROR(VLOOKUP($B301,'Slutlig allokering kvv'!$B$2:$BX$549,MATCH(Q$2,'Slutlig allokering kvv'!$B$1:$BX$1,0),FALSE)/1,0))</f>
        <v/>
      </c>
      <c r="R301" s="121" t="str">
        <f>IF($D301="","",IFERROR(VLOOKUP($B301,Kraftvärmeprod!$B$1:$BX$549,MATCH(R$2,Kraftvärmeprod!$B$1:$VX$1,0),FALSE)/1,0)-IFERROR(VLOOKUP($B301,'Slutlig allokering kvv'!$B$2:$BX$549,MATCH(R$2,'Slutlig allokering kvv'!$B$1:$BX$1,0),FALSE)/1,0))</f>
        <v/>
      </c>
      <c r="S301" s="121" t="str">
        <f>IF($D301="","",IFERROR(VLOOKUP($B301,Kraftvärmeprod!$B$1:$BX$549,MATCH(S$2,Kraftvärmeprod!$B$1:$VX$1,0),FALSE)/1,0)-IFERROR(VLOOKUP($B301,'Slutlig allokering kvv'!$B$2:$BX$549,MATCH(S$2,'Slutlig allokering kvv'!$B$1:$BX$1,0),FALSE)/1,0))</f>
        <v/>
      </c>
      <c r="T301" s="121" t="str">
        <f>IF($D301="","",IFERROR(VLOOKUP($B301,Kraftvärmeprod!$B$1:$BX$549,MATCH(T$2,Kraftvärmeprod!$B$1:$VX$1,0),FALSE)/1,0)-IFERROR(VLOOKUP($B301,'Slutlig allokering kvv'!$B$2:$BX$549,MATCH(T$2,'Slutlig allokering kvv'!$B$1:$BX$1,0),FALSE)/1,0))</f>
        <v/>
      </c>
      <c r="U301" s="121" t="str">
        <f>IF($D301="","",IFERROR(VLOOKUP($B301,Kraftvärmeprod!$B$1:$BX$549,MATCH(U$2,Kraftvärmeprod!$B$1:$VX$1,0),FALSE)/1,0)-IFERROR(VLOOKUP($B301,'Slutlig allokering kvv'!$B$2:$BX$549,MATCH(U$2,'Slutlig allokering kvv'!$B$1:$BX$1,0),FALSE)/1,0))</f>
        <v/>
      </c>
      <c r="V301" s="121" t="str">
        <f>IF($D301="","",IFERROR(VLOOKUP($B301,Kraftvärmeprod!$B$1:$BX$549,MATCH(V$2,Kraftvärmeprod!$B$1:$VX$1,0),FALSE)/1,0)-IFERROR(VLOOKUP($B301,'Slutlig allokering kvv'!$B$2:$BX$549,MATCH(V$2,'Slutlig allokering kvv'!$B$1:$BX$1,0),FALSE)/1,0))</f>
        <v/>
      </c>
      <c r="W301" s="121" t="str">
        <f>IF($D301="","",IFERROR(VLOOKUP($B301,Kraftvärmeprod!$B$1:$BX$549,MATCH(W$2,Kraftvärmeprod!$B$1:$VX$1,0),FALSE)/1,0)-IFERROR(VLOOKUP($B301,'Slutlig allokering kvv'!$B$2:$BX$549,MATCH(W$2,'Slutlig allokering kvv'!$B$1:$BX$1,0),FALSE)/1,0))</f>
        <v/>
      </c>
      <c r="X301" s="121" t="str">
        <f>IF($D301="","",IFERROR(VLOOKUP($B301,Kraftvärmeprod!$B$1:$BX$549,MATCH(X$2,Kraftvärmeprod!$B$1:$VX$1,0),FALSE)/1,0)-IFERROR(VLOOKUP($B301,'Slutlig allokering kvv'!$B$2:$BX$549,MATCH(X$2,'Slutlig allokering kvv'!$B$1:$BX$1,0),FALSE)/1,0))</f>
        <v/>
      </c>
      <c r="Y301" s="121" t="str">
        <f>IF($D301="","",IFERROR(VLOOKUP($B301,Kraftvärmeprod!$B$1:$BX$549,MATCH(Y$2,Kraftvärmeprod!$B$1:$VX$1,0),FALSE)/1,0)-IFERROR(VLOOKUP($B301,'Slutlig allokering kvv'!$B$2:$BX$549,MATCH(Y$2,'Slutlig allokering kvv'!$B$1:$BX$1,0),FALSE)/1,0))</f>
        <v/>
      </c>
      <c r="Z301" s="121" t="str">
        <f>IF($D301="","",IFERROR(VLOOKUP($B301,Kraftvärmeprod!$B$1:$BX$549,MATCH(Z$2,Kraftvärmeprod!$B$1:$VX$1,0),FALSE)/1,0)-IFERROR(VLOOKUP($B301,'Slutlig allokering kvv'!$B$2:$BX$549,MATCH(Z$2,'Slutlig allokering kvv'!$B$1:$BX$1,0),FALSE)/1,0))</f>
        <v/>
      </c>
      <c r="AA301" s="121" t="str">
        <f>IF($D301="","",IFERROR(VLOOKUP($B301,Kraftvärmeprod!$B$1:$BX$549,MATCH(AA$2,Kraftvärmeprod!$B$1:$VX$1,0),FALSE)/1,0)-IFERROR(VLOOKUP($B301,'Slutlig allokering kvv'!$B$2:$BX$549,MATCH(AA$2,'Slutlig allokering kvv'!$B$1:$BX$1,0),FALSE)/1,0))</f>
        <v/>
      </c>
      <c r="AB301" s="121" t="str">
        <f>IF($D301="","",IFERROR(VLOOKUP($B301,Kraftvärmeprod!$B$1:$BX$549,MATCH(AB$2,Kraftvärmeprod!$B$1:$VX$1,0),FALSE)/1,0)-IFERROR(VLOOKUP($B301,'Slutlig allokering kvv'!$B$2:$BX$549,MATCH(AB$2,'Slutlig allokering kvv'!$B$1:$BX$1,0),FALSE)/1,0))</f>
        <v/>
      </c>
      <c r="AC301" s="121" t="str">
        <f>IF($D301="","",IFERROR(VLOOKUP($B301,Kraftvärmeprod!$B$1:$BX$549,MATCH(AC$2,Kraftvärmeprod!$B$1:$VX$1,0),FALSE)/1,0)-IFERROR(VLOOKUP($B301,'Slutlig allokering kvv'!$B$2:$BX$549,MATCH(AC$2,'Slutlig allokering kvv'!$B$1:$BX$1,0),FALSE)/1,0))</f>
        <v/>
      </c>
      <c r="AD301" s="121" t="str">
        <f>IF($D301="","",IFERROR(VLOOKUP($B301,Kraftvärmeprod!$B$1:$BX$549,MATCH(AD$2,Kraftvärmeprod!$B$1:$VX$1,0),FALSE)/1,0)-IFERROR(VLOOKUP($B301,'Slutlig allokering kvv'!$B$2:$BX$549,MATCH(AD$2,'Slutlig allokering kvv'!$B$1:$BX$1,0),FALSE)/1,0))</f>
        <v/>
      </c>
      <c r="AE301" s="121" t="str">
        <f>IF($D301="","",IFERROR(VLOOKUP($B301,Miljö!$B$1:$E$550,MATCH("Hjälpel kraftvärme (GWh)",Miljö!$B$1:$E$1,0),FALSE)/1,0)-IFERROR(VLOOKUP($B301,'Slutlig allokering kvv'!$B$2:$BX$549,MATCH(AE$2,'Slutlig allokering kvv'!$B$1:$BX$1,0),FALSE)/1,0))</f>
        <v/>
      </c>
      <c r="AI301" s="121">
        <f t="shared" si="16"/>
        <v>0</v>
      </c>
      <c r="AK301" s="121">
        <f>IFERROR(VLOOKUP($B301,'Slutlig allokering kvv'!$B$2:$AX$549,MATCH("Summa slutlig allokerad tillförd energi (utan hjälpel och rökgaskondensering):",'Slutlig allokering kvv'!$B$1:$AX$1,0),FALSE)/1,"")</f>
        <v>0</v>
      </c>
      <c r="AM301" s="172" t="str">
        <f>IFERROR(1-VLOOKUP($B301,'Slutlig allokering kvv'!$B$2:$AX$549,MATCH("Andel av bränsle i kvv som allokerats till värme, exklusive rökgaskondensering och hjälpel",'Slutlig allokering kvv'!$B$1:$AX$1,0),FALSE),"")</f>
        <v/>
      </c>
      <c r="AO301" s="172" t="str">
        <f t="shared" si="17"/>
        <v/>
      </c>
      <c r="AP301" s="173" t="str">
        <f t="shared" si="18"/>
        <v/>
      </c>
      <c r="AR301" s="172" t="str">
        <f t="shared" si="19"/>
        <v/>
      </c>
    </row>
    <row r="302" spans="1:44" x14ac:dyDescent="0.25">
      <c r="A302" s="171" t="str">
        <f>'Miljövärden för publ företag'!B304</f>
        <v>Vattenfall AB</v>
      </c>
      <c r="B302" s="171" t="str">
        <f>'Miljövärden för publ företag'!C304</f>
        <v>Uppsala</v>
      </c>
      <c r="C302" s="121">
        <f>IFERROR(VLOOKUP($B302,Kraftvärmeprod!$B$1:$AH$478,MATCH(C$2,Kraftvärmeprod!$B$1:$AG$1,0),FALSE)/1,"")</f>
        <v>516.9</v>
      </c>
      <c r="D302" s="121">
        <f>IFERROR(VLOOKUP($B302,Kraftvärmeprod!$B$1:$AH$478,MATCH(D$2,Kraftvärmeprod!$B$1:$AG$1,0),FALSE)/1,"")</f>
        <v>190.8</v>
      </c>
      <c r="F302" s="121">
        <f>IF($D302="","",IFERROR(VLOOKUP($B302,Kraftvärmeprod!$B$1:$BX$549,MATCH(F$2,Kraftvärmeprod!$B$1:$VX$1,0),FALSE)/1,0)-IFERROR(VLOOKUP($B302,'Slutlig allokering kvv'!$B$2:$BX$549,MATCH(F$2,'Slutlig allokering kvv'!$B$1:$BX$1,0),FALSE)/1,0))</f>
        <v>0</v>
      </c>
      <c r="G302" s="121">
        <f>IF($D302="","",IFERROR(VLOOKUP($B302,Kraftvärmeprod!$B$1:$BX$549,MATCH(G$2,Kraftvärmeprod!$B$1:$VX$1,0),FALSE)/1,0)-IFERROR(VLOOKUP($B302,'Slutlig allokering kvv'!$B$2:$BX$549,MATCH(G$2,'Slutlig allokering kvv'!$B$1:$BX$1,0),FALSE)/1,0))</f>
        <v>5.1723999999999997</v>
      </c>
      <c r="H302" s="121">
        <f>IF($D302="","",IFERROR(VLOOKUP($B302,Kraftvärmeprod!$B$1:$BX$549,MATCH(H$2,Kraftvärmeprod!$B$1:$VX$1,0),FALSE)/1,0)-IFERROR(VLOOKUP($B302,'Slutlig allokering kvv'!$B$2:$BX$549,MATCH(H$2,'Slutlig allokering kvv'!$B$1:$BX$1,0),FALSE)/1,0))</f>
        <v>0</v>
      </c>
      <c r="I302" s="121">
        <f>IF($D302="","",IFERROR(VLOOKUP($B302,Kraftvärmeprod!$B$1:$BX$549,MATCH(I$2,Kraftvärmeprod!$B$1:$VX$1,0),FALSE)/1,0)-IFERROR(VLOOKUP($B302,'Slutlig allokering kvv'!$B$2:$BX$549,MATCH(I$2,'Slutlig allokering kvv'!$B$1:$BX$1,0),FALSE)/1,0))</f>
        <v>3.3556499999999998</v>
      </c>
      <c r="J302" s="121">
        <f>IF($D302="","",IFERROR(VLOOKUP($B302,Kraftvärmeprod!$B$1:$BX$549,MATCH(J$2,Kraftvärmeprod!$B$1:$VX$1,0),FALSE)/1,0)-IFERROR(VLOOKUP($B302,'Slutlig allokering kvv'!$B$2:$BX$549,MATCH(J$2,'Slutlig allokering kvv'!$B$1:$BX$1,0),FALSE)/1,0))</f>
        <v>0</v>
      </c>
      <c r="K302" s="121">
        <f>IF($D302="","",IFERROR(VLOOKUP($B302,Kraftvärmeprod!$B$1:$BX$549,MATCH(K$2,Kraftvärmeprod!$B$1:$VX$1,0),FALSE)/1,0)-IFERROR(VLOOKUP($B302,'Slutlig allokering kvv'!$B$2:$BX$549,MATCH(K$2,'Slutlig allokering kvv'!$B$1:$BX$1,0),FALSE)/1,0))</f>
        <v>0</v>
      </c>
      <c r="L302" s="121">
        <f>IF($D302="","",IFERROR(VLOOKUP($B302,Kraftvärmeprod!$B$1:$BX$549,MATCH(L$2,Kraftvärmeprod!$B$1:$VX$1,0),FALSE)/1,0)-IFERROR(VLOOKUP($B302,'Slutlig allokering kvv'!$B$2:$BX$549,MATCH(L$2,'Slutlig allokering kvv'!$B$1:$BX$1,0),FALSE)/1,0))</f>
        <v>0</v>
      </c>
      <c r="M302" s="121">
        <f>IF($D302="","",IFERROR(VLOOKUP($B302,Kraftvärmeprod!$B$1:$BX$549,MATCH(M$2,Kraftvärmeprod!$B$1:$VX$1,0),FALSE)/1,0)-IFERROR(VLOOKUP($B302,'Slutlig allokering kvv'!$B$2:$BX$549,MATCH(M$2,'Slutlig allokering kvv'!$B$1:$BX$1,0),FALSE)/1,0))</f>
        <v>0</v>
      </c>
      <c r="N302" s="121">
        <f>IF($D302="","",IFERROR(VLOOKUP($B302,Kraftvärmeprod!$B$1:$BX$549,MATCH(N$2,Kraftvärmeprod!$B$1:$VX$1,0),FALSE)/1,0)-IFERROR(VLOOKUP($B302,'Slutlig allokering kvv'!$B$2:$BX$549,MATCH(N$2,'Slutlig allokering kvv'!$B$1:$BX$1,0),FALSE)/1,0))</f>
        <v>0</v>
      </c>
      <c r="O302" s="121">
        <f>IF($D302="","",IFERROR(VLOOKUP($B302,Kraftvärmeprod!$B$1:$BX$549,MATCH(O$2,Kraftvärmeprod!$B$1:$VX$1,0),FALSE)/1,0)-IFERROR(VLOOKUP($B302,'Slutlig allokering kvv'!$B$2:$BX$549,MATCH(O$2,'Slutlig allokering kvv'!$B$1:$BX$1,0),FALSE)/1,0))</f>
        <v>0</v>
      </c>
      <c r="P302" s="121">
        <f>IF($D302="","",IFERROR(VLOOKUP($B302,Kraftvärmeprod!$B$1:$BX$549,MATCH(P$2,Kraftvärmeprod!$B$1:$VX$1,0),FALSE)/1,0)-IFERROR(VLOOKUP($B302,'Slutlig allokering kvv'!$B$2:$BX$549,MATCH(P$2,'Slutlig allokering kvv'!$B$1:$BX$1,0),FALSE)/1,0))</f>
        <v>0</v>
      </c>
      <c r="Q302" s="121">
        <f>IF($D302="","",IFERROR(VLOOKUP($B302,Kraftvärmeprod!$B$1:$BX$549,MATCH(Q$2,Kraftvärmeprod!$B$1:$VX$1,0),FALSE)/1,0)-IFERROR(VLOOKUP($B302,'Slutlig allokering kvv'!$B$2:$BX$549,MATCH(Q$2,'Slutlig allokering kvv'!$B$1:$BX$1,0),FALSE)/1,0))</f>
        <v>1.17673E-2</v>
      </c>
      <c r="R302" s="121">
        <f>IF($D302="","",IFERROR(VLOOKUP($B302,Kraftvärmeprod!$B$1:$BX$549,MATCH(R$2,Kraftvärmeprod!$B$1:$VX$1,0),FALSE)/1,0)-IFERROR(VLOOKUP($B302,'Slutlig allokering kvv'!$B$2:$BX$549,MATCH(R$2,'Slutlig allokering kvv'!$B$1:$BX$1,0),FALSE)/1,0))</f>
        <v>0</v>
      </c>
      <c r="S302" s="121">
        <f>IF($D302="","",IFERROR(VLOOKUP($B302,Kraftvärmeprod!$B$1:$BX$549,MATCH(S$2,Kraftvärmeprod!$B$1:$VX$1,0),FALSE)/1,0)-IFERROR(VLOOKUP($B302,'Slutlig allokering kvv'!$B$2:$BX$549,MATCH(S$2,'Slutlig allokering kvv'!$B$1:$BX$1,0),FALSE)/1,0))</f>
        <v>37.312199999999997</v>
      </c>
      <c r="T302" s="121">
        <f>IF($D302="","",IFERROR(VLOOKUP($B302,Kraftvärmeprod!$B$1:$BX$549,MATCH(T$2,Kraftvärmeprod!$B$1:$VX$1,0),FALSE)/1,0)-IFERROR(VLOOKUP($B302,'Slutlig allokering kvv'!$B$2:$BX$549,MATCH(T$2,'Slutlig allokering kvv'!$B$1:$BX$1,0),FALSE)/1,0))</f>
        <v>0</v>
      </c>
      <c r="U302" s="121">
        <f>IF($D302="","",IFERROR(VLOOKUP($B302,Kraftvärmeprod!$B$1:$BX$549,MATCH(U$2,Kraftvärmeprod!$B$1:$VX$1,0),FALSE)/1,0)-IFERROR(VLOOKUP($B302,'Slutlig allokering kvv'!$B$2:$BX$549,MATCH(U$2,'Slutlig allokering kvv'!$B$1:$BX$1,0),FALSE)/1,0))</f>
        <v>0</v>
      </c>
      <c r="V302" s="121">
        <f>IF($D302="","",IFERROR(VLOOKUP($B302,Kraftvärmeprod!$B$1:$BX$549,MATCH(V$2,Kraftvärmeprod!$B$1:$VX$1,0),FALSE)/1,0)-IFERROR(VLOOKUP($B302,'Slutlig allokering kvv'!$B$2:$BX$549,MATCH(V$2,'Slutlig allokering kvv'!$B$1:$BX$1,0),FALSE)/1,0))</f>
        <v>0</v>
      </c>
      <c r="W302" s="121">
        <f>IF($D302="","",IFERROR(VLOOKUP($B302,Kraftvärmeprod!$B$1:$BX$549,MATCH(W$2,Kraftvärmeprod!$B$1:$VX$1,0),FALSE)/1,0)-IFERROR(VLOOKUP($B302,'Slutlig allokering kvv'!$B$2:$BX$549,MATCH(W$2,'Slutlig allokering kvv'!$B$1:$BX$1,0),FALSE)/1,0))</f>
        <v>0</v>
      </c>
      <c r="X302" s="121">
        <f>IF($D302="","",IFERROR(VLOOKUP($B302,Kraftvärmeprod!$B$1:$BX$549,MATCH(X$2,Kraftvärmeprod!$B$1:$VX$1,0),FALSE)/1,0)-IFERROR(VLOOKUP($B302,'Slutlig allokering kvv'!$B$2:$BX$549,MATCH(X$2,'Slutlig allokering kvv'!$B$1:$BX$1,0),FALSE)/1,0))</f>
        <v>0</v>
      </c>
      <c r="Y302" s="121">
        <f>IF($D302="","",IFERROR(VLOOKUP($B302,Kraftvärmeprod!$B$1:$BX$549,MATCH(Y$2,Kraftvärmeprod!$B$1:$VX$1,0),FALSE)/1,0)-IFERROR(VLOOKUP($B302,'Slutlig allokering kvv'!$B$2:$BX$549,MATCH(Y$2,'Slutlig allokering kvv'!$B$1:$BX$1,0),FALSE)/1,0))</f>
        <v>0</v>
      </c>
      <c r="Z302" s="121">
        <f>IF($D302="","",IFERROR(VLOOKUP($B302,Kraftvärmeprod!$B$1:$BX$549,MATCH(Z$2,Kraftvärmeprod!$B$1:$VX$1,0),FALSE)/1,0)-IFERROR(VLOOKUP($B302,'Slutlig allokering kvv'!$B$2:$BX$549,MATCH(Z$2,'Slutlig allokering kvv'!$B$1:$BX$1,0),FALSE)/1,0))</f>
        <v>219.82899999999995</v>
      </c>
      <c r="AA302" s="121">
        <f>IF($D302="","",IFERROR(VLOOKUP($B302,Kraftvärmeprod!$B$1:$BX$549,MATCH(AA$2,Kraftvärmeprod!$B$1:$VX$1,0),FALSE)/1,0)-IFERROR(VLOOKUP($B302,'Slutlig allokering kvv'!$B$2:$BX$549,MATCH(AA$2,'Slutlig allokering kvv'!$B$1:$BX$1,0),FALSE)/1,0))</f>
        <v>130.727</v>
      </c>
      <c r="AB302" s="121">
        <f>IF($D302="","",IFERROR(VLOOKUP($B302,Kraftvärmeprod!$B$1:$BX$549,MATCH(AB$2,Kraftvärmeprod!$B$1:$VX$1,0),FALSE)/1,0)-IFERROR(VLOOKUP($B302,'Slutlig allokering kvv'!$B$2:$BX$549,MATCH(AB$2,'Slutlig allokering kvv'!$B$1:$BX$1,0),FALSE)/1,0))</f>
        <v>0</v>
      </c>
      <c r="AC302" s="121">
        <f>IF($D302="","",IFERROR(VLOOKUP($B302,Kraftvärmeprod!$B$1:$BX$549,MATCH(AC$2,Kraftvärmeprod!$B$1:$VX$1,0),FALSE)/1,0)-IFERROR(VLOOKUP($B302,'Slutlig allokering kvv'!$B$2:$BX$549,MATCH(AC$2,'Slutlig allokering kvv'!$B$1:$BX$1,0),FALSE)/1,0))</f>
        <v>0</v>
      </c>
      <c r="AD302" s="121">
        <f>IF($D302="","",IFERROR(VLOOKUP($B302,Kraftvärmeprod!$B$1:$BX$549,MATCH(AD$2,Kraftvärmeprod!$B$1:$VX$1,0),FALSE)/1,0)-IFERROR(VLOOKUP($B302,'Slutlig allokering kvv'!$B$2:$BX$549,MATCH(AD$2,'Slutlig allokering kvv'!$B$1:$BX$1,0),FALSE)/1,0))</f>
        <v>0</v>
      </c>
      <c r="AE302" s="121">
        <f>IF($D302="","",IFERROR(VLOOKUP($B302,Miljö!$B$1:$E$550,MATCH("Hjälpel kraftvärme (GWh)",Miljö!$B$1:$E$1,0),FALSE)/1,0)-IFERROR(VLOOKUP($B302,'Slutlig allokering kvv'!$B$2:$BX$549,MATCH(AE$2,'Slutlig allokering kvv'!$B$1:$BX$1,0),FALSE)/1,0))</f>
        <v>9.7261000000000006</v>
      </c>
      <c r="AI302" s="121">
        <f t="shared" si="16"/>
        <v>396.40801729999998</v>
      </c>
      <c r="AK302" s="121">
        <f>IFERROR(VLOOKUP($B302,'Slutlig allokering kvv'!$B$2:$AX$549,MATCH("Summa slutlig allokerad tillförd energi (utan hjälpel och rökgaskondensering):",'Slutlig allokering kvv'!$B$1:$AX$1,0),FALSE)/1,"")</f>
        <v>430.96598270000004</v>
      </c>
      <c r="AM302" s="172">
        <f>IFERROR(1-VLOOKUP($B302,'Slutlig allokering kvv'!$B$2:$AX$549,MATCH("Andel av bränsle i kvv som allokerats till värme, exklusive rökgaskondensering och hjälpel",'Slutlig allokering kvv'!$B$1:$AX$1,0),FALSE),"")</f>
        <v>0.47911587419957591</v>
      </c>
      <c r="AO302" s="172">
        <f t="shared" si="17"/>
        <v>0.47911587419957596</v>
      </c>
      <c r="AP302" s="173">
        <f t="shared" si="18"/>
        <v>-5.5511151231257827E-17</v>
      </c>
      <c r="AR302" s="172">
        <f t="shared" si="19"/>
        <v>0.46979554751136893</v>
      </c>
    </row>
    <row r="303" spans="1:44" x14ac:dyDescent="0.25">
      <c r="A303" s="171" t="str">
        <f>'Miljövärden för publ företag'!B305</f>
        <v>Vattenfall AB</v>
      </c>
      <c r="B303" s="171" t="str">
        <f>'Miljövärden för publ företag'!C305</f>
        <v>Vänersborg</v>
      </c>
      <c r="C303" s="121" t="str">
        <f>IFERROR(VLOOKUP($B303,Kraftvärmeprod!$B$1:$AH$478,MATCH(C$2,Kraftvärmeprod!$B$1:$AG$1,0),FALSE)/1,"")</f>
        <v/>
      </c>
      <c r="D303" s="121" t="str">
        <f>IFERROR(VLOOKUP($B303,Kraftvärmeprod!$B$1:$AH$478,MATCH(D$2,Kraftvärmeprod!$B$1:$AG$1,0),FALSE)/1,"")</f>
        <v/>
      </c>
      <c r="F303" s="121" t="str">
        <f>IF($D303="","",IFERROR(VLOOKUP($B303,Kraftvärmeprod!$B$1:$BX$549,MATCH(F$2,Kraftvärmeprod!$B$1:$VX$1,0),FALSE)/1,0)-IFERROR(VLOOKUP($B303,'Slutlig allokering kvv'!$B$2:$BX$549,MATCH(F$2,'Slutlig allokering kvv'!$B$1:$BX$1,0),FALSE)/1,0))</f>
        <v/>
      </c>
      <c r="G303" s="121" t="str">
        <f>IF($D303="","",IFERROR(VLOOKUP($B303,Kraftvärmeprod!$B$1:$BX$549,MATCH(G$2,Kraftvärmeprod!$B$1:$VX$1,0),FALSE)/1,0)-IFERROR(VLOOKUP($B303,'Slutlig allokering kvv'!$B$2:$BX$549,MATCH(G$2,'Slutlig allokering kvv'!$B$1:$BX$1,0),FALSE)/1,0))</f>
        <v/>
      </c>
      <c r="H303" s="121" t="str">
        <f>IF($D303="","",IFERROR(VLOOKUP($B303,Kraftvärmeprod!$B$1:$BX$549,MATCH(H$2,Kraftvärmeprod!$B$1:$VX$1,0),FALSE)/1,0)-IFERROR(VLOOKUP($B303,'Slutlig allokering kvv'!$B$2:$BX$549,MATCH(H$2,'Slutlig allokering kvv'!$B$1:$BX$1,0),FALSE)/1,0))</f>
        <v/>
      </c>
      <c r="I303" s="121" t="str">
        <f>IF($D303="","",IFERROR(VLOOKUP($B303,Kraftvärmeprod!$B$1:$BX$549,MATCH(I$2,Kraftvärmeprod!$B$1:$VX$1,0),FALSE)/1,0)-IFERROR(VLOOKUP($B303,'Slutlig allokering kvv'!$B$2:$BX$549,MATCH(I$2,'Slutlig allokering kvv'!$B$1:$BX$1,0),FALSE)/1,0))</f>
        <v/>
      </c>
      <c r="J303" s="121" t="str">
        <f>IF($D303="","",IFERROR(VLOOKUP($B303,Kraftvärmeprod!$B$1:$BX$549,MATCH(J$2,Kraftvärmeprod!$B$1:$VX$1,0),FALSE)/1,0)-IFERROR(VLOOKUP($B303,'Slutlig allokering kvv'!$B$2:$BX$549,MATCH(J$2,'Slutlig allokering kvv'!$B$1:$BX$1,0),FALSE)/1,0))</f>
        <v/>
      </c>
      <c r="K303" s="121" t="str">
        <f>IF($D303="","",IFERROR(VLOOKUP($B303,Kraftvärmeprod!$B$1:$BX$549,MATCH(K$2,Kraftvärmeprod!$B$1:$VX$1,0),FALSE)/1,0)-IFERROR(VLOOKUP($B303,'Slutlig allokering kvv'!$B$2:$BX$549,MATCH(K$2,'Slutlig allokering kvv'!$B$1:$BX$1,0),FALSE)/1,0))</f>
        <v/>
      </c>
      <c r="L303" s="121" t="str">
        <f>IF($D303="","",IFERROR(VLOOKUP($B303,Kraftvärmeprod!$B$1:$BX$549,MATCH(L$2,Kraftvärmeprod!$B$1:$VX$1,0),FALSE)/1,0)-IFERROR(VLOOKUP($B303,'Slutlig allokering kvv'!$B$2:$BX$549,MATCH(L$2,'Slutlig allokering kvv'!$B$1:$BX$1,0),FALSE)/1,0))</f>
        <v/>
      </c>
      <c r="M303" s="121" t="str">
        <f>IF($D303="","",IFERROR(VLOOKUP($B303,Kraftvärmeprod!$B$1:$BX$549,MATCH(M$2,Kraftvärmeprod!$B$1:$VX$1,0),FALSE)/1,0)-IFERROR(VLOOKUP($B303,'Slutlig allokering kvv'!$B$2:$BX$549,MATCH(M$2,'Slutlig allokering kvv'!$B$1:$BX$1,0),FALSE)/1,0))</f>
        <v/>
      </c>
      <c r="N303" s="121" t="str">
        <f>IF($D303="","",IFERROR(VLOOKUP($B303,Kraftvärmeprod!$B$1:$BX$549,MATCH(N$2,Kraftvärmeprod!$B$1:$VX$1,0),FALSE)/1,0)-IFERROR(VLOOKUP($B303,'Slutlig allokering kvv'!$B$2:$BX$549,MATCH(N$2,'Slutlig allokering kvv'!$B$1:$BX$1,0),FALSE)/1,0))</f>
        <v/>
      </c>
      <c r="O303" s="121" t="str">
        <f>IF($D303="","",IFERROR(VLOOKUP($B303,Kraftvärmeprod!$B$1:$BX$549,MATCH(O$2,Kraftvärmeprod!$B$1:$VX$1,0),FALSE)/1,0)-IFERROR(VLOOKUP($B303,'Slutlig allokering kvv'!$B$2:$BX$549,MATCH(O$2,'Slutlig allokering kvv'!$B$1:$BX$1,0),FALSE)/1,0))</f>
        <v/>
      </c>
      <c r="P303" s="121" t="str">
        <f>IF($D303="","",IFERROR(VLOOKUP($B303,Kraftvärmeprod!$B$1:$BX$549,MATCH(P$2,Kraftvärmeprod!$B$1:$VX$1,0),FALSE)/1,0)-IFERROR(VLOOKUP($B303,'Slutlig allokering kvv'!$B$2:$BX$549,MATCH(P$2,'Slutlig allokering kvv'!$B$1:$BX$1,0),FALSE)/1,0))</f>
        <v/>
      </c>
      <c r="Q303" s="121" t="str">
        <f>IF($D303="","",IFERROR(VLOOKUP($B303,Kraftvärmeprod!$B$1:$BX$549,MATCH(Q$2,Kraftvärmeprod!$B$1:$VX$1,0),FALSE)/1,0)-IFERROR(VLOOKUP($B303,'Slutlig allokering kvv'!$B$2:$BX$549,MATCH(Q$2,'Slutlig allokering kvv'!$B$1:$BX$1,0),FALSE)/1,0))</f>
        <v/>
      </c>
      <c r="R303" s="121" t="str">
        <f>IF($D303="","",IFERROR(VLOOKUP($B303,Kraftvärmeprod!$B$1:$BX$549,MATCH(R$2,Kraftvärmeprod!$B$1:$VX$1,0),FALSE)/1,0)-IFERROR(VLOOKUP($B303,'Slutlig allokering kvv'!$B$2:$BX$549,MATCH(R$2,'Slutlig allokering kvv'!$B$1:$BX$1,0),FALSE)/1,0))</f>
        <v/>
      </c>
      <c r="S303" s="121" t="str">
        <f>IF($D303="","",IFERROR(VLOOKUP($B303,Kraftvärmeprod!$B$1:$BX$549,MATCH(S$2,Kraftvärmeprod!$B$1:$VX$1,0),FALSE)/1,0)-IFERROR(VLOOKUP($B303,'Slutlig allokering kvv'!$B$2:$BX$549,MATCH(S$2,'Slutlig allokering kvv'!$B$1:$BX$1,0),FALSE)/1,0))</f>
        <v/>
      </c>
      <c r="T303" s="121" t="str">
        <f>IF($D303="","",IFERROR(VLOOKUP($B303,Kraftvärmeprod!$B$1:$BX$549,MATCH(T$2,Kraftvärmeprod!$B$1:$VX$1,0),FALSE)/1,0)-IFERROR(VLOOKUP($B303,'Slutlig allokering kvv'!$B$2:$BX$549,MATCH(T$2,'Slutlig allokering kvv'!$B$1:$BX$1,0),FALSE)/1,0))</f>
        <v/>
      </c>
      <c r="U303" s="121" t="str">
        <f>IF($D303="","",IFERROR(VLOOKUP($B303,Kraftvärmeprod!$B$1:$BX$549,MATCH(U$2,Kraftvärmeprod!$B$1:$VX$1,0),FALSE)/1,0)-IFERROR(VLOOKUP($B303,'Slutlig allokering kvv'!$B$2:$BX$549,MATCH(U$2,'Slutlig allokering kvv'!$B$1:$BX$1,0),FALSE)/1,0))</f>
        <v/>
      </c>
      <c r="V303" s="121" t="str">
        <f>IF($D303="","",IFERROR(VLOOKUP($B303,Kraftvärmeprod!$B$1:$BX$549,MATCH(V$2,Kraftvärmeprod!$B$1:$VX$1,0),FALSE)/1,0)-IFERROR(VLOOKUP($B303,'Slutlig allokering kvv'!$B$2:$BX$549,MATCH(V$2,'Slutlig allokering kvv'!$B$1:$BX$1,0),FALSE)/1,0))</f>
        <v/>
      </c>
      <c r="W303" s="121" t="str">
        <f>IF($D303="","",IFERROR(VLOOKUP($B303,Kraftvärmeprod!$B$1:$BX$549,MATCH(W$2,Kraftvärmeprod!$B$1:$VX$1,0),FALSE)/1,0)-IFERROR(VLOOKUP($B303,'Slutlig allokering kvv'!$B$2:$BX$549,MATCH(W$2,'Slutlig allokering kvv'!$B$1:$BX$1,0),FALSE)/1,0))</f>
        <v/>
      </c>
      <c r="X303" s="121" t="str">
        <f>IF($D303="","",IFERROR(VLOOKUP($B303,Kraftvärmeprod!$B$1:$BX$549,MATCH(X$2,Kraftvärmeprod!$B$1:$VX$1,0),FALSE)/1,0)-IFERROR(VLOOKUP($B303,'Slutlig allokering kvv'!$B$2:$BX$549,MATCH(X$2,'Slutlig allokering kvv'!$B$1:$BX$1,0),FALSE)/1,0))</f>
        <v/>
      </c>
      <c r="Y303" s="121" t="str">
        <f>IF($D303="","",IFERROR(VLOOKUP($B303,Kraftvärmeprod!$B$1:$BX$549,MATCH(Y$2,Kraftvärmeprod!$B$1:$VX$1,0),FALSE)/1,0)-IFERROR(VLOOKUP($B303,'Slutlig allokering kvv'!$B$2:$BX$549,MATCH(Y$2,'Slutlig allokering kvv'!$B$1:$BX$1,0),FALSE)/1,0))</f>
        <v/>
      </c>
      <c r="Z303" s="121" t="str">
        <f>IF($D303="","",IFERROR(VLOOKUP($B303,Kraftvärmeprod!$B$1:$BX$549,MATCH(Z$2,Kraftvärmeprod!$B$1:$VX$1,0),FALSE)/1,0)-IFERROR(VLOOKUP($B303,'Slutlig allokering kvv'!$B$2:$BX$549,MATCH(Z$2,'Slutlig allokering kvv'!$B$1:$BX$1,0),FALSE)/1,0))</f>
        <v/>
      </c>
      <c r="AA303" s="121" t="str">
        <f>IF($D303="","",IFERROR(VLOOKUP($B303,Kraftvärmeprod!$B$1:$BX$549,MATCH(AA$2,Kraftvärmeprod!$B$1:$VX$1,0),FALSE)/1,0)-IFERROR(VLOOKUP($B303,'Slutlig allokering kvv'!$B$2:$BX$549,MATCH(AA$2,'Slutlig allokering kvv'!$B$1:$BX$1,0),FALSE)/1,0))</f>
        <v/>
      </c>
      <c r="AB303" s="121" t="str">
        <f>IF($D303="","",IFERROR(VLOOKUP($B303,Kraftvärmeprod!$B$1:$BX$549,MATCH(AB$2,Kraftvärmeprod!$B$1:$VX$1,0),FALSE)/1,0)-IFERROR(VLOOKUP($B303,'Slutlig allokering kvv'!$B$2:$BX$549,MATCH(AB$2,'Slutlig allokering kvv'!$B$1:$BX$1,0),FALSE)/1,0))</f>
        <v/>
      </c>
      <c r="AC303" s="121" t="str">
        <f>IF($D303="","",IFERROR(VLOOKUP($B303,Kraftvärmeprod!$B$1:$BX$549,MATCH(AC$2,Kraftvärmeprod!$B$1:$VX$1,0),FALSE)/1,0)-IFERROR(VLOOKUP($B303,'Slutlig allokering kvv'!$B$2:$BX$549,MATCH(AC$2,'Slutlig allokering kvv'!$B$1:$BX$1,0),FALSE)/1,0))</f>
        <v/>
      </c>
      <c r="AD303" s="121" t="str">
        <f>IF($D303="","",IFERROR(VLOOKUP($B303,Kraftvärmeprod!$B$1:$BX$549,MATCH(AD$2,Kraftvärmeprod!$B$1:$VX$1,0),FALSE)/1,0)-IFERROR(VLOOKUP($B303,'Slutlig allokering kvv'!$B$2:$BX$549,MATCH(AD$2,'Slutlig allokering kvv'!$B$1:$BX$1,0),FALSE)/1,0))</f>
        <v/>
      </c>
      <c r="AE303" s="121" t="str">
        <f>IF($D303="","",IFERROR(VLOOKUP($B303,Miljö!$B$1:$E$550,MATCH("Hjälpel kraftvärme (GWh)",Miljö!$B$1:$E$1,0),FALSE)/1,0)-IFERROR(VLOOKUP($B303,'Slutlig allokering kvv'!$B$2:$BX$549,MATCH(AE$2,'Slutlig allokering kvv'!$B$1:$BX$1,0),FALSE)/1,0))</f>
        <v/>
      </c>
      <c r="AI303" s="121">
        <f t="shared" si="16"/>
        <v>0</v>
      </c>
      <c r="AK303" s="121">
        <f>IFERROR(VLOOKUP($B303,'Slutlig allokering kvv'!$B$2:$AX$549,MATCH("Summa slutlig allokerad tillförd energi (utan hjälpel och rökgaskondensering):",'Slutlig allokering kvv'!$B$1:$AX$1,0),FALSE)/1,"")</f>
        <v>0</v>
      </c>
      <c r="AM303" s="172" t="str">
        <f>IFERROR(1-VLOOKUP($B303,'Slutlig allokering kvv'!$B$2:$AX$549,MATCH("Andel av bränsle i kvv som allokerats till värme, exklusive rökgaskondensering och hjälpel",'Slutlig allokering kvv'!$B$1:$AX$1,0),FALSE),"")</f>
        <v/>
      </c>
      <c r="AO303" s="172" t="str">
        <f t="shared" si="17"/>
        <v/>
      </c>
      <c r="AP303" s="173" t="str">
        <f t="shared" si="18"/>
        <v/>
      </c>
      <c r="AR303" s="172" t="str">
        <f t="shared" si="19"/>
        <v/>
      </c>
    </row>
    <row r="304" spans="1:44" x14ac:dyDescent="0.25">
      <c r="A304" s="171" t="str">
        <f>'Miljövärden för publ företag'!B306</f>
        <v>Veolia</v>
      </c>
      <c r="B304" s="171" t="str">
        <f>'Miljövärden för publ företag'!C306</f>
        <v>Ekerö</v>
      </c>
      <c r="C304" s="121" t="str">
        <f>IFERROR(VLOOKUP($B304,Kraftvärmeprod!$B$1:$AH$478,MATCH(C$2,Kraftvärmeprod!$B$1:$AG$1,0),FALSE)/1,"")</f>
        <v/>
      </c>
      <c r="D304" s="121" t="str">
        <f>IFERROR(VLOOKUP($B304,Kraftvärmeprod!$B$1:$AH$478,MATCH(D$2,Kraftvärmeprod!$B$1:$AG$1,0),FALSE)/1,"")</f>
        <v/>
      </c>
      <c r="F304" s="121" t="str">
        <f>IF($D304="","",IFERROR(VLOOKUP($B304,Kraftvärmeprod!$B$1:$BX$549,MATCH(F$2,Kraftvärmeprod!$B$1:$VX$1,0),FALSE)/1,0)-IFERROR(VLOOKUP($B304,'Slutlig allokering kvv'!$B$2:$BX$549,MATCH(F$2,'Slutlig allokering kvv'!$B$1:$BX$1,0),FALSE)/1,0))</f>
        <v/>
      </c>
      <c r="G304" s="121" t="str">
        <f>IF($D304="","",IFERROR(VLOOKUP($B304,Kraftvärmeprod!$B$1:$BX$549,MATCH(G$2,Kraftvärmeprod!$B$1:$VX$1,0),FALSE)/1,0)-IFERROR(VLOOKUP($B304,'Slutlig allokering kvv'!$B$2:$BX$549,MATCH(G$2,'Slutlig allokering kvv'!$B$1:$BX$1,0),FALSE)/1,0))</f>
        <v/>
      </c>
      <c r="H304" s="121" t="str">
        <f>IF($D304="","",IFERROR(VLOOKUP($B304,Kraftvärmeprod!$B$1:$BX$549,MATCH(H$2,Kraftvärmeprod!$B$1:$VX$1,0),FALSE)/1,0)-IFERROR(VLOOKUP($B304,'Slutlig allokering kvv'!$B$2:$BX$549,MATCH(H$2,'Slutlig allokering kvv'!$B$1:$BX$1,0),FALSE)/1,0))</f>
        <v/>
      </c>
      <c r="I304" s="121" t="str">
        <f>IF($D304="","",IFERROR(VLOOKUP($B304,Kraftvärmeprod!$B$1:$BX$549,MATCH(I$2,Kraftvärmeprod!$B$1:$VX$1,0),FALSE)/1,0)-IFERROR(VLOOKUP($B304,'Slutlig allokering kvv'!$B$2:$BX$549,MATCH(I$2,'Slutlig allokering kvv'!$B$1:$BX$1,0),FALSE)/1,0))</f>
        <v/>
      </c>
      <c r="J304" s="121" t="str">
        <f>IF($D304="","",IFERROR(VLOOKUP($B304,Kraftvärmeprod!$B$1:$BX$549,MATCH(J$2,Kraftvärmeprod!$B$1:$VX$1,0),FALSE)/1,0)-IFERROR(VLOOKUP($B304,'Slutlig allokering kvv'!$B$2:$BX$549,MATCH(J$2,'Slutlig allokering kvv'!$B$1:$BX$1,0),FALSE)/1,0))</f>
        <v/>
      </c>
      <c r="K304" s="121" t="str">
        <f>IF($D304="","",IFERROR(VLOOKUP($B304,Kraftvärmeprod!$B$1:$BX$549,MATCH(K$2,Kraftvärmeprod!$B$1:$VX$1,0),FALSE)/1,0)-IFERROR(VLOOKUP($B304,'Slutlig allokering kvv'!$B$2:$BX$549,MATCH(K$2,'Slutlig allokering kvv'!$B$1:$BX$1,0),FALSE)/1,0))</f>
        <v/>
      </c>
      <c r="L304" s="121" t="str">
        <f>IF($D304="","",IFERROR(VLOOKUP($B304,Kraftvärmeprod!$B$1:$BX$549,MATCH(L$2,Kraftvärmeprod!$B$1:$VX$1,0),FALSE)/1,0)-IFERROR(VLOOKUP($B304,'Slutlig allokering kvv'!$B$2:$BX$549,MATCH(L$2,'Slutlig allokering kvv'!$B$1:$BX$1,0),FALSE)/1,0))</f>
        <v/>
      </c>
      <c r="M304" s="121" t="str">
        <f>IF($D304="","",IFERROR(VLOOKUP($B304,Kraftvärmeprod!$B$1:$BX$549,MATCH(M$2,Kraftvärmeprod!$B$1:$VX$1,0),FALSE)/1,0)-IFERROR(VLOOKUP($B304,'Slutlig allokering kvv'!$B$2:$BX$549,MATCH(M$2,'Slutlig allokering kvv'!$B$1:$BX$1,0),FALSE)/1,0))</f>
        <v/>
      </c>
      <c r="N304" s="121" t="str">
        <f>IF($D304="","",IFERROR(VLOOKUP($B304,Kraftvärmeprod!$B$1:$BX$549,MATCH(N$2,Kraftvärmeprod!$B$1:$VX$1,0),FALSE)/1,0)-IFERROR(VLOOKUP($B304,'Slutlig allokering kvv'!$B$2:$BX$549,MATCH(N$2,'Slutlig allokering kvv'!$B$1:$BX$1,0),FALSE)/1,0))</f>
        <v/>
      </c>
      <c r="O304" s="121" t="str">
        <f>IF($D304="","",IFERROR(VLOOKUP($B304,Kraftvärmeprod!$B$1:$BX$549,MATCH(O$2,Kraftvärmeprod!$B$1:$VX$1,0),FALSE)/1,0)-IFERROR(VLOOKUP($B304,'Slutlig allokering kvv'!$B$2:$BX$549,MATCH(O$2,'Slutlig allokering kvv'!$B$1:$BX$1,0),FALSE)/1,0))</f>
        <v/>
      </c>
      <c r="P304" s="121" t="str">
        <f>IF($D304="","",IFERROR(VLOOKUP($B304,Kraftvärmeprod!$B$1:$BX$549,MATCH(P$2,Kraftvärmeprod!$B$1:$VX$1,0),FALSE)/1,0)-IFERROR(VLOOKUP($B304,'Slutlig allokering kvv'!$B$2:$BX$549,MATCH(P$2,'Slutlig allokering kvv'!$B$1:$BX$1,0),FALSE)/1,0))</f>
        <v/>
      </c>
      <c r="Q304" s="121" t="str">
        <f>IF($D304="","",IFERROR(VLOOKUP($B304,Kraftvärmeprod!$B$1:$BX$549,MATCH(Q$2,Kraftvärmeprod!$B$1:$VX$1,0),FALSE)/1,0)-IFERROR(VLOOKUP($B304,'Slutlig allokering kvv'!$B$2:$BX$549,MATCH(Q$2,'Slutlig allokering kvv'!$B$1:$BX$1,0),FALSE)/1,0))</f>
        <v/>
      </c>
      <c r="R304" s="121" t="str">
        <f>IF($D304="","",IFERROR(VLOOKUP($B304,Kraftvärmeprod!$B$1:$BX$549,MATCH(R$2,Kraftvärmeprod!$B$1:$VX$1,0),FALSE)/1,0)-IFERROR(VLOOKUP($B304,'Slutlig allokering kvv'!$B$2:$BX$549,MATCH(R$2,'Slutlig allokering kvv'!$B$1:$BX$1,0),FALSE)/1,0))</f>
        <v/>
      </c>
      <c r="S304" s="121" t="str">
        <f>IF($D304="","",IFERROR(VLOOKUP($B304,Kraftvärmeprod!$B$1:$BX$549,MATCH(S$2,Kraftvärmeprod!$B$1:$VX$1,0),FALSE)/1,0)-IFERROR(VLOOKUP($B304,'Slutlig allokering kvv'!$B$2:$BX$549,MATCH(S$2,'Slutlig allokering kvv'!$B$1:$BX$1,0),FALSE)/1,0))</f>
        <v/>
      </c>
      <c r="T304" s="121" t="str">
        <f>IF($D304="","",IFERROR(VLOOKUP($B304,Kraftvärmeprod!$B$1:$BX$549,MATCH(T$2,Kraftvärmeprod!$B$1:$VX$1,0),FALSE)/1,0)-IFERROR(VLOOKUP($B304,'Slutlig allokering kvv'!$B$2:$BX$549,MATCH(T$2,'Slutlig allokering kvv'!$B$1:$BX$1,0),FALSE)/1,0))</f>
        <v/>
      </c>
      <c r="U304" s="121" t="str">
        <f>IF($D304="","",IFERROR(VLOOKUP($B304,Kraftvärmeprod!$B$1:$BX$549,MATCH(U$2,Kraftvärmeprod!$B$1:$VX$1,0),FALSE)/1,0)-IFERROR(VLOOKUP($B304,'Slutlig allokering kvv'!$B$2:$BX$549,MATCH(U$2,'Slutlig allokering kvv'!$B$1:$BX$1,0),FALSE)/1,0))</f>
        <v/>
      </c>
      <c r="V304" s="121" t="str">
        <f>IF($D304="","",IFERROR(VLOOKUP($B304,Kraftvärmeprod!$B$1:$BX$549,MATCH(V$2,Kraftvärmeprod!$B$1:$VX$1,0),FALSE)/1,0)-IFERROR(VLOOKUP($B304,'Slutlig allokering kvv'!$B$2:$BX$549,MATCH(V$2,'Slutlig allokering kvv'!$B$1:$BX$1,0),FALSE)/1,0))</f>
        <v/>
      </c>
      <c r="W304" s="121" t="str">
        <f>IF($D304="","",IFERROR(VLOOKUP($B304,Kraftvärmeprod!$B$1:$BX$549,MATCH(W$2,Kraftvärmeprod!$B$1:$VX$1,0),FALSE)/1,0)-IFERROR(VLOOKUP($B304,'Slutlig allokering kvv'!$B$2:$BX$549,MATCH(W$2,'Slutlig allokering kvv'!$B$1:$BX$1,0),FALSE)/1,0))</f>
        <v/>
      </c>
      <c r="X304" s="121" t="str">
        <f>IF($D304="","",IFERROR(VLOOKUP($B304,Kraftvärmeprod!$B$1:$BX$549,MATCH(X$2,Kraftvärmeprod!$B$1:$VX$1,0),FALSE)/1,0)-IFERROR(VLOOKUP($B304,'Slutlig allokering kvv'!$B$2:$BX$549,MATCH(X$2,'Slutlig allokering kvv'!$B$1:$BX$1,0),FALSE)/1,0))</f>
        <v/>
      </c>
      <c r="Y304" s="121" t="str">
        <f>IF($D304="","",IFERROR(VLOOKUP($B304,Kraftvärmeprod!$B$1:$BX$549,MATCH(Y$2,Kraftvärmeprod!$B$1:$VX$1,0),FALSE)/1,0)-IFERROR(VLOOKUP($B304,'Slutlig allokering kvv'!$B$2:$BX$549,MATCH(Y$2,'Slutlig allokering kvv'!$B$1:$BX$1,0),FALSE)/1,0))</f>
        <v/>
      </c>
      <c r="Z304" s="121" t="str">
        <f>IF($D304="","",IFERROR(VLOOKUP($B304,Kraftvärmeprod!$B$1:$BX$549,MATCH(Z$2,Kraftvärmeprod!$B$1:$VX$1,0),FALSE)/1,0)-IFERROR(VLOOKUP($B304,'Slutlig allokering kvv'!$B$2:$BX$549,MATCH(Z$2,'Slutlig allokering kvv'!$B$1:$BX$1,0),FALSE)/1,0))</f>
        <v/>
      </c>
      <c r="AA304" s="121" t="str">
        <f>IF($D304="","",IFERROR(VLOOKUP($B304,Kraftvärmeprod!$B$1:$BX$549,MATCH(AA$2,Kraftvärmeprod!$B$1:$VX$1,0),FALSE)/1,0)-IFERROR(VLOOKUP($B304,'Slutlig allokering kvv'!$B$2:$BX$549,MATCH(AA$2,'Slutlig allokering kvv'!$B$1:$BX$1,0),FALSE)/1,0))</f>
        <v/>
      </c>
      <c r="AB304" s="121" t="str">
        <f>IF($D304="","",IFERROR(VLOOKUP($B304,Kraftvärmeprod!$B$1:$BX$549,MATCH(AB$2,Kraftvärmeprod!$B$1:$VX$1,0),FALSE)/1,0)-IFERROR(VLOOKUP($B304,'Slutlig allokering kvv'!$B$2:$BX$549,MATCH(AB$2,'Slutlig allokering kvv'!$B$1:$BX$1,0),FALSE)/1,0))</f>
        <v/>
      </c>
      <c r="AC304" s="121" t="str">
        <f>IF($D304="","",IFERROR(VLOOKUP($B304,Kraftvärmeprod!$B$1:$BX$549,MATCH(AC$2,Kraftvärmeprod!$B$1:$VX$1,0),FALSE)/1,0)-IFERROR(VLOOKUP($B304,'Slutlig allokering kvv'!$B$2:$BX$549,MATCH(AC$2,'Slutlig allokering kvv'!$B$1:$BX$1,0),FALSE)/1,0))</f>
        <v/>
      </c>
      <c r="AD304" s="121" t="str">
        <f>IF($D304="","",IFERROR(VLOOKUP($B304,Kraftvärmeprod!$B$1:$BX$549,MATCH(AD$2,Kraftvärmeprod!$B$1:$VX$1,0),FALSE)/1,0)-IFERROR(VLOOKUP($B304,'Slutlig allokering kvv'!$B$2:$BX$549,MATCH(AD$2,'Slutlig allokering kvv'!$B$1:$BX$1,0),FALSE)/1,0))</f>
        <v/>
      </c>
      <c r="AE304" s="121" t="str">
        <f>IF($D304="","",IFERROR(VLOOKUP($B304,Miljö!$B$1:$E$550,MATCH("Hjälpel kraftvärme (GWh)",Miljö!$B$1:$E$1,0),FALSE)/1,0)-IFERROR(VLOOKUP($B304,'Slutlig allokering kvv'!$B$2:$BX$549,MATCH(AE$2,'Slutlig allokering kvv'!$B$1:$BX$1,0),FALSE)/1,0))</f>
        <v/>
      </c>
      <c r="AI304" s="121">
        <f t="shared" si="16"/>
        <v>0</v>
      </c>
      <c r="AK304" s="121">
        <f>IFERROR(VLOOKUP($B304,'Slutlig allokering kvv'!$B$2:$AX$549,MATCH("Summa slutlig allokerad tillförd energi (utan hjälpel och rökgaskondensering):",'Slutlig allokering kvv'!$B$1:$AX$1,0),FALSE)/1,"")</f>
        <v>0</v>
      </c>
      <c r="AM304" s="172" t="str">
        <f>IFERROR(1-VLOOKUP($B304,'Slutlig allokering kvv'!$B$2:$AX$549,MATCH("Andel av bränsle i kvv som allokerats till värme, exklusive rökgaskondensering och hjälpel",'Slutlig allokering kvv'!$B$1:$AX$1,0),FALSE),"")</f>
        <v/>
      </c>
      <c r="AO304" s="172" t="str">
        <f t="shared" si="17"/>
        <v/>
      </c>
      <c r="AP304" s="173" t="str">
        <f t="shared" si="18"/>
        <v/>
      </c>
      <c r="AR304" s="172" t="str">
        <f t="shared" si="19"/>
        <v/>
      </c>
    </row>
    <row r="305" spans="1:44" x14ac:dyDescent="0.25">
      <c r="A305" s="171" t="str">
        <f>'Miljövärden för publ företag'!B307</f>
        <v>Vimmerby Energi &amp; Miljö AB</v>
      </c>
      <c r="B305" s="171" t="str">
        <f>'Miljövärden för publ företag'!C307</f>
        <v>Frödinge</v>
      </c>
      <c r="C305" s="121" t="str">
        <f>IFERROR(VLOOKUP($B305,Kraftvärmeprod!$B$1:$AH$478,MATCH(C$2,Kraftvärmeprod!$B$1:$AG$1,0),FALSE)/1,"")</f>
        <v/>
      </c>
      <c r="D305" s="121" t="str">
        <f>IFERROR(VLOOKUP($B305,Kraftvärmeprod!$B$1:$AH$478,MATCH(D$2,Kraftvärmeprod!$B$1:$AG$1,0),FALSE)/1,"")</f>
        <v/>
      </c>
      <c r="F305" s="121" t="str">
        <f>IF($D305="","",IFERROR(VLOOKUP($B305,Kraftvärmeprod!$B$1:$BX$549,MATCH(F$2,Kraftvärmeprod!$B$1:$VX$1,0),FALSE)/1,0)-IFERROR(VLOOKUP($B305,'Slutlig allokering kvv'!$B$2:$BX$549,MATCH(F$2,'Slutlig allokering kvv'!$B$1:$BX$1,0),FALSE)/1,0))</f>
        <v/>
      </c>
      <c r="G305" s="121" t="str">
        <f>IF($D305="","",IFERROR(VLOOKUP($B305,Kraftvärmeprod!$B$1:$BX$549,MATCH(G$2,Kraftvärmeprod!$B$1:$VX$1,0),FALSE)/1,0)-IFERROR(VLOOKUP($B305,'Slutlig allokering kvv'!$B$2:$BX$549,MATCH(G$2,'Slutlig allokering kvv'!$B$1:$BX$1,0),FALSE)/1,0))</f>
        <v/>
      </c>
      <c r="H305" s="121" t="str">
        <f>IF($D305="","",IFERROR(VLOOKUP($B305,Kraftvärmeprod!$B$1:$BX$549,MATCH(H$2,Kraftvärmeprod!$B$1:$VX$1,0),FALSE)/1,0)-IFERROR(VLOOKUP($B305,'Slutlig allokering kvv'!$B$2:$BX$549,MATCH(H$2,'Slutlig allokering kvv'!$B$1:$BX$1,0),FALSE)/1,0))</f>
        <v/>
      </c>
      <c r="I305" s="121" t="str">
        <f>IF($D305="","",IFERROR(VLOOKUP($B305,Kraftvärmeprod!$B$1:$BX$549,MATCH(I$2,Kraftvärmeprod!$B$1:$VX$1,0),FALSE)/1,0)-IFERROR(VLOOKUP($B305,'Slutlig allokering kvv'!$B$2:$BX$549,MATCH(I$2,'Slutlig allokering kvv'!$B$1:$BX$1,0),FALSE)/1,0))</f>
        <v/>
      </c>
      <c r="J305" s="121" t="str">
        <f>IF($D305="","",IFERROR(VLOOKUP($B305,Kraftvärmeprod!$B$1:$BX$549,MATCH(J$2,Kraftvärmeprod!$B$1:$VX$1,0),FALSE)/1,0)-IFERROR(VLOOKUP($B305,'Slutlig allokering kvv'!$B$2:$BX$549,MATCH(J$2,'Slutlig allokering kvv'!$B$1:$BX$1,0),FALSE)/1,0))</f>
        <v/>
      </c>
      <c r="K305" s="121" t="str">
        <f>IF($D305="","",IFERROR(VLOOKUP($B305,Kraftvärmeprod!$B$1:$BX$549,MATCH(K$2,Kraftvärmeprod!$B$1:$VX$1,0),FALSE)/1,0)-IFERROR(VLOOKUP($B305,'Slutlig allokering kvv'!$B$2:$BX$549,MATCH(K$2,'Slutlig allokering kvv'!$B$1:$BX$1,0),FALSE)/1,0))</f>
        <v/>
      </c>
      <c r="L305" s="121" t="str">
        <f>IF($D305="","",IFERROR(VLOOKUP($B305,Kraftvärmeprod!$B$1:$BX$549,MATCH(L$2,Kraftvärmeprod!$B$1:$VX$1,0),FALSE)/1,0)-IFERROR(VLOOKUP($B305,'Slutlig allokering kvv'!$B$2:$BX$549,MATCH(L$2,'Slutlig allokering kvv'!$B$1:$BX$1,0),FALSE)/1,0))</f>
        <v/>
      </c>
      <c r="M305" s="121" t="str">
        <f>IF($D305="","",IFERROR(VLOOKUP($B305,Kraftvärmeprod!$B$1:$BX$549,MATCH(M$2,Kraftvärmeprod!$B$1:$VX$1,0),FALSE)/1,0)-IFERROR(VLOOKUP($B305,'Slutlig allokering kvv'!$B$2:$BX$549,MATCH(M$2,'Slutlig allokering kvv'!$B$1:$BX$1,0),FALSE)/1,0))</f>
        <v/>
      </c>
      <c r="N305" s="121" t="str">
        <f>IF($D305="","",IFERROR(VLOOKUP($B305,Kraftvärmeprod!$B$1:$BX$549,MATCH(N$2,Kraftvärmeprod!$B$1:$VX$1,0),FALSE)/1,0)-IFERROR(VLOOKUP($B305,'Slutlig allokering kvv'!$B$2:$BX$549,MATCH(N$2,'Slutlig allokering kvv'!$B$1:$BX$1,0),FALSE)/1,0))</f>
        <v/>
      </c>
      <c r="O305" s="121" t="str">
        <f>IF($D305="","",IFERROR(VLOOKUP($B305,Kraftvärmeprod!$B$1:$BX$549,MATCH(O$2,Kraftvärmeprod!$B$1:$VX$1,0),FALSE)/1,0)-IFERROR(VLOOKUP($B305,'Slutlig allokering kvv'!$B$2:$BX$549,MATCH(O$2,'Slutlig allokering kvv'!$B$1:$BX$1,0),FALSE)/1,0))</f>
        <v/>
      </c>
      <c r="P305" s="121" t="str">
        <f>IF($D305="","",IFERROR(VLOOKUP($B305,Kraftvärmeprod!$B$1:$BX$549,MATCH(P$2,Kraftvärmeprod!$B$1:$VX$1,0),FALSE)/1,0)-IFERROR(VLOOKUP($B305,'Slutlig allokering kvv'!$B$2:$BX$549,MATCH(P$2,'Slutlig allokering kvv'!$B$1:$BX$1,0),FALSE)/1,0))</f>
        <v/>
      </c>
      <c r="Q305" s="121" t="str">
        <f>IF($D305="","",IFERROR(VLOOKUP($B305,Kraftvärmeprod!$B$1:$BX$549,MATCH(Q$2,Kraftvärmeprod!$B$1:$VX$1,0),FALSE)/1,0)-IFERROR(VLOOKUP($B305,'Slutlig allokering kvv'!$B$2:$BX$549,MATCH(Q$2,'Slutlig allokering kvv'!$B$1:$BX$1,0),FALSE)/1,0))</f>
        <v/>
      </c>
      <c r="R305" s="121" t="str">
        <f>IF($D305="","",IFERROR(VLOOKUP($B305,Kraftvärmeprod!$B$1:$BX$549,MATCH(R$2,Kraftvärmeprod!$B$1:$VX$1,0),FALSE)/1,0)-IFERROR(VLOOKUP($B305,'Slutlig allokering kvv'!$B$2:$BX$549,MATCH(R$2,'Slutlig allokering kvv'!$B$1:$BX$1,0),FALSE)/1,0))</f>
        <v/>
      </c>
      <c r="S305" s="121" t="str">
        <f>IF($D305="","",IFERROR(VLOOKUP($B305,Kraftvärmeprod!$B$1:$BX$549,MATCH(S$2,Kraftvärmeprod!$B$1:$VX$1,0),FALSE)/1,0)-IFERROR(VLOOKUP($B305,'Slutlig allokering kvv'!$B$2:$BX$549,MATCH(S$2,'Slutlig allokering kvv'!$B$1:$BX$1,0),FALSE)/1,0))</f>
        <v/>
      </c>
      <c r="T305" s="121" t="str">
        <f>IF($D305="","",IFERROR(VLOOKUP($B305,Kraftvärmeprod!$B$1:$BX$549,MATCH(T$2,Kraftvärmeprod!$B$1:$VX$1,0),FALSE)/1,0)-IFERROR(VLOOKUP($B305,'Slutlig allokering kvv'!$B$2:$BX$549,MATCH(T$2,'Slutlig allokering kvv'!$B$1:$BX$1,0),FALSE)/1,0))</f>
        <v/>
      </c>
      <c r="U305" s="121" t="str">
        <f>IF($D305="","",IFERROR(VLOOKUP($B305,Kraftvärmeprod!$B$1:$BX$549,MATCH(U$2,Kraftvärmeprod!$B$1:$VX$1,0),FALSE)/1,0)-IFERROR(VLOOKUP($B305,'Slutlig allokering kvv'!$B$2:$BX$549,MATCH(U$2,'Slutlig allokering kvv'!$B$1:$BX$1,0),FALSE)/1,0))</f>
        <v/>
      </c>
      <c r="V305" s="121" t="str">
        <f>IF($D305="","",IFERROR(VLOOKUP($B305,Kraftvärmeprod!$B$1:$BX$549,MATCH(V$2,Kraftvärmeprod!$B$1:$VX$1,0),FALSE)/1,0)-IFERROR(VLOOKUP($B305,'Slutlig allokering kvv'!$B$2:$BX$549,MATCH(V$2,'Slutlig allokering kvv'!$B$1:$BX$1,0),FALSE)/1,0))</f>
        <v/>
      </c>
      <c r="W305" s="121" t="str">
        <f>IF($D305="","",IFERROR(VLOOKUP($B305,Kraftvärmeprod!$B$1:$BX$549,MATCH(W$2,Kraftvärmeprod!$B$1:$VX$1,0),FALSE)/1,0)-IFERROR(VLOOKUP($B305,'Slutlig allokering kvv'!$B$2:$BX$549,MATCH(W$2,'Slutlig allokering kvv'!$B$1:$BX$1,0),FALSE)/1,0))</f>
        <v/>
      </c>
      <c r="X305" s="121" t="str">
        <f>IF($D305="","",IFERROR(VLOOKUP($B305,Kraftvärmeprod!$B$1:$BX$549,MATCH(X$2,Kraftvärmeprod!$B$1:$VX$1,0),FALSE)/1,0)-IFERROR(VLOOKUP($B305,'Slutlig allokering kvv'!$B$2:$BX$549,MATCH(X$2,'Slutlig allokering kvv'!$B$1:$BX$1,0),FALSE)/1,0))</f>
        <v/>
      </c>
      <c r="Y305" s="121" t="str">
        <f>IF($D305="","",IFERROR(VLOOKUP($B305,Kraftvärmeprod!$B$1:$BX$549,MATCH(Y$2,Kraftvärmeprod!$B$1:$VX$1,0),FALSE)/1,0)-IFERROR(VLOOKUP($B305,'Slutlig allokering kvv'!$B$2:$BX$549,MATCH(Y$2,'Slutlig allokering kvv'!$B$1:$BX$1,0),FALSE)/1,0))</f>
        <v/>
      </c>
      <c r="Z305" s="121" t="str">
        <f>IF($D305="","",IFERROR(VLOOKUP($B305,Kraftvärmeprod!$B$1:$BX$549,MATCH(Z$2,Kraftvärmeprod!$B$1:$VX$1,0),FALSE)/1,0)-IFERROR(VLOOKUP($B305,'Slutlig allokering kvv'!$B$2:$BX$549,MATCH(Z$2,'Slutlig allokering kvv'!$B$1:$BX$1,0),FALSE)/1,0))</f>
        <v/>
      </c>
      <c r="AA305" s="121" t="str">
        <f>IF($D305="","",IFERROR(VLOOKUP($B305,Kraftvärmeprod!$B$1:$BX$549,MATCH(AA$2,Kraftvärmeprod!$B$1:$VX$1,0),FALSE)/1,0)-IFERROR(VLOOKUP($B305,'Slutlig allokering kvv'!$B$2:$BX$549,MATCH(AA$2,'Slutlig allokering kvv'!$B$1:$BX$1,0),FALSE)/1,0))</f>
        <v/>
      </c>
      <c r="AB305" s="121" t="str">
        <f>IF($D305="","",IFERROR(VLOOKUP($B305,Kraftvärmeprod!$B$1:$BX$549,MATCH(AB$2,Kraftvärmeprod!$B$1:$VX$1,0),FALSE)/1,0)-IFERROR(VLOOKUP($B305,'Slutlig allokering kvv'!$B$2:$BX$549,MATCH(AB$2,'Slutlig allokering kvv'!$B$1:$BX$1,0),FALSE)/1,0))</f>
        <v/>
      </c>
      <c r="AC305" s="121" t="str">
        <f>IF($D305="","",IFERROR(VLOOKUP($B305,Kraftvärmeprod!$B$1:$BX$549,MATCH(AC$2,Kraftvärmeprod!$B$1:$VX$1,0),FALSE)/1,0)-IFERROR(VLOOKUP($B305,'Slutlig allokering kvv'!$B$2:$BX$549,MATCH(AC$2,'Slutlig allokering kvv'!$B$1:$BX$1,0),FALSE)/1,0))</f>
        <v/>
      </c>
      <c r="AD305" s="121" t="str">
        <f>IF($D305="","",IFERROR(VLOOKUP($B305,Kraftvärmeprod!$B$1:$BX$549,MATCH(AD$2,Kraftvärmeprod!$B$1:$VX$1,0),FALSE)/1,0)-IFERROR(VLOOKUP($B305,'Slutlig allokering kvv'!$B$2:$BX$549,MATCH(AD$2,'Slutlig allokering kvv'!$B$1:$BX$1,0),FALSE)/1,0))</f>
        <v/>
      </c>
      <c r="AE305" s="121" t="str">
        <f>IF($D305="","",IFERROR(VLOOKUP($B305,Miljö!$B$1:$E$550,MATCH("Hjälpel kraftvärme (GWh)",Miljö!$B$1:$E$1,0),FALSE)/1,0)-IFERROR(VLOOKUP($B305,'Slutlig allokering kvv'!$B$2:$BX$549,MATCH(AE$2,'Slutlig allokering kvv'!$B$1:$BX$1,0),FALSE)/1,0))</f>
        <v/>
      </c>
      <c r="AI305" s="121">
        <f t="shared" si="16"/>
        <v>0</v>
      </c>
      <c r="AK305" s="121">
        <f>IFERROR(VLOOKUP($B305,'Slutlig allokering kvv'!$B$2:$AX$549,MATCH("Summa slutlig allokerad tillförd energi (utan hjälpel och rökgaskondensering):",'Slutlig allokering kvv'!$B$1:$AX$1,0),FALSE)/1,"")</f>
        <v>0</v>
      </c>
      <c r="AM305" s="172" t="str">
        <f>IFERROR(1-VLOOKUP($B305,'Slutlig allokering kvv'!$B$2:$AX$549,MATCH("Andel av bränsle i kvv som allokerats till värme, exklusive rökgaskondensering och hjälpel",'Slutlig allokering kvv'!$B$1:$AX$1,0),FALSE),"")</f>
        <v/>
      </c>
      <c r="AO305" s="172" t="str">
        <f t="shared" si="17"/>
        <v/>
      </c>
      <c r="AP305" s="173" t="str">
        <f t="shared" si="18"/>
        <v/>
      </c>
      <c r="AR305" s="172" t="str">
        <f t="shared" si="19"/>
        <v/>
      </c>
    </row>
    <row r="306" spans="1:44" x14ac:dyDescent="0.25">
      <c r="A306" s="171" t="str">
        <f>'Miljövärden för publ företag'!B308</f>
        <v>Vimmerby Energi &amp; Miljö AB</v>
      </c>
      <c r="B306" s="171" t="str">
        <f>'Miljövärden för publ företag'!C308</f>
        <v>Gullringen</v>
      </c>
      <c r="C306" s="121" t="str">
        <f>IFERROR(VLOOKUP($B306,Kraftvärmeprod!$B$1:$AH$478,MATCH(C$2,Kraftvärmeprod!$B$1:$AG$1,0),FALSE)/1,"")</f>
        <v/>
      </c>
      <c r="D306" s="121" t="str">
        <f>IFERROR(VLOOKUP($B306,Kraftvärmeprod!$B$1:$AH$478,MATCH(D$2,Kraftvärmeprod!$B$1:$AG$1,0),FALSE)/1,"")</f>
        <v/>
      </c>
      <c r="F306" s="121" t="str">
        <f>IF($D306="","",IFERROR(VLOOKUP($B306,Kraftvärmeprod!$B$1:$BX$549,MATCH(F$2,Kraftvärmeprod!$B$1:$VX$1,0),FALSE)/1,0)-IFERROR(VLOOKUP($B306,'Slutlig allokering kvv'!$B$2:$BX$549,MATCH(F$2,'Slutlig allokering kvv'!$B$1:$BX$1,0),FALSE)/1,0))</f>
        <v/>
      </c>
      <c r="G306" s="121" t="str">
        <f>IF($D306="","",IFERROR(VLOOKUP($B306,Kraftvärmeprod!$B$1:$BX$549,MATCH(G$2,Kraftvärmeprod!$B$1:$VX$1,0),FALSE)/1,0)-IFERROR(VLOOKUP($B306,'Slutlig allokering kvv'!$B$2:$BX$549,MATCH(G$2,'Slutlig allokering kvv'!$B$1:$BX$1,0),FALSE)/1,0))</f>
        <v/>
      </c>
      <c r="H306" s="121" t="str">
        <f>IF($D306="","",IFERROR(VLOOKUP($B306,Kraftvärmeprod!$B$1:$BX$549,MATCH(H$2,Kraftvärmeprod!$B$1:$VX$1,0),FALSE)/1,0)-IFERROR(VLOOKUP($B306,'Slutlig allokering kvv'!$B$2:$BX$549,MATCH(H$2,'Slutlig allokering kvv'!$B$1:$BX$1,0),FALSE)/1,0))</f>
        <v/>
      </c>
      <c r="I306" s="121" t="str">
        <f>IF($D306="","",IFERROR(VLOOKUP($B306,Kraftvärmeprod!$B$1:$BX$549,MATCH(I$2,Kraftvärmeprod!$B$1:$VX$1,0),FALSE)/1,0)-IFERROR(VLOOKUP($B306,'Slutlig allokering kvv'!$B$2:$BX$549,MATCH(I$2,'Slutlig allokering kvv'!$B$1:$BX$1,0),FALSE)/1,0))</f>
        <v/>
      </c>
      <c r="J306" s="121" t="str">
        <f>IF($D306="","",IFERROR(VLOOKUP($B306,Kraftvärmeprod!$B$1:$BX$549,MATCH(J$2,Kraftvärmeprod!$B$1:$VX$1,0),FALSE)/1,0)-IFERROR(VLOOKUP($B306,'Slutlig allokering kvv'!$B$2:$BX$549,MATCH(J$2,'Slutlig allokering kvv'!$B$1:$BX$1,0),FALSE)/1,0))</f>
        <v/>
      </c>
      <c r="K306" s="121" t="str">
        <f>IF($D306="","",IFERROR(VLOOKUP($B306,Kraftvärmeprod!$B$1:$BX$549,MATCH(K$2,Kraftvärmeprod!$B$1:$VX$1,0),FALSE)/1,0)-IFERROR(VLOOKUP($B306,'Slutlig allokering kvv'!$B$2:$BX$549,MATCH(K$2,'Slutlig allokering kvv'!$B$1:$BX$1,0),FALSE)/1,0))</f>
        <v/>
      </c>
      <c r="L306" s="121" t="str">
        <f>IF($D306="","",IFERROR(VLOOKUP($B306,Kraftvärmeprod!$B$1:$BX$549,MATCH(L$2,Kraftvärmeprod!$B$1:$VX$1,0),FALSE)/1,0)-IFERROR(VLOOKUP($B306,'Slutlig allokering kvv'!$B$2:$BX$549,MATCH(L$2,'Slutlig allokering kvv'!$B$1:$BX$1,0),FALSE)/1,0))</f>
        <v/>
      </c>
      <c r="M306" s="121" t="str">
        <f>IF($D306="","",IFERROR(VLOOKUP($B306,Kraftvärmeprod!$B$1:$BX$549,MATCH(M$2,Kraftvärmeprod!$B$1:$VX$1,0),FALSE)/1,0)-IFERROR(VLOOKUP($B306,'Slutlig allokering kvv'!$B$2:$BX$549,MATCH(M$2,'Slutlig allokering kvv'!$B$1:$BX$1,0),FALSE)/1,0))</f>
        <v/>
      </c>
      <c r="N306" s="121" t="str">
        <f>IF($D306="","",IFERROR(VLOOKUP($B306,Kraftvärmeprod!$B$1:$BX$549,MATCH(N$2,Kraftvärmeprod!$B$1:$VX$1,0),FALSE)/1,0)-IFERROR(VLOOKUP($B306,'Slutlig allokering kvv'!$B$2:$BX$549,MATCH(N$2,'Slutlig allokering kvv'!$B$1:$BX$1,0),FALSE)/1,0))</f>
        <v/>
      </c>
      <c r="O306" s="121" t="str">
        <f>IF($D306="","",IFERROR(VLOOKUP($B306,Kraftvärmeprod!$B$1:$BX$549,MATCH(O$2,Kraftvärmeprod!$B$1:$VX$1,0),FALSE)/1,0)-IFERROR(VLOOKUP($B306,'Slutlig allokering kvv'!$B$2:$BX$549,MATCH(O$2,'Slutlig allokering kvv'!$B$1:$BX$1,0),FALSE)/1,0))</f>
        <v/>
      </c>
      <c r="P306" s="121" t="str">
        <f>IF($D306="","",IFERROR(VLOOKUP($B306,Kraftvärmeprod!$B$1:$BX$549,MATCH(P$2,Kraftvärmeprod!$B$1:$VX$1,0),FALSE)/1,0)-IFERROR(VLOOKUP($B306,'Slutlig allokering kvv'!$B$2:$BX$549,MATCH(P$2,'Slutlig allokering kvv'!$B$1:$BX$1,0),FALSE)/1,0))</f>
        <v/>
      </c>
      <c r="Q306" s="121" t="str">
        <f>IF($D306="","",IFERROR(VLOOKUP($B306,Kraftvärmeprod!$B$1:$BX$549,MATCH(Q$2,Kraftvärmeprod!$B$1:$VX$1,0),FALSE)/1,0)-IFERROR(VLOOKUP($B306,'Slutlig allokering kvv'!$B$2:$BX$549,MATCH(Q$2,'Slutlig allokering kvv'!$B$1:$BX$1,0),FALSE)/1,0))</f>
        <v/>
      </c>
      <c r="R306" s="121" t="str">
        <f>IF($D306="","",IFERROR(VLOOKUP($B306,Kraftvärmeprod!$B$1:$BX$549,MATCH(R$2,Kraftvärmeprod!$B$1:$VX$1,0),FALSE)/1,0)-IFERROR(VLOOKUP($B306,'Slutlig allokering kvv'!$B$2:$BX$549,MATCH(R$2,'Slutlig allokering kvv'!$B$1:$BX$1,0),FALSE)/1,0))</f>
        <v/>
      </c>
      <c r="S306" s="121" t="str">
        <f>IF($D306="","",IFERROR(VLOOKUP($B306,Kraftvärmeprod!$B$1:$BX$549,MATCH(S$2,Kraftvärmeprod!$B$1:$VX$1,0),FALSE)/1,0)-IFERROR(VLOOKUP($B306,'Slutlig allokering kvv'!$B$2:$BX$549,MATCH(S$2,'Slutlig allokering kvv'!$B$1:$BX$1,0),FALSE)/1,0))</f>
        <v/>
      </c>
      <c r="T306" s="121" t="str">
        <f>IF($D306="","",IFERROR(VLOOKUP($B306,Kraftvärmeprod!$B$1:$BX$549,MATCH(T$2,Kraftvärmeprod!$B$1:$VX$1,0),FALSE)/1,0)-IFERROR(VLOOKUP($B306,'Slutlig allokering kvv'!$B$2:$BX$549,MATCH(T$2,'Slutlig allokering kvv'!$B$1:$BX$1,0),FALSE)/1,0))</f>
        <v/>
      </c>
      <c r="U306" s="121" t="str">
        <f>IF($D306="","",IFERROR(VLOOKUP($B306,Kraftvärmeprod!$B$1:$BX$549,MATCH(U$2,Kraftvärmeprod!$B$1:$VX$1,0),FALSE)/1,0)-IFERROR(VLOOKUP($B306,'Slutlig allokering kvv'!$B$2:$BX$549,MATCH(U$2,'Slutlig allokering kvv'!$B$1:$BX$1,0),FALSE)/1,0))</f>
        <v/>
      </c>
      <c r="V306" s="121" t="str">
        <f>IF($D306="","",IFERROR(VLOOKUP($B306,Kraftvärmeprod!$B$1:$BX$549,MATCH(V$2,Kraftvärmeprod!$B$1:$VX$1,0),FALSE)/1,0)-IFERROR(VLOOKUP($B306,'Slutlig allokering kvv'!$B$2:$BX$549,MATCH(V$2,'Slutlig allokering kvv'!$B$1:$BX$1,0),FALSE)/1,0))</f>
        <v/>
      </c>
      <c r="W306" s="121" t="str">
        <f>IF($D306="","",IFERROR(VLOOKUP($B306,Kraftvärmeprod!$B$1:$BX$549,MATCH(W$2,Kraftvärmeprod!$B$1:$VX$1,0),FALSE)/1,0)-IFERROR(VLOOKUP($B306,'Slutlig allokering kvv'!$B$2:$BX$549,MATCH(W$2,'Slutlig allokering kvv'!$B$1:$BX$1,0),FALSE)/1,0))</f>
        <v/>
      </c>
      <c r="X306" s="121" t="str">
        <f>IF($D306="","",IFERROR(VLOOKUP($B306,Kraftvärmeprod!$B$1:$BX$549,MATCH(X$2,Kraftvärmeprod!$B$1:$VX$1,0),FALSE)/1,0)-IFERROR(VLOOKUP($B306,'Slutlig allokering kvv'!$B$2:$BX$549,MATCH(X$2,'Slutlig allokering kvv'!$B$1:$BX$1,0),FALSE)/1,0))</f>
        <v/>
      </c>
      <c r="Y306" s="121" t="str">
        <f>IF($D306="","",IFERROR(VLOOKUP($B306,Kraftvärmeprod!$B$1:$BX$549,MATCH(Y$2,Kraftvärmeprod!$B$1:$VX$1,0),FALSE)/1,0)-IFERROR(VLOOKUP($B306,'Slutlig allokering kvv'!$B$2:$BX$549,MATCH(Y$2,'Slutlig allokering kvv'!$B$1:$BX$1,0),FALSE)/1,0))</f>
        <v/>
      </c>
      <c r="Z306" s="121" t="str">
        <f>IF($D306="","",IFERROR(VLOOKUP($B306,Kraftvärmeprod!$B$1:$BX$549,MATCH(Z$2,Kraftvärmeprod!$B$1:$VX$1,0),FALSE)/1,0)-IFERROR(VLOOKUP($B306,'Slutlig allokering kvv'!$B$2:$BX$549,MATCH(Z$2,'Slutlig allokering kvv'!$B$1:$BX$1,0),FALSE)/1,0))</f>
        <v/>
      </c>
      <c r="AA306" s="121" t="str">
        <f>IF($D306="","",IFERROR(VLOOKUP($B306,Kraftvärmeprod!$B$1:$BX$549,MATCH(AA$2,Kraftvärmeprod!$B$1:$VX$1,0),FALSE)/1,0)-IFERROR(VLOOKUP($B306,'Slutlig allokering kvv'!$B$2:$BX$549,MATCH(AA$2,'Slutlig allokering kvv'!$B$1:$BX$1,0),FALSE)/1,0))</f>
        <v/>
      </c>
      <c r="AB306" s="121" t="str">
        <f>IF($D306="","",IFERROR(VLOOKUP($B306,Kraftvärmeprod!$B$1:$BX$549,MATCH(AB$2,Kraftvärmeprod!$B$1:$VX$1,0),FALSE)/1,0)-IFERROR(VLOOKUP($B306,'Slutlig allokering kvv'!$B$2:$BX$549,MATCH(AB$2,'Slutlig allokering kvv'!$B$1:$BX$1,0),FALSE)/1,0))</f>
        <v/>
      </c>
      <c r="AC306" s="121" t="str">
        <f>IF($D306="","",IFERROR(VLOOKUP($B306,Kraftvärmeprod!$B$1:$BX$549,MATCH(AC$2,Kraftvärmeprod!$B$1:$VX$1,0),FALSE)/1,0)-IFERROR(VLOOKUP($B306,'Slutlig allokering kvv'!$B$2:$BX$549,MATCH(AC$2,'Slutlig allokering kvv'!$B$1:$BX$1,0),FALSE)/1,0))</f>
        <v/>
      </c>
      <c r="AD306" s="121" t="str">
        <f>IF($D306="","",IFERROR(VLOOKUP($B306,Kraftvärmeprod!$B$1:$BX$549,MATCH(AD$2,Kraftvärmeprod!$B$1:$VX$1,0),FALSE)/1,0)-IFERROR(VLOOKUP($B306,'Slutlig allokering kvv'!$B$2:$BX$549,MATCH(AD$2,'Slutlig allokering kvv'!$B$1:$BX$1,0),FALSE)/1,0))</f>
        <v/>
      </c>
      <c r="AE306" s="121" t="str">
        <f>IF($D306="","",IFERROR(VLOOKUP($B306,Miljö!$B$1:$E$550,MATCH("Hjälpel kraftvärme (GWh)",Miljö!$B$1:$E$1,0),FALSE)/1,0)-IFERROR(VLOOKUP($B306,'Slutlig allokering kvv'!$B$2:$BX$549,MATCH(AE$2,'Slutlig allokering kvv'!$B$1:$BX$1,0),FALSE)/1,0))</f>
        <v/>
      </c>
      <c r="AI306" s="121">
        <f t="shared" si="16"/>
        <v>0</v>
      </c>
      <c r="AK306" s="121">
        <f>IFERROR(VLOOKUP($B306,'Slutlig allokering kvv'!$B$2:$AX$549,MATCH("Summa slutlig allokerad tillförd energi (utan hjälpel och rökgaskondensering):",'Slutlig allokering kvv'!$B$1:$AX$1,0),FALSE)/1,"")</f>
        <v>0</v>
      </c>
      <c r="AM306" s="172" t="str">
        <f>IFERROR(1-VLOOKUP($B306,'Slutlig allokering kvv'!$B$2:$AX$549,MATCH("Andel av bränsle i kvv som allokerats till värme, exklusive rökgaskondensering och hjälpel",'Slutlig allokering kvv'!$B$1:$AX$1,0),FALSE),"")</f>
        <v/>
      </c>
      <c r="AO306" s="172" t="str">
        <f t="shared" si="17"/>
        <v/>
      </c>
      <c r="AP306" s="173" t="str">
        <f t="shared" si="18"/>
        <v/>
      </c>
      <c r="AR306" s="172" t="str">
        <f t="shared" si="19"/>
        <v/>
      </c>
    </row>
    <row r="307" spans="1:44" x14ac:dyDescent="0.25">
      <c r="A307" s="171" t="str">
        <f>'Miljövärden för publ företag'!B309</f>
        <v>Vimmerby Energi &amp; Miljö AB</v>
      </c>
      <c r="B307" s="171" t="str">
        <f>'Miljövärden för publ företag'!C309</f>
        <v>Storebro</v>
      </c>
      <c r="C307" s="121" t="str">
        <f>IFERROR(VLOOKUP($B307,Kraftvärmeprod!$B$1:$AH$478,MATCH(C$2,Kraftvärmeprod!$B$1:$AG$1,0),FALSE)/1,"")</f>
        <v/>
      </c>
      <c r="D307" s="121" t="str">
        <f>IFERROR(VLOOKUP($B307,Kraftvärmeprod!$B$1:$AH$478,MATCH(D$2,Kraftvärmeprod!$B$1:$AG$1,0),FALSE)/1,"")</f>
        <v/>
      </c>
      <c r="F307" s="121" t="str">
        <f>IF($D307="","",IFERROR(VLOOKUP($B307,Kraftvärmeprod!$B$1:$BX$549,MATCH(F$2,Kraftvärmeprod!$B$1:$VX$1,0),FALSE)/1,0)-IFERROR(VLOOKUP($B307,'Slutlig allokering kvv'!$B$2:$BX$549,MATCH(F$2,'Slutlig allokering kvv'!$B$1:$BX$1,0),FALSE)/1,0))</f>
        <v/>
      </c>
      <c r="G307" s="121" t="str">
        <f>IF($D307="","",IFERROR(VLOOKUP($B307,Kraftvärmeprod!$B$1:$BX$549,MATCH(G$2,Kraftvärmeprod!$B$1:$VX$1,0),FALSE)/1,0)-IFERROR(VLOOKUP($B307,'Slutlig allokering kvv'!$B$2:$BX$549,MATCH(G$2,'Slutlig allokering kvv'!$B$1:$BX$1,0),FALSE)/1,0))</f>
        <v/>
      </c>
      <c r="H307" s="121" t="str">
        <f>IF($D307="","",IFERROR(VLOOKUP($B307,Kraftvärmeprod!$B$1:$BX$549,MATCH(H$2,Kraftvärmeprod!$B$1:$VX$1,0),FALSE)/1,0)-IFERROR(VLOOKUP($B307,'Slutlig allokering kvv'!$B$2:$BX$549,MATCH(H$2,'Slutlig allokering kvv'!$B$1:$BX$1,0),FALSE)/1,0))</f>
        <v/>
      </c>
      <c r="I307" s="121" t="str">
        <f>IF($D307="","",IFERROR(VLOOKUP($B307,Kraftvärmeprod!$B$1:$BX$549,MATCH(I$2,Kraftvärmeprod!$B$1:$VX$1,0),FALSE)/1,0)-IFERROR(VLOOKUP($B307,'Slutlig allokering kvv'!$B$2:$BX$549,MATCH(I$2,'Slutlig allokering kvv'!$B$1:$BX$1,0),FALSE)/1,0))</f>
        <v/>
      </c>
      <c r="J307" s="121" t="str">
        <f>IF($D307="","",IFERROR(VLOOKUP($B307,Kraftvärmeprod!$B$1:$BX$549,MATCH(J$2,Kraftvärmeprod!$B$1:$VX$1,0),FALSE)/1,0)-IFERROR(VLOOKUP($B307,'Slutlig allokering kvv'!$B$2:$BX$549,MATCH(J$2,'Slutlig allokering kvv'!$B$1:$BX$1,0),FALSE)/1,0))</f>
        <v/>
      </c>
      <c r="K307" s="121" t="str">
        <f>IF($D307="","",IFERROR(VLOOKUP($B307,Kraftvärmeprod!$B$1:$BX$549,MATCH(K$2,Kraftvärmeprod!$B$1:$VX$1,0),FALSE)/1,0)-IFERROR(VLOOKUP($B307,'Slutlig allokering kvv'!$B$2:$BX$549,MATCH(K$2,'Slutlig allokering kvv'!$B$1:$BX$1,0),FALSE)/1,0))</f>
        <v/>
      </c>
      <c r="L307" s="121" t="str">
        <f>IF($D307="","",IFERROR(VLOOKUP($B307,Kraftvärmeprod!$B$1:$BX$549,MATCH(L$2,Kraftvärmeprod!$B$1:$VX$1,0),FALSE)/1,0)-IFERROR(VLOOKUP($B307,'Slutlig allokering kvv'!$B$2:$BX$549,MATCH(L$2,'Slutlig allokering kvv'!$B$1:$BX$1,0),FALSE)/1,0))</f>
        <v/>
      </c>
      <c r="M307" s="121" t="str">
        <f>IF($D307="","",IFERROR(VLOOKUP($B307,Kraftvärmeprod!$B$1:$BX$549,MATCH(M$2,Kraftvärmeprod!$B$1:$VX$1,0),FALSE)/1,0)-IFERROR(VLOOKUP($B307,'Slutlig allokering kvv'!$B$2:$BX$549,MATCH(M$2,'Slutlig allokering kvv'!$B$1:$BX$1,0),FALSE)/1,0))</f>
        <v/>
      </c>
      <c r="N307" s="121" t="str">
        <f>IF($D307="","",IFERROR(VLOOKUP($B307,Kraftvärmeprod!$B$1:$BX$549,MATCH(N$2,Kraftvärmeprod!$B$1:$VX$1,0),FALSE)/1,0)-IFERROR(VLOOKUP($B307,'Slutlig allokering kvv'!$B$2:$BX$549,MATCH(N$2,'Slutlig allokering kvv'!$B$1:$BX$1,0),FALSE)/1,0))</f>
        <v/>
      </c>
      <c r="O307" s="121" t="str">
        <f>IF($D307="","",IFERROR(VLOOKUP($B307,Kraftvärmeprod!$B$1:$BX$549,MATCH(O$2,Kraftvärmeprod!$B$1:$VX$1,0),FALSE)/1,0)-IFERROR(VLOOKUP($B307,'Slutlig allokering kvv'!$B$2:$BX$549,MATCH(O$2,'Slutlig allokering kvv'!$B$1:$BX$1,0),FALSE)/1,0))</f>
        <v/>
      </c>
      <c r="P307" s="121" t="str">
        <f>IF($D307="","",IFERROR(VLOOKUP($B307,Kraftvärmeprod!$B$1:$BX$549,MATCH(P$2,Kraftvärmeprod!$B$1:$VX$1,0),FALSE)/1,0)-IFERROR(VLOOKUP($B307,'Slutlig allokering kvv'!$B$2:$BX$549,MATCH(P$2,'Slutlig allokering kvv'!$B$1:$BX$1,0),FALSE)/1,0))</f>
        <v/>
      </c>
      <c r="Q307" s="121" t="str">
        <f>IF($D307="","",IFERROR(VLOOKUP($B307,Kraftvärmeprod!$B$1:$BX$549,MATCH(Q$2,Kraftvärmeprod!$B$1:$VX$1,0),FALSE)/1,0)-IFERROR(VLOOKUP($B307,'Slutlig allokering kvv'!$B$2:$BX$549,MATCH(Q$2,'Slutlig allokering kvv'!$B$1:$BX$1,0),FALSE)/1,0))</f>
        <v/>
      </c>
      <c r="R307" s="121" t="str">
        <f>IF($D307="","",IFERROR(VLOOKUP($B307,Kraftvärmeprod!$B$1:$BX$549,MATCH(R$2,Kraftvärmeprod!$B$1:$VX$1,0),FALSE)/1,0)-IFERROR(VLOOKUP($B307,'Slutlig allokering kvv'!$B$2:$BX$549,MATCH(R$2,'Slutlig allokering kvv'!$B$1:$BX$1,0),FALSE)/1,0))</f>
        <v/>
      </c>
      <c r="S307" s="121" t="str">
        <f>IF($D307="","",IFERROR(VLOOKUP($B307,Kraftvärmeprod!$B$1:$BX$549,MATCH(S$2,Kraftvärmeprod!$B$1:$VX$1,0),FALSE)/1,0)-IFERROR(VLOOKUP($B307,'Slutlig allokering kvv'!$B$2:$BX$549,MATCH(S$2,'Slutlig allokering kvv'!$B$1:$BX$1,0),FALSE)/1,0))</f>
        <v/>
      </c>
      <c r="T307" s="121" t="str">
        <f>IF($D307="","",IFERROR(VLOOKUP($B307,Kraftvärmeprod!$B$1:$BX$549,MATCH(T$2,Kraftvärmeprod!$B$1:$VX$1,0),FALSE)/1,0)-IFERROR(VLOOKUP($B307,'Slutlig allokering kvv'!$B$2:$BX$549,MATCH(T$2,'Slutlig allokering kvv'!$B$1:$BX$1,0),FALSE)/1,0))</f>
        <v/>
      </c>
      <c r="U307" s="121" t="str">
        <f>IF($D307="","",IFERROR(VLOOKUP($B307,Kraftvärmeprod!$B$1:$BX$549,MATCH(U$2,Kraftvärmeprod!$B$1:$VX$1,0),FALSE)/1,0)-IFERROR(VLOOKUP($B307,'Slutlig allokering kvv'!$B$2:$BX$549,MATCH(U$2,'Slutlig allokering kvv'!$B$1:$BX$1,0),FALSE)/1,0))</f>
        <v/>
      </c>
      <c r="V307" s="121" t="str">
        <f>IF($D307="","",IFERROR(VLOOKUP($B307,Kraftvärmeprod!$B$1:$BX$549,MATCH(V$2,Kraftvärmeprod!$B$1:$VX$1,0),FALSE)/1,0)-IFERROR(VLOOKUP($B307,'Slutlig allokering kvv'!$B$2:$BX$549,MATCH(V$2,'Slutlig allokering kvv'!$B$1:$BX$1,0),FALSE)/1,0))</f>
        <v/>
      </c>
      <c r="W307" s="121" t="str">
        <f>IF($D307="","",IFERROR(VLOOKUP($B307,Kraftvärmeprod!$B$1:$BX$549,MATCH(W$2,Kraftvärmeprod!$B$1:$VX$1,0),FALSE)/1,0)-IFERROR(VLOOKUP($B307,'Slutlig allokering kvv'!$B$2:$BX$549,MATCH(W$2,'Slutlig allokering kvv'!$B$1:$BX$1,0),FALSE)/1,0))</f>
        <v/>
      </c>
      <c r="X307" s="121" t="str">
        <f>IF($D307="","",IFERROR(VLOOKUP($B307,Kraftvärmeprod!$B$1:$BX$549,MATCH(X$2,Kraftvärmeprod!$B$1:$VX$1,0),FALSE)/1,0)-IFERROR(VLOOKUP($B307,'Slutlig allokering kvv'!$B$2:$BX$549,MATCH(X$2,'Slutlig allokering kvv'!$B$1:$BX$1,0),FALSE)/1,0))</f>
        <v/>
      </c>
      <c r="Y307" s="121" t="str">
        <f>IF($D307="","",IFERROR(VLOOKUP($B307,Kraftvärmeprod!$B$1:$BX$549,MATCH(Y$2,Kraftvärmeprod!$B$1:$VX$1,0),FALSE)/1,0)-IFERROR(VLOOKUP($B307,'Slutlig allokering kvv'!$B$2:$BX$549,MATCH(Y$2,'Slutlig allokering kvv'!$B$1:$BX$1,0),FALSE)/1,0))</f>
        <v/>
      </c>
      <c r="Z307" s="121" t="str">
        <f>IF($D307="","",IFERROR(VLOOKUP($B307,Kraftvärmeprod!$B$1:$BX$549,MATCH(Z$2,Kraftvärmeprod!$B$1:$VX$1,0),FALSE)/1,0)-IFERROR(VLOOKUP($B307,'Slutlig allokering kvv'!$B$2:$BX$549,MATCH(Z$2,'Slutlig allokering kvv'!$B$1:$BX$1,0),FALSE)/1,0))</f>
        <v/>
      </c>
      <c r="AA307" s="121" t="str">
        <f>IF($D307="","",IFERROR(VLOOKUP($B307,Kraftvärmeprod!$B$1:$BX$549,MATCH(AA$2,Kraftvärmeprod!$B$1:$VX$1,0),FALSE)/1,0)-IFERROR(VLOOKUP($B307,'Slutlig allokering kvv'!$B$2:$BX$549,MATCH(AA$2,'Slutlig allokering kvv'!$B$1:$BX$1,0),FALSE)/1,0))</f>
        <v/>
      </c>
      <c r="AB307" s="121" t="str">
        <f>IF($D307="","",IFERROR(VLOOKUP($B307,Kraftvärmeprod!$B$1:$BX$549,MATCH(AB$2,Kraftvärmeprod!$B$1:$VX$1,0),FALSE)/1,0)-IFERROR(VLOOKUP($B307,'Slutlig allokering kvv'!$B$2:$BX$549,MATCH(AB$2,'Slutlig allokering kvv'!$B$1:$BX$1,0),FALSE)/1,0))</f>
        <v/>
      </c>
      <c r="AC307" s="121" t="str">
        <f>IF($D307="","",IFERROR(VLOOKUP($B307,Kraftvärmeprod!$B$1:$BX$549,MATCH(AC$2,Kraftvärmeprod!$B$1:$VX$1,0),FALSE)/1,0)-IFERROR(VLOOKUP($B307,'Slutlig allokering kvv'!$B$2:$BX$549,MATCH(AC$2,'Slutlig allokering kvv'!$B$1:$BX$1,0),FALSE)/1,0))</f>
        <v/>
      </c>
      <c r="AD307" s="121" t="str">
        <f>IF($D307="","",IFERROR(VLOOKUP($B307,Kraftvärmeprod!$B$1:$BX$549,MATCH(AD$2,Kraftvärmeprod!$B$1:$VX$1,0),FALSE)/1,0)-IFERROR(VLOOKUP($B307,'Slutlig allokering kvv'!$B$2:$BX$549,MATCH(AD$2,'Slutlig allokering kvv'!$B$1:$BX$1,0),FALSE)/1,0))</f>
        <v/>
      </c>
      <c r="AE307" s="121" t="str">
        <f>IF($D307="","",IFERROR(VLOOKUP($B307,Miljö!$B$1:$E$550,MATCH("Hjälpel kraftvärme (GWh)",Miljö!$B$1:$E$1,0),FALSE)/1,0)-IFERROR(VLOOKUP($B307,'Slutlig allokering kvv'!$B$2:$BX$549,MATCH(AE$2,'Slutlig allokering kvv'!$B$1:$BX$1,0),FALSE)/1,0))</f>
        <v/>
      </c>
      <c r="AI307" s="121">
        <f t="shared" si="16"/>
        <v>0</v>
      </c>
      <c r="AK307" s="121">
        <f>IFERROR(VLOOKUP($B307,'Slutlig allokering kvv'!$B$2:$AX$549,MATCH("Summa slutlig allokerad tillförd energi (utan hjälpel och rökgaskondensering):",'Slutlig allokering kvv'!$B$1:$AX$1,0),FALSE)/1,"")</f>
        <v>0</v>
      </c>
      <c r="AM307" s="172" t="str">
        <f>IFERROR(1-VLOOKUP($B307,'Slutlig allokering kvv'!$B$2:$AX$549,MATCH("Andel av bränsle i kvv som allokerats till värme, exklusive rökgaskondensering och hjälpel",'Slutlig allokering kvv'!$B$1:$AX$1,0),FALSE),"")</f>
        <v/>
      </c>
      <c r="AO307" s="172" t="str">
        <f t="shared" si="17"/>
        <v/>
      </c>
      <c r="AP307" s="173" t="str">
        <f t="shared" si="18"/>
        <v/>
      </c>
      <c r="AR307" s="172" t="str">
        <f t="shared" si="19"/>
        <v/>
      </c>
    </row>
    <row r="308" spans="1:44" x14ac:dyDescent="0.25">
      <c r="A308" s="171" t="str">
        <f>'Miljövärden för publ företag'!B310</f>
        <v>Vimmerby Energi &amp; Miljö AB</v>
      </c>
      <c r="B308" s="171" t="str">
        <f>'Miljövärden för publ företag'!C310</f>
        <v>Södra Vi</v>
      </c>
      <c r="C308" s="121" t="str">
        <f>IFERROR(VLOOKUP($B308,Kraftvärmeprod!$B$1:$AH$478,MATCH(C$2,Kraftvärmeprod!$B$1:$AG$1,0),FALSE)/1,"")</f>
        <v/>
      </c>
      <c r="D308" s="121" t="str">
        <f>IFERROR(VLOOKUP($B308,Kraftvärmeprod!$B$1:$AH$478,MATCH(D$2,Kraftvärmeprod!$B$1:$AG$1,0),FALSE)/1,"")</f>
        <v/>
      </c>
      <c r="F308" s="121" t="str">
        <f>IF($D308="","",IFERROR(VLOOKUP($B308,Kraftvärmeprod!$B$1:$BX$549,MATCH(F$2,Kraftvärmeprod!$B$1:$VX$1,0),FALSE)/1,0)-IFERROR(VLOOKUP($B308,'Slutlig allokering kvv'!$B$2:$BX$549,MATCH(F$2,'Slutlig allokering kvv'!$B$1:$BX$1,0),FALSE)/1,0))</f>
        <v/>
      </c>
      <c r="G308" s="121" t="str">
        <f>IF($D308="","",IFERROR(VLOOKUP($B308,Kraftvärmeprod!$B$1:$BX$549,MATCH(G$2,Kraftvärmeprod!$B$1:$VX$1,0),FALSE)/1,0)-IFERROR(VLOOKUP($B308,'Slutlig allokering kvv'!$B$2:$BX$549,MATCH(G$2,'Slutlig allokering kvv'!$B$1:$BX$1,0),FALSE)/1,0))</f>
        <v/>
      </c>
      <c r="H308" s="121" t="str">
        <f>IF($D308="","",IFERROR(VLOOKUP($B308,Kraftvärmeprod!$B$1:$BX$549,MATCH(H$2,Kraftvärmeprod!$B$1:$VX$1,0),FALSE)/1,0)-IFERROR(VLOOKUP($B308,'Slutlig allokering kvv'!$B$2:$BX$549,MATCH(H$2,'Slutlig allokering kvv'!$B$1:$BX$1,0),FALSE)/1,0))</f>
        <v/>
      </c>
      <c r="I308" s="121" t="str">
        <f>IF($D308="","",IFERROR(VLOOKUP($B308,Kraftvärmeprod!$B$1:$BX$549,MATCH(I$2,Kraftvärmeprod!$B$1:$VX$1,0),FALSE)/1,0)-IFERROR(VLOOKUP($B308,'Slutlig allokering kvv'!$B$2:$BX$549,MATCH(I$2,'Slutlig allokering kvv'!$B$1:$BX$1,0),FALSE)/1,0))</f>
        <v/>
      </c>
      <c r="J308" s="121" t="str">
        <f>IF($D308="","",IFERROR(VLOOKUP($B308,Kraftvärmeprod!$B$1:$BX$549,MATCH(J$2,Kraftvärmeprod!$B$1:$VX$1,0),FALSE)/1,0)-IFERROR(VLOOKUP($B308,'Slutlig allokering kvv'!$B$2:$BX$549,MATCH(J$2,'Slutlig allokering kvv'!$B$1:$BX$1,0),FALSE)/1,0))</f>
        <v/>
      </c>
      <c r="K308" s="121" t="str">
        <f>IF($D308="","",IFERROR(VLOOKUP($B308,Kraftvärmeprod!$B$1:$BX$549,MATCH(K$2,Kraftvärmeprod!$B$1:$VX$1,0),FALSE)/1,0)-IFERROR(VLOOKUP($B308,'Slutlig allokering kvv'!$B$2:$BX$549,MATCH(K$2,'Slutlig allokering kvv'!$B$1:$BX$1,0),FALSE)/1,0))</f>
        <v/>
      </c>
      <c r="L308" s="121" t="str">
        <f>IF($D308="","",IFERROR(VLOOKUP($B308,Kraftvärmeprod!$B$1:$BX$549,MATCH(L$2,Kraftvärmeprod!$B$1:$VX$1,0),FALSE)/1,0)-IFERROR(VLOOKUP($B308,'Slutlig allokering kvv'!$B$2:$BX$549,MATCH(L$2,'Slutlig allokering kvv'!$B$1:$BX$1,0),FALSE)/1,0))</f>
        <v/>
      </c>
      <c r="M308" s="121" t="str">
        <f>IF($D308="","",IFERROR(VLOOKUP($B308,Kraftvärmeprod!$B$1:$BX$549,MATCH(M$2,Kraftvärmeprod!$B$1:$VX$1,0),FALSE)/1,0)-IFERROR(VLOOKUP($B308,'Slutlig allokering kvv'!$B$2:$BX$549,MATCH(M$2,'Slutlig allokering kvv'!$B$1:$BX$1,0),FALSE)/1,0))</f>
        <v/>
      </c>
      <c r="N308" s="121" t="str">
        <f>IF($D308="","",IFERROR(VLOOKUP($B308,Kraftvärmeprod!$B$1:$BX$549,MATCH(N$2,Kraftvärmeprod!$B$1:$VX$1,0),FALSE)/1,0)-IFERROR(VLOOKUP($B308,'Slutlig allokering kvv'!$B$2:$BX$549,MATCH(N$2,'Slutlig allokering kvv'!$B$1:$BX$1,0),FALSE)/1,0))</f>
        <v/>
      </c>
      <c r="O308" s="121" t="str">
        <f>IF($D308="","",IFERROR(VLOOKUP($B308,Kraftvärmeprod!$B$1:$BX$549,MATCH(O$2,Kraftvärmeprod!$B$1:$VX$1,0),FALSE)/1,0)-IFERROR(VLOOKUP($B308,'Slutlig allokering kvv'!$B$2:$BX$549,MATCH(O$2,'Slutlig allokering kvv'!$B$1:$BX$1,0),FALSE)/1,0))</f>
        <v/>
      </c>
      <c r="P308" s="121" t="str">
        <f>IF($D308="","",IFERROR(VLOOKUP($B308,Kraftvärmeprod!$B$1:$BX$549,MATCH(P$2,Kraftvärmeprod!$B$1:$VX$1,0),FALSE)/1,0)-IFERROR(VLOOKUP($B308,'Slutlig allokering kvv'!$B$2:$BX$549,MATCH(P$2,'Slutlig allokering kvv'!$B$1:$BX$1,0),FALSE)/1,0))</f>
        <v/>
      </c>
      <c r="Q308" s="121" t="str">
        <f>IF($D308="","",IFERROR(VLOOKUP($B308,Kraftvärmeprod!$B$1:$BX$549,MATCH(Q$2,Kraftvärmeprod!$B$1:$VX$1,0),FALSE)/1,0)-IFERROR(VLOOKUP($B308,'Slutlig allokering kvv'!$B$2:$BX$549,MATCH(Q$2,'Slutlig allokering kvv'!$B$1:$BX$1,0),FALSE)/1,0))</f>
        <v/>
      </c>
      <c r="R308" s="121" t="str">
        <f>IF($D308="","",IFERROR(VLOOKUP($B308,Kraftvärmeprod!$B$1:$BX$549,MATCH(R$2,Kraftvärmeprod!$B$1:$VX$1,0),FALSE)/1,0)-IFERROR(VLOOKUP($B308,'Slutlig allokering kvv'!$B$2:$BX$549,MATCH(R$2,'Slutlig allokering kvv'!$B$1:$BX$1,0),FALSE)/1,0))</f>
        <v/>
      </c>
      <c r="S308" s="121" t="str">
        <f>IF($D308="","",IFERROR(VLOOKUP($B308,Kraftvärmeprod!$B$1:$BX$549,MATCH(S$2,Kraftvärmeprod!$B$1:$VX$1,0),FALSE)/1,0)-IFERROR(VLOOKUP($B308,'Slutlig allokering kvv'!$B$2:$BX$549,MATCH(S$2,'Slutlig allokering kvv'!$B$1:$BX$1,0),FALSE)/1,0))</f>
        <v/>
      </c>
      <c r="T308" s="121" t="str">
        <f>IF($D308="","",IFERROR(VLOOKUP($B308,Kraftvärmeprod!$B$1:$BX$549,MATCH(T$2,Kraftvärmeprod!$B$1:$VX$1,0),FALSE)/1,0)-IFERROR(VLOOKUP($B308,'Slutlig allokering kvv'!$B$2:$BX$549,MATCH(T$2,'Slutlig allokering kvv'!$B$1:$BX$1,0),FALSE)/1,0))</f>
        <v/>
      </c>
      <c r="U308" s="121" t="str">
        <f>IF($D308="","",IFERROR(VLOOKUP($B308,Kraftvärmeprod!$B$1:$BX$549,MATCH(U$2,Kraftvärmeprod!$B$1:$VX$1,0),FALSE)/1,0)-IFERROR(VLOOKUP($B308,'Slutlig allokering kvv'!$B$2:$BX$549,MATCH(U$2,'Slutlig allokering kvv'!$B$1:$BX$1,0),FALSE)/1,0))</f>
        <v/>
      </c>
      <c r="V308" s="121" t="str">
        <f>IF($D308="","",IFERROR(VLOOKUP($B308,Kraftvärmeprod!$B$1:$BX$549,MATCH(V$2,Kraftvärmeprod!$B$1:$VX$1,0),FALSE)/1,0)-IFERROR(VLOOKUP($B308,'Slutlig allokering kvv'!$B$2:$BX$549,MATCH(V$2,'Slutlig allokering kvv'!$B$1:$BX$1,0),FALSE)/1,0))</f>
        <v/>
      </c>
      <c r="W308" s="121" t="str">
        <f>IF($D308="","",IFERROR(VLOOKUP($B308,Kraftvärmeprod!$B$1:$BX$549,MATCH(W$2,Kraftvärmeprod!$B$1:$VX$1,0),FALSE)/1,0)-IFERROR(VLOOKUP($B308,'Slutlig allokering kvv'!$B$2:$BX$549,MATCH(W$2,'Slutlig allokering kvv'!$B$1:$BX$1,0),FALSE)/1,0))</f>
        <v/>
      </c>
      <c r="X308" s="121" t="str">
        <f>IF($D308="","",IFERROR(VLOOKUP($B308,Kraftvärmeprod!$B$1:$BX$549,MATCH(X$2,Kraftvärmeprod!$B$1:$VX$1,0),FALSE)/1,0)-IFERROR(VLOOKUP($B308,'Slutlig allokering kvv'!$B$2:$BX$549,MATCH(X$2,'Slutlig allokering kvv'!$B$1:$BX$1,0),FALSE)/1,0))</f>
        <v/>
      </c>
      <c r="Y308" s="121" t="str">
        <f>IF($D308="","",IFERROR(VLOOKUP($B308,Kraftvärmeprod!$B$1:$BX$549,MATCH(Y$2,Kraftvärmeprod!$B$1:$VX$1,0),FALSE)/1,0)-IFERROR(VLOOKUP($B308,'Slutlig allokering kvv'!$B$2:$BX$549,MATCH(Y$2,'Slutlig allokering kvv'!$B$1:$BX$1,0),FALSE)/1,0))</f>
        <v/>
      </c>
      <c r="Z308" s="121" t="str">
        <f>IF($D308="","",IFERROR(VLOOKUP($B308,Kraftvärmeprod!$B$1:$BX$549,MATCH(Z$2,Kraftvärmeprod!$B$1:$VX$1,0),FALSE)/1,0)-IFERROR(VLOOKUP($B308,'Slutlig allokering kvv'!$B$2:$BX$549,MATCH(Z$2,'Slutlig allokering kvv'!$B$1:$BX$1,0),FALSE)/1,0))</f>
        <v/>
      </c>
      <c r="AA308" s="121" t="str">
        <f>IF($D308="","",IFERROR(VLOOKUP($B308,Kraftvärmeprod!$B$1:$BX$549,MATCH(AA$2,Kraftvärmeprod!$B$1:$VX$1,0),FALSE)/1,0)-IFERROR(VLOOKUP($B308,'Slutlig allokering kvv'!$B$2:$BX$549,MATCH(AA$2,'Slutlig allokering kvv'!$B$1:$BX$1,0),FALSE)/1,0))</f>
        <v/>
      </c>
      <c r="AB308" s="121" t="str">
        <f>IF($D308="","",IFERROR(VLOOKUP($B308,Kraftvärmeprod!$B$1:$BX$549,MATCH(AB$2,Kraftvärmeprod!$B$1:$VX$1,0),FALSE)/1,0)-IFERROR(VLOOKUP($B308,'Slutlig allokering kvv'!$B$2:$BX$549,MATCH(AB$2,'Slutlig allokering kvv'!$B$1:$BX$1,0),FALSE)/1,0))</f>
        <v/>
      </c>
      <c r="AC308" s="121" t="str">
        <f>IF($D308="","",IFERROR(VLOOKUP($B308,Kraftvärmeprod!$B$1:$BX$549,MATCH(AC$2,Kraftvärmeprod!$B$1:$VX$1,0),FALSE)/1,0)-IFERROR(VLOOKUP($B308,'Slutlig allokering kvv'!$B$2:$BX$549,MATCH(AC$2,'Slutlig allokering kvv'!$B$1:$BX$1,0),FALSE)/1,0))</f>
        <v/>
      </c>
      <c r="AD308" s="121" t="str">
        <f>IF($D308="","",IFERROR(VLOOKUP($B308,Kraftvärmeprod!$B$1:$BX$549,MATCH(AD$2,Kraftvärmeprod!$B$1:$VX$1,0),FALSE)/1,0)-IFERROR(VLOOKUP($B308,'Slutlig allokering kvv'!$B$2:$BX$549,MATCH(AD$2,'Slutlig allokering kvv'!$B$1:$BX$1,0),FALSE)/1,0))</f>
        <v/>
      </c>
      <c r="AE308" s="121" t="str">
        <f>IF($D308="","",IFERROR(VLOOKUP($B308,Miljö!$B$1:$E$550,MATCH("Hjälpel kraftvärme (GWh)",Miljö!$B$1:$E$1,0),FALSE)/1,0)-IFERROR(VLOOKUP($B308,'Slutlig allokering kvv'!$B$2:$BX$549,MATCH(AE$2,'Slutlig allokering kvv'!$B$1:$BX$1,0),FALSE)/1,0))</f>
        <v/>
      </c>
      <c r="AI308" s="121">
        <f t="shared" si="16"/>
        <v>0</v>
      </c>
      <c r="AK308" s="121">
        <f>IFERROR(VLOOKUP($B308,'Slutlig allokering kvv'!$B$2:$AX$549,MATCH("Summa slutlig allokerad tillförd energi (utan hjälpel och rökgaskondensering):",'Slutlig allokering kvv'!$B$1:$AX$1,0),FALSE)/1,"")</f>
        <v>0</v>
      </c>
      <c r="AM308" s="172" t="str">
        <f>IFERROR(1-VLOOKUP($B308,'Slutlig allokering kvv'!$B$2:$AX$549,MATCH("Andel av bränsle i kvv som allokerats till värme, exklusive rökgaskondensering och hjälpel",'Slutlig allokering kvv'!$B$1:$AX$1,0),FALSE),"")</f>
        <v/>
      </c>
      <c r="AO308" s="172" t="str">
        <f t="shared" si="17"/>
        <v/>
      </c>
      <c r="AP308" s="173" t="str">
        <f t="shared" si="18"/>
        <v/>
      </c>
      <c r="AR308" s="172" t="str">
        <f t="shared" si="19"/>
        <v/>
      </c>
    </row>
    <row r="309" spans="1:44" x14ac:dyDescent="0.25">
      <c r="A309" s="171" t="str">
        <f>'Miljövärden för publ företag'!B311</f>
        <v>Vimmerby Energi &amp; Miljö AB</v>
      </c>
      <c r="B309" s="171" t="str">
        <f>'Miljövärden för publ företag'!C311</f>
        <v>Vimmerby</v>
      </c>
      <c r="C309" s="121">
        <f>IFERROR(VLOOKUP($B309,Kraftvärmeprod!$B$1:$AH$478,MATCH(C$2,Kraftvärmeprod!$B$1:$AG$1,0),FALSE)/1,"")</f>
        <v>94.37</v>
      </c>
      <c r="D309" s="121">
        <f>IFERROR(VLOOKUP($B309,Kraftvärmeprod!$B$1:$AH$478,MATCH(D$2,Kraftvärmeprod!$B$1:$AG$1,0),FALSE)/1,"")</f>
        <v>22.93</v>
      </c>
      <c r="F309" s="121">
        <f>IF($D309="","",IFERROR(VLOOKUP($B309,Kraftvärmeprod!$B$1:$BX$549,MATCH(F$2,Kraftvärmeprod!$B$1:$VX$1,0),FALSE)/1,0)-IFERROR(VLOOKUP($B309,'Slutlig allokering kvv'!$B$2:$BX$549,MATCH(F$2,'Slutlig allokering kvv'!$B$1:$BX$1,0),FALSE)/1,0))</f>
        <v>0</v>
      </c>
      <c r="G309" s="121">
        <f>IF($D309="","",IFERROR(VLOOKUP($B309,Kraftvärmeprod!$B$1:$BX$549,MATCH(G$2,Kraftvärmeprod!$B$1:$VX$1,0),FALSE)/1,0)-IFERROR(VLOOKUP($B309,'Slutlig allokering kvv'!$B$2:$BX$549,MATCH(G$2,'Slutlig allokering kvv'!$B$1:$BX$1,0),FALSE)/1,0))</f>
        <v>0</v>
      </c>
      <c r="H309" s="121">
        <f>IF($D309="","",IFERROR(VLOOKUP($B309,Kraftvärmeprod!$B$1:$BX$549,MATCH(H$2,Kraftvärmeprod!$B$1:$VX$1,0),FALSE)/1,0)-IFERROR(VLOOKUP($B309,'Slutlig allokering kvv'!$B$2:$BX$549,MATCH(H$2,'Slutlig allokering kvv'!$B$1:$BX$1,0),FALSE)/1,0))</f>
        <v>0</v>
      </c>
      <c r="I309" s="121">
        <f>IF($D309="","",IFERROR(VLOOKUP($B309,Kraftvärmeprod!$B$1:$BX$549,MATCH(I$2,Kraftvärmeprod!$B$1:$VX$1,0),FALSE)/1,0)-IFERROR(VLOOKUP($B309,'Slutlig allokering kvv'!$B$2:$BX$549,MATCH(I$2,'Slutlig allokering kvv'!$B$1:$BX$1,0),FALSE)/1,0))</f>
        <v>0</v>
      </c>
      <c r="J309" s="121">
        <f>IF($D309="","",IFERROR(VLOOKUP($B309,Kraftvärmeprod!$B$1:$BX$549,MATCH(J$2,Kraftvärmeprod!$B$1:$VX$1,0),FALSE)/1,0)-IFERROR(VLOOKUP($B309,'Slutlig allokering kvv'!$B$2:$BX$549,MATCH(J$2,'Slutlig allokering kvv'!$B$1:$BX$1,0),FALSE)/1,0))</f>
        <v>0</v>
      </c>
      <c r="K309" s="121">
        <f>IF($D309="","",IFERROR(VLOOKUP($B309,Kraftvärmeprod!$B$1:$BX$549,MATCH(K$2,Kraftvärmeprod!$B$1:$VX$1,0),FALSE)/1,0)-IFERROR(VLOOKUP($B309,'Slutlig allokering kvv'!$B$2:$BX$549,MATCH(K$2,'Slutlig allokering kvv'!$B$1:$BX$1,0),FALSE)/1,0))</f>
        <v>0</v>
      </c>
      <c r="L309" s="121">
        <f>IF($D309="","",IFERROR(VLOOKUP($B309,Kraftvärmeprod!$B$1:$BX$549,MATCH(L$2,Kraftvärmeprod!$B$1:$VX$1,0),FALSE)/1,0)-IFERROR(VLOOKUP($B309,'Slutlig allokering kvv'!$B$2:$BX$549,MATCH(L$2,'Slutlig allokering kvv'!$B$1:$BX$1,0),FALSE)/1,0))</f>
        <v>31.447400000000002</v>
      </c>
      <c r="M309" s="121">
        <f>IF($D309="","",IFERROR(VLOOKUP($B309,Kraftvärmeprod!$B$1:$BX$549,MATCH(M$2,Kraftvärmeprod!$B$1:$VX$1,0),FALSE)/1,0)-IFERROR(VLOOKUP($B309,'Slutlig allokering kvv'!$B$2:$BX$549,MATCH(M$2,'Slutlig allokering kvv'!$B$1:$BX$1,0),FALSE)/1,0))</f>
        <v>22.1113</v>
      </c>
      <c r="N309" s="121">
        <f>IF($D309="","",IFERROR(VLOOKUP($B309,Kraftvärmeprod!$B$1:$BX$549,MATCH(N$2,Kraftvärmeprod!$B$1:$VX$1,0),FALSE)/1,0)-IFERROR(VLOOKUP($B309,'Slutlig allokering kvv'!$B$2:$BX$549,MATCH(N$2,'Slutlig allokering kvv'!$B$1:$BX$1,0),FALSE)/1,0))</f>
        <v>0</v>
      </c>
      <c r="O309" s="121">
        <f>IF($D309="","",IFERROR(VLOOKUP($B309,Kraftvärmeprod!$B$1:$BX$549,MATCH(O$2,Kraftvärmeprod!$B$1:$VX$1,0),FALSE)/1,0)-IFERROR(VLOOKUP($B309,'Slutlig allokering kvv'!$B$2:$BX$549,MATCH(O$2,'Slutlig allokering kvv'!$B$1:$BX$1,0),FALSE)/1,0))</f>
        <v>0</v>
      </c>
      <c r="P309" s="121">
        <f>IF($D309="","",IFERROR(VLOOKUP($B309,Kraftvärmeprod!$B$1:$BX$549,MATCH(P$2,Kraftvärmeprod!$B$1:$VX$1,0),FALSE)/1,0)-IFERROR(VLOOKUP($B309,'Slutlig allokering kvv'!$B$2:$BX$549,MATCH(P$2,'Slutlig allokering kvv'!$B$1:$BX$1,0),FALSE)/1,0))</f>
        <v>0</v>
      </c>
      <c r="Q309" s="121">
        <f>IF($D309="","",IFERROR(VLOOKUP($B309,Kraftvärmeprod!$B$1:$BX$549,MATCH(Q$2,Kraftvärmeprod!$B$1:$VX$1,0),FALSE)/1,0)-IFERROR(VLOOKUP($B309,'Slutlig allokering kvv'!$B$2:$BX$549,MATCH(Q$2,'Slutlig allokering kvv'!$B$1:$BX$1,0),FALSE)/1,0))</f>
        <v>3.60573E-2</v>
      </c>
      <c r="R309" s="121">
        <f>IF($D309="","",IFERROR(VLOOKUP($B309,Kraftvärmeprod!$B$1:$BX$549,MATCH(R$2,Kraftvärmeprod!$B$1:$VX$1,0),FALSE)/1,0)-IFERROR(VLOOKUP($B309,'Slutlig allokering kvv'!$B$2:$BX$549,MATCH(R$2,'Slutlig allokering kvv'!$B$1:$BX$1,0),FALSE)/1,0))</f>
        <v>0</v>
      </c>
      <c r="S309" s="121">
        <f>IF($D309="","",IFERROR(VLOOKUP($B309,Kraftvärmeprod!$B$1:$BX$549,MATCH(S$2,Kraftvärmeprod!$B$1:$VX$1,0),FALSE)/1,0)-IFERROR(VLOOKUP($B309,'Slutlig allokering kvv'!$B$2:$BX$549,MATCH(S$2,'Slutlig allokering kvv'!$B$1:$BX$1,0),FALSE)/1,0))</f>
        <v>0</v>
      </c>
      <c r="T309" s="121">
        <f>IF($D309="","",IFERROR(VLOOKUP($B309,Kraftvärmeprod!$B$1:$BX$549,MATCH(T$2,Kraftvärmeprod!$B$1:$VX$1,0),FALSE)/1,0)-IFERROR(VLOOKUP($B309,'Slutlig allokering kvv'!$B$2:$BX$549,MATCH(T$2,'Slutlig allokering kvv'!$B$1:$BX$1,0),FALSE)/1,0))</f>
        <v>0</v>
      </c>
      <c r="U309" s="121">
        <f>IF($D309="","",IFERROR(VLOOKUP($B309,Kraftvärmeprod!$B$1:$BX$549,MATCH(U$2,Kraftvärmeprod!$B$1:$VX$1,0),FALSE)/1,0)-IFERROR(VLOOKUP($B309,'Slutlig allokering kvv'!$B$2:$BX$549,MATCH(U$2,'Slutlig allokering kvv'!$B$1:$BX$1,0),FALSE)/1,0))</f>
        <v>0</v>
      </c>
      <c r="V309" s="121">
        <f>IF($D309="","",IFERROR(VLOOKUP($B309,Kraftvärmeprod!$B$1:$BX$549,MATCH(V$2,Kraftvärmeprod!$B$1:$VX$1,0),FALSE)/1,0)-IFERROR(VLOOKUP($B309,'Slutlig allokering kvv'!$B$2:$BX$549,MATCH(V$2,'Slutlig allokering kvv'!$B$1:$BX$1,0),FALSE)/1,0))</f>
        <v>0</v>
      </c>
      <c r="W309" s="121">
        <f>IF($D309="","",IFERROR(VLOOKUP($B309,Kraftvärmeprod!$B$1:$BX$549,MATCH(W$2,Kraftvärmeprod!$B$1:$VX$1,0),FALSE)/1,0)-IFERROR(VLOOKUP($B309,'Slutlig allokering kvv'!$B$2:$BX$549,MATCH(W$2,'Slutlig allokering kvv'!$B$1:$BX$1,0),FALSE)/1,0))</f>
        <v>0</v>
      </c>
      <c r="X309" s="121">
        <f>IF($D309="","",IFERROR(VLOOKUP($B309,Kraftvärmeprod!$B$1:$BX$549,MATCH(X$2,Kraftvärmeprod!$B$1:$VX$1,0),FALSE)/1,0)-IFERROR(VLOOKUP($B309,'Slutlig allokering kvv'!$B$2:$BX$549,MATCH(X$2,'Slutlig allokering kvv'!$B$1:$BX$1,0),FALSE)/1,0))</f>
        <v>0</v>
      </c>
      <c r="Y309" s="121">
        <f>IF($D309="","",IFERROR(VLOOKUP($B309,Kraftvärmeprod!$B$1:$BX$549,MATCH(Y$2,Kraftvärmeprod!$B$1:$VX$1,0),FALSE)/1,0)-IFERROR(VLOOKUP($B309,'Slutlig allokering kvv'!$B$2:$BX$549,MATCH(Y$2,'Slutlig allokering kvv'!$B$1:$BX$1,0),FALSE)/1,0))</f>
        <v>0</v>
      </c>
      <c r="Z309" s="121">
        <f>IF($D309="","",IFERROR(VLOOKUP($B309,Kraftvärmeprod!$B$1:$BX$549,MATCH(Z$2,Kraftvärmeprod!$B$1:$VX$1,0),FALSE)/1,0)-IFERROR(VLOOKUP($B309,'Slutlig allokering kvv'!$B$2:$BX$549,MATCH(Z$2,'Slutlig allokering kvv'!$B$1:$BX$1,0),FALSE)/1,0))</f>
        <v>0</v>
      </c>
      <c r="AA309" s="121">
        <f>IF($D309="","",IFERROR(VLOOKUP($B309,Kraftvärmeprod!$B$1:$BX$549,MATCH(AA$2,Kraftvärmeprod!$B$1:$VX$1,0),FALSE)/1,0)-IFERROR(VLOOKUP($B309,'Slutlig allokering kvv'!$B$2:$BX$549,MATCH(AA$2,'Slutlig allokering kvv'!$B$1:$BX$1,0),FALSE)/1,0))</f>
        <v>0</v>
      </c>
      <c r="AB309" s="121">
        <f>IF($D309="","",IFERROR(VLOOKUP($B309,Kraftvärmeprod!$B$1:$BX$549,MATCH(AB$2,Kraftvärmeprod!$B$1:$VX$1,0),FALSE)/1,0)-IFERROR(VLOOKUP($B309,'Slutlig allokering kvv'!$B$2:$BX$549,MATCH(AB$2,'Slutlig allokering kvv'!$B$1:$BX$1,0),FALSE)/1,0))</f>
        <v>0</v>
      </c>
      <c r="AC309" s="121">
        <f>IF($D309="","",IFERROR(VLOOKUP($B309,Kraftvärmeprod!$B$1:$BX$549,MATCH(AC$2,Kraftvärmeprod!$B$1:$VX$1,0),FALSE)/1,0)-IFERROR(VLOOKUP($B309,'Slutlig allokering kvv'!$B$2:$BX$549,MATCH(AC$2,'Slutlig allokering kvv'!$B$1:$BX$1,0),FALSE)/1,0))</f>
        <v>0</v>
      </c>
      <c r="AD309" s="121">
        <f>IF($D309="","",IFERROR(VLOOKUP($B309,Kraftvärmeprod!$B$1:$BX$549,MATCH(AD$2,Kraftvärmeprod!$B$1:$VX$1,0),FALSE)/1,0)-IFERROR(VLOOKUP($B309,'Slutlig allokering kvv'!$B$2:$BX$549,MATCH(AD$2,'Slutlig allokering kvv'!$B$1:$BX$1,0),FALSE)/1,0))</f>
        <v>0</v>
      </c>
      <c r="AE309" s="121">
        <f>IF($D309="","",IFERROR(VLOOKUP($B309,Miljö!$B$1:$E$550,MATCH("Hjälpel kraftvärme (GWh)",Miljö!$B$1:$E$1,0),FALSE)/1,0)-IFERROR(VLOOKUP($B309,'Slutlig allokering kvv'!$B$2:$BX$549,MATCH(AE$2,'Slutlig allokering kvv'!$B$1:$BX$1,0),FALSE)/1,0))</f>
        <v>0.28845900000000002</v>
      </c>
      <c r="AI309" s="121">
        <f t="shared" si="16"/>
        <v>53.594757300000005</v>
      </c>
      <c r="AK309" s="121">
        <f>IFERROR(VLOOKUP($B309,'Slutlig allokering kvv'!$B$2:$AX$549,MATCH("Summa slutlig allokerad tillförd energi (utan hjälpel och rökgaskondensering):",'Slutlig allokering kvv'!$B$1:$AX$1,0),FALSE)/1,"")</f>
        <v>84.638242699999978</v>
      </c>
      <c r="AM309" s="172">
        <f>IFERROR(1-VLOOKUP($B309,'Slutlig allokering kvv'!$B$2:$AX$549,MATCH("Andel av bränsle i kvv som allokerats till värme, exklusive rökgaskondensering och hjälpel",'Slutlig allokering kvv'!$B$1:$AX$1,0),FALSE),"")</f>
        <v>0.38771318932526966</v>
      </c>
      <c r="AO309" s="172">
        <f t="shared" si="17"/>
        <v>0.38771318932526977</v>
      </c>
      <c r="AP309" s="173">
        <f t="shared" si="18"/>
        <v>-1.1102230246251565E-16</v>
      </c>
      <c r="AR309" s="172">
        <f t="shared" si="19"/>
        <v>0.42554994995723738</v>
      </c>
    </row>
    <row r="310" spans="1:44" x14ac:dyDescent="0.25">
      <c r="A310" s="171" t="str">
        <f>'Miljövärden för publ företag'!B312</f>
        <v>VänerEnergi AB</v>
      </c>
      <c r="B310" s="171" t="str">
        <f>'Miljövärden för publ företag'!C312</f>
        <v>Lyrestad</v>
      </c>
      <c r="C310" s="121" t="str">
        <f>IFERROR(VLOOKUP($B310,Kraftvärmeprod!$B$1:$AH$478,MATCH(C$2,Kraftvärmeprod!$B$1:$AG$1,0),FALSE)/1,"")</f>
        <v/>
      </c>
      <c r="D310" s="121" t="str">
        <f>IFERROR(VLOOKUP($B310,Kraftvärmeprod!$B$1:$AH$478,MATCH(D$2,Kraftvärmeprod!$B$1:$AG$1,0),FALSE)/1,"")</f>
        <v/>
      </c>
      <c r="F310" s="121" t="str">
        <f>IF($D310="","",IFERROR(VLOOKUP($B310,Kraftvärmeprod!$B$1:$BX$549,MATCH(F$2,Kraftvärmeprod!$B$1:$VX$1,0),FALSE)/1,0)-IFERROR(VLOOKUP($B310,'Slutlig allokering kvv'!$B$2:$BX$549,MATCH(F$2,'Slutlig allokering kvv'!$B$1:$BX$1,0),FALSE)/1,0))</f>
        <v/>
      </c>
      <c r="G310" s="121" t="str">
        <f>IF($D310="","",IFERROR(VLOOKUP($B310,Kraftvärmeprod!$B$1:$BX$549,MATCH(G$2,Kraftvärmeprod!$B$1:$VX$1,0),FALSE)/1,0)-IFERROR(VLOOKUP($B310,'Slutlig allokering kvv'!$B$2:$BX$549,MATCH(G$2,'Slutlig allokering kvv'!$B$1:$BX$1,0),FALSE)/1,0))</f>
        <v/>
      </c>
      <c r="H310" s="121" t="str">
        <f>IF($D310="","",IFERROR(VLOOKUP($B310,Kraftvärmeprod!$B$1:$BX$549,MATCH(H$2,Kraftvärmeprod!$B$1:$VX$1,0),FALSE)/1,0)-IFERROR(VLOOKUP($B310,'Slutlig allokering kvv'!$B$2:$BX$549,MATCH(H$2,'Slutlig allokering kvv'!$B$1:$BX$1,0),FALSE)/1,0))</f>
        <v/>
      </c>
      <c r="I310" s="121" t="str">
        <f>IF($D310="","",IFERROR(VLOOKUP($B310,Kraftvärmeprod!$B$1:$BX$549,MATCH(I$2,Kraftvärmeprod!$B$1:$VX$1,0),FALSE)/1,0)-IFERROR(VLOOKUP($B310,'Slutlig allokering kvv'!$B$2:$BX$549,MATCH(I$2,'Slutlig allokering kvv'!$B$1:$BX$1,0),FALSE)/1,0))</f>
        <v/>
      </c>
      <c r="J310" s="121" t="str">
        <f>IF($D310="","",IFERROR(VLOOKUP($B310,Kraftvärmeprod!$B$1:$BX$549,MATCH(J$2,Kraftvärmeprod!$B$1:$VX$1,0),FALSE)/1,0)-IFERROR(VLOOKUP($B310,'Slutlig allokering kvv'!$B$2:$BX$549,MATCH(J$2,'Slutlig allokering kvv'!$B$1:$BX$1,0),FALSE)/1,0))</f>
        <v/>
      </c>
      <c r="K310" s="121" t="str">
        <f>IF($D310="","",IFERROR(VLOOKUP($B310,Kraftvärmeprod!$B$1:$BX$549,MATCH(K$2,Kraftvärmeprod!$B$1:$VX$1,0),FALSE)/1,0)-IFERROR(VLOOKUP($B310,'Slutlig allokering kvv'!$B$2:$BX$549,MATCH(K$2,'Slutlig allokering kvv'!$B$1:$BX$1,0),FALSE)/1,0))</f>
        <v/>
      </c>
      <c r="L310" s="121" t="str">
        <f>IF($D310="","",IFERROR(VLOOKUP($B310,Kraftvärmeprod!$B$1:$BX$549,MATCH(L$2,Kraftvärmeprod!$B$1:$VX$1,0),FALSE)/1,0)-IFERROR(VLOOKUP($B310,'Slutlig allokering kvv'!$B$2:$BX$549,MATCH(L$2,'Slutlig allokering kvv'!$B$1:$BX$1,0),FALSE)/1,0))</f>
        <v/>
      </c>
      <c r="M310" s="121" t="str">
        <f>IF($D310="","",IFERROR(VLOOKUP($B310,Kraftvärmeprod!$B$1:$BX$549,MATCH(M$2,Kraftvärmeprod!$B$1:$VX$1,0),FALSE)/1,0)-IFERROR(VLOOKUP($B310,'Slutlig allokering kvv'!$B$2:$BX$549,MATCH(M$2,'Slutlig allokering kvv'!$B$1:$BX$1,0),FALSE)/1,0))</f>
        <v/>
      </c>
      <c r="N310" s="121" t="str">
        <f>IF($D310="","",IFERROR(VLOOKUP($B310,Kraftvärmeprod!$B$1:$BX$549,MATCH(N$2,Kraftvärmeprod!$B$1:$VX$1,0),FALSE)/1,0)-IFERROR(VLOOKUP($B310,'Slutlig allokering kvv'!$B$2:$BX$549,MATCH(N$2,'Slutlig allokering kvv'!$B$1:$BX$1,0),FALSE)/1,0))</f>
        <v/>
      </c>
      <c r="O310" s="121" t="str">
        <f>IF($D310="","",IFERROR(VLOOKUP($B310,Kraftvärmeprod!$B$1:$BX$549,MATCH(O$2,Kraftvärmeprod!$B$1:$VX$1,0),FALSE)/1,0)-IFERROR(VLOOKUP($B310,'Slutlig allokering kvv'!$B$2:$BX$549,MATCH(O$2,'Slutlig allokering kvv'!$B$1:$BX$1,0),FALSE)/1,0))</f>
        <v/>
      </c>
      <c r="P310" s="121" t="str">
        <f>IF($D310="","",IFERROR(VLOOKUP($B310,Kraftvärmeprod!$B$1:$BX$549,MATCH(P$2,Kraftvärmeprod!$B$1:$VX$1,0),FALSE)/1,0)-IFERROR(VLOOKUP($B310,'Slutlig allokering kvv'!$B$2:$BX$549,MATCH(P$2,'Slutlig allokering kvv'!$B$1:$BX$1,0),FALSE)/1,0))</f>
        <v/>
      </c>
      <c r="Q310" s="121" t="str">
        <f>IF($D310="","",IFERROR(VLOOKUP($B310,Kraftvärmeprod!$B$1:$BX$549,MATCH(Q$2,Kraftvärmeprod!$B$1:$VX$1,0),FALSE)/1,0)-IFERROR(VLOOKUP($B310,'Slutlig allokering kvv'!$B$2:$BX$549,MATCH(Q$2,'Slutlig allokering kvv'!$B$1:$BX$1,0),FALSE)/1,0))</f>
        <v/>
      </c>
      <c r="R310" s="121" t="str">
        <f>IF($D310="","",IFERROR(VLOOKUP($B310,Kraftvärmeprod!$B$1:$BX$549,MATCH(R$2,Kraftvärmeprod!$B$1:$VX$1,0),FALSE)/1,0)-IFERROR(VLOOKUP($B310,'Slutlig allokering kvv'!$B$2:$BX$549,MATCH(R$2,'Slutlig allokering kvv'!$B$1:$BX$1,0),FALSE)/1,0))</f>
        <v/>
      </c>
      <c r="S310" s="121" t="str">
        <f>IF($D310="","",IFERROR(VLOOKUP($B310,Kraftvärmeprod!$B$1:$BX$549,MATCH(S$2,Kraftvärmeprod!$B$1:$VX$1,0),FALSE)/1,0)-IFERROR(VLOOKUP($B310,'Slutlig allokering kvv'!$B$2:$BX$549,MATCH(S$2,'Slutlig allokering kvv'!$B$1:$BX$1,0),FALSE)/1,0))</f>
        <v/>
      </c>
      <c r="T310" s="121" t="str">
        <f>IF($D310="","",IFERROR(VLOOKUP($B310,Kraftvärmeprod!$B$1:$BX$549,MATCH(T$2,Kraftvärmeprod!$B$1:$VX$1,0),FALSE)/1,0)-IFERROR(VLOOKUP($B310,'Slutlig allokering kvv'!$B$2:$BX$549,MATCH(T$2,'Slutlig allokering kvv'!$B$1:$BX$1,0),FALSE)/1,0))</f>
        <v/>
      </c>
      <c r="U310" s="121" t="str">
        <f>IF($D310="","",IFERROR(VLOOKUP($B310,Kraftvärmeprod!$B$1:$BX$549,MATCH(U$2,Kraftvärmeprod!$B$1:$VX$1,0),FALSE)/1,0)-IFERROR(VLOOKUP($B310,'Slutlig allokering kvv'!$B$2:$BX$549,MATCH(U$2,'Slutlig allokering kvv'!$B$1:$BX$1,0),FALSE)/1,0))</f>
        <v/>
      </c>
      <c r="V310" s="121" t="str">
        <f>IF($D310="","",IFERROR(VLOOKUP($B310,Kraftvärmeprod!$B$1:$BX$549,MATCH(V$2,Kraftvärmeprod!$B$1:$VX$1,0),FALSE)/1,0)-IFERROR(VLOOKUP($B310,'Slutlig allokering kvv'!$B$2:$BX$549,MATCH(V$2,'Slutlig allokering kvv'!$B$1:$BX$1,0),FALSE)/1,0))</f>
        <v/>
      </c>
      <c r="W310" s="121" t="str">
        <f>IF($D310="","",IFERROR(VLOOKUP($B310,Kraftvärmeprod!$B$1:$BX$549,MATCH(W$2,Kraftvärmeprod!$B$1:$VX$1,0),FALSE)/1,0)-IFERROR(VLOOKUP($B310,'Slutlig allokering kvv'!$B$2:$BX$549,MATCH(W$2,'Slutlig allokering kvv'!$B$1:$BX$1,0),FALSE)/1,0))</f>
        <v/>
      </c>
      <c r="X310" s="121" t="str">
        <f>IF($D310="","",IFERROR(VLOOKUP($B310,Kraftvärmeprod!$B$1:$BX$549,MATCH(X$2,Kraftvärmeprod!$B$1:$VX$1,0),FALSE)/1,0)-IFERROR(VLOOKUP($B310,'Slutlig allokering kvv'!$B$2:$BX$549,MATCH(X$2,'Slutlig allokering kvv'!$B$1:$BX$1,0),FALSE)/1,0))</f>
        <v/>
      </c>
      <c r="Y310" s="121" t="str">
        <f>IF($D310="","",IFERROR(VLOOKUP($B310,Kraftvärmeprod!$B$1:$BX$549,MATCH(Y$2,Kraftvärmeprod!$B$1:$VX$1,0),FALSE)/1,0)-IFERROR(VLOOKUP($B310,'Slutlig allokering kvv'!$B$2:$BX$549,MATCH(Y$2,'Slutlig allokering kvv'!$B$1:$BX$1,0),FALSE)/1,0))</f>
        <v/>
      </c>
      <c r="Z310" s="121" t="str">
        <f>IF($D310="","",IFERROR(VLOOKUP($B310,Kraftvärmeprod!$B$1:$BX$549,MATCH(Z$2,Kraftvärmeprod!$B$1:$VX$1,0),FALSE)/1,0)-IFERROR(VLOOKUP($B310,'Slutlig allokering kvv'!$B$2:$BX$549,MATCH(Z$2,'Slutlig allokering kvv'!$B$1:$BX$1,0),FALSE)/1,0))</f>
        <v/>
      </c>
      <c r="AA310" s="121" t="str">
        <f>IF($D310="","",IFERROR(VLOOKUP($B310,Kraftvärmeprod!$B$1:$BX$549,MATCH(AA$2,Kraftvärmeprod!$B$1:$VX$1,0),FALSE)/1,0)-IFERROR(VLOOKUP($B310,'Slutlig allokering kvv'!$B$2:$BX$549,MATCH(AA$2,'Slutlig allokering kvv'!$B$1:$BX$1,0),FALSE)/1,0))</f>
        <v/>
      </c>
      <c r="AB310" s="121" t="str">
        <f>IF($D310="","",IFERROR(VLOOKUP($B310,Kraftvärmeprod!$B$1:$BX$549,MATCH(AB$2,Kraftvärmeprod!$B$1:$VX$1,0),FALSE)/1,0)-IFERROR(VLOOKUP($B310,'Slutlig allokering kvv'!$B$2:$BX$549,MATCH(AB$2,'Slutlig allokering kvv'!$B$1:$BX$1,0),FALSE)/1,0))</f>
        <v/>
      </c>
      <c r="AC310" s="121" t="str">
        <f>IF($D310="","",IFERROR(VLOOKUP($B310,Kraftvärmeprod!$B$1:$BX$549,MATCH(AC$2,Kraftvärmeprod!$B$1:$VX$1,0),FALSE)/1,0)-IFERROR(VLOOKUP($B310,'Slutlig allokering kvv'!$B$2:$BX$549,MATCH(AC$2,'Slutlig allokering kvv'!$B$1:$BX$1,0),FALSE)/1,0))</f>
        <v/>
      </c>
      <c r="AD310" s="121" t="str">
        <f>IF($D310="","",IFERROR(VLOOKUP($B310,Kraftvärmeprod!$B$1:$BX$549,MATCH(AD$2,Kraftvärmeprod!$B$1:$VX$1,0),FALSE)/1,0)-IFERROR(VLOOKUP($B310,'Slutlig allokering kvv'!$B$2:$BX$549,MATCH(AD$2,'Slutlig allokering kvv'!$B$1:$BX$1,0),FALSE)/1,0))</f>
        <v/>
      </c>
      <c r="AE310" s="121" t="str">
        <f>IF($D310="","",IFERROR(VLOOKUP($B310,Miljö!$B$1:$E$550,MATCH("Hjälpel kraftvärme (GWh)",Miljö!$B$1:$E$1,0),FALSE)/1,0)-IFERROR(VLOOKUP($B310,'Slutlig allokering kvv'!$B$2:$BX$549,MATCH(AE$2,'Slutlig allokering kvv'!$B$1:$BX$1,0),FALSE)/1,0))</f>
        <v/>
      </c>
      <c r="AI310" s="121">
        <f t="shared" si="16"/>
        <v>0</v>
      </c>
      <c r="AK310" s="121">
        <f>IFERROR(VLOOKUP($B310,'Slutlig allokering kvv'!$B$2:$AX$549,MATCH("Summa slutlig allokerad tillförd energi (utan hjälpel och rökgaskondensering):",'Slutlig allokering kvv'!$B$1:$AX$1,0),FALSE)/1,"")</f>
        <v>0</v>
      </c>
      <c r="AM310" s="172" t="str">
        <f>IFERROR(1-VLOOKUP($B310,'Slutlig allokering kvv'!$B$2:$AX$549,MATCH("Andel av bränsle i kvv som allokerats till värme, exklusive rökgaskondensering och hjälpel",'Slutlig allokering kvv'!$B$1:$AX$1,0),FALSE),"")</f>
        <v/>
      </c>
      <c r="AO310" s="172" t="str">
        <f t="shared" si="17"/>
        <v/>
      </c>
      <c r="AP310" s="173" t="str">
        <f t="shared" si="18"/>
        <v/>
      </c>
      <c r="AR310" s="172" t="str">
        <f t="shared" si="19"/>
        <v/>
      </c>
    </row>
    <row r="311" spans="1:44" x14ac:dyDescent="0.25">
      <c r="A311" s="171" t="str">
        <f>'Miljövärden för publ företag'!B313</f>
        <v>VänerEnergi AB</v>
      </c>
      <c r="B311" s="171" t="str">
        <f>'Miljövärden för publ företag'!C313</f>
        <v>Mariestad</v>
      </c>
      <c r="C311" s="121">
        <f>IFERROR(VLOOKUP($B311,Kraftvärmeprod!$B$1:$AH$478,MATCH(C$2,Kraftvärmeprod!$B$1:$AG$1,0),FALSE)/1,"")</f>
        <v>143</v>
      </c>
      <c r="D311" s="121">
        <f>IFERROR(VLOOKUP($B311,Kraftvärmeprod!$B$1:$AH$478,MATCH(D$2,Kraftvärmeprod!$B$1:$AG$1,0),FALSE)/1,"")</f>
        <v>23</v>
      </c>
      <c r="F311" s="121">
        <f>IF($D311="","",IFERROR(VLOOKUP($B311,Kraftvärmeprod!$B$1:$BX$549,MATCH(F$2,Kraftvärmeprod!$B$1:$VX$1,0),FALSE)/1,0)-IFERROR(VLOOKUP($B311,'Slutlig allokering kvv'!$B$2:$BX$549,MATCH(F$2,'Slutlig allokering kvv'!$B$1:$BX$1,0),FALSE)/1,0))</f>
        <v>0</v>
      </c>
      <c r="G311" s="121">
        <f>IF($D311="","",IFERROR(VLOOKUP($B311,Kraftvärmeprod!$B$1:$BX$549,MATCH(G$2,Kraftvärmeprod!$B$1:$VX$1,0),FALSE)/1,0)-IFERROR(VLOOKUP($B311,'Slutlig allokering kvv'!$B$2:$BX$549,MATCH(G$2,'Slutlig allokering kvv'!$B$1:$BX$1,0),FALSE)/1,0))</f>
        <v>1.2273700000000001</v>
      </c>
      <c r="H311" s="121">
        <f>IF($D311="","",IFERROR(VLOOKUP($B311,Kraftvärmeprod!$B$1:$BX$549,MATCH(H$2,Kraftvärmeprod!$B$1:$VX$1,0),FALSE)/1,0)-IFERROR(VLOOKUP($B311,'Slutlig allokering kvv'!$B$2:$BX$549,MATCH(H$2,'Slutlig allokering kvv'!$B$1:$BX$1,0),FALSE)/1,0))</f>
        <v>0</v>
      </c>
      <c r="I311" s="121">
        <f>IF($D311="","",IFERROR(VLOOKUP($B311,Kraftvärmeprod!$B$1:$BX$549,MATCH(I$2,Kraftvärmeprod!$B$1:$VX$1,0),FALSE)/1,0)-IFERROR(VLOOKUP($B311,'Slutlig allokering kvv'!$B$2:$BX$549,MATCH(I$2,'Slutlig allokering kvv'!$B$1:$BX$1,0),FALSE)/1,0))</f>
        <v>0</v>
      </c>
      <c r="J311" s="121">
        <f>IF($D311="","",IFERROR(VLOOKUP($B311,Kraftvärmeprod!$B$1:$BX$549,MATCH(J$2,Kraftvärmeprod!$B$1:$VX$1,0),FALSE)/1,0)-IFERROR(VLOOKUP($B311,'Slutlig allokering kvv'!$B$2:$BX$549,MATCH(J$2,'Slutlig allokering kvv'!$B$1:$BX$1,0),FALSE)/1,0))</f>
        <v>0</v>
      </c>
      <c r="K311" s="121">
        <f>IF($D311="","",IFERROR(VLOOKUP($B311,Kraftvärmeprod!$B$1:$BX$549,MATCH(K$2,Kraftvärmeprod!$B$1:$VX$1,0),FALSE)/1,0)-IFERROR(VLOOKUP($B311,'Slutlig allokering kvv'!$B$2:$BX$549,MATCH(K$2,'Slutlig allokering kvv'!$B$1:$BX$1,0),FALSE)/1,0))</f>
        <v>0</v>
      </c>
      <c r="L311" s="121">
        <f>IF($D311="","",IFERROR(VLOOKUP($B311,Kraftvärmeprod!$B$1:$BX$549,MATCH(L$2,Kraftvärmeprod!$B$1:$VX$1,0),FALSE)/1,0)-IFERROR(VLOOKUP($B311,'Slutlig allokering kvv'!$B$2:$BX$549,MATCH(L$2,'Slutlig allokering kvv'!$B$1:$BX$1,0),FALSE)/1,0))</f>
        <v>0</v>
      </c>
      <c r="M311" s="121">
        <f>IF($D311="","",IFERROR(VLOOKUP($B311,Kraftvärmeprod!$B$1:$BX$549,MATCH(M$2,Kraftvärmeprod!$B$1:$VX$1,0),FALSE)/1,0)-IFERROR(VLOOKUP($B311,'Slutlig allokering kvv'!$B$2:$BX$549,MATCH(M$2,'Slutlig allokering kvv'!$B$1:$BX$1,0),FALSE)/1,0))</f>
        <v>0</v>
      </c>
      <c r="N311" s="121">
        <f>IF($D311="","",IFERROR(VLOOKUP($B311,Kraftvärmeprod!$B$1:$BX$549,MATCH(N$2,Kraftvärmeprod!$B$1:$VX$1,0),FALSE)/1,0)-IFERROR(VLOOKUP($B311,'Slutlig allokering kvv'!$B$2:$BX$549,MATCH(N$2,'Slutlig allokering kvv'!$B$1:$BX$1,0),FALSE)/1,0))</f>
        <v>0</v>
      </c>
      <c r="O311" s="121">
        <f>IF($D311="","",IFERROR(VLOOKUP($B311,Kraftvärmeprod!$B$1:$BX$549,MATCH(O$2,Kraftvärmeprod!$B$1:$VX$1,0),FALSE)/1,0)-IFERROR(VLOOKUP($B311,'Slutlig allokering kvv'!$B$2:$BX$549,MATCH(O$2,'Slutlig allokering kvv'!$B$1:$BX$1,0),FALSE)/1,0))</f>
        <v>0</v>
      </c>
      <c r="P311" s="121">
        <f>IF($D311="","",IFERROR(VLOOKUP($B311,Kraftvärmeprod!$B$1:$BX$549,MATCH(P$2,Kraftvärmeprod!$B$1:$VX$1,0),FALSE)/1,0)-IFERROR(VLOOKUP($B311,'Slutlig allokering kvv'!$B$2:$BX$549,MATCH(P$2,'Slutlig allokering kvv'!$B$1:$BX$1,0),FALSE)/1,0))</f>
        <v>0</v>
      </c>
      <c r="Q311" s="121">
        <f>IF($D311="","",IFERROR(VLOOKUP($B311,Kraftvärmeprod!$B$1:$BX$549,MATCH(Q$2,Kraftvärmeprod!$B$1:$VX$1,0),FALSE)/1,0)-IFERROR(VLOOKUP($B311,'Slutlig allokering kvv'!$B$2:$BX$549,MATCH(Q$2,'Slutlig allokering kvv'!$B$1:$BX$1,0),FALSE)/1,0))</f>
        <v>0</v>
      </c>
      <c r="R311" s="121">
        <f>IF($D311="","",IFERROR(VLOOKUP($B311,Kraftvärmeprod!$B$1:$BX$549,MATCH(R$2,Kraftvärmeprod!$B$1:$VX$1,0),FALSE)/1,0)-IFERROR(VLOOKUP($B311,'Slutlig allokering kvv'!$B$2:$BX$549,MATCH(R$2,'Slutlig allokering kvv'!$B$1:$BX$1,0),FALSE)/1,0))</f>
        <v>0</v>
      </c>
      <c r="S311" s="121">
        <f>IF($D311="","",IFERROR(VLOOKUP($B311,Kraftvärmeprod!$B$1:$BX$549,MATCH(S$2,Kraftvärmeprod!$B$1:$VX$1,0),FALSE)/1,0)-IFERROR(VLOOKUP($B311,'Slutlig allokering kvv'!$B$2:$BX$549,MATCH(S$2,'Slutlig allokering kvv'!$B$1:$BX$1,0),FALSE)/1,0))</f>
        <v>0</v>
      </c>
      <c r="T311" s="121">
        <f>IF($D311="","",IFERROR(VLOOKUP($B311,Kraftvärmeprod!$B$1:$BX$549,MATCH(T$2,Kraftvärmeprod!$B$1:$VX$1,0),FALSE)/1,0)-IFERROR(VLOOKUP($B311,'Slutlig allokering kvv'!$B$2:$BX$549,MATCH(T$2,'Slutlig allokering kvv'!$B$1:$BX$1,0),FALSE)/1,0))</f>
        <v>0</v>
      </c>
      <c r="U311" s="121">
        <f>IF($D311="","",IFERROR(VLOOKUP($B311,Kraftvärmeprod!$B$1:$BX$549,MATCH(U$2,Kraftvärmeprod!$B$1:$VX$1,0),FALSE)/1,0)-IFERROR(VLOOKUP($B311,'Slutlig allokering kvv'!$B$2:$BX$549,MATCH(U$2,'Slutlig allokering kvv'!$B$1:$BX$1,0),FALSE)/1,0))</f>
        <v>0</v>
      </c>
      <c r="V311" s="121">
        <f>IF($D311="","",IFERROR(VLOOKUP($B311,Kraftvärmeprod!$B$1:$BX$549,MATCH(V$2,Kraftvärmeprod!$B$1:$VX$1,0),FALSE)/1,0)-IFERROR(VLOOKUP($B311,'Slutlig allokering kvv'!$B$2:$BX$549,MATCH(V$2,'Slutlig allokering kvv'!$B$1:$BX$1,0),FALSE)/1,0))</f>
        <v>43.417000000000002</v>
      </c>
      <c r="W311" s="121">
        <f>IF($D311="","",IFERROR(VLOOKUP($B311,Kraftvärmeprod!$B$1:$BX$549,MATCH(W$2,Kraftvärmeprod!$B$1:$VX$1,0),FALSE)/1,0)-IFERROR(VLOOKUP($B311,'Slutlig allokering kvv'!$B$2:$BX$549,MATCH(W$2,'Slutlig allokering kvv'!$B$1:$BX$1,0),FALSE)/1,0))</f>
        <v>0</v>
      </c>
      <c r="X311" s="121">
        <f>IF($D311="","",IFERROR(VLOOKUP($B311,Kraftvärmeprod!$B$1:$BX$549,MATCH(X$2,Kraftvärmeprod!$B$1:$VX$1,0),FALSE)/1,0)-IFERROR(VLOOKUP($B311,'Slutlig allokering kvv'!$B$2:$BX$549,MATCH(X$2,'Slutlig allokering kvv'!$B$1:$BX$1,0),FALSE)/1,0))</f>
        <v>0</v>
      </c>
      <c r="Y311" s="121">
        <f>IF($D311="","",IFERROR(VLOOKUP($B311,Kraftvärmeprod!$B$1:$BX$549,MATCH(Y$2,Kraftvärmeprod!$B$1:$VX$1,0),FALSE)/1,0)-IFERROR(VLOOKUP($B311,'Slutlig allokering kvv'!$B$2:$BX$549,MATCH(Y$2,'Slutlig allokering kvv'!$B$1:$BX$1,0),FALSE)/1,0))</f>
        <v>0</v>
      </c>
      <c r="Z311" s="121">
        <f>IF($D311="","",IFERROR(VLOOKUP($B311,Kraftvärmeprod!$B$1:$BX$549,MATCH(Z$2,Kraftvärmeprod!$B$1:$VX$1,0),FALSE)/1,0)-IFERROR(VLOOKUP($B311,'Slutlig allokering kvv'!$B$2:$BX$549,MATCH(Z$2,'Slutlig allokering kvv'!$B$1:$BX$1,0),FALSE)/1,0))</f>
        <v>0</v>
      </c>
      <c r="AA311" s="121">
        <f>IF($D311="","",IFERROR(VLOOKUP($B311,Kraftvärmeprod!$B$1:$BX$549,MATCH(AA$2,Kraftvärmeprod!$B$1:$VX$1,0),FALSE)/1,0)-IFERROR(VLOOKUP($B311,'Slutlig allokering kvv'!$B$2:$BX$549,MATCH(AA$2,'Slutlig allokering kvv'!$B$1:$BX$1,0),FALSE)/1,0))</f>
        <v>0</v>
      </c>
      <c r="AB311" s="121">
        <f>IF($D311="","",IFERROR(VLOOKUP($B311,Kraftvärmeprod!$B$1:$BX$549,MATCH(AB$2,Kraftvärmeprod!$B$1:$VX$1,0),FALSE)/1,0)-IFERROR(VLOOKUP($B311,'Slutlig allokering kvv'!$B$2:$BX$549,MATCH(AB$2,'Slutlig allokering kvv'!$B$1:$BX$1,0),FALSE)/1,0))</f>
        <v>0</v>
      </c>
      <c r="AC311" s="121">
        <f>IF($D311="","",IFERROR(VLOOKUP($B311,Kraftvärmeprod!$B$1:$BX$549,MATCH(AC$2,Kraftvärmeprod!$B$1:$VX$1,0),FALSE)/1,0)-IFERROR(VLOOKUP($B311,'Slutlig allokering kvv'!$B$2:$BX$549,MATCH(AC$2,'Slutlig allokering kvv'!$B$1:$BX$1,0),FALSE)/1,0))</f>
        <v>0</v>
      </c>
      <c r="AD311" s="121">
        <f>IF($D311="","",IFERROR(VLOOKUP($B311,Kraftvärmeprod!$B$1:$BX$549,MATCH(AD$2,Kraftvärmeprod!$B$1:$VX$1,0),FALSE)/1,0)-IFERROR(VLOOKUP($B311,'Slutlig allokering kvv'!$B$2:$BX$549,MATCH(AD$2,'Slutlig allokering kvv'!$B$1:$BX$1,0),FALSE)/1,0))</f>
        <v>0</v>
      </c>
      <c r="AE311" s="121">
        <f>IF($D311="","",IFERROR(VLOOKUP($B311,Miljö!$B$1:$E$550,MATCH("Hjälpel kraftvärme (GWh)",Miljö!$B$1:$E$1,0),FALSE)/1,0)-IFERROR(VLOOKUP($B311,'Slutlig allokering kvv'!$B$2:$BX$549,MATCH(AE$2,'Slutlig allokering kvv'!$B$1:$BX$1,0),FALSE)/1,0))</f>
        <v>0.93988000000000005</v>
      </c>
      <c r="AI311" s="121">
        <f t="shared" si="16"/>
        <v>44.644370000000002</v>
      </c>
      <c r="AK311" s="121">
        <f>IFERROR(VLOOKUP($B311,'Slutlig allokering kvv'!$B$2:$AX$549,MATCH("Summa slutlig allokerad tillförd energi (utan hjälpel och rökgaskondensering):",'Slutlig allokering kvv'!$B$1:$AX$1,0),FALSE)/1,"")</f>
        <v>107.35563000000002</v>
      </c>
      <c r="AM311" s="172">
        <f>IFERROR(1-VLOOKUP($B311,'Slutlig allokering kvv'!$B$2:$AX$549,MATCH("Andel av bränsle i kvv som allokerats till värme, exklusive rökgaskondensering och hjälpel",'Slutlig allokering kvv'!$B$1:$AX$1,0),FALSE),"")</f>
        <v>0.29371296052631568</v>
      </c>
      <c r="AO311" s="172">
        <f t="shared" si="17"/>
        <v>0.29371296052631574</v>
      </c>
      <c r="AP311" s="173">
        <f t="shared" si="18"/>
        <v>-5.5511151231257827E-17</v>
      </c>
      <c r="AR311" s="172">
        <f t="shared" si="19"/>
        <v>0.50456023736268552</v>
      </c>
    </row>
    <row r="312" spans="1:44" x14ac:dyDescent="0.25">
      <c r="A312" s="171" t="str">
        <f>'Miljövärden för publ företag'!B314</f>
        <v>VänerEnergi AB</v>
      </c>
      <c r="B312" s="171" t="str">
        <f>'Miljövärden för publ företag'!C314</f>
        <v>Töreboda</v>
      </c>
      <c r="C312" s="121" t="str">
        <f>IFERROR(VLOOKUP($B312,Kraftvärmeprod!$B$1:$AH$478,MATCH(C$2,Kraftvärmeprod!$B$1:$AG$1,0),FALSE)/1,"")</f>
        <v/>
      </c>
      <c r="D312" s="121" t="str">
        <f>IFERROR(VLOOKUP($B312,Kraftvärmeprod!$B$1:$AH$478,MATCH(D$2,Kraftvärmeprod!$B$1:$AG$1,0),FALSE)/1,"")</f>
        <v/>
      </c>
      <c r="F312" s="121" t="str">
        <f>IF($D312="","",IFERROR(VLOOKUP($B312,Kraftvärmeprod!$B$1:$BX$549,MATCH(F$2,Kraftvärmeprod!$B$1:$VX$1,0),FALSE)/1,0)-IFERROR(VLOOKUP($B312,'Slutlig allokering kvv'!$B$2:$BX$549,MATCH(F$2,'Slutlig allokering kvv'!$B$1:$BX$1,0),FALSE)/1,0))</f>
        <v/>
      </c>
      <c r="G312" s="121" t="str">
        <f>IF($D312="","",IFERROR(VLOOKUP($B312,Kraftvärmeprod!$B$1:$BX$549,MATCH(G$2,Kraftvärmeprod!$B$1:$VX$1,0),FALSE)/1,0)-IFERROR(VLOOKUP($B312,'Slutlig allokering kvv'!$B$2:$BX$549,MATCH(G$2,'Slutlig allokering kvv'!$B$1:$BX$1,0),FALSE)/1,0))</f>
        <v/>
      </c>
      <c r="H312" s="121" t="str">
        <f>IF($D312="","",IFERROR(VLOOKUP($B312,Kraftvärmeprod!$B$1:$BX$549,MATCH(H$2,Kraftvärmeprod!$B$1:$VX$1,0),FALSE)/1,0)-IFERROR(VLOOKUP($B312,'Slutlig allokering kvv'!$B$2:$BX$549,MATCH(H$2,'Slutlig allokering kvv'!$B$1:$BX$1,0),FALSE)/1,0))</f>
        <v/>
      </c>
      <c r="I312" s="121" t="str">
        <f>IF($D312="","",IFERROR(VLOOKUP($B312,Kraftvärmeprod!$B$1:$BX$549,MATCH(I$2,Kraftvärmeprod!$B$1:$VX$1,0),FALSE)/1,0)-IFERROR(VLOOKUP($B312,'Slutlig allokering kvv'!$B$2:$BX$549,MATCH(I$2,'Slutlig allokering kvv'!$B$1:$BX$1,0),FALSE)/1,0))</f>
        <v/>
      </c>
      <c r="J312" s="121" t="str">
        <f>IF($D312="","",IFERROR(VLOOKUP($B312,Kraftvärmeprod!$B$1:$BX$549,MATCH(J$2,Kraftvärmeprod!$B$1:$VX$1,0),FALSE)/1,0)-IFERROR(VLOOKUP($B312,'Slutlig allokering kvv'!$B$2:$BX$549,MATCH(J$2,'Slutlig allokering kvv'!$B$1:$BX$1,0),FALSE)/1,0))</f>
        <v/>
      </c>
      <c r="K312" s="121" t="str">
        <f>IF($D312="","",IFERROR(VLOOKUP($B312,Kraftvärmeprod!$B$1:$BX$549,MATCH(K$2,Kraftvärmeprod!$B$1:$VX$1,0),FALSE)/1,0)-IFERROR(VLOOKUP($B312,'Slutlig allokering kvv'!$B$2:$BX$549,MATCH(K$2,'Slutlig allokering kvv'!$B$1:$BX$1,0),FALSE)/1,0))</f>
        <v/>
      </c>
      <c r="L312" s="121" t="str">
        <f>IF($D312="","",IFERROR(VLOOKUP($B312,Kraftvärmeprod!$B$1:$BX$549,MATCH(L$2,Kraftvärmeprod!$B$1:$VX$1,0),FALSE)/1,0)-IFERROR(VLOOKUP($B312,'Slutlig allokering kvv'!$B$2:$BX$549,MATCH(L$2,'Slutlig allokering kvv'!$B$1:$BX$1,0),FALSE)/1,0))</f>
        <v/>
      </c>
      <c r="M312" s="121" t="str">
        <f>IF($D312="","",IFERROR(VLOOKUP($B312,Kraftvärmeprod!$B$1:$BX$549,MATCH(M$2,Kraftvärmeprod!$B$1:$VX$1,0),FALSE)/1,0)-IFERROR(VLOOKUP($B312,'Slutlig allokering kvv'!$B$2:$BX$549,MATCH(M$2,'Slutlig allokering kvv'!$B$1:$BX$1,0),FALSE)/1,0))</f>
        <v/>
      </c>
      <c r="N312" s="121" t="str">
        <f>IF($D312="","",IFERROR(VLOOKUP($B312,Kraftvärmeprod!$B$1:$BX$549,MATCH(N$2,Kraftvärmeprod!$B$1:$VX$1,0),FALSE)/1,0)-IFERROR(VLOOKUP($B312,'Slutlig allokering kvv'!$B$2:$BX$549,MATCH(N$2,'Slutlig allokering kvv'!$B$1:$BX$1,0),FALSE)/1,0))</f>
        <v/>
      </c>
      <c r="O312" s="121" t="str">
        <f>IF($D312="","",IFERROR(VLOOKUP($B312,Kraftvärmeprod!$B$1:$BX$549,MATCH(O$2,Kraftvärmeprod!$B$1:$VX$1,0),FALSE)/1,0)-IFERROR(VLOOKUP($B312,'Slutlig allokering kvv'!$B$2:$BX$549,MATCH(O$2,'Slutlig allokering kvv'!$B$1:$BX$1,0),FALSE)/1,0))</f>
        <v/>
      </c>
      <c r="P312" s="121" t="str">
        <f>IF($D312="","",IFERROR(VLOOKUP($B312,Kraftvärmeprod!$B$1:$BX$549,MATCH(P$2,Kraftvärmeprod!$B$1:$VX$1,0),FALSE)/1,0)-IFERROR(VLOOKUP($B312,'Slutlig allokering kvv'!$B$2:$BX$549,MATCH(P$2,'Slutlig allokering kvv'!$B$1:$BX$1,0),FALSE)/1,0))</f>
        <v/>
      </c>
      <c r="Q312" s="121" t="str">
        <f>IF($D312="","",IFERROR(VLOOKUP($B312,Kraftvärmeprod!$B$1:$BX$549,MATCH(Q$2,Kraftvärmeprod!$B$1:$VX$1,0),FALSE)/1,0)-IFERROR(VLOOKUP($B312,'Slutlig allokering kvv'!$B$2:$BX$549,MATCH(Q$2,'Slutlig allokering kvv'!$B$1:$BX$1,0),FALSE)/1,0))</f>
        <v/>
      </c>
      <c r="R312" s="121" t="str">
        <f>IF($D312="","",IFERROR(VLOOKUP($B312,Kraftvärmeprod!$B$1:$BX$549,MATCH(R$2,Kraftvärmeprod!$B$1:$VX$1,0),FALSE)/1,0)-IFERROR(VLOOKUP($B312,'Slutlig allokering kvv'!$B$2:$BX$549,MATCH(R$2,'Slutlig allokering kvv'!$B$1:$BX$1,0),FALSE)/1,0))</f>
        <v/>
      </c>
      <c r="S312" s="121" t="str">
        <f>IF($D312="","",IFERROR(VLOOKUP($B312,Kraftvärmeprod!$B$1:$BX$549,MATCH(S$2,Kraftvärmeprod!$B$1:$VX$1,0),FALSE)/1,0)-IFERROR(VLOOKUP($B312,'Slutlig allokering kvv'!$B$2:$BX$549,MATCH(S$2,'Slutlig allokering kvv'!$B$1:$BX$1,0),FALSE)/1,0))</f>
        <v/>
      </c>
      <c r="T312" s="121" t="str">
        <f>IF($D312="","",IFERROR(VLOOKUP($B312,Kraftvärmeprod!$B$1:$BX$549,MATCH(T$2,Kraftvärmeprod!$B$1:$VX$1,0),FALSE)/1,0)-IFERROR(VLOOKUP($B312,'Slutlig allokering kvv'!$B$2:$BX$549,MATCH(T$2,'Slutlig allokering kvv'!$B$1:$BX$1,0),FALSE)/1,0))</f>
        <v/>
      </c>
      <c r="U312" s="121" t="str">
        <f>IF($D312="","",IFERROR(VLOOKUP($B312,Kraftvärmeprod!$B$1:$BX$549,MATCH(U$2,Kraftvärmeprod!$B$1:$VX$1,0),FALSE)/1,0)-IFERROR(VLOOKUP($B312,'Slutlig allokering kvv'!$B$2:$BX$549,MATCH(U$2,'Slutlig allokering kvv'!$B$1:$BX$1,0),FALSE)/1,0))</f>
        <v/>
      </c>
      <c r="V312" s="121" t="str">
        <f>IF($D312="","",IFERROR(VLOOKUP($B312,Kraftvärmeprod!$B$1:$BX$549,MATCH(V$2,Kraftvärmeprod!$B$1:$VX$1,0),FALSE)/1,0)-IFERROR(VLOOKUP($B312,'Slutlig allokering kvv'!$B$2:$BX$549,MATCH(V$2,'Slutlig allokering kvv'!$B$1:$BX$1,0),FALSE)/1,0))</f>
        <v/>
      </c>
      <c r="W312" s="121" t="str">
        <f>IF($D312="","",IFERROR(VLOOKUP($B312,Kraftvärmeprod!$B$1:$BX$549,MATCH(W$2,Kraftvärmeprod!$B$1:$VX$1,0),FALSE)/1,0)-IFERROR(VLOOKUP($B312,'Slutlig allokering kvv'!$B$2:$BX$549,MATCH(W$2,'Slutlig allokering kvv'!$B$1:$BX$1,0),FALSE)/1,0))</f>
        <v/>
      </c>
      <c r="X312" s="121" t="str">
        <f>IF($D312="","",IFERROR(VLOOKUP($B312,Kraftvärmeprod!$B$1:$BX$549,MATCH(X$2,Kraftvärmeprod!$B$1:$VX$1,0),FALSE)/1,0)-IFERROR(VLOOKUP($B312,'Slutlig allokering kvv'!$B$2:$BX$549,MATCH(X$2,'Slutlig allokering kvv'!$B$1:$BX$1,0),FALSE)/1,0))</f>
        <v/>
      </c>
      <c r="Y312" s="121" t="str">
        <f>IF($D312="","",IFERROR(VLOOKUP($B312,Kraftvärmeprod!$B$1:$BX$549,MATCH(Y$2,Kraftvärmeprod!$B$1:$VX$1,0),FALSE)/1,0)-IFERROR(VLOOKUP($B312,'Slutlig allokering kvv'!$B$2:$BX$549,MATCH(Y$2,'Slutlig allokering kvv'!$B$1:$BX$1,0),FALSE)/1,0))</f>
        <v/>
      </c>
      <c r="Z312" s="121" t="str">
        <f>IF($D312="","",IFERROR(VLOOKUP($B312,Kraftvärmeprod!$B$1:$BX$549,MATCH(Z$2,Kraftvärmeprod!$B$1:$VX$1,0),FALSE)/1,0)-IFERROR(VLOOKUP($B312,'Slutlig allokering kvv'!$B$2:$BX$549,MATCH(Z$2,'Slutlig allokering kvv'!$B$1:$BX$1,0),FALSE)/1,0))</f>
        <v/>
      </c>
      <c r="AA312" s="121" t="str">
        <f>IF($D312="","",IFERROR(VLOOKUP($B312,Kraftvärmeprod!$B$1:$BX$549,MATCH(AA$2,Kraftvärmeprod!$B$1:$VX$1,0),FALSE)/1,0)-IFERROR(VLOOKUP($B312,'Slutlig allokering kvv'!$B$2:$BX$549,MATCH(AA$2,'Slutlig allokering kvv'!$B$1:$BX$1,0),FALSE)/1,0))</f>
        <v/>
      </c>
      <c r="AB312" s="121" t="str">
        <f>IF($D312="","",IFERROR(VLOOKUP($B312,Kraftvärmeprod!$B$1:$BX$549,MATCH(AB$2,Kraftvärmeprod!$B$1:$VX$1,0),FALSE)/1,0)-IFERROR(VLOOKUP($B312,'Slutlig allokering kvv'!$B$2:$BX$549,MATCH(AB$2,'Slutlig allokering kvv'!$B$1:$BX$1,0),FALSE)/1,0))</f>
        <v/>
      </c>
      <c r="AC312" s="121" t="str">
        <f>IF($D312="","",IFERROR(VLOOKUP($B312,Kraftvärmeprod!$B$1:$BX$549,MATCH(AC$2,Kraftvärmeprod!$B$1:$VX$1,0),FALSE)/1,0)-IFERROR(VLOOKUP($B312,'Slutlig allokering kvv'!$B$2:$BX$549,MATCH(AC$2,'Slutlig allokering kvv'!$B$1:$BX$1,0),FALSE)/1,0))</f>
        <v/>
      </c>
      <c r="AD312" s="121" t="str">
        <f>IF($D312="","",IFERROR(VLOOKUP($B312,Kraftvärmeprod!$B$1:$BX$549,MATCH(AD$2,Kraftvärmeprod!$B$1:$VX$1,0),FALSE)/1,0)-IFERROR(VLOOKUP($B312,'Slutlig allokering kvv'!$B$2:$BX$549,MATCH(AD$2,'Slutlig allokering kvv'!$B$1:$BX$1,0),FALSE)/1,0))</f>
        <v/>
      </c>
      <c r="AE312" s="121" t="str">
        <f>IF($D312="","",IFERROR(VLOOKUP($B312,Miljö!$B$1:$E$550,MATCH("Hjälpel kraftvärme (GWh)",Miljö!$B$1:$E$1,0),FALSE)/1,0)-IFERROR(VLOOKUP($B312,'Slutlig allokering kvv'!$B$2:$BX$549,MATCH(AE$2,'Slutlig allokering kvv'!$B$1:$BX$1,0),FALSE)/1,0))</f>
        <v/>
      </c>
      <c r="AI312" s="121">
        <f t="shared" si="16"/>
        <v>0</v>
      </c>
      <c r="AK312" s="121">
        <f>IFERROR(VLOOKUP($B312,'Slutlig allokering kvv'!$B$2:$AX$549,MATCH("Summa slutlig allokerad tillförd energi (utan hjälpel och rökgaskondensering):",'Slutlig allokering kvv'!$B$1:$AX$1,0),FALSE)/1,"")</f>
        <v>0</v>
      </c>
      <c r="AM312" s="172" t="str">
        <f>IFERROR(1-VLOOKUP($B312,'Slutlig allokering kvv'!$B$2:$AX$549,MATCH("Andel av bränsle i kvv som allokerats till värme, exklusive rökgaskondensering och hjälpel",'Slutlig allokering kvv'!$B$1:$AX$1,0),FALSE),"")</f>
        <v/>
      </c>
      <c r="AO312" s="172" t="str">
        <f t="shared" si="17"/>
        <v/>
      </c>
      <c r="AP312" s="173" t="str">
        <f t="shared" si="18"/>
        <v/>
      </c>
      <c r="AR312" s="172" t="str">
        <f t="shared" si="19"/>
        <v/>
      </c>
    </row>
    <row r="313" spans="1:44" x14ac:dyDescent="0.25">
      <c r="A313" s="171" t="str">
        <f>'Miljövärden för publ företag'!B315</f>
        <v>Värmevärden AB</v>
      </c>
      <c r="B313" s="171" t="str">
        <f>'Miljövärden för publ företag'!C315</f>
        <v>Avesta</v>
      </c>
      <c r="C313" s="121" t="str">
        <f>IFERROR(VLOOKUP($B313,Kraftvärmeprod!$B$1:$AH$478,MATCH(C$2,Kraftvärmeprod!$B$1:$AG$1,0),FALSE)/1,"")</f>
        <v/>
      </c>
      <c r="D313" s="121" t="str">
        <f>IFERROR(VLOOKUP($B313,Kraftvärmeprod!$B$1:$AH$478,MATCH(D$2,Kraftvärmeprod!$B$1:$AG$1,0),FALSE)/1,"")</f>
        <v/>
      </c>
      <c r="F313" s="121" t="str">
        <f>IF($D313="","",IFERROR(VLOOKUP($B313,Kraftvärmeprod!$B$1:$BX$549,MATCH(F$2,Kraftvärmeprod!$B$1:$VX$1,0),FALSE)/1,0)-IFERROR(VLOOKUP($B313,'Slutlig allokering kvv'!$B$2:$BX$549,MATCH(F$2,'Slutlig allokering kvv'!$B$1:$BX$1,0),FALSE)/1,0))</f>
        <v/>
      </c>
      <c r="G313" s="121" t="str">
        <f>IF($D313="","",IFERROR(VLOOKUP($B313,Kraftvärmeprod!$B$1:$BX$549,MATCH(G$2,Kraftvärmeprod!$B$1:$VX$1,0),FALSE)/1,0)-IFERROR(VLOOKUP($B313,'Slutlig allokering kvv'!$B$2:$BX$549,MATCH(G$2,'Slutlig allokering kvv'!$B$1:$BX$1,0),FALSE)/1,0))</f>
        <v/>
      </c>
      <c r="H313" s="121" t="str">
        <f>IF($D313="","",IFERROR(VLOOKUP($B313,Kraftvärmeprod!$B$1:$BX$549,MATCH(H$2,Kraftvärmeprod!$B$1:$VX$1,0),FALSE)/1,0)-IFERROR(VLOOKUP($B313,'Slutlig allokering kvv'!$B$2:$BX$549,MATCH(H$2,'Slutlig allokering kvv'!$B$1:$BX$1,0),FALSE)/1,0))</f>
        <v/>
      </c>
      <c r="I313" s="121" t="str">
        <f>IF($D313="","",IFERROR(VLOOKUP($B313,Kraftvärmeprod!$B$1:$BX$549,MATCH(I$2,Kraftvärmeprod!$B$1:$VX$1,0),FALSE)/1,0)-IFERROR(VLOOKUP($B313,'Slutlig allokering kvv'!$B$2:$BX$549,MATCH(I$2,'Slutlig allokering kvv'!$B$1:$BX$1,0),FALSE)/1,0))</f>
        <v/>
      </c>
      <c r="J313" s="121" t="str">
        <f>IF($D313="","",IFERROR(VLOOKUP($B313,Kraftvärmeprod!$B$1:$BX$549,MATCH(J$2,Kraftvärmeprod!$B$1:$VX$1,0),FALSE)/1,0)-IFERROR(VLOOKUP($B313,'Slutlig allokering kvv'!$B$2:$BX$549,MATCH(J$2,'Slutlig allokering kvv'!$B$1:$BX$1,0),FALSE)/1,0))</f>
        <v/>
      </c>
      <c r="K313" s="121" t="str">
        <f>IF($D313="","",IFERROR(VLOOKUP($B313,Kraftvärmeprod!$B$1:$BX$549,MATCH(K$2,Kraftvärmeprod!$B$1:$VX$1,0),FALSE)/1,0)-IFERROR(VLOOKUP($B313,'Slutlig allokering kvv'!$B$2:$BX$549,MATCH(K$2,'Slutlig allokering kvv'!$B$1:$BX$1,0),FALSE)/1,0))</f>
        <v/>
      </c>
      <c r="L313" s="121" t="str">
        <f>IF($D313="","",IFERROR(VLOOKUP($B313,Kraftvärmeprod!$B$1:$BX$549,MATCH(L$2,Kraftvärmeprod!$B$1:$VX$1,0),FALSE)/1,0)-IFERROR(VLOOKUP($B313,'Slutlig allokering kvv'!$B$2:$BX$549,MATCH(L$2,'Slutlig allokering kvv'!$B$1:$BX$1,0),FALSE)/1,0))</f>
        <v/>
      </c>
      <c r="M313" s="121" t="str">
        <f>IF($D313="","",IFERROR(VLOOKUP($B313,Kraftvärmeprod!$B$1:$BX$549,MATCH(M$2,Kraftvärmeprod!$B$1:$VX$1,0),FALSE)/1,0)-IFERROR(VLOOKUP($B313,'Slutlig allokering kvv'!$B$2:$BX$549,MATCH(M$2,'Slutlig allokering kvv'!$B$1:$BX$1,0),FALSE)/1,0))</f>
        <v/>
      </c>
      <c r="N313" s="121" t="str">
        <f>IF($D313="","",IFERROR(VLOOKUP($B313,Kraftvärmeprod!$B$1:$BX$549,MATCH(N$2,Kraftvärmeprod!$B$1:$VX$1,0),FALSE)/1,0)-IFERROR(VLOOKUP($B313,'Slutlig allokering kvv'!$B$2:$BX$549,MATCH(N$2,'Slutlig allokering kvv'!$B$1:$BX$1,0),FALSE)/1,0))</f>
        <v/>
      </c>
      <c r="O313" s="121" t="str">
        <f>IF($D313="","",IFERROR(VLOOKUP($B313,Kraftvärmeprod!$B$1:$BX$549,MATCH(O$2,Kraftvärmeprod!$B$1:$VX$1,0),FALSE)/1,0)-IFERROR(VLOOKUP($B313,'Slutlig allokering kvv'!$B$2:$BX$549,MATCH(O$2,'Slutlig allokering kvv'!$B$1:$BX$1,0),FALSE)/1,0))</f>
        <v/>
      </c>
      <c r="P313" s="121" t="str">
        <f>IF($D313="","",IFERROR(VLOOKUP($B313,Kraftvärmeprod!$B$1:$BX$549,MATCH(P$2,Kraftvärmeprod!$B$1:$VX$1,0),FALSE)/1,0)-IFERROR(VLOOKUP($B313,'Slutlig allokering kvv'!$B$2:$BX$549,MATCH(P$2,'Slutlig allokering kvv'!$B$1:$BX$1,0),FALSE)/1,0))</f>
        <v/>
      </c>
      <c r="Q313" s="121" t="str">
        <f>IF($D313="","",IFERROR(VLOOKUP($B313,Kraftvärmeprod!$B$1:$BX$549,MATCH(Q$2,Kraftvärmeprod!$B$1:$VX$1,0),FALSE)/1,0)-IFERROR(VLOOKUP($B313,'Slutlig allokering kvv'!$B$2:$BX$549,MATCH(Q$2,'Slutlig allokering kvv'!$B$1:$BX$1,0),FALSE)/1,0))</f>
        <v/>
      </c>
      <c r="R313" s="121" t="str">
        <f>IF($D313="","",IFERROR(VLOOKUP($B313,Kraftvärmeprod!$B$1:$BX$549,MATCH(R$2,Kraftvärmeprod!$B$1:$VX$1,0),FALSE)/1,0)-IFERROR(VLOOKUP($B313,'Slutlig allokering kvv'!$B$2:$BX$549,MATCH(R$2,'Slutlig allokering kvv'!$B$1:$BX$1,0),FALSE)/1,0))</f>
        <v/>
      </c>
      <c r="S313" s="121" t="str">
        <f>IF($D313="","",IFERROR(VLOOKUP($B313,Kraftvärmeprod!$B$1:$BX$549,MATCH(S$2,Kraftvärmeprod!$B$1:$VX$1,0),FALSE)/1,0)-IFERROR(VLOOKUP($B313,'Slutlig allokering kvv'!$B$2:$BX$549,MATCH(S$2,'Slutlig allokering kvv'!$B$1:$BX$1,0),FALSE)/1,0))</f>
        <v/>
      </c>
      <c r="T313" s="121" t="str">
        <f>IF($D313="","",IFERROR(VLOOKUP($B313,Kraftvärmeprod!$B$1:$BX$549,MATCH(T$2,Kraftvärmeprod!$B$1:$VX$1,0),FALSE)/1,0)-IFERROR(VLOOKUP($B313,'Slutlig allokering kvv'!$B$2:$BX$549,MATCH(T$2,'Slutlig allokering kvv'!$B$1:$BX$1,0),FALSE)/1,0))</f>
        <v/>
      </c>
      <c r="U313" s="121" t="str">
        <f>IF($D313="","",IFERROR(VLOOKUP($B313,Kraftvärmeprod!$B$1:$BX$549,MATCH(U$2,Kraftvärmeprod!$B$1:$VX$1,0),FALSE)/1,0)-IFERROR(VLOOKUP($B313,'Slutlig allokering kvv'!$B$2:$BX$549,MATCH(U$2,'Slutlig allokering kvv'!$B$1:$BX$1,0),FALSE)/1,0))</f>
        <v/>
      </c>
      <c r="V313" s="121" t="str">
        <f>IF($D313="","",IFERROR(VLOOKUP($B313,Kraftvärmeprod!$B$1:$BX$549,MATCH(V$2,Kraftvärmeprod!$B$1:$VX$1,0),FALSE)/1,0)-IFERROR(VLOOKUP($B313,'Slutlig allokering kvv'!$B$2:$BX$549,MATCH(V$2,'Slutlig allokering kvv'!$B$1:$BX$1,0),FALSE)/1,0))</f>
        <v/>
      </c>
      <c r="W313" s="121" t="str">
        <f>IF($D313="","",IFERROR(VLOOKUP($B313,Kraftvärmeprod!$B$1:$BX$549,MATCH(W$2,Kraftvärmeprod!$B$1:$VX$1,0),FALSE)/1,0)-IFERROR(VLOOKUP($B313,'Slutlig allokering kvv'!$B$2:$BX$549,MATCH(W$2,'Slutlig allokering kvv'!$B$1:$BX$1,0),FALSE)/1,0))</f>
        <v/>
      </c>
      <c r="X313" s="121" t="str">
        <f>IF($D313="","",IFERROR(VLOOKUP($B313,Kraftvärmeprod!$B$1:$BX$549,MATCH(X$2,Kraftvärmeprod!$B$1:$VX$1,0),FALSE)/1,0)-IFERROR(VLOOKUP($B313,'Slutlig allokering kvv'!$B$2:$BX$549,MATCH(X$2,'Slutlig allokering kvv'!$B$1:$BX$1,0),FALSE)/1,0))</f>
        <v/>
      </c>
      <c r="Y313" s="121" t="str">
        <f>IF($D313="","",IFERROR(VLOOKUP($B313,Kraftvärmeprod!$B$1:$BX$549,MATCH(Y$2,Kraftvärmeprod!$B$1:$VX$1,0),FALSE)/1,0)-IFERROR(VLOOKUP($B313,'Slutlig allokering kvv'!$B$2:$BX$549,MATCH(Y$2,'Slutlig allokering kvv'!$B$1:$BX$1,0),FALSE)/1,0))</f>
        <v/>
      </c>
      <c r="Z313" s="121" t="str">
        <f>IF($D313="","",IFERROR(VLOOKUP($B313,Kraftvärmeprod!$B$1:$BX$549,MATCH(Z$2,Kraftvärmeprod!$B$1:$VX$1,0),FALSE)/1,0)-IFERROR(VLOOKUP($B313,'Slutlig allokering kvv'!$B$2:$BX$549,MATCH(Z$2,'Slutlig allokering kvv'!$B$1:$BX$1,0),FALSE)/1,0))</f>
        <v/>
      </c>
      <c r="AA313" s="121" t="str">
        <f>IF($D313="","",IFERROR(VLOOKUP($B313,Kraftvärmeprod!$B$1:$BX$549,MATCH(AA$2,Kraftvärmeprod!$B$1:$VX$1,0),FALSE)/1,0)-IFERROR(VLOOKUP($B313,'Slutlig allokering kvv'!$B$2:$BX$549,MATCH(AA$2,'Slutlig allokering kvv'!$B$1:$BX$1,0),FALSE)/1,0))</f>
        <v/>
      </c>
      <c r="AB313" s="121" t="str">
        <f>IF($D313="","",IFERROR(VLOOKUP($B313,Kraftvärmeprod!$B$1:$BX$549,MATCH(AB$2,Kraftvärmeprod!$B$1:$VX$1,0),FALSE)/1,0)-IFERROR(VLOOKUP($B313,'Slutlig allokering kvv'!$B$2:$BX$549,MATCH(AB$2,'Slutlig allokering kvv'!$B$1:$BX$1,0),FALSE)/1,0))</f>
        <v/>
      </c>
      <c r="AC313" s="121" t="str">
        <f>IF($D313="","",IFERROR(VLOOKUP($B313,Kraftvärmeprod!$B$1:$BX$549,MATCH(AC$2,Kraftvärmeprod!$B$1:$VX$1,0),FALSE)/1,0)-IFERROR(VLOOKUP($B313,'Slutlig allokering kvv'!$B$2:$BX$549,MATCH(AC$2,'Slutlig allokering kvv'!$B$1:$BX$1,0),FALSE)/1,0))</f>
        <v/>
      </c>
      <c r="AD313" s="121" t="str">
        <f>IF($D313="","",IFERROR(VLOOKUP($B313,Kraftvärmeprod!$B$1:$BX$549,MATCH(AD$2,Kraftvärmeprod!$B$1:$VX$1,0),FALSE)/1,0)-IFERROR(VLOOKUP($B313,'Slutlig allokering kvv'!$B$2:$BX$549,MATCH(AD$2,'Slutlig allokering kvv'!$B$1:$BX$1,0),FALSE)/1,0))</f>
        <v/>
      </c>
      <c r="AE313" s="121" t="str">
        <f>IF($D313="","",IFERROR(VLOOKUP($B313,Miljö!$B$1:$E$550,MATCH("Hjälpel kraftvärme (GWh)",Miljö!$B$1:$E$1,0),FALSE)/1,0)-IFERROR(VLOOKUP($B313,'Slutlig allokering kvv'!$B$2:$BX$549,MATCH(AE$2,'Slutlig allokering kvv'!$B$1:$BX$1,0),FALSE)/1,0))</f>
        <v/>
      </c>
      <c r="AI313" s="121">
        <f t="shared" si="16"/>
        <v>0</v>
      </c>
      <c r="AK313" s="121">
        <f>IFERROR(VLOOKUP($B313,'Slutlig allokering kvv'!$B$2:$AX$549,MATCH("Summa slutlig allokerad tillförd energi (utan hjälpel och rökgaskondensering):",'Slutlig allokering kvv'!$B$1:$AX$1,0),FALSE)/1,"")</f>
        <v>0</v>
      </c>
      <c r="AM313" s="172" t="str">
        <f>IFERROR(1-VLOOKUP($B313,'Slutlig allokering kvv'!$B$2:$AX$549,MATCH("Andel av bränsle i kvv som allokerats till värme, exklusive rökgaskondensering och hjälpel",'Slutlig allokering kvv'!$B$1:$AX$1,0),FALSE),"")</f>
        <v/>
      </c>
      <c r="AO313" s="172" t="str">
        <f t="shared" si="17"/>
        <v/>
      </c>
      <c r="AP313" s="173" t="str">
        <f t="shared" si="18"/>
        <v/>
      </c>
      <c r="AR313" s="172" t="str">
        <f t="shared" si="19"/>
        <v/>
      </c>
    </row>
    <row r="314" spans="1:44" x14ac:dyDescent="0.25">
      <c r="A314" s="171" t="str">
        <f>'Miljövärden för publ företag'!B316</f>
        <v>Värmevärden AB</v>
      </c>
      <c r="B314" s="171" t="str">
        <f>'Miljövärden för publ företag'!C316</f>
        <v>Delsbo</v>
      </c>
      <c r="C314" s="121" t="str">
        <f>IFERROR(VLOOKUP($B314,Kraftvärmeprod!$B$1:$AH$478,MATCH(C$2,Kraftvärmeprod!$B$1:$AG$1,0),FALSE)/1,"")</f>
        <v/>
      </c>
      <c r="D314" s="121" t="str">
        <f>IFERROR(VLOOKUP($B314,Kraftvärmeprod!$B$1:$AH$478,MATCH(D$2,Kraftvärmeprod!$B$1:$AG$1,0),FALSE)/1,"")</f>
        <v/>
      </c>
      <c r="F314" s="121" t="str">
        <f>IF($D314="","",IFERROR(VLOOKUP($B314,Kraftvärmeprod!$B$1:$BX$549,MATCH(F$2,Kraftvärmeprod!$B$1:$VX$1,0),FALSE)/1,0)-IFERROR(VLOOKUP($B314,'Slutlig allokering kvv'!$B$2:$BX$549,MATCH(F$2,'Slutlig allokering kvv'!$B$1:$BX$1,0),FALSE)/1,0))</f>
        <v/>
      </c>
      <c r="G314" s="121" t="str">
        <f>IF($D314="","",IFERROR(VLOOKUP($B314,Kraftvärmeprod!$B$1:$BX$549,MATCH(G$2,Kraftvärmeprod!$B$1:$VX$1,0),FALSE)/1,0)-IFERROR(VLOOKUP($B314,'Slutlig allokering kvv'!$B$2:$BX$549,MATCH(G$2,'Slutlig allokering kvv'!$B$1:$BX$1,0),FALSE)/1,0))</f>
        <v/>
      </c>
      <c r="H314" s="121" t="str">
        <f>IF($D314="","",IFERROR(VLOOKUP($B314,Kraftvärmeprod!$B$1:$BX$549,MATCH(H$2,Kraftvärmeprod!$B$1:$VX$1,0),FALSE)/1,0)-IFERROR(VLOOKUP($B314,'Slutlig allokering kvv'!$B$2:$BX$549,MATCH(H$2,'Slutlig allokering kvv'!$B$1:$BX$1,0),FALSE)/1,0))</f>
        <v/>
      </c>
      <c r="I314" s="121" t="str">
        <f>IF($D314="","",IFERROR(VLOOKUP($B314,Kraftvärmeprod!$B$1:$BX$549,MATCH(I$2,Kraftvärmeprod!$B$1:$VX$1,0),FALSE)/1,0)-IFERROR(VLOOKUP($B314,'Slutlig allokering kvv'!$B$2:$BX$549,MATCH(I$2,'Slutlig allokering kvv'!$B$1:$BX$1,0),FALSE)/1,0))</f>
        <v/>
      </c>
      <c r="J314" s="121" t="str">
        <f>IF($D314="","",IFERROR(VLOOKUP($B314,Kraftvärmeprod!$B$1:$BX$549,MATCH(J$2,Kraftvärmeprod!$B$1:$VX$1,0),FALSE)/1,0)-IFERROR(VLOOKUP($B314,'Slutlig allokering kvv'!$B$2:$BX$549,MATCH(J$2,'Slutlig allokering kvv'!$B$1:$BX$1,0),FALSE)/1,0))</f>
        <v/>
      </c>
      <c r="K314" s="121" t="str">
        <f>IF($D314="","",IFERROR(VLOOKUP($B314,Kraftvärmeprod!$B$1:$BX$549,MATCH(K$2,Kraftvärmeprod!$B$1:$VX$1,0),FALSE)/1,0)-IFERROR(VLOOKUP($B314,'Slutlig allokering kvv'!$B$2:$BX$549,MATCH(K$2,'Slutlig allokering kvv'!$B$1:$BX$1,0),FALSE)/1,0))</f>
        <v/>
      </c>
      <c r="L314" s="121" t="str">
        <f>IF($D314="","",IFERROR(VLOOKUP($B314,Kraftvärmeprod!$B$1:$BX$549,MATCH(L$2,Kraftvärmeprod!$B$1:$VX$1,0),FALSE)/1,0)-IFERROR(VLOOKUP($B314,'Slutlig allokering kvv'!$B$2:$BX$549,MATCH(L$2,'Slutlig allokering kvv'!$B$1:$BX$1,0),FALSE)/1,0))</f>
        <v/>
      </c>
      <c r="M314" s="121" t="str">
        <f>IF($D314="","",IFERROR(VLOOKUP($B314,Kraftvärmeprod!$B$1:$BX$549,MATCH(M$2,Kraftvärmeprod!$B$1:$VX$1,0),FALSE)/1,0)-IFERROR(VLOOKUP($B314,'Slutlig allokering kvv'!$B$2:$BX$549,MATCH(M$2,'Slutlig allokering kvv'!$B$1:$BX$1,0),FALSE)/1,0))</f>
        <v/>
      </c>
      <c r="N314" s="121" t="str">
        <f>IF($D314="","",IFERROR(VLOOKUP($B314,Kraftvärmeprod!$B$1:$BX$549,MATCH(N$2,Kraftvärmeprod!$B$1:$VX$1,0),FALSE)/1,0)-IFERROR(VLOOKUP($B314,'Slutlig allokering kvv'!$B$2:$BX$549,MATCH(N$2,'Slutlig allokering kvv'!$B$1:$BX$1,0),FALSE)/1,0))</f>
        <v/>
      </c>
      <c r="O314" s="121" t="str">
        <f>IF($D314="","",IFERROR(VLOOKUP($B314,Kraftvärmeprod!$B$1:$BX$549,MATCH(O$2,Kraftvärmeprod!$B$1:$VX$1,0),FALSE)/1,0)-IFERROR(VLOOKUP($B314,'Slutlig allokering kvv'!$B$2:$BX$549,MATCH(O$2,'Slutlig allokering kvv'!$B$1:$BX$1,0),FALSE)/1,0))</f>
        <v/>
      </c>
      <c r="P314" s="121" t="str">
        <f>IF($D314="","",IFERROR(VLOOKUP($B314,Kraftvärmeprod!$B$1:$BX$549,MATCH(P$2,Kraftvärmeprod!$B$1:$VX$1,0),FALSE)/1,0)-IFERROR(VLOOKUP($B314,'Slutlig allokering kvv'!$B$2:$BX$549,MATCH(P$2,'Slutlig allokering kvv'!$B$1:$BX$1,0),FALSE)/1,0))</f>
        <v/>
      </c>
      <c r="Q314" s="121" t="str">
        <f>IF($D314="","",IFERROR(VLOOKUP($B314,Kraftvärmeprod!$B$1:$BX$549,MATCH(Q$2,Kraftvärmeprod!$B$1:$VX$1,0),FALSE)/1,0)-IFERROR(VLOOKUP($B314,'Slutlig allokering kvv'!$B$2:$BX$549,MATCH(Q$2,'Slutlig allokering kvv'!$B$1:$BX$1,0),FALSE)/1,0))</f>
        <v/>
      </c>
      <c r="R314" s="121" t="str">
        <f>IF($D314="","",IFERROR(VLOOKUP($B314,Kraftvärmeprod!$B$1:$BX$549,MATCH(R$2,Kraftvärmeprod!$B$1:$VX$1,0),FALSE)/1,0)-IFERROR(VLOOKUP($B314,'Slutlig allokering kvv'!$B$2:$BX$549,MATCH(R$2,'Slutlig allokering kvv'!$B$1:$BX$1,0),FALSE)/1,0))</f>
        <v/>
      </c>
      <c r="S314" s="121" t="str">
        <f>IF($D314="","",IFERROR(VLOOKUP($B314,Kraftvärmeprod!$B$1:$BX$549,MATCH(S$2,Kraftvärmeprod!$B$1:$VX$1,0),FALSE)/1,0)-IFERROR(VLOOKUP($B314,'Slutlig allokering kvv'!$B$2:$BX$549,MATCH(S$2,'Slutlig allokering kvv'!$B$1:$BX$1,0),FALSE)/1,0))</f>
        <v/>
      </c>
      <c r="T314" s="121" t="str">
        <f>IF($D314="","",IFERROR(VLOOKUP($B314,Kraftvärmeprod!$B$1:$BX$549,MATCH(T$2,Kraftvärmeprod!$B$1:$VX$1,0),FALSE)/1,0)-IFERROR(VLOOKUP($B314,'Slutlig allokering kvv'!$B$2:$BX$549,MATCH(T$2,'Slutlig allokering kvv'!$B$1:$BX$1,0),FALSE)/1,0))</f>
        <v/>
      </c>
      <c r="U314" s="121" t="str">
        <f>IF($D314="","",IFERROR(VLOOKUP($B314,Kraftvärmeprod!$B$1:$BX$549,MATCH(U$2,Kraftvärmeprod!$B$1:$VX$1,0),FALSE)/1,0)-IFERROR(VLOOKUP($B314,'Slutlig allokering kvv'!$B$2:$BX$549,MATCH(U$2,'Slutlig allokering kvv'!$B$1:$BX$1,0),FALSE)/1,0))</f>
        <v/>
      </c>
      <c r="V314" s="121" t="str">
        <f>IF($D314="","",IFERROR(VLOOKUP($B314,Kraftvärmeprod!$B$1:$BX$549,MATCH(V$2,Kraftvärmeprod!$B$1:$VX$1,0),FALSE)/1,0)-IFERROR(VLOOKUP($B314,'Slutlig allokering kvv'!$B$2:$BX$549,MATCH(V$2,'Slutlig allokering kvv'!$B$1:$BX$1,0),FALSE)/1,0))</f>
        <v/>
      </c>
      <c r="W314" s="121" t="str">
        <f>IF($D314="","",IFERROR(VLOOKUP($B314,Kraftvärmeprod!$B$1:$BX$549,MATCH(W$2,Kraftvärmeprod!$B$1:$VX$1,0),FALSE)/1,0)-IFERROR(VLOOKUP($B314,'Slutlig allokering kvv'!$B$2:$BX$549,MATCH(W$2,'Slutlig allokering kvv'!$B$1:$BX$1,0),FALSE)/1,0))</f>
        <v/>
      </c>
      <c r="X314" s="121" t="str">
        <f>IF($D314="","",IFERROR(VLOOKUP($B314,Kraftvärmeprod!$B$1:$BX$549,MATCH(X$2,Kraftvärmeprod!$B$1:$VX$1,0),FALSE)/1,0)-IFERROR(VLOOKUP($B314,'Slutlig allokering kvv'!$B$2:$BX$549,MATCH(X$2,'Slutlig allokering kvv'!$B$1:$BX$1,0),FALSE)/1,0))</f>
        <v/>
      </c>
      <c r="Y314" s="121" t="str">
        <f>IF($D314="","",IFERROR(VLOOKUP($B314,Kraftvärmeprod!$B$1:$BX$549,MATCH(Y$2,Kraftvärmeprod!$B$1:$VX$1,0),FALSE)/1,0)-IFERROR(VLOOKUP($B314,'Slutlig allokering kvv'!$B$2:$BX$549,MATCH(Y$2,'Slutlig allokering kvv'!$B$1:$BX$1,0),FALSE)/1,0))</f>
        <v/>
      </c>
      <c r="Z314" s="121" t="str">
        <f>IF($D314="","",IFERROR(VLOOKUP($B314,Kraftvärmeprod!$B$1:$BX$549,MATCH(Z$2,Kraftvärmeprod!$B$1:$VX$1,0),FALSE)/1,0)-IFERROR(VLOOKUP($B314,'Slutlig allokering kvv'!$B$2:$BX$549,MATCH(Z$2,'Slutlig allokering kvv'!$B$1:$BX$1,0),FALSE)/1,0))</f>
        <v/>
      </c>
      <c r="AA314" s="121" t="str">
        <f>IF($D314="","",IFERROR(VLOOKUP($B314,Kraftvärmeprod!$B$1:$BX$549,MATCH(AA$2,Kraftvärmeprod!$B$1:$VX$1,0),FALSE)/1,0)-IFERROR(VLOOKUP($B314,'Slutlig allokering kvv'!$B$2:$BX$549,MATCH(AA$2,'Slutlig allokering kvv'!$B$1:$BX$1,0),FALSE)/1,0))</f>
        <v/>
      </c>
      <c r="AB314" s="121" t="str">
        <f>IF($D314="","",IFERROR(VLOOKUP($B314,Kraftvärmeprod!$B$1:$BX$549,MATCH(AB$2,Kraftvärmeprod!$B$1:$VX$1,0),FALSE)/1,0)-IFERROR(VLOOKUP($B314,'Slutlig allokering kvv'!$B$2:$BX$549,MATCH(AB$2,'Slutlig allokering kvv'!$B$1:$BX$1,0),FALSE)/1,0))</f>
        <v/>
      </c>
      <c r="AC314" s="121" t="str">
        <f>IF($D314="","",IFERROR(VLOOKUP($B314,Kraftvärmeprod!$B$1:$BX$549,MATCH(AC$2,Kraftvärmeprod!$B$1:$VX$1,0),FALSE)/1,0)-IFERROR(VLOOKUP($B314,'Slutlig allokering kvv'!$B$2:$BX$549,MATCH(AC$2,'Slutlig allokering kvv'!$B$1:$BX$1,0),FALSE)/1,0))</f>
        <v/>
      </c>
      <c r="AD314" s="121" t="str">
        <f>IF($D314="","",IFERROR(VLOOKUP($B314,Kraftvärmeprod!$B$1:$BX$549,MATCH(AD$2,Kraftvärmeprod!$B$1:$VX$1,0),FALSE)/1,0)-IFERROR(VLOOKUP($B314,'Slutlig allokering kvv'!$B$2:$BX$549,MATCH(AD$2,'Slutlig allokering kvv'!$B$1:$BX$1,0),FALSE)/1,0))</f>
        <v/>
      </c>
      <c r="AE314" s="121" t="str">
        <f>IF($D314="","",IFERROR(VLOOKUP($B314,Miljö!$B$1:$E$550,MATCH("Hjälpel kraftvärme (GWh)",Miljö!$B$1:$E$1,0),FALSE)/1,0)-IFERROR(VLOOKUP($B314,'Slutlig allokering kvv'!$B$2:$BX$549,MATCH(AE$2,'Slutlig allokering kvv'!$B$1:$BX$1,0),FALSE)/1,0))</f>
        <v/>
      </c>
      <c r="AI314" s="121">
        <f t="shared" si="16"/>
        <v>0</v>
      </c>
      <c r="AK314" s="121">
        <f>IFERROR(VLOOKUP($B314,'Slutlig allokering kvv'!$B$2:$AX$549,MATCH("Summa slutlig allokerad tillförd energi (utan hjälpel och rökgaskondensering):",'Slutlig allokering kvv'!$B$1:$AX$1,0),FALSE)/1,"")</f>
        <v>0</v>
      </c>
      <c r="AM314" s="172" t="str">
        <f>IFERROR(1-VLOOKUP($B314,'Slutlig allokering kvv'!$B$2:$AX$549,MATCH("Andel av bränsle i kvv som allokerats till värme, exklusive rökgaskondensering och hjälpel",'Slutlig allokering kvv'!$B$1:$AX$1,0),FALSE),"")</f>
        <v/>
      </c>
      <c r="AO314" s="172" t="str">
        <f t="shared" si="17"/>
        <v/>
      </c>
      <c r="AP314" s="173" t="str">
        <f t="shared" si="18"/>
        <v/>
      </c>
      <c r="AR314" s="172" t="str">
        <f t="shared" si="19"/>
        <v/>
      </c>
    </row>
    <row r="315" spans="1:44" x14ac:dyDescent="0.25">
      <c r="A315" s="171" t="str">
        <f>'Miljövärden för publ företag'!B317</f>
        <v>Värmevärden AB</v>
      </c>
      <c r="B315" s="171" t="str">
        <f>'Miljövärden för publ företag'!C317</f>
        <v>Grums</v>
      </c>
      <c r="C315" s="121" t="str">
        <f>IFERROR(VLOOKUP($B315,Kraftvärmeprod!$B$1:$AH$478,MATCH(C$2,Kraftvärmeprod!$B$1:$AG$1,0),FALSE)/1,"")</f>
        <v/>
      </c>
      <c r="D315" s="121" t="str">
        <f>IFERROR(VLOOKUP($B315,Kraftvärmeprod!$B$1:$AH$478,MATCH(D$2,Kraftvärmeprod!$B$1:$AG$1,0),FALSE)/1,"")</f>
        <v/>
      </c>
      <c r="F315" s="121" t="str">
        <f>IF($D315="","",IFERROR(VLOOKUP($B315,Kraftvärmeprod!$B$1:$BX$549,MATCH(F$2,Kraftvärmeprod!$B$1:$VX$1,0),FALSE)/1,0)-IFERROR(VLOOKUP($B315,'Slutlig allokering kvv'!$B$2:$BX$549,MATCH(F$2,'Slutlig allokering kvv'!$B$1:$BX$1,0),FALSE)/1,0))</f>
        <v/>
      </c>
      <c r="G315" s="121" t="str">
        <f>IF($D315="","",IFERROR(VLOOKUP($B315,Kraftvärmeprod!$B$1:$BX$549,MATCH(G$2,Kraftvärmeprod!$B$1:$VX$1,0),FALSE)/1,0)-IFERROR(VLOOKUP($B315,'Slutlig allokering kvv'!$B$2:$BX$549,MATCH(G$2,'Slutlig allokering kvv'!$B$1:$BX$1,0),FALSE)/1,0))</f>
        <v/>
      </c>
      <c r="H315" s="121" t="str">
        <f>IF($D315="","",IFERROR(VLOOKUP($B315,Kraftvärmeprod!$B$1:$BX$549,MATCH(H$2,Kraftvärmeprod!$B$1:$VX$1,0),FALSE)/1,0)-IFERROR(VLOOKUP($B315,'Slutlig allokering kvv'!$B$2:$BX$549,MATCH(H$2,'Slutlig allokering kvv'!$B$1:$BX$1,0),FALSE)/1,0))</f>
        <v/>
      </c>
      <c r="I315" s="121" t="str">
        <f>IF($D315="","",IFERROR(VLOOKUP($B315,Kraftvärmeprod!$B$1:$BX$549,MATCH(I$2,Kraftvärmeprod!$B$1:$VX$1,0),FALSE)/1,0)-IFERROR(VLOOKUP($B315,'Slutlig allokering kvv'!$B$2:$BX$549,MATCH(I$2,'Slutlig allokering kvv'!$B$1:$BX$1,0),FALSE)/1,0))</f>
        <v/>
      </c>
      <c r="J315" s="121" t="str">
        <f>IF($D315="","",IFERROR(VLOOKUP($B315,Kraftvärmeprod!$B$1:$BX$549,MATCH(J$2,Kraftvärmeprod!$B$1:$VX$1,0),FALSE)/1,0)-IFERROR(VLOOKUP($B315,'Slutlig allokering kvv'!$B$2:$BX$549,MATCH(J$2,'Slutlig allokering kvv'!$B$1:$BX$1,0),FALSE)/1,0))</f>
        <v/>
      </c>
      <c r="K315" s="121" t="str">
        <f>IF($D315="","",IFERROR(VLOOKUP($B315,Kraftvärmeprod!$B$1:$BX$549,MATCH(K$2,Kraftvärmeprod!$B$1:$VX$1,0),FALSE)/1,0)-IFERROR(VLOOKUP($B315,'Slutlig allokering kvv'!$B$2:$BX$549,MATCH(K$2,'Slutlig allokering kvv'!$B$1:$BX$1,0),FALSE)/1,0))</f>
        <v/>
      </c>
      <c r="L315" s="121" t="str">
        <f>IF($D315="","",IFERROR(VLOOKUP($B315,Kraftvärmeprod!$B$1:$BX$549,MATCH(L$2,Kraftvärmeprod!$B$1:$VX$1,0),FALSE)/1,0)-IFERROR(VLOOKUP($B315,'Slutlig allokering kvv'!$B$2:$BX$549,MATCH(L$2,'Slutlig allokering kvv'!$B$1:$BX$1,0),FALSE)/1,0))</f>
        <v/>
      </c>
      <c r="M315" s="121" t="str">
        <f>IF($D315="","",IFERROR(VLOOKUP($B315,Kraftvärmeprod!$B$1:$BX$549,MATCH(M$2,Kraftvärmeprod!$B$1:$VX$1,0),FALSE)/1,0)-IFERROR(VLOOKUP($B315,'Slutlig allokering kvv'!$B$2:$BX$549,MATCH(M$2,'Slutlig allokering kvv'!$B$1:$BX$1,0),FALSE)/1,0))</f>
        <v/>
      </c>
      <c r="N315" s="121" t="str">
        <f>IF($D315="","",IFERROR(VLOOKUP($B315,Kraftvärmeprod!$B$1:$BX$549,MATCH(N$2,Kraftvärmeprod!$B$1:$VX$1,0),FALSE)/1,0)-IFERROR(VLOOKUP($B315,'Slutlig allokering kvv'!$B$2:$BX$549,MATCH(N$2,'Slutlig allokering kvv'!$B$1:$BX$1,0),FALSE)/1,0))</f>
        <v/>
      </c>
      <c r="O315" s="121" t="str">
        <f>IF($D315="","",IFERROR(VLOOKUP($B315,Kraftvärmeprod!$B$1:$BX$549,MATCH(O$2,Kraftvärmeprod!$B$1:$VX$1,0),FALSE)/1,0)-IFERROR(VLOOKUP($B315,'Slutlig allokering kvv'!$B$2:$BX$549,MATCH(O$2,'Slutlig allokering kvv'!$B$1:$BX$1,0),FALSE)/1,0))</f>
        <v/>
      </c>
      <c r="P315" s="121" t="str">
        <f>IF($D315="","",IFERROR(VLOOKUP($B315,Kraftvärmeprod!$B$1:$BX$549,MATCH(P$2,Kraftvärmeprod!$B$1:$VX$1,0),FALSE)/1,0)-IFERROR(VLOOKUP($B315,'Slutlig allokering kvv'!$B$2:$BX$549,MATCH(P$2,'Slutlig allokering kvv'!$B$1:$BX$1,0),FALSE)/1,0))</f>
        <v/>
      </c>
      <c r="Q315" s="121" t="str">
        <f>IF($D315="","",IFERROR(VLOOKUP($B315,Kraftvärmeprod!$B$1:$BX$549,MATCH(Q$2,Kraftvärmeprod!$B$1:$VX$1,0),FALSE)/1,0)-IFERROR(VLOOKUP($B315,'Slutlig allokering kvv'!$B$2:$BX$549,MATCH(Q$2,'Slutlig allokering kvv'!$B$1:$BX$1,0),FALSE)/1,0))</f>
        <v/>
      </c>
      <c r="R315" s="121" t="str">
        <f>IF($D315="","",IFERROR(VLOOKUP($B315,Kraftvärmeprod!$B$1:$BX$549,MATCH(R$2,Kraftvärmeprod!$B$1:$VX$1,0),FALSE)/1,0)-IFERROR(VLOOKUP($B315,'Slutlig allokering kvv'!$B$2:$BX$549,MATCH(R$2,'Slutlig allokering kvv'!$B$1:$BX$1,0),FALSE)/1,0))</f>
        <v/>
      </c>
      <c r="S315" s="121" t="str">
        <f>IF($D315="","",IFERROR(VLOOKUP($B315,Kraftvärmeprod!$B$1:$BX$549,MATCH(S$2,Kraftvärmeprod!$B$1:$VX$1,0),FALSE)/1,0)-IFERROR(VLOOKUP($B315,'Slutlig allokering kvv'!$B$2:$BX$549,MATCH(S$2,'Slutlig allokering kvv'!$B$1:$BX$1,0),FALSE)/1,0))</f>
        <v/>
      </c>
      <c r="T315" s="121" t="str">
        <f>IF($D315="","",IFERROR(VLOOKUP($B315,Kraftvärmeprod!$B$1:$BX$549,MATCH(T$2,Kraftvärmeprod!$B$1:$VX$1,0),FALSE)/1,0)-IFERROR(VLOOKUP($B315,'Slutlig allokering kvv'!$B$2:$BX$549,MATCH(T$2,'Slutlig allokering kvv'!$B$1:$BX$1,0),FALSE)/1,0))</f>
        <v/>
      </c>
      <c r="U315" s="121" t="str">
        <f>IF($D315="","",IFERROR(VLOOKUP($B315,Kraftvärmeprod!$B$1:$BX$549,MATCH(U$2,Kraftvärmeprod!$B$1:$VX$1,0),FALSE)/1,0)-IFERROR(VLOOKUP($B315,'Slutlig allokering kvv'!$B$2:$BX$549,MATCH(U$2,'Slutlig allokering kvv'!$B$1:$BX$1,0),FALSE)/1,0))</f>
        <v/>
      </c>
      <c r="V315" s="121" t="str">
        <f>IF($D315="","",IFERROR(VLOOKUP($B315,Kraftvärmeprod!$B$1:$BX$549,MATCH(V$2,Kraftvärmeprod!$B$1:$VX$1,0),FALSE)/1,0)-IFERROR(VLOOKUP($B315,'Slutlig allokering kvv'!$B$2:$BX$549,MATCH(V$2,'Slutlig allokering kvv'!$B$1:$BX$1,0),FALSE)/1,0))</f>
        <v/>
      </c>
      <c r="W315" s="121" t="str">
        <f>IF($D315="","",IFERROR(VLOOKUP($B315,Kraftvärmeprod!$B$1:$BX$549,MATCH(W$2,Kraftvärmeprod!$B$1:$VX$1,0),FALSE)/1,0)-IFERROR(VLOOKUP($B315,'Slutlig allokering kvv'!$B$2:$BX$549,MATCH(W$2,'Slutlig allokering kvv'!$B$1:$BX$1,0),FALSE)/1,0))</f>
        <v/>
      </c>
      <c r="X315" s="121" t="str">
        <f>IF($D315="","",IFERROR(VLOOKUP($B315,Kraftvärmeprod!$B$1:$BX$549,MATCH(X$2,Kraftvärmeprod!$B$1:$VX$1,0),FALSE)/1,0)-IFERROR(VLOOKUP($B315,'Slutlig allokering kvv'!$B$2:$BX$549,MATCH(X$2,'Slutlig allokering kvv'!$B$1:$BX$1,0),FALSE)/1,0))</f>
        <v/>
      </c>
      <c r="Y315" s="121" t="str">
        <f>IF($D315="","",IFERROR(VLOOKUP($B315,Kraftvärmeprod!$B$1:$BX$549,MATCH(Y$2,Kraftvärmeprod!$B$1:$VX$1,0),FALSE)/1,0)-IFERROR(VLOOKUP($B315,'Slutlig allokering kvv'!$B$2:$BX$549,MATCH(Y$2,'Slutlig allokering kvv'!$B$1:$BX$1,0),FALSE)/1,0))</f>
        <v/>
      </c>
      <c r="Z315" s="121" t="str">
        <f>IF($D315="","",IFERROR(VLOOKUP($B315,Kraftvärmeprod!$B$1:$BX$549,MATCH(Z$2,Kraftvärmeprod!$B$1:$VX$1,0),FALSE)/1,0)-IFERROR(VLOOKUP($B315,'Slutlig allokering kvv'!$B$2:$BX$549,MATCH(Z$2,'Slutlig allokering kvv'!$B$1:$BX$1,0),FALSE)/1,0))</f>
        <v/>
      </c>
      <c r="AA315" s="121" t="str">
        <f>IF($D315="","",IFERROR(VLOOKUP($B315,Kraftvärmeprod!$B$1:$BX$549,MATCH(AA$2,Kraftvärmeprod!$B$1:$VX$1,0),FALSE)/1,0)-IFERROR(VLOOKUP($B315,'Slutlig allokering kvv'!$B$2:$BX$549,MATCH(AA$2,'Slutlig allokering kvv'!$B$1:$BX$1,0),FALSE)/1,0))</f>
        <v/>
      </c>
      <c r="AB315" s="121" t="str">
        <f>IF($D315="","",IFERROR(VLOOKUP($B315,Kraftvärmeprod!$B$1:$BX$549,MATCH(AB$2,Kraftvärmeprod!$B$1:$VX$1,0),FALSE)/1,0)-IFERROR(VLOOKUP($B315,'Slutlig allokering kvv'!$B$2:$BX$549,MATCH(AB$2,'Slutlig allokering kvv'!$B$1:$BX$1,0),FALSE)/1,0))</f>
        <v/>
      </c>
      <c r="AC315" s="121" t="str">
        <f>IF($D315="","",IFERROR(VLOOKUP($B315,Kraftvärmeprod!$B$1:$BX$549,MATCH(AC$2,Kraftvärmeprod!$B$1:$VX$1,0),FALSE)/1,0)-IFERROR(VLOOKUP($B315,'Slutlig allokering kvv'!$B$2:$BX$549,MATCH(AC$2,'Slutlig allokering kvv'!$B$1:$BX$1,0),FALSE)/1,0))</f>
        <v/>
      </c>
      <c r="AD315" s="121" t="str">
        <f>IF($D315="","",IFERROR(VLOOKUP($B315,Kraftvärmeprod!$B$1:$BX$549,MATCH(AD$2,Kraftvärmeprod!$B$1:$VX$1,0),FALSE)/1,0)-IFERROR(VLOOKUP($B315,'Slutlig allokering kvv'!$B$2:$BX$549,MATCH(AD$2,'Slutlig allokering kvv'!$B$1:$BX$1,0),FALSE)/1,0))</f>
        <v/>
      </c>
      <c r="AE315" s="121" t="str">
        <f>IF($D315="","",IFERROR(VLOOKUP($B315,Miljö!$B$1:$E$550,MATCH("Hjälpel kraftvärme (GWh)",Miljö!$B$1:$E$1,0),FALSE)/1,0)-IFERROR(VLOOKUP($B315,'Slutlig allokering kvv'!$B$2:$BX$549,MATCH(AE$2,'Slutlig allokering kvv'!$B$1:$BX$1,0),FALSE)/1,0))</f>
        <v/>
      </c>
      <c r="AI315" s="121">
        <f t="shared" si="16"/>
        <v>0</v>
      </c>
      <c r="AK315" s="121">
        <f>IFERROR(VLOOKUP($B315,'Slutlig allokering kvv'!$B$2:$AX$549,MATCH("Summa slutlig allokerad tillförd energi (utan hjälpel och rökgaskondensering):",'Slutlig allokering kvv'!$B$1:$AX$1,0),FALSE)/1,"")</f>
        <v>0</v>
      </c>
      <c r="AM315" s="172" t="str">
        <f>IFERROR(1-VLOOKUP($B315,'Slutlig allokering kvv'!$B$2:$AX$549,MATCH("Andel av bränsle i kvv som allokerats till värme, exklusive rökgaskondensering och hjälpel",'Slutlig allokering kvv'!$B$1:$AX$1,0),FALSE),"")</f>
        <v/>
      </c>
      <c r="AO315" s="172" t="str">
        <f t="shared" si="17"/>
        <v/>
      </c>
      <c r="AP315" s="173" t="str">
        <f t="shared" si="18"/>
        <v/>
      </c>
      <c r="AR315" s="172" t="str">
        <f t="shared" si="19"/>
        <v/>
      </c>
    </row>
    <row r="316" spans="1:44" x14ac:dyDescent="0.25">
      <c r="A316" s="171" t="str">
        <f>'Miljövärden för publ företag'!B318</f>
        <v>Värmevärden AB</v>
      </c>
      <c r="B316" s="171" t="str">
        <f>'Miljövärden för publ företag'!C318</f>
        <v>Grythyttan</v>
      </c>
      <c r="C316" s="121" t="str">
        <f>IFERROR(VLOOKUP($B316,Kraftvärmeprod!$B$1:$AH$478,MATCH(C$2,Kraftvärmeprod!$B$1:$AG$1,0),FALSE)/1,"")</f>
        <v/>
      </c>
      <c r="D316" s="121" t="str">
        <f>IFERROR(VLOOKUP($B316,Kraftvärmeprod!$B$1:$AH$478,MATCH(D$2,Kraftvärmeprod!$B$1:$AG$1,0),FALSE)/1,"")</f>
        <v/>
      </c>
      <c r="F316" s="121" t="str">
        <f>IF($D316="","",IFERROR(VLOOKUP($B316,Kraftvärmeprod!$B$1:$BX$549,MATCH(F$2,Kraftvärmeprod!$B$1:$VX$1,0),FALSE)/1,0)-IFERROR(VLOOKUP($B316,'Slutlig allokering kvv'!$B$2:$BX$549,MATCH(F$2,'Slutlig allokering kvv'!$B$1:$BX$1,0),FALSE)/1,0))</f>
        <v/>
      </c>
      <c r="G316" s="121" t="str">
        <f>IF($D316="","",IFERROR(VLOOKUP($B316,Kraftvärmeprod!$B$1:$BX$549,MATCH(G$2,Kraftvärmeprod!$B$1:$VX$1,0),FALSE)/1,0)-IFERROR(VLOOKUP($B316,'Slutlig allokering kvv'!$B$2:$BX$549,MATCH(G$2,'Slutlig allokering kvv'!$B$1:$BX$1,0),FALSE)/1,0))</f>
        <v/>
      </c>
      <c r="H316" s="121" t="str">
        <f>IF($D316="","",IFERROR(VLOOKUP($B316,Kraftvärmeprod!$B$1:$BX$549,MATCH(H$2,Kraftvärmeprod!$B$1:$VX$1,0),FALSE)/1,0)-IFERROR(VLOOKUP($B316,'Slutlig allokering kvv'!$B$2:$BX$549,MATCH(H$2,'Slutlig allokering kvv'!$B$1:$BX$1,0),FALSE)/1,0))</f>
        <v/>
      </c>
      <c r="I316" s="121" t="str">
        <f>IF($D316="","",IFERROR(VLOOKUP($B316,Kraftvärmeprod!$B$1:$BX$549,MATCH(I$2,Kraftvärmeprod!$B$1:$VX$1,0),FALSE)/1,0)-IFERROR(VLOOKUP($B316,'Slutlig allokering kvv'!$B$2:$BX$549,MATCH(I$2,'Slutlig allokering kvv'!$B$1:$BX$1,0),FALSE)/1,0))</f>
        <v/>
      </c>
      <c r="J316" s="121" t="str">
        <f>IF($D316="","",IFERROR(VLOOKUP($B316,Kraftvärmeprod!$B$1:$BX$549,MATCH(J$2,Kraftvärmeprod!$B$1:$VX$1,0),FALSE)/1,0)-IFERROR(VLOOKUP($B316,'Slutlig allokering kvv'!$B$2:$BX$549,MATCH(J$2,'Slutlig allokering kvv'!$B$1:$BX$1,0),FALSE)/1,0))</f>
        <v/>
      </c>
      <c r="K316" s="121" t="str">
        <f>IF($D316="","",IFERROR(VLOOKUP($B316,Kraftvärmeprod!$B$1:$BX$549,MATCH(K$2,Kraftvärmeprod!$B$1:$VX$1,0),FALSE)/1,0)-IFERROR(VLOOKUP($B316,'Slutlig allokering kvv'!$B$2:$BX$549,MATCH(K$2,'Slutlig allokering kvv'!$B$1:$BX$1,0),FALSE)/1,0))</f>
        <v/>
      </c>
      <c r="L316" s="121" t="str">
        <f>IF($D316="","",IFERROR(VLOOKUP($B316,Kraftvärmeprod!$B$1:$BX$549,MATCH(L$2,Kraftvärmeprod!$B$1:$VX$1,0),FALSE)/1,0)-IFERROR(VLOOKUP($B316,'Slutlig allokering kvv'!$B$2:$BX$549,MATCH(L$2,'Slutlig allokering kvv'!$B$1:$BX$1,0),FALSE)/1,0))</f>
        <v/>
      </c>
      <c r="M316" s="121" t="str">
        <f>IF($D316="","",IFERROR(VLOOKUP($B316,Kraftvärmeprod!$B$1:$BX$549,MATCH(M$2,Kraftvärmeprod!$B$1:$VX$1,0),FALSE)/1,0)-IFERROR(VLOOKUP($B316,'Slutlig allokering kvv'!$B$2:$BX$549,MATCH(M$2,'Slutlig allokering kvv'!$B$1:$BX$1,0),FALSE)/1,0))</f>
        <v/>
      </c>
      <c r="N316" s="121" t="str">
        <f>IF($D316="","",IFERROR(VLOOKUP($B316,Kraftvärmeprod!$B$1:$BX$549,MATCH(N$2,Kraftvärmeprod!$B$1:$VX$1,0),FALSE)/1,0)-IFERROR(VLOOKUP($B316,'Slutlig allokering kvv'!$B$2:$BX$549,MATCH(N$2,'Slutlig allokering kvv'!$B$1:$BX$1,0),FALSE)/1,0))</f>
        <v/>
      </c>
      <c r="O316" s="121" t="str">
        <f>IF($D316="","",IFERROR(VLOOKUP($B316,Kraftvärmeprod!$B$1:$BX$549,MATCH(O$2,Kraftvärmeprod!$B$1:$VX$1,0),FALSE)/1,0)-IFERROR(VLOOKUP($B316,'Slutlig allokering kvv'!$B$2:$BX$549,MATCH(O$2,'Slutlig allokering kvv'!$B$1:$BX$1,0),FALSE)/1,0))</f>
        <v/>
      </c>
      <c r="P316" s="121" t="str">
        <f>IF($D316="","",IFERROR(VLOOKUP($B316,Kraftvärmeprod!$B$1:$BX$549,MATCH(P$2,Kraftvärmeprod!$B$1:$VX$1,0),FALSE)/1,0)-IFERROR(VLOOKUP($B316,'Slutlig allokering kvv'!$B$2:$BX$549,MATCH(P$2,'Slutlig allokering kvv'!$B$1:$BX$1,0),FALSE)/1,0))</f>
        <v/>
      </c>
      <c r="Q316" s="121" t="str">
        <f>IF($D316="","",IFERROR(VLOOKUP($B316,Kraftvärmeprod!$B$1:$BX$549,MATCH(Q$2,Kraftvärmeprod!$B$1:$VX$1,0),FALSE)/1,0)-IFERROR(VLOOKUP($B316,'Slutlig allokering kvv'!$B$2:$BX$549,MATCH(Q$2,'Slutlig allokering kvv'!$B$1:$BX$1,0),FALSE)/1,0))</f>
        <v/>
      </c>
      <c r="R316" s="121" t="str">
        <f>IF($D316="","",IFERROR(VLOOKUP($B316,Kraftvärmeprod!$B$1:$BX$549,MATCH(R$2,Kraftvärmeprod!$B$1:$VX$1,0),FALSE)/1,0)-IFERROR(VLOOKUP($B316,'Slutlig allokering kvv'!$B$2:$BX$549,MATCH(R$2,'Slutlig allokering kvv'!$B$1:$BX$1,0),FALSE)/1,0))</f>
        <v/>
      </c>
      <c r="S316" s="121" t="str">
        <f>IF($D316="","",IFERROR(VLOOKUP($B316,Kraftvärmeprod!$B$1:$BX$549,MATCH(S$2,Kraftvärmeprod!$B$1:$VX$1,0),FALSE)/1,0)-IFERROR(VLOOKUP($B316,'Slutlig allokering kvv'!$B$2:$BX$549,MATCH(S$2,'Slutlig allokering kvv'!$B$1:$BX$1,0),FALSE)/1,0))</f>
        <v/>
      </c>
      <c r="T316" s="121" t="str">
        <f>IF($D316="","",IFERROR(VLOOKUP($B316,Kraftvärmeprod!$B$1:$BX$549,MATCH(T$2,Kraftvärmeprod!$B$1:$VX$1,0),FALSE)/1,0)-IFERROR(VLOOKUP($B316,'Slutlig allokering kvv'!$B$2:$BX$549,MATCH(T$2,'Slutlig allokering kvv'!$B$1:$BX$1,0),FALSE)/1,0))</f>
        <v/>
      </c>
      <c r="U316" s="121" t="str">
        <f>IF($D316="","",IFERROR(VLOOKUP($B316,Kraftvärmeprod!$B$1:$BX$549,MATCH(U$2,Kraftvärmeprod!$B$1:$VX$1,0),FALSE)/1,0)-IFERROR(VLOOKUP($B316,'Slutlig allokering kvv'!$B$2:$BX$549,MATCH(U$2,'Slutlig allokering kvv'!$B$1:$BX$1,0),FALSE)/1,0))</f>
        <v/>
      </c>
      <c r="V316" s="121" t="str">
        <f>IF($D316="","",IFERROR(VLOOKUP($B316,Kraftvärmeprod!$B$1:$BX$549,MATCH(V$2,Kraftvärmeprod!$B$1:$VX$1,0),FALSE)/1,0)-IFERROR(VLOOKUP($B316,'Slutlig allokering kvv'!$B$2:$BX$549,MATCH(V$2,'Slutlig allokering kvv'!$B$1:$BX$1,0),FALSE)/1,0))</f>
        <v/>
      </c>
      <c r="W316" s="121" t="str">
        <f>IF($D316="","",IFERROR(VLOOKUP($B316,Kraftvärmeprod!$B$1:$BX$549,MATCH(W$2,Kraftvärmeprod!$B$1:$VX$1,0),FALSE)/1,0)-IFERROR(VLOOKUP($B316,'Slutlig allokering kvv'!$B$2:$BX$549,MATCH(W$2,'Slutlig allokering kvv'!$B$1:$BX$1,0),FALSE)/1,0))</f>
        <v/>
      </c>
      <c r="X316" s="121" t="str">
        <f>IF($D316="","",IFERROR(VLOOKUP($B316,Kraftvärmeprod!$B$1:$BX$549,MATCH(X$2,Kraftvärmeprod!$B$1:$VX$1,0),FALSE)/1,0)-IFERROR(VLOOKUP($B316,'Slutlig allokering kvv'!$B$2:$BX$549,MATCH(X$2,'Slutlig allokering kvv'!$B$1:$BX$1,0),FALSE)/1,0))</f>
        <v/>
      </c>
      <c r="Y316" s="121" t="str">
        <f>IF($D316="","",IFERROR(VLOOKUP($B316,Kraftvärmeprod!$B$1:$BX$549,MATCH(Y$2,Kraftvärmeprod!$B$1:$VX$1,0),FALSE)/1,0)-IFERROR(VLOOKUP($B316,'Slutlig allokering kvv'!$B$2:$BX$549,MATCH(Y$2,'Slutlig allokering kvv'!$B$1:$BX$1,0),FALSE)/1,0))</f>
        <v/>
      </c>
      <c r="Z316" s="121" t="str">
        <f>IF($D316="","",IFERROR(VLOOKUP($B316,Kraftvärmeprod!$B$1:$BX$549,MATCH(Z$2,Kraftvärmeprod!$B$1:$VX$1,0),FALSE)/1,0)-IFERROR(VLOOKUP($B316,'Slutlig allokering kvv'!$B$2:$BX$549,MATCH(Z$2,'Slutlig allokering kvv'!$B$1:$BX$1,0),FALSE)/1,0))</f>
        <v/>
      </c>
      <c r="AA316" s="121" t="str">
        <f>IF($D316="","",IFERROR(VLOOKUP($B316,Kraftvärmeprod!$B$1:$BX$549,MATCH(AA$2,Kraftvärmeprod!$B$1:$VX$1,0),FALSE)/1,0)-IFERROR(VLOOKUP($B316,'Slutlig allokering kvv'!$B$2:$BX$549,MATCH(AA$2,'Slutlig allokering kvv'!$B$1:$BX$1,0),FALSE)/1,0))</f>
        <v/>
      </c>
      <c r="AB316" s="121" t="str">
        <f>IF($D316="","",IFERROR(VLOOKUP($B316,Kraftvärmeprod!$B$1:$BX$549,MATCH(AB$2,Kraftvärmeprod!$B$1:$VX$1,0),FALSE)/1,0)-IFERROR(VLOOKUP($B316,'Slutlig allokering kvv'!$B$2:$BX$549,MATCH(AB$2,'Slutlig allokering kvv'!$B$1:$BX$1,0),FALSE)/1,0))</f>
        <v/>
      </c>
      <c r="AC316" s="121" t="str">
        <f>IF($D316="","",IFERROR(VLOOKUP($B316,Kraftvärmeprod!$B$1:$BX$549,MATCH(AC$2,Kraftvärmeprod!$B$1:$VX$1,0),FALSE)/1,0)-IFERROR(VLOOKUP($B316,'Slutlig allokering kvv'!$B$2:$BX$549,MATCH(AC$2,'Slutlig allokering kvv'!$B$1:$BX$1,0),FALSE)/1,0))</f>
        <v/>
      </c>
      <c r="AD316" s="121" t="str">
        <f>IF($D316="","",IFERROR(VLOOKUP($B316,Kraftvärmeprod!$B$1:$BX$549,MATCH(AD$2,Kraftvärmeprod!$B$1:$VX$1,0),FALSE)/1,0)-IFERROR(VLOOKUP($B316,'Slutlig allokering kvv'!$B$2:$BX$549,MATCH(AD$2,'Slutlig allokering kvv'!$B$1:$BX$1,0),FALSE)/1,0))</f>
        <v/>
      </c>
      <c r="AE316" s="121" t="str">
        <f>IF($D316="","",IFERROR(VLOOKUP($B316,Miljö!$B$1:$E$550,MATCH("Hjälpel kraftvärme (GWh)",Miljö!$B$1:$E$1,0),FALSE)/1,0)-IFERROR(VLOOKUP($B316,'Slutlig allokering kvv'!$B$2:$BX$549,MATCH(AE$2,'Slutlig allokering kvv'!$B$1:$BX$1,0),FALSE)/1,0))</f>
        <v/>
      </c>
      <c r="AI316" s="121">
        <f t="shared" si="16"/>
        <v>0</v>
      </c>
      <c r="AK316" s="121">
        <f>IFERROR(VLOOKUP($B316,'Slutlig allokering kvv'!$B$2:$AX$549,MATCH("Summa slutlig allokerad tillförd energi (utan hjälpel och rökgaskondensering):",'Slutlig allokering kvv'!$B$1:$AX$1,0),FALSE)/1,"")</f>
        <v>0</v>
      </c>
      <c r="AM316" s="172" t="str">
        <f>IFERROR(1-VLOOKUP($B316,'Slutlig allokering kvv'!$B$2:$AX$549,MATCH("Andel av bränsle i kvv som allokerats till värme, exklusive rökgaskondensering och hjälpel",'Slutlig allokering kvv'!$B$1:$AX$1,0),FALSE),"")</f>
        <v/>
      </c>
      <c r="AO316" s="172" t="str">
        <f t="shared" si="17"/>
        <v/>
      </c>
      <c r="AP316" s="173" t="str">
        <f t="shared" si="18"/>
        <v/>
      </c>
      <c r="AR316" s="172" t="str">
        <f t="shared" si="19"/>
        <v/>
      </c>
    </row>
    <row r="317" spans="1:44" x14ac:dyDescent="0.25">
      <c r="A317" s="171" t="str">
        <f>'Miljövärden för publ företag'!B319</f>
        <v>Värmevärden AB</v>
      </c>
      <c r="B317" s="171" t="str">
        <f>'Miljövärden för publ företag'!C319</f>
        <v>Hofors(Värmevärden)</v>
      </c>
      <c r="C317" s="121">
        <f>IFERROR(VLOOKUP($B317,Kraftvärmeprod!$B$1:$AH$478,MATCH(C$2,Kraftvärmeprod!$B$1:$AG$1,0),FALSE)/1,"")</f>
        <v>45.48</v>
      </c>
      <c r="D317" s="121">
        <f>IFERROR(VLOOKUP($B317,Kraftvärmeprod!$B$1:$AH$478,MATCH(D$2,Kraftvärmeprod!$B$1:$AG$1,0),FALSE)/1,"")</f>
        <v>1.0049999999999999</v>
      </c>
      <c r="F317" s="121">
        <f>IF($D317="","",IFERROR(VLOOKUP($B317,Kraftvärmeprod!$B$1:$BX$549,MATCH(F$2,Kraftvärmeprod!$B$1:$VX$1,0),FALSE)/1,0)-IFERROR(VLOOKUP($B317,'Slutlig allokering kvv'!$B$2:$BX$549,MATCH(F$2,'Slutlig allokering kvv'!$B$1:$BX$1,0),FALSE)/1,0))</f>
        <v>0</v>
      </c>
      <c r="G317" s="121">
        <f>IF($D317="","",IFERROR(VLOOKUP($B317,Kraftvärmeprod!$B$1:$BX$549,MATCH(G$2,Kraftvärmeprod!$B$1:$VX$1,0),FALSE)/1,0)-IFERROR(VLOOKUP($B317,'Slutlig allokering kvv'!$B$2:$BX$549,MATCH(G$2,'Slutlig allokering kvv'!$B$1:$BX$1,0),FALSE)/1,0))</f>
        <v>0</v>
      </c>
      <c r="H317" s="121">
        <f>IF($D317="","",IFERROR(VLOOKUP($B317,Kraftvärmeprod!$B$1:$BX$549,MATCH(H$2,Kraftvärmeprod!$B$1:$VX$1,0),FALSE)/1,0)-IFERROR(VLOOKUP($B317,'Slutlig allokering kvv'!$B$2:$BX$549,MATCH(H$2,'Slutlig allokering kvv'!$B$1:$BX$1,0),FALSE)/1,0))</f>
        <v>0</v>
      </c>
      <c r="I317" s="121">
        <f>IF($D317="","",IFERROR(VLOOKUP($B317,Kraftvärmeprod!$B$1:$BX$549,MATCH(I$2,Kraftvärmeprod!$B$1:$VX$1,0),FALSE)/1,0)-IFERROR(VLOOKUP($B317,'Slutlig allokering kvv'!$B$2:$BX$549,MATCH(I$2,'Slutlig allokering kvv'!$B$1:$BX$1,0),FALSE)/1,0))</f>
        <v>0.13520000000000021</v>
      </c>
      <c r="J317" s="121">
        <f>IF($D317="","",IFERROR(VLOOKUP($B317,Kraftvärmeprod!$B$1:$BX$549,MATCH(J$2,Kraftvärmeprod!$B$1:$VX$1,0),FALSE)/1,0)-IFERROR(VLOOKUP($B317,'Slutlig allokering kvv'!$B$2:$BX$549,MATCH(J$2,'Slutlig allokering kvv'!$B$1:$BX$1,0),FALSE)/1,0))</f>
        <v>0</v>
      </c>
      <c r="K317" s="121">
        <f>IF($D317="","",IFERROR(VLOOKUP($B317,Kraftvärmeprod!$B$1:$BX$549,MATCH(K$2,Kraftvärmeprod!$B$1:$VX$1,0),FALSE)/1,0)-IFERROR(VLOOKUP($B317,'Slutlig allokering kvv'!$B$2:$BX$549,MATCH(K$2,'Slutlig allokering kvv'!$B$1:$BX$1,0),FALSE)/1,0))</f>
        <v>0</v>
      </c>
      <c r="L317" s="121">
        <f>IF($D317="","",IFERROR(VLOOKUP($B317,Kraftvärmeprod!$B$1:$BX$549,MATCH(L$2,Kraftvärmeprod!$B$1:$VX$1,0),FALSE)/1,0)-IFERROR(VLOOKUP($B317,'Slutlig allokering kvv'!$B$2:$BX$549,MATCH(L$2,'Slutlig allokering kvv'!$B$1:$BX$1,0),FALSE)/1,0))</f>
        <v>0</v>
      </c>
      <c r="M317" s="121">
        <f>IF($D317="","",IFERROR(VLOOKUP($B317,Kraftvärmeprod!$B$1:$BX$549,MATCH(M$2,Kraftvärmeprod!$B$1:$VX$1,0),FALSE)/1,0)-IFERROR(VLOOKUP($B317,'Slutlig allokering kvv'!$B$2:$BX$549,MATCH(M$2,'Slutlig allokering kvv'!$B$1:$BX$1,0),FALSE)/1,0))</f>
        <v>0</v>
      </c>
      <c r="N317" s="121">
        <f>IF($D317="","",IFERROR(VLOOKUP($B317,Kraftvärmeprod!$B$1:$BX$549,MATCH(N$2,Kraftvärmeprod!$B$1:$VX$1,0),FALSE)/1,0)-IFERROR(VLOOKUP($B317,'Slutlig allokering kvv'!$B$2:$BX$549,MATCH(N$2,'Slutlig allokering kvv'!$B$1:$BX$1,0),FALSE)/1,0))</f>
        <v>0.57577999999999996</v>
      </c>
      <c r="O317" s="121">
        <f>IF($D317="","",IFERROR(VLOOKUP($B317,Kraftvärmeprod!$B$1:$BX$549,MATCH(O$2,Kraftvärmeprod!$B$1:$VX$1,0),FALSE)/1,0)-IFERROR(VLOOKUP($B317,'Slutlig allokering kvv'!$B$2:$BX$549,MATCH(O$2,'Slutlig allokering kvv'!$B$1:$BX$1,0),FALSE)/1,0))</f>
        <v>1.4020999999999972</v>
      </c>
      <c r="P317" s="121">
        <f>IF($D317="","",IFERROR(VLOOKUP($B317,Kraftvärmeprod!$B$1:$BX$549,MATCH(P$2,Kraftvärmeprod!$B$1:$VX$1,0),FALSE)/1,0)-IFERROR(VLOOKUP($B317,'Slutlig allokering kvv'!$B$2:$BX$549,MATCH(P$2,'Slutlig allokering kvv'!$B$1:$BX$1,0),FALSE)/1,0))</f>
        <v>0</v>
      </c>
      <c r="Q317" s="121">
        <f>IF($D317="","",IFERROR(VLOOKUP($B317,Kraftvärmeprod!$B$1:$BX$549,MATCH(Q$2,Kraftvärmeprod!$B$1:$VX$1,0),FALSE)/1,0)-IFERROR(VLOOKUP($B317,'Slutlig allokering kvv'!$B$2:$BX$549,MATCH(Q$2,'Slutlig allokering kvv'!$B$1:$BX$1,0),FALSE)/1,0))</f>
        <v>0.40190999999999999</v>
      </c>
      <c r="R317" s="121">
        <f>IF($D317="","",IFERROR(VLOOKUP($B317,Kraftvärmeprod!$B$1:$BX$549,MATCH(R$2,Kraftvärmeprod!$B$1:$VX$1,0),FALSE)/1,0)-IFERROR(VLOOKUP($B317,'Slutlig allokering kvv'!$B$2:$BX$549,MATCH(R$2,'Slutlig allokering kvv'!$B$1:$BX$1,0),FALSE)/1,0))</f>
        <v>0</v>
      </c>
      <c r="S317" s="121">
        <f>IF($D317="","",IFERROR(VLOOKUP($B317,Kraftvärmeprod!$B$1:$BX$549,MATCH(S$2,Kraftvärmeprod!$B$1:$VX$1,0),FALSE)/1,0)-IFERROR(VLOOKUP($B317,'Slutlig allokering kvv'!$B$2:$BX$549,MATCH(S$2,'Slutlig allokering kvv'!$B$1:$BX$1,0),FALSE)/1,0))</f>
        <v>0</v>
      </c>
      <c r="T317" s="121">
        <f>IF($D317="","",IFERROR(VLOOKUP($B317,Kraftvärmeprod!$B$1:$BX$549,MATCH(T$2,Kraftvärmeprod!$B$1:$VX$1,0),FALSE)/1,0)-IFERROR(VLOOKUP($B317,'Slutlig allokering kvv'!$B$2:$BX$549,MATCH(T$2,'Slutlig allokering kvv'!$B$1:$BX$1,0),FALSE)/1,0))</f>
        <v>0</v>
      </c>
      <c r="U317" s="121">
        <f>IF($D317="","",IFERROR(VLOOKUP($B317,Kraftvärmeprod!$B$1:$BX$549,MATCH(U$2,Kraftvärmeprod!$B$1:$VX$1,0),FALSE)/1,0)-IFERROR(VLOOKUP($B317,'Slutlig allokering kvv'!$B$2:$BX$549,MATCH(U$2,'Slutlig allokering kvv'!$B$1:$BX$1,0),FALSE)/1,0))</f>
        <v>0</v>
      </c>
      <c r="V317" s="121">
        <f>IF($D317="","",IFERROR(VLOOKUP($B317,Kraftvärmeprod!$B$1:$BX$549,MATCH(V$2,Kraftvärmeprod!$B$1:$VX$1,0),FALSE)/1,0)-IFERROR(VLOOKUP($B317,'Slutlig allokering kvv'!$B$2:$BX$549,MATCH(V$2,'Slutlig allokering kvv'!$B$1:$BX$1,0),FALSE)/1,0))</f>
        <v>0</v>
      </c>
      <c r="W317" s="121">
        <f>IF($D317="","",IFERROR(VLOOKUP($B317,Kraftvärmeprod!$B$1:$BX$549,MATCH(W$2,Kraftvärmeprod!$B$1:$VX$1,0),FALSE)/1,0)-IFERROR(VLOOKUP($B317,'Slutlig allokering kvv'!$B$2:$BX$549,MATCH(W$2,'Slutlig allokering kvv'!$B$1:$BX$1,0),FALSE)/1,0))</f>
        <v>0</v>
      </c>
      <c r="X317" s="121">
        <f>IF($D317="","",IFERROR(VLOOKUP($B317,Kraftvärmeprod!$B$1:$BX$549,MATCH(X$2,Kraftvärmeprod!$B$1:$VX$1,0),FALSE)/1,0)-IFERROR(VLOOKUP($B317,'Slutlig allokering kvv'!$B$2:$BX$549,MATCH(X$2,'Slutlig allokering kvv'!$B$1:$BX$1,0),FALSE)/1,0))</f>
        <v>0</v>
      </c>
      <c r="Y317" s="121">
        <f>IF($D317="","",IFERROR(VLOOKUP($B317,Kraftvärmeprod!$B$1:$BX$549,MATCH(Y$2,Kraftvärmeprod!$B$1:$VX$1,0),FALSE)/1,0)-IFERROR(VLOOKUP($B317,'Slutlig allokering kvv'!$B$2:$BX$549,MATCH(Y$2,'Slutlig allokering kvv'!$B$1:$BX$1,0),FALSE)/1,0))</f>
        <v>0</v>
      </c>
      <c r="Z317" s="121">
        <f>IF($D317="","",IFERROR(VLOOKUP($B317,Kraftvärmeprod!$B$1:$BX$549,MATCH(Z$2,Kraftvärmeprod!$B$1:$VX$1,0),FALSE)/1,0)-IFERROR(VLOOKUP($B317,'Slutlig allokering kvv'!$B$2:$BX$549,MATCH(Z$2,'Slutlig allokering kvv'!$B$1:$BX$1,0),FALSE)/1,0))</f>
        <v>0</v>
      </c>
      <c r="AA317" s="121">
        <f>IF($D317="","",IFERROR(VLOOKUP($B317,Kraftvärmeprod!$B$1:$BX$549,MATCH(AA$2,Kraftvärmeprod!$B$1:$VX$1,0),FALSE)/1,0)-IFERROR(VLOOKUP($B317,'Slutlig allokering kvv'!$B$2:$BX$549,MATCH(AA$2,'Slutlig allokering kvv'!$B$1:$BX$1,0),FALSE)/1,0))</f>
        <v>0</v>
      </c>
      <c r="AB317" s="121">
        <f>IF($D317="","",IFERROR(VLOOKUP($B317,Kraftvärmeprod!$B$1:$BX$549,MATCH(AB$2,Kraftvärmeprod!$B$1:$VX$1,0),FALSE)/1,0)-IFERROR(VLOOKUP($B317,'Slutlig allokering kvv'!$B$2:$BX$549,MATCH(AB$2,'Slutlig allokering kvv'!$B$1:$BX$1,0),FALSE)/1,0))</f>
        <v>0</v>
      </c>
      <c r="AC317" s="121">
        <f>IF($D317="","",IFERROR(VLOOKUP($B317,Kraftvärmeprod!$B$1:$BX$549,MATCH(AC$2,Kraftvärmeprod!$B$1:$VX$1,0),FALSE)/1,0)-IFERROR(VLOOKUP($B317,'Slutlig allokering kvv'!$B$2:$BX$549,MATCH(AC$2,'Slutlig allokering kvv'!$B$1:$BX$1,0),FALSE)/1,0))</f>
        <v>0</v>
      </c>
      <c r="AD317" s="121">
        <f>IF($D317="","",IFERROR(VLOOKUP($B317,Kraftvärmeprod!$B$1:$BX$549,MATCH(AD$2,Kraftvärmeprod!$B$1:$VX$1,0),FALSE)/1,0)-IFERROR(VLOOKUP($B317,'Slutlig allokering kvv'!$B$2:$BX$549,MATCH(AD$2,'Slutlig allokering kvv'!$B$1:$BX$1,0),FALSE)/1,0))</f>
        <v>0</v>
      </c>
      <c r="AE317" s="121">
        <f>IF($D317="","",IFERROR(VLOOKUP($B317,Miljö!$B$1:$E$550,MATCH("Hjälpel kraftvärme (GWh)",Miljö!$B$1:$E$1,0),FALSE)/1,0)-IFERROR(VLOOKUP($B317,'Slutlig allokering kvv'!$B$2:$BX$549,MATCH(AE$2,'Slutlig allokering kvv'!$B$1:$BX$1,0),FALSE)/1,0))</f>
        <v>1.5508999999999995E-2</v>
      </c>
      <c r="AI317" s="121">
        <f t="shared" si="16"/>
        <v>2.5149899999999974</v>
      </c>
      <c r="AK317" s="121">
        <f>IFERROR(VLOOKUP($B317,'Slutlig allokering kvv'!$B$2:$AX$549,MATCH("Summa slutlig allokerad tillförd energi (utan hjälpel och rökgaskondensering):",'Slutlig allokering kvv'!$B$1:$AX$1,0),FALSE)/1,"")</f>
        <v>44.34901</v>
      </c>
      <c r="AM317" s="172">
        <f>IFERROR(1-VLOOKUP($B317,'Slutlig allokering kvv'!$B$2:$AX$549,MATCH("Andel av bränsle i kvv som allokerats till värme, exklusive rökgaskondensering och hjälpel",'Slutlig allokering kvv'!$B$1:$AX$1,0),FALSE),"")</f>
        <v>5.3665713554113981E-2</v>
      </c>
      <c r="AO317" s="172">
        <f t="shared" si="17"/>
        <v>5.3665713554113981E-2</v>
      </c>
      <c r="AP317" s="173">
        <f t="shared" si="18"/>
        <v>0</v>
      </c>
      <c r="AR317" s="172">
        <f t="shared" si="19"/>
        <v>0.39715486945460204</v>
      </c>
    </row>
    <row r="318" spans="1:44" x14ac:dyDescent="0.25">
      <c r="A318" s="171" t="str">
        <f>'Miljövärden för publ företag'!B320</f>
        <v>Värmevärden AB</v>
      </c>
      <c r="B318" s="171" t="str">
        <f>'Miljövärden för publ företag'!C320</f>
        <v>Hudiksvall</v>
      </c>
      <c r="C318" s="121">
        <f>IFERROR(VLOOKUP($B318,Kraftvärmeprod!$B$1:$AH$478,MATCH(C$2,Kraftvärmeprod!$B$1:$AG$1,0),FALSE)/1,"")</f>
        <v>107.117</v>
      </c>
      <c r="D318" s="121">
        <f>IFERROR(VLOOKUP($B318,Kraftvärmeprod!$B$1:$AH$478,MATCH(D$2,Kraftvärmeprod!$B$1:$AG$1,0),FALSE)/1,"")</f>
        <v>28.547999999999998</v>
      </c>
      <c r="F318" s="121">
        <f>IF($D318="","",IFERROR(VLOOKUP($B318,Kraftvärmeprod!$B$1:$BX$549,MATCH(F$2,Kraftvärmeprod!$B$1:$VX$1,0),FALSE)/1,0)-IFERROR(VLOOKUP($B318,'Slutlig allokering kvv'!$B$2:$BX$549,MATCH(F$2,'Slutlig allokering kvv'!$B$1:$BX$1,0),FALSE)/1,0))</f>
        <v>0</v>
      </c>
      <c r="G318" s="121">
        <f>IF($D318="","",IFERROR(VLOOKUP($B318,Kraftvärmeprod!$B$1:$BX$549,MATCH(G$2,Kraftvärmeprod!$B$1:$VX$1,0),FALSE)/1,0)-IFERROR(VLOOKUP($B318,'Slutlig allokering kvv'!$B$2:$BX$549,MATCH(G$2,'Slutlig allokering kvv'!$B$1:$BX$1,0),FALSE)/1,0))</f>
        <v>0</v>
      </c>
      <c r="H318" s="121">
        <f>IF($D318="","",IFERROR(VLOOKUP($B318,Kraftvärmeprod!$B$1:$BX$549,MATCH(H$2,Kraftvärmeprod!$B$1:$VX$1,0),FALSE)/1,0)-IFERROR(VLOOKUP($B318,'Slutlig allokering kvv'!$B$2:$BX$549,MATCH(H$2,'Slutlig allokering kvv'!$B$1:$BX$1,0),FALSE)/1,0))</f>
        <v>0</v>
      </c>
      <c r="I318" s="121">
        <f>IF($D318="","",IFERROR(VLOOKUP($B318,Kraftvärmeprod!$B$1:$BX$549,MATCH(I$2,Kraftvärmeprod!$B$1:$VX$1,0),FALSE)/1,0)-IFERROR(VLOOKUP($B318,'Slutlig allokering kvv'!$B$2:$BX$549,MATCH(I$2,'Slutlig allokering kvv'!$B$1:$BX$1,0),FALSE)/1,0))</f>
        <v>0</v>
      </c>
      <c r="J318" s="121">
        <f>IF($D318="","",IFERROR(VLOOKUP($B318,Kraftvärmeprod!$B$1:$BX$549,MATCH(J$2,Kraftvärmeprod!$B$1:$VX$1,0),FALSE)/1,0)-IFERROR(VLOOKUP($B318,'Slutlig allokering kvv'!$B$2:$BX$549,MATCH(J$2,'Slutlig allokering kvv'!$B$1:$BX$1,0),FALSE)/1,0))</f>
        <v>0</v>
      </c>
      <c r="K318" s="121">
        <f>IF($D318="","",IFERROR(VLOOKUP($B318,Kraftvärmeprod!$B$1:$BX$549,MATCH(K$2,Kraftvärmeprod!$B$1:$VX$1,0),FALSE)/1,0)-IFERROR(VLOOKUP($B318,'Slutlig allokering kvv'!$B$2:$BX$549,MATCH(K$2,'Slutlig allokering kvv'!$B$1:$BX$1,0),FALSE)/1,0))</f>
        <v>0</v>
      </c>
      <c r="L318" s="121">
        <f>IF($D318="","",IFERROR(VLOOKUP($B318,Kraftvärmeprod!$B$1:$BX$549,MATCH(L$2,Kraftvärmeprod!$B$1:$VX$1,0),FALSE)/1,0)-IFERROR(VLOOKUP($B318,'Slutlig allokering kvv'!$B$2:$BX$549,MATCH(L$2,'Slutlig allokering kvv'!$B$1:$BX$1,0),FALSE)/1,0))</f>
        <v>0.32707800000000004</v>
      </c>
      <c r="M318" s="121">
        <f>IF($D318="","",IFERROR(VLOOKUP($B318,Kraftvärmeprod!$B$1:$BX$549,MATCH(M$2,Kraftvärmeprod!$B$1:$VX$1,0),FALSE)/1,0)-IFERROR(VLOOKUP($B318,'Slutlig allokering kvv'!$B$2:$BX$549,MATCH(M$2,'Slutlig allokering kvv'!$B$1:$BX$1,0),FALSE)/1,0))</f>
        <v>40.745399999999997</v>
      </c>
      <c r="N318" s="121">
        <f>IF($D318="","",IFERROR(VLOOKUP($B318,Kraftvärmeprod!$B$1:$BX$549,MATCH(N$2,Kraftvärmeprod!$B$1:$VX$1,0),FALSE)/1,0)-IFERROR(VLOOKUP($B318,'Slutlig allokering kvv'!$B$2:$BX$549,MATCH(N$2,'Slutlig allokering kvv'!$B$1:$BX$1,0),FALSE)/1,0))</f>
        <v>2.2952800000000002E-2</v>
      </c>
      <c r="O318" s="121">
        <f>IF($D318="","",IFERROR(VLOOKUP($B318,Kraftvärmeprod!$B$1:$BX$549,MATCH(O$2,Kraftvärmeprod!$B$1:$VX$1,0),FALSE)/1,0)-IFERROR(VLOOKUP($B318,'Slutlig allokering kvv'!$B$2:$BX$549,MATCH(O$2,'Slutlig allokering kvv'!$B$1:$BX$1,0),FALSE)/1,0))</f>
        <v>20.4526</v>
      </c>
      <c r="P318" s="121">
        <f>IF($D318="","",IFERROR(VLOOKUP($B318,Kraftvärmeprod!$B$1:$BX$549,MATCH(P$2,Kraftvärmeprod!$B$1:$VX$1,0),FALSE)/1,0)-IFERROR(VLOOKUP($B318,'Slutlig allokering kvv'!$B$2:$BX$549,MATCH(P$2,'Slutlig allokering kvv'!$B$1:$BX$1,0),FALSE)/1,0))</f>
        <v>0</v>
      </c>
      <c r="Q318" s="121">
        <f>IF($D318="","",IFERROR(VLOOKUP($B318,Kraftvärmeprod!$B$1:$BX$549,MATCH(Q$2,Kraftvärmeprod!$B$1:$VX$1,0),FALSE)/1,0)-IFERROR(VLOOKUP($B318,'Slutlig allokering kvv'!$B$2:$BX$549,MATCH(Q$2,'Slutlig allokering kvv'!$B$1:$BX$1,0),FALSE)/1,0))</f>
        <v>7.1310000000000002</v>
      </c>
      <c r="R318" s="121">
        <f>IF($D318="","",IFERROR(VLOOKUP($B318,Kraftvärmeprod!$B$1:$BX$549,MATCH(R$2,Kraftvärmeprod!$B$1:$VX$1,0),FALSE)/1,0)-IFERROR(VLOOKUP($B318,'Slutlig allokering kvv'!$B$2:$BX$549,MATCH(R$2,'Slutlig allokering kvv'!$B$1:$BX$1,0),FALSE)/1,0))</f>
        <v>0</v>
      </c>
      <c r="S318" s="121">
        <f>IF($D318="","",IFERROR(VLOOKUP($B318,Kraftvärmeprod!$B$1:$BX$549,MATCH(S$2,Kraftvärmeprod!$B$1:$VX$1,0),FALSE)/1,0)-IFERROR(VLOOKUP($B318,'Slutlig allokering kvv'!$B$2:$BX$549,MATCH(S$2,'Slutlig allokering kvv'!$B$1:$BX$1,0),FALSE)/1,0))</f>
        <v>0</v>
      </c>
      <c r="T318" s="121">
        <f>IF($D318="","",IFERROR(VLOOKUP($B318,Kraftvärmeprod!$B$1:$BX$549,MATCH(T$2,Kraftvärmeprod!$B$1:$VX$1,0),FALSE)/1,0)-IFERROR(VLOOKUP($B318,'Slutlig allokering kvv'!$B$2:$BX$549,MATCH(T$2,'Slutlig allokering kvv'!$B$1:$BX$1,0),FALSE)/1,0))</f>
        <v>0</v>
      </c>
      <c r="U318" s="121">
        <f>IF($D318="","",IFERROR(VLOOKUP($B318,Kraftvärmeprod!$B$1:$BX$549,MATCH(U$2,Kraftvärmeprod!$B$1:$VX$1,0),FALSE)/1,0)-IFERROR(VLOOKUP($B318,'Slutlig allokering kvv'!$B$2:$BX$549,MATCH(U$2,'Slutlig allokering kvv'!$B$1:$BX$1,0),FALSE)/1,0))</f>
        <v>0</v>
      </c>
      <c r="V318" s="121">
        <f>IF($D318="","",IFERROR(VLOOKUP($B318,Kraftvärmeprod!$B$1:$BX$549,MATCH(V$2,Kraftvärmeprod!$B$1:$VX$1,0),FALSE)/1,0)-IFERROR(VLOOKUP($B318,'Slutlig allokering kvv'!$B$2:$BX$549,MATCH(V$2,'Slutlig allokering kvv'!$B$1:$BX$1,0),FALSE)/1,0))</f>
        <v>0.45290799999999998</v>
      </c>
      <c r="W318" s="121">
        <f>IF($D318="","",IFERROR(VLOOKUP($B318,Kraftvärmeprod!$B$1:$BX$549,MATCH(W$2,Kraftvärmeprod!$B$1:$VX$1,0),FALSE)/1,0)-IFERROR(VLOOKUP($B318,'Slutlig allokering kvv'!$B$2:$BX$549,MATCH(W$2,'Slutlig allokering kvv'!$B$1:$BX$1,0),FALSE)/1,0))</f>
        <v>0</v>
      </c>
      <c r="X318" s="121">
        <f>IF($D318="","",IFERROR(VLOOKUP($B318,Kraftvärmeprod!$B$1:$BX$549,MATCH(X$2,Kraftvärmeprod!$B$1:$VX$1,0),FALSE)/1,0)-IFERROR(VLOOKUP($B318,'Slutlig allokering kvv'!$B$2:$BX$549,MATCH(X$2,'Slutlig allokering kvv'!$B$1:$BX$1,0),FALSE)/1,0))</f>
        <v>0</v>
      </c>
      <c r="Y318" s="121">
        <f>IF($D318="","",IFERROR(VLOOKUP($B318,Kraftvärmeprod!$B$1:$BX$549,MATCH(Y$2,Kraftvärmeprod!$B$1:$VX$1,0),FALSE)/1,0)-IFERROR(VLOOKUP($B318,'Slutlig allokering kvv'!$B$2:$BX$549,MATCH(Y$2,'Slutlig allokering kvv'!$B$1:$BX$1,0),FALSE)/1,0))</f>
        <v>0</v>
      </c>
      <c r="Z318" s="121">
        <f>IF($D318="","",IFERROR(VLOOKUP($B318,Kraftvärmeprod!$B$1:$BX$549,MATCH(Z$2,Kraftvärmeprod!$B$1:$VX$1,0),FALSE)/1,0)-IFERROR(VLOOKUP($B318,'Slutlig allokering kvv'!$B$2:$BX$549,MATCH(Z$2,'Slutlig allokering kvv'!$B$1:$BX$1,0),FALSE)/1,0))</f>
        <v>0</v>
      </c>
      <c r="AA318" s="121">
        <f>IF($D318="","",IFERROR(VLOOKUP($B318,Kraftvärmeprod!$B$1:$BX$549,MATCH(AA$2,Kraftvärmeprod!$B$1:$VX$1,0),FALSE)/1,0)-IFERROR(VLOOKUP($B318,'Slutlig allokering kvv'!$B$2:$BX$549,MATCH(AA$2,'Slutlig allokering kvv'!$B$1:$BX$1,0),FALSE)/1,0))</f>
        <v>0</v>
      </c>
      <c r="AB318" s="121">
        <f>IF($D318="","",IFERROR(VLOOKUP($B318,Kraftvärmeprod!$B$1:$BX$549,MATCH(AB$2,Kraftvärmeprod!$B$1:$VX$1,0),FALSE)/1,0)-IFERROR(VLOOKUP($B318,'Slutlig allokering kvv'!$B$2:$BX$549,MATCH(AB$2,'Slutlig allokering kvv'!$B$1:$BX$1,0),FALSE)/1,0))</f>
        <v>1.1061600000000003</v>
      </c>
      <c r="AC318" s="121">
        <f>IF($D318="","",IFERROR(VLOOKUP($B318,Kraftvärmeprod!$B$1:$BX$549,MATCH(AC$2,Kraftvärmeprod!$B$1:$VX$1,0),FALSE)/1,0)-IFERROR(VLOOKUP($B318,'Slutlig allokering kvv'!$B$2:$BX$549,MATCH(AC$2,'Slutlig allokering kvv'!$B$1:$BX$1,0),FALSE)/1,0))</f>
        <v>0</v>
      </c>
      <c r="AD318" s="121">
        <f>IF($D318="","",IFERROR(VLOOKUP($B318,Kraftvärmeprod!$B$1:$BX$549,MATCH(AD$2,Kraftvärmeprod!$B$1:$VX$1,0),FALSE)/1,0)-IFERROR(VLOOKUP($B318,'Slutlig allokering kvv'!$B$2:$BX$549,MATCH(AD$2,'Slutlig allokering kvv'!$B$1:$BX$1,0),FALSE)/1,0))</f>
        <v>0</v>
      </c>
      <c r="AE318" s="121">
        <f>IF($D318="","",IFERROR(VLOOKUP($B318,Miljö!$B$1:$E$550,MATCH("Hjälpel kraftvärme (GWh)",Miljö!$B$1:$E$1,0),FALSE)/1,0)-IFERROR(VLOOKUP($B318,'Slutlig allokering kvv'!$B$2:$BX$549,MATCH(AE$2,'Slutlig allokering kvv'!$B$1:$BX$1,0),FALSE)/1,0))</f>
        <v>2.3835800000000003</v>
      </c>
      <c r="AI318" s="121">
        <f t="shared" si="16"/>
        <v>70.238098799999989</v>
      </c>
      <c r="AK318" s="121">
        <f>IFERROR(VLOOKUP($B318,'Slutlig allokering kvv'!$B$2:$AX$549,MATCH("Summa slutlig allokerad tillförd energi (utan hjälpel och rökgaskondensering):",'Slutlig allokering kvv'!$B$1:$AX$1,0),FALSE)/1,"")</f>
        <v>101.35090119999998</v>
      </c>
      <c r="AM318" s="172">
        <f>IFERROR(1-VLOOKUP($B318,'Slutlig allokering kvv'!$B$2:$AX$549,MATCH("Andel av bränsle i kvv som allokerats till värme, exklusive rökgaskondensering och hjälpel",'Slutlig allokering kvv'!$B$1:$AX$1,0),FALSE),"")</f>
        <v>0.40933916976029927</v>
      </c>
      <c r="AO318" s="172">
        <f t="shared" si="17"/>
        <v>0.40933916976029933</v>
      </c>
      <c r="AP318" s="173">
        <f t="shared" si="18"/>
        <v>-5.5511151231257827E-17</v>
      </c>
      <c r="AR318" s="172">
        <f t="shared" si="19"/>
        <v>0.39310575673444781</v>
      </c>
    </row>
    <row r="319" spans="1:44" x14ac:dyDescent="0.25">
      <c r="A319" s="171" t="str">
        <f>'Miljövärden för publ företag'!B321</f>
        <v>Värmevärden AB</v>
      </c>
      <c r="B319" s="171" t="str">
        <f>'Miljövärden för publ företag'!C321</f>
        <v>Hällefors</v>
      </c>
      <c r="C319" s="121" t="str">
        <f>IFERROR(VLOOKUP($B319,Kraftvärmeprod!$B$1:$AH$478,MATCH(C$2,Kraftvärmeprod!$B$1:$AG$1,0),FALSE)/1,"")</f>
        <v/>
      </c>
      <c r="D319" s="121" t="str">
        <f>IFERROR(VLOOKUP($B319,Kraftvärmeprod!$B$1:$AH$478,MATCH(D$2,Kraftvärmeprod!$B$1:$AG$1,0),FALSE)/1,"")</f>
        <v/>
      </c>
      <c r="F319" s="121" t="str">
        <f>IF($D319="","",IFERROR(VLOOKUP($B319,Kraftvärmeprod!$B$1:$BX$549,MATCH(F$2,Kraftvärmeprod!$B$1:$VX$1,0),FALSE)/1,0)-IFERROR(VLOOKUP($B319,'Slutlig allokering kvv'!$B$2:$BX$549,MATCH(F$2,'Slutlig allokering kvv'!$B$1:$BX$1,0),FALSE)/1,0))</f>
        <v/>
      </c>
      <c r="G319" s="121" t="str">
        <f>IF($D319="","",IFERROR(VLOOKUP($B319,Kraftvärmeprod!$B$1:$BX$549,MATCH(G$2,Kraftvärmeprod!$B$1:$VX$1,0),FALSE)/1,0)-IFERROR(VLOOKUP($B319,'Slutlig allokering kvv'!$B$2:$BX$549,MATCH(G$2,'Slutlig allokering kvv'!$B$1:$BX$1,0),FALSE)/1,0))</f>
        <v/>
      </c>
      <c r="H319" s="121" t="str">
        <f>IF($D319="","",IFERROR(VLOOKUP($B319,Kraftvärmeprod!$B$1:$BX$549,MATCH(H$2,Kraftvärmeprod!$B$1:$VX$1,0),FALSE)/1,0)-IFERROR(VLOOKUP($B319,'Slutlig allokering kvv'!$B$2:$BX$549,MATCH(H$2,'Slutlig allokering kvv'!$B$1:$BX$1,0),FALSE)/1,0))</f>
        <v/>
      </c>
      <c r="I319" s="121" t="str">
        <f>IF($D319="","",IFERROR(VLOOKUP($B319,Kraftvärmeprod!$B$1:$BX$549,MATCH(I$2,Kraftvärmeprod!$B$1:$VX$1,0),FALSE)/1,0)-IFERROR(VLOOKUP($B319,'Slutlig allokering kvv'!$B$2:$BX$549,MATCH(I$2,'Slutlig allokering kvv'!$B$1:$BX$1,0),FALSE)/1,0))</f>
        <v/>
      </c>
      <c r="J319" s="121" t="str">
        <f>IF($D319="","",IFERROR(VLOOKUP($B319,Kraftvärmeprod!$B$1:$BX$549,MATCH(J$2,Kraftvärmeprod!$B$1:$VX$1,0),FALSE)/1,0)-IFERROR(VLOOKUP($B319,'Slutlig allokering kvv'!$B$2:$BX$549,MATCH(J$2,'Slutlig allokering kvv'!$B$1:$BX$1,0),FALSE)/1,0))</f>
        <v/>
      </c>
      <c r="K319" s="121" t="str">
        <f>IF($D319="","",IFERROR(VLOOKUP($B319,Kraftvärmeprod!$B$1:$BX$549,MATCH(K$2,Kraftvärmeprod!$B$1:$VX$1,0),FALSE)/1,0)-IFERROR(VLOOKUP($B319,'Slutlig allokering kvv'!$B$2:$BX$549,MATCH(K$2,'Slutlig allokering kvv'!$B$1:$BX$1,0),FALSE)/1,0))</f>
        <v/>
      </c>
      <c r="L319" s="121" t="str">
        <f>IF($D319="","",IFERROR(VLOOKUP($B319,Kraftvärmeprod!$B$1:$BX$549,MATCH(L$2,Kraftvärmeprod!$B$1:$VX$1,0),FALSE)/1,0)-IFERROR(VLOOKUP($B319,'Slutlig allokering kvv'!$B$2:$BX$549,MATCH(L$2,'Slutlig allokering kvv'!$B$1:$BX$1,0),FALSE)/1,0))</f>
        <v/>
      </c>
      <c r="M319" s="121" t="str">
        <f>IF($D319="","",IFERROR(VLOOKUP($B319,Kraftvärmeprod!$B$1:$BX$549,MATCH(M$2,Kraftvärmeprod!$B$1:$VX$1,0),FALSE)/1,0)-IFERROR(VLOOKUP($B319,'Slutlig allokering kvv'!$B$2:$BX$549,MATCH(M$2,'Slutlig allokering kvv'!$B$1:$BX$1,0),FALSE)/1,0))</f>
        <v/>
      </c>
      <c r="N319" s="121" t="str">
        <f>IF($D319="","",IFERROR(VLOOKUP($B319,Kraftvärmeprod!$B$1:$BX$549,MATCH(N$2,Kraftvärmeprod!$B$1:$VX$1,0),FALSE)/1,0)-IFERROR(VLOOKUP($B319,'Slutlig allokering kvv'!$B$2:$BX$549,MATCH(N$2,'Slutlig allokering kvv'!$B$1:$BX$1,0),FALSE)/1,0))</f>
        <v/>
      </c>
      <c r="O319" s="121" t="str">
        <f>IF($D319="","",IFERROR(VLOOKUP($B319,Kraftvärmeprod!$B$1:$BX$549,MATCH(O$2,Kraftvärmeprod!$B$1:$VX$1,0),FALSE)/1,0)-IFERROR(VLOOKUP($B319,'Slutlig allokering kvv'!$B$2:$BX$549,MATCH(O$2,'Slutlig allokering kvv'!$B$1:$BX$1,0),FALSE)/1,0))</f>
        <v/>
      </c>
      <c r="P319" s="121" t="str">
        <f>IF($D319="","",IFERROR(VLOOKUP($B319,Kraftvärmeprod!$B$1:$BX$549,MATCH(P$2,Kraftvärmeprod!$B$1:$VX$1,0),FALSE)/1,0)-IFERROR(VLOOKUP($B319,'Slutlig allokering kvv'!$B$2:$BX$549,MATCH(P$2,'Slutlig allokering kvv'!$B$1:$BX$1,0),FALSE)/1,0))</f>
        <v/>
      </c>
      <c r="Q319" s="121" t="str">
        <f>IF($D319="","",IFERROR(VLOOKUP($B319,Kraftvärmeprod!$B$1:$BX$549,MATCH(Q$2,Kraftvärmeprod!$B$1:$VX$1,0),FALSE)/1,0)-IFERROR(VLOOKUP($B319,'Slutlig allokering kvv'!$B$2:$BX$549,MATCH(Q$2,'Slutlig allokering kvv'!$B$1:$BX$1,0),FALSE)/1,0))</f>
        <v/>
      </c>
      <c r="R319" s="121" t="str">
        <f>IF($D319="","",IFERROR(VLOOKUP($B319,Kraftvärmeprod!$B$1:$BX$549,MATCH(R$2,Kraftvärmeprod!$B$1:$VX$1,0),FALSE)/1,0)-IFERROR(VLOOKUP($B319,'Slutlig allokering kvv'!$B$2:$BX$549,MATCH(R$2,'Slutlig allokering kvv'!$B$1:$BX$1,0),FALSE)/1,0))</f>
        <v/>
      </c>
      <c r="S319" s="121" t="str">
        <f>IF($D319="","",IFERROR(VLOOKUP($B319,Kraftvärmeprod!$B$1:$BX$549,MATCH(S$2,Kraftvärmeprod!$B$1:$VX$1,0),FALSE)/1,0)-IFERROR(VLOOKUP($B319,'Slutlig allokering kvv'!$B$2:$BX$549,MATCH(S$2,'Slutlig allokering kvv'!$B$1:$BX$1,0),FALSE)/1,0))</f>
        <v/>
      </c>
      <c r="T319" s="121" t="str">
        <f>IF($D319="","",IFERROR(VLOOKUP($B319,Kraftvärmeprod!$B$1:$BX$549,MATCH(T$2,Kraftvärmeprod!$B$1:$VX$1,0),FALSE)/1,0)-IFERROR(VLOOKUP($B319,'Slutlig allokering kvv'!$B$2:$BX$549,MATCH(T$2,'Slutlig allokering kvv'!$B$1:$BX$1,0),FALSE)/1,0))</f>
        <v/>
      </c>
      <c r="U319" s="121" t="str">
        <f>IF($D319="","",IFERROR(VLOOKUP($B319,Kraftvärmeprod!$B$1:$BX$549,MATCH(U$2,Kraftvärmeprod!$B$1:$VX$1,0),FALSE)/1,0)-IFERROR(VLOOKUP($B319,'Slutlig allokering kvv'!$B$2:$BX$549,MATCH(U$2,'Slutlig allokering kvv'!$B$1:$BX$1,0),FALSE)/1,0))</f>
        <v/>
      </c>
      <c r="V319" s="121" t="str">
        <f>IF($D319="","",IFERROR(VLOOKUP($B319,Kraftvärmeprod!$B$1:$BX$549,MATCH(V$2,Kraftvärmeprod!$B$1:$VX$1,0),FALSE)/1,0)-IFERROR(VLOOKUP($B319,'Slutlig allokering kvv'!$B$2:$BX$549,MATCH(V$2,'Slutlig allokering kvv'!$B$1:$BX$1,0),FALSE)/1,0))</f>
        <v/>
      </c>
      <c r="W319" s="121" t="str">
        <f>IF($D319="","",IFERROR(VLOOKUP($B319,Kraftvärmeprod!$B$1:$BX$549,MATCH(W$2,Kraftvärmeprod!$B$1:$VX$1,0),FALSE)/1,0)-IFERROR(VLOOKUP($B319,'Slutlig allokering kvv'!$B$2:$BX$549,MATCH(W$2,'Slutlig allokering kvv'!$B$1:$BX$1,0),FALSE)/1,0))</f>
        <v/>
      </c>
      <c r="X319" s="121" t="str">
        <f>IF($D319="","",IFERROR(VLOOKUP($B319,Kraftvärmeprod!$B$1:$BX$549,MATCH(X$2,Kraftvärmeprod!$B$1:$VX$1,0),FALSE)/1,0)-IFERROR(VLOOKUP($B319,'Slutlig allokering kvv'!$B$2:$BX$549,MATCH(X$2,'Slutlig allokering kvv'!$B$1:$BX$1,0),FALSE)/1,0))</f>
        <v/>
      </c>
      <c r="Y319" s="121" t="str">
        <f>IF($D319="","",IFERROR(VLOOKUP($B319,Kraftvärmeprod!$B$1:$BX$549,MATCH(Y$2,Kraftvärmeprod!$B$1:$VX$1,0),FALSE)/1,0)-IFERROR(VLOOKUP($B319,'Slutlig allokering kvv'!$B$2:$BX$549,MATCH(Y$2,'Slutlig allokering kvv'!$B$1:$BX$1,0),FALSE)/1,0))</f>
        <v/>
      </c>
      <c r="Z319" s="121" t="str">
        <f>IF($D319="","",IFERROR(VLOOKUP($B319,Kraftvärmeprod!$B$1:$BX$549,MATCH(Z$2,Kraftvärmeprod!$B$1:$VX$1,0),FALSE)/1,0)-IFERROR(VLOOKUP($B319,'Slutlig allokering kvv'!$B$2:$BX$549,MATCH(Z$2,'Slutlig allokering kvv'!$B$1:$BX$1,0),FALSE)/1,0))</f>
        <v/>
      </c>
      <c r="AA319" s="121" t="str">
        <f>IF($D319="","",IFERROR(VLOOKUP($B319,Kraftvärmeprod!$B$1:$BX$549,MATCH(AA$2,Kraftvärmeprod!$B$1:$VX$1,0),FALSE)/1,0)-IFERROR(VLOOKUP($B319,'Slutlig allokering kvv'!$B$2:$BX$549,MATCH(AA$2,'Slutlig allokering kvv'!$B$1:$BX$1,0),FALSE)/1,0))</f>
        <v/>
      </c>
      <c r="AB319" s="121" t="str">
        <f>IF($D319="","",IFERROR(VLOOKUP($B319,Kraftvärmeprod!$B$1:$BX$549,MATCH(AB$2,Kraftvärmeprod!$B$1:$VX$1,0),FALSE)/1,0)-IFERROR(VLOOKUP($B319,'Slutlig allokering kvv'!$B$2:$BX$549,MATCH(AB$2,'Slutlig allokering kvv'!$B$1:$BX$1,0),FALSE)/1,0))</f>
        <v/>
      </c>
      <c r="AC319" s="121" t="str">
        <f>IF($D319="","",IFERROR(VLOOKUP($B319,Kraftvärmeprod!$B$1:$BX$549,MATCH(AC$2,Kraftvärmeprod!$B$1:$VX$1,0),FALSE)/1,0)-IFERROR(VLOOKUP($B319,'Slutlig allokering kvv'!$B$2:$BX$549,MATCH(AC$2,'Slutlig allokering kvv'!$B$1:$BX$1,0),FALSE)/1,0))</f>
        <v/>
      </c>
      <c r="AD319" s="121" t="str">
        <f>IF($D319="","",IFERROR(VLOOKUP($B319,Kraftvärmeprod!$B$1:$BX$549,MATCH(AD$2,Kraftvärmeprod!$B$1:$VX$1,0),FALSE)/1,0)-IFERROR(VLOOKUP($B319,'Slutlig allokering kvv'!$B$2:$BX$549,MATCH(AD$2,'Slutlig allokering kvv'!$B$1:$BX$1,0),FALSE)/1,0))</f>
        <v/>
      </c>
      <c r="AE319" s="121" t="str">
        <f>IF($D319="","",IFERROR(VLOOKUP($B319,Miljö!$B$1:$E$550,MATCH("Hjälpel kraftvärme (GWh)",Miljö!$B$1:$E$1,0),FALSE)/1,0)-IFERROR(VLOOKUP($B319,'Slutlig allokering kvv'!$B$2:$BX$549,MATCH(AE$2,'Slutlig allokering kvv'!$B$1:$BX$1,0),FALSE)/1,0))</f>
        <v/>
      </c>
      <c r="AI319" s="121">
        <f t="shared" si="16"/>
        <v>0</v>
      </c>
      <c r="AK319" s="121">
        <f>IFERROR(VLOOKUP($B319,'Slutlig allokering kvv'!$B$2:$AX$549,MATCH("Summa slutlig allokerad tillförd energi (utan hjälpel och rökgaskondensering):",'Slutlig allokering kvv'!$B$1:$AX$1,0),FALSE)/1,"")</f>
        <v>0</v>
      </c>
      <c r="AM319" s="172" t="str">
        <f>IFERROR(1-VLOOKUP($B319,'Slutlig allokering kvv'!$B$2:$AX$549,MATCH("Andel av bränsle i kvv som allokerats till värme, exklusive rökgaskondensering och hjälpel",'Slutlig allokering kvv'!$B$1:$AX$1,0),FALSE),"")</f>
        <v/>
      </c>
      <c r="AO319" s="172" t="str">
        <f t="shared" si="17"/>
        <v/>
      </c>
      <c r="AP319" s="173" t="str">
        <f t="shared" si="18"/>
        <v/>
      </c>
      <c r="AR319" s="172" t="str">
        <f t="shared" si="19"/>
        <v/>
      </c>
    </row>
    <row r="320" spans="1:44" x14ac:dyDescent="0.25">
      <c r="A320" s="171" t="str">
        <f>'Miljövärden för publ företag'!B322</f>
        <v>Värmevärden AB</v>
      </c>
      <c r="B320" s="171" t="str">
        <f>'Miljövärden för publ företag'!C322</f>
        <v>Iggesund</v>
      </c>
      <c r="C320" s="121" t="str">
        <f>IFERROR(VLOOKUP($B320,Kraftvärmeprod!$B$1:$AH$478,MATCH(C$2,Kraftvärmeprod!$B$1:$AG$1,0),FALSE)/1,"")</f>
        <v/>
      </c>
      <c r="D320" s="121" t="str">
        <f>IFERROR(VLOOKUP($B320,Kraftvärmeprod!$B$1:$AH$478,MATCH(D$2,Kraftvärmeprod!$B$1:$AG$1,0),FALSE)/1,"")</f>
        <v/>
      </c>
      <c r="F320" s="121" t="str">
        <f>IF($D320="","",IFERROR(VLOOKUP($B320,Kraftvärmeprod!$B$1:$BX$549,MATCH(F$2,Kraftvärmeprod!$B$1:$VX$1,0),FALSE)/1,0)-IFERROR(VLOOKUP($B320,'Slutlig allokering kvv'!$B$2:$BX$549,MATCH(F$2,'Slutlig allokering kvv'!$B$1:$BX$1,0),FALSE)/1,0))</f>
        <v/>
      </c>
      <c r="G320" s="121" t="str">
        <f>IF($D320="","",IFERROR(VLOOKUP($B320,Kraftvärmeprod!$B$1:$BX$549,MATCH(G$2,Kraftvärmeprod!$B$1:$VX$1,0),FALSE)/1,0)-IFERROR(VLOOKUP($B320,'Slutlig allokering kvv'!$B$2:$BX$549,MATCH(G$2,'Slutlig allokering kvv'!$B$1:$BX$1,0),FALSE)/1,0))</f>
        <v/>
      </c>
      <c r="H320" s="121" t="str">
        <f>IF($D320="","",IFERROR(VLOOKUP($B320,Kraftvärmeprod!$B$1:$BX$549,MATCH(H$2,Kraftvärmeprod!$B$1:$VX$1,0),FALSE)/1,0)-IFERROR(VLOOKUP($B320,'Slutlig allokering kvv'!$B$2:$BX$549,MATCH(H$2,'Slutlig allokering kvv'!$B$1:$BX$1,0),FALSE)/1,0))</f>
        <v/>
      </c>
      <c r="I320" s="121" t="str">
        <f>IF($D320="","",IFERROR(VLOOKUP($B320,Kraftvärmeprod!$B$1:$BX$549,MATCH(I$2,Kraftvärmeprod!$B$1:$VX$1,0),FALSE)/1,0)-IFERROR(VLOOKUP($B320,'Slutlig allokering kvv'!$B$2:$BX$549,MATCH(I$2,'Slutlig allokering kvv'!$B$1:$BX$1,0),FALSE)/1,0))</f>
        <v/>
      </c>
      <c r="J320" s="121" t="str">
        <f>IF($D320="","",IFERROR(VLOOKUP($B320,Kraftvärmeprod!$B$1:$BX$549,MATCH(J$2,Kraftvärmeprod!$B$1:$VX$1,0),FALSE)/1,0)-IFERROR(VLOOKUP($B320,'Slutlig allokering kvv'!$B$2:$BX$549,MATCH(J$2,'Slutlig allokering kvv'!$B$1:$BX$1,0),FALSE)/1,0))</f>
        <v/>
      </c>
      <c r="K320" s="121" t="str">
        <f>IF($D320="","",IFERROR(VLOOKUP($B320,Kraftvärmeprod!$B$1:$BX$549,MATCH(K$2,Kraftvärmeprod!$B$1:$VX$1,0),FALSE)/1,0)-IFERROR(VLOOKUP($B320,'Slutlig allokering kvv'!$B$2:$BX$549,MATCH(K$2,'Slutlig allokering kvv'!$B$1:$BX$1,0),FALSE)/1,0))</f>
        <v/>
      </c>
      <c r="L320" s="121" t="str">
        <f>IF($D320="","",IFERROR(VLOOKUP($B320,Kraftvärmeprod!$B$1:$BX$549,MATCH(L$2,Kraftvärmeprod!$B$1:$VX$1,0),FALSE)/1,0)-IFERROR(VLOOKUP($B320,'Slutlig allokering kvv'!$B$2:$BX$549,MATCH(L$2,'Slutlig allokering kvv'!$B$1:$BX$1,0),FALSE)/1,0))</f>
        <v/>
      </c>
      <c r="M320" s="121" t="str">
        <f>IF($D320="","",IFERROR(VLOOKUP($B320,Kraftvärmeprod!$B$1:$BX$549,MATCH(M$2,Kraftvärmeprod!$B$1:$VX$1,0),FALSE)/1,0)-IFERROR(VLOOKUP($B320,'Slutlig allokering kvv'!$B$2:$BX$549,MATCH(M$2,'Slutlig allokering kvv'!$B$1:$BX$1,0),FALSE)/1,0))</f>
        <v/>
      </c>
      <c r="N320" s="121" t="str">
        <f>IF($D320="","",IFERROR(VLOOKUP($B320,Kraftvärmeprod!$B$1:$BX$549,MATCH(N$2,Kraftvärmeprod!$B$1:$VX$1,0),FALSE)/1,0)-IFERROR(VLOOKUP($B320,'Slutlig allokering kvv'!$B$2:$BX$549,MATCH(N$2,'Slutlig allokering kvv'!$B$1:$BX$1,0),FALSE)/1,0))</f>
        <v/>
      </c>
      <c r="O320" s="121" t="str">
        <f>IF($D320="","",IFERROR(VLOOKUP($B320,Kraftvärmeprod!$B$1:$BX$549,MATCH(O$2,Kraftvärmeprod!$B$1:$VX$1,0),FALSE)/1,0)-IFERROR(VLOOKUP($B320,'Slutlig allokering kvv'!$B$2:$BX$549,MATCH(O$2,'Slutlig allokering kvv'!$B$1:$BX$1,0),FALSE)/1,0))</f>
        <v/>
      </c>
      <c r="P320" s="121" t="str">
        <f>IF($D320="","",IFERROR(VLOOKUP($B320,Kraftvärmeprod!$B$1:$BX$549,MATCH(P$2,Kraftvärmeprod!$B$1:$VX$1,0),FALSE)/1,0)-IFERROR(VLOOKUP($B320,'Slutlig allokering kvv'!$B$2:$BX$549,MATCH(P$2,'Slutlig allokering kvv'!$B$1:$BX$1,0),FALSE)/1,0))</f>
        <v/>
      </c>
      <c r="Q320" s="121" t="str">
        <f>IF($D320="","",IFERROR(VLOOKUP($B320,Kraftvärmeprod!$B$1:$BX$549,MATCH(Q$2,Kraftvärmeprod!$B$1:$VX$1,0),FALSE)/1,0)-IFERROR(VLOOKUP($B320,'Slutlig allokering kvv'!$B$2:$BX$549,MATCH(Q$2,'Slutlig allokering kvv'!$B$1:$BX$1,0),FALSE)/1,0))</f>
        <v/>
      </c>
      <c r="R320" s="121" t="str">
        <f>IF($D320="","",IFERROR(VLOOKUP($B320,Kraftvärmeprod!$B$1:$BX$549,MATCH(R$2,Kraftvärmeprod!$B$1:$VX$1,0),FALSE)/1,0)-IFERROR(VLOOKUP($B320,'Slutlig allokering kvv'!$B$2:$BX$549,MATCH(R$2,'Slutlig allokering kvv'!$B$1:$BX$1,0),FALSE)/1,0))</f>
        <v/>
      </c>
      <c r="S320" s="121" t="str">
        <f>IF($D320="","",IFERROR(VLOOKUP($B320,Kraftvärmeprod!$B$1:$BX$549,MATCH(S$2,Kraftvärmeprod!$B$1:$VX$1,0),FALSE)/1,0)-IFERROR(VLOOKUP($B320,'Slutlig allokering kvv'!$B$2:$BX$549,MATCH(S$2,'Slutlig allokering kvv'!$B$1:$BX$1,0),FALSE)/1,0))</f>
        <v/>
      </c>
      <c r="T320" s="121" t="str">
        <f>IF($D320="","",IFERROR(VLOOKUP($B320,Kraftvärmeprod!$B$1:$BX$549,MATCH(T$2,Kraftvärmeprod!$B$1:$VX$1,0),FALSE)/1,0)-IFERROR(VLOOKUP($B320,'Slutlig allokering kvv'!$B$2:$BX$549,MATCH(T$2,'Slutlig allokering kvv'!$B$1:$BX$1,0),FALSE)/1,0))</f>
        <v/>
      </c>
      <c r="U320" s="121" t="str">
        <f>IF($D320="","",IFERROR(VLOOKUP($B320,Kraftvärmeprod!$B$1:$BX$549,MATCH(U$2,Kraftvärmeprod!$B$1:$VX$1,0),FALSE)/1,0)-IFERROR(VLOOKUP($B320,'Slutlig allokering kvv'!$B$2:$BX$549,MATCH(U$2,'Slutlig allokering kvv'!$B$1:$BX$1,0),FALSE)/1,0))</f>
        <v/>
      </c>
      <c r="V320" s="121" t="str">
        <f>IF($D320="","",IFERROR(VLOOKUP($B320,Kraftvärmeprod!$B$1:$BX$549,MATCH(V$2,Kraftvärmeprod!$B$1:$VX$1,0),FALSE)/1,0)-IFERROR(VLOOKUP($B320,'Slutlig allokering kvv'!$B$2:$BX$549,MATCH(V$2,'Slutlig allokering kvv'!$B$1:$BX$1,0),FALSE)/1,0))</f>
        <v/>
      </c>
      <c r="W320" s="121" t="str">
        <f>IF($D320="","",IFERROR(VLOOKUP($B320,Kraftvärmeprod!$B$1:$BX$549,MATCH(W$2,Kraftvärmeprod!$B$1:$VX$1,0),FALSE)/1,0)-IFERROR(VLOOKUP($B320,'Slutlig allokering kvv'!$B$2:$BX$549,MATCH(W$2,'Slutlig allokering kvv'!$B$1:$BX$1,0),FALSE)/1,0))</f>
        <v/>
      </c>
      <c r="X320" s="121" t="str">
        <f>IF($D320="","",IFERROR(VLOOKUP($B320,Kraftvärmeprod!$B$1:$BX$549,MATCH(X$2,Kraftvärmeprod!$B$1:$VX$1,0),FALSE)/1,0)-IFERROR(VLOOKUP($B320,'Slutlig allokering kvv'!$B$2:$BX$549,MATCH(X$2,'Slutlig allokering kvv'!$B$1:$BX$1,0),FALSE)/1,0))</f>
        <v/>
      </c>
      <c r="Y320" s="121" t="str">
        <f>IF($D320="","",IFERROR(VLOOKUP($B320,Kraftvärmeprod!$B$1:$BX$549,MATCH(Y$2,Kraftvärmeprod!$B$1:$VX$1,0),FALSE)/1,0)-IFERROR(VLOOKUP($B320,'Slutlig allokering kvv'!$B$2:$BX$549,MATCH(Y$2,'Slutlig allokering kvv'!$B$1:$BX$1,0),FALSE)/1,0))</f>
        <v/>
      </c>
      <c r="Z320" s="121" t="str">
        <f>IF($D320="","",IFERROR(VLOOKUP($B320,Kraftvärmeprod!$B$1:$BX$549,MATCH(Z$2,Kraftvärmeprod!$B$1:$VX$1,0),FALSE)/1,0)-IFERROR(VLOOKUP($B320,'Slutlig allokering kvv'!$B$2:$BX$549,MATCH(Z$2,'Slutlig allokering kvv'!$B$1:$BX$1,0),FALSE)/1,0))</f>
        <v/>
      </c>
      <c r="AA320" s="121" t="str">
        <f>IF($D320="","",IFERROR(VLOOKUP($B320,Kraftvärmeprod!$B$1:$BX$549,MATCH(AA$2,Kraftvärmeprod!$B$1:$VX$1,0),FALSE)/1,0)-IFERROR(VLOOKUP($B320,'Slutlig allokering kvv'!$B$2:$BX$549,MATCH(AA$2,'Slutlig allokering kvv'!$B$1:$BX$1,0),FALSE)/1,0))</f>
        <v/>
      </c>
      <c r="AB320" s="121" t="str">
        <f>IF($D320="","",IFERROR(VLOOKUP($B320,Kraftvärmeprod!$B$1:$BX$549,MATCH(AB$2,Kraftvärmeprod!$B$1:$VX$1,0),FALSE)/1,0)-IFERROR(VLOOKUP($B320,'Slutlig allokering kvv'!$B$2:$BX$549,MATCH(AB$2,'Slutlig allokering kvv'!$B$1:$BX$1,0),FALSE)/1,0))</f>
        <v/>
      </c>
      <c r="AC320" s="121" t="str">
        <f>IF($D320="","",IFERROR(VLOOKUP($B320,Kraftvärmeprod!$B$1:$BX$549,MATCH(AC$2,Kraftvärmeprod!$B$1:$VX$1,0),FALSE)/1,0)-IFERROR(VLOOKUP($B320,'Slutlig allokering kvv'!$B$2:$BX$549,MATCH(AC$2,'Slutlig allokering kvv'!$B$1:$BX$1,0),FALSE)/1,0))</f>
        <v/>
      </c>
      <c r="AD320" s="121" t="str">
        <f>IF($D320="","",IFERROR(VLOOKUP($B320,Kraftvärmeprod!$B$1:$BX$549,MATCH(AD$2,Kraftvärmeprod!$B$1:$VX$1,0),FALSE)/1,0)-IFERROR(VLOOKUP($B320,'Slutlig allokering kvv'!$B$2:$BX$549,MATCH(AD$2,'Slutlig allokering kvv'!$B$1:$BX$1,0),FALSE)/1,0))</f>
        <v/>
      </c>
      <c r="AE320" s="121" t="str">
        <f>IF($D320="","",IFERROR(VLOOKUP($B320,Miljö!$B$1:$E$550,MATCH("Hjälpel kraftvärme (GWh)",Miljö!$B$1:$E$1,0),FALSE)/1,0)-IFERROR(VLOOKUP($B320,'Slutlig allokering kvv'!$B$2:$BX$549,MATCH(AE$2,'Slutlig allokering kvv'!$B$1:$BX$1,0),FALSE)/1,0))</f>
        <v/>
      </c>
      <c r="AI320" s="121">
        <f t="shared" si="16"/>
        <v>0</v>
      </c>
      <c r="AK320" s="121">
        <f>IFERROR(VLOOKUP($B320,'Slutlig allokering kvv'!$B$2:$AX$549,MATCH("Summa slutlig allokerad tillförd energi (utan hjälpel och rökgaskondensering):",'Slutlig allokering kvv'!$B$1:$AX$1,0),FALSE)/1,"")</f>
        <v>0</v>
      </c>
      <c r="AM320" s="172" t="str">
        <f>IFERROR(1-VLOOKUP($B320,'Slutlig allokering kvv'!$B$2:$AX$549,MATCH("Andel av bränsle i kvv som allokerats till värme, exklusive rökgaskondensering och hjälpel",'Slutlig allokering kvv'!$B$1:$AX$1,0),FALSE),"")</f>
        <v/>
      </c>
      <c r="AO320" s="172" t="str">
        <f t="shared" si="17"/>
        <v/>
      </c>
      <c r="AP320" s="173" t="str">
        <f t="shared" si="18"/>
        <v/>
      </c>
      <c r="AR320" s="172" t="str">
        <f t="shared" si="19"/>
        <v/>
      </c>
    </row>
    <row r="321" spans="1:44" x14ac:dyDescent="0.25">
      <c r="A321" s="171" t="str">
        <f>'Miljövärden för publ företag'!B323</f>
        <v>Värmevärden AB</v>
      </c>
      <c r="B321" s="171" t="str">
        <f>'Miljövärden för publ företag'!C323</f>
        <v>Kopparberg</v>
      </c>
      <c r="C321" s="121" t="str">
        <f>IFERROR(VLOOKUP($B321,Kraftvärmeprod!$B$1:$AH$478,MATCH(C$2,Kraftvärmeprod!$B$1:$AG$1,0),FALSE)/1,"")</f>
        <v/>
      </c>
      <c r="D321" s="121" t="str">
        <f>IFERROR(VLOOKUP($B321,Kraftvärmeprod!$B$1:$AH$478,MATCH(D$2,Kraftvärmeprod!$B$1:$AG$1,0),FALSE)/1,"")</f>
        <v/>
      </c>
      <c r="F321" s="121" t="str">
        <f>IF($D321="","",IFERROR(VLOOKUP($B321,Kraftvärmeprod!$B$1:$BX$549,MATCH(F$2,Kraftvärmeprod!$B$1:$VX$1,0),FALSE)/1,0)-IFERROR(VLOOKUP($B321,'Slutlig allokering kvv'!$B$2:$BX$549,MATCH(F$2,'Slutlig allokering kvv'!$B$1:$BX$1,0),FALSE)/1,0))</f>
        <v/>
      </c>
      <c r="G321" s="121" t="str">
        <f>IF($D321="","",IFERROR(VLOOKUP($B321,Kraftvärmeprod!$B$1:$BX$549,MATCH(G$2,Kraftvärmeprod!$B$1:$VX$1,0),FALSE)/1,0)-IFERROR(VLOOKUP($B321,'Slutlig allokering kvv'!$B$2:$BX$549,MATCH(G$2,'Slutlig allokering kvv'!$B$1:$BX$1,0),FALSE)/1,0))</f>
        <v/>
      </c>
      <c r="H321" s="121" t="str">
        <f>IF($D321="","",IFERROR(VLOOKUP($B321,Kraftvärmeprod!$B$1:$BX$549,MATCH(H$2,Kraftvärmeprod!$B$1:$VX$1,0),FALSE)/1,0)-IFERROR(VLOOKUP($B321,'Slutlig allokering kvv'!$B$2:$BX$549,MATCH(H$2,'Slutlig allokering kvv'!$B$1:$BX$1,0),FALSE)/1,0))</f>
        <v/>
      </c>
      <c r="I321" s="121" t="str">
        <f>IF($D321="","",IFERROR(VLOOKUP($B321,Kraftvärmeprod!$B$1:$BX$549,MATCH(I$2,Kraftvärmeprod!$B$1:$VX$1,0),FALSE)/1,0)-IFERROR(VLOOKUP($B321,'Slutlig allokering kvv'!$B$2:$BX$549,MATCH(I$2,'Slutlig allokering kvv'!$B$1:$BX$1,0),FALSE)/1,0))</f>
        <v/>
      </c>
      <c r="J321" s="121" t="str">
        <f>IF($D321="","",IFERROR(VLOOKUP($B321,Kraftvärmeprod!$B$1:$BX$549,MATCH(J$2,Kraftvärmeprod!$B$1:$VX$1,0),FALSE)/1,0)-IFERROR(VLOOKUP($B321,'Slutlig allokering kvv'!$B$2:$BX$549,MATCH(J$2,'Slutlig allokering kvv'!$B$1:$BX$1,0),FALSE)/1,0))</f>
        <v/>
      </c>
      <c r="K321" s="121" t="str">
        <f>IF($D321="","",IFERROR(VLOOKUP($B321,Kraftvärmeprod!$B$1:$BX$549,MATCH(K$2,Kraftvärmeprod!$B$1:$VX$1,0),FALSE)/1,0)-IFERROR(VLOOKUP($B321,'Slutlig allokering kvv'!$B$2:$BX$549,MATCH(K$2,'Slutlig allokering kvv'!$B$1:$BX$1,0),FALSE)/1,0))</f>
        <v/>
      </c>
      <c r="L321" s="121" t="str">
        <f>IF($D321="","",IFERROR(VLOOKUP($B321,Kraftvärmeprod!$B$1:$BX$549,MATCH(L$2,Kraftvärmeprod!$B$1:$VX$1,0),FALSE)/1,0)-IFERROR(VLOOKUP($B321,'Slutlig allokering kvv'!$B$2:$BX$549,MATCH(L$2,'Slutlig allokering kvv'!$B$1:$BX$1,0),FALSE)/1,0))</f>
        <v/>
      </c>
      <c r="M321" s="121" t="str">
        <f>IF($D321="","",IFERROR(VLOOKUP($B321,Kraftvärmeprod!$B$1:$BX$549,MATCH(M$2,Kraftvärmeprod!$B$1:$VX$1,0),FALSE)/1,0)-IFERROR(VLOOKUP($B321,'Slutlig allokering kvv'!$B$2:$BX$549,MATCH(M$2,'Slutlig allokering kvv'!$B$1:$BX$1,0),FALSE)/1,0))</f>
        <v/>
      </c>
      <c r="N321" s="121" t="str">
        <f>IF($D321="","",IFERROR(VLOOKUP($B321,Kraftvärmeprod!$B$1:$BX$549,MATCH(N$2,Kraftvärmeprod!$B$1:$VX$1,0),FALSE)/1,0)-IFERROR(VLOOKUP($B321,'Slutlig allokering kvv'!$B$2:$BX$549,MATCH(N$2,'Slutlig allokering kvv'!$B$1:$BX$1,0),FALSE)/1,0))</f>
        <v/>
      </c>
      <c r="O321" s="121" t="str">
        <f>IF($D321="","",IFERROR(VLOOKUP($B321,Kraftvärmeprod!$B$1:$BX$549,MATCH(O$2,Kraftvärmeprod!$B$1:$VX$1,0),FALSE)/1,0)-IFERROR(VLOOKUP($B321,'Slutlig allokering kvv'!$B$2:$BX$549,MATCH(O$2,'Slutlig allokering kvv'!$B$1:$BX$1,0),FALSE)/1,0))</f>
        <v/>
      </c>
      <c r="P321" s="121" t="str">
        <f>IF($D321="","",IFERROR(VLOOKUP($B321,Kraftvärmeprod!$B$1:$BX$549,MATCH(P$2,Kraftvärmeprod!$B$1:$VX$1,0),FALSE)/1,0)-IFERROR(VLOOKUP($B321,'Slutlig allokering kvv'!$B$2:$BX$549,MATCH(P$2,'Slutlig allokering kvv'!$B$1:$BX$1,0),FALSE)/1,0))</f>
        <v/>
      </c>
      <c r="Q321" s="121" t="str">
        <f>IF($D321="","",IFERROR(VLOOKUP($B321,Kraftvärmeprod!$B$1:$BX$549,MATCH(Q$2,Kraftvärmeprod!$B$1:$VX$1,0),FALSE)/1,0)-IFERROR(VLOOKUP($B321,'Slutlig allokering kvv'!$B$2:$BX$549,MATCH(Q$2,'Slutlig allokering kvv'!$B$1:$BX$1,0),FALSE)/1,0))</f>
        <v/>
      </c>
      <c r="R321" s="121" t="str">
        <f>IF($D321="","",IFERROR(VLOOKUP($B321,Kraftvärmeprod!$B$1:$BX$549,MATCH(R$2,Kraftvärmeprod!$B$1:$VX$1,0),FALSE)/1,0)-IFERROR(VLOOKUP($B321,'Slutlig allokering kvv'!$B$2:$BX$549,MATCH(R$2,'Slutlig allokering kvv'!$B$1:$BX$1,0),FALSE)/1,0))</f>
        <v/>
      </c>
      <c r="S321" s="121" t="str">
        <f>IF($D321="","",IFERROR(VLOOKUP($B321,Kraftvärmeprod!$B$1:$BX$549,MATCH(S$2,Kraftvärmeprod!$B$1:$VX$1,0),FALSE)/1,0)-IFERROR(VLOOKUP($B321,'Slutlig allokering kvv'!$B$2:$BX$549,MATCH(S$2,'Slutlig allokering kvv'!$B$1:$BX$1,0),FALSE)/1,0))</f>
        <v/>
      </c>
      <c r="T321" s="121" t="str">
        <f>IF($D321="","",IFERROR(VLOOKUP($B321,Kraftvärmeprod!$B$1:$BX$549,MATCH(T$2,Kraftvärmeprod!$B$1:$VX$1,0),FALSE)/1,0)-IFERROR(VLOOKUP($B321,'Slutlig allokering kvv'!$B$2:$BX$549,MATCH(T$2,'Slutlig allokering kvv'!$B$1:$BX$1,0),FALSE)/1,0))</f>
        <v/>
      </c>
      <c r="U321" s="121" t="str">
        <f>IF($D321="","",IFERROR(VLOOKUP($B321,Kraftvärmeprod!$B$1:$BX$549,MATCH(U$2,Kraftvärmeprod!$B$1:$VX$1,0),FALSE)/1,0)-IFERROR(VLOOKUP($B321,'Slutlig allokering kvv'!$B$2:$BX$549,MATCH(U$2,'Slutlig allokering kvv'!$B$1:$BX$1,0),FALSE)/1,0))</f>
        <v/>
      </c>
      <c r="V321" s="121" t="str">
        <f>IF($D321="","",IFERROR(VLOOKUP($B321,Kraftvärmeprod!$B$1:$BX$549,MATCH(V$2,Kraftvärmeprod!$B$1:$VX$1,0),FALSE)/1,0)-IFERROR(VLOOKUP($B321,'Slutlig allokering kvv'!$B$2:$BX$549,MATCH(V$2,'Slutlig allokering kvv'!$B$1:$BX$1,0),FALSE)/1,0))</f>
        <v/>
      </c>
      <c r="W321" s="121" t="str">
        <f>IF($D321="","",IFERROR(VLOOKUP($B321,Kraftvärmeprod!$B$1:$BX$549,MATCH(W$2,Kraftvärmeprod!$B$1:$VX$1,0),FALSE)/1,0)-IFERROR(VLOOKUP($B321,'Slutlig allokering kvv'!$B$2:$BX$549,MATCH(W$2,'Slutlig allokering kvv'!$B$1:$BX$1,0),FALSE)/1,0))</f>
        <v/>
      </c>
      <c r="X321" s="121" t="str">
        <f>IF($D321="","",IFERROR(VLOOKUP($B321,Kraftvärmeprod!$B$1:$BX$549,MATCH(X$2,Kraftvärmeprod!$B$1:$VX$1,0),FALSE)/1,0)-IFERROR(VLOOKUP($B321,'Slutlig allokering kvv'!$B$2:$BX$549,MATCH(X$2,'Slutlig allokering kvv'!$B$1:$BX$1,0),FALSE)/1,0))</f>
        <v/>
      </c>
      <c r="Y321" s="121" t="str">
        <f>IF($D321="","",IFERROR(VLOOKUP($B321,Kraftvärmeprod!$B$1:$BX$549,MATCH(Y$2,Kraftvärmeprod!$B$1:$VX$1,0),FALSE)/1,0)-IFERROR(VLOOKUP($B321,'Slutlig allokering kvv'!$B$2:$BX$549,MATCH(Y$2,'Slutlig allokering kvv'!$B$1:$BX$1,0),FALSE)/1,0))</f>
        <v/>
      </c>
      <c r="Z321" s="121" t="str">
        <f>IF($D321="","",IFERROR(VLOOKUP($B321,Kraftvärmeprod!$B$1:$BX$549,MATCH(Z$2,Kraftvärmeprod!$B$1:$VX$1,0),FALSE)/1,0)-IFERROR(VLOOKUP($B321,'Slutlig allokering kvv'!$B$2:$BX$549,MATCH(Z$2,'Slutlig allokering kvv'!$B$1:$BX$1,0),FALSE)/1,0))</f>
        <v/>
      </c>
      <c r="AA321" s="121" t="str">
        <f>IF($D321="","",IFERROR(VLOOKUP($B321,Kraftvärmeprod!$B$1:$BX$549,MATCH(AA$2,Kraftvärmeprod!$B$1:$VX$1,0),FALSE)/1,0)-IFERROR(VLOOKUP($B321,'Slutlig allokering kvv'!$B$2:$BX$549,MATCH(AA$2,'Slutlig allokering kvv'!$B$1:$BX$1,0),FALSE)/1,0))</f>
        <v/>
      </c>
      <c r="AB321" s="121" t="str">
        <f>IF($D321="","",IFERROR(VLOOKUP($B321,Kraftvärmeprod!$B$1:$BX$549,MATCH(AB$2,Kraftvärmeprod!$B$1:$VX$1,0),FALSE)/1,0)-IFERROR(VLOOKUP($B321,'Slutlig allokering kvv'!$B$2:$BX$549,MATCH(AB$2,'Slutlig allokering kvv'!$B$1:$BX$1,0),FALSE)/1,0))</f>
        <v/>
      </c>
      <c r="AC321" s="121" t="str">
        <f>IF($D321="","",IFERROR(VLOOKUP($B321,Kraftvärmeprod!$B$1:$BX$549,MATCH(AC$2,Kraftvärmeprod!$B$1:$VX$1,0),FALSE)/1,0)-IFERROR(VLOOKUP($B321,'Slutlig allokering kvv'!$B$2:$BX$549,MATCH(AC$2,'Slutlig allokering kvv'!$B$1:$BX$1,0),FALSE)/1,0))</f>
        <v/>
      </c>
      <c r="AD321" s="121" t="str">
        <f>IF($D321="","",IFERROR(VLOOKUP($B321,Kraftvärmeprod!$B$1:$BX$549,MATCH(AD$2,Kraftvärmeprod!$B$1:$VX$1,0),FALSE)/1,0)-IFERROR(VLOOKUP($B321,'Slutlig allokering kvv'!$B$2:$BX$549,MATCH(AD$2,'Slutlig allokering kvv'!$B$1:$BX$1,0),FALSE)/1,0))</f>
        <v/>
      </c>
      <c r="AE321" s="121" t="str">
        <f>IF($D321="","",IFERROR(VLOOKUP($B321,Miljö!$B$1:$E$550,MATCH("Hjälpel kraftvärme (GWh)",Miljö!$B$1:$E$1,0),FALSE)/1,0)-IFERROR(VLOOKUP($B321,'Slutlig allokering kvv'!$B$2:$BX$549,MATCH(AE$2,'Slutlig allokering kvv'!$B$1:$BX$1,0),FALSE)/1,0))</f>
        <v/>
      </c>
      <c r="AI321" s="121">
        <f t="shared" si="16"/>
        <v>0</v>
      </c>
      <c r="AK321" s="121">
        <f>IFERROR(VLOOKUP($B321,'Slutlig allokering kvv'!$B$2:$AX$549,MATCH("Summa slutlig allokerad tillförd energi (utan hjälpel och rökgaskondensering):",'Slutlig allokering kvv'!$B$1:$AX$1,0),FALSE)/1,"")</f>
        <v>0</v>
      </c>
      <c r="AM321" s="172" t="str">
        <f>IFERROR(1-VLOOKUP($B321,'Slutlig allokering kvv'!$B$2:$AX$549,MATCH("Andel av bränsle i kvv som allokerats till värme, exklusive rökgaskondensering och hjälpel",'Slutlig allokering kvv'!$B$1:$AX$1,0),FALSE),"")</f>
        <v/>
      </c>
      <c r="AO321" s="172" t="str">
        <f t="shared" si="17"/>
        <v/>
      </c>
      <c r="AP321" s="173" t="str">
        <f t="shared" si="18"/>
        <v/>
      </c>
      <c r="AR321" s="172" t="str">
        <f t="shared" si="19"/>
        <v/>
      </c>
    </row>
    <row r="322" spans="1:44" x14ac:dyDescent="0.25">
      <c r="A322" s="171" t="str">
        <f>'Miljövärden för publ företag'!B324</f>
        <v>Värmevärden AB</v>
      </c>
      <c r="B322" s="171" t="str">
        <f>'Miljövärden för publ företag'!C324</f>
        <v>Kristinehamn(Värmevärden)</v>
      </c>
      <c r="C322" s="121" t="str">
        <f>IFERROR(VLOOKUP($B322,Kraftvärmeprod!$B$1:$AH$478,MATCH(C$2,Kraftvärmeprod!$B$1:$AG$1,0),FALSE)/1,"")</f>
        <v/>
      </c>
      <c r="D322" s="121" t="str">
        <f>IFERROR(VLOOKUP($B322,Kraftvärmeprod!$B$1:$AH$478,MATCH(D$2,Kraftvärmeprod!$B$1:$AG$1,0),FALSE)/1,"")</f>
        <v/>
      </c>
      <c r="F322" s="121" t="str">
        <f>IF($D322="","",IFERROR(VLOOKUP($B322,Kraftvärmeprod!$B$1:$BX$549,MATCH(F$2,Kraftvärmeprod!$B$1:$VX$1,0),FALSE)/1,0)-IFERROR(VLOOKUP($B322,'Slutlig allokering kvv'!$B$2:$BX$549,MATCH(F$2,'Slutlig allokering kvv'!$B$1:$BX$1,0),FALSE)/1,0))</f>
        <v/>
      </c>
      <c r="G322" s="121" t="str">
        <f>IF($D322="","",IFERROR(VLOOKUP($B322,Kraftvärmeprod!$B$1:$BX$549,MATCH(G$2,Kraftvärmeprod!$B$1:$VX$1,0),FALSE)/1,0)-IFERROR(VLOOKUP($B322,'Slutlig allokering kvv'!$B$2:$BX$549,MATCH(G$2,'Slutlig allokering kvv'!$B$1:$BX$1,0),FALSE)/1,0))</f>
        <v/>
      </c>
      <c r="H322" s="121" t="str">
        <f>IF($D322="","",IFERROR(VLOOKUP($B322,Kraftvärmeprod!$B$1:$BX$549,MATCH(H$2,Kraftvärmeprod!$B$1:$VX$1,0),FALSE)/1,0)-IFERROR(VLOOKUP($B322,'Slutlig allokering kvv'!$B$2:$BX$549,MATCH(H$2,'Slutlig allokering kvv'!$B$1:$BX$1,0),FALSE)/1,0))</f>
        <v/>
      </c>
      <c r="I322" s="121" t="str">
        <f>IF($D322="","",IFERROR(VLOOKUP($B322,Kraftvärmeprod!$B$1:$BX$549,MATCH(I$2,Kraftvärmeprod!$B$1:$VX$1,0),FALSE)/1,0)-IFERROR(VLOOKUP($B322,'Slutlig allokering kvv'!$B$2:$BX$549,MATCH(I$2,'Slutlig allokering kvv'!$B$1:$BX$1,0),FALSE)/1,0))</f>
        <v/>
      </c>
      <c r="J322" s="121" t="str">
        <f>IF($D322="","",IFERROR(VLOOKUP($B322,Kraftvärmeprod!$B$1:$BX$549,MATCH(J$2,Kraftvärmeprod!$B$1:$VX$1,0),FALSE)/1,0)-IFERROR(VLOOKUP($B322,'Slutlig allokering kvv'!$B$2:$BX$549,MATCH(J$2,'Slutlig allokering kvv'!$B$1:$BX$1,0),FALSE)/1,0))</f>
        <v/>
      </c>
      <c r="K322" s="121" t="str">
        <f>IF($D322="","",IFERROR(VLOOKUP($B322,Kraftvärmeprod!$B$1:$BX$549,MATCH(K$2,Kraftvärmeprod!$B$1:$VX$1,0),FALSE)/1,0)-IFERROR(VLOOKUP($B322,'Slutlig allokering kvv'!$B$2:$BX$549,MATCH(K$2,'Slutlig allokering kvv'!$B$1:$BX$1,0),FALSE)/1,0))</f>
        <v/>
      </c>
      <c r="L322" s="121" t="str">
        <f>IF($D322="","",IFERROR(VLOOKUP($B322,Kraftvärmeprod!$B$1:$BX$549,MATCH(L$2,Kraftvärmeprod!$B$1:$VX$1,0),FALSE)/1,0)-IFERROR(VLOOKUP($B322,'Slutlig allokering kvv'!$B$2:$BX$549,MATCH(L$2,'Slutlig allokering kvv'!$B$1:$BX$1,0),FALSE)/1,0))</f>
        <v/>
      </c>
      <c r="M322" s="121" t="str">
        <f>IF($D322="","",IFERROR(VLOOKUP($B322,Kraftvärmeprod!$B$1:$BX$549,MATCH(M$2,Kraftvärmeprod!$B$1:$VX$1,0),FALSE)/1,0)-IFERROR(VLOOKUP($B322,'Slutlig allokering kvv'!$B$2:$BX$549,MATCH(M$2,'Slutlig allokering kvv'!$B$1:$BX$1,0),FALSE)/1,0))</f>
        <v/>
      </c>
      <c r="N322" s="121" t="str">
        <f>IF($D322="","",IFERROR(VLOOKUP($B322,Kraftvärmeprod!$B$1:$BX$549,MATCH(N$2,Kraftvärmeprod!$B$1:$VX$1,0),FALSE)/1,0)-IFERROR(VLOOKUP($B322,'Slutlig allokering kvv'!$B$2:$BX$549,MATCH(N$2,'Slutlig allokering kvv'!$B$1:$BX$1,0),FALSE)/1,0))</f>
        <v/>
      </c>
      <c r="O322" s="121" t="str">
        <f>IF($D322="","",IFERROR(VLOOKUP($B322,Kraftvärmeprod!$B$1:$BX$549,MATCH(O$2,Kraftvärmeprod!$B$1:$VX$1,0),FALSE)/1,0)-IFERROR(VLOOKUP($B322,'Slutlig allokering kvv'!$B$2:$BX$549,MATCH(O$2,'Slutlig allokering kvv'!$B$1:$BX$1,0),FALSE)/1,0))</f>
        <v/>
      </c>
      <c r="P322" s="121" t="str">
        <f>IF($D322="","",IFERROR(VLOOKUP($B322,Kraftvärmeprod!$B$1:$BX$549,MATCH(P$2,Kraftvärmeprod!$B$1:$VX$1,0),FALSE)/1,0)-IFERROR(VLOOKUP($B322,'Slutlig allokering kvv'!$B$2:$BX$549,MATCH(P$2,'Slutlig allokering kvv'!$B$1:$BX$1,0),FALSE)/1,0))</f>
        <v/>
      </c>
      <c r="Q322" s="121" t="str">
        <f>IF($D322="","",IFERROR(VLOOKUP($B322,Kraftvärmeprod!$B$1:$BX$549,MATCH(Q$2,Kraftvärmeprod!$B$1:$VX$1,0),FALSE)/1,0)-IFERROR(VLOOKUP($B322,'Slutlig allokering kvv'!$B$2:$BX$549,MATCH(Q$2,'Slutlig allokering kvv'!$B$1:$BX$1,0),FALSE)/1,0))</f>
        <v/>
      </c>
      <c r="R322" s="121" t="str">
        <f>IF($D322="","",IFERROR(VLOOKUP($B322,Kraftvärmeprod!$B$1:$BX$549,MATCH(R$2,Kraftvärmeprod!$B$1:$VX$1,0),FALSE)/1,0)-IFERROR(VLOOKUP($B322,'Slutlig allokering kvv'!$B$2:$BX$549,MATCH(R$2,'Slutlig allokering kvv'!$B$1:$BX$1,0),FALSE)/1,0))</f>
        <v/>
      </c>
      <c r="S322" s="121" t="str">
        <f>IF($D322="","",IFERROR(VLOOKUP($B322,Kraftvärmeprod!$B$1:$BX$549,MATCH(S$2,Kraftvärmeprod!$B$1:$VX$1,0),FALSE)/1,0)-IFERROR(VLOOKUP($B322,'Slutlig allokering kvv'!$B$2:$BX$549,MATCH(S$2,'Slutlig allokering kvv'!$B$1:$BX$1,0),FALSE)/1,0))</f>
        <v/>
      </c>
      <c r="T322" s="121" t="str">
        <f>IF($D322="","",IFERROR(VLOOKUP($B322,Kraftvärmeprod!$B$1:$BX$549,MATCH(T$2,Kraftvärmeprod!$B$1:$VX$1,0),FALSE)/1,0)-IFERROR(VLOOKUP($B322,'Slutlig allokering kvv'!$B$2:$BX$549,MATCH(T$2,'Slutlig allokering kvv'!$B$1:$BX$1,0),FALSE)/1,0))</f>
        <v/>
      </c>
      <c r="U322" s="121" t="str">
        <f>IF($D322="","",IFERROR(VLOOKUP($B322,Kraftvärmeprod!$B$1:$BX$549,MATCH(U$2,Kraftvärmeprod!$B$1:$VX$1,0),FALSE)/1,0)-IFERROR(VLOOKUP($B322,'Slutlig allokering kvv'!$B$2:$BX$549,MATCH(U$2,'Slutlig allokering kvv'!$B$1:$BX$1,0),FALSE)/1,0))</f>
        <v/>
      </c>
      <c r="V322" s="121" t="str">
        <f>IF($D322="","",IFERROR(VLOOKUP($B322,Kraftvärmeprod!$B$1:$BX$549,MATCH(V$2,Kraftvärmeprod!$B$1:$VX$1,0),FALSE)/1,0)-IFERROR(VLOOKUP($B322,'Slutlig allokering kvv'!$B$2:$BX$549,MATCH(V$2,'Slutlig allokering kvv'!$B$1:$BX$1,0),FALSE)/1,0))</f>
        <v/>
      </c>
      <c r="W322" s="121" t="str">
        <f>IF($D322="","",IFERROR(VLOOKUP($B322,Kraftvärmeprod!$B$1:$BX$549,MATCH(W$2,Kraftvärmeprod!$B$1:$VX$1,0),FALSE)/1,0)-IFERROR(VLOOKUP($B322,'Slutlig allokering kvv'!$B$2:$BX$549,MATCH(W$2,'Slutlig allokering kvv'!$B$1:$BX$1,0),FALSE)/1,0))</f>
        <v/>
      </c>
      <c r="X322" s="121" t="str">
        <f>IF($D322="","",IFERROR(VLOOKUP($B322,Kraftvärmeprod!$B$1:$BX$549,MATCH(X$2,Kraftvärmeprod!$B$1:$VX$1,0),FALSE)/1,0)-IFERROR(VLOOKUP($B322,'Slutlig allokering kvv'!$B$2:$BX$549,MATCH(X$2,'Slutlig allokering kvv'!$B$1:$BX$1,0),FALSE)/1,0))</f>
        <v/>
      </c>
      <c r="Y322" s="121" t="str">
        <f>IF($D322="","",IFERROR(VLOOKUP($B322,Kraftvärmeprod!$B$1:$BX$549,MATCH(Y$2,Kraftvärmeprod!$B$1:$VX$1,0),FALSE)/1,0)-IFERROR(VLOOKUP($B322,'Slutlig allokering kvv'!$B$2:$BX$549,MATCH(Y$2,'Slutlig allokering kvv'!$B$1:$BX$1,0),FALSE)/1,0))</f>
        <v/>
      </c>
      <c r="Z322" s="121" t="str">
        <f>IF($D322="","",IFERROR(VLOOKUP($B322,Kraftvärmeprod!$B$1:$BX$549,MATCH(Z$2,Kraftvärmeprod!$B$1:$VX$1,0),FALSE)/1,0)-IFERROR(VLOOKUP($B322,'Slutlig allokering kvv'!$B$2:$BX$549,MATCH(Z$2,'Slutlig allokering kvv'!$B$1:$BX$1,0),FALSE)/1,0))</f>
        <v/>
      </c>
      <c r="AA322" s="121" t="str">
        <f>IF($D322="","",IFERROR(VLOOKUP($B322,Kraftvärmeprod!$B$1:$BX$549,MATCH(AA$2,Kraftvärmeprod!$B$1:$VX$1,0),FALSE)/1,0)-IFERROR(VLOOKUP($B322,'Slutlig allokering kvv'!$B$2:$BX$549,MATCH(AA$2,'Slutlig allokering kvv'!$B$1:$BX$1,0),FALSE)/1,0))</f>
        <v/>
      </c>
      <c r="AB322" s="121" t="str">
        <f>IF($D322="","",IFERROR(VLOOKUP($B322,Kraftvärmeprod!$B$1:$BX$549,MATCH(AB$2,Kraftvärmeprod!$B$1:$VX$1,0),FALSE)/1,0)-IFERROR(VLOOKUP($B322,'Slutlig allokering kvv'!$B$2:$BX$549,MATCH(AB$2,'Slutlig allokering kvv'!$B$1:$BX$1,0),FALSE)/1,0))</f>
        <v/>
      </c>
      <c r="AC322" s="121" t="str">
        <f>IF($D322="","",IFERROR(VLOOKUP($B322,Kraftvärmeprod!$B$1:$BX$549,MATCH(AC$2,Kraftvärmeprod!$B$1:$VX$1,0),FALSE)/1,0)-IFERROR(VLOOKUP($B322,'Slutlig allokering kvv'!$B$2:$BX$549,MATCH(AC$2,'Slutlig allokering kvv'!$B$1:$BX$1,0),FALSE)/1,0))</f>
        <v/>
      </c>
      <c r="AD322" s="121" t="str">
        <f>IF($D322="","",IFERROR(VLOOKUP($B322,Kraftvärmeprod!$B$1:$BX$549,MATCH(AD$2,Kraftvärmeprod!$B$1:$VX$1,0),FALSE)/1,0)-IFERROR(VLOOKUP($B322,'Slutlig allokering kvv'!$B$2:$BX$549,MATCH(AD$2,'Slutlig allokering kvv'!$B$1:$BX$1,0),FALSE)/1,0))</f>
        <v/>
      </c>
      <c r="AE322" s="121" t="str">
        <f>IF($D322="","",IFERROR(VLOOKUP($B322,Miljö!$B$1:$E$550,MATCH("Hjälpel kraftvärme (GWh)",Miljö!$B$1:$E$1,0),FALSE)/1,0)-IFERROR(VLOOKUP($B322,'Slutlig allokering kvv'!$B$2:$BX$549,MATCH(AE$2,'Slutlig allokering kvv'!$B$1:$BX$1,0),FALSE)/1,0))</f>
        <v/>
      </c>
      <c r="AI322" s="121">
        <f t="shared" si="16"/>
        <v>0</v>
      </c>
      <c r="AK322" s="121">
        <f>IFERROR(VLOOKUP($B322,'Slutlig allokering kvv'!$B$2:$AX$549,MATCH("Summa slutlig allokerad tillförd energi (utan hjälpel och rökgaskondensering):",'Slutlig allokering kvv'!$B$1:$AX$1,0),FALSE)/1,"")</f>
        <v>0</v>
      </c>
      <c r="AM322" s="172" t="str">
        <f>IFERROR(1-VLOOKUP($B322,'Slutlig allokering kvv'!$B$2:$AX$549,MATCH("Andel av bränsle i kvv som allokerats till värme, exklusive rökgaskondensering och hjälpel",'Slutlig allokering kvv'!$B$1:$AX$1,0),FALSE),"")</f>
        <v/>
      </c>
      <c r="AO322" s="172" t="str">
        <f t="shared" si="17"/>
        <v/>
      </c>
      <c r="AP322" s="173" t="str">
        <f t="shared" si="18"/>
        <v/>
      </c>
      <c r="AR322" s="172" t="str">
        <f t="shared" si="19"/>
        <v/>
      </c>
    </row>
    <row r="323" spans="1:44" x14ac:dyDescent="0.25">
      <c r="A323" s="171" t="str">
        <f>'Miljövärden för publ företag'!B325</f>
        <v>Värmevärden AB</v>
      </c>
      <c r="B323" s="171" t="str">
        <f>'Miljövärden för publ företag'!C325</f>
        <v>Nynäshamn</v>
      </c>
      <c r="C323" s="121">
        <f>IFERROR(VLOOKUP($B323,Kraftvärmeprod!$B$1:$AH$478,MATCH(C$2,Kraftvärmeprod!$B$1:$AG$1,0),FALSE)/1,"")</f>
        <v>10.739000000000001</v>
      </c>
      <c r="D323" s="121">
        <f>IFERROR(VLOOKUP($B323,Kraftvärmeprod!$B$1:$AH$478,MATCH(D$2,Kraftvärmeprod!$B$1:$AG$1,0),FALSE)/1,"")</f>
        <v>2.5920000000000001</v>
      </c>
      <c r="F323" s="121">
        <f>IF($D323="","",IFERROR(VLOOKUP($B323,Kraftvärmeprod!$B$1:$BX$549,MATCH(F$2,Kraftvärmeprod!$B$1:$VX$1,0),FALSE)/1,0)-IFERROR(VLOOKUP($B323,'Slutlig allokering kvv'!$B$2:$BX$549,MATCH(F$2,'Slutlig allokering kvv'!$B$1:$BX$1,0),FALSE)/1,0))</f>
        <v>0</v>
      </c>
      <c r="G323" s="121">
        <f>IF($D323="","",IFERROR(VLOOKUP($B323,Kraftvärmeprod!$B$1:$BX$549,MATCH(G$2,Kraftvärmeprod!$B$1:$VX$1,0),FALSE)/1,0)-IFERROR(VLOOKUP($B323,'Slutlig allokering kvv'!$B$2:$BX$549,MATCH(G$2,'Slutlig allokering kvv'!$B$1:$BX$1,0),FALSE)/1,0))</f>
        <v>2.3291699999999992E-2</v>
      </c>
      <c r="H323" s="121">
        <f>IF($D323="","",IFERROR(VLOOKUP($B323,Kraftvärmeprod!$B$1:$BX$549,MATCH(H$2,Kraftvärmeprod!$B$1:$VX$1,0),FALSE)/1,0)-IFERROR(VLOOKUP($B323,'Slutlig allokering kvv'!$B$2:$BX$549,MATCH(H$2,'Slutlig allokering kvv'!$B$1:$BX$1,0),FALSE)/1,0))</f>
        <v>0</v>
      </c>
      <c r="I323" s="121">
        <f>IF($D323="","",IFERROR(VLOOKUP($B323,Kraftvärmeprod!$B$1:$BX$549,MATCH(I$2,Kraftvärmeprod!$B$1:$VX$1,0),FALSE)/1,0)-IFERROR(VLOOKUP($B323,'Slutlig allokering kvv'!$B$2:$BX$549,MATCH(I$2,'Slutlig allokering kvv'!$B$1:$BX$1,0),FALSE)/1,0))</f>
        <v>2.8868599999999994E-2</v>
      </c>
      <c r="J323" s="121">
        <f>IF($D323="","",IFERROR(VLOOKUP($B323,Kraftvärmeprod!$B$1:$BX$549,MATCH(J$2,Kraftvärmeprod!$B$1:$VX$1,0),FALSE)/1,0)-IFERROR(VLOOKUP($B323,'Slutlig allokering kvv'!$B$2:$BX$549,MATCH(J$2,'Slutlig allokering kvv'!$B$1:$BX$1,0),FALSE)/1,0))</f>
        <v>0</v>
      </c>
      <c r="K323" s="121">
        <f>IF($D323="","",IFERROR(VLOOKUP($B323,Kraftvärmeprod!$B$1:$BX$549,MATCH(K$2,Kraftvärmeprod!$B$1:$VX$1,0),FALSE)/1,0)-IFERROR(VLOOKUP($B323,'Slutlig allokering kvv'!$B$2:$BX$549,MATCH(K$2,'Slutlig allokering kvv'!$B$1:$BX$1,0),FALSE)/1,0))</f>
        <v>0</v>
      </c>
      <c r="L323" s="121">
        <f>IF($D323="","",IFERROR(VLOOKUP($B323,Kraftvärmeprod!$B$1:$BX$549,MATCH(L$2,Kraftvärmeprod!$B$1:$VX$1,0),FALSE)/1,0)-IFERROR(VLOOKUP($B323,'Slutlig allokering kvv'!$B$2:$BX$549,MATCH(L$2,'Slutlig allokering kvv'!$B$1:$BX$1,0),FALSE)/1,0))</f>
        <v>0.21893499999999994</v>
      </c>
      <c r="M323" s="121">
        <f>IF($D323="","",IFERROR(VLOOKUP($B323,Kraftvärmeprod!$B$1:$BX$549,MATCH(M$2,Kraftvärmeprod!$B$1:$VX$1,0),FALSE)/1,0)-IFERROR(VLOOKUP($B323,'Slutlig allokering kvv'!$B$2:$BX$549,MATCH(M$2,'Slutlig allokering kvv'!$B$1:$BX$1,0),FALSE)/1,0))</f>
        <v>0</v>
      </c>
      <c r="N323" s="121">
        <f>IF($D323="","",IFERROR(VLOOKUP($B323,Kraftvärmeprod!$B$1:$BX$549,MATCH(N$2,Kraftvärmeprod!$B$1:$VX$1,0),FALSE)/1,0)-IFERROR(VLOOKUP($B323,'Slutlig allokering kvv'!$B$2:$BX$549,MATCH(N$2,'Slutlig allokering kvv'!$B$1:$BX$1,0),FALSE)/1,0))</f>
        <v>0.30658700000000005</v>
      </c>
      <c r="O323" s="121">
        <f>IF($D323="","",IFERROR(VLOOKUP($B323,Kraftvärmeprod!$B$1:$BX$549,MATCH(O$2,Kraftvärmeprod!$B$1:$VX$1,0),FALSE)/1,0)-IFERROR(VLOOKUP($B323,'Slutlig allokering kvv'!$B$2:$BX$549,MATCH(O$2,'Slutlig allokering kvv'!$B$1:$BX$1,0),FALSE)/1,0))</f>
        <v>0</v>
      </c>
      <c r="P323" s="121">
        <f>IF($D323="","",IFERROR(VLOOKUP($B323,Kraftvärmeprod!$B$1:$BX$549,MATCH(P$2,Kraftvärmeprod!$B$1:$VX$1,0),FALSE)/1,0)-IFERROR(VLOOKUP($B323,'Slutlig allokering kvv'!$B$2:$BX$549,MATCH(P$2,'Slutlig allokering kvv'!$B$1:$BX$1,0),FALSE)/1,0))</f>
        <v>0</v>
      </c>
      <c r="Q323" s="121">
        <f>IF($D323="","",IFERROR(VLOOKUP($B323,Kraftvärmeprod!$B$1:$BX$549,MATCH(Q$2,Kraftvärmeprod!$B$1:$VX$1,0),FALSE)/1,0)-IFERROR(VLOOKUP($B323,'Slutlig allokering kvv'!$B$2:$BX$549,MATCH(Q$2,'Slutlig allokering kvv'!$B$1:$BX$1,0),FALSE)/1,0))</f>
        <v>0</v>
      </c>
      <c r="R323" s="121">
        <f>IF($D323="","",IFERROR(VLOOKUP($B323,Kraftvärmeprod!$B$1:$BX$549,MATCH(R$2,Kraftvärmeprod!$B$1:$VX$1,0),FALSE)/1,0)-IFERROR(VLOOKUP($B323,'Slutlig allokering kvv'!$B$2:$BX$549,MATCH(R$2,'Slutlig allokering kvv'!$B$1:$BX$1,0),FALSE)/1,0))</f>
        <v>0</v>
      </c>
      <c r="S323" s="121">
        <f>IF($D323="","",IFERROR(VLOOKUP($B323,Kraftvärmeprod!$B$1:$BX$549,MATCH(S$2,Kraftvärmeprod!$B$1:$VX$1,0),FALSE)/1,0)-IFERROR(VLOOKUP($B323,'Slutlig allokering kvv'!$B$2:$BX$549,MATCH(S$2,'Slutlig allokering kvv'!$B$1:$BX$1,0),FALSE)/1,0))</f>
        <v>0</v>
      </c>
      <c r="T323" s="121">
        <f>IF($D323="","",IFERROR(VLOOKUP($B323,Kraftvärmeprod!$B$1:$BX$549,MATCH(T$2,Kraftvärmeprod!$B$1:$VX$1,0),FALSE)/1,0)-IFERROR(VLOOKUP($B323,'Slutlig allokering kvv'!$B$2:$BX$549,MATCH(T$2,'Slutlig allokering kvv'!$B$1:$BX$1,0),FALSE)/1,0))</f>
        <v>0</v>
      </c>
      <c r="U323" s="121">
        <f>IF($D323="","",IFERROR(VLOOKUP($B323,Kraftvärmeprod!$B$1:$BX$549,MATCH(U$2,Kraftvärmeprod!$B$1:$VX$1,0),FALSE)/1,0)-IFERROR(VLOOKUP($B323,'Slutlig allokering kvv'!$B$2:$BX$549,MATCH(U$2,'Slutlig allokering kvv'!$B$1:$BX$1,0),FALSE)/1,0))</f>
        <v>0</v>
      </c>
      <c r="V323" s="121">
        <f>IF($D323="","",IFERROR(VLOOKUP($B323,Kraftvärmeprod!$B$1:$BX$549,MATCH(V$2,Kraftvärmeprod!$B$1:$VX$1,0),FALSE)/1,0)-IFERROR(VLOOKUP($B323,'Slutlig allokering kvv'!$B$2:$BX$549,MATCH(V$2,'Slutlig allokering kvv'!$B$1:$BX$1,0),FALSE)/1,0))</f>
        <v>3.8918000000000008</v>
      </c>
      <c r="W323" s="121">
        <f>IF($D323="","",IFERROR(VLOOKUP($B323,Kraftvärmeprod!$B$1:$BX$549,MATCH(W$2,Kraftvärmeprod!$B$1:$VX$1,0),FALSE)/1,0)-IFERROR(VLOOKUP($B323,'Slutlig allokering kvv'!$B$2:$BX$549,MATCH(W$2,'Slutlig allokering kvv'!$B$1:$BX$1,0),FALSE)/1,0))</f>
        <v>0</v>
      </c>
      <c r="X323" s="121">
        <f>IF($D323="","",IFERROR(VLOOKUP($B323,Kraftvärmeprod!$B$1:$BX$549,MATCH(X$2,Kraftvärmeprod!$B$1:$VX$1,0),FALSE)/1,0)-IFERROR(VLOOKUP($B323,'Slutlig allokering kvv'!$B$2:$BX$549,MATCH(X$2,'Slutlig allokering kvv'!$B$1:$BX$1,0),FALSE)/1,0))</f>
        <v>0</v>
      </c>
      <c r="Y323" s="121">
        <f>IF($D323="","",IFERROR(VLOOKUP($B323,Kraftvärmeprod!$B$1:$BX$549,MATCH(Y$2,Kraftvärmeprod!$B$1:$VX$1,0),FALSE)/1,0)-IFERROR(VLOOKUP($B323,'Slutlig allokering kvv'!$B$2:$BX$549,MATCH(Y$2,'Slutlig allokering kvv'!$B$1:$BX$1,0),FALSE)/1,0))</f>
        <v>0</v>
      </c>
      <c r="Z323" s="121">
        <f>IF($D323="","",IFERROR(VLOOKUP($B323,Kraftvärmeprod!$B$1:$BX$549,MATCH(Z$2,Kraftvärmeprod!$B$1:$VX$1,0),FALSE)/1,0)-IFERROR(VLOOKUP($B323,'Slutlig allokering kvv'!$B$2:$BX$549,MATCH(Z$2,'Slutlig allokering kvv'!$B$1:$BX$1,0),FALSE)/1,0))</f>
        <v>0</v>
      </c>
      <c r="AA323" s="121">
        <f>IF($D323="","",IFERROR(VLOOKUP($B323,Kraftvärmeprod!$B$1:$BX$549,MATCH(AA$2,Kraftvärmeprod!$B$1:$VX$1,0),FALSE)/1,0)-IFERROR(VLOOKUP($B323,'Slutlig allokering kvv'!$B$2:$BX$549,MATCH(AA$2,'Slutlig allokering kvv'!$B$1:$BX$1,0),FALSE)/1,0))</f>
        <v>0.39307500000000006</v>
      </c>
      <c r="AB323" s="121">
        <f>IF($D323="","",IFERROR(VLOOKUP($B323,Kraftvärmeprod!$B$1:$BX$549,MATCH(AB$2,Kraftvärmeprod!$B$1:$VX$1,0),FALSE)/1,0)-IFERROR(VLOOKUP($B323,'Slutlig allokering kvv'!$B$2:$BX$549,MATCH(AB$2,'Slutlig allokering kvv'!$B$1:$BX$1,0),FALSE)/1,0))</f>
        <v>0</v>
      </c>
      <c r="AC323" s="121">
        <f>IF($D323="","",IFERROR(VLOOKUP($B323,Kraftvärmeprod!$B$1:$BX$549,MATCH(AC$2,Kraftvärmeprod!$B$1:$VX$1,0),FALSE)/1,0)-IFERROR(VLOOKUP($B323,'Slutlig allokering kvv'!$B$2:$BX$549,MATCH(AC$2,'Slutlig allokering kvv'!$B$1:$BX$1,0),FALSE)/1,0))</f>
        <v>0</v>
      </c>
      <c r="AD323" s="121">
        <f>IF($D323="","",IFERROR(VLOOKUP($B323,Kraftvärmeprod!$B$1:$BX$549,MATCH(AD$2,Kraftvärmeprod!$B$1:$VX$1,0),FALSE)/1,0)-IFERROR(VLOOKUP($B323,'Slutlig allokering kvv'!$B$2:$BX$549,MATCH(AD$2,'Slutlig allokering kvv'!$B$1:$BX$1,0),FALSE)/1,0))</f>
        <v>0</v>
      </c>
      <c r="AE323" s="121">
        <f>IF($D323="","",IFERROR(VLOOKUP($B323,Miljö!$B$1:$E$550,MATCH("Hjälpel kraftvärme (GWh)",Miljö!$B$1:$E$1,0),FALSE)/1,0)-IFERROR(VLOOKUP($B323,'Slutlig allokering kvv'!$B$2:$BX$549,MATCH(AE$2,'Slutlig allokering kvv'!$B$1:$BX$1,0),FALSE)/1,0))</f>
        <v>0.77522000000000002</v>
      </c>
      <c r="AI323" s="121">
        <f t="shared" si="16"/>
        <v>4.8625573000000006</v>
      </c>
      <c r="AK323" s="121">
        <f>IFERROR(VLOOKUP($B323,'Slutlig allokering kvv'!$B$2:$AX$549,MATCH("Summa slutlig allokerad tillförd energi (utan hjälpel och rökgaskondensering):",'Slutlig allokering kvv'!$B$1:$AX$1,0),FALSE)/1,"")</f>
        <v>7.6384426999999997</v>
      </c>
      <c r="AM323" s="172">
        <f>IFERROR(1-VLOOKUP($B323,'Slutlig allokering kvv'!$B$2:$AX$549,MATCH("Andel av bränsle i kvv som allokerats till värme, exklusive rökgaskondensering och hjälpel",'Slutlig allokering kvv'!$B$1:$AX$1,0),FALSE),"")</f>
        <v>0.38897346612271022</v>
      </c>
      <c r="AO323" s="172">
        <f t="shared" si="17"/>
        <v>0.38897346612271022</v>
      </c>
      <c r="AP323" s="173">
        <f t="shared" si="18"/>
        <v>0</v>
      </c>
      <c r="AR323" s="172">
        <f t="shared" si="19"/>
        <v>0.45975565583266292</v>
      </c>
    </row>
    <row r="324" spans="1:44" x14ac:dyDescent="0.25">
      <c r="A324" s="171" t="str">
        <f>'Miljövärden för publ företag'!B326</f>
        <v>Värmevärden AB</v>
      </c>
      <c r="B324" s="171" t="str">
        <f>'Miljövärden för publ företag'!C326</f>
        <v>Stöllet</v>
      </c>
      <c r="C324" s="121" t="str">
        <f>IFERROR(VLOOKUP($B324,Kraftvärmeprod!$B$1:$AH$478,MATCH(C$2,Kraftvärmeprod!$B$1:$AG$1,0),FALSE)/1,"")</f>
        <v/>
      </c>
      <c r="D324" s="121" t="str">
        <f>IFERROR(VLOOKUP($B324,Kraftvärmeprod!$B$1:$AH$478,MATCH(D$2,Kraftvärmeprod!$B$1:$AG$1,0),FALSE)/1,"")</f>
        <v/>
      </c>
      <c r="F324" s="121" t="str">
        <f>IF($D324="","",IFERROR(VLOOKUP($B324,Kraftvärmeprod!$B$1:$BX$549,MATCH(F$2,Kraftvärmeprod!$B$1:$VX$1,0),FALSE)/1,0)-IFERROR(VLOOKUP($B324,'Slutlig allokering kvv'!$B$2:$BX$549,MATCH(F$2,'Slutlig allokering kvv'!$B$1:$BX$1,0),FALSE)/1,0))</f>
        <v/>
      </c>
      <c r="G324" s="121" t="str">
        <f>IF($D324="","",IFERROR(VLOOKUP($B324,Kraftvärmeprod!$B$1:$BX$549,MATCH(G$2,Kraftvärmeprod!$B$1:$VX$1,0),FALSE)/1,0)-IFERROR(VLOOKUP($B324,'Slutlig allokering kvv'!$B$2:$BX$549,MATCH(G$2,'Slutlig allokering kvv'!$B$1:$BX$1,0),FALSE)/1,0))</f>
        <v/>
      </c>
      <c r="H324" s="121" t="str">
        <f>IF($D324="","",IFERROR(VLOOKUP($B324,Kraftvärmeprod!$B$1:$BX$549,MATCH(H$2,Kraftvärmeprod!$B$1:$VX$1,0),FALSE)/1,0)-IFERROR(VLOOKUP($B324,'Slutlig allokering kvv'!$B$2:$BX$549,MATCH(H$2,'Slutlig allokering kvv'!$B$1:$BX$1,0),FALSE)/1,0))</f>
        <v/>
      </c>
      <c r="I324" s="121" t="str">
        <f>IF($D324="","",IFERROR(VLOOKUP($B324,Kraftvärmeprod!$B$1:$BX$549,MATCH(I$2,Kraftvärmeprod!$B$1:$VX$1,0),FALSE)/1,0)-IFERROR(VLOOKUP($B324,'Slutlig allokering kvv'!$B$2:$BX$549,MATCH(I$2,'Slutlig allokering kvv'!$B$1:$BX$1,0),FALSE)/1,0))</f>
        <v/>
      </c>
      <c r="J324" s="121" t="str">
        <f>IF($D324="","",IFERROR(VLOOKUP($B324,Kraftvärmeprod!$B$1:$BX$549,MATCH(J$2,Kraftvärmeprod!$B$1:$VX$1,0),FALSE)/1,0)-IFERROR(VLOOKUP($B324,'Slutlig allokering kvv'!$B$2:$BX$549,MATCH(J$2,'Slutlig allokering kvv'!$B$1:$BX$1,0),FALSE)/1,0))</f>
        <v/>
      </c>
      <c r="K324" s="121" t="str">
        <f>IF($D324="","",IFERROR(VLOOKUP($B324,Kraftvärmeprod!$B$1:$BX$549,MATCH(K$2,Kraftvärmeprod!$B$1:$VX$1,0),FALSE)/1,0)-IFERROR(VLOOKUP($B324,'Slutlig allokering kvv'!$B$2:$BX$549,MATCH(K$2,'Slutlig allokering kvv'!$B$1:$BX$1,0),FALSE)/1,0))</f>
        <v/>
      </c>
      <c r="L324" s="121" t="str">
        <f>IF($D324="","",IFERROR(VLOOKUP($B324,Kraftvärmeprod!$B$1:$BX$549,MATCH(L$2,Kraftvärmeprod!$B$1:$VX$1,0),FALSE)/1,0)-IFERROR(VLOOKUP($B324,'Slutlig allokering kvv'!$B$2:$BX$549,MATCH(L$2,'Slutlig allokering kvv'!$B$1:$BX$1,0),FALSE)/1,0))</f>
        <v/>
      </c>
      <c r="M324" s="121" t="str">
        <f>IF($D324="","",IFERROR(VLOOKUP($B324,Kraftvärmeprod!$B$1:$BX$549,MATCH(M$2,Kraftvärmeprod!$B$1:$VX$1,0),FALSE)/1,0)-IFERROR(VLOOKUP($B324,'Slutlig allokering kvv'!$B$2:$BX$549,MATCH(M$2,'Slutlig allokering kvv'!$B$1:$BX$1,0),FALSE)/1,0))</f>
        <v/>
      </c>
      <c r="N324" s="121" t="str">
        <f>IF($D324="","",IFERROR(VLOOKUP($B324,Kraftvärmeprod!$B$1:$BX$549,MATCH(N$2,Kraftvärmeprod!$B$1:$VX$1,0),FALSE)/1,0)-IFERROR(VLOOKUP($B324,'Slutlig allokering kvv'!$B$2:$BX$549,MATCH(N$2,'Slutlig allokering kvv'!$B$1:$BX$1,0),FALSE)/1,0))</f>
        <v/>
      </c>
      <c r="O324" s="121" t="str">
        <f>IF($D324="","",IFERROR(VLOOKUP($B324,Kraftvärmeprod!$B$1:$BX$549,MATCH(O$2,Kraftvärmeprod!$B$1:$VX$1,0),FALSE)/1,0)-IFERROR(VLOOKUP($B324,'Slutlig allokering kvv'!$B$2:$BX$549,MATCH(O$2,'Slutlig allokering kvv'!$B$1:$BX$1,0),FALSE)/1,0))</f>
        <v/>
      </c>
      <c r="P324" s="121" t="str">
        <f>IF($D324="","",IFERROR(VLOOKUP($B324,Kraftvärmeprod!$B$1:$BX$549,MATCH(P$2,Kraftvärmeprod!$B$1:$VX$1,0),FALSE)/1,0)-IFERROR(VLOOKUP($B324,'Slutlig allokering kvv'!$B$2:$BX$549,MATCH(P$2,'Slutlig allokering kvv'!$B$1:$BX$1,0),FALSE)/1,0))</f>
        <v/>
      </c>
      <c r="Q324" s="121" t="str">
        <f>IF($D324="","",IFERROR(VLOOKUP($B324,Kraftvärmeprod!$B$1:$BX$549,MATCH(Q$2,Kraftvärmeprod!$B$1:$VX$1,0),FALSE)/1,0)-IFERROR(VLOOKUP($B324,'Slutlig allokering kvv'!$B$2:$BX$549,MATCH(Q$2,'Slutlig allokering kvv'!$B$1:$BX$1,0),FALSE)/1,0))</f>
        <v/>
      </c>
      <c r="R324" s="121" t="str">
        <f>IF($D324="","",IFERROR(VLOOKUP($B324,Kraftvärmeprod!$B$1:$BX$549,MATCH(R$2,Kraftvärmeprod!$B$1:$VX$1,0),FALSE)/1,0)-IFERROR(VLOOKUP($B324,'Slutlig allokering kvv'!$B$2:$BX$549,MATCH(R$2,'Slutlig allokering kvv'!$B$1:$BX$1,0),FALSE)/1,0))</f>
        <v/>
      </c>
      <c r="S324" s="121" t="str">
        <f>IF($D324="","",IFERROR(VLOOKUP($B324,Kraftvärmeprod!$B$1:$BX$549,MATCH(S$2,Kraftvärmeprod!$B$1:$VX$1,0),FALSE)/1,0)-IFERROR(VLOOKUP($B324,'Slutlig allokering kvv'!$B$2:$BX$549,MATCH(S$2,'Slutlig allokering kvv'!$B$1:$BX$1,0),FALSE)/1,0))</f>
        <v/>
      </c>
      <c r="T324" s="121" t="str">
        <f>IF($D324="","",IFERROR(VLOOKUP($B324,Kraftvärmeprod!$B$1:$BX$549,MATCH(T$2,Kraftvärmeprod!$B$1:$VX$1,0),FALSE)/1,0)-IFERROR(VLOOKUP($B324,'Slutlig allokering kvv'!$B$2:$BX$549,MATCH(T$2,'Slutlig allokering kvv'!$B$1:$BX$1,0),FALSE)/1,0))</f>
        <v/>
      </c>
      <c r="U324" s="121" t="str">
        <f>IF($D324="","",IFERROR(VLOOKUP($B324,Kraftvärmeprod!$B$1:$BX$549,MATCH(U$2,Kraftvärmeprod!$B$1:$VX$1,0),FALSE)/1,0)-IFERROR(VLOOKUP($B324,'Slutlig allokering kvv'!$B$2:$BX$549,MATCH(U$2,'Slutlig allokering kvv'!$B$1:$BX$1,0),FALSE)/1,0))</f>
        <v/>
      </c>
      <c r="V324" s="121" t="str">
        <f>IF($D324="","",IFERROR(VLOOKUP($B324,Kraftvärmeprod!$B$1:$BX$549,MATCH(V$2,Kraftvärmeprod!$B$1:$VX$1,0),FALSE)/1,0)-IFERROR(VLOOKUP($B324,'Slutlig allokering kvv'!$B$2:$BX$549,MATCH(V$2,'Slutlig allokering kvv'!$B$1:$BX$1,0),FALSE)/1,0))</f>
        <v/>
      </c>
      <c r="W324" s="121" t="str">
        <f>IF($D324="","",IFERROR(VLOOKUP($B324,Kraftvärmeprod!$B$1:$BX$549,MATCH(W$2,Kraftvärmeprod!$B$1:$VX$1,0),FALSE)/1,0)-IFERROR(VLOOKUP($B324,'Slutlig allokering kvv'!$B$2:$BX$549,MATCH(W$2,'Slutlig allokering kvv'!$B$1:$BX$1,0),FALSE)/1,0))</f>
        <v/>
      </c>
      <c r="X324" s="121" t="str">
        <f>IF($D324="","",IFERROR(VLOOKUP($B324,Kraftvärmeprod!$B$1:$BX$549,MATCH(X$2,Kraftvärmeprod!$B$1:$VX$1,0),FALSE)/1,0)-IFERROR(VLOOKUP($B324,'Slutlig allokering kvv'!$B$2:$BX$549,MATCH(X$2,'Slutlig allokering kvv'!$B$1:$BX$1,0),FALSE)/1,0))</f>
        <v/>
      </c>
      <c r="Y324" s="121" t="str">
        <f>IF($D324="","",IFERROR(VLOOKUP($B324,Kraftvärmeprod!$B$1:$BX$549,MATCH(Y$2,Kraftvärmeprod!$B$1:$VX$1,0),FALSE)/1,0)-IFERROR(VLOOKUP($B324,'Slutlig allokering kvv'!$B$2:$BX$549,MATCH(Y$2,'Slutlig allokering kvv'!$B$1:$BX$1,0),FALSE)/1,0))</f>
        <v/>
      </c>
      <c r="Z324" s="121" t="str">
        <f>IF($D324="","",IFERROR(VLOOKUP($B324,Kraftvärmeprod!$B$1:$BX$549,MATCH(Z$2,Kraftvärmeprod!$B$1:$VX$1,0),FALSE)/1,0)-IFERROR(VLOOKUP($B324,'Slutlig allokering kvv'!$B$2:$BX$549,MATCH(Z$2,'Slutlig allokering kvv'!$B$1:$BX$1,0),FALSE)/1,0))</f>
        <v/>
      </c>
      <c r="AA324" s="121" t="str">
        <f>IF($D324="","",IFERROR(VLOOKUP($B324,Kraftvärmeprod!$B$1:$BX$549,MATCH(AA$2,Kraftvärmeprod!$B$1:$VX$1,0),FALSE)/1,0)-IFERROR(VLOOKUP($B324,'Slutlig allokering kvv'!$B$2:$BX$549,MATCH(AA$2,'Slutlig allokering kvv'!$B$1:$BX$1,0),FALSE)/1,0))</f>
        <v/>
      </c>
      <c r="AB324" s="121" t="str">
        <f>IF($D324="","",IFERROR(VLOOKUP($B324,Kraftvärmeprod!$B$1:$BX$549,MATCH(AB$2,Kraftvärmeprod!$B$1:$VX$1,0),FALSE)/1,0)-IFERROR(VLOOKUP($B324,'Slutlig allokering kvv'!$B$2:$BX$549,MATCH(AB$2,'Slutlig allokering kvv'!$B$1:$BX$1,0),FALSE)/1,0))</f>
        <v/>
      </c>
      <c r="AC324" s="121" t="str">
        <f>IF($D324="","",IFERROR(VLOOKUP($B324,Kraftvärmeprod!$B$1:$BX$549,MATCH(AC$2,Kraftvärmeprod!$B$1:$VX$1,0),FALSE)/1,0)-IFERROR(VLOOKUP($B324,'Slutlig allokering kvv'!$B$2:$BX$549,MATCH(AC$2,'Slutlig allokering kvv'!$B$1:$BX$1,0),FALSE)/1,0))</f>
        <v/>
      </c>
      <c r="AD324" s="121" t="str">
        <f>IF($D324="","",IFERROR(VLOOKUP($B324,Kraftvärmeprod!$B$1:$BX$549,MATCH(AD$2,Kraftvärmeprod!$B$1:$VX$1,0),FALSE)/1,0)-IFERROR(VLOOKUP($B324,'Slutlig allokering kvv'!$B$2:$BX$549,MATCH(AD$2,'Slutlig allokering kvv'!$B$1:$BX$1,0),FALSE)/1,0))</f>
        <v/>
      </c>
      <c r="AE324" s="121" t="str">
        <f>IF($D324="","",IFERROR(VLOOKUP($B324,Miljö!$B$1:$E$550,MATCH("Hjälpel kraftvärme (GWh)",Miljö!$B$1:$E$1,0),FALSE)/1,0)-IFERROR(VLOOKUP($B324,'Slutlig allokering kvv'!$B$2:$BX$549,MATCH(AE$2,'Slutlig allokering kvv'!$B$1:$BX$1,0),FALSE)/1,0))</f>
        <v/>
      </c>
      <c r="AI324" s="121">
        <f t="shared" ref="AI324:AI359" si="20">SUM(F324:AC324)</f>
        <v>0</v>
      </c>
      <c r="AK324" s="121">
        <f>IFERROR(VLOOKUP($B324,'Slutlig allokering kvv'!$B$2:$AX$549,MATCH("Summa slutlig allokerad tillförd energi (utan hjälpel och rökgaskondensering):",'Slutlig allokering kvv'!$B$1:$AX$1,0),FALSE)/1,"")</f>
        <v>0</v>
      </c>
      <c r="AM324" s="172" t="str">
        <f>IFERROR(1-VLOOKUP($B324,'Slutlig allokering kvv'!$B$2:$AX$549,MATCH("Andel av bränsle i kvv som allokerats till värme, exklusive rökgaskondensering och hjälpel",'Slutlig allokering kvv'!$B$1:$AX$1,0),FALSE),"")</f>
        <v/>
      </c>
      <c r="AO324" s="172" t="str">
        <f t="shared" ref="AO324:AO359" si="21">IFERROR(AI324/(AI324+AK324),"")</f>
        <v/>
      </c>
      <c r="AP324" s="173" t="str">
        <f t="shared" ref="AP324:AP359" si="22">IFERROR(AM324-AO324,"")</f>
        <v/>
      </c>
      <c r="AR324" s="172" t="str">
        <f t="shared" ref="AR324:AR359" si="23">IFERROR(D324/(AI324+AE324),"")</f>
        <v/>
      </c>
    </row>
    <row r="325" spans="1:44" x14ac:dyDescent="0.25">
      <c r="A325" s="171" t="str">
        <f>'Miljövärden för publ företag'!B327</f>
        <v>Värmevärden AB</v>
      </c>
      <c r="B325" s="171" t="str">
        <f>'Miljövärden för publ företag'!C327</f>
        <v xml:space="preserve">Säffle </v>
      </c>
      <c r="C325" s="121" t="str">
        <f>IFERROR(VLOOKUP($B325,Kraftvärmeprod!$B$1:$AH$478,MATCH(C$2,Kraftvärmeprod!$B$1:$AG$1,0),FALSE)/1,"")</f>
        <v/>
      </c>
      <c r="D325" s="121" t="str">
        <f>IFERROR(VLOOKUP($B325,Kraftvärmeprod!$B$1:$AH$478,MATCH(D$2,Kraftvärmeprod!$B$1:$AG$1,0),FALSE)/1,"")</f>
        <v/>
      </c>
      <c r="F325" s="121" t="str">
        <f>IF($D325="","",IFERROR(VLOOKUP($B325,Kraftvärmeprod!$B$1:$BX$549,MATCH(F$2,Kraftvärmeprod!$B$1:$VX$1,0),FALSE)/1,0)-IFERROR(VLOOKUP($B325,'Slutlig allokering kvv'!$B$2:$BX$549,MATCH(F$2,'Slutlig allokering kvv'!$B$1:$BX$1,0),FALSE)/1,0))</f>
        <v/>
      </c>
      <c r="G325" s="121" t="str">
        <f>IF($D325="","",IFERROR(VLOOKUP($B325,Kraftvärmeprod!$B$1:$BX$549,MATCH(G$2,Kraftvärmeprod!$B$1:$VX$1,0),FALSE)/1,0)-IFERROR(VLOOKUP($B325,'Slutlig allokering kvv'!$B$2:$BX$549,MATCH(G$2,'Slutlig allokering kvv'!$B$1:$BX$1,0),FALSE)/1,0))</f>
        <v/>
      </c>
      <c r="H325" s="121" t="str">
        <f>IF($D325="","",IFERROR(VLOOKUP($B325,Kraftvärmeprod!$B$1:$BX$549,MATCH(H$2,Kraftvärmeprod!$B$1:$VX$1,0),FALSE)/1,0)-IFERROR(VLOOKUP($B325,'Slutlig allokering kvv'!$B$2:$BX$549,MATCH(H$2,'Slutlig allokering kvv'!$B$1:$BX$1,0),FALSE)/1,0))</f>
        <v/>
      </c>
      <c r="I325" s="121" t="str">
        <f>IF($D325="","",IFERROR(VLOOKUP($B325,Kraftvärmeprod!$B$1:$BX$549,MATCH(I$2,Kraftvärmeprod!$B$1:$VX$1,0),FALSE)/1,0)-IFERROR(VLOOKUP($B325,'Slutlig allokering kvv'!$B$2:$BX$549,MATCH(I$2,'Slutlig allokering kvv'!$B$1:$BX$1,0),FALSE)/1,0))</f>
        <v/>
      </c>
      <c r="J325" s="121" t="str">
        <f>IF($D325="","",IFERROR(VLOOKUP($B325,Kraftvärmeprod!$B$1:$BX$549,MATCH(J$2,Kraftvärmeprod!$B$1:$VX$1,0),FALSE)/1,0)-IFERROR(VLOOKUP($B325,'Slutlig allokering kvv'!$B$2:$BX$549,MATCH(J$2,'Slutlig allokering kvv'!$B$1:$BX$1,0),FALSE)/1,0))</f>
        <v/>
      </c>
      <c r="K325" s="121" t="str">
        <f>IF($D325="","",IFERROR(VLOOKUP($B325,Kraftvärmeprod!$B$1:$BX$549,MATCH(K$2,Kraftvärmeprod!$B$1:$VX$1,0),FALSE)/1,0)-IFERROR(VLOOKUP($B325,'Slutlig allokering kvv'!$B$2:$BX$549,MATCH(K$2,'Slutlig allokering kvv'!$B$1:$BX$1,0),FALSE)/1,0))</f>
        <v/>
      </c>
      <c r="L325" s="121" t="str">
        <f>IF($D325="","",IFERROR(VLOOKUP($B325,Kraftvärmeprod!$B$1:$BX$549,MATCH(L$2,Kraftvärmeprod!$B$1:$VX$1,0),FALSE)/1,0)-IFERROR(VLOOKUP($B325,'Slutlig allokering kvv'!$B$2:$BX$549,MATCH(L$2,'Slutlig allokering kvv'!$B$1:$BX$1,0),FALSE)/1,0))</f>
        <v/>
      </c>
      <c r="M325" s="121" t="str">
        <f>IF($D325="","",IFERROR(VLOOKUP($B325,Kraftvärmeprod!$B$1:$BX$549,MATCH(M$2,Kraftvärmeprod!$B$1:$VX$1,0),FALSE)/1,0)-IFERROR(VLOOKUP($B325,'Slutlig allokering kvv'!$B$2:$BX$549,MATCH(M$2,'Slutlig allokering kvv'!$B$1:$BX$1,0),FALSE)/1,0))</f>
        <v/>
      </c>
      <c r="N325" s="121" t="str">
        <f>IF($D325="","",IFERROR(VLOOKUP($B325,Kraftvärmeprod!$B$1:$BX$549,MATCH(N$2,Kraftvärmeprod!$B$1:$VX$1,0),FALSE)/1,0)-IFERROR(VLOOKUP($B325,'Slutlig allokering kvv'!$B$2:$BX$549,MATCH(N$2,'Slutlig allokering kvv'!$B$1:$BX$1,0),FALSE)/1,0))</f>
        <v/>
      </c>
      <c r="O325" s="121" t="str">
        <f>IF($D325="","",IFERROR(VLOOKUP($B325,Kraftvärmeprod!$B$1:$BX$549,MATCH(O$2,Kraftvärmeprod!$B$1:$VX$1,0),FALSE)/1,0)-IFERROR(VLOOKUP($B325,'Slutlig allokering kvv'!$B$2:$BX$549,MATCH(O$2,'Slutlig allokering kvv'!$B$1:$BX$1,0),FALSE)/1,0))</f>
        <v/>
      </c>
      <c r="P325" s="121" t="str">
        <f>IF($D325="","",IFERROR(VLOOKUP($B325,Kraftvärmeprod!$B$1:$BX$549,MATCH(P$2,Kraftvärmeprod!$B$1:$VX$1,0),FALSE)/1,0)-IFERROR(VLOOKUP($B325,'Slutlig allokering kvv'!$B$2:$BX$549,MATCH(P$2,'Slutlig allokering kvv'!$B$1:$BX$1,0),FALSE)/1,0))</f>
        <v/>
      </c>
      <c r="Q325" s="121" t="str">
        <f>IF($D325="","",IFERROR(VLOOKUP($B325,Kraftvärmeprod!$B$1:$BX$549,MATCH(Q$2,Kraftvärmeprod!$B$1:$VX$1,0),FALSE)/1,0)-IFERROR(VLOOKUP($B325,'Slutlig allokering kvv'!$B$2:$BX$549,MATCH(Q$2,'Slutlig allokering kvv'!$B$1:$BX$1,0),FALSE)/1,0))</f>
        <v/>
      </c>
      <c r="R325" s="121" t="str">
        <f>IF($D325="","",IFERROR(VLOOKUP($B325,Kraftvärmeprod!$B$1:$BX$549,MATCH(R$2,Kraftvärmeprod!$B$1:$VX$1,0),FALSE)/1,0)-IFERROR(VLOOKUP($B325,'Slutlig allokering kvv'!$B$2:$BX$549,MATCH(R$2,'Slutlig allokering kvv'!$B$1:$BX$1,0),FALSE)/1,0))</f>
        <v/>
      </c>
      <c r="S325" s="121" t="str">
        <f>IF($D325="","",IFERROR(VLOOKUP($B325,Kraftvärmeprod!$B$1:$BX$549,MATCH(S$2,Kraftvärmeprod!$B$1:$VX$1,0),FALSE)/1,0)-IFERROR(VLOOKUP($B325,'Slutlig allokering kvv'!$B$2:$BX$549,MATCH(S$2,'Slutlig allokering kvv'!$B$1:$BX$1,0),FALSE)/1,0))</f>
        <v/>
      </c>
      <c r="T325" s="121" t="str">
        <f>IF($D325="","",IFERROR(VLOOKUP($B325,Kraftvärmeprod!$B$1:$BX$549,MATCH(T$2,Kraftvärmeprod!$B$1:$VX$1,0),FALSE)/1,0)-IFERROR(VLOOKUP($B325,'Slutlig allokering kvv'!$B$2:$BX$549,MATCH(T$2,'Slutlig allokering kvv'!$B$1:$BX$1,0),FALSE)/1,0))</f>
        <v/>
      </c>
      <c r="U325" s="121" t="str">
        <f>IF($D325="","",IFERROR(VLOOKUP($B325,Kraftvärmeprod!$B$1:$BX$549,MATCH(U$2,Kraftvärmeprod!$B$1:$VX$1,0),FALSE)/1,0)-IFERROR(VLOOKUP($B325,'Slutlig allokering kvv'!$B$2:$BX$549,MATCH(U$2,'Slutlig allokering kvv'!$B$1:$BX$1,0),FALSE)/1,0))</f>
        <v/>
      </c>
      <c r="V325" s="121" t="str">
        <f>IF($D325="","",IFERROR(VLOOKUP($B325,Kraftvärmeprod!$B$1:$BX$549,MATCH(V$2,Kraftvärmeprod!$B$1:$VX$1,0),FALSE)/1,0)-IFERROR(VLOOKUP($B325,'Slutlig allokering kvv'!$B$2:$BX$549,MATCH(V$2,'Slutlig allokering kvv'!$B$1:$BX$1,0),FALSE)/1,0))</f>
        <v/>
      </c>
      <c r="W325" s="121" t="str">
        <f>IF($D325="","",IFERROR(VLOOKUP($B325,Kraftvärmeprod!$B$1:$BX$549,MATCH(W$2,Kraftvärmeprod!$B$1:$VX$1,0),FALSE)/1,0)-IFERROR(VLOOKUP($B325,'Slutlig allokering kvv'!$B$2:$BX$549,MATCH(W$2,'Slutlig allokering kvv'!$B$1:$BX$1,0),FALSE)/1,0))</f>
        <v/>
      </c>
      <c r="X325" s="121" t="str">
        <f>IF($D325="","",IFERROR(VLOOKUP($B325,Kraftvärmeprod!$B$1:$BX$549,MATCH(X$2,Kraftvärmeprod!$B$1:$VX$1,0),FALSE)/1,0)-IFERROR(VLOOKUP($B325,'Slutlig allokering kvv'!$B$2:$BX$549,MATCH(X$2,'Slutlig allokering kvv'!$B$1:$BX$1,0),FALSE)/1,0))</f>
        <v/>
      </c>
      <c r="Y325" s="121" t="str">
        <f>IF($D325="","",IFERROR(VLOOKUP($B325,Kraftvärmeprod!$B$1:$BX$549,MATCH(Y$2,Kraftvärmeprod!$B$1:$VX$1,0),FALSE)/1,0)-IFERROR(VLOOKUP($B325,'Slutlig allokering kvv'!$B$2:$BX$549,MATCH(Y$2,'Slutlig allokering kvv'!$B$1:$BX$1,0),FALSE)/1,0))</f>
        <v/>
      </c>
      <c r="Z325" s="121" t="str">
        <f>IF($D325="","",IFERROR(VLOOKUP($B325,Kraftvärmeprod!$B$1:$BX$549,MATCH(Z$2,Kraftvärmeprod!$B$1:$VX$1,0),FALSE)/1,0)-IFERROR(VLOOKUP($B325,'Slutlig allokering kvv'!$B$2:$BX$549,MATCH(Z$2,'Slutlig allokering kvv'!$B$1:$BX$1,0),FALSE)/1,0))</f>
        <v/>
      </c>
      <c r="AA325" s="121" t="str">
        <f>IF($D325="","",IFERROR(VLOOKUP($B325,Kraftvärmeprod!$B$1:$BX$549,MATCH(AA$2,Kraftvärmeprod!$B$1:$VX$1,0),FALSE)/1,0)-IFERROR(VLOOKUP($B325,'Slutlig allokering kvv'!$B$2:$BX$549,MATCH(AA$2,'Slutlig allokering kvv'!$B$1:$BX$1,0),FALSE)/1,0))</f>
        <v/>
      </c>
      <c r="AB325" s="121" t="str">
        <f>IF($D325="","",IFERROR(VLOOKUP($B325,Kraftvärmeprod!$B$1:$BX$549,MATCH(AB$2,Kraftvärmeprod!$B$1:$VX$1,0),FALSE)/1,0)-IFERROR(VLOOKUP($B325,'Slutlig allokering kvv'!$B$2:$BX$549,MATCH(AB$2,'Slutlig allokering kvv'!$B$1:$BX$1,0),FALSE)/1,0))</f>
        <v/>
      </c>
      <c r="AC325" s="121" t="str">
        <f>IF($D325="","",IFERROR(VLOOKUP($B325,Kraftvärmeprod!$B$1:$BX$549,MATCH(AC$2,Kraftvärmeprod!$B$1:$VX$1,0),FALSE)/1,0)-IFERROR(VLOOKUP($B325,'Slutlig allokering kvv'!$B$2:$BX$549,MATCH(AC$2,'Slutlig allokering kvv'!$B$1:$BX$1,0),FALSE)/1,0))</f>
        <v/>
      </c>
      <c r="AD325" s="121" t="str">
        <f>IF($D325="","",IFERROR(VLOOKUP($B325,Kraftvärmeprod!$B$1:$BX$549,MATCH(AD$2,Kraftvärmeprod!$B$1:$VX$1,0),FALSE)/1,0)-IFERROR(VLOOKUP($B325,'Slutlig allokering kvv'!$B$2:$BX$549,MATCH(AD$2,'Slutlig allokering kvv'!$B$1:$BX$1,0),FALSE)/1,0))</f>
        <v/>
      </c>
      <c r="AE325" s="121" t="str">
        <f>IF($D325="","",IFERROR(VLOOKUP($B325,Miljö!$B$1:$E$550,MATCH("Hjälpel kraftvärme (GWh)",Miljö!$B$1:$E$1,0),FALSE)/1,0)-IFERROR(VLOOKUP($B325,'Slutlig allokering kvv'!$B$2:$BX$549,MATCH(AE$2,'Slutlig allokering kvv'!$B$1:$BX$1,0),FALSE)/1,0))</f>
        <v/>
      </c>
      <c r="AI325" s="121">
        <f t="shared" si="20"/>
        <v>0</v>
      </c>
      <c r="AK325" s="121">
        <f>IFERROR(VLOOKUP($B325,'Slutlig allokering kvv'!$B$2:$AX$549,MATCH("Summa slutlig allokerad tillförd energi (utan hjälpel och rökgaskondensering):",'Slutlig allokering kvv'!$B$1:$AX$1,0),FALSE)/1,"")</f>
        <v>0</v>
      </c>
      <c r="AM325" s="172" t="str">
        <f>IFERROR(1-VLOOKUP($B325,'Slutlig allokering kvv'!$B$2:$AX$549,MATCH("Andel av bränsle i kvv som allokerats till värme, exklusive rökgaskondensering och hjälpel",'Slutlig allokering kvv'!$B$1:$AX$1,0),FALSE),"")</f>
        <v/>
      </c>
      <c r="AO325" s="172" t="str">
        <f t="shared" si="21"/>
        <v/>
      </c>
      <c r="AP325" s="173" t="str">
        <f t="shared" si="22"/>
        <v/>
      </c>
      <c r="AR325" s="172" t="str">
        <f t="shared" si="23"/>
        <v/>
      </c>
    </row>
    <row r="326" spans="1:44" x14ac:dyDescent="0.25">
      <c r="A326" s="171" t="str">
        <f>'Miljövärden för publ företag'!B328</f>
        <v>Värmevärden AB</v>
      </c>
      <c r="B326" s="171" t="str">
        <f>'Miljövärden för publ företag'!C328</f>
        <v>Sörforsa</v>
      </c>
      <c r="C326" s="121" t="str">
        <f>IFERROR(VLOOKUP($B326,Kraftvärmeprod!$B$1:$AH$478,MATCH(C$2,Kraftvärmeprod!$B$1:$AG$1,0),FALSE)/1,"")</f>
        <v/>
      </c>
      <c r="D326" s="121" t="str">
        <f>IFERROR(VLOOKUP($B326,Kraftvärmeprod!$B$1:$AH$478,MATCH(D$2,Kraftvärmeprod!$B$1:$AG$1,0),FALSE)/1,"")</f>
        <v/>
      </c>
      <c r="F326" s="121" t="str">
        <f>IF($D326="","",IFERROR(VLOOKUP($B326,Kraftvärmeprod!$B$1:$BX$549,MATCH(F$2,Kraftvärmeprod!$B$1:$VX$1,0),FALSE)/1,0)-IFERROR(VLOOKUP($B326,'Slutlig allokering kvv'!$B$2:$BX$549,MATCH(F$2,'Slutlig allokering kvv'!$B$1:$BX$1,0),FALSE)/1,0))</f>
        <v/>
      </c>
      <c r="G326" s="121" t="str">
        <f>IF($D326="","",IFERROR(VLOOKUP($B326,Kraftvärmeprod!$B$1:$BX$549,MATCH(G$2,Kraftvärmeprod!$B$1:$VX$1,0),FALSE)/1,0)-IFERROR(VLOOKUP($B326,'Slutlig allokering kvv'!$B$2:$BX$549,MATCH(G$2,'Slutlig allokering kvv'!$B$1:$BX$1,0),FALSE)/1,0))</f>
        <v/>
      </c>
      <c r="H326" s="121" t="str">
        <f>IF($D326="","",IFERROR(VLOOKUP($B326,Kraftvärmeprod!$B$1:$BX$549,MATCH(H$2,Kraftvärmeprod!$B$1:$VX$1,0),FALSE)/1,0)-IFERROR(VLOOKUP($B326,'Slutlig allokering kvv'!$B$2:$BX$549,MATCH(H$2,'Slutlig allokering kvv'!$B$1:$BX$1,0),FALSE)/1,0))</f>
        <v/>
      </c>
      <c r="I326" s="121" t="str">
        <f>IF($D326="","",IFERROR(VLOOKUP($B326,Kraftvärmeprod!$B$1:$BX$549,MATCH(I$2,Kraftvärmeprod!$B$1:$VX$1,0),FALSE)/1,0)-IFERROR(VLOOKUP($B326,'Slutlig allokering kvv'!$B$2:$BX$549,MATCH(I$2,'Slutlig allokering kvv'!$B$1:$BX$1,0),FALSE)/1,0))</f>
        <v/>
      </c>
      <c r="J326" s="121" t="str">
        <f>IF($D326="","",IFERROR(VLOOKUP($B326,Kraftvärmeprod!$B$1:$BX$549,MATCH(J$2,Kraftvärmeprod!$B$1:$VX$1,0),FALSE)/1,0)-IFERROR(VLOOKUP($B326,'Slutlig allokering kvv'!$B$2:$BX$549,MATCH(J$2,'Slutlig allokering kvv'!$B$1:$BX$1,0),FALSE)/1,0))</f>
        <v/>
      </c>
      <c r="K326" s="121" t="str">
        <f>IF($D326="","",IFERROR(VLOOKUP($B326,Kraftvärmeprod!$B$1:$BX$549,MATCH(K$2,Kraftvärmeprod!$B$1:$VX$1,0),FALSE)/1,0)-IFERROR(VLOOKUP($B326,'Slutlig allokering kvv'!$B$2:$BX$549,MATCH(K$2,'Slutlig allokering kvv'!$B$1:$BX$1,0),FALSE)/1,0))</f>
        <v/>
      </c>
      <c r="L326" s="121" t="str">
        <f>IF($D326="","",IFERROR(VLOOKUP($B326,Kraftvärmeprod!$B$1:$BX$549,MATCH(L$2,Kraftvärmeprod!$B$1:$VX$1,0),FALSE)/1,0)-IFERROR(VLOOKUP($B326,'Slutlig allokering kvv'!$B$2:$BX$549,MATCH(L$2,'Slutlig allokering kvv'!$B$1:$BX$1,0),FALSE)/1,0))</f>
        <v/>
      </c>
      <c r="M326" s="121" t="str">
        <f>IF($D326="","",IFERROR(VLOOKUP($B326,Kraftvärmeprod!$B$1:$BX$549,MATCH(M$2,Kraftvärmeprod!$B$1:$VX$1,0),FALSE)/1,0)-IFERROR(VLOOKUP($B326,'Slutlig allokering kvv'!$B$2:$BX$549,MATCH(M$2,'Slutlig allokering kvv'!$B$1:$BX$1,0),FALSE)/1,0))</f>
        <v/>
      </c>
      <c r="N326" s="121" t="str">
        <f>IF($D326="","",IFERROR(VLOOKUP($B326,Kraftvärmeprod!$B$1:$BX$549,MATCH(N$2,Kraftvärmeprod!$B$1:$VX$1,0),FALSE)/1,0)-IFERROR(VLOOKUP($B326,'Slutlig allokering kvv'!$B$2:$BX$549,MATCH(N$2,'Slutlig allokering kvv'!$B$1:$BX$1,0),FALSE)/1,0))</f>
        <v/>
      </c>
      <c r="O326" s="121" t="str">
        <f>IF($D326="","",IFERROR(VLOOKUP($B326,Kraftvärmeprod!$B$1:$BX$549,MATCH(O$2,Kraftvärmeprod!$B$1:$VX$1,0),FALSE)/1,0)-IFERROR(VLOOKUP($B326,'Slutlig allokering kvv'!$B$2:$BX$549,MATCH(O$2,'Slutlig allokering kvv'!$B$1:$BX$1,0),FALSE)/1,0))</f>
        <v/>
      </c>
      <c r="P326" s="121" t="str">
        <f>IF($D326="","",IFERROR(VLOOKUP($B326,Kraftvärmeprod!$B$1:$BX$549,MATCH(P$2,Kraftvärmeprod!$B$1:$VX$1,0),FALSE)/1,0)-IFERROR(VLOOKUP($B326,'Slutlig allokering kvv'!$B$2:$BX$549,MATCH(P$2,'Slutlig allokering kvv'!$B$1:$BX$1,0),FALSE)/1,0))</f>
        <v/>
      </c>
      <c r="Q326" s="121" t="str">
        <f>IF($D326="","",IFERROR(VLOOKUP($B326,Kraftvärmeprod!$B$1:$BX$549,MATCH(Q$2,Kraftvärmeprod!$B$1:$VX$1,0),FALSE)/1,0)-IFERROR(VLOOKUP($B326,'Slutlig allokering kvv'!$B$2:$BX$549,MATCH(Q$2,'Slutlig allokering kvv'!$B$1:$BX$1,0),FALSE)/1,0))</f>
        <v/>
      </c>
      <c r="R326" s="121" t="str">
        <f>IF($D326="","",IFERROR(VLOOKUP($B326,Kraftvärmeprod!$B$1:$BX$549,MATCH(R$2,Kraftvärmeprod!$B$1:$VX$1,0),FALSE)/1,0)-IFERROR(VLOOKUP($B326,'Slutlig allokering kvv'!$B$2:$BX$549,MATCH(R$2,'Slutlig allokering kvv'!$B$1:$BX$1,0),FALSE)/1,0))</f>
        <v/>
      </c>
      <c r="S326" s="121" t="str">
        <f>IF($D326="","",IFERROR(VLOOKUP($B326,Kraftvärmeprod!$B$1:$BX$549,MATCH(S$2,Kraftvärmeprod!$B$1:$VX$1,0),FALSE)/1,0)-IFERROR(VLOOKUP($B326,'Slutlig allokering kvv'!$B$2:$BX$549,MATCH(S$2,'Slutlig allokering kvv'!$B$1:$BX$1,0),FALSE)/1,0))</f>
        <v/>
      </c>
      <c r="T326" s="121" t="str">
        <f>IF($D326="","",IFERROR(VLOOKUP($B326,Kraftvärmeprod!$B$1:$BX$549,MATCH(T$2,Kraftvärmeprod!$B$1:$VX$1,0),FALSE)/1,0)-IFERROR(VLOOKUP($B326,'Slutlig allokering kvv'!$B$2:$BX$549,MATCH(T$2,'Slutlig allokering kvv'!$B$1:$BX$1,0),FALSE)/1,0))</f>
        <v/>
      </c>
      <c r="U326" s="121" t="str">
        <f>IF($D326="","",IFERROR(VLOOKUP($B326,Kraftvärmeprod!$B$1:$BX$549,MATCH(U$2,Kraftvärmeprod!$B$1:$VX$1,0),FALSE)/1,0)-IFERROR(VLOOKUP($B326,'Slutlig allokering kvv'!$B$2:$BX$549,MATCH(U$2,'Slutlig allokering kvv'!$B$1:$BX$1,0),FALSE)/1,0))</f>
        <v/>
      </c>
      <c r="V326" s="121" t="str">
        <f>IF($D326="","",IFERROR(VLOOKUP($B326,Kraftvärmeprod!$B$1:$BX$549,MATCH(V$2,Kraftvärmeprod!$B$1:$VX$1,0),FALSE)/1,0)-IFERROR(VLOOKUP($B326,'Slutlig allokering kvv'!$B$2:$BX$549,MATCH(V$2,'Slutlig allokering kvv'!$B$1:$BX$1,0),FALSE)/1,0))</f>
        <v/>
      </c>
      <c r="W326" s="121" t="str">
        <f>IF($D326="","",IFERROR(VLOOKUP($B326,Kraftvärmeprod!$B$1:$BX$549,MATCH(W$2,Kraftvärmeprod!$B$1:$VX$1,0),FALSE)/1,0)-IFERROR(VLOOKUP($B326,'Slutlig allokering kvv'!$B$2:$BX$549,MATCH(W$2,'Slutlig allokering kvv'!$B$1:$BX$1,0),FALSE)/1,0))</f>
        <v/>
      </c>
      <c r="X326" s="121" t="str">
        <f>IF($D326="","",IFERROR(VLOOKUP($B326,Kraftvärmeprod!$B$1:$BX$549,MATCH(X$2,Kraftvärmeprod!$B$1:$VX$1,0),FALSE)/1,0)-IFERROR(VLOOKUP($B326,'Slutlig allokering kvv'!$B$2:$BX$549,MATCH(X$2,'Slutlig allokering kvv'!$B$1:$BX$1,0),FALSE)/1,0))</f>
        <v/>
      </c>
      <c r="Y326" s="121" t="str">
        <f>IF($D326="","",IFERROR(VLOOKUP($B326,Kraftvärmeprod!$B$1:$BX$549,MATCH(Y$2,Kraftvärmeprod!$B$1:$VX$1,0),FALSE)/1,0)-IFERROR(VLOOKUP($B326,'Slutlig allokering kvv'!$B$2:$BX$549,MATCH(Y$2,'Slutlig allokering kvv'!$B$1:$BX$1,0),FALSE)/1,0))</f>
        <v/>
      </c>
      <c r="Z326" s="121" t="str">
        <f>IF($D326="","",IFERROR(VLOOKUP($B326,Kraftvärmeprod!$B$1:$BX$549,MATCH(Z$2,Kraftvärmeprod!$B$1:$VX$1,0),FALSE)/1,0)-IFERROR(VLOOKUP($B326,'Slutlig allokering kvv'!$B$2:$BX$549,MATCH(Z$2,'Slutlig allokering kvv'!$B$1:$BX$1,0),FALSE)/1,0))</f>
        <v/>
      </c>
      <c r="AA326" s="121" t="str">
        <f>IF($D326="","",IFERROR(VLOOKUP($B326,Kraftvärmeprod!$B$1:$BX$549,MATCH(AA$2,Kraftvärmeprod!$B$1:$VX$1,0),FALSE)/1,0)-IFERROR(VLOOKUP($B326,'Slutlig allokering kvv'!$B$2:$BX$549,MATCH(AA$2,'Slutlig allokering kvv'!$B$1:$BX$1,0),FALSE)/1,0))</f>
        <v/>
      </c>
      <c r="AB326" s="121" t="str">
        <f>IF($D326="","",IFERROR(VLOOKUP($B326,Kraftvärmeprod!$B$1:$BX$549,MATCH(AB$2,Kraftvärmeprod!$B$1:$VX$1,0),FALSE)/1,0)-IFERROR(VLOOKUP($B326,'Slutlig allokering kvv'!$B$2:$BX$549,MATCH(AB$2,'Slutlig allokering kvv'!$B$1:$BX$1,0),FALSE)/1,0))</f>
        <v/>
      </c>
      <c r="AC326" s="121" t="str">
        <f>IF($D326="","",IFERROR(VLOOKUP($B326,Kraftvärmeprod!$B$1:$BX$549,MATCH(AC$2,Kraftvärmeprod!$B$1:$VX$1,0),FALSE)/1,0)-IFERROR(VLOOKUP($B326,'Slutlig allokering kvv'!$B$2:$BX$549,MATCH(AC$2,'Slutlig allokering kvv'!$B$1:$BX$1,0),FALSE)/1,0))</f>
        <v/>
      </c>
      <c r="AD326" s="121" t="str">
        <f>IF($D326="","",IFERROR(VLOOKUP($B326,Kraftvärmeprod!$B$1:$BX$549,MATCH(AD$2,Kraftvärmeprod!$B$1:$VX$1,0),FALSE)/1,0)-IFERROR(VLOOKUP($B326,'Slutlig allokering kvv'!$B$2:$BX$549,MATCH(AD$2,'Slutlig allokering kvv'!$B$1:$BX$1,0),FALSE)/1,0))</f>
        <v/>
      </c>
      <c r="AE326" s="121" t="str">
        <f>IF($D326="","",IFERROR(VLOOKUP($B326,Miljö!$B$1:$E$550,MATCH("Hjälpel kraftvärme (GWh)",Miljö!$B$1:$E$1,0),FALSE)/1,0)-IFERROR(VLOOKUP($B326,'Slutlig allokering kvv'!$B$2:$BX$549,MATCH(AE$2,'Slutlig allokering kvv'!$B$1:$BX$1,0),FALSE)/1,0))</f>
        <v/>
      </c>
      <c r="AI326" s="121">
        <f t="shared" si="20"/>
        <v>0</v>
      </c>
      <c r="AK326" s="121">
        <f>IFERROR(VLOOKUP($B326,'Slutlig allokering kvv'!$B$2:$AX$549,MATCH("Summa slutlig allokerad tillförd energi (utan hjälpel och rökgaskondensering):",'Slutlig allokering kvv'!$B$1:$AX$1,0),FALSE)/1,"")</f>
        <v>0</v>
      </c>
      <c r="AM326" s="172" t="str">
        <f>IFERROR(1-VLOOKUP($B326,'Slutlig allokering kvv'!$B$2:$AX$549,MATCH("Andel av bränsle i kvv som allokerats till värme, exklusive rökgaskondensering och hjälpel",'Slutlig allokering kvv'!$B$1:$AX$1,0),FALSE),"")</f>
        <v/>
      </c>
      <c r="AO326" s="172" t="str">
        <f t="shared" si="21"/>
        <v/>
      </c>
      <c r="AP326" s="173" t="str">
        <f t="shared" si="22"/>
        <v/>
      </c>
      <c r="AR326" s="172" t="str">
        <f t="shared" si="23"/>
        <v/>
      </c>
    </row>
    <row r="327" spans="1:44" x14ac:dyDescent="0.25">
      <c r="A327" s="171" t="str">
        <f>'Miljövärden för publ företag'!B329</f>
        <v>Värmevärden AB</v>
      </c>
      <c r="B327" s="171" t="str">
        <f>'Miljövärden för publ företag'!C329</f>
        <v>Torsby</v>
      </c>
      <c r="C327" s="121" t="str">
        <f>IFERROR(VLOOKUP($B327,Kraftvärmeprod!$B$1:$AH$478,MATCH(C$2,Kraftvärmeprod!$B$1:$AG$1,0),FALSE)/1,"")</f>
        <v/>
      </c>
      <c r="D327" s="121" t="str">
        <f>IFERROR(VLOOKUP($B327,Kraftvärmeprod!$B$1:$AH$478,MATCH(D$2,Kraftvärmeprod!$B$1:$AG$1,0),FALSE)/1,"")</f>
        <v/>
      </c>
      <c r="F327" s="121" t="str">
        <f>IF($D327="","",IFERROR(VLOOKUP($B327,Kraftvärmeprod!$B$1:$BX$549,MATCH(F$2,Kraftvärmeprod!$B$1:$VX$1,0),FALSE)/1,0)-IFERROR(VLOOKUP($B327,'Slutlig allokering kvv'!$B$2:$BX$549,MATCH(F$2,'Slutlig allokering kvv'!$B$1:$BX$1,0),FALSE)/1,0))</f>
        <v/>
      </c>
      <c r="G327" s="121" t="str">
        <f>IF($D327="","",IFERROR(VLOOKUP($B327,Kraftvärmeprod!$B$1:$BX$549,MATCH(G$2,Kraftvärmeprod!$B$1:$VX$1,0),FALSE)/1,0)-IFERROR(VLOOKUP($B327,'Slutlig allokering kvv'!$B$2:$BX$549,MATCH(G$2,'Slutlig allokering kvv'!$B$1:$BX$1,0),FALSE)/1,0))</f>
        <v/>
      </c>
      <c r="H327" s="121" t="str">
        <f>IF($D327="","",IFERROR(VLOOKUP($B327,Kraftvärmeprod!$B$1:$BX$549,MATCH(H$2,Kraftvärmeprod!$B$1:$VX$1,0),FALSE)/1,0)-IFERROR(VLOOKUP($B327,'Slutlig allokering kvv'!$B$2:$BX$549,MATCH(H$2,'Slutlig allokering kvv'!$B$1:$BX$1,0),FALSE)/1,0))</f>
        <v/>
      </c>
      <c r="I327" s="121" t="str">
        <f>IF($D327="","",IFERROR(VLOOKUP($B327,Kraftvärmeprod!$B$1:$BX$549,MATCH(I$2,Kraftvärmeprod!$B$1:$VX$1,0),FALSE)/1,0)-IFERROR(VLOOKUP($B327,'Slutlig allokering kvv'!$B$2:$BX$549,MATCH(I$2,'Slutlig allokering kvv'!$B$1:$BX$1,0),FALSE)/1,0))</f>
        <v/>
      </c>
      <c r="J327" s="121" t="str">
        <f>IF($D327="","",IFERROR(VLOOKUP($B327,Kraftvärmeprod!$B$1:$BX$549,MATCH(J$2,Kraftvärmeprod!$B$1:$VX$1,0),FALSE)/1,0)-IFERROR(VLOOKUP($B327,'Slutlig allokering kvv'!$B$2:$BX$549,MATCH(J$2,'Slutlig allokering kvv'!$B$1:$BX$1,0),FALSE)/1,0))</f>
        <v/>
      </c>
      <c r="K327" s="121" t="str">
        <f>IF($D327="","",IFERROR(VLOOKUP($B327,Kraftvärmeprod!$B$1:$BX$549,MATCH(K$2,Kraftvärmeprod!$B$1:$VX$1,0),FALSE)/1,0)-IFERROR(VLOOKUP($B327,'Slutlig allokering kvv'!$B$2:$BX$549,MATCH(K$2,'Slutlig allokering kvv'!$B$1:$BX$1,0),FALSE)/1,0))</f>
        <v/>
      </c>
      <c r="L327" s="121" t="str">
        <f>IF($D327="","",IFERROR(VLOOKUP($B327,Kraftvärmeprod!$B$1:$BX$549,MATCH(L$2,Kraftvärmeprod!$B$1:$VX$1,0),FALSE)/1,0)-IFERROR(VLOOKUP($B327,'Slutlig allokering kvv'!$B$2:$BX$549,MATCH(L$2,'Slutlig allokering kvv'!$B$1:$BX$1,0),FALSE)/1,0))</f>
        <v/>
      </c>
      <c r="M327" s="121" t="str">
        <f>IF($D327="","",IFERROR(VLOOKUP($B327,Kraftvärmeprod!$B$1:$BX$549,MATCH(M$2,Kraftvärmeprod!$B$1:$VX$1,0),FALSE)/1,0)-IFERROR(VLOOKUP($B327,'Slutlig allokering kvv'!$B$2:$BX$549,MATCH(M$2,'Slutlig allokering kvv'!$B$1:$BX$1,0),FALSE)/1,0))</f>
        <v/>
      </c>
      <c r="N327" s="121" t="str">
        <f>IF($D327="","",IFERROR(VLOOKUP($B327,Kraftvärmeprod!$B$1:$BX$549,MATCH(N$2,Kraftvärmeprod!$B$1:$VX$1,0),FALSE)/1,0)-IFERROR(VLOOKUP($B327,'Slutlig allokering kvv'!$B$2:$BX$549,MATCH(N$2,'Slutlig allokering kvv'!$B$1:$BX$1,0),FALSE)/1,0))</f>
        <v/>
      </c>
      <c r="O327" s="121" t="str">
        <f>IF($D327="","",IFERROR(VLOOKUP($B327,Kraftvärmeprod!$B$1:$BX$549,MATCH(O$2,Kraftvärmeprod!$B$1:$VX$1,0),FALSE)/1,0)-IFERROR(VLOOKUP($B327,'Slutlig allokering kvv'!$B$2:$BX$549,MATCH(O$2,'Slutlig allokering kvv'!$B$1:$BX$1,0),FALSE)/1,0))</f>
        <v/>
      </c>
      <c r="P327" s="121" t="str">
        <f>IF($D327="","",IFERROR(VLOOKUP($B327,Kraftvärmeprod!$B$1:$BX$549,MATCH(P$2,Kraftvärmeprod!$B$1:$VX$1,0),FALSE)/1,0)-IFERROR(VLOOKUP($B327,'Slutlig allokering kvv'!$B$2:$BX$549,MATCH(P$2,'Slutlig allokering kvv'!$B$1:$BX$1,0),FALSE)/1,0))</f>
        <v/>
      </c>
      <c r="Q327" s="121" t="str">
        <f>IF($D327="","",IFERROR(VLOOKUP($B327,Kraftvärmeprod!$B$1:$BX$549,MATCH(Q$2,Kraftvärmeprod!$B$1:$VX$1,0),FALSE)/1,0)-IFERROR(VLOOKUP($B327,'Slutlig allokering kvv'!$B$2:$BX$549,MATCH(Q$2,'Slutlig allokering kvv'!$B$1:$BX$1,0),FALSE)/1,0))</f>
        <v/>
      </c>
      <c r="R327" s="121" t="str">
        <f>IF($D327="","",IFERROR(VLOOKUP($B327,Kraftvärmeprod!$B$1:$BX$549,MATCH(R$2,Kraftvärmeprod!$B$1:$VX$1,0),FALSE)/1,0)-IFERROR(VLOOKUP($B327,'Slutlig allokering kvv'!$B$2:$BX$549,MATCH(R$2,'Slutlig allokering kvv'!$B$1:$BX$1,0),FALSE)/1,0))</f>
        <v/>
      </c>
      <c r="S327" s="121" t="str">
        <f>IF($D327="","",IFERROR(VLOOKUP($B327,Kraftvärmeprod!$B$1:$BX$549,MATCH(S$2,Kraftvärmeprod!$B$1:$VX$1,0),FALSE)/1,0)-IFERROR(VLOOKUP($B327,'Slutlig allokering kvv'!$B$2:$BX$549,MATCH(S$2,'Slutlig allokering kvv'!$B$1:$BX$1,0),FALSE)/1,0))</f>
        <v/>
      </c>
      <c r="T327" s="121" t="str">
        <f>IF($D327="","",IFERROR(VLOOKUP($B327,Kraftvärmeprod!$B$1:$BX$549,MATCH(T$2,Kraftvärmeprod!$B$1:$VX$1,0),FALSE)/1,0)-IFERROR(VLOOKUP($B327,'Slutlig allokering kvv'!$B$2:$BX$549,MATCH(T$2,'Slutlig allokering kvv'!$B$1:$BX$1,0),FALSE)/1,0))</f>
        <v/>
      </c>
      <c r="U327" s="121" t="str">
        <f>IF($D327="","",IFERROR(VLOOKUP($B327,Kraftvärmeprod!$B$1:$BX$549,MATCH(U$2,Kraftvärmeprod!$B$1:$VX$1,0),FALSE)/1,0)-IFERROR(VLOOKUP($B327,'Slutlig allokering kvv'!$B$2:$BX$549,MATCH(U$2,'Slutlig allokering kvv'!$B$1:$BX$1,0),FALSE)/1,0))</f>
        <v/>
      </c>
      <c r="V327" s="121" t="str">
        <f>IF($D327="","",IFERROR(VLOOKUP($B327,Kraftvärmeprod!$B$1:$BX$549,MATCH(V$2,Kraftvärmeprod!$B$1:$VX$1,0),FALSE)/1,0)-IFERROR(VLOOKUP($B327,'Slutlig allokering kvv'!$B$2:$BX$549,MATCH(V$2,'Slutlig allokering kvv'!$B$1:$BX$1,0),FALSE)/1,0))</f>
        <v/>
      </c>
      <c r="W327" s="121" t="str">
        <f>IF($D327="","",IFERROR(VLOOKUP($B327,Kraftvärmeprod!$B$1:$BX$549,MATCH(W$2,Kraftvärmeprod!$B$1:$VX$1,0),FALSE)/1,0)-IFERROR(VLOOKUP($B327,'Slutlig allokering kvv'!$B$2:$BX$549,MATCH(W$2,'Slutlig allokering kvv'!$B$1:$BX$1,0),FALSE)/1,0))</f>
        <v/>
      </c>
      <c r="X327" s="121" t="str">
        <f>IF($D327="","",IFERROR(VLOOKUP($B327,Kraftvärmeprod!$B$1:$BX$549,MATCH(X$2,Kraftvärmeprod!$B$1:$VX$1,0),FALSE)/1,0)-IFERROR(VLOOKUP($B327,'Slutlig allokering kvv'!$B$2:$BX$549,MATCH(X$2,'Slutlig allokering kvv'!$B$1:$BX$1,0),FALSE)/1,0))</f>
        <v/>
      </c>
      <c r="Y327" s="121" t="str">
        <f>IF($D327="","",IFERROR(VLOOKUP($B327,Kraftvärmeprod!$B$1:$BX$549,MATCH(Y$2,Kraftvärmeprod!$B$1:$VX$1,0),FALSE)/1,0)-IFERROR(VLOOKUP($B327,'Slutlig allokering kvv'!$B$2:$BX$549,MATCH(Y$2,'Slutlig allokering kvv'!$B$1:$BX$1,0),FALSE)/1,0))</f>
        <v/>
      </c>
      <c r="Z327" s="121" t="str">
        <f>IF($D327="","",IFERROR(VLOOKUP($B327,Kraftvärmeprod!$B$1:$BX$549,MATCH(Z$2,Kraftvärmeprod!$B$1:$VX$1,0),FALSE)/1,0)-IFERROR(VLOOKUP($B327,'Slutlig allokering kvv'!$B$2:$BX$549,MATCH(Z$2,'Slutlig allokering kvv'!$B$1:$BX$1,0),FALSE)/1,0))</f>
        <v/>
      </c>
      <c r="AA327" s="121" t="str">
        <f>IF($D327="","",IFERROR(VLOOKUP($B327,Kraftvärmeprod!$B$1:$BX$549,MATCH(AA$2,Kraftvärmeprod!$B$1:$VX$1,0),FALSE)/1,0)-IFERROR(VLOOKUP($B327,'Slutlig allokering kvv'!$B$2:$BX$549,MATCH(AA$2,'Slutlig allokering kvv'!$B$1:$BX$1,0),FALSE)/1,0))</f>
        <v/>
      </c>
      <c r="AB327" s="121" t="str">
        <f>IF($D327="","",IFERROR(VLOOKUP($B327,Kraftvärmeprod!$B$1:$BX$549,MATCH(AB$2,Kraftvärmeprod!$B$1:$VX$1,0),FALSE)/1,0)-IFERROR(VLOOKUP($B327,'Slutlig allokering kvv'!$B$2:$BX$549,MATCH(AB$2,'Slutlig allokering kvv'!$B$1:$BX$1,0),FALSE)/1,0))</f>
        <v/>
      </c>
      <c r="AC327" s="121" t="str">
        <f>IF($D327="","",IFERROR(VLOOKUP($B327,Kraftvärmeprod!$B$1:$BX$549,MATCH(AC$2,Kraftvärmeprod!$B$1:$VX$1,0),FALSE)/1,0)-IFERROR(VLOOKUP($B327,'Slutlig allokering kvv'!$B$2:$BX$549,MATCH(AC$2,'Slutlig allokering kvv'!$B$1:$BX$1,0),FALSE)/1,0))</f>
        <v/>
      </c>
      <c r="AD327" s="121" t="str">
        <f>IF($D327="","",IFERROR(VLOOKUP($B327,Kraftvärmeprod!$B$1:$BX$549,MATCH(AD$2,Kraftvärmeprod!$B$1:$VX$1,0),FALSE)/1,0)-IFERROR(VLOOKUP($B327,'Slutlig allokering kvv'!$B$2:$BX$549,MATCH(AD$2,'Slutlig allokering kvv'!$B$1:$BX$1,0),FALSE)/1,0))</f>
        <v/>
      </c>
      <c r="AE327" s="121" t="str">
        <f>IF($D327="","",IFERROR(VLOOKUP($B327,Miljö!$B$1:$E$550,MATCH("Hjälpel kraftvärme (GWh)",Miljö!$B$1:$E$1,0),FALSE)/1,0)-IFERROR(VLOOKUP($B327,'Slutlig allokering kvv'!$B$2:$BX$549,MATCH(AE$2,'Slutlig allokering kvv'!$B$1:$BX$1,0),FALSE)/1,0))</f>
        <v/>
      </c>
      <c r="AI327" s="121">
        <f t="shared" si="20"/>
        <v>0</v>
      </c>
      <c r="AK327" s="121">
        <f>IFERROR(VLOOKUP($B327,'Slutlig allokering kvv'!$B$2:$AX$549,MATCH("Summa slutlig allokerad tillförd energi (utan hjälpel och rökgaskondensering):",'Slutlig allokering kvv'!$B$1:$AX$1,0),FALSE)/1,"")</f>
        <v>0</v>
      </c>
      <c r="AM327" s="172" t="str">
        <f>IFERROR(1-VLOOKUP($B327,'Slutlig allokering kvv'!$B$2:$AX$549,MATCH("Andel av bränsle i kvv som allokerats till värme, exklusive rökgaskondensering och hjälpel",'Slutlig allokering kvv'!$B$1:$AX$1,0),FALSE),"")</f>
        <v/>
      </c>
      <c r="AO327" s="172" t="str">
        <f t="shared" si="21"/>
        <v/>
      </c>
      <c r="AP327" s="173" t="str">
        <f t="shared" si="22"/>
        <v/>
      </c>
      <c r="AR327" s="172" t="str">
        <f t="shared" si="23"/>
        <v/>
      </c>
    </row>
    <row r="328" spans="1:44" x14ac:dyDescent="0.25">
      <c r="A328" s="171" t="str">
        <f>'Miljövärden för publ företag'!B330</f>
        <v>Värnamo Energi AB</v>
      </c>
      <c r="B328" s="171" t="str">
        <f>'Miljövärden för publ företag'!C330</f>
        <v>Bor</v>
      </c>
      <c r="C328" s="121" t="str">
        <f>IFERROR(VLOOKUP($B328,Kraftvärmeprod!$B$1:$AH$478,MATCH(C$2,Kraftvärmeprod!$B$1:$AG$1,0),FALSE)/1,"")</f>
        <v/>
      </c>
      <c r="D328" s="121" t="str">
        <f>IFERROR(VLOOKUP($B328,Kraftvärmeprod!$B$1:$AH$478,MATCH(D$2,Kraftvärmeprod!$B$1:$AG$1,0),FALSE)/1,"")</f>
        <v/>
      </c>
      <c r="F328" s="121" t="str">
        <f>IF($D328="","",IFERROR(VLOOKUP($B328,Kraftvärmeprod!$B$1:$BX$549,MATCH(F$2,Kraftvärmeprod!$B$1:$VX$1,0),FALSE)/1,0)-IFERROR(VLOOKUP($B328,'Slutlig allokering kvv'!$B$2:$BX$549,MATCH(F$2,'Slutlig allokering kvv'!$B$1:$BX$1,0),FALSE)/1,0))</f>
        <v/>
      </c>
      <c r="G328" s="121" t="str">
        <f>IF($D328="","",IFERROR(VLOOKUP($B328,Kraftvärmeprod!$B$1:$BX$549,MATCH(G$2,Kraftvärmeprod!$B$1:$VX$1,0),FALSE)/1,0)-IFERROR(VLOOKUP($B328,'Slutlig allokering kvv'!$B$2:$BX$549,MATCH(G$2,'Slutlig allokering kvv'!$B$1:$BX$1,0),FALSE)/1,0))</f>
        <v/>
      </c>
      <c r="H328" s="121" t="str">
        <f>IF($D328="","",IFERROR(VLOOKUP($B328,Kraftvärmeprod!$B$1:$BX$549,MATCH(H$2,Kraftvärmeprod!$B$1:$VX$1,0),FALSE)/1,0)-IFERROR(VLOOKUP($B328,'Slutlig allokering kvv'!$B$2:$BX$549,MATCH(H$2,'Slutlig allokering kvv'!$B$1:$BX$1,0),FALSE)/1,0))</f>
        <v/>
      </c>
      <c r="I328" s="121" t="str">
        <f>IF($D328="","",IFERROR(VLOOKUP($B328,Kraftvärmeprod!$B$1:$BX$549,MATCH(I$2,Kraftvärmeprod!$B$1:$VX$1,0),FALSE)/1,0)-IFERROR(VLOOKUP($B328,'Slutlig allokering kvv'!$B$2:$BX$549,MATCH(I$2,'Slutlig allokering kvv'!$B$1:$BX$1,0),FALSE)/1,0))</f>
        <v/>
      </c>
      <c r="J328" s="121" t="str">
        <f>IF($D328="","",IFERROR(VLOOKUP($B328,Kraftvärmeprod!$B$1:$BX$549,MATCH(J$2,Kraftvärmeprod!$B$1:$VX$1,0),FALSE)/1,0)-IFERROR(VLOOKUP($B328,'Slutlig allokering kvv'!$B$2:$BX$549,MATCH(J$2,'Slutlig allokering kvv'!$B$1:$BX$1,0),FALSE)/1,0))</f>
        <v/>
      </c>
      <c r="K328" s="121" t="str">
        <f>IF($D328="","",IFERROR(VLOOKUP($B328,Kraftvärmeprod!$B$1:$BX$549,MATCH(K$2,Kraftvärmeprod!$B$1:$VX$1,0),FALSE)/1,0)-IFERROR(VLOOKUP($B328,'Slutlig allokering kvv'!$B$2:$BX$549,MATCH(K$2,'Slutlig allokering kvv'!$B$1:$BX$1,0),FALSE)/1,0))</f>
        <v/>
      </c>
      <c r="L328" s="121" t="str">
        <f>IF($D328="","",IFERROR(VLOOKUP($B328,Kraftvärmeprod!$B$1:$BX$549,MATCH(L$2,Kraftvärmeprod!$B$1:$VX$1,0),FALSE)/1,0)-IFERROR(VLOOKUP($B328,'Slutlig allokering kvv'!$B$2:$BX$549,MATCH(L$2,'Slutlig allokering kvv'!$B$1:$BX$1,0),FALSE)/1,0))</f>
        <v/>
      </c>
      <c r="M328" s="121" t="str">
        <f>IF($D328="","",IFERROR(VLOOKUP($B328,Kraftvärmeprod!$B$1:$BX$549,MATCH(M$2,Kraftvärmeprod!$B$1:$VX$1,0),FALSE)/1,0)-IFERROR(VLOOKUP($B328,'Slutlig allokering kvv'!$B$2:$BX$549,MATCH(M$2,'Slutlig allokering kvv'!$B$1:$BX$1,0),FALSE)/1,0))</f>
        <v/>
      </c>
      <c r="N328" s="121" t="str">
        <f>IF($D328="","",IFERROR(VLOOKUP($B328,Kraftvärmeprod!$B$1:$BX$549,MATCH(N$2,Kraftvärmeprod!$B$1:$VX$1,0),FALSE)/1,0)-IFERROR(VLOOKUP($B328,'Slutlig allokering kvv'!$B$2:$BX$549,MATCH(N$2,'Slutlig allokering kvv'!$B$1:$BX$1,0),FALSE)/1,0))</f>
        <v/>
      </c>
      <c r="O328" s="121" t="str">
        <f>IF($D328="","",IFERROR(VLOOKUP($B328,Kraftvärmeprod!$B$1:$BX$549,MATCH(O$2,Kraftvärmeprod!$B$1:$VX$1,0),FALSE)/1,0)-IFERROR(VLOOKUP($B328,'Slutlig allokering kvv'!$B$2:$BX$549,MATCH(O$2,'Slutlig allokering kvv'!$B$1:$BX$1,0),FALSE)/1,0))</f>
        <v/>
      </c>
      <c r="P328" s="121" t="str">
        <f>IF($D328="","",IFERROR(VLOOKUP($B328,Kraftvärmeprod!$B$1:$BX$549,MATCH(P$2,Kraftvärmeprod!$B$1:$VX$1,0),FALSE)/1,0)-IFERROR(VLOOKUP($B328,'Slutlig allokering kvv'!$B$2:$BX$549,MATCH(P$2,'Slutlig allokering kvv'!$B$1:$BX$1,0),FALSE)/1,0))</f>
        <v/>
      </c>
      <c r="Q328" s="121" t="str">
        <f>IF($D328="","",IFERROR(VLOOKUP($B328,Kraftvärmeprod!$B$1:$BX$549,MATCH(Q$2,Kraftvärmeprod!$B$1:$VX$1,0),FALSE)/1,0)-IFERROR(VLOOKUP($B328,'Slutlig allokering kvv'!$B$2:$BX$549,MATCH(Q$2,'Slutlig allokering kvv'!$B$1:$BX$1,0),FALSE)/1,0))</f>
        <v/>
      </c>
      <c r="R328" s="121" t="str">
        <f>IF($D328="","",IFERROR(VLOOKUP($B328,Kraftvärmeprod!$B$1:$BX$549,MATCH(R$2,Kraftvärmeprod!$B$1:$VX$1,0),FALSE)/1,0)-IFERROR(VLOOKUP($B328,'Slutlig allokering kvv'!$B$2:$BX$549,MATCH(R$2,'Slutlig allokering kvv'!$B$1:$BX$1,0),FALSE)/1,0))</f>
        <v/>
      </c>
      <c r="S328" s="121" t="str">
        <f>IF($D328="","",IFERROR(VLOOKUP($B328,Kraftvärmeprod!$B$1:$BX$549,MATCH(S$2,Kraftvärmeprod!$B$1:$VX$1,0),FALSE)/1,0)-IFERROR(VLOOKUP($B328,'Slutlig allokering kvv'!$B$2:$BX$549,MATCH(S$2,'Slutlig allokering kvv'!$B$1:$BX$1,0),FALSE)/1,0))</f>
        <v/>
      </c>
      <c r="T328" s="121" t="str">
        <f>IF($D328="","",IFERROR(VLOOKUP($B328,Kraftvärmeprod!$B$1:$BX$549,MATCH(T$2,Kraftvärmeprod!$B$1:$VX$1,0),FALSE)/1,0)-IFERROR(VLOOKUP($B328,'Slutlig allokering kvv'!$B$2:$BX$549,MATCH(T$2,'Slutlig allokering kvv'!$B$1:$BX$1,0),FALSE)/1,0))</f>
        <v/>
      </c>
      <c r="U328" s="121" t="str">
        <f>IF($D328="","",IFERROR(VLOOKUP($B328,Kraftvärmeprod!$B$1:$BX$549,MATCH(U$2,Kraftvärmeprod!$B$1:$VX$1,0),FALSE)/1,0)-IFERROR(VLOOKUP($B328,'Slutlig allokering kvv'!$B$2:$BX$549,MATCH(U$2,'Slutlig allokering kvv'!$B$1:$BX$1,0),FALSE)/1,0))</f>
        <v/>
      </c>
      <c r="V328" s="121" t="str">
        <f>IF($D328="","",IFERROR(VLOOKUP($B328,Kraftvärmeprod!$B$1:$BX$549,MATCH(V$2,Kraftvärmeprod!$B$1:$VX$1,0),FALSE)/1,0)-IFERROR(VLOOKUP($B328,'Slutlig allokering kvv'!$B$2:$BX$549,MATCH(V$2,'Slutlig allokering kvv'!$B$1:$BX$1,0),FALSE)/1,0))</f>
        <v/>
      </c>
      <c r="W328" s="121" t="str">
        <f>IF($D328="","",IFERROR(VLOOKUP($B328,Kraftvärmeprod!$B$1:$BX$549,MATCH(W$2,Kraftvärmeprod!$B$1:$VX$1,0),FALSE)/1,0)-IFERROR(VLOOKUP($B328,'Slutlig allokering kvv'!$B$2:$BX$549,MATCH(W$2,'Slutlig allokering kvv'!$B$1:$BX$1,0),FALSE)/1,0))</f>
        <v/>
      </c>
      <c r="X328" s="121" t="str">
        <f>IF($D328="","",IFERROR(VLOOKUP($B328,Kraftvärmeprod!$B$1:$BX$549,MATCH(X$2,Kraftvärmeprod!$B$1:$VX$1,0),FALSE)/1,0)-IFERROR(VLOOKUP($B328,'Slutlig allokering kvv'!$B$2:$BX$549,MATCH(X$2,'Slutlig allokering kvv'!$B$1:$BX$1,0),FALSE)/1,0))</f>
        <v/>
      </c>
      <c r="Y328" s="121" t="str">
        <f>IF($D328="","",IFERROR(VLOOKUP($B328,Kraftvärmeprod!$B$1:$BX$549,MATCH(Y$2,Kraftvärmeprod!$B$1:$VX$1,0),FALSE)/1,0)-IFERROR(VLOOKUP($B328,'Slutlig allokering kvv'!$B$2:$BX$549,MATCH(Y$2,'Slutlig allokering kvv'!$B$1:$BX$1,0),FALSE)/1,0))</f>
        <v/>
      </c>
      <c r="Z328" s="121" t="str">
        <f>IF($D328="","",IFERROR(VLOOKUP($B328,Kraftvärmeprod!$B$1:$BX$549,MATCH(Z$2,Kraftvärmeprod!$B$1:$VX$1,0),FALSE)/1,0)-IFERROR(VLOOKUP($B328,'Slutlig allokering kvv'!$B$2:$BX$549,MATCH(Z$2,'Slutlig allokering kvv'!$B$1:$BX$1,0),FALSE)/1,0))</f>
        <v/>
      </c>
      <c r="AA328" s="121" t="str">
        <f>IF($D328="","",IFERROR(VLOOKUP($B328,Kraftvärmeprod!$B$1:$BX$549,MATCH(AA$2,Kraftvärmeprod!$B$1:$VX$1,0),FALSE)/1,0)-IFERROR(VLOOKUP($B328,'Slutlig allokering kvv'!$B$2:$BX$549,MATCH(AA$2,'Slutlig allokering kvv'!$B$1:$BX$1,0),FALSE)/1,0))</f>
        <v/>
      </c>
      <c r="AB328" s="121" t="str">
        <f>IF($D328="","",IFERROR(VLOOKUP($B328,Kraftvärmeprod!$B$1:$BX$549,MATCH(AB$2,Kraftvärmeprod!$B$1:$VX$1,0),FALSE)/1,0)-IFERROR(VLOOKUP($B328,'Slutlig allokering kvv'!$B$2:$BX$549,MATCH(AB$2,'Slutlig allokering kvv'!$B$1:$BX$1,0),FALSE)/1,0))</f>
        <v/>
      </c>
      <c r="AC328" s="121" t="str">
        <f>IF($D328="","",IFERROR(VLOOKUP($B328,Kraftvärmeprod!$B$1:$BX$549,MATCH(AC$2,Kraftvärmeprod!$B$1:$VX$1,0),FALSE)/1,0)-IFERROR(VLOOKUP($B328,'Slutlig allokering kvv'!$B$2:$BX$549,MATCH(AC$2,'Slutlig allokering kvv'!$B$1:$BX$1,0),FALSE)/1,0))</f>
        <v/>
      </c>
      <c r="AD328" s="121" t="str">
        <f>IF($D328="","",IFERROR(VLOOKUP($B328,Kraftvärmeprod!$B$1:$BX$549,MATCH(AD$2,Kraftvärmeprod!$B$1:$VX$1,0),FALSE)/1,0)-IFERROR(VLOOKUP($B328,'Slutlig allokering kvv'!$B$2:$BX$549,MATCH(AD$2,'Slutlig allokering kvv'!$B$1:$BX$1,0),FALSE)/1,0))</f>
        <v/>
      </c>
      <c r="AE328" s="121" t="str">
        <f>IF($D328="","",IFERROR(VLOOKUP($B328,Miljö!$B$1:$E$550,MATCH("Hjälpel kraftvärme (GWh)",Miljö!$B$1:$E$1,0),FALSE)/1,0)-IFERROR(VLOOKUP($B328,'Slutlig allokering kvv'!$B$2:$BX$549,MATCH(AE$2,'Slutlig allokering kvv'!$B$1:$BX$1,0),FALSE)/1,0))</f>
        <v/>
      </c>
      <c r="AI328" s="121">
        <f t="shared" si="20"/>
        <v>0</v>
      </c>
      <c r="AK328" s="121">
        <f>IFERROR(VLOOKUP($B328,'Slutlig allokering kvv'!$B$2:$AX$549,MATCH("Summa slutlig allokerad tillförd energi (utan hjälpel och rökgaskondensering):",'Slutlig allokering kvv'!$B$1:$AX$1,0),FALSE)/1,"")</f>
        <v>0</v>
      </c>
      <c r="AM328" s="172" t="str">
        <f>IFERROR(1-VLOOKUP($B328,'Slutlig allokering kvv'!$B$2:$AX$549,MATCH("Andel av bränsle i kvv som allokerats till värme, exklusive rökgaskondensering och hjälpel",'Slutlig allokering kvv'!$B$1:$AX$1,0),FALSE),"")</f>
        <v/>
      </c>
      <c r="AO328" s="172" t="str">
        <f t="shared" si="21"/>
        <v/>
      </c>
      <c r="AP328" s="173" t="str">
        <f t="shared" si="22"/>
        <v/>
      </c>
      <c r="AR328" s="172" t="str">
        <f t="shared" si="23"/>
        <v/>
      </c>
    </row>
    <row r="329" spans="1:44" x14ac:dyDescent="0.25">
      <c r="A329" s="171" t="str">
        <f>'Miljövärden för publ företag'!B331</f>
        <v>Värnamo Energi AB</v>
      </c>
      <c r="B329" s="171" t="str">
        <f>'Miljövärden för publ företag'!C331</f>
        <v>Lanna</v>
      </c>
      <c r="C329" s="121" t="str">
        <f>IFERROR(VLOOKUP($B329,Kraftvärmeprod!$B$1:$AH$478,MATCH(C$2,Kraftvärmeprod!$B$1:$AG$1,0),FALSE)/1,"")</f>
        <v/>
      </c>
      <c r="D329" s="121" t="str">
        <f>IFERROR(VLOOKUP($B329,Kraftvärmeprod!$B$1:$AH$478,MATCH(D$2,Kraftvärmeprod!$B$1:$AG$1,0),FALSE)/1,"")</f>
        <v/>
      </c>
      <c r="F329" s="121" t="str">
        <f>IF($D329="","",IFERROR(VLOOKUP($B329,Kraftvärmeprod!$B$1:$BX$549,MATCH(F$2,Kraftvärmeprod!$B$1:$VX$1,0),FALSE)/1,0)-IFERROR(VLOOKUP($B329,'Slutlig allokering kvv'!$B$2:$BX$549,MATCH(F$2,'Slutlig allokering kvv'!$B$1:$BX$1,0),FALSE)/1,0))</f>
        <v/>
      </c>
      <c r="G329" s="121" t="str">
        <f>IF($D329="","",IFERROR(VLOOKUP($B329,Kraftvärmeprod!$B$1:$BX$549,MATCH(G$2,Kraftvärmeprod!$B$1:$VX$1,0),FALSE)/1,0)-IFERROR(VLOOKUP($B329,'Slutlig allokering kvv'!$B$2:$BX$549,MATCH(G$2,'Slutlig allokering kvv'!$B$1:$BX$1,0),FALSE)/1,0))</f>
        <v/>
      </c>
      <c r="H329" s="121" t="str">
        <f>IF($D329="","",IFERROR(VLOOKUP($B329,Kraftvärmeprod!$B$1:$BX$549,MATCH(H$2,Kraftvärmeprod!$B$1:$VX$1,0),FALSE)/1,0)-IFERROR(VLOOKUP($B329,'Slutlig allokering kvv'!$B$2:$BX$549,MATCH(H$2,'Slutlig allokering kvv'!$B$1:$BX$1,0),FALSE)/1,0))</f>
        <v/>
      </c>
      <c r="I329" s="121" t="str">
        <f>IF($D329="","",IFERROR(VLOOKUP($B329,Kraftvärmeprod!$B$1:$BX$549,MATCH(I$2,Kraftvärmeprod!$B$1:$VX$1,0),FALSE)/1,0)-IFERROR(VLOOKUP($B329,'Slutlig allokering kvv'!$B$2:$BX$549,MATCH(I$2,'Slutlig allokering kvv'!$B$1:$BX$1,0),FALSE)/1,0))</f>
        <v/>
      </c>
      <c r="J329" s="121" t="str">
        <f>IF($D329="","",IFERROR(VLOOKUP($B329,Kraftvärmeprod!$B$1:$BX$549,MATCH(J$2,Kraftvärmeprod!$B$1:$VX$1,0),FALSE)/1,0)-IFERROR(VLOOKUP($B329,'Slutlig allokering kvv'!$B$2:$BX$549,MATCH(J$2,'Slutlig allokering kvv'!$B$1:$BX$1,0),FALSE)/1,0))</f>
        <v/>
      </c>
      <c r="K329" s="121" t="str">
        <f>IF($D329="","",IFERROR(VLOOKUP($B329,Kraftvärmeprod!$B$1:$BX$549,MATCH(K$2,Kraftvärmeprod!$B$1:$VX$1,0),FALSE)/1,0)-IFERROR(VLOOKUP($B329,'Slutlig allokering kvv'!$B$2:$BX$549,MATCH(K$2,'Slutlig allokering kvv'!$B$1:$BX$1,0),FALSE)/1,0))</f>
        <v/>
      </c>
      <c r="L329" s="121" t="str">
        <f>IF($D329="","",IFERROR(VLOOKUP($B329,Kraftvärmeprod!$B$1:$BX$549,MATCH(L$2,Kraftvärmeprod!$B$1:$VX$1,0),FALSE)/1,0)-IFERROR(VLOOKUP($B329,'Slutlig allokering kvv'!$B$2:$BX$549,MATCH(L$2,'Slutlig allokering kvv'!$B$1:$BX$1,0),FALSE)/1,0))</f>
        <v/>
      </c>
      <c r="M329" s="121" t="str">
        <f>IF($D329="","",IFERROR(VLOOKUP($B329,Kraftvärmeprod!$B$1:$BX$549,MATCH(M$2,Kraftvärmeprod!$B$1:$VX$1,0),FALSE)/1,0)-IFERROR(VLOOKUP($B329,'Slutlig allokering kvv'!$B$2:$BX$549,MATCH(M$2,'Slutlig allokering kvv'!$B$1:$BX$1,0),FALSE)/1,0))</f>
        <v/>
      </c>
      <c r="N329" s="121" t="str">
        <f>IF($D329="","",IFERROR(VLOOKUP($B329,Kraftvärmeprod!$B$1:$BX$549,MATCH(N$2,Kraftvärmeprod!$B$1:$VX$1,0),FALSE)/1,0)-IFERROR(VLOOKUP($B329,'Slutlig allokering kvv'!$B$2:$BX$549,MATCH(N$2,'Slutlig allokering kvv'!$B$1:$BX$1,0),FALSE)/1,0))</f>
        <v/>
      </c>
      <c r="O329" s="121" t="str">
        <f>IF($D329="","",IFERROR(VLOOKUP($B329,Kraftvärmeprod!$B$1:$BX$549,MATCH(O$2,Kraftvärmeprod!$B$1:$VX$1,0),FALSE)/1,0)-IFERROR(VLOOKUP($B329,'Slutlig allokering kvv'!$B$2:$BX$549,MATCH(O$2,'Slutlig allokering kvv'!$B$1:$BX$1,0),FALSE)/1,0))</f>
        <v/>
      </c>
      <c r="P329" s="121" t="str">
        <f>IF($D329="","",IFERROR(VLOOKUP($B329,Kraftvärmeprod!$B$1:$BX$549,MATCH(P$2,Kraftvärmeprod!$B$1:$VX$1,0),FALSE)/1,0)-IFERROR(VLOOKUP($B329,'Slutlig allokering kvv'!$B$2:$BX$549,MATCH(P$2,'Slutlig allokering kvv'!$B$1:$BX$1,0),FALSE)/1,0))</f>
        <v/>
      </c>
      <c r="Q329" s="121" t="str">
        <f>IF($D329="","",IFERROR(VLOOKUP($B329,Kraftvärmeprod!$B$1:$BX$549,MATCH(Q$2,Kraftvärmeprod!$B$1:$VX$1,0),FALSE)/1,0)-IFERROR(VLOOKUP($B329,'Slutlig allokering kvv'!$B$2:$BX$549,MATCH(Q$2,'Slutlig allokering kvv'!$B$1:$BX$1,0),FALSE)/1,0))</f>
        <v/>
      </c>
      <c r="R329" s="121" t="str">
        <f>IF($D329="","",IFERROR(VLOOKUP($B329,Kraftvärmeprod!$B$1:$BX$549,MATCH(R$2,Kraftvärmeprod!$B$1:$VX$1,0),FALSE)/1,0)-IFERROR(VLOOKUP($B329,'Slutlig allokering kvv'!$B$2:$BX$549,MATCH(R$2,'Slutlig allokering kvv'!$B$1:$BX$1,0),FALSE)/1,0))</f>
        <v/>
      </c>
      <c r="S329" s="121" t="str">
        <f>IF($D329="","",IFERROR(VLOOKUP($B329,Kraftvärmeprod!$B$1:$BX$549,MATCH(S$2,Kraftvärmeprod!$B$1:$VX$1,0),FALSE)/1,0)-IFERROR(VLOOKUP($B329,'Slutlig allokering kvv'!$B$2:$BX$549,MATCH(S$2,'Slutlig allokering kvv'!$B$1:$BX$1,0),FALSE)/1,0))</f>
        <v/>
      </c>
      <c r="T329" s="121" t="str">
        <f>IF($D329="","",IFERROR(VLOOKUP($B329,Kraftvärmeprod!$B$1:$BX$549,MATCH(T$2,Kraftvärmeprod!$B$1:$VX$1,0),FALSE)/1,0)-IFERROR(VLOOKUP($B329,'Slutlig allokering kvv'!$B$2:$BX$549,MATCH(T$2,'Slutlig allokering kvv'!$B$1:$BX$1,0),FALSE)/1,0))</f>
        <v/>
      </c>
      <c r="U329" s="121" t="str">
        <f>IF($D329="","",IFERROR(VLOOKUP($B329,Kraftvärmeprod!$B$1:$BX$549,MATCH(U$2,Kraftvärmeprod!$B$1:$VX$1,0),FALSE)/1,0)-IFERROR(VLOOKUP($B329,'Slutlig allokering kvv'!$B$2:$BX$549,MATCH(U$2,'Slutlig allokering kvv'!$B$1:$BX$1,0),FALSE)/1,0))</f>
        <v/>
      </c>
      <c r="V329" s="121" t="str">
        <f>IF($D329="","",IFERROR(VLOOKUP($B329,Kraftvärmeprod!$B$1:$BX$549,MATCH(V$2,Kraftvärmeprod!$B$1:$VX$1,0),FALSE)/1,0)-IFERROR(VLOOKUP($B329,'Slutlig allokering kvv'!$B$2:$BX$549,MATCH(V$2,'Slutlig allokering kvv'!$B$1:$BX$1,0),FALSE)/1,0))</f>
        <v/>
      </c>
      <c r="W329" s="121" t="str">
        <f>IF($D329="","",IFERROR(VLOOKUP($B329,Kraftvärmeprod!$B$1:$BX$549,MATCH(W$2,Kraftvärmeprod!$B$1:$VX$1,0),FALSE)/1,0)-IFERROR(VLOOKUP($B329,'Slutlig allokering kvv'!$B$2:$BX$549,MATCH(W$2,'Slutlig allokering kvv'!$B$1:$BX$1,0),FALSE)/1,0))</f>
        <v/>
      </c>
      <c r="X329" s="121" t="str">
        <f>IF($D329="","",IFERROR(VLOOKUP($B329,Kraftvärmeprod!$B$1:$BX$549,MATCH(X$2,Kraftvärmeprod!$B$1:$VX$1,0),FALSE)/1,0)-IFERROR(VLOOKUP($B329,'Slutlig allokering kvv'!$B$2:$BX$549,MATCH(X$2,'Slutlig allokering kvv'!$B$1:$BX$1,0),FALSE)/1,0))</f>
        <v/>
      </c>
      <c r="Y329" s="121" t="str">
        <f>IF($D329="","",IFERROR(VLOOKUP($B329,Kraftvärmeprod!$B$1:$BX$549,MATCH(Y$2,Kraftvärmeprod!$B$1:$VX$1,0),FALSE)/1,0)-IFERROR(VLOOKUP($B329,'Slutlig allokering kvv'!$B$2:$BX$549,MATCH(Y$2,'Slutlig allokering kvv'!$B$1:$BX$1,0),FALSE)/1,0))</f>
        <v/>
      </c>
      <c r="Z329" s="121" t="str">
        <f>IF($D329="","",IFERROR(VLOOKUP($B329,Kraftvärmeprod!$B$1:$BX$549,MATCH(Z$2,Kraftvärmeprod!$B$1:$VX$1,0),FALSE)/1,0)-IFERROR(VLOOKUP($B329,'Slutlig allokering kvv'!$B$2:$BX$549,MATCH(Z$2,'Slutlig allokering kvv'!$B$1:$BX$1,0),FALSE)/1,0))</f>
        <v/>
      </c>
      <c r="AA329" s="121" t="str">
        <f>IF($D329="","",IFERROR(VLOOKUP($B329,Kraftvärmeprod!$B$1:$BX$549,MATCH(AA$2,Kraftvärmeprod!$B$1:$VX$1,0),FALSE)/1,0)-IFERROR(VLOOKUP($B329,'Slutlig allokering kvv'!$B$2:$BX$549,MATCH(AA$2,'Slutlig allokering kvv'!$B$1:$BX$1,0),FALSE)/1,0))</f>
        <v/>
      </c>
      <c r="AB329" s="121" t="str">
        <f>IF($D329="","",IFERROR(VLOOKUP($B329,Kraftvärmeprod!$B$1:$BX$549,MATCH(AB$2,Kraftvärmeprod!$B$1:$VX$1,0),FALSE)/1,0)-IFERROR(VLOOKUP($B329,'Slutlig allokering kvv'!$B$2:$BX$549,MATCH(AB$2,'Slutlig allokering kvv'!$B$1:$BX$1,0),FALSE)/1,0))</f>
        <v/>
      </c>
      <c r="AC329" s="121" t="str">
        <f>IF($D329="","",IFERROR(VLOOKUP($B329,Kraftvärmeprod!$B$1:$BX$549,MATCH(AC$2,Kraftvärmeprod!$B$1:$VX$1,0),FALSE)/1,0)-IFERROR(VLOOKUP($B329,'Slutlig allokering kvv'!$B$2:$BX$549,MATCH(AC$2,'Slutlig allokering kvv'!$B$1:$BX$1,0),FALSE)/1,0))</f>
        <v/>
      </c>
      <c r="AD329" s="121" t="str">
        <f>IF($D329="","",IFERROR(VLOOKUP($B329,Kraftvärmeprod!$B$1:$BX$549,MATCH(AD$2,Kraftvärmeprod!$B$1:$VX$1,0),FALSE)/1,0)-IFERROR(VLOOKUP($B329,'Slutlig allokering kvv'!$B$2:$BX$549,MATCH(AD$2,'Slutlig allokering kvv'!$B$1:$BX$1,0),FALSE)/1,0))</f>
        <v/>
      </c>
      <c r="AE329" s="121" t="str">
        <f>IF($D329="","",IFERROR(VLOOKUP($B329,Miljö!$B$1:$E$550,MATCH("Hjälpel kraftvärme (GWh)",Miljö!$B$1:$E$1,0),FALSE)/1,0)-IFERROR(VLOOKUP($B329,'Slutlig allokering kvv'!$B$2:$BX$549,MATCH(AE$2,'Slutlig allokering kvv'!$B$1:$BX$1,0),FALSE)/1,0))</f>
        <v/>
      </c>
      <c r="AI329" s="121">
        <f t="shared" si="20"/>
        <v>0</v>
      </c>
      <c r="AK329" s="121">
        <f>IFERROR(VLOOKUP($B329,'Slutlig allokering kvv'!$B$2:$AX$549,MATCH("Summa slutlig allokerad tillförd energi (utan hjälpel och rökgaskondensering):",'Slutlig allokering kvv'!$B$1:$AX$1,0),FALSE)/1,"")</f>
        <v>0</v>
      </c>
      <c r="AM329" s="172" t="str">
        <f>IFERROR(1-VLOOKUP($B329,'Slutlig allokering kvv'!$B$2:$AX$549,MATCH("Andel av bränsle i kvv som allokerats till värme, exklusive rökgaskondensering och hjälpel",'Slutlig allokering kvv'!$B$1:$AX$1,0),FALSE),"")</f>
        <v/>
      </c>
      <c r="AO329" s="172" t="str">
        <f t="shared" si="21"/>
        <v/>
      </c>
      <c r="AP329" s="173" t="str">
        <f t="shared" si="22"/>
        <v/>
      </c>
      <c r="AR329" s="172" t="str">
        <f t="shared" si="23"/>
        <v/>
      </c>
    </row>
    <row r="330" spans="1:44" x14ac:dyDescent="0.25">
      <c r="A330" s="171" t="str">
        <f>'Miljövärden för publ företag'!B332</f>
        <v>Värnamo Energi AB</v>
      </c>
      <c r="B330" s="171" t="str">
        <f>'Miljövärden för publ företag'!C332</f>
        <v>Rydaholm</v>
      </c>
      <c r="C330" s="121" t="str">
        <f>IFERROR(VLOOKUP($B330,Kraftvärmeprod!$B$1:$AH$478,MATCH(C$2,Kraftvärmeprod!$B$1:$AG$1,0),FALSE)/1,"")</f>
        <v/>
      </c>
      <c r="D330" s="121" t="str">
        <f>IFERROR(VLOOKUP($B330,Kraftvärmeprod!$B$1:$AH$478,MATCH(D$2,Kraftvärmeprod!$B$1:$AG$1,0),FALSE)/1,"")</f>
        <v/>
      </c>
      <c r="F330" s="121" t="str">
        <f>IF($D330="","",IFERROR(VLOOKUP($B330,Kraftvärmeprod!$B$1:$BX$549,MATCH(F$2,Kraftvärmeprod!$B$1:$VX$1,0),FALSE)/1,0)-IFERROR(VLOOKUP($B330,'Slutlig allokering kvv'!$B$2:$BX$549,MATCH(F$2,'Slutlig allokering kvv'!$B$1:$BX$1,0),FALSE)/1,0))</f>
        <v/>
      </c>
      <c r="G330" s="121" t="str">
        <f>IF($D330="","",IFERROR(VLOOKUP($B330,Kraftvärmeprod!$B$1:$BX$549,MATCH(G$2,Kraftvärmeprod!$B$1:$VX$1,0),FALSE)/1,0)-IFERROR(VLOOKUP($B330,'Slutlig allokering kvv'!$B$2:$BX$549,MATCH(G$2,'Slutlig allokering kvv'!$B$1:$BX$1,0),FALSE)/1,0))</f>
        <v/>
      </c>
      <c r="H330" s="121" t="str">
        <f>IF($D330="","",IFERROR(VLOOKUP($B330,Kraftvärmeprod!$B$1:$BX$549,MATCH(H$2,Kraftvärmeprod!$B$1:$VX$1,0),FALSE)/1,0)-IFERROR(VLOOKUP($B330,'Slutlig allokering kvv'!$B$2:$BX$549,MATCH(H$2,'Slutlig allokering kvv'!$B$1:$BX$1,0),FALSE)/1,0))</f>
        <v/>
      </c>
      <c r="I330" s="121" t="str">
        <f>IF($D330="","",IFERROR(VLOOKUP($B330,Kraftvärmeprod!$B$1:$BX$549,MATCH(I$2,Kraftvärmeprod!$B$1:$VX$1,0),FALSE)/1,0)-IFERROR(VLOOKUP($B330,'Slutlig allokering kvv'!$B$2:$BX$549,MATCH(I$2,'Slutlig allokering kvv'!$B$1:$BX$1,0),FALSE)/1,0))</f>
        <v/>
      </c>
      <c r="J330" s="121" t="str">
        <f>IF($D330="","",IFERROR(VLOOKUP($B330,Kraftvärmeprod!$B$1:$BX$549,MATCH(J$2,Kraftvärmeprod!$B$1:$VX$1,0),FALSE)/1,0)-IFERROR(VLOOKUP($B330,'Slutlig allokering kvv'!$B$2:$BX$549,MATCH(J$2,'Slutlig allokering kvv'!$B$1:$BX$1,0),FALSE)/1,0))</f>
        <v/>
      </c>
      <c r="K330" s="121" t="str">
        <f>IF($D330="","",IFERROR(VLOOKUP($B330,Kraftvärmeprod!$B$1:$BX$549,MATCH(K$2,Kraftvärmeprod!$B$1:$VX$1,0),FALSE)/1,0)-IFERROR(VLOOKUP($B330,'Slutlig allokering kvv'!$B$2:$BX$549,MATCH(K$2,'Slutlig allokering kvv'!$B$1:$BX$1,0),FALSE)/1,0))</f>
        <v/>
      </c>
      <c r="L330" s="121" t="str">
        <f>IF($D330="","",IFERROR(VLOOKUP($B330,Kraftvärmeprod!$B$1:$BX$549,MATCH(L$2,Kraftvärmeprod!$B$1:$VX$1,0),FALSE)/1,0)-IFERROR(VLOOKUP($B330,'Slutlig allokering kvv'!$B$2:$BX$549,MATCH(L$2,'Slutlig allokering kvv'!$B$1:$BX$1,0),FALSE)/1,0))</f>
        <v/>
      </c>
      <c r="M330" s="121" t="str">
        <f>IF($D330="","",IFERROR(VLOOKUP($B330,Kraftvärmeprod!$B$1:$BX$549,MATCH(M$2,Kraftvärmeprod!$B$1:$VX$1,0),FALSE)/1,0)-IFERROR(VLOOKUP($B330,'Slutlig allokering kvv'!$B$2:$BX$549,MATCH(M$2,'Slutlig allokering kvv'!$B$1:$BX$1,0),FALSE)/1,0))</f>
        <v/>
      </c>
      <c r="N330" s="121" t="str">
        <f>IF($D330="","",IFERROR(VLOOKUP($B330,Kraftvärmeprod!$B$1:$BX$549,MATCH(N$2,Kraftvärmeprod!$B$1:$VX$1,0),FALSE)/1,0)-IFERROR(VLOOKUP($B330,'Slutlig allokering kvv'!$B$2:$BX$549,MATCH(N$2,'Slutlig allokering kvv'!$B$1:$BX$1,0),FALSE)/1,0))</f>
        <v/>
      </c>
      <c r="O330" s="121" t="str">
        <f>IF($D330="","",IFERROR(VLOOKUP($B330,Kraftvärmeprod!$B$1:$BX$549,MATCH(O$2,Kraftvärmeprod!$B$1:$VX$1,0),FALSE)/1,0)-IFERROR(VLOOKUP($B330,'Slutlig allokering kvv'!$B$2:$BX$549,MATCH(O$2,'Slutlig allokering kvv'!$B$1:$BX$1,0),FALSE)/1,0))</f>
        <v/>
      </c>
      <c r="P330" s="121" t="str">
        <f>IF($D330="","",IFERROR(VLOOKUP($B330,Kraftvärmeprod!$B$1:$BX$549,MATCH(P$2,Kraftvärmeprod!$B$1:$VX$1,0),FALSE)/1,0)-IFERROR(VLOOKUP($B330,'Slutlig allokering kvv'!$B$2:$BX$549,MATCH(P$2,'Slutlig allokering kvv'!$B$1:$BX$1,0),FALSE)/1,0))</f>
        <v/>
      </c>
      <c r="Q330" s="121" t="str">
        <f>IF($D330="","",IFERROR(VLOOKUP($B330,Kraftvärmeprod!$B$1:$BX$549,MATCH(Q$2,Kraftvärmeprod!$B$1:$VX$1,0),FALSE)/1,0)-IFERROR(VLOOKUP($B330,'Slutlig allokering kvv'!$B$2:$BX$549,MATCH(Q$2,'Slutlig allokering kvv'!$B$1:$BX$1,0),FALSE)/1,0))</f>
        <v/>
      </c>
      <c r="R330" s="121" t="str">
        <f>IF($D330="","",IFERROR(VLOOKUP($B330,Kraftvärmeprod!$B$1:$BX$549,MATCH(R$2,Kraftvärmeprod!$B$1:$VX$1,0),FALSE)/1,0)-IFERROR(VLOOKUP($B330,'Slutlig allokering kvv'!$B$2:$BX$549,MATCH(R$2,'Slutlig allokering kvv'!$B$1:$BX$1,0),FALSE)/1,0))</f>
        <v/>
      </c>
      <c r="S330" s="121" t="str">
        <f>IF($D330="","",IFERROR(VLOOKUP($B330,Kraftvärmeprod!$B$1:$BX$549,MATCH(S$2,Kraftvärmeprod!$B$1:$VX$1,0),FALSE)/1,0)-IFERROR(VLOOKUP($B330,'Slutlig allokering kvv'!$B$2:$BX$549,MATCH(S$2,'Slutlig allokering kvv'!$B$1:$BX$1,0),FALSE)/1,0))</f>
        <v/>
      </c>
      <c r="T330" s="121" t="str">
        <f>IF($D330="","",IFERROR(VLOOKUP($B330,Kraftvärmeprod!$B$1:$BX$549,MATCH(T$2,Kraftvärmeprod!$B$1:$VX$1,0),FALSE)/1,0)-IFERROR(VLOOKUP($B330,'Slutlig allokering kvv'!$B$2:$BX$549,MATCH(T$2,'Slutlig allokering kvv'!$B$1:$BX$1,0),FALSE)/1,0))</f>
        <v/>
      </c>
      <c r="U330" s="121" t="str">
        <f>IF($D330="","",IFERROR(VLOOKUP($B330,Kraftvärmeprod!$B$1:$BX$549,MATCH(U$2,Kraftvärmeprod!$B$1:$VX$1,0),FALSE)/1,0)-IFERROR(VLOOKUP($B330,'Slutlig allokering kvv'!$B$2:$BX$549,MATCH(U$2,'Slutlig allokering kvv'!$B$1:$BX$1,0),FALSE)/1,0))</f>
        <v/>
      </c>
      <c r="V330" s="121" t="str">
        <f>IF($D330="","",IFERROR(VLOOKUP($B330,Kraftvärmeprod!$B$1:$BX$549,MATCH(V$2,Kraftvärmeprod!$B$1:$VX$1,0),FALSE)/1,0)-IFERROR(VLOOKUP($B330,'Slutlig allokering kvv'!$B$2:$BX$549,MATCH(V$2,'Slutlig allokering kvv'!$B$1:$BX$1,0),FALSE)/1,0))</f>
        <v/>
      </c>
      <c r="W330" s="121" t="str">
        <f>IF($D330="","",IFERROR(VLOOKUP($B330,Kraftvärmeprod!$B$1:$BX$549,MATCH(W$2,Kraftvärmeprod!$B$1:$VX$1,0),FALSE)/1,0)-IFERROR(VLOOKUP($B330,'Slutlig allokering kvv'!$B$2:$BX$549,MATCH(W$2,'Slutlig allokering kvv'!$B$1:$BX$1,0),FALSE)/1,0))</f>
        <v/>
      </c>
      <c r="X330" s="121" t="str">
        <f>IF($D330="","",IFERROR(VLOOKUP($B330,Kraftvärmeprod!$B$1:$BX$549,MATCH(X$2,Kraftvärmeprod!$B$1:$VX$1,0),FALSE)/1,0)-IFERROR(VLOOKUP($B330,'Slutlig allokering kvv'!$B$2:$BX$549,MATCH(X$2,'Slutlig allokering kvv'!$B$1:$BX$1,0),FALSE)/1,0))</f>
        <v/>
      </c>
      <c r="Y330" s="121" t="str">
        <f>IF($D330="","",IFERROR(VLOOKUP($B330,Kraftvärmeprod!$B$1:$BX$549,MATCH(Y$2,Kraftvärmeprod!$B$1:$VX$1,0),FALSE)/1,0)-IFERROR(VLOOKUP($B330,'Slutlig allokering kvv'!$B$2:$BX$549,MATCH(Y$2,'Slutlig allokering kvv'!$B$1:$BX$1,0),FALSE)/1,0))</f>
        <v/>
      </c>
      <c r="Z330" s="121" t="str">
        <f>IF($D330="","",IFERROR(VLOOKUP($B330,Kraftvärmeprod!$B$1:$BX$549,MATCH(Z$2,Kraftvärmeprod!$B$1:$VX$1,0),FALSE)/1,0)-IFERROR(VLOOKUP($B330,'Slutlig allokering kvv'!$B$2:$BX$549,MATCH(Z$2,'Slutlig allokering kvv'!$B$1:$BX$1,0),FALSE)/1,0))</f>
        <v/>
      </c>
      <c r="AA330" s="121" t="str">
        <f>IF($D330="","",IFERROR(VLOOKUP($B330,Kraftvärmeprod!$B$1:$BX$549,MATCH(AA$2,Kraftvärmeprod!$B$1:$VX$1,0),FALSE)/1,0)-IFERROR(VLOOKUP($B330,'Slutlig allokering kvv'!$B$2:$BX$549,MATCH(AA$2,'Slutlig allokering kvv'!$B$1:$BX$1,0),FALSE)/1,0))</f>
        <v/>
      </c>
      <c r="AB330" s="121" t="str">
        <f>IF($D330="","",IFERROR(VLOOKUP($B330,Kraftvärmeprod!$B$1:$BX$549,MATCH(AB$2,Kraftvärmeprod!$B$1:$VX$1,0),FALSE)/1,0)-IFERROR(VLOOKUP($B330,'Slutlig allokering kvv'!$B$2:$BX$549,MATCH(AB$2,'Slutlig allokering kvv'!$B$1:$BX$1,0),FALSE)/1,0))</f>
        <v/>
      </c>
      <c r="AC330" s="121" t="str">
        <f>IF($D330="","",IFERROR(VLOOKUP($B330,Kraftvärmeprod!$B$1:$BX$549,MATCH(AC$2,Kraftvärmeprod!$B$1:$VX$1,0),FALSE)/1,0)-IFERROR(VLOOKUP($B330,'Slutlig allokering kvv'!$B$2:$BX$549,MATCH(AC$2,'Slutlig allokering kvv'!$B$1:$BX$1,0),FALSE)/1,0))</f>
        <v/>
      </c>
      <c r="AD330" s="121" t="str">
        <f>IF($D330="","",IFERROR(VLOOKUP($B330,Kraftvärmeprod!$B$1:$BX$549,MATCH(AD$2,Kraftvärmeprod!$B$1:$VX$1,0),FALSE)/1,0)-IFERROR(VLOOKUP($B330,'Slutlig allokering kvv'!$B$2:$BX$549,MATCH(AD$2,'Slutlig allokering kvv'!$B$1:$BX$1,0),FALSE)/1,0))</f>
        <v/>
      </c>
      <c r="AE330" s="121" t="str">
        <f>IF($D330="","",IFERROR(VLOOKUP($B330,Miljö!$B$1:$E$550,MATCH("Hjälpel kraftvärme (GWh)",Miljö!$B$1:$E$1,0),FALSE)/1,0)-IFERROR(VLOOKUP($B330,'Slutlig allokering kvv'!$B$2:$BX$549,MATCH(AE$2,'Slutlig allokering kvv'!$B$1:$BX$1,0),FALSE)/1,0))</f>
        <v/>
      </c>
      <c r="AI330" s="121">
        <f t="shared" si="20"/>
        <v>0</v>
      </c>
      <c r="AK330" s="121">
        <f>IFERROR(VLOOKUP($B330,'Slutlig allokering kvv'!$B$2:$AX$549,MATCH("Summa slutlig allokerad tillförd energi (utan hjälpel och rökgaskondensering):",'Slutlig allokering kvv'!$B$1:$AX$1,0),FALSE)/1,"")</f>
        <v>0</v>
      </c>
      <c r="AM330" s="172" t="str">
        <f>IFERROR(1-VLOOKUP($B330,'Slutlig allokering kvv'!$B$2:$AX$549,MATCH("Andel av bränsle i kvv som allokerats till värme, exklusive rökgaskondensering och hjälpel",'Slutlig allokering kvv'!$B$1:$AX$1,0),FALSE),"")</f>
        <v/>
      </c>
      <c r="AO330" s="172" t="str">
        <f t="shared" si="21"/>
        <v/>
      </c>
      <c r="AP330" s="173" t="str">
        <f t="shared" si="22"/>
        <v/>
      </c>
      <c r="AR330" s="172" t="str">
        <f t="shared" si="23"/>
        <v/>
      </c>
    </row>
    <row r="331" spans="1:44" x14ac:dyDescent="0.25">
      <c r="A331" s="171" t="str">
        <f>'Miljövärden för publ företag'!B333</f>
        <v>Värnamo Energi AB</v>
      </c>
      <c r="B331" s="171" t="str">
        <f>'Miljövärden för publ företag'!C333</f>
        <v>Värnamo</v>
      </c>
      <c r="C331" s="121">
        <f>IFERROR(VLOOKUP($B331,Kraftvärmeprod!$B$1:$AH$478,MATCH(C$2,Kraftvärmeprod!$B$1:$AG$1,0),FALSE)/1,"")</f>
        <v>61.027000000000001</v>
      </c>
      <c r="D331" s="121">
        <f>IFERROR(VLOOKUP($B331,Kraftvärmeprod!$B$1:$AH$478,MATCH(D$2,Kraftvärmeprod!$B$1:$AG$1,0),FALSE)/1,"")</f>
        <v>15.096</v>
      </c>
      <c r="F331" s="121">
        <f>IF($D331="","",IFERROR(VLOOKUP($B331,Kraftvärmeprod!$B$1:$BX$549,MATCH(F$2,Kraftvärmeprod!$B$1:$VX$1,0),FALSE)/1,0)-IFERROR(VLOOKUP($B331,'Slutlig allokering kvv'!$B$2:$BX$549,MATCH(F$2,'Slutlig allokering kvv'!$B$1:$BX$1,0),FALSE)/1,0))</f>
        <v>0</v>
      </c>
      <c r="G331" s="121">
        <f>IF($D331="","",IFERROR(VLOOKUP($B331,Kraftvärmeprod!$B$1:$BX$549,MATCH(G$2,Kraftvärmeprod!$B$1:$VX$1,0),FALSE)/1,0)-IFERROR(VLOOKUP($B331,'Slutlig allokering kvv'!$B$2:$BX$549,MATCH(G$2,'Slutlig allokering kvv'!$B$1:$BX$1,0),FALSE)/1,0))</f>
        <v>0</v>
      </c>
      <c r="H331" s="121">
        <f>IF($D331="","",IFERROR(VLOOKUP($B331,Kraftvärmeprod!$B$1:$BX$549,MATCH(H$2,Kraftvärmeprod!$B$1:$VX$1,0),FALSE)/1,0)-IFERROR(VLOOKUP($B331,'Slutlig allokering kvv'!$B$2:$BX$549,MATCH(H$2,'Slutlig allokering kvv'!$B$1:$BX$1,0),FALSE)/1,0))</f>
        <v>0</v>
      </c>
      <c r="I331" s="121">
        <f>IF($D331="","",IFERROR(VLOOKUP($B331,Kraftvärmeprod!$B$1:$BX$549,MATCH(I$2,Kraftvärmeprod!$B$1:$VX$1,0),FALSE)/1,0)-IFERROR(VLOOKUP($B331,'Slutlig allokering kvv'!$B$2:$BX$549,MATCH(I$2,'Slutlig allokering kvv'!$B$1:$BX$1,0),FALSE)/1,0))</f>
        <v>0</v>
      </c>
      <c r="J331" s="121">
        <f>IF($D331="","",IFERROR(VLOOKUP($B331,Kraftvärmeprod!$B$1:$BX$549,MATCH(J$2,Kraftvärmeprod!$B$1:$VX$1,0),FALSE)/1,0)-IFERROR(VLOOKUP($B331,'Slutlig allokering kvv'!$B$2:$BX$549,MATCH(J$2,'Slutlig allokering kvv'!$B$1:$BX$1,0),FALSE)/1,0))</f>
        <v>0</v>
      </c>
      <c r="K331" s="121">
        <f>IF($D331="","",IFERROR(VLOOKUP($B331,Kraftvärmeprod!$B$1:$BX$549,MATCH(K$2,Kraftvärmeprod!$B$1:$VX$1,0),FALSE)/1,0)-IFERROR(VLOOKUP($B331,'Slutlig allokering kvv'!$B$2:$BX$549,MATCH(K$2,'Slutlig allokering kvv'!$B$1:$BX$1,0),FALSE)/1,0))</f>
        <v>0</v>
      </c>
      <c r="L331" s="121">
        <f>IF($D331="","",IFERROR(VLOOKUP($B331,Kraftvärmeprod!$B$1:$BX$549,MATCH(L$2,Kraftvärmeprod!$B$1:$VX$1,0),FALSE)/1,0)-IFERROR(VLOOKUP($B331,'Slutlig allokering kvv'!$B$2:$BX$549,MATCH(L$2,'Slutlig allokering kvv'!$B$1:$BX$1,0),FALSE)/1,0))</f>
        <v>15.0261</v>
      </c>
      <c r="M331" s="121">
        <f>IF($D331="","",IFERROR(VLOOKUP($B331,Kraftvärmeprod!$B$1:$BX$549,MATCH(M$2,Kraftvärmeprod!$B$1:$VX$1,0),FALSE)/1,0)-IFERROR(VLOOKUP($B331,'Slutlig allokering kvv'!$B$2:$BX$549,MATCH(M$2,'Slutlig allokering kvv'!$B$1:$BX$1,0),FALSE)/1,0))</f>
        <v>15.265599999999999</v>
      </c>
      <c r="N331" s="121">
        <f>IF($D331="","",IFERROR(VLOOKUP($B331,Kraftvärmeprod!$B$1:$BX$549,MATCH(N$2,Kraftvärmeprod!$B$1:$VX$1,0),FALSE)/1,0)-IFERROR(VLOOKUP($B331,'Slutlig allokering kvv'!$B$2:$BX$549,MATCH(N$2,'Slutlig allokering kvv'!$B$1:$BX$1,0),FALSE)/1,0))</f>
        <v>5.1575199999999999</v>
      </c>
      <c r="O331" s="121">
        <f>IF($D331="","",IFERROR(VLOOKUP($B331,Kraftvärmeprod!$B$1:$BX$549,MATCH(O$2,Kraftvärmeprod!$B$1:$VX$1,0),FALSE)/1,0)-IFERROR(VLOOKUP($B331,'Slutlig allokering kvv'!$B$2:$BX$549,MATCH(O$2,'Slutlig allokering kvv'!$B$1:$BX$1,0),FALSE)/1,0))</f>
        <v>0</v>
      </c>
      <c r="P331" s="121">
        <f>IF($D331="","",IFERROR(VLOOKUP($B331,Kraftvärmeprod!$B$1:$BX$549,MATCH(P$2,Kraftvärmeprod!$B$1:$VX$1,0),FALSE)/1,0)-IFERROR(VLOOKUP($B331,'Slutlig allokering kvv'!$B$2:$BX$549,MATCH(P$2,'Slutlig allokering kvv'!$B$1:$BX$1,0),FALSE)/1,0))</f>
        <v>0</v>
      </c>
      <c r="Q331" s="121">
        <f>IF($D331="","",IFERROR(VLOOKUP($B331,Kraftvärmeprod!$B$1:$BX$549,MATCH(Q$2,Kraftvärmeprod!$B$1:$VX$1,0),FALSE)/1,0)-IFERROR(VLOOKUP($B331,'Slutlig allokering kvv'!$B$2:$BX$549,MATCH(Q$2,'Slutlig allokering kvv'!$B$1:$BX$1,0),FALSE)/1,0))</f>
        <v>0</v>
      </c>
      <c r="R331" s="121">
        <f>IF($D331="","",IFERROR(VLOOKUP($B331,Kraftvärmeprod!$B$1:$BX$549,MATCH(R$2,Kraftvärmeprod!$B$1:$VX$1,0),FALSE)/1,0)-IFERROR(VLOOKUP($B331,'Slutlig allokering kvv'!$B$2:$BX$549,MATCH(R$2,'Slutlig allokering kvv'!$B$1:$BX$1,0),FALSE)/1,0))</f>
        <v>0</v>
      </c>
      <c r="S331" s="121">
        <f>IF($D331="","",IFERROR(VLOOKUP($B331,Kraftvärmeprod!$B$1:$BX$549,MATCH(S$2,Kraftvärmeprod!$B$1:$VX$1,0),FALSE)/1,0)-IFERROR(VLOOKUP($B331,'Slutlig allokering kvv'!$B$2:$BX$549,MATCH(S$2,'Slutlig allokering kvv'!$B$1:$BX$1,0),FALSE)/1,0))</f>
        <v>0</v>
      </c>
      <c r="T331" s="121">
        <f>IF($D331="","",IFERROR(VLOOKUP($B331,Kraftvärmeprod!$B$1:$BX$549,MATCH(T$2,Kraftvärmeprod!$B$1:$VX$1,0),FALSE)/1,0)-IFERROR(VLOOKUP($B331,'Slutlig allokering kvv'!$B$2:$BX$549,MATCH(T$2,'Slutlig allokering kvv'!$B$1:$BX$1,0),FALSE)/1,0))</f>
        <v>0</v>
      </c>
      <c r="U331" s="121">
        <f>IF($D331="","",IFERROR(VLOOKUP($B331,Kraftvärmeprod!$B$1:$BX$549,MATCH(U$2,Kraftvärmeprod!$B$1:$VX$1,0),FALSE)/1,0)-IFERROR(VLOOKUP($B331,'Slutlig allokering kvv'!$B$2:$BX$549,MATCH(U$2,'Slutlig allokering kvv'!$B$1:$BX$1,0),FALSE)/1,0))</f>
        <v>0</v>
      </c>
      <c r="V331" s="121">
        <f>IF($D331="","",IFERROR(VLOOKUP($B331,Kraftvärmeprod!$B$1:$BX$549,MATCH(V$2,Kraftvärmeprod!$B$1:$VX$1,0),FALSE)/1,0)-IFERROR(VLOOKUP($B331,'Slutlig allokering kvv'!$B$2:$BX$549,MATCH(V$2,'Slutlig allokering kvv'!$B$1:$BX$1,0),FALSE)/1,0))</f>
        <v>0</v>
      </c>
      <c r="W331" s="121">
        <f>IF($D331="","",IFERROR(VLOOKUP($B331,Kraftvärmeprod!$B$1:$BX$549,MATCH(W$2,Kraftvärmeprod!$B$1:$VX$1,0),FALSE)/1,0)-IFERROR(VLOOKUP($B331,'Slutlig allokering kvv'!$B$2:$BX$549,MATCH(W$2,'Slutlig allokering kvv'!$B$1:$BX$1,0),FALSE)/1,0))</f>
        <v>0</v>
      </c>
      <c r="X331" s="121">
        <f>IF($D331="","",IFERROR(VLOOKUP($B331,Kraftvärmeprod!$B$1:$BX$549,MATCH(X$2,Kraftvärmeprod!$B$1:$VX$1,0),FALSE)/1,0)-IFERROR(VLOOKUP($B331,'Slutlig allokering kvv'!$B$2:$BX$549,MATCH(X$2,'Slutlig allokering kvv'!$B$1:$BX$1,0),FALSE)/1,0))</f>
        <v>0</v>
      </c>
      <c r="Y331" s="121">
        <f>IF($D331="","",IFERROR(VLOOKUP($B331,Kraftvärmeprod!$B$1:$BX$549,MATCH(Y$2,Kraftvärmeprod!$B$1:$VX$1,0),FALSE)/1,0)-IFERROR(VLOOKUP($B331,'Slutlig allokering kvv'!$B$2:$BX$549,MATCH(Y$2,'Slutlig allokering kvv'!$B$1:$BX$1,0),FALSE)/1,0))</f>
        <v>0</v>
      </c>
      <c r="Z331" s="121">
        <f>IF($D331="","",IFERROR(VLOOKUP($B331,Kraftvärmeprod!$B$1:$BX$549,MATCH(Z$2,Kraftvärmeprod!$B$1:$VX$1,0),FALSE)/1,0)-IFERROR(VLOOKUP($B331,'Slutlig allokering kvv'!$B$2:$BX$549,MATCH(Z$2,'Slutlig allokering kvv'!$B$1:$BX$1,0),FALSE)/1,0))</f>
        <v>0</v>
      </c>
      <c r="AA331" s="121">
        <f>IF($D331="","",IFERROR(VLOOKUP($B331,Kraftvärmeprod!$B$1:$BX$549,MATCH(AA$2,Kraftvärmeprod!$B$1:$VX$1,0),FALSE)/1,0)-IFERROR(VLOOKUP($B331,'Slutlig allokering kvv'!$B$2:$BX$549,MATCH(AA$2,'Slutlig allokering kvv'!$B$1:$BX$1,0),FALSE)/1,0))</f>
        <v>0</v>
      </c>
      <c r="AB331" s="121">
        <f>IF($D331="","",IFERROR(VLOOKUP($B331,Kraftvärmeprod!$B$1:$BX$549,MATCH(AB$2,Kraftvärmeprod!$B$1:$VX$1,0),FALSE)/1,0)-IFERROR(VLOOKUP($B331,'Slutlig allokering kvv'!$B$2:$BX$549,MATCH(AB$2,'Slutlig allokering kvv'!$B$1:$BX$1,0),FALSE)/1,0))</f>
        <v>0</v>
      </c>
      <c r="AC331" s="121">
        <f>IF($D331="","",IFERROR(VLOOKUP($B331,Kraftvärmeprod!$B$1:$BX$549,MATCH(AC$2,Kraftvärmeprod!$B$1:$VX$1,0),FALSE)/1,0)-IFERROR(VLOOKUP($B331,'Slutlig allokering kvv'!$B$2:$BX$549,MATCH(AC$2,'Slutlig allokering kvv'!$B$1:$BX$1,0),FALSE)/1,0))</f>
        <v>0</v>
      </c>
      <c r="AD331" s="121">
        <f>IF($D331="","",IFERROR(VLOOKUP($B331,Kraftvärmeprod!$B$1:$BX$549,MATCH(AD$2,Kraftvärmeprod!$B$1:$VX$1,0),FALSE)/1,0)-IFERROR(VLOOKUP($B331,'Slutlig allokering kvv'!$B$2:$BX$549,MATCH(AD$2,'Slutlig allokering kvv'!$B$1:$BX$1,0),FALSE)/1,0))</f>
        <v>0</v>
      </c>
      <c r="AE331" s="121">
        <f>IF($D331="","",IFERROR(VLOOKUP($B331,Miljö!$B$1:$E$550,MATCH("Hjälpel kraftvärme (GWh)",Miljö!$B$1:$E$1,0),FALSE)/1,0)-IFERROR(VLOOKUP($B331,'Slutlig allokering kvv'!$B$2:$BX$549,MATCH(AE$2,'Slutlig allokering kvv'!$B$1:$BX$1,0),FALSE)/1,0))</f>
        <v>0</v>
      </c>
      <c r="AI331" s="121">
        <f t="shared" si="20"/>
        <v>35.449219999999997</v>
      </c>
      <c r="AK331" s="121">
        <f>IFERROR(VLOOKUP($B331,'Slutlig allokering kvv'!$B$2:$AX$549,MATCH("Summa slutlig allokerad tillförd energi (utan hjälpel och rökgaskondensering):",'Slutlig allokering kvv'!$B$1:$AX$1,0),FALSE)/1,"")</f>
        <v>54.989779999999996</v>
      </c>
      <c r="AM331" s="172">
        <f>IFERROR(1-VLOOKUP($B331,'Slutlig allokering kvv'!$B$2:$AX$549,MATCH("Andel av bränsle i kvv som allokerats till värme, exklusive rökgaskondensering och hjälpel",'Slutlig allokering kvv'!$B$1:$AX$1,0),FALSE),"")</f>
        <v>0.39196828801733774</v>
      </c>
      <c r="AO331" s="172">
        <f t="shared" si="21"/>
        <v>0.39196828801733763</v>
      </c>
      <c r="AP331" s="173">
        <f t="shared" si="22"/>
        <v>1.1102230246251565E-16</v>
      </c>
      <c r="AR331" s="172">
        <f t="shared" si="23"/>
        <v>0.42584858002517406</v>
      </c>
    </row>
    <row r="332" spans="1:44" x14ac:dyDescent="0.25">
      <c r="A332" s="171" t="str">
        <f>'Miljövärden för publ företag'!B334</f>
        <v>Västerbergslagens Energi AB</v>
      </c>
      <c r="B332" s="171" t="str">
        <f>'Miljövärden för publ företag'!C334</f>
        <v>Fagersta</v>
      </c>
      <c r="C332" s="121" t="str">
        <f>IFERROR(VLOOKUP($B332,Kraftvärmeprod!$B$1:$AH$478,MATCH(C$2,Kraftvärmeprod!$B$1:$AG$1,0),FALSE)/1,"")</f>
        <v/>
      </c>
      <c r="D332" s="121" t="str">
        <f>IFERROR(VLOOKUP($B332,Kraftvärmeprod!$B$1:$AH$478,MATCH(D$2,Kraftvärmeprod!$B$1:$AG$1,0),FALSE)/1,"")</f>
        <v/>
      </c>
      <c r="F332" s="121" t="str">
        <f>IF($D332="","",IFERROR(VLOOKUP($B332,Kraftvärmeprod!$B$1:$BX$549,MATCH(F$2,Kraftvärmeprod!$B$1:$VX$1,0),FALSE)/1,0)-IFERROR(VLOOKUP($B332,'Slutlig allokering kvv'!$B$2:$BX$549,MATCH(F$2,'Slutlig allokering kvv'!$B$1:$BX$1,0),FALSE)/1,0))</f>
        <v/>
      </c>
      <c r="G332" s="121" t="str">
        <f>IF($D332="","",IFERROR(VLOOKUP($B332,Kraftvärmeprod!$B$1:$BX$549,MATCH(G$2,Kraftvärmeprod!$B$1:$VX$1,0),FALSE)/1,0)-IFERROR(VLOOKUP($B332,'Slutlig allokering kvv'!$B$2:$BX$549,MATCH(G$2,'Slutlig allokering kvv'!$B$1:$BX$1,0),FALSE)/1,0))</f>
        <v/>
      </c>
      <c r="H332" s="121" t="str">
        <f>IF($D332="","",IFERROR(VLOOKUP($B332,Kraftvärmeprod!$B$1:$BX$549,MATCH(H$2,Kraftvärmeprod!$B$1:$VX$1,0),FALSE)/1,0)-IFERROR(VLOOKUP($B332,'Slutlig allokering kvv'!$B$2:$BX$549,MATCH(H$2,'Slutlig allokering kvv'!$B$1:$BX$1,0),FALSE)/1,0))</f>
        <v/>
      </c>
      <c r="I332" s="121" t="str">
        <f>IF($D332="","",IFERROR(VLOOKUP($B332,Kraftvärmeprod!$B$1:$BX$549,MATCH(I$2,Kraftvärmeprod!$B$1:$VX$1,0),FALSE)/1,0)-IFERROR(VLOOKUP($B332,'Slutlig allokering kvv'!$B$2:$BX$549,MATCH(I$2,'Slutlig allokering kvv'!$B$1:$BX$1,0),FALSE)/1,0))</f>
        <v/>
      </c>
      <c r="J332" s="121" t="str">
        <f>IF($D332="","",IFERROR(VLOOKUP($B332,Kraftvärmeprod!$B$1:$BX$549,MATCH(J$2,Kraftvärmeprod!$B$1:$VX$1,0),FALSE)/1,0)-IFERROR(VLOOKUP($B332,'Slutlig allokering kvv'!$B$2:$BX$549,MATCH(J$2,'Slutlig allokering kvv'!$B$1:$BX$1,0),FALSE)/1,0))</f>
        <v/>
      </c>
      <c r="K332" s="121" t="str">
        <f>IF($D332="","",IFERROR(VLOOKUP($B332,Kraftvärmeprod!$B$1:$BX$549,MATCH(K$2,Kraftvärmeprod!$B$1:$VX$1,0),FALSE)/1,0)-IFERROR(VLOOKUP($B332,'Slutlig allokering kvv'!$B$2:$BX$549,MATCH(K$2,'Slutlig allokering kvv'!$B$1:$BX$1,0),FALSE)/1,0))</f>
        <v/>
      </c>
      <c r="L332" s="121" t="str">
        <f>IF($D332="","",IFERROR(VLOOKUP($B332,Kraftvärmeprod!$B$1:$BX$549,MATCH(L$2,Kraftvärmeprod!$B$1:$VX$1,0),FALSE)/1,0)-IFERROR(VLOOKUP($B332,'Slutlig allokering kvv'!$B$2:$BX$549,MATCH(L$2,'Slutlig allokering kvv'!$B$1:$BX$1,0),FALSE)/1,0))</f>
        <v/>
      </c>
      <c r="M332" s="121" t="str">
        <f>IF($D332="","",IFERROR(VLOOKUP($B332,Kraftvärmeprod!$B$1:$BX$549,MATCH(M$2,Kraftvärmeprod!$B$1:$VX$1,0),FALSE)/1,0)-IFERROR(VLOOKUP($B332,'Slutlig allokering kvv'!$B$2:$BX$549,MATCH(M$2,'Slutlig allokering kvv'!$B$1:$BX$1,0),FALSE)/1,0))</f>
        <v/>
      </c>
      <c r="N332" s="121" t="str">
        <f>IF($D332="","",IFERROR(VLOOKUP($B332,Kraftvärmeprod!$B$1:$BX$549,MATCH(N$2,Kraftvärmeprod!$B$1:$VX$1,0),FALSE)/1,0)-IFERROR(VLOOKUP($B332,'Slutlig allokering kvv'!$B$2:$BX$549,MATCH(N$2,'Slutlig allokering kvv'!$B$1:$BX$1,0),FALSE)/1,0))</f>
        <v/>
      </c>
      <c r="O332" s="121" t="str">
        <f>IF($D332="","",IFERROR(VLOOKUP($B332,Kraftvärmeprod!$B$1:$BX$549,MATCH(O$2,Kraftvärmeprod!$B$1:$VX$1,0),FALSE)/1,0)-IFERROR(VLOOKUP($B332,'Slutlig allokering kvv'!$B$2:$BX$549,MATCH(O$2,'Slutlig allokering kvv'!$B$1:$BX$1,0),FALSE)/1,0))</f>
        <v/>
      </c>
      <c r="P332" s="121" t="str">
        <f>IF($D332="","",IFERROR(VLOOKUP($B332,Kraftvärmeprod!$B$1:$BX$549,MATCH(P$2,Kraftvärmeprod!$B$1:$VX$1,0),FALSE)/1,0)-IFERROR(VLOOKUP($B332,'Slutlig allokering kvv'!$B$2:$BX$549,MATCH(P$2,'Slutlig allokering kvv'!$B$1:$BX$1,0),FALSE)/1,0))</f>
        <v/>
      </c>
      <c r="Q332" s="121" t="str">
        <f>IF($D332="","",IFERROR(VLOOKUP($B332,Kraftvärmeprod!$B$1:$BX$549,MATCH(Q$2,Kraftvärmeprod!$B$1:$VX$1,0),FALSE)/1,0)-IFERROR(VLOOKUP($B332,'Slutlig allokering kvv'!$B$2:$BX$549,MATCH(Q$2,'Slutlig allokering kvv'!$B$1:$BX$1,0),FALSE)/1,0))</f>
        <v/>
      </c>
      <c r="R332" s="121" t="str">
        <f>IF($D332="","",IFERROR(VLOOKUP($B332,Kraftvärmeprod!$B$1:$BX$549,MATCH(R$2,Kraftvärmeprod!$B$1:$VX$1,0),FALSE)/1,0)-IFERROR(VLOOKUP($B332,'Slutlig allokering kvv'!$B$2:$BX$549,MATCH(R$2,'Slutlig allokering kvv'!$B$1:$BX$1,0),FALSE)/1,0))</f>
        <v/>
      </c>
      <c r="S332" s="121" t="str">
        <f>IF($D332="","",IFERROR(VLOOKUP($B332,Kraftvärmeprod!$B$1:$BX$549,MATCH(S$2,Kraftvärmeprod!$B$1:$VX$1,0),FALSE)/1,0)-IFERROR(VLOOKUP($B332,'Slutlig allokering kvv'!$B$2:$BX$549,MATCH(S$2,'Slutlig allokering kvv'!$B$1:$BX$1,0),FALSE)/1,0))</f>
        <v/>
      </c>
      <c r="T332" s="121" t="str">
        <f>IF($D332="","",IFERROR(VLOOKUP($B332,Kraftvärmeprod!$B$1:$BX$549,MATCH(T$2,Kraftvärmeprod!$B$1:$VX$1,0),FALSE)/1,0)-IFERROR(VLOOKUP($B332,'Slutlig allokering kvv'!$B$2:$BX$549,MATCH(T$2,'Slutlig allokering kvv'!$B$1:$BX$1,0),FALSE)/1,0))</f>
        <v/>
      </c>
      <c r="U332" s="121" t="str">
        <f>IF($D332="","",IFERROR(VLOOKUP($B332,Kraftvärmeprod!$B$1:$BX$549,MATCH(U$2,Kraftvärmeprod!$B$1:$VX$1,0),FALSE)/1,0)-IFERROR(VLOOKUP($B332,'Slutlig allokering kvv'!$B$2:$BX$549,MATCH(U$2,'Slutlig allokering kvv'!$B$1:$BX$1,0),FALSE)/1,0))</f>
        <v/>
      </c>
      <c r="V332" s="121" t="str">
        <f>IF($D332="","",IFERROR(VLOOKUP($B332,Kraftvärmeprod!$B$1:$BX$549,MATCH(V$2,Kraftvärmeprod!$B$1:$VX$1,0),FALSE)/1,0)-IFERROR(VLOOKUP($B332,'Slutlig allokering kvv'!$B$2:$BX$549,MATCH(V$2,'Slutlig allokering kvv'!$B$1:$BX$1,0),FALSE)/1,0))</f>
        <v/>
      </c>
      <c r="W332" s="121" t="str">
        <f>IF($D332="","",IFERROR(VLOOKUP($B332,Kraftvärmeprod!$B$1:$BX$549,MATCH(W$2,Kraftvärmeprod!$B$1:$VX$1,0),FALSE)/1,0)-IFERROR(VLOOKUP($B332,'Slutlig allokering kvv'!$B$2:$BX$549,MATCH(W$2,'Slutlig allokering kvv'!$B$1:$BX$1,0),FALSE)/1,0))</f>
        <v/>
      </c>
      <c r="X332" s="121" t="str">
        <f>IF($D332="","",IFERROR(VLOOKUP($B332,Kraftvärmeprod!$B$1:$BX$549,MATCH(X$2,Kraftvärmeprod!$B$1:$VX$1,0),FALSE)/1,0)-IFERROR(VLOOKUP($B332,'Slutlig allokering kvv'!$B$2:$BX$549,MATCH(X$2,'Slutlig allokering kvv'!$B$1:$BX$1,0),FALSE)/1,0))</f>
        <v/>
      </c>
      <c r="Y332" s="121" t="str">
        <f>IF($D332="","",IFERROR(VLOOKUP($B332,Kraftvärmeprod!$B$1:$BX$549,MATCH(Y$2,Kraftvärmeprod!$B$1:$VX$1,0),FALSE)/1,0)-IFERROR(VLOOKUP($B332,'Slutlig allokering kvv'!$B$2:$BX$549,MATCH(Y$2,'Slutlig allokering kvv'!$B$1:$BX$1,0),FALSE)/1,0))</f>
        <v/>
      </c>
      <c r="Z332" s="121" t="str">
        <f>IF($D332="","",IFERROR(VLOOKUP($B332,Kraftvärmeprod!$B$1:$BX$549,MATCH(Z$2,Kraftvärmeprod!$B$1:$VX$1,0),FALSE)/1,0)-IFERROR(VLOOKUP($B332,'Slutlig allokering kvv'!$B$2:$BX$549,MATCH(Z$2,'Slutlig allokering kvv'!$B$1:$BX$1,0),FALSE)/1,0))</f>
        <v/>
      </c>
      <c r="AA332" s="121" t="str">
        <f>IF($D332="","",IFERROR(VLOOKUP($B332,Kraftvärmeprod!$B$1:$BX$549,MATCH(AA$2,Kraftvärmeprod!$B$1:$VX$1,0),FALSE)/1,0)-IFERROR(VLOOKUP($B332,'Slutlig allokering kvv'!$B$2:$BX$549,MATCH(AA$2,'Slutlig allokering kvv'!$B$1:$BX$1,0),FALSE)/1,0))</f>
        <v/>
      </c>
      <c r="AB332" s="121" t="str">
        <f>IF($D332="","",IFERROR(VLOOKUP($B332,Kraftvärmeprod!$B$1:$BX$549,MATCH(AB$2,Kraftvärmeprod!$B$1:$VX$1,0),FALSE)/1,0)-IFERROR(VLOOKUP($B332,'Slutlig allokering kvv'!$B$2:$BX$549,MATCH(AB$2,'Slutlig allokering kvv'!$B$1:$BX$1,0),FALSE)/1,0))</f>
        <v/>
      </c>
      <c r="AC332" s="121" t="str">
        <f>IF($D332="","",IFERROR(VLOOKUP($B332,Kraftvärmeprod!$B$1:$BX$549,MATCH(AC$2,Kraftvärmeprod!$B$1:$VX$1,0),FALSE)/1,0)-IFERROR(VLOOKUP($B332,'Slutlig allokering kvv'!$B$2:$BX$549,MATCH(AC$2,'Slutlig allokering kvv'!$B$1:$BX$1,0),FALSE)/1,0))</f>
        <v/>
      </c>
      <c r="AD332" s="121" t="str">
        <f>IF($D332="","",IFERROR(VLOOKUP($B332,Kraftvärmeprod!$B$1:$BX$549,MATCH(AD$2,Kraftvärmeprod!$B$1:$VX$1,0),FALSE)/1,0)-IFERROR(VLOOKUP($B332,'Slutlig allokering kvv'!$B$2:$BX$549,MATCH(AD$2,'Slutlig allokering kvv'!$B$1:$BX$1,0),FALSE)/1,0))</f>
        <v/>
      </c>
      <c r="AE332" s="121" t="str">
        <f>IF($D332="","",IFERROR(VLOOKUP($B332,Miljö!$B$1:$E$550,MATCH("Hjälpel kraftvärme (GWh)",Miljö!$B$1:$E$1,0),FALSE)/1,0)-IFERROR(VLOOKUP($B332,'Slutlig allokering kvv'!$B$2:$BX$549,MATCH(AE$2,'Slutlig allokering kvv'!$B$1:$BX$1,0),FALSE)/1,0))</f>
        <v/>
      </c>
      <c r="AI332" s="121">
        <f t="shared" si="20"/>
        <v>0</v>
      </c>
      <c r="AK332" s="121">
        <f>IFERROR(VLOOKUP($B332,'Slutlig allokering kvv'!$B$2:$AX$549,MATCH("Summa slutlig allokerad tillförd energi (utan hjälpel och rökgaskondensering):",'Slutlig allokering kvv'!$B$1:$AX$1,0),FALSE)/1,"")</f>
        <v>0</v>
      </c>
      <c r="AM332" s="172" t="str">
        <f>IFERROR(1-VLOOKUP($B332,'Slutlig allokering kvv'!$B$2:$AX$549,MATCH("Andel av bränsle i kvv som allokerats till värme, exklusive rökgaskondensering och hjälpel",'Slutlig allokering kvv'!$B$1:$AX$1,0),FALSE),"")</f>
        <v/>
      </c>
      <c r="AO332" s="172" t="str">
        <f t="shared" si="21"/>
        <v/>
      </c>
      <c r="AP332" s="173" t="str">
        <f t="shared" si="22"/>
        <v/>
      </c>
      <c r="AR332" s="172" t="str">
        <f t="shared" si="23"/>
        <v/>
      </c>
    </row>
    <row r="333" spans="1:44" x14ac:dyDescent="0.25">
      <c r="A333" s="171" t="str">
        <f>'Miljövärden för publ företag'!B335</f>
        <v>Västerbergslagens Energi AB</v>
      </c>
      <c r="B333" s="171" t="str">
        <f>'Miljövärden för publ företag'!C335</f>
        <v>Grängesberg</v>
      </c>
      <c r="C333" s="121" t="str">
        <f>IFERROR(VLOOKUP($B333,Kraftvärmeprod!$B$1:$AH$478,MATCH(C$2,Kraftvärmeprod!$B$1:$AG$1,0),FALSE)/1,"")</f>
        <v/>
      </c>
      <c r="D333" s="121" t="str">
        <f>IFERROR(VLOOKUP($B333,Kraftvärmeprod!$B$1:$AH$478,MATCH(D$2,Kraftvärmeprod!$B$1:$AG$1,0),FALSE)/1,"")</f>
        <v/>
      </c>
      <c r="F333" s="121" t="str">
        <f>IF($D333="","",IFERROR(VLOOKUP($B333,Kraftvärmeprod!$B$1:$BX$549,MATCH(F$2,Kraftvärmeprod!$B$1:$VX$1,0),FALSE)/1,0)-IFERROR(VLOOKUP($B333,'Slutlig allokering kvv'!$B$2:$BX$549,MATCH(F$2,'Slutlig allokering kvv'!$B$1:$BX$1,0),FALSE)/1,0))</f>
        <v/>
      </c>
      <c r="G333" s="121" t="str">
        <f>IF($D333="","",IFERROR(VLOOKUP($B333,Kraftvärmeprod!$B$1:$BX$549,MATCH(G$2,Kraftvärmeprod!$B$1:$VX$1,0),FALSE)/1,0)-IFERROR(VLOOKUP($B333,'Slutlig allokering kvv'!$B$2:$BX$549,MATCH(G$2,'Slutlig allokering kvv'!$B$1:$BX$1,0),FALSE)/1,0))</f>
        <v/>
      </c>
      <c r="H333" s="121" t="str">
        <f>IF($D333="","",IFERROR(VLOOKUP($B333,Kraftvärmeprod!$B$1:$BX$549,MATCH(H$2,Kraftvärmeprod!$B$1:$VX$1,0),FALSE)/1,0)-IFERROR(VLOOKUP($B333,'Slutlig allokering kvv'!$B$2:$BX$549,MATCH(H$2,'Slutlig allokering kvv'!$B$1:$BX$1,0),FALSE)/1,0))</f>
        <v/>
      </c>
      <c r="I333" s="121" t="str">
        <f>IF($D333="","",IFERROR(VLOOKUP($B333,Kraftvärmeprod!$B$1:$BX$549,MATCH(I$2,Kraftvärmeprod!$B$1:$VX$1,0),FALSE)/1,0)-IFERROR(VLOOKUP($B333,'Slutlig allokering kvv'!$B$2:$BX$549,MATCH(I$2,'Slutlig allokering kvv'!$B$1:$BX$1,0),FALSE)/1,0))</f>
        <v/>
      </c>
      <c r="J333" s="121" t="str">
        <f>IF($D333="","",IFERROR(VLOOKUP($B333,Kraftvärmeprod!$B$1:$BX$549,MATCH(J$2,Kraftvärmeprod!$B$1:$VX$1,0),FALSE)/1,0)-IFERROR(VLOOKUP($B333,'Slutlig allokering kvv'!$B$2:$BX$549,MATCH(J$2,'Slutlig allokering kvv'!$B$1:$BX$1,0),FALSE)/1,0))</f>
        <v/>
      </c>
      <c r="K333" s="121" t="str">
        <f>IF($D333="","",IFERROR(VLOOKUP($B333,Kraftvärmeprod!$B$1:$BX$549,MATCH(K$2,Kraftvärmeprod!$B$1:$VX$1,0),FALSE)/1,0)-IFERROR(VLOOKUP($B333,'Slutlig allokering kvv'!$B$2:$BX$549,MATCH(K$2,'Slutlig allokering kvv'!$B$1:$BX$1,0),FALSE)/1,0))</f>
        <v/>
      </c>
      <c r="L333" s="121" t="str">
        <f>IF($D333="","",IFERROR(VLOOKUP($B333,Kraftvärmeprod!$B$1:$BX$549,MATCH(L$2,Kraftvärmeprod!$B$1:$VX$1,0),FALSE)/1,0)-IFERROR(VLOOKUP($B333,'Slutlig allokering kvv'!$B$2:$BX$549,MATCH(L$2,'Slutlig allokering kvv'!$B$1:$BX$1,0),FALSE)/1,0))</f>
        <v/>
      </c>
      <c r="M333" s="121" t="str">
        <f>IF($D333="","",IFERROR(VLOOKUP($B333,Kraftvärmeprod!$B$1:$BX$549,MATCH(M$2,Kraftvärmeprod!$B$1:$VX$1,0),FALSE)/1,0)-IFERROR(VLOOKUP($B333,'Slutlig allokering kvv'!$B$2:$BX$549,MATCH(M$2,'Slutlig allokering kvv'!$B$1:$BX$1,0),FALSE)/1,0))</f>
        <v/>
      </c>
      <c r="N333" s="121" t="str">
        <f>IF($D333="","",IFERROR(VLOOKUP($B333,Kraftvärmeprod!$B$1:$BX$549,MATCH(N$2,Kraftvärmeprod!$B$1:$VX$1,0),FALSE)/1,0)-IFERROR(VLOOKUP($B333,'Slutlig allokering kvv'!$B$2:$BX$549,MATCH(N$2,'Slutlig allokering kvv'!$B$1:$BX$1,0),FALSE)/1,0))</f>
        <v/>
      </c>
      <c r="O333" s="121" t="str">
        <f>IF($D333="","",IFERROR(VLOOKUP($B333,Kraftvärmeprod!$B$1:$BX$549,MATCH(O$2,Kraftvärmeprod!$B$1:$VX$1,0),FALSE)/1,0)-IFERROR(VLOOKUP($B333,'Slutlig allokering kvv'!$B$2:$BX$549,MATCH(O$2,'Slutlig allokering kvv'!$B$1:$BX$1,0),FALSE)/1,0))</f>
        <v/>
      </c>
      <c r="P333" s="121" t="str">
        <f>IF($D333="","",IFERROR(VLOOKUP($B333,Kraftvärmeprod!$B$1:$BX$549,MATCH(P$2,Kraftvärmeprod!$B$1:$VX$1,0),FALSE)/1,0)-IFERROR(VLOOKUP($B333,'Slutlig allokering kvv'!$B$2:$BX$549,MATCH(P$2,'Slutlig allokering kvv'!$B$1:$BX$1,0),FALSE)/1,0))</f>
        <v/>
      </c>
      <c r="Q333" s="121" t="str">
        <f>IF($D333="","",IFERROR(VLOOKUP($B333,Kraftvärmeprod!$B$1:$BX$549,MATCH(Q$2,Kraftvärmeprod!$B$1:$VX$1,0),FALSE)/1,0)-IFERROR(VLOOKUP($B333,'Slutlig allokering kvv'!$B$2:$BX$549,MATCH(Q$2,'Slutlig allokering kvv'!$B$1:$BX$1,0),FALSE)/1,0))</f>
        <v/>
      </c>
      <c r="R333" s="121" t="str">
        <f>IF($D333="","",IFERROR(VLOOKUP($B333,Kraftvärmeprod!$B$1:$BX$549,MATCH(R$2,Kraftvärmeprod!$B$1:$VX$1,0),FALSE)/1,0)-IFERROR(VLOOKUP($B333,'Slutlig allokering kvv'!$B$2:$BX$549,MATCH(R$2,'Slutlig allokering kvv'!$B$1:$BX$1,0),FALSE)/1,0))</f>
        <v/>
      </c>
      <c r="S333" s="121" t="str">
        <f>IF($D333="","",IFERROR(VLOOKUP($B333,Kraftvärmeprod!$B$1:$BX$549,MATCH(S$2,Kraftvärmeprod!$B$1:$VX$1,0),FALSE)/1,0)-IFERROR(VLOOKUP($B333,'Slutlig allokering kvv'!$B$2:$BX$549,MATCH(S$2,'Slutlig allokering kvv'!$B$1:$BX$1,0),FALSE)/1,0))</f>
        <v/>
      </c>
      <c r="T333" s="121" t="str">
        <f>IF($D333="","",IFERROR(VLOOKUP($B333,Kraftvärmeprod!$B$1:$BX$549,MATCH(T$2,Kraftvärmeprod!$B$1:$VX$1,0),FALSE)/1,0)-IFERROR(VLOOKUP($B333,'Slutlig allokering kvv'!$B$2:$BX$549,MATCH(T$2,'Slutlig allokering kvv'!$B$1:$BX$1,0),FALSE)/1,0))</f>
        <v/>
      </c>
      <c r="U333" s="121" t="str">
        <f>IF($D333="","",IFERROR(VLOOKUP($B333,Kraftvärmeprod!$B$1:$BX$549,MATCH(U$2,Kraftvärmeprod!$B$1:$VX$1,0),FALSE)/1,0)-IFERROR(VLOOKUP($B333,'Slutlig allokering kvv'!$B$2:$BX$549,MATCH(U$2,'Slutlig allokering kvv'!$B$1:$BX$1,0),FALSE)/1,0))</f>
        <v/>
      </c>
      <c r="V333" s="121" t="str">
        <f>IF($D333="","",IFERROR(VLOOKUP($B333,Kraftvärmeprod!$B$1:$BX$549,MATCH(V$2,Kraftvärmeprod!$B$1:$VX$1,0),FALSE)/1,0)-IFERROR(VLOOKUP($B333,'Slutlig allokering kvv'!$B$2:$BX$549,MATCH(V$2,'Slutlig allokering kvv'!$B$1:$BX$1,0),FALSE)/1,0))</f>
        <v/>
      </c>
      <c r="W333" s="121" t="str">
        <f>IF($D333="","",IFERROR(VLOOKUP($B333,Kraftvärmeprod!$B$1:$BX$549,MATCH(W$2,Kraftvärmeprod!$B$1:$VX$1,0),FALSE)/1,0)-IFERROR(VLOOKUP($B333,'Slutlig allokering kvv'!$B$2:$BX$549,MATCH(W$2,'Slutlig allokering kvv'!$B$1:$BX$1,0),FALSE)/1,0))</f>
        <v/>
      </c>
      <c r="X333" s="121" t="str">
        <f>IF($D333="","",IFERROR(VLOOKUP($B333,Kraftvärmeprod!$B$1:$BX$549,MATCH(X$2,Kraftvärmeprod!$B$1:$VX$1,0),FALSE)/1,0)-IFERROR(VLOOKUP($B333,'Slutlig allokering kvv'!$B$2:$BX$549,MATCH(X$2,'Slutlig allokering kvv'!$B$1:$BX$1,0),FALSE)/1,0))</f>
        <v/>
      </c>
      <c r="Y333" s="121" t="str">
        <f>IF($D333="","",IFERROR(VLOOKUP($B333,Kraftvärmeprod!$B$1:$BX$549,MATCH(Y$2,Kraftvärmeprod!$B$1:$VX$1,0),FALSE)/1,0)-IFERROR(VLOOKUP($B333,'Slutlig allokering kvv'!$B$2:$BX$549,MATCH(Y$2,'Slutlig allokering kvv'!$B$1:$BX$1,0),FALSE)/1,0))</f>
        <v/>
      </c>
      <c r="Z333" s="121" t="str">
        <f>IF($D333="","",IFERROR(VLOOKUP($B333,Kraftvärmeprod!$B$1:$BX$549,MATCH(Z$2,Kraftvärmeprod!$B$1:$VX$1,0),FALSE)/1,0)-IFERROR(VLOOKUP($B333,'Slutlig allokering kvv'!$B$2:$BX$549,MATCH(Z$2,'Slutlig allokering kvv'!$B$1:$BX$1,0),FALSE)/1,0))</f>
        <v/>
      </c>
      <c r="AA333" s="121" t="str">
        <f>IF($D333="","",IFERROR(VLOOKUP($B333,Kraftvärmeprod!$B$1:$BX$549,MATCH(AA$2,Kraftvärmeprod!$B$1:$VX$1,0),FALSE)/1,0)-IFERROR(VLOOKUP($B333,'Slutlig allokering kvv'!$B$2:$BX$549,MATCH(AA$2,'Slutlig allokering kvv'!$B$1:$BX$1,0),FALSE)/1,0))</f>
        <v/>
      </c>
      <c r="AB333" s="121" t="str">
        <f>IF($D333="","",IFERROR(VLOOKUP($B333,Kraftvärmeprod!$B$1:$BX$549,MATCH(AB$2,Kraftvärmeprod!$B$1:$VX$1,0),FALSE)/1,0)-IFERROR(VLOOKUP($B333,'Slutlig allokering kvv'!$B$2:$BX$549,MATCH(AB$2,'Slutlig allokering kvv'!$B$1:$BX$1,0),FALSE)/1,0))</f>
        <v/>
      </c>
      <c r="AC333" s="121" t="str">
        <f>IF($D333="","",IFERROR(VLOOKUP($B333,Kraftvärmeprod!$B$1:$BX$549,MATCH(AC$2,Kraftvärmeprod!$B$1:$VX$1,0),FALSE)/1,0)-IFERROR(VLOOKUP($B333,'Slutlig allokering kvv'!$B$2:$BX$549,MATCH(AC$2,'Slutlig allokering kvv'!$B$1:$BX$1,0),FALSE)/1,0))</f>
        <v/>
      </c>
      <c r="AD333" s="121" t="str">
        <f>IF($D333="","",IFERROR(VLOOKUP($B333,Kraftvärmeprod!$B$1:$BX$549,MATCH(AD$2,Kraftvärmeprod!$B$1:$VX$1,0),FALSE)/1,0)-IFERROR(VLOOKUP($B333,'Slutlig allokering kvv'!$B$2:$BX$549,MATCH(AD$2,'Slutlig allokering kvv'!$B$1:$BX$1,0),FALSE)/1,0))</f>
        <v/>
      </c>
      <c r="AE333" s="121" t="str">
        <f>IF($D333="","",IFERROR(VLOOKUP($B333,Miljö!$B$1:$E$550,MATCH("Hjälpel kraftvärme (GWh)",Miljö!$B$1:$E$1,0),FALSE)/1,0)-IFERROR(VLOOKUP($B333,'Slutlig allokering kvv'!$B$2:$BX$549,MATCH(AE$2,'Slutlig allokering kvv'!$B$1:$BX$1,0),FALSE)/1,0))</f>
        <v/>
      </c>
      <c r="AI333" s="121">
        <f t="shared" si="20"/>
        <v>0</v>
      </c>
      <c r="AK333" s="121">
        <f>IFERROR(VLOOKUP($B333,'Slutlig allokering kvv'!$B$2:$AX$549,MATCH("Summa slutlig allokerad tillförd energi (utan hjälpel och rökgaskondensering):",'Slutlig allokering kvv'!$B$1:$AX$1,0),FALSE)/1,"")</f>
        <v>0</v>
      </c>
      <c r="AM333" s="172" t="str">
        <f>IFERROR(1-VLOOKUP($B333,'Slutlig allokering kvv'!$B$2:$AX$549,MATCH("Andel av bränsle i kvv som allokerats till värme, exklusive rökgaskondensering och hjälpel",'Slutlig allokering kvv'!$B$1:$AX$1,0),FALSE),"")</f>
        <v/>
      </c>
      <c r="AO333" s="172" t="str">
        <f t="shared" si="21"/>
        <v/>
      </c>
      <c r="AP333" s="173" t="str">
        <f t="shared" si="22"/>
        <v/>
      </c>
      <c r="AR333" s="172" t="str">
        <f t="shared" si="23"/>
        <v/>
      </c>
    </row>
    <row r="334" spans="1:44" x14ac:dyDescent="0.25">
      <c r="A334" s="171" t="str">
        <f>'Miljövärden för publ företag'!B336</f>
        <v>Västerbergslagens Energi AB</v>
      </c>
      <c r="B334" s="171" t="str">
        <f>'Miljövärden för publ företag'!C336</f>
        <v>Ludvika</v>
      </c>
      <c r="C334" s="121" t="str">
        <f>IFERROR(VLOOKUP($B334,Kraftvärmeprod!$B$1:$AH$478,MATCH(C$2,Kraftvärmeprod!$B$1:$AG$1,0),FALSE)/1,"")</f>
        <v/>
      </c>
      <c r="D334" s="121" t="str">
        <f>IFERROR(VLOOKUP($B334,Kraftvärmeprod!$B$1:$AH$478,MATCH(D$2,Kraftvärmeprod!$B$1:$AG$1,0),FALSE)/1,"")</f>
        <v/>
      </c>
      <c r="F334" s="121" t="str">
        <f>IF($D334="","",IFERROR(VLOOKUP($B334,Kraftvärmeprod!$B$1:$BX$549,MATCH(F$2,Kraftvärmeprod!$B$1:$VX$1,0),FALSE)/1,0)-IFERROR(VLOOKUP($B334,'Slutlig allokering kvv'!$B$2:$BX$549,MATCH(F$2,'Slutlig allokering kvv'!$B$1:$BX$1,0),FALSE)/1,0))</f>
        <v/>
      </c>
      <c r="G334" s="121" t="str">
        <f>IF($D334="","",IFERROR(VLOOKUP($B334,Kraftvärmeprod!$B$1:$BX$549,MATCH(G$2,Kraftvärmeprod!$B$1:$VX$1,0),FALSE)/1,0)-IFERROR(VLOOKUP($B334,'Slutlig allokering kvv'!$B$2:$BX$549,MATCH(G$2,'Slutlig allokering kvv'!$B$1:$BX$1,0),FALSE)/1,0))</f>
        <v/>
      </c>
      <c r="H334" s="121" t="str">
        <f>IF($D334="","",IFERROR(VLOOKUP($B334,Kraftvärmeprod!$B$1:$BX$549,MATCH(H$2,Kraftvärmeprod!$B$1:$VX$1,0),FALSE)/1,0)-IFERROR(VLOOKUP($B334,'Slutlig allokering kvv'!$B$2:$BX$549,MATCH(H$2,'Slutlig allokering kvv'!$B$1:$BX$1,0),FALSE)/1,0))</f>
        <v/>
      </c>
      <c r="I334" s="121" t="str">
        <f>IF($D334="","",IFERROR(VLOOKUP($B334,Kraftvärmeprod!$B$1:$BX$549,MATCH(I$2,Kraftvärmeprod!$B$1:$VX$1,0),FALSE)/1,0)-IFERROR(VLOOKUP($B334,'Slutlig allokering kvv'!$B$2:$BX$549,MATCH(I$2,'Slutlig allokering kvv'!$B$1:$BX$1,0),FALSE)/1,0))</f>
        <v/>
      </c>
      <c r="J334" s="121" t="str">
        <f>IF($D334="","",IFERROR(VLOOKUP($B334,Kraftvärmeprod!$B$1:$BX$549,MATCH(J$2,Kraftvärmeprod!$B$1:$VX$1,0),FALSE)/1,0)-IFERROR(VLOOKUP($B334,'Slutlig allokering kvv'!$B$2:$BX$549,MATCH(J$2,'Slutlig allokering kvv'!$B$1:$BX$1,0),FALSE)/1,0))</f>
        <v/>
      </c>
      <c r="K334" s="121" t="str">
        <f>IF($D334="","",IFERROR(VLOOKUP($B334,Kraftvärmeprod!$B$1:$BX$549,MATCH(K$2,Kraftvärmeprod!$B$1:$VX$1,0),FALSE)/1,0)-IFERROR(VLOOKUP($B334,'Slutlig allokering kvv'!$B$2:$BX$549,MATCH(K$2,'Slutlig allokering kvv'!$B$1:$BX$1,0),FALSE)/1,0))</f>
        <v/>
      </c>
      <c r="L334" s="121" t="str">
        <f>IF($D334="","",IFERROR(VLOOKUP($B334,Kraftvärmeprod!$B$1:$BX$549,MATCH(L$2,Kraftvärmeprod!$B$1:$VX$1,0),FALSE)/1,0)-IFERROR(VLOOKUP($B334,'Slutlig allokering kvv'!$B$2:$BX$549,MATCH(L$2,'Slutlig allokering kvv'!$B$1:$BX$1,0),FALSE)/1,0))</f>
        <v/>
      </c>
      <c r="M334" s="121" t="str">
        <f>IF($D334="","",IFERROR(VLOOKUP($B334,Kraftvärmeprod!$B$1:$BX$549,MATCH(M$2,Kraftvärmeprod!$B$1:$VX$1,0),FALSE)/1,0)-IFERROR(VLOOKUP($B334,'Slutlig allokering kvv'!$B$2:$BX$549,MATCH(M$2,'Slutlig allokering kvv'!$B$1:$BX$1,0),FALSE)/1,0))</f>
        <v/>
      </c>
      <c r="N334" s="121" t="str">
        <f>IF($D334="","",IFERROR(VLOOKUP($B334,Kraftvärmeprod!$B$1:$BX$549,MATCH(N$2,Kraftvärmeprod!$B$1:$VX$1,0),FALSE)/1,0)-IFERROR(VLOOKUP($B334,'Slutlig allokering kvv'!$B$2:$BX$549,MATCH(N$2,'Slutlig allokering kvv'!$B$1:$BX$1,0),FALSE)/1,0))</f>
        <v/>
      </c>
      <c r="O334" s="121" t="str">
        <f>IF($D334="","",IFERROR(VLOOKUP($B334,Kraftvärmeprod!$B$1:$BX$549,MATCH(O$2,Kraftvärmeprod!$B$1:$VX$1,0),FALSE)/1,0)-IFERROR(VLOOKUP($B334,'Slutlig allokering kvv'!$B$2:$BX$549,MATCH(O$2,'Slutlig allokering kvv'!$B$1:$BX$1,0),FALSE)/1,0))</f>
        <v/>
      </c>
      <c r="P334" s="121" t="str">
        <f>IF($D334="","",IFERROR(VLOOKUP($B334,Kraftvärmeprod!$B$1:$BX$549,MATCH(P$2,Kraftvärmeprod!$B$1:$VX$1,0),FALSE)/1,0)-IFERROR(VLOOKUP($B334,'Slutlig allokering kvv'!$B$2:$BX$549,MATCH(P$2,'Slutlig allokering kvv'!$B$1:$BX$1,0),FALSE)/1,0))</f>
        <v/>
      </c>
      <c r="Q334" s="121" t="str">
        <f>IF($D334="","",IFERROR(VLOOKUP($B334,Kraftvärmeprod!$B$1:$BX$549,MATCH(Q$2,Kraftvärmeprod!$B$1:$VX$1,0),FALSE)/1,0)-IFERROR(VLOOKUP($B334,'Slutlig allokering kvv'!$B$2:$BX$549,MATCH(Q$2,'Slutlig allokering kvv'!$B$1:$BX$1,0),FALSE)/1,0))</f>
        <v/>
      </c>
      <c r="R334" s="121" t="str">
        <f>IF($D334="","",IFERROR(VLOOKUP($B334,Kraftvärmeprod!$B$1:$BX$549,MATCH(R$2,Kraftvärmeprod!$B$1:$VX$1,0),FALSE)/1,0)-IFERROR(VLOOKUP($B334,'Slutlig allokering kvv'!$B$2:$BX$549,MATCH(R$2,'Slutlig allokering kvv'!$B$1:$BX$1,0),FALSE)/1,0))</f>
        <v/>
      </c>
      <c r="S334" s="121" t="str">
        <f>IF($D334="","",IFERROR(VLOOKUP($B334,Kraftvärmeprod!$B$1:$BX$549,MATCH(S$2,Kraftvärmeprod!$B$1:$VX$1,0),FALSE)/1,0)-IFERROR(VLOOKUP($B334,'Slutlig allokering kvv'!$B$2:$BX$549,MATCH(S$2,'Slutlig allokering kvv'!$B$1:$BX$1,0),FALSE)/1,0))</f>
        <v/>
      </c>
      <c r="T334" s="121" t="str">
        <f>IF($D334="","",IFERROR(VLOOKUP($B334,Kraftvärmeprod!$B$1:$BX$549,MATCH(T$2,Kraftvärmeprod!$B$1:$VX$1,0),FALSE)/1,0)-IFERROR(VLOOKUP($B334,'Slutlig allokering kvv'!$B$2:$BX$549,MATCH(T$2,'Slutlig allokering kvv'!$B$1:$BX$1,0),FALSE)/1,0))</f>
        <v/>
      </c>
      <c r="U334" s="121" t="str">
        <f>IF($D334="","",IFERROR(VLOOKUP($B334,Kraftvärmeprod!$B$1:$BX$549,MATCH(U$2,Kraftvärmeprod!$B$1:$VX$1,0),FALSE)/1,0)-IFERROR(VLOOKUP($B334,'Slutlig allokering kvv'!$B$2:$BX$549,MATCH(U$2,'Slutlig allokering kvv'!$B$1:$BX$1,0),FALSE)/1,0))</f>
        <v/>
      </c>
      <c r="V334" s="121" t="str">
        <f>IF($D334="","",IFERROR(VLOOKUP($B334,Kraftvärmeprod!$B$1:$BX$549,MATCH(V$2,Kraftvärmeprod!$B$1:$VX$1,0),FALSE)/1,0)-IFERROR(VLOOKUP($B334,'Slutlig allokering kvv'!$B$2:$BX$549,MATCH(V$2,'Slutlig allokering kvv'!$B$1:$BX$1,0),FALSE)/1,0))</f>
        <v/>
      </c>
      <c r="W334" s="121" t="str">
        <f>IF($D334="","",IFERROR(VLOOKUP($B334,Kraftvärmeprod!$B$1:$BX$549,MATCH(W$2,Kraftvärmeprod!$B$1:$VX$1,0),FALSE)/1,0)-IFERROR(VLOOKUP($B334,'Slutlig allokering kvv'!$B$2:$BX$549,MATCH(W$2,'Slutlig allokering kvv'!$B$1:$BX$1,0),FALSE)/1,0))</f>
        <v/>
      </c>
      <c r="X334" s="121" t="str">
        <f>IF($D334="","",IFERROR(VLOOKUP($B334,Kraftvärmeprod!$B$1:$BX$549,MATCH(X$2,Kraftvärmeprod!$B$1:$VX$1,0),FALSE)/1,0)-IFERROR(VLOOKUP($B334,'Slutlig allokering kvv'!$B$2:$BX$549,MATCH(X$2,'Slutlig allokering kvv'!$B$1:$BX$1,0),FALSE)/1,0))</f>
        <v/>
      </c>
      <c r="Y334" s="121" t="str">
        <f>IF($D334="","",IFERROR(VLOOKUP($B334,Kraftvärmeprod!$B$1:$BX$549,MATCH(Y$2,Kraftvärmeprod!$B$1:$VX$1,0),FALSE)/1,0)-IFERROR(VLOOKUP($B334,'Slutlig allokering kvv'!$B$2:$BX$549,MATCH(Y$2,'Slutlig allokering kvv'!$B$1:$BX$1,0),FALSE)/1,0))</f>
        <v/>
      </c>
      <c r="Z334" s="121" t="str">
        <f>IF($D334="","",IFERROR(VLOOKUP($B334,Kraftvärmeprod!$B$1:$BX$549,MATCH(Z$2,Kraftvärmeprod!$B$1:$VX$1,0),FALSE)/1,0)-IFERROR(VLOOKUP($B334,'Slutlig allokering kvv'!$B$2:$BX$549,MATCH(Z$2,'Slutlig allokering kvv'!$B$1:$BX$1,0),FALSE)/1,0))</f>
        <v/>
      </c>
      <c r="AA334" s="121" t="str">
        <f>IF($D334="","",IFERROR(VLOOKUP($B334,Kraftvärmeprod!$B$1:$BX$549,MATCH(AA$2,Kraftvärmeprod!$B$1:$VX$1,0),FALSE)/1,0)-IFERROR(VLOOKUP($B334,'Slutlig allokering kvv'!$B$2:$BX$549,MATCH(AA$2,'Slutlig allokering kvv'!$B$1:$BX$1,0),FALSE)/1,0))</f>
        <v/>
      </c>
      <c r="AB334" s="121" t="str">
        <f>IF($D334="","",IFERROR(VLOOKUP($B334,Kraftvärmeprod!$B$1:$BX$549,MATCH(AB$2,Kraftvärmeprod!$B$1:$VX$1,0),FALSE)/1,0)-IFERROR(VLOOKUP($B334,'Slutlig allokering kvv'!$B$2:$BX$549,MATCH(AB$2,'Slutlig allokering kvv'!$B$1:$BX$1,0),FALSE)/1,0))</f>
        <v/>
      </c>
      <c r="AC334" s="121" t="str">
        <f>IF($D334="","",IFERROR(VLOOKUP($B334,Kraftvärmeprod!$B$1:$BX$549,MATCH(AC$2,Kraftvärmeprod!$B$1:$VX$1,0),FALSE)/1,0)-IFERROR(VLOOKUP($B334,'Slutlig allokering kvv'!$B$2:$BX$549,MATCH(AC$2,'Slutlig allokering kvv'!$B$1:$BX$1,0),FALSE)/1,0))</f>
        <v/>
      </c>
      <c r="AD334" s="121" t="str">
        <f>IF($D334="","",IFERROR(VLOOKUP($B334,Kraftvärmeprod!$B$1:$BX$549,MATCH(AD$2,Kraftvärmeprod!$B$1:$VX$1,0),FALSE)/1,0)-IFERROR(VLOOKUP($B334,'Slutlig allokering kvv'!$B$2:$BX$549,MATCH(AD$2,'Slutlig allokering kvv'!$B$1:$BX$1,0),FALSE)/1,0))</f>
        <v/>
      </c>
      <c r="AE334" s="121" t="str">
        <f>IF($D334="","",IFERROR(VLOOKUP($B334,Miljö!$B$1:$E$550,MATCH("Hjälpel kraftvärme (GWh)",Miljö!$B$1:$E$1,0),FALSE)/1,0)-IFERROR(VLOOKUP($B334,'Slutlig allokering kvv'!$B$2:$BX$549,MATCH(AE$2,'Slutlig allokering kvv'!$B$1:$BX$1,0),FALSE)/1,0))</f>
        <v/>
      </c>
      <c r="AI334" s="121">
        <f t="shared" si="20"/>
        <v>0</v>
      </c>
      <c r="AK334" s="121">
        <f>IFERROR(VLOOKUP($B334,'Slutlig allokering kvv'!$B$2:$AX$549,MATCH("Summa slutlig allokerad tillförd energi (utan hjälpel och rökgaskondensering):",'Slutlig allokering kvv'!$B$1:$AX$1,0),FALSE)/1,"")</f>
        <v>0</v>
      </c>
      <c r="AM334" s="172" t="str">
        <f>IFERROR(1-VLOOKUP($B334,'Slutlig allokering kvv'!$B$2:$AX$549,MATCH("Andel av bränsle i kvv som allokerats till värme, exklusive rökgaskondensering och hjälpel",'Slutlig allokering kvv'!$B$1:$AX$1,0),FALSE),"")</f>
        <v/>
      </c>
      <c r="AO334" s="172" t="str">
        <f t="shared" si="21"/>
        <v/>
      </c>
      <c r="AP334" s="173" t="str">
        <f t="shared" si="22"/>
        <v/>
      </c>
      <c r="AR334" s="172" t="str">
        <f t="shared" si="23"/>
        <v/>
      </c>
    </row>
    <row r="335" spans="1:44" x14ac:dyDescent="0.25">
      <c r="A335" s="171" t="str">
        <f>'Miljövärden för publ företag'!B337</f>
        <v>Västerbergslagens Energi AB</v>
      </c>
      <c r="B335" s="171" t="str">
        <f>'Miljövärden för publ företag'!C337</f>
        <v>Norberg</v>
      </c>
      <c r="C335" s="121" t="str">
        <f>IFERROR(VLOOKUP($B335,Kraftvärmeprod!$B$1:$AH$478,MATCH(C$2,Kraftvärmeprod!$B$1:$AG$1,0),FALSE)/1,"")</f>
        <v/>
      </c>
      <c r="D335" s="121" t="str">
        <f>IFERROR(VLOOKUP($B335,Kraftvärmeprod!$B$1:$AH$478,MATCH(D$2,Kraftvärmeprod!$B$1:$AG$1,0),FALSE)/1,"")</f>
        <v/>
      </c>
      <c r="F335" s="121" t="str">
        <f>IF($D335="","",IFERROR(VLOOKUP($B335,Kraftvärmeprod!$B$1:$BX$549,MATCH(F$2,Kraftvärmeprod!$B$1:$VX$1,0),FALSE)/1,0)-IFERROR(VLOOKUP($B335,'Slutlig allokering kvv'!$B$2:$BX$549,MATCH(F$2,'Slutlig allokering kvv'!$B$1:$BX$1,0),FALSE)/1,0))</f>
        <v/>
      </c>
      <c r="G335" s="121" t="str">
        <f>IF($D335="","",IFERROR(VLOOKUP($B335,Kraftvärmeprod!$B$1:$BX$549,MATCH(G$2,Kraftvärmeprod!$B$1:$VX$1,0),FALSE)/1,0)-IFERROR(VLOOKUP($B335,'Slutlig allokering kvv'!$B$2:$BX$549,MATCH(G$2,'Slutlig allokering kvv'!$B$1:$BX$1,0),FALSE)/1,0))</f>
        <v/>
      </c>
      <c r="H335" s="121" t="str">
        <f>IF($D335="","",IFERROR(VLOOKUP($B335,Kraftvärmeprod!$B$1:$BX$549,MATCH(H$2,Kraftvärmeprod!$B$1:$VX$1,0),FALSE)/1,0)-IFERROR(VLOOKUP($B335,'Slutlig allokering kvv'!$B$2:$BX$549,MATCH(H$2,'Slutlig allokering kvv'!$B$1:$BX$1,0),FALSE)/1,0))</f>
        <v/>
      </c>
      <c r="I335" s="121" t="str">
        <f>IF($D335="","",IFERROR(VLOOKUP($B335,Kraftvärmeprod!$B$1:$BX$549,MATCH(I$2,Kraftvärmeprod!$B$1:$VX$1,0),FALSE)/1,0)-IFERROR(VLOOKUP($B335,'Slutlig allokering kvv'!$B$2:$BX$549,MATCH(I$2,'Slutlig allokering kvv'!$B$1:$BX$1,0),FALSE)/1,0))</f>
        <v/>
      </c>
      <c r="J335" s="121" t="str">
        <f>IF($D335="","",IFERROR(VLOOKUP($B335,Kraftvärmeprod!$B$1:$BX$549,MATCH(J$2,Kraftvärmeprod!$B$1:$VX$1,0),FALSE)/1,0)-IFERROR(VLOOKUP($B335,'Slutlig allokering kvv'!$B$2:$BX$549,MATCH(J$2,'Slutlig allokering kvv'!$B$1:$BX$1,0),FALSE)/1,0))</f>
        <v/>
      </c>
      <c r="K335" s="121" t="str">
        <f>IF($D335="","",IFERROR(VLOOKUP($B335,Kraftvärmeprod!$B$1:$BX$549,MATCH(K$2,Kraftvärmeprod!$B$1:$VX$1,0),FALSE)/1,0)-IFERROR(VLOOKUP($B335,'Slutlig allokering kvv'!$B$2:$BX$549,MATCH(K$2,'Slutlig allokering kvv'!$B$1:$BX$1,0),FALSE)/1,0))</f>
        <v/>
      </c>
      <c r="L335" s="121" t="str">
        <f>IF($D335="","",IFERROR(VLOOKUP($B335,Kraftvärmeprod!$B$1:$BX$549,MATCH(L$2,Kraftvärmeprod!$B$1:$VX$1,0),FALSE)/1,0)-IFERROR(VLOOKUP($B335,'Slutlig allokering kvv'!$B$2:$BX$549,MATCH(L$2,'Slutlig allokering kvv'!$B$1:$BX$1,0),FALSE)/1,0))</f>
        <v/>
      </c>
      <c r="M335" s="121" t="str">
        <f>IF($D335="","",IFERROR(VLOOKUP($B335,Kraftvärmeprod!$B$1:$BX$549,MATCH(M$2,Kraftvärmeprod!$B$1:$VX$1,0),FALSE)/1,0)-IFERROR(VLOOKUP($B335,'Slutlig allokering kvv'!$B$2:$BX$549,MATCH(M$2,'Slutlig allokering kvv'!$B$1:$BX$1,0),FALSE)/1,0))</f>
        <v/>
      </c>
      <c r="N335" s="121" t="str">
        <f>IF($D335="","",IFERROR(VLOOKUP($B335,Kraftvärmeprod!$B$1:$BX$549,MATCH(N$2,Kraftvärmeprod!$B$1:$VX$1,0),FALSE)/1,0)-IFERROR(VLOOKUP($B335,'Slutlig allokering kvv'!$B$2:$BX$549,MATCH(N$2,'Slutlig allokering kvv'!$B$1:$BX$1,0),FALSE)/1,0))</f>
        <v/>
      </c>
      <c r="O335" s="121" t="str">
        <f>IF($D335="","",IFERROR(VLOOKUP($B335,Kraftvärmeprod!$B$1:$BX$549,MATCH(O$2,Kraftvärmeprod!$B$1:$VX$1,0),FALSE)/1,0)-IFERROR(VLOOKUP($B335,'Slutlig allokering kvv'!$B$2:$BX$549,MATCH(O$2,'Slutlig allokering kvv'!$B$1:$BX$1,0),FALSE)/1,0))</f>
        <v/>
      </c>
      <c r="P335" s="121" t="str">
        <f>IF($D335="","",IFERROR(VLOOKUP($B335,Kraftvärmeprod!$B$1:$BX$549,MATCH(P$2,Kraftvärmeprod!$B$1:$VX$1,0),FALSE)/1,0)-IFERROR(VLOOKUP($B335,'Slutlig allokering kvv'!$B$2:$BX$549,MATCH(P$2,'Slutlig allokering kvv'!$B$1:$BX$1,0),FALSE)/1,0))</f>
        <v/>
      </c>
      <c r="Q335" s="121" t="str">
        <f>IF($D335="","",IFERROR(VLOOKUP($B335,Kraftvärmeprod!$B$1:$BX$549,MATCH(Q$2,Kraftvärmeprod!$B$1:$VX$1,0),FALSE)/1,0)-IFERROR(VLOOKUP($B335,'Slutlig allokering kvv'!$B$2:$BX$549,MATCH(Q$2,'Slutlig allokering kvv'!$B$1:$BX$1,0),FALSE)/1,0))</f>
        <v/>
      </c>
      <c r="R335" s="121" t="str">
        <f>IF($D335="","",IFERROR(VLOOKUP($B335,Kraftvärmeprod!$B$1:$BX$549,MATCH(R$2,Kraftvärmeprod!$B$1:$VX$1,0),FALSE)/1,0)-IFERROR(VLOOKUP($B335,'Slutlig allokering kvv'!$B$2:$BX$549,MATCH(R$2,'Slutlig allokering kvv'!$B$1:$BX$1,0),FALSE)/1,0))</f>
        <v/>
      </c>
      <c r="S335" s="121" t="str">
        <f>IF($D335="","",IFERROR(VLOOKUP($B335,Kraftvärmeprod!$B$1:$BX$549,MATCH(S$2,Kraftvärmeprod!$B$1:$VX$1,0),FALSE)/1,0)-IFERROR(VLOOKUP($B335,'Slutlig allokering kvv'!$B$2:$BX$549,MATCH(S$2,'Slutlig allokering kvv'!$B$1:$BX$1,0),FALSE)/1,0))</f>
        <v/>
      </c>
      <c r="T335" s="121" t="str">
        <f>IF($D335="","",IFERROR(VLOOKUP($B335,Kraftvärmeprod!$B$1:$BX$549,MATCH(T$2,Kraftvärmeprod!$B$1:$VX$1,0),FALSE)/1,0)-IFERROR(VLOOKUP($B335,'Slutlig allokering kvv'!$B$2:$BX$549,MATCH(T$2,'Slutlig allokering kvv'!$B$1:$BX$1,0),FALSE)/1,0))</f>
        <v/>
      </c>
      <c r="U335" s="121" t="str">
        <f>IF($D335="","",IFERROR(VLOOKUP($B335,Kraftvärmeprod!$B$1:$BX$549,MATCH(U$2,Kraftvärmeprod!$B$1:$VX$1,0),FALSE)/1,0)-IFERROR(VLOOKUP($B335,'Slutlig allokering kvv'!$B$2:$BX$549,MATCH(U$2,'Slutlig allokering kvv'!$B$1:$BX$1,0),FALSE)/1,0))</f>
        <v/>
      </c>
      <c r="V335" s="121" t="str">
        <f>IF($D335="","",IFERROR(VLOOKUP($B335,Kraftvärmeprod!$B$1:$BX$549,MATCH(V$2,Kraftvärmeprod!$B$1:$VX$1,0),FALSE)/1,0)-IFERROR(VLOOKUP($B335,'Slutlig allokering kvv'!$B$2:$BX$549,MATCH(V$2,'Slutlig allokering kvv'!$B$1:$BX$1,0),FALSE)/1,0))</f>
        <v/>
      </c>
      <c r="W335" s="121" t="str">
        <f>IF($D335="","",IFERROR(VLOOKUP($B335,Kraftvärmeprod!$B$1:$BX$549,MATCH(W$2,Kraftvärmeprod!$B$1:$VX$1,0),FALSE)/1,0)-IFERROR(VLOOKUP($B335,'Slutlig allokering kvv'!$B$2:$BX$549,MATCH(W$2,'Slutlig allokering kvv'!$B$1:$BX$1,0),FALSE)/1,0))</f>
        <v/>
      </c>
      <c r="X335" s="121" t="str">
        <f>IF($D335="","",IFERROR(VLOOKUP($B335,Kraftvärmeprod!$B$1:$BX$549,MATCH(X$2,Kraftvärmeprod!$B$1:$VX$1,0),FALSE)/1,0)-IFERROR(VLOOKUP($B335,'Slutlig allokering kvv'!$B$2:$BX$549,MATCH(X$2,'Slutlig allokering kvv'!$B$1:$BX$1,0),FALSE)/1,0))</f>
        <v/>
      </c>
      <c r="Y335" s="121" t="str">
        <f>IF($D335="","",IFERROR(VLOOKUP($B335,Kraftvärmeprod!$B$1:$BX$549,MATCH(Y$2,Kraftvärmeprod!$B$1:$VX$1,0),FALSE)/1,0)-IFERROR(VLOOKUP($B335,'Slutlig allokering kvv'!$B$2:$BX$549,MATCH(Y$2,'Slutlig allokering kvv'!$B$1:$BX$1,0),FALSE)/1,0))</f>
        <v/>
      </c>
      <c r="Z335" s="121" t="str">
        <f>IF($D335="","",IFERROR(VLOOKUP($B335,Kraftvärmeprod!$B$1:$BX$549,MATCH(Z$2,Kraftvärmeprod!$B$1:$VX$1,0),FALSE)/1,0)-IFERROR(VLOOKUP($B335,'Slutlig allokering kvv'!$B$2:$BX$549,MATCH(Z$2,'Slutlig allokering kvv'!$B$1:$BX$1,0),FALSE)/1,0))</f>
        <v/>
      </c>
      <c r="AA335" s="121" t="str">
        <f>IF($D335="","",IFERROR(VLOOKUP($B335,Kraftvärmeprod!$B$1:$BX$549,MATCH(AA$2,Kraftvärmeprod!$B$1:$VX$1,0),FALSE)/1,0)-IFERROR(VLOOKUP($B335,'Slutlig allokering kvv'!$B$2:$BX$549,MATCH(AA$2,'Slutlig allokering kvv'!$B$1:$BX$1,0),FALSE)/1,0))</f>
        <v/>
      </c>
      <c r="AB335" s="121" t="str">
        <f>IF($D335="","",IFERROR(VLOOKUP($B335,Kraftvärmeprod!$B$1:$BX$549,MATCH(AB$2,Kraftvärmeprod!$B$1:$VX$1,0),FALSE)/1,0)-IFERROR(VLOOKUP($B335,'Slutlig allokering kvv'!$B$2:$BX$549,MATCH(AB$2,'Slutlig allokering kvv'!$B$1:$BX$1,0),FALSE)/1,0))</f>
        <v/>
      </c>
      <c r="AC335" s="121" t="str">
        <f>IF($D335="","",IFERROR(VLOOKUP($B335,Kraftvärmeprod!$B$1:$BX$549,MATCH(AC$2,Kraftvärmeprod!$B$1:$VX$1,0),FALSE)/1,0)-IFERROR(VLOOKUP($B335,'Slutlig allokering kvv'!$B$2:$BX$549,MATCH(AC$2,'Slutlig allokering kvv'!$B$1:$BX$1,0),FALSE)/1,0))</f>
        <v/>
      </c>
      <c r="AD335" s="121" t="str">
        <f>IF($D335="","",IFERROR(VLOOKUP($B335,Kraftvärmeprod!$B$1:$BX$549,MATCH(AD$2,Kraftvärmeprod!$B$1:$VX$1,0),FALSE)/1,0)-IFERROR(VLOOKUP($B335,'Slutlig allokering kvv'!$B$2:$BX$549,MATCH(AD$2,'Slutlig allokering kvv'!$B$1:$BX$1,0),FALSE)/1,0))</f>
        <v/>
      </c>
      <c r="AE335" s="121" t="str">
        <f>IF($D335="","",IFERROR(VLOOKUP($B335,Miljö!$B$1:$E$550,MATCH("Hjälpel kraftvärme (GWh)",Miljö!$B$1:$E$1,0),FALSE)/1,0)-IFERROR(VLOOKUP($B335,'Slutlig allokering kvv'!$B$2:$BX$549,MATCH(AE$2,'Slutlig allokering kvv'!$B$1:$BX$1,0),FALSE)/1,0))</f>
        <v/>
      </c>
      <c r="AI335" s="121">
        <f t="shared" si="20"/>
        <v>0</v>
      </c>
      <c r="AK335" s="121">
        <f>IFERROR(VLOOKUP($B335,'Slutlig allokering kvv'!$B$2:$AX$549,MATCH("Summa slutlig allokerad tillförd energi (utan hjälpel och rökgaskondensering):",'Slutlig allokering kvv'!$B$1:$AX$1,0),FALSE)/1,"")</f>
        <v>0</v>
      </c>
      <c r="AM335" s="172" t="str">
        <f>IFERROR(1-VLOOKUP($B335,'Slutlig allokering kvv'!$B$2:$AX$549,MATCH("Andel av bränsle i kvv som allokerats till värme, exklusive rökgaskondensering och hjälpel",'Slutlig allokering kvv'!$B$1:$AX$1,0),FALSE),"")</f>
        <v/>
      </c>
      <c r="AO335" s="172" t="str">
        <f t="shared" si="21"/>
        <v/>
      </c>
      <c r="AP335" s="173" t="str">
        <f t="shared" si="22"/>
        <v/>
      </c>
      <c r="AR335" s="172" t="str">
        <f t="shared" si="23"/>
        <v/>
      </c>
    </row>
    <row r="336" spans="1:44" x14ac:dyDescent="0.25">
      <c r="A336" s="171" t="str">
        <f>'Miljövärden för publ företag'!B338</f>
        <v>Västervik Miljö &amp; Energi AB</v>
      </c>
      <c r="B336" s="171" t="str">
        <f>'Miljövärden för publ företag'!C338</f>
        <v>Ankarsrum</v>
      </c>
      <c r="C336" s="121" t="str">
        <f>IFERROR(VLOOKUP($B336,Kraftvärmeprod!$B$1:$AH$478,MATCH(C$2,Kraftvärmeprod!$B$1:$AG$1,0),FALSE)/1,"")</f>
        <v/>
      </c>
      <c r="D336" s="121" t="str">
        <f>IFERROR(VLOOKUP($B336,Kraftvärmeprod!$B$1:$AH$478,MATCH(D$2,Kraftvärmeprod!$B$1:$AG$1,0),FALSE)/1,"")</f>
        <v/>
      </c>
      <c r="F336" s="121" t="str">
        <f>IF($D336="","",IFERROR(VLOOKUP($B336,Kraftvärmeprod!$B$1:$BX$549,MATCH(F$2,Kraftvärmeprod!$B$1:$VX$1,0),FALSE)/1,0)-IFERROR(VLOOKUP($B336,'Slutlig allokering kvv'!$B$2:$BX$549,MATCH(F$2,'Slutlig allokering kvv'!$B$1:$BX$1,0),FALSE)/1,0))</f>
        <v/>
      </c>
      <c r="G336" s="121" t="str">
        <f>IF($D336="","",IFERROR(VLOOKUP($B336,Kraftvärmeprod!$B$1:$BX$549,MATCH(G$2,Kraftvärmeprod!$B$1:$VX$1,0),FALSE)/1,0)-IFERROR(VLOOKUP($B336,'Slutlig allokering kvv'!$B$2:$BX$549,MATCH(G$2,'Slutlig allokering kvv'!$B$1:$BX$1,0),FALSE)/1,0))</f>
        <v/>
      </c>
      <c r="H336" s="121" t="str">
        <f>IF($D336="","",IFERROR(VLOOKUP($B336,Kraftvärmeprod!$B$1:$BX$549,MATCH(H$2,Kraftvärmeprod!$B$1:$VX$1,0),FALSE)/1,0)-IFERROR(VLOOKUP($B336,'Slutlig allokering kvv'!$B$2:$BX$549,MATCH(H$2,'Slutlig allokering kvv'!$B$1:$BX$1,0),FALSE)/1,0))</f>
        <v/>
      </c>
      <c r="I336" s="121" t="str">
        <f>IF($D336="","",IFERROR(VLOOKUP($B336,Kraftvärmeprod!$B$1:$BX$549,MATCH(I$2,Kraftvärmeprod!$B$1:$VX$1,0),FALSE)/1,0)-IFERROR(VLOOKUP($B336,'Slutlig allokering kvv'!$B$2:$BX$549,MATCH(I$2,'Slutlig allokering kvv'!$B$1:$BX$1,0),FALSE)/1,0))</f>
        <v/>
      </c>
      <c r="J336" s="121" t="str">
        <f>IF($D336="","",IFERROR(VLOOKUP($B336,Kraftvärmeprod!$B$1:$BX$549,MATCH(J$2,Kraftvärmeprod!$B$1:$VX$1,0),FALSE)/1,0)-IFERROR(VLOOKUP($B336,'Slutlig allokering kvv'!$B$2:$BX$549,MATCH(J$2,'Slutlig allokering kvv'!$B$1:$BX$1,0),FALSE)/1,0))</f>
        <v/>
      </c>
      <c r="K336" s="121" t="str">
        <f>IF($D336="","",IFERROR(VLOOKUP($B336,Kraftvärmeprod!$B$1:$BX$549,MATCH(K$2,Kraftvärmeprod!$B$1:$VX$1,0),FALSE)/1,0)-IFERROR(VLOOKUP($B336,'Slutlig allokering kvv'!$B$2:$BX$549,MATCH(K$2,'Slutlig allokering kvv'!$B$1:$BX$1,0),FALSE)/1,0))</f>
        <v/>
      </c>
      <c r="L336" s="121" t="str">
        <f>IF($D336="","",IFERROR(VLOOKUP($B336,Kraftvärmeprod!$B$1:$BX$549,MATCH(L$2,Kraftvärmeprod!$B$1:$VX$1,0),FALSE)/1,0)-IFERROR(VLOOKUP($B336,'Slutlig allokering kvv'!$B$2:$BX$549,MATCH(L$2,'Slutlig allokering kvv'!$B$1:$BX$1,0),FALSE)/1,0))</f>
        <v/>
      </c>
      <c r="M336" s="121" t="str">
        <f>IF($D336="","",IFERROR(VLOOKUP($B336,Kraftvärmeprod!$B$1:$BX$549,MATCH(M$2,Kraftvärmeprod!$B$1:$VX$1,0),FALSE)/1,0)-IFERROR(VLOOKUP($B336,'Slutlig allokering kvv'!$B$2:$BX$549,MATCH(M$2,'Slutlig allokering kvv'!$B$1:$BX$1,0),FALSE)/1,0))</f>
        <v/>
      </c>
      <c r="N336" s="121" t="str">
        <f>IF($D336="","",IFERROR(VLOOKUP($B336,Kraftvärmeprod!$B$1:$BX$549,MATCH(N$2,Kraftvärmeprod!$B$1:$VX$1,0),FALSE)/1,0)-IFERROR(VLOOKUP($B336,'Slutlig allokering kvv'!$B$2:$BX$549,MATCH(N$2,'Slutlig allokering kvv'!$B$1:$BX$1,0),FALSE)/1,0))</f>
        <v/>
      </c>
      <c r="O336" s="121" t="str">
        <f>IF($D336="","",IFERROR(VLOOKUP($B336,Kraftvärmeprod!$B$1:$BX$549,MATCH(O$2,Kraftvärmeprod!$B$1:$VX$1,0),FALSE)/1,0)-IFERROR(VLOOKUP($B336,'Slutlig allokering kvv'!$B$2:$BX$549,MATCH(O$2,'Slutlig allokering kvv'!$B$1:$BX$1,0),FALSE)/1,0))</f>
        <v/>
      </c>
      <c r="P336" s="121" t="str">
        <f>IF($D336="","",IFERROR(VLOOKUP($B336,Kraftvärmeprod!$B$1:$BX$549,MATCH(P$2,Kraftvärmeprod!$B$1:$VX$1,0),FALSE)/1,0)-IFERROR(VLOOKUP($B336,'Slutlig allokering kvv'!$B$2:$BX$549,MATCH(P$2,'Slutlig allokering kvv'!$B$1:$BX$1,0),FALSE)/1,0))</f>
        <v/>
      </c>
      <c r="Q336" s="121" t="str">
        <f>IF($D336="","",IFERROR(VLOOKUP($B336,Kraftvärmeprod!$B$1:$BX$549,MATCH(Q$2,Kraftvärmeprod!$B$1:$VX$1,0),FALSE)/1,0)-IFERROR(VLOOKUP($B336,'Slutlig allokering kvv'!$B$2:$BX$549,MATCH(Q$2,'Slutlig allokering kvv'!$B$1:$BX$1,0),FALSE)/1,0))</f>
        <v/>
      </c>
      <c r="R336" s="121" t="str">
        <f>IF($D336="","",IFERROR(VLOOKUP($B336,Kraftvärmeprod!$B$1:$BX$549,MATCH(R$2,Kraftvärmeprod!$B$1:$VX$1,0),FALSE)/1,0)-IFERROR(VLOOKUP($B336,'Slutlig allokering kvv'!$B$2:$BX$549,MATCH(R$2,'Slutlig allokering kvv'!$B$1:$BX$1,0),FALSE)/1,0))</f>
        <v/>
      </c>
      <c r="S336" s="121" t="str">
        <f>IF($D336="","",IFERROR(VLOOKUP($B336,Kraftvärmeprod!$B$1:$BX$549,MATCH(S$2,Kraftvärmeprod!$B$1:$VX$1,0),FALSE)/1,0)-IFERROR(VLOOKUP($B336,'Slutlig allokering kvv'!$B$2:$BX$549,MATCH(S$2,'Slutlig allokering kvv'!$B$1:$BX$1,0),FALSE)/1,0))</f>
        <v/>
      </c>
      <c r="T336" s="121" t="str">
        <f>IF($D336="","",IFERROR(VLOOKUP($B336,Kraftvärmeprod!$B$1:$BX$549,MATCH(T$2,Kraftvärmeprod!$B$1:$VX$1,0),FALSE)/1,0)-IFERROR(VLOOKUP($B336,'Slutlig allokering kvv'!$B$2:$BX$549,MATCH(T$2,'Slutlig allokering kvv'!$B$1:$BX$1,0),FALSE)/1,0))</f>
        <v/>
      </c>
      <c r="U336" s="121" t="str">
        <f>IF($D336="","",IFERROR(VLOOKUP($B336,Kraftvärmeprod!$B$1:$BX$549,MATCH(U$2,Kraftvärmeprod!$B$1:$VX$1,0),FALSE)/1,0)-IFERROR(VLOOKUP($B336,'Slutlig allokering kvv'!$B$2:$BX$549,MATCH(U$2,'Slutlig allokering kvv'!$B$1:$BX$1,0),FALSE)/1,0))</f>
        <v/>
      </c>
      <c r="V336" s="121" t="str">
        <f>IF($D336="","",IFERROR(VLOOKUP($B336,Kraftvärmeprod!$B$1:$BX$549,MATCH(V$2,Kraftvärmeprod!$B$1:$VX$1,0),FALSE)/1,0)-IFERROR(VLOOKUP($B336,'Slutlig allokering kvv'!$B$2:$BX$549,MATCH(V$2,'Slutlig allokering kvv'!$B$1:$BX$1,0),FALSE)/1,0))</f>
        <v/>
      </c>
      <c r="W336" s="121" t="str">
        <f>IF($D336="","",IFERROR(VLOOKUP($B336,Kraftvärmeprod!$B$1:$BX$549,MATCH(W$2,Kraftvärmeprod!$B$1:$VX$1,0),FALSE)/1,0)-IFERROR(VLOOKUP($B336,'Slutlig allokering kvv'!$B$2:$BX$549,MATCH(W$2,'Slutlig allokering kvv'!$B$1:$BX$1,0),FALSE)/1,0))</f>
        <v/>
      </c>
      <c r="X336" s="121" t="str">
        <f>IF($D336="","",IFERROR(VLOOKUP($B336,Kraftvärmeprod!$B$1:$BX$549,MATCH(X$2,Kraftvärmeprod!$B$1:$VX$1,0),FALSE)/1,0)-IFERROR(VLOOKUP($B336,'Slutlig allokering kvv'!$B$2:$BX$549,MATCH(X$2,'Slutlig allokering kvv'!$B$1:$BX$1,0),FALSE)/1,0))</f>
        <v/>
      </c>
      <c r="Y336" s="121" t="str">
        <f>IF($D336="","",IFERROR(VLOOKUP($B336,Kraftvärmeprod!$B$1:$BX$549,MATCH(Y$2,Kraftvärmeprod!$B$1:$VX$1,0),FALSE)/1,0)-IFERROR(VLOOKUP($B336,'Slutlig allokering kvv'!$B$2:$BX$549,MATCH(Y$2,'Slutlig allokering kvv'!$B$1:$BX$1,0),FALSE)/1,0))</f>
        <v/>
      </c>
      <c r="Z336" s="121" t="str">
        <f>IF($D336="","",IFERROR(VLOOKUP($B336,Kraftvärmeprod!$B$1:$BX$549,MATCH(Z$2,Kraftvärmeprod!$B$1:$VX$1,0),FALSE)/1,0)-IFERROR(VLOOKUP($B336,'Slutlig allokering kvv'!$B$2:$BX$549,MATCH(Z$2,'Slutlig allokering kvv'!$B$1:$BX$1,0),FALSE)/1,0))</f>
        <v/>
      </c>
      <c r="AA336" s="121" t="str">
        <f>IF($D336="","",IFERROR(VLOOKUP($B336,Kraftvärmeprod!$B$1:$BX$549,MATCH(AA$2,Kraftvärmeprod!$B$1:$VX$1,0),FALSE)/1,0)-IFERROR(VLOOKUP($B336,'Slutlig allokering kvv'!$B$2:$BX$549,MATCH(AA$2,'Slutlig allokering kvv'!$B$1:$BX$1,0),FALSE)/1,0))</f>
        <v/>
      </c>
      <c r="AB336" s="121" t="str">
        <f>IF($D336="","",IFERROR(VLOOKUP($B336,Kraftvärmeprod!$B$1:$BX$549,MATCH(AB$2,Kraftvärmeprod!$B$1:$VX$1,0),FALSE)/1,0)-IFERROR(VLOOKUP($B336,'Slutlig allokering kvv'!$B$2:$BX$549,MATCH(AB$2,'Slutlig allokering kvv'!$B$1:$BX$1,0),FALSE)/1,0))</f>
        <v/>
      </c>
      <c r="AC336" s="121" t="str">
        <f>IF($D336="","",IFERROR(VLOOKUP($B336,Kraftvärmeprod!$B$1:$BX$549,MATCH(AC$2,Kraftvärmeprod!$B$1:$VX$1,0),FALSE)/1,0)-IFERROR(VLOOKUP($B336,'Slutlig allokering kvv'!$B$2:$BX$549,MATCH(AC$2,'Slutlig allokering kvv'!$B$1:$BX$1,0),FALSE)/1,0))</f>
        <v/>
      </c>
      <c r="AD336" s="121" t="str">
        <f>IF($D336="","",IFERROR(VLOOKUP($B336,Kraftvärmeprod!$B$1:$BX$549,MATCH(AD$2,Kraftvärmeprod!$B$1:$VX$1,0),FALSE)/1,0)-IFERROR(VLOOKUP($B336,'Slutlig allokering kvv'!$B$2:$BX$549,MATCH(AD$2,'Slutlig allokering kvv'!$B$1:$BX$1,0),FALSE)/1,0))</f>
        <v/>
      </c>
      <c r="AE336" s="121" t="str">
        <f>IF($D336="","",IFERROR(VLOOKUP($B336,Miljö!$B$1:$E$550,MATCH("Hjälpel kraftvärme (GWh)",Miljö!$B$1:$E$1,0),FALSE)/1,0)-IFERROR(VLOOKUP($B336,'Slutlig allokering kvv'!$B$2:$BX$549,MATCH(AE$2,'Slutlig allokering kvv'!$B$1:$BX$1,0),FALSE)/1,0))</f>
        <v/>
      </c>
      <c r="AI336" s="121">
        <f t="shared" si="20"/>
        <v>0</v>
      </c>
      <c r="AK336" s="121">
        <f>IFERROR(VLOOKUP($B336,'Slutlig allokering kvv'!$B$2:$AX$549,MATCH("Summa slutlig allokerad tillförd energi (utan hjälpel och rökgaskondensering):",'Slutlig allokering kvv'!$B$1:$AX$1,0),FALSE)/1,"")</f>
        <v>0</v>
      </c>
      <c r="AM336" s="172" t="str">
        <f>IFERROR(1-VLOOKUP($B336,'Slutlig allokering kvv'!$B$2:$AX$549,MATCH("Andel av bränsle i kvv som allokerats till värme, exklusive rökgaskondensering och hjälpel",'Slutlig allokering kvv'!$B$1:$AX$1,0),FALSE),"")</f>
        <v/>
      </c>
      <c r="AO336" s="172" t="str">
        <f t="shared" si="21"/>
        <v/>
      </c>
      <c r="AP336" s="173" t="str">
        <f t="shared" si="22"/>
        <v/>
      </c>
      <c r="AR336" s="172" t="str">
        <f t="shared" si="23"/>
        <v/>
      </c>
    </row>
    <row r="337" spans="1:44" x14ac:dyDescent="0.25">
      <c r="A337" s="171" t="str">
        <f>'Miljövärden för publ företag'!B339</f>
        <v>Västervik Miljö &amp; Energi AB</v>
      </c>
      <c r="B337" s="171" t="str">
        <f>'Miljövärden för publ företag'!C339</f>
        <v>Gamleby</v>
      </c>
      <c r="C337" s="121" t="str">
        <f>IFERROR(VLOOKUP($B337,Kraftvärmeprod!$B$1:$AH$478,MATCH(C$2,Kraftvärmeprod!$B$1:$AG$1,0),FALSE)/1,"")</f>
        <v/>
      </c>
      <c r="D337" s="121" t="str">
        <f>IFERROR(VLOOKUP($B337,Kraftvärmeprod!$B$1:$AH$478,MATCH(D$2,Kraftvärmeprod!$B$1:$AG$1,0),FALSE)/1,"")</f>
        <v/>
      </c>
      <c r="F337" s="121" t="str">
        <f>IF($D337="","",IFERROR(VLOOKUP($B337,Kraftvärmeprod!$B$1:$BX$549,MATCH(F$2,Kraftvärmeprod!$B$1:$VX$1,0),FALSE)/1,0)-IFERROR(VLOOKUP($B337,'Slutlig allokering kvv'!$B$2:$BX$549,MATCH(F$2,'Slutlig allokering kvv'!$B$1:$BX$1,0),FALSE)/1,0))</f>
        <v/>
      </c>
      <c r="G337" s="121" t="str">
        <f>IF($D337="","",IFERROR(VLOOKUP($B337,Kraftvärmeprod!$B$1:$BX$549,MATCH(G$2,Kraftvärmeprod!$B$1:$VX$1,0),FALSE)/1,0)-IFERROR(VLOOKUP($B337,'Slutlig allokering kvv'!$B$2:$BX$549,MATCH(G$2,'Slutlig allokering kvv'!$B$1:$BX$1,0),FALSE)/1,0))</f>
        <v/>
      </c>
      <c r="H337" s="121" t="str">
        <f>IF($D337="","",IFERROR(VLOOKUP($B337,Kraftvärmeprod!$B$1:$BX$549,MATCH(H$2,Kraftvärmeprod!$B$1:$VX$1,0),FALSE)/1,0)-IFERROR(VLOOKUP($B337,'Slutlig allokering kvv'!$B$2:$BX$549,MATCH(H$2,'Slutlig allokering kvv'!$B$1:$BX$1,0),FALSE)/1,0))</f>
        <v/>
      </c>
      <c r="I337" s="121" t="str">
        <f>IF($D337="","",IFERROR(VLOOKUP($B337,Kraftvärmeprod!$B$1:$BX$549,MATCH(I$2,Kraftvärmeprod!$B$1:$VX$1,0),FALSE)/1,0)-IFERROR(VLOOKUP($B337,'Slutlig allokering kvv'!$B$2:$BX$549,MATCH(I$2,'Slutlig allokering kvv'!$B$1:$BX$1,0),FALSE)/1,0))</f>
        <v/>
      </c>
      <c r="J337" s="121" t="str">
        <f>IF($D337="","",IFERROR(VLOOKUP($B337,Kraftvärmeprod!$B$1:$BX$549,MATCH(J$2,Kraftvärmeprod!$B$1:$VX$1,0),FALSE)/1,0)-IFERROR(VLOOKUP($B337,'Slutlig allokering kvv'!$B$2:$BX$549,MATCH(J$2,'Slutlig allokering kvv'!$B$1:$BX$1,0),FALSE)/1,0))</f>
        <v/>
      </c>
      <c r="K337" s="121" t="str">
        <f>IF($D337="","",IFERROR(VLOOKUP($B337,Kraftvärmeprod!$B$1:$BX$549,MATCH(K$2,Kraftvärmeprod!$B$1:$VX$1,0),FALSE)/1,0)-IFERROR(VLOOKUP($B337,'Slutlig allokering kvv'!$B$2:$BX$549,MATCH(K$2,'Slutlig allokering kvv'!$B$1:$BX$1,0),FALSE)/1,0))</f>
        <v/>
      </c>
      <c r="L337" s="121" t="str">
        <f>IF($D337="","",IFERROR(VLOOKUP($B337,Kraftvärmeprod!$B$1:$BX$549,MATCH(L$2,Kraftvärmeprod!$B$1:$VX$1,0),FALSE)/1,0)-IFERROR(VLOOKUP($B337,'Slutlig allokering kvv'!$B$2:$BX$549,MATCH(L$2,'Slutlig allokering kvv'!$B$1:$BX$1,0),FALSE)/1,0))</f>
        <v/>
      </c>
      <c r="M337" s="121" t="str">
        <f>IF($D337="","",IFERROR(VLOOKUP($B337,Kraftvärmeprod!$B$1:$BX$549,MATCH(M$2,Kraftvärmeprod!$B$1:$VX$1,0),FALSE)/1,0)-IFERROR(VLOOKUP($B337,'Slutlig allokering kvv'!$B$2:$BX$549,MATCH(M$2,'Slutlig allokering kvv'!$B$1:$BX$1,0),FALSE)/1,0))</f>
        <v/>
      </c>
      <c r="N337" s="121" t="str">
        <f>IF($D337="","",IFERROR(VLOOKUP($B337,Kraftvärmeprod!$B$1:$BX$549,MATCH(N$2,Kraftvärmeprod!$B$1:$VX$1,0),FALSE)/1,0)-IFERROR(VLOOKUP($B337,'Slutlig allokering kvv'!$B$2:$BX$549,MATCH(N$2,'Slutlig allokering kvv'!$B$1:$BX$1,0),FALSE)/1,0))</f>
        <v/>
      </c>
      <c r="O337" s="121" t="str">
        <f>IF($D337="","",IFERROR(VLOOKUP($B337,Kraftvärmeprod!$B$1:$BX$549,MATCH(O$2,Kraftvärmeprod!$B$1:$VX$1,0),FALSE)/1,0)-IFERROR(VLOOKUP($B337,'Slutlig allokering kvv'!$B$2:$BX$549,MATCH(O$2,'Slutlig allokering kvv'!$B$1:$BX$1,0),FALSE)/1,0))</f>
        <v/>
      </c>
      <c r="P337" s="121" t="str">
        <f>IF($D337="","",IFERROR(VLOOKUP($B337,Kraftvärmeprod!$B$1:$BX$549,MATCH(P$2,Kraftvärmeprod!$B$1:$VX$1,0),FALSE)/1,0)-IFERROR(VLOOKUP($B337,'Slutlig allokering kvv'!$B$2:$BX$549,MATCH(P$2,'Slutlig allokering kvv'!$B$1:$BX$1,0),FALSE)/1,0))</f>
        <v/>
      </c>
      <c r="Q337" s="121" t="str">
        <f>IF($D337="","",IFERROR(VLOOKUP($B337,Kraftvärmeprod!$B$1:$BX$549,MATCH(Q$2,Kraftvärmeprod!$B$1:$VX$1,0),FALSE)/1,0)-IFERROR(VLOOKUP($B337,'Slutlig allokering kvv'!$B$2:$BX$549,MATCH(Q$2,'Slutlig allokering kvv'!$B$1:$BX$1,0),FALSE)/1,0))</f>
        <v/>
      </c>
      <c r="R337" s="121" t="str">
        <f>IF($D337="","",IFERROR(VLOOKUP($B337,Kraftvärmeprod!$B$1:$BX$549,MATCH(R$2,Kraftvärmeprod!$B$1:$VX$1,0),FALSE)/1,0)-IFERROR(VLOOKUP($B337,'Slutlig allokering kvv'!$B$2:$BX$549,MATCH(R$2,'Slutlig allokering kvv'!$B$1:$BX$1,0),FALSE)/1,0))</f>
        <v/>
      </c>
      <c r="S337" s="121" t="str">
        <f>IF($D337="","",IFERROR(VLOOKUP($B337,Kraftvärmeprod!$B$1:$BX$549,MATCH(S$2,Kraftvärmeprod!$B$1:$VX$1,0),FALSE)/1,0)-IFERROR(VLOOKUP($B337,'Slutlig allokering kvv'!$B$2:$BX$549,MATCH(S$2,'Slutlig allokering kvv'!$B$1:$BX$1,0),FALSE)/1,0))</f>
        <v/>
      </c>
      <c r="T337" s="121" t="str">
        <f>IF($D337="","",IFERROR(VLOOKUP($B337,Kraftvärmeprod!$B$1:$BX$549,MATCH(T$2,Kraftvärmeprod!$B$1:$VX$1,0),FALSE)/1,0)-IFERROR(VLOOKUP($B337,'Slutlig allokering kvv'!$B$2:$BX$549,MATCH(T$2,'Slutlig allokering kvv'!$B$1:$BX$1,0),FALSE)/1,0))</f>
        <v/>
      </c>
      <c r="U337" s="121" t="str">
        <f>IF($D337="","",IFERROR(VLOOKUP($B337,Kraftvärmeprod!$B$1:$BX$549,MATCH(U$2,Kraftvärmeprod!$B$1:$VX$1,0),FALSE)/1,0)-IFERROR(VLOOKUP($B337,'Slutlig allokering kvv'!$B$2:$BX$549,MATCH(U$2,'Slutlig allokering kvv'!$B$1:$BX$1,0),FALSE)/1,0))</f>
        <v/>
      </c>
      <c r="V337" s="121" t="str">
        <f>IF($D337="","",IFERROR(VLOOKUP($B337,Kraftvärmeprod!$B$1:$BX$549,MATCH(V$2,Kraftvärmeprod!$B$1:$VX$1,0),FALSE)/1,0)-IFERROR(VLOOKUP($B337,'Slutlig allokering kvv'!$B$2:$BX$549,MATCH(V$2,'Slutlig allokering kvv'!$B$1:$BX$1,0),FALSE)/1,0))</f>
        <v/>
      </c>
      <c r="W337" s="121" t="str">
        <f>IF($D337="","",IFERROR(VLOOKUP($B337,Kraftvärmeprod!$B$1:$BX$549,MATCH(W$2,Kraftvärmeprod!$B$1:$VX$1,0),FALSE)/1,0)-IFERROR(VLOOKUP($B337,'Slutlig allokering kvv'!$B$2:$BX$549,MATCH(W$2,'Slutlig allokering kvv'!$B$1:$BX$1,0),FALSE)/1,0))</f>
        <v/>
      </c>
      <c r="X337" s="121" t="str">
        <f>IF($D337="","",IFERROR(VLOOKUP($B337,Kraftvärmeprod!$B$1:$BX$549,MATCH(X$2,Kraftvärmeprod!$B$1:$VX$1,0),FALSE)/1,0)-IFERROR(VLOOKUP($B337,'Slutlig allokering kvv'!$B$2:$BX$549,MATCH(X$2,'Slutlig allokering kvv'!$B$1:$BX$1,0),FALSE)/1,0))</f>
        <v/>
      </c>
      <c r="Y337" s="121" t="str">
        <f>IF($D337="","",IFERROR(VLOOKUP($B337,Kraftvärmeprod!$B$1:$BX$549,MATCH(Y$2,Kraftvärmeprod!$B$1:$VX$1,0),FALSE)/1,0)-IFERROR(VLOOKUP($B337,'Slutlig allokering kvv'!$B$2:$BX$549,MATCH(Y$2,'Slutlig allokering kvv'!$B$1:$BX$1,0),FALSE)/1,0))</f>
        <v/>
      </c>
      <c r="Z337" s="121" t="str">
        <f>IF($D337="","",IFERROR(VLOOKUP($B337,Kraftvärmeprod!$B$1:$BX$549,MATCH(Z$2,Kraftvärmeprod!$B$1:$VX$1,0),FALSE)/1,0)-IFERROR(VLOOKUP($B337,'Slutlig allokering kvv'!$B$2:$BX$549,MATCH(Z$2,'Slutlig allokering kvv'!$B$1:$BX$1,0),FALSE)/1,0))</f>
        <v/>
      </c>
      <c r="AA337" s="121" t="str">
        <f>IF($D337="","",IFERROR(VLOOKUP($B337,Kraftvärmeprod!$B$1:$BX$549,MATCH(AA$2,Kraftvärmeprod!$B$1:$VX$1,0),FALSE)/1,0)-IFERROR(VLOOKUP($B337,'Slutlig allokering kvv'!$B$2:$BX$549,MATCH(AA$2,'Slutlig allokering kvv'!$B$1:$BX$1,0),FALSE)/1,0))</f>
        <v/>
      </c>
      <c r="AB337" s="121" t="str">
        <f>IF($D337="","",IFERROR(VLOOKUP($B337,Kraftvärmeprod!$B$1:$BX$549,MATCH(AB$2,Kraftvärmeprod!$B$1:$VX$1,0),FALSE)/1,0)-IFERROR(VLOOKUP($B337,'Slutlig allokering kvv'!$B$2:$BX$549,MATCH(AB$2,'Slutlig allokering kvv'!$B$1:$BX$1,0),FALSE)/1,0))</f>
        <v/>
      </c>
      <c r="AC337" s="121" t="str">
        <f>IF($D337="","",IFERROR(VLOOKUP($B337,Kraftvärmeprod!$B$1:$BX$549,MATCH(AC$2,Kraftvärmeprod!$B$1:$VX$1,0),FALSE)/1,0)-IFERROR(VLOOKUP($B337,'Slutlig allokering kvv'!$B$2:$BX$549,MATCH(AC$2,'Slutlig allokering kvv'!$B$1:$BX$1,0),FALSE)/1,0))</f>
        <v/>
      </c>
      <c r="AD337" s="121" t="str">
        <f>IF($D337="","",IFERROR(VLOOKUP($B337,Kraftvärmeprod!$B$1:$BX$549,MATCH(AD$2,Kraftvärmeprod!$B$1:$VX$1,0),FALSE)/1,0)-IFERROR(VLOOKUP($B337,'Slutlig allokering kvv'!$B$2:$BX$549,MATCH(AD$2,'Slutlig allokering kvv'!$B$1:$BX$1,0),FALSE)/1,0))</f>
        <v/>
      </c>
      <c r="AE337" s="121" t="str">
        <f>IF($D337="","",IFERROR(VLOOKUP($B337,Miljö!$B$1:$E$550,MATCH("Hjälpel kraftvärme (GWh)",Miljö!$B$1:$E$1,0),FALSE)/1,0)-IFERROR(VLOOKUP($B337,'Slutlig allokering kvv'!$B$2:$BX$549,MATCH(AE$2,'Slutlig allokering kvv'!$B$1:$BX$1,0),FALSE)/1,0))</f>
        <v/>
      </c>
      <c r="AI337" s="121">
        <f t="shared" si="20"/>
        <v>0</v>
      </c>
      <c r="AK337" s="121">
        <f>IFERROR(VLOOKUP($B337,'Slutlig allokering kvv'!$B$2:$AX$549,MATCH("Summa slutlig allokerad tillförd energi (utan hjälpel och rökgaskondensering):",'Slutlig allokering kvv'!$B$1:$AX$1,0),FALSE)/1,"")</f>
        <v>0</v>
      </c>
      <c r="AM337" s="172" t="str">
        <f>IFERROR(1-VLOOKUP($B337,'Slutlig allokering kvv'!$B$2:$AX$549,MATCH("Andel av bränsle i kvv som allokerats till värme, exklusive rökgaskondensering och hjälpel",'Slutlig allokering kvv'!$B$1:$AX$1,0),FALSE),"")</f>
        <v/>
      </c>
      <c r="AO337" s="172" t="str">
        <f t="shared" si="21"/>
        <v/>
      </c>
      <c r="AP337" s="173" t="str">
        <f t="shared" si="22"/>
        <v/>
      </c>
      <c r="AR337" s="172" t="str">
        <f t="shared" si="23"/>
        <v/>
      </c>
    </row>
    <row r="338" spans="1:44" x14ac:dyDescent="0.25">
      <c r="A338" s="171" t="str">
        <f>'Miljövärden för publ företag'!B340</f>
        <v>Västervik Miljö &amp; Energi AB</v>
      </c>
      <c r="B338" s="171" t="str">
        <f>'Miljövärden för publ företag'!C340</f>
        <v>Västervik</v>
      </c>
      <c r="C338" s="121">
        <f>IFERROR(VLOOKUP($B338,Kraftvärmeprod!$B$1:$AH$478,MATCH(C$2,Kraftvärmeprod!$B$1:$AG$1,0),FALSE)/1,"")</f>
        <v>62.24</v>
      </c>
      <c r="D338" s="121">
        <f>IFERROR(VLOOKUP($B338,Kraftvärmeprod!$B$1:$AH$478,MATCH(D$2,Kraftvärmeprod!$B$1:$AG$1,0),FALSE)/1,"")</f>
        <v>12.212</v>
      </c>
      <c r="F338" s="121">
        <f>IF($D338="","",IFERROR(VLOOKUP($B338,Kraftvärmeprod!$B$1:$BX$549,MATCH(F$2,Kraftvärmeprod!$B$1:$VX$1,0),FALSE)/1,0)-IFERROR(VLOOKUP($B338,'Slutlig allokering kvv'!$B$2:$BX$549,MATCH(F$2,'Slutlig allokering kvv'!$B$1:$BX$1,0),FALSE)/1,0))</f>
        <v>0</v>
      </c>
      <c r="G338" s="121">
        <f>IF($D338="","",IFERROR(VLOOKUP($B338,Kraftvärmeprod!$B$1:$BX$549,MATCH(G$2,Kraftvärmeprod!$B$1:$VX$1,0),FALSE)/1,0)-IFERROR(VLOOKUP($B338,'Slutlig allokering kvv'!$B$2:$BX$549,MATCH(G$2,'Slutlig allokering kvv'!$B$1:$BX$1,0),FALSE)/1,0))</f>
        <v>0.32389299999999988</v>
      </c>
      <c r="H338" s="121">
        <f>IF($D338="","",IFERROR(VLOOKUP($B338,Kraftvärmeprod!$B$1:$BX$549,MATCH(H$2,Kraftvärmeprod!$B$1:$VX$1,0),FALSE)/1,0)-IFERROR(VLOOKUP($B338,'Slutlig allokering kvv'!$B$2:$BX$549,MATCH(H$2,'Slutlig allokering kvv'!$B$1:$BX$1,0),FALSE)/1,0))</f>
        <v>0</v>
      </c>
      <c r="I338" s="121">
        <f>IF($D338="","",IFERROR(VLOOKUP($B338,Kraftvärmeprod!$B$1:$BX$549,MATCH(I$2,Kraftvärmeprod!$B$1:$VX$1,0),FALSE)/1,0)-IFERROR(VLOOKUP($B338,'Slutlig allokering kvv'!$B$2:$BX$549,MATCH(I$2,'Slutlig allokering kvv'!$B$1:$BX$1,0),FALSE)/1,0))</f>
        <v>0</v>
      </c>
      <c r="J338" s="121">
        <f>IF($D338="","",IFERROR(VLOOKUP($B338,Kraftvärmeprod!$B$1:$BX$549,MATCH(J$2,Kraftvärmeprod!$B$1:$VX$1,0),FALSE)/1,0)-IFERROR(VLOOKUP($B338,'Slutlig allokering kvv'!$B$2:$BX$549,MATCH(J$2,'Slutlig allokering kvv'!$B$1:$BX$1,0),FALSE)/1,0))</f>
        <v>0</v>
      </c>
      <c r="K338" s="121">
        <f>IF($D338="","",IFERROR(VLOOKUP($B338,Kraftvärmeprod!$B$1:$BX$549,MATCH(K$2,Kraftvärmeprod!$B$1:$VX$1,0),FALSE)/1,0)-IFERROR(VLOOKUP($B338,'Slutlig allokering kvv'!$B$2:$BX$549,MATCH(K$2,'Slutlig allokering kvv'!$B$1:$BX$1,0),FALSE)/1,0))</f>
        <v>0</v>
      </c>
      <c r="L338" s="121">
        <f>IF($D338="","",IFERROR(VLOOKUP($B338,Kraftvärmeprod!$B$1:$BX$549,MATCH(L$2,Kraftvärmeprod!$B$1:$VX$1,0),FALSE)/1,0)-IFERROR(VLOOKUP($B338,'Slutlig allokering kvv'!$B$2:$BX$549,MATCH(L$2,'Slutlig allokering kvv'!$B$1:$BX$1,0),FALSE)/1,0))</f>
        <v>0</v>
      </c>
      <c r="M338" s="121">
        <f>IF($D338="","",IFERROR(VLOOKUP($B338,Kraftvärmeprod!$B$1:$BX$549,MATCH(M$2,Kraftvärmeprod!$B$1:$VX$1,0),FALSE)/1,0)-IFERROR(VLOOKUP($B338,'Slutlig allokering kvv'!$B$2:$BX$549,MATCH(M$2,'Slutlig allokering kvv'!$B$1:$BX$1,0),FALSE)/1,0))</f>
        <v>0</v>
      </c>
      <c r="N338" s="121">
        <f>IF($D338="","",IFERROR(VLOOKUP($B338,Kraftvärmeprod!$B$1:$BX$549,MATCH(N$2,Kraftvärmeprod!$B$1:$VX$1,0),FALSE)/1,0)-IFERROR(VLOOKUP($B338,'Slutlig allokering kvv'!$B$2:$BX$549,MATCH(N$2,'Slutlig allokering kvv'!$B$1:$BX$1,0),FALSE)/1,0))</f>
        <v>0</v>
      </c>
      <c r="O338" s="121">
        <f>IF($D338="","",IFERROR(VLOOKUP($B338,Kraftvärmeprod!$B$1:$BX$549,MATCH(O$2,Kraftvärmeprod!$B$1:$VX$1,0),FALSE)/1,0)-IFERROR(VLOOKUP($B338,'Slutlig allokering kvv'!$B$2:$BX$549,MATCH(O$2,'Slutlig allokering kvv'!$B$1:$BX$1,0),FALSE)/1,0))</f>
        <v>0</v>
      </c>
      <c r="P338" s="121">
        <f>IF($D338="","",IFERROR(VLOOKUP($B338,Kraftvärmeprod!$B$1:$BX$549,MATCH(P$2,Kraftvärmeprod!$B$1:$VX$1,0),FALSE)/1,0)-IFERROR(VLOOKUP($B338,'Slutlig allokering kvv'!$B$2:$BX$549,MATCH(P$2,'Slutlig allokering kvv'!$B$1:$BX$1,0),FALSE)/1,0))</f>
        <v>0</v>
      </c>
      <c r="Q338" s="121">
        <f>IF($D338="","",IFERROR(VLOOKUP($B338,Kraftvärmeprod!$B$1:$BX$549,MATCH(Q$2,Kraftvärmeprod!$B$1:$VX$1,0),FALSE)/1,0)-IFERROR(VLOOKUP($B338,'Slutlig allokering kvv'!$B$2:$BX$549,MATCH(Q$2,'Slutlig allokering kvv'!$B$1:$BX$1,0),FALSE)/1,0))</f>
        <v>0</v>
      </c>
      <c r="R338" s="121">
        <f>IF($D338="","",IFERROR(VLOOKUP($B338,Kraftvärmeprod!$B$1:$BX$549,MATCH(R$2,Kraftvärmeprod!$B$1:$VX$1,0),FALSE)/1,0)-IFERROR(VLOOKUP($B338,'Slutlig allokering kvv'!$B$2:$BX$549,MATCH(R$2,'Slutlig allokering kvv'!$B$1:$BX$1,0),FALSE)/1,0))</f>
        <v>0</v>
      </c>
      <c r="S338" s="121">
        <f>IF($D338="","",IFERROR(VLOOKUP($B338,Kraftvärmeprod!$B$1:$BX$549,MATCH(S$2,Kraftvärmeprod!$B$1:$VX$1,0),FALSE)/1,0)-IFERROR(VLOOKUP($B338,'Slutlig allokering kvv'!$B$2:$BX$549,MATCH(S$2,'Slutlig allokering kvv'!$B$1:$BX$1,0),FALSE)/1,0))</f>
        <v>0</v>
      </c>
      <c r="T338" s="121">
        <f>IF($D338="","",IFERROR(VLOOKUP($B338,Kraftvärmeprod!$B$1:$BX$549,MATCH(T$2,Kraftvärmeprod!$B$1:$VX$1,0),FALSE)/1,0)-IFERROR(VLOOKUP($B338,'Slutlig allokering kvv'!$B$2:$BX$549,MATCH(T$2,'Slutlig allokering kvv'!$B$1:$BX$1,0),FALSE)/1,0))</f>
        <v>0</v>
      </c>
      <c r="U338" s="121">
        <f>IF($D338="","",IFERROR(VLOOKUP($B338,Kraftvärmeprod!$B$1:$BX$549,MATCH(U$2,Kraftvärmeprod!$B$1:$VX$1,0),FALSE)/1,0)-IFERROR(VLOOKUP($B338,'Slutlig allokering kvv'!$B$2:$BX$549,MATCH(U$2,'Slutlig allokering kvv'!$B$1:$BX$1,0),FALSE)/1,0))</f>
        <v>0</v>
      </c>
      <c r="V338" s="121">
        <f>IF($D338="","",IFERROR(VLOOKUP($B338,Kraftvärmeprod!$B$1:$BX$549,MATCH(V$2,Kraftvärmeprod!$B$1:$VX$1,0),FALSE)/1,0)-IFERROR(VLOOKUP($B338,'Slutlig allokering kvv'!$B$2:$BX$549,MATCH(V$2,'Slutlig allokering kvv'!$B$1:$BX$1,0),FALSE)/1,0))</f>
        <v>0</v>
      </c>
      <c r="W338" s="121">
        <f>IF($D338="","",IFERROR(VLOOKUP($B338,Kraftvärmeprod!$B$1:$BX$549,MATCH(W$2,Kraftvärmeprod!$B$1:$VX$1,0),FALSE)/1,0)-IFERROR(VLOOKUP($B338,'Slutlig allokering kvv'!$B$2:$BX$549,MATCH(W$2,'Slutlig allokering kvv'!$B$1:$BX$1,0),FALSE)/1,0))</f>
        <v>0</v>
      </c>
      <c r="X338" s="121">
        <f>IF($D338="","",IFERROR(VLOOKUP($B338,Kraftvärmeprod!$B$1:$BX$549,MATCH(X$2,Kraftvärmeprod!$B$1:$VX$1,0),FALSE)/1,0)-IFERROR(VLOOKUP($B338,'Slutlig allokering kvv'!$B$2:$BX$549,MATCH(X$2,'Slutlig allokering kvv'!$B$1:$BX$1,0),FALSE)/1,0))</f>
        <v>0</v>
      </c>
      <c r="Y338" s="121">
        <f>IF($D338="","",IFERROR(VLOOKUP($B338,Kraftvärmeprod!$B$1:$BX$549,MATCH(Y$2,Kraftvärmeprod!$B$1:$VX$1,0),FALSE)/1,0)-IFERROR(VLOOKUP($B338,'Slutlig allokering kvv'!$B$2:$BX$549,MATCH(Y$2,'Slutlig allokering kvv'!$B$1:$BX$1,0),FALSE)/1,0))</f>
        <v>0</v>
      </c>
      <c r="Z338" s="121">
        <f>IF($D338="","",IFERROR(VLOOKUP($B338,Kraftvärmeprod!$B$1:$BX$549,MATCH(Z$2,Kraftvärmeprod!$B$1:$VX$1,0),FALSE)/1,0)-IFERROR(VLOOKUP($B338,'Slutlig allokering kvv'!$B$2:$BX$549,MATCH(Z$2,'Slutlig allokering kvv'!$B$1:$BX$1,0),FALSE)/1,0))</f>
        <v>0</v>
      </c>
      <c r="AA338" s="121">
        <f>IF($D338="","",IFERROR(VLOOKUP($B338,Kraftvärmeprod!$B$1:$BX$549,MATCH(AA$2,Kraftvärmeprod!$B$1:$VX$1,0),FALSE)/1,0)-IFERROR(VLOOKUP($B338,'Slutlig allokering kvv'!$B$2:$BX$549,MATCH(AA$2,'Slutlig allokering kvv'!$B$1:$BX$1,0),FALSE)/1,0))</f>
        <v>45.195000000000007</v>
      </c>
      <c r="AB338" s="121">
        <f>IF($D338="","",IFERROR(VLOOKUP($B338,Kraftvärmeprod!$B$1:$BX$549,MATCH(AB$2,Kraftvärmeprod!$B$1:$VX$1,0),FALSE)/1,0)-IFERROR(VLOOKUP($B338,'Slutlig allokering kvv'!$B$2:$BX$549,MATCH(AB$2,'Slutlig allokering kvv'!$B$1:$BX$1,0),FALSE)/1,0))</f>
        <v>0</v>
      </c>
      <c r="AC338" s="121">
        <f>IF($D338="","",IFERROR(VLOOKUP($B338,Kraftvärmeprod!$B$1:$BX$549,MATCH(AC$2,Kraftvärmeprod!$B$1:$VX$1,0),FALSE)/1,0)-IFERROR(VLOOKUP($B338,'Slutlig allokering kvv'!$B$2:$BX$549,MATCH(AC$2,'Slutlig allokering kvv'!$B$1:$BX$1,0),FALSE)/1,0))</f>
        <v>0</v>
      </c>
      <c r="AD338" s="121">
        <f>IF($D338="","",IFERROR(VLOOKUP($B338,Kraftvärmeprod!$B$1:$BX$549,MATCH(AD$2,Kraftvärmeprod!$B$1:$VX$1,0),FALSE)/1,0)-IFERROR(VLOOKUP($B338,'Slutlig allokering kvv'!$B$2:$BX$549,MATCH(AD$2,'Slutlig allokering kvv'!$B$1:$BX$1,0),FALSE)/1,0))</f>
        <v>0</v>
      </c>
      <c r="AE338" s="121">
        <f>IF($D338="","",IFERROR(VLOOKUP($B338,Miljö!$B$1:$E$550,MATCH("Hjälpel kraftvärme (GWh)",Miljö!$B$1:$E$1,0),FALSE)/1,0)-IFERROR(VLOOKUP($B338,'Slutlig allokering kvv'!$B$2:$BX$549,MATCH(AE$2,'Slutlig allokering kvv'!$B$1:$BX$1,0),FALSE)/1,0))</f>
        <v>0.93025000000000024</v>
      </c>
      <c r="AI338" s="121">
        <f t="shared" si="20"/>
        <v>45.518893000000006</v>
      </c>
      <c r="AK338" s="121">
        <f>IFERROR(VLOOKUP($B338,'Slutlig allokering kvv'!$B$2:$AX$549,MATCH("Summa slutlig allokerad tillförd energi (utan hjälpel och rökgaskondensering):",'Slutlig allokering kvv'!$B$1:$AX$1,0),FALSE)/1,"")</f>
        <v>72.798107000000002</v>
      </c>
      <c r="AM338" s="172">
        <f>IFERROR(1-VLOOKUP($B338,'Slutlig allokering kvv'!$B$2:$AX$549,MATCH("Andel av bränsle i kvv som allokerats till värme, exklusive rökgaskondensering och hjälpel",'Slutlig allokering kvv'!$B$1:$AX$1,0),FALSE),"")</f>
        <v>0.38471980357852209</v>
      </c>
      <c r="AO338" s="172">
        <f t="shared" si="21"/>
        <v>0.38471980357852215</v>
      </c>
      <c r="AP338" s="173">
        <f t="shared" si="22"/>
        <v>-5.5511151231257827E-17</v>
      </c>
      <c r="AR338" s="172">
        <f t="shared" si="23"/>
        <v>0.26291120161248183</v>
      </c>
    </row>
    <row r="339" spans="1:44" x14ac:dyDescent="0.25">
      <c r="A339" s="171" t="str">
        <f>'Miljövärden för publ företag'!B341</f>
        <v>Västra Mälardalens Energi och Miljö AB</v>
      </c>
      <c r="B339" s="171" t="str">
        <f>'Miljövärden för publ företag'!C341</f>
        <v>Arboga - Köping</v>
      </c>
      <c r="C339" s="121" t="str">
        <f>IFERROR(VLOOKUP($B339,Kraftvärmeprod!$B$1:$AH$478,MATCH(C$2,Kraftvärmeprod!$B$1:$AG$1,0),FALSE)/1,"")</f>
        <v/>
      </c>
      <c r="D339" s="121" t="str">
        <f>IFERROR(VLOOKUP($B339,Kraftvärmeprod!$B$1:$AH$478,MATCH(D$2,Kraftvärmeprod!$B$1:$AG$1,0),FALSE)/1,"")</f>
        <v/>
      </c>
      <c r="F339" s="121" t="str">
        <f>IF($D339="","",IFERROR(VLOOKUP($B339,Kraftvärmeprod!$B$1:$BX$549,MATCH(F$2,Kraftvärmeprod!$B$1:$VX$1,0),FALSE)/1,0)-IFERROR(VLOOKUP($B339,'Slutlig allokering kvv'!$B$2:$BX$549,MATCH(F$2,'Slutlig allokering kvv'!$B$1:$BX$1,0),FALSE)/1,0))</f>
        <v/>
      </c>
      <c r="G339" s="121" t="str">
        <f>IF($D339="","",IFERROR(VLOOKUP($B339,Kraftvärmeprod!$B$1:$BX$549,MATCH(G$2,Kraftvärmeprod!$B$1:$VX$1,0),FALSE)/1,0)-IFERROR(VLOOKUP($B339,'Slutlig allokering kvv'!$B$2:$BX$549,MATCH(G$2,'Slutlig allokering kvv'!$B$1:$BX$1,0),FALSE)/1,0))</f>
        <v/>
      </c>
      <c r="H339" s="121" t="str">
        <f>IF($D339="","",IFERROR(VLOOKUP($B339,Kraftvärmeprod!$B$1:$BX$549,MATCH(H$2,Kraftvärmeprod!$B$1:$VX$1,0),FALSE)/1,0)-IFERROR(VLOOKUP($B339,'Slutlig allokering kvv'!$B$2:$BX$549,MATCH(H$2,'Slutlig allokering kvv'!$B$1:$BX$1,0),FALSE)/1,0))</f>
        <v/>
      </c>
      <c r="I339" s="121" t="str">
        <f>IF($D339="","",IFERROR(VLOOKUP($B339,Kraftvärmeprod!$B$1:$BX$549,MATCH(I$2,Kraftvärmeprod!$B$1:$VX$1,0),FALSE)/1,0)-IFERROR(VLOOKUP($B339,'Slutlig allokering kvv'!$B$2:$BX$549,MATCH(I$2,'Slutlig allokering kvv'!$B$1:$BX$1,0),FALSE)/1,0))</f>
        <v/>
      </c>
      <c r="J339" s="121" t="str">
        <f>IF($D339="","",IFERROR(VLOOKUP($B339,Kraftvärmeprod!$B$1:$BX$549,MATCH(J$2,Kraftvärmeprod!$B$1:$VX$1,0),FALSE)/1,0)-IFERROR(VLOOKUP($B339,'Slutlig allokering kvv'!$B$2:$BX$549,MATCH(J$2,'Slutlig allokering kvv'!$B$1:$BX$1,0),FALSE)/1,0))</f>
        <v/>
      </c>
      <c r="K339" s="121" t="str">
        <f>IF($D339="","",IFERROR(VLOOKUP($B339,Kraftvärmeprod!$B$1:$BX$549,MATCH(K$2,Kraftvärmeprod!$B$1:$VX$1,0),FALSE)/1,0)-IFERROR(VLOOKUP($B339,'Slutlig allokering kvv'!$B$2:$BX$549,MATCH(K$2,'Slutlig allokering kvv'!$B$1:$BX$1,0),FALSE)/1,0))</f>
        <v/>
      </c>
      <c r="L339" s="121" t="str">
        <f>IF($D339="","",IFERROR(VLOOKUP($B339,Kraftvärmeprod!$B$1:$BX$549,MATCH(L$2,Kraftvärmeprod!$B$1:$VX$1,0),FALSE)/1,0)-IFERROR(VLOOKUP($B339,'Slutlig allokering kvv'!$B$2:$BX$549,MATCH(L$2,'Slutlig allokering kvv'!$B$1:$BX$1,0),FALSE)/1,0))</f>
        <v/>
      </c>
      <c r="M339" s="121" t="str">
        <f>IF($D339="","",IFERROR(VLOOKUP($B339,Kraftvärmeprod!$B$1:$BX$549,MATCH(M$2,Kraftvärmeprod!$B$1:$VX$1,0),FALSE)/1,0)-IFERROR(VLOOKUP($B339,'Slutlig allokering kvv'!$B$2:$BX$549,MATCH(M$2,'Slutlig allokering kvv'!$B$1:$BX$1,0),FALSE)/1,0))</f>
        <v/>
      </c>
      <c r="N339" s="121" t="str">
        <f>IF($D339="","",IFERROR(VLOOKUP($B339,Kraftvärmeprod!$B$1:$BX$549,MATCH(N$2,Kraftvärmeprod!$B$1:$VX$1,0),FALSE)/1,0)-IFERROR(VLOOKUP($B339,'Slutlig allokering kvv'!$B$2:$BX$549,MATCH(N$2,'Slutlig allokering kvv'!$B$1:$BX$1,0),FALSE)/1,0))</f>
        <v/>
      </c>
      <c r="O339" s="121" t="str">
        <f>IF($D339="","",IFERROR(VLOOKUP($B339,Kraftvärmeprod!$B$1:$BX$549,MATCH(O$2,Kraftvärmeprod!$B$1:$VX$1,0),FALSE)/1,0)-IFERROR(VLOOKUP($B339,'Slutlig allokering kvv'!$B$2:$BX$549,MATCH(O$2,'Slutlig allokering kvv'!$B$1:$BX$1,0),FALSE)/1,0))</f>
        <v/>
      </c>
      <c r="P339" s="121" t="str">
        <f>IF($D339="","",IFERROR(VLOOKUP($B339,Kraftvärmeprod!$B$1:$BX$549,MATCH(P$2,Kraftvärmeprod!$B$1:$VX$1,0),FALSE)/1,0)-IFERROR(VLOOKUP($B339,'Slutlig allokering kvv'!$B$2:$BX$549,MATCH(P$2,'Slutlig allokering kvv'!$B$1:$BX$1,0),FALSE)/1,0))</f>
        <v/>
      </c>
      <c r="Q339" s="121" t="str">
        <f>IF($D339="","",IFERROR(VLOOKUP($B339,Kraftvärmeprod!$B$1:$BX$549,MATCH(Q$2,Kraftvärmeprod!$B$1:$VX$1,0),FALSE)/1,0)-IFERROR(VLOOKUP($B339,'Slutlig allokering kvv'!$B$2:$BX$549,MATCH(Q$2,'Slutlig allokering kvv'!$B$1:$BX$1,0),FALSE)/1,0))</f>
        <v/>
      </c>
      <c r="R339" s="121" t="str">
        <f>IF($D339="","",IFERROR(VLOOKUP($B339,Kraftvärmeprod!$B$1:$BX$549,MATCH(R$2,Kraftvärmeprod!$B$1:$VX$1,0),FALSE)/1,0)-IFERROR(VLOOKUP($B339,'Slutlig allokering kvv'!$B$2:$BX$549,MATCH(R$2,'Slutlig allokering kvv'!$B$1:$BX$1,0),FALSE)/1,0))</f>
        <v/>
      </c>
      <c r="S339" s="121" t="str">
        <f>IF($D339="","",IFERROR(VLOOKUP($B339,Kraftvärmeprod!$B$1:$BX$549,MATCH(S$2,Kraftvärmeprod!$B$1:$VX$1,0),FALSE)/1,0)-IFERROR(VLOOKUP($B339,'Slutlig allokering kvv'!$B$2:$BX$549,MATCH(S$2,'Slutlig allokering kvv'!$B$1:$BX$1,0),FALSE)/1,0))</f>
        <v/>
      </c>
      <c r="T339" s="121" t="str">
        <f>IF($D339="","",IFERROR(VLOOKUP($B339,Kraftvärmeprod!$B$1:$BX$549,MATCH(T$2,Kraftvärmeprod!$B$1:$VX$1,0),FALSE)/1,0)-IFERROR(VLOOKUP($B339,'Slutlig allokering kvv'!$B$2:$BX$549,MATCH(T$2,'Slutlig allokering kvv'!$B$1:$BX$1,0),FALSE)/1,0))</f>
        <v/>
      </c>
      <c r="U339" s="121" t="str">
        <f>IF($D339="","",IFERROR(VLOOKUP($B339,Kraftvärmeprod!$B$1:$BX$549,MATCH(U$2,Kraftvärmeprod!$B$1:$VX$1,0),FALSE)/1,0)-IFERROR(VLOOKUP($B339,'Slutlig allokering kvv'!$B$2:$BX$549,MATCH(U$2,'Slutlig allokering kvv'!$B$1:$BX$1,0),FALSE)/1,0))</f>
        <v/>
      </c>
      <c r="V339" s="121" t="str">
        <f>IF($D339="","",IFERROR(VLOOKUP($B339,Kraftvärmeprod!$B$1:$BX$549,MATCH(V$2,Kraftvärmeprod!$B$1:$VX$1,0),FALSE)/1,0)-IFERROR(VLOOKUP($B339,'Slutlig allokering kvv'!$B$2:$BX$549,MATCH(V$2,'Slutlig allokering kvv'!$B$1:$BX$1,0),FALSE)/1,0))</f>
        <v/>
      </c>
      <c r="W339" s="121" t="str">
        <f>IF($D339="","",IFERROR(VLOOKUP($B339,Kraftvärmeprod!$B$1:$BX$549,MATCH(W$2,Kraftvärmeprod!$B$1:$VX$1,0),FALSE)/1,0)-IFERROR(VLOOKUP($B339,'Slutlig allokering kvv'!$B$2:$BX$549,MATCH(W$2,'Slutlig allokering kvv'!$B$1:$BX$1,0),FALSE)/1,0))</f>
        <v/>
      </c>
      <c r="X339" s="121" t="str">
        <f>IF($D339="","",IFERROR(VLOOKUP($B339,Kraftvärmeprod!$B$1:$BX$549,MATCH(X$2,Kraftvärmeprod!$B$1:$VX$1,0),FALSE)/1,0)-IFERROR(VLOOKUP($B339,'Slutlig allokering kvv'!$B$2:$BX$549,MATCH(X$2,'Slutlig allokering kvv'!$B$1:$BX$1,0),FALSE)/1,0))</f>
        <v/>
      </c>
      <c r="Y339" s="121" t="str">
        <f>IF($D339="","",IFERROR(VLOOKUP($B339,Kraftvärmeprod!$B$1:$BX$549,MATCH(Y$2,Kraftvärmeprod!$B$1:$VX$1,0),FALSE)/1,0)-IFERROR(VLOOKUP($B339,'Slutlig allokering kvv'!$B$2:$BX$549,MATCH(Y$2,'Slutlig allokering kvv'!$B$1:$BX$1,0),FALSE)/1,0))</f>
        <v/>
      </c>
      <c r="Z339" s="121" t="str">
        <f>IF($D339="","",IFERROR(VLOOKUP($B339,Kraftvärmeprod!$B$1:$BX$549,MATCH(Z$2,Kraftvärmeprod!$B$1:$VX$1,0),FALSE)/1,0)-IFERROR(VLOOKUP($B339,'Slutlig allokering kvv'!$B$2:$BX$549,MATCH(Z$2,'Slutlig allokering kvv'!$B$1:$BX$1,0),FALSE)/1,0))</f>
        <v/>
      </c>
      <c r="AA339" s="121" t="str">
        <f>IF($D339="","",IFERROR(VLOOKUP($B339,Kraftvärmeprod!$B$1:$BX$549,MATCH(AA$2,Kraftvärmeprod!$B$1:$VX$1,0),FALSE)/1,0)-IFERROR(VLOOKUP($B339,'Slutlig allokering kvv'!$B$2:$BX$549,MATCH(AA$2,'Slutlig allokering kvv'!$B$1:$BX$1,0),FALSE)/1,0))</f>
        <v/>
      </c>
      <c r="AB339" s="121" t="str">
        <f>IF($D339="","",IFERROR(VLOOKUP($B339,Kraftvärmeprod!$B$1:$BX$549,MATCH(AB$2,Kraftvärmeprod!$B$1:$VX$1,0),FALSE)/1,0)-IFERROR(VLOOKUP($B339,'Slutlig allokering kvv'!$B$2:$BX$549,MATCH(AB$2,'Slutlig allokering kvv'!$B$1:$BX$1,0),FALSE)/1,0))</f>
        <v/>
      </c>
      <c r="AC339" s="121" t="str">
        <f>IF($D339="","",IFERROR(VLOOKUP($B339,Kraftvärmeprod!$B$1:$BX$549,MATCH(AC$2,Kraftvärmeprod!$B$1:$VX$1,0),FALSE)/1,0)-IFERROR(VLOOKUP($B339,'Slutlig allokering kvv'!$B$2:$BX$549,MATCH(AC$2,'Slutlig allokering kvv'!$B$1:$BX$1,0),FALSE)/1,0))</f>
        <v/>
      </c>
      <c r="AD339" s="121" t="str">
        <f>IF($D339="","",IFERROR(VLOOKUP($B339,Kraftvärmeprod!$B$1:$BX$549,MATCH(AD$2,Kraftvärmeprod!$B$1:$VX$1,0),FALSE)/1,0)-IFERROR(VLOOKUP($B339,'Slutlig allokering kvv'!$B$2:$BX$549,MATCH(AD$2,'Slutlig allokering kvv'!$B$1:$BX$1,0),FALSE)/1,0))</f>
        <v/>
      </c>
      <c r="AE339" s="121" t="str">
        <f>IF($D339="","",IFERROR(VLOOKUP($B339,Miljö!$B$1:$E$550,MATCH("Hjälpel kraftvärme (GWh)",Miljö!$B$1:$E$1,0),FALSE)/1,0)-IFERROR(VLOOKUP($B339,'Slutlig allokering kvv'!$B$2:$BX$549,MATCH(AE$2,'Slutlig allokering kvv'!$B$1:$BX$1,0),FALSE)/1,0))</f>
        <v/>
      </c>
      <c r="AI339" s="121">
        <f t="shared" si="20"/>
        <v>0</v>
      </c>
      <c r="AK339" s="121">
        <f>IFERROR(VLOOKUP($B339,'Slutlig allokering kvv'!$B$2:$AX$549,MATCH("Summa slutlig allokerad tillförd energi (utan hjälpel och rökgaskondensering):",'Slutlig allokering kvv'!$B$1:$AX$1,0),FALSE)/1,"")</f>
        <v>0</v>
      </c>
      <c r="AM339" s="172" t="str">
        <f>IFERROR(1-VLOOKUP($B339,'Slutlig allokering kvv'!$B$2:$AX$549,MATCH("Andel av bränsle i kvv som allokerats till värme, exklusive rökgaskondensering och hjälpel",'Slutlig allokering kvv'!$B$1:$AX$1,0),FALSE),"")</f>
        <v/>
      </c>
      <c r="AO339" s="172" t="str">
        <f t="shared" si="21"/>
        <v/>
      </c>
      <c r="AP339" s="173" t="str">
        <f t="shared" si="22"/>
        <v/>
      </c>
      <c r="AR339" s="172" t="str">
        <f t="shared" si="23"/>
        <v/>
      </c>
    </row>
    <row r="340" spans="1:44" x14ac:dyDescent="0.25">
      <c r="A340" s="171" t="str">
        <f>'Miljövärden för publ företag'!B342</f>
        <v>Västra Mälardalens Energi och Miljö AB</v>
      </c>
      <c r="B340" s="171" t="str">
        <f>'Miljövärden för publ företag'!C342</f>
        <v>Kolsva</v>
      </c>
      <c r="C340" s="121" t="str">
        <f>IFERROR(VLOOKUP($B340,Kraftvärmeprod!$B$1:$AH$478,MATCH(C$2,Kraftvärmeprod!$B$1:$AG$1,0),FALSE)/1,"")</f>
        <v/>
      </c>
      <c r="D340" s="121" t="str">
        <f>IFERROR(VLOOKUP($B340,Kraftvärmeprod!$B$1:$AH$478,MATCH(D$2,Kraftvärmeprod!$B$1:$AG$1,0),FALSE)/1,"")</f>
        <v/>
      </c>
      <c r="F340" s="121" t="str">
        <f>IF($D340="","",IFERROR(VLOOKUP($B340,Kraftvärmeprod!$B$1:$BX$549,MATCH(F$2,Kraftvärmeprod!$B$1:$VX$1,0),FALSE)/1,0)-IFERROR(VLOOKUP($B340,'Slutlig allokering kvv'!$B$2:$BX$549,MATCH(F$2,'Slutlig allokering kvv'!$B$1:$BX$1,0),FALSE)/1,0))</f>
        <v/>
      </c>
      <c r="G340" s="121" t="str">
        <f>IF($D340="","",IFERROR(VLOOKUP($B340,Kraftvärmeprod!$B$1:$BX$549,MATCH(G$2,Kraftvärmeprod!$B$1:$VX$1,0),FALSE)/1,0)-IFERROR(VLOOKUP($B340,'Slutlig allokering kvv'!$B$2:$BX$549,MATCH(G$2,'Slutlig allokering kvv'!$B$1:$BX$1,0),FALSE)/1,0))</f>
        <v/>
      </c>
      <c r="H340" s="121" t="str">
        <f>IF($D340="","",IFERROR(VLOOKUP($B340,Kraftvärmeprod!$B$1:$BX$549,MATCH(H$2,Kraftvärmeprod!$B$1:$VX$1,0),FALSE)/1,0)-IFERROR(VLOOKUP($B340,'Slutlig allokering kvv'!$B$2:$BX$549,MATCH(H$2,'Slutlig allokering kvv'!$B$1:$BX$1,0),FALSE)/1,0))</f>
        <v/>
      </c>
      <c r="I340" s="121" t="str">
        <f>IF($D340="","",IFERROR(VLOOKUP($B340,Kraftvärmeprod!$B$1:$BX$549,MATCH(I$2,Kraftvärmeprod!$B$1:$VX$1,0),FALSE)/1,0)-IFERROR(VLOOKUP($B340,'Slutlig allokering kvv'!$B$2:$BX$549,MATCH(I$2,'Slutlig allokering kvv'!$B$1:$BX$1,0),FALSE)/1,0))</f>
        <v/>
      </c>
      <c r="J340" s="121" t="str">
        <f>IF($D340="","",IFERROR(VLOOKUP($B340,Kraftvärmeprod!$B$1:$BX$549,MATCH(J$2,Kraftvärmeprod!$B$1:$VX$1,0),FALSE)/1,0)-IFERROR(VLOOKUP($B340,'Slutlig allokering kvv'!$B$2:$BX$549,MATCH(J$2,'Slutlig allokering kvv'!$B$1:$BX$1,0),FALSE)/1,0))</f>
        <v/>
      </c>
      <c r="K340" s="121" t="str">
        <f>IF($D340="","",IFERROR(VLOOKUP($B340,Kraftvärmeprod!$B$1:$BX$549,MATCH(K$2,Kraftvärmeprod!$B$1:$VX$1,0),FALSE)/1,0)-IFERROR(VLOOKUP($B340,'Slutlig allokering kvv'!$B$2:$BX$549,MATCH(K$2,'Slutlig allokering kvv'!$B$1:$BX$1,0),FALSE)/1,0))</f>
        <v/>
      </c>
      <c r="L340" s="121" t="str">
        <f>IF($D340="","",IFERROR(VLOOKUP($B340,Kraftvärmeprod!$B$1:$BX$549,MATCH(L$2,Kraftvärmeprod!$B$1:$VX$1,0),FALSE)/1,0)-IFERROR(VLOOKUP($B340,'Slutlig allokering kvv'!$B$2:$BX$549,MATCH(L$2,'Slutlig allokering kvv'!$B$1:$BX$1,0),FALSE)/1,0))</f>
        <v/>
      </c>
      <c r="M340" s="121" t="str">
        <f>IF($D340="","",IFERROR(VLOOKUP($B340,Kraftvärmeprod!$B$1:$BX$549,MATCH(M$2,Kraftvärmeprod!$B$1:$VX$1,0),FALSE)/1,0)-IFERROR(VLOOKUP($B340,'Slutlig allokering kvv'!$B$2:$BX$549,MATCH(M$2,'Slutlig allokering kvv'!$B$1:$BX$1,0),FALSE)/1,0))</f>
        <v/>
      </c>
      <c r="N340" s="121" t="str">
        <f>IF($D340="","",IFERROR(VLOOKUP($B340,Kraftvärmeprod!$B$1:$BX$549,MATCH(N$2,Kraftvärmeprod!$B$1:$VX$1,0),FALSE)/1,0)-IFERROR(VLOOKUP($B340,'Slutlig allokering kvv'!$B$2:$BX$549,MATCH(N$2,'Slutlig allokering kvv'!$B$1:$BX$1,0),FALSE)/1,0))</f>
        <v/>
      </c>
      <c r="O340" s="121" t="str">
        <f>IF($D340="","",IFERROR(VLOOKUP($B340,Kraftvärmeprod!$B$1:$BX$549,MATCH(O$2,Kraftvärmeprod!$B$1:$VX$1,0),FALSE)/1,0)-IFERROR(VLOOKUP($B340,'Slutlig allokering kvv'!$B$2:$BX$549,MATCH(O$2,'Slutlig allokering kvv'!$B$1:$BX$1,0),FALSE)/1,0))</f>
        <v/>
      </c>
      <c r="P340" s="121" t="str">
        <f>IF($D340="","",IFERROR(VLOOKUP($B340,Kraftvärmeprod!$B$1:$BX$549,MATCH(P$2,Kraftvärmeprod!$B$1:$VX$1,0),FALSE)/1,0)-IFERROR(VLOOKUP($B340,'Slutlig allokering kvv'!$B$2:$BX$549,MATCH(P$2,'Slutlig allokering kvv'!$B$1:$BX$1,0),FALSE)/1,0))</f>
        <v/>
      </c>
      <c r="Q340" s="121" t="str">
        <f>IF($D340="","",IFERROR(VLOOKUP($B340,Kraftvärmeprod!$B$1:$BX$549,MATCH(Q$2,Kraftvärmeprod!$B$1:$VX$1,0),FALSE)/1,0)-IFERROR(VLOOKUP($B340,'Slutlig allokering kvv'!$B$2:$BX$549,MATCH(Q$2,'Slutlig allokering kvv'!$B$1:$BX$1,0),FALSE)/1,0))</f>
        <v/>
      </c>
      <c r="R340" s="121" t="str">
        <f>IF($D340="","",IFERROR(VLOOKUP($B340,Kraftvärmeprod!$B$1:$BX$549,MATCH(R$2,Kraftvärmeprod!$B$1:$VX$1,0),FALSE)/1,0)-IFERROR(VLOOKUP($B340,'Slutlig allokering kvv'!$B$2:$BX$549,MATCH(R$2,'Slutlig allokering kvv'!$B$1:$BX$1,0),FALSE)/1,0))</f>
        <v/>
      </c>
      <c r="S340" s="121" t="str">
        <f>IF($D340="","",IFERROR(VLOOKUP($B340,Kraftvärmeprod!$B$1:$BX$549,MATCH(S$2,Kraftvärmeprod!$B$1:$VX$1,0),FALSE)/1,0)-IFERROR(VLOOKUP($B340,'Slutlig allokering kvv'!$B$2:$BX$549,MATCH(S$2,'Slutlig allokering kvv'!$B$1:$BX$1,0),FALSE)/1,0))</f>
        <v/>
      </c>
      <c r="T340" s="121" t="str">
        <f>IF($D340="","",IFERROR(VLOOKUP($B340,Kraftvärmeprod!$B$1:$BX$549,MATCH(T$2,Kraftvärmeprod!$B$1:$VX$1,0),FALSE)/1,0)-IFERROR(VLOOKUP($B340,'Slutlig allokering kvv'!$B$2:$BX$549,MATCH(T$2,'Slutlig allokering kvv'!$B$1:$BX$1,0),FALSE)/1,0))</f>
        <v/>
      </c>
      <c r="U340" s="121" t="str">
        <f>IF($D340="","",IFERROR(VLOOKUP($B340,Kraftvärmeprod!$B$1:$BX$549,MATCH(U$2,Kraftvärmeprod!$B$1:$VX$1,0),FALSE)/1,0)-IFERROR(VLOOKUP($B340,'Slutlig allokering kvv'!$B$2:$BX$549,MATCH(U$2,'Slutlig allokering kvv'!$B$1:$BX$1,0),FALSE)/1,0))</f>
        <v/>
      </c>
      <c r="V340" s="121" t="str">
        <f>IF($D340="","",IFERROR(VLOOKUP($B340,Kraftvärmeprod!$B$1:$BX$549,MATCH(V$2,Kraftvärmeprod!$B$1:$VX$1,0),FALSE)/1,0)-IFERROR(VLOOKUP($B340,'Slutlig allokering kvv'!$B$2:$BX$549,MATCH(V$2,'Slutlig allokering kvv'!$B$1:$BX$1,0),FALSE)/1,0))</f>
        <v/>
      </c>
      <c r="W340" s="121" t="str">
        <f>IF($D340="","",IFERROR(VLOOKUP($B340,Kraftvärmeprod!$B$1:$BX$549,MATCH(W$2,Kraftvärmeprod!$B$1:$VX$1,0),FALSE)/1,0)-IFERROR(VLOOKUP($B340,'Slutlig allokering kvv'!$B$2:$BX$549,MATCH(W$2,'Slutlig allokering kvv'!$B$1:$BX$1,0),FALSE)/1,0))</f>
        <v/>
      </c>
      <c r="X340" s="121" t="str">
        <f>IF($D340="","",IFERROR(VLOOKUP($B340,Kraftvärmeprod!$B$1:$BX$549,MATCH(X$2,Kraftvärmeprod!$B$1:$VX$1,0),FALSE)/1,0)-IFERROR(VLOOKUP($B340,'Slutlig allokering kvv'!$B$2:$BX$549,MATCH(X$2,'Slutlig allokering kvv'!$B$1:$BX$1,0),FALSE)/1,0))</f>
        <v/>
      </c>
      <c r="Y340" s="121" t="str">
        <f>IF($D340="","",IFERROR(VLOOKUP($B340,Kraftvärmeprod!$B$1:$BX$549,MATCH(Y$2,Kraftvärmeprod!$B$1:$VX$1,0),FALSE)/1,0)-IFERROR(VLOOKUP($B340,'Slutlig allokering kvv'!$B$2:$BX$549,MATCH(Y$2,'Slutlig allokering kvv'!$B$1:$BX$1,0),FALSE)/1,0))</f>
        <v/>
      </c>
      <c r="Z340" s="121" t="str">
        <f>IF($D340="","",IFERROR(VLOOKUP($B340,Kraftvärmeprod!$B$1:$BX$549,MATCH(Z$2,Kraftvärmeprod!$B$1:$VX$1,0),FALSE)/1,0)-IFERROR(VLOOKUP($B340,'Slutlig allokering kvv'!$B$2:$BX$549,MATCH(Z$2,'Slutlig allokering kvv'!$B$1:$BX$1,0),FALSE)/1,0))</f>
        <v/>
      </c>
      <c r="AA340" s="121" t="str">
        <f>IF($D340="","",IFERROR(VLOOKUP($B340,Kraftvärmeprod!$B$1:$BX$549,MATCH(AA$2,Kraftvärmeprod!$B$1:$VX$1,0),FALSE)/1,0)-IFERROR(VLOOKUP($B340,'Slutlig allokering kvv'!$B$2:$BX$549,MATCH(AA$2,'Slutlig allokering kvv'!$B$1:$BX$1,0),FALSE)/1,0))</f>
        <v/>
      </c>
      <c r="AB340" s="121" t="str">
        <f>IF($D340="","",IFERROR(VLOOKUP($B340,Kraftvärmeprod!$B$1:$BX$549,MATCH(AB$2,Kraftvärmeprod!$B$1:$VX$1,0),FALSE)/1,0)-IFERROR(VLOOKUP($B340,'Slutlig allokering kvv'!$B$2:$BX$549,MATCH(AB$2,'Slutlig allokering kvv'!$B$1:$BX$1,0),FALSE)/1,0))</f>
        <v/>
      </c>
      <c r="AC340" s="121" t="str">
        <f>IF($D340="","",IFERROR(VLOOKUP($B340,Kraftvärmeprod!$B$1:$BX$549,MATCH(AC$2,Kraftvärmeprod!$B$1:$VX$1,0),FALSE)/1,0)-IFERROR(VLOOKUP($B340,'Slutlig allokering kvv'!$B$2:$BX$549,MATCH(AC$2,'Slutlig allokering kvv'!$B$1:$BX$1,0),FALSE)/1,0))</f>
        <v/>
      </c>
      <c r="AD340" s="121" t="str">
        <f>IF($D340="","",IFERROR(VLOOKUP($B340,Kraftvärmeprod!$B$1:$BX$549,MATCH(AD$2,Kraftvärmeprod!$B$1:$VX$1,0),FALSE)/1,0)-IFERROR(VLOOKUP($B340,'Slutlig allokering kvv'!$B$2:$BX$549,MATCH(AD$2,'Slutlig allokering kvv'!$B$1:$BX$1,0),FALSE)/1,0))</f>
        <v/>
      </c>
      <c r="AE340" s="121" t="str">
        <f>IF($D340="","",IFERROR(VLOOKUP($B340,Miljö!$B$1:$E$550,MATCH("Hjälpel kraftvärme (GWh)",Miljö!$B$1:$E$1,0),FALSE)/1,0)-IFERROR(VLOOKUP($B340,'Slutlig allokering kvv'!$B$2:$BX$549,MATCH(AE$2,'Slutlig allokering kvv'!$B$1:$BX$1,0),FALSE)/1,0))</f>
        <v/>
      </c>
      <c r="AI340" s="121">
        <f t="shared" si="20"/>
        <v>0</v>
      </c>
      <c r="AK340" s="121">
        <f>IFERROR(VLOOKUP($B340,'Slutlig allokering kvv'!$B$2:$AX$549,MATCH("Summa slutlig allokerad tillförd energi (utan hjälpel och rökgaskondensering):",'Slutlig allokering kvv'!$B$1:$AX$1,0),FALSE)/1,"")</f>
        <v>0</v>
      </c>
      <c r="AM340" s="172" t="str">
        <f>IFERROR(1-VLOOKUP($B340,'Slutlig allokering kvv'!$B$2:$AX$549,MATCH("Andel av bränsle i kvv som allokerats till värme, exklusive rökgaskondensering och hjälpel",'Slutlig allokering kvv'!$B$1:$AX$1,0),FALSE),"")</f>
        <v/>
      </c>
      <c r="AO340" s="172" t="str">
        <f t="shared" si="21"/>
        <v/>
      </c>
      <c r="AP340" s="173" t="str">
        <f t="shared" si="22"/>
        <v/>
      </c>
      <c r="AR340" s="172" t="str">
        <f t="shared" si="23"/>
        <v/>
      </c>
    </row>
    <row r="341" spans="1:44" x14ac:dyDescent="0.25">
      <c r="A341" s="171" t="str">
        <f>'Miljövärden för publ företag'!B343</f>
        <v>Växjö Energi AB</v>
      </c>
      <c r="B341" s="171" t="str">
        <f>'Miljövärden för publ företag'!C343</f>
        <v>Braås</v>
      </c>
      <c r="C341" s="121" t="str">
        <f>IFERROR(VLOOKUP($B341,Kraftvärmeprod!$B$1:$AH$478,MATCH(C$2,Kraftvärmeprod!$B$1:$AG$1,0),FALSE)/1,"")</f>
        <v/>
      </c>
      <c r="D341" s="121" t="str">
        <f>IFERROR(VLOOKUP($B341,Kraftvärmeprod!$B$1:$AH$478,MATCH(D$2,Kraftvärmeprod!$B$1:$AG$1,0),FALSE)/1,"")</f>
        <v/>
      </c>
      <c r="F341" s="121" t="str">
        <f>IF($D341="","",IFERROR(VLOOKUP($B341,Kraftvärmeprod!$B$1:$BX$549,MATCH(F$2,Kraftvärmeprod!$B$1:$VX$1,0),FALSE)/1,0)-IFERROR(VLOOKUP($B341,'Slutlig allokering kvv'!$B$2:$BX$549,MATCH(F$2,'Slutlig allokering kvv'!$B$1:$BX$1,0),FALSE)/1,0))</f>
        <v/>
      </c>
      <c r="G341" s="121" t="str">
        <f>IF($D341="","",IFERROR(VLOOKUP($B341,Kraftvärmeprod!$B$1:$BX$549,MATCH(G$2,Kraftvärmeprod!$B$1:$VX$1,0),FALSE)/1,0)-IFERROR(VLOOKUP($B341,'Slutlig allokering kvv'!$B$2:$BX$549,MATCH(G$2,'Slutlig allokering kvv'!$B$1:$BX$1,0),FALSE)/1,0))</f>
        <v/>
      </c>
      <c r="H341" s="121" t="str">
        <f>IF($D341="","",IFERROR(VLOOKUP($B341,Kraftvärmeprod!$B$1:$BX$549,MATCH(H$2,Kraftvärmeprod!$B$1:$VX$1,0),FALSE)/1,0)-IFERROR(VLOOKUP($B341,'Slutlig allokering kvv'!$B$2:$BX$549,MATCH(H$2,'Slutlig allokering kvv'!$B$1:$BX$1,0),FALSE)/1,0))</f>
        <v/>
      </c>
      <c r="I341" s="121" t="str">
        <f>IF($D341="","",IFERROR(VLOOKUP($B341,Kraftvärmeprod!$B$1:$BX$549,MATCH(I$2,Kraftvärmeprod!$B$1:$VX$1,0),FALSE)/1,0)-IFERROR(VLOOKUP($B341,'Slutlig allokering kvv'!$B$2:$BX$549,MATCH(I$2,'Slutlig allokering kvv'!$B$1:$BX$1,0),FALSE)/1,0))</f>
        <v/>
      </c>
      <c r="J341" s="121" t="str">
        <f>IF($D341="","",IFERROR(VLOOKUP($B341,Kraftvärmeprod!$B$1:$BX$549,MATCH(J$2,Kraftvärmeprod!$B$1:$VX$1,0),FALSE)/1,0)-IFERROR(VLOOKUP($B341,'Slutlig allokering kvv'!$B$2:$BX$549,MATCH(J$2,'Slutlig allokering kvv'!$B$1:$BX$1,0),FALSE)/1,0))</f>
        <v/>
      </c>
      <c r="K341" s="121" t="str">
        <f>IF($D341="","",IFERROR(VLOOKUP($B341,Kraftvärmeprod!$B$1:$BX$549,MATCH(K$2,Kraftvärmeprod!$B$1:$VX$1,0),FALSE)/1,0)-IFERROR(VLOOKUP($B341,'Slutlig allokering kvv'!$B$2:$BX$549,MATCH(K$2,'Slutlig allokering kvv'!$B$1:$BX$1,0),FALSE)/1,0))</f>
        <v/>
      </c>
      <c r="L341" s="121" t="str">
        <f>IF($D341="","",IFERROR(VLOOKUP($B341,Kraftvärmeprod!$B$1:$BX$549,MATCH(L$2,Kraftvärmeprod!$B$1:$VX$1,0),FALSE)/1,0)-IFERROR(VLOOKUP($B341,'Slutlig allokering kvv'!$B$2:$BX$549,MATCH(L$2,'Slutlig allokering kvv'!$B$1:$BX$1,0),FALSE)/1,0))</f>
        <v/>
      </c>
      <c r="M341" s="121" t="str">
        <f>IF($D341="","",IFERROR(VLOOKUP($B341,Kraftvärmeprod!$B$1:$BX$549,MATCH(M$2,Kraftvärmeprod!$B$1:$VX$1,0),FALSE)/1,0)-IFERROR(VLOOKUP($B341,'Slutlig allokering kvv'!$B$2:$BX$549,MATCH(M$2,'Slutlig allokering kvv'!$B$1:$BX$1,0),FALSE)/1,0))</f>
        <v/>
      </c>
      <c r="N341" s="121" t="str">
        <f>IF($D341="","",IFERROR(VLOOKUP($B341,Kraftvärmeprod!$B$1:$BX$549,MATCH(N$2,Kraftvärmeprod!$B$1:$VX$1,0),FALSE)/1,0)-IFERROR(VLOOKUP($B341,'Slutlig allokering kvv'!$B$2:$BX$549,MATCH(N$2,'Slutlig allokering kvv'!$B$1:$BX$1,0),FALSE)/1,0))</f>
        <v/>
      </c>
      <c r="O341" s="121" t="str">
        <f>IF($D341="","",IFERROR(VLOOKUP($B341,Kraftvärmeprod!$B$1:$BX$549,MATCH(O$2,Kraftvärmeprod!$B$1:$VX$1,0),FALSE)/1,0)-IFERROR(VLOOKUP($B341,'Slutlig allokering kvv'!$B$2:$BX$549,MATCH(O$2,'Slutlig allokering kvv'!$B$1:$BX$1,0),FALSE)/1,0))</f>
        <v/>
      </c>
      <c r="P341" s="121" t="str">
        <f>IF($D341="","",IFERROR(VLOOKUP($B341,Kraftvärmeprod!$B$1:$BX$549,MATCH(P$2,Kraftvärmeprod!$B$1:$VX$1,0),FALSE)/1,0)-IFERROR(VLOOKUP($B341,'Slutlig allokering kvv'!$B$2:$BX$549,MATCH(P$2,'Slutlig allokering kvv'!$B$1:$BX$1,0),FALSE)/1,0))</f>
        <v/>
      </c>
      <c r="Q341" s="121" t="str">
        <f>IF($D341="","",IFERROR(VLOOKUP($B341,Kraftvärmeprod!$B$1:$BX$549,MATCH(Q$2,Kraftvärmeprod!$B$1:$VX$1,0),FALSE)/1,0)-IFERROR(VLOOKUP($B341,'Slutlig allokering kvv'!$B$2:$BX$549,MATCH(Q$2,'Slutlig allokering kvv'!$B$1:$BX$1,0),FALSE)/1,0))</f>
        <v/>
      </c>
      <c r="R341" s="121" t="str">
        <f>IF($D341="","",IFERROR(VLOOKUP($B341,Kraftvärmeprod!$B$1:$BX$549,MATCH(R$2,Kraftvärmeprod!$B$1:$VX$1,0),FALSE)/1,0)-IFERROR(VLOOKUP($B341,'Slutlig allokering kvv'!$B$2:$BX$549,MATCH(R$2,'Slutlig allokering kvv'!$B$1:$BX$1,0),FALSE)/1,0))</f>
        <v/>
      </c>
      <c r="S341" s="121" t="str">
        <f>IF($D341="","",IFERROR(VLOOKUP($B341,Kraftvärmeprod!$B$1:$BX$549,MATCH(S$2,Kraftvärmeprod!$B$1:$VX$1,0),FALSE)/1,0)-IFERROR(VLOOKUP($B341,'Slutlig allokering kvv'!$B$2:$BX$549,MATCH(S$2,'Slutlig allokering kvv'!$B$1:$BX$1,0),FALSE)/1,0))</f>
        <v/>
      </c>
      <c r="T341" s="121" t="str">
        <f>IF($D341="","",IFERROR(VLOOKUP($B341,Kraftvärmeprod!$B$1:$BX$549,MATCH(T$2,Kraftvärmeprod!$B$1:$VX$1,0),FALSE)/1,0)-IFERROR(VLOOKUP($B341,'Slutlig allokering kvv'!$B$2:$BX$549,MATCH(T$2,'Slutlig allokering kvv'!$B$1:$BX$1,0),FALSE)/1,0))</f>
        <v/>
      </c>
      <c r="U341" s="121" t="str">
        <f>IF($D341="","",IFERROR(VLOOKUP($B341,Kraftvärmeprod!$B$1:$BX$549,MATCH(U$2,Kraftvärmeprod!$B$1:$VX$1,0),FALSE)/1,0)-IFERROR(VLOOKUP($B341,'Slutlig allokering kvv'!$B$2:$BX$549,MATCH(U$2,'Slutlig allokering kvv'!$B$1:$BX$1,0),FALSE)/1,0))</f>
        <v/>
      </c>
      <c r="V341" s="121" t="str">
        <f>IF($D341="","",IFERROR(VLOOKUP($B341,Kraftvärmeprod!$B$1:$BX$549,MATCH(V$2,Kraftvärmeprod!$B$1:$VX$1,0),FALSE)/1,0)-IFERROR(VLOOKUP($B341,'Slutlig allokering kvv'!$B$2:$BX$549,MATCH(V$2,'Slutlig allokering kvv'!$B$1:$BX$1,0),FALSE)/1,0))</f>
        <v/>
      </c>
      <c r="W341" s="121" t="str">
        <f>IF($D341="","",IFERROR(VLOOKUP($B341,Kraftvärmeprod!$B$1:$BX$549,MATCH(W$2,Kraftvärmeprod!$B$1:$VX$1,0),FALSE)/1,0)-IFERROR(VLOOKUP($B341,'Slutlig allokering kvv'!$B$2:$BX$549,MATCH(W$2,'Slutlig allokering kvv'!$B$1:$BX$1,0),FALSE)/1,0))</f>
        <v/>
      </c>
      <c r="X341" s="121" t="str">
        <f>IF($D341="","",IFERROR(VLOOKUP($B341,Kraftvärmeprod!$B$1:$BX$549,MATCH(X$2,Kraftvärmeprod!$B$1:$VX$1,0),FALSE)/1,0)-IFERROR(VLOOKUP($B341,'Slutlig allokering kvv'!$B$2:$BX$549,MATCH(X$2,'Slutlig allokering kvv'!$B$1:$BX$1,0),FALSE)/1,0))</f>
        <v/>
      </c>
      <c r="Y341" s="121" t="str">
        <f>IF($D341="","",IFERROR(VLOOKUP($B341,Kraftvärmeprod!$B$1:$BX$549,MATCH(Y$2,Kraftvärmeprod!$B$1:$VX$1,0),FALSE)/1,0)-IFERROR(VLOOKUP($B341,'Slutlig allokering kvv'!$B$2:$BX$549,MATCH(Y$2,'Slutlig allokering kvv'!$B$1:$BX$1,0),FALSE)/1,0))</f>
        <v/>
      </c>
      <c r="Z341" s="121" t="str">
        <f>IF($D341="","",IFERROR(VLOOKUP($B341,Kraftvärmeprod!$B$1:$BX$549,MATCH(Z$2,Kraftvärmeprod!$B$1:$VX$1,0),FALSE)/1,0)-IFERROR(VLOOKUP($B341,'Slutlig allokering kvv'!$B$2:$BX$549,MATCH(Z$2,'Slutlig allokering kvv'!$B$1:$BX$1,0),FALSE)/1,0))</f>
        <v/>
      </c>
      <c r="AA341" s="121" t="str">
        <f>IF($D341="","",IFERROR(VLOOKUP($B341,Kraftvärmeprod!$B$1:$BX$549,MATCH(AA$2,Kraftvärmeprod!$B$1:$VX$1,0),FALSE)/1,0)-IFERROR(VLOOKUP($B341,'Slutlig allokering kvv'!$B$2:$BX$549,MATCH(AA$2,'Slutlig allokering kvv'!$B$1:$BX$1,0),FALSE)/1,0))</f>
        <v/>
      </c>
      <c r="AB341" s="121" t="str">
        <f>IF($D341="","",IFERROR(VLOOKUP($B341,Kraftvärmeprod!$B$1:$BX$549,MATCH(AB$2,Kraftvärmeprod!$B$1:$VX$1,0),FALSE)/1,0)-IFERROR(VLOOKUP($B341,'Slutlig allokering kvv'!$B$2:$BX$549,MATCH(AB$2,'Slutlig allokering kvv'!$B$1:$BX$1,0),FALSE)/1,0))</f>
        <v/>
      </c>
      <c r="AC341" s="121" t="str">
        <f>IF($D341="","",IFERROR(VLOOKUP($B341,Kraftvärmeprod!$B$1:$BX$549,MATCH(AC$2,Kraftvärmeprod!$B$1:$VX$1,0),FALSE)/1,0)-IFERROR(VLOOKUP($B341,'Slutlig allokering kvv'!$B$2:$BX$549,MATCH(AC$2,'Slutlig allokering kvv'!$B$1:$BX$1,0),FALSE)/1,0))</f>
        <v/>
      </c>
      <c r="AD341" s="121" t="str">
        <f>IF($D341="","",IFERROR(VLOOKUP($B341,Kraftvärmeprod!$B$1:$BX$549,MATCH(AD$2,Kraftvärmeprod!$B$1:$VX$1,0),FALSE)/1,0)-IFERROR(VLOOKUP($B341,'Slutlig allokering kvv'!$B$2:$BX$549,MATCH(AD$2,'Slutlig allokering kvv'!$B$1:$BX$1,0),FALSE)/1,0))</f>
        <v/>
      </c>
      <c r="AE341" s="121" t="str">
        <f>IF($D341="","",IFERROR(VLOOKUP($B341,Miljö!$B$1:$E$550,MATCH("Hjälpel kraftvärme (GWh)",Miljö!$B$1:$E$1,0),FALSE)/1,0)-IFERROR(VLOOKUP($B341,'Slutlig allokering kvv'!$B$2:$BX$549,MATCH(AE$2,'Slutlig allokering kvv'!$B$1:$BX$1,0),FALSE)/1,0))</f>
        <v/>
      </c>
      <c r="AI341" s="121">
        <f t="shared" si="20"/>
        <v>0</v>
      </c>
      <c r="AK341" s="121">
        <f>IFERROR(VLOOKUP($B341,'Slutlig allokering kvv'!$B$2:$AX$549,MATCH("Summa slutlig allokerad tillförd energi (utan hjälpel och rökgaskondensering):",'Slutlig allokering kvv'!$B$1:$AX$1,0),FALSE)/1,"")</f>
        <v>0</v>
      </c>
      <c r="AM341" s="172" t="str">
        <f>IFERROR(1-VLOOKUP($B341,'Slutlig allokering kvv'!$B$2:$AX$549,MATCH("Andel av bränsle i kvv som allokerats till värme, exklusive rökgaskondensering och hjälpel",'Slutlig allokering kvv'!$B$1:$AX$1,0),FALSE),"")</f>
        <v/>
      </c>
      <c r="AO341" s="172" t="str">
        <f t="shared" si="21"/>
        <v/>
      </c>
      <c r="AP341" s="173" t="str">
        <f t="shared" si="22"/>
        <v/>
      </c>
      <c r="AR341" s="172" t="str">
        <f t="shared" si="23"/>
        <v/>
      </c>
    </row>
    <row r="342" spans="1:44" x14ac:dyDescent="0.25">
      <c r="A342" s="171" t="str">
        <f>'Miljövärden för publ företag'!B344</f>
        <v>Växjö Energi AB</v>
      </c>
      <c r="B342" s="171" t="str">
        <f>'Miljövärden för publ företag'!C344</f>
        <v>Ingelstad</v>
      </c>
      <c r="C342" s="121" t="str">
        <f>IFERROR(VLOOKUP($B342,Kraftvärmeprod!$B$1:$AH$478,MATCH(C$2,Kraftvärmeprod!$B$1:$AG$1,0),FALSE)/1,"")</f>
        <v/>
      </c>
      <c r="D342" s="121" t="str">
        <f>IFERROR(VLOOKUP($B342,Kraftvärmeprod!$B$1:$AH$478,MATCH(D$2,Kraftvärmeprod!$B$1:$AG$1,0),FALSE)/1,"")</f>
        <v/>
      </c>
      <c r="F342" s="121" t="str">
        <f>IF($D342="","",IFERROR(VLOOKUP($B342,Kraftvärmeprod!$B$1:$BX$549,MATCH(F$2,Kraftvärmeprod!$B$1:$VX$1,0),FALSE)/1,0)-IFERROR(VLOOKUP($B342,'Slutlig allokering kvv'!$B$2:$BX$549,MATCH(F$2,'Slutlig allokering kvv'!$B$1:$BX$1,0),FALSE)/1,0))</f>
        <v/>
      </c>
      <c r="G342" s="121" t="str">
        <f>IF($D342="","",IFERROR(VLOOKUP($B342,Kraftvärmeprod!$B$1:$BX$549,MATCH(G$2,Kraftvärmeprod!$B$1:$VX$1,0),FALSE)/1,0)-IFERROR(VLOOKUP($B342,'Slutlig allokering kvv'!$B$2:$BX$549,MATCH(G$2,'Slutlig allokering kvv'!$B$1:$BX$1,0),FALSE)/1,0))</f>
        <v/>
      </c>
      <c r="H342" s="121" t="str">
        <f>IF($D342="","",IFERROR(VLOOKUP($B342,Kraftvärmeprod!$B$1:$BX$549,MATCH(H$2,Kraftvärmeprod!$B$1:$VX$1,0),FALSE)/1,0)-IFERROR(VLOOKUP($B342,'Slutlig allokering kvv'!$B$2:$BX$549,MATCH(H$2,'Slutlig allokering kvv'!$B$1:$BX$1,0),FALSE)/1,0))</f>
        <v/>
      </c>
      <c r="I342" s="121" t="str">
        <f>IF($D342="","",IFERROR(VLOOKUP($B342,Kraftvärmeprod!$B$1:$BX$549,MATCH(I$2,Kraftvärmeprod!$B$1:$VX$1,0),FALSE)/1,0)-IFERROR(VLOOKUP($B342,'Slutlig allokering kvv'!$B$2:$BX$549,MATCH(I$2,'Slutlig allokering kvv'!$B$1:$BX$1,0),FALSE)/1,0))</f>
        <v/>
      </c>
      <c r="J342" s="121" t="str">
        <f>IF($D342="","",IFERROR(VLOOKUP($B342,Kraftvärmeprod!$B$1:$BX$549,MATCH(J$2,Kraftvärmeprod!$B$1:$VX$1,0),FALSE)/1,0)-IFERROR(VLOOKUP($B342,'Slutlig allokering kvv'!$B$2:$BX$549,MATCH(J$2,'Slutlig allokering kvv'!$B$1:$BX$1,0),FALSE)/1,0))</f>
        <v/>
      </c>
      <c r="K342" s="121" t="str">
        <f>IF($D342="","",IFERROR(VLOOKUP($B342,Kraftvärmeprod!$B$1:$BX$549,MATCH(K$2,Kraftvärmeprod!$B$1:$VX$1,0),FALSE)/1,0)-IFERROR(VLOOKUP($B342,'Slutlig allokering kvv'!$B$2:$BX$549,MATCH(K$2,'Slutlig allokering kvv'!$B$1:$BX$1,0),FALSE)/1,0))</f>
        <v/>
      </c>
      <c r="L342" s="121" t="str">
        <f>IF($D342="","",IFERROR(VLOOKUP($B342,Kraftvärmeprod!$B$1:$BX$549,MATCH(L$2,Kraftvärmeprod!$B$1:$VX$1,0),FALSE)/1,0)-IFERROR(VLOOKUP($B342,'Slutlig allokering kvv'!$B$2:$BX$549,MATCH(L$2,'Slutlig allokering kvv'!$B$1:$BX$1,0),FALSE)/1,0))</f>
        <v/>
      </c>
      <c r="M342" s="121" t="str">
        <f>IF($D342="","",IFERROR(VLOOKUP($B342,Kraftvärmeprod!$B$1:$BX$549,MATCH(M$2,Kraftvärmeprod!$B$1:$VX$1,0),FALSE)/1,0)-IFERROR(VLOOKUP($B342,'Slutlig allokering kvv'!$B$2:$BX$549,MATCH(M$2,'Slutlig allokering kvv'!$B$1:$BX$1,0),FALSE)/1,0))</f>
        <v/>
      </c>
      <c r="N342" s="121" t="str">
        <f>IF($D342="","",IFERROR(VLOOKUP($B342,Kraftvärmeprod!$B$1:$BX$549,MATCH(N$2,Kraftvärmeprod!$B$1:$VX$1,0),FALSE)/1,0)-IFERROR(VLOOKUP($B342,'Slutlig allokering kvv'!$B$2:$BX$549,MATCH(N$2,'Slutlig allokering kvv'!$B$1:$BX$1,0),FALSE)/1,0))</f>
        <v/>
      </c>
      <c r="O342" s="121" t="str">
        <f>IF($D342="","",IFERROR(VLOOKUP($B342,Kraftvärmeprod!$B$1:$BX$549,MATCH(O$2,Kraftvärmeprod!$B$1:$VX$1,0),FALSE)/1,0)-IFERROR(VLOOKUP($B342,'Slutlig allokering kvv'!$B$2:$BX$549,MATCH(O$2,'Slutlig allokering kvv'!$B$1:$BX$1,0),FALSE)/1,0))</f>
        <v/>
      </c>
      <c r="P342" s="121" t="str">
        <f>IF($D342="","",IFERROR(VLOOKUP($B342,Kraftvärmeprod!$B$1:$BX$549,MATCH(P$2,Kraftvärmeprod!$B$1:$VX$1,0),FALSE)/1,0)-IFERROR(VLOOKUP($B342,'Slutlig allokering kvv'!$B$2:$BX$549,MATCH(P$2,'Slutlig allokering kvv'!$B$1:$BX$1,0),FALSE)/1,0))</f>
        <v/>
      </c>
      <c r="Q342" s="121" t="str">
        <f>IF($D342="","",IFERROR(VLOOKUP($B342,Kraftvärmeprod!$B$1:$BX$549,MATCH(Q$2,Kraftvärmeprod!$B$1:$VX$1,0),FALSE)/1,0)-IFERROR(VLOOKUP($B342,'Slutlig allokering kvv'!$B$2:$BX$549,MATCH(Q$2,'Slutlig allokering kvv'!$B$1:$BX$1,0),FALSE)/1,0))</f>
        <v/>
      </c>
      <c r="R342" s="121" t="str">
        <f>IF($D342="","",IFERROR(VLOOKUP($B342,Kraftvärmeprod!$B$1:$BX$549,MATCH(R$2,Kraftvärmeprod!$B$1:$VX$1,0),FALSE)/1,0)-IFERROR(VLOOKUP($B342,'Slutlig allokering kvv'!$B$2:$BX$549,MATCH(R$2,'Slutlig allokering kvv'!$B$1:$BX$1,0),FALSE)/1,0))</f>
        <v/>
      </c>
      <c r="S342" s="121" t="str">
        <f>IF($D342="","",IFERROR(VLOOKUP($B342,Kraftvärmeprod!$B$1:$BX$549,MATCH(S$2,Kraftvärmeprod!$B$1:$VX$1,0),FALSE)/1,0)-IFERROR(VLOOKUP($B342,'Slutlig allokering kvv'!$B$2:$BX$549,MATCH(S$2,'Slutlig allokering kvv'!$B$1:$BX$1,0),FALSE)/1,0))</f>
        <v/>
      </c>
      <c r="T342" s="121" t="str">
        <f>IF($D342="","",IFERROR(VLOOKUP($B342,Kraftvärmeprod!$B$1:$BX$549,MATCH(T$2,Kraftvärmeprod!$B$1:$VX$1,0),FALSE)/1,0)-IFERROR(VLOOKUP($B342,'Slutlig allokering kvv'!$B$2:$BX$549,MATCH(T$2,'Slutlig allokering kvv'!$B$1:$BX$1,0),FALSE)/1,0))</f>
        <v/>
      </c>
      <c r="U342" s="121" t="str">
        <f>IF($D342="","",IFERROR(VLOOKUP($B342,Kraftvärmeprod!$B$1:$BX$549,MATCH(U$2,Kraftvärmeprod!$B$1:$VX$1,0),FALSE)/1,0)-IFERROR(VLOOKUP($B342,'Slutlig allokering kvv'!$B$2:$BX$549,MATCH(U$2,'Slutlig allokering kvv'!$B$1:$BX$1,0),FALSE)/1,0))</f>
        <v/>
      </c>
      <c r="V342" s="121" t="str">
        <f>IF($D342="","",IFERROR(VLOOKUP($B342,Kraftvärmeprod!$B$1:$BX$549,MATCH(V$2,Kraftvärmeprod!$B$1:$VX$1,0),FALSE)/1,0)-IFERROR(VLOOKUP($B342,'Slutlig allokering kvv'!$B$2:$BX$549,MATCH(V$2,'Slutlig allokering kvv'!$B$1:$BX$1,0),FALSE)/1,0))</f>
        <v/>
      </c>
      <c r="W342" s="121" t="str">
        <f>IF($D342="","",IFERROR(VLOOKUP($B342,Kraftvärmeprod!$B$1:$BX$549,MATCH(W$2,Kraftvärmeprod!$B$1:$VX$1,0),FALSE)/1,0)-IFERROR(VLOOKUP($B342,'Slutlig allokering kvv'!$B$2:$BX$549,MATCH(W$2,'Slutlig allokering kvv'!$B$1:$BX$1,0),FALSE)/1,0))</f>
        <v/>
      </c>
      <c r="X342" s="121" t="str">
        <f>IF($D342="","",IFERROR(VLOOKUP($B342,Kraftvärmeprod!$B$1:$BX$549,MATCH(X$2,Kraftvärmeprod!$B$1:$VX$1,0),FALSE)/1,0)-IFERROR(VLOOKUP($B342,'Slutlig allokering kvv'!$B$2:$BX$549,MATCH(X$2,'Slutlig allokering kvv'!$B$1:$BX$1,0),FALSE)/1,0))</f>
        <v/>
      </c>
      <c r="Y342" s="121" t="str">
        <f>IF($D342="","",IFERROR(VLOOKUP($B342,Kraftvärmeprod!$B$1:$BX$549,MATCH(Y$2,Kraftvärmeprod!$B$1:$VX$1,0),FALSE)/1,0)-IFERROR(VLOOKUP($B342,'Slutlig allokering kvv'!$B$2:$BX$549,MATCH(Y$2,'Slutlig allokering kvv'!$B$1:$BX$1,0),FALSE)/1,0))</f>
        <v/>
      </c>
      <c r="Z342" s="121" t="str">
        <f>IF($D342="","",IFERROR(VLOOKUP($B342,Kraftvärmeprod!$B$1:$BX$549,MATCH(Z$2,Kraftvärmeprod!$B$1:$VX$1,0),FALSE)/1,0)-IFERROR(VLOOKUP($B342,'Slutlig allokering kvv'!$B$2:$BX$549,MATCH(Z$2,'Slutlig allokering kvv'!$B$1:$BX$1,0),FALSE)/1,0))</f>
        <v/>
      </c>
      <c r="AA342" s="121" t="str">
        <f>IF($D342="","",IFERROR(VLOOKUP($B342,Kraftvärmeprod!$B$1:$BX$549,MATCH(AA$2,Kraftvärmeprod!$B$1:$VX$1,0),FALSE)/1,0)-IFERROR(VLOOKUP($B342,'Slutlig allokering kvv'!$B$2:$BX$549,MATCH(AA$2,'Slutlig allokering kvv'!$B$1:$BX$1,0),FALSE)/1,0))</f>
        <v/>
      </c>
      <c r="AB342" s="121" t="str">
        <f>IF($D342="","",IFERROR(VLOOKUP($B342,Kraftvärmeprod!$B$1:$BX$549,MATCH(AB$2,Kraftvärmeprod!$B$1:$VX$1,0),FALSE)/1,0)-IFERROR(VLOOKUP($B342,'Slutlig allokering kvv'!$B$2:$BX$549,MATCH(AB$2,'Slutlig allokering kvv'!$B$1:$BX$1,0),FALSE)/1,0))</f>
        <v/>
      </c>
      <c r="AC342" s="121" t="str">
        <f>IF($D342="","",IFERROR(VLOOKUP($B342,Kraftvärmeprod!$B$1:$BX$549,MATCH(AC$2,Kraftvärmeprod!$B$1:$VX$1,0),FALSE)/1,0)-IFERROR(VLOOKUP($B342,'Slutlig allokering kvv'!$B$2:$BX$549,MATCH(AC$2,'Slutlig allokering kvv'!$B$1:$BX$1,0),FALSE)/1,0))</f>
        <v/>
      </c>
      <c r="AD342" s="121" t="str">
        <f>IF($D342="","",IFERROR(VLOOKUP($B342,Kraftvärmeprod!$B$1:$BX$549,MATCH(AD$2,Kraftvärmeprod!$B$1:$VX$1,0),FALSE)/1,0)-IFERROR(VLOOKUP($B342,'Slutlig allokering kvv'!$B$2:$BX$549,MATCH(AD$2,'Slutlig allokering kvv'!$B$1:$BX$1,0),FALSE)/1,0))</f>
        <v/>
      </c>
      <c r="AE342" s="121" t="str">
        <f>IF($D342="","",IFERROR(VLOOKUP($B342,Miljö!$B$1:$E$550,MATCH("Hjälpel kraftvärme (GWh)",Miljö!$B$1:$E$1,0),FALSE)/1,0)-IFERROR(VLOOKUP($B342,'Slutlig allokering kvv'!$B$2:$BX$549,MATCH(AE$2,'Slutlig allokering kvv'!$B$1:$BX$1,0),FALSE)/1,0))</f>
        <v/>
      </c>
      <c r="AI342" s="121">
        <f t="shared" si="20"/>
        <v>0</v>
      </c>
      <c r="AK342" s="121">
        <f>IFERROR(VLOOKUP($B342,'Slutlig allokering kvv'!$B$2:$AX$549,MATCH("Summa slutlig allokerad tillförd energi (utan hjälpel och rökgaskondensering):",'Slutlig allokering kvv'!$B$1:$AX$1,0),FALSE)/1,"")</f>
        <v>0</v>
      </c>
      <c r="AM342" s="172" t="str">
        <f>IFERROR(1-VLOOKUP($B342,'Slutlig allokering kvv'!$B$2:$AX$549,MATCH("Andel av bränsle i kvv som allokerats till värme, exklusive rökgaskondensering och hjälpel",'Slutlig allokering kvv'!$B$1:$AX$1,0),FALSE),"")</f>
        <v/>
      </c>
      <c r="AO342" s="172" t="str">
        <f t="shared" si="21"/>
        <v/>
      </c>
      <c r="AP342" s="173" t="str">
        <f t="shared" si="22"/>
        <v/>
      </c>
      <c r="AR342" s="172" t="str">
        <f t="shared" si="23"/>
        <v/>
      </c>
    </row>
    <row r="343" spans="1:44" x14ac:dyDescent="0.25">
      <c r="A343" s="171" t="str">
        <f>'Miljövärden för publ företag'!B345</f>
        <v>Växjö Energi AB</v>
      </c>
      <c r="B343" s="171" t="str">
        <f>'Miljövärden för publ företag'!C345</f>
        <v>Rottne</v>
      </c>
      <c r="C343" s="121" t="str">
        <f>IFERROR(VLOOKUP($B343,Kraftvärmeprod!$B$1:$AH$478,MATCH(C$2,Kraftvärmeprod!$B$1:$AG$1,0),FALSE)/1,"")</f>
        <v/>
      </c>
      <c r="D343" s="121" t="str">
        <f>IFERROR(VLOOKUP($B343,Kraftvärmeprod!$B$1:$AH$478,MATCH(D$2,Kraftvärmeprod!$B$1:$AG$1,0),FALSE)/1,"")</f>
        <v/>
      </c>
      <c r="F343" s="121" t="str">
        <f>IF($D343="","",IFERROR(VLOOKUP($B343,Kraftvärmeprod!$B$1:$BX$549,MATCH(F$2,Kraftvärmeprod!$B$1:$VX$1,0),FALSE)/1,0)-IFERROR(VLOOKUP($B343,'Slutlig allokering kvv'!$B$2:$BX$549,MATCH(F$2,'Slutlig allokering kvv'!$B$1:$BX$1,0),FALSE)/1,0))</f>
        <v/>
      </c>
      <c r="G343" s="121" t="str">
        <f>IF($D343="","",IFERROR(VLOOKUP($B343,Kraftvärmeprod!$B$1:$BX$549,MATCH(G$2,Kraftvärmeprod!$B$1:$VX$1,0),FALSE)/1,0)-IFERROR(VLOOKUP($B343,'Slutlig allokering kvv'!$B$2:$BX$549,MATCH(G$2,'Slutlig allokering kvv'!$B$1:$BX$1,0),FALSE)/1,0))</f>
        <v/>
      </c>
      <c r="H343" s="121" t="str">
        <f>IF($D343="","",IFERROR(VLOOKUP($B343,Kraftvärmeprod!$B$1:$BX$549,MATCH(H$2,Kraftvärmeprod!$B$1:$VX$1,0),FALSE)/1,0)-IFERROR(VLOOKUP($B343,'Slutlig allokering kvv'!$B$2:$BX$549,MATCH(H$2,'Slutlig allokering kvv'!$B$1:$BX$1,0),FALSE)/1,0))</f>
        <v/>
      </c>
      <c r="I343" s="121" t="str">
        <f>IF($D343="","",IFERROR(VLOOKUP($B343,Kraftvärmeprod!$B$1:$BX$549,MATCH(I$2,Kraftvärmeprod!$B$1:$VX$1,0),FALSE)/1,0)-IFERROR(VLOOKUP($B343,'Slutlig allokering kvv'!$B$2:$BX$549,MATCH(I$2,'Slutlig allokering kvv'!$B$1:$BX$1,0),FALSE)/1,0))</f>
        <v/>
      </c>
      <c r="J343" s="121" t="str">
        <f>IF($D343="","",IFERROR(VLOOKUP($B343,Kraftvärmeprod!$B$1:$BX$549,MATCH(J$2,Kraftvärmeprod!$B$1:$VX$1,0),FALSE)/1,0)-IFERROR(VLOOKUP($B343,'Slutlig allokering kvv'!$B$2:$BX$549,MATCH(J$2,'Slutlig allokering kvv'!$B$1:$BX$1,0),FALSE)/1,0))</f>
        <v/>
      </c>
      <c r="K343" s="121" t="str">
        <f>IF($D343="","",IFERROR(VLOOKUP($B343,Kraftvärmeprod!$B$1:$BX$549,MATCH(K$2,Kraftvärmeprod!$B$1:$VX$1,0),FALSE)/1,0)-IFERROR(VLOOKUP($B343,'Slutlig allokering kvv'!$B$2:$BX$549,MATCH(K$2,'Slutlig allokering kvv'!$B$1:$BX$1,0),FALSE)/1,0))</f>
        <v/>
      </c>
      <c r="L343" s="121" t="str">
        <f>IF($D343="","",IFERROR(VLOOKUP($B343,Kraftvärmeprod!$B$1:$BX$549,MATCH(L$2,Kraftvärmeprod!$B$1:$VX$1,0),FALSE)/1,0)-IFERROR(VLOOKUP($B343,'Slutlig allokering kvv'!$B$2:$BX$549,MATCH(L$2,'Slutlig allokering kvv'!$B$1:$BX$1,0),FALSE)/1,0))</f>
        <v/>
      </c>
      <c r="M343" s="121" t="str">
        <f>IF($D343="","",IFERROR(VLOOKUP($B343,Kraftvärmeprod!$B$1:$BX$549,MATCH(M$2,Kraftvärmeprod!$B$1:$VX$1,0),FALSE)/1,0)-IFERROR(VLOOKUP($B343,'Slutlig allokering kvv'!$B$2:$BX$549,MATCH(M$2,'Slutlig allokering kvv'!$B$1:$BX$1,0),FALSE)/1,0))</f>
        <v/>
      </c>
      <c r="N343" s="121" t="str">
        <f>IF($D343="","",IFERROR(VLOOKUP($B343,Kraftvärmeprod!$B$1:$BX$549,MATCH(N$2,Kraftvärmeprod!$B$1:$VX$1,0),FALSE)/1,0)-IFERROR(VLOOKUP($B343,'Slutlig allokering kvv'!$B$2:$BX$549,MATCH(N$2,'Slutlig allokering kvv'!$B$1:$BX$1,0),FALSE)/1,0))</f>
        <v/>
      </c>
      <c r="O343" s="121" t="str">
        <f>IF($D343="","",IFERROR(VLOOKUP($B343,Kraftvärmeprod!$B$1:$BX$549,MATCH(O$2,Kraftvärmeprod!$B$1:$VX$1,0),FALSE)/1,0)-IFERROR(VLOOKUP($B343,'Slutlig allokering kvv'!$B$2:$BX$549,MATCH(O$2,'Slutlig allokering kvv'!$B$1:$BX$1,0),FALSE)/1,0))</f>
        <v/>
      </c>
      <c r="P343" s="121" t="str">
        <f>IF($D343="","",IFERROR(VLOOKUP($B343,Kraftvärmeprod!$B$1:$BX$549,MATCH(P$2,Kraftvärmeprod!$B$1:$VX$1,0),FALSE)/1,0)-IFERROR(VLOOKUP($B343,'Slutlig allokering kvv'!$B$2:$BX$549,MATCH(P$2,'Slutlig allokering kvv'!$B$1:$BX$1,0),FALSE)/1,0))</f>
        <v/>
      </c>
      <c r="Q343" s="121" t="str">
        <f>IF($D343="","",IFERROR(VLOOKUP($B343,Kraftvärmeprod!$B$1:$BX$549,MATCH(Q$2,Kraftvärmeprod!$B$1:$VX$1,0),FALSE)/1,0)-IFERROR(VLOOKUP($B343,'Slutlig allokering kvv'!$B$2:$BX$549,MATCH(Q$2,'Slutlig allokering kvv'!$B$1:$BX$1,0),FALSE)/1,0))</f>
        <v/>
      </c>
      <c r="R343" s="121" t="str">
        <f>IF($D343="","",IFERROR(VLOOKUP($B343,Kraftvärmeprod!$B$1:$BX$549,MATCH(R$2,Kraftvärmeprod!$B$1:$VX$1,0),FALSE)/1,0)-IFERROR(VLOOKUP($B343,'Slutlig allokering kvv'!$B$2:$BX$549,MATCH(R$2,'Slutlig allokering kvv'!$B$1:$BX$1,0),FALSE)/1,0))</f>
        <v/>
      </c>
      <c r="S343" s="121" t="str">
        <f>IF($D343="","",IFERROR(VLOOKUP($B343,Kraftvärmeprod!$B$1:$BX$549,MATCH(S$2,Kraftvärmeprod!$B$1:$VX$1,0),FALSE)/1,0)-IFERROR(VLOOKUP($B343,'Slutlig allokering kvv'!$B$2:$BX$549,MATCH(S$2,'Slutlig allokering kvv'!$B$1:$BX$1,0),FALSE)/1,0))</f>
        <v/>
      </c>
      <c r="T343" s="121" t="str">
        <f>IF($D343="","",IFERROR(VLOOKUP($B343,Kraftvärmeprod!$B$1:$BX$549,MATCH(T$2,Kraftvärmeprod!$B$1:$VX$1,0),FALSE)/1,0)-IFERROR(VLOOKUP($B343,'Slutlig allokering kvv'!$B$2:$BX$549,MATCH(T$2,'Slutlig allokering kvv'!$B$1:$BX$1,0),FALSE)/1,0))</f>
        <v/>
      </c>
      <c r="U343" s="121" t="str">
        <f>IF($D343="","",IFERROR(VLOOKUP($B343,Kraftvärmeprod!$B$1:$BX$549,MATCH(U$2,Kraftvärmeprod!$B$1:$VX$1,0),FALSE)/1,0)-IFERROR(VLOOKUP($B343,'Slutlig allokering kvv'!$B$2:$BX$549,MATCH(U$2,'Slutlig allokering kvv'!$B$1:$BX$1,0),FALSE)/1,0))</f>
        <v/>
      </c>
      <c r="V343" s="121" t="str">
        <f>IF($D343="","",IFERROR(VLOOKUP($B343,Kraftvärmeprod!$B$1:$BX$549,MATCH(V$2,Kraftvärmeprod!$B$1:$VX$1,0),FALSE)/1,0)-IFERROR(VLOOKUP($B343,'Slutlig allokering kvv'!$B$2:$BX$549,MATCH(V$2,'Slutlig allokering kvv'!$B$1:$BX$1,0),FALSE)/1,0))</f>
        <v/>
      </c>
      <c r="W343" s="121" t="str">
        <f>IF($D343="","",IFERROR(VLOOKUP($B343,Kraftvärmeprod!$B$1:$BX$549,MATCH(W$2,Kraftvärmeprod!$B$1:$VX$1,0),FALSE)/1,0)-IFERROR(VLOOKUP($B343,'Slutlig allokering kvv'!$B$2:$BX$549,MATCH(W$2,'Slutlig allokering kvv'!$B$1:$BX$1,0),FALSE)/1,0))</f>
        <v/>
      </c>
      <c r="X343" s="121" t="str">
        <f>IF($D343="","",IFERROR(VLOOKUP($B343,Kraftvärmeprod!$B$1:$BX$549,MATCH(X$2,Kraftvärmeprod!$B$1:$VX$1,0),FALSE)/1,0)-IFERROR(VLOOKUP($B343,'Slutlig allokering kvv'!$B$2:$BX$549,MATCH(X$2,'Slutlig allokering kvv'!$B$1:$BX$1,0),FALSE)/1,0))</f>
        <v/>
      </c>
      <c r="Y343" s="121" t="str">
        <f>IF($D343="","",IFERROR(VLOOKUP($B343,Kraftvärmeprod!$B$1:$BX$549,MATCH(Y$2,Kraftvärmeprod!$B$1:$VX$1,0),FALSE)/1,0)-IFERROR(VLOOKUP($B343,'Slutlig allokering kvv'!$B$2:$BX$549,MATCH(Y$2,'Slutlig allokering kvv'!$B$1:$BX$1,0),FALSE)/1,0))</f>
        <v/>
      </c>
      <c r="Z343" s="121" t="str">
        <f>IF($D343="","",IFERROR(VLOOKUP($B343,Kraftvärmeprod!$B$1:$BX$549,MATCH(Z$2,Kraftvärmeprod!$B$1:$VX$1,0),FALSE)/1,0)-IFERROR(VLOOKUP($B343,'Slutlig allokering kvv'!$B$2:$BX$549,MATCH(Z$2,'Slutlig allokering kvv'!$B$1:$BX$1,0),FALSE)/1,0))</f>
        <v/>
      </c>
      <c r="AA343" s="121" t="str">
        <f>IF($D343="","",IFERROR(VLOOKUP($B343,Kraftvärmeprod!$B$1:$BX$549,MATCH(AA$2,Kraftvärmeprod!$B$1:$VX$1,0),FALSE)/1,0)-IFERROR(VLOOKUP($B343,'Slutlig allokering kvv'!$B$2:$BX$549,MATCH(AA$2,'Slutlig allokering kvv'!$B$1:$BX$1,0),FALSE)/1,0))</f>
        <v/>
      </c>
      <c r="AB343" s="121" t="str">
        <f>IF($D343="","",IFERROR(VLOOKUP($B343,Kraftvärmeprod!$B$1:$BX$549,MATCH(AB$2,Kraftvärmeprod!$B$1:$VX$1,0),FALSE)/1,0)-IFERROR(VLOOKUP($B343,'Slutlig allokering kvv'!$B$2:$BX$549,MATCH(AB$2,'Slutlig allokering kvv'!$B$1:$BX$1,0),FALSE)/1,0))</f>
        <v/>
      </c>
      <c r="AC343" s="121" t="str">
        <f>IF($D343="","",IFERROR(VLOOKUP($B343,Kraftvärmeprod!$B$1:$BX$549,MATCH(AC$2,Kraftvärmeprod!$B$1:$VX$1,0),FALSE)/1,0)-IFERROR(VLOOKUP($B343,'Slutlig allokering kvv'!$B$2:$BX$549,MATCH(AC$2,'Slutlig allokering kvv'!$B$1:$BX$1,0),FALSE)/1,0))</f>
        <v/>
      </c>
      <c r="AD343" s="121" t="str">
        <f>IF($D343="","",IFERROR(VLOOKUP($B343,Kraftvärmeprod!$B$1:$BX$549,MATCH(AD$2,Kraftvärmeprod!$B$1:$VX$1,0),FALSE)/1,0)-IFERROR(VLOOKUP($B343,'Slutlig allokering kvv'!$B$2:$BX$549,MATCH(AD$2,'Slutlig allokering kvv'!$B$1:$BX$1,0),FALSE)/1,0))</f>
        <v/>
      </c>
      <c r="AE343" s="121" t="str">
        <f>IF($D343="","",IFERROR(VLOOKUP($B343,Miljö!$B$1:$E$550,MATCH("Hjälpel kraftvärme (GWh)",Miljö!$B$1:$E$1,0),FALSE)/1,0)-IFERROR(VLOOKUP($B343,'Slutlig allokering kvv'!$B$2:$BX$549,MATCH(AE$2,'Slutlig allokering kvv'!$B$1:$BX$1,0),FALSE)/1,0))</f>
        <v/>
      </c>
      <c r="AI343" s="121">
        <f t="shared" si="20"/>
        <v>0</v>
      </c>
      <c r="AK343" s="121">
        <f>IFERROR(VLOOKUP($B343,'Slutlig allokering kvv'!$B$2:$AX$549,MATCH("Summa slutlig allokerad tillförd energi (utan hjälpel och rökgaskondensering):",'Slutlig allokering kvv'!$B$1:$AX$1,0),FALSE)/1,"")</f>
        <v>0</v>
      </c>
      <c r="AM343" s="172" t="str">
        <f>IFERROR(1-VLOOKUP($B343,'Slutlig allokering kvv'!$B$2:$AX$549,MATCH("Andel av bränsle i kvv som allokerats till värme, exklusive rökgaskondensering och hjälpel",'Slutlig allokering kvv'!$B$1:$AX$1,0),FALSE),"")</f>
        <v/>
      </c>
      <c r="AO343" s="172" t="str">
        <f t="shared" si="21"/>
        <v/>
      </c>
      <c r="AP343" s="173" t="str">
        <f t="shared" si="22"/>
        <v/>
      </c>
      <c r="AR343" s="172" t="str">
        <f t="shared" si="23"/>
        <v/>
      </c>
    </row>
    <row r="344" spans="1:44" x14ac:dyDescent="0.25">
      <c r="A344" s="171" t="str">
        <f>'Miljövärden för publ företag'!B346</f>
        <v>Växjö Energi AB</v>
      </c>
      <c r="B344" s="171" t="str">
        <f>'Miljövärden för publ företag'!C346</f>
        <v>Växjö fjärrkyla</v>
      </c>
      <c r="C344" s="121" t="str">
        <f>IFERROR(VLOOKUP($B344,Kraftvärmeprod!$B$1:$AH$478,MATCH(C$2,Kraftvärmeprod!$B$1:$AG$1,0),FALSE)/1,"")</f>
        <v/>
      </c>
      <c r="D344" s="121" t="str">
        <f>IFERROR(VLOOKUP($B344,Kraftvärmeprod!$B$1:$AH$478,MATCH(D$2,Kraftvärmeprod!$B$1:$AG$1,0),FALSE)/1,"")</f>
        <v/>
      </c>
      <c r="F344" s="121" t="str">
        <f>IF($D344="","",IFERROR(VLOOKUP($B344,Kraftvärmeprod!$B$1:$BX$549,MATCH(F$2,Kraftvärmeprod!$B$1:$VX$1,0),FALSE)/1,0)-IFERROR(VLOOKUP($B344,'Slutlig allokering kvv'!$B$2:$BX$549,MATCH(F$2,'Slutlig allokering kvv'!$B$1:$BX$1,0),FALSE)/1,0))</f>
        <v/>
      </c>
      <c r="G344" s="121" t="str">
        <f>IF($D344="","",IFERROR(VLOOKUP($B344,Kraftvärmeprod!$B$1:$BX$549,MATCH(G$2,Kraftvärmeprod!$B$1:$VX$1,0),FALSE)/1,0)-IFERROR(VLOOKUP($B344,'Slutlig allokering kvv'!$B$2:$BX$549,MATCH(G$2,'Slutlig allokering kvv'!$B$1:$BX$1,0),FALSE)/1,0))</f>
        <v/>
      </c>
      <c r="H344" s="121" t="str">
        <f>IF($D344="","",IFERROR(VLOOKUP($B344,Kraftvärmeprod!$B$1:$BX$549,MATCH(H$2,Kraftvärmeprod!$B$1:$VX$1,0),FALSE)/1,0)-IFERROR(VLOOKUP($B344,'Slutlig allokering kvv'!$B$2:$BX$549,MATCH(H$2,'Slutlig allokering kvv'!$B$1:$BX$1,0),FALSE)/1,0))</f>
        <v/>
      </c>
      <c r="I344" s="121" t="str">
        <f>IF($D344="","",IFERROR(VLOOKUP($B344,Kraftvärmeprod!$B$1:$BX$549,MATCH(I$2,Kraftvärmeprod!$B$1:$VX$1,0),FALSE)/1,0)-IFERROR(VLOOKUP($B344,'Slutlig allokering kvv'!$B$2:$BX$549,MATCH(I$2,'Slutlig allokering kvv'!$B$1:$BX$1,0),FALSE)/1,0))</f>
        <v/>
      </c>
      <c r="J344" s="121" t="str">
        <f>IF($D344="","",IFERROR(VLOOKUP($B344,Kraftvärmeprod!$B$1:$BX$549,MATCH(J$2,Kraftvärmeprod!$B$1:$VX$1,0),FALSE)/1,0)-IFERROR(VLOOKUP($B344,'Slutlig allokering kvv'!$B$2:$BX$549,MATCH(J$2,'Slutlig allokering kvv'!$B$1:$BX$1,0),FALSE)/1,0))</f>
        <v/>
      </c>
      <c r="K344" s="121" t="str">
        <f>IF($D344="","",IFERROR(VLOOKUP($B344,Kraftvärmeprod!$B$1:$BX$549,MATCH(K$2,Kraftvärmeprod!$B$1:$VX$1,0),FALSE)/1,0)-IFERROR(VLOOKUP($B344,'Slutlig allokering kvv'!$B$2:$BX$549,MATCH(K$2,'Slutlig allokering kvv'!$B$1:$BX$1,0),FALSE)/1,0))</f>
        <v/>
      </c>
      <c r="L344" s="121" t="str">
        <f>IF($D344="","",IFERROR(VLOOKUP($B344,Kraftvärmeprod!$B$1:$BX$549,MATCH(L$2,Kraftvärmeprod!$B$1:$VX$1,0),FALSE)/1,0)-IFERROR(VLOOKUP($B344,'Slutlig allokering kvv'!$B$2:$BX$549,MATCH(L$2,'Slutlig allokering kvv'!$B$1:$BX$1,0),FALSE)/1,0))</f>
        <v/>
      </c>
      <c r="M344" s="121" t="str">
        <f>IF($D344="","",IFERROR(VLOOKUP($B344,Kraftvärmeprod!$B$1:$BX$549,MATCH(M$2,Kraftvärmeprod!$B$1:$VX$1,0),FALSE)/1,0)-IFERROR(VLOOKUP($B344,'Slutlig allokering kvv'!$B$2:$BX$549,MATCH(M$2,'Slutlig allokering kvv'!$B$1:$BX$1,0),FALSE)/1,0))</f>
        <v/>
      </c>
      <c r="N344" s="121" t="str">
        <f>IF($D344="","",IFERROR(VLOOKUP($B344,Kraftvärmeprod!$B$1:$BX$549,MATCH(N$2,Kraftvärmeprod!$B$1:$VX$1,0),FALSE)/1,0)-IFERROR(VLOOKUP($B344,'Slutlig allokering kvv'!$B$2:$BX$549,MATCH(N$2,'Slutlig allokering kvv'!$B$1:$BX$1,0),FALSE)/1,0))</f>
        <v/>
      </c>
      <c r="O344" s="121" t="str">
        <f>IF($D344="","",IFERROR(VLOOKUP($B344,Kraftvärmeprod!$B$1:$BX$549,MATCH(O$2,Kraftvärmeprod!$B$1:$VX$1,0),FALSE)/1,0)-IFERROR(VLOOKUP($B344,'Slutlig allokering kvv'!$B$2:$BX$549,MATCH(O$2,'Slutlig allokering kvv'!$B$1:$BX$1,0),FALSE)/1,0))</f>
        <v/>
      </c>
      <c r="P344" s="121" t="str">
        <f>IF($D344="","",IFERROR(VLOOKUP($B344,Kraftvärmeprod!$B$1:$BX$549,MATCH(P$2,Kraftvärmeprod!$B$1:$VX$1,0),FALSE)/1,0)-IFERROR(VLOOKUP($B344,'Slutlig allokering kvv'!$B$2:$BX$549,MATCH(P$2,'Slutlig allokering kvv'!$B$1:$BX$1,0),FALSE)/1,0))</f>
        <v/>
      </c>
      <c r="Q344" s="121" t="str">
        <f>IF($D344="","",IFERROR(VLOOKUP($B344,Kraftvärmeprod!$B$1:$BX$549,MATCH(Q$2,Kraftvärmeprod!$B$1:$VX$1,0),FALSE)/1,0)-IFERROR(VLOOKUP($B344,'Slutlig allokering kvv'!$B$2:$BX$549,MATCH(Q$2,'Slutlig allokering kvv'!$B$1:$BX$1,0),FALSE)/1,0))</f>
        <v/>
      </c>
      <c r="R344" s="121" t="str">
        <f>IF($D344="","",IFERROR(VLOOKUP($B344,Kraftvärmeprod!$B$1:$BX$549,MATCH(R$2,Kraftvärmeprod!$B$1:$VX$1,0),FALSE)/1,0)-IFERROR(VLOOKUP($B344,'Slutlig allokering kvv'!$B$2:$BX$549,MATCH(R$2,'Slutlig allokering kvv'!$B$1:$BX$1,0),FALSE)/1,0))</f>
        <v/>
      </c>
      <c r="S344" s="121" t="str">
        <f>IF($D344="","",IFERROR(VLOOKUP($B344,Kraftvärmeprod!$B$1:$BX$549,MATCH(S$2,Kraftvärmeprod!$B$1:$VX$1,0),FALSE)/1,0)-IFERROR(VLOOKUP($B344,'Slutlig allokering kvv'!$B$2:$BX$549,MATCH(S$2,'Slutlig allokering kvv'!$B$1:$BX$1,0),FALSE)/1,0))</f>
        <v/>
      </c>
      <c r="T344" s="121" t="str">
        <f>IF($D344="","",IFERROR(VLOOKUP($B344,Kraftvärmeprod!$B$1:$BX$549,MATCH(T$2,Kraftvärmeprod!$B$1:$VX$1,0),FALSE)/1,0)-IFERROR(VLOOKUP($B344,'Slutlig allokering kvv'!$B$2:$BX$549,MATCH(T$2,'Slutlig allokering kvv'!$B$1:$BX$1,0),FALSE)/1,0))</f>
        <v/>
      </c>
      <c r="U344" s="121" t="str">
        <f>IF($D344="","",IFERROR(VLOOKUP($B344,Kraftvärmeprod!$B$1:$BX$549,MATCH(U$2,Kraftvärmeprod!$B$1:$VX$1,0),FALSE)/1,0)-IFERROR(VLOOKUP($B344,'Slutlig allokering kvv'!$B$2:$BX$549,MATCH(U$2,'Slutlig allokering kvv'!$B$1:$BX$1,0),FALSE)/1,0))</f>
        <v/>
      </c>
      <c r="V344" s="121" t="str">
        <f>IF($D344="","",IFERROR(VLOOKUP($B344,Kraftvärmeprod!$B$1:$BX$549,MATCH(V$2,Kraftvärmeprod!$B$1:$VX$1,0),FALSE)/1,0)-IFERROR(VLOOKUP($B344,'Slutlig allokering kvv'!$B$2:$BX$549,MATCH(V$2,'Slutlig allokering kvv'!$B$1:$BX$1,0),FALSE)/1,0))</f>
        <v/>
      </c>
      <c r="W344" s="121" t="str">
        <f>IF($D344="","",IFERROR(VLOOKUP($B344,Kraftvärmeprod!$B$1:$BX$549,MATCH(W$2,Kraftvärmeprod!$B$1:$VX$1,0),FALSE)/1,0)-IFERROR(VLOOKUP($B344,'Slutlig allokering kvv'!$B$2:$BX$549,MATCH(W$2,'Slutlig allokering kvv'!$B$1:$BX$1,0),FALSE)/1,0))</f>
        <v/>
      </c>
      <c r="X344" s="121" t="str">
        <f>IF($D344="","",IFERROR(VLOOKUP($B344,Kraftvärmeprod!$B$1:$BX$549,MATCH(X$2,Kraftvärmeprod!$B$1:$VX$1,0),FALSE)/1,0)-IFERROR(VLOOKUP($B344,'Slutlig allokering kvv'!$B$2:$BX$549,MATCH(X$2,'Slutlig allokering kvv'!$B$1:$BX$1,0),FALSE)/1,0))</f>
        <v/>
      </c>
      <c r="Y344" s="121" t="str">
        <f>IF($D344="","",IFERROR(VLOOKUP($B344,Kraftvärmeprod!$B$1:$BX$549,MATCH(Y$2,Kraftvärmeprod!$B$1:$VX$1,0),FALSE)/1,0)-IFERROR(VLOOKUP($B344,'Slutlig allokering kvv'!$B$2:$BX$549,MATCH(Y$2,'Slutlig allokering kvv'!$B$1:$BX$1,0),FALSE)/1,0))</f>
        <v/>
      </c>
      <c r="Z344" s="121" t="str">
        <f>IF($D344="","",IFERROR(VLOOKUP($B344,Kraftvärmeprod!$B$1:$BX$549,MATCH(Z$2,Kraftvärmeprod!$B$1:$VX$1,0),FALSE)/1,0)-IFERROR(VLOOKUP($B344,'Slutlig allokering kvv'!$B$2:$BX$549,MATCH(Z$2,'Slutlig allokering kvv'!$B$1:$BX$1,0),FALSE)/1,0))</f>
        <v/>
      </c>
      <c r="AA344" s="121" t="str">
        <f>IF($D344="","",IFERROR(VLOOKUP($B344,Kraftvärmeprod!$B$1:$BX$549,MATCH(AA$2,Kraftvärmeprod!$B$1:$VX$1,0),FALSE)/1,0)-IFERROR(VLOOKUP($B344,'Slutlig allokering kvv'!$B$2:$BX$549,MATCH(AA$2,'Slutlig allokering kvv'!$B$1:$BX$1,0),FALSE)/1,0))</f>
        <v/>
      </c>
      <c r="AB344" s="121" t="str">
        <f>IF($D344="","",IFERROR(VLOOKUP($B344,Kraftvärmeprod!$B$1:$BX$549,MATCH(AB$2,Kraftvärmeprod!$B$1:$VX$1,0),FALSE)/1,0)-IFERROR(VLOOKUP($B344,'Slutlig allokering kvv'!$B$2:$BX$549,MATCH(AB$2,'Slutlig allokering kvv'!$B$1:$BX$1,0),FALSE)/1,0))</f>
        <v/>
      </c>
      <c r="AC344" s="121" t="str">
        <f>IF($D344="","",IFERROR(VLOOKUP($B344,Kraftvärmeprod!$B$1:$BX$549,MATCH(AC$2,Kraftvärmeprod!$B$1:$VX$1,0),FALSE)/1,0)-IFERROR(VLOOKUP($B344,'Slutlig allokering kvv'!$B$2:$BX$549,MATCH(AC$2,'Slutlig allokering kvv'!$B$1:$BX$1,0),FALSE)/1,0))</f>
        <v/>
      </c>
      <c r="AD344" s="121" t="str">
        <f>IF($D344="","",IFERROR(VLOOKUP($B344,Kraftvärmeprod!$B$1:$BX$549,MATCH(AD$2,Kraftvärmeprod!$B$1:$VX$1,0),FALSE)/1,0)-IFERROR(VLOOKUP($B344,'Slutlig allokering kvv'!$B$2:$BX$549,MATCH(AD$2,'Slutlig allokering kvv'!$B$1:$BX$1,0),FALSE)/1,0))</f>
        <v/>
      </c>
      <c r="AE344" s="121" t="str">
        <f>IF($D344="","",IFERROR(VLOOKUP($B344,Miljö!$B$1:$E$550,MATCH("Hjälpel kraftvärme (GWh)",Miljö!$B$1:$E$1,0),FALSE)/1,0)-IFERROR(VLOOKUP($B344,'Slutlig allokering kvv'!$B$2:$BX$549,MATCH(AE$2,'Slutlig allokering kvv'!$B$1:$BX$1,0),FALSE)/1,0))</f>
        <v/>
      </c>
      <c r="AI344" s="121">
        <f t="shared" si="20"/>
        <v>0</v>
      </c>
      <c r="AK344" s="121">
        <f>IFERROR(VLOOKUP($B344,'Slutlig allokering kvv'!$B$2:$AX$549,MATCH("Summa slutlig allokerad tillförd energi (utan hjälpel och rökgaskondensering):",'Slutlig allokering kvv'!$B$1:$AX$1,0),FALSE)/1,"")</f>
        <v>0</v>
      </c>
      <c r="AM344" s="172" t="str">
        <f>IFERROR(1-VLOOKUP($B344,'Slutlig allokering kvv'!$B$2:$AX$549,MATCH("Andel av bränsle i kvv som allokerats till värme, exklusive rökgaskondensering och hjälpel",'Slutlig allokering kvv'!$B$1:$AX$1,0),FALSE),"")</f>
        <v/>
      </c>
      <c r="AO344" s="172" t="str">
        <f t="shared" si="21"/>
        <v/>
      </c>
      <c r="AP344" s="173" t="str">
        <f t="shared" si="22"/>
        <v/>
      </c>
      <c r="AR344" s="172" t="str">
        <f t="shared" si="23"/>
        <v/>
      </c>
    </row>
    <row r="345" spans="1:44" x14ac:dyDescent="0.25">
      <c r="A345" s="171" t="str">
        <f>'Miljövärden för publ företag'!B347</f>
        <v>Växjö Energi AB</v>
      </c>
      <c r="B345" s="171" t="str">
        <f>'Miljövärden för publ företag'!C347</f>
        <v>Växjö fjärrvärme</v>
      </c>
      <c r="C345" s="121">
        <f>IFERROR(VLOOKUP($B345,Kraftvärmeprod!$B$1:$AH$478,MATCH(C$2,Kraftvärmeprod!$B$1:$AG$1,0),FALSE)/1,"")</f>
        <v>530.9</v>
      </c>
      <c r="D345" s="121">
        <f>IFERROR(VLOOKUP($B345,Kraftvärmeprod!$B$1:$AH$478,MATCH(D$2,Kraftvärmeprod!$B$1:$AG$1,0),FALSE)/1,"")</f>
        <v>223.7</v>
      </c>
      <c r="F345" s="121">
        <f>IF($D345="","",IFERROR(VLOOKUP($B345,Kraftvärmeprod!$B$1:$BX$549,MATCH(F$2,Kraftvärmeprod!$B$1:$VX$1,0),FALSE)/1,0)-IFERROR(VLOOKUP($B345,'Slutlig allokering kvv'!$B$2:$BX$549,MATCH(F$2,'Slutlig allokering kvv'!$B$1:$BX$1,0),FALSE)/1,0))</f>
        <v>0</v>
      </c>
      <c r="G345" s="121">
        <f>IF($D345="","",IFERROR(VLOOKUP($B345,Kraftvärmeprod!$B$1:$BX$549,MATCH(G$2,Kraftvärmeprod!$B$1:$VX$1,0),FALSE)/1,0)-IFERROR(VLOOKUP($B345,'Slutlig allokering kvv'!$B$2:$BX$549,MATCH(G$2,'Slutlig allokering kvv'!$B$1:$BX$1,0),FALSE)/1,0))</f>
        <v>1.15032</v>
      </c>
      <c r="H345" s="121">
        <f>IF($D345="","",IFERROR(VLOOKUP($B345,Kraftvärmeprod!$B$1:$BX$549,MATCH(H$2,Kraftvärmeprod!$B$1:$VX$1,0),FALSE)/1,0)-IFERROR(VLOOKUP($B345,'Slutlig allokering kvv'!$B$2:$BX$549,MATCH(H$2,'Slutlig allokering kvv'!$B$1:$BX$1,0),FALSE)/1,0))</f>
        <v>0</v>
      </c>
      <c r="I345" s="121">
        <f>IF($D345="","",IFERROR(VLOOKUP($B345,Kraftvärmeprod!$B$1:$BX$549,MATCH(I$2,Kraftvärmeprod!$B$1:$VX$1,0),FALSE)/1,0)-IFERROR(VLOOKUP($B345,'Slutlig allokering kvv'!$B$2:$BX$549,MATCH(I$2,'Slutlig allokering kvv'!$B$1:$BX$1,0),FALSE)/1,0))</f>
        <v>0</v>
      </c>
      <c r="J345" s="121">
        <f>IF($D345="","",IFERROR(VLOOKUP($B345,Kraftvärmeprod!$B$1:$BX$549,MATCH(J$2,Kraftvärmeprod!$B$1:$VX$1,0),FALSE)/1,0)-IFERROR(VLOOKUP($B345,'Slutlig allokering kvv'!$B$2:$BX$549,MATCH(J$2,'Slutlig allokering kvv'!$B$1:$BX$1,0),FALSE)/1,0))</f>
        <v>0</v>
      </c>
      <c r="K345" s="121">
        <f>IF($D345="","",IFERROR(VLOOKUP($B345,Kraftvärmeprod!$B$1:$BX$549,MATCH(K$2,Kraftvärmeprod!$B$1:$VX$1,0),FALSE)/1,0)-IFERROR(VLOOKUP($B345,'Slutlig allokering kvv'!$B$2:$BX$549,MATCH(K$2,'Slutlig allokering kvv'!$B$1:$BX$1,0),FALSE)/1,0))</f>
        <v>0</v>
      </c>
      <c r="L345" s="121">
        <f>IF($D345="","",IFERROR(VLOOKUP($B345,Kraftvärmeprod!$B$1:$BX$549,MATCH(L$2,Kraftvärmeprod!$B$1:$VX$1,0),FALSE)/1,0)-IFERROR(VLOOKUP($B345,'Slutlig allokering kvv'!$B$2:$BX$549,MATCH(L$2,'Slutlig allokering kvv'!$B$1:$BX$1,0),FALSE)/1,0))</f>
        <v>239.863</v>
      </c>
      <c r="M345" s="121">
        <f>IF($D345="","",IFERROR(VLOOKUP($B345,Kraftvärmeprod!$B$1:$BX$549,MATCH(M$2,Kraftvärmeprod!$B$1:$VX$1,0),FALSE)/1,0)-IFERROR(VLOOKUP($B345,'Slutlig allokering kvv'!$B$2:$BX$549,MATCH(M$2,'Slutlig allokering kvv'!$B$1:$BX$1,0),FALSE)/1,0))</f>
        <v>55.216200000000001</v>
      </c>
      <c r="N345" s="121">
        <f>IF($D345="","",IFERROR(VLOOKUP($B345,Kraftvärmeprod!$B$1:$BX$549,MATCH(N$2,Kraftvärmeprod!$B$1:$VX$1,0),FALSE)/1,0)-IFERROR(VLOOKUP($B345,'Slutlig allokering kvv'!$B$2:$BX$549,MATCH(N$2,'Slutlig allokering kvv'!$B$1:$BX$1,0),FALSE)/1,0))</f>
        <v>35.589599999999997</v>
      </c>
      <c r="O345" s="121">
        <f>IF($D345="","",IFERROR(VLOOKUP($B345,Kraftvärmeprod!$B$1:$BX$549,MATCH(O$2,Kraftvärmeprod!$B$1:$VX$1,0),FALSE)/1,0)-IFERROR(VLOOKUP($B345,'Slutlig allokering kvv'!$B$2:$BX$549,MATCH(O$2,'Slutlig allokering kvv'!$B$1:$BX$1,0),FALSE)/1,0))</f>
        <v>60.135900000000007</v>
      </c>
      <c r="P345" s="121">
        <f>IF($D345="","",IFERROR(VLOOKUP($B345,Kraftvärmeprod!$B$1:$BX$549,MATCH(P$2,Kraftvärmeprod!$B$1:$VX$1,0),FALSE)/1,0)-IFERROR(VLOOKUP($B345,'Slutlig allokering kvv'!$B$2:$BX$549,MATCH(P$2,'Slutlig allokering kvv'!$B$1:$BX$1,0),FALSE)/1,0))</f>
        <v>0</v>
      </c>
      <c r="Q345" s="121">
        <f>IF($D345="","",IFERROR(VLOOKUP($B345,Kraftvärmeprod!$B$1:$BX$549,MATCH(Q$2,Kraftvärmeprod!$B$1:$VX$1,0),FALSE)/1,0)-IFERROR(VLOOKUP($B345,'Slutlig allokering kvv'!$B$2:$BX$549,MATCH(Q$2,'Slutlig allokering kvv'!$B$1:$BX$1,0),FALSE)/1,0))</f>
        <v>0</v>
      </c>
      <c r="R345" s="121">
        <f>IF($D345="","",IFERROR(VLOOKUP($B345,Kraftvärmeprod!$B$1:$BX$549,MATCH(R$2,Kraftvärmeprod!$B$1:$VX$1,0),FALSE)/1,0)-IFERROR(VLOOKUP($B345,'Slutlig allokering kvv'!$B$2:$BX$549,MATCH(R$2,'Slutlig allokering kvv'!$B$1:$BX$1,0),FALSE)/1,0))</f>
        <v>0</v>
      </c>
      <c r="S345" s="121">
        <f>IF($D345="","",IFERROR(VLOOKUP($B345,Kraftvärmeprod!$B$1:$BX$549,MATCH(S$2,Kraftvärmeprod!$B$1:$VX$1,0),FALSE)/1,0)-IFERROR(VLOOKUP($B345,'Slutlig allokering kvv'!$B$2:$BX$549,MATCH(S$2,'Slutlig allokering kvv'!$B$1:$BX$1,0),FALSE)/1,0))</f>
        <v>0</v>
      </c>
      <c r="T345" s="121">
        <f>IF($D345="","",IFERROR(VLOOKUP($B345,Kraftvärmeprod!$B$1:$BX$549,MATCH(T$2,Kraftvärmeprod!$B$1:$VX$1,0),FALSE)/1,0)-IFERROR(VLOOKUP($B345,'Slutlig allokering kvv'!$B$2:$BX$549,MATCH(T$2,'Slutlig allokering kvv'!$B$1:$BX$1,0),FALSE)/1,0))</f>
        <v>0</v>
      </c>
      <c r="U345" s="121">
        <f>IF($D345="","",IFERROR(VLOOKUP($B345,Kraftvärmeprod!$B$1:$BX$549,MATCH(U$2,Kraftvärmeprod!$B$1:$VX$1,0),FALSE)/1,0)-IFERROR(VLOOKUP($B345,'Slutlig allokering kvv'!$B$2:$BX$549,MATCH(U$2,'Slutlig allokering kvv'!$B$1:$BX$1,0),FALSE)/1,0))</f>
        <v>0</v>
      </c>
      <c r="V345" s="121">
        <f>IF($D345="","",IFERROR(VLOOKUP($B345,Kraftvärmeprod!$B$1:$BX$549,MATCH(V$2,Kraftvärmeprod!$B$1:$VX$1,0),FALSE)/1,0)-IFERROR(VLOOKUP($B345,'Slutlig allokering kvv'!$B$2:$BX$549,MATCH(V$2,'Slutlig allokering kvv'!$B$1:$BX$1,0),FALSE)/1,0))</f>
        <v>29.937100000000004</v>
      </c>
      <c r="W345" s="121">
        <f>IF($D345="","",IFERROR(VLOOKUP($B345,Kraftvärmeprod!$B$1:$BX$549,MATCH(W$2,Kraftvärmeprod!$B$1:$VX$1,0),FALSE)/1,0)-IFERROR(VLOOKUP($B345,'Slutlig allokering kvv'!$B$2:$BX$549,MATCH(W$2,'Slutlig allokering kvv'!$B$1:$BX$1,0),FALSE)/1,0))</f>
        <v>0</v>
      </c>
      <c r="X345" s="121">
        <f>IF($D345="","",IFERROR(VLOOKUP($B345,Kraftvärmeprod!$B$1:$BX$549,MATCH(X$2,Kraftvärmeprod!$B$1:$VX$1,0),FALSE)/1,0)-IFERROR(VLOOKUP($B345,'Slutlig allokering kvv'!$B$2:$BX$549,MATCH(X$2,'Slutlig allokering kvv'!$B$1:$BX$1,0),FALSE)/1,0))</f>
        <v>0</v>
      </c>
      <c r="Y345" s="121">
        <f>IF($D345="","",IFERROR(VLOOKUP($B345,Kraftvärmeprod!$B$1:$BX$549,MATCH(Y$2,Kraftvärmeprod!$B$1:$VX$1,0),FALSE)/1,0)-IFERROR(VLOOKUP($B345,'Slutlig allokering kvv'!$B$2:$BX$549,MATCH(Y$2,'Slutlig allokering kvv'!$B$1:$BX$1,0),FALSE)/1,0))</f>
        <v>0</v>
      </c>
      <c r="Z345" s="121">
        <f>IF($D345="","",IFERROR(VLOOKUP($B345,Kraftvärmeprod!$B$1:$BX$549,MATCH(Z$2,Kraftvärmeprod!$B$1:$VX$1,0),FALSE)/1,0)-IFERROR(VLOOKUP($B345,'Slutlig allokering kvv'!$B$2:$BX$549,MATCH(Z$2,'Slutlig allokering kvv'!$B$1:$BX$1,0),FALSE)/1,0))</f>
        <v>28.127599999999997</v>
      </c>
      <c r="AA345" s="121">
        <f>IF($D345="","",IFERROR(VLOOKUP($B345,Kraftvärmeprod!$B$1:$BX$549,MATCH(AA$2,Kraftvärmeprod!$B$1:$VX$1,0),FALSE)/1,0)-IFERROR(VLOOKUP($B345,'Slutlig allokering kvv'!$B$2:$BX$549,MATCH(AA$2,'Slutlig allokering kvv'!$B$1:$BX$1,0),FALSE)/1,0))</f>
        <v>0</v>
      </c>
      <c r="AB345" s="121">
        <f>IF($D345="","",IFERROR(VLOOKUP($B345,Kraftvärmeprod!$B$1:$BX$549,MATCH(AB$2,Kraftvärmeprod!$B$1:$VX$1,0),FALSE)/1,0)-IFERROR(VLOOKUP($B345,'Slutlig allokering kvv'!$B$2:$BX$549,MATCH(AB$2,'Slutlig allokering kvv'!$B$1:$BX$1,0),FALSE)/1,0))</f>
        <v>0</v>
      </c>
      <c r="AC345" s="121">
        <f>IF($D345="","",IFERROR(VLOOKUP($B345,Kraftvärmeprod!$B$1:$BX$549,MATCH(AC$2,Kraftvärmeprod!$B$1:$VX$1,0),FALSE)/1,0)-IFERROR(VLOOKUP($B345,'Slutlig allokering kvv'!$B$2:$BX$549,MATCH(AC$2,'Slutlig allokering kvv'!$B$1:$BX$1,0),FALSE)/1,0))</f>
        <v>0</v>
      </c>
      <c r="AD345" s="121">
        <f>IF($D345="","",IFERROR(VLOOKUP($B345,Kraftvärmeprod!$B$1:$BX$549,MATCH(AD$2,Kraftvärmeprod!$B$1:$VX$1,0),FALSE)/1,0)-IFERROR(VLOOKUP($B345,'Slutlig allokering kvv'!$B$2:$BX$549,MATCH(AD$2,'Slutlig allokering kvv'!$B$1:$BX$1,0),FALSE)/1,0))</f>
        <v>0</v>
      </c>
      <c r="AE345" s="121">
        <f>IF($D345="","",IFERROR(VLOOKUP($B345,Miljö!$B$1:$E$550,MATCH("Hjälpel kraftvärme (GWh)",Miljö!$B$1:$E$1,0),FALSE)/1,0)-IFERROR(VLOOKUP($B345,'Slutlig allokering kvv'!$B$2:$BX$549,MATCH(AE$2,'Slutlig allokering kvv'!$B$1:$BX$1,0),FALSE)/1,0))</f>
        <v>15.4551</v>
      </c>
      <c r="AI345" s="121">
        <f t="shared" si="20"/>
        <v>450.01971999999995</v>
      </c>
      <c r="AK345" s="121">
        <f>IFERROR(VLOOKUP($B345,'Slutlig allokering kvv'!$B$2:$AX$549,MATCH("Summa slutlig allokerad tillförd energi (utan hjälpel och rökgaskondensering):",'Slutlig allokering kvv'!$B$1:$AX$1,0),FALSE)/1,"")</f>
        <v>414.78028</v>
      </c>
      <c r="AM345" s="172">
        <f>IFERROR(1-VLOOKUP($B345,'Slutlig allokering kvv'!$B$2:$AX$549,MATCH("Andel av bränsle i kvv som allokerats till värme, exklusive rökgaskondensering och hjälpel",'Slutlig allokering kvv'!$B$1:$AX$1,0),FALSE),"")</f>
        <v>0.5203743293246994</v>
      </c>
      <c r="AO345" s="172">
        <f t="shared" si="21"/>
        <v>0.52037432932469929</v>
      </c>
      <c r="AP345" s="173">
        <f t="shared" si="22"/>
        <v>1.1102230246251565E-16</v>
      </c>
      <c r="AR345" s="172">
        <f t="shared" si="23"/>
        <v>0.48058453516347027</v>
      </c>
    </row>
    <row r="346" spans="1:44" x14ac:dyDescent="0.25">
      <c r="A346" s="171" t="str">
        <f>'Miljövärden för publ företag'!B348</f>
        <v>Ystad Energi AB</v>
      </c>
      <c r="B346" s="171" t="str">
        <f>'Miljövärden för publ företag'!C348</f>
        <v>Ystad</v>
      </c>
      <c r="C346" s="121" t="str">
        <f>IFERROR(VLOOKUP($B346,Kraftvärmeprod!$B$1:$AH$478,MATCH(C$2,Kraftvärmeprod!$B$1:$AG$1,0),FALSE)/1,"")</f>
        <v/>
      </c>
      <c r="D346" s="121" t="str">
        <f>IFERROR(VLOOKUP($B346,Kraftvärmeprod!$B$1:$AH$478,MATCH(D$2,Kraftvärmeprod!$B$1:$AG$1,0),FALSE)/1,"")</f>
        <v/>
      </c>
      <c r="F346" s="121" t="str">
        <f>IF($D346="","",IFERROR(VLOOKUP($B346,Kraftvärmeprod!$B$1:$BX$549,MATCH(F$2,Kraftvärmeprod!$B$1:$VX$1,0),FALSE)/1,0)-IFERROR(VLOOKUP($B346,'Slutlig allokering kvv'!$B$2:$BX$549,MATCH(F$2,'Slutlig allokering kvv'!$B$1:$BX$1,0),FALSE)/1,0))</f>
        <v/>
      </c>
      <c r="G346" s="121" t="str">
        <f>IF($D346="","",IFERROR(VLOOKUP($B346,Kraftvärmeprod!$B$1:$BX$549,MATCH(G$2,Kraftvärmeprod!$B$1:$VX$1,0),FALSE)/1,0)-IFERROR(VLOOKUP($B346,'Slutlig allokering kvv'!$B$2:$BX$549,MATCH(G$2,'Slutlig allokering kvv'!$B$1:$BX$1,0),FALSE)/1,0))</f>
        <v/>
      </c>
      <c r="H346" s="121" t="str">
        <f>IF($D346="","",IFERROR(VLOOKUP($B346,Kraftvärmeprod!$B$1:$BX$549,MATCH(H$2,Kraftvärmeprod!$B$1:$VX$1,0),FALSE)/1,0)-IFERROR(VLOOKUP($B346,'Slutlig allokering kvv'!$B$2:$BX$549,MATCH(H$2,'Slutlig allokering kvv'!$B$1:$BX$1,0),FALSE)/1,0))</f>
        <v/>
      </c>
      <c r="I346" s="121" t="str">
        <f>IF($D346="","",IFERROR(VLOOKUP($B346,Kraftvärmeprod!$B$1:$BX$549,MATCH(I$2,Kraftvärmeprod!$B$1:$VX$1,0),FALSE)/1,0)-IFERROR(VLOOKUP($B346,'Slutlig allokering kvv'!$B$2:$BX$549,MATCH(I$2,'Slutlig allokering kvv'!$B$1:$BX$1,0),FALSE)/1,0))</f>
        <v/>
      </c>
      <c r="J346" s="121" t="str">
        <f>IF($D346="","",IFERROR(VLOOKUP($B346,Kraftvärmeprod!$B$1:$BX$549,MATCH(J$2,Kraftvärmeprod!$B$1:$VX$1,0),FALSE)/1,0)-IFERROR(VLOOKUP($B346,'Slutlig allokering kvv'!$B$2:$BX$549,MATCH(J$2,'Slutlig allokering kvv'!$B$1:$BX$1,0),FALSE)/1,0))</f>
        <v/>
      </c>
      <c r="K346" s="121" t="str">
        <f>IF($D346="","",IFERROR(VLOOKUP($B346,Kraftvärmeprod!$B$1:$BX$549,MATCH(K$2,Kraftvärmeprod!$B$1:$VX$1,0),FALSE)/1,0)-IFERROR(VLOOKUP($B346,'Slutlig allokering kvv'!$B$2:$BX$549,MATCH(K$2,'Slutlig allokering kvv'!$B$1:$BX$1,0),FALSE)/1,0))</f>
        <v/>
      </c>
      <c r="L346" s="121" t="str">
        <f>IF($D346="","",IFERROR(VLOOKUP($B346,Kraftvärmeprod!$B$1:$BX$549,MATCH(L$2,Kraftvärmeprod!$B$1:$VX$1,0),FALSE)/1,0)-IFERROR(VLOOKUP($B346,'Slutlig allokering kvv'!$B$2:$BX$549,MATCH(L$2,'Slutlig allokering kvv'!$B$1:$BX$1,0),FALSE)/1,0))</f>
        <v/>
      </c>
      <c r="M346" s="121" t="str">
        <f>IF($D346="","",IFERROR(VLOOKUP($B346,Kraftvärmeprod!$B$1:$BX$549,MATCH(M$2,Kraftvärmeprod!$B$1:$VX$1,0),FALSE)/1,0)-IFERROR(VLOOKUP($B346,'Slutlig allokering kvv'!$B$2:$BX$549,MATCH(M$2,'Slutlig allokering kvv'!$B$1:$BX$1,0),FALSE)/1,0))</f>
        <v/>
      </c>
      <c r="N346" s="121" t="str">
        <f>IF($D346="","",IFERROR(VLOOKUP($B346,Kraftvärmeprod!$B$1:$BX$549,MATCH(N$2,Kraftvärmeprod!$B$1:$VX$1,0),FALSE)/1,0)-IFERROR(VLOOKUP($B346,'Slutlig allokering kvv'!$B$2:$BX$549,MATCH(N$2,'Slutlig allokering kvv'!$B$1:$BX$1,0),FALSE)/1,0))</f>
        <v/>
      </c>
      <c r="O346" s="121" t="str">
        <f>IF($D346="","",IFERROR(VLOOKUP($B346,Kraftvärmeprod!$B$1:$BX$549,MATCH(O$2,Kraftvärmeprod!$B$1:$VX$1,0),FALSE)/1,0)-IFERROR(VLOOKUP($B346,'Slutlig allokering kvv'!$B$2:$BX$549,MATCH(O$2,'Slutlig allokering kvv'!$B$1:$BX$1,0),FALSE)/1,0))</f>
        <v/>
      </c>
      <c r="P346" s="121" t="str">
        <f>IF($D346="","",IFERROR(VLOOKUP($B346,Kraftvärmeprod!$B$1:$BX$549,MATCH(P$2,Kraftvärmeprod!$B$1:$VX$1,0),FALSE)/1,0)-IFERROR(VLOOKUP($B346,'Slutlig allokering kvv'!$B$2:$BX$549,MATCH(P$2,'Slutlig allokering kvv'!$B$1:$BX$1,0),FALSE)/1,0))</f>
        <v/>
      </c>
      <c r="Q346" s="121" t="str">
        <f>IF($D346="","",IFERROR(VLOOKUP($B346,Kraftvärmeprod!$B$1:$BX$549,MATCH(Q$2,Kraftvärmeprod!$B$1:$VX$1,0),FALSE)/1,0)-IFERROR(VLOOKUP($B346,'Slutlig allokering kvv'!$B$2:$BX$549,MATCH(Q$2,'Slutlig allokering kvv'!$B$1:$BX$1,0),FALSE)/1,0))</f>
        <v/>
      </c>
      <c r="R346" s="121" t="str">
        <f>IF($D346="","",IFERROR(VLOOKUP($B346,Kraftvärmeprod!$B$1:$BX$549,MATCH(R$2,Kraftvärmeprod!$B$1:$VX$1,0),FALSE)/1,0)-IFERROR(VLOOKUP($B346,'Slutlig allokering kvv'!$B$2:$BX$549,MATCH(R$2,'Slutlig allokering kvv'!$B$1:$BX$1,0),FALSE)/1,0))</f>
        <v/>
      </c>
      <c r="S346" s="121" t="str">
        <f>IF($D346="","",IFERROR(VLOOKUP($B346,Kraftvärmeprod!$B$1:$BX$549,MATCH(S$2,Kraftvärmeprod!$B$1:$VX$1,0),FALSE)/1,0)-IFERROR(VLOOKUP($B346,'Slutlig allokering kvv'!$B$2:$BX$549,MATCH(S$2,'Slutlig allokering kvv'!$B$1:$BX$1,0),FALSE)/1,0))</f>
        <v/>
      </c>
      <c r="T346" s="121" t="str">
        <f>IF($D346="","",IFERROR(VLOOKUP($B346,Kraftvärmeprod!$B$1:$BX$549,MATCH(T$2,Kraftvärmeprod!$B$1:$VX$1,0),FALSE)/1,0)-IFERROR(VLOOKUP($B346,'Slutlig allokering kvv'!$B$2:$BX$549,MATCH(T$2,'Slutlig allokering kvv'!$B$1:$BX$1,0),FALSE)/1,0))</f>
        <v/>
      </c>
      <c r="U346" s="121" t="str">
        <f>IF($D346="","",IFERROR(VLOOKUP($B346,Kraftvärmeprod!$B$1:$BX$549,MATCH(U$2,Kraftvärmeprod!$B$1:$VX$1,0),FALSE)/1,0)-IFERROR(VLOOKUP($B346,'Slutlig allokering kvv'!$B$2:$BX$549,MATCH(U$2,'Slutlig allokering kvv'!$B$1:$BX$1,0),FALSE)/1,0))</f>
        <v/>
      </c>
      <c r="V346" s="121" t="str">
        <f>IF($D346="","",IFERROR(VLOOKUP($B346,Kraftvärmeprod!$B$1:$BX$549,MATCH(V$2,Kraftvärmeprod!$B$1:$VX$1,0),FALSE)/1,0)-IFERROR(VLOOKUP($B346,'Slutlig allokering kvv'!$B$2:$BX$549,MATCH(V$2,'Slutlig allokering kvv'!$B$1:$BX$1,0),FALSE)/1,0))</f>
        <v/>
      </c>
      <c r="W346" s="121" t="str">
        <f>IF($D346="","",IFERROR(VLOOKUP($B346,Kraftvärmeprod!$B$1:$BX$549,MATCH(W$2,Kraftvärmeprod!$B$1:$VX$1,0),FALSE)/1,0)-IFERROR(VLOOKUP($B346,'Slutlig allokering kvv'!$B$2:$BX$549,MATCH(W$2,'Slutlig allokering kvv'!$B$1:$BX$1,0),FALSE)/1,0))</f>
        <v/>
      </c>
      <c r="X346" s="121" t="str">
        <f>IF($D346="","",IFERROR(VLOOKUP($B346,Kraftvärmeprod!$B$1:$BX$549,MATCH(X$2,Kraftvärmeprod!$B$1:$VX$1,0),FALSE)/1,0)-IFERROR(VLOOKUP($B346,'Slutlig allokering kvv'!$B$2:$BX$549,MATCH(X$2,'Slutlig allokering kvv'!$B$1:$BX$1,0),FALSE)/1,0))</f>
        <v/>
      </c>
      <c r="Y346" s="121" t="str">
        <f>IF($D346="","",IFERROR(VLOOKUP($B346,Kraftvärmeprod!$B$1:$BX$549,MATCH(Y$2,Kraftvärmeprod!$B$1:$VX$1,0),FALSE)/1,0)-IFERROR(VLOOKUP($B346,'Slutlig allokering kvv'!$B$2:$BX$549,MATCH(Y$2,'Slutlig allokering kvv'!$B$1:$BX$1,0),FALSE)/1,0))</f>
        <v/>
      </c>
      <c r="Z346" s="121" t="str">
        <f>IF($D346="","",IFERROR(VLOOKUP($B346,Kraftvärmeprod!$B$1:$BX$549,MATCH(Z$2,Kraftvärmeprod!$B$1:$VX$1,0),FALSE)/1,0)-IFERROR(VLOOKUP($B346,'Slutlig allokering kvv'!$B$2:$BX$549,MATCH(Z$2,'Slutlig allokering kvv'!$B$1:$BX$1,0),FALSE)/1,0))</f>
        <v/>
      </c>
      <c r="AA346" s="121" t="str">
        <f>IF($D346="","",IFERROR(VLOOKUP($B346,Kraftvärmeprod!$B$1:$BX$549,MATCH(AA$2,Kraftvärmeprod!$B$1:$VX$1,0),FALSE)/1,0)-IFERROR(VLOOKUP($B346,'Slutlig allokering kvv'!$B$2:$BX$549,MATCH(AA$2,'Slutlig allokering kvv'!$B$1:$BX$1,0),FALSE)/1,0))</f>
        <v/>
      </c>
      <c r="AB346" s="121" t="str">
        <f>IF($D346="","",IFERROR(VLOOKUP($B346,Kraftvärmeprod!$B$1:$BX$549,MATCH(AB$2,Kraftvärmeprod!$B$1:$VX$1,0),FALSE)/1,0)-IFERROR(VLOOKUP($B346,'Slutlig allokering kvv'!$B$2:$BX$549,MATCH(AB$2,'Slutlig allokering kvv'!$B$1:$BX$1,0),FALSE)/1,0))</f>
        <v/>
      </c>
      <c r="AC346" s="121" t="str">
        <f>IF($D346="","",IFERROR(VLOOKUP($B346,Kraftvärmeprod!$B$1:$BX$549,MATCH(AC$2,Kraftvärmeprod!$B$1:$VX$1,0),FALSE)/1,0)-IFERROR(VLOOKUP($B346,'Slutlig allokering kvv'!$B$2:$BX$549,MATCH(AC$2,'Slutlig allokering kvv'!$B$1:$BX$1,0),FALSE)/1,0))</f>
        <v/>
      </c>
      <c r="AD346" s="121" t="str">
        <f>IF($D346="","",IFERROR(VLOOKUP($B346,Kraftvärmeprod!$B$1:$BX$549,MATCH(AD$2,Kraftvärmeprod!$B$1:$VX$1,0),FALSE)/1,0)-IFERROR(VLOOKUP($B346,'Slutlig allokering kvv'!$B$2:$BX$549,MATCH(AD$2,'Slutlig allokering kvv'!$B$1:$BX$1,0),FALSE)/1,0))</f>
        <v/>
      </c>
      <c r="AE346" s="121" t="str">
        <f>IF($D346="","",IFERROR(VLOOKUP($B346,Miljö!$B$1:$E$550,MATCH("Hjälpel kraftvärme (GWh)",Miljö!$B$1:$E$1,0),FALSE)/1,0)-IFERROR(VLOOKUP($B346,'Slutlig allokering kvv'!$B$2:$BX$549,MATCH(AE$2,'Slutlig allokering kvv'!$B$1:$BX$1,0),FALSE)/1,0))</f>
        <v/>
      </c>
      <c r="AI346" s="121">
        <f t="shared" si="20"/>
        <v>0</v>
      </c>
      <c r="AK346" s="121">
        <f>IFERROR(VLOOKUP($B346,'Slutlig allokering kvv'!$B$2:$AX$549,MATCH("Summa slutlig allokerad tillförd energi (utan hjälpel och rökgaskondensering):",'Slutlig allokering kvv'!$B$1:$AX$1,0),FALSE)/1,"")</f>
        <v>0</v>
      </c>
      <c r="AM346" s="172" t="str">
        <f>IFERROR(1-VLOOKUP($B346,'Slutlig allokering kvv'!$B$2:$AX$549,MATCH("Andel av bränsle i kvv som allokerats till värme, exklusive rökgaskondensering och hjälpel",'Slutlig allokering kvv'!$B$1:$AX$1,0),FALSE),"")</f>
        <v/>
      </c>
      <c r="AO346" s="172" t="str">
        <f t="shared" si="21"/>
        <v/>
      </c>
      <c r="AP346" s="173" t="str">
        <f t="shared" si="22"/>
        <v/>
      </c>
      <c r="AR346" s="172" t="str">
        <f t="shared" si="23"/>
        <v/>
      </c>
    </row>
    <row r="347" spans="1:44" x14ac:dyDescent="0.25">
      <c r="A347" s="171" t="str">
        <f>'Miljövärden för publ företag'!B349</f>
        <v>Ånge Energi AB</v>
      </c>
      <c r="B347" s="171" t="str">
        <f>'Miljövärden för publ företag'!C349</f>
        <v>Fränsta</v>
      </c>
      <c r="C347" s="121" t="str">
        <f>IFERROR(VLOOKUP($B347,Kraftvärmeprod!$B$1:$AH$478,MATCH(C$2,Kraftvärmeprod!$B$1:$AG$1,0),FALSE)/1,"")</f>
        <v/>
      </c>
      <c r="D347" s="121" t="str">
        <f>IFERROR(VLOOKUP($B347,Kraftvärmeprod!$B$1:$AH$478,MATCH(D$2,Kraftvärmeprod!$B$1:$AG$1,0),FALSE)/1,"")</f>
        <v/>
      </c>
      <c r="F347" s="121" t="str">
        <f>IF($D347="","",IFERROR(VLOOKUP($B347,Kraftvärmeprod!$B$1:$BX$549,MATCH(F$2,Kraftvärmeprod!$B$1:$VX$1,0),FALSE)/1,0)-IFERROR(VLOOKUP($B347,'Slutlig allokering kvv'!$B$2:$BX$549,MATCH(F$2,'Slutlig allokering kvv'!$B$1:$BX$1,0),FALSE)/1,0))</f>
        <v/>
      </c>
      <c r="G347" s="121" t="str">
        <f>IF($D347="","",IFERROR(VLOOKUP($B347,Kraftvärmeprod!$B$1:$BX$549,MATCH(G$2,Kraftvärmeprod!$B$1:$VX$1,0),FALSE)/1,0)-IFERROR(VLOOKUP($B347,'Slutlig allokering kvv'!$B$2:$BX$549,MATCH(G$2,'Slutlig allokering kvv'!$B$1:$BX$1,0),FALSE)/1,0))</f>
        <v/>
      </c>
      <c r="H347" s="121" t="str">
        <f>IF($D347="","",IFERROR(VLOOKUP($B347,Kraftvärmeprod!$B$1:$BX$549,MATCH(H$2,Kraftvärmeprod!$B$1:$VX$1,0),FALSE)/1,0)-IFERROR(VLOOKUP($B347,'Slutlig allokering kvv'!$B$2:$BX$549,MATCH(H$2,'Slutlig allokering kvv'!$B$1:$BX$1,0),FALSE)/1,0))</f>
        <v/>
      </c>
      <c r="I347" s="121" t="str">
        <f>IF($D347="","",IFERROR(VLOOKUP($B347,Kraftvärmeprod!$B$1:$BX$549,MATCH(I$2,Kraftvärmeprod!$B$1:$VX$1,0),FALSE)/1,0)-IFERROR(VLOOKUP($B347,'Slutlig allokering kvv'!$B$2:$BX$549,MATCH(I$2,'Slutlig allokering kvv'!$B$1:$BX$1,0),FALSE)/1,0))</f>
        <v/>
      </c>
      <c r="J347" s="121" t="str">
        <f>IF($D347="","",IFERROR(VLOOKUP($B347,Kraftvärmeprod!$B$1:$BX$549,MATCH(J$2,Kraftvärmeprod!$B$1:$VX$1,0),FALSE)/1,0)-IFERROR(VLOOKUP($B347,'Slutlig allokering kvv'!$B$2:$BX$549,MATCH(J$2,'Slutlig allokering kvv'!$B$1:$BX$1,0),FALSE)/1,0))</f>
        <v/>
      </c>
      <c r="K347" s="121" t="str">
        <f>IF($D347="","",IFERROR(VLOOKUP($B347,Kraftvärmeprod!$B$1:$BX$549,MATCH(K$2,Kraftvärmeprod!$B$1:$VX$1,0),FALSE)/1,0)-IFERROR(VLOOKUP($B347,'Slutlig allokering kvv'!$B$2:$BX$549,MATCH(K$2,'Slutlig allokering kvv'!$B$1:$BX$1,0),FALSE)/1,0))</f>
        <v/>
      </c>
      <c r="L347" s="121" t="str">
        <f>IF($D347="","",IFERROR(VLOOKUP($B347,Kraftvärmeprod!$B$1:$BX$549,MATCH(L$2,Kraftvärmeprod!$B$1:$VX$1,0),FALSE)/1,0)-IFERROR(VLOOKUP($B347,'Slutlig allokering kvv'!$B$2:$BX$549,MATCH(L$2,'Slutlig allokering kvv'!$B$1:$BX$1,0),FALSE)/1,0))</f>
        <v/>
      </c>
      <c r="M347" s="121" t="str">
        <f>IF($D347="","",IFERROR(VLOOKUP($B347,Kraftvärmeprod!$B$1:$BX$549,MATCH(M$2,Kraftvärmeprod!$B$1:$VX$1,0),FALSE)/1,0)-IFERROR(VLOOKUP($B347,'Slutlig allokering kvv'!$B$2:$BX$549,MATCH(M$2,'Slutlig allokering kvv'!$B$1:$BX$1,0),FALSE)/1,0))</f>
        <v/>
      </c>
      <c r="N347" s="121" t="str">
        <f>IF($D347="","",IFERROR(VLOOKUP($B347,Kraftvärmeprod!$B$1:$BX$549,MATCH(N$2,Kraftvärmeprod!$B$1:$VX$1,0),FALSE)/1,0)-IFERROR(VLOOKUP($B347,'Slutlig allokering kvv'!$B$2:$BX$549,MATCH(N$2,'Slutlig allokering kvv'!$B$1:$BX$1,0),FALSE)/1,0))</f>
        <v/>
      </c>
      <c r="O347" s="121" t="str">
        <f>IF($D347="","",IFERROR(VLOOKUP($B347,Kraftvärmeprod!$B$1:$BX$549,MATCH(O$2,Kraftvärmeprod!$B$1:$VX$1,0),FALSE)/1,0)-IFERROR(VLOOKUP($B347,'Slutlig allokering kvv'!$B$2:$BX$549,MATCH(O$2,'Slutlig allokering kvv'!$B$1:$BX$1,0),FALSE)/1,0))</f>
        <v/>
      </c>
      <c r="P347" s="121" t="str">
        <f>IF($D347="","",IFERROR(VLOOKUP($B347,Kraftvärmeprod!$B$1:$BX$549,MATCH(P$2,Kraftvärmeprod!$B$1:$VX$1,0),FALSE)/1,0)-IFERROR(VLOOKUP($B347,'Slutlig allokering kvv'!$B$2:$BX$549,MATCH(P$2,'Slutlig allokering kvv'!$B$1:$BX$1,0),FALSE)/1,0))</f>
        <v/>
      </c>
      <c r="Q347" s="121" t="str">
        <f>IF($D347="","",IFERROR(VLOOKUP($B347,Kraftvärmeprod!$B$1:$BX$549,MATCH(Q$2,Kraftvärmeprod!$B$1:$VX$1,0),FALSE)/1,0)-IFERROR(VLOOKUP($B347,'Slutlig allokering kvv'!$B$2:$BX$549,MATCH(Q$2,'Slutlig allokering kvv'!$B$1:$BX$1,0),FALSE)/1,0))</f>
        <v/>
      </c>
      <c r="R347" s="121" t="str">
        <f>IF($D347="","",IFERROR(VLOOKUP($B347,Kraftvärmeprod!$B$1:$BX$549,MATCH(R$2,Kraftvärmeprod!$B$1:$VX$1,0),FALSE)/1,0)-IFERROR(VLOOKUP($B347,'Slutlig allokering kvv'!$B$2:$BX$549,MATCH(R$2,'Slutlig allokering kvv'!$B$1:$BX$1,0),FALSE)/1,0))</f>
        <v/>
      </c>
      <c r="S347" s="121" t="str">
        <f>IF($D347="","",IFERROR(VLOOKUP($B347,Kraftvärmeprod!$B$1:$BX$549,MATCH(S$2,Kraftvärmeprod!$B$1:$VX$1,0),FALSE)/1,0)-IFERROR(VLOOKUP($B347,'Slutlig allokering kvv'!$B$2:$BX$549,MATCH(S$2,'Slutlig allokering kvv'!$B$1:$BX$1,0),FALSE)/1,0))</f>
        <v/>
      </c>
      <c r="T347" s="121" t="str">
        <f>IF($D347="","",IFERROR(VLOOKUP($B347,Kraftvärmeprod!$B$1:$BX$549,MATCH(T$2,Kraftvärmeprod!$B$1:$VX$1,0),FALSE)/1,0)-IFERROR(VLOOKUP($B347,'Slutlig allokering kvv'!$B$2:$BX$549,MATCH(T$2,'Slutlig allokering kvv'!$B$1:$BX$1,0),FALSE)/1,0))</f>
        <v/>
      </c>
      <c r="U347" s="121" t="str">
        <f>IF($D347="","",IFERROR(VLOOKUP($B347,Kraftvärmeprod!$B$1:$BX$549,MATCH(U$2,Kraftvärmeprod!$B$1:$VX$1,0),FALSE)/1,0)-IFERROR(VLOOKUP($B347,'Slutlig allokering kvv'!$B$2:$BX$549,MATCH(U$2,'Slutlig allokering kvv'!$B$1:$BX$1,0),FALSE)/1,0))</f>
        <v/>
      </c>
      <c r="V347" s="121" t="str">
        <f>IF($D347="","",IFERROR(VLOOKUP($B347,Kraftvärmeprod!$B$1:$BX$549,MATCH(V$2,Kraftvärmeprod!$B$1:$VX$1,0),FALSE)/1,0)-IFERROR(VLOOKUP($B347,'Slutlig allokering kvv'!$B$2:$BX$549,MATCH(V$2,'Slutlig allokering kvv'!$B$1:$BX$1,0),FALSE)/1,0))</f>
        <v/>
      </c>
      <c r="W347" s="121" t="str">
        <f>IF($D347="","",IFERROR(VLOOKUP($B347,Kraftvärmeprod!$B$1:$BX$549,MATCH(W$2,Kraftvärmeprod!$B$1:$VX$1,0),FALSE)/1,0)-IFERROR(VLOOKUP($B347,'Slutlig allokering kvv'!$B$2:$BX$549,MATCH(W$2,'Slutlig allokering kvv'!$B$1:$BX$1,0),FALSE)/1,0))</f>
        <v/>
      </c>
      <c r="X347" s="121" t="str">
        <f>IF($D347="","",IFERROR(VLOOKUP($B347,Kraftvärmeprod!$B$1:$BX$549,MATCH(X$2,Kraftvärmeprod!$B$1:$VX$1,0),FALSE)/1,0)-IFERROR(VLOOKUP($B347,'Slutlig allokering kvv'!$B$2:$BX$549,MATCH(X$2,'Slutlig allokering kvv'!$B$1:$BX$1,0),FALSE)/1,0))</f>
        <v/>
      </c>
      <c r="Y347" s="121" t="str">
        <f>IF($D347="","",IFERROR(VLOOKUP($B347,Kraftvärmeprod!$B$1:$BX$549,MATCH(Y$2,Kraftvärmeprod!$B$1:$VX$1,0),FALSE)/1,0)-IFERROR(VLOOKUP($B347,'Slutlig allokering kvv'!$B$2:$BX$549,MATCH(Y$2,'Slutlig allokering kvv'!$B$1:$BX$1,0),FALSE)/1,0))</f>
        <v/>
      </c>
      <c r="Z347" s="121" t="str">
        <f>IF($D347="","",IFERROR(VLOOKUP($B347,Kraftvärmeprod!$B$1:$BX$549,MATCH(Z$2,Kraftvärmeprod!$B$1:$VX$1,0),FALSE)/1,0)-IFERROR(VLOOKUP($B347,'Slutlig allokering kvv'!$B$2:$BX$549,MATCH(Z$2,'Slutlig allokering kvv'!$B$1:$BX$1,0),FALSE)/1,0))</f>
        <v/>
      </c>
      <c r="AA347" s="121" t="str">
        <f>IF($D347="","",IFERROR(VLOOKUP($B347,Kraftvärmeprod!$B$1:$BX$549,MATCH(AA$2,Kraftvärmeprod!$B$1:$VX$1,0),FALSE)/1,0)-IFERROR(VLOOKUP($B347,'Slutlig allokering kvv'!$B$2:$BX$549,MATCH(AA$2,'Slutlig allokering kvv'!$B$1:$BX$1,0),FALSE)/1,0))</f>
        <v/>
      </c>
      <c r="AB347" s="121" t="str">
        <f>IF($D347="","",IFERROR(VLOOKUP($B347,Kraftvärmeprod!$B$1:$BX$549,MATCH(AB$2,Kraftvärmeprod!$B$1:$VX$1,0),FALSE)/1,0)-IFERROR(VLOOKUP($B347,'Slutlig allokering kvv'!$B$2:$BX$549,MATCH(AB$2,'Slutlig allokering kvv'!$B$1:$BX$1,0),FALSE)/1,0))</f>
        <v/>
      </c>
      <c r="AC347" s="121" t="str">
        <f>IF($D347="","",IFERROR(VLOOKUP($B347,Kraftvärmeprod!$B$1:$BX$549,MATCH(AC$2,Kraftvärmeprod!$B$1:$VX$1,0),FALSE)/1,0)-IFERROR(VLOOKUP($B347,'Slutlig allokering kvv'!$B$2:$BX$549,MATCH(AC$2,'Slutlig allokering kvv'!$B$1:$BX$1,0),FALSE)/1,0))</f>
        <v/>
      </c>
      <c r="AD347" s="121" t="str">
        <f>IF($D347="","",IFERROR(VLOOKUP($B347,Kraftvärmeprod!$B$1:$BX$549,MATCH(AD$2,Kraftvärmeprod!$B$1:$VX$1,0),FALSE)/1,0)-IFERROR(VLOOKUP($B347,'Slutlig allokering kvv'!$B$2:$BX$549,MATCH(AD$2,'Slutlig allokering kvv'!$B$1:$BX$1,0),FALSE)/1,0))</f>
        <v/>
      </c>
      <c r="AE347" s="121" t="str">
        <f>IF($D347="","",IFERROR(VLOOKUP($B347,Miljö!$B$1:$E$550,MATCH("Hjälpel kraftvärme (GWh)",Miljö!$B$1:$E$1,0),FALSE)/1,0)-IFERROR(VLOOKUP($B347,'Slutlig allokering kvv'!$B$2:$BX$549,MATCH(AE$2,'Slutlig allokering kvv'!$B$1:$BX$1,0),FALSE)/1,0))</f>
        <v/>
      </c>
      <c r="AI347" s="121">
        <f t="shared" si="20"/>
        <v>0</v>
      </c>
      <c r="AK347" s="121">
        <f>IFERROR(VLOOKUP($B347,'Slutlig allokering kvv'!$B$2:$AX$549,MATCH("Summa slutlig allokerad tillförd energi (utan hjälpel och rökgaskondensering):",'Slutlig allokering kvv'!$B$1:$AX$1,0),FALSE)/1,"")</f>
        <v>0</v>
      </c>
      <c r="AM347" s="172" t="str">
        <f>IFERROR(1-VLOOKUP($B347,'Slutlig allokering kvv'!$B$2:$AX$549,MATCH("Andel av bränsle i kvv som allokerats till värme, exklusive rökgaskondensering och hjälpel",'Slutlig allokering kvv'!$B$1:$AX$1,0),FALSE),"")</f>
        <v/>
      </c>
      <c r="AO347" s="172" t="str">
        <f t="shared" si="21"/>
        <v/>
      </c>
      <c r="AP347" s="173" t="str">
        <f t="shared" si="22"/>
        <v/>
      </c>
      <c r="AR347" s="172" t="str">
        <f t="shared" si="23"/>
        <v/>
      </c>
    </row>
    <row r="348" spans="1:44" x14ac:dyDescent="0.25">
      <c r="A348" s="171" t="str">
        <f>'Miljövärden för publ företag'!B350</f>
        <v>Ånge Energi AB</v>
      </c>
      <c r="B348" s="171" t="str">
        <f>'Miljövärden för publ företag'!C350</f>
        <v>Ånge</v>
      </c>
      <c r="C348" s="121" t="str">
        <f>IFERROR(VLOOKUP($B348,Kraftvärmeprod!$B$1:$AH$478,MATCH(C$2,Kraftvärmeprod!$B$1:$AG$1,0),FALSE)/1,"")</f>
        <v/>
      </c>
      <c r="D348" s="121" t="str">
        <f>IFERROR(VLOOKUP($B348,Kraftvärmeprod!$B$1:$AH$478,MATCH(D$2,Kraftvärmeprod!$B$1:$AG$1,0),FALSE)/1,"")</f>
        <v/>
      </c>
      <c r="F348" s="121" t="str">
        <f>IF($D348="","",IFERROR(VLOOKUP($B348,Kraftvärmeprod!$B$1:$BX$549,MATCH(F$2,Kraftvärmeprod!$B$1:$VX$1,0),FALSE)/1,0)-IFERROR(VLOOKUP($B348,'Slutlig allokering kvv'!$B$2:$BX$549,MATCH(F$2,'Slutlig allokering kvv'!$B$1:$BX$1,0),FALSE)/1,0))</f>
        <v/>
      </c>
      <c r="G348" s="121" t="str">
        <f>IF($D348="","",IFERROR(VLOOKUP($B348,Kraftvärmeprod!$B$1:$BX$549,MATCH(G$2,Kraftvärmeprod!$B$1:$VX$1,0),FALSE)/1,0)-IFERROR(VLOOKUP($B348,'Slutlig allokering kvv'!$B$2:$BX$549,MATCH(G$2,'Slutlig allokering kvv'!$B$1:$BX$1,0),FALSE)/1,0))</f>
        <v/>
      </c>
      <c r="H348" s="121" t="str">
        <f>IF($D348="","",IFERROR(VLOOKUP($B348,Kraftvärmeprod!$B$1:$BX$549,MATCH(H$2,Kraftvärmeprod!$B$1:$VX$1,0),FALSE)/1,0)-IFERROR(VLOOKUP($B348,'Slutlig allokering kvv'!$B$2:$BX$549,MATCH(H$2,'Slutlig allokering kvv'!$B$1:$BX$1,0),FALSE)/1,0))</f>
        <v/>
      </c>
      <c r="I348" s="121" t="str">
        <f>IF($D348="","",IFERROR(VLOOKUP($B348,Kraftvärmeprod!$B$1:$BX$549,MATCH(I$2,Kraftvärmeprod!$B$1:$VX$1,0),FALSE)/1,0)-IFERROR(VLOOKUP($B348,'Slutlig allokering kvv'!$B$2:$BX$549,MATCH(I$2,'Slutlig allokering kvv'!$B$1:$BX$1,0),FALSE)/1,0))</f>
        <v/>
      </c>
      <c r="J348" s="121" t="str">
        <f>IF($D348="","",IFERROR(VLOOKUP($B348,Kraftvärmeprod!$B$1:$BX$549,MATCH(J$2,Kraftvärmeprod!$B$1:$VX$1,0),FALSE)/1,0)-IFERROR(VLOOKUP($B348,'Slutlig allokering kvv'!$B$2:$BX$549,MATCH(J$2,'Slutlig allokering kvv'!$B$1:$BX$1,0),FALSE)/1,0))</f>
        <v/>
      </c>
      <c r="K348" s="121" t="str">
        <f>IF($D348="","",IFERROR(VLOOKUP($B348,Kraftvärmeprod!$B$1:$BX$549,MATCH(K$2,Kraftvärmeprod!$B$1:$VX$1,0),FALSE)/1,0)-IFERROR(VLOOKUP($B348,'Slutlig allokering kvv'!$B$2:$BX$549,MATCH(K$2,'Slutlig allokering kvv'!$B$1:$BX$1,0),FALSE)/1,0))</f>
        <v/>
      </c>
      <c r="L348" s="121" t="str">
        <f>IF($D348="","",IFERROR(VLOOKUP($B348,Kraftvärmeprod!$B$1:$BX$549,MATCH(L$2,Kraftvärmeprod!$B$1:$VX$1,0),FALSE)/1,0)-IFERROR(VLOOKUP($B348,'Slutlig allokering kvv'!$B$2:$BX$549,MATCH(L$2,'Slutlig allokering kvv'!$B$1:$BX$1,0),FALSE)/1,0))</f>
        <v/>
      </c>
      <c r="M348" s="121" t="str">
        <f>IF($D348="","",IFERROR(VLOOKUP($B348,Kraftvärmeprod!$B$1:$BX$549,MATCH(M$2,Kraftvärmeprod!$B$1:$VX$1,0),FALSE)/1,0)-IFERROR(VLOOKUP($B348,'Slutlig allokering kvv'!$B$2:$BX$549,MATCH(M$2,'Slutlig allokering kvv'!$B$1:$BX$1,0),FALSE)/1,0))</f>
        <v/>
      </c>
      <c r="N348" s="121" t="str">
        <f>IF($D348="","",IFERROR(VLOOKUP($B348,Kraftvärmeprod!$B$1:$BX$549,MATCH(N$2,Kraftvärmeprod!$B$1:$VX$1,0),FALSE)/1,0)-IFERROR(VLOOKUP($B348,'Slutlig allokering kvv'!$B$2:$BX$549,MATCH(N$2,'Slutlig allokering kvv'!$B$1:$BX$1,0),FALSE)/1,0))</f>
        <v/>
      </c>
      <c r="O348" s="121" t="str">
        <f>IF($D348="","",IFERROR(VLOOKUP($B348,Kraftvärmeprod!$B$1:$BX$549,MATCH(O$2,Kraftvärmeprod!$B$1:$VX$1,0),FALSE)/1,0)-IFERROR(VLOOKUP($B348,'Slutlig allokering kvv'!$B$2:$BX$549,MATCH(O$2,'Slutlig allokering kvv'!$B$1:$BX$1,0),FALSE)/1,0))</f>
        <v/>
      </c>
      <c r="P348" s="121" t="str">
        <f>IF($D348="","",IFERROR(VLOOKUP($B348,Kraftvärmeprod!$B$1:$BX$549,MATCH(P$2,Kraftvärmeprod!$B$1:$VX$1,0),FALSE)/1,0)-IFERROR(VLOOKUP($B348,'Slutlig allokering kvv'!$B$2:$BX$549,MATCH(P$2,'Slutlig allokering kvv'!$B$1:$BX$1,0),FALSE)/1,0))</f>
        <v/>
      </c>
      <c r="Q348" s="121" t="str">
        <f>IF($D348="","",IFERROR(VLOOKUP($B348,Kraftvärmeprod!$B$1:$BX$549,MATCH(Q$2,Kraftvärmeprod!$B$1:$VX$1,0),FALSE)/1,0)-IFERROR(VLOOKUP($B348,'Slutlig allokering kvv'!$B$2:$BX$549,MATCH(Q$2,'Slutlig allokering kvv'!$B$1:$BX$1,0),FALSE)/1,0))</f>
        <v/>
      </c>
      <c r="R348" s="121" t="str">
        <f>IF($D348="","",IFERROR(VLOOKUP($B348,Kraftvärmeprod!$B$1:$BX$549,MATCH(R$2,Kraftvärmeprod!$B$1:$VX$1,0),FALSE)/1,0)-IFERROR(VLOOKUP($B348,'Slutlig allokering kvv'!$B$2:$BX$549,MATCH(R$2,'Slutlig allokering kvv'!$B$1:$BX$1,0),FALSE)/1,0))</f>
        <v/>
      </c>
      <c r="S348" s="121" t="str">
        <f>IF($D348="","",IFERROR(VLOOKUP($B348,Kraftvärmeprod!$B$1:$BX$549,MATCH(S$2,Kraftvärmeprod!$B$1:$VX$1,0),FALSE)/1,0)-IFERROR(VLOOKUP($B348,'Slutlig allokering kvv'!$B$2:$BX$549,MATCH(S$2,'Slutlig allokering kvv'!$B$1:$BX$1,0),FALSE)/1,0))</f>
        <v/>
      </c>
      <c r="T348" s="121" t="str">
        <f>IF($D348="","",IFERROR(VLOOKUP($B348,Kraftvärmeprod!$B$1:$BX$549,MATCH(T$2,Kraftvärmeprod!$B$1:$VX$1,0),FALSE)/1,0)-IFERROR(VLOOKUP($B348,'Slutlig allokering kvv'!$B$2:$BX$549,MATCH(T$2,'Slutlig allokering kvv'!$B$1:$BX$1,0),FALSE)/1,0))</f>
        <v/>
      </c>
      <c r="U348" s="121" t="str">
        <f>IF($D348="","",IFERROR(VLOOKUP($B348,Kraftvärmeprod!$B$1:$BX$549,MATCH(U$2,Kraftvärmeprod!$B$1:$VX$1,0),FALSE)/1,0)-IFERROR(VLOOKUP($B348,'Slutlig allokering kvv'!$B$2:$BX$549,MATCH(U$2,'Slutlig allokering kvv'!$B$1:$BX$1,0),FALSE)/1,0))</f>
        <v/>
      </c>
      <c r="V348" s="121" t="str">
        <f>IF($D348="","",IFERROR(VLOOKUP($B348,Kraftvärmeprod!$B$1:$BX$549,MATCH(V$2,Kraftvärmeprod!$B$1:$VX$1,0),FALSE)/1,0)-IFERROR(VLOOKUP($B348,'Slutlig allokering kvv'!$B$2:$BX$549,MATCH(V$2,'Slutlig allokering kvv'!$B$1:$BX$1,0),FALSE)/1,0))</f>
        <v/>
      </c>
      <c r="W348" s="121" t="str">
        <f>IF($D348="","",IFERROR(VLOOKUP($B348,Kraftvärmeprod!$B$1:$BX$549,MATCH(W$2,Kraftvärmeprod!$B$1:$VX$1,0),FALSE)/1,0)-IFERROR(VLOOKUP($B348,'Slutlig allokering kvv'!$B$2:$BX$549,MATCH(W$2,'Slutlig allokering kvv'!$B$1:$BX$1,0),FALSE)/1,0))</f>
        <v/>
      </c>
      <c r="X348" s="121" t="str">
        <f>IF($D348="","",IFERROR(VLOOKUP($B348,Kraftvärmeprod!$B$1:$BX$549,MATCH(X$2,Kraftvärmeprod!$B$1:$VX$1,0),FALSE)/1,0)-IFERROR(VLOOKUP($B348,'Slutlig allokering kvv'!$B$2:$BX$549,MATCH(X$2,'Slutlig allokering kvv'!$B$1:$BX$1,0),FALSE)/1,0))</f>
        <v/>
      </c>
      <c r="Y348" s="121" t="str">
        <f>IF($D348="","",IFERROR(VLOOKUP($B348,Kraftvärmeprod!$B$1:$BX$549,MATCH(Y$2,Kraftvärmeprod!$B$1:$VX$1,0),FALSE)/1,0)-IFERROR(VLOOKUP($B348,'Slutlig allokering kvv'!$B$2:$BX$549,MATCH(Y$2,'Slutlig allokering kvv'!$B$1:$BX$1,0),FALSE)/1,0))</f>
        <v/>
      </c>
      <c r="Z348" s="121" t="str">
        <f>IF($D348="","",IFERROR(VLOOKUP($B348,Kraftvärmeprod!$B$1:$BX$549,MATCH(Z$2,Kraftvärmeprod!$B$1:$VX$1,0),FALSE)/1,0)-IFERROR(VLOOKUP($B348,'Slutlig allokering kvv'!$B$2:$BX$549,MATCH(Z$2,'Slutlig allokering kvv'!$B$1:$BX$1,0),FALSE)/1,0))</f>
        <v/>
      </c>
      <c r="AA348" s="121" t="str">
        <f>IF($D348="","",IFERROR(VLOOKUP($B348,Kraftvärmeprod!$B$1:$BX$549,MATCH(AA$2,Kraftvärmeprod!$B$1:$VX$1,0),FALSE)/1,0)-IFERROR(VLOOKUP($B348,'Slutlig allokering kvv'!$B$2:$BX$549,MATCH(AA$2,'Slutlig allokering kvv'!$B$1:$BX$1,0),FALSE)/1,0))</f>
        <v/>
      </c>
      <c r="AB348" s="121" t="str">
        <f>IF($D348="","",IFERROR(VLOOKUP($B348,Kraftvärmeprod!$B$1:$BX$549,MATCH(AB$2,Kraftvärmeprod!$B$1:$VX$1,0),FALSE)/1,0)-IFERROR(VLOOKUP($B348,'Slutlig allokering kvv'!$B$2:$BX$549,MATCH(AB$2,'Slutlig allokering kvv'!$B$1:$BX$1,0),FALSE)/1,0))</f>
        <v/>
      </c>
      <c r="AC348" s="121" t="str">
        <f>IF($D348="","",IFERROR(VLOOKUP($B348,Kraftvärmeprod!$B$1:$BX$549,MATCH(AC$2,Kraftvärmeprod!$B$1:$VX$1,0),FALSE)/1,0)-IFERROR(VLOOKUP($B348,'Slutlig allokering kvv'!$B$2:$BX$549,MATCH(AC$2,'Slutlig allokering kvv'!$B$1:$BX$1,0),FALSE)/1,0))</f>
        <v/>
      </c>
      <c r="AD348" s="121" t="str">
        <f>IF($D348="","",IFERROR(VLOOKUP($B348,Kraftvärmeprod!$B$1:$BX$549,MATCH(AD$2,Kraftvärmeprod!$B$1:$VX$1,0),FALSE)/1,0)-IFERROR(VLOOKUP($B348,'Slutlig allokering kvv'!$B$2:$BX$549,MATCH(AD$2,'Slutlig allokering kvv'!$B$1:$BX$1,0),FALSE)/1,0))</f>
        <v/>
      </c>
      <c r="AE348" s="121" t="str">
        <f>IF($D348="","",IFERROR(VLOOKUP($B348,Miljö!$B$1:$E$550,MATCH("Hjälpel kraftvärme (GWh)",Miljö!$B$1:$E$1,0),FALSE)/1,0)-IFERROR(VLOOKUP($B348,'Slutlig allokering kvv'!$B$2:$BX$549,MATCH(AE$2,'Slutlig allokering kvv'!$B$1:$BX$1,0),FALSE)/1,0))</f>
        <v/>
      </c>
      <c r="AI348" s="121">
        <f t="shared" si="20"/>
        <v>0</v>
      </c>
      <c r="AK348" s="121">
        <f>IFERROR(VLOOKUP($B348,'Slutlig allokering kvv'!$B$2:$AX$549,MATCH("Summa slutlig allokerad tillförd energi (utan hjälpel och rökgaskondensering):",'Slutlig allokering kvv'!$B$1:$AX$1,0),FALSE)/1,"")</f>
        <v>0</v>
      </c>
      <c r="AM348" s="172" t="str">
        <f>IFERROR(1-VLOOKUP($B348,'Slutlig allokering kvv'!$B$2:$AX$549,MATCH("Andel av bränsle i kvv som allokerats till värme, exklusive rökgaskondensering och hjälpel",'Slutlig allokering kvv'!$B$1:$AX$1,0),FALSE),"")</f>
        <v/>
      </c>
      <c r="AO348" s="172" t="str">
        <f t="shared" si="21"/>
        <v/>
      </c>
      <c r="AP348" s="173" t="str">
        <f t="shared" si="22"/>
        <v/>
      </c>
      <c r="AR348" s="172" t="str">
        <f t="shared" si="23"/>
        <v/>
      </c>
    </row>
    <row r="349" spans="1:44" x14ac:dyDescent="0.25">
      <c r="A349" s="171" t="str">
        <f>'Miljövärden för publ företag'!B351</f>
        <v>Öresundskraft AB</v>
      </c>
      <c r="B349" s="171" t="str">
        <f>'Miljövärden för publ företag'!C351</f>
        <v>Helsingborg</v>
      </c>
      <c r="C349" s="121">
        <f>IFERROR(VLOOKUP($B349,Kraftvärmeprod!$B$1:$AH$478,MATCH(C$2,Kraftvärmeprod!$B$1:$AG$1,0),FALSE)/1,"")</f>
        <v>650</v>
      </c>
      <c r="D349" s="121">
        <f>IFERROR(VLOOKUP($B349,Kraftvärmeprod!$B$1:$AH$478,MATCH(D$2,Kraftvärmeprod!$B$1:$AG$1,0),FALSE)/1,"")</f>
        <v>240.8</v>
      </c>
      <c r="F349" s="121">
        <f>IF($D349="","",IFERROR(VLOOKUP($B349,Kraftvärmeprod!$B$1:$BX$549,MATCH(F$2,Kraftvärmeprod!$B$1:$VX$1,0),FALSE)/1,0)-IFERROR(VLOOKUP($B349,'Slutlig allokering kvv'!$B$2:$BX$549,MATCH(F$2,'Slutlig allokering kvv'!$B$1:$BX$1,0),FALSE)/1,0))</f>
        <v>0</v>
      </c>
      <c r="G349" s="121">
        <f>IF($D349="","",IFERROR(VLOOKUP($B349,Kraftvärmeprod!$B$1:$BX$549,MATCH(G$2,Kraftvärmeprod!$B$1:$VX$1,0),FALSE)/1,0)-IFERROR(VLOOKUP($B349,'Slutlig allokering kvv'!$B$2:$BX$549,MATCH(G$2,'Slutlig allokering kvv'!$B$1:$BX$1,0),FALSE)/1,0))</f>
        <v>0.69300000000000006</v>
      </c>
      <c r="H349" s="121">
        <f>IF($D349="","",IFERROR(VLOOKUP($B349,Kraftvärmeprod!$B$1:$BX$549,MATCH(H$2,Kraftvärmeprod!$B$1:$VX$1,0),FALSE)/1,0)-IFERROR(VLOOKUP($B349,'Slutlig allokering kvv'!$B$2:$BX$549,MATCH(H$2,'Slutlig allokering kvv'!$B$1:$BX$1,0),FALSE)/1,0))</f>
        <v>0</v>
      </c>
      <c r="I349" s="121">
        <f>IF($D349="","",IFERROR(VLOOKUP($B349,Kraftvärmeprod!$B$1:$BX$549,MATCH(I$2,Kraftvärmeprod!$B$1:$VX$1,0),FALSE)/1,0)-IFERROR(VLOOKUP($B349,'Slutlig allokering kvv'!$B$2:$BX$549,MATCH(I$2,'Slutlig allokering kvv'!$B$1:$BX$1,0),FALSE)/1,0))</f>
        <v>0.87199999999999989</v>
      </c>
      <c r="J349" s="121">
        <f>IF($D349="","",IFERROR(VLOOKUP($B349,Kraftvärmeprod!$B$1:$BX$549,MATCH(J$2,Kraftvärmeprod!$B$1:$VX$1,0),FALSE)/1,0)-IFERROR(VLOOKUP($B349,'Slutlig allokering kvv'!$B$2:$BX$549,MATCH(J$2,'Slutlig allokering kvv'!$B$1:$BX$1,0),FALSE)/1,0))</f>
        <v>0</v>
      </c>
      <c r="K349" s="121">
        <f>IF($D349="","",IFERROR(VLOOKUP($B349,Kraftvärmeprod!$B$1:$BX$549,MATCH(K$2,Kraftvärmeprod!$B$1:$VX$1,0),FALSE)/1,0)-IFERROR(VLOOKUP($B349,'Slutlig allokering kvv'!$B$2:$BX$549,MATCH(K$2,'Slutlig allokering kvv'!$B$1:$BX$1,0),FALSE)/1,0))</f>
        <v>0</v>
      </c>
      <c r="L349" s="121">
        <f>IF($D349="","",IFERROR(VLOOKUP($B349,Kraftvärmeprod!$B$1:$BX$549,MATCH(L$2,Kraftvärmeprod!$B$1:$VX$1,0),FALSE)/1,0)-IFERROR(VLOOKUP($B349,'Slutlig allokering kvv'!$B$2:$BX$549,MATCH(L$2,'Slutlig allokering kvv'!$B$1:$BX$1,0),FALSE)/1,0))</f>
        <v>0</v>
      </c>
      <c r="M349" s="121">
        <f>IF($D349="","",IFERROR(VLOOKUP($B349,Kraftvärmeprod!$B$1:$BX$549,MATCH(M$2,Kraftvärmeprod!$B$1:$VX$1,0),FALSE)/1,0)-IFERROR(VLOOKUP($B349,'Slutlig allokering kvv'!$B$2:$BX$549,MATCH(M$2,'Slutlig allokering kvv'!$B$1:$BX$1,0),FALSE)/1,0))</f>
        <v>0</v>
      </c>
      <c r="N349" s="121">
        <f>IF($D349="","",IFERROR(VLOOKUP($B349,Kraftvärmeprod!$B$1:$BX$549,MATCH(N$2,Kraftvärmeprod!$B$1:$VX$1,0),FALSE)/1,0)-IFERROR(VLOOKUP($B349,'Slutlig allokering kvv'!$B$2:$BX$549,MATCH(N$2,'Slutlig allokering kvv'!$B$1:$BX$1,0),FALSE)/1,0))</f>
        <v>0</v>
      </c>
      <c r="O349" s="121">
        <f>IF($D349="","",IFERROR(VLOOKUP($B349,Kraftvärmeprod!$B$1:$BX$549,MATCH(O$2,Kraftvärmeprod!$B$1:$VX$1,0),FALSE)/1,0)-IFERROR(VLOOKUP($B349,'Slutlig allokering kvv'!$B$2:$BX$549,MATCH(O$2,'Slutlig allokering kvv'!$B$1:$BX$1,0),FALSE)/1,0))</f>
        <v>0</v>
      </c>
      <c r="P349" s="121">
        <f>IF($D349="","",IFERROR(VLOOKUP($B349,Kraftvärmeprod!$B$1:$BX$549,MATCH(P$2,Kraftvärmeprod!$B$1:$VX$1,0),FALSE)/1,0)-IFERROR(VLOOKUP($B349,'Slutlig allokering kvv'!$B$2:$BX$549,MATCH(P$2,'Slutlig allokering kvv'!$B$1:$BX$1,0),FALSE)/1,0))</f>
        <v>0</v>
      </c>
      <c r="Q349" s="121">
        <f>IF($D349="","",IFERROR(VLOOKUP($B349,Kraftvärmeprod!$B$1:$BX$549,MATCH(Q$2,Kraftvärmeprod!$B$1:$VX$1,0),FALSE)/1,0)-IFERROR(VLOOKUP($B349,'Slutlig allokering kvv'!$B$2:$BX$549,MATCH(Q$2,'Slutlig allokering kvv'!$B$1:$BX$1,0),FALSE)/1,0))</f>
        <v>0</v>
      </c>
      <c r="R349" s="121">
        <f>IF($D349="","",IFERROR(VLOOKUP($B349,Kraftvärmeprod!$B$1:$BX$549,MATCH(R$2,Kraftvärmeprod!$B$1:$VX$1,0),FALSE)/1,0)-IFERROR(VLOOKUP($B349,'Slutlig allokering kvv'!$B$2:$BX$549,MATCH(R$2,'Slutlig allokering kvv'!$B$1:$BX$1,0),FALSE)/1,0))</f>
        <v>0</v>
      </c>
      <c r="S349" s="121">
        <f>IF($D349="","",IFERROR(VLOOKUP($B349,Kraftvärmeprod!$B$1:$BX$549,MATCH(S$2,Kraftvärmeprod!$B$1:$VX$1,0),FALSE)/1,0)-IFERROR(VLOOKUP($B349,'Slutlig allokering kvv'!$B$2:$BX$549,MATCH(S$2,'Slutlig allokering kvv'!$B$1:$BX$1,0),FALSE)/1,0))</f>
        <v>240.7</v>
      </c>
      <c r="T349" s="121">
        <f>IF($D349="","",IFERROR(VLOOKUP($B349,Kraftvärmeprod!$B$1:$BX$549,MATCH(T$2,Kraftvärmeprod!$B$1:$VX$1,0),FALSE)/1,0)-IFERROR(VLOOKUP($B349,'Slutlig allokering kvv'!$B$2:$BX$549,MATCH(T$2,'Slutlig allokering kvv'!$B$1:$BX$1,0),FALSE)/1,0))</f>
        <v>0</v>
      </c>
      <c r="U349" s="121">
        <f>IF($D349="","",IFERROR(VLOOKUP($B349,Kraftvärmeprod!$B$1:$BX$549,MATCH(U$2,Kraftvärmeprod!$B$1:$VX$1,0),FALSE)/1,0)-IFERROR(VLOOKUP($B349,'Slutlig allokering kvv'!$B$2:$BX$549,MATCH(U$2,'Slutlig allokering kvv'!$B$1:$BX$1,0),FALSE)/1,0))</f>
        <v>0</v>
      </c>
      <c r="V349" s="121">
        <f>IF($D349="","",IFERROR(VLOOKUP($B349,Kraftvärmeprod!$B$1:$BX$549,MATCH(V$2,Kraftvärmeprod!$B$1:$VX$1,0),FALSE)/1,0)-IFERROR(VLOOKUP($B349,'Slutlig allokering kvv'!$B$2:$BX$549,MATCH(V$2,'Slutlig allokering kvv'!$B$1:$BX$1,0),FALSE)/1,0))</f>
        <v>0</v>
      </c>
      <c r="W349" s="121">
        <f>IF($D349="","",IFERROR(VLOOKUP($B349,Kraftvärmeprod!$B$1:$BX$549,MATCH(W$2,Kraftvärmeprod!$B$1:$VX$1,0),FALSE)/1,0)-IFERROR(VLOOKUP($B349,'Slutlig allokering kvv'!$B$2:$BX$549,MATCH(W$2,'Slutlig allokering kvv'!$B$1:$BX$1,0),FALSE)/1,0))</f>
        <v>0</v>
      </c>
      <c r="X349" s="121">
        <f>IF($D349="","",IFERROR(VLOOKUP($B349,Kraftvärmeprod!$B$1:$BX$549,MATCH(X$2,Kraftvärmeprod!$B$1:$VX$1,0),FALSE)/1,0)-IFERROR(VLOOKUP($B349,'Slutlig allokering kvv'!$B$2:$BX$549,MATCH(X$2,'Slutlig allokering kvv'!$B$1:$BX$1,0),FALSE)/1,0))</f>
        <v>0.47119200000000006</v>
      </c>
      <c r="Y349" s="121">
        <f>IF($D349="","",IFERROR(VLOOKUP($B349,Kraftvärmeprod!$B$1:$BX$549,MATCH(Y$2,Kraftvärmeprod!$B$1:$VX$1,0),FALSE)/1,0)-IFERROR(VLOOKUP($B349,'Slutlig allokering kvv'!$B$2:$BX$549,MATCH(Y$2,'Slutlig allokering kvv'!$B$1:$BX$1,0),FALSE)/1,0))</f>
        <v>0</v>
      </c>
      <c r="Z349" s="121">
        <f>IF($D349="","",IFERROR(VLOOKUP($B349,Kraftvärmeprod!$B$1:$BX$549,MATCH(Z$2,Kraftvärmeprod!$B$1:$VX$1,0),FALSE)/1,0)-IFERROR(VLOOKUP($B349,'Slutlig allokering kvv'!$B$2:$BX$549,MATCH(Z$2,'Slutlig allokering kvv'!$B$1:$BX$1,0),FALSE)/1,0))</f>
        <v>0</v>
      </c>
      <c r="AA349" s="121">
        <f>IF($D349="","",IFERROR(VLOOKUP($B349,Kraftvärmeprod!$B$1:$BX$549,MATCH(AA$2,Kraftvärmeprod!$B$1:$VX$1,0),FALSE)/1,0)-IFERROR(VLOOKUP($B349,'Slutlig allokering kvv'!$B$2:$BX$549,MATCH(AA$2,'Slutlig allokering kvv'!$B$1:$BX$1,0),FALSE)/1,0))</f>
        <v>353.2</v>
      </c>
      <c r="AB349" s="121">
        <f>IF($D349="","",IFERROR(VLOOKUP($B349,Kraftvärmeprod!$B$1:$BX$549,MATCH(AB$2,Kraftvärmeprod!$B$1:$VX$1,0),FALSE)/1,0)-IFERROR(VLOOKUP($B349,'Slutlig allokering kvv'!$B$2:$BX$549,MATCH(AB$2,'Slutlig allokering kvv'!$B$1:$BX$1,0),FALSE)/1,0))</f>
        <v>0</v>
      </c>
      <c r="AC349" s="121">
        <f>IF($D349="","",IFERROR(VLOOKUP($B349,Kraftvärmeprod!$B$1:$BX$549,MATCH(AC$2,Kraftvärmeprod!$B$1:$VX$1,0),FALSE)/1,0)-IFERROR(VLOOKUP($B349,'Slutlig allokering kvv'!$B$2:$BX$549,MATCH(AC$2,'Slutlig allokering kvv'!$B$1:$BX$1,0),FALSE)/1,0))</f>
        <v>0</v>
      </c>
      <c r="AD349" s="121">
        <f>IF($D349="","",IFERROR(VLOOKUP($B349,Kraftvärmeprod!$B$1:$BX$549,MATCH(AD$2,Kraftvärmeprod!$B$1:$VX$1,0),FALSE)/1,0)-IFERROR(VLOOKUP($B349,'Slutlig allokering kvv'!$B$2:$BX$549,MATCH(AD$2,'Slutlig allokering kvv'!$B$1:$BX$1,0),FALSE)/1,0))</f>
        <v>0</v>
      </c>
      <c r="AE349" s="121">
        <f>IF($D349="","",IFERROR(VLOOKUP($B349,Miljö!$B$1:$E$550,MATCH("Hjälpel kraftvärme (GWh)",Miljö!$B$1:$E$1,0),FALSE)/1,0)-IFERROR(VLOOKUP($B349,'Slutlig allokering kvv'!$B$2:$BX$549,MATCH(AE$2,'Slutlig allokering kvv'!$B$1:$BX$1,0),FALSE)/1,0))</f>
        <v>19.517099999999999</v>
      </c>
      <c r="AI349" s="121">
        <f t="shared" si="20"/>
        <v>595.93619200000001</v>
      </c>
      <c r="AK349" s="121">
        <f>IFERROR(VLOOKUP($B349,'Slutlig allokering kvv'!$B$2:$AX$549,MATCH("Summa slutlig allokerad tillförd energi (utan hjälpel och rökgaskondensering):",'Slutlig allokering kvv'!$B$1:$AX$1,0),FALSE)/1,"")</f>
        <v>479.10780799999986</v>
      </c>
      <c r="AM349" s="172">
        <f>IFERROR(1-VLOOKUP($B349,'Slutlig allokering kvv'!$B$2:$AX$549,MATCH("Andel av bränsle i kvv som allokerats till värme, exklusive rökgaskondensering och hjälpel",'Slutlig allokering kvv'!$B$1:$AX$1,0),FALSE),"")</f>
        <v>0.55433655924780756</v>
      </c>
      <c r="AO349" s="172">
        <f t="shared" si="21"/>
        <v>0.55433655924780756</v>
      </c>
      <c r="AP349" s="173">
        <f t="shared" si="22"/>
        <v>0</v>
      </c>
      <c r="AR349" s="172">
        <f t="shared" si="23"/>
        <v>0.39125633598853182</v>
      </c>
    </row>
    <row r="350" spans="1:44" x14ac:dyDescent="0.25">
      <c r="A350" s="171" t="str">
        <f>'Miljövärden för publ företag'!B352</f>
        <v>Öresundskraft AB</v>
      </c>
      <c r="B350" s="171" t="str">
        <f>'Miljövärden för publ företag'!C352</f>
        <v>Hjärnarp</v>
      </c>
      <c r="C350" s="121" t="str">
        <f>IFERROR(VLOOKUP($B350,Kraftvärmeprod!$B$1:$AH$478,MATCH(C$2,Kraftvärmeprod!$B$1:$AG$1,0),FALSE)/1,"")</f>
        <v/>
      </c>
      <c r="D350" s="121" t="str">
        <f>IFERROR(VLOOKUP($B350,Kraftvärmeprod!$B$1:$AH$478,MATCH(D$2,Kraftvärmeprod!$B$1:$AG$1,0),FALSE)/1,"")</f>
        <v/>
      </c>
      <c r="F350" s="121" t="str">
        <f>IF($D350="","",IFERROR(VLOOKUP($B350,Kraftvärmeprod!$B$1:$BX$549,MATCH(F$2,Kraftvärmeprod!$B$1:$VX$1,0),FALSE)/1,0)-IFERROR(VLOOKUP($B350,'Slutlig allokering kvv'!$B$2:$BX$549,MATCH(F$2,'Slutlig allokering kvv'!$B$1:$BX$1,0),FALSE)/1,0))</f>
        <v/>
      </c>
      <c r="G350" s="121" t="str">
        <f>IF($D350="","",IFERROR(VLOOKUP($B350,Kraftvärmeprod!$B$1:$BX$549,MATCH(G$2,Kraftvärmeprod!$B$1:$VX$1,0),FALSE)/1,0)-IFERROR(VLOOKUP($B350,'Slutlig allokering kvv'!$B$2:$BX$549,MATCH(G$2,'Slutlig allokering kvv'!$B$1:$BX$1,0),FALSE)/1,0))</f>
        <v/>
      </c>
      <c r="H350" s="121" t="str">
        <f>IF($D350="","",IFERROR(VLOOKUP($B350,Kraftvärmeprod!$B$1:$BX$549,MATCH(H$2,Kraftvärmeprod!$B$1:$VX$1,0),FALSE)/1,0)-IFERROR(VLOOKUP($B350,'Slutlig allokering kvv'!$B$2:$BX$549,MATCH(H$2,'Slutlig allokering kvv'!$B$1:$BX$1,0),FALSE)/1,0))</f>
        <v/>
      </c>
      <c r="I350" s="121" t="str">
        <f>IF($D350="","",IFERROR(VLOOKUP($B350,Kraftvärmeprod!$B$1:$BX$549,MATCH(I$2,Kraftvärmeprod!$B$1:$VX$1,0),FALSE)/1,0)-IFERROR(VLOOKUP($B350,'Slutlig allokering kvv'!$B$2:$BX$549,MATCH(I$2,'Slutlig allokering kvv'!$B$1:$BX$1,0),FALSE)/1,0))</f>
        <v/>
      </c>
      <c r="J350" s="121" t="str">
        <f>IF($D350="","",IFERROR(VLOOKUP($B350,Kraftvärmeprod!$B$1:$BX$549,MATCH(J$2,Kraftvärmeprod!$B$1:$VX$1,0),FALSE)/1,0)-IFERROR(VLOOKUP($B350,'Slutlig allokering kvv'!$B$2:$BX$549,MATCH(J$2,'Slutlig allokering kvv'!$B$1:$BX$1,0),FALSE)/1,0))</f>
        <v/>
      </c>
      <c r="K350" s="121" t="str">
        <f>IF($D350="","",IFERROR(VLOOKUP($B350,Kraftvärmeprod!$B$1:$BX$549,MATCH(K$2,Kraftvärmeprod!$B$1:$VX$1,0),FALSE)/1,0)-IFERROR(VLOOKUP($B350,'Slutlig allokering kvv'!$B$2:$BX$549,MATCH(K$2,'Slutlig allokering kvv'!$B$1:$BX$1,0),FALSE)/1,0))</f>
        <v/>
      </c>
      <c r="L350" s="121" t="str">
        <f>IF($D350="","",IFERROR(VLOOKUP($B350,Kraftvärmeprod!$B$1:$BX$549,MATCH(L$2,Kraftvärmeprod!$B$1:$VX$1,0),FALSE)/1,0)-IFERROR(VLOOKUP($B350,'Slutlig allokering kvv'!$B$2:$BX$549,MATCH(L$2,'Slutlig allokering kvv'!$B$1:$BX$1,0),FALSE)/1,0))</f>
        <v/>
      </c>
      <c r="M350" s="121" t="str">
        <f>IF($D350="","",IFERROR(VLOOKUP($B350,Kraftvärmeprod!$B$1:$BX$549,MATCH(M$2,Kraftvärmeprod!$B$1:$VX$1,0),FALSE)/1,0)-IFERROR(VLOOKUP($B350,'Slutlig allokering kvv'!$B$2:$BX$549,MATCH(M$2,'Slutlig allokering kvv'!$B$1:$BX$1,0),FALSE)/1,0))</f>
        <v/>
      </c>
      <c r="N350" s="121" t="str">
        <f>IF($D350="","",IFERROR(VLOOKUP($B350,Kraftvärmeprod!$B$1:$BX$549,MATCH(N$2,Kraftvärmeprod!$B$1:$VX$1,0),FALSE)/1,0)-IFERROR(VLOOKUP($B350,'Slutlig allokering kvv'!$B$2:$BX$549,MATCH(N$2,'Slutlig allokering kvv'!$B$1:$BX$1,0),FALSE)/1,0))</f>
        <v/>
      </c>
      <c r="O350" s="121" t="str">
        <f>IF($D350="","",IFERROR(VLOOKUP($B350,Kraftvärmeprod!$B$1:$BX$549,MATCH(O$2,Kraftvärmeprod!$B$1:$VX$1,0),FALSE)/1,0)-IFERROR(VLOOKUP($B350,'Slutlig allokering kvv'!$B$2:$BX$549,MATCH(O$2,'Slutlig allokering kvv'!$B$1:$BX$1,0),FALSE)/1,0))</f>
        <v/>
      </c>
      <c r="P350" s="121" t="str">
        <f>IF($D350="","",IFERROR(VLOOKUP($B350,Kraftvärmeprod!$B$1:$BX$549,MATCH(P$2,Kraftvärmeprod!$B$1:$VX$1,0),FALSE)/1,0)-IFERROR(VLOOKUP($B350,'Slutlig allokering kvv'!$B$2:$BX$549,MATCH(P$2,'Slutlig allokering kvv'!$B$1:$BX$1,0),FALSE)/1,0))</f>
        <v/>
      </c>
      <c r="Q350" s="121" t="str">
        <f>IF($D350="","",IFERROR(VLOOKUP($B350,Kraftvärmeprod!$B$1:$BX$549,MATCH(Q$2,Kraftvärmeprod!$B$1:$VX$1,0),FALSE)/1,0)-IFERROR(VLOOKUP($B350,'Slutlig allokering kvv'!$B$2:$BX$549,MATCH(Q$2,'Slutlig allokering kvv'!$B$1:$BX$1,0),FALSE)/1,0))</f>
        <v/>
      </c>
      <c r="R350" s="121" t="str">
        <f>IF($D350="","",IFERROR(VLOOKUP($B350,Kraftvärmeprod!$B$1:$BX$549,MATCH(R$2,Kraftvärmeprod!$B$1:$VX$1,0),FALSE)/1,0)-IFERROR(VLOOKUP($B350,'Slutlig allokering kvv'!$B$2:$BX$549,MATCH(R$2,'Slutlig allokering kvv'!$B$1:$BX$1,0),FALSE)/1,0))</f>
        <v/>
      </c>
      <c r="S350" s="121" t="str">
        <f>IF($D350="","",IFERROR(VLOOKUP($B350,Kraftvärmeprod!$B$1:$BX$549,MATCH(S$2,Kraftvärmeprod!$B$1:$VX$1,0),FALSE)/1,0)-IFERROR(VLOOKUP($B350,'Slutlig allokering kvv'!$B$2:$BX$549,MATCH(S$2,'Slutlig allokering kvv'!$B$1:$BX$1,0),FALSE)/1,0))</f>
        <v/>
      </c>
      <c r="T350" s="121" t="str">
        <f>IF($D350="","",IFERROR(VLOOKUP($B350,Kraftvärmeprod!$B$1:$BX$549,MATCH(T$2,Kraftvärmeprod!$B$1:$VX$1,0),FALSE)/1,0)-IFERROR(VLOOKUP($B350,'Slutlig allokering kvv'!$B$2:$BX$549,MATCH(T$2,'Slutlig allokering kvv'!$B$1:$BX$1,0),FALSE)/1,0))</f>
        <v/>
      </c>
      <c r="U350" s="121" t="str">
        <f>IF($D350="","",IFERROR(VLOOKUP($B350,Kraftvärmeprod!$B$1:$BX$549,MATCH(U$2,Kraftvärmeprod!$B$1:$VX$1,0),FALSE)/1,0)-IFERROR(VLOOKUP($B350,'Slutlig allokering kvv'!$B$2:$BX$549,MATCH(U$2,'Slutlig allokering kvv'!$B$1:$BX$1,0),FALSE)/1,0))</f>
        <v/>
      </c>
      <c r="V350" s="121" t="str">
        <f>IF($D350="","",IFERROR(VLOOKUP($B350,Kraftvärmeprod!$B$1:$BX$549,MATCH(V$2,Kraftvärmeprod!$B$1:$VX$1,0),FALSE)/1,0)-IFERROR(VLOOKUP($B350,'Slutlig allokering kvv'!$B$2:$BX$549,MATCH(V$2,'Slutlig allokering kvv'!$B$1:$BX$1,0),FALSE)/1,0))</f>
        <v/>
      </c>
      <c r="W350" s="121" t="str">
        <f>IF($D350="","",IFERROR(VLOOKUP($B350,Kraftvärmeprod!$B$1:$BX$549,MATCH(W$2,Kraftvärmeprod!$B$1:$VX$1,0),FALSE)/1,0)-IFERROR(VLOOKUP($B350,'Slutlig allokering kvv'!$B$2:$BX$549,MATCH(W$2,'Slutlig allokering kvv'!$B$1:$BX$1,0),FALSE)/1,0))</f>
        <v/>
      </c>
      <c r="X350" s="121" t="str">
        <f>IF($D350="","",IFERROR(VLOOKUP($B350,Kraftvärmeprod!$B$1:$BX$549,MATCH(X$2,Kraftvärmeprod!$B$1:$VX$1,0),FALSE)/1,0)-IFERROR(VLOOKUP($B350,'Slutlig allokering kvv'!$B$2:$BX$549,MATCH(X$2,'Slutlig allokering kvv'!$B$1:$BX$1,0),FALSE)/1,0))</f>
        <v/>
      </c>
      <c r="Y350" s="121" t="str">
        <f>IF($D350="","",IFERROR(VLOOKUP($B350,Kraftvärmeprod!$B$1:$BX$549,MATCH(Y$2,Kraftvärmeprod!$B$1:$VX$1,0),FALSE)/1,0)-IFERROR(VLOOKUP($B350,'Slutlig allokering kvv'!$B$2:$BX$549,MATCH(Y$2,'Slutlig allokering kvv'!$B$1:$BX$1,0),FALSE)/1,0))</f>
        <v/>
      </c>
      <c r="Z350" s="121" t="str">
        <f>IF($D350="","",IFERROR(VLOOKUP($B350,Kraftvärmeprod!$B$1:$BX$549,MATCH(Z$2,Kraftvärmeprod!$B$1:$VX$1,0),FALSE)/1,0)-IFERROR(VLOOKUP($B350,'Slutlig allokering kvv'!$B$2:$BX$549,MATCH(Z$2,'Slutlig allokering kvv'!$B$1:$BX$1,0),FALSE)/1,0))</f>
        <v/>
      </c>
      <c r="AA350" s="121" t="str">
        <f>IF($D350="","",IFERROR(VLOOKUP($B350,Kraftvärmeprod!$B$1:$BX$549,MATCH(AA$2,Kraftvärmeprod!$B$1:$VX$1,0),FALSE)/1,0)-IFERROR(VLOOKUP($B350,'Slutlig allokering kvv'!$B$2:$BX$549,MATCH(AA$2,'Slutlig allokering kvv'!$B$1:$BX$1,0),FALSE)/1,0))</f>
        <v/>
      </c>
      <c r="AB350" s="121" t="str">
        <f>IF($D350="","",IFERROR(VLOOKUP($B350,Kraftvärmeprod!$B$1:$BX$549,MATCH(AB$2,Kraftvärmeprod!$B$1:$VX$1,0),FALSE)/1,0)-IFERROR(VLOOKUP($B350,'Slutlig allokering kvv'!$B$2:$BX$549,MATCH(AB$2,'Slutlig allokering kvv'!$B$1:$BX$1,0),FALSE)/1,0))</f>
        <v/>
      </c>
      <c r="AC350" s="121" t="str">
        <f>IF($D350="","",IFERROR(VLOOKUP($B350,Kraftvärmeprod!$B$1:$BX$549,MATCH(AC$2,Kraftvärmeprod!$B$1:$VX$1,0),FALSE)/1,0)-IFERROR(VLOOKUP($B350,'Slutlig allokering kvv'!$B$2:$BX$549,MATCH(AC$2,'Slutlig allokering kvv'!$B$1:$BX$1,0),FALSE)/1,0))</f>
        <v/>
      </c>
      <c r="AD350" s="121" t="str">
        <f>IF($D350="","",IFERROR(VLOOKUP($B350,Kraftvärmeprod!$B$1:$BX$549,MATCH(AD$2,Kraftvärmeprod!$B$1:$VX$1,0),FALSE)/1,0)-IFERROR(VLOOKUP($B350,'Slutlig allokering kvv'!$B$2:$BX$549,MATCH(AD$2,'Slutlig allokering kvv'!$B$1:$BX$1,0),FALSE)/1,0))</f>
        <v/>
      </c>
      <c r="AE350" s="121" t="str">
        <f>IF($D350="","",IFERROR(VLOOKUP($B350,Miljö!$B$1:$E$550,MATCH("Hjälpel kraftvärme (GWh)",Miljö!$B$1:$E$1,0),FALSE)/1,0)-IFERROR(VLOOKUP($B350,'Slutlig allokering kvv'!$B$2:$BX$549,MATCH(AE$2,'Slutlig allokering kvv'!$B$1:$BX$1,0),FALSE)/1,0))</f>
        <v/>
      </c>
      <c r="AI350" s="121">
        <f t="shared" si="20"/>
        <v>0</v>
      </c>
      <c r="AK350" s="121">
        <f>IFERROR(VLOOKUP($B350,'Slutlig allokering kvv'!$B$2:$AX$549,MATCH("Summa slutlig allokerad tillförd energi (utan hjälpel och rökgaskondensering):",'Slutlig allokering kvv'!$B$1:$AX$1,0),FALSE)/1,"")</f>
        <v>0</v>
      </c>
      <c r="AM350" s="172" t="str">
        <f>IFERROR(1-VLOOKUP($B350,'Slutlig allokering kvv'!$B$2:$AX$549,MATCH("Andel av bränsle i kvv som allokerats till värme, exklusive rökgaskondensering och hjälpel",'Slutlig allokering kvv'!$B$1:$AX$1,0),FALSE),"")</f>
        <v/>
      </c>
      <c r="AO350" s="172" t="str">
        <f t="shared" si="21"/>
        <v/>
      </c>
      <c r="AP350" s="173" t="str">
        <f t="shared" si="22"/>
        <v/>
      </c>
      <c r="AR350" s="172" t="str">
        <f t="shared" si="23"/>
        <v/>
      </c>
    </row>
    <row r="351" spans="1:44" x14ac:dyDescent="0.25">
      <c r="A351" s="171" t="str">
        <f>'Miljövärden för publ företag'!B353</f>
        <v>Öresundskraft AB</v>
      </c>
      <c r="B351" s="171" t="str">
        <f>'Miljövärden för publ företag'!C353</f>
        <v>Vejbystrand</v>
      </c>
      <c r="C351" s="121" t="str">
        <f>IFERROR(VLOOKUP($B351,Kraftvärmeprod!$B$1:$AH$478,MATCH(C$2,Kraftvärmeprod!$B$1:$AG$1,0),FALSE)/1,"")</f>
        <v/>
      </c>
      <c r="D351" s="121" t="str">
        <f>IFERROR(VLOOKUP($B351,Kraftvärmeprod!$B$1:$AH$478,MATCH(D$2,Kraftvärmeprod!$B$1:$AG$1,0),FALSE)/1,"")</f>
        <v/>
      </c>
      <c r="F351" s="121" t="str">
        <f>IF($D351="","",IFERROR(VLOOKUP($B351,Kraftvärmeprod!$B$1:$BX$549,MATCH(F$2,Kraftvärmeprod!$B$1:$VX$1,0),FALSE)/1,0)-IFERROR(VLOOKUP($B351,'Slutlig allokering kvv'!$B$2:$BX$549,MATCH(F$2,'Slutlig allokering kvv'!$B$1:$BX$1,0),FALSE)/1,0))</f>
        <v/>
      </c>
      <c r="G351" s="121" t="str">
        <f>IF($D351="","",IFERROR(VLOOKUP($B351,Kraftvärmeprod!$B$1:$BX$549,MATCH(G$2,Kraftvärmeprod!$B$1:$VX$1,0),FALSE)/1,0)-IFERROR(VLOOKUP($B351,'Slutlig allokering kvv'!$B$2:$BX$549,MATCH(G$2,'Slutlig allokering kvv'!$B$1:$BX$1,0),FALSE)/1,0))</f>
        <v/>
      </c>
      <c r="H351" s="121" t="str">
        <f>IF($D351="","",IFERROR(VLOOKUP($B351,Kraftvärmeprod!$B$1:$BX$549,MATCH(H$2,Kraftvärmeprod!$B$1:$VX$1,0),FALSE)/1,0)-IFERROR(VLOOKUP($B351,'Slutlig allokering kvv'!$B$2:$BX$549,MATCH(H$2,'Slutlig allokering kvv'!$B$1:$BX$1,0),FALSE)/1,0))</f>
        <v/>
      </c>
      <c r="I351" s="121" t="str">
        <f>IF($D351="","",IFERROR(VLOOKUP($B351,Kraftvärmeprod!$B$1:$BX$549,MATCH(I$2,Kraftvärmeprod!$B$1:$VX$1,0),FALSE)/1,0)-IFERROR(VLOOKUP($B351,'Slutlig allokering kvv'!$B$2:$BX$549,MATCH(I$2,'Slutlig allokering kvv'!$B$1:$BX$1,0),FALSE)/1,0))</f>
        <v/>
      </c>
      <c r="J351" s="121" t="str">
        <f>IF($D351="","",IFERROR(VLOOKUP($B351,Kraftvärmeprod!$B$1:$BX$549,MATCH(J$2,Kraftvärmeprod!$B$1:$VX$1,0),FALSE)/1,0)-IFERROR(VLOOKUP($B351,'Slutlig allokering kvv'!$B$2:$BX$549,MATCH(J$2,'Slutlig allokering kvv'!$B$1:$BX$1,0),FALSE)/1,0))</f>
        <v/>
      </c>
      <c r="K351" s="121" t="str">
        <f>IF($D351="","",IFERROR(VLOOKUP($B351,Kraftvärmeprod!$B$1:$BX$549,MATCH(K$2,Kraftvärmeprod!$B$1:$VX$1,0),FALSE)/1,0)-IFERROR(VLOOKUP($B351,'Slutlig allokering kvv'!$B$2:$BX$549,MATCH(K$2,'Slutlig allokering kvv'!$B$1:$BX$1,0),FALSE)/1,0))</f>
        <v/>
      </c>
      <c r="L351" s="121" t="str">
        <f>IF($D351="","",IFERROR(VLOOKUP($B351,Kraftvärmeprod!$B$1:$BX$549,MATCH(L$2,Kraftvärmeprod!$B$1:$VX$1,0),FALSE)/1,0)-IFERROR(VLOOKUP($B351,'Slutlig allokering kvv'!$B$2:$BX$549,MATCH(L$2,'Slutlig allokering kvv'!$B$1:$BX$1,0),FALSE)/1,0))</f>
        <v/>
      </c>
      <c r="M351" s="121" t="str">
        <f>IF($D351="","",IFERROR(VLOOKUP($B351,Kraftvärmeprod!$B$1:$BX$549,MATCH(M$2,Kraftvärmeprod!$B$1:$VX$1,0),FALSE)/1,0)-IFERROR(VLOOKUP($B351,'Slutlig allokering kvv'!$B$2:$BX$549,MATCH(M$2,'Slutlig allokering kvv'!$B$1:$BX$1,0),FALSE)/1,0))</f>
        <v/>
      </c>
      <c r="N351" s="121" t="str">
        <f>IF($D351="","",IFERROR(VLOOKUP($B351,Kraftvärmeprod!$B$1:$BX$549,MATCH(N$2,Kraftvärmeprod!$B$1:$VX$1,0),FALSE)/1,0)-IFERROR(VLOOKUP($B351,'Slutlig allokering kvv'!$B$2:$BX$549,MATCH(N$2,'Slutlig allokering kvv'!$B$1:$BX$1,0),FALSE)/1,0))</f>
        <v/>
      </c>
      <c r="O351" s="121" t="str">
        <f>IF($D351="","",IFERROR(VLOOKUP($B351,Kraftvärmeprod!$B$1:$BX$549,MATCH(O$2,Kraftvärmeprod!$B$1:$VX$1,0),FALSE)/1,0)-IFERROR(VLOOKUP($B351,'Slutlig allokering kvv'!$B$2:$BX$549,MATCH(O$2,'Slutlig allokering kvv'!$B$1:$BX$1,0),FALSE)/1,0))</f>
        <v/>
      </c>
      <c r="P351" s="121" t="str">
        <f>IF($D351="","",IFERROR(VLOOKUP($B351,Kraftvärmeprod!$B$1:$BX$549,MATCH(P$2,Kraftvärmeprod!$B$1:$VX$1,0),FALSE)/1,0)-IFERROR(VLOOKUP($B351,'Slutlig allokering kvv'!$B$2:$BX$549,MATCH(P$2,'Slutlig allokering kvv'!$B$1:$BX$1,0),FALSE)/1,0))</f>
        <v/>
      </c>
      <c r="Q351" s="121" t="str">
        <f>IF($D351="","",IFERROR(VLOOKUP($B351,Kraftvärmeprod!$B$1:$BX$549,MATCH(Q$2,Kraftvärmeprod!$B$1:$VX$1,0),FALSE)/1,0)-IFERROR(VLOOKUP($B351,'Slutlig allokering kvv'!$B$2:$BX$549,MATCH(Q$2,'Slutlig allokering kvv'!$B$1:$BX$1,0),FALSE)/1,0))</f>
        <v/>
      </c>
      <c r="R351" s="121" t="str">
        <f>IF($D351="","",IFERROR(VLOOKUP($B351,Kraftvärmeprod!$B$1:$BX$549,MATCH(R$2,Kraftvärmeprod!$B$1:$VX$1,0),FALSE)/1,0)-IFERROR(VLOOKUP($B351,'Slutlig allokering kvv'!$B$2:$BX$549,MATCH(R$2,'Slutlig allokering kvv'!$B$1:$BX$1,0),FALSE)/1,0))</f>
        <v/>
      </c>
      <c r="S351" s="121" t="str">
        <f>IF($D351="","",IFERROR(VLOOKUP($B351,Kraftvärmeprod!$B$1:$BX$549,MATCH(S$2,Kraftvärmeprod!$B$1:$VX$1,0),FALSE)/1,0)-IFERROR(VLOOKUP($B351,'Slutlig allokering kvv'!$B$2:$BX$549,MATCH(S$2,'Slutlig allokering kvv'!$B$1:$BX$1,0),FALSE)/1,0))</f>
        <v/>
      </c>
      <c r="T351" s="121" t="str">
        <f>IF($D351="","",IFERROR(VLOOKUP($B351,Kraftvärmeprod!$B$1:$BX$549,MATCH(T$2,Kraftvärmeprod!$B$1:$VX$1,0),FALSE)/1,0)-IFERROR(VLOOKUP($B351,'Slutlig allokering kvv'!$B$2:$BX$549,MATCH(T$2,'Slutlig allokering kvv'!$B$1:$BX$1,0),FALSE)/1,0))</f>
        <v/>
      </c>
      <c r="U351" s="121" t="str">
        <f>IF($D351="","",IFERROR(VLOOKUP($B351,Kraftvärmeprod!$B$1:$BX$549,MATCH(U$2,Kraftvärmeprod!$B$1:$VX$1,0),FALSE)/1,0)-IFERROR(VLOOKUP($B351,'Slutlig allokering kvv'!$B$2:$BX$549,MATCH(U$2,'Slutlig allokering kvv'!$B$1:$BX$1,0),FALSE)/1,0))</f>
        <v/>
      </c>
      <c r="V351" s="121" t="str">
        <f>IF($D351="","",IFERROR(VLOOKUP($B351,Kraftvärmeprod!$B$1:$BX$549,MATCH(V$2,Kraftvärmeprod!$B$1:$VX$1,0),FALSE)/1,0)-IFERROR(VLOOKUP($B351,'Slutlig allokering kvv'!$B$2:$BX$549,MATCH(V$2,'Slutlig allokering kvv'!$B$1:$BX$1,0),FALSE)/1,0))</f>
        <v/>
      </c>
      <c r="W351" s="121" t="str">
        <f>IF($D351="","",IFERROR(VLOOKUP($B351,Kraftvärmeprod!$B$1:$BX$549,MATCH(W$2,Kraftvärmeprod!$B$1:$VX$1,0),FALSE)/1,0)-IFERROR(VLOOKUP($B351,'Slutlig allokering kvv'!$B$2:$BX$549,MATCH(W$2,'Slutlig allokering kvv'!$B$1:$BX$1,0),FALSE)/1,0))</f>
        <v/>
      </c>
      <c r="X351" s="121" t="str">
        <f>IF($D351="","",IFERROR(VLOOKUP($B351,Kraftvärmeprod!$B$1:$BX$549,MATCH(X$2,Kraftvärmeprod!$B$1:$VX$1,0),FALSE)/1,0)-IFERROR(VLOOKUP($B351,'Slutlig allokering kvv'!$B$2:$BX$549,MATCH(X$2,'Slutlig allokering kvv'!$B$1:$BX$1,0),FALSE)/1,0))</f>
        <v/>
      </c>
      <c r="Y351" s="121" t="str">
        <f>IF($D351="","",IFERROR(VLOOKUP($B351,Kraftvärmeprod!$B$1:$BX$549,MATCH(Y$2,Kraftvärmeprod!$B$1:$VX$1,0),FALSE)/1,0)-IFERROR(VLOOKUP($B351,'Slutlig allokering kvv'!$B$2:$BX$549,MATCH(Y$2,'Slutlig allokering kvv'!$B$1:$BX$1,0),FALSE)/1,0))</f>
        <v/>
      </c>
      <c r="Z351" s="121" t="str">
        <f>IF($D351="","",IFERROR(VLOOKUP($B351,Kraftvärmeprod!$B$1:$BX$549,MATCH(Z$2,Kraftvärmeprod!$B$1:$VX$1,0),FALSE)/1,0)-IFERROR(VLOOKUP($B351,'Slutlig allokering kvv'!$B$2:$BX$549,MATCH(Z$2,'Slutlig allokering kvv'!$B$1:$BX$1,0),FALSE)/1,0))</f>
        <v/>
      </c>
      <c r="AA351" s="121" t="str">
        <f>IF($D351="","",IFERROR(VLOOKUP($B351,Kraftvärmeprod!$B$1:$BX$549,MATCH(AA$2,Kraftvärmeprod!$B$1:$VX$1,0),FALSE)/1,0)-IFERROR(VLOOKUP($B351,'Slutlig allokering kvv'!$B$2:$BX$549,MATCH(AA$2,'Slutlig allokering kvv'!$B$1:$BX$1,0),FALSE)/1,0))</f>
        <v/>
      </c>
      <c r="AB351" s="121" t="str">
        <f>IF($D351="","",IFERROR(VLOOKUP($B351,Kraftvärmeprod!$B$1:$BX$549,MATCH(AB$2,Kraftvärmeprod!$B$1:$VX$1,0),FALSE)/1,0)-IFERROR(VLOOKUP($B351,'Slutlig allokering kvv'!$B$2:$BX$549,MATCH(AB$2,'Slutlig allokering kvv'!$B$1:$BX$1,0),FALSE)/1,0))</f>
        <v/>
      </c>
      <c r="AC351" s="121" t="str">
        <f>IF($D351="","",IFERROR(VLOOKUP($B351,Kraftvärmeprod!$B$1:$BX$549,MATCH(AC$2,Kraftvärmeprod!$B$1:$VX$1,0),FALSE)/1,0)-IFERROR(VLOOKUP($B351,'Slutlig allokering kvv'!$B$2:$BX$549,MATCH(AC$2,'Slutlig allokering kvv'!$B$1:$BX$1,0),FALSE)/1,0))</f>
        <v/>
      </c>
      <c r="AD351" s="121" t="str">
        <f>IF($D351="","",IFERROR(VLOOKUP($B351,Kraftvärmeprod!$B$1:$BX$549,MATCH(AD$2,Kraftvärmeprod!$B$1:$VX$1,0),FALSE)/1,0)-IFERROR(VLOOKUP($B351,'Slutlig allokering kvv'!$B$2:$BX$549,MATCH(AD$2,'Slutlig allokering kvv'!$B$1:$BX$1,0),FALSE)/1,0))</f>
        <v/>
      </c>
      <c r="AE351" s="121" t="str">
        <f>IF($D351="","",IFERROR(VLOOKUP($B351,Miljö!$B$1:$E$550,MATCH("Hjälpel kraftvärme (GWh)",Miljö!$B$1:$E$1,0),FALSE)/1,0)-IFERROR(VLOOKUP($B351,'Slutlig allokering kvv'!$B$2:$BX$549,MATCH(AE$2,'Slutlig allokering kvv'!$B$1:$BX$1,0),FALSE)/1,0))</f>
        <v/>
      </c>
      <c r="AI351" s="121">
        <f t="shared" si="20"/>
        <v>0</v>
      </c>
      <c r="AK351" s="121">
        <f>IFERROR(VLOOKUP($B351,'Slutlig allokering kvv'!$B$2:$AX$549,MATCH("Summa slutlig allokerad tillförd energi (utan hjälpel och rökgaskondensering):",'Slutlig allokering kvv'!$B$1:$AX$1,0),FALSE)/1,"")</f>
        <v>0</v>
      </c>
      <c r="AM351" s="172" t="str">
        <f>IFERROR(1-VLOOKUP($B351,'Slutlig allokering kvv'!$B$2:$AX$549,MATCH("Andel av bränsle i kvv som allokerats till värme, exklusive rökgaskondensering och hjälpel",'Slutlig allokering kvv'!$B$1:$AX$1,0),FALSE),"")</f>
        <v/>
      </c>
      <c r="AO351" s="172" t="str">
        <f t="shared" si="21"/>
        <v/>
      </c>
      <c r="AP351" s="173" t="str">
        <f t="shared" si="22"/>
        <v/>
      </c>
      <c r="AR351" s="172" t="str">
        <f t="shared" si="23"/>
        <v/>
      </c>
    </row>
    <row r="352" spans="1:44" x14ac:dyDescent="0.25">
      <c r="A352" s="171" t="str">
        <f>'Miljövärden för publ företag'!B354</f>
        <v>Öresundskraft AB</v>
      </c>
      <c r="B352" s="171" t="str">
        <f>'Miljövärden för publ företag'!C354</f>
        <v>Ängelholm</v>
      </c>
      <c r="C352" s="121" t="str">
        <f>IFERROR(VLOOKUP($B352,Kraftvärmeprod!$B$1:$AH$478,MATCH(C$2,Kraftvärmeprod!$B$1:$AG$1,0),FALSE)/1,"")</f>
        <v/>
      </c>
      <c r="D352" s="121" t="str">
        <f>IFERROR(VLOOKUP($B352,Kraftvärmeprod!$B$1:$AH$478,MATCH(D$2,Kraftvärmeprod!$B$1:$AG$1,0),FALSE)/1,"")</f>
        <v/>
      </c>
      <c r="F352" s="121" t="str">
        <f>IF($D352="","",IFERROR(VLOOKUP($B352,Kraftvärmeprod!$B$1:$BX$549,MATCH(F$2,Kraftvärmeprod!$B$1:$VX$1,0),FALSE)/1,0)-IFERROR(VLOOKUP($B352,'Slutlig allokering kvv'!$B$2:$BX$549,MATCH(F$2,'Slutlig allokering kvv'!$B$1:$BX$1,0),FALSE)/1,0))</f>
        <v/>
      </c>
      <c r="G352" s="121" t="str">
        <f>IF($D352="","",IFERROR(VLOOKUP($B352,Kraftvärmeprod!$B$1:$BX$549,MATCH(G$2,Kraftvärmeprod!$B$1:$VX$1,0),FALSE)/1,0)-IFERROR(VLOOKUP($B352,'Slutlig allokering kvv'!$B$2:$BX$549,MATCH(G$2,'Slutlig allokering kvv'!$B$1:$BX$1,0),FALSE)/1,0))</f>
        <v/>
      </c>
      <c r="H352" s="121" t="str">
        <f>IF($D352="","",IFERROR(VLOOKUP($B352,Kraftvärmeprod!$B$1:$BX$549,MATCH(H$2,Kraftvärmeprod!$B$1:$VX$1,0),FALSE)/1,0)-IFERROR(VLOOKUP($B352,'Slutlig allokering kvv'!$B$2:$BX$549,MATCH(H$2,'Slutlig allokering kvv'!$B$1:$BX$1,0),FALSE)/1,0))</f>
        <v/>
      </c>
      <c r="I352" s="121" t="str">
        <f>IF($D352="","",IFERROR(VLOOKUP($B352,Kraftvärmeprod!$B$1:$BX$549,MATCH(I$2,Kraftvärmeprod!$B$1:$VX$1,0),FALSE)/1,0)-IFERROR(VLOOKUP($B352,'Slutlig allokering kvv'!$B$2:$BX$549,MATCH(I$2,'Slutlig allokering kvv'!$B$1:$BX$1,0),FALSE)/1,0))</f>
        <v/>
      </c>
      <c r="J352" s="121" t="str">
        <f>IF($D352="","",IFERROR(VLOOKUP($B352,Kraftvärmeprod!$B$1:$BX$549,MATCH(J$2,Kraftvärmeprod!$B$1:$VX$1,0),FALSE)/1,0)-IFERROR(VLOOKUP($B352,'Slutlig allokering kvv'!$B$2:$BX$549,MATCH(J$2,'Slutlig allokering kvv'!$B$1:$BX$1,0),FALSE)/1,0))</f>
        <v/>
      </c>
      <c r="K352" s="121" t="str">
        <f>IF($D352="","",IFERROR(VLOOKUP($B352,Kraftvärmeprod!$B$1:$BX$549,MATCH(K$2,Kraftvärmeprod!$B$1:$VX$1,0),FALSE)/1,0)-IFERROR(VLOOKUP($B352,'Slutlig allokering kvv'!$B$2:$BX$549,MATCH(K$2,'Slutlig allokering kvv'!$B$1:$BX$1,0),FALSE)/1,0))</f>
        <v/>
      </c>
      <c r="L352" s="121" t="str">
        <f>IF($D352="","",IFERROR(VLOOKUP($B352,Kraftvärmeprod!$B$1:$BX$549,MATCH(L$2,Kraftvärmeprod!$B$1:$VX$1,0),FALSE)/1,0)-IFERROR(VLOOKUP($B352,'Slutlig allokering kvv'!$B$2:$BX$549,MATCH(L$2,'Slutlig allokering kvv'!$B$1:$BX$1,0),FALSE)/1,0))</f>
        <v/>
      </c>
      <c r="M352" s="121" t="str">
        <f>IF($D352="","",IFERROR(VLOOKUP($B352,Kraftvärmeprod!$B$1:$BX$549,MATCH(M$2,Kraftvärmeprod!$B$1:$VX$1,0),FALSE)/1,0)-IFERROR(VLOOKUP($B352,'Slutlig allokering kvv'!$B$2:$BX$549,MATCH(M$2,'Slutlig allokering kvv'!$B$1:$BX$1,0),FALSE)/1,0))</f>
        <v/>
      </c>
      <c r="N352" s="121" t="str">
        <f>IF($D352="","",IFERROR(VLOOKUP($B352,Kraftvärmeprod!$B$1:$BX$549,MATCH(N$2,Kraftvärmeprod!$B$1:$VX$1,0),FALSE)/1,0)-IFERROR(VLOOKUP($B352,'Slutlig allokering kvv'!$B$2:$BX$549,MATCH(N$2,'Slutlig allokering kvv'!$B$1:$BX$1,0),FALSE)/1,0))</f>
        <v/>
      </c>
      <c r="O352" s="121" t="str">
        <f>IF($D352="","",IFERROR(VLOOKUP($B352,Kraftvärmeprod!$B$1:$BX$549,MATCH(O$2,Kraftvärmeprod!$B$1:$VX$1,0),FALSE)/1,0)-IFERROR(VLOOKUP($B352,'Slutlig allokering kvv'!$B$2:$BX$549,MATCH(O$2,'Slutlig allokering kvv'!$B$1:$BX$1,0),FALSE)/1,0))</f>
        <v/>
      </c>
      <c r="P352" s="121" t="str">
        <f>IF($D352="","",IFERROR(VLOOKUP($B352,Kraftvärmeprod!$B$1:$BX$549,MATCH(P$2,Kraftvärmeprod!$B$1:$VX$1,0),FALSE)/1,0)-IFERROR(VLOOKUP($B352,'Slutlig allokering kvv'!$B$2:$BX$549,MATCH(P$2,'Slutlig allokering kvv'!$B$1:$BX$1,0),FALSE)/1,0))</f>
        <v/>
      </c>
      <c r="Q352" s="121" t="str">
        <f>IF($D352="","",IFERROR(VLOOKUP($B352,Kraftvärmeprod!$B$1:$BX$549,MATCH(Q$2,Kraftvärmeprod!$B$1:$VX$1,0),FALSE)/1,0)-IFERROR(VLOOKUP($B352,'Slutlig allokering kvv'!$B$2:$BX$549,MATCH(Q$2,'Slutlig allokering kvv'!$B$1:$BX$1,0),FALSE)/1,0))</f>
        <v/>
      </c>
      <c r="R352" s="121" t="str">
        <f>IF($D352="","",IFERROR(VLOOKUP($B352,Kraftvärmeprod!$B$1:$BX$549,MATCH(R$2,Kraftvärmeprod!$B$1:$VX$1,0),FALSE)/1,0)-IFERROR(VLOOKUP($B352,'Slutlig allokering kvv'!$B$2:$BX$549,MATCH(R$2,'Slutlig allokering kvv'!$B$1:$BX$1,0),FALSE)/1,0))</f>
        <v/>
      </c>
      <c r="S352" s="121" t="str">
        <f>IF($D352="","",IFERROR(VLOOKUP($B352,Kraftvärmeprod!$B$1:$BX$549,MATCH(S$2,Kraftvärmeprod!$B$1:$VX$1,0),FALSE)/1,0)-IFERROR(VLOOKUP($B352,'Slutlig allokering kvv'!$B$2:$BX$549,MATCH(S$2,'Slutlig allokering kvv'!$B$1:$BX$1,0),FALSE)/1,0))</f>
        <v/>
      </c>
      <c r="T352" s="121" t="str">
        <f>IF($D352="","",IFERROR(VLOOKUP($B352,Kraftvärmeprod!$B$1:$BX$549,MATCH(T$2,Kraftvärmeprod!$B$1:$VX$1,0),FALSE)/1,0)-IFERROR(VLOOKUP($B352,'Slutlig allokering kvv'!$B$2:$BX$549,MATCH(T$2,'Slutlig allokering kvv'!$B$1:$BX$1,0),FALSE)/1,0))</f>
        <v/>
      </c>
      <c r="U352" s="121" t="str">
        <f>IF($D352="","",IFERROR(VLOOKUP($B352,Kraftvärmeprod!$B$1:$BX$549,MATCH(U$2,Kraftvärmeprod!$B$1:$VX$1,0),FALSE)/1,0)-IFERROR(VLOOKUP($B352,'Slutlig allokering kvv'!$B$2:$BX$549,MATCH(U$2,'Slutlig allokering kvv'!$B$1:$BX$1,0),FALSE)/1,0))</f>
        <v/>
      </c>
      <c r="V352" s="121" t="str">
        <f>IF($D352="","",IFERROR(VLOOKUP($B352,Kraftvärmeprod!$B$1:$BX$549,MATCH(V$2,Kraftvärmeprod!$B$1:$VX$1,0),FALSE)/1,0)-IFERROR(VLOOKUP($B352,'Slutlig allokering kvv'!$B$2:$BX$549,MATCH(V$2,'Slutlig allokering kvv'!$B$1:$BX$1,0),FALSE)/1,0))</f>
        <v/>
      </c>
      <c r="W352" s="121" t="str">
        <f>IF($D352="","",IFERROR(VLOOKUP($B352,Kraftvärmeprod!$B$1:$BX$549,MATCH(W$2,Kraftvärmeprod!$B$1:$VX$1,0),FALSE)/1,0)-IFERROR(VLOOKUP($B352,'Slutlig allokering kvv'!$B$2:$BX$549,MATCH(W$2,'Slutlig allokering kvv'!$B$1:$BX$1,0),FALSE)/1,0))</f>
        <v/>
      </c>
      <c r="X352" s="121" t="str">
        <f>IF($D352="","",IFERROR(VLOOKUP($B352,Kraftvärmeprod!$B$1:$BX$549,MATCH(X$2,Kraftvärmeprod!$B$1:$VX$1,0),FALSE)/1,0)-IFERROR(VLOOKUP($B352,'Slutlig allokering kvv'!$B$2:$BX$549,MATCH(X$2,'Slutlig allokering kvv'!$B$1:$BX$1,0),FALSE)/1,0))</f>
        <v/>
      </c>
      <c r="Y352" s="121" t="str">
        <f>IF($D352="","",IFERROR(VLOOKUP($B352,Kraftvärmeprod!$B$1:$BX$549,MATCH(Y$2,Kraftvärmeprod!$B$1:$VX$1,0),FALSE)/1,0)-IFERROR(VLOOKUP($B352,'Slutlig allokering kvv'!$B$2:$BX$549,MATCH(Y$2,'Slutlig allokering kvv'!$B$1:$BX$1,0),FALSE)/1,0))</f>
        <v/>
      </c>
      <c r="Z352" s="121" t="str">
        <f>IF($D352="","",IFERROR(VLOOKUP($B352,Kraftvärmeprod!$B$1:$BX$549,MATCH(Z$2,Kraftvärmeprod!$B$1:$VX$1,0),FALSE)/1,0)-IFERROR(VLOOKUP($B352,'Slutlig allokering kvv'!$B$2:$BX$549,MATCH(Z$2,'Slutlig allokering kvv'!$B$1:$BX$1,0),FALSE)/1,0))</f>
        <v/>
      </c>
      <c r="AA352" s="121" t="str">
        <f>IF($D352="","",IFERROR(VLOOKUP($B352,Kraftvärmeprod!$B$1:$BX$549,MATCH(AA$2,Kraftvärmeprod!$B$1:$VX$1,0),FALSE)/1,0)-IFERROR(VLOOKUP($B352,'Slutlig allokering kvv'!$B$2:$BX$549,MATCH(AA$2,'Slutlig allokering kvv'!$B$1:$BX$1,0),FALSE)/1,0))</f>
        <v/>
      </c>
      <c r="AB352" s="121" t="str">
        <f>IF($D352="","",IFERROR(VLOOKUP($B352,Kraftvärmeprod!$B$1:$BX$549,MATCH(AB$2,Kraftvärmeprod!$B$1:$VX$1,0),FALSE)/1,0)-IFERROR(VLOOKUP($B352,'Slutlig allokering kvv'!$B$2:$BX$549,MATCH(AB$2,'Slutlig allokering kvv'!$B$1:$BX$1,0),FALSE)/1,0))</f>
        <v/>
      </c>
      <c r="AC352" s="121" t="str">
        <f>IF($D352="","",IFERROR(VLOOKUP($B352,Kraftvärmeprod!$B$1:$BX$549,MATCH(AC$2,Kraftvärmeprod!$B$1:$VX$1,0),FALSE)/1,0)-IFERROR(VLOOKUP($B352,'Slutlig allokering kvv'!$B$2:$BX$549,MATCH(AC$2,'Slutlig allokering kvv'!$B$1:$BX$1,0),FALSE)/1,0))</f>
        <v/>
      </c>
      <c r="AD352" s="121" t="str">
        <f>IF($D352="","",IFERROR(VLOOKUP($B352,Kraftvärmeprod!$B$1:$BX$549,MATCH(AD$2,Kraftvärmeprod!$B$1:$VX$1,0),FALSE)/1,0)-IFERROR(VLOOKUP($B352,'Slutlig allokering kvv'!$B$2:$BX$549,MATCH(AD$2,'Slutlig allokering kvv'!$B$1:$BX$1,0),FALSE)/1,0))</f>
        <v/>
      </c>
      <c r="AE352" s="121" t="str">
        <f>IF($D352="","",IFERROR(VLOOKUP($B352,Miljö!$B$1:$E$550,MATCH("Hjälpel kraftvärme (GWh)",Miljö!$B$1:$E$1,0),FALSE)/1,0)-IFERROR(VLOOKUP($B352,'Slutlig allokering kvv'!$B$2:$BX$549,MATCH(AE$2,'Slutlig allokering kvv'!$B$1:$BX$1,0),FALSE)/1,0))</f>
        <v/>
      </c>
      <c r="AI352" s="121">
        <f t="shared" si="20"/>
        <v>0</v>
      </c>
      <c r="AK352" s="121">
        <f>IFERROR(VLOOKUP($B352,'Slutlig allokering kvv'!$B$2:$AX$549,MATCH("Summa slutlig allokerad tillförd energi (utan hjälpel och rökgaskondensering):",'Slutlig allokering kvv'!$B$1:$AX$1,0),FALSE)/1,"")</f>
        <v>0</v>
      </c>
      <c r="AM352" s="172" t="str">
        <f>IFERROR(1-VLOOKUP($B352,'Slutlig allokering kvv'!$B$2:$AX$549,MATCH("Andel av bränsle i kvv som allokerats till värme, exklusive rökgaskondensering och hjälpel",'Slutlig allokering kvv'!$B$1:$AX$1,0),FALSE),"")</f>
        <v/>
      </c>
      <c r="AO352" s="172" t="str">
        <f t="shared" si="21"/>
        <v/>
      </c>
      <c r="AP352" s="173" t="str">
        <f t="shared" si="22"/>
        <v/>
      </c>
      <c r="AR352" s="172" t="str">
        <f t="shared" si="23"/>
        <v/>
      </c>
    </row>
    <row r="353" spans="1:44" x14ac:dyDescent="0.25">
      <c r="A353" s="171" t="str">
        <f>'Miljövärden för publ företag'!B355</f>
        <v>Örkelljunga Fjärrvärmeverk AB</v>
      </c>
      <c r="B353" s="171" t="str">
        <f>'Miljövärden för publ företag'!C355</f>
        <v>Örkelljunga</v>
      </c>
      <c r="C353" s="121" t="str">
        <f>IFERROR(VLOOKUP($B353,Kraftvärmeprod!$B$1:$AH$478,MATCH(C$2,Kraftvärmeprod!$B$1:$AG$1,0),FALSE)/1,"")</f>
        <v/>
      </c>
      <c r="D353" s="121" t="str">
        <f>IFERROR(VLOOKUP($B353,Kraftvärmeprod!$B$1:$AH$478,MATCH(D$2,Kraftvärmeprod!$B$1:$AG$1,0),FALSE)/1,"")</f>
        <v/>
      </c>
      <c r="F353" s="121" t="str">
        <f>IF($D353="","",IFERROR(VLOOKUP($B353,Kraftvärmeprod!$B$1:$BX$549,MATCH(F$2,Kraftvärmeprod!$B$1:$VX$1,0),FALSE)/1,0)-IFERROR(VLOOKUP($B353,'Slutlig allokering kvv'!$B$2:$BX$549,MATCH(F$2,'Slutlig allokering kvv'!$B$1:$BX$1,0),FALSE)/1,0))</f>
        <v/>
      </c>
      <c r="G353" s="121" t="str">
        <f>IF($D353="","",IFERROR(VLOOKUP($B353,Kraftvärmeprod!$B$1:$BX$549,MATCH(G$2,Kraftvärmeprod!$B$1:$VX$1,0),FALSE)/1,0)-IFERROR(VLOOKUP($B353,'Slutlig allokering kvv'!$B$2:$BX$549,MATCH(G$2,'Slutlig allokering kvv'!$B$1:$BX$1,0),FALSE)/1,0))</f>
        <v/>
      </c>
      <c r="H353" s="121" t="str">
        <f>IF($D353="","",IFERROR(VLOOKUP($B353,Kraftvärmeprod!$B$1:$BX$549,MATCH(H$2,Kraftvärmeprod!$B$1:$VX$1,0),FALSE)/1,0)-IFERROR(VLOOKUP($B353,'Slutlig allokering kvv'!$B$2:$BX$549,MATCH(H$2,'Slutlig allokering kvv'!$B$1:$BX$1,0),FALSE)/1,0))</f>
        <v/>
      </c>
      <c r="I353" s="121" t="str">
        <f>IF($D353="","",IFERROR(VLOOKUP($B353,Kraftvärmeprod!$B$1:$BX$549,MATCH(I$2,Kraftvärmeprod!$B$1:$VX$1,0),FALSE)/1,0)-IFERROR(VLOOKUP($B353,'Slutlig allokering kvv'!$B$2:$BX$549,MATCH(I$2,'Slutlig allokering kvv'!$B$1:$BX$1,0),FALSE)/1,0))</f>
        <v/>
      </c>
      <c r="J353" s="121" t="str">
        <f>IF($D353="","",IFERROR(VLOOKUP($B353,Kraftvärmeprod!$B$1:$BX$549,MATCH(J$2,Kraftvärmeprod!$B$1:$VX$1,0),FALSE)/1,0)-IFERROR(VLOOKUP($B353,'Slutlig allokering kvv'!$B$2:$BX$549,MATCH(J$2,'Slutlig allokering kvv'!$B$1:$BX$1,0),FALSE)/1,0))</f>
        <v/>
      </c>
      <c r="K353" s="121" t="str">
        <f>IF($D353="","",IFERROR(VLOOKUP($B353,Kraftvärmeprod!$B$1:$BX$549,MATCH(K$2,Kraftvärmeprod!$B$1:$VX$1,0),FALSE)/1,0)-IFERROR(VLOOKUP($B353,'Slutlig allokering kvv'!$B$2:$BX$549,MATCH(K$2,'Slutlig allokering kvv'!$B$1:$BX$1,0),FALSE)/1,0))</f>
        <v/>
      </c>
      <c r="L353" s="121" t="str">
        <f>IF($D353="","",IFERROR(VLOOKUP($B353,Kraftvärmeprod!$B$1:$BX$549,MATCH(L$2,Kraftvärmeprod!$B$1:$VX$1,0),FALSE)/1,0)-IFERROR(VLOOKUP($B353,'Slutlig allokering kvv'!$B$2:$BX$549,MATCH(L$2,'Slutlig allokering kvv'!$B$1:$BX$1,0),FALSE)/1,0))</f>
        <v/>
      </c>
      <c r="M353" s="121" t="str">
        <f>IF($D353="","",IFERROR(VLOOKUP($B353,Kraftvärmeprod!$B$1:$BX$549,MATCH(M$2,Kraftvärmeprod!$B$1:$VX$1,0),FALSE)/1,0)-IFERROR(VLOOKUP($B353,'Slutlig allokering kvv'!$B$2:$BX$549,MATCH(M$2,'Slutlig allokering kvv'!$B$1:$BX$1,0),FALSE)/1,0))</f>
        <v/>
      </c>
      <c r="N353" s="121" t="str">
        <f>IF($D353="","",IFERROR(VLOOKUP($B353,Kraftvärmeprod!$B$1:$BX$549,MATCH(N$2,Kraftvärmeprod!$B$1:$VX$1,0),FALSE)/1,0)-IFERROR(VLOOKUP($B353,'Slutlig allokering kvv'!$B$2:$BX$549,MATCH(N$2,'Slutlig allokering kvv'!$B$1:$BX$1,0),FALSE)/1,0))</f>
        <v/>
      </c>
      <c r="O353" s="121" t="str">
        <f>IF($D353="","",IFERROR(VLOOKUP($B353,Kraftvärmeprod!$B$1:$BX$549,MATCH(O$2,Kraftvärmeprod!$B$1:$VX$1,0),FALSE)/1,0)-IFERROR(VLOOKUP($B353,'Slutlig allokering kvv'!$B$2:$BX$549,MATCH(O$2,'Slutlig allokering kvv'!$B$1:$BX$1,0),FALSE)/1,0))</f>
        <v/>
      </c>
      <c r="P353" s="121" t="str">
        <f>IF($D353="","",IFERROR(VLOOKUP($B353,Kraftvärmeprod!$B$1:$BX$549,MATCH(P$2,Kraftvärmeprod!$B$1:$VX$1,0),FALSE)/1,0)-IFERROR(VLOOKUP($B353,'Slutlig allokering kvv'!$B$2:$BX$549,MATCH(P$2,'Slutlig allokering kvv'!$B$1:$BX$1,0),FALSE)/1,0))</f>
        <v/>
      </c>
      <c r="Q353" s="121" t="str">
        <f>IF($D353="","",IFERROR(VLOOKUP($B353,Kraftvärmeprod!$B$1:$BX$549,MATCH(Q$2,Kraftvärmeprod!$B$1:$VX$1,0),FALSE)/1,0)-IFERROR(VLOOKUP($B353,'Slutlig allokering kvv'!$B$2:$BX$549,MATCH(Q$2,'Slutlig allokering kvv'!$B$1:$BX$1,0),FALSE)/1,0))</f>
        <v/>
      </c>
      <c r="R353" s="121" t="str">
        <f>IF($D353="","",IFERROR(VLOOKUP($B353,Kraftvärmeprod!$B$1:$BX$549,MATCH(R$2,Kraftvärmeprod!$B$1:$VX$1,0),FALSE)/1,0)-IFERROR(VLOOKUP($B353,'Slutlig allokering kvv'!$B$2:$BX$549,MATCH(R$2,'Slutlig allokering kvv'!$B$1:$BX$1,0),FALSE)/1,0))</f>
        <v/>
      </c>
      <c r="S353" s="121" t="str">
        <f>IF($D353="","",IFERROR(VLOOKUP($B353,Kraftvärmeprod!$B$1:$BX$549,MATCH(S$2,Kraftvärmeprod!$B$1:$VX$1,0),FALSE)/1,0)-IFERROR(VLOOKUP($B353,'Slutlig allokering kvv'!$B$2:$BX$549,MATCH(S$2,'Slutlig allokering kvv'!$B$1:$BX$1,0),FALSE)/1,0))</f>
        <v/>
      </c>
      <c r="T353" s="121" t="str">
        <f>IF($D353="","",IFERROR(VLOOKUP($B353,Kraftvärmeprod!$B$1:$BX$549,MATCH(T$2,Kraftvärmeprod!$B$1:$VX$1,0),FALSE)/1,0)-IFERROR(VLOOKUP($B353,'Slutlig allokering kvv'!$B$2:$BX$549,MATCH(T$2,'Slutlig allokering kvv'!$B$1:$BX$1,0),FALSE)/1,0))</f>
        <v/>
      </c>
      <c r="U353" s="121" t="str">
        <f>IF($D353="","",IFERROR(VLOOKUP($B353,Kraftvärmeprod!$B$1:$BX$549,MATCH(U$2,Kraftvärmeprod!$B$1:$VX$1,0),FALSE)/1,0)-IFERROR(VLOOKUP($B353,'Slutlig allokering kvv'!$B$2:$BX$549,MATCH(U$2,'Slutlig allokering kvv'!$B$1:$BX$1,0),FALSE)/1,0))</f>
        <v/>
      </c>
      <c r="V353" s="121" t="str">
        <f>IF($D353="","",IFERROR(VLOOKUP($B353,Kraftvärmeprod!$B$1:$BX$549,MATCH(V$2,Kraftvärmeprod!$B$1:$VX$1,0),FALSE)/1,0)-IFERROR(VLOOKUP($B353,'Slutlig allokering kvv'!$B$2:$BX$549,MATCH(V$2,'Slutlig allokering kvv'!$B$1:$BX$1,0),FALSE)/1,0))</f>
        <v/>
      </c>
      <c r="W353" s="121" t="str">
        <f>IF($D353="","",IFERROR(VLOOKUP($B353,Kraftvärmeprod!$B$1:$BX$549,MATCH(W$2,Kraftvärmeprod!$B$1:$VX$1,0),FALSE)/1,0)-IFERROR(VLOOKUP($B353,'Slutlig allokering kvv'!$B$2:$BX$549,MATCH(W$2,'Slutlig allokering kvv'!$B$1:$BX$1,0),FALSE)/1,0))</f>
        <v/>
      </c>
      <c r="X353" s="121" t="str">
        <f>IF($D353="","",IFERROR(VLOOKUP($B353,Kraftvärmeprod!$B$1:$BX$549,MATCH(X$2,Kraftvärmeprod!$B$1:$VX$1,0),FALSE)/1,0)-IFERROR(VLOOKUP($B353,'Slutlig allokering kvv'!$B$2:$BX$549,MATCH(X$2,'Slutlig allokering kvv'!$B$1:$BX$1,0),FALSE)/1,0))</f>
        <v/>
      </c>
      <c r="Y353" s="121" t="str">
        <f>IF($D353="","",IFERROR(VLOOKUP($B353,Kraftvärmeprod!$B$1:$BX$549,MATCH(Y$2,Kraftvärmeprod!$B$1:$VX$1,0),FALSE)/1,0)-IFERROR(VLOOKUP($B353,'Slutlig allokering kvv'!$B$2:$BX$549,MATCH(Y$2,'Slutlig allokering kvv'!$B$1:$BX$1,0),FALSE)/1,0))</f>
        <v/>
      </c>
      <c r="Z353" s="121" t="str">
        <f>IF($D353="","",IFERROR(VLOOKUP($B353,Kraftvärmeprod!$B$1:$BX$549,MATCH(Z$2,Kraftvärmeprod!$B$1:$VX$1,0),FALSE)/1,0)-IFERROR(VLOOKUP($B353,'Slutlig allokering kvv'!$B$2:$BX$549,MATCH(Z$2,'Slutlig allokering kvv'!$B$1:$BX$1,0),FALSE)/1,0))</f>
        <v/>
      </c>
      <c r="AA353" s="121" t="str">
        <f>IF($D353="","",IFERROR(VLOOKUP($B353,Kraftvärmeprod!$B$1:$BX$549,MATCH(AA$2,Kraftvärmeprod!$B$1:$VX$1,0),FALSE)/1,0)-IFERROR(VLOOKUP($B353,'Slutlig allokering kvv'!$B$2:$BX$549,MATCH(AA$2,'Slutlig allokering kvv'!$B$1:$BX$1,0),FALSE)/1,0))</f>
        <v/>
      </c>
      <c r="AB353" s="121" t="str">
        <f>IF($D353="","",IFERROR(VLOOKUP($B353,Kraftvärmeprod!$B$1:$BX$549,MATCH(AB$2,Kraftvärmeprod!$B$1:$VX$1,0),FALSE)/1,0)-IFERROR(VLOOKUP($B353,'Slutlig allokering kvv'!$B$2:$BX$549,MATCH(AB$2,'Slutlig allokering kvv'!$B$1:$BX$1,0),FALSE)/1,0))</f>
        <v/>
      </c>
      <c r="AC353" s="121" t="str">
        <f>IF($D353="","",IFERROR(VLOOKUP($B353,Kraftvärmeprod!$B$1:$BX$549,MATCH(AC$2,Kraftvärmeprod!$B$1:$VX$1,0),FALSE)/1,0)-IFERROR(VLOOKUP($B353,'Slutlig allokering kvv'!$B$2:$BX$549,MATCH(AC$2,'Slutlig allokering kvv'!$B$1:$BX$1,0),FALSE)/1,0))</f>
        <v/>
      </c>
      <c r="AD353" s="121" t="str">
        <f>IF($D353="","",IFERROR(VLOOKUP($B353,Kraftvärmeprod!$B$1:$BX$549,MATCH(AD$2,Kraftvärmeprod!$B$1:$VX$1,0),FALSE)/1,0)-IFERROR(VLOOKUP($B353,'Slutlig allokering kvv'!$B$2:$BX$549,MATCH(AD$2,'Slutlig allokering kvv'!$B$1:$BX$1,0),FALSE)/1,0))</f>
        <v/>
      </c>
      <c r="AE353" s="121" t="str">
        <f>IF($D353="","",IFERROR(VLOOKUP($B353,Miljö!$B$1:$E$550,MATCH("Hjälpel kraftvärme (GWh)",Miljö!$B$1:$E$1,0),FALSE)/1,0)-IFERROR(VLOOKUP($B353,'Slutlig allokering kvv'!$B$2:$BX$549,MATCH(AE$2,'Slutlig allokering kvv'!$B$1:$BX$1,0),FALSE)/1,0))</f>
        <v/>
      </c>
      <c r="AI353" s="121">
        <f t="shared" si="20"/>
        <v>0</v>
      </c>
      <c r="AK353" s="121">
        <f>IFERROR(VLOOKUP($B353,'Slutlig allokering kvv'!$B$2:$AX$549,MATCH("Summa slutlig allokerad tillförd energi (utan hjälpel och rökgaskondensering):",'Slutlig allokering kvv'!$B$1:$AX$1,0),FALSE)/1,"")</f>
        <v>0</v>
      </c>
      <c r="AM353" s="172" t="str">
        <f>IFERROR(1-VLOOKUP($B353,'Slutlig allokering kvv'!$B$2:$AX$549,MATCH("Andel av bränsle i kvv som allokerats till värme, exklusive rökgaskondensering och hjälpel",'Slutlig allokering kvv'!$B$1:$AX$1,0),FALSE),"")</f>
        <v/>
      </c>
      <c r="AO353" s="172" t="str">
        <f t="shared" si="21"/>
        <v/>
      </c>
      <c r="AP353" s="173" t="str">
        <f t="shared" si="22"/>
        <v/>
      </c>
      <c r="AR353" s="172" t="str">
        <f t="shared" si="23"/>
        <v/>
      </c>
    </row>
    <row r="354" spans="1:44" x14ac:dyDescent="0.25">
      <c r="A354" s="171" t="str">
        <f>'Miljövärden för publ företag'!B356</f>
        <v>Österlens Kraft AB</v>
      </c>
      <c r="B354" s="171" t="str">
        <f>'Miljövärden för publ företag'!C356</f>
        <v>Simrishamn</v>
      </c>
      <c r="C354" s="121" t="str">
        <f>IFERROR(VLOOKUP($B354,Kraftvärmeprod!$B$1:$AH$478,MATCH(C$2,Kraftvärmeprod!$B$1:$AG$1,0),FALSE)/1,"")</f>
        <v/>
      </c>
      <c r="D354" s="121" t="str">
        <f>IFERROR(VLOOKUP($B354,Kraftvärmeprod!$B$1:$AH$478,MATCH(D$2,Kraftvärmeprod!$B$1:$AG$1,0),FALSE)/1,"")</f>
        <v/>
      </c>
      <c r="F354" s="121" t="str">
        <f>IF($D354="","",IFERROR(VLOOKUP($B354,Kraftvärmeprod!$B$1:$BX$549,MATCH(F$2,Kraftvärmeprod!$B$1:$VX$1,0),FALSE)/1,0)-IFERROR(VLOOKUP($B354,'Slutlig allokering kvv'!$B$2:$BX$549,MATCH(F$2,'Slutlig allokering kvv'!$B$1:$BX$1,0),FALSE)/1,0))</f>
        <v/>
      </c>
      <c r="G354" s="121" t="str">
        <f>IF($D354="","",IFERROR(VLOOKUP($B354,Kraftvärmeprod!$B$1:$BX$549,MATCH(G$2,Kraftvärmeprod!$B$1:$VX$1,0),FALSE)/1,0)-IFERROR(VLOOKUP($B354,'Slutlig allokering kvv'!$B$2:$BX$549,MATCH(G$2,'Slutlig allokering kvv'!$B$1:$BX$1,0),FALSE)/1,0))</f>
        <v/>
      </c>
      <c r="H354" s="121" t="str">
        <f>IF($D354="","",IFERROR(VLOOKUP($B354,Kraftvärmeprod!$B$1:$BX$549,MATCH(H$2,Kraftvärmeprod!$B$1:$VX$1,0),FALSE)/1,0)-IFERROR(VLOOKUP($B354,'Slutlig allokering kvv'!$B$2:$BX$549,MATCH(H$2,'Slutlig allokering kvv'!$B$1:$BX$1,0),FALSE)/1,0))</f>
        <v/>
      </c>
      <c r="I354" s="121" t="str">
        <f>IF($D354="","",IFERROR(VLOOKUP($B354,Kraftvärmeprod!$B$1:$BX$549,MATCH(I$2,Kraftvärmeprod!$B$1:$VX$1,0),FALSE)/1,0)-IFERROR(VLOOKUP($B354,'Slutlig allokering kvv'!$B$2:$BX$549,MATCH(I$2,'Slutlig allokering kvv'!$B$1:$BX$1,0),FALSE)/1,0))</f>
        <v/>
      </c>
      <c r="J354" s="121" t="str">
        <f>IF($D354="","",IFERROR(VLOOKUP($B354,Kraftvärmeprod!$B$1:$BX$549,MATCH(J$2,Kraftvärmeprod!$B$1:$VX$1,0),FALSE)/1,0)-IFERROR(VLOOKUP($B354,'Slutlig allokering kvv'!$B$2:$BX$549,MATCH(J$2,'Slutlig allokering kvv'!$B$1:$BX$1,0),FALSE)/1,0))</f>
        <v/>
      </c>
      <c r="K354" s="121" t="str">
        <f>IF($D354="","",IFERROR(VLOOKUP($B354,Kraftvärmeprod!$B$1:$BX$549,MATCH(K$2,Kraftvärmeprod!$B$1:$VX$1,0),FALSE)/1,0)-IFERROR(VLOOKUP($B354,'Slutlig allokering kvv'!$B$2:$BX$549,MATCH(K$2,'Slutlig allokering kvv'!$B$1:$BX$1,0),FALSE)/1,0))</f>
        <v/>
      </c>
      <c r="L354" s="121" t="str">
        <f>IF($D354="","",IFERROR(VLOOKUP($B354,Kraftvärmeprod!$B$1:$BX$549,MATCH(L$2,Kraftvärmeprod!$B$1:$VX$1,0),FALSE)/1,0)-IFERROR(VLOOKUP($B354,'Slutlig allokering kvv'!$B$2:$BX$549,MATCH(L$2,'Slutlig allokering kvv'!$B$1:$BX$1,0),FALSE)/1,0))</f>
        <v/>
      </c>
      <c r="M354" s="121" t="str">
        <f>IF($D354="","",IFERROR(VLOOKUP($B354,Kraftvärmeprod!$B$1:$BX$549,MATCH(M$2,Kraftvärmeprod!$B$1:$VX$1,0),FALSE)/1,0)-IFERROR(VLOOKUP($B354,'Slutlig allokering kvv'!$B$2:$BX$549,MATCH(M$2,'Slutlig allokering kvv'!$B$1:$BX$1,0),FALSE)/1,0))</f>
        <v/>
      </c>
      <c r="N354" s="121" t="str">
        <f>IF($D354="","",IFERROR(VLOOKUP($B354,Kraftvärmeprod!$B$1:$BX$549,MATCH(N$2,Kraftvärmeprod!$B$1:$VX$1,0),FALSE)/1,0)-IFERROR(VLOOKUP($B354,'Slutlig allokering kvv'!$B$2:$BX$549,MATCH(N$2,'Slutlig allokering kvv'!$B$1:$BX$1,0),FALSE)/1,0))</f>
        <v/>
      </c>
      <c r="O354" s="121" t="str">
        <f>IF($D354="","",IFERROR(VLOOKUP($B354,Kraftvärmeprod!$B$1:$BX$549,MATCH(O$2,Kraftvärmeprod!$B$1:$VX$1,0),FALSE)/1,0)-IFERROR(VLOOKUP($B354,'Slutlig allokering kvv'!$B$2:$BX$549,MATCH(O$2,'Slutlig allokering kvv'!$B$1:$BX$1,0),FALSE)/1,0))</f>
        <v/>
      </c>
      <c r="P354" s="121" t="str">
        <f>IF($D354="","",IFERROR(VLOOKUP($B354,Kraftvärmeprod!$B$1:$BX$549,MATCH(P$2,Kraftvärmeprod!$B$1:$VX$1,0),FALSE)/1,0)-IFERROR(VLOOKUP($B354,'Slutlig allokering kvv'!$B$2:$BX$549,MATCH(P$2,'Slutlig allokering kvv'!$B$1:$BX$1,0),FALSE)/1,0))</f>
        <v/>
      </c>
      <c r="Q354" s="121" t="str">
        <f>IF($D354="","",IFERROR(VLOOKUP($B354,Kraftvärmeprod!$B$1:$BX$549,MATCH(Q$2,Kraftvärmeprod!$B$1:$VX$1,0),FALSE)/1,0)-IFERROR(VLOOKUP($B354,'Slutlig allokering kvv'!$B$2:$BX$549,MATCH(Q$2,'Slutlig allokering kvv'!$B$1:$BX$1,0),FALSE)/1,0))</f>
        <v/>
      </c>
      <c r="R354" s="121" t="str">
        <f>IF($D354="","",IFERROR(VLOOKUP($B354,Kraftvärmeprod!$B$1:$BX$549,MATCH(R$2,Kraftvärmeprod!$B$1:$VX$1,0),FALSE)/1,0)-IFERROR(VLOOKUP($B354,'Slutlig allokering kvv'!$B$2:$BX$549,MATCH(R$2,'Slutlig allokering kvv'!$B$1:$BX$1,0),FALSE)/1,0))</f>
        <v/>
      </c>
      <c r="S354" s="121" t="str">
        <f>IF($D354="","",IFERROR(VLOOKUP($B354,Kraftvärmeprod!$B$1:$BX$549,MATCH(S$2,Kraftvärmeprod!$B$1:$VX$1,0),FALSE)/1,0)-IFERROR(VLOOKUP($B354,'Slutlig allokering kvv'!$B$2:$BX$549,MATCH(S$2,'Slutlig allokering kvv'!$B$1:$BX$1,0),FALSE)/1,0))</f>
        <v/>
      </c>
      <c r="T354" s="121" t="str">
        <f>IF($D354="","",IFERROR(VLOOKUP($B354,Kraftvärmeprod!$B$1:$BX$549,MATCH(T$2,Kraftvärmeprod!$B$1:$VX$1,0),FALSE)/1,0)-IFERROR(VLOOKUP($B354,'Slutlig allokering kvv'!$B$2:$BX$549,MATCH(T$2,'Slutlig allokering kvv'!$B$1:$BX$1,0),FALSE)/1,0))</f>
        <v/>
      </c>
      <c r="U354" s="121" t="str">
        <f>IF($D354="","",IFERROR(VLOOKUP($B354,Kraftvärmeprod!$B$1:$BX$549,MATCH(U$2,Kraftvärmeprod!$B$1:$VX$1,0),FALSE)/1,0)-IFERROR(VLOOKUP($B354,'Slutlig allokering kvv'!$B$2:$BX$549,MATCH(U$2,'Slutlig allokering kvv'!$B$1:$BX$1,0),FALSE)/1,0))</f>
        <v/>
      </c>
      <c r="V354" s="121" t="str">
        <f>IF($D354="","",IFERROR(VLOOKUP($B354,Kraftvärmeprod!$B$1:$BX$549,MATCH(V$2,Kraftvärmeprod!$B$1:$VX$1,0),FALSE)/1,0)-IFERROR(VLOOKUP($B354,'Slutlig allokering kvv'!$B$2:$BX$549,MATCH(V$2,'Slutlig allokering kvv'!$B$1:$BX$1,0),FALSE)/1,0))</f>
        <v/>
      </c>
      <c r="W354" s="121" t="str">
        <f>IF($D354="","",IFERROR(VLOOKUP($B354,Kraftvärmeprod!$B$1:$BX$549,MATCH(W$2,Kraftvärmeprod!$B$1:$VX$1,0),FALSE)/1,0)-IFERROR(VLOOKUP($B354,'Slutlig allokering kvv'!$B$2:$BX$549,MATCH(W$2,'Slutlig allokering kvv'!$B$1:$BX$1,0),FALSE)/1,0))</f>
        <v/>
      </c>
      <c r="X354" s="121" t="str">
        <f>IF($D354="","",IFERROR(VLOOKUP($B354,Kraftvärmeprod!$B$1:$BX$549,MATCH(X$2,Kraftvärmeprod!$B$1:$VX$1,0),FALSE)/1,0)-IFERROR(VLOOKUP($B354,'Slutlig allokering kvv'!$B$2:$BX$549,MATCH(X$2,'Slutlig allokering kvv'!$B$1:$BX$1,0),FALSE)/1,0))</f>
        <v/>
      </c>
      <c r="Y354" s="121" t="str">
        <f>IF($D354="","",IFERROR(VLOOKUP($B354,Kraftvärmeprod!$B$1:$BX$549,MATCH(Y$2,Kraftvärmeprod!$B$1:$VX$1,0),FALSE)/1,0)-IFERROR(VLOOKUP($B354,'Slutlig allokering kvv'!$B$2:$BX$549,MATCH(Y$2,'Slutlig allokering kvv'!$B$1:$BX$1,0),FALSE)/1,0))</f>
        <v/>
      </c>
      <c r="Z354" s="121" t="str">
        <f>IF($D354="","",IFERROR(VLOOKUP($B354,Kraftvärmeprod!$B$1:$BX$549,MATCH(Z$2,Kraftvärmeprod!$B$1:$VX$1,0),FALSE)/1,0)-IFERROR(VLOOKUP($B354,'Slutlig allokering kvv'!$B$2:$BX$549,MATCH(Z$2,'Slutlig allokering kvv'!$B$1:$BX$1,0),FALSE)/1,0))</f>
        <v/>
      </c>
      <c r="AA354" s="121" t="str">
        <f>IF($D354="","",IFERROR(VLOOKUP($B354,Kraftvärmeprod!$B$1:$BX$549,MATCH(AA$2,Kraftvärmeprod!$B$1:$VX$1,0),FALSE)/1,0)-IFERROR(VLOOKUP($B354,'Slutlig allokering kvv'!$B$2:$BX$549,MATCH(AA$2,'Slutlig allokering kvv'!$B$1:$BX$1,0),FALSE)/1,0))</f>
        <v/>
      </c>
      <c r="AB354" s="121" t="str">
        <f>IF($D354="","",IFERROR(VLOOKUP($B354,Kraftvärmeprod!$B$1:$BX$549,MATCH(AB$2,Kraftvärmeprod!$B$1:$VX$1,0),FALSE)/1,0)-IFERROR(VLOOKUP($B354,'Slutlig allokering kvv'!$B$2:$BX$549,MATCH(AB$2,'Slutlig allokering kvv'!$B$1:$BX$1,0),FALSE)/1,0))</f>
        <v/>
      </c>
      <c r="AC354" s="121" t="str">
        <f>IF($D354="","",IFERROR(VLOOKUP($B354,Kraftvärmeprod!$B$1:$BX$549,MATCH(AC$2,Kraftvärmeprod!$B$1:$VX$1,0),FALSE)/1,0)-IFERROR(VLOOKUP($B354,'Slutlig allokering kvv'!$B$2:$BX$549,MATCH(AC$2,'Slutlig allokering kvv'!$B$1:$BX$1,0),FALSE)/1,0))</f>
        <v/>
      </c>
      <c r="AD354" s="121" t="str">
        <f>IF($D354="","",IFERROR(VLOOKUP($B354,Kraftvärmeprod!$B$1:$BX$549,MATCH(AD$2,Kraftvärmeprod!$B$1:$VX$1,0),FALSE)/1,0)-IFERROR(VLOOKUP($B354,'Slutlig allokering kvv'!$B$2:$BX$549,MATCH(AD$2,'Slutlig allokering kvv'!$B$1:$BX$1,0),FALSE)/1,0))</f>
        <v/>
      </c>
      <c r="AE354" s="121" t="str">
        <f>IF($D354="","",IFERROR(VLOOKUP($B354,Miljö!$B$1:$E$550,MATCH("Hjälpel kraftvärme (GWh)",Miljö!$B$1:$E$1,0),FALSE)/1,0)-IFERROR(VLOOKUP($B354,'Slutlig allokering kvv'!$B$2:$BX$549,MATCH(AE$2,'Slutlig allokering kvv'!$B$1:$BX$1,0),FALSE)/1,0))</f>
        <v/>
      </c>
      <c r="AI354" s="121">
        <f t="shared" si="20"/>
        <v>0</v>
      </c>
      <c r="AK354" s="121">
        <f>IFERROR(VLOOKUP($B354,'Slutlig allokering kvv'!$B$2:$AX$549,MATCH("Summa slutlig allokerad tillförd energi (utan hjälpel och rökgaskondensering):",'Slutlig allokering kvv'!$B$1:$AX$1,0),FALSE)/1,"")</f>
        <v>0</v>
      </c>
      <c r="AM354" s="172" t="str">
        <f>IFERROR(1-VLOOKUP($B354,'Slutlig allokering kvv'!$B$2:$AX$549,MATCH("Andel av bränsle i kvv som allokerats till värme, exklusive rökgaskondensering och hjälpel",'Slutlig allokering kvv'!$B$1:$AX$1,0),FALSE),"")</f>
        <v/>
      </c>
      <c r="AO354" s="172" t="str">
        <f t="shared" si="21"/>
        <v/>
      </c>
      <c r="AP354" s="173" t="str">
        <f t="shared" si="22"/>
        <v/>
      </c>
      <c r="AR354" s="172" t="str">
        <f t="shared" si="23"/>
        <v/>
      </c>
    </row>
    <row r="355" spans="1:44" x14ac:dyDescent="0.25">
      <c r="A355" s="171" t="str">
        <f>'Miljövärden för publ företag'!B357</f>
        <v>Övik Energi AB</v>
      </c>
      <c r="B355" s="171" t="str">
        <f>'Miljövärden för publ företag'!C357</f>
        <v>Bjästa</v>
      </c>
      <c r="C355" s="121" t="str">
        <f>IFERROR(VLOOKUP($B355,Kraftvärmeprod!$B$1:$AH$478,MATCH(C$2,Kraftvärmeprod!$B$1:$AG$1,0),FALSE)/1,"")</f>
        <v/>
      </c>
      <c r="D355" s="121" t="str">
        <f>IFERROR(VLOOKUP($B355,Kraftvärmeprod!$B$1:$AH$478,MATCH(D$2,Kraftvärmeprod!$B$1:$AG$1,0),FALSE)/1,"")</f>
        <v/>
      </c>
      <c r="F355" s="121" t="str">
        <f>IF($D355="","",IFERROR(VLOOKUP($B355,Kraftvärmeprod!$B$1:$BX$549,MATCH(F$2,Kraftvärmeprod!$B$1:$VX$1,0),FALSE)/1,0)-IFERROR(VLOOKUP($B355,'Slutlig allokering kvv'!$B$2:$BX$549,MATCH(F$2,'Slutlig allokering kvv'!$B$1:$BX$1,0),FALSE)/1,0))</f>
        <v/>
      </c>
      <c r="G355" s="121" t="str">
        <f>IF($D355="","",IFERROR(VLOOKUP($B355,Kraftvärmeprod!$B$1:$BX$549,MATCH(G$2,Kraftvärmeprod!$B$1:$VX$1,0),FALSE)/1,0)-IFERROR(VLOOKUP($B355,'Slutlig allokering kvv'!$B$2:$BX$549,MATCH(G$2,'Slutlig allokering kvv'!$B$1:$BX$1,0),FALSE)/1,0))</f>
        <v/>
      </c>
      <c r="H355" s="121" t="str">
        <f>IF($D355="","",IFERROR(VLOOKUP($B355,Kraftvärmeprod!$B$1:$BX$549,MATCH(H$2,Kraftvärmeprod!$B$1:$VX$1,0),FALSE)/1,0)-IFERROR(VLOOKUP($B355,'Slutlig allokering kvv'!$B$2:$BX$549,MATCH(H$2,'Slutlig allokering kvv'!$B$1:$BX$1,0),FALSE)/1,0))</f>
        <v/>
      </c>
      <c r="I355" s="121" t="str">
        <f>IF($D355="","",IFERROR(VLOOKUP($B355,Kraftvärmeprod!$B$1:$BX$549,MATCH(I$2,Kraftvärmeprod!$B$1:$VX$1,0),FALSE)/1,0)-IFERROR(VLOOKUP($B355,'Slutlig allokering kvv'!$B$2:$BX$549,MATCH(I$2,'Slutlig allokering kvv'!$B$1:$BX$1,0),FALSE)/1,0))</f>
        <v/>
      </c>
      <c r="J355" s="121" t="str">
        <f>IF($D355="","",IFERROR(VLOOKUP($B355,Kraftvärmeprod!$B$1:$BX$549,MATCH(J$2,Kraftvärmeprod!$B$1:$VX$1,0),FALSE)/1,0)-IFERROR(VLOOKUP($B355,'Slutlig allokering kvv'!$B$2:$BX$549,MATCH(J$2,'Slutlig allokering kvv'!$B$1:$BX$1,0),FALSE)/1,0))</f>
        <v/>
      </c>
      <c r="K355" s="121" t="str">
        <f>IF($D355="","",IFERROR(VLOOKUP($B355,Kraftvärmeprod!$B$1:$BX$549,MATCH(K$2,Kraftvärmeprod!$B$1:$VX$1,0),FALSE)/1,0)-IFERROR(VLOOKUP($B355,'Slutlig allokering kvv'!$B$2:$BX$549,MATCH(K$2,'Slutlig allokering kvv'!$B$1:$BX$1,0),FALSE)/1,0))</f>
        <v/>
      </c>
      <c r="L355" s="121" t="str">
        <f>IF($D355="","",IFERROR(VLOOKUP($B355,Kraftvärmeprod!$B$1:$BX$549,MATCH(L$2,Kraftvärmeprod!$B$1:$VX$1,0),FALSE)/1,0)-IFERROR(VLOOKUP($B355,'Slutlig allokering kvv'!$B$2:$BX$549,MATCH(L$2,'Slutlig allokering kvv'!$B$1:$BX$1,0),FALSE)/1,0))</f>
        <v/>
      </c>
      <c r="M355" s="121" t="str">
        <f>IF($D355="","",IFERROR(VLOOKUP($B355,Kraftvärmeprod!$B$1:$BX$549,MATCH(M$2,Kraftvärmeprod!$B$1:$VX$1,0),FALSE)/1,0)-IFERROR(VLOOKUP($B355,'Slutlig allokering kvv'!$B$2:$BX$549,MATCH(M$2,'Slutlig allokering kvv'!$B$1:$BX$1,0),FALSE)/1,0))</f>
        <v/>
      </c>
      <c r="N355" s="121" t="str">
        <f>IF($D355="","",IFERROR(VLOOKUP($B355,Kraftvärmeprod!$B$1:$BX$549,MATCH(N$2,Kraftvärmeprod!$B$1:$VX$1,0),FALSE)/1,0)-IFERROR(VLOOKUP($B355,'Slutlig allokering kvv'!$B$2:$BX$549,MATCH(N$2,'Slutlig allokering kvv'!$B$1:$BX$1,0),FALSE)/1,0))</f>
        <v/>
      </c>
      <c r="O355" s="121" t="str">
        <f>IF($D355="","",IFERROR(VLOOKUP($B355,Kraftvärmeprod!$B$1:$BX$549,MATCH(O$2,Kraftvärmeprod!$B$1:$VX$1,0),FALSE)/1,0)-IFERROR(VLOOKUP($B355,'Slutlig allokering kvv'!$B$2:$BX$549,MATCH(O$2,'Slutlig allokering kvv'!$B$1:$BX$1,0),FALSE)/1,0))</f>
        <v/>
      </c>
      <c r="P355" s="121" t="str">
        <f>IF($D355="","",IFERROR(VLOOKUP($B355,Kraftvärmeprod!$B$1:$BX$549,MATCH(P$2,Kraftvärmeprod!$B$1:$VX$1,0),FALSE)/1,0)-IFERROR(VLOOKUP($B355,'Slutlig allokering kvv'!$B$2:$BX$549,MATCH(P$2,'Slutlig allokering kvv'!$B$1:$BX$1,0),FALSE)/1,0))</f>
        <v/>
      </c>
      <c r="Q355" s="121" t="str">
        <f>IF($D355="","",IFERROR(VLOOKUP($B355,Kraftvärmeprod!$B$1:$BX$549,MATCH(Q$2,Kraftvärmeprod!$B$1:$VX$1,0),FALSE)/1,0)-IFERROR(VLOOKUP($B355,'Slutlig allokering kvv'!$B$2:$BX$549,MATCH(Q$2,'Slutlig allokering kvv'!$B$1:$BX$1,0),FALSE)/1,0))</f>
        <v/>
      </c>
      <c r="R355" s="121" t="str">
        <f>IF($D355="","",IFERROR(VLOOKUP($B355,Kraftvärmeprod!$B$1:$BX$549,MATCH(R$2,Kraftvärmeprod!$B$1:$VX$1,0),FALSE)/1,0)-IFERROR(VLOOKUP($B355,'Slutlig allokering kvv'!$B$2:$BX$549,MATCH(R$2,'Slutlig allokering kvv'!$B$1:$BX$1,0),FALSE)/1,0))</f>
        <v/>
      </c>
      <c r="S355" s="121" t="str">
        <f>IF($D355="","",IFERROR(VLOOKUP($B355,Kraftvärmeprod!$B$1:$BX$549,MATCH(S$2,Kraftvärmeprod!$B$1:$VX$1,0),FALSE)/1,0)-IFERROR(VLOOKUP($B355,'Slutlig allokering kvv'!$B$2:$BX$549,MATCH(S$2,'Slutlig allokering kvv'!$B$1:$BX$1,0),FALSE)/1,0))</f>
        <v/>
      </c>
      <c r="T355" s="121" t="str">
        <f>IF($D355="","",IFERROR(VLOOKUP($B355,Kraftvärmeprod!$B$1:$BX$549,MATCH(T$2,Kraftvärmeprod!$B$1:$VX$1,0),FALSE)/1,0)-IFERROR(VLOOKUP($B355,'Slutlig allokering kvv'!$B$2:$BX$549,MATCH(T$2,'Slutlig allokering kvv'!$B$1:$BX$1,0),FALSE)/1,0))</f>
        <v/>
      </c>
      <c r="U355" s="121" t="str">
        <f>IF($D355="","",IFERROR(VLOOKUP($B355,Kraftvärmeprod!$B$1:$BX$549,MATCH(U$2,Kraftvärmeprod!$B$1:$VX$1,0),FALSE)/1,0)-IFERROR(VLOOKUP($B355,'Slutlig allokering kvv'!$B$2:$BX$549,MATCH(U$2,'Slutlig allokering kvv'!$B$1:$BX$1,0),FALSE)/1,0))</f>
        <v/>
      </c>
      <c r="V355" s="121" t="str">
        <f>IF($D355="","",IFERROR(VLOOKUP($B355,Kraftvärmeprod!$B$1:$BX$549,MATCH(V$2,Kraftvärmeprod!$B$1:$VX$1,0),FALSE)/1,0)-IFERROR(VLOOKUP($B355,'Slutlig allokering kvv'!$B$2:$BX$549,MATCH(V$2,'Slutlig allokering kvv'!$B$1:$BX$1,0),FALSE)/1,0))</f>
        <v/>
      </c>
      <c r="W355" s="121" t="str">
        <f>IF($D355="","",IFERROR(VLOOKUP($B355,Kraftvärmeprod!$B$1:$BX$549,MATCH(W$2,Kraftvärmeprod!$B$1:$VX$1,0),FALSE)/1,0)-IFERROR(VLOOKUP($B355,'Slutlig allokering kvv'!$B$2:$BX$549,MATCH(W$2,'Slutlig allokering kvv'!$B$1:$BX$1,0),FALSE)/1,0))</f>
        <v/>
      </c>
      <c r="X355" s="121" t="str">
        <f>IF($D355="","",IFERROR(VLOOKUP($B355,Kraftvärmeprod!$B$1:$BX$549,MATCH(X$2,Kraftvärmeprod!$B$1:$VX$1,0),FALSE)/1,0)-IFERROR(VLOOKUP($B355,'Slutlig allokering kvv'!$B$2:$BX$549,MATCH(X$2,'Slutlig allokering kvv'!$B$1:$BX$1,0),FALSE)/1,0))</f>
        <v/>
      </c>
      <c r="Y355" s="121" t="str">
        <f>IF($D355="","",IFERROR(VLOOKUP($B355,Kraftvärmeprod!$B$1:$BX$549,MATCH(Y$2,Kraftvärmeprod!$B$1:$VX$1,0),FALSE)/1,0)-IFERROR(VLOOKUP($B355,'Slutlig allokering kvv'!$B$2:$BX$549,MATCH(Y$2,'Slutlig allokering kvv'!$B$1:$BX$1,0),FALSE)/1,0))</f>
        <v/>
      </c>
      <c r="Z355" s="121" t="str">
        <f>IF($D355="","",IFERROR(VLOOKUP($B355,Kraftvärmeprod!$B$1:$BX$549,MATCH(Z$2,Kraftvärmeprod!$B$1:$VX$1,0),FALSE)/1,0)-IFERROR(VLOOKUP($B355,'Slutlig allokering kvv'!$B$2:$BX$549,MATCH(Z$2,'Slutlig allokering kvv'!$B$1:$BX$1,0),FALSE)/1,0))</f>
        <v/>
      </c>
      <c r="AA355" s="121" t="str">
        <f>IF($D355="","",IFERROR(VLOOKUP($B355,Kraftvärmeprod!$B$1:$BX$549,MATCH(AA$2,Kraftvärmeprod!$B$1:$VX$1,0),FALSE)/1,0)-IFERROR(VLOOKUP($B355,'Slutlig allokering kvv'!$B$2:$BX$549,MATCH(AA$2,'Slutlig allokering kvv'!$B$1:$BX$1,0),FALSE)/1,0))</f>
        <v/>
      </c>
      <c r="AB355" s="121" t="str">
        <f>IF($D355="","",IFERROR(VLOOKUP($B355,Kraftvärmeprod!$B$1:$BX$549,MATCH(AB$2,Kraftvärmeprod!$B$1:$VX$1,0),FALSE)/1,0)-IFERROR(VLOOKUP($B355,'Slutlig allokering kvv'!$B$2:$BX$549,MATCH(AB$2,'Slutlig allokering kvv'!$B$1:$BX$1,0),FALSE)/1,0))</f>
        <v/>
      </c>
      <c r="AC355" s="121" t="str">
        <f>IF($D355="","",IFERROR(VLOOKUP($B355,Kraftvärmeprod!$B$1:$BX$549,MATCH(AC$2,Kraftvärmeprod!$B$1:$VX$1,0),FALSE)/1,0)-IFERROR(VLOOKUP($B355,'Slutlig allokering kvv'!$B$2:$BX$549,MATCH(AC$2,'Slutlig allokering kvv'!$B$1:$BX$1,0),FALSE)/1,0))</f>
        <v/>
      </c>
      <c r="AD355" s="121" t="str">
        <f>IF($D355="","",IFERROR(VLOOKUP($B355,Kraftvärmeprod!$B$1:$BX$549,MATCH(AD$2,Kraftvärmeprod!$B$1:$VX$1,0),FALSE)/1,0)-IFERROR(VLOOKUP($B355,'Slutlig allokering kvv'!$B$2:$BX$549,MATCH(AD$2,'Slutlig allokering kvv'!$B$1:$BX$1,0),FALSE)/1,0))</f>
        <v/>
      </c>
      <c r="AE355" s="121" t="str">
        <f>IF($D355="","",IFERROR(VLOOKUP($B355,Miljö!$B$1:$E$550,MATCH("Hjälpel kraftvärme (GWh)",Miljö!$B$1:$E$1,0),FALSE)/1,0)-IFERROR(VLOOKUP($B355,'Slutlig allokering kvv'!$B$2:$BX$549,MATCH(AE$2,'Slutlig allokering kvv'!$B$1:$BX$1,0),FALSE)/1,0))</f>
        <v/>
      </c>
      <c r="AI355" s="121">
        <f t="shared" si="20"/>
        <v>0</v>
      </c>
      <c r="AK355" s="121">
        <f>IFERROR(VLOOKUP($B355,'Slutlig allokering kvv'!$B$2:$AX$549,MATCH("Summa slutlig allokerad tillförd energi (utan hjälpel och rökgaskondensering):",'Slutlig allokering kvv'!$B$1:$AX$1,0),FALSE)/1,"")</f>
        <v>0</v>
      </c>
      <c r="AM355" s="172" t="str">
        <f>IFERROR(1-VLOOKUP($B355,'Slutlig allokering kvv'!$B$2:$AX$549,MATCH("Andel av bränsle i kvv som allokerats till värme, exklusive rökgaskondensering och hjälpel",'Slutlig allokering kvv'!$B$1:$AX$1,0),FALSE),"")</f>
        <v/>
      </c>
      <c r="AO355" s="172" t="str">
        <f t="shared" si="21"/>
        <v/>
      </c>
      <c r="AP355" s="173" t="str">
        <f t="shared" si="22"/>
        <v/>
      </c>
      <c r="AR355" s="172" t="str">
        <f t="shared" si="23"/>
        <v/>
      </c>
    </row>
    <row r="356" spans="1:44" x14ac:dyDescent="0.25">
      <c r="A356" s="171" t="str">
        <f>'Miljövärden för publ företag'!B358</f>
        <v>Övik Energi AB</v>
      </c>
      <c r="B356" s="171" t="str">
        <f>'Miljövärden för publ företag'!C358</f>
        <v>Bredbyn</v>
      </c>
      <c r="C356" s="121" t="str">
        <f>IFERROR(VLOOKUP($B356,Kraftvärmeprod!$B$1:$AH$478,MATCH(C$2,Kraftvärmeprod!$B$1:$AG$1,0),FALSE)/1,"")</f>
        <v/>
      </c>
      <c r="D356" s="121" t="str">
        <f>IFERROR(VLOOKUP($B356,Kraftvärmeprod!$B$1:$AH$478,MATCH(D$2,Kraftvärmeprod!$B$1:$AG$1,0),FALSE)/1,"")</f>
        <v/>
      </c>
      <c r="F356" s="121" t="str">
        <f>IF($D356="","",IFERROR(VLOOKUP($B356,Kraftvärmeprod!$B$1:$BX$549,MATCH(F$2,Kraftvärmeprod!$B$1:$VX$1,0),FALSE)/1,0)-IFERROR(VLOOKUP($B356,'Slutlig allokering kvv'!$B$2:$BX$549,MATCH(F$2,'Slutlig allokering kvv'!$B$1:$BX$1,0),FALSE)/1,0))</f>
        <v/>
      </c>
      <c r="G356" s="121" t="str">
        <f>IF($D356="","",IFERROR(VLOOKUP($B356,Kraftvärmeprod!$B$1:$BX$549,MATCH(G$2,Kraftvärmeprod!$B$1:$VX$1,0),FALSE)/1,0)-IFERROR(VLOOKUP($B356,'Slutlig allokering kvv'!$B$2:$BX$549,MATCH(G$2,'Slutlig allokering kvv'!$B$1:$BX$1,0),FALSE)/1,0))</f>
        <v/>
      </c>
      <c r="H356" s="121" t="str">
        <f>IF($D356="","",IFERROR(VLOOKUP($B356,Kraftvärmeprod!$B$1:$BX$549,MATCH(H$2,Kraftvärmeprod!$B$1:$VX$1,0),FALSE)/1,0)-IFERROR(VLOOKUP($B356,'Slutlig allokering kvv'!$B$2:$BX$549,MATCH(H$2,'Slutlig allokering kvv'!$B$1:$BX$1,0),FALSE)/1,0))</f>
        <v/>
      </c>
      <c r="I356" s="121" t="str">
        <f>IF($D356="","",IFERROR(VLOOKUP($B356,Kraftvärmeprod!$B$1:$BX$549,MATCH(I$2,Kraftvärmeprod!$B$1:$VX$1,0),FALSE)/1,0)-IFERROR(VLOOKUP($B356,'Slutlig allokering kvv'!$B$2:$BX$549,MATCH(I$2,'Slutlig allokering kvv'!$B$1:$BX$1,0),FALSE)/1,0))</f>
        <v/>
      </c>
      <c r="J356" s="121" t="str">
        <f>IF($D356="","",IFERROR(VLOOKUP($B356,Kraftvärmeprod!$B$1:$BX$549,MATCH(J$2,Kraftvärmeprod!$B$1:$VX$1,0),FALSE)/1,0)-IFERROR(VLOOKUP($B356,'Slutlig allokering kvv'!$B$2:$BX$549,MATCH(J$2,'Slutlig allokering kvv'!$B$1:$BX$1,0),FALSE)/1,0))</f>
        <v/>
      </c>
      <c r="K356" s="121" t="str">
        <f>IF($D356="","",IFERROR(VLOOKUP($B356,Kraftvärmeprod!$B$1:$BX$549,MATCH(K$2,Kraftvärmeprod!$B$1:$VX$1,0),FALSE)/1,0)-IFERROR(VLOOKUP($B356,'Slutlig allokering kvv'!$B$2:$BX$549,MATCH(K$2,'Slutlig allokering kvv'!$B$1:$BX$1,0),FALSE)/1,0))</f>
        <v/>
      </c>
      <c r="L356" s="121" t="str">
        <f>IF($D356="","",IFERROR(VLOOKUP($B356,Kraftvärmeprod!$B$1:$BX$549,MATCH(L$2,Kraftvärmeprod!$B$1:$VX$1,0),FALSE)/1,0)-IFERROR(VLOOKUP($B356,'Slutlig allokering kvv'!$B$2:$BX$549,MATCH(L$2,'Slutlig allokering kvv'!$B$1:$BX$1,0),FALSE)/1,0))</f>
        <v/>
      </c>
      <c r="M356" s="121" t="str">
        <f>IF($D356="","",IFERROR(VLOOKUP($B356,Kraftvärmeprod!$B$1:$BX$549,MATCH(M$2,Kraftvärmeprod!$B$1:$VX$1,0),FALSE)/1,0)-IFERROR(VLOOKUP($B356,'Slutlig allokering kvv'!$B$2:$BX$549,MATCH(M$2,'Slutlig allokering kvv'!$B$1:$BX$1,0),FALSE)/1,0))</f>
        <v/>
      </c>
      <c r="N356" s="121" t="str">
        <f>IF($D356="","",IFERROR(VLOOKUP($B356,Kraftvärmeprod!$B$1:$BX$549,MATCH(N$2,Kraftvärmeprod!$B$1:$VX$1,0),FALSE)/1,0)-IFERROR(VLOOKUP($B356,'Slutlig allokering kvv'!$B$2:$BX$549,MATCH(N$2,'Slutlig allokering kvv'!$B$1:$BX$1,0),FALSE)/1,0))</f>
        <v/>
      </c>
      <c r="O356" s="121" t="str">
        <f>IF($D356="","",IFERROR(VLOOKUP($B356,Kraftvärmeprod!$B$1:$BX$549,MATCH(O$2,Kraftvärmeprod!$B$1:$VX$1,0),FALSE)/1,0)-IFERROR(VLOOKUP($B356,'Slutlig allokering kvv'!$B$2:$BX$549,MATCH(O$2,'Slutlig allokering kvv'!$B$1:$BX$1,0),FALSE)/1,0))</f>
        <v/>
      </c>
      <c r="P356" s="121" t="str">
        <f>IF($D356="","",IFERROR(VLOOKUP($B356,Kraftvärmeprod!$B$1:$BX$549,MATCH(P$2,Kraftvärmeprod!$B$1:$VX$1,0),FALSE)/1,0)-IFERROR(VLOOKUP($B356,'Slutlig allokering kvv'!$B$2:$BX$549,MATCH(P$2,'Slutlig allokering kvv'!$B$1:$BX$1,0),FALSE)/1,0))</f>
        <v/>
      </c>
      <c r="Q356" s="121" t="str">
        <f>IF($D356="","",IFERROR(VLOOKUP($B356,Kraftvärmeprod!$B$1:$BX$549,MATCH(Q$2,Kraftvärmeprod!$B$1:$VX$1,0),FALSE)/1,0)-IFERROR(VLOOKUP($B356,'Slutlig allokering kvv'!$B$2:$BX$549,MATCH(Q$2,'Slutlig allokering kvv'!$B$1:$BX$1,0),FALSE)/1,0))</f>
        <v/>
      </c>
      <c r="R356" s="121" t="str">
        <f>IF($D356="","",IFERROR(VLOOKUP($B356,Kraftvärmeprod!$B$1:$BX$549,MATCH(R$2,Kraftvärmeprod!$B$1:$VX$1,0),FALSE)/1,0)-IFERROR(VLOOKUP($B356,'Slutlig allokering kvv'!$B$2:$BX$549,MATCH(R$2,'Slutlig allokering kvv'!$B$1:$BX$1,0),FALSE)/1,0))</f>
        <v/>
      </c>
      <c r="S356" s="121" t="str">
        <f>IF($D356="","",IFERROR(VLOOKUP($B356,Kraftvärmeprod!$B$1:$BX$549,MATCH(S$2,Kraftvärmeprod!$B$1:$VX$1,0),FALSE)/1,0)-IFERROR(VLOOKUP($B356,'Slutlig allokering kvv'!$B$2:$BX$549,MATCH(S$2,'Slutlig allokering kvv'!$B$1:$BX$1,0),FALSE)/1,0))</f>
        <v/>
      </c>
      <c r="T356" s="121" t="str">
        <f>IF($D356="","",IFERROR(VLOOKUP($B356,Kraftvärmeprod!$B$1:$BX$549,MATCH(T$2,Kraftvärmeprod!$B$1:$VX$1,0),FALSE)/1,0)-IFERROR(VLOOKUP($B356,'Slutlig allokering kvv'!$B$2:$BX$549,MATCH(T$2,'Slutlig allokering kvv'!$B$1:$BX$1,0),FALSE)/1,0))</f>
        <v/>
      </c>
      <c r="U356" s="121" t="str">
        <f>IF($D356="","",IFERROR(VLOOKUP($B356,Kraftvärmeprod!$B$1:$BX$549,MATCH(U$2,Kraftvärmeprod!$B$1:$VX$1,0),FALSE)/1,0)-IFERROR(VLOOKUP($B356,'Slutlig allokering kvv'!$B$2:$BX$549,MATCH(U$2,'Slutlig allokering kvv'!$B$1:$BX$1,0),FALSE)/1,0))</f>
        <v/>
      </c>
      <c r="V356" s="121" t="str">
        <f>IF($D356="","",IFERROR(VLOOKUP($B356,Kraftvärmeprod!$B$1:$BX$549,MATCH(V$2,Kraftvärmeprod!$B$1:$VX$1,0),FALSE)/1,0)-IFERROR(VLOOKUP($B356,'Slutlig allokering kvv'!$B$2:$BX$549,MATCH(V$2,'Slutlig allokering kvv'!$B$1:$BX$1,0),FALSE)/1,0))</f>
        <v/>
      </c>
      <c r="W356" s="121" t="str">
        <f>IF($D356="","",IFERROR(VLOOKUP($B356,Kraftvärmeprod!$B$1:$BX$549,MATCH(W$2,Kraftvärmeprod!$B$1:$VX$1,0),FALSE)/1,0)-IFERROR(VLOOKUP($B356,'Slutlig allokering kvv'!$B$2:$BX$549,MATCH(W$2,'Slutlig allokering kvv'!$B$1:$BX$1,0),FALSE)/1,0))</f>
        <v/>
      </c>
      <c r="X356" s="121" t="str">
        <f>IF($D356="","",IFERROR(VLOOKUP($B356,Kraftvärmeprod!$B$1:$BX$549,MATCH(X$2,Kraftvärmeprod!$B$1:$VX$1,0),FALSE)/1,0)-IFERROR(VLOOKUP($B356,'Slutlig allokering kvv'!$B$2:$BX$549,MATCH(X$2,'Slutlig allokering kvv'!$B$1:$BX$1,0),FALSE)/1,0))</f>
        <v/>
      </c>
      <c r="Y356" s="121" t="str">
        <f>IF($D356="","",IFERROR(VLOOKUP($B356,Kraftvärmeprod!$B$1:$BX$549,MATCH(Y$2,Kraftvärmeprod!$B$1:$VX$1,0),FALSE)/1,0)-IFERROR(VLOOKUP($B356,'Slutlig allokering kvv'!$B$2:$BX$549,MATCH(Y$2,'Slutlig allokering kvv'!$B$1:$BX$1,0),FALSE)/1,0))</f>
        <v/>
      </c>
      <c r="Z356" s="121" t="str">
        <f>IF($D356="","",IFERROR(VLOOKUP($B356,Kraftvärmeprod!$B$1:$BX$549,MATCH(Z$2,Kraftvärmeprod!$B$1:$VX$1,0),FALSE)/1,0)-IFERROR(VLOOKUP($B356,'Slutlig allokering kvv'!$B$2:$BX$549,MATCH(Z$2,'Slutlig allokering kvv'!$B$1:$BX$1,0),FALSE)/1,0))</f>
        <v/>
      </c>
      <c r="AA356" s="121" t="str">
        <f>IF($D356="","",IFERROR(VLOOKUP($B356,Kraftvärmeprod!$B$1:$BX$549,MATCH(AA$2,Kraftvärmeprod!$B$1:$VX$1,0),FALSE)/1,0)-IFERROR(VLOOKUP($B356,'Slutlig allokering kvv'!$B$2:$BX$549,MATCH(AA$2,'Slutlig allokering kvv'!$B$1:$BX$1,0),FALSE)/1,0))</f>
        <v/>
      </c>
      <c r="AB356" s="121" t="str">
        <f>IF($D356="","",IFERROR(VLOOKUP($B356,Kraftvärmeprod!$B$1:$BX$549,MATCH(AB$2,Kraftvärmeprod!$B$1:$VX$1,0),FALSE)/1,0)-IFERROR(VLOOKUP($B356,'Slutlig allokering kvv'!$B$2:$BX$549,MATCH(AB$2,'Slutlig allokering kvv'!$B$1:$BX$1,0),FALSE)/1,0))</f>
        <v/>
      </c>
      <c r="AC356" s="121" t="str">
        <f>IF($D356="","",IFERROR(VLOOKUP($B356,Kraftvärmeprod!$B$1:$BX$549,MATCH(AC$2,Kraftvärmeprod!$B$1:$VX$1,0),FALSE)/1,0)-IFERROR(VLOOKUP($B356,'Slutlig allokering kvv'!$B$2:$BX$549,MATCH(AC$2,'Slutlig allokering kvv'!$B$1:$BX$1,0),FALSE)/1,0))</f>
        <v/>
      </c>
      <c r="AD356" s="121" t="str">
        <f>IF($D356="","",IFERROR(VLOOKUP($B356,Kraftvärmeprod!$B$1:$BX$549,MATCH(AD$2,Kraftvärmeprod!$B$1:$VX$1,0),FALSE)/1,0)-IFERROR(VLOOKUP($B356,'Slutlig allokering kvv'!$B$2:$BX$549,MATCH(AD$2,'Slutlig allokering kvv'!$B$1:$BX$1,0),FALSE)/1,0))</f>
        <v/>
      </c>
      <c r="AE356" s="121" t="str">
        <f>IF($D356="","",IFERROR(VLOOKUP($B356,Miljö!$B$1:$E$550,MATCH("Hjälpel kraftvärme (GWh)",Miljö!$B$1:$E$1,0),FALSE)/1,0)-IFERROR(VLOOKUP($B356,'Slutlig allokering kvv'!$B$2:$BX$549,MATCH(AE$2,'Slutlig allokering kvv'!$B$1:$BX$1,0),FALSE)/1,0))</f>
        <v/>
      </c>
      <c r="AI356" s="121">
        <f t="shared" si="20"/>
        <v>0</v>
      </c>
      <c r="AK356" s="121">
        <f>IFERROR(VLOOKUP($B356,'Slutlig allokering kvv'!$B$2:$AX$549,MATCH("Summa slutlig allokerad tillförd energi (utan hjälpel och rökgaskondensering):",'Slutlig allokering kvv'!$B$1:$AX$1,0),FALSE)/1,"")</f>
        <v>0</v>
      </c>
      <c r="AM356" s="172" t="str">
        <f>IFERROR(1-VLOOKUP($B356,'Slutlig allokering kvv'!$B$2:$AX$549,MATCH("Andel av bränsle i kvv som allokerats till värme, exklusive rökgaskondensering och hjälpel",'Slutlig allokering kvv'!$B$1:$AX$1,0),FALSE),"")</f>
        <v/>
      </c>
      <c r="AO356" s="172" t="str">
        <f t="shared" si="21"/>
        <v/>
      </c>
      <c r="AP356" s="173" t="str">
        <f t="shared" si="22"/>
        <v/>
      </c>
      <c r="AR356" s="172" t="str">
        <f t="shared" si="23"/>
        <v/>
      </c>
    </row>
    <row r="357" spans="1:44" x14ac:dyDescent="0.25">
      <c r="A357" s="171" t="str">
        <f>'Miljövärden för publ företag'!B359</f>
        <v>Övik Energi AB</v>
      </c>
      <c r="B357" s="171" t="str">
        <f>'Miljövärden för publ företag'!C359</f>
        <v>Husum</v>
      </c>
      <c r="C357" s="121" t="str">
        <f>IFERROR(VLOOKUP($B357,Kraftvärmeprod!$B$1:$AH$478,MATCH(C$2,Kraftvärmeprod!$B$1:$AG$1,0),FALSE)/1,"")</f>
        <v/>
      </c>
      <c r="D357" s="121" t="str">
        <f>IFERROR(VLOOKUP($B357,Kraftvärmeprod!$B$1:$AH$478,MATCH(D$2,Kraftvärmeprod!$B$1:$AG$1,0),FALSE)/1,"")</f>
        <v/>
      </c>
      <c r="F357" s="121" t="str">
        <f>IF($D357="","",IFERROR(VLOOKUP($B357,Kraftvärmeprod!$B$1:$BX$549,MATCH(F$2,Kraftvärmeprod!$B$1:$VX$1,0),FALSE)/1,0)-IFERROR(VLOOKUP($B357,'Slutlig allokering kvv'!$B$2:$BX$549,MATCH(F$2,'Slutlig allokering kvv'!$B$1:$BX$1,0),FALSE)/1,0))</f>
        <v/>
      </c>
      <c r="G357" s="121" t="str">
        <f>IF($D357="","",IFERROR(VLOOKUP($B357,Kraftvärmeprod!$B$1:$BX$549,MATCH(G$2,Kraftvärmeprod!$B$1:$VX$1,0),FALSE)/1,0)-IFERROR(VLOOKUP($B357,'Slutlig allokering kvv'!$B$2:$BX$549,MATCH(G$2,'Slutlig allokering kvv'!$B$1:$BX$1,0),FALSE)/1,0))</f>
        <v/>
      </c>
      <c r="H357" s="121" t="str">
        <f>IF($D357="","",IFERROR(VLOOKUP($B357,Kraftvärmeprod!$B$1:$BX$549,MATCH(H$2,Kraftvärmeprod!$B$1:$VX$1,0),FALSE)/1,0)-IFERROR(VLOOKUP($B357,'Slutlig allokering kvv'!$B$2:$BX$549,MATCH(H$2,'Slutlig allokering kvv'!$B$1:$BX$1,0),FALSE)/1,0))</f>
        <v/>
      </c>
      <c r="I357" s="121" t="str">
        <f>IF($D357="","",IFERROR(VLOOKUP($B357,Kraftvärmeprod!$B$1:$BX$549,MATCH(I$2,Kraftvärmeprod!$B$1:$VX$1,0),FALSE)/1,0)-IFERROR(VLOOKUP($B357,'Slutlig allokering kvv'!$B$2:$BX$549,MATCH(I$2,'Slutlig allokering kvv'!$B$1:$BX$1,0),FALSE)/1,0))</f>
        <v/>
      </c>
      <c r="J357" s="121" t="str">
        <f>IF($D357="","",IFERROR(VLOOKUP($B357,Kraftvärmeprod!$B$1:$BX$549,MATCH(J$2,Kraftvärmeprod!$B$1:$VX$1,0),FALSE)/1,0)-IFERROR(VLOOKUP($B357,'Slutlig allokering kvv'!$B$2:$BX$549,MATCH(J$2,'Slutlig allokering kvv'!$B$1:$BX$1,0),FALSE)/1,0))</f>
        <v/>
      </c>
      <c r="K357" s="121" t="str">
        <f>IF($D357="","",IFERROR(VLOOKUP($B357,Kraftvärmeprod!$B$1:$BX$549,MATCH(K$2,Kraftvärmeprod!$B$1:$VX$1,0),FALSE)/1,0)-IFERROR(VLOOKUP($B357,'Slutlig allokering kvv'!$B$2:$BX$549,MATCH(K$2,'Slutlig allokering kvv'!$B$1:$BX$1,0),FALSE)/1,0))</f>
        <v/>
      </c>
      <c r="L357" s="121" t="str">
        <f>IF($D357="","",IFERROR(VLOOKUP($B357,Kraftvärmeprod!$B$1:$BX$549,MATCH(L$2,Kraftvärmeprod!$B$1:$VX$1,0),FALSE)/1,0)-IFERROR(VLOOKUP($B357,'Slutlig allokering kvv'!$B$2:$BX$549,MATCH(L$2,'Slutlig allokering kvv'!$B$1:$BX$1,0),FALSE)/1,0))</f>
        <v/>
      </c>
      <c r="M357" s="121" t="str">
        <f>IF($D357="","",IFERROR(VLOOKUP($B357,Kraftvärmeprod!$B$1:$BX$549,MATCH(M$2,Kraftvärmeprod!$B$1:$VX$1,0),FALSE)/1,0)-IFERROR(VLOOKUP($B357,'Slutlig allokering kvv'!$B$2:$BX$549,MATCH(M$2,'Slutlig allokering kvv'!$B$1:$BX$1,0),FALSE)/1,0))</f>
        <v/>
      </c>
      <c r="N357" s="121" t="str">
        <f>IF($D357="","",IFERROR(VLOOKUP($B357,Kraftvärmeprod!$B$1:$BX$549,MATCH(N$2,Kraftvärmeprod!$B$1:$VX$1,0),FALSE)/1,0)-IFERROR(VLOOKUP($B357,'Slutlig allokering kvv'!$B$2:$BX$549,MATCH(N$2,'Slutlig allokering kvv'!$B$1:$BX$1,0),FALSE)/1,0))</f>
        <v/>
      </c>
      <c r="O357" s="121" t="str">
        <f>IF($D357="","",IFERROR(VLOOKUP($B357,Kraftvärmeprod!$B$1:$BX$549,MATCH(O$2,Kraftvärmeprod!$B$1:$VX$1,0),FALSE)/1,0)-IFERROR(VLOOKUP($B357,'Slutlig allokering kvv'!$B$2:$BX$549,MATCH(O$2,'Slutlig allokering kvv'!$B$1:$BX$1,0),FALSE)/1,0))</f>
        <v/>
      </c>
      <c r="P357" s="121" t="str">
        <f>IF($D357="","",IFERROR(VLOOKUP($B357,Kraftvärmeprod!$B$1:$BX$549,MATCH(P$2,Kraftvärmeprod!$B$1:$VX$1,0),FALSE)/1,0)-IFERROR(VLOOKUP($B357,'Slutlig allokering kvv'!$B$2:$BX$549,MATCH(P$2,'Slutlig allokering kvv'!$B$1:$BX$1,0),FALSE)/1,0))</f>
        <v/>
      </c>
      <c r="Q357" s="121" t="str">
        <f>IF($D357="","",IFERROR(VLOOKUP($B357,Kraftvärmeprod!$B$1:$BX$549,MATCH(Q$2,Kraftvärmeprod!$B$1:$VX$1,0),FALSE)/1,0)-IFERROR(VLOOKUP($B357,'Slutlig allokering kvv'!$B$2:$BX$549,MATCH(Q$2,'Slutlig allokering kvv'!$B$1:$BX$1,0),FALSE)/1,0))</f>
        <v/>
      </c>
      <c r="R357" s="121" t="str">
        <f>IF($D357="","",IFERROR(VLOOKUP($B357,Kraftvärmeprod!$B$1:$BX$549,MATCH(R$2,Kraftvärmeprod!$B$1:$VX$1,0),FALSE)/1,0)-IFERROR(VLOOKUP($B357,'Slutlig allokering kvv'!$B$2:$BX$549,MATCH(R$2,'Slutlig allokering kvv'!$B$1:$BX$1,0),FALSE)/1,0))</f>
        <v/>
      </c>
      <c r="S357" s="121" t="str">
        <f>IF($D357="","",IFERROR(VLOOKUP($B357,Kraftvärmeprod!$B$1:$BX$549,MATCH(S$2,Kraftvärmeprod!$B$1:$VX$1,0),FALSE)/1,0)-IFERROR(VLOOKUP($B357,'Slutlig allokering kvv'!$B$2:$BX$549,MATCH(S$2,'Slutlig allokering kvv'!$B$1:$BX$1,0),FALSE)/1,0))</f>
        <v/>
      </c>
      <c r="T357" s="121" t="str">
        <f>IF($D357="","",IFERROR(VLOOKUP($B357,Kraftvärmeprod!$B$1:$BX$549,MATCH(T$2,Kraftvärmeprod!$B$1:$VX$1,0),FALSE)/1,0)-IFERROR(VLOOKUP($B357,'Slutlig allokering kvv'!$B$2:$BX$549,MATCH(T$2,'Slutlig allokering kvv'!$B$1:$BX$1,0),FALSE)/1,0))</f>
        <v/>
      </c>
      <c r="U357" s="121" t="str">
        <f>IF($D357="","",IFERROR(VLOOKUP($B357,Kraftvärmeprod!$B$1:$BX$549,MATCH(U$2,Kraftvärmeprod!$B$1:$VX$1,0),FALSE)/1,0)-IFERROR(VLOOKUP($B357,'Slutlig allokering kvv'!$B$2:$BX$549,MATCH(U$2,'Slutlig allokering kvv'!$B$1:$BX$1,0),FALSE)/1,0))</f>
        <v/>
      </c>
      <c r="V357" s="121" t="str">
        <f>IF($D357="","",IFERROR(VLOOKUP($B357,Kraftvärmeprod!$B$1:$BX$549,MATCH(V$2,Kraftvärmeprod!$B$1:$VX$1,0),FALSE)/1,0)-IFERROR(VLOOKUP($B357,'Slutlig allokering kvv'!$B$2:$BX$549,MATCH(V$2,'Slutlig allokering kvv'!$B$1:$BX$1,0),FALSE)/1,0))</f>
        <v/>
      </c>
      <c r="W357" s="121" t="str">
        <f>IF($D357="","",IFERROR(VLOOKUP($B357,Kraftvärmeprod!$B$1:$BX$549,MATCH(W$2,Kraftvärmeprod!$B$1:$VX$1,0),FALSE)/1,0)-IFERROR(VLOOKUP($B357,'Slutlig allokering kvv'!$B$2:$BX$549,MATCH(W$2,'Slutlig allokering kvv'!$B$1:$BX$1,0),FALSE)/1,0))</f>
        <v/>
      </c>
      <c r="X357" s="121" t="str">
        <f>IF($D357="","",IFERROR(VLOOKUP($B357,Kraftvärmeprod!$B$1:$BX$549,MATCH(X$2,Kraftvärmeprod!$B$1:$VX$1,0),FALSE)/1,0)-IFERROR(VLOOKUP($B357,'Slutlig allokering kvv'!$B$2:$BX$549,MATCH(X$2,'Slutlig allokering kvv'!$B$1:$BX$1,0),FALSE)/1,0))</f>
        <v/>
      </c>
      <c r="Y357" s="121" t="str">
        <f>IF($D357="","",IFERROR(VLOOKUP($B357,Kraftvärmeprod!$B$1:$BX$549,MATCH(Y$2,Kraftvärmeprod!$B$1:$VX$1,0),FALSE)/1,0)-IFERROR(VLOOKUP($B357,'Slutlig allokering kvv'!$B$2:$BX$549,MATCH(Y$2,'Slutlig allokering kvv'!$B$1:$BX$1,0),FALSE)/1,0))</f>
        <v/>
      </c>
      <c r="Z357" s="121" t="str">
        <f>IF($D357="","",IFERROR(VLOOKUP($B357,Kraftvärmeprod!$B$1:$BX$549,MATCH(Z$2,Kraftvärmeprod!$B$1:$VX$1,0),FALSE)/1,0)-IFERROR(VLOOKUP($B357,'Slutlig allokering kvv'!$B$2:$BX$549,MATCH(Z$2,'Slutlig allokering kvv'!$B$1:$BX$1,0),FALSE)/1,0))</f>
        <v/>
      </c>
      <c r="AA357" s="121" t="str">
        <f>IF($D357="","",IFERROR(VLOOKUP($B357,Kraftvärmeprod!$B$1:$BX$549,MATCH(AA$2,Kraftvärmeprod!$B$1:$VX$1,0),FALSE)/1,0)-IFERROR(VLOOKUP($B357,'Slutlig allokering kvv'!$B$2:$BX$549,MATCH(AA$2,'Slutlig allokering kvv'!$B$1:$BX$1,0),FALSE)/1,0))</f>
        <v/>
      </c>
      <c r="AB357" s="121" t="str">
        <f>IF($D357="","",IFERROR(VLOOKUP($B357,Kraftvärmeprod!$B$1:$BX$549,MATCH(AB$2,Kraftvärmeprod!$B$1:$VX$1,0),FALSE)/1,0)-IFERROR(VLOOKUP($B357,'Slutlig allokering kvv'!$B$2:$BX$549,MATCH(AB$2,'Slutlig allokering kvv'!$B$1:$BX$1,0),FALSE)/1,0))</f>
        <v/>
      </c>
      <c r="AC357" s="121" t="str">
        <f>IF($D357="","",IFERROR(VLOOKUP($B357,Kraftvärmeprod!$B$1:$BX$549,MATCH(AC$2,Kraftvärmeprod!$B$1:$VX$1,0),FALSE)/1,0)-IFERROR(VLOOKUP($B357,'Slutlig allokering kvv'!$B$2:$BX$549,MATCH(AC$2,'Slutlig allokering kvv'!$B$1:$BX$1,0),FALSE)/1,0))</f>
        <v/>
      </c>
      <c r="AD357" s="121" t="str">
        <f>IF($D357="","",IFERROR(VLOOKUP($B357,Kraftvärmeprod!$B$1:$BX$549,MATCH(AD$2,Kraftvärmeprod!$B$1:$VX$1,0),FALSE)/1,0)-IFERROR(VLOOKUP($B357,'Slutlig allokering kvv'!$B$2:$BX$549,MATCH(AD$2,'Slutlig allokering kvv'!$B$1:$BX$1,0),FALSE)/1,0))</f>
        <v/>
      </c>
      <c r="AE357" s="121" t="str">
        <f>IF($D357="","",IFERROR(VLOOKUP($B357,Miljö!$B$1:$E$550,MATCH("Hjälpel kraftvärme (GWh)",Miljö!$B$1:$E$1,0),FALSE)/1,0)-IFERROR(VLOOKUP($B357,'Slutlig allokering kvv'!$B$2:$BX$549,MATCH(AE$2,'Slutlig allokering kvv'!$B$1:$BX$1,0),FALSE)/1,0))</f>
        <v/>
      </c>
      <c r="AI357" s="121">
        <f t="shared" si="20"/>
        <v>0</v>
      </c>
      <c r="AK357" s="121">
        <f>IFERROR(VLOOKUP($B357,'Slutlig allokering kvv'!$B$2:$AX$549,MATCH("Summa slutlig allokerad tillförd energi (utan hjälpel och rökgaskondensering):",'Slutlig allokering kvv'!$B$1:$AX$1,0),FALSE)/1,"")</f>
        <v>0</v>
      </c>
      <c r="AM357" s="172" t="str">
        <f>IFERROR(1-VLOOKUP($B357,'Slutlig allokering kvv'!$B$2:$AX$549,MATCH("Andel av bränsle i kvv som allokerats till värme, exklusive rökgaskondensering och hjälpel",'Slutlig allokering kvv'!$B$1:$AX$1,0),FALSE),"")</f>
        <v/>
      </c>
      <c r="AO357" s="172" t="str">
        <f t="shared" si="21"/>
        <v/>
      </c>
      <c r="AP357" s="173" t="str">
        <f t="shared" si="22"/>
        <v/>
      </c>
      <c r="AR357" s="172" t="str">
        <f t="shared" si="23"/>
        <v/>
      </c>
    </row>
    <row r="358" spans="1:44" x14ac:dyDescent="0.25">
      <c r="A358" s="171" t="str">
        <f>'Miljövärden för publ företag'!B360</f>
        <v>Övik Energi AB</v>
      </c>
      <c r="B358" s="171" t="str">
        <f>'Miljövärden för publ företag'!C360</f>
        <v>Moliden</v>
      </c>
      <c r="C358" s="121" t="str">
        <f>IFERROR(VLOOKUP($B358,Kraftvärmeprod!$B$1:$AH$478,MATCH(C$2,Kraftvärmeprod!$B$1:$AG$1,0),FALSE)/1,"")</f>
        <v/>
      </c>
      <c r="D358" s="121" t="str">
        <f>IFERROR(VLOOKUP($B358,Kraftvärmeprod!$B$1:$AH$478,MATCH(D$2,Kraftvärmeprod!$B$1:$AG$1,0),FALSE)/1,"")</f>
        <v/>
      </c>
      <c r="F358" s="121" t="str">
        <f>IF($D358="","",IFERROR(VLOOKUP($B358,Kraftvärmeprod!$B$1:$BX$549,MATCH(F$2,Kraftvärmeprod!$B$1:$VX$1,0),FALSE)/1,0)-IFERROR(VLOOKUP($B358,'Slutlig allokering kvv'!$B$2:$BX$549,MATCH(F$2,'Slutlig allokering kvv'!$B$1:$BX$1,0),FALSE)/1,0))</f>
        <v/>
      </c>
      <c r="G358" s="121" t="str">
        <f>IF($D358="","",IFERROR(VLOOKUP($B358,Kraftvärmeprod!$B$1:$BX$549,MATCH(G$2,Kraftvärmeprod!$B$1:$VX$1,0),FALSE)/1,0)-IFERROR(VLOOKUP($B358,'Slutlig allokering kvv'!$B$2:$BX$549,MATCH(G$2,'Slutlig allokering kvv'!$B$1:$BX$1,0),FALSE)/1,0))</f>
        <v/>
      </c>
      <c r="H358" s="121" t="str">
        <f>IF($D358="","",IFERROR(VLOOKUP($B358,Kraftvärmeprod!$B$1:$BX$549,MATCH(H$2,Kraftvärmeprod!$B$1:$VX$1,0),FALSE)/1,0)-IFERROR(VLOOKUP($B358,'Slutlig allokering kvv'!$B$2:$BX$549,MATCH(H$2,'Slutlig allokering kvv'!$B$1:$BX$1,0),FALSE)/1,0))</f>
        <v/>
      </c>
      <c r="I358" s="121" t="str">
        <f>IF($D358="","",IFERROR(VLOOKUP($B358,Kraftvärmeprod!$B$1:$BX$549,MATCH(I$2,Kraftvärmeprod!$B$1:$VX$1,0),FALSE)/1,0)-IFERROR(VLOOKUP($B358,'Slutlig allokering kvv'!$B$2:$BX$549,MATCH(I$2,'Slutlig allokering kvv'!$B$1:$BX$1,0),FALSE)/1,0))</f>
        <v/>
      </c>
      <c r="J358" s="121" t="str">
        <f>IF($D358="","",IFERROR(VLOOKUP($B358,Kraftvärmeprod!$B$1:$BX$549,MATCH(J$2,Kraftvärmeprod!$B$1:$VX$1,0),FALSE)/1,0)-IFERROR(VLOOKUP($B358,'Slutlig allokering kvv'!$B$2:$BX$549,MATCH(J$2,'Slutlig allokering kvv'!$B$1:$BX$1,0),FALSE)/1,0))</f>
        <v/>
      </c>
      <c r="K358" s="121" t="str">
        <f>IF($D358="","",IFERROR(VLOOKUP($B358,Kraftvärmeprod!$B$1:$BX$549,MATCH(K$2,Kraftvärmeprod!$B$1:$VX$1,0),FALSE)/1,0)-IFERROR(VLOOKUP($B358,'Slutlig allokering kvv'!$B$2:$BX$549,MATCH(K$2,'Slutlig allokering kvv'!$B$1:$BX$1,0),FALSE)/1,0))</f>
        <v/>
      </c>
      <c r="L358" s="121" t="str">
        <f>IF($D358="","",IFERROR(VLOOKUP($B358,Kraftvärmeprod!$B$1:$BX$549,MATCH(L$2,Kraftvärmeprod!$B$1:$VX$1,0),FALSE)/1,0)-IFERROR(VLOOKUP($B358,'Slutlig allokering kvv'!$B$2:$BX$549,MATCH(L$2,'Slutlig allokering kvv'!$B$1:$BX$1,0),FALSE)/1,0))</f>
        <v/>
      </c>
      <c r="M358" s="121" t="str">
        <f>IF($D358="","",IFERROR(VLOOKUP($B358,Kraftvärmeprod!$B$1:$BX$549,MATCH(M$2,Kraftvärmeprod!$B$1:$VX$1,0),FALSE)/1,0)-IFERROR(VLOOKUP($B358,'Slutlig allokering kvv'!$B$2:$BX$549,MATCH(M$2,'Slutlig allokering kvv'!$B$1:$BX$1,0),FALSE)/1,0))</f>
        <v/>
      </c>
      <c r="N358" s="121" t="str">
        <f>IF($D358="","",IFERROR(VLOOKUP($B358,Kraftvärmeprod!$B$1:$BX$549,MATCH(N$2,Kraftvärmeprod!$B$1:$VX$1,0),FALSE)/1,0)-IFERROR(VLOOKUP($B358,'Slutlig allokering kvv'!$B$2:$BX$549,MATCH(N$2,'Slutlig allokering kvv'!$B$1:$BX$1,0),FALSE)/1,0))</f>
        <v/>
      </c>
      <c r="O358" s="121" t="str">
        <f>IF($D358="","",IFERROR(VLOOKUP($B358,Kraftvärmeprod!$B$1:$BX$549,MATCH(O$2,Kraftvärmeprod!$B$1:$VX$1,0),FALSE)/1,0)-IFERROR(VLOOKUP($B358,'Slutlig allokering kvv'!$B$2:$BX$549,MATCH(O$2,'Slutlig allokering kvv'!$B$1:$BX$1,0),FALSE)/1,0))</f>
        <v/>
      </c>
      <c r="P358" s="121" t="str">
        <f>IF($D358="","",IFERROR(VLOOKUP($B358,Kraftvärmeprod!$B$1:$BX$549,MATCH(P$2,Kraftvärmeprod!$B$1:$VX$1,0),FALSE)/1,0)-IFERROR(VLOOKUP($B358,'Slutlig allokering kvv'!$B$2:$BX$549,MATCH(P$2,'Slutlig allokering kvv'!$B$1:$BX$1,0),FALSE)/1,0))</f>
        <v/>
      </c>
      <c r="Q358" s="121" t="str">
        <f>IF($D358="","",IFERROR(VLOOKUP($B358,Kraftvärmeprod!$B$1:$BX$549,MATCH(Q$2,Kraftvärmeprod!$B$1:$VX$1,0),FALSE)/1,0)-IFERROR(VLOOKUP($B358,'Slutlig allokering kvv'!$B$2:$BX$549,MATCH(Q$2,'Slutlig allokering kvv'!$B$1:$BX$1,0),FALSE)/1,0))</f>
        <v/>
      </c>
      <c r="R358" s="121" t="str">
        <f>IF($D358="","",IFERROR(VLOOKUP($B358,Kraftvärmeprod!$B$1:$BX$549,MATCH(R$2,Kraftvärmeprod!$B$1:$VX$1,0),FALSE)/1,0)-IFERROR(VLOOKUP($B358,'Slutlig allokering kvv'!$B$2:$BX$549,MATCH(R$2,'Slutlig allokering kvv'!$B$1:$BX$1,0),FALSE)/1,0))</f>
        <v/>
      </c>
      <c r="S358" s="121" t="str">
        <f>IF($D358="","",IFERROR(VLOOKUP($B358,Kraftvärmeprod!$B$1:$BX$549,MATCH(S$2,Kraftvärmeprod!$B$1:$VX$1,0),FALSE)/1,0)-IFERROR(VLOOKUP($B358,'Slutlig allokering kvv'!$B$2:$BX$549,MATCH(S$2,'Slutlig allokering kvv'!$B$1:$BX$1,0),FALSE)/1,0))</f>
        <v/>
      </c>
      <c r="T358" s="121" t="str">
        <f>IF($D358="","",IFERROR(VLOOKUP($B358,Kraftvärmeprod!$B$1:$BX$549,MATCH(T$2,Kraftvärmeprod!$B$1:$VX$1,0),FALSE)/1,0)-IFERROR(VLOOKUP($B358,'Slutlig allokering kvv'!$B$2:$BX$549,MATCH(T$2,'Slutlig allokering kvv'!$B$1:$BX$1,0),FALSE)/1,0))</f>
        <v/>
      </c>
      <c r="U358" s="121" t="str">
        <f>IF($D358="","",IFERROR(VLOOKUP($B358,Kraftvärmeprod!$B$1:$BX$549,MATCH(U$2,Kraftvärmeprod!$B$1:$VX$1,0),FALSE)/1,0)-IFERROR(VLOOKUP($B358,'Slutlig allokering kvv'!$B$2:$BX$549,MATCH(U$2,'Slutlig allokering kvv'!$B$1:$BX$1,0),FALSE)/1,0))</f>
        <v/>
      </c>
      <c r="V358" s="121" t="str">
        <f>IF($D358="","",IFERROR(VLOOKUP($B358,Kraftvärmeprod!$B$1:$BX$549,MATCH(V$2,Kraftvärmeprod!$B$1:$VX$1,0),FALSE)/1,0)-IFERROR(VLOOKUP($B358,'Slutlig allokering kvv'!$B$2:$BX$549,MATCH(V$2,'Slutlig allokering kvv'!$B$1:$BX$1,0),FALSE)/1,0))</f>
        <v/>
      </c>
      <c r="W358" s="121" t="str">
        <f>IF($D358="","",IFERROR(VLOOKUP($B358,Kraftvärmeprod!$B$1:$BX$549,MATCH(W$2,Kraftvärmeprod!$B$1:$VX$1,0),FALSE)/1,0)-IFERROR(VLOOKUP($B358,'Slutlig allokering kvv'!$B$2:$BX$549,MATCH(W$2,'Slutlig allokering kvv'!$B$1:$BX$1,0),FALSE)/1,0))</f>
        <v/>
      </c>
      <c r="X358" s="121" t="str">
        <f>IF($D358="","",IFERROR(VLOOKUP($B358,Kraftvärmeprod!$B$1:$BX$549,MATCH(X$2,Kraftvärmeprod!$B$1:$VX$1,0),FALSE)/1,0)-IFERROR(VLOOKUP($B358,'Slutlig allokering kvv'!$B$2:$BX$549,MATCH(X$2,'Slutlig allokering kvv'!$B$1:$BX$1,0),FALSE)/1,0))</f>
        <v/>
      </c>
      <c r="Y358" s="121" t="str">
        <f>IF($D358="","",IFERROR(VLOOKUP($B358,Kraftvärmeprod!$B$1:$BX$549,MATCH(Y$2,Kraftvärmeprod!$B$1:$VX$1,0),FALSE)/1,0)-IFERROR(VLOOKUP($B358,'Slutlig allokering kvv'!$B$2:$BX$549,MATCH(Y$2,'Slutlig allokering kvv'!$B$1:$BX$1,0),FALSE)/1,0))</f>
        <v/>
      </c>
      <c r="Z358" s="121" t="str">
        <f>IF($D358="","",IFERROR(VLOOKUP($B358,Kraftvärmeprod!$B$1:$BX$549,MATCH(Z$2,Kraftvärmeprod!$B$1:$VX$1,0),FALSE)/1,0)-IFERROR(VLOOKUP($B358,'Slutlig allokering kvv'!$B$2:$BX$549,MATCH(Z$2,'Slutlig allokering kvv'!$B$1:$BX$1,0),FALSE)/1,0))</f>
        <v/>
      </c>
      <c r="AA358" s="121" t="str">
        <f>IF($D358="","",IFERROR(VLOOKUP($B358,Kraftvärmeprod!$B$1:$BX$549,MATCH(AA$2,Kraftvärmeprod!$B$1:$VX$1,0),FALSE)/1,0)-IFERROR(VLOOKUP($B358,'Slutlig allokering kvv'!$B$2:$BX$549,MATCH(AA$2,'Slutlig allokering kvv'!$B$1:$BX$1,0),FALSE)/1,0))</f>
        <v/>
      </c>
      <c r="AB358" s="121" t="str">
        <f>IF($D358="","",IFERROR(VLOOKUP($B358,Kraftvärmeprod!$B$1:$BX$549,MATCH(AB$2,Kraftvärmeprod!$B$1:$VX$1,0),FALSE)/1,0)-IFERROR(VLOOKUP($B358,'Slutlig allokering kvv'!$B$2:$BX$549,MATCH(AB$2,'Slutlig allokering kvv'!$B$1:$BX$1,0),FALSE)/1,0))</f>
        <v/>
      </c>
      <c r="AC358" s="121" t="str">
        <f>IF($D358="","",IFERROR(VLOOKUP($B358,Kraftvärmeprod!$B$1:$BX$549,MATCH(AC$2,Kraftvärmeprod!$B$1:$VX$1,0),FALSE)/1,0)-IFERROR(VLOOKUP($B358,'Slutlig allokering kvv'!$B$2:$BX$549,MATCH(AC$2,'Slutlig allokering kvv'!$B$1:$BX$1,0),FALSE)/1,0))</f>
        <v/>
      </c>
      <c r="AD358" s="121" t="str">
        <f>IF($D358="","",IFERROR(VLOOKUP($B358,Kraftvärmeprod!$B$1:$BX$549,MATCH(AD$2,Kraftvärmeprod!$B$1:$VX$1,0),FALSE)/1,0)-IFERROR(VLOOKUP($B358,'Slutlig allokering kvv'!$B$2:$BX$549,MATCH(AD$2,'Slutlig allokering kvv'!$B$1:$BX$1,0),FALSE)/1,0))</f>
        <v/>
      </c>
      <c r="AE358" s="121" t="str">
        <f>IF($D358="","",IFERROR(VLOOKUP($B358,Miljö!$B$1:$E$550,MATCH("Hjälpel kraftvärme (GWh)",Miljö!$B$1:$E$1,0),FALSE)/1,0)-IFERROR(VLOOKUP($B358,'Slutlig allokering kvv'!$B$2:$BX$549,MATCH(AE$2,'Slutlig allokering kvv'!$B$1:$BX$1,0),FALSE)/1,0))</f>
        <v/>
      </c>
      <c r="AI358" s="121">
        <f t="shared" si="20"/>
        <v>0</v>
      </c>
      <c r="AK358" s="121">
        <f>IFERROR(VLOOKUP($B358,'Slutlig allokering kvv'!$B$2:$AX$549,MATCH("Summa slutlig allokerad tillförd energi (utan hjälpel och rökgaskondensering):",'Slutlig allokering kvv'!$B$1:$AX$1,0),FALSE)/1,"")</f>
        <v>0</v>
      </c>
      <c r="AM358" s="172" t="str">
        <f>IFERROR(1-VLOOKUP($B358,'Slutlig allokering kvv'!$B$2:$AX$549,MATCH("Andel av bränsle i kvv som allokerats till värme, exklusive rökgaskondensering och hjälpel",'Slutlig allokering kvv'!$B$1:$AX$1,0),FALSE),"")</f>
        <v/>
      </c>
      <c r="AO358" s="172" t="str">
        <f t="shared" si="21"/>
        <v/>
      </c>
      <c r="AP358" s="173" t="str">
        <f t="shared" si="22"/>
        <v/>
      </c>
      <c r="AR358" s="172" t="str">
        <f t="shared" si="23"/>
        <v/>
      </c>
    </row>
    <row r="359" spans="1:44" x14ac:dyDescent="0.25">
      <c r="A359" s="171" t="str">
        <f>'Miljövärden för publ företag'!B361</f>
        <v>Övik Energi AB</v>
      </c>
      <c r="B359" s="171" t="str">
        <f>'Miljövärden för publ företag'!C361</f>
        <v>Processånga</v>
      </c>
      <c r="C359" s="121">
        <f>IFERROR(VLOOKUP($B359,Kraftvärmeprod!$B$1:$AH$478,MATCH(C$2,Kraftvärmeprod!$B$1:$AG$1,0),FALSE)/1,"")</f>
        <v>277.00900000000001</v>
      </c>
      <c r="D359" s="121">
        <f>IFERROR(VLOOKUP($B359,Kraftvärmeprod!$B$1:$AH$478,MATCH(D$2,Kraftvärmeprod!$B$1:$AG$1,0),FALSE)/1,"")</f>
        <v>102.431</v>
      </c>
      <c r="F359" s="121">
        <f>IF($D359="","",IFERROR(VLOOKUP($B359,Kraftvärmeprod!$B$1:$BX$549,MATCH(F$2,Kraftvärmeprod!$B$1:$VX$1,0),FALSE)/1,0)-IFERROR(VLOOKUP($B359,'Slutlig allokering kvv'!$B$2:$BX$549,MATCH(F$2,'Slutlig allokering kvv'!$B$1:$BX$1,0),FALSE)/1,0))</f>
        <v>0</v>
      </c>
      <c r="G359" s="121">
        <f>IF($D359="","",IFERROR(VLOOKUP($B359,Kraftvärmeprod!$B$1:$BX$549,MATCH(G$2,Kraftvärmeprod!$B$1:$VX$1,0),FALSE)/1,0)-IFERROR(VLOOKUP($B359,'Slutlig allokering kvv'!$B$2:$BX$549,MATCH(G$2,'Slutlig allokering kvv'!$B$1:$BX$1,0),FALSE)/1,0))</f>
        <v>7.1862000000000013</v>
      </c>
      <c r="H359" s="121">
        <f>IF($D359="","",IFERROR(VLOOKUP($B359,Kraftvärmeprod!$B$1:$BX$549,MATCH(H$2,Kraftvärmeprod!$B$1:$VX$1,0),FALSE)/1,0)-IFERROR(VLOOKUP($B359,'Slutlig allokering kvv'!$B$2:$BX$549,MATCH(H$2,'Slutlig allokering kvv'!$B$1:$BX$1,0),FALSE)/1,0))</f>
        <v>0</v>
      </c>
      <c r="I359" s="121">
        <f>IF($D359="","",IFERROR(VLOOKUP($B359,Kraftvärmeprod!$B$1:$BX$549,MATCH(I$2,Kraftvärmeprod!$B$1:$VX$1,0),FALSE)/1,0)-IFERROR(VLOOKUP($B359,'Slutlig allokering kvv'!$B$2:$BX$549,MATCH(I$2,'Slutlig allokering kvv'!$B$1:$BX$1,0),FALSE)/1,0))</f>
        <v>3.4215100000000005</v>
      </c>
      <c r="J359" s="121">
        <f>IF($D359="","",IFERROR(VLOOKUP($B359,Kraftvärmeprod!$B$1:$BX$549,MATCH(J$2,Kraftvärmeprod!$B$1:$VX$1,0),FALSE)/1,0)-IFERROR(VLOOKUP($B359,'Slutlig allokering kvv'!$B$2:$BX$549,MATCH(J$2,'Slutlig allokering kvv'!$B$1:$BX$1,0),FALSE)/1,0))</f>
        <v>0</v>
      </c>
      <c r="K359" s="121">
        <f>IF($D359="","",IFERROR(VLOOKUP($B359,Kraftvärmeprod!$B$1:$BX$549,MATCH(K$2,Kraftvärmeprod!$B$1:$VX$1,0),FALSE)/1,0)-IFERROR(VLOOKUP($B359,'Slutlig allokering kvv'!$B$2:$BX$549,MATCH(K$2,'Slutlig allokering kvv'!$B$1:$BX$1,0),FALSE)/1,0))</f>
        <v>0</v>
      </c>
      <c r="L359" s="121">
        <f>IF($D359="","",IFERROR(VLOOKUP($B359,Kraftvärmeprod!$B$1:$BX$549,MATCH(L$2,Kraftvärmeprod!$B$1:$VX$1,0),FALSE)/1,0)-IFERROR(VLOOKUP($B359,'Slutlig allokering kvv'!$B$2:$BX$549,MATCH(L$2,'Slutlig allokering kvv'!$B$1:$BX$1,0),FALSE)/1,0))</f>
        <v>9.066040000000001</v>
      </c>
      <c r="M359" s="121">
        <f>IF($D359="","",IFERROR(VLOOKUP($B359,Kraftvärmeprod!$B$1:$BX$549,MATCH(M$2,Kraftvärmeprod!$B$1:$VX$1,0),FALSE)/1,0)-IFERROR(VLOOKUP($B359,'Slutlig allokering kvv'!$B$2:$BX$549,MATCH(M$2,'Slutlig allokering kvv'!$B$1:$BX$1,0),FALSE)/1,0))</f>
        <v>110.956</v>
      </c>
      <c r="N359" s="121">
        <f>IF($D359="","",IFERROR(VLOOKUP($B359,Kraftvärmeprod!$B$1:$BX$549,MATCH(N$2,Kraftvärmeprod!$B$1:$VX$1,0),FALSE)/1,0)-IFERROR(VLOOKUP($B359,'Slutlig allokering kvv'!$B$2:$BX$549,MATCH(N$2,'Slutlig allokering kvv'!$B$1:$BX$1,0),FALSE)/1,0))</f>
        <v>31.545099999999998</v>
      </c>
      <c r="O359" s="121">
        <f>IF($D359="","",IFERROR(VLOOKUP($B359,Kraftvärmeprod!$B$1:$BX$549,MATCH(O$2,Kraftvärmeprod!$B$1:$VX$1,0),FALSE)/1,0)-IFERROR(VLOOKUP($B359,'Slutlig allokering kvv'!$B$2:$BX$549,MATCH(O$2,'Slutlig allokering kvv'!$B$1:$BX$1,0),FALSE)/1,0))</f>
        <v>44.155800000000006</v>
      </c>
      <c r="P359" s="121">
        <f>IF($D359="","",IFERROR(VLOOKUP($B359,Kraftvärmeprod!$B$1:$BX$549,MATCH(P$2,Kraftvärmeprod!$B$1:$VX$1,0),FALSE)/1,0)-IFERROR(VLOOKUP($B359,'Slutlig allokering kvv'!$B$2:$BX$549,MATCH(P$2,'Slutlig allokering kvv'!$B$1:$BX$1,0),FALSE)/1,0))</f>
        <v>0</v>
      </c>
      <c r="Q359" s="121">
        <f>IF($D359="","",IFERROR(VLOOKUP($B359,Kraftvärmeprod!$B$1:$BX$549,MATCH(Q$2,Kraftvärmeprod!$B$1:$VX$1,0),FALSE)/1,0)-IFERROR(VLOOKUP($B359,'Slutlig allokering kvv'!$B$2:$BX$549,MATCH(Q$2,'Slutlig allokering kvv'!$B$1:$BX$1,0),FALSE)/1,0))</f>
        <v>0</v>
      </c>
      <c r="R359" s="121">
        <f>IF($D359="","",IFERROR(VLOOKUP($B359,Kraftvärmeprod!$B$1:$BX$549,MATCH(R$2,Kraftvärmeprod!$B$1:$VX$1,0),FALSE)/1,0)-IFERROR(VLOOKUP($B359,'Slutlig allokering kvv'!$B$2:$BX$549,MATCH(R$2,'Slutlig allokering kvv'!$B$1:$BX$1,0),FALSE)/1,0))</f>
        <v>0</v>
      </c>
      <c r="S359" s="121">
        <f>IF($D359="","",IFERROR(VLOOKUP($B359,Kraftvärmeprod!$B$1:$BX$549,MATCH(S$2,Kraftvärmeprod!$B$1:$VX$1,0),FALSE)/1,0)-IFERROR(VLOOKUP($B359,'Slutlig allokering kvv'!$B$2:$BX$549,MATCH(S$2,'Slutlig allokering kvv'!$B$1:$BX$1,0),FALSE)/1,0))</f>
        <v>0</v>
      </c>
      <c r="T359" s="121">
        <f>IF($D359="","",IFERROR(VLOOKUP($B359,Kraftvärmeprod!$B$1:$BX$549,MATCH(T$2,Kraftvärmeprod!$B$1:$VX$1,0),FALSE)/1,0)-IFERROR(VLOOKUP($B359,'Slutlig allokering kvv'!$B$2:$BX$549,MATCH(T$2,'Slutlig allokering kvv'!$B$1:$BX$1,0),FALSE)/1,0))</f>
        <v>0</v>
      </c>
      <c r="U359" s="121">
        <f>IF($D359="","",IFERROR(VLOOKUP($B359,Kraftvärmeprod!$B$1:$BX$549,MATCH(U$2,Kraftvärmeprod!$B$1:$VX$1,0),FALSE)/1,0)-IFERROR(VLOOKUP($B359,'Slutlig allokering kvv'!$B$2:$BX$549,MATCH(U$2,'Slutlig allokering kvv'!$B$1:$BX$1,0),FALSE)/1,0))</f>
        <v>0</v>
      </c>
      <c r="V359" s="121">
        <f>IF($D359="","",IFERROR(VLOOKUP($B359,Kraftvärmeprod!$B$1:$BX$549,MATCH(V$2,Kraftvärmeprod!$B$1:$VX$1,0),FALSE)/1,0)-IFERROR(VLOOKUP($B359,'Slutlig allokering kvv'!$B$2:$BX$549,MATCH(V$2,'Slutlig allokering kvv'!$B$1:$BX$1,0),FALSE)/1,0))</f>
        <v>0</v>
      </c>
      <c r="W359" s="121">
        <f>IF($D359="","",IFERROR(VLOOKUP($B359,Kraftvärmeprod!$B$1:$BX$549,MATCH(W$2,Kraftvärmeprod!$B$1:$VX$1,0),FALSE)/1,0)-IFERROR(VLOOKUP($B359,'Slutlig allokering kvv'!$B$2:$BX$549,MATCH(W$2,'Slutlig allokering kvv'!$B$1:$BX$1,0),FALSE)/1,0))</f>
        <v>0</v>
      </c>
      <c r="X359" s="121">
        <f>IF($D359="","",IFERROR(VLOOKUP($B359,Kraftvärmeprod!$B$1:$BX$549,MATCH(X$2,Kraftvärmeprod!$B$1:$VX$1,0),FALSE)/1,0)-IFERROR(VLOOKUP($B359,'Slutlig allokering kvv'!$B$2:$BX$549,MATCH(X$2,'Slutlig allokering kvv'!$B$1:$BX$1,0),FALSE)/1,0))</f>
        <v>0</v>
      </c>
      <c r="Y359" s="121">
        <f>IF($D359="","",IFERROR(VLOOKUP($B359,Kraftvärmeprod!$B$1:$BX$549,MATCH(Y$2,Kraftvärmeprod!$B$1:$VX$1,0),FALSE)/1,0)-IFERROR(VLOOKUP($B359,'Slutlig allokering kvv'!$B$2:$BX$549,MATCH(Y$2,'Slutlig allokering kvv'!$B$1:$BX$1,0),FALSE)/1,0))</f>
        <v>0</v>
      </c>
      <c r="Z359" s="121">
        <f>IF($D359="","",IFERROR(VLOOKUP($B359,Kraftvärmeprod!$B$1:$BX$549,MATCH(Z$2,Kraftvärmeprod!$B$1:$VX$1,0),FALSE)/1,0)-IFERROR(VLOOKUP($B359,'Slutlig allokering kvv'!$B$2:$BX$549,MATCH(Z$2,'Slutlig allokering kvv'!$B$1:$BX$1,0),FALSE)/1,0))</f>
        <v>32.095499999999994</v>
      </c>
      <c r="AA359" s="121">
        <f>IF($D359="","",IFERROR(VLOOKUP($B359,Kraftvärmeprod!$B$1:$BX$549,MATCH(AA$2,Kraftvärmeprod!$B$1:$VX$1,0),FALSE)/1,0)-IFERROR(VLOOKUP($B359,'Slutlig allokering kvv'!$B$2:$BX$549,MATCH(AA$2,'Slutlig allokering kvv'!$B$1:$BX$1,0),FALSE)/1,0))</f>
        <v>0</v>
      </c>
      <c r="AB359" s="121">
        <f>IF($D359="","",IFERROR(VLOOKUP($B359,Kraftvärmeprod!$B$1:$BX$549,MATCH(AB$2,Kraftvärmeprod!$B$1:$VX$1,0),FALSE)/1,0)-IFERROR(VLOOKUP($B359,'Slutlig allokering kvv'!$B$2:$BX$549,MATCH(AB$2,'Slutlig allokering kvv'!$B$1:$BX$1,0),FALSE)/1,0))</f>
        <v>3.7395499999999995</v>
      </c>
      <c r="AC359" s="121">
        <f>IF($D359="","",IFERROR(VLOOKUP($B359,Kraftvärmeprod!$B$1:$BX$549,MATCH(AC$2,Kraftvärmeprod!$B$1:$VX$1,0),FALSE)/1,0)-IFERROR(VLOOKUP($B359,'Slutlig allokering kvv'!$B$2:$BX$549,MATCH(AC$2,'Slutlig allokering kvv'!$B$1:$BX$1,0),FALSE)/1,0))</f>
        <v>0</v>
      </c>
      <c r="AD359" s="121">
        <f>IF($D359="","",IFERROR(VLOOKUP($B359,Kraftvärmeprod!$B$1:$BX$549,MATCH(AD$2,Kraftvärmeprod!$B$1:$VX$1,0),FALSE)/1,0)-IFERROR(VLOOKUP($B359,'Slutlig allokering kvv'!$B$2:$BX$549,MATCH(AD$2,'Slutlig allokering kvv'!$B$1:$BX$1,0),FALSE)/1,0))</f>
        <v>0</v>
      </c>
      <c r="AE359" s="121">
        <f>IF($D359="","",IFERROR(VLOOKUP($B359,Miljö!$B$1:$E$550,MATCH("Hjälpel kraftvärme (GWh)",Miljö!$B$1:$E$1,0),FALSE)/1,0)-IFERROR(VLOOKUP($B359,'Slutlig allokering kvv'!$B$2:$BX$549,MATCH(AE$2,'Slutlig allokering kvv'!$B$1:$BX$1,0),FALSE)/1,0))</f>
        <v>8.5670500000000001</v>
      </c>
      <c r="AI359" s="121">
        <f t="shared" si="20"/>
        <v>242.16569999999999</v>
      </c>
      <c r="AK359" s="121">
        <f>IFERROR(VLOOKUP($B359,'Slutlig allokering kvv'!$B$2:$AX$549,MATCH("Summa slutlig allokerad tillförd energi (utan hjälpel och rökgaskondensering):",'Slutlig allokering kvv'!$B$1:$AX$1,0),FALSE)/1,"")</f>
        <v>261.07329999999996</v>
      </c>
      <c r="AM359" s="172">
        <f>IFERROR(1-VLOOKUP($B359,'Slutlig allokering kvv'!$B$2:$AX$549,MATCH("Andel av bränsle i kvv som allokerats till värme, exklusive rökgaskondensering och hjälpel",'Slutlig allokering kvv'!$B$1:$AX$1,0),FALSE),"")</f>
        <v>0.48121409509199409</v>
      </c>
      <c r="AO359" s="172">
        <f t="shared" si="21"/>
        <v>0.48121409509199409</v>
      </c>
      <c r="AP359" s="173">
        <f t="shared" si="22"/>
        <v>0</v>
      </c>
      <c r="AR359" s="172">
        <f t="shared" si="23"/>
        <v>0.40852660851045586</v>
      </c>
    </row>
    <row r="360" spans="1:44" x14ac:dyDescent="0.25">
      <c r="A360" s="171" t="str">
        <f>'Miljövärden för publ företag'!B362</f>
        <v>Övik Energi AB</v>
      </c>
      <c r="B360" s="171" t="str">
        <f>'Miljövärden för publ företag'!C362</f>
        <v>Örnsköldsvik</v>
      </c>
      <c r="C360" s="121">
        <f>IFERROR(VLOOKUP($B360,Kraftvärmeprod!$B$1:$AH$478,MATCH(C$2,Kraftvärmeprod!$B$1:$AG$1,0),FALSE)/1,"")</f>
        <v>185.27</v>
      </c>
      <c r="D360" s="121">
        <f>IFERROR(VLOOKUP($B360,Kraftvärmeprod!$B$1:$AH$478,MATCH(D$2,Kraftvärmeprod!$B$1:$AG$1,0),FALSE)/1,"")</f>
        <v>105.07899999999999</v>
      </c>
      <c r="F360" s="121">
        <f>IF($D360="","",IFERROR(VLOOKUP($B360,Kraftvärmeprod!$B$1:$BX$549,MATCH(F$2,Kraftvärmeprod!$B$1:$VX$1,0),FALSE)/1,0)-IFERROR(VLOOKUP($B360,'Slutlig allokering kvv'!$B$2:$BX$549,MATCH(F$2,'Slutlig allokering kvv'!$B$1:$BX$1,0),FALSE)/1,0))</f>
        <v>0</v>
      </c>
      <c r="G360" s="121">
        <f>IF($D360="","",IFERROR(VLOOKUP($B360,Kraftvärmeprod!$B$1:$BX$549,MATCH(G$2,Kraftvärmeprod!$B$1:$VX$1,0),FALSE)/1,0)-IFERROR(VLOOKUP($B360,'Slutlig allokering kvv'!$B$2:$BX$549,MATCH(G$2,'Slutlig allokering kvv'!$B$1:$BX$1,0),FALSE)/1,0))</f>
        <v>0</v>
      </c>
      <c r="H360" s="121">
        <f>IF($D360="","",IFERROR(VLOOKUP($B360,Kraftvärmeprod!$B$1:$BX$549,MATCH(H$2,Kraftvärmeprod!$B$1:$VX$1,0),FALSE)/1,0)-IFERROR(VLOOKUP($B360,'Slutlig allokering kvv'!$B$2:$BX$549,MATCH(H$2,'Slutlig allokering kvv'!$B$1:$BX$1,0),FALSE)/1,0))</f>
        <v>0</v>
      </c>
      <c r="I360" s="121">
        <f>IF($D360="","",IFERROR(VLOOKUP($B360,Kraftvärmeprod!$B$1:$BX$549,MATCH(I$2,Kraftvärmeprod!$B$1:$VX$1,0),FALSE)/1,0)-IFERROR(VLOOKUP($B360,'Slutlig allokering kvv'!$B$2:$BX$549,MATCH(I$2,'Slutlig allokering kvv'!$B$1:$BX$1,0),FALSE)/1,0))</f>
        <v>0.117008</v>
      </c>
      <c r="J360" s="121">
        <f>IF($D360="","",IFERROR(VLOOKUP($B360,Kraftvärmeprod!$B$1:$BX$549,MATCH(J$2,Kraftvärmeprod!$B$1:$VX$1,0),FALSE)/1,0)-IFERROR(VLOOKUP($B360,'Slutlig allokering kvv'!$B$2:$BX$549,MATCH(J$2,'Slutlig allokering kvv'!$B$1:$BX$1,0),FALSE)/1,0))</f>
        <v>0</v>
      </c>
      <c r="K360" s="121">
        <f>IF($D360="","",IFERROR(VLOOKUP($B360,Kraftvärmeprod!$B$1:$BX$549,MATCH(K$2,Kraftvärmeprod!$B$1:$VX$1,0),FALSE)/1,0)-IFERROR(VLOOKUP($B360,'Slutlig allokering kvv'!$B$2:$BX$549,MATCH(K$2,'Slutlig allokering kvv'!$B$1:$BX$1,0),FALSE)/1,0))</f>
        <v>0</v>
      </c>
      <c r="L360" s="121">
        <f>IF($D360="","",IFERROR(VLOOKUP($B360,Kraftvärmeprod!$B$1:$BX$549,MATCH(L$2,Kraftvärmeprod!$B$1:$VX$1,0),FALSE)/1,0)-IFERROR(VLOOKUP($B360,'Slutlig allokering kvv'!$B$2:$BX$549,MATCH(L$2,'Slutlig allokering kvv'!$B$1:$BX$1,0),FALSE)/1,0))</f>
        <v>5.8417300000000001</v>
      </c>
      <c r="M360" s="121">
        <f>IF($D360="","",IFERROR(VLOOKUP($B360,Kraftvärmeprod!$B$1:$BX$549,MATCH(M$2,Kraftvärmeprod!$B$1:$VX$1,0),FALSE)/1,0)-IFERROR(VLOOKUP($B360,'Slutlig allokering kvv'!$B$2:$BX$549,MATCH(M$2,'Slutlig allokering kvv'!$B$1:$BX$1,0),FALSE)/1,0))</f>
        <v>84.674699999999987</v>
      </c>
      <c r="N360" s="121">
        <f>IF($D360="","",IFERROR(VLOOKUP($B360,Kraftvärmeprod!$B$1:$BX$549,MATCH(N$2,Kraftvärmeprod!$B$1:$VX$1,0),FALSE)/1,0)-IFERROR(VLOOKUP($B360,'Slutlig allokering kvv'!$B$2:$BX$549,MATCH(N$2,'Slutlig allokering kvv'!$B$1:$BX$1,0),FALSE)/1,0))</f>
        <v>27.088799999999996</v>
      </c>
      <c r="O360" s="121">
        <f>IF($D360="","",IFERROR(VLOOKUP($B360,Kraftvärmeprod!$B$1:$BX$549,MATCH(O$2,Kraftvärmeprod!$B$1:$VX$1,0),FALSE)/1,0)-IFERROR(VLOOKUP($B360,'Slutlig allokering kvv'!$B$2:$BX$549,MATCH(O$2,'Slutlig allokering kvv'!$B$1:$BX$1,0),FALSE)/1,0))</f>
        <v>35.436300000000003</v>
      </c>
      <c r="P360" s="121">
        <f>IF($D360="","",IFERROR(VLOOKUP($B360,Kraftvärmeprod!$B$1:$BX$549,MATCH(P$2,Kraftvärmeprod!$B$1:$VX$1,0),FALSE)/1,0)-IFERROR(VLOOKUP($B360,'Slutlig allokering kvv'!$B$2:$BX$549,MATCH(P$2,'Slutlig allokering kvv'!$B$1:$BX$1,0),FALSE)/1,0))</f>
        <v>0</v>
      </c>
      <c r="Q360" s="121">
        <f>IF($D360="","",IFERROR(VLOOKUP($B360,Kraftvärmeprod!$B$1:$BX$549,MATCH(Q$2,Kraftvärmeprod!$B$1:$VX$1,0),FALSE)/1,0)-IFERROR(VLOOKUP($B360,'Slutlig allokering kvv'!$B$2:$BX$549,MATCH(Q$2,'Slutlig allokering kvv'!$B$1:$BX$1,0),FALSE)/1,0))</f>
        <v>0</v>
      </c>
      <c r="R360" s="121">
        <f>IF($D360="","",IFERROR(VLOOKUP($B360,Kraftvärmeprod!$B$1:$BX$549,MATCH(R$2,Kraftvärmeprod!$B$1:$VX$1,0),FALSE)/1,0)-IFERROR(VLOOKUP($B360,'Slutlig allokering kvv'!$B$2:$BX$549,MATCH(R$2,'Slutlig allokering kvv'!$B$1:$BX$1,0),FALSE)/1,0))</f>
        <v>0</v>
      </c>
      <c r="S360" s="121">
        <f>IF($D360="","",IFERROR(VLOOKUP($B360,Kraftvärmeprod!$B$1:$BX$549,MATCH(S$2,Kraftvärmeprod!$B$1:$VX$1,0),FALSE)/1,0)-IFERROR(VLOOKUP($B360,'Slutlig allokering kvv'!$B$2:$BX$549,MATCH(S$2,'Slutlig allokering kvv'!$B$1:$BX$1,0),FALSE)/1,0))</f>
        <v>0</v>
      </c>
      <c r="T360" s="121">
        <f>IF($D360="","",IFERROR(VLOOKUP($B360,Kraftvärmeprod!$B$1:$BX$549,MATCH(T$2,Kraftvärmeprod!$B$1:$VX$1,0),FALSE)/1,0)-IFERROR(VLOOKUP($B360,'Slutlig allokering kvv'!$B$2:$BX$549,MATCH(T$2,'Slutlig allokering kvv'!$B$1:$BX$1,0),FALSE)/1,0))</f>
        <v>0</v>
      </c>
      <c r="U360" s="121">
        <f>IF($D360="","",IFERROR(VLOOKUP($B360,Kraftvärmeprod!$B$1:$BX$549,MATCH(U$2,Kraftvärmeprod!$B$1:$VX$1,0),FALSE)/1,0)-IFERROR(VLOOKUP($B360,'Slutlig allokering kvv'!$B$2:$BX$549,MATCH(U$2,'Slutlig allokering kvv'!$B$1:$BX$1,0),FALSE)/1,0))</f>
        <v>0</v>
      </c>
      <c r="V360" s="121">
        <f>IF($D360="","",IFERROR(VLOOKUP($B360,Kraftvärmeprod!$B$1:$BX$549,MATCH(V$2,Kraftvärmeprod!$B$1:$VX$1,0),FALSE)/1,0)-IFERROR(VLOOKUP($B360,'Slutlig allokering kvv'!$B$2:$BX$549,MATCH(V$2,'Slutlig allokering kvv'!$B$1:$BX$1,0),FALSE)/1,0))</f>
        <v>0</v>
      </c>
      <c r="W360" s="121">
        <f>IF($D360="","",IFERROR(VLOOKUP($B360,Kraftvärmeprod!$B$1:$BX$549,MATCH(W$2,Kraftvärmeprod!$B$1:$VX$1,0),FALSE)/1,0)-IFERROR(VLOOKUP($B360,'Slutlig allokering kvv'!$B$2:$BX$549,MATCH(W$2,'Slutlig allokering kvv'!$B$1:$BX$1,0),FALSE)/1,0))</f>
        <v>0</v>
      </c>
      <c r="X360" s="121">
        <f>IF($D360="","",IFERROR(VLOOKUP($B360,Kraftvärmeprod!$B$1:$BX$549,MATCH(X$2,Kraftvärmeprod!$B$1:$VX$1,0),FALSE)/1,0)-IFERROR(VLOOKUP($B360,'Slutlig allokering kvv'!$B$2:$BX$549,MATCH(X$2,'Slutlig allokering kvv'!$B$1:$BX$1,0),FALSE)/1,0))</f>
        <v>0</v>
      </c>
      <c r="Y360" s="121">
        <f>IF($D360="","",IFERROR(VLOOKUP($B360,Kraftvärmeprod!$B$1:$BX$549,MATCH(Y$2,Kraftvärmeprod!$B$1:$VX$1,0),FALSE)/1,0)-IFERROR(VLOOKUP($B360,'Slutlig allokering kvv'!$B$2:$BX$549,MATCH(Y$2,'Slutlig allokering kvv'!$B$1:$BX$1,0),FALSE)/1,0))</f>
        <v>0</v>
      </c>
      <c r="Z360" s="121">
        <f>IF($D360="","",IFERROR(VLOOKUP($B360,Kraftvärmeprod!$B$1:$BX$549,MATCH(Z$2,Kraftvärmeprod!$B$1:$VX$1,0),FALSE)/1,0)-IFERROR(VLOOKUP($B360,'Slutlig allokering kvv'!$B$2:$BX$549,MATCH(Z$2,'Slutlig allokering kvv'!$B$1:$BX$1,0),FALSE)/1,0))</f>
        <v>27.7133</v>
      </c>
      <c r="AA360" s="121">
        <f>IF($D360="","",IFERROR(VLOOKUP($B360,Kraftvärmeprod!$B$1:$BX$549,MATCH(AA$2,Kraftvärmeprod!$B$1:$VX$1,0),FALSE)/1,0)-IFERROR(VLOOKUP($B360,'Slutlig allokering kvv'!$B$2:$BX$549,MATCH(AA$2,'Slutlig allokering kvv'!$B$1:$BX$1,0),FALSE)/1,0))</f>
        <v>0</v>
      </c>
      <c r="AB360" s="121">
        <f>IF($D360="","",IFERROR(VLOOKUP($B360,Kraftvärmeprod!$B$1:$BX$549,MATCH(AB$2,Kraftvärmeprod!$B$1:$VX$1,0),FALSE)/1,0)-IFERROR(VLOOKUP($B360,'Slutlig allokering kvv'!$B$2:$BX$549,MATCH(AB$2,'Slutlig allokering kvv'!$B$1:$BX$1,0),FALSE)/1,0))</f>
        <v>3.4696199999999999</v>
      </c>
      <c r="AC360" s="121">
        <f>IF($D360="","",IFERROR(VLOOKUP($B360,Kraftvärmeprod!$B$1:$BX$549,MATCH(AC$2,Kraftvärmeprod!$B$1:$VX$1,0),FALSE)/1,0)-IFERROR(VLOOKUP($B360,'Slutlig allokering kvv'!$B$2:$BX$549,MATCH(AC$2,'Slutlig allokering kvv'!$B$1:$BX$1,0),FALSE)/1,0))</f>
        <v>0</v>
      </c>
      <c r="AD360" s="121">
        <f>IF($D360="","",IFERROR(VLOOKUP($B360,Kraftvärmeprod!$B$1:$BX$549,MATCH(AD$2,Kraftvärmeprod!$B$1:$VX$1,0),FALSE)/1,0)-IFERROR(VLOOKUP($B360,'Slutlig allokering kvv'!$B$2:$BX$549,MATCH(AD$2,'Slutlig allokering kvv'!$B$1:$BX$1,0),FALSE)/1,0))</f>
        <v>0</v>
      </c>
      <c r="AE360" s="121">
        <f>IF($D360="","",IFERROR(VLOOKUP($B360,Miljö!$B$1:$E$550,MATCH("Hjälpel kraftvärme (GWh)",Miljö!$B$1:$E$1,0),FALSE)/1,0)-IFERROR(VLOOKUP($B360,'Slutlig allokering kvv'!$B$2:$BX$549,MATCH(AE$2,'Slutlig allokering kvv'!$B$1:$BX$1,0),FALSE)/1,0))</f>
        <v>8.054409999999999</v>
      </c>
      <c r="AI360" s="121">
        <f t="shared" ref="AI360" si="24">SUM(F360:AC360)</f>
        <v>184.34145799999996</v>
      </c>
      <c r="AK360" s="121">
        <f>IFERROR(VLOOKUP($B360,'Slutlig allokering kvv'!$B$2:$AX$549,MATCH("Summa slutlig allokerad tillförd energi (utan hjälpel och rökgaskondensering):",'Slutlig allokering kvv'!$B$1:$AX$1,0),FALSE)/1,"")</f>
        <v>128.478542</v>
      </c>
      <c r="AM360" s="172">
        <f>IFERROR(1-VLOOKUP($B360,'Slutlig allokering kvv'!$B$2:$AX$549,MATCH("Andel av bränsle i kvv som allokerats till värme, exklusive rökgaskondensering och hjälpel",'Slutlig allokering kvv'!$B$1:$AX$1,0),FALSE),"")</f>
        <v>0.58928923342497286</v>
      </c>
      <c r="AO360" s="172">
        <f t="shared" ref="AO360" si="25">IFERROR(AI360/(AI360+AK360),"")</f>
        <v>0.58928923342497286</v>
      </c>
      <c r="AP360" s="173">
        <f t="shared" ref="AP360" si="26">IFERROR(AM360-AO360,"")</f>
        <v>0</v>
      </c>
      <c r="AR360" s="172">
        <f t="shared" ref="AR360" si="27">IFERROR(D360/(AI360+AE360),"")</f>
        <v>0.54616037803888817</v>
      </c>
    </row>
    <row r="361" spans="1:44" x14ac:dyDescent="0.25">
      <c r="A361" s="171"/>
    </row>
    <row r="362" spans="1:44" x14ac:dyDescent="0.25">
      <c r="A362" s="171"/>
    </row>
    <row r="363" spans="1:44" x14ac:dyDescent="0.25">
      <c r="A363" s="171"/>
    </row>
    <row r="364" spans="1:44" x14ac:dyDescent="0.25">
      <c r="A364" s="171"/>
      <c r="B364" s="121" t="s">
        <v>1557</v>
      </c>
      <c r="C364" s="121">
        <f>SUM(C3:C360)</f>
        <v>24700.288413000006</v>
      </c>
      <c r="D364" s="121">
        <f t="shared" ref="D364:AE364" si="28">SUM(D3:D360)</f>
        <v>7955.0720760000031</v>
      </c>
      <c r="E364" s="121">
        <f t="shared" si="28"/>
        <v>0</v>
      </c>
      <c r="F364" s="121">
        <f t="shared" si="28"/>
        <v>862.42661555556003</v>
      </c>
      <c r="G364" s="121">
        <f t="shared" si="28"/>
        <v>117.37486013550895</v>
      </c>
      <c r="H364" s="121">
        <f t="shared" si="28"/>
        <v>1.9391699999999998</v>
      </c>
      <c r="I364" s="121">
        <f t="shared" si="28"/>
        <v>74.779427732882979</v>
      </c>
      <c r="J364" s="121">
        <f t="shared" si="28"/>
        <v>789.63499999999999</v>
      </c>
      <c r="K364" s="121">
        <f t="shared" si="28"/>
        <v>32.1</v>
      </c>
      <c r="L364" s="121">
        <f t="shared" si="28"/>
        <v>3283.5142714699996</v>
      </c>
      <c r="M364" s="121">
        <f t="shared" si="28"/>
        <v>1307.7591147399996</v>
      </c>
      <c r="N364" s="121">
        <f t="shared" si="28"/>
        <v>836.51269531000003</v>
      </c>
      <c r="O364" s="121">
        <f t="shared" si="28"/>
        <v>728.18755981999971</v>
      </c>
      <c r="P364" s="121">
        <f t="shared" si="28"/>
        <v>14.942443900000001</v>
      </c>
      <c r="Q364" s="121">
        <f t="shared" si="28"/>
        <v>497.81188855999994</v>
      </c>
      <c r="R364" s="121">
        <f t="shared" si="28"/>
        <v>0</v>
      </c>
      <c r="S364" s="121">
        <f t="shared" si="28"/>
        <v>387.76535056500001</v>
      </c>
      <c r="T364" s="121">
        <f t="shared" si="28"/>
        <v>1.8397137759999995</v>
      </c>
      <c r="U364" s="121">
        <f t="shared" si="28"/>
        <v>1.3969371180000001</v>
      </c>
      <c r="V364" s="121">
        <f t="shared" si="28"/>
        <v>2052.0767639999999</v>
      </c>
      <c r="W364" s="121">
        <f t="shared" si="28"/>
        <v>1.3590310000000003</v>
      </c>
      <c r="X364" s="121">
        <f t="shared" si="28"/>
        <v>15.873667600000001</v>
      </c>
      <c r="Y364" s="121">
        <f t="shared" si="28"/>
        <v>26.299743999999997</v>
      </c>
      <c r="Z364" s="121">
        <f t="shared" si="28"/>
        <v>614.74168299999997</v>
      </c>
      <c r="AA364" s="121">
        <f t="shared" si="28"/>
        <v>5647.7112601600002</v>
      </c>
      <c r="AB364" s="121">
        <f t="shared" si="28"/>
        <v>15.754163000000002</v>
      </c>
      <c r="AC364" s="121">
        <f t="shared" si="28"/>
        <v>0</v>
      </c>
      <c r="AD364" s="121">
        <f t="shared" si="28"/>
        <v>22.396970000000074</v>
      </c>
      <c r="AE364" s="121">
        <f t="shared" si="28"/>
        <v>661.76190078999991</v>
      </c>
      <c r="AI364" s="121">
        <f>SUM(AI3:AI360)</f>
        <v>17311.801361442951</v>
      </c>
      <c r="AK364" s="121">
        <f t="shared" ref="AK364" si="29">SUM(AK3:AK360)</f>
        <v>19671.361585639996</v>
      </c>
    </row>
    <row r="365" spans="1:44" x14ac:dyDescent="0.25">
      <c r="A365" s="171"/>
    </row>
    <row r="366" spans="1:44" x14ac:dyDescent="0.25">
      <c r="A366" s="171"/>
    </row>
    <row r="367" spans="1:44" x14ac:dyDescent="0.25">
      <c r="A367" s="171"/>
    </row>
    <row r="368" spans="1:44" ht="15.75" thickBot="1" x14ac:dyDescent="0.3">
      <c r="A368" s="171"/>
    </row>
    <row r="369" spans="1:17" x14ac:dyDescent="0.25">
      <c r="A369" s="171"/>
      <c r="B369" s="174" t="s">
        <v>1286</v>
      </c>
      <c r="C369" s="175">
        <v>2018</v>
      </c>
      <c r="D369" s="176">
        <v>2017</v>
      </c>
      <c r="E369" s="176">
        <v>2016</v>
      </c>
      <c r="F369" s="176">
        <v>2015</v>
      </c>
      <c r="G369" s="176">
        <v>2014</v>
      </c>
      <c r="H369" s="176">
        <v>2013</v>
      </c>
      <c r="I369" s="176">
        <v>2012</v>
      </c>
      <c r="J369" s="176">
        <v>2011</v>
      </c>
      <c r="K369" s="176">
        <v>2010</v>
      </c>
      <c r="L369" s="176">
        <v>2009</v>
      </c>
      <c r="M369" s="176">
        <v>2008</v>
      </c>
      <c r="N369" s="176">
        <v>2007</v>
      </c>
      <c r="O369" s="176">
        <v>2006</v>
      </c>
      <c r="P369" s="176">
        <v>2005</v>
      </c>
      <c r="Q369" s="177">
        <v>2004</v>
      </c>
    </row>
    <row r="370" spans="1:17" x14ac:dyDescent="0.25">
      <c r="A370" s="171"/>
      <c r="B370" s="178" t="s">
        <v>747</v>
      </c>
      <c r="C370" s="179">
        <f>AA364</f>
        <v>5647.7112601600002</v>
      </c>
      <c r="D370" s="180">
        <v>5001.5108900000014</v>
      </c>
      <c r="E370" s="180">
        <v>4975.265879999999</v>
      </c>
      <c r="F370" s="180">
        <v>5041.1958481999991</v>
      </c>
      <c r="G370" s="180">
        <v>3702.3344169999996</v>
      </c>
      <c r="H370" s="180">
        <v>3902.6395817555554</v>
      </c>
      <c r="I370" s="180">
        <v>3006.0512319812178</v>
      </c>
      <c r="J370" s="180">
        <v>3664.8864094574087</v>
      </c>
      <c r="K370" s="180">
        <v>3001.6556048421235</v>
      </c>
      <c r="L370" s="180">
        <v>2461.83438923423</v>
      </c>
      <c r="M370" s="180">
        <v>3181.7646375823329</v>
      </c>
      <c r="N370" s="180">
        <v>3292.3573790548198</v>
      </c>
      <c r="O370" s="180">
        <v>1325.8219047761318</v>
      </c>
      <c r="P370" s="180">
        <v>1535.5709547556237</v>
      </c>
      <c r="Q370" s="181">
        <v>1124.8018107233274</v>
      </c>
    </row>
    <row r="371" spans="1:17" x14ac:dyDescent="0.25">
      <c r="A371" s="171"/>
      <c r="B371" s="178" t="s">
        <v>1558</v>
      </c>
      <c r="C371" s="179">
        <f>AB364</f>
        <v>15.754163000000002</v>
      </c>
      <c r="D371" s="180">
        <v>29.96968</v>
      </c>
      <c r="E371" s="180">
        <v>5.3</v>
      </c>
      <c r="F371" s="180">
        <v>7.2803599999999999</v>
      </c>
      <c r="G371" s="180">
        <v>16.862739999999999</v>
      </c>
      <c r="H371" s="180">
        <v>18.7</v>
      </c>
      <c r="I371" s="180">
        <v>22.758509092504926</v>
      </c>
      <c r="J371" s="180">
        <v>11.419344326066302</v>
      </c>
      <c r="K371" s="180">
        <v>24.561585914147777</v>
      </c>
      <c r="L371" s="180">
        <v>6.6018643413073912</v>
      </c>
      <c r="M371" s="180">
        <v>0</v>
      </c>
      <c r="N371" s="180">
        <v>10.553189506015583</v>
      </c>
      <c r="O371" s="180">
        <v>0</v>
      </c>
      <c r="P371" s="180">
        <v>26.652686796021886</v>
      </c>
      <c r="Q371" s="181">
        <v>28.306331082535259</v>
      </c>
    </row>
    <row r="372" spans="1:17" x14ac:dyDescent="0.25">
      <c r="A372" s="171"/>
      <c r="B372" s="178" t="s">
        <v>1271</v>
      </c>
      <c r="C372" s="179">
        <f>V364</f>
        <v>2052.0767639999999</v>
      </c>
      <c r="D372" s="180">
        <v>2075.5916929999999</v>
      </c>
      <c r="E372" s="180">
        <v>1611.3928580000002</v>
      </c>
      <c r="F372" s="180">
        <v>1613.9386258100001</v>
      </c>
      <c r="G372" s="180">
        <v>1670.0937896999999</v>
      </c>
      <c r="H372" s="180">
        <v>1653.45596</v>
      </c>
      <c r="I372" s="180">
        <v>1407.2670928224459</v>
      </c>
      <c r="J372" s="180">
        <v>850.50079611866227</v>
      </c>
      <c r="K372" s="180">
        <v>1098.7343788274352</v>
      </c>
      <c r="L372" s="180">
        <v>1082.2504538270352</v>
      </c>
      <c r="M372" s="180">
        <v>975.143094930404</v>
      </c>
      <c r="N372" s="180">
        <v>557.50561459084395</v>
      </c>
      <c r="O372" s="180">
        <v>377.50044671720559</v>
      </c>
      <c r="P372" s="180">
        <v>673.47313519464421</v>
      </c>
      <c r="Q372" s="181">
        <v>507.75967291809394</v>
      </c>
    </row>
    <row r="373" spans="1:17" x14ac:dyDescent="0.25">
      <c r="A373" s="171"/>
      <c r="B373" s="178" t="s">
        <v>1559</v>
      </c>
      <c r="C373" s="179">
        <f>L364+M364+N364+O364+Q364</f>
        <v>6653.7855298999984</v>
      </c>
      <c r="D373" s="180">
        <v>6853.6669459000022</v>
      </c>
      <c r="E373" s="180">
        <v>6123.3896521000006</v>
      </c>
      <c r="F373" s="180">
        <v>5225.2313654800009</v>
      </c>
      <c r="G373" s="180">
        <v>5224.8899333999998</v>
      </c>
      <c r="H373" s="180">
        <v>5535.6053662613858</v>
      </c>
      <c r="I373" s="180">
        <v>6121.0334167563251</v>
      </c>
      <c r="J373" s="180">
        <v>5928.4650561773833</v>
      </c>
      <c r="K373" s="180">
        <v>5930.5005258694991</v>
      </c>
      <c r="L373" s="180">
        <v>3783.893108893084</v>
      </c>
      <c r="M373" s="180">
        <v>2809.1595136562919</v>
      </c>
      <c r="N373" s="180">
        <v>1043.9589056172945</v>
      </c>
      <c r="O373" s="180">
        <v>1190.6959995111326</v>
      </c>
      <c r="P373" s="180">
        <v>1274.5105813436194</v>
      </c>
      <c r="Q373" s="181">
        <v>1180.1635294032592</v>
      </c>
    </row>
    <row r="374" spans="1:17" x14ac:dyDescent="0.25">
      <c r="B374" s="178" t="s">
        <v>1560</v>
      </c>
      <c r="C374" s="179">
        <f>S364+T364+U364+Y364</f>
        <v>417.30174545899996</v>
      </c>
      <c r="D374" s="180">
        <v>336.59729400000009</v>
      </c>
      <c r="E374" s="180">
        <v>359.96086529999997</v>
      </c>
      <c r="F374" s="180">
        <v>316.57846689999997</v>
      </c>
      <c r="G374" s="180">
        <v>476.91605950000002</v>
      </c>
      <c r="H374" s="180">
        <v>873.89854338055568</v>
      </c>
      <c r="I374" s="180">
        <v>956.87886383651562</v>
      </c>
      <c r="J374" s="180">
        <v>1213.8772948415167</v>
      </c>
      <c r="K374" s="180">
        <v>1444.4164524963383</v>
      </c>
      <c r="L374" s="180">
        <v>1221.43</v>
      </c>
      <c r="M374" s="180">
        <v>1192.7065156894485</v>
      </c>
      <c r="N374" s="180">
        <v>3292.2789491373414</v>
      </c>
      <c r="O374" s="180">
        <v>3538.2608545031599</v>
      </c>
      <c r="P374" s="180">
        <v>4368.1344348467192</v>
      </c>
      <c r="Q374" s="181">
        <v>3987.7557234847482</v>
      </c>
    </row>
    <row r="375" spans="1:17" x14ac:dyDescent="0.25">
      <c r="B375" s="178" t="s">
        <v>1561</v>
      </c>
      <c r="C375" s="179">
        <f>P364</f>
        <v>14.942443900000001</v>
      </c>
      <c r="D375" s="180">
        <v>22.886258550000001</v>
      </c>
      <c r="E375" s="180">
        <v>0</v>
      </c>
      <c r="F375" s="180">
        <v>6.7108641879999995</v>
      </c>
      <c r="G375" s="180">
        <v>12.252876125</v>
      </c>
      <c r="H375" s="180"/>
      <c r="I375" s="180"/>
      <c r="J375" s="180"/>
      <c r="K375" s="180"/>
      <c r="L375" s="180"/>
      <c r="M375" s="180"/>
      <c r="N375" s="180"/>
      <c r="O375" s="180"/>
      <c r="P375" s="180"/>
      <c r="Q375" s="181"/>
    </row>
    <row r="376" spans="1:17" x14ac:dyDescent="0.25">
      <c r="B376" s="178" t="s">
        <v>1562</v>
      </c>
      <c r="C376" s="179"/>
      <c r="D376" s="180"/>
      <c r="E376" s="180"/>
      <c r="F376" s="180"/>
      <c r="G376" s="180"/>
      <c r="H376" s="180"/>
      <c r="I376" s="180"/>
      <c r="J376" s="180"/>
      <c r="K376" s="180"/>
      <c r="L376" s="180"/>
      <c r="M376" s="180">
        <v>1716.2206619960111</v>
      </c>
      <c r="N376" s="180">
        <v>954.1303334014176</v>
      </c>
      <c r="O376" s="180">
        <v>27.246748234371527</v>
      </c>
      <c r="P376" s="180">
        <v>261.26380794748292</v>
      </c>
      <c r="Q376" s="181">
        <v>98.530782280289188</v>
      </c>
    </row>
    <row r="377" spans="1:17" x14ac:dyDescent="0.25">
      <c r="B377" s="178" t="s">
        <v>834</v>
      </c>
      <c r="C377" s="179">
        <f>W364</f>
        <v>1.3590310000000003</v>
      </c>
      <c r="D377" s="180">
        <v>3.869660000000001</v>
      </c>
      <c r="E377" s="180">
        <v>1.3206910000000001</v>
      </c>
      <c r="F377" s="180">
        <v>1.5702869999999998</v>
      </c>
      <c r="G377" s="180">
        <v>7.4257184900000004</v>
      </c>
      <c r="H377" s="180">
        <v>25.298999999999999</v>
      </c>
      <c r="I377" s="180">
        <v>54.237894472901822</v>
      </c>
      <c r="J377" s="180">
        <v>35.751597324484983</v>
      </c>
      <c r="K377" s="180">
        <v>85.315699894552196</v>
      </c>
      <c r="L377" s="180">
        <v>83.39</v>
      </c>
      <c r="M377" s="180">
        <v>87.266030240757331</v>
      </c>
      <c r="N377" s="180">
        <v>37.422958606219531</v>
      </c>
      <c r="O377" s="180">
        <v>49.993836859944139</v>
      </c>
      <c r="P377" s="180">
        <v>59.154837841571648</v>
      </c>
      <c r="Q377" s="181">
        <v>30.28281609036295</v>
      </c>
    </row>
    <row r="378" spans="1:17" x14ac:dyDescent="0.25">
      <c r="B378" s="178" t="s">
        <v>845</v>
      </c>
      <c r="C378" s="179">
        <f>X364</f>
        <v>15.873667600000001</v>
      </c>
      <c r="D378" s="180">
        <v>2.6208971000000001</v>
      </c>
      <c r="E378" s="180"/>
      <c r="F378" s="180">
        <v>0.49918700000000005</v>
      </c>
      <c r="G378" s="180">
        <v>0.79562299999999986</v>
      </c>
      <c r="H378" s="180">
        <v>63.871869294626663</v>
      </c>
      <c r="I378" s="180">
        <v>14.988659671352208</v>
      </c>
      <c r="J378" s="180">
        <v>0.38770817062804075</v>
      </c>
      <c r="K378" s="180">
        <v>65.713069166962185</v>
      </c>
      <c r="L378" s="180">
        <v>274.32084986329596</v>
      </c>
      <c r="M378" s="180">
        <v>68.160314260214491</v>
      </c>
      <c r="N378" s="180">
        <v>150.12400180841155</v>
      </c>
      <c r="O378" s="180">
        <v>352.42425150171113</v>
      </c>
      <c r="P378" s="182" t="s">
        <v>1264</v>
      </c>
      <c r="Q378" s="183" t="s">
        <v>1264</v>
      </c>
    </row>
    <row r="379" spans="1:17" x14ac:dyDescent="0.25">
      <c r="B379" s="178" t="s">
        <v>1265</v>
      </c>
      <c r="C379" s="184"/>
      <c r="D379" s="180"/>
      <c r="E379" s="180"/>
      <c r="F379" s="180"/>
      <c r="G379" s="180"/>
      <c r="H379" s="180"/>
      <c r="I379" s="180"/>
      <c r="J379" s="180"/>
      <c r="K379" s="180"/>
      <c r="L379" s="180"/>
      <c r="M379" s="180">
        <v>380.16207702004391</v>
      </c>
      <c r="N379" s="180">
        <v>484.58856262710572</v>
      </c>
      <c r="O379" s="180">
        <v>548.65129194841188</v>
      </c>
      <c r="P379" s="182" t="s">
        <v>1264</v>
      </c>
      <c r="Q379" s="183" t="s">
        <v>1264</v>
      </c>
    </row>
    <row r="380" spans="1:17" x14ac:dyDescent="0.25">
      <c r="B380" s="178" t="s">
        <v>1563</v>
      </c>
      <c r="C380" s="179">
        <f>AE364</f>
        <v>661.76190078999991</v>
      </c>
      <c r="D380" s="180">
        <v>581.62000199999977</v>
      </c>
      <c r="E380" s="180">
        <v>579.37533969999993</v>
      </c>
      <c r="F380" s="180">
        <v>559.54996988999972</v>
      </c>
      <c r="G380" s="180">
        <v>548.77439911000022</v>
      </c>
      <c r="H380" s="180">
        <v>589.70115120000014</v>
      </c>
      <c r="I380" s="180">
        <v>2171.3766611501778</v>
      </c>
      <c r="J380" s="180">
        <v>563</v>
      </c>
      <c r="K380" s="180">
        <v>511.14887442795293</v>
      </c>
      <c r="L380" s="180"/>
      <c r="M380" s="180">
        <v>236.67269123424353</v>
      </c>
      <c r="N380" s="180">
        <v>238</v>
      </c>
      <c r="O380" s="182" t="s">
        <v>1264</v>
      </c>
      <c r="P380" s="182" t="s">
        <v>1264</v>
      </c>
      <c r="Q380" s="183" t="s">
        <v>1264</v>
      </c>
    </row>
    <row r="381" spans="1:17" x14ac:dyDescent="0.25">
      <c r="B381" s="178" t="s">
        <v>1263</v>
      </c>
      <c r="C381" s="179">
        <f>Z364</f>
        <v>614.74168299999997</v>
      </c>
      <c r="D381" s="180">
        <v>372.84729999999996</v>
      </c>
      <c r="E381" s="180">
        <v>402.72898299999997</v>
      </c>
      <c r="F381" s="180">
        <v>328.99478018999997</v>
      </c>
      <c r="G381" s="180">
        <v>424.90931771999999</v>
      </c>
      <c r="H381" s="180">
        <v>608.5909059999999</v>
      </c>
      <c r="I381" s="180">
        <v>967.16941838486014</v>
      </c>
      <c r="J381" s="180">
        <v>876.29936030499061</v>
      </c>
      <c r="K381" s="180">
        <v>1306.8261107360292</v>
      </c>
      <c r="L381" s="180">
        <v>1302.591063428353</v>
      </c>
      <c r="M381" s="180">
        <v>1388.2496290031947</v>
      </c>
      <c r="N381" s="180">
        <v>933.05921993721006</v>
      </c>
      <c r="O381" s="180">
        <v>779.43002552814028</v>
      </c>
      <c r="P381" s="180">
        <v>985.21376283661903</v>
      </c>
      <c r="Q381" s="181">
        <v>1006.47440104877</v>
      </c>
    </row>
    <row r="382" spans="1:17" x14ac:dyDescent="0.25">
      <c r="B382" s="178" t="s">
        <v>748</v>
      </c>
      <c r="C382" s="179">
        <f>J364</f>
        <v>789.63499999999999</v>
      </c>
      <c r="D382" s="180">
        <v>470.27499999999998</v>
      </c>
      <c r="E382" s="180">
        <v>1571.9969999999998</v>
      </c>
      <c r="F382" s="180">
        <v>982.37800000000016</v>
      </c>
      <c r="G382" s="180">
        <v>363.589</v>
      </c>
      <c r="H382" s="180">
        <v>2138.875</v>
      </c>
      <c r="I382" s="180">
        <v>1113.0867768746191</v>
      </c>
      <c r="J382" s="180">
        <v>1655.4017631252252</v>
      </c>
      <c r="K382" s="180">
        <v>1966.980875686264</v>
      </c>
      <c r="L382" s="180">
        <v>1669.3122579834883</v>
      </c>
      <c r="M382" s="180">
        <v>1073.8349634965405</v>
      </c>
      <c r="N382" s="180">
        <v>1431.7747871261633</v>
      </c>
      <c r="O382" s="180">
        <v>1020.2696488451728</v>
      </c>
      <c r="P382" s="180">
        <v>691.64156341218904</v>
      </c>
      <c r="Q382" s="181">
        <v>850.61018041636623</v>
      </c>
    </row>
    <row r="383" spans="1:17" x14ac:dyDescent="0.25">
      <c r="B383" s="178" t="s">
        <v>1564</v>
      </c>
      <c r="C383" s="179">
        <f>G364+H364+I364</f>
        <v>194.09345786839194</v>
      </c>
      <c r="D383" s="180">
        <v>110.94010813000003</v>
      </c>
      <c r="E383" s="180">
        <v>278.06472763000005</v>
      </c>
      <c r="F383" s="180">
        <v>128.08642768499999</v>
      </c>
      <c r="G383" s="180">
        <v>123.21312389799999</v>
      </c>
      <c r="H383" s="180">
        <v>176.45151143053715</v>
      </c>
      <c r="I383" s="180">
        <v>390.92917456795146</v>
      </c>
      <c r="J383" s="180">
        <v>424.43545553222361</v>
      </c>
      <c r="K383" s="180">
        <v>2541.9269834214033</v>
      </c>
      <c r="L383" s="180">
        <v>380.90040133624495</v>
      </c>
      <c r="M383" s="180">
        <v>190.22458260114712</v>
      </c>
      <c r="N383" s="180">
        <v>205.45561824082438</v>
      </c>
      <c r="O383" s="180">
        <v>466.5970395022872</v>
      </c>
      <c r="P383" s="180">
        <v>552.36019221492495</v>
      </c>
      <c r="Q383" s="181">
        <v>861.94976456873871</v>
      </c>
    </row>
    <row r="384" spans="1:17" x14ac:dyDescent="0.25">
      <c r="B384" s="178" t="s">
        <v>1256</v>
      </c>
      <c r="C384" s="179">
        <f>F364</f>
        <v>862.42661555556003</v>
      </c>
      <c r="D384" s="180">
        <v>807.13139000000012</v>
      </c>
      <c r="E384" s="180">
        <v>595.84031500000015</v>
      </c>
      <c r="F384" s="180">
        <v>981.52715832999991</v>
      </c>
      <c r="G384" s="180">
        <v>1003.4364204999998</v>
      </c>
      <c r="H384" s="180">
        <v>1731.6296945489598</v>
      </c>
      <c r="I384" s="180">
        <v>1180.1348077714463</v>
      </c>
      <c r="J384" s="180">
        <v>1328.3107035407797</v>
      </c>
      <c r="K384" s="180">
        <v>1545.9480293004788</v>
      </c>
      <c r="L384" s="180">
        <v>1120.7934826870642</v>
      </c>
      <c r="M384" s="180">
        <v>976.82071909953959</v>
      </c>
      <c r="N384" s="180">
        <v>1218.7252724966045</v>
      </c>
      <c r="O384" s="180">
        <v>1345.9691897495927</v>
      </c>
      <c r="P384" s="180">
        <v>1275.462664287307</v>
      </c>
      <c r="Q384" s="181">
        <v>1524.7565084387491</v>
      </c>
    </row>
    <row r="385" spans="2:17" x14ac:dyDescent="0.25">
      <c r="B385" s="178" t="s">
        <v>1255</v>
      </c>
      <c r="C385" s="179">
        <f>K364</f>
        <v>32.1</v>
      </c>
      <c r="D385" s="180">
        <v>34.5</v>
      </c>
      <c r="E385" s="180">
        <v>4.5372900000000005</v>
      </c>
      <c r="F385" s="180">
        <v>42.599999999999994</v>
      </c>
      <c r="G385" s="180">
        <v>42.628439</v>
      </c>
      <c r="H385" s="180">
        <v>31.171671</v>
      </c>
      <c r="I385" s="180">
        <v>35</v>
      </c>
      <c r="J385" s="180">
        <v>25.104555843805144</v>
      </c>
      <c r="K385" s="180">
        <v>52.168023331468497</v>
      </c>
      <c r="L385" s="180">
        <v>42.195541546050563</v>
      </c>
      <c r="M385" s="180">
        <v>58.799298961766041</v>
      </c>
      <c r="N385" s="180">
        <v>92.975265200747572</v>
      </c>
      <c r="O385" s="180">
        <v>30.687922237683267</v>
      </c>
      <c r="P385" s="180">
        <v>37.51428544554129</v>
      </c>
      <c r="Q385" s="181">
        <v>45.901244467407615</v>
      </c>
    </row>
    <row r="386" spans="2:17" x14ac:dyDescent="0.25">
      <c r="B386" s="185" t="s">
        <v>1565</v>
      </c>
      <c r="C386" s="186">
        <f>SUM(C370:C385)</f>
        <v>17973.563262232947</v>
      </c>
      <c r="D386" s="187">
        <v>16704.027118680002</v>
      </c>
      <c r="E386" s="187">
        <v>16509.173601730003</v>
      </c>
      <c r="F386" s="187">
        <v>15236.141340673001</v>
      </c>
      <c r="G386" s="187">
        <v>13618.121857442997</v>
      </c>
      <c r="H386" s="187">
        <v>17349.890254871621</v>
      </c>
      <c r="I386" s="187">
        <v>17440.912507382316</v>
      </c>
      <c r="J386" s="187">
        <v>16577.840044763176</v>
      </c>
      <c r="K386" s="187">
        <v>19575.896213914653</v>
      </c>
      <c r="L386" s="187">
        <v>13429.513413140154</v>
      </c>
      <c r="M386" s="187">
        <v>14335.184729771934</v>
      </c>
      <c r="N386" s="187">
        <v>13942.91005735102</v>
      </c>
      <c r="O386" s="187">
        <v>11053.549159914946</v>
      </c>
      <c r="P386" s="187">
        <v>11740.952906922264</v>
      </c>
      <c r="Q386" s="188">
        <v>11247.292764922648</v>
      </c>
    </row>
    <row r="387" spans="2:17" x14ac:dyDescent="0.25">
      <c r="B387" s="189" t="s">
        <v>1566</v>
      </c>
      <c r="C387" s="190">
        <f>D364</f>
        <v>7955.0720760000031</v>
      </c>
      <c r="D387" s="191">
        <v>7959.5328000000009</v>
      </c>
      <c r="E387" s="191">
        <v>7914.9654599999994</v>
      </c>
      <c r="F387" s="191">
        <v>7082.0402999999997</v>
      </c>
      <c r="G387" s="191">
        <v>6073.7355980000002</v>
      </c>
      <c r="H387" s="191">
        <v>8507.560386000001</v>
      </c>
      <c r="I387" s="191">
        <v>7566.5200000000013</v>
      </c>
      <c r="J387" s="191">
        <v>8040.4911280000015</v>
      </c>
      <c r="K387" s="191">
        <v>9662.5390000000007</v>
      </c>
      <c r="L387" s="191">
        <v>8075</v>
      </c>
      <c r="M387" s="191">
        <v>7216.3859999999968</v>
      </c>
      <c r="N387" s="191">
        <v>7005.4249999999984</v>
      </c>
      <c r="O387" s="191">
        <v>6101.1751111000003</v>
      </c>
      <c r="P387" s="191">
        <v>5898</v>
      </c>
      <c r="Q387" s="192">
        <v>6130.8620000000001</v>
      </c>
    </row>
    <row r="388" spans="2:17" x14ac:dyDescent="0.25">
      <c r="B388" s="193" t="s">
        <v>1567</v>
      </c>
      <c r="C388" s="194"/>
      <c r="D388" s="195"/>
      <c r="E388" s="195"/>
      <c r="F388" s="195"/>
      <c r="G388" s="195"/>
      <c r="H388" s="195"/>
      <c r="I388" s="195">
        <v>51.440000000000005</v>
      </c>
      <c r="J388" s="195">
        <v>389.33699999999999</v>
      </c>
      <c r="K388" s="195">
        <v>219.596</v>
      </c>
      <c r="L388" s="195">
        <v>240</v>
      </c>
      <c r="M388" s="195">
        <v>247.72200000000001</v>
      </c>
      <c r="N388" s="195">
        <v>78.578000000000003</v>
      </c>
      <c r="O388" s="196" t="s">
        <v>1264</v>
      </c>
      <c r="P388" s="196" t="s">
        <v>1264</v>
      </c>
      <c r="Q388" s="197" t="s">
        <v>1264</v>
      </c>
    </row>
    <row r="389" spans="2:17" ht="15.75" thickBot="1" x14ac:dyDescent="0.3">
      <c r="B389" s="198" t="s">
        <v>1568</v>
      </c>
      <c r="C389" s="199">
        <f>C364</f>
        <v>24700.288413000006</v>
      </c>
      <c r="D389" s="200">
        <v>23863.639200000005</v>
      </c>
      <c r="E389" s="200">
        <v>23896.762700000003</v>
      </c>
      <c r="F389" s="200">
        <v>21102.379997100004</v>
      </c>
      <c r="G389" s="200">
        <v>20862.733559999993</v>
      </c>
      <c r="H389" s="200">
        <v>23177.497676000003</v>
      </c>
      <c r="I389" s="200">
        <v>22270.219999999998</v>
      </c>
      <c r="J389" s="200">
        <v>22388.977575000004</v>
      </c>
      <c r="K389" s="200">
        <v>27479.490704715845</v>
      </c>
      <c r="L389" s="200">
        <v>23410</v>
      </c>
      <c r="M389" s="200">
        <v>22460.394000000008</v>
      </c>
      <c r="N389" s="200">
        <v>20953.924999999992</v>
      </c>
      <c r="O389" s="200">
        <v>18569.572000000004</v>
      </c>
      <c r="P389" s="200">
        <v>19186</v>
      </c>
      <c r="Q389" s="201">
        <v>17525</v>
      </c>
    </row>
  </sheetData>
  <mergeCells count="1">
    <mergeCell ref="A1:B1"/>
  </mergeCell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J414"/>
  <sheetViews>
    <sheetView workbookViewId="0">
      <selection activeCell="A35" sqref="A35"/>
    </sheetView>
  </sheetViews>
  <sheetFormatPr defaultColWidth="9.140625" defaultRowHeight="15" customHeight="1" x14ac:dyDescent="0.25"/>
  <cols>
    <col min="1" max="1" width="36.140625" style="137" bestFit="1" customWidth="1"/>
    <col min="2" max="2" width="48" style="137" bestFit="1" customWidth="1"/>
    <col min="3" max="16384" width="9.140625" style="137"/>
  </cols>
  <sheetData>
    <row r="1" spans="1:10" s="202" customFormat="1" ht="105.75" thickBot="1" x14ac:dyDescent="0.3">
      <c r="A1" s="132" t="s">
        <v>151</v>
      </c>
      <c r="B1" s="132" t="s">
        <v>2</v>
      </c>
      <c r="C1" s="132" t="s">
        <v>152</v>
      </c>
      <c r="D1" s="132" t="s">
        <v>851</v>
      </c>
      <c r="E1" s="132" t="s">
        <v>852</v>
      </c>
      <c r="F1" s="132" t="s">
        <v>853</v>
      </c>
      <c r="G1" s="132" t="s">
        <v>854</v>
      </c>
      <c r="H1" s="132" t="s">
        <v>855</v>
      </c>
      <c r="I1" s="132" t="s">
        <v>856</v>
      </c>
      <c r="J1" s="132" t="s">
        <v>857</v>
      </c>
    </row>
    <row r="2" spans="1:10" ht="15" customHeight="1" x14ac:dyDescent="0.25">
      <c r="A2" s="137" t="s">
        <v>15</v>
      </c>
      <c r="B2" s="137" t="s">
        <v>16</v>
      </c>
      <c r="C2" s="137">
        <v>2018</v>
      </c>
      <c r="D2" s="137" t="s">
        <v>193</v>
      </c>
      <c r="E2" s="137" t="s">
        <v>53</v>
      </c>
      <c r="F2" s="137" t="s">
        <v>193</v>
      </c>
      <c r="G2" s="137" t="s">
        <v>53</v>
      </c>
      <c r="H2" s="137" t="s">
        <v>193</v>
      </c>
      <c r="I2" s="137" t="s">
        <v>53</v>
      </c>
      <c r="J2" s="137" t="s">
        <v>193</v>
      </c>
    </row>
    <row r="3" spans="1:10" ht="15" customHeight="1" x14ac:dyDescent="0.25">
      <c r="A3" s="137" t="s">
        <v>15</v>
      </c>
      <c r="B3" s="137" t="s">
        <v>18</v>
      </c>
      <c r="C3" s="137">
        <v>2018</v>
      </c>
      <c r="D3" s="137" t="s">
        <v>193</v>
      </c>
      <c r="E3" s="137" t="s">
        <v>53</v>
      </c>
      <c r="F3" s="137" t="s">
        <v>193</v>
      </c>
      <c r="G3" s="137" t="s">
        <v>53</v>
      </c>
      <c r="H3" s="137" t="s">
        <v>193</v>
      </c>
      <c r="I3" s="137" t="s">
        <v>53</v>
      </c>
      <c r="J3" s="137" t="s">
        <v>193</v>
      </c>
    </row>
    <row r="4" spans="1:10" ht="15" customHeight="1" x14ac:dyDescent="0.25">
      <c r="A4" s="137" t="s">
        <v>15</v>
      </c>
      <c r="B4" s="137" t="s">
        <v>20</v>
      </c>
      <c r="C4" s="137">
        <v>2018</v>
      </c>
      <c r="D4" s="137">
        <v>1.8</v>
      </c>
      <c r="E4" s="137" t="s">
        <v>858</v>
      </c>
      <c r="F4" s="137">
        <v>1.8</v>
      </c>
      <c r="G4" s="137" t="s">
        <v>53</v>
      </c>
      <c r="H4" s="137" t="s">
        <v>193</v>
      </c>
      <c r="I4" s="137" t="s">
        <v>53</v>
      </c>
      <c r="J4" s="137" t="s">
        <v>193</v>
      </c>
    </row>
    <row r="5" spans="1:10" ht="15" customHeight="1" x14ac:dyDescent="0.25">
      <c r="A5" s="137" t="s">
        <v>15</v>
      </c>
      <c r="B5" s="137" t="s">
        <v>22</v>
      </c>
      <c r="C5" s="137">
        <v>2018</v>
      </c>
      <c r="D5" s="137" t="s">
        <v>193</v>
      </c>
      <c r="E5" s="137" t="s">
        <v>53</v>
      </c>
      <c r="F5" s="137" t="s">
        <v>193</v>
      </c>
      <c r="G5" s="137" t="s">
        <v>53</v>
      </c>
      <c r="H5" s="137" t="s">
        <v>193</v>
      </c>
      <c r="I5" s="137" t="s">
        <v>53</v>
      </c>
      <c r="J5" s="137" t="s">
        <v>193</v>
      </c>
    </row>
    <row r="6" spans="1:10" ht="15" customHeight="1" x14ac:dyDescent="0.25">
      <c r="A6" s="137" t="s">
        <v>15</v>
      </c>
      <c r="B6" s="137" t="s">
        <v>24</v>
      </c>
      <c r="C6" s="137">
        <v>2018</v>
      </c>
      <c r="D6" s="137" t="s">
        <v>193</v>
      </c>
      <c r="E6" s="137" t="s">
        <v>53</v>
      </c>
      <c r="F6" s="137" t="s">
        <v>193</v>
      </c>
      <c r="G6" s="137" t="s">
        <v>53</v>
      </c>
      <c r="H6" s="137" t="s">
        <v>193</v>
      </c>
      <c r="I6" s="137" t="s">
        <v>53</v>
      </c>
      <c r="J6" s="137" t="s">
        <v>193</v>
      </c>
    </row>
    <row r="7" spans="1:10" ht="15" customHeight="1" x14ac:dyDescent="0.25">
      <c r="A7" s="137" t="s">
        <v>15</v>
      </c>
      <c r="B7" s="137" t="s">
        <v>26</v>
      </c>
      <c r="C7" s="137">
        <v>2018</v>
      </c>
      <c r="D7" s="137" t="s">
        <v>193</v>
      </c>
      <c r="E7" s="137" t="s">
        <v>53</v>
      </c>
      <c r="F7" s="137" t="s">
        <v>193</v>
      </c>
      <c r="G7" s="137" t="s">
        <v>53</v>
      </c>
      <c r="H7" s="137" t="s">
        <v>193</v>
      </c>
      <c r="I7" s="137" t="s">
        <v>53</v>
      </c>
      <c r="J7" s="137" t="s">
        <v>193</v>
      </c>
    </row>
    <row r="8" spans="1:10" ht="15" customHeight="1" x14ac:dyDescent="0.25">
      <c r="A8" s="137" t="s">
        <v>15</v>
      </c>
      <c r="B8" s="137" t="s">
        <v>28</v>
      </c>
      <c r="C8" s="137">
        <v>2018</v>
      </c>
      <c r="D8" s="137">
        <v>72.900000000000006</v>
      </c>
      <c r="E8" s="137" t="s">
        <v>859</v>
      </c>
      <c r="F8" s="137">
        <v>72.900000000000006</v>
      </c>
      <c r="G8" s="137" t="s">
        <v>53</v>
      </c>
      <c r="H8" s="137" t="s">
        <v>193</v>
      </c>
      <c r="I8" s="137" t="s">
        <v>53</v>
      </c>
      <c r="J8" s="137" t="s">
        <v>193</v>
      </c>
    </row>
    <row r="9" spans="1:10" ht="15" customHeight="1" x14ac:dyDescent="0.25">
      <c r="A9" s="137" t="s">
        <v>15</v>
      </c>
      <c r="B9" s="137" t="s">
        <v>30</v>
      </c>
      <c r="C9" s="137">
        <v>2018</v>
      </c>
      <c r="D9" s="137" t="s">
        <v>193</v>
      </c>
      <c r="E9" s="137" t="s">
        <v>53</v>
      </c>
      <c r="F9" s="137" t="s">
        <v>193</v>
      </c>
      <c r="G9" s="137" t="s">
        <v>53</v>
      </c>
      <c r="H9" s="137" t="s">
        <v>193</v>
      </c>
      <c r="I9" s="137" t="s">
        <v>53</v>
      </c>
      <c r="J9" s="137" t="s">
        <v>193</v>
      </c>
    </row>
    <row r="10" spans="1:10" ht="15" customHeight="1" x14ac:dyDescent="0.25">
      <c r="A10" s="137" t="s">
        <v>15</v>
      </c>
      <c r="B10" s="137" t="s">
        <v>32</v>
      </c>
      <c r="C10" s="137">
        <v>2018</v>
      </c>
      <c r="D10" s="137">
        <v>13.49</v>
      </c>
      <c r="E10" s="137" t="s">
        <v>860</v>
      </c>
      <c r="F10" s="137">
        <v>3.56</v>
      </c>
      <c r="G10" s="137" t="s">
        <v>861</v>
      </c>
      <c r="H10" s="137">
        <v>9.93</v>
      </c>
      <c r="I10" s="137" t="s">
        <v>193</v>
      </c>
      <c r="J10" s="137" t="s">
        <v>193</v>
      </c>
    </row>
    <row r="11" spans="1:10" ht="15" customHeight="1" x14ac:dyDescent="0.25">
      <c r="A11" s="137" t="s">
        <v>200</v>
      </c>
      <c r="B11" s="137" t="s">
        <v>201</v>
      </c>
      <c r="C11" s="137">
        <v>2018</v>
      </c>
      <c r="D11" s="137" t="s">
        <v>193</v>
      </c>
      <c r="E11" s="137" t="s">
        <v>53</v>
      </c>
      <c r="F11" s="137" t="s">
        <v>53</v>
      </c>
      <c r="G11" s="137" t="s">
        <v>53</v>
      </c>
      <c r="H11" s="137" t="s">
        <v>53</v>
      </c>
      <c r="I11" s="137" t="s">
        <v>53</v>
      </c>
      <c r="J11" s="137" t="s">
        <v>53</v>
      </c>
    </row>
    <row r="12" spans="1:10" ht="15" customHeight="1" x14ac:dyDescent="0.25">
      <c r="A12" s="137" t="s">
        <v>200</v>
      </c>
      <c r="B12" s="137" t="s">
        <v>202</v>
      </c>
      <c r="C12" s="137">
        <v>2018</v>
      </c>
      <c r="D12" s="137" t="s">
        <v>193</v>
      </c>
      <c r="E12" s="137" t="s">
        <v>53</v>
      </c>
      <c r="F12" s="137" t="s">
        <v>53</v>
      </c>
      <c r="G12" s="137" t="s">
        <v>53</v>
      </c>
      <c r="H12" s="137" t="s">
        <v>53</v>
      </c>
      <c r="I12" s="137" t="s">
        <v>53</v>
      </c>
      <c r="J12" s="137" t="s">
        <v>53</v>
      </c>
    </row>
    <row r="13" spans="1:10" ht="15" customHeight="1" x14ac:dyDescent="0.25">
      <c r="A13" s="137" t="s">
        <v>200</v>
      </c>
      <c r="B13" s="137" t="s">
        <v>203</v>
      </c>
      <c r="C13" s="137">
        <v>2018</v>
      </c>
      <c r="D13" s="137" t="s">
        <v>193</v>
      </c>
      <c r="E13" s="137" t="s">
        <v>53</v>
      </c>
      <c r="F13" s="137" t="s">
        <v>53</v>
      </c>
      <c r="G13" s="137" t="s">
        <v>53</v>
      </c>
      <c r="H13" s="137" t="s">
        <v>53</v>
      </c>
      <c r="I13" s="137" t="s">
        <v>53</v>
      </c>
      <c r="J13" s="137" t="s">
        <v>53</v>
      </c>
    </row>
    <row r="14" spans="1:10" ht="15" customHeight="1" x14ac:dyDescent="0.25">
      <c r="A14" s="137" t="s">
        <v>200</v>
      </c>
      <c r="B14" s="137" t="s">
        <v>204</v>
      </c>
      <c r="C14" s="137">
        <v>2018</v>
      </c>
      <c r="D14" s="137" t="s">
        <v>193</v>
      </c>
      <c r="E14" s="137" t="s">
        <v>53</v>
      </c>
      <c r="F14" s="137" t="s">
        <v>53</v>
      </c>
      <c r="G14" s="137" t="s">
        <v>53</v>
      </c>
      <c r="H14" s="137" t="s">
        <v>53</v>
      </c>
      <c r="I14" s="137" t="s">
        <v>53</v>
      </c>
      <c r="J14" s="137" t="s">
        <v>53</v>
      </c>
    </row>
    <row r="15" spans="1:10" ht="15" customHeight="1" x14ac:dyDescent="0.25">
      <c r="A15" s="137" t="s">
        <v>200</v>
      </c>
      <c r="B15" s="137" t="s">
        <v>205</v>
      </c>
      <c r="C15" s="137">
        <v>2018</v>
      </c>
      <c r="D15" s="137" t="s">
        <v>193</v>
      </c>
      <c r="E15" s="137" t="s">
        <v>53</v>
      </c>
      <c r="F15" s="137" t="s">
        <v>53</v>
      </c>
      <c r="G15" s="137" t="s">
        <v>53</v>
      </c>
      <c r="H15" s="137" t="s">
        <v>53</v>
      </c>
      <c r="I15" s="137" t="s">
        <v>53</v>
      </c>
      <c r="J15" s="137" t="s">
        <v>53</v>
      </c>
    </row>
    <row r="16" spans="1:10" ht="15" customHeight="1" x14ac:dyDescent="0.25">
      <c r="A16" s="137" t="s">
        <v>200</v>
      </c>
      <c r="B16" s="137" t="s">
        <v>206</v>
      </c>
      <c r="C16" s="137">
        <v>2018</v>
      </c>
      <c r="D16" s="137" t="s">
        <v>193</v>
      </c>
      <c r="E16" s="137" t="s">
        <v>53</v>
      </c>
      <c r="F16" s="137" t="s">
        <v>193</v>
      </c>
      <c r="G16" s="137" t="s">
        <v>53</v>
      </c>
      <c r="H16" s="137" t="s">
        <v>193</v>
      </c>
      <c r="I16" s="137" t="s">
        <v>53</v>
      </c>
      <c r="J16" s="137" t="s">
        <v>193</v>
      </c>
    </row>
    <row r="17" spans="1:10" ht="15" customHeight="1" x14ac:dyDescent="0.25">
      <c r="A17" s="137" t="s">
        <v>200</v>
      </c>
      <c r="B17" s="137" t="s">
        <v>207</v>
      </c>
      <c r="C17" s="137">
        <v>2018</v>
      </c>
      <c r="D17" s="137" t="s">
        <v>193</v>
      </c>
      <c r="E17" s="137" t="s">
        <v>53</v>
      </c>
      <c r="F17" s="137" t="s">
        <v>53</v>
      </c>
      <c r="G17" s="137" t="s">
        <v>53</v>
      </c>
      <c r="H17" s="137" t="s">
        <v>53</v>
      </c>
      <c r="I17" s="137" t="s">
        <v>53</v>
      </c>
      <c r="J17" s="137" t="s">
        <v>53</v>
      </c>
    </row>
    <row r="18" spans="1:10" ht="15" customHeight="1" x14ac:dyDescent="0.25">
      <c r="A18" s="137" t="s">
        <v>200</v>
      </c>
      <c r="B18" s="137" t="s">
        <v>208</v>
      </c>
      <c r="C18" s="137">
        <v>2018</v>
      </c>
      <c r="D18" s="137" t="s">
        <v>193</v>
      </c>
      <c r="E18" s="137" t="s">
        <v>53</v>
      </c>
      <c r="F18" s="137" t="s">
        <v>53</v>
      </c>
      <c r="G18" s="137" t="s">
        <v>53</v>
      </c>
      <c r="H18" s="137" t="s">
        <v>53</v>
      </c>
      <c r="I18" s="137" t="s">
        <v>53</v>
      </c>
      <c r="J18" s="137" t="s">
        <v>53</v>
      </c>
    </row>
    <row r="19" spans="1:10" ht="15" customHeight="1" x14ac:dyDescent="0.25">
      <c r="A19" s="137" t="s">
        <v>200</v>
      </c>
      <c r="B19" s="137" t="s">
        <v>209</v>
      </c>
      <c r="C19" s="137">
        <v>2018</v>
      </c>
      <c r="D19" s="137" t="s">
        <v>193</v>
      </c>
      <c r="E19" s="137" t="s">
        <v>53</v>
      </c>
      <c r="F19" s="137" t="s">
        <v>53</v>
      </c>
      <c r="G19" s="137" t="s">
        <v>53</v>
      </c>
      <c r="H19" s="137" t="s">
        <v>53</v>
      </c>
      <c r="I19" s="137" t="s">
        <v>53</v>
      </c>
      <c r="J19" s="137" t="s">
        <v>53</v>
      </c>
    </row>
    <row r="20" spans="1:10" ht="15" customHeight="1" x14ac:dyDescent="0.25">
      <c r="A20" s="137" t="s">
        <v>200</v>
      </c>
      <c r="B20" s="137" t="s">
        <v>210</v>
      </c>
      <c r="C20" s="137">
        <v>2018</v>
      </c>
      <c r="D20" s="137" t="s">
        <v>193</v>
      </c>
      <c r="E20" s="137" t="s">
        <v>53</v>
      </c>
      <c r="F20" s="137" t="s">
        <v>193</v>
      </c>
      <c r="G20" s="137" t="s">
        <v>53</v>
      </c>
      <c r="H20" s="137" t="s">
        <v>193</v>
      </c>
      <c r="I20" s="137" t="s">
        <v>53</v>
      </c>
      <c r="J20" s="137" t="s">
        <v>193</v>
      </c>
    </row>
    <row r="21" spans="1:10" ht="15" customHeight="1" x14ac:dyDescent="0.25">
      <c r="A21" s="137" t="s">
        <v>211</v>
      </c>
      <c r="B21" s="137" t="s">
        <v>212</v>
      </c>
      <c r="C21" s="137">
        <v>2018</v>
      </c>
      <c r="D21" s="137" t="s">
        <v>193</v>
      </c>
      <c r="E21" s="137" t="s">
        <v>53</v>
      </c>
      <c r="F21" s="137" t="s">
        <v>193</v>
      </c>
      <c r="G21" s="137" t="s">
        <v>53</v>
      </c>
      <c r="H21" s="137" t="s">
        <v>193</v>
      </c>
      <c r="I21" s="137" t="s">
        <v>53</v>
      </c>
      <c r="J21" s="137" t="s">
        <v>193</v>
      </c>
    </row>
    <row r="22" spans="1:10" ht="15" customHeight="1" x14ac:dyDescent="0.25">
      <c r="A22" s="137" t="s">
        <v>211</v>
      </c>
      <c r="B22" s="137" t="s">
        <v>213</v>
      </c>
      <c r="C22" s="137">
        <v>2018</v>
      </c>
      <c r="D22" s="137" t="s">
        <v>193</v>
      </c>
      <c r="E22" s="137" t="s">
        <v>53</v>
      </c>
      <c r="F22" s="137" t="s">
        <v>193</v>
      </c>
      <c r="G22" s="137" t="s">
        <v>53</v>
      </c>
      <c r="H22" s="137" t="s">
        <v>193</v>
      </c>
      <c r="I22" s="137" t="s">
        <v>53</v>
      </c>
      <c r="J22" s="137" t="s">
        <v>193</v>
      </c>
    </row>
    <row r="23" spans="1:10" ht="15" customHeight="1" x14ac:dyDescent="0.25">
      <c r="A23" s="137" t="s">
        <v>211</v>
      </c>
      <c r="B23" s="137" t="s">
        <v>214</v>
      </c>
      <c r="C23" s="137">
        <v>2018</v>
      </c>
      <c r="D23" s="137" t="s">
        <v>193</v>
      </c>
      <c r="E23" s="137" t="s">
        <v>53</v>
      </c>
      <c r="F23" s="137" t="s">
        <v>193</v>
      </c>
      <c r="G23" s="137" t="s">
        <v>53</v>
      </c>
      <c r="H23" s="137" t="s">
        <v>193</v>
      </c>
      <c r="I23" s="137" t="s">
        <v>53</v>
      </c>
      <c r="J23" s="137" t="s">
        <v>193</v>
      </c>
    </row>
    <row r="24" spans="1:10" ht="15" customHeight="1" x14ac:dyDescent="0.25">
      <c r="A24" s="137" t="s">
        <v>211</v>
      </c>
      <c r="B24" s="137" t="s">
        <v>215</v>
      </c>
      <c r="C24" s="137">
        <v>2018</v>
      </c>
      <c r="D24" s="137" t="s">
        <v>193</v>
      </c>
      <c r="E24" s="137" t="s">
        <v>53</v>
      </c>
      <c r="F24" s="137" t="s">
        <v>193</v>
      </c>
      <c r="G24" s="137" t="s">
        <v>53</v>
      </c>
      <c r="H24" s="137" t="s">
        <v>193</v>
      </c>
      <c r="I24" s="137" t="s">
        <v>53</v>
      </c>
      <c r="J24" s="137" t="s">
        <v>193</v>
      </c>
    </row>
    <row r="25" spans="1:10" ht="15" customHeight="1" x14ac:dyDescent="0.25">
      <c r="A25" s="137" t="s">
        <v>211</v>
      </c>
      <c r="B25" s="137" t="s">
        <v>216</v>
      </c>
      <c r="C25" s="137">
        <v>2018</v>
      </c>
      <c r="D25" s="137" t="s">
        <v>193</v>
      </c>
      <c r="E25" s="137" t="s">
        <v>53</v>
      </c>
      <c r="F25" s="137" t="s">
        <v>193</v>
      </c>
      <c r="G25" s="137" t="s">
        <v>53</v>
      </c>
      <c r="H25" s="137" t="s">
        <v>193</v>
      </c>
      <c r="I25" s="137" t="s">
        <v>53</v>
      </c>
      <c r="J25" s="137" t="s">
        <v>193</v>
      </c>
    </row>
    <row r="26" spans="1:10" ht="15" customHeight="1" x14ac:dyDescent="0.25">
      <c r="A26" s="137" t="s">
        <v>217</v>
      </c>
      <c r="B26" s="137" t="s">
        <v>218</v>
      </c>
      <c r="C26" s="137">
        <v>2018</v>
      </c>
      <c r="D26" s="137" t="s">
        <v>193</v>
      </c>
      <c r="E26" s="137" t="s">
        <v>53</v>
      </c>
      <c r="F26" s="137" t="s">
        <v>193</v>
      </c>
      <c r="G26" s="137" t="s">
        <v>53</v>
      </c>
      <c r="H26" s="137" t="s">
        <v>193</v>
      </c>
      <c r="I26" s="137" t="s">
        <v>53</v>
      </c>
      <c r="J26" s="137" t="s">
        <v>193</v>
      </c>
    </row>
    <row r="27" spans="1:10" ht="15" customHeight="1" x14ac:dyDescent="0.25">
      <c r="A27" s="137" t="s">
        <v>220</v>
      </c>
      <c r="B27" s="137" t="s">
        <v>221</v>
      </c>
      <c r="C27" s="137">
        <v>2018</v>
      </c>
      <c r="D27" s="137" t="s">
        <v>193</v>
      </c>
      <c r="E27" s="137" t="s">
        <v>770</v>
      </c>
      <c r="F27" s="137" t="s">
        <v>193</v>
      </c>
      <c r="G27" s="137" t="s">
        <v>53</v>
      </c>
      <c r="H27" s="137" t="s">
        <v>193</v>
      </c>
      <c r="I27" s="137" t="s">
        <v>53</v>
      </c>
      <c r="J27" s="137" t="s">
        <v>193</v>
      </c>
    </row>
    <row r="28" spans="1:10" ht="15" customHeight="1" x14ac:dyDescent="0.25">
      <c r="A28" s="137" t="s">
        <v>220</v>
      </c>
      <c r="B28" s="137" t="s">
        <v>222</v>
      </c>
      <c r="C28" s="137">
        <v>2018</v>
      </c>
      <c r="D28" s="137" t="s">
        <v>193</v>
      </c>
      <c r="E28" s="137" t="s">
        <v>53</v>
      </c>
      <c r="F28" s="137" t="s">
        <v>193</v>
      </c>
      <c r="G28" s="137" t="s">
        <v>53</v>
      </c>
      <c r="H28" s="137" t="s">
        <v>193</v>
      </c>
      <c r="I28" s="137" t="s">
        <v>53</v>
      </c>
      <c r="J28" s="137" t="s">
        <v>193</v>
      </c>
    </row>
    <row r="29" spans="1:10" ht="15" customHeight="1" x14ac:dyDescent="0.25">
      <c r="A29" s="137" t="s">
        <v>220</v>
      </c>
      <c r="B29" s="137" t="s">
        <v>223</v>
      </c>
      <c r="C29" s="137">
        <v>2018</v>
      </c>
      <c r="D29" s="137" t="s">
        <v>193</v>
      </c>
      <c r="E29" s="137" t="s">
        <v>53</v>
      </c>
      <c r="F29" s="137" t="s">
        <v>193</v>
      </c>
      <c r="G29" s="137" t="s">
        <v>53</v>
      </c>
      <c r="H29" s="137" t="s">
        <v>193</v>
      </c>
      <c r="I29" s="137" t="s">
        <v>53</v>
      </c>
      <c r="J29" s="137" t="s">
        <v>193</v>
      </c>
    </row>
    <row r="30" spans="1:10" ht="15" customHeight="1" x14ac:dyDescent="0.25">
      <c r="A30" s="137" t="s">
        <v>224</v>
      </c>
      <c r="B30" s="137" t="s">
        <v>225</v>
      </c>
      <c r="C30" s="137">
        <v>2018</v>
      </c>
      <c r="D30" s="137" t="s">
        <v>193</v>
      </c>
      <c r="E30" s="137" t="s">
        <v>53</v>
      </c>
      <c r="F30" s="137" t="s">
        <v>193</v>
      </c>
      <c r="G30" s="137" t="s">
        <v>53</v>
      </c>
      <c r="H30" s="137" t="s">
        <v>193</v>
      </c>
      <c r="I30" s="137" t="s">
        <v>53</v>
      </c>
      <c r="J30" s="137" t="s">
        <v>193</v>
      </c>
    </row>
    <row r="31" spans="1:10" ht="15" customHeight="1" x14ac:dyDescent="0.25">
      <c r="A31" s="137" t="s">
        <v>36</v>
      </c>
      <c r="B31" s="141" t="s">
        <v>37</v>
      </c>
      <c r="C31" s="137">
        <v>2018</v>
      </c>
      <c r="D31" s="137" t="s">
        <v>53</v>
      </c>
      <c r="E31" s="137" t="s">
        <v>53</v>
      </c>
      <c r="F31" s="137" t="s">
        <v>53</v>
      </c>
      <c r="G31" s="137" t="s">
        <v>53</v>
      </c>
      <c r="H31" s="137" t="s">
        <v>53</v>
      </c>
      <c r="I31" s="137" t="s">
        <v>53</v>
      </c>
      <c r="J31" s="137" t="s">
        <v>53</v>
      </c>
    </row>
    <row r="32" spans="1:10" ht="15" customHeight="1" x14ac:dyDescent="0.25">
      <c r="A32" s="137" t="s">
        <v>226</v>
      </c>
      <c r="B32" s="137" t="s">
        <v>227</v>
      </c>
      <c r="C32" s="137">
        <v>2018</v>
      </c>
      <c r="D32" s="137">
        <v>9.1999999999999993</v>
      </c>
      <c r="E32" s="137" t="s">
        <v>862</v>
      </c>
      <c r="F32" s="137">
        <v>7.5</v>
      </c>
      <c r="G32" s="137" t="s">
        <v>863</v>
      </c>
      <c r="H32" s="137">
        <v>0.5</v>
      </c>
      <c r="I32" s="137" t="s">
        <v>864</v>
      </c>
      <c r="J32" s="137">
        <v>1.2</v>
      </c>
    </row>
    <row r="33" spans="1:10" ht="15" customHeight="1" x14ac:dyDescent="0.25">
      <c r="A33" s="137" t="s">
        <v>228</v>
      </c>
      <c r="B33" s="137" t="s">
        <v>229</v>
      </c>
      <c r="C33" s="137">
        <v>2018</v>
      </c>
      <c r="D33" s="137">
        <v>6.2</v>
      </c>
      <c r="E33" s="137" t="s">
        <v>865</v>
      </c>
      <c r="F33" s="137">
        <v>6.2</v>
      </c>
      <c r="G33" s="137" t="s">
        <v>53</v>
      </c>
      <c r="H33" s="137" t="s">
        <v>193</v>
      </c>
      <c r="I33" s="137" t="s">
        <v>53</v>
      </c>
      <c r="J33" s="137" t="s">
        <v>193</v>
      </c>
    </row>
    <row r="34" spans="1:10" ht="15" customHeight="1" x14ac:dyDescent="0.25">
      <c r="A34" s="137" t="s">
        <v>230</v>
      </c>
      <c r="B34" s="137" t="s">
        <v>66</v>
      </c>
      <c r="C34" s="137">
        <v>2018</v>
      </c>
      <c r="D34" s="137" t="s">
        <v>193</v>
      </c>
      <c r="E34" s="137" t="s">
        <v>53</v>
      </c>
      <c r="F34" s="137" t="s">
        <v>193</v>
      </c>
      <c r="G34" s="137" t="s">
        <v>53</v>
      </c>
      <c r="H34" s="137" t="s">
        <v>193</v>
      </c>
      <c r="I34" s="137" t="s">
        <v>53</v>
      </c>
      <c r="J34" s="137" t="s">
        <v>193</v>
      </c>
    </row>
    <row r="35" spans="1:10" ht="15" customHeight="1" x14ac:dyDescent="0.25">
      <c r="A35" s="137" t="s">
        <v>231</v>
      </c>
      <c r="B35" s="137" t="s">
        <v>232</v>
      </c>
      <c r="C35" s="137">
        <v>2018</v>
      </c>
      <c r="D35" s="137" t="s">
        <v>193</v>
      </c>
      <c r="E35" s="137" t="s">
        <v>53</v>
      </c>
      <c r="F35" s="137" t="s">
        <v>193</v>
      </c>
      <c r="G35" s="137" t="s">
        <v>53</v>
      </c>
      <c r="H35" s="137" t="s">
        <v>193</v>
      </c>
      <c r="I35" s="137" t="s">
        <v>53</v>
      </c>
      <c r="J35" s="137" t="s">
        <v>193</v>
      </c>
    </row>
    <row r="36" spans="1:10" ht="15" customHeight="1" x14ac:dyDescent="0.25">
      <c r="A36" s="137" t="s">
        <v>231</v>
      </c>
      <c r="B36" s="137" t="s">
        <v>233</v>
      </c>
      <c r="C36" s="137">
        <v>2018</v>
      </c>
      <c r="D36" s="137" t="s">
        <v>193</v>
      </c>
      <c r="E36" s="137" t="s">
        <v>53</v>
      </c>
      <c r="F36" s="137" t="s">
        <v>193</v>
      </c>
      <c r="G36" s="137" t="s">
        <v>53</v>
      </c>
      <c r="H36" s="137" t="s">
        <v>193</v>
      </c>
      <c r="I36" s="137" t="s">
        <v>53</v>
      </c>
      <c r="J36" s="137" t="s">
        <v>193</v>
      </c>
    </row>
    <row r="37" spans="1:10" ht="15" customHeight="1" x14ac:dyDescent="0.25">
      <c r="A37" s="137" t="s">
        <v>231</v>
      </c>
      <c r="B37" s="137" t="s">
        <v>234</v>
      </c>
      <c r="C37" s="137">
        <v>2018</v>
      </c>
      <c r="D37" s="137" t="s">
        <v>193</v>
      </c>
      <c r="E37" s="137" t="s">
        <v>53</v>
      </c>
      <c r="F37" s="137" t="s">
        <v>193</v>
      </c>
      <c r="G37" s="137" t="s">
        <v>53</v>
      </c>
      <c r="H37" s="137" t="s">
        <v>193</v>
      </c>
      <c r="I37" s="137" t="s">
        <v>53</v>
      </c>
      <c r="J37" s="137" t="s">
        <v>193</v>
      </c>
    </row>
    <row r="38" spans="1:10" ht="15" customHeight="1" x14ac:dyDescent="0.25">
      <c r="A38" s="137" t="s">
        <v>235</v>
      </c>
      <c r="B38" s="137" t="s">
        <v>236</v>
      </c>
      <c r="C38" s="137">
        <v>2018</v>
      </c>
      <c r="D38" s="137" t="s">
        <v>193</v>
      </c>
      <c r="E38" s="137" t="s">
        <v>53</v>
      </c>
      <c r="F38" s="137" t="s">
        <v>193</v>
      </c>
      <c r="G38" s="137" t="s">
        <v>53</v>
      </c>
      <c r="H38" s="137" t="s">
        <v>193</v>
      </c>
      <c r="I38" s="137" t="s">
        <v>53</v>
      </c>
      <c r="J38" s="137" t="s">
        <v>193</v>
      </c>
    </row>
    <row r="39" spans="1:10" ht="15" customHeight="1" x14ac:dyDescent="0.25">
      <c r="A39" s="137" t="s">
        <v>235</v>
      </c>
      <c r="B39" s="137" t="s">
        <v>237</v>
      </c>
      <c r="C39" s="137">
        <v>2018</v>
      </c>
      <c r="D39" s="137" t="s">
        <v>193</v>
      </c>
      <c r="E39" s="137" t="s">
        <v>53</v>
      </c>
      <c r="F39" s="137" t="s">
        <v>193</v>
      </c>
      <c r="G39" s="137" t="s">
        <v>53</v>
      </c>
      <c r="H39" s="137" t="s">
        <v>193</v>
      </c>
      <c r="I39" s="137" t="s">
        <v>53</v>
      </c>
      <c r="J39" s="137" t="s">
        <v>193</v>
      </c>
    </row>
    <row r="40" spans="1:10" ht="15" customHeight="1" x14ac:dyDescent="0.25">
      <c r="A40" s="137" t="s">
        <v>238</v>
      </c>
      <c r="B40" s="137" t="s">
        <v>239</v>
      </c>
      <c r="C40" s="137">
        <v>2018</v>
      </c>
      <c r="D40" s="137">
        <v>91.956000000000003</v>
      </c>
      <c r="E40" s="137" t="s">
        <v>773</v>
      </c>
      <c r="F40" s="137">
        <v>76.884</v>
      </c>
      <c r="G40" s="137" t="s">
        <v>866</v>
      </c>
      <c r="H40" s="137">
        <v>15.071999999999999</v>
      </c>
      <c r="I40" s="137" t="s">
        <v>193</v>
      </c>
      <c r="J40" s="137" t="s">
        <v>193</v>
      </c>
    </row>
    <row r="41" spans="1:10" ht="15" customHeight="1" x14ac:dyDescent="0.25">
      <c r="A41" s="137" t="s">
        <v>238</v>
      </c>
      <c r="B41" s="137" t="s">
        <v>241</v>
      </c>
      <c r="C41" s="137">
        <v>2018</v>
      </c>
      <c r="D41" s="137" t="s">
        <v>193</v>
      </c>
      <c r="E41" s="137" t="s">
        <v>53</v>
      </c>
      <c r="F41" s="137" t="s">
        <v>193</v>
      </c>
      <c r="G41" s="137" t="s">
        <v>53</v>
      </c>
      <c r="H41" s="137" t="s">
        <v>193</v>
      </c>
      <c r="I41" s="137" t="s">
        <v>53</v>
      </c>
      <c r="J41" s="137" t="s">
        <v>193</v>
      </c>
    </row>
    <row r="42" spans="1:10" ht="15" customHeight="1" x14ac:dyDescent="0.25">
      <c r="A42" s="137" t="s">
        <v>238</v>
      </c>
      <c r="B42" s="137" t="s">
        <v>242</v>
      </c>
      <c r="C42" s="137">
        <v>2018</v>
      </c>
      <c r="D42" s="137" t="s">
        <v>193</v>
      </c>
      <c r="E42" s="137" t="s">
        <v>53</v>
      </c>
      <c r="F42" s="137" t="s">
        <v>193</v>
      </c>
      <c r="G42" s="137" t="s">
        <v>53</v>
      </c>
      <c r="H42" s="137" t="s">
        <v>193</v>
      </c>
      <c r="I42" s="137" t="s">
        <v>53</v>
      </c>
      <c r="J42" s="137" t="s">
        <v>193</v>
      </c>
    </row>
    <row r="43" spans="1:10" ht="15" customHeight="1" x14ac:dyDescent="0.25">
      <c r="A43" s="137" t="s">
        <v>243</v>
      </c>
      <c r="B43" s="137" t="s">
        <v>244</v>
      </c>
      <c r="C43" s="137">
        <v>2018</v>
      </c>
      <c r="D43" s="137" t="s">
        <v>193</v>
      </c>
      <c r="E43" s="137" t="s">
        <v>53</v>
      </c>
      <c r="F43" s="137" t="s">
        <v>193</v>
      </c>
      <c r="G43" s="137" t="s">
        <v>53</v>
      </c>
      <c r="H43" s="137" t="s">
        <v>193</v>
      </c>
      <c r="I43" s="137" t="s">
        <v>53</v>
      </c>
      <c r="J43" s="137" t="s">
        <v>193</v>
      </c>
    </row>
    <row r="44" spans="1:10" ht="15" customHeight="1" x14ac:dyDescent="0.25">
      <c r="A44" s="137" t="s">
        <v>243</v>
      </c>
      <c r="B44" s="137" t="s">
        <v>245</v>
      </c>
      <c r="C44" s="137">
        <v>2018</v>
      </c>
      <c r="D44" s="137" t="s">
        <v>193</v>
      </c>
      <c r="E44" s="137" t="s">
        <v>53</v>
      </c>
      <c r="F44" s="137" t="s">
        <v>193</v>
      </c>
      <c r="G44" s="137" t="s">
        <v>53</v>
      </c>
      <c r="H44" s="137" t="s">
        <v>193</v>
      </c>
      <c r="I44" s="137" t="s">
        <v>53</v>
      </c>
      <c r="J44" s="137" t="s">
        <v>193</v>
      </c>
    </row>
    <row r="45" spans="1:10" ht="15" customHeight="1" x14ac:dyDescent="0.25">
      <c r="A45" s="137" t="s">
        <v>246</v>
      </c>
      <c r="B45" s="137" t="s">
        <v>247</v>
      </c>
      <c r="C45" s="137">
        <v>2018</v>
      </c>
      <c r="D45" s="137" t="s">
        <v>53</v>
      </c>
      <c r="E45" s="137" t="s">
        <v>53</v>
      </c>
      <c r="F45" s="137" t="s">
        <v>53</v>
      </c>
      <c r="G45" s="137" t="s">
        <v>53</v>
      </c>
      <c r="H45" s="137" t="s">
        <v>53</v>
      </c>
      <c r="I45" s="137" t="s">
        <v>53</v>
      </c>
      <c r="J45" s="137" t="s">
        <v>53</v>
      </c>
    </row>
    <row r="46" spans="1:10" ht="15" customHeight="1" x14ac:dyDescent="0.25">
      <c r="A46" s="137" t="s">
        <v>248</v>
      </c>
      <c r="B46" s="137" t="s">
        <v>69</v>
      </c>
      <c r="C46" s="137">
        <v>2018</v>
      </c>
      <c r="D46" s="137" t="s">
        <v>53</v>
      </c>
      <c r="E46" s="137" t="s">
        <v>53</v>
      </c>
      <c r="F46" s="137" t="s">
        <v>53</v>
      </c>
      <c r="G46" s="137" t="s">
        <v>53</v>
      </c>
      <c r="H46" s="137" t="s">
        <v>53</v>
      </c>
      <c r="I46" s="137" t="s">
        <v>53</v>
      </c>
      <c r="J46" s="137" t="s">
        <v>53</v>
      </c>
    </row>
    <row r="47" spans="1:10" ht="15" customHeight="1" x14ac:dyDescent="0.25">
      <c r="A47" s="137" t="s">
        <v>249</v>
      </c>
      <c r="B47" s="137" t="s">
        <v>250</v>
      </c>
      <c r="C47" s="137">
        <v>2018</v>
      </c>
      <c r="D47" s="137" t="s">
        <v>193</v>
      </c>
      <c r="E47" s="137" t="s">
        <v>219</v>
      </c>
      <c r="F47" s="137" t="s">
        <v>193</v>
      </c>
      <c r="G47" s="137" t="s">
        <v>219</v>
      </c>
      <c r="H47" s="137" t="s">
        <v>193</v>
      </c>
      <c r="I47" s="137" t="s">
        <v>219</v>
      </c>
      <c r="J47" s="137" t="s">
        <v>193</v>
      </c>
    </row>
    <row r="48" spans="1:10" ht="15" customHeight="1" x14ac:dyDescent="0.25">
      <c r="A48" s="137" t="s">
        <v>249</v>
      </c>
      <c r="B48" s="137" t="s">
        <v>251</v>
      </c>
      <c r="C48" s="137">
        <v>2018</v>
      </c>
      <c r="D48" s="137">
        <v>0.60899999999999999</v>
      </c>
      <c r="E48" s="137" t="s">
        <v>867</v>
      </c>
      <c r="F48" s="137">
        <v>0.60899999999999999</v>
      </c>
      <c r="G48" s="137" t="s">
        <v>219</v>
      </c>
      <c r="H48" s="137" t="s">
        <v>193</v>
      </c>
      <c r="I48" s="137" t="s">
        <v>219</v>
      </c>
      <c r="J48" s="137" t="s">
        <v>193</v>
      </c>
    </row>
    <row r="49" spans="1:10" ht="15" customHeight="1" x14ac:dyDescent="0.25">
      <c r="A49" s="137" t="s">
        <v>253</v>
      </c>
      <c r="B49" s="137" t="s">
        <v>254</v>
      </c>
      <c r="C49" s="137">
        <v>2018</v>
      </c>
      <c r="D49" s="137" t="s">
        <v>193</v>
      </c>
      <c r="E49" s="137" t="s">
        <v>53</v>
      </c>
      <c r="F49" s="137" t="s">
        <v>193</v>
      </c>
      <c r="G49" s="137" t="s">
        <v>53</v>
      </c>
      <c r="H49" s="137" t="s">
        <v>193</v>
      </c>
      <c r="I49" s="137" t="s">
        <v>53</v>
      </c>
      <c r="J49" s="137" t="s">
        <v>193</v>
      </c>
    </row>
    <row r="50" spans="1:10" ht="15" customHeight="1" x14ac:dyDescent="0.25">
      <c r="A50" s="137" t="s">
        <v>253</v>
      </c>
      <c r="B50" s="137" t="s">
        <v>256</v>
      </c>
      <c r="C50" s="137">
        <v>2018</v>
      </c>
      <c r="D50" s="137" t="s">
        <v>193</v>
      </c>
      <c r="E50" s="137" t="s">
        <v>53</v>
      </c>
      <c r="F50" s="137" t="s">
        <v>193</v>
      </c>
      <c r="G50" s="137" t="s">
        <v>53</v>
      </c>
      <c r="H50" s="137" t="s">
        <v>193</v>
      </c>
      <c r="I50" s="137" t="s">
        <v>53</v>
      </c>
      <c r="J50" s="137" t="s">
        <v>193</v>
      </c>
    </row>
    <row r="51" spans="1:10" ht="15" customHeight="1" x14ac:dyDescent="0.25">
      <c r="A51" s="137" t="s">
        <v>258</v>
      </c>
      <c r="B51" s="137" t="s">
        <v>259</v>
      </c>
      <c r="C51" s="137">
        <v>2018</v>
      </c>
      <c r="D51" s="137" t="s">
        <v>193</v>
      </c>
      <c r="E51" s="137" t="s">
        <v>219</v>
      </c>
      <c r="F51" s="137" t="s">
        <v>193</v>
      </c>
      <c r="G51" s="137" t="s">
        <v>219</v>
      </c>
      <c r="H51" s="137" t="s">
        <v>193</v>
      </c>
      <c r="I51" s="137" t="s">
        <v>219</v>
      </c>
      <c r="J51" s="137" t="s">
        <v>193</v>
      </c>
    </row>
    <row r="52" spans="1:10" ht="15" customHeight="1" x14ac:dyDescent="0.25">
      <c r="A52" s="137" t="s">
        <v>258</v>
      </c>
      <c r="B52" s="137" t="s">
        <v>260</v>
      </c>
      <c r="C52" s="137">
        <v>2018</v>
      </c>
      <c r="D52" s="137" t="s">
        <v>53</v>
      </c>
      <c r="E52" s="137" t="s">
        <v>53</v>
      </c>
      <c r="F52" s="137" t="s">
        <v>53</v>
      </c>
      <c r="G52" s="137" t="s">
        <v>53</v>
      </c>
      <c r="H52" s="137" t="s">
        <v>53</v>
      </c>
      <c r="I52" s="137" t="s">
        <v>53</v>
      </c>
      <c r="J52" s="137" t="s">
        <v>53</v>
      </c>
    </row>
    <row r="53" spans="1:10" ht="15" customHeight="1" x14ac:dyDescent="0.25">
      <c r="A53" s="137" t="s">
        <v>258</v>
      </c>
      <c r="B53" s="137" t="s">
        <v>261</v>
      </c>
      <c r="C53" s="137">
        <v>2018</v>
      </c>
      <c r="D53" s="137" t="s">
        <v>193</v>
      </c>
      <c r="E53" s="137" t="s">
        <v>219</v>
      </c>
      <c r="F53" s="137" t="s">
        <v>193</v>
      </c>
      <c r="G53" s="137" t="s">
        <v>219</v>
      </c>
      <c r="H53" s="137" t="s">
        <v>193</v>
      </c>
      <c r="I53" s="137" t="s">
        <v>219</v>
      </c>
      <c r="J53" s="137" t="s">
        <v>193</v>
      </c>
    </row>
    <row r="54" spans="1:10" ht="15" customHeight="1" x14ac:dyDescent="0.25">
      <c r="A54" s="137" t="s">
        <v>258</v>
      </c>
      <c r="B54" s="137" t="s">
        <v>262</v>
      </c>
      <c r="C54" s="137">
        <v>2018</v>
      </c>
      <c r="D54" s="137" t="s">
        <v>193</v>
      </c>
      <c r="E54" s="137" t="s">
        <v>219</v>
      </c>
      <c r="F54" s="137" t="s">
        <v>193</v>
      </c>
      <c r="G54" s="137" t="s">
        <v>219</v>
      </c>
      <c r="H54" s="137" t="s">
        <v>193</v>
      </c>
      <c r="I54" s="137" t="s">
        <v>219</v>
      </c>
      <c r="J54" s="137" t="s">
        <v>193</v>
      </c>
    </row>
    <row r="55" spans="1:10" ht="15" customHeight="1" x14ac:dyDescent="0.25">
      <c r="A55" s="137" t="s">
        <v>263</v>
      </c>
      <c r="B55" s="137" t="s">
        <v>264</v>
      </c>
      <c r="C55" s="137">
        <v>2018</v>
      </c>
      <c r="D55" s="137" t="s">
        <v>193</v>
      </c>
      <c r="E55" s="137" t="s">
        <v>53</v>
      </c>
      <c r="F55" s="137" t="s">
        <v>193</v>
      </c>
      <c r="G55" s="137" t="s">
        <v>53</v>
      </c>
      <c r="H55" s="137" t="s">
        <v>193</v>
      </c>
      <c r="I55" s="137" t="s">
        <v>53</v>
      </c>
      <c r="J55" s="137" t="s">
        <v>193</v>
      </c>
    </row>
    <row r="56" spans="1:10" ht="15" customHeight="1" x14ac:dyDescent="0.25">
      <c r="A56" s="137" t="s">
        <v>263</v>
      </c>
      <c r="B56" s="137" t="s">
        <v>265</v>
      </c>
      <c r="C56" s="137">
        <v>2018</v>
      </c>
      <c r="D56" s="137">
        <v>8</v>
      </c>
      <c r="E56" s="137" t="s">
        <v>868</v>
      </c>
      <c r="F56" s="137">
        <v>8</v>
      </c>
      <c r="G56" s="137" t="s">
        <v>53</v>
      </c>
      <c r="H56" s="137" t="s">
        <v>193</v>
      </c>
      <c r="I56" s="137" t="s">
        <v>53</v>
      </c>
      <c r="J56" s="137" t="s">
        <v>193</v>
      </c>
    </row>
    <row r="57" spans="1:10" ht="15" customHeight="1" x14ac:dyDescent="0.25">
      <c r="A57" s="137" t="s">
        <v>263</v>
      </c>
      <c r="B57" s="137" t="s">
        <v>266</v>
      </c>
      <c r="C57" s="137">
        <v>2018</v>
      </c>
      <c r="D57" s="137" t="s">
        <v>193</v>
      </c>
      <c r="E57" s="137" t="s">
        <v>53</v>
      </c>
      <c r="F57" s="137" t="s">
        <v>193</v>
      </c>
      <c r="G57" s="137" t="s">
        <v>53</v>
      </c>
      <c r="H57" s="137" t="s">
        <v>193</v>
      </c>
      <c r="I57" s="137" t="s">
        <v>53</v>
      </c>
      <c r="J57" s="137" t="s">
        <v>193</v>
      </c>
    </row>
    <row r="58" spans="1:10" ht="15" customHeight="1" x14ac:dyDescent="0.25">
      <c r="A58" s="137" t="s">
        <v>263</v>
      </c>
      <c r="B58" s="137" t="s">
        <v>267</v>
      </c>
      <c r="C58" s="137">
        <v>2018</v>
      </c>
      <c r="D58" s="137">
        <v>71</v>
      </c>
      <c r="E58" s="137" t="s">
        <v>776</v>
      </c>
      <c r="F58" s="137">
        <v>71</v>
      </c>
      <c r="G58" s="137" t="s">
        <v>53</v>
      </c>
      <c r="H58" s="137" t="s">
        <v>193</v>
      </c>
      <c r="I58" s="137" t="s">
        <v>53</v>
      </c>
      <c r="J58" s="137" t="s">
        <v>193</v>
      </c>
    </row>
    <row r="59" spans="1:10" ht="15" customHeight="1" x14ac:dyDescent="0.25">
      <c r="A59" s="137" t="s">
        <v>263</v>
      </c>
      <c r="B59" s="137" t="s">
        <v>269</v>
      </c>
      <c r="C59" s="137">
        <v>2018</v>
      </c>
      <c r="D59" s="137" t="s">
        <v>193</v>
      </c>
      <c r="E59" s="137" t="s">
        <v>53</v>
      </c>
      <c r="F59" s="137" t="s">
        <v>193</v>
      </c>
      <c r="G59" s="137" t="s">
        <v>53</v>
      </c>
      <c r="H59" s="137" t="s">
        <v>193</v>
      </c>
      <c r="I59" s="137" t="s">
        <v>53</v>
      </c>
      <c r="J59" s="137" t="s">
        <v>193</v>
      </c>
    </row>
    <row r="60" spans="1:10" ht="15" customHeight="1" x14ac:dyDescent="0.25">
      <c r="A60" s="137" t="s">
        <v>263</v>
      </c>
      <c r="B60" s="137" t="s">
        <v>270</v>
      </c>
      <c r="C60" s="137">
        <v>2018</v>
      </c>
      <c r="D60" s="137" t="s">
        <v>193</v>
      </c>
      <c r="E60" s="137" t="s">
        <v>53</v>
      </c>
      <c r="F60" s="137" t="s">
        <v>193</v>
      </c>
      <c r="G60" s="137" t="s">
        <v>53</v>
      </c>
      <c r="H60" s="137" t="s">
        <v>193</v>
      </c>
      <c r="I60" s="137" t="s">
        <v>53</v>
      </c>
      <c r="J60" s="137" t="s">
        <v>193</v>
      </c>
    </row>
    <row r="61" spans="1:10" ht="15" customHeight="1" x14ac:dyDescent="0.25">
      <c r="A61" s="137" t="s">
        <v>263</v>
      </c>
      <c r="B61" s="137" t="s">
        <v>272</v>
      </c>
      <c r="C61" s="137">
        <v>2018</v>
      </c>
      <c r="D61" s="137">
        <v>155</v>
      </c>
      <c r="E61" s="137" t="s">
        <v>869</v>
      </c>
      <c r="F61" s="137">
        <v>155</v>
      </c>
      <c r="G61" s="137" t="s">
        <v>53</v>
      </c>
      <c r="H61" s="137" t="s">
        <v>193</v>
      </c>
      <c r="I61" s="137" t="s">
        <v>53</v>
      </c>
      <c r="J61" s="137" t="s">
        <v>193</v>
      </c>
    </row>
    <row r="62" spans="1:10" ht="15" customHeight="1" x14ac:dyDescent="0.25">
      <c r="A62" s="137" t="s">
        <v>263</v>
      </c>
      <c r="B62" s="137" t="s">
        <v>273</v>
      </c>
      <c r="C62" s="137">
        <v>2018</v>
      </c>
      <c r="D62" s="137" t="s">
        <v>193</v>
      </c>
      <c r="E62" s="137" t="s">
        <v>53</v>
      </c>
      <c r="F62" s="137" t="s">
        <v>193</v>
      </c>
      <c r="G62" s="137" t="s">
        <v>53</v>
      </c>
      <c r="H62" s="137" t="s">
        <v>193</v>
      </c>
      <c r="I62" s="137" t="s">
        <v>53</v>
      </c>
      <c r="J62" s="137" t="s">
        <v>193</v>
      </c>
    </row>
    <row r="63" spans="1:10" ht="15" customHeight="1" x14ac:dyDescent="0.25">
      <c r="A63" s="137" t="s">
        <v>263</v>
      </c>
      <c r="B63" s="137" t="s">
        <v>274</v>
      </c>
      <c r="C63" s="137">
        <v>2018</v>
      </c>
      <c r="D63" s="137" t="s">
        <v>193</v>
      </c>
      <c r="E63" s="137" t="s">
        <v>53</v>
      </c>
      <c r="F63" s="137" t="s">
        <v>193</v>
      </c>
      <c r="G63" s="137" t="s">
        <v>53</v>
      </c>
      <c r="H63" s="137" t="s">
        <v>193</v>
      </c>
      <c r="I63" s="137" t="s">
        <v>53</v>
      </c>
      <c r="J63" s="137" t="s">
        <v>193</v>
      </c>
    </row>
    <row r="64" spans="1:10" ht="15" customHeight="1" x14ac:dyDescent="0.25">
      <c r="A64" s="137" t="s">
        <v>263</v>
      </c>
      <c r="B64" s="137" t="s">
        <v>275</v>
      </c>
      <c r="C64" s="137">
        <v>2018</v>
      </c>
      <c r="D64" s="137" t="s">
        <v>193</v>
      </c>
      <c r="E64" s="137" t="s">
        <v>53</v>
      </c>
      <c r="F64" s="137" t="s">
        <v>193</v>
      </c>
      <c r="G64" s="137" t="s">
        <v>53</v>
      </c>
      <c r="H64" s="137" t="s">
        <v>193</v>
      </c>
      <c r="I64" s="137" t="s">
        <v>53</v>
      </c>
      <c r="J64" s="137" t="s">
        <v>193</v>
      </c>
    </row>
    <row r="65" spans="1:10" ht="15" customHeight="1" x14ac:dyDescent="0.25">
      <c r="A65" s="137" t="s">
        <v>263</v>
      </c>
      <c r="B65" s="137" t="s">
        <v>276</v>
      </c>
      <c r="C65" s="137">
        <v>2018</v>
      </c>
      <c r="D65" s="137" t="s">
        <v>193</v>
      </c>
      <c r="E65" s="137" t="s">
        <v>53</v>
      </c>
      <c r="F65" s="137" t="s">
        <v>193</v>
      </c>
      <c r="G65" s="137" t="s">
        <v>53</v>
      </c>
      <c r="H65" s="137" t="s">
        <v>193</v>
      </c>
      <c r="I65" s="137" t="s">
        <v>53</v>
      </c>
      <c r="J65" s="137" t="s">
        <v>193</v>
      </c>
    </row>
    <row r="66" spans="1:10" ht="15" customHeight="1" x14ac:dyDescent="0.25">
      <c r="A66" s="137" t="s">
        <v>277</v>
      </c>
      <c r="B66" s="137" t="s">
        <v>277</v>
      </c>
      <c r="C66" s="137">
        <v>2018</v>
      </c>
      <c r="D66" s="137" t="s">
        <v>53</v>
      </c>
      <c r="E66" s="137" t="s">
        <v>53</v>
      </c>
      <c r="F66" s="137" t="s">
        <v>53</v>
      </c>
      <c r="G66" s="137" t="s">
        <v>53</v>
      </c>
      <c r="H66" s="137" t="s">
        <v>53</v>
      </c>
      <c r="I66" s="137" t="s">
        <v>53</v>
      </c>
      <c r="J66" s="137" t="s">
        <v>53</v>
      </c>
    </row>
    <row r="67" spans="1:10" ht="15" customHeight="1" x14ac:dyDescent="0.25">
      <c r="A67" s="137" t="s">
        <v>277</v>
      </c>
      <c r="B67" s="137" t="s">
        <v>278</v>
      </c>
      <c r="C67" s="137">
        <v>2018</v>
      </c>
      <c r="D67" s="137" t="s">
        <v>53</v>
      </c>
      <c r="E67" s="137" t="s">
        <v>53</v>
      </c>
      <c r="F67" s="137" t="s">
        <v>53</v>
      </c>
      <c r="G67" s="137" t="s">
        <v>53</v>
      </c>
      <c r="H67" s="137" t="s">
        <v>53</v>
      </c>
      <c r="I67" s="137" t="s">
        <v>53</v>
      </c>
      <c r="J67" s="137" t="s">
        <v>53</v>
      </c>
    </row>
    <row r="68" spans="1:10" ht="15" customHeight="1" x14ac:dyDescent="0.25">
      <c r="A68" s="137" t="s">
        <v>279</v>
      </c>
      <c r="B68" s="137" t="s">
        <v>280</v>
      </c>
      <c r="C68" s="137">
        <v>2018</v>
      </c>
      <c r="D68" s="137" t="s">
        <v>193</v>
      </c>
      <c r="E68" s="137" t="s">
        <v>53</v>
      </c>
      <c r="F68" s="137" t="s">
        <v>193</v>
      </c>
      <c r="G68" s="137" t="s">
        <v>53</v>
      </c>
      <c r="H68" s="137" t="s">
        <v>193</v>
      </c>
      <c r="I68" s="137" t="s">
        <v>53</v>
      </c>
      <c r="J68" s="137" t="s">
        <v>193</v>
      </c>
    </row>
    <row r="69" spans="1:10" ht="15" customHeight="1" x14ac:dyDescent="0.25">
      <c r="A69" s="137" t="s">
        <v>279</v>
      </c>
      <c r="B69" s="137" t="s">
        <v>281</v>
      </c>
      <c r="C69" s="137">
        <v>2018</v>
      </c>
      <c r="D69" s="137" t="s">
        <v>193</v>
      </c>
      <c r="E69" s="137" t="s">
        <v>53</v>
      </c>
      <c r="F69" s="137" t="s">
        <v>193</v>
      </c>
      <c r="G69" s="137" t="s">
        <v>53</v>
      </c>
      <c r="H69" s="137" t="s">
        <v>193</v>
      </c>
      <c r="I69" s="137" t="s">
        <v>53</v>
      </c>
      <c r="J69" s="137" t="s">
        <v>193</v>
      </c>
    </row>
    <row r="70" spans="1:10" ht="15" customHeight="1" x14ac:dyDescent="0.25">
      <c r="A70" s="137" t="s">
        <v>279</v>
      </c>
      <c r="B70" s="137" t="s">
        <v>282</v>
      </c>
      <c r="C70" s="137">
        <v>2018</v>
      </c>
      <c r="D70" s="137" t="s">
        <v>193</v>
      </c>
      <c r="E70" s="137" t="s">
        <v>53</v>
      </c>
      <c r="F70" s="137" t="s">
        <v>193</v>
      </c>
      <c r="G70" s="137" t="s">
        <v>53</v>
      </c>
      <c r="H70" s="137" t="s">
        <v>193</v>
      </c>
      <c r="I70" s="137" t="s">
        <v>53</v>
      </c>
      <c r="J70" s="137" t="s">
        <v>193</v>
      </c>
    </row>
    <row r="71" spans="1:10" ht="15" customHeight="1" x14ac:dyDescent="0.25">
      <c r="A71" s="137" t="s">
        <v>47</v>
      </c>
      <c r="B71" s="141" t="s">
        <v>48</v>
      </c>
      <c r="C71" s="137">
        <v>2018</v>
      </c>
      <c r="D71" s="137" t="s">
        <v>53</v>
      </c>
      <c r="E71" s="137" t="s">
        <v>53</v>
      </c>
      <c r="F71" s="137" t="s">
        <v>53</v>
      </c>
      <c r="G71" s="137" t="s">
        <v>53</v>
      </c>
      <c r="H71" s="137" t="s">
        <v>53</v>
      </c>
      <c r="I71" s="137" t="s">
        <v>53</v>
      </c>
      <c r="J71" s="137" t="s">
        <v>53</v>
      </c>
    </row>
    <row r="72" spans="1:10" ht="15" customHeight="1" x14ac:dyDescent="0.25">
      <c r="A72" s="137" t="s">
        <v>283</v>
      </c>
      <c r="B72" s="137" t="s">
        <v>284</v>
      </c>
      <c r="C72" s="137">
        <v>2018</v>
      </c>
      <c r="D72" s="137" t="s">
        <v>193</v>
      </c>
      <c r="E72" s="137" t="s">
        <v>53</v>
      </c>
      <c r="F72" s="137" t="s">
        <v>193</v>
      </c>
      <c r="G72" s="137" t="s">
        <v>53</v>
      </c>
      <c r="H72" s="137" t="s">
        <v>193</v>
      </c>
      <c r="I72" s="137" t="s">
        <v>53</v>
      </c>
      <c r="J72" s="137" t="s">
        <v>193</v>
      </c>
    </row>
    <row r="73" spans="1:10" ht="15" customHeight="1" x14ac:dyDescent="0.25">
      <c r="A73" s="137" t="s">
        <v>285</v>
      </c>
      <c r="B73" s="137" t="s">
        <v>286</v>
      </c>
      <c r="C73" s="137">
        <v>2018</v>
      </c>
      <c r="D73" s="137" t="s">
        <v>193</v>
      </c>
      <c r="E73" s="137" t="s">
        <v>219</v>
      </c>
      <c r="F73" s="137" t="s">
        <v>193</v>
      </c>
      <c r="G73" s="137" t="s">
        <v>219</v>
      </c>
      <c r="H73" s="137" t="s">
        <v>193</v>
      </c>
      <c r="I73" s="137" t="s">
        <v>219</v>
      </c>
      <c r="J73" s="137" t="s">
        <v>193</v>
      </c>
    </row>
    <row r="74" spans="1:10" ht="15" customHeight="1" x14ac:dyDescent="0.25">
      <c r="A74" s="137" t="s">
        <v>289</v>
      </c>
      <c r="B74" s="137" t="s">
        <v>290</v>
      </c>
      <c r="C74" s="137">
        <v>2018</v>
      </c>
      <c r="D74" s="137" t="s">
        <v>193</v>
      </c>
      <c r="E74" s="137" t="s">
        <v>53</v>
      </c>
      <c r="F74" s="137" t="s">
        <v>193</v>
      </c>
      <c r="G74" s="137" t="s">
        <v>53</v>
      </c>
      <c r="H74" s="137" t="s">
        <v>193</v>
      </c>
      <c r="I74" s="137" t="s">
        <v>53</v>
      </c>
      <c r="J74" s="137" t="s">
        <v>193</v>
      </c>
    </row>
    <row r="75" spans="1:10" ht="15" customHeight="1" x14ac:dyDescent="0.25">
      <c r="A75" s="137" t="s">
        <v>289</v>
      </c>
      <c r="B75" s="137" t="s">
        <v>291</v>
      </c>
      <c r="C75" s="137">
        <v>2018</v>
      </c>
      <c r="D75" s="137" t="s">
        <v>193</v>
      </c>
      <c r="E75" s="137" t="s">
        <v>53</v>
      </c>
      <c r="F75" s="137" t="s">
        <v>193</v>
      </c>
      <c r="G75" s="137" t="s">
        <v>53</v>
      </c>
      <c r="H75" s="137" t="s">
        <v>193</v>
      </c>
      <c r="I75" s="137" t="s">
        <v>53</v>
      </c>
      <c r="J75" s="137" t="s">
        <v>193</v>
      </c>
    </row>
    <row r="76" spans="1:10" ht="15" customHeight="1" x14ac:dyDescent="0.25">
      <c r="A76" s="137" t="s">
        <v>289</v>
      </c>
      <c r="B76" s="137" t="s">
        <v>292</v>
      </c>
      <c r="C76" s="137">
        <v>2018</v>
      </c>
      <c r="D76" s="137" t="s">
        <v>193</v>
      </c>
      <c r="E76" s="137" t="s">
        <v>53</v>
      </c>
      <c r="F76" s="137" t="s">
        <v>193</v>
      </c>
      <c r="G76" s="137" t="s">
        <v>53</v>
      </c>
      <c r="H76" s="137" t="s">
        <v>193</v>
      </c>
      <c r="I76" s="137" t="s">
        <v>53</v>
      </c>
      <c r="J76" s="137" t="s">
        <v>193</v>
      </c>
    </row>
    <row r="77" spans="1:10" ht="15" customHeight="1" x14ac:dyDescent="0.25">
      <c r="A77" s="137" t="s">
        <v>293</v>
      </c>
      <c r="B77" s="137" t="s">
        <v>294</v>
      </c>
      <c r="C77" s="137">
        <v>2018</v>
      </c>
      <c r="D77" s="137" t="s">
        <v>193</v>
      </c>
      <c r="E77" s="137" t="s">
        <v>193</v>
      </c>
      <c r="F77" s="137" t="s">
        <v>193</v>
      </c>
      <c r="G77" s="137" t="s">
        <v>193</v>
      </c>
      <c r="H77" s="137" t="s">
        <v>193</v>
      </c>
      <c r="I77" s="137" t="s">
        <v>193</v>
      </c>
      <c r="J77" s="137" t="s">
        <v>193</v>
      </c>
    </row>
    <row r="78" spans="1:10" ht="15" customHeight="1" x14ac:dyDescent="0.25">
      <c r="A78" s="137" t="s">
        <v>293</v>
      </c>
      <c r="B78" s="137" t="s">
        <v>295</v>
      </c>
      <c r="C78" s="137">
        <v>2018</v>
      </c>
      <c r="D78" s="137" t="s">
        <v>193</v>
      </c>
      <c r="E78" s="137" t="s">
        <v>53</v>
      </c>
      <c r="F78" s="137" t="s">
        <v>193</v>
      </c>
      <c r="G78" s="137" t="s">
        <v>53</v>
      </c>
      <c r="H78" s="137" t="s">
        <v>193</v>
      </c>
      <c r="I78" s="137" t="s">
        <v>53</v>
      </c>
      <c r="J78" s="137" t="s">
        <v>193</v>
      </c>
    </row>
    <row r="79" spans="1:10" ht="15" customHeight="1" x14ac:dyDescent="0.25">
      <c r="A79" s="137" t="s">
        <v>293</v>
      </c>
      <c r="B79" s="137" t="s">
        <v>296</v>
      </c>
      <c r="C79" s="137">
        <v>2018</v>
      </c>
      <c r="D79" s="137" t="s">
        <v>193</v>
      </c>
      <c r="E79" s="137" t="s">
        <v>53</v>
      </c>
      <c r="F79" s="137" t="s">
        <v>193</v>
      </c>
      <c r="G79" s="137" t="s">
        <v>53</v>
      </c>
      <c r="H79" s="137" t="s">
        <v>193</v>
      </c>
      <c r="I79" s="137" t="s">
        <v>53</v>
      </c>
      <c r="J79" s="137" t="s">
        <v>193</v>
      </c>
    </row>
    <row r="80" spans="1:10" ht="15" customHeight="1" x14ac:dyDescent="0.25">
      <c r="A80" s="137" t="s">
        <v>297</v>
      </c>
      <c r="B80" s="137" t="s">
        <v>298</v>
      </c>
      <c r="C80" s="137">
        <v>2018</v>
      </c>
      <c r="D80" s="137" t="s">
        <v>193</v>
      </c>
      <c r="E80" s="137" t="s">
        <v>53</v>
      </c>
      <c r="F80" s="137" t="s">
        <v>193</v>
      </c>
      <c r="G80" s="137" t="s">
        <v>53</v>
      </c>
      <c r="H80" s="137" t="s">
        <v>193</v>
      </c>
      <c r="I80" s="137" t="s">
        <v>53</v>
      </c>
      <c r="J80" s="137" t="s">
        <v>193</v>
      </c>
    </row>
    <row r="81" spans="1:10" ht="15" customHeight="1" x14ac:dyDescent="0.25">
      <c r="A81" s="137" t="s">
        <v>297</v>
      </c>
      <c r="B81" s="137" t="s">
        <v>299</v>
      </c>
      <c r="C81" s="137">
        <v>2018</v>
      </c>
      <c r="D81" s="137" t="s">
        <v>193</v>
      </c>
      <c r="E81" s="137" t="s">
        <v>53</v>
      </c>
      <c r="F81" s="137" t="s">
        <v>193</v>
      </c>
      <c r="G81" s="137" t="s">
        <v>53</v>
      </c>
      <c r="H81" s="137" t="s">
        <v>193</v>
      </c>
      <c r="I81" s="137" t="s">
        <v>53</v>
      </c>
      <c r="J81" s="137" t="s">
        <v>193</v>
      </c>
    </row>
    <row r="82" spans="1:10" ht="15" customHeight="1" x14ac:dyDescent="0.25">
      <c r="A82" s="137" t="s">
        <v>297</v>
      </c>
      <c r="B82" s="137" t="s">
        <v>300</v>
      </c>
      <c r="C82" s="137">
        <v>2018</v>
      </c>
      <c r="D82" s="137" t="s">
        <v>193</v>
      </c>
      <c r="E82" s="137" t="s">
        <v>53</v>
      </c>
      <c r="F82" s="137" t="s">
        <v>193</v>
      </c>
      <c r="G82" s="137" t="s">
        <v>53</v>
      </c>
      <c r="H82" s="137" t="s">
        <v>193</v>
      </c>
      <c r="I82" s="137" t="s">
        <v>53</v>
      </c>
      <c r="J82" s="137" t="s">
        <v>193</v>
      </c>
    </row>
    <row r="83" spans="1:10" ht="15" customHeight="1" x14ac:dyDescent="0.25">
      <c r="A83" s="137" t="s">
        <v>301</v>
      </c>
      <c r="B83" s="137" t="s">
        <v>302</v>
      </c>
      <c r="C83" s="137">
        <v>2018</v>
      </c>
      <c r="D83" s="137" t="s">
        <v>193</v>
      </c>
      <c r="E83" s="137" t="s">
        <v>53</v>
      </c>
      <c r="F83" s="137" t="s">
        <v>193</v>
      </c>
      <c r="G83" s="137" t="s">
        <v>53</v>
      </c>
      <c r="H83" s="137" t="s">
        <v>193</v>
      </c>
      <c r="I83" s="137" t="s">
        <v>53</v>
      </c>
      <c r="J83" s="137" t="s">
        <v>193</v>
      </c>
    </row>
    <row r="84" spans="1:10" ht="15" customHeight="1" x14ac:dyDescent="0.25">
      <c r="A84" s="137" t="s">
        <v>301</v>
      </c>
      <c r="B84" s="137" t="s">
        <v>303</v>
      </c>
      <c r="C84" s="137">
        <v>2018</v>
      </c>
      <c r="D84" s="137">
        <v>0.124</v>
      </c>
      <c r="E84" s="137" t="s">
        <v>870</v>
      </c>
      <c r="F84" s="137">
        <v>0.124</v>
      </c>
      <c r="G84" s="137" t="s">
        <v>53</v>
      </c>
      <c r="H84" s="137" t="s">
        <v>193</v>
      </c>
      <c r="I84" s="137" t="s">
        <v>53</v>
      </c>
      <c r="J84" s="137" t="s">
        <v>193</v>
      </c>
    </row>
    <row r="85" spans="1:10" ht="15" customHeight="1" x14ac:dyDescent="0.25">
      <c r="A85" s="137" t="s">
        <v>301</v>
      </c>
      <c r="B85" s="137" t="s">
        <v>305</v>
      </c>
      <c r="C85" s="137">
        <v>2018</v>
      </c>
      <c r="D85" s="137" t="s">
        <v>193</v>
      </c>
      <c r="E85" s="137" t="s">
        <v>53</v>
      </c>
      <c r="F85" s="137" t="s">
        <v>193</v>
      </c>
      <c r="G85" s="137" t="s">
        <v>53</v>
      </c>
      <c r="H85" s="137" t="s">
        <v>193</v>
      </c>
      <c r="I85" s="137" t="s">
        <v>53</v>
      </c>
      <c r="J85" s="137" t="s">
        <v>193</v>
      </c>
    </row>
    <row r="86" spans="1:10" ht="15" customHeight="1" x14ac:dyDescent="0.25">
      <c r="A86" s="137" t="s">
        <v>301</v>
      </c>
      <c r="B86" s="137" t="s">
        <v>306</v>
      </c>
      <c r="C86" s="137">
        <v>2018</v>
      </c>
      <c r="D86" s="137" t="s">
        <v>193</v>
      </c>
      <c r="E86" s="137" t="s">
        <v>53</v>
      </c>
      <c r="F86" s="137" t="s">
        <v>193</v>
      </c>
      <c r="G86" s="137" t="s">
        <v>53</v>
      </c>
      <c r="H86" s="137" t="s">
        <v>193</v>
      </c>
      <c r="I86" s="137" t="s">
        <v>53</v>
      </c>
      <c r="J86" s="137" t="s">
        <v>193</v>
      </c>
    </row>
    <row r="87" spans="1:10" ht="15" customHeight="1" x14ac:dyDescent="0.25">
      <c r="A87" s="137" t="s">
        <v>307</v>
      </c>
      <c r="B87" s="137" t="s">
        <v>308</v>
      </c>
      <c r="C87" s="137">
        <v>2018</v>
      </c>
      <c r="D87" s="137">
        <v>15.4</v>
      </c>
      <c r="E87" s="137" t="s">
        <v>866</v>
      </c>
      <c r="F87" s="137">
        <v>15.4</v>
      </c>
      <c r="G87" s="137" t="s">
        <v>535</v>
      </c>
      <c r="H87" s="137" t="s">
        <v>193</v>
      </c>
      <c r="I87" s="137" t="s">
        <v>535</v>
      </c>
      <c r="J87" s="137" t="s">
        <v>193</v>
      </c>
    </row>
    <row r="88" spans="1:10" ht="15" customHeight="1" x14ac:dyDescent="0.25">
      <c r="A88" s="137" t="s">
        <v>309</v>
      </c>
      <c r="B88" s="137" t="s">
        <v>310</v>
      </c>
      <c r="C88" s="137">
        <v>2018</v>
      </c>
      <c r="D88" s="137">
        <v>0.90300000000000002</v>
      </c>
      <c r="E88" s="137" t="s">
        <v>871</v>
      </c>
      <c r="F88" s="137">
        <v>0.90300000000000002</v>
      </c>
      <c r="G88" s="137" t="s">
        <v>53</v>
      </c>
      <c r="H88" s="137" t="s">
        <v>193</v>
      </c>
      <c r="I88" s="137" t="s">
        <v>53</v>
      </c>
      <c r="J88" s="137" t="s">
        <v>193</v>
      </c>
    </row>
    <row r="89" spans="1:10" ht="15" customHeight="1" x14ac:dyDescent="0.25">
      <c r="A89" s="137" t="s">
        <v>309</v>
      </c>
      <c r="B89" s="137" t="s">
        <v>311</v>
      </c>
      <c r="C89" s="137">
        <v>2018</v>
      </c>
      <c r="D89" s="137" t="s">
        <v>193</v>
      </c>
      <c r="E89" s="137" t="s">
        <v>53</v>
      </c>
      <c r="F89" s="137" t="s">
        <v>193</v>
      </c>
      <c r="G89" s="137" t="s">
        <v>53</v>
      </c>
      <c r="H89" s="137" t="s">
        <v>193</v>
      </c>
      <c r="I89" s="137" t="s">
        <v>53</v>
      </c>
      <c r="J89" s="137" t="s">
        <v>193</v>
      </c>
    </row>
    <row r="90" spans="1:10" ht="15" customHeight="1" x14ac:dyDescent="0.25">
      <c r="A90" s="137" t="s">
        <v>309</v>
      </c>
      <c r="B90" s="137" t="s">
        <v>313</v>
      </c>
      <c r="C90" s="137">
        <v>2018</v>
      </c>
      <c r="D90" s="137" t="s">
        <v>193</v>
      </c>
      <c r="E90" s="137" t="s">
        <v>53</v>
      </c>
      <c r="F90" s="137" t="s">
        <v>193</v>
      </c>
      <c r="G90" s="137" t="s">
        <v>53</v>
      </c>
      <c r="H90" s="137" t="s">
        <v>193</v>
      </c>
      <c r="I90" s="137" t="s">
        <v>53</v>
      </c>
      <c r="J90" s="137" t="s">
        <v>193</v>
      </c>
    </row>
    <row r="91" spans="1:10" ht="15" customHeight="1" x14ac:dyDescent="0.25">
      <c r="A91" s="137" t="s">
        <v>315</v>
      </c>
      <c r="B91" s="137" t="s">
        <v>316</v>
      </c>
      <c r="C91" s="137">
        <v>2018</v>
      </c>
      <c r="D91" s="137" t="s">
        <v>193</v>
      </c>
      <c r="E91" s="137" t="s">
        <v>219</v>
      </c>
      <c r="F91" s="137" t="s">
        <v>193</v>
      </c>
      <c r="G91" s="137" t="s">
        <v>219</v>
      </c>
      <c r="H91" s="137" t="s">
        <v>193</v>
      </c>
      <c r="I91" s="137" t="s">
        <v>219</v>
      </c>
      <c r="J91" s="137" t="s">
        <v>193</v>
      </c>
    </row>
    <row r="92" spans="1:10" ht="15" customHeight="1" x14ac:dyDescent="0.25">
      <c r="A92" s="137" t="s">
        <v>315</v>
      </c>
      <c r="B92" s="137" t="s">
        <v>317</v>
      </c>
      <c r="C92" s="137">
        <v>2018</v>
      </c>
      <c r="D92" s="137" t="s">
        <v>193</v>
      </c>
      <c r="E92" s="137" t="s">
        <v>53</v>
      </c>
      <c r="F92" s="137" t="s">
        <v>193</v>
      </c>
      <c r="G92" s="137" t="s">
        <v>53</v>
      </c>
      <c r="H92" s="137" t="s">
        <v>193</v>
      </c>
      <c r="I92" s="137" t="s">
        <v>53</v>
      </c>
      <c r="J92" s="137" t="s">
        <v>193</v>
      </c>
    </row>
    <row r="93" spans="1:10" ht="15" customHeight="1" x14ac:dyDescent="0.25">
      <c r="A93" s="137" t="s">
        <v>315</v>
      </c>
      <c r="B93" s="137" t="s">
        <v>318</v>
      </c>
      <c r="C93" s="137">
        <v>2018</v>
      </c>
      <c r="D93" s="137">
        <v>14.407999999999999</v>
      </c>
      <c r="E93" s="137" t="s">
        <v>872</v>
      </c>
      <c r="F93" s="137">
        <v>14.407999999999999</v>
      </c>
      <c r="G93" s="137" t="s">
        <v>53</v>
      </c>
      <c r="H93" s="137" t="s">
        <v>193</v>
      </c>
      <c r="I93" s="137" t="s">
        <v>53</v>
      </c>
      <c r="J93" s="137" t="s">
        <v>193</v>
      </c>
    </row>
    <row r="94" spans="1:10" ht="15" customHeight="1" x14ac:dyDescent="0.25">
      <c r="A94" s="137" t="s">
        <v>315</v>
      </c>
      <c r="B94" s="137" t="s">
        <v>319</v>
      </c>
      <c r="C94" s="137">
        <v>2018</v>
      </c>
      <c r="D94" s="137" t="s">
        <v>193</v>
      </c>
      <c r="E94" s="137" t="s">
        <v>53</v>
      </c>
      <c r="F94" s="137" t="s">
        <v>193</v>
      </c>
      <c r="G94" s="137" t="s">
        <v>53</v>
      </c>
      <c r="H94" s="137" t="s">
        <v>193</v>
      </c>
      <c r="I94" s="137" t="s">
        <v>53</v>
      </c>
      <c r="J94" s="137" t="s">
        <v>193</v>
      </c>
    </row>
    <row r="95" spans="1:10" ht="15" customHeight="1" x14ac:dyDescent="0.25">
      <c r="A95" s="137" t="s">
        <v>320</v>
      </c>
      <c r="B95" s="137" t="s">
        <v>321</v>
      </c>
      <c r="C95" s="137">
        <v>2018</v>
      </c>
      <c r="D95" s="137" t="s">
        <v>193</v>
      </c>
      <c r="E95" s="137" t="s">
        <v>219</v>
      </c>
      <c r="F95" s="137" t="s">
        <v>193</v>
      </c>
      <c r="G95" s="137" t="s">
        <v>219</v>
      </c>
      <c r="H95" s="137" t="s">
        <v>193</v>
      </c>
      <c r="I95" s="137" t="s">
        <v>219</v>
      </c>
      <c r="J95" s="137" t="s">
        <v>193</v>
      </c>
    </row>
    <row r="96" spans="1:10" ht="15" customHeight="1" x14ac:dyDescent="0.25">
      <c r="A96" s="137" t="s">
        <v>322</v>
      </c>
      <c r="B96" s="137" t="s">
        <v>323</v>
      </c>
      <c r="C96" s="137">
        <v>2018</v>
      </c>
      <c r="D96" s="137">
        <v>375.12</v>
      </c>
      <c r="E96" s="137" t="s">
        <v>782</v>
      </c>
      <c r="F96" s="137">
        <v>274.76299999999998</v>
      </c>
      <c r="G96" s="137" t="s">
        <v>781</v>
      </c>
      <c r="H96" s="137">
        <v>100.357</v>
      </c>
      <c r="I96" s="137" t="s">
        <v>193</v>
      </c>
      <c r="J96" s="137" t="s">
        <v>193</v>
      </c>
    </row>
    <row r="97" spans="1:10" ht="15" customHeight="1" x14ac:dyDescent="0.25">
      <c r="A97" s="137" t="s">
        <v>324</v>
      </c>
      <c r="B97" s="137" t="s">
        <v>325</v>
      </c>
      <c r="C97" s="137">
        <v>2018</v>
      </c>
      <c r="D97" s="137" t="s">
        <v>193</v>
      </c>
      <c r="E97" s="137" t="s">
        <v>219</v>
      </c>
      <c r="F97" s="137" t="s">
        <v>193</v>
      </c>
      <c r="G97" s="137" t="s">
        <v>219</v>
      </c>
      <c r="H97" s="137" t="s">
        <v>193</v>
      </c>
      <c r="I97" s="137" t="s">
        <v>219</v>
      </c>
      <c r="J97" s="137" t="s">
        <v>193</v>
      </c>
    </row>
    <row r="98" spans="1:10" ht="15" customHeight="1" x14ac:dyDescent="0.25">
      <c r="A98" s="137" t="s">
        <v>324</v>
      </c>
      <c r="B98" s="137" t="s">
        <v>326</v>
      </c>
      <c r="C98" s="137">
        <v>2018</v>
      </c>
      <c r="D98" s="137">
        <v>1212.2139999999999</v>
      </c>
      <c r="E98" s="137" t="s">
        <v>873</v>
      </c>
      <c r="F98" s="137">
        <v>1212.2139999999999</v>
      </c>
      <c r="G98" s="137" t="s">
        <v>219</v>
      </c>
      <c r="H98" s="137" t="s">
        <v>193</v>
      </c>
      <c r="I98" s="137" t="s">
        <v>219</v>
      </c>
      <c r="J98" s="137" t="s">
        <v>193</v>
      </c>
    </row>
    <row r="99" spans="1:10" ht="15" customHeight="1" x14ac:dyDescent="0.25">
      <c r="A99" s="137" t="s">
        <v>324</v>
      </c>
      <c r="B99" s="137" t="s">
        <v>328</v>
      </c>
      <c r="C99" s="137">
        <v>2018</v>
      </c>
      <c r="D99" s="137" t="s">
        <v>193</v>
      </c>
      <c r="E99" s="137" t="s">
        <v>219</v>
      </c>
      <c r="F99" s="137" t="s">
        <v>193</v>
      </c>
      <c r="G99" s="137" t="s">
        <v>219</v>
      </c>
      <c r="H99" s="137" t="s">
        <v>193</v>
      </c>
      <c r="I99" s="137" t="s">
        <v>219</v>
      </c>
      <c r="J99" s="137" t="s">
        <v>193</v>
      </c>
    </row>
    <row r="100" spans="1:10" ht="15" customHeight="1" x14ac:dyDescent="0.25">
      <c r="A100" s="137" t="s">
        <v>324</v>
      </c>
      <c r="B100" s="137" t="s">
        <v>324</v>
      </c>
      <c r="C100" s="137">
        <v>2018</v>
      </c>
      <c r="D100" s="137" t="s">
        <v>193</v>
      </c>
      <c r="E100" s="137" t="s">
        <v>219</v>
      </c>
      <c r="F100" s="137" t="s">
        <v>193</v>
      </c>
      <c r="G100" s="137" t="s">
        <v>219</v>
      </c>
      <c r="H100" s="137" t="s">
        <v>193</v>
      </c>
      <c r="I100" s="137" t="s">
        <v>219</v>
      </c>
      <c r="J100" s="137" t="s">
        <v>193</v>
      </c>
    </row>
    <row r="101" spans="1:10" ht="15" customHeight="1" x14ac:dyDescent="0.25">
      <c r="A101" s="137" t="s">
        <v>324</v>
      </c>
      <c r="B101" s="137" t="s">
        <v>329</v>
      </c>
      <c r="C101" s="137">
        <v>2018</v>
      </c>
      <c r="D101" s="137" t="s">
        <v>53</v>
      </c>
      <c r="E101" s="137" t="s">
        <v>53</v>
      </c>
      <c r="F101" s="137" t="s">
        <v>53</v>
      </c>
      <c r="G101" s="137" t="s">
        <v>53</v>
      </c>
      <c r="H101" s="137" t="s">
        <v>53</v>
      </c>
      <c r="I101" s="137" t="s">
        <v>53</v>
      </c>
      <c r="J101" s="137" t="s">
        <v>53</v>
      </c>
    </row>
    <row r="102" spans="1:10" ht="15" customHeight="1" x14ac:dyDescent="0.25">
      <c r="A102" s="137" t="s">
        <v>324</v>
      </c>
      <c r="B102" s="137" t="s">
        <v>330</v>
      </c>
      <c r="C102" s="137">
        <v>2018</v>
      </c>
      <c r="D102" s="137" t="s">
        <v>193</v>
      </c>
      <c r="E102" s="137" t="s">
        <v>219</v>
      </c>
      <c r="F102" s="137" t="s">
        <v>193</v>
      </c>
      <c r="G102" s="137" t="s">
        <v>219</v>
      </c>
      <c r="H102" s="137" t="s">
        <v>193</v>
      </c>
      <c r="I102" s="137" t="s">
        <v>219</v>
      </c>
      <c r="J102" s="137" t="s">
        <v>193</v>
      </c>
    </row>
    <row r="103" spans="1:10" ht="15" customHeight="1" x14ac:dyDescent="0.25">
      <c r="A103" s="137" t="s">
        <v>324</v>
      </c>
      <c r="B103" s="137" t="s">
        <v>331</v>
      </c>
      <c r="C103" s="137">
        <v>2018</v>
      </c>
      <c r="D103" s="137" t="s">
        <v>193</v>
      </c>
      <c r="E103" s="137" t="s">
        <v>219</v>
      </c>
      <c r="F103" s="137" t="s">
        <v>193</v>
      </c>
      <c r="G103" s="137" t="s">
        <v>219</v>
      </c>
      <c r="H103" s="137" t="s">
        <v>193</v>
      </c>
      <c r="I103" s="137" t="s">
        <v>219</v>
      </c>
      <c r="J103" s="137" t="s">
        <v>193</v>
      </c>
    </row>
    <row r="104" spans="1:10" ht="15" customHeight="1" x14ac:dyDescent="0.25">
      <c r="A104" s="137" t="s">
        <v>332</v>
      </c>
      <c r="B104" s="137" t="s">
        <v>333</v>
      </c>
      <c r="C104" s="137">
        <v>2018</v>
      </c>
      <c r="D104" s="137" t="s">
        <v>193</v>
      </c>
      <c r="E104" s="137" t="s">
        <v>53</v>
      </c>
      <c r="F104" s="137" t="s">
        <v>193</v>
      </c>
      <c r="G104" s="137" t="s">
        <v>53</v>
      </c>
      <c r="H104" s="137" t="s">
        <v>193</v>
      </c>
      <c r="I104" s="137" t="s">
        <v>53</v>
      </c>
      <c r="J104" s="137" t="s">
        <v>193</v>
      </c>
    </row>
    <row r="105" spans="1:10" ht="15" customHeight="1" x14ac:dyDescent="0.25">
      <c r="A105" s="137" t="s">
        <v>332</v>
      </c>
      <c r="B105" s="137" t="s">
        <v>334</v>
      </c>
      <c r="C105" s="137">
        <v>2018</v>
      </c>
      <c r="D105" s="137">
        <v>3.0110000000000001</v>
      </c>
      <c r="E105" s="137" t="s">
        <v>874</v>
      </c>
      <c r="F105" s="137">
        <v>3.0110000000000001</v>
      </c>
      <c r="G105" s="137" t="s">
        <v>53</v>
      </c>
      <c r="H105" s="137" t="s">
        <v>193</v>
      </c>
      <c r="I105" s="137" t="s">
        <v>53</v>
      </c>
      <c r="J105" s="137" t="s">
        <v>193</v>
      </c>
    </row>
    <row r="106" spans="1:10" ht="15" customHeight="1" x14ac:dyDescent="0.25">
      <c r="A106" s="137" t="s">
        <v>335</v>
      </c>
      <c r="B106" s="137" t="s">
        <v>336</v>
      </c>
      <c r="C106" s="137">
        <v>2018</v>
      </c>
      <c r="D106" s="137" t="s">
        <v>193</v>
      </c>
      <c r="E106" s="137" t="s">
        <v>53</v>
      </c>
      <c r="F106" s="137" t="s">
        <v>193</v>
      </c>
      <c r="G106" s="137" t="s">
        <v>53</v>
      </c>
      <c r="H106" s="137" t="s">
        <v>193</v>
      </c>
      <c r="I106" s="137" t="s">
        <v>53</v>
      </c>
      <c r="J106" s="137" t="s">
        <v>193</v>
      </c>
    </row>
    <row r="107" spans="1:10" ht="15" customHeight="1" x14ac:dyDescent="0.25">
      <c r="A107" s="137" t="s">
        <v>337</v>
      </c>
      <c r="B107" s="137" t="s">
        <v>338</v>
      </c>
      <c r="C107" s="137">
        <v>2018</v>
      </c>
      <c r="D107" s="137" t="s">
        <v>193</v>
      </c>
      <c r="E107" s="137" t="s">
        <v>53</v>
      </c>
      <c r="F107" s="137" t="s">
        <v>193</v>
      </c>
      <c r="G107" s="137" t="s">
        <v>53</v>
      </c>
      <c r="H107" s="137" t="s">
        <v>193</v>
      </c>
      <c r="I107" s="137" t="s">
        <v>53</v>
      </c>
      <c r="J107" s="137" t="s">
        <v>193</v>
      </c>
    </row>
    <row r="108" spans="1:10" ht="15" customHeight="1" x14ac:dyDescent="0.25">
      <c r="A108" s="137" t="s">
        <v>337</v>
      </c>
      <c r="B108" s="137" t="s">
        <v>339</v>
      </c>
      <c r="C108" s="137">
        <v>2018</v>
      </c>
      <c r="D108" s="137">
        <v>9.9000000000000005E-2</v>
      </c>
      <c r="E108" s="137" t="s">
        <v>875</v>
      </c>
      <c r="F108" s="137">
        <v>9.9000000000000005E-2</v>
      </c>
      <c r="G108" s="137" t="s">
        <v>53</v>
      </c>
      <c r="H108" s="137" t="s">
        <v>193</v>
      </c>
      <c r="I108" s="137" t="s">
        <v>53</v>
      </c>
      <c r="J108" s="137" t="s">
        <v>193</v>
      </c>
    </row>
    <row r="109" spans="1:10" ht="15" customHeight="1" x14ac:dyDescent="0.25">
      <c r="A109" s="137" t="s">
        <v>337</v>
      </c>
      <c r="B109" s="137" t="s">
        <v>340</v>
      </c>
      <c r="C109" s="137">
        <v>2018</v>
      </c>
      <c r="D109" s="137" t="s">
        <v>193</v>
      </c>
      <c r="E109" s="137" t="s">
        <v>53</v>
      </c>
      <c r="F109" s="137" t="s">
        <v>193</v>
      </c>
      <c r="G109" s="137" t="s">
        <v>53</v>
      </c>
      <c r="H109" s="137" t="s">
        <v>193</v>
      </c>
      <c r="I109" s="137" t="s">
        <v>53</v>
      </c>
      <c r="J109" s="137" t="s">
        <v>193</v>
      </c>
    </row>
    <row r="110" spans="1:10" ht="15" customHeight="1" x14ac:dyDescent="0.25">
      <c r="A110" s="137" t="s">
        <v>341</v>
      </c>
      <c r="B110" s="137" t="s">
        <v>342</v>
      </c>
      <c r="C110" s="137">
        <v>2018</v>
      </c>
      <c r="D110" s="137">
        <v>13.6</v>
      </c>
      <c r="E110" s="137" t="s">
        <v>876</v>
      </c>
      <c r="F110" s="137">
        <v>13.6</v>
      </c>
      <c r="G110" s="137" t="s">
        <v>53</v>
      </c>
      <c r="H110" s="137" t="s">
        <v>193</v>
      </c>
      <c r="I110" s="137" t="s">
        <v>53</v>
      </c>
      <c r="J110" s="137" t="s">
        <v>193</v>
      </c>
    </row>
    <row r="111" spans="1:10" ht="15" customHeight="1" x14ac:dyDescent="0.25">
      <c r="A111" s="137" t="s">
        <v>343</v>
      </c>
      <c r="B111" s="137" t="s">
        <v>344</v>
      </c>
      <c r="C111" s="137">
        <v>2018</v>
      </c>
      <c r="D111" s="137" t="s">
        <v>193</v>
      </c>
      <c r="E111" s="137" t="s">
        <v>193</v>
      </c>
      <c r="F111" s="137" t="s">
        <v>193</v>
      </c>
      <c r="G111" s="137" t="s">
        <v>193</v>
      </c>
      <c r="H111" s="137" t="s">
        <v>193</v>
      </c>
      <c r="I111" s="137" t="s">
        <v>193</v>
      </c>
      <c r="J111" s="137" t="s">
        <v>193</v>
      </c>
    </row>
    <row r="112" spans="1:10" ht="15" customHeight="1" x14ac:dyDescent="0.25">
      <c r="A112" s="137" t="s">
        <v>345</v>
      </c>
      <c r="B112" s="137" t="s">
        <v>346</v>
      </c>
      <c r="C112" s="137">
        <v>2018</v>
      </c>
      <c r="D112" s="137" t="s">
        <v>193</v>
      </c>
      <c r="E112" s="137" t="s">
        <v>53</v>
      </c>
      <c r="F112" s="137" t="s">
        <v>193</v>
      </c>
      <c r="G112" s="137" t="s">
        <v>53</v>
      </c>
      <c r="H112" s="137" t="s">
        <v>193</v>
      </c>
      <c r="I112" s="137" t="s">
        <v>53</v>
      </c>
      <c r="J112" s="137" t="s">
        <v>193</v>
      </c>
    </row>
    <row r="113" spans="1:10" ht="15" customHeight="1" x14ac:dyDescent="0.25">
      <c r="A113" s="137" t="s">
        <v>345</v>
      </c>
      <c r="B113" s="137" t="s">
        <v>347</v>
      </c>
      <c r="C113" s="137">
        <v>2018</v>
      </c>
      <c r="D113" s="137" t="s">
        <v>193</v>
      </c>
      <c r="E113" s="137" t="s">
        <v>53</v>
      </c>
      <c r="F113" s="137" t="s">
        <v>193</v>
      </c>
      <c r="G113" s="137" t="s">
        <v>53</v>
      </c>
      <c r="H113" s="137" t="s">
        <v>193</v>
      </c>
      <c r="I113" s="137" t="s">
        <v>53</v>
      </c>
      <c r="J113" s="137" t="s">
        <v>193</v>
      </c>
    </row>
    <row r="114" spans="1:10" ht="15" customHeight="1" x14ac:dyDescent="0.25">
      <c r="A114" s="137" t="s">
        <v>348</v>
      </c>
      <c r="B114" s="137" t="s">
        <v>349</v>
      </c>
      <c r="C114" s="137">
        <v>2018</v>
      </c>
      <c r="D114" s="137" t="s">
        <v>193</v>
      </c>
      <c r="E114" s="137" t="s">
        <v>53</v>
      </c>
      <c r="F114" s="137" t="s">
        <v>193</v>
      </c>
      <c r="G114" s="137" t="s">
        <v>53</v>
      </c>
      <c r="H114" s="137" t="s">
        <v>193</v>
      </c>
      <c r="I114" s="137" t="s">
        <v>53</v>
      </c>
      <c r="J114" s="137" t="s">
        <v>193</v>
      </c>
    </row>
    <row r="115" spans="1:10" ht="15" customHeight="1" x14ac:dyDescent="0.25">
      <c r="A115" s="137" t="s">
        <v>348</v>
      </c>
      <c r="B115" s="137" t="s">
        <v>350</v>
      </c>
      <c r="C115" s="137">
        <v>2018</v>
      </c>
      <c r="D115" s="137" t="s">
        <v>193</v>
      </c>
      <c r="E115" s="137" t="s">
        <v>53</v>
      </c>
      <c r="F115" s="137" t="s">
        <v>193</v>
      </c>
      <c r="G115" s="137" t="s">
        <v>53</v>
      </c>
      <c r="H115" s="137" t="s">
        <v>193</v>
      </c>
      <c r="I115" s="137" t="s">
        <v>53</v>
      </c>
      <c r="J115" s="137" t="s">
        <v>193</v>
      </c>
    </row>
    <row r="116" spans="1:10" ht="15" customHeight="1" x14ac:dyDescent="0.25">
      <c r="A116" s="137" t="s">
        <v>348</v>
      </c>
      <c r="B116" s="137" t="s">
        <v>351</v>
      </c>
      <c r="C116" s="137">
        <v>2018</v>
      </c>
      <c r="D116" s="137" t="s">
        <v>193</v>
      </c>
      <c r="E116" s="137" t="s">
        <v>53</v>
      </c>
      <c r="F116" s="137" t="s">
        <v>193</v>
      </c>
      <c r="G116" s="137" t="s">
        <v>53</v>
      </c>
      <c r="H116" s="137" t="s">
        <v>193</v>
      </c>
      <c r="I116" s="137" t="s">
        <v>53</v>
      </c>
      <c r="J116" s="137" t="s">
        <v>193</v>
      </c>
    </row>
    <row r="117" spans="1:10" ht="15" customHeight="1" x14ac:dyDescent="0.25">
      <c r="A117" s="137" t="s">
        <v>348</v>
      </c>
      <c r="B117" s="137" t="s">
        <v>352</v>
      </c>
      <c r="C117" s="137">
        <v>2018</v>
      </c>
      <c r="D117" s="137" t="s">
        <v>193</v>
      </c>
      <c r="E117" s="137" t="s">
        <v>53</v>
      </c>
      <c r="F117" s="137" t="s">
        <v>193</v>
      </c>
      <c r="G117" s="137" t="s">
        <v>53</v>
      </c>
      <c r="H117" s="137" t="s">
        <v>193</v>
      </c>
      <c r="I117" s="137" t="s">
        <v>53</v>
      </c>
      <c r="J117" s="137" t="s">
        <v>193</v>
      </c>
    </row>
    <row r="118" spans="1:10" ht="15" customHeight="1" x14ac:dyDescent="0.25">
      <c r="A118" s="137" t="s">
        <v>353</v>
      </c>
      <c r="B118" s="137" t="s">
        <v>78</v>
      </c>
      <c r="C118" s="137">
        <v>2018</v>
      </c>
      <c r="D118" s="137" t="s">
        <v>193</v>
      </c>
      <c r="E118" s="137" t="s">
        <v>53</v>
      </c>
      <c r="F118" s="137" t="s">
        <v>193</v>
      </c>
      <c r="G118" s="137" t="s">
        <v>53</v>
      </c>
      <c r="H118" s="137" t="s">
        <v>193</v>
      </c>
      <c r="I118" s="137" t="s">
        <v>53</v>
      </c>
      <c r="J118" s="137" t="s">
        <v>193</v>
      </c>
    </row>
    <row r="119" spans="1:10" ht="15" customHeight="1" x14ac:dyDescent="0.25">
      <c r="A119" s="137" t="s">
        <v>354</v>
      </c>
      <c r="B119" s="137" t="s">
        <v>355</v>
      </c>
      <c r="C119" s="137">
        <v>2018</v>
      </c>
      <c r="D119" s="137" t="s">
        <v>193</v>
      </c>
      <c r="E119" s="137" t="s">
        <v>53</v>
      </c>
      <c r="F119" s="137" t="s">
        <v>193</v>
      </c>
      <c r="G119" s="137" t="s">
        <v>53</v>
      </c>
      <c r="H119" s="137" t="s">
        <v>193</v>
      </c>
      <c r="I119" s="137" t="s">
        <v>53</v>
      </c>
      <c r="J119" s="137" t="s">
        <v>193</v>
      </c>
    </row>
    <row r="120" spans="1:10" ht="15" customHeight="1" x14ac:dyDescent="0.25">
      <c r="A120" s="137" t="s">
        <v>356</v>
      </c>
      <c r="B120" s="137" t="s">
        <v>357</v>
      </c>
      <c r="C120" s="137">
        <v>2018</v>
      </c>
      <c r="D120" s="137">
        <v>33.5</v>
      </c>
      <c r="E120" s="137" t="s">
        <v>877</v>
      </c>
      <c r="F120" s="137">
        <v>33.5</v>
      </c>
      <c r="G120" s="137" t="s">
        <v>53</v>
      </c>
      <c r="H120" s="137" t="s">
        <v>193</v>
      </c>
      <c r="I120" s="137" t="s">
        <v>53</v>
      </c>
      <c r="J120" s="137" t="s">
        <v>193</v>
      </c>
    </row>
    <row r="121" spans="1:10" ht="15" customHeight="1" x14ac:dyDescent="0.25">
      <c r="A121" s="137" t="s">
        <v>358</v>
      </c>
      <c r="B121" s="137" t="s">
        <v>359</v>
      </c>
      <c r="C121" s="137">
        <v>2018</v>
      </c>
      <c r="D121" s="137">
        <v>2.08</v>
      </c>
      <c r="E121" s="137" t="s">
        <v>878</v>
      </c>
      <c r="F121" s="137">
        <v>2.08</v>
      </c>
      <c r="G121" s="137" t="s">
        <v>193</v>
      </c>
      <c r="H121" s="137" t="s">
        <v>193</v>
      </c>
      <c r="I121" s="137" t="s">
        <v>193</v>
      </c>
      <c r="J121" s="137" t="s">
        <v>193</v>
      </c>
    </row>
    <row r="122" spans="1:10" ht="15" customHeight="1" x14ac:dyDescent="0.25">
      <c r="A122" s="137" t="s">
        <v>358</v>
      </c>
      <c r="B122" s="137" t="s">
        <v>360</v>
      </c>
      <c r="C122" s="137">
        <v>2018</v>
      </c>
      <c r="D122" s="137" t="s">
        <v>193</v>
      </c>
      <c r="E122" s="137" t="s">
        <v>53</v>
      </c>
      <c r="F122" s="137" t="s">
        <v>193</v>
      </c>
      <c r="G122" s="137" t="s">
        <v>53</v>
      </c>
      <c r="H122" s="137" t="s">
        <v>193</v>
      </c>
      <c r="I122" s="137" t="s">
        <v>53</v>
      </c>
      <c r="J122" s="137" t="s">
        <v>193</v>
      </c>
    </row>
    <row r="123" spans="1:10" ht="15" customHeight="1" x14ac:dyDescent="0.25">
      <c r="A123" s="137" t="s">
        <v>362</v>
      </c>
      <c r="B123" s="137" t="s">
        <v>363</v>
      </c>
      <c r="C123" s="137">
        <v>2018</v>
      </c>
      <c r="D123" s="137">
        <v>42.887999999999998</v>
      </c>
      <c r="E123" s="137" t="s">
        <v>876</v>
      </c>
      <c r="F123" s="137">
        <v>42.887999999999998</v>
      </c>
      <c r="G123" s="137" t="s">
        <v>219</v>
      </c>
      <c r="H123" s="137" t="s">
        <v>193</v>
      </c>
      <c r="I123" s="137" t="s">
        <v>219</v>
      </c>
      <c r="J123" s="137" t="s">
        <v>193</v>
      </c>
    </row>
    <row r="124" spans="1:10" ht="15" customHeight="1" x14ac:dyDescent="0.25">
      <c r="A124" s="137" t="s">
        <v>364</v>
      </c>
      <c r="B124" s="137" t="s">
        <v>365</v>
      </c>
      <c r="C124" s="137">
        <v>2018</v>
      </c>
      <c r="D124" s="137" t="s">
        <v>193</v>
      </c>
      <c r="E124" s="137" t="s">
        <v>53</v>
      </c>
      <c r="F124" s="137" t="s">
        <v>193</v>
      </c>
      <c r="G124" s="137" t="s">
        <v>53</v>
      </c>
      <c r="H124" s="137" t="s">
        <v>193</v>
      </c>
      <c r="I124" s="137" t="s">
        <v>53</v>
      </c>
      <c r="J124" s="137" t="s">
        <v>193</v>
      </c>
    </row>
    <row r="125" spans="1:10" ht="15" customHeight="1" x14ac:dyDescent="0.25">
      <c r="A125" s="137" t="s">
        <v>366</v>
      </c>
      <c r="B125" s="137" t="s">
        <v>367</v>
      </c>
      <c r="C125" s="137">
        <v>2018</v>
      </c>
      <c r="D125" s="137" t="s">
        <v>193</v>
      </c>
      <c r="E125" s="137" t="s">
        <v>53</v>
      </c>
      <c r="F125" s="137" t="s">
        <v>193</v>
      </c>
      <c r="G125" s="137" t="s">
        <v>53</v>
      </c>
      <c r="H125" s="137" t="s">
        <v>193</v>
      </c>
      <c r="I125" s="137" t="s">
        <v>53</v>
      </c>
      <c r="J125" s="137" t="s">
        <v>193</v>
      </c>
    </row>
    <row r="126" spans="1:10" ht="15" customHeight="1" x14ac:dyDescent="0.25">
      <c r="A126" s="137" t="s">
        <v>366</v>
      </c>
      <c r="B126" s="137" t="s">
        <v>368</v>
      </c>
      <c r="C126" s="137">
        <v>2018</v>
      </c>
      <c r="D126" s="137" t="s">
        <v>193</v>
      </c>
      <c r="E126" s="137" t="s">
        <v>53</v>
      </c>
      <c r="F126" s="137" t="s">
        <v>193</v>
      </c>
      <c r="G126" s="137" t="s">
        <v>53</v>
      </c>
      <c r="H126" s="137" t="s">
        <v>193</v>
      </c>
      <c r="I126" s="137" t="s">
        <v>53</v>
      </c>
      <c r="J126" s="137" t="s">
        <v>193</v>
      </c>
    </row>
    <row r="127" spans="1:10" ht="15" customHeight="1" x14ac:dyDescent="0.25">
      <c r="A127" s="137" t="s">
        <v>366</v>
      </c>
      <c r="B127" s="137" t="s">
        <v>369</v>
      </c>
      <c r="C127" s="137">
        <v>2018</v>
      </c>
      <c r="D127" s="137" t="s">
        <v>193</v>
      </c>
      <c r="E127" s="137" t="s">
        <v>53</v>
      </c>
      <c r="F127" s="137" t="s">
        <v>193</v>
      </c>
      <c r="G127" s="137" t="s">
        <v>53</v>
      </c>
      <c r="H127" s="137" t="s">
        <v>193</v>
      </c>
      <c r="I127" s="137" t="s">
        <v>53</v>
      </c>
      <c r="J127" s="137" t="s">
        <v>193</v>
      </c>
    </row>
    <row r="128" spans="1:10" ht="15" customHeight="1" x14ac:dyDescent="0.25">
      <c r="A128" s="137" t="s">
        <v>366</v>
      </c>
      <c r="B128" s="137" t="s">
        <v>370</v>
      </c>
      <c r="C128" s="137">
        <v>2018</v>
      </c>
      <c r="D128" s="137">
        <v>4.5</v>
      </c>
      <c r="E128" s="137" t="s">
        <v>879</v>
      </c>
      <c r="F128" s="137">
        <v>4.5</v>
      </c>
      <c r="G128" s="137" t="s">
        <v>53</v>
      </c>
      <c r="H128" s="137" t="s">
        <v>193</v>
      </c>
      <c r="I128" s="137" t="s">
        <v>53</v>
      </c>
      <c r="J128" s="137" t="s">
        <v>193</v>
      </c>
    </row>
    <row r="129" spans="1:10" ht="15" customHeight="1" x14ac:dyDescent="0.25">
      <c r="A129" s="137" t="s">
        <v>371</v>
      </c>
      <c r="B129" s="137" t="s">
        <v>81</v>
      </c>
      <c r="C129" s="137">
        <v>2018</v>
      </c>
      <c r="D129" s="137" t="s">
        <v>193</v>
      </c>
      <c r="E129" s="137" t="s">
        <v>53</v>
      </c>
      <c r="F129" s="137" t="s">
        <v>193</v>
      </c>
      <c r="G129" s="137" t="s">
        <v>53</v>
      </c>
      <c r="H129" s="137" t="s">
        <v>193</v>
      </c>
      <c r="I129" s="137" t="s">
        <v>53</v>
      </c>
      <c r="J129" s="137" t="s">
        <v>193</v>
      </c>
    </row>
    <row r="130" spans="1:10" ht="15" customHeight="1" x14ac:dyDescent="0.25">
      <c r="A130" s="137" t="s">
        <v>372</v>
      </c>
      <c r="B130" s="137" t="s">
        <v>373</v>
      </c>
      <c r="C130" s="137">
        <v>2018</v>
      </c>
      <c r="D130" s="137" t="s">
        <v>193</v>
      </c>
      <c r="E130" s="137" t="s">
        <v>53</v>
      </c>
      <c r="F130" s="137" t="s">
        <v>193</v>
      </c>
      <c r="G130" s="137" t="s">
        <v>53</v>
      </c>
      <c r="H130" s="137" t="s">
        <v>193</v>
      </c>
      <c r="I130" s="137" t="s">
        <v>53</v>
      </c>
      <c r="J130" s="137" t="s">
        <v>193</v>
      </c>
    </row>
    <row r="131" spans="1:10" ht="15" customHeight="1" x14ac:dyDescent="0.25">
      <c r="A131" s="137" t="s">
        <v>372</v>
      </c>
      <c r="B131" s="137" t="s">
        <v>374</v>
      </c>
      <c r="C131" s="137">
        <v>2018</v>
      </c>
      <c r="D131" s="137" t="s">
        <v>193</v>
      </c>
      <c r="E131" s="137" t="s">
        <v>53</v>
      </c>
      <c r="F131" s="137" t="s">
        <v>193</v>
      </c>
      <c r="G131" s="137" t="s">
        <v>53</v>
      </c>
      <c r="H131" s="137" t="s">
        <v>193</v>
      </c>
      <c r="I131" s="137" t="s">
        <v>53</v>
      </c>
      <c r="J131" s="137" t="s">
        <v>193</v>
      </c>
    </row>
    <row r="132" spans="1:10" ht="15" customHeight="1" x14ac:dyDescent="0.25">
      <c r="A132" s="137" t="s">
        <v>372</v>
      </c>
      <c r="B132" s="137" t="s">
        <v>375</v>
      </c>
      <c r="C132" s="137">
        <v>2018</v>
      </c>
      <c r="D132" s="137" t="s">
        <v>193</v>
      </c>
      <c r="E132" s="137" t="s">
        <v>53</v>
      </c>
      <c r="F132" s="137" t="s">
        <v>193</v>
      </c>
      <c r="G132" s="137" t="s">
        <v>53</v>
      </c>
      <c r="H132" s="137" t="s">
        <v>193</v>
      </c>
      <c r="I132" s="137" t="s">
        <v>53</v>
      </c>
      <c r="J132" s="137" t="s">
        <v>193</v>
      </c>
    </row>
    <row r="133" spans="1:10" ht="15" customHeight="1" x14ac:dyDescent="0.25">
      <c r="A133" s="137" t="s">
        <v>376</v>
      </c>
      <c r="B133" s="137" t="s">
        <v>377</v>
      </c>
      <c r="C133" s="137">
        <v>2018</v>
      </c>
      <c r="D133" s="137" t="s">
        <v>193</v>
      </c>
      <c r="E133" s="137" t="s">
        <v>53</v>
      </c>
      <c r="F133" s="137" t="s">
        <v>193</v>
      </c>
      <c r="G133" s="137" t="s">
        <v>53</v>
      </c>
      <c r="H133" s="137" t="s">
        <v>193</v>
      </c>
      <c r="I133" s="137" t="s">
        <v>53</v>
      </c>
      <c r="J133" s="137" t="s">
        <v>193</v>
      </c>
    </row>
    <row r="134" spans="1:10" ht="15" customHeight="1" x14ac:dyDescent="0.25">
      <c r="A134" s="137" t="s">
        <v>378</v>
      </c>
      <c r="B134" s="137" t="s">
        <v>84</v>
      </c>
      <c r="C134" s="137">
        <v>2018</v>
      </c>
      <c r="D134" s="137" t="s">
        <v>193</v>
      </c>
      <c r="E134" s="137" t="s">
        <v>53</v>
      </c>
      <c r="F134" s="137" t="s">
        <v>193</v>
      </c>
      <c r="G134" s="137" t="s">
        <v>53</v>
      </c>
      <c r="H134" s="137" t="s">
        <v>193</v>
      </c>
      <c r="I134" s="137" t="s">
        <v>53</v>
      </c>
      <c r="J134" s="137" t="s">
        <v>193</v>
      </c>
    </row>
    <row r="135" spans="1:10" ht="15" customHeight="1" x14ac:dyDescent="0.25">
      <c r="A135" s="137" t="s">
        <v>380</v>
      </c>
      <c r="B135" s="137" t="s">
        <v>381</v>
      </c>
      <c r="C135" s="137">
        <v>2018</v>
      </c>
      <c r="D135" s="137">
        <v>176.923</v>
      </c>
      <c r="E135" s="137" t="s">
        <v>880</v>
      </c>
      <c r="F135" s="137">
        <v>176.923</v>
      </c>
      <c r="G135" s="137" t="s">
        <v>53</v>
      </c>
      <c r="H135" s="137" t="s">
        <v>193</v>
      </c>
      <c r="I135" s="137" t="s">
        <v>53</v>
      </c>
      <c r="J135" s="137" t="s">
        <v>193</v>
      </c>
    </row>
    <row r="136" spans="1:10" ht="15" customHeight="1" x14ac:dyDescent="0.25">
      <c r="A136" s="137" t="s">
        <v>382</v>
      </c>
      <c r="B136" s="137" t="s">
        <v>87</v>
      </c>
      <c r="C136" s="137">
        <v>2018</v>
      </c>
      <c r="D136" s="137" t="s">
        <v>193</v>
      </c>
      <c r="E136" s="137" t="s">
        <v>53</v>
      </c>
      <c r="F136" s="137" t="s">
        <v>193</v>
      </c>
      <c r="G136" s="137" t="s">
        <v>53</v>
      </c>
      <c r="H136" s="137" t="s">
        <v>193</v>
      </c>
      <c r="I136" s="137" t="s">
        <v>53</v>
      </c>
      <c r="J136" s="137" t="s">
        <v>193</v>
      </c>
    </row>
    <row r="137" spans="1:10" ht="15" customHeight="1" x14ac:dyDescent="0.25">
      <c r="A137" s="137" t="s">
        <v>383</v>
      </c>
      <c r="B137" s="137" t="s">
        <v>384</v>
      </c>
      <c r="C137" s="137">
        <v>2018</v>
      </c>
      <c r="D137" s="137">
        <v>5.0119999999999996</v>
      </c>
      <c r="E137" s="137" t="s">
        <v>796</v>
      </c>
      <c r="F137" s="137">
        <v>5.0119999999999996</v>
      </c>
      <c r="G137" s="137" t="s">
        <v>53</v>
      </c>
      <c r="H137" s="137" t="s">
        <v>193</v>
      </c>
      <c r="I137" s="137" t="s">
        <v>53</v>
      </c>
      <c r="J137" s="137" t="s">
        <v>193</v>
      </c>
    </row>
    <row r="138" spans="1:10" ht="15" customHeight="1" x14ac:dyDescent="0.25">
      <c r="A138" s="137" t="s">
        <v>385</v>
      </c>
      <c r="B138" s="137" t="s">
        <v>386</v>
      </c>
      <c r="C138" s="137">
        <v>2018</v>
      </c>
      <c r="D138" s="137" t="s">
        <v>193</v>
      </c>
      <c r="E138" s="137" t="s">
        <v>53</v>
      </c>
      <c r="F138" s="137" t="s">
        <v>193</v>
      </c>
      <c r="G138" s="137" t="s">
        <v>53</v>
      </c>
      <c r="H138" s="137" t="s">
        <v>193</v>
      </c>
      <c r="I138" s="137" t="s">
        <v>53</v>
      </c>
      <c r="J138" s="137" t="s">
        <v>193</v>
      </c>
    </row>
    <row r="139" spans="1:10" ht="15" customHeight="1" x14ac:dyDescent="0.25">
      <c r="A139" s="137" t="s">
        <v>387</v>
      </c>
      <c r="B139" s="137" t="s">
        <v>388</v>
      </c>
      <c r="C139" s="137">
        <v>2018</v>
      </c>
      <c r="D139" s="137">
        <v>27.863</v>
      </c>
      <c r="E139" s="137" t="s">
        <v>881</v>
      </c>
      <c r="F139" s="137">
        <v>27.863</v>
      </c>
      <c r="G139" s="137" t="s">
        <v>219</v>
      </c>
      <c r="H139" s="137" t="s">
        <v>193</v>
      </c>
      <c r="I139" s="137" t="s">
        <v>219</v>
      </c>
      <c r="J139" s="137" t="s">
        <v>193</v>
      </c>
    </row>
    <row r="140" spans="1:10" ht="15" customHeight="1" x14ac:dyDescent="0.25">
      <c r="A140" s="137" t="s">
        <v>387</v>
      </c>
      <c r="B140" s="137" t="s">
        <v>389</v>
      </c>
      <c r="C140" s="137">
        <v>2018</v>
      </c>
      <c r="D140" s="137" t="s">
        <v>193</v>
      </c>
      <c r="E140" s="137" t="s">
        <v>53</v>
      </c>
      <c r="F140" s="137" t="s">
        <v>193</v>
      </c>
      <c r="G140" s="137" t="s">
        <v>53</v>
      </c>
      <c r="H140" s="137" t="s">
        <v>193</v>
      </c>
      <c r="I140" s="137" t="s">
        <v>53</v>
      </c>
      <c r="J140" s="137" t="s">
        <v>193</v>
      </c>
    </row>
    <row r="141" spans="1:10" ht="15" customHeight="1" x14ac:dyDescent="0.25">
      <c r="A141" s="137" t="s">
        <v>390</v>
      </c>
      <c r="B141" s="137" t="s">
        <v>391</v>
      </c>
      <c r="C141" s="137">
        <v>2018</v>
      </c>
      <c r="D141" s="137">
        <v>21.547999999999998</v>
      </c>
      <c r="E141" s="137" t="s">
        <v>882</v>
      </c>
      <c r="F141" s="137">
        <v>21.547999999999998</v>
      </c>
      <c r="G141" s="137" t="s">
        <v>53</v>
      </c>
      <c r="H141" s="137" t="s">
        <v>193</v>
      </c>
      <c r="I141" s="137" t="s">
        <v>53</v>
      </c>
      <c r="J141" s="137" t="s">
        <v>193</v>
      </c>
    </row>
    <row r="142" spans="1:10" ht="15" customHeight="1" x14ac:dyDescent="0.25">
      <c r="A142" s="137" t="s">
        <v>390</v>
      </c>
      <c r="B142" s="137" t="s">
        <v>393</v>
      </c>
      <c r="C142" s="137">
        <v>2018</v>
      </c>
      <c r="D142" s="137" t="s">
        <v>193</v>
      </c>
      <c r="E142" s="137" t="s">
        <v>53</v>
      </c>
      <c r="F142" s="137" t="s">
        <v>193</v>
      </c>
      <c r="G142" s="137" t="s">
        <v>53</v>
      </c>
      <c r="H142" s="137" t="s">
        <v>193</v>
      </c>
      <c r="I142" s="137" t="s">
        <v>53</v>
      </c>
      <c r="J142" s="137" t="s">
        <v>193</v>
      </c>
    </row>
    <row r="143" spans="1:10" ht="15" customHeight="1" x14ac:dyDescent="0.25">
      <c r="A143" s="137" t="s">
        <v>394</v>
      </c>
      <c r="B143" s="137" t="s">
        <v>395</v>
      </c>
      <c r="C143" s="137">
        <v>2018</v>
      </c>
      <c r="D143" s="137" t="s">
        <v>193</v>
      </c>
      <c r="E143" s="137" t="s">
        <v>53</v>
      </c>
      <c r="F143" s="137" t="s">
        <v>193</v>
      </c>
      <c r="G143" s="137" t="s">
        <v>53</v>
      </c>
      <c r="H143" s="137" t="s">
        <v>193</v>
      </c>
      <c r="I143" s="137" t="s">
        <v>53</v>
      </c>
      <c r="J143" s="137" t="s">
        <v>193</v>
      </c>
    </row>
    <row r="144" spans="1:10" ht="15" customHeight="1" x14ac:dyDescent="0.25">
      <c r="A144" s="137" t="s">
        <v>394</v>
      </c>
      <c r="B144" s="137" t="s">
        <v>396</v>
      </c>
      <c r="C144" s="137">
        <v>2018</v>
      </c>
      <c r="D144" s="137" t="s">
        <v>193</v>
      </c>
      <c r="E144" s="137" t="s">
        <v>53</v>
      </c>
      <c r="F144" s="137" t="s">
        <v>193</v>
      </c>
      <c r="G144" s="137" t="s">
        <v>53</v>
      </c>
      <c r="H144" s="137" t="s">
        <v>193</v>
      </c>
      <c r="I144" s="137" t="s">
        <v>53</v>
      </c>
      <c r="J144" s="137" t="s">
        <v>193</v>
      </c>
    </row>
    <row r="145" spans="1:10" ht="15" customHeight="1" x14ac:dyDescent="0.25">
      <c r="A145" s="137" t="s">
        <v>394</v>
      </c>
      <c r="B145" s="137" t="s">
        <v>397</v>
      </c>
      <c r="C145" s="137">
        <v>2018</v>
      </c>
      <c r="D145" s="137" t="s">
        <v>193</v>
      </c>
      <c r="E145" s="137" t="s">
        <v>53</v>
      </c>
      <c r="F145" s="137" t="s">
        <v>193</v>
      </c>
      <c r="G145" s="137" t="s">
        <v>53</v>
      </c>
      <c r="H145" s="137" t="s">
        <v>193</v>
      </c>
      <c r="I145" s="137" t="s">
        <v>53</v>
      </c>
      <c r="J145" s="137" t="s">
        <v>193</v>
      </c>
    </row>
    <row r="146" spans="1:10" ht="15" customHeight="1" x14ac:dyDescent="0.25">
      <c r="A146" s="137" t="s">
        <v>394</v>
      </c>
      <c r="B146" s="137" t="s">
        <v>398</v>
      </c>
      <c r="C146" s="137">
        <v>2018</v>
      </c>
      <c r="D146" s="137" t="s">
        <v>193</v>
      </c>
      <c r="E146" s="137" t="s">
        <v>53</v>
      </c>
      <c r="F146" s="137" t="s">
        <v>193</v>
      </c>
      <c r="G146" s="137" t="s">
        <v>53</v>
      </c>
      <c r="H146" s="137" t="s">
        <v>193</v>
      </c>
      <c r="I146" s="137" t="s">
        <v>53</v>
      </c>
      <c r="J146" s="137" t="s">
        <v>193</v>
      </c>
    </row>
    <row r="147" spans="1:10" ht="15" customHeight="1" x14ac:dyDescent="0.25">
      <c r="A147" s="137" t="s">
        <v>45</v>
      </c>
      <c r="B147" s="141" t="s">
        <v>46</v>
      </c>
      <c r="C147" s="137">
        <v>2018</v>
      </c>
      <c r="D147" s="137" t="s">
        <v>53</v>
      </c>
      <c r="E147" s="137" t="s">
        <v>53</v>
      </c>
      <c r="F147" s="137" t="s">
        <v>53</v>
      </c>
      <c r="G147" s="137" t="s">
        <v>53</v>
      </c>
      <c r="H147" s="137" t="s">
        <v>53</v>
      </c>
      <c r="I147" s="137" t="s">
        <v>53</v>
      </c>
      <c r="J147" s="137" t="s">
        <v>53</v>
      </c>
    </row>
    <row r="148" spans="1:10" ht="15" customHeight="1" x14ac:dyDescent="0.25">
      <c r="A148" s="137" t="s">
        <v>399</v>
      </c>
      <c r="B148" s="137" t="s">
        <v>400</v>
      </c>
      <c r="C148" s="137">
        <v>2018</v>
      </c>
      <c r="D148" s="137">
        <v>66.081000000000003</v>
      </c>
      <c r="E148" s="137" t="s">
        <v>883</v>
      </c>
      <c r="F148" s="137">
        <v>22.061</v>
      </c>
      <c r="G148" s="137" t="s">
        <v>884</v>
      </c>
      <c r="H148" s="137">
        <v>28.12</v>
      </c>
      <c r="I148" s="137" t="s">
        <v>885</v>
      </c>
      <c r="J148" s="137">
        <v>15.9</v>
      </c>
    </row>
    <row r="149" spans="1:10" ht="15" customHeight="1" x14ac:dyDescent="0.25">
      <c r="A149" s="137" t="s">
        <v>401</v>
      </c>
      <c r="B149" s="137" t="s">
        <v>402</v>
      </c>
      <c r="C149" s="137">
        <v>2018</v>
      </c>
      <c r="D149" s="137" t="s">
        <v>193</v>
      </c>
      <c r="E149" s="137" t="s">
        <v>53</v>
      </c>
      <c r="F149" s="137" t="s">
        <v>193</v>
      </c>
      <c r="G149" s="137" t="s">
        <v>53</v>
      </c>
      <c r="H149" s="137" t="s">
        <v>193</v>
      </c>
      <c r="I149" s="137" t="s">
        <v>53</v>
      </c>
      <c r="J149" s="137" t="s">
        <v>193</v>
      </c>
    </row>
    <row r="150" spans="1:10" ht="15" customHeight="1" x14ac:dyDescent="0.25">
      <c r="A150" s="137" t="s">
        <v>401</v>
      </c>
      <c r="B150" s="137" t="s">
        <v>403</v>
      </c>
      <c r="C150" s="137">
        <v>2018</v>
      </c>
      <c r="D150" s="137" t="s">
        <v>193</v>
      </c>
      <c r="E150" s="137" t="s">
        <v>53</v>
      </c>
      <c r="F150" s="137" t="s">
        <v>193</v>
      </c>
      <c r="G150" s="137" t="s">
        <v>53</v>
      </c>
      <c r="H150" s="137" t="s">
        <v>193</v>
      </c>
      <c r="I150" s="137" t="s">
        <v>53</v>
      </c>
      <c r="J150" s="137" t="s">
        <v>193</v>
      </c>
    </row>
    <row r="151" spans="1:10" ht="15" customHeight="1" x14ac:dyDescent="0.25">
      <c r="A151" s="137" t="s">
        <v>401</v>
      </c>
      <c r="B151" s="137" t="s">
        <v>404</v>
      </c>
      <c r="C151" s="137">
        <v>2018</v>
      </c>
      <c r="D151" s="137" t="s">
        <v>193</v>
      </c>
      <c r="E151" s="137" t="s">
        <v>53</v>
      </c>
      <c r="F151" s="137" t="s">
        <v>193</v>
      </c>
      <c r="G151" s="137" t="s">
        <v>53</v>
      </c>
      <c r="H151" s="137" t="s">
        <v>193</v>
      </c>
      <c r="I151" s="137" t="s">
        <v>53</v>
      </c>
      <c r="J151" s="137" t="s">
        <v>193</v>
      </c>
    </row>
    <row r="152" spans="1:10" ht="15" customHeight="1" x14ac:dyDescent="0.25">
      <c r="A152" s="137" t="s">
        <v>401</v>
      </c>
      <c r="B152" s="137" t="s">
        <v>405</v>
      </c>
      <c r="C152" s="137">
        <v>2018</v>
      </c>
      <c r="D152" s="137" t="s">
        <v>193</v>
      </c>
      <c r="E152" s="137" t="s">
        <v>53</v>
      </c>
      <c r="F152" s="137" t="s">
        <v>193</v>
      </c>
      <c r="G152" s="137" t="s">
        <v>53</v>
      </c>
      <c r="H152" s="137" t="s">
        <v>193</v>
      </c>
      <c r="I152" s="137" t="s">
        <v>53</v>
      </c>
      <c r="J152" s="137" t="s">
        <v>193</v>
      </c>
    </row>
    <row r="153" spans="1:10" ht="15" customHeight="1" x14ac:dyDescent="0.25">
      <c r="A153" s="137" t="s">
        <v>401</v>
      </c>
      <c r="B153" s="137" t="s">
        <v>406</v>
      </c>
      <c r="C153" s="137">
        <v>2018</v>
      </c>
      <c r="D153" s="137" t="s">
        <v>193</v>
      </c>
      <c r="E153" s="137" t="s">
        <v>53</v>
      </c>
      <c r="F153" s="137" t="s">
        <v>193</v>
      </c>
      <c r="G153" s="137" t="s">
        <v>53</v>
      </c>
      <c r="H153" s="137" t="s">
        <v>193</v>
      </c>
      <c r="I153" s="137" t="s">
        <v>53</v>
      </c>
      <c r="J153" s="137" t="s">
        <v>193</v>
      </c>
    </row>
    <row r="154" spans="1:10" ht="15" customHeight="1" x14ac:dyDescent="0.25">
      <c r="A154" s="137" t="s">
        <v>401</v>
      </c>
      <c r="B154" s="137" t="s">
        <v>407</v>
      </c>
      <c r="C154" s="137">
        <v>2018</v>
      </c>
      <c r="D154" s="137" t="s">
        <v>193</v>
      </c>
      <c r="E154" s="137" t="s">
        <v>53</v>
      </c>
      <c r="F154" s="137" t="s">
        <v>193</v>
      </c>
      <c r="G154" s="137" t="s">
        <v>53</v>
      </c>
      <c r="H154" s="137" t="s">
        <v>193</v>
      </c>
      <c r="I154" s="137" t="s">
        <v>53</v>
      </c>
      <c r="J154" s="137" t="s">
        <v>193</v>
      </c>
    </row>
    <row r="155" spans="1:10" ht="15" customHeight="1" x14ac:dyDescent="0.25">
      <c r="A155" s="137" t="s">
        <v>401</v>
      </c>
      <c r="B155" s="137" t="s">
        <v>408</v>
      </c>
      <c r="C155" s="137">
        <v>2018</v>
      </c>
      <c r="D155" s="137" t="s">
        <v>193</v>
      </c>
      <c r="E155" s="137" t="s">
        <v>53</v>
      </c>
      <c r="F155" s="137" t="s">
        <v>193</v>
      </c>
      <c r="G155" s="137" t="s">
        <v>53</v>
      </c>
      <c r="H155" s="137" t="s">
        <v>193</v>
      </c>
      <c r="I155" s="137" t="s">
        <v>53</v>
      </c>
      <c r="J155" s="137" t="s">
        <v>193</v>
      </c>
    </row>
    <row r="156" spans="1:10" ht="15" customHeight="1" x14ac:dyDescent="0.25">
      <c r="A156" s="137" t="s">
        <v>401</v>
      </c>
      <c r="B156" s="137" t="s">
        <v>409</v>
      </c>
      <c r="C156" s="137">
        <v>2018</v>
      </c>
      <c r="D156" s="137" t="s">
        <v>193</v>
      </c>
      <c r="E156" s="137" t="s">
        <v>53</v>
      </c>
      <c r="F156" s="137" t="s">
        <v>193</v>
      </c>
      <c r="G156" s="137" t="s">
        <v>53</v>
      </c>
      <c r="H156" s="137" t="s">
        <v>193</v>
      </c>
      <c r="I156" s="137" t="s">
        <v>53</v>
      </c>
      <c r="J156" s="137" t="s">
        <v>193</v>
      </c>
    </row>
    <row r="157" spans="1:10" ht="15" customHeight="1" x14ac:dyDescent="0.25">
      <c r="A157" s="137" t="s">
        <v>401</v>
      </c>
      <c r="B157" s="137" t="s">
        <v>410</v>
      </c>
      <c r="C157" s="137">
        <v>2018</v>
      </c>
      <c r="D157" s="137" t="s">
        <v>193</v>
      </c>
      <c r="E157" s="137" t="s">
        <v>53</v>
      </c>
      <c r="F157" s="137" t="s">
        <v>193</v>
      </c>
      <c r="G157" s="137" t="s">
        <v>53</v>
      </c>
      <c r="H157" s="137" t="s">
        <v>193</v>
      </c>
      <c r="I157" s="137" t="s">
        <v>53</v>
      </c>
      <c r="J157" s="137" t="s">
        <v>193</v>
      </c>
    </row>
    <row r="158" spans="1:10" ht="15" customHeight="1" x14ac:dyDescent="0.25">
      <c r="A158" s="137" t="s">
        <v>411</v>
      </c>
      <c r="B158" s="137" t="s">
        <v>412</v>
      </c>
      <c r="C158" s="137">
        <v>2018</v>
      </c>
      <c r="D158" s="137" t="s">
        <v>193</v>
      </c>
      <c r="E158" s="137" t="s">
        <v>53</v>
      </c>
      <c r="F158" s="137" t="s">
        <v>193</v>
      </c>
      <c r="G158" s="137" t="s">
        <v>53</v>
      </c>
      <c r="H158" s="137" t="s">
        <v>193</v>
      </c>
      <c r="I158" s="137" t="s">
        <v>53</v>
      </c>
      <c r="J158" s="137" t="s">
        <v>193</v>
      </c>
    </row>
    <row r="159" spans="1:10" ht="15" customHeight="1" x14ac:dyDescent="0.25">
      <c r="A159" s="137" t="s">
        <v>413</v>
      </c>
      <c r="B159" s="137" t="s">
        <v>93</v>
      </c>
      <c r="C159" s="137">
        <v>2018</v>
      </c>
      <c r="D159" s="137" t="s">
        <v>53</v>
      </c>
      <c r="E159" s="137" t="s">
        <v>53</v>
      </c>
      <c r="F159" s="137" t="s">
        <v>53</v>
      </c>
      <c r="G159" s="137" t="s">
        <v>53</v>
      </c>
      <c r="H159" s="137" t="s">
        <v>53</v>
      </c>
      <c r="I159" s="137" t="s">
        <v>53</v>
      </c>
      <c r="J159" s="137" t="s">
        <v>53</v>
      </c>
    </row>
    <row r="160" spans="1:10" ht="15" customHeight="1" x14ac:dyDescent="0.25">
      <c r="A160" s="137" t="s">
        <v>414</v>
      </c>
      <c r="B160" s="137" t="s">
        <v>415</v>
      </c>
      <c r="C160" s="137">
        <v>2018</v>
      </c>
      <c r="D160" s="137" t="s">
        <v>193</v>
      </c>
      <c r="E160" s="137" t="s">
        <v>53</v>
      </c>
      <c r="F160" s="137" t="s">
        <v>193</v>
      </c>
      <c r="G160" s="137" t="s">
        <v>53</v>
      </c>
      <c r="H160" s="137" t="s">
        <v>193</v>
      </c>
      <c r="I160" s="137" t="s">
        <v>53</v>
      </c>
      <c r="J160" s="137" t="s">
        <v>193</v>
      </c>
    </row>
    <row r="161" spans="1:10" ht="15" customHeight="1" x14ac:dyDescent="0.25">
      <c r="A161" s="137" t="s">
        <v>414</v>
      </c>
      <c r="B161" s="137" t="s">
        <v>416</v>
      </c>
      <c r="C161" s="137">
        <v>2018</v>
      </c>
      <c r="D161" s="137" t="s">
        <v>193</v>
      </c>
      <c r="E161" s="137" t="s">
        <v>53</v>
      </c>
      <c r="F161" s="137" t="s">
        <v>193</v>
      </c>
      <c r="G161" s="137" t="s">
        <v>53</v>
      </c>
      <c r="H161" s="137" t="s">
        <v>193</v>
      </c>
      <c r="I161" s="137" t="s">
        <v>53</v>
      </c>
      <c r="J161" s="137" t="s">
        <v>193</v>
      </c>
    </row>
    <row r="162" spans="1:10" ht="15" customHeight="1" x14ac:dyDescent="0.25">
      <c r="A162" s="137" t="s">
        <v>414</v>
      </c>
      <c r="B162" s="137" t="s">
        <v>417</v>
      </c>
      <c r="C162" s="137">
        <v>2018</v>
      </c>
      <c r="D162" s="137" t="s">
        <v>193</v>
      </c>
      <c r="E162" s="137" t="s">
        <v>53</v>
      </c>
      <c r="F162" s="137" t="s">
        <v>193</v>
      </c>
      <c r="G162" s="137" t="s">
        <v>53</v>
      </c>
      <c r="H162" s="137" t="s">
        <v>193</v>
      </c>
      <c r="I162" s="137" t="s">
        <v>53</v>
      </c>
      <c r="J162" s="137" t="s">
        <v>193</v>
      </c>
    </row>
    <row r="163" spans="1:10" ht="15" customHeight="1" x14ac:dyDescent="0.25">
      <c r="A163" s="137" t="s">
        <v>414</v>
      </c>
      <c r="B163" s="137" t="s">
        <v>418</v>
      </c>
      <c r="C163" s="137">
        <v>2018</v>
      </c>
      <c r="D163" s="137" t="s">
        <v>193</v>
      </c>
      <c r="E163" s="137" t="s">
        <v>53</v>
      </c>
      <c r="F163" s="137" t="s">
        <v>193</v>
      </c>
      <c r="G163" s="137" t="s">
        <v>53</v>
      </c>
      <c r="H163" s="137" t="s">
        <v>193</v>
      </c>
      <c r="I163" s="137" t="s">
        <v>53</v>
      </c>
      <c r="J163" s="137" t="s">
        <v>193</v>
      </c>
    </row>
    <row r="164" spans="1:10" ht="15" customHeight="1" x14ac:dyDescent="0.25">
      <c r="A164" s="137" t="s">
        <v>419</v>
      </c>
      <c r="B164" s="137" t="s">
        <v>420</v>
      </c>
      <c r="C164" s="137">
        <v>2018</v>
      </c>
      <c r="D164" s="137">
        <v>55.55</v>
      </c>
      <c r="E164" s="137" t="s">
        <v>886</v>
      </c>
      <c r="F164" s="137">
        <v>55.55</v>
      </c>
      <c r="G164" s="137" t="s">
        <v>193</v>
      </c>
      <c r="H164" s="137" t="s">
        <v>193</v>
      </c>
      <c r="I164" s="137" t="s">
        <v>193</v>
      </c>
      <c r="J164" s="137" t="s">
        <v>193</v>
      </c>
    </row>
    <row r="165" spans="1:10" ht="15" customHeight="1" x14ac:dyDescent="0.25">
      <c r="A165" s="137" t="s">
        <v>421</v>
      </c>
      <c r="B165" s="137" t="s">
        <v>422</v>
      </c>
      <c r="C165" s="137">
        <v>2018</v>
      </c>
      <c r="D165" s="137">
        <v>11.773999999999999</v>
      </c>
      <c r="E165" s="137" t="s">
        <v>887</v>
      </c>
      <c r="F165" s="137">
        <v>11.773999999999999</v>
      </c>
      <c r="G165" s="137" t="s">
        <v>53</v>
      </c>
      <c r="H165" s="137" t="s">
        <v>193</v>
      </c>
      <c r="I165" s="137" t="s">
        <v>53</v>
      </c>
      <c r="J165" s="137" t="s">
        <v>193</v>
      </c>
    </row>
    <row r="166" spans="1:10" ht="15" customHeight="1" x14ac:dyDescent="0.25">
      <c r="A166" s="137" t="s">
        <v>421</v>
      </c>
      <c r="B166" s="137" t="s">
        <v>423</v>
      </c>
      <c r="C166" s="137">
        <v>2018</v>
      </c>
      <c r="D166" s="137" t="s">
        <v>193</v>
      </c>
      <c r="E166" s="137" t="s">
        <v>193</v>
      </c>
      <c r="F166" s="137" t="s">
        <v>193</v>
      </c>
      <c r="G166" s="137" t="s">
        <v>193</v>
      </c>
      <c r="H166" s="137" t="s">
        <v>193</v>
      </c>
      <c r="I166" s="137" t="s">
        <v>193</v>
      </c>
      <c r="J166" s="137" t="s">
        <v>193</v>
      </c>
    </row>
    <row r="167" spans="1:10" ht="15" customHeight="1" x14ac:dyDescent="0.25">
      <c r="A167" s="137" t="s">
        <v>424</v>
      </c>
      <c r="B167" s="137" t="s">
        <v>425</v>
      </c>
      <c r="C167" s="137">
        <v>2018</v>
      </c>
      <c r="D167" s="137" t="s">
        <v>193</v>
      </c>
      <c r="E167" s="137" t="s">
        <v>53</v>
      </c>
      <c r="F167" s="137" t="s">
        <v>193</v>
      </c>
      <c r="G167" s="137" t="s">
        <v>53</v>
      </c>
      <c r="H167" s="137" t="s">
        <v>193</v>
      </c>
      <c r="I167" s="137" t="s">
        <v>53</v>
      </c>
      <c r="J167" s="137" t="s">
        <v>193</v>
      </c>
    </row>
    <row r="168" spans="1:10" ht="15" customHeight="1" x14ac:dyDescent="0.25">
      <c r="A168" s="137" t="s">
        <v>426</v>
      </c>
      <c r="B168" s="137" t="s">
        <v>427</v>
      </c>
      <c r="C168" s="137">
        <v>2018</v>
      </c>
      <c r="D168" s="137">
        <v>17.600000000000001</v>
      </c>
      <c r="E168" s="137" t="s">
        <v>803</v>
      </c>
      <c r="F168" s="137">
        <v>17.600000000000001</v>
      </c>
      <c r="G168" s="137" t="s">
        <v>219</v>
      </c>
      <c r="H168" s="137" t="s">
        <v>193</v>
      </c>
      <c r="I168" s="137" t="s">
        <v>219</v>
      </c>
      <c r="J168" s="137" t="s">
        <v>193</v>
      </c>
    </row>
    <row r="169" spans="1:10" ht="15" customHeight="1" x14ac:dyDescent="0.25">
      <c r="A169" s="137" t="s">
        <v>426</v>
      </c>
      <c r="B169" s="137" t="s">
        <v>428</v>
      </c>
      <c r="C169" s="137">
        <v>2018</v>
      </c>
      <c r="D169" s="137">
        <v>0.64100000000000001</v>
      </c>
      <c r="E169" s="137" t="s">
        <v>888</v>
      </c>
      <c r="F169" s="137">
        <v>0.64100000000000001</v>
      </c>
      <c r="G169" s="137" t="s">
        <v>53</v>
      </c>
      <c r="H169" s="137" t="s">
        <v>193</v>
      </c>
      <c r="I169" s="137" t="s">
        <v>53</v>
      </c>
      <c r="J169" s="137" t="s">
        <v>193</v>
      </c>
    </row>
    <row r="170" spans="1:10" ht="15" customHeight="1" x14ac:dyDescent="0.25">
      <c r="A170" s="137" t="s">
        <v>426</v>
      </c>
      <c r="B170" s="137" t="s">
        <v>429</v>
      </c>
      <c r="C170" s="137">
        <v>2018</v>
      </c>
      <c r="D170" s="137">
        <v>77.7</v>
      </c>
      <c r="E170" s="137" t="s">
        <v>803</v>
      </c>
      <c r="F170" s="137">
        <v>77.7</v>
      </c>
      <c r="G170" s="137" t="s">
        <v>53</v>
      </c>
      <c r="H170" s="137" t="s">
        <v>193</v>
      </c>
      <c r="I170" s="137" t="s">
        <v>53</v>
      </c>
      <c r="J170" s="137" t="s">
        <v>193</v>
      </c>
    </row>
    <row r="171" spans="1:10" ht="15" customHeight="1" x14ac:dyDescent="0.25">
      <c r="A171" s="137" t="s">
        <v>426</v>
      </c>
      <c r="B171" s="137" t="s">
        <v>430</v>
      </c>
      <c r="C171" s="137">
        <v>2018</v>
      </c>
      <c r="D171" s="137" t="s">
        <v>193</v>
      </c>
      <c r="E171" s="137" t="s">
        <v>53</v>
      </c>
      <c r="F171" s="137" t="s">
        <v>193</v>
      </c>
      <c r="G171" s="137" t="s">
        <v>53</v>
      </c>
      <c r="H171" s="137" t="s">
        <v>193</v>
      </c>
      <c r="I171" s="137" t="s">
        <v>53</v>
      </c>
      <c r="J171" s="137" t="s">
        <v>193</v>
      </c>
    </row>
    <row r="172" spans="1:10" ht="15" customHeight="1" x14ac:dyDescent="0.25">
      <c r="A172" s="137" t="s">
        <v>426</v>
      </c>
      <c r="B172" s="137" t="s">
        <v>431</v>
      </c>
      <c r="C172" s="137">
        <v>2018</v>
      </c>
      <c r="D172" s="137">
        <v>4.09</v>
      </c>
      <c r="E172" s="137" t="s">
        <v>803</v>
      </c>
      <c r="F172" s="137">
        <v>4.09</v>
      </c>
      <c r="G172" s="137" t="s">
        <v>53</v>
      </c>
      <c r="H172" s="137" t="s">
        <v>193</v>
      </c>
      <c r="I172" s="137" t="s">
        <v>53</v>
      </c>
      <c r="J172" s="137" t="s">
        <v>193</v>
      </c>
    </row>
    <row r="173" spans="1:10" ht="15" customHeight="1" x14ac:dyDescent="0.25">
      <c r="A173" s="137" t="s">
        <v>432</v>
      </c>
      <c r="B173" s="137" t="s">
        <v>433</v>
      </c>
      <c r="C173" s="137">
        <v>2018</v>
      </c>
      <c r="D173" s="137" t="s">
        <v>193</v>
      </c>
      <c r="E173" s="137" t="s">
        <v>53</v>
      </c>
      <c r="F173" s="137" t="s">
        <v>193</v>
      </c>
      <c r="G173" s="137" t="s">
        <v>53</v>
      </c>
      <c r="H173" s="137" t="s">
        <v>193</v>
      </c>
      <c r="I173" s="137" t="s">
        <v>53</v>
      </c>
      <c r="J173" s="137" t="s">
        <v>193</v>
      </c>
    </row>
    <row r="174" spans="1:10" ht="15" customHeight="1" x14ac:dyDescent="0.25">
      <c r="A174" s="137" t="s">
        <v>434</v>
      </c>
      <c r="B174" s="137" t="s">
        <v>435</v>
      </c>
      <c r="C174" s="137">
        <v>2018</v>
      </c>
      <c r="D174" s="137" t="s">
        <v>193</v>
      </c>
      <c r="E174" s="137" t="s">
        <v>53</v>
      </c>
      <c r="F174" s="137" t="s">
        <v>193</v>
      </c>
      <c r="G174" s="137" t="s">
        <v>53</v>
      </c>
      <c r="H174" s="137" t="s">
        <v>193</v>
      </c>
      <c r="I174" s="137" t="s">
        <v>53</v>
      </c>
      <c r="J174" s="137" t="s">
        <v>193</v>
      </c>
    </row>
    <row r="175" spans="1:10" ht="15" customHeight="1" x14ac:dyDescent="0.25">
      <c r="A175" s="137" t="s">
        <v>434</v>
      </c>
      <c r="B175" s="137" t="s">
        <v>436</v>
      </c>
      <c r="C175" s="137">
        <v>2018</v>
      </c>
      <c r="D175" s="137" t="s">
        <v>193</v>
      </c>
      <c r="E175" s="137" t="s">
        <v>53</v>
      </c>
      <c r="F175" s="137" t="s">
        <v>193</v>
      </c>
      <c r="G175" s="137" t="s">
        <v>53</v>
      </c>
      <c r="H175" s="137" t="s">
        <v>193</v>
      </c>
      <c r="I175" s="137" t="s">
        <v>53</v>
      </c>
      <c r="J175" s="137" t="s">
        <v>193</v>
      </c>
    </row>
    <row r="176" spans="1:10" ht="15" customHeight="1" x14ac:dyDescent="0.25">
      <c r="A176" s="137" t="s">
        <v>434</v>
      </c>
      <c r="B176" s="137" t="s">
        <v>437</v>
      </c>
      <c r="C176" s="137">
        <v>2018</v>
      </c>
      <c r="D176" s="137" t="s">
        <v>193</v>
      </c>
      <c r="E176" s="137" t="s">
        <v>53</v>
      </c>
      <c r="F176" s="137" t="s">
        <v>193</v>
      </c>
      <c r="G176" s="137" t="s">
        <v>53</v>
      </c>
      <c r="H176" s="137" t="s">
        <v>193</v>
      </c>
      <c r="I176" s="137" t="s">
        <v>53</v>
      </c>
      <c r="J176" s="137" t="s">
        <v>193</v>
      </c>
    </row>
    <row r="177" spans="1:10" ht="15" customHeight="1" x14ac:dyDescent="0.25">
      <c r="A177" s="137" t="s">
        <v>438</v>
      </c>
      <c r="B177" s="137" t="s">
        <v>439</v>
      </c>
      <c r="C177" s="137">
        <v>2018</v>
      </c>
      <c r="D177" s="137" t="s">
        <v>193</v>
      </c>
      <c r="E177" s="137" t="s">
        <v>53</v>
      </c>
      <c r="F177" s="137" t="s">
        <v>53</v>
      </c>
      <c r="G177" s="137" t="s">
        <v>53</v>
      </c>
      <c r="H177" s="137" t="s">
        <v>53</v>
      </c>
      <c r="I177" s="137" t="s">
        <v>53</v>
      </c>
      <c r="J177" s="137" t="s">
        <v>193</v>
      </c>
    </row>
    <row r="178" spans="1:10" ht="15" customHeight="1" x14ac:dyDescent="0.25">
      <c r="A178" s="137" t="s">
        <v>438</v>
      </c>
      <c r="B178" s="137" t="s">
        <v>440</v>
      </c>
      <c r="C178" s="137">
        <v>2018</v>
      </c>
      <c r="D178" s="137">
        <v>6.6</v>
      </c>
      <c r="E178" s="137" t="s">
        <v>806</v>
      </c>
      <c r="F178" s="137">
        <v>6.6</v>
      </c>
      <c r="G178" s="137" t="s">
        <v>53</v>
      </c>
      <c r="H178" s="137" t="s">
        <v>193</v>
      </c>
      <c r="I178" s="137" t="s">
        <v>53</v>
      </c>
      <c r="J178" s="137" t="s">
        <v>193</v>
      </c>
    </row>
    <row r="179" spans="1:10" ht="15" customHeight="1" x14ac:dyDescent="0.25">
      <c r="A179" s="137" t="s">
        <v>438</v>
      </c>
      <c r="B179" s="137" t="s">
        <v>441</v>
      </c>
      <c r="C179" s="137">
        <v>2018</v>
      </c>
      <c r="D179" s="137" t="s">
        <v>193</v>
      </c>
      <c r="E179" s="137" t="s">
        <v>53</v>
      </c>
      <c r="F179" s="137" t="s">
        <v>193</v>
      </c>
      <c r="G179" s="137" t="s">
        <v>53</v>
      </c>
      <c r="H179" s="137" t="s">
        <v>193</v>
      </c>
      <c r="I179" s="137" t="s">
        <v>53</v>
      </c>
      <c r="J179" s="137" t="s">
        <v>193</v>
      </c>
    </row>
    <row r="180" spans="1:10" ht="15" customHeight="1" x14ac:dyDescent="0.25">
      <c r="A180" s="137" t="s">
        <v>442</v>
      </c>
      <c r="B180" s="137" t="s">
        <v>443</v>
      </c>
      <c r="C180" s="137">
        <v>2018</v>
      </c>
      <c r="D180" s="137" t="s">
        <v>193</v>
      </c>
      <c r="E180" s="137" t="s">
        <v>53</v>
      </c>
      <c r="F180" s="137" t="s">
        <v>193</v>
      </c>
      <c r="G180" s="137" t="s">
        <v>53</v>
      </c>
      <c r="H180" s="137" t="s">
        <v>193</v>
      </c>
      <c r="I180" s="137" t="s">
        <v>53</v>
      </c>
      <c r="J180" s="137" t="s">
        <v>193</v>
      </c>
    </row>
    <row r="181" spans="1:10" ht="15" customHeight="1" x14ac:dyDescent="0.25">
      <c r="A181" s="137" t="s">
        <v>444</v>
      </c>
      <c r="B181" s="137" t="s">
        <v>445</v>
      </c>
      <c r="C181" s="137">
        <v>2018</v>
      </c>
      <c r="D181" s="137" t="s">
        <v>193</v>
      </c>
      <c r="E181" s="137" t="s">
        <v>193</v>
      </c>
      <c r="F181" s="137" t="s">
        <v>193</v>
      </c>
      <c r="G181" s="137" t="s">
        <v>53</v>
      </c>
      <c r="H181" s="137" t="s">
        <v>193</v>
      </c>
      <c r="I181" s="137" t="s">
        <v>53</v>
      </c>
      <c r="J181" s="137" t="s">
        <v>193</v>
      </c>
    </row>
    <row r="182" spans="1:10" ht="15" customHeight="1" x14ac:dyDescent="0.25">
      <c r="A182" s="137" t="s">
        <v>444</v>
      </c>
      <c r="B182" s="137" t="s">
        <v>446</v>
      </c>
      <c r="C182" s="137">
        <v>2018</v>
      </c>
      <c r="D182" s="137" t="s">
        <v>193</v>
      </c>
      <c r="E182" s="137" t="s">
        <v>53</v>
      </c>
      <c r="F182" s="137" t="s">
        <v>193</v>
      </c>
      <c r="G182" s="137" t="s">
        <v>53</v>
      </c>
      <c r="H182" s="137" t="s">
        <v>193</v>
      </c>
      <c r="I182" s="137" t="s">
        <v>53</v>
      </c>
      <c r="J182" s="137" t="s">
        <v>193</v>
      </c>
    </row>
    <row r="183" spans="1:10" ht="15" customHeight="1" x14ac:dyDescent="0.25">
      <c r="A183" s="137" t="s">
        <v>447</v>
      </c>
      <c r="B183" s="137" t="s">
        <v>448</v>
      </c>
      <c r="C183" s="137">
        <v>2018</v>
      </c>
      <c r="D183" s="137" t="s">
        <v>193</v>
      </c>
      <c r="E183" s="137" t="s">
        <v>53</v>
      </c>
      <c r="F183" s="137" t="s">
        <v>193</v>
      </c>
      <c r="G183" s="137" t="s">
        <v>53</v>
      </c>
      <c r="H183" s="137" t="s">
        <v>193</v>
      </c>
      <c r="I183" s="137" t="s">
        <v>53</v>
      </c>
      <c r="J183" s="137" t="s">
        <v>193</v>
      </c>
    </row>
    <row r="184" spans="1:10" ht="15" customHeight="1" x14ac:dyDescent="0.25">
      <c r="A184" s="137" t="s">
        <v>449</v>
      </c>
      <c r="B184" s="137" t="s">
        <v>450</v>
      </c>
      <c r="C184" s="137">
        <v>2018</v>
      </c>
      <c r="D184" s="137" t="s">
        <v>193</v>
      </c>
      <c r="E184" s="137" t="s">
        <v>219</v>
      </c>
      <c r="F184" s="137" t="s">
        <v>193</v>
      </c>
      <c r="G184" s="137" t="s">
        <v>219</v>
      </c>
      <c r="H184" s="137" t="s">
        <v>193</v>
      </c>
      <c r="I184" s="137" t="s">
        <v>219</v>
      </c>
      <c r="J184" s="137" t="s">
        <v>193</v>
      </c>
    </row>
    <row r="185" spans="1:10" ht="15" customHeight="1" x14ac:dyDescent="0.25">
      <c r="A185" s="137" t="s">
        <v>451</v>
      </c>
      <c r="B185" s="137" t="s">
        <v>452</v>
      </c>
      <c r="C185" s="137">
        <v>2018</v>
      </c>
      <c r="D185" s="137" t="s">
        <v>53</v>
      </c>
      <c r="E185" s="137" t="s">
        <v>53</v>
      </c>
      <c r="F185" s="137" t="s">
        <v>53</v>
      </c>
      <c r="G185" s="137" t="s">
        <v>53</v>
      </c>
      <c r="H185" s="137" t="s">
        <v>53</v>
      </c>
      <c r="I185" s="137" t="s">
        <v>53</v>
      </c>
      <c r="J185" s="137" t="s">
        <v>53</v>
      </c>
    </row>
    <row r="186" spans="1:10" ht="15" customHeight="1" x14ac:dyDescent="0.25">
      <c r="A186" s="137" t="s">
        <v>453</v>
      </c>
      <c r="B186" s="137" t="s">
        <v>454</v>
      </c>
      <c r="C186" s="137">
        <v>2018</v>
      </c>
      <c r="D186" s="137" t="s">
        <v>193</v>
      </c>
      <c r="E186" s="137" t="s">
        <v>53</v>
      </c>
      <c r="F186" s="137" t="s">
        <v>193</v>
      </c>
      <c r="G186" s="137" t="s">
        <v>53</v>
      </c>
      <c r="H186" s="137" t="s">
        <v>193</v>
      </c>
      <c r="I186" s="137" t="s">
        <v>53</v>
      </c>
      <c r="J186" s="137" t="s">
        <v>193</v>
      </c>
    </row>
    <row r="187" spans="1:10" ht="15" customHeight="1" x14ac:dyDescent="0.25">
      <c r="A187" s="137" t="s">
        <v>453</v>
      </c>
      <c r="B187" s="137" t="s">
        <v>126</v>
      </c>
      <c r="C187" s="137">
        <v>2018</v>
      </c>
      <c r="D187" s="137" t="s">
        <v>193</v>
      </c>
      <c r="E187" s="137" t="s">
        <v>535</v>
      </c>
      <c r="F187" s="137" t="s">
        <v>193</v>
      </c>
      <c r="G187" s="137" t="s">
        <v>535</v>
      </c>
      <c r="H187" s="137" t="s">
        <v>193</v>
      </c>
      <c r="I187" s="137" t="s">
        <v>535</v>
      </c>
      <c r="J187" s="137" t="s">
        <v>193</v>
      </c>
    </row>
    <row r="188" spans="1:10" ht="15" customHeight="1" x14ac:dyDescent="0.25">
      <c r="A188" s="137" t="s">
        <v>453</v>
      </c>
      <c r="B188" s="137" t="s">
        <v>455</v>
      </c>
      <c r="C188" s="137">
        <v>2018</v>
      </c>
      <c r="D188" s="137" t="s">
        <v>193</v>
      </c>
      <c r="E188" s="137" t="s">
        <v>193</v>
      </c>
      <c r="F188" s="137" t="s">
        <v>193</v>
      </c>
      <c r="G188" s="137" t="s">
        <v>193</v>
      </c>
      <c r="H188" s="137" t="s">
        <v>193</v>
      </c>
      <c r="I188" s="137" t="s">
        <v>193</v>
      </c>
      <c r="J188" s="137" t="s">
        <v>193</v>
      </c>
    </row>
    <row r="189" spans="1:10" ht="15" customHeight="1" x14ac:dyDescent="0.25">
      <c r="A189" s="137" t="s">
        <v>453</v>
      </c>
      <c r="B189" s="137" t="s">
        <v>456</v>
      </c>
      <c r="C189" s="137">
        <v>2018</v>
      </c>
      <c r="D189" s="137" t="s">
        <v>193</v>
      </c>
      <c r="E189" s="137" t="s">
        <v>53</v>
      </c>
      <c r="F189" s="137" t="s">
        <v>193</v>
      </c>
      <c r="G189" s="137" t="s">
        <v>53</v>
      </c>
      <c r="H189" s="137" t="s">
        <v>193</v>
      </c>
      <c r="I189" s="137" t="s">
        <v>53</v>
      </c>
      <c r="J189" s="137" t="s">
        <v>193</v>
      </c>
    </row>
    <row r="190" spans="1:10" ht="15" customHeight="1" x14ac:dyDescent="0.25">
      <c r="A190" s="137" t="s">
        <v>457</v>
      </c>
      <c r="B190" s="137" t="s">
        <v>458</v>
      </c>
      <c r="C190" s="137">
        <v>2018</v>
      </c>
      <c r="D190" s="137" t="s">
        <v>193</v>
      </c>
      <c r="E190" s="137" t="s">
        <v>53</v>
      </c>
      <c r="F190" s="137" t="s">
        <v>193</v>
      </c>
      <c r="G190" s="137" t="s">
        <v>53</v>
      </c>
      <c r="H190" s="137" t="s">
        <v>193</v>
      </c>
      <c r="I190" s="137" t="s">
        <v>53</v>
      </c>
      <c r="J190" s="137" t="s">
        <v>193</v>
      </c>
    </row>
    <row r="191" spans="1:10" ht="15" customHeight="1" x14ac:dyDescent="0.25">
      <c r="A191" s="137" t="s">
        <v>457</v>
      </c>
      <c r="B191" s="137" t="s">
        <v>459</v>
      </c>
      <c r="C191" s="137">
        <v>2018</v>
      </c>
      <c r="D191" s="137" t="s">
        <v>193</v>
      </c>
      <c r="E191" s="137" t="s">
        <v>53</v>
      </c>
      <c r="F191" s="137" t="s">
        <v>193</v>
      </c>
      <c r="G191" s="137" t="s">
        <v>53</v>
      </c>
      <c r="H191" s="137" t="s">
        <v>193</v>
      </c>
      <c r="I191" s="137" t="s">
        <v>53</v>
      </c>
      <c r="J191" s="137" t="s">
        <v>193</v>
      </c>
    </row>
    <row r="192" spans="1:10" ht="15" customHeight="1" x14ac:dyDescent="0.25">
      <c r="A192" s="137" t="s">
        <v>457</v>
      </c>
      <c r="B192" s="137" t="s">
        <v>460</v>
      </c>
      <c r="C192" s="137">
        <v>2018</v>
      </c>
      <c r="D192" s="137" t="s">
        <v>193</v>
      </c>
      <c r="E192" s="137" t="s">
        <v>53</v>
      </c>
      <c r="F192" s="137" t="s">
        <v>193</v>
      </c>
      <c r="G192" s="137" t="s">
        <v>53</v>
      </c>
      <c r="H192" s="137" t="s">
        <v>193</v>
      </c>
      <c r="I192" s="137" t="s">
        <v>53</v>
      </c>
      <c r="J192" s="137" t="s">
        <v>193</v>
      </c>
    </row>
    <row r="193" spans="1:10" ht="15" customHeight="1" x14ac:dyDescent="0.25">
      <c r="A193" s="137" t="s">
        <v>461</v>
      </c>
      <c r="B193" s="137" t="s">
        <v>462</v>
      </c>
      <c r="C193" s="137">
        <v>2018</v>
      </c>
      <c r="D193" s="137" t="s">
        <v>193</v>
      </c>
      <c r="E193" s="137" t="s">
        <v>53</v>
      </c>
      <c r="F193" s="137" t="s">
        <v>193</v>
      </c>
      <c r="G193" s="137" t="s">
        <v>53</v>
      </c>
      <c r="H193" s="137" t="s">
        <v>193</v>
      </c>
      <c r="I193" s="137" t="s">
        <v>53</v>
      </c>
      <c r="J193" s="137" t="s">
        <v>193</v>
      </c>
    </row>
    <row r="194" spans="1:10" ht="15" customHeight="1" x14ac:dyDescent="0.25">
      <c r="A194" s="137" t="s">
        <v>461</v>
      </c>
      <c r="B194" s="137" t="s">
        <v>464</v>
      </c>
      <c r="C194" s="137">
        <v>2018</v>
      </c>
      <c r="D194" s="137">
        <v>2.375</v>
      </c>
      <c r="E194" s="137" t="s">
        <v>889</v>
      </c>
      <c r="F194" s="137">
        <v>2.375</v>
      </c>
      <c r="G194" s="137" t="s">
        <v>53</v>
      </c>
      <c r="H194" s="137" t="s">
        <v>193</v>
      </c>
      <c r="I194" s="137" t="s">
        <v>53</v>
      </c>
      <c r="J194" s="137" t="s">
        <v>193</v>
      </c>
    </row>
    <row r="195" spans="1:10" ht="15" customHeight="1" x14ac:dyDescent="0.25">
      <c r="A195" s="137" t="s">
        <v>461</v>
      </c>
      <c r="B195" s="137" t="s">
        <v>465</v>
      </c>
      <c r="C195" s="137">
        <v>2018</v>
      </c>
      <c r="D195" s="137" t="s">
        <v>193</v>
      </c>
      <c r="E195" s="137" t="s">
        <v>53</v>
      </c>
      <c r="F195" s="137" t="s">
        <v>193</v>
      </c>
      <c r="G195" s="137" t="s">
        <v>53</v>
      </c>
      <c r="H195" s="137" t="s">
        <v>193</v>
      </c>
      <c r="I195" s="137" t="s">
        <v>53</v>
      </c>
      <c r="J195" s="137" t="s">
        <v>193</v>
      </c>
    </row>
    <row r="196" spans="1:10" ht="15" customHeight="1" x14ac:dyDescent="0.25">
      <c r="A196" s="137" t="s">
        <v>461</v>
      </c>
      <c r="B196" s="137" t="s">
        <v>101</v>
      </c>
      <c r="C196" s="137">
        <v>2018</v>
      </c>
      <c r="D196" s="137" t="s">
        <v>193</v>
      </c>
      <c r="E196" s="137" t="s">
        <v>53</v>
      </c>
      <c r="F196" s="137" t="s">
        <v>193</v>
      </c>
      <c r="G196" s="137" t="s">
        <v>53</v>
      </c>
      <c r="H196" s="137" t="s">
        <v>193</v>
      </c>
      <c r="I196" s="137" t="s">
        <v>53</v>
      </c>
      <c r="J196" s="137" t="s">
        <v>193</v>
      </c>
    </row>
    <row r="197" spans="1:10" ht="15" customHeight="1" x14ac:dyDescent="0.25">
      <c r="A197" s="137" t="s">
        <v>461</v>
      </c>
      <c r="B197" s="137" t="s">
        <v>103</v>
      </c>
      <c r="C197" s="137">
        <v>2018</v>
      </c>
      <c r="D197" s="137">
        <v>0.19500000000000001</v>
      </c>
      <c r="E197" s="137" t="s">
        <v>890</v>
      </c>
      <c r="F197" s="137">
        <v>0.19500000000000001</v>
      </c>
      <c r="G197" s="137" t="s">
        <v>53</v>
      </c>
      <c r="H197" s="137" t="s">
        <v>193</v>
      </c>
      <c r="I197" s="137" t="s">
        <v>53</v>
      </c>
      <c r="J197" s="137" t="s">
        <v>193</v>
      </c>
    </row>
    <row r="198" spans="1:10" ht="15" customHeight="1" x14ac:dyDescent="0.25">
      <c r="A198" s="137" t="s">
        <v>461</v>
      </c>
      <c r="B198" s="137" t="s">
        <v>468</v>
      </c>
      <c r="C198" s="137">
        <v>2018</v>
      </c>
      <c r="D198" s="137" t="s">
        <v>193</v>
      </c>
      <c r="E198" s="137" t="s">
        <v>53</v>
      </c>
      <c r="F198" s="137" t="s">
        <v>193</v>
      </c>
      <c r="G198" s="137" t="s">
        <v>53</v>
      </c>
      <c r="H198" s="137" t="s">
        <v>193</v>
      </c>
      <c r="I198" s="137" t="s">
        <v>53</v>
      </c>
      <c r="J198" s="137" t="s">
        <v>193</v>
      </c>
    </row>
    <row r="199" spans="1:10" ht="15" customHeight="1" x14ac:dyDescent="0.25">
      <c r="A199" s="137" t="s">
        <v>461</v>
      </c>
      <c r="B199" s="137" t="s">
        <v>105</v>
      </c>
      <c r="C199" s="137">
        <v>2018</v>
      </c>
      <c r="D199" s="137" t="s">
        <v>193</v>
      </c>
      <c r="E199" s="137" t="s">
        <v>53</v>
      </c>
      <c r="F199" s="137" t="s">
        <v>193</v>
      </c>
      <c r="G199" s="137" t="s">
        <v>53</v>
      </c>
      <c r="H199" s="137" t="s">
        <v>193</v>
      </c>
      <c r="I199" s="137" t="s">
        <v>53</v>
      </c>
      <c r="J199" s="137" t="s">
        <v>193</v>
      </c>
    </row>
    <row r="200" spans="1:10" ht="15" customHeight="1" x14ac:dyDescent="0.25">
      <c r="A200" s="137" t="s">
        <v>461</v>
      </c>
      <c r="B200" s="137" t="s">
        <v>107</v>
      </c>
      <c r="C200" s="137">
        <v>2018</v>
      </c>
      <c r="D200" s="137" t="s">
        <v>193</v>
      </c>
      <c r="E200" s="137" t="s">
        <v>53</v>
      </c>
      <c r="F200" s="137" t="s">
        <v>193</v>
      </c>
      <c r="G200" s="137" t="s">
        <v>53</v>
      </c>
      <c r="H200" s="137" t="s">
        <v>193</v>
      </c>
      <c r="I200" s="137" t="s">
        <v>53</v>
      </c>
      <c r="J200" s="137" t="s">
        <v>193</v>
      </c>
    </row>
    <row r="201" spans="1:10" ht="15" customHeight="1" x14ac:dyDescent="0.25">
      <c r="A201" s="137" t="s">
        <v>461</v>
      </c>
      <c r="B201" s="137" t="s">
        <v>109</v>
      </c>
      <c r="C201" s="137">
        <v>2018</v>
      </c>
      <c r="D201" s="137" t="s">
        <v>193</v>
      </c>
      <c r="E201" s="137" t="s">
        <v>53</v>
      </c>
      <c r="F201" s="137" t="s">
        <v>193</v>
      </c>
      <c r="G201" s="137" t="s">
        <v>53</v>
      </c>
      <c r="H201" s="137" t="s">
        <v>193</v>
      </c>
      <c r="I201" s="137" t="s">
        <v>53</v>
      </c>
      <c r="J201" s="137" t="s">
        <v>193</v>
      </c>
    </row>
    <row r="202" spans="1:10" ht="15" customHeight="1" x14ac:dyDescent="0.25">
      <c r="A202" s="137" t="s">
        <v>461</v>
      </c>
      <c r="B202" s="137" t="s">
        <v>111</v>
      </c>
      <c r="C202" s="137">
        <v>2018</v>
      </c>
      <c r="D202" s="137" t="s">
        <v>193</v>
      </c>
      <c r="E202" s="137" t="s">
        <v>53</v>
      </c>
      <c r="F202" s="137" t="s">
        <v>193</v>
      </c>
      <c r="G202" s="137" t="s">
        <v>53</v>
      </c>
      <c r="H202" s="137" t="s">
        <v>193</v>
      </c>
      <c r="I202" s="137" t="s">
        <v>53</v>
      </c>
      <c r="J202" s="137" t="s">
        <v>193</v>
      </c>
    </row>
    <row r="203" spans="1:10" ht="15" customHeight="1" x14ac:dyDescent="0.25">
      <c r="A203" s="137" t="s">
        <v>461</v>
      </c>
      <c r="B203" s="137" t="s">
        <v>469</v>
      </c>
      <c r="C203" s="137">
        <v>2018</v>
      </c>
      <c r="D203" s="137" t="s">
        <v>193</v>
      </c>
      <c r="E203" s="137" t="s">
        <v>53</v>
      </c>
      <c r="F203" s="137" t="s">
        <v>193</v>
      </c>
      <c r="G203" s="137" t="s">
        <v>53</v>
      </c>
      <c r="H203" s="137" t="s">
        <v>193</v>
      </c>
      <c r="I203" s="137" t="s">
        <v>53</v>
      </c>
      <c r="J203" s="137" t="s">
        <v>193</v>
      </c>
    </row>
    <row r="204" spans="1:10" ht="15" customHeight="1" x14ac:dyDescent="0.25">
      <c r="A204" s="137" t="s">
        <v>461</v>
      </c>
      <c r="B204" s="137" t="s">
        <v>470</v>
      </c>
      <c r="C204" s="137">
        <v>2018</v>
      </c>
      <c r="D204" s="137" t="s">
        <v>193</v>
      </c>
      <c r="E204" s="137" t="s">
        <v>53</v>
      </c>
      <c r="F204" s="137" t="s">
        <v>193</v>
      </c>
      <c r="G204" s="137" t="s">
        <v>53</v>
      </c>
      <c r="H204" s="137" t="s">
        <v>193</v>
      </c>
      <c r="I204" s="137" t="s">
        <v>53</v>
      </c>
      <c r="J204" s="137" t="s">
        <v>193</v>
      </c>
    </row>
    <row r="205" spans="1:10" ht="15" customHeight="1" x14ac:dyDescent="0.25">
      <c r="A205" s="137" t="s">
        <v>461</v>
      </c>
      <c r="B205" s="137" t="s">
        <v>113</v>
      </c>
      <c r="C205" s="137">
        <v>2018</v>
      </c>
      <c r="D205" s="137" t="s">
        <v>193</v>
      </c>
      <c r="E205" s="137" t="s">
        <v>53</v>
      </c>
      <c r="F205" s="137" t="s">
        <v>193</v>
      </c>
      <c r="G205" s="137" t="s">
        <v>53</v>
      </c>
      <c r="H205" s="137" t="s">
        <v>193</v>
      </c>
      <c r="I205" s="137" t="s">
        <v>53</v>
      </c>
      <c r="J205" s="137" t="s">
        <v>193</v>
      </c>
    </row>
    <row r="206" spans="1:10" ht="15" customHeight="1" x14ac:dyDescent="0.25">
      <c r="A206" s="137" t="s">
        <v>474</v>
      </c>
      <c r="B206" s="137" t="s">
        <v>475</v>
      </c>
      <c r="C206" s="137">
        <v>2018</v>
      </c>
      <c r="D206" s="137" t="s">
        <v>193</v>
      </c>
      <c r="E206" s="137" t="s">
        <v>53</v>
      </c>
      <c r="F206" s="137" t="s">
        <v>193</v>
      </c>
      <c r="G206" s="137" t="s">
        <v>53</v>
      </c>
      <c r="H206" s="137" t="s">
        <v>193</v>
      </c>
      <c r="I206" s="137" t="s">
        <v>53</v>
      </c>
      <c r="J206" s="137" t="s">
        <v>193</v>
      </c>
    </row>
    <row r="207" spans="1:10" ht="15" customHeight="1" x14ac:dyDescent="0.25">
      <c r="A207" s="137" t="s">
        <v>474</v>
      </c>
      <c r="B207" s="137" t="s">
        <v>476</v>
      </c>
      <c r="C207" s="137">
        <v>2018</v>
      </c>
      <c r="D207" s="137" t="s">
        <v>193</v>
      </c>
      <c r="E207" s="137" t="s">
        <v>53</v>
      </c>
      <c r="F207" s="137" t="s">
        <v>193</v>
      </c>
      <c r="G207" s="137" t="s">
        <v>53</v>
      </c>
      <c r="H207" s="137" t="s">
        <v>193</v>
      </c>
      <c r="I207" s="137" t="s">
        <v>53</v>
      </c>
      <c r="J207" s="137" t="s">
        <v>193</v>
      </c>
    </row>
    <row r="208" spans="1:10" ht="15" customHeight="1" x14ac:dyDescent="0.25">
      <c r="A208" s="137" t="s">
        <v>477</v>
      </c>
      <c r="B208" s="137" t="s">
        <v>478</v>
      </c>
      <c r="C208" s="137">
        <v>2018</v>
      </c>
      <c r="D208" s="137" t="s">
        <v>193</v>
      </c>
      <c r="E208" s="137" t="s">
        <v>53</v>
      </c>
      <c r="F208" s="137" t="s">
        <v>193</v>
      </c>
      <c r="G208" s="137" t="s">
        <v>53</v>
      </c>
      <c r="H208" s="137" t="s">
        <v>193</v>
      </c>
      <c r="I208" s="137" t="s">
        <v>53</v>
      </c>
      <c r="J208" s="137" t="s">
        <v>193</v>
      </c>
    </row>
    <row r="209" spans="1:10" ht="15" customHeight="1" x14ac:dyDescent="0.25">
      <c r="A209" s="137" t="s">
        <v>477</v>
      </c>
      <c r="B209" s="137" t="s">
        <v>479</v>
      </c>
      <c r="C209" s="137">
        <v>2018</v>
      </c>
      <c r="D209" s="137" t="s">
        <v>193</v>
      </c>
      <c r="E209" s="137" t="s">
        <v>53</v>
      </c>
      <c r="F209" s="137" t="s">
        <v>193</v>
      </c>
      <c r="G209" s="137" t="s">
        <v>53</v>
      </c>
      <c r="H209" s="137" t="s">
        <v>193</v>
      </c>
      <c r="I209" s="137" t="s">
        <v>53</v>
      </c>
      <c r="J209" s="137" t="s">
        <v>193</v>
      </c>
    </row>
    <row r="210" spans="1:10" ht="15" customHeight="1" x14ac:dyDescent="0.25">
      <c r="A210" s="137" t="s">
        <v>480</v>
      </c>
      <c r="B210" s="137" t="s">
        <v>481</v>
      </c>
      <c r="C210" s="137">
        <v>2018</v>
      </c>
      <c r="D210" s="137" t="s">
        <v>53</v>
      </c>
      <c r="E210" s="137" t="s">
        <v>53</v>
      </c>
      <c r="F210" s="137" t="s">
        <v>53</v>
      </c>
      <c r="G210" s="137" t="s">
        <v>53</v>
      </c>
      <c r="H210" s="137" t="s">
        <v>53</v>
      </c>
      <c r="I210" s="137" t="s">
        <v>53</v>
      </c>
      <c r="J210" s="137" t="s">
        <v>53</v>
      </c>
    </row>
    <row r="211" spans="1:10" ht="15" customHeight="1" x14ac:dyDescent="0.25">
      <c r="A211" s="137" t="s">
        <v>115</v>
      </c>
      <c r="B211" s="137" t="s">
        <v>482</v>
      </c>
      <c r="C211" s="137">
        <v>2018</v>
      </c>
      <c r="D211" s="137">
        <v>0.13500000000000001</v>
      </c>
      <c r="E211" s="137" t="s">
        <v>891</v>
      </c>
      <c r="F211" s="137">
        <v>0.13500000000000001</v>
      </c>
      <c r="G211" s="137" t="s">
        <v>53</v>
      </c>
      <c r="H211" s="137" t="s">
        <v>193</v>
      </c>
      <c r="I211" s="137" t="s">
        <v>53</v>
      </c>
      <c r="J211" s="137" t="s">
        <v>193</v>
      </c>
    </row>
    <row r="212" spans="1:10" ht="15" customHeight="1" x14ac:dyDescent="0.25">
      <c r="A212" s="137" t="s">
        <v>483</v>
      </c>
      <c r="B212" s="137" t="s">
        <v>484</v>
      </c>
      <c r="C212" s="137">
        <v>2018</v>
      </c>
      <c r="D212" s="137">
        <v>4.5979999999999999</v>
      </c>
      <c r="E212" s="137" t="s">
        <v>892</v>
      </c>
      <c r="F212" s="137">
        <v>4.5979999999999999</v>
      </c>
      <c r="G212" s="137" t="s">
        <v>53</v>
      </c>
      <c r="H212" s="137" t="s">
        <v>193</v>
      </c>
      <c r="I212" s="137" t="s">
        <v>53</v>
      </c>
      <c r="J212" s="137" t="s">
        <v>193</v>
      </c>
    </row>
    <row r="213" spans="1:10" ht="15" customHeight="1" x14ac:dyDescent="0.25">
      <c r="A213" s="137" t="s">
        <v>483</v>
      </c>
      <c r="B213" s="137" t="s">
        <v>485</v>
      </c>
      <c r="C213" s="137">
        <v>2018</v>
      </c>
      <c r="D213" s="137" t="s">
        <v>193</v>
      </c>
      <c r="E213" s="137" t="s">
        <v>53</v>
      </c>
      <c r="F213" s="137" t="s">
        <v>193</v>
      </c>
      <c r="G213" s="137" t="s">
        <v>53</v>
      </c>
      <c r="H213" s="137" t="s">
        <v>193</v>
      </c>
      <c r="I213" s="137" t="s">
        <v>53</v>
      </c>
      <c r="J213" s="137" t="s">
        <v>193</v>
      </c>
    </row>
    <row r="214" spans="1:10" ht="15" customHeight="1" x14ac:dyDescent="0.25">
      <c r="A214" s="137" t="s">
        <v>483</v>
      </c>
      <c r="B214" s="137" t="s">
        <v>486</v>
      </c>
      <c r="C214" s="137">
        <v>2018</v>
      </c>
      <c r="D214" s="137" t="s">
        <v>193</v>
      </c>
      <c r="E214" s="137" t="s">
        <v>53</v>
      </c>
      <c r="F214" s="137" t="s">
        <v>193</v>
      </c>
      <c r="G214" s="137" t="s">
        <v>53</v>
      </c>
      <c r="H214" s="137" t="s">
        <v>193</v>
      </c>
      <c r="I214" s="137" t="s">
        <v>53</v>
      </c>
      <c r="J214" s="137" t="s">
        <v>193</v>
      </c>
    </row>
    <row r="215" spans="1:10" ht="15" customHeight="1" x14ac:dyDescent="0.25">
      <c r="A215" s="137" t="s">
        <v>487</v>
      </c>
      <c r="B215" s="137" t="s">
        <v>488</v>
      </c>
      <c r="C215" s="137">
        <v>2018</v>
      </c>
      <c r="D215" s="137" t="s">
        <v>193</v>
      </c>
      <c r="E215" s="137" t="s">
        <v>53</v>
      </c>
      <c r="F215" s="137" t="s">
        <v>193</v>
      </c>
      <c r="G215" s="137" t="s">
        <v>53</v>
      </c>
      <c r="H215" s="137" t="s">
        <v>193</v>
      </c>
      <c r="I215" s="137" t="s">
        <v>53</v>
      </c>
      <c r="J215" s="137" t="s">
        <v>193</v>
      </c>
    </row>
    <row r="216" spans="1:10" ht="15" customHeight="1" x14ac:dyDescent="0.25">
      <c r="A216" s="137" t="s">
        <v>489</v>
      </c>
      <c r="B216" s="137" t="s">
        <v>490</v>
      </c>
      <c r="C216" s="137">
        <v>2018</v>
      </c>
      <c r="D216" s="137" t="s">
        <v>193</v>
      </c>
      <c r="E216" s="137" t="s">
        <v>53</v>
      </c>
      <c r="F216" s="137" t="s">
        <v>193</v>
      </c>
      <c r="G216" s="137" t="s">
        <v>53</v>
      </c>
      <c r="H216" s="137" t="s">
        <v>193</v>
      </c>
      <c r="I216" s="137" t="s">
        <v>53</v>
      </c>
      <c r="J216" s="137" t="s">
        <v>193</v>
      </c>
    </row>
    <row r="217" spans="1:10" ht="15" customHeight="1" x14ac:dyDescent="0.25">
      <c r="A217" s="137" t="s">
        <v>491</v>
      </c>
      <c r="B217" s="137" t="s">
        <v>492</v>
      </c>
      <c r="C217" s="137">
        <v>2018</v>
      </c>
      <c r="D217" s="137" t="s">
        <v>193</v>
      </c>
      <c r="E217" s="137" t="s">
        <v>53</v>
      </c>
      <c r="F217" s="137" t="s">
        <v>193</v>
      </c>
      <c r="G217" s="137" t="s">
        <v>53</v>
      </c>
      <c r="H217" s="137" t="s">
        <v>193</v>
      </c>
      <c r="I217" s="137" t="s">
        <v>53</v>
      </c>
      <c r="J217" s="137" t="s">
        <v>193</v>
      </c>
    </row>
    <row r="218" spans="1:10" ht="15" customHeight="1" x14ac:dyDescent="0.25">
      <c r="A218" s="137" t="s">
        <v>491</v>
      </c>
      <c r="B218" s="137" t="s">
        <v>493</v>
      </c>
      <c r="C218" s="137">
        <v>2018</v>
      </c>
      <c r="D218" s="137" t="s">
        <v>193</v>
      </c>
      <c r="E218" s="137" t="s">
        <v>53</v>
      </c>
      <c r="F218" s="137" t="s">
        <v>193</v>
      </c>
      <c r="G218" s="137" t="s">
        <v>53</v>
      </c>
      <c r="H218" s="137" t="s">
        <v>193</v>
      </c>
      <c r="I218" s="137" t="s">
        <v>53</v>
      </c>
      <c r="J218" s="137" t="s">
        <v>193</v>
      </c>
    </row>
    <row r="219" spans="1:10" ht="15" customHeight="1" x14ac:dyDescent="0.25">
      <c r="A219" s="137" t="s">
        <v>491</v>
      </c>
      <c r="B219" s="137" t="s">
        <v>494</v>
      </c>
      <c r="C219" s="137">
        <v>2018</v>
      </c>
      <c r="D219" s="137" t="s">
        <v>193</v>
      </c>
      <c r="E219" s="137" t="s">
        <v>53</v>
      </c>
      <c r="F219" s="137" t="s">
        <v>193</v>
      </c>
      <c r="G219" s="137" t="s">
        <v>53</v>
      </c>
      <c r="H219" s="137" t="s">
        <v>193</v>
      </c>
      <c r="I219" s="137" t="s">
        <v>53</v>
      </c>
      <c r="J219" s="137" t="s">
        <v>193</v>
      </c>
    </row>
    <row r="220" spans="1:10" ht="15" customHeight="1" x14ac:dyDescent="0.25">
      <c r="A220" s="137" t="s">
        <v>495</v>
      </c>
      <c r="B220" s="137" t="s">
        <v>496</v>
      </c>
      <c r="C220" s="137">
        <v>2018</v>
      </c>
      <c r="D220" s="137" t="s">
        <v>193</v>
      </c>
      <c r="E220" s="137" t="s">
        <v>53</v>
      </c>
      <c r="F220" s="137" t="s">
        <v>193</v>
      </c>
      <c r="G220" s="137" t="s">
        <v>53</v>
      </c>
      <c r="H220" s="137" t="s">
        <v>193</v>
      </c>
      <c r="I220" s="137" t="s">
        <v>53</v>
      </c>
      <c r="J220" s="137" t="s">
        <v>193</v>
      </c>
    </row>
    <row r="221" spans="1:10" ht="15" customHeight="1" x14ac:dyDescent="0.25">
      <c r="A221" s="137" t="s">
        <v>498</v>
      </c>
      <c r="B221" s="137" t="s">
        <v>499</v>
      </c>
      <c r="C221" s="137">
        <v>2018</v>
      </c>
      <c r="D221" s="137" t="s">
        <v>53</v>
      </c>
      <c r="E221" s="137" t="s">
        <v>53</v>
      </c>
      <c r="F221" s="137" t="s">
        <v>53</v>
      </c>
      <c r="G221" s="137" t="s">
        <v>53</v>
      </c>
      <c r="H221" s="137" t="s">
        <v>53</v>
      </c>
      <c r="I221" s="137" t="s">
        <v>53</v>
      </c>
      <c r="J221" s="137" t="s">
        <v>53</v>
      </c>
    </row>
    <row r="222" spans="1:10" ht="15" customHeight="1" x14ac:dyDescent="0.25">
      <c r="A222" s="137" t="s">
        <v>498</v>
      </c>
      <c r="B222" s="137" t="s">
        <v>500</v>
      </c>
      <c r="C222" s="137">
        <v>2018</v>
      </c>
      <c r="D222" s="137" t="s">
        <v>53</v>
      </c>
      <c r="E222" s="137" t="s">
        <v>53</v>
      </c>
      <c r="F222" s="137" t="s">
        <v>53</v>
      </c>
      <c r="G222" s="137" t="s">
        <v>53</v>
      </c>
      <c r="H222" s="137" t="s">
        <v>53</v>
      </c>
      <c r="I222" s="137" t="s">
        <v>53</v>
      </c>
      <c r="J222" s="137" t="s">
        <v>53</v>
      </c>
    </row>
    <row r="223" spans="1:10" ht="15" customHeight="1" x14ac:dyDescent="0.25">
      <c r="A223" s="137" t="s">
        <v>501</v>
      </c>
      <c r="B223" s="137" t="s">
        <v>502</v>
      </c>
      <c r="C223" s="137">
        <v>2018</v>
      </c>
      <c r="D223" s="137">
        <v>0.4</v>
      </c>
      <c r="E223" s="137" t="s">
        <v>893</v>
      </c>
      <c r="F223" s="137">
        <v>0.4</v>
      </c>
      <c r="G223" s="137" t="s">
        <v>53</v>
      </c>
      <c r="H223" s="137" t="s">
        <v>193</v>
      </c>
      <c r="I223" s="137" t="s">
        <v>53</v>
      </c>
      <c r="J223" s="137" t="s">
        <v>193</v>
      </c>
    </row>
    <row r="224" spans="1:10" ht="15" customHeight="1" x14ac:dyDescent="0.25">
      <c r="A224" s="137" t="s">
        <v>503</v>
      </c>
      <c r="B224" s="137" t="s">
        <v>504</v>
      </c>
      <c r="C224" s="137">
        <v>2018</v>
      </c>
      <c r="D224" s="137">
        <v>98.9</v>
      </c>
      <c r="E224" s="137" t="s">
        <v>894</v>
      </c>
      <c r="F224" s="137">
        <v>98.9</v>
      </c>
      <c r="G224" s="137" t="s">
        <v>193</v>
      </c>
      <c r="H224" s="137" t="s">
        <v>193</v>
      </c>
      <c r="I224" s="137" t="s">
        <v>193</v>
      </c>
      <c r="J224" s="137" t="s">
        <v>193</v>
      </c>
    </row>
    <row r="225" spans="1:10" ht="15" customHeight="1" x14ac:dyDescent="0.25">
      <c r="A225" s="137" t="s">
        <v>505</v>
      </c>
      <c r="B225" s="137" t="s">
        <v>119</v>
      </c>
      <c r="C225" s="137">
        <v>2018</v>
      </c>
      <c r="D225" s="137" t="s">
        <v>53</v>
      </c>
      <c r="E225" s="137" t="s">
        <v>53</v>
      </c>
      <c r="F225" s="137" t="s">
        <v>53</v>
      </c>
      <c r="G225" s="137" t="s">
        <v>53</v>
      </c>
      <c r="H225" s="137" t="s">
        <v>53</v>
      </c>
      <c r="I225" s="137" t="s">
        <v>53</v>
      </c>
      <c r="J225" s="137" t="s">
        <v>53</v>
      </c>
    </row>
    <row r="226" spans="1:10" ht="15" customHeight="1" x14ac:dyDescent="0.25">
      <c r="A226" s="137" t="s">
        <v>506</v>
      </c>
      <c r="B226" s="137" t="s">
        <v>507</v>
      </c>
      <c r="C226" s="137">
        <v>2018</v>
      </c>
      <c r="D226" s="137" t="s">
        <v>193</v>
      </c>
      <c r="E226" s="137" t="s">
        <v>53</v>
      </c>
      <c r="F226" s="137" t="s">
        <v>193</v>
      </c>
      <c r="G226" s="137" t="s">
        <v>53</v>
      </c>
      <c r="H226" s="137" t="s">
        <v>193</v>
      </c>
      <c r="I226" s="137" t="s">
        <v>53</v>
      </c>
      <c r="J226" s="137" t="s">
        <v>193</v>
      </c>
    </row>
    <row r="227" spans="1:10" ht="15" customHeight="1" x14ac:dyDescent="0.25">
      <c r="A227" s="137" t="s">
        <v>38</v>
      </c>
      <c r="B227" s="141" t="s">
        <v>40</v>
      </c>
      <c r="C227" s="137">
        <v>2018</v>
      </c>
      <c r="D227" s="137" t="s">
        <v>53</v>
      </c>
      <c r="E227" s="137" t="s">
        <v>53</v>
      </c>
      <c r="F227" s="137" t="s">
        <v>53</v>
      </c>
      <c r="G227" s="137" t="s">
        <v>53</v>
      </c>
      <c r="H227" s="137" t="s">
        <v>53</v>
      </c>
      <c r="I227" s="137" t="s">
        <v>53</v>
      </c>
      <c r="J227" s="137" t="s">
        <v>53</v>
      </c>
    </row>
    <row r="228" spans="1:10" ht="15" customHeight="1" x14ac:dyDescent="0.25">
      <c r="A228" s="137" t="s">
        <v>4</v>
      </c>
      <c r="B228" s="137" t="s">
        <v>508</v>
      </c>
      <c r="C228" s="137">
        <v>2018</v>
      </c>
      <c r="D228" s="137" t="s">
        <v>53</v>
      </c>
      <c r="E228" s="137" t="s">
        <v>53</v>
      </c>
      <c r="F228" s="137" t="s">
        <v>53</v>
      </c>
      <c r="G228" s="137" t="s">
        <v>53</v>
      </c>
      <c r="H228" s="137" t="s">
        <v>53</v>
      </c>
      <c r="I228" s="137" t="s">
        <v>53</v>
      </c>
      <c r="J228" s="137" t="s">
        <v>53</v>
      </c>
    </row>
    <row r="229" spans="1:10" ht="15" customHeight="1" x14ac:dyDescent="0.25">
      <c r="A229" s="137" t="s">
        <v>4</v>
      </c>
      <c r="B229" s="137" t="s">
        <v>509</v>
      </c>
      <c r="C229" s="137">
        <v>2018</v>
      </c>
      <c r="D229" s="137" t="s">
        <v>53</v>
      </c>
      <c r="E229" s="137" t="s">
        <v>53</v>
      </c>
      <c r="F229" s="137" t="s">
        <v>53</v>
      </c>
      <c r="G229" s="137" t="s">
        <v>53</v>
      </c>
      <c r="H229" s="137" t="s">
        <v>53</v>
      </c>
      <c r="I229" s="137" t="s">
        <v>53</v>
      </c>
      <c r="J229" s="137" t="s">
        <v>53</v>
      </c>
    </row>
    <row r="230" spans="1:10" ht="15" customHeight="1" x14ac:dyDescent="0.25">
      <c r="A230" s="137" t="s">
        <v>4</v>
      </c>
      <c r="B230" s="137" t="s">
        <v>5</v>
      </c>
      <c r="C230" s="137">
        <v>2018</v>
      </c>
      <c r="D230" s="137" t="s">
        <v>53</v>
      </c>
      <c r="E230" s="137" t="s">
        <v>53</v>
      </c>
      <c r="F230" s="137" t="s">
        <v>53</v>
      </c>
      <c r="G230" s="137" t="s">
        <v>53</v>
      </c>
      <c r="H230" s="137" t="s">
        <v>53</v>
      </c>
      <c r="I230" s="137" t="s">
        <v>53</v>
      </c>
      <c r="J230" s="137" t="s">
        <v>53</v>
      </c>
    </row>
    <row r="231" spans="1:10" ht="15" customHeight="1" x14ac:dyDescent="0.25">
      <c r="A231" s="137" t="s">
        <v>510</v>
      </c>
      <c r="B231" s="137" t="s">
        <v>511</v>
      </c>
      <c r="C231" s="137">
        <v>2018</v>
      </c>
      <c r="D231" s="137">
        <v>0.45300000000000001</v>
      </c>
      <c r="E231" s="137" t="s">
        <v>813</v>
      </c>
      <c r="F231" s="137">
        <v>0.45300000000000001</v>
      </c>
      <c r="G231" s="137" t="s">
        <v>53</v>
      </c>
      <c r="H231" s="137" t="s">
        <v>193</v>
      </c>
      <c r="I231" s="137" t="s">
        <v>53</v>
      </c>
      <c r="J231" s="137" t="s">
        <v>193</v>
      </c>
    </row>
    <row r="232" spans="1:10" ht="15" customHeight="1" x14ac:dyDescent="0.25">
      <c r="A232" s="137" t="s">
        <v>513</v>
      </c>
      <c r="B232" s="137" t="s">
        <v>514</v>
      </c>
      <c r="C232" s="137">
        <v>2018</v>
      </c>
      <c r="D232" s="137" t="s">
        <v>193</v>
      </c>
      <c r="E232" s="137" t="s">
        <v>53</v>
      </c>
      <c r="F232" s="137" t="s">
        <v>193</v>
      </c>
      <c r="G232" s="137" t="s">
        <v>53</v>
      </c>
      <c r="H232" s="137" t="s">
        <v>193</v>
      </c>
      <c r="I232" s="137" t="s">
        <v>53</v>
      </c>
      <c r="J232" s="137" t="s">
        <v>193</v>
      </c>
    </row>
    <row r="233" spans="1:10" ht="15" customHeight="1" x14ac:dyDescent="0.25">
      <c r="A233" s="137" t="s">
        <v>513</v>
      </c>
      <c r="B233" s="137" t="s">
        <v>515</v>
      </c>
      <c r="C233" s="137">
        <v>2018</v>
      </c>
      <c r="D233" s="137">
        <v>293.226</v>
      </c>
      <c r="E233" s="137" t="s">
        <v>895</v>
      </c>
      <c r="F233" s="137">
        <v>282.226</v>
      </c>
      <c r="G233" s="137" t="s">
        <v>896</v>
      </c>
      <c r="H233" s="137">
        <v>11</v>
      </c>
      <c r="I233" s="137" t="s">
        <v>53</v>
      </c>
      <c r="J233" s="137" t="s">
        <v>193</v>
      </c>
    </row>
    <row r="234" spans="1:10" ht="15" customHeight="1" x14ac:dyDescent="0.25">
      <c r="A234" s="137" t="s">
        <v>513</v>
      </c>
      <c r="B234" s="137" t="s">
        <v>517</v>
      </c>
      <c r="C234" s="137">
        <v>2018</v>
      </c>
      <c r="D234" s="137" t="s">
        <v>193</v>
      </c>
      <c r="E234" s="137" t="s">
        <v>53</v>
      </c>
      <c r="F234" s="137" t="s">
        <v>193</v>
      </c>
      <c r="G234" s="137" t="s">
        <v>53</v>
      </c>
      <c r="H234" s="137" t="s">
        <v>193</v>
      </c>
      <c r="I234" s="137" t="s">
        <v>53</v>
      </c>
      <c r="J234" s="137" t="s">
        <v>193</v>
      </c>
    </row>
    <row r="235" spans="1:10" ht="15" customHeight="1" x14ac:dyDescent="0.25">
      <c r="A235" s="137" t="s">
        <v>513</v>
      </c>
      <c r="B235" s="137" t="s">
        <v>518</v>
      </c>
      <c r="C235" s="137">
        <v>2018</v>
      </c>
      <c r="D235" s="137" t="s">
        <v>193</v>
      </c>
      <c r="E235" s="137" t="s">
        <v>53</v>
      </c>
      <c r="F235" s="137" t="s">
        <v>193</v>
      </c>
      <c r="G235" s="137" t="s">
        <v>53</v>
      </c>
      <c r="H235" s="137" t="s">
        <v>193</v>
      </c>
      <c r="I235" s="137" t="s">
        <v>53</v>
      </c>
      <c r="J235" s="137" t="s">
        <v>193</v>
      </c>
    </row>
    <row r="236" spans="1:10" ht="15" customHeight="1" x14ac:dyDescent="0.25">
      <c r="A236" s="137" t="s">
        <v>519</v>
      </c>
      <c r="B236" s="137" t="s">
        <v>520</v>
      </c>
      <c r="C236" s="137">
        <v>2018</v>
      </c>
      <c r="D236" s="137" t="s">
        <v>53</v>
      </c>
      <c r="E236" s="137" t="s">
        <v>53</v>
      </c>
      <c r="F236" s="137" t="s">
        <v>53</v>
      </c>
      <c r="G236" s="137" t="s">
        <v>53</v>
      </c>
      <c r="H236" s="137" t="s">
        <v>53</v>
      </c>
      <c r="I236" s="137" t="s">
        <v>53</v>
      </c>
      <c r="J236" s="137" t="s">
        <v>53</v>
      </c>
    </row>
    <row r="237" spans="1:10" ht="15" customHeight="1" x14ac:dyDescent="0.25">
      <c r="A237" s="137" t="s">
        <v>521</v>
      </c>
      <c r="B237" s="137" t="s">
        <v>522</v>
      </c>
      <c r="C237" s="137">
        <v>2018</v>
      </c>
      <c r="D237" s="137" t="s">
        <v>193</v>
      </c>
      <c r="E237" s="137" t="s">
        <v>53</v>
      </c>
      <c r="F237" s="137" t="s">
        <v>193</v>
      </c>
      <c r="G237" s="137" t="s">
        <v>53</v>
      </c>
      <c r="H237" s="137" t="s">
        <v>193</v>
      </c>
      <c r="I237" s="137" t="s">
        <v>53</v>
      </c>
      <c r="J237" s="137" t="s">
        <v>193</v>
      </c>
    </row>
    <row r="238" spans="1:10" ht="15" customHeight="1" x14ac:dyDescent="0.25">
      <c r="A238" s="137" t="s">
        <v>521</v>
      </c>
      <c r="B238" s="137" t="s">
        <v>523</v>
      </c>
      <c r="C238" s="137">
        <v>2018</v>
      </c>
      <c r="D238" s="137" t="s">
        <v>193</v>
      </c>
      <c r="E238" s="137" t="s">
        <v>53</v>
      </c>
      <c r="F238" s="137" t="s">
        <v>193</v>
      </c>
      <c r="G238" s="137" t="s">
        <v>53</v>
      </c>
      <c r="H238" s="137" t="s">
        <v>193</v>
      </c>
      <c r="I238" s="137" t="s">
        <v>53</v>
      </c>
      <c r="J238" s="137" t="s">
        <v>193</v>
      </c>
    </row>
    <row r="239" spans="1:10" ht="15" customHeight="1" x14ac:dyDescent="0.25">
      <c r="A239" s="137" t="s">
        <v>524</v>
      </c>
      <c r="B239" s="137" t="s">
        <v>525</v>
      </c>
      <c r="C239" s="137">
        <v>2018</v>
      </c>
      <c r="D239" s="137" t="s">
        <v>193</v>
      </c>
      <c r="E239" s="137" t="s">
        <v>53</v>
      </c>
      <c r="F239" s="137" t="s">
        <v>193</v>
      </c>
      <c r="G239" s="137" t="s">
        <v>53</v>
      </c>
      <c r="H239" s="137" t="s">
        <v>193</v>
      </c>
      <c r="I239" s="137" t="s">
        <v>53</v>
      </c>
      <c r="J239" s="137" t="s">
        <v>193</v>
      </c>
    </row>
    <row r="240" spans="1:10" ht="15" customHeight="1" x14ac:dyDescent="0.25">
      <c r="A240" s="137" t="s">
        <v>526</v>
      </c>
      <c r="B240" s="137" t="s">
        <v>527</v>
      </c>
      <c r="C240" s="137">
        <v>2018</v>
      </c>
      <c r="D240" s="137" t="s">
        <v>193</v>
      </c>
      <c r="E240" s="137" t="s">
        <v>53</v>
      </c>
      <c r="F240" s="137" t="s">
        <v>193</v>
      </c>
      <c r="G240" s="137" t="s">
        <v>53</v>
      </c>
      <c r="H240" s="137" t="s">
        <v>193</v>
      </c>
      <c r="I240" s="137" t="s">
        <v>53</v>
      </c>
      <c r="J240" s="137" t="s">
        <v>193</v>
      </c>
    </row>
    <row r="241" spans="1:10" ht="15" customHeight="1" x14ac:dyDescent="0.25">
      <c r="A241" s="137" t="s">
        <v>528</v>
      </c>
      <c r="B241" s="137" t="s">
        <v>529</v>
      </c>
      <c r="C241" s="137">
        <v>2018</v>
      </c>
      <c r="D241" s="137" t="s">
        <v>193</v>
      </c>
      <c r="E241" s="137" t="s">
        <v>53</v>
      </c>
      <c r="F241" s="137" t="s">
        <v>193</v>
      </c>
      <c r="G241" s="137" t="s">
        <v>53</v>
      </c>
      <c r="H241" s="137" t="s">
        <v>193</v>
      </c>
      <c r="I241" s="137" t="s">
        <v>53</v>
      </c>
      <c r="J241" s="137" t="s">
        <v>193</v>
      </c>
    </row>
    <row r="242" spans="1:10" ht="15" customHeight="1" x14ac:dyDescent="0.25">
      <c r="A242" s="137" t="s">
        <v>530</v>
      </c>
      <c r="B242" s="137" t="s">
        <v>531</v>
      </c>
      <c r="C242" s="137">
        <v>2018</v>
      </c>
      <c r="D242" s="137" t="s">
        <v>193</v>
      </c>
      <c r="E242" s="137" t="s">
        <v>53</v>
      </c>
      <c r="F242" s="137" t="s">
        <v>193</v>
      </c>
      <c r="G242" s="137" t="s">
        <v>53</v>
      </c>
      <c r="H242" s="137" t="s">
        <v>193</v>
      </c>
      <c r="I242" s="137" t="s">
        <v>53</v>
      </c>
      <c r="J242" s="137" t="s">
        <v>193</v>
      </c>
    </row>
    <row r="243" spans="1:10" ht="15" customHeight="1" x14ac:dyDescent="0.25">
      <c r="A243" s="137" t="s">
        <v>532</v>
      </c>
      <c r="B243" s="137" t="s">
        <v>533</v>
      </c>
      <c r="C243" s="137">
        <v>2018</v>
      </c>
      <c r="D243" s="137" t="s">
        <v>193</v>
      </c>
      <c r="E243" s="137" t="s">
        <v>53</v>
      </c>
      <c r="F243" s="137" t="s">
        <v>193</v>
      </c>
      <c r="G243" s="137" t="s">
        <v>53</v>
      </c>
      <c r="H243" s="137" t="s">
        <v>193</v>
      </c>
      <c r="I243" s="137" t="s">
        <v>53</v>
      </c>
      <c r="J243" s="137" t="s">
        <v>193</v>
      </c>
    </row>
    <row r="244" spans="1:10" ht="15" customHeight="1" x14ac:dyDescent="0.25">
      <c r="A244" s="137" t="s">
        <v>532</v>
      </c>
      <c r="B244" s="137" t="s">
        <v>534</v>
      </c>
      <c r="C244" s="137">
        <v>2018</v>
      </c>
      <c r="D244" s="137" t="s">
        <v>193</v>
      </c>
      <c r="E244" s="137" t="s">
        <v>53</v>
      </c>
      <c r="F244" s="137" t="s">
        <v>193</v>
      </c>
      <c r="G244" s="137" t="s">
        <v>53</v>
      </c>
      <c r="H244" s="137" t="s">
        <v>193</v>
      </c>
      <c r="I244" s="137" t="s">
        <v>53</v>
      </c>
      <c r="J244" s="137" t="s">
        <v>193</v>
      </c>
    </row>
    <row r="245" spans="1:10" ht="15" customHeight="1" x14ac:dyDescent="0.25">
      <c r="A245" s="137" t="s">
        <v>532</v>
      </c>
      <c r="B245" s="137" t="s">
        <v>536</v>
      </c>
      <c r="C245" s="137">
        <v>2018</v>
      </c>
      <c r="D245" s="137" t="s">
        <v>193</v>
      </c>
      <c r="E245" s="137" t="s">
        <v>53</v>
      </c>
      <c r="F245" s="137" t="s">
        <v>193</v>
      </c>
      <c r="G245" s="137" t="s">
        <v>53</v>
      </c>
      <c r="H245" s="137" t="s">
        <v>193</v>
      </c>
      <c r="I245" s="137" t="s">
        <v>53</v>
      </c>
      <c r="J245" s="137" t="s">
        <v>193</v>
      </c>
    </row>
    <row r="246" spans="1:10" ht="15" customHeight="1" x14ac:dyDescent="0.25">
      <c r="A246" s="137" t="s">
        <v>532</v>
      </c>
      <c r="B246" s="137" t="s">
        <v>537</v>
      </c>
      <c r="C246" s="137">
        <v>2018</v>
      </c>
      <c r="D246" s="137" t="s">
        <v>193</v>
      </c>
      <c r="E246" s="137" t="s">
        <v>53</v>
      </c>
      <c r="F246" s="137" t="s">
        <v>193</v>
      </c>
      <c r="G246" s="137" t="s">
        <v>53</v>
      </c>
      <c r="H246" s="137" t="s">
        <v>193</v>
      </c>
      <c r="I246" s="137" t="s">
        <v>53</v>
      </c>
      <c r="J246" s="137" t="s">
        <v>193</v>
      </c>
    </row>
    <row r="247" spans="1:10" ht="15" customHeight="1" x14ac:dyDescent="0.25">
      <c r="A247" s="137" t="s">
        <v>532</v>
      </c>
      <c r="B247" s="137" t="s">
        <v>538</v>
      </c>
      <c r="C247" s="137">
        <v>2018</v>
      </c>
      <c r="D247" s="137" t="s">
        <v>193</v>
      </c>
      <c r="E247" s="137" t="s">
        <v>53</v>
      </c>
      <c r="F247" s="137" t="s">
        <v>193</v>
      </c>
      <c r="G247" s="137" t="s">
        <v>53</v>
      </c>
      <c r="H247" s="137" t="s">
        <v>193</v>
      </c>
      <c r="I247" s="137" t="s">
        <v>53</v>
      </c>
      <c r="J247" s="137" t="s">
        <v>193</v>
      </c>
    </row>
    <row r="248" spans="1:10" ht="15" customHeight="1" x14ac:dyDescent="0.25">
      <c r="A248" s="137" t="s">
        <v>532</v>
      </c>
      <c r="B248" s="137" t="s">
        <v>539</v>
      </c>
      <c r="C248" s="137">
        <v>2018</v>
      </c>
      <c r="D248" s="137" t="s">
        <v>193</v>
      </c>
      <c r="E248" s="137" t="s">
        <v>53</v>
      </c>
      <c r="F248" s="137" t="s">
        <v>193</v>
      </c>
      <c r="G248" s="137" t="s">
        <v>53</v>
      </c>
      <c r="H248" s="137" t="s">
        <v>193</v>
      </c>
      <c r="I248" s="137" t="s">
        <v>53</v>
      </c>
      <c r="J248" s="137" t="s">
        <v>193</v>
      </c>
    </row>
    <row r="249" spans="1:10" ht="15" customHeight="1" x14ac:dyDescent="0.25">
      <c r="A249" s="137" t="s">
        <v>532</v>
      </c>
      <c r="B249" s="137" t="s">
        <v>540</v>
      </c>
      <c r="C249" s="137">
        <v>2018</v>
      </c>
      <c r="D249" s="137" t="s">
        <v>193</v>
      </c>
      <c r="E249" s="137" t="s">
        <v>53</v>
      </c>
      <c r="F249" s="137" t="s">
        <v>193</v>
      </c>
      <c r="G249" s="137" t="s">
        <v>53</v>
      </c>
      <c r="H249" s="137" t="s">
        <v>193</v>
      </c>
      <c r="I249" s="137" t="s">
        <v>53</v>
      </c>
      <c r="J249" s="137" t="s">
        <v>193</v>
      </c>
    </row>
    <row r="250" spans="1:10" ht="15" customHeight="1" x14ac:dyDescent="0.25">
      <c r="A250" s="137" t="s">
        <v>532</v>
      </c>
      <c r="B250" s="137" t="s">
        <v>541</v>
      </c>
      <c r="C250" s="137">
        <v>2018</v>
      </c>
      <c r="D250" s="137" t="s">
        <v>193</v>
      </c>
      <c r="E250" s="137" t="s">
        <v>53</v>
      </c>
      <c r="F250" s="137" t="s">
        <v>193</v>
      </c>
      <c r="G250" s="137" t="s">
        <v>53</v>
      </c>
      <c r="H250" s="137" t="s">
        <v>193</v>
      </c>
      <c r="I250" s="137" t="s">
        <v>53</v>
      </c>
      <c r="J250" s="137" t="s">
        <v>193</v>
      </c>
    </row>
    <row r="251" spans="1:10" ht="15" customHeight="1" x14ac:dyDescent="0.25">
      <c r="A251" s="137" t="s">
        <v>532</v>
      </c>
      <c r="B251" s="137" t="s">
        <v>542</v>
      </c>
      <c r="C251" s="137">
        <v>2018</v>
      </c>
      <c r="D251" s="137" t="s">
        <v>193</v>
      </c>
      <c r="E251" s="137" t="s">
        <v>53</v>
      </c>
      <c r="F251" s="137" t="s">
        <v>193</v>
      </c>
      <c r="G251" s="137" t="s">
        <v>53</v>
      </c>
      <c r="H251" s="137" t="s">
        <v>193</v>
      </c>
      <c r="I251" s="137" t="s">
        <v>53</v>
      </c>
      <c r="J251" s="137" t="s">
        <v>193</v>
      </c>
    </row>
    <row r="252" spans="1:10" ht="15" customHeight="1" x14ac:dyDescent="0.25">
      <c r="A252" s="137" t="s">
        <v>532</v>
      </c>
      <c r="B252" s="137" t="s">
        <v>543</v>
      </c>
      <c r="C252" s="137">
        <v>2018</v>
      </c>
      <c r="D252" s="137" t="s">
        <v>193</v>
      </c>
      <c r="E252" s="137" t="s">
        <v>53</v>
      </c>
      <c r="F252" s="137" t="s">
        <v>193</v>
      </c>
      <c r="G252" s="137" t="s">
        <v>53</v>
      </c>
      <c r="H252" s="137" t="s">
        <v>193</v>
      </c>
      <c r="I252" s="137" t="s">
        <v>53</v>
      </c>
      <c r="J252" s="137" t="s">
        <v>193</v>
      </c>
    </row>
    <row r="253" spans="1:10" ht="15" customHeight="1" x14ac:dyDescent="0.25">
      <c r="A253" s="137" t="s">
        <v>532</v>
      </c>
      <c r="B253" s="137" t="s">
        <v>544</v>
      </c>
      <c r="C253" s="137">
        <v>2018</v>
      </c>
      <c r="D253" s="137" t="s">
        <v>193</v>
      </c>
      <c r="E253" s="137" t="s">
        <v>53</v>
      </c>
      <c r="F253" s="137" t="s">
        <v>193</v>
      </c>
      <c r="G253" s="137" t="s">
        <v>53</v>
      </c>
      <c r="H253" s="137" t="s">
        <v>193</v>
      </c>
      <c r="I253" s="137" t="s">
        <v>53</v>
      </c>
      <c r="J253" s="137" t="s">
        <v>193</v>
      </c>
    </row>
    <row r="254" spans="1:10" ht="15" customHeight="1" x14ac:dyDescent="0.25">
      <c r="A254" s="137" t="s">
        <v>532</v>
      </c>
      <c r="B254" s="137" t="s">
        <v>545</v>
      </c>
      <c r="C254" s="137">
        <v>2018</v>
      </c>
      <c r="D254" s="137">
        <v>5.5780000000000003</v>
      </c>
      <c r="E254" s="137" t="s">
        <v>897</v>
      </c>
      <c r="F254" s="137">
        <v>5.5780000000000003</v>
      </c>
      <c r="G254" s="137" t="s">
        <v>193</v>
      </c>
      <c r="H254" s="137" t="s">
        <v>193</v>
      </c>
      <c r="I254" s="137" t="s">
        <v>193</v>
      </c>
      <c r="J254" s="137" t="s">
        <v>193</v>
      </c>
    </row>
    <row r="255" spans="1:10" ht="15" customHeight="1" x14ac:dyDescent="0.25">
      <c r="A255" s="137" t="s">
        <v>532</v>
      </c>
      <c r="B255" s="137" t="s">
        <v>546</v>
      </c>
      <c r="C255" s="137">
        <v>2018</v>
      </c>
      <c r="D255" s="137" t="s">
        <v>193</v>
      </c>
      <c r="E255" s="137" t="s">
        <v>53</v>
      </c>
      <c r="F255" s="137" t="s">
        <v>193</v>
      </c>
      <c r="G255" s="137" t="s">
        <v>53</v>
      </c>
      <c r="H255" s="137" t="s">
        <v>193</v>
      </c>
      <c r="I255" s="137" t="s">
        <v>53</v>
      </c>
      <c r="J255" s="137" t="s">
        <v>193</v>
      </c>
    </row>
    <row r="256" spans="1:10" ht="15" customHeight="1" x14ac:dyDescent="0.25">
      <c r="A256" s="137" t="s">
        <v>532</v>
      </c>
      <c r="B256" s="137" t="s">
        <v>547</v>
      </c>
      <c r="C256" s="137">
        <v>2018</v>
      </c>
      <c r="D256" s="137" t="s">
        <v>193</v>
      </c>
      <c r="E256" s="137" t="s">
        <v>53</v>
      </c>
      <c r="F256" s="137" t="s">
        <v>193</v>
      </c>
      <c r="G256" s="137" t="s">
        <v>53</v>
      </c>
      <c r="H256" s="137" t="s">
        <v>193</v>
      </c>
      <c r="I256" s="137" t="s">
        <v>53</v>
      </c>
      <c r="J256" s="137" t="s">
        <v>193</v>
      </c>
    </row>
    <row r="257" spans="1:10" ht="15" customHeight="1" x14ac:dyDescent="0.25">
      <c r="A257" s="137" t="s">
        <v>532</v>
      </c>
      <c r="B257" s="137" t="s">
        <v>548</v>
      </c>
      <c r="C257" s="137">
        <v>2018</v>
      </c>
      <c r="D257" s="137" t="s">
        <v>193</v>
      </c>
      <c r="E257" s="137" t="s">
        <v>53</v>
      </c>
      <c r="F257" s="137" t="s">
        <v>193</v>
      </c>
      <c r="G257" s="137" t="s">
        <v>53</v>
      </c>
      <c r="H257" s="137" t="s">
        <v>193</v>
      </c>
      <c r="I257" s="137" t="s">
        <v>53</v>
      </c>
      <c r="J257" s="137" t="s">
        <v>193</v>
      </c>
    </row>
    <row r="258" spans="1:10" ht="15" customHeight="1" x14ac:dyDescent="0.25">
      <c r="A258" s="137" t="s">
        <v>532</v>
      </c>
      <c r="B258" s="137" t="s">
        <v>549</v>
      </c>
      <c r="C258" s="137">
        <v>2018</v>
      </c>
      <c r="D258" s="137">
        <v>39.201659999999997</v>
      </c>
      <c r="E258" s="137" t="s">
        <v>898</v>
      </c>
      <c r="F258" s="137">
        <v>39.201659999999997</v>
      </c>
      <c r="G258" s="137" t="s">
        <v>193</v>
      </c>
      <c r="H258" s="137" t="s">
        <v>193</v>
      </c>
      <c r="I258" s="137" t="s">
        <v>193</v>
      </c>
      <c r="J258" s="137" t="s">
        <v>193</v>
      </c>
    </row>
    <row r="259" spans="1:10" ht="15" customHeight="1" x14ac:dyDescent="0.25">
      <c r="A259" s="137" t="s">
        <v>532</v>
      </c>
      <c r="B259" s="137" t="s">
        <v>550</v>
      </c>
      <c r="C259" s="137">
        <v>2018</v>
      </c>
      <c r="D259" s="137" t="s">
        <v>193</v>
      </c>
      <c r="E259" s="137" t="s">
        <v>53</v>
      </c>
      <c r="F259" s="137" t="s">
        <v>193</v>
      </c>
      <c r="G259" s="137" t="s">
        <v>53</v>
      </c>
      <c r="H259" s="137" t="s">
        <v>193</v>
      </c>
      <c r="I259" s="137" t="s">
        <v>53</v>
      </c>
      <c r="J259" s="137" t="s">
        <v>193</v>
      </c>
    </row>
    <row r="260" spans="1:10" ht="15" customHeight="1" x14ac:dyDescent="0.25">
      <c r="A260" s="137" t="s">
        <v>532</v>
      </c>
      <c r="B260" s="137" t="s">
        <v>551</v>
      </c>
      <c r="C260" s="137">
        <v>2018</v>
      </c>
      <c r="D260" s="137" t="s">
        <v>193</v>
      </c>
      <c r="E260" s="137" t="s">
        <v>53</v>
      </c>
      <c r="F260" s="137" t="s">
        <v>193</v>
      </c>
      <c r="G260" s="137" t="s">
        <v>53</v>
      </c>
      <c r="H260" s="137" t="s">
        <v>193</v>
      </c>
      <c r="I260" s="137" t="s">
        <v>53</v>
      </c>
      <c r="J260" s="137" t="s">
        <v>193</v>
      </c>
    </row>
    <row r="261" spans="1:10" ht="15" customHeight="1" x14ac:dyDescent="0.25">
      <c r="A261" s="137" t="s">
        <v>552</v>
      </c>
      <c r="B261" s="137" t="s">
        <v>553</v>
      </c>
      <c r="C261" s="137">
        <v>2018</v>
      </c>
      <c r="D261" s="137" t="s">
        <v>193</v>
      </c>
      <c r="E261" s="137" t="s">
        <v>53</v>
      </c>
      <c r="F261" s="137" t="s">
        <v>193</v>
      </c>
      <c r="G261" s="137" t="s">
        <v>53</v>
      </c>
      <c r="H261" s="137" t="s">
        <v>193</v>
      </c>
      <c r="I261" s="137" t="s">
        <v>53</v>
      </c>
      <c r="J261" s="137" t="s">
        <v>193</v>
      </c>
    </row>
    <row r="262" spans="1:10" ht="15" customHeight="1" x14ac:dyDescent="0.25">
      <c r="A262" s="137" t="s">
        <v>552</v>
      </c>
      <c r="B262" s="137" t="s">
        <v>554</v>
      </c>
      <c r="C262" s="137">
        <v>2018</v>
      </c>
      <c r="D262" s="137">
        <v>5.3940000000000001</v>
      </c>
      <c r="E262" s="137" t="s">
        <v>899</v>
      </c>
      <c r="F262" s="137">
        <v>5.3940000000000001</v>
      </c>
      <c r="G262" s="137" t="s">
        <v>53</v>
      </c>
      <c r="H262" s="137" t="s">
        <v>193</v>
      </c>
      <c r="I262" s="137" t="s">
        <v>53</v>
      </c>
      <c r="J262" s="137" t="s">
        <v>193</v>
      </c>
    </row>
    <row r="263" spans="1:10" ht="15" customHeight="1" x14ac:dyDescent="0.25">
      <c r="A263" s="137" t="s">
        <v>552</v>
      </c>
      <c r="B263" s="137" t="s">
        <v>555</v>
      </c>
      <c r="C263" s="137">
        <v>2018</v>
      </c>
      <c r="D263" s="137" t="s">
        <v>193</v>
      </c>
      <c r="E263" s="137" t="s">
        <v>53</v>
      </c>
      <c r="F263" s="137" t="s">
        <v>193</v>
      </c>
      <c r="G263" s="137" t="s">
        <v>53</v>
      </c>
      <c r="H263" s="137" t="s">
        <v>193</v>
      </c>
      <c r="I263" s="137" t="s">
        <v>53</v>
      </c>
      <c r="J263" s="137" t="s">
        <v>193</v>
      </c>
    </row>
    <row r="264" spans="1:10" ht="15" customHeight="1" x14ac:dyDescent="0.25">
      <c r="A264" s="137" t="s">
        <v>552</v>
      </c>
      <c r="B264" s="137" t="s">
        <v>556</v>
      </c>
      <c r="C264" s="137">
        <v>2018</v>
      </c>
      <c r="D264" s="137" t="s">
        <v>193</v>
      </c>
      <c r="E264" s="137" t="s">
        <v>53</v>
      </c>
      <c r="F264" s="137" t="s">
        <v>193</v>
      </c>
      <c r="G264" s="137" t="s">
        <v>53</v>
      </c>
      <c r="H264" s="137" t="s">
        <v>193</v>
      </c>
      <c r="I264" s="137" t="s">
        <v>53</v>
      </c>
      <c r="J264" s="137" t="s">
        <v>193</v>
      </c>
    </row>
    <row r="265" spans="1:10" ht="15" customHeight="1" x14ac:dyDescent="0.25">
      <c r="A265" s="137" t="s">
        <v>552</v>
      </c>
      <c r="B265" s="137" t="s">
        <v>557</v>
      </c>
      <c r="C265" s="137">
        <v>2018</v>
      </c>
      <c r="D265" s="137" t="s">
        <v>193</v>
      </c>
      <c r="E265" s="137" t="s">
        <v>53</v>
      </c>
      <c r="F265" s="137" t="s">
        <v>193</v>
      </c>
      <c r="G265" s="137" t="s">
        <v>53</v>
      </c>
      <c r="H265" s="137" t="s">
        <v>193</v>
      </c>
      <c r="I265" s="137" t="s">
        <v>53</v>
      </c>
      <c r="J265" s="137" t="s">
        <v>193</v>
      </c>
    </row>
    <row r="266" spans="1:10" ht="15" customHeight="1" x14ac:dyDescent="0.25">
      <c r="A266" s="137" t="s">
        <v>558</v>
      </c>
      <c r="B266" s="137" t="s">
        <v>559</v>
      </c>
      <c r="C266" s="137">
        <v>2018</v>
      </c>
      <c r="D266" s="137">
        <v>26.698</v>
      </c>
      <c r="E266" s="137" t="s">
        <v>900</v>
      </c>
      <c r="F266" s="137">
        <v>26.698</v>
      </c>
      <c r="G266" s="137" t="s">
        <v>53</v>
      </c>
      <c r="H266" s="137" t="s">
        <v>193</v>
      </c>
      <c r="I266" s="137" t="s">
        <v>53</v>
      </c>
      <c r="J266" s="137" t="s">
        <v>193</v>
      </c>
    </row>
    <row r="267" spans="1:10" ht="15" customHeight="1" x14ac:dyDescent="0.25">
      <c r="A267" s="137" t="s">
        <v>558</v>
      </c>
      <c r="B267" s="137" t="s">
        <v>560</v>
      </c>
      <c r="C267" s="137">
        <v>2018</v>
      </c>
      <c r="D267" s="137" t="s">
        <v>193</v>
      </c>
      <c r="E267" s="137" t="s">
        <v>53</v>
      </c>
      <c r="F267" s="137" t="s">
        <v>193</v>
      </c>
      <c r="G267" s="137" t="s">
        <v>53</v>
      </c>
      <c r="H267" s="137" t="s">
        <v>193</v>
      </c>
      <c r="I267" s="137" t="s">
        <v>53</v>
      </c>
      <c r="J267" s="137" t="s">
        <v>193</v>
      </c>
    </row>
    <row r="268" spans="1:10" ht="15" customHeight="1" x14ac:dyDescent="0.25">
      <c r="A268" s="137" t="s">
        <v>561</v>
      </c>
      <c r="B268" s="137" t="s">
        <v>562</v>
      </c>
      <c r="C268" s="137">
        <v>2018</v>
      </c>
      <c r="D268" s="137" t="s">
        <v>193</v>
      </c>
      <c r="E268" s="137" t="s">
        <v>53</v>
      </c>
      <c r="F268" s="137" t="s">
        <v>193</v>
      </c>
      <c r="G268" s="137" t="s">
        <v>53</v>
      </c>
      <c r="H268" s="137" t="s">
        <v>193</v>
      </c>
      <c r="I268" s="137" t="s">
        <v>53</v>
      </c>
      <c r="J268" s="137" t="s">
        <v>193</v>
      </c>
    </row>
    <row r="269" spans="1:10" ht="15" customHeight="1" x14ac:dyDescent="0.25">
      <c r="A269" s="137" t="s">
        <v>563</v>
      </c>
      <c r="B269" s="137" t="s">
        <v>564</v>
      </c>
      <c r="C269" s="137">
        <v>2018</v>
      </c>
      <c r="D269" s="137" t="s">
        <v>53</v>
      </c>
      <c r="E269" s="137" t="s">
        <v>53</v>
      </c>
      <c r="F269" s="137" t="s">
        <v>53</v>
      </c>
      <c r="G269" s="137" t="s">
        <v>53</v>
      </c>
      <c r="H269" s="137" t="s">
        <v>53</v>
      </c>
      <c r="I269" s="137" t="s">
        <v>53</v>
      </c>
      <c r="J269" s="137" t="s">
        <v>53</v>
      </c>
    </row>
    <row r="270" spans="1:10" ht="15" customHeight="1" x14ac:dyDescent="0.25">
      <c r="A270" s="137" t="s">
        <v>565</v>
      </c>
      <c r="B270" s="137" t="s">
        <v>566</v>
      </c>
      <c r="C270" s="137">
        <v>2018</v>
      </c>
      <c r="D270" s="137" t="s">
        <v>193</v>
      </c>
      <c r="E270" s="137" t="s">
        <v>193</v>
      </c>
      <c r="F270" s="137" t="s">
        <v>193</v>
      </c>
      <c r="G270" s="137" t="s">
        <v>193</v>
      </c>
      <c r="H270" s="137" t="s">
        <v>193</v>
      </c>
      <c r="I270" s="137" t="s">
        <v>193</v>
      </c>
      <c r="J270" s="137" t="s">
        <v>193</v>
      </c>
    </row>
    <row r="271" spans="1:10" ht="15" customHeight="1" x14ac:dyDescent="0.25">
      <c r="A271" s="137" t="s">
        <v>565</v>
      </c>
      <c r="B271" s="137" t="s">
        <v>567</v>
      </c>
      <c r="C271" s="137">
        <v>2018</v>
      </c>
      <c r="D271" s="137" t="s">
        <v>193</v>
      </c>
      <c r="E271" s="137" t="s">
        <v>193</v>
      </c>
      <c r="F271" s="137" t="s">
        <v>193</v>
      </c>
      <c r="G271" s="137" t="s">
        <v>193</v>
      </c>
      <c r="H271" s="137" t="s">
        <v>193</v>
      </c>
      <c r="I271" s="137" t="s">
        <v>193</v>
      </c>
      <c r="J271" s="137" t="s">
        <v>193</v>
      </c>
    </row>
    <row r="272" spans="1:10" ht="15" customHeight="1" x14ac:dyDescent="0.25">
      <c r="A272" s="137" t="s">
        <v>565</v>
      </c>
      <c r="B272" s="137" t="s">
        <v>568</v>
      </c>
      <c r="C272" s="137">
        <v>2018</v>
      </c>
      <c r="D272" s="137" t="s">
        <v>193</v>
      </c>
      <c r="E272" s="137" t="s">
        <v>193</v>
      </c>
      <c r="F272" s="137" t="s">
        <v>193</v>
      </c>
      <c r="G272" s="137" t="s">
        <v>193</v>
      </c>
      <c r="H272" s="137" t="s">
        <v>193</v>
      </c>
      <c r="I272" s="137" t="s">
        <v>193</v>
      </c>
      <c r="J272" s="137" t="s">
        <v>193</v>
      </c>
    </row>
    <row r="273" spans="1:10" ht="15" customHeight="1" x14ac:dyDescent="0.25">
      <c r="A273" s="137" t="s">
        <v>565</v>
      </c>
      <c r="B273" s="137" t="s">
        <v>569</v>
      </c>
      <c r="C273" s="137">
        <v>2018</v>
      </c>
      <c r="D273" s="137" t="s">
        <v>193</v>
      </c>
      <c r="E273" s="137" t="s">
        <v>193</v>
      </c>
      <c r="F273" s="137" t="s">
        <v>193</v>
      </c>
      <c r="G273" s="137" t="s">
        <v>193</v>
      </c>
      <c r="H273" s="137" t="s">
        <v>193</v>
      </c>
      <c r="I273" s="137" t="s">
        <v>193</v>
      </c>
      <c r="J273" s="137" t="s">
        <v>193</v>
      </c>
    </row>
    <row r="274" spans="1:10" ht="15" customHeight="1" x14ac:dyDescent="0.25">
      <c r="A274" s="137" t="s">
        <v>570</v>
      </c>
      <c r="B274" s="137" t="s">
        <v>571</v>
      </c>
      <c r="C274" s="137">
        <v>2018</v>
      </c>
      <c r="D274" s="137">
        <v>89.6</v>
      </c>
      <c r="E274" s="137" t="s">
        <v>901</v>
      </c>
      <c r="F274" s="137">
        <v>37.700000000000003</v>
      </c>
      <c r="G274" s="137" t="s">
        <v>902</v>
      </c>
      <c r="H274" s="137">
        <v>51.9</v>
      </c>
      <c r="I274" s="137" t="s">
        <v>193</v>
      </c>
      <c r="J274" s="137" t="s">
        <v>193</v>
      </c>
    </row>
    <row r="275" spans="1:10" ht="15" customHeight="1" x14ac:dyDescent="0.25">
      <c r="A275" s="137" t="s">
        <v>570</v>
      </c>
      <c r="B275" s="137" t="s">
        <v>572</v>
      </c>
      <c r="C275" s="137">
        <v>2018</v>
      </c>
      <c r="D275" s="137" t="s">
        <v>193</v>
      </c>
      <c r="E275" s="137" t="s">
        <v>53</v>
      </c>
      <c r="F275" s="137" t="s">
        <v>193</v>
      </c>
      <c r="G275" s="137" t="s">
        <v>53</v>
      </c>
      <c r="H275" s="137" t="s">
        <v>193</v>
      </c>
      <c r="I275" s="137" t="s">
        <v>53</v>
      </c>
      <c r="J275" s="137" t="s">
        <v>193</v>
      </c>
    </row>
    <row r="276" spans="1:10" ht="15" customHeight="1" x14ac:dyDescent="0.25">
      <c r="A276" s="137" t="s">
        <v>573</v>
      </c>
      <c r="B276" s="137" t="s">
        <v>574</v>
      </c>
      <c r="C276" s="137">
        <v>2018</v>
      </c>
      <c r="D276" s="137" t="s">
        <v>53</v>
      </c>
      <c r="E276" s="137" t="s">
        <v>53</v>
      </c>
      <c r="F276" s="137" t="s">
        <v>53</v>
      </c>
      <c r="G276" s="137" t="s">
        <v>53</v>
      </c>
      <c r="H276" s="137" t="s">
        <v>53</v>
      </c>
      <c r="I276" s="137" t="s">
        <v>53</v>
      </c>
      <c r="J276" s="137" t="s">
        <v>53</v>
      </c>
    </row>
    <row r="277" spans="1:10" ht="15" customHeight="1" x14ac:dyDescent="0.25">
      <c r="A277" s="137" t="s">
        <v>573</v>
      </c>
      <c r="B277" s="137" t="s">
        <v>575</v>
      </c>
      <c r="C277" s="137">
        <v>2018</v>
      </c>
      <c r="D277" s="137" t="s">
        <v>53</v>
      </c>
      <c r="E277" s="137" t="s">
        <v>53</v>
      </c>
      <c r="F277" s="137" t="s">
        <v>53</v>
      </c>
      <c r="G277" s="137" t="s">
        <v>53</v>
      </c>
      <c r="H277" s="137" t="s">
        <v>53</v>
      </c>
      <c r="I277" s="137" t="s">
        <v>53</v>
      </c>
      <c r="J277" s="137" t="s">
        <v>53</v>
      </c>
    </row>
    <row r="278" spans="1:10" ht="15" customHeight="1" x14ac:dyDescent="0.25">
      <c r="A278" s="137" t="s">
        <v>573</v>
      </c>
      <c r="B278" s="137" t="s">
        <v>576</v>
      </c>
      <c r="C278" s="137">
        <v>2018</v>
      </c>
      <c r="D278" s="137" t="s">
        <v>53</v>
      </c>
      <c r="E278" s="137" t="s">
        <v>53</v>
      </c>
      <c r="F278" s="137" t="s">
        <v>53</v>
      </c>
      <c r="G278" s="137" t="s">
        <v>53</v>
      </c>
      <c r="H278" s="137" t="s">
        <v>53</v>
      </c>
      <c r="I278" s="137" t="s">
        <v>53</v>
      </c>
      <c r="J278" s="137" t="s">
        <v>53</v>
      </c>
    </row>
    <row r="279" spans="1:10" ht="15" customHeight="1" x14ac:dyDescent="0.25">
      <c r="A279" s="137" t="s">
        <v>573</v>
      </c>
      <c r="B279" s="137" t="s">
        <v>116</v>
      </c>
      <c r="C279" s="137">
        <v>2018</v>
      </c>
      <c r="D279" s="137" t="s">
        <v>193</v>
      </c>
      <c r="E279" s="137" t="s">
        <v>53</v>
      </c>
      <c r="F279" s="137" t="s">
        <v>193</v>
      </c>
      <c r="G279" s="137" t="s">
        <v>53</v>
      </c>
      <c r="H279" s="137" t="s">
        <v>193</v>
      </c>
      <c r="I279" s="137" t="s">
        <v>53</v>
      </c>
      <c r="J279" s="137" t="s">
        <v>193</v>
      </c>
    </row>
    <row r="280" spans="1:10" ht="15" customHeight="1" x14ac:dyDescent="0.25">
      <c r="A280" s="137" t="s">
        <v>573</v>
      </c>
      <c r="B280" s="137" t="s">
        <v>577</v>
      </c>
      <c r="C280" s="137">
        <v>2018</v>
      </c>
      <c r="D280" s="137" t="s">
        <v>53</v>
      </c>
      <c r="E280" s="137" t="s">
        <v>53</v>
      </c>
      <c r="F280" s="137" t="s">
        <v>53</v>
      </c>
      <c r="G280" s="137" t="s">
        <v>53</v>
      </c>
      <c r="H280" s="137" t="s">
        <v>53</v>
      </c>
      <c r="I280" s="137" t="s">
        <v>53</v>
      </c>
      <c r="J280" s="137" t="s">
        <v>53</v>
      </c>
    </row>
    <row r="281" spans="1:10" ht="15" customHeight="1" x14ac:dyDescent="0.25">
      <c r="A281" s="137" t="s">
        <v>573</v>
      </c>
      <c r="B281" s="137" t="s">
        <v>578</v>
      </c>
      <c r="C281" s="137">
        <v>2018</v>
      </c>
      <c r="D281" s="137" t="s">
        <v>53</v>
      </c>
      <c r="E281" s="137" t="s">
        <v>53</v>
      </c>
      <c r="F281" s="137" t="s">
        <v>53</v>
      </c>
      <c r="G281" s="137" t="s">
        <v>53</v>
      </c>
      <c r="H281" s="137" t="s">
        <v>53</v>
      </c>
      <c r="I281" s="137" t="s">
        <v>53</v>
      </c>
      <c r="J281" s="137" t="s">
        <v>53</v>
      </c>
    </row>
    <row r="282" spans="1:10" ht="15" customHeight="1" x14ac:dyDescent="0.25">
      <c r="A282" s="137" t="s">
        <v>573</v>
      </c>
      <c r="B282" s="137" t="s">
        <v>579</v>
      </c>
      <c r="C282" s="137">
        <v>2018</v>
      </c>
      <c r="D282" s="137" t="s">
        <v>53</v>
      </c>
      <c r="E282" s="137" t="s">
        <v>53</v>
      </c>
      <c r="F282" s="137" t="s">
        <v>53</v>
      </c>
      <c r="G282" s="137" t="s">
        <v>53</v>
      </c>
      <c r="H282" s="137" t="s">
        <v>53</v>
      </c>
      <c r="I282" s="137" t="s">
        <v>53</v>
      </c>
      <c r="J282" s="137" t="s">
        <v>53</v>
      </c>
    </row>
    <row r="283" spans="1:10" ht="15" customHeight="1" x14ac:dyDescent="0.25">
      <c r="A283" s="137" t="s">
        <v>573</v>
      </c>
      <c r="B283" s="137" t="s">
        <v>580</v>
      </c>
      <c r="C283" s="137">
        <v>2018</v>
      </c>
      <c r="D283" s="137" t="s">
        <v>53</v>
      </c>
      <c r="E283" s="137" t="s">
        <v>53</v>
      </c>
      <c r="F283" s="137" t="s">
        <v>53</v>
      </c>
      <c r="G283" s="137" t="s">
        <v>53</v>
      </c>
      <c r="H283" s="137" t="s">
        <v>53</v>
      </c>
      <c r="I283" s="137" t="s">
        <v>53</v>
      </c>
      <c r="J283" s="137" t="s">
        <v>53</v>
      </c>
    </row>
    <row r="284" spans="1:10" ht="15" customHeight="1" x14ac:dyDescent="0.25">
      <c r="A284" s="137" t="s">
        <v>573</v>
      </c>
      <c r="B284" s="137" t="s">
        <v>581</v>
      </c>
      <c r="C284" s="137">
        <v>2018</v>
      </c>
      <c r="D284" s="137" t="s">
        <v>53</v>
      </c>
      <c r="E284" s="137" t="s">
        <v>53</v>
      </c>
      <c r="F284" s="137" t="s">
        <v>53</v>
      </c>
      <c r="G284" s="137" t="s">
        <v>53</v>
      </c>
      <c r="H284" s="137" t="s">
        <v>53</v>
      </c>
      <c r="I284" s="137" t="s">
        <v>53</v>
      </c>
      <c r="J284" s="137" t="s">
        <v>53</v>
      </c>
    </row>
    <row r="285" spans="1:10" ht="15" customHeight="1" x14ac:dyDescent="0.25">
      <c r="A285" s="137" t="s">
        <v>573</v>
      </c>
      <c r="B285" s="137" t="s">
        <v>582</v>
      </c>
      <c r="C285" s="137">
        <v>2018</v>
      </c>
      <c r="D285" s="137" t="s">
        <v>53</v>
      </c>
      <c r="E285" s="137" t="s">
        <v>53</v>
      </c>
      <c r="F285" s="137" t="s">
        <v>53</v>
      </c>
      <c r="G285" s="137" t="s">
        <v>53</v>
      </c>
      <c r="H285" s="137" t="s">
        <v>53</v>
      </c>
      <c r="I285" s="137" t="s">
        <v>53</v>
      </c>
      <c r="J285" s="137" t="s">
        <v>53</v>
      </c>
    </row>
    <row r="286" spans="1:10" ht="15" customHeight="1" x14ac:dyDescent="0.25">
      <c r="A286" s="137" t="s">
        <v>573</v>
      </c>
      <c r="B286" s="137" t="s">
        <v>583</v>
      </c>
      <c r="C286" s="137">
        <v>2018</v>
      </c>
      <c r="D286" s="137" t="s">
        <v>193</v>
      </c>
      <c r="E286" s="137" t="s">
        <v>53</v>
      </c>
      <c r="F286" s="137" t="s">
        <v>193</v>
      </c>
      <c r="G286" s="137" t="s">
        <v>53</v>
      </c>
      <c r="H286" s="137" t="s">
        <v>193</v>
      </c>
      <c r="I286" s="137" t="s">
        <v>53</v>
      </c>
      <c r="J286" s="137" t="s">
        <v>193</v>
      </c>
    </row>
    <row r="287" spans="1:10" ht="15" customHeight="1" x14ac:dyDescent="0.25">
      <c r="A287" s="137" t="s">
        <v>573</v>
      </c>
      <c r="B287" s="137" t="s">
        <v>584</v>
      </c>
      <c r="C287" s="137">
        <v>2018</v>
      </c>
      <c r="D287" s="137" t="s">
        <v>53</v>
      </c>
      <c r="E287" s="137" t="s">
        <v>53</v>
      </c>
      <c r="F287" s="137" t="s">
        <v>53</v>
      </c>
      <c r="G287" s="137" t="s">
        <v>53</v>
      </c>
      <c r="H287" s="137" t="s">
        <v>53</v>
      </c>
      <c r="I287" s="137" t="s">
        <v>53</v>
      </c>
      <c r="J287" s="137" t="s">
        <v>53</v>
      </c>
    </row>
    <row r="288" spans="1:10" ht="15" customHeight="1" x14ac:dyDescent="0.25">
      <c r="A288" s="137" t="s">
        <v>585</v>
      </c>
      <c r="B288" s="137" t="s">
        <v>586</v>
      </c>
      <c r="C288" s="137">
        <v>2018</v>
      </c>
      <c r="D288" s="137" t="s">
        <v>193</v>
      </c>
      <c r="E288" s="137" t="s">
        <v>53</v>
      </c>
      <c r="F288" s="137" t="s">
        <v>193</v>
      </c>
      <c r="G288" s="137" t="s">
        <v>53</v>
      </c>
      <c r="H288" s="137" t="s">
        <v>193</v>
      </c>
      <c r="I288" s="137" t="s">
        <v>53</v>
      </c>
      <c r="J288" s="137" t="s">
        <v>193</v>
      </c>
    </row>
    <row r="289" spans="1:10" ht="15" customHeight="1" x14ac:dyDescent="0.25">
      <c r="A289" s="137" t="s">
        <v>585</v>
      </c>
      <c r="B289" s="137" t="s">
        <v>587</v>
      </c>
      <c r="C289" s="137">
        <v>2018</v>
      </c>
      <c r="D289" s="137" t="s">
        <v>193</v>
      </c>
      <c r="E289" s="137" t="s">
        <v>53</v>
      </c>
      <c r="F289" s="137" t="s">
        <v>193</v>
      </c>
      <c r="G289" s="137" t="s">
        <v>53</v>
      </c>
      <c r="H289" s="137" t="s">
        <v>193</v>
      </c>
      <c r="I289" s="137" t="s">
        <v>53</v>
      </c>
      <c r="J289" s="137" t="s">
        <v>193</v>
      </c>
    </row>
    <row r="290" spans="1:10" ht="15" customHeight="1" x14ac:dyDescent="0.25">
      <c r="A290" s="137" t="s">
        <v>585</v>
      </c>
      <c r="B290" s="137" t="s">
        <v>588</v>
      </c>
      <c r="C290" s="137">
        <v>2018</v>
      </c>
      <c r="D290" s="137">
        <v>179.76900000000001</v>
      </c>
      <c r="E290" s="137" t="s">
        <v>820</v>
      </c>
      <c r="F290" s="137">
        <v>119.02800000000001</v>
      </c>
      <c r="G290" s="137" t="s">
        <v>821</v>
      </c>
      <c r="H290" s="137">
        <v>60.741</v>
      </c>
      <c r="I290" s="137" t="s">
        <v>53</v>
      </c>
      <c r="J290" s="137" t="s">
        <v>193</v>
      </c>
    </row>
    <row r="291" spans="1:10" ht="15" customHeight="1" x14ac:dyDescent="0.25">
      <c r="A291" s="137" t="s">
        <v>585</v>
      </c>
      <c r="B291" s="137" t="s">
        <v>589</v>
      </c>
      <c r="C291" s="137">
        <v>2018</v>
      </c>
      <c r="D291" s="137" t="s">
        <v>193</v>
      </c>
      <c r="E291" s="137" t="s">
        <v>53</v>
      </c>
      <c r="F291" s="137" t="s">
        <v>193</v>
      </c>
      <c r="G291" s="137" t="s">
        <v>53</v>
      </c>
      <c r="H291" s="137" t="s">
        <v>193</v>
      </c>
      <c r="I291" s="137" t="s">
        <v>53</v>
      </c>
      <c r="J291" s="137" t="s">
        <v>193</v>
      </c>
    </row>
    <row r="292" spans="1:10" ht="15" customHeight="1" x14ac:dyDescent="0.25">
      <c r="A292" s="137" t="s">
        <v>585</v>
      </c>
      <c r="B292" s="137" t="s">
        <v>590</v>
      </c>
      <c r="C292" s="137">
        <v>2018</v>
      </c>
      <c r="D292" s="137" t="s">
        <v>193</v>
      </c>
      <c r="E292" s="137" t="s">
        <v>53</v>
      </c>
      <c r="F292" s="137" t="s">
        <v>193</v>
      </c>
      <c r="G292" s="137" t="s">
        <v>53</v>
      </c>
      <c r="H292" s="137" t="s">
        <v>193</v>
      </c>
      <c r="I292" s="137" t="s">
        <v>53</v>
      </c>
      <c r="J292" s="137" t="s">
        <v>193</v>
      </c>
    </row>
    <row r="293" spans="1:10" ht="15" customHeight="1" x14ac:dyDescent="0.25">
      <c r="A293" s="137" t="s">
        <v>49</v>
      </c>
      <c r="B293" s="141" t="s">
        <v>50</v>
      </c>
      <c r="C293" s="137">
        <v>2018</v>
      </c>
      <c r="D293" s="137" t="s">
        <v>53</v>
      </c>
      <c r="E293" s="137" t="s">
        <v>53</v>
      </c>
      <c r="F293" s="137" t="s">
        <v>53</v>
      </c>
      <c r="G293" s="137" t="s">
        <v>53</v>
      </c>
      <c r="H293" s="137" t="s">
        <v>53</v>
      </c>
      <c r="I293" s="137" t="s">
        <v>53</v>
      </c>
      <c r="J293" s="137" t="s">
        <v>53</v>
      </c>
    </row>
    <row r="294" spans="1:10" ht="15" customHeight="1" x14ac:dyDescent="0.25">
      <c r="A294" s="137" t="s">
        <v>591</v>
      </c>
      <c r="B294" s="137" t="s">
        <v>592</v>
      </c>
      <c r="C294" s="137">
        <v>2018</v>
      </c>
      <c r="D294" s="137" t="s">
        <v>193</v>
      </c>
      <c r="E294" s="137" t="s">
        <v>53</v>
      </c>
      <c r="F294" s="137" t="s">
        <v>193</v>
      </c>
      <c r="G294" s="137" t="s">
        <v>53</v>
      </c>
      <c r="H294" s="137" t="s">
        <v>193</v>
      </c>
      <c r="I294" s="137" t="s">
        <v>53</v>
      </c>
      <c r="J294" s="137" t="s">
        <v>193</v>
      </c>
    </row>
    <row r="295" spans="1:10" ht="15" customHeight="1" x14ac:dyDescent="0.25">
      <c r="A295" s="137" t="s">
        <v>591</v>
      </c>
      <c r="B295" s="137" t="s">
        <v>594</v>
      </c>
      <c r="C295" s="137">
        <v>2018</v>
      </c>
      <c r="D295" s="137" t="s">
        <v>193</v>
      </c>
      <c r="E295" s="137" t="s">
        <v>53</v>
      </c>
      <c r="F295" s="137" t="s">
        <v>193</v>
      </c>
      <c r="G295" s="137" t="s">
        <v>53</v>
      </c>
      <c r="H295" s="137" t="s">
        <v>193</v>
      </c>
      <c r="I295" s="137" t="s">
        <v>53</v>
      </c>
      <c r="J295" s="137" t="s">
        <v>193</v>
      </c>
    </row>
    <row r="296" spans="1:10" ht="15" customHeight="1" x14ac:dyDescent="0.25">
      <c r="A296" s="137" t="s">
        <v>591</v>
      </c>
      <c r="B296" s="137" t="s">
        <v>595</v>
      </c>
      <c r="C296" s="137">
        <v>2018</v>
      </c>
      <c r="D296" s="137" t="s">
        <v>193</v>
      </c>
      <c r="E296" s="137" t="s">
        <v>53</v>
      </c>
      <c r="F296" s="137" t="s">
        <v>193</v>
      </c>
      <c r="G296" s="137" t="s">
        <v>53</v>
      </c>
      <c r="H296" s="137" t="s">
        <v>193</v>
      </c>
      <c r="I296" s="137" t="s">
        <v>53</v>
      </c>
      <c r="J296" s="137" t="s">
        <v>193</v>
      </c>
    </row>
    <row r="297" spans="1:10" ht="15" customHeight="1" x14ac:dyDescent="0.25">
      <c r="A297" s="137" t="s">
        <v>591</v>
      </c>
      <c r="B297" s="137" t="s">
        <v>597</v>
      </c>
      <c r="C297" s="137">
        <v>2018</v>
      </c>
      <c r="D297" s="137" t="s">
        <v>193</v>
      </c>
      <c r="E297" s="137" t="s">
        <v>53</v>
      </c>
      <c r="F297" s="137" t="s">
        <v>193</v>
      </c>
      <c r="G297" s="137" t="s">
        <v>53</v>
      </c>
      <c r="H297" s="137" t="s">
        <v>193</v>
      </c>
      <c r="I297" s="137" t="s">
        <v>53</v>
      </c>
      <c r="J297" s="137" t="s">
        <v>193</v>
      </c>
    </row>
    <row r="298" spans="1:10" ht="15" customHeight="1" x14ac:dyDescent="0.25">
      <c r="A298" s="137" t="s">
        <v>598</v>
      </c>
      <c r="B298" s="137" t="s">
        <v>599</v>
      </c>
      <c r="C298" s="137">
        <v>2018</v>
      </c>
      <c r="D298" s="137" t="s">
        <v>193</v>
      </c>
      <c r="E298" s="137" t="s">
        <v>53</v>
      </c>
      <c r="F298" s="137" t="s">
        <v>193</v>
      </c>
      <c r="G298" s="137" t="s">
        <v>53</v>
      </c>
      <c r="H298" s="137" t="s">
        <v>193</v>
      </c>
      <c r="I298" s="137" t="s">
        <v>53</v>
      </c>
      <c r="J298" s="137" t="s">
        <v>193</v>
      </c>
    </row>
    <row r="299" spans="1:10" ht="15" customHeight="1" x14ac:dyDescent="0.25">
      <c r="A299" s="137" t="s">
        <v>600</v>
      </c>
      <c r="B299" s="137" t="s">
        <v>132</v>
      </c>
      <c r="C299" s="137">
        <v>2018</v>
      </c>
      <c r="D299" s="137" t="s">
        <v>53</v>
      </c>
      <c r="E299" s="137" t="s">
        <v>53</v>
      </c>
      <c r="F299" s="137" t="s">
        <v>53</v>
      </c>
      <c r="G299" s="137" t="s">
        <v>53</v>
      </c>
      <c r="H299" s="137" t="s">
        <v>53</v>
      </c>
      <c r="I299" s="137" t="s">
        <v>53</v>
      </c>
      <c r="J299" s="137" t="s">
        <v>53</v>
      </c>
    </row>
    <row r="300" spans="1:10" ht="15" customHeight="1" x14ac:dyDescent="0.25">
      <c r="A300" s="137" t="s">
        <v>601</v>
      </c>
      <c r="B300" s="137" t="s">
        <v>602</v>
      </c>
      <c r="C300" s="137">
        <v>2018</v>
      </c>
      <c r="D300" s="137" t="s">
        <v>193</v>
      </c>
      <c r="E300" s="137" t="s">
        <v>53</v>
      </c>
      <c r="F300" s="137" t="s">
        <v>193</v>
      </c>
      <c r="G300" s="137" t="s">
        <v>53</v>
      </c>
      <c r="H300" s="137" t="s">
        <v>193</v>
      </c>
      <c r="I300" s="137" t="s">
        <v>53</v>
      </c>
      <c r="J300" s="137" t="s">
        <v>193</v>
      </c>
    </row>
    <row r="301" spans="1:10" ht="15" customHeight="1" x14ac:dyDescent="0.25">
      <c r="A301" s="137" t="s">
        <v>601</v>
      </c>
      <c r="B301" s="137" t="s">
        <v>603</v>
      </c>
      <c r="C301" s="137">
        <v>2018</v>
      </c>
      <c r="D301" s="137" t="s">
        <v>193</v>
      </c>
      <c r="E301" s="137" t="s">
        <v>53</v>
      </c>
      <c r="F301" s="137" t="s">
        <v>193</v>
      </c>
      <c r="G301" s="137" t="s">
        <v>53</v>
      </c>
      <c r="H301" s="137" t="s">
        <v>193</v>
      </c>
      <c r="I301" s="137" t="s">
        <v>53</v>
      </c>
      <c r="J301" s="137" t="s">
        <v>193</v>
      </c>
    </row>
    <row r="302" spans="1:10" ht="15" customHeight="1" x14ac:dyDescent="0.25">
      <c r="A302" s="137" t="s">
        <v>601</v>
      </c>
      <c r="B302" s="137" t="s">
        <v>604</v>
      </c>
      <c r="C302" s="137">
        <v>2018</v>
      </c>
      <c r="D302" s="137" t="s">
        <v>193</v>
      </c>
      <c r="E302" s="137" t="s">
        <v>53</v>
      </c>
      <c r="F302" s="137" t="s">
        <v>193</v>
      </c>
      <c r="G302" s="137" t="s">
        <v>53</v>
      </c>
      <c r="H302" s="137" t="s">
        <v>193</v>
      </c>
      <c r="I302" s="137" t="s">
        <v>53</v>
      </c>
      <c r="J302" s="137" t="s">
        <v>193</v>
      </c>
    </row>
    <row r="303" spans="1:10" ht="15" customHeight="1" x14ac:dyDescent="0.25">
      <c r="A303" s="137" t="s">
        <v>601</v>
      </c>
      <c r="B303" s="137" t="s">
        <v>605</v>
      </c>
      <c r="C303" s="137">
        <v>2018</v>
      </c>
      <c r="D303" s="137" t="s">
        <v>193</v>
      </c>
      <c r="E303" s="137" t="s">
        <v>53</v>
      </c>
      <c r="F303" s="137" t="s">
        <v>193</v>
      </c>
      <c r="G303" s="137" t="s">
        <v>53</v>
      </c>
      <c r="H303" s="137" t="s">
        <v>193</v>
      </c>
      <c r="I303" s="137" t="s">
        <v>53</v>
      </c>
      <c r="J303" s="137" t="s">
        <v>193</v>
      </c>
    </row>
    <row r="304" spans="1:10" ht="15" customHeight="1" x14ac:dyDescent="0.25">
      <c r="A304" s="137" t="s">
        <v>601</v>
      </c>
      <c r="B304" s="137" t="s">
        <v>606</v>
      </c>
      <c r="C304" s="137">
        <v>2018</v>
      </c>
      <c r="D304" s="137">
        <v>9.3000000000000007</v>
      </c>
      <c r="E304" s="137" t="s">
        <v>823</v>
      </c>
      <c r="F304" s="137">
        <v>9.3000000000000007</v>
      </c>
      <c r="G304" s="137" t="s">
        <v>53</v>
      </c>
      <c r="H304" s="137" t="s">
        <v>193</v>
      </c>
      <c r="I304" s="137" t="s">
        <v>53</v>
      </c>
      <c r="J304" s="137" t="s">
        <v>193</v>
      </c>
    </row>
    <row r="305" spans="1:10" ht="15" customHeight="1" x14ac:dyDescent="0.25">
      <c r="A305" s="137" t="s">
        <v>601</v>
      </c>
      <c r="B305" s="137" t="s">
        <v>607</v>
      </c>
      <c r="C305" s="137">
        <v>2018</v>
      </c>
      <c r="D305" s="137" t="s">
        <v>193</v>
      </c>
      <c r="E305" s="137" t="s">
        <v>53</v>
      </c>
      <c r="F305" s="137" t="s">
        <v>193</v>
      </c>
      <c r="G305" s="137" t="s">
        <v>53</v>
      </c>
      <c r="H305" s="137" t="s">
        <v>193</v>
      </c>
      <c r="I305" s="137" t="s">
        <v>53</v>
      </c>
      <c r="J305" s="137" t="s">
        <v>193</v>
      </c>
    </row>
    <row r="306" spans="1:10" ht="15" customHeight="1" x14ac:dyDescent="0.25">
      <c r="A306" s="137" t="s">
        <v>608</v>
      </c>
      <c r="B306" s="137" t="s">
        <v>609</v>
      </c>
      <c r="C306" s="137">
        <v>2018</v>
      </c>
      <c r="D306" s="137">
        <v>31</v>
      </c>
      <c r="E306" s="137" t="s">
        <v>903</v>
      </c>
      <c r="F306" s="137">
        <v>31</v>
      </c>
      <c r="G306" s="137" t="s">
        <v>53</v>
      </c>
      <c r="H306" s="137" t="s">
        <v>193</v>
      </c>
      <c r="I306" s="137" t="s">
        <v>53</v>
      </c>
      <c r="J306" s="137" t="s">
        <v>193</v>
      </c>
    </row>
    <row r="307" spans="1:10" ht="15" customHeight="1" x14ac:dyDescent="0.25">
      <c r="A307" s="137" t="s">
        <v>608</v>
      </c>
      <c r="B307" s="137" t="s">
        <v>610</v>
      </c>
      <c r="C307" s="137">
        <v>2018</v>
      </c>
      <c r="D307" s="137" t="s">
        <v>193</v>
      </c>
      <c r="E307" s="137" t="s">
        <v>53</v>
      </c>
      <c r="F307" s="137" t="s">
        <v>193</v>
      </c>
      <c r="G307" s="137" t="s">
        <v>53</v>
      </c>
      <c r="H307" s="137" t="s">
        <v>193</v>
      </c>
      <c r="I307" s="137" t="s">
        <v>53</v>
      </c>
      <c r="J307" s="137" t="s">
        <v>193</v>
      </c>
    </row>
    <row r="308" spans="1:10" ht="15" customHeight="1" x14ac:dyDescent="0.25">
      <c r="A308" s="137" t="s">
        <v>611</v>
      </c>
      <c r="B308" s="137" t="s">
        <v>612</v>
      </c>
      <c r="C308" s="137">
        <v>2018</v>
      </c>
      <c r="D308" s="137" t="s">
        <v>193</v>
      </c>
      <c r="E308" s="137" t="s">
        <v>53</v>
      </c>
      <c r="F308" s="137" t="s">
        <v>193</v>
      </c>
      <c r="G308" s="137" t="s">
        <v>53</v>
      </c>
      <c r="H308" s="137" t="s">
        <v>193</v>
      </c>
      <c r="I308" s="137" t="s">
        <v>53</v>
      </c>
      <c r="J308" s="137" t="s">
        <v>193</v>
      </c>
    </row>
    <row r="309" spans="1:10" ht="15" customHeight="1" x14ac:dyDescent="0.25">
      <c r="A309" s="137" t="s">
        <v>613</v>
      </c>
      <c r="B309" s="137" t="s">
        <v>614</v>
      </c>
      <c r="C309" s="137">
        <v>2018</v>
      </c>
      <c r="D309" s="137" t="s">
        <v>193</v>
      </c>
      <c r="E309" s="137" t="s">
        <v>53</v>
      </c>
      <c r="F309" s="137" t="s">
        <v>193</v>
      </c>
      <c r="G309" s="137" t="s">
        <v>53</v>
      </c>
      <c r="H309" s="137" t="s">
        <v>193</v>
      </c>
      <c r="I309" s="137" t="s">
        <v>53</v>
      </c>
      <c r="J309" s="137" t="s">
        <v>193</v>
      </c>
    </row>
    <row r="310" spans="1:10" ht="15" customHeight="1" x14ac:dyDescent="0.25">
      <c r="A310" s="137" t="s">
        <v>613</v>
      </c>
      <c r="B310" s="137" t="s">
        <v>615</v>
      </c>
      <c r="C310" s="137">
        <v>2018</v>
      </c>
      <c r="D310" s="137" t="s">
        <v>193</v>
      </c>
      <c r="E310" s="137" t="s">
        <v>53</v>
      </c>
      <c r="F310" s="137" t="s">
        <v>193</v>
      </c>
      <c r="G310" s="137" t="s">
        <v>53</v>
      </c>
      <c r="H310" s="137" t="s">
        <v>193</v>
      </c>
      <c r="I310" s="137" t="s">
        <v>53</v>
      </c>
      <c r="J310" s="137" t="s">
        <v>193</v>
      </c>
    </row>
    <row r="311" spans="1:10" ht="15" customHeight="1" x14ac:dyDescent="0.25">
      <c r="A311" s="137" t="s">
        <v>616</v>
      </c>
      <c r="B311" s="137" t="s">
        <v>616</v>
      </c>
      <c r="C311" s="137">
        <v>2018</v>
      </c>
      <c r="D311" s="137" t="s">
        <v>193</v>
      </c>
      <c r="E311" s="137" t="s">
        <v>53</v>
      </c>
      <c r="F311" s="137" t="s">
        <v>193</v>
      </c>
      <c r="G311" s="137" t="s">
        <v>53</v>
      </c>
      <c r="H311" s="137" t="s">
        <v>193</v>
      </c>
      <c r="I311" s="137" t="s">
        <v>53</v>
      </c>
      <c r="J311" s="137" t="s">
        <v>193</v>
      </c>
    </row>
    <row r="312" spans="1:10" ht="15" customHeight="1" x14ac:dyDescent="0.25">
      <c r="A312" s="137" t="s">
        <v>617</v>
      </c>
      <c r="B312" s="137" t="s">
        <v>135</v>
      </c>
      <c r="C312" s="137">
        <v>2018</v>
      </c>
      <c r="D312" s="137" t="s">
        <v>193</v>
      </c>
      <c r="E312" s="137" t="s">
        <v>53</v>
      </c>
      <c r="F312" s="137" t="s">
        <v>193</v>
      </c>
      <c r="G312" s="137" t="s">
        <v>53</v>
      </c>
      <c r="H312" s="137" t="s">
        <v>193</v>
      </c>
      <c r="I312" s="137" t="s">
        <v>53</v>
      </c>
      <c r="J312" s="137" t="s">
        <v>193</v>
      </c>
    </row>
    <row r="313" spans="1:10" ht="15" customHeight="1" x14ac:dyDescent="0.25">
      <c r="A313" s="137" t="s">
        <v>618</v>
      </c>
      <c r="B313" s="137" t="s">
        <v>619</v>
      </c>
      <c r="C313" s="137">
        <v>2018</v>
      </c>
      <c r="D313" s="137" t="s">
        <v>193</v>
      </c>
      <c r="E313" s="137" t="s">
        <v>219</v>
      </c>
      <c r="F313" s="137" t="s">
        <v>193</v>
      </c>
      <c r="G313" s="137" t="s">
        <v>219</v>
      </c>
      <c r="H313" s="137" t="s">
        <v>193</v>
      </c>
      <c r="I313" s="137" t="s">
        <v>219</v>
      </c>
      <c r="J313" s="137" t="s">
        <v>193</v>
      </c>
    </row>
    <row r="314" spans="1:10" ht="15" customHeight="1" x14ac:dyDescent="0.25">
      <c r="A314" s="137" t="s">
        <v>621</v>
      </c>
      <c r="B314" s="137" t="s">
        <v>622</v>
      </c>
      <c r="C314" s="137">
        <v>2018</v>
      </c>
      <c r="D314" s="137" t="s">
        <v>193</v>
      </c>
      <c r="E314" s="137" t="s">
        <v>53</v>
      </c>
      <c r="F314" s="137" t="s">
        <v>193</v>
      </c>
      <c r="G314" s="137" t="s">
        <v>53</v>
      </c>
      <c r="H314" s="137" t="s">
        <v>193</v>
      </c>
      <c r="I314" s="137" t="s">
        <v>53</v>
      </c>
      <c r="J314" s="137" t="s">
        <v>193</v>
      </c>
    </row>
    <row r="315" spans="1:10" ht="15" customHeight="1" x14ac:dyDescent="0.25">
      <c r="A315" s="137" t="s">
        <v>623</v>
      </c>
      <c r="B315" s="137" t="s">
        <v>624</v>
      </c>
      <c r="C315" s="137">
        <v>2018</v>
      </c>
      <c r="D315" s="137">
        <v>59.1</v>
      </c>
      <c r="E315" s="137" t="s">
        <v>904</v>
      </c>
      <c r="F315" s="137">
        <v>59.1</v>
      </c>
      <c r="G315" s="137" t="s">
        <v>193</v>
      </c>
      <c r="H315" s="137" t="s">
        <v>193</v>
      </c>
      <c r="I315" s="137" t="s">
        <v>193</v>
      </c>
      <c r="J315" s="137" t="s">
        <v>193</v>
      </c>
    </row>
    <row r="316" spans="1:10" ht="15" customHeight="1" x14ac:dyDescent="0.25">
      <c r="A316" s="137" t="s">
        <v>43</v>
      </c>
      <c r="B316" s="141" t="s">
        <v>51</v>
      </c>
      <c r="C316" s="137">
        <v>2018</v>
      </c>
      <c r="D316" s="137" t="s">
        <v>53</v>
      </c>
      <c r="E316" s="137" t="s">
        <v>53</v>
      </c>
      <c r="F316" s="137" t="s">
        <v>53</v>
      </c>
      <c r="G316" s="137" t="s">
        <v>53</v>
      </c>
      <c r="H316" s="137" t="s">
        <v>53</v>
      </c>
      <c r="I316" s="137" t="s">
        <v>53</v>
      </c>
      <c r="J316" s="137" t="s">
        <v>53</v>
      </c>
    </row>
    <row r="317" spans="1:10" ht="15" customHeight="1" x14ac:dyDescent="0.25">
      <c r="A317" s="137" t="s">
        <v>625</v>
      </c>
      <c r="B317" s="137" t="s">
        <v>626</v>
      </c>
      <c r="C317" s="137">
        <v>2018</v>
      </c>
      <c r="D317" s="137" t="s">
        <v>193</v>
      </c>
      <c r="E317" s="137" t="s">
        <v>219</v>
      </c>
      <c r="F317" s="137" t="s">
        <v>193</v>
      </c>
      <c r="G317" s="137" t="s">
        <v>219</v>
      </c>
      <c r="H317" s="137" t="s">
        <v>193</v>
      </c>
      <c r="I317" s="137" t="s">
        <v>219</v>
      </c>
      <c r="J317" s="137" t="s">
        <v>193</v>
      </c>
    </row>
    <row r="318" spans="1:10" ht="15" customHeight="1" x14ac:dyDescent="0.25">
      <c r="A318" s="137" t="s">
        <v>625</v>
      </c>
      <c r="B318" s="137" t="s">
        <v>627</v>
      </c>
      <c r="C318" s="137">
        <v>2018</v>
      </c>
      <c r="D318" s="137" t="s">
        <v>193</v>
      </c>
      <c r="E318" s="137" t="s">
        <v>219</v>
      </c>
      <c r="F318" s="137" t="s">
        <v>193</v>
      </c>
      <c r="G318" s="137" t="s">
        <v>219</v>
      </c>
      <c r="H318" s="137" t="s">
        <v>193</v>
      </c>
      <c r="I318" s="137" t="s">
        <v>219</v>
      </c>
      <c r="J318" s="137" t="s">
        <v>193</v>
      </c>
    </row>
    <row r="319" spans="1:10" ht="15" customHeight="1" x14ac:dyDescent="0.25">
      <c r="A319" s="137" t="s">
        <v>625</v>
      </c>
      <c r="B319" s="137" t="s">
        <v>628</v>
      </c>
      <c r="C319" s="137">
        <v>2018</v>
      </c>
      <c r="D319" s="137" t="s">
        <v>193</v>
      </c>
      <c r="E319" s="137" t="s">
        <v>53</v>
      </c>
      <c r="F319" s="137" t="s">
        <v>193</v>
      </c>
      <c r="G319" s="137" t="s">
        <v>53</v>
      </c>
      <c r="H319" s="137" t="s">
        <v>193</v>
      </c>
      <c r="I319" s="137" t="s">
        <v>53</v>
      </c>
      <c r="J319" s="137" t="s">
        <v>193</v>
      </c>
    </row>
    <row r="320" spans="1:10" ht="15" customHeight="1" x14ac:dyDescent="0.25">
      <c r="A320" s="137" t="s">
        <v>629</v>
      </c>
      <c r="B320" s="137" t="s">
        <v>630</v>
      </c>
      <c r="C320" s="137">
        <v>2018</v>
      </c>
      <c r="D320" s="137" t="s">
        <v>193</v>
      </c>
      <c r="E320" s="137" t="s">
        <v>53</v>
      </c>
      <c r="F320" s="137" t="s">
        <v>193</v>
      </c>
      <c r="G320" s="137" t="s">
        <v>53</v>
      </c>
      <c r="H320" s="137" t="s">
        <v>193</v>
      </c>
      <c r="I320" s="137" t="s">
        <v>53</v>
      </c>
      <c r="J320" s="137" t="s">
        <v>193</v>
      </c>
    </row>
    <row r="321" spans="1:10" ht="15" customHeight="1" x14ac:dyDescent="0.25">
      <c r="A321" s="137" t="s">
        <v>629</v>
      </c>
      <c r="B321" s="137" t="s">
        <v>631</v>
      </c>
      <c r="C321" s="137">
        <v>2018</v>
      </c>
      <c r="D321" s="137" t="s">
        <v>193</v>
      </c>
      <c r="E321" s="137" t="s">
        <v>53</v>
      </c>
      <c r="F321" s="137" t="s">
        <v>193</v>
      </c>
      <c r="G321" s="137" t="s">
        <v>53</v>
      </c>
      <c r="H321" s="137" t="s">
        <v>193</v>
      </c>
      <c r="I321" s="137" t="s">
        <v>53</v>
      </c>
      <c r="J321" s="137" t="s">
        <v>193</v>
      </c>
    </row>
    <row r="322" spans="1:10" ht="15" customHeight="1" x14ac:dyDescent="0.25">
      <c r="A322" s="137" t="s">
        <v>629</v>
      </c>
      <c r="B322" s="137" t="s">
        <v>632</v>
      </c>
      <c r="C322" s="137">
        <v>2018</v>
      </c>
      <c r="D322" s="137">
        <v>30.916</v>
      </c>
      <c r="E322" s="137" t="s">
        <v>826</v>
      </c>
      <c r="F322" s="137">
        <v>30.300999999999998</v>
      </c>
      <c r="G322" s="137" t="s">
        <v>905</v>
      </c>
      <c r="H322" s="137">
        <v>0.61499999999999999</v>
      </c>
      <c r="I322" s="137" t="s">
        <v>53</v>
      </c>
      <c r="J322" s="137" t="s">
        <v>193</v>
      </c>
    </row>
    <row r="323" spans="1:10" ht="15" customHeight="1" x14ac:dyDescent="0.25">
      <c r="A323" s="137" t="s">
        <v>633</v>
      </c>
      <c r="B323" s="137" t="s">
        <v>634</v>
      </c>
      <c r="C323" s="137">
        <v>2018</v>
      </c>
      <c r="D323" s="137" t="s">
        <v>193</v>
      </c>
      <c r="E323" s="137" t="s">
        <v>53</v>
      </c>
      <c r="F323" s="137" t="s">
        <v>193</v>
      </c>
      <c r="G323" s="137" t="s">
        <v>53</v>
      </c>
      <c r="H323" s="137" t="s">
        <v>193</v>
      </c>
      <c r="I323" s="137" t="s">
        <v>53</v>
      </c>
      <c r="J323" s="137" t="s">
        <v>193</v>
      </c>
    </row>
    <row r="324" spans="1:10" ht="15" customHeight="1" x14ac:dyDescent="0.25">
      <c r="A324" s="137" t="s">
        <v>633</v>
      </c>
      <c r="B324" s="137" t="s">
        <v>635</v>
      </c>
      <c r="C324" s="137">
        <v>2018</v>
      </c>
      <c r="D324" s="137" t="s">
        <v>193</v>
      </c>
      <c r="E324" s="137" t="s">
        <v>53</v>
      </c>
      <c r="F324" s="137" t="s">
        <v>193</v>
      </c>
      <c r="G324" s="137" t="s">
        <v>53</v>
      </c>
      <c r="H324" s="137" t="s">
        <v>193</v>
      </c>
      <c r="I324" s="137" t="s">
        <v>53</v>
      </c>
      <c r="J324" s="137" t="s">
        <v>193</v>
      </c>
    </row>
    <row r="325" spans="1:10" ht="15" customHeight="1" x14ac:dyDescent="0.25">
      <c r="A325" s="137" t="s">
        <v>633</v>
      </c>
      <c r="B325" s="137" t="s">
        <v>636</v>
      </c>
      <c r="C325" s="137">
        <v>2018</v>
      </c>
      <c r="D325" s="137" t="s">
        <v>193</v>
      </c>
      <c r="E325" s="137" t="s">
        <v>53</v>
      </c>
      <c r="F325" s="137" t="s">
        <v>193</v>
      </c>
      <c r="G325" s="137" t="s">
        <v>53</v>
      </c>
      <c r="H325" s="137" t="s">
        <v>193</v>
      </c>
      <c r="I325" s="137" t="s">
        <v>53</v>
      </c>
      <c r="J325" s="137" t="s">
        <v>193</v>
      </c>
    </row>
    <row r="326" spans="1:10" ht="15" customHeight="1" x14ac:dyDescent="0.25">
      <c r="A326" s="137" t="s">
        <v>633</v>
      </c>
      <c r="B326" s="137" t="s">
        <v>637</v>
      </c>
      <c r="C326" s="137">
        <v>2018</v>
      </c>
      <c r="D326" s="137" t="s">
        <v>193</v>
      </c>
      <c r="E326" s="137" t="s">
        <v>53</v>
      </c>
      <c r="F326" s="137" t="s">
        <v>193</v>
      </c>
      <c r="G326" s="137" t="s">
        <v>53</v>
      </c>
      <c r="H326" s="137" t="s">
        <v>193</v>
      </c>
      <c r="I326" s="137" t="s">
        <v>53</v>
      </c>
      <c r="J326" s="137" t="s">
        <v>193</v>
      </c>
    </row>
    <row r="327" spans="1:10" ht="15" customHeight="1" x14ac:dyDescent="0.25">
      <c r="A327" s="137" t="s">
        <v>638</v>
      </c>
      <c r="B327" s="137" t="s">
        <v>639</v>
      </c>
      <c r="C327" s="137">
        <v>2018</v>
      </c>
      <c r="D327" s="137" t="s">
        <v>193</v>
      </c>
      <c r="E327" s="137" t="s">
        <v>53</v>
      </c>
      <c r="F327" s="137" t="s">
        <v>193</v>
      </c>
      <c r="G327" s="137" t="s">
        <v>53</v>
      </c>
      <c r="H327" s="137" t="s">
        <v>193</v>
      </c>
      <c r="I327" s="137" t="s">
        <v>53</v>
      </c>
      <c r="J327" s="137" t="s">
        <v>193</v>
      </c>
    </row>
    <row r="328" spans="1:10" ht="15" customHeight="1" x14ac:dyDescent="0.25">
      <c r="A328" s="137" t="s">
        <v>638</v>
      </c>
      <c r="B328" s="137" t="s">
        <v>641</v>
      </c>
      <c r="C328" s="137">
        <v>2018</v>
      </c>
      <c r="D328" s="137" t="s">
        <v>193</v>
      </c>
      <c r="E328" s="137" t="s">
        <v>53</v>
      </c>
      <c r="F328" s="137" t="s">
        <v>193</v>
      </c>
      <c r="G328" s="137" t="s">
        <v>53</v>
      </c>
      <c r="H328" s="137" t="s">
        <v>193</v>
      </c>
      <c r="I328" s="137" t="s">
        <v>53</v>
      </c>
      <c r="J328" s="137" t="s">
        <v>193</v>
      </c>
    </row>
    <row r="329" spans="1:10" ht="15" customHeight="1" x14ac:dyDescent="0.25">
      <c r="A329" s="137" t="s">
        <v>643</v>
      </c>
      <c r="B329" s="137" t="s">
        <v>644</v>
      </c>
      <c r="C329" s="137">
        <v>2018</v>
      </c>
      <c r="D329" s="137" t="s">
        <v>193</v>
      </c>
      <c r="E329" s="137" t="s">
        <v>53</v>
      </c>
      <c r="F329" s="137" t="s">
        <v>193</v>
      </c>
      <c r="G329" s="137" t="s">
        <v>53</v>
      </c>
      <c r="H329" s="137" t="s">
        <v>193</v>
      </c>
      <c r="I329" s="137" t="s">
        <v>53</v>
      </c>
      <c r="J329" s="137" t="s">
        <v>193</v>
      </c>
    </row>
    <row r="330" spans="1:10" ht="15" customHeight="1" x14ac:dyDescent="0.25">
      <c r="A330" s="137" t="s">
        <v>645</v>
      </c>
      <c r="B330" s="137" t="s">
        <v>646</v>
      </c>
      <c r="C330" s="137">
        <v>2018</v>
      </c>
      <c r="D330" s="137" t="s">
        <v>193</v>
      </c>
      <c r="E330" s="137" t="s">
        <v>53</v>
      </c>
      <c r="F330" s="137" t="s">
        <v>193</v>
      </c>
      <c r="G330" s="137" t="s">
        <v>53</v>
      </c>
      <c r="H330" s="137" t="s">
        <v>193</v>
      </c>
      <c r="I330" s="137" t="s">
        <v>53</v>
      </c>
      <c r="J330" s="137" t="s">
        <v>193</v>
      </c>
    </row>
    <row r="331" spans="1:10" ht="15" customHeight="1" x14ac:dyDescent="0.25">
      <c r="A331" s="137" t="s">
        <v>645</v>
      </c>
      <c r="B331" s="137" t="s">
        <v>647</v>
      </c>
      <c r="C331" s="137">
        <v>2018</v>
      </c>
      <c r="D331" s="137">
        <v>147.672</v>
      </c>
      <c r="E331" s="137" t="s">
        <v>906</v>
      </c>
      <c r="F331" s="137">
        <v>147.672</v>
      </c>
      <c r="G331" s="137" t="s">
        <v>219</v>
      </c>
      <c r="H331" s="137" t="s">
        <v>193</v>
      </c>
      <c r="I331" s="137" t="s">
        <v>219</v>
      </c>
      <c r="J331" s="137" t="s">
        <v>193</v>
      </c>
    </row>
    <row r="332" spans="1:10" ht="15" customHeight="1" x14ac:dyDescent="0.25">
      <c r="A332" s="137" t="s">
        <v>645</v>
      </c>
      <c r="B332" s="137" t="s">
        <v>648</v>
      </c>
      <c r="C332" s="137">
        <v>2018</v>
      </c>
      <c r="D332" s="137" t="s">
        <v>193</v>
      </c>
      <c r="E332" s="137" t="s">
        <v>53</v>
      </c>
      <c r="F332" s="137" t="s">
        <v>193</v>
      </c>
      <c r="G332" s="137" t="s">
        <v>53</v>
      </c>
      <c r="H332" s="137" t="s">
        <v>193</v>
      </c>
      <c r="I332" s="137" t="s">
        <v>53</v>
      </c>
      <c r="J332" s="137" t="s">
        <v>193</v>
      </c>
    </row>
    <row r="333" spans="1:10" ht="15" customHeight="1" x14ac:dyDescent="0.25">
      <c r="A333" s="137" t="s">
        <v>649</v>
      </c>
      <c r="B333" s="137" t="s">
        <v>650</v>
      </c>
      <c r="C333" s="137">
        <v>2018</v>
      </c>
      <c r="D333" s="137" t="s">
        <v>193</v>
      </c>
      <c r="E333" s="137" t="s">
        <v>53</v>
      </c>
      <c r="F333" s="137" t="s">
        <v>193</v>
      </c>
      <c r="G333" s="137" t="s">
        <v>53</v>
      </c>
      <c r="H333" s="137" t="s">
        <v>193</v>
      </c>
      <c r="I333" s="137" t="s">
        <v>53</v>
      </c>
      <c r="J333" s="137" t="s">
        <v>193</v>
      </c>
    </row>
    <row r="334" spans="1:10" ht="15" customHeight="1" x14ac:dyDescent="0.25">
      <c r="A334" s="137" t="s">
        <v>649</v>
      </c>
      <c r="B334" s="137" t="s">
        <v>651</v>
      </c>
      <c r="C334" s="137">
        <v>2018</v>
      </c>
      <c r="D334" s="137" t="s">
        <v>193</v>
      </c>
      <c r="E334" s="137" t="s">
        <v>53</v>
      </c>
      <c r="F334" s="137" t="s">
        <v>193</v>
      </c>
      <c r="G334" s="137" t="s">
        <v>53</v>
      </c>
      <c r="H334" s="137" t="s">
        <v>193</v>
      </c>
      <c r="I334" s="137" t="s">
        <v>53</v>
      </c>
      <c r="J334" s="137" t="s">
        <v>193</v>
      </c>
    </row>
    <row r="335" spans="1:10" ht="15" customHeight="1" x14ac:dyDescent="0.25">
      <c r="A335" s="137" t="s">
        <v>649</v>
      </c>
      <c r="B335" s="137" t="s">
        <v>652</v>
      </c>
      <c r="C335" s="137">
        <v>2018</v>
      </c>
      <c r="D335" s="137" t="s">
        <v>193</v>
      </c>
      <c r="E335" s="137" t="s">
        <v>53</v>
      </c>
      <c r="F335" s="137" t="s">
        <v>193</v>
      </c>
      <c r="G335" s="137" t="s">
        <v>53</v>
      </c>
      <c r="H335" s="137" t="s">
        <v>193</v>
      </c>
      <c r="I335" s="137" t="s">
        <v>53</v>
      </c>
      <c r="J335" s="137" t="s">
        <v>193</v>
      </c>
    </row>
    <row r="336" spans="1:10" ht="15" customHeight="1" x14ac:dyDescent="0.25">
      <c r="A336" s="137" t="s">
        <v>649</v>
      </c>
      <c r="B336" s="137" t="s">
        <v>653</v>
      </c>
      <c r="C336" s="137">
        <v>2018</v>
      </c>
      <c r="D336" s="137" t="s">
        <v>193</v>
      </c>
      <c r="E336" s="137" t="s">
        <v>53</v>
      </c>
      <c r="F336" s="137" t="s">
        <v>193</v>
      </c>
      <c r="G336" s="137" t="s">
        <v>53</v>
      </c>
      <c r="H336" s="137" t="s">
        <v>193</v>
      </c>
      <c r="I336" s="137" t="s">
        <v>53</v>
      </c>
      <c r="J336" s="137" t="s">
        <v>193</v>
      </c>
    </row>
    <row r="337" spans="1:10" ht="15" customHeight="1" x14ac:dyDescent="0.25">
      <c r="A337" s="137" t="s">
        <v>649</v>
      </c>
      <c r="B337" s="137" t="s">
        <v>138</v>
      </c>
      <c r="C337" s="137">
        <v>2018</v>
      </c>
      <c r="D337" s="137" t="s">
        <v>193</v>
      </c>
      <c r="E337" s="137" t="s">
        <v>53</v>
      </c>
      <c r="F337" s="137" t="s">
        <v>193</v>
      </c>
      <c r="G337" s="137" t="s">
        <v>53</v>
      </c>
      <c r="H337" s="137" t="s">
        <v>193</v>
      </c>
      <c r="I337" s="137" t="s">
        <v>53</v>
      </c>
      <c r="J337" s="137" t="s">
        <v>193</v>
      </c>
    </row>
    <row r="338" spans="1:10" ht="15" customHeight="1" x14ac:dyDescent="0.25">
      <c r="A338" s="137" t="s">
        <v>654</v>
      </c>
      <c r="B338" s="137" t="s">
        <v>655</v>
      </c>
      <c r="C338" s="137">
        <v>2018</v>
      </c>
      <c r="D338" s="137" t="s">
        <v>193</v>
      </c>
      <c r="E338" s="137" t="s">
        <v>53</v>
      </c>
      <c r="F338" s="137" t="s">
        <v>193</v>
      </c>
      <c r="G338" s="137" t="s">
        <v>53</v>
      </c>
      <c r="H338" s="137" t="s">
        <v>193</v>
      </c>
      <c r="I338" s="137" t="s">
        <v>53</v>
      </c>
      <c r="J338" s="137" t="s">
        <v>193</v>
      </c>
    </row>
    <row r="339" spans="1:10" ht="15" customHeight="1" x14ac:dyDescent="0.25">
      <c r="A339" s="137" t="s">
        <v>654</v>
      </c>
      <c r="B339" s="137" t="s">
        <v>656</v>
      </c>
      <c r="C339" s="137">
        <v>2018</v>
      </c>
      <c r="D339" s="137">
        <v>4.2439999999999998</v>
      </c>
      <c r="E339" s="137" t="s">
        <v>907</v>
      </c>
      <c r="F339" s="137">
        <v>4.2439999999999998</v>
      </c>
      <c r="G339" s="137" t="s">
        <v>53</v>
      </c>
      <c r="H339" s="137" t="s">
        <v>193</v>
      </c>
      <c r="I339" s="137" t="s">
        <v>53</v>
      </c>
      <c r="J339" s="137" t="s">
        <v>193</v>
      </c>
    </row>
    <row r="340" spans="1:10" ht="15" customHeight="1" x14ac:dyDescent="0.25">
      <c r="A340" s="137" t="s">
        <v>654</v>
      </c>
      <c r="B340" s="137" t="s">
        <v>657</v>
      </c>
      <c r="C340" s="137">
        <v>2018</v>
      </c>
      <c r="D340" s="137" t="s">
        <v>193</v>
      </c>
      <c r="E340" s="137" t="s">
        <v>53</v>
      </c>
      <c r="F340" s="137" t="s">
        <v>193</v>
      </c>
      <c r="G340" s="137" t="s">
        <v>53</v>
      </c>
      <c r="H340" s="137" t="s">
        <v>193</v>
      </c>
      <c r="I340" s="137" t="s">
        <v>53</v>
      </c>
      <c r="J340" s="137" t="s">
        <v>193</v>
      </c>
    </row>
    <row r="341" spans="1:10" ht="15" customHeight="1" x14ac:dyDescent="0.25">
      <c r="A341" s="137" t="s">
        <v>654</v>
      </c>
      <c r="B341" s="141" t="s">
        <v>11</v>
      </c>
      <c r="C341" s="137">
        <v>2018</v>
      </c>
      <c r="D341" s="137" t="s">
        <v>193</v>
      </c>
      <c r="E341" s="137" t="s">
        <v>53</v>
      </c>
      <c r="F341" s="137" t="s">
        <v>193</v>
      </c>
      <c r="G341" s="137" t="s">
        <v>53</v>
      </c>
      <c r="H341" s="137" t="s">
        <v>193</v>
      </c>
      <c r="I341" s="137" t="s">
        <v>53</v>
      </c>
      <c r="J341" s="137" t="s">
        <v>193</v>
      </c>
    </row>
    <row r="342" spans="1:10" ht="15" customHeight="1" x14ac:dyDescent="0.25">
      <c r="A342" s="137" t="s">
        <v>654</v>
      </c>
      <c r="B342" s="137" t="s">
        <v>658</v>
      </c>
      <c r="C342" s="137">
        <v>2018</v>
      </c>
      <c r="D342" s="137" t="s">
        <v>193</v>
      </c>
      <c r="E342" s="137" t="s">
        <v>53</v>
      </c>
      <c r="F342" s="137" t="s">
        <v>193</v>
      </c>
      <c r="G342" s="137" t="s">
        <v>53</v>
      </c>
      <c r="H342" s="137" t="s">
        <v>193</v>
      </c>
      <c r="I342" s="137" t="s">
        <v>53</v>
      </c>
      <c r="J342" s="137" t="s">
        <v>193</v>
      </c>
    </row>
    <row r="343" spans="1:10" ht="15" customHeight="1" x14ac:dyDescent="0.25">
      <c r="A343" s="137" t="s">
        <v>654</v>
      </c>
      <c r="B343" s="137" t="s">
        <v>659</v>
      </c>
      <c r="C343" s="137">
        <v>2018</v>
      </c>
      <c r="D343" s="137" t="s">
        <v>193</v>
      </c>
      <c r="E343" s="137" t="s">
        <v>193</v>
      </c>
      <c r="F343" s="137" t="s">
        <v>193</v>
      </c>
      <c r="G343" s="137" t="s">
        <v>193</v>
      </c>
      <c r="H343" s="137" t="s">
        <v>193</v>
      </c>
      <c r="I343" s="137" t="s">
        <v>193</v>
      </c>
      <c r="J343" s="137" t="s">
        <v>193</v>
      </c>
    </row>
    <row r="344" spans="1:10" ht="15" customHeight="1" x14ac:dyDescent="0.25">
      <c r="A344" s="137" t="s">
        <v>654</v>
      </c>
      <c r="B344" s="137" t="s">
        <v>660</v>
      </c>
      <c r="C344" s="137">
        <v>2018</v>
      </c>
      <c r="D344" s="137" t="s">
        <v>193</v>
      </c>
      <c r="E344" s="137" t="s">
        <v>53</v>
      </c>
      <c r="F344" s="137" t="s">
        <v>193</v>
      </c>
      <c r="G344" s="137" t="s">
        <v>53</v>
      </c>
      <c r="H344" s="137" t="s">
        <v>193</v>
      </c>
      <c r="I344" s="137" t="s">
        <v>53</v>
      </c>
      <c r="J344" s="137" t="s">
        <v>193</v>
      </c>
    </row>
    <row r="345" spans="1:10" ht="15" customHeight="1" x14ac:dyDescent="0.25">
      <c r="A345" s="137" t="s">
        <v>654</v>
      </c>
      <c r="B345" s="137" t="s">
        <v>661</v>
      </c>
      <c r="C345" s="137">
        <v>2018</v>
      </c>
      <c r="D345" s="137" t="s">
        <v>193</v>
      </c>
      <c r="E345" s="137" t="s">
        <v>53</v>
      </c>
      <c r="F345" s="137" t="s">
        <v>193</v>
      </c>
      <c r="G345" s="137" t="s">
        <v>53</v>
      </c>
      <c r="H345" s="137" t="s">
        <v>193</v>
      </c>
      <c r="I345" s="137" t="s">
        <v>53</v>
      </c>
      <c r="J345" s="137" t="s">
        <v>193</v>
      </c>
    </row>
    <row r="346" spans="1:10" ht="15" customHeight="1" x14ac:dyDescent="0.25">
      <c r="A346" s="137" t="s">
        <v>654</v>
      </c>
      <c r="B346" s="137" t="s">
        <v>662</v>
      </c>
      <c r="C346" s="137">
        <v>2018</v>
      </c>
      <c r="D346" s="137" t="s">
        <v>193</v>
      </c>
      <c r="E346" s="137" t="s">
        <v>53</v>
      </c>
      <c r="F346" s="137" t="s">
        <v>193</v>
      </c>
      <c r="G346" s="137" t="s">
        <v>53</v>
      </c>
      <c r="H346" s="137" t="s">
        <v>193</v>
      </c>
      <c r="I346" s="137" t="s">
        <v>53</v>
      </c>
      <c r="J346" s="137" t="s">
        <v>193</v>
      </c>
    </row>
    <row r="347" spans="1:10" ht="15" customHeight="1" x14ac:dyDescent="0.25">
      <c r="A347" s="137" t="s">
        <v>654</v>
      </c>
      <c r="B347" s="137" t="s">
        <v>663</v>
      </c>
      <c r="C347" s="137">
        <v>2018</v>
      </c>
      <c r="D347" s="137">
        <v>124.8</v>
      </c>
      <c r="E347" s="137" t="s">
        <v>908</v>
      </c>
      <c r="F347" s="137">
        <v>124.8</v>
      </c>
      <c r="G347" s="137" t="s">
        <v>53</v>
      </c>
      <c r="H347" s="137" t="s">
        <v>193</v>
      </c>
      <c r="I347" s="137" t="s">
        <v>53</v>
      </c>
      <c r="J347" s="137" t="s">
        <v>193</v>
      </c>
    </row>
    <row r="348" spans="1:10" ht="15" customHeight="1" x14ac:dyDescent="0.25">
      <c r="A348" s="137" t="s">
        <v>7</v>
      </c>
      <c r="B348" s="137" t="s">
        <v>664</v>
      </c>
      <c r="C348" s="137">
        <v>2018</v>
      </c>
      <c r="D348" s="137" t="s">
        <v>193</v>
      </c>
      <c r="E348" s="137" t="s">
        <v>53</v>
      </c>
      <c r="F348" s="137" t="s">
        <v>193</v>
      </c>
      <c r="G348" s="137" t="s">
        <v>53</v>
      </c>
      <c r="H348" s="137" t="s">
        <v>193</v>
      </c>
      <c r="I348" s="137" t="s">
        <v>53</v>
      </c>
      <c r="J348" s="137" t="s">
        <v>193</v>
      </c>
    </row>
    <row r="349" spans="1:10" ht="15" customHeight="1" x14ac:dyDescent="0.25">
      <c r="A349" s="137" t="s">
        <v>7</v>
      </c>
      <c r="B349" s="137" t="s">
        <v>8</v>
      </c>
      <c r="C349" s="137">
        <v>2018</v>
      </c>
      <c r="D349" s="137" t="s">
        <v>193</v>
      </c>
      <c r="E349" s="137" t="s">
        <v>53</v>
      </c>
      <c r="F349" s="137" t="s">
        <v>193</v>
      </c>
      <c r="G349" s="137" t="s">
        <v>53</v>
      </c>
      <c r="H349" s="137" t="s">
        <v>193</v>
      </c>
      <c r="I349" s="137" t="s">
        <v>53</v>
      </c>
      <c r="J349" s="137" t="s">
        <v>193</v>
      </c>
    </row>
    <row r="350" spans="1:10" ht="15" customHeight="1" x14ac:dyDescent="0.25">
      <c r="A350" s="137" t="s">
        <v>665</v>
      </c>
      <c r="B350" s="137" t="s">
        <v>666</v>
      </c>
      <c r="C350" s="137">
        <v>2018</v>
      </c>
      <c r="D350" s="137" t="s">
        <v>193</v>
      </c>
      <c r="E350" s="137" t="s">
        <v>53</v>
      </c>
      <c r="F350" s="137" t="s">
        <v>193</v>
      </c>
      <c r="G350" s="137" t="s">
        <v>53</v>
      </c>
      <c r="H350" s="137" t="s">
        <v>193</v>
      </c>
      <c r="I350" s="137" t="s">
        <v>53</v>
      </c>
      <c r="J350" s="137" t="s">
        <v>193</v>
      </c>
    </row>
    <row r="351" spans="1:10" ht="15" customHeight="1" x14ac:dyDescent="0.25">
      <c r="A351" s="137" t="s">
        <v>665</v>
      </c>
      <c r="B351" s="137" t="s">
        <v>667</v>
      </c>
      <c r="C351" s="137">
        <v>2018</v>
      </c>
      <c r="D351" s="137" t="s">
        <v>193</v>
      </c>
      <c r="E351" s="137" t="s">
        <v>53</v>
      </c>
      <c r="F351" s="137" t="s">
        <v>193</v>
      </c>
      <c r="G351" s="137" t="s">
        <v>53</v>
      </c>
      <c r="H351" s="137" t="s">
        <v>193</v>
      </c>
      <c r="I351" s="137" t="s">
        <v>53</v>
      </c>
      <c r="J351" s="137" t="s">
        <v>193</v>
      </c>
    </row>
    <row r="352" spans="1:10" ht="15" customHeight="1" x14ac:dyDescent="0.25">
      <c r="A352" s="137" t="s">
        <v>665</v>
      </c>
      <c r="B352" s="137" t="s">
        <v>668</v>
      </c>
      <c r="C352" s="137">
        <v>2018</v>
      </c>
      <c r="D352" s="137" t="s">
        <v>193</v>
      </c>
      <c r="E352" s="137" t="s">
        <v>53</v>
      </c>
      <c r="F352" s="137" t="s">
        <v>193</v>
      </c>
      <c r="G352" s="137" t="s">
        <v>53</v>
      </c>
      <c r="H352" s="137" t="s">
        <v>193</v>
      </c>
      <c r="I352" s="137" t="s">
        <v>53</v>
      </c>
      <c r="J352" s="137" t="s">
        <v>193</v>
      </c>
    </row>
    <row r="353" spans="1:10" ht="15" customHeight="1" x14ac:dyDescent="0.25">
      <c r="A353" s="137" t="s">
        <v>665</v>
      </c>
      <c r="B353" s="137" t="s">
        <v>669</v>
      </c>
      <c r="C353" s="137">
        <v>2018</v>
      </c>
      <c r="D353" s="137" t="s">
        <v>193</v>
      </c>
      <c r="E353" s="137" t="s">
        <v>53</v>
      </c>
      <c r="F353" s="137" t="s">
        <v>193</v>
      </c>
      <c r="G353" s="137" t="s">
        <v>53</v>
      </c>
      <c r="H353" s="137" t="s">
        <v>193</v>
      </c>
      <c r="I353" s="137" t="s">
        <v>53</v>
      </c>
      <c r="J353" s="137" t="s">
        <v>193</v>
      </c>
    </row>
    <row r="354" spans="1:10" ht="15" customHeight="1" x14ac:dyDescent="0.25">
      <c r="A354" s="137" t="s">
        <v>665</v>
      </c>
      <c r="B354" s="137" t="s">
        <v>670</v>
      </c>
      <c r="C354" s="137">
        <v>2018</v>
      </c>
      <c r="D354" s="137" t="s">
        <v>193</v>
      </c>
      <c r="E354" s="137" t="s">
        <v>53</v>
      </c>
      <c r="F354" s="137" t="s">
        <v>193</v>
      </c>
      <c r="G354" s="137" t="s">
        <v>53</v>
      </c>
      <c r="H354" s="137" t="s">
        <v>193</v>
      </c>
      <c r="I354" s="137" t="s">
        <v>53</v>
      </c>
      <c r="J354" s="137" t="s">
        <v>193</v>
      </c>
    </row>
    <row r="355" spans="1:10" ht="15" customHeight="1" x14ac:dyDescent="0.25">
      <c r="A355" s="137" t="s">
        <v>671</v>
      </c>
      <c r="B355" s="137" t="s">
        <v>672</v>
      </c>
      <c r="C355" s="137">
        <v>2018</v>
      </c>
      <c r="D355" s="137" t="s">
        <v>193</v>
      </c>
      <c r="E355" s="137" t="s">
        <v>53</v>
      </c>
      <c r="F355" s="137" t="s">
        <v>193</v>
      </c>
      <c r="G355" s="137" t="s">
        <v>53</v>
      </c>
      <c r="H355" s="137" t="s">
        <v>193</v>
      </c>
      <c r="I355" s="137" t="s">
        <v>53</v>
      </c>
      <c r="J355" s="137" t="s">
        <v>193</v>
      </c>
    </row>
    <row r="356" spans="1:10" ht="15" customHeight="1" x14ac:dyDescent="0.25">
      <c r="A356" s="137" t="s">
        <v>671</v>
      </c>
      <c r="B356" s="137" t="s">
        <v>673</v>
      </c>
      <c r="C356" s="137">
        <v>2018</v>
      </c>
      <c r="D356" s="137">
        <v>0.40600000000000003</v>
      </c>
      <c r="E356" s="137" t="s">
        <v>909</v>
      </c>
      <c r="F356" s="137">
        <v>0.40600000000000003</v>
      </c>
      <c r="G356" s="137" t="s">
        <v>53</v>
      </c>
      <c r="H356" s="137" t="s">
        <v>193</v>
      </c>
      <c r="I356" s="137" t="s">
        <v>53</v>
      </c>
      <c r="J356" s="137" t="s">
        <v>193</v>
      </c>
    </row>
    <row r="357" spans="1:10" ht="15" customHeight="1" x14ac:dyDescent="0.25">
      <c r="A357" s="137" t="s">
        <v>671</v>
      </c>
      <c r="B357" s="137" t="s">
        <v>674</v>
      </c>
      <c r="C357" s="137">
        <v>2018</v>
      </c>
      <c r="D357" s="137" t="s">
        <v>193</v>
      </c>
      <c r="E357" s="137" t="s">
        <v>53</v>
      </c>
      <c r="F357" s="137" t="s">
        <v>193</v>
      </c>
      <c r="G357" s="137" t="s">
        <v>53</v>
      </c>
      <c r="H357" s="137" t="s">
        <v>193</v>
      </c>
      <c r="I357" s="137" t="s">
        <v>53</v>
      </c>
      <c r="J357" s="137" t="s">
        <v>193</v>
      </c>
    </row>
    <row r="358" spans="1:10" ht="15" customHeight="1" x14ac:dyDescent="0.25">
      <c r="A358" s="137" t="s">
        <v>52</v>
      </c>
      <c r="B358" s="137" t="s">
        <v>675</v>
      </c>
      <c r="C358" s="137">
        <v>2018</v>
      </c>
      <c r="D358" s="137">
        <v>24.94</v>
      </c>
      <c r="E358" s="137" t="s">
        <v>910</v>
      </c>
      <c r="F358" s="137">
        <v>24.94</v>
      </c>
      <c r="G358" s="137" t="s">
        <v>193</v>
      </c>
      <c r="H358" s="137" t="s">
        <v>193</v>
      </c>
      <c r="I358" s="137" t="s">
        <v>193</v>
      </c>
      <c r="J358" s="137" t="s">
        <v>193</v>
      </c>
    </row>
    <row r="359" spans="1:10" ht="15" customHeight="1" x14ac:dyDescent="0.25">
      <c r="A359" s="137" t="s">
        <v>52</v>
      </c>
      <c r="B359" s="137" t="s">
        <v>676</v>
      </c>
      <c r="C359" s="137">
        <v>2018</v>
      </c>
      <c r="D359" s="137" t="s">
        <v>193</v>
      </c>
      <c r="E359" s="137" t="s">
        <v>53</v>
      </c>
      <c r="F359" s="137" t="s">
        <v>193</v>
      </c>
      <c r="G359" s="137" t="s">
        <v>53</v>
      </c>
      <c r="H359" s="137" t="s">
        <v>193</v>
      </c>
      <c r="I359" s="137" t="s">
        <v>53</v>
      </c>
      <c r="J359" s="137" t="s">
        <v>193</v>
      </c>
    </row>
    <row r="360" spans="1:10" ht="15" customHeight="1" x14ac:dyDescent="0.25">
      <c r="A360" s="137" t="s">
        <v>52</v>
      </c>
      <c r="B360" s="137" t="s">
        <v>677</v>
      </c>
      <c r="C360" s="137">
        <v>2018</v>
      </c>
      <c r="D360" s="137">
        <v>23.283999999999999</v>
      </c>
      <c r="E360" s="137" t="s">
        <v>839</v>
      </c>
      <c r="F360" s="137">
        <v>23.283999999999999</v>
      </c>
      <c r="G360" s="137" t="s">
        <v>53</v>
      </c>
      <c r="H360" s="137" t="s">
        <v>193</v>
      </c>
      <c r="I360" s="137" t="s">
        <v>53</v>
      </c>
      <c r="J360" s="137" t="s">
        <v>193</v>
      </c>
    </row>
    <row r="361" spans="1:10" ht="15" customHeight="1" x14ac:dyDescent="0.25">
      <c r="A361" s="137" t="s">
        <v>52</v>
      </c>
      <c r="B361" s="137" t="s">
        <v>678</v>
      </c>
      <c r="C361" s="137">
        <v>2018</v>
      </c>
      <c r="D361" s="137" t="s">
        <v>193</v>
      </c>
      <c r="E361" s="137" t="s">
        <v>53</v>
      </c>
      <c r="F361" s="137" t="s">
        <v>193</v>
      </c>
      <c r="G361" s="137" t="s">
        <v>53</v>
      </c>
      <c r="H361" s="137" t="s">
        <v>193</v>
      </c>
      <c r="I361" s="137" t="s">
        <v>53</v>
      </c>
      <c r="J361" s="137" t="s">
        <v>193</v>
      </c>
    </row>
    <row r="362" spans="1:10" ht="15" customHeight="1" x14ac:dyDescent="0.25">
      <c r="A362" s="137" t="s">
        <v>52</v>
      </c>
      <c r="B362" s="137" t="s">
        <v>679</v>
      </c>
      <c r="C362" s="137">
        <v>2018</v>
      </c>
      <c r="D362" s="137">
        <v>35.323</v>
      </c>
      <c r="E362" s="137" t="s">
        <v>911</v>
      </c>
      <c r="F362" s="137">
        <v>34.841999999999999</v>
      </c>
      <c r="G362" s="137" t="s">
        <v>912</v>
      </c>
      <c r="H362" s="137">
        <v>0.48099999999999998</v>
      </c>
      <c r="I362" s="137" t="s">
        <v>53</v>
      </c>
      <c r="J362" s="137" t="s">
        <v>193</v>
      </c>
    </row>
    <row r="363" spans="1:10" ht="15" customHeight="1" x14ac:dyDescent="0.25">
      <c r="A363" s="137" t="s">
        <v>52</v>
      </c>
      <c r="B363" s="137" t="s">
        <v>680</v>
      </c>
      <c r="C363" s="137">
        <v>2018</v>
      </c>
      <c r="D363" s="137" t="s">
        <v>193</v>
      </c>
      <c r="E363" s="137" t="s">
        <v>53</v>
      </c>
      <c r="F363" s="137" t="s">
        <v>193</v>
      </c>
      <c r="G363" s="137" t="s">
        <v>53</v>
      </c>
      <c r="H363" s="137" t="s">
        <v>193</v>
      </c>
      <c r="I363" s="137" t="s">
        <v>53</v>
      </c>
      <c r="J363" s="137" t="s">
        <v>193</v>
      </c>
    </row>
    <row r="364" spans="1:10" ht="15" customHeight="1" x14ac:dyDescent="0.25">
      <c r="A364" s="137" t="s">
        <v>52</v>
      </c>
      <c r="B364" s="137" t="s">
        <v>681</v>
      </c>
      <c r="C364" s="137">
        <v>2018</v>
      </c>
      <c r="D364" s="137">
        <v>6.8879999999999999</v>
      </c>
      <c r="E364" s="137" t="s">
        <v>913</v>
      </c>
      <c r="F364" s="137">
        <v>6.8879999999999999</v>
      </c>
      <c r="G364" s="137" t="s">
        <v>53</v>
      </c>
      <c r="H364" s="137" t="s">
        <v>193</v>
      </c>
      <c r="I364" s="137" t="s">
        <v>53</v>
      </c>
      <c r="J364" s="137" t="s">
        <v>193</v>
      </c>
    </row>
    <row r="365" spans="1:10" ht="15" customHeight="1" x14ac:dyDescent="0.25">
      <c r="A365" s="137" t="s">
        <v>52</v>
      </c>
      <c r="B365" s="137" t="s">
        <v>682</v>
      </c>
      <c r="C365" s="137">
        <v>2018</v>
      </c>
      <c r="D365" s="137">
        <v>11.834</v>
      </c>
      <c r="E365" s="137" t="s">
        <v>841</v>
      </c>
      <c r="F365" s="137">
        <v>11.834</v>
      </c>
      <c r="G365" s="137" t="s">
        <v>53</v>
      </c>
      <c r="H365" s="137" t="s">
        <v>193</v>
      </c>
      <c r="I365" s="137" t="s">
        <v>53</v>
      </c>
      <c r="J365" s="137" t="s">
        <v>193</v>
      </c>
    </row>
    <row r="366" spans="1:10" ht="15" customHeight="1" x14ac:dyDescent="0.25">
      <c r="A366" s="137" t="s">
        <v>52</v>
      </c>
      <c r="B366" s="137" t="s">
        <v>683</v>
      </c>
      <c r="C366" s="137">
        <v>2018</v>
      </c>
      <c r="D366" s="137" t="s">
        <v>193</v>
      </c>
      <c r="E366" s="137" t="s">
        <v>53</v>
      </c>
      <c r="F366" s="137" t="s">
        <v>193</v>
      </c>
      <c r="G366" s="137" t="s">
        <v>53</v>
      </c>
      <c r="H366" s="137" t="s">
        <v>193</v>
      </c>
      <c r="I366" s="137" t="s">
        <v>53</v>
      </c>
      <c r="J366" s="137" t="s">
        <v>193</v>
      </c>
    </row>
    <row r="367" spans="1:10" ht="15" customHeight="1" x14ac:dyDescent="0.25">
      <c r="A367" s="137" t="s">
        <v>52</v>
      </c>
      <c r="B367" s="137" t="s">
        <v>684</v>
      </c>
      <c r="C367" s="137">
        <v>2018</v>
      </c>
      <c r="D367" s="137" t="s">
        <v>193</v>
      </c>
      <c r="E367" s="137" t="s">
        <v>53</v>
      </c>
      <c r="F367" s="137" t="s">
        <v>193</v>
      </c>
      <c r="G367" s="137" t="s">
        <v>53</v>
      </c>
      <c r="H367" s="137" t="s">
        <v>193</v>
      </c>
      <c r="I367" s="137" t="s">
        <v>53</v>
      </c>
      <c r="J367" s="137" t="s">
        <v>193</v>
      </c>
    </row>
    <row r="368" spans="1:10" ht="15" customHeight="1" x14ac:dyDescent="0.25">
      <c r="A368" s="137" t="s">
        <v>52</v>
      </c>
      <c r="B368" s="137" t="s">
        <v>685</v>
      </c>
      <c r="C368" s="137">
        <v>2018</v>
      </c>
      <c r="D368" s="137">
        <v>28.494</v>
      </c>
      <c r="E368" s="137" t="s">
        <v>914</v>
      </c>
      <c r="F368" s="137">
        <v>28.494</v>
      </c>
      <c r="G368" s="137" t="s">
        <v>53</v>
      </c>
      <c r="H368" s="137" t="s">
        <v>193</v>
      </c>
      <c r="I368" s="137" t="s">
        <v>53</v>
      </c>
      <c r="J368" s="137" t="s">
        <v>193</v>
      </c>
    </row>
    <row r="369" spans="1:10" ht="15" customHeight="1" x14ac:dyDescent="0.25">
      <c r="A369" s="137" t="s">
        <v>52</v>
      </c>
      <c r="B369" s="137" t="s">
        <v>686</v>
      </c>
      <c r="C369" s="137">
        <v>2018</v>
      </c>
      <c r="D369" s="137" t="s">
        <v>193</v>
      </c>
      <c r="E369" s="137" t="s">
        <v>53</v>
      </c>
      <c r="F369" s="137" t="s">
        <v>193</v>
      </c>
      <c r="G369" s="137" t="s">
        <v>53</v>
      </c>
      <c r="H369" s="137" t="s">
        <v>193</v>
      </c>
      <c r="I369" s="137" t="s">
        <v>53</v>
      </c>
      <c r="J369" s="137" t="s">
        <v>193</v>
      </c>
    </row>
    <row r="370" spans="1:10" ht="15" customHeight="1" x14ac:dyDescent="0.25">
      <c r="A370" s="137" t="s">
        <v>52</v>
      </c>
      <c r="B370" s="137" t="s">
        <v>687</v>
      </c>
      <c r="C370" s="137">
        <v>2018</v>
      </c>
      <c r="D370" s="137">
        <v>20.366</v>
      </c>
      <c r="E370" s="137" t="s">
        <v>842</v>
      </c>
      <c r="F370" s="137">
        <v>20.366</v>
      </c>
      <c r="G370" s="137" t="s">
        <v>53</v>
      </c>
      <c r="H370" s="137" t="s">
        <v>193</v>
      </c>
      <c r="I370" s="137" t="s">
        <v>53</v>
      </c>
      <c r="J370" s="137" t="s">
        <v>193</v>
      </c>
    </row>
    <row r="371" spans="1:10" ht="15" customHeight="1" x14ac:dyDescent="0.25">
      <c r="A371" s="137" t="s">
        <v>52</v>
      </c>
      <c r="B371" s="137" t="s">
        <v>688</v>
      </c>
      <c r="C371" s="137">
        <v>2018</v>
      </c>
      <c r="D371" s="137" t="s">
        <v>193</v>
      </c>
      <c r="E371" s="137" t="s">
        <v>53</v>
      </c>
      <c r="F371" s="137" t="s">
        <v>193</v>
      </c>
      <c r="G371" s="137" t="s">
        <v>53</v>
      </c>
      <c r="H371" s="137" t="s">
        <v>193</v>
      </c>
      <c r="I371" s="137" t="s">
        <v>53</v>
      </c>
      <c r="J371" s="137" t="s">
        <v>193</v>
      </c>
    </row>
    <row r="372" spans="1:10" ht="15" customHeight="1" x14ac:dyDescent="0.25">
      <c r="A372" s="137" t="s">
        <v>52</v>
      </c>
      <c r="B372" s="137" t="s">
        <v>689</v>
      </c>
      <c r="C372" s="137">
        <v>2018</v>
      </c>
      <c r="D372" s="137" t="s">
        <v>193</v>
      </c>
      <c r="E372" s="137" t="s">
        <v>53</v>
      </c>
      <c r="F372" s="137" t="s">
        <v>193</v>
      </c>
      <c r="G372" s="137" t="s">
        <v>53</v>
      </c>
      <c r="H372" s="137" t="s">
        <v>193</v>
      </c>
      <c r="I372" s="137" t="s">
        <v>53</v>
      </c>
      <c r="J372" s="137" t="s">
        <v>193</v>
      </c>
    </row>
    <row r="373" spans="1:10" ht="15" customHeight="1" x14ac:dyDescent="0.25">
      <c r="A373" s="137" t="s">
        <v>52</v>
      </c>
      <c r="B373" s="137" t="s">
        <v>690</v>
      </c>
      <c r="C373" s="137">
        <v>2018</v>
      </c>
      <c r="D373" s="137" t="s">
        <v>193</v>
      </c>
      <c r="E373" s="137" t="s">
        <v>53</v>
      </c>
      <c r="F373" s="137" t="s">
        <v>193</v>
      </c>
      <c r="G373" s="137" t="s">
        <v>53</v>
      </c>
      <c r="H373" s="137" t="s">
        <v>193</v>
      </c>
      <c r="I373" s="137" t="s">
        <v>53</v>
      </c>
      <c r="J373" s="137" t="s">
        <v>193</v>
      </c>
    </row>
    <row r="374" spans="1:10" ht="15" customHeight="1" x14ac:dyDescent="0.25">
      <c r="A374" s="137" t="s">
        <v>691</v>
      </c>
      <c r="B374" s="137" t="s">
        <v>692</v>
      </c>
      <c r="C374" s="137">
        <v>2018</v>
      </c>
      <c r="D374" s="137" t="s">
        <v>193</v>
      </c>
      <c r="E374" s="137" t="s">
        <v>53</v>
      </c>
      <c r="F374" s="137" t="s">
        <v>193</v>
      </c>
      <c r="G374" s="137" t="s">
        <v>53</v>
      </c>
      <c r="H374" s="137" t="s">
        <v>193</v>
      </c>
      <c r="I374" s="137" t="s">
        <v>53</v>
      </c>
      <c r="J374" s="137" t="s">
        <v>193</v>
      </c>
    </row>
    <row r="375" spans="1:10" ht="15" customHeight="1" x14ac:dyDescent="0.25">
      <c r="A375" s="137" t="s">
        <v>691</v>
      </c>
      <c r="B375" s="137" t="s">
        <v>693</v>
      </c>
      <c r="C375" s="137">
        <v>2018</v>
      </c>
      <c r="D375" s="137" t="s">
        <v>193</v>
      </c>
      <c r="E375" s="137" t="s">
        <v>53</v>
      </c>
      <c r="F375" s="137" t="s">
        <v>193</v>
      </c>
      <c r="G375" s="137" t="s">
        <v>53</v>
      </c>
      <c r="H375" s="137" t="s">
        <v>193</v>
      </c>
      <c r="I375" s="137" t="s">
        <v>53</v>
      </c>
      <c r="J375" s="137" t="s">
        <v>193</v>
      </c>
    </row>
    <row r="376" spans="1:10" ht="15" customHeight="1" x14ac:dyDescent="0.25">
      <c r="A376" s="137" t="s">
        <v>691</v>
      </c>
      <c r="B376" s="137" t="s">
        <v>694</v>
      </c>
      <c r="C376" s="137">
        <v>2018</v>
      </c>
      <c r="D376" s="137" t="s">
        <v>193</v>
      </c>
      <c r="E376" s="137" t="s">
        <v>53</v>
      </c>
      <c r="F376" s="137" t="s">
        <v>193</v>
      </c>
      <c r="G376" s="137" t="s">
        <v>53</v>
      </c>
      <c r="H376" s="137" t="s">
        <v>193</v>
      </c>
      <c r="I376" s="137" t="s">
        <v>53</v>
      </c>
      <c r="J376" s="137" t="s">
        <v>193</v>
      </c>
    </row>
    <row r="377" spans="1:10" ht="15" customHeight="1" x14ac:dyDescent="0.25">
      <c r="A377" s="137" t="s">
        <v>691</v>
      </c>
      <c r="B377" s="137" t="s">
        <v>695</v>
      </c>
      <c r="C377" s="137">
        <v>2018</v>
      </c>
      <c r="D377" s="137" t="s">
        <v>193</v>
      </c>
      <c r="E377" s="137" t="s">
        <v>53</v>
      </c>
      <c r="F377" s="137" t="s">
        <v>193</v>
      </c>
      <c r="G377" s="137" t="s">
        <v>53</v>
      </c>
      <c r="H377" s="137" t="s">
        <v>193</v>
      </c>
      <c r="I377" s="137" t="s">
        <v>53</v>
      </c>
      <c r="J377" s="137" t="s">
        <v>193</v>
      </c>
    </row>
    <row r="378" spans="1:10" ht="15" customHeight="1" x14ac:dyDescent="0.25">
      <c r="A378" s="137" t="s">
        <v>691</v>
      </c>
      <c r="B378" s="137" t="s">
        <v>696</v>
      </c>
      <c r="C378" s="137">
        <v>2018</v>
      </c>
      <c r="D378" s="137" t="s">
        <v>193</v>
      </c>
      <c r="E378" s="137" t="s">
        <v>53</v>
      </c>
      <c r="F378" s="137" t="s">
        <v>193</v>
      </c>
      <c r="G378" s="137" t="s">
        <v>53</v>
      </c>
      <c r="H378" s="137" t="s">
        <v>193</v>
      </c>
      <c r="I378" s="137" t="s">
        <v>53</v>
      </c>
      <c r="J378" s="137" t="s">
        <v>193</v>
      </c>
    </row>
    <row r="379" spans="1:10" ht="15" customHeight="1" x14ac:dyDescent="0.25">
      <c r="A379" s="137" t="s">
        <v>691</v>
      </c>
      <c r="B379" s="137" t="s">
        <v>697</v>
      </c>
      <c r="C379" s="137">
        <v>2018</v>
      </c>
      <c r="D379" s="137">
        <v>0.24</v>
      </c>
      <c r="E379" s="137" t="s">
        <v>915</v>
      </c>
      <c r="F379" s="137">
        <v>0.24</v>
      </c>
      <c r="G379" s="137" t="s">
        <v>193</v>
      </c>
      <c r="H379" s="137" t="s">
        <v>193</v>
      </c>
      <c r="I379" s="137" t="s">
        <v>193</v>
      </c>
      <c r="J379" s="137" t="s">
        <v>193</v>
      </c>
    </row>
    <row r="380" spans="1:10" ht="15" customHeight="1" x14ac:dyDescent="0.25">
      <c r="A380" s="137" t="s">
        <v>698</v>
      </c>
      <c r="B380" s="137" t="s">
        <v>699</v>
      </c>
      <c r="C380" s="137">
        <v>2018</v>
      </c>
      <c r="D380" s="137">
        <v>5.0670000000000002</v>
      </c>
      <c r="E380" s="137" t="s">
        <v>916</v>
      </c>
      <c r="F380" s="137">
        <v>5.0670000000000002</v>
      </c>
      <c r="G380" s="137" t="s">
        <v>53</v>
      </c>
      <c r="H380" s="137" t="s">
        <v>193</v>
      </c>
      <c r="I380" s="137" t="s">
        <v>53</v>
      </c>
      <c r="J380" s="137" t="s">
        <v>193</v>
      </c>
    </row>
    <row r="381" spans="1:10" ht="15" customHeight="1" x14ac:dyDescent="0.25">
      <c r="A381" s="137" t="s">
        <v>698</v>
      </c>
      <c r="B381" s="137" t="s">
        <v>700</v>
      </c>
      <c r="C381" s="137">
        <v>2018</v>
      </c>
      <c r="D381" s="137" t="s">
        <v>193</v>
      </c>
      <c r="E381" s="137" t="s">
        <v>53</v>
      </c>
      <c r="F381" s="137" t="s">
        <v>193</v>
      </c>
      <c r="G381" s="137" t="s">
        <v>53</v>
      </c>
      <c r="H381" s="137" t="s">
        <v>193</v>
      </c>
      <c r="I381" s="137" t="s">
        <v>53</v>
      </c>
      <c r="J381" s="137" t="s">
        <v>193</v>
      </c>
    </row>
    <row r="382" spans="1:10" ht="15" customHeight="1" x14ac:dyDescent="0.25">
      <c r="A382" s="137" t="s">
        <v>698</v>
      </c>
      <c r="B382" s="137" t="s">
        <v>701</v>
      </c>
      <c r="C382" s="137">
        <v>2018</v>
      </c>
      <c r="D382" s="137">
        <v>1.349</v>
      </c>
      <c r="E382" s="137" t="s">
        <v>917</v>
      </c>
      <c r="F382" s="137">
        <v>0.28899999999999998</v>
      </c>
      <c r="G382" s="137" t="s">
        <v>918</v>
      </c>
      <c r="H382" s="137">
        <v>1.06</v>
      </c>
      <c r="I382" s="137" t="s">
        <v>53</v>
      </c>
      <c r="J382" s="137" t="s">
        <v>193</v>
      </c>
    </row>
    <row r="383" spans="1:10" ht="15" customHeight="1" x14ac:dyDescent="0.25">
      <c r="A383" s="137" t="s">
        <v>698</v>
      </c>
      <c r="B383" s="137" t="s">
        <v>702</v>
      </c>
      <c r="C383" s="137">
        <v>2018</v>
      </c>
      <c r="D383" s="137">
        <v>18.989000000000001</v>
      </c>
      <c r="E383" s="137" t="s">
        <v>919</v>
      </c>
      <c r="F383" s="137">
        <v>18.989000000000001</v>
      </c>
      <c r="G383" s="137" t="s">
        <v>53</v>
      </c>
      <c r="H383" s="137" t="s">
        <v>193</v>
      </c>
      <c r="I383" s="137" t="s">
        <v>53</v>
      </c>
      <c r="J383" s="137" t="s">
        <v>193</v>
      </c>
    </row>
    <row r="384" spans="1:10" ht="15" customHeight="1" x14ac:dyDescent="0.25">
      <c r="A384" s="137" t="s">
        <v>703</v>
      </c>
      <c r="B384" s="137" t="s">
        <v>704</v>
      </c>
      <c r="C384" s="137">
        <v>2018</v>
      </c>
      <c r="D384" s="137" t="s">
        <v>193</v>
      </c>
      <c r="E384" s="137" t="s">
        <v>53</v>
      </c>
      <c r="F384" s="137" t="s">
        <v>193</v>
      </c>
      <c r="G384" s="137" t="s">
        <v>53</v>
      </c>
      <c r="H384" s="137" t="s">
        <v>193</v>
      </c>
      <c r="I384" s="137" t="s">
        <v>53</v>
      </c>
      <c r="J384" s="137" t="s">
        <v>193</v>
      </c>
    </row>
    <row r="385" spans="1:10" ht="15" customHeight="1" x14ac:dyDescent="0.25">
      <c r="A385" s="137" t="s">
        <v>703</v>
      </c>
      <c r="B385" s="137" t="s">
        <v>705</v>
      </c>
      <c r="C385" s="137">
        <v>2018</v>
      </c>
      <c r="D385" s="137" t="s">
        <v>193</v>
      </c>
      <c r="E385" s="137" t="s">
        <v>53</v>
      </c>
      <c r="F385" s="137" t="s">
        <v>193</v>
      </c>
      <c r="G385" s="137" t="s">
        <v>53</v>
      </c>
      <c r="H385" s="137" t="s">
        <v>193</v>
      </c>
      <c r="I385" s="137" t="s">
        <v>53</v>
      </c>
      <c r="J385" s="137" t="s">
        <v>193</v>
      </c>
    </row>
    <row r="386" spans="1:10" ht="15" customHeight="1" x14ac:dyDescent="0.25">
      <c r="A386" s="137" t="s">
        <v>703</v>
      </c>
      <c r="B386" s="137" t="s">
        <v>706</v>
      </c>
      <c r="C386" s="137">
        <v>2018</v>
      </c>
      <c r="D386" s="137" t="s">
        <v>193</v>
      </c>
      <c r="E386" s="137" t="s">
        <v>53</v>
      </c>
      <c r="F386" s="137" t="s">
        <v>193</v>
      </c>
      <c r="G386" s="137" t="s">
        <v>53</v>
      </c>
      <c r="H386" s="137" t="s">
        <v>193</v>
      </c>
      <c r="I386" s="137" t="s">
        <v>53</v>
      </c>
      <c r="J386" s="137" t="s">
        <v>193</v>
      </c>
    </row>
    <row r="387" spans="1:10" ht="15" customHeight="1" x14ac:dyDescent="0.25">
      <c r="A387" s="137" t="s">
        <v>707</v>
      </c>
      <c r="B387" s="137" t="s">
        <v>708</v>
      </c>
      <c r="C387" s="137">
        <v>2018</v>
      </c>
      <c r="D387" s="137">
        <v>162</v>
      </c>
      <c r="E387" s="137" t="s">
        <v>193</v>
      </c>
      <c r="F387" s="137">
        <v>162</v>
      </c>
      <c r="G387" s="137" t="s">
        <v>193</v>
      </c>
      <c r="H387" s="137" t="s">
        <v>193</v>
      </c>
      <c r="I387" s="137" t="s">
        <v>193</v>
      </c>
      <c r="J387" s="137" t="s">
        <v>193</v>
      </c>
    </row>
    <row r="388" spans="1:10" ht="15" customHeight="1" x14ac:dyDescent="0.25">
      <c r="A388" s="137" t="s">
        <v>707</v>
      </c>
      <c r="B388" s="137" t="s">
        <v>709</v>
      </c>
      <c r="C388" s="137">
        <v>2018</v>
      </c>
      <c r="D388" s="137" t="s">
        <v>53</v>
      </c>
      <c r="E388" s="137" t="s">
        <v>53</v>
      </c>
      <c r="F388" s="137" t="s">
        <v>53</v>
      </c>
      <c r="G388" s="137" t="s">
        <v>53</v>
      </c>
      <c r="H388" s="137" t="s">
        <v>53</v>
      </c>
      <c r="I388" s="137" t="s">
        <v>53</v>
      </c>
      <c r="J388" s="137" t="s">
        <v>53</v>
      </c>
    </row>
    <row r="389" spans="1:10" ht="15" customHeight="1" x14ac:dyDescent="0.25">
      <c r="A389" s="137" t="s">
        <v>707</v>
      </c>
      <c r="B389" s="137" t="s">
        <v>710</v>
      </c>
      <c r="C389" s="137">
        <v>2018</v>
      </c>
      <c r="D389" s="137" t="s">
        <v>193</v>
      </c>
      <c r="E389" s="137" t="s">
        <v>53</v>
      </c>
      <c r="F389" s="137" t="s">
        <v>193</v>
      </c>
      <c r="G389" s="137" t="s">
        <v>53</v>
      </c>
      <c r="H389" s="137" t="s">
        <v>193</v>
      </c>
      <c r="I389" s="137" t="s">
        <v>53</v>
      </c>
      <c r="J389" s="137" t="s">
        <v>193</v>
      </c>
    </row>
    <row r="390" spans="1:10" ht="15" customHeight="1" x14ac:dyDescent="0.25">
      <c r="A390" s="137" t="s">
        <v>707</v>
      </c>
      <c r="B390" s="137" t="s">
        <v>711</v>
      </c>
      <c r="C390" s="137">
        <v>2018</v>
      </c>
      <c r="D390" s="137" t="s">
        <v>53</v>
      </c>
      <c r="E390" s="137" t="s">
        <v>53</v>
      </c>
      <c r="F390" s="137" t="s">
        <v>53</v>
      </c>
      <c r="G390" s="137" t="s">
        <v>53</v>
      </c>
      <c r="H390" s="137" t="s">
        <v>53</v>
      </c>
      <c r="I390" s="137" t="s">
        <v>53</v>
      </c>
      <c r="J390" s="137" t="s">
        <v>53</v>
      </c>
    </row>
    <row r="391" spans="1:10" ht="15" customHeight="1" x14ac:dyDescent="0.25">
      <c r="A391" s="137" t="s">
        <v>712</v>
      </c>
      <c r="B391" s="137" t="s">
        <v>713</v>
      </c>
      <c r="C391" s="137">
        <v>2018</v>
      </c>
      <c r="D391" s="137" t="s">
        <v>193</v>
      </c>
      <c r="E391" s="137" t="s">
        <v>53</v>
      </c>
      <c r="F391" s="137" t="s">
        <v>193</v>
      </c>
      <c r="G391" s="137" t="s">
        <v>53</v>
      </c>
      <c r="H391" s="137" t="s">
        <v>193</v>
      </c>
      <c r="I391" s="137" t="s">
        <v>53</v>
      </c>
      <c r="J391" s="137" t="s">
        <v>193</v>
      </c>
    </row>
    <row r="392" spans="1:10" ht="15" customHeight="1" x14ac:dyDescent="0.25">
      <c r="A392" s="137" t="s">
        <v>712</v>
      </c>
      <c r="B392" s="137" t="s">
        <v>714</v>
      </c>
      <c r="C392" s="137">
        <v>2018</v>
      </c>
      <c r="D392" s="137" t="s">
        <v>193</v>
      </c>
      <c r="E392" s="137" t="s">
        <v>53</v>
      </c>
      <c r="F392" s="137" t="s">
        <v>193</v>
      </c>
      <c r="G392" s="137" t="s">
        <v>53</v>
      </c>
      <c r="H392" s="137" t="s">
        <v>193</v>
      </c>
      <c r="I392" s="137" t="s">
        <v>53</v>
      </c>
      <c r="J392" s="137" t="s">
        <v>193</v>
      </c>
    </row>
    <row r="393" spans="1:10" ht="15" customHeight="1" x14ac:dyDescent="0.25">
      <c r="A393" s="137" t="s">
        <v>712</v>
      </c>
      <c r="B393" s="137" t="s">
        <v>715</v>
      </c>
      <c r="C393" s="137">
        <v>2018</v>
      </c>
      <c r="D393" s="137" t="s">
        <v>193</v>
      </c>
      <c r="E393" s="137" t="s">
        <v>53</v>
      </c>
      <c r="F393" s="137" t="s">
        <v>193</v>
      </c>
      <c r="G393" s="137" t="s">
        <v>53</v>
      </c>
      <c r="H393" s="137" t="s">
        <v>193</v>
      </c>
      <c r="I393" s="137" t="s">
        <v>53</v>
      </c>
      <c r="J393" s="137" t="s">
        <v>193</v>
      </c>
    </row>
    <row r="394" spans="1:10" ht="15" customHeight="1" x14ac:dyDescent="0.25">
      <c r="A394" s="137" t="s">
        <v>712</v>
      </c>
      <c r="B394" s="137" t="s">
        <v>716</v>
      </c>
      <c r="C394" s="137">
        <v>2018</v>
      </c>
      <c r="D394" s="137" t="s">
        <v>193</v>
      </c>
      <c r="E394" s="137" t="s">
        <v>53</v>
      </c>
      <c r="F394" s="137" t="s">
        <v>193</v>
      </c>
      <c r="G394" s="137" t="s">
        <v>53</v>
      </c>
      <c r="H394" s="137" t="s">
        <v>193</v>
      </c>
      <c r="I394" s="137" t="s">
        <v>53</v>
      </c>
      <c r="J394" s="137" t="s">
        <v>193</v>
      </c>
    </row>
    <row r="395" spans="1:10" ht="15" customHeight="1" x14ac:dyDescent="0.25">
      <c r="A395" s="137" t="s">
        <v>712</v>
      </c>
      <c r="B395" s="137" t="s">
        <v>717</v>
      </c>
      <c r="C395" s="137">
        <v>2018</v>
      </c>
      <c r="D395" s="137">
        <v>0.5</v>
      </c>
      <c r="E395" s="137" t="s">
        <v>828</v>
      </c>
      <c r="F395" s="137">
        <v>0.5</v>
      </c>
      <c r="G395" s="137" t="s">
        <v>53</v>
      </c>
      <c r="H395" s="137" t="s">
        <v>193</v>
      </c>
      <c r="I395" s="137" t="s">
        <v>53</v>
      </c>
      <c r="J395" s="137" t="s">
        <v>193</v>
      </c>
    </row>
    <row r="396" spans="1:10" ht="15" customHeight="1" x14ac:dyDescent="0.25">
      <c r="A396" s="137" t="s">
        <v>712</v>
      </c>
      <c r="B396" s="137" t="s">
        <v>718</v>
      </c>
      <c r="C396" s="137">
        <v>2018</v>
      </c>
      <c r="D396" s="137" t="s">
        <v>53</v>
      </c>
      <c r="E396" s="137" t="s">
        <v>53</v>
      </c>
      <c r="F396" s="137" t="s">
        <v>53</v>
      </c>
      <c r="G396" s="137" t="s">
        <v>53</v>
      </c>
      <c r="H396" s="137" t="s">
        <v>53</v>
      </c>
      <c r="I396" s="137" t="s">
        <v>53</v>
      </c>
      <c r="J396" s="137" t="s">
        <v>53</v>
      </c>
    </row>
    <row r="397" spans="1:10" ht="15" customHeight="1" x14ac:dyDescent="0.25">
      <c r="A397" s="137" t="s">
        <v>719</v>
      </c>
      <c r="B397" s="137" t="s">
        <v>720</v>
      </c>
      <c r="C397" s="137">
        <v>2018</v>
      </c>
      <c r="D397" s="137" t="s">
        <v>193</v>
      </c>
      <c r="E397" s="137" t="s">
        <v>53</v>
      </c>
      <c r="F397" s="137" t="s">
        <v>193</v>
      </c>
      <c r="G397" s="137" t="s">
        <v>53</v>
      </c>
      <c r="H397" s="137" t="s">
        <v>193</v>
      </c>
      <c r="I397" s="137" t="s">
        <v>53</v>
      </c>
      <c r="J397" s="137" t="s">
        <v>193</v>
      </c>
    </row>
    <row r="398" spans="1:10" ht="15" customHeight="1" x14ac:dyDescent="0.25">
      <c r="A398" s="137" t="s">
        <v>721</v>
      </c>
      <c r="B398" s="137" t="s">
        <v>722</v>
      </c>
      <c r="C398" s="137">
        <v>2018</v>
      </c>
      <c r="D398" s="137" t="s">
        <v>193</v>
      </c>
      <c r="E398" s="137" t="s">
        <v>53</v>
      </c>
      <c r="F398" s="137" t="s">
        <v>193</v>
      </c>
      <c r="G398" s="137" t="s">
        <v>53</v>
      </c>
      <c r="H398" s="137" t="s">
        <v>193</v>
      </c>
      <c r="I398" s="137" t="s">
        <v>53</v>
      </c>
      <c r="J398" s="137" t="s">
        <v>193</v>
      </c>
    </row>
    <row r="399" spans="1:10" ht="15" customHeight="1" x14ac:dyDescent="0.25">
      <c r="A399" s="137" t="s">
        <v>721</v>
      </c>
      <c r="B399" s="137" t="s">
        <v>723</v>
      </c>
      <c r="C399" s="137">
        <v>2018</v>
      </c>
      <c r="D399" s="137">
        <v>18.183</v>
      </c>
      <c r="E399" s="137" t="s">
        <v>920</v>
      </c>
      <c r="F399" s="137">
        <v>18.183</v>
      </c>
      <c r="G399" s="137" t="s">
        <v>53</v>
      </c>
      <c r="H399" s="137" t="s">
        <v>193</v>
      </c>
      <c r="I399" s="137" t="s">
        <v>53</v>
      </c>
      <c r="J399" s="137" t="s">
        <v>193</v>
      </c>
    </row>
    <row r="400" spans="1:10" ht="15" customHeight="1" x14ac:dyDescent="0.25">
      <c r="A400" s="137" t="s">
        <v>724</v>
      </c>
      <c r="B400" s="137" t="s">
        <v>141</v>
      </c>
      <c r="C400" s="137">
        <v>2018</v>
      </c>
      <c r="D400" s="137" t="s">
        <v>53</v>
      </c>
      <c r="E400" s="137" t="s">
        <v>53</v>
      </c>
      <c r="F400" s="137" t="s">
        <v>53</v>
      </c>
      <c r="G400" s="137" t="s">
        <v>53</v>
      </c>
      <c r="H400" s="137" t="s">
        <v>53</v>
      </c>
      <c r="I400" s="137" t="s">
        <v>53</v>
      </c>
      <c r="J400" s="137" t="s">
        <v>53</v>
      </c>
    </row>
    <row r="401" spans="1:10" ht="15" customHeight="1" x14ac:dyDescent="0.25">
      <c r="A401" s="137" t="s">
        <v>725</v>
      </c>
      <c r="B401" s="137" t="s">
        <v>726</v>
      </c>
      <c r="C401" s="137">
        <v>2018</v>
      </c>
      <c r="D401" s="137">
        <v>413.65499999999997</v>
      </c>
      <c r="E401" s="137" t="s">
        <v>921</v>
      </c>
      <c r="F401" s="137">
        <v>410.23</v>
      </c>
      <c r="G401" s="137" t="s">
        <v>922</v>
      </c>
      <c r="H401" s="137">
        <v>3.4249999999999998</v>
      </c>
      <c r="I401" s="137" t="s">
        <v>828</v>
      </c>
      <c r="J401" s="137">
        <v>0</v>
      </c>
    </row>
    <row r="402" spans="1:10" ht="15" customHeight="1" x14ac:dyDescent="0.25">
      <c r="A402" s="137" t="s">
        <v>725</v>
      </c>
      <c r="B402" s="137" t="s">
        <v>727</v>
      </c>
      <c r="C402" s="137">
        <v>2018</v>
      </c>
      <c r="D402" s="137" t="s">
        <v>193</v>
      </c>
      <c r="E402" s="137" t="s">
        <v>53</v>
      </c>
      <c r="F402" s="137" t="s">
        <v>193</v>
      </c>
      <c r="G402" s="137" t="s">
        <v>53</v>
      </c>
      <c r="H402" s="137" t="s">
        <v>193</v>
      </c>
      <c r="I402" s="137" t="s">
        <v>53</v>
      </c>
      <c r="J402" s="137" t="s">
        <v>193</v>
      </c>
    </row>
    <row r="403" spans="1:10" ht="15" customHeight="1" x14ac:dyDescent="0.25">
      <c r="A403" s="137" t="s">
        <v>725</v>
      </c>
      <c r="B403" s="137" t="s">
        <v>728</v>
      </c>
      <c r="C403" s="137">
        <v>2018</v>
      </c>
      <c r="D403" s="137" t="s">
        <v>193</v>
      </c>
      <c r="E403" s="137" t="s">
        <v>53</v>
      </c>
      <c r="F403" s="137" t="s">
        <v>193</v>
      </c>
      <c r="G403" s="137" t="s">
        <v>53</v>
      </c>
      <c r="H403" s="137" t="s">
        <v>193</v>
      </c>
      <c r="I403" s="137" t="s">
        <v>53</v>
      </c>
      <c r="J403" s="137" t="s">
        <v>193</v>
      </c>
    </row>
    <row r="404" spans="1:10" ht="15" customHeight="1" x14ac:dyDescent="0.25">
      <c r="A404" s="137" t="s">
        <v>725</v>
      </c>
      <c r="B404" s="137" t="s">
        <v>729</v>
      </c>
      <c r="C404" s="137">
        <v>2018</v>
      </c>
      <c r="D404" s="137">
        <v>0.318</v>
      </c>
      <c r="E404" s="137" t="s">
        <v>828</v>
      </c>
      <c r="F404" s="137">
        <v>0.318</v>
      </c>
      <c r="G404" s="137" t="s">
        <v>53</v>
      </c>
      <c r="H404" s="137" t="s">
        <v>193</v>
      </c>
      <c r="I404" s="137" t="s">
        <v>53</v>
      </c>
      <c r="J404" s="137" t="s">
        <v>193</v>
      </c>
    </row>
    <row r="405" spans="1:10" ht="15" customHeight="1" x14ac:dyDescent="0.25">
      <c r="A405" s="137" t="s">
        <v>730</v>
      </c>
      <c r="B405" s="137" t="s">
        <v>731</v>
      </c>
      <c r="C405" s="137">
        <v>2018</v>
      </c>
      <c r="D405" s="137" t="s">
        <v>193</v>
      </c>
      <c r="E405" s="137" t="s">
        <v>53</v>
      </c>
      <c r="F405" s="137" t="s">
        <v>193</v>
      </c>
      <c r="G405" s="137" t="s">
        <v>53</v>
      </c>
      <c r="H405" s="137" t="s">
        <v>193</v>
      </c>
      <c r="I405" s="137" t="s">
        <v>53</v>
      </c>
      <c r="J405" s="137" t="s">
        <v>193</v>
      </c>
    </row>
    <row r="406" spans="1:10" ht="15" customHeight="1" x14ac:dyDescent="0.25">
      <c r="A406" s="137" t="s">
        <v>732</v>
      </c>
      <c r="B406" s="137" t="s">
        <v>733</v>
      </c>
      <c r="C406" s="137">
        <v>2018</v>
      </c>
      <c r="D406" s="137" t="s">
        <v>193</v>
      </c>
      <c r="E406" s="137" t="s">
        <v>53</v>
      </c>
      <c r="F406" s="137" t="s">
        <v>193</v>
      </c>
      <c r="G406" s="137" t="s">
        <v>53</v>
      </c>
      <c r="H406" s="137" t="s">
        <v>193</v>
      </c>
      <c r="I406" s="137" t="s">
        <v>53</v>
      </c>
      <c r="J406" s="137" t="s">
        <v>193</v>
      </c>
    </row>
    <row r="407" spans="1:10" ht="15" customHeight="1" x14ac:dyDescent="0.25">
      <c r="A407" s="137" t="s">
        <v>149</v>
      </c>
      <c r="B407" s="137" t="s">
        <v>13</v>
      </c>
      <c r="C407" s="137">
        <v>2018</v>
      </c>
      <c r="D407" s="137" t="s">
        <v>53</v>
      </c>
      <c r="E407" s="137" t="s">
        <v>53</v>
      </c>
      <c r="F407" s="137" t="s">
        <v>53</v>
      </c>
      <c r="G407" s="137" t="s">
        <v>53</v>
      </c>
      <c r="H407" s="137" t="s">
        <v>53</v>
      </c>
      <c r="I407" s="137" t="s">
        <v>53</v>
      </c>
      <c r="J407" s="137" t="s">
        <v>53</v>
      </c>
    </row>
    <row r="408" spans="1:10" ht="15" customHeight="1" x14ac:dyDescent="0.25">
      <c r="A408" s="137" t="s">
        <v>12</v>
      </c>
      <c r="B408" s="141" t="s">
        <v>14</v>
      </c>
      <c r="C408" s="137">
        <v>2018</v>
      </c>
      <c r="D408" s="137" t="s">
        <v>53</v>
      </c>
      <c r="E408" s="137" t="s">
        <v>53</v>
      </c>
      <c r="F408" s="137" t="s">
        <v>53</v>
      </c>
      <c r="G408" s="137" t="s">
        <v>53</v>
      </c>
      <c r="H408" s="137" t="s">
        <v>53</v>
      </c>
      <c r="I408" s="137" t="s">
        <v>53</v>
      </c>
      <c r="J408" s="137" t="s">
        <v>53</v>
      </c>
    </row>
    <row r="409" spans="1:10" ht="15" customHeight="1" x14ac:dyDescent="0.25">
      <c r="A409" s="137" t="s">
        <v>734</v>
      </c>
      <c r="B409" s="137" t="s">
        <v>735</v>
      </c>
      <c r="C409" s="137">
        <v>2018</v>
      </c>
      <c r="D409" s="137" t="s">
        <v>193</v>
      </c>
      <c r="E409" s="137" t="s">
        <v>53</v>
      </c>
      <c r="F409" s="137" t="s">
        <v>193</v>
      </c>
      <c r="G409" s="137" t="s">
        <v>53</v>
      </c>
      <c r="H409" s="137" t="s">
        <v>193</v>
      </c>
      <c r="I409" s="137" t="s">
        <v>53</v>
      </c>
      <c r="J409" s="137" t="s">
        <v>193</v>
      </c>
    </row>
    <row r="410" spans="1:10" ht="15" customHeight="1" x14ac:dyDescent="0.25">
      <c r="A410" s="137" t="s">
        <v>734</v>
      </c>
      <c r="B410" s="137" t="s">
        <v>736</v>
      </c>
      <c r="C410" s="137">
        <v>2018</v>
      </c>
      <c r="D410" s="137" t="s">
        <v>193</v>
      </c>
      <c r="E410" s="137" t="s">
        <v>53</v>
      </c>
      <c r="F410" s="137" t="s">
        <v>193</v>
      </c>
      <c r="G410" s="137" t="s">
        <v>53</v>
      </c>
      <c r="H410" s="137" t="s">
        <v>193</v>
      </c>
      <c r="I410" s="137" t="s">
        <v>53</v>
      </c>
      <c r="J410" s="137" t="s">
        <v>193</v>
      </c>
    </row>
    <row r="411" spans="1:10" ht="15" customHeight="1" x14ac:dyDescent="0.25">
      <c r="A411" s="137" t="s">
        <v>734</v>
      </c>
      <c r="B411" s="137" t="s">
        <v>737</v>
      </c>
      <c r="C411" s="137">
        <v>2018</v>
      </c>
      <c r="D411" s="137">
        <v>6.2039</v>
      </c>
      <c r="E411" s="137" t="s">
        <v>850</v>
      </c>
      <c r="F411" s="137">
        <v>6.2039</v>
      </c>
      <c r="G411" s="137" t="s">
        <v>193</v>
      </c>
      <c r="H411" s="137" t="s">
        <v>193</v>
      </c>
      <c r="I411" s="137" t="s">
        <v>193</v>
      </c>
      <c r="J411" s="137" t="s">
        <v>193</v>
      </c>
    </row>
    <row r="412" spans="1:10" ht="15" customHeight="1" x14ac:dyDescent="0.25">
      <c r="A412" s="137" t="s">
        <v>734</v>
      </c>
      <c r="B412" s="137" t="s">
        <v>738</v>
      </c>
      <c r="C412" s="137">
        <v>2018</v>
      </c>
      <c r="D412" s="137" t="s">
        <v>193</v>
      </c>
      <c r="E412" s="137" t="s">
        <v>53</v>
      </c>
      <c r="F412" s="137" t="s">
        <v>193</v>
      </c>
      <c r="G412" s="137" t="s">
        <v>53</v>
      </c>
      <c r="H412" s="137" t="s">
        <v>193</v>
      </c>
      <c r="I412" s="137" t="s">
        <v>53</v>
      </c>
      <c r="J412" s="137" t="s">
        <v>193</v>
      </c>
    </row>
    <row r="413" spans="1:10" ht="15" customHeight="1" x14ac:dyDescent="0.25">
      <c r="A413" s="137" t="s">
        <v>734</v>
      </c>
      <c r="B413" s="137" t="s">
        <v>739</v>
      </c>
      <c r="C413" s="137">
        <v>2018</v>
      </c>
      <c r="D413" s="137" t="s">
        <v>193</v>
      </c>
      <c r="E413" s="137" t="s">
        <v>53</v>
      </c>
      <c r="F413" s="137" t="s">
        <v>193</v>
      </c>
      <c r="G413" s="137" t="s">
        <v>53</v>
      </c>
      <c r="H413" s="137" t="s">
        <v>193</v>
      </c>
      <c r="I413" s="137" t="s">
        <v>53</v>
      </c>
      <c r="J413" s="137" t="s">
        <v>193</v>
      </c>
    </row>
    <row r="414" spans="1:10" ht="15" customHeight="1" x14ac:dyDescent="0.25">
      <c r="A414" s="137" t="s">
        <v>734</v>
      </c>
      <c r="B414" s="137" t="s">
        <v>740</v>
      </c>
      <c r="C414" s="137">
        <v>2018</v>
      </c>
      <c r="D414" s="137" t="s">
        <v>193</v>
      </c>
      <c r="E414" s="137" t="s">
        <v>53</v>
      </c>
      <c r="F414" s="137" t="s">
        <v>193</v>
      </c>
      <c r="G414" s="137" t="s">
        <v>53</v>
      </c>
      <c r="H414" s="137" t="s">
        <v>193</v>
      </c>
      <c r="I414" s="137" t="s">
        <v>53</v>
      </c>
      <c r="J414" s="137" t="s">
        <v>193</v>
      </c>
    </row>
  </sheetData>
  <autoFilter ref="A1:J1"/>
  <conditionalFormatting sqref="B32:B70 B1:B30 B72:B146 B148:B226 B228:B292 B294:B315 B317:B340 B342:B407 B409:B1048576">
    <cfRule type="duplicateValues" dxfId="17" priority="1"/>
  </conditionalFormatting>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AE415"/>
  <sheetViews>
    <sheetView workbookViewId="0">
      <selection activeCell="A26" sqref="A26"/>
    </sheetView>
  </sheetViews>
  <sheetFormatPr defaultColWidth="9.140625" defaultRowHeight="15" customHeight="1" x14ac:dyDescent="0.25"/>
  <cols>
    <col min="1" max="1" width="36.140625" style="1" bestFit="1" customWidth="1"/>
    <col min="2" max="2" width="48" style="1" bestFit="1" customWidth="1"/>
    <col min="3" max="26" width="9.140625" style="1"/>
    <col min="27" max="27" width="11.5703125" style="1" bestFit="1" customWidth="1"/>
    <col min="28" max="28" width="9.140625" style="1"/>
    <col min="29" max="29" width="34.140625" style="1" bestFit="1" customWidth="1"/>
    <col min="30" max="16384" width="9.140625" style="1"/>
  </cols>
  <sheetData>
    <row r="1" spans="1:31" s="2" customFormat="1" ht="210.75" thickBot="1" x14ac:dyDescent="0.3">
      <c r="A1" s="132" t="s">
        <v>151</v>
      </c>
      <c r="B1" s="132" t="s">
        <v>2</v>
      </c>
      <c r="C1" s="132" t="s">
        <v>152</v>
      </c>
      <c r="D1" s="132" t="s">
        <v>923</v>
      </c>
      <c r="E1" s="132" t="s">
        <v>924</v>
      </c>
      <c r="F1" s="132" t="s">
        <v>925</v>
      </c>
      <c r="G1" s="132" t="s">
        <v>926</v>
      </c>
      <c r="H1" s="132" t="s">
        <v>927</v>
      </c>
      <c r="I1" s="132" t="s">
        <v>928</v>
      </c>
      <c r="J1" s="132" t="s">
        <v>929</v>
      </c>
      <c r="K1" s="132" t="s">
        <v>930</v>
      </c>
      <c r="L1" s="132" t="s">
        <v>926</v>
      </c>
      <c r="M1" s="132" t="s">
        <v>931</v>
      </c>
      <c r="N1" s="132" t="s">
        <v>932</v>
      </c>
      <c r="O1" s="132" t="s">
        <v>933</v>
      </c>
      <c r="P1" s="132" t="s">
        <v>934</v>
      </c>
      <c r="Q1" s="132" t="s">
        <v>926</v>
      </c>
      <c r="R1" s="132" t="s">
        <v>931</v>
      </c>
      <c r="S1" s="132" t="s">
        <v>932</v>
      </c>
      <c r="T1" s="132" t="s">
        <v>933</v>
      </c>
      <c r="W1" s="6" t="s">
        <v>1211</v>
      </c>
      <c r="Y1" s="7" t="s">
        <v>1212</v>
      </c>
      <c r="Z1" s="8" t="s">
        <v>1213</v>
      </c>
      <c r="AA1" s="9" t="s">
        <v>1214</v>
      </c>
    </row>
    <row r="2" spans="1:31" ht="15" customHeight="1" x14ac:dyDescent="0.25">
      <c r="A2" s="137" t="s">
        <v>15</v>
      </c>
      <c r="B2" s="137" t="s">
        <v>16</v>
      </c>
      <c r="C2" s="137">
        <v>2018</v>
      </c>
      <c r="D2" s="137">
        <v>0.1</v>
      </c>
      <c r="E2" s="137" t="s">
        <v>193</v>
      </c>
      <c r="F2" s="137" t="s">
        <v>935</v>
      </c>
      <c r="G2" s="137">
        <v>1.1000000000000001</v>
      </c>
      <c r="H2" s="137">
        <v>0</v>
      </c>
      <c r="I2" s="137">
        <v>0</v>
      </c>
      <c r="J2" s="137">
        <v>0</v>
      </c>
      <c r="K2" s="137" t="s">
        <v>193</v>
      </c>
      <c r="L2" s="137" t="s">
        <v>193</v>
      </c>
      <c r="M2" s="137" t="s">
        <v>193</v>
      </c>
      <c r="N2" s="137" t="s">
        <v>193</v>
      </c>
      <c r="O2" s="137" t="s">
        <v>193</v>
      </c>
      <c r="P2" s="137" t="s">
        <v>193</v>
      </c>
      <c r="Q2" s="137" t="s">
        <v>193</v>
      </c>
      <c r="R2" s="137" t="s">
        <v>193</v>
      </c>
      <c r="S2" s="137" t="s">
        <v>193</v>
      </c>
      <c r="T2" s="137" t="s">
        <v>193</v>
      </c>
      <c r="W2" s="12" t="str">
        <f t="shared" ref="W2:W65" si="0">IF(OR(AND(G2&lt;&gt;$AD$3,G2&lt;&gt;"-"),AND(H2&lt;&gt;$AD$4,H2&lt;&gt;"-"),AND(I2&lt;&gt;$AD$5,I2&lt;&gt;"-"),AND(J2&lt;&gt;$AD$6,J2&lt;&gt;"-")),"Ja","Nej")</f>
        <v>Ja</v>
      </c>
      <c r="X2" s="12"/>
      <c r="Y2" s="12" t="str">
        <f t="shared" ref="Y2:Y65" si="1">IF(ISERROR(1/K2),"Nej","Ja")</f>
        <v>Nej</v>
      </c>
      <c r="Z2" s="12">
        <f t="shared" ref="Z2:Z65" si="2">IF(Y2="nej",0,K2)</f>
        <v>0</v>
      </c>
      <c r="AA2" s="12">
        <f t="shared" ref="AA2:AA65" si="3">IF(Y2="nej",0,O2/100)</f>
        <v>0</v>
      </c>
      <c r="AC2" s="10" t="s">
        <v>1215</v>
      </c>
      <c r="AD2" s="11"/>
      <c r="AE2" s="11"/>
    </row>
    <row r="3" spans="1:31" ht="15" customHeight="1" x14ac:dyDescent="0.25">
      <c r="A3" s="137" t="s">
        <v>15</v>
      </c>
      <c r="B3" s="137" t="s">
        <v>18</v>
      </c>
      <c r="C3" s="137">
        <v>2018</v>
      </c>
      <c r="D3" s="137">
        <v>0.6</v>
      </c>
      <c r="E3" s="137" t="s">
        <v>193</v>
      </c>
      <c r="F3" s="137" t="s">
        <v>935</v>
      </c>
      <c r="G3" s="137">
        <v>1.1000000000000001</v>
      </c>
      <c r="H3" s="137">
        <v>0</v>
      </c>
      <c r="I3" s="137">
        <v>0</v>
      </c>
      <c r="J3" s="137">
        <v>0</v>
      </c>
      <c r="K3" s="137" t="s">
        <v>193</v>
      </c>
      <c r="L3" s="137" t="s">
        <v>193</v>
      </c>
      <c r="M3" s="137" t="s">
        <v>193</v>
      </c>
      <c r="N3" s="137" t="s">
        <v>193</v>
      </c>
      <c r="O3" s="137" t="s">
        <v>193</v>
      </c>
      <c r="P3" s="137" t="s">
        <v>193</v>
      </c>
      <c r="Q3" s="137" t="s">
        <v>193</v>
      </c>
      <c r="R3" s="137" t="s">
        <v>193</v>
      </c>
      <c r="S3" s="137" t="s">
        <v>193</v>
      </c>
      <c r="T3" s="137" t="s">
        <v>193</v>
      </c>
      <c r="W3" s="12" t="str">
        <f t="shared" si="0"/>
        <v>Ja</v>
      </c>
      <c r="Y3" s="12" t="str">
        <f t="shared" si="1"/>
        <v>Nej</v>
      </c>
      <c r="Z3" s="12">
        <f t="shared" si="2"/>
        <v>0</v>
      </c>
      <c r="AA3" s="12">
        <f t="shared" si="3"/>
        <v>0</v>
      </c>
      <c r="AC3" s="11" t="s">
        <v>1216</v>
      </c>
      <c r="AD3" s="11">
        <v>2.2999999999999998</v>
      </c>
      <c r="AE3" s="11"/>
    </row>
    <row r="4" spans="1:31" ht="15" customHeight="1" x14ac:dyDescent="0.25">
      <c r="A4" s="137" t="s">
        <v>15</v>
      </c>
      <c r="B4" s="137" t="s">
        <v>20</v>
      </c>
      <c r="C4" s="137">
        <v>2018</v>
      </c>
      <c r="D4" s="137">
        <v>4.4000000000000004</v>
      </c>
      <c r="E4" s="137" t="s">
        <v>193</v>
      </c>
      <c r="F4" s="137" t="s">
        <v>935</v>
      </c>
      <c r="G4" s="137">
        <v>1.1000000000000001</v>
      </c>
      <c r="H4" s="137">
        <v>0</v>
      </c>
      <c r="I4" s="137">
        <v>0</v>
      </c>
      <c r="J4" s="137">
        <v>0</v>
      </c>
      <c r="K4" s="137" t="s">
        <v>193</v>
      </c>
      <c r="L4" s="137" t="s">
        <v>193</v>
      </c>
      <c r="M4" s="137" t="s">
        <v>193</v>
      </c>
      <c r="N4" s="137" t="s">
        <v>193</v>
      </c>
      <c r="O4" s="137" t="s">
        <v>193</v>
      </c>
      <c r="P4" s="137" t="s">
        <v>193</v>
      </c>
      <c r="Q4" s="137" t="s">
        <v>193</v>
      </c>
      <c r="R4" s="137" t="s">
        <v>193</v>
      </c>
      <c r="S4" s="137" t="s">
        <v>193</v>
      </c>
      <c r="T4" s="137" t="s">
        <v>193</v>
      </c>
      <c r="W4" s="12" t="str">
        <f t="shared" si="0"/>
        <v>Ja</v>
      </c>
      <c r="Y4" s="12" t="str">
        <f t="shared" si="1"/>
        <v>Nej</v>
      </c>
      <c r="Z4" s="12">
        <f>IF(Y4="nej",0,K4)</f>
        <v>0</v>
      </c>
      <c r="AA4" s="12">
        <f t="shared" si="3"/>
        <v>0</v>
      </c>
      <c r="AC4" s="11" t="s">
        <v>1217</v>
      </c>
      <c r="AD4" s="11">
        <v>329.19</v>
      </c>
      <c r="AE4" s="11" t="s">
        <v>1218</v>
      </c>
    </row>
    <row r="5" spans="1:31" ht="15" customHeight="1" x14ac:dyDescent="0.25">
      <c r="A5" s="137" t="s">
        <v>15</v>
      </c>
      <c r="B5" s="137" t="s">
        <v>22</v>
      </c>
      <c r="C5" s="137">
        <v>2018</v>
      </c>
      <c r="D5" s="137">
        <v>0.5</v>
      </c>
      <c r="E5" s="137" t="s">
        <v>193</v>
      </c>
      <c r="F5" s="137" t="s">
        <v>935</v>
      </c>
      <c r="G5" s="137">
        <v>1.1000000000000001</v>
      </c>
      <c r="H5" s="137">
        <v>0</v>
      </c>
      <c r="I5" s="137">
        <v>0</v>
      </c>
      <c r="J5" s="137">
        <v>0</v>
      </c>
      <c r="K5" s="137" t="s">
        <v>193</v>
      </c>
      <c r="L5" s="137" t="s">
        <v>193</v>
      </c>
      <c r="M5" s="137" t="s">
        <v>193</v>
      </c>
      <c r="N5" s="137" t="s">
        <v>193</v>
      </c>
      <c r="O5" s="137" t="s">
        <v>193</v>
      </c>
      <c r="P5" s="137" t="s">
        <v>193</v>
      </c>
      <c r="Q5" s="137" t="s">
        <v>193</v>
      </c>
      <c r="R5" s="137" t="s">
        <v>193</v>
      </c>
      <c r="S5" s="137" t="s">
        <v>193</v>
      </c>
      <c r="T5" s="137" t="s">
        <v>193</v>
      </c>
      <c r="W5" s="12" t="str">
        <f t="shared" si="0"/>
        <v>Ja</v>
      </c>
      <c r="Y5" s="12" t="str">
        <f t="shared" si="1"/>
        <v>Nej</v>
      </c>
      <c r="Z5" s="12">
        <f t="shared" si="2"/>
        <v>0</v>
      </c>
      <c r="AA5" s="12">
        <f t="shared" si="3"/>
        <v>0</v>
      </c>
      <c r="AC5" s="11" t="s">
        <v>1219</v>
      </c>
      <c r="AD5" s="11">
        <v>0.43</v>
      </c>
      <c r="AE5" s="11"/>
    </row>
    <row r="6" spans="1:31" ht="15" customHeight="1" x14ac:dyDescent="0.25">
      <c r="A6" s="137" t="s">
        <v>15</v>
      </c>
      <c r="B6" s="137" t="s">
        <v>24</v>
      </c>
      <c r="C6" s="137">
        <v>2018</v>
      </c>
      <c r="D6" s="137">
        <v>2.5</v>
      </c>
      <c r="E6" s="137" t="s">
        <v>193</v>
      </c>
      <c r="F6" s="137" t="s">
        <v>935</v>
      </c>
      <c r="G6" s="137">
        <v>1.1000000000000001</v>
      </c>
      <c r="H6" s="137">
        <v>0</v>
      </c>
      <c r="I6" s="137">
        <v>0</v>
      </c>
      <c r="J6" s="137">
        <v>0</v>
      </c>
      <c r="K6" s="137" t="s">
        <v>193</v>
      </c>
      <c r="L6" s="137" t="s">
        <v>193</v>
      </c>
      <c r="M6" s="137" t="s">
        <v>193</v>
      </c>
      <c r="N6" s="137" t="s">
        <v>193</v>
      </c>
      <c r="O6" s="137" t="s">
        <v>193</v>
      </c>
      <c r="P6" s="137" t="s">
        <v>193</v>
      </c>
      <c r="Q6" s="137" t="s">
        <v>193</v>
      </c>
      <c r="R6" s="137" t="s">
        <v>193</v>
      </c>
      <c r="S6" s="137" t="s">
        <v>193</v>
      </c>
      <c r="T6" s="137" t="s">
        <v>193</v>
      </c>
      <c r="W6" s="12" t="str">
        <f t="shared" si="0"/>
        <v>Ja</v>
      </c>
      <c r="Y6" s="12" t="str">
        <f t="shared" si="1"/>
        <v>Nej</v>
      </c>
      <c r="Z6" s="12">
        <f t="shared" si="2"/>
        <v>0</v>
      </c>
      <c r="AA6" s="12">
        <f t="shared" si="3"/>
        <v>0</v>
      </c>
      <c r="AC6" s="11" t="s">
        <v>1220</v>
      </c>
      <c r="AD6" s="11">
        <v>0.40550000000000003</v>
      </c>
      <c r="AE6" s="11"/>
    </row>
    <row r="7" spans="1:31" ht="15" customHeight="1" x14ac:dyDescent="0.25">
      <c r="A7" s="137" t="s">
        <v>15</v>
      </c>
      <c r="B7" s="137" t="s">
        <v>26</v>
      </c>
      <c r="C7" s="137">
        <v>2018</v>
      </c>
      <c r="D7" s="137">
        <v>0.9</v>
      </c>
      <c r="E7" s="137" t="s">
        <v>193</v>
      </c>
      <c r="F7" s="137" t="s">
        <v>935</v>
      </c>
      <c r="G7" s="137">
        <v>1.1000000000000001</v>
      </c>
      <c r="H7" s="137">
        <v>0</v>
      </c>
      <c r="I7" s="137">
        <v>0</v>
      </c>
      <c r="J7" s="137">
        <v>0</v>
      </c>
      <c r="K7" s="137" t="s">
        <v>193</v>
      </c>
      <c r="L7" s="137" t="s">
        <v>193</v>
      </c>
      <c r="M7" s="137" t="s">
        <v>193</v>
      </c>
      <c r="N7" s="137" t="s">
        <v>193</v>
      </c>
      <c r="O7" s="137" t="s">
        <v>193</v>
      </c>
      <c r="P7" s="137" t="s">
        <v>193</v>
      </c>
      <c r="Q7" s="137" t="s">
        <v>193</v>
      </c>
      <c r="R7" s="137" t="s">
        <v>193</v>
      </c>
      <c r="S7" s="137" t="s">
        <v>193</v>
      </c>
      <c r="T7" s="137" t="s">
        <v>193</v>
      </c>
      <c r="W7" s="12" t="str">
        <f t="shared" si="0"/>
        <v>Ja</v>
      </c>
      <c r="Y7" s="12" t="str">
        <f t="shared" si="1"/>
        <v>Nej</v>
      </c>
      <c r="Z7" s="12">
        <f t="shared" si="2"/>
        <v>0</v>
      </c>
      <c r="AA7" s="12">
        <f t="shared" si="3"/>
        <v>0</v>
      </c>
      <c r="AC7" s="11"/>
      <c r="AD7" s="11"/>
      <c r="AE7" s="11"/>
    </row>
    <row r="8" spans="1:31" ht="15" customHeight="1" x14ac:dyDescent="0.25">
      <c r="A8" s="137" t="s">
        <v>15</v>
      </c>
      <c r="B8" s="137" t="s">
        <v>196</v>
      </c>
      <c r="C8" s="137">
        <v>2018</v>
      </c>
      <c r="D8" s="137">
        <v>9.9699999999999997E-2</v>
      </c>
      <c r="E8" s="137" t="s">
        <v>193</v>
      </c>
      <c r="F8" s="137" t="s">
        <v>53</v>
      </c>
      <c r="G8" s="137">
        <v>2.2999999999999998</v>
      </c>
      <c r="H8" s="137">
        <v>329.19</v>
      </c>
      <c r="I8" s="137">
        <v>0.43</v>
      </c>
      <c r="J8" s="137">
        <v>0.40550000000000003</v>
      </c>
      <c r="K8" s="137" t="s">
        <v>193</v>
      </c>
      <c r="L8" s="137" t="s">
        <v>193</v>
      </c>
      <c r="M8" s="137" t="s">
        <v>193</v>
      </c>
      <c r="N8" s="137" t="s">
        <v>193</v>
      </c>
      <c r="O8" s="137" t="s">
        <v>193</v>
      </c>
      <c r="P8" s="137" t="s">
        <v>193</v>
      </c>
      <c r="Q8" s="137" t="s">
        <v>193</v>
      </c>
      <c r="R8" s="137" t="s">
        <v>193</v>
      </c>
      <c r="S8" s="137" t="s">
        <v>193</v>
      </c>
      <c r="T8" s="137" t="s">
        <v>193</v>
      </c>
      <c r="W8" s="12" t="str">
        <f t="shared" si="0"/>
        <v>Nej</v>
      </c>
      <c r="Y8" s="12" t="str">
        <f t="shared" si="1"/>
        <v>Nej</v>
      </c>
      <c r="Z8" s="12">
        <f t="shared" si="2"/>
        <v>0</v>
      </c>
      <c r="AA8" s="12">
        <f t="shared" si="3"/>
        <v>0</v>
      </c>
      <c r="AC8" s="10" t="s">
        <v>1221</v>
      </c>
      <c r="AD8" s="11"/>
      <c r="AE8" s="11"/>
    </row>
    <row r="9" spans="1:31" ht="15" customHeight="1" x14ac:dyDescent="0.25">
      <c r="A9" s="137" t="s">
        <v>15</v>
      </c>
      <c r="B9" s="137" t="s">
        <v>28</v>
      </c>
      <c r="C9" s="137">
        <v>2018</v>
      </c>
      <c r="D9" s="137">
        <v>1.4</v>
      </c>
      <c r="E9" s="137" t="s">
        <v>193</v>
      </c>
      <c r="F9" s="137" t="s">
        <v>935</v>
      </c>
      <c r="G9" s="137">
        <v>1.1000000000000001</v>
      </c>
      <c r="H9" s="137">
        <v>0</v>
      </c>
      <c r="I9" s="137">
        <v>0</v>
      </c>
      <c r="J9" s="137">
        <v>0</v>
      </c>
      <c r="K9" s="137" t="s">
        <v>193</v>
      </c>
      <c r="L9" s="137" t="s">
        <v>193</v>
      </c>
      <c r="M9" s="137" t="s">
        <v>193</v>
      </c>
      <c r="N9" s="137" t="s">
        <v>193</v>
      </c>
      <c r="O9" s="137" t="s">
        <v>193</v>
      </c>
      <c r="P9" s="137" t="s">
        <v>193</v>
      </c>
      <c r="Q9" s="137" t="s">
        <v>193</v>
      </c>
      <c r="R9" s="137" t="s">
        <v>193</v>
      </c>
      <c r="S9" s="137" t="s">
        <v>193</v>
      </c>
      <c r="T9" s="137" t="s">
        <v>193</v>
      </c>
      <c r="W9" s="12" t="str">
        <f t="shared" si="0"/>
        <v>Ja</v>
      </c>
      <c r="Y9" s="12" t="str">
        <f t="shared" si="1"/>
        <v>Nej</v>
      </c>
      <c r="Z9" s="12">
        <f t="shared" si="2"/>
        <v>0</v>
      </c>
      <c r="AA9" s="12">
        <f t="shared" si="3"/>
        <v>0</v>
      </c>
      <c r="AC9" s="11" t="s">
        <v>1216</v>
      </c>
      <c r="AD9" s="11">
        <v>2.2400000000000002</v>
      </c>
      <c r="AE9" s="11"/>
    </row>
    <row r="10" spans="1:31" ht="15" customHeight="1" x14ac:dyDescent="0.25">
      <c r="A10" s="137" t="s">
        <v>15</v>
      </c>
      <c r="B10" s="137" t="s">
        <v>30</v>
      </c>
      <c r="C10" s="137">
        <v>2018</v>
      </c>
      <c r="D10" s="137">
        <v>0.9</v>
      </c>
      <c r="E10" s="137" t="s">
        <v>193</v>
      </c>
      <c r="F10" s="137" t="s">
        <v>935</v>
      </c>
      <c r="G10" s="137">
        <v>1.1000000000000001</v>
      </c>
      <c r="H10" s="137">
        <v>0</v>
      </c>
      <c r="I10" s="137">
        <v>0</v>
      </c>
      <c r="J10" s="137">
        <v>0</v>
      </c>
      <c r="K10" s="137" t="s">
        <v>193</v>
      </c>
      <c r="L10" s="137" t="s">
        <v>193</v>
      </c>
      <c r="M10" s="137" t="s">
        <v>193</v>
      </c>
      <c r="N10" s="137" t="s">
        <v>193</v>
      </c>
      <c r="O10" s="137" t="s">
        <v>193</v>
      </c>
      <c r="P10" s="137" t="s">
        <v>193</v>
      </c>
      <c r="Q10" s="137" t="s">
        <v>193</v>
      </c>
      <c r="R10" s="137" t="s">
        <v>193</v>
      </c>
      <c r="S10" s="137" t="s">
        <v>193</v>
      </c>
      <c r="T10" s="137" t="s">
        <v>193</v>
      </c>
      <c r="W10" s="12" t="str">
        <f t="shared" si="0"/>
        <v>Ja</v>
      </c>
      <c r="Y10" s="12" t="str">
        <f t="shared" si="1"/>
        <v>Nej</v>
      </c>
      <c r="Z10" s="12">
        <f t="shared" si="2"/>
        <v>0</v>
      </c>
      <c r="AA10" s="12">
        <f t="shared" si="3"/>
        <v>0</v>
      </c>
      <c r="AC10" s="11" t="s">
        <v>1217</v>
      </c>
      <c r="AD10" s="11">
        <v>350.5</v>
      </c>
      <c r="AE10" s="11"/>
    </row>
    <row r="11" spans="1:31" ht="15" customHeight="1" x14ac:dyDescent="0.25">
      <c r="A11" s="137" t="s">
        <v>15</v>
      </c>
      <c r="B11" s="137" t="s">
        <v>32</v>
      </c>
      <c r="C11" s="137">
        <v>2018</v>
      </c>
      <c r="D11" s="137">
        <v>1.7</v>
      </c>
      <c r="E11" s="137" t="s">
        <v>193</v>
      </c>
      <c r="F11" s="137" t="s">
        <v>935</v>
      </c>
      <c r="G11" s="137">
        <v>1.1000000000000001</v>
      </c>
      <c r="H11" s="137">
        <v>0</v>
      </c>
      <c r="I11" s="137">
        <v>0</v>
      </c>
      <c r="J11" s="137">
        <v>0</v>
      </c>
      <c r="K11" s="137" t="s">
        <v>193</v>
      </c>
      <c r="L11" s="137" t="s">
        <v>193</v>
      </c>
      <c r="M11" s="137" t="s">
        <v>193</v>
      </c>
      <c r="N11" s="137" t="s">
        <v>193</v>
      </c>
      <c r="O11" s="137" t="s">
        <v>193</v>
      </c>
      <c r="P11" s="137" t="s">
        <v>193</v>
      </c>
      <c r="Q11" s="137" t="s">
        <v>193</v>
      </c>
      <c r="R11" s="137" t="s">
        <v>193</v>
      </c>
      <c r="S11" s="137" t="s">
        <v>193</v>
      </c>
      <c r="T11" s="137" t="s">
        <v>193</v>
      </c>
      <c r="W11" s="12" t="str">
        <f t="shared" si="0"/>
        <v>Ja</v>
      </c>
      <c r="Y11" s="12" t="str">
        <f t="shared" si="1"/>
        <v>Nej</v>
      </c>
      <c r="Z11" s="12">
        <f t="shared" si="2"/>
        <v>0</v>
      </c>
      <c r="AA11" s="12">
        <f t="shared" si="3"/>
        <v>0</v>
      </c>
      <c r="AC11" s="11" t="s">
        <v>1219</v>
      </c>
      <c r="AD11" s="11">
        <v>0.48399999999999999</v>
      </c>
      <c r="AE11" s="11"/>
    </row>
    <row r="12" spans="1:31" ht="15" customHeight="1" x14ac:dyDescent="0.25">
      <c r="A12" s="137" t="s">
        <v>200</v>
      </c>
      <c r="B12" s="137" t="s">
        <v>201</v>
      </c>
      <c r="C12" s="137">
        <v>2018</v>
      </c>
      <c r="D12" s="137" t="s">
        <v>193</v>
      </c>
      <c r="E12" s="137" t="s">
        <v>193</v>
      </c>
      <c r="F12" s="137" t="s">
        <v>936</v>
      </c>
      <c r="G12" s="137">
        <v>1</v>
      </c>
      <c r="H12" s="137">
        <v>0.03</v>
      </c>
      <c r="I12" s="137">
        <v>0</v>
      </c>
      <c r="J12" s="137">
        <v>0</v>
      </c>
      <c r="K12" s="137" t="s">
        <v>193</v>
      </c>
      <c r="L12" s="137" t="s">
        <v>193</v>
      </c>
      <c r="M12" s="137" t="s">
        <v>193</v>
      </c>
      <c r="N12" s="137" t="s">
        <v>193</v>
      </c>
      <c r="O12" s="137" t="s">
        <v>193</v>
      </c>
      <c r="P12" s="137" t="s">
        <v>193</v>
      </c>
      <c r="Q12" s="137" t="s">
        <v>193</v>
      </c>
      <c r="R12" s="137" t="s">
        <v>193</v>
      </c>
      <c r="S12" s="137" t="s">
        <v>193</v>
      </c>
      <c r="T12" s="137" t="s">
        <v>193</v>
      </c>
      <c r="W12" s="12" t="str">
        <f t="shared" si="0"/>
        <v>Ja</v>
      </c>
      <c r="Y12" s="12" t="str">
        <f t="shared" si="1"/>
        <v>Nej</v>
      </c>
      <c r="Z12" s="12">
        <f t="shared" si="2"/>
        <v>0</v>
      </c>
      <c r="AA12" s="12">
        <f t="shared" si="3"/>
        <v>0</v>
      </c>
      <c r="AC12" s="11" t="s">
        <v>1220</v>
      </c>
      <c r="AD12" s="11">
        <v>0.35</v>
      </c>
      <c r="AE12" s="11"/>
    </row>
    <row r="13" spans="1:31" ht="15" customHeight="1" x14ac:dyDescent="0.25">
      <c r="A13" s="137" t="s">
        <v>200</v>
      </c>
      <c r="B13" s="137" t="s">
        <v>202</v>
      </c>
      <c r="C13" s="137">
        <v>2018</v>
      </c>
      <c r="D13" s="137">
        <v>0.4</v>
      </c>
      <c r="E13" s="137" t="s">
        <v>193</v>
      </c>
      <c r="F13" s="137" t="s">
        <v>936</v>
      </c>
      <c r="G13" s="137">
        <v>1</v>
      </c>
      <c r="H13" s="137">
        <v>0.03</v>
      </c>
      <c r="I13" s="137">
        <v>0</v>
      </c>
      <c r="J13" s="137">
        <v>0</v>
      </c>
      <c r="K13" s="137" t="s">
        <v>193</v>
      </c>
      <c r="L13" s="137" t="s">
        <v>193</v>
      </c>
      <c r="M13" s="137" t="s">
        <v>193</v>
      </c>
      <c r="N13" s="137" t="s">
        <v>193</v>
      </c>
      <c r="O13" s="137" t="s">
        <v>193</v>
      </c>
      <c r="P13" s="137" t="s">
        <v>193</v>
      </c>
      <c r="Q13" s="137" t="s">
        <v>193</v>
      </c>
      <c r="R13" s="137" t="s">
        <v>193</v>
      </c>
      <c r="S13" s="137" t="s">
        <v>193</v>
      </c>
      <c r="T13" s="137" t="s">
        <v>193</v>
      </c>
      <c r="W13" s="12" t="str">
        <f t="shared" si="0"/>
        <v>Ja</v>
      </c>
      <c r="Y13" s="12" t="str">
        <f t="shared" si="1"/>
        <v>Nej</v>
      </c>
      <c r="Z13" s="12">
        <f t="shared" si="2"/>
        <v>0</v>
      </c>
      <c r="AA13" s="12">
        <f t="shared" si="3"/>
        <v>0</v>
      </c>
    </row>
    <row r="14" spans="1:31" ht="15" customHeight="1" x14ac:dyDescent="0.25">
      <c r="A14" s="137" t="s">
        <v>200</v>
      </c>
      <c r="B14" s="137" t="s">
        <v>203</v>
      </c>
      <c r="C14" s="137">
        <v>2018</v>
      </c>
      <c r="D14" s="137">
        <v>0.01</v>
      </c>
      <c r="E14" s="137" t="s">
        <v>193</v>
      </c>
      <c r="F14" s="137" t="s">
        <v>936</v>
      </c>
      <c r="G14" s="137">
        <v>1</v>
      </c>
      <c r="H14" s="137">
        <v>0.03</v>
      </c>
      <c r="I14" s="137">
        <v>0</v>
      </c>
      <c r="J14" s="137">
        <v>0</v>
      </c>
      <c r="K14" s="137" t="s">
        <v>193</v>
      </c>
      <c r="L14" s="137" t="s">
        <v>193</v>
      </c>
      <c r="M14" s="137" t="s">
        <v>193</v>
      </c>
      <c r="N14" s="137" t="s">
        <v>193</v>
      </c>
      <c r="O14" s="137" t="s">
        <v>193</v>
      </c>
      <c r="P14" s="137" t="s">
        <v>193</v>
      </c>
      <c r="Q14" s="137" t="s">
        <v>193</v>
      </c>
      <c r="R14" s="137" t="s">
        <v>193</v>
      </c>
      <c r="S14" s="137" t="s">
        <v>193</v>
      </c>
      <c r="T14" s="137" t="s">
        <v>193</v>
      </c>
      <c r="W14" s="12" t="str">
        <f t="shared" si="0"/>
        <v>Ja</v>
      </c>
      <c r="Y14" s="12" t="str">
        <f t="shared" si="1"/>
        <v>Nej</v>
      </c>
      <c r="Z14" s="12">
        <f t="shared" si="2"/>
        <v>0</v>
      </c>
      <c r="AA14" s="12">
        <f t="shared" si="3"/>
        <v>0</v>
      </c>
    </row>
    <row r="15" spans="1:31" ht="15" customHeight="1" x14ac:dyDescent="0.25">
      <c r="A15" s="137" t="s">
        <v>200</v>
      </c>
      <c r="B15" s="137" t="s">
        <v>204</v>
      </c>
      <c r="C15" s="137">
        <v>2018</v>
      </c>
      <c r="D15" s="137">
        <v>0.1</v>
      </c>
      <c r="E15" s="137">
        <v>0</v>
      </c>
      <c r="F15" s="137" t="s">
        <v>936</v>
      </c>
      <c r="G15" s="137">
        <v>1</v>
      </c>
      <c r="H15" s="137">
        <v>0.03</v>
      </c>
      <c r="I15" s="137">
        <v>0</v>
      </c>
      <c r="J15" s="137">
        <v>0</v>
      </c>
      <c r="K15" s="137" t="s">
        <v>193</v>
      </c>
      <c r="L15" s="137" t="s">
        <v>193</v>
      </c>
      <c r="M15" s="137" t="s">
        <v>193</v>
      </c>
      <c r="N15" s="137" t="s">
        <v>193</v>
      </c>
      <c r="O15" s="137" t="s">
        <v>193</v>
      </c>
      <c r="P15" s="137" t="s">
        <v>193</v>
      </c>
      <c r="Q15" s="137" t="s">
        <v>193</v>
      </c>
      <c r="R15" s="137" t="s">
        <v>193</v>
      </c>
      <c r="S15" s="137" t="s">
        <v>193</v>
      </c>
      <c r="T15" s="137" t="s">
        <v>193</v>
      </c>
      <c r="W15" s="12" t="str">
        <f t="shared" si="0"/>
        <v>Ja</v>
      </c>
      <c r="Y15" s="12" t="str">
        <f t="shared" si="1"/>
        <v>Nej</v>
      </c>
      <c r="Z15" s="12">
        <f t="shared" si="2"/>
        <v>0</v>
      </c>
      <c r="AA15" s="12">
        <f t="shared" si="3"/>
        <v>0</v>
      </c>
    </row>
    <row r="16" spans="1:31" ht="15" customHeight="1" x14ac:dyDescent="0.25">
      <c r="A16" s="137" t="s">
        <v>200</v>
      </c>
      <c r="B16" s="137" t="s">
        <v>205</v>
      </c>
      <c r="C16" s="137">
        <v>2018</v>
      </c>
      <c r="D16" s="137">
        <v>0.1</v>
      </c>
      <c r="E16" s="137">
        <v>0</v>
      </c>
      <c r="F16" s="137" t="s">
        <v>936</v>
      </c>
      <c r="G16" s="137">
        <v>1</v>
      </c>
      <c r="H16" s="137">
        <v>0.03</v>
      </c>
      <c r="I16" s="137">
        <v>0</v>
      </c>
      <c r="J16" s="137">
        <v>0</v>
      </c>
      <c r="K16" s="137" t="s">
        <v>193</v>
      </c>
      <c r="L16" s="137" t="s">
        <v>193</v>
      </c>
      <c r="M16" s="137" t="s">
        <v>193</v>
      </c>
      <c r="N16" s="137" t="s">
        <v>193</v>
      </c>
      <c r="O16" s="137" t="s">
        <v>193</v>
      </c>
      <c r="P16" s="137" t="s">
        <v>193</v>
      </c>
      <c r="Q16" s="137" t="s">
        <v>193</v>
      </c>
      <c r="R16" s="137" t="s">
        <v>193</v>
      </c>
      <c r="S16" s="137" t="s">
        <v>193</v>
      </c>
      <c r="T16" s="137" t="s">
        <v>193</v>
      </c>
      <c r="W16" s="12" t="str">
        <f t="shared" si="0"/>
        <v>Ja</v>
      </c>
      <c r="Y16" s="12" t="str">
        <f t="shared" si="1"/>
        <v>Nej</v>
      </c>
      <c r="Z16" s="12">
        <f t="shared" si="2"/>
        <v>0</v>
      </c>
      <c r="AA16" s="12">
        <f t="shared" si="3"/>
        <v>0</v>
      </c>
    </row>
    <row r="17" spans="1:27" ht="15" customHeight="1" x14ac:dyDescent="0.25">
      <c r="A17" s="137" t="s">
        <v>200</v>
      </c>
      <c r="B17" s="137" t="s">
        <v>206</v>
      </c>
      <c r="C17" s="137">
        <v>2018</v>
      </c>
      <c r="D17" s="137">
        <v>0.4</v>
      </c>
      <c r="E17" s="137" t="s">
        <v>193</v>
      </c>
      <c r="F17" s="137" t="s">
        <v>936</v>
      </c>
      <c r="G17" s="137">
        <v>1</v>
      </c>
      <c r="H17" s="137">
        <v>0.03</v>
      </c>
      <c r="I17" s="137">
        <v>0</v>
      </c>
      <c r="J17" s="137">
        <v>0</v>
      </c>
      <c r="K17" s="137" t="s">
        <v>193</v>
      </c>
      <c r="L17" s="137" t="s">
        <v>193</v>
      </c>
      <c r="M17" s="137" t="s">
        <v>193</v>
      </c>
      <c r="N17" s="137" t="s">
        <v>193</v>
      </c>
      <c r="O17" s="137" t="s">
        <v>193</v>
      </c>
      <c r="P17" s="137" t="s">
        <v>193</v>
      </c>
      <c r="Q17" s="137" t="s">
        <v>193</v>
      </c>
      <c r="R17" s="137" t="s">
        <v>193</v>
      </c>
      <c r="S17" s="137" t="s">
        <v>193</v>
      </c>
      <c r="T17" s="137" t="s">
        <v>193</v>
      </c>
      <c r="W17" s="12" t="str">
        <f t="shared" si="0"/>
        <v>Ja</v>
      </c>
      <c r="Y17" s="12" t="str">
        <f t="shared" si="1"/>
        <v>Nej</v>
      </c>
      <c r="Z17" s="12">
        <f t="shared" si="2"/>
        <v>0</v>
      </c>
      <c r="AA17" s="12">
        <f t="shared" si="3"/>
        <v>0</v>
      </c>
    </row>
    <row r="18" spans="1:27" ht="15" customHeight="1" x14ac:dyDescent="0.25">
      <c r="A18" s="137" t="s">
        <v>200</v>
      </c>
      <c r="B18" s="137" t="s">
        <v>207</v>
      </c>
      <c r="C18" s="137">
        <v>2018</v>
      </c>
      <c r="D18" s="137">
        <v>0.1</v>
      </c>
      <c r="E18" s="137" t="s">
        <v>193</v>
      </c>
      <c r="F18" s="137" t="s">
        <v>936</v>
      </c>
      <c r="G18" s="137">
        <v>1</v>
      </c>
      <c r="H18" s="137">
        <v>0.03</v>
      </c>
      <c r="I18" s="137">
        <v>0</v>
      </c>
      <c r="J18" s="137">
        <v>0</v>
      </c>
      <c r="K18" s="137" t="s">
        <v>193</v>
      </c>
      <c r="L18" s="137" t="s">
        <v>193</v>
      </c>
      <c r="M18" s="137" t="s">
        <v>193</v>
      </c>
      <c r="N18" s="137" t="s">
        <v>193</v>
      </c>
      <c r="O18" s="137" t="s">
        <v>193</v>
      </c>
      <c r="P18" s="137" t="s">
        <v>193</v>
      </c>
      <c r="Q18" s="137" t="s">
        <v>193</v>
      </c>
      <c r="R18" s="137" t="s">
        <v>193</v>
      </c>
      <c r="S18" s="137" t="s">
        <v>193</v>
      </c>
      <c r="T18" s="137" t="s">
        <v>193</v>
      </c>
      <c r="W18" s="12" t="str">
        <f t="shared" si="0"/>
        <v>Ja</v>
      </c>
      <c r="Y18" s="12" t="str">
        <f t="shared" si="1"/>
        <v>Nej</v>
      </c>
      <c r="Z18" s="12">
        <f t="shared" si="2"/>
        <v>0</v>
      </c>
      <c r="AA18" s="12">
        <f t="shared" si="3"/>
        <v>0</v>
      </c>
    </row>
    <row r="19" spans="1:27" ht="15" customHeight="1" x14ac:dyDescent="0.25">
      <c r="A19" s="137" t="s">
        <v>200</v>
      </c>
      <c r="B19" s="137" t="s">
        <v>208</v>
      </c>
      <c r="C19" s="137">
        <v>2018</v>
      </c>
      <c r="D19" s="137">
        <v>0.03</v>
      </c>
      <c r="E19" s="137" t="s">
        <v>193</v>
      </c>
      <c r="F19" s="137" t="s">
        <v>936</v>
      </c>
      <c r="G19" s="137">
        <v>1</v>
      </c>
      <c r="H19" s="137">
        <v>0.03</v>
      </c>
      <c r="I19" s="137">
        <v>0</v>
      </c>
      <c r="J19" s="137">
        <v>0</v>
      </c>
      <c r="K19" s="137" t="s">
        <v>193</v>
      </c>
      <c r="L19" s="137" t="s">
        <v>193</v>
      </c>
      <c r="M19" s="137" t="s">
        <v>193</v>
      </c>
      <c r="N19" s="137" t="s">
        <v>193</v>
      </c>
      <c r="O19" s="137" t="s">
        <v>193</v>
      </c>
      <c r="P19" s="137" t="s">
        <v>193</v>
      </c>
      <c r="Q19" s="137" t="s">
        <v>193</v>
      </c>
      <c r="R19" s="137" t="s">
        <v>193</v>
      </c>
      <c r="S19" s="137" t="s">
        <v>193</v>
      </c>
      <c r="T19" s="137" t="s">
        <v>193</v>
      </c>
      <c r="W19" s="12" t="str">
        <f t="shared" si="0"/>
        <v>Ja</v>
      </c>
      <c r="Y19" s="12" t="str">
        <f t="shared" si="1"/>
        <v>Nej</v>
      </c>
      <c r="Z19" s="12">
        <f t="shared" si="2"/>
        <v>0</v>
      </c>
      <c r="AA19" s="12">
        <f t="shared" si="3"/>
        <v>0</v>
      </c>
    </row>
    <row r="20" spans="1:27" ht="15" customHeight="1" x14ac:dyDescent="0.25">
      <c r="A20" s="137" t="s">
        <v>200</v>
      </c>
      <c r="B20" s="137" t="s">
        <v>209</v>
      </c>
      <c r="C20" s="137">
        <v>2018</v>
      </c>
      <c r="D20" s="137">
        <v>0.3</v>
      </c>
      <c r="E20" s="137" t="s">
        <v>193</v>
      </c>
      <c r="F20" s="137" t="s">
        <v>936</v>
      </c>
      <c r="G20" s="137">
        <v>1</v>
      </c>
      <c r="H20" s="137">
        <v>0.03</v>
      </c>
      <c r="I20" s="137">
        <v>0</v>
      </c>
      <c r="J20" s="137">
        <v>0</v>
      </c>
      <c r="K20" s="137" t="s">
        <v>193</v>
      </c>
      <c r="L20" s="137" t="s">
        <v>193</v>
      </c>
      <c r="M20" s="137" t="s">
        <v>193</v>
      </c>
      <c r="N20" s="137" t="s">
        <v>193</v>
      </c>
      <c r="O20" s="137" t="s">
        <v>193</v>
      </c>
      <c r="P20" s="137" t="s">
        <v>193</v>
      </c>
      <c r="Q20" s="137" t="s">
        <v>193</v>
      </c>
      <c r="R20" s="137" t="s">
        <v>193</v>
      </c>
      <c r="S20" s="137" t="s">
        <v>193</v>
      </c>
      <c r="T20" s="137" t="s">
        <v>193</v>
      </c>
      <c r="W20" s="12" t="str">
        <f t="shared" si="0"/>
        <v>Ja</v>
      </c>
      <c r="Y20" s="12" t="str">
        <f t="shared" si="1"/>
        <v>Nej</v>
      </c>
      <c r="Z20" s="12">
        <f t="shared" si="2"/>
        <v>0</v>
      </c>
      <c r="AA20" s="12">
        <f t="shared" si="3"/>
        <v>0</v>
      </c>
    </row>
    <row r="21" spans="1:27" ht="15" customHeight="1" x14ac:dyDescent="0.25">
      <c r="A21" s="137" t="s">
        <v>200</v>
      </c>
      <c r="B21" s="137" t="s">
        <v>210</v>
      </c>
      <c r="C21" s="137">
        <v>2018</v>
      </c>
      <c r="D21" s="137">
        <v>0.02</v>
      </c>
      <c r="E21" s="137" t="s">
        <v>193</v>
      </c>
      <c r="F21" s="137" t="s">
        <v>937</v>
      </c>
      <c r="G21" s="137">
        <v>1</v>
      </c>
      <c r="H21" s="137">
        <v>0.03</v>
      </c>
      <c r="I21" s="137">
        <v>0</v>
      </c>
      <c r="J21" s="137">
        <v>0</v>
      </c>
      <c r="K21" s="137" t="s">
        <v>193</v>
      </c>
      <c r="L21" s="137" t="s">
        <v>193</v>
      </c>
      <c r="M21" s="137" t="s">
        <v>193</v>
      </c>
      <c r="N21" s="137" t="s">
        <v>193</v>
      </c>
      <c r="O21" s="137" t="s">
        <v>193</v>
      </c>
      <c r="P21" s="137" t="s">
        <v>193</v>
      </c>
      <c r="Q21" s="137" t="s">
        <v>193</v>
      </c>
      <c r="R21" s="137" t="s">
        <v>193</v>
      </c>
      <c r="S21" s="137" t="s">
        <v>193</v>
      </c>
      <c r="T21" s="137" t="s">
        <v>193</v>
      </c>
      <c r="W21" s="12" t="str">
        <f t="shared" si="0"/>
        <v>Ja</v>
      </c>
      <c r="Y21" s="12" t="str">
        <f t="shared" si="1"/>
        <v>Nej</v>
      </c>
      <c r="Z21" s="12">
        <f t="shared" si="2"/>
        <v>0</v>
      </c>
      <c r="AA21" s="12">
        <f t="shared" si="3"/>
        <v>0</v>
      </c>
    </row>
    <row r="22" spans="1:27" ht="15" customHeight="1" x14ac:dyDescent="0.25">
      <c r="A22" s="137" t="s">
        <v>211</v>
      </c>
      <c r="B22" s="137" t="s">
        <v>212</v>
      </c>
      <c r="C22" s="137">
        <v>2018</v>
      </c>
      <c r="D22" s="137">
        <v>1.4E-2</v>
      </c>
      <c r="E22" s="137" t="s">
        <v>193</v>
      </c>
      <c r="F22" s="137" t="s">
        <v>938</v>
      </c>
      <c r="G22" s="137">
        <v>1.1000000000000001</v>
      </c>
      <c r="H22" s="137">
        <v>0</v>
      </c>
      <c r="I22" s="137">
        <v>0</v>
      </c>
      <c r="J22" s="137">
        <v>0</v>
      </c>
      <c r="K22" s="137" t="s">
        <v>193</v>
      </c>
      <c r="L22" s="137" t="s">
        <v>193</v>
      </c>
      <c r="M22" s="137" t="s">
        <v>193</v>
      </c>
      <c r="N22" s="137" t="s">
        <v>193</v>
      </c>
      <c r="O22" s="137" t="s">
        <v>193</v>
      </c>
      <c r="P22" s="137" t="s">
        <v>193</v>
      </c>
      <c r="Q22" s="137" t="s">
        <v>193</v>
      </c>
      <c r="R22" s="137" t="s">
        <v>193</v>
      </c>
      <c r="S22" s="137" t="s">
        <v>193</v>
      </c>
      <c r="T22" s="137" t="s">
        <v>193</v>
      </c>
      <c r="W22" s="12" t="str">
        <f t="shared" si="0"/>
        <v>Ja</v>
      </c>
      <c r="Y22" s="12" t="str">
        <f t="shared" si="1"/>
        <v>Nej</v>
      </c>
      <c r="Z22" s="12">
        <f t="shared" si="2"/>
        <v>0</v>
      </c>
      <c r="AA22" s="12">
        <f t="shared" si="3"/>
        <v>0</v>
      </c>
    </row>
    <row r="23" spans="1:27" ht="15" customHeight="1" x14ac:dyDescent="0.25">
      <c r="A23" s="137" t="s">
        <v>211</v>
      </c>
      <c r="B23" s="137" t="s">
        <v>213</v>
      </c>
      <c r="C23" s="137">
        <v>2018</v>
      </c>
      <c r="D23" s="137">
        <v>0.104</v>
      </c>
      <c r="E23" s="137" t="s">
        <v>193</v>
      </c>
      <c r="F23" s="137" t="s">
        <v>939</v>
      </c>
      <c r="G23" s="137">
        <v>1.1000000000000001</v>
      </c>
      <c r="H23" s="137">
        <v>0</v>
      </c>
      <c r="I23" s="137">
        <v>0</v>
      </c>
      <c r="J23" s="137">
        <v>0</v>
      </c>
      <c r="K23" s="137" t="s">
        <v>193</v>
      </c>
      <c r="L23" s="137" t="s">
        <v>193</v>
      </c>
      <c r="M23" s="137" t="s">
        <v>193</v>
      </c>
      <c r="N23" s="137" t="s">
        <v>193</v>
      </c>
      <c r="O23" s="137" t="s">
        <v>193</v>
      </c>
      <c r="P23" s="137" t="s">
        <v>193</v>
      </c>
      <c r="Q23" s="137" t="s">
        <v>193</v>
      </c>
      <c r="R23" s="137" t="s">
        <v>193</v>
      </c>
      <c r="S23" s="137" t="s">
        <v>193</v>
      </c>
      <c r="T23" s="137" t="s">
        <v>193</v>
      </c>
      <c r="W23" s="12" t="str">
        <f t="shared" si="0"/>
        <v>Ja</v>
      </c>
      <c r="Y23" s="12" t="str">
        <f t="shared" si="1"/>
        <v>Nej</v>
      </c>
      <c r="Z23" s="12">
        <f t="shared" si="2"/>
        <v>0</v>
      </c>
      <c r="AA23" s="12">
        <f t="shared" si="3"/>
        <v>0</v>
      </c>
    </row>
    <row r="24" spans="1:27" ht="15" customHeight="1" x14ac:dyDescent="0.25">
      <c r="A24" s="137" t="s">
        <v>211</v>
      </c>
      <c r="B24" s="137" t="s">
        <v>214</v>
      </c>
      <c r="C24" s="137">
        <v>2018</v>
      </c>
      <c r="D24" s="137">
        <v>2.633</v>
      </c>
      <c r="E24" s="137">
        <v>11.68</v>
      </c>
      <c r="F24" s="137" t="s">
        <v>939</v>
      </c>
      <c r="G24" s="137">
        <v>1.1100000000000001</v>
      </c>
      <c r="H24" s="137">
        <v>0</v>
      </c>
      <c r="I24" s="137">
        <v>0</v>
      </c>
      <c r="J24" s="137">
        <v>0</v>
      </c>
      <c r="K24" s="137" t="s">
        <v>193</v>
      </c>
      <c r="L24" s="137" t="s">
        <v>193</v>
      </c>
      <c r="M24" s="137" t="s">
        <v>193</v>
      </c>
      <c r="N24" s="137" t="s">
        <v>193</v>
      </c>
      <c r="O24" s="137" t="s">
        <v>193</v>
      </c>
      <c r="P24" s="137" t="s">
        <v>193</v>
      </c>
      <c r="Q24" s="137" t="s">
        <v>193</v>
      </c>
      <c r="R24" s="137" t="s">
        <v>193</v>
      </c>
      <c r="S24" s="137" t="s">
        <v>193</v>
      </c>
      <c r="T24" s="137" t="s">
        <v>193</v>
      </c>
      <c r="W24" s="12" t="str">
        <f t="shared" si="0"/>
        <v>Ja</v>
      </c>
      <c r="Y24" s="12" t="str">
        <f t="shared" si="1"/>
        <v>Nej</v>
      </c>
      <c r="Z24" s="12">
        <f t="shared" si="2"/>
        <v>0</v>
      </c>
      <c r="AA24" s="12">
        <f t="shared" si="3"/>
        <v>0</v>
      </c>
    </row>
    <row r="25" spans="1:27" ht="15" customHeight="1" x14ac:dyDescent="0.25">
      <c r="A25" s="137" t="s">
        <v>211</v>
      </c>
      <c r="B25" s="137" t="s">
        <v>215</v>
      </c>
      <c r="C25" s="137">
        <v>2018</v>
      </c>
      <c r="D25" s="137">
        <v>0.112</v>
      </c>
      <c r="E25" s="137" t="s">
        <v>193</v>
      </c>
      <c r="F25" s="137" t="s">
        <v>939</v>
      </c>
      <c r="G25" s="137">
        <v>1.1000000000000001</v>
      </c>
      <c r="H25" s="137">
        <v>0</v>
      </c>
      <c r="I25" s="137">
        <v>0</v>
      </c>
      <c r="J25" s="137">
        <v>0</v>
      </c>
      <c r="K25" s="137" t="s">
        <v>193</v>
      </c>
      <c r="L25" s="137" t="s">
        <v>193</v>
      </c>
      <c r="M25" s="137" t="s">
        <v>193</v>
      </c>
      <c r="N25" s="137" t="s">
        <v>193</v>
      </c>
      <c r="O25" s="137" t="s">
        <v>193</v>
      </c>
      <c r="P25" s="137" t="s">
        <v>193</v>
      </c>
      <c r="Q25" s="137" t="s">
        <v>193</v>
      </c>
      <c r="R25" s="137" t="s">
        <v>193</v>
      </c>
      <c r="S25" s="137" t="s">
        <v>193</v>
      </c>
      <c r="T25" s="137" t="s">
        <v>193</v>
      </c>
      <c r="W25" s="12" t="str">
        <f t="shared" si="0"/>
        <v>Ja</v>
      </c>
      <c r="Y25" s="12" t="str">
        <f t="shared" si="1"/>
        <v>Nej</v>
      </c>
      <c r="Z25" s="12">
        <f t="shared" si="2"/>
        <v>0</v>
      </c>
      <c r="AA25" s="12">
        <f t="shared" si="3"/>
        <v>0</v>
      </c>
    </row>
    <row r="26" spans="1:27" ht="15" customHeight="1" x14ac:dyDescent="0.25">
      <c r="A26" s="137" t="s">
        <v>211</v>
      </c>
      <c r="B26" s="137" t="s">
        <v>216</v>
      </c>
      <c r="C26" s="137">
        <v>2018</v>
      </c>
      <c r="D26" s="137">
        <v>1.4999999999999999E-2</v>
      </c>
      <c r="E26" s="137" t="s">
        <v>193</v>
      </c>
      <c r="F26" s="137" t="s">
        <v>940</v>
      </c>
      <c r="G26" s="137">
        <v>1.1000000000000001</v>
      </c>
      <c r="H26" s="137">
        <v>0</v>
      </c>
      <c r="I26" s="137">
        <v>0</v>
      </c>
      <c r="J26" s="137">
        <v>0</v>
      </c>
      <c r="K26" s="137" t="s">
        <v>193</v>
      </c>
      <c r="L26" s="137" t="s">
        <v>193</v>
      </c>
      <c r="M26" s="137" t="s">
        <v>193</v>
      </c>
      <c r="N26" s="137" t="s">
        <v>193</v>
      </c>
      <c r="O26" s="137" t="s">
        <v>193</v>
      </c>
      <c r="P26" s="137" t="s">
        <v>193</v>
      </c>
      <c r="Q26" s="137" t="s">
        <v>193</v>
      </c>
      <c r="R26" s="137" t="s">
        <v>193</v>
      </c>
      <c r="S26" s="137" t="s">
        <v>193</v>
      </c>
      <c r="T26" s="137" t="s">
        <v>193</v>
      </c>
      <c r="W26" s="12" t="str">
        <f t="shared" si="0"/>
        <v>Ja</v>
      </c>
      <c r="Y26" s="12" t="str">
        <f t="shared" si="1"/>
        <v>Nej</v>
      </c>
      <c r="Z26" s="12">
        <f t="shared" si="2"/>
        <v>0</v>
      </c>
      <c r="AA26" s="12">
        <f t="shared" si="3"/>
        <v>0</v>
      </c>
    </row>
    <row r="27" spans="1:27" ht="15" customHeight="1" x14ac:dyDescent="0.25">
      <c r="A27" s="137" t="s">
        <v>217</v>
      </c>
      <c r="B27" s="137" t="s">
        <v>218</v>
      </c>
      <c r="C27" s="137">
        <v>2018</v>
      </c>
      <c r="D27" s="137">
        <v>3.2</v>
      </c>
      <c r="E27" s="137" t="s">
        <v>193</v>
      </c>
      <c r="F27" s="137" t="s">
        <v>941</v>
      </c>
      <c r="G27" s="137">
        <v>0.18</v>
      </c>
      <c r="H27" s="137">
        <v>0</v>
      </c>
      <c r="I27" s="137">
        <v>0</v>
      </c>
      <c r="J27" s="137">
        <v>0</v>
      </c>
      <c r="K27" s="137" t="s">
        <v>193</v>
      </c>
      <c r="L27" s="137" t="s">
        <v>193</v>
      </c>
      <c r="M27" s="137" t="s">
        <v>193</v>
      </c>
      <c r="N27" s="137" t="s">
        <v>193</v>
      </c>
      <c r="O27" s="137" t="s">
        <v>193</v>
      </c>
      <c r="P27" s="137" t="s">
        <v>193</v>
      </c>
      <c r="Q27" s="137" t="s">
        <v>193</v>
      </c>
      <c r="R27" s="137" t="s">
        <v>193</v>
      </c>
      <c r="S27" s="137" t="s">
        <v>193</v>
      </c>
      <c r="T27" s="137" t="s">
        <v>193</v>
      </c>
      <c r="W27" s="12" t="str">
        <f t="shared" si="0"/>
        <v>Ja</v>
      </c>
      <c r="Y27" s="12" t="str">
        <f t="shared" si="1"/>
        <v>Nej</v>
      </c>
      <c r="Z27" s="12">
        <f t="shared" si="2"/>
        <v>0</v>
      </c>
      <c r="AA27" s="12">
        <f t="shared" si="3"/>
        <v>0</v>
      </c>
    </row>
    <row r="28" spans="1:27" ht="15" customHeight="1" x14ac:dyDescent="0.25">
      <c r="A28" s="137" t="s">
        <v>220</v>
      </c>
      <c r="B28" s="137" t="s">
        <v>221</v>
      </c>
      <c r="C28" s="137">
        <v>2018</v>
      </c>
      <c r="D28" s="137" t="s">
        <v>193</v>
      </c>
      <c r="E28" s="137" t="s">
        <v>193</v>
      </c>
      <c r="F28" s="137" t="s">
        <v>942</v>
      </c>
      <c r="G28" s="137">
        <v>2.2999999999999998</v>
      </c>
      <c r="H28" s="137">
        <v>329.19</v>
      </c>
      <c r="I28" s="137">
        <v>0.42799999999999999</v>
      </c>
      <c r="J28" s="137">
        <v>0.40500000000000003</v>
      </c>
      <c r="K28" s="137" t="s">
        <v>193</v>
      </c>
      <c r="L28" s="137" t="s">
        <v>193</v>
      </c>
      <c r="M28" s="137" t="s">
        <v>193</v>
      </c>
      <c r="N28" s="137" t="s">
        <v>193</v>
      </c>
      <c r="O28" s="137" t="s">
        <v>193</v>
      </c>
      <c r="P28" s="137" t="s">
        <v>193</v>
      </c>
      <c r="Q28" s="137" t="s">
        <v>193</v>
      </c>
      <c r="R28" s="137" t="s">
        <v>193</v>
      </c>
      <c r="S28" s="137" t="s">
        <v>193</v>
      </c>
      <c r="T28" s="137" t="s">
        <v>193</v>
      </c>
      <c r="W28" s="12" t="str">
        <f t="shared" si="0"/>
        <v>Ja</v>
      </c>
      <c r="Y28" s="12" t="str">
        <f t="shared" si="1"/>
        <v>Nej</v>
      </c>
      <c r="Z28" s="12">
        <f t="shared" si="2"/>
        <v>0</v>
      </c>
      <c r="AA28" s="12">
        <f t="shared" si="3"/>
        <v>0</v>
      </c>
    </row>
    <row r="29" spans="1:27" ht="15" customHeight="1" x14ac:dyDescent="0.25">
      <c r="A29" s="137" t="s">
        <v>220</v>
      </c>
      <c r="B29" s="137" t="s">
        <v>222</v>
      </c>
      <c r="C29" s="137">
        <v>2018</v>
      </c>
      <c r="D29" s="137" t="s">
        <v>193</v>
      </c>
      <c r="E29" s="137" t="s">
        <v>193</v>
      </c>
      <c r="F29" s="137" t="s">
        <v>943</v>
      </c>
      <c r="G29" s="137">
        <v>2.2999999999999998</v>
      </c>
      <c r="H29" s="137">
        <v>329.19</v>
      </c>
      <c r="I29" s="137">
        <v>0.42799999999999999</v>
      </c>
      <c r="J29" s="137">
        <v>0.40500000000000003</v>
      </c>
      <c r="K29" s="137" t="s">
        <v>193</v>
      </c>
      <c r="L29" s="137" t="s">
        <v>193</v>
      </c>
      <c r="M29" s="137" t="s">
        <v>193</v>
      </c>
      <c r="N29" s="137" t="s">
        <v>193</v>
      </c>
      <c r="O29" s="137" t="s">
        <v>193</v>
      </c>
      <c r="P29" s="137" t="s">
        <v>193</v>
      </c>
      <c r="Q29" s="137" t="s">
        <v>193</v>
      </c>
      <c r="R29" s="137" t="s">
        <v>193</v>
      </c>
      <c r="S29" s="137" t="s">
        <v>193</v>
      </c>
      <c r="T29" s="137" t="s">
        <v>193</v>
      </c>
      <c r="W29" s="12" t="str">
        <f t="shared" si="0"/>
        <v>Ja</v>
      </c>
      <c r="Y29" s="12" t="str">
        <f t="shared" si="1"/>
        <v>Nej</v>
      </c>
      <c r="Z29" s="12">
        <f t="shared" si="2"/>
        <v>0</v>
      </c>
      <c r="AA29" s="12">
        <f t="shared" si="3"/>
        <v>0</v>
      </c>
    </row>
    <row r="30" spans="1:27" ht="15" customHeight="1" x14ac:dyDescent="0.25">
      <c r="A30" s="137" t="s">
        <v>220</v>
      </c>
      <c r="B30" s="137" t="s">
        <v>223</v>
      </c>
      <c r="C30" s="137">
        <v>2018</v>
      </c>
      <c r="D30" s="137" t="s">
        <v>193</v>
      </c>
      <c r="E30" s="137" t="s">
        <v>193</v>
      </c>
      <c r="F30" s="137" t="s">
        <v>943</v>
      </c>
      <c r="G30" s="137">
        <v>2.2999999999999998</v>
      </c>
      <c r="H30" s="137">
        <v>329.19</v>
      </c>
      <c r="I30" s="137">
        <v>0.42799999999999999</v>
      </c>
      <c r="J30" s="137">
        <v>0.40500000000000003</v>
      </c>
      <c r="K30" s="137" t="s">
        <v>193</v>
      </c>
      <c r="L30" s="137" t="s">
        <v>193</v>
      </c>
      <c r="M30" s="137" t="s">
        <v>193</v>
      </c>
      <c r="N30" s="137" t="s">
        <v>193</v>
      </c>
      <c r="O30" s="137" t="s">
        <v>193</v>
      </c>
      <c r="P30" s="137" t="s">
        <v>193</v>
      </c>
      <c r="Q30" s="137" t="s">
        <v>193</v>
      </c>
      <c r="R30" s="137" t="s">
        <v>193</v>
      </c>
      <c r="S30" s="137" t="s">
        <v>193</v>
      </c>
      <c r="T30" s="137" t="s">
        <v>193</v>
      </c>
      <c r="W30" s="12" t="str">
        <f t="shared" si="0"/>
        <v>Ja</v>
      </c>
      <c r="Y30" s="12" t="str">
        <f t="shared" si="1"/>
        <v>Nej</v>
      </c>
      <c r="Z30" s="12">
        <f t="shared" si="2"/>
        <v>0</v>
      </c>
      <c r="AA30" s="12">
        <f t="shared" si="3"/>
        <v>0</v>
      </c>
    </row>
    <row r="31" spans="1:27" ht="15" customHeight="1" x14ac:dyDescent="0.25">
      <c r="A31" s="137" t="s">
        <v>224</v>
      </c>
      <c r="B31" s="137" t="s">
        <v>225</v>
      </c>
      <c r="C31" s="137">
        <v>2018</v>
      </c>
      <c r="D31" s="137">
        <v>0.56999999999999995</v>
      </c>
      <c r="E31" s="137" t="s">
        <v>193</v>
      </c>
      <c r="F31" s="137" t="s">
        <v>944</v>
      </c>
      <c r="G31" s="137">
        <v>1.1000000000000001</v>
      </c>
      <c r="H31" s="137">
        <v>0</v>
      </c>
      <c r="I31" s="137">
        <v>0</v>
      </c>
      <c r="J31" s="137">
        <v>0</v>
      </c>
      <c r="K31" s="137" t="s">
        <v>193</v>
      </c>
      <c r="L31" s="137" t="s">
        <v>193</v>
      </c>
      <c r="M31" s="137" t="s">
        <v>193</v>
      </c>
      <c r="N31" s="137" t="s">
        <v>193</v>
      </c>
      <c r="O31" s="137" t="s">
        <v>193</v>
      </c>
      <c r="P31" s="137" t="s">
        <v>193</v>
      </c>
      <c r="Q31" s="137" t="s">
        <v>193</v>
      </c>
      <c r="R31" s="137" t="s">
        <v>193</v>
      </c>
      <c r="S31" s="137" t="s">
        <v>193</v>
      </c>
      <c r="T31" s="137" t="s">
        <v>193</v>
      </c>
      <c r="W31" s="12" t="str">
        <f t="shared" si="0"/>
        <v>Ja</v>
      </c>
      <c r="Y31" s="12" t="str">
        <f t="shared" si="1"/>
        <v>Nej</v>
      </c>
      <c r="Z31" s="12">
        <f t="shared" si="2"/>
        <v>0</v>
      </c>
      <c r="AA31" s="12">
        <f t="shared" si="3"/>
        <v>0</v>
      </c>
    </row>
    <row r="32" spans="1:27" ht="15" customHeight="1" x14ac:dyDescent="0.25">
      <c r="A32" s="137" t="s">
        <v>36</v>
      </c>
      <c r="B32" s="141" t="s">
        <v>37</v>
      </c>
      <c r="C32" s="137">
        <v>2018</v>
      </c>
      <c r="D32" s="137" t="s">
        <v>53</v>
      </c>
      <c r="E32" s="137" t="s">
        <v>53</v>
      </c>
      <c r="F32" s="137" t="s">
        <v>53</v>
      </c>
      <c r="G32" s="137" t="s">
        <v>53</v>
      </c>
      <c r="H32" s="137" t="s">
        <v>53</v>
      </c>
      <c r="I32" s="137" t="s">
        <v>53</v>
      </c>
      <c r="J32" s="137" t="s">
        <v>53</v>
      </c>
      <c r="K32" s="137" t="s">
        <v>53</v>
      </c>
      <c r="L32" s="137" t="s">
        <v>53</v>
      </c>
      <c r="M32" s="137" t="s">
        <v>53</v>
      </c>
      <c r="N32" s="137" t="s">
        <v>53</v>
      </c>
      <c r="O32" s="137" t="s">
        <v>53</v>
      </c>
      <c r="P32" s="137" t="s">
        <v>53</v>
      </c>
      <c r="Q32" s="137" t="s">
        <v>53</v>
      </c>
      <c r="R32" s="137" t="s">
        <v>53</v>
      </c>
      <c r="S32" s="137" t="s">
        <v>53</v>
      </c>
      <c r="T32" s="137" t="s">
        <v>53</v>
      </c>
      <c r="W32" s="12" t="str">
        <f t="shared" si="0"/>
        <v>Nej</v>
      </c>
      <c r="Y32" s="12" t="str">
        <f t="shared" si="1"/>
        <v>Nej</v>
      </c>
      <c r="Z32" s="12">
        <f t="shared" si="2"/>
        <v>0</v>
      </c>
      <c r="AA32" s="12">
        <f t="shared" si="3"/>
        <v>0</v>
      </c>
    </row>
    <row r="33" spans="1:27" ht="15" customHeight="1" x14ac:dyDescent="0.25">
      <c r="A33" s="137" t="s">
        <v>226</v>
      </c>
      <c r="B33" s="137" t="s">
        <v>227</v>
      </c>
      <c r="C33" s="137">
        <v>2018</v>
      </c>
      <c r="D33" s="137">
        <v>3.44</v>
      </c>
      <c r="E33" s="137" t="s">
        <v>193</v>
      </c>
      <c r="F33" s="137" t="s">
        <v>935</v>
      </c>
      <c r="G33" s="137">
        <v>1.1000000000000001</v>
      </c>
      <c r="H33" s="137">
        <v>0</v>
      </c>
      <c r="I33" s="137">
        <v>0</v>
      </c>
      <c r="J33" s="137">
        <v>0</v>
      </c>
      <c r="K33" s="137" t="s">
        <v>193</v>
      </c>
      <c r="L33" s="137" t="s">
        <v>193</v>
      </c>
      <c r="M33" s="137" t="s">
        <v>193</v>
      </c>
      <c r="N33" s="137" t="s">
        <v>193</v>
      </c>
      <c r="O33" s="137" t="s">
        <v>193</v>
      </c>
      <c r="P33" s="137" t="s">
        <v>193</v>
      </c>
      <c r="Q33" s="137" t="s">
        <v>193</v>
      </c>
      <c r="R33" s="137" t="s">
        <v>193</v>
      </c>
      <c r="S33" s="137" t="s">
        <v>193</v>
      </c>
      <c r="T33" s="137" t="s">
        <v>193</v>
      </c>
      <c r="W33" s="12" t="str">
        <f t="shared" si="0"/>
        <v>Ja</v>
      </c>
      <c r="Y33" s="12" t="str">
        <f t="shared" si="1"/>
        <v>Nej</v>
      </c>
      <c r="Z33" s="12">
        <f t="shared" si="2"/>
        <v>0</v>
      </c>
      <c r="AA33" s="12">
        <f t="shared" si="3"/>
        <v>0</v>
      </c>
    </row>
    <row r="34" spans="1:27" ht="15" customHeight="1" x14ac:dyDescent="0.25">
      <c r="A34" s="137" t="s">
        <v>228</v>
      </c>
      <c r="B34" s="137" t="s">
        <v>229</v>
      </c>
      <c r="C34" s="137">
        <v>2018</v>
      </c>
      <c r="D34" s="137">
        <v>0.06</v>
      </c>
      <c r="E34" s="137" t="s">
        <v>193</v>
      </c>
      <c r="F34" s="137" t="s">
        <v>945</v>
      </c>
      <c r="G34" s="137">
        <v>1.1000000000000001</v>
      </c>
      <c r="H34" s="137">
        <v>329.19</v>
      </c>
      <c r="I34" s="137">
        <v>0</v>
      </c>
      <c r="J34" s="137">
        <v>0</v>
      </c>
      <c r="K34" s="137" t="s">
        <v>193</v>
      </c>
      <c r="L34" s="137" t="s">
        <v>193</v>
      </c>
      <c r="M34" s="137" t="s">
        <v>193</v>
      </c>
      <c r="N34" s="137" t="s">
        <v>193</v>
      </c>
      <c r="O34" s="137" t="s">
        <v>193</v>
      </c>
      <c r="P34" s="137" t="s">
        <v>193</v>
      </c>
      <c r="Q34" s="137" t="s">
        <v>193</v>
      </c>
      <c r="R34" s="137" t="s">
        <v>193</v>
      </c>
      <c r="S34" s="137" t="s">
        <v>193</v>
      </c>
      <c r="T34" s="137" t="s">
        <v>193</v>
      </c>
      <c r="W34" s="12" t="str">
        <f t="shared" si="0"/>
        <v>Ja</v>
      </c>
      <c r="Y34" s="12" t="str">
        <f t="shared" si="1"/>
        <v>Nej</v>
      </c>
      <c r="Z34" s="12">
        <f t="shared" si="2"/>
        <v>0</v>
      </c>
      <c r="AA34" s="12">
        <f t="shared" si="3"/>
        <v>0</v>
      </c>
    </row>
    <row r="35" spans="1:27" ht="15" customHeight="1" x14ac:dyDescent="0.25">
      <c r="A35" s="137" t="s">
        <v>230</v>
      </c>
      <c r="B35" s="137" t="s">
        <v>66</v>
      </c>
      <c r="C35" s="137">
        <v>2018</v>
      </c>
      <c r="D35" s="137">
        <v>7.1</v>
      </c>
      <c r="E35" s="137">
        <v>4.8</v>
      </c>
      <c r="F35" s="137" t="s">
        <v>946</v>
      </c>
      <c r="G35" s="137">
        <v>2.2999999999999998</v>
      </c>
      <c r="H35" s="137">
        <v>329.19</v>
      </c>
      <c r="I35" s="137">
        <v>0.43</v>
      </c>
      <c r="J35" s="137">
        <v>0.40550000000000003</v>
      </c>
      <c r="K35" s="137" t="s">
        <v>193</v>
      </c>
      <c r="L35" s="137" t="s">
        <v>193</v>
      </c>
      <c r="M35" s="137" t="s">
        <v>193</v>
      </c>
      <c r="N35" s="137" t="s">
        <v>193</v>
      </c>
      <c r="O35" s="137" t="s">
        <v>193</v>
      </c>
      <c r="P35" s="137" t="s">
        <v>193</v>
      </c>
      <c r="Q35" s="137" t="s">
        <v>193</v>
      </c>
      <c r="R35" s="137" t="s">
        <v>193</v>
      </c>
      <c r="S35" s="137" t="s">
        <v>193</v>
      </c>
      <c r="T35" s="137" t="s">
        <v>193</v>
      </c>
      <c r="W35" s="12" t="str">
        <f t="shared" si="0"/>
        <v>Nej</v>
      </c>
      <c r="Y35" s="12" t="str">
        <f t="shared" si="1"/>
        <v>Nej</v>
      </c>
      <c r="Z35" s="12">
        <f t="shared" si="2"/>
        <v>0</v>
      </c>
      <c r="AA35" s="12">
        <f t="shared" si="3"/>
        <v>0</v>
      </c>
    </row>
    <row r="36" spans="1:27" ht="15" customHeight="1" x14ac:dyDescent="0.25">
      <c r="A36" s="137" t="s">
        <v>231</v>
      </c>
      <c r="B36" s="137" t="s">
        <v>232</v>
      </c>
      <c r="C36" s="137">
        <v>2018</v>
      </c>
      <c r="D36" s="137">
        <v>0.33900000000000002</v>
      </c>
      <c r="E36" s="137" t="s">
        <v>193</v>
      </c>
      <c r="F36" s="137" t="s">
        <v>935</v>
      </c>
      <c r="G36" s="137">
        <v>1.1000000000000001</v>
      </c>
      <c r="H36" s="137">
        <v>0</v>
      </c>
      <c r="I36" s="137">
        <v>0</v>
      </c>
      <c r="J36" s="137">
        <v>0</v>
      </c>
      <c r="K36" s="137" t="s">
        <v>193</v>
      </c>
      <c r="L36" s="137" t="s">
        <v>193</v>
      </c>
      <c r="M36" s="137" t="s">
        <v>193</v>
      </c>
      <c r="N36" s="137" t="s">
        <v>193</v>
      </c>
      <c r="O36" s="137" t="s">
        <v>193</v>
      </c>
      <c r="P36" s="137" t="s">
        <v>193</v>
      </c>
      <c r="Q36" s="137" t="s">
        <v>193</v>
      </c>
      <c r="R36" s="137" t="s">
        <v>193</v>
      </c>
      <c r="S36" s="137" t="s">
        <v>193</v>
      </c>
      <c r="T36" s="137" t="s">
        <v>193</v>
      </c>
      <c r="W36" s="12" t="str">
        <f t="shared" si="0"/>
        <v>Ja</v>
      </c>
      <c r="Y36" s="12" t="str">
        <f t="shared" si="1"/>
        <v>Nej</v>
      </c>
      <c r="Z36" s="12">
        <f t="shared" si="2"/>
        <v>0</v>
      </c>
      <c r="AA36" s="12">
        <f t="shared" si="3"/>
        <v>0</v>
      </c>
    </row>
    <row r="37" spans="1:27" ht="15" customHeight="1" x14ac:dyDescent="0.25">
      <c r="A37" s="137" t="s">
        <v>231</v>
      </c>
      <c r="B37" s="137" t="s">
        <v>233</v>
      </c>
      <c r="C37" s="137">
        <v>2018</v>
      </c>
      <c r="D37" s="137">
        <v>2.19</v>
      </c>
      <c r="E37" s="137">
        <v>7.26</v>
      </c>
      <c r="F37" s="137" t="s">
        <v>935</v>
      </c>
      <c r="G37" s="137">
        <v>1.1000000000000001</v>
      </c>
      <c r="H37" s="137">
        <v>0</v>
      </c>
      <c r="I37" s="137">
        <v>0</v>
      </c>
      <c r="J37" s="137">
        <v>0</v>
      </c>
      <c r="K37" s="137" t="s">
        <v>193</v>
      </c>
      <c r="L37" s="137" t="s">
        <v>193</v>
      </c>
      <c r="M37" s="137" t="s">
        <v>193</v>
      </c>
      <c r="N37" s="137" t="s">
        <v>193</v>
      </c>
      <c r="O37" s="137" t="s">
        <v>193</v>
      </c>
      <c r="P37" s="137" t="s">
        <v>193</v>
      </c>
      <c r="Q37" s="137" t="s">
        <v>193</v>
      </c>
      <c r="R37" s="137" t="s">
        <v>193</v>
      </c>
      <c r="S37" s="137" t="s">
        <v>193</v>
      </c>
      <c r="T37" s="137" t="s">
        <v>193</v>
      </c>
      <c r="W37" s="12" t="str">
        <f t="shared" si="0"/>
        <v>Ja</v>
      </c>
      <c r="Y37" s="12" t="str">
        <f t="shared" si="1"/>
        <v>Nej</v>
      </c>
      <c r="Z37" s="12">
        <f t="shared" si="2"/>
        <v>0</v>
      </c>
      <c r="AA37" s="12">
        <f t="shared" si="3"/>
        <v>0</v>
      </c>
    </row>
    <row r="38" spans="1:27" ht="15" customHeight="1" x14ac:dyDescent="0.25">
      <c r="A38" s="137" t="s">
        <v>231</v>
      </c>
      <c r="B38" s="137" t="s">
        <v>234</v>
      </c>
      <c r="C38" s="137">
        <v>2018</v>
      </c>
      <c r="D38" s="137">
        <v>0.58399999999999996</v>
      </c>
      <c r="E38" s="137" t="s">
        <v>193</v>
      </c>
      <c r="F38" s="137" t="s">
        <v>935</v>
      </c>
      <c r="G38" s="137">
        <v>1.1000000000000001</v>
      </c>
      <c r="H38" s="137">
        <v>0</v>
      </c>
      <c r="I38" s="137">
        <v>0</v>
      </c>
      <c r="J38" s="137">
        <v>0</v>
      </c>
      <c r="K38" s="137" t="s">
        <v>193</v>
      </c>
      <c r="L38" s="137" t="s">
        <v>193</v>
      </c>
      <c r="M38" s="137" t="s">
        <v>193</v>
      </c>
      <c r="N38" s="137" t="s">
        <v>193</v>
      </c>
      <c r="O38" s="137" t="s">
        <v>193</v>
      </c>
      <c r="P38" s="137" t="s">
        <v>193</v>
      </c>
      <c r="Q38" s="137" t="s">
        <v>193</v>
      </c>
      <c r="R38" s="137" t="s">
        <v>193</v>
      </c>
      <c r="S38" s="137" t="s">
        <v>193</v>
      </c>
      <c r="T38" s="137" t="s">
        <v>193</v>
      </c>
      <c r="W38" s="12" t="str">
        <f t="shared" si="0"/>
        <v>Ja</v>
      </c>
      <c r="Y38" s="12" t="str">
        <f t="shared" si="1"/>
        <v>Nej</v>
      </c>
      <c r="Z38" s="12">
        <f t="shared" si="2"/>
        <v>0</v>
      </c>
      <c r="AA38" s="12">
        <f t="shared" si="3"/>
        <v>0</v>
      </c>
    </row>
    <row r="39" spans="1:27" ht="15" customHeight="1" x14ac:dyDescent="0.25">
      <c r="A39" s="137" t="s">
        <v>235</v>
      </c>
      <c r="B39" s="137" t="s">
        <v>236</v>
      </c>
      <c r="C39" s="137">
        <v>2018</v>
      </c>
      <c r="D39" s="137" t="s">
        <v>193</v>
      </c>
      <c r="E39" s="137" t="s">
        <v>193</v>
      </c>
      <c r="F39" s="137" t="s">
        <v>53</v>
      </c>
      <c r="G39" s="137">
        <v>2.2999999999999998</v>
      </c>
      <c r="H39" s="137">
        <v>329.19</v>
      </c>
      <c r="I39" s="137">
        <v>0.43</v>
      </c>
      <c r="J39" s="137">
        <v>0.40550000000000003</v>
      </c>
      <c r="K39" s="137" t="s">
        <v>193</v>
      </c>
      <c r="L39" s="137" t="s">
        <v>193</v>
      </c>
      <c r="M39" s="137" t="s">
        <v>193</v>
      </c>
      <c r="N39" s="137" t="s">
        <v>193</v>
      </c>
      <c r="O39" s="137" t="s">
        <v>193</v>
      </c>
      <c r="P39" s="137" t="s">
        <v>193</v>
      </c>
      <c r="Q39" s="137" t="s">
        <v>193</v>
      </c>
      <c r="R39" s="137" t="s">
        <v>193</v>
      </c>
      <c r="S39" s="137" t="s">
        <v>193</v>
      </c>
      <c r="T39" s="137" t="s">
        <v>193</v>
      </c>
      <c r="W39" s="12" t="str">
        <f t="shared" si="0"/>
        <v>Nej</v>
      </c>
      <c r="Y39" s="12" t="str">
        <f t="shared" si="1"/>
        <v>Nej</v>
      </c>
      <c r="Z39" s="12">
        <f t="shared" si="2"/>
        <v>0</v>
      </c>
      <c r="AA39" s="12">
        <f t="shared" si="3"/>
        <v>0</v>
      </c>
    </row>
    <row r="40" spans="1:27" ht="15" customHeight="1" x14ac:dyDescent="0.25">
      <c r="A40" s="137" t="s">
        <v>235</v>
      </c>
      <c r="B40" s="137" t="s">
        <v>237</v>
      </c>
      <c r="C40" s="137">
        <v>2018</v>
      </c>
      <c r="D40" s="137" t="s">
        <v>193</v>
      </c>
      <c r="E40" s="137" t="s">
        <v>193</v>
      </c>
      <c r="F40" s="137" t="s">
        <v>53</v>
      </c>
      <c r="G40" s="137">
        <v>2.2999999999999998</v>
      </c>
      <c r="H40" s="137">
        <v>329.19</v>
      </c>
      <c r="I40" s="137">
        <v>0.43</v>
      </c>
      <c r="J40" s="137">
        <v>0.40550000000000003</v>
      </c>
      <c r="K40" s="137" t="s">
        <v>193</v>
      </c>
      <c r="L40" s="137" t="s">
        <v>193</v>
      </c>
      <c r="M40" s="137" t="s">
        <v>193</v>
      </c>
      <c r="N40" s="137" t="s">
        <v>193</v>
      </c>
      <c r="O40" s="137" t="s">
        <v>193</v>
      </c>
      <c r="P40" s="137" t="s">
        <v>193</v>
      </c>
      <c r="Q40" s="137" t="s">
        <v>193</v>
      </c>
      <c r="R40" s="137" t="s">
        <v>193</v>
      </c>
      <c r="S40" s="137" t="s">
        <v>193</v>
      </c>
      <c r="T40" s="137" t="s">
        <v>193</v>
      </c>
      <c r="W40" s="12" t="str">
        <f t="shared" si="0"/>
        <v>Nej</v>
      </c>
      <c r="Y40" s="12" t="str">
        <f t="shared" si="1"/>
        <v>Nej</v>
      </c>
      <c r="Z40" s="12">
        <f t="shared" si="2"/>
        <v>0</v>
      </c>
      <c r="AA40" s="12">
        <f t="shared" si="3"/>
        <v>0</v>
      </c>
    </row>
    <row r="41" spans="1:27" ht="15" customHeight="1" x14ac:dyDescent="0.25">
      <c r="A41" s="137" t="s">
        <v>238</v>
      </c>
      <c r="B41" s="137" t="s">
        <v>239</v>
      </c>
      <c r="C41" s="137">
        <v>2018</v>
      </c>
      <c r="D41" s="137">
        <v>2.85</v>
      </c>
      <c r="E41" s="137">
        <v>8.9</v>
      </c>
      <c r="F41" s="137" t="s">
        <v>935</v>
      </c>
      <c r="G41" s="137">
        <v>1.1000000000000001</v>
      </c>
      <c r="H41" s="137">
        <v>0</v>
      </c>
      <c r="I41" s="137">
        <v>0</v>
      </c>
      <c r="J41" s="137">
        <v>0</v>
      </c>
      <c r="K41" s="137">
        <v>5.8289999999999997</v>
      </c>
      <c r="L41" s="137">
        <v>0.03</v>
      </c>
      <c r="M41" s="137">
        <v>8.9600000000000009</v>
      </c>
      <c r="N41" s="137">
        <v>6.92</v>
      </c>
      <c r="O41" s="137">
        <v>0</v>
      </c>
      <c r="P41" s="137">
        <v>64.605000000000004</v>
      </c>
      <c r="Q41" s="137">
        <v>0.03</v>
      </c>
      <c r="R41" s="137">
        <v>8.9600000000000009</v>
      </c>
      <c r="S41" s="137">
        <v>6.92</v>
      </c>
      <c r="T41" s="137">
        <v>0</v>
      </c>
      <c r="W41" s="12" t="str">
        <f t="shared" si="0"/>
        <v>Ja</v>
      </c>
      <c r="Y41" s="12" t="str">
        <f t="shared" si="1"/>
        <v>Ja</v>
      </c>
      <c r="Z41" s="12">
        <f t="shared" si="2"/>
        <v>5.8289999999999997</v>
      </c>
      <c r="AA41" s="12">
        <f t="shared" si="3"/>
        <v>0</v>
      </c>
    </row>
    <row r="42" spans="1:27" ht="15" customHeight="1" x14ac:dyDescent="0.25">
      <c r="A42" s="137" t="s">
        <v>238</v>
      </c>
      <c r="B42" s="137" t="s">
        <v>241</v>
      </c>
      <c r="C42" s="137">
        <v>2018</v>
      </c>
      <c r="D42" s="137">
        <v>6.4999999999999997E-3</v>
      </c>
      <c r="E42" s="137" t="s">
        <v>193</v>
      </c>
      <c r="F42" s="137" t="s">
        <v>935</v>
      </c>
      <c r="G42" s="137">
        <v>1.1000000000000001</v>
      </c>
      <c r="H42" s="137">
        <v>0</v>
      </c>
      <c r="I42" s="137">
        <v>0</v>
      </c>
      <c r="J42" s="137">
        <v>0</v>
      </c>
      <c r="K42" s="137" t="s">
        <v>193</v>
      </c>
      <c r="L42" s="137" t="s">
        <v>193</v>
      </c>
      <c r="M42" s="137" t="s">
        <v>193</v>
      </c>
      <c r="N42" s="137" t="s">
        <v>193</v>
      </c>
      <c r="O42" s="137" t="s">
        <v>193</v>
      </c>
      <c r="P42" s="137" t="s">
        <v>193</v>
      </c>
      <c r="Q42" s="137" t="s">
        <v>193</v>
      </c>
      <c r="R42" s="137" t="s">
        <v>193</v>
      </c>
      <c r="S42" s="137" t="s">
        <v>193</v>
      </c>
      <c r="T42" s="137" t="s">
        <v>193</v>
      </c>
      <c r="W42" s="12" t="str">
        <f t="shared" si="0"/>
        <v>Ja</v>
      </c>
      <c r="Y42" s="12" t="str">
        <f t="shared" si="1"/>
        <v>Nej</v>
      </c>
      <c r="Z42" s="12">
        <f t="shared" si="2"/>
        <v>0</v>
      </c>
      <c r="AA42" s="12">
        <f t="shared" si="3"/>
        <v>0</v>
      </c>
    </row>
    <row r="43" spans="1:27" ht="15" customHeight="1" x14ac:dyDescent="0.25">
      <c r="A43" s="137" t="s">
        <v>238</v>
      </c>
      <c r="B43" s="137" t="s">
        <v>242</v>
      </c>
      <c r="C43" s="137">
        <v>2018</v>
      </c>
      <c r="D43" s="137">
        <v>9.5000000000000001E-2</v>
      </c>
      <c r="E43" s="137" t="s">
        <v>193</v>
      </c>
      <c r="F43" s="137" t="s">
        <v>935</v>
      </c>
      <c r="G43" s="137">
        <v>1.1000000000000001</v>
      </c>
      <c r="H43" s="137">
        <v>0</v>
      </c>
      <c r="I43" s="137">
        <v>0</v>
      </c>
      <c r="J43" s="137">
        <v>0</v>
      </c>
      <c r="K43" s="137" t="s">
        <v>193</v>
      </c>
      <c r="L43" s="137" t="s">
        <v>193</v>
      </c>
      <c r="M43" s="137" t="s">
        <v>193</v>
      </c>
      <c r="N43" s="137" t="s">
        <v>193</v>
      </c>
      <c r="O43" s="137" t="s">
        <v>193</v>
      </c>
      <c r="P43" s="137" t="s">
        <v>193</v>
      </c>
      <c r="Q43" s="137" t="s">
        <v>193</v>
      </c>
      <c r="R43" s="137" t="s">
        <v>193</v>
      </c>
      <c r="S43" s="137" t="s">
        <v>193</v>
      </c>
      <c r="T43" s="137" t="s">
        <v>193</v>
      </c>
      <c r="W43" s="12" t="str">
        <f t="shared" si="0"/>
        <v>Ja</v>
      </c>
      <c r="Y43" s="12" t="str">
        <f t="shared" si="1"/>
        <v>Nej</v>
      </c>
      <c r="Z43" s="12">
        <f t="shared" si="2"/>
        <v>0</v>
      </c>
      <c r="AA43" s="12">
        <f t="shared" si="3"/>
        <v>0</v>
      </c>
    </row>
    <row r="44" spans="1:27" ht="15" customHeight="1" x14ac:dyDescent="0.25">
      <c r="A44" s="137" t="s">
        <v>243</v>
      </c>
      <c r="B44" s="137" t="s">
        <v>244</v>
      </c>
      <c r="C44" s="137">
        <v>2018</v>
      </c>
      <c r="D44" s="137">
        <v>5.1619999999999999</v>
      </c>
      <c r="E44" s="137">
        <v>31.053000000000001</v>
      </c>
      <c r="F44" s="137" t="s">
        <v>947</v>
      </c>
      <c r="G44" s="137">
        <v>1.05</v>
      </c>
      <c r="H44" s="137">
        <v>0</v>
      </c>
      <c r="I44" s="137">
        <v>0</v>
      </c>
      <c r="J44" s="137">
        <v>0</v>
      </c>
      <c r="K44" s="137" t="s">
        <v>193</v>
      </c>
      <c r="L44" s="137" t="s">
        <v>193</v>
      </c>
      <c r="M44" s="137" t="s">
        <v>193</v>
      </c>
      <c r="N44" s="137" t="s">
        <v>193</v>
      </c>
      <c r="O44" s="137" t="s">
        <v>193</v>
      </c>
      <c r="P44" s="137" t="s">
        <v>193</v>
      </c>
      <c r="Q44" s="137" t="s">
        <v>193</v>
      </c>
      <c r="R44" s="137" t="s">
        <v>193</v>
      </c>
      <c r="S44" s="137" t="s">
        <v>193</v>
      </c>
      <c r="T44" s="137" t="s">
        <v>193</v>
      </c>
      <c r="W44" s="12" t="str">
        <f t="shared" si="0"/>
        <v>Ja</v>
      </c>
      <c r="Y44" s="12" t="str">
        <f t="shared" si="1"/>
        <v>Nej</v>
      </c>
      <c r="Z44" s="12">
        <f t="shared" si="2"/>
        <v>0</v>
      </c>
      <c r="AA44" s="12">
        <f t="shared" si="3"/>
        <v>0</v>
      </c>
    </row>
    <row r="45" spans="1:27" ht="15" customHeight="1" x14ac:dyDescent="0.25">
      <c r="A45" s="137" t="s">
        <v>243</v>
      </c>
      <c r="B45" s="137" t="s">
        <v>245</v>
      </c>
      <c r="C45" s="137">
        <v>2018</v>
      </c>
      <c r="D45" s="137">
        <v>0.40100000000000002</v>
      </c>
      <c r="E45" s="137" t="s">
        <v>193</v>
      </c>
      <c r="F45" s="137" t="s">
        <v>947</v>
      </c>
      <c r="G45" s="137">
        <v>1.05</v>
      </c>
      <c r="H45" s="137">
        <v>0</v>
      </c>
      <c r="I45" s="137">
        <v>0</v>
      </c>
      <c r="J45" s="137">
        <v>0</v>
      </c>
      <c r="K45" s="137" t="s">
        <v>193</v>
      </c>
      <c r="L45" s="137" t="s">
        <v>193</v>
      </c>
      <c r="M45" s="137" t="s">
        <v>193</v>
      </c>
      <c r="N45" s="137" t="s">
        <v>193</v>
      </c>
      <c r="O45" s="137" t="s">
        <v>193</v>
      </c>
      <c r="P45" s="137" t="s">
        <v>193</v>
      </c>
      <c r="Q45" s="137" t="s">
        <v>193</v>
      </c>
      <c r="R45" s="137" t="s">
        <v>193</v>
      </c>
      <c r="S45" s="137" t="s">
        <v>193</v>
      </c>
      <c r="T45" s="137" t="s">
        <v>193</v>
      </c>
      <c r="W45" s="12" t="str">
        <f t="shared" si="0"/>
        <v>Ja</v>
      </c>
      <c r="Y45" s="12" t="str">
        <f t="shared" si="1"/>
        <v>Nej</v>
      </c>
      <c r="Z45" s="12">
        <f t="shared" si="2"/>
        <v>0</v>
      </c>
      <c r="AA45" s="12">
        <f t="shared" si="3"/>
        <v>0</v>
      </c>
    </row>
    <row r="46" spans="1:27" ht="15" customHeight="1" x14ac:dyDescent="0.25">
      <c r="A46" s="137" t="s">
        <v>246</v>
      </c>
      <c r="B46" s="137" t="s">
        <v>247</v>
      </c>
      <c r="C46" s="137">
        <v>2018</v>
      </c>
      <c r="D46" s="137" t="s">
        <v>53</v>
      </c>
      <c r="E46" s="137" t="s">
        <v>53</v>
      </c>
      <c r="F46" s="137" t="s">
        <v>53</v>
      </c>
      <c r="G46" s="137" t="s">
        <v>53</v>
      </c>
      <c r="H46" s="137" t="s">
        <v>53</v>
      </c>
      <c r="I46" s="137" t="s">
        <v>53</v>
      </c>
      <c r="J46" s="137" t="s">
        <v>53</v>
      </c>
      <c r="K46" s="137" t="s">
        <v>53</v>
      </c>
      <c r="L46" s="137" t="s">
        <v>53</v>
      </c>
      <c r="M46" s="137" t="s">
        <v>53</v>
      </c>
      <c r="N46" s="137" t="s">
        <v>53</v>
      </c>
      <c r="O46" s="137" t="s">
        <v>53</v>
      </c>
      <c r="P46" s="137" t="s">
        <v>53</v>
      </c>
      <c r="Q46" s="137" t="s">
        <v>53</v>
      </c>
      <c r="R46" s="137" t="s">
        <v>53</v>
      </c>
      <c r="S46" s="137" t="s">
        <v>53</v>
      </c>
      <c r="T46" s="137" t="s">
        <v>53</v>
      </c>
      <c r="W46" s="12" t="str">
        <f t="shared" si="0"/>
        <v>Nej</v>
      </c>
      <c r="Y46" s="12" t="str">
        <f t="shared" si="1"/>
        <v>Nej</v>
      </c>
      <c r="Z46" s="12">
        <f t="shared" si="2"/>
        <v>0</v>
      </c>
      <c r="AA46" s="12">
        <f t="shared" si="3"/>
        <v>0</v>
      </c>
    </row>
    <row r="47" spans="1:27" ht="15" customHeight="1" x14ac:dyDescent="0.25">
      <c r="A47" s="137" t="s">
        <v>248</v>
      </c>
      <c r="B47" s="137" t="s">
        <v>69</v>
      </c>
      <c r="C47" s="137">
        <v>2018</v>
      </c>
      <c r="D47" s="137" t="s">
        <v>193</v>
      </c>
      <c r="E47" s="137" t="s">
        <v>193</v>
      </c>
      <c r="F47" s="137" t="s">
        <v>53</v>
      </c>
      <c r="G47" s="137">
        <v>2.2999999999999998</v>
      </c>
      <c r="H47" s="137">
        <v>329.19</v>
      </c>
      <c r="I47" s="137">
        <v>0.43</v>
      </c>
      <c r="J47" s="137">
        <v>0.40550000000000003</v>
      </c>
      <c r="K47" s="137" t="s">
        <v>193</v>
      </c>
      <c r="L47" s="137" t="s">
        <v>193</v>
      </c>
      <c r="M47" s="137" t="s">
        <v>193</v>
      </c>
      <c r="N47" s="137" t="s">
        <v>193</v>
      </c>
      <c r="O47" s="137" t="s">
        <v>193</v>
      </c>
      <c r="P47" s="137" t="s">
        <v>193</v>
      </c>
      <c r="Q47" s="137" t="s">
        <v>193</v>
      </c>
      <c r="R47" s="137" t="s">
        <v>193</v>
      </c>
      <c r="S47" s="137" t="s">
        <v>193</v>
      </c>
      <c r="T47" s="137" t="s">
        <v>193</v>
      </c>
      <c r="W47" s="12" t="str">
        <f t="shared" si="0"/>
        <v>Nej</v>
      </c>
      <c r="Y47" s="12" t="str">
        <f t="shared" si="1"/>
        <v>Nej</v>
      </c>
      <c r="Z47" s="12">
        <f t="shared" si="2"/>
        <v>0</v>
      </c>
      <c r="AA47" s="12">
        <f t="shared" si="3"/>
        <v>0</v>
      </c>
    </row>
    <row r="48" spans="1:27" ht="15" customHeight="1" x14ac:dyDescent="0.25">
      <c r="A48" s="137" t="s">
        <v>249</v>
      </c>
      <c r="B48" s="137" t="s">
        <v>250</v>
      </c>
      <c r="C48" s="137">
        <v>2018</v>
      </c>
      <c r="D48" s="137">
        <v>0.13700000000000001</v>
      </c>
      <c r="E48" s="137" t="s">
        <v>193</v>
      </c>
      <c r="F48" s="137" t="s">
        <v>948</v>
      </c>
      <c r="G48" s="137">
        <v>0.18</v>
      </c>
      <c r="H48" s="137">
        <v>0</v>
      </c>
      <c r="I48" s="137">
        <v>0</v>
      </c>
      <c r="J48" s="137">
        <v>0</v>
      </c>
      <c r="K48" s="137" t="s">
        <v>193</v>
      </c>
      <c r="L48" s="137" t="s">
        <v>193</v>
      </c>
      <c r="M48" s="137" t="s">
        <v>193</v>
      </c>
      <c r="N48" s="137" t="s">
        <v>193</v>
      </c>
      <c r="O48" s="137" t="s">
        <v>193</v>
      </c>
      <c r="P48" s="137" t="s">
        <v>193</v>
      </c>
      <c r="Q48" s="137" t="s">
        <v>193</v>
      </c>
      <c r="R48" s="137" t="s">
        <v>193</v>
      </c>
      <c r="S48" s="137" t="s">
        <v>193</v>
      </c>
      <c r="T48" s="137" t="s">
        <v>193</v>
      </c>
      <c r="W48" s="12" t="str">
        <f t="shared" si="0"/>
        <v>Ja</v>
      </c>
      <c r="Y48" s="12" t="str">
        <f t="shared" si="1"/>
        <v>Nej</v>
      </c>
      <c r="Z48" s="12">
        <f t="shared" si="2"/>
        <v>0</v>
      </c>
      <c r="AA48" s="12">
        <f t="shared" si="3"/>
        <v>0</v>
      </c>
    </row>
    <row r="49" spans="1:27" ht="15" customHeight="1" x14ac:dyDescent="0.25">
      <c r="A49" s="137" t="s">
        <v>249</v>
      </c>
      <c r="B49" s="137" t="s">
        <v>251</v>
      </c>
      <c r="C49" s="137">
        <v>2018</v>
      </c>
      <c r="D49" s="137">
        <v>0.61099999999999999</v>
      </c>
      <c r="E49" s="137">
        <v>17.962</v>
      </c>
      <c r="F49" s="137" t="s">
        <v>949</v>
      </c>
      <c r="G49" s="137">
        <v>0.18</v>
      </c>
      <c r="H49" s="137">
        <v>0</v>
      </c>
      <c r="I49" s="137">
        <v>0</v>
      </c>
      <c r="J49" s="137">
        <v>0</v>
      </c>
      <c r="K49" s="137" t="s">
        <v>193</v>
      </c>
      <c r="L49" s="137" t="s">
        <v>193</v>
      </c>
      <c r="M49" s="137" t="s">
        <v>193</v>
      </c>
      <c r="N49" s="137" t="s">
        <v>193</v>
      </c>
      <c r="O49" s="137" t="s">
        <v>193</v>
      </c>
      <c r="P49" s="137" t="s">
        <v>193</v>
      </c>
      <c r="Q49" s="137" t="s">
        <v>193</v>
      </c>
      <c r="R49" s="137" t="s">
        <v>193</v>
      </c>
      <c r="S49" s="137" t="s">
        <v>193</v>
      </c>
      <c r="T49" s="137" t="s">
        <v>193</v>
      </c>
      <c r="W49" s="12" t="str">
        <f t="shared" si="0"/>
        <v>Ja</v>
      </c>
      <c r="Y49" s="12" t="str">
        <f t="shared" si="1"/>
        <v>Nej</v>
      </c>
      <c r="Z49" s="12">
        <f t="shared" si="2"/>
        <v>0</v>
      </c>
      <c r="AA49" s="12">
        <f t="shared" si="3"/>
        <v>0</v>
      </c>
    </row>
    <row r="50" spans="1:27" ht="15" customHeight="1" x14ac:dyDescent="0.25">
      <c r="A50" s="137" t="s">
        <v>253</v>
      </c>
      <c r="B50" s="137" t="s">
        <v>254</v>
      </c>
      <c r="C50" s="137">
        <v>2018</v>
      </c>
      <c r="D50" s="137">
        <v>3.1E-2</v>
      </c>
      <c r="E50" s="137" t="s">
        <v>193</v>
      </c>
      <c r="F50" s="137" t="s">
        <v>950</v>
      </c>
      <c r="G50" s="137">
        <v>1.1000000000000001</v>
      </c>
      <c r="H50" s="137">
        <v>0</v>
      </c>
      <c r="I50" s="137">
        <v>0</v>
      </c>
      <c r="J50" s="137">
        <v>0</v>
      </c>
      <c r="K50" s="137" t="s">
        <v>193</v>
      </c>
      <c r="L50" s="137" t="s">
        <v>193</v>
      </c>
      <c r="M50" s="137" t="s">
        <v>193</v>
      </c>
      <c r="N50" s="137" t="s">
        <v>193</v>
      </c>
      <c r="O50" s="137" t="s">
        <v>193</v>
      </c>
      <c r="P50" s="137" t="s">
        <v>193</v>
      </c>
      <c r="Q50" s="137" t="s">
        <v>193</v>
      </c>
      <c r="R50" s="137" t="s">
        <v>193</v>
      </c>
      <c r="S50" s="137" t="s">
        <v>193</v>
      </c>
      <c r="T50" s="137" t="s">
        <v>193</v>
      </c>
      <c r="W50" s="12" t="str">
        <f t="shared" si="0"/>
        <v>Ja</v>
      </c>
      <c r="Y50" s="12" t="str">
        <f t="shared" si="1"/>
        <v>Nej</v>
      </c>
      <c r="Z50" s="12">
        <f t="shared" si="2"/>
        <v>0</v>
      </c>
      <c r="AA50" s="12">
        <f t="shared" si="3"/>
        <v>0</v>
      </c>
    </row>
    <row r="51" spans="1:27" ht="15" customHeight="1" x14ac:dyDescent="0.25">
      <c r="A51" s="137" t="s">
        <v>253</v>
      </c>
      <c r="B51" s="137" t="s">
        <v>256</v>
      </c>
      <c r="C51" s="137">
        <v>2018</v>
      </c>
      <c r="D51" s="137">
        <v>1.173</v>
      </c>
      <c r="E51" s="137" t="s">
        <v>193</v>
      </c>
      <c r="F51" s="137" t="s">
        <v>951</v>
      </c>
      <c r="G51" s="137">
        <v>1.1000000000000001</v>
      </c>
      <c r="H51" s="137">
        <v>0</v>
      </c>
      <c r="I51" s="137">
        <v>0</v>
      </c>
      <c r="J51" s="137">
        <v>0</v>
      </c>
      <c r="K51" s="137" t="s">
        <v>193</v>
      </c>
      <c r="L51" s="137" t="s">
        <v>193</v>
      </c>
      <c r="M51" s="137" t="s">
        <v>193</v>
      </c>
      <c r="N51" s="137" t="s">
        <v>193</v>
      </c>
      <c r="O51" s="137" t="s">
        <v>193</v>
      </c>
      <c r="P51" s="137" t="s">
        <v>193</v>
      </c>
      <c r="Q51" s="137" t="s">
        <v>193</v>
      </c>
      <c r="R51" s="137" t="s">
        <v>193</v>
      </c>
      <c r="S51" s="137" t="s">
        <v>193</v>
      </c>
      <c r="T51" s="137" t="s">
        <v>193</v>
      </c>
      <c r="W51" s="12" t="str">
        <f t="shared" si="0"/>
        <v>Ja</v>
      </c>
      <c r="Y51" s="12" t="str">
        <f t="shared" si="1"/>
        <v>Nej</v>
      </c>
      <c r="Z51" s="12">
        <f t="shared" si="2"/>
        <v>0</v>
      </c>
      <c r="AA51" s="12">
        <f t="shared" si="3"/>
        <v>0</v>
      </c>
    </row>
    <row r="52" spans="1:27" ht="15" customHeight="1" x14ac:dyDescent="0.25">
      <c r="A52" s="137" t="s">
        <v>258</v>
      </c>
      <c r="B52" s="137" t="s">
        <v>259</v>
      </c>
      <c r="C52" s="137">
        <v>2018</v>
      </c>
      <c r="D52" s="137">
        <v>0.69099999999999995</v>
      </c>
      <c r="E52" s="137" t="s">
        <v>193</v>
      </c>
      <c r="F52" s="137" t="s">
        <v>935</v>
      </c>
      <c r="G52" s="137">
        <v>1.1000000000000001</v>
      </c>
      <c r="H52" s="137">
        <v>0</v>
      </c>
      <c r="I52" s="137">
        <v>0</v>
      </c>
      <c r="J52" s="137">
        <v>0</v>
      </c>
      <c r="K52" s="137" t="s">
        <v>193</v>
      </c>
      <c r="L52" s="137" t="s">
        <v>193</v>
      </c>
      <c r="M52" s="137" t="s">
        <v>193</v>
      </c>
      <c r="N52" s="137" t="s">
        <v>193</v>
      </c>
      <c r="O52" s="137" t="s">
        <v>193</v>
      </c>
      <c r="P52" s="137" t="s">
        <v>193</v>
      </c>
      <c r="Q52" s="137" t="s">
        <v>193</v>
      </c>
      <c r="R52" s="137" t="s">
        <v>193</v>
      </c>
      <c r="S52" s="137" t="s">
        <v>193</v>
      </c>
      <c r="T52" s="137" t="s">
        <v>193</v>
      </c>
      <c r="W52" s="12" t="str">
        <f t="shared" si="0"/>
        <v>Ja</v>
      </c>
      <c r="Y52" s="12" t="str">
        <f t="shared" si="1"/>
        <v>Nej</v>
      </c>
      <c r="Z52" s="12">
        <f t="shared" si="2"/>
        <v>0</v>
      </c>
      <c r="AA52" s="12">
        <f t="shared" si="3"/>
        <v>0</v>
      </c>
    </row>
    <row r="53" spans="1:27" ht="15" customHeight="1" x14ac:dyDescent="0.25">
      <c r="A53" s="137" t="s">
        <v>258</v>
      </c>
      <c r="B53" s="137" t="s">
        <v>260</v>
      </c>
      <c r="C53" s="137">
        <v>2018</v>
      </c>
      <c r="D53" s="137" t="s">
        <v>53</v>
      </c>
      <c r="E53" s="137" t="s">
        <v>53</v>
      </c>
      <c r="F53" s="137" t="s">
        <v>53</v>
      </c>
      <c r="G53" s="137" t="s">
        <v>53</v>
      </c>
      <c r="H53" s="137" t="s">
        <v>53</v>
      </c>
      <c r="I53" s="137" t="s">
        <v>53</v>
      </c>
      <c r="J53" s="137" t="s">
        <v>53</v>
      </c>
      <c r="K53" s="137" t="s">
        <v>53</v>
      </c>
      <c r="L53" s="137" t="s">
        <v>53</v>
      </c>
      <c r="M53" s="137" t="s">
        <v>53</v>
      </c>
      <c r="N53" s="137" t="s">
        <v>53</v>
      </c>
      <c r="O53" s="137" t="s">
        <v>53</v>
      </c>
      <c r="P53" s="137" t="s">
        <v>53</v>
      </c>
      <c r="Q53" s="137" t="s">
        <v>53</v>
      </c>
      <c r="R53" s="137" t="s">
        <v>53</v>
      </c>
      <c r="S53" s="137" t="s">
        <v>53</v>
      </c>
      <c r="T53" s="137" t="s">
        <v>53</v>
      </c>
      <c r="W53" s="12" t="str">
        <f t="shared" si="0"/>
        <v>Nej</v>
      </c>
      <c r="Y53" s="12" t="str">
        <f t="shared" si="1"/>
        <v>Nej</v>
      </c>
      <c r="Z53" s="12">
        <f t="shared" si="2"/>
        <v>0</v>
      </c>
      <c r="AA53" s="12">
        <f t="shared" si="3"/>
        <v>0</v>
      </c>
    </row>
    <row r="54" spans="1:27" ht="15" customHeight="1" x14ac:dyDescent="0.25">
      <c r="A54" s="137" t="s">
        <v>258</v>
      </c>
      <c r="B54" s="137" t="s">
        <v>261</v>
      </c>
      <c r="C54" s="137">
        <v>2018</v>
      </c>
      <c r="D54" s="137">
        <v>4.5999999999999999E-2</v>
      </c>
      <c r="E54" s="137" t="s">
        <v>193</v>
      </c>
      <c r="F54" s="137" t="s">
        <v>935</v>
      </c>
      <c r="G54" s="137">
        <v>1.1000000000000001</v>
      </c>
      <c r="H54" s="137">
        <v>0</v>
      </c>
      <c r="I54" s="137">
        <v>0</v>
      </c>
      <c r="J54" s="137">
        <v>0</v>
      </c>
      <c r="K54" s="137" t="s">
        <v>193</v>
      </c>
      <c r="L54" s="137" t="s">
        <v>193</v>
      </c>
      <c r="M54" s="137" t="s">
        <v>193</v>
      </c>
      <c r="N54" s="137" t="s">
        <v>193</v>
      </c>
      <c r="O54" s="137" t="s">
        <v>193</v>
      </c>
      <c r="P54" s="137" t="s">
        <v>193</v>
      </c>
      <c r="Q54" s="137" t="s">
        <v>193</v>
      </c>
      <c r="R54" s="137" t="s">
        <v>193</v>
      </c>
      <c r="S54" s="137" t="s">
        <v>193</v>
      </c>
      <c r="T54" s="137" t="s">
        <v>193</v>
      </c>
      <c r="W54" s="12" t="str">
        <f t="shared" si="0"/>
        <v>Ja</v>
      </c>
      <c r="Y54" s="12" t="str">
        <f t="shared" si="1"/>
        <v>Nej</v>
      </c>
      <c r="Z54" s="12">
        <f t="shared" si="2"/>
        <v>0</v>
      </c>
      <c r="AA54" s="12">
        <f t="shared" si="3"/>
        <v>0</v>
      </c>
    </row>
    <row r="55" spans="1:27" ht="15" customHeight="1" x14ac:dyDescent="0.25">
      <c r="A55" s="137" t="s">
        <v>258</v>
      </c>
      <c r="B55" s="137" t="s">
        <v>262</v>
      </c>
      <c r="C55" s="137">
        <v>2018</v>
      </c>
      <c r="D55" s="137" t="s">
        <v>193</v>
      </c>
      <c r="E55" s="137" t="s">
        <v>193</v>
      </c>
      <c r="F55" s="137" t="s">
        <v>935</v>
      </c>
      <c r="G55" s="137">
        <v>1.1000000000000001</v>
      </c>
      <c r="H55" s="137">
        <v>0</v>
      </c>
      <c r="I55" s="137">
        <v>0</v>
      </c>
      <c r="J55" s="137">
        <v>0</v>
      </c>
      <c r="K55" s="137" t="s">
        <v>193</v>
      </c>
      <c r="L55" s="137" t="s">
        <v>193</v>
      </c>
      <c r="M55" s="137" t="s">
        <v>193</v>
      </c>
      <c r="N55" s="137" t="s">
        <v>193</v>
      </c>
      <c r="O55" s="137" t="s">
        <v>193</v>
      </c>
      <c r="P55" s="137" t="s">
        <v>193</v>
      </c>
      <c r="Q55" s="137" t="s">
        <v>193</v>
      </c>
      <c r="R55" s="137" t="s">
        <v>193</v>
      </c>
      <c r="S55" s="137" t="s">
        <v>193</v>
      </c>
      <c r="T55" s="137" t="s">
        <v>193</v>
      </c>
      <c r="W55" s="12" t="str">
        <f t="shared" si="0"/>
        <v>Ja</v>
      </c>
      <c r="Y55" s="12" t="str">
        <f t="shared" si="1"/>
        <v>Nej</v>
      </c>
      <c r="Z55" s="12">
        <f t="shared" si="2"/>
        <v>0</v>
      </c>
      <c r="AA55" s="12">
        <f t="shared" si="3"/>
        <v>0</v>
      </c>
    </row>
    <row r="56" spans="1:27" ht="15" customHeight="1" x14ac:dyDescent="0.25">
      <c r="A56" s="137" t="s">
        <v>263</v>
      </c>
      <c r="B56" s="137" t="s">
        <v>264</v>
      </c>
      <c r="C56" s="137">
        <v>2018</v>
      </c>
      <c r="D56" s="137">
        <v>0.93589999999999995</v>
      </c>
      <c r="E56" s="137" t="s">
        <v>193</v>
      </c>
      <c r="F56" s="137" t="s">
        <v>53</v>
      </c>
      <c r="G56" s="137">
        <v>2.2999999999999998</v>
      </c>
      <c r="H56" s="137">
        <v>329.19</v>
      </c>
      <c r="I56" s="137">
        <v>0.43</v>
      </c>
      <c r="J56" s="137">
        <v>0.40550000000000003</v>
      </c>
      <c r="K56" s="137" t="s">
        <v>193</v>
      </c>
      <c r="L56" s="137" t="s">
        <v>193</v>
      </c>
      <c r="M56" s="137" t="s">
        <v>193</v>
      </c>
      <c r="N56" s="137" t="s">
        <v>193</v>
      </c>
      <c r="O56" s="137" t="s">
        <v>193</v>
      </c>
      <c r="P56" s="137" t="s">
        <v>193</v>
      </c>
      <c r="Q56" s="137" t="s">
        <v>193</v>
      </c>
      <c r="R56" s="137" t="s">
        <v>193</v>
      </c>
      <c r="S56" s="137" t="s">
        <v>193</v>
      </c>
      <c r="T56" s="137" t="s">
        <v>193</v>
      </c>
      <c r="W56" s="12" t="str">
        <f t="shared" si="0"/>
        <v>Nej</v>
      </c>
      <c r="Y56" s="12" t="str">
        <f t="shared" si="1"/>
        <v>Nej</v>
      </c>
      <c r="Z56" s="12">
        <f t="shared" si="2"/>
        <v>0</v>
      </c>
      <c r="AA56" s="12">
        <f t="shared" si="3"/>
        <v>0</v>
      </c>
    </row>
    <row r="57" spans="1:27" ht="15" customHeight="1" x14ac:dyDescent="0.25">
      <c r="A57" s="137" t="s">
        <v>263</v>
      </c>
      <c r="B57" s="137" t="s">
        <v>265</v>
      </c>
      <c r="C57" s="137">
        <v>2018</v>
      </c>
      <c r="D57" s="137">
        <v>0.96699999999999997</v>
      </c>
      <c r="E57" s="137" t="s">
        <v>193</v>
      </c>
      <c r="F57" s="137" t="s">
        <v>53</v>
      </c>
      <c r="G57" s="137">
        <v>2.2999999999999998</v>
      </c>
      <c r="H57" s="137">
        <v>329.19</v>
      </c>
      <c r="I57" s="137">
        <v>0.43</v>
      </c>
      <c r="J57" s="137">
        <v>0.40550000000000003</v>
      </c>
      <c r="K57" s="137" t="s">
        <v>193</v>
      </c>
      <c r="L57" s="137" t="s">
        <v>193</v>
      </c>
      <c r="M57" s="137" t="s">
        <v>193</v>
      </c>
      <c r="N57" s="137" t="s">
        <v>193</v>
      </c>
      <c r="O57" s="137" t="s">
        <v>193</v>
      </c>
      <c r="P57" s="137" t="s">
        <v>193</v>
      </c>
      <c r="Q57" s="137" t="s">
        <v>193</v>
      </c>
      <c r="R57" s="137" t="s">
        <v>193</v>
      </c>
      <c r="S57" s="137" t="s">
        <v>193</v>
      </c>
      <c r="T57" s="137" t="s">
        <v>193</v>
      </c>
      <c r="W57" s="12" t="str">
        <f t="shared" si="0"/>
        <v>Nej</v>
      </c>
      <c r="Y57" s="12" t="str">
        <f t="shared" si="1"/>
        <v>Nej</v>
      </c>
      <c r="Z57" s="12">
        <f t="shared" si="2"/>
        <v>0</v>
      </c>
      <c r="AA57" s="12">
        <f t="shared" si="3"/>
        <v>0</v>
      </c>
    </row>
    <row r="58" spans="1:27" ht="15" customHeight="1" x14ac:dyDescent="0.25">
      <c r="A58" s="137" t="s">
        <v>263</v>
      </c>
      <c r="B58" s="137" t="s">
        <v>266</v>
      </c>
      <c r="C58" s="137">
        <v>2018</v>
      </c>
      <c r="D58" s="137" t="s">
        <v>193</v>
      </c>
      <c r="E58" s="137" t="s">
        <v>193</v>
      </c>
      <c r="F58" s="137" t="s">
        <v>53</v>
      </c>
      <c r="G58" s="137">
        <v>2.2999999999999998</v>
      </c>
      <c r="H58" s="137">
        <v>329.19</v>
      </c>
      <c r="I58" s="137">
        <v>0.43</v>
      </c>
      <c r="J58" s="137">
        <v>0.40550000000000003</v>
      </c>
      <c r="K58" s="137" t="s">
        <v>193</v>
      </c>
      <c r="L58" s="137" t="s">
        <v>193</v>
      </c>
      <c r="M58" s="137" t="s">
        <v>193</v>
      </c>
      <c r="N58" s="137" t="s">
        <v>193</v>
      </c>
      <c r="O58" s="137" t="s">
        <v>193</v>
      </c>
      <c r="P58" s="137" t="s">
        <v>193</v>
      </c>
      <c r="Q58" s="137" t="s">
        <v>193</v>
      </c>
      <c r="R58" s="137" t="s">
        <v>193</v>
      </c>
      <c r="S58" s="137" t="s">
        <v>193</v>
      </c>
      <c r="T58" s="137" t="s">
        <v>193</v>
      </c>
      <c r="W58" s="12" t="str">
        <f t="shared" si="0"/>
        <v>Nej</v>
      </c>
      <c r="Y58" s="12" t="str">
        <f t="shared" si="1"/>
        <v>Nej</v>
      </c>
      <c r="Z58" s="12">
        <f t="shared" si="2"/>
        <v>0</v>
      </c>
      <c r="AA58" s="12">
        <f t="shared" si="3"/>
        <v>0</v>
      </c>
    </row>
    <row r="59" spans="1:27" ht="15" customHeight="1" x14ac:dyDescent="0.25">
      <c r="A59" s="137" t="s">
        <v>263</v>
      </c>
      <c r="B59" s="137" t="s">
        <v>267</v>
      </c>
      <c r="C59" s="137">
        <v>2018</v>
      </c>
      <c r="D59" s="137">
        <v>17.7</v>
      </c>
      <c r="E59" s="137">
        <v>70.099999999999994</v>
      </c>
      <c r="F59" s="137" t="s">
        <v>952</v>
      </c>
      <c r="G59" s="137">
        <v>0.03</v>
      </c>
      <c r="H59" s="137">
        <v>0</v>
      </c>
      <c r="I59" s="137">
        <v>0</v>
      </c>
      <c r="J59" s="137">
        <v>0</v>
      </c>
      <c r="K59" s="137" t="s">
        <v>193</v>
      </c>
      <c r="L59" s="137" t="s">
        <v>193</v>
      </c>
      <c r="M59" s="137" t="s">
        <v>193</v>
      </c>
      <c r="N59" s="137" t="s">
        <v>193</v>
      </c>
      <c r="O59" s="137" t="s">
        <v>193</v>
      </c>
      <c r="P59" s="137" t="s">
        <v>193</v>
      </c>
      <c r="Q59" s="137" t="s">
        <v>193</v>
      </c>
      <c r="R59" s="137" t="s">
        <v>193</v>
      </c>
      <c r="S59" s="137" t="s">
        <v>193</v>
      </c>
      <c r="T59" s="137" t="s">
        <v>193</v>
      </c>
      <c r="W59" s="12" t="str">
        <f t="shared" si="0"/>
        <v>Ja</v>
      </c>
      <c r="Y59" s="12" t="str">
        <f t="shared" si="1"/>
        <v>Nej</v>
      </c>
      <c r="Z59" s="12">
        <f t="shared" si="2"/>
        <v>0</v>
      </c>
      <c r="AA59" s="12">
        <f t="shared" si="3"/>
        <v>0</v>
      </c>
    </row>
    <row r="60" spans="1:27" ht="15" customHeight="1" x14ac:dyDescent="0.25">
      <c r="A60" s="137" t="s">
        <v>263</v>
      </c>
      <c r="B60" s="137" t="s">
        <v>269</v>
      </c>
      <c r="C60" s="137">
        <v>2018</v>
      </c>
      <c r="D60" s="137">
        <v>4.5999999999999996</v>
      </c>
      <c r="E60" s="137" t="s">
        <v>193</v>
      </c>
      <c r="F60" s="137" t="s">
        <v>953</v>
      </c>
      <c r="G60" s="137">
        <v>0.03</v>
      </c>
      <c r="H60" s="137">
        <v>0</v>
      </c>
      <c r="I60" s="137">
        <v>0</v>
      </c>
      <c r="J60" s="137">
        <v>0</v>
      </c>
      <c r="K60" s="137">
        <v>60</v>
      </c>
      <c r="L60" s="137" t="s">
        <v>193</v>
      </c>
      <c r="M60" s="137" t="s">
        <v>193</v>
      </c>
      <c r="N60" s="137" t="s">
        <v>193</v>
      </c>
      <c r="O60" s="137" t="s">
        <v>193</v>
      </c>
      <c r="P60" s="137">
        <v>11</v>
      </c>
      <c r="Q60" s="137" t="s">
        <v>193</v>
      </c>
      <c r="R60" s="137" t="s">
        <v>193</v>
      </c>
      <c r="S60" s="137" t="s">
        <v>193</v>
      </c>
      <c r="T60" s="137" t="s">
        <v>193</v>
      </c>
      <c r="W60" s="12" t="str">
        <f t="shared" si="0"/>
        <v>Ja</v>
      </c>
      <c r="Y60" s="12" t="str">
        <f>IF(ISERROR(1/K60),"Nej","Ja")</f>
        <v>Ja</v>
      </c>
      <c r="Z60" s="12">
        <f t="shared" si="2"/>
        <v>60</v>
      </c>
      <c r="AA60" s="110" t="e">
        <f>IF(Y60="nej",0,O60/100)</f>
        <v>#VALUE!</v>
      </c>
    </row>
    <row r="61" spans="1:27" ht="15" customHeight="1" x14ac:dyDescent="0.25">
      <c r="A61" s="137" t="s">
        <v>263</v>
      </c>
      <c r="B61" s="137" t="s">
        <v>270</v>
      </c>
      <c r="C61" s="137">
        <v>2018</v>
      </c>
      <c r="D61" s="137">
        <v>0.5</v>
      </c>
      <c r="E61" s="137" t="s">
        <v>193</v>
      </c>
      <c r="F61" s="137" t="s">
        <v>53</v>
      </c>
      <c r="G61" s="137">
        <v>2.2999999999999998</v>
      </c>
      <c r="H61" s="137">
        <v>329.19</v>
      </c>
      <c r="I61" s="137">
        <v>0.43</v>
      </c>
      <c r="J61" s="137">
        <v>0.40550000000000003</v>
      </c>
      <c r="K61" s="137" t="s">
        <v>193</v>
      </c>
      <c r="L61" s="137" t="s">
        <v>193</v>
      </c>
      <c r="M61" s="137" t="s">
        <v>193</v>
      </c>
      <c r="N61" s="137" t="s">
        <v>193</v>
      </c>
      <c r="O61" s="137" t="s">
        <v>193</v>
      </c>
      <c r="P61" s="137" t="s">
        <v>193</v>
      </c>
      <c r="Q61" s="137" t="s">
        <v>193</v>
      </c>
      <c r="R61" s="137" t="s">
        <v>193</v>
      </c>
      <c r="S61" s="137" t="s">
        <v>193</v>
      </c>
      <c r="T61" s="137" t="s">
        <v>193</v>
      </c>
      <c r="W61" s="12" t="str">
        <f t="shared" si="0"/>
        <v>Nej</v>
      </c>
      <c r="Y61" s="12" t="str">
        <f t="shared" si="1"/>
        <v>Nej</v>
      </c>
      <c r="Z61" s="12">
        <f t="shared" si="2"/>
        <v>0</v>
      </c>
      <c r="AA61" s="12">
        <f t="shared" si="3"/>
        <v>0</v>
      </c>
    </row>
    <row r="62" spans="1:27" ht="15" customHeight="1" x14ac:dyDescent="0.25">
      <c r="A62" s="137" t="s">
        <v>263</v>
      </c>
      <c r="B62" s="137" t="s">
        <v>272</v>
      </c>
      <c r="C62" s="137">
        <v>2018</v>
      </c>
      <c r="D62" s="137">
        <v>22</v>
      </c>
      <c r="E62" s="137">
        <v>24</v>
      </c>
      <c r="F62" s="137" t="s">
        <v>954</v>
      </c>
      <c r="G62" s="137">
        <v>0.03</v>
      </c>
      <c r="H62" s="137">
        <v>0</v>
      </c>
      <c r="I62" s="137">
        <v>0</v>
      </c>
      <c r="J62" s="137">
        <v>0</v>
      </c>
      <c r="K62" s="137" t="s">
        <v>193</v>
      </c>
      <c r="L62" s="137" t="s">
        <v>193</v>
      </c>
      <c r="M62" s="137" t="s">
        <v>193</v>
      </c>
      <c r="N62" s="137" t="s">
        <v>193</v>
      </c>
      <c r="O62" s="137" t="s">
        <v>193</v>
      </c>
      <c r="P62" s="137" t="s">
        <v>193</v>
      </c>
      <c r="Q62" s="137" t="s">
        <v>193</v>
      </c>
      <c r="R62" s="137" t="s">
        <v>193</v>
      </c>
      <c r="S62" s="137" t="s">
        <v>193</v>
      </c>
      <c r="T62" s="137" t="s">
        <v>193</v>
      </c>
      <c r="W62" s="12" t="str">
        <f t="shared" si="0"/>
        <v>Ja</v>
      </c>
      <c r="Y62" s="12" t="str">
        <f t="shared" si="1"/>
        <v>Nej</v>
      </c>
      <c r="Z62" s="12">
        <f t="shared" si="2"/>
        <v>0</v>
      </c>
      <c r="AA62" s="12">
        <f t="shared" si="3"/>
        <v>0</v>
      </c>
    </row>
    <row r="63" spans="1:27" ht="15" customHeight="1" x14ac:dyDescent="0.25">
      <c r="A63" s="137" t="s">
        <v>263</v>
      </c>
      <c r="B63" s="137" t="s">
        <v>273</v>
      </c>
      <c r="C63" s="137">
        <v>2018</v>
      </c>
      <c r="D63" s="137">
        <v>5.6</v>
      </c>
      <c r="E63" s="137">
        <v>77.900000000000006</v>
      </c>
      <c r="F63" s="137" t="s">
        <v>952</v>
      </c>
      <c r="G63" s="137">
        <v>0</v>
      </c>
      <c r="H63" s="137">
        <v>0</v>
      </c>
      <c r="I63" s="137">
        <v>0</v>
      </c>
      <c r="J63" s="137">
        <v>0</v>
      </c>
      <c r="K63" s="137" t="s">
        <v>193</v>
      </c>
      <c r="L63" s="137" t="s">
        <v>193</v>
      </c>
      <c r="M63" s="137" t="s">
        <v>193</v>
      </c>
      <c r="N63" s="137" t="s">
        <v>193</v>
      </c>
      <c r="O63" s="137" t="s">
        <v>193</v>
      </c>
      <c r="P63" s="137" t="s">
        <v>193</v>
      </c>
      <c r="Q63" s="137" t="s">
        <v>193</v>
      </c>
      <c r="R63" s="137" t="s">
        <v>193</v>
      </c>
      <c r="S63" s="137" t="s">
        <v>193</v>
      </c>
      <c r="T63" s="137" t="s">
        <v>193</v>
      </c>
      <c r="W63" s="12" t="str">
        <f t="shared" si="0"/>
        <v>Ja</v>
      </c>
      <c r="Y63" s="12" t="str">
        <f t="shared" si="1"/>
        <v>Nej</v>
      </c>
      <c r="Z63" s="12">
        <f t="shared" si="2"/>
        <v>0</v>
      </c>
      <c r="AA63" s="12">
        <f t="shared" si="3"/>
        <v>0</v>
      </c>
    </row>
    <row r="64" spans="1:27" ht="15" customHeight="1" x14ac:dyDescent="0.25">
      <c r="A64" s="137" t="s">
        <v>263</v>
      </c>
      <c r="B64" s="137" t="s">
        <v>274</v>
      </c>
      <c r="C64" s="137">
        <v>2018</v>
      </c>
      <c r="D64" s="137">
        <v>2.2999999999999998</v>
      </c>
      <c r="E64" s="137" t="s">
        <v>193</v>
      </c>
      <c r="F64" s="137" t="s">
        <v>53</v>
      </c>
      <c r="G64" s="137">
        <v>2.2999999999999998</v>
      </c>
      <c r="H64" s="137">
        <v>329.19</v>
      </c>
      <c r="I64" s="137">
        <v>0.43</v>
      </c>
      <c r="J64" s="137">
        <v>0.40550000000000003</v>
      </c>
      <c r="K64" s="137" t="s">
        <v>193</v>
      </c>
      <c r="L64" s="137" t="s">
        <v>193</v>
      </c>
      <c r="M64" s="137" t="s">
        <v>193</v>
      </c>
      <c r="N64" s="137" t="s">
        <v>193</v>
      </c>
      <c r="O64" s="137" t="s">
        <v>193</v>
      </c>
      <c r="P64" s="137" t="s">
        <v>193</v>
      </c>
      <c r="Q64" s="137" t="s">
        <v>193</v>
      </c>
      <c r="R64" s="137" t="s">
        <v>193</v>
      </c>
      <c r="S64" s="137" t="s">
        <v>193</v>
      </c>
      <c r="T64" s="137" t="s">
        <v>193</v>
      </c>
      <c r="W64" s="12" t="str">
        <f t="shared" si="0"/>
        <v>Nej</v>
      </c>
      <c r="Y64" s="12" t="str">
        <f t="shared" si="1"/>
        <v>Nej</v>
      </c>
      <c r="Z64" s="12">
        <f t="shared" si="2"/>
        <v>0</v>
      </c>
      <c r="AA64" s="12">
        <f t="shared" si="3"/>
        <v>0</v>
      </c>
    </row>
    <row r="65" spans="1:27" ht="15" customHeight="1" x14ac:dyDescent="0.25">
      <c r="A65" s="137" t="s">
        <v>263</v>
      </c>
      <c r="B65" s="137" t="s">
        <v>275</v>
      </c>
      <c r="C65" s="137">
        <v>2018</v>
      </c>
      <c r="D65" s="137">
        <v>4.7</v>
      </c>
      <c r="E65" s="137" t="s">
        <v>193</v>
      </c>
      <c r="F65" s="137" t="s">
        <v>53</v>
      </c>
      <c r="G65" s="137">
        <v>2.2999999999999998</v>
      </c>
      <c r="H65" s="137">
        <v>329.19</v>
      </c>
      <c r="I65" s="137">
        <v>0.43</v>
      </c>
      <c r="J65" s="137">
        <v>0.40550000000000003</v>
      </c>
      <c r="K65" s="137" t="s">
        <v>193</v>
      </c>
      <c r="L65" s="137" t="s">
        <v>193</v>
      </c>
      <c r="M65" s="137" t="s">
        <v>193</v>
      </c>
      <c r="N65" s="137" t="s">
        <v>193</v>
      </c>
      <c r="O65" s="137" t="s">
        <v>193</v>
      </c>
      <c r="P65" s="137" t="s">
        <v>193</v>
      </c>
      <c r="Q65" s="137" t="s">
        <v>193</v>
      </c>
      <c r="R65" s="137" t="s">
        <v>193</v>
      </c>
      <c r="S65" s="137" t="s">
        <v>193</v>
      </c>
      <c r="T65" s="137" t="s">
        <v>193</v>
      </c>
      <c r="W65" s="12" t="str">
        <f t="shared" si="0"/>
        <v>Nej</v>
      </c>
      <c r="Y65" s="12" t="str">
        <f t="shared" si="1"/>
        <v>Nej</v>
      </c>
      <c r="Z65" s="12">
        <f t="shared" si="2"/>
        <v>0</v>
      </c>
      <c r="AA65" s="12">
        <f t="shared" si="3"/>
        <v>0</v>
      </c>
    </row>
    <row r="66" spans="1:27" ht="15" customHeight="1" x14ac:dyDescent="0.25">
      <c r="A66" s="137" t="s">
        <v>263</v>
      </c>
      <c r="B66" s="137" t="s">
        <v>276</v>
      </c>
      <c r="C66" s="137">
        <v>2018</v>
      </c>
      <c r="D66" s="137">
        <v>1.6</v>
      </c>
      <c r="E66" s="137" t="s">
        <v>193</v>
      </c>
      <c r="F66" s="137" t="s">
        <v>53</v>
      </c>
      <c r="G66" s="137">
        <v>2.2999999999999998</v>
      </c>
      <c r="H66" s="137">
        <v>329.19</v>
      </c>
      <c r="I66" s="137">
        <v>0.43</v>
      </c>
      <c r="J66" s="137">
        <v>0.40550000000000003</v>
      </c>
      <c r="K66" s="137" t="s">
        <v>193</v>
      </c>
      <c r="L66" s="137" t="s">
        <v>193</v>
      </c>
      <c r="M66" s="137" t="s">
        <v>193</v>
      </c>
      <c r="N66" s="137" t="s">
        <v>193</v>
      </c>
      <c r="O66" s="137" t="s">
        <v>193</v>
      </c>
      <c r="P66" s="137" t="s">
        <v>193</v>
      </c>
      <c r="Q66" s="137" t="s">
        <v>193</v>
      </c>
      <c r="R66" s="137" t="s">
        <v>193</v>
      </c>
      <c r="S66" s="137" t="s">
        <v>193</v>
      </c>
      <c r="T66" s="137" t="s">
        <v>193</v>
      </c>
      <c r="W66" s="12" t="str">
        <f t="shared" ref="W66:W129" si="4">IF(OR(AND(G66&lt;&gt;$AD$3,G66&lt;&gt;"-"),AND(H66&lt;&gt;$AD$4,H66&lt;&gt;"-"),AND(I66&lt;&gt;$AD$5,I66&lt;&gt;"-"),AND(J66&lt;&gt;$AD$6,J66&lt;&gt;"-")),"Ja","Nej")</f>
        <v>Nej</v>
      </c>
      <c r="Y66" s="12" t="str">
        <f t="shared" ref="Y66:Y129" si="5">IF(ISERROR(1/K66),"Nej","Ja")</f>
        <v>Nej</v>
      </c>
      <c r="Z66" s="12">
        <f t="shared" ref="Z66:Z129" si="6">IF(Y66="nej",0,K66)</f>
        <v>0</v>
      </c>
      <c r="AA66" s="12">
        <f t="shared" ref="AA66:AA129" si="7">IF(Y66="nej",0,O66/100)</f>
        <v>0</v>
      </c>
    </row>
    <row r="67" spans="1:27" ht="15" customHeight="1" x14ac:dyDescent="0.25">
      <c r="A67" s="137" t="s">
        <v>277</v>
      </c>
      <c r="B67" s="137" t="s">
        <v>277</v>
      </c>
      <c r="C67" s="137">
        <v>2018</v>
      </c>
      <c r="D67" s="137" t="s">
        <v>53</v>
      </c>
      <c r="E67" s="137" t="s">
        <v>53</v>
      </c>
      <c r="F67" s="137" t="s">
        <v>53</v>
      </c>
      <c r="G67" s="137" t="s">
        <v>53</v>
      </c>
      <c r="H67" s="137" t="s">
        <v>53</v>
      </c>
      <c r="I67" s="137" t="s">
        <v>53</v>
      </c>
      <c r="J67" s="137" t="s">
        <v>53</v>
      </c>
      <c r="K67" s="137" t="s">
        <v>53</v>
      </c>
      <c r="L67" s="137" t="s">
        <v>53</v>
      </c>
      <c r="M67" s="137" t="s">
        <v>53</v>
      </c>
      <c r="N67" s="137" t="s">
        <v>53</v>
      </c>
      <c r="O67" s="137" t="s">
        <v>53</v>
      </c>
      <c r="P67" s="137" t="s">
        <v>53</v>
      </c>
      <c r="Q67" s="137" t="s">
        <v>53</v>
      </c>
      <c r="R67" s="137" t="s">
        <v>53</v>
      </c>
      <c r="S67" s="137" t="s">
        <v>53</v>
      </c>
      <c r="T67" s="137" t="s">
        <v>53</v>
      </c>
      <c r="W67" s="12" t="str">
        <f t="shared" si="4"/>
        <v>Nej</v>
      </c>
      <c r="Y67" s="12" t="str">
        <f t="shared" si="5"/>
        <v>Nej</v>
      </c>
      <c r="Z67" s="12">
        <f t="shared" si="6"/>
        <v>0</v>
      </c>
      <c r="AA67" s="12">
        <f t="shared" si="7"/>
        <v>0</v>
      </c>
    </row>
    <row r="68" spans="1:27" ht="15" customHeight="1" x14ac:dyDescent="0.25">
      <c r="A68" s="137" t="s">
        <v>277</v>
      </c>
      <c r="B68" s="137" t="s">
        <v>278</v>
      </c>
      <c r="C68" s="137">
        <v>2018</v>
      </c>
      <c r="D68" s="137" t="s">
        <v>53</v>
      </c>
      <c r="E68" s="137" t="s">
        <v>53</v>
      </c>
      <c r="F68" s="137" t="s">
        <v>53</v>
      </c>
      <c r="G68" s="137" t="s">
        <v>53</v>
      </c>
      <c r="H68" s="137" t="s">
        <v>53</v>
      </c>
      <c r="I68" s="137" t="s">
        <v>53</v>
      </c>
      <c r="J68" s="137" t="s">
        <v>53</v>
      </c>
      <c r="K68" s="137" t="s">
        <v>53</v>
      </c>
      <c r="L68" s="137" t="s">
        <v>53</v>
      </c>
      <c r="M68" s="137" t="s">
        <v>53</v>
      </c>
      <c r="N68" s="137" t="s">
        <v>53</v>
      </c>
      <c r="O68" s="137" t="s">
        <v>53</v>
      </c>
      <c r="P68" s="137" t="s">
        <v>53</v>
      </c>
      <c r="Q68" s="137" t="s">
        <v>53</v>
      </c>
      <c r="R68" s="137" t="s">
        <v>53</v>
      </c>
      <c r="S68" s="137" t="s">
        <v>53</v>
      </c>
      <c r="T68" s="137" t="s">
        <v>53</v>
      </c>
      <c r="W68" s="12" t="str">
        <f t="shared" si="4"/>
        <v>Nej</v>
      </c>
      <c r="Y68" s="12" t="str">
        <f t="shared" si="5"/>
        <v>Nej</v>
      </c>
      <c r="Z68" s="12">
        <f t="shared" si="6"/>
        <v>0</v>
      </c>
      <c r="AA68" s="12">
        <f t="shared" si="7"/>
        <v>0</v>
      </c>
    </row>
    <row r="69" spans="1:27" ht="15" customHeight="1" x14ac:dyDescent="0.25">
      <c r="A69" s="137" t="s">
        <v>279</v>
      </c>
      <c r="B69" s="137" t="s">
        <v>280</v>
      </c>
      <c r="C69" s="137">
        <v>2018</v>
      </c>
      <c r="D69" s="137">
        <v>2.06</v>
      </c>
      <c r="E69" s="137">
        <v>5.25</v>
      </c>
      <c r="F69" s="137" t="s">
        <v>53</v>
      </c>
      <c r="G69" s="137">
        <v>2.2999999999999998</v>
      </c>
      <c r="H69" s="137">
        <v>329.19</v>
      </c>
      <c r="I69" s="137">
        <v>0.43</v>
      </c>
      <c r="J69" s="137">
        <v>0.40550000000000003</v>
      </c>
      <c r="K69" s="137" t="s">
        <v>193</v>
      </c>
      <c r="L69" s="137" t="s">
        <v>193</v>
      </c>
      <c r="M69" s="137" t="s">
        <v>193</v>
      </c>
      <c r="N69" s="137" t="s">
        <v>193</v>
      </c>
      <c r="O69" s="137" t="s">
        <v>193</v>
      </c>
      <c r="P69" s="137" t="s">
        <v>193</v>
      </c>
      <c r="Q69" s="137" t="s">
        <v>193</v>
      </c>
      <c r="R69" s="137" t="s">
        <v>193</v>
      </c>
      <c r="S69" s="137" t="s">
        <v>193</v>
      </c>
      <c r="T69" s="137" t="s">
        <v>193</v>
      </c>
      <c r="W69" s="12" t="str">
        <f t="shared" si="4"/>
        <v>Nej</v>
      </c>
      <c r="Y69" s="12" t="str">
        <f t="shared" si="5"/>
        <v>Nej</v>
      </c>
      <c r="Z69" s="12">
        <f t="shared" si="6"/>
        <v>0</v>
      </c>
      <c r="AA69" s="12">
        <f t="shared" si="7"/>
        <v>0</v>
      </c>
    </row>
    <row r="70" spans="1:27" ht="15" customHeight="1" x14ac:dyDescent="0.25">
      <c r="A70" s="137" t="s">
        <v>279</v>
      </c>
      <c r="B70" s="137" t="s">
        <v>281</v>
      </c>
      <c r="C70" s="137">
        <v>2018</v>
      </c>
      <c r="D70" s="137">
        <v>0.13</v>
      </c>
      <c r="E70" s="137" t="s">
        <v>193</v>
      </c>
      <c r="F70" s="137" t="s">
        <v>53</v>
      </c>
      <c r="G70" s="137">
        <v>2.2999999999999998</v>
      </c>
      <c r="H70" s="137">
        <v>329.19</v>
      </c>
      <c r="I70" s="137">
        <v>0.43</v>
      </c>
      <c r="J70" s="137">
        <v>0.40550000000000003</v>
      </c>
      <c r="K70" s="137" t="s">
        <v>193</v>
      </c>
      <c r="L70" s="137" t="s">
        <v>193</v>
      </c>
      <c r="M70" s="137" t="s">
        <v>193</v>
      </c>
      <c r="N70" s="137" t="s">
        <v>193</v>
      </c>
      <c r="O70" s="137" t="s">
        <v>193</v>
      </c>
      <c r="P70" s="137" t="s">
        <v>193</v>
      </c>
      <c r="Q70" s="137" t="s">
        <v>193</v>
      </c>
      <c r="R70" s="137" t="s">
        <v>193</v>
      </c>
      <c r="S70" s="137" t="s">
        <v>193</v>
      </c>
      <c r="T70" s="137" t="s">
        <v>193</v>
      </c>
      <c r="W70" s="12" t="str">
        <f t="shared" si="4"/>
        <v>Nej</v>
      </c>
      <c r="Y70" s="12" t="str">
        <f t="shared" si="5"/>
        <v>Nej</v>
      </c>
      <c r="Z70" s="12">
        <f t="shared" si="6"/>
        <v>0</v>
      </c>
      <c r="AA70" s="12">
        <f t="shared" si="7"/>
        <v>0</v>
      </c>
    </row>
    <row r="71" spans="1:27" ht="15" customHeight="1" x14ac:dyDescent="0.25">
      <c r="A71" s="137" t="s">
        <v>279</v>
      </c>
      <c r="B71" s="137" t="s">
        <v>282</v>
      </c>
      <c r="C71" s="137">
        <v>2018</v>
      </c>
      <c r="D71" s="137">
        <v>0.35</v>
      </c>
      <c r="E71" s="137" t="s">
        <v>193</v>
      </c>
      <c r="F71" s="137" t="s">
        <v>53</v>
      </c>
      <c r="G71" s="137">
        <v>2.2999999999999998</v>
      </c>
      <c r="H71" s="137">
        <v>329.19</v>
      </c>
      <c r="I71" s="137">
        <v>0.43</v>
      </c>
      <c r="J71" s="137">
        <v>0.40550000000000003</v>
      </c>
      <c r="K71" s="137" t="s">
        <v>193</v>
      </c>
      <c r="L71" s="137" t="s">
        <v>193</v>
      </c>
      <c r="M71" s="137" t="s">
        <v>193</v>
      </c>
      <c r="N71" s="137" t="s">
        <v>193</v>
      </c>
      <c r="O71" s="137" t="s">
        <v>193</v>
      </c>
      <c r="P71" s="137" t="s">
        <v>193</v>
      </c>
      <c r="Q71" s="137" t="s">
        <v>193</v>
      </c>
      <c r="R71" s="137" t="s">
        <v>193</v>
      </c>
      <c r="S71" s="137" t="s">
        <v>193</v>
      </c>
      <c r="T71" s="137" t="s">
        <v>193</v>
      </c>
      <c r="W71" s="12" t="str">
        <f t="shared" si="4"/>
        <v>Nej</v>
      </c>
      <c r="Y71" s="12" t="str">
        <f t="shared" si="5"/>
        <v>Nej</v>
      </c>
      <c r="Z71" s="12">
        <f t="shared" si="6"/>
        <v>0</v>
      </c>
      <c r="AA71" s="12">
        <f t="shared" si="7"/>
        <v>0</v>
      </c>
    </row>
    <row r="72" spans="1:27" ht="15" customHeight="1" x14ac:dyDescent="0.25">
      <c r="A72" s="137" t="s">
        <v>47</v>
      </c>
      <c r="B72" s="141" t="s">
        <v>48</v>
      </c>
      <c r="C72" s="137">
        <v>2018</v>
      </c>
      <c r="D72" s="137" t="s">
        <v>53</v>
      </c>
      <c r="E72" s="137" t="s">
        <v>53</v>
      </c>
      <c r="F72" s="137" t="s">
        <v>53</v>
      </c>
      <c r="G72" s="137" t="s">
        <v>53</v>
      </c>
      <c r="H72" s="137" t="s">
        <v>53</v>
      </c>
      <c r="I72" s="137" t="s">
        <v>53</v>
      </c>
      <c r="J72" s="137" t="s">
        <v>53</v>
      </c>
      <c r="K72" s="137" t="s">
        <v>53</v>
      </c>
      <c r="L72" s="137" t="s">
        <v>53</v>
      </c>
      <c r="M72" s="137" t="s">
        <v>53</v>
      </c>
      <c r="N72" s="137" t="s">
        <v>53</v>
      </c>
      <c r="O72" s="137" t="s">
        <v>53</v>
      </c>
      <c r="P72" s="137" t="s">
        <v>53</v>
      </c>
      <c r="Q72" s="137" t="s">
        <v>53</v>
      </c>
      <c r="R72" s="137" t="s">
        <v>53</v>
      </c>
      <c r="S72" s="137" t="s">
        <v>53</v>
      </c>
      <c r="T72" s="137" t="s">
        <v>53</v>
      </c>
      <c r="W72" s="12" t="str">
        <f t="shared" si="4"/>
        <v>Nej</v>
      </c>
      <c r="Y72" s="12" t="str">
        <f t="shared" si="5"/>
        <v>Nej</v>
      </c>
      <c r="Z72" s="12">
        <f t="shared" si="6"/>
        <v>0</v>
      </c>
      <c r="AA72" s="12">
        <f t="shared" si="7"/>
        <v>0</v>
      </c>
    </row>
    <row r="73" spans="1:27" ht="15" customHeight="1" x14ac:dyDescent="0.25">
      <c r="A73" s="137" t="s">
        <v>283</v>
      </c>
      <c r="B73" s="137" t="s">
        <v>284</v>
      </c>
      <c r="C73" s="137">
        <v>2018</v>
      </c>
      <c r="D73" s="137">
        <v>1.59</v>
      </c>
      <c r="E73" s="137">
        <v>0</v>
      </c>
      <c r="F73" s="137" t="s">
        <v>955</v>
      </c>
      <c r="G73" s="137">
        <v>1.1000000000000001</v>
      </c>
      <c r="H73" s="137">
        <v>0</v>
      </c>
      <c r="I73" s="137">
        <v>0</v>
      </c>
      <c r="J73" s="137">
        <v>0</v>
      </c>
      <c r="K73" s="137" t="s">
        <v>193</v>
      </c>
      <c r="L73" s="137" t="s">
        <v>193</v>
      </c>
      <c r="M73" s="137" t="s">
        <v>193</v>
      </c>
      <c r="N73" s="137" t="s">
        <v>193</v>
      </c>
      <c r="O73" s="137" t="s">
        <v>193</v>
      </c>
      <c r="P73" s="137" t="s">
        <v>193</v>
      </c>
      <c r="Q73" s="137" t="s">
        <v>193</v>
      </c>
      <c r="R73" s="137" t="s">
        <v>193</v>
      </c>
      <c r="S73" s="137" t="s">
        <v>193</v>
      </c>
      <c r="T73" s="137" t="s">
        <v>193</v>
      </c>
      <c r="W73" s="12" t="str">
        <f t="shared" si="4"/>
        <v>Ja</v>
      </c>
      <c r="Y73" s="12" t="str">
        <f t="shared" si="5"/>
        <v>Nej</v>
      </c>
      <c r="Z73" s="12">
        <f t="shared" si="6"/>
        <v>0</v>
      </c>
      <c r="AA73" s="12">
        <f t="shared" si="7"/>
        <v>0</v>
      </c>
    </row>
    <row r="74" spans="1:27" ht="15" customHeight="1" x14ac:dyDescent="0.25">
      <c r="A74" s="137" t="s">
        <v>285</v>
      </c>
      <c r="B74" s="137" t="s">
        <v>286</v>
      </c>
      <c r="C74" s="137">
        <v>2018</v>
      </c>
      <c r="D74" s="137">
        <v>8.6999999999999993</v>
      </c>
      <c r="E74" s="137">
        <v>9.6</v>
      </c>
      <c r="F74" s="137" t="s">
        <v>953</v>
      </c>
      <c r="G74" s="137">
        <v>0.05</v>
      </c>
      <c r="H74" s="137">
        <v>4.2</v>
      </c>
      <c r="I74" s="137">
        <v>0.5</v>
      </c>
      <c r="J74" s="137">
        <v>0</v>
      </c>
      <c r="K74" s="137" t="s">
        <v>193</v>
      </c>
      <c r="L74" s="137" t="s">
        <v>193</v>
      </c>
      <c r="M74" s="137" t="s">
        <v>193</v>
      </c>
      <c r="N74" s="137" t="s">
        <v>193</v>
      </c>
      <c r="O74" s="137" t="s">
        <v>193</v>
      </c>
      <c r="P74" s="137" t="s">
        <v>193</v>
      </c>
      <c r="Q74" s="137" t="s">
        <v>193</v>
      </c>
      <c r="R74" s="137" t="s">
        <v>193</v>
      </c>
      <c r="S74" s="137" t="s">
        <v>193</v>
      </c>
      <c r="T74" s="137" t="s">
        <v>193</v>
      </c>
      <c r="W74" s="12" t="str">
        <f t="shared" si="4"/>
        <v>Ja</v>
      </c>
      <c r="Y74" s="12" t="str">
        <f t="shared" si="5"/>
        <v>Nej</v>
      </c>
      <c r="Z74" s="12">
        <f t="shared" si="6"/>
        <v>0</v>
      </c>
      <c r="AA74" s="12">
        <f t="shared" si="7"/>
        <v>0</v>
      </c>
    </row>
    <row r="75" spans="1:27" ht="15" customHeight="1" x14ac:dyDescent="0.25">
      <c r="A75" s="137" t="s">
        <v>289</v>
      </c>
      <c r="B75" s="137" t="s">
        <v>290</v>
      </c>
      <c r="C75" s="137">
        <v>2018</v>
      </c>
      <c r="D75" s="137">
        <v>13.132999999999999</v>
      </c>
      <c r="E75" s="137">
        <v>21.01</v>
      </c>
      <c r="F75" s="137" t="s">
        <v>956</v>
      </c>
      <c r="G75" s="137">
        <v>0.03</v>
      </c>
      <c r="H75" s="137">
        <v>22</v>
      </c>
      <c r="I75" s="137">
        <v>0</v>
      </c>
      <c r="J75" s="137">
        <v>0</v>
      </c>
      <c r="K75" s="137" t="s">
        <v>193</v>
      </c>
      <c r="L75" s="137" t="s">
        <v>193</v>
      </c>
      <c r="M75" s="137" t="s">
        <v>193</v>
      </c>
      <c r="N75" s="137" t="s">
        <v>193</v>
      </c>
      <c r="O75" s="137" t="s">
        <v>193</v>
      </c>
      <c r="P75" s="137" t="s">
        <v>193</v>
      </c>
      <c r="Q75" s="137" t="s">
        <v>193</v>
      </c>
      <c r="R75" s="137" t="s">
        <v>193</v>
      </c>
      <c r="S75" s="137" t="s">
        <v>193</v>
      </c>
      <c r="T75" s="137" t="s">
        <v>193</v>
      </c>
      <c r="W75" s="12" t="str">
        <f t="shared" si="4"/>
        <v>Ja</v>
      </c>
      <c r="Y75" s="12" t="str">
        <f t="shared" si="5"/>
        <v>Nej</v>
      </c>
      <c r="Z75" s="12">
        <f t="shared" si="6"/>
        <v>0</v>
      </c>
      <c r="AA75" s="12">
        <f t="shared" si="7"/>
        <v>0</v>
      </c>
    </row>
    <row r="76" spans="1:27" ht="15" customHeight="1" x14ac:dyDescent="0.25">
      <c r="A76" s="137" t="s">
        <v>289</v>
      </c>
      <c r="B76" s="137" t="s">
        <v>291</v>
      </c>
      <c r="C76" s="137">
        <v>2018</v>
      </c>
      <c r="D76" s="137">
        <v>1.9E-2</v>
      </c>
      <c r="E76" s="137" t="s">
        <v>193</v>
      </c>
      <c r="F76" s="137" t="s">
        <v>956</v>
      </c>
      <c r="G76" s="137">
        <v>0.03</v>
      </c>
      <c r="H76" s="137">
        <v>22</v>
      </c>
      <c r="I76" s="137">
        <v>0</v>
      </c>
      <c r="J76" s="137">
        <v>0</v>
      </c>
      <c r="K76" s="137" t="s">
        <v>193</v>
      </c>
      <c r="L76" s="137" t="s">
        <v>193</v>
      </c>
      <c r="M76" s="137" t="s">
        <v>193</v>
      </c>
      <c r="N76" s="137" t="s">
        <v>193</v>
      </c>
      <c r="O76" s="137" t="s">
        <v>193</v>
      </c>
      <c r="P76" s="137" t="s">
        <v>193</v>
      </c>
      <c r="Q76" s="137" t="s">
        <v>193</v>
      </c>
      <c r="R76" s="137" t="s">
        <v>193</v>
      </c>
      <c r="S76" s="137" t="s">
        <v>193</v>
      </c>
      <c r="T76" s="137" t="s">
        <v>193</v>
      </c>
      <c r="W76" s="12" t="str">
        <f t="shared" si="4"/>
        <v>Ja</v>
      </c>
      <c r="Y76" s="12" t="str">
        <f t="shared" si="5"/>
        <v>Nej</v>
      </c>
      <c r="Z76" s="12">
        <f t="shared" si="6"/>
        <v>0</v>
      </c>
      <c r="AA76" s="12">
        <f t="shared" si="7"/>
        <v>0</v>
      </c>
    </row>
    <row r="77" spans="1:27" ht="15" customHeight="1" x14ac:dyDescent="0.25">
      <c r="A77" s="137" t="s">
        <v>289</v>
      </c>
      <c r="B77" s="137" t="s">
        <v>292</v>
      </c>
      <c r="C77" s="137">
        <v>2018</v>
      </c>
      <c r="D77" s="137">
        <v>0.125</v>
      </c>
      <c r="E77" s="137" t="s">
        <v>193</v>
      </c>
      <c r="F77" s="137" t="s">
        <v>956</v>
      </c>
      <c r="G77" s="137">
        <v>0.03</v>
      </c>
      <c r="H77" s="137">
        <v>22</v>
      </c>
      <c r="I77" s="137">
        <v>0</v>
      </c>
      <c r="J77" s="137">
        <v>0</v>
      </c>
      <c r="K77" s="137" t="s">
        <v>193</v>
      </c>
      <c r="L77" s="137" t="s">
        <v>193</v>
      </c>
      <c r="M77" s="137" t="s">
        <v>193</v>
      </c>
      <c r="N77" s="137" t="s">
        <v>193</v>
      </c>
      <c r="O77" s="137" t="s">
        <v>193</v>
      </c>
      <c r="P77" s="137" t="s">
        <v>193</v>
      </c>
      <c r="Q77" s="137" t="s">
        <v>193</v>
      </c>
      <c r="R77" s="137" t="s">
        <v>193</v>
      </c>
      <c r="S77" s="137" t="s">
        <v>193</v>
      </c>
      <c r="T77" s="137" t="s">
        <v>193</v>
      </c>
      <c r="W77" s="12" t="str">
        <f t="shared" si="4"/>
        <v>Ja</v>
      </c>
      <c r="Y77" s="12" t="str">
        <f t="shared" si="5"/>
        <v>Nej</v>
      </c>
      <c r="Z77" s="12">
        <f t="shared" si="6"/>
        <v>0</v>
      </c>
      <c r="AA77" s="12">
        <f t="shared" si="7"/>
        <v>0</v>
      </c>
    </row>
    <row r="78" spans="1:27" ht="15" customHeight="1" x14ac:dyDescent="0.25">
      <c r="A78" s="137" t="s">
        <v>293</v>
      </c>
      <c r="B78" s="137" t="s">
        <v>294</v>
      </c>
      <c r="C78" s="137">
        <v>2018</v>
      </c>
      <c r="D78" s="137">
        <v>2.48</v>
      </c>
      <c r="E78" s="137">
        <v>0.82</v>
      </c>
      <c r="F78" s="137" t="s">
        <v>957</v>
      </c>
      <c r="G78" s="137">
        <v>1.1000000000000001</v>
      </c>
      <c r="H78" s="137">
        <v>5</v>
      </c>
      <c r="I78" s="137">
        <v>0</v>
      </c>
      <c r="J78" s="137">
        <v>0</v>
      </c>
      <c r="K78" s="137" t="s">
        <v>193</v>
      </c>
      <c r="L78" s="137" t="s">
        <v>193</v>
      </c>
      <c r="M78" s="137" t="s">
        <v>193</v>
      </c>
      <c r="N78" s="137" t="s">
        <v>193</v>
      </c>
      <c r="O78" s="137" t="s">
        <v>193</v>
      </c>
      <c r="P78" s="137" t="s">
        <v>193</v>
      </c>
      <c r="Q78" s="137" t="s">
        <v>193</v>
      </c>
      <c r="R78" s="137" t="s">
        <v>193</v>
      </c>
      <c r="S78" s="137" t="s">
        <v>193</v>
      </c>
      <c r="T78" s="137" t="s">
        <v>193</v>
      </c>
      <c r="W78" s="12" t="str">
        <f t="shared" si="4"/>
        <v>Ja</v>
      </c>
      <c r="Y78" s="12" t="str">
        <f t="shared" si="5"/>
        <v>Nej</v>
      </c>
      <c r="Z78" s="12">
        <f t="shared" si="6"/>
        <v>0</v>
      </c>
      <c r="AA78" s="12">
        <f t="shared" si="7"/>
        <v>0</v>
      </c>
    </row>
    <row r="79" spans="1:27" ht="15" customHeight="1" x14ac:dyDescent="0.25">
      <c r="A79" s="137" t="s">
        <v>293</v>
      </c>
      <c r="B79" s="137" t="s">
        <v>295</v>
      </c>
      <c r="C79" s="137">
        <v>2018</v>
      </c>
      <c r="D79" s="137">
        <v>0.12</v>
      </c>
      <c r="E79" s="137" t="s">
        <v>193</v>
      </c>
      <c r="F79" s="137" t="s">
        <v>957</v>
      </c>
      <c r="G79" s="137">
        <v>1.1000000000000001</v>
      </c>
      <c r="H79" s="137">
        <v>5</v>
      </c>
      <c r="I79" s="137">
        <v>0</v>
      </c>
      <c r="J79" s="137">
        <v>0</v>
      </c>
      <c r="K79" s="137" t="s">
        <v>193</v>
      </c>
      <c r="L79" s="137" t="s">
        <v>193</v>
      </c>
      <c r="M79" s="137" t="s">
        <v>193</v>
      </c>
      <c r="N79" s="137" t="s">
        <v>193</v>
      </c>
      <c r="O79" s="137" t="s">
        <v>193</v>
      </c>
      <c r="P79" s="137" t="s">
        <v>193</v>
      </c>
      <c r="Q79" s="137" t="s">
        <v>193</v>
      </c>
      <c r="R79" s="137" t="s">
        <v>193</v>
      </c>
      <c r="S79" s="137" t="s">
        <v>193</v>
      </c>
      <c r="T79" s="137" t="s">
        <v>193</v>
      </c>
      <c r="W79" s="12" t="str">
        <f t="shared" si="4"/>
        <v>Ja</v>
      </c>
      <c r="Y79" s="12" t="str">
        <f t="shared" si="5"/>
        <v>Nej</v>
      </c>
      <c r="Z79" s="12">
        <f t="shared" si="6"/>
        <v>0</v>
      </c>
      <c r="AA79" s="12">
        <f t="shared" si="7"/>
        <v>0</v>
      </c>
    </row>
    <row r="80" spans="1:27" ht="15" customHeight="1" x14ac:dyDescent="0.25">
      <c r="A80" s="137" t="s">
        <v>293</v>
      </c>
      <c r="B80" s="137" t="s">
        <v>296</v>
      </c>
      <c r="C80" s="137">
        <v>2018</v>
      </c>
      <c r="D80" s="137">
        <v>0.56000000000000005</v>
      </c>
      <c r="E80" s="137" t="s">
        <v>193</v>
      </c>
      <c r="F80" s="137" t="s">
        <v>957</v>
      </c>
      <c r="G80" s="137">
        <v>1.1000000000000001</v>
      </c>
      <c r="H80" s="137">
        <v>5</v>
      </c>
      <c r="I80" s="137">
        <v>0</v>
      </c>
      <c r="J80" s="137">
        <v>0</v>
      </c>
      <c r="K80" s="137" t="s">
        <v>193</v>
      </c>
      <c r="L80" s="137" t="s">
        <v>193</v>
      </c>
      <c r="M80" s="137" t="s">
        <v>193</v>
      </c>
      <c r="N80" s="137" t="s">
        <v>193</v>
      </c>
      <c r="O80" s="137" t="s">
        <v>193</v>
      </c>
      <c r="P80" s="137" t="s">
        <v>193</v>
      </c>
      <c r="Q80" s="137" t="s">
        <v>193</v>
      </c>
      <c r="R80" s="137" t="s">
        <v>193</v>
      </c>
      <c r="S80" s="137" t="s">
        <v>193</v>
      </c>
      <c r="T80" s="137" t="s">
        <v>193</v>
      </c>
      <c r="W80" s="12" t="str">
        <f t="shared" si="4"/>
        <v>Ja</v>
      </c>
      <c r="Y80" s="12" t="str">
        <f t="shared" si="5"/>
        <v>Nej</v>
      </c>
      <c r="Z80" s="12">
        <f t="shared" si="6"/>
        <v>0</v>
      </c>
      <c r="AA80" s="12">
        <f t="shared" si="7"/>
        <v>0</v>
      </c>
    </row>
    <row r="81" spans="1:27" ht="15" customHeight="1" x14ac:dyDescent="0.25">
      <c r="A81" s="137" t="s">
        <v>297</v>
      </c>
      <c r="B81" s="137" t="s">
        <v>298</v>
      </c>
      <c r="C81" s="137">
        <v>2018</v>
      </c>
      <c r="D81" s="137">
        <v>1.7230000000000001</v>
      </c>
      <c r="E81" s="137" t="s">
        <v>193</v>
      </c>
      <c r="F81" s="137" t="s">
        <v>958</v>
      </c>
      <c r="G81" s="137">
        <v>0.82</v>
      </c>
      <c r="H81" s="137">
        <v>0</v>
      </c>
      <c r="I81" s="137">
        <v>0</v>
      </c>
      <c r="J81" s="137">
        <v>0</v>
      </c>
      <c r="K81" s="137" t="s">
        <v>193</v>
      </c>
      <c r="L81" s="137" t="s">
        <v>193</v>
      </c>
      <c r="M81" s="137" t="s">
        <v>193</v>
      </c>
      <c r="N81" s="137" t="s">
        <v>193</v>
      </c>
      <c r="O81" s="137" t="s">
        <v>193</v>
      </c>
      <c r="P81" s="137" t="s">
        <v>193</v>
      </c>
      <c r="Q81" s="137" t="s">
        <v>193</v>
      </c>
      <c r="R81" s="137" t="s">
        <v>193</v>
      </c>
      <c r="S81" s="137" t="s">
        <v>193</v>
      </c>
      <c r="T81" s="137" t="s">
        <v>193</v>
      </c>
      <c r="W81" s="12" t="str">
        <f t="shared" si="4"/>
        <v>Ja</v>
      </c>
      <c r="Y81" s="12" t="str">
        <f t="shared" si="5"/>
        <v>Nej</v>
      </c>
      <c r="Z81" s="12">
        <f t="shared" si="6"/>
        <v>0</v>
      </c>
      <c r="AA81" s="12">
        <f t="shared" si="7"/>
        <v>0</v>
      </c>
    </row>
    <row r="82" spans="1:27" ht="15" customHeight="1" x14ac:dyDescent="0.25">
      <c r="A82" s="137" t="s">
        <v>297</v>
      </c>
      <c r="B82" s="137" t="s">
        <v>299</v>
      </c>
      <c r="C82" s="137">
        <v>2018</v>
      </c>
      <c r="D82" s="137">
        <v>5.0999999999999997E-2</v>
      </c>
      <c r="E82" s="137" t="s">
        <v>193</v>
      </c>
      <c r="F82" s="137" t="s">
        <v>958</v>
      </c>
      <c r="G82" s="137">
        <v>0.82</v>
      </c>
      <c r="H82" s="137">
        <v>0</v>
      </c>
      <c r="I82" s="137">
        <v>0</v>
      </c>
      <c r="J82" s="137">
        <v>0</v>
      </c>
      <c r="K82" s="137" t="s">
        <v>193</v>
      </c>
      <c r="L82" s="137" t="s">
        <v>193</v>
      </c>
      <c r="M82" s="137" t="s">
        <v>193</v>
      </c>
      <c r="N82" s="137" t="s">
        <v>193</v>
      </c>
      <c r="O82" s="137" t="s">
        <v>193</v>
      </c>
      <c r="P82" s="137" t="s">
        <v>193</v>
      </c>
      <c r="Q82" s="137" t="s">
        <v>193</v>
      </c>
      <c r="R82" s="137" t="s">
        <v>193</v>
      </c>
      <c r="S82" s="137" t="s">
        <v>193</v>
      </c>
      <c r="T82" s="137" t="s">
        <v>193</v>
      </c>
      <c r="W82" s="12" t="str">
        <f t="shared" si="4"/>
        <v>Ja</v>
      </c>
      <c r="Y82" s="12" t="str">
        <f t="shared" si="5"/>
        <v>Nej</v>
      </c>
      <c r="Z82" s="12">
        <f t="shared" si="6"/>
        <v>0</v>
      </c>
      <c r="AA82" s="12">
        <f t="shared" si="7"/>
        <v>0</v>
      </c>
    </row>
    <row r="83" spans="1:27" ht="15" customHeight="1" x14ac:dyDescent="0.25">
      <c r="A83" s="137" t="s">
        <v>297</v>
      </c>
      <c r="B83" s="137" t="s">
        <v>300</v>
      </c>
      <c r="C83" s="137">
        <v>2018</v>
      </c>
      <c r="D83" s="137">
        <v>5.5E-2</v>
      </c>
      <c r="E83" s="137" t="s">
        <v>193</v>
      </c>
      <c r="F83" s="137" t="s">
        <v>959</v>
      </c>
      <c r="G83" s="137">
        <v>1.1000000000000001</v>
      </c>
      <c r="H83" s="137">
        <v>0</v>
      </c>
      <c r="I83" s="137">
        <v>0.01</v>
      </c>
      <c r="J83" s="137">
        <v>0</v>
      </c>
      <c r="K83" s="137" t="s">
        <v>193</v>
      </c>
      <c r="L83" s="137" t="s">
        <v>193</v>
      </c>
      <c r="M83" s="137" t="s">
        <v>193</v>
      </c>
      <c r="N83" s="137" t="s">
        <v>193</v>
      </c>
      <c r="O83" s="137" t="s">
        <v>193</v>
      </c>
      <c r="P83" s="137" t="s">
        <v>193</v>
      </c>
      <c r="Q83" s="137" t="s">
        <v>193</v>
      </c>
      <c r="R83" s="137" t="s">
        <v>193</v>
      </c>
      <c r="S83" s="137" t="s">
        <v>193</v>
      </c>
      <c r="T83" s="137" t="s">
        <v>193</v>
      </c>
      <c r="W83" s="12" t="str">
        <f t="shared" si="4"/>
        <v>Ja</v>
      </c>
      <c r="Y83" s="12" t="str">
        <f t="shared" si="5"/>
        <v>Nej</v>
      </c>
      <c r="Z83" s="12">
        <f t="shared" si="6"/>
        <v>0</v>
      </c>
      <c r="AA83" s="12">
        <f t="shared" si="7"/>
        <v>0</v>
      </c>
    </row>
    <row r="84" spans="1:27" ht="15" customHeight="1" x14ac:dyDescent="0.25">
      <c r="A84" s="137" t="s">
        <v>301</v>
      </c>
      <c r="B84" s="137" t="s">
        <v>302</v>
      </c>
      <c r="C84" s="137">
        <v>2018</v>
      </c>
      <c r="D84" s="137">
        <v>0.06</v>
      </c>
      <c r="E84" s="137" t="s">
        <v>193</v>
      </c>
      <c r="F84" s="137" t="s">
        <v>960</v>
      </c>
      <c r="G84" s="137">
        <v>1.5</v>
      </c>
      <c r="H84" s="137">
        <v>0</v>
      </c>
      <c r="I84" s="137">
        <v>0</v>
      </c>
      <c r="J84" s="137">
        <v>0</v>
      </c>
      <c r="K84" s="137" t="s">
        <v>193</v>
      </c>
      <c r="L84" s="137" t="s">
        <v>193</v>
      </c>
      <c r="M84" s="137" t="s">
        <v>193</v>
      </c>
      <c r="N84" s="137" t="s">
        <v>193</v>
      </c>
      <c r="O84" s="137" t="s">
        <v>193</v>
      </c>
      <c r="P84" s="137" t="s">
        <v>193</v>
      </c>
      <c r="Q84" s="137" t="s">
        <v>193</v>
      </c>
      <c r="R84" s="137" t="s">
        <v>193</v>
      </c>
      <c r="S84" s="137" t="s">
        <v>193</v>
      </c>
      <c r="T84" s="137" t="s">
        <v>193</v>
      </c>
      <c r="W84" s="12" t="str">
        <f t="shared" si="4"/>
        <v>Ja</v>
      </c>
      <c r="Y84" s="12" t="str">
        <f t="shared" si="5"/>
        <v>Nej</v>
      </c>
      <c r="Z84" s="12">
        <f t="shared" si="6"/>
        <v>0</v>
      </c>
      <c r="AA84" s="12">
        <f t="shared" si="7"/>
        <v>0</v>
      </c>
    </row>
    <row r="85" spans="1:27" ht="15" customHeight="1" x14ac:dyDescent="0.25">
      <c r="A85" s="137" t="s">
        <v>301</v>
      </c>
      <c r="B85" s="137" t="s">
        <v>303</v>
      </c>
      <c r="C85" s="137">
        <v>2018</v>
      </c>
      <c r="D85" s="137">
        <v>1.1399999999999999</v>
      </c>
      <c r="E85" s="137">
        <v>15.3</v>
      </c>
      <c r="F85" s="137" t="s">
        <v>960</v>
      </c>
      <c r="G85" s="137">
        <v>1.5</v>
      </c>
      <c r="H85" s="137">
        <v>0</v>
      </c>
      <c r="I85" s="137">
        <v>0</v>
      </c>
      <c r="J85" s="137">
        <v>0</v>
      </c>
      <c r="K85" s="137">
        <v>64.599999999999994</v>
      </c>
      <c r="L85" s="137">
        <v>0.03</v>
      </c>
      <c r="M85" s="137">
        <v>8.9600000000000009</v>
      </c>
      <c r="N85" s="137">
        <v>6.92</v>
      </c>
      <c r="O85" s="137">
        <v>0</v>
      </c>
      <c r="P85" s="137">
        <v>5.83</v>
      </c>
      <c r="Q85" s="137">
        <v>0.03</v>
      </c>
      <c r="R85" s="137">
        <v>8.9600000000000009</v>
      </c>
      <c r="S85" s="137">
        <v>6.92</v>
      </c>
      <c r="T85" s="137">
        <v>0</v>
      </c>
      <c r="W85" s="12" t="str">
        <f t="shared" si="4"/>
        <v>Ja</v>
      </c>
      <c r="Y85" s="12" t="str">
        <f t="shared" si="5"/>
        <v>Ja</v>
      </c>
      <c r="Z85" s="12">
        <f t="shared" si="6"/>
        <v>64.599999999999994</v>
      </c>
      <c r="AA85" s="12">
        <f t="shared" si="7"/>
        <v>0</v>
      </c>
    </row>
    <row r="86" spans="1:27" ht="15" customHeight="1" x14ac:dyDescent="0.25">
      <c r="A86" s="137" t="s">
        <v>301</v>
      </c>
      <c r="B86" s="137" t="s">
        <v>305</v>
      </c>
      <c r="C86" s="137">
        <v>2018</v>
      </c>
      <c r="D86" s="137">
        <v>5.5E-2</v>
      </c>
      <c r="E86" s="137" t="s">
        <v>193</v>
      </c>
      <c r="F86" s="137" t="s">
        <v>960</v>
      </c>
      <c r="G86" s="137">
        <v>1.5</v>
      </c>
      <c r="H86" s="137">
        <v>0</v>
      </c>
      <c r="I86" s="137">
        <v>0</v>
      </c>
      <c r="J86" s="137">
        <v>0</v>
      </c>
      <c r="K86" s="137" t="s">
        <v>193</v>
      </c>
      <c r="L86" s="137" t="s">
        <v>193</v>
      </c>
      <c r="M86" s="137" t="s">
        <v>193</v>
      </c>
      <c r="N86" s="137" t="s">
        <v>193</v>
      </c>
      <c r="O86" s="137" t="s">
        <v>193</v>
      </c>
      <c r="P86" s="137" t="s">
        <v>193</v>
      </c>
      <c r="Q86" s="137" t="s">
        <v>193</v>
      </c>
      <c r="R86" s="137" t="s">
        <v>193</v>
      </c>
      <c r="S86" s="137" t="s">
        <v>193</v>
      </c>
      <c r="T86" s="137" t="s">
        <v>193</v>
      </c>
      <c r="W86" s="12" t="str">
        <f t="shared" si="4"/>
        <v>Ja</v>
      </c>
      <c r="Y86" s="12" t="str">
        <f t="shared" si="5"/>
        <v>Nej</v>
      </c>
      <c r="Z86" s="12">
        <f t="shared" si="6"/>
        <v>0</v>
      </c>
      <c r="AA86" s="12">
        <f t="shared" si="7"/>
        <v>0</v>
      </c>
    </row>
    <row r="87" spans="1:27" ht="15" customHeight="1" x14ac:dyDescent="0.25">
      <c r="A87" s="137" t="s">
        <v>301</v>
      </c>
      <c r="B87" s="137" t="s">
        <v>306</v>
      </c>
      <c r="C87" s="137">
        <v>2018</v>
      </c>
      <c r="D87" s="137">
        <v>0.105</v>
      </c>
      <c r="E87" s="137" t="s">
        <v>193</v>
      </c>
      <c r="F87" s="137" t="s">
        <v>960</v>
      </c>
      <c r="G87" s="137">
        <v>1.5</v>
      </c>
      <c r="H87" s="137">
        <v>0</v>
      </c>
      <c r="I87" s="137">
        <v>0</v>
      </c>
      <c r="J87" s="137">
        <v>0</v>
      </c>
      <c r="K87" s="137" t="s">
        <v>193</v>
      </c>
      <c r="L87" s="137" t="s">
        <v>193</v>
      </c>
      <c r="M87" s="137" t="s">
        <v>193</v>
      </c>
      <c r="N87" s="137" t="s">
        <v>193</v>
      </c>
      <c r="O87" s="137" t="s">
        <v>193</v>
      </c>
      <c r="P87" s="137" t="s">
        <v>193</v>
      </c>
      <c r="Q87" s="137" t="s">
        <v>193</v>
      </c>
      <c r="R87" s="137" t="s">
        <v>193</v>
      </c>
      <c r="S87" s="137" t="s">
        <v>193</v>
      </c>
      <c r="T87" s="137" t="s">
        <v>193</v>
      </c>
      <c r="W87" s="12" t="str">
        <f t="shared" si="4"/>
        <v>Ja</v>
      </c>
      <c r="Y87" s="12" t="str">
        <f t="shared" si="5"/>
        <v>Nej</v>
      </c>
      <c r="Z87" s="12">
        <f t="shared" si="6"/>
        <v>0</v>
      </c>
      <c r="AA87" s="12">
        <f t="shared" si="7"/>
        <v>0</v>
      </c>
    </row>
    <row r="88" spans="1:27" ht="15" customHeight="1" x14ac:dyDescent="0.25">
      <c r="A88" s="137" t="s">
        <v>307</v>
      </c>
      <c r="B88" s="137" t="s">
        <v>308</v>
      </c>
      <c r="C88" s="137">
        <v>2018</v>
      </c>
      <c r="D88" s="137">
        <v>3.9</v>
      </c>
      <c r="E88" s="137" t="s">
        <v>193</v>
      </c>
      <c r="F88" s="137" t="s">
        <v>961</v>
      </c>
      <c r="G88" s="137">
        <v>1.1000000000000001</v>
      </c>
      <c r="H88" s="137">
        <v>0</v>
      </c>
      <c r="I88" s="137">
        <v>0</v>
      </c>
      <c r="J88" s="137">
        <v>0</v>
      </c>
      <c r="K88" s="137" t="s">
        <v>193</v>
      </c>
      <c r="L88" s="137" t="s">
        <v>193</v>
      </c>
      <c r="M88" s="137" t="s">
        <v>193</v>
      </c>
      <c r="N88" s="137" t="s">
        <v>193</v>
      </c>
      <c r="O88" s="137" t="s">
        <v>193</v>
      </c>
      <c r="P88" s="137" t="s">
        <v>193</v>
      </c>
      <c r="Q88" s="137" t="s">
        <v>193</v>
      </c>
      <c r="R88" s="137" t="s">
        <v>193</v>
      </c>
      <c r="S88" s="137" t="s">
        <v>193</v>
      </c>
      <c r="T88" s="137" t="s">
        <v>193</v>
      </c>
      <c r="W88" s="12" t="str">
        <f t="shared" si="4"/>
        <v>Ja</v>
      </c>
      <c r="Y88" s="12" t="str">
        <f t="shared" si="5"/>
        <v>Nej</v>
      </c>
      <c r="Z88" s="12">
        <f t="shared" si="6"/>
        <v>0</v>
      </c>
      <c r="AA88" s="12">
        <f t="shared" si="7"/>
        <v>0</v>
      </c>
    </row>
    <row r="89" spans="1:27" ht="15" customHeight="1" x14ac:dyDescent="0.25">
      <c r="A89" s="137" t="s">
        <v>309</v>
      </c>
      <c r="B89" s="137" t="s">
        <v>310</v>
      </c>
      <c r="C89" s="137">
        <v>2018</v>
      </c>
      <c r="D89" s="137" t="s">
        <v>193</v>
      </c>
      <c r="E89" s="137" t="s">
        <v>193</v>
      </c>
      <c r="F89" s="137" t="s">
        <v>962</v>
      </c>
      <c r="G89" s="137">
        <v>1.17</v>
      </c>
      <c r="H89" s="137">
        <v>0</v>
      </c>
      <c r="I89" s="137">
        <v>0</v>
      </c>
      <c r="J89" s="137">
        <v>0</v>
      </c>
      <c r="K89" s="137" t="s">
        <v>193</v>
      </c>
      <c r="L89" s="137" t="s">
        <v>193</v>
      </c>
      <c r="M89" s="137" t="s">
        <v>193</v>
      </c>
      <c r="N89" s="137" t="s">
        <v>193</v>
      </c>
      <c r="O89" s="137" t="s">
        <v>193</v>
      </c>
      <c r="P89" s="137" t="s">
        <v>193</v>
      </c>
      <c r="Q89" s="137" t="s">
        <v>193</v>
      </c>
      <c r="R89" s="137" t="s">
        <v>193</v>
      </c>
      <c r="S89" s="137" t="s">
        <v>193</v>
      </c>
      <c r="T89" s="137" t="s">
        <v>193</v>
      </c>
      <c r="W89" s="12" t="str">
        <f t="shared" si="4"/>
        <v>Ja</v>
      </c>
      <c r="Y89" s="12" t="str">
        <f t="shared" si="5"/>
        <v>Nej</v>
      </c>
      <c r="Z89" s="12">
        <f t="shared" si="6"/>
        <v>0</v>
      </c>
      <c r="AA89" s="12">
        <f t="shared" si="7"/>
        <v>0</v>
      </c>
    </row>
    <row r="90" spans="1:27" ht="15" customHeight="1" x14ac:dyDescent="0.25">
      <c r="A90" s="137" t="s">
        <v>309</v>
      </c>
      <c r="B90" s="137" t="s">
        <v>311</v>
      </c>
      <c r="C90" s="137">
        <v>2018</v>
      </c>
      <c r="D90" s="137" t="s">
        <v>193</v>
      </c>
      <c r="E90" s="137" t="s">
        <v>193</v>
      </c>
      <c r="F90" s="137" t="s">
        <v>53</v>
      </c>
      <c r="G90" s="137">
        <v>2.2999999999999998</v>
      </c>
      <c r="H90" s="137">
        <v>329.19</v>
      </c>
      <c r="I90" s="137">
        <v>0.43</v>
      </c>
      <c r="J90" s="137">
        <v>0.40550000000000003</v>
      </c>
      <c r="K90" s="137" t="s">
        <v>193</v>
      </c>
      <c r="L90" s="137" t="s">
        <v>193</v>
      </c>
      <c r="M90" s="137" t="s">
        <v>193</v>
      </c>
      <c r="N90" s="137" t="s">
        <v>193</v>
      </c>
      <c r="O90" s="137" t="s">
        <v>193</v>
      </c>
      <c r="P90" s="137" t="s">
        <v>193</v>
      </c>
      <c r="Q90" s="137" t="s">
        <v>193</v>
      </c>
      <c r="R90" s="137" t="s">
        <v>193</v>
      </c>
      <c r="S90" s="137" t="s">
        <v>193</v>
      </c>
      <c r="T90" s="137" t="s">
        <v>193</v>
      </c>
      <c r="W90" s="12" t="str">
        <f t="shared" si="4"/>
        <v>Nej</v>
      </c>
      <c r="Y90" s="12" t="str">
        <f t="shared" si="5"/>
        <v>Nej</v>
      </c>
      <c r="Z90" s="12">
        <f t="shared" si="6"/>
        <v>0</v>
      </c>
      <c r="AA90" s="12">
        <f t="shared" si="7"/>
        <v>0</v>
      </c>
    </row>
    <row r="91" spans="1:27" ht="15" customHeight="1" x14ac:dyDescent="0.25">
      <c r="A91" s="137" t="s">
        <v>309</v>
      </c>
      <c r="B91" s="137" t="s">
        <v>313</v>
      </c>
      <c r="C91" s="137">
        <v>2018</v>
      </c>
      <c r="D91" s="137" t="s">
        <v>193</v>
      </c>
      <c r="E91" s="137" t="s">
        <v>193</v>
      </c>
      <c r="F91" s="137" t="s">
        <v>963</v>
      </c>
      <c r="G91" s="137">
        <v>1</v>
      </c>
      <c r="H91" s="137">
        <v>0</v>
      </c>
      <c r="I91" s="137">
        <v>0</v>
      </c>
      <c r="J91" s="137">
        <v>0</v>
      </c>
      <c r="K91" s="137" t="s">
        <v>193</v>
      </c>
      <c r="L91" s="137" t="s">
        <v>193</v>
      </c>
      <c r="M91" s="137" t="s">
        <v>193</v>
      </c>
      <c r="N91" s="137" t="s">
        <v>193</v>
      </c>
      <c r="O91" s="137" t="s">
        <v>193</v>
      </c>
      <c r="P91" s="137" t="s">
        <v>193</v>
      </c>
      <c r="Q91" s="137" t="s">
        <v>193</v>
      </c>
      <c r="R91" s="137" t="s">
        <v>193</v>
      </c>
      <c r="S91" s="137" t="s">
        <v>193</v>
      </c>
      <c r="T91" s="137" t="s">
        <v>193</v>
      </c>
      <c r="W91" s="12" t="str">
        <f t="shared" si="4"/>
        <v>Ja</v>
      </c>
      <c r="Y91" s="12" t="str">
        <f t="shared" si="5"/>
        <v>Nej</v>
      </c>
      <c r="Z91" s="12">
        <f t="shared" si="6"/>
        <v>0</v>
      </c>
      <c r="AA91" s="12">
        <f t="shared" si="7"/>
        <v>0</v>
      </c>
    </row>
    <row r="92" spans="1:27" ht="15" customHeight="1" x14ac:dyDescent="0.25">
      <c r="A92" s="137" t="s">
        <v>315</v>
      </c>
      <c r="B92" s="137" t="s">
        <v>316</v>
      </c>
      <c r="C92" s="137">
        <v>2018</v>
      </c>
      <c r="D92" s="137" t="s">
        <v>193</v>
      </c>
      <c r="E92" s="137" t="s">
        <v>193</v>
      </c>
      <c r="F92" s="137" t="s">
        <v>964</v>
      </c>
      <c r="G92" s="137">
        <v>1.1000000000000001</v>
      </c>
      <c r="H92" s="137">
        <v>0</v>
      </c>
      <c r="I92" s="137">
        <v>0</v>
      </c>
      <c r="J92" s="137">
        <v>0</v>
      </c>
      <c r="K92" s="137" t="s">
        <v>193</v>
      </c>
      <c r="L92" s="137" t="s">
        <v>193</v>
      </c>
      <c r="M92" s="137" t="s">
        <v>193</v>
      </c>
      <c r="N92" s="137" t="s">
        <v>193</v>
      </c>
      <c r="O92" s="137" t="s">
        <v>193</v>
      </c>
      <c r="P92" s="137" t="s">
        <v>193</v>
      </c>
      <c r="Q92" s="137" t="s">
        <v>193</v>
      </c>
      <c r="R92" s="137" t="s">
        <v>193</v>
      </c>
      <c r="S92" s="137" t="s">
        <v>193</v>
      </c>
      <c r="T92" s="137" t="s">
        <v>193</v>
      </c>
      <c r="W92" s="12" t="str">
        <f t="shared" si="4"/>
        <v>Ja</v>
      </c>
      <c r="Y92" s="12" t="str">
        <f t="shared" si="5"/>
        <v>Nej</v>
      </c>
      <c r="Z92" s="12">
        <f t="shared" si="6"/>
        <v>0</v>
      </c>
      <c r="AA92" s="12">
        <f t="shared" si="7"/>
        <v>0</v>
      </c>
    </row>
    <row r="93" spans="1:27" ht="15" customHeight="1" x14ac:dyDescent="0.25">
      <c r="A93" s="137" t="s">
        <v>315</v>
      </c>
      <c r="B93" s="137" t="s">
        <v>317</v>
      </c>
      <c r="C93" s="137">
        <v>2018</v>
      </c>
      <c r="D93" s="137" t="s">
        <v>193</v>
      </c>
      <c r="E93" s="137" t="s">
        <v>193</v>
      </c>
      <c r="F93" s="137" t="s">
        <v>964</v>
      </c>
      <c r="G93" s="137">
        <v>1.1000000000000001</v>
      </c>
      <c r="H93" s="137">
        <v>0</v>
      </c>
      <c r="I93" s="137">
        <v>0</v>
      </c>
      <c r="J93" s="137">
        <v>0</v>
      </c>
      <c r="K93" s="137" t="s">
        <v>193</v>
      </c>
      <c r="L93" s="137" t="s">
        <v>193</v>
      </c>
      <c r="M93" s="137" t="s">
        <v>193</v>
      </c>
      <c r="N93" s="137" t="s">
        <v>193</v>
      </c>
      <c r="O93" s="137" t="s">
        <v>193</v>
      </c>
      <c r="P93" s="137" t="s">
        <v>193</v>
      </c>
      <c r="Q93" s="137" t="s">
        <v>193</v>
      </c>
      <c r="R93" s="137" t="s">
        <v>193</v>
      </c>
      <c r="S93" s="137" t="s">
        <v>193</v>
      </c>
      <c r="T93" s="137" t="s">
        <v>193</v>
      </c>
      <c r="W93" s="12" t="str">
        <f t="shared" si="4"/>
        <v>Ja</v>
      </c>
      <c r="Y93" s="12" t="str">
        <f t="shared" si="5"/>
        <v>Nej</v>
      </c>
      <c r="Z93" s="12">
        <f t="shared" si="6"/>
        <v>0</v>
      </c>
      <c r="AA93" s="12">
        <f t="shared" si="7"/>
        <v>0</v>
      </c>
    </row>
    <row r="94" spans="1:27" ht="15" customHeight="1" x14ac:dyDescent="0.25">
      <c r="A94" s="137" t="s">
        <v>315</v>
      </c>
      <c r="B94" s="137" t="s">
        <v>318</v>
      </c>
      <c r="C94" s="137">
        <v>2018</v>
      </c>
      <c r="D94" s="137" t="s">
        <v>193</v>
      </c>
      <c r="E94" s="137" t="s">
        <v>193</v>
      </c>
      <c r="F94" s="137" t="s">
        <v>964</v>
      </c>
      <c r="G94" s="137">
        <v>1.1000000000000001</v>
      </c>
      <c r="H94" s="137">
        <v>0</v>
      </c>
      <c r="I94" s="137">
        <v>0</v>
      </c>
      <c r="J94" s="137">
        <v>0</v>
      </c>
      <c r="K94" s="137" t="s">
        <v>193</v>
      </c>
      <c r="L94" s="137" t="s">
        <v>193</v>
      </c>
      <c r="M94" s="137" t="s">
        <v>193</v>
      </c>
      <c r="N94" s="137" t="s">
        <v>193</v>
      </c>
      <c r="O94" s="137" t="s">
        <v>193</v>
      </c>
      <c r="P94" s="137" t="s">
        <v>193</v>
      </c>
      <c r="Q94" s="137" t="s">
        <v>193</v>
      </c>
      <c r="R94" s="137" t="s">
        <v>193</v>
      </c>
      <c r="S94" s="137" t="s">
        <v>193</v>
      </c>
      <c r="T94" s="137" t="s">
        <v>193</v>
      </c>
      <c r="W94" s="12" t="str">
        <f t="shared" si="4"/>
        <v>Ja</v>
      </c>
      <c r="Y94" s="12" t="str">
        <f t="shared" si="5"/>
        <v>Nej</v>
      </c>
      <c r="Z94" s="12">
        <f t="shared" si="6"/>
        <v>0</v>
      </c>
      <c r="AA94" s="12">
        <f t="shared" si="7"/>
        <v>0</v>
      </c>
    </row>
    <row r="95" spans="1:27" ht="15" customHeight="1" x14ac:dyDescent="0.25">
      <c r="A95" s="137" t="s">
        <v>315</v>
      </c>
      <c r="B95" s="137" t="s">
        <v>319</v>
      </c>
      <c r="C95" s="137">
        <v>2018</v>
      </c>
      <c r="D95" s="137" t="s">
        <v>193</v>
      </c>
      <c r="E95" s="137" t="s">
        <v>193</v>
      </c>
      <c r="F95" s="137" t="s">
        <v>965</v>
      </c>
      <c r="G95" s="137">
        <v>1.1000000000000001</v>
      </c>
      <c r="H95" s="137">
        <v>0</v>
      </c>
      <c r="I95" s="137">
        <v>0</v>
      </c>
      <c r="J95" s="137">
        <v>0</v>
      </c>
      <c r="K95" s="137" t="s">
        <v>193</v>
      </c>
      <c r="L95" s="137" t="s">
        <v>193</v>
      </c>
      <c r="M95" s="137" t="s">
        <v>193</v>
      </c>
      <c r="N95" s="137" t="s">
        <v>193</v>
      </c>
      <c r="O95" s="137" t="s">
        <v>193</v>
      </c>
      <c r="P95" s="137" t="s">
        <v>193</v>
      </c>
      <c r="Q95" s="137" t="s">
        <v>193</v>
      </c>
      <c r="R95" s="137" t="s">
        <v>193</v>
      </c>
      <c r="S95" s="137" t="s">
        <v>193</v>
      </c>
      <c r="T95" s="137" t="s">
        <v>193</v>
      </c>
      <c r="W95" s="12" t="str">
        <f t="shared" si="4"/>
        <v>Ja</v>
      </c>
      <c r="Y95" s="12" t="str">
        <f t="shared" si="5"/>
        <v>Nej</v>
      </c>
      <c r="Z95" s="12">
        <f t="shared" si="6"/>
        <v>0</v>
      </c>
      <c r="AA95" s="12">
        <f t="shared" si="7"/>
        <v>0</v>
      </c>
    </row>
    <row r="96" spans="1:27" ht="15" customHeight="1" x14ac:dyDescent="0.25">
      <c r="A96" s="137" t="s">
        <v>320</v>
      </c>
      <c r="B96" s="137" t="s">
        <v>321</v>
      </c>
      <c r="C96" s="137">
        <v>2018</v>
      </c>
      <c r="D96" s="137">
        <v>1.9</v>
      </c>
      <c r="E96" s="137">
        <v>7.4</v>
      </c>
      <c r="F96" s="137" t="s">
        <v>219</v>
      </c>
      <c r="G96" s="137">
        <v>2.2999999999999998</v>
      </c>
      <c r="H96" s="137">
        <v>329.19</v>
      </c>
      <c r="I96" s="137">
        <v>0.43</v>
      </c>
      <c r="J96" s="137">
        <v>0.40550000000000003</v>
      </c>
      <c r="K96" s="137" t="s">
        <v>193</v>
      </c>
      <c r="L96" s="137" t="s">
        <v>193</v>
      </c>
      <c r="M96" s="137" t="s">
        <v>193</v>
      </c>
      <c r="N96" s="137" t="s">
        <v>193</v>
      </c>
      <c r="O96" s="137" t="s">
        <v>193</v>
      </c>
      <c r="P96" s="137" t="s">
        <v>193</v>
      </c>
      <c r="Q96" s="137" t="s">
        <v>193</v>
      </c>
      <c r="R96" s="137" t="s">
        <v>193</v>
      </c>
      <c r="S96" s="137" t="s">
        <v>193</v>
      </c>
      <c r="T96" s="137" t="s">
        <v>193</v>
      </c>
      <c r="W96" s="12" t="str">
        <f t="shared" si="4"/>
        <v>Nej</v>
      </c>
      <c r="Y96" s="12" t="str">
        <f t="shared" si="5"/>
        <v>Nej</v>
      </c>
      <c r="Z96" s="12">
        <f t="shared" si="6"/>
        <v>0</v>
      </c>
      <c r="AA96" s="12">
        <f t="shared" si="7"/>
        <v>0</v>
      </c>
    </row>
    <row r="97" spans="1:27" ht="15" customHeight="1" x14ac:dyDescent="0.25">
      <c r="A97" s="137" t="s">
        <v>322</v>
      </c>
      <c r="B97" s="137" t="s">
        <v>323</v>
      </c>
      <c r="C97" s="137">
        <v>2018</v>
      </c>
      <c r="D97" s="137">
        <v>1.93</v>
      </c>
      <c r="E97" s="137">
        <v>17.975999999999999</v>
      </c>
      <c r="F97" s="137" t="s">
        <v>966</v>
      </c>
      <c r="G97" s="137">
        <v>0.08</v>
      </c>
      <c r="H97" s="137">
        <v>9</v>
      </c>
      <c r="I97" s="137">
        <v>0</v>
      </c>
      <c r="J97" s="137">
        <v>0</v>
      </c>
      <c r="K97" s="137" t="s">
        <v>193</v>
      </c>
      <c r="L97" s="137" t="s">
        <v>193</v>
      </c>
      <c r="M97" s="137" t="s">
        <v>193</v>
      </c>
      <c r="N97" s="137" t="s">
        <v>193</v>
      </c>
      <c r="O97" s="137" t="s">
        <v>193</v>
      </c>
      <c r="P97" s="137" t="s">
        <v>193</v>
      </c>
      <c r="Q97" s="137" t="s">
        <v>193</v>
      </c>
      <c r="R97" s="137" t="s">
        <v>193</v>
      </c>
      <c r="S97" s="137" t="s">
        <v>193</v>
      </c>
      <c r="T97" s="137" t="s">
        <v>193</v>
      </c>
      <c r="W97" s="12" t="str">
        <f t="shared" si="4"/>
        <v>Ja</v>
      </c>
      <c r="Y97" s="12" t="str">
        <f t="shared" si="5"/>
        <v>Nej</v>
      </c>
      <c r="Z97" s="12">
        <f t="shared" si="6"/>
        <v>0</v>
      </c>
      <c r="AA97" s="12">
        <f t="shared" si="7"/>
        <v>0</v>
      </c>
    </row>
    <row r="98" spans="1:27" ht="15" customHeight="1" x14ac:dyDescent="0.25">
      <c r="A98" s="137" t="s">
        <v>324</v>
      </c>
      <c r="B98" s="137" t="s">
        <v>325</v>
      </c>
      <c r="C98" s="137">
        <v>2018</v>
      </c>
      <c r="D98" s="137" t="s">
        <v>193</v>
      </c>
      <c r="E98" s="137" t="s">
        <v>193</v>
      </c>
      <c r="F98" s="137" t="s">
        <v>219</v>
      </c>
      <c r="G98" s="137">
        <v>1.1046</v>
      </c>
      <c r="H98" s="137">
        <v>4.9745999999999997</v>
      </c>
      <c r="I98" s="137">
        <v>0</v>
      </c>
      <c r="J98" s="137">
        <v>0</v>
      </c>
      <c r="K98" s="137" t="s">
        <v>193</v>
      </c>
      <c r="L98" s="137" t="s">
        <v>193</v>
      </c>
      <c r="M98" s="137" t="s">
        <v>193</v>
      </c>
      <c r="N98" s="137" t="s">
        <v>193</v>
      </c>
      <c r="O98" s="137" t="s">
        <v>193</v>
      </c>
      <c r="P98" s="137" t="s">
        <v>193</v>
      </c>
      <c r="Q98" s="137" t="s">
        <v>193</v>
      </c>
      <c r="R98" s="137" t="s">
        <v>193</v>
      </c>
      <c r="S98" s="137" t="s">
        <v>193</v>
      </c>
      <c r="T98" s="137" t="s">
        <v>193</v>
      </c>
      <c r="W98" s="12" t="str">
        <f t="shared" si="4"/>
        <v>Ja</v>
      </c>
      <c r="Y98" s="12" t="str">
        <f t="shared" si="5"/>
        <v>Nej</v>
      </c>
      <c r="Z98" s="12">
        <f t="shared" si="6"/>
        <v>0</v>
      </c>
      <c r="AA98" s="12">
        <f t="shared" si="7"/>
        <v>0</v>
      </c>
    </row>
    <row r="99" spans="1:27" ht="15" customHeight="1" x14ac:dyDescent="0.25">
      <c r="A99" s="137" t="s">
        <v>324</v>
      </c>
      <c r="B99" s="137" t="s">
        <v>326</v>
      </c>
      <c r="C99" s="137">
        <v>2018</v>
      </c>
      <c r="D99" s="137">
        <v>41.921999999999997</v>
      </c>
      <c r="E99" s="137">
        <v>13.045</v>
      </c>
      <c r="F99" s="137" t="s">
        <v>967</v>
      </c>
      <c r="G99" s="137">
        <v>1.0248999999999999</v>
      </c>
      <c r="H99" s="137">
        <v>11.044499999999999</v>
      </c>
      <c r="I99" s="137">
        <v>0</v>
      </c>
      <c r="J99" s="137">
        <v>0</v>
      </c>
      <c r="K99" s="137">
        <v>98.918999999999997</v>
      </c>
      <c r="L99" s="137">
        <v>0.02</v>
      </c>
      <c r="M99" s="137">
        <v>2.367</v>
      </c>
      <c r="N99" s="137">
        <v>4.141</v>
      </c>
      <c r="O99" s="137">
        <v>0</v>
      </c>
      <c r="P99" s="137">
        <v>130.49700000000001</v>
      </c>
      <c r="Q99" s="137">
        <v>0.156</v>
      </c>
      <c r="R99" s="137">
        <v>44.290999999999997</v>
      </c>
      <c r="S99" s="137">
        <v>6.2190000000000003</v>
      </c>
      <c r="T99" s="137">
        <v>9.9600000000000009</v>
      </c>
      <c r="W99" s="12" t="str">
        <f t="shared" si="4"/>
        <v>Ja</v>
      </c>
      <c r="Y99" s="12" t="str">
        <f t="shared" si="5"/>
        <v>Ja</v>
      </c>
      <c r="Z99" s="12">
        <f t="shared" si="6"/>
        <v>98.918999999999997</v>
      </c>
      <c r="AA99" s="12">
        <f t="shared" si="7"/>
        <v>0</v>
      </c>
    </row>
    <row r="100" spans="1:27" ht="15" customHeight="1" x14ac:dyDescent="0.25">
      <c r="A100" s="137" t="s">
        <v>324</v>
      </c>
      <c r="B100" s="137" t="s">
        <v>328</v>
      </c>
      <c r="C100" s="137">
        <v>2018</v>
      </c>
      <c r="D100" s="137">
        <v>2.0099999999999998</v>
      </c>
      <c r="E100" s="137">
        <v>7.47</v>
      </c>
      <c r="F100" s="137" t="s">
        <v>957</v>
      </c>
      <c r="G100" s="137">
        <v>1.02</v>
      </c>
      <c r="H100" s="137">
        <v>11.1</v>
      </c>
      <c r="I100" s="137">
        <v>0</v>
      </c>
      <c r="J100" s="137">
        <v>0</v>
      </c>
      <c r="K100" s="137" t="s">
        <v>193</v>
      </c>
      <c r="L100" s="137" t="s">
        <v>193</v>
      </c>
      <c r="M100" s="137" t="s">
        <v>193</v>
      </c>
      <c r="N100" s="137" t="s">
        <v>193</v>
      </c>
      <c r="O100" s="137" t="s">
        <v>193</v>
      </c>
      <c r="P100" s="137" t="s">
        <v>193</v>
      </c>
      <c r="Q100" s="137" t="s">
        <v>193</v>
      </c>
      <c r="R100" s="137" t="s">
        <v>193</v>
      </c>
      <c r="S100" s="137" t="s">
        <v>193</v>
      </c>
      <c r="T100" s="137" t="s">
        <v>193</v>
      </c>
      <c r="W100" s="12" t="str">
        <f t="shared" si="4"/>
        <v>Ja</v>
      </c>
      <c r="Y100" s="12" t="str">
        <f t="shared" si="5"/>
        <v>Nej</v>
      </c>
      <c r="Z100" s="12">
        <f t="shared" si="6"/>
        <v>0</v>
      </c>
      <c r="AA100" s="12">
        <f t="shared" si="7"/>
        <v>0</v>
      </c>
    </row>
    <row r="101" spans="1:27" ht="15" customHeight="1" x14ac:dyDescent="0.25">
      <c r="A101" s="137" t="s">
        <v>324</v>
      </c>
      <c r="B101" s="137" t="s">
        <v>324</v>
      </c>
      <c r="C101" s="137">
        <v>2018</v>
      </c>
      <c r="D101" s="137" t="s">
        <v>193</v>
      </c>
      <c r="E101" s="137" t="s">
        <v>193</v>
      </c>
      <c r="F101" s="137" t="s">
        <v>219</v>
      </c>
      <c r="G101" s="137">
        <v>1.1046</v>
      </c>
      <c r="H101" s="137">
        <v>4.9745999999999997</v>
      </c>
      <c r="I101" s="137">
        <v>0</v>
      </c>
      <c r="J101" s="137">
        <v>0</v>
      </c>
      <c r="K101" s="137" t="s">
        <v>193</v>
      </c>
      <c r="L101" s="137" t="s">
        <v>193</v>
      </c>
      <c r="M101" s="137" t="s">
        <v>193</v>
      </c>
      <c r="N101" s="137" t="s">
        <v>193</v>
      </c>
      <c r="O101" s="137" t="s">
        <v>193</v>
      </c>
      <c r="P101" s="137" t="s">
        <v>193</v>
      </c>
      <c r="Q101" s="137" t="s">
        <v>193</v>
      </c>
      <c r="R101" s="137" t="s">
        <v>193</v>
      </c>
      <c r="S101" s="137" t="s">
        <v>193</v>
      </c>
      <c r="T101" s="137" t="s">
        <v>193</v>
      </c>
      <c r="W101" s="12" t="str">
        <f t="shared" si="4"/>
        <v>Ja</v>
      </c>
      <c r="Y101" s="12" t="str">
        <f t="shared" si="5"/>
        <v>Nej</v>
      </c>
      <c r="Z101" s="12">
        <f t="shared" si="6"/>
        <v>0</v>
      </c>
      <c r="AA101" s="12">
        <f t="shared" si="7"/>
        <v>0</v>
      </c>
    </row>
    <row r="102" spans="1:27" ht="15" customHeight="1" x14ac:dyDescent="0.25">
      <c r="A102" s="137" t="s">
        <v>324</v>
      </c>
      <c r="B102" s="137" t="s">
        <v>329</v>
      </c>
      <c r="C102" s="137">
        <v>2018</v>
      </c>
      <c r="D102" s="137" t="s">
        <v>53</v>
      </c>
      <c r="E102" s="137" t="s">
        <v>53</v>
      </c>
      <c r="F102" s="137" t="s">
        <v>53</v>
      </c>
      <c r="G102" s="137" t="s">
        <v>53</v>
      </c>
      <c r="H102" s="137" t="s">
        <v>53</v>
      </c>
      <c r="I102" s="137" t="s">
        <v>53</v>
      </c>
      <c r="J102" s="137" t="s">
        <v>53</v>
      </c>
      <c r="K102" s="137" t="s">
        <v>53</v>
      </c>
      <c r="L102" s="137" t="s">
        <v>53</v>
      </c>
      <c r="M102" s="137" t="s">
        <v>53</v>
      </c>
      <c r="N102" s="137" t="s">
        <v>53</v>
      </c>
      <c r="O102" s="137" t="s">
        <v>53</v>
      </c>
      <c r="P102" s="137" t="s">
        <v>53</v>
      </c>
      <c r="Q102" s="137" t="s">
        <v>53</v>
      </c>
      <c r="R102" s="137" t="s">
        <v>53</v>
      </c>
      <c r="S102" s="137" t="s">
        <v>53</v>
      </c>
      <c r="T102" s="137" t="s">
        <v>53</v>
      </c>
      <c r="W102" s="12" t="str">
        <f t="shared" si="4"/>
        <v>Nej</v>
      </c>
      <c r="Y102" s="12" t="str">
        <f t="shared" si="5"/>
        <v>Nej</v>
      </c>
      <c r="Z102" s="12">
        <f t="shared" si="6"/>
        <v>0</v>
      </c>
      <c r="AA102" s="12">
        <f t="shared" si="7"/>
        <v>0</v>
      </c>
    </row>
    <row r="103" spans="1:27" ht="15" customHeight="1" x14ac:dyDescent="0.25">
      <c r="A103" s="137" t="s">
        <v>324</v>
      </c>
      <c r="B103" s="137" t="s">
        <v>330</v>
      </c>
      <c r="C103" s="137">
        <v>2018</v>
      </c>
      <c r="D103" s="137" t="s">
        <v>193</v>
      </c>
      <c r="E103" s="137" t="s">
        <v>193</v>
      </c>
      <c r="F103" s="137" t="s">
        <v>946</v>
      </c>
      <c r="G103" s="137">
        <v>2.2999999999999998</v>
      </c>
      <c r="H103" s="137">
        <v>329.19</v>
      </c>
      <c r="I103" s="137">
        <v>0.43</v>
      </c>
      <c r="J103" s="137">
        <v>0.40550000000000003</v>
      </c>
      <c r="K103" s="137" t="s">
        <v>193</v>
      </c>
      <c r="L103" s="137" t="s">
        <v>193</v>
      </c>
      <c r="M103" s="137" t="s">
        <v>193</v>
      </c>
      <c r="N103" s="137" t="s">
        <v>193</v>
      </c>
      <c r="O103" s="137" t="s">
        <v>193</v>
      </c>
      <c r="P103" s="137" t="s">
        <v>193</v>
      </c>
      <c r="Q103" s="137" t="s">
        <v>193</v>
      </c>
      <c r="R103" s="137" t="s">
        <v>193</v>
      </c>
      <c r="S103" s="137" t="s">
        <v>193</v>
      </c>
      <c r="T103" s="137" t="s">
        <v>193</v>
      </c>
      <c r="W103" s="12" t="str">
        <f t="shared" si="4"/>
        <v>Nej</v>
      </c>
      <c r="Y103" s="12" t="str">
        <f t="shared" si="5"/>
        <v>Nej</v>
      </c>
      <c r="Z103" s="12">
        <f t="shared" si="6"/>
        <v>0</v>
      </c>
      <c r="AA103" s="12">
        <f t="shared" si="7"/>
        <v>0</v>
      </c>
    </row>
    <row r="104" spans="1:27" ht="15" customHeight="1" x14ac:dyDescent="0.25">
      <c r="A104" s="137" t="s">
        <v>324</v>
      </c>
      <c r="B104" s="137" t="s">
        <v>331</v>
      </c>
      <c r="C104" s="137">
        <v>2018</v>
      </c>
      <c r="D104" s="137" t="s">
        <v>193</v>
      </c>
      <c r="E104" s="137" t="s">
        <v>193</v>
      </c>
      <c r="F104" s="137" t="s">
        <v>219</v>
      </c>
      <c r="G104" s="137">
        <v>1.1046</v>
      </c>
      <c r="H104" s="137">
        <v>4.9745999999999997</v>
      </c>
      <c r="I104" s="137">
        <v>0</v>
      </c>
      <c r="J104" s="137">
        <v>0</v>
      </c>
      <c r="K104" s="137" t="s">
        <v>193</v>
      </c>
      <c r="L104" s="137" t="s">
        <v>193</v>
      </c>
      <c r="M104" s="137" t="s">
        <v>193</v>
      </c>
      <c r="N104" s="137" t="s">
        <v>193</v>
      </c>
      <c r="O104" s="137" t="s">
        <v>193</v>
      </c>
      <c r="P104" s="137" t="s">
        <v>193</v>
      </c>
      <c r="Q104" s="137" t="s">
        <v>193</v>
      </c>
      <c r="R104" s="137" t="s">
        <v>193</v>
      </c>
      <c r="S104" s="137" t="s">
        <v>193</v>
      </c>
      <c r="T104" s="137" t="s">
        <v>193</v>
      </c>
      <c r="W104" s="12" t="str">
        <f t="shared" si="4"/>
        <v>Ja</v>
      </c>
      <c r="Y104" s="12" t="str">
        <f t="shared" si="5"/>
        <v>Nej</v>
      </c>
      <c r="Z104" s="12">
        <f t="shared" si="6"/>
        <v>0</v>
      </c>
      <c r="AA104" s="12">
        <f t="shared" si="7"/>
        <v>0</v>
      </c>
    </row>
    <row r="105" spans="1:27" ht="15" customHeight="1" x14ac:dyDescent="0.25">
      <c r="A105" s="137" t="s">
        <v>332</v>
      </c>
      <c r="B105" s="137" t="s">
        <v>333</v>
      </c>
      <c r="C105" s="137">
        <v>2018</v>
      </c>
      <c r="D105" s="137">
        <v>3.3780000000000001</v>
      </c>
      <c r="E105" s="137">
        <v>0</v>
      </c>
      <c r="F105" s="137" t="s">
        <v>935</v>
      </c>
      <c r="G105" s="137">
        <v>1.1100000000000001</v>
      </c>
      <c r="H105" s="137">
        <v>9</v>
      </c>
      <c r="I105" s="137">
        <v>0</v>
      </c>
      <c r="J105" s="137">
        <v>0</v>
      </c>
      <c r="K105" s="137" t="s">
        <v>193</v>
      </c>
      <c r="L105" s="137" t="s">
        <v>193</v>
      </c>
      <c r="M105" s="137" t="s">
        <v>193</v>
      </c>
      <c r="N105" s="137" t="s">
        <v>193</v>
      </c>
      <c r="O105" s="137" t="s">
        <v>193</v>
      </c>
      <c r="P105" s="137" t="s">
        <v>193</v>
      </c>
      <c r="Q105" s="137" t="s">
        <v>193</v>
      </c>
      <c r="R105" s="137" t="s">
        <v>193</v>
      </c>
      <c r="S105" s="137" t="s">
        <v>193</v>
      </c>
      <c r="T105" s="137" t="s">
        <v>193</v>
      </c>
      <c r="W105" s="12" t="str">
        <f t="shared" si="4"/>
        <v>Ja</v>
      </c>
      <c r="Y105" s="12" t="str">
        <f t="shared" si="5"/>
        <v>Nej</v>
      </c>
      <c r="Z105" s="12">
        <f t="shared" si="6"/>
        <v>0</v>
      </c>
      <c r="AA105" s="12">
        <f t="shared" si="7"/>
        <v>0</v>
      </c>
    </row>
    <row r="106" spans="1:27" ht="15" customHeight="1" x14ac:dyDescent="0.25">
      <c r="A106" s="137" t="s">
        <v>332</v>
      </c>
      <c r="B106" s="137" t="s">
        <v>334</v>
      </c>
      <c r="C106" s="137">
        <v>2018</v>
      </c>
      <c r="D106" s="137" t="s">
        <v>193</v>
      </c>
      <c r="E106" s="137" t="s">
        <v>193</v>
      </c>
      <c r="F106" s="137" t="s">
        <v>935</v>
      </c>
      <c r="G106" s="137">
        <v>1.1100000000000001</v>
      </c>
      <c r="H106" s="137">
        <v>9</v>
      </c>
      <c r="I106" s="137">
        <v>0</v>
      </c>
      <c r="J106" s="137">
        <v>0</v>
      </c>
      <c r="K106" s="137" t="s">
        <v>193</v>
      </c>
      <c r="L106" s="137" t="s">
        <v>193</v>
      </c>
      <c r="M106" s="137" t="s">
        <v>193</v>
      </c>
      <c r="N106" s="137" t="s">
        <v>193</v>
      </c>
      <c r="O106" s="137" t="s">
        <v>193</v>
      </c>
      <c r="P106" s="137" t="s">
        <v>193</v>
      </c>
      <c r="Q106" s="137" t="s">
        <v>193</v>
      </c>
      <c r="R106" s="137" t="s">
        <v>193</v>
      </c>
      <c r="S106" s="137" t="s">
        <v>193</v>
      </c>
      <c r="T106" s="137" t="s">
        <v>193</v>
      </c>
      <c r="W106" s="12" t="str">
        <f t="shared" si="4"/>
        <v>Ja</v>
      </c>
      <c r="Y106" s="12" t="str">
        <f t="shared" si="5"/>
        <v>Nej</v>
      </c>
      <c r="Z106" s="12">
        <f t="shared" si="6"/>
        <v>0</v>
      </c>
      <c r="AA106" s="12">
        <f t="shared" si="7"/>
        <v>0</v>
      </c>
    </row>
    <row r="107" spans="1:27" ht="15" customHeight="1" x14ac:dyDescent="0.25">
      <c r="A107" s="137" t="s">
        <v>335</v>
      </c>
      <c r="B107" s="137" t="s">
        <v>336</v>
      </c>
      <c r="C107" s="137">
        <v>2018</v>
      </c>
      <c r="D107" s="137">
        <v>0.27</v>
      </c>
      <c r="E107" s="137" t="s">
        <v>193</v>
      </c>
      <c r="F107" s="137" t="s">
        <v>968</v>
      </c>
      <c r="G107" s="137">
        <v>1.1000000000000001</v>
      </c>
      <c r="H107" s="137">
        <v>0</v>
      </c>
      <c r="I107" s="137">
        <v>0</v>
      </c>
      <c r="J107" s="137">
        <v>0</v>
      </c>
      <c r="K107" s="137" t="s">
        <v>193</v>
      </c>
      <c r="L107" s="137" t="s">
        <v>193</v>
      </c>
      <c r="M107" s="137" t="s">
        <v>193</v>
      </c>
      <c r="N107" s="137" t="s">
        <v>193</v>
      </c>
      <c r="O107" s="137" t="s">
        <v>193</v>
      </c>
      <c r="P107" s="137" t="s">
        <v>193</v>
      </c>
      <c r="Q107" s="137" t="s">
        <v>193</v>
      </c>
      <c r="R107" s="137" t="s">
        <v>193</v>
      </c>
      <c r="S107" s="137" t="s">
        <v>193</v>
      </c>
      <c r="T107" s="137" t="s">
        <v>193</v>
      </c>
      <c r="W107" s="12" t="str">
        <f t="shared" si="4"/>
        <v>Ja</v>
      </c>
      <c r="Y107" s="12" t="str">
        <f t="shared" si="5"/>
        <v>Nej</v>
      </c>
      <c r="Z107" s="12">
        <f t="shared" si="6"/>
        <v>0</v>
      </c>
      <c r="AA107" s="12">
        <f t="shared" si="7"/>
        <v>0</v>
      </c>
    </row>
    <row r="108" spans="1:27" ht="15" customHeight="1" x14ac:dyDescent="0.25">
      <c r="A108" s="137" t="s">
        <v>337</v>
      </c>
      <c r="B108" s="137" t="s">
        <v>338</v>
      </c>
      <c r="C108" s="137">
        <v>2018</v>
      </c>
      <c r="D108" s="137">
        <v>0.216</v>
      </c>
      <c r="E108" s="137" t="s">
        <v>193</v>
      </c>
      <c r="F108" s="137" t="s">
        <v>53</v>
      </c>
      <c r="G108" s="137">
        <v>2.2999999999999998</v>
      </c>
      <c r="H108" s="137">
        <v>329.19</v>
      </c>
      <c r="I108" s="137">
        <v>0.43</v>
      </c>
      <c r="J108" s="137">
        <v>0.40550000000000003</v>
      </c>
      <c r="K108" s="137" t="s">
        <v>193</v>
      </c>
      <c r="L108" s="137" t="s">
        <v>193</v>
      </c>
      <c r="M108" s="137" t="s">
        <v>193</v>
      </c>
      <c r="N108" s="137" t="s">
        <v>193</v>
      </c>
      <c r="O108" s="137" t="s">
        <v>193</v>
      </c>
      <c r="P108" s="137" t="s">
        <v>193</v>
      </c>
      <c r="Q108" s="137" t="s">
        <v>193</v>
      </c>
      <c r="R108" s="137" t="s">
        <v>193</v>
      </c>
      <c r="S108" s="137" t="s">
        <v>193</v>
      </c>
      <c r="T108" s="137" t="s">
        <v>193</v>
      </c>
      <c r="W108" s="12" t="str">
        <f t="shared" si="4"/>
        <v>Nej</v>
      </c>
      <c r="Y108" s="12" t="str">
        <f t="shared" si="5"/>
        <v>Nej</v>
      </c>
      <c r="Z108" s="12">
        <f t="shared" si="6"/>
        <v>0</v>
      </c>
      <c r="AA108" s="12">
        <f t="shared" si="7"/>
        <v>0</v>
      </c>
    </row>
    <row r="109" spans="1:27" ht="15" customHeight="1" x14ac:dyDescent="0.25">
      <c r="A109" s="137" t="s">
        <v>337</v>
      </c>
      <c r="B109" s="137" t="s">
        <v>339</v>
      </c>
      <c r="C109" s="137">
        <v>2018</v>
      </c>
      <c r="D109" s="137">
        <v>0.96299999999999997</v>
      </c>
      <c r="E109" s="137" t="s">
        <v>193</v>
      </c>
      <c r="F109" s="137" t="s">
        <v>53</v>
      </c>
      <c r="G109" s="137">
        <v>2.2999999999999998</v>
      </c>
      <c r="H109" s="137">
        <v>329.19</v>
      </c>
      <c r="I109" s="137">
        <v>0.43</v>
      </c>
      <c r="J109" s="137">
        <v>0.40550000000000003</v>
      </c>
      <c r="K109" s="137" t="s">
        <v>193</v>
      </c>
      <c r="L109" s="137" t="s">
        <v>193</v>
      </c>
      <c r="M109" s="137" t="s">
        <v>193</v>
      </c>
      <c r="N109" s="137" t="s">
        <v>193</v>
      </c>
      <c r="O109" s="137" t="s">
        <v>193</v>
      </c>
      <c r="P109" s="137" t="s">
        <v>193</v>
      </c>
      <c r="Q109" s="137" t="s">
        <v>193</v>
      </c>
      <c r="R109" s="137" t="s">
        <v>193</v>
      </c>
      <c r="S109" s="137" t="s">
        <v>193</v>
      </c>
      <c r="T109" s="137" t="s">
        <v>193</v>
      </c>
      <c r="W109" s="12" t="str">
        <f t="shared" si="4"/>
        <v>Nej</v>
      </c>
      <c r="Y109" s="12" t="str">
        <f t="shared" si="5"/>
        <v>Nej</v>
      </c>
      <c r="Z109" s="12">
        <f t="shared" si="6"/>
        <v>0</v>
      </c>
      <c r="AA109" s="12">
        <f t="shared" si="7"/>
        <v>0</v>
      </c>
    </row>
    <row r="110" spans="1:27" ht="15" customHeight="1" x14ac:dyDescent="0.25">
      <c r="A110" s="137" t="s">
        <v>337</v>
      </c>
      <c r="B110" s="137" t="s">
        <v>340</v>
      </c>
      <c r="C110" s="137">
        <v>2018</v>
      </c>
      <c r="D110" s="137" t="s">
        <v>193</v>
      </c>
      <c r="E110" s="137" t="s">
        <v>193</v>
      </c>
      <c r="F110" s="137" t="s">
        <v>53</v>
      </c>
      <c r="G110" s="137">
        <v>2.2999999999999998</v>
      </c>
      <c r="H110" s="137">
        <v>329.19</v>
      </c>
      <c r="I110" s="137">
        <v>0.43</v>
      </c>
      <c r="J110" s="137">
        <v>0.40550000000000003</v>
      </c>
      <c r="K110" s="137" t="s">
        <v>193</v>
      </c>
      <c r="L110" s="137" t="s">
        <v>193</v>
      </c>
      <c r="M110" s="137" t="s">
        <v>193</v>
      </c>
      <c r="N110" s="137" t="s">
        <v>193</v>
      </c>
      <c r="O110" s="137" t="s">
        <v>193</v>
      </c>
      <c r="P110" s="137" t="s">
        <v>193</v>
      </c>
      <c r="Q110" s="137" t="s">
        <v>193</v>
      </c>
      <c r="R110" s="137" t="s">
        <v>193</v>
      </c>
      <c r="S110" s="137" t="s">
        <v>193</v>
      </c>
      <c r="T110" s="137" t="s">
        <v>193</v>
      </c>
      <c r="W110" s="12" t="str">
        <f t="shared" si="4"/>
        <v>Nej</v>
      </c>
      <c r="Y110" s="12" t="str">
        <f t="shared" si="5"/>
        <v>Nej</v>
      </c>
      <c r="Z110" s="12">
        <f t="shared" si="6"/>
        <v>0</v>
      </c>
      <c r="AA110" s="12">
        <f t="shared" si="7"/>
        <v>0</v>
      </c>
    </row>
    <row r="111" spans="1:27" ht="15" customHeight="1" x14ac:dyDescent="0.25">
      <c r="A111" s="137" t="s">
        <v>341</v>
      </c>
      <c r="B111" s="137" t="s">
        <v>342</v>
      </c>
      <c r="C111" s="137">
        <v>2018</v>
      </c>
      <c r="D111" s="137">
        <v>11.042999999999999</v>
      </c>
      <c r="E111" s="137">
        <v>19.102</v>
      </c>
      <c r="F111" s="137" t="s">
        <v>969</v>
      </c>
      <c r="G111" s="137">
        <v>1.1000000000000001</v>
      </c>
      <c r="H111" s="137">
        <v>0</v>
      </c>
      <c r="I111" s="137">
        <v>0</v>
      </c>
      <c r="J111" s="137">
        <v>0</v>
      </c>
      <c r="K111" s="137" t="s">
        <v>193</v>
      </c>
      <c r="L111" s="137" t="s">
        <v>193</v>
      </c>
      <c r="M111" s="137" t="s">
        <v>193</v>
      </c>
      <c r="N111" s="137" t="s">
        <v>193</v>
      </c>
      <c r="O111" s="137" t="s">
        <v>193</v>
      </c>
      <c r="P111" s="137">
        <v>1.5</v>
      </c>
      <c r="Q111" s="137">
        <v>0.03</v>
      </c>
      <c r="R111" s="137">
        <v>8.9600000000000009</v>
      </c>
      <c r="S111" s="137">
        <v>6.92</v>
      </c>
      <c r="T111" s="137">
        <v>0</v>
      </c>
      <c r="W111" s="12" t="str">
        <f t="shared" si="4"/>
        <v>Ja</v>
      </c>
      <c r="Y111" s="12" t="str">
        <f t="shared" si="5"/>
        <v>Nej</v>
      </c>
      <c r="Z111" s="12">
        <f t="shared" si="6"/>
        <v>0</v>
      </c>
      <c r="AA111" s="12">
        <f t="shared" si="7"/>
        <v>0</v>
      </c>
    </row>
    <row r="112" spans="1:27" ht="15" customHeight="1" x14ac:dyDescent="0.25">
      <c r="A112" s="137" t="s">
        <v>343</v>
      </c>
      <c r="B112" s="137" t="s">
        <v>344</v>
      </c>
      <c r="C112" s="137">
        <v>2018</v>
      </c>
      <c r="D112" s="137">
        <v>0.38</v>
      </c>
      <c r="E112" s="137" t="s">
        <v>193</v>
      </c>
      <c r="F112" s="137" t="s">
        <v>970</v>
      </c>
      <c r="G112" s="137">
        <v>1.4</v>
      </c>
      <c r="H112" s="137">
        <v>0</v>
      </c>
      <c r="I112" s="137">
        <v>0</v>
      </c>
      <c r="J112" s="137">
        <v>0</v>
      </c>
      <c r="K112" s="137">
        <v>61.5</v>
      </c>
      <c r="L112" s="137">
        <v>0.11</v>
      </c>
      <c r="M112" s="137">
        <v>38.44</v>
      </c>
      <c r="N112" s="137">
        <v>5.26</v>
      </c>
      <c r="O112" s="137">
        <v>1</v>
      </c>
      <c r="P112" s="137" t="s">
        <v>193</v>
      </c>
      <c r="Q112" s="137" t="s">
        <v>193</v>
      </c>
      <c r="R112" s="137" t="s">
        <v>193</v>
      </c>
      <c r="S112" s="137" t="s">
        <v>193</v>
      </c>
      <c r="T112" s="137" t="s">
        <v>193</v>
      </c>
      <c r="W112" s="12" t="str">
        <f t="shared" si="4"/>
        <v>Ja</v>
      </c>
      <c r="Y112" s="12" t="str">
        <f t="shared" si="5"/>
        <v>Ja</v>
      </c>
      <c r="Z112" s="12">
        <f t="shared" si="6"/>
        <v>61.5</v>
      </c>
      <c r="AA112" s="12">
        <f t="shared" si="7"/>
        <v>0.01</v>
      </c>
    </row>
    <row r="113" spans="1:27" ht="15" customHeight="1" x14ac:dyDescent="0.25">
      <c r="A113" s="137" t="s">
        <v>345</v>
      </c>
      <c r="B113" s="137" t="s">
        <v>346</v>
      </c>
      <c r="C113" s="137">
        <v>2018</v>
      </c>
      <c r="D113" s="137">
        <v>0.09</v>
      </c>
      <c r="E113" s="137" t="s">
        <v>193</v>
      </c>
      <c r="F113" s="137" t="s">
        <v>53</v>
      </c>
      <c r="G113" s="137">
        <v>2.2999999999999998</v>
      </c>
      <c r="H113" s="137">
        <v>329.19</v>
      </c>
      <c r="I113" s="137">
        <v>0.43</v>
      </c>
      <c r="J113" s="137">
        <v>0.40550000000000003</v>
      </c>
      <c r="K113" s="137" t="s">
        <v>193</v>
      </c>
      <c r="L113" s="137" t="s">
        <v>193</v>
      </c>
      <c r="M113" s="137" t="s">
        <v>193</v>
      </c>
      <c r="N113" s="137" t="s">
        <v>193</v>
      </c>
      <c r="O113" s="137" t="s">
        <v>193</v>
      </c>
      <c r="P113" s="137" t="s">
        <v>193</v>
      </c>
      <c r="Q113" s="137" t="s">
        <v>193</v>
      </c>
      <c r="R113" s="137" t="s">
        <v>193</v>
      </c>
      <c r="S113" s="137" t="s">
        <v>193</v>
      </c>
      <c r="T113" s="137" t="s">
        <v>193</v>
      </c>
      <c r="W113" s="12" t="str">
        <f t="shared" si="4"/>
        <v>Nej</v>
      </c>
      <c r="Y113" s="12" t="str">
        <f t="shared" si="5"/>
        <v>Nej</v>
      </c>
      <c r="Z113" s="12">
        <f t="shared" si="6"/>
        <v>0</v>
      </c>
      <c r="AA113" s="12">
        <f t="shared" si="7"/>
        <v>0</v>
      </c>
    </row>
    <row r="114" spans="1:27" ht="15" customHeight="1" x14ac:dyDescent="0.25">
      <c r="A114" s="137" t="s">
        <v>345</v>
      </c>
      <c r="B114" s="137" t="s">
        <v>347</v>
      </c>
      <c r="C114" s="137">
        <v>2018</v>
      </c>
      <c r="D114" s="137">
        <v>0.42399999999999999</v>
      </c>
      <c r="E114" s="137" t="s">
        <v>193</v>
      </c>
      <c r="F114" s="137" t="s">
        <v>53</v>
      </c>
      <c r="G114" s="137">
        <v>2.2999999999999998</v>
      </c>
      <c r="H114" s="137">
        <v>329.19</v>
      </c>
      <c r="I114" s="137">
        <v>0.43</v>
      </c>
      <c r="J114" s="137">
        <v>0.40550000000000003</v>
      </c>
      <c r="K114" s="137" t="s">
        <v>193</v>
      </c>
      <c r="L114" s="137" t="s">
        <v>193</v>
      </c>
      <c r="M114" s="137" t="s">
        <v>193</v>
      </c>
      <c r="N114" s="137" t="s">
        <v>193</v>
      </c>
      <c r="O114" s="137" t="s">
        <v>193</v>
      </c>
      <c r="P114" s="137" t="s">
        <v>193</v>
      </c>
      <c r="Q114" s="137" t="s">
        <v>193</v>
      </c>
      <c r="R114" s="137" t="s">
        <v>193</v>
      </c>
      <c r="S114" s="137" t="s">
        <v>193</v>
      </c>
      <c r="T114" s="137" t="s">
        <v>193</v>
      </c>
      <c r="W114" s="12" t="str">
        <f t="shared" si="4"/>
        <v>Nej</v>
      </c>
      <c r="Y114" s="12" t="str">
        <f t="shared" si="5"/>
        <v>Nej</v>
      </c>
      <c r="Z114" s="12">
        <f t="shared" si="6"/>
        <v>0</v>
      </c>
      <c r="AA114" s="12">
        <f t="shared" si="7"/>
        <v>0</v>
      </c>
    </row>
    <row r="115" spans="1:27" ht="15" customHeight="1" x14ac:dyDescent="0.25">
      <c r="A115" s="137" t="s">
        <v>348</v>
      </c>
      <c r="B115" s="137" t="s">
        <v>349</v>
      </c>
      <c r="C115" s="137">
        <v>2018</v>
      </c>
      <c r="D115" s="137">
        <v>1</v>
      </c>
      <c r="E115" s="137">
        <v>1.6</v>
      </c>
      <c r="F115" s="137" t="s">
        <v>53</v>
      </c>
      <c r="G115" s="137">
        <v>2.2999999999999998</v>
      </c>
      <c r="H115" s="137">
        <v>329.19</v>
      </c>
      <c r="I115" s="137">
        <v>0.43</v>
      </c>
      <c r="J115" s="137">
        <v>0.40550000000000003</v>
      </c>
      <c r="K115" s="137" t="s">
        <v>193</v>
      </c>
      <c r="L115" s="137" t="s">
        <v>193</v>
      </c>
      <c r="M115" s="137" t="s">
        <v>193</v>
      </c>
      <c r="N115" s="137" t="s">
        <v>193</v>
      </c>
      <c r="O115" s="137" t="s">
        <v>193</v>
      </c>
      <c r="P115" s="137" t="s">
        <v>193</v>
      </c>
      <c r="Q115" s="137" t="s">
        <v>193</v>
      </c>
      <c r="R115" s="137" t="s">
        <v>193</v>
      </c>
      <c r="S115" s="137" t="s">
        <v>193</v>
      </c>
      <c r="T115" s="137" t="s">
        <v>193</v>
      </c>
      <c r="W115" s="12" t="str">
        <f t="shared" si="4"/>
        <v>Nej</v>
      </c>
      <c r="Y115" s="12" t="str">
        <f t="shared" si="5"/>
        <v>Nej</v>
      </c>
      <c r="Z115" s="12">
        <f t="shared" si="6"/>
        <v>0</v>
      </c>
      <c r="AA115" s="12">
        <f t="shared" si="7"/>
        <v>0</v>
      </c>
    </row>
    <row r="116" spans="1:27" ht="15" customHeight="1" x14ac:dyDescent="0.25">
      <c r="A116" s="137" t="s">
        <v>348</v>
      </c>
      <c r="B116" s="137" t="s">
        <v>350</v>
      </c>
      <c r="C116" s="137">
        <v>2018</v>
      </c>
      <c r="D116" s="137">
        <v>0.18</v>
      </c>
      <c r="E116" s="137" t="s">
        <v>193</v>
      </c>
      <c r="F116" s="137" t="s">
        <v>53</v>
      </c>
      <c r="G116" s="137">
        <v>2.2999999999999998</v>
      </c>
      <c r="H116" s="137">
        <v>329.19</v>
      </c>
      <c r="I116" s="137">
        <v>0.43</v>
      </c>
      <c r="J116" s="137">
        <v>0.40550000000000003</v>
      </c>
      <c r="K116" s="137" t="s">
        <v>193</v>
      </c>
      <c r="L116" s="137" t="s">
        <v>193</v>
      </c>
      <c r="M116" s="137" t="s">
        <v>193</v>
      </c>
      <c r="N116" s="137" t="s">
        <v>193</v>
      </c>
      <c r="O116" s="137" t="s">
        <v>193</v>
      </c>
      <c r="P116" s="137" t="s">
        <v>193</v>
      </c>
      <c r="Q116" s="137" t="s">
        <v>193</v>
      </c>
      <c r="R116" s="137" t="s">
        <v>193</v>
      </c>
      <c r="S116" s="137" t="s">
        <v>193</v>
      </c>
      <c r="T116" s="137" t="s">
        <v>193</v>
      </c>
      <c r="W116" s="12" t="str">
        <f t="shared" si="4"/>
        <v>Nej</v>
      </c>
      <c r="Y116" s="12" t="str">
        <f t="shared" si="5"/>
        <v>Nej</v>
      </c>
      <c r="Z116" s="12">
        <f t="shared" si="6"/>
        <v>0</v>
      </c>
      <c r="AA116" s="12">
        <f t="shared" si="7"/>
        <v>0</v>
      </c>
    </row>
    <row r="117" spans="1:27" ht="15" customHeight="1" x14ac:dyDescent="0.25">
      <c r="A117" s="137" t="s">
        <v>348</v>
      </c>
      <c r="B117" s="137" t="s">
        <v>351</v>
      </c>
      <c r="C117" s="137">
        <v>2018</v>
      </c>
      <c r="D117" s="137">
        <v>5.3999999999999999E-2</v>
      </c>
      <c r="E117" s="137" t="s">
        <v>193</v>
      </c>
      <c r="F117" s="137" t="s">
        <v>53</v>
      </c>
      <c r="G117" s="137">
        <v>2.2999999999999998</v>
      </c>
      <c r="H117" s="137">
        <v>329.19</v>
      </c>
      <c r="I117" s="137">
        <v>0.43</v>
      </c>
      <c r="J117" s="137">
        <v>0.40550000000000003</v>
      </c>
      <c r="K117" s="137" t="s">
        <v>193</v>
      </c>
      <c r="L117" s="137" t="s">
        <v>193</v>
      </c>
      <c r="M117" s="137" t="s">
        <v>193</v>
      </c>
      <c r="N117" s="137" t="s">
        <v>193</v>
      </c>
      <c r="O117" s="137" t="s">
        <v>193</v>
      </c>
      <c r="P117" s="137" t="s">
        <v>193</v>
      </c>
      <c r="Q117" s="137" t="s">
        <v>193</v>
      </c>
      <c r="R117" s="137" t="s">
        <v>193</v>
      </c>
      <c r="S117" s="137" t="s">
        <v>193</v>
      </c>
      <c r="T117" s="137" t="s">
        <v>193</v>
      </c>
      <c r="W117" s="12" t="str">
        <f t="shared" si="4"/>
        <v>Nej</v>
      </c>
      <c r="Y117" s="12" t="str">
        <f t="shared" si="5"/>
        <v>Nej</v>
      </c>
      <c r="Z117" s="12">
        <f t="shared" si="6"/>
        <v>0</v>
      </c>
      <c r="AA117" s="12">
        <f t="shared" si="7"/>
        <v>0</v>
      </c>
    </row>
    <row r="118" spans="1:27" ht="15" customHeight="1" x14ac:dyDescent="0.25">
      <c r="A118" s="137" t="s">
        <v>348</v>
      </c>
      <c r="B118" s="137" t="s">
        <v>352</v>
      </c>
      <c r="C118" s="137">
        <v>2018</v>
      </c>
      <c r="D118" s="137">
        <v>1.2</v>
      </c>
      <c r="E118" s="137">
        <v>1.4</v>
      </c>
      <c r="F118" s="137" t="s">
        <v>53</v>
      </c>
      <c r="G118" s="137">
        <v>2.2999999999999998</v>
      </c>
      <c r="H118" s="137">
        <v>329.19</v>
      </c>
      <c r="I118" s="137">
        <v>0.43</v>
      </c>
      <c r="J118" s="137">
        <v>0.40550000000000003</v>
      </c>
      <c r="K118" s="137" t="s">
        <v>193</v>
      </c>
      <c r="L118" s="137" t="s">
        <v>193</v>
      </c>
      <c r="M118" s="137" t="s">
        <v>193</v>
      </c>
      <c r="N118" s="137" t="s">
        <v>193</v>
      </c>
      <c r="O118" s="137" t="s">
        <v>193</v>
      </c>
      <c r="P118" s="137" t="s">
        <v>193</v>
      </c>
      <c r="Q118" s="137" t="s">
        <v>193</v>
      </c>
      <c r="R118" s="137" t="s">
        <v>193</v>
      </c>
      <c r="S118" s="137" t="s">
        <v>193</v>
      </c>
      <c r="T118" s="137" t="s">
        <v>193</v>
      </c>
      <c r="W118" s="12" t="str">
        <f t="shared" si="4"/>
        <v>Nej</v>
      </c>
      <c r="Y118" s="12" t="str">
        <f t="shared" si="5"/>
        <v>Nej</v>
      </c>
      <c r="Z118" s="12">
        <f t="shared" si="6"/>
        <v>0</v>
      </c>
      <c r="AA118" s="12">
        <f t="shared" si="7"/>
        <v>0</v>
      </c>
    </row>
    <row r="119" spans="1:27" ht="15" customHeight="1" x14ac:dyDescent="0.25">
      <c r="A119" s="137" t="s">
        <v>353</v>
      </c>
      <c r="B119" s="137" t="s">
        <v>78</v>
      </c>
      <c r="C119" s="137">
        <v>2018</v>
      </c>
      <c r="D119" s="137">
        <v>4.752E-2</v>
      </c>
      <c r="E119" s="137" t="s">
        <v>193</v>
      </c>
      <c r="F119" s="137" t="s">
        <v>53</v>
      </c>
      <c r="G119" s="137">
        <v>2.2999999999999998</v>
      </c>
      <c r="H119" s="137">
        <v>329.19</v>
      </c>
      <c r="I119" s="137">
        <v>0.42699999999999999</v>
      </c>
      <c r="J119" s="137">
        <v>0.40600000000000003</v>
      </c>
      <c r="K119" s="137" t="s">
        <v>193</v>
      </c>
      <c r="L119" s="137" t="s">
        <v>193</v>
      </c>
      <c r="M119" s="137" t="s">
        <v>193</v>
      </c>
      <c r="N119" s="137" t="s">
        <v>193</v>
      </c>
      <c r="O119" s="137" t="s">
        <v>193</v>
      </c>
      <c r="P119" s="137" t="s">
        <v>193</v>
      </c>
      <c r="Q119" s="137" t="s">
        <v>193</v>
      </c>
      <c r="R119" s="137" t="s">
        <v>193</v>
      </c>
      <c r="S119" s="137" t="s">
        <v>193</v>
      </c>
      <c r="T119" s="137" t="s">
        <v>193</v>
      </c>
      <c r="W119" s="12" t="str">
        <f t="shared" si="4"/>
        <v>Ja</v>
      </c>
      <c r="Y119" s="12" t="str">
        <f t="shared" si="5"/>
        <v>Nej</v>
      </c>
      <c r="Z119" s="12">
        <f t="shared" si="6"/>
        <v>0</v>
      </c>
      <c r="AA119" s="12">
        <f t="shared" si="7"/>
        <v>0</v>
      </c>
    </row>
    <row r="120" spans="1:27" ht="15" customHeight="1" x14ac:dyDescent="0.25">
      <c r="A120" s="137" t="s">
        <v>354</v>
      </c>
      <c r="B120" s="137" t="s">
        <v>355</v>
      </c>
      <c r="C120" s="137">
        <v>2018</v>
      </c>
      <c r="D120" s="137">
        <v>0.88300000000000001</v>
      </c>
      <c r="E120" s="137" t="s">
        <v>193</v>
      </c>
      <c r="F120" s="137" t="s">
        <v>971</v>
      </c>
      <c r="G120" s="137">
        <v>1.1000000000000001</v>
      </c>
      <c r="H120" s="137">
        <v>1.4999999999999999E-4</v>
      </c>
      <c r="I120" s="137">
        <v>0</v>
      </c>
      <c r="J120" s="137">
        <v>0</v>
      </c>
      <c r="K120" s="137" t="s">
        <v>193</v>
      </c>
      <c r="L120" s="137" t="s">
        <v>193</v>
      </c>
      <c r="M120" s="137" t="s">
        <v>193</v>
      </c>
      <c r="N120" s="137" t="s">
        <v>193</v>
      </c>
      <c r="O120" s="137" t="s">
        <v>193</v>
      </c>
      <c r="P120" s="137" t="s">
        <v>193</v>
      </c>
      <c r="Q120" s="137" t="s">
        <v>193</v>
      </c>
      <c r="R120" s="137" t="s">
        <v>193</v>
      </c>
      <c r="S120" s="137" t="s">
        <v>193</v>
      </c>
      <c r="T120" s="137" t="s">
        <v>193</v>
      </c>
      <c r="W120" s="12" t="str">
        <f t="shared" si="4"/>
        <v>Ja</v>
      </c>
      <c r="Y120" s="12" t="str">
        <f t="shared" si="5"/>
        <v>Nej</v>
      </c>
      <c r="Z120" s="12">
        <f t="shared" si="6"/>
        <v>0</v>
      </c>
      <c r="AA120" s="12">
        <f t="shared" si="7"/>
        <v>0</v>
      </c>
    </row>
    <row r="121" spans="1:27" ht="15" customHeight="1" x14ac:dyDescent="0.25">
      <c r="A121" s="137" t="s">
        <v>356</v>
      </c>
      <c r="B121" s="137" t="s">
        <v>357</v>
      </c>
      <c r="C121" s="137">
        <v>2018</v>
      </c>
      <c r="D121" s="137">
        <v>3.4</v>
      </c>
      <c r="E121" s="137">
        <v>5.4</v>
      </c>
      <c r="F121" s="137" t="s">
        <v>953</v>
      </c>
      <c r="G121" s="137">
        <v>0.03</v>
      </c>
      <c r="H121" s="137">
        <v>0</v>
      </c>
      <c r="I121" s="137">
        <v>0</v>
      </c>
      <c r="J121" s="137">
        <v>0</v>
      </c>
      <c r="K121" s="137" t="s">
        <v>193</v>
      </c>
      <c r="L121" s="137" t="s">
        <v>193</v>
      </c>
      <c r="M121" s="137" t="s">
        <v>193</v>
      </c>
      <c r="N121" s="137" t="s">
        <v>193</v>
      </c>
      <c r="O121" s="137" t="s">
        <v>193</v>
      </c>
      <c r="P121" s="137" t="s">
        <v>193</v>
      </c>
      <c r="Q121" s="137" t="s">
        <v>193</v>
      </c>
      <c r="R121" s="137" t="s">
        <v>193</v>
      </c>
      <c r="S121" s="137" t="s">
        <v>193</v>
      </c>
      <c r="T121" s="137" t="s">
        <v>193</v>
      </c>
      <c r="W121" s="12" t="str">
        <f t="shared" si="4"/>
        <v>Ja</v>
      </c>
      <c r="Y121" s="12" t="str">
        <f t="shared" si="5"/>
        <v>Nej</v>
      </c>
      <c r="Z121" s="12">
        <f t="shared" si="6"/>
        <v>0</v>
      </c>
      <c r="AA121" s="12">
        <f t="shared" si="7"/>
        <v>0</v>
      </c>
    </row>
    <row r="122" spans="1:27" ht="15" customHeight="1" x14ac:dyDescent="0.25">
      <c r="A122" s="137" t="s">
        <v>358</v>
      </c>
      <c r="B122" s="137" t="s">
        <v>359</v>
      </c>
      <c r="C122" s="137">
        <v>2018</v>
      </c>
      <c r="D122" s="137">
        <v>8.1999999999999993</v>
      </c>
      <c r="E122" s="137" t="s">
        <v>193</v>
      </c>
      <c r="F122" s="137" t="s">
        <v>935</v>
      </c>
      <c r="G122" s="137">
        <v>1.1000000000000001</v>
      </c>
      <c r="H122" s="137">
        <v>0.02</v>
      </c>
      <c r="I122" s="137">
        <v>0</v>
      </c>
      <c r="J122" s="137">
        <v>0</v>
      </c>
      <c r="K122" s="137" t="s">
        <v>193</v>
      </c>
      <c r="L122" s="137" t="s">
        <v>193</v>
      </c>
      <c r="M122" s="137" t="s">
        <v>193</v>
      </c>
      <c r="N122" s="137" t="s">
        <v>193</v>
      </c>
      <c r="O122" s="137" t="s">
        <v>193</v>
      </c>
      <c r="P122" s="137" t="s">
        <v>193</v>
      </c>
      <c r="Q122" s="137" t="s">
        <v>193</v>
      </c>
      <c r="R122" s="137" t="s">
        <v>193</v>
      </c>
      <c r="S122" s="137" t="s">
        <v>193</v>
      </c>
      <c r="T122" s="137" t="s">
        <v>193</v>
      </c>
      <c r="W122" s="12" t="str">
        <f t="shared" si="4"/>
        <v>Ja</v>
      </c>
      <c r="Y122" s="12" t="str">
        <f t="shared" si="5"/>
        <v>Nej</v>
      </c>
      <c r="Z122" s="12">
        <f t="shared" si="6"/>
        <v>0</v>
      </c>
      <c r="AA122" s="12">
        <f t="shared" si="7"/>
        <v>0</v>
      </c>
    </row>
    <row r="123" spans="1:27" ht="15" customHeight="1" x14ac:dyDescent="0.25">
      <c r="A123" s="137" t="s">
        <v>358</v>
      </c>
      <c r="B123" s="137" t="s">
        <v>360</v>
      </c>
      <c r="C123" s="137">
        <v>2018</v>
      </c>
      <c r="D123" s="137">
        <v>0.52</v>
      </c>
      <c r="E123" s="137" t="s">
        <v>193</v>
      </c>
      <c r="F123" s="137" t="s">
        <v>935</v>
      </c>
      <c r="G123" s="137">
        <v>1.1000000000000001</v>
      </c>
      <c r="H123" s="137">
        <v>0.02</v>
      </c>
      <c r="I123" s="137">
        <v>0</v>
      </c>
      <c r="J123" s="137">
        <v>0</v>
      </c>
      <c r="K123" s="137" t="s">
        <v>193</v>
      </c>
      <c r="L123" s="137" t="s">
        <v>193</v>
      </c>
      <c r="M123" s="137" t="s">
        <v>193</v>
      </c>
      <c r="N123" s="137" t="s">
        <v>193</v>
      </c>
      <c r="O123" s="137" t="s">
        <v>193</v>
      </c>
      <c r="P123" s="137" t="s">
        <v>193</v>
      </c>
      <c r="Q123" s="137" t="s">
        <v>193</v>
      </c>
      <c r="R123" s="137" t="s">
        <v>193</v>
      </c>
      <c r="S123" s="137" t="s">
        <v>193</v>
      </c>
      <c r="T123" s="137" t="s">
        <v>193</v>
      </c>
      <c r="W123" s="12" t="str">
        <f t="shared" si="4"/>
        <v>Ja</v>
      </c>
      <c r="Y123" s="12" t="str">
        <f t="shared" si="5"/>
        <v>Nej</v>
      </c>
      <c r="Z123" s="12">
        <f t="shared" si="6"/>
        <v>0</v>
      </c>
      <c r="AA123" s="12">
        <f t="shared" si="7"/>
        <v>0</v>
      </c>
    </row>
    <row r="124" spans="1:27" ht="15" customHeight="1" x14ac:dyDescent="0.25">
      <c r="A124" s="137" t="s">
        <v>362</v>
      </c>
      <c r="B124" s="137" t="s">
        <v>363</v>
      </c>
      <c r="C124" s="137">
        <v>2018</v>
      </c>
      <c r="D124" s="137">
        <v>0.37866899999999998</v>
      </c>
      <c r="E124" s="137" t="s">
        <v>193</v>
      </c>
      <c r="F124" s="137" t="s">
        <v>935</v>
      </c>
      <c r="G124" s="137">
        <v>1.1000000000000001</v>
      </c>
      <c r="H124" s="137">
        <v>0</v>
      </c>
      <c r="I124" s="137">
        <v>0</v>
      </c>
      <c r="J124" s="137">
        <v>0</v>
      </c>
      <c r="K124" s="137" t="s">
        <v>193</v>
      </c>
      <c r="L124" s="137" t="s">
        <v>193</v>
      </c>
      <c r="M124" s="137" t="s">
        <v>193</v>
      </c>
      <c r="N124" s="137" t="s">
        <v>193</v>
      </c>
      <c r="O124" s="137" t="s">
        <v>193</v>
      </c>
      <c r="P124" s="137" t="s">
        <v>193</v>
      </c>
      <c r="Q124" s="137" t="s">
        <v>193</v>
      </c>
      <c r="R124" s="137" t="s">
        <v>193</v>
      </c>
      <c r="S124" s="137" t="s">
        <v>193</v>
      </c>
      <c r="T124" s="137" t="s">
        <v>193</v>
      </c>
      <c r="W124" s="12" t="str">
        <f t="shared" si="4"/>
        <v>Ja</v>
      </c>
      <c r="Y124" s="12" t="str">
        <f t="shared" si="5"/>
        <v>Nej</v>
      </c>
      <c r="Z124" s="12">
        <f t="shared" si="6"/>
        <v>0</v>
      </c>
      <c r="AA124" s="12">
        <f t="shared" si="7"/>
        <v>0</v>
      </c>
    </row>
    <row r="125" spans="1:27" ht="15" customHeight="1" x14ac:dyDescent="0.25">
      <c r="A125" s="137" t="s">
        <v>364</v>
      </c>
      <c r="B125" s="137" t="s">
        <v>365</v>
      </c>
      <c r="C125" s="137">
        <v>2018</v>
      </c>
      <c r="D125" s="137">
        <v>1.3</v>
      </c>
      <c r="E125" s="137" t="s">
        <v>193</v>
      </c>
      <c r="F125" s="137" t="s">
        <v>53</v>
      </c>
      <c r="G125" s="137">
        <v>2.2999999999999998</v>
      </c>
      <c r="H125" s="137">
        <v>329.19</v>
      </c>
      <c r="I125" s="137">
        <v>0.43</v>
      </c>
      <c r="J125" s="137">
        <v>0.40550000000000003</v>
      </c>
      <c r="K125" s="137" t="s">
        <v>193</v>
      </c>
      <c r="L125" s="137" t="s">
        <v>193</v>
      </c>
      <c r="M125" s="137" t="s">
        <v>193</v>
      </c>
      <c r="N125" s="137" t="s">
        <v>193</v>
      </c>
      <c r="O125" s="137" t="s">
        <v>193</v>
      </c>
      <c r="P125" s="137" t="s">
        <v>193</v>
      </c>
      <c r="Q125" s="137" t="s">
        <v>193</v>
      </c>
      <c r="R125" s="137" t="s">
        <v>193</v>
      </c>
      <c r="S125" s="137" t="s">
        <v>193</v>
      </c>
      <c r="T125" s="137" t="s">
        <v>193</v>
      </c>
      <c r="W125" s="12" t="str">
        <f t="shared" si="4"/>
        <v>Nej</v>
      </c>
      <c r="Y125" s="12" t="str">
        <f t="shared" si="5"/>
        <v>Nej</v>
      </c>
      <c r="Z125" s="12">
        <f t="shared" si="6"/>
        <v>0</v>
      </c>
      <c r="AA125" s="12">
        <f t="shared" si="7"/>
        <v>0</v>
      </c>
    </row>
    <row r="126" spans="1:27" ht="15" customHeight="1" x14ac:dyDescent="0.25">
      <c r="A126" s="137" t="s">
        <v>366</v>
      </c>
      <c r="B126" s="137" t="s">
        <v>367</v>
      </c>
      <c r="C126" s="137">
        <v>2018</v>
      </c>
      <c r="D126" s="137" t="s">
        <v>193</v>
      </c>
      <c r="E126" s="137" t="s">
        <v>193</v>
      </c>
      <c r="F126" s="137" t="s">
        <v>972</v>
      </c>
      <c r="G126" s="137">
        <v>0.8377</v>
      </c>
      <c r="H126" s="137">
        <v>0.19</v>
      </c>
      <c r="I126" s="137">
        <v>0</v>
      </c>
      <c r="J126" s="137">
        <v>0</v>
      </c>
      <c r="K126" s="137" t="s">
        <v>193</v>
      </c>
      <c r="L126" s="137" t="s">
        <v>193</v>
      </c>
      <c r="M126" s="137" t="s">
        <v>193</v>
      </c>
      <c r="N126" s="137" t="s">
        <v>193</v>
      </c>
      <c r="O126" s="137" t="s">
        <v>193</v>
      </c>
      <c r="P126" s="137" t="s">
        <v>193</v>
      </c>
      <c r="Q126" s="137" t="s">
        <v>193</v>
      </c>
      <c r="R126" s="137" t="s">
        <v>193</v>
      </c>
      <c r="S126" s="137" t="s">
        <v>193</v>
      </c>
      <c r="T126" s="137" t="s">
        <v>193</v>
      </c>
      <c r="W126" s="12" t="str">
        <f t="shared" si="4"/>
        <v>Ja</v>
      </c>
      <c r="Y126" s="12" t="str">
        <f t="shared" si="5"/>
        <v>Nej</v>
      </c>
      <c r="Z126" s="12">
        <f t="shared" si="6"/>
        <v>0</v>
      </c>
      <c r="AA126" s="12">
        <f t="shared" si="7"/>
        <v>0</v>
      </c>
    </row>
    <row r="127" spans="1:27" ht="15" customHeight="1" x14ac:dyDescent="0.25">
      <c r="A127" s="137" t="s">
        <v>366</v>
      </c>
      <c r="B127" s="137" t="s">
        <v>368</v>
      </c>
      <c r="C127" s="137">
        <v>2018</v>
      </c>
      <c r="D127" s="137" t="s">
        <v>193</v>
      </c>
      <c r="E127" s="137" t="s">
        <v>193</v>
      </c>
      <c r="F127" s="137" t="s">
        <v>973</v>
      </c>
      <c r="G127" s="137">
        <v>1.1084000000000001</v>
      </c>
      <c r="H127" s="137">
        <v>0</v>
      </c>
      <c r="I127" s="137">
        <v>0</v>
      </c>
      <c r="J127" s="137">
        <v>0</v>
      </c>
      <c r="K127" s="137" t="s">
        <v>193</v>
      </c>
      <c r="L127" s="137" t="s">
        <v>193</v>
      </c>
      <c r="M127" s="137" t="s">
        <v>193</v>
      </c>
      <c r="N127" s="137" t="s">
        <v>193</v>
      </c>
      <c r="O127" s="137" t="s">
        <v>193</v>
      </c>
      <c r="P127" s="137" t="s">
        <v>193</v>
      </c>
      <c r="Q127" s="137" t="s">
        <v>193</v>
      </c>
      <c r="R127" s="137" t="s">
        <v>193</v>
      </c>
      <c r="S127" s="137" t="s">
        <v>193</v>
      </c>
      <c r="T127" s="137" t="s">
        <v>193</v>
      </c>
      <c r="W127" s="12" t="str">
        <f t="shared" si="4"/>
        <v>Ja</v>
      </c>
      <c r="Y127" s="12" t="str">
        <f t="shared" si="5"/>
        <v>Nej</v>
      </c>
      <c r="Z127" s="12">
        <f t="shared" si="6"/>
        <v>0</v>
      </c>
      <c r="AA127" s="12">
        <f t="shared" si="7"/>
        <v>0</v>
      </c>
    </row>
    <row r="128" spans="1:27" ht="15" customHeight="1" x14ac:dyDescent="0.25">
      <c r="A128" s="137" t="s">
        <v>366</v>
      </c>
      <c r="B128" s="137" t="s">
        <v>369</v>
      </c>
      <c r="C128" s="137">
        <v>2018</v>
      </c>
      <c r="D128" s="137" t="s">
        <v>193</v>
      </c>
      <c r="E128" s="137" t="s">
        <v>193</v>
      </c>
      <c r="F128" s="137" t="s">
        <v>973</v>
      </c>
      <c r="G128" s="137">
        <v>1.1084000000000001</v>
      </c>
      <c r="H128" s="137">
        <v>0</v>
      </c>
      <c r="I128" s="137">
        <v>0</v>
      </c>
      <c r="J128" s="137">
        <v>0</v>
      </c>
      <c r="K128" s="137" t="s">
        <v>193</v>
      </c>
      <c r="L128" s="137" t="s">
        <v>193</v>
      </c>
      <c r="M128" s="137" t="s">
        <v>193</v>
      </c>
      <c r="N128" s="137" t="s">
        <v>193</v>
      </c>
      <c r="O128" s="137" t="s">
        <v>193</v>
      </c>
      <c r="P128" s="137" t="s">
        <v>193</v>
      </c>
      <c r="Q128" s="137" t="s">
        <v>193</v>
      </c>
      <c r="R128" s="137" t="s">
        <v>193</v>
      </c>
      <c r="S128" s="137" t="s">
        <v>193</v>
      </c>
      <c r="T128" s="137" t="s">
        <v>193</v>
      </c>
      <c r="W128" s="12" t="str">
        <f t="shared" si="4"/>
        <v>Ja</v>
      </c>
      <c r="Y128" s="12" t="str">
        <f t="shared" si="5"/>
        <v>Nej</v>
      </c>
      <c r="Z128" s="12">
        <f t="shared" si="6"/>
        <v>0</v>
      </c>
      <c r="AA128" s="12">
        <f t="shared" si="7"/>
        <v>0</v>
      </c>
    </row>
    <row r="129" spans="1:27" ht="15" customHeight="1" x14ac:dyDescent="0.25">
      <c r="A129" s="137" t="s">
        <v>366</v>
      </c>
      <c r="B129" s="137" t="s">
        <v>370</v>
      </c>
      <c r="C129" s="137">
        <v>2018</v>
      </c>
      <c r="D129" s="137" t="s">
        <v>193</v>
      </c>
      <c r="E129" s="137" t="s">
        <v>193</v>
      </c>
      <c r="F129" s="137" t="s">
        <v>974</v>
      </c>
      <c r="G129" s="137">
        <v>1.1084000000000001</v>
      </c>
      <c r="H129" s="137">
        <v>0</v>
      </c>
      <c r="I129" s="137">
        <v>0</v>
      </c>
      <c r="J129" s="137">
        <v>0</v>
      </c>
      <c r="K129" s="137" t="s">
        <v>193</v>
      </c>
      <c r="L129" s="137" t="s">
        <v>193</v>
      </c>
      <c r="M129" s="137" t="s">
        <v>193</v>
      </c>
      <c r="N129" s="137" t="s">
        <v>193</v>
      </c>
      <c r="O129" s="137" t="s">
        <v>193</v>
      </c>
      <c r="P129" s="137">
        <v>1.738</v>
      </c>
      <c r="Q129" s="137">
        <v>0.12</v>
      </c>
      <c r="R129" s="137">
        <v>0</v>
      </c>
      <c r="S129" s="137">
        <v>0</v>
      </c>
      <c r="T129" s="137">
        <v>0</v>
      </c>
      <c r="W129" s="12" t="str">
        <f t="shared" si="4"/>
        <v>Ja</v>
      </c>
      <c r="Y129" s="12" t="str">
        <f t="shared" si="5"/>
        <v>Nej</v>
      </c>
      <c r="Z129" s="12">
        <f t="shared" si="6"/>
        <v>0</v>
      </c>
      <c r="AA129" s="12">
        <f t="shared" si="7"/>
        <v>0</v>
      </c>
    </row>
    <row r="130" spans="1:27" ht="15" customHeight="1" x14ac:dyDescent="0.25">
      <c r="A130" s="137" t="s">
        <v>371</v>
      </c>
      <c r="B130" s="137" t="s">
        <v>81</v>
      </c>
      <c r="C130" s="137">
        <v>2018</v>
      </c>
      <c r="D130" s="137" t="s">
        <v>193</v>
      </c>
      <c r="E130" s="137" t="s">
        <v>193</v>
      </c>
      <c r="F130" s="137" t="s">
        <v>53</v>
      </c>
      <c r="G130" s="137">
        <v>2.2999999999999998</v>
      </c>
      <c r="H130" s="137">
        <v>329.19</v>
      </c>
      <c r="I130" s="137">
        <v>0.43</v>
      </c>
      <c r="J130" s="137">
        <v>0.40550000000000003</v>
      </c>
      <c r="K130" s="137" t="s">
        <v>193</v>
      </c>
      <c r="L130" s="137" t="s">
        <v>193</v>
      </c>
      <c r="M130" s="137" t="s">
        <v>193</v>
      </c>
      <c r="N130" s="137" t="s">
        <v>193</v>
      </c>
      <c r="O130" s="137" t="s">
        <v>193</v>
      </c>
      <c r="P130" s="137" t="s">
        <v>193</v>
      </c>
      <c r="Q130" s="137" t="s">
        <v>193</v>
      </c>
      <c r="R130" s="137" t="s">
        <v>193</v>
      </c>
      <c r="S130" s="137" t="s">
        <v>193</v>
      </c>
      <c r="T130" s="137" t="s">
        <v>193</v>
      </c>
      <c r="W130" s="12" t="str">
        <f t="shared" ref="W130:W193" si="8">IF(OR(AND(G130&lt;&gt;$AD$3,G130&lt;&gt;"-"),AND(H130&lt;&gt;$AD$4,H130&lt;&gt;"-"),AND(I130&lt;&gt;$AD$5,I130&lt;&gt;"-"),AND(J130&lt;&gt;$AD$6,J130&lt;&gt;"-")),"Ja","Nej")</f>
        <v>Nej</v>
      </c>
      <c r="Y130" s="12" t="str">
        <f t="shared" ref="Y130:Y193" si="9">IF(ISERROR(1/K130),"Nej","Ja")</f>
        <v>Nej</v>
      </c>
      <c r="Z130" s="12">
        <f t="shared" ref="Z130:Z193" si="10">IF(Y130="nej",0,K130)</f>
        <v>0</v>
      </c>
      <c r="AA130" s="12">
        <f t="shared" ref="AA130:AA193" si="11">IF(Y130="nej",0,O130/100)</f>
        <v>0</v>
      </c>
    </row>
    <row r="131" spans="1:27" ht="15" customHeight="1" x14ac:dyDescent="0.25">
      <c r="A131" s="137" t="s">
        <v>372</v>
      </c>
      <c r="B131" s="137" t="s">
        <v>373</v>
      </c>
      <c r="C131" s="137">
        <v>2018</v>
      </c>
      <c r="D131" s="137">
        <v>0.49</v>
      </c>
      <c r="E131" s="137" t="s">
        <v>193</v>
      </c>
      <c r="F131" s="137" t="s">
        <v>953</v>
      </c>
      <c r="G131" s="137">
        <v>2</v>
      </c>
      <c r="H131" s="137">
        <v>0</v>
      </c>
      <c r="I131" s="137">
        <v>0</v>
      </c>
      <c r="J131" s="137">
        <v>0</v>
      </c>
      <c r="K131" s="137" t="s">
        <v>193</v>
      </c>
      <c r="L131" s="137" t="s">
        <v>193</v>
      </c>
      <c r="M131" s="137" t="s">
        <v>193</v>
      </c>
      <c r="N131" s="137" t="s">
        <v>193</v>
      </c>
      <c r="O131" s="137" t="s">
        <v>193</v>
      </c>
      <c r="P131" s="137" t="s">
        <v>193</v>
      </c>
      <c r="Q131" s="137" t="s">
        <v>193</v>
      </c>
      <c r="R131" s="137" t="s">
        <v>193</v>
      </c>
      <c r="S131" s="137" t="s">
        <v>193</v>
      </c>
      <c r="T131" s="137" t="s">
        <v>193</v>
      </c>
      <c r="W131" s="12" t="str">
        <f t="shared" si="8"/>
        <v>Ja</v>
      </c>
      <c r="Y131" s="12" t="str">
        <f t="shared" si="9"/>
        <v>Nej</v>
      </c>
      <c r="Z131" s="12">
        <f t="shared" si="10"/>
        <v>0</v>
      </c>
      <c r="AA131" s="12">
        <f t="shared" si="11"/>
        <v>0</v>
      </c>
    </row>
    <row r="132" spans="1:27" ht="15" customHeight="1" x14ac:dyDescent="0.25">
      <c r="A132" s="137" t="s">
        <v>372</v>
      </c>
      <c r="B132" s="137" t="s">
        <v>374</v>
      </c>
      <c r="C132" s="137">
        <v>2018</v>
      </c>
      <c r="D132" s="137">
        <v>11.38</v>
      </c>
      <c r="E132" s="137">
        <v>33.64</v>
      </c>
      <c r="F132" s="137" t="s">
        <v>953</v>
      </c>
      <c r="G132" s="137">
        <v>2</v>
      </c>
      <c r="H132" s="137">
        <v>0</v>
      </c>
      <c r="I132" s="137">
        <v>0</v>
      </c>
      <c r="J132" s="137">
        <v>0</v>
      </c>
      <c r="K132" s="137" t="s">
        <v>193</v>
      </c>
      <c r="L132" s="137" t="s">
        <v>193</v>
      </c>
      <c r="M132" s="137" t="s">
        <v>193</v>
      </c>
      <c r="N132" s="137" t="s">
        <v>193</v>
      </c>
      <c r="O132" s="137" t="s">
        <v>193</v>
      </c>
      <c r="P132" s="137">
        <v>9.06</v>
      </c>
      <c r="Q132" s="137">
        <v>0.11</v>
      </c>
      <c r="R132" s="137">
        <v>4</v>
      </c>
      <c r="S132" s="137">
        <v>14</v>
      </c>
      <c r="T132" s="137">
        <v>0</v>
      </c>
      <c r="W132" s="12" t="str">
        <f t="shared" si="8"/>
        <v>Ja</v>
      </c>
      <c r="Y132" s="12" t="str">
        <f t="shared" si="9"/>
        <v>Nej</v>
      </c>
      <c r="Z132" s="12">
        <f t="shared" si="10"/>
        <v>0</v>
      </c>
      <c r="AA132" s="12">
        <f t="shared" si="11"/>
        <v>0</v>
      </c>
    </row>
    <row r="133" spans="1:27" ht="15" customHeight="1" x14ac:dyDescent="0.25">
      <c r="A133" s="137" t="s">
        <v>372</v>
      </c>
      <c r="B133" s="137" t="s">
        <v>375</v>
      </c>
      <c r="C133" s="137">
        <v>2018</v>
      </c>
      <c r="D133" s="137">
        <v>0.09</v>
      </c>
      <c r="E133" s="137" t="s">
        <v>193</v>
      </c>
      <c r="F133" s="137" t="s">
        <v>953</v>
      </c>
      <c r="G133" s="137">
        <v>2</v>
      </c>
      <c r="H133" s="137">
        <v>0</v>
      </c>
      <c r="I133" s="137">
        <v>0</v>
      </c>
      <c r="J133" s="137">
        <v>0</v>
      </c>
      <c r="K133" s="137" t="s">
        <v>193</v>
      </c>
      <c r="L133" s="137" t="s">
        <v>193</v>
      </c>
      <c r="M133" s="137" t="s">
        <v>193</v>
      </c>
      <c r="N133" s="137" t="s">
        <v>193</v>
      </c>
      <c r="O133" s="137" t="s">
        <v>193</v>
      </c>
      <c r="P133" s="137" t="s">
        <v>193</v>
      </c>
      <c r="Q133" s="137" t="s">
        <v>193</v>
      </c>
      <c r="R133" s="137" t="s">
        <v>193</v>
      </c>
      <c r="S133" s="137" t="s">
        <v>193</v>
      </c>
      <c r="T133" s="137" t="s">
        <v>193</v>
      </c>
      <c r="W133" s="12" t="str">
        <f t="shared" si="8"/>
        <v>Ja</v>
      </c>
      <c r="Y133" s="12" t="str">
        <f t="shared" si="9"/>
        <v>Nej</v>
      </c>
      <c r="Z133" s="12">
        <f t="shared" si="10"/>
        <v>0</v>
      </c>
      <c r="AA133" s="12">
        <f t="shared" si="11"/>
        <v>0</v>
      </c>
    </row>
    <row r="134" spans="1:27" ht="15" customHeight="1" x14ac:dyDescent="0.25">
      <c r="A134" s="137" t="s">
        <v>376</v>
      </c>
      <c r="B134" s="137" t="s">
        <v>377</v>
      </c>
      <c r="C134" s="137">
        <v>2018</v>
      </c>
      <c r="D134" s="137">
        <v>7</v>
      </c>
      <c r="E134" s="137">
        <v>18.100000000000001</v>
      </c>
      <c r="F134" s="137" t="s">
        <v>975</v>
      </c>
      <c r="G134" s="137">
        <v>1.1000000000000001</v>
      </c>
      <c r="H134" s="137">
        <v>0</v>
      </c>
      <c r="I134" s="137">
        <v>0</v>
      </c>
      <c r="J134" s="137">
        <v>0</v>
      </c>
      <c r="K134" s="137" t="s">
        <v>193</v>
      </c>
      <c r="L134" s="137" t="s">
        <v>193</v>
      </c>
      <c r="M134" s="137" t="s">
        <v>193</v>
      </c>
      <c r="N134" s="137" t="s">
        <v>193</v>
      </c>
      <c r="O134" s="137" t="s">
        <v>193</v>
      </c>
      <c r="P134" s="137" t="s">
        <v>193</v>
      </c>
      <c r="Q134" s="137" t="s">
        <v>193</v>
      </c>
      <c r="R134" s="137" t="s">
        <v>193</v>
      </c>
      <c r="S134" s="137" t="s">
        <v>193</v>
      </c>
      <c r="T134" s="137" t="s">
        <v>193</v>
      </c>
      <c r="W134" s="12" t="str">
        <f t="shared" si="8"/>
        <v>Ja</v>
      </c>
      <c r="Y134" s="12" t="str">
        <f t="shared" si="9"/>
        <v>Nej</v>
      </c>
      <c r="Z134" s="12">
        <f t="shared" si="10"/>
        <v>0</v>
      </c>
      <c r="AA134" s="12">
        <f t="shared" si="11"/>
        <v>0</v>
      </c>
    </row>
    <row r="135" spans="1:27" ht="15" customHeight="1" x14ac:dyDescent="0.25">
      <c r="A135" s="137" t="s">
        <v>378</v>
      </c>
      <c r="B135" s="137" t="s">
        <v>84</v>
      </c>
      <c r="C135" s="137">
        <v>2018</v>
      </c>
      <c r="D135" s="137" t="s">
        <v>193</v>
      </c>
      <c r="E135" s="137" t="s">
        <v>193</v>
      </c>
      <c r="F135" s="137" t="s">
        <v>53</v>
      </c>
      <c r="G135" s="137">
        <v>2.2999999999999998</v>
      </c>
      <c r="H135" s="137">
        <v>329.19</v>
      </c>
      <c r="I135" s="137">
        <v>0.43</v>
      </c>
      <c r="J135" s="137">
        <v>0.40550000000000003</v>
      </c>
      <c r="K135" s="137" t="s">
        <v>193</v>
      </c>
      <c r="L135" s="137" t="s">
        <v>193</v>
      </c>
      <c r="M135" s="137" t="s">
        <v>193</v>
      </c>
      <c r="N135" s="137" t="s">
        <v>193</v>
      </c>
      <c r="O135" s="137" t="s">
        <v>193</v>
      </c>
      <c r="P135" s="137" t="s">
        <v>193</v>
      </c>
      <c r="Q135" s="137" t="s">
        <v>193</v>
      </c>
      <c r="R135" s="137" t="s">
        <v>193</v>
      </c>
      <c r="S135" s="137" t="s">
        <v>193</v>
      </c>
      <c r="T135" s="137" t="s">
        <v>193</v>
      </c>
      <c r="W135" s="12" t="str">
        <f t="shared" si="8"/>
        <v>Nej</v>
      </c>
      <c r="Y135" s="12" t="str">
        <f t="shared" si="9"/>
        <v>Nej</v>
      </c>
      <c r="Z135" s="12">
        <f t="shared" si="10"/>
        <v>0</v>
      </c>
      <c r="AA135" s="12">
        <f t="shared" si="11"/>
        <v>0</v>
      </c>
    </row>
    <row r="136" spans="1:27" ht="15" customHeight="1" x14ac:dyDescent="0.25">
      <c r="A136" s="137" t="s">
        <v>380</v>
      </c>
      <c r="B136" s="137" t="s">
        <v>381</v>
      </c>
      <c r="C136" s="137">
        <v>2018</v>
      </c>
      <c r="D136" s="137">
        <v>0</v>
      </c>
      <c r="E136" s="137">
        <v>0</v>
      </c>
      <c r="F136" s="137" t="s">
        <v>976</v>
      </c>
      <c r="G136" s="137">
        <v>0.1</v>
      </c>
      <c r="H136" s="137">
        <v>0</v>
      </c>
      <c r="I136" s="137">
        <v>0</v>
      </c>
      <c r="J136" s="137">
        <v>0</v>
      </c>
      <c r="K136" s="137" t="s">
        <v>193</v>
      </c>
      <c r="L136" s="137" t="s">
        <v>193</v>
      </c>
      <c r="M136" s="137" t="s">
        <v>193</v>
      </c>
      <c r="N136" s="137" t="s">
        <v>193</v>
      </c>
      <c r="O136" s="137" t="s">
        <v>193</v>
      </c>
      <c r="P136" s="137" t="s">
        <v>193</v>
      </c>
      <c r="Q136" s="137" t="s">
        <v>193</v>
      </c>
      <c r="R136" s="137" t="s">
        <v>193</v>
      </c>
      <c r="S136" s="137" t="s">
        <v>193</v>
      </c>
      <c r="T136" s="137" t="s">
        <v>193</v>
      </c>
      <c r="W136" s="12" t="str">
        <f t="shared" si="8"/>
        <v>Ja</v>
      </c>
      <c r="Y136" s="12" t="str">
        <f t="shared" si="9"/>
        <v>Nej</v>
      </c>
      <c r="Z136" s="12">
        <f t="shared" si="10"/>
        <v>0</v>
      </c>
      <c r="AA136" s="12">
        <f t="shared" si="11"/>
        <v>0</v>
      </c>
    </row>
    <row r="137" spans="1:27" ht="15" customHeight="1" x14ac:dyDescent="0.25">
      <c r="A137" s="137" t="s">
        <v>382</v>
      </c>
      <c r="B137" s="137" t="s">
        <v>87</v>
      </c>
      <c r="C137" s="137">
        <v>2018</v>
      </c>
      <c r="D137" s="137">
        <v>0.34200000000000003</v>
      </c>
      <c r="E137" s="137">
        <v>15.031000000000001</v>
      </c>
      <c r="F137" s="137" t="s">
        <v>935</v>
      </c>
      <c r="G137" s="137">
        <v>1.1000000000000001</v>
      </c>
      <c r="H137" s="137">
        <v>0</v>
      </c>
      <c r="I137" s="137">
        <v>0</v>
      </c>
      <c r="J137" s="137">
        <v>0</v>
      </c>
      <c r="K137" s="137" t="s">
        <v>193</v>
      </c>
      <c r="L137" s="137" t="s">
        <v>193</v>
      </c>
      <c r="M137" s="137" t="s">
        <v>193</v>
      </c>
      <c r="N137" s="137" t="s">
        <v>193</v>
      </c>
      <c r="O137" s="137" t="s">
        <v>193</v>
      </c>
      <c r="P137" s="137" t="s">
        <v>193</v>
      </c>
      <c r="Q137" s="137" t="s">
        <v>193</v>
      </c>
      <c r="R137" s="137" t="s">
        <v>193</v>
      </c>
      <c r="S137" s="137" t="s">
        <v>193</v>
      </c>
      <c r="T137" s="137" t="s">
        <v>193</v>
      </c>
      <c r="W137" s="12" t="str">
        <f t="shared" si="8"/>
        <v>Ja</v>
      </c>
      <c r="Y137" s="12" t="str">
        <f t="shared" si="9"/>
        <v>Nej</v>
      </c>
      <c r="Z137" s="12">
        <f t="shared" si="10"/>
        <v>0</v>
      </c>
      <c r="AA137" s="12">
        <f t="shared" si="11"/>
        <v>0</v>
      </c>
    </row>
    <row r="138" spans="1:27" ht="15" customHeight="1" x14ac:dyDescent="0.25">
      <c r="A138" s="137" t="s">
        <v>383</v>
      </c>
      <c r="B138" s="137" t="s">
        <v>384</v>
      </c>
      <c r="C138" s="137">
        <v>2018</v>
      </c>
      <c r="D138" s="137">
        <v>9.9320000000000004</v>
      </c>
      <c r="E138" s="137">
        <v>28.341000000000001</v>
      </c>
      <c r="F138" s="137" t="s">
        <v>970</v>
      </c>
      <c r="G138" s="137">
        <v>1.4</v>
      </c>
      <c r="H138" s="137">
        <v>0</v>
      </c>
      <c r="I138" s="137">
        <v>0</v>
      </c>
      <c r="J138" s="137">
        <v>0</v>
      </c>
      <c r="K138" s="137" t="s">
        <v>193</v>
      </c>
      <c r="L138" s="137" t="s">
        <v>193</v>
      </c>
      <c r="M138" s="137" t="s">
        <v>193</v>
      </c>
      <c r="N138" s="137" t="s">
        <v>193</v>
      </c>
      <c r="O138" s="137" t="s">
        <v>193</v>
      </c>
      <c r="P138" s="137" t="s">
        <v>193</v>
      </c>
      <c r="Q138" s="137" t="s">
        <v>193</v>
      </c>
      <c r="R138" s="137" t="s">
        <v>193</v>
      </c>
      <c r="S138" s="137" t="s">
        <v>193</v>
      </c>
      <c r="T138" s="137" t="s">
        <v>193</v>
      </c>
      <c r="W138" s="12" t="str">
        <f t="shared" si="8"/>
        <v>Ja</v>
      </c>
      <c r="Y138" s="12" t="str">
        <f t="shared" si="9"/>
        <v>Nej</v>
      </c>
      <c r="Z138" s="12">
        <f t="shared" si="10"/>
        <v>0</v>
      </c>
      <c r="AA138" s="12">
        <f t="shared" si="11"/>
        <v>0</v>
      </c>
    </row>
    <row r="139" spans="1:27" ht="15" customHeight="1" x14ac:dyDescent="0.25">
      <c r="A139" s="137" t="s">
        <v>385</v>
      </c>
      <c r="B139" s="137" t="s">
        <v>386</v>
      </c>
      <c r="C139" s="137">
        <v>2018</v>
      </c>
      <c r="D139" s="137">
        <v>1.9</v>
      </c>
      <c r="E139" s="137" t="s">
        <v>193</v>
      </c>
      <c r="F139" s="137" t="s">
        <v>977</v>
      </c>
      <c r="G139" s="137">
        <v>1.42</v>
      </c>
      <c r="H139" s="137">
        <v>0</v>
      </c>
      <c r="I139" s="137">
        <v>0</v>
      </c>
      <c r="J139" s="137">
        <v>0</v>
      </c>
      <c r="K139" s="137" t="s">
        <v>193</v>
      </c>
      <c r="L139" s="137" t="s">
        <v>193</v>
      </c>
      <c r="M139" s="137" t="s">
        <v>193</v>
      </c>
      <c r="N139" s="137" t="s">
        <v>193</v>
      </c>
      <c r="O139" s="137" t="s">
        <v>193</v>
      </c>
      <c r="P139" s="137" t="s">
        <v>193</v>
      </c>
      <c r="Q139" s="137" t="s">
        <v>193</v>
      </c>
      <c r="R139" s="137" t="s">
        <v>193</v>
      </c>
      <c r="S139" s="137" t="s">
        <v>193</v>
      </c>
      <c r="T139" s="137" t="s">
        <v>193</v>
      </c>
      <c r="W139" s="12" t="str">
        <f t="shared" si="8"/>
        <v>Ja</v>
      </c>
      <c r="Y139" s="12" t="str">
        <f t="shared" si="9"/>
        <v>Nej</v>
      </c>
      <c r="Z139" s="12">
        <f t="shared" si="10"/>
        <v>0</v>
      </c>
      <c r="AA139" s="12">
        <f t="shared" si="11"/>
        <v>0</v>
      </c>
    </row>
    <row r="140" spans="1:27" ht="15" customHeight="1" x14ac:dyDescent="0.25">
      <c r="A140" s="137" t="s">
        <v>387</v>
      </c>
      <c r="B140" s="137" t="s">
        <v>388</v>
      </c>
      <c r="C140" s="137">
        <v>2018</v>
      </c>
      <c r="D140" s="137">
        <v>4.2519999999999998</v>
      </c>
      <c r="E140" s="137">
        <v>7.85</v>
      </c>
      <c r="F140" s="137" t="s">
        <v>978</v>
      </c>
      <c r="G140" s="137">
        <v>2.2799999999999998</v>
      </c>
      <c r="H140" s="137">
        <v>246.83</v>
      </c>
      <c r="I140" s="137">
        <v>0.32</v>
      </c>
      <c r="J140" s="137">
        <v>0.3</v>
      </c>
      <c r="K140" s="137" t="s">
        <v>193</v>
      </c>
      <c r="L140" s="137" t="s">
        <v>193</v>
      </c>
      <c r="M140" s="137" t="s">
        <v>193</v>
      </c>
      <c r="N140" s="137" t="s">
        <v>193</v>
      </c>
      <c r="O140" s="137" t="s">
        <v>193</v>
      </c>
      <c r="P140" s="137" t="s">
        <v>193</v>
      </c>
      <c r="Q140" s="137" t="s">
        <v>193</v>
      </c>
      <c r="R140" s="137" t="s">
        <v>193</v>
      </c>
      <c r="S140" s="137" t="s">
        <v>193</v>
      </c>
      <c r="T140" s="137" t="s">
        <v>193</v>
      </c>
      <c r="W140" s="12" t="str">
        <f t="shared" si="8"/>
        <v>Ja</v>
      </c>
      <c r="Y140" s="12" t="str">
        <f t="shared" si="9"/>
        <v>Nej</v>
      </c>
      <c r="Z140" s="12">
        <f t="shared" si="10"/>
        <v>0</v>
      </c>
      <c r="AA140" s="12">
        <f t="shared" si="11"/>
        <v>0</v>
      </c>
    </row>
    <row r="141" spans="1:27" ht="15" customHeight="1" x14ac:dyDescent="0.25">
      <c r="A141" s="137" t="s">
        <v>387</v>
      </c>
      <c r="B141" s="137" t="s">
        <v>389</v>
      </c>
      <c r="C141" s="137">
        <v>2018</v>
      </c>
      <c r="D141" s="137">
        <v>0.154</v>
      </c>
      <c r="E141" s="137" t="s">
        <v>193</v>
      </c>
      <c r="F141" s="137" t="s">
        <v>979</v>
      </c>
      <c r="G141" s="137">
        <v>2.2599999999999998</v>
      </c>
      <c r="H141" s="137">
        <v>84.73</v>
      </c>
      <c r="I141" s="137">
        <v>0.11</v>
      </c>
      <c r="J141" s="137">
        <v>0.1</v>
      </c>
      <c r="K141" s="137" t="s">
        <v>193</v>
      </c>
      <c r="L141" s="137" t="s">
        <v>193</v>
      </c>
      <c r="M141" s="137" t="s">
        <v>193</v>
      </c>
      <c r="N141" s="137" t="s">
        <v>193</v>
      </c>
      <c r="O141" s="137" t="s">
        <v>193</v>
      </c>
      <c r="P141" s="137" t="s">
        <v>193</v>
      </c>
      <c r="Q141" s="137" t="s">
        <v>193</v>
      </c>
      <c r="R141" s="137" t="s">
        <v>193</v>
      </c>
      <c r="S141" s="137" t="s">
        <v>193</v>
      </c>
      <c r="T141" s="137" t="s">
        <v>193</v>
      </c>
      <c r="W141" s="12" t="str">
        <f t="shared" si="8"/>
        <v>Ja</v>
      </c>
      <c r="Y141" s="12" t="str">
        <f t="shared" si="9"/>
        <v>Nej</v>
      </c>
      <c r="Z141" s="12">
        <f t="shared" si="10"/>
        <v>0</v>
      </c>
      <c r="AA141" s="12">
        <f t="shared" si="11"/>
        <v>0</v>
      </c>
    </row>
    <row r="142" spans="1:27" ht="15" customHeight="1" x14ac:dyDescent="0.25">
      <c r="A142" s="137" t="s">
        <v>390</v>
      </c>
      <c r="B142" s="137" t="s">
        <v>391</v>
      </c>
      <c r="C142" s="137">
        <v>2018</v>
      </c>
      <c r="D142" s="137" t="s">
        <v>193</v>
      </c>
      <c r="E142" s="137" t="s">
        <v>193</v>
      </c>
      <c r="F142" s="137" t="s">
        <v>980</v>
      </c>
      <c r="G142" s="137">
        <v>1.9</v>
      </c>
      <c r="H142" s="137">
        <v>0</v>
      </c>
      <c r="I142" s="137">
        <v>0</v>
      </c>
      <c r="J142" s="137">
        <v>0</v>
      </c>
      <c r="K142" s="137">
        <v>155.64599999999999</v>
      </c>
      <c r="L142" s="137">
        <v>6.3E-2</v>
      </c>
      <c r="M142" s="137">
        <v>19.05</v>
      </c>
      <c r="N142" s="137">
        <v>4.59</v>
      </c>
      <c r="O142" s="137">
        <v>1.8</v>
      </c>
      <c r="P142" s="137">
        <v>57.335999999999999</v>
      </c>
      <c r="Q142" s="137">
        <v>0.11</v>
      </c>
      <c r="R142" s="137">
        <v>3.27</v>
      </c>
      <c r="S142" s="137">
        <v>6.04</v>
      </c>
      <c r="T142" s="137">
        <v>0.01</v>
      </c>
      <c r="W142" s="12" t="str">
        <f t="shared" si="8"/>
        <v>Ja</v>
      </c>
      <c r="Y142" s="12" t="str">
        <f t="shared" si="9"/>
        <v>Ja</v>
      </c>
      <c r="Z142" s="12">
        <f t="shared" si="10"/>
        <v>155.64599999999999</v>
      </c>
      <c r="AA142" s="12">
        <f t="shared" si="11"/>
        <v>1.8000000000000002E-2</v>
      </c>
    </row>
    <row r="143" spans="1:27" ht="15" customHeight="1" x14ac:dyDescent="0.25">
      <c r="A143" s="137" t="s">
        <v>390</v>
      </c>
      <c r="B143" s="137" t="s">
        <v>393</v>
      </c>
      <c r="C143" s="137">
        <v>2018</v>
      </c>
      <c r="D143" s="137" t="s">
        <v>193</v>
      </c>
      <c r="E143" s="137" t="s">
        <v>193</v>
      </c>
      <c r="F143" s="137" t="s">
        <v>980</v>
      </c>
      <c r="G143" s="137">
        <v>1.9</v>
      </c>
      <c r="H143" s="137">
        <v>0</v>
      </c>
      <c r="I143" s="137">
        <v>0</v>
      </c>
      <c r="J143" s="137">
        <v>0</v>
      </c>
      <c r="K143" s="137" t="s">
        <v>193</v>
      </c>
      <c r="L143" s="137" t="s">
        <v>193</v>
      </c>
      <c r="M143" s="137" t="s">
        <v>193</v>
      </c>
      <c r="N143" s="137" t="s">
        <v>193</v>
      </c>
      <c r="O143" s="137" t="s">
        <v>193</v>
      </c>
      <c r="P143" s="137" t="s">
        <v>193</v>
      </c>
      <c r="Q143" s="137" t="s">
        <v>193</v>
      </c>
      <c r="R143" s="137" t="s">
        <v>193</v>
      </c>
      <c r="S143" s="137" t="s">
        <v>193</v>
      </c>
      <c r="T143" s="137" t="s">
        <v>193</v>
      </c>
      <c r="W143" s="12" t="str">
        <f t="shared" si="8"/>
        <v>Ja</v>
      </c>
      <c r="Y143" s="12" t="str">
        <f t="shared" si="9"/>
        <v>Nej</v>
      </c>
      <c r="Z143" s="12">
        <f t="shared" si="10"/>
        <v>0</v>
      </c>
      <c r="AA143" s="12">
        <f t="shared" si="11"/>
        <v>0</v>
      </c>
    </row>
    <row r="144" spans="1:27" ht="15" customHeight="1" x14ac:dyDescent="0.25">
      <c r="A144" s="137" t="s">
        <v>394</v>
      </c>
      <c r="B144" s="137" t="s">
        <v>395</v>
      </c>
      <c r="C144" s="137">
        <v>2018</v>
      </c>
      <c r="D144" s="137">
        <v>2.8000000000000001E-2</v>
      </c>
      <c r="E144" s="137" t="s">
        <v>193</v>
      </c>
      <c r="F144" s="137" t="s">
        <v>935</v>
      </c>
      <c r="G144" s="137">
        <v>1.1000000000000001</v>
      </c>
      <c r="H144" s="137">
        <v>0</v>
      </c>
      <c r="I144" s="137">
        <v>0</v>
      </c>
      <c r="J144" s="137">
        <v>0</v>
      </c>
      <c r="K144" s="137" t="s">
        <v>193</v>
      </c>
      <c r="L144" s="137" t="s">
        <v>193</v>
      </c>
      <c r="M144" s="137" t="s">
        <v>193</v>
      </c>
      <c r="N144" s="137" t="s">
        <v>193</v>
      </c>
      <c r="O144" s="137" t="s">
        <v>193</v>
      </c>
      <c r="P144" s="137" t="s">
        <v>193</v>
      </c>
      <c r="Q144" s="137" t="s">
        <v>193</v>
      </c>
      <c r="R144" s="137" t="s">
        <v>193</v>
      </c>
      <c r="S144" s="137" t="s">
        <v>193</v>
      </c>
      <c r="T144" s="137" t="s">
        <v>193</v>
      </c>
      <c r="W144" s="12" t="str">
        <f t="shared" si="8"/>
        <v>Ja</v>
      </c>
      <c r="Y144" s="12" t="str">
        <f t="shared" si="9"/>
        <v>Nej</v>
      </c>
      <c r="Z144" s="12">
        <f t="shared" si="10"/>
        <v>0</v>
      </c>
      <c r="AA144" s="12">
        <f t="shared" si="11"/>
        <v>0</v>
      </c>
    </row>
    <row r="145" spans="1:27" ht="15" customHeight="1" x14ac:dyDescent="0.25">
      <c r="A145" s="137" t="s">
        <v>394</v>
      </c>
      <c r="B145" s="137" t="s">
        <v>396</v>
      </c>
      <c r="C145" s="137">
        <v>2018</v>
      </c>
      <c r="D145" s="137">
        <v>2.93E-2</v>
      </c>
      <c r="E145" s="137" t="s">
        <v>193</v>
      </c>
      <c r="F145" s="137" t="s">
        <v>935</v>
      </c>
      <c r="G145" s="137">
        <v>1.1000000000000001</v>
      </c>
      <c r="H145" s="137">
        <v>0</v>
      </c>
      <c r="I145" s="137">
        <v>0</v>
      </c>
      <c r="J145" s="137">
        <v>0</v>
      </c>
      <c r="K145" s="137" t="s">
        <v>193</v>
      </c>
      <c r="L145" s="137" t="s">
        <v>193</v>
      </c>
      <c r="M145" s="137" t="s">
        <v>193</v>
      </c>
      <c r="N145" s="137" t="s">
        <v>193</v>
      </c>
      <c r="O145" s="137" t="s">
        <v>193</v>
      </c>
      <c r="P145" s="137" t="s">
        <v>193</v>
      </c>
      <c r="Q145" s="137" t="s">
        <v>193</v>
      </c>
      <c r="R145" s="137" t="s">
        <v>193</v>
      </c>
      <c r="S145" s="137" t="s">
        <v>193</v>
      </c>
      <c r="T145" s="137" t="s">
        <v>193</v>
      </c>
      <c r="W145" s="12" t="str">
        <f t="shared" si="8"/>
        <v>Ja</v>
      </c>
      <c r="Y145" s="12" t="str">
        <f t="shared" si="9"/>
        <v>Nej</v>
      </c>
      <c r="Z145" s="12">
        <f t="shared" si="10"/>
        <v>0</v>
      </c>
      <c r="AA145" s="12">
        <f t="shared" si="11"/>
        <v>0</v>
      </c>
    </row>
    <row r="146" spans="1:27" ht="15" customHeight="1" x14ac:dyDescent="0.25">
      <c r="A146" s="137" t="s">
        <v>394</v>
      </c>
      <c r="B146" s="137" t="s">
        <v>397</v>
      </c>
      <c r="C146" s="137">
        <v>2018</v>
      </c>
      <c r="D146" s="137">
        <v>4.9000000000000002E-2</v>
      </c>
      <c r="E146" s="137" t="s">
        <v>193</v>
      </c>
      <c r="F146" s="137" t="s">
        <v>981</v>
      </c>
      <c r="G146" s="137">
        <v>1.1000000000000001</v>
      </c>
      <c r="H146" s="137">
        <v>0</v>
      </c>
      <c r="I146" s="137">
        <v>0</v>
      </c>
      <c r="J146" s="137">
        <v>0</v>
      </c>
      <c r="K146" s="137" t="s">
        <v>193</v>
      </c>
      <c r="L146" s="137" t="s">
        <v>193</v>
      </c>
      <c r="M146" s="137" t="s">
        <v>193</v>
      </c>
      <c r="N146" s="137" t="s">
        <v>193</v>
      </c>
      <c r="O146" s="137" t="s">
        <v>193</v>
      </c>
      <c r="P146" s="137" t="s">
        <v>193</v>
      </c>
      <c r="Q146" s="137" t="s">
        <v>193</v>
      </c>
      <c r="R146" s="137" t="s">
        <v>193</v>
      </c>
      <c r="S146" s="137" t="s">
        <v>193</v>
      </c>
      <c r="T146" s="137" t="s">
        <v>193</v>
      </c>
      <c r="W146" s="12" t="str">
        <f t="shared" si="8"/>
        <v>Ja</v>
      </c>
      <c r="Y146" s="12" t="str">
        <f t="shared" si="9"/>
        <v>Nej</v>
      </c>
      <c r="Z146" s="12">
        <f t="shared" si="10"/>
        <v>0</v>
      </c>
      <c r="AA146" s="12">
        <f t="shared" si="11"/>
        <v>0</v>
      </c>
    </row>
    <row r="147" spans="1:27" ht="15" customHeight="1" x14ac:dyDescent="0.25">
      <c r="A147" s="137" t="s">
        <v>394</v>
      </c>
      <c r="B147" s="137" t="s">
        <v>398</v>
      </c>
      <c r="C147" s="137">
        <v>2018</v>
      </c>
      <c r="D147" s="137" t="s">
        <v>193</v>
      </c>
      <c r="E147" s="137">
        <v>4.03</v>
      </c>
      <c r="F147" s="137" t="s">
        <v>935</v>
      </c>
      <c r="G147" s="137">
        <v>1.1000000000000001</v>
      </c>
      <c r="H147" s="137">
        <v>0</v>
      </c>
      <c r="I147" s="137">
        <v>0</v>
      </c>
      <c r="J147" s="137">
        <v>0</v>
      </c>
      <c r="K147" s="137">
        <v>32.200000000000003</v>
      </c>
      <c r="L147" s="137">
        <v>0.31</v>
      </c>
      <c r="M147" s="137">
        <v>69</v>
      </c>
      <c r="N147" s="137">
        <v>10</v>
      </c>
      <c r="O147" s="137">
        <v>13</v>
      </c>
      <c r="P147" s="137" t="s">
        <v>193</v>
      </c>
      <c r="Q147" s="137" t="s">
        <v>193</v>
      </c>
      <c r="R147" s="137" t="s">
        <v>193</v>
      </c>
      <c r="S147" s="137" t="s">
        <v>193</v>
      </c>
      <c r="T147" s="137" t="s">
        <v>193</v>
      </c>
      <c r="W147" s="12" t="str">
        <f t="shared" si="8"/>
        <v>Ja</v>
      </c>
      <c r="Y147" s="12" t="str">
        <f t="shared" si="9"/>
        <v>Ja</v>
      </c>
      <c r="Z147" s="12">
        <f t="shared" si="10"/>
        <v>32.200000000000003</v>
      </c>
      <c r="AA147" s="12">
        <f t="shared" si="11"/>
        <v>0.13</v>
      </c>
    </row>
    <row r="148" spans="1:27" ht="15" customHeight="1" x14ac:dyDescent="0.25">
      <c r="A148" s="137" t="s">
        <v>45</v>
      </c>
      <c r="B148" s="141" t="s">
        <v>46</v>
      </c>
      <c r="C148" s="137">
        <v>2018</v>
      </c>
      <c r="D148" s="137" t="s">
        <v>53</v>
      </c>
      <c r="E148" s="137" t="s">
        <v>53</v>
      </c>
      <c r="F148" s="137" t="s">
        <v>53</v>
      </c>
      <c r="G148" s="137" t="s">
        <v>53</v>
      </c>
      <c r="H148" s="137" t="s">
        <v>53</v>
      </c>
      <c r="I148" s="137" t="s">
        <v>53</v>
      </c>
      <c r="J148" s="137" t="s">
        <v>53</v>
      </c>
      <c r="K148" s="137" t="s">
        <v>53</v>
      </c>
      <c r="L148" s="137" t="s">
        <v>53</v>
      </c>
      <c r="M148" s="137" t="s">
        <v>53</v>
      </c>
      <c r="N148" s="137" t="s">
        <v>53</v>
      </c>
      <c r="O148" s="137" t="s">
        <v>53</v>
      </c>
      <c r="P148" s="137" t="s">
        <v>53</v>
      </c>
      <c r="Q148" s="137" t="s">
        <v>53</v>
      </c>
      <c r="R148" s="137" t="s">
        <v>53</v>
      </c>
      <c r="S148" s="137" t="s">
        <v>53</v>
      </c>
      <c r="T148" s="137" t="s">
        <v>53</v>
      </c>
      <c r="W148" s="12" t="str">
        <f t="shared" si="8"/>
        <v>Nej</v>
      </c>
      <c r="Y148" s="12" t="str">
        <f t="shared" si="9"/>
        <v>Nej</v>
      </c>
      <c r="Z148" s="12">
        <f t="shared" si="10"/>
        <v>0</v>
      </c>
      <c r="AA148" s="12">
        <f t="shared" si="11"/>
        <v>0</v>
      </c>
    </row>
    <row r="149" spans="1:27" ht="15" customHeight="1" x14ac:dyDescent="0.25">
      <c r="A149" s="137" t="s">
        <v>399</v>
      </c>
      <c r="B149" s="137" t="s">
        <v>400</v>
      </c>
      <c r="C149" s="137">
        <v>2018</v>
      </c>
      <c r="D149" s="137">
        <v>2.56</v>
      </c>
      <c r="E149" s="137">
        <v>7.41</v>
      </c>
      <c r="F149" s="137" t="s">
        <v>935</v>
      </c>
      <c r="G149" s="137">
        <v>1.1000000000000001</v>
      </c>
      <c r="H149" s="137">
        <v>0</v>
      </c>
      <c r="I149" s="137">
        <v>0</v>
      </c>
      <c r="J149" s="137">
        <v>0</v>
      </c>
      <c r="K149" s="137">
        <v>46.2</v>
      </c>
      <c r="L149" s="137">
        <v>0.11700000000000001</v>
      </c>
      <c r="M149" s="137">
        <v>11.56</v>
      </c>
      <c r="N149" s="137">
        <v>5.23</v>
      </c>
      <c r="O149" s="137">
        <v>0</v>
      </c>
      <c r="P149" s="137">
        <v>31.7</v>
      </c>
      <c r="Q149" s="137">
        <v>2.1999999999999999E-2</v>
      </c>
      <c r="R149" s="137">
        <v>43</v>
      </c>
      <c r="S149" s="137">
        <v>1.3</v>
      </c>
      <c r="T149" s="137">
        <v>0</v>
      </c>
      <c r="W149" s="12" t="str">
        <f t="shared" si="8"/>
        <v>Ja</v>
      </c>
      <c r="Y149" s="12" t="str">
        <f t="shared" si="9"/>
        <v>Ja</v>
      </c>
      <c r="Z149" s="12">
        <f t="shared" si="10"/>
        <v>46.2</v>
      </c>
      <c r="AA149" s="12">
        <f t="shared" si="11"/>
        <v>0</v>
      </c>
    </row>
    <row r="150" spans="1:27" ht="15" customHeight="1" x14ac:dyDescent="0.25">
      <c r="A150" s="137" t="s">
        <v>401</v>
      </c>
      <c r="B150" s="137" t="s">
        <v>402</v>
      </c>
      <c r="C150" s="137">
        <v>2018</v>
      </c>
      <c r="D150" s="137">
        <v>0.17699999999999999</v>
      </c>
      <c r="E150" s="137" t="s">
        <v>193</v>
      </c>
      <c r="F150" s="137" t="s">
        <v>945</v>
      </c>
      <c r="G150" s="137">
        <v>1</v>
      </c>
      <c r="H150" s="137">
        <v>0</v>
      </c>
      <c r="I150" s="137">
        <v>0</v>
      </c>
      <c r="J150" s="137">
        <v>0</v>
      </c>
      <c r="K150" s="137" t="s">
        <v>193</v>
      </c>
      <c r="L150" s="137" t="s">
        <v>193</v>
      </c>
      <c r="M150" s="137" t="s">
        <v>193</v>
      </c>
      <c r="N150" s="137" t="s">
        <v>193</v>
      </c>
      <c r="O150" s="137" t="s">
        <v>193</v>
      </c>
      <c r="P150" s="137" t="s">
        <v>193</v>
      </c>
      <c r="Q150" s="137" t="s">
        <v>193</v>
      </c>
      <c r="R150" s="137" t="s">
        <v>193</v>
      </c>
      <c r="S150" s="137" t="s">
        <v>193</v>
      </c>
      <c r="T150" s="137" t="s">
        <v>193</v>
      </c>
      <c r="W150" s="12" t="str">
        <f t="shared" si="8"/>
        <v>Ja</v>
      </c>
      <c r="Y150" s="12" t="str">
        <f t="shared" si="9"/>
        <v>Nej</v>
      </c>
      <c r="Z150" s="12">
        <f t="shared" si="10"/>
        <v>0</v>
      </c>
      <c r="AA150" s="12">
        <f t="shared" si="11"/>
        <v>0</v>
      </c>
    </row>
    <row r="151" spans="1:27" ht="15" customHeight="1" x14ac:dyDescent="0.25">
      <c r="A151" s="137" t="s">
        <v>401</v>
      </c>
      <c r="B151" s="137" t="s">
        <v>403</v>
      </c>
      <c r="C151" s="137">
        <v>2018</v>
      </c>
      <c r="D151" s="137">
        <v>8.4000000000000005E-2</v>
      </c>
      <c r="E151" s="137" t="s">
        <v>193</v>
      </c>
      <c r="F151" s="137" t="s">
        <v>945</v>
      </c>
      <c r="G151" s="137">
        <v>1</v>
      </c>
      <c r="H151" s="137">
        <v>0</v>
      </c>
      <c r="I151" s="137">
        <v>0</v>
      </c>
      <c r="J151" s="137">
        <v>0</v>
      </c>
      <c r="K151" s="137" t="s">
        <v>193</v>
      </c>
      <c r="L151" s="137" t="s">
        <v>193</v>
      </c>
      <c r="M151" s="137" t="s">
        <v>193</v>
      </c>
      <c r="N151" s="137" t="s">
        <v>193</v>
      </c>
      <c r="O151" s="137" t="s">
        <v>193</v>
      </c>
      <c r="P151" s="137" t="s">
        <v>193</v>
      </c>
      <c r="Q151" s="137" t="s">
        <v>193</v>
      </c>
      <c r="R151" s="137" t="s">
        <v>193</v>
      </c>
      <c r="S151" s="137" t="s">
        <v>193</v>
      </c>
      <c r="T151" s="137" t="s">
        <v>193</v>
      </c>
      <c r="W151" s="12" t="str">
        <f t="shared" si="8"/>
        <v>Ja</v>
      </c>
      <c r="Y151" s="12" t="str">
        <f t="shared" si="9"/>
        <v>Nej</v>
      </c>
      <c r="Z151" s="12">
        <f t="shared" si="10"/>
        <v>0</v>
      </c>
      <c r="AA151" s="12">
        <f t="shared" si="11"/>
        <v>0</v>
      </c>
    </row>
    <row r="152" spans="1:27" ht="15" customHeight="1" x14ac:dyDescent="0.25">
      <c r="A152" s="137" t="s">
        <v>401</v>
      </c>
      <c r="B152" s="137" t="s">
        <v>404</v>
      </c>
      <c r="C152" s="137">
        <v>2018</v>
      </c>
      <c r="D152" s="137">
        <v>0.247</v>
      </c>
      <c r="E152" s="137" t="s">
        <v>193</v>
      </c>
      <c r="F152" s="137" t="s">
        <v>935</v>
      </c>
      <c r="G152" s="137">
        <v>1</v>
      </c>
      <c r="H152" s="137">
        <v>0</v>
      </c>
      <c r="I152" s="137">
        <v>0</v>
      </c>
      <c r="J152" s="137">
        <v>0</v>
      </c>
      <c r="K152" s="137" t="s">
        <v>193</v>
      </c>
      <c r="L152" s="137" t="s">
        <v>193</v>
      </c>
      <c r="M152" s="137" t="s">
        <v>193</v>
      </c>
      <c r="N152" s="137" t="s">
        <v>193</v>
      </c>
      <c r="O152" s="137" t="s">
        <v>193</v>
      </c>
      <c r="P152" s="137" t="s">
        <v>193</v>
      </c>
      <c r="Q152" s="137" t="s">
        <v>193</v>
      </c>
      <c r="R152" s="137" t="s">
        <v>193</v>
      </c>
      <c r="S152" s="137" t="s">
        <v>193</v>
      </c>
      <c r="T152" s="137" t="s">
        <v>193</v>
      </c>
      <c r="W152" s="12" t="str">
        <f t="shared" si="8"/>
        <v>Ja</v>
      </c>
      <c r="Y152" s="12" t="str">
        <f t="shared" si="9"/>
        <v>Nej</v>
      </c>
      <c r="Z152" s="12">
        <f t="shared" si="10"/>
        <v>0</v>
      </c>
      <c r="AA152" s="12">
        <f t="shared" si="11"/>
        <v>0</v>
      </c>
    </row>
    <row r="153" spans="1:27" ht="15" customHeight="1" x14ac:dyDescent="0.25">
      <c r="A153" s="137" t="s">
        <v>401</v>
      </c>
      <c r="B153" s="137" t="s">
        <v>405</v>
      </c>
      <c r="C153" s="137">
        <v>2018</v>
      </c>
      <c r="D153" s="137">
        <v>0.12</v>
      </c>
      <c r="E153" s="137">
        <v>0</v>
      </c>
      <c r="F153" s="137" t="s">
        <v>945</v>
      </c>
      <c r="G153" s="137">
        <v>1</v>
      </c>
      <c r="H153" s="137">
        <v>0</v>
      </c>
      <c r="I153" s="137">
        <v>0</v>
      </c>
      <c r="J153" s="137">
        <v>0</v>
      </c>
      <c r="K153" s="137" t="s">
        <v>193</v>
      </c>
      <c r="L153" s="137" t="s">
        <v>193</v>
      </c>
      <c r="M153" s="137" t="s">
        <v>193</v>
      </c>
      <c r="N153" s="137" t="s">
        <v>193</v>
      </c>
      <c r="O153" s="137" t="s">
        <v>193</v>
      </c>
      <c r="P153" s="137" t="s">
        <v>193</v>
      </c>
      <c r="Q153" s="137" t="s">
        <v>193</v>
      </c>
      <c r="R153" s="137" t="s">
        <v>193</v>
      </c>
      <c r="S153" s="137" t="s">
        <v>193</v>
      </c>
      <c r="T153" s="137" t="s">
        <v>193</v>
      </c>
      <c r="W153" s="12" t="str">
        <f t="shared" si="8"/>
        <v>Ja</v>
      </c>
      <c r="Y153" s="12" t="str">
        <f t="shared" si="9"/>
        <v>Nej</v>
      </c>
      <c r="Z153" s="12">
        <f t="shared" si="10"/>
        <v>0</v>
      </c>
      <c r="AA153" s="12">
        <f t="shared" si="11"/>
        <v>0</v>
      </c>
    </row>
    <row r="154" spans="1:27" ht="15" customHeight="1" x14ac:dyDescent="0.25">
      <c r="A154" s="137" t="s">
        <v>401</v>
      </c>
      <c r="B154" s="137" t="s">
        <v>406</v>
      </c>
      <c r="C154" s="137">
        <v>2018</v>
      </c>
      <c r="D154" s="137">
        <v>0.27600000000000002</v>
      </c>
      <c r="E154" s="137">
        <v>0</v>
      </c>
      <c r="F154" s="137" t="s">
        <v>945</v>
      </c>
      <c r="G154" s="137">
        <v>1</v>
      </c>
      <c r="H154" s="137">
        <v>0</v>
      </c>
      <c r="I154" s="137">
        <v>0</v>
      </c>
      <c r="J154" s="137">
        <v>0</v>
      </c>
      <c r="K154" s="137" t="s">
        <v>193</v>
      </c>
      <c r="L154" s="137" t="s">
        <v>193</v>
      </c>
      <c r="M154" s="137" t="s">
        <v>193</v>
      </c>
      <c r="N154" s="137" t="s">
        <v>193</v>
      </c>
      <c r="O154" s="137" t="s">
        <v>193</v>
      </c>
      <c r="P154" s="137" t="s">
        <v>193</v>
      </c>
      <c r="Q154" s="137" t="s">
        <v>193</v>
      </c>
      <c r="R154" s="137" t="s">
        <v>193</v>
      </c>
      <c r="S154" s="137" t="s">
        <v>193</v>
      </c>
      <c r="T154" s="137" t="s">
        <v>193</v>
      </c>
      <c r="W154" s="12" t="str">
        <f t="shared" si="8"/>
        <v>Ja</v>
      </c>
      <c r="Y154" s="12" t="str">
        <f t="shared" si="9"/>
        <v>Nej</v>
      </c>
      <c r="Z154" s="12">
        <f t="shared" si="10"/>
        <v>0</v>
      </c>
      <c r="AA154" s="12">
        <f t="shared" si="11"/>
        <v>0</v>
      </c>
    </row>
    <row r="155" spans="1:27" ht="15" customHeight="1" x14ac:dyDescent="0.25">
      <c r="A155" s="137" t="s">
        <v>401</v>
      </c>
      <c r="B155" s="137" t="s">
        <v>407</v>
      </c>
      <c r="C155" s="137">
        <v>2018</v>
      </c>
      <c r="D155" s="137">
        <v>0.52800000000000002</v>
      </c>
      <c r="E155" s="137">
        <v>0</v>
      </c>
      <c r="F155" s="137" t="s">
        <v>945</v>
      </c>
      <c r="G155" s="137">
        <v>1</v>
      </c>
      <c r="H155" s="137">
        <v>0</v>
      </c>
      <c r="I155" s="137">
        <v>0</v>
      </c>
      <c r="J155" s="137">
        <v>0</v>
      </c>
      <c r="K155" s="137" t="s">
        <v>193</v>
      </c>
      <c r="L155" s="137" t="s">
        <v>193</v>
      </c>
      <c r="M155" s="137" t="s">
        <v>193</v>
      </c>
      <c r="N155" s="137" t="s">
        <v>193</v>
      </c>
      <c r="O155" s="137" t="s">
        <v>193</v>
      </c>
      <c r="P155" s="137" t="s">
        <v>193</v>
      </c>
      <c r="Q155" s="137" t="s">
        <v>193</v>
      </c>
      <c r="R155" s="137" t="s">
        <v>193</v>
      </c>
      <c r="S155" s="137" t="s">
        <v>193</v>
      </c>
      <c r="T155" s="137" t="s">
        <v>193</v>
      </c>
      <c r="W155" s="12" t="str">
        <f t="shared" si="8"/>
        <v>Ja</v>
      </c>
      <c r="Y155" s="12" t="str">
        <f t="shared" si="9"/>
        <v>Nej</v>
      </c>
      <c r="Z155" s="12">
        <f t="shared" si="10"/>
        <v>0</v>
      </c>
      <c r="AA155" s="12">
        <f t="shared" si="11"/>
        <v>0</v>
      </c>
    </row>
    <row r="156" spans="1:27" ht="15" customHeight="1" x14ac:dyDescent="0.25">
      <c r="A156" s="137" t="s">
        <v>401</v>
      </c>
      <c r="B156" s="137" t="s">
        <v>408</v>
      </c>
      <c r="C156" s="137">
        <v>2018</v>
      </c>
      <c r="D156" s="137">
        <v>0.186</v>
      </c>
      <c r="E156" s="137">
        <v>0</v>
      </c>
      <c r="F156" s="137" t="s">
        <v>945</v>
      </c>
      <c r="G156" s="137">
        <v>1</v>
      </c>
      <c r="H156" s="137">
        <v>0</v>
      </c>
      <c r="I156" s="137">
        <v>0</v>
      </c>
      <c r="J156" s="137">
        <v>0</v>
      </c>
      <c r="K156" s="137" t="s">
        <v>193</v>
      </c>
      <c r="L156" s="137" t="s">
        <v>193</v>
      </c>
      <c r="M156" s="137" t="s">
        <v>193</v>
      </c>
      <c r="N156" s="137" t="s">
        <v>193</v>
      </c>
      <c r="O156" s="137" t="s">
        <v>193</v>
      </c>
      <c r="P156" s="137" t="s">
        <v>193</v>
      </c>
      <c r="Q156" s="137" t="s">
        <v>193</v>
      </c>
      <c r="R156" s="137" t="s">
        <v>193</v>
      </c>
      <c r="S156" s="137" t="s">
        <v>193</v>
      </c>
      <c r="T156" s="137" t="s">
        <v>193</v>
      </c>
      <c r="W156" s="12" t="str">
        <f t="shared" si="8"/>
        <v>Ja</v>
      </c>
      <c r="Y156" s="12" t="str">
        <f t="shared" si="9"/>
        <v>Nej</v>
      </c>
      <c r="Z156" s="12">
        <f t="shared" si="10"/>
        <v>0</v>
      </c>
      <c r="AA156" s="12">
        <f t="shared" si="11"/>
        <v>0</v>
      </c>
    </row>
    <row r="157" spans="1:27" ht="15" customHeight="1" x14ac:dyDescent="0.25">
      <c r="A157" s="137" t="s">
        <v>401</v>
      </c>
      <c r="B157" s="137" t="s">
        <v>409</v>
      </c>
      <c r="C157" s="137">
        <v>2018</v>
      </c>
      <c r="D157" s="137">
        <v>0.27500000000000002</v>
      </c>
      <c r="E157" s="137">
        <v>0</v>
      </c>
      <c r="F157" s="137" t="s">
        <v>945</v>
      </c>
      <c r="G157" s="137">
        <v>1</v>
      </c>
      <c r="H157" s="137">
        <v>0</v>
      </c>
      <c r="I157" s="137">
        <v>0</v>
      </c>
      <c r="J157" s="137">
        <v>0</v>
      </c>
      <c r="K157" s="137" t="s">
        <v>193</v>
      </c>
      <c r="L157" s="137" t="s">
        <v>193</v>
      </c>
      <c r="M157" s="137" t="s">
        <v>193</v>
      </c>
      <c r="N157" s="137" t="s">
        <v>193</v>
      </c>
      <c r="O157" s="137" t="s">
        <v>193</v>
      </c>
      <c r="P157" s="137" t="s">
        <v>193</v>
      </c>
      <c r="Q157" s="137" t="s">
        <v>193</v>
      </c>
      <c r="R157" s="137" t="s">
        <v>193</v>
      </c>
      <c r="S157" s="137" t="s">
        <v>193</v>
      </c>
      <c r="T157" s="137" t="s">
        <v>193</v>
      </c>
      <c r="W157" s="12" t="str">
        <f t="shared" si="8"/>
        <v>Ja</v>
      </c>
      <c r="Y157" s="12" t="str">
        <f t="shared" si="9"/>
        <v>Nej</v>
      </c>
      <c r="Z157" s="12">
        <f t="shared" si="10"/>
        <v>0</v>
      </c>
      <c r="AA157" s="12">
        <f t="shared" si="11"/>
        <v>0</v>
      </c>
    </row>
    <row r="158" spans="1:27" ht="15" customHeight="1" x14ac:dyDescent="0.25">
      <c r="A158" s="137" t="s">
        <v>401</v>
      </c>
      <c r="B158" s="137" t="s">
        <v>410</v>
      </c>
      <c r="C158" s="137">
        <v>2018</v>
      </c>
      <c r="D158" s="137">
        <v>0.114</v>
      </c>
      <c r="E158" s="137" t="s">
        <v>193</v>
      </c>
      <c r="F158" s="137" t="s">
        <v>945</v>
      </c>
      <c r="G158" s="137">
        <v>1</v>
      </c>
      <c r="H158" s="137">
        <v>0</v>
      </c>
      <c r="I158" s="137">
        <v>0</v>
      </c>
      <c r="J158" s="137">
        <v>0</v>
      </c>
      <c r="K158" s="137" t="s">
        <v>193</v>
      </c>
      <c r="L158" s="137" t="s">
        <v>193</v>
      </c>
      <c r="M158" s="137" t="s">
        <v>193</v>
      </c>
      <c r="N158" s="137" t="s">
        <v>193</v>
      </c>
      <c r="O158" s="137" t="s">
        <v>193</v>
      </c>
      <c r="P158" s="137" t="s">
        <v>193</v>
      </c>
      <c r="Q158" s="137" t="s">
        <v>193</v>
      </c>
      <c r="R158" s="137" t="s">
        <v>193</v>
      </c>
      <c r="S158" s="137" t="s">
        <v>193</v>
      </c>
      <c r="T158" s="137" t="s">
        <v>193</v>
      </c>
      <c r="W158" s="12" t="str">
        <f t="shared" si="8"/>
        <v>Ja</v>
      </c>
      <c r="Y158" s="12" t="str">
        <f t="shared" si="9"/>
        <v>Nej</v>
      </c>
      <c r="Z158" s="12">
        <f t="shared" si="10"/>
        <v>0</v>
      </c>
      <c r="AA158" s="12">
        <f t="shared" si="11"/>
        <v>0</v>
      </c>
    </row>
    <row r="159" spans="1:27" ht="15" customHeight="1" x14ac:dyDescent="0.25">
      <c r="A159" s="137" t="s">
        <v>411</v>
      </c>
      <c r="B159" s="137" t="s">
        <v>412</v>
      </c>
      <c r="C159" s="137">
        <v>2018</v>
      </c>
      <c r="D159" s="137">
        <v>0.47899999999999998</v>
      </c>
      <c r="E159" s="137" t="s">
        <v>193</v>
      </c>
      <c r="F159" s="137" t="s">
        <v>982</v>
      </c>
      <c r="G159" s="137">
        <v>1.1000000000000001</v>
      </c>
      <c r="H159" s="137">
        <v>0</v>
      </c>
      <c r="I159" s="137">
        <v>0</v>
      </c>
      <c r="J159" s="137">
        <v>0</v>
      </c>
      <c r="K159" s="137" t="s">
        <v>193</v>
      </c>
      <c r="L159" s="137" t="s">
        <v>193</v>
      </c>
      <c r="M159" s="137" t="s">
        <v>193</v>
      </c>
      <c r="N159" s="137" t="s">
        <v>193</v>
      </c>
      <c r="O159" s="137" t="s">
        <v>193</v>
      </c>
      <c r="P159" s="137" t="s">
        <v>193</v>
      </c>
      <c r="Q159" s="137" t="s">
        <v>193</v>
      </c>
      <c r="R159" s="137" t="s">
        <v>193</v>
      </c>
      <c r="S159" s="137" t="s">
        <v>193</v>
      </c>
      <c r="T159" s="137" t="s">
        <v>193</v>
      </c>
      <c r="W159" s="12" t="str">
        <f t="shared" si="8"/>
        <v>Ja</v>
      </c>
      <c r="Y159" s="12" t="str">
        <f t="shared" si="9"/>
        <v>Nej</v>
      </c>
      <c r="Z159" s="12">
        <f t="shared" si="10"/>
        <v>0</v>
      </c>
      <c r="AA159" s="12">
        <f t="shared" si="11"/>
        <v>0</v>
      </c>
    </row>
    <row r="160" spans="1:27" ht="15" customHeight="1" x14ac:dyDescent="0.25">
      <c r="A160" s="137" t="s">
        <v>413</v>
      </c>
      <c r="B160" s="137" t="s">
        <v>93</v>
      </c>
      <c r="C160" s="137">
        <v>2018</v>
      </c>
      <c r="D160" s="137" t="s">
        <v>53</v>
      </c>
      <c r="E160" s="137" t="s">
        <v>53</v>
      </c>
      <c r="F160" s="137" t="s">
        <v>53</v>
      </c>
      <c r="G160" s="137" t="s">
        <v>53</v>
      </c>
      <c r="H160" s="137" t="s">
        <v>53</v>
      </c>
      <c r="I160" s="137" t="s">
        <v>53</v>
      </c>
      <c r="J160" s="137" t="s">
        <v>53</v>
      </c>
      <c r="K160" s="137" t="s">
        <v>53</v>
      </c>
      <c r="L160" s="137" t="s">
        <v>53</v>
      </c>
      <c r="M160" s="137" t="s">
        <v>53</v>
      </c>
      <c r="N160" s="137" t="s">
        <v>53</v>
      </c>
      <c r="O160" s="137" t="s">
        <v>53</v>
      </c>
      <c r="P160" s="137" t="s">
        <v>53</v>
      </c>
      <c r="Q160" s="137" t="s">
        <v>53</v>
      </c>
      <c r="R160" s="137" t="s">
        <v>53</v>
      </c>
      <c r="S160" s="137" t="s">
        <v>53</v>
      </c>
      <c r="T160" s="137" t="s">
        <v>53</v>
      </c>
      <c r="W160" s="12" t="str">
        <f t="shared" si="8"/>
        <v>Nej</v>
      </c>
      <c r="Y160" s="12" t="str">
        <f t="shared" si="9"/>
        <v>Nej</v>
      </c>
      <c r="Z160" s="12">
        <f t="shared" si="10"/>
        <v>0</v>
      </c>
      <c r="AA160" s="12">
        <f t="shared" si="11"/>
        <v>0</v>
      </c>
    </row>
    <row r="161" spans="1:27" ht="15" customHeight="1" x14ac:dyDescent="0.25">
      <c r="A161" s="137" t="s">
        <v>414</v>
      </c>
      <c r="B161" s="137" t="s">
        <v>415</v>
      </c>
      <c r="C161" s="137">
        <v>2018</v>
      </c>
      <c r="D161" s="137">
        <v>0.216</v>
      </c>
      <c r="E161" s="137" t="s">
        <v>193</v>
      </c>
      <c r="F161" s="137" t="s">
        <v>983</v>
      </c>
      <c r="G161" s="137">
        <v>0.1</v>
      </c>
      <c r="H161" s="137">
        <v>0</v>
      </c>
      <c r="I161" s="137">
        <v>0</v>
      </c>
      <c r="J161" s="137">
        <v>0</v>
      </c>
      <c r="K161" s="137" t="s">
        <v>193</v>
      </c>
      <c r="L161" s="137" t="s">
        <v>193</v>
      </c>
      <c r="M161" s="137" t="s">
        <v>193</v>
      </c>
      <c r="N161" s="137" t="s">
        <v>193</v>
      </c>
      <c r="O161" s="137" t="s">
        <v>193</v>
      </c>
      <c r="P161" s="137" t="s">
        <v>193</v>
      </c>
      <c r="Q161" s="137" t="s">
        <v>193</v>
      </c>
      <c r="R161" s="137" t="s">
        <v>193</v>
      </c>
      <c r="S161" s="137" t="s">
        <v>193</v>
      </c>
      <c r="T161" s="137" t="s">
        <v>193</v>
      </c>
      <c r="W161" s="12" t="str">
        <f t="shared" si="8"/>
        <v>Ja</v>
      </c>
      <c r="Y161" s="12" t="str">
        <f t="shared" si="9"/>
        <v>Nej</v>
      </c>
      <c r="Z161" s="12">
        <f t="shared" si="10"/>
        <v>0</v>
      </c>
      <c r="AA161" s="12">
        <f t="shared" si="11"/>
        <v>0</v>
      </c>
    </row>
    <row r="162" spans="1:27" ht="15" customHeight="1" x14ac:dyDescent="0.25">
      <c r="A162" s="137" t="s">
        <v>414</v>
      </c>
      <c r="B162" s="137" t="s">
        <v>416</v>
      </c>
      <c r="C162" s="137">
        <v>2018</v>
      </c>
      <c r="D162" s="137">
        <v>0.23599999999999999</v>
      </c>
      <c r="E162" s="137" t="s">
        <v>193</v>
      </c>
      <c r="F162" s="137" t="s">
        <v>984</v>
      </c>
      <c r="G162" s="137">
        <v>0.1</v>
      </c>
      <c r="H162" s="137">
        <v>0</v>
      </c>
      <c r="I162" s="137">
        <v>0</v>
      </c>
      <c r="J162" s="137">
        <v>0</v>
      </c>
      <c r="K162" s="137" t="s">
        <v>193</v>
      </c>
      <c r="L162" s="137" t="s">
        <v>193</v>
      </c>
      <c r="M162" s="137" t="s">
        <v>193</v>
      </c>
      <c r="N162" s="137" t="s">
        <v>193</v>
      </c>
      <c r="O162" s="137" t="s">
        <v>193</v>
      </c>
      <c r="P162" s="137" t="s">
        <v>193</v>
      </c>
      <c r="Q162" s="137" t="s">
        <v>193</v>
      </c>
      <c r="R162" s="137" t="s">
        <v>193</v>
      </c>
      <c r="S162" s="137" t="s">
        <v>193</v>
      </c>
      <c r="T162" s="137" t="s">
        <v>193</v>
      </c>
      <c r="W162" s="12" t="str">
        <f t="shared" si="8"/>
        <v>Ja</v>
      </c>
      <c r="Y162" s="12" t="str">
        <f t="shared" si="9"/>
        <v>Nej</v>
      </c>
      <c r="Z162" s="12">
        <f t="shared" si="10"/>
        <v>0</v>
      </c>
      <c r="AA162" s="12">
        <f t="shared" si="11"/>
        <v>0</v>
      </c>
    </row>
    <row r="163" spans="1:27" ht="15" customHeight="1" x14ac:dyDescent="0.25">
      <c r="A163" s="137" t="s">
        <v>414</v>
      </c>
      <c r="B163" s="137" t="s">
        <v>417</v>
      </c>
      <c r="C163" s="137">
        <v>2018</v>
      </c>
      <c r="D163" s="137">
        <v>0.55000000000000004</v>
      </c>
      <c r="E163" s="137" t="s">
        <v>193</v>
      </c>
      <c r="F163" s="137" t="s">
        <v>985</v>
      </c>
      <c r="G163" s="137">
        <v>0.1</v>
      </c>
      <c r="H163" s="137">
        <v>0</v>
      </c>
      <c r="I163" s="137">
        <v>0</v>
      </c>
      <c r="J163" s="137">
        <v>0</v>
      </c>
      <c r="K163" s="137" t="s">
        <v>193</v>
      </c>
      <c r="L163" s="137" t="s">
        <v>193</v>
      </c>
      <c r="M163" s="137" t="s">
        <v>193</v>
      </c>
      <c r="N163" s="137" t="s">
        <v>193</v>
      </c>
      <c r="O163" s="137" t="s">
        <v>193</v>
      </c>
      <c r="P163" s="137" t="s">
        <v>193</v>
      </c>
      <c r="Q163" s="137" t="s">
        <v>193</v>
      </c>
      <c r="R163" s="137" t="s">
        <v>193</v>
      </c>
      <c r="S163" s="137" t="s">
        <v>193</v>
      </c>
      <c r="T163" s="137" t="s">
        <v>193</v>
      </c>
      <c r="W163" s="12" t="str">
        <f t="shared" si="8"/>
        <v>Ja</v>
      </c>
      <c r="Y163" s="12" t="str">
        <f t="shared" si="9"/>
        <v>Nej</v>
      </c>
      <c r="Z163" s="12">
        <f t="shared" si="10"/>
        <v>0</v>
      </c>
      <c r="AA163" s="12">
        <f t="shared" si="11"/>
        <v>0</v>
      </c>
    </row>
    <row r="164" spans="1:27" ht="15" customHeight="1" x14ac:dyDescent="0.25">
      <c r="A164" s="137" t="s">
        <v>414</v>
      </c>
      <c r="B164" s="137" t="s">
        <v>418</v>
      </c>
      <c r="C164" s="137">
        <v>2018</v>
      </c>
      <c r="D164" s="137">
        <v>3.3099999999999997E-2</v>
      </c>
      <c r="E164" s="137" t="s">
        <v>193</v>
      </c>
      <c r="F164" s="137" t="s">
        <v>986</v>
      </c>
      <c r="G164" s="137">
        <v>0.1</v>
      </c>
      <c r="H164" s="137">
        <v>0</v>
      </c>
      <c r="I164" s="137">
        <v>0</v>
      </c>
      <c r="J164" s="137">
        <v>0</v>
      </c>
      <c r="K164" s="137" t="s">
        <v>193</v>
      </c>
      <c r="L164" s="137" t="s">
        <v>193</v>
      </c>
      <c r="M164" s="137" t="s">
        <v>193</v>
      </c>
      <c r="N164" s="137" t="s">
        <v>193</v>
      </c>
      <c r="O164" s="137" t="s">
        <v>193</v>
      </c>
      <c r="P164" s="137" t="s">
        <v>193</v>
      </c>
      <c r="Q164" s="137" t="s">
        <v>193</v>
      </c>
      <c r="R164" s="137" t="s">
        <v>193</v>
      </c>
      <c r="S164" s="137" t="s">
        <v>193</v>
      </c>
      <c r="T164" s="137" t="s">
        <v>193</v>
      </c>
      <c r="W164" s="12" t="str">
        <f t="shared" si="8"/>
        <v>Ja</v>
      </c>
      <c r="Y164" s="12" t="str">
        <f t="shared" si="9"/>
        <v>Nej</v>
      </c>
      <c r="Z164" s="12">
        <f t="shared" si="10"/>
        <v>0</v>
      </c>
      <c r="AA164" s="12">
        <f t="shared" si="11"/>
        <v>0</v>
      </c>
    </row>
    <row r="165" spans="1:27" ht="15" customHeight="1" x14ac:dyDescent="0.25">
      <c r="A165" s="137" t="s">
        <v>419</v>
      </c>
      <c r="B165" s="137" t="s">
        <v>420</v>
      </c>
      <c r="C165" s="137">
        <v>2018</v>
      </c>
      <c r="D165" s="137" t="s">
        <v>193</v>
      </c>
      <c r="E165" s="137" t="s">
        <v>193</v>
      </c>
      <c r="F165" s="137" t="s">
        <v>53</v>
      </c>
      <c r="G165" s="137">
        <v>2.2999999999999998</v>
      </c>
      <c r="H165" s="137">
        <v>329.19</v>
      </c>
      <c r="I165" s="137">
        <v>0.43</v>
      </c>
      <c r="J165" s="137">
        <v>0.40550000000000003</v>
      </c>
      <c r="K165" s="137" t="s">
        <v>193</v>
      </c>
      <c r="L165" s="137" t="s">
        <v>193</v>
      </c>
      <c r="M165" s="137" t="s">
        <v>193</v>
      </c>
      <c r="N165" s="137" t="s">
        <v>193</v>
      </c>
      <c r="O165" s="137" t="s">
        <v>193</v>
      </c>
      <c r="P165" s="137" t="s">
        <v>193</v>
      </c>
      <c r="Q165" s="137" t="s">
        <v>193</v>
      </c>
      <c r="R165" s="137" t="s">
        <v>193</v>
      </c>
      <c r="S165" s="137" t="s">
        <v>193</v>
      </c>
      <c r="T165" s="137" t="s">
        <v>193</v>
      </c>
      <c r="W165" s="12" t="str">
        <f t="shared" si="8"/>
        <v>Nej</v>
      </c>
      <c r="Y165" s="12" t="str">
        <f t="shared" si="9"/>
        <v>Nej</v>
      </c>
      <c r="Z165" s="12">
        <f t="shared" si="10"/>
        <v>0</v>
      </c>
      <c r="AA165" s="12">
        <f t="shared" si="11"/>
        <v>0</v>
      </c>
    </row>
    <row r="166" spans="1:27" ht="15" customHeight="1" x14ac:dyDescent="0.25">
      <c r="A166" s="137" t="s">
        <v>421</v>
      </c>
      <c r="B166" s="137" t="s">
        <v>422</v>
      </c>
      <c r="C166" s="137">
        <v>2018</v>
      </c>
      <c r="D166" s="137">
        <v>15.651</v>
      </c>
      <c r="E166" s="137">
        <v>11.974</v>
      </c>
      <c r="F166" s="137" t="s">
        <v>935</v>
      </c>
      <c r="G166" s="137">
        <v>1.1000000000000001</v>
      </c>
      <c r="H166" s="137">
        <v>0</v>
      </c>
      <c r="I166" s="137">
        <v>0</v>
      </c>
      <c r="J166" s="137">
        <v>0</v>
      </c>
      <c r="K166" s="137" t="s">
        <v>193</v>
      </c>
      <c r="L166" s="137" t="s">
        <v>193</v>
      </c>
      <c r="M166" s="137" t="s">
        <v>193</v>
      </c>
      <c r="N166" s="137" t="s">
        <v>193</v>
      </c>
      <c r="O166" s="137" t="s">
        <v>193</v>
      </c>
      <c r="P166" s="137" t="s">
        <v>193</v>
      </c>
      <c r="Q166" s="137" t="s">
        <v>193</v>
      </c>
      <c r="R166" s="137" t="s">
        <v>193</v>
      </c>
      <c r="S166" s="137" t="s">
        <v>193</v>
      </c>
      <c r="T166" s="137" t="s">
        <v>193</v>
      </c>
      <c r="W166" s="12" t="str">
        <f t="shared" si="8"/>
        <v>Ja</v>
      </c>
      <c r="Y166" s="12" t="str">
        <f t="shared" si="9"/>
        <v>Nej</v>
      </c>
      <c r="Z166" s="12">
        <f t="shared" si="10"/>
        <v>0</v>
      </c>
      <c r="AA166" s="12">
        <f t="shared" si="11"/>
        <v>0</v>
      </c>
    </row>
    <row r="167" spans="1:27" ht="15" customHeight="1" x14ac:dyDescent="0.25">
      <c r="A167" s="137" t="s">
        <v>421</v>
      </c>
      <c r="B167" s="137" t="s">
        <v>423</v>
      </c>
      <c r="C167" s="137">
        <v>2018</v>
      </c>
      <c r="D167" s="137" t="s">
        <v>193</v>
      </c>
      <c r="E167" s="137" t="s">
        <v>193</v>
      </c>
      <c r="F167" s="137" t="s">
        <v>935</v>
      </c>
      <c r="G167" s="137">
        <v>1.1000000000000001</v>
      </c>
      <c r="H167" s="137">
        <v>0</v>
      </c>
      <c r="I167" s="137">
        <v>0</v>
      </c>
      <c r="J167" s="137">
        <v>0</v>
      </c>
      <c r="K167" s="137" t="s">
        <v>193</v>
      </c>
      <c r="L167" s="137" t="s">
        <v>193</v>
      </c>
      <c r="M167" s="137" t="s">
        <v>193</v>
      </c>
      <c r="N167" s="137" t="s">
        <v>193</v>
      </c>
      <c r="O167" s="137" t="s">
        <v>193</v>
      </c>
      <c r="P167" s="137" t="s">
        <v>193</v>
      </c>
      <c r="Q167" s="137" t="s">
        <v>193</v>
      </c>
      <c r="R167" s="137" t="s">
        <v>193</v>
      </c>
      <c r="S167" s="137" t="s">
        <v>193</v>
      </c>
      <c r="T167" s="137" t="s">
        <v>193</v>
      </c>
      <c r="W167" s="12" t="str">
        <f t="shared" si="8"/>
        <v>Ja</v>
      </c>
      <c r="Y167" s="12" t="str">
        <f t="shared" si="9"/>
        <v>Nej</v>
      </c>
      <c r="Z167" s="12">
        <f t="shared" si="10"/>
        <v>0</v>
      </c>
      <c r="AA167" s="12">
        <f t="shared" si="11"/>
        <v>0</v>
      </c>
    </row>
    <row r="168" spans="1:27" ht="15" customHeight="1" x14ac:dyDescent="0.25">
      <c r="A168" s="137" t="s">
        <v>424</v>
      </c>
      <c r="B168" s="137" t="s">
        <v>425</v>
      </c>
      <c r="C168" s="137">
        <v>2018</v>
      </c>
      <c r="D168" s="137" t="s">
        <v>193</v>
      </c>
      <c r="E168" s="137" t="s">
        <v>193</v>
      </c>
      <c r="F168" s="137" t="s">
        <v>53</v>
      </c>
      <c r="G168" s="137">
        <v>2.23</v>
      </c>
      <c r="H168" s="137">
        <v>329.19</v>
      </c>
      <c r="I168" s="137">
        <v>0.43</v>
      </c>
      <c r="J168" s="137">
        <v>0.40550000000000003</v>
      </c>
      <c r="K168" s="137" t="s">
        <v>193</v>
      </c>
      <c r="L168" s="137" t="s">
        <v>193</v>
      </c>
      <c r="M168" s="137" t="s">
        <v>193</v>
      </c>
      <c r="N168" s="137" t="s">
        <v>193</v>
      </c>
      <c r="O168" s="137" t="s">
        <v>193</v>
      </c>
      <c r="P168" s="137" t="s">
        <v>193</v>
      </c>
      <c r="Q168" s="137" t="s">
        <v>193</v>
      </c>
      <c r="R168" s="137" t="s">
        <v>193</v>
      </c>
      <c r="S168" s="137" t="s">
        <v>193</v>
      </c>
      <c r="T168" s="137" t="s">
        <v>193</v>
      </c>
      <c r="W168" s="12" t="str">
        <f t="shared" si="8"/>
        <v>Ja</v>
      </c>
      <c r="Y168" s="12" t="str">
        <f t="shared" si="9"/>
        <v>Nej</v>
      </c>
      <c r="Z168" s="12">
        <f t="shared" si="10"/>
        <v>0</v>
      </c>
      <c r="AA168" s="12">
        <f t="shared" si="11"/>
        <v>0</v>
      </c>
    </row>
    <row r="169" spans="1:27" ht="15" customHeight="1" x14ac:dyDescent="0.25">
      <c r="A169" s="137" t="s">
        <v>426</v>
      </c>
      <c r="B169" s="137" t="s">
        <v>427</v>
      </c>
      <c r="C169" s="137">
        <v>2018</v>
      </c>
      <c r="D169" s="137">
        <v>8.6999999999999994E-2</v>
      </c>
      <c r="E169" s="137" t="s">
        <v>193</v>
      </c>
      <c r="F169" s="137" t="s">
        <v>935</v>
      </c>
      <c r="G169" s="137">
        <v>1.1000000000000001</v>
      </c>
      <c r="H169" s="137">
        <v>0</v>
      </c>
      <c r="I169" s="137">
        <v>0</v>
      </c>
      <c r="J169" s="137">
        <v>0</v>
      </c>
      <c r="K169" s="137" t="s">
        <v>193</v>
      </c>
      <c r="L169" s="137" t="s">
        <v>193</v>
      </c>
      <c r="M169" s="137" t="s">
        <v>193</v>
      </c>
      <c r="N169" s="137" t="s">
        <v>193</v>
      </c>
      <c r="O169" s="137" t="s">
        <v>193</v>
      </c>
      <c r="P169" s="137" t="s">
        <v>193</v>
      </c>
      <c r="Q169" s="137" t="s">
        <v>193</v>
      </c>
      <c r="R169" s="137" t="s">
        <v>193</v>
      </c>
      <c r="S169" s="137" t="s">
        <v>193</v>
      </c>
      <c r="T169" s="137" t="s">
        <v>193</v>
      </c>
      <c r="W169" s="12" t="str">
        <f t="shared" si="8"/>
        <v>Ja</v>
      </c>
      <c r="Y169" s="12" t="str">
        <f t="shared" si="9"/>
        <v>Nej</v>
      </c>
      <c r="Z169" s="12">
        <f t="shared" si="10"/>
        <v>0</v>
      </c>
      <c r="AA169" s="12">
        <f t="shared" si="11"/>
        <v>0</v>
      </c>
    </row>
    <row r="170" spans="1:27" ht="15" customHeight="1" x14ac:dyDescent="0.25">
      <c r="A170" s="137" t="s">
        <v>426</v>
      </c>
      <c r="B170" s="137" t="s">
        <v>428</v>
      </c>
      <c r="C170" s="137">
        <v>2018</v>
      </c>
      <c r="D170" s="137">
        <v>0.23</v>
      </c>
      <c r="E170" s="137" t="s">
        <v>193</v>
      </c>
      <c r="F170" s="137" t="s">
        <v>935</v>
      </c>
      <c r="G170" s="137">
        <v>1.1000000000000001</v>
      </c>
      <c r="H170" s="137">
        <v>0</v>
      </c>
      <c r="I170" s="137">
        <v>0</v>
      </c>
      <c r="J170" s="137">
        <v>0</v>
      </c>
      <c r="K170" s="137" t="s">
        <v>193</v>
      </c>
      <c r="L170" s="137" t="s">
        <v>193</v>
      </c>
      <c r="M170" s="137" t="s">
        <v>193</v>
      </c>
      <c r="N170" s="137" t="s">
        <v>193</v>
      </c>
      <c r="O170" s="137" t="s">
        <v>193</v>
      </c>
      <c r="P170" s="137" t="s">
        <v>193</v>
      </c>
      <c r="Q170" s="137" t="s">
        <v>193</v>
      </c>
      <c r="R170" s="137" t="s">
        <v>193</v>
      </c>
      <c r="S170" s="137" t="s">
        <v>193</v>
      </c>
      <c r="T170" s="137" t="s">
        <v>193</v>
      </c>
      <c r="W170" s="12" t="str">
        <f t="shared" si="8"/>
        <v>Ja</v>
      </c>
      <c r="Y170" s="12" t="str">
        <f t="shared" si="9"/>
        <v>Nej</v>
      </c>
      <c r="Z170" s="12">
        <f t="shared" si="10"/>
        <v>0</v>
      </c>
      <c r="AA170" s="12">
        <f t="shared" si="11"/>
        <v>0</v>
      </c>
    </row>
    <row r="171" spans="1:27" ht="15" customHeight="1" x14ac:dyDescent="0.25">
      <c r="A171" s="137" t="s">
        <v>426</v>
      </c>
      <c r="B171" s="137" t="s">
        <v>429</v>
      </c>
      <c r="C171" s="137">
        <v>2018</v>
      </c>
      <c r="D171" s="137">
        <v>1.57</v>
      </c>
      <c r="E171" s="137" t="s">
        <v>193</v>
      </c>
      <c r="F171" s="137" t="s">
        <v>935</v>
      </c>
      <c r="G171" s="137">
        <v>1.1000000000000001</v>
      </c>
      <c r="H171" s="137">
        <v>0</v>
      </c>
      <c r="I171" s="137">
        <v>0</v>
      </c>
      <c r="J171" s="137">
        <v>0</v>
      </c>
      <c r="K171" s="137" t="s">
        <v>193</v>
      </c>
      <c r="L171" s="137" t="s">
        <v>193</v>
      </c>
      <c r="M171" s="137" t="s">
        <v>193</v>
      </c>
      <c r="N171" s="137" t="s">
        <v>193</v>
      </c>
      <c r="O171" s="137" t="s">
        <v>193</v>
      </c>
      <c r="P171" s="137" t="s">
        <v>193</v>
      </c>
      <c r="Q171" s="137" t="s">
        <v>193</v>
      </c>
      <c r="R171" s="137" t="s">
        <v>193</v>
      </c>
      <c r="S171" s="137" t="s">
        <v>193</v>
      </c>
      <c r="T171" s="137" t="s">
        <v>193</v>
      </c>
      <c r="W171" s="12" t="str">
        <f t="shared" si="8"/>
        <v>Ja</v>
      </c>
      <c r="Y171" s="12" t="str">
        <f t="shared" si="9"/>
        <v>Nej</v>
      </c>
      <c r="Z171" s="12">
        <f t="shared" si="10"/>
        <v>0</v>
      </c>
      <c r="AA171" s="12">
        <f t="shared" si="11"/>
        <v>0</v>
      </c>
    </row>
    <row r="172" spans="1:27" ht="15" customHeight="1" x14ac:dyDescent="0.25">
      <c r="A172" s="137" t="s">
        <v>426</v>
      </c>
      <c r="B172" s="137" t="s">
        <v>430</v>
      </c>
      <c r="C172" s="137">
        <v>2018</v>
      </c>
      <c r="D172" s="137" t="s">
        <v>312</v>
      </c>
      <c r="E172" s="137" t="s">
        <v>193</v>
      </c>
      <c r="F172" s="137" t="s">
        <v>935</v>
      </c>
      <c r="G172" s="137">
        <v>1.1000000000000001</v>
      </c>
      <c r="H172" s="137">
        <v>0</v>
      </c>
      <c r="I172" s="137">
        <v>0</v>
      </c>
      <c r="J172" s="137">
        <v>0</v>
      </c>
      <c r="K172" s="137" t="s">
        <v>193</v>
      </c>
      <c r="L172" s="137" t="s">
        <v>193</v>
      </c>
      <c r="M172" s="137" t="s">
        <v>193</v>
      </c>
      <c r="N172" s="137" t="s">
        <v>193</v>
      </c>
      <c r="O172" s="137" t="s">
        <v>193</v>
      </c>
      <c r="P172" s="137" t="s">
        <v>193</v>
      </c>
      <c r="Q172" s="137" t="s">
        <v>193</v>
      </c>
      <c r="R172" s="137" t="s">
        <v>193</v>
      </c>
      <c r="S172" s="137" t="s">
        <v>193</v>
      </c>
      <c r="T172" s="137" t="s">
        <v>193</v>
      </c>
      <c r="W172" s="12" t="str">
        <f t="shared" si="8"/>
        <v>Ja</v>
      </c>
      <c r="Y172" s="12" t="str">
        <f t="shared" si="9"/>
        <v>Nej</v>
      </c>
      <c r="Z172" s="12">
        <f t="shared" si="10"/>
        <v>0</v>
      </c>
      <c r="AA172" s="12">
        <f t="shared" si="11"/>
        <v>0</v>
      </c>
    </row>
    <row r="173" spans="1:27" ht="15" customHeight="1" x14ac:dyDescent="0.25">
      <c r="A173" s="137" t="s">
        <v>426</v>
      </c>
      <c r="B173" s="137" t="s">
        <v>431</v>
      </c>
      <c r="C173" s="137">
        <v>2018</v>
      </c>
      <c r="D173" s="137">
        <v>2.7E-2</v>
      </c>
      <c r="E173" s="137" t="s">
        <v>193</v>
      </c>
      <c r="F173" s="137" t="s">
        <v>935</v>
      </c>
      <c r="G173" s="137">
        <v>1.1000000000000001</v>
      </c>
      <c r="H173" s="137">
        <v>0</v>
      </c>
      <c r="I173" s="137">
        <v>0</v>
      </c>
      <c r="J173" s="137">
        <v>0</v>
      </c>
      <c r="K173" s="137" t="s">
        <v>193</v>
      </c>
      <c r="L173" s="137" t="s">
        <v>193</v>
      </c>
      <c r="M173" s="137" t="s">
        <v>193</v>
      </c>
      <c r="N173" s="137" t="s">
        <v>193</v>
      </c>
      <c r="O173" s="137" t="s">
        <v>193</v>
      </c>
      <c r="P173" s="137" t="s">
        <v>193</v>
      </c>
      <c r="Q173" s="137" t="s">
        <v>193</v>
      </c>
      <c r="R173" s="137" t="s">
        <v>193</v>
      </c>
      <c r="S173" s="137" t="s">
        <v>193</v>
      </c>
      <c r="T173" s="137" t="s">
        <v>193</v>
      </c>
      <c r="W173" s="12" t="str">
        <f t="shared" si="8"/>
        <v>Ja</v>
      </c>
      <c r="Y173" s="12" t="str">
        <f t="shared" si="9"/>
        <v>Nej</v>
      </c>
      <c r="Z173" s="12">
        <f t="shared" si="10"/>
        <v>0</v>
      </c>
      <c r="AA173" s="12">
        <f t="shared" si="11"/>
        <v>0</v>
      </c>
    </row>
    <row r="174" spans="1:27" ht="15" customHeight="1" x14ac:dyDescent="0.25">
      <c r="A174" s="137" t="s">
        <v>432</v>
      </c>
      <c r="B174" s="137" t="s">
        <v>433</v>
      </c>
      <c r="C174" s="137">
        <v>2018</v>
      </c>
      <c r="D174" s="137" t="s">
        <v>193</v>
      </c>
      <c r="E174" s="137" t="s">
        <v>193</v>
      </c>
      <c r="F174" s="137" t="s">
        <v>987</v>
      </c>
      <c r="G174" s="137">
        <v>1.5</v>
      </c>
      <c r="H174" s="137">
        <v>113.53</v>
      </c>
      <c r="I174" s="137">
        <v>0.14799999999999999</v>
      </c>
      <c r="J174" s="137">
        <v>0.13900000000000001</v>
      </c>
      <c r="K174" s="137" t="s">
        <v>193</v>
      </c>
      <c r="L174" s="137" t="s">
        <v>193</v>
      </c>
      <c r="M174" s="137" t="s">
        <v>193</v>
      </c>
      <c r="N174" s="137" t="s">
        <v>193</v>
      </c>
      <c r="O174" s="137" t="s">
        <v>193</v>
      </c>
      <c r="P174" s="137" t="s">
        <v>193</v>
      </c>
      <c r="Q174" s="137" t="s">
        <v>193</v>
      </c>
      <c r="R174" s="137" t="s">
        <v>193</v>
      </c>
      <c r="S174" s="137" t="s">
        <v>193</v>
      </c>
      <c r="T174" s="137" t="s">
        <v>193</v>
      </c>
      <c r="W174" s="12" t="str">
        <f t="shared" si="8"/>
        <v>Ja</v>
      </c>
      <c r="Y174" s="12" t="str">
        <f t="shared" si="9"/>
        <v>Nej</v>
      </c>
      <c r="Z174" s="12">
        <f t="shared" si="10"/>
        <v>0</v>
      </c>
      <c r="AA174" s="12">
        <f t="shared" si="11"/>
        <v>0</v>
      </c>
    </row>
    <row r="175" spans="1:27" ht="15" customHeight="1" x14ac:dyDescent="0.25">
      <c r="A175" s="137" t="s">
        <v>434</v>
      </c>
      <c r="B175" s="137" t="s">
        <v>435</v>
      </c>
      <c r="C175" s="137">
        <v>2018</v>
      </c>
      <c r="D175" s="137">
        <v>0.16400000000000001</v>
      </c>
      <c r="E175" s="137" t="s">
        <v>193</v>
      </c>
      <c r="F175" s="137" t="s">
        <v>988</v>
      </c>
      <c r="G175" s="137">
        <v>1.1000000000000001</v>
      </c>
      <c r="H175" s="137">
        <v>0</v>
      </c>
      <c r="I175" s="137">
        <v>0</v>
      </c>
      <c r="J175" s="137">
        <v>0</v>
      </c>
      <c r="K175" s="137" t="s">
        <v>193</v>
      </c>
      <c r="L175" s="137" t="s">
        <v>193</v>
      </c>
      <c r="M175" s="137" t="s">
        <v>193</v>
      </c>
      <c r="N175" s="137" t="s">
        <v>193</v>
      </c>
      <c r="O175" s="137" t="s">
        <v>193</v>
      </c>
      <c r="P175" s="137" t="s">
        <v>193</v>
      </c>
      <c r="Q175" s="137" t="s">
        <v>193</v>
      </c>
      <c r="R175" s="137" t="s">
        <v>193</v>
      </c>
      <c r="S175" s="137" t="s">
        <v>193</v>
      </c>
      <c r="T175" s="137" t="s">
        <v>193</v>
      </c>
      <c r="W175" s="12" t="str">
        <f t="shared" si="8"/>
        <v>Ja</v>
      </c>
      <c r="Y175" s="12" t="str">
        <f t="shared" si="9"/>
        <v>Nej</v>
      </c>
      <c r="Z175" s="12">
        <f t="shared" si="10"/>
        <v>0</v>
      </c>
      <c r="AA175" s="12">
        <f t="shared" si="11"/>
        <v>0</v>
      </c>
    </row>
    <row r="176" spans="1:27" ht="15" customHeight="1" x14ac:dyDescent="0.25">
      <c r="A176" s="137" t="s">
        <v>434</v>
      </c>
      <c r="B176" s="137" t="s">
        <v>436</v>
      </c>
      <c r="C176" s="137">
        <v>2018</v>
      </c>
      <c r="D176" s="137">
        <v>0.39</v>
      </c>
      <c r="E176" s="137" t="s">
        <v>193</v>
      </c>
      <c r="F176" s="137" t="s">
        <v>935</v>
      </c>
      <c r="G176" s="137">
        <v>1.1000000000000001</v>
      </c>
      <c r="H176" s="137">
        <v>0</v>
      </c>
      <c r="I176" s="137">
        <v>0</v>
      </c>
      <c r="J176" s="137">
        <v>0</v>
      </c>
      <c r="K176" s="137" t="s">
        <v>193</v>
      </c>
      <c r="L176" s="137" t="s">
        <v>193</v>
      </c>
      <c r="M176" s="137" t="s">
        <v>193</v>
      </c>
      <c r="N176" s="137" t="s">
        <v>193</v>
      </c>
      <c r="O176" s="137" t="s">
        <v>193</v>
      </c>
      <c r="P176" s="137" t="s">
        <v>193</v>
      </c>
      <c r="Q176" s="137" t="s">
        <v>193</v>
      </c>
      <c r="R176" s="137" t="s">
        <v>193</v>
      </c>
      <c r="S176" s="137" t="s">
        <v>193</v>
      </c>
      <c r="T176" s="137" t="s">
        <v>193</v>
      </c>
      <c r="W176" s="12" t="str">
        <f t="shared" si="8"/>
        <v>Ja</v>
      </c>
      <c r="Y176" s="12" t="str">
        <f t="shared" si="9"/>
        <v>Nej</v>
      </c>
      <c r="Z176" s="12">
        <f t="shared" si="10"/>
        <v>0</v>
      </c>
      <c r="AA176" s="12">
        <f t="shared" si="11"/>
        <v>0</v>
      </c>
    </row>
    <row r="177" spans="1:27" ht="15" customHeight="1" x14ac:dyDescent="0.25">
      <c r="A177" s="137" t="s">
        <v>434</v>
      </c>
      <c r="B177" s="137" t="s">
        <v>437</v>
      </c>
      <c r="C177" s="137">
        <v>2018</v>
      </c>
      <c r="D177" s="137">
        <v>2.38</v>
      </c>
      <c r="E177" s="137" t="s">
        <v>193</v>
      </c>
      <c r="F177" s="137" t="s">
        <v>989</v>
      </c>
      <c r="G177" s="137">
        <v>1.1000000000000001</v>
      </c>
      <c r="H177" s="137">
        <v>0</v>
      </c>
      <c r="I177" s="137">
        <v>0</v>
      </c>
      <c r="J177" s="137">
        <v>0</v>
      </c>
      <c r="K177" s="137" t="s">
        <v>193</v>
      </c>
      <c r="L177" s="137" t="s">
        <v>193</v>
      </c>
      <c r="M177" s="137" t="s">
        <v>193</v>
      </c>
      <c r="N177" s="137" t="s">
        <v>193</v>
      </c>
      <c r="O177" s="137" t="s">
        <v>193</v>
      </c>
      <c r="P177" s="137" t="s">
        <v>193</v>
      </c>
      <c r="Q177" s="137" t="s">
        <v>193</v>
      </c>
      <c r="R177" s="137" t="s">
        <v>193</v>
      </c>
      <c r="S177" s="137" t="s">
        <v>193</v>
      </c>
      <c r="T177" s="137" t="s">
        <v>193</v>
      </c>
      <c r="W177" s="12" t="str">
        <f t="shared" si="8"/>
        <v>Ja</v>
      </c>
      <c r="Y177" s="12" t="str">
        <f t="shared" si="9"/>
        <v>Nej</v>
      </c>
      <c r="Z177" s="12">
        <f t="shared" si="10"/>
        <v>0</v>
      </c>
      <c r="AA177" s="12">
        <f t="shared" si="11"/>
        <v>0</v>
      </c>
    </row>
    <row r="178" spans="1:27" ht="15" customHeight="1" x14ac:dyDescent="0.25">
      <c r="A178" s="137" t="s">
        <v>438</v>
      </c>
      <c r="B178" s="137" t="s">
        <v>439</v>
      </c>
      <c r="C178" s="137">
        <v>2018</v>
      </c>
      <c r="D178" s="137">
        <v>25.6</v>
      </c>
      <c r="E178" s="137" t="s">
        <v>193</v>
      </c>
      <c r="F178" s="137" t="s">
        <v>990</v>
      </c>
      <c r="G178" s="137">
        <v>4.2999999999999997E-2</v>
      </c>
      <c r="H178" s="137">
        <v>12.76</v>
      </c>
      <c r="I178" s="137">
        <v>2.1000000000000001E-2</v>
      </c>
      <c r="J178" s="137">
        <v>0</v>
      </c>
      <c r="K178" s="137" t="s">
        <v>193</v>
      </c>
      <c r="L178" s="137" t="s">
        <v>193</v>
      </c>
      <c r="M178" s="137" t="s">
        <v>193</v>
      </c>
      <c r="N178" s="137" t="s">
        <v>193</v>
      </c>
      <c r="O178" s="137" t="s">
        <v>193</v>
      </c>
      <c r="P178" s="137" t="s">
        <v>193</v>
      </c>
      <c r="Q178" s="137" t="s">
        <v>193</v>
      </c>
      <c r="R178" s="137" t="s">
        <v>193</v>
      </c>
      <c r="S178" s="137" t="s">
        <v>193</v>
      </c>
      <c r="T178" s="137" t="s">
        <v>193</v>
      </c>
      <c r="W178" s="12" t="str">
        <f t="shared" si="8"/>
        <v>Ja</v>
      </c>
      <c r="Y178" s="12" t="str">
        <f t="shared" si="9"/>
        <v>Nej</v>
      </c>
      <c r="Z178" s="12">
        <f t="shared" si="10"/>
        <v>0</v>
      </c>
      <c r="AA178" s="12">
        <f t="shared" si="11"/>
        <v>0</v>
      </c>
    </row>
    <row r="179" spans="1:27" ht="15" customHeight="1" x14ac:dyDescent="0.25">
      <c r="A179" s="137" t="s">
        <v>438</v>
      </c>
      <c r="B179" s="137" t="s">
        <v>440</v>
      </c>
      <c r="C179" s="137">
        <v>2018</v>
      </c>
      <c r="D179" s="137">
        <v>0.21</v>
      </c>
      <c r="E179" s="137" t="s">
        <v>193</v>
      </c>
      <c r="F179" s="137" t="s">
        <v>990</v>
      </c>
      <c r="G179" s="137">
        <v>4.9000000000000002E-2</v>
      </c>
      <c r="H179" s="137">
        <v>0</v>
      </c>
      <c r="I179" s="137">
        <v>0</v>
      </c>
      <c r="J179" s="137">
        <v>0</v>
      </c>
      <c r="K179" s="137" t="s">
        <v>193</v>
      </c>
      <c r="L179" s="137" t="s">
        <v>193</v>
      </c>
      <c r="M179" s="137" t="s">
        <v>193</v>
      </c>
      <c r="N179" s="137" t="s">
        <v>193</v>
      </c>
      <c r="O179" s="137" t="s">
        <v>193</v>
      </c>
      <c r="P179" s="137" t="s">
        <v>193</v>
      </c>
      <c r="Q179" s="137" t="s">
        <v>193</v>
      </c>
      <c r="R179" s="137" t="s">
        <v>193</v>
      </c>
      <c r="S179" s="137" t="s">
        <v>193</v>
      </c>
      <c r="T179" s="137" t="s">
        <v>193</v>
      </c>
      <c r="W179" s="12" t="str">
        <f t="shared" si="8"/>
        <v>Ja</v>
      </c>
      <c r="Y179" s="12" t="str">
        <f t="shared" si="9"/>
        <v>Nej</v>
      </c>
      <c r="Z179" s="12">
        <f t="shared" si="10"/>
        <v>0</v>
      </c>
      <c r="AA179" s="12">
        <f t="shared" si="11"/>
        <v>0</v>
      </c>
    </row>
    <row r="180" spans="1:27" ht="15" customHeight="1" x14ac:dyDescent="0.25">
      <c r="A180" s="137" t="s">
        <v>438</v>
      </c>
      <c r="B180" s="137" t="s">
        <v>441</v>
      </c>
      <c r="C180" s="137">
        <v>2018</v>
      </c>
      <c r="D180" s="137">
        <v>0.42</v>
      </c>
      <c r="E180" s="137" t="s">
        <v>193</v>
      </c>
      <c r="F180" s="137" t="s">
        <v>991</v>
      </c>
      <c r="G180" s="137">
        <v>0.1</v>
      </c>
      <c r="H180" s="137">
        <v>0</v>
      </c>
      <c r="I180" s="137">
        <v>0</v>
      </c>
      <c r="J180" s="137">
        <v>0</v>
      </c>
      <c r="K180" s="137" t="s">
        <v>193</v>
      </c>
      <c r="L180" s="137" t="s">
        <v>193</v>
      </c>
      <c r="M180" s="137" t="s">
        <v>193</v>
      </c>
      <c r="N180" s="137" t="s">
        <v>193</v>
      </c>
      <c r="O180" s="137" t="s">
        <v>193</v>
      </c>
      <c r="P180" s="137" t="s">
        <v>193</v>
      </c>
      <c r="Q180" s="137" t="s">
        <v>193</v>
      </c>
      <c r="R180" s="137" t="s">
        <v>193</v>
      </c>
      <c r="S180" s="137" t="s">
        <v>193</v>
      </c>
      <c r="T180" s="137" t="s">
        <v>193</v>
      </c>
      <c r="W180" s="12" t="str">
        <f t="shared" si="8"/>
        <v>Ja</v>
      </c>
      <c r="Y180" s="12" t="str">
        <f t="shared" si="9"/>
        <v>Nej</v>
      </c>
      <c r="Z180" s="12">
        <f t="shared" si="10"/>
        <v>0</v>
      </c>
      <c r="AA180" s="12">
        <f t="shared" si="11"/>
        <v>0</v>
      </c>
    </row>
    <row r="181" spans="1:27" ht="15" customHeight="1" x14ac:dyDescent="0.25">
      <c r="A181" s="137" t="s">
        <v>442</v>
      </c>
      <c r="B181" s="137" t="s">
        <v>443</v>
      </c>
      <c r="C181" s="137">
        <v>2018</v>
      </c>
      <c r="D181" s="137">
        <v>0.5</v>
      </c>
      <c r="E181" s="137" t="s">
        <v>193</v>
      </c>
      <c r="F181" s="137" t="s">
        <v>992</v>
      </c>
      <c r="G181" s="137">
        <v>0.94</v>
      </c>
      <c r="H181" s="137">
        <v>0</v>
      </c>
      <c r="I181" s="137">
        <v>0</v>
      </c>
      <c r="J181" s="137">
        <v>0</v>
      </c>
      <c r="K181" s="137" t="s">
        <v>193</v>
      </c>
      <c r="L181" s="137" t="s">
        <v>193</v>
      </c>
      <c r="M181" s="137" t="s">
        <v>193</v>
      </c>
      <c r="N181" s="137" t="s">
        <v>193</v>
      </c>
      <c r="O181" s="137" t="s">
        <v>193</v>
      </c>
      <c r="P181" s="137" t="s">
        <v>193</v>
      </c>
      <c r="Q181" s="137" t="s">
        <v>193</v>
      </c>
      <c r="R181" s="137" t="s">
        <v>193</v>
      </c>
      <c r="S181" s="137" t="s">
        <v>193</v>
      </c>
      <c r="T181" s="137" t="s">
        <v>193</v>
      </c>
      <c r="W181" s="12" t="str">
        <f t="shared" si="8"/>
        <v>Ja</v>
      </c>
      <c r="Y181" s="12" t="str">
        <f t="shared" si="9"/>
        <v>Nej</v>
      </c>
      <c r="Z181" s="12">
        <f t="shared" si="10"/>
        <v>0</v>
      </c>
      <c r="AA181" s="12">
        <f t="shared" si="11"/>
        <v>0</v>
      </c>
    </row>
    <row r="182" spans="1:27" ht="15" customHeight="1" x14ac:dyDescent="0.25">
      <c r="A182" s="137" t="s">
        <v>444</v>
      </c>
      <c r="B182" s="137" t="s">
        <v>445</v>
      </c>
      <c r="C182" s="137">
        <v>2018</v>
      </c>
      <c r="D182" s="137">
        <v>2.75</v>
      </c>
      <c r="E182" s="137">
        <v>1.36</v>
      </c>
      <c r="F182" s="137" t="s">
        <v>957</v>
      </c>
      <c r="G182" s="137">
        <v>0.41</v>
      </c>
      <c r="H182" s="137">
        <v>0</v>
      </c>
      <c r="I182" s="137">
        <v>0</v>
      </c>
      <c r="J182" s="137">
        <v>0</v>
      </c>
      <c r="K182" s="137" t="s">
        <v>193</v>
      </c>
      <c r="L182" s="137" t="s">
        <v>193</v>
      </c>
      <c r="M182" s="137" t="s">
        <v>193</v>
      </c>
      <c r="N182" s="137" t="s">
        <v>193</v>
      </c>
      <c r="O182" s="137" t="s">
        <v>193</v>
      </c>
      <c r="P182" s="137" t="s">
        <v>193</v>
      </c>
      <c r="Q182" s="137" t="s">
        <v>193</v>
      </c>
      <c r="R182" s="137" t="s">
        <v>193</v>
      </c>
      <c r="S182" s="137" t="s">
        <v>193</v>
      </c>
      <c r="T182" s="137" t="s">
        <v>193</v>
      </c>
      <c r="W182" s="12" t="str">
        <f t="shared" si="8"/>
        <v>Ja</v>
      </c>
      <c r="Y182" s="12" t="str">
        <f t="shared" si="9"/>
        <v>Nej</v>
      </c>
      <c r="Z182" s="12">
        <f t="shared" si="10"/>
        <v>0</v>
      </c>
      <c r="AA182" s="12">
        <f t="shared" si="11"/>
        <v>0</v>
      </c>
    </row>
    <row r="183" spans="1:27" ht="15" customHeight="1" x14ac:dyDescent="0.25">
      <c r="A183" s="137" t="s">
        <v>444</v>
      </c>
      <c r="B183" s="137" t="s">
        <v>446</v>
      </c>
      <c r="C183" s="137">
        <v>2018</v>
      </c>
      <c r="D183" s="137">
        <v>0.04</v>
      </c>
      <c r="E183" s="137" t="s">
        <v>193</v>
      </c>
      <c r="F183" s="137" t="s">
        <v>993</v>
      </c>
      <c r="G183" s="137">
        <v>1.1000000000000001</v>
      </c>
      <c r="H183" s="137">
        <v>0</v>
      </c>
      <c r="I183" s="137">
        <v>0</v>
      </c>
      <c r="J183" s="137">
        <v>0</v>
      </c>
      <c r="K183" s="137" t="s">
        <v>193</v>
      </c>
      <c r="L183" s="137" t="s">
        <v>193</v>
      </c>
      <c r="M183" s="137" t="s">
        <v>193</v>
      </c>
      <c r="N183" s="137" t="s">
        <v>193</v>
      </c>
      <c r="O183" s="137" t="s">
        <v>193</v>
      </c>
      <c r="P183" s="137" t="s">
        <v>193</v>
      </c>
      <c r="Q183" s="137" t="s">
        <v>193</v>
      </c>
      <c r="R183" s="137" t="s">
        <v>193</v>
      </c>
      <c r="S183" s="137" t="s">
        <v>193</v>
      </c>
      <c r="T183" s="137" t="s">
        <v>193</v>
      </c>
      <c r="W183" s="12" t="str">
        <f t="shared" si="8"/>
        <v>Ja</v>
      </c>
      <c r="Y183" s="12" t="str">
        <f t="shared" si="9"/>
        <v>Nej</v>
      </c>
      <c r="Z183" s="12">
        <f t="shared" si="10"/>
        <v>0</v>
      </c>
      <c r="AA183" s="12">
        <f t="shared" si="11"/>
        <v>0</v>
      </c>
    </row>
    <row r="184" spans="1:27" ht="15" customHeight="1" x14ac:dyDescent="0.25">
      <c r="A184" s="137" t="s">
        <v>447</v>
      </c>
      <c r="B184" s="137" t="s">
        <v>448</v>
      </c>
      <c r="C184" s="137">
        <v>2018</v>
      </c>
      <c r="D184" s="137">
        <v>2.2999999999999998</v>
      </c>
      <c r="E184" s="137">
        <v>5.2</v>
      </c>
      <c r="F184" s="137" t="s">
        <v>994</v>
      </c>
      <c r="G184" s="137">
        <v>2.056</v>
      </c>
      <c r="H184" s="137">
        <v>61.51</v>
      </c>
      <c r="I184" s="137">
        <v>0.08</v>
      </c>
      <c r="J184" s="137">
        <v>0.08</v>
      </c>
      <c r="K184" s="137">
        <v>68.900000000000006</v>
      </c>
      <c r="L184" s="137">
        <v>0.12</v>
      </c>
      <c r="M184" s="137">
        <v>132</v>
      </c>
      <c r="N184" s="137">
        <v>5</v>
      </c>
      <c r="O184" s="137">
        <v>4.3</v>
      </c>
      <c r="P184" s="137" t="s">
        <v>193</v>
      </c>
      <c r="Q184" s="137" t="s">
        <v>193</v>
      </c>
      <c r="R184" s="137" t="s">
        <v>193</v>
      </c>
      <c r="S184" s="137" t="s">
        <v>193</v>
      </c>
      <c r="T184" s="137" t="s">
        <v>193</v>
      </c>
      <c r="W184" s="12" t="str">
        <f t="shared" si="8"/>
        <v>Ja</v>
      </c>
      <c r="Y184" s="12" t="str">
        <f t="shared" si="9"/>
        <v>Ja</v>
      </c>
      <c r="Z184" s="12">
        <f t="shared" si="10"/>
        <v>68.900000000000006</v>
      </c>
      <c r="AA184" s="12">
        <f t="shared" si="11"/>
        <v>4.2999999999999997E-2</v>
      </c>
    </row>
    <row r="185" spans="1:27" ht="15" customHeight="1" x14ac:dyDescent="0.25">
      <c r="A185" s="137" t="s">
        <v>449</v>
      </c>
      <c r="B185" s="137" t="s">
        <v>450</v>
      </c>
      <c r="C185" s="137">
        <v>2018</v>
      </c>
      <c r="D185" s="137">
        <v>0.26</v>
      </c>
      <c r="E185" s="137">
        <v>0</v>
      </c>
      <c r="F185" s="137" t="s">
        <v>53</v>
      </c>
      <c r="G185" s="137">
        <v>2.2999999999999998</v>
      </c>
      <c r="H185" s="137">
        <v>329.19</v>
      </c>
      <c r="I185" s="137">
        <v>0.43</v>
      </c>
      <c r="J185" s="137">
        <v>0.40550000000000003</v>
      </c>
      <c r="K185" s="137" t="s">
        <v>193</v>
      </c>
      <c r="L185" s="137" t="s">
        <v>193</v>
      </c>
      <c r="M185" s="137" t="s">
        <v>193</v>
      </c>
      <c r="N185" s="137" t="s">
        <v>193</v>
      </c>
      <c r="O185" s="137" t="s">
        <v>193</v>
      </c>
      <c r="P185" s="137" t="s">
        <v>193</v>
      </c>
      <c r="Q185" s="137" t="s">
        <v>193</v>
      </c>
      <c r="R185" s="137" t="s">
        <v>193</v>
      </c>
      <c r="S185" s="137" t="s">
        <v>193</v>
      </c>
      <c r="T185" s="137" t="s">
        <v>193</v>
      </c>
      <c r="W185" s="12" t="str">
        <f t="shared" si="8"/>
        <v>Nej</v>
      </c>
      <c r="Y185" s="12" t="str">
        <f t="shared" si="9"/>
        <v>Nej</v>
      </c>
      <c r="Z185" s="12">
        <f t="shared" si="10"/>
        <v>0</v>
      </c>
      <c r="AA185" s="12">
        <f t="shared" si="11"/>
        <v>0</v>
      </c>
    </row>
    <row r="186" spans="1:27" ht="15" customHeight="1" x14ac:dyDescent="0.25">
      <c r="A186" s="137" t="s">
        <v>451</v>
      </c>
      <c r="B186" s="137" t="s">
        <v>452</v>
      </c>
      <c r="C186" s="137">
        <v>2018</v>
      </c>
      <c r="D186" s="137" t="s">
        <v>53</v>
      </c>
      <c r="E186" s="137" t="s">
        <v>53</v>
      </c>
      <c r="F186" s="137" t="s">
        <v>53</v>
      </c>
      <c r="G186" s="137" t="s">
        <v>53</v>
      </c>
      <c r="H186" s="137" t="s">
        <v>53</v>
      </c>
      <c r="I186" s="137" t="s">
        <v>53</v>
      </c>
      <c r="J186" s="137" t="s">
        <v>53</v>
      </c>
      <c r="K186" s="137" t="s">
        <v>53</v>
      </c>
      <c r="L186" s="137" t="s">
        <v>53</v>
      </c>
      <c r="M186" s="137" t="s">
        <v>53</v>
      </c>
      <c r="N186" s="137" t="s">
        <v>53</v>
      </c>
      <c r="O186" s="137" t="s">
        <v>53</v>
      </c>
      <c r="P186" s="137" t="s">
        <v>53</v>
      </c>
      <c r="Q186" s="137" t="s">
        <v>53</v>
      </c>
      <c r="R186" s="137" t="s">
        <v>53</v>
      </c>
      <c r="S186" s="137" t="s">
        <v>53</v>
      </c>
      <c r="T186" s="137" t="s">
        <v>53</v>
      </c>
      <c r="W186" s="12" t="str">
        <f t="shared" si="8"/>
        <v>Nej</v>
      </c>
      <c r="Y186" s="12" t="str">
        <f t="shared" si="9"/>
        <v>Nej</v>
      </c>
      <c r="Z186" s="12">
        <f t="shared" si="10"/>
        <v>0</v>
      </c>
      <c r="AA186" s="12">
        <f t="shared" si="11"/>
        <v>0</v>
      </c>
    </row>
    <row r="187" spans="1:27" ht="15" customHeight="1" x14ac:dyDescent="0.25">
      <c r="A187" s="137" t="s">
        <v>453</v>
      </c>
      <c r="B187" s="137" t="s">
        <v>454</v>
      </c>
      <c r="C187" s="137">
        <v>2018</v>
      </c>
      <c r="D187" s="137">
        <v>0.96299999999999997</v>
      </c>
      <c r="E187" s="137" t="s">
        <v>193</v>
      </c>
      <c r="F187" s="137" t="s">
        <v>995</v>
      </c>
      <c r="G187" s="137">
        <v>1.1000000000000001</v>
      </c>
      <c r="H187" s="137">
        <v>0</v>
      </c>
      <c r="I187" s="137">
        <v>0</v>
      </c>
      <c r="J187" s="137">
        <v>0</v>
      </c>
      <c r="K187" s="137" t="s">
        <v>193</v>
      </c>
      <c r="L187" s="137" t="s">
        <v>193</v>
      </c>
      <c r="M187" s="137" t="s">
        <v>193</v>
      </c>
      <c r="N187" s="137" t="s">
        <v>193</v>
      </c>
      <c r="O187" s="137" t="s">
        <v>193</v>
      </c>
      <c r="P187" s="137" t="s">
        <v>193</v>
      </c>
      <c r="Q187" s="137" t="s">
        <v>193</v>
      </c>
      <c r="R187" s="137" t="s">
        <v>193</v>
      </c>
      <c r="S187" s="137" t="s">
        <v>193</v>
      </c>
      <c r="T187" s="137" t="s">
        <v>193</v>
      </c>
      <c r="W187" s="12" t="str">
        <f t="shared" si="8"/>
        <v>Ja</v>
      </c>
      <c r="Y187" s="12" t="str">
        <f t="shared" si="9"/>
        <v>Nej</v>
      </c>
      <c r="Z187" s="12">
        <f t="shared" si="10"/>
        <v>0</v>
      </c>
      <c r="AA187" s="12">
        <f t="shared" si="11"/>
        <v>0</v>
      </c>
    </row>
    <row r="188" spans="1:27" ht="15" customHeight="1" x14ac:dyDescent="0.25">
      <c r="A188" s="137" t="s">
        <v>453</v>
      </c>
      <c r="B188" s="137" t="s">
        <v>126</v>
      </c>
      <c r="C188" s="137">
        <v>2018</v>
      </c>
      <c r="D188" s="137" t="s">
        <v>193</v>
      </c>
      <c r="E188" s="137" t="s">
        <v>193</v>
      </c>
      <c r="F188" s="137" t="s">
        <v>193</v>
      </c>
      <c r="G188" s="137">
        <v>2.2999999999999998</v>
      </c>
      <c r="H188" s="137">
        <v>329.19</v>
      </c>
      <c r="I188" s="137">
        <v>0.43</v>
      </c>
      <c r="J188" s="137">
        <v>0.40550000000000003</v>
      </c>
      <c r="K188" s="137" t="s">
        <v>193</v>
      </c>
      <c r="L188" s="137" t="s">
        <v>193</v>
      </c>
      <c r="M188" s="137" t="s">
        <v>193</v>
      </c>
      <c r="N188" s="137" t="s">
        <v>193</v>
      </c>
      <c r="O188" s="137" t="s">
        <v>193</v>
      </c>
      <c r="P188" s="137" t="s">
        <v>193</v>
      </c>
      <c r="Q188" s="137" t="s">
        <v>193</v>
      </c>
      <c r="R188" s="137" t="s">
        <v>193</v>
      </c>
      <c r="S188" s="137" t="s">
        <v>193</v>
      </c>
      <c r="T188" s="137" t="s">
        <v>193</v>
      </c>
      <c r="W188" s="12" t="str">
        <f t="shared" si="8"/>
        <v>Nej</v>
      </c>
      <c r="Y188" s="12" t="str">
        <f t="shared" si="9"/>
        <v>Nej</v>
      </c>
      <c r="Z188" s="12">
        <f t="shared" si="10"/>
        <v>0</v>
      </c>
      <c r="AA188" s="12">
        <f t="shared" si="11"/>
        <v>0</v>
      </c>
    </row>
    <row r="189" spans="1:27" ht="15" customHeight="1" x14ac:dyDescent="0.25">
      <c r="A189" s="137" t="s">
        <v>453</v>
      </c>
      <c r="B189" s="137" t="s">
        <v>455</v>
      </c>
      <c r="C189" s="137">
        <v>2018</v>
      </c>
      <c r="D189" s="137">
        <v>21</v>
      </c>
      <c r="E189" s="137">
        <v>85.9</v>
      </c>
      <c r="F189" s="137" t="s">
        <v>996</v>
      </c>
      <c r="G189" s="137">
        <v>0.42</v>
      </c>
      <c r="H189" s="137">
        <v>62.34</v>
      </c>
      <c r="I189" s="137">
        <v>0.08</v>
      </c>
      <c r="J189" s="137">
        <v>0</v>
      </c>
      <c r="K189" s="137" t="s">
        <v>193</v>
      </c>
      <c r="L189" s="137" t="s">
        <v>193</v>
      </c>
      <c r="M189" s="137" t="s">
        <v>193</v>
      </c>
      <c r="N189" s="137" t="s">
        <v>193</v>
      </c>
      <c r="O189" s="137" t="s">
        <v>193</v>
      </c>
      <c r="P189" s="137" t="s">
        <v>193</v>
      </c>
      <c r="Q189" s="137" t="s">
        <v>193</v>
      </c>
      <c r="R189" s="137" t="s">
        <v>193</v>
      </c>
      <c r="S189" s="137" t="s">
        <v>193</v>
      </c>
      <c r="T189" s="137" t="s">
        <v>193</v>
      </c>
      <c r="W189" s="12" t="str">
        <f t="shared" si="8"/>
        <v>Ja</v>
      </c>
      <c r="Y189" s="12" t="str">
        <f t="shared" si="9"/>
        <v>Nej</v>
      </c>
      <c r="Z189" s="12">
        <f t="shared" si="10"/>
        <v>0</v>
      </c>
      <c r="AA189" s="12">
        <f t="shared" si="11"/>
        <v>0</v>
      </c>
    </row>
    <row r="190" spans="1:27" ht="15" customHeight="1" x14ac:dyDescent="0.25">
      <c r="A190" s="137" t="s">
        <v>453</v>
      </c>
      <c r="B190" s="137" t="s">
        <v>456</v>
      </c>
      <c r="C190" s="137">
        <v>2018</v>
      </c>
      <c r="D190" s="137">
        <v>0.70831</v>
      </c>
      <c r="E190" s="137">
        <v>3.5209999999999999</v>
      </c>
      <c r="F190" s="137" t="s">
        <v>997</v>
      </c>
      <c r="G190" s="137">
        <v>0.42</v>
      </c>
      <c r="H190" s="137">
        <v>62.34</v>
      </c>
      <c r="I190" s="137">
        <v>0.08</v>
      </c>
      <c r="J190" s="137">
        <v>0.40550000000000003</v>
      </c>
      <c r="K190" s="137" t="s">
        <v>193</v>
      </c>
      <c r="L190" s="137" t="s">
        <v>193</v>
      </c>
      <c r="M190" s="137" t="s">
        <v>193</v>
      </c>
      <c r="N190" s="137" t="s">
        <v>193</v>
      </c>
      <c r="O190" s="137" t="s">
        <v>193</v>
      </c>
      <c r="P190" s="137" t="s">
        <v>193</v>
      </c>
      <c r="Q190" s="137" t="s">
        <v>193</v>
      </c>
      <c r="R190" s="137" t="s">
        <v>193</v>
      </c>
      <c r="S190" s="137" t="s">
        <v>193</v>
      </c>
      <c r="T190" s="137" t="s">
        <v>193</v>
      </c>
      <c r="W190" s="12" t="str">
        <f t="shared" si="8"/>
        <v>Ja</v>
      </c>
      <c r="Y190" s="12" t="str">
        <f t="shared" si="9"/>
        <v>Nej</v>
      </c>
      <c r="Z190" s="12">
        <f t="shared" si="10"/>
        <v>0</v>
      </c>
      <c r="AA190" s="12">
        <f t="shared" si="11"/>
        <v>0</v>
      </c>
    </row>
    <row r="191" spans="1:27" ht="15" customHeight="1" x14ac:dyDescent="0.25">
      <c r="A191" s="137" t="s">
        <v>457</v>
      </c>
      <c r="B191" s="137" t="s">
        <v>458</v>
      </c>
      <c r="C191" s="137">
        <v>2018</v>
      </c>
      <c r="D191" s="137">
        <v>2.2370000000000001</v>
      </c>
      <c r="E191" s="137">
        <v>15.71</v>
      </c>
      <c r="F191" s="137" t="s">
        <v>998</v>
      </c>
      <c r="G191" s="137">
        <v>0.09</v>
      </c>
      <c r="H191" s="137">
        <v>0</v>
      </c>
      <c r="I191" s="137">
        <v>0</v>
      </c>
      <c r="J191" s="137">
        <v>0</v>
      </c>
      <c r="K191" s="137">
        <v>22.7</v>
      </c>
      <c r="L191" s="137">
        <v>0.04</v>
      </c>
      <c r="M191" s="137">
        <v>73.3</v>
      </c>
      <c r="N191" s="137">
        <v>1.9</v>
      </c>
      <c r="O191" s="137">
        <v>0.3</v>
      </c>
      <c r="P191" s="137">
        <v>98.92</v>
      </c>
      <c r="Q191" s="137">
        <v>0.02</v>
      </c>
      <c r="R191" s="137">
        <v>2.4</v>
      </c>
      <c r="S191" s="137">
        <v>4.0999999999999996</v>
      </c>
      <c r="T191" s="137">
        <v>0</v>
      </c>
      <c r="W191" s="12" t="str">
        <f t="shared" si="8"/>
        <v>Ja</v>
      </c>
      <c r="Y191" s="12" t="str">
        <f t="shared" si="9"/>
        <v>Ja</v>
      </c>
      <c r="Z191" s="12">
        <f t="shared" si="10"/>
        <v>22.7</v>
      </c>
      <c r="AA191" s="12">
        <f t="shared" si="11"/>
        <v>3.0000000000000001E-3</v>
      </c>
    </row>
    <row r="192" spans="1:27" ht="15" customHeight="1" x14ac:dyDescent="0.25">
      <c r="A192" s="137" t="s">
        <v>457</v>
      </c>
      <c r="B192" s="137" t="s">
        <v>459</v>
      </c>
      <c r="C192" s="137">
        <v>2018</v>
      </c>
      <c r="D192" s="137">
        <v>0</v>
      </c>
      <c r="E192" s="137">
        <v>2.6789999999999998</v>
      </c>
      <c r="F192" s="137" t="s">
        <v>998</v>
      </c>
      <c r="G192" s="137">
        <v>0.09</v>
      </c>
      <c r="H192" s="137">
        <v>0</v>
      </c>
      <c r="I192" s="137">
        <v>0</v>
      </c>
      <c r="J192" s="137">
        <v>0</v>
      </c>
      <c r="K192" s="137" t="s">
        <v>193</v>
      </c>
      <c r="L192" s="137" t="s">
        <v>193</v>
      </c>
      <c r="M192" s="137" t="s">
        <v>193</v>
      </c>
      <c r="N192" s="137" t="s">
        <v>193</v>
      </c>
      <c r="O192" s="137" t="s">
        <v>193</v>
      </c>
      <c r="P192" s="137" t="s">
        <v>193</v>
      </c>
      <c r="Q192" s="137" t="s">
        <v>193</v>
      </c>
      <c r="R192" s="137" t="s">
        <v>193</v>
      </c>
      <c r="S192" s="137" t="s">
        <v>193</v>
      </c>
      <c r="T192" s="137" t="s">
        <v>193</v>
      </c>
      <c r="W192" s="12" t="str">
        <f t="shared" si="8"/>
        <v>Ja</v>
      </c>
      <c r="Y192" s="12" t="str">
        <f t="shared" si="9"/>
        <v>Nej</v>
      </c>
      <c r="Z192" s="12">
        <f t="shared" si="10"/>
        <v>0</v>
      </c>
      <c r="AA192" s="12">
        <f t="shared" si="11"/>
        <v>0</v>
      </c>
    </row>
    <row r="193" spans="1:27" ht="15" customHeight="1" x14ac:dyDescent="0.25">
      <c r="A193" s="137" t="s">
        <v>457</v>
      </c>
      <c r="B193" s="137" t="s">
        <v>460</v>
      </c>
      <c r="C193" s="137">
        <v>2018</v>
      </c>
      <c r="D193" s="137" t="s">
        <v>193</v>
      </c>
      <c r="E193" s="137">
        <v>0.60599999999999998</v>
      </c>
      <c r="F193" s="137" t="s">
        <v>998</v>
      </c>
      <c r="G193" s="137">
        <v>0.09</v>
      </c>
      <c r="H193" s="137">
        <v>0</v>
      </c>
      <c r="I193" s="137">
        <v>0</v>
      </c>
      <c r="J193" s="137">
        <v>0</v>
      </c>
      <c r="K193" s="137" t="s">
        <v>193</v>
      </c>
      <c r="L193" s="137" t="s">
        <v>193</v>
      </c>
      <c r="M193" s="137" t="s">
        <v>193</v>
      </c>
      <c r="N193" s="137" t="s">
        <v>193</v>
      </c>
      <c r="O193" s="137" t="s">
        <v>193</v>
      </c>
      <c r="P193" s="137" t="s">
        <v>193</v>
      </c>
      <c r="Q193" s="137" t="s">
        <v>193</v>
      </c>
      <c r="R193" s="137" t="s">
        <v>193</v>
      </c>
      <c r="S193" s="137" t="s">
        <v>193</v>
      </c>
      <c r="T193" s="137" t="s">
        <v>193</v>
      </c>
      <c r="W193" s="12" t="str">
        <f t="shared" si="8"/>
        <v>Ja</v>
      </c>
      <c r="Y193" s="12" t="str">
        <f t="shared" si="9"/>
        <v>Nej</v>
      </c>
      <c r="Z193" s="12">
        <f t="shared" si="10"/>
        <v>0</v>
      </c>
      <c r="AA193" s="12">
        <f t="shared" si="11"/>
        <v>0</v>
      </c>
    </row>
    <row r="194" spans="1:27" ht="15" customHeight="1" x14ac:dyDescent="0.25">
      <c r="A194" s="137" t="s">
        <v>461</v>
      </c>
      <c r="B194" s="137" t="s">
        <v>462</v>
      </c>
      <c r="C194" s="137">
        <v>2018</v>
      </c>
      <c r="D194" s="137">
        <v>5.1499999999999997E-2</v>
      </c>
      <c r="E194" s="137">
        <v>0</v>
      </c>
      <c r="F194" s="137" t="s">
        <v>999</v>
      </c>
      <c r="G194" s="137">
        <v>1.1000000000000001</v>
      </c>
      <c r="H194" s="137">
        <v>0</v>
      </c>
      <c r="I194" s="137">
        <v>0</v>
      </c>
      <c r="J194" s="137">
        <v>0</v>
      </c>
      <c r="K194" s="137" t="s">
        <v>193</v>
      </c>
      <c r="L194" s="137" t="s">
        <v>193</v>
      </c>
      <c r="M194" s="137" t="s">
        <v>193</v>
      </c>
      <c r="N194" s="137" t="s">
        <v>193</v>
      </c>
      <c r="O194" s="137" t="s">
        <v>193</v>
      </c>
      <c r="P194" s="137" t="s">
        <v>193</v>
      </c>
      <c r="Q194" s="137" t="s">
        <v>193</v>
      </c>
      <c r="R194" s="137" t="s">
        <v>193</v>
      </c>
      <c r="S194" s="137" t="s">
        <v>193</v>
      </c>
      <c r="T194" s="137" t="s">
        <v>193</v>
      </c>
      <c r="W194" s="12" t="str">
        <f t="shared" ref="W194:W257" si="12">IF(OR(AND(G194&lt;&gt;$AD$3,G194&lt;&gt;"-"),AND(H194&lt;&gt;$AD$4,H194&lt;&gt;"-"),AND(I194&lt;&gt;$AD$5,I194&lt;&gt;"-"),AND(J194&lt;&gt;$AD$6,J194&lt;&gt;"-")),"Ja","Nej")</f>
        <v>Ja</v>
      </c>
      <c r="Y194" s="12" t="str">
        <f t="shared" ref="Y194:Y257" si="13">IF(ISERROR(1/K194),"Nej","Ja")</f>
        <v>Nej</v>
      </c>
      <c r="Z194" s="12">
        <f t="shared" ref="Z194:Z257" si="14">IF(Y194="nej",0,K194)</f>
        <v>0</v>
      </c>
      <c r="AA194" s="12">
        <f t="shared" ref="AA194:AA257" si="15">IF(Y194="nej",0,O194/100)</f>
        <v>0</v>
      </c>
    </row>
    <row r="195" spans="1:27" ht="15" customHeight="1" x14ac:dyDescent="0.25">
      <c r="A195" s="137" t="s">
        <v>461</v>
      </c>
      <c r="B195" s="137" t="s">
        <v>464</v>
      </c>
      <c r="C195" s="137">
        <v>2018</v>
      </c>
      <c r="D195" s="137">
        <v>0.69569999999999999</v>
      </c>
      <c r="E195" s="137">
        <v>0</v>
      </c>
      <c r="F195" s="137" t="s">
        <v>999</v>
      </c>
      <c r="G195" s="137">
        <v>1.1000000000000001</v>
      </c>
      <c r="H195" s="137">
        <v>0</v>
      </c>
      <c r="I195" s="137">
        <v>0</v>
      </c>
      <c r="J195" s="137">
        <v>0</v>
      </c>
      <c r="K195" s="137" t="s">
        <v>193</v>
      </c>
      <c r="L195" s="137" t="s">
        <v>193</v>
      </c>
      <c r="M195" s="137" t="s">
        <v>193</v>
      </c>
      <c r="N195" s="137" t="s">
        <v>193</v>
      </c>
      <c r="O195" s="137" t="s">
        <v>193</v>
      </c>
      <c r="P195" s="137" t="s">
        <v>193</v>
      </c>
      <c r="Q195" s="137" t="s">
        <v>193</v>
      </c>
      <c r="R195" s="137" t="s">
        <v>193</v>
      </c>
      <c r="S195" s="137" t="s">
        <v>193</v>
      </c>
      <c r="T195" s="137" t="s">
        <v>193</v>
      </c>
      <c r="W195" s="12" t="str">
        <f t="shared" si="12"/>
        <v>Ja</v>
      </c>
      <c r="Y195" s="12" t="str">
        <f t="shared" si="13"/>
        <v>Nej</v>
      </c>
      <c r="Z195" s="12">
        <f t="shared" si="14"/>
        <v>0</v>
      </c>
      <c r="AA195" s="12">
        <f t="shared" si="15"/>
        <v>0</v>
      </c>
    </row>
    <row r="196" spans="1:27" ht="15" customHeight="1" x14ac:dyDescent="0.25">
      <c r="A196" s="137" t="s">
        <v>461</v>
      </c>
      <c r="B196" s="137" t="s">
        <v>465</v>
      </c>
      <c r="C196" s="137">
        <v>2018</v>
      </c>
      <c r="D196" s="137">
        <v>0.245</v>
      </c>
      <c r="E196" s="137">
        <v>0</v>
      </c>
      <c r="F196" s="137" t="s">
        <v>999</v>
      </c>
      <c r="G196" s="137">
        <v>1.1000000000000001</v>
      </c>
      <c r="H196" s="137">
        <v>0</v>
      </c>
      <c r="I196" s="137">
        <v>0</v>
      </c>
      <c r="J196" s="137">
        <v>0</v>
      </c>
      <c r="K196" s="137" t="s">
        <v>193</v>
      </c>
      <c r="L196" s="137" t="s">
        <v>193</v>
      </c>
      <c r="M196" s="137" t="s">
        <v>193</v>
      </c>
      <c r="N196" s="137" t="s">
        <v>193</v>
      </c>
      <c r="O196" s="137" t="s">
        <v>193</v>
      </c>
      <c r="P196" s="137" t="s">
        <v>193</v>
      </c>
      <c r="Q196" s="137" t="s">
        <v>193</v>
      </c>
      <c r="R196" s="137" t="s">
        <v>193</v>
      </c>
      <c r="S196" s="137" t="s">
        <v>193</v>
      </c>
      <c r="T196" s="137" t="s">
        <v>193</v>
      </c>
      <c r="W196" s="12" t="str">
        <f t="shared" si="12"/>
        <v>Ja</v>
      </c>
      <c r="Y196" s="12" t="str">
        <f t="shared" si="13"/>
        <v>Nej</v>
      </c>
      <c r="Z196" s="12">
        <f t="shared" si="14"/>
        <v>0</v>
      </c>
      <c r="AA196" s="12">
        <f t="shared" si="15"/>
        <v>0</v>
      </c>
    </row>
    <row r="197" spans="1:27" ht="15" customHeight="1" x14ac:dyDescent="0.25">
      <c r="A197" s="137" t="s">
        <v>461</v>
      </c>
      <c r="B197" s="137" t="s">
        <v>101</v>
      </c>
      <c r="C197" s="137">
        <v>2018</v>
      </c>
      <c r="D197" s="137">
        <v>0.85399999999999998</v>
      </c>
      <c r="E197" s="137">
        <v>0</v>
      </c>
      <c r="F197" s="137" t="s">
        <v>1000</v>
      </c>
      <c r="G197" s="137">
        <v>1.1000000000000001</v>
      </c>
      <c r="H197" s="137">
        <v>0</v>
      </c>
      <c r="I197" s="137">
        <v>0</v>
      </c>
      <c r="J197" s="137">
        <v>0</v>
      </c>
      <c r="K197" s="137" t="s">
        <v>193</v>
      </c>
      <c r="L197" s="137" t="s">
        <v>193</v>
      </c>
      <c r="M197" s="137" t="s">
        <v>193</v>
      </c>
      <c r="N197" s="137" t="s">
        <v>193</v>
      </c>
      <c r="O197" s="137" t="s">
        <v>193</v>
      </c>
      <c r="P197" s="137" t="s">
        <v>193</v>
      </c>
      <c r="Q197" s="137" t="s">
        <v>193</v>
      </c>
      <c r="R197" s="137" t="s">
        <v>193</v>
      </c>
      <c r="S197" s="137" t="s">
        <v>193</v>
      </c>
      <c r="T197" s="137" t="s">
        <v>193</v>
      </c>
      <c r="W197" s="12" t="str">
        <f t="shared" si="12"/>
        <v>Ja</v>
      </c>
      <c r="Y197" s="12" t="str">
        <f t="shared" si="13"/>
        <v>Nej</v>
      </c>
      <c r="Z197" s="12">
        <f t="shared" si="14"/>
        <v>0</v>
      </c>
      <c r="AA197" s="12">
        <f t="shared" si="15"/>
        <v>0</v>
      </c>
    </row>
    <row r="198" spans="1:27" ht="15" customHeight="1" x14ac:dyDescent="0.25">
      <c r="A198" s="137" t="s">
        <v>461</v>
      </c>
      <c r="B198" s="137" t="s">
        <v>103</v>
      </c>
      <c r="C198" s="137">
        <v>2018</v>
      </c>
      <c r="D198" s="137">
        <v>1.4670000000000001</v>
      </c>
      <c r="E198" s="137">
        <v>0</v>
      </c>
      <c r="F198" s="137" t="s">
        <v>999</v>
      </c>
      <c r="G198" s="137">
        <v>1.1000000000000001</v>
      </c>
      <c r="H198" s="137">
        <v>0</v>
      </c>
      <c r="I198" s="137">
        <v>0</v>
      </c>
      <c r="J198" s="137">
        <v>0</v>
      </c>
      <c r="K198" s="137" t="s">
        <v>193</v>
      </c>
      <c r="L198" s="137" t="s">
        <v>193</v>
      </c>
      <c r="M198" s="137" t="s">
        <v>193</v>
      </c>
      <c r="N198" s="137" t="s">
        <v>193</v>
      </c>
      <c r="O198" s="137" t="s">
        <v>193</v>
      </c>
      <c r="P198" s="137" t="s">
        <v>193</v>
      </c>
      <c r="Q198" s="137" t="s">
        <v>193</v>
      </c>
      <c r="R198" s="137" t="s">
        <v>193</v>
      </c>
      <c r="S198" s="137" t="s">
        <v>193</v>
      </c>
      <c r="T198" s="137" t="s">
        <v>193</v>
      </c>
      <c r="W198" s="12" t="str">
        <f t="shared" si="12"/>
        <v>Ja</v>
      </c>
      <c r="Y198" s="12" t="str">
        <f t="shared" si="13"/>
        <v>Nej</v>
      </c>
      <c r="Z198" s="12">
        <f t="shared" si="14"/>
        <v>0</v>
      </c>
      <c r="AA198" s="12">
        <f t="shared" si="15"/>
        <v>0</v>
      </c>
    </row>
    <row r="199" spans="1:27" ht="15" customHeight="1" x14ac:dyDescent="0.25">
      <c r="A199" s="137" t="s">
        <v>461</v>
      </c>
      <c r="B199" s="137" t="s">
        <v>468</v>
      </c>
      <c r="C199" s="137">
        <v>2018</v>
      </c>
      <c r="D199" s="137">
        <v>9.1999999999999998E-2</v>
      </c>
      <c r="E199" s="137">
        <v>0</v>
      </c>
      <c r="F199" s="137" t="s">
        <v>995</v>
      </c>
      <c r="G199" s="137">
        <v>1.1000000000000001</v>
      </c>
      <c r="H199" s="137">
        <v>0</v>
      </c>
      <c r="I199" s="137">
        <v>0</v>
      </c>
      <c r="J199" s="137">
        <v>0</v>
      </c>
      <c r="K199" s="137" t="s">
        <v>193</v>
      </c>
      <c r="L199" s="137" t="s">
        <v>193</v>
      </c>
      <c r="M199" s="137" t="s">
        <v>193</v>
      </c>
      <c r="N199" s="137" t="s">
        <v>193</v>
      </c>
      <c r="O199" s="137" t="s">
        <v>193</v>
      </c>
      <c r="P199" s="137" t="s">
        <v>193</v>
      </c>
      <c r="Q199" s="137" t="s">
        <v>193</v>
      </c>
      <c r="R199" s="137" t="s">
        <v>193</v>
      </c>
      <c r="S199" s="137" t="s">
        <v>193</v>
      </c>
      <c r="T199" s="137" t="s">
        <v>193</v>
      </c>
      <c r="W199" s="12" t="str">
        <f t="shared" si="12"/>
        <v>Ja</v>
      </c>
      <c r="Y199" s="12" t="str">
        <f t="shared" si="13"/>
        <v>Nej</v>
      </c>
      <c r="Z199" s="12">
        <f t="shared" si="14"/>
        <v>0</v>
      </c>
      <c r="AA199" s="12">
        <f t="shared" si="15"/>
        <v>0</v>
      </c>
    </row>
    <row r="200" spans="1:27" ht="15" customHeight="1" x14ac:dyDescent="0.25">
      <c r="A200" s="137" t="s">
        <v>461</v>
      </c>
      <c r="B200" s="137" t="s">
        <v>105</v>
      </c>
      <c r="C200" s="137">
        <v>2018</v>
      </c>
      <c r="D200" s="137">
        <v>0.128</v>
      </c>
      <c r="E200" s="137">
        <v>0</v>
      </c>
      <c r="F200" s="137" t="s">
        <v>1001</v>
      </c>
      <c r="G200" s="137">
        <v>1.1000000000000001</v>
      </c>
      <c r="H200" s="137">
        <v>0</v>
      </c>
      <c r="I200" s="137">
        <v>0</v>
      </c>
      <c r="J200" s="137">
        <v>0</v>
      </c>
      <c r="K200" s="137" t="s">
        <v>193</v>
      </c>
      <c r="L200" s="137" t="s">
        <v>193</v>
      </c>
      <c r="M200" s="137" t="s">
        <v>193</v>
      </c>
      <c r="N200" s="137" t="s">
        <v>193</v>
      </c>
      <c r="O200" s="137" t="s">
        <v>193</v>
      </c>
      <c r="P200" s="137" t="s">
        <v>193</v>
      </c>
      <c r="Q200" s="137" t="s">
        <v>193</v>
      </c>
      <c r="R200" s="137" t="s">
        <v>193</v>
      </c>
      <c r="S200" s="137" t="s">
        <v>193</v>
      </c>
      <c r="T200" s="137" t="s">
        <v>193</v>
      </c>
      <c r="W200" s="12" t="str">
        <f t="shared" si="12"/>
        <v>Ja</v>
      </c>
      <c r="Y200" s="12" t="str">
        <f t="shared" si="13"/>
        <v>Nej</v>
      </c>
      <c r="Z200" s="12">
        <f t="shared" si="14"/>
        <v>0</v>
      </c>
      <c r="AA200" s="12">
        <f t="shared" si="15"/>
        <v>0</v>
      </c>
    </row>
    <row r="201" spans="1:27" ht="15" customHeight="1" x14ac:dyDescent="0.25">
      <c r="A201" s="137" t="s">
        <v>461</v>
      </c>
      <c r="B201" s="137" t="s">
        <v>107</v>
      </c>
      <c r="C201" s="137">
        <v>2018</v>
      </c>
      <c r="D201" s="137">
        <v>1.3109999999999999</v>
      </c>
      <c r="E201" s="137">
        <v>0</v>
      </c>
      <c r="F201" s="137" t="s">
        <v>995</v>
      </c>
      <c r="G201" s="137">
        <v>1.1000000000000001</v>
      </c>
      <c r="H201" s="137">
        <v>0</v>
      </c>
      <c r="I201" s="137">
        <v>0</v>
      </c>
      <c r="J201" s="137">
        <v>0</v>
      </c>
      <c r="K201" s="137" t="s">
        <v>193</v>
      </c>
      <c r="L201" s="137" t="s">
        <v>193</v>
      </c>
      <c r="M201" s="137" t="s">
        <v>193</v>
      </c>
      <c r="N201" s="137" t="s">
        <v>193</v>
      </c>
      <c r="O201" s="137" t="s">
        <v>193</v>
      </c>
      <c r="P201" s="137" t="s">
        <v>193</v>
      </c>
      <c r="Q201" s="137" t="s">
        <v>193</v>
      </c>
      <c r="R201" s="137" t="s">
        <v>193</v>
      </c>
      <c r="S201" s="137" t="s">
        <v>193</v>
      </c>
      <c r="T201" s="137" t="s">
        <v>193</v>
      </c>
      <c r="W201" s="12" t="str">
        <f t="shared" si="12"/>
        <v>Ja</v>
      </c>
      <c r="Y201" s="12" t="str">
        <f t="shared" si="13"/>
        <v>Nej</v>
      </c>
      <c r="Z201" s="12">
        <f t="shared" si="14"/>
        <v>0</v>
      </c>
      <c r="AA201" s="12">
        <f t="shared" si="15"/>
        <v>0</v>
      </c>
    </row>
    <row r="202" spans="1:27" ht="15" customHeight="1" x14ac:dyDescent="0.25">
      <c r="A202" s="137" t="s">
        <v>461</v>
      </c>
      <c r="B202" s="137" t="s">
        <v>109</v>
      </c>
      <c r="C202" s="137">
        <v>2018</v>
      </c>
      <c r="D202" s="137">
        <v>0.317</v>
      </c>
      <c r="E202" s="137">
        <v>0</v>
      </c>
      <c r="F202" s="137" t="s">
        <v>999</v>
      </c>
      <c r="G202" s="137">
        <v>1.1000000000000001</v>
      </c>
      <c r="H202" s="137">
        <v>0</v>
      </c>
      <c r="I202" s="137">
        <v>0</v>
      </c>
      <c r="J202" s="137">
        <v>0</v>
      </c>
      <c r="K202" s="137" t="s">
        <v>193</v>
      </c>
      <c r="L202" s="137" t="s">
        <v>193</v>
      </c>
      <c r="M202" s="137" t="s">
        <v>193</v>
      </c>
      <c r="N202" s="137" t="s">
        <v>193</v>
      </c>
      <c r="O202" s="137" t="s">
        <v>193</v>
      </c>
      <c r="P202" s="137" t="s">
        <v>193</v>
      </c>
      <c r="Q202" s="137" t="s">
        <v>193</v>
      </c>
      <c r="R202" s="137" t="s">
        <v>193</v>
      </c>
      <c r="S202" s="137" t="s">
        <v>193</v>
      </c>
      <c r="T202" s="137" t="s">
        <v>193</v>
      </c>
      <c r="W202" s="12" t="str">
        <f t="shared" si="12"/>
        <v>Ja</v>
      </c>
      <c r="Y202" s="12" t="str">
        <f t="shared" si="13"/>
        <v>Nej</v>
      </c>
      <c r="Z202" s="12">
        <f t="shared" si="14"/>
        <v>0</v>
      </c>
      <c r="AA202" s="12">
        <f t="shared" si="15"/>
        <v>0</v>
      </c>
    </row>
    <row r="203" spans="1:27" ht="15" customHeight="1" x14ac:dyDescent="0.25">
      <c r="A203" s="137" t="s">
        <v>461</v>
      </c>
      <c r="B203" s="137" t="s">
        <v>111</v>
      </c>
      <c r="C203" s="137">
        <v>2018</v>
      </c>
      <c r="D203" s="137">
        <v>0.128</v>
      </c>
      <c r="E203" s="137">
        <v>0</v>
      </c>
      <c r="F203" s="137" t="s">
        <v>999</v>
      </c>
      <c r="G203" s="137">
        <v>1.1000000000000001</v>
      </c>
      <c r="H203" s="137">
        <v>0</v>
      </c>
      <c r="I203" s="137">
        <v>0</v>
      </c>
      <c r="J203" s="137">
        <v>0</v>
      </c>
      <c r="K203" s="137" t="s">
        <v>193</v>
      </c>
      <c r="L203" s="137" t="s">
        <v>193</v>
      </c>
      <c r="M203" s="137" t="s">
        <v>193</v>
      </c>
      <c r="N203" s="137" t="s">
        <v>193</v>
      </c>
      <c r="O203" s="137" t="s">
        <v>193</v>
      </c>
      <c r="P203" s="137" t="s">
        <v>193</v>
      </c>
      <c r="Q203" s="137" t="s">
        <v>193</v>
      </c>
      <c r="R203" s="137" t="s">
        <v>193</v>
      </c>
      <c r="S203" s="137" t="s">
        <v>193</v>
      </c>
      <c r="T203" s="137" t="s">
        <v>193</v>
      </c>
      <c r="W203" s="12" t="str">
        <f t="shared" si="12"/>
        <v>Ja</v>
      </c>
      <c r="Y203" s="12" t="str">
        <f t="shared" si="13"/>
        <v>Nej</v>
      </c>
      <c r="Z203" s="12">
        <f t="shared" si="14"/>
        <v>0</v>
      </c>
      <c r="AA203" s="12">
        <f t="shared" si="15"/>
        <v>0</v>
      </c>
    </row>
    <row r="204" spans="1:27" ht="15" customHeight="1" x14ac:dyDescent="0.25">
      <c r="A204" s="137" t="s">
        <v>461</v>
      </c>
      <c r="B204" s="137" t="s">
        <v>469</v>
      </c>
      <c r="C204" s="137">
        <v>2018</v>
      </c>
      <c r="D204" s="137">
        <v>0.65600000000000003</v>
      </c>
      <c r="E204" s="137">
        <v>0</v>
      </c>
      <c r="F204" s="137" t="s">
        <v>999</v>
      </c>
      <c r="G204" s="137">
        <v>1.1000000000000001</v>
      </c>
      <c r="H204" s="137">
        <v>0</v>
      </c>
      <c r="I204" s="137">
        <v>0</v>
      </c>
      <c r="J204" s="137">
        <v>0</v>
      </c>
      <c r="K204" s="137" t="s">
        <v>193</v>
      </c>
      <c r="L204" s="137" t="s">
        <v>193</v>
      </c>
      <c r="M204" s="137" t="s">
        <v>193</v>
      </c>
      <c r="N204" s="137" t="s">
        <v>193</v>
      </c>
      <c r="O204" s="137" t="s">
        <v>193</v>
      </c>
      <c r="P204" s="137" t="s">
        <v>193</v>
      </c>
      <c r="Q204" s="137" t="s">
        <v>193</v>
      </c>
      <c r="R204" s="137" t="s">
        <v>193</v>
      </c>
      <c r="S204" s="137" t="s">
        <v>193</v>
      </c>
      <c r="T204" s="137" t="s">
        <v>193</v>
      </c>
      <c r="W204" s="12" t="str">
        <f t="shared" si="12"/>
        <v>Ja</v>
      </c>
      <c r="Y204" s="12" t="str">
        <f t="shared" si="13"/>
        <v>Nej</v>
      </c>
      <c r="Z204" s="12">
        <f t="shared" si="14"/>
        <v>0</v>
      </c>
      <c r="AA204" s="12">
        <f t="shared" si="15"/>
        <v>0</v>
      </c>
    </row>
    <row r="205" spans="1:27" ht="15" customHeight="1" x14ac:dyDescent="0.25">
      <c r="A205" s="137" t="s">
        <v>461</v>
      </c>
      <c r="B205" s="137" t="s">
        <v>470</v>
      </c>
      <c r="C205" s="137">
        <v>2018</v>
      </c>
      <c r="D205" s="137">
        <v>0.22800000000000001</v>
      </c>
      <c r="E205" s="137">
        <v>0</v>
      </c>
      <c r="F205" s="137" t="s">
        <v>995</v>
      </c>
      <c r="G205" s="137">
        <v>1.1000000000000001</v>
      </c>
      <c r="H205" s="137">
        <v>0</v>
      </c>
      <c r="I205" s="137">
        <v>0</v>
      </c>
      <c r="J205" s="137">
        <v>0</v>
      </c>
      <c r="K205" s="137" t="s">
        <v>193</v>
      </c>
      <c r="L205" s="137" t="s">
        <v>193</v>
      </c>
      <c r="M205" s="137" t="s">
        <v>193</v>
      </c>
      <c r="N205" s="137" t="s">
        <v>193</v>
      </c>
      <c r="O205" s="137" t="s">
        <v>193</v>
      </c>
      <c r="P205" s="137" t="s">
        <v>193</v>
      </c>
      <c r="Q205" s="137" t="s">
        <v>193</v>
      </c>
      <c r="R205" s="137" t="s">
        <v>193</v>
      </c>
      <c r="S205" s="137" t="s">
        <v>193</v>
      </c>
      <c r="T205" s="137" t="s">
        <v>193</v>
      </c>
      <c r="W205" s="12" t="str">
        <f t="shared" si="12"/>
        <v>Ja</v>
      </c>
      <c r="Y205" s="12" t="str">
        <f t="shared" si="13"/>
        <v>Nej</v>
      </c>
      <c r="Z205" s="12">
        <f t="shared" si="14"/>
        <v>0</v>
      </c>
      <c r="AA205" s="12">
        <f t="shared" si="15"/>
        <v>0</v>
      </c>
    </row>
    <row r="206" spans="1:27" ht="15" customHeight="1" x14ac:dyDescent="0.25">
      <c r="A206" s="137" t="s">
        <v>461</v>
      </c>
      <c r="B206" s="137" t="s">
        <v>113</v>
      </c>
      <c r="C206" s="137">
        <v>2018</v>
      </c>
      <c r="D206" s="137">
        <v>8.8999999999999996E-2</v>
      </c>
      <c r="E206" s="137">
        <v>0</v>
      </c>
      <c r="F206" s="137" t="s">
        <v>999</v>
      </c>
      <c r="G206" s="137">
        <v>1.1000000000000001</v>
      </c>
      <c r="H206" s="137">
        <v>0</v>
      </c>
      <c r="I206" s="137">
        <v>0</v>
      </c>
      <c r="J206" s="137">
        <v>0</v>
      </c>
      <c r="K206" s="137" t="s">
        <v>193</v>
      </c>
      <c r="L206" s="137" t="s">
        <v>193</v>
      </c>
      <c r="M206" s="137" t="s">
        <v>193</v>
      </c>
      <c r="N206" s="137" t="s">
        <v>193</v>
      </c>
      <c r="O206" s="137" t="s">
        <v>193</v>
      </c>
      <c r="P206" s="137" t="s">
        <v>193</v>
      </c>
      <c r="Q206" s="137" t="s">
        <v>193</v>
      </c>
      <c r="R206" s="137" t="s">
        <v>193</v>
      </c>
      <c r="S206" s="137" t="s">
        <v>193</v>
      </c>
      <c r="T206" s="137" t="s">
        <v>193</v>
      </c>
      <c r="W206" s="12" t="str">
        <f t="shared" si="12"/>
        <v>Ja</v>
      </c>
      <c r="Y206" s="12" t="str">
        <f t="shared" si="13"/>
        <v>Nej</v>
      </c>
      <c r="Z206" s="12">
        <f t="shared" si="14"/>
        <v>0</v>
      </c>
      <c r="AA206" s="12">
        <f t="shared" si="15"/>
        <v>0</v>
      </c>
    </row>
    <row r="207" spans="1:27" ht="15" customHeight="1" x14ac:dyDescent="0.25">
      <c r="A207" s="137" t="s">
        <v>474</v>
      </c>
      <c r="B207" s="137" t="s">
        <v>475</v>
      </c>
      <c r="C207" s="137">
        <v>2018</v>
      </c>
      <c r="D207" s="137" t="s">
        <v>193</v>
      </c>
      <c r="E207" s="137" t="s">
        <v>193</v>
      </c>
      <c r="F207" s="137" t="s">
        <v>219</v>
      </c>
      <c r="G207" s="137">
        <v>2.2999999999999998</v>
      </c>
      <c r="H207" s="137">
        <v>329.19</v>
      </c>
      <c r="I207" s="137">
        <v>0.43</v>
      </c>
      <c r="J207" s="137">
        <v>0.40550000000000003</v>
      </c>
      <c r="K207" s="137" t="s">
        <v>193</v>
      </c>
      <c r="L207" s="137" t="s">
        <v>193</v>
      </c>
      <c r="M207" s="137" t="s">
        <v>193</v>
      </c>
      <c r="N207" s="137" t="s">
        <v>193</v>
      </c>
      <c r="O207" s="137" t="s">
        <v>193</v>
      </c>
      <c r="P207" s="137" t="s">
        <v>193</v>
      </c>
      <c r="Q207" s="137" t="s">
        <v>193</v>
      </c>
      <c r="R207" s="137" t="s">
        <v>193</v>
      </c>
      <c r="S207" s="137" t="s">
        <v>193</v>
      </c>
      <c r="T207" s="137" t="s">
        <v>193</v>
      </c>
      <c r="W207" s="12" t="str">
        <f t="shared" si="12"/>
        <v>Nej</v>
      </c>
      <c r="Y207" s="12" t="str">
        <f t="shared" si="13"/>
        <v>Nej</v>
      </c>
      <c r="Z207" s="12">
        <f t="shared" si="14"/>
        <v>0</v>
      </c>
      <c r="AA207" s="12">
        <f t="shared" si="15"/>
        <v>0</v>
      </c>
    </row>
    <row r="208" spans="1:27" ht="15" customHeight="1" x14ac:dyDescent="0.25">
      <c r="A208" s="137" t="s">
        <v>474</v>
      </c>
      <c r="B208" s="137" t="s">
        <v>476</v>
      </c>
      <c r="C208" s="137">
        <v>2018</v>
      </c>
      <c r="D208" s="137" t="s">
        <v>193</v>
      </c>
      <c r="E208" s="137" t="s">
        <v>193</v>
      </c>
      <c r="F208" s="137" t="s">
        <v>53</v>
      </c>
      <c r="G208" s="137">
        <v>2.2999999999999998</v>
      </c>
      <c r="H208" s="137">
        <v>329.19</v>
      </c>
      <c r="I208" s="137">
        <v>0.43</v>
      </c>
      <c r="J208" s="137">
        <v>0.40550000000000003</v>
      </c>
      <c r="K208" s="137" t="s">
        <v>193</v>
      </c>
      <c r="L208" s="137" t="s">
        <v>193</v>
      </c>
      <c r="M208" s="137" t="s">
        <v>193</v>
      </c>
      <c r="N208" s="137" t="s">
        <v>193</v>
      </c>
      <c r="O208" s="137" t="s">
        <v>193</v>
      </c>
      <c r="P208" s="137" t="s">
        <v>193</v>
      </c>
      <c r="Q208" s="137" t="s">
        <v>193</v>
      </c>
      <c r="R208" s="137" t="s">
        <v>193</v>
      </c>
      <c r="S208" s="137" t="s">
        <v>193</v>
      </c>
      <c r="T208" s="137" t="s">
        <v>193</v>
      </c>
      <c r="W208" s="12" t="str">
        <f t="shared" si="12"/>
        <v>Nej</v>
      </c>
      <c r="Y208" s="12" t="str">
        <f t="shared" si="13"/>
        <v>Nej</v>
      </c>
      <c r="Z208" s="12">
        <f t="shared" si="14"/>
        <v>0</v>
      </c>
      <c r="AA208" s="12">
        <f t="shared" si="15"/>
        <v>0</v>
      </c>
    </row>
    <row r="209" spans="1:27" ht="15" customHeight="1" x14ac:dyDescent="0.25">
      <c r="A209" s="137" t="s">
        <v>477</v>
      </c>
      <c r="B209" s="137" t="s">
        <v>478</v>
      </c>
      <c r="C209" s="137">
        <v>2018</v>
      </c>
      <c r="D209" s="137" t="s">
        <v>193</v>
      </c>
      <c r="E209" s="137" t="s">
        <v>193</v>
      </c>
      <c r="F209" s="137" t="s">
        <v>219</v>
      </c>
      <c r="G209" s="137">
        <v>2.2999999999999998</v>
      </c>
      <c r="H209" s="137">
        <v>329.19</v>
      </c>
      <c r="I209" s="137">
        <v>0.43</v>
      </c>
      <c r="J209" s="137">
        <v>0.40550000000000003</v>
      </c>
      <c r="K209" s="137" t="s">
        <v>193</v>
      </c>
      <c r="L209" s="137" t="s">
        <v>193</v>
      </c>
      <c r="M209" s="137" t="s">
        <v>193</v>
      </c>
      <c r="N209" s="137" t="s">
        <v>193</v>
      </c>
      <c r="O209" s="137" t="s">
        <v>193</v>
      </c>
      <c r="P209" s="137" t="s">
        <v>193</v>
      </c>
      <c r="Q209" s="137" t="s">
        <v>193</v>
      </c>
      <c r="R209" s="137" t="s">
        <v>193</v>
      </c>
      <c r="S209" s="137" t="s">
        <v>193</v>
      </c>
      <c r="T209" s="137" t="s">
        <v>193</v>
      </c>
      <c r="W209" s="12" t="str">
        <f t="shared" si="12"/>
        <v>Nej</v>
      </c>
      <c r="Y209" s="12" t="str">
        <f t="shared" si="13"/>
        <v>Nej</v>
      </c>
      <c r="Z209" s="12">
        <f t="shared" si="14"/>
        <v>0</v>
      </c>
      <c r="AA209" s="12">
        <f t="shared" si="15"/>
        <v>0</v>
      </c>
    </row>
    <row r="210" spans="1:27" ht="15" customHeight="1" x14ac:dyDescent="0.25">
      <c r="A210" s="137" t="s">
        <v>477</v>
      </c>
      <c r="B210" s="137" t="s">
        <v>479</v>
      </c>
      <c r="C210" s="137">
        <v>2018</v>
      </c>
      <c r="D210" s="137" t="s">
        <v>193</v>
      </c>
      <c r="E210" s="137" t="s">
        <v>193</v>
      </c>
      <c r="F210" s="137" t="s">
        <v>219</v>
      </c>
      <c r="G210" s="137">
        <v>2.23</v>
      </c>
      <c r="H210" s="137">
        <v>329.19</v>
      </c>
      <c r="I210" s="137">
        <v>0.43</v>
      </c>
      <c r="J210" s="137">
        <v>0.40550000000000003</v>
      </c>
      <c r="K210" s="137" t="s">
        <v>193</v>
      </c>
      <c r="L210" s="137" t="s">
        <v>193</v>
      </c>
      <c r="M210" s="137" t="s">
        <v>193</v>
      </c>
      <c r="N210" s="137" t="s">
        <v>193</v>
      </c>
      <c r="O210" s="137" t="s">
        <v>193</v>
      </c>
      <c r="P210" s="137" t="s">
        <v>193</v>
      </c>
      <c r="Q210" s="137" t="s">
        <v>193</v>
      </c>
      <c r="R210" s="137" t="s">
        <v>193</v>
      </c>
      <c r="S210" s="137" t="s">
        <v>193</v>
      </c>
      <c r="T210" s="137" t="s">
        <v>193</v>
      </c>
      <c r="W210" s="12" t="str">
        <f t="shared" si="12"/>
        <v>Ja</v>
      </c>
      <c r="Y210" s="12" t="str">
        <f t="shared" si="13"/>
        <v>Nej</v>
      </c>
      <c r="Z210" s="12">
        <f t="shared" si="14"/>
        <v>0</v>
      </c>
      <c r="AA210" s="12">
        <f t="shared" si="15"/>
        <v>0</v>
      </c>
    </row>
    <row r="211" spans="1:27" ht="15" customHeight="1" x14ac:dyDescent="0.25">
      <c r="A211" s="137" t="s">
        <v>480</v>
      </c>
      <c r="B211" s="137" t="s">
        <v>481</v>
      </c>
      <c r="C211" s="137">
        <v>2018</v>
      </c>
      <c r="D211" s="137" t="s">
        <v>53</v>
      </c>
      <c r="E211" s="137" t="s">
        <v>53</v>
      </c>
      <c r="F211" s="137" t="s">
        <v>53</v>
      </c>
      <c r="G211" s="137" t="s">
        <v>53</v>
      </c>
      <c r="H211" s="137" t="s">
        <v>53</v>
      </c>
      <c r="I211" s="137" t="s">
        <v>53</v>
      </c>
      <c r="J211" s="137" t="s">
        <v>53</v>
      </c>
      <c r="K211" s="137" t="s">
        <v>53</v>
      </c>
      <c r="L211" s="137" t="s">
        <v>53</v>
      </c>
      <c r="M211" s="137" t="s">
        <v>53</v>
      </c>
      <c r="N211" s="137" t="s">
        <v>53</v>
      </c>
      <c r="O211" s="137" t="s">
        <v>53</v>
      </c>
      <c r="P211" s="137" t="s">
        <v>53</v>
      </c>
      <c r="Q211" s="137" t="s">
        <v>53</v>
      </c>
      <c r="R211" s="137" t="s">
        <v>53</v>
      </c>
      <c r="S211" s="137" t="s">
        <v>53</v>
      </c>
      <c r="T211" s="137" t="s">
        <v>53</v>
      </c>
      <c r="W211" s="12" t="str">
        <f t="shared" si="12"/>
        <v>Nej</v>
      </c>
      <c r="Y211" s="12" t="str">
        <f t="shared" si="13"/>
        <v>Nej</v>
      </c>
      <c r="Z211" s="12">
        <f t="shared" si="14"/>
        <v>0</v>
      </c>
      <c r="AA211" s="12">
        <f t="shared" si="15"/>
        <v>0</v>
      </c>
    </row>
    <row r="212" spans="1:27" ht="15" customHeight="1" x14ac:dyDescent="0.25">
      <c r="A212" s="137" t="s">
        <v>115</v>
      </c>
      <c r="B212" s="137" t="s">
        <v>482</v>
      </c>
      <c r="C212" s="137">
        <v>2018</v>
      </c>
      <c r="D212" s="137">
        <v>15.398</v>
      </c>
      <c r="E212" s="137" t="s">
        <v>193</v>
      </c>
      <c r="F212" s="137" t="s">
        <v>1002</v>
      </c>
      <c r="G212" s="137">
        <v>1.03</v>
      </c>
      <c r="H212" s="137">
        <v>0</v>
      </c>
      <c r="I212" s="137">
        <v>0</v>
      </c>
      <c r="J212" s="137">
        <v>0</v>
      </c>
      <c r="K212" s="137">
        <v>443.57</v>
      </c>
      <c r="L212" s="137">
        <v>0.35699999999999998</v>
      </c>
      <c r="M212" s="137">
        <v>0</v>
      </c>
      <c r="N212" s="137">
        <v>0</v>
      </c>
      <c r="O212" s="137">
        <v>0</v>
      </c>
      <c r="P212" s="137">
        <v>4.5709999999999997</v>
      </c>
      <c r="Q212" s="137">
        <v>0.34</v>
      </c>
      <c r="R212" s="137">
        <v>0.41</v>
      </c>
      <c r="S212" s="137">
        <v>0.91600000000000004</v>
      </c>
      <c r="T212" s="137">
        <v>0</v>
      </c>
      <c r="W212" s="12" t="str">
        <f t="shared" si="12"/>
        <v>Ja</v>
      </c>
      <c r="Y212" s="12" t="str">
        <f t="shared" si="13"/>
        <v>Ja</v>
      </c>
      <c r="Z212" s="12">
        <f t="shared" si="14"/>
        <v>443.57</v>
      </c>
      <c r="AA212" s="12">
        <f t="shared" si="15"/>
        <v>0</v>
      </c>
    </row>
    <row r="213" spans="1:27" ht="15" customHeight="1" x14ac:dyDescent="0.25">
      <c r="A213" s="137" t="s">
        <v>483</v>
      </c>
      <c r="B213" s="137" t="s">
        <v>484</v>
      </c>
      <c r="C213" s="137">
        <v>2018</v>
      </c>
      <c r="D213" s="137">
        <v>0.499</v>
      </c>
      <c r="E213" s="137" t="s">
        <v>193</v>
      </c>
      <c r="F213" s="137" t="s">
        <v>1003</v>
      </c>
      <c r="G213" s="137">
        <v>1.1000000000000001</v>
      </c>
      <c r="H213" s="137">
        <v>0</v>
      </c>
      <c r="I213" s="137">
        <v>0</v>
      </c>
      <c r="J213" s="137">
        <v>0</v>
      </c>
      <c r="K213" s="137" t="s">
        <v>193</v>
      </c>
      <c r="L213" s="137" t="s">
        <v>193</v>
      </c>
      <c r="M213" s="137" t="s">
        <v>193</v>
      </c>
      <c r="N213" s="137" t="s">
        <v>193</v>
      </c>
      <c r="O213" s="137" t="s">
        <v>193</v>
      </c>
      <c r="P213" s="137" t="s">
        <v>193</v>
      </c>
      <c r="Q213" s="137" t="s">
        <v>193</v>
      </c>
      <c r="R213" s="137" t="s">
        <v>193</v>
      </c>
      <c r="S213" s="137" t="s">
        <v>193</v>
      </c>
      <c r="T213" s="137" t="s">
        <v>193</v>
      </c>
      <c r="W213" s="12" t="str">
        <f t="shared" si="12"/>
        <v>Ja</v>
      </c>
      <c r="Y213" s="12" t="str">
        <f t="shared" si="13"/>
        <v>Nej</v>
      </c>
      <c r="Z213" s="12">
        <f t="shared" si="14"/>
        <v>0</v>
      </c>
      <c r="AA213" s="12">
        <f t="shared" si="15"/>
        <v>0</v>
      </c>
    </row>
    <row r="214" spans="1:27" ht="15" customHeight="1" x14ac:dyDescent="0.25">
      <c r="A214" s="137" t="s">
        <v>483</v>
      </c>
      <c r="B214" s="137" t="s">
        <v>485</v>
      </c>
      <c r="C214" s="137">
        <v>2018</v>
      </c>
      <c r="D214" s="137">
        <v>3.718</v>
      </c>
      <c r="E214" s="137">
        <v>1.35</v>
      </c>
      <c r="F214" s="137" t="s">
        <v>1003</v>
      </c>
      <c r="G214" s="137">
        <v>1.1000000000000001</v>
      </c>
      <c r="H214" s="137">
        <v>0</v>
      </c>
      <c r="I214" s="137">
        <v>0</v>
      </c>
      <c r="J214" s="137">
        <v>0</v>
      </c>
      <c r="K214" s="137" t="s">
        <v>193</v>
      </c>
      <c r="L214" s="137" t="s">
        <v>193</v>
      </c>
      <c r="M214" s="137" t="s">
        <v>193</v>
      </c>
      <c r="N214" s="137" t="s">
        <v>193</v>
      </c>
      <c r="O214" s="137" t="s">
        <v>193</v>
      </c>
      <c r="P214" s="137" t="s">
        <v>193</v>
      </c>
      <c r="Q214" s="137" t="s">
        <v>193</v>
      </c>
      <c r="R214" s="137" t="s">
        <v>193</v>
      </c>
      <c r="S214" s="137" t="s">
        <v>193</v>
      </c>
      <c r="T214" s="137" t="s">
        <v>193</v>
      </c>
      <c r="W214" s="12" t="str">
        <f t="shared" si="12"/>
        <v>Ja</v>
      </c>
      <c r="Y214" s="12" t="str">
        <f t="shared" si="13"/>
        <v>Nej</v>
      </c>
      <c r="Z214" s="12">
        <f t="shared" si="14"/>
        <v>0</v>
      </c>
      <c r="AA214" s="12">
        <f t="shared" si="15"/>
        <v>0</v>
      </c>
    </row>
    <row r="215" spans="1:27" ht="15" customHeight="1" x14ac:dyDescent="0.25">
      <c r="A215" s="137" t="s">
        <v>483</v>
      </c>
      <c r="B215" s="137" t="s">
        <v>486</v>
      </c>
      <c r="C215" s="137">
        <v>2018</v>
      </c>
      <c r="D215" s="137">
        <v>0.51800000000000002</v>
      </c>
      <c r="E215" s="137" t="s">
        <v>193</v>
      </c>
      <c r="F215" s="137" t="s">
        <v>1003</v>
      </c>
      <c r="G215" s="137">
        <v>1.1000000000000001</v>
      </c>
      <c r="H215" s="137">
        <v>0</v>
      </c>
      <c r="I215" s="137">
        <v>0</v>
      </c>
      <c r="J215" s="137">
        <v>0</v>
      </c>
      <c r="K215" s="137" t="s">
        <v>193</v>
      </c>
      <c r="L215" s="137" t="s">
        <v>193</v>
      </c>
      <c r="M215" s="137" t="s">
        <v>193</v>
      </c>
      <c r="N215" s="137" t="s">
        <v>193</v>
      </c>
      <c r="O215" s="137" t="s">
        <v>193</v>
      </c>
      <c r="P215" s="137" t="s">
        <v>193</v>
      </c>
      <c r="Q215" s="137" t="s">
        <v>193</v>
      </c>
      <c r="R215" s="137" t="s">
        <v>193</v>
      </c>
      <c r="S215" s="137" t="s">
        <v>193</v>
      </c>
      <c r="T215" s="137" t="s">
        <v>193</v>
      </c>
      <c r="W215" s="12" t="str">
        <f t="shared" si="12"/>
        <v>Ja</v>
      </c>
      <c r="Y215" s="12" t="str">
        <f t="shared" si="13"/>
        <v>Nej</v>
      </c>
      <c r="Z215" s="12">
        <f t="shared" si="14"/>
        <v>0</v>
      </c>
      <c r="AA215" s="12">
        <f t="shared" si="15"/>
        <v>0</v>
      </c>
    </row>
    <row r="216" spans="1:27" ht="15" customHeight="1" x14ac:dyDescent="0.25">
      <c r="A216" s="137" t="s">
        <v>487</v>
      </c>
      <c r="B216" s="137" t="s">
        <v>488</v>
      </c>
      <c r="C216" s="137">
        <v>2018</v>
      </c>
      <c r="D216" s="137">
        <v>0.15</v>
      </c>
      <c r="E216" s="137" t="s">
        <v>193</v>
      </c>
      <c r="F216" s="137" t="s">
        <v>945</v>
      </c>
      <c r="G216" s="137">
        <v>1.1000000000000001</v>
      </c>
      <c r="H216" s="137">
        <v>0</v>
      </c>
      <c r="I216" s="137">
        <v>0</v>
      </c>
      <c r="J216" s="137">
        <v>0</v>
      </c>
      <c r="K216" s="137" t="s">
        <v>193</v>
      </c>
      <c r="L216" s="137" t="s">
        <v>193</v>
      </c>
      <c r="M216" s="137" t="s">
        <v>193</v>
      </c>
      <c r="N216" s="137" t="s">
        <v>193</v>
      </c>
      <c r="O216" s="137" t="s">
        <v>193</v>
      </c>
      <c r="P216" s="137" t="s">
        <v>193</v>
      </c>
      <c r="Q216" s="137" t="s">
        <v>193</v>
      </c>
      <c r="R216" s="137" t="s">
        <v>193</v>
      </c>
      <c r="S216" s="137" t="s">
        <v>193</v>
      </c>
      <c r="T216" s="137" t="s">
        <v>193</v>
      </c>
      <c r="W216" s="12" t="str">
        <f t="shared" si="12"/>
        <v>Ja</v>
      </c>
      <c r="Y216" s="12" t="str">
        <f t="shared" si="13"/>
        <v>Nej</v>
      </c>
      <c r="Z216" s="12">
        <f t="shared" si="14"/>
        <v>0</v>
      </c>
      <c r="AA216" s="12">
        <f t="shared" si="15"/>
        <v>0</v>
      </c>
    </row>
    <row r="217" spans="1:27" ht="15" customHeight="1" x14ac:dyDescent="0.25">
      <c r="A217" s="137" t="s">
        <v>489</v>
      </c>
      <c r="B217" s="137" t="s">
        <v>490</v>
      </c>
      <c r="C217" s="137">
        <v>2018</v>
      </c>
      <c r="D217" s="137">
        <v>0.6</v>
      </c>
      <c r="E217" s="137">
        <v>9.1</v>
      </c>
      <c r="F217" s="137" t="s">
        <v>1004</v>
      </c>
      <c r="G217" s="137">
        <v>1.1000000000000001</v>
      </c>
      <c r="H217" s="137">
        <v>0</v>
      </c>
      <c r="I217" s="137">
        <v>0</v>
      </c>
      <c r="J217" s="137">
        <v>0</v>
      </c>
      <c r="K217" s="137" t="s">
        <v>193</v>
      </c>
      <c r="L217" s="137" t="s">
        <v>193</v>
      </c>
      <c r="M217" s="137" t="s">
        <v>193</v>
      </c>
      <c r="N217" s="137" t="s">
        <v>193</v>
      </c>
      <c r="O217" s="137" t="s">
        <v>193</v>
      </c>
      <c r="P217" s="137" t="s">
        <v>193</v>
      </c>
      <c r="Q217" s="137" t="s">
        <v>193</v>
      </c>
      <c r="R217" s="137" t="s">
        <v>193</v>
      </c>
      <c r="S217" s="137" t="s">
        <v>193</v>
      </c>
      <c r="T217" s="137" t="s">
        <v>193</v>
      </c>
      <c r="W217" s="12" t="str">
        <f t="shared" si="12"/>
        <v>Ja</v>
      </c>
      <c r="Y217" s="12" t="str">
        <f t="shared" si="13"/>
        <v>Nej</v>
      </c>
      <c r="Z217" s="12">
        <f t="shared" si="14"/>
        <v>0</v>
      </c>
      <c r="AA217" s="12">
        <f t="shared" si="15"/>
        <v>0</v>
      </c>
    </row>
    <row r="218" spans="1:27" ht="15" customHeight="1" x14ac:dyDescent="0.25">
      <c r="A218" s="137" t="s">
        <v>491</v>
      </c>
      <c r="B218" s="137" t="s">
        <v>492</v>
      </c>
      <c r="C218" s="137">
        <v>2018</v>
      </c>
      <c r="D218" s="137">
        <v>3.5000000000000003E-2</v>
      </c>
      <c r="E218" s="137" t="s">
        <v>193</v>
      </c>
      <c r="F218" s="137" t="s">
        <v>1005</v>
      </c>
      <c r="G218" s="137">
        <v>2</v>
      </c>
      <c r="H218" s="137">
        <v>0</v>
      </c>
      <c r="I218" s="137">
        <v>0</v>
      </c>
      <c r="J218" s="137">
        <v>0</v>
      </c>
      <c r="K218" s="137" t="s">
        <v>193</v>
      </c>
      <c r="L218" s="137" t="s">
        <v>193</v>
      </c>
      <c r="M218" s="137" t="s">
        <v>193</v>
      </c>
      <c r="N218" s="137" t="s">
        <v>193</v>
      </c>
      <c r="O218" s="137" t="s">
        <v>193</v>
      </c>
      <c r="P218" s="137" t="s">
        <v>193</v>
      </c>
      <c r="Q218" s="137" t="s">
        <v>193</v>
      </c>
      <c r="R218" s="137" t="s">
        <v>193</v>
      </c>
      <c r="S218" s="137" t="s">
        <v>193</v>
      </c>
      <c r="T218" s="137" t="s">
        <v>193</v>
      </c>
      <c r="W218" s="12" t="str">
        <f t="shared" si="12"/>
        <v>Ja</v>
      </c>
      <c r="Y218" s="12" t="str">
        <f t="shared" si="13"/>
        <v>Nej</v>
      </c>
      <c r="Z218" s="12">
        <f t="shared" si="14"/>
        <v>0</v>
      </c>
      <c r="AA218" s="12">
        <f t="shared" si="15"/>
        <v>0</v>
      </c>
    </row>
    <row r="219" spans="1:27" ht="15" customHeight="1" x14ac:dyDescent="0.25">
      <c r="A219" s="137" t="s">
        <v>491</v>
      </c>
      <c r="B219" s="137" t="s">
        <v>493</v>
      </c>
      <c r="C219" s="137">
        <v>2018</v>
      </c>
      <c r="D219" s="137">
        <v>0.29499999999999998</v>
      </c>
      <c r="E219" s="137" t="s">
        <v>193</v>
      </c>
      <c r="F219" s="137" t="s">
        <v>1006</v>
      </c>
      <c r="G219" s="137">
        <v>2</v>
      </c>
      <c r="H219" s="137">
        <v>0</v>
      </c>
      <c r="I219" s="137">
        <v>0</v>
      </c>
      <c r="J219" s="137">
        <v>0</v>
      </c>
      <c r="K219" s="137" t="s">
        <v>193</v>
      </c>
      <c r="L219" s="137" t="s">
        <v>193</v>
      </c>
      <c r="M219" s="137" t="s">
        <v>193</v>
      </c>
      <c r="N219" s="137" t="s">
        <v>193</v>
      </c>
      <c r="O219" s="137" t="s">
        <v>193</v>
      </c>
      <c r="P219" s="137" t="s">
        <v>193</v>
      </c>
      <c r="Q219" s="137" t="s">
        <v>193</v>
      </c>
      <c r="R219" s="137" t="s">
        <v>193</v>
      </c>
      <c r="S219" s="137" t="s">
        <v>193</v>
      </c>
      <c r="T219" s="137" t="s">
        <v>193</v>
      </c>
      <c r="W219" s="12" t="str">
        <f t="shared" si="12"/>
        <v>Ja</v>
      </c>
      <c r="Y219" s="12" t="str">
        <f t="shared" si="13"/>
        <v>Nej</v>
      </c>
      <c r="Z219" s="12">
        <f t="shared" si="14"/>
        <v>0</v>
      </c>
      <c r="AA219" s="12">
        <f t="shared" si="15"/>
        <v>0</v>
      </c>
    </row>
    <row r="220" spans="1:27" ht="15" customHeight="1" x14ac:dyDescent="0.25">
      <c r="A220" s="137" t="s">
        <v>491</v>
      </c>
      <c r="B220" s="137" t="s">
        <v>494</v>
      </c>
      <c r="C220" s="137">
        <v>2018</v>
      </c>
      <c r="D220" s="137">
        <v>1</v>
      </c>
      <c r="E220" s="137">
        <v>3.2</v>
      </c>
      <c r="F220" s="137" t="s">
        <v>1005</v>
      </c>
      <c r="G220" s="137">
        <v>2</v>
      </c>
      <c r="H220" s="137">
        <v>0</v>
      </c>
      <c r="I220" s="137">
        <v>0</v>
      </c>
      <c r="J220" s="137">
        <v>0</v>
      </c>
      <c r="K220" s="137" t="s">
        <v>193</v>
      </c>
      <c r="L220" s="137" t="s">
        <v>193</v>
      </c>
      <c r="M220" s="137" t="s">
        <v>193</v>
      </c>
      <c r="N220" s="137" t="s">
        <v>193</v>
      </c>
      <c r="O220" s="137" t="s">
        <v>193</v>
      </c>
      <c r="P220" s="137" t="s">
        <v>193</v>
      </c>
      <c r="Q220" s="137" t="s">
        <v>193</v>
      </c>
      <c r="R220" s="137" t="s">
        <v>193</v>
      </c>
      <c r="S220" s="137" t="s">
        <v>193</v>
      </c>
      <c r="T220" s="137" t="s">
        <v>193</v>
      </c>
      <c r="W220" s="12" t="str">
        <f t="shared" si="12"/>
        <v>Ja</v>
      </c>
      <c r="Y220" s="12" t="str">
        <f t="shared" si="13"/>
        <v>Nej</v>
      </c>
      <c r="Z220" s="12">
        <f t="shared" si="14"/>
        <v>0</v>
      </c>
      <c r="AA220" s="12">
        <f>IF(Y220="nej",0,O220/100)</f>
        <v>0</v>
      </c>
    </row>
    <row r="221" spans="1:27" ht="15" customHeight="1" x14ac:dyDescent="0.25">
      <c r="A221" s="137" t="s">
        <v>495</v>
      </c>
      <c r="B221" s="137" t="s">
        <v>496</v>
      </c>
      <c r="C221" s="137">
        <v>2018</v>
      </c>
      <c r="D221" s="137">
        <v>1.1870000000000001</v>
      </c>
      <c r="E221" s="137" t="s">
        <v>193</v>
      </c>
      <c r="F221" s="137" t="s">
        <v>1007</v>
      </c>
      <c r="G221" s="137">
        <v>1.1000000000000001</v>
      </c>
      <c r="H221" s="137">
        <v>0</v>
      </c>
      <c r="I221" s="137">
        <v>0</v>
      </c>
      <c r="J221" s="137">
        <v>0</v>
      </c>
      <c r="K221" s="137" t="s">
        <v>193</v>
      </c>
      <c r="L221" s="137" t="s">
        <v>193</v>
      </c>
      <c r="M221" s="137" t="s">
        <v>193</v>
      </c>
      <c r="N221" s="137" t="s">
        <v>193</v>
      </c>
      <c r="O221" s="137" t="s">
        <v>193</v>
      </c>
      <c r="P221" s="137" t="s">
        <v>193</v>
      </c>
      <c r="Q221" s="137" t="s">
        <v>193</v>
      </c>
      <c r="R221" s="137" t="s">
        <v>193</v>
      </c>
      <c r="S221" s="137" t="s">
        <v>193</v>
      </c>
      <c r="T221" s="137" t="s">
        <v>193</v>
      </c>
      <c r="W221" s="12" t="str">
        <f t="shared" si="12"/>
        <v>Ja</v>
      </c>
      <c r="Y221" s="12" t="str">
        <f t="shared" si="13"/>
        <v>Nej</v>
      </c>
      <c r="Z221" s="12">
        <f t="shared" si="14"/>
        <v>0</v>
      </c>
      <c r="AA221" s="12">
        <f t="shared" si="15"/>
        <v>0</v>
      </c>
    </row>
    <row r="222" spans="1:27" ht="15" customHeight="1" x14ac:dyDescent="0.25">
      <c r="A222" s="137" t="s">
        <v>498</v>
      </c>
      <c r="B222" s="137" t="s">
        <v>499</v>
      </c>
      <c r="C222" s="137">
        <v>2018</v>
      </c>
      <c r="D222" s="137" t="s">
        <v>53</v>
      </c>
      <c r="E222" s="137" t="s">
        <v>53</v>
      </c>
      <c r="F222" s="137" t="s">
        <v>53</v>
      </c>
      <c r="G222" s="137" t="s">
        <v>53</v>
      </c>
      <c r="H222" s="137" t="s">
        <v>53</v>
      </c>
      <c r="I222" s="137" t="s">
        <v>53</v>
      </c>
      <c r="J222" s="137" t="s">
        <v>53</v>
      </c>
      <c r="K222" s="137" t="s">
        <v>53</v>
      </c>
      <c r="L222" s="137" t="s">
        <v>53</v>
      </c>
      <c r="M222" s="137" t="s">
        <v>53</v>
      </c>
      <c r="N222" s="137" t="s">
        <v>53</v>
      </c>
      <c r="O222" s="137" t="s">
        <v>53</v>
      </c>
      <c r="P222" s="137" t="s">
        <v>53</v>
      </c>
      <c r="Q222" s="137" t="s">
        <v>53</v>
      </c>
      <c r="R222" s="137" t="s">
        <v>53</v>
      </c>
      <c r="S222" s="137" t="s">
        <v>53</v>
      </c>
      <c r="T222" s="137" t="s">
        <v>53</v>
      </c>
      <c r="W222" s="12" t="str">
        <f t="shared" si="12"/>
        <v>Nej</v>
      </c>
      <c r="Y222" s="12" t="str">
        <f t="shared" si="13"/>
        <v>Nej</v>
      </c>
      <c r="Z222" s="12">
        <f t="shared" si="14"/>
        <v>0</v>
      </c>
      <c r="AA222" s="12">
        <f t="shared" si="15"/>
        <v>0</v>
      </c>
    </row>
    <row r="223" spans="1:27" ht="15" customHeight="1" x14ac:dyDescent="0.25">
      <c r="A223" s="137" t="s">
        <v>498</v>
      </c>
      <c r="B223" s="137" t="s">
        <v>500</v>
      </c>
      <c r="C223" s="137">
        <v>2018</v>
      </c>
      <c r="D223" s="137" t="s">
        <v>53</v>
      </c>
      <c r="E223" s="137" t="s">
        <v>53</v>
      </c>
      <c r="F223" s="137" t="s">
        <v>53</v>
      </c>
      <c r="G223" s="137" t="s">
        <v>53</v>
      </c>
      <c r="H223" s="137" t="s">
        <v>53</v>
      </c>
      <c r="I223" s="137" t="s">
        <v>53</v>
      </c>
      <c r="J223" s="137" t="s">
        <v>53</v>
      </c>
      <c r="K223" s="137" t="s">
        <v>53</v>
      </c>
      <c r="L223" s="137" t="s">
        <v>53</v>
      </c>
      <c r="M223" s="137" t="s">
        <v>53</v>
      </c>
      <c r="N223" s="137" t="s">
        <v>53</v>
      </c>
      <c r="O223" s="137" t="s">
        <v>53</v>
      </c>
      <c r="P223" s="137" t="s">
        <v>53</v>
      </c>
      <c r="Q223" s="137" t="s">
        <v>53</v>
      </c>
      <c r="R223" s="137" t="s">
        <v>53</v>
      </c>
      <c r="S223" s="137" t="s">
        <v>53</v>
      </c>
      <c r="T223" s="137" t="s">
        <v>53</v>
      </c>
      <c r="W223" s="12" t="str">
        <f t="shared" si="12"/>
        <v>Nej</v>
      </c>
      <c r="Y223" s="12" t="str">
        <f t="shared" si="13"/>
        <v>Nej</v>
      </c>
      <c r="Z223" s="12">
        <f t="shared" si="14"/>
        <v>0</v>
      </c>
      <c r="AA223" s="12">
        <f t="shared" si="15"/>
        <v>0</v>
      </c>
    </row>
    <row r="224" spans="1:27" ht="15" customHeight="1" x14ac:dyDescent="0.25">
      <c r="A224" s="137" t="s">
        <v>501</v>
      </c>
      <c r="B224" s="137" t="s">
        <v>502</v>
      </c>
      <c r="C224" s="137">
        <v>2018</v>
      </c>
      <c r="D224" s="137">
        <v>1.6</v>
      </c>
      <c r="E224" s="137">
        <v>2.8</v>
      </c>
      <c r="F224" s="137" t="s">
        <v>1008</v>
      </c>
      <c r="G224" s="137">
        <v>2.1</v>
      </c>
      <c r="H224" s="137">
        <v>5</v>
      </c>
      <c r="I224" s="137">
        <v>0</v>
      </c>
      <c r="J224" s="137">
        <v>0.5</v>
      </c>
      <c r="K224" s="137" t="s">
        <v>193</v>
      </c>
      <c r="L224" s="137" t="s">
        <v>193</v>
      </c>
      <c r="M224" s="137" t="s">
        <v>193</v>
      </c>
      <c r="N224" s="137" t="s">
        <v>193</v>
      </c>
      <c r="O224" s="137" t="s">
        <v>193</v>
      </c>
      <c r="P224" s="137" t="s">
        <v>193</v>
      </c>
      <c r="Q224" s="137" t="s">
        <v>193</v>
      </c>
      <c r="R224" s="137" t="s">
        <v>193</v>
      </c>
      <c r="S224" s="137" t="s">
        <v>193</v>
      </c>
      <c r="T224" s="137" t="s">
        <v>193</v>
      </c>
      <c r="W224" s="12" t="str">
        <f t="shared" si="12"/>
        <v>Ja</v>
      </c>
      <c r="Y224" s="12" t="str">
        <f t="shared" si="13"/>
        <v>Nej</v>
      </c>
      <c r="Z224" s="12">
        <f t="shared" si="14"/>
        <v>0</v>
      </c>
      <c r="AA224" s="12">
        <f t="shared" si="15"/>
        <v>0</v>
      </c>
    </row>
    <row r="225" spans="1:27" ht="15" customHeight="1" x14ac:dyDescent="0.25">
      <c r="A225" s="137" t="s">
        <v>503</v>
      </c>
      <c r="B225" s="137" t="s">
        <v>504</v>
      </c>
      <c r="C225" s="137">
        <v>2018</v>
      </c>
      <c r="D225" s="137" t="s">
        <v>193</v>
      </c>
      <c r="E225" s="137" t="s">
        <v>193</v>
      </c>
      <c r="F225" s="137" t="s">
        <v>53</v>
      </c>
      <c r="G225" s="137">
        <v>2.2999999999999998</v>
      </c>
      <c r="H225" s="137">
        <v>329.19</v>
      </c>
      <c r="I225" s="137">
        <v>0.43</v>
      </c>
      <c r="J225" s="137">
        <v>0.40550000000000003</v>
      </c>
      <c r="K225" s="137" t="s">
        <v>193</v>
      </c>
      <c r="L225" s="137" t="s">
        <v>193</v>
      </c>
      <c r="M225" s="137" t="s">
        <v>193</v>
      </c>
      <c r="N225" s="137" t="s">
        <v>193</v>
      </c>
      <c r="O225" s="137" t="s">
        <v>193</v>
      </c>
      <c r="P225" s="137" t="s">
        <v>193</v>
      </c>
      <c r="Q225" s="137" t="s">
        <v>193</v>
      </c>
      <c r="R225" s="137" t="s">
        <v>193</v>
      </c>
      <c r="S225" s="137" t="s">
        <v>193</v>
      </c>
      <c r="T225" s="137" t="s">
        <v>193</v>
      </c>
      <c r="W225" s="12" t="str">
        <f t="shared" si="12"/>
        <v>Nej</v>
      </c>
      <c r="Y225" s="12" t="str">
        <f t="shared" si="13"/>
        <v>Nej</v>
      </c>
      <c r="Z225" s="12">
        <f t="shared" si="14"/>
        <v>0</v>
      </c>
      <c r="AA225" s="12">
        <f t="shared" si="15"/>
        <v>0</v>
      </c>
    </row>
    <row r="226" spans="1:27" ht="15" customHeight="1" x14ac:dyDescent="0.25">
      <c r="A226" s="137" t="s">
        <v>505</v>
      </c>
      <c r="B226" s="137" t="s">
        <v>119</v>
      </c>
      <c r="C226" s="137">
        <v>2018</v>
      </c>
      <c r="D226" s="137" t="s">
        <v>53</v>
      </c>
      <c r="E226" s="137" t="s">
        <v>53</v>
      </c>
      <c r="F226" s="137" t="s">
        <v>53</v>
      </c>
      <c r="G226" s="137" t="s">
        <v>53</v>
      </c>
      <c r="H226" s="137" t="s">
        <v>53</v>
      </c>
      <c r="I226" s="137" t="s">
        <v>53</v>
      </c>
      <c r="J226" s="137" t="s">
        <v>53</v>
      </c>
      <c r="K226" s="137" t="s">
        <v>53</v>
      </c>
      <c r="L226" s="137" t="s">
        <v>53</v>
      </c>
      <c r="M226" s="137" t="s">
        <v>53</v>
      </c>
      <c r="N226" s="137" t="s">
        <v>53</v>
      </c>
      <c r="O226" s="137" t="s">
        <v>53</v>
      </c>
      <c r="P226" s="137" t="s">
        <v>53</v>
      </c>
      <c r="Q226" s="137" t="s">
        <v>53</v>
      </c>
      <c r="R226" s="137" t="s">
        <v>53</v>
      </c>
      <c r="S226" s="137" t="s">
        <v>53</v>
      </c>
      <c r="T226" s="137" t="s">
        <v>53</v>
      </c>
      <c r="W226" s="12" t="str">
        <f t="shared" si="12"/>
        <v>Nej</v>
      </c>
      <c r="Y226" s="12" t="str">
        <f t="shared" si="13"/>
        <v>Nej</v>
      </c>
      <c r="Z226" s="12">
        <f t="shared" si="14"/>
        <v>0</v>
      </c>
      <c r="AA226" s="12">
        <f t="shared" si="15"/>
        <v>0</v>
      </c>
    </row>
    <row r="227" spans="1:27" ht="15" customHeight="1" x14ac:dyDescent="0.25">
      <c r="A227" s="137" t="s">
        <v>506</v>
      </c>
      <c r="B227" s="137" t="s">
        <v>507</v>
      </c>
      <c r="C227" s="137">
        <v>2018</v>
      </c>
      <c r="D227" s="137">
        <v>9.9999999999999995E-7</v>
      </c>
      <c r="E227" s="137" t="s">
        <v>193</v>
      </c>
      <c r="F227" s="137" t="s">
        <v>957</v>
      </c>
      <c r="G227" s="137">
        <v>1.1000000000000001</v>
      </c>
      <c r="H227" s="137">
        <v>5</v>
      </c>
      <c r="I227" s="137">
        <v>0</v>
      </c>
      <c r="J227" s="137">
        <v>0</v>
      </c>
      <c r="K227" s="137">
        <v>171</v>
      </c>
      <c r="L227" s="137">
        <v>0.2</v>
      </c>
      <c r="M227" s="137">
        <v>60</v>
      </c>
      <c r="N227" s="137">
        <v>8</v>
      </c>
      <c r="O227" s="137">
        <v>12</v>
      </c>
      <c r="P227" s="137" t="s">
        <v>193</v>
      </c>
      <c r="Q227" s="137" t="s">
        <v>193</v>
      </c>
      <c r="R227" s="137" t="s">
        <v>193</v>
      </c>
      <c r="S227" s="137" t="s">
        <v>193</v>
      </c>
      <c r="T227" s="137" t="s">
        <v>193</v>
      </c>
      <c r="W227" s="12" t="str">
        <f t="shared" si="12"/>
        <v>Ja</v>
      </c>
      <c r="Y227" s="12" t="str">
        <f t="shared" si="13"/>
        <v>Ja</v>
      </c>
      <c r="Z227" s="12">
        <f t="shared" si="14"/>
        <v>171</v>
      </c>
      <c r="AA227" s="12">
        <f t="shared" si="15"/>
        <v>0.12</v>
      </c>
    </row>
    <row r="228" spans="1:27" ht="15" customHeight="1" x14ac:dyDescent="0.25">
      <c r="A228" s="137" t="s">
        <v>38</v>
      </c>
      <c r="B228" s="141" t="s">
        <v>40</v>
      </c>
      <c r="C228" s="137">
        <v>2018</v>
      </c>
      <c r="D228" s="137" t="s">
        <v>53</v>
      </c>
      <c r="E228" s="137" t="s">
        <v>53</v>
      </c>
      <c r="F228" s="137" t="s">
        <v>53</v>
      </c>
      <c r="G228" s="137" t="s">
        <v>53</v>
      </c>
      <c r="H228" s="137" t="s">
        <v>53</v>
      </c>
      <c r="I228" s="137" t="s">
        <v>53</v>
      </c>
      <c r="J228" s="137" t="s">
        <v>53</v>
      </c>
      <c r="K228" s="137" t="s">
        <v>53</v>
      </c>
      <c r="L228" s="137" t="s">
        <v>53</v>
      </c>
      <c r="M228" s="137" t="s">
        <v>53</v>
      </c>
      <c r="N228" s="137" t="s">
        <v>53</v>
      </c>
      <c r="O228" s="137" t="s">
        <v>53</v>
      </c>
      <c r="P228" s="137" t="s">
        <v>53</v>
      </c>
      <c r="Q228" s="137" t="s">
        <v>53</v>
      </c>
      <c r="R228" s="137" t="s">
        <v>53</v>
      </c>
      <c r="S228" s="137" t="s">
        <v>53</v>
      </c>
      <c r="T228" s="137" t="s">
        <v>53</v>
      </c>
      <c r="W228" s="12" t="str">
        <f t="shared" si="12"/>
        <v>Nej</v>
      </c>
      <c r="Y228" s="12" t="str">
        <f t="shared" si="13"/>
        <v>Nej</v>
      </c>
      <c r="Z228" s="12">
        <f t="shared" si="14"/>
        <v>0</v>
      </c>
      <c r="AA228" s="12">
        <f t="shared" si="15"/>
        <v>0</v>
      </c>
    </row>
    <row r="229" spans="1:27" ht="15" customHeight="1" x14ac:dyDescent="0.25">
      <c r="A229" s="137" t="s">
        <v>4</v>
      </c>
      <c r="B229" s="137" t="s">
        <v>508</v>
      </c>
      <c r="C229" s="137">
        <v>2018</v>
      </c>
      <c r="D229" s="137" t="s">
        <v>53</v>
      </c>
      <c r="E229" s="137" t="s">
        <v>53</v>
      </c>
      <c r="F229" s="137" t="s">
        <v>53</v>
      </c>
      <c r="G229" s="137" t="s">
        <v>53</v>
      </c>
      <c r="H229" s="137" t="s">
        <v>53</v>
      </c>
      <c r="I229" s="137" t="s">
        <v>53</v>
      </c>
      <c r="J229" s="137" t="s">
        <v>53</v>
      </c>
      <c r="K229" s="137" t="s">
        <v>53</v>
      </c>
      <c r="L229" s="137" t="s">
        <v>53</v>
      </c>
      <c r="M229" s="137" t="s">
        <v>53</v>
      </c>
      <c r="N229" s="137" t="s">
        <v>53</v>
      </c>
      <c r="O229" s="137" t="s">
        <v>53</v>
      </c>
      <c r="P229" s="137" t="s">
        <v>53</v>
      </c>
      <c r="Q229" s="137" t="s">
        <v>53</v>
      </c>
      <c r="R229" s="137" t="s">
        <v>53</v>
      </c>
      <c r="S229" s="137" t="s">
        <v>53</v>
      </c>
      <c r="T229" s="137" t="s">
        <v>53</v>
      </c>
      <c r="W229" s="12" t="str">
        <f t="shared" si="12"/>
        <v>Nej</v>
      </c>
      <c r="Y229" s="12" t="str">
        <f t="shared" si="13"/>
        <v>Nej</v>
      </c>
      <c r="Z229" s="12">
        <f t="shared" si="14"/>
        <v>0</v>
      </c>
      <c r="AA229" s="12">
        <f t="shared" si="15"/>
        <v>0</v>
      </c>
    </row>
    <row r="230" spans="1:27" ht="15" customHeight="1" x14ac:dyDescent="0.25">
      <c r="A230" s="137" t="s">
        <v>4</v>
      </c>
      <c r="B230" s="137" t="s">
        <v>509</v>
      </c>
      <c r="C230" s="137">
        <v>2018</v>
      </c>
      <c r="D230" s="137" t="s">
        <v>53</v>
      </c>
      <c r="E230" s="137" t="s">
        <v>53</v>
      </c>
      <c r="F230" s="137" t="s">
        <v>53</v>
      </c>
      <c r="G230" s="137" t="s">
        <v>53</v>
      </c>
      <c r="H230" s="137" t="s">
        <v>53</v>
      </c>
      <c r="I230" s="137" t="s">
        <v>53</v>
      </c>
      <c r="J230" s="137" t="s">
        <v>53</v>
      </c>
      <c r="K230" s="137" t="s">
        <v>53</v>
      </c>
      <c r="L230" s="137" t="s">
        <v>53</v>
      </c>
      <c r="M230" s="137" t="s">
        <v>53</v>
      </c>
      <c r="N230" s="137" t="s">
        <v>53</v>
      </c>
      <c r="O230" s="137" t="s">
        <v>53</v>
      </c>
      <c r="P230" s="137" t="s">
        <v>53</v>
      </c>
      <c r="Q230" s="137" t="s">
        <v>53</v>
      </c>
      <c r="R230" s="137" t="s">
        <v>53</v>
      </c>
      <c r="S230" s="137" t="s">
        <v>53</v>
      </c>
      <c r="T230" s="137" t="s">
        <v>53</v>
      </c>
      <c r="W230" s="12" t="str">
        <f t="shared" si="12"/>
        <v>Nej</v>
      </c>
      <c r="Y230" s="12" t="str">
        <f t="shared" si="13"/>
        <v>Nej</v>
      </c>
      <c r="Z230" s="12">
        <f t="shared" si="14"/>
        <v>0</v>
      </c>
      <c r="AA230" s="12">
        <f t="shared" si="15"/>
        <v>0</v>
      </c>
    </row>
    <row r="231" spans="1:27" ht="15" customHeight="1" x14ac:dyDescent="0.25">
      <c r="A231" s="137" t="s">
        <v>4</v>
      </c>
      <c r="B231" s="137" t="s">
        <v>5</v>
      </c>
      <c r="C231" s="137">
        <v>2018</v>
      </c>
      <c r="D231" s="137" t="s">
        <v>53</v>
      </c>
      <c r="E231" s="137" t="s">
        <v>53</v>
      </c>
      <c r="F231" s="137" t="s">
        <v>53</v>
      </c>
      <c r="G231" s="137" t="s">
        <v>53</v>
      </c>
      <c r="H231" s="137" t="s">
        <v>53</v>
      </c>
      <c r="I231" s="137" t="s">
        <v>53</v>
      </c>
      <c r="J231" s="137" t="s">
        <v>53</v>
      </c>
      <c r="K231" s="137" t="s">
        <v>53</v>
      </c>
      <c r="L231" s="137" t="s">
        <v>53</v>
      </c>
      <c r="M231" s="137" t="s">
        <v>53</v>
      </c>
      <c r="N231" s="137" t="s">
        <v>53</v>
      </c>
      <c r="O231" s="137" t="s">
        <v>53</v>
      </c>
      <c r="P231" s="137" t="s">
        <v>53</v>
      </c>
      <c r="Q231" s="137" t="s">
        <v>53</v>
      </c>
      <c r="R231" s="137" t="s">
        <v>53</v>
      </c>
      <c r="S231" s="137" t="s">
        <v>53</v>
      </c>
      <c r="T231" s="137" t="s">
        <v>53</v>
      </c>
      <c r="W231" s="12" t="str">
        <f t="shared" si="12"/>
        <v>Nej</v>
      </c>
      <c r="Y231" s="12" t="str">
        <f t="shared" si="13"/>
        <v>Nej</v>
      </c>
      <c r="Z231" s="12">
        <f t="shared" si="14"/>
        <v>0</v>
      </c>
      <c r="AA231" s="12">
        <f t="shared" si="15"/>
        <v>0</v>
      </c>
    </row>
    <row r="232" spans="1:27" ht="15" customHeight="1" x14ac:dyDescent="0.25">
      <c r="A232" s="137" t="s">
        <v>510</v>
      </c>
      <c r="B232" s="137" t="s">
        <v>511</v>
      </c>
      <c r="C232" s="137">
        <v>2018</v>
      </c>
      <c r="D232" s="137">
        <v>0.96899999999999997</v>
      </c>
      <c r="E232" s="137">
        <v>0</v>
      </c>
      <c r="F232" s="137" t="s">
        <v>1009</v>
      </c>
      <c r="G232" s="137">
        <v>0.1</v>
      </c>
      <c r="H232" s="137">
        <v>0</v>
      </c>
      <c r="I232" s="137">
        <v>0</v>
      </c>
      <c r="J232" s="137">
        <v>0</v>
      </c>
      <c r="K232" s="137" t="s">
        <v>193</v>
      </c>
      <c r="L232" s="137" t="s">
        <v>193</v>
      </c>
      <c r="M232" s="137" t="s">
        <v>193</v>
      </c>
      <c r="N232" s="137" t="s">
        <v>193</v>
      </c>
      <c r="O232" s="137" t="s">
        <v>193</v>
      </c>
      <c r="P232" s="137" t="s">
        <v>193</v>
      </c>
      <c r="Q232" s="137" t="s">
        <v>193</v>
      </c>
      <c r="R232" s="137" t="s">
        <v>193</v>
      </c>
      <c r="S232" s="137" t="s">
        <v>193</v>
      </c>
      <c r="T232" s="137" t="s">
        <v>193</v>
      </c>
      <c r="W232" s="12" t="str">
        <f t="shared" si="12"/>
        <v>Ja</v>
      </c>
      <c r="Y232" s="12" t="str">
        <f t="shared" si="13"/>
        <v>Nej</v>
      </c>
      <c r="Z232" s="12">
        <f t="shared" si="14"/>
        <v>0</v>
      </c>
      <c r="AA232" s="12">
        <f t="shared" si="15"/>
        <v>0</v>
      </c>
    </row>
    <row r="233" spans="1:27" ht="15" customHeight="1" x14ac:dyDescent="0.25">
      <c r="A233" s="137" t="s">
        <v>513</v>
      </c>
      <c r="B233" s="137" t="s">
        <v>514</v>
      </c>
      <c r="C233" s="137">
        <v>2018</v>
      </c>
      <c r="D233" s="137">
        <v>0.6</v>
      </c>
      <c r="E233" s="137" t="s">
        <v>193</v>
      </c>
      <c r="F233" s="137" t="s">
        <v>1010</v>
      </c>
      <c r="G233" s="137">
        <v>1.1000000000000001</v>
      </c>
      <c r="H233" s="137">
        <v>0</v>
      </c>
      <c r="I233" s="137">
        <v>0</v>
      </c>
      <c r="J233" s="137">
        <v>0</v>
      </c>
      <c r="K233" s="137" t="s">
        <v>193</v>
      </c>
      <c r="L233" s="137" t="s">
        <v>193</v>
      </c>
      <c r="M233" s="137" t="s">
        <v>193</v>
      </c>
      <c r="N233" s="137" t="s">
        <v>193</v>
      </c>
      <c r="O233" s="137" t="s">
        <v>193</v>
      </c>
      <c r="P233" s="137" t="s">
        <v>193</v>
      </c>
      <c r="Q233" s="137" t="s">
        <v>193</v>
      </c>
      <c r="R233" s="137" t="s">
        <v>193</v>
      </c>
      <c r="S233" s="137" t="s">
        <v>193</v>
      </c>
      <c r="T233" s="137" t="s">
        <v>193</v>
      </c>
      <c r="W233" s="12" t="str">
        <f t="shared" si="12"/>
        <v>Ja</v>
      </c>
      <c r="Y233" s="12" t="str">
        <f t="shared" si="13"/>
        <v>Nej</v>
      </c>
      <c r="Z233" s="12">
        <f t="shared" si="14"/>
        <v>0</v>
      </c>
      <c r="AA233" s="12">
        <f t="shared" si="15"/>
        <v>0</v>
      </c>
    </row>
    <row r="234" spans="1:27" ht="15" customHeight="1" x14ac:dyDescent="0.25">
      <c r="A234" s="137" t="s">
        <v>513</v>
      </c>
      <c r="B234" s="137" t="s">
        <v>515</v>
      </c>
      <c r="C234" s="137">
        <v>2018</v>
      </c>
      <c r="D234" s="137">
        <v>2</v>
      </c>
      <c r="E234" s="137" t="s">
        <v>193</v>
      </c>
      <c r="F234" s="137" t="s">
        <v>1011</v>
      </c>
      <c r="G234" s="137">
        <v>1.1000000000000001</v>
      </c>
      <c r="H234" s="137">
        <v>0</v>
      </c>
      <c r="I234" s="137">
        <v>0</v>
      </c>
      <c r="J234" s="137">
        <v>0</v>
      </c>
      <c r="K234" s="137" t="s">
        <v>193</v>
      </c>
      <c r="L234" s="137" t="s">
        <v>193</v>
      </c>
      <c r="M234" s="137" t="s">
        <v>193</v>
      </c>
      <c r="N234" s="137" t="s">
        <v>193</v>
      </c>
      <c r="O234" s="137" t="s">
        <v>193</v>
      </c>
      <c r="P234" s="137" t="s">
        <v>193</v>
      </c>
      <c r="Q234" s="137" t="s">
        <v>193</v>
      </c>
      <c r="R234" s="137" t="s">
        <v>193</v>
      </c>
      <c r="S234" s="137" t="s">
        <v>193</v>
      </c>
      <c r="T234" s="137" t="s">
        <v>193</v>
      </c>
      <c r="W234" s="12" t="str">
        <f t="shared" si="12"/>
        <v>Ja</v>
      </c>
      <c r="Y234" s="12" t="str">
        <f t="shared" si="13"/>
        <v>Nej</v>
      </c>
      <c r="Z234" s="12">
        <f t="shared" si="14"/>
        <v>0</v>
      </c>
      <c r="AA234" s="12">
        <f t="shared" si="15"/>
        <v>0</v>
      </c>
    </row>
    <row r="235" spans="1:27" ht="15" customHeight="1" x14ac:dyDescent="0.25">
      <c r="A235" s="137" t="s">
        <v>513</v>
      </c>
      <c r="B235" s="137" t="s">
        <v>517</v>
      </c>
      <c r="C235" s="137">
        <v>2018</v>
      </c>
      <c r="D235" s="137" t="s">
        <v>193</v>
      </c>
      <c r="E235" s="137" t="s">
        <v>193</v>
      </c>
      <c r="F235" s="137" t="s">
        <v>1012</v>
      </c>
      <c r="G235" s="137">
        <v>1.1000000000000001</v>
      </c>
      <c r="H235" s="137">
        <v>0</v>
      </c>
      <c r="I235" s="137">
        <v>0</v>
      </c>
      <c r="J235" s="137">
        <v>0</v>
      </c>
      <c r="K235" s="137" t="s">
        <v>193</v>
      </c>
      <c r="L235" s="137" t="s">
        <v>193</v>
      </c>
      <c r="M235" s="137" t="s">
        <v>193</v>
      </c>
      <c r="N235" s="137" t="s">
        <v>193</v>
      </c>
      <c r="O235" s="137" t="s">
        <v>193</v>
      </c>
      <c r="P235" s="137" t="s">
        <v>193</v>
      </c>
      <c r="Q235" s="137" t="s">
        <v>193</v>
      </c>
      <c r="R235" s="137" t="s">
        <v>193</v>
      </c>
      <c r="S235" s="137" t="s">
        <v>193</v>
      </c>
      <c r="T235" s="137" t="s">
        <v>193</v>
      </c>
      <c r="W235" s="12" t="str">
        <f t="shared" si="12"/>
        <v>Ja</v>
      </c>
      <c r="Y235" s="12" t="str">
        <f t="shared" si="13"/>
        <v>Nej</v>
      </c>
      <c r="Z235" s="12">
        <f t="shared" si="14"/>
        <v>0</v>
      </c>
      <c r="AA235" s="12">
        <f t="shared" si="15"/>
        <v>0</v>
      </c>
    </row>
    <row r="236" spans="1:27" ht="15" customHeight="1" x14ac:dyDescent="0.25">
      <c r="A236" s="137" t="s">
        <v>513</v>
      </c>
      <c r="B236" s="137" t="s">
        <v>518</v>
      </c>
      <c r="C236" s="137">
        <v>2018</v>
      </c>
      <c r="D236" s="137">
        <v>0.3</v>
      </c>
      <c r="E236" s="137" t="s">
        <v>193</v>
      </c>
      <c r="F236" s="137" t="s">
        <v>1011</v>
      </c>
      <c r="G236" s="137">
        <v>1.1000000000000001</v>
      </c>
      <c r="H236" s="137">
        <v>0</v>
      </c>
      <c r="I236" s="137">
        <v>0</v>
      </c>
      <c r="J236" s="137">
        <v>0</v>
      </c>
      <c r="K236" s="137" t="s">
        <v>193</v>
      </c>
      <c r="L236" s="137" t="s">
        <v>193</v>
      </c>
      <c r="M236" s="137" t="s">
        <v>193</v>
      </c>
      <c r="N236" s="137" t="s">
        <v>193</v>
      </c>
      <c r="O236" s="137" t="s">
        <v>193</v>
      </c>
      <c r="P236" s="137" t="s">
        <v>193</v>
      </c>
      <c r="Q236" s="137" t="s">
        <v>193</v>
      </c>
      <c r="R236" s="137" t="s">
        <v>193</v>
      </c>
      <c r="S236" s="137" t="s">
        <v>193</v>
      </c>
      <c r="T236" s="137" t="s">
        <v>193</v>
      </c>
      <c r="W236" s="12" t="str">
        <f t="shared" si="12"/>
        <v>Ja</v>
      </c>
      <c r="Y236" s="12" t="str">
        <f t="shared" si="13"/>
        <v>Nej</v>
      </c>
      <c r="Z236" s="12">
        <f t="shared" si="14"/>
        <v>0</v>
      </c>
      <c r="AA236" s="12">
        <f t="shared" si="15"/>
        <v>0</v>
      </c>
    </row>
    <row r="237" spans="1:27" ht="15" customHeight="1" x14ac:dyDescent="0.25">
      <c r="A237" s="137" t="s">
        <v>519</v>
      </c>
      <c r="B237" s="137" t="s">
        <v>520</v>
      </c>
      <c r="C237" s="137">
        <v>2018</v>
      </c>
      <c r="D237" s="137" t="s">
        <v>53</v>
      </c>
      <c r="E237" s="137" t="s">
        <v>53</v>
      </c>
      <c r="F237" s="137" t="s">
        <v>53</v>
      </c>
      <c r="G237" s="137" t="s">
        <v>53</v>
      </c>
      <c r="H237" s="137" t="s">
        <v>53</v>
      </c>
      <c r="I237" s="137" t="s">
        <v>53</v>
      </c>
      <c r="J237" s="137" t="s">
        <v>53</v>
      </c>
      <c r="K237" s="137" t="s">
        <v>53</v>
      </c>
      <c r="L237" s="137" t="s">
        <v>53</v>
      </c>
      <c r="M237" s="137" t="s">
        <v>53</v>
      </c>
      <c r="N237" s="137" t="s">
        <v>53</v>
      </c>
      <c r="O237" s="137" t="s">
        <v>53</v>
      </c>
      <c r="P237" s="137" t="s">
        <v>53</v>
      </c>
      <c r="Q237" s="137" t="s">
        <v>53</v>
      </c>
      <c r="R237" s="137" t="s">
        <v>53</v>
      </c>
      <c r="S237" s="137" t="s">
        <v>53</v>
      </c>
      <c r="T237" s="137" t="s">
        <v>53</v>
      </c>
      <c r="W237" s="12" t="str">
        <f t="shared" si="12"/>
        <v>Nej</v>
      </c>
      <c r="Y237" s="12" t="str">
        <f t="shared" si="13"/>
        <v>Nej</v>
      </c>
      <c r="Z237" s="12">
        <f t="shared" si="14"/>
        <v>0</v>
      </c>
      <c r="AA237" s="12">
        <f t="shared" si="15"/>
        <v>0</v>
      </c>
    </row>
    <row r="238" spans="1:27" ht="15" customHeight="1" x14ac:dyDescent="0.25">
      <c r="A238" s="137" t="s">
        <v>521</v>
      </c>
      <c r="B238" s="137" t="s">
        <v>522</v>
      </c>
      <c r="C238" s="137">
        <v>2018</v>
      </c>
      <c r="D238" s="137">
        <v>0.3</v>
      </c>
      <c r="E238" s="137">
        <v>2E-3</v>
      </c>
      <c r="F238" s="137" t="s">
        <v>957</v>
      </c>
      <c r="G238" s="137">
        <v>1.1000000000000001</v>
      </c>
      <c r="H238" s="137">
        <v>1.3</v>
      </c>
      <c r="I238" s="137">
        <v>0</v>
      </c>
      <c r="J238" s="137">
        <v>0</v>
      </c>
      <c r="K238" s="137" t="s">
        <v>193</v>
      </c>
      <c r="L238" s="137" t="s">
        <v>193</v>
      </c>
      <c r="M238" s="137" t="s">
        <v>193</v>
      </c>
      <c r="N238" s="137" t="s">
        <v>193</v>
      </c>
      <c r="O238" s="137" t="s">
        <v>193</v>
      </c>
      <c r="P238" s="137" t="s">
        <v>193</v>
      </c>
      <c r="Q238" s="137" t="s">
        <v>193</v>
      </c>
      <c r="R238" s="137" t="s">
        <v>193</v>
      </c>
      <c r="S238" s="137" t="s">
        <v>193</v>
      </c>
      <c r="T238" s="137" t="s">
        <v>193</v>
      </c>
      <c r="W238" s="12" t="str">
        <f t="shared" si="12"/>
        <v>Ja</v>
      </c>
      <c r="Y238" s="12" t="str">
        <f t="shared" si="13"/>
        <v>Nej</v>
      </c>
      <c r="Z238" s="12">
        <f t="shared" si="14"/>
        <v>0</v>
      </c>
      <c r="AA238" s="12">
        <f t="shared" si="15"/>
        <v>0</v>
      </c>
    </row>
    <row r="239" spans="1:27" ht="15" customHeight="1" x14ac:dyDescent="0.25">
      <c r="A239" s="137" t="s">
        <v>521</v>
      </c>
      <c r="B239" s="137" t="s">
        <v>523</v>
      </c>
      <c r="C239" s="137">
        <v>2018</v>
      </c>
      <c r="D239" s="137">
        <v>2.1</v>
      </c>
      <c r="E239" s="137">
        <v>3.5000000000000003E-2</v>
      </c>
      <c r="F239" s="137" t="s">
        <v>1013</v>
      </c>
      <c r="G239" s="137">
        <v>1.1000000000000001</v>
      </c>
      <c r="H239" s="137">
        <v>1.3</v>
      </c>
      <c r="I239" s="137">
        <v>0</v>
      </c>
      <c r="J239" s="137">
        <v>0</v>
      </c>
      <c r="K239" s="137" t="s">
        <v>193</v>
      </c>
      <c r="L239" s="137" t="s">
        <v>193</v>
      </c>
      <c r="M239" s="137" t="s">
        <v>193</v>
      </c>
      <c r="N239" s="137" t="s">
        <v>193</v>
      </c>
      <c r="O239" s="137" t="s">
        <v>193</v>
      </c>
      <c r="P239" s="137" t="s">
        <v>193</v>
      </c>
      <c r="Q239" s="137" t="s">
        <v>193</v>
      </c>
      <c r="R239" s="137" t="s">
        <v>193</v>
      </c>
      <c r="S239" s="137" t="s">
        <v>193</v>
      </c>
      <c r="T239" s="137" t="s">
        <v>193</v>
      </c>
      <c r="W239" s="12" t="str">
        <f t="shared" si="12"/>
        <v>Ja</v>
      </c>
      <c r="Y239" s="12" t="str">
        <f t="shared" si="13"/>
        <v>Nej</v>
      </c>
      <c r="Z239" s="12">
        <f t="shared" si="14"/>
        <v>0</v>
      </c>
      <c r="AA239" s="12">
        <f t="shared" si="15"/>
        <v>0</v>
      </c>
    </row>
    <row r="240" spans="1:27" ht="15" customHeight="1" x14ac:dyDescent="0.25">
      <c r="A240" s="137" t="s">
        <v>524</v>
      </c>
      <c r="B240" s="137" t="s">
        <v>525</v>
      </c>
      <c r="C240" s="137">
        <v>2018</v>
      </c>
      <c r="D240" s="137">
        <v>1.67</v>
      </c>
      <c r="E240" s="137">
        <v>2.3260000000000001</v>
      </c>
      <c r="F240" s="137" t="s">
        <v>1014</v>
      </c>
      <c r="G240" s="137">
        <v>1.1000000000000001</v>
      </c>
      <c r="H240" s="137">
        <v>0</v>
      </c>
      <c r="I240" s="137">
        <v>0</v>
      </c>
      <c r="J240" s="137">
        <v>0</v>
      </c>
      <c r="K240" s="137" t="s">
        <v>193</v>
      </c>
      <c r="L240" s="137" t="s">
        <v>193</v>
      </c>
      <c r="M240" s="137" t="s">
        <v>193</v>
      </c>
      <c r="N240" s="137" t="s">
        <v>193</v>
      </c>
      <c r="O240" s="137" t="s">
        <v>193</v>
      </c>
      <c r="P240" s="137" t="s">
        <v>193</v>
      </c>
      <c r="Q240" s="137" t="s">
        <v>193</v>
      </c>
      <c r="R240" s="137" t="s">
        <v>193</v>
      </c>
      <c r="S240" s="137" t="s">
        <v>193</v>
      </c>
      <c r="T240" s="137" t="s">
        <v>193</v>
      </c>
      <c r="W240" s="12" t="str">
        <f t="shared" si="12"/>
        <v>Ja</v>
      </c>
      <c r="Y240" s="12" t="str">
        <f t="shared" si="13"/>
        <v>Nej</v>
      </c>
      <c r="Z240" s="12">
        <f t="shared" si="14"/>
        <v>0</v>
      </c>
      <c r="AA240" s="12">
        <f t="shared" si="15"/>
        <v>0</v>
      </c>
    </row>
    <row r="241" spans="1:27" ht="15" customHeight="1" x14ac:dyDescent="0.25">
      <c r="A241" s="137" t="s">
        <v>526</v>
      </c>
      <c r="B241" s="137" t="s">
        <v>527</v>
      </c>
      <c r="C241" s="137">
        <v>2018</v>
      </c>
      <c r="D241" s="137">
        <v>8.67</v>
      </c>
      <c r="E241" s="137" t="s">
        <v>193</v>
      </c>
      <c r="F241" s="137" t="s">
        <v>53</v>
      </c>
      <c r="G241" s="137">
        <v>2.2999999999999998</v>
      </c>
      <c r="H241" s="137">
        <v>329.19</v>
      </c>
      <c r="I241" s="137">
        <v>0.43</v>
      </c>
      <c r="J241" s="137">
        <v>0.40550000000000003</v>
      </c>
      <c r="K241" s="137" t="s">
        <v>193</v>
      </c>
      <c r="L241" s="137" t="s">
        <v>193</v>
      </c>
      <c r="M241" s="137" t="s">
        <v>193</v>
      </c>
      <c r="N241" s="137" t="s">
        <v>193</v>
      </c>
      <c r="O241" s="137" t="s">
        <v>193</v>
      </c>
      <c r="P241" s="137" t="s">
        <v>193</v>
      </c>
      <c r="Q241" s="137" t="s">
        <v>193</v>
      </c>
      <c r="R241" s="137" t="s">
        <v>193</v>
      </c>
      <c r="S241" s="137" t="s">
        <v>193</v>
      </c>
      <c r="T241" s="137" t="s">
        <v>193</v>
      </c>
      <c r="W241" s="12" t="str">
        <f t="shared" si="12"/>
        <v>Nej</v>
      </c>
      <c r="Y241" s="12" t="str">
        <f t="shared" si="13"/>
        <v>Nej</v>
      </c>
      <c r="Z241" s="12">
        <f t="shared" si="14"/>
        <v>0</v>
      </c>
      <c r="AA241" s="12">
        <f t="shared" si="15"/>
        <v>0</v>
      </c>
    </row>
    <row r="242" spans="1:27" ht="15" customHeight="1" x14ac:dyDescent="0.25">
      <c r="A242" s="137" t="s">
        <v>528</v>
      </c>
      <c r="B242" s="137" t="s">
        <v>529</v>
      </c>
      <c r="C242" s="137">
        <v>2018</v>
      </c>
      <c r="D242" s="137">
        <v>0.55300000000000005</v>
      </c>
      <c r="E242" s="137">
        <v>5.6529999999999996</v>
      </c>
      <c r="F242" s="137" t="s">
        <v>1015</v>
      </c>
      <c r="G242" s="137">
        <v>0.03</v>
      </c>
      <c r="H242" s="137">
        <v>22</v>
      </c>
      <c r="I242" s="137">
        <v>0</v>
      </c>
      <c r="J242" s="137">
        <v>0</v>
      </c>
      <c r="K242" s="137" t="s">
        <v>193</v>
      </c>
      <c r="L242" s="137" t="s">
        <v>193</v>
      </c>
      <c r="M242" s="137" t="s">
        <v>193</v>
      </c>
      <c r="N242" s="137" t="s">
        <v>193</v>
      </c>
      <c r="O242" s="137" t="s">
        <v>193</v>
      </c>
      <c r="P242" s="137" t="s">
        <v>193</v>
      </c>
      <c r="Q242" s="137" t="s">
        <v>193</v>
      </c>
      <c r="R242" s="137" t="s">
        <v>193</v>
      </c>
      <c r="S242" s="137" t="s">
        <v>193</v>
      </c>
      <c r="T242" s="137" t="s">
        <v>193</v>
      </c>
      <c r="W242" s="12" t="str">
        <f t="shared" si="12"/>
        <v>Ja</v>
      </c>
      <c r="Y242" s="12" t="str">
        <f t="shared" si="13"/>
        <v>Nej</v>
      </c>
      <c r="Z242" s="12">
        <f t="shared" si="14"/>
        <v>0</v>
      </c>
      <c r="AA242" s="12">
        <f t="shared" si="15"/>
        <v>0</v>
      </c>
    </row>
    <row r="243" spans="1:27" ht="15" customHeight="1" x14ac:dyDescent="0.25">
      <c r="A243" s="137" t="s">
        <v>530</v>
      </c>
      <c r="B243" s="137" t="s">
        <v>531</v>
      </c>
      <c r="C243" s="137">
        <v>2018</v>
      </c>
      <c r="D243" s="137">
        <v>1.94</v>
      </c>
      <c r="E243" s="137" t="s">
        <v>193</v>
      </c>
      <c r="F243" s="137" t="s">
        <v>53</v>
      </c>
      <c r="G243" s="137">
        <v>2.2999999999999998</v>
      </c>
      <c r="H243" s="137">
        <v>329.19</v>
      </c>
      <c r="I243" s="137">
        <v>0.43</v>
      </c>
      <c r="J243" s="137">
        <v>0.40550000000000003</v>
      </c>
      <c r="K243" s="137" t="s">
        <v>193</v>
      </c>
      <c r="L243" s="137" t="s">
        <v>193</v>
      </c>
      <c r="M243" s="137" t="s">
        <v>193</v>
      </c>
      <c r="N243" s="137" t="s">
        <v>193</v>
      </c>
      <c r="O243" s="137" t="s">
        <v>193</v>
      </c>
      <c r="P243" s="137" t="s">
        <v>193</v>
      </c>
      <c r="Q243" s="137" t="s">
        <v>193</v>
      </c>
      <c r="R243" s="137" t="s">
        <v>193</v>
      </c>
      <c r="S243" s="137" t="s">
        <v>193</v>
      </c>
      <c r="T243" s="137" t="s">
        <v>193</v>
      </c>
      <c r="W243" s="12" t="str">
        <f t="shared" si="12"/>
        <v>Nej</v>
      </c>
      <c r="Y243" s="12" t="str">
        <f t="shared" si="13"/>
        <v>Nej</v>
      </c>
      <c r="Z243" s="12">
        <f t="shared" si="14"/>
        <v>0</v>
      </c>
      <c r="AA243" s="12">
        <f t="shared" si="15"/>
        <v>0</v>
      </c>
    </row>
    <row r="244" spans="1:27" ht="15" customHeight="1" x14ac:dyDescent="0.25">
      <c r="A244" s="137" t="s">
        <v>532</v>
      </c>
      <c r="B244" s="137" t="s">
        <v>533</v>
      </c>
      <c r="C244" s="137">
        <v>2018</v>
      </c>
      <c r="D244" s="137">
        <v>0.13100000000000001</v>
      </c>
      <c r="E244" s="137" t="s">
        <v>193</v>
      </c>
      <c r="F244" s="137" t="s">
        <v>1016</v>
      </c>
      <c r="G244" s="137">
        <v>0.73</v>
      </c>
      <c r="H244" s="137">
        <v>0</v>
      </c>
      <c r="I244" s="137">
        <v>0</v>
      </c>
      <c r="J244" s="137">
        <v>0</v>
      </c>
      <c r="K244" s="137" t="s">
        <v>193</v>
      </c>
      <c r="L244" s="137" t="s">
        <v>193</v>
      </c>
      <c r="M244" s="137" t="s">
        <v>193</v>
      </c>
      <c r="N244" s="137" t="s">
        <v>193</v>
      </c>
      <c r="O244" s="137" t="s">
        <v>193</v>
      </c>
      <c r="P244" s="137" t="s">
        <v>193</v>
      </c>
      <c r="Q244" s="137" t="s">
        <v>193</v>
      </c>
      <c r="R244" s="137" t="s">
        <v>193</v>
      </c>
      <c r="S244" s="137" t="s">
        <v>193</v>
      </c>
      <c r="T244" s="137" t="s">
        <v>193</v>
      </c>
      <c r="W244" s="12" t="str">
        <f t="shared" si="12"/>
        <v>Ja</v>
      </c>
      <c r="Y244" s="12" t="str">
        <f t="shared" si="13"/>
        <v>Nej</v>
      </c>
      <c r="Z244" s="12">
        <f t="shared" si="14"/>
        <v>0</v>
      </c>
      <c r="AA244" s="12">
        <f t="shared" si="15"/>
        <v>0</v>
      </c>
    </row>
    <row r="245" spans="1:27" ht="15" customHeight="1" x14ac:dyDescent="0.25">
      <c r="A245" s="137" t="s">
        <v>532</v>
      </c>
      <c r="B245" s="137" t="s">
        <v>534</v>
      </c>
      <c r="C245" s="137">
        <v>2018</v>
      </c>
      <c r="D245" s="137">
        <v>0.104</v>
      </c>
      <c r="E245" s="137" t="s">
        <v>193</v>
      </c>
      <c r="F245" s="137" t="s">
        <v>1016</v>
      </c>
      <c r="G245" s="137">
        <v>0.73</v>
      </c>
      <c r="H245" s="137">
        <v>0</v>
      </c>
      <c r="I245" s="137">
        <v>0</v>
      </c>
      <c r="J245" s="137">
        <v>0</v>
      </c>
      <c r="K245" s="137" t="s">
        <v>193</v>
      </c>
      <c r="L245" s="137" t="s">
        <v>193</v>
      </c>
      <c r="M245" s="137" t="s">
        <v>193</v>
      </c>
      <c r="N245" s="137" t="s">
        <v>193</v>
      </c>
      <c r="O245" s="137" t="s">
        <v>193</v>
      </c>
      <c r="P245" s="137" t="s">
        <v>193</v>
      </c>
      <c r="Q245" s="137" t="s">
        <v>193</v>
      </c>
      <c r="R245" s="137" t="s">
        <v>193</v>
      </c>
      <c r="S245" s="137" t="s">
        <v>193</v>
      </c>
      <c r="T245" s="137" t="s">
        <v>193</v>
      </c>
      <c r="W245" s="12" t="str">
        <f t="shared" si="12"/>
        <v>Ja</v>
      </c>
      <c r="Y245" s="12" t="str">
        <f t="shared" si="13"/>
        <v>Nej</v>
      </c>
      <c r="Z245" s="12">
        <f t="shared" si="14"/>
        <v>0</v>
      </c>
      <c r="AA245" s="12">
        <f t="shared" si="15"/>
        <v>0</v>
      </c>
    </row>
    <row r="246" spans="1:27" ht="15" customHeight="1" x14ac:dyDescent="0.25">
      <c r="A246" s="137" t="s">
        <v>532</v>
      </c>
      <c r="B246" s="137" t="s">
        <v>536</v>
      </c>
      <c r="C246" s="137">
        <v>2018</v>
      </c>
      <c r="D246" s="137">
        <v>0.29199999999999998</v>
      </c>
      <c r="E246" s="137" t="s">
        <v>193</v>
      </c>
      <c r="F246" s="137" t="s">
        <v>1016</v>
      </c>
      <c r="G246" s="137">
        <v>0.73</v>
      </c>
      <c r="H246" s="137">
        <v>0</v>
      </c>
      <c r="I246" s="137">
        <v>0</v>
      </c>
      <c r="J246" s="137">
        <v>0</v>
      </c>
      <c r="K246" s="137" t="s">
        <v>193</v>
      </c>
      <c r="L246" s="137" t="s">
        <v>193</v>
      </c>
      <c r="M246" s="137" t="s">
        <v>193</v>
      </c>
      <c r="N246" s="137" t="s">
        <v>193</v>
      </c>
      <c r="O246" s="137" t="s">
        <v>193</v>
      </c>
      <c r="P246" s="137" t="s">
        <v>193</v>
      </c>
      <c r="Q246" s="137" t="s">
        <v>193</v>
      </c>
      <c r="R246" s="137" t="s">
        <v>193</v>
      </c>
      <c r="S246" s="137" t="s">
        <v>193</v>
      </c>
      <c r="T246" s="137" t="s">
        <v>193</v>
      </c>
      <c r="W246" s="12" t="str">
        <f t="shared" si="12"/>
        <v>Ja</v>
      </c>
      <c r="Y246" s="12" t="str">
        <f t="shared" si="13"/>
        <v>Nej</v>
      </c>
      <c r="Z246" s="12">
        <f t="shared" si="14"/>
        <v>0</v>
      </c>
      <c r="AA246" s="12">
        <f t="shared" si="15"/>
        <v>0</v>
      </c>
    </row>
    <row r="247" spans="1:27" ht="15" customHeight="1" x14ac:dyDescent="0.25">
      <c r="A247" s="137" t="s">
        <v>532</v>
      </c>
      <c r="B247" s="137" t="s">
        <v>537</v>
      </c>
      <c r="C247" s="137">
        <v>2018</v>
      </c>
      <c r="D247" s="137">
        <v>0.11</v>
      </c>
      <c r="E247" s="137" t="s">
        <v>193</v>
      </c>
      <c r="F247" s="137" t="s">
        <v>1016</v>
      </c>
      <c r="G247" s="137">
        <v>0.73</v>
      </c>
      <c r="H247" s="137">
        <v>0</v>
      </c>
      <c r="I247" s="137">
        <v>0</v>
      </c>
      <c r="J247" s="137">
        <v>0</v>
      </c>
      <c r="K247" s="137" t="s">
        <v>193</v>
      </c>
      <c r="L247" s="137" t="s">
        <v>193</v>
      </c>
      <c r="M247" s="137" t="s">
        <v>193</v>
      </c>
      <c r="N247" s="137" t="s">
        <v>193</v>
      </c>
      <c r="O247" s="137" t="s">
        <v>193</v>
      </c>
      <c r="P247" s="137" t="s">
        <v>193</v>
      </c>
      <c r="Q247" s="137" t="s">
        <v>193</v>
      </c>
      <c r="R247" s="137" t="s">
        <v>193</v>
      </c>
      <c r="S247" s="137" t="s">
        <v>193</v>
      </c>
      <c r="T247" s="137" t="s">
        <v>193</v>
      </c>
      <c r="W247" s="12" t="str">
        <f t="shared" si="12"/>
        <v>Ja</v>
      </c>
      <c r="Y247" s="12" t="str">
        <f t="shared" si="13"/>
        <v>Nej</v>
      </c>
      <c r="Z247" s="12">
        <f t="shared" si="14"/>
        <v>0</v>
      </c>
      <c r="AA247" s="12">
        <f t="shared" si="15"/>
        <v>0</v>
      </c>
    </row>
    <row r="248" spans="1:27" ht="15" customHeight="1" x14ac:dyDescent="0.25">
      <c r="A248" s="137" t="s">
        <v>532</v>
      </c>
      <c r="B248" s="137" t="s">
        <v>538</v>
      </c>
      <c r="C248" s="137">
        <v>2018</v>
      </c>
      <c r="D248" s="137">
        <v>0.14099999999999999</v>
      </c>
      <c r="E248" s="137" t="s">
        <v>193</v>
      </c>
      <c r="F248" s="137" t="s">
        <v>1016</v>
      </c>
      <c r="G248" s="137">
        <v>0.73</v>
      </c>
      <c r="H248" s="137">
        <v>0</v>
      </c>
      <c r="I248" s="137">
        <v>0</v>
      </c>
      <c r="J248" s="137">
        <v>0</v>
      </c>
      <c r="K248" s="137" t="s">
        <v>193</v>
      </c>
      <c r="L248" s="137" t="s">
        <v>193</v>
      </c>
      <c r="M248" s="137" t="s">
        <v>193</v>
      </c>
      <c r="N248" s="137" t="s">
        <v>193</v>
      </c>
      <c r="O248" s="137" t="s">
        <v>193</v>
      </c>
      <c r="P248" s="137" t="s">
        <v>193</v>
      </c>
      <c r="Q248" s="137" t="s">
        <v>193</v>
      </c>
      <c r="R248" s="137" t="s">
        <v>193</v>
      </c>
      <c r="S248" s="137" t="s">
        <v>193</v>
      </c>
      <c r="T248" s="137" t="s">
        <v>193</v>
      </c>
      <c r="W248" s="12" t="str">
        <f t="shared" si="12"/>
        <v>Ja</v>
      </c>
      <c r="Y248" s="12" t="str">
        <f t="shared" si="13"/>
        <v>Nej</v>
      </c>
      <c r="Z248" s="12">
        <f t="shared" si="14"/>
        <v>0</v>
      </c>
      <c r="AA248" s="12">
        <f t="shared" si="15"/>
        <v>0</v>
      </c>
    </row>
    <row r="249" spans="1:27" ht="15" customHeight="1" x14ac:dyDescent="0.25">
      <c r="A249" s="137" t="s">
        <v>532</v>
      </c>
      <c r="B249" s="137" t="s">
        <v>539</v>
      </c>
      <c r="C249" s="137">
        <v>2018</v>
      </c>
      <c r="D249" s="137" t="s">
        <v>193</v>
      </c>
      <c r="E249" s="137" t="s">
        <v>193</v>
      </c>
      <c r="F249" s="137" t="s">
        <v>53</v>
      </c>
      <c r="G249" s="137">
        <v>2.2999999999999998</v>
      </c>
      <c r="H249" s="137">
        <v>329.19</v>
      </c>
      <c r="I249" s="137">
        <v>0.43</v>
      </c>
      <c r="J249" s="137">
        <v>0.40550000000000003</v>
      </c>
      <c r="K249" s="137" t="s">
        <v>193</v>
      </c>
      <c r="L249" s="137" t="s">
        <v>193</v>
      </c>
      <c r="M249" s="137" t="s">
        <v>193</v>
      </c>
      <c r="N249" s="137" t="s">
        <v>193</v>
      </c>
      <c r="O249" s="137" t="s">
        <v>193</v>
      </c>
      <c r="P249" s="137" t="s">
        <v>193</v>
      </c>
      <c r="Q249" s="137" t="s">
        <v>193</v>
      </c>
      <c r="R249" s="137" t="s">
        <v>193</v>
      </c>
      <c r="S249" s="137" t="s">
        <v>193</v>
      </c>
      <c r="T249" s="137" t="s">
        <v>193</v>
      </c>
      <c r="W249" s="12" t="str">
        <f t="shared" si="12"/>
        <v>Nej</v>
      </c>
      <c r="Y249" s="12" t="str">
        <f t="shared" si="13"/>
        <v>Nej</v>
      </c>
      <c r="Z249" s="12">
        <f t="shared" si="14"/>
        <v>0</v>
      </c>
      <c r="AA249" s="12">
        <f t="shared" si="15"/>
        <v>0</v>
      </c>
    </row>
    <row r="250" spans="1:27" ht="15" customHeight="1" x14ac:dyDescent="0.25">
      <c r="A250" s="137" t="s">
        <v>532</v>
      </c>
      <c r="B250" s="137" t="s">
        <v>540</v>
      </c>
      <c r="C250" s="137">
        <v>2018</v>
      </c>
      <c r="D250" s="137">
        <v>6.9000000000000006E-2</v>
      </c>
      <c r="E250" s="137" t="s">
        <v>193</v>
      </c>
      <c r="F250" s="137" t="s">
        <v>1016</v>
      </c>
      <c r="G250" s="137">
        <v>0.73</v>
      </c>
      <c r="H250" s="137">
        <v>0</v>
      </c>
      <c r="I250" s="137">
        <v>0</v>
      </c>
      <c r="J250" s="137">
        <v>0</v>
      </c>
      <c r="K250" s="137" t="s">
        <v>193</v>
      </c>
      <c r="L250" s="137" t="s">
        <v>193</v>
      </c>
      <c r="M250" s="137" t="s">
        <v>193</v>
      </c>
      <c r="N250" s="137" t="s">
        <v>193</v>
      </c>
      <c r="O250" s="137" t="s">
        <v>193</v>
      </c>
      <c r="P250" s="137" t="s">
        <v>193</v>
      </c>
      <c r="Q250" s="137" t="s">
        <v>193</v>
      </c>
      <c r="R250" s="137" t="s">
        <v>193</v>
      </c>
      <c r="S250" s="137" t="s">
        <v>193</v>
      </c>
      <c r="T250" s="137" t="s">
        <v>193</v>
      </c>
      <c r="W250" s="12" t="str">
        <f t="shared" si="12"/>
        <v>Ja</v>
      </c>
      <c r="Y250" s="12" t="str">
        <f t="shared" si="13"/>
        <v>Nej</v>
      </c>
      <c r="Z250" s="12">
        <f t="shared" si="14"/>
        <v>0</v>
      </c>
      <c r="AA250" s="12">
        <f t="shared" si="15"/>
        <v>0</v>
      </c>
    </row>
    <row r="251" spans="1:27" ht="15" customHeight="1" x14ac:dyDescent="0.25">
      <c r="A251" s="137" t="s">
        <v>532</v>
      </c>
      <c r="B251" s="137" t="s">
        <v>541</v>
      </c>
      <c r="C251" s="137">
        <v>2018</v>
      </c>
      <c r="D251" s="137">
        <v>3.2000000000000001E-2</v>
      </c>
      <c r="E251" s="137" t="s">
        <v>193</v>
      </c>
      <c r="F251" s="137" t="s">
        <v>1016</v>
      </c>
      <c r="G251" s="137">
        <v>0.73</v>
      </c>
      <c r="H251" s="137">
        <v>0</v>
      </c>
      <c r="I251" s="137">
        <v>0</v>
      </c>
      <c r="J251" s="137">
        <v>0</v>
      </c>
      <c r="K251" s="137" t="s">
        <v>193</v>
      </c>
      <c r="L251" s="137" t="s">
        <v>193</v>
      </c>
      <c r="M251" s="137" t="s">
        <v>193</v>
      </c>
      <c r="N251" s="137" t="s">
        <v>193</v>
      </c>
      <c r="O251" s="137" t="s">
        <v>193</v>
      </c>
      <c r="P251" s="137" t="s">
        <v>193</v>
      </c>
      <c r="Q251" s="137" t="s">
        <v>193</v>
      </c>
      <c r="R251" s="137" t="s">
        <v>193</v>
      </c>
      <c r="S251" s="137" t="s">
        <v>193</v>
      </c>
      <c r="T251" s="137" t="s">
        <v>193</v>
      </c>
      <c r="W251" s="12" t="str">
        <f t="shared" si="12"/>
        <v>Ja</v>
      </c>
      <c r="Y251" s="12" t="str">
        <f t="shared" si="13"/>
        <v>Nej</v>
      </c>
      <c r="Z251" s="12">
        <f t="shared" si="14"/>
        <v>0</v>
      </c>
      <c r="AA251" s="12">
        <f t="shared" si="15"/>
        <v>0</v>
      </c>
    </row>
    <row r="252" spans="1:27" ht="15" customHeight="1" x14ac:dyDescent="0.25">
      <c r="A252" s="137" t="s">
        <v>532</v>
      </c>
      <c r="B252" s="137" t="s">
        <v>542</v>
      </c>
      <c r="C252" s="137">
        <v>2018</v>
      </c>
      <c r="D252" s="137">
        <v>0.73680760000000001</v>
      </c>
      <c r="E252" s="137">
        <v>6.5747466000000001</v>
      </c>
      <c r="F252" s="137" t="s">
        <v>1017</v>
      </c>
      <c r="G252" s="137">
        <v>0.38</v>
      </c>
      <c r="H252" s="137">
        <v>0</v>
      </c>
      <c r="I252" s="137">
        <v>0</v>
      </c>
      <c r="J252" s="137">
        <v>0</v>
      </c>
      <c r="K252" s="137" t="s">
        <v>193</v>
      </c>
      <c r="L252" s="137" t="s">
        <v>193</v>
      </c>
      <c r="M252" s="137" t="s">
        <v>193</v>
      </c>
      <c r="N252" s="137" t="s">
        <v>193</v>
      </c>
      <c r="O252" s="137" t="s">
        <v>193</v>
      </c>
      <c r="P252" s="137" t="s">
        <v>193</v>
      </c>
      <c r="Q252" s="137" t="s">
        <v>193</v>
      </c>
      <c r="R252" s="137" t="s">
        <v>193</v>
      </c>
      <c r="S252" s="137" t="s">
        <v>193</v>
      </c>
      <c r="T252" s="137" t="s">
        <v>193</v>
      </c>
      <c r="W252" s="12" t="str">
        <f t="shared" si="12"/>
        <v>Ja</v>
      </c>
      <c r="Y252" s="12" t="str">
        <f t="shared" si="13"/>
        <v>Nej</v>
      </c>
      <c r="Z252" s="12">
        <f t="shared" si="14"/>
        <v>0</v>
      </c>
      <c r="AA252" s="12">
        <f t="shared" si="15"/>
        <v>0</v>
      </c>
    </row>
    <row r="253" spans="1:27" ht="15" customHeight="1" x14ac:dyDescent="0.25">
      <c r="A253" s="137" t="s">
        <v>532</v>
      </c>
      <c r="B253" s="137" t="s">
        <v>543</v>
      </c>
      <c r="C253" s="137">
        <v>2018</v>
      </c>
      <c r="D253" s="137">
        <v>4.7E-2</v>
      </c>
      <c r="E253" s="137" t="s">
        <v>193</v>
      </c>
      <c r="F253" s="137" t="s">
        <v>1016</v>
      </c>
      <c r="G253" s="137">
        <v>0.73</v>
      </c>
      <c r="H253" s="137">
        <v>0</v>
      </c>
      <c r="I253" s="137">
        <v>0</v>
      </c>
      <c r="J253" s="137">
        <v>0</v>
      </c>
      <c r="K253" s="137" t="s">
        <v>193</v>
      </c>
      <c r="L253" s="137" t="s">
        <v>193</v>
      </c>
      <c r="M253" s="137" t="s">
        <v>193</v>
      </c>
      <c r="N253" s="137" t="s">
        <v>193</v>
      </c>
      <c r="O253" s="137" t="s">
        <v>193</v>
      </c>
      <c r="P253" s="137" t="s">
        <v>193</v>
      </c>
      <c r="Q253" s="137" t="s">
        <v>193</v>
      </c>
      <c r="R253" s="137" t="s">
        <v>193</v>
      </c>
      <c r="S253" s="137" t="s">
        <v>193</v>
      </c>
      <c r="T253" s="137" t="s">
        <v>193</v>
      </c>
      <c r="W253" s="12" t="str">
        <f t="shared" si="12"/>
        <v>Ja</v>
      </c>
      <c r="Y253" s="12" t="str">
        <f t="shared" si="13"/>
        <v>Nej</v>
      </c>
      <c r="Z253" s="12">
        <f t="shared" si="14"/>
        <v>0</v>
      </c>
      <c r="AA253" s="12">
        <f t="shared" si="15"/>
        <v>0</v>
      </c>
    </row>
    <row r="254" spans="1:27" ht="15" customHeight="1" x14ac:dyDescent="0.25">
      <c r="A254" s="137" t="s">
        <v>532</v>
      </c>
      <c r="B254" s="137" t="s">
        <v>544</v>
      </c>
      <c r="C254" s="137">
        <v>2018</v>
      </c>
      <c r="D254" s="137">
        <v>9.1999999999999998E-2</v>
      </c>
      <c r="E254" s="137">
        <v>4.4834586999999999</v>
      </c>
      <c r="F254" s="137" t="s">
        <v>1017</v>
      </c>
      <c r="G254" s="137">
        <v>0.13</v>
      </c>
      <c r="H254" s="137">
        <v>0</v>
      </c>
      <c r="I254" s="137">
        <v>0</v>
      </c>
      <c r="J254" s="137">
        <v>0</v>
      </c>
      <c r="K254" s="137" t="s">
        <v>193</v>
      </c>
      <c r="L254" s="137" t="s">
        <v>193</v>
      </c>
      <c r="M254" s="137" t="s">
        <v>193</v>
      </c>
      <c r="N254" s="137" t="s">
        <v>193</v>
      </c>
      <c r="O254" s="137" t="s">
        <v>193</v>
      </c>
      <c r="P254" s="137" t="s">
        <v>193</v>
      </c>
      <c r="Q254" s="137" t="s">
        <v>193</v>
      </c>
      <c r="R254" s="137" t="s">
        <v>193</v>
      </c>
      <c r="S254" s="137" t="s">
        <v>193</v>
      </c>
      <c r="T254" s="137" t="s">
        <v>193</v>
      </c>
      <c r="W254" s="12" t="str">
        <f t="shared" si="12"/>
        <v>Ja</v>
      </c>
      <c r="Y254" s="12" t="str">
        <f t="shared" si="13"/>
        <v>Nej</v>
      </c>
      <c r="Z254" s="12">
        <f t="shared" si="14"/>
        <v>0</v>
      </c>
      <c r="AA254" s="12">
        <f t="shared" si="15"/>
        <v>0</v>
      </c>
    </row>
    <row r="255" spans="1:27" ht="15" customHeight="1" x14ac:dyDescent="0.25">
      <c r="A255" s="137" t="s">
        <v>532</v>
      </c>
      <c r="B255" s="137" t="s">
        <v>545</v>
      </c>
      <c r="C255" s="137">
        <v>2018</v>
      </c>
      <c r="D255" s="137">
        <v>0.14699999999999999</v>
      </c>
      <c r="E255" s="137" t="s">
        <v>193</v>
      </c>
      <c r="F255" s="137" t="s">
        <v>1016</v>
      </c>
      <c r="G255" s="137">
        <v>0.73</v>
      </c>
      <c r="H255" s="137">
        <v>0</v>
      </c>
      <c r="I255" s="137">
        <v>0</v>
      </c>
      <c r="J255" s="137">
        <v>0</v>
      </c>
      <c r="K255" s="137" t="s">
        <v>193</v>
      </c>
      <c r="L255" s="137" t="s">
        <v>193</v>
      </c>
      <c r="M255" s="137" t="s">
        <v>193</v>
      </c>
      <c r="N255" s="137" t="s">
        <v>193</v>
      </c>
      <c r="O255" s="137" t="s">
        <v>193</v>
      </c>
      <c r="P255" s="137" t="s">
        <v>193</v>
      </c>
      <c r="Q255" s="137" t="s">
        <v>193</v>
      </c>
      <c r="R255" s="137" t="s">
        <v>193</v>
      </c>
      <c r="S255" s="137" t="s">
        <v>193</v>
      </c>
      <c r="T255" s="137" t="s">
        <v>193</v>
      </c>
      <c r="W255" s="12" t="str">
        <f t="shared" si="12"/>
        <v>Ja</v>
      </c>
      <c r="Y255" s="12" t="str">
        <f t="shared" si="13"/>
        <v>Nej</v>
      </c>
      <c r="Z255" s="12">
        <f t="shared" si="14"/>
        <v>0</v>
      </c>
      <c r="AA255" s="12">
        <f t="shared" si="15"/>
        <v>0</v>
      </c>
    </row>
    <row r="256" spans="1:27" ht="15" customHeight="1" x14ac:dyDescent="0.25">
      <c r="A256" s="137" t="s">
        <v>532</v>
      </c>
      <c r="B256" s="137" t="s">
        <v>546</v>
      </c>
      <c r="C256" s="137">
        <v>2018</v>
      </c>
      <c r="D256" s="137">
        <v>0.114</v>
      </c>
      <c r="E256" s="137" t="s">
        <v>193</v>
      </c>
      <c r="F256" s="137" t="s">
        <v>1016</v>
      </c>
      <c r="G256" s="137">
        <v>0.73</v>
      </c>
      <c r="H256" s="137">
        <v>0</v>
      </c>
      <c r="I256" s="137">
        <v>0</v>
      </c>
      <c r="J256" s="137">
        <v>0</v>
      </c>
      <c r="K256" s="137" t="s">
        <v>193</v>
      </c>
      <c r="L256" s="137" t="s">
        <v>193</v>
      </c>
      <c r="M256" s="137" t="s">
        <v>193</v>
      </c>
      <c r="N256" s="137" t="s">
        <v>193</v>
      </c>
      <c r="O256" s="137" t="s">
        <v>193</v>
      </c>
      <c r="P256" s="137" t="s">
        <v>193</v>
      </c>
      <c r="Q256" s="137" t="s">
        <v>193</v>
      </c>
      <c r="R256" s="137" t="s">
        <v>193</v>
      </c>
      <c r="S256" s="137" t="s">
        <v>193</v>
      </c>
      <c r="T256" s="137" t="s">
        <v>193</v>
      </c>
      <c r="W256" s="12" t="str">
        <f t="shared" si="12"/>
        <v>Ja</v>
      </c>
      <c r="Y256" s="12" t="str">
        <f t="shared" si="13"/>
        <v>Nej</v>
      </c>
      <c r="Z256" s="12">
        <f t="shared" si="14"/>
        <v>0</v>
      </c>
      <c r="AA256" s="12">
        <f t="shared" si="15"/>
        <v>0</v>
      </c>
    </row>
    <row r="257" spans="1:27" ht="15" customHeight="1" x14ac:dyDescent="0.25">
      <c r="A257" s="137" t="s">
        <v>532</v>
      </c>
      <c r="B257" s="137" t="s">
        <v>547</v>
      </c>
      <c r="C257" s="137">
        <v>2018</v>
      </c>
      <c r="D257" s="137">
        <v>4.9339339999999998</v>
      </c>
      <c r="E257" s="137">
        <v>18.216999999999999</v>
      </c>
      <c r="F257" s="137" t="s">
        <v>1017</v>
      </c>
      <c r="G257" s="137">
        <v>0.42</v>
      </c>
      <c r="H257" s="137">
        <v>0</v>
      </c>
      <c r="I257" s="137">
        <v>0</v>
      </c>
      <c r="J257" s="137">
        <v>0</v>
      </c>
      <c r="K257" s="137" t="s">
        <v>193</v>
      </c>
      <c r="L257" s="137" t="s">
        <v>193</v>
      </c>
      <c r="M257" s="137" t="s">
        <v>193</v>
      </c>
      <c r="N257" s="137" t="s">
        <v>193</v>
      </c>
      <c r="O257" s="137" t="s">
        <v>193</v>
      </c>
      <c r="P257" s="137" t="s">
        <v>193</v>
      </c>
      <c r="Q257" s="137" t="s">
        <v>193</v>
      </c>
      <c r="R257" s="137" t="s">
        <v>193</v>
      </c>
      <c r="S257" s="137" t="s">
        <v>193</v>
      </c>
      <c r="T257" s="137" t="s">
        <v>193</v>
      </c>
      <c r="W257" s="12" t="str">
        <f t="shared" si="12"/>
        <v>Ja</v>
      </c>
      <c r="Y257" s="12" t="str">
        <f t="shared" si="13"/>
        <v>Nej</v>
      </c>
      <c r="Z257" s="12">
        <f t="shared" si="14"/>
        <v>0</v>
      </c>
      <c r="AA257" s="12">
        <f t="shared" si="15"/>
        <v>0</v>
      </c>
    </row>
    <row r="258" spans="1:27" ht="15" customHeight="1" x14ac:dyDescent="0.25">
      <c r="A258" s="137" t="s">
        <v>532</v>
      </c>
      <c r="B258" s="137" t="s">
        <v>548</v>
      </c>
      <c r="C258" s="137">
        <v>2018</v>
      </c>
      <c r="D258" s="137">
        <v>0.69899999999999995</v>
      </c>
      <c r="E258" s="137" t="s">
        <v>193</v>
      </c>
      <c r="F258" s="137" t="s">
        <v>1016</v>
      </c>
      <c r="G258" s="137">
        <v>0.73</v>
      </c>
      <c r="H258" s="137">
        <v>0</v>
      </c>
      <c r="I258" s="137">
        <v>0</v>
      </c>
      <c r="J258" s="137">
        <v>0</v>
      </c>
      <c r="K258" s="137" t="s">
        <v>193</v>
      </c>
      <c r="L258" s="137" t="s">
        <v>193</v>
      </c>
      <c r="M258" s="137" t="s">
        <v>193</v>
      </c>
      <c r="N258" s="137" t="s">
        <v>193</v>
      </c>
      <c r="O258" s="137" t="s">
        <v>193</v>
      </c>
      <c r="P258" s="137" t="s">
        <v>193</v>
      </c>
      <c r="Q258" s="137" t="s">
        <v>193</v>
      </c>
      <c r="R258" s="137" t="s">
        <v>193</v>
      </c>
      <c r="S258" s="137" t="s">
        <v>193</v>
      </c>
      <c r="T258" s="137" t="s">
        <v>193</v>
      </c>
      <c r="W258" s="12" t="str">
        <f t="shared" ref="W258:W321" si="16">IF(OR(AND(G258&lt;&gt;$AD$3,G258&lt;&gt;"-"),AND(H258&lt;&gt;$AD$4,H258&lt;&gt;"-"),AND(I258&lt;&gt;$AD$5,I258&lt;&gt;"-"),AND(J258&lt;&gt;$AD$6,J258&lt;&gt;"-")),"Ja","Nej")</f>
        <v>Ja</v>
      </c>
      <c r="Y258" s="12" t="str">
        <f t="shared" ref="Y258:Y321" si="17">IF(ISERROR(1/K258),"Nej","Ja")</f>
        <v>Nej</v>
      </c>
      <c r="Z258" s="12">
        <f t="shared" ref="Z258:Z321" si="18">IF(Y258="nej",0,K258)</f>
        <v>0</v>
      </c>
      <c r="AA258" s="12">
        <f t="shared" ref="AA258:AA321" si="19">IF(Y258="nej",0,O258/100)</f>
        <v>0</v>
      </c>
    </row>
    <row r="259" spans="1:27" ht="15" customHeight="1" x14ac:dyDescent="0.25">
      <c r="A259" s="137" t="s">
        <v>532</v>
      </c>
      <c r="B259" s="137" t="s">
        <v>549</v>
      </c>
      <c r="C259" s="137">
        <v>2018</v>
      </c>
      <c r="D259" s="137">
        <v>1.0999999999999999E-2</v>
      </c>
      <c r="E259" s="137" t="s">
        <v>193</v>
      </c>
      <c r="F259" s="137" t="s">
        <v>1016</v>
      </c>
      <c r="G259" s="137">
        <v>0.73</v>
      </c>
      <c r="H259" s="137">
        <v>0</v>
      </c>
      <c r="I259" s="137">
        <v>0</v>
      </c>
      <c r="J259" s="137">
        <v>0</v>
      </c>
      <c r="K259" s="137" t="s">
        <v>193</v>
      </c>
      <c r="L259" s="137" t="s">
        <v>193</v>
      </c>
      <c r="M259" s="137" t="s">
        <v>193</v>
      </c>
      <c r="N259" s="137" t="s">
        <v>193</v>
      </c>
      <c r="O259" s="137" t="s">
        <v>193</v>
      </c>
      <c r="P259" s="137" t="s">
        <v>193</v>
      </c>
      <c r="Q259" s="137" t="s">
        <v>193</v>
      </c>
      <c r="R259" s="137" t="s">
        <v>193</v>
      </c>
      <c r="S259" s="137" t="s">
        <v>193</v>
      </c>
      <c r="T259" s="137" t="s">
        <v>193</v>
      </c>
      <c r="W259" s="12" t="str">
        <f t="shared" si="16"/>
        <v>Ja</v>
      </c>
      <c r="Y259" s="12" t="str">
        <f t="shared" si="17"/>
        <v>Nej</v>
      </c>
      <c r="Z259" s="12">
        <f t="shared" si="18"/>
        <v>0</v>
      </c>
      <c r="AA259" s="12">
        <f t="shared" si="19"/>
        <v>0</v>
      </c>
    </row>
    <row r="260" spans="1:27" ht="15" customHeight="1" x14ac:dyDescent="0.25">
      <c r="A260" s="137" t="s">
        <v>532</v>
      </c>
      <c r="B260" s="137" t="s">
        <v>550</v>
      </c>
      <c r="C260" s="137">
        <v>2018</v>
      </c>
      <c r="D260" s="137">
        <v>0.161</v>
      </c>
      <c r="E260" s="137" t="s">
        <v>193</v>
      </c>
      <c r="F260" s="137" t="s">
        <v>1016</v>
      </c>
      <c r="G260" s="137">
        <v>0.73</v>
      </c>
      <c r="H260" s="137">
        <v>0</v>
      </c>
      <c r="I260" s="137">
        <v>0</v>
      </c>
      <c r="J260" s="137">
        <v>0</v>
      </c>
      <c r="K260" s="137" t="s">
        <v>193</v>
      </c>
      <c r="L260" s="137" t="s">
        <v>193</v>
      </c>
      <c r="M260" s="137" t="s">
        <v>193</v>
      </c>
      <c r="N260" s="137" t="s">
        <v>193</v>
      </c>
      <c r="O260" s="137" t="s">
        <v>193</v>
      </c>
      <c r="P260" s="137" t="s">
        <v>193</v>
      </c>
      <c r="Q260" s="137" t="s">
        <v>193</v>
      </c>
      <c r="R260" s="137" t="s">
        <v>193</v>
      </c>
      <c r="S260" s="137" t="s">
        <v>193</v>
      </c>
      <c r="T260" s="137" t="s">
        <v>193</v>
      </c>
      <c r="W260" s="12" t="str">
        <f t="shared" si="16"/>
        <v>Ja</v>
      </c>
      <c r="Y260" s="12" t="str">
        <f t="shared" si="17"/>
        <v>Nej</v>
      </c>
      <c r="Z260" s="12">
        <f t="shared" si="18"/>
        <v>0</v>
      </c>
      <c r="AA260" s="12">
        <f t="shared" si="19"/>
        <v>0</v>
      </c>
    </row>
    <row r="261" spans="1:27" ht="15" customHeight="1" x14ac:dyDescent="0.25">
      <c r="A261" s="137" t="s">
        <v>532</v>
      </c>
      <c r="B261" s="137" t="s">
        <v>551</v>
      </c>
      <c r="C261" s="137">
        <v>2018</v>
      </c>
      <c r="D261" s="137">
        <v>5.5E-2</v>
      </c>
      <c r="E261" s="137" t="s">
        <v>193</v>
      </c>
      <c r="F261" s="137" t="s">
        <v>1016</v>
      </c>
      <c r="G261" s="137">
        <v>0.73</v>
      </c>
      <c r="H261" s="137">
        <v>0</v>
      </c>
      <c r="I261" s="137">
        <v>0</v>
      </c>
      <c r="J261" s="137">
        <v>0</v>
      </c>
      <c r="K261" s="137" t="s">
        <v>193</v>
      </c>
      <c r="L261" s="137" t="s">
        <v>193</v>
      </c>
      <c r="M261" s="137" t="s">
        <v>193</v>
      </c>
      <c r="N261" s="137" t="s">
        <v>193</v>
      </c>
      <c r="O261" s="137" t="s">
        <v>193</v>
      </c>
      <c r="P261" s="137" t="s">
        <v>193</v>
      </c>
      <c r="Q261" s="137" t="s">
        <v>193</v>
      </c>
      <c r="R261" s="137" t="s">
        <v>193</v>
      </c>
      <c r="S261" s="137" t="s">
        <v>193</v>
      </c>
      <c r="T261" s="137" t="s">
        <v>193</v>
      </c>
      <c r="W261" s="12" t="str">
        <f t="shared" si="16"/>
        <v>Ja</v>
      </c>
      <c r="Y261" s="12" t="str">
        <f t="shared" si="17"/>
        <v>Nej</v>
      </c>
      <c r="Z261" s="12">
        <f t="shared" si="18"/>
        <v>0</v>
      </c>
      <c r="AA261" s="12">
        <f t="shared" si="19"/>
        <v>0</v>
      </c>
    </row>
    <row r="262" spans="1:27" ht="15" customHeight="1" x14ac:dyDescent="0.25">
      <c r="A262" s="137" t="s">
        <v>552</v>
      </c>
      <c r="B262" s="137" t="s">
        <v>553</v>
      </c>
      <c r="C262" s="137">
        <v>2018</v>
      </c>
      <c r="D262" s="137">
        <v>0.1</v>
      </c>
      <c r="E262" s="137" t="s">
        <v>193</v>
      </c>
      <c r="F262" s="137" t="s">
        <v>1018</v>
      </c>
      <c r="G262" s="137">
        <v>1.1000000000000001</v>
      </c>
      <c r="H262" s="137">
        <v>0</v>
      </c>
      <c r="I262" s="137">
        <v>0</v>
      </c>
      <c r="J262" s="137">
        <v>0</v>
      </c>
      <c r="K262" s="137" t="s">
        <v>193</v>
      </c>
      <c r="L262" s="137" t="s">
        <v>193</v>
      </c>
      <c r="M262" s="137" t="s">
        <v>193</v>
      </c>
      <c r="N262" s="137" t="s">
        <v>193</v>
      </c>
      <c r="O262" s="137" t="s">
        <v>193</v>
      </c>
      <c r="P262" s="137" t="s">
        <v>193</v>
      </c>
      <c r="Q262" s="137" t="s">
        <v>193</v>
      </c>
      <c r="R262" s="137" t="s">
        <v>193</v>
      </c>
      <c r="S262" s="137" t="s">
        <v>193</v>
      </c>
      <c r="T262" s="137" t="s">
        <v>193</v>
      </c>
      <c r="W262" s="12" t="str">
        <f t="shared" si="16"/>
        <v>Ja</v>
      </c>
      <c r="Y262" s="12" t="str">
        <f t="shared" si="17"/>
        <v>Nej</v>
      </c>
      <c r="Z262" s="12">
        <f t="shared" si="18"/>
        <v>0</v>
      </c>
      <c r="AA262" s="12">
        <f t="shared" si="19"/>
        <v>0</v>
      </c>
    </row>
    <row r="263" spans="1:27" ht="15" customHeight="1" x14ac:dyDescent="0.25">
      <c r="A263" s="137" t="s">
        <v>552</v>
      </c>
      <c r="B263" s="137" t="s">
        <v>554</v>
      </c>
      <c r="C263" s="137">
        <v>2018</v>
      </c>
      <c r="D263" s="137">
        <v>4.5999999999999996</v>
      </c>
      <c r="E263" s="137">
        <v>11.5</v>
      </c>
      <c r="F263" s="137" t="s">
        <v>1018</v>
      </c>
      <c r="G263" s="137">
        <v>1.1000000000000001</v>
      </c>
      <c r="H263" s="137">
        <v>0</v>
      </c>
      <c r="I263" s="137">
        <v>0</v>
      </c>
      <c r="J263" s="137">
        <v>0</v>
      </c>
      <c r="K263" s="137" t="s">
        <v>193</v>
      </c>
      <c r="L263" s="137" t="s">
        <v>193</v>
      </c>
      <c r="M263" s="137" t="s">
        <v>193</v>
      </c>
      <c r="N263" s="137" t="s">
        <v>193</v>
      </c>
      <c r="O263" s="137" t="s">
        <v>193</v>
      </c>
      <c r="P263" s="137">
        <v>1.1919999999999999</v>
      </c>
      <c r="Q263" s="137">
        <v>0.04</v>
      </c>
      <c r="R263" s="137">
        <v>6</v>
      </c>
      <c r="S263" s="137">
        <v>4</v>
      </c>
      <c r="T263" s="137">
        <v>0</v>
      </c>
      <c r="W263" s="12" t="str">
        <f t="shared" si="16"/>
        <v>Ja</v>
      </c>
      <c r="Y263" s="12" t="str">
        <f t="shared" si="17"/>
        <v>Nej</v>
      </c>
      <c r="Z263" s="12">
        <f t="shared" si="18"/>
        <v>0</v>
      </c>
      <c r="AA263" s="12">
        <f t="shared" si="19"/>
        <v>0</v>
      </c>
    </row>
    <row r="264" spans="1:27" ht="15" customHeight="1" x14ac:dyDescent="0.25">
      <c r="A264" s="137" t="s">
        <v>552</v>
      </c>
      <c r="B264" s="137" t="s">
        <v>555</v>
      </c>
      <c r="C264" s="137">
        <v>2018</v>
      </c>
      <c r="D264" s="137">
        <v>0.06</v>
      </c>
      <c r="E264" s="137" t="s">
        <v>193</v>
      </c>
      <c r="F264" s="137" t="s">
        <v>1018</v>
      </c>
      <c r="G264" s="137">
        <v>1.1000000000000001</v>
      </c>
      <c r="H264" s="137">
        <v>0</v>
      </c>
      <c r="I264" s="137">
        <v>0</v>
      </c>
      <c r="J264" s="137">
        <v>0</v>
      </c>
      <c r="K264" s="137" t="s">
        <v>193</v>
      </c>
      <c r="L264" s="137" t="s">
        <v>193</v>
      </c>
      <c r="M264" s="137" t="s">
        <v>193</v>
      </c>
      <c r="N264" s="137" t="s">
        <v>193</v>
      </c>
      <c r="O264" s="137" t="s">
        <v>193</v>
      </c>
      <c r="P264" s="137" t="s">
        <v>193</v>
      </c>
      <c r="Q264" s="137" t="s">
        <v>193</v>
      </c>
      <c r="R264" s="137" t="s">
        <v>193</v>
      </c>
      <c r="S264" s="137" t="s">
        <v>193</v>
      </c>
      <c r="T264" s="137" t="s">
        <v>193</v>
      </c>
      <c r="W264" s="12" t="str">
        <f t="shared" si="16"/>
        <v>Ja</v>
      </c>
      <c r="Y264" s="12" t="str">
        <f t="shared" si="17"/>
        <v>Nej</v>
      </c>
      <c r="Z264" s="12">
        <f t="shared" si="18"/>
        <v>0</v>
      </c>
      <c r="AA264" s="12">
        <f t="shared" si="19"/>
        <v>0</v>
      </c>
    </row>
    <row r="265" spans="1:27" ht="15" customHeight="1" x14ac:dyDescent="0.25">
      <c r="A265" s="137" t="s">
        <v>552</v>
      </c>
      <c r="B265" s="137" t="s">
        <v>556</v>
      </c>
      <c r="C265" s="137">
        <v>2018</v>
      </c>
      <c r="D265" s="137">
        <v>2.4E-2</v>
      </c>
      <c r="E265" s="137" t="s">
        <v>193</v>
      </c>
      <c r="F265" s="137" t="s">
        <v>1019</v>
      </c>
      <c r="G265" s="137">
        <v>1.1000000000000001</v>
      </c>
      <c r="H265" s="137">
        <v>0</v>
      </c>
      <c r="I265" s="137">
        <v>0</v>
      </c>
      <c r="J265" s="137">
        <v>0</v>
      </c>
      <c r="K265" s="137" t="s">
        <v>193</v>
      </c>
      <c r="L265" s="137" t="s">
        <v>193</v>
      </c>
      <c r="M265" s="137" t="s">
        <v>193</v>
      </c>
      <c r="N265" s="137" t="s">
        <v>193</v>
      </c>
      <c r="O265" s="137" t="s">
        <v>193</v>
      </c>
      <c r="P265" s="137" t="s">
        <v>193</v>
      </c>
      <c r="Q265" s="137" t="s">
        <v>193</v>
      </c>
      <c r="R265" s="137" t="s">
        <v>193</v>
      </c>
      <c r="S265" s="137" t="s">
        <v>193</v>
      </c>
      <c r="T265" s="137" t="s">
        <v>193</v>
      </c>
      <c r="W265" s="12" t="str">
        <f t="shared" si="16"/>
        <v>Ja</v>
      </c>
      <c r="Y265" s="12" t="str">
        <f t="shared" si="17"/>
        <v>Nej</v>
      </c>
      <c r="Z265" s="12">
        <f t="shared" si="18"/>
        <v>0</v>
      </c>
      <c r="AA265" s="12">
        <f t="shared" si="19"/>
        <v>0</v>
      </c>
    </row>
    <row r="266" spans="1:27" ht="15" customHeight="1" x14ac:dyDescent="0.25">
      <c r="A266" s="137" t="s">
        <v>552</v>
      </c>
      <c r="B266" s="137" t="s">
        <v>557</v>
      </c>
      <c r="C266" s="137">
        <v>2018</v>
      </c>
      <c r="D266" s="137">
        <v>5.1999999999999998E-2</v>
      </c>
      <c r="E266" s="137" t="s">
        <v>193</v>
      </c>
      <c r="F266" s="137" t="s">
        <v>1019</v>
      </c>
      <c r="G266" s="137">
        <v>1.1000000000000001</v>
      </c>
      <c r="H266" s="137">
        <v>0</v>
      </c>
      <c r="I266" s="137">
        <v>0</v>
      </c>
      <c r="J266" s="137">
        <v>0</v>
      </c>
      <c r="K266" s="137" t="s">
        <v>193</v>
      </c>
      <c r="L266" s="137" t="s">
        <v>193</v>
      </c>
      <c r="M266" s="137" t="s">
        <v>193</v>
      </c>
      <c r="N266" s="137" t="s">
        <v>193</v>
      </c>
      <c r="O266" s="137" t="s">
        <v>193</v>
      </c>
      <c r="P266" s="137" t="s">
        <v>193</v>
      </c>
      <c r="Q266" s="137" t="s">
        <v>193</v>
      </c>
      <c r="R266" s="137" t="s">
        <v>193</v>
      </c>
      <c r="S266" s="137" t="s">
        <v>193</v>
      </c>
      <c r="T266" s="137" t="s">
        <v>193</v>
      </c>
      <c r="W266" s="12" t="str">
        <f t="shared" si="16"/>
        <v>Ja</v>
      </c>
      <c r="Y266" s="12" t="str">
        <f t="shared" si="17"/>
        <v>Nej</v>
      </c>
      <c r="Z266" s="12">
        <f t="shared" si="18"/>
        <v>0</v>
      </c>
      <c r="AA266" s="12">
        <f t="shared" si="19"/>
        <v>0</v>
      </c>
    </row>
    <row r="267" spans="1:27" ht="15" customHeight="1" x14ac:dyDescent="0.25">
      <c r="A267" s="137" t="s">
        <v>558</v>
      </c>
      <c r="B267" s="137" t="s">
        <v>559</v>
      </c>
      <c r="C267" s="137">
        <v>2018</v>
      </c>
      <c r="D267" s="137">
        <v>0.9</v>
      </c>
      <c r="E267" s="137" t="s">
        <v>193</v>
      </c>
      <c r="F267" s="137" t="s">
        <v>53</v>
      </c>
      <c r="G267" s="137">
        <v>2.23</v>
      </c>
      <c r="H267" s="137">
        <v>329.19</v>
      </c>
      <c r="I267" s="137">
        <v>0.43</v>
      </c>
      <c r="J267" s="137">
        <v>0.40550000000000003</v>
      </c>
      <c r="K267" s="137" t="s">
        <v>193</v>
      </c>
      <c r="L267" s="137" t="s">
        <v>193</v>
      </c>
      <c r="M267" s="137" t="s">
        <v>193</v>
      </c>
      <c r="N267" s="137" t="s">
        <v>193</v>
      </c>
      <c r="O267" s="137" t="s">
        <v>193</v>
      </c>
      <c r="P267" s="137" t="s">
        <v>193</v>
      </c>
      <c r="Q267" s="137" t="s">
        <v>193</v>
      </c>
      <c r="R267" s="137" t="s">
        <v>193</v>
      </c>
      <c r="S267" s="137" t="s">
        <v>193</v>
      </c>
      <c r="T267" s="137" t="s">
        <v>193</v>
      </c>
      <c r="W267" s="12" t="str">
        <f t="shared" si="16"/>
        <v>Ja</v>
      </c>
      <c r="Y267" s="12" t="str">
        <f t="shared" si="17"/>
        <v>Nej</v>
      </c>
      <c r="Z267" s="12">
        <f t="shared" si="18"/>
        <v>0</v>
      </c>
      <c r="AA267" s="12">
        <f t="shared" si="19"/>
        <v>0</v>
      </c>
    </row>
    <row r="268" spans="1:27" ht="15" customHeight="1" x14ac:dyDescent="0.25">
      <c r="A268" s="137" t="s">
        <v>558</v>
      </c>
      <c r="B268" s="137" t="s">
        <v>560</v>
      </c>
      <c r="C268" s="137">
        <v>2018</v>
      </c>
      <c r="D268" s="137">
        <v>0.1</v>
      </c>
      <c r="E268" s="137" t="s">
        <v>193</v>
      </c>
      <c r="F268" s="137" t="s">
        <v>53</v>
      </c>
      <c r="G268" s="137">
        <v>2.23</v>
      </c>
      <c r="H268" s="137">
        <v>329.19</v>
      </c>
      <c r="I268" s="137">
        <v>0.43</v>
      </c>
      <c r="J268" s="137">
        <v>0.40550000000000003</v>
      </c>
      <c r="K268" s="137" t="s">
        <v>193</v>
      </c>
      <c r="L268" s="137" t="s">
        <v>193</v>
      </c>
      <c r="M268" s="137" t="s">
        <v>193</v>
      </c>
      <c r="N268" s="137" t="s">
        <v>193</v>
      </c>
      <c r="O268" s="137" t="s">
        <v>193</v>
      </c>
      <c r="P268" s="137" t="s">
        <v>193</v>
      </c>
      <c r="Q268" s="137" t="s">
        <v>193</v>
      </c>
      <c r="R268" s="137" t="s">
        <v>193</v>
      </c>
      <c r="S268" s="137" t="s">
        <v>193</v>
      </c>
      <c r="T268" s="137" t="s">
        <v>193</v>
      </c>
      <c r="W268" s="12" t="str">
        <f t="shared" si="16"/>
        <v>Ja</v>
      </c>
      <c r="Y268" s="12" t="str">
        <f t="shared" si="17"/>
        <v>Nej</v>
      </c>
      <c r="Z268" s="12">
        <f t="shared" si="18"/>
        <v>0</v>
      </c>
      <c r="AA268" s="12">
        <f t="shared" si="19"/>
        <v>0</v>
      </c>
    </row>
    <row r="269" spans="1:27" ht="15" customHeight="1" x14ac:dyDescent="0.25">
      <c r="A269" s="137" t="s">
        <v>561</v>
      </c>
      <c r="B269" s="137" t="s">
        <v>562</v>
      </c>
      <c r="C269" s="137">
        <v>2018</v>
      </c>
      <c r="D269" s="137" t="s">
        <v>193</v>
      </c>
      <c r="E269" s="137" t="s">
        <v>193</v>
      </c>
      <c r="F269" s="137" t="s">
        <v>935</v>
      </c>
      <c r="G269" s="137">
        <v>1.1000000000000001</v>
      </c>
      <c r="H269" s="137">
        <v>0</v>
      </c>
      <c r="I269" s="137">
        <v>0</v>
      </c>
      <c r="J269" s="137">
        <v>0</v>
      </c>
      <c r="K269" s="137">
        <v>342.49700000000001</v>
      </c>
      <c r="L269" s="137">
        <v>0.05</v>
      </c>
      <c r="M269" s="137">
        <v>88</v>
      </c>
      <c r="N269" s="137">
        <v>4.5999999999999996</v>
      </c>
      <c r="O269" s="137">
        <v>0</v>
      </c>
      <c r="P269" s="137" t="s">
        <v>193</v>
      </c>
      <c r="Q269" s="137" t="s">
        <v>193</v>
      </c>
      <c r="R269" s="137" t="s">
        <v>193</v>
      </c>
      <c r="S269" s="137" t="s">
        <v>193</v>
      </c>
      <c r="T269" s="137" t="s">
        <v>193</v>
      </c>
      <c r="W269" s="12" t="str">
        <f t="shared" si="16"/>
        <v>Ja</v>
      </c>
      <c r="Y269" s="12" t="str">
        <f t="shared" si="17"/>
        <v>Ja</v>
      </c>
      <c r="Z269" s="12">
        <f t="shared" si="18"/>
        <v>342.49700000000001</v>
      </c>
      <c r="AA269" s="12">
        <f t="shared" si="19"/>
        <v>0</v>
      </c>
    </row>
    <row r="270" spans="1:27" ht="15" customHeight="1" x14ac:dyDescent="0.25">
      <c r="A270" s="137" t="s">
        <v>563</v>
      </c>
      <c r="B270" s="137" t="s">
        <v>564</v>
      </c>
      <c r="C270" s="137">
        <v>2018</v>
      </c>
      <c r="D270" s="137" t="s">
        <v>53</v>
      </c>
      <c r="E270" s="137" t="s">
        <v>53</v>
      </c>
      <c r="F270" s="137" t="s">
        <v>53</v>
      </c>
      <c r="G270" s="137" t="s">
        <v>53</v>
      </c>
      <c r="H270" s="137" t="s">
        <v>53</v>
      </c>
      <c r="I270" s="137" t="s">
        <v>53</v>
      </c>
      <c r="J270" s="137" t="s">
        <v>53</v>
      </c>
      <c r="K270" s="137" t="s">
        <v>53</v>
      </c>
      <c r="L270" s="137" t="s">
        <v>53</v>
      </c>
      <c r="M270" s="137" t="s">
        <v>53</v>
      </c>
      <c r="N270" s="137" t="s">
        <v>53</v>
      </c>
      <c r="O270" s="137" t="s">
        <v>53</v>
      </c>
      <c r="P270" s="137" t="s">
        <v>53</v>
      </c>
      <c r="Q270" s="137" t="s">
        <v>53</v>
      </c>
      <c r="R270" s="137" t="s">
        <v>53</v>
      </c>
      <c r="S270" s="137" t="s">
        <v>53</v>
      </c>
      <c r="T270" s="137" t="s">
        <v>53</v>
      </c>
      <c r="W270" s="12" t="str">
        <f t="shared" si="16"/>
        <v>Nej</v>
      </c>
      <c r="Y270" s="12" t="str">
        <f t="shared" si="17"/>
        <v>Nej</v>
      </c>
      <c r="Z270" s="12">
        <f t="shared" si="18"/>
        <v>0</v>
      </c>
      <c r="AA270" s="12">
        <f t="shared" si="19"/>
        <v>0</v>
      </c>
    </row>
    <row r="271" spans="1:27" ht="15" customHeight="1" x14ac:dyDescent="0.25">
      <c r="A271" s="137" t="s">
        <v>565</v>
      </c>
      <c r="B271" s="137" t="s">
        <v>566</v>
      </c>
      <c r="C271" s="137">
        <v>2018</v>
      </c>
      <c r="D271" s="137">
        <v>4</v>
      </c>
      <c r="E271" s="137" t="s">
        <v>193</v>
      </c>
      <c r="F271" s="137" t="s">
        <v>1020</v>
      </c>
      <c r="G271" s="137">
        <v>0.95</v>
      </c>
      <c r="H271" s="137">
        <v>0</v>
      </c>
      <c r="I271" s="137">
        <v>0</v>
      </c>
      <c r="J271" s="137">
        <v>0</v>
      </c>
      <c r="K271" s="137" t="s">
        <v>193</v>
      </c>
      <c r="L271" s="137" t="s">
        <v>193</v>
      </c>
      <c r="M271" s="137" t="s">
        <v>193</v>
      </c>
      <c r="N271" s="137" t="s">
        <v>193</v>
      </c>
      <c r="O271" s="137" t="s">
        <v>193</v>
      </c>
      <c r="P271" s="137" t="s">
        <v>193</v>
      </c>
      <c r="Q271" s="137" t="s">
        <v>193</v>
      </c>
      <c r="R271" s="137" t="s">
        <v>193</v>
      </c>
      <c r="S271" s="137" t="s">
        <v>193</v>
      </c>
      <c r="T271" s="137" t="s">
        <v>193</v>
      </c>
      <c r="W271" s="12" t="str">
        <f t="shared" si="16"/>
        <v>Ja</v>
      </c>
      <c r="Y271" s="12" t="str">
        <f t="shared" si="17"/>
        <v>Nej</v>
      </c>
      <c r="Z271" s="12">
        <f t="shared" si="18"/>
        <v>0</v>
      </c>
      <c r="AA271" s="12">
        <f t="shared" si="19"/>
        <v>0</v>
      </c>
    </row>
    <row r="272" spans="1:27" ht="15" customHeight="1" x14ac:dyDescent="0.25">
      <c r="A272" s="137" t="s">
        <v>565</v>
      </c>
      <c r="B272" s="137" t="s">
        <v>567</v>
      </c>
      <c r="C272" s="137">
        <v>2018</v>
      </c>
      <c r="D272" s="137">
        <v>0.83</v>
      </c>
      <c r="E272" s="137" t="s">
        <v>193</v>
      </c>
      <c r="F272" s="137" t="s">
        <v>1020</v>
      </c>
      <c r="G272" s="137">
        <v>0.95</v>
      </c>
      <c r="H272" s="137">
        <v>0</v>
      </c>
      <c r="I272" s="137">
        <v>0</v>
      </c>
      <c r="J272" s="137">
        <v>0</v>
      </c>
      <c r="K272" s="137" t="s">
        <v>193</v>
      </c>
      <c r="L272" s="137" t="s">
        <v>193</v>
      </c>
      <c r="M272" s="137" t="s">
        <v>193</v>
      </c>
      <c r="N272" s="137" t="s">
        <v>193</v>
      </c>
      <c r="O272" s="137" t="s">
        <v>193</v>
      </c>
      <c r="P272" s="137" t="s">
        <v>193</v>
      </c>
      <c r="Q272" s="137" t="s">
        <v>193</v>
      </c>
      <c r="R272" s="137" t="s">
        <v>193</v>
      </c>
      <c r="S272" s="137" t="s">
        <v>193</v>
      </c>
      <c r="T272" s="137" t="s">
        <v>193</v>
      </c>
      <c r="W272" s="12" t="str">
        <f t="shared" si="16"/>
        <v>Ja</v>
      </c>
      <c r="Y272" s="12" t="str">
        <f t="shared" si="17"/>
        <v>Nej</v>
      </c>
      <c r="Z272" s="12">
        <f t="shared" si="18"/>
        <v>0</v>
      </c>
      <c r="AA272" s="12">
        <f t="shared" si="19"/>
        <v>0</v>
      </c>
    </row>
    <row r="273" spans="1:27" ht="15" customHeight="1" x14ac:dyDescent="0.25">
      <c r="A273" s="137" t="s">
        <v>565</v>
      </c>
      <c r="B273" s="137" t="s">
        <v>568</v>
      </c>
      <c r="C273" s="137">
        <v>2018</v>
      </c>
      <c r="D273" s="137">
        <v>0.24</v>
      </c>
      <c r="E273" s="137" t="s">
        <v>193</v>
      </c>
      <c r="F273" s="137" t="s">
        <v>1020</v>
      </c>
      <c r="G273" s="137">
        <v>0.95</v>
      </c>
      <c r="H273" s="137">
        <v>0</v>
      </c>
      <c r="I273" s="137">
        <v>0</v>
      </c>
      <c r="J273" s="137">
        <v>0</v>
      </c>
      <c r="K273" s="137" t="s">
        <v>193</v>
      </c>
      <c r="L273" s="137" t="s">
        <v>193</v>
      </c>
      <c r="M273" s="137" t="s">
        <v>193</v>
      </c>
      <c r="N273" s="137" t="s">
        <v>193</v>
      </c>
      <c r="O273" s="137" t="s">
        <v>193</v>
      </c>
      <c r="P273" s="137" t="s">
        <v>193</v>
      </c>
      <c r="Q273" s="137" t="s">
        <v>193</v>
      </c>
      <c r="R273" s="137" t="s">
        <v>193</v>
      </c>
      <c r="S273" s="137" t="s">
        <v>193</v>
      </c>
      <c r="T273" s="137" t="s">
        <v>193</v>
      </c>
      <c r="W273" s="12" t="str">
        <f t="shared" si="16"/>
        <v>Ja</v>
      </c>
      <c r="Y273" s="12" t="str">
        <f t="shared" si="17"/>
        <v>Nej</v>
      </c>
      <c r="Z273" s="12">
        <f t="shared" si="18"/>
        <v>0</v>
      </c>
      <c r="AA273" s="12">
        <f t="shared" si="19"/>
        <v>0</v>
      </c>
    </row>
    <row r="274" spans="1:27" ht="15" customHeight="1" x14ac:dyDescent="0.25">
      <c r="A274" s="137" t="s">
        <v>565</v>
      </c>
      <c r="B274" s="137" t="s">
        <v>569</v>
      </c>
      <c r="C274" s="137">
        <v>2018</v>
      </c>
      <c r="D274" s="137">
        <v>1.06</v>
      </c>
      <c r="E274" s="137" t="s">
        <v>193</v>
      </c>
      <c r="F274" s="137" t="s">
        <v>1020</v>
      </c>
      <c r="G274" s="137">
        <v>0.95</v>
      </c>
      <c r="H274" s="137">
        <v>0</v>
      </c>
      <c r="I274" s="137">
        <v>0</v>
      </c>
      <c r="J274" s="137">
        <v>0</v>
      </c>
      <c r="K274" s="137" t="s">
        <v>193</v>
      </c>
      <c r="L274" s="137" t="s">
        <v>193</v>
      </c>
      <c r="M274" s="137" t="s">
        <v>193</v>
      </c>
      <c r="N274" s="137" t="s">
        <v>193</v>
      </c>
      <c r="O274" s="137" t="s">
        <v>193</v>
      </c>
      <c r="P274" s="137" t="s">
        <v>193</v>
      </c>
      <c r="Q274" s="137" t="s">
        <v>193</v>
      </c>
      <c r="R274" s="137" t="s">
        <v>193</v>
      </c>
      <c r="S274" s="137" t="s">
        <v>193</v>
      </c>
      <c r="T274" s="137" t="s">
        <v>193</v>
      </c>
      <c r="W274" s="12" t="str">
        <f t="shared" si="16"/>
        <v>Ja</v>
      </c>
      <c r="Y274" s="12" t="str">
        <f t="shared" si="17"/>
        <v>Nej</v>
      </c>
      <c r="Z274" s="12">
        <f t="shared" si="18"/>
        <v>0</v>
      </c>
      <c r="AA274" s="12">
        <f t="shared" si="19"/>
        <v>0</v>
      </c>
    </row>
    <row r="275" spans="1:27" ht="15" customHeight="1" x14ac:dyDescent="0.25">
      <c r="A275" s="137" t="s">
        <v>570</v>
      </c>
      <c r="B275" s="137" t="s">
        <v>571</v>
      </c>
      <c r="C275" s="137">
        <v>2018</v>
      </c>
      <c r="D275" s="137">
        <v>1</v>
      </c>
      <c r="E275" s="137" t="s">
        <v>193</v>
      </c>
      <c r="F275" s="137" t="s">
        <v>1014</v>
      </c>
      <c r="G275" s="137">
        <v>1.1000000000000001</v>
      </c>
      <c r="H275" s="137">
        <v>0</v>
      </c>
      <c r="I275" s="137">
        <v>0</v>
      </c>
      <c r="J275" s="137">
        <v>0</v>
      </c>
      <c r="K275" s="137" t="s">
        <v>193</v>
      </c>
      <c r="L275" s="137" t="s">
        <v>193</v>
      </c>
      <c r="M275" s="137" t="s">
        <v>193</v>
      </c>
      <c r="N275" s="137" t="s">
        <v>193</v>
      </c>
      <c r="O275" s="137" t="s">
        <v>193</v>
      </c>
      <c r="P275" s="137" t="s">
        <v>193</v>
      </c>
      <c r="Q275" s="137" t="s">
        <v>193</v>
      </c>
      <c r="R275" s="137" t="s">
        <v>193</v>
      </c>
      <c r="S275" s="137" t="s">
        <v>193</v>
      </c>
      <c r="T275" s="137" t="s">
        <v>193</v>
      </c>
      <c r="W275" s="12" t="str">
        <f t="shared" si="16"/>
        <v>Ja</v>
      </c>
      <c r="Y275" s="12" t="str">
        <f t="shared" si="17"/>
        <v>Nej</v>
      </c>
      <c r="Z275" s="12">
        <f t="shared" si="18"/>
        <v>0</v>
      </c>
      <c r="AA275" s="12">
        <f t="shared" si="19"/>
        <v>0</v>
      </c>
    </row>
    <row r="276" spans="1:27" ht="15" customHeight="1" x14ac:dyDescent="0.25">
      <c r="A276" s="137" t="s">
        <v>570</v>
      </c>
      <c r="B276" s="137" t="s">
        <v>572</v>
      </c>
      <c r="C276" s="137">
        <v>2018</v>
      </c>
      <c r="D276" s="137">
        <v>2.1000000000000001E-2</v>
      </c>
      <c r="E276" s="137" t="s">
        <v>193</v>
      </c>
      <c r="F276" s="137" t="s">
        <v>1014</v>
      </c>
      <c r="G276" s="137">
        <v>1.1000000000000001</v>
      </c>
      <c r="H276" s="137">
        <v>0</v>
      </c>
      <c r="I276" s="137">
        <v>0</v>
      </c>
      <c r="J276" s="137">
        <v>0</v>
      </c>
      <c r="K276" s="137" t="s">
        <v>193</v>
      </c>
      <c r="L276" s="137" t="s">
        <v>193</v>
      </c>
      <c r="M276" s="137" t="s">
        <v>193</v>
      </c>
      <c r="N276" s="137" t="s">
        <v>193</v>
      </c>
      <c r="O276" s="137" t="s">
        <v>193</v>
      </c>
      <c r="P276" s="137" t="s">
        <v>193</v>
      </c>
      <c r="Q276" s="137" t="s">
        <v>193</v>
      </c>
      <c r="R276" s="137" t="s">
        <v>193</v>
      </c>
      <c r="S276" s="137" t="s">
        <v>193</v>
      </c>
      <c r="T276" s="137" t="s">
        <v>193</v>
      </c>
      <c r="W276" s="12" t="str">
        <f t="shared" si="16"/>
        <v>Ja</v>
      </c>
      <c r="Y276" s="12" t="str">
        <f t="shared" si="17"/>
        <v>Nej</v>
      </c>
      <c r="Z276" s="12">
        <f t="shared" si="18"/>
        <v>0</v>
      </c>
      <c r="AA276" s="12">
        <f t="shared" si="19"/>
        <v>0</v>
      </c>
    </row>
    <row r="277" spans="1:27" ht="15" customHeight="1" x14ac:dyDescent="0.25">
      <c r="A277" s="137" t="s">
        <v>573</v>
      </c>
      <c r="B277" s="137" t="s">
        <v>574</v>
      </c>
      <c r="C277" s="137">
        <v>2018</v>
      </c>
      <c r="D277" s="137" t="s">
        <v>53</v>
      </c>
      <c r="E277" s="137" t="s">
        <v>53</v>
      </c>
      <c r="F277" s="137" t="s">
        <v>53</v>
      </c>
      <c r="G277" s="137" t="s">
        <v>53</v>
      </c>
      <c r="H277" s="137" t="s">
        <v>53</v>
      </c>
      <c r="I277" s="137" t="s">
        <v>53</v>
      </c>
      <c r="J277" s="137" t="s">
        <v>53</v>
      </c>
      <c r="K277" s="137" t="s">
        <v>53</v>
      </c>
      <c r="L277" s="137" t="s">
        <v>53</v>
      </c>
      <c r="M277" s="137" t="s">
        <v>53</v>
      </c>
      <c r="N277" s="137" t="s">
        <v>53</v>
      </c>
      <c r="O277" s="137" t="s">
        <v>53</v>
      </c>
      <c r="P277" s="137" t="s">
        <v>53</v>
      </c>
      <c r="Q277" s="137" t="s">
        <v>53</v>
      </c>
      <c r="R277" s="137" t="s">
        <v>53</v>
      </c>
      <c r="S277" s="137" t="s">
        <v>53</v>
      </c>
      <c r="T277" s="137" t="s">
        <v>53</v>
      </c>
      <c r="W277" s="12" t="str">
        <f t="shared" si="16"/>
        <v>Nej</v>
      </c>
      <c r="Y277" s="12" t="str">
        <f t="shared" si="17"/>
        <v>Nej</v>
      </c>
      <c r="Z277" s="12">
        <f t="shared" si="18"/>
        <v>0</v>
      </c>
      <c r="AA277" s="12">
        <f t="shared" si="19"/>
        <v>0</v>
      </c>
    </row>
    <row r="278" spans="1:27" ht="15" customHeight="1" x14ac:dyDescent="0.25">
      <c r="A278" s="137" t="s">
        <v>573</v>
      </c>
      <c r="B278" s="137" t="s">
        <v>575</v>
      </c>
      <c r="C278" s="137">
        <v>2018</v>
      </c>
      <c r="D278" s="137" t="s">
        <v>53</v>
      </c>
      <c r="E278" s="137" t="s">
        <v>53</v>
      </c>
      <c r="F278" s="137" t="s">
        <v>53</v>
      </c>
      <c r="G278" s="137" t="s">
        <v>53</v>
      </c>
      <c r="H278" s="137" t="s">
        <v>53</v>
      </c>
      <c r="I278" s="137" t="s">
        <v>53</v>
      </c>
      <c r="J278" s="137" t="s">
        <v>53</v>
      </c>
      <c r="K278" s="137" t="s">
        <v>53</v>
      </c>
      <c r="L278" s="137" t="s">
        <v>53</v>
      </c>
      <c r="M278" s="137" t="s">
        <v>53</v>
      </c>
      <c r="N278" s="137" t="s">
        <v>53</v>
      </c>
      <c r="O278" s="137" t="s">
        <v>53</v>
      </c>
      <c r="P278" s="137" t="s">
        <v>53</v>
      </c>
      <c r="Q278" s="137" t="s">
        <v>53</v>
      </c>
      <c r="R278" s="137" t="s">
        <v>53</v>
      </c>
      <c r="S278" s="137" t="s">
        <v>53</v>
      </c>
      <c r="T278" s="137" t="s">
        <v>53</v>
      </c>
      <c r="W278" s="12" t="str">
        <f t="shared" si="16"/>
        <v>Nej</v>
      </c>
      <c r="Y278" s="12" t="str">
        <f t="shared" si="17"/>
        <v>Nej</v>
      </c>
      <c r="Z278" s="12">
        <f t="shared" si="18"/>
        <v>0</v>
      </c>
      <c r="AA278" s="12">
        <f t="shared" si="19"/>
        <v>0</v>
      </c>
    </row>
    <row r="279" spans="1:27" ht="15" customHeight="1" x14ac:dyDescent="0.25">
      <c r="A279" s="137" t="s">
        <v>573</v>
      </c>
      <c r="B279" s="137" t="s">
        <v>576</v>
      </c>
      <c r="C279" s="137">
        <v>2018</v>
      </c>
      <c r="D279" s="137" t="s">
        <v>53</v>
      </c>
      <c r="E279" s="137" t="s">
        <v>53</v>
      </c>
      <c r="F279" s="137" t="s">
        <v>53</v>
      </c>
      <c r="G279" s="137" t="s">
        <v>53</v>
      </c>
      <c r="H279" s="137" t="s">
        <v>53</v>
      </c>
      <c r="I279" s="137" t="s">
        <v>53</v>
      </c>
      <c r="J279" s="137" t="s">
        <v>53</v>
      </c>
      <c r="K279" s="137" t="s">
        <v>53</v>
      </c>
      <c r="L279" s="137" t="s">
        <v>53</v>
      </c>
      <c r="M279" s="137" t="s">
        <v>53</v>
      </c>
      <c r="N279" s="137" t="s">
        <v>53</v>
      </c>
      <c r="O279" s="137" t="s">
        <v>53</v>
      </c>
      <c r="P279" s="137" t="s">
        <v>53</v>
      </c>
      <c r="Q279" s="137" t="s">
        <v>53</v>
      </c>
      <c r="R279" s="137" t="s">
        <v>53</v>
      </c>
      <c r="S279" s="137" t="s">
        <v>53</v>
      </c>
      <c r="T279" s="137" t="s">
        <v>53</v>
      </c>
      <c r="W279" s="12" t="str">
        <f t="shared" si="16"/>
        <v>Nej</v>
      </c>
      <c r="Y279" s="12" t="str">
        <f t="shared" si="17"/>
        <v>Nej</v>
      </c>
      <c r="Z279" s="12">
        <f t="shared" si="18"/>
        <v>0</v>
      </c>
      <c r="AA279" s="12">
        <f t="shared" si="19"/>
        <v>0</v>
      </c>
    </row>
    <row r="280" spans="1:27" ht="15" customHeight="1" x14ac:dyDescent="0.25">
      <c r="A280" s="137" t="s">
        <v>573</v>
      </c>
      <c r="B280" s="137" t="s">
        <v>116</v>
      </c>
      <c r="C280" s="137">
        <v>2018</v>
      </c>
      <c r="D280" s="137">
        <v>101.494</v>
      </c>
      <c r="E280" s="137">
        <v>331.71300000000002</v>
      </c>
      <c r="F280" s="137" t="s">
        <v>1021</v>
      </c>
      <c r="G280" s="137">
        <v>0.1</v>
      </c>
      <c r="H280" s="137">
        <v>0</v>
      </c>
      <c r="I280" s="137">
        <v>0</v>
      </c>
      <c r="J280" s="137">
        <v>0</v>
      </c>
      <c r="K280" s="137">
        <v>0</v>
      </c>
      <c r="L280" s="137">
        <v>0</v>
      </c>
      <c r="M280" s="137">
        <v>0</v>
      </c>
      <c r="N280" s="137">
        <v>0</v>
      </c>
      <c r="O280" s="137">
        <v>0</v>
      </c>
      <c r="P280" s="137">
        <v>3642.2</v>
      </c>
      <c r="Q280" s="137">
        <v>0.14199999999999999</v>
      </c>
      <c r="R280" s="137">
        <v>65.37</v>
      </c>
      <c r="S280" s="137">
        <v>4.3499999999999996</v>
      </c>
      <c r="T280" s="137">
        <v>9.4700000000000006</v>
      </c>
      <c r="W280" s="12" t="str">
        <f t="shared" si="16"/>
        <v>Ja</v>
      </c>
      <c r="Y280" s="12" t="str">
        <f t="shared" si="17"/>
        <v>Nej</v>
      </c>
      <c r="Z280" s="12">
        <f t="shared" si="18"/>
        <v>0</v>
      </c>
      <c r="AA280" s="12">
        <f t="shared" si="19"/>
        <v>0</v>
      </c>
    </row>
    <row r="281" spans="1:27" ht="15" customHeight="1" x14ac:dyDescent="0.25">
      <c r="A281" s="137" t="s">
        <v>573</v>
      </c>
      <c r="B281" s="137" t="s">
        <v>577</v>
      </c>
      <c r="C281" s="137">
        <v>2018</v>
      </c>
      <c r="D281" s="137" t="s">
        <v>53</v>
      </c>
      <c r="E281" s="137" t="s">
        <v>53</v>
      </c>
      <c r="F281" s="137" t="s">
        <v>53</v>
      </c>
      <c r="G281" s="137" t="s">
        <v>53</v>
      </c>
      <c r="H281" s="137" t="s">
        <v>53</v>
      </c>
      <c r="I281" s="137" t="s">
        <v>53</v>
      </c>
      <c r="J281" s="137" t="s">
        <v>53</v>
      </c>
      <c r="K281" s="137" t="s">
        <v>53</v>
      </c>
      <c r="L281" s="137" t="s">
        <v>53</v>
      </c>
      <c r="M281" s="137" t="s">
        <v>53</v>
      </c>
      <c r="N281" s="137" t="s">
        <v>53</v>
      </c>
      <c r="O281" s="137" t="s">
        <v>53</v>
      </c>
      <c r="P281" s="137" t="s">
        <v>53</v>
      </c>
      <c r="Q281" s="137" t="s">
        <v>53</v>
      </c>
      <c r="R281" s="137" t="s">
        <v>53</v>
      </c>
      <c r="S281" s="137" t="s">
        <v>53</v>
      </c>
      <c r="T281" s="137" t="s">
        <v>53</v>
      </c>
      <c r="W281" s="12" t="str">
        <f t="shared" si="16"/>
        <v>Nej</v>
      </c>
      <c r="Y281" s="12" t="str">
        <f t="shared" si="17"/>
        <v>Nej</v>
      </c>
      <c r="Z281" s="12">
        <f t="shared" si="18"/>
        <v>0</v>
      </c>
      <c r="AA281" s="12">
        <f t="shared" si="19"/>
        <v>0</v>
      </c>
    </row>
    <row r="282" spans="1:27" ht="15" customHeight="1" x14ac:dyDescent="0.25">
      <c r="A282" s="137" t="s">
        <v>573</v>
      </c>
      <c r="B282" s="137" t="s">
        <v>578</v>
      </c>
      <c r="C282" s="137">
        <v>2018</v>
      </c>
      <c r="D282" s="137" t="s">
        <v>53</v>
      </c>
      <c r="E282" s="137" t="s">
        <v>53</v>
      </c>
      <c r="F282" s="137" t="s">
        <v>53</v>
      </c>
      <c r="G282" s="137" t="s">
        <v>53</v>
      </c>
      <c r="H282" s="137" t="s">
        <v>53</v>
      </c>
      <c r="I282" s="137" t="s">
        <v>53</v>
      </c>
      <c r="J282" s="137" t="s">
        <v>53</v>
      </c>
      <c r="K282" s="137" t="s">
        <v>53</v>
      </c>
      <c r="L282" s="137" t="s">
        <v>53</v>
      </c>
      <c r="M282" s="137" t="s">
        <v>53</v>
      </c>
      <c r="N282" s="137" t="s">
        <v>53</v>
      </c>
      <c r="O282" s="137" t="s">
        <v>53</v>
      </c>
      <c r="P282" s="137" t="s">
        <v>53</v>
      </c>
      <c r="Q282" s="137" t="s">
        <v>53</v>
      </c>
      <c r="R282" s="137" t="s">
        <v>53</v>
      </c>
      <c r="S282" s="137" t="s">
        <v>53</v>
      </c>
      <c r="T282" s="137" t="s">
        <v>53</v>
      </c>
      <c r="W282" s="12" t="str">
        <f t="shared" si="16"/>
        <v>Nej</v>
      </c>
      <c r="Y282" s="12" t="str">
        <f t="shared" si="17"/>
        <v>Nej</v>
      </c>
      <c r="Z282" s="12">
        <f t="shared" si="18"/>
        <v>0</v>
      </c>
      <c r="AA282" s="12">
        <f t="shared" si="19"/>
        <v>0</v>
      </c>
    </row>
    <row r="283" spans="1:27" ht="15" customHeight="1" x14ac:dyDescent="0.25">
      <c r="A283" s="137" t="s">
        <v>573</v>
      </c>
      <c r="B283" s="137" t="s">
        <v>579</v>
      </c>
      <c r="C283" s="137">
        <v>2018</v>
      </c>
      <c r="D283" s="137" t="s">
        <v>53</v>
      </c>
      <c r="E283" s="137" t="s">
        <v>53</v>
      </c>
      <c r="F283" s="137" t="s">
        <v>53</v>
      </c>
      <c r="G283" s="137" t="s">
        <v>53</v>
      </c>
      <c r="H283" s="137" t="s">
        <v>53</v>
      </c>
      <c r="I283" s="137" t="s">
        <v>53</v>
      </c>
      <c r="J283" s="137" t="s">
        <v>53</v>
      </c>
      <c r="K283" s="137" t="s">
        <v>53</v>
      </c>
      <c r="L283" s="137" t="s">
        <v>53</v>
      </c>
      <c r="M283" s="137" t="s">
        <v>53</v>
      </c>
      <c r="N283" s="137" t="s">
        <v>53</v>
      </c>
      <c r="O283" s="137" t="s">
        <v>53</v>
      </c>
      <c r="P283" s="137" t="s">
        <v>53</v>
      </c>
      <c r="Q283" s="137" t="s">
        <v>53</v>
      </c>
      <c r="R283" s="137" t="s">
        <v>53</v>
      </c>
      <c r="S283" s="137" t="s">
        <v>53</v>
      </c>
      <c r="T283" s="137" t="s">
        <v>53</v>
      </c>
      <c r="W283" s="12" t="str">
        <f t="shared" si="16"/>
        <v>Nej</v>
      </c>
      <c r="Y283" s="12" t="str">
        <f t="shared" si="17"/>
        <v>Nej</v>
      </c>
      <c r="Z283" s="12">
        <f t="shared" si="18"/>
        <v>0</v>
      </c>
      <c r="AA283" s="12">
        <f t="shared" si="19"/>
        <v>0</v>
      </c>
    </row>
    <row r="284" spans="1:27" ht="15" customHeight="1" x14ac:dyDescent="0.25">
      <c r="A284" s="137" t="s">
        <v>573</v>
      </c>
      <c r="B284" s="137" t="s">
        <v>580</v>
      </c>
      <c r="C284" s="137">
        <v>2018</v>
      </c>
      <c r="D284" s="137" t="s">
        <v>53</v>
      </c>
      <c r="E284" s="137" t="s">
        <v>53</v>
      </c>
      <c r="F284" s="137" t="s">
        <v>53</v>
      </c>
      <c r="G284" s="137" t="s">
        <v>53</v>
      </c>
      <c r="H284" s="137" t="s">
        <v>53</v>
      </c>
      <c r="I284" s="137" t="s">
        <v>53</v>
      </c>
      <c r="J284" s="137" t="s">
        <v>53</v>
      </c>
      <c r="K284" s="137" t="s">
        <v>53</v>
      </c>
      <c r="L284" s="137" t="s">
        <v>53</v>
      </c>
      <c r="M284" s="137" t="s">
        <v>53</v>
      </c>
      <c r="N284" s="137" t="s">
        <v>53</v>
      </c>
      <c r="O284" s="137" t="s">
        <v>53</v>
      </c>
      <c r="P284" s="137" t="s">
        <v>53</v>
      </c>
      <c r="Q284" s="137" t="s">
        <v>53</v>
      </c>
      <c r="R284" s="137" t="s">
        <v>53</v>
      </c>
      <c r="S284" s="137" t="s">
        <v>53</v>
      </c>
      <c r="T284" s="137" t="s">
        <v>53</v>
      </c>
      <c r="W284" s="12" t="str">
        <f t="shared" si="16"/>
        <v>Nej</v>
      </c>
      <c r="Y284" s="12" t="str">
        <f t="shared" si="17"/>
        <v>Nej</v>
      </c>
      <c r="Z284" s="12">
        <f t="shared" si="18"/>
        <v>0</v>
      </c>
      <c r="AA284" s="12">
        <f t="shared" si="19"/>
        <v>0</v>
      </c>
    </row>
    <row r="285" spans="1:27" ht="15" customHeight="1" x14ac:dyDescent="0.25">
      <c r="A285" s="137" t="s">
        <v>573</v>
      </c>
      <c r="B285" s="137" t="s">
        <v>581</v>
      </c>
      <c r="C285" s="137">
        <v>2018</v>
      </c>
      <c r="D285" s="137" t="s">
        <v>53</v>
      </c>
      <c r="E285" s="137" t="s">
        <v>53</v>
      </c>
      <c r="F285" s="137" t="s">
        <v>53</v>
      </c>
      <c r="G285" s="137" t="s">
        <v>53</v>
      </c>
      <c r="H285" s="137" t="s">
        <v>53</v>
      </c>
      <c r="I285" s="137" t="s">
        <v>53</v>
      </c>
      <c r="J285" s="137" t="s">
        <v>53</v>
      </c>
      <c r="K285" s="137" t="s">
        <v>53</v>
      </c>
      <c r="L285" s="137" t="s">
        <v>53</v>
      </c>
      <c r="M285" s="137" t="s">
        <v>53</v>
      </c>
      <c r="N285" s="137" t="s">
        <v>53</v>
      </c>
      <c r="O285" s="137" t="s">
        <v>53</v>
      </c>
      <c r="P285" s="137" t="s">
        <v>53</v>
      </c>
      <c r="Q285" s="137" t="s">
        <v>53</v>
      </c>
      <c r="R285" s="137" t="s">
        <v>53</v>
      </c>
      <c r="S285" s="137" t="s">
        <v>53</v>
      </c>
      <c r="T285" s="137" t="s">
        <v>53</v>
      </c>
      <c r="W285" s="12" t="str">
        <f t="shared" si="16"/>
        <v>Nej</v>
      </c>
      <c r="Y285" s="12" t="str">
        <f t="shared" si="17"/>
        <v>Nej</v>
      </c>
      <c r="Z285" s="12">
        <f t="shared" si="18"/>
        <v>0</v>
      </c>
      <c r="AA285" s="12">
        <f t="shared" si="19"/>
        <v>0</v>
      </c>
    </row>
    <row r="286" spans="1:27" ht="15" customHeight="1" x14ac:dyDescent="0.25">
      <c r="A286" s="137" t="s">
        <v>573</v>
      </c>
      <c r="B286" s="137" t="s">
        <v>582</v>
      </c>
      <c r="C286" s="137">
        <v>2018</v>
      </c>
      <c r="D286" s="137" t="s">
        <v>53</v>
      </c>
      <c r="E286" s="137" t="s">
        <v>53</v>
      </c>
      <c r="F286" s="137" t="s">
        <v>53</v>
      </c>
      <c r="G286" s="137" t="s">
        <v>53</v>
      </c>
      <c r="H286" s="137" t="s">
        <v>53</v>
      </c>
      <c r="I286" s="137" t="s">
        <v>53</v>
      </c>
      <c r="J286" s="137" t="s">
        <v>53</v>
      </c>
      <c r="K286" s="137" t="s">
        <v>53</v>
      </c>
      <c r="L286" s="137" t="s">
        <v>53</v>
      </c>
      <c r="M286" s="137" t="s">
        <v>53</v>
      </c>
      <c r="N286" s="137" t="s">
        <v>53</v>
      </c>
      <c r="O286" s="137" t="s">
        <v>53</v>
      </c>
      <c r="P286" s="137" t="s">
        <v>53</v>
      </c>
      <c r="Q286" s="137" t="s">
        <v>53</v>
      </c>
      <c r="R286" s="137" t="s">
        <v>53</v>
      </c>
      <c r="S286" s="137" t="s">
        <v>53</v>
      </c>
      <c r="T286" s="137" t="s">
        <v>53</v>
      </c>
      <c r="W286" s="12" t="str">
        <f t="shared" si="16"/>
        <v>Nej</v>
      </c>
      <c r="Y286" s="12" t="str">
        <f t="shared" si="17"/>
        <v>Nej</v>
      </c>
      <c r="Z286" s="12">
        <f t="shared" si="18"/>
        <v>0</v>
      </c>
      <c r="AA286" s="12">
        <f t="shared" si="19"/>
        <v>0</v>
      </c>
    </row>
    <row r="287" spans="1:27" ht="15" customHeight="1" x14ac:dyDescent="0.25">
      <c r="A287" s="137" t="s">
        <v>573</v>
      </c>
      <c r="B287" s="137" t="s">
        <v>583</v>
      </c>
      <c r="C287" s="137">
        <v>2018</v>
      </c>
      <c r="D287" s="137">
        <v>0.91500000000000004</v>
      </c>
      <c r="E287" s="137" t="s">
        <v>193</v>
      </c>
      <c r="F287" s="137" t="s">
        <v>53</v>
      </c>
      <c r="G287" s="137">
        <v>2.2999999999999998</v>
      </c>
      <c r="H287" s="137">
        <v>329.19</v>
      </c>
      <c r="I287" s="137">
        <v>0.42770000000000002</v>
      </c>
      <c r="J287" s="137">
        <v>0.40550000000000003</v>
      </c>
      <c r="K287" s="137" t="s">
        <v>193</v>
      </c>
      <c r="L287" s="137" t="s">
        <v>193</v>
      </c>
      <c r="M287" s="137" t="s">
        <v>193</v>
      </c>
      <c r="N287" s="137" t="s">
        <v>193</v>
      </c>
      <c r="O287" s="137" t="s">
        <v>193</v>
      </c>
      <c r="P287" s="137" t="s">
        <v>193</v>
      </c>
      <c r="Q287" s="137" t="s">
        <v>193</v>
      </c>
      <c r="R287" s="137" t="s">
        <v>193</v>
      </c>
      <c r="S287" s="137" t="s">
        <v>193</v>
      </c>
      <c r="T287" s="137" t="s">
        <v>193</v>
      </c>
      <c r="W287" s="12" t="str">
        <f t="shared" si="16"/>
        <v>Ja</v>
      </c>
      <c r="Y287" s="12" t="str">
        <f t="shared" si="17"/>
        <v>Nej</v>
      </c>
      <c r="Z287" s="12">
        <f t="shared" si="18"/>
        <v>0</v>
      </c>
      <c r="AA287" s="12">
        <f t="shared" si="19"/>
        <v>0</v>
      </c>
    </row>
    <row r="288" spans="1:27" ht="15" customHeight="1" x14ac:dyDescent="0.25">
      <c r="A288" s="137" t="s">
        <v>573</v>
      </c>
      <c r="B288" s="137" t="s">
        <v>584</v>
      </c>
      <c r="C288" s="137">
        <v>2018</v>
      </c>
      <c r="D288" s="137" t="s">
        <v>53</v>
      </c>
      <c r="E288" s="137" t="s">
        <v>53</v>
      </c>
      <c r="F288" s="137" t="s">
        <v>53</v>
      </c>
      <c r="G288" s="137" t="s">
        <v>53</v>
      </c>
      <c r="H288" s="137" t="s">
        <v>53</v>
      </c>
      <c r="I288" s="137" t="s">
        <v>53</v>
      </c>
      <c r="J288" s="137" t="s">
        <v>53</v>
      </c>
      <c r="K288" s="137" t="s">
        <v>53</v>
      </c>
      <c r="L288" s="137" t="s">
        <v>53</v>
      </c>
      <c r="M288" s="137" t="s">
        <v>53</v>
      </c>
      <c r="N288" s="137" t="s">
        <v>53</v>
      </c>
      <c r="O288" s="137" t="s">
        <v>53</v>
      </c>
      <c r="P288" s="137" t="s">
        <v>53</v>
      </c>
      <c r="Q288" s="137" t="s">
        <v>53</v>
      </c>
      <c r="R288" s="137" t="s">
        <v>53</v>
      </c>
      <c r="S288" s="137" t="s">
        <v>53</v>
      </c>
      <c r="T288" s="137" t="s">
        <v>53</v>
      </c>
      <c r="W288" s="12" t="str">
        <f t="shared" si="16"/>
        <v>Nej</v>
      </c>
      <c r="Y288" s="12" t="str">
        <f t="shared" si="17"/>
        <v>Nej</v>
      </c>
      <c r="Z288" s="12">
        <f t="shared" si="18"/>
        <v>0</v>
      </c>
      <c r="AA288" s="12">
        <f t="shared" si="19"/>
        <v>0</v>
      </c>
    </row>
    <row r="289" spans="1:27" ht="15" customHeight="1" x14ac:dyDescent="0.25">
      <c r="A289" s="137" t="s">
        <v>585</v>
      </c>
      <c r="B289" s="137" t="s">
        <v>586</v>
      </c>
      <c r="C289" s="137">
        <v>2018</v>
      </c>
      <c r="D289" s="137">
        <v>0.83499999999999996</v>
      </c>
      <c r="E289" s="137" t="s">
        <v>193</v>
      </c>
      <c r="F289" s="137" t="s">
        <v>1022</v>
      </c>
      <c r="G289" s="137">
        <v>2.2999999999999998</v>
      </c>
      <c r="H289" s="137">
        <v>329.19</v>
      </c>
      <c r="I289" s="137">
        <v>0.43</v>
      </c>
      <c r="J289" s="137">
        <v>0.40550000000000003</v>
      </c>
      <c r="K289" s="137" t="s">
        <v>193</v>
      </c>
      <c r="L289" s="137" t="s">
        <v>193</v>
      </c>
      <c r="M289" s="137" t="s">
        <v>193</v>
      </c>
      <c r="N289" s="137" t="s">
        <v>193</v>
      </c>
      <c r="O289" s="137" t="s">
        <v>193</v>
      </c>
      <c r="P289" s="137" t="s">
        <v>193</v>
      </c>
      <c r="Q289" s="137" t="s">
        <v>193</v>
      </c>
      <c r="R289" s="137" t="s">
        <v>193</v>
      </c>
      <c r="S289" s="137" t="s">
        <v>193</v>
      </c>
      <c r="T289" s="137" t="s">
        <v>193</v>
      </c>
      <c r="W289" s="12" t="str">
        <f t="shared" si="16"/>
        <v>Nej</v>
      </c>
      <c r="Y289" s="12" t="str">
        <f t="shared" si="17"/>
        <v>Nej</v>
      </c>
      <c r="Z289" s="12">
        <f t="shared" si="18"/>
        <v>0</v>
      </c>
      <c r="AA289" s="12">
        <f t="shared" si="19"/>
        <v>0</v>
      </c>
    </row>
    <row r="290" spans="1:27" ht="15" customHeight="1" x14ac:dyDescent="0.25">
      <c r="A290" s="137" t="s">
        <v>585</v>
      </c>
      <c r="B290" s="137" t="s">
        <v>587</v>
      </c>
      <c r="C290" s="137">
        <v>2018</v>
      </c>
      <c r="D290" s="137">
        <v>0.54300000000000004</v>
      </c>
      <c r="E290" s="137" t="s">
        <v>193</v>
      </c>
      <c r="F290" s="137" t="s">
        <v>1023</v>
      </c>
      <c r="G290" s="137">
        <v>2.2999999999999998</v>
      </c>
      <c r="H290" s="137">
        <v>329.19</v>
      </c>
      <c r="I290" s="137">
        <v>0.43</v>
      </c>
      <c r="J290" s="137">
        <v>0.40550000000000003</v>
      </c>
      <c r="K290" s="137" t="s">
        <v>193</v>
      </c>
      <c r="L290" s="137" t="s">
        <v>193</v>
      </c>
      <c r="M290" s="137" t="s">
        <v>193</v>
      </c>
      <c r="N290" s="137" t="s">
        <v>193</v>
      </c>
      <c r="O290" s="137" t="s">
        <v>193</v>
      </c>
      <c r="P290" s="137" t="s">
        <v>193</v>
      </c>
      <c r="Q290" s="137" t="s">
        <v>193</v>
      </c>
      <c r="R290" s="137" t="s">
        <v>193</v>
      </c>
      <c r="S290" s="137" t="s">
        <v>193</v>
      </c>
      <c r="T290" s="137" t="s">
        <v>193</v>
      </c>
      <c r="W290" s="12" t="str">
        <f t="shared" si="16"/>
        <v>Nej</v>
      </c>
      <c r="Y290" s="12" t="str">
        <f t="shared" si="17"/>
        <v>Nej</v>
      </c>
      <c r="Z290" s="12">
        <f t="shared" si="18"/>
        <v>0</v>
      </c>
      <c r="AA290" s="12">
        <f t="shared" si="19"/>
        <v>0</v>
      </c>
    </row>
    <row r="291" spans="1:27" ht="15" customHeight="1" x14ac:dyDescent="0.25">
      <c r="A291" s="137" t="s">
        <v>585</v>
      </c>
      <c r="B291" s="137" t="s">
        <v>588</v>
      </c>
      <c r="C291" s="137">
        <v>2018</v>
      </c>
      <c r="D291" s="137">
        <v>9.9689999999999994</v>
      </c>
      <c r="E291" s="137">
        <v>14.305999999999999</v>
      </c>
      <c r="F291" s="137" t="s">
        <v>1022</v>
      </c>
      <c r="G291" s="137">
        <v>2.2999999999999998</v>
      </c>
      <c r="H291" s="137">
        <v>329.19</v>
      </c>
      <c r="I291" s="137">
        <v>0.43</v>
      </c>
      <c r="J291" s="137">
        <v>0.40550000000000003</v>
      </c>
      <c r="K291" s="137" t="s">
        <v>193</v>
      </c>
      <c r="L291" s="137" t="s">
        <v>193</v>
      </c>
      <c r="M291" s="137" t="s">
        <v>193</v>
      </c>
      <c r="N291" s="137" t="s">
        <v>193</v>
      </c>
      <c r="O291" s="137" t="s">
        <v>193</v>
      </c>
      <c r="P291" s="137">
        <v>76.2</v>
      </c>
      <c r="Q291" s="137">
        <v>0</v>
      </c>
      <c r="R291" s="137">
        <v>0</v>
      </c>
      <c r="S291" s="137">
        <v>0</v>
      </c>
      <c r="T291" s="137">
        <v>0</v>
      </c>
      <c r="W291" s="12" t="str">
        <f t="shared" si="16"/>
        <v>Nej</v>
      </c>
      <c r="Y291" s="12" t="str">
        <f t="shared" si="17"/>
        <v>Nej</v>
      </c>
      <c r="Z291" s="12">
        <f t="shared" si="18"/>
        <v>0</v>
      </c>
      <c r="AA291" s="12">
        <f t="shared" si="19"/>
        <v>0</v>
      </c>
    </row>
    <row r="292" spans="1:27" ht="15" customHeight="1" x14ac:dyDescent="0.25">
      <c r="A292" s="137" t="s">
        <v>585</v>
      </c>
      <c r="B292" s="137" t="s">
        <v>589</v>
      </c>
      <c r="C292" s="137">
        <v>2018</v>
      </c>
      <c r="D292" s="137">
        <v>3.93</v>
      </c>
      <c r="E292" s="137">
        <v>0.5</v>
      </c>
      <c r="F292" s="137" t="s">
        <v>53</v>
      </c>
      <c r="G292" s="137">
        <v>2.2999999999999998</v>
      </c>
      <c r="H292" s="137">
        <v>329.19</v>
      </c>
      <c r="I292" s="137">
        <v>0.43</v>
      </c>
      <c r="J292" s="137">
        <v>0.40550000000000003</v>
      </c>
      <c r="K292" s="137" t="s">
        <v>193</v>
      </c>
      <c r="L292" s="137" t="s">
        <v>193</v>
      </c>
      <c r="M292" s="137" t="s">
        <v>193</v>
      </c>
      <c r="N292" s="137" t="s">
        <v>193</v>
      </c>
      <c r="O292" s="137" t="s">
        <v>193</v>
      </c>
      <c r="P292" s="137" t="s">
        <v>193</v>
      </c>
      <c r="Q292" s="137" t="s">
        <v>193</v>
      </c>
      <c r="R292" s="137" t="s">
        <v>193</v>
      </c>
      <c r="S292" s="137" t="s">
        <v>193</v>
      </c>
      <c r="T292" s="137" t="s">
        <v>193</v>
      </c>
      <c r="W292" s="12" t="str">
        <f t="shared" si="16"/>
        <v>Nej</v>
      </c>
      <c r="Y292" s="12" t="str">
        <f t="shared" si="17"/>
        <v>Nej</v>
      </c>
      <c r="Z292" s="12">
        <f t="shared" si="18"/>
        <v>0</v>
      </c>
      <c r="AA292" s="12">
        <f t="shared" si="19"/>
        <v>0</v>
      </c>
    </row>
    <row r="293" spans="1:27" ht="15" customHeight="1" x14ac:dyDescent="0.25">
      <c r="A293" s="137" t="s">
        <v>585</v>
      </c>
      <c r="B293" s="137" t="s">
        <v>590</v>
      </c>
      <c r="C293" s="137">
        <v>2018</v>
      </c>
      <c r="D293" s="137">
        <v>0.1</v>
      </c>
      <c r="E293" s="137" t="s">
        <v>193</v>
      </c>
      <c r="F293" s="137" t="s">
        <v>1024</v>
      </c>
      <c r="G293" s="137">
        <v>0.8</v>
      </c>
      <c r="H293" s="137">
        <v>0</v>
      </c>
      <c r="I293" s="137">
        <v>0</v>
      </c>
      <c r="J293" s="137">
        <v>0</v>
      </c>
      <c r="K293" s="137" t="s">
        <v>193</v>
      </c>
      <c r="L293" s="137" t="s">
        <v>193</v>
      </c>
      <c r="M293" s="137" t="s">
        <v>193</v>
      </c>
      <c r="N293" s="137" t="s">
        <v>193</v>
      </c>
      <c r="O293" s="137" t="s">
        <v>193</v>
      </c>
      <c r="P293" s="137" t="s">
        <v>193</v>
      </c>
      <c r="Q293" s="137" t="s">
        <v>193</v>
      </c>
      <c r="R293" s="137" t="s">
        <v>193</v>
      </c>
      <c r="S293" s="137" t="s">
        <v>193</v>
      </c>
      <c r="T293" s="137" t="s">
        <v>193</v>
      </c>
      <c r="W293" s="12" t="str">
        <f t="shared" si="16"/>
        <v>Ja</v>
      </c>
      <c r="Y293" s="12" t="str">
        <f t="shared" si="17"/>
        <v>Nej</v>
      </c>
      <c r="Z293" s="12">
        <f t="shared" si="18"/>
        <v>0</v>
      </c>
      <c r="AA293" s="12">
        <f t="shared" si="19"/>
        <v>0</v>
      </c>
    </row>
    <row r="294" spans="1:27" ht="15" customHeight="1" x14ac:dyDescent="0.25">
      <c r="A294" s="137" t="s">
        <v>49</v>
      </c>
      <c r="B294" s="141" t="s">
        <v>50</v>
      </c>
      <c r="C294" s="137">
        <v>2018</v>
      </c>
      <c r="D294" s="137" t="s">
        <v>53</v>
      </c>
      <c r="E294" s="137" t="s">
        <v>53</v>
      </c>
      <c r="F294" s="137" t="s">
        <v>53</v>
      </c>
      <c r="G294" s="137" t="s">
        <v>53</v>
      </c>
      <c r="H294" s="137" t="s">
        <v>53</v>
      </c>
      <c r="I294" s="137" t="s">
        <v>53</v>
      </c>
      <c r="J294" s="137" t="s">
        <v>53</v>
      </c>
      <c r="K294" s="137" t="s">
        <v>53</v>
      </c>
      <c r="L294" s="137" t="s">
        <v>53</v>
      </c>
      <c r="M294" s="137" t="s">
        <v>53</v>
      </c>
      <c r="N294" s="137" t="s">
        <v>53</v>
      </c>
      <c r="O294" s="137" t="s">
        <v>53</v>
      </c>
      <c r="P294" s="137" t="s">
        <v>53</v>
      </c>
      <c r="Q294" s="137" t="s">
        <v>53</v>
      </c>
      <c r="R294" s="137" t="s">
        <v>53</v>
      </c>
      <c r="S294" s="137" t="s">
        <v>53</v>
      </c>
      <c r="T294" s="137" t="s">
        <v>53</v>
      </c>
      <c r="W294" s="12" t="str">
        <f t="shared" si="16"/>
        <v>Nej</v>
      </c>
      <c r="Y294" s="12" t="str">
        <f t="shared" si="17"/>
        <v>Nej</v>
      </c>
      <c r="Z294" s="12">
        <f t="shared" si="18"/>
        <v>0</v>
      </c>
      <c r="AA294" s="12">
        <f t="shared" si="19"/>
        <v>0</v>
      </c>
    </row>
    <row r="295" spans="1:27" ht="15" customHeight="1" x14ac:dyDescent="0.25">
      <c r="A295" s="137" t="s">
        <v>591</v>
      </c>
      <c r="B295" s="137" t="s">
        <v>592</v>
      </c>
      <c r="C295" s="137">
        <v>2018</v>
      </c>
      <c r="D295" s="137">
        <v>0.13900000000000001</v>
      </c>
      <c r="E295" s="137" t="s">
        <v>193</v>
      </c>
      <c r="F295" s="137" t="s">
        <v>1025</v>
      </c>
      <c r="G295" s="137">
        <v>1.462</v>
      </c>
      <c r="H295" s="137">
        <v>0</v>
      </c>
      <c r="I295" s="137">
        <v>0</v>
      </c>
      <c r="J295" s="137">
        <v>0</v>
      </c>
      <c r="K295" s="137" t="s">
        <v>193</v>
      </c>
      <c r="L295" s="137" t="s">
        <v>193</v>
      </c>
      <c r="M295" s="137" t="s">
        <v>193</v>
      </c>
      <c r="N295" s="137" t="s">
        <v>193</v>
      </c>
      <c r="O295" s="137" t="s">
        <v>193</v>
      </c>
      <c r="P295" s="137" t="s">
        <v>193</v>
      </c>
      <c r="Q295" s="137" t="s">
        <v>193</v>
      </c>
      <c r="R295" s="137" t="s">
        <v>193</v>
      </c>
      <c r="S295" s="137" t="s">
        <v>193</v>
      </c>
      <c r="T295" s="137" t="s">
        <v>193</v>
      </c>
      <c r="W295" s="12" t="str">
        <f t="shared" si="16"/>
        <v>Ja</v>
      </c>
      <c r="Y295" s="12" t="str">
        <f t="shared" si="17"/>
        <v>Nej</v>
      </c>
      <c r="Z295" s="12">
        <f t="shared" si="18"/>
        <v>0</v>
      </c>
      <c r="AA295" s="12">
        <f t="shared" si="19"/>
        <v>0</v>
      </c>
    </row>
    <row r="296" spans="1:27" ht="15" customHeight="1" x14ac:dyDescent="0.25">
      <c r="A296" s="137" t="s">
        <v>591</v>
      </c>
      <c r="B296" s="137" t="s">
        <v>594</v>
      </c>
      <c r="C296" s="137">
        <v>2018</v>
      </c>
      <c r="D296" s="137" t="s">
        <v>193</v>
      </c>
      <c r="E296" s="137" t="s">
        <v>193</v>
      </c>
      <c r="F296" s="137" t="s">
        <v>53</v>
      </c>
      <c r="G296" s="137">
        <v>2.2999999999999998</v>
      </c>
      <c r="H296" s="137">
        <v>329.19</v>
      </c>
      <c r="I296" s="137">
        <v>0.43</v>
      </c>
      <c r="J296" s="137">
        <v>0.40550000000000003</v>
      </c>
      <c r="K296" s="137" t="s">
        <v>193</v>
      </c>
      <c r="L296" s="137" t="s">
        <v>193</v>
      </c>
      <c r="M296" s="137" t="s">
        <v>193</v>
      </c>
      <c r="N296" s="137" t="s">
        <v>193</v>
      </c>
      <c r="O296" s="137" t="s">
        <v>193</v>
      </c>
      <c r="P296" s="137" t="s">
        <v>193</v>
      </c>
      <c r="Q296" s="137" t="s">
        <v>193</v>
      </c>
      <c r="R296" s="137" t="s">
        <v>193</v>
      </c>
      <c r="S296" s="137" t="s">
        <v>193</v>
      </c>
      <c r="T296" s="137" t="s">
        <v>193</v>
      </c>
      <c r="W296" s="12" t="str">
        <f t="shared" si="16"/>
        <v>Nej</v>
      </c>
      <c r="Y296" s="12" t="str">
        <f t="shared" si="17"/>
        <v>Nej</v>
      </c>
      <c r="Z296" s="12">
        <f t="shared" si="18"/>
        <v>0</v>
      </c>
      <c r="AA296" s="12">
        <f t="shared" si="19"/>
        <v>0</v>
      </c>
    </row>
    <row r="297" spans="1:27" ht="15" customHeight="1" x14ac:dyDescent="0.25">
      <c r="A297" s="137" t="s">
        <v>591</v>
      </c>
      <c r="B297" s="137" t="s">
        <v>595</v>
      </c>
      <c r="C297" s="137">
        <v>2018</v>
      </c>
      <c r="D297" s="137">
        <v>5.7000000000000002E-2</v>
      </c>
      <c r="E297" s="137" t="s">
        <v>193</v>
      </c>
      <c r="F297" s="137" t="s">
        <v>1026</v>
      </c>
      <c r="G297" s="137">
        <v>1.462</v>
      </c>
      <c r="H297" s="137">
        <v>0</v>
      </c>
      <c r="I297" s="137">
        <v>0</v>
      </c>
      <c r="J297" s="137">
        <v>0</v>
      </c>
      <c r="K297" s="137" t="s">
        <v>193</v>
      </c>
      <c r="L297" s="137" t="s">
        <v>193</v>
      </c>
      <c r="M297" s="137" t="s">
        <v>193</v>
      </c>
      <c r="N297" s="137" t="s">
        <v>193</v>
      </c>
      <c r="O297" s="137" t="s">
        <v>193</v>
      </c>
      <c r="P297" s="137" t="s">
        <v>193</v>
      </c>
      <c r="Q297" s="137" t="s">
        <v>193</v>
      </c>
      <c r="R297" s="137" t="s">
        <v>193</v>
      </c>
      <c r="S297" s="137" t="s">
        <v>193</v>
      </c>
      <c r="T297" s="137" t="s">
        <v>193</v>
      </c>
      <c r="W297" s="12" t="str">
        <f t="shared" si="16"/>
        <v>Ja</v>
      </c>
      <c r="Y297" s="12" t="str">
        <f t="shared" si="17"/>
        <v>Nej</v>
      </c>
      <c r="Z297" s="12">
        <f t="shared" si="18"/>
        <v>0</v>
      </c>
      <c r="AA297" s="12">
        <f t="shared" si="19"/>
        <v>0</v>
      </c>
    </row>
    <row r="298" spans="1:27" ht="15" customHeight="1" x14ac:dyDescent="0.25">
      <c r="A298" s="137" t="s">
        <v>591</v>
      </c>
      <c r="B298" s="137" t="s">
        <v>597</v>
      </c>
      <c r="C298" s="137">
        <v>2018</v>
      </c>
      <c r="D298" s="137">
        <v>3.6840000000000002</v>
      </c>
      <c r="E298" s="137">
        <v>4.9939999999999998</v>
      </c>
      <c r="F298" s="137" t="s">
        <v>1026</v>
      </c>
      <c r="G298" s="137">
        <v>1.462</v>
      </c>
      <c r="H298" s="137">
        <v>0</v>
      </c>
      <c r="I298" s="137">
        <v>0</v>
      </c>
      <c r="J298" s="137">
        <v>0</v>
      </c>
      <c r="K298" s="137" t="s">
        <v>193</v>
      </c>
      <c r="L298" s="137" t="s">
        <v>193</v>
      </c>
      <c r="M298" s="137" t="s">
        <v>193</v>
      </c>
      <c r="N298" s="137" t="s">
        <v>193</v>
      </c>
      <c r="O298" s="137" t="s">
        <v>193</v>
      </c>
      <c r="P298" s="137" t="s">
        <v>193</v>
      </c>
      <c r="Q298" s="137" t="s">
        <v>193</v>
      </c>
      <c r="R298" s="137" t="s">
        <v>193</v>
      </c>
      <c r="S298" s="137" t="s">
        <v>193</v>
      </c>
      <c r="T298" s="137" t="s">
        <v>193</v>
      </c>
      <c r="W298" s="12" t="str">
        <f t="shared" si="16"/>
        <v>Ja</v>
      </c>
      <c r="Y298" s="12" t="str">
        <f t="shared" si="17"/>
        <v>Nej</v>
      </c>
      <c r="Z298" s="12">
        <f t="shared" si="18"/>
        <v>0</v>
      </c>
      <c r="AA298" s="12">
        <f t="shared" si="19"/>
        <v>0</v>
      </c>
    </row>
    <row r="299" spans="1:27" ht="15" customHeight="1" x14ac:dyDescent="0.25">
      <c r="A299" s="137" t="s">
        <v>598</v>
      </c>
      <c r="B299" s="137" t="s">
        <v>599</v>
      </c>
      <c r="C299" s="137">
        <v>2018</v>
      </c>
      <c r="D299" s="137">
        <v>23.228000000000002</v>
      </c>
      <c r="E299" s="137">
        <v>30.872</v>
      </c>
      <c r="F299" s="137" t="s">
        <v>953</v>
      </c>
      <c r="G299" s="137">
        <v>0.28000000000000003</v>
      </c>
      <c r="H299" s="137">
        <v>0</v>
      </c>
      <c r="I299" s="137">
        <v>0</v>
      </c>
      <c r="J299" s="137">
        <v>0</v>
      </c>
      <c r="K299" s="137">
        <v>89.191999999999993</v>
      </c>
      <c r="L299" s="137">
        <v>0.17</v>
      </c>
      <c r="M299" s="137">
        <v>40.200000000000003</v>
      </c>
      <c r="N299" s="137">
        <v>4</v>
      </c>
      <c r="O299" s="137">
        <v>12.1</v>
      </c>
      <c r="P299" s="137" t="s">
        <v>193</v>
      </c>
      <c r="Q299" s="137" t="s">
        <v>193</v>
      </c>
      <c r="R299" s="137" t="s">
        <v>193</v>
      </c>
      <c r="S299" s="137" t="s">
        <v>193</v>
      </c>
      <c r="T299" s="137" t="s">
        <v>193</v>
      </c>
      <c r="W299" s="12" t="str">
        <f t="shared" si="16"/>
        <v>Ja</v>
      </c>
      <c r="Y299" s="12" t="str">
        <f t="shared" si="17"/>
        <v>Ja</v>
      </c>
      <c r="Z299" s="12">
        <f t="shared" si="18"/>
        <v>89.191999999999993</v>
      </c>
      <c r="AA299" s="12">
        <f t="shared" si="19"/>
        <v>0.121</v>
      </c>
    </row>
    <row r="300" spans="1:27" ht="15" customHeight="1" x14ac:dyDescent="0.25">
      <c r="A300" s="137" t="s">
        <v>600</v>
      </c>
      <c r="B300" s="137" t="s">
        <v>132</v>
      </c>
      <c r="C300" s="137">
        <v>2018</v>
      </c>
      <c r="D300" s="137" t="s">
        <v>53</v>
      </c>
      <c r="E300" s="137" t="s">
        <v>53</v>
      </c>
      <c r="F300" s="137" t="s">
        <v>53</v>
      </c>
      <c r="G300" s="137" t="s">
        <v>53</v>
      </c>
      <c r="H300" s="137" t="s">
        <v>53</v>
      </c>
      <c r="I300" s="137" t="s">
        <v>53</v>
      </c>
      <c r="J300" s="137" t="s">
        <v>53</v>
      </c>
      <c r="K300" s="137" t="s">
        <v>53</v>
      </c>
      <c r="L300" s="137" t="s">
        <v>53</v>
      </c>
      <c r="M300" s="137" t="s">
        <v>53</v>
      </c>
      <c r="N300" s="137" t="s">
        <v>53</v>
      </c>
      <c r="O300" s="137" t="s">
        <v>53</v>
      </c>
      <c r="P300" s="137" t="s">
        <v>53</v>
      </c>
      <c r="Q300" s="137" t="s">
        <v>53</v>
      </c>
      <c r="R300" s="137" t="s">
        <v>53</v>
      </c>
      <c r="S300" s="137" t="s">
        <v>53</v>
      </c>
      <c r="T300" s="137" t="s">
        <v>53</v>
      </c>
      <c r="W300" s="12" t="str">
        <f t="shared" si="16"/>
        <v>Nej</v>
      </c>
      <c r="Y300" s="12" t="str">
        <f t="shared" si="17"/>
        <v>Nej</v>
      </c>
      <c r="Z300" s="12">
        <f t="shared" si="18"/>
        <v>0</v>
      </c>
      <c r="AA300" s="12">
        <f t="shared" si="19"/>
        <v>0</v>
      </c>
    </row>
    <row r="301" spans="1:27" ht="15" customHeight="1" x14ac:dyDescent="0.25">
      <c r="A301" s="137" t="s">
        <v>601</v>
      </c>
      <c r="B301" s="137" t="s">
        <v>602</v>
      </c>
      <c r="C301" s="137">
        <v>2018</v>
      </c>
      <c r="D301" s="137">
        <v>0.42099999999999999</v>
      </c>
      <c r="E301" s="137" t="s">
        <v>193</v>
      </c>
      <c r="F301" s="137" t="s">
        <v>935</v>
      </c>
      <c r="G301" s="137">
        <v>1.1000000000000001</v>
      </c>
      <c r="H301" s="137">
        <v>0</v>
      </c>
      <c r="I301" s="137">
        <v>0</v>
      </c>
      <c r="J301" s="137">
        <v>0</v>
      </c>
      <c r="K301" s="137" t="s">
        <v>193</v>
      </c>
      <c r="L301" s="137" t="s">
        <v>193</v>
      </c>
      <c r="M301" s="137" t="s">
        <v>193</v>
      </c>
      <c r="N301" s="137" t="s">
        <v>193</v>
      </c>
      <c r="O301" s="137" t="s">
        <v>193</v>
      </c>
      <c r="P301" s="137" t="s">
        <v>193</v>
      </c>
      <c r="Q301" s="137" t="s">
        <v>193</v>
      </c>
      <c r="R301" s="137" t="s">
        <v>193</v>
      </c>
      <c r="S301" s="137" t="s">
        <v>193</v>
      </c>
      <c r="T301" s="137" t="s">
        <v>193</v>
      </c>
      <c r="W301" s="12" t="str">
        <f t="shared" si="16"/>
        <v>Ja</v>
      </c>
      <c r="Y301" s="12" t="str">
        <f t="shared" si="17"/>
        <v>Nej</v>
      </c>
      <c r="Z301" s="12">
        <f t="shared" si="18"/>
        <v>0</v>
      </c>
      <c r="AA301" s="12">
        <f t="shared" si="19"/>
        <v>0</v>
      </c>
    </row>
    <row r="302" spans="1:27" ht="15" customHeight="1" x14ac:dyDescent="0.25">
      <c r="A302" s="137" t="s">
        <v>601</v>
      </c>
      <c r="B302" s="137" t="s">
        <v>603</v>
      </c>
      <c r="C302" s="137">
        <v>2018</v>
      </c>
      <c r="D302" s="137">
        <v>3.55</v>
      </c>
      <c r="E302" s="137">
        <v>2.94</v>
      </c>
      <c r="F302" s="137" t="s">
        <v>1027</v>
      </c>
      <c r="G302" s="137">
        <v>0.03</v>
      </c>
      <c r="H302" s="137">
        <v>0</v>
      </c>
      <c r="I302" s="137">
        <v>0</v>
      </c>
      <c r="J302" s="137">
        <v>0</v>
      </c>
      <c r="K302" s="137" t="s">
        <v>193</v>
      </c>
      <c r="L302" s="137" t="s">
        <v>193</v>
      </c>
      <c r="M302" s="137" t="s">
        <v>193</v>
      </c>
      <c r="N302" s="137" t="s">
        <v>193</v>
      </c>
      <c r="O302" s="137" t="s">
        <v>193</v>
      </c>
      <c r="P302" s="137" t="s">
        <v>193</v>
      </c>
      <c r="Q302" s="137" t="s">
        <v>193</v>
      </c>
      <c r="R302" s="137" t="s">
        <v>193</v>
      </c>
      <c r="S302" s="137" t="s">
        <v>193</v>
      </c>
      <c r="T302" s="137" t="s">
        <v>193</v>
      </c>
      <c r="W302" s="12" t="str">
        <f t="shared" si="16"/>
        <v>Ja</v>
      </c>
      <c r="Y302" s="12" t="str">
        <f t="shared" si="17"/>
        <v>Nej</v>
      </c>
      <c r="Z302" s="12">
        <f t="shared" si="18"/>
        <v>0</v>
      </c>
      <c r="AA302" s="12">
        <f t="shared" si="19"/>
        <v>0</v>
      </c>
    </row>
    <row r="303" spans="1:27" ht="15" customHeight="1" x14ac:dyDescent="0.25">
      <c r="A303" s="137" t="s">
        <v>601</v>
      </c>
      <c r="B303" s="137" t="s">
        <v>604</v>
      </c>
      <c r="C303" s="137">
        <v>2018</v>
      </c>
      <c r="D303" s="137">
        <v>3.0000000000000001E-3</v>
      </c>
      <c r="E303" s="137" t="s">
        <v>193</v>
      </c>
      <c r="F303" s="137" t="s">
        <v>935</v>
      </c>
      <c r="G303" s="137">
        <v>1.1000000000000001</v>
      </c>
      <c r="H303" s="137">
        <v>0</v>
      </c>
      <c r="I303" s="137">
        <v>0</v>
      </c>
      <c r="J303" s="137">
        <v>0</v>
      </c>
      <c r="K303" s="137" t="s">
        <v>193</v>
      </c>
      <c r="L303" s="137" t="s">
        <v>193</v>
      </c>
      <c r="M303" s="137" t="s">
        <v>193</v>
      </c>
      <c r="N303" s="137" t="s">
        <v>193</v>
      </c>
      <c r="O303" s="137" t="s">
        <v>193</v>
      </c>
      <c r="P303" s="137" t="s">
        <v>193</v>
      </c>
      <c r="Q303" s="137" t="s">
        <v>193</v>
      </c>
      <c r="R303" s="137" t="s">
        <v>193</v>
      </c>
      <c r="S303" s="137" t="s">
        <v>193</v>
      </c>
      <c r="T303" s="137" t="s">
        <v>193</v>
      </c>
      <c r="W303" s="12" t="str">
        <f t="shared" si="16"/>
        <v>Ja</v>
      </c>
      <c r="Y303" s="12" t="str">
        <f t="shared" si="17"/>
        <v>Nej</v>
      </c>
      <c r="Z303" s="12">
        <f t="shared" si="18"/>
        <v>0</v>
      </c>
      <c r="AA303" s="12">
        <f t="shared" si="19"/>
        <v>0</v>
      </c>
    </row>
    <row r="304" spans="1:27" ht="15" customHeight="1" x14ac:dyDescent="0.25">
      <c r="A304" s="137" t="s">
        <v>601</v>
      </c>
      <c r="B304" s="137" t="s">
        <v>605</v>
      </c>
      <c r="C304" s="137">
        <v>2018</v>
      </c>
      <c r="D304" s="137">
        <v>3.1</v>
      </c>
      <c r="E304" s="137">
        <v>67.400000000000006</v>
      </c>
      <c r="F304" s="137" t="s">
        <v>1004</v>
      </c>
      <c r="G304" s="137">
        <v>0.03</v>
      </c>
      <c r="H304" s="137">
        <v>0</v>
      </c>
      <c r="I304" s="137">
        <v>0</v>
      </c>
      <c r="J304" s="137">
        <v>0</v>
      </c>
      <c r="K304" s="137" t="s">
        <v>193</v>
      </c>
      <c r="L304" s="137" t="s">
        <v>193</v>
      </c>
      <c r="M304" s="137" t="s">
        <v>193</v>
      </c>
      <c r="N304" s="137" t="s">
        <v>193</v>
      </c>
      <c r="O304" s="137" t="s">
        <v>193</v>
      </c>
      <c r="P304" s="137">
        <v>3.9</v>
      </c>
      <c r="Q304" s="137">
        <v>0.05</v>
      </c>
      <c r="R304" s="137">
        <v>4</v>
      </c>
      <c r="S304" s="137">
        <v>3</v>
      </c>
      <c r="T304" s="137">
        <v>0</v>
      </c>
      <c r="W304" s="12" t="str">
        <f t="shared" si="16"/>
        <v>Ja</v>
      </c>
      <c r="Y304" s="12" t="str">
        <f t="shared" si="17"/>
        <v>Nej</v>
      </c>
      <c r="Z304" s="12">
        <f t="shared" si="18"/>
        <v>0</v>
      </c>
      <c r="AA304" s="12">
        <f t="shared" si="19"/>
        <v>0</v>
      </c>
    </row>
    <row r="305" spans="1:27" ht="15" customHeight="1" x14ac:dyDescent="0.25">
      <c r="A305" s="137" t="s">
        <v>601</v>
      </c>
      <c r="B305" s="137" t="s">
        <v>606</v>
      </c>
      <c r="C305" s="137">
        <v>2018</v>
      </c>
      <c r="D305" s="137">
        <v>0.39</v>
      </c>
      <c r="E305" s="137" t="s">
        <v>193</v>
      </c>
      <c r="F305" s="137" t="s">
        <v>53</v>
      </c>
      <c r="G305" s="137">
        <v>2.2999999999999998</v>
      </c>
      <c r="H305" s="137">
        <v>329.19</v>
      </c>
      <c r="I305" s="137">
        <v>0.43</v>
      </c>
      <c r="J305" s="137">
        <v>0.40550000000000003</v>
      </c>
      <c r="K305" s="137" t="s">
        <v>193</v>
      </c>
      <c r="L305" s="137" t="s">
        <v>193</v>
      </c>
      <c r="M305" s="137" t="s">
        <v>193</v>
      </c>
      <c r="N305" s="137" t="s">
        <v>193</v>
      </c>
      <c r="O305" s="137" t="s">
        <v>193</v>
      </c>
      <c r="P305" s="137" t="s">
        <v>193</v>
      </c>
      <c r="Q305" s="137" t="s">
        <v>193</v>
      </c>
      <c r="R305" s="137" t="s">
        <v>193</v>
      </c>
      <c r="S305" s="137" t="s">
        <v>193</v>
      </c>
      <c r="T305" s="137" t="s">
        <v>193</v>
      </c>
      <c r="W305" s="12" t="str">
        <f t="shared" si="16"/>
        <v>Nej</v>
      </c>
      <c r="Y305" s="12" t="str">
        <f t="shared" si="17"/>
        <v>Nej</v>
      </c>
      <c r="Z305" s="12">
        <f t="shared" si="18"/>
        <v>0</v>
      </c>
      <c r="AA305" s="12">
        <f t="shared" si="19"/>
        <v>0</v>
      </c>
    </row>
    <row r="306" spans="1:27" ht="15" customHeight="1" x14ac:dyDescent="0.25">
      <c r="A306" s="137" t="s">
        <v>601</v>
      </c>
      <c r="B306" s="137" t="s">
        <v>607</v>
      </c>
      <c r="C306" s="137">
        <v>2018</v>
      </c>
      <c r="D306" s="137">
        <v>0.53900000000000003</v>
      </c>
      <c r="E306" s="137" t="s">
        <v>193</v>
      </c>
      <c r="F306" s="137" t="s">
        <v>53</v>
      </c>
      <c r="G306" s="137">
        <v>2.2999999999999998</v>
      </c>
      <c r="H306" s="137">
        <v>329.19</v>
      </c>
      <c r="I306" s="137">
        <v>0.43</v>
      </c>
      <c r="J306" s="137">
        <v>0.40550000000000003</v>
      </c>
      <c r="K306" s="137" t="s">
        <v>193</v>
      </c>
      <c r="L306" s="137" t="s">
        <v>193</v>
      </c>
      <c r="M306" s="137" t="s">
        <v>193</v>
      </c>
      <c r="N306" s="137" t="s">
        <v>193</v>
      </c>
      <c r="O306" s="137" t="s">
        <v>193</v>
      </c>
      <c r="P306" s="137" t="s">
        <v>193</v>
      </c>
      <c r="Q306" s="137" t="s">
        <v>193</v>
      </c>
      <c r="R306" s="137" t="s">
        <v>193</v>
      </c>
      <c r="S306" s="137" t="s">
        <v>193</v>
      </c>
      <c r="T306" s="137" t="s">
        <v>193</v>
      </c>
      <c r="W306" s="12" t="str">
        <f t="shared" si="16"/>
        <v>Nej</v>
      </c>
      <c r="Y306" s="12" t="str">
        <f t="shared" si="17"/>
        <v>Nej</v>
      </c>
      <c r="Z306" s="12">
        <f t="shared" si="18"/>
        <v>0</v>
      </c>
      <c r="AA306" s="12">
        <f t="shared" si="19"/>
        <v>0</v>
      </c>
    </row>
    <row r="307" spans="1:27" ht="15" customHeight="1" x14ac:dyDescent="0.25">
      <c r="A307" s="137" t="s">
        <v>608</v>
      </c>
      <c r="B307" s="137" t="s">
        <v>609</v>
      </c>
      <c r="C307" s="137">
        <v>2018</v>
      </c>
      <c r="D307" s="137">
        <v>2.2999999999999998</v>
      </c>
      <c r="E307" s="137" t="s">
        <v>193</v>
      </c>
      <c r="F307" s="137" t="s">
        <v>1028</v>
      </c>
      <c r="G307" s="137">
        <v>1</v>
      </c>
      <c r="H307" s="137">
        <v>0</v>
      </c>
      <c r="I307" s="137">
        <v>0</v>
      </c>
      <c r="J307" s="137">
        <v>0</v>
      </c>
      <c r="K307" s="137" t="s">
        <v>193</v>
      </c>
      <c r="L307" s="137" t="s">
        <v>193</v>
      </c>
      <c r="M307" s="137" t="s">
        <v>193</v>
      </c>
      <c r="N307" s="137" t="s">
        <v>193</v>
      </c>
      <c r="O307" s="137" t="s">
        <v>193</v>
      </c>
      <c r="P307" s="137" t="s">
        <v>193</v>
      </c>
      <c r="Q307" s="137" t="s">
        <v>193</v>
      </c>
      <c r="R307" s="137" t="s">
        <v>193</v>
      </c>
      <c r="S307" s="137" t="s">
        <v>193</v>
      </c>
      <c r="T307" s="137" t="s">
        <v>193</v>
      </c>
      <c r="W307" s="12" t="str">
        <f t="shared" si="16"/>
        <v>Ja</v>
      </c>
      <c r="Y307" s="12" t="str">
        <f t="shared" si="17"/>
        <v>Nej</v>
      </c>
      <c r="Z307" s="12">
        <f t="shared" si="18"/>
        <v>0</v>
      </c>
      <c r="AA307" s="12">
        <f t="shared" si="19"/>
        <v>0</v>
      </c>
    </row>
    <row r="308" spans="1:27" ht="15" customHeight="1" x14ac:dyDescent="0.25">
      <c r="A308" s="137" t="s">
        <v>608</v>
      </c>
      <c r="B308" s="137" t="s">
        <v>610</v>
      </c>
      <c r="C308" s="137">
        <v>2018</v>
      </c>
      <c r="D308" s="137">
        <v>23</v>
      </c>
      <c r="E308" s="137">
        <v>25.88</v>
      </c>
      <c r="F308" s="137" t="s">
        <v>953</v>
      </c>
      <c r="G308" s="137">
        <v>0.28000000000000003</v>
      </c>
      <c r="H308" s="137">
        <v>0</v>
      </c>
      <c r="I308" s="137">
        <v>0</v>
      </c>
      <c r="J308" s="137">
        <v>0</v>
      </c>
      <c r="K308" s="137">
        <v>4.38</v>
      </c>
      <c r="L308" s="137">
        <v>0.12</v>
      </c>
      <c r="M308" s="137">
        <v>14</v>
      </c>
      <c r="N308" s="137">
        <v>1</v>
      </c>
      <c r="O308" s="137">
        <v>4</v>
      </c>
      <c r="P308" s="137" t="s">
        <v>193</v>
      </c>
      <c r="Q308" s="137" t="s">
        <v>193</v>
      </c>
      <c r="R308" s="137" t="s">
        <v>193</v>
      </c>
      <c r="S308" s="137" t="s">
        <v>193</v>
      </c>
      <c r="T308" s="137" t="s">
        <v>193</v>
      </c>
      <c r="W308" s="12" t="str">
        <f t="shared" si="16"/>
        <v>Ja</v>
      </c>
      <c r="Y308" s="12" t="str">
        <f t="shared" si="17"/>
        <v>Ja</v>
      </c>
      <c r="Z308" s="12">
        <f t="shared" si="18"/>
        <v>4.38</v>
      </c>
      <c r="AA308" s="12">
        <f t="shared" si="19"/>
        <v>0.04</v>
      </c>
    </row>
    <row r="309" spans="1:27" ht="15" customHeight="1" x14ac:dyDescent="0.25">
      <c r="A309" s="137" t="s">
        <v>611</v>
      </c>
      <c r="B309" s="137" t="s">
        <v>612</v>
      </c>
      <c r="C309" s="137">
        <v>2018</v>
      </c>
      <c r="D309" s="137">
        <v>0.3</v>
      </c>
      <c r="E309" s="137">
        <v>2.085</v>
      </c>
      <c r="F309" s="137" t="s">
        <v>945</v>
      </c>
      <c r="G309" s="137">
        <v>1.1000000000000001</v>
      </c>
      <c r="H309" s="137">
        <v>0</v>
      </c>
      <c r="I309" s="137">
        <v>0</v>
      </c>
      <c r="J309" s="137">
        <v>0</v>
      </c>
      <c r="K309" s="137" t="s">
        <v>193</v>
      </c>
      <c r="L309" s="137" t="s">
        <v>193</v>
      </c>
      <c r="M309" s="137" t="s">
        <v>193</v>
      </c>
      <c r="N309" s="137" t="s">
        <v>193</v>
      </c>
      <c r="O309" s="137" t="s">
        <v>193</v>
      </c>
      <c r="P309" s="137" t="s">
        <v>193</v>
      </c>
      <c r="Q309" s="137" t="s">
        <v>193</v>
      </c>
      <c r="R309" s="137" t="s">
        <v>193</v>
      </c>
      <c r="S309" s="137" t="s">
        <v>193</v>
      </c>
      <c r="T309" s="137" t="s">
        <v>193</v>
      </c>
      <c r="W309" s="12" t="str">
        <f t="shared" si="16"/>
        <v>Ja</v>
      </c>
      <c r="Y309" s="12" t="str">
        <f t="shared" si="17"/>
        <v>Nej</v>
      </c>
      <c r="Z309" s="12">
        <f t="shared" si="18"/>
        <v>0</v>
      </c>
      <c r="AA309" s="12">
        <f t="shared" si="19"/>
        <v>0</v>
      </c>
    </row>
    <row r="310" spans="1:27" ht="15" customHeight="1" x14ac:dyDescent="0.25">
      <c r="A310" s="137" t="s">
        <v>613</v>
      </c>
      <c r="B310" s="137" t="s">
        <v>614</v>
      </c>
      <c r="C310" s="137">
        <v>2018</v>
      </c>
      <c r="D310" s="137">
        <v>1.3240000000000001</v>
      </c>
      <c r="E310" s="137" t="s">
        <v>193</v>
      </c>
      <c r="F310" s="137" t="s">
        <v>935</v>
      </c>
      <c r="G310" s="137">
        <v>1.1000000000000001</v>
      </c>
      <c r="H310" s="137">
        <v>1.3</v>
      </c>
      <c r="I310" s="137">
        <v>0</v>
      </c>
      <c r="J310" s="137">
        <v>0</v>
      </c>
      <c r="K310" s="137" t="s">
        <v>193</v>
      </c>
      <c r="L310" s="137" t="s">
        <v>193</v>
      </c>
      <c r="M310" s="137" t="s">
        <v>193</v>
      </c>
      <c r="N310" s="137" t="s">
        <v>193</v>
      </c>
      <c r="O310" s="137" t="s">
        <v>193</v>
      </c>
      <c r="P310" s="137" t="s">
        <v>193</v>
      </c>
      <c r="Q310" s="137" t="s">
        <v>193</v>
      </c>
      <c r="R310" s="137" t="s">
        <v>193</v>
      </c>
      <c r="S310" s="137" t="s">
        <v>193</v>
      </c>
      <c r="T310" s="137" t="s">
        <v>193</v>
      </c>
      <c r="W310" s="12" t="str">
        <f t="shared" si="16"/>
        <v>Ja</v>
      </c>
      <c r="Y310" s="12" t="str">
        <f t="shared" si="17"/>
        <v>Nej</v>
      </c>
      <c r="Z310" s="12">
        <f t="shared" si="18"/>
        <v>0</v>
      </c>
      <c r="AA310" s="12">
        <f t="shared" si="19"/>
        <v>0</v>
      </c>
    </row>
    <row r="311" spans="1:27" ht="15" customHeight="1" x14ac:dyDescent="0.25">
      <c r="A311" s="137" t="s">
        <v>613</v>
      </c>
      <c r="B311" s="137" t="s">
        <v>615</v>
      </c>
      <c r="C311" s="137">
        <v>2018</v>
      </c>
      <c r="D311" s="137" t="s">
        <v>193</v>
      </c>
      <c r="E311" s="137" t="s">
        <v>193</v>
      </c>
      <c r="F311" s="137" t="s">
        <v>935</v>
      </c>
      <c r="G311" s="137">
        <v>1.1000000000000001</v>
      </c>
      <c r="H311" s="137">
        <v>1.3</v>
      </c>
      <c r="I311" s="137">
        <v>0</v>
      </c>
      <c r="J311" s="137">
        <v>0</v>
      </c>
      <c r="K311" s="137" t="s">
        <v>193</v>
      </c>
      <c r="L311" s="137" t="s">
        <v>193</v>
      </c>
      <c r="M311" s="137" t="s">
        <v>193</v>
      </c>
      <c r="N311" s="137" t="s">
        <v>193</v>
      </c>
      <c r="O311" s="137" t="s">
        <v>193</v>
      </c>
      <c r="P311" s="137" t="s">
        <v>193</v>
      </c>
      <c r="Q311" s="137" t="s">
        <v>193</v>
      </c>
      <c r="R311" s="137" t="s">
        <v>193</v>
      </c>
      <c r="S311" s="137" t="s">
        <v>193</v>
      </c>
      <c r="T311" s="137" t="s">
        <v>193</v>
      </c>
      <c r="W311" s="12" t="str">
        <f t="shared" si="16"/>
        <v>Ja</v>
      </c>
      <c r="Y311" s="12" t="str">
        <f t="shared" si="17"/>
        <v>Nej</v>
      </c>
      <c r="Z311" s="12">
        <f t="shared" si="18"/>
        <v>0</v>
      </c>
      <c r="AA311" s="12">
        <f t="shared" si="19"/>
        <v>0</v>
      </c>
    </row>
    <row r="312" spans="1:27" ht="15" customHeight="1" x14ac:dyDescent="0.25">
      <c r="A312" s="137" t="s">
        <v>616</v>
      </c>
      <c r="B312" s="137" t="s">
        <v>616</v>
      </c>
      <c r="C312" s="137">
        <v>2018</v>
      </c>
      <c r="D312" s="137" t="s">
        <v>193</v>
      </c>
      <c r="E312" s="137" t="s">
        <v>193</v>
      </c>
      <c r="F312" s="137" t="s">
        <v>1029</v>
      </c>
      <c r="G312" s="137">
        <v>1.1000000000000001</v>
      </c>
      <c r="H312" s="137">
        <v>0</v>
      </c>
      <c r="I312" s="137">
        <v>0</v>
      </c>
      <c r="J312" s="137">
        <v>0</v>
      </c>
      <c r="K312" s="137" t="s">
        <v>193</v>
      </c>
      <c r="L312" s="137" t="s">
        <v>193</v>
      </c>
      <c r="M312" s="137" t="s">
        <v>193</v>
      </c>
      <c r="N312" s="137" t="s">
        <v>193</v>
      </c>
      <c r="O312" s="137" t="s">
        <v>193</v>
      </c>
      <c r="P312" s="137" t="s">
        <v>193</v>
      </c>
      <c r="Q312" s="137" t="s">
        <v>193</v>
      </c>
      <c r="R312" s="137" t="s">
        <v>193</v>
      </c>
      <c r="S312" s="137" t="s">
        <v>193</v>
      </c>
      <c r="T312" s="137" t="s">
        <v>193</v>
      </c>
      <c r="W312" s="12" t="str">
        <f t="shared" si="16"/>
        <v>Ja</v>
      </c>
      <c r="Y312" s="12" t="str">
        <f t="shared" si="17"/>
        <v>Nej</v>
      </c>
      <c r="Z312" s="12">
        <f t="shared" si="18"/>
        <v>0</v>
      </c>
      <c r="AA312" s="12">
        <f t="shared" si="19"/>
        <v>0</v>
      </c>
    </row>
    <row r="313" spans="1:27" ht="15" customHeight="1" x14ac:dyDescent="0.25">
      <c r="A313" s="137" t="s">
        <v>617</v>
      </c>
      <c r="B313" s="137" t="s">
        <v>135</v>
      </c>
      <c r="C313" s="137">
        <v>2018</v>
      </c>
      <c r="D313" s="137">
        <v>0</v>
      </c>
      <c r="E313" s="137" t="s">
        <v>193</v>
      </c>
      <c r="F313" s="137" t="s">
        <v>53</v>
      </c>
      <c r="G313" s="137">
        <v>2.2999999999999998</v>
      </c>
      <c r="H313" s="137">
        <v>329.19</v>
      </c>
      <c r="I313" s="137">
        <v>0.43</v>
      </c>
      <c r="J313" s="137">
        <v>0.40550000000000003</v>
      </c>
      <c r="K313" s="137" t="s">
        <v>193</v>
      </c>
      <c r="L313" s="137" t="s">
        <v>193</v>
      </c>
      <c r="M313" s="137" t="s">
        <v>193</v>
      </c>
      <c r="N313" s="137" t="s">
        <v>193</v>
      </c>
      <c r="O313" s="137" t="s">
        <v>193</v>
      </c>
      <c r="P313" s="137" t="s">
        <v>193</v>
      </c>
      <c r="Q313" s="137" t="s">
        <v>193</v>
      </c>
      <c r="R313" s="137" t="s">
        <v>193</v>
      </c>
      <c r="S313" s="137" t="s">
        <v>193</v>
      </c>
      <c r="T313" s="137" t="s">
        <v>193</v>
      </c>
      <c r="W313" s="12" t="str">
        <f t="shared" si="16"/>
        <v>Nej</v>
      </c>
      <c r="Y313" s="12" t="str">
        <f t="shared" si="17"/>
        <v>Nej</v>
      </c>
      <c r="Z313" s="12">
        <f t="shared" si="18"/>
        <v>0</v>
      </c>
      <c r="AA313" s="12">
        <f t="shared" si="19"/>
        <v>0</v>
      </c>
    </row>
    <row r="314" spans="1:27" ht="15" customHeight="1" x14ac:dyDescent="0.25">
      <c r="A314" s="137" t="s">
        <v>618</v>
      </c>
      <c r="B314" s="137" t="s">
        <v>619</v>
      </c>
      <c r="C314" s="137">
        <v>2018</v>
      </c>
      <c r="D314" s="137">
        <v>5.5</v>
      </c>
      <c r="E314" s="137" t="s">
        <v>193</v>
      </c>
      <c r="F314" s="137" t="s">
        <v>935</v>
      </c>
      <c r="G314" s="137">
        <v>1.1000000000000001</v>
      </c>
      <c r="H314" s="137">
        <v>0</v>
      </c>
      <c r="I314" s="137">
        <v>0</v>
      </c>
      <c r="J314" s="137">
        <v>0</v>
      </c>
      <c r="K314" s="137" t="s">
        <v>193</v>
      </c>
      <c r="L314" s="137" t="s">
        <v>193</v>
      </c>
      <c r="M314" s="137" t="s">
        <v>193</v>
      </c>
      <c r="N314" s="137" t="s">
        <v>193</v>
      </c>
      <c r="O314" s="137" t="s">
        <v>193</v>
      </c>
      <c r="P314" s="137" t="s">
        <v>193</v>
      </c>
      <c r="Q314" s="137" t="s">
        <v>193</v>
      </c>
      <c r="R314" s="137" t="s">
        <v>193</v>
      </c>
      <c r="S314" s="137" t="s">
        <v>193</v>
      </c>
      <c r="T314" s="137" t="s">
        <v>193</v>
      </c>
      <c r="W314" s="12" t="str">
        <f t="shared" si="16"/>
        <v>Ja</v>
      </c>
      <c r="Y314" s="12" t="str">
        <f t="shared" si="17"/>
        <v>Nej</v>
      </c>
      <c r="Z314" s="12">
        <f t="shared" si="18"/>
        <v>0</v>
      </c>
      <c r="AA314" s="12">
        <f t="shared" si="19"/>
        <v>0</v>
      </c>
    </row>
    <row r="315" spans="1:27" ht="15" customHeight="1" x14ac:dyDescent="0.25">
      <c r="A315" s="137" t="s">
        <v>621</v>
      </c>
      <c r="B315" s="137" t="s">
        <v>622</v>
      </c>
      <c r="C315" s="137">
        <v>2018</v>
      </c>
      <c r="D315" s="137" t="s">
        <v>53</v>
      </c>
      <c r="E315" s="137" t="s">
        <v>193</v>
      </c>
      <c r="F315" s="137" t="s">
        <v>53</v>
      </c>
      <c r="G315" s="137" t="s">
        <v>53</v>
      </c>
      <c r="H315" s="137">
        <v>0</v>
      </c>
      <c r="I315" s="137">
        <v>0</v>
      </c>
      <c r="J315" s="137">
        <v>0</v>
      </c>
      <c r="K315" s="137" t="s">
        <v>193</v>
      </c>
      <c r="L315" s="137" t="s">
        <v>193</v>
      </c>
      <c r="M315" s="137" t="s">
        <v>193</v>
      </c>
      <c r="N315" s="137" t="s">
        <v>193</v>
      </c>
      <c r="O315" s="137" t="s">
        <v>193</v>
      </c>
      <c r="P315" s="137" t="s">
        <v>193</v>
      </c>
      <c r="Q315" s="137" t="s">
        <v>193</v>
      </c>
      <c r="R315" s="137" t="s">
        <v>193</v>
      </c>
      <c r="S315" s="137" t="s">
        <v>193</v>
      </c>
      <c r="T315" s="137" t="s">
        <v>193</v>
      </c>
      <c r="W315" s="12" t="str">
        <f t="shared" si="16"/>
        <v>Ja</v>
      </c>
      <c r="Y315" s="12" t="str">
        <f t="shared" si="17"/>
        <v>Nej</v>
      </c>
      <c r="Z315" s="12">
        <f t="shared" si="18"/>
        <v>0</v>
      </c>
      <c r="AA315" s="12">
        <f t="shared" si="19"/>
        <v>0</v>
      </c>
    </row>
    <row r="316" spans="1:27" ht="15" customHeight="1" x14ac:dyDescent="0.25">
      <c r="A316" s="137" t="s">
        <v>623</v>
      </c>
      <c r="B316" s="137" t="s">
        <v>624</v>
      </c>
      <c r="C316" s="137">
        <v>2018</v>
      </c>
      <c r="D316" s="137">
        <v>4.5999999999999996</v>
      </c>
      <c r="E316" s="137">
        <v>2.8</v>
      </c>
      <c r="F316" s="137" t="s">
        <v>1030</v>
      </c>
      <c r="G316" s="137">
        <v>0.03</v>
      </c>
      <c r="H316" s="137">
        <v>0</v>
      </c>
      <c r="I316" s="137">
        <v>0</v>
      </c>
      <c r="J316" s="137">
        <v>0</v>
      </c>
      <c r="K316" s="137" t="s">
        <v>193</v>
      </c>
      <c r="L316" s="137" t="s">
        <v>193</v>
      </c>
      <c r="M316" s="137" t="s">
        <v>193</v>
      </c>
      <c r="N316" s="137" t="s">
        <v>193</v>
      </c>
      <c r="O316" s="137" t="s">
        <v>193</v>
      </c>
      <c r="P316" s="137" t="s">
        <v>193</v>
      </c>
      <c r="Q316" s="137" t="s">
        <v>193</v>
      </c>
      <c r="R316" s="137" t="s">
        <v>193</v>
      </c>
      <c r="S316" s="137" t="s">
        <v>193</v>
      </c>
      <c r="T316" s="137" t="s">
        <v>193</v>
      </c>
      <c r="W316" s="12" t="str">
        <f t="shared" si="16"/>
        <v>Ja</v>
      </c>
      <c r="Y316" s="12" t="str">
        <f t="shared" si="17"/>
        <v>Nej</v>
      </c>
      <c r="Z316" s="12">
        <f t="shared" si="18"/>
        <v>0</v>
      </c>
      <c r="AA316" s="12">
        <f t="shared" si="19"/>
        <v>0</v>
      </c>
    </row>
    <row r="317" spans="1:27" ht="15" customHeight="1" x14ac:dyDescent="0.25">
      <c r="A317" s="137" t="s">
        <v>43</v>
      </c>
      <c r="B317" s="141" t="s">
        <v>51</v>
      </c>
      <c r="C317" s="137">
        <v>2018</v>
      </c>
      <c r="D317" s="137" t="s">
        <v>53</v>
      </c>
      <c r="E317" s="137" t="s">
        <v>53</v>
      </c>
      <c r="F317" s="137" t="s">
        <v>53</v>
      </c>
      <c r="G317" s="137" t="s">
        <v>53</v>
      </c>
      <c r="H317" s="137" t="s">
        <v>53</v>
      </c>
      <c r="I317" s="137" t="s">
        <v>53</v>
      </c>
      <c r="J317" s="137" t="s">
        <v>53</v>
      </c>
      <c r="K317" s="137" t="s">
        <v>53</v>
      </c>
      <c r="L317" s="137" t="s">
        <v>53</v>
      </c>
      <c r="M317" s="137" t="s">
        <v>53</v>
      </c>
      <c r="N317" s="137" t="s">
        <v>53</v>
      </c>
      <c r="O317" s="137" t="s">
        <v>53</v>
      </c>
      <c r="P317" s="137" t="s">
        <v>53</v>
      </c>
      <c r="Q317" s="137" t="s">
        <v>53</v>
      </c>
      <c r="R317" s="137" t="s">
        <v>53</v>
      </c>
      <c r="S317" s="137" t="s">
        <v>53</v>
      </c>
      <c r="T317" s="137" t="s">
        <v>53</v>
      </c>
      <c r="W317" s="12" t="str">
        <f t="shared" si="16"/>
        <v>Nej</v>
      </c>
      <c r="Y317" s="12" t="str">
        <f t="shared" si="17"/>
        <v>Nej</v>
      </c>
      <c r="Z317" s="12">
        <f t="shared" si="18"/>
        <v>0</v>
      </c>
      <c r="AA317" s="12">
        <f t="shared" si="19"/>
        <v>0</v>
      </c>
    </row>
    <row r="318" spans="1:27" ht="15" customHeight="1" x14ac:dyDescent="0.25">
      <c r="A318" s="137" t="s">
        <v>625</v>
      </c>
      <c r="B318" s="137" t="s">
        <v>626</v>
      </c>
      <c r="C318" s="137">
        <v>2018</v>
      </c>
      <c r="D318" s="137">
        <v>9.887E-2</v>
      </c>
      <c r="E318" s="137" t="s">
        <v>193</v>
      </c>
      <c r="F318" s="137" t="s">
        <v>1031</v>
      </c>
      <c r="G318" s="137">
        <v>2.2999999999999998</v>
      </c>
      <c r="H318" s="137">
        <v>329.19</v>
      </c>
      <c r="I318" s="137">
        <v>0.43</v>
      </c>
      <c r="J318" s="137">
        <v>0.40550000000000003</v>
      </c>
      <c r="K318" s="137" t="s">
        <v>193</v>
      </c>
      <c r="L318" s="137" t="s">
        <v>193</v>
      </c>
      <c r="M318" s="137" t="s">
        <v>193</v>
      </c>
      <c r="N318" s="137" t="s">
        <v>193</v>
      </c>
      <c r="O318" s="137" t="s">
        <v>193</v>
      </c>
      <c r="P318" s="137" t="s">
        <v>193</v>
      </c>
      <c r="Q318" s="137" t="s">
        <v>193</v>
      </c>
      <c r="R318" s="137" t="s">
        <v>193</v>
      </c>
      <c r="S318" s="137" t="s">
        <v>193</v>
      </c>
      <c r="T318" s="137" t="s">
        <v>193</v>
      </c>
      <c r="W318" s="12" t="str">
        <f t="shared" si="16"/>
        <v>Nej</v>
      </c>
      <c r="Y318" s="12" t="str">
        <f t="shared" si="17"/>
        <v>Nej</v>
      </c>
      <c r="Z318" s="12">
        <f t="shared" si="18"/>
        <v>0</v>
      </c>
      <c r="AA318" s="12">
        <f t="shared" si="19"/>
        <v>0</v>
      </c>
    </row>
    <row r="319" spans="1:27" ht="15" customHeight="1" x14ac:dyDescent="0.25">
      <c r="A319" s="137" t="s">
        <v>625</v>
      </c>
      <c r="B319" s="137" t="s">
        <v>627</v>
      </c>
      <c r="C319" s="137">
        <v>2018</v>
      </c>
      <c r="D319" s="137">
        <v>0.14000000000000001</v>
      </c>
      <c r="E319" s="137" t="s">
        <v>193</v>
      </c>
      <c r="F319" s="137" t="s">
        <v>1031</v>
      </c>
      <c r="G319" s="137">
        <v>2.2999999999999998</v>
      </c>
      <c r="H319" s="137">
        <v>329.19</v>
      </c>
      <c r="I319" s="137">
        <v>0.43</v>
      </c>
      <c r="J319" s="137">
        <v>0.40550000000000003</v>
      </c>
      <c r="K319" s="137" t="s">
        <v>193</v>
      </c>
      <c r="L319" s="137" t="s">
        <v>193</v>
      </c>
      <c r="M319" s="137" t="s">
        <v>193</v>
      </c>
      <c r="N319" s="137" t="s">
        <v>193</v>
      </c>
      <c r="O319" s="137" t="s">
        <v>193</v>
      </c>
      <c r="P319" s="137" t="s">
        <v>193</v>
      </c>
      <c r="Q319" s="137" t="s">
        <v>193</v>
      </c>
      <c r="R319" s="137" t="s">
        <v>193</v>
      </c>
      <c r="S319" s="137" t="s">
        <v>193</v>
      </c>
      <c r="T319" s="137" t="s">
        <v>193</v>
      </c>
      <c r="W319" s="12" t="str">
        <f t="shared" si="16"/>
        <v>Nej</v>
      </c>
      <c r="Y319" s="12" t="str">
        <f t="shared" si="17"/>
        <v>Nej</v>
      </c>
      <c r="Z319" s="12">
        <f t="shared" si="18"/>
        <v>0</v>
      </c>
      <c r="AA319" s="12">
        <f t="shared" si="19"/>
        <v>0</v>
      </c>
    </row>
    <row r="320" spans="1:27" ht="15" customHeight="1" x14ac:dyDescent="0.25">
      <c r="A320" s="137" t="s">
        <v>625</v>
      </c>
      <c r="B320" s="137" t="s">
        <v>628</v>
      </c>
      <c r="C320" s="137">
        <v>2018</v>
      </c>
      <c r="D320" s="137">
        <v>3.85</v>
      </c>
      <c r="E320" s="137">
        <v>14.7</v>
      </c>
      <c r="F320" s="137" t="s">
        <v>1031</v>
      </c>
      <c r="G320" s="137">
        <v>2.2999999999999998</v>
      </c>
      <c r="H320" s="137">
        <v>329.19</v>
      </c>
      <c r="I320" s="137">
        <v>0.43</v>
      </c>
      <c r="J320" s="137">
        <v>0.40550000000000003</v>
      </c>
      <c r="K320" s="137" t="s">
        <v>193</v>
      </c>
      <c r="L320" s="137" t="s">
        <v>193</v>
      </c>
      <c r="M320" s="137" t="s">
        <v>193</v>
      </c>
      <c r="N320" s="137" t="s">
        <v>193</v>
      </c>
      <c r="O320" s="137" t="s">
        <v>193</v>
      </c>
      <c r="P320" s="137" t="s">
        <v>193</v>
      </c>
      <c r="Q320" s="137" t="s">
        <v>193</v>
      </c>
      <c r="R320" s="137" t="s">
        <v>193</v>
      </c>
      <c r="S320" s="137" t="s">
        <v>193</v>
      </c>
      <c r="T320" s="137" t="s">
        <v>193</v>
      </c>
      <c r="W320" s="12" t="str">
        <f t="shared" si="16"/>
        <v>Nej</v>
      </c>
      <c r="Y320" s="12" t="str">
        <f t="shared" si="17"/>
        <v>Nej</v>
      </c>
      <c r="Z320" s="12">
        <f t="shared" si="18"/>
        <v>0</v>
      </c>
      <c r="AA320" s="12">
        <f t="shared" si="19"/>
        <v>0</v>
      </c>
    </row>
    <row r="321" spans="1:27" ht="15" customHeight="1" x14ac:dyDescent="0.25">
      <c r="A321" s="137" t="s">
        <v>629</v>
      </c>
      <c r="B321" s="137" t="s">
        <v>630</v>
      </c>
      <c r="C321" s="137">
        <v>2018</v>
      </c>
      <c r="D321" s="137">
        <v>3.4269000000000001E-2</v>
      </c>
      <c r="E321" s="137" t="s">
        <v>193</v>
      </c>
      <c r="F321" s="137" t="s">
        <v>53</v>
      </c>
      <c r="G321" s="137">
        <v>2.2999999999999998</v>
      </c>
      <c r="H321" s="137">
        <v>329.19</v>
      </c>
      <c r="I321" s="137">
        <v>0.43</v>
      </c>
      <c r="J321" s="137">
        <v>0.40550000000000003</v>
      </c>
      <c r="K321" s="137" t="s">
        <v>193</v>
      </c>
      <c r="L321" s="137" t="s">
        <v>193</v>
      </c>
      <c r="M321" s="137" t="s">
        <v>193</v>
      </c>
      <c r="N321" s="137" t="s">
        <v>193</v>
      </c>
      <c r="O321" s="137" t="s">
        <v>193</v>
      </c>
      <c r="P321" s="137" t="s">
        <v>193</v>
      </c>
      <c r="Q321" s="137" t="s">
        <v>193</v>
      </c>
      <c r="R321" s="137" t="s">
        <v>193</v>
      </c>
      <c r="S321" s="137" t="s">
        <v>193</v>
      </c>
      <c r="T321" s="137" t="s">
        <v>193</v>
      </c>
      <c r="W321" s="12" t="str">
        <f t="shared" si="16"/>
        <v>Nej</v>
      </c>
      <c r="Y321" s="12" t="str">
        <f t="shared" si="17"/>
        <v>Nej</v>
      </c>
      <c r="Z321" s="12">
        <f t="shared" si="18"/>
        <v>0</v>
      </c>
      <c r="AA321" s="12">
        <f t="shared" si="19"/>
        <v>0</v>
      </c>
    </row>
    <row r="322" spans="1:27" ht="15" customHeight="1" x14ac:dyDescent="0.25">
      <c r="A322" s="137" t="s">
        <v>629</v>
      </c>
      <c r="B322" s="137" t="s">
        <v>631</v>
      </c>
      <c r="C322" s="137">
        <v>2018</v>
      </c>
      <c r="D322" s="137">
        <v>1.2663000000000001E-2</v>
      </c>
      <c r="E322" s="137" t="s">
        <v>193</v>
      </c>
      <c r="F322" s="137" t="s">
        <v>53</v>
      </c>
      <c r="G322" s="137">
        <v>2.2999999999999998</v>
      </c>
      <c r="H322" s="137">
        <v>329.19</v>
      </c>
      <c r="I322" s="137">
        <v>0.43</v>
      </c>
      <c r="J322" s="137">
        <v>0.40550000000000003</v>
      </c>
      <c r="K322" s="137" t="s">
        <v>193</v>
      </c>
      <c r="L322" s="137" t="s">
        <v>193</v>
      </c>
      <c r="M322" s="137" t="s">
        <v>193</v>
      </c>
      <c r="N322" s="137" t="s">
        <v>193</v>
      </c>
      <c r="O322" s="137" t="s">
        <v>193</v>
      </c>
      <c r="P322" s="137" t="s">
        <v>193</v>
      </c>
      <c r="Q322" s="137" t="s">
        <v>193</v>
      </c>
      <c r="R322" s="137" t="s">
        <v>193</v>
      </c>
      <c r="S322" s="137" t="s">
        <v>193</v>
      </c>
      <c r="T322" s="137" t="s">
        <v>193</v>
      </c>
      <c r="W322" s="12" t="str">
        <f t="shared" ref="W322:W385" si="20">IF(OR(AND(G322&lt;&gt;$AD$3,G322&lt;&gt;"-"),AND(H322&lt;&gt;$AD$4,H322&lt;&gt;"-"),AND(I322&lt;&gt;$AD$5,I322&lt;&gt;"-"),AND(J322&lt;&gt;$AD$6,J322&lt;&gt;"-")),"Ja","Nej")</f>
        <v>Nej</v>
      </c>
      <c r="Y322" s="12" t="str">
        <f t="shared" ref="Y322:Y385" si="21">IF(ISERROR(1/K322),"Nej","Ja")</f>
        <v>Nej</v>
      </c>
      <c r="Z322" s="12">
        <f t="shared" ref="Z322:Z385" si="22">IF(Y322="nej",0,K322)</f>
        <v>0</v>
      </c>
      <c r="AA322" s="12">
        <f t="shared" ref="AA322:AA385" si="23">IF(Y322="nej",0,O322/100)</f>
        <v>0</v>
      </c>
    </row>
    <row r="323" spans="1:27" ht="15" customHeight="1" x14ac:dyDescent="0.25">
      <c r="A323" s="137" t="s">
        <v>629</v>
      </c>
      <c r="B323" s="137" t="s">
        <v>632</v>
      </c>
      <c r="C323" s="137">
        <v>2018</v>
      </c>
      <c r="D323" s="137">
        <v>0.57499999999999996</v>
      </c>
      <c r="E323" s="137">
        <v>0</v>
      </c>
      <c r="F323" s="137" t="s">
        <v>53</v>
      </c>
      <c r="G323" s="137">
        <v>2.2999999999999998</v>
      </c>
      <c r="H323" s="137">
        <v>329.19</v>
      </c>
      <c r="I323" s="137">
        <v>0.43</v>
      </c>
      <c r="J323" s="137">
        <v>0.40550000000000003</v>
      </c>
      <c r="K323" s="137" t="s">
        <v>193</v>
      </c>
      <c r="L323" s="137" t="s">
        <v>193</v>
      </c>
      <c r="M323" s="137" t="s">
        <v>193</v>
      </c>
      <c r="N323" s="137" t="s">
        <v>193</v>
      </c>
      <c r="O323" s="137" t="s">
        <v>193</v>
      </c>
      <c r="P323" s="137" t="s">
        <v>193</v>
      </c>
      <c r="Q323" s="137" t="s">
        <v>193</v>
      </c>
      <c r="R323" s="137" t="s">
        <v>193</v>
      </c>
      <c r="S323" s="137" t="s">
        <v>193</v>
      </c>
      <c r="T323" s="137" t="s">
        <v>193</v>
      </c>
      <c r="W323" s="12" t="str">
        <f t="shared" si="20"/>
        <v>Nej</v>
      </c>
      <c r="Y323" s="12" t="str">
        <f t="shared" si="21"/>
        <v>Nej</v>
      </c>
      <c r="Z323" s="12">
        <f t="shared" si="22"/>
        <v>0</v>
      </c>
      <c r="AA323" s="12">
        <f t="shared" si="23"/>
        <v>0</v>
      </c>
    </row>
    <row r="324" spans="1:27" ht="15" customHeight="1" x14ac:dyDescent="0.25">
      <c r="A324" s="137" t="s">
        <v>633</v>
      </c>
      <c r="B324" s="137" t="s">
        <v>634</v>
      </c>
      <c r="C324" s="137">
        <v>2018</v>
      </c>
      <c r="D324" s="137">
        <v>0.16600000000000001</v>
      </c>
      <c r="E324" s="137" t="s">
        <v>193</v>
      </c>
      <c r="F324" s="137" t="s">
        <v>1032</v>
      </c>
      <c r="G324" s="137">
        <v>1.1599999999999999</v>
      </c>
      <c r="H324" s="137">
        <v>31.87</v>
      </c>
      <c r="I324" s="137">
        <v>0</v>
      </c>
      <c r="J324" s="137">
        <v>0</v>
      </c>
      <c r="K324" s="137" t="s">
        <v>193</v>
      </c>
      <c r="L324" s="137" t="s">
        <v>193</v>
      </c>
      <c r="M324" s="137" t="s">
        <v>193</v>
      </c>
      <c r="N324" s="137" t="s">
        <v>193</v>
      </c>
      <c r="O324" s="137" t="s">
        <v>193</v>
      </c>
      <c r="P324" s="137" t="s">
        <v>193</v>
      </c>
      <c r="Q324" s="137" t="s">
        <v>193</v>
      </c>
      <c r="R324" s="137" t="s">
        <v>193</v>
      </c>
      <c r="S324" s="137" t="s">
        <v>193</v>
      </c>
      <c r="T324" s="137" t="s">
        <v>193</v>
      </c>
      <c r="W324" s="12" t="str">
        <f t="shared" si="20"/>
        <v>Ja</v>
      </c>
      <c r="Y324" s="12" t="str">
        <f t="shared" si="21"/>
        <v>Nej</v>
      </c>
      <c r="Z324" s="12">
        <f t="shared" si="22"/>
        <v>0</v>
      </c>
      <c r="AA324" s="12">
        <f t="shared" si="23"/>
        <v>0</v>
      </c>
    </row>
    <row r="325" spans="1:27" ht="15" customHeight="1" x14ac:dyDescent="0.25">
      <c r="A325" s="137" t="s">
        <v>633</v>
      </c>
      <c r="B325" s="137" t="s">
        <v>635</v>
      </c>
      <c r="C325" s="137">
        <v>2018</v>
      </c>
      <c r="D325" s="137">
        <v>0.29699999999999999</v>
      </c>
      <c r="E325" s="137" t="s">
        <v>193</v>
      </c>
      <c r="F325" s="137" t="s">
        <v>1032</v>
      </c>
      <c r="G325" s="137">
        <v>1.1599999999999999</v>
      </c>
      <c r="H325" s="137">
        <v>31.87</v>
      </c>
      <c r="I325" s="137">
        <v>0</v>
      </c>
      <c r="J325" s="137">
        <v>0</v>
      </c>
      <c r="K325" s="137" t="s">
        <v>193</v>
      </c>
      <c r="L325" s="137" t="s">
        <v>193</v>
      </c>
      <c r="M325" s="137" t="s">
        <v>193</v>
      </c>
      <c r="N325" s="137" t="s">
        <v>193</v>
      </c>
      <c r="O325" s="137" t="s">
        <v>193</v>
      </c>
      <c r="P325" s="137" t="s">
        <v>193</v>
      </c>
      <c r="Q325" s="137" t="s">
        <v>193</v>
      </c>
      <c r="R325" s="137" t="s">
        <v>193</v>
      </c>
      <c r="S325" s="137" t="s">
        <v>193</v>
      </c>
      <c r="T325" s="137" t="s">
        <v>193</v>
      </c>
      <c r="W325" s="12" t="str">
        <f t="shared" si="20"/>
        <v>Ja</v>
      </c>
      <c r="Y325" s="12" t="str">
        <f t="shared" si="21"/>
        <v>Nej</v>
      </c>
      <c r="Z325" s="12">
        <f t="shared" si="22"/>
        <v>0</v>
      </c>
      <c r="AA325" s="12">
        <f t="shared" si="23"/>
        <v>0</v>
      </c>
    </row>
    <row r="326" spans="1:27" ht="15" customHeight="1" x14ac:dyDescent="0.25">
      <c r="A326" s="137" t="s">
        <v>633</v>
      </c>
      <c r="B326" s="137" t="s">
        <v>636</v>
      </c>
      <c r="C326" s="137">
        <v>2018</v>
      </c>
      <c r="D326" s="137">
        <v>3.4000000000000002E-2</v>
      </c>
      <c r="E326" s="137" t="s">
        <v>193</v>
      </c>
      <c r="F326" s="137" t="s">
        <v>1032</v>
      </c>
      <c r="G326" s="137">
        <v>1.1599999999999999</v>
      </c>
      <c r="H326" s="137">
        <v>31.87</v>
      </c>
      <c r="I326" s="137">
        <v>0</v>
      </c>
      <c r="J326" s="137">
        <v>0</v>
      </c>
      <c r="K326" s="137" t="s">
        <v>193</v>
      </c>
      <c r="L326" s="137" t="s">
        <v>193</v>
      </c>
      <c r="M326" s="137" t="s">
        <v>193</v>
      </c>
      <c r="N326" s="137" t="s">
        <v>193</v>
      </c>
      <c r="O326" s="137" t="s">
        <v>193</v>
      </c>
      <c r="P326" s="137" t="s">
        <v>193</v>
      </c>
      <c r="Q326" s="137" t="s">
        <v>193</v>
      </c>
      <c r="R326" s="137" t="s">
        <v>193</v>
      </c>
      <c r="S326" s="137" t="s">
        <v>193</v>
      </c>
      <c r="T326" s="137" t="s">
        <v>193</v>
      </c>
      <c r="W326" s="12" t="str">
        <f t="shared" si="20"/>
        <v>Ja</v>
      </c>
      <c r="Y326" s="12" t="str">
        <f t="shared" si="21"/>
        <v>Nej</v>
      </c>
      <c r="Z326" s="12">
        <f t="shared" si="22"/>
        <v>0</v>
      </c>
      <c r="AA326" s="12">
        <f t="shared" si="23"/>
        <v>0</v>
      </c>
    </row>
    <row r="327" spans="1:27" ht="15" customHeight="1" x14ac:dyDescent="0.25">
      <c r="A327" s="137" t="s">
        <v>633</v>
      </c>
      <c r="B327" s="137" t="s">
        <v>637</v>
      </c>
      <c r="C327" s="137">
        <v>2018</v>
      </c>
      <c r="D327" s="137">
        <v>12.5</v>
      </c>
      <c r="E327" s="137">
        <v>40.799999999999997</v>
      </c>
      <c r="F327" s="137" t="s">
        <v>1032</v>
      </c>
      <c r="G327" s="137">
        <v>1.1599999999999999</v>
      </c>
      <c r="H327" s="137">
        <v>31.87</v>
      </c>
      <c r="I327" s="137">
        <v>0</v>
      </c>
      <c r="J327" s="137">
        <v>0</v>
      </c>
      <c r="K327" s="137" t="s">
        <v>193</v>
      </c>
      <c r="L327" s="137" t="s">
        <v>193</v>
      </c>
      <c r="M327" s="137" t="s">
        <v>193</v>
      </c>
      <c r="N327" s="137" t="s">
        <v>193</v>
      </c>
      <c r="O327" s="137" t="s">
        <v>193</v>
      </c>
      <c r="P327" s="137" t="s">
        <v>193</v>
      </c>
      <c r="Q327" s="137" t="s">
        <v>193</v>
      </c>
      <c r="R327" s="137" t="s">
        <v>193</v>
      </c>
      <c r="S327" s="137" t="s">
        <v>193</v>
      </c>
      <c r="T327" s="137" t="s">
        <v>193</v>
      </c>
      <c r="W327" s="12" t="str">
        <f t="shared" si="20"/>
        <v>Ja</v>
      </c>
      <c r="Y327" s="12" t="str">
        <f t="shared" si="21"/>
        <v>Nej</v>
      </c>
      <c r="Z327" s="12">
        <f t="shared" si="22"/>
        <v>0</v>
      </c>
      <c r="AA327" s="12">
        <f t="shared" si="23"/>
        <v>0</v>
      </c>
    </row>
    <row r="328" spans="1:27" ht="15" customHeight="1" x14ac:dyDescent="0.25">
      <c r="A328" s="137" t="s">
        <v>638</v>
      </c>
      <c r="B328" s="137" t="s">
        <v>639</v>
      </c>
      <c r="C328" s="137">
        <v>2018</v>
      </c>
      <c r="D328" s="137">
        <v>0.56699999999999995</v>
      </c>
      <c r="E328" s="137" t="s">
        <v>193</v>
      </c>
      <c r="F328" s="137" t="s">
        <v>1033</v>
      </c>
      <c r="G328" s="137">
        <v>1.1000000000000001</v>
      </c>
      <c r="H328" s="137">
        <v>0</v>
      </c>
      <c r="I328" s="137">
        <v>0</v>
      </c>
      <c r="J328" s="137">
        <v>0</v>
      </c>
      <c r="K328" s="137" t="s">
        <v>193</v>
      </c>
      <c r="L328" s="137" t="s">
        <v>193</v>
      </c>
      <c r="M328" s="137" t="s">
        <v>193</v>
      </c>
      <c r="N328" s="137" t="s">
        <v>193</v>
      </c>
      <c r="O328" s="137" t="s">
        <v>193</v>
      </c>
      <c r="P328" s="137" t="s">
        <v>193</v>
      </c>
      <c r="Q328" s="137" t="s">
        <v>193</v>
      </c>
      <c r="R328" s="137" t="s">
        <v>193</v>
      </c>
      <c r="S328" s="137" t="s">
        <v>193</v>
      </c>
      <c r="T328" s="137" t="s">
        <v>193</v>
      </c>
      <c r="W328" s="12" t="str">
        <f t="shared" si="20"/>
        <v>Ja</v>
      </c>
      <c r="Y328" s="12" t="str">
        <f t="shared" si="21"/>
        <v>Nej</v>
      </c>
      <c r="Z328" s="12">
        <f t="shared" si="22"/>
        <v>0</v>
      </c>
      <c r="AA328" s="12">
        <f t="shared" si="23"/>
        <v>0</v>
      </c>
    </row>
    <row r="329" spans="1:27" ht="15" customHeight="1" x14ac:dyDescent="0.25">
      <c r="A329" s="137" t="s">
        <v>638</v>
      </c>
      <c r="B329" s="137" t="s">
        <v>641</v>
      </c>
      <c r="C329" s="137">
        <v>2018</v>
      </c>
      <c r="D329" s="137">
        <v>0.86799999999999999</v>
      </c>
      <c r="E329" s="137" t="s">
        <v>193</v>
      </c>
      <c r="F329" s="137" t="s">
        <v>1033</v>
      </c>
      <c r="G329" s="137">
        <v>1.1000000000000001</v>
      </c>
      <c r="H329" s="137">
        <v>0</v>
      </c>
      <c r="I329" s="137">
        <v>0</v>
      </c>
      <c r="J329" s="137">
        <v>0</v>
      </c>
      <c r="K329" s="137" t="s">
        <v>193</v>
      </c>
      <c r="L329" s="137" t="s">
        <v>193</v>
      </c>
      <c r="M329" s="137" t="s">
        <v>193</v>
      </c>
      <c r="N329" s="137" t="s">
        <v>193</v>
      </c>
      <c r="O329" s="137" t="s">
        <v>193</v>
      </c>
      <c r="P329" s="137" t="s">
        <v>193</v>
      </c>
      <c r="Q329" s="137" t="s">
        <v>193</v>
      </c>
      <c r="R329" s="137" t="s">
        <v>193</v>
      </c>
      <c r="S329" s="137" t="s">
        <v>193</v>
      </c>
      <c r="T329" s="137" t="s">
        <v>193</v>
      </c>
      <c r="W329" s="12" t="str">
        <f t="shared" si="20"/>
        <v>Ja</v>
      </c>
      <c r="Y329" s="12" t="str">
        <f t="shared" si="21"/>
        <v>Nej</v>
      </c>
      <c r="Z329" s="12">
        <f t="shared" si="22"/>
        <v>0</v>
      </c>
      <c r="AA329" s="12">
        <f t="shared" si="23"/>
        <v>0</v>
      </c>
    </row>
    <row r="330" spans="1:27" ht="15" customHeight="1" x14ac:dyDescent="0.25">
      <c r="A330" s="137" t="s">
        <v>643</v>
      </c>
      <c r="B330" s="137" t="s">
        <v>644</v>
      </c>
      <c r="C330" s="137">
        <v>2018</v>
      </c>
      <c r="D330" s="137">
        <v>0.54900000000000004</v>
      </c>
      <c r="E330" s="137" t="s">
        <v>193</v>
      </c>
      <c r="F330" s="137" t="s">
        <v>1034</v>
      </c>
      <c r="G330" s="137">
        <v>0.1</v>
      </c>
      <c r="H330" s="137">
        <v>0</v>
      </c>
      <c r="I330" s="137">
        <v>0</v>
      </c>
      <c r="J330" s="137">
        <v>0</v>
      </c>
      <c r="K330" s="137" t="s">
        <v>193</v>
      </c>
      <c r="L330" s="137" t="s">
        <v>193</v>
      </c>
      <c r="M330" s="137" t="s">
        <v>193</v>
      </c>
      <c r="N330" s="137" t="s">
        <v>193</v>
      </c>
      <c r="O330" s="137" t="s">
        <v>193</v>
      </c>
      <c r="P330" s="137" t="s">
        <v>193</v>
      </c>
      <c r="Q330" s="137" t="s">
        <v>193</v>
      </c>
      <c r="R330" s="137" t="s">
        <v>193</v>
      </c>
      <c r="S330" s="137" t="s">
        <v>193</v>
      </c>
      <c r="T330" s="137" t="s">
        <v>193</v>
      </c>
      <c r="W330" s="12" t="str">
        <f t="shared" si="20"/>
        <v>Ja</v>
      </c>
      <c r="Y330" s="12" t="str">
        <f t="shared" si="21"/>
        <v>Nej</v>
      </c>
      <c r="Z330" s="12">
        <f t="shared" si="22"/>
        <v>0</v>
      </c>
      <c r="AA330" s="12">
        <f t="shared" si="23"/>
        <v>0</v>
      </c>
    </row>
    <row r="331" spans="1:27" ht="15" customHeight="1" x14ac:dyDescent="0.25">
      <c r="A331" s="137" t="s">
        <v>645</v>
      </c>
      <c r="B331" s="137" t="s">
        <v>646</v>
      </c>
      <c r="C331" s="137">
        <v>2018</v>
      </c>
      <c r="D331" s="137">
        <v>9.4E-2</v>
      </c>
      <c r="E331" s="137" t="s">
        <v>193</v>
      </c>
      <c r="F331" s="137" t="s">
        <v>1035</v>
      </c>
      <c r="G331" s="137">
        <v>0.78</v>
      </c>
      <c r="H331" s="137">
        <v>0</v>
      </c>
      <c r="I331" s="137">
        <v>0</v>
      </c>
      <c r="J331" s="137">
        <v>0</v>
      </c>
      <c r="K331" s="137" t="s">
        <v>193</v>
      </c>
      <c r="L331" s="137" t="s">
        <v>193</v>
      </c>
      <c r="M331" s="137" t="s">
        <v>193</v>
      </c>
      <c r="N331" s="137" t="s">
        <v>193</v>
      </c>
      <c r="O331" s="137" t="s">
        <v>193</v>
      </c>
      <c r="P331" s="137" t="s">
        <v>193</v>
      </c>
      <c r="Q331" s="137" t="s">
        <v>193</v>
      </c>
      <c r="R331" s="137" t="s">
        <v>193</v>
      </c>
      <c r="S331" s="137" t="s">
        <v>193</v>
      </c>
      <c r="T331" s="137" t="s">
        <v>193</v>
      </c>
      <c r="W331" s="12" t="str">
        <f t="shared" si="20"/>
        <v>Ja</v>
      </c>
      <c r="Y331" s="12" t="str">
        <f t="shared" si="21"/>
        <v>Nej</v>
      </c>
      <c r="Z331" s="12">
        <f t="shared" si="22"/>
        <v>0</v>
      </c>
      <c r="AA331" s="12">
        <f t="shared" si="23"/>
        <v>0</v>
      </c>
    </row>
    <row r="332" spans="1:27" ht="15" customHeight="1" x14ac:dyDescent="0.25">
      <c r="A332" s="137" t="s">
        <v>645</v>
      </c>
      <c r="B332" s="137" t="s">
        <v>647</v>
      </c>
      <c r="C332" s="137">
        <v>2018</v>
      </c>
      <c r="D332" s="137">
        <v>1.4</v>
      </c>
      <c r="E332" s="137" t="s">
        <v>193</v>
      </c>
      <c r="F332" s="137" t="s">
        <v>1036</v>
      </c>
      <c r="G332" s="137">
        <v>0.78</v>
      </c>
      <c r="H332" s="137">
        <v>0</v>
      </c>
      <c r="I332" s="137">
        <v>0</v>
      </c>
      <c r="J332" s="137">
        <v>0</v>
      </c>
      <c r="K332" s="137" t="s">
        <v>193</v>
      </c>
      <c r="L332" s="137" t="s">
        <v>193</v>
      </c>
      <c r="M332" s="137" t="s">
        <v>193</v>
      </c>
      <c r="N332" s="137" t="s">
        <v>193</v>
      </c>
      <c r="O332" s="137" t="s">
        <v>193</v>
      </c>
      <c r="P332" s="137" t="s">
        <v>193</v>
      </c>
      <c r="Q332" s="137" t="s">
        <v>193</v>
      </c>
      <c r="R332" s="137" t="s">
        <v>193</v>
      </c>
      <c r="S332" s="137" t="s">
        <v>193</v>
      </c>
      <c r="T332" s="137" t="s">
        <v>193</v>
      </c>
      <c r="W332" s="12" t="str">
        <f t="shared" si="20"/>
        <v>Ja</v>
      </c>
      <c r="Y332" s="12" t="str">
        <f t="shared" si="21"/>
        <v>Nej</v>
      </c>
      <c r="Z332" s="12">
        <f t="shared" si="22"/>
        <v>0</v>
      </c>
      <c r="AA332" s="12">
        <f t="shared" si="23"/>
        <v>0</v>
      </c>
    </row>
    <row r="333" spans="1:27" ht="15" customHeight="1" x14ac:dyDescent="0.25">
      <c r="A333" s="137" t="s">
        <v>645</v>
      </c>
      <c r="B333" s="137" t="s">
        <v>648</v>
      </c>
      <c r="C333" s="137">
        <v>2018</v>
      </c>
      <c r="D333" s="137">
        <v>8.1000000000000003E-2</v>
      </c>
      <c r="E333" s="137" t="s">
        <v>193</v>
      </c>
      <c r="F333" s="137" t="s">
        <v>1036</v>
      </c>
      <c r="G333" s="137">
        <v>0.78</v>
      </c>
      <c r="H333" s="137">
        <v>0</v>
      </c>
      <c r="I333" s="137">
        <v>0</v>
      </c>
      <c r="J333" s="137">
        <v>0</v>
      </c>
      <c r="K333" s="137" t="s">
        <v>193</v>
      </c>
      <c r="L333" s="137" t="s">
        <v>193</v>
      </c>
      <c r="M333" s="137" t="s">
        <v>193</v>
      </c>
      <c r="N333" s="137" t="s">
        <v>193</v>
      </c>
      <c r="O333" s="137" t="s">
        <v>193</v>
      </c>
      <c r="P333" s="137" t="s">
        <v>193</v>
      </c>
      <c r="Q333" s="137" t="s">
        <v>193</v>
      </c>
      <c r="R333" s="137" t="s">
        <v>193</v>
      </c>
      <c r="S333" s="137" t="s">
        <v>193</v>
      </c>
      <c r="T333" s="137" t="s">
        <v>193</v>
      </c>
      <c r="W333" s="12" t="str">
        <f t="shared" si="20"/>
        <v>Ja</v>
      </c>
      <c r="Y333" s="12" t="str">
        <f t="shared" si="21"/>
        <v>Nej</v>
      </c>
      <c r="Z333" s="12">
        <f t="shared" si="22"/>
        <v>0</v>
      </c>
      <c r="AA333" s="12">
        <f t="shared" si="23"/>
        <v>0</v>
      </c>
    </row>
    <row r="334" spans="1:27" ht="15" customHeight="1" x14ac:dyDescent="0.25">
      <c r="A334" s="137" t="s">
        <v>649</v>
      </c>
      <c r="B334" s="137" t="s">
        <v>650</v>
      </c>
      <c r="C334" s="137">
        <v>2018</v>
      </c>
      <c r="D334" s="137">
        <v>0.50600000000000001</v>
      </c>
      <c r="E334" s="137" t="s">
        <v>193</v>
      </c>
      <c r="F334" s="137" t="s">
        <v>53</v>
      </c>
      <c r="G334" s="137">
        <v>2.2999999999999998</v>
      </c>
      <c r="H334" s="137">
        <v>329.19</v>
      </c>
      <c r="I334" s="137">
        <v>0.43</v>
      </c>
      <c r="J334" s="137">
        <v>0.40550000000000003</v>
      </c>
      <c r="K334" s="137" t="s">
        <v>193</v>
      </c>
      <c r="L334" s="137" t="s">
        <v>193</v>
      </c>
      <c r="M334" s="137" t="s">
        <v>193</v>
      </c>
      <c r="N334" s="137" t="s">
        <v>193</v>
      </c>
      <c r="O334" s="137" t="s">
        <v>193</v>
      </c>
      <c r="P334" s="137" t="s">
        <v>193</v>
      </c>
      <c r="Q334" s="137" t="s">
        <v>193</v>
      </c>
      <c r="R334" s="137" t="s">
        <v>193</v>
      </c>
      <c r="S334" s="137" t="s">
        <v>193</v>
      </c>
      <c r="T334" s="137" t="s">
        <v>193</v>
      </c>
      <c r="W334" s="12" t="str">
        <f t="shared" si="20"/>
        <v>Nej</v>
      </c>
      <c r="Y334" s="12" t="str">
        <f t="shared" si="21"/>
        <v>Nej</v>
      </c>
      <c r="Z334" s="12">
        <f t="shared" si="22"/>
        <v>0</v>
      </c>
      <c r="AA334" s="12">
        <f t="shared" si="23"/>
        <v>0</v>
      </c>
    </row>
    <row r="335" spans="1:27" ht="15" customHeight="1" x14ac:dyDescent="0.25">
      <c r="A335" s="137" t="s">
        <v>649</v>
      </c>
      <c r="B335" s="137" t="s">
        <v>651</v>
      </c>
      <c r="C335" s="137">
        <v>2018</v>
      </c>
      <c r="D335" s="137">
        <v>0.127</v>
      </c>
      <c r="E335" s="137" t="s">
        <v>193</v>
      </c>
      <c r="F335" s="137" t="s">
        <v>53</v>
      </c>
      <c r="G335" s="137">
        <v>2.2999999999999998</v>
      </c>
      <c r="H335" s="137">
        <v>329.19</v>
      </c>
      <c r="I335" s="137">
        <v>0.43</v>
      </c>
      <c r="J335" s="137">
        <v>0.40550000000000003</v>
      </c>
      <c r="K335" s="137" t="s">
        <v>193</v>
      </c>
      <c r="L335" s="137" t="s">
        <v>193</v>
      </c>
      <c r="M335" s="137" t="s">
        <v>193</v>
      </c>
      <c r="N335" s="137" t="s">
        <v>193</v>
      </c>
      <c r="O335" s="137" t="s">
        <v>193</v>
      </c>
      <c r="P335" s="137" t="s">
        <v>193</v>
      </c>
      <c r="Q335" s="137" t="s">
        <v>193</v>
      </c>
      <c r="R335" s="137" t="s">
        <v>193</v>
      </c>
      <c r="S335" s="137" t="s">
        <v>193</v>
      </c>
      <c r="T335" s="137" t="s">
        <v>193</v>
      </c>
      <c r="W335" s="12" t="str">
        <f t="shared" si="20"/>
        <v>Nej</v>
      </c>
      <c r="Y335" s="12" t="str">
        <f t="shared" si="21"/>
        <v>Nej</v>
      </c>
      <c r="Z335" s="12">
        <f t="shared" si="22"/>
        <v>0</v>
      </c>
      <c r="AA335" s="12">
        <f t="shared" si="23"/>
        <v>0</v>
      </c>
    </row>
    <row r="336" spans="1:27" ht="15" customHeight="1" x14ac:dyDescent="0.25">
      <c r="A336" s="137" t="s">
        <v>649</v>
      </c>
      <c r="B336" s="137" t="s">
        <v>652</v>
      </c>
      <c r="C336" s="137">
        <v>2018</v>
      </c>
      <c r="D336" s="137">
        <v>3.6</v>
      </c>
      <c r="E336" s="137" t="s">
        <v>193</v>
      </c>
      <c r="F336" s="137" t="s">
        <v>53</v>
      </c>
      <c r="G336" s="137">
        <v>2.2999999999999998</v>
      </c>
      <c r="H336" s="137">
        <v>329.19</v>
      </c>
      <c r="I336" s="137">
        <v>0.43</v>
      </c>
      <c r="J336" s="137">
        <v>0.40550000000000003</v>
      </c>
      <c r="K336" s="137" t="s">
        <v>193</v>
      </c>
      <c r="L336" s="137" t="s">
        <v>193</v>
      </c>
      <c r="M336" s="137" t="s">
        <v>193</v>
      </c>
      <c r="N336" s="137" t="s">
        <v>193</v>
      </c>
      <c r="O336" s="137" t="s">
        <v>193</v>
      </c>
      <c r="P336" s="137" t="s">
        <v>193</v>
      </c>
      <c r="Q336" s="137" t="s">
        <v>193</v>
      </c>
      <c r="R336" s="137" t="s">
        <v>193</v>
      </c>
      <c r="S336" s="137" t="s">
        <v>193</v>
      </c>
      <c r="T336" s="137" t="s">
        <v>193</v>
      </c>
      <c r="W336" s="12" t="str">
        <f t="shared" si="20"/>
        <v>Nej</v>
      </c>
      <c r="Y336" s="12" t="str">
        <f t="shared" si="21"/>
        <v>Nej</v>
      </c>
      <c r="Z336" s="12">
        <f t="shared" si="22"/>
        <v>0</v>
      </c>
      <c r="AA336" s="12">
        <f t="shared" si="23"/>
        <v>0</v>
      </c>
    </row>
    <row r="337" spans="1:27" ht="15" customHeight="1" x14ac:dyDescent="0.25">
      <c r="A337" s="137" t="s">
        <v>649</v>
      </c>
      <c r="B337" s="137" t="s">
        <v>653</v>
      </c>
      <c r="C337" s="137">
        <v>2018</v>
      </c>
      <c r="D337" s="137">
        <v>4.3999999999999997E-2</v>
      </c>
      <c r="E337" s="137" t="s">
        <v>193</v>
      </c>
      <c r="F337" s="137" t="s">
        <v>53</v>
      </c>
      <c r="G337" s="137">
        <v>2.2999999999999998</v>
      </c>
      <c r="H337" s="137">
        <v>329.19</v>
      </c>
      <c r="I337" s="137">
        <v>0.43</v>
      </c>
      <c r="J337" s="137">
        <v>0.40550000000000003</v>
      </c>
      <c r="K337" s="137" t="s">
        <v>193</v>
      </c>
      <c r="L337" s="137" t="s">
        <v>193</v>
      </c>
      <c r="M337" s="137" t="s">
        <v>193</v>
      </c>
      <c r="N337" s="137" t="s">
        <v>193</v>
      </c>
      <c r="O337" s="137" t="s">
        <v>193</v>
      </c>
      <c r="P337" s="137" t="s">
        <v>193</v>
      </c>
      <c r="Q337" s="137" t="s">
        <v>193</v>
      </c>
      <c r="R337" s="137" t="s">
        <v>193</v>
      </c>
      <c r="S337" s="137" t="s">
        <v>193</v>
      </c>
      <c r="T337" s="137" t="s">
        <v>193</v>
      </c>
      <c r="W337" s="12" t="str">
        <f t="shared" si="20"/>
        <v>Nej</v>
      </c>
      <c r="Y337" s="12" t="str">
        <f t="shared" si="21"/>
        <v>Nej</v>
      </c>
      <c r="Z337" s="12">
        <f t="shared" si="22"/>
        <v>0</v>
      </c>
      <c r="AA337" s="12">
        <f t="shared" si="23"/>
        <v>0</v>
      </c>
    </row>
    <row r="338" spans="1:27" ht="15" customHeight="1" x14ac:dyDescent="0.25">
      <c r="A338" s="137" t="s">
        <v>649</v>
      </c>
      <c r="B338" s="137" t="s">
        <v>138</v>
      </c>
      <c r="C338" s="137">
        <v>2018</v>
      </c>
      <c r="D338" s="137">
        <v>0.35</v>
      </c>
      <c r="E338" s="137" t="s">
        <v>193</v>
      </c>
      <c r="F338" s="137" t="s">
        <v>53</v>
      </c>
      <c r="G338" s="137">
        <v>2.2999999999999998</v>
      </c>
      <c r="H338" s="137">
        <v>329.19</v>
      </c>
      <c r="I338" s="137">
        <v>0.43</v>
      </c>
      <c r="J338" s="137">
        <v>0.40550000000000003</v>
      </c>
      <c r="K338" s="137" t="s">
        <v>193</v>
      </c>
      <c r="L338" s="137" t="s">
        <v>193</v>
      </c>
      <c r="M338" s="137" t="s">
        <v>193</v>
      </c>
      <c r="N338" s="137" t="s">
        <v>193</v>
      </c>
      <c r="O338" s="137" t="s">
        <v>193</v>
      </c>
      <c r="P338" s="137" t="s">
        <v>193</v>
      </c>
      <c r="Q338" s="137" t="s">
        <v>193</v>
      </c>
      <c r="R338" s="137" t="s">
        <v>193</v>
      </c>
      <c r="S338" s="137" t="s">
        <v>193</v>
      </c>
      <c r="T338" s="137" t="s">
        <v>193</v>
      </c>
      <c r="W338" s="12" t="str">
        <f t="shared" si="20"/>
        <v>Nej</v>
      </c>
      <c r="Y338" s="12" t="str">
        <f t="shared" si="21"/>
        <v>Nej</v>
      </c>
      <c r="Z338" s="12">
        <f t="shared" si="22"/>
        <v>0</v>
      </c>
      <c r="AA338" s="12">
        <f t="shared" si="23"/>
        <v>0</v>
      </c>
    </row>
    <row r="339" spans="1:27" ht="15" customHeight="1" x14ac:dyDescent="0.25">
      <c r="A339" s="137" t="s">
        <v>654</v>
      </c>
      <c r="B339" s="137" t="s">
        <v>655</v>
      </c>
      <c r="C339" s="137">
        <v>2018</v>
      </c>
      <c r="D339" s="137">
        <v>0.65300000000000002</v>
      </c>
      <c r="E339" s="137" t="s">
        <v>193</v>
      </c>
      <c r="F339" s="137" t="s">
        <v>53</v>
      </c>
      <c r="G339" s="137">
        <v>1.9</v>
      </c>
      <c r="H339" s="137">
        <v>0.05</v>
      </c>
      <c r="I339" s="137">
        <v>0</v>
      </c>
      <c r="J339" s="137">
        <v>0.59399999999999997</v>
      </c>
      <c r="K339" s="137" t="s">
        <v>193</v>
      </c>
      <c r="L339" s="137" t="s">
        <v>193</v>
      </c>
      <c r="M339" s="137" t="s">
        <v>193</v>
      </c>
      <c r="N339" s="137" t="s">
        <v>193</v>
      </c>
      <c r="O339" s="137" t="s">
        <v>193</v>
      </c>
      <c r="P339" s="137" t="s">
        <v>193</v>
      </c>
      <c r="Q339" s="137" t="s">
        <v>193</v>
      </c>
      <c r="R339" s="137" t="s">
        <v>193</v>
      </c>
      <c r="S339" s="137" t="s">
        <v>193</v>
      </c>
      <c r="T339" s="137" t="s">
        <v>193</v>
      </c>
      <c r="W339" s="12" t="str">
        <f t="shared" si="20"/>
        <v>Ja</v>
      </c>
      <c r="Y339" s="12" t="str">
        <f t="shared" si="21"/>
        <v>Nej</v>
      </c>
      <c r="Z339" s="12">
        <f t="shared" si="22"/>
        <v>0</v>
      </c>
      <c r="AA339" s="12">
        <f t="shared" si="23"/>
        <v>0</v>
      </c>
    </row>
    <row r="340" spans="1:27" ht="15" customHeight="1" x14ac:dyDescent="0.25">
      <c r="A340" s="137" t="s">
        <v>654</v>
      </c>
      <c r="B340" s="137" t="s">
        <v>656</v>
      </c>
      <c r="C340" s="137">
        <v>2018</v>
      </c>
      <c r="D340" s="137">
        <v>10.199999999999999</v>
      </c>
      <c r="E340" s="137">
        <v>14.2</v>
      </c>
      <c r="F340" s="137" t="s">
        <v>1037</v>
      </c>
      <c r="G340" s="137">
        <v>0.05</v>
      </c>
      <c r="H340" s="137">
        <v>0</v>
      </c>
      <c r="I340" s="137">
        <v>0</v>
      </c>
      <c r="J340" s="137">
        <v>0</v>
      </c>
      <c r="K340" s="137" t="s">
        <v>193</v>
      </c>
      <c r="L340" s="137" t="s">
        <v>193</v>
      </c>
      <c r="M340" s="137" t="s">
        <v>193</v>
      </c>
      <c r="N340" s="137" t="s">
        <v>193</v>
      </c>
      <c r="O340" s="137" t="s">
        <v>193</v>
      </c>
      <c r="P340" s="137" t="s">
        <v>193</v>
      </c>
      <c r="Q340" s="137" t="s">
        <v>193</v>
      </c>
      <c r="R340" s="137" t="s">
        <v>193</v>
      </c>
      <c r="S340" s="137" t="s">
        <v>193</v>
      </c>
      <c r="T340" s="137" t="s">
        <v>193</v>
      </c>
      <c r="W340" s="12" t="str">
        <f t="shared" si="20"/>
        <v>Ja</v>
      </c>
      <c r="Y340" s="12" t="str">
        <f t="shared" si="21"/>
        <v>Nej</v>
      </c>
      <c r="Z340" s="12">
        <f t="shared" si="22"/>
        <v>0</v>
      </c>
      <c r="AA340" s="12">
        <f t="shared" si="23"/>
        <v>0</v>
      </c>
    </row>
    <row r="341" spans="1:27" ht="15" customHeight="1" x14ac:dyDescent="0.25">
      <c r="A341" s="137" t="s">
        <v>654</v>
      </c>
      <c r="B341" s="137" t="s">
        <v>657</v>
      </c>
      <c r="C341" s="137">
        <v>2018</v>
      </c>
      <c r="D341" s="137">
        <v>1.6</v>
      </c>
      <c r="E341" s="137" t="s">
        <v>193</v>
      </c>
      <c r="F341" s="137" t="s">
        <v>1038</v>
      </c>
      <c r="G341" s="137">
        <v>1.9</v>
      </c>
      <c r="H341" s="137">
        <v>0.05</v>
      </c>
      <c r="I341" s="137">
        <v>0</v>
      </c>
      <c r="J341" s="137">
        <v>0.59399999999999997</v>
      </c>
      <c r="K341" s="137" t="s">
        <v>193</v>
      </c>
      <c r="L341" s="137" t="s">
        <v>193</v>
      </c>
      <c r="M341" s="137" t="s">
        <v>193</v>
      </c>
      <c r="N341" s="137" t="s">
        <v>193</v>
      </c>
      <c r="O341" s="137" t="s">
        <v>193</v>
      </c>
      <c r="P341" s="137" t="s">
        <v>193</v>
      </c>
      <c r="Q341" s="137" t="s">
        <v>193</v>
      </c>
      <c r="R341" s="137" t="s">
        <v>193</v>
      </c>
      <c r="S341" s="137" t="s">
        <v>193</v>
      </c>
      <c r="T341" s="137" t="s">
        <v>193</v>
      </c>
      <c r="W341" s="12" t="str">
        <f t="shared" si="20"/>
        <v>Ja</v>
      </c>
      <c r="Y341" s="12" t="str">
        <f t="shared" si="21"/>
        <v>Nej</v>
      </c>
      <c r="Z341" s="12">
        <f t="shared" si="22"/>
        <v>0</v>
      </c>
      <c r="AA341" s="12">
        <f t="shared" si="23"/>
        <v>0</v>
      </c>
    </row>
    <row r="342" spans="1:27" ht="15" customHeight="1" x14ac:dyDescent="0.25">
      <c r="A342" s="137" t="s">
        <v>654</v>
      </c>
      <c r="B342" s="141" t="s">
        <v>11</v>
      </c>
      <c r="C342" s="137">
        <v>2018</v>
      </c>
      <c r="D342" s="137">
        <v>2.1</v>
      </c>
      <c r="E342" s="137" t="s">
        <v>193</v>
      </c>
      <c r="F342" s="137" t="s">
        <v>1039</v>
      </c>
      <c r="G342" s="137">
        <v>1.9</v>
      </c>
      <c r="H342" s="137">
        <v>0.05</v>
      </c>
      <c r="I342" s="137">
        <v>0</v>
      </c>
      <c r="J342" s="137">
        <v>0.59399999999999997</v>
      </c>
      <c r="K342" s="137" t="s">
        <v>193</v>
      </c>
      <c r="L342" s="137" t="s">
        <v>193</v>
      </c>
      <c r="M342" s="137" t="s">
        <v>193</v>
      </c>
      <c r="N342" s="137" t="s">
        <v>193</v>
      </c>
      <c r="O342" s="137" t="s">
        <v>193</v>
      </c>
      <c r="P342" s="137" t="s">
        <v>193</v>
      </c>
      <c r="Q342" s="137" t="s">
        <v>193</v>
      </c>
      <c r="R342" s="137" t="s">
        <v>193</v>
      </c>
      <c r="S342" s="137" t="s">
        <v>193</v>
      </c>
      <c r="T342" s="137" t="s">
        <v>193</v>
      </c>
      <c r="W342" s="12" t="str">
        <f t="shared" si="20"/>
        <v>Ja</v>
      </c>
      <c r="Y342" s="12" t="str">
        <f t="shared" si="21"/>
        <v>Nej</v>
      </c>
      <c r="Z342" s="12">
        <f t="shared" si="22"/>
        <v>0</v>
      </c>
      <c r="AA342" s="12">
        <f t="shared" si="23"/>
        <v>0</v>
      </c>
    </row>
    <row r="343" spans="1:27" ht="15" customHeight="1" x14ac:dyDescent="0.25">
      <c r="A343" s="137" t="s">
        <v>654</v>
      </c>
      <c r="B343" s="137" t="s">
        <v>658</v>
      </c>
      <c r="C343" s="137">
        <v>2018</v>
      </c>
      <c r="D343" s="137">
        <v>5.4</v>
      </c>
      <c r="E343" s="137">
        <v>2.2999999999999998</v>
      </c>
      <c r="F343" s="137" t="s">
        <v>1040</v>
      </c>
      <c r="G343" s="137">
        <v>0.05</v>
      </c>
      <c r="H343" s="137">
        <v>0</v>
      </c>
      <c r="I343" s="137">
        <v>0</v>
      </c>
      <c r="J343" s="137">
        <v>0</v>
      </c>
      <c r="K343" s="137" t="s">
        <v>193</v>
      </c>
      <c r="L343" s="137" t="s">
        <v>193</v>
      </c>
      <c r="M343" s="137" t="s">
        <v>193</v>
      </c>
      <c r="N343" s="137" t="s">
        <v>193</v>
      </c>
      <c r="O343" s="137" t="s">
        <v>193</v>
      </c>
      <c r="P343" s="137" t="s">
        <v>193</v>
      </c>
      <c r="Q343" s="137" t="s">
        <v>193</v>
      </c>
      <c r="R343" s="137" t="s">
        <v>193</v>
      </c>
      <c r="S343" s="137" t="s">
        <v>193</v>
      </c>
      <c r="T343" s="137" t="s">
        <v>193</v>
      </c>
      <c r="W343" s="12" t="str">
        <f t="shared" si="20"/>
        <v>Ja</v>
      </c>
      <c r="Y343" s="12" t="str">
        <f t="shared" si="21"/>
        <v>Nej</v>
      </c>
      <c r="Z343" s="12">
        <f t="shared" si="22"/>
        <v>0</v>
      </c>
      <c r="AA343" s="12">
        <f t="shared" si="23"/>
        <v>0</v>
      </c>
    </row>
    <row r="344" spans="1:27" ht="15" customHeight="1" x14ac:dyDescent="0.25">
      <c r="A344" s="137" t="s">
        <v>654</v>
      </c>
      <c r="B344" s="137" t="s">
        <v>659</v>
      </c>
      <c r="C344" s="137">
        <v>2018</v>
      </c>
      <c r="D344" s="137">
        <v>4.0510000000000002</v>
      </c>
      <c r="E344" s="137">
        <v>15.367000000000001</v>
      </c>
      <c r="F344" s="137" t="s">
        <v>1041</v>
      </c>
      <c r="G344" s="137">
        <v>0.05</v>
      </c>
      <c r="H344" s="137">
        <v>2.4700000000000002</v>
      </c>
      <c r="I344" s="137">
        <v>0.9</v>
      </c>
      <c r="J344" s="137">
        <v>0</v>
      </c>
      <c r="K344" s="137" t="s">
        <v>193</v>
      </c>
      <c r="L344" s="137" t="s">
        <v>193</v>
      </c>
      <c r="M344" s="137" t="s">
        <v>193</v>
      </c>
      <c r="N344" s="137" t="s">
        <v>193</v>
      </c>
      <c r="O344" s="137" t="s">
        <v>193</v>
      </c>
      <c r="P344" s="137" t="s">
        <v>193</v>
      </c>
      <c r="Q344" s="137" t="s">
        <v>193</v>
      </c>
      <c r="R344" s="137" t="s">
        <v>193</v>
      </c>
      <c r="S344" s="137" t="s">
        <v>193</v>
      </c>
      <c r="T344" s="137" t="s">
        <v>193</v>
      </c>
      <c r="W344" s="12" t="str">
        <f t="shared" si="20"/>
        <v>Ja</v>
      </c>
      <c r="Y344" s="12" t="str">
        <f t="shared" si="21"/>
        <v>Nej</v>
      </c>
      <c r="Z344" s="12">
        <f t="shared" si="22"/>
        <v>0</v>
      </c>
      <c r="AA344" s="12">
        <f t="shared" si="23"/>
        <v>0</v>
      </c>
    </row>
    <row r="345" spans="1:27" ht="15" customHeight="1" x14ac:dyDescent="0.25">
      <c r="A345" s="137" t="s">
        <v>654</v>
      </c>
      <c r="B345" s="137" t="s">
        <v>660</v>
      </c>
      <c r="C345" s="137">
        <v>2018</v>
      </c>
      <c r="D345" s="137">
        <v>0.51800000000000002</v>
      </c>
      <c r="E345" s="137" t="s">
        <v>193</v>
      </c>
      <c r="F345" s="137" t="s">
        <v>1038</v>
      </c>
      <c r="G345" s="137">
        <v>1.9</v>
      </c>
      <c r="H345" s="137">
        <v>0.05</v>
      </c>
      <c r="I345" s="137">
        <v>0</v>
      </c>
      <c r="J345" s="137">
        <v>0.59399999999999997</v>
      </c>
      <c r="K345" s="137" t="s">
        <v>193</v>
      </c>
      <c r="L345" s="137" t="s">
        <v>193</v>
      </c>
      <c r="M345" s="137" t="s">
        <v>193</v>
      </c>
      <c r="N345" s="137" t="s">
        <v>193</v>
      </c>
      <c r="O345" s="137" t="s">
        <v>193</v>
      </c>
      <c r="P345" s="137" t="s">
        <v>193</v>
      </c>
      <c r="Q345" s="137" t="s">
        <v>193</v>
      </c>
      <c r="R345" s="137" t="s">
        <v>193</v>
      </c>
      <c r="S345" s="137" t="s">
        <v>193</v>
      </c>
      <c r="T345" s="137" t="s">
        <v>193</v>
      </c>
      <c r="W345" s="12" t="str">
        <f t="shared" si="20"/>
        <v>Ja</v>
      </c>
      <c r="Y345" s="12" t="str">
        <f t="shared" si="21"/>
        <v>Nej</v>
      </c>
      <c r="Z345" s="12">
        <f t="shared" si="22"/>
        <v>0</v>
      </c>
      <c r="AA345" s="12">
        <f t="shared" si="23"/>
        <v>0</v>
      </c>
    </row>
    <row r="346" spans="1:27" ht="15" customHeight="1" x14ac:dyDescent="0.25">
      <c r="A346" s="137" t="s">
        <v>654</v>
      </c>
      <c r="B346" s="137" t="s">
        <v>661</v>
      </c>
      <c r="C346" s="137">
        <v>2018</v>
      </c>
      <c r="D346" s="137">
        <v>0.2</v>
      </c>
      <c r="E346" s="137" t="s">
        <v>193</v>
      </c>
      <c r="F346" s="137" t="s">
        <v>1039</v>
      </c>
      <c r="G346" s="137">
        <v>1.9</v>
      </c>
      <c r="H346" s="137">
        <v>0.05</v>
      </c>
      <c r="I346" s="137">
        <v>0</v>
      </c>
      <c r="J346" s="137">
        <v>0.59399999999999997</v>
      </c>
      <c r="K346" s="137" t="s">
        <v>193</v>
      </c>
      <c r="L346" s="137" t="s">
        <v>193</v>
      </c>
      <c r="M346" s="137" t="s">
        <v>193</v>
      </c>
      <c r="N346" s="137" t="s">
        <v>193</v>
      </c>
      <c r="O346" s="137" t="s">
        <v>193</v>
      </c>
      <c r="P346" s="137" t="s">
        <v>193</v>
      </c>
      <c r="Q346" s="137" t="s">
        <v>193</v>
      </c>
      <c r="R346" s="137" t="s">
        <v>193</v>
      </c>
      <c r="S346" s="137" t="s">
        <v>193</v>
      </c>
      <c r="T346" s="137" t="s">
        <v>193</v>
      </c>
      <c r="W346" s="12" t="str">
        <f t="shared" si="20"/>
        <v>Ja</v>
      </c>
      <c r="Y346" s="12" t="str">
        <f t="shared" si="21"/>
        <v>Nej</v>
      </c>
      <c r="Z346" s="12">
        <f t="shared" si="22"/>
        <v>0</v>
      </c>
      <c r="AA346" s="12">
        <f t="shared" si="23"/>
        <v>0</v>
      </c>
    </row>
    <row r="347" spans="1:27" ht="15" customHeight="1" x14ac:dyDescent="0.25">
      <c r="A347" s="137" t="s">
        <v>654</v>
      </c>
      <c r="B347" s="137" t="s">
        <v>662</v>
      </c>
      <c r="C347" s="137">
        <v>2018</v>
      </c>
      <c r="D347" s="137">
        <v>63.7</v>
      </c>
      <c r="E347" s="137">
        <v>20.3</v>
      </c>
      <c r="F347" s="137" t="s">
        <v>1039</v>
      </c>
      <c r="G347" s="137">
        <v>1.9</v>
      </c>
      <c r="H347" s="137">
        <v>0.05</v>
      </c>
      <c r="I347" s="137">
        <v>0</v>
      </c>
      <c r="J347" s="137">
        <v>0.59399999999999997</v>
      </c>
      <c r="K347" s="137" t="s">
        <v>193</v>
      </c>
      <c r="L347" s="137" t="s">
        <v>193</v>
      </c>
      <c r="M347" s="137" t="s">
        <v>193</v>
      </c>
      <c r="N347" s="137" t="s">
        <v>193</v>
      </c>
      <c r="O347" s="137" t="s">
        <v>193</v>
      </c>
      <c r="P347" s="137">
        <v>92.14</v>
      </c>
      <c r="Q347" s="137">
        <v>0.01</v>
      </c>
      <c r="R347" s="137">
        <v>0</v>
      </c>
      <c r="S347" s="137">
        <v>0</v>
      </c>
      <c r="T347" s="137">
        <v>0</v>
      </c>
      <c r="W347" s="12" t="str">
        <f t="shared" si="20"/>
        <v>Ja</v>
      </c>
      <c r="Y347" s="12" t="str">
        <f t="shared" si="21"/>
        <v>Nej</v>
      </c>
      <c r="Z347" s="12">
        <f t="shared" si="22"/>
        <v>0</v>
      </c>
      <c r="AA347" s="12">
        <f t="shared" si="23"/>
        <v>0</v>
      </c>
    </row>
    <row r="348" spans="1:27" ht="15" customHeight="1" x14ac:dyDescent="0.25">
      <c r="A348" s="137" t="s">
        <v>654</v>
      </c>
      <c r="B348" s="137" t="s">
        <v>663</v>
      </c>
      <c r="C348" s="137">
        <v>2018</v>
      </c>
      <c r="D348" s="137">
        <v>1.1000000000000001</v>
      </c>
      <c r="E348" s="137" t="s">
        <v>193</v>
      </c>
      <c r="F348" s="137" t="s">
        <v>53</v>
      </c>
      <c r="G348" s="137">
        <v>1.9</v>
      </c>
      <c r="H348" s="137">
        <v>0.05</v>
      </c>
      <c r="I348" s="137">
        <v>0</v>
      </c>
      <c r="J348" s="137">
        <v>0.59399999999999997</v>
      </c>
      <c r="K348" s="137" t="s">
        <v>193</v>
      </c>
      <c r="L348" s="137" t="s">
        <v>193</v>
      </c>
      <c r="M348" s="137" t="s">
        <v>193</v>
      </c>
      <c r="N348" s="137" t="s">
        <v>193</v>
      </c>
      <c r="O348" s="137" t="s">
        <v>193</v>
      </c>
      <c r="P348" s="137" t="s">
        <v>193</v>
      </c>
      <c r="Q348" s="137" t="s">
        <v>193</v>
      </c>
      <c r="R348" s="137" t="s">
        <v>193</v>
      </c>
      <c r="S348" s="137" t="s">
        <v>193</v>
      </c>
      <c r="T348" s="137" t="s">
        <v>193</v>
      </c>
      <c r="W348" s="12" t="str">
        <f t="shared" si="20"/>
        <v>Ja</v>
      </c>
      <c r="Y348" s="12" t="str">
        <f t="shared" si="21"/>
        <v>Nej</v>
      </c>
      <c r="Z348" s="12">
        <f t="shared" si="22"/>
        <v>0</v>
      </c>
      <c r="AA348" s="12">
        <f t="shared" si="23"/>
        <v>0</v>
      </c>
    </row>
    <row r="349" spans="1:27" ht="15" customHeight="1" x14ac:dyDescent="0.25">
      <c r="A349" s="137" t="s">
        <v>7</v>
      </c>
      <c r="B349" s="137" t="s">
        <v>664</v>
      </c>
      <c r="C349" s="137">
        <v>2018</v>
      </c>
      <c r="D349" s="137">
        <v>0.1</v>
      </c>
      <c r="E349" s="137" t="s">
        <v>193</v>
      </c>
      <c r="F349" s="137" t="s">
        <v>53</v>
      </c>
      <c r="G349" s="137">
        <v>2.2999999999999998</v>
      </c>
      <c r="H349" s="137">
        <v>329.19</v>
      </c>
      <c r="I349" s="137">
        <v>0.43</v>
      </c>
      <c r="J349" s="137">
        <v>0.40550000000000003</v>
      </c>
      <c r="K349" s="137" t="s">
        <v>193</v>
      </c>
      <c r="L349" s="137" t="s">
        <v>193</v>
      </c>
      <c r="M349" s="137" t="s">
        <v>193</v>
      </c>
      <c r="N349" s="137" t="s">
        <v>193</v>
      </c>
      <c r="O349" s="137" t="s">
        <v>193</v>
      </c>
      <c r="P349" s="137" t="s">
        <v>193</v>
      </c>
      <c r="Q349" s="137" t="s">
        <v>193</v>
      </c>
      <c r="R349" s="137" t="s">
        <v>193</v>
      </c>
      <c r="S349" s="137" t="s">
        <v>193</v>
      </c>
      <c r="T349" s="137" t="s">
        <v>193</v>
      </c>
      <c r="W349" s="12" t="str">
        <f t="shared" si="20"/>
        <v>Nej</v>
      </c>
      <c r="Y349" s="12" t="str">
        <f t="shared" si="21"/>
        <v>Nej</v>
      </c>
      <c r="Z349" s="12">
        <f t="shared" si="22"/>
        <v>0</v>
      </c>
      <c r="AA349" s="12">
        <f t="shared" si="23"/>
        <v>0</v>
      </c>
    </row>
    <row r="350" spans="1:27" ht="15" customHeight="1" x14ac:dyDescent="0.25">
      <c r="A350" s="137" t="s">
        <v>7</v>
      </c>
      <c r="B350" s="137" t="s">
        <v>8</v>
      </c>
      <c r="C350" s="137">
        <v>2018</v>
      </c>
      <c r="D350" s="137" t="s">
        <v>193</v>
      </c>
      <c r="E350" s="137" t="s">
        <v>193</v>
      </c>
      <c r="F350" s="137" t="s">
        <v>53</v>
      </c>
      <c r="G350" s="137">
        <v>2.2999999999999998</v>
      </c>
      <c r="H350" s="137">
        <v>329.19</v>
      </c>
      <c r="I350" s="137">
        <v>0.43</v>
      </c>
      <c r="J350" s="137">
        <v>0.40550000000000003</v>
      </c>
      <c r="K350" s="137">
        <v>5.4</v>
      </c>
      <c r="L350" s="137" t="s">
        <v>193</v>
      </c>
      <c r="M350" s="137" t="s">
        <v>193</v>
      </c>
      <c r="N350" s="137" t="s">
        <v>193</v>
      </c>
      <c r="O350" s="137" t="s">
        <v>193</v>
      </c>
      <c r="P350" s="137" t="s">
        <v>193</v>
      </c>
      <c r="Q350" s="137" t="s">
        <v>193</v>
      </c>
      <c r="R350" s="137" t="s">
        <v>193</v>
      </c>
      <c r="S350" s="137" t="s">
        <v>193</v>
      </c>
      <c r="T350" s="137" t="s">
        <v>193</v>
      </c>
      <c r="W350" s="12" t="str">
        <f t="shared" si="20"/>
        <v>Nej</v>
      </c>
      <c r="Y350" s="12" t="str">
        <f t="shared" si="21"/>
        <v>Ja</v>
      </c>
      <c r="Z350" s="12">
        <f t="shared" si="22"/>
        <v>5.4</v>
      </c>
      <c r="AA350" s="12" t="e">
        <f>IF(Y350="nej",0,O350/100)</f>
        <v>#VALUE!</v>
      </c>
    </row>
    <row r="351" spans="1:27" ht="15" customHeight="1" x14ac:dyDescent="0.25">
      <c r="A351" s="137" t="s">
        <v>665</v>
      </c>
      <c r="B351" s="137" t="s">
        <v>666</v>
      </c>
      <c r="C351" s="137">
        <v>2018</v>
      </c>
      <c r="D351" s="137" t="s">
        <v>193</v>
      </c>
      <c r="E351" s="137" t="s">
        <v>193</v>
      </c>
      <c r="F351" s="137" t="s">
        <v>219</v>
      </c>
      <c r="G351" s="137">
        <v>2.2999999999999998</v>
      </c>
      <c r="H351" s="137">
        <v>329.19</v>
      </c>
      <c r="I351" s="137">
        <v>0.43</v>
      </c>
      <c r="J351" s="137">
        <v>0.40550000000000003</v>
      </c>
      <c r="K351" s="137" t="s">
        <v>193</v>
      </c>
      <c r="L351" s="137" t="s">
        <v>193</v>
      </c>
      <c r="M351" s="137" t="s">
        <v>193</v>
      </c>
      <c r="N351" s="137" t="s">
        <v>193</v>
      </c>
      <c r="O351" s="137" t="s">
        <v>193</v>
      </c>
      <c r="P351" s="137" t="s">
        <v>193</v>
      </c>
      <c r="Q351" s="137" t="s">
        <v>193</v>
      </c>
      <c r="R351" s="137" t="s">
        <v>193</v>
      </c>
      <c r="S351" s="137" t="s">
        <v>193</v>
      </c>
      <c r="T351" s="137" t="s">
        <v>193</v>
      </c>
      <c r="W351" s="12" t="str">
        <f t="shared" si="20"/>
        <v>Nej</v>
      </c>
      <c r="Y351" s="12" t="str">
        <f t="shared" si="21"/>
        <v>Nej</v>
      </c>
      <c r="Z351" s="12">
        <f t="shared" si="22"/>
        <v>0</v>
      </c>
      <c r="AA351" s="12">
        <f t="shared" si="23"/>
        <v>0</v>
      </c>
    </row>
    <row r="352" spans="1:27" ht="15" customHeight="1" x14ac:dyDescent="0.25">
      <c r="A352" s="137" t="s">
        <v>665</v>
      </c>
      <c r="B352" s="137" t="s">
        <v>667</v>
      </c>
      <c r="C352" s="137">
        <v>2018</v>
      </c>
      <c r="D352" s="137">
        <v>0.106</v>
      </c>
      <c r="E352" s="137" t="s">
        <v>193</v>
      </c>
      <c r="F352" s="137" t="s">
        <v>1042</v>
      </c>
      <c r="G352" s="137">
        <v>1.1000000000000001</v>
      </c>
      <c r="H352" s="137">
        <v>2.9700000000000001E-4</v>
      </c>
      <c r="I352" s="137">
        <v>0</v>
      </c>
      <c r="J352" s="137">
        <v>0</v>
      </c>
      <c r="K352" s="137" t="s">
        <v>193</v>
      </c>
      <c r="L352" s="137" t="s">
        <v>193</v>
      </c>
      <c r="M352" s="137" t="s">
        <v>193</v>
      </c>
      <c r="N352" s="137" t="s">
        <v>193</v>
      </c>
      <c r="O352" s="137" t="s">
        <v>193</v>
      </c>
      <c r="P352" s="137" t="s">
        <v>193</v>
      </c>
      <c r="Q352" s="137" t="s">
        <v>193</v>
      </c>
      <c r="R352" s="137" t="s">
        <v>193</v>
      </c>
      <c r="S352" s="137" t="s">
        <v>193</v>
      </c>
      <c r="T352" s="137" t="s">
        <v>193</v>
      </c>
      <c r="W352" s="12" t="str">
        <f t="shared" si="20"/>
        <v>Ja</v>
      </c>
      <c r="Y352" s="12" t="str">
        <f t="shared" si="21"/>
        <v>Nej</v>
      </c>
      <c r="Z352" s="12">
        <f t="shared" si="22"/>
        <v>0</v>
      </c>
      <c r="AA352" s="12">
        <f t="shared" si="23"/>
        <v>0</v>
      </c>
    </row>
    <row r="353" spans="1:27" ht="15" customHeight="1" x14ac:dyDescent="0.25">
      <c r="A353" s="137" t="s">
        <v>665</v>
      </c>
      <c r="B353" s="137" t="s">
        <v>668</v>
      </c>
      <c r="C353" s="137">
        <v>2018</v>
      </c>
      <c r="D353" s="137">
        <v>0.154</v>
      </c>
      <c r="E353" s="137" t="s">
        <v>193</v>
      </c>
      <c r="F353" s="137" t="s">
        <v>1043</v>
      </c>
      <c r="G353" s="137">
        <v>1.1000000000000001</v>
      </c>
      <c r="H353" s="137">
        <v>2.9700000000000001E-4</v>
      </c>
      <c r="I353" s="137">
        <v>0</v>
      </c>
      <c r="J353" s="137">
        <v>0</v>
      </c>
      <c r="K353" s="137" t="s">
        <v>193</v>
      </c>
      <c r="L353" s="137" t="s">
        <v>193</v>
      </c>
      <c r="M353" s="137" t="s">
        <v>193</v>
      </c>
      <c r="N353" s="137" t="s">
        <v>193</v>
      </c>
      <c r="O353" s="137" t="s">
        <v>193</v>
      </c>
      <c r="P353" s="137" t="s">
        <v>193</v>
      </c>
      <c r="Q353" s="137" t="s">
        <v>193</v>
      </c>
      <c r="R353" s="137" t="s">
        <v>193</v>
      </c>
      <c r="S353" s="137" t="s">
        <v>193</v>
      </c>
      <c r="T353" s="137" t="s">
        <v>193</v>
      </c>
      <c r="W353" s="12" t="str">
        <f t="shared" si="20"/>
        <v>Ja</v>
      </c>
      <c r="Y353" s="12" t="str">
        <f t="shared" si="21"/>
        <v>Nej</v>
      </c>
      <c r="Z353" s="12">
        <f t="shared" si="22"/>
        <v>0</v>
      </c>
      <c r="AA353" s="12">
        <f t="shared" si="23"/>
        <v>0</v>
      </c>
    </row>
    <row r="354" spans="1:27" ht="15" customHeight="1" x14ac:dyDescent="0.25">
      <c r="A354" s="137" t="s">
        <v>665</v>
      </c>
      <c r="B354" s="137" t="s">
        <v>669</v>
      </c>
      <c r="C354" s="137">
        <v>2018</v>
      </c>
      <c r="D354" s="137">
        <v>0.22700000000000001</v>
      </c>
      <c r="E354" s="137" t="s">
        <v>193</v>
      </c>
      <c r="F354" s="137" t="s">
        <v>1043</v>
      </c>
      <c r="G354" s="137">
        <v>1.1000000000000001</v>
      </c>
      <c r="H354" s="137">
        <v>2.9700000000000001E-4</v>
      </c>
      <c r="I354" s="137">
        <v>0</v>
      </c>
      <c r="J354" s="137">
        <v>0</v>
      </c>
      <c r="K354" s="137" t="s">
        <v>193</v>
      </c>
      <c r="L354" s="137" t="s">
        <v>193</v>
      </c>
      <c r="M354" s="137" t="s">
        <v>193</v>
      </c>
      <c r="N354" s="137" t="s">
        <v>193</v>
      </c>
      <c r="O354" s="137" t="s">
        <v>193</v>
      </c>
      <c r="P354" s="137" t="s">
        <v>193</v>
      </c>
      <c r="Q354" s="137" t="s">
        <v>193</v>
      </c>
      <c r="R354" s="137" t="s">
        <v>193</v>
      </c>
      <c r="S354" s="137" t="s">
        <v>193</v>
      </c>
      <c r="T354" s="137" t="s">
        <v>193</v>
      </c>
      <c r="W354" s="12" t="str">
        <f t="shared" si="20"/>
        <v>Ja</v>
      </c>
      <c r="Y354" s="12" t="str">
        <f t="shared" si="21"/>
        <v>Nej</v>
      </c>
      <c r="Z354" s="12">
        <f t="shared" si="22"/>
        <v>0</v>
      </c>
      <c r="AA354" s="12">
        <f t="shared" si="23"/>
        <v>0</v>
      </c>
    </row>
    <row r="355" spans="1:27" ht="15" customHeight="1" x14ac:dyDescent="0.25">
      <c r="A355" s="137" t="s">
        <v>665</v>
      </c>
      <c r="B355" s="137" t="s">
        <v>670</v>
      </c>
      <c r="C355" s="137">
        <v>2018</v>
      </c>
      <c r="D355" s="137">
        <v>0.65</v>
      </c>
      <c r="E355" s="137">
        <v>0.74399999999999999</v>
      </c>
      <c r="F355" s="137" t="s">
        <v>1042</v>
      </c>
      <c r="G355" s="137">
        <v>1.1000000000000001</v>
      </c>
      <c r="H355" s="137">
        <v>2.9700000000000001E-4</v>
      </c>
      <c r="I355" s="137">
        <v>0</v>
      </c>
      <c r="J355" s="137">
        <v>0</v>
      </c>
      <c r="K355" s="137" t="s">
        <v>193</v>
      </c>
      <c r="L355" s="137" t="s">
        <v>193</v>
      </c>
      <c r="M355" s="137" t="s">
        <v>193</v>
      </c>
      <c r="N355" s="137" t="s">
        <v>193</v>
      </c>
      <c r="O355" s="137" t="s">
        <v>193</v>
      </c>
      <c r="P355" s="137" t="s">
        <v>193</v>
      </c>
      <c r="Q355" s="137" t="s">
        <v>193</v>
      </c>
      <c r="R355" s="137" t="s">
        <v>193</v>
      </c>
      <c r="S355" s="137" t="s">
        <v>193</v>
      </c>
      <c r="T355" s="137" t="s">
        <v>193</v>
      </c>
      <c r="W355" s="12" t="str">
        <f t="shared" si="20"/>
        <v>Ja</v>
      </c>
      <c r="Y355" s="12" t="str">
        <f t="shared" si="21"/>
        <v>Nej</v>
      </c>
      <c r="Z355" s="12">
        <f t="shared" si="22"/>
        <v>0</v>
      </c>
      <c r="AA355" s="12">
        <f t="shared" si="23"/>
        <v>0</v>
      </c>
    </row>
    <row r="356" spans="1:27" ht="15" customHeight="1" x14ac:dyDescent="0.25">
      <c r="A356" s="137" t="s">
        <v>671</v>
      </c>
      <c r="B356" s="137" t="s">
        <v>672</v>
      </c>
      <c r="C356" s="137">
        <v>2018</v>
      </c>
      <c r="D356" s="137">
        <v>5.28E-2</v>
      </c>
      <c r="E356" s="137" t="s">
        <v>193</v>
      </c>
      <c r="F356" s="137" t="s">
        <v>1044</v>
      </c>
      <c r="G356" s="137">
        <v>1.1000000000000001</v>
      </c>
      <c r="H356" s="137">
        <v>0</v>
      </c>
      <c r="I356" s="137">
        <v>0</v>
      </c>
      <c r="J356" s="137">
        <v>0</v>
      </c>
      <c r="K356" s="137" t="s">
        <v>193</v>
      </c>
      <c r="L356" s="137" t="s">
        <v>193</v>
      </c>
      <c r="M356" s="137" t="s">
        <v>193</v>
      </c>
      <c r="N356" s="137" t="s">
        <v>193</v>
      </c>
      <c r="O356" s="137" t="s">
        <v>193</v>
      </c>
      <c r="P356" s="137" t="s">
        <v>193</v>
      </c>
      <c r="Q356" s="137" t="s">
        <v>193</v>
      </c>
      <c r="R356" s="137" t="s">
        <v>193</v>
      </c>
      <c r="S356" s="137" t="s">
        <v>193</v>
      </c>
      <c r="T356" s="137" t="s">
        <v>193</v>
      </c>
      <c r="W356" s="12" t="str">
        <f t="shared" si="20"/>
        <v>Ja</v>
      </c>
      <c r="Y356" s="12" t="str">
        <f t="shared" si="21"/>
        <v>Nej</v>
      </c>
      <c r="Z356" s="12">
        <f t="shared" si="22"/>
        <v>0</v>
      </c>
      <c r="AA356" s="12">
        <f t="shared" si="23"/>
        <v>0</v>
      </c>
    </row>
    <row r="357" spans="1:27" ht="15" customHeight="1" x14ac:dyDescent="0.25">
      <c r="A357" s="137" t="s">
        <v>671</v>
      </c>
      <c r="B357" s="137" t="s">
        <v>673</v>
      </c>
      <c r="C357" s="137">
        <v>2018</v>
      </c>
      <c r="D357" s="137" t="s">
        <v>193</v>
      </c>
      <c r="E357" s="137">
        <v>3.2</v>
      </c>
      <c r="F357" s="137" t="s">
        <v>1045</v>
      </c>
      <c r="G357" s="137">
        <v>0.05</v>
      </c>
      <c r="H357" s="137">
        <v>0.7</v>
      </c>
      <c r="I357" s="137">
        <v>0</v>
      </c>
      <c r="J357" s="137">
        <v>0</v>
      </c>
      <c r="K357" s="137" t="s">
        <v>193</v>
      </c>
      <c r="L357" s="137" t="s">
        <v>193</v>
      </c>
      <c r="M357" s="137" t="s">
        <v>193</v>
      </c>
      <c r="N357" s="137" t="s">
        <v>193</v>
      </c>
      <c r="O357" s="137" t="s">
        <v>193</v>
      </c>
      <c r="P357" s="137" t="s">
        <v>193</v>
      </c>
      <c r="Q357" s="137" t="s">
        <v>193</v>
      </c>
      <c r="R357" s="137" t="s">
        <v>193</v>
      </c>
      <c r="S357" s="137" t="s">
        <v>193</v>
      </c>
      <c r="T357" s="137" t="s">
        <v>193</v>
      </c>
      <c r="W357" s="12" t="str">
        <f t="shared" si="20"/>
        <v>Ja</v>
      </c>
      <c r="Y357" s="12" t="str">
        <f t="shared" si="21"/>
        <v>Nej</v>
      </c>
      <c r="Z357" s="12">
        <f t="shared" si="22"/>
        <v>0</v>
      </c>
      <c r="AA357" s="12">
        <f t="shared" si="23"/>
        <v>0</v>
      </c>
    </row>
    <row r="358" spans="1:27" ht="15" customHeight="1" x14ac:dyDescent="0.25">
      <c r="A358" s="137" t="s">
        <v>671</v>
      </c>
      <c r="B358" s="137" t="s">
        <v>674</v>
      </c>
      <c r="C358" s="137">
        <v>2018</v>
      </c>
      <c r="D358" s="137">
        <v>0.6</v>
      </c>
      <c r="E358" s="137" t="s">
        <v>193</v>
      </c>
      <c r="F358" s="137" t="s">
        <v>1046</v>
      </c>
      <c r="G358" s="137">
        <v>1.1000000000000001</v>
      </c>
      <c r="H358" s="137">
        <v>0</v>
      </c>
      <c r="I358" s="137">
        <v>0</v>
      </c>
      <c r="J358" s="137">
        <v>0</v>
      </c>
      <c r="K358" s="137" t="s">
        <v>193</v>
      </c>
      <c r="L358" s="137" t="s">
        <v>193</v>
      </c>
      <c r="M358" s="137" t="s">
        <v>193</v>
      </c>
      <c r="N358" s="137" t="s">
        <v>193</v>
      </c>
      <c r="O358" s="137" t="s">
        <v>193</v>
      </c>
      <c r="P358" s="137" t="s">
        <v>193</v>
      </c>
      <c r="Q358" s="137" t="s">
        <v>193</v>
      </c>
      <c r="R358" s="137" t="s">
        <v>193</v>
      </c>
      <c r="S358" s="137" t="s">
        <v>193</v>
      </c>
      <c r="T358" s="137" t="s">
        <v>193</v>
      </c>
      <c r="W358" s="12" t="str">
        <f t="shared" si="20"/>
        <v>Ja</v>
      </c>
      <c r="Y358" s="12" t="str">
        <f t="shared" si="21"/>
        <v>Nej</v>
      </c>
      <c r="Z358" s="12">
        <f t="shared" si="22"/>
        <v>0</v>
      </c>
      <c r="AA358" s="12">
        <f t="shared" si="23"/>
        <v>0</v>
      </c>
    </row>
    <row r="359" spans="1:27" ht="15" customHeight="1" x14ac:dyDescent="0.25">
      <c r="A359" s="137" t="s">
        <v>52</v>
      </c>
      <c r="B359" s="137" t="s">
        <v>675</v>
      </c>
      <c r="C359" s="137">
        <v>2018</v>
      </c>
      <c r="D359" s="137">
        <v>8.6880000000000006</v>
      </c>
      <c r="E359" s="137" t="s">
        <v>193</v>
      </c>
      <c r="F359" s="137" t="s">
        <v>1047</v>
      </c>
      <c r="G359" s="137">
        <v>2</v>
      </c>
      <c r="H359" s="137">
        <v>0</v>
      </c>
      <c r="I359" s="137">
        <v>0</v>
      </c>
      <c r="J359" s="137">
        <v>0</v>
      </c>
      <c r="K359" s="137" t="s">
        <v>193</v>
      </c>
      <c r="L359" s="137" t="s">
        <v>193</v>
      </c>
      <c r="M359" s="137" t="s">
        <v>193</v>
      </c>
      <c r="N359" s="137" t="s">
        <v>193</v>
      </c>
      <c r="O359" s="137" t="s">
        <v>193</v>
      </c>
      <c r="P359" s="137" t="s">
        <v>193</v>
      </c>
      <c r="Q359" s="137" t="s">
        <v>193</v>
      </c>
      <c r="R359" s="137" t="s">
        <v>193</v>
      </c>
      <c r="S359" s="137" t="s">
        <v>193</v>
      </c>
      <c r="T359" s="137" t="s">
        <v>193</v>
      </c>
      <c r="W359" s="12" t="str">
        <f t="shared" si="20"/>
        <v>Ja</v>
      </c>
      <c r="Y359" s="12" t="str">
        <f t="shared" si="21"/>
        <v>Nej</v>
      </c>
      <c r="Z359" s="12">
        <f t="shared" si="22"/>
        <v>0</v>
      </c>
      <c r="AA359" s="12">
        <f t="shared" si="23"/>
        <v>0</v>
      </c>
    </row>
    <row r="360" spans="1:27" ht="15" customHeight="1" x14ac:dyDescent="0.25">
      <c r="A360" s="137" t="s">
        <v>52</v>
      </c>
      <c r="B360" s="137" t="s">
        <v>676</v>
      </c>
      <c r="C360" s="137">
        <v>2018</v>
      </c>
      <c r="D360" s="137" t="s">
        <v>193</v>
      </c>
      <c r="E360" s="137" t="s">
        <v>193</v>
      </c>
      <c r="F360" s="137" t="s">
        <v>1048</v>
      </c>
      <c r="G360" s="137">
        <v>2</v>
      </c>
      <c r="H360" s="137">
        <v>0</v>
      </c>
      <c r="I360" s="137">
        <v>0</v>
      </c>
      <c r="J360" s="137">
        <v>0</v>
      </c>
      <c r="K360" s="137" t="s">
        <v>193</v>
      </c>
      <c r="L360" s="137" t="s">
        <v>193</v>
      </c>
      <c r="M360" s="137" t="s">
        <v>193</v>
      </c>
      <c r="N360" s="137" t="s">
        <v>193</v>
      </c>
      <c r="O360" s="137" t="s">
        <v>193</v>
      </c>
      <c r="P360" s="137" t="s">
        <v>193</v>
      </c>
      <c r="Q360" s="137" t="s">
        <v>193</v>
      </c>
      <c r="R360" s="137" t="s">
        <v>193</v>
      </c>
      <c r="S360" s="137" t="s">
        <v>193</v>
      </c>
      <c r="T360" s="137" t="s">
        <v>193</v>
      </c>
      <c r="W360" s="12" t="str">
        <f t="shared" si="20"/>
        <v>Ja</v>
      </c>
      <c r="Y360" s="12" t="str">
        <f t="shared" si="21"/>
        <v>Nej</v>
      </c>
      <c r="Z360" s="12">
        <f t="shared" si="22"/>
        <v>0</v>
      </c>
      <c r="AA360" s="12">
        <f t="shared" si="23"/>
        <v>0</v>
      </c>
    </row>
    <row r="361" spans="1:27" ht="15" customHeight="1" x14ac:dyDescent="0.25">
      <c r="A361" s="137" t="s">
        <v>52</v>
      </c>
      <c r="B361" s="137" t="s">
        <v>677</v>
      </c>
      <c r="C361" s="137">
        <v>2018</v>
      </c>
      <c r="D361" s="137">
        <v>8.7999999999999995E-2</v>
      </c>
      <c r="E361" s="137" t="s">
        <v>193</v>
      </c>
      <c r="F361" s="137" t="s">
        <v>53</v>
      </c>
      <c r="G361" s="137">
        <v>2.2999999999999998</v>
      </c>
      <c r="H361" s="137">
        <v>329.19</v>
      </c>
      <c r="I361" s="137">
        <v>0.43</v>
      </c>
      <c r="J361" s="137">
        <v>0.40550000000000003</v>
      </c>
      <c r="K361" s="137" t="s">
        <v>193</v>
      </c>
      <c r="L361" s="137" t="s">
        <v>193</v>
      </c>
      <c r="M361" s="137" t="s">
        <v>193</v>
      </c>
      <c r="N361" s="137" t="s">
        <v>193</v>
      </c>
      <c r="O361" s="137" t="s">
        <v>193</v>
      </c>
      <c r="P361" s="137" t="s">
        <v>193</v>
      </c>
      <c r="Q361" s="137" t="s">
        <v>193</v>
      </c>
      <c r="R361" s="137" t="s">
        <v>193</v>
      </c>
      <c r="S361" s="137" t="s">
        <v>193</v>
      </c>
      <c r="T361" s="137" t="s">
        <v>193</v>
      </c>
      <c r="W361" s="12" t="str">
        <f t="shared" si="20"/>
        <v>Nej</v>
      </c>
      <c r="Y361" s="12" t="str">
        <f t="shared" si="21"/>
        <v>Nej</v>
      </c>
      <c r="Z361" s="12">
        <f t="shared" si="22"/>
        <v>0</v>
      </c>
      <c r="AA361" s="12">
        <f t="shared" si="23"/>
        <v>0</v>
      </c>
    </row>
    <row r="362" spans="1:27" ht="15" customHeight="1" x14ac:dyDescent="0.25">
      <c r="A362" s="137" t="s">
        <v>52</v>
      </c>
      <c r="B362" s="137" t="s">
        <v>678</v>
      </c>
      <c r="C362" s="137">
        <v>2018</v>
      </c>
      <c r="D362" s="137">
        <v>0.125</v>
      </c>
      <c r="E362" s="137" t="s">
        <v>193</v>
      </c>
      <c r="F362" s="137" t="s">
        <v>1048</v>
      </c>
      <c r="G362" s="137">
        <v>2</v>
      </c>
      <c r="H362" s="137">
        <v>0</v>
      </c>
      <c r="I362" s="137">
        <v>0</v>
      </c>
      <c r="J362" s="137">
        <v>0</v>
      </c>
      <c r="K362" s="137" t="s">
        <v>193</v>
      </c>
      <c r="L362" s="137" t="s">
        <v>193</v>
      </c>
      <c r="M362" s="137" t="s">
        <v>193</v>
      </c>
      <c r="N362" s="137" t="s">
        <v>193</v>
      </c>
      <c r="O362" s="137" t="s">
        <v>193</v>
      </c>
      <c r="P362" s="137" t="s">
        <v>193</v>
      </c>
      <c r="Q362" s="137" t="s">
        <v>193</v>
      </c>
      <c r="R362" s="137" t="s">
        <v>193</v>
      </c>
      <c r="S362" s="137" t="s">
        <v>193</v>
      </c>
      <c r="T362" s="137" t="s">
        <v>193</v>
      </c>
      <c r="W362" s="12" t="str">
        <f t="shared" si="20"/>
        <v>Ja</v>
      </c>
      <c r="Y362" s="12" t="str">
        <f t="shared" si="21"/>
        <v>Nej</v>
      </c>
      <c r="Z362" s="12">
        <f t="shared" si="22"/>
        <v>0</v>
      </c>
      <c r="AA362" s="12">
        <f t="shared" si="23"/>
        <v>0</v>
      </c>
    </row>
    <row r="363" spans="1:27" ht="15" customHeight="1" x14ac:dyDescent="0.25">
      <c r="A363" s="137" t="s">
        <v>52</v>
      </c>
      <c r="B363" s="137" t="s">
        <v>679</v>
      </c>
      <c r="C363" s="137">
        <v>2018</v>
      </c>
      <c r="D363" s="137">
        <v>1.8959999999999999</v>
      </c>
      <c r="E363" s="137">
        <v>0.28899999999999998</v>
      </c>
      <c r="F363" s="137" t="s">
        <v>53</v>
      </c>
      <c r="G363" s="137">
        <v>2.2999999999999998</v>
      </c>
      <c r="H363" s="137">
        <v>329.19</v>
      </c>
      <c r="I363" s="137">
        <v>0.43</v>
      </c>
      <c r="J363" s="137">
        <v>0.40550000000000003</v>
      </c>
      <c r="K363" s="137" t="s">
        <v>193</v>
      </c>
      <c r="L363" s="137" t="s">
        <v>193</v>
      </c>
      <c r="M363" s="137" t="s">
        <v>193</v>
      </c>
      <c r="N363" s="137" t="s">
        <v>193</v>
      </c>
      <c r="O363" s="137" t="s">
        <v>193</v>
      </c>
      <c r="P363" s="137" t="s">
        <v>193</v>
      </c>
      <c r="Q363" s="137" t="s">
        <v>193</v>
      </c>
      <c r="R363" s="137" t="s">
        <v>193</v>
      </c>
      <c r="S363" s="137" t="s">
        <v>193</v>
      </c>
      <c r="T363" s="137" t="s">
        <v>193</v>
      </c>
      <c r="W363" s="12" t="str">
        <f t="shared" si="20"/>
        <v>Nej</v>
      </c>
      <c r="Y363" s="12" t="str">
        <f t="shared" si="21"/>
        <v>Nej</v>
      </c>
      <c r="Z363" s="12">
        <f t="shared" si="22"/>
        <v>0</v>
      </c>
      <c r="AA363" s="12">
        <f t="shared" si="23"/>
        <v>0</v>
      </c>
    </row>
    <row r="364" spans="1:27" ht="15" customHeight="1" x14ac:dyDescent="0.25">
      <c r="A364" s="137" t="s">
        <v>52</v>
      </c>
      <c r="B364" s="137" t="s">
        <v>680</v>
      </c>
      <c r="C364" s="137">
        <v>2018</v>
      </c>
      <c r="D364" s="137">
        <v>2.3E-2</v>
      </c>
      <c r="E364" s="137">
        <v>5.8230000000000004</v>
      </c>
      <c r="F364" s="137" t="s">
        <v>53</v>
      </c>
      <c r="G364" s="137">
        <v>2</v>
      </c>
      <c r="H364" s="137">
        <v>0</v>
      </c>
      <c r="I364" s="137">
        <v>0</v>
      </c>
      <c r="J364" s="137">
        <v>0</v>
      </c>
      <c r="K364" s="137" t="s">
        <v>193</v>
      </c>
      <c r="L364" s="137" t="s">
        <v>193</v>
      </c>
      <c r="M364" s="137" t="s">
        <v>193</v>
      </c>
      <c r="N364" s="137" t="s">
        <v>193</v>
      </c>
      <c r="O364" s="137" t="s">
        <v>193</v>
      </c>
      <c r="P364" s="137" t="s">
        <v>193</v>
      </c>
      <c r="Q364" s="137" t="s">
        <v>193</v>
      </c>
      <c r="R364" s="137" t="s">
        <v>193</v>
      </c>
      <c r="S364" s="137" t="s">
        <v>193</v>
      </c>
      <c r="T364" s="137" t="s">
        <v>193</v>
      </c>
      <c r="W364" s="12" t="str">
        <f t="shared" si="20"/>
        <v>Ja</v>
      </c>
      <c r="Y364" s="12" t="str">
        <f t="shared" si="21"/>
        <v>Nej</v>
      </c>
      <c r="Z364" s="12">
        <f t="shared" si="22"/>
        <v>0</v>
      </c>
      <c r="AA364" s="12">
        <f t="shared" si="23"/>
        <v>0</v>
      </c>
    </row>
    <row r="365" spans="1:27" ht="15" customHeight="1" x14ac:dyDescent="0.25">
      <c r="A365" s="137" t="s">
        <v>52</v>
      </c>
      <c r="B365" s="137" t="s">
        <v>681</v>
      </c>
      <c r="C365" s="137">
        <v>2018</v>
      </c>
      <c r="D365" s="137">
        <v>0.95699999999999996</v>
      </c>
      <c r="E365" s="137" t="s">
        <v>193</v>
      </c>
      <c r="F365" s="137" t="s">
        <v>1048</v>
      </c>
      <c r="G365" s="137">
        <v>2</v>
      </c>
      <c r="H365" s="137">
        <v>0</v>
      </c>
      <c r="I365" s="137">
        <v>0</v>
      </c>
      <c r="J365" s="137">
        <v>0</v>
      </c>
      <c r="K365" s="137" t="s">
        <v>193</v>
      </c>
      <c r="L365" s="137" t="s">
        <v>193</v>
      </c>
      <c r="M365" s="137" t="s">
        <v>193</v>
      </c>
      <c r="N365" s="137" t="s">
        <v>193</v>
      </c>
      <c r="O365" s="137" t="s">
        <v>193</v>
      </c>
      <c r="P365" s="137" t="s">
        <v>193</v>
      </c>
      <c r="Q365" s="137" t="s">
        <v>193</v>
      </c>
      <c r="R365" s="137" t="s">
        <v>193</v>
      </c>
      <c r="S365" s="137" t="s">
        <v>193</v>
      </c>
      <c r="T365" s="137" t="s">
        <v>193</v>
      </c>
      <c r="W365" s="12" t="str">
        <f t="shared" si="20"/>
        <v>Ja</v>
      </c>
      <c r="Y365" s="12" t="str">
        <f t="shared" si="21"/>
        <v>Nej</v>
      </c>
      <c r="Z365" s="12">
        <f t="shared" si="22"/>
        <v>0</v>
      </c>
      <c r="AA365" s="12">
        <f t="shared" si="23"/>
        <v>0</v>
      </c>
    </row>
    <row r="366" spans="1:27" ht="15" customHeight="1" x14ac:dyDescent="0.25">
      <c r="A366" s="137" t="s">
        <v>52</v>
      </c>
      <c r="B366" s="137" t="s">
        <v>682</v>
      </c>
      <c r="C366" s="137">
        <v>2018</v>
      </c>
      <c r="D366" s="137">
        <v>4.5999999999999999E-2</v>
      </c>
      <c r="E366" s="137" t="s">
        <v>193</v>
      </c>
      <c r="F366" s="137" t="s">
        <v>1048</v>
      </c>
      <c r="G366" s="137">
        <v>2</v>
      </c>
      <c r="H366" s="137">
        <v>0</v>
      </c>
      <c r="I366" s="137">
        <v>0</v>
      </c>
      <c r="J366" s="137">
        <v>0</v>
      </c>
      <c r="K366" s="137" t="s">
        <v>193</v>
      </c>
      <c r="L366" s="137" t="s">
        <v>193</v>
      </c>
      <c r="M366" s="137" t="s">
        <v>193</v>
      </c>
      <c r="N366" s="137" t="s">
        <v>193</v>
      </c>
      <c r="O366" s="137" t="s">
        <v>193</v>
      </c>
      <c r="P366" s="137" t="s">
        <v>193</v>
      </c>
      <c r="Q366" s="137" t="s">
        <v>193</v>
      </c>
      <c r="R366" s="137" t="s">
        <v>193</v>
      </c>
      <c r="S366" s="137" t="s">
        <v>193</v>
      </c>
      <c r="T366" s="137" t="s">
        <v>193</v>
      </c>
      <c r="W366" s="12" t="str">
        <f t="shared" si="20"/>
        <v>Ja</v>
      </c>
      <c r="Y366" s="12" t="str">
        <f t="shared" si="21"/>
        <v>Nej</v>
      </c>
      <c r="Z366" s="12">
        <f t="shared" si="22"/>
        <v>0</v>
      </c>
      <c r="AA366" s="12">
        <f t="shared" si="23"/>
        <v>0</v>
      </c>
    </row>
    <row r="367" spans="1:27" ht="15" customHeight="1" x14ac:dyDescent="0.25">
      <c r="A367" s="137" t="s">
        <v>52</v>
      </c>
      <c r="B367" s="137" t="s">
        <v>683</v>
      </c>
      <c r="C367" s="137">
        <v>2018</v>
      </c>
      <c r="D367" s="137">
        <v>0.33500000000000002</v>
      </c>
      <c r="E367" s="137" t="s">
        <v>193</v>
      </c>
      <c r="F367" s="137" t="s">
        <v>1048</v>
      </c>
      <c r="G367" s="137">
        <v>2</v>
      </c>
      <c r="H367" s="137">
        <v>0</v>
      </c>
      <c r="I367" s="137">
        <v>0</v>
      </c>
      <c r="J367" s="137">
        <v>0</v>
      </c>
      <c r="K367" s="137" t="s">
        <v>193</v>
      </c>
      <c r="L367" s="137" t="s">
        <v>193</v>
      </c>
      <c r="M367" s="137" t="s">
        <v>193</v>
      </c>
      <c r="N367" s="137" t="s">
        <v>193</v>
      </c>
      <c r="O367" s="137" t="s">
        <v>193</v>
      </c>
      <c r="P367" s="137" t="s">
        <v>193</v>
      </c>
      <c r="Q367" s="137" t="s">
        <v>193</v>
      </c>
      <c r="R367" s="137" t="s">
        <v>193</v>
      </c>
      <c r="S367" s="137" t="s">
        <v>193</v>
      </c>
      <c r="T367" s="137" t="s">
        <v>193</v>
      </c>
      <c r="W367" s="12" t="str">
        <f t="shared" si="20"/>
        <v>Ja</v>
      </c>
      <c r="Y367" s="12" t="str">
        <f t="shared" si="21"/>
        <v>Nej</v>
      </c>
      <c r="Z367" s="12">
        <f t="shared" si="22"/>
        <v>0</v>
      </c>
      <c r="AA367" s="12">
        <f t="shared" si="23"/>
        <v>0</v>
      </c>
    </row>
    <row r="368" spans="1:27" ht="15" customHeight="1" x14ac:dyDescent="0.25">
      <c r="A368" s="137" t="s">
        <v>52</v>
      </c>
      <c r="B368" s="137" t="s">
        <v>684</v>
      </c>
      <c r="C368" s="137">
        <v>2018</v>
      </c>
      <c r="D368" s="137">
        <v>2.5230000000000001</v>
      </c>
      <c r="E368" s="137" t="s">
        <v>193</v>
      </c>
      <c r="F368" s="137" t="s">
        <v>1048</v>
      </c>
      <c r="G368" s="137">
        <v>2</v>
      </c>
      <c r="H368" s="137">
        <v>0</v>
      </c>
      <c r="I368" s="137">
        <v>0</v>
      </c>
      <c r="J368" s="137">
        <v>0</v>
      </c>
      <c r="K368" s="137" t="s">
        <v>193</v>
      </c>
      <c r="L368" s="137" t="s">
        <v>193</v>
      </c>
      <c r="M368" s="137" t="s">
        <v>193</v>
      </c>
      <c r="N368" s="137" t="s">
        <v>193</v>
      </c>
      <c r="O368" s="137" t="s">
        <v>193</v>
      </c>
      <c r="P368" s="137" t="s">
        <v>193</v>
      </c>
      <c r="Q368" s="137" t="s">
        <v>193</v>
      </c>
      <c r="R368" s="137" t="s">
        <v>193</v>
      </c>
      <c r="S368" s="137" t="s">
        <v>193</v>
      </c>
      <c r="T368" s="137" t="s">
        <v>193</v>
      </c>
      <c r="W368" s="12" t="str">
        <f t="shared" si="20"/>
        <v>Ja</v>
      </c>
      <c r="Y368" s="12" t="str">
        <f t="shared" si="21"/>
        <v>Nej</v>
      </c>
      <c r="Z368" s="12">
        <f t="shared" si="22"/>
        <v>0</v>
      </c>
      <c r="AA368" s="12">
        <f t="shared" si="23"/>
        <v>0</v>
      </c>
    </row>
    <row r="369" spans="1:27" ht="15" customHeight="1" x14ac:dyDescent="0.25">
      <c r="A369" s="137" t="s">
        <v>52</v>
      </c>
      <c r="B369" s="137" t="s">
        <v>685</v>
      </c>
      <c r="C369" s="137">
        <v>2018</v>
      </c>
      <c r="D369" s="137">
        <v>5.69</v>
      </c>
      <c r="E369" s="137">
        <v>1.9930000000000001</v>
      </c>
      <c r="F369" s="137" t="s">
        <v>53</v>
      </c>
      <c r="G369" s="137">
        <v>2.2999999999999998</v>
      </c>
      <c r="H369" s="137">
        <v>329.19</v>
      </c>
      <c r="I369" s="137">
        <v>0.43</v>
      </c>
      <c r="J369" s="137">
        <v>0.40550000000000003</v>
      </c>
      <c r="K369" s="137" t="s">
        <v>193</v>
      </c>
      <c r="L369" s="137" t="s">
        <v>193</v>
      </c>
      <c r="M369" s="137" t="s">
        <v>193</v>
      </c>
      <c r="N369" s="137" t="s">
        <v>193</v>
      </c>
      <c r="O369" s="137" t="s">
        <v>193</v>
      </c>
      <c r="P369" s="137" t="s">
        <v>193</v>
      </c>
      <c r="Q369" s="137" t="s">
        <v>193</v>
      </c>
      <c r="R369" s="137" t="s">
        <v>193</v>
      </c>
      <c r="S369" s="137" t="s">
        <v>193</v>
      </c>
      <c r="T369" s="137" t="s">
        <v>193</v>
      </c>
      <c r="W369" s="12" t="str">
        <f t="shared" si="20"/>
        <v>Nej</v>
      </c>
      <c r="Y369" s="12" t="str">
        <f t="shared" si="21"/>
        <v>Nej</v>
      </c>
      <c r="Z369" s="12">
        <f t="shared" si="22"/>
        <v>0</v>
      </c>
      <c r="AA369" s="12">
        <f t="shared" si="23"/>
        <v>0</v>
      </c>
    </row>
    <row r="370" spans="1:27" ht="15" customHeight="1" x14ac:dyDescent="0.25">
      <c r="A370" s="137" t="s">
        <v>52</v>
      </c>
      <c r="B370" s="137" t="s">
        <v>686</v>
      </c>
      <c r="C370" s="137">
        <v>2018</v>
      </c>
      <c r="D370" s="137">
        <v>0.06</v>
      </c>
      <c r="E370" s="137" t="s">
        <v>193</v>
      </c>
      <c r="F370" s="137" t="s">
        <v>1048</v>
      </c>
      <c r="G370" s="137">
        <v>2</v>
      </c>
      <c r="H370" s="137">
        <v>0</v>
      </c>
      <c r="I370" s="137">
        <v>0</v>
      </c>
      <c r="J370" s="137">
        <v>0</v>
      </c>
      <c r="K370" s="137" t="s">
        <v>193</v>
      </c>
      <c r="L370" s="137" t="s">
        <v>193</v>
      </c>
      <c r="M370" s="137" t="s">
        <v>193</v>
      </c>
      <c r="N370" s="137" t="s">
        <v>193</v>
      </c>
      <c r="O370" s="137" t="s">
        <v>193</v>
      </c>
      <c r="P370" s="137" t="s">
        <v>193</v>
      </c>
      <c r="Q370" s="137" t="s">
        <v>193</v>
      </c>
      <c r="R370" s="137" t="s">
        <v>193</v>
      </c>
      <c r="S370" s="137" t="s">
        <v>193</v>
      </c>
      <c r="T370" s="137" t="s">
        <v>193</v>
      </c>
      <c r="W370" s="12" t="str">
        <f t="shared" si="20"/>
        <v>Ja</v>
      </c>
      <c r="Y370" s="12" t="str">
        <f t="shared" si="21"/>
        <v>Nej</v>
      </c>
      <c r="Z370" s="12">
        <f t="shared" si="22"/>
        <v>0</v>
      </c>
      <c r="AA370" s="12">
        <f t="shared" si="23"/>
        <v>0</v>
      </c>
    </row>
    <row r="371" spans="1:27" ht="15" customHeight="1" x14ac:dyDescent="0.25">
      <c r="A371" s="137" t="s">
        <v>52</v>
      </c>
      <c r="B371" s="137" t="s">
        <v>687</v>
      </c>
      <c r="C371" s="137">
        <v>2018</v>
      </c>
      <c r="D371" s="137">
        <v>0.70699999999999996</v>
      </c>
      <c r="E371" s="137" t="s">
        <v>193</v>
      </c>
      <c r="F371" s="137" t="s">
        <v>53</v>
      </c>
      <c r="G371" s="137">
        <v>2.2999999999999998</v>
      </c>
      <c r="H371" s="137">
        <v>329.19</v>
      </c>
      <c r="I371" s="137">
        <v>0.43</v>
      </c>
      <c r="J371" s="137">
        <v>0.40550000000000003</v>
      </c>
      <c r="K371" s="137" t="s">
        <v>193</v>
      </c>
      <c r="L371" s="137" t="s">
        <v>193</v>
      </c>
      <c r="M371" s="137" t="s">
        <v>193</v>
      </c>
      <c r="N371" s="137" t="s">
        <v>193</v>
      </c>
      <c r="O371" s="137" t="s">
        <v>193</v>
      </c>
      <c r="P371" s="137" t="s">
        <v>193</v>
      </c>
      <c r="Q371" s="137" t="s">
        <v>193</v>
      </c>
      <c r="R371" s="137" t="s">
        <v>193</v>
      </c>
      <c r="S371" s="137" t="s">
        <v>193</v>
      </c>
      <c r="T371" s="137" t="s">
        <v>193</v>
      </c>
      <c r="W371" s="12" t="str">
        <f t="shared" si="20"/>
        <v>Nej</v>
      </c>
      <c r="Y371" s="12" t="str">
        <f t="shared" si="21"/>
        <v>Nej</v>
      </c>
      <c r="Z371" s="12">
        <f t="shared" si="22"/>
        <v>0</v>
      </c>
      <c r="AA371" s="12">
        <f t="shared" si="23"/>
        <v>0</v>
      </c>
    </row>
    <row r="372" spans="1:27" ht="15" customHeight="1" x14ac:dyDescent="0.25">
      <c r="A372" s="137" t="s">
        <v>52</v>
      </c>
      <c r="B372" s="137" t="s">
        <v>688</v>
      </c>
      <c r="C372" s="137">
        <v>2018</v>
      </c>
      <c r="D372" s="137">
        <v>0.1</v>
      </c>
      <c r="E372" s="137" t="s">
        <v>193</v>
      </c>
      <c r="F372" s="137" t="s">
        <v>1048</v>
      </c>
      <c r="G372" s="137">
        <v>2</v>
      </c>
      <c r="H372" s="137">
        <v>0</v>
      </c>
      <c r="I372" s="137">
        <v>0</v>
      </c>
      <c r="J372" s="137">
        <v>0</v>
      </c>
      <c r="K372" s="137" t="s">
        <v>193</v>
      </c>
      <c r="L372" s="137" t="s">
        <v>193</v>
      </c>
      <c r="M372" s="137" t="s">
        <v>193</v>
      </c>
      <c r="N372" s="137" t="s">
        <v>193</v>
      </c>
      <c r="O372" s="137" t="s">
        <v>193</v>
      </c>
      <c r="P372" s="137" t="s">
        <v>193</v>
      </c>
      <c r="Q372" s="137" t="s">
        <v>193</v>
      </c>
      <c r="R372" s="137" t="s">
        <v>193</v>
      </c>
      <c r="S372" s="137" t="s">
        <v>193</v>
      </c>
      <c r="T372" s="137" t="s">
        <v>193</v>
      </c>
      <c r="W372" s="12" t="str">
        <f t="shared" si="20"/>
        <v>Ja</v>
      </c>
      <c r="Y372" s="12" t="str">
        <f t="shared" si="21"/>
        <v>Nej</v>
      </c>
      <c r="Z372" s="12">
        <f t="shared" si="22"/>
        <v>0</v>
      </c>
      <c r="AA372" s="12">
        <f t="shared" si="23"/>
        <v>0</v>
      </c>
    </row>
    <row r="373" spans="1:27" ht="15" customHeight="1" x14ac:dyDescent="0.25">
      <c r="A373" s="137" t="s">
        <v>52</v>
      </c>
      <c r="B373" s="137" t="s">
        <v>689</v>
      </c>
      <c r="C373" s="137">
        <v>2018</v>
      </c>
      <c r="D373" s="137">
        <v>3.1E-2</v>
      </c>
      <c r="E373" s="137" t="s">
        <v>193</v>
      </c>
      <c r="F373" s="137" t="s">
        <v>1048</v>
      </c>
      <c r="G373" s="137">
        <v>2</v>
      </c>
      <c r="H373" s="137">
        <v>0</v>
      </c>
      <c r="I373" s="137">
        <v>0</v>
      </c>
      <c r="J373" s="137">
        <v>0</v>
      </c>
      <c r="K373" s="137" t="s">
        <v>193</v>
      </c>
      <c r="L373" s="137" t="s">
        <v>193</v>
      </c>
      <c r="M373" s="137" t="s">
        <v>193</v>
      </c>
      <c r="N373" s="137" t="s">
        <v>193</v>
      </c>
      <c r="O373" s="137" t="s">
        <v>193</v>
      </c>
      <c r="P373" s="137" t="s">
        <v>193</v>
      </c>
      <c r="Q373" s="137" t="s">
        <v>193</v>
      </c>
      <c r="R373" s="137" t="s">
        <v>193</v>
      </c>
      <c r="S373" s="137" t="s">
        <v>193</v>
      </c>
      <c r="T373" s="137" t="s">
        <v>193</v>
      </c>
      <c r="W373" s="12" t="str">
        <f t="shared" si="20"/>
        <v>Ja</v>
      </c>
      <c r="Y373" s="12" t="str">
        <f t="shared" si="21"/>
        <v>Nej</v>
      </c>
      <c r="Z373" s="12">
        <f t="shared" si="22"/>
        <v>0</v>
      </c>
      <c r="AA373" s="12">
        <f t="shared" si="23"/>
        <v>0</v>
      </c>
    </row>
    <row r="374" spans="1:27" ht="15" customHeight="1" x14ac:dyDescent="0.25">
      <c r="A374" s="137" t="s">
        <v>52</v>
      </c>
      <c r="B374" s="137" t="s">
        <v>690</v>
      </c>
      <c r="C374" s="137">
        <v>2018</v>
      </c>
      <c r="D374" s="137" t="s">
        <v>193</v>
      </c>
      <c r="E374" s="137" t="s">
        <v>193</v>
      </c>
      <c r="F374" s="137" t="s">
        <v>53</v>
      </c>
      <c r="G374" s="137">
        <v>2.2999999999999998</v>
      </c>
      <c r="H374" s="137">
        <v>329.19</v>
      </c>
      <c r="I374" s="137">
        <v>0.43</v>
      </c>
      <c r="J374" s="137">
        <v>0.40550000000000003</v>
      </c>
      <c r="K374" s="137" t="s">
        <v>193</v>
      </c>
      <c r="L374" s="137" t="s">
        <v>193</v>
      </c>
      <c r="M374" s="137" t="s">
        <v>193</v>
      </c>
      <c r="N374" s="137" t="s">
        <v>193</v>
      </c>
      <c r="O374" s="137" t="s">
        <v>193</v>
      </c>
      <c r="P374" s="137" t="s">
        <v>193</v>
      </c>
      <c r="Q374" s="137" t="s">
        <v>193</v>
      </c>
      <c r="R374" s="137" t="s">
        <v>193</v>
      </c>
      <c r="S374" s="137" t="s">
        <v>193</v>
      </c>
      <c r="T374" s="137" t="s">
        <v>193</v>
      </c>
      <c r="W374" s="12" t="str">
        <f t="shared" si="20"/>
        <v>Nej</v>
      </c>
      <c r="Y374" s="12" t="str">
        <f t="shared" si="21"/>
        <v>Nej</v>
      </c>
      <c r="Z374" s="12">
        <f t="shared" si="22"/>
        <v>0</v>
      </c>
      <c r="AA374" s="12">
        <f t="shared" si="23"/>
        <v>0</v>
      </c>
    </row>
    <row r="375" spans="1:27" ht="15" customHeight="1" x14ac:dyDescent="0.25">
      <c r="A375" s="137" t="s">
        <v>691</v>
      </c>
      <c r="B375" s="137" t="s">
        <v>692</v>
      </c>
      <c r="C375" s="137">
        <v>2018</v>
      </c>
      <c r="D375" s="137" t="s">
        <v>193</v>
      </c>
      <c r="E375" s="137" t="s">
        <v>193</v>
      </c>
      <c r="F375" s="137" t="s">
        <v>53</v>
      </c>
      <c r="G375" s="137">
        <v>1.1000000000000001</v>
      </c>
      <c r="H375" s="137">
        <v>0</v>
      </c>
      <c r="I375" s="137">
        <v>0</v>
      </c>
      <c r="J375" s="137">
        <v>0</v>
      </c>
      <c r="K375" s="137" t="s">
        <v>193</v>
      </c>
      <c r="L375" s="137" t="s">
        <v>193</v>
      </c>
      <c r="M375" s="137" t="s">
        <v>193</v>
      </c>
      <c r="N375" s="137" t="s">
        <v>193</v>
      </c>
      <c r="O375" s="137" t="s">
        <v>193</v>
      </c>
      <c r="P375" s="137" t="s">
        <v>193</v>
      </c>
      <c r="Q375" s="137" t="s">
        <v>193</v>
      </c>
      <c r="R375" s="137" t="s">
        <v>193</v>
      </c>
      <c r="S375" s="137" t="s">
        <v>193</v>
      </c>
      <c r="T375" s="137" t="s">
        <v>193</v>
      </c>
      <c r="W375" s="12" t="str">
        <f t="shared" si="20"/>
        <v>Ja</v>
      </c>
      <c r="Y375" s="12" t="str">
        <f t="shared" si="21"/>
        <v>Nej</v>
      </c>
      <c r="Z375" s="12">
        <f t="shared" si="22"/>
        <v>0</v>
      </c>
      <c r="AA375" s="12">
        <f t="shared" si="23"/>
        <v>0</v>
      </c>
    </row>
    <row r="376" spans="1:27" ht="15" customHeight="1" x14ac:dyDescent="0.25">
      <c r="A376" s="137" t="s">
        <v>691</v>
      </c>
      <c r="B376" s="137" t="s">
        <v>693</v>
      </c>
      <c r="C376" s="137">
        <v>2018</v>
      </c>
      <c r="D376" s="137" t="s">
        <v>193</v>
      </c>
      <c r="E376" s="137" t="s">
        <v>193</v>
      </c>
      <c r="F376" s="137" t="s">
        <v>53</v>
      </c>
      <c r="G376" s="137">
        <v>2.2999999999999998</v>
      </c>
      <c r="H376" s="137">
        <v>329.19</v>
      </c>
      <c r="I376" s="137">
        <v>0.43</v>
      </c>
      <c r="J376" s="137">
        <v>0.40550000000000003</v>
      </c>
      <c r="K376" s="137" t="s">
        <v>193</v>
      </c>
      <c r="L376" s="137" t="s">
        <v>193</v>
      </c>
      <c r="M376" s="137" t="s">
        <v>193</v>
      </c>
      <c r="N376" s="137" t="s">
        <v>193</v>
      </c>
      <c r="O376" s="137" t="s">
        <v>193</v>
      </c>
      <c r="P376" s="137" t="s">
        <v>193</v>
      </c>
      <c r="Q376" s="137" t="s">
        <v>193</v>
      </c>
      <c r="R376" s="137" t="s">
        <v>193</v>
      </c>
      <c r="S376" s="137" t="s">
        <v>193</v>
      </c>
      <c r="T376" s="137" t="s">
        <v>193</v>
      </c>
      <c r="W376" s="12" t="str">
        <f t="shared" si="20"/>
        <v>Nej</v>
      </c>
      <c r="Y376" s="12" t="str">
        <f t="shared" si="21"/>
        <v>Nej</v>
      </c>
      <c r="Z376" s="12">
        <f t="shared" si="22"/>
        <v>0</v>
      </c>
      <c r="AA376" s="12">
        <f t="shared" si="23"/>
        <v>0</v>
      </c>
    </row>
    <row r="377" spans="1:27" ht="15" customHeight="1" x14ac:dyDescent="0.25">
      <c r="A377" s="137" t="s">
        <v>691</v>
      </c>
      <c r="B377" s="137" t="s">
        <v>694</v>
      </c>
      <c r="C377" s="137">
        <v>2018</v>
      </c>
      <c r="D377" s="137" t="s">
        <v>193</v>
      </c>
      <c r="E377" s="137" t="s">
        <v>193</v>
      </c>
      <c r="F377" s="137" t="s">
        <v>53</v>
      </c>
      <c r="G377" s="137">
        <v>2.2999999999999998</v>
      </c>
      <c r="H377" s="137">
        <v>329.19</v>
      </c>
      <c r="I377" s="137">
        <v>0.43</v>
      </c>
      <c r="J377" s="137">
        <v>0.40550000000000003</v>
      </c>
      <c r="K377" s="137" t="s">
        <v>193</v>
      </c>
      <c r="L377" s="137" t="s">
        <v>193</v>
      </c>
      <c r="M377" s="137" t="s">
        <v>193</v>
      </c>
      <c r="N377" s="137" t="s">
        <v>193</v>
      </c>
      <c r="O377" s="137" t="s">
        <v>193</v>
      </c>
      <c r="P377" s="137" t="s">
        <v>193</v>
      </c>
      <c r="Q377" s="137" t="s">
        <v>193</v>
      </c>
      <c r="R377" s="137" t="s">
        <v>193</v>
      </c>
      <c r="S377" s="137" t="s">
        <v>193</v>
      </c>
      <c r="T377" s="137" t="s">
        <v>193</v>
      </c>
      <c r="W377" s="12" t="str">
        <f t="shared" si="20"/>
        <v>Nej</v>
      </c>
      <c r="Y377" s="12" t="str">
        <f t="shared" si="21"/>
        <v>Nej</v>
      </c>
      <c r="Z377" s="12">
        <f t="shared" si="22"/>
        <v>0</v>
      </c>
      <c r="AA377" s="12">
        <f t="shared" si="23"/>
        <v>0</v>
      </c>
    </row>
    <row r="378" spans="1:27" ht="15" customHeight="1" x14ac:dyDescent="0.25">
      <c r="A378" s="137" t="s">
        <v>691</v>
      </c>
      <c r="B378" s="137" t="s">
        <v>695</v>
      </c>
      <c r="C378" s="137">
        <v>2018</v>
      </c>
      <c r="D378" s="137" t="s">
        <v>193</v>
      </c>
      <c r="E378" s="137" t="s">
        <v>193</v>
      </c>
      <c r="F378" s="137" t="s">
        <v>53</v>
      </c>
      <c r="G378" s="137">
        <v>1.1000000000000001</v>
      </c>
      <c r="H378" s="137">
        <v>0</v>
      </c>
      <c r="I378" s="137">
        <v>0</v>
      </c>
      <c r="J378" s="137">
        <v>0</v>
      </c>
      <c r="K378" s="137" t="s">
        <v>193</v>
      </c>
      <c r="L378" s="137" t="s">
        <v>193</v>
      </c>
      <c r="M378" s="137" t="s">
        <v>193</v>
      </c>
      <c r="N378" s="137" t="s">
        <v>193</v>
      </c>
      <c r="O378" s="137" t="s">
        <v>193</v>
      </c>
      <c r="P378" s="137" t="s">
        <v>193</v>
      </c>
      <c r="Q378" s="137" t="s">
        <v>193</v>
      </c>
      <c r="R378" s="137" t="s">
        <v>193</v>
      </c>
      <c r="S378" s="137" t="s">
        <v>193</v>
      </c>
      <c r="T378" s="137" t="s">
        <v>193</v>
      </c>
      <c r="W378" s="12" t="str">
        <f t="shared" si="20"/>
        <v>Ja</v>
      </c>
      <c r="Y378" s="12" t="str">
        <f t="shared" si="21"/>
        <v>Nej</v>
      </c>
      <c r="Z378" s="12">
        <f t="shared" si="22"/>
        <v>0</v>
      </c>
      <c r="AA378" s="12">
        <f t="shared" si="23"/>
        <v>0</v>
      </c>
    </row>
    <row r="379" spans="1:27" ht="15" customHeight="1" x14ac:dyDescent="0.25">
      <c r="A379" s="137" t="s">
        <v>691</v>
      </c>
      <c r="B379" s="137" t="s">
        <v>696</v>
      </c>
      <c r="C379" s="137">
        <v>2018</v>
      </c>
      <c r="D379" s="137" t="s">
        <v>193</v>
      </c>
      <c r="E379" s="137" t="s">
        <v>193</v>
      </c>
      <c r="F379" s="137" t="s">
        <v>53</v>
      </c>
      <c r="G379" s="137">
        <v>1.1000000000000001</v>
      </c>
      <c r="H379" s="137">
        <v>0</v>
      </c>
      <c r="I379" s="137">
        <v>0</v>
      </c>
      <c r="J379" s="137">
        <v>0</v>
      </c>
      <c r="K379" s="137" t="s">
        <v>193</v>
      </c>
      <c r="L379" s="137" t="s">
        <v>193</v>
      </c>
      <c r="M379" s="137" t="s">
        <v>193</v>
      </c>
      <c r="N379" s="137" t="s">
        <v>193</v>
      </c>
      <c r="O379" s="137" t="s">
        <v>193</v>
      </c>
      <c r="P379" s="137" t="s">
        <v>193</v>
      </c>
      <c r="Q379" s="137" t="s">
        <v>193</v>
      </c>
      <c r="R379" s="137" t="s">
        <v>193</v>
      </c>
      <c r="S379" s="137" t="s">
        <v>193</v>
      </c>
      <c r="T379" s="137" t="s">
        <v>193</v>
      </c>
      <c r="W379" s="12" t="str">
        <f t="shared" si="20"/>
        <v>Ja</v>
      </c>
      <c r="Y379" s="12" t="str">
        <f t="shared" si="21"/>
        <v>Nej</v>
      </c>
      <c r="Z379" s="12">
        <f t="shared" si="22"/>
        <v>0</v>
      </c>
      <c r="AA379" s="12">
        <f t="shared" si="23"/>
        <v>0</v>
      </c>
    </row>
    <row r="380" spans="1:27" ht="15" customHeight="1" x14ac:dyDescent="0.25">
      <c r="A380" s="137" t="s">
        <v>691</v>
      </c>
      <c r="B380" s="137" t="s">
        <v>697</v>
      </c>
      <c r="C380" s="137">
        <v>2018</v>
      </c>
      <c r="D380" s="137" t="s">
        <v>193</v>
      </c>
      <c r="E380" s="137" t="s">
        <v>193</v>
      </c>
      <c r="F380" s="137" t="s">
        <v>1049</v>
      </c>
      <c r="G380" s="137">
        <v>1.1000000000000001</v>
      </c>
      <c r="H380" s="137">
        <v>0</v>
      </c>
      <c r="I380" s="137">
        <v>0</v>
      </c>
      <c r="J380" s="137">
        <v>0</v>
      </c>
      <c r="K380" s="137" t="s">
        <v>193</v>
      </c>
      <c r="L380" s="137" t="s">
        <v>193</v>
      </c>
      <c r="M380" s="137" t="s">
        <v>193</v>
      </c>
      <c r="N380" s="137" t="s">
        <v>193</v>
      </c>
      <c r="O380" s="137" t="s">
        <v>193</v>
      </c>
      <c r="P380" s="137" t="s">
        <v>193</v>
      </c>
      <c r="Q380" s="137" t="s">
        <v>193</v>
      </c>
      <c r="R380" s="137" t="s">
        <v>193</v>
      </c>
      <c r="S380" s="137" t="s">
        <v>193</v>
      </c>
      <c r="T380" s="137" t="s">
        <v>193</v>
      </c>
      <c r="W380" s="12" t="str">
        <f t="shared" si="20"/>
        <v>Ja</v>
      </c>
      <c r="Y380" s="12" t="str">
        <f t="shared" si="21"/>
        <v>Nej</v>
      </c>
      <c r="Z380" s="12">
        <f t="shared" si="22"/>
        <v>0</v>
      </c>
      <c r="AA380" s="12">
        <f t="shared" si="23"/>
        <v>0</v>
      </c>
    </row>
    <row r="381" spans="1:27" ht="15" customHeight="1" x14ac:dyDescent="0.25">
      <c r="A381" s="137" t="s">
        <v>698</v>
      </c>
      <c r="B381" s="137" t="s">
        <v>699</v>
      </c>
      <c r="C381" s="137">
        <v>2018</v>
      </c>
      <c r="D381" s="137">
        <v>3.343</v>
      </c>
      <c r="E381" s="137" t="s">
        <v>193</v>
      </c>
      <c r="F381" s="137" t="s">
        <v>1050</v>
      </c>
      <c r="G381" s="137">
        <v>0.05</v>
      </c>
      <c r="H381" s="137">
        <v>0</v>
      </c>
      <c r="I381" s="137">
        <v>0</v>
      </c>
      <c r="J381" s="137">
        <v>0</v>
      </c>
      <c r="K381" s="137" t="s">
        <v>193</v>
      </c>
      <c r="L381" s="137" t="s">
        <v>193</v>
      </c>
      <c r="M381" s="137" t="s">
        <v>193</v>
      </c>
      <c r="N381" s="137" t="s">
        <v>193</v>
      </c>
      <c r="O381" s="137" t="s">
        <v>193</v>
      </c>
      <c r="P381" s="137" t="s">
        <v>193</v>
      </c>
      <c r="Q381" s="137" t="s">
        <v>193</v>
      </c>
      <c r="R381" s="137" t="s">
        <v>193</v>
      </c>
      <c r="S381" s="137" t="s">
        <v>193</v>
      </c>
      <c r="T381" s="137" t="s">
        <v>193</v>
      </c>
      <c r="W381" s="12" t="str">
        <f t="shared" si="20"/>
        <v>Ja</v>
      </c>
      <c r="Y381" s="12" t="str">
        <f t="shared" si="21"/>
        <v>Nej</v>
      </c>
      <c r="Z381" s="12">
        <f t="shared" si="22"/>
        <v>0</v>
      </c>
      <c r="AA381" s="12">
        <f t="shared" si="23"/>
        <v>0</v>
      </c>
    </row>
    <row r="382" spans="1:27" ht="15" customHeight="1" x14ac:dyDescent="0.25">
      <c r="A382" s="137" t="s">
        <v>698</v>
      </c>
      <c r="B382" s="137" t="s">
        <v>700</v>
      </c>
      <c r="C382" s="137">
        <v>2018</v>
      </c>
      <c r="D382" s="137">
        <v>0.371</v>
      </c>
      <c r="E382" s="137" t="s">
        <v>193</v>
      </c>
      <c r="F382" s="137" t="s">
        <v>1051</v>
      </c>
      <c r="G382" s="137">
        <v>0.05</v>
      </c>
      <c r="H382" s="137">
        <v>0</v>
      </c>
      <c r="I382" s="137">
        <v>0</v>
      </c>
      <c r="J382" s="137">
        <v>0</v>
      </c>
      <c r="K382" s="137" t="s">
        <v>193</v>
      </c>
      <c r="L382" s="137" t="s">
        <v>193</v>
      </c>
      <c r="M382" s="137" t="s">
        <v>193</v>
      </c>
      <c r="N382" s="137" t="s">
        <v>193</v>
      </c>
      <c r="O382" s="137" t="s">
        <v>193</v>
      </c>
      <c r="P382" s="137" t="s">
        <v>193</v>
      </c>
      <c r="Q382" s="137" t="s">
        <v>193</v>
      </c>
      <c r="R382" s="137" t="s">
        <v>193</v>
      </c>
      <c r="S382" s="137" t="s">
        <v>193</v>
      </c>
      <c r="T382" s="137" t="s">
        <v>193</v>
      </c>
      <c r="W382" s="12" t="str">
        <f t="shared" si="20"/>
        <v>Ja</v>
      </c>
      <c r="Y382" s="12" t="str">
        <f t="shared" si="21"/>
        <v>Nej</v>
      </c>
      <c r="Z382" s="12">
        <f t="shared" si="22"/>
        <v>0</v>
      </c>
      <c r="AA382" s="12">
        <f t="shared" si="23"/>
        <v>0</v>
      </c>
    </row>
    <row r="383" spans="1:27" ht="15" customHeight="1" x14ac:dyDescent="0.25">
      <c r="A383" s="137" t="s">
        <v>698</v>
      </c>
      <c r="B383" s="137" t="s">
        <v>701</v>
      </c>
      <c r="C383" s="137">
        <v>2018</v>
      </c>
      <c r="D383" s="137">
        <v>4.0830000000000002</v>
      </c>
      <c r="E383" s="137" t="s">
        <v>193</v>
      </c>
      <c r="F383" s="137" t="s">
        <v>1052</v>
      </c>
      <c r="G383" s="137">
        <v>0.05</v>
      </c>
      <c r="H383" s="137">
        <v>0</v>
      </c>
      <c r="I383" s="137">
        <v>0</v>
      </c>
      <c r="J383" s="137">
        <v>0</v>
      </c>
      <c r="K383" s="137" t="s">
        <v>193</v>
      </c>
      <c r="L383" s="137" t="s">
        <v>193</v>
      </c>
      <c r="M383" s="137" t="s">
        <v>193</v>
      </c>
      <c r="N383" s="137" t="s">
        <v>193</v>
      </c>
      <c r="O383" s="137" t="s">
        <v>193</v>
      </c>
      <c r="P383" s="137" t="s">
        <v>193</v>
      </c>
      <c r="Q383" s="137" t="s">
        <v>193</v>
      </c>
      <c r="R383" s="137" t="s">
        <v>193</v>
      </c>
      <c r="S383" s="137" t="s">
        <v>193</v>
      </c>
      <c r="T383" s="137" t="s">
        <v>193</v>
      </c>
      <c r="W383" s="12" t="str">
        <f t="shared" si="20"/>
        <v>Ja</v>
      </c>
      <c r="Y383" s="12" t="str">
        <f t="shared" si="21"/>
        <v>Nej</v>
      </c>
      <c r="Z383" s="12">
        <f t="shared" si="22"/>
        <v>0</v>
      </c>
      <c r="AA383" s="12">
        <f t="shared" si="23"/>
        <v>0</v>
      </c>
    </row>
    <row r="384" spans="1:27" ht="15" customHeight="1" x14ac:dyDescent="0.25">
      <c r="A384" s="137" t="s">
        <v>698</v>
      </c>
      <c r="B384" s="137" t="s">
        <v>702</v>
      </c>
      <c r="C384" s="137">
        <v>2018</v>
      </c>
      <c r="D384" s="137">
        <v>8.6999999999999994E-2</v>
      </c>
      <c r="E384" s="137" t="s">
        <v>193</v>
      </c>
      <c r="F384" s="137" t="s">
        <v>53</v>
      </c>
      <c r="G384" s="137">
        <v>2.23</v>
      </c>
      <c r="H384" s="137">
        <v>329.19</v>
      </c>
      <c r="I384" s="137">
        <v>0.43</v>
      </c>
      <c r="J384" s="137">
        <v>0.40550000000000003</v>
      </c>
      <c r="K384" s="137" t="s">
        <v>193</v>
      </c>
      <c r="L384" s="137" t="s">
        <v>193</v>
      </c>
      <c r="M384" s="137" t="s">
        <v>193</v>
      </c>
      <c r="N384" s="137" t="s">
        <v>193</v>
      </c>
      <c r="O384" s="137" t="s">
        <v>193</v>
      </c>
      <c r="P384" s="137" t="s">
        <v>193</v>
      </c>
      <c r="Q384" s="137" t="s">
        <v>193</v>
      </c>
      <c r="R384" s="137" t="s">
        <v>193</v>
      </c>
      <c r="S384" s="137" t="s">
        <v>193</v>
      </c>
      <c r="T384" s="137" t="s">
        <v>193</v>
      </c>
      <c r="W384" s="12" t="str">
        <f t="shared" si="20"/>
        <v>Ja</v>
      </c>
      <c r="Y384" s="12" t="str">
        <f t="shared" si="21"/>
        <v>Nej</v>
      </c>
      <c r="Z384" s="12">
        <f t="shared" si="22"/>
        <v>0</v>
      </c>
      <c r="AA384" s="12">
        <f t="shared" si="23"/>
        <v>0</v>
      </c>
    </row>
    <row r="385" spans="1:27" ht="15" customHeight="1" x14ac:dyDescent="0.25">
      <c r="A385" s="137" t="s">
        <v>703</v>
      </c>
      <c r="B385" s="137" t="s">
        <v>704</v>
      </c>
      <c r="C385" s="137">
        <v>2018</v>
      </c>
      <c r="D385" s="137">
        <v>0.28999999999999998</v>
      </c>
      <c r="E385" s="137" t="s">
        <v>193</v>
      </c>
      <c r="F385" s="137" t="s">
        <v>53</v>
      </c>
      <c r="G385" s="137">
        <v>2.2999999999999998</v>
      </c>
      <c r="H385" s="137">
        <v>329.19</v>
      </c>
      <c r="I385" s="137">
        <v>0.43</v>
      </c>
      <c r="J385" s="137">
        <v>0.40550000000000003</v>
      </c>
      <c r="K385" s="137" t="s">
        <v>193</v>
      </c>
      <c r="L385" s="137" t="s">
        <v>193</v>
      </c>
      <c r="M385" s="137" t="s">
        <v>193</v>
      </c>
      <c r="N385" s="137" t="s">
        <v>193</v>
      </c>
      <c r="O385" s="137" t="s">
        <v>193</v>
      </c>
      <c r="P385" s="137" t="s">
        <v>193</v>
      </c>
      <c r="Q385" s="137" t="s">
        <v>193</v>
      </c>
      <c r="R385" s="137" t="s">
        <v>193</v>
      </c>
      <c r="S385" s="137" t="s">
        <v>193</v>
      </c>
      <c r="T385" s="137" t="s">
        <v>193</v>
      </c>
      <c r="W385" s="12" t="str">
        <f t="shared" si="20"/>
        <v>Nej</v>
      </c>
      <c r="Y385" s="12" t="str">
        <f t="shared" si="21"/>
        <v>Nej</v>
      </c>
      <c r="Z385" s="12">
        <f t="shared" si="22"/>
        <v>0</v>
      </c>
      <c r="AA385" s="12">
        <f t="shared" si="23"/>
        <v>0</v>
      </c>
    </row>
    <row r="386" spans="1:27" ht="15" customHeight="1" x14ac:dyDescent="0.25">
      <c r="A386" s="137" t="s">
        <v>703</v>
      </c>
      <c r="B386" s="137" t="s">
        <v>705</v>
      </c>
      <c r="C386" s="137">
        <v>2018</v>
      </c>
      <c r="D386" s="137">
        <v>0.872</v>
      </c>
      <c r="E386" s="137" t="s">
        <v>193</v>
      </c>
      <c r="F386" s="137" t="s">
        <v>53</v>
      </c>
      <c r="G386" s="137">
        <v>2.2999999999999998</v>
      </c>
      <c r="H386" s="137">
        <v>329.19</v>
      </c>
      <c r="I386" s="137">
        <v>0.43</v>
      </c>
      <c r="J386" s="137">
        <v>0.40550000000000003</v>
      </c>
      <c r="K386" s="137" t="s">
        <v>193</v>
      </c>
      <c r="L386" s="137" t="s">
        <v>193</v>
      </c>
      <c r="M386" s="137" t="s">
        <v>193</v>
      </c>
      <c r="N386" s="137" t="s">
        <v>193</v>
      </c>
      <c r="O386" s="137" t="s">
        <v>193</v>
      </c>
      <c r="P386" s="137" t="s">
        <v>193</v>
      </c>
      <c r="Q386" s="137" t="s">
        <v>193</v>
      </c>
      <c r="R386" s="137" t="s">
        <v>193</v>
      </c>
      <c r="S386" s="137" t="s">
        <v>193</v>
      </c>
      <c r="T386" s="137" t="s">
        <v>193</v>
      </c>
      <c r="W386" s="12" t="str">
        <f t="shared" ref="W386:W415" si="24">IF(OR(AND(G386&lt;&gt;$AD$3,G386&lt;&gt;"-"),AND(H386&lt;&gt;$AD$4,H386&lt;&gt;"-"),AND(I386&lt;&gt;$AD$5,I386&lt;&gt;"-"),AND(J386&lt;&gt;$AD$6,J386&lt;&gt;"-")),"Ja","Nej")</f>
        <v>Nej</v>
      </c>
      <c r="Y386" s="12" t="str">
        <f t="shared" ref="Y386:Y415" si="25">IF(ISERROR(1/K386),"Nej","Ja")</f>
        <v>Nej</v>
      </c>
      <c r="Z386" s="12">
        <f t="shared" ref="Z386:Z415" si="26">IF(Y386="nej",0,K386)</f>
        <v>0</v>
      </c>
      <c r="AA386" s="12">
        <f t="shared" ref="AA386:AA415" si="27">IF(Y386="nej",0,O386/100)</f>
        <v>0</v>
      </c>
    </row>
    <row r="387" spans="1:27" ht="15" customHeight="1" x14ac:dyDescent="0.25">
      <c r="A387" s="137" t="s">
        <v>703</v>
      </c>
      <c r="B387" s="137" t="s">
        <v>706</v>
      </c>
      <c r="C387" s="137">
        <v>2018</v>
      </c>
      <c r="D387" s="137">
        <v>8.6430000000000007</v>
      </c>
      <c r="E387" s="137">
        <v>2.4180000000000001</v>
      </c>
      <c r="F387" s="137" t="s">
        <v>53</v>
      </c>
      <c r="G387" s="137">
        <v>2.2999999999999998</v>
      </c>
      <c r="H387" s="137">
        <v>329.19</v>
      </c>
      <c r="I387" s="137">
        <v>0.43</v>
      </c>
      <c r="J387" s="137">
        <v>0.40550000000000003</v>
      </c>
      <c r="K387" s="137" t="s">
        <v>193</v>
      </c>
      <c r="L387" s="137" t="s">
        <v>193</v>
      </c>
      <c r="M387" s="137" t="s">
        <v>193</v>
      </c>
      <c r="N387" s="137" t="s">
        <v>193</v>
      </c>
      <c r="O387" s="137" t="s">
        <v>193</v>
      </c>
      <c r="P387" s="137" t="s">
        <v>193</v>
      </c>
      <c r="Q387" s="137" t="s">
        <v>193</v>
      </c>
      <c r="R387" s="137" t="s">
        <v>193</v>
      </c>
      <c r="S387" s="137" t="s">
        <v>193</v>
      </c>
      <c r="T387" s="137" t="s">
        <v>193</v>
      </c>
      <c r="W387" s="12" t="str">
        <f t="shared" si="24"/>
        <v>Nej</v>
      </c>
      <c r="Y387" s="12" t="str">
        <f t="shared" si="25"/>
        <v>Nej</v>
      </c>
      <c r="Z387" s="12">
        <f t="shared" si="26"/>
        <v>0</v>
      </c>
      <c r="AA387" s="12">
        <f t="shared" si="27"/>
        <v>0</v>
      </c>
    </row>
    <row r="388" spans="1:27" ht="15" customHeight="1" x14ac:dyDescent="0.25">
      <c r="A388" s="137" t="s">
        <v>707</v>
      </c>
      <c r="B388" s="137" t="s">
        <v>708</v>
      </c>
      <c r="C388" s="137">
        <v>2018</v>
      </c>
      <c r="D388" s="137">
        <v>3.9</v>
      </c>
      <c r="E388" s="137" t="s">
        <v>193</v>
      </c>
      <c r="F388" s="137" t="s">
        <v>1053</v>
      </c>
      <c r="G388" s="137">
        <v>1.1000000000000001</v>
      </c>
      <c r="H388" s="137">
        <v>8.1</v>
      </c>
      <c r="I388" s="137">
        <v>0</v>
      </c>
      <c r="J388" s="137">
        <v>0</v>
      </c>
      <c r="K388" s="137" t="s">
        <v>193</v>
      </c>
      <c r="L388" s="137" t="s">
        <v>193</v>
      </c>
      <c r="M388" s="137" t="s">
        <v>193</v>
      </c>
      <c r="N388" s="137" t="s">
        <v>193</v>
      </c>
      <c r="O388" s="137" t="s">
        <v>193</v>
      </c>
      <c r="P388" s="137" t="s">
        <v>193</v>
      </c>
      <c r="Q388" s="137" t="s">
        <v>193</v>
      </c>
      <c r="R388" s="137" t="s">
        <v>193</v>
      </c>
      <c r="S388" s="137" t="s">
        <v>193</v>
      </c>
      <c r="T388" s="137" t="s">
        <v>193</v>
      </c>
      <c r="W388" s="12" t="str">
        <f t="shared" si="24"/>
        <v>Ja</v>
      </c>
      <c r="Y388" s="12" t="str">
        <f t="shared" si="25"/>
        <v>Nej</v>
      </c>
      <c r="Z388" s="12">
        <f t="shared" si="26"/>
        <v>0</v>
      </c>
      <c r="AA388" s="12">
        <f t="shared" si="27"/>
        <v>0</v>
      </c>
    </row>
    <row r="389" spans="1:27" ht="15" customHeight="1" x14ac:dyDescent="0.25">
      <c r="A389" s="137" t="s">
        <v>707</v>
      </c>
      <c r="B389" s="137" t="s">
        <v>709</v>
      </c>
      <c r="C389" s="137">
        <v>2018</v>
      </c>
      <c r="D389" s="137" t="s">
        <v>53</v>
      </c>
      <c r="E389" s="137" t="s">
        <v>53</v>
      </c>
      <c r="F389" s="137" t="s">
        <v>53</v>
      </c>
      <c r="G389" s="137" t="s">
        <v>53</v>
      </c>
      <c r="H389" s="137" t="s">
        <v>53</v>
      </c>
      <c r="I389" s="137" t="s">
        <v>53</v>
      </c>
      <c r="J389" s="137" t="s">
        <v>53</v>
      </c>
      <c r="K389" s="137" t="s">
        <v>53</v>
      </c>
      <c r="L389" s="137" t="s">
        <v>53</v>
      </c>
      <c r="M389" s="137" t="s">
        <v>53</v>
      </c>
      <c r="N389" s="137" t="s">
        <v>53</v>
      </c>
      <c r="O389" s="137" t="s">
        <v>53</v>
      </c>
      <c r="P389" s="137" t="s">
        <v>53</v>
      </c>
      <c r="Q389" s="137" t="s">
        <v>53</v>
      </c>
      <c r="R389" s="137" t="s">
        <v>53</v>
      </c>
      <c r="S389" s="137" t="s">
        <v>53</v>
      </c>
      <c r="T389" s="137" t="s">
        <v>53</v>
      </c>
      <c r="W389" s="12" t="str">
        <f t="shared" si="24"/>
        <v>Nej</v>
      </c>
      <c r="Y389" s="12" t="str">
        <f t="shared" si="25"/>
        <v>Nej</v>
      </c>
      <c r="Z389" s="12">
        <f t="shared" si="26"/>
        <v>0</v>
      </c>
      <c r="AA389" s="12">
        <f t="shared" si="27"/>
        <v>0</v>
      </c>
    </row>
    <row r="390" spans="1:27" ht="15" customHeight="1" x14ac:dyDescent="0.25">
      <c r="A390" s="137" t="s">
        <v>707</v>
      </c>
      <c r="B390" s="137" t="s">
        <v>710</v>
      </c>
      <c r="C390" s="137">
        <v>2018</v>
      </c>
      <c r="D390" s="137">
        <v>0.04</v>
      </c>
      <c r="E390" s="137" t="s">
        <v>193</v>
      </c>
      <c r="F390" s="137" t="s">
        <v>1054</v>
      </c>
      <c r="G390" s="137">
        <v>1.1000000000000001</v>
      </c>
      <c r="H390" s="137">
        <v>8.1</v>
      </c>
      <c r="I390" s="137">
        <v>0.43</v>
      </c>
      <c r="J390" s="137">
        <v>0.40550000000000003</v>
      </c>
      <c r="K390" s="137" t="s">
        <v>193</v>
      </c>
      <c r="L390" s="137" t="s">
        <v>193</v>
      </c>
      <c r="M390" s="137" t="s">
        <v>193</v>
      </c>
      <c r="N390" s="137" t="s">
        <v>193</v>
      </c>
      <c r="O390" s="137" t="s">
        <v>193</v>
      </c>
      <c r="P390" s="137" t="s">
        <v>193</v>
      </c>
      <c r="Q390" s="137" t="s">
        <v>193</v>
      </c>
      <c r="R390" s="137" t="s">
        <v>193</v>
      </c>
      <c r="S390" s="137" t="s">
        <v>193</v>
      </c>
      <c r="T390" s="137" t="s">
        <v>193</v>
      </c>
      <c r="W390" s="12" t="str">
        <f t="shared" si="24"/>
        <v>Ja</v>
      </c>
      <c r="Y390" s="12" t="str">
        <f t="shared" si="25"/>
        <v>Nej</v>
      </c>
      <c r="Z390" s="12">
        <f t="shared" si="26"/>
        <v>0</v>
      </c>
      <c r="AA390" s="12">
        <f t="shared" si="27"/>
        <v>0</v>
      </c>
    </row>
    <row r="391" spans="1:27" ht="15" customHeight="1" x14ac:dyDescent="0.25">
      <c r="A391" s="137" t="s">
        <v>707</v>
      </c>
      <c r="B391" s="137" t="s">
        <v>711</v>
      </c>
      <c r="C391" s="137">
        <v>2018</v>
      </c>
      <c r="D391" s="137" t="s">
        <v>53</v>
      </c>
      <c r="E391" s="137" t="s">
        <v>53</v>
      </c>
      <c r="F391" s="137" t="s">
        <v>53</v>
      </c>
      <c r="G391" s="137" t="s">
        <v>53</v>
      </c>
      <c r="H391" s="137" t="s">
        <v>53</v>
      </c>
      <c r="I391" s="137" t="s">
        <v>53</v>
      </c>
      <c r="J391" s="137" t="s">
        <v>53</v>
      </c>
      <c r="K391" s="137" t="s">
        <v>53</v>
      </c>
      <c r="L391" s="137" t="s">
        <v>53</v>
      </c>
      <c r="M391" s="137" t="s">
        <v>53</v>
      </c>
      <c r="N391" s="137" t="s">
        <v>53</v>
      </c>
      <c r="O391" s="137" t="s">
        <v>53</v>
      </c>
      <c r="P391" s="137" t="s">
        <v>53</v>
      </c>
      <c r="Q391" s="137" t="s">
        <v>53</v>
      </c>
      <c r="R391" s="137" t="s">
        <v>53</v>
      </c>
      <c r="S391" s="137" t="s">
        <v>53</v>
      </c>
      <c r="T391" s="137" t="s">
        <v>53</v>
      </c>
      <c r="W391" s="12" t="str">
        <f t="shared" si="24"/>
        <v>Nej</v>
      </c>
      <c r="Y391" s="12" t="str">
        <f t="shared" si="25"/>
        <v>Nej</v>
      </c>
      <c r="Z391" s="12">
        <f t="shared" si="26"/>
        <v>0</v>
      </c>
      <c r="AA391" s="12">
        <f t="shared" si="27"/>
        <v>0</v>
      </c>
    </row>
    <row r="392" spans="1:27" ht="15" customHeight="1" x14ac:dyDescent="0.25">
      <c r="A392" s="137" t="s">
        <v>712</v>
      </c>
      <c r="B392" s="137" t="s">
        <v>713</v>
      </c>
      <c r="C392" s="137">
        <v>2018</v>
      </c>
      <c r="D392" s="137">
        <v>0.27</v>
      </c>
      <c r="E392" s="137" t="s">
        <v>193</v>
      </c>
      <c r="F392" s="137" t="s">
        <v>944</v>
      </c>
      <c r="G392" s="137">
        <v>0.05</v>
      </c>
      <c r="H392" s="137">
        <v>0</v>
      </c>
      <c r="I392" s="137">
        <v>0</v>
      </c>
      <c r="J392" s="137">
        <v>0</v>
      </c>
      <c r="K392" s="137" t="s">
        <v>193</v>
      </c>
      <c r="L392" s="137" t="s">
        <v>193</v>
      </c>
      <c r="M392" s="137" t="s">
        <v>193</v>
      </c>
      <c r="N392" s="137" t="s">
        <v>193</v>
      </c>
      <c r="O392" s="137" t="s">
        <v>193</v>
      </c>
      <c r="P392" s="137" t="s">
        <v>193</v>
      </c>
      <c r="Q392" s="137" t="s">
        <v>193</v>
      </c>
      <c r="R392" s="137" t="s">
        <v>193</v>
      </c>
      <c r="S392" s="137" t="s">
        <v>193</v>
      </c>
      <c r="T392" s="137" t="s">
        <v>193</v>
      </c>
      <c r="W392" s="12" t="str">
        <f t="shared" si="24"/>
        <v>Ja</v>
      </c>
      <c r="Y392" s="12" t="str">
        <f t="shared" si="25"/>
        <v>Nej</v>
      </c>
      <c r="Z392" s="12">
        <f t="shared" si="26"/>
        <v>0</v>
      </c>
      <c r="AA392" s="12">
        <f t="shared" si="27"/>
        <v>0</v>
      </c>
    </row>
    <row r="393" spans="1:27" ht="15" customHeight="1" x14ac:dyDescent="0.25">
      <c r="A393" s="137" t="s">
        <v>712</v>
      </c>
      <c r="B393" s="137" t="s">
        <v>714</v>
      </c>
      <c r="C393" s="137">
        <v>2018</v>
      </c>
      <c r="D393" s="137">
        <v>0.159</v>
      </c>
      <c r="E393" s="137" t="s">
        <v>193</v>
      </c>
      <c r="F393" s="137" t="s">
        <v>53</v>
      </c>
      <c r="G393" s="137">
        <v>0.05</v>
      </c>
      <c r="H393" s="137">
        <v>0</v>
      </c>
      <c r="I393" s="137">
        <v>0</v>
      </c>
      <c r="J393" s="137">
        <v>0</v>
      </c>
      <c r="K393" s="137" t="s">
        <v>193</v>
      </c>
      <c r="L393" s="137" t="s">
        <v>193</v>
      </c>
      <c r="M393" s="137" t="s">
        <v>193</v>
      </c>
      <c r="N393" s="137" t="s">
        <v>193</v>
      </c>
      <c r="O393" s="137" t="s">
        <v>193</v>
      </c>
      <c r="P393" s="137" t="s">
        <v>193</v>
      </c>
      <c r="Q393" s="137" t="s">
        <v>193</v>
      </c>
      <c r="R393" s="137" t="s">
        <v>193</v>
      </c>
      <c r="S393" s="137" t="s">
        <v>193</v>
      </c>
      <c r="T393" s="137" t="s">
        <v>193</v>
      </c>
      <c r="W393" s="12" t="str">
        <f t="shared" si="24"/>
        <v>Ja</v>
      </c>
      <c r="Y393" s="12" t="str">
        <f t="shared" si="25"/>
        <v>Nej</v>
      </c>
      <c r="Z393" s="12">
        <f t="shared" si="26"/>
        <v>0</v>
      </c>
      <c r="AA393" s="12">
        <f t="shared" si="27"/>
        <v>0</v>
      </c>
    </row>
    <row r="394" spans="1:27" ht="15" customHeight="1" x14ac:dyDescent="0.25">
      <c r="A394" s="137" t="s">
        <v>712</v>
      </c>
      <c r="B394" s="137" t="s">
        <v>715</v>
      </c>
      <c r="C394" s="137">
        <v>2018</v>
      </c>
      <c r="D394" s="137">
        <v>0.214</v>
      </c>
      <c r="E394" s="137" t="s">
        <v>193</v>
      </c>
      <c r="F394" s="137" t="s">
        <v>944</v>
      </c>
      <c r="G394" s="137">
        <v>0.05</v>
      </c>
      <c r="H394" s="137">
        <v>0</v>
      </c>
      <c r="I394" s="137">
        <v>0</v>
      </c>
      <c r="J394" s="137">
        <v>0</v>
      </c>
      <c r="K394" s="137" t="s">
        <v>193</v>
      </c>
      <c r="L394" s="137" t="s">
        <v>193</v>
      </c>
      <c r="M394" s="137" t="s">
        <v>193</v>
      </c>
      <c r="N394" s="137" t="s">
        <v>193</v>
      </c>
      <c r="O394" s="137" t="s">
        <v>193</v>
      </c>
      <c r="P394" s="137" t="s">
        <v>193</v>
      </c>
      <c r="Q394" s="137" t="s">
        <v>193</v>
      </c>
      <c r="R394" s="137" t="s">
        <v>193</v>
      </c>
      <c r="S394" s="137" t="s">
        <v>193</v>
      </c>
      <c r="T394" s="137" t="s">
        <v>193</v>
      </c>
      <c r="W394" s="12" t="str">
        <f t="shared" si="24"/>
        <v>Ja</v>
      </c>
      <c r="Y394" s="12" t="str">
        <f t="shared" si="25"/>
        <v>Nej</v>
      </c>
      <c r="Z394" s="12">
        <f t="shared" si="26"/>
        <v>0</v>
      </c>
      <c r="AA394" s="12">
        <f t="shared" si="27"/>
        <v>0</v>
      </c>
    </row>
    <row r="395" spans="1:27" ht="15" customHeight="1" x14ac:dyDescent="0.25">
      <c r="A395" s="137" t="s">
        <v>712</v>
      </c>
      <c r="B395" s="137" t="s">
        <v>716</v>
      </c>
      <c r="C395" s="137">
        <v>2018</v>
      </c>
      <c r="D395" s="137">
        <v>2.1</v>
      </c>
      <c r="E395" s="137" t="s">
        <v>193</v>
      </c>
      <c r="F395" s="137" t="s">
        <v>944</v>
      </c>
      <c r="G395" s="137">
        <v>0.1</v>
      </c>
      <c r="H395" s="137">
        <v>0</v>
      </c>
      <c r="I395" s="137">
        <v>0</v>
      </c>
      <c r="J395" s="137">
        <v>0</v>
      </c>
      <c r="K395" s="137" t="s">
        <v>193</v>
      </c>
      <c r="L395" s="137" t="s">
        <v>193</v>
      </c>
      <c r="M395" s="137" t="s">
        <v>193</v>
      </c>
      <c r="N395" s="137" t="s">
        <v>193</v>
      </c>
      <c r="O395" s="137" t="s">
        <v>193</v>
      </c>
      <c r="P395" s="137" t="s">
        <v>193</v>
      </c>
      <c r="Q395" s="137" t="s">
        <v>193</v>
      </c>
      <c r="R395" s="137" t="s">
        <v>193</v>
      </c>
      <c r="S395" s="137" t="s">
        <v>193</v>
      </c>
      <c r="T395" s="137" t="s">
        <v>193</v>
      </c>
      <c r="W395" s="12" t="str">
        <f t="shared" si="24"/>
        <v>Ja</v>
      </c>
      <c r="Y395" s="12" t="str">
        <f t="shared" si="25"/>
        <v>Nej</v>
      </c>
      <c r="Z395" s="12">
        <f t="shared" si="26"/>
        <v>0</v>
      </c>
      <c r="AA395" s="12">
        <f t="shared" si="27"/>
        <v>0</v>
      </c>
    </row>
    <row r="396" spans="1:27" ht="15" customHeight="1" x14ac:dyDescent="0.25">
      <c r="A396" s="137" t="s">
        <v>712</v>
      </c>
      <c r="B396" s="137" t="s">
        <v>717</v>
      </c>
      <c r="C396" s="137">
        <v>2018</v>
      </c>
      <c r="D396" s="137">
        <v>0.159</v>
      </c>
      <c r="E396" s="137">
        <v>29.7</v>
      </c>
      <c r="F396" s="137" t="s">
        <v>1055</v>
      </c>
      <c r="G396" s="137">
        <v>0.05</v>
      </c>
      <c r="H396" s="137">
        <v>0</v>
      </c>
      <c r="I396" s="137">
        <v>0</v>
      </c>
      <c r="J396" s="137">
        <v>0</v>
      </c>
      <c r="K396" s="137" t="s">
        <v>193</v>
      </c>
      <c r="L396" s="137" t="s">
        <v>193</v>
      </c>
      <c r="M396" s="137" t="s">
        <v>193</v>
      </c>
      <c r="N396" s="137" t="s">
        <v>193</v>
      </c>
      <c r="O396" s="137" t="s">
        <v>193</v>
      </c>
      <c r="P396" s="137" t="s">
        <v>193</v>
      </c>
      <c r="Q396" s="137" t="s">
        <v>193</v>
      </c>
      <c r="R396" s="137" t="s">
        <v>193</v>
      </c>
      <c r="S396" s="137" t="s">
        <v>193</v>
      </c>
      <c r="T396" s="137" t="s">
        <v>193</v>
      </c>
      <c r="W396" s="12" t="str">
        <f t="shared" si="24"/>
        <v>Ja</v>
      </c>
      <c r="Y396" s="12" t="str">
        <f t="shared" si="25"/>
        <v>Nej</v>
      </c>
      <c r="Z396" s="12">
        <f t="shared" si="26"/>
        <v>0</v>
      </c>
      <c r="AA396" s="12">
        <f t="shared" si="27"/>
        <v>0</v>
      </c>
    </row>
    <row r="397" spans="1:27" ht="15" customHeight="1" x14ac:dyDescent="0.25">
      <c r="A397" s="137" t="s">
        <v>712</v>
      </c>
      <c r="B397" s="137" t="s">
        <v>718</v>
      </c>
      <c r="C397" s="137">
        <v>2018</v>
      </c>
      <c r="D397" s="137" t="s">
        <v>53</v>
      </c>
      <c r="E397" s="137" t="s">
        <v>53</v>
      </c>
      <c r="F397" s="137" t="s">
        <v>53</v>
      </c>
      <c r="G397" s="137" t="s">
        <v>53</v>
      </c>
      <c r="H397" s="137" t="s">
        <v>53</v>
      </c>
      <c r="I397" s="137" t="s">
        <v>53</v>
      </c>
      <c r="J397" s="137" t="s">
        <v>53</v>
      </c>
      <c r="K397" s="137" t="s">
        <v>53</v>
      </c>
      <c r="L397" s="137" t="s">
        <v>53</v>
      </c>
      <c r="M397" s="137" t="s">
        <v>53</v>
      </c>
      <c r="N397" s="137" t="s">
        <v>53</v>
      </c>
      <c r="O397" s="137" t="s">
        <v>53</v>
      </c>
      <c r="P397" s="137" t="s">
        <v>53</v>
      </c>
      <c r="Q397" s="137" t="s">
        <v>53</v>
      </c>
      <c r="R397" s="137" t="s">
        <v>53</v>
      </c>
      <c r="S397" s="137" t="s">
        <v>53</v>
      </c>
      <c r="T397" s="137" t="s">
        <v>53</v>
      </c>
      <c r="W397" s="12" t="str">
        <f t="shared" si="24"/>
        <v>Nej</v>
      </c>
      <c r="Y397" s="12" t="str">
        <f t="shared" si="25"/>
        <v>Nej</v>
      </c>
      <c r="Z397" s="12">
        <f t="shared" si="26"/>
        <v>0</v>
      </c>
      <c r="AA397" s="12">
        <f t="shared" si="27"/>
        <v>0</v>
      </c>
    </row>
    <row r="398" spans="1:27" ht="15" customHeight="1" x14ac:dyDescent="0.25">
      <c r="A398" s="137" t="s">
        <v>719</v>
      </c>
      <c r="B398" s="137" t="s">
        <v>720</v>
      </c>
      <c r="C398" s="137">
        <v>2018</v>
      </c>
      <c r="D398" s="137">
        <v>3.6030000000000002</v>
      </c>
      <c r="E398" s="137" t="s">
        <v>193</v>
      </c>
      <c r="F398" s="137" t="s">
        <v>944</v>
      </c>
      <c r="G398" s="137">
        <v>1.1000000000000001</v>
      </c>
      <c r="H398" s="137">
        <v>0</v>
      </c>
      <c r="I398" s="137">
        <v>0</v>
      </c>
      <c r="J398" s="137">
        <v>0</v>
      </c>
      <c r="K398" s="137" t="s">
        <v>193</v>
      </c>
      <c r="L398" s="137" t="s">
        <v>193</v>
      </c>
      <c r="M398" s="137" t="s">
        <v>193</v>
      </c>
      <c r="N398" s="137" t="s">
        <v>193</v>
      </c>
      <c r="O398" s="137" t="s">
        <v>193</v>
      </c>
      <c r="P398" s="137" t="s">
        <v>193</v>
      </c>
      <c r="Q398" s="137" t="s">
        <v>193</v>
      </c>
      <c r="R398" s="137" t="s">
        <v>193</v>
      </c>
      <c r="S398" s="137" t="s">
        <v>193</v>
      </c>
      <c r="T398" s="137" t="s">
        <v>193</v>
      </c>
      <c r="W398" s="12" t="str">
        <f t="shared" si="24"/>
        <v>Ja</v>
      </c>
      <c r="Y398" s="12" t="str">
        <f t="shared" si="25"/>
        <v>Nej</v>
      </c>
      <c r="Z398" s="12">
        <f t="shared" si="26"/>
        <v>0</v>
      </c>
      <c r="AA398" s="12">
        <f t="shared" si="27"/>
        <v>0</v>
      </c>
    </row>
    <row r="399" spans="1:27" ht="15" customHeight="1" x14ac:dyDescent="0.25">
      <c r="A399" s="137" t="s">
        <v>721</v>
      </c>
      <c r="B399" s="137" t="s">
        <v>722</v>
      </c>
      <c r="C399" s="137">
        <v>2018</v>
      </c>
      <c r="D399" s="137">
        <v>0.13</v>
      </c>
      <c r="E399" s="137" t="s">
        <v>193</v>
      </c>
      <c r="F399" s="137" t="s">
        <v>53</v>
      </c>
      <c r="G399" s="137">
        <v>1.94</v>
      </c>
      <c r="H399" s="137">
        <v>0</v>
      </c>
      <c r="I399" s="137">
        <v>0</v>
      </c>
      <c r="J399" s="137">
        <v>0.42</v>
      </c>
      <c r="K399" s="137" t="s">
        <v>193</v>
      </c>
      <c r="L399" s="137" t="s">
        <v>193</v>
      </c>
      <c r="M399" s="137" t="s">
        <v>193</v>
      </c>
      <c r="N399" s="137" t="s">
        <v>193</v>
      </c>
      <c r="O399" s="137" t="s">
        <v>193</v>
      </c>
      <c r="P399" s="137" t="s">
        <v>193</v>
      </c>
      <c r="Q399" s="137" t="s">
        <v>193</v>
      </c>
      <c r="R399" s="137" t="s">
        <v>193</v>
      </c>
      <c r="S399" s="137" t="s">
        <v>193</v>
      </c>
      <c r="T399" s="137" t="s">
        <v>193</v>
      </c>
      <c r="W399" s="12" t="str">
        <f t="shared" si="24"/>
        <v>Ja</v>
      </c>
      <c r="Y399" s="12" t="str">
        <f t="shared" si="25"/>
        <v>Nej</v>
      </c>
      <c r="Z399" s="12">
        <f t="shared" si="26"/>
        <v>0</v>
      </c>
      <c r="AA399" s="12">
        <f t="shared" si="27"/>
        <v>0</v>
      </c>
    </row>
    <row r="400" spans="1:27" ht="15" customHeight="1" x14ac:dyDescent="0.25">
      <c r="A400" s="137" t="s">
        <v>721</v>
      </c>
      <c r="B400" s="137" t="s">
        <v>723</v>
      </c>
      <c r="C400" s="137">
        <v>2018</v>
      </c>
      <c r="D400" s="137">
        <v>0.52500000000000002</v>
      </c>
      <c r="E400" s="137" t="s">
        <v>193</v>
      </c>
      <c r="F400" s="137" t="s">
        <v>53</v>
      </c>
      <c r="G400" s="137">
        <v>1.94</v>
      </c>
      <c r="H400" s="137">
        <v>0</v>
      </c>
      <c r="I400" s="137">
        <v>0</v>
      </c>
      <c r="J400" s="137">
        <v>0.42</v>
      </c>
      <c r="K400" s="137" t="s">
        <v>193</v>
      </c>
      <c r="L400" s="137" t="s">
        <v>193</v>
      </c>
      <c r="M400" s="137" t="s">
        <v>193</v>
      </c>
      <c r="N400" s="137" t="s">
        <v>193</v>
      </c>
      <c r="O400" s="137" t="s">
        <v>193</v>
      </c>
      <c r="P400" s="137" t="s">
        <v>193</v>
      </c>
      <c r="Q400" s="137" t="s">
        <v>193</v>
      </c>
      <c r="R400" s="137" t="s">
        <v>193</v>
      </c>
      <c r="S400" s="137" t="s">
        <v>193</v>
      </c>
      <c r="T400" s="137" t="s">
        <v>193</v>
      </c>
      <c r="W400" s="12" t="str">
        <f t="shared" si="24"/>
        <v>Ja</v>
      </c>
      <c r="Y400" s="12" t="str">
        <f t="shared" si="25"/>
        <v>Nej</v>
      </c>
      <c r="Z400" s="12">
        <f t="shared" si="26"/>
        <v>0</v>
      </c>
      <c r="AA400" s="12">
        <f t="shared" si="27"/>
        <v>0</v>
      </c>
    </row>
    <row r="401" spans="1:27" ht="15" customHeight="1" x14ac:dyDescent="0.25">
      <c r="A401" s="137" t="s">
        <v>724</v>
      </c>
      <c r="B401" s="137" t="s">
        <v>141</v>
      </c>
      <c r="C401" s="137">
        <v>2018</v>
      </c>
      <c r="D401" s="137" t="s">
        <v>53</v>
      </c>
      <c r="E401" s="137" t="s">
        <v>53</v>
      </c>
      <c r="F401" s="137" t="s">
        <v>53</v>
      </c>
      <c r="G401" s="137" t="s">
        <v>53</v>
      </c>
      <c r="H401" s="137" t="s">
        <v>53</v>
      </c>
      <c r="I401" s="137" t="s">
        <v>53</v>
      </c>
      <c r="J401" s="137" t="s">
        <v>53</v>
      </c>
      <c r="K401" s="137" t="s">
        <v>53</v>
      </c>
      <c r="L401" s="137" t="s">
        <v>53</v>
      </c>
      <c r="M401" s="137" t="s">
        <v>53</v>
      </c>
      <c r="N401" s="137" t="s">
        <v>53</v>
      </c>
      <c r="O401" s="137" t="s">
        <v>53</v>
      </c>
      <c r="P401" s="137" t="s">
        <v>53</v>
      </c>
      <c r="Q401" s="137" t="s">
        <v>53</v>
      </c>
      <c r="R401" s="137" t="s">
        <v>53</v>
      </c>
      <c r="S401" s="137" t="s">
        <v>53</v>
      </c>
      <c r="T401" s="137" t="s">
        <v>53</v>
      </c>
      <c r="W401" s="12" t="str">
        <f t="shared" si="24"/>
        <v>Nej</v>
      </c>
      <c r="Y401" s="12" t="str">
        <f t="shared" si="25"/>
        <v>Nej</v>
      </c>
      <c r="Z401" s="12">
        <f t="shared" si="26"/>
        <v>0</v>
      </c>
      <c r="AA401" s="12">
        <f t="shared" si="27"/>
        <v>0</v>
      </c>
    </row>
    <row r="402" spans="1:27" ht="15" customHeight="1" x14ac:dyDescent="0.25">
      <c r="A402" s="137" t="s">
        <v>725</v>
      </c>
      <c r="B402" s="137" t="s">
        <v>726</v>
      </c>
      <c r="C402" s="137">
        <v>2018</v>
      </c>
      <c r="D402" s="137">
        <v>6.3949999999999996</v>
      </c>
      <c r="E402" s="137">
        <v>35.207999999999998</v>
      </c>
      <c r="F402" s="137" t="s">
        <v>1056</v>
      </c>
      <c r="G402" s="137">
        <v>0.72</v>
      </c>
      <c r="H402" s="137">
        <v>82.5</v>
      </c>
      <c r="I402" s="137">
        <v>0</v>
      </c>
      <c r="J402" s="137">
        <v>0</v>
      </c>
      <c r="K402" s="137">
        <v>3.7</v>
      </c>
      <c r="L402" s="137">
        <v>0.17</v>
      </c>
      <c r="M402" s="137">
        <v>21.84</v>
      </c>
      <c r="N402" s="137">
        <v>2.86</v>
      </c>
      <c r="O402" s="137">
        <v>0</v>
      </c>
      <c r="P402" s="137">
        <v>163.30000000000001</v>
      </c>
      <c r="Q402" s="137">
        <v>7.0000000000000007E-2</v>
      </c>
      <c r="R402" s="137">
        <v>13.47</v>
      </c>
      <c r="S402" s="137">
        <v>5.37</v>
      </c>
      <c r="T402" s="137">
        <v>2</v>
      </c>
      <c r="W402" s="12" t="str">
        <f t="shared" si="24"/>
        <v>Ja</v>
      </c>
      <c r="Y402" s="12" t="str">
        <f t="shared" si="25"/>
        <v>Ja</v>
      </c>
      <c r="Z402" s="12">
        <f t="shared" si="26"/>
        <v>3.7</v>
      </c>
      <c r="AA402" s="12">
        <f t="shared" si="27"/>
        <v>0</v>
      </c>
    </row>
    <row r="403" spans="1:27" ht="15" customHeight="1" x14ac:dyDescent="0.25">
      <c r="A403" s="137" t="s">
        <v>725</v>
      </c>
      <c r="B403" s="137" t="s">
        <v>727</v>
      </c>
      <c r="C403" s="137">
        <v>2018</v>
      </c>
      <c r="D403" s="137">
        <v>4.3400000000000001E-2</v>
      </c>
      <c r="E403" s="137" t="s">
        <v>193</v>
      </c>
      <c r="F403" s="137" t="s">
        <v>944</v>
      </c>
      <c r="G403" s="137">
        <v>1.1000000000000001</v>
      </c>
      <c r="H403" s="137">
        <v>0</v>
      </c>
      <c r="I403" s="137">
        <v>0</v>
      </c>
      <c r="J403" s="137">
        <v>0</v>
      </c>
      <c r="K403" s="137" t="s">
        <v>193</v>
      </c>
      <c r="L403" s="137" t="s">
        <v>193</v>
      </c>
      <c r="M403" s="137" t="s">
        <v>193</v>
      </c>
      <c r="N403" s="137" t="s">
        <v>193</v>
      </c>
      <c r="O403" s="137" t="s">
        <v>193</v>
      </c>
      <c r="P403" s="137" t="s">
        <v>193</v>
      </c>
      <c r="Q403" s="137" t="s">
        <v>193</v>
      </c>
      <c r="R403" s="137" t="s">
        <v>193</v>
      </c>
      <c r="S403" s="137" t="s">
        <v>193</v>
      </c>
      <c r="T403" s="137" t="s">
        <v>193</v>
      </c>
      <c r="W403" s="12" t="str">
        <f t="shared" si="24"/>
        <v>Ja</v>
      </c>
      <c r="Y403" s="12" t="str">
        <f t="shared" si="25"/>
        <v>Nej</v>
      </c>
      <c r="Z403" s="12">
        <f t="shared" si="26"/>
        <v>0</v>
      </c>
      <c r="AA403" s="12">
        <f t="shared" si="27"/>
        <v>0</v>
      </c>
    </row>
    <row r="404" spans="1:27" ht="15" customHeight="1" x14ac:dyDescent="0.25">
      <c r="A404" s="137" t="s">
        <v>725</v>
      </c>
      <c r="B404" s="137" t="s">
        <v>728</v>
      </c>
      <c r="C404" s="137">
        <v>2018</v>
      </c>
      <c r="D404" s="137">
        <v>0.16700000000000001</v>
      </c>
      <c r="E404" s="137" t="s">
        <v>193</v>
      </c>
      <c r="F404" s="137" t="s">
        <v>944</v>
      </c>
      <c r="G404" s="137">
        <v>1.1000000000000001</v>
      </c>
      <c r="H404" s="137">
        <v>0</v>
      </c>
      <c r="I404" s="137">
        <v>0</v>
      </c>
      <c r="J404" s="137">
        <v>0</v>
      </c>
      <c r="K404" s="137" t="s">
        <v>193</v>
      </c>
      <c r="L404" s="137" t="s">
        <v>193</v>
      </c>
      <c r="M404" s="137" t="s">
        <v>193</v>
      </c>
      <c r="N404" s="137" t="s">
        <v>193</v>
      </c>
      <c r="O404" s="137" t="s">
        <v>193</v>
      </c>
      <c r="P404" s="137" t="s">
        <v>193</v>
      </c>
      <c r="Q404" s="137" t="s">
        <v>193</v>
      </c>
      <c r="R404" s="137" t="s">
        <v>193</v>
      </c>
      <c r="S404" s="137" t="s">
        <v>193</v>
      </c>
      <c r="T404" s="137" t="s">
        <v>193</v>
      </c>
      <c r="W404" s="12" t="str">
        <f t="shared" si="24"/>
        <v>Ja</v>
      </c>
      <c r="Y404" s="12" t="str">
        <f t="shared" si="25"/>
        <v>Nej</v>
      </c>
      <c r="Z404" s="12">
        <f t="shared" si="26"/>
        <v>0</v>
      </c>
      <c r="AA404" s="12">
        <f t="shared" si="27"/>
        <v>0</v>
      </c>
    </row>
    <row r="405" spans="1:27" ht="15" customHeight="1" x14ac:dyDescent="0.25">
      <c r="A405" s="137" t="s">
        <v>725</v>
      </c>
      <c r="B405" s="137" t="s">
        <v>729</v>
      </c>
      <c r="C405" s="137">
        <v>2018</v>
      </c>
      <c r="D405" s="137">
        <v>8.6820000000000004</v>
      </c>
      <c r="E405" s="137" t="s">
        <v>193</v>
      </c>
      <c r="F405" s="137" t="s">
        <v>957</v>
      </c>
      <c r="G405" s="137">
        <v>1.1000000000000001</v>
      </c>
      <c r="H405" s="137">
        <v>0</v>
      </c>
      <c r="I405" s="137">
        <v>0</v>
      </c>
      <c r="J405" s="137">
        <v>0</v>
      </c>
      <c r="K405" s="137" t="s">
        <v>193</v>
      </c>
      <c r="L405" s="137" t="s">
        <v>193</v>
      </c>
      <c r="M405" s="137" t="s">
        <v>193</v>
      </c>
      <c r="N405" s="137" t="s">
        <v>193</v>
      </c>
      <c r="O405" s="137" t="s">
        <v>193</v>
      </c>
      <c r="P405" s="137" t="s">
        <v>193</v>
      </c>
      <c r="Q405" s="137" t="s">
        <v>193</v>
      </c>
      <c r="R405" s="137" t="s">
        <v>193</v>
      </c>
      <c r="S405" s="137" t="s">
        <v>193</v>
      </c>
      <c r="T405" s="137" t="s">
        <v>193</v>
      </c>
      <c r="W405" s="12" t="str">
        <f t="shared" si="24"/>
        <v>Ja</v>
      </c>
      <c r="Y405" s="12" t="str">
        <f t="shared" si="25"/>
        <v>Nej</v>
      </c>
      <c r="Z405" s="12">
        <f t="shared" si="26"/>
        <v>0</v>
      </c>
      <c r="AA405" s="12">
        <f t="shared" si="27"/>
        <v>0</v>
      </c>
    </row>
    <row r="406" spans="1:27" ht="15" customHeight="1" x14ac:dyDescent="0.25">
      <c r="A406" s="137" t="s">
        <v>730</v>
      </c>
      <c r="B406" s="137" t="s">
        <v>731</v>
      </c>
      <c r="C406" s="137">
        <v>2018</v>
      </c>
      <c r="D406" s="137" t="s">
        <v>193</v>
      </c>
      <c r="E406" s="137" t="s">
        <v>193</v>
      </c>
      <c r="F406" s="137" t="s">
        <v>53</v>
      </c>
      <c r="G406" s="137">
        <v>2.23</v>
      </c>
      <c r="H406" s="137">
        <v>329.19</v>
      </c>
      <c r="I406" s="137">
        <v>0.43</v>
      </c>
      <c r="J406" s="137">
        <v>0.40550000000000003</v>
      </c>
      <c r="K406" s="137" t="s">
        <v>193</v>
      </c>
      <c r="L406" s="137" t="s">
        <v>193</v>
      </c>
      <c r="M406" s="137" t="s">
        <v>193</v>
      </c>
      <c r="N406" s="137" t="s">
        <v>193</v>
      </c>
      <c r="O406" s="137" t="s">
        <v>193</v>
      </c>
      <c r="P406" s="137" t="s">
        <v>193</v>
      </c>
      <c r="Q406" s="137" t="s">
        <v>193</v>
      </c>
      <c r="R406" s="137" t="s">
        <v>193</v>
      </c>
      <c r="S406" s="137" t="s">
        <v>193</v>
      </c>
      <c r="T406" s="137" t="s">
        <v>193</v>
      </c>
      <c r="W406" s="12" t="str">
        <f t="shared" si="24"/>
        <v>Ja</v>
      </c>
      <c r="Y406" s="12" t="str">
        <f t="shared" si="25"/>
        <v>Nej</v>
      </c>
      <c r="Z406" s="12">
        <f t="shared" si="26"/>
        <v>0</v>
      </c>
      <c r="AA406" s="12">
        <f t="shared" si="27"/>
        <v>0</v>
      </c>
    </row>
    <row r="407" spans="1:27" ht="15" customHeight="1" x14ac:dyDescent="0.25">
      <c r="A407" s="137" t="s">
        <v>732</v>
      </c>
      <c r="B407" s="137" t="s">
        <v>733</v>
      </c>
      <c r="C407" s="137">
        <v>2018</v>
      </c>
      <c r="D407" s="137">
        <v>2</v>
      </c>
      <c r="E407" s="137" t="s">
        <v>193</v>
      </c>
      <c r="F407" s="137" t="s">
        <v>53</v>
      </c>
      <c r="G407" s="137">
        <v>2.23</v>
      </c>
      <c r="H407" s="137">
        <v>329.19</v>
      </c>
      <c r="I407" s="137">
        <v>0.43</v>
      </c>
      <c r="J407" s="137">
        <v>0.40550000000000003</v>
      </c>
      <c r="K407" s="137" t="s">
        <v>193</v>
      </c>
      <c r="L407" s="137" t="s">
        <v>193</v>
      </c>
      <c r="M407" s="137" t="s">
        <v>193</v>
      </c>
      <c r="N407" s="137" t="s">
        <v>193</v>
      </c>
      <c r="O407" s="137" t="s">
        <v>193</v>
      </c>
      <c r="P407" s="137" t="s">
        <v>193</v>
      </c>
      <c r="Q407" s="137" t="s">
        <v>193</v>
      </c>
      <c r="R407" s="137" t="s">
        <v>193</v>
      </c>
      <c r="S407" s="137" t="s">
        <v>193</v>
      </c>
      <c r="T407" s="137" t="s">
        <v>193</v>
      </c>
      <c r="W407" s="12" t="str">
        <f t="shared" si="24"/>
        <v>Ja</v>
      </c>
      <c r="Y407" s="12" t="str">
        <f t="shared" si="25"/>
        <v>Nej</v>
      </c>
      <c r="Z407" s="12">
        <f t="shared" si="26"/>
        <v>0</v>
      </c>
      <c r="AA407" s="12">
        <f t="shared" si="27"/>
        <v>0</v>
      </c>
    </row>
    <row r="408" spans="1:27" ht="15" customHeight="1" x14ac:dyDescent="0.25">
      <c r="A408" s="137" t="s">
        <v>149</v>
      </c>
      <c r="B408" s="137" t="s">
        <v>13</v>
      </c>
      <c r="C408" s="137">
        <v>2018</v>
      </c>
      <c r="D408" s="137" t="s">
        <v>53</v>
      </c>
      <c r="E408" s="137" t="s">
        <v>53</v>
      </c>
      <c r="F408" s="137" t="s">
        <v>53</v>
      </c>
      <c r="G408" s="137" t="s">
        <v>53</v>
      </c>
      <c r="H408" s="137" t="s">
        <v>53</v>
      </c>
      <c r="I408" s="137" t="s">
        <v>53</v>
      </c>
      <c r="J408" s="137" t="s">
        <v>53</v>
      </c>
      <c r="K408" s="137" t="s">
        <v>53</v>
      </c>
      <c r="L408" s="137" t="s">
        <v>53</v>
      </c>
      <c r="M408" s="137" t="s">
        <v>53</v>
      </c>
      <c r="N408" s="137" t="s">
        <v>53</v>
      </c>
      <c r="O408" s="137" t="s">
        <v>53</v>
      </c>
      <c r="P408" s="137" t="s">
        <v>53</v>
      </c>
      <c r="Q408" s="137" t="s">
        <v>53</v>
      </c>
      <c r="R408" s="137" t="s">
        <v>53</v>
      </c>
      <c r="S408" s="137" t="s">
        <v>53</v>
      </c>
      <c r="T408" s="137" t="s">
        <v>53</v>
      </c>
      <c r="W408" s="12" t="str">
        <f t="shared" si="24"/>
        <v>Nej</v>
      </c>
      <c r="Y408" s="12" t="str">
        <f t="shared" si="25"/>
        <v>Nej</v>
      </c>
      <c r="Z408" s="12">
        <f t="shared" si="26"/>
        <v>0</v>
      </c>
      <c r="AA408" s="12">
        <f t="shared" si="27"/>
        <v>0</v>
      </c>
    </row>
    <row r="409" spans="1:27" ht="15" customHeight="1" x14ac:dyDescent="0.25">
      <c r="A409" s="137" t="s">
        <v>12</v>
      </c>
      <c r="B409" s="141" t="s">
        <v>14</v>
      </c>
      <c r="C409" s="137">
        <v>2018</v>
      </c>
      <c r="D409" s="137" t="s">
        <v>53</v>
      </c>
      <c r="E409" s="137" t="s">
        <v>53</v>
      </c>
      <c r="F409" s="137" t="s">
        <v>53</v>
      </c>
      <c r="G409" s="137" t="s">
        <v>53</v>
      </c>
      <c r="H409" s="137" t="s">
        <v>53</v>
      </c>
      <c r="I409" s="137" t="s">
        <v>53</v>
      </c>
      <c r="J409" s="137" t="s">
        <v>53</v>
      </c>
      <c r="K409" s="137" t="s">
        <v>53</v>
      </c>
      <c r="L409" s="137" t="s">
        <v>53</v>
      </c>
      <c r="M409" s="137" t="s">
        <v>53</v>
      </c>
      <c r="N409" s="137" t="s">
        <v>53</v>
      </c>
      <c r="O409" s="137" t="s">
        <v>53</v>
      </c>
      <c r="P409" s="137" t="s">
        <v>53</v>
      </c>
      <c r="Q409" s="137" t="s">
        <v>53</v>
      </c>
      <c r="R409" s="137" t="s">
        <v>53</v>
      </c>
      <c r="S409" s="137" t="s">
        <v>53</v>
      </c>
      <c r="T409" s="137" t="s">
        <v>53</v>
      </c>
      <c r="W409" s="12" t="str">
        <f t="shared" si="24"/>
        <v>Nej</v>
      </c>
      <c r="Y409" s="12" t="str">
        <f t="shared" si="25"/>
        <v>Nej</v>
      </c>
      <c r="Z409" s="12">
        <f t="shared" si="26"/>
        <v>0</v>
      </c>
      <c r="AA409" s="12">
        <f t="shared" si="27"/>
        <v>0</v>
      </c>
    </row>
    <row r="410" spans="1:27" ht="15" customHeight="1" x14ac:dyDescent="0.25">
      <c r="A410" s="137" t="s">
        <v>734</v>
      </c>
      <c r="B410" s="137" t="s">
        <v>735</v>
      </c>
      <c r="C410" s="137">
        <v>2018</v>
      </c>
      <c r="D410" s="137">
        <v>0.30463000000000001</v>
      </c>
      <c r="E410" s="137" t="s">
        <v>193</v>
      </c>
      <c r="F410" s="137" t="s">
        <v>1057</v>
      </c>
      <c r="G410" s="137">
        <v>0.183</v>
      </c>
      <c r="H410" s="137">
        <v>60.9</v>
      </c>
      <c r="I410" s="137">
        <v>0.03</v>
      </c>
      <c r="J410" s="137">
        <v>0</v>
      </c>
      <c r="K410" s="137" t="s">
        <v>193</v>
      </c>
      <c r="L410" s="137" t="s">
        <v>193</v>
      </c>
      <c r="M410" s="137" t="s">
        <v>193</v>
      </c>
      <c r="N410" s="137" t="s">
        <v>193</v>
      </c>
      <c r="O410" s="137" t="s">
        <v>193</v>
      </c>
      <c r="P410" s="137" t="s">
        <v>193</v>
      </c>
      <c r="Q410" s="137" t="s">
        <v>193</v>
      </c>
      <c r="R410" s="137" t="s">
        <v>193</v>
      </c>
      <c r="S410" s="137" t="s">
        <v>193</v>
      </c>
      <c r="T410" s="137" t="s">
        <v>193</v>
      </c>
      <c r="W410" s="12" t="str">
        <f t="shared" si="24"/>
        <v>Ja</v>
      </c>
      <c r="Y410" s="12" t="str">
        <f t="shared" si="25"/>
        <v>Nej</v>
      </c>
      <c r="Z410" s="12">
        <f t="shared" si="26"/>
        <v>0</v>
      </c>
      <c r="AA410" s="12">
        <f t="shared" si="27"/>
        <v>0</v>
      </c>
    </row>
    <row r="411" spans="1:27" ht="15" customHeight="1" x14ac:dyDescent="0.25">
      <c r="A411" s="137" t="s">
        <v>734</v>
      </c>
      <c r="B411" s="137" t="s">
        <v>736</v>
      </c>
      <c r="C411" s="137">
        <v>2018</v>
      </c>
      <c r="D411" s="137" t="s">
        <v>193</v>
      </c>
      <c r="E411" s="137" t="s">
        <v>193</v>
      </c>
      <c r="F411" s="137" t="s">
        <v>1057</v>
      </c>
      <c r="G411" s="137">
        <v>0.183</v>
      </c>
      <c r="H411" s="137">
        <v>60.9</v>
      </c>
      <c r="I411" s="137">
        <v>0.03</v>
      </c>
      <c r="J411" s="137">
        <v>0</v>
      </c>
      <c r="K411" s="137" t="s">
        <v>193</v>
      </c>
      <c r="L411" s="137" t="s">
        <v>193</v>
      </c>
      <c r="M411" s="137" t="s">
        <v>193</v>
      </c>
      <c r="N411" s="137" t="s">
        <v>193</v>
      </c>
      <c r="O411" s="137" t="s">
        <v>193</v>
      </c>
      <c r="P411" s="137" t="s">
        <v>193</v>
      </c>
      <c r="Q411" s="137" t="s">
        <v>193</v>
      </c>
      <c r="R411" s="137" t="s">
        <v>193</v>
      </c>
      <c r="S411" s="137" t="s">
        <v>193</v>
      </c>
      <c r="T411" s="137" t="s">
        <v>193</v>
      </c>
      <c r="W411" s="12" t="str">
        <f t="shared" si="24"/>
        <v>Ja</v>
      </c>
      <c r="Y411" s="12" t="str">
        <f t="shared" si="25"/>
        <v>Nej</v>
      </c>
      <c r="Z411" s="12">
        <f t="shared" si="26"/>
        <v>0</v>
      </c>
      <c r="AA411" s="12">
        <f t="shared" si="27"/>
        <v>0</v>
      </c>
    </row>
    <row r="412" spans="1:27" ht="15" customHeight="1" x14ac:dyDescent="0.25">
      <c r="A412" s="137" t="s">
        <v>734</v>
      </c>
      <c r="B412" s="137" t="s">
        <v>737</v>
      </c>
      <c r="C412" s="137">
        <v>2018</v>
      </c>
      <c r="D412" s="137" t="s">
        <v>193</v>
      </c>
      <c r="E412" s="137" t="s">
        <v>193</v>
      </c>
      <c r="F412" s="137" t="s">
        <v>53</v>
      </c>
      <c r="G412" s="137">
        <v>2.2999999999999998</v>
      </c>
      <c r="H412" s="137">
        <v>329.19</v>
      </c>
      <c r="I412" s="137">
        <v>0.43</v>
      </c>
      <c r="J412" s="137">
        <v>0.40550000000000003</v>
      </c>
      <c r="K412" s="137" t="s">
        <v>193</v>
      </c>
      <c r="L412" s="137" t="s">
        <v>193</v>
      </c>
      <c r="M412" s="137" t="s">
        <v>193</v>
      </c>
      <c r="N412" s="137" t="s">
        <v>193</v>
      </c>
      <c r="O412" s="137" t="s">
        <v>193</v>
      </c>
      <c r="P412" s="137" t="s">
        <v>193</v>
      </c>
      <c r="Q412" s="137" t="s">
        <v>193</v>
      </c>
      <c r="R412" s="137" t="s">
        <v>193</v>
      </c>
      <c r="S412" s="137" t="s">
        <v>193</v>
      </c>
      <c r="T412" s="137" t="s">
        <v>193</v>
      </c>
      <c r="W412" s="12" t="str">
        <f t="shared" si="24"/>
        <v>Nej</v>
      </c>
      <c r="Y412" s="12" t="str">
        <f t="shared" si="25"/>
        <v>Nej</v>
      </c>
      <c r="Z412" s="12">
        <f t="shared" si="26"/>
        <v>0</v>
      </c>
      <c r="AA412" s="12">
        <f t="shared" si="27"/>
        <v>0</v>
      </c>
    </row>
    <row r="413" spans="1:27" ht="15" customHeight="1" x14ac:dyDescent="0.25">
      <c r="A413" s="137" t="s">
        <v>734</v>
      </c>
      <c r="B413" s="137" t="s">
        <v>738</v>
      </c>
      <c r="C413" s="137">
        <v>2018</v>
      </c>
      <c r="D413" s="137">
        <v>2.3300000000000001E-2</v>
      </c>
      <c r="E413" s="137" t="s">
        <v>193</v>
      </c>
      <c r="F413" s="137" t="s">
        <v>1057</v>
      </c>
      <c r="G413" s="137">
        <v>0.183</v>
      </c>
      <c r="H413" s="137">
        <v>60.9</v>
      </c>
      <c r="I413" s="137">
        <v>0.03</v>
      </c>
      <c r="J413" s="137">
        <v>0</v>
      </c>
      <c r="K413" s="137" t="s">
        <v>193</v>
      </c>
      <c r="L413" s="137" t="s">
        <v>193</v>
      </c>
      <c r="M413" s="137" t="s">
        <v>193</v>
      </c>
      <c r="N413" s="137" t="s">
        <v>193</v>
      </c>
      <c r="O413" s="137" t="s">
        <v>193</v>
      </c>
      <c r="P413" s="137" t="s">
        <v>193</v>
      </c>
      <c r="Q413" s="137" t="s">
        <v>193</v>
      </c>
      <c r="R413" s="137" t="s">
        <v>193</v>
      </c>
      <c r="S413" s="137" t="s">
        <v>193</v>
      </c>
      <c r="T413" s="137" t="s">
        <v>193</v>
      </c>
      <c r="W413" s="12" t="str">
        <f t="shared" si="24"/>
        <v>Ja</v>
      </c>
      <c r="Y413" s="12" t="str">
        <f t="shared" si="25"/>
        <v>Nej</v>
      </c>
      <c r="Z413" s="12">
        <f t="shared" si="26"/>
        <v>0</v>
      </c>
      <c r="AA413" s="12">
        <f t="shared" si="27"/>
        <v>0</v>
      </c>
    </row>
    <row r="414" spans="1:27" ht="15" customHeight="1" x14ac:dyDescent="0.25">
      <c r="A414" s="137" t="s">
        <v>734</v>
      </c>
      <c r="B414" s="137" t="s">
        <v>739</v>
      </c>
      <c r="C414" s="137">
        <v>2018</v>
      </c>
      <c r="D414" s="137" t="s">
        <v>193</v>
      </c>
      <c r="E414" s="137">
        <v>17.803000000000001</v>
      </c>
      <c r="F414" s="137" t="s">
        <v>1057</v>
      </c>
      <c r="G414" s="137">
        <v>0.183</v>
      </c>
      <c r="H414" s="137">
        <v>60.9</v>
      </c>
      <c r="I414" s="137">
        <v>0.03</v>
      </c>
      <c r="J414" s="137">
        <v>0</v>
      </c>
      <c r="K414" s="137" t="s">
        <v>193</v>
      </c>
      <c r="L414" s="137" t="s">
        <v>193</v>
      </c>
      <c r="M414" s="137" t="s">
        <v>193</v>
      </c>
      <c r="N414" s="137" t="s">
        <v>193</v>
      </c>
      <c r="O414" s="137" t="s">
        <v>193</v>
      </c>
      <c r="P414" s="137" t="s">
        <v>193</v>
      </c>
      <c r="Q414" s="137" t="s">
        <v>193</v>
      </c>
      <c r="R414" s="137" t="s">
        <v>193</v>
      </c>
      <c r="S414" s="137" t="s">
        <v>193</v>
      </c>
      <c r="T414" s="137" t="s">
        <v>193</v>
      </c>
      <c r="W414" s="12" t="str">
        <f t="shared" si="24"/>
        <v>Ja</v>
      </c>
      <c r="Y414" s="12" t="str">
        <f t="shared" si="25"/>
        <v>Nej</v>
      </c>
      <c r="Z414" s="12">
        <f t="shared" si="26"/>
        <v>0</v>
      </c>
      <c r="AA414" s="12">
        <f t="shared" si="27"/>
        <v>0</v>
      </c>
    </row>
    <row r="415" spans="1:27" ht="15" customHeight="1" x14ac:dyDescent="0.25">
      <c r="A415" s="137" t="s">
        <v>734</v>
      </c>
      <c r="B415" s="137" t="s">
        <v>740</v>
      </c>
      <c r="C415" s="137">
        <v>2018</v>
      </c>
      <c r="D415" s="137">
        <v>0.71799999999999997</v>
      </c>
      <c r="E415" s="137">
        <v>13.667999999999999</v>
      </c>
      <c r="F415" s="137" t="s">
        <v>1057</v>
      </c>
      <c r="G415" s="137">
        <v>0.183</v>
      </c>
      <c r="H415" s="137">
        <v>60.9</v>
      </c>
      <c r="I415" s="137">
        <v>0.03</v>
      </c>
      <c r="J415" s="137">
        <v>0</v>
      </c>
      <c r="K415" s="137" t="s">
        <v>193</v>
      </c>
      <c r="L415" s="137" t="s">
        <v>193</v>
      </c>
      <c r="M415" s="137" t="s">
        <v>193</v>
      </c>
      <c r="N415" s="137" t="s">
        <v>193</v>
      </c>
      <c r="O415" s="137" t="s">
        <v>193</v>
      </c>
      <c r="P415" s="137" t="s">
        <v>193</v>
      </c>
      <c r="Q415" s="137" t="s">
        <v>193</v>
      </c>
      <c r="R415" s="137" t="s">
        <v>193</v>
      </c>
      <c r="S415" s="137" t="s">
        <v>193</v>
      </c>
      <c r="T415" s="137" t="s">
        <v>193</v>
      </c>
      <c r="W415" s="12" t="str">
        <f t="shared" si="24"/>
        <v>Ja</v>
      </c>
      <c r="Y415" s="12" t="str">
        <f t="shared" si="25"/>
        <v>Nej</v>
      </c>
      <c r="Z415" s="12">
        <f t="shared" si="26"/>
        <v>0</v>
      </c>
      <c r="AA415" s="12">
        <f t="shared" si="27"/>
        <v>0</v>
      </c>
    </row>
  </sheetData>
  <autoFilter ref="A1:AC415"/>
  <conditionalFormatting sqref="B1:B31 B33:B71 B73:B147 B149:B227 B229:B293 B295:B316 B318:B341 B343:B408 B410:B1048576">
    <cfRule type="duplicateValues" dxfId="16" priority="1"/>
  </conditionalFormatting>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22</vt:i4>
      </vt:variant>
    </vt:vector>
  </HeadingPairs>
  <TitlesOfParts>
    <vt:vector size="22" baseType="lpstr">
      <vt:lpstr>Balans köpt och såld fjv 190517</vt:lpstr>
      <vt:lpstr>Dublettnamn</vt:lpstr>
      <vt:lpstr>Egen hetvattenprod</vt:lpstr>
      <vt:lpstr>Köpt hetvatten</vt:lpstr>
      <vt:lpstr>Kraftvärmeprod</vt:lpstr>
      <vt:lpstr>Slutlig allokering kvv</vt:lpstr>
      <vt:lpstr>Allokerat till el</vt:lpstr>
      <vt:lpstr>Spillvärme</vt:lpstr>
      <vt:lpstr>Miljö</vt:lpstr>
      <vt:lpstr>Leveranser</vt:lpstr>
      <vt:lpstr>Tillförd energi</vt:lpstr>
      <vt:lpstr>Totalt</vt:lpstr>
      <vt:lpstr>Tillförda bränslen per nät</vt:lpstr>
      <vt:lpstr>Sammanfattning bränslen</vt:lpstr>
      <vt:lpstr>Viktade värden el</vt:lpstr>
      <vt:lpstr>Miljövärden</vt:lpstr>
      <vt:lpstr>Miljövrärden urval för publ</vt:lpstr>
      <vt:lpstr>Miljövärden för publ företag</vt:lpstr>
      <vt:lpstr>Underlagsinformation</vt:lpstr>
      <vt:lpstr>Underlag till diagram</vt:lpstr>
      <vt:lpstr>Redovisning för kunder</vt:lpstr>
      <vt:lpstr>Emissionsfaktorer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Mijakovska Dijana</dc:creator>
  <cp:lastModifiedBy>Alander, Sofia</cp:lastModifiedBy>
  <dcterms:created xsi:type="dcterms:W3CDTF">2019-05-14T06:40:56Z</dcterms:created>
  <dcterms:modified xsi:type="dcterms:W3CDTF">2019-09-09T07:38:02Z</dcterms:modified>
</cp:coreProperties>
</file>